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G:\Valuation\TY 2025\Residential\Res Model Information\YC2\"/>
    </mc:Choice>
  </mc:AlternateContent>
  <xr:revisionPtr revIDLastSave="0" documentId="13_ncr:1_{99A5EF2F-BF2D-4C18-BB04-9D46353FE19F}" xr6:coauthVersionLast="47" xr6:coauthVersionMax="47" xr10:uidLastSave="{00000000-0000-0000-0000-000000000000}"/>
  <bookViews>
    <workbookView xWindow="3456" yWindow="3456" windowWidth="15348" windowHeight="12600" xr2:uid="{00000000-000D-0000-FFFF-FFFF00000000}"/>
  </bookViews>
  <sheets>
    <sheet name="Lookups" sheetId="2" r:id="rId1"/>
    <sheet name="Pivots" sheetId="4" r:id="rId2"/>
    <sheet name="YC2 Model TY 2025" sheetId="1" r:id="rId3"/>
    <sheet name="Inventory" sheetId="7" r:id="rId4"/>
    <sheet name="Multi Res, MF, ML" sheetId="8" r:id="rId5"/>
    <sheet name="YC2" sheetId="9" r:id="rId6"/>
    <sheet name="Trimmed Sales" sheetId="3" state="hidden" r:id="rId7"/>
  </sheets>
  <calcPr calcId="191029"/>
  <pivotCaches>
    <pivotCache cacheId="224" r:id="rId8"/>
    <pivotCache cacheId="225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16" i="9" l="1"/>
  <c r="L316" i="9" s="1"/>
  <c r="M316" i="9" s="1"/>
  <c r="J316" i="9"/>
  <c r="I316" i="9"/>
  <c r="K315" i="9"/>
  <c r="L315" i="9" s="1"/>
  <c r="M315" i="9" s="1"/>
  <c r="I315" i="9"/>
  <c r="J315" i="9" s="1"/>
  <c r="L314" i="9"/>
  <c r="M314" i="9" s="1"/>
  <c r="K314" i="9"/>
  <c r="I314" i="9"/>
  <c r="J314" i="9" s="1"/>
  <c r="L313" i="9"/>
  <c r="M313" i="9" s="1"/>
  <c r="K313" i="9"/>
  <c r="J313" i="9"/>
  <c r="I313" i="9"/>
  <c r="K312" i="9"/>
  <c r="L312" i="9" s="1"/>
  <c r="M312" i="9" s="1"/>
  <c r="I312" i="9"/>
  <c r="J312" i="9" s="1"/>
  <c r="K311" i="9"/>
  <c r="L311" i="9" s="1"/>
  <c r="M311" i="9" s="1"/>
  <c r="I311" i="9"/>
  <c r="J311" i="9" s="1"/>
  <c r="L310" i="9"/>
  <c r="M310" i="9" s="1"/>
  <c r="K310" i="9"/>
  <c r="I310" i="9"/>
  <c r="J310" i="9" s="1"/>
  <c r="M309" i="9"/>
  <c r="L309" i="9"/>
  <c r="K309" i="9"/>
  <c r="I309" i="9"/>
  <c r="J309" i="9" s="1"/>
  <c r="K308" i="9"/>
  <c r="L308" i="9" s="1"/>
  <c r="M308" i="9" s="1"/>
  <c r="I308" i="9"/>
  <c r="J308" i="9" s="1"/>
  <c r="K307" i="9"/>
  <c r="L307" i="9" s="1"/>
  <c r="M307" i="9" s="1"/>
  <c r="I307" i="9"/>
  <c r="J307" i="9" s="1"/>
  <c r="K306" i="9"/>
  <c r="L306" i="9" s="1"/>
  <c r="M306" i="9" s="1"/>
  <c r="I306" i="9"/>
  <c r="J306" i="9" s="1"/>
  <c r="L305" i="9"/>
  <c r="M305" i="9" s="1"/>
  <c r="K305" i="9"/>
  <c r="J305" i="9"/>
  <c r="I305" i="9"/>
  <c r="K304" i="9"/>
  <c r="L304" i="9" s="1"/>
  <c r="M304" i="9" s="1"/>
  <c r="J304" i="9"/>
  <c r="I304" i="9"/>
  <c r="K303" i="9"/>
  <c r="L303" i="9" s="1"/>
  <c r="M303" i="9" s="1"/>
  <c r="I303" i="9"/>
  <c r="J303" i="9" s="1"/>
  <c r="K302" i="9"/>
  <c r="L302" i="9" s="1"/>
  <c r="M302" i="9" s="1"/>
  <c r="I302" i="9"/>
  <c r="J302" i="9" s="1"/>
  <c r="L301" i="9"/>
  <c r="M301" i="9" s="1"/>
  <c r="K301" i="9"/>
  <c r="J301" i="9"/>
  <c r="I301" i="9"/>
  <c r="K300" i="9"/>
  <c r="L300" i="9" s="1"/>
  <c r="M300" i="9" s="1"/>
  <c r="I300" i="9"/>
  <c r="J300" i="9" s="1"/>
  <c r="K299" i="9"/>
  <c r="L299" i="9" s="1"/>
  <c r="M299" i="9" s="1"/>
  <c r="J299" i="9"/>
  <c r="I299" i="9"/>
  <c r="K298" i="9"/>
  <c r="L298" i="9" s="1"/>
  <c r="M298" i="9" s="1"/>
  <c r="I298" i="9"/>
  <c r="J298" i="9" s="1"/>
  <c r="L297" i="9"/>
  <c r="M297" i="9" s="1"/>
  <c r="K297" i="9"/>
  <c r="I297" i="9"/>
  <c r="J297" i="9" s="1"/>
  <c r="K296" i="9"/>
  <c r="L296" i="9" s="1"/>
  <c r="M296" i="9" s="1"/>
  <c r="J296" i="9"/>
  <c r="I296" i="9"/>
  <c r="K295" i="9"/>
  <c r="L295" i="9" s="1"/>
  <c r="M295" i="9" s="1"/>
  <c r="J295" i="9"/>
  <c r="I295" i="9"/>
  <c r="K294" i="9"/>
  <c r="L294" i="9" s="1"/>
  <c r="M294" i="9" s="1"/>
  <c r="I294" i="9"/>
  <c r="J294" i="9" s="1"/>
  <c r="M293" i="9"/>
  <c r="K293" i="9"/>
  <c r="L293" i="9" s="1"/>
  <c r="J293" i="9"/>
  <c r="I293" i="9"/>
  <c r="K292" i="9"/>
  <c r="L292" i="9" s="1"/>
  <c r="M292" i="9" s="1"/>
  <c r="I292" i="9"/>
  <c r="J292" i="9" s="1"/>
  <c r="K291" i="9"/>
  <c r="L291" i="9" s="1"/>
  <c r="M291" i="9" s="1"/>
  <c r="J291" i="9"/>
  <c r="I291" i="9"/>
  <c r="L290" i="9"/>
  <c r="M290" i="9" s="1"/>
  <c r="K290" i="9"/>
  <c r="J290" i="9"/>
  <c r="I290" i="9"/>
  <c r="L289" i="9"/>
  <c r="M289" i="9" s="1"/>
  <c r="K289" i="9"/>
  <c r="J289" i="9"/>
  <c r="I289" i="9"/>
  <c r="K288" i="9"/>
  <c r="L288" i="9" s="1"/>
  <c r="M288" i="9" s="1"/>
  <c r="J288" i="9"/>
  <c r="I288" i="9"/>
  <c r="K287" i="9"/>
  <c r="L287" i="9" s="1"/>
  <c r="M287" i="9" s="1"/>
  <c r="J287" i="9"/>
  <c r="I287" i="9"/>
  <c r="K286" i="9"/>
  <c r="L286" i="9" s="1"/>
  <c r="M286" i="9" s="1"/>
  <c r="J286" i="9"/>
  <c r="I286" i="9"/>
  <c r="K285" i="9"/>
  <c r="L285" i="9" s="1"/>
  <c r="M285" i="9" s="1"/>
  <c r="I285" i="9"/>
  <c r="J285" i="9" s="1"/>
  <c r="K284" i="9"/>
  <c r="L284" i="9" s="1"/>
  <c r="M284" i="9" s="1"/>
  <c r="I284" i="9"/>
  <c r="J284" i="9" s="1"/>
  <c r="K283" i="9"/>
  <c r="L283" i="9" s="1"/>
  <c r="M283" i="9" s="1"/>
  <c r="J283" i="9"/>
  <c r="I283" i="9"/>
  <c r="L282" i="9"/>
  <c r="M282" i="9" s="1"/>
  <c r="K282" i="9"/>
  <c r="J282" i="9"/>
  <c r="I282" i="9"/>
  <c r="K281" i="9"/>
  <c r="L281" i="9" s="1"/>
  <c r="M281" i="9" s="1"/>
  <c r="J281" i="9"/>
  <c r="I281" i="9"/>
  <c r="K280" i="9"/>
  <c r="L280" i="9" s="1"/>
  <c r="M280" i="9" s="1"/>
  <c r="J280" i="9"/>
  <c r="I280" i="9"/>
  <c r="K279" i="9"/>
  <c r="L279" i="9" s="1"/>
  <c r="M279" i="9" s="1"/>
  <c r="J279" i="9"/>
  <c r="I279" i="9"/>
  <c r="L278" i="9"/>
  <c r="M278" i="9" s="1"/>
  <c r="K278" i="9"/>
  <c r="I278" i="9"/>
  <c r="J278" i="9" s="1"/>
  <c r="K277" i="9"/>
  <c r="L277" i="9" s="1"/>
  <c r="M277" i="9" s="1"/>
  <c r="J277" i="9"/>
  <c r="I277" i="9"/>
  <c r="K276" i="9"/>
  <c r="L276" i="9" s="1"/>
  <c r="M276" i="9" s="1"/>
  <c r="I276" i="9"/>
  <c r="J276" i="9" s="1"/>
  <c r="N275" i="9"/>
  <c r="K275" i="9"/>
  <c r="L275" i="9" s="1"/>
  <c r="M275" i="9" s="1"/>
  <c r="J275" i="9"/>
  <c r="I275" i="9"/>
  <c r="K274" i="9"/>
  <c r="L274" i="9" s="1"/>
  <c r="M274" i="9" s="1"/>
  <c r="I274" i="9"/>
  <c r="J274" i="9" s="1"/>
  <c r="M273" i="9"/>
  <c r="L273" i="9"/>
  <c r="K273" i="9"/>
  <c r="I273" i="9"/>
  <c r="J273" i="9" s="1"/>
  <c r="K272" i="9"/>
  <c r="L272" i="9" s="1"/>
  <c r="M272" i="9" s="1"/>
  <c r="I272" i="9"/>
  <c r="J272" i="9" s="1"/>
  <c r="K271" i="9"/>
  <c r="L271" i="9" s="1"/>
  <c r="M271" i="9" s="1"/>
  <c r="J271" i="9"/>
  <c r="I271" i="9"/>
  <c r="K270" i="9"/>
  <c r="L270" i="9" s="1"/>
  <c r="M270" i="9" s="1"/>
  <c r="I270" i="9"/>
  <c r="J270" i="9" s="1"/>
  <c r="L269" i="9"/>
  <c r="M269" i="9" s="1"/>
  <c r="K269" i="9"/>
  <c r="J269" i="9"/>
  <c r="I269" i="9"/>
  <c r="K268" i="9"/>
  <c r="L268" i="9" s="1"/>
  <c r="M268" i="9" s="1"/>
  <c r="J268" i="9"/>
  <c r="I268" i="9"/>
  <c r="K267" i="9"/>
  <c r="L267" i="9" s="1"/>
  <c r="M267" i="9" s="1"/>
  <c r="I267" i="9"/>
  <c r="J267" i="9" s="1"/>
  <c r="M266" i="9"/>
  <c r="L266" i="9"/>
  <c r="K266" i="9"/>
  <c r="I266" i="9"/>
  <c r="J266" i="9" s="1"/>
  <c r="K265" i="9"/>
  <c r="L265" i="9" s="1"/>
  <c r="M265" i="9" s="1"/>
  <c r="I265" i="9"/>
  <c r="J265" i="9" s="1"/>
  <c r="K264" i="9"/>
  <c r="L264" i="9" s="1"/>
  <c r="M264" i="9" s="1"/>
  <c r="J264" i="9"/>
  <c r="I264" i="9"/>
  <c r="K263" i="9"/>
  <c r="L263" i="9" s="1"/>
  <c r="M263" i="9" s="1"/>
  <c r="I263" i="9"/>
  <c r="J263" i="9" s="1"/>
  <c r="M262" i="9"/>
  <c r="L262" i="9"/>
  <c r="K262" i="9"/>
  <c r="J262" i="9"/>
  <c r="I262" i="9"/>
  <c r="L261" i="9"/>
  <c r="M261" i="9" s="1"/>
  <c r="K261" i="9"/>
  <c r="I261" i="9"/>
  <c r="J261" i="9" s="1"/>
  <c r="K260" i="9"/>
  <c r="L260" i="9" s="1"/>
  <c r="M260" i="9" s="1"/>
  <c r="I260" i="9"/>
  <c r="J260" i="9" s="1"/>
  <c r="K259" i="9"/>
  <c r="L259" i="9" s="1"/>
  <c r="M259" i="9" s="1"/>
  <c r="I259" i="9"/>
  <c r="J259" i="9" s="1"/>
  <c r="K258" i="9"/>
  <c r="L258" i="9" s="1"/>
  <c r="M258" i="9" s="1"/>
  <c r="J258" i="9"/>
  <c r="I258" i="9"/>
  <c r="L257" i="9"/>
  <c r="M257" i="9" s="1"/>
  <c r="K257" i="9"/>
  <c r="J257" i="9"/>
  <c r="I257" i="9"/>
  <c r="K256" i="9"/>
  <c r="L256" i="9" s="1"/>
  <c r="M256" i="9" s="1"/>
  <c r="I256" i="9"/>
  <c r="J256" i="9" s="1"/>
  <c r="K255" i="9"/>
  <c r="L255" i="9" s="1"/>
  <c r="M255" i="9" s="1"/>
  <c r="J255" i="9"/>
  <c r="I255" i="9"/>
  <c r="L254" i="9"/>
  <c r="M254" i="9" s="1"/>
  <c r="K254" i="9"/>
  <c r="J254" i="9"/>
  <c r="I254" i="9"/>
  <c r="K253" i="9"/>
  <c r="L253" i="9" s="1"/>
  <c r="M253" i="9" s="1"/>
  <c r="J253" i="9"/>
  <c r="I253" i="9"/>
  <c r="K252" i="9"/>
  <c r="L252" i="9" s="1"/>
  <c r="M252" i="9" s="1"/>
  <c r="I252" i="9"/>
  <c r="J252" i="9" s="1"/>
  <c r="K251" i="9"/>
  <c r="L251" i="9" s="1"/>
  <c r="M251" i="9" s="1"/>
  <c r="J251" i="9"/>
  <c r="I251" i="9"/>
  <c r="M250" i="9"/>
  <c r="L250" i="9"/>
  <c r="K250" i="9"/>
  <c r="J250" i="9"/>
  <c r="I250" i="9"/>
  <c r="K249" i="9"/>
  <c r="L249" i="9" s="1"/>
  <c r="M249" i="9" s="1"/>
  <c r="I249" i="9"/>
  <c r="J249" i="9" s="1"/>
  <c r="K248" i="9"/>
  <c r="L248" i="9" s="1"/>
  <c r="M248" i="9" s="1"/>
  <c r="I248" i="9"/>
  <c r="J248" i="9" s="1"/>
  <c r="K247" i="9"/>
  <c r="L247" i="9" s="1"/>
  <c r="M247" i="9" s="1"/>
  <c r="I247" i="9"/>
  <c r="J247" i="9" s="1"/>
  <c r="K246" i="9"/>
  <c r="L246" i="9" s="1"/>
  <c r="M246" i="9" s="1"/>
  <c r="I246" i="9"/>
  <c r="J246" i="9" s="1"/>
  <c r="K245" i="9"/>
  <c r="L245" i="9" s="1"/>
  <c r="M245" i="9" s="1"/>
  <c r="J245" i="9"/>
  <c r="I245" i="9"/>
  <c r="K244" i="9"/>
  <c r="L244" i="9" s="1"/>
  <c r="M244" i="9" s="1"/>
  <c r="I244" i="9"/>
  <c r="J244" i="9" s="1"/>
  <c r="N243" i="9"/>
  <c r="K243" i="9"/>
  <c r="L243" i="9" s="1"/>
  <c r="M243" i="9" s="1"/>
  <c r="J243" i="9"/>
  <c r="I243" i="9"/>
  <c r="K242" i="9"/>
  <c r="L242" i="9" s="1"/>
  <c r="M242" i="9" s="1"/>
  <c r="I242" i="9"/>
  <c r="J242" i="9" s="1"/>
  <c r="M241" i="9"/>
  <c r="L241" i="9"/>
  <c r="K241" i="9"/>
  <c r="I241" i="9"/>
  <c r="J241" i="9" s="1"/>
  <c r="K240" i="9"/>
  <c r="L240" i="9" s="1"/>
  <c r="M240" i="9" s="1"/>
  <c r="J240" i="9"/>
  <c r="I240" i="9"/>
  <c r="K239" i="9"/>
  <c r="L239" i="9" s="1"/>
  <c r="M239" i="9" s="1"/>
  <c r="I239" i="9"/>
  <c r="J239" i="9" s="1"/>
  <c r="K238" i="9"/>
  <c r="L238" i="9" s="1"/>
  <c r="M238" i="9" s="1"/>
  <c r="J238" i="9"/>
  <c r="I238" i="9"/>
  <c r="K237" i="9"/>
  <c r="L237" i="9" s="1"/>
  <c r="M237" i="9" s="1"/>
  <c r="I237" i="9"/>
  <c r="J237" i="9" s="1"/>
  <c r="K236" i="9"/>
  <c r="L236" i="9" s="1"/>
  <c r="M236" i="9" s="1"/>
  <c r="J236" i="9"/>
  <c r="I236" i="9"/>
  <c r="K235" i="9"/>
  <c r="L235" i="9" s="1"/>
  <c r="M235" i="9" s="1"/>
  <c r="I235" i="9"/>
  <c r="J235" i="9" s="1"/>
  <c r="L234" i="9"/>
  <c r="M234" i="9" s="1"/>
  <c r="K234" i="9"/>
  <c r="I234" i="9"/>
  <c r="J234" i="9" s="1"/>
  <c r="K233" i="9"/>
  <c r="L233" i="9" s="1"/>
  <c r="M233" i="9" s="1"/>
  <c r="J233" i="9"/>
  <c r="I233" i="9"/>
  <c r="K232" i="9"/>
  <c r="L232" i="9" s="1"/>
  <c r="M232" i="9" s="1"/>
  <c r="J232" i="9"/>
  <c r="I232" i="9"/>
  <c r="K231" i="9"/>
  <c r="L231" i="9" s="1"/>
  <c r="M231" i="9" s="1"/>
  <c r="I231" i="9"/>
  <c r="J231" i="9" s="1"/>
  <c r="M230" i="9"/>
  <c r="L230" i="9"/>
  <c r="K230" i="9"/>
  <c r="I230" i="9"/>
  <c r="J230" i="9" s="1"/>
  <c r="K229" i="9"/>
  <c r="L229" i="9" s="1"/>
  <c r="M229" i="9" s="1"/>
  <c r="I229" i="9"/>
  <c r="J229" i="9" s="1"/>
  <c r="K228" i="9"/>
  <c r="L228" i="9" s="1"/>
  <c r="M228" i="9" s="1"/>
  <c r="I228" i="9"/>
  <c r="J228" i="9" s="1"/>
  <c r="K227" i="9"/>
  <c r="L227" i="9" s="1"/>
  <c r="M227" i="9" s="1"/>
  <c r="I227" i="9"/>
  <c r="J227" i="9" s="1"/>
  <c r="K226" i="9"/>
  <c r="L226" i="9" s="1"/>
  <c r="M226" i="9" s="1"/>
  <c r="J226" i="9"/>
  <c r="I226" i="9"/>
  <c r="K225" i="9"/>
  <c r="L225" i="9" s="1"/>
  <c r="M225" i="9" s="1"/>
  <c r="J225" i="9"/>
  <c r="I225" i="9"/>
  <c r="K224" i="9"/>
  <c r="L224" i="9" s="1"/>
  <c r="M224" i="9" s="1"/>
  <c r="I224" i="9"/>
  <c r="J224" i="9" s="1"/>
  <c r="K223" i="9"/>
  <c r="L223" i="9" s="1"/>
  <c r="M223" i="9" s="1"/>
  <c r="J223" i="9"/>
  <c r="I223" i="9"/>
  <c r="L222" i="9"/>
  <c r="M222" i="9" s="1"/>
  <c r="K222" i="9"/>
  <c r="I222" i="9"/>
  <c r="J222" i="9" s="1"/>
  <c r="M221" i="9"/>
  <c r="L221" i="9"/>
  <c r="K221" i="9"/>
  <c r="I221" i="9"/>
  <c r="J221" i="9" s="1"/>
  <c r="K220" i="9"/>
  <c r="L220" i="9" s="1"/>
  <c r="M220" i="9" s="1"/>
  <c r="I220" i="9"/>
  <c r="J220" i="9" s="1"/>
  <c r="K219" i="9"/>
  <c r="L219" i="9" s="1"/>
  <c r="M219" i="9" s="1"/>
  <c r="I219" i="9"/>
  <c r="J219" i="9" s="1"/>
  <c r="K218" i="9"/>
  <c r="L218" i="9" s="1"/>
  <c r="M218" i="9" s="1"/>
  <c r="I218" i="9"/>
  <c r="J218" i="9" s="1"/>
  <c r="K217" i="9"/>
  <c r="L217" i="9" s="1"/>
  <c r="M217" i="9" s="1"/>
  <c r="I217" i="9"/>
  <c r="J217" i="9" s="1"/>
  <c r="N216" i="9"/>
  <c r="K216" i="9"/>
  <c r="L216" i="9" s="1"/>
  <c r="M216" i="9" s="1"/>
  <c r="J216" i="9"/>
  <c r="I216" i="9"/>
  <c r="K215" i="9"/>
  <c r="L215" i="9" s="1"/>
  <c r="M215" i="9" s="1"/>
  <c r="I215" i="9"/>
  <c r="J215" i="9" s="1"/>
  <c r="L214" i="9"/>
  <c r="M214" i="9" s="1"/>
  <c r="K214" i="9"/>
  <c r="I214" i="9"/>
  <c r="J214" i="9" s="1"/>
  <c r="K213" i="9"/>
  <c r="L213" i="9" s="1"/>
  <c r="M213" i="9" s="1"/>
  <c r="J213" i="9"/>
  <c r="I213" i="9"/>
  <c r="K212" i="9"/>
  <c r="L212" i="9" s="1"/>
  <c r="M212" i="9" s="1"/>
  <c r="J212" i="9"/>
  <c r="I212" i="9"/>
  <c r="K211" i="9"/>
  <c r="L211" i="9" s="1"/>
  <c r="M211" i="9" s="1"/>
  <c r="J211" i="9"/>
  <c r="I211" i="9"/>
  <c r="K210" i="9"/>
  <c r="L210" i="9" s="1"/>
  <c r="M210" i="9" s="1"/>
  <c r="I210" i="9"/>
  <c r="J210" i="9" s="1"/>
  <c r="L209" i="9"/>
  <c r="M209" i="9" s="1"/>
  <c r="K209" i="9"/>
  <c r="I209" i="9"/>
  <c r="J209" i="9" s="1"/>
  <c r="K208" i="9"/>
  <c r="L208" i="9" s="1"/>
  <c r="M208" i="9" s="1"/>
  <c r="I208" i="9"/>
  <c r="J208" i="9" s="1"/>
  <c r="K207" i="9"/>
  <c r="L207" i="9" s="1"/>
  <c r="M207" i="9" s="1"/>
  <c r="I207" i="9"/>
  <c r="J207" i="9" s="1"/>
  <c r="L206" i="9"/>
  <c r="M206" i="9" s="1"/>
  <c r="K206" i="9"/>
  <c r="I206" i="9"/>
  <c r="J206" i="9" s="1"/>
  <c r="M205" i="9"/>
  <c r="L205" i="9"/>
  <c r="K205" i="9"/>
  <c r="J205" i="9"/>
  <c r="I205" i="9"/>
  <c r="K204" i="9"/>
  <c r="L204" i="9" s="1"/>
  <c r="M204" i="9" s="1"/>
  <c r="I204" i="9"/>
  <c r="J204" i="9" s="1"/>
  <c r="K203" i="9"/>
  <c r="L203" i="9" s="1"/>
  <c r="M203" i="9" s="1"/>
  <c r="I203" i="9"/>
  <c r="J203" i="9" s="1"/>
  <c r="L202" i="9"/>
  <c r="M202" i="9" s="1"/>
  <c r="K202" i="9"/>
  <c r="I202" i="9"/>
  <c r="J202" i="9" s="1"/>
  <c r="M201" i="9"/>
  <c r="L201" i="9"/>
  <c r="K201" i="9"/>
  <c r="J201" i="9"/>
  <c r="I201" i="9"/>
  <c r="K200" i="9"/>
  <c r="L200" i="9" s="1"/>
  <c r="M200" i="9" s="1"/>
  <c r="J200" i="9"/>
  <c r="I200" i="9"/>
  <c r="K199" i="9"/>
  <c r="L199" i="9" s="1"/>
  <c r="M199" i="9" s="1"/>
  <c r="I199" i="9"/>
  <c r="J199" i="9" s="1"/>
  <c r="L198" i="9"/>
  <c r="M198" i="9" s="1"/>
  <c r="K198" i="9"/>
  <c r="I198" i="9"/>
  <c r="J198" i="9" s="1"/>
  <c r="K197" i="9"/>
  <c r="L197" i="9" s="1"/>
  <c r="M197" i="9" s="1"/>
  <c r="J197" i="9"/>
  <c r="I197" i="9"/>
  <c r="K196" i="9"/>
  <c r="L196" i="9" s="1"/>
  <c r="M196" i="9" s="1"/>
  <c r="I196" i="9"/>
  <c r="J196" i="9" s="1"/>
  <c r="K195" i="9"/>
  <c r="L195" i="9" s="1"/>
  <c r="M195" i="9" s="1"/>
  <c r="I195" i="9"/>
  <c r="J195" i="9" s="1"/>
  <c r="K194" i="9"/>
  <c r="L194" i="9" s="1"/>
  <c r="M194" i="9" s="1"/>
  <c r="I194" i="9"/>
  <c r="J194" i="9" s="1"/>
  <c r="L193" i="9"/>
  <c r="M193" i="9" s="1"/>
  <c r="K193" i="9"/>
  <c r="I193" i="9"/>
  <c r="J193" i="9" s="1"/>
  <c r="L192" i="9"/>
  <c r="M192" i="9" s="1"/>
  <c r="K192" i="9"/>
  <c r="J192" i="9"/>
  <c r="I192" i="9"/>
  <c r="L191" i="9"/>
  <c r="M191" i="9" s="1"/>
  <c r="K191" i="9"/>
  <c r="J191" i="9"/>
  <c r="I191" i="9"/>
  <c r="L190" i="9"/>
  <c r="M190" i="9" s="1"/>
  <c r="K190" i="9"/>
  <c r="J190" i="9"/>
  <c r="I190" i="9"/>
  <c r="M189" i="9"/>
  <c r="L189" i="9"/>
  <c r="K189" i="9"/>
  <c r="I189" i="9"/>
  <c r="J189" i="9" s="1"/>
  <c r="K188" i="9"/>
  <c r="L188" i="9" s="1"/>
  <c r="M188" i="9" s="1"/>
  <c r="J188" i="9"/>
  <c r="I188" i="9"/>
  <c r="K187" i="9"/>
  <c r="L187" i="9" s="1"/>
  <c r="M187" i="9" s="1"/>
  <c r="J187" i="9"/>
  <c r="I187" i="9"/>
  <c r="L186" i="9"/>
  <c r="M186" i="9" s="1"/>
  <c r="K186" i="9"/>
  <c r="I186" i="9"/>
  <c r="J186" i="9" s="1"/>
  <c r="M185" i="9"/>
  <c r="L185" i="9"/>
  <c r="K185" i="9"/>
  <c r="I185" i="9"/>
  <c r="J185" i="9" s="1"/>
  <c r="K184" i="9"/>
  <c r="L184" i="9" s="1"/>
  <c r="M184" i="9" s="1"/>
  <c r="J184" i="9"/>
  <c r="I184" i="9"/>
  <c r="M183" i="9"/>
  <c r="K183" i="9"/>
  <c r="L183" i="9" s="1"/>
  <c r="J183" i="9"/>
  <c r="I183" i="9"/>
  <c r="L182" i="9"/>
  <c r="M182" i="9" s="1"/>
  <c r="K182" i="9"/>
  <c r="I182" i="9"/>
  <c r="J182" i="9" s="1"/>
  <c r="M181" i="9"/>
  <c r="L181" i="9"/>
  <c r="K181" i="9"/>
  <c r="I181" i="9"/>
  <c r="J181" i="9" s="1"/>
  <c r="K180" i="9"/>
  <c r="L180" i="9" s="1"/>
  <c r="M180" i="9" s="1"/>
  <c r="J180" i="9"/>
  <c r="I180" i="9"/>
  <c r="L179" i="9"/>
  <c r="M179" i="9" s="1"/>
  <c r="K179" i="9"/>
  <c r="J179" i="9"/>
  <c r="I179" i="9"/>
  <c r="L178" i="9"/>
  <c r="M178" i="9" s="1"/>
  <c r="K178" i="9"/>
  <c r="I178" i="9"/>
  <c r="J178" i="9" s="1"/>
  <c r="M177" i="9"/>
  <c r="L177" i="9"/>
  <c r="K177" i="9"/>
  <c r="I177" i="9"/>
  <c r="J177" i="9" s="1"/>
  <c r="K176" i="9"/>
  <c r="L176" i="9" s="1"/>
  <c r="M176" i="9" s="1"/>
  <c r="J176" i="9"/>
  <c r="I176" i="9"/>
  <c r="M175" i="9"/>
  <c r="L175" i="9"/>
  <c r="K175" i="9"/>
  <c r="I175" i="9"/>
  <c r="J175" i="9" s="1"/>
  <c r="K174" i="9"/>
  <c r="L174" i="9" s="1"/>
  <c r="M174" i="9" s="1"/>
  <c r="J174" i="9"/>
  <c r="I174" i="9"/>
  <c r="M173" i="9"/>
  <c r="L173" i="9"/>
  <c r="K173" i="9"/>
  <c r="I173" i="9"/>
  <c r="J173" i="9" s="1"/>
  <c r="K172" i="9"/>
  <c r="L172" i="9" s="1"/>
  <c r="M172" i="9" s="1"/>
  <c r="J172" i="9"/>
  <c r="I172" i="9"/>
  <c r="K171" i="9"/>
  <c r="L171" i="9" s="1"/>
  <c r="M171" i="9" s="1"/>
  <c r="J171" i="9"/>
  <c r="I171" i="9"/>
  <c r="K170" i="9"/>
  <c r="L170" i="9" s="1"/>
  <c r="M170" i="9" s="1"/>
  <c r="I170" i="9"/>
  <c r="J170" i="9" s="1"/>
  <c r="K169" i="9"/>
  <c r="L169" i="9" s="1"/>
  <c r="M169" i="9" s="1"/>
  <c r="I169" i="9"/>
  <c r="J169" i="9" s="1"/>
  <c r="M168" i="9"/>
  <c r="L168" i="9"/>
  <c r="K168" i="9"/>
  <c r="J168" i="9"/>
  <c r="I168" i="9"/>
  <c r="L167" i="9"/>
  <c r="M167" i="9" s="1"/>
  <c r="K167" i="9"/>
  <c r="I167" i="9"/>
  <c r="J167" i="9" s="1"/>
  <c r="K166" i="9"/>
  <c r="L166" i="9" s="1"/>
  <c r="M166" i="9" s="1"/>
  <c r="J166" i="9"/>
  <c r="I166" i="9"/>
  <c r="K165" i="9"/>
  <c r="L165" i="9" s="1"/>
  <c r="M165" i="9" s="1"/>
  <c r="I165" i="9"/>
  <c r="J165" i="9" s="1"/>
  <c r="M164" i="9"/>
  <c r="L164" i="9"/>
  <c r="K164" i="9"/>
  <c r="J164" i="9"/>
  <c r="I164" i="9"/>
  <c r="N163" i="9"/>
  <c r="L163" i="9"/>
  <c r="M163" i="9" s="1"/>
  <c r="K163" i="9"/>
  <c r="I163" i="9"/>
  <c r="J163" i="9" s="1"/>
  <c r="K162" i="9"/>
  <c r="L162" i="9" s="1"/>
  <c r="M162" i="9" s="1"/>
  <c r="I162" i="9"/>
  <c r="J162" i="9" s="1"/>
  <c r="M161" i="9"/>
  <c r="K161" i="9"/>
  <c r="L161" i="9" s="1"/>
  <c r="I161" i="9"/>
  <c r="J161" i="9" s="1"/>
  <c r="K160" i="9"/>
  <c r="L160" i="9" s="1"/>
  <c r="M160" i="9" s="1"/>
  <c r="J160" i="9"/>
  <c r="I160" i="9"/>
  <c r="M159" i="9"/>
  <c r="L159" i="9"/>
  <c r="K159" i="9"/>
  <c r="J159" i="9"/>
  <c r="I159" i="9"/>
  <c r="N158" i="9"/>
  <c r="K158" i="9"/>
  <c r="L158" i="9" s="1"/>
  <c r="M158" i="9" s="1"/>
  <c r="J158" i="9"/>
  <c r="I158" i="9"/>
  <c r="M157" i="9"/>
  <c r="K157" i="9"/>
  <c r="L157" i="9" s="1"/>
  <c r="I157" i="9"/>
  <c r="J157" i="9" s="1"/>
  <c r="N156" i="9"/>
  <c r="K156" i="9"/>
  <c r="L156" i="9" s="1"/>
  <c r="M156" i="9" s="1"/>
  <c r="J156" i="9"/>
  <c r="I156" i="9"/>
  <c r="K155" i="9"/>
  <c r="L155" i="9" s="1"/>
  <c r="M155" i="9" s="1"/>
  <c r="J155" i="9"/>
  <c r="I155" i="9"/>
  <c r="L154" i="9"/>
  <c r="M154" i="9" s="1"/>
  <c r="K154" i="9"/>
  <c r="J154" i="9"/>
  <c r="I154" i="9"/>
  <c r="K153" i="9"/>
  <c r="L153" i="9" s="1"/>
  <c r="M153" i="9" s="1"/>
  <c r="I153" i="9"/>
  <c r="J153" i="9" s="1"/>
  <c r="K152" i="9"/>
  <c r="L152" i="9" s="1"/>
  <c r="M152" i="9" s="1"/>
  <c r="J152" i="9"/>
  <c r="I152" i="9"/>
  <c r="L151" i="9"/>
  <c r="M151" i="9" s="1"/>
  <c r="K151" i="9"/>
  <c r="J151" i="9"/>
  <c r="I151" i="9"/>
  <c r="L150" i="9"/>
  <c r="M150" i="9" s="1"/>
  <c r="K150" i="9"/>
  <c r="I150" i="9"/>
  <c r="J150" i="9" s="1"/>
  <c r="K149" i="9"/>
  <c r="L149" i="9" s="1"/>
  <c r="M149" i="9" s="1"/>
  <c r="I149" i="9"/>
  <c r="J149" i="9" s="1"/>
  <c r="N148" i="9"/>
  <c r="M148" i="9"/>
  <c r="L148" i="9"/>
  <c r="K148" i="9"/>
  <c r="I148" i="9"/>
  <c r="J148" i="9" s="1"/>
  <c r="K147" i="9"/>
  <c r="L147" i="9" s="1"/>
  <c r="M147" i="9" s="1"/>
  <c r="I147" i="9"/>
  <c r="J147" i="9" s="1"/>
  <c r="K146" i="9"/>
  <c r="L146" i="9" s="1"/>
  <c r="M146" i="9" s="1"/>
  <c r="I146" i="9"/>
  <c r="J146" i="9" s="1"/>
  <c r="M145" i="9"/>
  <c r="L145" i="9"/>
  <c r="K145" i="9"/>
  <c r="I145" i="9"/>
  <c r="J145" i="9" s="1"/>
  <c r="K144" i="9"/>
  <c r="L144" i="9" s="1"/>
  <c r="M144" i="9" s="1"/>
  <c r="J144" i="9"/>
  <c r="I144" i="9"/>
  <c r="K143" i="9"/>
  <c r="L143" i="9" s="1"/>
  <c r="M143" i="9" s="1"/>
  <c r="J143" i="9"/>
  <c r="I143" i="9"/>
  <c r="L142" i="9"/>
  <c r="M142" i="9" s="1"/>
  <c r="K142" i="9"/>
  <c r="I142" i="9"/>
  <c r="J142" i="9" s="1"/>
  <c r="K141" i="9"/>
  <c r="L141" i="9" s="1"/>
  <c r="M141" i="9" s="1"/>
  <c r="I141" i="9"/>
  <c r="J141" i="9" s="1"/>
  <c r="L140" i="9"/>
  <c r="M140" i="9" s="1"/>
  <c r="K140" i="9"/>
  <c r="J140" i="9"/>
  <c r="I140" i="9"/>
  <c r="K139" i="9"/>
  <c r="L139" i="9" s="1"/>
  <c r="M139" i="9" s="1"/>
  <c r="I139" i="9"/>
  <c r="J139" i="9" s="1"/>
  <c r="M138" i="9"/>
  <c r="L138" i="9"/>
  <c r="K138" i="9"/>
  <c r="J138" i="9"/>
  <c r="I138" i="9"/>
  <c r="K137" i="9"/>
  <c r="L137" i="9" s="1"/>
  <c r="M137" i="9" s="1"/>
  <c r="J137" i="9"/>
  <c r="I137" i="9"/>
  <c r="L136" i="9"/>
  <c r="M136" i="9" s="1"/>
  <c r="K136" i="9"/>
  <c r="J136" i="9"/>
  <c r="I136" i="9"/>
  <c r="K135" i="9"/>
  <c r="L135" i="9" s="1"/>
  <c r="M135" i="9" s="1"/>
  <c r="I135" i="9"/>
  <c r="J135" i="9" s="1"/>
  <c r="N134" i="9"/>
  <c r="M134" i="9"/>
  <c r="L134" i="9"/>
  <c r="K134" i="9"/>
  <c r="J134" i="9"/>
  <c r="I134" i="9"/>
  <c r="K133" i="9"/>
  <c r="L133" i="9" s="1"/>
  <c r="M133" i="9" s="1"/>
  <c r="I133" i="9"/>
  <c r="J133" i="9" s="1"/>
  <c r="L132" i="9"/>
  <c r="M132" i="9" s="1"/>
  <c r="K132" i="9"/>
  <c r="J132" i="9"/>
  <c r="I132" i="9"/>
  <c r="K131" i="9"/>
  <c r="L131" i="9" s="1"/>
  <c r="M131" i="9" s="1"/>
  <c r="I131" i="9"/>
  <c r="J131" i="9" s="1"/>
  <c r="M130" i="9"/>
  <c r="L130" i="9"/>
  <c r="K130" i="9"/>
  <c r="I130" i="9"/>
  <c r="J130" i="9" s="1"/>
  <c r="K129" i="9"/>
  <c r="L129" i="9" s="1"/>
  <c r="M129" i="9" s="1"/>
  <c r="I129" i="9"/>
  <c r="J129" i="9" s="1"/>
  <c r="K128" i="9"/>
  <c r="L128" i="9" s="1"/>
  <c r="M128" i="9" s="1"/>
  <c r="J128" i="9"/>
  <c r="I128" i="9"/>
  <c r="K127" i="9"/>
  <c r="L127" i="9" s="1"/>
  <c r="M127" i="9" s="1"/>
  <c r="I127" i="9"/>
  <c r="J127" i="9" s="1"/>
  <c r="M126" i="9"/>
  <c r="L126" i="9"/>
  <c r="K126" i="9"/>
  <c r="I126" i="9"/>
  <c r="J126" i="9" s="1"/>
  <c r="K125" i="9"/>
  <c r="L125" i="9" s="1"/>
  <c r="M125" i="9" s="1"/>
  <c r="I125" i="9"/>
  <c r="J125" i="9" s="1"/>
  <c r="L124" i="9"/>
  <c r="M124" i="9" s="1"/>
  <c r="K124" i="9"/>
  <c r="I124" i="9"/>
  <c r="J124" i="9" s="1"/>
  <c r="K123" i="9"/>
  <c r="L123" i="9" s="1"/>
  <c r="M123" i="9" s="1"/>
  <c r="I123" i="9"/>
  <c r="J123" i="9" s="1"/>
  <c r="K122" i="9"/>
  <c r="L122" i="9" s="1"/>
  <c r="M122" i="9" s="1"/>
  <c r="I122" i="9"/>
  <c r="J122" i="9" s="1"/>
  <c r="K121" i="9"/>
  <c r="L121" i="9" s="1"/>
  <c r="M121" i="9" s="1"/>
  <c r="I121" i="9"/>
  <c r="J121" i="9" s="1"/>
  <c r="K120" i="9"/>
  <c r="L120" i="9" s="1"/>
  <c r="M120" i="9" s="1"/>
  <c r="I120" i="9"/>
  <c r="J120" i="9" s="1"/>
  <c r="K119" i="9"/>
  <c r="L119" i="9" s="1"/>
  <c r="M119" i="9" s="1"/>
  <c r="I119" i="9"/>
  <c r="J119" i="9" s="1"/>
  <c r="L118" i="9"/>
  <c r="M118" i="9" s="1"/>
  <c r="K118" i="9"/>
  <c r="J118" i="9"/>
  <c r="I118" i="9"/>
  <c r="N117" i="9"/>
  <c r="L117" i="9"/>
  <c r="M117" i="9" s="1"/>
  <c r="K117" i="9"/>
  <c r="I117" i="9"/>
  <c r="J117" i="9" s="1"/>
  <c r="L116" i="9"/>
  <c r="M116" i="9" s="1"/>
  <c r="K116" i="9"/>
  <c r="I116" i="9"/>
  <c r="J116" i="9" s="1"/>
  <c r="K115" i="9"/>
  <c r="L115" i="9" s="1"/>
  <c r="M115" i="9" s="1"/>
  <c r="I115" i="9"/>
  <c r="J115" i="9" s="1"/>
  <c r="L114" i="9"/>
  <c r="M114" i="9" s="1"/>
  <c r="K114" i="9"/>
  <c r="J114" i="9"/>
  <c r="I114" i="9"/>
  <c r="K113" i="9"/>
  <c r="L113" i="9" s="1"/>
  <c r="M113" i="9" s="1"/>
  <c r="J113" i="9"/>
  <c r="I113" i="9"/>
  <c r="L112" i="9"/>
  <c r="M112" i="9" s="1"/>
  <c r="K112" i="9"/>
  <c r="J112" i="9"/>
  <c r="I112" i="9"/>
  <c r="K111" i="9"/>
  <c r="L111" i="9" s="1"/>
  <c r="M111" i="9" s="1"/>
  <c r="I111" i="9"/>
  <c r="J111" i="9" s="1"/>
  <c r="K110" i="9"/>
  <c r="L110" i="9" s="1"/>
  <c r="M110" i="9" s="1"/>
  <c r="J110" i="9"/>
  <c r="I110" i="9"/>
  <c r="K109" i="9"/>
  <c r="L109" i="9" s="1"/>
  <c r="M109" i="9" s="1"/>
  <c r="I109" i="9"/>
  <c r="J109" i="9" s="1"/>
  <c r="L108" i="9"/>
  <c r="M108" i="9" s="1"/>
  <c r="K108" i="9"/>
  <c r="I108" i="9"/>
  <c r="J108" i="9" s="1"/>
  <c r="N107" i="9"/>
  <c r="K107" i="9"/>
  <c r="L107" i="9" s="1"/>
  <c r="M107" i="9" s="1"/>
  <c r="I107" i="9"/>
  <c r="J107" i="9" s="1"/>
  <c r="K106" i="9"/>
  <c r="L106" i="9" s="1"/>
  <c r="M106" i="9" s="1"/>
  <c r="J106" i="9"/>
  <c r="I106" i="9"/>
  <c r="N105" i="9"/>
  <c r="L105" i="9"/>
  <c r="M105" i="9" s="1"/>
  <c r="K105" i="9"/>
  <c r="J105" i="9"/>
  <c r="I105" i="9"/>
  <c r="K104" i="9"/>
  <c r="L104" i="9" s="1"/>
  <c r="M104" i="9" s="1"/>
  <c r="J104" i="9"/>
  <c r="I104" i="9"/>
  <c r="K103" i="9"/>
  <c r="L103" i="9" s="1"/>
  <c r="M103" i="9" s="1"/>
  <c r="I103" i="9"/>
  <c r="J103" i="9" s="1"/>
  <c r="K102" i="9"/>
  <c r="L102" i="9" s="1"/>
  <c r="M102" i="9" s="1"/>
  <c r="I102" i="9"/>
  <c r="J102" i="9" s="1"/>
  <c r="K101" i="9"/>
  <c r="L101" i="9" s="1"/>
  <c r="M101" i="9" s="1"/>
  <c r="I101" i="9"/>
  <c r="J101" i="9" s="1"/>
  <c r="L100" i="9"/>
  <c r="M100" i="9" s="1"/>
  <c r="K100" i="9"/>
  <c r="J100" i="9"/>
  <c r="I100" i="9"/>
  <c r="K99" i="9"/>
  <c r="L99" i="9" s="1"/>
  <c r="M99" i="9" s="1"/>
  <c r="I99" i="9"/>
  <c r="J99" i="9" s="1"/>
  <c r="M98" i="9"/>
  <c r="L98" i="9"/>
  <c r="K98" i="9"/>
  <c r="J98" i="9"/>
  <c r="I98" i="9"/>
  <c r="K97" i="9"/>
  <c r="L97" i="9" s="1"/>
  <c r="M97" i="9" s="1"/>
  <c r="I97" i="9"/>
  <c r="J97" i="9" s="1"/>
  <c r="K96" i="9"/>
  <c r="L96" i="9" s="1"/>
  <c r="M96" i="9" s="1"/>
  <c r="J96" i="9"/>
  <c r="I96" i="9"/>
  <c r="N95" i="9"/>
  <c r="K95" i="9"/>
  <c r="L95" i="9" s="1"/>
  <c r="M95" i="9" s="1"/>
  <c r="I95" i="9"/>
  <c r="J95" i="9" s="1"/>
  <c r="K94" i="9"/>
  <c r="L94" i="9" s="1"/>
  <c r="M94" i="9" s="1"/>
  <c r="J94" i="9"/>
  <c r="I94" i="9"/>
  <c r="M93" i="9"/>
  <c r="L93" i="9"/>
  <c r="K93" i="9"/>
  <c r="I93" i="9"/>
  <c r="J93" i="9" s="1"/>
  <c r="L92" i="9"/>
  <c r="M92" i="9" s="1"/>
  <c r="K92" i="9"/>
  <c r="J92" i="9"/>
  <c r="I92" i="9"/>
  <c r="K91" i="9"/>
  <c r="L91" i="9" s="1"/>
  <c r="M91" i="9" s="1"/>
  <c r="I91" i="9"/>
  <c r="J91" i="9" s="1"/>
  <c r="M90" i="9"/>
  <c r="K90" i="9"/>
  <c r="L90" i="9" s="1"/>
  <c r="J90" i="9"/>
  <c r="I90" i="9"/>
  <c r="K89" i="9"/>
  <c r="L89" i="9" s="1"/>
  <c r="M89" i="9" s="1"/>
  <c r="I89" i="9"/>
  <c r="J89" i="9" s="1"/>
  <c r="K88" i="9"/>
  <c r="L88" i="9" s="1"/>
  <c r="M88" i="9" s="1"/>
  <c r="I88" i="9"/>
  <c r="J88" i="9" s="1"/>
  <c r="N87" i="9"/>
  <c r="K87" i="9"/>
  <c r="L87" i="9" s="1"/>
  <c r="M87" i="9" s="1"/>
  <c r="I87" i="9"/>
  <c r="J87" i="9" s="1"/>
  <c r="K86" i="9"/>
  <c r="L86" i="9" s="1"/>
  <c r="M86" i="9" s="1"/>
  <c r="I86" i="9"/>
  <c r="J86" i="9" s="1"/>
  <c r="K85" i="9"/>
  <c r="L85" i="9" s="1"/>
  <c r="M85" i="9" s="1"/>
  <c r="I85" i="9"/>
  <c r="J85" i="9" s="1"/>
  <c r="L84" i="9"/>
  <c r="M84" i="9" s="1"/>
  <c r="K84" i="9"/>
  <c r="I84" i="9"/>
  <c r="J84" i="9" s="1"/>
  <c r="K83" i="9"/>
  <c r="L83" i="9" s="1"/>
  <c r="M83" i="9" s="1"/>
  <c r="I83" i="9"/>
  <c r="J83" i="9" s="1"/>
  <c r="L82" i="9"/>
  <c r="M82" i="9" s="1"/>
  <c r="K82" i="9"/>
  <c r="I82" i="9"/>
  <c r="J82" i="9" s="1"/>
  <c r="K81" i="9"/>
  <c r="L81" i="9" s="1"/>
  <c r="M81" i="9" s="1"/>
  <c r="J81" i="9"/>
  <c r="I81" i="9"/>
  <c r="N80" i="9"/>
  <c r="K80" i="9"/>
  <c r="L80" i="9" s="1"/>
  <c r="M80" i="9" s="1"/>
  <c r="I80" i="9"/>
  <c r="J80" i="9" s="1"/>
  <c r="K79" i="9"/>
  <c r="L79" i="9" s="1"/>
  <c r="M79" i="9" s="1"/>
  <c r="I79" i="9"/>
  <c r="J79" i="9" s="1"/>
  <c r="N78" i="9"/>
  <c r="L78" i="9"/>
  <c r="M78" i="9" s="1"/>
  <c r="K78" i="9"/>
  <c r="I78" i="9"/>
  <c r="J78" i="9" s="1"/>
  <c r="K77" i="9"/>
  <c r="L77" i="9" s="1"/>
  <c r="M77" i="9" s="1"/>
  <c r="I77" i="9"/>
  <c r="J77" i="9" s="1"/>
  <c r="L76" i="9"/>
  <c r="M76" i="9" s="1"/>
  <c r="K76" i="9"/>
  <c r="I76" i="9"/>
  <c r="J76" i="9" s="1"/>
  <c r="N75" i="9"/>
  <c r="L75" i="9"/>
  <c r="M75" i="9" s="1"/>
  <c r="K75" i="9"/>
  <c r="I75" i="9"/>
  <c r="J75" i="9" s="1"/>
  <c r="K74" i="9"/>
  <c r="L74" i="9" s="1"/>
  <c r="M74" i="9" s="1"/>
  <c r="J74" i="9"/>
  <c r="I74" i="9"/>
  <c r="K73" i="9"/>
  <c r="L73" i="9" s="1"/>
  <c r="M73" i="9" s="1"/>
  <c r="J73" i="9"/>
  <c r="I73" i="9"/>
  <c r="N72" i="9"/>
  <c r="L72" i="9"/>
  <c r="M72" i="9" s="1"/>
  <c r="K72" i="9"/>
  <c r="J72" i="9"/>
  <c r="I72" i="9"/>
  <c r="K71" i="9"/>
  <c r="L71" i="9" s="1"/>
  <c r="M71" i="9" s="1"/>
  <c r="I71" i="9"/>
  <c r="J71" i="9" s="1"/>
  <c r="K70" i="9"/>
  <c r="L70" i="9" s="1"/>
  <c r="M70" i="9" s="1"/>
  <c r="J70" i="9"/>
  <c r="I70" i="9"/>
  <c r="K69" i="9"/>
  <c r="L69" i="9" s="1"/>
  <c r="M69" i="9" s="1"/>
  <c r="J69" i="9"/>
  <c r="I69" i="9"/>
  <c r="N68" i="9"/>
  <c r="K68" i="9"/>
  <c r="L68" i="9" s="1"/>
  <c r="M68" i="9" s="1"/>
  <c r="J68" i="9"/>
  <c r="I68" i="9"/>
  <c r="K67" i="9"/>
  <c r="L67" i="9" s="1"/>
  <c r="M67" i="9" s="1"/>
  <c r="I67" i="9"/>
  <c r="J67" i="9" s="1"/>
  <c r="K66" i="9"/>
  <c r="L66" i="9" s="1"/>
  <c r="M66" i="9" s="1"/>
  <c r="J66" i="9"/>
  <c r="I66" i="9"/>
  <c r="K65" i="9"/>
  <c r="L65" i="9" s="1"/>
  <c r="M65" i="9" s="1"/>
  <c r="J65" i="9"/>
  <c r="I65" i="9"/>
  <c r="N64" i="9"/>
  <c r="K64" i="9"/>
  <c r="L64" i="9" s="1"/>
  <c r="M64" i="9" s="1"/>
  <c r="J64" i="9"/>
  <c r="I64" i="9"/>
  <c r="K63" i="9"/>
  <c r="L63" i="9" s="1"/>
  <c r="M63" i="9" s="1"/>
  <c r="I63" i="9"/>
  <c r="J63" i="9" s="1"/>
  <c r="K62" i="9"/>
  <c r="L62" i="9" s="1"/>
  <c r="M62" i="9" s="1"/>
  <c r="J62" i="9"/>
  <c r="I62" i="9"/>
  <c r="K61" i="9"/>
  <c r="L61" i="9" s="1"/>
  <c r="M61" i="9" s="1"/>
  <c r="J61" i="9"/>
  <c r="I61" i="9"/>
  <c r="N60" i="9"/>
  <c r="K60" i="9"/>
  <c r="L60" i="9" s="1"/>
  <c r="M60" i="9" s="1"/>
  <c r="J60" i="9"/>
  <c r="I60" i="9"/>
  <c r="K59" i="9"/>
  <c r="L59" i="9" s="1"/>
  <c r="M59" i="9" s="1"/>
  <c r="I59" i="9"/>
  <c r="J59" i="9" s="1"/>
  <c r="K58" i="9"/>
  <c r="L58" i="9" s="1"/>
  <c r="M58" i="9" s="1"/>
  <c r="J58" i="9"/>
  <c r="I58" i="9"/>
  <c r="K57" i="9"/>
  <c r="L57" i="9" s="1"/>
  <c r="M57" i="9" s="1"/>
  <c r="J57" i="9"/>
  <c r="I57" i="9"/>
  <c r="N56" i="9"/>
  <c r="K56" i="9"/>
  <c r="L56" i="9" s="1"/>
  <c r="M56" i="9" s="1"/>
  <c r="J56" i="9"/>
  <c r="I56" i="9"/>
  <c r="K55" i="9"/>
  <c r="L55" i="9" s="1"/>
  <c r="M55" i="9" s="1"/>
  <c r="I55" i="9"/>
  <c r="J55" i="9" s="1"/>
  <c r="K54" i="9"/>
  <c r="L54" i="9" s="1"/>
  <c r="M54" i="9" s="1"/>
  <c r="J54" i="9"/>
  <c r="I54" i="9"/>
  <c r="K53" i="9"/>
  <c r="L53" i="9" s="1"/>
  <c r="M53" i="9" s="1"/>
  <c r="J53" i="9"/>
  <c r="I53" i="9"/>
  <c r="N52" i="9"/>
  <c r="K52" i="9"/>
  <c r="L52" i="9" s="1"/>
  <c r="M52" i="9" s="1"/>
  <c r="J52" i="9"/>
  <c r="I52" i="9"/>
  <c r="K51" i="9"/>
  <c r="L51" i="9" s="1"/>
  <c r="M51" i="9" s="1"/>
  <c r="I51" i="9"/>
  <c r="J51" i="9" s="1"/>
  <c r="K50" i="9"/>
  <c r="L50" i="9" s="1"/>
  <c r="M50" i="9" s="1"/>
  <c r="J50" i="9"/>
  <c r="I50" i="9"/>
  <c r="K49" i="9"/>
  <c r="L49" i="9" s="1"/>
  <c r="M49" i="9" s="1"/>
  <c r="J49" i="9"/>
  <c r="I49" i="9"/>
  <c r="N48" i="9"/>
  <c r="K48" i="9"/>
  <c r="L48" i="9" s="1"/>
  <c r="M48" i="9" s="1"/>
  <c r="J48" i="9"/>
  <c r="I48" i="9"/>
  <c r="K47" i="9"/>
  <c r="L47" i="9" s="1"/>
  <c r="M47" i="9" s="1"/>
  <c r="I47" i="9"/>
  <c r="J47" i="9" s="1"/>
  <c r="K46" i="9"/>
  <c r="L46" i="9" s="1"/>
  <c r="M46" i="9" s="1"/>
  <c r="J46" i="9"/>
  <c r="I46" i="9"/>
  <c r="K45" i="9"/>
  <c r="L45" i="9" s="1"/>
  <c r="M45" i="9" s="1"/>
  <c r="J45" i="9"/>
  <c r="I45" i="9"/>
  <c r="N44" i="9"/>
  <c r="K44" i="9"/>
  <c r="L44" i="9" s="1"/>
  <c r="M44" i="9" s="1"/>
  <c r="J44" i="9"/>
  <c r="I44" i="9"/>
  <c r="K43" i="9"/>
  <c r="L43" i="9" s="1"/>
  <c r="M43" i="9" s="1"/>
  <c r="J43" i="9"/>
  <c r="I43" i="9"/>
  <c r="K42" i="9"/>
  <c r="L42" i="9" s="1"/>
  <c r="M42" i="9" s="1"/>
  <c r="J42" i="9"/>
  <c r="I42" i="9"/>
  <c r="K41" i="9"/>
  <c r="L41" i="9" s="1"/>
  <c r="M41" i="9" s="1"/>
  <c r="J41" i="9"/>
  <c r="I41" i="9"/>
  <c r="N40" i="9"/>
  <c r="K40" i="9"/>
  <c r="L40" i="9" s="1"/>
  <c r="M40" i="9" s="1"/>
  <c r="J40" i="9"/>
  <c r="I40" i="9"/>
  <c r="K39" i="9"/>
  <c r="L39" i="9" s="1"/>
  <c r="M39" i="9" s="1"/>
  <c r="J39" i="9"/>
  <c r="I39" i="9"/>
  <c r="K38" i="9"/>
  <c r="L38" i="9" s="1"/>
  <c r="M38" i="9" s="1"/>
  <c r="J38" i="9"/>
  <c r="I38" i="9"/>
  <c r="K37" i="9"/>
  <c r="L37" i="9" s="1"/>
  <c r="M37" i="9" s="1"/>
  <c r="J37" i="9"/>
  <c r="I37" i="9"/>
  <c r="N36" i="9"/>
  <c r="K36" i="9"/>
  <c r="L36" i="9" s="1"/>
  <c r="M36" i="9" s="1"/>
  <c r="J36" i="9"/>
  <c r="I36" i="9"/>
  <c r="K35" i="9"/>
  <c r="L35" i="9" s="1"/>
  <c r="M35" i="9" s="1"/>
  <c r="J35" i="9"/>
  <c r="I35" i="9"/>
  <c r="K34" i="9"/>
  <c r="L34" i="9" s="1"/>
  <c r="M34" i="9" s="1"/>
  <c r="J34" i="9"/>
  <c r="I34" i="9"/>
  <c r="K33" i="9"/>
  <c r="L33" i="9" s="1"/>
  <c r="M33" i="9" s="1"/>
  <c r="J33" i="9"/>
  <c r="I33" i="9"/>
  <c r="N32" i="9"/>
  <c r="K32" i="9"/>
  <c r="L32" i="9" s="1"/>
  <c r="M32" i="9" s="1"/>
  <c r="J32" i="9"/>
  <c r="I32" i="9"/>
  <c r="M31" i="9"/>
  <c r="K31" i="9"/>
  <c r="L31" i="9" s="1"/>
  <c r="J31" i="9"/>
  <c r="I31" i="9"/>
  <c r="K30" i="9"/>
  <c r="L30" i="9" s="1"/>
  <c r="M30" i="9" s="1"/>
  <c r="J30" i="9"/>
  <c r="I30" i="9"/>
  <c r="K29" i="9"/>
  <c r="L29" i="9" s="1"/>
  <c r="M29" i="9" s="1"/>
  <c r="J29" i="9"/>
  <c r="I29" i="9"/>
  <c r="N28" i="9"/>
  <c r="K28" i="9"/>
  <c r="L28" i="9" s="1"/>
  <c r="M28" i="9" s="1"/>
  <c r="J28" i="9"/>
  <c r="I28" i="9"/>
  <c r="M27" i="9"/>
  <c r="K27" i="9"/>
  <c r="L27" i="9" s="1"/>
  <c r="J27" i="9"/>
  <c r="I27" i="9"/>
  <c r="K26" i="9"/>
  <c r="L26" i="9" s="1"/>
  <c r="M26" i="9" s="1"/>
  <c r="J26" i="9"/>
  <c r="I26" i="9"/>
  <c r="K25" i="9"/>
  <c r="L25" i="9" s="1"/>
  <c r="M25" i="9" s="1"/>
  <c r="J25" i="9"/>
  <c r="I25" i="9"/>
  <c r="N24" i="9"/>
  <c r="K24" i="9"/>
  <c r="L24" i="9" s="1"/>
  <c r="M24" i="9" s="1"/>
  <c r="J24" i="9"/>
  <c r="I24" i="9"/>
  <c r="K23" i="9"/>
  <c r="L23" i="9" s="1"/>
  <c r="M23" i="9" s="1"/>
  <c r="J23" i="9"/>
  <c r="I23" i="9"/>
  <c r="K22" i="9"/>
  <c r="L22" i="9" s="1"/>
  <c r="M22" i="9" s="1"/>
  <c r="J22" i="9"/>
  <c r="I22" i="9"/>
  <c r="K21" i="9"/>
  <c r="L21" i="9" s="1"/>
  <c r="M21" i="9" s="1"/>
  <c r="J21" i="9"/>
  <c r="I21" i="9"/>
  <c r="N20" i="9"/>
  <c r="K20" i="9"/>
  <c r="L20" i="9" s="1"/>
  <c r="M20" i="9" s="1"/>
  <c r="J20" i="9"/>
  <c r="I20" i="9"/>
  <c r="N19" i="9"/>
  <c r="K19" i="9"/>
  <c r="L19" i="9" s="1"/>
  <c r="M19" i="9" s="1"/>
  <c r="J19" i="9"/>
  <c r="I19" i="9"/>
  <c r="K18" i="9"/>
  <c r="L18" i="9" s="1"/>
  <c r="M18" i="9" s="1"/>
  <c r="J18" i="9"/>
  <c r="I18" i="9"/>
  <c r="A18" i="9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K17" i="9"/>
  <c r="L17" i="9" s="1"/>
  <c r="M17" i="9" s="1"/>
  <c r="J17" i="9"/>
  <c r="I17" i="9"/>
  <c r="A17" i="9"/>
  <c r="N16" i="9"/>
  <c r="K16" i="9"/>
  <c r="L16" i="9" s="1"/>
  <c r="M16" i="9" s="1"/>
  <c r="J16" i="9"/>
  <c r="I16" i="9"/>
  <c r="A16" i="9"/>
  <c r="N15" i="9"/>
  <c r="K15" i="9"/>
  <c r="L15" i="9" s="1"/>
  <c r="M15" i="9" s="1"/>
  <c r="J15" i="9"/>
  <c r="I15" i="9"/>
  <c r="A15" i="9"/>
  <c r="K14" i="9"/>
  <c r="L14" i="9" s="1"/>
  <c r="M14" i="9" s="1"/>
  <c r="J14" i="9"/>
  <c r="I14" i="9"/>
  <c r="D5" i="9"/>
  <c r="D4" i="9"/>
  <c r="D3" i="9"/>
  <c r="F2" i="9"/>
  <c r="N203" i="9" s="1"/>
  <c r="D2" i="9" l="1"/>
  <c r="F4" i="9"/>
  <c r="D7" i="9"/>
  <c r="N85" i="9"/>
  <c r="N90" i="9"/>
  <c r="N100" i="9"/>
  <c r="N110" i="9"/>
  <c r="N119" i="9"/>
  <c r="N138" i="9"/>
  <c r="N144" i="9"/>
  <c r="N150" i="9"/>
  <c r="N154" i="9"/>
  <c r="N181" i="9"/>
  <c r="N236" i="9"/>
  <c r="N289" i="9"/>
  <c r="N51" i="9"/>
  <c r="N63" i="9"/>
  <c r="N67" i="9"/>
  <c r="N71" i="9"/>
  <c r="N92" i="9"/>
  <c r="N97" i="9"/>
  <c r="N102" i="9"/>
  <c r="N121" i="9"/>
  <c r="N123" i="9"/>
  <c r="N161" i="9"/>
  <c r="N168" i="9"/>
  <c r="N177" i="9"/>
  <c r="N230" i="9"/>
  <c r="N43" i="9"/>
  <c r="N59" i="9"/>
  <c r="N82" i="9"/>
  <c r="N114" i="9"/>
  <c r="N214" i="9"/>
  <c r="N227" i="9"/>
  <c r="N257" i="9"/>
  <c r="N287" i="9"/>
  <c r="N27" i="9"/>
  <c r="N31" i="9"/>
  <c r="N55" i="9"/>
  <c r="N77" i="9"/>
  <c r="N89" i="9"/>
  <c r="N99" i="9"/>
  <c r="N104" i="9"/>
  <c r="N109" i="9"/>
  <c r="N125" i="9"/>
  <c r="N129" i="9"/>
  <c r="N133" i="9"/>
  <c r="N189" i="9"/>
  <c r="N26" i="9"/>
  <c r="N38" i="9"/>
  <c r="N42" i="9"/>
  <c r="N46" i="9"/>
  <c r="N50" i="9"/>
  <c r="N54" i="9"/>
  <c r="N58" i="9"/>
  <c r="N62" i="9"/>
  <c r="N66" i="9"/>
  <c r="N70" i="9"/>
  <c r="N74" i="9"/>
  <c r="N79" i="9"/>
  <c r="N84" i="9"/>
  <c r="N94" i="9"/>
  <c r="N137" i="9"/>
  <c r="N141" i="9"/>
  <c r="N159" i="9"/>
  <c r="N198" i="9"/>
  <c r="N303" i="9"/>
  <c r="N22" i="9"/>
  <c r="N91" i="9"/>
  <c r="N111" i="9"/>
  <c r="N118" i="9"/>
  <c r="N153" i="9"/>
  <c r="N192" i="9"/>
  <c r="N234" i="9"/>
  <c r="N299" i="9"/>
  <c r="N23" i="9"/>
  <c r="N18" i="9"/>
  <c r="N30" i="9"/>
  <c r="N34" i="9"/>
  <c r="N86" i="9"/>
  <c r="N96" i="9"/>
  <c r="N101" i="9"/>
  <c r="N106" i="9"/>
  <c r="N145" i="9"/>
  <c r="N147" i="9"/>
  <c r="N151" i="9"/>
  <c r="N164" i="9"/>
  <c r="N185" i="9"/>
  <c r="N252" i="9"/>
  <c r="N14" i="9"/>
  <c r="N21" i="9"/>
  <c r="N25" i="9"/>
  <c r="N29" i="9"/>
  <c r="N33" i="9"/>
  <c r="N37" i="9"/>
  <c r="N41" i="9"/>
  <c r="N45" i="9"/>
  <c r="N49" i="9"/>
  <c r="N53" i="9"/>
  <c r="N57" i="9"/>
  <c r="N61" i="9"/>
  <c r="N65" i="9"/>
  <c r="N69" i="9"/>
  <c r="N73" i="9"/>
  <c r="N81" i="9"/>
  <c r="N103" i="9"/>
  <c r="N113" i="9"/>
  <c r="N122" i="9"/>
  <c r="N172" i="9"/>
  <c r="N176" i="9"/>
  <c r="N205" i="9"/>
  <c r="N225" i="9"/>
  <c r="N35" i="9"/>
  <c r="N39" i="9"/>
  <c r="N47" i="9"/>
  <c r="N17" i="9"/>
  <c r="N76" i="9"/>
  <c r="N83" i="9"/>
  <c r="N88" i="9"/>
  <c r="N93" i="9"/>
  <c r="N108" i="9"/>
  <c r="N115" i="9"/>
  <c r="N316" i="9"/>
  <c r="N312" i="9"/>
  <c r="N308" i="9"/>
  <c r="N304" i="9"/>
  <c r="N300" i="9"/>
  <c r="N296" i="9"/>
  <c r="N292" i="9"/>
  <c r="N288" i="9"/>
  <c r="N313" i="9"/>
  <c r="N309" i="9"/>
  <c r="N305" i="9"/>
  <c r="N301" i="9"/>
  <c r="N297" i="9"/>
  <c r="N314" i="9"/>
  <c r="N307" i="9"/>
  <c r="N285" i="9"/>
  <c r="N271" i="9"/>
  <c r="N248" i="9"/>
  <c r="N239" i="9"/>
  <c r="N228" i="9"/>
  <c r="N210" i="9"/>
  <c r="N199" i="9"/>
  <c r="N197" i="9"/>
  <c r="N278" i="9"/>
  <c r="N269" i="9"/>
  <c r="N260" i="9"/>
  <c r="N253" i="9"/>
  <c r="N246" i="9"/>
  <c r="N237" i="9"/>
  <c r="N226" i="9"/>
  <c r="N219" i="9"/>
  <c r="N217" i="9"/>
  <c r="N208" i="9"/>
  <c r="N311" i="9"/>
  <c r="N298" i="9"/>
  <c r="N294" i="9"/>
  <c r="N283" i="9"/>
  <c r="N276" i="9"/>
  <c r="N258" i="9"/>
  <c r="N244" i="9"/>
  <c r="N206" i="9"/>
  <c r="N195" i="9"/>
  <c r="N193" i="9"/>
  <c r="N190" i="9"/>
  <c r="N186" i="9"/>
  <c r="N182" i="9"/>
  <c r="N178" i="9"/>
  <c r="N174" i="9"/>
  <c r="N170" i="9"/>
  <c r="N166" i="9"/>
  <c r="N302" i="9"/>
  <c r="N290" i="9"/>
  <c r="N267" i="9"/>
  <c r="N265" i="9"/>
  <c r="N251" i="9"/>
  <c r="N235" i="9"/>
  <c r="N233" i="9"/>
  <c r="N224" i="9"/>
  <c r="N215" i="9"/>
  <c r="N213" i="9"/>
  <c r="N204" i="9"/>
  <c r="N281" i="9"/>
  <c r="N274" i="9"/>
  <c r="N256" i="9"/>
  <c r="N242" i="9"/>
  <c r="N202" i="9"/>
  <c r="N315" i="9"/>
  <c r="N306" i="9"/>
  <c r="N286" i="9"/>
  <c r="N272" i="9"/>
  <c r="N263" i="9"/>
  <c r="N249" i="9"/>
  <c r="N240" i="9"/>
  <c r="N231" i="9"/>
  <c r="N229" i="9"/>
  <c r="N222" i="9"/>
  <c r="N211" i="9"/>
  <c r="N200" i="9"/>
  <c r="N191" i="9"/>
  <c r="N187" i="9"/>
  <c r="N183" i="9"/>
  <c r="N179" i="9"/>
  <c r="N175" i="9"/>
  <c r="N279" i="9"/>
  <c r="N261" i="9"/>
  <c r="N254" i="9"/>
  <c r="N238" i="9"/>
  <c r="N220" i="9"/>
  <c r="N310" i="9"/>
  <c r="N295" i="9"/>
  <c r="N293" i="9"/>
  <c r="N284" i="9"/>
  <c r="N277" i="9"/>
  <c r="N270" i="9"/>
  <c r="N247" i="9"/>
  <c r="N245" i="9"/>
  <c r="N280" i="9"/>
  <c r="N268" i="9"/>
  <c r="N262" i="9"/>
  <c r="N259" i="9"/>
  <c r="N241" i="9"/>
  <c r="N188" i="9"/>
  <c r="N173" i="9"/>
  <c r="N162" i="9"/>
  <c r="N157" i="9"/>
  <c r="N142" i="9"/>
  <c r="N139" i="9"/>
  <c r="N135" i="9"/>
  <c r="N131" i="9"/>
  <c r="N127" i="9"/>
  <c r="N291" i="9"/>
  <c r="N194" i="9"/>
  <c r="N152" i="9"/>
  <c r="N282" i="9"/>
  <c r="N232" i="9"/>
  <c r="N207" i="9"/>
  <c r="N184" i="9"/>
  <c r="N171" i="9"/>
  <c r="N160" i="9"/>
  <c r="N155" i="9"/>
  <c r="N149" i="9"/>
  <c r="N273" i="9"/>
  <c r="N264" i="9"/>
  <c r="N250" i="9"/>
  <c r="N221" i="9"/>
  <c r="N218" i="9"/>
  <c r="N169" i="9"/>
  <c r="N167" i="9"/>
  <c r="N146" i="9"/>
  <c r="N143" i="9"/>
  <c r="N136" i="9"/>
  <c r="N132" i="9"/>
  <c r="N128" i="9"/>
  <c r="N124" i="9"/>
  <c r="N120" i="9"/>
  <c r="N116" i="9"/>
  <c r="N112" i="9"/>
  <c r="N212" i="9"/>
  <c r="N209" i="9"/>
  <c r="N201" i="9"/>
  <c r="N196" i="9"/>
  <c r="N180" i="9"/>
  <c r="N165" i="9"/>
  <c r="N140" i="9"/>
  <c r="N266" i="9"/>
  <c r="N255" i="9"/>
  <c r="N98" i="9"/>
  <c r="N126" i="9"/>
  <c r="N130" i="9"/>
  <c r="N223" i="9"/>
  <c r="BB105" i="8"/>
  <c r="BA105" i="8"/>
  <c r="AZ105" i="8"/>
  <c r="AY105" i="8"/>
  <c r="AX105" i="8"/>
  <c r="AW105" i="8"/>
  <c r="AV105" i="8"/>
  <c r="AT105" i="8"/>
  <c r="AS105" i="8"/>
  <c r="AQ105" i="8"/>
  <c r="AP105" i="8"/>
  <c r="Y105" i="8"/>
  <c r="V105" i="8"/>
  <c r="P105" i="8"/>
  <c r="O105" i="8"/>
  <c r="C105" i="8"/>
  <c r="BB104" i="8"/>
  <c r="BA104" i="8"/>
  <c r="AZ104" i="8"/>
  <c r="AY104" i="8"/>
  <c r="AX104" i="8"/>
  <c r="AW104" i="8"/>
  <c r="AV104" i="8"/>
  <c r="AT104" i="8"/>
  <c r="AS104" i="8"/>
  <c r="AQ104" i="8"/>
  <c r="AP104" i="8"/>
  <c r="Y104" i="8"/>
  <c r="V104" i="8"/>
  <c r="P104" i="8"/>
  <c r="O104" i="8"/>
  <c r="C104" i="8"/>
  <c r="BB103" i="8"/>
  <c r="BA103" i="8"/>
  <c r="AZ103" i="8"/>
  <c r="AY103" i="8"/>
  <c r="AX103" i="8"/>
  <c r="AW103" i="8"/>
  <c r="AV103" i="8"/>
  <c r="AT103" i="8"/>
  <c r="AS103" i="8"/>
  <c r="AQ103" i="8"/>
  <c r="AP103" i="8"/>
  <c r="Y103" i="8"/>
  <c r="V103" i="8"/>
  <c r="P103" i="8"/>
  <c r="O103" i="8"/>
  <c r="C103" i="8"/>
  <c r="BB102" i="8"/>
  <c r="BA102" i="8"/>
  <c r="AZ102" i="8"/>
  <c r="AY102" i="8"/>
  <c r="AX102" i="8"/>
  <c r="AW102" i="8"/>
  <c r="AV102" i="8"/>
  <c r="AT102" i="8"/>
  <c r="AS102" i="8"/>
  <c r="AQ102" i="8"/>
  <c r="AP102" i="8"/>
  <c r="Y102" i="8"/>
  <c r="V102" i="8"/>
  <c r="P102" i="8"/>
  <c r="O102" i="8"/>
  <c r="C102" i="8"/>
  <c r="BB101" i="8"/>
  <c r="BA101" i="8"/>
  <c r="AZ101" i="8"/>
  <c r="AY101" i="8"/>
  <c r="AX101" i="8"/>
  <c r="AW101" i="8"/>
  <c r="AV101" i="8"/>
  <c r="AT101" i="8"/>
  <c r="AS101" i="8"/>
  <c r="AQ101" i="8"/>
  <c r="AP101" i="8"/>
  <c r="Y101" i="8"/>
  <c r="V101" i="8"/>
  <c r="P101" i="8"/>
  <c r="O101" i="8"/>
  <c r="C101" i="8"/>
  <c r="BB100" i="8"/>
  <c r="BA100" i="8"/>
  <c r="AZ100" i="8"/>
  <c r="AY100" i="8"/>
  <c r="AX100" i="8"/>
  <c r="AW100" i="8"/>
  <c r="AV100" i="8"/>
  <c r="AT100" i="8"/>
  <c r="AS100" i="8"/>
  <c r="AQ100" i="8"/>
  <c r="AP100" i="8"/>
  <c r="Y100" i="8"/>
  <c r="V100" i="8"/>
  <c r="P100" i="8"/>
  <c r="O100" i="8"/>
  <c r="C100" i="8"/>
  <c r="BB99" i="8"/>
  <c r="BA99" i="8"/>
  <c r="AZ99" i="8"/>
  <c r="AY99" i="8"/>
  <c r="AX99" i="8"/>
  <c r="AW99" i="8"/>
  <c r="AV99" i="8"/>
  <c r="AT99" i="8"/>
  <c r="AS99" i="8"/>
  <c r="AQ99" i="8"/>
  <c r="AP99" i="8"/>
  <c r="Y99" i="8"/>
  <c r="V99" i="8"/>
  <c r="P99" i="8"/>
  <c r="O99" i="8"/>
  <c r="C99" i="8"/>
  <c r="BB98" i="8"/>
  <c r="BA98" i="8"/>
  <c r="AZ98" i="8"/>
  <c r="AY98" i="8"/>
  <c r="AX98" i="8"/>
  <c r="AW98" i="8"/>
  <c r="AV98" i="8"/>
  <c r="AT98" i="8"/>
  <c r="AS98" i="8"/>
  <c r="AQ98" i="8"/>
  <c r="AP98" i="8"/>
  <c r="Y98" i="8"/>
  <c r="V98" i="8"/>
  <c r="P98" i="8"/>
  <c r="O98" i="8"/>
  <c r="C98" i="8"/>
  <c r="BB97" i="8"/>
  <c r="BA97" i="8"/>
  <c r="AZ97" i="8"/>
  <c r="AY97" i="8"/>
  <c r="AX97" i="8"/>
  <c r="AW97" i="8"/>
  <c r="AV97" i="8"/>
  <c r="AT97" i="8"/>
  <c r="AS97" i="8"/>
  <c r="AQ97" i="8"/>
  <c r="AP97" i="8"/>
  <c r="Y97" i="8"/>
  <c r="V97" i="8"/>
  <c r="P97" i="8"/>
  <c r="O97" i="8"/>
  <c r="C97" i="8"/>
  <c r="BB96" i="8"/>
  <c r="BA96" i="8"/>
  <c r="AZ96" i="8"/>
  <c r="AY96" i="8"/>
  <c r="AX96" i="8"/>
  <c r="AW96" i="8"/>
  <c r="AV96" i="8"/>
  <c r="AT96" i="8"/>
  <c r="AS96" i="8"/>
  <c r="AQ96" i="8"/>
  <c r="AP96" i="8"/>
  <c r="Y96" i="8"/>
  <c r="V96" i="8"/>
  <c r="P96" i="8"/>
  <c r="O96" i="8"/>
  <c r="C96" i="8"/>
  <c r="BB95" i="8"/>
  <c r="BA95" i="8"/>
  <c r="AZ95" i="8"/>
  <c r="AY95" i="8"/>
  <c r="AX95" i="8"/>
  <c r="AW95" i="8"/>
  <c r="AV95" i="8"/>
  <c r="AT95" i="8"/>
  <c r="AS95" i="8"/>
  <c r="AQ95" i="8"/>
  <c r="AP95" i="8"/>
  <c r="Y95" i="8"/>
  <c r="V95" i="8"/>
  <c r="P95" i="8"/>
  <c r="O95" i="8"/>
  <c r="C95" i="8"/>
  <c r="BB94" i="8"/>
  <c r="BA94" i="8"/>
  <c r="AZ94" i="8"/>
  <c r="AY94" i="8"/>
  <c r="AX94" i="8"/>
  <c r="AW94" i="8"/>
  <c r="AV94" i="8"/>
  <c r="AT94" i="8"/>
  <c r="AS94" i="8"/>
  <c r="AQ94" i="8"/>
  <c r="AP94" i="8"/>
  <c r="Y94" i="8"/>
  <c r="V94" i="8"/>
  <c r="P94" i="8"/>
  <c r="O94" i="8"/>
  <c r="C94" i="8"/>
  <c r="BB93" i="8"/>
  <c r="BA93" i="8"/>
  <c r="AZ93" i="8"/>
  <c r="AY93" i="8"/>
  <c r="AX93" i="8"/>
  <c r="AW93" i="8"/>
  <c r="AV93" i="8"/>
  <c r="AT93" i="8"/>
  <c r="AS93" i="8"/>
  <c r="AQ93" i="8"/>
  <c r="AP93" i="8"/>
  <c r="Y93" i="8"/>
  <c r="V93" i="8"/>
  <c r="P93" i="8"/>
  <c r="O93" i="8"/>
  <c r="C93" i="8"/>
  <c r="BB92" i="8"/>
  <c r="BA92" i="8"/>
  <c r="AZ92" i="8"/>
  <c r="AY92" i="8"/>
  <c r="AX92" i="8"/>
  <c r="AW92" i="8"/>
  <c r="AV92" i="8"/>
  <c r="AT92" i="8"/>
  <c r="AS92" i="8"/>
  <c r="AQ92" i="8"/>
  <c r="AP92" i="8"/>
  <c r="Y92" i="8"/>
  <c r="V92" i="8"/>
  <c r="P92" i="8"/>
  <c r="O92" i="8"/>
  <c r="C92" i="8"/>
  <c r="BB91" i="8"/>
  <c r="BA91" i="8"/>
  <c r="AZ91" i="8"/>
  <c r="AY91" i="8"/>
  <c r="AX91" i="8"/>
  <c r="AW91" i="8"/>
  <c r="AV91" i="8"/>
  <c r="AT91" i="8"/>
  <c r="AS91" i="8"/>
  <c r="AQ91" i="8"/>
  <c r="AP91" i="8"/>
  <c r="Y91" i="8"/>
  <c r="V91" i="8"/>
  <c r="P91" i="8"/>
  <c r="O91" i="8"/>
  <c r="C91" i="8"/>
  <c r="BB90" i="8"/>
  <c r="BA90" i="8"/>
  <c r="AZ90" i="8"/>
  <c r="AY90" i="8"/>
  <c r="AX90" i="8"/>
  <c r="AW90" i="8"/>
  <c r="AV90" i="8"/>
  <c r="AT90" i="8"/>
  <c r="AS90" i="8"/>
  <c r="AQ90" i="8"/>
  <c r="AP90" i="8"/>
  <c r="Y90" i="8"/>
  <c r="V90" i="8"/>
  <c r="P90" i="8"/>
  <c r="O90" i="8"/>
  <c r="C90" i="8"/>
  <c r="BB89" i="8"/>
  <c r="BA89" i="8"/>
  <c r="AZ89" i="8"/>
  <c r="AY89" i="8"/>
  <c r="AX89" i="8"/>
  <c r="AW89" i="8"/>
  <c r="AV89" i="8"/>
  <c r="AT89" i="8"/>
  <c r="AS89" i="8"/>
  <c r="AQ89" i="8"/>
  <c r="AP89" i="8"/>
  <c r="Y89" i="8"/>
  <c r="V89" i="8"/>
  <c r="P89" i="8"/>
  <c r="O89" i="8"/>
  <c r="C89" i="8"/>
  <c r="BB88" i="8"/>
  <c r="BA88" i="8"/>
  <c r="AZ88" i="8"/>
  <c r="AY88" i="8"/>
  <c r="AX88" i="8"/>
  <c r="AW88" i="8"/>
  <c r="AV88" i="8"/>
  <c r="AT88" i="8"/>
  <c r="AS88" i="8"/>
  <c r="AQ88" i="8"/>
  <c r="AP88" i="8"/>
  <c r="Y88" i="8"/>
  <c r="V88" i="8"/>
  <c r="P88" i="8"/>
  <c r="O88" i="8"/>
  <c r="C88" i="8"/>
  <c r="BB87" i="8"/>
  <c r="BA87" i="8"/>
  <c r="AZ87" i="8"/>
  <c r="AY87" i="8"/>
  <c r="AX87" i="8"/>
  <c r="AW87" i="8"/>
  <c r="AV87" i="8"/>
  <c r="AT87" i="8"/>
  <c r="AS87" i="8"/>
  <c r="AQ87" i="8"/>
  <c r="AP87" i="8"/>
  <c r="Y87" i="8"/>
  <c r="V87" i="8"/>
  <c r="P87" i="8"/>
  <c r="O87" i="8"/>
  <c r="C87" i="8"/>
  <c r="BB86" i="8"/>
  <c r="BA86" i="8"/>
  <c r="AZ86" i="8"/>
  <c r="AY86" i="8"/>
  <c r="AX86" i="8"/>
  <c r="AW86" i="8"/>
  <c r="AV86" i="8"/>
  <c r="AT86" i="8"/>
  <c r="AS86" i="8"/>
  <c r="AQ86" i="8"/>
  <c r="AP86" i="8"/>
  <c r="Y86" i="8"/>
  <c r="V86" i="8"/>
  <c r="P86" i="8"/>
  <c r="O86" i="8"/>
  <c r="C86" i="8"/>
  <c r="BB85" i="8"/>
  <c r="BA85" i="8"/>
  <c r="AZ85" i="8"/>
  <c r="AY85" i="8"/>
  <c r="AX85" i="8"/>
  <c r="AW85" i="8"/>
  <c r="AV85" i="8"/>
  <c r="AT85" i="8"/>
  <c r="AS85" i="8"/>
  <c r="AQ85" i="8"/>
  <c r="AP85" i="8"/>
  <c r="Y85" i="8"/>
  <c r="V85" i="8"/>
  <c r="P85" i="8"/>
  <c r="O85" i="8"/>
  <c r="C85" i="8"/>
  <c r="BB84" i="8"/>
  <c r="BA84" i="8"/>
  <c r="AZ84" i="8"/>
  <c r="AY84" i="8"/>
  <c r="AX84" i="8"/>
  <c r="AW84" i="8"/>
  <c r="AV84" i="8"/>
  <c r="AT84" i="8"/>
  <c r="AS84" i="8"/>
  <c r="AQ84" i="8"/>
  <c r="AP84" i="8"/>
  <c r="Y84" i="8"/>
  <c r="V84" i="8"/>
  <c r="P84" i="8"/>
  <c r="O84" i="8"/>
  <c r="C84" i="8"/>
  <c r="BB83" i="8"/>
  <c r="BA83" i="8"/>
  <c r="AZ83" i="8"/>
  <c r="AY83" i="8"/>
  <c r="AX83" i="8"/>
  <c r="AW83" i="8"/>
  <c r="AV83" i="8"/>
  <c r="AT83" i="8"/>
  <c r="AS83" i="8"/>
  <c r="AQ83" i="8"/>
  <c r="AP83" i="8"/>
  <c r="Y83" i="8"/>
  <c r="V83" i="8"/>
  <c r="P83" i="8"/>
  <c r="O83" i="8"/>
  <c r="C83" i="8"/>
  <c r="BB82" i="8"/>
  <c r="BA82" i="8"/>
  <c r="AZ82" i="8"/>
  <c r="AY82" i="8"/>
  <c r="AX82" i="8"/>
  <c r="AW82" i="8"/>
  <c r="AV82" i="8"/>
  <c r="AT82" i="8"/>
  <c r="AS82" i="8"/>
  <c r="AQ82" i="8"/>
  <c r="AP82" i="8"/>
  <c r="Y82" i="8"/>
  <c r="V82" i="8"/>
  <c r="P82" i="8"/>
  <c r="O82" i="8"/>
  <c r="BB81" i="8"/>
  <c r="BA81" i="8"/>
  <c r="AZ81" i="8"/>
  <c r="AY81" i="8"/>
  <c r="AX81" i="8"/>
  <c r="AW81" i="8"/>
  <c r="AV81" i="8"/>
  <c r="AT81" i="8"/>
  <c r="AS81" i="8"/>
  <c r="AQ81" i="8"/>
  <c r="AP81" i="8"/>
  <c r="Y81" i="8"/>
  <c r="V81" i="8"/>
  <c r="P81" i="8"/>
  <c r="O81" i="8"/>
  <c r="C81" i="8"/>
  <c r="BB80" i="8"/>
  <c r="BA80" i="8"/>
  <c r="AZ80" i="8"/>
  <c r="AY80" i="8"/>
  <c r="AX80" i="8"/>
  <c r="AW80" i="8"/>
  <c r="AV80" i="8"/>
  <c r="AT80" i="8"/>
  <c r="AS80" i="8"/>
  <c r="AQ80" i="8"/>
  <c r="AP80" i="8"/>
  <c r="Y80" i="8"/>
  <c r="V80" i="8"/>
  <c r="P80" i="8"/>
  <c r="O80" i="8"/>
  <c r="C80" i="8"/>
  <c r="BB79" i="8"/>
  <c r="BA79" i="8"/>
  <c r="AZ79" i="8"/>
  <c r="AY79" i="8"/>
  <c r="AX79" i="8"/>
  <c r="AW79" i="8"/>
  <c r="AV79" i="8"/>
  <c r="AT79" i="8"/>
  <c r="AS79" i="8"/>
  <c r="AQ79" i="8"/>
  <c r="AP79" i="8"/>
  <c r="Y79" i="8"/>
  <c r="V79" i="8"/>
  <c r="P79" i="8"/>
  <c r="O79" i="8"/>
  <c r="C79" i="8"/>
  <c r="BB78" i="8"/>
  <c r="BA78" i="8"/>
  <c r="AZ78" i="8"/>
  <c r="AY78" i="8"/>
  <c r="AX78" i="8"/>
  <c r="AW78" i="8"/>
  <c r="AV78" i="8"/>
  <c r="AT78" i="8"/>
  <c r="AS78" i="8"/>
  <c r="AQ78" i="8"/>
  <c r="AP78" i="8"/>
  <c r="Y78" i="8"/>
  <c r="V78" i="8"/>
  <c r="P78" i="8"/>
  <c r="O78" i="8"/>
  <c r="C78" i="8"/>
  <c r="BB77" i="8"/>
  <c r="BA77" i="8"/>
  <c r="AZ77" i="8"/>
  <c r="AY77" i="8"/>
  <c r="AX77" i="8"/>
  <c r="AW77" i="8"/>
  <c r="AV77" i="8"/>
  <c r="AT77" i="8"/>
  <c r="AS77" i="8"/>
  <c r="AQ77" i="8"/>
  <c r="AP77" i="8"/>
  <c r="Y77" i="8"/>
  <c r="V77" i="8"/>
  <c r="P77" i="8"/>
  <c r="O77" i="8"/>
  <c r="C77" i="8"/>
  <c r="BB76" i="8"/>
  <c r="BA76" i="8"/>
  <c r="AZ76" i="8"/>
  <c r="AY76" i="8"/>
  <c r="AX76" i="8"/>
  <c r="AW76" i="8"/>
  <c r="AV76" i="8"/>
  <c r="AT76" i="8"/>
  <c r="AS76" i="8"/>
  <c r="AQ76" i="8"/>
  <c r="AP76" i="8"/>
  <c r="Y76" i="8"/>
  <c r="V76" i="8"/>
  <c r="P76" i="8"/>
  <c r="O76" i="8"/>
  <c r="C76" i="8"/>
  <c r="BB75" i="8"/>
  <c r="BA75" i="8"/>
  <c r="AZ75" i="8"/>
  <c r="AY75" i="8"/>
  <c r="AX75" i="8"/>
  <c r="AW75" i="8"/>
  <c r="AV75" i="8"/>
  <c r="AT75" i="8"/>
  <c r="AS75" i="8"/>
  <c r="AQ75" i="8"/>
  <c r="AP75" i="8"/>
  <c r="Y75" i="8"/>
  <c r="V75" i="8"/>
  <c r="P75" i="8"/>
  <c r="O75" i="8"/>
  <c r="C75" i="8"/>
  <c r="BB74" i="8"/>
  <c r="BA74" i="8"/>
  <c r="AZ74" i="8"/>
  <c r="AY74" i="8"/>
  <c r="AX74" i="8"/>
  <c r="AW74" i="8"/>
  <c r="AV74" i="8"/>
  <c r="AT74" i="8"/>
  <c r="AS74" i="8"/>
  <c r="AQ74" i="8"/>
  <c r="AP74" i="8"/>
  <c r="Y74" i="8"/>
  <c r="V74" i="8"/>
  <c r="P74" i="8"/>
  <c r="O74" i="8"/>
  <c r="C74" i="8"/>
  <c r="BB73" i="8"/>
  <c r="BA73" i="8"/>
  <c r="AZ73" i="8"/>
  <c r="AY73" i="8"/>
  <c r="AX73" i="8"/>
  <c r="AW73" i="8"/>
  <c r="AV73" i="8"/>
  <c r="AT73" i="8"/>
  <c r="AS73" i="8"/>
  <c r="AQ73" i="8"/>
  <c r="AP73" i="8"/>
  <c r="Y73" i="8"/>
  <c r="V73" i="8"/>
  <c r="P73" i="8"/>
  <c r="O73" i="8"/>
  <c r="C73" i="8"/>
  <c r="BB72" i="8"/>
  <c r="BA72" i="8"/>
  <c r="AZ72" i="8"/>
  <c r="AY72" i="8"/>
  <c r="AX72" i="8"/>
  <c r="AW72" i="8"/>
  <c r="AV72" i="8"/>
  <c r="AT72" i="8"/>
  <c r="AS72" i="8"/>
  <c r="AQ72" i="8"/>
  <c r="AP72" i="8"/>
  <c r="Y72" i="8"/>
  <c r="V72" i="8"/>
  <c r="P72" i="8"/>
  <c r="O72" i="8"/>
  <c r="C72" i="8"/>
  <c r="BB71" i="8"/>
  <c r="BA71" i="8"/>
  <c r="AZ71" i="8"/>
  <c r="AY71" i="8"/>
  <c r="AX71" i="8"/>
  <c r="AW71" i="8"/>
  <c r="AV71" i="8"/>
  <c r="AT71" i="8"/>
  <c r="AS71" i="8"/>
  <c r="AQ71" i="8"/>
  <c r="AP71" i="8"/>
  <c r="Y71" i="8"/>
  <c r="V71" i="8"/>
  <c r="P71" i="8"/>
  <c r="O71" i="8"/>
  <c r="C71" i="8"/>
  <c r="BB70" i="8"/>
  <c r="BA70" i="8"/>
  <c r="AZ70" i="8"/>
  <c r="AY70" i="8"/>
  <c r="AX70" i="8"/>
  <c r="AW70" i="8"/>
  <c r="AV70" i="8"/>
  <c r="AT70" i="8"/>
  <c r="AS70" i="8"/>
  <c r="AQ70" i="8"/>
  <c r="AP70" i="8"/>
  <c r="Y70" i="8"/>
  <c r="V70" i="8"/>
  <c r="P70" i="8"/>
  <c r="O70" i="8"/>
  <c r="C70" i="8"/>
  <c r="BB69" i="8"/>
  <c r="BA69" i="8"/>
  <c r="AZ69" i="8"/>
  <c r="AY69" i="8"/>
  <c r="AX69" i="8"/>
  <c r="AW69" i="8"/>
  <c r="AV69" i="8"/>
  <c r="AT69" i="8"/>
  <c r="AS69" i="8"/>
  <c r="AQ69" i="8"/>
  <c r="AP69" i="8"/>
  <c r="Y69" i="8"/>
  <c r="V69" i="8"/>
  <c r="P69" i="8"/>
  <c r="O69" i="8"/>
  <c r="C69" i="8"/>
  <c r="BB68" i="8"/>
  <c r="BA68" i="8"/>
  <c r="AZ68" i="8"/>
  <c r="AY68" i="8"/>
  <c r="AX68" i="8"/>
  <c r="AW68" i="8"/>
  <c r="AV68" i="8"/>
  <c r="AT68" i="8"/>
  <c r="AS68" i="8"/>
  <c r="AQ68" i="8"/>
  <c r="AP68" i="8"/>
  <c r="Y68" i="8"/>
  <c r="V68" i="8"/>
  <c r="P68" i="8"/>
  <c r="O68" i="8"/>
  <c r="C68" i="8"/>
  <c r="BB67" i="8"/>
  <c r="BA67" i="8"/>
  <c r="AZ67" i="8"/>
  <c r="AY67" i="8"/>
  <c r="AX67" i="8"/>
  <c r="AW67" i="8"/>
  <c r="AV67" i="8"/>
  <c r="AT67" i="8"/>
  <c r="AS67" i="8"/>
  <c r="AQ67" i="8"/>
  <c r="AP67" i="8"/>
  <c r="Y67" i="8"/>
  <c r="V67" i="8"/>
  <c r="P67" i="8"/>
  <c r="O67" i="8"/>
  <c r="C67" i="8"/>
  <c r="BB66" i="8"/>
  <c r="BA66" i="8"/>
  <c r="AZ66" i="8"/>
  <c r="AY66" i="8"/>
  <c r="AX66" i="8"/>
  <c r="AW66" i="8"/>
  <c r="AV66" i="8"/>
  <c r="AT66" i="8"/>
  <c r="AS66" i="8"/>
  <c r="AQ66" i="8"/>
  <c r="AP66" i="8"/>
  <c r="Y66" i="8"/>
  <c r="V66" i="8"/>
  <c r="P66" i="8"/>
  <c r="O66" i="8"/>
  <c r="C66" i="8"/>
  <c r="BB65" i="8"/>
  <c r="BA65" i="8"/>
  <c r="AZ65" i="8"/>
  <c r="AY65" i="8"/>
  <c r="AX65" i="8"/>
  <c r="AW65" i="8"/>
  <c r="AV65" i="8"/>
  <c r="AT65" i="8"/>
  <c r="AS65" i="8"/>
  <c r="AQ65" i="8"/>
  <c r="AP65" i="8"/>
  <c r="Y65" i="8"/>
  <c r="V65" i="8"/>
  <c r="P65" i="8"/>
  <c r="O65" i="8"/>
  <c r="C65" i="8"/>
  <c r="BB64" i="8"/>
  <c r="BA64" i="8"/>
  <c r="AZ64" i="8"/>
  <c r="AY64" i="8"/>
  <c r="AX64" i="8"/>
  <c r="AW64" i="8"/>
  <c r="AV64" i="8"/>
  <c r="AT64" i="8"/>
  <c r="AS64" i="8"/>
  <c r="AQ64" i="8"/>
  <c r="AP64" i="8"/>
  <c r="Y64" i="8"/>
  <c r="V64" i="8"/>
  <c r="P64" i="8"/>
  <c r="O64" i="8"/>
  <c r="C64" i="8"/>
  <c r="BB63" i="8"/>
  <c r="BA63" i="8"/>
  <c r="AZ63" i="8"/>
  <c r="AY63" i="8"/>
  <c r="AX63" i="8"/>
  <c r="AW63" i="8"/>
  <c r="AV63" i="8"/>
  <c r="AT63" i="8"/>
  <c r="AS63" i="8"/>
  <c r="AQ63" i="8"/>
  <c r="AP63" i="8"/>
  <c r="Y63" i="8"/>
  <c r="V63" i="8"/>
  <c r="P63" i="8"/>
  <c r="O63" i="8"/>
  <c r="C63" i="8"/>
  <c r="BB62" i="8"/>
  <c r="BA62" i="8"/>
  <c r="AZ62" i="8"/>
  <c r="AY62" i="8"/>
  <c r="AX62" i="8"/>
  <c r="AW62" i="8"/>
  <c r="AV62" i="8"/>
  <c r="AT62" i="8"/>
  <c r="AS62" i="8"/>
  <c r="AQ62" i="8"/>
  <c r="AP62" i="8"/>
  <c r="Y62" i="8"/>
  <c r="V62" i="8"/>
  <c r="P62" i="8"/>
  <c r="O62" i="8"/>
  <c r="C62" i="8"/>
  <c r="BB61" i="8"/>
  <c r="BA61" i="8"/>
  <c r="AZ61" i="8"/>
  <c r="AY61" i="8"/>
  <c r="AX61" i="8"/>
  <c r="AW61" i="8"/>
  <c r="AV61" i="8"/>
  <c r="AT61" i="8"/>
  <c r="AS61" i="8"/>
  <c r="AQ61" i="8"/>
  <c r="AP61" i="8"/>
  <c r="Y61" i="8"/>
  <c r="V61" i="8"/>
  <c r="P61" i="8"/>
  <c r="O61" i="8"/>
  <c r="C61" i="8"/>
  <c r="C2" i="8"/>
  <c r="O2" i="8"/>
  <c r="P2" i="8"/>
  <c r="V2" i="8"/>
  <c r="Y2" i="8"/>
  <c r="AP2" i="8"/>
  <c r="AQ2" i="8"/>
  <c r="AS2" i="8"/>
  <c r="AT2" i="8"/>
  <c r="AV2" i="8"/>
  <c r="AW2" i="8"/>
  <c r="AX2" i="8"/>
  <c r="AY2" i="8"/>
  <c r="AZ2" i="8"/>
  <c r="BA2" i="8"/>
  <c r="BB2" i="8"/>
  <c r="C3" i="8"/>
  <c r="O3" i="8"/>
  <c r="P3" i="8"/>
  <c r="V3" i="8"/>
  <c r="Y3" i="8"/>
  <c r="AP3" i="8"/>
  <c r="AQ3" i="8"/>
  <c r="AS3" i="8"/>
  <c r="AT3" i="8"/>
  <c r="AV3" i="8"/>
  <c r="AW3" i="8"/>
  <c r="AX3" i="8"/>
  <c r="AY3" i="8"/>
  <c r="AZ3" i="8"/>
  <c r="BA3" i="8"/>
  <c r="BB3" i="8"/>
  <c r="C4" i="8"/>
  <c r="O4" i="8"/>
  <c r="P4" i="8"/>
  <c r="V4" i="8"/>
  <c r="Y4" i="8"/>
  <c r="AP4" i="8"/>
  <c r="AQ4" i="8"/>
  <c r="AS4" i="8"/>
  <c r="AT4" i="8"/>
  <c r="AV4" i="8"/>
  <c r="AW4" i="8"/>
  <c r="AX4" i="8"/>
  <c r="AY4" i="8"/>
  <c r="AZ4" i="8"/>
  <c r="BA4" i="8"/>
  <c r="BB4" i="8"/>
  <c r="C5" i="8"/>
  <c r="O5" i="8"/>
  <c r="P5" i="8"/>
  <c r="V5" i="8"/>
  <c r="Y5" i="8"/>
  <c r="AP5" i="8"/>
  <c r="AQ5" i="8"/>
  <c r="AS5" i="8"/>
  <c r="AT5" i="8"/>
  <c r="AV5" i="8"/>
  <c r="AW5" i="8"/>
  <c r="AX5" i="8"/>
  <c r="AY5" i="8"/>
  <c r="AZ5" i="8"/>
  <c r="BA5" i="8"/>
  <c r="BB5" i="8"/>
  <c r="C6" i="8"/>
  <c r="O6" i="8"/>
  <c r="P6" i="8"/>
  <c r="V6" i="8"/>
  <c r="Y6" i="8"/>
  <c r="AP6" i="8"/>
  <c r="AQ6" i="8"/>
  <c r="AS6" i="8"/>
  <c r="AT6" i="8"/>
  <c r="AV6" i="8"/>
  <c r="AW6" i="8"/>
  <c r="AX6" i="8"/>
  <c r="AY6" i="8"/>
  <c r="AZ6" i="8"/>
  <c r="BA6" i="8"/>
  <c r="BB6" i="8"/>
  <c r="C7" i="8"/>
  <c r="O7" i="8"/>
  <c r="P7" i="8"/>
  <c r="V7" i="8"/>
  <c r="Y7" i="8"/>
  <c r="AP7" i="8"/>
  <c r="AQ7" i="8"/>
  <c r="AS7" i="8"/>
  <c r="AT7" i="8"/>
  <c r="AV7" i="8"/>
  <c r="AW7" i="8"/>
  <c r="AX7" i="8"/>
  <c r="AY7" i="8"/>
  <c r="AZ7" i="8"/>
  <c r="BA7" i="8"/>
  <c r="BB7" i="8"/>
  <c r="C8" i="8"/>
  <c r="O8" i="8"/>
  <c r="P8" i="8"/>
  <c r="V8" i="8"/>
  <c r="Y8" i="8"/>
  <c r="AP8" i="8"/>
  <c r="AQ8" i="8"/>
  <c r="AS8" i="8"/>
  <c r="AT8" i="8"/>
  <c r="AV8" i="8"/>
  <c r="AW8" i="8"/>
  <c r="AX8" i="8"/>
  <c r="AY8" i="8"/>
  <c r="AZ8" i="8"/>
  <c r="BA8" i="8"/>
  <c r="BB8" i="8"/>
  <c r="C9" i="8"/>
  <c r="O9" i="8"/>
  <c r="P9" i="8"/>
  <c r="V9" i="8"/>
  <c r="Y9" i="8"/>
  <c r="AP9" i="8"/>
  <c r="AQ9" i="8"/>
  <c r="AS9" i="8"/>
  <c r="AT9" i="8"/>
  <c r="AV9" i="8"/>
  <c r="AW9" i="8"/>
  <c r="AX9" i="8"/>
  <c r="AY9" i="8"/>
  <c r="AZ9" i="8"/>
  <c r="BA9" i="8"/>
  <c r="BB9" i="8"/>
  <c r="C10" i="8"/>
  <c r="O10" i="8"/>
  <c r="P10" i="8"/>
  <c r="V10" i="8"/>
  <c r="Y10" i="8"/>
  <c r="AP10" i="8"/>
  <c r="AQ10" i="8"/>
  <c r="AS10" i="8"/>
  <c r="AT10" i="8"/>
  <c r="AV10" i="8"/>
  <c r="AW10" i="8"/>
  <c r="AX10" i="8"/>
  <c r="AY10" i="8"/>
  <c r="AZ10" i="8"/>
  <c r="BA10" i="8"/>
  <c r="BB10" i="8"/>
  <c r="O11" i="8"/>
  <c r="P11" i="8"/>
  <c r="V11" i="8"/>
  <c r="Y11" i="8"/>
  <c r="AP11" i="8"/>
  <c r="AQ11" i="8"/>
  <c r="AS11" i="8"/>
  <c r="AT11" i="8"/>
  <c r="AV11" i="8"/>
  <c r="AW11" i="8"/>
  <c r="AX11" i="8"/>
  <c r="AY11" i="8"/>
  <c r="AZ11" i="8"/>
  <c r="BA11" i="8"/>
  <c r="BB11" i="8"/>
  <c r="C12" i="8"/>
  <c r="O12" i="8"/>
  <c r="P12" i="8"/>
  <c r="V12" i="8"/>
  <c r="Y12" i="8"/>
  <c r="AP12" i="8"/>
  <c r="AQ12" i="8"/>
  <c r="AS12" i="8"/>
  <c r="AT12" i="8"/>
  <c r="AV12" i="8"/>
  <c r="AW12" i="8"/>
  <c r="AX12" i="8"/>
  <c r="AY12" i="8"/>
  <c r="AZ12" i="8"/>
  <c r="BA12" i="8"/>
  <c r="BB12" i="8"/>
  <c r="C13" i="8"/>
  <c r="O13" i="8"/>
  <c r="P13" i="8"/>
  <c r="V13" i="8"/>
  <c r="Y13" i="8"/>
  <c r="AP13" i="8"/>
  <c r="AQ13" i="8"/>
  <c r="AS13" i="8"/>
  <c r="AT13" i="8"/>
  <c r="AV13" i="8"/>
  <c r="AW13" i="8"/>
  <c r="AX13" i="8"/>
  <c r="AY13" i="8"/>
  <c r="AZ13" i="8"/>
  <c r="BA13" i="8"/>
  <c r="BB13" i="8"/>
  <c r="C14" i="8"/>
  <c r="O14" i="8"/>
  <c r="P14" i="8"/>
  <c r="V14" i="8"/>
  <c r="Y14" i="8"/>
  <c r="AP14" i="8"/>
  <c r="AQ14" i="8"/>
  <c r="AS14" i="8"/>
  <c r="AT14" i="8"/>
  <c r="AV14" i="8"/>
  <c r="AW14" i="8"/>
  <c r="AX14" i="8"/>
  <c r="AY14" i="8"/>
  <c r="AZ14" i="8"/>
  <c r="BA14" i="8"/>
  <c r="BB14" i="8"/>
  <c r="C15" i="8"/>
  <c r="O15" i="8"/>
  <c r="P15" i="8"/>
  <c r="V15" i="8"/>
  <c r="Y15" i="8"/>
  <c r="AP15" i="8"/>
  <c r="AQ15" i="8"/>
  <c r="AS15" i="8"/>
  <c r="AT15" i="8"/>
  <c r="AV15" i="8"/>
  <c r="AW15" i="8"/>
  <c r="AX15" i="8"/>
  <c r="AY15" i="8"/>
  <c r="AZ15" i="8"/>
  <c r="BA15" i="8"/>
  <c r="BB15" i="8"/>
  <c r="C16" i="8"/>
  <c r="O16" i="8"/>
  <c r="P16" i="8"/>
  <c r="V16" i="8"/>
  <c r="Y16" i="8"/>
  <c r="AP16" i="8"/>
  <c r="AQ16" i="8"/>
  <c r="AS16" i="8"/>
  <c r="AT16" i="8"/>
  <c r="AV16" i="8"/>
  <c r="AW16" i="8"/>
  <c r="AX16" i="8"/>
  <c r="AY16" i="8"/>
  <c r="AZ16" i="8"/>
  <c r="BA16" i="8"/>
  <c r="BB16" i="8"/>
  <c r="C17" i="8"/>
  <c r="O17" i="8"/>
  <c r="P17" i="8"/>
  <c r="V17" i="8"/>
  <c r="Y17" i="8"/>
  <c r="AP17" i="8"/>
  <c r="AQ17" i="8"/>
  <c r="AS17" i="8"/>
  <c r="AT17" i="8"/>
  <c r="AV17" i="8"/>
  <c r="AW17" i="8"/>
  <c r="AX17" i="8"/>
  <c r="AY17" i="8"/>
  <c r="AZ17" i="8"/>
  <c r="BA17" i="8"/>
  <c r="BB17" i="8"/>
  <c r="C18" i="8"/>
  <c r="O18" i="8"/>
  <c r="P18" i="8"/>
  <c r="V18" i="8"/>
  <c r="Y18" i="8"/>
  <c r="AP18" i="8"/>
  <c r="AQ18" i="8"/>
  <c r="AS18" i="8"/>
  <c r="AT18" i="8"/>
  <c r="AV18" i="8"/>
  <c r="AW18" i="8"/>
  <c r="AX18" i="8"/>
  <c r="AY18" i="8"/>
  <c r="AZ18" i="8"/>
  <c r="BA18" i="8"/>
  <c r="BB18" i="8"/>
  <c r="C19" i="8"/>
  <c r="O19" i="8"/>
  <c r="P19" i="8"/>
  <c r="V19" i="8"/>
  <c r="Y19" i="8"/>
  <c r="AP19" i="8"/>
  <c r="AQ19" i="8"/>
  <c r="AS19" i="8"/>
  <c r="AT19" i="8"/>
  <c r="AV19" i="8"/>
  <c r="AW19" i="8"/>
  <c r="AX19" i="8"/>
  <c r="AY19" i="8"/>
  <c r="AZ19" i="8"/>
  <c r="BA19" i="8"/>
  <c r="BB19" i="8"/>
  <c r="C20" i="8"/>
  <c r="O20" i="8"/>
  <c r="P20" i="8"/>
  <c r="V20" i="8"/>
  <c r="Y20" i="8"/>
  <c r="AP20" i="8"/>
  <c r="AQ20" i="8"/>
  <c r="AS20" i="8"/>
  <c r="AT20" i="8"/>
  <c r="AV20" i="8"/>
  <c r="AW20" i="8"/>
  <c r="AX20" i="8"/>
  <c r="AY20" i="8"/>
  <c r="AZ20" i="8"/>
  <c r="BA20" i="8"/>
  <c r="BB20" i="8"/>
  <c r="C21" i="8"/>
  <c r="O21" i="8"/>
  <c r="P21" i="8"/>
  <c r="V21" i="8"/>
  <c r="Y21" i="8"/>
  <c r="AP21" i="8"/>
  <c r="AQ21" i="8"/>
  <c r="AS21" i="8"/>
  <c r="AT21" i="8"/>
  <c r="AV21" i="8"/>
  <c r="AW21" i="8"/>
  <c r="AX21" i="8"/>
  <c r="AY21" i="8"/>
  <c r="AZ21" i="8"/>
  <c r="BA21" i="8"/>
  <c r="BB21" i="8"/>
  <c r="C22" i="8"/>
  <c r="O22" i="8"/>
  <c r="P22" i="8"/>
  <c r="V22" i="8"/>
  <c r="Y22" i="8"/>
  <c r="AP22" i="8"/>
  <c r="AQ22" i="8"/>
  <c r="AS22" i="8"/>
  <c r="AT22" i="8"/>
  <c r="AV22" i="8"/>
  <c r="AW22" i="8"/>
  <c r="AX22" i="8"/>
  <c r="AY22" i="8"/>
  <c r="AZ22" i="8"/>
  <c r="BA22" i="8"/>
  <c r="BB22" i="8"/>
  <c r="C23" i="8"/>
  <c r="O23" i="8"/>
  <c r="P23" i="8"/>
  <c r="V23" i="8"/>
  <c r="Y23" i="8"/>
  <c r="AP23" i="8"/>
  <c r="AQ23" i="8"/>
  <c r="AS23" i="8"/>
  <c r="AT23" i="8"/>
  <c r="AV23" i="8"/>
  <c r="AW23" i="8"/>
  <c r="AX23" i="8"/>
  <c r="AY23" i="8"/>
  <c r="AZ23" i="8"/>
  <c r="BA23" i="8"/>
  <c r="BB23" i="8"/>
  <c r="C24" i="8"/>
  <c r="O24" i="8"/>
  <c r="P24" i="8"/>
  <c r="V24" i="8"/>
  <c r="Y24" i="8"/>
  <c r="AP24" i="8"/>
  <c r="AQ24" i="8"/>
  <c r="AS24" i="8"/>
  <c r="AT24" i="8"/>
  <c r="AV24" i="8"/>
  <c r="AW24" i="8"/>
  <c r="AX24" i="8"/>
  <c r="AY24" i="8"/>
  <c r="AZ24" i="8"/>
  <c r="BA24" i="8"/>
  <c r="BB24" i="8"/>
  <c r="C25" i="8"/>
  <c r="O25" i="8"/>
  <c r="P25" i="8"/>
  <c r="V25" i="8"/>
  <c r="Y25" i="8"/>
  <c r="AP25" i="8"/>
  <c r="AQ25" i="8"/>
  <c r="AS25" i="8"/>
  <c r="AT25" i="8"/>
  <c r="AV25" i="8"/>
  <c r="AW25" i="8"/>
  <c r="AX25" i="8"/>
  <c r="AY25" i="8"/>
  <c r="AZ25" i="8"/>
  <c r="BA25" i="8"/>
  <c r="BB25" i="8"/>
  <c r="C26" i="8"/>
  <c r="O26" i="8"/>
  <c r="P26" i="8"/>
  <c r="V26" i="8"/>
  <c r="Y26" i="8"/>
  <c r="AP26" i="8"/>
  <c r="AQ26" i="8"/>
  <c r="AS26" i="8"/>
  <c r="AT26" i="8"/>
  <c r="AV26" i="8"/>
  <c r="AW26" i="8"/>
  <c r="AX26" i="8"/>
  <c r="AY26" i="8"/>
  <c r="AZ26" i="8"/>
  <c r="BA26" i="8"/>
  <c r="BB26" i="8"/>
  <c r="C27" i="8"/>
  <c r="O27" i="8"/>
  <c r="P27" i="8"/>
  <c r="V27" i="8"/>
  <c r="Y27" i="8"/>
  <c r="AP27" i="8"/>
  <c r="AQ27" i="8"/>
  <c r="AS27" i="8"/>
  <c r="AT27" i="8"/>
  <c r="AV27" i="8"/>
  <c r="AW27" i="8"/>
  <c r="AX27" i="8"/>
  <c r="AY27" i="8"/>
  <c r="AZ27" i="8"/>
  <c r="BA27" i="8"/>
  <c r="BB27" i="8"/>
  <c r="C28" i="8"/>
  <c r="O28" i="8"/>
  <c r="P28" i="8"/>
  <c r="V28" i="8"/>
  <c r="Y28" i="8"/>
  <c r="AP28" i="8"/>
  <c r="AQ28" i="8"/>
  <c r="AS28" i="8"/>
  <c r="AT28" i="8"/>
  <c r="AV28" i="8"/>
  <c r="AW28" i="8"/>
  <c r="AX28" i="8"/>
  <c r="AY28" i="8"/>
  <c r="AZ28" i="8"/>
  <c r="BA28" i="8"/>
  <c r="BB28" i="8"/>
  <c r="C29" i="8"/>
  <c r="O29" i="8"/>
  <c r="P29" i="8"/>
  <c r="V29" i="8"/>
  <c r="Y29" i="8"/>
  <c r="AP29" i="8"/>
  <c r="AQ29" i="8"/>
  <c r="AS29" i="8"/>
  <c r="AT29" i="8"/>
  <c r="AV29" i="8"/>
  <c r="AW29" i="8"/>
  <c r="AX29" i="8"/>
  <c r="AY29" i="8"/>
  <c r="AZ29" i="8"/>
  <c r="BA29" i="8"/>
  <c r="BB29" i="8"/>
  <c r="C30" i="8"/>
  <c r="O30" i="8"/>
  <c r="P30" i="8"/>
  <c r="V30" i="8"/>
  <c r="Y30" i="8"/>
  <c r="AP30" i="8"/>
  <c r="AQ30" i="8"/>
  <c r="AS30" i="8"/>
  <c r="AT30" i="8"/>
  <c r="AV30" i="8"/>
  <c r="AW30" i="8"/>
  <c r="AX30" i="8"/>
  <c r="AY30" i="8"/>
  <c r="AZ30" i="8"/>
  <c r="BA30" i="8"/>
  <c r="BB30" i="8"/>
  <c r="C31" i="8"/>
  <c r="O31" i="8"/>
  <c r="P31" i="8"/>
  <c r="V31" i="8"/>
  <c r="Y31" i="8"/>
  <c r="AP31" i="8"/>
  <c r="AQ31" i="8"/>
  <c r="AS31" i="8"/>
  <c r="AT31" i="8"/>
  <c r="AV31" i="8"/>
  <c r="AW31" i="8"/>
  <c r="AX31" i="8"/>
  <c r="AY31" i="8"/>
  <c r="AZ31" i="8"/>
  <c r="BA31" i="8"/>
  <c r="BB31" i="8"/>
  <c r="C32" i="8"/>
  <c r="O32" i="8"/>
  <c r="P32" i="8"/>
  <c r="V32" i="8"/>
  <c r="Y32" i="8"/>
  <c r="AP32" i="8"/>
  <c r="AQ32" i="8"/>
  <c r="AS32" i="8"/>
  <c r="AT32" i="8"/>
  <c r="AV32" i="8"/>
  <c r="AW32" i="8"/>
  <c r="AX32" i="8"/>
  <c r="AY32" i="8"/>
  <c r="AZ32" i="8"/>
  <c r="BA32" i="8"/>
  <c r="BB32" i="8"/>
  <c r="C33" i="8"/>
  <c r="O33" i="8"/>
  <c r="P33" i="8"/>
  <c r="V33" i="8"/>
  <c r="Y33" i="8"/>
  <c r="AP33" i="8"/>
  <c r="AQ33" i="8"/>
  <c r="AS33" i="8"/>
  <c r="AT33" i="8"/>
  <c r="AV33" i="8"/>
  <c r="AW33" i="8"/>
  <c r="AX33" i="8"/>
  <c r="AY33" i="8"/>
  <c r="AZ33" i="8"/>
  <c r="BA33" i="8"/>
  <c r="BB33" i="8"/>
  <c r="C34" i="8"/>
  <c r="O34" i="8"/>
  <c r="P34" i="8"/>
  <c r="V34" i="8"/>
  <c r="Y34" i="8"/>
  <c r="AP34" i="8"/>
  <c r="AQ34" i="8"/>
  <c r="AS34" i="8"/>
  <c r="AT34" i="8"/>
  <c r="AV34" i="8"/>
  <c r="AW34" i="8"/>
  <c r="AX34" i="8"/>
  <c r="AY34" i="8"/>
  <c r="AZ34" i="8"/>
  <c r="BA34" i="8"/>
  <c r="BB34" i="8"/>
  <c r="C35" i="8"/>
  <c r="O35" i="8"/>
  <c r="P35" i="8"/>
  <c r="V35" i="8"/>
  <c r="Y35" i="8"/>
  <c r="AP35" i="8"/>
  <c r="AQ35" i="8"/>
  <c r="AS35" i="8"/>
  <c r="AT35" i="8"/>
  <c r="AV35" i="8"/>
  <c r="AW35" i="8"/>
  <c r="AX35" i="8"/>
  <c r="AY35" i="8"/>
  <c r="AZ35" i="8"/>
  <c r="BA35" i="8"/>
  <c r="BB35" i="8"/>
  <c r="C36" i="8"/>
  <c r="O36" i="8"/>
  <c r="P36" i="8"/>
  <c r="V36" i="8"/>
  <c r="Y36" i="8"/>
  <c r="AP36" i="8"/>
  <c r="AQ36" i="8"/>
  <c r="AS36" i="8"/>
  <c r="AT36" i="8"/>
  <c r="AV36" i="8"/>
  <c r="AW36" i="8"/>
  <c r="AX36" i="8"/>
  <c r="AY36" i="8"/>
  <c r="AZ36" i="8"/>
  <c r="BA36" i="8"/>
  <c r="BB36" i="8"/>
  <c r="C37" i="8"/>
  <c r="O37" i="8"/>
  <c r="P37" i="8"/>
  <c r="V37" i="8"/>
  <c r="Y37" i="8"/>
  <c r="AP37" i="8"/>
  <c r="AQ37" i="8"/>
  <c r="AS37" i="8"/>
  <c r="AT37" i="8"/>
  <c r="AV37" i="8"/>
  <c r="AW37" i="8"/>
  <c r="AX37" i="8"/>
  <c r="AY37" i="8"/>
  <c r="AZ37" i="8"/>
  <c r="BA37" i="8"/>
  <c r="BB37" i="8"/>
  <c r="C38" i="8"/>
  <c r="O38" i="8"/>
  <c r="P38" i="8"/>
  <c r="V38" i="8"/>
  <c r="Y38" i="8"/>
  <c r="AP38" i="8"/>
  <c r="AQ38" i="8"/>
  <c r="AS38" i="8"/>
  <c r="AT38" i="8"/>
  <c r="AV38" i="8"/>
  <c r="AW38" i="8"/>
  <c r="AX38" i="8"/>
  <c r="AY38" i="8"/>
  <c r="AZ38" i="8"/>
  <c r="BA38" i="8"/>
  <c r="BB38" i="8"/>
  <c r="C39" i="8"/>
  <c r="O39" i="8"/>
  <c r="P39" i="8"/>
  <c r="V39" i="8"/>
  <c r="Y39" i="8"/>
  <c r="AP39" i="8"/>
  <c r="AQ39" i="8"/>
  <c r="AS39" i="8"/>
  <c r="AT39" i="8"/>
  <c r="AV39" i="8"/>
  <c r="AW39" i="8"/>
  <c r="AX39" i="8"/>
  <c r="AY39" i="8"/>
  <c r="AZ39" i="8"/>
  <c r="BA39" i="8"/>
  <c r="BB39" i="8"/>
  <c r="O40" i="8"/>
  <c r="P40" i="8"/>
  <c r="V40" i="8"/>
  <c r="Y40" i="8"/>
  <c r="AP40" i="8"/>
  <c r="AQ40" i="8"/>
  <c r="AS40" i="8"/>
  <c r="AT40" i="8"/>
  <c r="AV40" i="8"/>
  <c r="AW40" i="8"/>
  <c r="AX40" i="8"/>
  <c r="AY40" i="8"/>
  <c r="AZ40" i="8"/>
  <c r="BA40" i="8"/>
  <c r="BB40" i="8"/>
  <c r="C41" i="8"/>
  <c r="O41" i="8"/>
  <c r="P41" i="8"/>
  <c r="V41" i="8"/>
  <c r="Y41" i="8"/>
  <c r="AP41" i="8"/>
  <c r="AQ41" i="8"/>
  <c r="AS41" i="8"/>
  <c r="AT41" i="8"/>
  <c r="AV41" i="8"/>
  <c r="AW41" i="8"/>
  <c r="AX41" i="8"/>
  <c r="AY41" i="8"/>
  <c r="AZ41" i="8"/>
  <c r="BA41" i="8"/>
  <c r="BB41" i="8"/>
  <c r="C42" i="8"/>
  <c r="O42" i="8"/>
  <c r="P42" i="8"/>
  <c r="V42" i="8"/>
  <c r="Y42" i="8"/>
  <c r="AP42" i="8"/>
  <c r="AQ42" i="8"/>
  <c r="AS42" i="8"/>
  <c r="AT42" i="8"/>
  <c r="AV42" i="8"/>
  <c r="AW42" i="8"/>
  <c r="AX42" i="8"/>
  <c r="AY42" i="8"/>
  <c r="AZ42" i="8"/>
  <c r="BA42" i="8"/>
  <c r="BB42" i="8"/>
  <c r="C43" i="8"/>
  <c r="O43" i="8"/>
  <c r="P43" i="8"/>
  <c r="V43" i="8"/>
  <c r="Y43" i="8"/>
  <c r="AP43" i="8"/>
  <c r="AQ43" i="8"/>
  <c r="AS43" i="8"/>
  <c r="AT43" i="8"/>
  <c r="AV43" i="8"/>
  <c r="AW43" i="8"/>
  <c r="AX43" i="8"/>
  <c r="AY43" i="8"/>
  <c r="AZ43" i="8"/>
  <c r="BA43" i="8"/>
  <c r="BB43" i="8"/>
  <c r="C44" i="8"/>
  <c r="O44" i="8"/>
  <c r="P44" i="8"/>
  <c r="V44" i="8"/>
  <c r="Y44" i="8"/>
  <c r="AP44" i="8"/>
  <c r="AQ44" i="8"/>
  <c r="AS44" i="8"/>
  <c r="AT44" i="8"/>
  <c r="AV44" i="8"/>
  <c r="AW44" i="8"/>
  <c r="AX44" i="8"/>
  <c r="AY44" i="8"/>
  <c r="AZ44" i="8"/>
  <c r="BA44" i="8"/>
  <c r="BB44" i="8"/>
  <c r="C45" i="8"/>
  <c r="O45" i="8"/>
  <c r="P45" i="8"/>
  <c r="V45" i="8"/>
  <c r="Y45" i="8"/>
  <c r="AP45" i="8"/>
  <c r="AQ45" i="8"/>
  <c r="AS45" i="8"/>
  <c r="AT45" i="8"/>
  <c r="AV45" i="8"/>
  <c r="AW45" i="8"/>
  <c r="AX45" i="8"/>
  <c r="AY45" i="8"/>
  <c r="AZ45" i="8"/>
  <c r="BA45" i="8"/>
  <c r="BB45" i="8"/>
  <c r="C46" i="8"/>
  <c r="O46" i="8"/>
  <c r="P46" i="8"/>
  <c r="V46" i="8"/>
  <c r="Y46" i="8"/>
  <c r="AP46" i="8"/>
  <c r="AQ46" i="8"/>
  <c r="AS46" i="8"/>
  <c r="AT46" i="8"/>
  <c r="AV46" i="8"/>
  <c r="AW46" i="8"/>
  <c r="AX46" i="8"/>
  <c r="AY46" i="8"/>
  <c r="AZ46" i="8"/>
  <c r="BA46" i="8"/>
  <c r="BB46" i="8"/>
  <c r="C47" i="8"/>
  <c r="O47" i="8"/>
  <c r="P47" i="8"/>
  <c r="V47" i="8"/>
  <c r="Y47" i="8"/>
  <c r="AP47" i="8"/>
  <c r="AQ47" i="8"/>
  <c r="AS47" i="8"/>
  <c r="AT47" i="8"/>
  <c r="AV47" i="8"/>
  <c r="AW47" i="8"/>
  <c r="AX47" i="8"/>
  <c r="AY47" i="8"/>
  <c r="AZ47" i="8"/>
  <c r="BA47" i="8"/>
  <c r="BB47" i="8"/>
  <c r="C48" i="8"/>
  <c r="O48" i="8"/>
  <c r="P48" i="8"/>
  <c r="V48" i="8"/>
  <c r="Y48" i="8"/>
  <c r="AP48" i="8"/>
  <c r="AQ48" i="8"/>
  <c r="AS48" i="8"/>
  <c r="AT48" i="8"/>
  <c r="AV48" i="8"/>
  <c r="AW48" i="8"/>
  <c r="AX48" i="8"/>
  <c r="AY48" i="8"/>
  <c r="AZ48" i="8"/>
  <c r="BA48" i="8"/>
  <c r="BB48" i="8"/>
  <c r="C49" i="8"/>
  <c r="O49" i="8"/>
  <c r="P49" i="8"/>
  <c r="V49" i="8"/>
  <c r="Y49" i="8"/>
  <c r="AP49" i="8"/>
  <c r="AQ49" i="8"/>
  <c r="AS49" i="8"/>
  <c r="AT49" i="8"/>
  <c r="AV49" i="8"/>
  <c r="AW49" i="8"/>
  <c r="AX49" i="8"/>
  <c r="AY49" i="8"/>
  <c r="AZ49" i="8"/>
  <c r="BA49" i="8"/>
  <c r="BB49" i="8"/>
  <c r="C50" i="8"/>
  <c r="O50" i="8"/>
  <c r="P50" i="8"/>
  <c r="V50" i="8"/>
  <c r="Y50" i="8"/>
  <c r="AP50" i="8"/>
  <c r="AQ50" i="8"/>
  <c r="AS50" i="8"/>
  <c r="AT50" i="8"/>
  <c r="AV50" i="8"/>
  <c r="AW50" i="8"/>
  <c r="AX50" i="8"/>
  <c r="AY50" i="8"/>
  <c r="AZ50" i="8"/>
  <c r="BA50" i="8"/>
  <c r="BB50" i="8"/>
  <c r="C51" i="8"/>
  <c r="O51" i="8"/>
  <c r="P51" i="8"/>
  <c r="V51" i="8"/>
  <c r="Y51" i="8"/>
  <c r="AP51" i="8"/>
  <c r="AQ51" i="8"/>
  <c r="AS51" i="8"/>
  <c r="AT51" i="8"/>
  <c r="AV51" i="8"/>
  <c r="AW51" i="8"/>
  <c r="AX51" i="8"/>
  <c r="AY51" i="8"/>
  <c r="AZ51" i="8"/>
  <c r="BA51" i="8"/>
  <c r="BB51" i="8"/>
  <c r="C52" i="8"/>
  <c r="O52" i="8"/>
  <c r="P52" i="8"/>
  <c r="V52" i="8"/>
  <c r="Y52" i="8"/>
  <c r="AP52" i="8"/>
  <c r="AQ52" i="8"/>
  <c r="AS52" i="8"/>
  <c r="AT52" i="8"/>
  <c r="AV52" i="8"/>
  <c r="AW52" i="8"/>
  <c r="AX52" i="8"/>
  <c r="AY52" i="8"/>
  <c r="AZ52" i="8"/>
  <c r="BA52" i="8"/>
  <c r="BB52" i="8"/>
  <c r="C53" i="8"/>
  <c r="O53" i="8"/>
  <c r="P53" i="8"/>
  <c r="V53" i="8"/>
  <c r="Y53" i="8"/>
  <c r="AP53" i="8"/>
  <c r="AQ53" i="8"/>
  <c r="AS53" i="8"/>
  <c r="AT53" i="8"/>
  <c r="AV53" i="8"/>
  <c r="AW53" i="8"/>
  <c r="AX53" i="8"/>
  <c r="AY53" i="8"/>
  <c r="AZ53" i="8"/>
  <c r="BA53" i="8"/>
  <c r="BB53" i="8"/>
  <c r="C54" i="8"/>
  <c r="O54" i="8"/>
  <c r="P54" i="8"/>
  <c r="V54" i="8"/>
  <c r="Y54" i="8"/>
  <c r="AP54" i="8"/>
  <c r="AQ54" i="8"/>
  <c r="AS54" i="8"/>
  <c r="AT54" i="8"/>
  <c r="AV54" i="8"/>
  <c r="AW54" i="8"/>
  <c r="AX54" i="8"/>
  <c r="AY54" i="8"/>
  <c r="AZ54" i="8"/>
  <c r="BA54" i="8"/>
  <c r="BB54" i="8"/>
  <c r="C55" i="8"/>
  <c r="O55" i="8"/>
  <c r="P55" i="8"/>
  <c r="V55" i="8"/>
  <c r="Y55" i="8"/>
  <c r="AP55" i="8"/>
  <c r="AQ55" i="8"/>
  <c r="AS55" i="8"/>
  <c r="AT55" i="8"/>
  <c r="AV55" i="8"/>
  <c r="AW55" i="8"/>
  <c r="AX55" i="8"/>
  <c r="AY55" i="8"/>
  <c r="AZ55" i="8"/>
  <c r="BA55" i="8"/>
  <c r="BB55" i="8"/>
  <c r="C56" i="8"/>
  <c r="O56" i="8"/>
  <c r="P56" i="8"/>
  <c r="V56" i="8"/>
  <c r="Y56" i="8"/>
  <c r="AP56" i="8"/>
  <c r="AQ56" i="8"/>
  <c r="AS56" i="8"/>
  <c r="AT56" i="8"/>
  <c r="AV56" i="8"/>
  <c r="AW56" i="8"/>
  <c r="AX56" i="8"/>
  <c r="AY56" i="8"/>
  <c r="AZ56" i="8"/>
  <c r="BA56" i="8"/>
  <c r="BB56" i="8"/>
  <c r="C57" i="8"/>
  <c r="O57" i="8"/>
  <c r="P57" i="8"/>
  <c r="V57" i="8"/>
  <c r="Y57" i="8"/>
  <c r="AP57" i="8"/>
  <c r="AQ57" i="8"/>
  <c r="AS57" i="8"/>
  <c r="AT57" i="8"/>
  <c r="AV57" i="8"/>
  <c r="AW57" i="8"/>
  <c r="AX57" i="8"/>
  <c r="AY57" i="8"/>
  <c r="AZ57" i="8"/>
  <c r="BA57" i="8"/>
  <c r="BB57" i="8"/>
  <c r="C58" i="8"/>
  <c r="O58" i="8"/>
  <c r="P58" i="8"/>
  <c r="V58" i="8"/>
  <c r="Y58" i="8"/>
  <c r="AP58" i="8"/>
  <c r="AQ58" i="8"/>
  <c r="AS58" i="8"/>
  <c r="AT58" i="8"/>
  <c r="AV58" i="8"/>
  <c r="AW58" i="8"/>
  <c r="AX58" i="8"/>
  <c r="AY58" i="8"/>
  <c r="AZ58" i="8"/>
  <c r="BA58" i="8"/>
  <c r="BB58" i="8"/>
  <c r="C59" i="8"/>
  <c r="O59" i="8"/>
  <c r="P59" i="8"/>
  <c r="V59" i="8"/>
  <c r="Y59" i="8"/>
  <c r="AP59" i="8"/>
  <c r="AQ59" i="8"/>
  <c r="AS59" i="8"/>
  <c r="AT59" i="8"/>
  <c r="AV59" i="8"/>
  <c r="AW59" i="8"/>
  <c r="AX59" i="8"/>
  <c r="AY59" i="8"/>
  <c r="AZ59" i="8"/>
  <c r="BA59" i="8"/>
  <c r="BB59" i="8"/>
  <c r="C60" i="8"/>
  <c r="O60" i="8"/>
  <c r="P60" i="8"/>
  <c r="V60" i="8"/>
  <c r="Y60" i="8"/>
  <c r="AP60" i="8"/>
  <c r="AQ60" i="8"/>
  <c r="AS60" i="8"/>
  <c r="AT60" i="8"/>
  <c r="AV60" i="8"/>
  <c r="AW60" i="8"/>
  <c r="AX60" i="8"/>
  <c r="AY60" i="8"/>
  <c r="AZ60" i="8"/>
  <c r="BA60" i="8"/>
  <c r="BB60" i="8"/>
  <c r="BK17" i="7"/>
  <c r="BK12" i="7"/>
  <c r="BK20" i="7"/>
  <c r="BK21" i="7"/>
  <c r="BK23" i="7"/>
  <c r="BK22" i="7"/>
  <c r="BK15" i="7"/>
  <c r="BK14" i="7"/>
  <c r="BK13" i="7"/>
  <c r="BK16" i="7"/>
  <c r="BK19" i="7"/>
  <c r="BK18" i="7"/>
  <c r="BJ2202" i="7"/>
  <c r="BJ1814" i="7"/>
  <c r="BJ2087" i="7"/>
  <c r="BJ1867" i="7"/>
  <c r="BJ1800" i="7"/>
  <c r="BJ405" i="7"/>
  <c r="BJ1495" i="7"/>
  <c r="BJ1439" i="7"/>
  <c r="BJ2086" i="7"/>
  <c r="BJ279" i="7"/>
  <c r="BJ1714" i="7"/>
  <c r="BJ375" i="7"/>
  <c r="BJ1865" i="7"/>
  <c r="BJ1846" i="7"/>
  <c r="BJ2178" i="7"/>
  <c r="BJ1538" i="7"/>
  <c r="BJ1631" i="7"/>
  <c r="BJ2207" i="7"/>
  <c r="BJ920" i="7"/>
  <c r="BJ117" i="7"/>
  <c r="BJ1907" i="7"/>
  <c r="BJ1657" i="7"/>
  <c r="BJ1624" i="7"/>
  <c r="BJ1890" i="7"/>
  <c r="BJ2254" i="7"/>
  <c r="BJ1633" i="7"/>
  <c r="BJ2194" i="7"/>
  <c r="BJ1396" i="7"/>
  <c r="BJ1002" i="7"/>
  <c r="BJ1861" i="7"/>
  <c r="BH2202" i="7"/>
  <c r="BH941" i="7"/>
  <c r="BH2198" i="7"/>
  <c r="BH2201" i="7"/>
  <c r="BH2094" i="7"/>
  <c r="BH1858" i="7"/>
  <c r="BH2097" i="7"/>
  <c r="BH1406" i="7"/>
  <c r="BH1857" i="7"/>
  <c r="BH1651" i="7"/>
  <c r="BH1405" i="7"/>
  <c r="BH1908" i="7"/>
  <c r="BH2096" i="7"/>
  <c r="BH2095" i="7"/>
  <c r="BH2255" i="7"/>
  <c r="BH1158" i="7"/>
  <c r="BH1407" i="7"/>
  <c r="BH1452" i="7"/>
  <c r="BH2200" i="7"/>
  <c r="BH1647" i="7"/>
  <c r="BH1453" i="7"/>
  <c r="BH1023" i="7"/>
  <c r="BH1859" i="7"/>
  <c r="BH1482" i="7"/>
  <c r="BH697" i="7"/>
  <c r="BH1856" i="7"/>
  <c r="BH294" i="7"/>
  <c r="BH1156" i="7"/>
  <c r="BH245" i="7"/>
  <c r="BH2098" i="7"/>
  <c r="BH1403" i="7"/>
  <c r="BH2199" i="7"/>
  <c r="BH1648" i="7"/>
  <c r="BH1854" i="7"/>
  <c r="BH1402" i="7"/>
  <c r="BH1451" i="7"/>
  <c r="BH2275" i="7"/>
  <c r="BH1852" i="7"/>
  <c r="BH1155" i="7"/>
  <c r="BH1855" i="7"/>
  <c r="BH1395" i="7"/>
  <c r="BH956" i="7"/>
  <c r="BH1468" i="7"/>
  <c r="BH543" i="7"/>
  <c r="BH1184" i="7"/>
  <c r="BH1404" i="7"/>
  <c r="BH1649" i="7"/>
  <c r="BH937" i="7"/>
  <c r="BH2237" i="7"/>
  <c r="BH2197" i="7"/>
  <c r="BH346" i="7"/>
  <c r="BH570" i="7"/>
  <c r="BH1157" i="7"/>
  <c r="BH367" i="7"/>
  <c r="BH696" i="7"/>
  <c r="BH2256" i="7"/>
  <c r="BH939" i="7"/>
  <c r="BH940" i="7"/>
  <c r="BH1003" i="7"/>
  <c r="BH1479" i="7"/>
  <c r="BH1000" i="7"/>
  <c r="BH927" i="7"/>
  <c r="BH2102" i="7"/>
  <c r="BH1196" i="7"/>
  <c r="BH1398" i="7"/>
  <c r="BH1173" i="7"/>
  <c r="BH1467" i="7"/>
  <c r="BH1400" i="7"/>
  <c r="BH1848" i="7"/>
  <c r="BH432" i="7"/>
  <c r="BH1480" i="7"/>
  <c r="BH2090" i="7"/>
  <c r="BH1447" i="7"/>
  <c r="BH68" i="7"/>
  <c r="BH1638" i="7"/>
  <c r="BH1866" i="7"/>
  <c r="BH1924" i="7"/>
  <c r="BH1670" i="7"/>
  <c r="BH2122" i="7"/>
  <c r="BH2099" i="7"/>
  <c r="BH1166" i="7"/>
  <c r="BH2101" i="7"/>
  <c r="BH2112" i="7"/>
  <c r="BH1652" i="7"/>
  <c r="BH405" i="7"/>
  <c r="BH1439" i="7"/>
  <c r="BH279" i="7"/>
  <c r="BH1714" i="7"/>
  <c r="BH1865" i="7"/>
  <c r="BH1846" i="7"/>
  <c r="BH117" i="7"/>
  <c r="BH1907" i="7"/>
  <c r="BH1657" i="7"/>
  <c r="BH1624" i="7"/>
  <c r="BH1890" i="7"/>
  <c r="BH1861" i="7"/>
  <c r="BH256" i="7"/>
  <c r="BH2257" i="7"/>
  <c r="BH310" i="7"/>
  <c r="BH2260" i="7"/>
  <c r="BH2116" i="7"/>
  <c r="BB2202" i="7"/>
  <c r="BB941" i="7"/>
  <c r="BB218" i="7"/>
  <c r="BB215" i="7"/>
  <c r="BB219" i="7"/>
  <c r="BB222" i="7"/>
  <c r="BB216" i="7"/>
  <c r="BB220" i="7"/>
  <c r="BB221" i="7"/>
  <c r="BB217" i="7"/>
  <c r="BB1902" i="7"/>
  <c r="BB2198" i="7"/>
  <c r="BB2201" i="7"/>
  <c r="BB2094" i="7"/>
  <c r="BB1858" i="7"/>
  <c r="BB2097" i="7"/>
  <c r="BB1406" i="7"/>
  <c r="BB1857" i="7"/>
  <c r="BB2028" i="7"/>
  <c r="BB1651" i="7"/>
  <c r="BB1936" i="7"/>
  <c r="BB1784" i="7"/>
  <c r="BB2069" i="7"/>
  <c r="BB1405" i="7"/>
  <c r="BB1908" i="7"/>
  <c r="BB1845" i="7"/>
  <c r="BB1045" i="7"/>
  <c r="BB2096" i="7"/>
  <c r="BB646" i="7"/>
  <c r="BB2095" i="7"/>
  <c r="BB1696" i="7"/>
  <c r="BB1549" i="7"/>
  <c r="BB1773" i="7"/>
  <c r="BB2255" i="7"/>
  <c r="BB1338" i="7"/>
  <c r="BB1938" i="7"/>
  <c r="BB748" i="7"/>
  <c r="BB1236" i="7"/>
  <c r="BB1158" i="7"/>
  <c r="BB1179" i="7"/>
  <c r="BB1809" i="7"/>
  <c r="BB1345" i="7"/>
  <c r="BB2051" i="7"/>
  <c r="BB1214" i="7"/>
  <c r="BB1572" i="7"/>
  <c r="BB2147" i="7"/>
  <c r="BB2176" i="7"/>
  <c r="BB1407" i="7"/>
  <c r="BB1452" i="7"/>
  <c r="BB1691" i="7"/>
  <c r="BB1298" i="7"/>
  <c r="BB2200" i="7"/>
  <c r="BB881" i="7"/>
  <c r="BB1224" i="7"/>
  <c r="BB252" i="7"/>
  <c r="BB759" i="7"/>
  <c r="BB1051" i="7"/>
  <c r="BB1684" i="7"/>
  <c r="BB680" i="7"/>
  <c r="BB1647" i="7"/>
  <c r="BB1062" i="7"/>
  <c r="BB1945" i="7"/>
  <c r="BB1453" i="7"/>
  <c r="BB2008" i="7"/>
  <c r="BB1421" i="7"/>
  <c r="BB1892" i="7"/>
  <c r="BB871" i="7"/>
  <c r="BB1023" i="7"/>
  <c r="BB882" i="7"/>
  <c r="BB1995" i="7"/>
  <c r="BB1060" i="7"/>
  <c r="BB1231" i="7"/>
  <c r="BB1872" i="7"/>
  <c r="BB821" i="7"/>
  <c r="BB1285" i="7"/>
  <c r="BB1859" i="7"/>
  <c r="BB1178" i="7"/>
  <c r="BB986" i="7"/>
  <c r="BB289" i="7"/>
  <c r="BB1721" i="7"/>
  <c r="BB1482" i="7"/>
  <c r="BB2167" i="7"/>
  <c r="BB1035" i="7"/>
  <c r="BB1951" i="7"/>
  <c r="BB888" i="7"/>
  <c r="BB580" i="7"/>
  <c r="BB1501" i="7"/>
  <c r="BB1194" i="7"/>
  <c r="BB1247" i="7"/>
  <c r="BB1445" i="7"/>
  <c r="BB738" i="7"/>
  <c r="BB2049" i="7"/>
  <c r="BB697" i="7"/>
  <c r="BB1180" i="7"/>
  <c r="BB559" i="7"/>
  <c r="BB1030" i="7"/>
  <c r="BB836" i="7"/>
  <c r="BB562" i="7"/>
  <c r="BB2171" i="7"/>
  <c r="BB1856" i="7"/>
  <c r="BB960" i="7"/>
  <c r="BB839" i="7"/>
  <c r="BB2057" i="7"/>
  <c r="BB1937" i="7"/>
  <c r="BB865" i="7"/>
  <c r="BB820" i="7"/>
  <c r="BB1169" i="7"/>
  <c r="BB2052" i="7"/>
  <c r="BB2139" i="7"/>
  <c r="BB858" i="7"/>
  <c r="BB2105" i="7"/>
  <c r="BB251" i="7"/>
  <c r="BB744" i="7"/>
  <c r="BB1423" i="7"/>
  <c r="BB1739" i="7"/>
  <c r="BB1376" i="7"/>
  <c r="BB1546" i="7"/>
  <c r="BB783" i="7"/>
  <c r="BB1969" i="7"/>
  <c r="BB1687" i="7"/>
  <c r="BB294" i="7"/>
  <c r="BB621" i="7"/>
  <c r="BB1621" i="7"/>
  <c r="BB1620" i="7"/>
  <c r="BB625" i="7"/>
  <c r="BB253" i="7"/>
  <c r="BB2134" i="7"/>
  <c r="BB319" i="7"/>
  <c r="BB1697" i="7"/>
  <c r="BB1413" i="7"/>
  <c r="BB1499" i="7"/>
  <c r="BB1685" i="7"/>
  <c r="BB1429" i="7"/>
  <c r="BB1195" i="7"/>
  <c r="BB710" i="7"/>
  <c r="BB1220" i="7"/>
  <c r="BB1084" i="7"/>
  <c r="BB1871" i="7"/>
  <c r="BB1920" i="7"/>
  <c r="BB1290" i="7"/>
  <c r="BB361" i="7"/>
  <c r="BB384" i="7"/>
  <c r="BB385" i="7"/>
  <c r="BB383" i="7"/>
  <c r="BB382" i="7"/>
  <c r="BB410" i="7"/>
  <c r="BB408" i="7"/>
  <c r="BB418" i="7"/>
  <c r="BB419" i="7"/>
  <c r="BB465" i="7"/>
  <c r="BB907" i="7"/>
  <c r="BB596" i="7"/>
  <c r="BB1254" i="7"/>
  <c r="BB1728" i="7"/>
  <c r="BB1944" i="7"/>
  <c r="BB1496" i="7"/>
  <c r="BB757" i="7"/>
  <c r="BB1578" i="7"/>
  <c r="BB2089" i="7"/>
  <c r="BB79" i="7"/>
  <c r="BB102" i="7"/>
  <c r="BB101" i="7"/>
  <c r="BB2022" i="7"/>
  <c r="BB1874" i="7"/>
  <c r="BB1737" i="7"/>
  <c r="BB80" i="7"/>
  <c r="BB82" i="7"/>
  <c r="BB81" i="7"/>
  <c r="BB100" i="7"/>
  <c r="BB103" i="7"/>
  <c r="BB1961" i="7"/>
  <c r="BB630" i="7"/>
  <c r="BB622" i="7"/>
  <c r="BB1446" i="7"/>
  <c r="BB381" i="7"/>
  <c r="BB1156" i="7"/>
  <c r="BB1778" i="7"/>
  <c r="BB780" i="7"/>
  <c r="BB595" i="7"/>
  <c r="BB1349" i="7"/>
  <c r="BB265" i="7"/>
  <c r="BB1176" i="7"/>
  <c r="BB1284" i="7"/>
  <c r="BB982" i="7"/>
  <c r="BB811" i="7"/>
  <c r="BB1186" i="7"/>
  <c r="BB331" i="7"/>
  <c r="BB1055" i="7"/>
  <c r="BB1200" i="7"/>
  <c r="BB1432" i="7"/>
  <c r="BB1168" i="7"/>
  <c r="BB2128" i="7"/>
  <c r="BB1082" i="7"/>
  <c r="BB2282" i="7"/>
  <c r="BB1288" i="7"/>
  <c r="BB249" i="7"/>
  <c r="BB316" i="7"/>
  <c r="BB640" i="7"/>
  <c r="BB765" i="7"/>
  <c r="BB1514" i="7"/>
  <c r="BB245" i="7"/>
  <c r="BB1068" i="7"/>
  <c r="BB1263" i="7"/>
  <c r="BB1269" i="7"/>
  <c r="BB1350" i="7"/>
  <c r="BB561" i="7"/>
  <c r="BB1940" i="7"/>
  <c r="BB409" i="7"/>
  <c r="BB427" i="7"/>
  <c r="BB424" i="7"/>
  <c r="BB429" i="7"/>
  <c r="BB421" i="7"/>
  <c r="BB585" i="7"/>
  <c r="BB2161" i="7"/>
  <c r="BB2098" i="7"/>
  <c r="BB1688" i="7"/>
  <c r="BB1941" i="7"/>
  <c r="BB1491" i="7"/>
  <c r="BB1243" i="7"/>
  <c r="BB1630" i="7"/>
  <c r="BB912" i="7"/>
  <c r="BB792" i="7"/>
  <c r="BB1024" i="7"/>
  <c r="BB141" i="7"/>
  <c r="BB213" i="7"/>
  <c r="BB1074" i="7"/>
  <c r="BB826" i="7"/>
  <c r="BB1942" i="7"/>
  <c r="BB144" i="7"/>
  <c r="BB1612" i="7"/>
  <c r="BB1607" i="7"/>
  <c r="BB1239" i="7"/>
  <c r="BB1403" i="7"/>
  <c r="BB1498" i="7"/>
  <c r="BB2111" i="7"/>
  <c r="BB55" i="7"/>
  <c r="BB814" i="7"/>
  <c r="BB1910" i="7"/>
  <c r="BB471" i="7"/>
  <c r="BB1911" i="7"/>
  <c r="BB1502" i="7"/>
  <c r="BB2199" i="7"/>
  <c r="BB1648" i="7"/>
  <c r="BB1109" i="7"/>
  <c r="BB1955" i="7"/>
  <c r="BB567" i="7"/>
  <c r="BB1516" i="7"/>
  <c r="BB1515" i="7"/>
  <c r="BB1984" i="7"/>
  <c r="BB1264" i="7"/>
  <c r="BB2141" i="7"/>
  <c r="BB118" i="7"/>
  <c r="BB140" i="7"/>
  <c r="BB1077" i="7"/>
  <c r="BB1305" i="7"/>
  <c r="BB1611" i="7"/>
  <c r="BB1448" i="7"/>
  <c r="BB660" i="7"/>
  <c r="BB846" i="7"/>
  <c r="BB1297" i="7"/>
  <c r="BB1237" i="7"/>
  <c r="BB464" i="7"/>
  <c r="BB961" i="7"/>
  <c r="BB1734" i="7"/>
  <c r="BB1333" i="7"/>
  <c r="BB1713" i="7"/>
  <c r="BB1854" i="7"/>
  <c r="BB449" i="7"/>
  <c r="BB487" i="7"/>
  <c r="BB1424" i="7"/>
  <c r="BB2169" i="7"/>
  <c r="BB661" i="7"/>
  <c r="BB942" i="7"/>
  <c r="BB1402" i="7"/>
  <c r="BB318" i="7"/>
  <c r="BB388" i="7"/>
  <c r="BB1125" i="7"/>
  <c r="BB1850" i="7"/>
  <c r="BB588" i="7"/>
  <c r="BB1983" i="7"/>
  <c r="BB879" i="7"/>
  <c r="BB350" i="7"/>
  <c r="BB598" i="7"/>
  <c r="BB2107" i="7"/>
  <c r="BB724" i="7"/>
  <c r="BB105" i="7"/>
  <c r="BB2061" i="7"/>
  <c r="BB1994" i="7"/>
  <c r="BB234" i="7"/>
  <c r="BB631" i="7"/>
  <c r="BB1040" i="7"/>
  <c r="BB1722" i="7"/>
  <c r="BB1732" i="7"/>
  <c r="BB2266" i="7"/>
  <c r="BB513" i="7"/>
  <c r="BB1080" i="7"/>
  <c r="BB1497" i="7"/>
  <c r="BB1935" i="7"/>
  <c r="BB2214" i="7"/>
  <c r="BB60" i="7"/>
  <c r="BB1187" i="7"/>
  <c r="BB2130" i="7"/>
  <c r="BB463" i="7"/>
  <c r="BB577" i="7"/>
  <c r="BB651" i="7"/>
  <c r="BB1036" i="7"/>
  <c r="BB1931" i="7"/>
  <c r="BB1197" i="7"/>
  <c r="BB1411" i="7"/>
  <c r="BB582" i="7"/>
  <c r="BB785" i="7"/>
  <c r="BB1206" i="7"/>
  <c r="BB2203" i="7"/>
  <c r="BB1451" i="7"/>
  <c r="BB1686" i="7"/>
  <c r="BB1547" i="7"/>
  <c r="BB1870" i="7"/>
  <c r="BB2012" i="7"/>
  <c r="BB1703" i="7"/>
  <c r="BB1127" i="7"/>
  <c r="BB205" i="7"/>
  <c r="BB1508" i="7"/>
  <c r="BB1673" i="7"/>
  <c r="BB969" i="7"/>
  <c r="BB1095" i="7"/>
  <c r="BB387" i="7"/>
  <c r="BB1775" i="7"/>
  <c r="BB1010" i="7"/>
  <c r="BB755" i="7"/>
  <c r="BB514" i="7"/>
  <c r="BB1559" i="7"/>
  <c r="BB848" i="7"/>
  <c r="BB1321" i="7"/>
  <c r="BB1950" i="7"/>
  <c r="BB2136" i="7"/>
  <c r="BB1494" i="7"/>
  <c r="BB1654" i="7"/>
  <c r="BB563" i="7"/>
  <c r="BB428" i="7"/>
  <c r="BB1308" i="7"/>
  <c r="BB48" i="7"/>
  <c r="BB1210" i="7"/>
  <c r="BB413" i="7"/>
  <c r="BB584" i="7"/>
  <c r="BB716" i="7"/>
  <c r="BB1112" i="7"/>
  <c r="BB452" i="7"/>
  <c r="BB1232" i="7"/>
  <c r="BB560" i="7"/>
  <c r="BB1889" i="7"/>
  <c r="BB653" i="7"/>
  <c r="BB1510" i="7"/>
  <c r="BB336" i="7"/>
  <c r="BB1201" i="7"/>
  <c r="BB809" i="7"/>
  <c r="BB1595" i="7"/>
  <c r="BB512" i="7"/>
  <c r="BB1171" i="7"/>
  <c r="BB1059" i="7"/>
  <c r="BB1234" i="7"/>
  <c r="BB2006" i="7"/>
  <c r="BB1838" i="7"/>
  <c r="BB2275" i="7"/>
  <c r="BB83" i="7"/>
  <c r="BB84" i="7"/>
  <c r="BB1939" i="7"/>
  <c r="BB1256" i="7"/>
  <c r="BB1977" i="7"/>
  <c r="BB236" i="7"/>
  <c r="BB230" i="7"/>
  <c r="BB228" i="7"/>
  <c r="BB231" i="7"/>
  <c r="BB227" i="7"/>
  <c r="BB224" i="7"/>
  <c r="BB225" i="7"/>
  <c r="BB226" i="7"/>
  <c r="BB1853" i="7"/>
  <c r="BB593" i="7"/>
  <c r="BB1090" i="7"/>
  <c r="BB1852" i="7"/>
  <c r="BB1971" i="7"/>
  <c r="BB1522" i="7"/>
  <c r="BB891" i="7"/>
  <c r="BB240" i="7"/>
  <c r="BB273" i="7"/>
  <c r="BB754" i="7"/>
  <c r="BB85" i="7"/>
  <c r="BB86" i="7"/>
  <c r="BB2177" i="7"/>
  <c r="BB1351" i="7"/>
  <c r="BB87" i="7"/>
  <c r="BB1026" i="7"/>
  <c r="BB209" i="7"/>
  <c r="BB1007" i="7"/>
  <c r="BB1699" i="7"/>
  <c r="BB1715" i="7"/>
  <c r="BB1215" i="7"/>
  <c r="BB1455" i="7"/>
  <c r="BB1609" i="7"/>
  <c r="BB1434" i="7"/>
  <c r="BB1876" i="7"/>
  <c r="BB600" i="7"/>
  <c r="BB2044" i="7"/>
  <c r="BB1119" i="7"/>
  <c r="BB88" i="7"/>
  <c r="BB740" i="7"/>
  <c r="BB1155" i="7"/>
  <c r="BB1096" i="7"/>
  <c r="BB282" i="7"/>
  <c r="BB1582" i="7"/>
  <c r="BB1855" i="7"/>
  <c r="BB1083" i="7"/>
  <c r="BB1213" i="7"/>
  <c r="BB764" i="7"/>
  <c r="BB52" i="7"/>
  <c r="BB943" i="7"/>
  <c r="BB1244" i="7"/>
  <c r="BB965" i="7"/>
  <c r="BB962" i="7"/>
  <c r="BB1395" i="7"/>
  <c r="BB1428" i="7"/>
  <c r="BB1596" i="7"/>
  <c r="BB1653" i="7"/>
  <c r="BB332" i="7"/>
  <c r="BB578" i="7"/>
  <c r="BB948" i="7"/>
  <c r="BB355" i="7"/>
  <c r="BB348" i="7"/>
  <c r="BB370" i="7"/>
  <c r="BB1787" i="7"/>
  <c r="BB1879" i="7"/>
  <c r="BB303" i="7"/>
  <c r="BB956" i="7"/>
  <c r="BB1070" i="7"/>
  <c r="BB1468" i="7"/>
  <c r="BB637" i="7"/>
  <c r="BB395" i="7"/>
  <c r="BB1199" i="7"/>
  <c r="BB1327" i="7"/>
  <c r="BB1337" i="7"/>
  <c r="BB24" i="7"/>
  <c r="BB50" i="7"/>
  <c r="BB1948" i="7"/>
  <c r="BB2032" i="7"/>
  <c r="BB543" i="7"/>
  <c r="BB2135" i="7"/>
  <c r="BB2229" i="7"/>
  <c r="BB787" i="7"/>
  <c r="BB1808" i="7"/>
  <c r="BB901" i="7"/>
  <c r="BB1252" i="7"/>
  <c r="BB393" i="7"/>
  <c r="BB772" i="7"/>
  <c r="BB7" i="7"/>
  <c r="BB107" i="7"/>
  <c r="BB1212" i="7"/>
  <c r="BB2238" i="7"/>
  <c r="BB1099" i="7"/>
  <c r="BB1294" i="7"/>
  <c r="BB1965" i="7"/>
  <c r="BB2104" i="7"/>
  <c r="BB919" i="7"/>
  <c r="BB1560" i="7"/>
  <c r="BB92" i="7"/>
  <c r="BB1690" i="7"/>
  <c r="BB714" i="7"/>
  <c r="BB1536" i="7"/>
  <c r="BB545" i="7"/>
  <c r="BB707" i="7"/>
  <c r="BB1184" i="7"/>
  <c r="BB2140" i="7"/>
  <c r="BB2138" i="7"/>
  <c r="BB237" i="7"/>
  <c r="BB248" i="7"/>
  <c r="BB684" i="7"/>
  <c r="BB1364" i="7"/>
  <c r="BB1674" i="7"/>
  <c r="BB89" i="7"/>
  <c r="BB51" i="7"/>
  <c r="BB2024" i="7"/>
  <c r="BB1061" i="7"/>
  <c r="BB770" i="7"/>
  <c r="BB800" i="7"/>
  <c r="BB996" i="7"/>
  <c r="BB369" i="7"/>
  <c r="BB587" i="7"/>
  <c r="BB2041" i="7"/>
  <c r="BB119" i="7"/>
  <c r="BB120" i="7"/>
  <c r="BB411" i="7"/>
  <c r="BB467" i="7"/>
  <c r="BB455" i="7"/>
  <c r="BB448" i="7"/>
  <c r="BB474" i="7"/>
  <c r="BB1054" i="7"/>
  <c r="BB1707" i="7"/>
  <c r="BB330" i="7"/>
  <c r="BB1724" i="7"/>
  <c r="BB2149" i="7"/>
  <c r="BB550" i="7"/>
  <c r="BB1770" i="7"/>
  <c r="BB1998" i="7"/>
  <c r="BB1693" i="7"/>
  <c r="BB349" i="7"/>
  <c r="BB1219" i="7"/>
  <c r="BB1794" i="7"/>
  <c r="BB262" i="7"/>
  <c r="BB1404" i="7"/>
  <c r="BB594" i="7"/>
  <c r="BB1711" i="7"/>
  <c r="BB2247" i="7"/>
  <c r="BB104" i="7"/>
  <c r="BB1649" i="7"/>
  <c r="BB576" i="7"/>
  <c r="BB807" i="7"/>
  <c r="BB290" i="7"/>
  <c r="BB607" i="7"/>
  <c r="BB2023" i="7"/>
  <c r="BB2155" i="7"/>
  <c r="BB784" i="7"/>
  <c r="BB967" i="7"/>
  <c r="BB1037" i="7"/>
  <c r="BB167" i="7"/>
  <c r="BB157" i="7"/>
  <c r="BB179" i="7"/>
  <c r="BB178" i="7"/>
  <c r="BB152" i="7"/>
  <c r="BB168" i="7"/>
  <c r="BB174" i="7"/>
  <c r="BB172" i="7"/>
  <c r="BB153" i="7"/>
  <c r="BB171" i="7"/>
  <c r="BB177" i="7"/>
  <c r="BB163" i="7"/>
  <c r="BB170" i="7"/>
  <c r="BB173" i="7"/>
  <c r="BB175" i="7"/>
  <c r="BB164" i="7"/>
  <c r="BB166" i="7"/>
  <c r="BB165" i="7"/>
  <c r="BB162" i="7"/>
  <c r="BB161" i="7"/>
  <c r="BB498" i="7"/>
  <c r="BB752" i="7"/>
  <c r="BB867" i="7"/>
  <c r="BB786" i="7"/>
  <c r="BB705" i="7"/>
  <c r="BB1223" i="7"/>
  <c r="BB1409" i="7"/>
  <c r="BB132" i="7"/>
  <c r="BB959" i="7"/>
  <c r="BB283" i="7"/>
  <c r="BB1056" i="7"/>
  <c r="BB347" i="7"/>
  <c r="BB825" i="7"/>
  <c r="BB1725" i="7"/>
  <c r="BB981" i="7"/>
  <c r="BB1209" i="7"/>
  <c r="BB479" i="7"/>
  <c r="BB360" i="7"/>
  <c r="BB995" i="7"/>
  <c r="BB1094" i="7"/>
  <c r="BB1161" i="7"/>
  <c r="BB1736" i="7"/>
  <c r="BB1953" i="7"/>
  <c r="BB356" i="7"/>
  <c r="BB2119" i="7"/>
  <c r="BB1493" i="7"/>
  <c r="BB886" i="7"/>
  <c r="BB374" i="7"/>
  <c r="BB1730" i="7"/>
  <c r="BB898" i="7"/>
  <c r="BB1695" i="7"/>
  <c r="BB837" i="7"/>
  <c r="BB1720" i="7"/>
  <c r="BB17" i="7"/>
  <c r="BB626" i="7"/>
  <c r="BB796" i="7"/>
  <c r="BB1513" i="7"/>
  <c r="BB2150" i="7"/>
  <c r="BB2151" i="7"/>
  <c r="BB1271" i="7"/>
  <c r="BB116" i="7"/>
  <c r="BB1242" i="7"/>
  <c r="BB958" i="7"/>
  <c r="BB446" i="7"/>
  <c r="BB311" i="7"/>
  <c r="BB1123" i="7"/>
  <c r="BB2196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659" i="7"/>
  <c r="BB2001" i="7"/>
  <c r="BB1132" i="7"/>
  <c r="BB1160" i="7"/>
  <c r="BB106" i="7"/>
  <c r="BB1531" i="7"/>
  <c r="BB254" i="7"/>
  <c r="BB122" i="7"/>
  <c r="BB565" i="7"/>
  <c r="BB1671" i="7"/>
  <c r="BB1791" i="7"/>
  <c r="BB266" i="7"/>
  <c r="BB1619" i="7"/>
  <c r="BB1174" i="7"/>
  <c r="BB970" i="7"/>
  <c r="BB376" i="7"/>
  <c r="BB1625" i="7"/>
  <c r="BB371" i="7"/>
  <c r="BB1813" i="7"/>
  <c r="BB1733" i="7"/>
  <c r="BB368" i="7"/>
  <c r="BB1042" i="7"/>
  <c r="BB771" i="7"/>
  <c r="BB2228" i="7"/>
  <c r="BB250" i="7"/>
  <c r="BB1486" i="7"/>
  <c r="BB10" i="7"/>
  <c r="BB649" i="7"/>
  <c r="BB1885" i="7"/>
  <c r="BB654" i="7"/>
  <c r="BB1250" i="7"/>
  <c r="BB1521" i="7"/>
  <c r="BB628" i="7"/>
  <c r="BB1085" i="7"/>
  <c r="BB1204" i="7"/>
  <c r="BB1759" i="7"/>
  <c r="BB532" i="7"/>
  <c r="BB650" i="7"/>
  <c r="BB856" i="7"/>
  <c r="BB994" i="7"/>
  <c r="BB1067" i="7"/>
  <c r="BB1712" i="7"/>
  <c r="BB1113" i="7"/>
  <c r="BB937" i="7"/>
  <c r="BB64" i="7"/>
  <c r="BB63" i="7"/>
  <c r="BB797" i="7"/>
  <c r="BB523" i="7"/>
  <c r="BB549" i="7"/>
  <c r="BB645" i="7"/>
  <c r="BB895" i="7"/>
  <c r="BB2280" i="7"/>
  <c r="BB1374" i="7"/>
  <c r="BB25" i="7"/>
  <c r="BB180" i="7"/>
  <c r="BB524" i="7"/>
  <c r="BB90" i="7"/>
  <c r="BB1420" i="7"/>
  <c r="BB1587" i="7"/>
  <c r="BB1352" i="7"/>
  <c r="BB1962" i="7"/>
  <c r="BB1797" i="7"/>
  <c r="BB527" i="7"/>
  <c r="BB753" i="7"/>
  <c r="BB1533" i="7"/>
  <c r="BB1542" i="7"/>
  <c r="BB158" i="7"/>
  <c r="BB712" i="7"/>
  <c r="BB333" i="7"/>
  <c r="BB890" i="7"/>
  <c r="BB1456" i="7"/>
  <c r="BB1894" i="7"/>
  <c r="BB1767" i="7"/>
  <c r="BB91" i="7"/>
  <c r="BB608" i="7"/>
  <c r="BB445" i="7"/>
  <c r="BB94" i="7"/>
  <c r="BB93" i="7"/>
  <c r="BB108" i="7"/>
  <c r="BB109" i="7"/>
  <c r="BB111" i="7"/>
  <c r="BB112" i="7"/>
  <c r="BB202" i="7"/>
  <c r="BB447" i="7"/>
  <c r="BB206" i="7"/>
  <c r="BB207" i="7"/>
  <c r="BB1079" i="7"/>
  <c r="BB636" i="7"/>
  <c r="BB983" i="7"/>
  <c r="BB477" i="7"/>
  <c r="BB756" i="7"/>
  <c r="BB129" i="7"/>
  <c r="BB246" i="7"/>
  <c r="BB1811" i="7"/>
  <c r="BB1763" i="7"/>
  <c r="BB110" i="7"/>
  <c r="BB574" i="7"/>
  <c r="BB1975" i="7"/>
  <c r="BB135" i="7"/>
  <c r="BB300" i="7"/>
  <c r="BB324" i="7"/>
  <c r="BB2237" i="7"/>
  <c r="BB183" i="7"/>
  <c r="BB182" i="7"/>
  <c r="BB184" i="7"/>
  <c r="BB185" i="7"/>
  <c r="BB176" i="7"/>
  <c r="BB181" i="7"/>
  <c r="BB304" i="7"/>
  <c r="BB548" i="7"/>
  <c r="BB113" i="7"/>
  <c r="BB1519" i="7"/>
  <c r="BB431" i="7"/>
  <c r="BB2144" i="7"/>
  <c r="BB984" i="7"/>
  <c r="BB1557" i="7"/>
  <c r="BB1801" i="7"/>
  <c r="BB1718" i="7"/>
  <c r="BB805" i="7"/>
  <c r="BB1511" i="7"/>
  <c r="BB312" i="7"/>
  <c r="BB2165" i="7"/>
  <c r="BB1752" i="7"/>
  <c r="BB2191" i="7"/>
  <c r="BB604" i="7"/>
  <c r="BB2040" i="7"/>
  <c r="BB2187" i="7"/>
  <c r="BB1044" i="7"/>
  <c r="BB2005" i="7"/>
  <c r="BB2053" i="7"/>
  <c r="BB2137" i="7"/>
  <c r="BB462" i="7"/>
  <c r="BB1208" i="7"/>
  <c r="BB1221" i="7"/>
  <c r="BB2210" i="7"/>
  <c r="BB297" i="7"/>
  <c r="BB1669" i="7"/>
  <c r="BB521" i="7"/>
  <c r="BB2270" i="7"/>
  <c r="BB223" i="7"/>
  <c r="BB1069" i="7"/>
  <c r="BB255" i="7"/>
  <c r="BB321" i="7"/>
  <c r="BB1878" i="7"/>
  <c r="BB915" i="7"/>
  <c r="BB1011" i="7"/>
  <c r="BB1198" i="7"/>
  <c r="BB619" i="7"/>
  <c r="BB1507" i="7"/>
  <c r="BB76" i="7"/>
  <c r="BB73" i="7"/>
  <c r="BB72" i="7"/>
  <c r="BB71" i="7"/>
  <c r="BB481" i="7"/>
  <c r="BB968" i="7"/>
  <c r="BB1064" i="7"/>
  <c r="BB1706" i="7"/>
  <c r="BB147" i="7"/>
  <c r="BB443" i="7"/>
  <c r="BB832" i="7"/>
  <c r="BB963" i="7"/>
  <c r="BB1114" i="7"/>
  <c r="BB1128" i="7"/>
  <c r="BB1181" i="7"/>
  <c r="BB850" i="7"/>
  <c r="BB699" i="7"/>
  <c r="BB1078" i="7"/>
  <c r="BB1015" i="7"/>
  <c r="BB815" i="7"/>
  <c r="BB1525" i="7"/>
  <c r="BB2077" i="7"/>
  <c r="BB1550" i="7"/>
  <c r="BB12" i="7"/>
  <c r="BB662" i="7"/>
  <c r="BB1532" i="7"/>
  <c r="BB1442" i="7"/>
  <c r="BB143" i="7"/>
  <c r="BB268" i="7"/>
  <c r="BB583" i="7"/>
  <c r="BB1689" i="7"/>
  <c r="BB417" i="7"/>
  <c r="BB875" i="7"/>
  <c r="BB96" i="7"/>
  <c r="BB1768" i="7"/>
  <c r="BB1627" i="7"/>
  <c r="BB1966" i="7"/>
  <c r="BB320" i="7"/>
  <c r="BB287" i="7"/>
  <c r="BB2121" i="7"/>
  <c r="BB44" i="7"/>
  <c r="BB203" i="7"/>
  <c r="BB529" i="7"/>
  <c r="BB469" i="7"/>
  <c r="BB1274" i="7"/>
  <c r="BB2242" i="7"/>
  <c r="BB134" i="7"/>
  <c r="BB20" i="7"/>
  <c r="BB1478" i="7"/>
  <c r="BB21" i="7"/>
  <c r="BB768" i="7"/>
  <c r="BB47" i="7"/>
  <c r="BB46" i="7"/>
  <c r="BB54" i="7"/>
  <c r="BB53" i="7"/>
  <c r="BB435" i="7"/>
  <c r="BB953" i="7"/>
  <c r="BB1172" i="7"/>
  <c r="BB776" i="7"/>
  <c r="BB1235" i="7"/>
  <c r="BB1815" i="7"/>
  <c r="BB354" i="7"/>
  <c r="BB1882" i="7"/>
  <c r="BB1347" i="7"/>
  <c r="BB1976" i="7"/>
  <c r="BB2188" i="7"/>
  <c r="BB1656" i="7"/>
  <c r="BB1704" i="7"/>
  <c r="BB1744" i="7"/>
  <c r="BB1990" i="7"/>
  <c r="BB2197" i="7"/>
  <c r="BB1836" i="7"/>
  <c r="BB315" i="7"/>
  <c r="BB775" i="7"/>
  <c r="BB946" i="7"/>
  <c r="BB508" i="7"/>
  <c r="BB818" i="7"/>
  <c r="BB987" i="7"/>
  <c r="BB1075" i="7"/>
  <c r="BB285" i="7"/>
  <c r="BB2231" i="7"/>
  <c r="BB433" i="7"/>
  <c r="BB777" i="7"/>
  <c r="BB1484" i="7"/>
  <c r="BB1947" i="7"/>
  <c r="BB1048" i="7"/>
  <c r="BB1544" i="7"/>
  <c r="BB1356" i="7"/>
  <c r="BB1592" i="7"/>
  <c r="BB78" i="7"/>
  <c r="BB77" i="7"/>
  <c r="BB74" i="7"/>
  <c r="BB75" i="7"/>
  <c r="BB2157" i="7"/>
  <c r="BB56" i="7"/>
  <c r="BB599" i="7"/>
  <c r="BB1825" i="7"/>
  <c r="BB721" i="7"/>
  <c r="BB1102" i="7"/>
  <c r="BB1145" i="7"/>
  <c r="BB1756" i="7"/>
  <c r="BB1804" i="7"/>
  <c r="BB1101" i="7"/>
  <c r="BB2050" i="7"/>
  <c r="BB272" i="7"/>
  <c r="BB519" i="7"/>
  <c r="BB334" i="7"/>
  <c r="BB1262" i="7"/>
  <c r="BB1540" i="7"/>
  <c r="BB664" i="7"/>
  <c r="BB1914" i="7"/>
  <c r="BB351" i="7"/>
  <c r="BB434" i="7"/>
  <c r="BB833" i="7"/>
  <c r="BB1205" i="7"/>
  <c r="BB1909" i="7"/>
  <c r="BB1915" i="7"/>
  <c r="BB1968" i="7"/>
  <c r="BB338" i="7"/>
  <c r="BB1610" i="7"/>
  <c r="BB475" i="7"/>
  <c r="BB422" i="7"/>
  <c r="BB1341" i="7"/>
  <c r="BB1551" i="7"/>
  <c r="BB1749" i="7"/>
  <c r="BB854" i="7"/>
  <c r="BB1675" i="7"/>
  <c r="BB23" i="7"/>
  <c r="BB22" i="7"/>
  <c r="BB1884" i="7"/>
  <c r="BB841" i="7"/>
  <c r="BB1463" i="7"/>
  <c r="BB1919" i="7"/>
  <c r="BB1963" i="7"/>
  <c r="BB1222" i="7"/>
  <c r="BB804" i="7"/>
  <c r="BB1293" i="7"/>
  <c r="BB472" i="7"/>
  <c r="BB438" i="7"/>
  <c r="BB1361" i="7"/>
  <c r="BB1425" i="7"/>
  <c r="BB1912" i="7"/>
  <c r="BB2258" i="7"/>
  <c r="BB480" i="7"/>
  <c r="BB843" i="7"/>
  <c r="BB899" i="7"/>
  <c r="BB1492" i="7"/>
  <c r="BB1344" i="7"/>
  <c r="BB346" i="7"/>
  <c r="BB774" i="7"/>
  <c r="BB1731" i="7"/>
  <c r="BB1978" i="7"/>
  <c r="BB801" i="7"/>
  <c r="BB1343" i="7"/>
  <c r="BB1483" i="7"/>
  <c r="BB531" i="7"/>
  <c r="BB1454" i="7"/>
  <c r="BB1692" i="7"/>
  <c r="BB590" i="7"/>
  <c r="BB2007" i="7"/>
  <c r="BB2033" i="7"/>
  <c r="BB146" i="7"/>
  <c r="BB264" i="7"/>
  <c r="BB506" i="7"/>
  <c r="BB658" i="7"/>
  <c r="BB1281" i="7"/>
  <c r="BB1461" i="7"/>
  <c r="BB1757" i="7"/>
  <c r="BB115" i="7"/>
  <c r="BB1073" i="7"/>
  <c r="BB1259" i="7"/>
  <c r="BB1535" i="7"/>
  <c r="BB1664" i="7"/>
  <c r="BB643" i="7"/>
  <c r="BB1415" i="7"/>
  <c r="BB1761" i="7"/>
  <c r="BB2268" i="7"/>
  <c r="BB552" i="7"/>
  <c r="BB2158" i="7"/>
  <c r="BB1982" i="7"/>
  <c r="BB739" i="7"/>
  <c r="BB1047" i="7"/>
  <c r="BB2071" i="7"/>
  <c r="BB570" i="7"/>
  <c r="BB1710" i="7"/>
  <c r="BB1886" i="7"/>
  <c r="BB284" i="7"/>
  <c r="BB414" i="7"/>
  <c r="BB799" i="7"/>
  <c r="BB1157" i="7"/>
  <c r="BB592" i="7"/>
  <c r="BB794" i="7"/>
  <c r="BB473" i="7"/>
  <c r="BB2027" i="7"/>
  <c r="BB511" i="7"/>
  <c r="BB1959" i="7"/>
  <c r="BB394" i="7"/>
  <c r="BB803" i="7"/>
  <c r="BB945" i="7"/>
  <c r="BB1017" i="7"/>
  <c r="BB1952" i="7"/>
  <c r="BB2037" i="7"/>
  <c r="BB751" i="7"/>
  <c r="BB1895" i="7"/>
  <c r="BB1999" i="7"/>
  <c r="BB1458" i="7"/>
  <c r="BB1789" i="7"/>
  <c r="BB439" i="7"/>
  <c r="BB1103" i="7"/>
  <c r="BB1427" i="7"/>
  <c r="BB389" i="7"/>
  <c r="BB1226" i="7"/>
  <c r="BB1216" i="7"/>
  <c r="BB9" i="7"/>
  <c r="BB242" i="7"/>
  <c r="BB1426" i="7"/>
  <c r="BB1552" i="7"/>
  <c r="BB1489" i="7"/>
  <c r="BB1265" i="7"/>
  <c r="BB1506" i="7"/>
  <c r="BB61" i="7"/>
  <c r="BB722" i="7"/>
  <c r="BB1957" i="7"/>
  <c r="BB782" i="7"/>
  <c r="BB779" i="7"/>
  <c r="BB1537" i="7"/>
  <c r="BB1500" i="7"/>
  <c r="BB442" i="7"/>
  <c r="BB566" i="7"/>
  <c r="BB1464" i="7"/>
  <c r="BB151" i="7"/>
  <c r="BB149" i="7"/>
  <c r="BB340" i="7"/>
  <c r="BB1575" i="7"/>
  <c r="BB1698" i="7"/>
  <c r="BB993" i="7"/>
  <c r="BB1766" i="7"/>
  <c r="BB358" i="7"/>
  <c r="BB1530" i="7"/>
  <c r="BB1309" i="7"/>
  <c r="BB1655" i="7"/>
  <c r="BB1933" i="7"/>
  <c r="BB2009" i="7"/>
  <c r="BB639" i="7"/>
  <c r="BB1887" i="7"/>
  <c r="BB352" i="7"/>
  <c r="BB367" i="7"/>
  <c r="BB1512" i="7"/>
  <c r="BB306" i="7"/>
  <c r="BB1230" i="7"/>
  <c r="BB1390" i="7"/>
  <c r="BB1605" i="7"/>
  <c r="BB130" i="7"/>
  <c r="BB507" i="7"/>
  <c r="BB793" i="7"/>
  <c r="BB1526" i="7"/>
  <c r="BB377" i="7"/>
  <c r="BB696" i="7"/>
  <c r="BB887" i="7"/>
  <c r="BB906" i="7"/>
  <c r="BB441" i="7"/>
  <c r="BB437" i="7"/>
  <c r="BB232" i="7"/>
  <c r="BB1065" i="7"/>
  <c r="BB1367" i="7"/>
  <c r="BB1188" i="7"/>
  <c r="BB490" i="7"/>
  <c r="BB1033" i="7"/>
  <c r="BB1360" i="7"/>
  <c r="BB1366" i="7"/>
  <c r="BB1245" i="7"/>
  <c r="BB1357" i="7"/>
  <c r="BB1313" i="7"/>
  <c r="BB2030" i="7"/>
  <c r="BB199" i="7"/>
  <c r="BB212" i="7"/>
  <c r="BB781" i="7"/>
  <c r="BB991" i="7"/>
  <c r="BB1319" i="7"/>
  <c r="BB1414" i="7"/>
  <c r="BB1355" i="7"/>
  <c r="BB1875" i="7"/>
  <c r="BB864" i="7"/>
  <c r="BB1041" i="7"/>
  <c r="BB1371" i="7"/>
  <c r="BB1520" i="7"/>
  <c r="BB1590" i="7"/>
  <c r="BB1818" i="7"/>
  <c r="BB709" i="7"/>
  <c r="BB2013" i="7"/>
  <c r="BB261" i="7"/>
  <c r="BB1541" i="7"/>
  <c r="BB1063" i="7"/>
  <c r="BB313" i="7"/>
  <c r="BB921" i="7"/>
  <c r="BB910" i="7"/>
  <c r="BB1597" i="7"/>
  <c r="BB145" i="7"/>
  <c r="BB670" i="7"/>
  <c r="BB802" i="7"/>
  <c r="BB675" i="7"/>
  <c r="BB1954" i="7"/>
  <c r="BB2156" i="7"/>
  <c r="BB1873" i="7"/>
  <c r="BB337" i="7"/>
  <c r="BB972" i="7"/>
  <c r="BB1148" i="7"/>
  <c r="BB1306" i="7"/>
  <c r="BB1217" i="7"/>
  <c r="BB1431" i="7"/>
  <c r="BB2148" i="7"/>
  <c r="BB482" i="7"/>
  <c r="BB838" i="7"/>
  <c r="BB1466" i="7"/>
  <c r="BB1680" i="7"/>
  <c r="BB314" i="7"/>
  <c r="BB1332" i="7"/>
  <c r="BB278" i="7"/>
  <c r="BB546" i="7"/>
  <c r="BB1694" i="7"/>
  <c r="BB1233" i="7"/>
  <c r="BB657" i="7"/>
  <c r="BB1153" i="7"/>
  <c r="BB667" i="7"/>
  <c r="BB894" i="7"/>
  <c r="BB2058" i="7"/>
  <c r="BB244" i="7"/>
  <c r="BB1238" i="7"/>
  <c r="BB1992" i="7"/>
  <c r="BB615" i="7"/>
  <c r="BB1021" i="7"/>
  <c r="BB1717" i="7"/>
  <c r="BB1795" i="7"/>
  <c r="BB2213" i="7"/>
  <c r="BB1806" i="7"/>
  <c r="BB1058" i="7"/>
  <c r="BB1481" i="7"/>
  <c r="BB1278" i="7"/>
  <c r="BB606" i="7"/>
  <c r="BB325" i="7"/>
  <c r="BB518" i="7"/>
  <c r="BB1266" i="7"/>
  <c r="BB425" i="7"/>
  <c r="BB1218" i="7"/>
  <c r="BB1207" i="7"/>
  <c r="BB1315" i="7"/>
  <c r="BB863" i="7"/>
  <c r="BB539" i="7"/>
  <c r="BB544" i="7"/>
  <c r="BB620" i="7"/>
  <c r="BB1991" i="7"/>
  <c r="BB97" i="7"/>
  <c r="BB2106" i="7"/>
  <c r="BB15" i="7"/>
  <c r="BB1504" i="7"/>
  <c r="BB564" i="7"/>
  <c r="BB1569" i="7"/>
  <c r="BB1249" i="7"/>
  <c r="BB2031" i="7"/>
  <c r="BB295" i="7"/>
  <c r="BB353" i="7"/>
  <c r="BB1565" i="7"/>
  <c r="BB1735" i="7"/>
  <c r="BB14" i="7"/>
  <c r="BB2133" i="7"/>
  <c r="BB2002" i="7"/>
  <c r="BB400" i="7"/>
  <c r="BB420" i="7"/>
  <c r="BB1046" i="7"/>
  <c r="BB1115" i="7"/>
  <c r="BB45" i="7"/>
  <c r="BB188" i="7"/>
  <c r="BB2010" i="7"/>
  <c r="BB148" i="7"/>
  <c r="BB979" i="7"/>
  <c r="BB1087" i="7"/>
  <c r="BB1354" i="7"/>
  <c r="BB1571" i="7"/>
  <c r="BB1604" i="7"/>
  <c r="BB1988" i="7"/>
  <c r="BB59" i="7"/>
  <c r="BB1163" i="7"/>
  <c r="BB1830" i="7"/>
  <c r="BB2017" i="7"/>
  <c r="BB1019" i="7"/>
  <c r="BB1863" i="7"/>
  <c r="BB2263" i="7"/>
  <c r="BB317" i="7"/>
  <c r="BB816" i="7"/>
  <c r="BB1307" i="7"/>
  <c r="BB2281" i="7"/>
  <c r="BB1091" i="7"/>
  <c r="BB200" i="7"/>
  <c r="BB257" i="7"/>
  <c r="BB857" i="7"/>
  <c r="BB379" i="7"/>
  <c r="BB2223" i="7"/>
  <c r="BB2073" i="7"/>
  <c r="BB271" i="7"/>
  <c r="BB57" i="7"/>
  <c r="BB58" i="7"/>
  <c r="BB713" i="7"/>
  <c r="BB1098" i="7"/>
  <c r="BB880" i="7"/>
  <c r="BB1417" i="7"/>
  <c r="BB1028" i="7"/>
  <c r="BB150" i="7"/>
  <c r="BB154" i="7"/>
  <c r="BB156" i="7"/>
  <c r="BB155" i="7"/>
  <c r="BB1120" i="7"/>
  <c r="BB1049" i="7"/>
  <c r="BB98" i="7"/>
  <c r="BB270" i="7"/>
  <c r="BB2085" i="7"/>
  <c r="BB515" i="7"/>
  <c r="BB766" i="7"/>
  <c r="BB1100" i="7"/>
  <c r="BB121" i="7"/>
  <c r="BB609" i="7"/>
  <c r="BB2035" i="7"/>
  <c r="BB2063" i="7"/>
  <c r="BB971" i="7"/>
  <c r="BB1140" i="7"/>
  <c r="BB2164" i="7"/>
  <c r="BB1137" i="7"/>
  <c r="BB1829" i="7"/>
  <c r="BB1989" i="7"/>
  <c r="BB1272" i="7"/>
  <c r="BB1561" i="7"/>
  <c r="BB2216" i="7"/>
  <c r="BB1339" i="7"/>
  <c r="BB2038" i="7"/>
  <c r="BB989" i="7"/>
  <c r="BB1676" i="7"/>
  <c r="BB2109" i="7"/>
  <c r="BB1081" i="7"/>
  <c r="BB2278" i="7"/>
  <c r="BB591" i="7"/>
  <c r="BB1683" i="7"/>
  <c r="BB1509" i="7"/>
  <c r="BB269" i="7"/>
  <c r="BB404" i="7"/>
  <c r="BB2182" i="7"/>
  <c r="BB1705" i="7"/>
  <c r="BB323" i="7"/>
  <c r="BB1133" i="7"/>
  <c r="BB275" i="7"/>
  <c r="BB1827" i="7"/>
  <c r="BB186" i="7"/>
  <c r="BB1972" i="7"/>
  <c r="BB828" i="7"/>
  <c r="BB1824" i="7"/>
  <c r="BB1477" i="7"/>
  <c r="BB1556" i="7"/>
  <c r="BB396" i="7"/>
  <c r="BB486" i="7"/>
  <c r="BB951" i="7"/>
  <c r="BB1401" i="7"/>
  <c r="BB516" i="7"/>
  <c r="BB1372" i="7"/>
  <c r="BB198" i="7"/>
  <c r="BB517" i="7"/>
  <c r="BB2011" i="7"/>
  <c r="BB2003" i="7"/>
  <c r="BB990" i="7"/>
  <c r="BB133" i="7"/>
  <c r="BB456" i="7"/>
  <c r="BB717" i="7"/>
  <c r="BB1182" i="7"/>
  <c r="BB551" i="7"/>
  <c r="BB2256" i="7"/>
  <c r="BB1202" i="7"/>
  <c r="BB1378" i="7"/>
  <c r="BB1986" i="7"/>
  <c r="BB893" i="7"/>
  <c r="BB819" i="7"/>
  <c r="BB1742" i="7"/>
  <c r="BB2185" i="7"/>
  <c r="BB124" i="7"/>
  <c r="BB123" i="7"/>
  <c r="BB1253" i="7"/>
  <c r="BB1470" i="7"/>
  <c r="BB1111" i="7"/>
  <c r="BB1662" i="7"/>
  <c r="BB280" i="7"/>
  <c r="BB258" i="7"/>
  <c r="BB43" i="7"/>
  <c r="BB2279" i="7"/>
  <c r="BB1365" i="7"/>
  <c r="BB1523" i="7"/>
  <c r="BB1760" i="7"/>
  <c r="BB1348" i="7"/>
  <c r="BB822" i="7"/>
  <c r="BB1881" i="7"/>
  <c r="BB851" i="7"/>
  <c r="BB701" i="7"/>
  <c r="BB204" i="7"/>
  <c r="BB791" i="7"/>
  <c r="BB1268" i="7"/>
  <c r="BB1566" i="7"/>
  <c r="BB2261" i="7"/>
  <c r="BB1554" i="7"/>
  <c r="BB114" i="7"/>
  <c r="BB2125" i="7"/>
  <c r="BB1960" i="7"/>
  <c r="BB663" i="7"/>
  <c r="BB1819" i="7"/>
  <c r="BB2186" i="7"/>
  <c r="BB42" i="7"/>
  <c r="BB488" i="7"/>
  <c r="BB1134" i="7"/>
  <c r="BB1430" i="7"/>
  <c r="BB1746" i="7"/>
  <c r="BB1336" i="7"/>
  <c r="BB1904" i="7"/>
  <c r="BB760" i="7"/>
  <c r="BB2166" i="7"/>
  <c r="BB201" i="7"/>
  <c r="BB597" i="7"/>
  <c r="BB798" i="7"/>
  <c r="BB1016" i="7"/>
  <c r="BB690" i="7"/>
  <c r="BB789" i="7"/>
  <c r="BB1598" i="7"/>
  <c r="BB1052" i="7"/>
  <c r="BB726" i="7"/>
  <c r="BB1877" i="7"/>
  <c r="BB855" i="7"/>
  <c r="BB2248" i="7"/>
  <c r="BB13" i="7"/>
  <c r="BB761" i="7"/>
  <c r="BB1005" i="7"/>
  <c r="BB412" i="7"/>
  <c r="BB952" i="7"/>
  <c r="BB1629" i="7"/>
  <c r="BB1743" i="7"/>
  <c r="BB208" i="7"/>
  <c r="BB900" i="7"/>
  <c r="BB1273" i="7"/>
  <c r="BB1436" i="7"/>
  <c r="BB1729" i="7"/>
  <c r="BB1755" i="7"/>
  <c r="BB390" i="7"/>
  <c r="BB2212" i="7"/>
  <c r="BB365" i="7"/>
  <c r="BB1029" i="7"/>
  <c r="BB1191" i="7"/>
  <c r="BB1296" i="7"/>
  <c r="BB1970" i="7"/>
  <c r="BB1270" i="7"/>
  <c r="BB1956" i="7"/>
  <c r="BB669" i="7"/>
  <c r="BB509" i="7"/>
  <c r="BB1291" i="7"/>
  <c r="BB1616" i="7"/>
  <c r="BB1310" i="7"/>
  <c r="BB2143" i="7"/>
  <c r="BB1602" i="7"/>
  <c r="BB1780" i="7"/>
  <c r="BB1576" i="7"/>
  <c r="BB470" i="7"/>
  <c r="BB1050" i="7"/>
  <c r="BB589" i="7"/>
  <c r="BB1107" i="7"/>
  <c r="BB1949" i="7"/>
  <c r="BB2226" i="7"/>
  <c r="BB373" i="7"/>
  <c r="BB1369" i="7"/>
  <c r="BB1473" i="7"/>
  <c r="BB1324" i="7"/>
  <c r="BB1548" i="7"/>
  <c r="BB1807" i="7"/>
  <c r="BB16" i="7"/>
  <c r="BB233" i="7"/>
  <c r="BB1301" i="7"/>
  <c r="BB1723" i="7"/>
  <c r="BB1393" i="7"/>
  <c r="BB1162" i="7"/>
  <c r="BB2183" i="7"/>
  <c r="BB1302" i="7"/>
  <c r="BB5" i="7"/>
  <c r="BB210" i="7"/>
  <c r="BB522" i="7"/>
  <c r="BB586" i="7"/>
  <c r="BB1883" i="7"/>
  <c r="BB1665" i="7"/>
  <c r="BB2065" i="7"/>
  <c r="BB988" i="7"/>
  <c r="BB2055" i="7"/>
  <c r="BB611" i="7"/>
  <c r="BB747" i="7"/>
  <c r="BB1326" i="7"/>
  <c r="BB1170" i="7"/>
  <c r="BB1368" i="7"/>
  <c r="BB1603" i="7"/>
  <c r="BB520" i="7"/>
  <c r="BB1105" i="7"/>
  <c r="BB750" i="7"/>
  <c r="BB1471" i="7"/>
  <c r="BB70" i="7"/>
  <c r="BB2269" i="7"/>
  <c r="BB1901" i="7"/>
  <c r="BB1783" i="7"/>
  <c r="BB1772" i="7"/>
  <c r="BB581" i="7"/>
  <c r="BB903" i="7"/>
  <c r="BB974" i="7"/>
  <c r="BB916" i="7"/>
  <c r="BB808" i="7"/>
  <c r="BB883" i="7"/>
  <c r="BB19" i="7"/>
  <c r="BB624" i="7"/>
  <c r="BB1820" i="7"/>
  <c r="BB1923" i="7"/>
  <c r="BB2039" i="7"/>
  <c r="BB2043" i="7"/>
  <c r="BB866" i="7"/>
  <c r="BB1387" i="7"/>
  <c r="BB1260" i="7"/>
  <c r="BB1279" i="7"/>
  <c r="BB1485" i="7"/>
  <c r="BB235" i="7"/>
  <c r="BB342" i="7"/>
  <c r="BB1283" i="7"/>
  <c r="BB1116" i="7"/>
  <c r="BB2046" i="7"/>
  <c r="BB2" i="7"/>
  <c r="BB1292" i="7"/>
  <c r="BB1996" i="7"/>
  <c r="BB1450" i="7"/>
  <c r="BB762" i="7"/>
  <c r="BB749" i="7"/>
  <c r="BB1190" i="7"/>
  <c r="BB1131" i="7"/>
  <c r="BB1382" i="7"/>
  <c r="BB862" i="7"/>
  <c r="BB1277" i="7"/>
  <c r="BB2190" i="7"/>
  <c r="BB905" i="7"/>
  <c r="BB1958" i="7"/>
  <c r="BB602" i="7"/>
  <c r="BB1868" i="7"/>
  <c r="BB736" i="7"/>
  <c r="BB806" i="7"/>
  <c r="BB1038" i="7"/>
  <c r="BB1141" i="7"/>
  <c r="BB1667" i="7"/>
  <c r="BB2154" i="7"/>
  <c r="BB769" i="7"/>
  <c r="BB1066" i="7"/>
  <c r="BB1828" i="7"/>
  <c r="BB18" i="7"/>
  <c r="BB1981" i="7"/>
  <c r="BB2168" i="7"/>
  <c r="BB2064" i="7"/>
  <c r="BB731" i="7"/>
  <c r="BB2181" i="7"/>
  <c r="BB468" i="7"/>
  <c r="BB485" i="7"/>
  <c r="BB1573" i="7"/>
  <c r="BB1835" i="7"/>
  <c r="BB683" i="7"/>
  <c r="BB1144" i="7"/>
  <c r="BB1918" i="7"/>
  <c r="BB1993" i="7"/>
  <c r="BB834" i="7"/>
  <c r="BB127" i="7"/>
  <c r="BB1286" i="7"/>
  <c r="BB671" i="7"/>
  <c r="BB904" i="7"/>
  <c r="BB1275" i="7"/>
  <c r="BB842" i="7"/>
  <c r="BB1034" i="7"/>
  <c r="BB845" i="7"/>
  <c r="BB1130" i="7"/>
  <c r="BB1822" i="7"/>
  <c r="BB1138" i="7"/>
  <c r="BB2113" i="7"/>
  <c r="BB298" i="7"/>
  <c r="BB840" i="7"/>
  <c r="BB938" i="7"/>
  <c r="BB1377" i="7"/>
  <c r="BB612" i="7"/>
  <c r="BB1014" i="7"/>
  <c r="BB1025" i="7"/>
  <c r="BB877" i="7"/>
  <c r="BB861" i="7"/>
  <c r="BB259" i="7"/>
  <c r="BB326" i="7"/>
  <c r="BB849" i="7"/>
  <c r="BB973" i="7"/>
  <c r="BB1412" i="7"/>
  <c r="BB2234" i="7"/>
  <c r="BB159" i="7"/>
  <c r="BB1189" i="7"/>
  <c r="BB322" i="7"/>
  <c r="BB672" i="7"/>
  <c r="BB998" i="7"/>
  <c r="BB1579" i="7"/>
  <c r="BB2020" i="7"/>
  <c r="BB949" i="7"/>
  <c r="BB1771" i="7"/>
  <c r="BB2249" i="7"/>
  <c r="BB868" i="7"/>
  <c r="BB1167" i="7"/>
  <c r="BB1679" i="7"/>
  <c r="BB1093" i="7"/>
  <c r="BB613" i="7"/>
  <c r="BB2084" i="7"/>
  <c r="BB2250" i="7"/>
  <c r="BB483" i="7"/>
  <c r="BB677" i="7"/>
  <c r="BB2018" i="7"/>
  <c r="BB528" i="7"/>
  <c r="BB1282" i="7"/>
  <c r="BB1334" i="7"/>
  <c r="BB1617" i="7"/>
  <c r="BB954" i="7"/>
  <c r="BB976" i="7"/>
  <c r="BB2042" i="7"/>
  <c r="BB1323" i="7"/>
  <c r="BB2209" i="7"/>
  <c r="BB2034" i="7"/>
  <c r="BB444" i="7"/>
  <c r="BB1006" i="7"/>
  <c r="BB1088" i="7"/>
  <c r="BB1358" i="7"/>
  <c r="BB459" i="7"/>
  <c r="BB296" i="7"/>
  <c r="BB610" i="7"/>
  <c r="BB2103" i="7"/>
  <c r="BB947" i="7"/>
  <c r="BB1092" i="7"/>
  <c r="BB638" i="7"/>
  <c r="BB1408" i="7"/>
  <c r="BB343" i="7"/>
  <c r="BB535" i="7"/>
  <c r="BB666" i="7"/>
  <c r="BB964" i="7"/>
  <c r="BB1126" i="7"/>
  <c r="BB1594" i="7"/>
  <c r="BB703" i="7"/>
  <c r="BB1146" i="7"/>
  <c r="BB1469" i="7"/>
  <c r="BB1577" i="7"/>
  <c r="BB1020" i="7"/>
  <c r="BB1001" i="7"/>
  <c r="BB1329" i="7"/>
  <c r="BB758" i="7"/>
  <c r="BB1394" i="7"/>
  <c r="BB366" i="7"/>
  <c r="BB1534" i="7"/>
  <c r="BB1851" i="7"/>
  <c r="BB2174" i="7"/>
  <c r="BB1568" i="7"/>
  <c r="BB876" i="7"/>
  <c r="BB1553" i="7"/>
  <c r="BB554" i="7"/>
  <c r="BB2060" i="7"/>
  <c r="BB2173" i="7"/>
  <c r="BB939" i="7"/>
  <c r="BB1359" i="7"/>
  <c r="BB1071" i="7"/>
  <c r="BB2215" i="7"/>
  <c r="BB229" i="7"/>
  <c r="BB1375" i="7"/>
  <c r="BB1386" i="7"/>
  <c r="BB2180" i="7"/>
  <c r="BB1022" i="7"/>
  <c r="BB647" i="7"/>
  <c r="BB2124" i="7"/>
  <c r="BB1149" i="7"/>
  <c r="BB1928" i="7"/>
  <c r="BB1503" i="7"/>
  <c r="BB510" i="7"/>
  <c r="BB997" i="7"/>
  <c r="BB1472" i="7"/>
  <c r="BB1753" i="7"/>
  <c r="BB190" i="7"/>
  <c r="BB623" i="7"/>
  <c r="BB1622" i="7"/>
  <c r="BB853" i="7"/>
  <c r="BB1388" i="7"/>
  <c r="BB2218" i="7"/>
  <c r="BB1039" i="7"/>
  <c r="BB1774" i="7"/>
  <c r="BB940" i="7"/>
  <c r="BB2246" i="7"/>
  <c r="BB267" i="7"/>
  <c r="BB2220" i="7"/>
  <c r="BB1709" i="7"/>
  <c r="BB2211" i="7"/>
  <c r="BB1012" i="7"/>
  <c r="BB2078" i="7"/>
  <c r="BB526" i="7"/>
  <c r="BB1810" i="7"/>
  <c r="BB1086" i="7"/>
  <c r="BB430" i="7"/>
  <c r="BB1921" i="7"/>
  <c r="BB688" i="7"/>
  <c r="BB902" i="7"/>
  <c r="BB1110" i="7"/>
  <c r="BB1353" i="7"/>
  <c r="BB2172" i="7"/>
  <c r="BB823" i="7"/>
  <c r="BB1896" i="7"/>
  <c r="BB344" i="7"/>
  <c r="BB423" i="7"/>
  <c r="BB932" i="7"/>
  <c r="BB1440" i="7"/>
  <c r="BB397" i="7"/>
  <c r="BB648" i="7"/>
  <c r="BB1626" i="7"/>
  <c r="BB260" i="7"/>
  <c r="BB767" i="7"/>
  <c r="BB495" i="7"/>
  <c r="BB635" i="7"/>
  <c r="BB1917" i="7"/>
  <c r="BB1702" i="7"/>
  <c r="BB1843" i="7"/>
  <c r="BB1574" i="7"/>
  <c r="BB1831" i="7"/>
  <c r="BB160" i="7"/>
  <c r="BB704" i="7"/>
  <c r="BB1927" i="7"/>
  <c r="BB466" i="7"/>
  <c r="BB501" i="7"/>
  <c r="BB1248" i="7"/>
  <c r="BB1891" i="7"/>
  <c r="BB2029" i="7"/>
  <c r="BB830" i="7"/>
  <c r="BB2239" i="7"/>
  <c r="BB817" i="7"/>
  <c r="BB1860" i="7"/>
  <c r="BB1121" i="7"/>
  <c r="BB1330" i="7"/>
  <c r="BB1826" i="7"/>
  <c r="BB1118" i="7"/>
  <c r="BB1681" i="7"/>
  <c r="BB1618" i="7"/>
  <c r="BB2025" i="7"/>
  <c r="BB460" i="7"/>
  <c r="BB1580" i="7"/>
  <c r="BB2110" i="7"/>
  <c r="BB1438" i="7"/>
  <c r="BB1663" i="7"/>
  <c r="BB489" i="7"/>
  <c r="BB1628" i="7"/>
  <c r="BB67" i="7"/>
  <c r="BB131" i="7"/>
  <c r="BB1076" i="7"/>
  <c r="BB1798" i="7"/>
  <c r="BB1139" i="7"/>
  <c r="BB1750" i="7"/>
  <c r="BB1570" i="7"/>
  <c r="BB1528" i="7"/>
  <c r="BB1433" i="7"/>
  <c r="BB1974" i="7"/>
  <c r="BB247" i="7"/>
  <c r="BB2264" i="7"/>
  <c r="BB573" i="7"/>
  <c r="BB453" i="7"/>
  <c r="BB813" i="7"/>
  <c r="BB1586" i="7"/>
  <c r="BB401" i="7"/>
  <c r="BB450" i="7"/>
  <c r="BB810" i="7"/>
  <c r="BB1108" i="7"/>
  <c r="BB1726" i="7"/>
  <c r="BB1459" i="7"/>
  <c r="BB1591" i="7"/>
  <c r="BB2019" i="7"/>
  <c r="BB1370" i="7"/>
  <c r="BB1913" i="7"/>
  <c r="BB2059" i="7"/>
  <c r="BB2225" i="7"/>
  <c r="BB11" i="7"/>
  <c r="BB1241" i="7"/>
  <c r="BB1803" i="7"/>
  <c r="BB2179" i="7"/>
  <c r="BB874" i="7"/>
  <c r="BB1973" i="7"/>
  <c r="BB491" i="7"/>
  <c r="BB2115" i="7"/>
  <c r="BB689" i="7"/>
  <c r="BB824" i="7"/>
  <c r="BB1117" i="7"/>
  <c r="BB3" i="7"/>
  <c r="BB126" i="7"/>
  <c r="BB125" i="7"/>
  <c r="BB192" i="7"/>
  <c r="BB572" i="7"/>
  <c r="BB1435" i="7"/>
  <c r="BB1299" i="7"/>
  <c r="BB1419" i="7"/>
  <c r="BB917" i="7"/>
  <c r="BB928" i="7"/>
  <c r="BB1839" i="7"/>
  <c r="BB193" i="7"/>
  <c r="BB187" i="7"/>
  <c r="BB191" i="7"/>
  <c r="BB440" i="7"/>
  <c r="BB617" i="7"/>
  <c r="BB700" i="7"/>
  <c r="BB950" i="7"/>
  <c r="BB1634" i="7"/>
  <c r="BB372" i="7"/>
  <c r="BB1585" i="7"/>
  <c r="BB571" i="7"/>
  <c r="BB458" i="7"/>
  <c r="BB1964" i="7"/>
  <c r="BB1564" i="7"/>
  <c r="BB1644" i="7"/>
  <c r="BB547" i="7"/>
  <c r="BB2160" i="7"/>
  <c r="BB263" i="7"/>
  <c r="BB730" i="7"/>
  <c r="BB706" i="7"/>
  <c r="BB1708" i="7"/>
  <c r="BB65" i="7"/>
  <c r="BB2067" i="7"/>
  <c r="BB69" i="7"/>
  <c r="BB288" i="7"/>
  <c r="BB301" i="7"/>
  <c r="BB908" i="7"/>
  <c r="BB1636" i="7"/>
  <c r="BB2222" i="7"/>
  <c r="BB2054" i="7"/>
  <c r="BB238" i="7"/>
  <c r="BB1645" i="7"/>
  <c r="BB632" i="7"/>
  <c r="BB719" i="7"/>
  <c r="BB1832" i="7"/>
  <c r="BB2126" i="7"/>
  <c r="BB1317" i="7"/>
  <c r="BB568" i="7"/>
  <c r="BB1812" i="7"/>
  <c r="BB66" i="7"/>
  <c r="BB2100" i="7"/>
  <c r="BB308" i="7"/>
  <c r="BB2079" i="7"/>
  <c r="BB335" i="7"/>
  <c r="BB674" i="7"/>
  <c r="BB1193" i="7"/>
  <c r="BB2235" i="7"/>
  <c r="BB1841" i="7"/>
  <c r="BB2129" i="7"/>
  <c r="BB1792" i="7"/>
  <c r="BB1543" i="7"/>
  <c r="BB1745" i="7"/>
  <c r="BB1769" i="7"/>
  <c r="BB929" i="7"/>
  <c r="BB1258" i="7"/>
  <c r="BB391" i="7"/>
  <c r="BB1678" i="7"/>
  <c r="BB605" i="7"/>
  <c r="BB918" i="7"/>
  <c r="BB1276" i="7"/>
  <c r="BB1837" i="7"/>
  <c r="BB4" i="7"/>
  <c r="BB616" i="7"/>
  <c r="BB665" i="7"/>
  <c r="BB569" i="7"/>
  <c r="BB911" i="7"/>
  <c r="BB795" i="7"/>
  <c r="BB2123" i="7"/>
  <c r="BB1457" i="7"/>
  <c r="BB1211" i="7"/>
  <c r="BB1229" i="7"/>
  <c r="BB1869" i="7"/>
  <c r="BB966" i="7"/>
  <c r="BB1980" i="7"/>
  <c r="BB2152" i="7"/>
  <c r="BB1106" i="7"/>
  <c r="BB1979" i="7"/>
  <c r="BB243" i="7"/>
  <c r="BB913" i="7"/>
  <c r="BB859" i="7"/>
  <c r="BB1097" i="7"/>
  <c r="BB1185" i="7"/>
  <c r="BB614" i="7"/>
  <c r="BB1032" i="7"/>
  <c r="BB1320" i="7"/>
  <c r="BB773" i="7"/>
  <c r="BB827" i="7"/>
  <c r="BB1104" i="7"/>
  <c r="BB2224" i="7"/>
  <c r="BB944" i="7"/>
  <c r="BB1043" i="7"/>
  <c r="BB1165" i="7"/>
  <c r="BB416" i="7"/>
  <c r="BB530" i="7"/>
  <c r="BB1926" i="7"/>
  <c r="BB2016" i="7"/>
  <c r="BB494" i="7"/>
  <c r="BB1738" i="7"/>
  <c r="BB1844" i="7"/>
  <c r="BB1392" i="7"/>
  <c r="BB975" i="7"/>
  <c r="BB1799" i="7"/>
  <c r="BB1203" i="7"/>
  <c r="BB540" i="7"/>
  <c r="BB873" i="7"/>
  <c r="BB2192" i="7"/>
  <c r="BB2062" i="7"/>
  <c r="BB1289" i="7"/>
  <c r="BB211" i="7"/>
  <c r="BB1922" i="7"/>
  <c r="BB742" i="7"/>
  <c r="BB1072" i="7"/>
  <c r="BB328" i="7"/>
  <c r="BB402" i="7"/>
  <c r="BB484" i="7"/>
  <c r="BB1639" i="7"/>
  <c r="BB2184" i="7"/>
  <c r="BB992" i="7"/>
  <c r="BB1898" i="7"/>
  <c r="BB2241" i="7"/>
  <c r="BB1342" i="7"/>
  <c r="BB194" i="7"/>
  <c r="BB1567" i="7"/>
  <c r="BB935" i="7"/>
  <c r="BB1257" i="7"/>
  <c r="BB1583" i="7"/>
  <c r="BB933" i="7"/>
  <c r="BB1916" i="7"/>
  <c r="BB136" i="7"/>
  <c r="BB2068" i="7"/>
  <c r="BB676" i="7"/>
  <c r="BB885" i="7"/>
  <c r="BB914" i="7"/>
  <c r="BB1529" i="7"/>
  <c r="BB2048" i="7"/>
  <c r="BB1322" i="7"/>
  <c r="BB525" i="7"/>
  <c r="BB1151" i="7"/>
  <c r="BB1700" i="7"/>
  <c r="BB727" i="7"/>
  <c r="BB2204" i="7"/>
  <c r="BB286" i="7"/>
  <c r="BB1985" i="7"/>
  <c r="BB1003" i="7"/>
  <c r="BB1089" i="7"/>
  <c r="BB476" i="7"/>
  <c r="BB1517" i="7"/>
  <c r="BB1905" i="7"/>
  <c r="BB1880" i="7"/>
  <c r="BB1925" i="7"/>
  <c r="BB557" i="7"/>
  <c r="BB1796" i="7"/>
  <c r="BB1661" i="7"/>
  <c r="BB1747" i="7"/>
  <c r="BB884" i="7"/>
  <c r="BB2267" i="7"/>
  <c r="BB49" i="7"/>
  <c r="BB169" i="7"/>
  <c r="BB2000" i="7"/>
  <c r="BB2236" i="7"/>
  <c r="BB1614" i="7"/>
  <c r="BB1701" i="7"/>
  <c r="BB541" i="7"/>
  <c r="BB1164" i="7"/>
  <c r="BB978" i="7"/>
  <c r="BB1606" i="7"/>
  <c r="BB137" i="7"/>
  <c r="BB733" i="7"/>
  <c r="BB872" i="7"/>
  <c r="BB1389" i="7"/>
  <c r="BB2276" i="7"/>
  <c r="BB723" i="7"/>
  <c r="BB682" i="7"/>
  <c r="BB656" i="7"/>
  <c r="BB292" i="7"/>
  <c r="BB504" i="7"/>
  <c r="BB1150" i="7"/>
  <c r="BB2118" i="7"/>
  <c r="BB1785" i="7"/>
  <c r="BB1588" i="7"/>
  <c r="BB2072" i="7"/>
  <c r="BB1004" i="7"/>
  <c r="BB693" i="7"/>
  <c r="BB536" i="7"/>
  <c r="BB1741" i="7"/>
  <c r="BB1135" i="7"/>
  <c r="BB1788" i="7"/>
  <c r="BB652" i="7"/>
  <c r="BB2217" i="7"/>
  <c r="BB274" i="7"/>
  <c r="BB241" i="7"/>
  <c r="BB734" i="7"/>
  <c r="BB1335" i="7"/>
  <c r="BB1280" i="7"/>
  <c r="BB1295" i="7"/>
  <c r="BB1765" i="7"/>
  <c r="BB299" i="7"/>
  <c r="BB930" i="7"/>
  <c r="BB735" i="7"/>
  <c r="BB1930" i="7"/>
  <c r="BB2170" i="7"/>
  <c r="BB2273" i="7"/>
  <c r="BB436" i="7"/>
  <c r="BB1650" i="7"/>
  <c r="BB1864" i="7"/>
  <c r="BB1261" i="7"/>
  <c r="BB685" i="7"/>
  <c r="BB878" i="7"/>
  <c r="BB399" i="7"/>
  <c r="BB2163" i="7"/>
  <c r="BB1581" i="7"/>
  <c r="BB1782" i="7"/>
  <c r="BB2021" i="7"/>
  <c r="BB790" i="7"/>
  <c r="BB95" i="7"/>
  <c r="BB426" i="7"/>
  <c r="BB977" i="7"/>
  <c r="BB1027" i="7"/>
  <c r="BB2083" i="7"/>
  <c r="BB2221" i="7"/>
  <c r="BB142" i="7"/>
  <c r="BB2244" i="7"/>
  <c r="BB451" i="7"/>
  <c r="BB1031" i="7"/>
  <c r="BB1300" i="7"/>
  <c r="BB542" i="7"/>
  <c r="BB601" i="7"/>
  <c r="BB1147" i="7"/>
  <c r="BB1479" i="7"/>
  <c r="BB1643" i="7"/>
  <c r="BB633" i="7"/>
  <c r="BB1474" i="7"/>
  <c r="BB534" i="7"/>
  <c r="BB1316" i="7"/>
  <c r="BB2219" i="7"/>
  <c r="BB1997" i="7"/>
  <c r="BB1255" i="7"/>
  <c r="BB999" i="7"/>
  <c r="BB1600" i="7"/>
  <c r="BB603" i="7"/>
  <c r="BB1346" i="7"/>
  <c r="BB1823" i="7"/>
  <c r="BB2026" i="7"/>
  <c r="BB686" i="7"/>
  <c r="BB2070" i="7"/>
  <c r="BB1397" i="7"/>
  <c r="BB327" i="7"/>
  <c r="BB641" i="7"/>
  <c r="BB1777" i="7"/>
  <c r="BB492" i="7"/>
  <c r="BB1465" i="7"/>
  <c r="BB1000" i="7"/>
  <c r="BB1640" i="7"/>
  <c r="BB1018" i="7"/>
  <c r="BB763" i="7"/>
  <c r="BB293" i="7"/>
  <c r="BB1637" i="7"/>
  <c r="BB62" i="7"/>
  <c r="BB720" i="7"/>
  <c r="BB1748" i="7"/>
  <c r="BB708" i="7"/>
  <c r="BB2082" i="7"/>
  <c r="BB2240" i="7"/>
  <c r="BB889" i="7"/>
  <c r="BB1967" i="7"/>
  <c r="BB955" i="7"/>
  <c r="BB1422" i="7"/>
  <c r="BB1897" i="7"/>
  <c r="BB1888" i="7"/>
  <c r="BB732" i="7"/>
  <c r="BB1601" i="7"/>
  <c r="BB2004" i="7"/>
  <c r="BB642" i="7"/>
  <c r="BB281" i="7"/>
  <c r="BB1635" i="7"/>
  <c r="BB1505" i="7"/>
  <c r="BB1779" i="7"/>
  <c r="BB1246" i="7"/>
  <c r="BB497" i="7"/>
  <c r="BB454" i="7"/>
  <c r="BB1381" i="7"/>
  <c r="BB1903" i="7"/>
  <c r="BB927" i="7"/>
  <c r="BB1563" i="7"/>
  <c r="BB926" i="7"/>
  <c r="BB1632" i="7"/>
  <c r="BB1593" i="7"/>
  <c r="BB415" i="7"/>
  <c r="BB1154" i="7"/>
  <c r="BB1524" i="7"/>
  <c r="BB1555" i="7"/>
  <c r="BB2014" i="7"/>
  <c r="BB403" i="7"/>
  <c r="BB1136" i="7"/>
  <c r="BB309" i="7"/>
  <c r="BB2243" i="7"/>
  <c r="BB1615" i="7"/>
  <c r="BB2283" i="7"/>
  <c r="BB378" i="7"/>
  <c r="BB1834" i="7"/>
  <c r="BB1267" i="7"/>
  <c r="BB1175" i="7"/>
  <c r="BB1660" i="7"/>
  <c r="BB1340" i="7"/>
  <c r="BB2253" i="7"/>
  <c r="BB695" i="7"/>
  <c r="BB1437" i="7"/>
  <c r="BB1314" i="7"/>
  <c r="BB2045" i="7"/>
  <c r="BB1539" i="7"/>
  <c r="BB1613" i="7"/>
  <c r="BB505" i="7"/>
  <c r="BB980" i="7"/>
  <c r="BB1476" i="7"/>
  <c r="BB1793" i="7"/>
  <c r="BB1449" i="7"/>
  <c r="BB339" i="7"/>
  <c r="BB1805" i="7"/>
  <c r="BB1443" i="7"/>
  <c r="BB668" i="7"/>
  <c r="BB1122" i="7"/>
  <c r="BB362" i="7"/>
  <c r="BB2189" i="7"/>
  <c r="BB679" i="7"/>
  <c r="BB691" i="7"/>
  <c r="BB2056" i="7"/>
  <c r="BB461" i="7"/>
  <c r="BB1487" i="7"/>
  <c r="BB2036" i="7"/>
  <c r="BB2114" i="7"/>
  <c r="BB380" i="7"/>
  <c r="BB1658" i="7"/>
  <c r="BB2159" i="7"/>
  <c r="BB1013" i="7"/>
  <c r="BB655" i="7"/>
  <c r="BB1143" i="7"/>
  <c r="BB692" i="7"/>
  <c r="BB618" i="7"/>
  <c r="BB2080" i="7"/>
  <c r="BB1240" i="7"/>
  <c r="BB1758" i="7"/>
  <c r="BB1899" i="7"/>
  <c r="BB2271" i="7"/>
  <c r="BB1802" i="7"/>
  <c r="BB128" i="7"/>
  <c r="BB2142" i="7"/>
  <c r="BB869" i="7"/>
  <c r="BB1362" i="7"/>
  <c r="BB829" i="7"/>
  <c r="BB1379" i="7"/>
  <c r="BB500" i="7"/>
  <c r="BB493" i="7"/>
  <c r="BB1325" i="7"/>
  <c r="BB1129" i="7"/>
  <c r="BB1562" i="7"/>
  <c r="BB1682" i="7"/>
  <c r="BB556" i="7"/>
  <c r="BB1418" i="7"/>
  <c r="BB1053" i="7"/>
  <c r="BB2076" i="7"/>
  <c r="BB746" i="7"/>
  <c r="BB1227" i="7"/>
  <c r="BB1303" i="7"/>
  <c r="BB1716" i="7"/>
  <c r="BB2206" i="7"/>
  <c r="BB844" i="7"/>
  <c r="BB1545" i="7"/>
  <c r="BB392" i="7"/>
  <c r="BB743" i="7"/>
  <c r="BB1817" i="7"/>
  <c r="BB2127" i="7"/>
  <c r="BB892" i="7"/>
  <c r="BB1228" i="7"/>
  <c r="BB1589" i="7"/>
  <c r="BB139" i="7"/>
  <c r="BB138" i="7"/>
  <c r="BB196" i="7"/>
  <c r="BB197" i="7"/>
  <c r="BB195" i="7"/>
  <c r="BB1727" i="7"/>
  <c r="BB1328" i="7"/>
  <c r="BB923" i="7"/>
  <c r="BB457" i="7"/>
  <c r="BB1608" i="7"/>
  <c r="BB1304" i="7"/>
  <c r="BB1287" i="7"/>
  <c r="BB1762" i="7"/>
  <c r="BB189" i="7"/>
  <c r="BB1416" i="7"/>
  <c r="BB718" i="7"/>
  <c r="BB673" i="7"/>
  <c r="BB737" i="7"/>
  <c r="BB924" i="7"/>
  <c r="BB1177" i="7"/>
  <c r="BB1842" i="7"/>
  <c r="BB835" i="7"/>
  <c r="BB1441" i="7"/>
  <c r="BB499" i="7"/>
  <c r="BB2015" i="7"/>
  <c r="BB1331" i="7"/>
  <c r="BB1318" i="7"/>
  <c r="BB2102" i="7"/>
  <c r="BB1196" i="7"/>
  <c r="BB277" i="7"/>
  <c r="BB687" i="7"/>
  <c r="BB579" i="7"/>
  <c r="BB1057" i="7"/>
  <c r="BB1642" i="7"/>
  <c r="BB1821" i="7"/>
  <c r="BB715" i="7"/>
  <c r="BB1754" i="7"/>
  <c r="BB1384" i="7"/>
  <c r="BB698" i="7"/>
  <c r="BB1398" i="7"/>
  <c r="BB934" i="7"/>
  <c r="BB1740" i="7"/>
  <c r="BB2146" i="7"/>
  <c r="BB302" i="7"/>
  <c r="BB627" i="7"/>
  <c r="BB870" i="7"/>
  <c r="BB1373" i="7"/>
  <c r="BB1124" i="7"/>
  <c r="BB1173" i="7"/>
  <c r="BB1900" i="7"/>
  <c r="BB1380" i="7"/>
  <c r="BB1518" i="7"/>
  <c r="BB555" i="7"/>
  <c r="BB329" i="7"/>
  <c r="BB1410" i="7"/>
  <c r="BB553" i="7"/>
  <c r="BB644" i="7"/>
  <c r="BB1946" i="7"/>
  <c r="BB1677" i="7"/>
  <c r="BB575" i="7"/>
  <c r="BB711" i="7"/>
  <c r="BB1672" i="7"/>
  <c r="BB307" i="7"/>
  <c r="BB8" i="7"/>
  <c r="BB305" i="7"/>
  <c r="BB1467" i="7"/>
  <c r="BB2265" i="7"/>
  <c r="BB634" i="7"/>
  <c r="BB931" i="7"/>
  <c r="BB1251" i="7"/>
  <c r="BB1488" i="7"/>
  <c r="BB1584" i="7"/>
  <c r="BB1599" i="7"/>
  <c r="BB702" i="7"/>
  <c r="BB2251" i="7"/>
  <c r="BB1527" i="7"/>
  <c r="BB2066" i="7"/>
  <c r="BB1311" i="7"/>
  <c r="BB1400" i="7"/>
  <c r="BB496" i="7"/>
  <c r="BB1363" i="7"/>
  <c r="BB694" i="7"/>
  <c r="BB985" i="7"/>
  <c r="BB359" i="7"/>
  <c r="BB2091" i="7"/>
  <c r="BB936" i="7"/>
  <c r="BB2088" i="7"/>
  <c r="BB2262" i="7"/>
  <c r="BB1142" i="7"/>
  <c r="BB1929" i="7"/>
  <c r="BB957" i="7"/>
  <c r="BB1833" i="7"/>
  <c r="BB239" i="7"/>
  <c r="BB678" i="7"/>
  <c r="BB922" i="7"/>
  <c r="BB681" i="7"/>
  <c r="BB788" i="7"/>
  <c r="BB1848" i="7"/>
  <c r="BB1192" i="7"/>
  <c r="BB847" i="7"/>
  <c r="BB1558" i="7"/>
  <c r="BB1847" i="7"/>
  <c r="BB2205" i="7"/>
  <c r="BB1816" i="7"/>
  <c r="BB432" i="7"/>
  <c r="BB1906" i="7"/>
  <c r="BB1668" i="7"/>
  <c r="BB2245" i="7"/>
  <c r="BB1934" i="7"/>
  <c r="BB778" i="7"/>
  <c r="BB897" i="7"/>
  <c r="BB1987" i="7"/>
  <c r="BB1781" i="7"/>
  <c r="BB1490" i="7"/>
  <c r="BB1646" i="7"/>
  <c r="BB1460" i="7"/>
  <c r="BB1480" i="7"/>
  <c r="BB1659" i="7"/>
  <c r="BB728" i="7"/>
  <c r="BB1641" i="7"/>
  <c r="BB1932" i="7"/>
  <c r="BB291" i="7"/>
  <c r="BB1786" i="7"/>
  <c r="BB398" i="7"/>
  <c r="BB1312" i="7"/>
  <c r="BB2274" i="7"/>
  <c r="BB2227" i="7"/>
  <c r="BB2090" i="7"/>
  <c r="BB1862" i="7"/>
  <c r="BB1447" i="7"/>
  <c r="BB629" i="7"/>
  <c r="BB2252" i="7"/>
  <c r="BB2272" i="7"/>
  <c r="BB1719" i="7"/>
  <c r="BB503" i="7"/>
  <c r="BB6" i="7"/>
  <c r="BB2120" i="7"/>
  <c r="BB2074" i="7"/>
  <c r="BB1152" i="7"/>
  <c r="BB1943" i="7"/>
  <c r="BB68" i="7"/>
  <c r="BB1462" i="7"/>
  <c r="BB741" i="7"/>
  <c r="BB1383" i="7"/>
  <c r="BB406" i="7"/>
  <c r="BB925" i="7"/>
  <c r="BB1638" i="7"/>
  <c r="BB1866" i="7"/>
  <c r="BB2131" i="7"/>
  <c r="BB2075" i="7"/>
  <c r="BB2277" i="7"/>
  <c r="BB1008" i="7"/>
  <c r="BB2093" i="7"/>
  <c r="BB1790" i="7"/>
  <c r="BB538" i="7"/>
  <c r="BB2259" i="7"/>
  <c r="BB2047" i="7"/>
  <c r="BB478" i="7"/>
  <c r="BB1159" i="7"/>
  <c r="BB2193" i="7"/>
  <c r="BB276" i="7"/>
  <c r="BB1666" i="7"/>
  <c r="BB341" i="7"/>
  <c r="BB1776" i="7"/>
  <c r="BB214" i="7"/>
  <c r="BB2108" i="7"/>
  <c r="BB1849" i="7"/>
  <c r="BB729" i="7"/>
  <c r="BB812" i="7"/>
  <c r="BB1924" i="7"/>
  <c r="BB533" i="7"/>
  <c r="BB1670" i="7"/>
  <c r="BB831" i="7"/>
  <c r="BB1225" i="7"/>
  <c r="BB364" i="7"/>
  <c r="BB2122" i="7"/>
  <c r="BB860" i="7"/>
  <c r="BB386" i="7"/>
  <c r="BB363" i="7"/>
  <c r="BB2081" i="7"/>
  <c r="BB1475" i="7"/>
  <c r="BB1764" i="7"/>
  <c r="BB2099" i="7"/>
  <c r="BB1166" i="7"/>
  <c r="BB2117" i="7"/>
  <c r="BB99" i="7"/>
  <c r="BB2230" i="7"/>
  <c r="BB725" i="7"/>
  <c r="BB1009" i="7"/>
  <c r="BB2101" i="7"/>
  <c r="BB2232" i="7"/>
  <c r="BB537" i="7"/>
  <c r="BB1183" i="7"/>
  <c r="BB896" i="7"/>
  <c r="BB1399" i="7"/>
  <c r="BB2112" i="7"/>
  <c r="BB2175" i="7"/>
  <c r="BB2208" i="7"/>
  <c r="BB1385" i="7"/>
  <c r="BB357" i="7"/>
  <c r="BB1623" i="7"/>
  <c r="BB2233" i="7"/>
  <c r="BB1751" i="7"/>
  <c r="BB407" i="7"/>
  <c r="BB2153" i="7"/>
  <c r="BB2162" i="7"/>
  <c r="BB2195" i="7"/>
  <c r="BB2145" i="7"/>
  <c r="BB852" i="7"/>
  <c r="BB2132" i="7"/>
  <c r="BB1652" i="7"/>
  <c r="BB502" i="7"/>
  <c r="BB1893" i="7"/>
  <c r="BB745" i="7"/>
  <c r="BB1391" i="7"/>
  <c r="BB1840" i="7"/>
  <c r="BB1444" i="7"/>
  <c r="BB909" i="7"/>
  <c r="BB345" i="7"/>
  <c r="BB558" i="7"/>
  <c r="BB1814" i="7"/>
  <c r="BB2087" i="7"/>
  <c r="BB1867" i="7"/>
  <c r="BB1800" i="7"/>
  <c r="BB405" i="7"/>
  <c r="BB1495" i="7"/>
  <c r="BB1439" i="7"/>
  <c r="BB2086" i="7"/>
  <c r="BB279" i="7"/>
  <c r="BB1714" i="7"/>
  <c r="BB375" i="7"/>
  <c r="BB1865" i="7"/>
  <c r="BB1846" i="7"/>
  <c r="BB2178" i="7"/>
  <c r="BB1538" i="7"/>
  <c r="BB1631" i="7"/>
  <c r="BB2207" i="7"/>
  <c r="BB920" i="7"/>
  <c r="BB117" i="7"/>
  <c r="BB1907" i="7"/>
  <c r="BB1657" i="7"/>
  <c r="BB1624" i="7"/>
  <c r="BB1890" i="7"/>
  <c r="BB2254" i="7"/>
  <c r="BB1633" i="7"/>
  <c r="BB2194" i="7"/>
  <c r="BB1396" i="7"/>
  <c r="BB1002" i="7"/>
  <c r="BB1861" i="7"/>
  <c r="BB256" i="7"/>
  <c r="BB2257" i="7"/>
  <c r="BB310" i="7"/>
  <c r="BB2260" i="7"/>
  <c r="BB2092" i="7"/>
  <c r="BB2116" i="7"/>
  <c r="BA2202" i="7"/>
  <c r="BA941" i="7"/>
  <c r="BA218" i="7"/>
  <c r="BA215" i="7"/>
  <c r="BA219" i="7"/>
  <c r="BA222" i="7"/>
  <c r="BA216" i="7"/>
  <c r="BA220" i="7"/>
  <c r="BA221" i="7"/>
  <c r="BA217" i="7"/>
  <c r="BA1902" i="7"/>
  <c r="BA2198" i="7"/>
  <c r="BA2201" i="7"/>
  <c r="BA2094" i="7"/>
  <c r="BA1858" i="7"/>
  <c r="BA2097" i="7"/>
  <c r="BA1406" i="7"/>
  <c r="BA1857" i="7"/>
  <c r="BA2028" i="7"/>
  <c r="BA1651" i="7"/>
  <c r="BA1936" i="7"/>
  <c r="BA1784" i="7"/>
  <c r="BA2069" i="7"/>
  <c r="BA1405" i="7"/>
  <c r="BA1908" i="7"/>
  <c r="BA1845" i="7"/>
  <c r="BA1045" i="7"/>
  <c r="BA2096" i="7"/>
  <c r="BA646" i="7"/>
  <c r="BA2095" i="7"/>
  <c r="BA1696" i="7"/>
  <c r="BA1549" i="7"/>
  <c r="BA1773" i="7"/>
  <c r="BA2255" i="7"/>
  <c r="BA1338" i="7"/>
  <c r="BA1938" i="7"/>
  <c r="BA748" i="7"/>
  <c r="BA1236" i="7"/>
  <c r="BA1158" i="7"/>
  <c r="BA1179" i="7"/>
  <c r="BA1809" i="7"/>
  <c r="BA1345" i="7"/>
  <c r="BA2051" i="7"/>
  <c r="BA1214" i="7"/>
  <c r="BA1572" i="7"/>
  <c r="BA2147" i="7"/>
  <c r="BA2176" i="7"/>
  <c r="BA1407" i="7"/>
  <c r="BA1452" i="7"/>
  <c r="BA1691" i="7"/>
  <c r="BA1298" i="7"/>
  <c r="BA2200" i="7"/>
  <c r="BA881" i="7"/>
  <c r="BA1224" i="7"/>
  <c r="BA252" i="7"/>
  <c r="BA759" i="7"/>
  <c r="BA1051" i="7"/>
  <c r="BA1684" i="7"/>
  <c r="BA680" i="7"/>
  <c r="BA1647" i="7"/>
  <c r="BA1062" i="7"/>
  <c r="BA1945" i="7"/>
  <c r="BA1453" i="7"/>
  <c r="BA2008" i="7"/>
  <c r="BA1421" i="7"/>
  <c r="BA1892" i="7"/>
  <c r="BA871" i="7"/>
  <c r="BA1023" i="7"/>
  <c r="BA882" i="7"/>
  <c r="BA1995" i="7"/>
  <c r="BA1060" i="7"/>
  <c r="BA1231" i="7"/>
  <c r="BA1872" i="7"/>
  <c r="BA821" i="7"/>
  <c r="BA1285" i="7"/>
  <c r="BA1859" i="7"/>
  <c r="BA1178" i="7"/>
  <c r="BA986" i="7"/>
  <c r="BA289" i="7"/>
  <c r="BA1721" i="7"/>
  <c r="BA1482" i="7"/>
  <c r="BA2167" i="7"/>
  <c r="BA1035" i="7"/>
  <c r="BA1951" i="7"/>
  <c r="BA888" i="7"/>
  <c r="BA580" i="7"/>
  <c r="BA1501" i="7"/>
  <c r="BA1194" i="7"/>
  <c r="BA1247" i="7"/>
  <c r="BA1445" i="7"/>
  <c r="BA738" i="7"/>
  <c r="BA2049" i="7"/>
  <c r="BA697" i="7"/>
  <c r="BA1180" i="7"/>
  <c r="BA559" i="7"/>
  <c r="BA1030" i="7"/>
  <c r="BA836" i="7"/>
  <c r="BA562" i="7"/>
  <c r="BA2171" i="7"/>
  <c r="BA1856" i="7"/>
  <c r="BA960" i="7"/>
  <c r="BA839" i="7"/>
  <c r="BA2057" i="7"/>
  <c r="BA1937" i="7"/>
  <c r="BA865" i="7"/>
  <c r="BA820" i="7"/>
  <c r="BA1169" i="7"/>
  <c r="BA2052" i="7"/>
  <c r="BA2139" i="7"/>
  <c r="BA858" i="7"/>
  <c r="BA2105" i="7"/>
  <c r="BA251" i="7"/>
  <c r="BA744" i="7"/>
  <c r="BA1423" i="7"/>
  <c r="BA1739" i="7"/>
  <c r="BA1376" i="7"/>
  <c r="BA1546" i="7"/>
  <c r="BA783" i="7"/>
  <c r="BA1969" i="7"/>
  <c r="BA1687" i="7"/>
  <c r="BA294" i="7"/>
  <c r="BA621" i="7"/>
  <c r="BA1621" i="7"/>
  <c r="BA1620" i="7"/>
  <c r="BA625" i="7"/>
  <c r="BA253" i="7"/>
  <c r="BA2134" i="7"/>
  <c r="BA319" i="7"/>
  <c r="BA1697" i="7"/>
  <c r="BA1413" i="7"/>
  <c r="BA1499" i="7"/>
  <c r="BA1685" i="7"/>
  <c r="BA1429" i="7"/>
  <c r="BA1195" i="7"/>
  <c r="BA710" i="7"/>
  <c r="BA1220" i="7"/>
  <c r="BA1084" i="7"/>
  <c r="BA1871" i="7"/>
  <c r="BA1920" i="7"/>
  <c r="BA1290" i="7"/>
  <c r="BA361" i="7"/>
  <c r="BA384" i="7"/>
  <c r="BA385" i="7"/>
  <c r="BA383" i="7"/>
  <c r="BA382" i="7"/>
  <c r="BA410" i="7"/>
  <c r="BA408" i="7"/>
  <c r="BA418" i="7"/>
  <c r="BA419" i="7"/>
  <c r="BA465" i="7"/>
  <c r="BA907" i="7"/>
  <c r="BA596" i="7"/>
  <c r="BA1254" i="7"/>
  <c r="BA1728" i="7"/>
  <c r="BA1944" i="7"/>
  <c r="BA1496" i="7"/>
  <c r="BA757" i="7"/>
  <c r="BA1578" i="7"/>
  <c r="BA2089" i="7"/>
  <c r="BA79" i="7"/>
  <c r="BA102" i="7"/>
  <c r="BA101" i="7"/>
  <c r="BA2022" i="7"/>
  <c r="BA1874" i="7"/>
  <c r="BA1737" i="7"/>
  <c r="BA80" i="7"/>
  <c r="BA82" i="7"/>
  <c r="BA81" i="7"/>
  <c r="BA100" i="7"/>
  <c r="BA103" i="7"/>
  <c r="BA1961" i="7"/>
  <c r="BA630" i="7"/>
  <c r="BA622" i="7"/>
  <c r="BA1446" i="7"/>
  <c r="BA381" i="7"/>
  <c r="BA1156" i="7"/>
  <c r="BA1778" i="7"/>
  <c r="BA780" i="7"/>
  <c r="BA595" i="7"/>
  <c r="BA1349" i="7"/>
  <c r="BA265" i="7"/>
  <c r="BA1176" i="7"/>
  <c r="BA1284" i="7"/>
  <c r="BA982" i="7"/>
  <c r="BA811" i="7"/>
  <c r="BA1186" i="7"/>
  <c r="BA331" i="7"/>
  <c r="BA1055" i="7"/>
  <c r="BA1200" i="7"/>
  <c r="BA1432" i="7"/>
  <c r="BA1168" i="7"/>
  <c r="BA2128" i="7"/>
  <c r="BA1082" i="7"/>
  <c r="BA2282" i="7"/>
  <c r="BA1288" i="7"/>
  <c r="BA249" i="7"/>
  <c r="BA316" i="7"/>
  <c r="BA640" i="7"/>
  <c r="BA765" i="7"/>
  <c r="BA1514" i="7"/>
  <c r="BA245" i="7"/>
  <c r="BA1068" i="7"/>
  <c r="BA1263" i="7"/>
  <c r="BA1269" i="7"/>
  <c r="BA1350" i="7"/>
  <c r="BA561" i="7"/>
  <c r="BA1940" i="7"/>
  <c r="BA409" i="7"/>
  <c r="BA427" i="7"/>
  <c r="BA424" i="7"/>
  <c r="BA429" i="7"/>
  <c r="BA421" i="7"/>
  <c r="BA585" i="7"/>
  <c r="BA2161" i="7"/>
  <c r="BA2098" i="7"/>
  <c r="BA1688" i="7"/>
  <c r="BA1941" i="7"/>
  <c r="BA1491" i="7"/>
  <c r="BA1243" i="7"/>
  <c r="BA1630" i="7"/>
  <c r="BA912" i="7"/>
  <c r="BA792" i="7"/>
  <c r="BA1024" i="7"/>
  <c r="BA141" i="7"/>
  <c r="BA213" i="7"/>
  <c r="BA1074" i="7"/>
  <c r="BA826" i="7"/>
  <c r="BA1942" i="7"/>
  <c r="BA144" i="7"/>
  <c r="BA1612" i="7"/>
  <c r="BA1607" i="7"/>
  <c r="BA1239" i="7"/>
  <c r="BA1403" i="7"/>
  <c r="BA1498" i="7"/>
  <c r="BA2111" i="7"/>
  <c r="BA55" i="7"/>
  <c r="BA814" i="7"/>
  <c r="BA1910" i="7"/>
  <c r="BA471" i="7"/>
  <c r="BA1911" i="7"/>
  <c r="BA1502" i="7"/>
  <c r="BA2199" i="7"/>
  <c r="BA1648" i="7"/>
  <c r="BA1109" i="7"/>
  <c r="BA1955" i="7"/>
  <c r="BA567" i="7"/>
  <c r="BA1516" i="7"/>
  <c r="BA1515" i="7"/>
  <c r="BA1984" i="7"/>
  <c r="BA1264" i="7"/>
  <c r="BA2141" i="7"/>
  <c r="BA118" i="7"/>
  <c r="BA140" i="7"/>
  <c r="BA1077" i="7"/>
  <c r="BA1305" i="7"/>
  <c r="BA1611" i="7"/>
  <c r="BA1448" i="7"/>
  <c r="BA660" i="7"/>
  <c r="BA846" i="7"/>
  <c r="BA1297" i="7"/>
  <c r="BA1237" i="7"/>
  <c r="BA464" i="7"/>
  <c r="BA961" i="7"/>
  <c r="BA1734" i="7"/>
  <c r="BA1333" i="7"/>
  <c r="BA1713" i="7"/>
  <c r="BA1854" i="7"/>
  <c r="BA449" i="7"/>
  <c r="BA487" i="7"/>
  <c r="BA1424" i="7"/>
  <c r="BA2169" i="7"/>
  <c r="BA661" i="7"/>
  <c r="BA942" i="7"/>
  <c r="BA1402" i="7"/>
  <c r="BA318" i="7"/>
  <c r="BA388" i="7"/>
  <c r="BA1125" i="7"/>
  <c r="BA1850" i="7"/>
  <c r="BA588" i="7"/>
  <c r="BA1983" i="7"/>
  <c r="BA879" i="7"/>
  <c r="BA350" i="7"/>
  <c r="BA598" i="7"/>
  <c r="BA2107" i="7"/>
  <c r="BA724" i="7"/>
  <c r="BA105" i="7"/>
  <c r="BA2061" i="7"/>
  <c r="BA1994" i="7"/>
  <c r="BA234" i="7"/>
  <c r="BA631" i="7"/>
  <c r="BA1040" i="7"/>
  <c r="BA1722" i="7"/>
  <c r="BA1732" i="7"/>
  <c r="BA2266" i="7"/>
  <c r="BA513" i="7"/>
  <c r="BA1080" i="7"/>
  <c r="BA1497" i="7"/>
  <c r="BA1935" i="7"/>
  <c r="BA2214" i="7"/>
  <c r="BA60" i="7"/>
  <c r="BA1187" i="7"/>
  <c r="BA2130" i="7"/>
  <c r="BA463" i="7"/>
  <c r="BA577" i="7"/>
  <c r="BA651" i="7"/>
  <c r="BA1036" i="7"/>
  <c r="BA1931" i="7"/>
  <c r="BA1197" i="7"/>
  <c r="BA1411" i="7"/>
  <c r="BA582" i="7"/>
  <c r="BA785" i="7"/>
  <c r="BA1206" i="7"/>
  <c r="BA2203" i="7"/>
  <c r="BA1451" i="7"/>
  <c r="BA1686" i="7"/>
  <c r="BA1547" i="7"/>
  <c r="BA1870" i="7"/>
  <c r="BA2012" i="7"/>
  <c r="BA1703" i="7"/>
  <c r="BA1127" i="7"/>
  <c r="BA205" i="7"/>
  <c r="BA1508" i="7"/>
  <c r="BA1673" i="7"/>
  <c r="BA969" i="7"/>
  <c r="BA1095" i="7"/>
  <c r="BA387" i="7"/>
  <c r="BA1775" i="7"/>
  <c r="BA1010" i="7"/>
  <c r="BA755" i="7"/>
  <c r="BA514" i="7"/>
  <c r="BA1559" i="7"/>
  <c r="BA848" i="7"/>
  <c r="BA1321" i="7"/>
  <c r="BA1950" i="7"/>
  <c r="BA2136" i="7"/>
  <c r="BA1494" i="7"/>
  <c r="BA1654" i="7"/>
  <c r="BA563" i="7"/>
  <c r="BA428" i="7"/>
  <c r="BA1308" i="7"/>
  <c r="BA48" i="7"/>
  <c r="BA1210" i="7"/>
  <c r="BA413" i="7"/>
  <c r="BA584" i="7"/>
  <c r="BA716" i="7"/>
  <c r="BA1112" i="7"/>
  <c r="BA452" i="7"/>
  <c r="BA1232" i="7"/>
  <c r="BA560" i="7"/>
  <c r="BA1889" i="7"/>
  <c r="BA653" i="7"/>
  <c r="BA1510" i="7"/>
  <c r="BA336" i="7"/>
  <c r="BA1201" i="7"/>
  <c r="BA809" i="7"/>
  <c r="BA1595" i="7"/>
  <c r="BA512" i="7"/>
  <c r="BA1171" i="7"/>
  <c r="BA1059" i="7"/>
  <c r="BA1234" i="7"/>
  <c r="BA2006" i="7"/>
  <c r="BA1838" i="7"/>
  <c r="BA2275" i="7"/>
  <c r="BA83" i="7"/>
  <c r="BA84" i="7"/>
  <c r="BA1939" i="7"/>
  <c r="BA1256" i="7"/>
  <c r="BA1977" i="7"/>
  <c r="BA236" i="7"/>
  <c r="BA230" i="7"/>
  <c r="BA228" i="7"/>
  <c r="BA231" i="7"/>
  <c r="BA227" i="7"/>
  <c r="BA224" i="7"/>
  <c r="BA225" i="7"/>
  <c r="BA226" i="7"/>
  <c r="BA1853" i="7"/>
  <c r="BA593" i="7"/>
  <c r="BA1090" i="7"/>
  <c r="BA1852" i="7"/>
  <c r="BA1971" i="7"/>
  <c r="BA1522" i="7"/>
  <c r="BA891" i="7"/>
  <c r="BA240" i="7"/>
  <c r="BA273" i="7"/>
  <c r="BA754" i="7"/>
  <c r="BA85" i="7"/>
  <c r="BA86" i="7"/>
  <c r="BA2177" i="7"/>
  <c r="BA1351" i="7"/>
  <c r="BA87" i="7"/>
  <c r="BA1026" i="7"/>
  <c r="BA209" i="7"/>
  <c r="BA1007" i="7"/>
  <c r="BA1699" i="7"/>
  <c r="BA1715" i="7"/>
  <c r="BA1215" i="7"/>
  <c r="BA1455" i="7"/>
  <c r="BA1609" i="7"/>
  <c r="BA1434" i="7"/>
  <c r="BA1876" i="7"/>
  <c r="BA600" i="7"/>
  <c r="BA2044" i="7"/>
  <c r="BA1119" i="7"/>
  <c r="BA88" i="7"/>
  <c r="BA740" i="7"/>
  <c r="BA1155" i="7"/>
  <c r="BA1096" i="7"/>
  <c r="BA282" i="7"/>
  <c r="BA1582" i="7"/>
  <c r="BA1855" i="7"/>
  <c r="BA1083" i="7"/>
  <c r="BA1213" i="7"/>
  <c r="BA764" i="7"/>
  <c r="BA52" i="7"/>
  <c r="BA943" i="7"/>
  <c r="BA1244" i="7"/>
  <c r="BA965" i="7"/>
  <c r="BA962" i="7"/>
  <c r="BA1395" i="7"/>
  <c r="BA1428" i="7"/>
  <c r="BA1596" i="7"/>
  <c r="BA1653" i="7"/>
  <c r="BA332" i="7"/>
  <c r="BA578" i="7"/>
  <c r="BA948" i="7"/>
  <c r="BA355" i="7"/>
  <c r="BA348" i="7"/>
  <c r="BA370" i="7"/>
  <c r="BA1787" i="7"/>
  <c r="BA1879" i="7"/>
  <c r="BA303" i="7"/>
  <c r="BA956" i="7"/>
  <c r="BA1070" i="7"/>
  <c r="BA1468" i="7"/>
  <c r="BA637" i="7"/>
  <c r="BA395" i="7"/>
  <c r="BA1199" i="7"/>
  <c r="BA1327" i="7"/>
  <c r="BA1337" i="7"/>
  <c r="BA24" i="7"/>
  <c r="BA50" i="7"/>
  <c r="BA1948" i="7"/>
  <c r="BA2032" i="7"/>
  <c r="BA543" i="7"/>
  <c r="BA2135" i="7"/>
  <c r="BA2229" i="7"/>
  <c r="BA787" i="7"/>
  <c r="BA1808" i="7"/>
  <c r="BA901" i="7"/>
  <c r="BA1252" i="7"/>
  <c r="BA393" i="7"/>
  <c r="BA772" i="7"/>
  <c r="BA7" i="7"/>
  <c r="BA107" i="7"/>
  <c r="BA1212" i="7"/>
  <c r="BA2238" i="7"/>
  <c r="BA1099" i="7"/>
  <c r="BA1294" i="7"/>
  <c r="BA1965" i="7"/>
  <c r="BA2104" i="7"/>
  <c r="BA919" i="7"/>
  <c r="BA1560" i="7"/>
  <c r="BA92" i="7"/>
  <c r="BA1690" i="7"/>
  <c r="BA714" i="7"/>
  <c r="BA1536" i="7"/>
  <c r="BA545" i="7"/>
  <c r="BA707" i="7"/>
  <c r="BA1184" i="7"/>
  <c r="BA2140" i="7"/>
  <c r="BA2138" i="7"/>
  <c r="BA237" i="7"/>
  <c r="BA248" i="7"/>
  <c r="BA684" i="7"/>
  <c r="BA1364" i="7"/>
  <c r="BA1674" i="7"/>
  <c r="BA89" i="7"/>
  <c r="BA51" i="7"/>
  <c r="BA2024" i="7"/>
  <c r="BA1061" i="7"/>
  <c r="BA770" i="7"/>
  <c r="BA800" i="7"/>
  <c r="BA996" i="7"/>
  <c r="BA369" i="7"/>
  <c r="BA587" i="7"/>
  <c r="BA2041" i="7"/>
  <c r="BA119" i="7"/>
  <c r="BA120" i="7"/>
  <c r="BA411" i="7"/>
  <c r="BA467" i="7"/>
  <c r="BA455" i="7"/>
  <c r="BA448" i="7"/>
  <c r="BA474" i="7"/>
  <c r="BA1054" i="7"/>
  <c r="BA1707" i="7"/>
  <c r="BA330" i="7"/>
  <c r="BA1724" i="7"/>
  <c r="BA2149" i="7"/>
  <c r="BA550" i="7"/>
  <c r="BA1770" i="7"/>
  <c r="BA1998" i="7"/>
  <c r="BA1693" i="7"/>
  <c r="BA349" i="7"/>
  <c r="BA1219" i="7"/>
  <c r="BA1794" i="7"/>
  <c r="BA262" i="7"/>
  <c r="BA1404" i="7"/>
  <c r="BA594" i="7"/>
  <c r="BA1711" i="7"/>
  <c r="BA2247" i="7"/>
  <c r="BA104" i="7"/>
  <c r="BA1649" i="7"/>
  <c r="BA576" i="7"/>
  <c r="BA807" i="7"/>
  <c r="BA290" i="7"/>
  <c r="BA607" i="7"/>
  <c r="BA2023" i="7"/>
  <c r="BA2155" i="7"/>
  <c r="BA784" i="7"/>
  <c r="BA967" i="7"/>
  <c r="BA1037" i="7"/>
  <c r="BA167" i="7"/>
  <c r="BA157" i="7"/>
  <c r="BA179" i="7"/>
  <c r="BA178" i="7"/>
  <c r="BA152" i="7"/>
  <c r="BA168" i="7"/>
  <c r="BA174" i="7"/>
  <c r="BA172" i="7"/>
  <c r="BA153" i="7"/>
  <c r="BA171" i="7"/>
  <c r="BA177" i="7"/>
  <c r="BA163" i="7"/>
  <c r="BA170" i="7"/>
  <c r="BA173" i="7"/>
  <c r="BA175" i="7"/>
  <c r="BA164" i="7"/>
  <c r="BA166" i="7"/>
  <c r="BA165" i="7"/>
  <c r="BA162" i="7"/>
  <c r="BA161" i="7"/>
  <c r="BA498" i="7"/>
  <c r="BA752" i="7"/>
  <c r="BA867" i="7"/>
  <c r="BA786" i="7"/>
  <c r="BA705" i="7"/>
  <c r="BA1223" i="7"/>
  <c r="BA1409" i="7"/>
  <c r="BA132" i="7"/>
  <c r="BA959" i="7"/>
  <c r="BA283" i="7"/>
  <c r="BA1056" i="7"/>
  <c r="BA347" i="7"/>
  <c r="BA825" i="7"/>
  <c r="BA1725" i="7"/>
  <c r="BA981" i="7"/>
  <c r="BA1209" i="7"/>
  <c r="BA479" i="7"/>
  <c r="BA360" i="7"/>
  <c r="BA995" i="7"/>
  <c r="BA1094" i="7"/>
  <c r="BA1161" i="7"/>
  <c r="BA1736" i="7"/>
  <c r="BA1953" i="7"/>
  <c r="BA356" i="7"/>
  <c r="BA2119" i="7"/>
  <c r="BA1493" i="7"/>
  <c r="BA886" i="7"/>
  <c r="BA374" i="7"/>
  <c r="BA1730" i="7"/>
  <c r="BA898" i="7"/>
  <c r="BA1695" i="7"/>
  <c r="BA837" i="7"/>
  <c r="BA1720" i="7"/>
  <c r="BA17" i="7"/>
  <c r="BA626" i="7"/>
  <c r="BA796" i="7"/>
  <c r="BA1513" i="7"/>
  <c r="BA2150" i="7"/>
  <c r="BA2151" i="7"/>
  <c r="BA1271" i="7"/>
  <c r="BA116" i="7"/>
  <c r="BA1242" i="7"/>
  <c r="BA958" i="7"/>
  <c r="BA446" i="7"/>
  <c r="BA311" i="7"/>
  <c r="BA1123" i="7"/>
  <c r="BA2196" i="7"/>
  <c r="BA26" i="7"/>
  <c r="BA27" i="7"/>
  <c r="BA28" i="7"/>
  <c r="BA29" i="7"/>
  <c r="BA30" i="7"/>
  <c r="BA31" i="7"/>
  <c r="BA32" i="7"/>
  <c r="BA33" i="7"/>
  <c r="BA34" i="7"/>
  <c r="BA35" i="7"/>
  <c r="BA36" i="7"/>
  <c r="BA37" i="7"/>
  <c r="BA38" i="7"/>
  <c r="BA39" i="7"/>
  <c r="BA40" i="7"/>
  <c r="BA41" i="7"/>
  <c r="BA659" i="7"/>
  <c r="BA2001" i="7"/>
  <c r="BA1132" i="7"/>
  <c r="BA1160" i="7"/>
  <c r="BA106" i="7"/>
  <c r="BA1531" i="7"/>
  <c r="BA254" i="7"/>
  <c r="BA122" i="7"/>
  <c r="BA565" i="7"/>
  <c r="BA1671" i="7"/>
  <c r="BA1791" i="7"/>
  <c r="BA266" i="7"/>
  <c r="BA1619" i="7"/>
  <c r="BA1174" i="7"/>
  <c r="BA970" i="7"/>
  <c r="BA376" i="7"/>
  <c r="BA1625" i="7"/>
  <c r="BA371" i="7"/>
  <c r="BA1813" i="7"/>
  <c r="BA1733" i="7"/>
  <c r="BA368" i="7"/>
  <c r="BA1042" i="7"/>
  <c r="BA771" i="7"/>
  <c r="BA2228" i="7"/>
  <c r="BA250" i="7"/>
  <c r="BA1486" i="7"/>
  <c r="BA10" i="7"/>
  <c r="BA649" i="7"/>
  <c r="BA1885" i="7"/>
  <c r="BA654" i="7"/>
  <c r="BA1250" i="7"/>
  <c r="BA1521" i="7"/>
  <c r="BA628" i="7"/>
  <c r="BA1085" i="7"/>
  <c r="BA1204" i="7"/>
  <c r="BA1759" i="7"/>
  <c r="BA532" i="7"/>
  <c r="BA650" i="7"/>
  <c r="BA856" i="7"/>
  <c r="BA994" i="7"/>
  <c r="BA1067" i="7"/>
  <c r="BA1712" i="7"/>
  <c r="BA1113" i="7"/>
  <c r="BA937" i="7"/>
  <c r="BA64" i="7"/>
  <c r="BA63" i="7"/>
  <c r="BA797" i="7"/>
  <c r="BA523" i="7"/>
  <c r="BA549" i="7"/>
  <c r="BA645" i="7"/>
  <c r="BA895" i="7"/>
  <c r="BA2280" i="7"/>
  <c r="BA1374" i="7"/>
  <c r="BA25" i="7"/>
  <c r="BA180" i="7"/>
  <c r="BA524" i="7"/>
  <c r="BA90" i="7"/>
  <c r="BA1420" i="7"/>
  <c r="BA1587" i="7"/>
  <c r="BA1352" i="7"/>
  <c r="BA1962" i="7"/>
  <c r="BA1797" i="7"/>
  <c r="BA527" i="7"/>
  <c r="BA753" i="7"/>
  <c r="BA1533" i="7"/>
  <c r="BA1542" i="7"/>
  <c r="BA158" i="7"/>
  <c r="BA712" i="7"/>
  <c r="BA333" i="7"/>
  <c r="BA890" i="7"/>
  <c r="BA1456" i="7"/>
  <c r="BA1894" i="7"/>
  <c r="BA1767" i="7"/>
  <c r="BA91" i="7"/>
  <c r="BA608" i="7"/>
  <c r="BA445" i="7"/>
  <c r="BA94" i="7"/>
  <c r="BA93" i="7"/>
  <c r="BA108" i="7"/>
  <c r="BA109" i="7"/>
  <c r="BA111" i="7"/>
  <c r="BA112" i="7"/>
  <c r="BA202" i="7"/>
  <c r="BA447" i="7"/>
  <c r="BA206" i="7"/>
  <c r="BA207" i="7"/>
  <c r="BA1079" i="7"/>
  <c r="BA636" i="7"/>
  <c r="BA983" i="7"/>
  <c r="BA477" i="7"/>
  <c r="BA756" i="7"/>
  <c r="BA129" i="7"/>
  <c r="BA246" i="7"/>
  <c r="BA1811" i="7"/>
  <c r="BA1763" i="7"/>
  <c r="BA110" i="7"/>
  <c r="BA574" i="7"/>
  <c r="BA1975" i="7"/>
  <c r="BA135" i="7"/>
  <c r="BA300" i="7"/>
  <c r="BA324" i="7"/>
  <c r="BA2237" i="7"/>
  <c r="BA183" i="7"/>
  <c r="BA182" i="7"/>
  <c r="BA184" i="7"/>
  <c r="BA185" i="7"/>
  <c r="BA176" i="7"/>
  <c r="BA181" i="7"/>
  <c r="BA304" i="7"/>
  <c r="BA548" i="7"/>
  <c r="BA113" i="7"/>
  <c r="BA1519" i="7"/>
  <c r="BA431" i="7"/>
  <c r="BA2144" i="7"/>
  <c r="BA984" i="7"/>
  <c r="BA1557" i="7"/>
  <c r="BA1801" i="7"/>
  <c r="BA1718" i="7"/>
  <c r="BA805" i="7"/>
  <c r="BA1511" i="7"/>
  <c r="BA312" i="7"/>
  <c r="BA2165" i="7"/>
  <c r="BA1752" i="7"/>
  <c r="BA2191" i="7"/>
  <c r="BA604" i="7"/>
  <c r="BA2040" i="7"/>
  <c r="BA2187" i="7"/>
  <c r="BA1044" i="7"/>
  <c r="BA2005" i="7"/>
  <c r="BA2053" i="7"/>
  <c r="BA2137" i="7"/>
  <c r="BA462" i="7"/>
  <c r="BA1208" i="7"/>
  <c r="BA1221" i="7"/>
  <c r="BA2210" i="7"/>
  <c r="BA297" i="7"/>
  <c r="BA1669" i="7"/>
  <c r="BA521" i="7"/>
  <c r="BA2270" i="7"/>
  <c r="BA223" i="7"/>
  <c r="BA1069" i="7"/>
  <c r="BA255" i="7"/>
  <c r="BA321" i="7"/>
  <c r="BA1878" i="7"/>
  <c r="BA915" i="7"/>
  <c r="BA1011" i="7"/>
  <c r="BA1198" i="7"/>
  <c r="BA619" i="7"/>
  <c r="BA1507" i="7"/>
  <c r="BA76" i="7"/>
  <c r="BA73" i="7"/>
  <c r="BA72" i="7"/>
  <c r="BA71" i="7"/>
  <c r="BA481" i="7"/>
  <c r="BA968" i="7"/>
  <c r="BA1064" i="7"/>
  <c r="BA1706" i="7"/>
  <c r="BA147" i="7"/>
  <c r="BA443" i="7"/>
  <c r="BA832" i="7"/>
  <c r="BA963" i="7"/>
  <c r="BA1114" i="7"/>
  <c r="BA1128" i="7"/>
  <c r="BA1181" i="7"/>
  <c r="BA850" i="7"/>
  <c r="BA699" i="7"/>
  <c r="BA1078" i="7"/>
  <c r="BA1015" i="7"/>
  <c r="BA815" i="7"/>
  <c r="BA1525" i="7"/>
  <c r="BA2077" i="7"/>
  <c r="BA1550" i="7"/>
  <c r="BA12" i="7"/>
  <c r="BA662" i="7"/>
  <c r="BA1532" i="7"/>
  <c r="BA1442" i="7"/>
  <c r="BA143" i="7"/>
  <c r="BA268" i="7"/>
  <c r="BA583" i="7"/>
  <c r="BA1689" i="7"/>
  <c r="BA417" i="7"/>
  <c r="BA875" i="7"/>
  <c r="BA96" i="7"/>
  <c r="BA1768" i="7"/>
  <c r="BA1627" i="7"/>
  <c r="BA1966" i="7"/>
  <c r="BA320" i="7"/>
  <c r="BA287" i="7"/>
  <c r="BA2121" i="7"/>
  <c r="BA44" i="7"/>
  <c r="BA203" i="7"/>
  <c r="BA529" i="7"/>
  <c r="BA469" i="7"/>
  <c r="BA1274" i="7"/>
  <c r="BA2242" i="7"/>
  <c r="BA134" i="7"/>
  <c r="BA20" i="7"/>
  <c r="BA1478" i="7"/>
  <c r="BA21" i="7"/>
  <c r="BA768" i="7"/>
  <c r="BA47" i="7"/>
  <c r="BA46" i="7"/>
  <c r="BA54" i="7"/>
  <c r="BA53" i="7"/>
  <c r="BA435" i="7"/>
  <c r="BA953" i="7"/>
  <c r="BA1172" i="7"/>
  <c r="BA776" i="7"/>
  <c r="BA1235" i="7"/>
  <c r="BA1815" i="7"/>
  <c r="BA354" i="7"/>
  <c r="BA1882" i="7"/>
  <c r="BA1347" i="7"/>
  <c r="BA1976" i="7"/>
  <c r="BA2188" i="7"/>
  <c r="BA1656" i="7"/>
  <c r="BA1704" i="7"/>
  <c r="BA1744" i="7"/>
  <c r="BA1990" i="7"/>
  <c r="BA2197" i="7"/>
  <c r="BA1836" i="7"/>
  <c r="BA315" i="7"/>
  <c r="BA775" i="7"/>
  <c r="BA946" i="7"/>
  <c r="BA508" i="7"/>
  <c r="BA818" i="7"/>
  <c r="BA987" i="7"/>
  <c r="BA1075" i="7"/>
  <c r="BA285" i="7"/>
  <c r="BA2231" i="7"/>
  <c r="BA433" i="7"/>
  <c r="BA777" i="7"/>
  <c r="BA1484" i="7"/>
  <c r="BA1947" i="7"/>
  <c r="BA1048" i="7"/>
  <c r="BA1544" i="7"/>
  <c r="BA1356" i="7"/>
  <c r="BA1592" i="7"/>
  <c r="BA78" i="7"/>
  <c r="BA77" i="7"/>
  <c r="BA74" i="7"/>
  <c r="BA75" i="7"/>
  <c r="BA2157" i="7"/>
  <c r="BA56" i="7"/>
  <c r="BA599" i="7"/>
  <c r="BA1825" i="7"/>
  <c r="BA721" i="7"/>
  <c r="BA1102" i="7"/>
  <c r="BA1145" i="7"/>
  <c r="BA1756" i="7"/>
  <c r="BA1804" i="7"/>
  <c r="BA1101" i="7"/>
  <c r="BA2050" i="7"/>
  <c r="BA272" i="7"/>
  <c r="BA519" i="7"/>
  <c r="BA334" i="7"/>
  <c r="BA1262" i="7"/>
  <c r="BA1540" i="7"/>
  <c r="BA664" i="7"/>
  <c r="BA1914" i="7"/>
  <c r="BA351" i="7"/>
  <c r="BA434" i="7"/>
  <c r="BA833" i="7"/>
  <c r="BA1205" i="7"/>
  <c r="BA1909" i="7"/>
  <c r="BA1915" i="7"/>
  <c r="BA1968" i="7"/>
  <c r="BA338" i="7"/>
  <c r="BA1610" i="7"/>
  <c r="BA475" i="7"/>
  <c r="BA422" i="7"/>
  <c r="BA1341" i="7"/>
  <c r="BA1551" i="7"/>
  <c r="BA1749" i="7"/>
  <c r="BA854" i="7"/>
  <c r="BA1675" i="7"/>
  <c r="BA23" i="7"/>
  <c r="BA22" i="7"/>
  <c r="BA1884" i="7"/>
  <c r="BA841" i="7"/>
  <c r="BA1463" i="7"/>
  <c r="BA1919" i="7"/>
  <c r="BA1963" i="7"/>
  <c r="BA1222" i="7"/>
  <c r="BA804" i="7"/>
  <c r="BA1293" i="7"/>
  <c r="BA472" i="7"/>
  <c r="BA438" i="7"/>
  <c r="BA1361" i="7"/>
  <c r="BA1425" i="7"/>
  <c r="BA1912" i="7"/>
  <c r="BA2258" i="7"/>
  <c r="BA480" i="7"/>
  <c r="BA843" i="7"/>
  <c r="BA899" i="7"/>
  <c r="BA1492" i="7"/>
  <c r="BA1344" i="7"/>
  <c r="BA346" i="7"/>
  <c r="BA774" i="7"/>
  <c r="BA1731" i="7"/>
  <c r="BA1978" i="7"/>
  <c r="BA801" i="7"/>
  <c r="BA1343" i="7"/>
  <c r="BA1483" i="7"/>
  <c r="BA531" i="7"/>
  <c r="BA1454" i="7"/>
  <c r="BA1692" i="7"/>
  <c r="BA590" i="7"/>
  <c r="BA2007" i="7"/>
  <c r="BA2033" i="7"/>
  <c r="BA146" i="7"/>
  <c r="BA264" i="7"/>
  <c r="BA506" i="7"/>
  <c r="BA658" i="7"/>
  <c r="BA1281" i="7"/>
  <c r="BA1461" i="7"/>
  <c r="BA1757" i="7"/>
  <c r="BA115" i="7"/>
  <c r="BA1073" i="7"/>
  <c r="BA1259" i="7"/>
  <c r="BA1535" i="7"/>
  <c r="BA1664" i="7"/>
  <c r="BA643" i="7"/>
  <c r="BA1415" i="7"/>
  <c r="BA1761" i="7"/>
  <c r="BA2268" i="7"/>
  <c r="BA552" i="7"/>
  <c r="BA2158" i="7"/>
  <c r="BA1982" i="7"/>
  <c r="BA739" i="7"/>
  <c r="BA1047" i="7"/>
  <c r="BA2071" i="7"/>
  <c r="BA570" i="7"/>
  <c r="BA1710" i="7"/>
  <c r="BA1886" i="7"/>
  <c r="BA284" i="7"/>
  <c r="BA414" i="7"/>
  <c r="BA799" i="7"/>
  <c r="BA1157" i="7"/>
  <c r="BA592" i="7"/>
  <c r="BA794" i="7"/>
  <c r="BA473" i="7"/>
  <c r="BA2027" i="7"/>
  <c r="BA511" i="7"/>
  <c r="BA1959" i="7"/>
  <c r="BA394" i="7"/>
  <c r="BA803" i="7"/>
  <c r="BA945" i="7"/>
  <c r="BA1017" i="7"/>
  <c r="BA1952" i="7"/>
  <c r="BA2037" i="7"/>
  <c r="BA751" i="7"/>
  <c r="BA1895" i="7"/>
  <c r="BA1999" i="7"/>
  <c r="BA1458" i="7"/>
  <c r="BA1789" i="7"/>
  <c r="BA439" i="7"/>
  <c r="BA1103" i="7"/>
  <c r="BA1427" i="7"/>
  <c r="BA389" i="7"/>
  <c r="BA1226" i="7"/>
  <c r="BA1216" i="7"/>
  <c r="BA9" i="7"/>
  <c r="BA242" i="7"/>
  <c r="BA1426" i="7"/>
  <c r="BA1552" i="7"/>
  <c r="BA1489" i="7"/>
  <c r="BA1265" i="7"/>
  <c r="BA1506" i="7"/>
  <c r="BA61" i="7"/>
  <c r="BA722" i="7"/>
  <c r="BA1957" i="7"/>
  <c r="BA782" i="7"/>
  <c r="BA779" i="7"/>
  <c r="BA1537" i="7"/>
  <c r="BA1500" i="7"/>
  <c r="BA442" i="7"/>
  <c r="BA566" i="7"/>
  <c r="BA1464" i="7"/>
  <c r="BA151" i="7"/>
  <c r="BA149" i="7"/>
  <c r="BA340" i="7"/>
  <c r="BA1575" i="7"/>
  <c r="BA1698" i="7"/>
  <c r="BA993" i="7"/>
  <c r="BA1766" i="7"/>
  <c r="BA358" i="7"/>
  <c r="BA1530" i="7"/>
  <c r="BA1309" i="7"/>
  <c r="BA1655" i="7"/>
  <c r="BA1933" i="7"/>
  <c r="BA2009" i="7"/>
  <c r="BA639" i="7"/>
  <c r="BA1887" i="7"/>
  <c r="BA352" i="7"/>
  <c r="BA367" i="7"/>
  <c r="BA1512" i="7"/>
  <c r="BA306" i="7"/>
  <c r="BA1230" i="7"/>
  <c r="BA1390" i="7"/>
  <c r="BA1605" i="7"/>
  <c r="BA130" i="7"/>
  <c r="BA507" i="7"/>
  <c r="BA793" i="7"/>
  <c r="BA1526" i="7"/>
  <c r="BA377" i="7"/>
  <c r="BA696" i="7"/>
  <c r="BA887" i="7"/>
  <c r="BA906" i="7"/>
  <c r="BA441" i="7"/>
  <c r="BA437" i="7"/>
  <c r="BA232" i="7"/>
  <c r="BA1065" i="7"/>
  <c r="BA1367" i="7"/>
  <c r="BA1188" i="7"/>
  <c r="BA490" i="7"/>
  <c r="BA1033" i="7"/>
  <c r="BA1360" i="7"/>
  <c r="BA1366" i="7"/>
  <c r="BA1245" i="7"/>
  <c r="BA1357" i="7"/>
  <c r="BA1313" i="7"/>
  <c r="BA2030" i="7"/>
  <c r="BA199" i="7"/>
  <c r="BA212" i="7"/>
  <c r="BA781" i="7"/>
  <c r="BA991" i="7"/>
  <c r="BA1319" i="7"/>
  <c r="BA1414" i="7"/>
  <c r="BA1355" i="7"/>
  <c r="BA1875" i="7"/>
  <c r="BA864" i="7"/>
  <c r="BA1041" i="7"/>
  <c r="BA1371" i="7"/>
  <c r="BA1520" i="7"/>
  <c r="BA1590" i="7"/>
  <c r="BA1818" i="7"/>
  <c r="BA709" i="7"/>
  <c r="BA2013" i="7"/>
  <c r="BA261" i="7"/>
  <c r="BA1541" i="7"/>
  <c r="BA1063" i="7"/>
  <c r="BA313" i="7"/>
  <c r="BA921" i="7"/>
  <c r="BA910" i="7"/>
  <c r="BA1597" i="7"/>
  <c r="BA145" i="7"/>
  <c r="BA670" i="7"/>
  <c r="BA802" i="7"/>
  <c r="BA675" i="7"/>
  <c r="BA1954" i="7"/>
  <c r="BA2156" i="7"/>
  <c r="BA1873" i="7"/>
  <c r="BA337" i="7"/>
  <c r="BA972" i="7"/>
  <c r="BA1148" i="7"/>
  <c r="BA1306" i="7"/>
  <c r="BA1217" i="7"/>
  <c r="BA1431" i="7"/>
  <c r="BA2148" i="7"/>
  <c r="BA482" i="7"/>
  <c r="BA838" i="7"/>
  <c r="BA1466" i="7"/>
  <c r="BA1680" i="7"/>
  <c r="BA314" i="7"/>
  <c r="BA1332" i="7"/>
  <c r="BA278" i="7"/>
  <c r="BA546" i="7"/>
  <c r="BA1694" i="7"/>
  <c r="BA1233" i="7"/>
  <c r="BA657" i="7"/>
  <c r="BA1153" i="7"/>
  <c r="BA667" i="7"/>
  <c r="BA894" i="7"/>
  <c r="BA2058" i="7"/>
  <c r="BA244" i="7"/>
  <c r="BA1238" i="7"/>
  <c r="BA1992" i="7"/>
  <c r="BA615" i="7"/>
  <c r="BA1021" i="7"/>
  <c r="BA1717" i="7"/>
  <c r="BA1795" i="7"/>
  <c r="BA2213" i="7"/>
  <c r="BA1806" i="7"/>
  <c r="BA1058" i="7"/>
  <c r="BA1481" i="7"/>
  <c r="BA1278" i="7"/>
  <c r="BA606" i="7"/>
  <c r="BA325" i="7"/>
  <c r="BA518" i="7"/>
  <c r="BA1266" i="7"/>
  <c r="BA425" i="7"/>
  <c r="BA1218" i="7"/>
  <c r="BA1207" i="7"/>
  <c r="BA1315" i="7"/>
  <c r="BA863" i="7"/>
  <c r="BA539" i="7"/>
  <c r="BA544" i="7"/>
  <c r="BA620" i="7"/>
  <c r="BA1991" i="7"/>
  <c r="BA97" i="7"/>
  <c r="BA2106" i="7"/>
  <c r="BA15" i="7"/>
  <c r="BA1504" i="7"/>
  <c r="BA564" i="7"/>
  <c r="BA1569" i="7"/>
  <c r="BA1249" i="7"/>
  <c r="BA2031" i="7"/>
  <c r="BA295" i="7"/>
  <c r="BA353" i="7"/>
  <c r="BA1565" i="7"/>
  <c r="BA1735" i="7"/>
  <c r="BA14" i="7"/>
  <c r="BA2133" i="7"/>
  <c r="BA2002" i="7"/>
  <c r="BA400" i="7"/>
  <c r="BA420" i="7"/>
  <c r="BA1046" i="7"/>
  <c r="BA1115" i="7"/>
  <c r="BA45" i="7"/>
  <c r="BA188" i="7"/>
  <c r="BA2010" i="7"/>
  <c r="BA148" i="7"/>
  <c r="BA979" i="7"/>
  <c r="BA1087" i="7"/>
  <c r="BA1354" i="7"/>
  <c r="BA1571" i="7"/>
  <c r="BA1604" i="7"/>
  <c r="BA1988" i="7"/>
  <c r="BA59" i="7"/>
  <c r="BA1163" i="7"/>
  <c r="BA1830" i="7"/>
  <c r="BA2017" i="7"/>
  <c r="BA1019" i="7"/>
  <c r="BA1863" i="7"/>
  <c r="BA2263" i="7"/>
  <c r="BA317" i="7"/>
  <c r="BA816" i="7"/>
  <c r="BA1307" i="7"/>
  <c r="BA2281" i="7"/>
  <c r="BA1091" i="7"/>
  <c r="BA200" i="7"/>
  <c r="BA257" i="7"/>
  <c r="BA857" i="7"/>
  <c r="BA379" i="7"/>
  <c r="BA2223" i="7"/>
  <c r="BA2073" i="7"/>
  <c r="BA271" i="7"/>
  <c r="BA57" i="7"/>
  <c r="BA58" i="7"/>
  <c r="BA713" i="7"/>
  <c r="BA1098" i="7"/>
  <c r="BA880" i="7"/>
  <c r="BA1417" i="7"/>
  <c r="BA1028" i="7"/>
  <c r="BA150" i="7"/>
  <c r="BA154" i="7"/>
  <c r="BA156" i="7"/>
  <c r="BA155" i="7"/>
  <c r="BA1120" i="7"/>
  <c r="BA1049" i="7"/>
  <c r="BA98" i="7"/>
  <c r="BA270" i="7"/>
  <c r="BA2085" i="7"/>
  <c r="BA515" i="7"/>
  <c r="BA766" i="7"/>
  <c r="BA1100" i="7"/>
  <c r="BA121" i="7"/>
  <c r="BA609" i="7"/>
  <c r="BA2035" i="7"/>
  <c r="BA2063" i="7"/>
  <c r="BA971" i="7"/>
  <c r="BA1140" i="7"/>
  <c r="BA2164" i="7"/>
  <c r="BA1137" i="7"/>
  <c r="BA1829" i="7"/>
  <c r="BA1989" i="7"/>
  <c r="BA1272" i="7"/>
  <c r="BA1561" i="7"/>
  <c r="BA2216" i="7"/>
  <c r="BA1339" i="7"/>
  <c r="BA2038" i="7"/>
  <c r="BA989" i="7"/>
  <c r="BA1676" i="7"/>
  <c r="BA2109" i="7"/>
  <c r="BA1081" i="7"/>
  <c r="BA2278" i="7"/>
  <c r="BA591" i="7"/>
  <c r="BA1683" i="7"/>
  <c r="BA1509" i="7"/>
  <c r="BA269" i="7"/>
  <c r="BA404" i="7"/>
  <c r="BA2182" i="7"/>
  <c r="BA1705" i="7"/>
  <c r="BA323" i="7"/>
  <c r="BA1133" i="7"/>
  <c r="BA275" i="7"/>
  <c r="BA1827" i="7"/>
  <c r="BA186" i="7"/>
  <c r="BA1972" i="7"/>
  <c r="BA828" i="7"/>
  <c r="BA1824" i="7"/>
  <c r="BA1477" i="7"/>
  <c r="BA1556" i="7"/>
  <c r="BA396" i="7"/>
  <c r="BA486" i="7"/>
  <c r="BA951" i="7"/>
  <c r="BA1401" i="7"/>
  <c r="BA516" i="7"/>
  <c r="BA1372" i="7"/>
  <c r="BA198" i="7"/>
  <c r="BA517" i="7"/>
  <c r="BA2011" i="7"/>
  <c r="BA2003" i="7"/>
  <c r="BA990" i="7"/>
  <c r="BA133" i="7"/>
  <c r="BA456" i="7"/>
  <c r="BA717" i="7"/>
  <c r="BA1182" i="7"/>
  <c r="BA551" i="7"/>
  <c r="BA2256" i="7"/>
  <c r="BA1202" i="7"/>
  <c r="BA1378" i="7"/>
  <c r="BA1986" i="7"/>
  <c r="BA893" i="7"/>
  <c r="BA819" i="7"/>
  <c r="BA1742" i="7"/>
  <c r="BA2185" i="7"/>
  <c r="BA124" i="7"/>
  <c r="BA123" i="7"/>
  <c r="BA1253" i="7"/>
  <c r="BA1470" i="7"/>
  <c r="BA1111" i="7"/>
  <c r="BA1662" i="7"/>
  <c r="BA280" i="7"/>
  <c r="BA258" i="7"/>
  <c r="BA43" i="7"/>
  <c r="BA2279" i="7"/>
  <c r="BA1365" i="7"/>
  <c r="BA1523" i="7"/>
  <c r="BA1760" i="7"/>
  <c r="BA1348" i="7"/>
  <c r="BA822" i="7"/>
  <c r="BA1881" i="7"/>
  <c r="BA851" i="7"/>
  <c r="BA701" i="7"/>
  <c r="BA204" i="7"/>
  <c r="BA791" i="7"/>
  <c r="BA1268" i="7"/>
  <c r="BA1566" i="7"/>
  <c r="BA2261" i="7"/>
  <c r="BA1554" i="7"/>
  <c r="BA114" i="7"/>
  <c r="BA2125" i="7"/>
  <c r="BA1960" i="7"/>
  <c r="BA663" i="7"/>
  <c r="BA1819" i="7"/>
  <c r="BA2186" i="7"/>
  <c r="BA42" i="7"/>
  <c r="BA488" i="7"/>
  <c r="BA1134" i="7"/>
  <c r="BA1430" i="7"/>
  <c r="BA1746" i="7"/>
  <c r="BA1336" i="7"/>
  <c r="BA1904" i="7"/>
  <c r="BA760" i="7"/>
  <c r="BA2166" i="7"/>
  <c r="BA201" i="7"/>
  <c r="BA597" i="7"/>
  <c r="BA798" i="7"/>
  <c r="BA1016" i="7"/>
  <c r="BA690" i="7"/>
  <c r="BA789" i="7"/>
  <c r="BA1598" i="7"/>
  <c r="BA1052" i="7"/>
  <c r="BA726" i="7"/>
  <c r="BA1877" i="7"/>
  <c r="BA855" i="7"/>
  <c r="BA2248" i="7"/>
  <c r="BA13" i="7"/>
  <c r="BA761" i="7"/>
  <c r="BA1005" i="7"/>
  <c r="BA412" i="7"/>
  <c r="BA952" i="7"/>
  <c r="BA1629" i="7"/>
  <c r="BA1743" i="7"/>
  <c r="BA208" i="7"/>
  <c r="BA900" i="7"/>
  <c r="BA1273" i="7"/>
  <c r="BA1436" i="7"/>
  <c r="BA1729" i="7"/>
  <c r="BA1755" i="7"/>
  <c r="BA390" i="7"/>
  <c r="BA2212" i="7"/>
  <c r="BA365" i="7"/>
  <c r="BA1029" i="7"/>
  <c r="BA1191" i="7"/>
  <c r="BA1296" i="7"/>
  <c r="BA1970" i="7"/>
  <c r="BA1270" i="7"/>
  <c r="BA1956" i="7"/>
  <c r="BA669" i="7"/>
  <c r="BA509" i="7"/>
  <c r="BA1291" i="7"/>
  <c r="BA1616" i="7"/>
  <c r="BA1310" i="7"/>
  <c r="BA2143" i="7"/>
  <c r="BA1602" i="7"/>
  <c r="BA1780" i="7"/>
  <c r="BA1576" i="7"/>
  <c r="BA470" i="7"/>
  <c r="BA1050" i="7"/>
  <c r="BA589" i="7"/>
  <c r="BA1107" i="7"/>
  <c r="BA1949" i="7"/>
  <c r="BA2226" i="7"/>
  <c r="BA373" i="7"/>
  <c r="BA1369" i="7"/>
  <c r="BA1473" i="7"/>
  <c r="BA1324" i="7"/>
  <c r="BA1548" i="7"/>
  <c r="BA1807" i="7"/>
  <c r="BA16" i="7"/>
  <c r="BA233" i="7"/>
  <c r="BA1301" i="7"/>
  <c r="BA1723" i="7"/>
  <c r="BA1393" i="7"/>
  <c r="BA1162" i="7"/>
  <c r="BA2183" i="7"/>
  <c r="BA1302" i="7"/>
  <c r="BA5" i="7"/>
  <c r="BA210" i="7"/>
  <c r="BA522" i="7"/>
  <c r="BA586" i="7"/>
  <c r="BA1883" i="7"/>
  <c r="BA1665" i="7"/>
  <c r="BA2065" i="7"/>
  <c r="BA988" i="7"/>
  <c r="BA2055" i="7"/>
  <c r="BA611" i="7"/>
  <c r="BA747" i="7"/>
  <c r="BA1326" i="7"/>
  <c r="BA1170" i="7"/>
  <c r="BA1368" i="7"/>
  <c r="BA1603" i="7"/>
  <c r="BA520" i="7"/>
  <c r="BA1105" i="7"/>
  <c r="BA750" i="7"/>
  <c r="BA1471" i="7"/>
  <c r="BA70" i="7"/>
  <c r="BA2269" i="7"/>
  <c r="BA1901" i="7"/>
  <c r="BA1783" i="7"/>
  <c r="BA1772" i="7"/>
  <c r="BA581" i="7"/>
  <c r="BA903" i="7"/>
  <c r="BA974" i="7"/>
  <c r="BA916" i="7"/>
  <c r="BA808" i="7"/>
  <c r="BA883" i="7"/>
  <c r="BA19" i="7"/>
  <c r="BA624" i="7"/>
  <c r="BA1820" i="7"/>
  <c r="BA1923" i="7"/>
  <c r="BA2039" i="7"/>
  <c r="BA2043" i="7"/>
  <c r="BA866" i="7"/>
  <c r="BA1387" i="7"/>
  <c r="BA1260" i="7"/>
  <c r="BA1279" i="7"/>
  <c r="BA1485" i="7"/>
  <c r="BA235" i="7"/>
  <c r="BA342" i="7"/>
  <c r="BA1283" i="7"/>
  <c r="BA1116" i="7"/>
  <c r="BA2046" i="7"/>
  <c r="BA2" i="7"/>
  <c r="BA1292" i="7"/>
  <c r="BA1996" i="7"/>
  <c r="BA1450" i="7"/>
  <c r="BA762" i="7"/>
  <c r="BA749" i="7"/>
  <c r="BA1190" i="7"/>
  <c r="BA1131" i="7"/>
  <c r="BA1382" i="7"/>
  <c r="BA862" i="7"/>
  <c r="BA1277" i="7"/>
  <c r="BA2190" i="7"/>
  <c r="BA905" i="7"/>
  <c r="BA1958" i="7"/>
  <c r="BA602" i="7"/>
  <c r="BA1868" i="7"/>
  <c r="BA736" i="7"/>
  <c r="BA806" i="7"/>
  <c r="BA1038" i="7"/>
  <c r="BA1141" i="7"/>
  <c r="BA1667" i="7"/>
  <c r="BA2154" i="7"/>
  <c r="BA769" i="7"/>
  <c r="BA1066" i="7"/>
  <c r="BA1828" i="7"/>
  <c r="BA18" i="7"/>
  <c r="BA1981" i="7"/>
  <c r="BA2168" i="7"/>
  <c r="BA2064" i="7"/>
  <c r="BA731" i="7"/>
  <c r="BA2181" i="7"/>
  <c r="BA468" i="7"/>
  <c r="BA485" i="7"/>
  <c r="BA1573" i="7"/>
  <c r="BA1835" i="7"/>
  <c r="BA683" i="7"/>
  <c r="BA1144" i="7"/>
  <c r="BA1918" i="7"/>
  <c r="BA1993" i="7"/>
  <c r="BA834" i="7"/>
  <c r="BA127" i="7"/>
  <c r="BA1286" i="7"/>
  <c r="BA671" i="7"/>
  <c r="BA904" i="7"/>
  <c r="BA1275" i="7"/>
  <c r="BA842" i="7"/>
  <c r="BA1034" i="7"/>
  <c r="BA845" i="7"/>
  <c r="BA1130" i="7"/>
  <c r="BA1822" i="7"/>
  <c r="BA1138" i="7"/>
  <c r="BA2113" i="7"/>
  <c r="BA298" i="7"/>
  <c r="BA840" i="7"/>
  <c r="BA938" i="7"/>
  <c r="BA1377" i="7"/>
  <c r="BA612" i="7"/>
  <c r="BA1014" i="7"/>
  <c r="BA1025" i="7"/>
  <c r="BA877" i="7"/>
  <c r="BA861" i="7"/>
  <c r="BA259" i="7"/>
  <c r="BA326" i="7"/>
  <c r="BA849" i="7"/>
  <c r="BA973" i="7"/>
  <c r="BA1412" i="7"/>
  <c r="BA2234" i="7"/>
  <c r="BA159" i="7"/>
  <c r="BA1189" i="7"/>
  <c r="BA322" i="7"/>
  <c r="BA672" i="7"/>
  <c r="BA998" i="7"/>
  <c r="BA1579" i="7"/>
  <c r="BA2020" i="7"/>
  <c r="BA949" i="7"/>
  <c r="BA1771" i="7"/>
  <c r="BA2249" i="7"/>
  <c r="BA868" i="7"/>
  <c r="BA1167" i="7"/>
  <c r="BA1679" i="7"/>
  <c r="BA1093" i="7"/>
  <c r="BA613" i="7"/>
  <c r="BA2084" i="7"/>
  <c r="BA2250" i="7"/>
  <c r="BA483" i="7"/>
  <c r="BA677" i="7"/>
  <c r="BA2018" i="7"/>
  <c r="BA528" i="7"/>
  <c r="BA1282" i="7"/>
  <c r="BA1334" i="7"/>
  <c r="BA1617" i="7"/>
  <c r="BA954" i="7"/>
  <c r="BA976" i="7"/>
  <c r="BA2042" i="7"/>
  <c r="BA1323" i="7"/>
  <c r="BA2209" i="7"/>
  <c r="BA2034" i="7"/>
  <c r="BA444" i="7"/>
  <c r="BA1006" i="7"/>
  <c r="BA1088" i="7"/>
  <c r="BA1358" i="7"/>
  <c r="BA459" i="7"/>
  <c r="BA296" i="7"/>
  <c r="BA610" i="7"/>
  <c r="BA2103" i="7"/>
  <c r="BA947" i="7"/>
  <c r="BA1092" i="7"/>
  <c r="BA638" i="7"/>
  <c r="BA1408" i="7"/>
  <c r="BA343" i="7"/>
  <c r="BA535" i="7"/>
  <c r="BA666" i="7"/>
  <c r="BA964" i="7"/>
  <c r="BA1126" i="7"/>
  <c r="BA1594" i="7"/>
  <c r="BA703" i="7"/>
  <c r="BA1146" i="7"/>
  <c r="BA1469" i="7"/>
  <c r="BA1577" i="7"/>
  <c r="BA1020" i="7"/>
  <c r="BA1001" i="7"/>
  <c r="BA1329" i="7"/>
  <c r="BA758" i="7"/>
  <c r="BA1394" i="7"/>
  <c r="BA366" i="7"/>
  <c r="BA1534" i="7"/>
  <c r="BA1851" i="7"/>
  <c r="BA2174" i="7"/>
  <c r="BA1568" i="7"/>
  <c r="BA876" i="7"/>
  <c r="BA1553" i="7"/>
  <c r="BA554" i="7"/>
  <c r="BA2060" i="7"/>
  <c r="BA2173" i="7"/>
  <c r="BA939" i="7"/>
  <c r="BA1359" i="7"/>
  <c r="BA1071" i="7"/>
  <c r="BA2215" i="7"/>
  <c r="BA229" i="7"/>
  <c r="BA1375" i="7"/>
  <c r="BA1386" i="7"/>
  <c r="BA2180" i="7"/>
  <c r="BA1022" i="7"/>
  <c r="BA647" i="7"/>
  <c r="BA2124" i="7"/>
  <c r="BA1149" i="7"/>
  <c r="BA1928" i="7"/>
  <c r="BA1503" i="7"/>
  <c r="BA510" i="7"/>
  <c r="BA997" i="7"/>
  <c r="BA1472" i="7"/>
  <c r="BA1753" i="7"/>
  <c r="BA190" i="7"/>
  <c r="BA623" i="7"/>
  <c r="BA1622" i="7"/>
  <c r="BA853" i="7"/>
  <c r="BA1388" i="7"/>
  <c r="BA2218" i="7"/>
  <c r="BA1039" i="7"/>
  <c r="BA1774" i="7"/>
  <c r="BA940" i="7"/>
  <c r="BA2246" i="7"/>
  <c r="BA267" i="7"/>
  <c r="BA2220" i="7"/>
  <c r="BA1709" i="7"/>
  <c r="BA2211" i="7"/>
  <c r="BA1012" i="7"/>
  <c r="BA2078" i="7"/>
  <c r="BA526" i="7"/>
  <c r="BA1810" i="7"/>
  <c r="BA1086" i="7"/>
  <c r="BA430" i="7"/>
  <c r="BA1921" i="7"/>
  <c r="BA688" i="7"/>
  <c r="BA902" i="7"/>
  <c r="BA1110" i="7"/>
  <c r="BA1353" i="7"/>
  <c r="BA2172" i="7"/>
  <c r="BA823" i="7"/>
  <c r="BA1896" i="7"/>
  <c r="BA344" i="7"/>
  <c r="BA423" i="7"/>
  <c r="BA932" i="7"/>
  <c r="BA1440" i="7"/>
  <c r="BA397" i="7"/>
  <c r="BA648" i="7"/>
  <c r="BA1626" i="7"/>
  <c r="BA260" i="7"/>
  <c r="BA767" i="7"/>
  <c r="BA495" i="7"/>
  <c r="BA635" i="7"/>
  <c r="BA1917" i="7"/>
  <c r="BA1702" i="7"/>
  <c r="BA1843" i="7"/>
  <c r="BA1574" i="7"/>
  <c r="BA1831" i="7"/>
  <c r="BA160" i="7"/>
  <c r="BA704" i="7"/>
  <c r="BA1927" i="7"/>
  <c r="BA466" i="7"/>
  <c r="BA501" i="7"/>
  <c r="BA1248" i="7"/>
  <c r="BA1891" i="7"/>
  <c r="BA2029" i="7"/>
  <c r="BA830" i="7"/>
  <c r="BA2239" i="7"/>
  <c r="BA817" i="7"/>
  <c r="BA1860" i="7"/>
  <c r="BA1121" i="7"/>
  <c r="BA1330" i="7"/>
  <c r="BA1826" i="7"/>
  <c r="BA1118" i="7"/>
  <c r="BA1681" i="7"/>
  <c r="BA1618" i="7"/>
  <c r="BA2025" i="7"/>
  <c r="BA460" i="7"/>
  <c r="BA1580" i="7"/>
  <c r="BA2110" i="7"/>
  <c r="BA1438" i="7"/>
  <c r="BA1663" i="7"/>
  <c r="BA489" i="7"/>
  <c r="BA1628" i="7"/>
  <c r="BA67" i="7"/>
  <c r="BA131" i="7"/>
  <c r="BA1076" i="7"/>
  <c r="BA1798" i="7"/>
  <c r="BA1139" i="7"/>
  <c r="BA1750" i="7"/>
  <c r="BA1570" i="7"/>
  <c r="BA1528" i="7"/>
  <c r="BA1433" i="7"/>
  <c r="BA1974" i="7"/>
  <c r="BA247" i="7"/>
  <c r="BA2264" i="7"/>
  <c r="BA573" i="7"/>
  <c r="BA453" i="7"/>
  <c r="BA813" i="7"/>
  <c r="BA1586" i="7"/>
  <c r="BA401" i="7"/>
  <c r="BA450" i="7"/>
  <c r="BA810" i="7"/>
  <c r="BA1108" i="7"/>
  <c r="BA1726" i="7"/>
  <c r="BA1459" i="7"/>
  <c r="BA1591" i="7"/>
  <c r="BA2019" i="7"/>
  <c r="BA1370" i="7"/>
  <c r="BA1913" i="7"/>
  <c r="BA2059" i="7"/>
  <c r="BA2225" i="7"/>
  <c r="BA11" i="7"/>
  <c r="BA1241" i="7"/>
  <c r="BA1803" i="7"/>
  <c r="BA2179" i="7"/>
  <c r="BA874" i="7"/>
  <c r="BA1973" i="7"/>
  <c r="BA491" i="7"/>
  <c r="BA2115" i="7"/>
  <c r="BA689" i="7"/>
  <c r="BA824" i="7"/>
  <c r="BA1117" i="7"/>
  <c r="BA3" i="7"/>
  <c r="BA126" i="7"/>
  <c r="BA125" i="7"/>
  <c r="BA192" i="7"/>
  <c r="BA572" i="7"/>
  <c r="BA1435" i="7"/>
  <c r="BA1299" i="7"/>
  <c r="BA1419" i="7"/>
  <c r="BA917" i="7"/>
  <c r="BA928" i="7"/>
  <c r="BA1839" i="7"/>
  <c r="BA193" i="7"/>
  <c r="BA187" i="7"/>
  <c r="BA191" i="7"/>
  <c r="BA440" i="7"/>
  <c r="BA617" i="7"/>
  <c r="BA700" i="7"/>
  <c r="BA950" i="7"/>
  <c r="BA1634" i="7"/>
  <c r="BA372" i="7"/>
  <c r="BA1585" i="7"/>
  <c r="BA571" i="7"/>
  <c r="BA458" i="7"/>
  <c r="BA1964" i="7"/>
  <c r="BA1564" i="7"/>
  <c r="BA1644" i="7"/>
  <c r="BA547" i="7"/>
  <c r="BA2160" i="7"/>
  <c r="BA263" i="7"/>
  <c r="BA730" i="7"/>
  <c r="BA706" i="7"/>
  <c r="BA1708" i="7"/>
  <c r="BA65" i="7"/>
  <c r="BA2067" i="7"/>
  <c r="BA69" i="7"/>
  <c r="BA288" i="7"/>
  <c r="BA301" i="7"/>
  <c r="BA908" i="7"/>
  <c r="BA1636" i="7"/>
  <c r="BA2222" i="7"/>
  <c r="BA2054" i="7"/>
  <c r="BA238" i="7"/>
  <c r="BA1645" i="7"/>
  <c r="BA632" i="7"/>
  <c r="BA719" i="7"/>
  <c r="BA1832" i="7"/>
  <c r="BA2126" i="7"/>
  <c r="BA1317" i="7"/>
  <c r="BA568" i="7"/>
  <c r="BA1812" i="7"/>
  <c r="BA66" i="7"/>
  <c r="BA2100" i="7"/>
  <c r="BA308" i="7"/>
  <c r="BA2079" i="7"/>
  <c r="BA335" i="7"/>
  <c r="BA674" i="7"/>
  <c r="BA1193" i="7"/>
  <c r="BA2235" i="7"/>
  <c r="BA1841" i="7"/>
  <c r="BA2129" i="7"/>
  <c r="BA1792" i="7"/>
  <c r="BA1543" i="7"/>
  <c r="BA1745" i="7"/>
  <c r="BA1769" i="7"/>
  <c r="BA929" i="7"/>
  <c r="BA1258" i="7"/>
  <c r="BA391" i="7"/>
  <c r="BA1678" i="7"/>
  <c r="BA605" i="7"/>
  <c r="BA918" i="7"/>
  <c r="BA1276" i="7"/>
  <c r="BA1837" i="7"/>
  <c r="BA4" i="7"/>
  <c r="BA616" i="7"/>
  <c r="BA665" i="7"/>
  <c r="BA569" i="7"/>
  <c r="BA911" i="7"/>
  <c r="BA795" i="7"/>
  <c r="BA2123" i="7"/>
  <c r="BA1457" i="7"/>
  <c r="BA1211" i="7"/>
  <c r="BA1229" i="7"/>
  <c r="BA1869" i="7"/>
  <c r="BA966" i="7"/>
  <c r="BA1980" i="7"/>
  <c r="BA2152" i="7"/>
  <c r="BA1106" i="7"/>
  <c r="BA1979" i="7"/>
  <c r="BA243" i="7"/>
  <c r="BA913" i="7"/>
  <c r="BA859" i="7"/>
  <c r="BA1097" i="7"/>
  <c r="BA1185" i="7"/>
  <c r="BA614" i="7"/>
  <c r="BA1032" i="7"/>
  <c r="BA1320" i="7"/>
  <c r="BA773" i="7"/>
  <c r="BA827" i="7"/>
  <c r="BA1104" i="7"/>
  <c r="BA2224" i="7"/>
  <c r="BA944" i="7"/>
  <c r="BA1043" i="7"/>
  <c r="BA1165" i="7"/>
  <c r="BA416" i="7"/>
  <c r="BA530" i="7"/>
  <c r="BA1926" i="7"/>
  <c r="BA2016" i="7"/>
  <c r="BA494" i="7"/>
  <c r="BA1738" i="7"/>
  <c r="BA1844" i="7"/>
  <c r="BA1392" i="7"/>
  <c r="BA975" i="7"/>
  <c r="BA1799" i="7"/>
  <c r="BA1203" i="7"/>
  <c r="BA540" i="7"/>
  <c r="BA873" i="7"/>
  <c r="BA2192" i="7"/>
  <c r="BA2062" i="7"/>
  <c r="BA1289" i="7"/>
  <c r="BA211" i="7"/>
  <c r="BA1922" i="7"/>
  <c r="BA742" i="7"/>
  <c r="BA1072" i="7"/>
  <c r="BA328" i="7"/>
  <c r="BA402" i="7"/>
  <c r="BA484" i="7"/>
  <c r="BA1639" i="7"/>
  <c r="BA2184" i="7"/>
  <c r="BA992" i="7"/>
  <c r="BA1898" i="7"/>
  <c r="BA2241" i="7"/>
  <c r="BA1342" i="7"/>
  <c r="BA194" i="7"/>
  <c r="BA1567" i="7"/>
  <c r="BA935" i="7"/>
  <c r="BA1257" i="7"/>
  <c r="BA1583" i="7"/>
  <c r="BA933" i="7"/>
  <c r="BA1916" i="7"/>
  <c r="BA136" i="7"/>
  <c r="BA2068" i="7"/>
  <c r="BA676" i="7"/>
  <c r="BA885" i="7"/>
  <c r="BA914" i="7"/>
  <c r="BA1529" i="7"/>
  <c r="BA2048" i="7"/>
  <c r="BA1322" i="7"/>
  <c r="BA525" i="7"/>
  <c r="BA1151" i="7"/>
  <c r="BA1700" i="7"/>
  <c r="BA727" i="7"/>
  <c r="BA2204" i="7"/>
  <c r="BA286" i="7"/>
  <c r="BA1985" i="7"/>
  <c r="BA1003" i="7"/>
  <c r="BA1089" i="7"/>
  <c r="BA476" i="7"/>
  <c r="BA1517" i="7"/>
  <c r="BA1905" i="7"/>
  <c r="BA1880" i="7"/>
  <c r="BA1925" i="7"/>
  <c r="BA557" i="7"/>
  <c r="BA1796" i="7"/>
  <c r="BA1661" i="7"/>
  <c r="BA1747" i="7"/>
  <c r="BA884" i="7"/>
  <c r="BA2267" i="7"/>
  <c r="BA49" i="7"/>
  <c r="BA169" i="7"/>
  <c r="BA2000" i="7"/>
  <c r="BA2236" i="7"/>
  <c r="BA1614" i="7"/>
  <c r="BA1701" i="7"/>
  <c r="BA541" i="7"/>
  <c r="BA1164" i="7"/>
  <c r="BA978" i="7"/>
  <c r="BA1606" i="7"/>
  <c r="BA137" i="7"/>
  <c r="BA733" i="7"/>
  <c r="BA872" i="7"/>
  <c r="BA1389" i="7"/>
  <c r="BA2276" i="7"/>
  <c r="BA723" i="7"/>
  <c r="BA682" i="7"/>
  <c r="BA656" i="7"/>
  <c r="BA292" i="7"/>
  <c r="BA504" i="7"/>
  <c r="BA1150" i="7"/>
  <c r="BA2118" i="7"/>
  <c r="BA1785" i="7"/>
  <c r="BA1588" i="7"/>
  <c r="BA2072" i="7"/>
  <c r="BA1004" i="7"/>
  <c r="BA693" i="7"/>
  <c r="BA536" i="7"/>
  <c r="BA1741" i="7"/>
  <c r="BA1135" i="7"/>
  <c r="BA1788" i="7"/>
  <c r="BA652" i="7"/>
  <c r="BA2217" i="7"/>
  <c r="BA274" i="7"/>
  <c r="BA241" i="7"/>
  <c r="BA734" i="7"/>
  <c r="BA1335" i="7"/>
  <c r="BA1280" i="7"/>
  <c r="BA1295" i="7"/>
  <c r="BA1765" i="7"/>
  <c r="BA299" i="7"/>
  <c r="BA930" i="7"/>
  <c r="BA735" i="7"/>
  <c r="BA1930" i="7"/>
  <c r="BA2170" i="7"/>
  <c r="BA2273" i="7"/>
  <c r="BA436" i="7"/>
  <c r="BA1650" i="7"/>
  <c r="BA1864" i="7"/>
  <c r="BA1261" i="7"/>
  <c r="BA685" i="7"/>
  <c r="BA878" i="7"/>
  <c r="BA399" i="7"/>
  <c r="BA2163" i="7"/>
  <c r="BA1581" i="7"/>
  <c r="BA1782" i="7"/>
  <c r="BA2021" i="7"/>
  <c r="BA790" i="7"/>
  <c r="BA95" i="7"/>
  <c r="BA426" i="7"/>
  <c r="BA977" i="7"/>
  <c r="BA1027" i="7"/>
  <c r="BA2083" i="7"/>
  <c r="BA2221" i="7"/>
  <c r="BA142" i="7"/>
  <c r="BA2244" i="7"/>
  <c r="BA451" i="7"/>
  <c r="BA1031" i="7"/>
  <c r="BA1300" i="7"/>
  <c r="BA542" i="7"/>
  <c r="BA601" i="7"/>
  <c r="BA1147" i="7"/>
  <c r="BA1479" i="7"/>
  <c r="BA1643" i="7"/>
  <c r="BA633" i="7"/>
  <c r="BA1474" i="7"/>
  <c r="BA534" i="7"/>
  <c r="BA1316" i="7"/>
  <c r="BA2219" i="7"/>
  <c r="BA1997" i="7"/>
  <c r="BA1255" i="7"/>
  <c r="BA999" i="7"/>
  <c r="BA1600" i="7"/>
  <c r="BA603" i="7"/>
  <c r="BA1346" i="7"/>
  <c r="BA1823" i="7"/>
  <c r="BA2026" i="7"/>
  <c r="BA686" i="7"/>
  <c r="BA2070" i="7"/>
  <c r="BA1397" i="7"/>
  <c r="BA327" i="7"/>
  <c r="BA641" i="7"/>
  <c r="BA1777" i="7"/>
  <c r="BA492" i="7"/>
  <c r="BA1465" i="7"/>
  <c r="BA1000" i="7"/>
  <c r="BA1640" i="7"/>
  <c r="BA1018" i="7"/>
  <c r="BA763" i="7"/>
  <c r="BA293" i="7"/>
  <c r="BA1637" i="7"/>
  <c r="BA62" i="7"/>
  <c r="BA720" i="7"/>
  <c r="BA1748" i="7"/>
  <c r="BA708" i="7"/>
  <c r="BA2082" i="7"/>
  <c r="BA2240" i="7"/>
  <c r="BA889" i="7"/>
  <c r="BA1967" i="7"/>
  <c r="BA955" i="7"/>
  <c r="BA1422" i="7"/>
  <c r="BA1897" i="7"/>
  <c r="BA1888" i="7"/>
  <c r="BA732" i="7"/>
  <c r="BA1601" i="7"/>
  <c r="BA2004" i="7"/>
  <c r="BA642" i="7"/>
  <c r="BA281" i="7"/>
  <c r="BA1635" i="7"/>
  <c r="BA1505" i="7"/>
  <c r="BA1779" i="7"/>
  <c r="BA1246" i="7"/>
  <c r="BA497" i="7"/>
  <c r="BA454" i="7"/>
  <c r="BA1381" i="7"/>
  <c r="BA1903" i="7"/>
  <c r="BA927" i="7"/>
  <c r="BA1563" i="7"/>
  <c r="BA926" i="7"/>
  <c r="BA1632" i="7"/>
  <c r="BA1593" i="7"/>
  <c r="BA415" i="7"/>
  <c r="BA1154" i="7"/>
  <c r="BA1524" i="7"/>
  <c r="BA1555" i="7"/>
  <c r="BA2014" i="7"/>
  <c r="BA403" i="7"/>
  <c r="BA1136" i="7"/>
  <c r="BA309" i="7"/>
  <c r="BA2243" i="7"/>
  <c r="BA1615" i="7"/>
  <c r="BA2283" i="7"/>
  <c r="BA378" i="7"/>
  <c r="BA1834" i="7"/>
  <c r="BA1267" i="7"/>
  <c r="BA1175" i="7"/>
  <c r="BA1660" i="7"/>
  <c r="BA1340" i="7"/>
  <c r="BA2253" i="7"/>
  <c r="BA695" i="7"/>
  <c r="BA1437" i="7"/>
  <c r="BA1314" i="7"/>
  <c r="BA2045" i="7"/>
  <c r="BA1539" i="7"/>
  <c r="BA1613" i="7"/>
  <c r="BA505" i="7"/>
  <c r="BA980" i="7"/>
  <c r="BA1476" i="7"/>
  <c r="BA1793" i="7"/>
  <c r="BA1449" i="7"/>
  <c r="BA339" i="7"/>
  <c r="BA1805" i="7"/>
  <c r="BA1443" i="7"/>
  <c r="BA668" i="7"/>
  <c r="BA1122" i="7"/>
  <c r="BA362" i="7"/>
  <c r="BA2189" i="7"/>
  <c r="BA679" i="7"/>
  <c r="BA691" i="7"/>
  <c r="BA2056" i="7"/>
  <c r="BA461" i="7"/>
  <c r="BA1487" i="7"/>
  <c r="BA2036" i="7"/>
  <c r="BA2114" i="7"/>
  <c r="BA380" i="7"/>
  <c r="BA1658" i="7"/>
  <c r="BA2159" i="7"/>
  <c r="BA1013" i="7"/>
  <c r="BA655" i="7"/>
  <c r="BA1143" i="7"/>
  <c r="BA692" i="7"/>
  <c r="BA618" i="7"/>
  <c r="BA2080" i="7"/>
  <c r="BA1240" i="7"/>
  <c r="BA1758" i="7"/>
  <c r="BA1899" i="7"/>
  <c r="BA2271" i="7"/>
  <c r="BA1802" i="7"/>
  <c r="BA128" i="7"/>
  <c r="BA2142" i="7"/>
  <c r="BA869" i="7"/>
  <c r="BA1362" i="7"/>
  <c r="BA829" i="7"/>
  <c r="BA1379" i="7"/>
  <c r="BA500" i="7"/>
  <c r="BA493" i="7"/>
  <c r="BA1325" i="7"/>
  <c r="BA1129" i="7"/>
  <c r="BA1562" i="7"/>
  <c r="BA1682" i="7"/>
  <c r="BA556" i="7"/>
  <c r="BA1418" i="7"/>
  <c r="BA1053" i="7"/>
  <c r="BA2076" i="7"/>
  <c r="BA746" i="7"/>
  <c r="BA1227" i="7"/>
  <c r="BA1303" i="7"/>
  <c r="BA1716" i="7"/>
  <c r="BA2206" i="7"/>
  <c r="BA844" i="7"/>
  <c r="BA1545" i="7"/>
  <c r="BA392" i="7"/>
  <c r="BA743" i="7"/>
  <c r="BA1817" i="7"/>
  <c r="BA2127" i="7"/>
  <c r="BA892" i="7"/>
  <c r="BA1228" i="7"/>
  <c r="BA1589" i="7"/>
  <c r="BA139" i="7"/>
  <c r="BA138" i="7"/>
  <c r="BA196" i="7"/>
  <c r="BA197" i="7"/>
  <c r="BA195" i="7"/>
  <c r="BA1727" i="7"/>
  <c r="BA1328" i="7"/>
  <c r="BA923" i="7"/>
  <c r="BA457" i="7"/>
  <c r="BA1608" i="7"/>
  <c r="BA1304" i="7"/>
  <c r="BA1287" i="7"/>
  <c r="BA1762" i="7"/>
  <c r="BA189" i="7"/>
  <c r="BA1416" i="7"/>
  <c r="BA718" i="7"/>
  <c r="BA673" i="7"/>
  <c r="BA737" i="7"/>
  <c r="BA924" i="7"/>
  <c r="BA1177" i="7"/>
  <c r="BA1842" i="7"/>
  <c r="BA835" i="7"/>
  <c r="BA1441" i="7"/>
  <c r="BA499" i="7"/>
  <c r="BA2015" i="7"/>
  <c r="BA1331" i="7"/>
  <c r="BA1318" i="7"/>
  <c r="BA2102" i="7"/>
  <c r="BA1196" i="7"/>
  <c r="BA277" i="7"/>
  <c r="BA687" i="7"/>
  <c r="BA579" i="7"/>
  <c r="BA1057" i="7"/>
  <c r="BA1642" i="7"/>
  <c r="BA1821" i="7"/>
  <c r="BA715" i="7"/>
  <c r="BA1754" i="7"/>
  <c r="BA1384" i="7"/>
  <c r="BA698" i="7"/>
  <c r="BA1398" i="7"/>
  <c r="BA934" i="7"/>
  <c r="BA1740" i="7"/>
  <c r="BA2146" i="7"/>
  <c r="BA302" i="7"/>
  <c r="BA627" i="7"/>
  <c r="BA870" i="7"/>
  <c r="BA1373" i="7"/>
  <c r="BA1124" i="7"/>
  <c r="BA1173" i="7"/>
  <c r="BA1900" i="7"/>
  <c r="BA1380" i="7"/>
  <c r="BA1518" i="7"/>
  <c r="BA555" i="7"/>
  <c r="BA329" i="7"/>
  <c r="BA1410" i="7"/>
  <c r="BA553" i="7"/>
  <c r="BA644" i="7"/>
  <c r="BA1946" i="7"/>
  <c r="BA1677" i="7"/>
  <c r="BA575" i="7"/>
  <c r="BA711" i="7"/>
  <c r="BA1672" i="7"/>
  <c r="BA307" i="7"/>
  <c r="BA8" i="7"/>
  <c r="BA305" i="7"/>
  <c r="BA1467" i="7"/>
  <c r="BA2265" i="7"/>
  <c r="BA634" i="7"/>
  <c r="BA931" i="7"/>
  <c r="BA1251" i="7"/>
  <c r="BA1488" i="7"/>
  <c r="BA1584" i="7"/>
  <c r="BA1599" i="7"/>
  <c r="BA702" i="7"/>
  <c r="BA2251" i="7"/>
  <c r="BA1527" i="7"/>
  <c r="BA2066" i="7"/>
  <c r="BA1311" i="7"/>
  <c r="BA1400" i="7"/>
  <c r="BA496" i="7"/>
  <c r="BA1363" i="7"/>
  <c r="BA694" i="7"/>
  <c r="BA985" i="7"/>
  <c r="BA359" i="7"/>
  <c r="BA2091" i="7"/>
  <c r="BA936" i="7"/>
  <c r="BA2088" i="7"/>
  <c r="BA2262" i="7"/>
  <c r="BA1142" i="7"/>
  <c r="BA1929" i="7"/>
  <c r="BA957" i="7"/>
  <c r="BA1833" i="7"/>
  <c r="BA239" i="7"/>
  <c r="BA678" i="7"/>
  <c r="BA922" i="7"/>
  <c r="BA681" i="7"/>
  <c r="BA788" i="7"/>
  <c r="BA1848" i="7"/>
  <c r="BA1192" i="7"/>
  <c r="BA847" i="7"/>
  <c r="BA1558" i="7"/>
  <c r="BA1847" i="7"/>
  <c r="BA2205" i="7"/>
  <c r="BA1816" i="7"/>
  <c r="BA432" i="7"/>
  <c r="BA1906" i="7"/>
  <c r="BA1668" i="7"/>
  <c r="BA2245" i="7"/>
  <c r="BA1934" i="7"/>
  <c r="BA778" i="7"/>
  <c r="BA897" i="7"/>
  <c r="BA1987" i="7"/>
  <c r="BA1781" i="7"/>
  <c r="BA1490" i="7"/>
  <c r="BA1646" i="7"/>
  <c r="BA1460" i="7"/>
  <c r="BA1480" i="7"/>
  <c r="BA1659" i="7"/>
  <c r="BA728" i="7"/>
  <c r="BA1641" i="7"/>
  <c r="BA1932" i="7"/>
  <c r="BA291" i="7"/>
  <c r="BA1786" i="7"/>
  <c r="BA398" i="7"/>
  <c r="BA1312" i="7"/>
  <c r="BA2274" i="7"/>
  <c r="BA2227" i="7"/>
  <c r="BA2090" i="7"/>
  <c r="BA1862" i="7"/>
  <c r="BA1447" i="7"/>
  <c r="BA629" i="7"/>
  <c r="BA2252" i="7"/>
  <c r="BA2272" i="7"/>
  <c r="BA1719" i="7"/>
  <c r="BA503" i="7"/>
  <c r="BA6" i="7"/>
  <c r="BA2120" i="7"/>
  <c r="BA2074" i="7"/>
  <c r="BA1152" i="7"/>
  <c r="BA1943" i="7"/>
  <c r="BA68" i="7"/>
  <c r="BA1462" i="7"/>
  <c r="BA741" i="7"/>
  <c r="BA1383" i="7"/>
  <c r="BA406" i="7"/>
  <c r="BA925" i="7"/>
  <c r="BA1638" i="7"/>
  <c r="BA1866" i="7"/>
  <c r="BA2131" i="7"/>
  <c r="BA2075" i="7"/>
  <c r="BA2277" i="7"/>
  <c r="BA1008" i="7"/>
  <c r="BA2093" i="7"/>
  <c r="BA1790" i="7"/>
  <c r="BA538" i="7"/>
  <c r="BA2259" i="7"/>
  <c r="BA2047" i="7"/>
  <c r="BA478" i="7"/>
  <c r="BA1159" i="7"/>
  <c r="BA2193" i="7"/>
  <c r="BA276" i="7"/>
  <c r="BA1666" i="7"/>
  <c r="BA341" i="7"/>
  <c r="BA1776" i="7"/>
  <c r="BA214" i="7"/>
  <c r="BA2108" i="7"/>
  <c r="BA1849" i="7"/>
  <c r="BA729" i="7"/>
  <c r="BA812" i="7"/>
  <c r="BA1924" i="7"/>
  <c r="BA533" i="7"/>
  <c r="BA1670" i="7"/>
  <c r="BA831" i="7"/>
  <c r="BA1225" i="7"/>
  <c r="BA364" i="7"/>
  <c r="BA2122" i="7"/>
  <c r="BA860" i="7"/>
  <c r="BA386" i="7"/>
  <c r="BA363" i="7"/>
  <c r="BA2081" i="7"/>
  <c r="BA1475" i="7"/>
  <c r="BA1764" i="7"/>
  <c r="BA2099" i="7"/>
  <c r="BA1166" i="7"/>
  <c r="BA2117" i="7"/>
  <c r="BA99" i="7"/>
  <c r="BA2230" i="7"/>
  <c r="BA725" i="7"/>
  <c r="BA1009" i="7"/>
  <c r="BA2101" i="7"/>
  <c r="BA2232" i="7"/>
  <c r="BA537" i="7"/>
  <c r="BA1183" i="7"/>
  <c r="BA896" i="7"/>
  <c r="BA1399" i="7"/>
  <c r="BA2112" i="7"/>
  <c r="BA2175" i="7"/>
  <c r="BA2208" i="7"/>
  <c r="BA1385" i="7"/>
  <c r="BA357" i="7"/>
  <c r="BA1623" i="7"/>
  <c r="BA2233" i="7"/>
  <c r="BA1751" i="7"/>
  <c r="BA407" i="7"/>
  <c r="BA2153" i="7"/>
  <c r="BA2162" i="7"/>
  <c r="BA2195" i="7"/>
  <c r="BA2145" i="7"/>
  <c r="BA852" i="7"/>
  <c r="BA2132" i="7"/>
  <c r="BA1652" i="7"/>
  <c r="BA502" i="7"/>
  <c r="BA1893" i="7"/>
  <c r="BA745" i="7"/>
  <c r="BA1391" i="7"/>
  <c r="BA1840" i="7"/>
  <c r="BA1444" i="7"/>
  <c r="BA909" i="7"/>
  <c r="BA345" i="7"/>
  <c r="BA558" i="7"/>
  <c r="BA1814" i="7"/>
  <c r="BA2087" i="7"/>
  <c r="BA1867" i="7"/>
  <c r="BA1800" i="7"/>
  <c r="BA405" i="7"/>
  <c r="BA1495" i="7"/>
  <c r="BA1439" i="7"/>
  <c r="BA2086" i="7"/>
  <c r="BA279" i="7"/>
  <c r="BA1714" i="7"/>
  <c r="BA375" i="7"/>
  <c r="BA1865" i="7"/>
  <c r="BA1846" i="7"/>
  <c r="BA2178" i="7"/>
  <c r="BA1538" i="7"/>
  <c r="BA1631" i="7"/>
  <c r="BA2207" i="7"/>
  <c r="BA920" i="7"/>
  <c r="BA117" i="7"/>
  <c r="BA1907" i="7"/>
  <c r="BA1657" i="7"/>
  <c r="BA1624" i="7"/>
  <c r="BA1890" i="7"/>
  <c r="BA2254" i="7"/>
  <c r="BA1633" i="7"/>
  <c r="BA2194" i="7"/>
  <c r="BA1396" i="7"/>
  <c r="BA1002" i="7"/>
  <c r="BA1861" i="7"/>
  <c r="BA256" i="7"/>
  <c r="BA2257" i="7"/>
  <c r="BA310" i="7"/>
  <c r="BA2260" i="7"/>
  <c r="BA2092" i="7"/>
  <c r="BA2116" i="7"/>
  <c r="AZ2202" i="7"/>
  <c r="AZ941" i="7"/>
  <c r="AZ218" i="7"/>
  <c r="AZ215" i="7"/>
  <c r="AZ219" i="7"/>
  <c r="AZ222" i="7"/>
  <c r="AZ216" i="7"/>
  <c r="AZ220" i="7"/>
  <c r="AZ221" i="7"/>
  <c r="AZ217" i="7"/>
  <c r="AZ1902" i="7"/>
  <c r="AZ2198" i="7"/>
  <c r="AZ2201" i="7"/>
  <c r="AZ2094" i="7"/>
  <c r="AZ1858" i="7"/>
  <c r="AZ2097" i="7"/>
  <c r="AZ1406" i="7"/>
  <c r="AZ1857" i="7"/>
  <c r="AZ2028" i="7"/>
  <c r="AZ1651" i="7"/>
  <c r="AZ1936" i="7"/>
  <c r="AZ1784" i="7"/>
  <c r="AZ2069" i="7"/>
  <c r="AZ1405" i="7"/>
  <c r="AZ1908" i="7"/>
  <c r="AZ1845" i="7"/>
  <c r="AZ1045" i="7"/>
  <c r="AZ2096" i="7"/>
  <c r="AZ646" i="7"/>
  <c r="AZ2095" i="7"/>
  <c r="AZ1696" i="7"/>
  <c r="AZ1549" i="7"/>
  <c r="AZ1773" i="7"/>
  <c r="AZ2255" i="7"/>
  <c r="AZ1338" i="7"/>
  <c r="AZ1938" i="7"/>
  <c r="AZ748" i="7"/>
  <c r="AZ1236" i="7"/>
  <c r="AZ1158" i="7"/>
  <c r="AZ1179" i="7"/>
  <c r="AZ1809" i="7"/>
  <c r="AZ1345" i="7"/>
  <c r="AZ2051" i="7"/>
  <c r="AZ1214" i="7"/>
  <c r="AZ1572" i="7"/>
  <c r="AZ2147" i="7"/>
  <c r="AZ2176" i="7"/>
  <c r="AZ1407" i="7"/>
  <c r="AZ1452" i="7"/>
  <c r="AZ1691" i="7"/>
  <c r="AZ1298" i="7"/>
  <c r="AZ2200" i="7"/>
  <c r="AZ881" i="7"/>
  <c r="AZ1224" i="7"/>
  <c r="AZ252" i="7"/>
  <c r="AZ759" i="7"/>
  <c r="AZ1051" i="7"/>
  <c r="AZ1684" i="7"/>
  <c r="AZ680" i="7"/>
  <c r="AZ1647" i="7"/>
  <c r="AZ1062" i="7"/>
  <c r="AZ1945" i="7"/>
  <c r="AZ1453" i="7"/>
  <c r="AZ2008" i="7"/>
  <c r="AZ1421" i="7"/>
  <c r="AZ1892" i="7"/>
  <c r="AZ871" i="7"/>
  <c r="AZ1023" i="7"/>
  <c r="AZ882" i="7"/>
  <c r="AZ1995" i="7"/>
  <c r="AZ1060" i="7"/>
  <c r="AZ1231" i="7"/>
  <c r="AZ1872" i="7"/>
  <c r="AZ821" i="7"/>
  <c r="AZ1285" i="7"/>
  <c r="AZ1859" i="7"/>
  <c r="AZ1178" i="7"/>
  <c r="AZ986" i="7"/>
  <c r="AZ289" i="7"/>
  <c r="AZ1721" i="7"/>
  <c r="AZ1482" i="7"/>
  <c r="AZ2167" i="7"/>
  <c r="AZ1035" i="7"/>
  <c r="AZ1951" i="7"/>
  <c r="AZ888" i="7"/>
  <c r="AZ580" i="7"/>
  <c r="AZ1501" i="7"/>
  <c r="AZ1194" i="7"/>
  <c r="AZ1247" i="7"/>
  <c r="AZ1445" i="7"/>
  <c r="AZ738" i="7"/>
  <c r="AZ2049" i="7"/>
  <c r="AZ697" i="7"/>
  <c r="AZ1180" i="7"/>
  <c r="AZ559" i="7"/>
  <c r="AZ1030" i="7"/>
  <c r="AZ836" i="7"/>
  <c r="AZ562" i="7"/>
  <c r="AZ2171" i="7"/>
  <c r="AZ1856" i="7"/>
  <c r="AZ960" i="7"/>
  <c r="AZ839" i="7"/>
  <c r="AZ2057" i="7"/>
  <c r="AZ1937" i="7"/>
  <c r="AZ865" i="7"/>
  <c r="AZ820" i="7"/>
  <c r="AZ1169" i="7"/>
  <c r="AZ2052" i="7"/>
  <c r="AZ2139" i="7"/>
  <c r="AZ858" i="7"/>
  <c r="AZ2105" i="7"/>
  <c r="AZ251" i="7"/>
  <c r="AZ744" i="7"/>
  <c r="AZ1423" i="7"/>
  <c r="AZ1739" i="7"/>
  <c r="AZ1376" i="7"/>
  <c r="AZ1546" i="7"/>
  <c r="AZ783" i="7"/>
  <c r="AZ1969" i="7"/>
  <c r="AZ1687" i="7"/>
  <c r="AZ294" i="7"/>
  <c r="AZ621" i="7"/>
  <c r="AZ1621" i="7"/>
  <c r="AZ1620" i="7"/>
  <c r="AZ625" i="7"/>
  <c r="AZ253" i="7"/>
  <c r="AZ2134" i="7"/>
  <c r="AZ319" i="7"/>
  <c r="AZ1697" i="7"/>
  <c r="AZ1413" i="7"/>
  <c r="AZ1499" i="7"/>
  <c r="AZ1685" i="7"/>
  <c r="AZ1429" i="7"/>
  <c r="AZ1195" i="7"/>
  <c r="AZ710" i="7"/>
  <c r="AZ1220" i="7"/>
  <c r="AZ1084" i="7"/>
  <c r="AZ1871" i="7"/>
  <c r="AZ1920" i="7"/>
  <c r="AZ1290" i="7"/>
  <c r="AZ361" i="7"/>
  <c r="AZ384" i="7"/>
  <c r="AZ385" i="7"/>
  <c r="AZ383" i="7"/>
  <c r="AZ382" i="7"/>
  <c r="AZ410" i="7"/>
  <c r="AZ408" i="7"/>
  <c r="AZ418" i="7"/>
  <c r="AZ419" i="7"/>
  <c r="AZ465" i="7"/>
  <c r="AZ907" i="7"/>
  <c r="AZ596" i="7"/>
  <c r="AZ1254" i="7"/>
  <c r="AZ1728" i="7"/>
  <c r="AZ1944" i="7"/>
  <c r="AZ1496" i="7"/>
  <c r="AZ757" i="7"/>
  <c r="AZ1578" i="7"/>
  <c r="AZ2089" i="7"/>
  <c r="AZ79" i="7"/>
  <c r="AZ102" i="7"/>
  <c r="AZ101" i="7"/>
  <c r="AZ2022" i="7"/>
  <c r="AZ1874" i="7"/>
  <c r="AZ1737" i="7"/>
  <c r="AZ80" i="7"/>
  <c r="AZ82" i="7"/>
  <c r="AZ81" i="7"/>
  <c r="AZ100" i="7"/>
  <c r="AZ103" i="7"/>
  <c r="AZ1961" i="7"/>
  <c r="AZ630" i="7"/>
  <c r="AZ622" i="7"/>
  <c r="AZ1446" i="7"/>
  <c r="AZ381" i="7"/>
  <c r="AZ1156" i="7"/>
  <c r="AZ1778" i="7"/>
  <c r="AZ780" i="7"/>
  <c r="AZ595" i="7"/>
  <c r="AZ1349" i="7"/>
  <c r="AZ265" i="7"/>
  <c r="AZ1176" i="7"/>
  <c r="AZ1284" i="7"/>
  <c r="AZ982" i="7"/>
  <c r="AZ811" i="7"/>
  <c r="AZ1186" i="7"/>
  <c r="AZ331" i="7"/>
  <c r="AZ1055" i="7"/>
  <c r="AZ1200" i="7"/>
  <c r="AZ1432" i="7"/>
  <c r="AZ1168" i="7"/>
  <c r="AZ2128" i="7"/>
  <c r="AZ1082" i="7"/>
  <c r="AZ2282" i="7"/>
  <c r="AZ1288" i="7"/>
  <c r="AZ249" i="7"/>
  <c r="AZ316" i="7"/>
  <c r="AZ640" i="7"/>
  <c r="AZ765" i="7"/>
  <c r="AZ1514" i="7"/>
  <c r="AZ245" i="7"/>
  <c r="AZ1068" i="7"/>
  <c r="AZ1263" i="7"/>
  <c r="AZ1269" i="7"/>
  <c r="AZ1350" i="7"/>
  <c r="AZ561" i="7"/>
  <c r="AZ1940" i="7"/>
  <c r="AZ409" i="7"/>
  <c r="AZ427" i="7"/>
  <c r="AZ424" i="7"/>
  <c r="AZ429" i="7"/>
  <c r="AZ421" i="7"/>
  <c r="AZ585" i="7"/>
  <c r="AZ2161" i="7"/>
  <c r="AZ2098" i="7"/>
  <c r="AZ1688" i="7"/>
  <c r="AZ1941" i="7"/>
  <c r="AZ1491" i="7"/>
  <c r="AZ1243" i="7"/>
  <c r="AZ1630" i="7"/>
  <c r="AZ912" i="7"/>
  <c r="AZ792" i="7"/>
  <c r="AZ1024" i="7"/>
  <c r="AZ141" i="7"/>
  <c r="AZ213" i="7"/>
  <c r="AZ1074" i="7"/>
  <c r="AZ826" i="7"/>
  <c r="AZ1942" i="7"/>
  <c r="AZ144" i="7"/>
  <c r="AZ1612" i="7"/>
  <c r="AZ1607" i="7"/>
  <c r="AZ1239" i="7"/>
  <c r="AZ1403" i="7"/>
  <c r="AZ1498" i="7"/>
  <c r="AZ2111" i="7"/>
  <c r="AZ55" i="7"/>
  <c r="AZ814" i="7"/>
  <c r="AZ1910" i="7"/>
  <c r="AZ471" i="7"/>
  <c r="AZ1911" i="7"/>
  <c r="AZ1502" i="7"/>
  <c r="AZ2199" i="7"/>
  <c r="AZ1648" i="7"/>
  <c r="AZ1109" i="7"/>
  <c r="AZ1955" i="7"/>
  <c r="AZ567" i="7"/>
  <c r="AZ1516" i="7"/>
  <c r="AZ1515" i="7"/>
  <c r="AZ1984" i="7"/>
  <c r="AZ1264" i="7"/>
  <c r="AZ2141" i="7"/>
  <c r="AZ118" i="7"/>
  <c r="AZ140" i="7"/>
  <c r="AZ1077" i="7"/>
  <c r="AZ1305" i="7"/>
  <c r="AZ1611" i="7"/>
  <c r="AZ1448" i="7"/>
  <c r="AZ660" i="7"/>
  <c r="AZ846" i="7"/>
  <c r="AZ1297" i="7"/>
  <c r="AZ1237" i="7"/>
  <c r="AZ464" i="7"/>
  <c r="AZ961" i="7"/>
  <c r="AZ1734" i="7"/>
  <c r="AZ1333" i="7"/>
  <c r="AZ1713" i="7"/>
  <c r="AZ1854" i="7"/>
  <c r="AZ449" i="7"/>
  <c r="AZ487" i="7"/>
  <c r="AZ1424" i="7"/>
  <c r="AZ2169" i="7"/>
  <c r="AZ661" i="7"/>
  <c r="AZ942" i="7"/>
  <c r="AZ1402" i="7"/>
  <c r="AZ318" i="7"/>
  <c r="AZ388" i="7"/>
  <c r="AZ1125" i="7"/>
  <c r="AZ1850" i="7"/>
  <c r="AZ588" i="7"/>
  <c r="AZ1983" i="7"/>
  <c r="AZ879" i="7"/>
  <c r="AZ350" i="7"/>
  <c r="AZ598" i="7"/>
  <c r="AZ2107" i="7"/>
  <c r="AZ724" i="7"/>
  <c r="AZ105" i="7"/>
  <c r="AZ2061" i="7"/>
  <c r="AZ1994" i="7"/>
  <c r="AZ234" i="7"/>
  <c r="AZ631" i="7"/>
  <c r="AZ1040" i="7"/>
  <c r="AZ1722" i="7"/>
  <c r="AZ1732" i="7"/>
  <c r="AZ2266" i="7"/>
  <c r="AZ513" i="7"/>
  <c r="AZ1080" i="7"/>
  <c r="AZ1497" i="7"/>
  <c r="AZ1935" i="7"/>
  <c r="AZ2214" i="7"/>
  <c r="AZ60" i="7"/>
  <c r="AZ1187" i="7"/>
  <c r="AZ2130" i="7"/>
  <c r="AZ463" i="7"/>
  <c r="AZ577" i="7"/>
  <c r="AZ651" i="7"/>
  <c r="AZ1036" i="7"/>
  <c r="AZ1931" i="7"/>
  <c r="AZ1197" i="7"/>
  <c r="AZ1411" i="7"/>
  <c r="AZ582" i="7"/>
  <c r="AZ785" i="7"/>
  <c r="AZ1206" i="7"/>
  <c r="AZ2203" i="7"/>
  <c r="AZ1451" i="7"/>
  <c r="AZ1686" i="7"/>
  <c r="AZ1547" i="7"/>
  <c r="AZ1870" i="7"/>
  <c r="AZ2012" i="7"/>
  <c r="AZ1703" i="7"/>
  <c r="AZ1127" i="7"/>
  <c r="AZ205" i="7"/>
  <c r="AZ1508" i="7"/>
  <c r="AZ1673" i="7"/>
  <c r="AZ969" i="7"/>
  <c r="AZ1095" i="7"/>
  <c r="AZ387" i="7"/>
  <c r="AZ1775" i="7"/>
  <c r="AZ1010" i="7"/>
  <c r="AZ755" i="7"/>
  <c r="AZ514" i="7"/>
  <c r="AZ1559" i="7"/>
  <c r="AZ848" i="7"/>
  <c r="AZ1321" i="7"/>
  <c r="AZ1950" i="7"/>
  <c r="AZ2136" i="7"/>
  <c r="AZ1494" i="7"/>
  <c r="AZ1654" i="7"/>
  <c r="AZ563" i="7"/>
  <c r="AZ428" i="7"/>
  <c r="AZ1308" i="7"/>
  <c r="AZ48" i="7"/>
  <c r="AZ1210" i="7"/>
  <c r="AZ413" i="7"/>
  <c r="AZ584" i="7"/>
  <c r="AZ716" i="7"/>
  <c r="AZ1112" i="7"/>
  <c r="AZ452" i="7"/>
  <c r="AZ1232" i="7"/>
  <c r="AZ560" i="7"/>
  <c r="AZ1889" i="7"/>
  <c r="AZ653" i="7"/>
  <c r="AZ1510" i="7"/>
  <c r="AZ336" i="7"/>
  <c r="AZ1201" i="7"/>
  <c r="AZ809" i="7"/>
  <c r="AZ1595" i="7"/>
  <c r="AZ512" i="7"/>
  <c r="AZ1171" i="7"/>
  <c r="AZ1059" i="7"/>
  <c r="AZ1234" i="7"/>
  <c r="AZ2006" i="7"/>
  <c r="AZ1838" i="7"/>
  <c r="AZ2275" i="7"/>
  <c r="AZ83" i="7"/>
  <c r="AZ84" i="7"/>
  <c r="AZ1939" i="7"/>
  <c r="AZ1256" i="7"/>
  <c r="AZ1977" i="7"/>
  <c r="AZ236" i="7"/>
  <c r="AZ230" i="7"/>
  <c r="AZ228" i="7"/>
  <c r="AZ231" i="7"/>
  <c r="AZ227" i="7"/>
  <c r="AZ224" i="7"/>
  <c r="AZ225" i="7"/>
  <c r="AZ226" i="7"/>
  <c r="AZ1853" i="7"/>
  <c r="AZ593" i="7"/>
  <c r="AZ1090" i="7"/>
  <c r="AZ1852" i="7"/>
  <c r="AZ1971" i="7"/>
  <c r="AZ1522" i="7"/>
  <c r="AZ891" i="7"/>
  <c r="AZ240" i="7"/>
  <c r="AZ273" i="7"/>
  <c r="AZ754" i="7"/>
  <c r="AZ85" i="7"/>
  <c r="AZ86" i="7"/>
  <c r="AZ2177" i="7"/>
  <c r="AZ1351" i="7"/>
  <c r="AZ87" i="7"/>
  <c r="AZ1026" i="7"/>
  <c r="AZ209" i="7"/>
  <c r="AZ1007" i="7"/>
  <c r="AZ1699" i="7"/>
  <c r="AZ1715" i="7"/>
  <c r="AZ1215" i="7"/>
  <c r="AZ1455" i="7"/>
  <c r="AZ1609" i="7"/>
  <c r="AZ1434" i="7"/>
  <c r="AZ1876" i="7"/>
  <c r="AZ600" i="7"/>
  <c r="AZ2044" i="7"/>
  <c r="AZ1119" i="7"/>
  <c r="AZ88" i="7"/>
  <c r="AZ740" i="7"/>
  <c r="AZ1155" i="7"/>
  <c r="AZ1096" i="7"/>
  <c r="AZ282" i="7"/>
  <c r="AZ1582" i="7"/>
  <c r="AZ1855" i="7"/>
  <c r="AZ1083" i="7"/>
  <c r="AZ1213" i="7"/>
  <c r="AZ764" i="7"/>
  <c r="AZ52" i="7"/>
  <c r="AZ943" i="7"/>
  <c r="AZ1244" i="7"/>
  <c r="AZ965" i="7"/>
  <c r="AZ962" i="7"/>
  <c r="AZ1395" i="7"/>
  <c r="AZ1428" i="7"/>
  <c r="AZ1596" i="7"/>
  <c r="AZ1653" i="7"/>
  <c r="AZ332" i="7"/>
  <c r="AZ578" i="7"/>
  <c r="AZ948" i="7"/>
  <c r="AZ355" i="7"/>
  <c r="AZ348" i="7"/>
  <c r="AZ370" i="7"/>
  <c r="AZ1787" i="7"/>
  <c r="AZ1879" i="7"/>
  <c r="AZ303" i="7"/>
  <c r="AZ956" i="7"/>
  <c r="AZ1070" i="7"/>
  <c r="AZ1468" i="7"/>
  <c r="AZ637" i="7"/>
  <c r="AZ395" i="7"/>
  <c r="AZ1199" i="7"/>
  <c r="AZ1327" i="7"/>
  <c r="AZ1337" i="7"/>
  <c r="AZ24" i="7"/>
  <c r="AZ50" i="7"/>
  <c r="AZ1948" i="7"/>
  <c r="AZ2032" i="7"/>
  <c r="AZ543" i="7"/>
  <c r="AZ2135" i="7"/>
  <c r="AZ2229" i="7"/>
  <c r="AZ787" i="7"/>
  <c r="AZ1808" i="7"/>
  <c r="AZ901" i="7"/>
  <c r="AZ1252" i="7"/>
  <c r="AZ393" i="7"/>
  <c r="AZ772" i="7"/>
  <c r="AZ7" i="7"/>
  <c r="AZ107" i="7"/>
  <c r="AZ1212" i="7"/>
  <c r="AZ2238" i="7"/>
  <c r="AZ1099" i="7"/>
  <c r="AZ1294" i="7"/>
  <c r="AZ1965" i="7"/>
  <c r="AZ2104" i="7"/>
  <c r="AZ919" i="7"/>
  <c r="AZ1560" i="7"/>
  <c r="AZ92" i="7"/>
  <c r="AZ1690" i="7"/>
  <c r="AZ714" i="7"/>
  <c r="AZ1536" i="7"/>
  <c r="AZ545" i="7"/>
  <c r="AZ707" i="7"/>
  <c r="AZ1184" i="7"/>
  <c r="AZ2140" i="7"/>
  <c r="AZ2138" i="7"/>
  <c r="AZ237" i="7"/>
  <c r="AZ248" i="7"/>
  <c r="AZ684" i="7"/>
  <c r="AZ1364" i="7"/>
  <c r="AZ1674" i="7"/>
  <c r="AZ89" i="7"/>
  <c r="AZ51" i="7"/>
  <c r="AZ2024" i="7"/>
  <c r="AZ1061" i="7"/>
  <c r="AZ770" i="7"/>
  <c r="AZ800" i="7"/>
  <c r="AZ996" i="7"/>
  <c r="AZ369" i="7"/>
  <c r="AZ587" i="7"/>
  <c r="AZ2041" i="7"/>
  <c r="AZ119" i="7"/>
  <c r="AZ120" i="7"/>
  <c r="AZ411" i="7"/>
  <c r="AZ467" i="7"/>
  <c r="AZ455" i="7"/>
  <c r="AZ448" i="7"/>
  <c r="AZ474" i="7"/>
  <c r="AZ1054" i="7"/>
  <c r="AZ1707" i="7"/>
  <c r="AZ330" i="7"/>
  <c r="AZ1724" i="7"/>
  <c r="AZ2149" i="7"/>
  <c r="AZ550" i="7"/>
  <c r="AZ1770" i="7"/>
  <c r="AZ1998" i="7"/>
  <c r="AZ1693" i="7"/>
  <c r="AZ349" i="7"/>
  <c r="AZ1219" i="7"/>
  <c r="AZ1794" i="7"/>
  <c r="AZ262" i="7"/>
  <c r="AZ1404" i="7"/>
  <c r="AZ594" i="7"/>
  <c r="AZ1711" i="7"/>
  <c r="AZ2247" i="7"/>
  <c r="AZ104" i="7"/>
  <c r="AZ1649" i="7"/>
  <c r="AZ576" i="7"/>
  <c r="AZ807" i="7"/>
  <c r="AZ290" i="7"/>
  <c r="AZ607" i="7"/>
  <c r="AZ2023" i="7"/>
  <c r="AZ2155" i="7"/>
  <c r="AZ784" i="7"/>
  <c r="AZ967" i="7"/>
  <c r="AZ1037" i="7"/>
  <c r="AZ167" i="7"/>
  <c r="AZ157" i="7"/>
  <c r="AZ179" i="7"/>
  <c r="AZ178" i="7"/>
  <c r="AZ152" i="7"/>
  <c r="AZ168" i="7"/>
  <c r="AZ174" i="7"/>
  <c r="AZ172" i="7"/>
  <c r="AZ153" i="7"/>
  <c r="AZ171" i="7"/>
  <c r="AZ177" i="7"/>
  <c r="AZ163" i="7"/>
  <c r="AZ170" i="7"/>
  <c r="AZ173" i="7"/>
  <c r="AZ175" i="7"/>
  <c r="AZ164" i="7"/>
  <c r="AZ166" i="7"/>
  <c r="AZ165" i="7"/>
  <c r="AZ162" i="7"/>
  <c r="AZ161" i="7"/>
  <c r="AZ498" i="7"/>
  <c r="AZ752" i="7"/>
  <c r="AZ867" i="7"/>
  <c r="AZ786" i="7"/>
  <c r="AZ705" i="7"/>
  <c r="AZ1223" i="7"/>
  <c r="AZ1409" i="7"/>
  <c r="AZ132" i="7"/>
  <c r="AZ959" i="7"/>
  <c r="AZ283" i="7"/>
  <c r="AZ1056" i="7"/>
  <c r="AZ347" i="7"/>
  <c r="AZ825" i="7"/>
  <c r="AZ1725" i="7"/>
  <c r="AZ981" i="7"/>
  <c r="AZ1209" i="7"/>
  <c r="AZ479" i="7"/>
  <c r="AZ360" i="7"/>
  <c r="AZ995" i="7"/>
  <c r="AZ1094" i="7"/>
  <c r="AZ1161" i="7"/>
  <c r="AZ1736" i="7"/>
  <c r="AZ1953" i="7"/>
  <c r="AZ356" i="7"/>
  <c r="AZ2119" i="7"/>
  <c r="AZ1493" i="7"/>
  <c r="AZ886" i="7"/>
  <c r="AZ374" i="7"/>
  <c r="AZ1730" i="7"/>
  <c r="AZ898" i="7"/>
  <c r="AZ1695" i="7"/>
  <c r="AZ837" i="7"/>
  <c r="AZ1720" i="7"/>
  <c r="AZ17" i="7"/>
  <c r="AZ626" i="7"/>
  <c r="AZ796" i="7"/>
  <c r="AZ1513" i="7"/>
  <c r="AZ2150" i="7"/>
  <c r="AZ2151" i="7"/>
  <c r="AZ1271" i="7"/>
  <c r="AZ116" i="7"/>
  <c r="AZ1242" i="7"/>
  <c r="AZ958" i="7"/>
  <c r="AZ446" i="7"/>
  <c r="AZ311" i="7"/>
  <c r="AZ1123" i="7"/>
  <c r="AZ2196" i="7"/>
  <c r="AZ26" i="7"/>
  <c r="AZ27" i="7"/>
  <c r="AZ28" i="7"/>
  <c r="AZ29" i="7"/>
  <c r="AZ30" i="7"/>
  <c r="AZ31" i="7"/>
  <c r="AZ32" i="7"/>
  <c r="AZ33" i="7"/>
  <c r="AZ34" i="7"/>
  <c r="AZ35" i="7"/>
  <c r="AZ36" i="7"/>
  <c r="AZ37" i="7"/>
  <c r="AZ38" i="7"/>
  <c r="AZ39" i="7"/>
  <c r="AZ40" i="7"/>
  <c r="AZ41" i="7"/>
  <c r="AZ659" i="7"/>
  <c r="AZ2001" i="7"/>
  <c r="AZ1132" i="7"/>
  <c r="AZ1160" i="7"/>
  <c r="AZ106" i="7"/>
  <c r="AZ1531" i="7"/>
  <c r="AZ254" i="7"/>
  <c r="AZ122" i="7"/>
  <c r="AZ565" i="7"/>
  <c r="AZ1671" i="7"/>
  <c r="AZ1791" i="7"/>
  <c r="AZ266" i="7"/>
  <c r="AZ1619" i="7"/>
  <c r="AZ1174" i="7"/>
  <c r="AZ970" i="7"/>
  <c r="AZ376" i="7"/>
  <c r="AZ1625" i="7"/>
  <c r="AZ371" i="7"/>
  <c r="AZ1813" i="7"/>
  <c r="AZ1733" i="7"/>
  <c r="AZ368" i="7"/>
  <c r="AZ1042" i="7"/>
  <c r="AZ771" i="7"/>
  <c r="AZ2228" i="7"/>
  <c r="AZ250" i="7"/>
  <c r="AZ1486" i="7"/>
  <c r="AZ10" i="7"/>
  <c r="AZ649" i="7"/>
  <c r="AZ1885" i="7"/>
  <c r="AZ654" i="7"/>
  <c r="AZ1250" i="7"/>
  <c r="AZ1521" i="7"/>
  <c r="AZ628" i="7"/>
  <c r="AZ1085" i="7"/>
  <c r="AZ1204" i="7"/>
  <c r="AZ1759" i="7"/>
  <c r="AZ532" i="7"/>
  <c r="AZ650" i="7"/>
  <c r="AZ856" i="7"/>
  <c r="AZ994" i="7"/>
  <c r="AZ1067" i="7"/>
  <c r="AZ1712" i="7"/>
  <c r="AZ1113" i="7"/>
  <c r="AZ937" i="7"/>
  <c r="AZ64" i="7"/>
  <c r="AZ63" i="7"/>
  <c r="AZ797" i="7"/>
  <c r="AZ523" i="7"/>
  <c r="AZ549" i="7"/>
  <c r="AZ645" i="7"/>
  <c r="AZ895" i="7"/>
  <c r="AZ2280" i="7"/>
  <c r="AZ1374" i="7"/>
  <c r="AZ25" i="7"/>
  <c r="AZ180" i="7"/>
  <c r="AZ524" i="7"/>
  <c r="AZ90" i="7"/>
  <c r="AZ1420" i="7"/>
  <c r="AZ1587" i="7"/>
  <c r="AZ1352" i="7"/>
  <c r="AZ1962" i="7"/>
  <c r="AZ1797" i="7"/>
  <c r="AZ527" i="7"/>
  <c r="AZ753" i="7"/>
  <c r="AZ1533" i="7"/>
  <c r="AZ1542" i="7"/>
  <c r="AZ158" i="7"/>
  <c r="AZ712" i="7"/>
  <c r="AZ333" i="7"/>
  <c r="AZ890" i="7"/>
  <c r="AZ1456" i="7"/>
  <c r="AZ1894" i="7"/>
  <c r="AZ1767" i="7"/>
  <c r="AZ91" i="7"/>
  <c r="AZ608" i="7"/>
  <c r="AZ445" i="7"/>
  <c r="AZ94" i="7"/>
  <c r="AZ93" i="7"/>
  <c r="AZ108" i="7"/>
  <c r="AZ109" i="7"/>
  <c r="AZ111" i="7"/>
  <c r="AZ112" i="7"/>
  <c r="AZ202" i="7"/>
  <c r="AZ447" i="7"/>
  <c r="AZ206" i="7"/>
  <c r="AZ207" i="7"/>
  <c r="AZ1079" i="7"/>
  <c r="AZ636" i="7"/>
  <c r="AZ983" i="7"/>
  <c r="AZ477" i="7"/>
  <c r="AZ756" i="7"/>
  <c r="AZ129" i="7"/>
  <c r="AZ246" i="7"/>
  <c r="AZ1811" i="7"/>
  <c r="AZ1763" i="7"/>
  <c r="AZ110" i="7"/>
  <c r="AZ574" i="7"/>
  <c r="AZ1975" i="7"/>
  <c r="AZ135" i="7"/>
  <c r="AZ300" i="7"/>
  <c r="AZ324" i="7"/>
  <c r="AZ2237" i="7"/>
  <c r="AZ183" i="7"/>
  <c r="AZ182" i="7"/>
  <c r="AZ184" i="7"/>
  <c r="AZ185" i="7"/>
  <c r="AZ176" i="7"/>
  <c r="AZ181" i="7"/>
  <c r="AZ304" i="7"/>
  <c r="AZ548" i="7"/>
  <c r="AZ113" i="7"/>
  <c r="AZ1519" i="7"/>
  <c r="AZ431" i="7"/>
  <c r="AZ2144" i="7"/>
  <c r="AZ984" i="7"/>
  <c r="AZ1557" i="7"/>
  <c r="AZ1801" i="7"/>
  <c r="AZ1718" i="7"/>
  <c r="AZ805" i="7"/>
  <c r="AZ1511" i="7"/>
  <c r="AZ312" i="7"/>
  <c r="AZ2165" i="7"/>
  <c r="AZ1752" i="7"/>
  <c r="AZ2191" i="7"/>
  <c r="AZ604" i="7"/>
  <c r="AZ2040" i="7"/>
  <c r="AZ2187" i="7"/>
  <c r="AZ1044" i="7"/>
  <c r="AZ2005" i="7"/>
  <c r="AZ2053" i="7"/>
  <c r="AZ2137" i="7"/>
  <c r="AZ462" i="7"/>
  <c r="AZ1208" i="7"/>
  <c r="AZ1221" i="7"/>
  <c r="AZ2210" i="7"/>
  <c r="AZ297" i="7"/>
  <c r="AZ1669" i="7"/>
  <c r="AZ521" i="7"/>
  <c r="AZ2270" i="7"/>
  <c r="AZ223" i="7"/>
  <c r="AZ1069" i="7"/>
  <c r="AZ255" i="7"/>
  <c r="AZ321" i="7"/>
  <c r="AZ1878" i="7"/>
  <c r="AZ915" i="7"/>
  <c r="AZ1011" i="7"/>
  <c r="AZ1198" i="7"/>
  <c r="AZ619" i="7"/>
  <c r="AZ1507" i="7"/>
  <c r="AZ76" i="7"/>
  <c r="AZ73" i="7"/>
  <c r="AZ72" i="7"/>
  <c r="AZ71" i="7"/>
  <c r="AZ481" i="7"/>
  <c r="AZ968" i="7"/>
  <c r="AZ1064" i="7"/>
  <c r="AZ1706" i="7"/>
  <c r="AZ147" i="7"/>
  <c r="AZ443" i="7"/>
  <c r="AZ832" i="7"/>
  <c r="AZ963" i="7"/>
  <c r="AZ1114" i="7"/>
  <c r="AZ1128" i="7"/>
  <c r="AZ1181" i="7"/>
  <c r="AZ850" i="7"/>
  <c r="AZ699" i="7"/>
  <c r="AZ1078" i="7"/>
  <c r="AZ1015" i="7"/>
  <c r="AZ815" i="7"/>
  <c r="AZ1525" i="7"/>
  <c r="AZ2077" i="7"/>
  <c r="AZ1550" i="7"/>
  <c r="AZ12" i="7"/>
  <c r="AZ662" i="7"/>
  <c r="AZ1532" i="7"/>
  <c r="AZ1442" i="7"/>
  <c r="AZ143" i="7"/>
  <c r="AZ268" i="7"/>
  <c r="AZ583" i="7"/>
  <c r="AZ1689" i="7"/>
  <c r="AZ417" i="7"/>
  <c r="AZ875" i="7"/>
  <c r="AZ96" i="7"/>
  <c r="AZ1768" i="7"/>
  <c r="AZ1627" i="7"/>
  <c r="AZ1966" i="7"/>
  <c r="AZ320" i="7"/>
  <c r="AZ287" i="7"/>
  <c r="AZ2121" i="7"/>
  <c r="AZ44" i="7"/>
  <c r="AZ203" i="7"/>
  <c r="AZ529" i="7"/>
  <c r="AZ469" i="7"/>
  <c r="AZ1274" i="7"/>
  <c r="AZ2242" i="7"/>
  <c r="AZ134" i="7"/>
  <c r="AZ20" i="7"/>
  <c r="AZ1478" i="7"/>
  <c r="AZ21" i="7"/>
  <c r="AZ768" i="7"/>
  <c r="AZ47" i="7"/>
  <c r="AZ46" i="7"/>
  <c r="AZ54" i="7"/>
  <c r="AZ53" i="7"/>
  <c r="AZ435" i="7"/>
  <c r="AZ953" i="7"/>
  <c r="AZ1172" i="7"/>
  <c r="AZ776" i="7"/>
  <c r="AZ1235" i="7"/>
  <c r="AZ1815" i="7"/>
  <c r="AZ354" i="7"/>
  <c r="AZ1882" i="7"/>
  <c r="AZ1347" i="7"/>
  <c r="AZ1976" i="7"/>
  <c r="AZ2188" i="7"/>
  <c r="AZ1656" i="7"/>
  <c r="AZ1704" i="7"/>
  <c r="AZ1744" i="7"/>
  <c r="AZ1990" i="7"/>
  <c r="AZ2197" i="7"/>
  <c r="AZ1836" i="7"/>
  <c r="AZ315" i="7"/>
  <c r="AZ775" i="7"/>
  <c r="AZ946" i="7"/>
  <c r="AZ508" i="7"/>
  <c r="AZ818" i="7"/>
  <c r="AZ987" i="7"/>
  <c r="AZ1075" i="7"/>
  <c r="AZ285" i="7"/>
  <c r="AZ2231" i="7"/>
  <c r="AZ433" i="7"/>
  <c r="AZ777" i="7"/>
  <c r="AZ1484" i="7"/>
  <c r="AZ1947" i="7"/>
  <c r="AZ1048" i="7"/>
  <c r="AZ1544" i="7"/>
  <c r="AZ1356" i="7"/>
  <c r="AZ1592" i="7"/>
  <c r="AZ78" i="7"/>
  <c r="AZ77" i="7"/>
  <c r="AZ74" i="7"/>
  <c r="AZ75" i="7"/>
  <c r="AZ2157" i="7"/>
  <c r="AZ56" i="7"/>
  <c r="AZ599" i="7"/>
  <c r="AZ1825" i="7"/>
  <c r="AZ721" i="7"/>
  <c r="AZ1102" i="7"/>
  <c r="AZ1145" i="7"/>
  <c r="AZ1756" i="7"/>
  <c r="AZ1804" i="7"/>
  <c r="AZ1101" i="7"/>
  <c r="AZ2050" i="7"/>
  <c r="AZ272" i="7"/>
  <c r="AZ519" i="7"/>
  <c r="AZ334" i="7"/>
  <c r="AZ1262" i="7"/>
  <c r="AZ1540" i="7"/>
  <c r="AZ664" i="7"/>
  <c r="AZ1914" i="7"/>
  <c r="AZ351" i="7"/>
  <c r="AZ434" i="7"/>
  <c r="AZ833" i="7"/>
  <c r="AZ1205" i="7"/>
  <c r="AZ1909" i="7"/>
  <c r="AZ1915" i="7"/>
  <c r="AZ1968" i="7"/>
  <c r="AZ338" i="7"/>
  <c r="AZ1610" i="7"/>
  <c r="AZ475" i="7"/>
  <c r="AZ422" i="7"/>
  <c r="AZ1341" i="7"/>
  <c r="AZ1551" i="7"/>
  <c r="AZ1749" i="7"/>
  <c r="AZ854" i="7"/>
  <c r="AZ1675" i="7"/>
  <c r="AZ23" i="7"/>
  <c r="AZ22" i="7"/>
  <c r="AZ1884" i="7"/>
  <c r="AZ841" i="7"/>
  <c r="AZ1463" i="7"/>
  <c r="AZ1919" i="7"/>
  <c r="AZ1963" i="7"/>
  <c r="AZ1222" i="7"/>
  <c r="AZ804" i="7"/>
  <c r="AZ1293" i="7"/>
  <c r="AZ472" i="7"/>
  <c r="AZ438" i="7"/>
  <c r="AZ1361" i="7"/>
  <c r="AZ1425" i="7"/>
  <c r="AZ1912" i="7"/>
  <c r="AZ2258" i="7"/>
  <c r="AZ480" i="7"/>
  <c r="AZ843" i="7"/>
  <c r="AZ899" i="7"/>
  <c r="AZ1492" i="7"/>
  <c r="AZ1344" i="7"/>
  <c r="AZ346" i="7"/>
  <c r="AZ774" i="7"/>
  <c r="AZ1731" i="7"/>
  <c r="AZ1978" i="7"/>
  <c r="AZ801" i="7"/>
  <c r="AZ1343" i="7"/>
  <c r="AZ1483" i="7"/>
  <c r="AZ531" i="7"/>
  <c r="AZ1454" i="7"/>
  <c r="AZ1692" i="7"/>
  <c r="AZ590" i="7"/>
  <c r="AZ2007" i="7"/>
  <c r="AZ2033" i="7"/>
  <c r="AZ146" i="7"/>
  <c r="AZ264" i="7"/>
  <c r="AZ506" i="7"/>
  <c r="AZ658" i="7"/>
  <c r="AZ1281" i="7"/>
  <c r="AZ1461" i="7"/>
  <c r="AZ1757" i="7"/>
  <c r="AZ115" i="7"/>
  <c r="AZ1073" i="7"/>
  <c r="AZ1259" i="7"/>
  <c r="AZ1535" i="7"/>
  <c r="AZ1664" i="7"/>
  <c r="AZ643" i="7"/>
  <c r="AZ1415" i="7"/>
  <c r="AZ1761" i="7"/>
  <c r="AZ2268" i="7"/>
  <c r="AZ552" i="7"/>
  <c r="AZ2158" i="7"/>
  <c r="AZ1982" i="7"/>
  <c r="AZ739" i="7"/>
  <c r="AZ1047" i="7"/>
  <c r="AZ2071" i="7"/>
  <c r="AZ570" i="7"/>
  <c r="AZ1710" i="7"/>
  <c r="AZ1886" i="7"/>
  <c r="AZ284" i="7"/>
  <c r="AZ414" i="7"/>
  <c r="AZ799" i="7"/>
  <c r="AZ1157" i="7"/>
  <c r="AZ592" i="7"/>
  <c r="AZ794" i="7"/>
  <c r="AZ473" i="7"/>
  <c r="AZ2027" i="7"/>
  <c r="AZ511" i="7"/>
  <c r="AZ1959" i="7"/>
  <c r="AZ394" i="7"/>
  <c r="AZ803" i="7"/>
  <c r="AZ945" i="7"/>
  <c r="AZ1017" i="7"/>
  <c r="AZ1952" i="7"/>
  <c r="AZ2037" i="7"/>
  <c r="AZ751" i="7"/>
  <c r="AZ1895" i="7"/>
  <c r="AZ1999" i="7"/>
  <c r="AZ1458" i="7"/>
  <c r="AZ1789" i="7"/>
  <c r="AZ439" i="7"/>
  <c r="AZ1103" i="7"/>
  <c r="AZ1427" i="7"/>
  <c r="AZ389" i="7"/>
  <c r="AZ1226" i="7"/>
  <c r="AZ1216" i="7"/>
  <c r="AZ9" i="7"/>
  <c r="AZ242" i="7"/>
  <c r="AZ1426" i="7"/>
  <c r="AZ1552" i="7"/>
  <c r="AZ1489" i="7"/>
  <c r="AZ1265" i="7"/>
  <c r="AZ1506" i="7"/>
  <c r="AZ61" i="7"/>
  <c r="AZ722" i="7"/>
  <c r="AZ1957" i="7"/>
  <c r="AZ782" i="7"/>
  <c r="AZ779" i="7"/>
  <c r="AZ1537" i="7"/>
  <c r="AZ1500" i="7"/>
  <c r="AZ442" i="7"/>
  <c r="AZ566" i="7"/>
  <c r="AZ1464" i="7"/>
  <c r="AZ151" i="7"/>
  <c r="AZ149" i="7"/>
  <c r="AZ340" i="7"/>
  <c r="AZ1575" i="7"/>
  <c r="AZ1698" i="7"/>
  <c r="AZ993" i="7"/>
  <c r="AZ1766" i="7"/>
  <c r="AZ358" i="7"/>
  <c r="AZ1530" i="7"/>
  <c r="AZ1309" i="7"/>
  <c r="AZ1655" i="7"/>
  <c r="AZ1933" i="7"/>
  <c r="AZ2009" i="7"/>
  <c r="AZ639" i="7"/>
  <c r="AZ1887" i="7"/>
  <c r="AZ352" i="7"/>
  <c r="AZ367" i="7"/>
  <c r="AZ1512" i="7"/>
  <c r="AZ306" i="7"/>
  <c r="AZ1230" i="7"/>
  <c r="AZ1390" i="7"/>
  <c r="AZ1605" i="7"/>
  <c r="AZ130" i="7"/>
  <c r="AZ507" i="7"/>
  <c r="AZ793" i="7"/>
  <c r="AZ1526" i="7"/>
  <c r="AZ377" i="7"/>
  <c r="AZ696" i="7"/>
  <c r="AZ887" i="7"/>
  <c r="AZ906" i="7"/>
  <c r="AZ441" i="7"/>
  <c r="AZ437" i="7"/>
  <c r="AZ232" i="7"/>
  <c r="AZ1065" i="7"/>
  <c r="AZ1367" i="7"/>
  <c r="AZ1188" i="7"/>
  <c r="AZ490" i="7"/>
  <c r="AZ1033" i="7"/>
  <c r="AZ1360" i="7"/>
  <c r="AZ1366" i="7"/>
  <c r="AZ1245" i="7"/>
  <c r="AZ1357" i="7"/>
  <c r="AZ1313" i="7"/>
  <c r="AZ2030" i="7"/>
  <c r="AZ199" i="7"/>
  <c r="AZ212" i="7"/>
  <c r="AZ781" i="7"/>
  <c r="AZ991" i="7"/>
  <c r="AZ1319" i="7"/>
  <c r="AZ1414" i="7"/>
  <c r="AZ1355" i="7"/>
  <c r="AZ1875" i="7"/>
  <c r="AZ864" i="7"/>
  <c r="AZ1041" i="7"/>
  <c r="AZ1371" i="7"/>
  <c r="AZ1520" i="7"/>
  <c r="AZ1590" i="7"/>
  <c r="AZ1818" i="7"/>
  <c r="AZ709" i="7"/>
  <c r="AZ2013" i="7"/>
  <c r="AZ261" i="7"/>
  <c r="AZ1541" i="7"/>
  <c r="AZ1063" i="7"/>
  <c r="AZ313" i="7"/>
  <c r="AZ921" i="7"/>
  <c r="AZ910" i="7"/>
  <c r="AZ1597" i="7"/>
  <c r="AZ145" i="7"/>
  <c r="AZ670" i="7"/>
  <c r="AZ802" i="7"/>
  <c r="AZ675" i="7"/>
  <c r="AZ1954" i="7"/>
  <c r="AZ2156" i="7"/>
  <c r="AZ1873" i="7"/>
  <c r="AZ337" i="7"/>
  <c r="AZ972" i="7"/>
  <c r="AZ1148" i="7"/>
  <c r="AZ1306" i="7"/>
  <c r="AZ1217" i="7"/>
  <c r="AZ1431" i="7"/>
  <c r="AZ2148" i="7"/>
  <c r="AZ482" i="7"/>
  <c r="AZ838" i="7"/>
  <c r="AZ1466" i="7"/>
  <c r="AZ1680" i="7"/>
  <c r="AZ314" i="7"/>
  <c r="AZ1332" i="7"/>
  <c r="AZ278" i="7"/>
  <c r="AZ546" i="7"/>
  <c r="AZ1694" i="7"/>
  <c r="AZ1233" i="7"/>
  <c r="AZ657" i="7"/>
  <c r="AZ1153" i="7"/>
  <c r="AZ667" i="7"/>
  <c r="AZ894" i="7"/>
  <c r="AZ2058" i="7"/>
  <c r="AZ244" i="7"/>
  <c r="AZ1238" i="7"/>
  <c r="AZ1992" i="7"/>
  <c r="AZ615" i="7"/>
  <c r="AZ1021" i="7"/>
  <c r="AZ1717" i="7"/>
  <c r="AZ1795" i="7"/>
  <c r="AZ2213" i="7"/>
  <c r="AZ1806" i="7"/>
  <c r="AZ1058" i="7"/>
  <c r="AZ1481" i="7"/>
  <c r="AZ1278" i="7"/>
  <c r="AZ606" i="7"/>
  <c r="AZ325" i="7"/>
  <c r="AZ518" i="7"/>
  <c r="AZ1266" i="7"/>
  <c r="AZ425" i="7"/>
  <c r="AZ1218" i="7"/>
  <c r="AZ1207" i="7"/>
  <c r="AZ1315" i="7"/>
  <c r="AZ863" i="7"/>
  <c r="AZ539" i="7"/>
  <c r="AZ544" i="7"/>
  <c r="AZ620" i="7"/>
  <c r="AZ1991" i="7"/>
  <c r="AZ97" i="7"/>
  <c r="AZ2106" i="7"/>
  <c r="AZ15" i="7"/>
  <c r="AZ1504" i="7"/>
  <c r="AZ564" i="7"/>
  <c r="AZ1569" i="7"/>
  <c r="AZ1249" i="7"/>
  <c r="AZ2031" i="7"/>
  <c r="AZ295" i="7"/>
  <c r="AZ353" i="7"/>
  <c r="AZ1565" i="7"/>
  <c r="AZ1735" i="7"/>
  <c r="AZ14" i="7"/>
  <c r="AZ2133" i="7"/>
  <c r="AZ2002" i="7"/>
  <c r="AZ400" i="7"/>
  <c r="AZ420" i="7"/>
  <c r="AZ1046" i="7"/>
  <c r="AZ1115" i="7"/>
  <c r="AZ45" i="7"/>
  <c r="AZ188" i="7"/>
  <c r="AZ2010" i="7"/>
  <c r="AZ148" i="7"/>
  <c r="AZ979" i="7"/>
  <c r="AZ1087" i="7"/>
  <c r="AZ1354" i="7"/>
  <c r="AZ1571" i="7"/>
  <c r="AZ1604" i="7"/>
  <c r="AZ1988" i="7"/>
  <c r="AZ59" i="7"/>
  <c r="AZ1163" i="7"/>
  <c r="AZ1830" i="7"/>
  <c r="AZ2017" i="7"/>
  <c r="AZ1019" i="7"/>
  <c r="AZ1863" i="7"/>
  <c r="AZ2263" i="7"/>
  <c r="AZ317" i="7"/>
  <c r="AZ816" i="7"/>
  <c r="AZ1307" i="7"/>
  <c r="AZ2281" i="7"/>
  <c r="AZ1091" i="7"/>
  <c r="AZ200" i="7"/>
  <c r="AZ257" i="7"/>
  <c r="AZ857" i="7"/>
  <c r="AZ379" i="7"/>
  <c r="AZ2223" i="7"/>
  <c r="AZ2073" i="7"/>
  <c r="AZ271" i="7"/>
  <c r="AZ57" i="7"/>
  <c r="AZ58" i="7"/>
  <c r="AZ713" i="7"/>
  <c r="AZ1098" i="7"/>
  <c r="AZ880" i="7"/>
  <c r="AZ1417" i="7"/>
  <c r="AZ1028" i="7"/>
  <c r="AZ150" i="7"/>
  <c r="AZ154" i="7"/>
  <c r="AZ156" i="7"/>
  <c r="AZ155" i="7"/>
  <c r="AZ1120" i="7"/>
  <c r="AZ1049" i="7"/>
  <c r="AZ98" i="7"/>
  <c r="AZ270" i="7"/>
  <c r="AZ2085" i="7"/>
  <c r="AZ515" i="7"/>
  <c r="AZ766" i="7"/>
  <c r="AZ1100" i="7"/>
  <c r="AZ121" i="7"/>
  <c r="AZ609" i="7"/>
  <c r="AZ2035" i="7"/>
  <c r="AZ2063" i="7"/>
  <c r="AZ971" i="7"/>
  <c r="AZ1140" i="7"/>
  <c r="AZ2164" i="7"/>
  <c r="AZ1137" i="7"/>
  <c r="AZ1829" i="7"/>
  <c r="AZ1989" i="7"/>
  <c r="AZ1272" i="7"/>
  <c r="AZ1561" i="7"/>
  <c r="AZ2216" i="7"/>
  <c r="AZ1339" i="7"/>
  <c r="AZ2038" i="7"/>
  <c r="AZ989" i="7"/>
  <c r="AZ1676" i="7"/>
  <c r="AZ2109" i="7"/>
  <c r="AZ1081" i="7"/>
  <c r="AZ2278" i="7"/>
  <c r="AZ591" i="7"/>
  <c r="AZ1683" i="7"/>
  <c r="AZ1509" i="7"/>
  <c r="AZ269" i="7"/>
  <c r="AZ404" i="7"/>
  <c r="AZ2182" i="7"/>
  <c r="AZ1705" i="7"/>
  <c r="AZ323" i="7"/>
  <c r="AZ1133" i="7"/>
  <c r="AZ275" i="7"/>
  <c r="AZ1827" i="7"/>
  <c r="AZ186" i="7"/>
  <c r="AZ1972" i="7"/>
  <c r="AZ828" i="7"/>
  <c r="AZ1824" i="7"/>
  <c r="AZ1477" i="7"/>
  <c r="AZ1556" i="7"/>
  <c r="AZ396" i="7"/>
  <c r="AZ486" i="7"/>
  <c r="AZ951" i="7"/>
  <c r="AZ1401" i="7"/>
  <c r="AZ516" i="7"/>
  <c r="AZ1372" i="7"/>
  <c r="AZ198" i="7"/>
  <c r="AZ517" i="7"/>
  <c r="AZ2011" i="7"/>
  <c r="AZ2003" i="7"/>
  <c r="AZ990" i="7"/>
  <c r="AZ133" i="7"/>
  <c r="AZ456" i="7"/>
  <c r="AZ717" i="7"/>
  <c r="AZ1182" i="7"/>
  <c r="AZ551" i="7"/>
  <c r="AZ2256" i="7"/>
  <c r="AZ1202" i="7"/>
  <c r="AZ1378" i="7"/>
  <c r="AZ1986" i="7"/>
  <c r="AZ893" i="7"/>
  <c r="AZ819" i="7"/>
  <c r="AZ1742" i="7"/>
  <c r="AZ2185" i="7"/>
  <c r="AZ124" i="7"/>
  <c r="AZ123" i="7"/>
  <c r="AZ1253" i="7"/>
  <c r="AZ1470" i="7"/>
  <c r="AZ1111" i="7"/>
  <c r="AZ1662" i="7"/>
  <c r="AZ280" i="7"/>
  <c r="AZ258" i="7"/>
  <c r="AZ43" i="7"/>
  <c r="AZ2279" i="7"/>
  <c r="AZ1365" i="7"/>
  <c r="AZ1523" i="7"/>
  <c r="AZ1760" i="7"/>
  <c r="AZ1348" i="7"/>
  <c r="AZ822" i="7"/>
  <c r="AZ1881" i="7"/>
  <c r="AZ851" i="7"/>
  <c r="AZ701" i="7"/>
  <c r="AZ204" i="7"/>
  <c r="AZ791" i="7"/>
  <c r="AZ1268" i="7"/>
  <c r="AZ1566" i="7"/>
  <c r="AZ2261" i="7"/>
  <c r="AZ1554" i="7"/>
  <c r="AZ114" i="7"/>
  <c r="AZ2125" i="7"/>
  <c r="AZ1960" i="7"/>
  <c r="AZ663" i="7"/>
  <c r="AZ1819" i="7"/>
  <c r="AZ2186" i="7"/>
  <c r="AZ42" i="7"/>
  <c r="AZ488" i="7"/>
  <c r="AZ1134" i="7"/>
  <c r="AZ1430" i="7"/>
  <c r="AZ1746" i="7"/>
  <c r="AZ1336" i="7"/>
  <c r="AZ1904" i="7"/>
  <c r="AZ760" i="7"/>
  <c r="AZ2166" i="7"/>
  <c r="AZ201" i="7"/>
  <c r="AZ597" i="7"/>
  <c r="AZ798" i="7"/>
  <c r="AZ1016" i="7"/>
  <c r="AZ690" i="7"/>
  <c r="AZ789" i="7"/>
  <c r="AZ1598" i="7"/>
  <c r="AZ1052" i="7"/>
  <c r="AZ726" i="7"/>
  <c r="AZ1877" i="7"/>
  <c r="AZ855" i="7"/>
  <c r="AZ2248" i="7"/>
  <c r="AZ13" i="7"/>
  <c r="AZ761" i="7"/>
  <c r="AZ1005" i="7"/>
  <c r="AZ412" i="7"/>
  <c r="AZ952" i="7"/>
  <c r="AZ1629" i="7"/>
  <c r="AZ1743" i="7"/>
  <c r="AZ208" i="7"/>
  <c r="AZ900" i="7"/>
  <c r="AZ1273" i="7"/>
  <c r="AZ1436" i="7"/>
  <c r="AZ1729" i="7"/>
  <c r="AZ1755" i="7"/>
  <c r="AZ390" i="7"/>
  <c r="AZ2212" i="7"/>
  <c r="AZ365" i="7"/>
  <c r="AZ1029" i="7"/>
  <c r="AZ1191" i="7"/>
  <c r="AZ1296" i="7"/>
  <c r="AZ1970" i="7"/>
  <c r="AZ1270" i="7"/>
  <c r="AZ1956" i="7"/>
  <c r="AZ669" i="7"/>
  <c r="AZ509" i="7"/>
  <c r="AZ1291" i="7"/>
  <c r="AZ1616" i="7"/>
  <c r="AZ1310" i="7"/>
  <c r="AZ2143" i="7"/>
  <c r="AZ1602" i="7"/>
  <c r="AZ1780" i="7"/>
  <c r="AZ1576" i="7"/>
  <c r="AZ470" i="7"/>
  <c r="AZ1050" i="7"/>
  <c r="AZ589" i="7"/>
  <c r="AZ1107" i="7"/>
  <c r="AZ1949" i="7"/>
  <c r="AZ2226" i="7"/>
  <c r="AZ373" i="7"/>
  <c r="AZ1369" i="7"/>
  <c r="AZ1473" i="7"/>
  <c r="AZ1324" i="7"/>
  <c r="AZ1548" i="7"/>
  <c r="AZ1807" i="7"/>
  <c r="AZ16" i="7"/>
  <c r="AZ233" i="7"/>
  <c r="AZ1301" i="7"/>
  <c r="AZ1723" i="7"/>
  <c r="AZ1393" i="7"/>
  <c r="AZ1162" i="7"/>
  <c r="AZ2183" i="7"/>
  <c r="AZ1302" i="7"/>
  <c r="AZ5" i="7"/>
  <c r="AZ210" i="7"/>
  <c r="AZ522" i="7"/>
  <c r="AZ586" i="7"/>
  <c r="AZ1883" i="7"/>
  <c r="AZ1665" i="7"/>
  <c r="AZ2065" i="7"/>
  <c r="AZ988" i="7"/>
  <c r="AZ2055" i="7"/>
  <c r="AZ611" i="7"/>
  <c r="AZ747" i="7"/>
  <c r="AZ1326" i="7"/>
  <c r="AZ1170" i="7"/>
  <c r="AZ1368" i="7"/>
  <c r="AZ1603" i="7"/>
  <c r="AZ520" i="7"/>
  <c r="AZ1105" i="7"/>
  <c r="AZ750" i="7"/>
  <c r="AZ1471" i="7"/>
  <c r="AZ70" i="7"/>
  <c r="AZ2269" i="7"/>
  <c r="AZ1901" i="7"/>
  <c r="AZ1783" i="7"/>
  <c r="AZ1772" i="7"/>
  <c r="AZ581" i="7"/>
  <c r="AZ903" i="7"/>
  <c r="AZ974" i="7"/>
  <c r="AZ916" i="7"/>
  <c r="AZ808" i="7"/>
  <c r="AZ883" i="7"/>
  <c r="AZ19" i="7"/>
  <c r="AZ624" i="7"/>
  <c r="AZ1820" i="7"/>
  <c r="AZ1923" i="7"/>
  <c r="AZ2039" i="7"/>
  <c r="AZ2043" i="7"/>
  <c r="AZ866" i="7"/>
  <c r="AZ1387" i="7"/>
  <c r="AZ1260" i="7"/>
  <c r="AZ1279" i="7"/>
  <c r="AZ1485" i="7"/>
  <c r="AZ235" i="7"/>
  <c r="AZ342" i="7"/>
  <c r="AZ1283" i="7"/>
  <c r="AZ1116" i="7"/>
  <c r="AZ2046" i="7"/>
  <c r="AZ2" i="7"/>
  <c r="AZ1292" i="7"/>
  <c r="AZ1996" i="7"/>
  <c r="AZ1450" i="7"/>
  <c r="AZ762" i="7"/>
  <c r="AZ749" i="7"/>
  <c r="AZ1190" i="7"/>
  <c r="AZ1131" i="7"/>
  <c r="AZ1382" i="7"/>
  <c r="AZ862" i="7"/>
  <c r="AZ1277" i="7"/>
  <c r="AZ2190" i="7"/>
  <c r="AZ905" i="7"/>
  <c r="AZ1958" i="7"/>
  <c r="AZ602" i="7"/>
  <c r="AZ1868" i="7"/>
  <c r="AZ736" i="7"/>
  <c r="AZ806" i="7"/>
  <c r="AZ1038" i="7"/>
  <c r="AZ1141" i="7"/>
  <c r="AZ1667" i="7"/>
  <c r="AZ2154" i="7"/>
  <c r="AZ769" i="7"/>
  <c r="AZ1066" i="7"/>
  <c r="AZ1828" i="7"/>
  <c r="AZ18" i="7"/>
  <c r="AZ1981" i="7"/>
  <c r="AZ2168" i="7"/>
  <c r="AZ2064" i="7"/>
  <c r="AZ731" i="7"/>
  <c r="AZ2181" i="7"/>
  <c r="AZ468" i="7"/>
  <c r="AZ485" i="7"/>
  <c r="AZ1573" i="7"/>
  <c r="AZ1835" i="7"/>
  <c r="AZ683" i="7"/>
  <c r="AZ1144" i="7"/>
  <c r="AZ1918" i="7"/>
  <c r="AZ1993" i="7"/>
  <c r="AZ834" i="7"/>
  <c r="AZ127" i="7"/>
  <c r="AZ1286" i="7"/>
  <c r="AZ671" i="7"/>
  <c r="AZ904" i="7"/>
  <c r="AZ1275" i="7"/>
  <c r="AZ842" i="7"/>
  <c r="AZ1034" i="7"/>
  <c r="AZ845" i="7"/>
  <c r="AZ1130" i="7"/>
  <c r="AZ1822" i="7"/>
  <c r="AZ1138" i="7"/>
  <c r="AZ2113" i="7"/>
  <c r="AZ298" i="7"/>
  <c r="AZ840" i="7"/>
  <c r="AZ938" i="7"/>
  <c r="AZ1377" i="7"/>
  <c r="AZ612" i="7"/>
  <c r="AZ1014" i="7"/>
  <c r="AZ1025" i="7"/>
  <c r="AZ877" i="7"/>
  <c r="AZ861" i="7"/>
  <c r="AZ259" i="7"/>
  <c r="AZ326" i="7"/>
  <c r="AZ849" i="7"/>
  <c r="AZ973" i="7"/>
  <c r="AZ1412" i="7"/>
  <c r="AZ2234" i="7"/>
  <c r="AZ159" i="7"/>
  <c r="AZ1189" i="7"/>
  <c r="AZ322" i="7"/>
  <c r="AZ672" i="7"/>
  <c r="AZ998" i="7"/>
  <c r="AZ1579" i="7"/>
  <c r="AZ2020" i="7"/>
  <c r="AZ949" i="7"/>
  <c r="AZ1771" i="7"/>
  <c r="AZ2249" i="7"/>
  <c r="AZ868" i="7"/>
  <c r="AZ1167" i="7"/>
  <c r="AZ1679" i="7"/>
  <c r="AZ1093" i="7"/>
  <c r="AZ613" i="7"/>
  <c r="AZ2084" i="7"/>
  <c r="AZ2250" i="7"/>
  <c r="AZ483" i="7"/>
  <c r="AZ677" i="7"/>
  <c r="AZ2018" i="7"/>
  <c r="AZ528" i="7"/>
  <c r="AZ1282" i="7"/>
  <c r="AZ1334" i="7"/>
  <c r="AZ1617" i="7"/>
  <c r="AZ954" i="7"/>
  <c r="AZ976" i="7"/>
  <c r="AZ2042" i="7"/>
  <c r="AZ1323" i="7"/>
  <c r="AZ2209" i="7"/>
  <c r="AZ2034" i="7"/>
  <c r="AZ444" i="7"/>
  <c r="AZ1006" i="7"/>
  <c r="AZ1088" i="7"/>
  <c r="AZ1358" i="7"/>
  <c r="AZ459" i="7"/>
  <c r="AZ296" i="7"/>
  <c r="AZ610" i="7"/>
  <c r="AZ2103" i="7"/>
  <c r="AZ947" i="7"/>
  <c r="AZ1092" i="7"/>
  <c r="AZ638" i="7"/>
  <c r="AZ1408" i="7"/>
  <c r="AZ343" i="7"/>
  <c r="AZ535" i="7"/>
  <c r="AZ666" i="7"/>
  <c r="AZ964" i="7"/>
  <c r="AZ1126" i="7"/>
  <c r="AZ1594" i="7"/>
  <c r="AZ703" i="7"/>
  <c r="AZ1146" i="7"/>
  <c r="AZ1469" i="7"/>
  <c r="AZ1577" i="7"/>
  <c r="AZ1020" i="7"/>
  <c r="AZ1001" i="7"/>
  <c r="AZ1329" i="7"/>
  <c r="AZ758" i="7"/>
  <c r="AZ1394" i="7"/>
  <c r="AZ366" i="7"/>
  <c r="AZ1534" i="7"/>
  <c r="AZ1851" i="7"/>
  <c r="AZ2174" i="7"/>
  <c r="AZ1568" i="7"/>
  <c r="AZ876" i="7"/>
  <c r="AZ1553" i="7"/>
  <c r="AZ554" i="7"/>
  <c r="AZ2060" i="7"/>
  <c r="AZ2173" i="7"/>
  <c r="AZ939" i="7"/>
  <c r="AZ1359" i="7"/>
  <c r="AZ1071" i="7"/>
  <c r="AZ2215" i="7"/>
  <c r="AZ229" i="7"/>
  <c r="AZ1375" i="7"/>
  <c r="AZ1386" i="7"/>
  <c r="AZ2180" i="7"/>
  <c r="AZ1022" i="7"/>
  <c r="AZ647" i="7"/>
  <c r="AZ2124" i="7"/>
  <c r="AZ1149" i="7"/>
  <c r="AZ1928" i="7"/>
  <c r="AZ1503" i="7"/>
  <c r="AZ510" i="7"/>
  <c r="AZ997" i="7"/>
  <c r="AZ1472" i="7"/>
  <c r="AZ1753" i="7"/>
  <c r="AZ190" i="7"/>
  <c r="AZ623" i="7"/>
  <c r="AZ1622" i="7"/>
  <c r="AZ853" i="7"/>
  <c r="AZ1388" i="7"/>
  <c r="AZ2218" i="7"/>
  <c r="AZ1039" i="7"/>
  <c r="AZ1774" i="7"/>
  <c r="AZ940" i="7"/>
  <c r="AZ2246" i="7"/>
  <c r="AZ267" i="7"/>
  <c r="AZ2220" i="7"/>
  <c r="AZ1709" i="7"/>
  <c r="AZ2211" i="7"/>
  <c r="AZ1012" i="7"/>
  <c r="AZ2078" i="7"/>
  <c r="AZ526" i="7"/>
  <c r="AZ1810" i="7"/>
  <c r="AZ1086" i="7"/>
  <c r="AZ430" i="7"/>
  <c r="AZ1921" i="7"/>
  <c r="AZ688" i="7"/>
  <c r="AZ902" i="7"/>
  <c r="AZ1110" i="7"/>
  <c r="AZ1353" i="7"/>
  <c r="AZ2172" i="7"/>
  <c r="AZ823" i="7"/>
  <c r="AZ1896" i="7"/>
  <c r="AZ344" i="7"/>
  <c r="AZ423" i="7"/>
  <c r="AZ932" i="7"/>
  <c r="AZ1440" i="7"/>
  <c r="AZ397" i="7"/>
  <c r="AZ648" i="7"/>
  <c r="AZ1626" i="7"/>
  <c r="AZ260" i="7"/>
  <c r="AZ767" i="7"/>
  <c r="AZ495" i="7"/>
  <c r="AZ635" i="7"/>
  <c r="AZ1917" i="7"/>
  <c r="AZ1702" i="7"/>
  <c r="AZ1843" i="7"/>
  <c r="AZ1574" i="7"/>
  <c r="AZ1831" i="7"/>
  <c r="AZ160" i="7"/>
  <c r="AZ704" i="7"/>
  <c r="AZ1927" i="7"/>
  <c r="AZ466" i="7"/>
  <c r="AZ501" i="7"/>
  <c r="AZ1248" i="7"/>
  <c r="AZ1891" i="7"/>
  <c r="AZ2029" i="7"/>
  <c r="AZ830" i="7"/>
  <c r="AZ2239" i="7"/>
  <c r="AZ817" i="7"/>
  <c r="AZ1860" i="7"/>
  <c r="AZ1121" i="7"/>
  <c r="AZ1330" i="7"/>
  <c r="AZ1826" i="7"/>
  <c r="AZ1118" i="7"/>
  <c r="AZ1681" i="7"/>
  <c r="AZ1618" i="7"/>
  <c r="AZ2025" i="7"/>
  <c r="AZ460" i="7"/>
  <c r="AZ1580" i="7"/>
  <c r="AZ2110" i="7"/>
  <c r="AZ1438" i="7"/>
  <c r="AZ1663" i="7"/>
  <c r="AZ489" i="7"/>
  <c r="AZ1628" i="7"/>
  <c r="AZ67" i="7"/>
  <c r="AZ131" i="7"/>
  <c r="AZ1076" i="7"/>
  <c r="AZ1798" i="7"/>
  <c r="AZ1139" i="7"/>
  <c r="AZ1750" i="7"/>
  <c r="AZ1570" i="7"/>
  <c r="AZ1528" i="7"/>
  <c r="AZ1433" i="7"/>
  <c r="AZ1974" i="7"/>
  <c r="AZ247" i="7"/>
  <c r="AZ2264" i="7"/>
  <c r="AZ573" i="7"/>
  <c r="AZ453" i="7"/>
  <c r="AZ813" i="7"/>
  <c r="AZ1586" i="7"/>
  <c r="AZ401" i="7"/>
  <c r="AZ450" i="7"/>
  <c r="AZ810" i="7"/>
  <c r="AZ1108" i="7"/>
  <c r="AZ1726" i="7"/>
  <c r="AZ1459" i="7"/>
  <c r="AZ1591" i="7"/>
  <c r="AZ2019" i="7"/>
  <c r="AZ1370" i="7"/>
  <c r="AZ1913" i="7"/>
  <c r="AZ2059" i="7"/>
  <c r="AZ2225" i="7"/>
  <c r="AZ11" i="7"/>
  <c r="AZ1241" i="7"/>
  <c r="AZ1803" i="7"/>
  <c r="AZ2179" i="7"/>
  <c r="AZ874" i="7"/>
  <c r="AZ1973" i="7"/>
  <c r="AZ491" i="7"/>
  <c r="AZ2115" i="7"/>
  <c r="AZ689" i="7"/>
  <c r="AZ824" i="7"/>
  <c r="AZ1117" i="7"/>
  <c r="AZ3" i="7"/>
  <c r="AZ126" i="7"/>
  <c r="AZ125" i="7"/>
  <c r="AZ192" i="7"/>
  <c r="AZ572" i="7"/>
  <c r="AZ1435" i="7"/>
  <c r="AZ1299" i="7"/>
  <c r="AZ1419" i="7"/>
  <c r="AZ917" i="7"/>
  <c r="AZ928" i="7"/>
  <c r="AZ1839" i="7"/>
  <c r="AZ193" i="7"/>
  <c r="AZ187" i="7"/>
  <c r="AZ191" i="7"/>
  <c r="AZ440" i="7"/>
  <c r="AZ617" i="7"/>
  <c r="AZ700" i="7"/>
  <c r="AZ950" i="7"/>
  <c r="AZ1634" i="7"/>
  <c r="AZ372" i="7"/>
  <c r="AZ1585" i="7"/>
  <c r="AZ571" i="7"/>
  <c r="AZ458" i="7"/>
  <c r="AZ1964" i="7"/>
  <c r="AZ1564" i="7"/>
  <c r="AZ1644" i="7"/>
  <c r="AZ547" i="7"/>
  <c r="AZ2160" i="7"/>
  <c r="AZ263" i="7"/>
  <c r="AZ730" i="7"/>
  <c r="AZ706" i="7"/>
  <c r="AZ1708" i="7"/>
  <c r="AZ65" i="7"/>
  <c r="AZ2067" i="7"/>
  <c r="AZ69" i="7"/>
  <c r="AZ288" i="7"/>
  <c r="AZ301" i="7"/>
  <c r="AZ908" i="7"/>
  <c r="AZ1636" i="7"/>
  <c r="AZ2222" i="7"/>
  <c r="AZ2054" i="7"/>
  <c r="AZ238" i="7"/>
  <c r="AZ1645" i="7"/>
  <c r="AZ632" i="7"/>
  <c r="AZ719" i="7"/>
  <c r="AZ1832" i="7"/>
  <c r="AZ2126" i="7"/>
  <c r="AZ1317" i="7"/>
  <c r="AZ568" i="7"/>
  <c r="AZ1812" i="7"/>
  <c r="AZ66" i="7"/>
  <c r="AZ2100" i="7"/>
  <c r="AZ308" i="7"/>
  <c r="AZ2079" i="7"/>
  <c r="AZ335" i="7"/>
  <c r="AZ674" i="7"/>
  <c r="AZ1193" i="7"/>
  <c r="AZ2235" i="7"/>
  <c r="AZ1841" i="7"/>
  <c r="AZ2129" i="7"/>
  <c r="AZ1792" i="7"/>
  <c r="AZ1543" i="7"/>
  <c r="AZ1745" i="7"/>
  <c r="AZ1769" i="7"/>
  <c r="AZ929" i="7"/>
  <c r="AZ1258" i="7"/>
  <c r="AZ391" i="7"/>
  <c r="AZ1678" i="7"/>
  <c r="AZ605" i="7"/>
  <c r="AZ918" i="7"/>
  <c r="AZ1276" i="7"/>
  <c r="AZ1837" i="7"/>
  <c r="AZ4" i="7"/>
  <c r="AZ616" i="7"/>
  <c r="AZ665" i="7"/>
  <c r="AZ569" i="7"/>
  <c r="AZ911" i="7"/>
  <c r="AZ795" i="7"/>
  <c r="AZ2123" i="7"/>
  <c r="AZ1457" i="7"/>
  <c r="AZ1211" i="7"/>
  <c r="AZ1229" i="7"/>
  <c r="AZ1869" i="7"/>
  <c r="AZ966" i="7"/>
  <c r="AZ1980" i="7"/>
  <c r="AZ2152" i="7"/>
  <c r="AZ1106" i="7"/>
  <c r="AZ1979" i="7"/>
  <c r="AZ243" i="7"/>
  <c r="AZ913" i="7"/>
  <c r="AZ859" i="7"/>
  <c r="AZ1097" i="7"/>
  <c r="AZ1185" i="7"/>
  <c r="AZ614" i="7"/>
  <c r="AZ1032" i="7"/>
  <c r="AZ1320" i="7"/>
  <c r="AZ773" i="7"/>
  <c r="AZ827" i="7"/>
  <c r="AZ1104" i="7"/>
  <c r="AZ2224" i="7"/>
  <c r="AZ944" i="7"/>
  <c r="AZ1043" i="7"/>
  <c r="AZ1165" i="7"/>
  <c r="AZ416" i="7"/>
  <c r="AZ530" i="7"/>
  <c r="AZ1926" i="7"/>
  <c r="AZ2016" i="7"/>
  <c r="AZ494" i="7"/>
  <c r="AZ1738" i="7"/>
  <c r="AZ1844" i="7"/>
  <c r="AZ1392" i="7"/>
  <c r="AZ975" i="7"/>
  <c r="AZ1799" i="7"/>
  <c r="AZ1203" i="7"/>
  <c r="AZ540" i="7"/>
  <c r="AZ873" i="7"/>
  <c r="AZ2192" i="7"/>
  <c r="AZ2062" i="7"/>
  <c r="AZ1289" i="7"/>
  <c r="AZ211" i="7"/>
  <c r="AZ1922" i="7"/>
  <c r="AZ742" i="7"/>
  <c r="AZ1072" i="7"/>
  <c r="AZ328" i="7"/>
  <c r="AZ402" i="7"/>
  <c r="AZ484" i="7"/>
  <c r="AZ1639" i="7"/>
  <c r="AZ2184" i="7"/>
  <c r="AZ992" i="7"/>
  <c r="AZ1898" i="7"/>
  <c r="AZ2241" i="7"/>
  <c r="AZ1342" i="7"/>
  <c r="AZ194" i="7"/>
  <c r="AZ1567" i="7"/>
  <c r="AZ935" i="7"/>
  <c r="AZ1257" i="7"/>
  <c r="AZ1583" i="7"/>
  <c r="AZ933" i="7"/>
  <c r="AZ1916" i="7"/>
  <c r="AZ136" i="7"/>
  <c r="AZ2068" i="7"/>
  <c r="AZ676" i="7"/>
  <c r="AZ885" i="7"/>
  <c r="AZ914" i="7"/>
  <c r="AZ1529" i="7"/>
  <c r="AZ2048" i="7"/>
  <c r="AZ1322" i="7"/>
  <c r="AZ525" i="7"/>
  <c r="AZ1151" i="7"/>
  <c r="AZ1700" i="7"/>
  <c r="AZ727" i="7"/>
  <c r="AZ2204" i="7"/>
  <c r="AZ286" i="7"/>
  <c r="AZ1985" i="7"/>
  <c r="AZ1003" i="7"/>
  <c r="AZ1089" i="7"/>
  <c r="AZ476" i="7"/>
  <c r="AZ1517" i="7"/>
  <c r="AZ1905" i="7"/>
  <c r="AZ1880" i="7"/>
  <c r="AZ1925" i="7"/>
  <c r="AZ557" i="7"/>
  <c r="AZ1796" i="7"/>
  <c r="AZ1661" i="7"/>
  <c r="AZ1747" i="7"/>
  <c r="AZ884" i="7"/>
  <c r="AZ2267" i="7"/>
  <c r="AZ49" i="7"/>
  <c r="AZ169" i="7"/>
  <c r="AZ2000" i="7"/>
  <c r="AZ2236" i="7"/>
  <c r="AZ1614" i="7"/>
  <c r="AZ1701" i="7"/>
  <c r="AZ541" i="7"/>
  <c r="AZ1164" i="7"/>
  <c r="AZ978" i="7"/>
  <c r="AZ1606" i="7"/>
  <c r="AZ137" i="7"/>
  <c r="AZ733" i="7"/>
  <c r="AZ872" i="7"/>
  <c r="AZ1389" i="7"/>
  <c r="AZ2276" i="7"/>
  <c r="AZ723" i="7"/>
  <c r="AZ682" i="7"/>
  <c r="AZ656" i="7"/>
  <c r="AZ292" i="7"/>
  <c r="AZ504" i="7"/>
  <c r="AZ1150" i="7"/>
  <c r="AZ2118" i="7"/>
  <c r="AZ1785" i="7"/>
  <c r="AZ1588" i="7"/>
  <c r="AZ2072" i="7"/>
  <c r="AZ1004" i="7"/>
  <c r="AZ693" i="7"/>
  <c r="AZ536" i="7"/>
  <c r="AZ1741" i="7"/>
  <c r="AZ1135" i="7"/>
  <c r="AZ1788" i="7"/>
  <c r="AZ652" i="7"/>
  <c r="AZ2217" i="7"/>
  <c r="AZ274" i="7"/>
  <c r="AZ241" i="7"/>
  <c r="AZ734" i="7"/>
  <c r="AZ1335" i="7"/>
  <c r="AZ1280" i="7"/>
  <c r="AZ1295" i="7"/>
  <c r="AZ1765" i="7"/>
  <c r="AZ299" i="7"/>
  <c r="AZ930" i="7"/>
  <c r="AZ735" i="7"/>
  <c r="AZ1930" i="7"/>
  <c r="AZ2170" i="7"/>
  <c r="AZ2273" i="7"/>
  <c r="AZ436" i="7"/>
  <c r="AZ1650" i="7"/>
  <c r="AZ1864" i="7"/>
  <c r="AZ1261" i="7"/>
  <c r="AZ685" i="7"/>
  <c r="AZ878" i="7"/>
  <c r="AZ399" i="7"/>
  <c r="AZ2163" i="7"/>
  <c r="AZ1581" i="7"/>
  <c r="AZ1782" i="7"/>
  <c r="AZ2021" i="7"/>
  <c r="AZ790" i="7"/>
  <c r="AZ95" i="7"/>
  <c r="AZ426" i="7"/>
  <c r="AZ977" i="7"/>
  <c r="AZ1027" i="7"/>
  <c r="AZ2083" i="7"/>
  <c r="AZ2221" i="7"/>
  <c r="AZ142" i="7"/>
  <c r="AZ2244" i="7"/>
  <c r="AZ451" i="7"/>
  <c r="AZ1031" i="7"/>
  <c r="AZ1300" i="7"/>
  <c r="AZ542" i="7"/>
  <c r="AZ601" i="7"/>
  <c r="AZ1147" i="7"/>
  <c r="AZ1479" i="7"/>
  <c r="AZ1643" i="7"/>
  <c r="AZ633" i="7"/>
  <c r="AZ1474" i="7"/>
  <c r="AZ534" i="7"/>
  <c r="AZ1316" i="7"/>
  <c r="AZ2219" i="7"/>
  <c r="AZ1997" i="7"/>
  <c r="AZ1255" i="7"/>
  <c r="AZ999" i="7"/>
  <c r="AZ1600" i="7"/>
  <c r="AZ603" i="7"/>
  <c r="AZ1346" i="7"/>
  <c r="AZ1823" i="7"/>
  <c r="AZ2026" i="7"/>
  <c r="AZ686" i="7"/>
  <c r="AZ2070" i="7"/>
  <c r="AZ1397" i="7"/>
  <c r="AZ327" i="7"/>
  <c r="AZ641" i="7"/>
  <c r="AZ1777" i="7"/>
  <c r="AZ492" i="7"/>
  <c r="AZ1465" i="7"/>
  <c r="AZ1000" i="7"/>
  <c r="AZ1640" i="7"/>
  <c r="AZ1018" i="7"/>
  <c r="AZ763" i="7"/>
  <c r="AZ293" i="7"/>
  <c r="AZ1637" i="7"/>
  <c r="AZ62" i="7"/>
  <c r="AZ720" i="7"/>
  <c r="AZ1748" i="7"/>
  <c r="AZ708" i="7"/>
  <c r="AZ2082" i="7"/>
  <c r="AZ2240" i="7"/>
  <c r="AZ889" i="7"/>
  <c r="AZ1967" i="7"/>
  <c r="AZ955" i="7"/>
  <c r="AZ1422" i="7"/>
  <c r="AZ1897" i="7"/>
  <c r="AZ1888" i="7"/>
  <c r="AZ732" i="7"/>
  <c r="AZ1601" i="7"/>
  <c r="AZ2004" i="7"/>
  <c r="AZ642" i="7"/>
  <c r="AZ281" i="7"/>
  <c r="AZ1635" i="7"/>
  <c r="AZ1505" i="7"/>
  <c r="AZ1779" i="7"/>
  <c r="AZ1246" i="7"/>
  <c r="AZ497" i="7"/>
  <c r="AZ454" i="7"/>
  <c r="AZ1381" i="7"/>
  <c r="AZ1903" i="7"/>
  <c r="AZ927" i="7"/>
  <c r="AZ1563" i="7"/>
  <c r="AZ926" i="7"/>
  <c r="AZ1632" i="7"/>
  <c r="AZ1593" i="7"/>
  <c r="AZ415" i="7"/>
  <c r="AZ1154" i="7"/>
  <c r="AZ1524" i="7"/>
  <c r="AZ1555" i="7"/>
  <c r="AZ2014" i="7"/>
  <c r="AZ403" i="7"/>
  <c r="AZ1136" i="7"/>
  <c r="AZ309" i="7"/>
  <c r="AZ2243" i="7"/>
  <c r="AZ1615" i="7"/>
  <c r="AZ2283" i="7"/>
  <c r="AZ378" i="7"/>
  <c r="AZ1834" i="7"/>
  <c r="AZ1267" i="7"/>
  <c r="AZ1175" i="7"/>
  <c r="AZ1660" i="7"/>
  <c r="AZ1340" i="7"/>
  <c r="AZ2253" i="7"/>
  <c r="AZ695" i="7"/>
  <c r="AZ1437" i="7"/>
  <c r="AZ1314" i="7"/>
  <c r="AZ2045" i="7"/>
  <c r="AZ1539" i="7"/>
  <c r="AZ1613" i="7"/>
  <c r="AZ505" i="7"/>
  <c r="AZ980" i="7"/>
  <c r="AZ1476" i="7"/>
  <c r="AZ1793" i="7"/>
  <c r="AZ1449" i="7"/>
  <c r="AZ339" i="7"/>
  <c r="AZ1805" i="7"/>
  <c r="AZ1443" i="7"/>
  <c r="AZ668" i="7"/>
  <c r="AZ1122" i="7"/>
  <c r="AZ362" i="7"/>
  <c r="AZ2189" i="7"/>
  <c r="AZ679" i="7"/>
  <c r="AZ691" i="7"/>
  <c r="AZ2056" i="7"/>
  <c r="AZ461" i="7"/>
  <c r="AZ1487" i="7"/>
  <c r="AZ2036" i="7"/>
  <c r="AZ2114" i="7"/>
  <c r="AZ380" i="7"/>
  <c r="AZ1658" i="7"/>
  <c r="AZ2159" i="7"/>
  <c r="AZ1013" i="7"/>
  <c r="AZ655" i="7"/>
  <c r="AZ1143" i="7"/>
  <c r="AZ692" i="7"/>
  <c r="AZ618" i="7"/>
  <c r="AZ2080" i="7"/>
  <c r="AZ1240" i="7"/>
  <c r="AZ1758" i="7"/>
  <c r="AZ1899" i="7"/>
  <c r="AZ2271" i="7"/>
  <c r="AZ1802" i="7"/>
  <c r="AZ128" i="7"/>
  <c r="AZ2142" i="7"/>
  <c r="AZ869" i="7"/>
  <c r="AZ1362" i="7"/>
  <c r="AZ829" i="7"/>
  <c r="AZ1379" i="7"/>
  <c r="AZ500" i="7"/>
  <c r="AZ493" i="7"/>
  <c r="AZ1325" i="7"/>
  <c r="AZ1129" i="7"/>
  <c r="AZ1562" i="7"/>
  <c r="AZ1682" i="7"/>
  <c r="AZ556" i="7"/>
  <c r="AZ1418" i="7"/>
  <c r="AZ1053" i="7"/>
  <c r="AZ2076" i="7"/>
  <c r="AZ746" i="7"/>
  <c r="AZ1227" i="7"/>
  <c r="AZ1303" i="7"/>
  <c r="AZ1716" i="7"/>
  <c r="AZ2206" i="7"/>
  <c r="AZ844" i="7"/>
  <c r="AZ1545" i="7"/>
  <c r="AZ392" i="7"/>
  <c r="AZ743" i="7"/>
  <c r="AZ1817" i="7"/>
  <c r="AZ2127" i="7"/>
  <c r="AZ892" i="7"/>
  <c r="AZ1228" i="7"/>
  <c r="AZ1589" i="7"/>
  <c r="AZ139" i="7"/>
  <c r="AZ138" i="7"/>
  <c r="AZ196" i="7"/>
  <c r="AZ197" i="7"/>
  <c r="AZ195" i="7"/>
  <c r="AZ1727" i="7"/>
  <c r="AZ1328" i="7"/>
  <c r="AZ923" i="7"/>
  <c r="AZ457" i="7"/>
  <c r="AZ1608" i="7"/>
  <c r="AZ1304" i="7"/>
  <c r="AZ1287" i="7"/>
  <c r="AZ1762" i="7"/>
  <c r="AZ189" i="7"/>
  <c r="AZ1416" i="7"/>
  <c r="AZ718" i="7"/>
  <c r="AZ673" i="7"/>
  <c r="AZ737" i="7"/>
  <c r="AZ924" i="7"/>
  <c r="AZ1177" i="7"/>
  <c r="AZ1842" i="7"/>
  <c r="AZ835" i="7"/>
  <c r="AZ1441" i="7"/>
  <c r="AZ499" i="7"/>
  <c r="AZ2015" i="7"/>
  <c r="AZ1331" i="7"/>
  <c r="AZ1318" i="7"/>
  <c r="AZ2102" i="7"/>
  <c r="AZ1196" i="7"/>
  <c r="AZ277" i="7"/>
  <c r="AZ687" i="7"/>
  <c r="AZ579" i="7"/>
  <c r="AZ1057" i="7"/>
  <c r="AZ1642" i="7"/>
  <c r="AZ1821" i="7"/>
  <c r="AZ715" i="7"/>
  <c r="AZ1754" i="7"/>
  <c r="AZ1384" i="7"/>
  <c r="AZ698" i="7"/>
  <c r="AZ1398" i="7"/>
  <c r="AZ934" i="7"/>
  <c r="AZ1740" i="7"/>
  <c r="AZ2146" i="7"/>
  <c r="AZ302" i="7"/>
  <c r="AZ627" i="7"/>
  <c r="AZ870" i="7"/>
  <c r="AZ1373" i="7"/>
  <c r="AZ1124" i="7"/>
  <c r="AZ1173" i="7"/>
  <c r="AZ1900" i="7"/>
  <c r="AZ1380" i="7"/>
  <c r="AZ1518" i="7"/>
  <c r="AZ555" i="7"/>
  <c r="AZ329" i="7"/>
  <c r="AZ1410" i="7"/>
  <c r="AZ553" i="7"/>
  <c r="AZ644" i="7"/>
  <c r="AZ1946" i="7"/>
  <c r="AZ1677" i="7"/>
  <c r="AZ575" i="7"/>
  <c r="AZ711" i="7"/>
  <c r="AZ1672" i="7"/>
  <c r="AZ307" i="7"/>
  <c r="AZ8" i="7"/>
  <c r="AZ305" i="7"/>
  <c r="AZ1467" i="7"/>
  <c r="AZ2265" i="7"/>
  <c r="AZ634" i="7"/>
  <c r="AZ931" i="7"/>
  <c r="AZ1251" i="7"/>
  <c r="AZ1488" i="7"/>
  <c r="AZ1584" i="7"/>
  <c r="AZ1599" i="7"/>
  <c r="AZ702" i="7"/>
  <c r="AZ2251" i="7"/>
  <c r="AZ1527" i="7"/>
  <c r="AZ2066" i="7"/>
  <c r="AZ1311" i="7"/>
  <c r="AZ1400" i="7"/>
  <c r="AZ496" i="7"/>
  <c r="AZ1363" i="7"/>
  <c r="AZ694" i="7"/>
  <c r="AZ985" i="7"/>
  <c r="AZ359" i="7"/>
  <c r="AZ2091" i="7"/>
  <c r="AZ936" i="7"/>
  <c r="AZ2088" i="7"/>
  <c r="AZ2262" i="7"/>
  <c r="AZ1142" i="7"/>
  <c r="AZ1929" i="7"/>
  <c r="AZ957" i="7"/>
  <c r="AZ1833" i="7"/>
  <c r="AZ239" i="7"/>
  <c r="AZ678" i="7"/>
  <c r="AZ922" i="7"/>
  <c r="AZ681" i="7"/>
  <c r="AZ788" i="7"/>
  <c r="AZ1848" i="7"/>
  <c r="AZ1192" i="7"/>
  <c r="AZ847" i="7"/>
  <c r="AZ1558" i="7"/>
  <c r="AZ1847" i="7"/>
  <c r="AZ2205" i="7"/>
  <c r="AZ1816" i="7"/>
  <c r="AZ432" i="7"/>
  <c r="AZ1906" i="7"/>
  <c r="AZ1668" i="7"/>
  <c r="AZ2245" i="7"/>
  <c r="AZ1934" i="7"/>
  <c r="AZ778" i="7"/>
  <c r="AZ897" i="7"/>
  <c r="AZ1987" i="7"/>
  <c r="AZ1781" i="7"/>
  <c r="AZ1490" i="7"/>
  <c r="AZ1646" i="7"/>
  <c r="AZ1460" i="7"/>
  <c r="AZ1480" i="7"/>
  <c r="AZ1659" i="7"/>
  <c r="AZ728" i="7"/>
  <c r="AZ1641" i="7"/>
  <c r="AZ1932" i="7"/>
  <c r="AZ291" i="7"/>
  <c r="AZ1786" i="7"/>
  <c r="AZ398" i="7"/>
  <c r="AZ1312" i="7"/>
  <c r="AZ2274" i="7"/>
  <c r="AZ2227" i="7"/>
  <c r="AZ2090" i="7"/>
  <c r="AZ1862" i="7"/>
  <c r="AZ1447" i="7"/>
  <c r="AZ629" i="7"/>
  <c r="AZ2252" i="7"/>
  <c r="AZ2272" i="7"/>
  <c r="AZ1719" i="7"/>
  <c r="AZ503" i="7"/>
  <c r="AZ6" i="7"/>
  <c r="AZ2120" i="7"/>
  <c r="AZ2074" i="7"/>
  <c r="AZ1152" i="7"/>
  <c r="AZ1943" i="7"/>
  <c r="AZ68" i="7"/>
  <c r="AZ1462" i="7"/>
  <c r="AZ741" i="7"/>
  <c r="AZ1383" i="7"/>
  <c r="AZ406" i="7"/>
  <c r="AZ925" i="7"/>
  <c r="AZ1638" i="7"/>
  <c r="AZ1866" i="7"/>
  <c r="AZ2131" i="7"/>
  <c r="AZ2075" i="7"/>
  <c r="AZ2277" i="7"/>
  <c r="AZ1008" i="7"/>
  <c r="AZ2093" i="7"/>
  <c r="AZ1790" i="7"/>
  <c r="AZ538" i="7"/>
  <c r="AZ2259" i="7"/>
  <c r="AZ2047" i="7"/>
  <c r="AZ478" i="7"/>
  <c r="AZ1159" i="7"/>
  <c r="AZ2193" i="7"/>
  <c r="AZ276" i="7"/>
  <c r="AZ1666" i="7"/>
  <c r="AZ341" i="7"/>
  <c r="AZ1776" i="7"/>
  <c r="AZ214" i="7"/>
  <c r="AZ2108" i="7"/>
  <c r="AZ1849" i="7"/>
  <c r="AZ729" i="7"/>
  <c r="AZ812" i="7"/>
  <c r="AZ1924" i="7"/>
  <c r="AZ533" i="7"/>
  <c r="AZ1670" i="7"/>
  <c r="AZ831" i="7"/>
  <c r="AZ1225" i="7"/>
  <c r="AZ364" i="7"/>
  <c r="AZ2122" i="7"/>
  <c r="AZ860" i="7"/>
  <c r="AZ386" i="7"/>
  <c r="AZ363" i="7"/>
  <c r="AZ2081" i="7"/>
  <c r="AZ1475" i="7"/>
  <c r="AZ1764" i="7"/>
  <c r="AZ2099" i="7"/>
  <c r="AZ1166" i="7"/>
  <c r="AZ2117" i="7"/>
  <c r="AZ99" i="7"/>
  <c r="AZ2230" i="7"/>
  <c r="AZ725" i="7"/>
  <c r="AZ1009" i="7"/>
  <c r="AZ2101" i="7"/>
  <c r="AZ2232" i="7"/>
  <c r="AZ537" i="7"/>
  <c r="AZ1183" i="7"/>
  <c r="AZ896" i="7"/>
  <c r="AZ1399" i="7"/>
  <c r="AZ2112" i="7"/>
  <c r="AZ2175" i="7"/>
  <c r="AZ2208" i="7"/>
  <c r="AZ1385" i="7"/>
  <c r="AZ357" i="7"/>
  <c r="AZ1623" i="7"/>
  <c r="AZ2233" i="7"/>
  <c r="AZ1751" i="7"/>
  <c r="AZ407" i="7"/>
  <c r="AZ2153" i="7"/>
  <c r="AZ2162" i="7"/>
  <c r="AZ2195" i="7"/>
  <c r="AZ2145" i="7"/>
  <c r="AZ852" i="7"/>
  <c r="AZ2132" i="7"/>
  <c r="AZ1652" i="7"/>
  <c r="AZ502" i="7"/>
  <c r="AZ1893" i="7"/>
  <c r="AZ745" i="7"/>
  <c r="AZ1391" i="7"/>
  <c r="AZ1840" i="7"/>
  <c r="AZ1444" i="7"/>
  <c r="AZ909" i="7"/>
  <c r="AZ345" i="7"/>
  <c r="AZ558" i="7"/>
  <c r="AZ1814" i="7"/>
  <c r="AZ2087" i="7"/>
  <c r="AZ1867" i="7"/>
  <c r="AZ1800" i="7"/>
  <c r="AZ405" i="7"/>
  <c r="AZ1495" i="7"/>
  <c r="AZ1439" i="7"/>
  <c r="AZ2086" i="7"/>
  <c r="AZ279" i="7"/>
  <c r="AZ1714" i="7"/>
  <c r="AZ375" i="7"/>
  <c r="AZ1865" i="7"/>
  <c r="AZ1846" i="7"/>
  <c r="AZ2178" i="7"/>
  <c r="AZ1538" i="7"/>
  <c r="AZ1631" i="7"/>
  <c r="AZ2207" i="7"/>
  <c r="AZ920" i="7"/>
  <c r="AZ117" i="7"/>
  <c r="AZ1907" i="7"/>
  <c r="AZ1657" i="7"/>
  <c r="AZ1624" i="7"/>
  <c r="AZ1890" i="7"/>
  <c r="AZ2254" i="7"/>
  <c r="AZ1633" i="7"/>
  <c r="AZ2194" i="7"/>
  <c r="AZ1396" i="7"/>
  <c r="AZ1002" i="7"/>
  <c r="AZ1861" i="7"/>
  <c r="AZ256" i="7"/>
  <c r="AZ2257" i="7"/>
  <c r="AZ310" i="7"/>
  <c r="AZ2260" i="7"/>
  <c r="AZ2092" i="7"/>
  <c r="AZ2116" i="7"/>
  <c r="AY2202" i="7"/>
  <c r="AY941" i="7"/>
  <c r="AY218" i="7"/>
  <c r="AY215" i="7"/>
  <c r="AY219" i="7"/>
  <c r="AY222" i="7"/>
  <c r="AY216" i="7"/>
  <c r="AY220" i="7"/>
  <c r="AY221" i="7"/>
  <c r="AY217" i="7"/>
  <c r="AY1902" i="7"/>
  <c r="AY2198" i="7"/>
  <c r="AY2201" i="7"/>
  <c r="AY2094" i="7"/>
  <c r="AY1858" i="7"/>
  <c r="AY2097" i="7"/>
  <c r="AY1406" i="7"/>
  <c r="AY1857" i="7"/>
  <c r="AY2028" i="7"/>
  <c r="AY1651" i="7"/>
  <c r="AY1936" i="7"/>
  <c r="AY1784" i="7"/>
  <c r="AY2069" i="7"/>
  <c r="AY1405" i="7"/>
  <c r="AY1908" i="7"/>
  <c r="AY1845" i="7"/>
  <c r="AY1045" i="7"/>
  <c r="AY2096" i="7"/>
  <c r="AY646" i="7"/>
  <c r="AY2095" i="7"/>
  <c r="AY1696" i="7"/>
  <c r="AY1549" i="7"/>
  <c r="AY1773" i="7"/>
  <c r="AY2255" i="7"/>
  <c r="AY1338" i="7"/>
  <c r="AY1938" i="7"/>
  <c r="AY748" i="7"/>
  <c r="AY1236" i="7"/>
  <c r="AY1158" i="7"/>
  <c r="AY1179" i="7"/>
  <c r="AY1809" i="7"/>
  <c r="AY1345" i="7"/>
  <c r="AY2051" i="7"/>
  <c r="AY1214" i="7"/>
  <c r="AY1572" i="7"/>
  <c r="AY2147" i="7"/>
  <c r="AY2176" i="7"/>
  <c r="AY1407" i="7"/>
  <c r="AY1452" i="7"/>
  <c r="AY1691" i="7"/>
  <c r="AY1298" i="7"/>
  <c r="AY2200" i="7"/>
  <c r="AY881" i="7"/>
  <c r="AY1224" i="7"/>
  <c r="AY252" i="7"/>
  <c r="AY759" i="7"/>
  <c r="AY1051" i="7"/>
  <c r="AY1684" i="7"/>
  <c r="AY680" i="7"/>
  <c r="AY1647" i="7"/>
  <c r="AY1062" i="7"/>
  <c r="AY1945" i="7"/>
  <c r="AY1453" i="7"/>
  <c r="AY2008" i="7"/>
  <c r="AY1421" i="7"/>
  <c r="AY1892" i="7"/>
  <c r="AY871" i="7"/>
  <c r="AY1023" i="7"/>
  <c r="AY882" i="7"/>
  <c r="AY1995" i="7"/>
  <c r="AY1060" i="7"/>
  <c r="AY1231" i="7"/>
  <c r="AY1872" i="7"/>
  <c r="AY821" i="7"/>
  <c r="AY1285" i="7"/>
  <c r="AY1859" i="7"/>
  <c r="AY1178" i="7"/>
  <c r="AY986" i="7"/>
  <c r="AY289" i="7"/>
  <c r="AY1721" i="7"/>
  <c r="AY1482" i="7"/>
  <c r="AY2167" i="7"/>
  <c r="AY1035" i="7"/>
  <c r="AY1951" i="7"/>
  <c r="AY888" i="7"/>
  <c r="AY580" i="7"/>
  <c r="AY1501" i="7"/>
  <c r="AY1194" i="7"/>
  <c r="AY1247" i="7"/>
  <c r="AY1445" i="7"/>
  <c r="AY738" i="7"/>
  <c r="AY2049" i="7"/>
  <c r="AY697" i="7"/>
  <c r="AY1180" i="7"/>
  <c r="AY559" i="7"/>
  <c r="AY1030" i="7"/>
  <c r="AY836" i="7"/>
  <c r="AY562" i="7"/>
  <c r="AY2171" i="7"/>
  <c r="AY1856" i="7"/>
  <c r="AY960" i="7"/>
  <c r="AY839" i="7"/>
  <c r="AY2057" i="7"/>
  <c r="AY1937" i="7"/>
  <c r="AY865" i="7"/>
  <c r="AY820" i="7"/>
  <c r="AY1169" i="7"/>
  <c r="AY2052" i="7"/>
  <c r="AY2139" i="7"/>
  <c r="AY858" i="7"/>
  <c r="AY2105" i="7"/>
  <c r="AY251" i="7"/>
  <c r="AY744" i="7"/>
  <c r="AY1423" i="7"/>
  <c r="AY1739" i="7"/>
  <c r="AY1376" i="7"/>
  <c r="AY1546" i="7"/>
  <c r="AY783" i="7"/>
  <c r="AY1969" i="7"/>
  <c r="AY1687" i="7"/>
  <c r="AY294" i="7"/>
  <c r="AY621" i="7"/>
  <c r="AY1621" i="7"/>
  <c r="AY1620" i="7"/>
  <c r="AY625" i="7"/>
  <c r="AY253" i="7"/>
  <c r="AY2134" i="7"/>
  <c r="AY319" i="7"/>
  <c r="AY1697" i="7"/>
  <c r="AY1413" i="7"/>
  <c r="AY1499" i="7"/>
  <c r="AY1685" i="7"/>
  <c r="AY1429" i="7"/>
  <c r="AY1195" i="7"/>
  <c r="AY710" i="7"/>
  <c r="AY1220" i="7"/>
  <c r="AY1084" i="7"/>
  <c r="AY1871" i="7"/>
  <c r="AY1920" i="7"/>
  <c r="AY1290" i="7"/>
  <c r="AY361" i="7"/>
  <c r="AY384" i="7"/>
  <c r="AY385" i="7"/>
  <c r="AY383" i="7"/>
  <c r="AY382" i="7"/>
  <c r="AY410" i="7"/>
  <c r="AY408" i="7"/>
  <c r="AY418" i="7"/>
  <c r="AY419" i="7"/>
  <c r="AY465" i="7"/>
  <c r="AY907" i="7"/>
  <c r="AY596" i="7"/>
  <c r="AY1254" i="7"/>
  <c r="AY1728" i="7"/>
  <c r="AY1944" i="7"/>
  <c r="AY1496" i="7"/>
  <c r="AY757" i="7"/>
  <c r="AY1578" i="7"/>
  <c r="AY2089" i="7"/>
  <c r="AY79" i="7"/>
  <c r="AY102" i="7"/>
  <c r="AY101" i="7"/>
  <c r="AY2022" i="7"/>
  <c r="AY1874" i="7"/>
  <c r="AY1737" i="7"/>
  <c r="AY80" i="7"/>
  <c r="AY82" i="7"/>
  <c r="AY81" i="7"/>
  <c r="AY100" i="7"/>
  <c r="AY103" i="7"/>
  <c r="AY1961" i="7"/>
  <c r="AY630" i="7"/>
  <c r="AY622" i="7"/>
  <c r="AY1446" i="7"/>
  <c r="AY381" i="7"/>
  <c r="AY1156" i="7"/>
  <c r="AY1778" i="7"/>
  <c r="AY780" i="7"/>
  <c r="AY595" i="7"/>
  <c r="AY1349" i="7"/>
  <c r="AY265" i="7"/>
  <c r="AY1176" i="7"/>
  <c r="AY1284" i="7"/>
  <c r="AY982" i="7"/>
  <c r="AY811" i="7"/>
  <c r="AY1186" i="7"/>
  <c r="AY331" i="7"/>
  <c r="AY1055" i="7"/>
  <c r="AY1200" i="7"/>
  <c r="AY1432" i="7"/>
  <c r="AY1168" i="7"/>
  <c r="AY2128" i="7"/>
  <c r="AY1082" i="7"/>
  <c r="AY2282" i="7"/>
  <c r="AY1288" i="7"/>
  <c r="AY249" i="7"/>
  <c r="AY316" i="7"/>
  <c r="AY640" i="7"/>
  <c r="AY765" i="7"/>
  <c r="AY1514" i="7"/>
  <c r="AY245" i="7"/>
  <c r="AY1068" i="7"/>
  <c r="AY1263" i="7"/>
  <c r="AY1269" i="7"/>
  <c r="AY1350" i="7"/>
  <c r="AY561" i="7"/>
  <c r="AY1940" i="7"/>
  <c r="AY409" i="7"/>
  <c r="AY427" i="7"/>
  <c r="AY424" i="7"/>
  <c r="AY429" i="7"/>
  <c r="AY421" i="7"/>
  <c r="AY585" i="7"/>
  <c r="AY2161" i="7"/>
  <c r="AY2098" i="7"/>
  <c r="AY1688" i="7"/>
  <c r="AY1941" i="7"/>
  <c r="AY1491" i="7"/>
  <c r="AY1243" i="7"/>
  <c r="AY1630" i="7"/>
  <c r="AY912" i="7"/>
  <c r="AY792" i="7"/>
  <c r="AY1024" i="7"/>
  <c r="AY141" i="7"/>
  <c r="AY213" i="7"/>
  <c r="AY1074" i="7"/>
  <c r="AY826" i="7"/>
  <c r="AY1942" i="7"/>
  <c r="AY144" i="7"/>
  <c r="AY1612" i="7"/>
  <c r="AY1607" i="7"/>
  <c r="AY1239" i="7"/>
  <c r="AY1403" i="7"/>
  <c r="AY1498" i="7"/>
  <c r="AY2111" i="7"/>
  <c r="AY55" i="7"/>
  <c r="AY814" i="7"/>
  <c r="AY1910" i="7"/>
  <c r="AY471" i="7"/>
  <c r="AY1911" i="7"/>
  <c r="AY1502" i="7"/>
  <c r="AY2199" i="7"/>
  <c r="AY1648" i="7"/>
  <c r="AY1109" i="7"/>
  <c r="AY1955" i="7"/>
  <c r="AY567" i="7"/>
  <c r="AY1516" i="7"/>
  <c r="AY1515" i="7"/>
  <c r="AY1984" i="7"/>
  <c r="AY1264" i="7"/>
  <c r="AY2141" i="7"/>
  <c r="AY118" i="7"/>
  <c r="AY140" i="7"/>
  <c r="AY1077" i="7"/>
  <c r="AY1305" i="7"/>
  <c r="AY1611" i="7"/>
  <c r="AY1448" i="7"/>
  <c r="AY660" i="7"/>
  <c r="AY846" i="7"/>
  <c r="AY1297" i="7"/>
  <c r="AY1237" i="7"/>
  <c r="AY464" i="7"/>
  <c r="AY961" i="7"/>
  <c r="AY1734" i="7"/>
  <c r="AY1333" i="7"/>
  <c r="AY1713" i="7"/>
  <c r="AY1854" i="7"/>
  <c r="AY449" i="7"/>
  <c r="AY487" i="7"/>
  <c r="AY1424" i="7"/>
  <c r="AY2169" i="7"/>
  <c r="AY661" i="7"/>
  <c r="AY942" i="7"/>
  <c r="AY1402" i="7"/>
  <c r="AY318" i="7"/>
  <c r="AY388" i="7"/>
  <c r="AY1125" i="7"/>
  <c r="AY1850" i="7"/>
  <c r="AY588" i="7"/>
  <c r="AY1983" i="7"/>
  <c r="AY879" i="7"/>
  <c r="AY350" i="7"/>
  <c r="AY598" i="7"/>
  <c r="AY2107" i="7"/>
  <c r="AY724" i="7"/>
  <c r="AY105" i="7"/>
  <c r="AY2061" i="7"/>
  <c r="AY1994" i="7"/>
  <c r="AY234" i="7"/>
  <c r="AY631" i="7"/>
  <c r="AY1040" i="7"/>
  <c r="AY1722" i="7"/>
  <c r="AY1732" i="7"/>
  <c r="AY2266" i="7"/>
  <c r="AY513" i="7"/>
  <c r="AY1080" i="7"/>
  <c r="AY1497" i="7"/>
  <c r="AY1935" i="7"/>
  <c r="AY2214" i="7"/>
  <c r="AY60" i="7"/>
  <c r="AY1187" i="7"/>
  <c r="AY2130" i="7"/>
  <c r="AY463" i="7"/>
  <c r="AY577" i="7"/>
  <c r="AY651" i="7"/>
  <c r="AY1036" i="7"/>
  <c r="AY1931" i="7"/>
  <c r="AY1197" i="7"/>
  <c r="AY1411" i="7"/>
  <c r="AY582" i="7"/>
  <c r="AY785" i="7"/>
  <c r="AY1206" i="7"/>
  <c r="AY2203" i="7"/>
  <c r="AY1451" i="7"/>
  <c r="AY1686" i="7"/>
  <c r="AY1547" i="7"/>
  <c r="AY1870" i="7"/>
  <c r="AY2012" i="7"/>
  <c r="AY1703" i="7"/>
  <c r="AY1127" i="7"/>
  <c r="AY205" i="7"/>
  <c r="AY1508" i="7"/>
  <c r="AY1673" i="7"/>
  <c r="AY969" i="7"/>
  <c r="AY1095" i="7"/>
  <c r="AY387" i="7"/>
  <c r="AY1775" i="7"/>
  <c r="AY1010" i="7"/>
  <c r="AY755" i="7"/>
  <c r="AY514" i="7"/>
  <c r="AY1559" i="7"/>
  <c r="AY848" i="7"/>
  <c r="AY1321" i="7"/>
  <c r="AY1950" i="7"/>
  <c r="AY2136" i="7"/>
  <c r="AY1494" i="7"/>
  <c r="AY1654" i="7"/>
  <c r="AY563" i="7"/>
  <c r="AY428" i="7"/>
  <c r="AY1308" i="7"/>
  <c r="AY48" i="7"/>
  <c r="AY1210" i="7"/>
  <c r="AY413" i="7"/>
  <c r="AY584" i="7"/>
  <c r="AY716" i="7"/>
  <c r="AY1112" i="7"/>
  <c r="AY452" i="7"/>
  <c r="AY1232" i="7"/>
  <c r="AY560" i="7"/>
  <c r="AY1889" i="7"/>
  <c r="AY653" i="7"/>
  <c r="AY1510" i="7"/>
  <c r="AY336" i="7"/>
  <c r="AY1201" i="7"/>
  <c r="AY809" i="7"/>
  <c r="AY1595" i="7"/>
  <c r="AY512" i="7"/>
  <c r="AY1171" i="7"/>
  <c r="AY1059" i="7"/>
  <c r="AY1234" i="7"/>
  <c r="AY2006" i="7"/>
  <c r="AY1838" i="7"/>
  <c r="AY2275" i="7"/>
  <c r="AY83" i="7"/>
  <c r="AY84" i="7"/>
  <c r="AY1939" i="7"/>
  <c r="AY1256" i="7"/>
  <c r="AY1977" i="7"/>
  <c r="AY236" i="7"/>
  <c r="AY230" i="7"/>
  <c r="AY228" i="7"/>
  <c r="AY231" i="7"/>
  <c r="AY227" i="7"/>
  <c r="AY224" i="7"/>
  <c r="AY225" i="7"/>
  <c r="AY226" i="7"/>
  <c r="AY1853" i="7"/>
  <c r="AY593" i="7"/>
  <c r="AY1090" i="7"/>
  <c r="AY1852" i="7"/>
  <c r="AY1971" i="7"/>
  <c r="AY1522" i="7"/>
  <c r="AY891" i="7"/>
  <c r="AY240" i="7"/>
  <c r="AY273" i="7"/>
  <c r="AY754" i="7"/>
  <c r="AY85" i="7"/>
  <c r="AY86" i="7"/>
  <c r="AY2177" i="7"/>
  <c r="AY1351" i="7"/>
  <c r="AY87" i="7"/>
  <c r="AY1026" i="7"/>
  <c r="AY209" i="7"/>
  <c r="AY1007" i="7"/>
  <c r="AY1699" i="7"/>
  <c r="AY1715" i="7"/>
  <c r="AY1215" i="7"/>
  <c r="AY1455" i="7"/>
  <c r="AY1609" i="7"/>
  <c r="AY1434" i="7"/>
  <c r="AY1876" i="7"/>
  <c r="AY600" i="7"/>
  <c r="AY2044" i="7"/>
  <c r="AY1119" i="7"/>
  <c r="AY88" i="7"/>
  <c r="AY740" i="7"/>
  <c r="AY1155" i="7"/>
  <c r="AY1096" i="7"/>
  <c r="AY282" i="7"/>
  <c r="AY1582" i="7"/>
  <c r="AY1855" i="7"/>
  <c r="AY1083" i="7"/>
  <c r="AY1213" i="7"/>
  <c r="AY764" i="7"/>
  <c r="AY52" i="7"/>
  <c r="AY943" i="7"/>
  <c r="AY1244" i="7"/>
  <c r="AY965" i="7"/>
  <c r="AY962" i="7"/>
  <c r="AY1395" i="7"/>
  <c r="AY1428" i="7"/>
  <c r="AY1596" i="7"/>
  <c r="AY1653" i="7"/>
  <c r="AY332" i="7"/>
  <c r="AY578" i="7"/>
  <c r="AY948" i="7"/>
  <c r="AY355" i="7"/>
  <c r="AY348" i="7"/>
  <c r="AY370" i="7"/>
  <c r="AY1787" i="7"/>
  <c r="AY1879" i="7"/>
  <c r="AY303" i="7"/>
  <c r="AY956" i="7"/>
  <c r="AY1070" i="7"/>
  <c r="AY1468" i="7"/>
  <c r="AY637" i="7"/>
  <c r="AY395" i="7"/>
  <c r="AY1199" i="7"/>
  <c r="AY1327" i="7"/>
  <c r="AY1337" i="7"/>
  <c r="AY24" i="7"/>
  <c r="AY50" i="7"/>
  <c r="AY1948" i="7"/>
  <c r="AY2032" i="7"/>
  <c r="AY543" i="7"/>
  <c r="AY2135" i="7"/>
  <c r="AY2229" i="7"/>
  <c r="AY787" i="7"/>
  <c r="AY1808" i="7"/>
  <c r="AY901" i="7"/>
  <c r="AY1252" i="7"/>
  <c r="AY393" i="7"/>
  <c r="AY772" i="7"/>
  <c r="AY7" i="7"/>
  <c r="AY107" i="7"/>
  <c r="AY1212" i="7"/>
  <c r="AY2238" i="7"/>
  <c r="AY1099" i="7"/>
  <c r="AY1294" i="7"/>
  <c r="AY1965" i="7"/>
  <c r="AY2104" i="7"/>
  <c r="AY919" i="7"/>
  <c r="AY1560" i="7"/>
  <c r="AY92" i="7"/>
  <c r="AY1690" i="7"/>
  <c r="AY714" i="7"/>
  <c r="AY1536" i="7"/>
  <c r="AY545" i="7"/>
  <c r="AY707" i="7"/>
  <c r="AY1184" i="7"/>
  <c r="AY2140" i="7"/>
  <c r="AY2138" i="7"/>
  <c r="AY237" i="7"/>
  <c r="AY248" i="7"/>
  <c r="AY684" i="7"/>
  <c r="AY1364" i="7"/>
  <c r="AY1674" i="7"/>
  <c r="AY89" i="7"/>
  <c r="AY51" i="7"/>
  <c r="AY2024" i="7"/>
  <c r="AY1061" i="7"/>
  <c r="AY770" i="7"/>
  <c r="AY800" i="7"/>
  <c r="AY996" i="7"/>
  <c r="AY369" i="7"/>
  <c r="AY587" i="7"/>
  <c r="AY2041" i="7"/>
  <c r="AY119" i="7"/>
  <c r="AY120" i="7"/>
  <c r="AY411" i="7"/>
  <c r="AY467" i="7"/>
  <c r="AY455" i="7"/>
  <c r="AY448" i="7"/>
  <c r="AY474" i="7"/>
  <c r="AY1054" i="7"/>
  <c r="AY1707" i="7"/>
  <c r="AY330" i="7"/>
  <c r="AY1724" i="7"/>
  <c r="AY2149" i="7"/>
  <c r="AY550" i="7"/>
  <c r="AY1770" i="7"/>
  <c r="AY1998" i="7"/>
  <c r="AY1693" i="7"/>
  <c r="AY349" i="7"/>
  <c r="AY1219" i="7"/>
  <c r="AY1794" i="7"/>
  <c r="AY262" i="7"/>
  <c r="AY1404" i="7"/>
  <c r="AY594" i="7"/>
  <c r="AY1711" i="7"/>
  <c r="AY2247" i="7"/>
  <c r="AY104" i="7"/>
  <c r="AY1649" i="7"/>
  <c r="AY576" i="7"/>
  <c r="AY807" i="7"/>
  <c r="AY290" i="7"/>
  <c r="AY607" i="7"/>
  <c r="AY2023" i="7"/>
  <c r="AY2155" i="7"/>
  <c r="AY784" i="7"/>
  <c r="AY967" i="7"/>
  <c r="AY1037" i="7"/>
  <c r="AY167" i="7"/>
  <c r="AY157" i="7"/>
  <c r="AY179" i="7"/>
  <c r="AY178" i="7"/>
  <c r="AY152" i="7"/>
  <c r="AY168" i="7"/>
  <c r="AY174" i="7"/>
  <c r="AY172" i="7"/>
  <c r="AY153" i="7"/>
  <c r="AY171" i="7"/>
  <c r="AY177" i="7"/>
  <c r="AY163" i="7"/>
  <c r="AY170" i="7"/>
  <c r="AY173" i="7"/>
  <c r="AY175" i="7"/>
  <c r="AY164" i="7"/>
  <c r="AY166" i="7"/>
  <c r="AY165" i="7"/>
  <c r="AY162" i="7"/>
  <c r="AY161" i="7"/>
  <c r="AY498" i="7"/>
  <c r="AY752" i="7"/>
  <c r="AY867" i="7"/>
  <c r="AY786" i="7"/>
  <c r="AY705" i="7"/>
  <c r="AY1223" i="7"/>
  <c r="AY1409" i="7"/>
  <c r="AY132" i="7"/>
  <c r="AY959" i="7"/>
  <c r="AY283" i="7"/>
  <c r="AY1056" i="7"/>
  <c r="AY347" i="7"/>
  <c r="AY825" i="7"/>
  <c r="AY1725" i="7"/>
  <c r="AY981" i="7"/>
  <c r="AY1209" i="7"/>
  <c r="AY479" i="7"/>
  <c r="AY360" i="7"/>
  <c r="AY995" i="7"/>
  <c r="AY1094" i="7"/>
  <c r="AY1161" i="7"/>
  <c r="AY1736" i="7"/>
  <c r="AY1953" i="7"/>
  <c r="AY356" i="7"/>
  <c r="AY2119" i="7"/>
  <c r="AY1493" i="7"/>
  <c r="AY886" i="7"/>
  <c r="AY374" i="7"/>
  <c r="AY1730" i="7"/>
  <c r="AY898" i="7"/>
  <c r="AY1695" i="7"/>
  <c r="AY837" i="7"/>
  <c r="AY1720" i="7"/>
  <c r="AY17" i="7"/>
  <c r="AY626" i="7"/>
  <c r="AY796" i="7"/>
  <c r="AY1513" i="7"/>
  <c r="AY2150" i="7"/>
  <c r="AY2151" i="7"/>
  <c r="AY1271" i="7"/>
  <c r="AY116" i="7"/>
  <c r="AY1242" i="7"/>
  <c r="AY958" i="7"/>
  <c r="AY446" i="7"/>
  <c r="AY311" i="7"/>
  <c r="AY1123" i="7"/>
  <c r="AY2196" i="7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659" i="7"/>
  <c r="AY2001" i="7"/>
  <c r="AY1132" i="7"/>
  <c r="AY1160" i="7"/>
  <c r="AY106" i="7"/>
  <c r="AY1531" i="7"/>
  <c r="AY254" i="7"/>
  <c r="AY122" i="7"/>
  <c r="AY565" i="7"/>
  <c r="AY1671" i="7"/>
  <c r="AY1791" i="7"/>
  <c r="AY266" i="7"/>
  <c r="AY1619" i="7"/>
  <c r="AY1174" i="7"/>
  <c r="AY970" i="7"/>
  <c r="AY376" i="7"/>
  <c r="AY1625" i="7"/>
  <c r="AY371" i="7"/>
  <c r="AY1813" i="7"/>
  <c r="AY1733" i="7"/>
  <c r="AY368" i="7"/>
  <c r="AY1042" i="7"/>
  <c r="AY771" i="7"/>
  <c r="AY2228" i="7"/>
  <c r="AY250" i="7"/>
  <c r="AY1486" i="7"/>
  <c r="AY10" i="7"/>
  <c r="AY649" i="7"/>
  <c r="AY1885" i="7"/>
  <c r="AY654" i="7"/>
  <c r="AY1250" i="7"/>
  <c r="AY1521" i="7"/>
  <c r="AY628" i="7"/>
  <c r="AY1085" i="7"/>
  <c r="AY1204" i="7"/>
  <c r="AY1759" i="7"/>
  <c r="AY532" i="7"/>
  <c r="AY650" i="7"/>
  <c r="AY856" i="7"/>
  <c r="AY994" i="7"/>
  <c r="AY1067" i="7"/>
  <c r="AY1712" i="7"/>
  <c r="AY1113" i="7"/>
  <c r="AY937" i="7"/>
  <c r="AY64" i="7"/>
  <c r="AY63" i="7"/>
  <c r="AY797" i="7"/>
  <c r="AY523" i="7"/>
  <c r="AY549" i="7"/>
  <c r="AY645" i="7"/>
  <c r="AY895" i="7"/>
  <c r="AY2280" i="7"/>
  <c r="AY1374" i="7"/>
  <c r="AY25" i="7"/>
  <c r="AY180" i="7"/>
  <c r="AY524" i="7"/>
  <c r="AY90" i="7"/>
  <c r="AY1420" i="7"/>
  <c r="AY1587" i="7"/>
  <c r="AY1352" i="7"/>
  <c r="AY1962" i="7"/>
  <c r="AY1797" i="7"/>
  <c r="AY527" i="7"/>
  <c r="AY753" i="7"/>
  <c r="AY1533" i="7"/>
  <c r="AY1542" i="7"/>
  <c r="AY158" i="7"/>
  <c r="AY712" i="7"/>
  <c r="AY333" i="7"/>
  <c r="AY890" i="7"/>
  <c r="AY1456" i="7"/>
  <c r="AY1894" i="7"/>
  <c r="AY1767" i="7"/>
  <c r="AY91" i="7"/>
  <c r="AY608" i="7"/>
  <c r="AY445" i="7"/>
  <c r="AY94" i="7"/>
  <c r="AY93" i="7"/>
  <c r="AY108" i="7"/>
  <c r="AY109" i="7"/>
  <c r="AY111" i="7"/>
  <c r="AY112" i="7"/>
  <c r="AY202" i="7"/>
  <c r="AY447" i="7"/>
  <c r="AY206" i="7"/>
  <c r="AY207" i="7"/>
  <c r="AY1079" i="7"/>
  <c r="AY636" i="7"/>
  <c r="AY983" i="7"/>
  <c r="AY477" i="7"/>
  <c r="AY756" i="7"/>
  <c r="AY129" i="7"/>
  <c r="AY246" i="7"/>
  <c r="AY1811" i="7"/>
  <c r="AY1763" i="7"/>
  <c r="AY110" i="7"/>
  <c r="AY574" i="7"/>
  <c r="AY1975" i="7"/>
  <c r="AY135" i="7"/>
  <c r="AY300" i="7"/>
  <c r="AY324" i="7"/>
  <c r="AY2237" i="7"/>
  <c r="AY183" i="7"/>
  <c r="AY182" i="7"/>
  <c r="AY184" i="7"/>
  <c r="AY185" i="7"/>
  <c r="AY176" i="7"/>
  <c r="AY181" i="7"/>
  <c r="AY304" i="7"/>
  <c r="AY548" i="7"/>
  <c r="AY113" i="7"/>
  <c r="AY1519" i="7"/>
  <c r="AY431" i="7"/>
  <c r="AY2144" i="7"/>
  <c r="AY984" i="7"/>
  <c r="AY1557" i="7"/>
  <c r="AY1801" i="7"/>
  <c r="AY1718" i="7"/>
  <c r="AY805" i="7"/>
  <c r="AY1511" i="7"/>
  <c r="AY312" i="7"/>
  <c r="AY2165" i="7"/>
  <c r="AY1752" i="7"/>
  <c r="AY2191" i="7"/>
  <c r="AY604" i="7"/>
  <c r="AY2040" i="7"/>
  <c r="AY2187" i="7"/>
  <c r="AY1044" i="7"/>
  <c r="AY2005" i="7"/>
  <c r="AY2053" i="7"/>
  <c r="AY2137" i="7"/>
  <c r="AY462" i="7"/>
  <c r="AY1208" i="7"/>
  <c r="AY1221" i="7"/>
  <c r="AY2210" i="7"/>
  <c r="AY297" i="7"/>
  <c r="AY1669" i="7"/>
  <c r="AY521" i="7"/>
  <c r="AY2270" i="7"/>
  <c r="AY223" i="7"/>
  <c r="AY1069" i="7"/>
  <c r="AY255" i="7"/>
  <c r="AY321" i="7"/>
  <c r="AY1878" i="7"/>
  <c r="AY915" i="7"/>
  <c r="AY1011" i="7"/>
  <c r="AY1198" i="7"/>
  <c r="AY619" i="7"/>
  <c r="AY1507" i="7"/>
  <c r="AY76" i="7"/>
  <c r="AY73" i="7"/>
  <c r="AY72" i="7"/>
  <c r="AY71" i="7"/>
  <c r="AY481" i="7"/>
  <c r="AY968" i="7"/>
  <c r="AY1064" i="7"/>
  <c r="AY1706" i="7"/>
  <c r="AY147" i="7"/>
  <c r="AY443" i="7"/>
  <c r="AY832" i="7"/>
  <c r="AY963" i="7"/>
  <c r="AY1114" i="7"/>
  <c r="AY1128" i="7"/>
  <c r="AY1181" i="7"/>
  <c r="AY850" i="7"/>
  <c r="AY699" i="7"/>
  <c r="AY1078" i="7"/>
  <c r="AY1015" i="7"/>
  <c r="AY815" i="7"/>
  <c r="AY1525" i="7"/>
  <c r="AY2077" i="7"/>
  <c r="AY1550" i="7"/>
  <c r="AY12" i="7"/>
  <c r="AY662" i="7"/>
  <c r="AY1532" i="7"/>
  <c r="AY1442" i="7"/>
  <c r="AY143" i="7"/>
  <c r="AY268" i="7"/>
  <c r="AY583" i="7"/>
  <c r="AY1689" i="7"/>
  <c r="AY417" i="7"/>
  <c r="AY875" i="7"/>
  <c r="AY96" i="7"/>
  <c r="AY1768" i="7"/>
  <c r="AY1627" i="7"/>
  <c r="AY1966" i="7"/>
  <c r="AY320" i="7"/>
  <c r="AY287" i="7"/>
  <c r="AY2121" i="7"/>
  <c r="AY44" i="7"/>
  <c r="AY203" i="7"/>
  <c r="AY529" i="7"/>
  <c r="AY469" i="7"/>
  <c r="AY1274" i="7"/>
  <c r="AY2242" i="7"/>
  <c r="AY134" i="7"/>
  <c r="AY20" i="7"/>
  <c r="AY1478" i="7"/>
  <c r="AY21" i="7"/>
  <c r="AY768" i="7"/>
  <c r="AY47" i="7"/>
  <c r="AY46" i="7"/>
  <c r="AY54" i="7"/>
  <c r="AY53" i="7"/>
  <c r="AY435" i="7"/>
  <c r="AY953" i="7"/>
  <c r="AY1172" i="7"/>
  <c r="AY776" i="7"/>
  <c r="AY1235" i="7"/>
  <c r="AY1815" i="7"/>
  <c r="AY354" i="7"/>
  <c r="AY1882" i="7"/>
  <c r="AY1347" i="7"/>
  <c r="AY1976" i="7"/>
  <c r="AY2188" i="7"/>
  <c r="AY1656" i="7"/>
  <c r="AY1704" i="7"/>
  <c r="AY1744" i="7"/>
  <c r="AY1990" i="7"/>
  <c r="AY2197" i="7"/>
  <c r="AY1836" i="7"/>
  <c r="AY315" i="7"/>
  <c r="AY775" i="7"/>
  <c r="AY946" i="7"/>
  <c r="AY508" i="7"/>
  <c r="AY818" i="7"/>
  <c r="AY987" i="7"/>
  <c r="AY1075" i="7"/>
  <c r="AY285" i="7"/>
  <c r="AY2231" i="7"/>
  <c r="AY433" i="7"/>
  <c r="AY777" i="7"/>
  <c r="AY1484" i="7"/>
  <c r="AY1947" i="7"/>
  <c r="AY1048" i="7"/>
  <c r="AY1544" i="7"/>
  <c r="AY1356" i="7"/>
  <c r="AY1592" i="7"/>
  <c r="AY78" i="7"/>
  <c r="AY77" i="7"/>
  <c r="AY74" i="7"/>
  <c r="AY75" i="7"/>
  <c r="AY2157" i="7"/>
  <c r="AY56" i="7"/>
  <c r="AY599" i="7"/>
  <c r="AY1825" i="7"/>
  <c r="AY721" i="7"/>
  <c r="AY1102" i="7"/>
  <c r="AY1145" i="7"/>
  <c r="AY1756" i="7"/>
  <c r="AY1804" i="7"/>
  <c r="AY1101" i="7"/>
  <c r="AY2050" i="7"/>
  <c r="AY272" i="7"/>
  <c r="AY519" i="7"/>
  <c r="AY334" i="7"/>
  <c r="AY1262" i="7"/>
  <c r="AY1540" i="7"/>
  <c r="AY664" i="7"/>
  <c r="AY1914" i="7"/>
  <c r="AY351" i="7"/>
  <c r="AY434" i="7"/>
  <c r="AY833" i="7"/>
  <c r="AY1205" i="7"/>
  <c r="AY1909" i="7"/>
  <c r="AY1915" i="7"/>
  <c r="AY1968" i="7"/>
  <c r="AY338" i="7"/>
  <c r="AY1610" i="7"/>
  <c r="AY475" i="7"/>
  <c r="AY422" i="7"/>
  <c r="AY1341" i="7"/>
  <c r="AY1551" i="7"/>
  <c r="AY1749" i="7"/>
  <c r="AY854" i="7"/>
  <c r="AY1675" i="7"/>
  <c r="AY23" i="7"/>
  <c r="AY22" i="7"/>
  <c r="AY1884" i="7"/>
  <c r="AY841" i="7"/>
  <c r="AY1463" i="7"/>
  <c r="AY1919" i="7"/>
  <c r="AY1963" i="7"/>
  <c r="AY1222" i="7"/>
  <c r="AY804" i="7"/>
  <c r="AY1293" i="7"/>
  <c r="AY472" i="7"/>
  <c r="AY438" i="7"/>
  <c r="AY1361" i="7"/>
  <c r="AY1425" i="7"/>
  <c r="AY1912" i="7"/>
  <c r="AY2258" i="7"/>
  <c r="AY480" i="7"/>
  <c r="AY843" i="7"/>
  <c r="AY899" i="7"/>
  <c r="AY1492" i="7"/>
  <c r="AY1344" i="7"/>
  <c r="AY346" i="7"/>
  <c r="AY774" i="7"/>
  <c r="AY1731" i="7"/>
  <c r="AY1978" i="7"/>
  <c r="AY801" i="7"/>
  <c r="AY1343" i="7"/>
  <c r="AY1483" i="7"/>
  <c r="AY531" i="7"/>
  <c r="AY1454" i="7"/>
  <c r="AY1692" i="7"/>
  <c r="AY590" i="7"/>
  <c r="AY2007" i="7"/>
  <c r="AY2033" i="7"/>
  <c r="AY146" i="7"/>
  <c r="AY264" i="7"/>
  <c r="AY506" i="7"/>
  <c r="AY658" i="7"/>
  <c r="AY1281" i="7"/>
  <c r="AY1461" i="7"/>
  <c r="AY1757" i="7"/>
  <c r="AY115" i="7"/>
  <c r="AY1073" i="7"/>
  <c r="AY1259" i="7"/>
  <c r="AY1535" i="7"/>
  <c r="AY1664" i="7"/>
  <c r="AY643" i="7"/>
  <c r="AY1415" i="7"/>
  <c r="AY1761" i="7"/>
  <c r="AY2268" i="7"/>
  <c r="AY552" i="7"/>
  <c r="AY2158" i="7"/>
  <c r="AY1982" i="7"/>
  <c r="AY739" i="7"/>
  <c r="AY1047" i="7"/>
  <c r="AY2071" i="7"/>
  <c r="AY570" i="7"/>
  <c r="AY1710" i="7"/>
  <c r="AY1886" i="7"/>
  <c r="AY284" i="7"/>
  <c r="AY414" i="7"/>
  <c r="AY799" i="7"/>
  <c r="AY1157" i="7"/>
  <c r="AY592" i="7"/>
  <c r="AY794" i="7"/>
  <c r="AY473" i="7"/>
  <c r="AY2027" i="7"/>
  <c r="AY511" i="7"/>
  <c r="AY1959" i="7"/>
  <c r="AY394" i="7"/>
  <c r="AY803" i="7"/>
  <c r="AY945" i="7"/>
  <c r="AY1017" i="7"/>
  <c r="AY1952" i="7"/>
  <c r="AY2037" i="7"/>
  <c r="AY751" i="7"/>
  <c r="AY1895" i="7"/>
  <c r="AY1999" i="7"/>
  <c r="AY1458" i="7"/>
  <c r="AY1789" i="7"/>
  <c r="AY439" i="7"/>
  <c r="AY1103" i="7"/>
  <c r="AY1427" i="7"/>
  <c r="AY389" i="7"/>
  <c r="AY1226" i="7"/>
  <c r="AY1216" i="7"/>
  <c r="AY9" i="7"/>
  <c r="AY242" i="7"/>
  <c r="AY1426" i="7"/>
  <c r="AY1552" i="7"/>
  <c r="AY1489" i="7"/>
  <c r="AY1265" i="7"/>
  <c r="AY1506" i="7"/>
  <c r="AY61" i="7"/>
  <c r="AY722" i="7"/>
  <c r="AY1957" i="7"/>
  <c r="AY782" i="7"/>
  <c r="AY779" i="7"/>
  <c r="AY1537" i="7"/>
  <c r="AY1500" i="7"/>
  <c r="AY442" i="7"/>
  <c r="AY566" i="7"/>
  <c r="AY1464" i="7"/>
  <c r="AY151" i="7"/>
  <c r="AY149" i="7"/>
  <c r="AY340" i="7"/>
  <c r="AY1575" i="7"/>
  <c r="AY1698" i="7"/>
  <c r="AY993" i="7"/>
  <c r="AY1766" i="7"/>
  <c r="AY358" i="7"/>
  <c r="AY1530" i="7"/>
  <c r="AY1309" i="7"/>
  <c r="AY1655" i="7"/>
  <c r="AY1933" i="7"/>
  <c r="AY2009" i="7"/>
  <c r="AY639" i="7"/>
  <c r="AY1887" i="7"/>
  <c r="AY352" i="7"/>
  <c r="AY367" i="7"/>
  <c r="AY1512" i="7"/>
  <c r="AY306" i="7"/>
  <c r="AY1230" i="7"/>
  <c r="AY1390" i="7"/>
  <c r="AY1605" i="7"/>
  <c r="AY130" i="7"/>
  <c r="AY507" i="7"/>
  <c r="AY793" i="7"/>
  <c r="AY1526" i="7"/>
  <c r="AY377" i="7"/>
  <c r="AY696" i="7"/>
  <c r="AY887" i="7"/>
  <c r="AY906" i="7"/>
  <c r="AY441" i="7"/>
  <c r="AY437" i="7"/>
  <c r="AY232" i="7"/>
  <c r="AY1065" i="7"/>
  <c r="AY1367" i="7"/>
  <c r="AY1188" i="7"/>
  <c r="AY490" i="7"/>
  <c r="AY1033" i="7"/>
  <c r="AY1360" i="7"/>
  <c r="AY1366" i="7"/>
  <c r="AY1245" i="7"/>
  <c r="AY1357" i="7"/>
  <c r="AY1313" i="7"/>
  <c r="AY2030" i="7"/>
  <c r="AY199" i="7"/>
  <c r="AY212" i="7"/>
  <c r="AY781" i="7"/>
  <c r="AY991" i="7"/>
  <c r="AY1319" i="7"/>
  <c r="AY1414" i="7"/>
  <c r="AY1355" i="7"/>
  <c r="AY1875" i="7"/>
  <c r="AY864" i="7"/>
  <c r="AY1041" i="7"/>
  <c r="AY1371" i="7"/>
  <c r="AY1520" i="7"/>
  <c r="AY1590" i="7"/>
  <c r="AY1818" i="7"/>
  <c r="AY709" i="7"/>
  <c r="AY2013" i="7"/>
  <c r="AY261" i="7"/>
  <c r="AY1541" i="7"/>
  <c r="AY1063" i="7"/>
  <c r="AY313" i="7"/>
  <c r="AY921" i="7"/>
  <c r="AY910" i="7"/>
  <c r="AY1597" i="7"/>
  <c r="AY145" i="7"/>
  <c r="AY670" i="7"/>
  <c r="AY802" i="7"/>
  <c r="AY675" i="7"/>
  <c r="AY1954" i="7"/>
  <c r="AY2156" i="7"/>
  <c r="AY1873" i="7"/>
  <c r="AY337" i="7"/>
  <c r="AY972" i="7"/>
  <c r="AY1148" i="7"/>
  <c r="AY1306" i="7"/>
  <c r="AY1217" i="7"/>
  <c r="AY1431" i="7"/>
  <c r="AY2148" i="7"/>
  <c r="AY482" i="7"/>
  <c r="AY838" i="7"/>
  <c r="AY1466" i="7"/>
  <c r="AY1680" i="7"/>
  <c r="AY314" i="7"/>
  <c r="AY1332" i="7"/>
  <c r="AY278" i="7"/>
  <c r="AY546" i="7"/>
  <c r="AY1694" i="7"/>
  <c r="AY1233" i="7"/>
  <c r="AY657" i="7"/>
  <c r="AY1153" i="7"/>
  <c r="AY667" i="7"/>
  <c r="AY894" i="7"/>
  <c r="AY2058" i="7"/>
  <c r="AY244" i="7"/>
  <c r="AY1238" i="7"/>
  <c r="AY1992" i="7"/>
  <c r="AY615" i="7"/>
  <c r="AY1021" i="7"/>
  <c r="AY1717" i="7"/>
  <c r="AY1795" i="7"/>
  <c r="AY2213" i="7"/>
  <c r="AY1806" i="7"/>
  <c r="AY1058" i="7"/>
  <c r="AY1481" i="7"/>
  <c r="AY1278" i="7"/>
  <c r="AY606" i="7"/>
  <c r="AY325" i="7"/>
  <c r="AY518" i="7"/>
  <c r="AY1266" i="7"/>
  <c r="AY425" i="7"/>
  <c r="AY1218" i="7"/>
  <c r="AY1207" i="7"/>
  <c r="AY1315" i="7"/>
  <c r="AY863" i="7"/>
  <c r="AY539" i="7"/>
  <c r="AY544" i="7"/>
  <c r="AY620" i="7"/>
  <c r="AY1991" i="7"/>
  <c r="AY97" i="7"/>
  <c r="AY2106" i="7"/>
  <c r="AY15" i="7"/>
  <c r="AY1504" i="7"/>
  <c r="AY564" i="7"/>
  <c r="AY1569" i="7"/>
  <c r="AY1249" i="7"/>
  <c r="AY2031" i="7"/>
  <c r="AY295" i="7"/>
  <c r="AY353" i="7"/>
  <c r="AY1565" i="7"/>
  <c r="AY1735" i="7"/>
  <c r="AY14" i="7"/>
  <c r="AY2133" i="7"/>
  <c r="AY2002" i="7"/>
  <c r="AY400" i="7"/>
  <c r="AY420" i="7"/>
  <c r="AY1046" i="7"/>
  <c r="AY1115" i="7"/>
  <c r="AY45" i="7"/>
  <c r="AY188" i="7"/>
  <c r="AY2010" i="7"/>
  <c r="AY148" i="7"/>
  <c r="AY979" i="7"/>
  <c r="AY1087" i="7"/>
  <c r="AY1354" i="7"/>
  <c r="AY1571" i="7"/>
  <c r="AY1604" i="7"/>
  <c r="AY1988" i="7"/>
  <c r="AY59" i="7"/>
  <c r="AY1163" i="7"/>
  <c r="AY1830" i="7"/>
  <c r="AY2017" i="7"/>
  <c r="AY1019" i="7"/>
  <c r="AY1863" i="7"/>
  <c r="AY2263" i="7"/>
  <c r="AY317" i="7"/>
  <c r="AY816" i="7"/>
  <c r="AY1307" i="7"/>
  <c r="AY2281" i="7"/>
  <c r="AY1091" i="7"/>
  <c r="AY200" i="7"/>
  <c r="AY257" i="7"/>
  <c r="AY857" i="7"/>
  <c r="AY379" i="7"/>
  <c r="AY2223" i="7"/>
  <c r="AY2073" i="7"/>
  <c r="AY271" i="7"/>
  <c r="AY57" i="7"/>
  <c r="AY58" i="7"/>
  <c r="AY713" i="7"/>
  <c r="AY1098" i="7"/>
  <c r="AY880" i="7"/>
  <c r="AY1417" i="7"/>
  <c r="AY1028" i="7"/>
  <c r="AY150" i="7"/>
  <c r="AY154" i="7"/>
  <c r="AY156" i="7"/>
  <c r="AY155" i="7"/>
  <c r="AY1120" i="7"/>
  <c r="AY1049" i="7"/>
  <c r="AY98" i="7"/>
  <c r="AY270" i="7"/>
  <c r="AY2085" i="7"/>
  <c r="AY515" i="7"/>
  <c r="AY766" i="7"/>
  <c r="AY1100" i="7"/>
  <c r="AY121" i="7"/>
  <c r="AY609" i="7"/>
  <c r="AY2035" i="7"/>
  <c r="AY2063" i="7"/>
  <c r="AY971" i="7"/>
  <c r="AY1140" i="7"/>
  <c r="AY2164" i="7"/>
  <c r="AY1137" i="7"/>
  <c r="AY1829" i="7"/>
  <c r="AY1989" i="7"/>
  <c r="AY1272" i="7"/>
  <c r="AY1561" i="7"/>
  <c r="AY2216" i="7"/>
  <c r="AY1339" i="7"/>
  <c r="AY2038" i="7"/>
  <c r="AY989" i="7"/>
  <c r="AY1676" i="7"/>
  <c r="AY2109" i="7"/>
  <c r="AY1081" i="7"/>
  <c r="AY2278" i="7"/>
  <c r="AY591" i="7"/>
  <c r="AY1683" i="7"/>
  <c r="AY1509" i="7"/>
  <c r="AY269" i="7"/>
  <c r="AY404" i="7"/>
  <c r="AY2182" i="7"/>
  <c r="AY1705" i="7"/>
  <c r="AY323" i="7"/>
  <c r="AY1133" i="7"/>
  <c r="AY275" i="7"/>
  <c r="AY1827" i="7"/>
  <c r="AY186" i="7"/>
  <c r="AY1972" i="7"/>
  <c r="AY828" i="7"/>
  <c r="AY1824" i="7"/>
  <c r="AY1477" i="7"/>
  <c r="AY1556" i="7"/>
  <c r="AY396" i="7"/>
  <c r="AY486" i="7"/>
  <c r="AY951" i="7"/>
  <c r="AY1401" i="7"/>
  <c r="AY516" i="7"/>
  <c r="AY1372" i="7"/>
  <c r="AY198" i="7"/>
  <c r="AY517" i="7"/>
  <c r="AY2011" i="7"/>
  <c r="AY2003" i="7"/>
  <c r="AY990" i="7"/>
  <c r="AY133" i="7"/>
  <c r="AY456" i="7"/>
  <c r="AY717" i="7"/>
  <c r="AY1182" i="7"/>
  <c r="AY551" i="7"/>
  <c r="AY2256" i="7"/>
  <c r="AY1202" i="7"/>
  <c r="AY1378" i="7"/>
  <c r="AY1986" i="7"/>
  <c r="AY893" i="7"/>
  <c r="AY819" i="7"/>
  <c r="AY1742" i="7"/>
  <c r="AY2185" i="7"/>
  <c r="AY124" i="7"/>
  <c r="AY123" i="7"/>
  <c r="AY1253" i="7"/>
  <c r="AY1470" i="7"/>
  <c r="AY1111" i="7"/>
  <c r="AY1662" i="7"/>
  <c r="AY280" i="7"/>
  <c r="AY258" i="7"/>
  <c r="AY43" i="7"/>
  <c r="AY2279" i="7"/>
  <c r="AY1365" i="7"/>
  <c r="AY1523" i="7"/>
  <c r="AY1760" i="7"/>
  <c r="AY1348" i="7"/>
  <c r="AY822" i="7"/>
  <c r="AY1881" i="7"/>
  <c r="AY851" i="7"/>
  <c r="AY701" i="7"/>
  <c r="AY204" i="7"/>
  <c r="AY791" i="7"/>
  <c r="AY1268" i="7"/>
  <c r="AY1566" i="7"/>
  <c r="AY2261" i="7"/>
  <c r="AY1554" i="7"/>
  <c r="AY114" i="7"/>
  <c r="AY2125" i="7"/>
  <c r="AY1960" i="7"/>
  <c r="AY663" i="7"/>
  <c r="AY1819" i="7"/>
  <c r="AY2186" i="7"/>
  <c r="AY42" i="7"/>
  <c r="AY488" i="7"/>
  <c r="AY1134" i="7"/>
  <c r="AY1430" i="7"/>
  <c r="AY1746" i="7"/>
  <c r="AY1336" i="7"/>
  <c r="AY1904" i="7"/>
  <c r="AY760" i="7"/>
  <c r="AY2166" i="7"/>
  <c r="AY201" i="7"/>
  <c r="AY597" i="7"/>
  <c r="AY798" i="7"/>
  <c r="AY1016" i="7"/>
  <c r="AY690" i="7"/>
  <c r="AY789" i="7"/>
  <c r="AY1598" i="7"/>
  <c r="AY1052" i="7"/>
  <c r="AY726" i="7"/>
  <c r="AY1877" i="7"/>
  <c r="AY855" i="7"/>
  <c r="AY2248" i="7"/>
  <c r="AY13" i="7"/>
  <c r="AY761" i="7"/>
  <c r="AY1005" i="7"/>
  <c r="AY412" i="7"/>
  <c r="AY952" i="7"/>
  <c r="AY1629" i="7"/>
  <c r="AY1743" i="7"/>
  <c r="AY208" i="7"/>
  <c r="AY900" i="7"/>
  <c r="AY1273" i="7"/>
  <c r="AY1436" i="7"/>
  <c r="AY1729" i="7"/>
  <c r="AY1755" i="7"/>
  <c r="AY390" i="7"/>
  <c r="AY2212" i="7"/>
  <c r="AY365" i="7"/>
  <c r="AY1029" i="7"/>
  <c r="AY1191" i="7"/>
  <c r="AY1296" i="7"/>
  <c r="AY1970" i="7"/>
  <c r="AY1270" i="7"/>
  <c r="AY1956" i="7"/>
  <c r="AY669" i="7"/>
  <c r="AY509" i="7"/>
  <c r="AY1291" i="7"/>
  <c r="AY1616" i="7"/>
  <c r="AY1310" i="7"/>
  <c r="AY2143" i="7"/>
  <c r="AY1602" i="7"/>
  <c r="AY1780" i="7"/>
  <c r="AY1576" i="7"/>
  <c r="AY470" i="7"/>
  <c r="AY1050" i="7"/>
  <c r="AY589" i="7"/>
  <c r="AY1107" i="7"/>
  <c r="AY1949" i="7"/>
  <c r="AY2226" i="7"/>
  <c r="AY373" i="7"/>
  <c r="AY1369" i="7"/>
  <c r="AY1473" i="7"/>
  <c r="AY1324" i="7"/>
  <c r="AY1548" i="7"/>
  <c r="AY1807" i="7"/>
  <c r="AY16" i="7"/>
  <c r="AY233" i="7"/>
  <c r="AY1301" i="7"/>
  <c r="AY1723" i="7"/>
  <c r="AY1393" i="7"/>
  <c r="AY1162" i="7"/>
  <c r="AY2183" i="7"/>
  <c r="AY1302" i="7"/>
  <c r="AY5" i="7"/>
  <c r="AY210" i="7"/>
  <c r="AY522" i="7"/>
  <c r="AY586" i="7"/>
  <c r="AY1883" i="7"/>
  <c r="AY1665" i="7"/>
  <c r="AY2065" i="7"/>
  <c r="AY988" i="7"/>
  <c r="AY2055" i="7"/>
  <c r="AY611" i="7"/>
  <c r="AY747" i="7"/>
  <c r="AY1326" i="7"/>
  <c r="AY1170" i="7"/>
  <c r="AY1368" i="7"/>
  <c r="AY1603" i="7"/>
  <c r="AY520" i="7"/>
  <c r="AY1105" i="7"/>
  <c r="AY750" i="7"/>
  <c r="AY1471" i="7"/>
  <c r="AY70" i="7"/>
  <c r="AY2269" i="7"/>
  <c r="AY1901" i="7"/>
  <c r="AY1783" i="7"/>
  <c r="AY1772" i="7"/>
  <c r="AY581" i="7"/>
  <c r="AY903" i="7"/>
  <c r="AY974" i="7"/>
  <c r="AY916" i="7"/>
  <c r="AY808" i="7"/>
  <c r="AY883" i="7"/>
  <c r="AY19" i="7"/>
  <c r="AY624" i="7"/>
  <c r="AY1820" i="7"/>
  <c r="AY1923" i="7"/>
  <c r="AY2039" i="7"/>
  <c r="AY2043" i="7"/>
  <c r="AY866" i="7"/>
  <c r="AY1387" i="7"/>
  <c r="AY1260" i="7"/>
  <c r="AY1279" i="7"/>
  <c r="AY1485" i="7"/>
  <c r="AY235" i="7"/>
  <c r="AY342" i="7"/>
  <c r="AY1283" i="7"/>
  <c r="AY1116" i="7"/>
  <c r="AY2046" i="7"/>
  <c r="AY2" i="7"/>
  <c r="AY1292" i="7"/>
  <c r="AY1996" i="7"/>
  <c r="AY1450" i="7"/>
  <c r="AY762" i="7"/>
  <c r="AY749" i="7"/>
  <c r="AY1190" i="7"/>
  <c r="AY1131" i="7"/>
  <c r="AY1382" i="7"/>
  <c r="AY862" i="7"/>
  <c r="AY1277" i="7"/>
  <c r="AY2190" i="7"/>
  <c r="AY905" i="7"/>
  <c r="AY1958" i="7"/>
  <c r="AY602" i="7"/>
  <c r="AY1868" i="7"/>
  <c r="AY736" i="7"/>
  <c r="AY806" i="7"/>
  <c r="AY1038" i="7"/>
  <c r="AY1141" i="7"/>
  <c r="AY1667" i="7"/>
  <c r="AY2154" i="7"/>
  <c r="AY769" i="7"/>
  <c r="AY1066" i="7"/>
  <c r="AY1828" i="7"/>
  <c r="AY18" i="7"/>
  <c r="AY1981" i="7"/>
  <c r="AY2168" i="7"/>
  <c r="AY2064" i="7"/>
  <c r="AY731" i="7"/>
  <c r="AY2181" i="7"/>
  <c r="AY468" i="7"/>
  <c r="AY485" i="7"/>
  <c r="AY1573" i="7"/>
  <c r="AY1835" i="7"/>
  <c r="AY683" i="7"/>
  <c r="AY1144" i="7"/>
  <c r="AY1918" i="7"/>
  <c r="AY1993" i="7"/>
  <c r="AY834" i="7"/>
  <c r="AY127" i="7"/>
  <c r="AY1286" i="7"/>
  <c r="AY671" i="7"/>
  <c r="AY904" i="7"/>
  <c r="AY1275" i="7"/>
  <c r="AY842" i="7"/>
  <c r="AY1034" i="7"/>
  <c r="AY845" i="7"/>
  <c r="AY1130" i="7"/>
  <c r="AY1822" i="7"/>
  <c r="AY1138" i="7"/>
  <c r="AY2113" i="7"/>
  <c r="AY298" i="7"/>
  <c r="AY840" i="7"/>
  <c r="AY938" i="7"/>
  <c r="AY1377" i="7"/>
  <c r="AY612" i="7"/>
  <c r="AY1014" i="7"/>
  <c r="AY1025" i="7"/>
  <c r="AY877" i="7"/>
  <c r="AY861" i="7"/>
  <c r="AY259" i="7"/>
  <c r="AY326" i="7"/>
  <c r="AY849" i="7"/>
  <c r="AY973" i="7"/>
  <c r="AY1412" i="7"/>
  <c r="AY2234" i="7"/>
  <c r="AY159" i="7"/>
  <c r="AY1189" i="7"/>
  <c r="AY322" i="7"/>
  <c r="AY672" i="7"/>
  <c r="AY998" i="7"/>
  <c r="AY1579" i="7"/>
  <c r="AY2020" i="7"/>
  <c r="AY949" i="7"/>
  <c r="AY1771" i="7"/>
  <c r="AY2249" i="7"/>
  <c r="AY868" i="7"/>
  <c r="AY1167" i="7"/>
  <c r="AY1679" i="7"/>
  <c r="AY1093" i="7"/>
  <c r="AY613" i="7"/>
  <c r="AY2084" i="7"/>
  <c r="AY2250" i="7"/>
  <c r="AY483" i="7"/>
  <c r="AY677" i="7"/>
  <c r="AY2018" i="7"/>
  <c r="AY528" i="7"/>
  <c r="AY1282" i="7"/>
  <c r="AY1334" i="7"/>
  <c r="AY1617" i="7"/>
  <c r="AY954" i="7"/>
  <c r="AY976" i="7"/>
  <c r="AY2042" i="7"/>
  <c r="AY1323" i="7"/>
  <c r="AY2209" i="7"/>
  <c r="AY2034" i="7"/>
  <c r="AY444" i="7"/>
  <c r="AY1006" i="7"/>
  <c r="AY1088" i="7"/>
  <c r="AY1358" i="7"/>
  <c r="AY459" i="7"/>
  <c r="AY296" i="7"/>
  <c r="AY610" i="7"/>
  <c r="AY2103" i="7"/>
  <c r="AY947" i="7"/>
  <c r="AY1092" i="7"/>
  <c r="AY638" i="7"/>
  <c r="AY1408" i="7"/>
  <c r="AY343" i="7"/>
  <c r="AY535" i="7"/>
  <c r="AY666" i="7"/>
  <c r="AY964" i="7"/>
  <c r="AY1126" i="7"/>
  <c r="AY1594" i="7"/>
  <c r="AY703" i="7"/>
  <c r="AY1146" i="7"/>
  <c r="AY1469" i="7"/>
  <c r="AY1577" i="7"/>
  <c r="AY1020" i="7"/>
  <c r="AY1001" i="7"/>
  <c r="AY1329" i="7"/>
  <c r="AY758" i="7"/>
  <c r="AY1394" i="7"/>
  <c r="AY366" i="7"/>
  <c r="AY1534" i="7"/>
  <c r="AY1851" i="7"/>
  <c r="AY2174" i="7"/>
  <c r="AY1568" i="7"/>
  <c r="AY876" i="7"/>
  <c r="AY1553" i="7"/>
  <c r="AY554" i="7"/>
  <c r="AY2060" i="7"/>
  <c r="AY2173" i="7"/>
  <c r="AY939" i="7"/>
  <c r="AY1359" i="7"/>
  <c r="AY1071" i="7"/>
  <c r="AY2215" i="7"/>
  <c r="AY229" i="7"/>
  <c r="AY1375" i="7"/>
  <c r="AY1386" i="7"/>
  <c r="AY2180" i="7"/>
  <c r="AY1022" i="7"/>
  <c r="AY647" i="7"/>
  <c r="AY2124" i="7"/>
  <c r="AY1149" i="7"/>
  <c r="AY1928" i="7"/>
  <c r="AY1503" i="7"/>
  <c r="AY510" i="7"/>
  <c r="AY997" i="7"/>
  <c r="AY1472" i="7"/>
  <c r="AY1753" i="7"/>
  <c r="AY190" i="7"/>
  <c r="AY623" i="7"/>
  <c r="AY1622" i="7"/>
  <c r="AY853" i="7"/>
  <c r="AY1388" i="7"/>
  <c r="AY2218" i="7"/>
  <c r="AY1039" i="7"/>
  <c r="AY1774" i="7"/>
  <c r="AY940" i="7"/>
  <c r="AY2246" i="7"/>
  <c r="AY267" i="7"/>
  <c r="AY2220" i="7"/>
  <c r="AY1709" i="7"/>
  <c r="AY2211" i="7"/>
  <c r="AY1012" i="7"/>
  <c r="AY2078" i="7"/>
  <c r="AY526" i="7"/>
  <c r="AY1810" i="7"/>
  <c r="AY1086" i="7"/>
  <c r="AY430" i="7"/>
  <c r="AY1921" i="7"/>
  <c r="AY688" i="7"/>
  <c r="AY902" i="7"/>
  <c r="AY1110" i="7"/>
  <c r="AY1353" i="7"/>
  <c r="AY2172" i="7"/>
  <c r="AY823" i="7"/>
  <c r="AY1896" i="7"/>
  <c r="AY344" i="7"/>
  <c r="AY423" i="7"/>
  <c r="AY932" i="7"/>
  <c r="AY1440" i="7"/>
  <c r="AY397" i="7"/>
  <c r="AY648" i="7"/>
  <c r="AY1626" i="7"/>
  <c r="AY260" i="7"/>
  <c r="AY767" i="7"/>
  <c r="AY495" i="7"/>
  <c r="AY635" i="7"/>
  <c r="AY1917" i="7"/>
  <c r="AY1702" i="7"/>
  <c r="AY1843" i="7"/>
  <c r="AY1574" i="7"/>
  <c r="AY1831" i="7"/>
  <c r="AY160" i="7"/>
  <c r="AY704" i="7"/>
  <c r="AY1927" i="7"/>
  <c r="AY466" i="7"/>
  <c r="AY501" i="7"/>
  <c r="AY1248" i="7"/>
  <c r="AY1891" i="7"/>
  <c r="AY2029" i="7"/>
  <c r="AY830" i="7"/>
  <c r="AY2239" i="7"/>
  <c r="AY817" i="7"/>
  <c r="AY1860" i="7"/>
  <c r="AY1121" i="7"/>
  <c r="AY1330" i="7"/>
  <c r="AY1826" i="7"/>
  <c r="AY1118" i="7"/>
  <c r="AY1681" i="7"/>
  <c r="AY1618" i="7"/>
  <c r="AY2025" i="7"/>
  <c r="AY460" i="7"/>
  <c r="AY1580" i="7"/>
  <c r="AY2110" i="7"/>
  <c r="AY1438" i="7"/>
  <c r="AY1663" i="7"/>
  <c r="AY489" i="7"/>
  <c r="AY1628" i="7"/>
  <c r="AY67" i="7"/>
  <c r="AY131" i="7"/>
  <c r="AY1076" i="7"/>
  <c r="AY1798" i="7"/>
  <c r="AY1139" i="7"/>
  <c r="AY1750" i="7"/>
  <c r="AY1570" i="7"/>
  <c r="AY1528" i="7"/>
  <c r="AY1433" i="7"/>
  <c r="AY1974" i="7"/>
  <c r="AY247" i="7"/>
  <c r="AY2264" i="7"/>
  <c r="AY573" i="7"/>
  <c r="AY453" i="7"/>
  <c r="AY813" i="7"/>
  <c r="AY1586" i="7"/>
  <c r="AY401" i="7"/>
  <c r="AY450" i="7"/>
  <c r="AY810" i="7"/>
  <c r="AY1108" i="7"/>
  <c r="AY1726" i="7"/>
  <c r="AY1459" i="7"/>
  <c r="AY1591" i="7"/>
  <c r="AY2019" i="7"/>
  <c r="AY1370" i="7"/>
  <c r="AY1913" i="7"/>
  <c r="AY2059" i="7"/>
  <c r="AY2225" i="7"/>
  <c r="AY11" i="7"/>
  <c r="AY1241" i="7"/>
  <c r="AY1803" i="7"/>
  <c r="AY2179" i="7"/>
  <c r="AY874" i="7"/>
  <c r="AY1973" i="7"/>
  <c r="AY491" i="7"/>
  <c r="AY2115" i="7"/>
  <c r="AY689" i="7"/>
  <c r="AY824" i="7"/>
  <c r="AY1117" i="7"/>
  <c r="AY3" i="7"/>
  <c r="AY126" i="7"/>
  <c r="AY125" i="7"/>
  <c r="AY192" i="7"/>
  <c r="AY572" i="7"/>
  <c r="AY1435" i="7"/>
  <c r="AY1299" i="7"/>
  <c r="AY1419" i="7"/>
  <c r="AY917" i="7"/>
  <c r="AY928" i="7"/>
  <c r="AY1839" i="7"/>
  <c r="AY193" i="7"/>
  <c r="AY187" i="7"/>
  <c r="AY191" i="7"/>
  <c r="AY440" i="7"/>
  <c r="AY617" i="7"/>
  <c r="AY700" i="7"/>
  <c r="AY950" i="7"/>
  <c r="AY1634" i="7"/>
  <c r="AY372" i="7"/>
  <c r="AY1585" i="7"/>
  <c r="AY571" i="7"/>
  <c r="AY458" i="7"/>
  <c r="AY1964" i="7"/>
  <c r="AY1564" i="7"/>
  <c r="AY1644" i="7"/>
  <c r="AY547" i="7"/>
  <c r="AY2160" i="7"/>
  <c r="AY263" i="7"/>
  <c r="AY730" i="7"/>
  <c r="AY706" i="7"/>
  <c r="AY1708" i="7"/>
  <c r="AY65" i="7"/>
  <c r="AY2067" i="7"/>
  <c r="AY69" i="7"/>
  <c r="AY288" i="7"/>
  <c r="AY301" i="7"/>
  <c r="AY908" i="7"/>
  <c r="AY1636" i="7"/>
  <c r="AY2222" i="7"/>
  <c r="AY2054" i="7"/>
  <c r="AY238" i="7"/>
  <c r="AY1645" i="7"/>
  <c r="AY632" i="7"/>
  <c r="AY719" i="7"/>
  <c r="AY1832" i="7"/>
  <c r="AY2126" i="7"/>
  <c r="AY1317" i="7"/>
  <c r="AY568" i="7"/>
  <c r="AY1812" i="7"/>
  <c r="AY66" i="7"/>
  <c r="AY2100" i="7"/>
  <c r="AY308" i="7"/>
  <c r="AY2079" i="7"/>
  <c r="AY335" i="7"/>
  <c r="AY674" i="7"/>
  <c r="AY1193" i="7"/>
  <c r="AY2235" i="7"/>
  <c r="AY1841" i="7"/>
  <c r="AY2129" i="7"/>
  <c r="AY1792" i="7"/>
  <c r="AY1543" i="7"/>
  <c r="AY1745" i="7"/>
  <c r="AY1769" i="7"/>
  <c r="AY929" i="7"/>
  <c r="AY1258" i="7"/>
  <c r="AY391" i="7"/>
  <c r="AY1678" i="7"/>
  <c r="AY605" i="7"/>
  <c r="AY918" i="7"/>
  <c r="AY1276" i="7"/>
  <c r="AY1837" i="7"/>
  <c r="AY4" i="7"/>
  <c r="AY616" i="7"/>
  <c r="AY665" i="7"/>
  <c r="AY569" i="7"/>
  <c r="AY911" i="7"/>
  <c r="AY795" i="7"/>
  <c r="AY2123" i="7"/>
  <c r="AY1457" i="7"/>
  <c r="AY1211" i="7"/>
  <c r="AY1229" i="7"/>
  <c r="AY1869" i="7"/>
  <c r="AY966" i="7"/>
  <c r="AY1980" i="7"/>
  <c r="AY2152" i="7"/>
  <c r="AY1106" i="7"/>
  <c r="AY1979" i="7"/>
  <c r="AY243" i="7"/>
  <c r="AY913" i="7"/>
  <c r="AY859" i="7"/>
  <c r="AY1097" i="7"/>
  <c r="AY1185" i="7"/>
  <c r="AY614" i="7"/>
  <c r="AY1032" i="7"/>
  <c r="AY1320" i="7"/>
  <c r="AY773" i="7"/>
  <c r="AY827" i="7"/>
  <c r="AY1104" i="7"/>
  <c r="AY2224" i="7"/>
  <c r="AY944" i="7"/>
  <c r="AY1043" i="7"/>
  <c r="AY1165" i="7"/>
  <c r="AY416" i="7"/>
  <c r="AY530" i="7"/>
  <c r="AY1926" i="7"/>
  <c r="AY2016" i="7"/>
  <c r="AY494" i="7"/>
  <c r="AY1738" i="7"/>
  <c r="AY1844" i="7"/>
  <c r="AY1392" i="7"/>
  <c r="AY975" i="7"/>
  <c r="AY1799" i="7"/>
  <c r="AY1203" i="7"/>
  <c r="AY540" i="7"/>
  <c r="AY873" i="7"/>
  <c r="AY2192" i="7"/>
  <c r="AY2062" i="7"/>
  <c r="AY1289" i="7"/>
  <c r="AY211" i="7"/>
  <c r="AY1922" i="7"/>
  <c r="AY742" i="7"/>
  <c r="AY1072" i="7"/>
  <c r="AY328" i="7"/>
  <c r="AY402" i="7"/>
  <c r="AY484" i="7"/>
  <c r="AY1639" i="7"/>
  <c r="AY2184" i="7"/>
  <c r="AY992" i="7"/>
  <c r="AY1898" i="7"/>
  <c r="AY2241" i="7"/>
  <c r="AY1342" i="7"/>
  <c r="AY194" i="7"/>
  <c r="AY1567" i="7"/>
  <c r="AY935" i="7"/>
  <c r="AY1257" i="7"/>
  <c r="AY1583" i="7"/>
  <c r="AY933" i="7"/>
  <c r="AY1916" i="7"/>
  <c r="AY136" i="7"/>
  <c r="AY2068" i="7"/>
  <c r="AY676" i="7"/>
  <c r="AY885" i="7"/>
  <c r="AY914" i="7"/>
  <c r="AY1529" i="7"/>
  <c r="AY2048" i="7"/>
  <c r="AY1322" i="7"/>
  <c r="AY525" i="7"/>
  <c r="AY1151" i="7"/>
  <c r="AY1700" i="7"/>
  <c r="AY727" i="7"/>
  <c r="AY2204" i="7"/>
  <c r="AY286" i="7"/>
  <c r="AY1985" i="7"/>
  <c r="AY1003" i="7"/>
  <c r="AY1089" i="7"/>
  <c r="AY476" i="7"/>
  <c r="AY1517" i="7"/>
  <c r="AY1905" i="7"/>
  <c r="AY1880" i="7"/>
  <c r="AY1925" i="7"/>
  <c r="AY557" i="7"/>
  <c r="AY1796" i="7"/>
  <c r="AY1661" i="7"/>
  <c r="AY1747" i="7"/>
  <c r="AY884" i="7"/>
  <c r="AY2267" i="7"/>
  <c r="AY49" i="7"/>
  <c r="AY169" i="7"/>
  <c r="AY2000" i="7"/>
  <c r="AY2236" i="7"/>
  <c r="AY1614" i="7"/>
  <c r="AY1701" i="7"/>
  <c r="AY541" i="7"/>
  <c r="AY1164" i="7"/>
  <c r="AY978" i="7"/>
  <c r="AY1606" i="7"/>
  <c r="AY137" i="7"/>
  <c r="AY733" i="7"/>
  <c r="AY872" i="7"/>
  <c r="AY1389" i="7"/>
  <c r="AY2276" i="7"/>
  <c r="AY723" i="7"/>
  <c r="AY682" i="7"/>
  <c r="AY656" i="7"/>
  <c r="AY292" i="7"/>
  <c r="AY504" i="7"/>
  <c r="AY1150" i="7"/>
  <c r="AY2118" i="7"/>
  <c r="AY1785" i="7"/>
  <c r="AY1588" i="7"/>
  <c r="AY2072" i="7"/>
  <c r="AY1004" i="7"/>
  <c r="AY693" i="7"/>
  <c r="AY536" i="7"/>
  <c r="AY1741" i="7"/>
  <c r="AY1135" i="7"/>
  <c r="AY1788" i="7"/>
  <c r="AY652" i="7"/>
  <c r="AY2217" i="7"/>
  <c r="AY274" i="7"/>
  <c r="AY241" i="7"/>
  <c r="AY734" i="7"/>
  <c r="AY1335" i="7"/>
  <c r="AY1280" i="7"/>
  <c r="AY1295" i="7"/>
  <c r="AY1765" i="7"/>
  <c r="AY299" i="7"/>
  <c r="AY930" i="7"/>
  <c r="AY735" i="7"/>
  <c r="AY1930" i="7"/>
  <c r="AY2170" i="7"/>
  <c r="AY2273" i="7"/>
  <c r="AY436" i="7"/>
  <c r="AY1650" i="7"/>
  <c r="AY1864" i="7"/>
  <c r="AY1261" i="7"/>
  <c r="AY685" i="7"/>
  <c r="AY878" i="7"/>
  <c r="AY399" i="7"/>
  <c r="AY2163" i="7"/>
  <c r="AY1581" i="7"/>
  <c r="AY1782" i="7"/>
  <c r="AY2021" i="7"/>
  <c r="AY790" i="7"/>
  <c r="AY95" i="7"/>
  <c r="AY426" i="7"/>
  <c r="AY977" i="7"/>
  <c r="AY1027" i="7"/>
  <c r="AY2083" i="7"/>
  <c r="AY2221" i="7"/>
  <c r="AY142" i="7"/>
  <c r="AY2244" i="7"/>
  <c r="AY451" i="7"/>
  <c r="AY1031" i="7"/>
  <c r="AY1300" i="7"/>
  <c r="AY542" i="7"/>
  <c r="AY601" i="7"/>
  <c r="AY1147" i="7"/>
  <c r="AY1479" i="7"/>
  <c r="AY1643" i="7"/>
  <c r="AY633" i="7"/>
  <c r="AY1474" i="7"/>
  <c r="AY534" i="7"/>
  <c r="AY1316" i="7"/>
  <c r="AY2219" i="7"/>
  <c r="AY1997" i="7"/>
  <c r="AY1255" i="7"/>
  <c r="AY999" i="7"/>
  <c r="AY1600" i="7"/>
  <c r="AY603" i="7"/>
  <c r="AY1346" i="7"/>
  <c r="AY1823" i="7"/>
  <c r="AY2026" i="7"/>
  <c r="AY686" i="7"/>
  <c r="AY2070" i="7"/>
  <c r="AY1397" i="7"/>
  <c r="AY327" i="7"/>
  <c r="AY641" i="7"/>
  <c r="AY1777" i="7"/>
  <c r="AY492" i="7"/>
  <c r="AY1465" i="7"/>
  <c r="AY1000" i="7"/>
  <c r="AY1640" i="7"/>
  <c r="AY1018" i="7"/>
  <c r="AY763" i="7"/>
  <c r="AY293" i="7"/>
  <c r="AY1637" i="7"/>
  <c r="AY62" i="7"/>
  <c r="AY720" i="7"/>
  <c r="AY1748" i="7"/>
  <c r="AY708" i="7"/>
  <c r="AY2082" i="7"/>
  <c r="AY2240" i="7"/>
  <c r="AY889" i="7"/>
  <c r="AY1967" i="7"/>
  <c r="AY955" i="7"/>
  <c r="AY1422" i="7"/>
  <c r="AY1897" i="7"/>
  <c r="AY1888" i="7"/>
  <c r="AY732" i="7"/>
  <c r="AY1601" i="7"/>
  <c r="AY2004" i="7"/>
  <c r="AY642" i="7"/>
  <c r="AY281" i="7"/>
  <c r="AY1635" i="7"/>
  <c r="AY1505" i="7"/>
  <c r="AY1779" i="7"/>
  <c r="AY1246" i="7"/>
  <c r="AY497" i="7"/>
  <c r="AY454" i="7"/>
  <c r="AY1381" i="7"/>
  <c r="AY1903" i="7"/>
  <c r="AY927" i="7"/>
  <c r="AY1563" i="7"/>
  <c r="AY926" i="7"/>
  <c r="AY1632" i="7"/>
  <c r="AY1593" i="7"/>
  <c r="AY415" i="7"/>
  <c r="AY1154" i="7"/>
  <c r="AY1524" i="7"/>
  <c r="AY1555" i="7"/>
  <c r="AY2014" i="7"/>
  <c r="AY403" i="7"/>
  <c r="AY1136" i="7"/>
  <c r="AY309" i="7"/>
  <c r="AY2243" i="7"/>
  <c r="AY1615" i="7"/>
  <c r="AY2283" i="7"/>
  <c r="AY378" i="7"/>
  <c r="AY1834" i="7"/>
  <c r="AY1267" i="7"/>
  <c r="AY1175" i="7"/>
  <c r="AY1660" i="7"/>
  <c r="AY1340" i="7"/>
  <c r="AY2253" i="7"/>
  <c r="AY695" i="7"/>
  <c r="AY1437" i="7"/>
  <c r="AY1314" i="7"/>
  <c r="AY2045" i="7"/>
  <c r="AY1539" i="7"/>
  <c r="AY1613" i="7"/>
  <c r="AY505" i="7"/>
  <c r="AY980" i="7"/>
  <c r="AY1476" i="7"/>
  <c r="AY1793" i="7"/>
  <c r="AY1449" i="7"/>
  <c r="AY339" i="7"/>
  <c r="AY1805" i="7"/>
  <c r="AY1443" i="7"/>
  <c r="AY668" i="7"/>
  <c r="AY1122" i="7"/>
  <c r="AY362" i="7"/>
  <c r="AY2189" i="7"/>
  <c r="AY679" i="7"/>
  <c r="AY691" i="7"/>
  <c r="AY2056" i="7"/>
  <c r="AY461" i="7"/>
  <c r="AY1487" i="7"/>
  <c r="AY2036" i="7"/>
  <c r="AY2114" i="7"/>
  <c r="AY380" i="7"/>
  <c r="AY1658" i="7"/>
  <c r="AY2159" i="7"/>
  <c r="AY1013" i="7"/>
  <c r="AY655" i="7"/>
  <c r="AY1143" i="7"/>
  <c r="AY692" i="7"/>
  <c r="AY618" i="7"/>
  <c r="AY2080" i="7"/>
  <c r="AY1240" i="7"/>
  <c r="AY1758" i="7"/>
  <c r="AY1899" i="7"/>
  <c r="AY2271" i="7"/>
  <c r="AY1802" i="7"/>
  <c r="AY128" i="7"/>
  <c r="AY2142" i="7"/>
  <c r="AY869" i="7"/>
  <c r="AY1362" i="7"/>
  <c r="AY829" i="7"/>
  <c r="AY1379" i="7"/>
  <c r="AY500" i="7"/>
  <c r="AY493" i="7"/>
  <c r="AY1325" i="7"/>
  <c r="AY1129" i="7"/>
  <c r="AY1562" i="7"/>
  <c r="AY1682" i="7"/>
  <c r="AY556" i="7"/>
  <c r="AY1418" i="7"/>
  <c r="AY1053" i="7"/>
  <c r="AY2076" i="7"/>
  <c r="AY746" i="7"/>
  <c r="AY1227" i="7"/>
  <c r="AY1303" i="7"/>
  <c r="AY1716" i="7"/>
  <c r="AY2206" i="7"/>
  <c r="AY844" i="7"/>
  <c r="AY1545" i="7"/>
  <c r="AY392" i="7"/>
  <c r="AY743" i="7"/>
  <c r="AY1817" i="7"/>
  <c r="AY2127" i="7"/>
  <c r="AY892" i="7"/>
  <c r="AY1228" i="7"/>
  <c r="AY1589" i="7"/>
  <c r="AY139" i="7"/>
  <c r="AY138" i="7"/>
  <c r="AY196" i="7"/>
  <c r="AY197" i="7"/>
  <c r="AY195" i="7"/>
  <c r="AY1727" i="7"/>
  <c r="AY1328" i="7"/>
  <c r="AY923" i="7"/>
  <c r="AY457" i="7"/>
  <c r="AY1608" i="7"/>
  <c r="AY1304" i="7"/>
  <c r="AY1287" i="7"/>
  <c r="AY1762" i="7"/>
  <c r="AY189" i="7"/>
  <c r="AY1416" i="7"/>
  <c r="AY718" i="7"/>
  <c r="AY673" i="7"/>
  <c r="AY737" i="7"/>
  <c r="AY924" i="7"/>
  <c r="AY1177" i="7"/>
  <c r="AY1842" i="7"/>
  <c r="AY835" i="7"/>
  <c r="AY1441" i="7"/>
  <c r="AY499" i="7"/>
  <c r="AY2015" i="7"/>
  <c r="AY1331" i="7"/>
  <c r="AY1318" i="7"/>
  <c r="AY2102" i="7"/>
  <c r="AY1196" i="7"/>
  <c r="AY277" i="7"/>
  <c r="AY687" i="7"/>
  <c r="AY579" i="7"/>
  <c r="AY1057" i="7"/>
  <c r="AY1642" i="7"/>
  <c r="AY1821" i="7"/>
  <c r="AY715" i="7"/>
  <c r="AY1754" i="7"/>
  <c r="AY1384" i="7"/>
  <c r="AY698" i="7"/>
  <c r="AY1398" i="7"/>
  <c r="AY934" i="7"/>
  <c r="AY1740" i="7"/>
  <c r="AY2146" i="7"/>
  <c r="AY302" i="7"/>
  <c r="AY627" i="7"/>
  <c r="AY870" i="7"/>
  <c r="AY1373" i="7"/>
  <c r="AY1124" i="7"/>
  <c r="AY1173" i="7"/>
  <c r="AY1900" i="7"/>
  <c r="AY1380" i="7"/>
  <c r="AY1518" i="7"/>
  <c r="AY555" i="7"/>
  <c r="AY329" i="7"/>
  <c r="AY1410" i="7"/>
  <c r="AY553" i="7"/>
  <c r="AY644" i="7"/>
  <c r="AY1946" i="7"/>
  <c r="AY1677" i="7"/>
  <c r="AY575" i="7"/>
  <c r="AY711" i="7"/>
  <c r="AY1672" i="7"/>
  <c r="AY307" i="7"/>
  <c r="AY8" i="7"/>
  <c r="AY305" i="7"/>
  <c r="AY1467" i="7"/>
  <c r="AY2265" i="7"/>
  <c r="AY634" i="7"/>
  <c r="AY931" i="7"/>
  <c r="AY1251" i="7"/>
  <c r="AY1488" i="7"/>
  <c r="AY1584" i="7"/>
  <c r="AY1599" i="7"/>
  <c r="AY702" i="7"/>
  <c r="AY2251" i="7"/>
  <c r="AY1527" i="7"/>
  <c r="AY2066" i="7"/>
  <c r="AY1311" i="7"/>
  <c r="AY1400" i="7"/>
  <c r="AY496" i="7"/>
  <c r="AY1363" i="7"/>
  <c r="AY694" i="7"/>
  <c r="AY985" i="7"/>
  <c r="AY359" i="7"/>
  <c r="AY2091" i="7"/>
  <c r="AY936" i="7"/>
  <c r="AY2088" i="7"/>
  <c r="AY2262" i="7"/>
  <c r="AY1142" i="7"/>
  <c r="AY1929" i="7"/>
  <c r="AY957" i="7"/>
  <c r="AY1833" i="7"/>
  <c r="AY239" i="7"/>
  <c r="AY678" i="7"/>
  <c r="AY922" i="7"/>
  <c r="AY681" i="7"/>
  <c r="AY788" i="7"/>
  <c r="AY1848" i="7"/>
  <c r="AY1192" i="7"/>
  <c r="AY847" i="7"/>
  <c r="AY1558" i="7"/>
  <c r="AY1847" i="7"/>
  <c r="AY2205" i="7"/>
  <c r="AY1816" i="7"/>
  <c r="AY432" i="7"/>
  <c r="AY1906" i="7"/>
  <c r="AY1668" i="7"/>
  <c r="AY2245" i="7"/>
  <c r="AY1934" i="7"/>
  <c r="AY778" i="7"/>
  <c r="AY897" i="7"/>
  <c r="AY1987" i="7"/>
  <c r="AY1781" i="7"/>
  <c r="AY1490" i="7"/>
  <c r="AY1646" i="7"/>
  <c r="AY1460" i="7"/>
  <c r="AY1480" i="7"/>
  <c r="AY1659" i="7"/>
  <c r="AY728" i="7"/>
  <c r="AY1641" i="7"/>
  <c r="AY1932" i="7"/>
  <c r="AY291" i="7"/>
  <c r="AY1786" i="7"/>
  <c r="AY398" i="7"/>
  <c r="AY1312" i="7"/>
  <c r="AY2274" i="7"/>
  <c r="AY2227" i="7"/>
  <c r="AY2090" i="7"/>
  <c r="AY1862" i="7"/>
  <c r="AY1447" i="7"/>
  <c r="AY629" i="7"/>
  <c r="AY2252" i="7"/>
  <c r="AY2272" i="7"/>
  <c r="AY1719" i="7"/>
  <c r="AY503" i="7"/>
  <c r="AY6" i="7"/>
  <c r="AY2120" i="7"/>
  <c r="AY2074" i="7"/>
  <c r="AY1152" i="7"/>
  <c r="AY1943" i="7"/>
  <c r="AY68" i="7"/>
  <c r="AY1462" i="7"/>
  <c r="AY741" i="7"/>
  <c r="AY1383" i="7"/>
  <c r="AY406" i="7"/>
  <c r="AY925" i="7"/>
  <c r="AY1638" i="7"/>
  <c r="AY1866" i="7"/>
  <c r="AY2131" i="7"/>
  <c r="AY2075" i="7"/>
  <c r="AY2277" i="7"/>
  <c r="AY1008" i="7"/>
  <c r="AY2093" i="7"/>
  <c r="AY1790" i="7"/>
  <c r="AY538" i="7"/>
  <c r="AY2259" i="7"/>
  <c r="AY2047" i="7"/>
  <c r="AY478" i="7"/>
  <c r="AY1159" i="7"/>
  <c r="AY2193" i="7"/>
  <c r="AY276" i="7"/>
  <c r="AY1666" i="7"/>
  <c r="AY341" i="7"/>
  <c r="AY1776" i="7"/>
  <c r="AY214" i="7"/>
  <c r="AY2108" i="7"/>
  <c r="AY1849" i="7"/>
  <c r="AY729" i="7"/>
  <c r="AY812" i="7"/>
  <c r="AY1924" i="7"/>
  <c r="AY533" i="7"/>
  <c r="AY1670" i="7"/>
  <c r="AY831" i="7"/>
  <c r="AY1225" i="7"/>
  <c r="AY364" i="7"/>
  <c r="AY2122" i="7"/>
  <c r="AY860" i="7"/>
  <c r="AY386" i="7"/>
  <c r="AY363" i="7"/>
  <c r="AY2081" i="7"/>
  <c r="AY1475" i="7"/>
  <c r="AY1764" i="7"/>
  <c r="AY2099" i="7"/>
  <c r="AY1166" i="7"/>
  <c r="AY2117" i="7"/>
  <c r="AY99" i="7"/>
  <c r="AY2230" i="7"/>
  <c r="AY725" i="7"/>
  <c r="AY1009" i="7"/>
  <c r="AY2101" i="7"/>
  <c r="AY2232" i="7"/>
  <c r="AY537" i="7"/>
  <c r="AY1183" i="7"/>
  <c r="AY896" i="7"/>
  <c r="AY1399" i="7"/>
  <c r="AY2112" i="7"/>
  <c r="AY2175" i="7"/>
  <c r="AY2208" i="7"/>
  <c r="AY1385" i="7"/>
  <c r="AY357" i="7"/>
  <c r="AY1623" i="7"/>
  <c r="AY2233" i="7"/>
  <c r="AY1751" i="7"/>
  <c r="AY407" i="7"/>
  <c r="AY2153" i="7"/>
  <c r="AY2162" i="7"/>
  <c r="AY2195" i="7"/>
  <c r="AY2145" i="7"/>
  <c r="AY852" i="7"/>
  <c r="AY2132" i="7"/>
  <c r="AY1652" i="7"/>
  <c r="AY502" i="7"/>
  <c r="AY1893" i="7"/>
  <c r="AY745" i="7"/>
  <c r="AY1391" i="7"/>
  <c r="AY1840" i="7"/>
  <c r="AY1444" i="7"/>
  <c r="AY909" i="7"/>
  <c r="AY345" i="7"/>
  <c r="AY558" i="7"/>
  <c r="AY1814" i="7"/>
  <c r="AY2087" i="7"/>
  <c r="AY1867" i="7"/>
  <c r="AY1800" i="7"/>
  <c r="AY405" i="7"/>
  <c r="AY1495" i="7"/>
  <c r="AY1439" i="7"/>
  <c r="AY2086" i="7"/>
  <c r="AY279" i="7"/>
  <c r="AY1714" i="7"/>
  <c r="AY375" i="7"/>
  <c r="AY1865" i="7"/>
  <c r="AY1846" i="7"/>
  <c r="AY2178" i="7"/>
  <c r="AY1538" i="7"/>
  <c r="AY1631" i="7"/>
  <c r="AY2207" i="7"/>
  <c r="AY920" i="7"/>
  <c r="AY117" i="7"/>
  <c r="AY1907" i="7"/>
  <c r="AY1657" i="7"/>
  <c r="AY1624" i="7"/>
  <c r="AY1890" i="7"/>
  <c r="AY2254" i="7"/>
  <c r="AY1633" i="7"/>
  <c r="AY2194" i="7"/>
  <c r="AY1396" i="7"/>
  <c r="AY1002" i="7"/>
  <c r="AY1861" i="7"/>
  <c r="AY256" i="7"/>
  <c r="AY2257" i="7"/>
  <c r="AY310" i="7"/>
  <c r="AY2260" i="7"/>
  <c r="AY2092" i="7"/>
  <c r="AY2116" i="7"/>
  <c r="AX2202" i="7"/>
  <c r="AX941" i="7"/>
  <c r="AX218" i="7"/>
  <c r="AX215" i="7"/>
  <c r="AX219" i="7"/>
  <c r="AX222" i="7"/>
  <c r="AX216" i="7"/>
  <c r="AX220" i="7"/>
  <c r="AX221" i="7"/>
  <c r="AX217" i="7"/>
  <c r="AX1902" i="7"/>
  <c r="AX2198" i="7"/>
  <c r="AX2201" i="7"/>
  <c r="AX2094" i="7"/>
  <c r="AX1858" i="7"/>
  <c r="AX2097" i="7"/>
  <c r="AX1406" i="7"/>
  <c r="AX1857" i="7"/>
  <c r="AX2028" i="7"/>
  <c r="AX1651" i="7"/>
  <c r="AX1936" i="7"/>
  <c r="AX1784" i="7"/>
  <c r="AX2069" i="7"/>
  <c r="AX1405" i="7"/>
  <c r="AX1908" i="7"/>
  <c r="AX1845" i="7"/>
  <c r="AX1045" i="7"/>
  <c r="AX2096" i="7"/>
  <c r="AX646" i="7"/>
  <c r="AX2095" i="7"/>
  <c r="AX1696" i="7"/>
  <c r="AX1549" i="7"/>
  <c r="AX1773" i="7"/>
  <c r="AX2255" i="7"/>
  <c r="AX1338" i="7"/>
  <c r="AX1938" i="7"/>
  <c r="AX748" i="7"/>
  <c r="AX1236" i="7"/>
  <c r="AX1158" i="7"/>
  <c r="AX1179" i="7"/>
  <c r="AX1809" i="7"/>
  <c r="AX1345" i="7"/>
  <c r="AX2051" i="7"/>
  <c r="AX1214" i="7"/>
  <c r="AX1572" i="7"/>
  <c r="AX2147" i="7"/>
  <c r="AX2176" i="7"/>
  <c r="AX1407" i="7"/>
  <c r="AX1452" i="7"/>
  <c r="AX1691" i="7"/>
  <c r="AX1298" i="7"/>
  <c r="AX2200" i="7"/>
  <c r="AX881" i="7"/>
  <c r="AX1224" i="7"/>
  <c r="AX252" i="7"/>
  <c r="AX759" i="7"/>
  <c r="AX1051" i="7"/>
  <c r="AX1684" i="7"/>
  <c r="AX680" i="7"/>
  <c r="AX1647" i="7"/>
  <c r="AX1062" i="7"/>
  <c r="AX1945" i="7"/>
  <c r="AX1453" i="7"/>
  <c r="AX2008" i="7"/>
  <c r="AX1421" i="7"/>
  <c r="AX1892" i="7"/>
  <c r="AX871" i="7"/>
  <c r="AX1023" i="7"/>
  <c r="AX882" i="7"/>
  <c r="AX1995" i="7"/>
  <c r="AX1060" i="7"/>
  <c r="AX1231" i="7"/>
  <c r="AX1872" i="7"/>
  <c r="AX821" i="7"/>
  <c r="AX1285" i="7"/>
  <c r="AX1859" i="7"/>
  <c r="AX1178" i="7"/>
  <c r="AX986" i="7"/>
  <c r="AX289" i="7"/>
  <c r="AX1721" i="7"/>
  <c r="AX1482" i="7"/>
  <c r="AX2167" i="7"/>
  <c r="AX1035" i="7"/>
  <c r="AX1951" i="7"/>
  <c r="AX888" i="7"/>
  <c r="AX580" i="7"/>
  <c r="AX1501" i="7"/>
  <c r="AX1194" i="7"/>
  <c r="AX1247" i="7"/>
  <c r="AX1445" i="7"/>
  <c r="AX738" i="7"/>
  <c r="AX2049" i="7"/>
  <c r="AX697" i="7"/>
  <c r="AX1180" i="7"/>
  <c r="AX559" i="7"/>
  <c r="AX1030" i="7"/>
  <c r="AX836" i="7"/>
  <c r="AX562" i="7"/>
  <c r="AX2171" i="7"/>
  <c r="AX1856" i="7"/>
  <c r="AX960" i="7"/>
  <c r="AX839" i="7"/>
  <c r="AX2057" i="7"/>
  <c r="AX1937" i="7"/>
  <c r="AX865" i="7"/>
  <c r="AX820" i="7"/>
  <c r="AX1169" i="7"/>
  <c r="AX2052" i="7"/>
  <c r="AX2139" i="7"/>
  <c r="AX858" i="7"/>
  <c r="AX2105" i="7"/>
  <c r="AX251" i="7"/>
  <c r="AX744" i="7"/>
  <c r="AX1423" i="7"/>
  <c r="AX1739" i="7"/>
  <c r="AX1376" i="7"/>
  <c r="AX1546" i="7"/>
  <c r="AX783" i="7"/>
  <c r="AX1969" i="7"/>
  <c r="AX1687" i="7"/>
  <c r="AX294" i="7"/>
  <c r="AX621" i="7"/>
  <c r="AX1621" i="7"/>
  <c r="AX1620" i="7"/>
  <c r="AX625" i="7"/>
  <c r="AX253" i="7"/>
  <c r="AX2134" i="7"/>
  <c r="AX319" i="7"/>
  <c r="AX1697" i="7"/>
  <c r="AX1413" i="7"/>
  <c r="AX1499" i="7"/>
  <c r="AX1685" i="7"/>
  <c r="AX1429" i="7"/>
  <c r="AX1195" i="7"/>
  <c r="AX710" i="7"/>
  <c r="AX1220" i="7"/>
  <c r="AX1084" i="7"/>
  <c r="AX1871" i="7"/>
  <c r="AX1920" i="7"/>
  <c r="AX1290" i="7"/>
  <c r="AX361" i="7"/>
  <c r="AX384" i="7"/>
  <c r="AX385" i="7"/>
  <c r="AX383" i="7"/>
  <c r="AX382" i="7"/>
  <c r="AX410" i="7"/>
  <c r="AX408" i="7"/>
  <c r="AX418" i="7"/>
  <c r="AX419" i="7"/>
  <c r="AX465" i="7"/>
  <c r="AX907" i="7"/>
  <c r="AX596" i="7"/>
  <c r="AX1254" i="7"/>
  <c r="AX1728" i="7"/>
  <c r="AX1944" i="7"/>
  <c r="AX1496" i="7"/>
  <c r="AX757" i="7"/>
  <c r="AX1578" i="7"/>
  <c r="AX2089" i="7"/>
  <c r="AX79" i="7"/>
  <c r="AX102" i="7"/>
  <c r="AX101" i="7"/>
  <c r="AX2022" i="7"/>
  <c r="AX1874" i="7"/>
  <c r="AX1737" i="7"/>
  <c r="AX80" i="7"/>
  <c r="AX82" i="7"/>
  <c r="AX81" i="7"/>
  <c r="AX100" i="7"/>
  <c r="AX103" i="7"/>
  <c r="AX1961" i="7"/>
  <c r="AX630" i="7"/>
  <c r="AX622" i="7"/>
  <c r="AX1446" i="7"/>
  <c r="AX381" i="7"/>
  <c r="AX1156" i="7"/>
  <c r="AX1778" i="7"/>
  <c r="AX780" i="7"/>
  <c r="AX595" i="7"/>
  <c r="AX1349" i="7"/>
  <c r="AX265" i="7"/>
  <c r="AX1176" i="7"/>
  <c r="AX1284" i="7"/>
  <c r="AX982" i="7"/>
  <c r="AX811" i="7"/>
  <c r="AX1186" i="7"/>
  <c r="AX331" i="7"/>
  <c r="AX1055" i="7"/>
  <c r="AX1200" i="7"/>
  <c r="AX1432" i="7"/>
  <c r="AX1168" i="7"/>
  <c r="AX2128" i="7"/>
  <c r="AX1082" i="7"/>
  <c r="AX2282" i="7"/>
  <c r="AX1288" i="7"/>
  <c r="AX249" i="7"/>
  <c r="AX316" i="7"/>
  <c r="AX640" i="7"/>
  <c r="AX765" i="7"/>
  <c r="AX1514" i="7"/>
  <c r="AX245" i="7"/>
  <c r="AX1068" i="7"/>
  <c r="AX1263" i="7"/>
  <c r="AX1269" i="7"/>
  <c r="AX1350" i="7"/>
  <c r="AX561" i="7"/>
  <c r="AX1940" i="7"/>
  <c r="AX409" i="7"/>
  <c r="AX427" i="7"/>
  <c r="AX424" i="7"/>
  <c r="AX429" i="7"/>
  <c r="AX421" i="7"/>
  <c r="AX585" i="7"/>
  <c r="AX2161" i="7"/>
  <c r="AX2098" i="7"/>
  <c r="AX1688" i="7"/>
  <c r="AX1941" i="7"/>
  <c r="AX1491" i="7"/>
  <c r="AX1243" i="7"/>
  <c r="AX1630" i="7"/>
  <c r="AX912" i="7"/>
  <c r="AX792" i="7"/>
  <c r="AX1024" i="7"/>
  <c r="AX141" i="7"/>
  <c r="AX213" i="7"/>
  <c r="AX1074" i="7"/>
  <c r="AX826" i="7"/>
  <c r="AX1942" i="7"/>
  <c r="AX144" i="7"/>
  <c r="AX1612" i="7"/>
  <c r="AX1607" i="7"/>
  <c r="AX1239" i="7"/>
  <c r="AX1403" i="7"/>
  <c r="AX1498" i="7"/>
  <c r="AX2111" i="7"/>
  <c r="AX55" i="7"/>
  <c r="AX814" i="7"/>
  <c r="AX1910" i="7"/>
  <c r="AX471" i="7"/>
  <c r="AX1911" i="7"/>
  <c r="AX1502" i="7"/>
  <c r="AX2199" i="7"/>
  <c r="AX1648" i="7"/>
  <c r="AX1109" i="7"/>
  <c r="AX1955" i="7"/>
  <c r="AX567" i="7"/>
  <c r="AX1516" i="7"/>
  <c r="AX1515" i="7"/>
  <c r="AX1984" i="7"/>
  <c r="AX1264" i="7"/>
  <c r="AX2141" i="7"/>
  <c r="AX118" i="7"/>
  <c r="AX140" i="7"/>
  <c r="AX1077" i="7"/>
  <c r="AX1305" i="7"/>
  <c r="AX1611" i="7"/>
  <c r="AX1448" i="7"/>
  <c r="AX660" i="7"/>
  <c r="AX846" i="7"/>
  <c r="AX1297" i="7"/>
  <c r="AX1237" i="7"/>
  <c r="AX464" i="7"/>
  <c r="AX961" i="7"/>
  <c r="AX1734" i="7"/>
  <c r="AX1333" i="7"/>
  <c r="AX1713" i="7"/>
  <c r="AX1854" i="7"/>
  <c r="AX449" i="7"/>
  <c r="AX487" i="7"/>
  <c r="AX1424" i="7"/>
  <c r="AX2169" i="7"/>
  <c r="AX661" i="7"/>
  <c r="AX942" i="7"/>
  <c r="AX1402" i="7"/>
  <c r="AX318" i="7"/>
  <c r="AX388" i="7"/>
  <c r="AX1125" i="7"/>
  <c r="AX1850" i="7"/>
  <c r="AX588" i="7"/>
  <c r="AX1983" i="7"/>
  <c r="AX879" i="7"/>
  <c r="AX350" i="7"/>
  <c r="AX598" i="7"/>
  <c r="AX2107" i="7"/>
  <c r="AX724" i="7"/>
  <c r="AX105" i="7"/>
  <c r="AX2061" i="7"/>
  <c r="AX1994" i="7"/>
  <c r="AX234" i="7"/>
  <c r="AX631" i="7"/>
  <c r="AX1040" i="7"/>
  <c r="AX1722" i="7"/>
  <c r="AX1732" i="7"/>
  <c r="AX2266" i="7"/>
  <c r="AX513" i="7"/>
  <c r="AX1080" i="7"/>
  <c r="AX1497" i="7"/>
  <c r="AX1935" i="7"/>
  <c r="AX2214" i="7"/>
  <c r="AX60" i="7"/>
  <c r="AX1187" i="7"/>
  <c r="AX2130" i="7"/>
  <c r="AX463" i="7"/>
  <c r="AX577" i="7"/>
  <c r="AX651" i="7"/>
  <c r="AX1036" i="7"/>
  <c r="AX1931" i="7"/>
  <c r="AX1197" i="7"/>
  <c r="AX1411" i="7"/>
  <c r="AX582" i="7"/>
  <c r="AX785" i="7"/>
  <c r="AX1206" i="7"/>
  <c r="AX2203" i="7"/>
  <c r="AX1451" i="7"/>
  <c r="AX1686" i="7"/>
  <c r="AX1547" i="7"/>
  <c r="AX1870" i="7"/>
  <c r="AX2012" i="7"/>
  <c r="AX1703" i="7"/>
  <c r="AX1127" i="7"/>
  <c r="AX205" i="7"/>
  <c r="AX1508" i="7"/>
  <c r="AX1673" i="7"/>
  <c r="AX969" i="7"/>
  <c r="AX1095" i="7"/>
  <c r="AX387" i="7"/>
  <c r="AX1775" i="7"/>
  <c r="AX1010" i="7"/>
  <c r="AX755" i="7"/>
  <c r="AX514" i="7"/>
  <c r="AX1559" i="7"/>
  <c r="AX848" i="7"/>
  <c r="AX1321" i="7"/>
  <c r="AX1950" i="7"/>
  <c r="AX2136" i="7"/>
  <c r="AX1494" i="7"/>
  <c r="AX1654" i="7"/>
  <c r="AX563" i="7"/>
  <c r="AX428" i="7"/>
  <c r="AX1308" i="7"/>
  <c r="AX48" i="7"/>
  <c r="AX1210" i="7"/>
  <c r="AX413" i="7"/>
  <c r="AX584" i="7"/>
  <c r="AX716" i="7"/>
  <c r="AX1112" i="7"/>
  <c r="AX452" i="7"/>
  <c r="AX1232" i="7"/>
  <c r="AX560" i="7"/>
  <c r="AX1889" i="7"/>
  <c r="AX653" i="7"/>
  <c r="AX1510" i="7"/>
  <c r="AX336" i="7"/>
  <c r="AX1201" i="7"/>
  <c r="AX809" i="7"/>
  <c r="AX1595" i="7"/>
  <c r="AX512" i="7"/>
  <c r="AX1171" i="7"/>
  <c r="AX1059" i="7"/>
  <c r="AX1234" i="7"/>
  <c r="AX2006" i="7"/>
  <c r="AX1838" i="7"/>
  <c r="AX2275" i="7"/>
  <c r="AX83" i="7"/>
  <c r="AX84" i="7"/>
  <c r="AX1939" i="7"/>
  <c r="AX1256" i="7"/>
  <c r="AX1977" i="7"/>
  <c r="AX236" i="7"/>
  <c r="AX230" i="7"/>
  <c r="AX228" i="7"/>
  <c r="AX231" i="7"/>
  <c r="AX227" i="7"/>
  <c r="AX224" i="7"/>
  <c r="AX225" i="7"/>
  <c r="AX226" i="7"/>
  <c r="AX1853" i="7"/>
  <c r="AX593" i="7"/>
  <c r="AX1090" i="7"/>
  <c r="AX1852" i="7"/>
  <c r="AX1971" i="7"/>
  <c r="AX1522" i="7"/>
  <c r="AX891" i="7"/>
  <c r="AX240" i="7"/>
  <c r="AX273" i="7"/>
  <c r="AX754" i="7"/>
  <c r="AX85" i="7"/>
  <c r="AX86" i="7"/>
  <c r="AX2177" i="7"/>
  <c r="AX1351" i="7"/>
  <c r="AX87" i="7"/>
  <c r="AX1026" i="7"/>
  <c r="AX209" i="7"/>
  <c r="AX1007" i="7"/>
  <c r="AX1699" i="7"/>
  <c r="AX1715" i="7"/>
  <c r="AX1215" i="7"/>
  <c r="AX1455" i="7"/>
  <c r="AX1609" i="7"/>
  <c r="AX1434" i="7"/>
  <c r="AX1876" i="7"/>
  <c r="AX600" i="7"/>
  <c r="AX2044" i="7"/>
  <c r="AX1119" i="7"/>
  <c r="AX88" i="7"/>
  <c r="AX740" i="7"/>
  <c r="AX1155" i="7"/>
  <c r="AX1096" i="7"/>
  <c r="AX282" i="7"/>
  <c r="AX1582" i="7"/>
  <c r="AX1855" i="7"/>
  <c r="AX1083" i="7"/>
  <c r="AX1213" i="7"/>
  <c r="AX764" i="7"/>
  <c r="AX52" i="7"/>
  <c r="AX943" i="7"/>
  <c r="AX1244" i="7"/>
  <c r="AX965" i="7"/>
  <c r="AX962" i="7"/>
  <c r="AX1395" i="7"/>
  <c r="AX1428" i="7"/>
  <c r="AX1596" i="7"/>
  <c r="AX1653" i="7"/>
  <c r="AX332" i="7"/>
  <c r="AX578" i="7"/>
  <c r="AX948" i="7"/>
  <c r="AX355" i="7"/>
  <c r="AX348" i="7"/>
  <c r="AX370" i="7"/>
  <c r="AX1787" i="7"/>
  <c r="AX1879" i="7"/>
  <c r="AX303" i="7"/>
  <c r="AX956" i="7"/>
  <c r="AX1070" i="7"/>
  <c r="AX1468" i="7"/>
  <c r="AX637" i="7"/>
  <c r="AX395" i="7"/>
  <c r="AX1199" i="7"/>
  <c r="AX1327" i="7"/>
  <c r="AX1337" i="7"/>
  <c r="AX24" i="7"/>
  <c r="AX50" i="7"/>
  <c r="AX1948" i="7"/>
  <c r="AX2032" i="7"/>
  <c r="AX543" i="7"/>
  <c r="AX2135" i="7"/>
  <c r="AX2229" i="7"/>
  <c r="AX787" i="7"/>
  <c r="AX1808" i="7"/>
  <c r="AX901" i="7"/>
  <c r="AX1252" i="7"/>
  <c r="AX393" i="7"/>
  <c r="AX772" i="7"/>
  <c r="AX7" i="7"/>
  <c r="AX107" i="7"/>
  <c r="AX1212" i="7"/>
  <c r="AX2238" i="7"/>
  <c r="AX1099" i="7"/>
  <c r="AX1294" i="7"/>
  <c r="AX1965" i="7"/>
  <c r="AX2104" i="7"/>
  <c r="AX919" i="7"/>
  <c r="AX1560" i="7"/>
  <c r="AX92" i="7"/>
  <c r="AX1690" i="7"/>
  <c r="AX714" i="7"/>
  <c r="AX1536" i="7"/>
  <c r="AX545" i="7"/>
  <c r="AX707" i="7"/>
  <c r="AX1184" i="7"/>
  <c r="AX2140" i="7"/>
  <c r="AX2138" i="7"/>
  <c r="AX237" i="7"/>
  <c r="AX248" i="7"/>
  <c r="AX684" i="7"/>
  <c r="AX1364" i="7"/>
  <c r="AX1674" i="7"/>
  <c r="AX89" i="7"/>
  <c r="AX51" i="7"/>
  <c r="AX2024" i="7"/>
  <c r="AX1061" i="7"/>
  <c r="AX770" i="7"/>
  <c r="AX800" i="7"/>
  <c r="AX996" i="7"/>
  <c r="AX369" i="7"/>
  <c r="AX587" i="7"/>
  <c r="AX2041" i="7"/>
  <c r="AX119" i="7"/>
  <c r="AX120" i="7"/>
  <c r="AX411" i="7"/>
  <c r="AX467" i="7"/>
  <c r="AX455" i="7"/>
  <c r="AX448" i="7"/>
  <c r="AX474" i="7"/>
  <c r="AX1054" i="7"/>
  <c r="AX1707" i="7"/>
  <c r="AX330" i="7"/>
  <c r="AX1724" i="7"/>
  <c r="AX2149" i="7"/>
  <c r="AX550" i="7"/>
  <c r="AX1770" i="7"/>
  <c r="AX1998" i="7"/>
  <c r="AX1693" i="7"/>
  <c r="AX349" i="7"/>
  <c r="AX1219" i="7"/>
  <c r="AX1794" i="7"/>
  <c r="AX262" i="7"/>
  <c r="AX1404" i="7"/>
  <c r="AX594" i="7"/>
  <c r="AX1711" i="7"/>
  <c r="AX2247" i="7"/>
  <c r="AX104" i="7"/>
  <c r="AX1649" i="7"/>
  <c r="AX576" i="7"/>
  <c r="AX807" i="7"/>
  <c r="AX290" i="7"/>
  <c r="AX607" i="7"/>
  <c r="AX2023" i="7"/>
  <c r="AX2155" i="7"/>
  <c r="AX784" i="7"/>
  <c r="AX967" i="7"/>
  <c r="AX1037" i="7"/>
  <c r="AX167" i="7"/>
  <c r="AX157" i="7"/>
  <c r="AX179" i="7"/>
  <c r="AX178" i="7"/>
  <c r="AX152" i="7"/>
  <c r="AX168" i="7"/>
  <c r="AX174" i="7"/>
  <c r="AX172" i="7"/>
  <c r="AX153" i="7"/>
  <c r="AX171" i="7"/>
  <c r="AX177" i="7"/>
  <c r="AX163" i="7"/>
  <c r="AX170" i="7"/>
  <c r="AX173" i="7"/>
  <c r="AX175" i="7"/>
  <c r="AX164" i="7"/>
  <c r="AX166" i="7"/>
  <c r="AX165" i="7"/>
  <c r="AX162" i="7"/>
  <c r="AX161" i="7"/>
  <c r="AX498" i="7"/>
  <c r="AX752" i="7"/>
  <c r="AX867" i="7"/>
  <c r="AX786" i="7"/>
  <c r="AX705" i="7"/>
  <c r="AX1223" i="7"/>
  <c r="AX1409" i="7"/>
  <c r="AX132" i="7"/>
  <c r="AX959" i="7"/>
  <c r="AX283" i="7"/>
  <c r="AX1056" i="7"/>
  <c r="AX347" i="7"/>
  <c r="AX825" i="7"/>
  <c r="AX1725" i="7"/>
  <c r="AX981" i="7"/>
  <c r="AX1209" i="7"/>
  <c r="AX479" i="7"/>
  <c r="AX360" i="7"/>
  <c r="AX995" i="7"/>
  <c r="AX1094" i="7"/>
  <c r="AX1161" i="7"/>
  <c r="AX1736" i="7"/>
  <c r="AX1953" i="7"/>
  <c r="AX356" i="7"/>
  <c r="AX2119" i="7"/>
  <c r="AX1493" i="7"/>
  <c r="AX886" i="7"/>
  <c r="AX374" i="7"/>
  <c r="AX1730" i="7"/>
  <c r="AX898" i="7"/>
  <c r="AX1695" i="7"/>
  <c r="AX837" i="7"/>
  <c r="AX1720" i="7"/>
  <c r="AX17" i="7"/>
  <c r="AX626" i="7"/>
  <c r="AX796" i="7"/>
  <c r="AX1513" i="7"/>
  <c r="AX2150" i="7"/>
  <c r="AX2151" i="7"/>
  <c r="AX1271" i="7"/>
  <c r="AX116" i="7"/>
  <c r="AX1242" i="7"/>
  <c r="AX958" i="7"/>
  <c r="AX446" i="7"/>
  <c r="AX311" i="7"/>
  <c r="AX1123" i="7"/>
  <c r="AX2196" i="7"/>
  <c r="AX26" i="7"/>
  <c r="AX27" i="7"/>
  <c r="AX28" i="7"/>
  <c r="AX29" i="7"/>
  <c r="AX30" i="7"/>
  <c r="AX31" i="7"/>
  <c r="AX32" i="7"/>
  <c r="AX33" i="7"/>
  <c r="AX34" i="7"/>
  <c r="AX35" i="7"/>
  <c r="AX36" i="7"/>
  <c r="AX37" i="7"/>
  <c r="AX38" i="7"/>
  <c r="AX39" i="7"/>
  <c r="AX40" i="7"/>
  <c r="AX41" i="7"/>
  <c r="AX659" i="7"/>
  <c r="AX2001" i="7"/>
  <c r="AX1132" i="7"/>
  <c r="AX1160" i="7"/>
  <c r="AX106" i="7"/>
  <c r="AX1531" i="7"/>
  <c r="AX254" i="7"/>
  <c r="AX122" i="7"/>
  <c r="AX565" i="7"/>
  <c r="AX1671" i="7"/>
  <c r="AX1791" i="7"/>
  <c r="AX266" i="7"/>
  <c r="AX1619" i="7"/>
  <c r="AX1174" i="7"/>
  <c r="AX970" i="7"/>
  <c r="AX376" i="7"/>
  <c r="AX1625" i="7"/>
  <c r="AX371" i="7"/>
  <c r="AX1813" i="7"/>
  <c r="AX1733" i="7"/>
  <c r="AX368" i="7"/>
  <c r="AX1042" i="7"/>
  <c r="AX771" i="7"/>
  <c r="AX2228" i="7"/>
  <c r="AX250" i="7"/>
  <c r="AX1486" i="7"/>
  <c r="AX10" i="7"/>
  <c r="AX649" i="7"/>
  <c r="AX1885" i="7"/>
  <c r="AX654" i="7"/>
  <c r="AX1250" i="7"/>
  <c r="AX1521" i="7"/>
  <c r="AX628" i="7"/>
  <c r="AX1085" i="7"/>
  <c r="AX1204" i="7"/>
  <c r="AX1759" i="7"/>
  <c r="AX532" i="7"/>
  <c r="AX650" i="7"/>
  <c r="AX856" i="7"/>
  <c r="AX994" i="7"/>
  <c r="AX1067" i="7"/>
  <c r="AX1712" i="7"/>
  <c r="AX1113" i="7"/>
  <c r="AX937" i="7"/>
  <c r="AX64" i="7"/>
  <c r="AX63" i="7"/>
  <c r="AX797" i="7"/>
  <c r="AX523" i="7"/>
  <c r="AX549" i="7"/>
  <c r="AX645" i="7"/>
  <c r="AX895" i="7"/>
  <c r="AX2280" i="7"/>
  <c r="AX1374" i="7"/>
  <c r="AX25" i="7"/>
  <c r="AX180" i="7"/>
  <c r="AX524" i="7"/>
  <c r="AX90" i="7"/>
  <c r="AX1420" i="7"/>
  <c r="AX1587" i="7"/>
  <c r="AX1352" i="7"/>
  <c r="AX1962" i="7"/>
  <c r="AX1797" i="7"/>
  <c r="AX527" i="7"/>
  <c r="AX753" i="7"/>
  <c r="AX1533" i="7"/>
  <c r="AX1542" i="7"/>
  <c r="AX158" i="7"/>
  <c r="AX712" i="7"/>
  <c r="AX333" i="7"/>
  <c r="AX890" i="7"/>
  <c r="AX1456" i="7"/>
  <c r="AX1894" i="7"/>
  <c r="AX1767" i="7"/>
  <c r="AX91" i="7"/>
  <c r="AX608" i="7"/>
  <c r="AX445" i="7"/>
  <c r="AX94" i="7"/>
  <c r="AX93" i="7"/>
  <c r="AX108" i="7"/>
  <c r="AX109" i="7"/>
  <c r="AX111" i="7"/>
  <c r="AX112" i="7"/>
  <c r="AX202" i="7"/>
  <c r="AX447" i="7"/>
  <c r="AX206" i="7"/>
  <c r="AX207" i="7"/>
  <c r="AX1079" i="7"/>
  <c r="AX636" i="7"/>
  <c r="AX983" i="7"/>
  <c r="AX477" i="7"/>
  <c r="AX756" i="7"/>
  <c r="AX129" i="7"/>
  <c r="AX246" i="7"/>
  <c r="AX1811" i="7"/>
  <c r="AX1763" i="7"/>
  <c r="AX110" i="7"/>
  <c r="AX574" i="7"/>
  <c r="AX1975" i="7"/>
  <c r="AX135" i="7"/>
  <c r="AX300" i="7"/>
  <c r="AX324" i="7"/>
  <c r="AX2237" i="7"/>
  <c r="AX183" i="7"/>
  <c r="AX182" i="7"/>
  <c r="AX184" i="7"/>
  <c r="AX185" i="7"/>
  <c r="AX176" i="7"/>
  <c r="AX181" i="7"/>
  <c r="AX304" i="7"/>
  <c r="AX548" i="7"/>
  <c r="AX113" i="7"/>
  <c r="AX1519" i="7"/>
  <c r="AX431" i="7"/>
  <c r="AX2144" i="7"/>
  <c r="AX984" i="7"/>
  <c r="AX1557" i="7"/>
  <c r="AX1801" i="7"/>
  <c r="AX1718" i="7"/>
  <c r="AX805" i="7"/>
  <c r="AX1511" i="7"/>
  <c r="AX312" i="7"/>
  <c r="AX2165" i="7"/>
  <c r="AX1752" i="7"/>
  <c r="AX2191" i="7"/>
  <c r="AX604" i="7"/>
  <c r="AX2040" i="7"/>
  <c r="AX2187" i="7"/>
  <c r="AX1044" i="7"/>
  <c r="AX2005" i="7"/>
  <c r="AX2053" i="7"/>
  <c r="AX2137" i="7"/>
  <c r="AX462" i="7"/>
  <c r="AX1208" i="7"/>
  <c r="AX1221" i="7"/>
  <c r="AX2210" i="7"/>
  <c r="AX297" i="7"/>
  <c r="AX1669" i="7"/>
  <c r="AX521" i="7"/>
  <c r="AX2270" i="7"/>
  <c r="AX223" i="7"/>
  <c r="AX1069" i="7"/>
  <c r="AX255" i="7"/>
  <c r="AX321" i="7"/>
  <c r="AX1878" i="7"/>
  <c r="AX915" i="7"/>
  <c r="AX1011" i="7"/>
  <c r="AX1198" i="7"/>
  <c r="AX619" i="7"/>
  <c r="AX1507" i="7"/>
  <c r="AX76" i="7"/>
  <c r="AX73" i="7"/>
  <c r="AX72" i="7"/>
  <c r="AX71" i="7"/>
  <c r="AX481" i="7"/>
  <c r="AX968" i="7"/>
  <c r="AX1064" i="7"/>
  <c r="AX1706" i="7"/>
  <c r="AX147" i="7"/>
  <c r="AX443" i="7"/>
  <c r="AX832" i="7"/>
  <c r="AX963" i="7"/>
  <c r="AX1114" i="7"/>
  <c r="AX1128" i="7"/>
  <c r="AX1181" i="7"/>
  <c r="AX850" i="7"/>
  <c r="AX699" i="7"/>
  <c r="AX1078" i="7"/>
  <c r="AX1015" i="7"/>
  <c r="AX815" i="7"/>
  <c r="AX1525" i="7"/>
  <c r="AX2077" i="7"/>
  <c r="AX1550" i="7"/>
  <c r="AX12" i="7"/>
  <c r="AX662" i="7"/>
  <c r="AX1532" i="7"/>
  <c r="AX1442" i="7"/>
  <c r="AX143" i="7"/>
  <c r="AX268" i="7"/>
  <c r="AX583" i="7"/>
  <c r="AX1689" i="7"/>
  <c r="AX417" i="7"/>
  <c r="AX875" i="7"/>
  <c r="AX96" i="7"/>
  <c r="AX1768" i="7"/>
  <c r="AX1627" i="7"/>
  <c r="AX1966" i="7"/>
  <c r="AX320" i="7"/>
  <c r="AX287" i="7"/>
  <c r="AX2121" i="7"/>
  <c r="AX44" i="7"/>
  <c r="AX203" i="7"/>
  <c r="AX529" i="7"/>
  <c r="AX469" i="7"/>
  <c r="AX1274" i="7"/>
  <c r="AX2242" i="7"/>
  <c r="AX134" i="7"/>
  <c r="AX20" i="7"/>
  <c r="AX1478" i="7"/>
  <c r="AX21" i="7"/>
  <c r="AX768" i="7"/>
  <c r="AX47" i="7"/>
  <c r="AX46" i="7"/>
  <c r="AX54" i="7"/>
  <c r="AX53" i="7"/>
  <c r="AX435" i="7"/>
  <c r="AX953" i="7"/>
  <c r="AX1172" i="7"/>
  <c r="AX776" i="7"/>
  <c r="AX1235" i="7"/>
  <c r="AX1815" i="7"/>
  <c r="AX354" i="7"/>
  <c r="AX1882" i="7"/>
  <c r="AX1347" i="7"/>
  <c r="AX1976" i="7"/>
  <c r="AX2188" i="7"/>
  <c r="AX1656" i="7"/>
  <c r="AX1704" i="7"/>
  <c r="AX1744" i="7"/>
  <c r="AX1990" i="7"/>
  <c r="AX2197" i="7"/>
  <c r="AX1836" i="7"/>
  <c r="AX315" i="7"/>
  <c r="AX775" i="7"/>
  <c r="AX946" i="7"/>
  <c r="AX508" i="7"/>
  <c r="AX818" i="7"/>
  <c r="AX987" i="7"/>
  <c r="AX1075" i="7"/>
  <c r="AX285" i="7"/>
  <c r="AX2231" i="7"/>
  <c r="AX433" i="7"/>
  <c r="AX777" i="7"/>
  <c r="AX1484" i="7"/>
  <c r="AX1947" i="7"/>
  <c r="AX1048" i="7"/>
  <c r="AX1544" i="7"/>
  <c r="AX1356" i="7"/>
  <c r="AX1592" i="7"/>
  <c r="AX78" i="7"/>
  <c r="AX77" i="7"/>
  <c r="AX74" i="7"/>
  <c r="AX75" i="7"/>
  <c r="AX2157" i="7"/>
  <c r="AX56" i="7"/>
  <c r="AX599" i="7"/>
  <c r="AX1825" i="7"/>
  <c r="AX721" i="7"/>
  <c r="AX1102" i="7"/>
  <c r="AX1145" i="7"/>
  <c r="AX1756" i="7"/>
  <c r="AX1804" i="7"/>
  <c r="AX1101" i="7"/>
  <c r="AX2050" i="7"/>
  <c r="AX272" i="7"/>
  <c r="AX519" i="7"/>
  <c r="AX334" i="7"/>
  <c r="AX1262" i="7"/>
  <c r="AX1540" i="7"/>
  <c r="AX664" i="7"/>
  <c r="AX1914" i="7"/>
  <c r="AX351" i="7"/>
  <c r="AX434" i="7"/>
  <c r="AX833" i="7"/>
  <c r="AX1205" i="7"/>
  <c r="AX1909" i="7"/>
  <c r="AX1915" i="7"/>
  <c r="AX1968" i="7"/>
  <c r="AX338" i="7"/>
  <c r="AX1610" i="7"/>
  <c r="AX475" i="7"/>
  <c r="AX422" i="7"/>
  <c r="AX1341" i="7"/>
  <c r="AX1551" i="7"/>
  <c r="AX1749" i="7"/>
  <c r="AX854" i="7"/>
  <c r="AX1675" i="7"/>
  <c r="AX23" i="7"/>
  <c r="AX22" i="7"/>
  <c r="AX1884" i="7"/>
  <c r="AX841" i="7"/>
  <c r="AX1463" i="7"/>
  <c r="AX1919" i="7"/>
  <c r="AX1963" i="7"/>
  <c r="AX1222" i="7"/>
  <c r="AX804" i="7"/>
  <c r="AX1293" i="7"/>
  <c r="AX472" i="7"/>
  <c r="AX438" i="7"/>
  <c r="AX1361" i="7"/>
  <c r="AX1425" i="7"/>
  <c r="AX1912" i="7"/>
  <c r="AX2258" i="7"/>
  <c r="AX480" i="7"/>
  <c r="AX843" i="7"/>
  <c r="AX899" i="7"/>
  <c r="AX1492" i="7"/>
  <c r="AX1344" i="7"/>
  <c r="AX346" i="7"/>
  <c r="AX774" i="7"/>
  <c r="AX1731" i="7"/>
  <c r="AX1978" i="7"/>
  <c r="AX801" i="7"/>
  <c r="AX1343" i="7"/>
  <c r="AX1483" i="7"/>
  <c r="AX531" i="7"/>
  <c r="AX1454" i="7"/>
  <c r="AX1692" i="7"/>
  <c r="AX590" i="7"/>
  <c r="AX2007" i="7"/>
  <c r="AX2033" i="7"/>
  <c r="AX146" i="7"/>
  <c r="AX264" i="7"/>
  <c r="AX506" i="7"/>
  <c r="AX658" i="7"/>
  <c r="AX1281" i="7"/>
  <c r="AX1461" i="7"/>
  <c r="AX1757" i="7"/>
  <c r="AX115" i="7"/>
  <c r="AX1073" i="7"/>
  <c r="AX1259" i="7"/>
  <c r="AX1535" i="7"/>
  <c r="AX1664" i="7"/>
  <c r="AX643" i="7"/>
  <c r="AX1415" i="7"/>
  <c r="AX1761" i="7"/>
  <c r="AX2268" i="7"/>
  <c r="AX552" i="7"/>
  <c r="AX2158" i="7"/>
  <c r="AX1982" i="7"/>
  <c r="AX739" i="7"/>
  <c r="AX1047" i="7"/>
  <c r="AX2071" i="7"/>
  <c r="AX570" i="7"/>
  <c r="AX1710" i="7"/>
  <c r="AX1886" i="7"/>
  <c r="AX284" i="7"/>
  <c r="AX414" i="7"/>
  <c r="AX799" i="7"/>
  <c r="AX1157" i="7"/>
  <c r="AX592" i="7"/>
  <c r="AX794" i="7"/>
  <c r="AX473" i="7"/>
  <c r="AX2027" i="7"/>
  <c r="AX511" i="7"/>
  <c r="AX1959" i="7"/>
  <c r="AX394" i="7"/>
  <c r="AX803" i="7"/>
  <c r="AX945" i="7"/>
  <c r="AX1017" i="7"/>
  <c r="AX1952" i="7"/>
  <c r="AX2037" i="7"/>
  <c r="AX751" i="7"/>
  <c r="AX1895" i="7"/>
  <c r="AX1999" i="7"/>
  <c r="AX1458" i="7"/>
  <c r="AX1789" i="7"/>
  <c r="AX439" i="7"/>
  <c r="AX1103" i="7"/>
  <c r="AX1427" i="7"/>
  <c r="AX389" i="7"/>
  <c r="AX1226" i="7"/>
  <c r="AX1216" i="7"/>
  <c r="AX9" i="7"/>
  <c r="AX242" i="7"/>
  <c r="AX1426" i="7"/>
  <c r="AX1552" i="7"/>
  <c r="AX1489" i="7"/>
  <c r="AX1265" i="7"/>
  <c r="AX1506" i="7"/>
  <c r="AX61" i="7"/>
  <c r="AX722" i="7"/>
  <c r="AX1957" i="7"/>
  <c r="AX782" i="7"/>
  <c r="AX779" i="7"/>
  <c r="AX1537" i="7"/>
  <c r="AX1500" i="7"/>
  <c r="AX442" i="7"/>
  <c r="AX566" i="7"/>
  <c r="AX1464" i="7"/>
  <c r="AX151" i="7"/>
  <c r="AX149" i="7"/>
  <c r="AX340" i="7"/>
  <c r="AX1575" i="7"/>
  <c r="AX1698" i="7"/>
  <c r="AX993" i="7"/>
  <c r="AX1766" i="7"/>
  <c r="AX358" i="7"/>
  <c r="AX1530" i="7"/>
  <c r="AX1309" i="7"/>
  <c r="AX1655" i="7"/>
  <c r="AX1933" i="7"/>
  <c r="AX2009" i="7"/>
  <c r="AX639" i="7"/>
  <c r="AX1887" i="7"/>
  <c r="AX352" i="7"/>
  <c r="AX367" i="7"/>
  <c r="AX1512" i="7"/>
  <c r="AX306" i="7"/>
  <c r="AX1230" i="7"/>
  <c r="AX1390" i="7"/>
  <c r="AX1605" i="7"/>
  <c r="AX130" i="7"/>
  <c r="AX507" i="7"/>
  <c r="AX793" i="7"/>
  <c r="AX1526" i="7"/>
  <c r="AX377" i="7"/>
  <c r="AX696" i="7"/>
  <c r="AX887" i="7"/>
  <c r="AX906" i="7"/>
  <c r="AX441" i="7"/>
  <c r="AX437" i="7"/>
  <c r="AX232" i="7"/>
  <c r="AX1065" i="7"/>
  <c r="AX1367" i="7"/>
  <c r="AX1188" i="7"/>
  <c r="AX490" i="7"/>
  <c r="AX1033" i="7"/>
  <c r="AX1360" i="7"/>
  <c r="AX1366" i="7"/>
  <c r="AX1245" i="7"/>
  <c r="AX1357" i="7"/>
  <c r="AX1313" i="7"/>
  <c r="AX2030" i="7"/>
  <c r="AX199" i="7"/>
  <c r="AX212" i="7"/>
  <c r="AX781" i="7"/>
  <c r="AX991" i="7"/>
  <c r="AX1319" i="7"/>
  <c r="AX1414" i="7"/>
  <c r="AX1355" i="7"/>
  <c r="AX1875" i="7"/>
  <c r="AX864" i="7"/>
  <c r="AX1041" i="7"/>
  <c r="AX1371" i="7"/>
  <c r="AX1520" i="7"/>
  <c r="AX1590" i="7"/>
  <c r="AX1818" i="7"/>
  <c r="AX709" i="7"/>
  <c r="AX2013" i="7"/>
  <c r="AX261" i="7"/>
  <c r="AX1541" i="7"/>
  <c r="AX1063" i="7"/>
  <c r="AX313" i="7"/>
  <c r="AX921" i="7"/>
  <c r="AX910" i="7"/>
  <c r="AX1597" i="7"/>
  <c r="AX145" i="7"/>
  <c r="AX670" i="7"/>
  <c r="AX802" i="7"/>
  <c r="AX675" i="7"/>
  <c r="AX1954" i="7"/>
  <c r="AX2156" i="7"/>
  <c r="AX1873" i="7"/>
  <c r="AX337" i="7"/>
  <c r="AX972" i="7"/>
  <c r="AX1148" i="7"/>
  <c r="AX1306" i="7"/>
  <c r="AX1217" i="7"/>
  <c r="AX1431" i="7"/>
  <c r="AX2148" i="7"/>
  <c r="AX482" i="7"/>
  <c r="AX838" i="7"/>
  <c r="AX1466" i="7"/>
  <c r="AX1680" i="7"/>
  <c r="AX314" i="7"/>
  <c r="AX1332" i="7"/>
  <c r="AX278" i="7"/>
  <c r="AX546" i="7"/>
  <c r="AX1694" i="7"/>
  <c r="AX1233" i="7"/>
  <c r="AX657" i="7"/>
  <c r="AX1153" i="7"/>
  <c r="AX667" i="7"/>
  <c r="AX894" i="7"/>
  <c r="AX2058" i="7"/>
  <c r="AX244" i="7"/>
  <c r="AX1238" i="7"/>
  <c r="AX1992" i="7"/>
  <c r="AX615" i="7"/>
  <c r="AX1021" i="7"/>
  <c r="AX1717" i="7"/>
  <c r="AX1795" i="7"/>
  <c r="AX2213" i="7"/>
  <c r="AX1806" i="7"/>
  <c r="AX1058" i="7"/>
  <c r="AX1481" i="7"/>
  <c r="AX1278" i="7"/>
  <c r="AX606" i="7"/>
  <c r="AX325" i="7"/>
  <c r="AX518" i="7"/>
  <c r="AX1266" i="7"/>
  <c r="AX425" i="7"/>
  <c r="AX1218" i="7"/>
  <c r="AX1207" i="7"/>
  <c r="AX1315" i="7"/>
  <c r="AX863" i="7"/>
  <c r="AX539" i="7"/>
  <c r="AX544" i="7"/>
  <c r="AX620" i="7"/>
  <c r="AX1991" i="7"/>
  <c r="AX97" i="7"/>
  <c r="AX2106" i="7"/>
  <c r="AX15" i="7"/>
  <c r="AX1504" i="7"/>
  <c r="AX564" i="7"/>
  <c r="AX1569" i="7"/>
  <c r="AX1249" i="7"/>
  <c r="AX2031" i="7"/>
  <c r="AX295" i="7"/>
  <c r="AX353" i="7"/>
  <c r="AX1565" i="7"/>
  <c r="AX1735" i="7"/>
  <c r="AX14" i="7"/>
  <c r="AX2133" i="7"/>
  <c r="AX2002" i="7"/>
  <c r="AX400" i="7"/>
  <c r="AX420" i="7"/>
  <c r="AX1046" i="7"/>
  <c r="AX1115" i="7"/>
  <c r="AX45" i="7"/>
  <c r="AX188" i="7"/>
  <c r="AX2010" i="7"/>
  <c r="AX148" i="7"/>
  <c r="AX979" i="7"/>
  <c r="AX1087" i="7"/>
  <c r="AX1354" i="7"/>
  <c r="AX1571" i="7"/>
  <c r="AX1604" i="7"/>
  <c r="AX1988" i="7"/>
  <c r="AX59" i="7"/>
  <c r="AX1163" i="7"/>
  <c r="AX1830" i="7"/>
  <c r="AX2017" i="7"/>
  <c r="AX1019" i="7"/>
  <c r="AX1863" i="7"/>
  <c r="AX2263" i="7"/>
  <c r="AX317" i="7"/>
  <c r="AX816" i="7"/>
  <c r="AX1307" i="7"/>
  <c r="AX2281" i="7"/>
  <c r="AX1091" i="7"/>
  <c r="AX200" i="7"/>
  <c r="AX257" i="7"/>
  <c r="AX857" i="7"/>
  <c r="AX379" i="7"/>
  <c r="AX2223" i="7"/>
  <c r="AX2073" i="7"/>
  <c r="AX271" i="7"/>
  <c r="AX57" i="7"/>
  <c r="AX58" i="7"/>
  <c r="AX713" i="7"/>
  <c r="AX1098" i="7"/>
  <c r="AX880" i="7"/>
  <c r="AX1417" i="7"/>
  <c r="AX1028" i="7"/>
  <c r="AX150" i="7"/>
  <c r="AX154" i="7"/>
  <c r="AX156" i="7"/>
  <c r="AX155" i="7"/>
  <c r="AX1120" i="7"/>
  <c r="AX1049" i="7"/>
  <c r="AX98" i="7"/>
  <c r="AX270" i="7"/>
  <c r="AX2085" i="7"/>
  <c r="AX515" i="7"/>
  <c r="AX766" i="7"/>
  <c r="AX1100" i="7"/>
  <c r="AX121" i="7"/>
  <c r="AX609" i="7"/>
  <c r="AX2035" i="7"/>
  <c r="AX2063" i="7"/>
  <c r="AX971" i="7"/>
  <c r="AX1140" i="7"/>
  <c r="AX2164" i="7"/>
  <c r="AX1137" i="7"/>
  <c r="AX1829" i="7"/>
  <c r="AX1989" i="7"/>
  <c r="AX1272" i="7"/>
  <c r="AX1561" i="7"/>
  <c r="AX2216" i="7"/>
  <c r="AX1339" i="7"/>
  <c r="AX2038" i="7"/>
  <c r="AX989" i="7"/>
  <c r="AX1676" i="7"/>
  <c r="AX2109" i="7"/>
  <c r="AX1081" i="7"/>
  <c r="AX2278" i="7"/>
  <c r="AX591" i="7"/>
  <c r="AX1683" i="7"/>
  <c r="AX1509" i="7"/>
  <c r="AX269" i="7"/>
  <c r="AX404" i="7"/>
  <c r="AX2182" i="7"/>
  <c r="AX1705" i="7"/>
  <c r="AX323" i="7"/>
  <c r="AX1133" i="7"/>
  <c r="AX275" i="7"/>
  <c r="AX1827" i="7"/>
  <c r="AX186" i="7"/>
  <c r="AX1972" i="7"/>
  <c r="AX828" i="7"/>
  <c r="AX1824" i="7"/>
  <c r="AX1477" i="7"/>
  <c r="AX1556" i="7"/>
  <c r="AX396" i="7"/>
  <c r="AX486" i="7"/>
  <c r="AX951" i="7"/>
  <c r="AX1401" i="7"/>
  <c r="AX516" i="7"/>
  <c r="AX1372" i="7"/>
  <c r="AX198" i="7"/>
  <c r="AX517" i="7"/>
  <c r="AX2011" i="7"/>
  <c r="AX2003" i="7"/>
  <c r="AX990" i="7"/>
  <c r="AX133" i="7"/>
  <c r="AX456" i="7"/>
  <c r="AX717" i="7"/>
  <c r="AX1182" i="7"/>
  <c r="AX551" i="7"/>
  <c r="AX2256" i="7"/>
  <c r="AX1202" i="7"/>
  <c r="AX1378" i="7"/>
  <c r="AX1986" i="7"/>
  <c r="AX893" i="7"/>
  <c r="AX819" i="7"/>
  <c r="AX1742" i="7"/>
  <c r="AX2185" i="7"/>
  <c r="AX124" i="7"/>
  <c r="AX123" i="7"/>
  <c r="AX1253" i="7"/>
  <c r="AX1470" i="7"/>
  <c r="AX1111" i="7"/>
  <c r="AX1662" i="7"/>
  <c r="AX280" i="7"/>
  <c r="AX258" i="7"/>
  <c r="AX43" i="7"/>
  <c r="AX2279" i="7"/>
  <c r="AX1365" i="7"/>
  <c r="AX1523" i="7"/>
  <c r="AX1760" i="7"/>
  <c r="AX1348" i="7"/>
  <c r="AX822" i="7"/>
  <c r="AX1881" i="7"/>
  <c r="AX851" i="7"/>
  <c r="AX701" i="7"/>
  <c r="AX204" i="7"/>
  <c r="AX791" i="7"/>
  <c r="AX1268" i="7"/>
  <c r="AX1566" i="7"/>
  <c r="AX2261" i="7"/>
  <c r="AX1554" i="7"/>
  <c r="AX114" i="7"/>
  <c r="AX2125" i="7"/>
  <c r="AX1960" i="7"/>
  <c r="AX663" i="7"/>
  <c r="AX1819" i="7"/>
  <c r="AX2186" i="7"/>
  <c r="AX42" i="7"/>
  <c r="AX488" i="7"/>
  <c r="AX1134" i="7"/>
  <c r="AX1430" i="7"/>
  <c r="AX1746" i="7"/>
  <c r="AX1336" i="7"/>
  <c r="AX1904" i="7"/>
  <c r="AX760" i="7"/>
  <c r="AX2166" i="7"/>
  <c r="AX201" i="7"/>
  <c r="AX597" i="7"/>
  <c r="AX798" i="7"/>
  <c r="AX1016" i="7"/>
  <c r="AX690" i="7"/>
  <c r="AX789" i="7"/>
  <c r="AX1598" i="7"/>
  <c r="AX1052" i="7"/>
  <c r="AX726" i="7"/>
  <c r="AX1877" i="7"/>
  <c r="AX855" i="7"/>
  <c r="AX2248" i="7"/>
  <c r="AX13" i="7"/>
  <c r="AX761" i="7"/>
  <c r="AX1005" i="7"/>
  <c r="AX412" i="7"/>
  <c r="AX952" i="7"/>
  <c r="AX1629" i="7"/>
  <c r="AX1743" i="7"/>
  <c r="AX208" i="7"/>
  <c r="AX900" i="7"/>
  <c r="AX1273" i="7"/>
  <c r="AX1436" i="7"/>
  <c r="AX1729" i="7"/>
  <c r="AX1755" i="7"/>
  <c r="AX390" i="7"/>
  <c r="AX2212" i="7"/>
  <c r="AX365" i="7"/>
  <c r="AX1029" i="7"/>
  <c r="AX1191" i="7"/>
  <c r="AX1296" i="7"/>
  <c r="AX1970" i="7"/>
  <c r="AX1270" i="7"/>
  <c r="AX1956" i="7"/>
  <c r="AX669" i="7"/>
  <c r="AX509" i="7"/>
  <c r="AX1291" i="7"/>
  <c r="AX1616" i="7"/>
  <c r="AX1310" i="7"/>
  <c r="AX2143" i="7"/>
  <c r="AX1602" i="7"/>
  <c r="AX1780" i="7"/>
  <c r="AX1576" i="7"/>
  <c r="AX470" i="7"/>
  <c r="AX1050" i="7"/>
  <c r="AX589" i="7"/>
  <c r="AX1107" i="7"/>
  <c r="AX1949" i="7"/>
  <c r="AX2226" i="7"/>
  <c r="AX373" i="7"/>
  <c r="AX1369" i="7"/>
  <c r="AX1473" i="7"/>
  <c r="AX1324" i="7"/>
  <c r="AX1548" i="7"/>
  <c r="AX1807" i="7"/>
  <c r="AX16" i="7"/>
  <c r="AX233" i="7"/>
  <c r="AX1301" i="7"/>
  <c r="AX1723" i="7"/>
  <c r="AX1393" i="7"/>
  <c r="AX1162" i="7"/>
  <c r="AX2183" i="7"/>
  <c r="AX1302" i="7"/>
  <c r="AX5" i="7"/>
  <c r="AX210" i="7"/>
  <c r="AX522" i="7"/>
  <c r="AX586" i="7"/>
  <c r="AX1883" i="7"/>
  <c r="AX1665" i="7"/>
  <c r="AX2065" i="7"/>
  <c r="AX988" i="7"/>
  <c r="AX2055" i="7"/>
  <c r="AX611" i="7"/>
  <c r="AX747" i="7"/>
  <c r="AX1326" i="7"/>
  <c r="AX1170" i="7"/>
  <c r="AX1368" i="7"/>
  <c r="AX1603" i="7"/>
  <c r="AX520" i="7"/>
  <c r="AX1105" i="7"/>
  <c r="AX750" i="7"/>
  <c r="AX1471" i="7"/>
  <c r="AX70" i="7"/>
  <c r="AX2269" i="7"/>
  <c r="AX1901" i="7"/>
  <c r="AX1783" i="7"/>
  <c r="AX1772" i="7"/>
  <c r="AX581" i="7"/>
  <c r="AX903" i="7"/>
  <c r="AX974" i="7"/>
  <c r="AX916" i="7"/>
  <c r="AX808" i="7"/>
  <c r="AX883" i="7"/>
  <c r="AX19" i="7"/>
  <c r="AX624" i="7"/>
  <c r="AX1820" i="7"/>
  <c r="AX1923" i="7"/>
  <c r="AX2039" i="7"/>
  <c r="AX2043" i="7"/>
  <c r="AX866" i="7"/>
  <c r="AX1387" i="7"/>
  <c r="AX1260" i="7"/>
  <c r="AX1279" i="7"/>
  <c r="AX1485" i="7"/>
  <c r="AX235" i="7"/>
  <c r="AX342" i="7"/>
  <c r="AX1283" i="7"/>
  <c r="AX1116" i="7"/>
  <c r="AX2046" i="7"/>
  <c r="AX2" i="7"/>
  <c r="AX1292" i="7"/>
  <c r="AX1996" i="7"/>
  <c r="AX1450" i="7"/>
  <c r="AX762" i="7"/>
  <c r="AX749" i="7"/>
  <c r="AX1190" i="7"/>
  <c r="AX1131" i="7"/>
  <c r="AX1382" i="7"/>
  <c r="AX862" i="7"/>
  <c r="AX1277" i="7"/>
  <c r="AX2190" i="7"/>
  <c r="AX905" i="7"/>
  <c r="AX1958" i="7"/>
  <c r="AX602" i="7"/>
  <c r="AX1868" i="7"/>
  <c r="AX736" i="7"/>
  <c r="AX806" i="7"/>
  <c r="AX1038" i="7"/>
  <c r="AX1141" i="7"/>
  <c r="AX1667" i="7"/>
  <c r="AX2154" i="7"/>
  <c r="AX769" i="7"/>
  <c r="AX1066" i="7"/>
  <c r="AX1828" i="7"/>
  <c r="AX18" i="7"/>
  <c r="AX1981" i="7"/>
  <c r="AX2168" i="7"/>
  <c r="AX2064" i="7"/>
  <c r="AX731" i="7"/>
  <c r="AX2181" i="7"/>
  <c r="AX468" i="7"/>
  <c r="AX485" i="7"/>
  <c r="AX1573" i="7"/>
  <c r="AX1835" i="7"/>
  <c r="AX683" i="7"/>
  <c r="AX1144" i="7"/>
  <c r="AX1918" i="7"/>
  <c r="AX1993" i="7"/>
  <c r="AX834" i="7"/>
  <c r="AX127" i="7"/>
  <c r="AX1286" i="7"/>
  <c r="AX671" i="7"/>
  <c r="AX904" i="7"/>
  <c r="AX1275" i="7"/>
  <c r="AX842" i="7"/>
  <c r="AX1034" i="7"/>
  <c r="AX845" i="7"/>
  <c r="AX1130" i="7"/>
  <c r="AX1822" i="7"/>
  <c r="AX1138" i="7"/>
  <c r="AX2113" i="7"/>
  <c r="AX298" i="7"/>
  <c r="AX840" i="7"/>
  <c r="AX938" i="7"/>
  <c r="AX1377" i="7"/>
  <c r="AX612" i="7"/>
  <c r="AX1014" i="7"/>
  <c r="AX1025" i="7"/>
  <c r="AX877" i="7"/>
  <c r="AX861" i="7"/>
  <c r="AX259" i="7"/>
  <c r="AX326" i="7"/>
  <c r="AX849" i="7"/>
  <c r="AX973" i="7"/>
  <c r="AX1412" i="7"/>
  <c r="AX2234" i="7"/>
  <c r="AX159" i="7"/>
  <c r="AX1189" i="7"/>
  <c r="AX322" i="7"/>
  <c r="AX672" i="7"/>
  <c r="AX998" i="7"/>
  <c r="AX1579" i="7"/>
  <c r="AX2020" i="7"/>
  <c r="AX949" i="7"/>
  <c r="AX1771" i="7"/>
  <c r="AX2249" i="7"/>
  <c r="AX868" i="7"/>
  <c r="AX1167" i="7"/>
  <c r="AX1679" i="7"/>
  <c r="AX1093" i="7"/>
  <c r="AX613" i="7"/>
  <c r="AX2084" i="7"/>
  <c r="AX2250" i="7"/>
  <c r="AX483" i="7"/>
  <c r="AX677" i="7"/>
  <c r="AX2018" i="7"/>
  <c r="AX528" i="7"/>
  <c r="AX1282" i="7"/>
  <c r="AX1334" i="7"/>
  <c r="AX1617" i="7"/>
  <c r="AX954" i="7"/>
  <c r="AX976" i="7"/>
  <c r="AX2042" i="7"/>
  <c r="AX1323" i="7"/>
  <c r="AX2209" i="7"/>
  <c r="AX2034" i="7"/>
  <c r="AX444" i="7"/>
  <c r="AX1006" i="7"/>
  <c r="AX1088" i="7"/>
  <c r="AX1358" i="7"/>
  <c r="AX459" i="7"/>
  <c r="AX296" i="7"/>
  <c r="AX610" i="7"/>
  <c r="AX2103" i="7"/>
  <c r="AX947" i="7"/>
  <c r="AX1092" i="7"/>
  <c r="AX638" i="7"/>
  <c r="AX1408" i="7"/>
  <c r="AX343" i="7"/>
  <c r="AX535" i="7"/>
  <c r="AX666" i="7"/>
  <c r="AX964" i="7"/>
  <c r="AX1126" i="7"/>
  <c r="AX1594" i="7"/>
  <c r="AX703" i="7"/>
  <c r="AX1146" i="7"/>
  <c r="AX1469" i="7"/>
  <c r="AX1577" i="7"/>
  <c r="AX1020" i="7"/>
  <c r="AX1001" i="7"/>
  <c r="AX1329" i="7"/>
  <c r="AX758" i="7"/>
  <c r="AX1394" i="7"/>
  <c r="AX366" i="7"/>
  <c r="AX1534" i="7"/>
  <c r="AX1851" i="7"/>
  <c r="AX2174" i="7"/>
  <c r="AX1568" i="7"/>
  <c r="AX876" i="7"/>
  <c r="AX1553" i="7"/>
  <c r="AX554" i="7"/>
  <c r="AX2060" i="7"/>
  <c r="AX2173" i="7"/>
  <c r="AX939" i="7"/>
  <c r="AX1359" i="7"/>
  <c r="AX1071" i="7"/>
  <c r="AX2215" i="7"/>
  <c r="AX229" i="7"/>
  <c r="AX1375" i="7"/>
  <c r="AX1386" i="7"/>
  <c r="AX2180" i="7"/>
  <c r="AX1022" i="7"/>
  <c r="AX647" i="7"/>
  <c r="AX2124" i="7"/>
  <c r="AX1149" i="7"/>
  <c r="AX1928" i="7"/>
  <c r="AX1503" i="7"/>
  <c r="AX510" i="7"/>
  <c r="AX997" i="7"/>
  <c r="AX1472" i="7"/>
  <c r="AX1753" i="7"/>
  <c r="AX190" i="7"/>
  <c r="AX623" i="7"/>
  <c r="AX1622" i="7"/>
  <c r="AX853" i="7"/>
  <c r="AX1388" i="7"/>
  <c r="AX2218" i="7"/>
  <c r="AX1039" i="7"/>
  <c r="AX1774" i="7"/>
  <c r="AX940" i="7"/>
  <c r="AX2246" i="7"/>
  <c r="AX267" i="7"/>
  <c r="AX2220" i="7"/>
  <c r="AX1709" i="7"/>
  <c r="AX2211" i="7"/>
  <c r="AX1012" i="7"/>
  <c r="AX2078" i="7"/>
  <c r="AX526" i="7"/>
  <c r="AX1810" i="7"/>
  <c r="AX1086" i="7"/>
  <c r="AX430" i="7"/>
  <c r="AX1921" i="7"/>
  <c r="AX688" i="7"/>
  <c r="AX902" i="7"/>
  <c r="AX1110" i="7"/>
  <c r="AX1353" i="7"/>
  <c r="AX2172" i="7"/>
  <c r="AX823" i="7"/>
  <c r="AX1896" i="7"/>
  <c r="AX344" i="7"/>
  <c r="AX423" i="7"/>
  <c r="AX932" i="7"/>
  <c r="AX1440" i="7"/>
  <c r="AX397" i="7"/>
  <c r="AX648" i="7"/>
  <c r="AX1626" i="7"/>
  <c r="AX260" i="7"/>
  <c r="AX767" i="7"/>
  <c r="AX495" i="7"/>
  <c r="AX635" i="7"/>
  <c r="AX1917" i="7"/>
  <c r="AX1702" i="7"/>
  <c r="AX1843" i="7"/>
  <c r="AX1574" i="7"/>
  <c r="AX1831" i="7"/>
  <c r="AX160" i="7"/>
  <c r="AX704" i="7"/>
  <c r="AX1927" i="7"/>
  <c r="AX466" i="7"/>
  <c r="AX501" i="7"/>
  <c r="AX1248" i="7"/>
  <c r="AX1891" i="7"/>
  <c r="AX2029" i="7"/>
  <c r="AX830" i="7"/>
  <c r="AX2239" i="7"/>
  <c r="AX817" i="7"/>
  <c r="AX1860" i="7"/>
  <c r="AX1121" i="7"/>
  <c r="AX1330" i="7"/>
  <c r="AX1826" i="7"/>
  <c r="AX1118" i="7"/>
  <c r="AX1681" i="7"/>
  <c r="AX1618" i="7"/>
  <c r="AX2025" i="7"/>
  <c r="AX460" i="7"/>
  <c r="AX1580" i="7"/>
  <c r="AX2110" i="7"/>
  <c r="AX1438" i="7"/>
  <c r="AX1663" i="7"/>
  <c r="AX489" i="7"/>
  <c r="AX1628" i="7"/>
  <c r="AX67" i="7"/>
  <c r="AX131" i="7"/>
  <c r="AX1076" i="7"/>
  <c r="AX1798" i="7"/>
  <c r="AX1139" i="7"/>
  <c r="AX1750" i="7"/>
  <c r="AX1570" i="7"/>
  <c r="AX1528" i="7"/>
  <c r="AX1433" i="7"/>
  <c r="AX1974" i="7"/>
  <c r="AX247" i="7"/>
  <c r="AX2264" i="7"/>
  <c r="AX573" i="7"/>
  <c r="AX453" i="7"/>
  <c r="AX813" i="7"/>
  <c r="AX1586" i="7"/>
  <c r="AX401" i="7"/>
  <c r="AX450" i="7"/>
  <c r="AX810" i="7"/>
  <c r="AX1108" i="7"/>
  <c r="AX1726" i="7"/>
  <c r="AX1459" i="7"/>
  <c r="AX1591" i="7"/>
  <c r="AX2019" i="7"/>
  <c r="AX1370" i="7"/>
  <c r="AX1913" i="7"/>
  <c r="AX2059" i="7"/>
  <c r="AX2225" i="7"/>
  <c r="AX11" i="7"/>
  <c r="AX1241" i="7"/>
  <c r="AX1803" i="7"/>
  <c r="AX2179" i="7"/>
  <c r="AX874" i="7"/>
  <c r="AX1973" i="7"/>
  <c r="AX491" i="7"/>
  <c r="AX2115" i="7"/>
  <c r="AX689" i="7"/>
  <c r="AX824" i="7"/>
  <c r="AX1117" i="7"/>
  <c r="AX3" i="7"/>
  <c r="AX126" i="7"/>
  <c r="AX125" i="7"/>
  <c r="AX192" i="7"/>
  <c r="AX572" i="7"/>
  <c r="AX1435" i="7"/>
  <c r="AX1299" i="7"/>
  <c r="AX1419" i="7"/>
  <c r="AX917" i="7"/>
  <c r="AX928" i="7"/>
  <c r="AX1839" i="7"/>
  <c r="AX193" i="7"/>
  <c r="AX187" i="7"/>
  <c r="AX191" i="7"/>
  <c r="AX440" i="7"/>
  <c r="AX617" i="7"/>
  <c r="AX700" i="7"/>
  <c r="AX950" i="7"/>
  <c r="AX1634" i="7"/>
  <c r="AX372" i="7"/>
  <c r="AX1585" i="7"/>
  <c r="AX571" i="7"/>
  <c r="AX458" i="7"/>
  <c r="AX1964" i="7"/>
  <c r="AX1564" i="7"/>
  <c r="AX1644" i="7"/>
  <c r="AX547" i="7"/>
  <c r="AX2160" i="7"/>
  <c r="AX263" i="7"/>
  <c r="AX730" i="7"/>
  <c r="AX706" i="7"/>
  <c r="AX1708" i="7"/>
  <c r="AX65" i="7"/>
  <c r="AX2067" i="7"/>
  <c r="AX69" i="7"/>
  <c r="AX288" i="7"/>
  <c r="AX301" i="7"/>
  <c r="AX908" i="7"/>
  <c r="AX1636" i="7"/>
  <c r="AX2222" i="7"/>
  <c r="AX2054" i="7"/>
  <c r="AX238" i="7"/>
  <c r="AX1645" i="7"/>
  <c r="AX632" i="7"/>
  <c r="AX719" i="7"/>
  <c r="AX1832" i="7"/>
  <c r="AX2126" i="7"/>
  <c r="AX1317" i="7"/>
  <c r="AX568" i="7"/>
  <c r="AX1812" i="7"/>
  <c r="AX66" i="7"/>
  <c r="AX2100" i="7"/>
  <c r="AX308" i="7"/>
  <c r="AX2079" i="7"/>
  <c r="AX335" i="7"/>
  <c r="AX674" i="7"/>
  <c r="AX1193" i="7"/>
  <c r="AX2235" i="7"/>
  <c r="AX1841" i="7"/>
  <c r="AX2129" i="7"/>
  <c r="AX1792" i="7"/>
  <c r="AX1543" i="7"/>
  <c r="AX1745" i="7"/>
  <c r="AX1769" i="7"/>
  <c r="AX929" i="7"/>
  <c r="AX1258" i="7"/>
  <c r="AX391" i="7"/>
  <c r="AX1678" i="7"/>
  <c r="AX605" i="7"/>
  <c r="AX918" i="7"/>
  <c r="AX1276" i="7"/>
  <c r="AX1837" i="7"/>
  <c r="AX4" i="7"/>
  <c r="AX616" i="7"/>
  <c r="AX665" i="7"/>
  <c r="AX569" i="7"/>
  <c r="AX911" i="7"/>
  <c r="AX795" i="7"/>
  <c r="AX2123" i="7"/>
  <c r="AX1457" i="7"/>
  <c r="AX1211" i="7"/>
  <c r="AX1229" i="7"/>
  <c r="AX1869" i="7"/>
  <c r="AX966" i="7"/>
  <c r="AX1980" i="7"/>
  <c r="AX2152" i="7"/>
  <c r="AX1106" i="7"/>
  <c r="AX1979" i="7"/>
  <c r="AX243" i="7"/>
  <c r="AX913" i="7"/>
  <c r="AX859" i="7"/>
  <c r="AX1097" i="7"/>
  <c r="AX1185" i="7"/>
  <c r="AX614" i="7"/>
  <c r="AX1032" i="7"/>
  <c r="AX1320" i="7"/>
  <c r="AX773" i="7"/>
  <c r="AX827" i="7"/>
  <c r="AX1104" i="7"/>
  <c r="AX2224" i="7"/>
  <c r="AX944" i="7"/>
  <c r="AX1043" i="7"/>
  <c r="AX1165" i="7"/>
  <c r="AX416" i="7"/>
  <c r="AX530" i="7"/>
  <c r="AX1926" i="7"/>
  <c r="AX2016" i="7"/>
  <c r="AX494" i="7"/>
  <c r="AX1738" i="7"/>
  <c r="AX1844" i="7"/>
  <c r="AX1392" i="7"/>
  <c r="AX975" i="7"/>
  <c r="AX1799" i="7"/>
  <c r="AX1203" i="7"/>
  <c r="AX540" i="7"/>
  <c r="AX873" i="7"/>
  <c r="AX2192" i="7"/>
  <c r="AX2062" i="7"/>
  <c r="AX1289" i="7"/>
  <c r="AX211" i="7"/>
  <c r="AX1922" i="7"/>
  <c r="AX742" i="7"/>
  <c r="AX1072" i="7"/>
  <c r="AX328" i="7"/>
  <c r="AX402" i="7"/>
  <c r="AX484" i="7"/>
  <c r="AX1639" i="7"/>
  <c r="AX2184" i="7"/>
  <c r="AX992" i="7"/>
  <c r="AX1898" i="7"/>
  <c r="AX2241" i="7"/>
  <c r="AX1342" i="7"/>
  <c r="AX194" i="7"/>
  <c r="AX1567" i="7"/>
  <c r="AX935" i="7"/>
  <c r="AX1257" i="7"/>
  <c r="AX1583" i="7"/>
  <c r="AX933" i="7"/>
  <c r="AX1916" i="7"/>
  <c r="AX136" i="7"/>
  <c r="AX2068" i="7"/>
  <c r="AX676" i="7"/>
  <c r="AX885" i="7"/>
  <c r="AX914" i="7"/>
  <c r="AX1529" i="7"/>
  <c r="AX2048" i="7"/>
  <c r="AX1322" i="7"/>
  <c r="AX525" i="7"/>
  <c r="AX1151" i="7"/>
  <c r="AX1700" i="7"/>
  <c r="AX727" i="7"/>
  <c r="AX2204" i="7"/>
  <c r="AX286" i="7"/>
  <c r="AX1985" i="7"/>
  <c r="AX1003" i="7"/>
  <c r="AX1089" i="7"/>
  <c r="AX476" i="7"/>
  <c r="AX1517" i="7"/>
  <c r="AX1905" i="7"/>
  <c r="AX1880" i="7"/>
  <c r="AX1925" i="7"/>
  <c r="AX557" i="7"/>
  <c r="AX1796" i="7"/>
  <c r="AX1661" i="7"/>
  <c r="AX1747" i="7"/>
  <c r="AX884" i="7"/>
  <c r="AX2267" i="7"/>
  <c r="AX49" i="7"/>
  <c r="AX169" i="7"/>
  <c r="AX2000" i="7"/>
  <c r="AX2236" i="7"/>
  <c r="AX1614" i="7"/>
  <c r="AX1701" i="7"/>
  <c r="AX541" i="7"/>
  <c r="AX1164" i="7"/>
  <c r="AX978" i="7"/>
  <c r="AX1606" i="7"/>
  <c r="AX137" i="7"/>
  <c r="AX733" i="7"/>
  <c r="AX872" i="7"/>
  <c r="AX1389" i="7"/>
  <c r="AX2276" i="7"/>
  <c r="AX723" i="7"/>
  <c r="AX682" i="7"/>
  <c r="AX656" i="7"/>
  <c r="AX292" i="7"/>
  <c r="AX504" i="7"/>
  <c r="AX1150" i="7"/>
  <c r="AX2118" i="7"/>
  <c r="AX1785" i="7"/>
  <c r="AX1588" i="7"/>
  <c r="AX2072" i="7"/>
  <c r="AX1004" i="7"/>
  <c r="AX693" i="7"/>
  <c r="AX536" i="7"/>
  <c r="AX1741" i="7"/>
  <c r="AX1135" i="7"/>
  <c r="AX1788" i="7"/>
  <c r="AX652" i="7"/>
  <c r="AX2217" i="7"/>
  <c r="AX274" i="7"/>
  <c r="AX241" i="7"/>
  <c r="AX734" i="7"/>
  <c r="AX1335" i="7"/>
  <c r="AX1280" i="7"/>
  <c r="AX1295" i="7"/>
  <c r="AX1765" i="7"/>
  <c r="AX299" i="7"/>
  <c r="AX930" i="7"/>
  <c r="AX735" i="7"/>
  <c r="AX1930" i="7"/>
  <c r="AX2170" i="7"/>
  <c r="AX2273" i="7"/>
  <c r="AX436" i="7"/>
  <c r="AX1650" i="7"/>
  <c r="AX1864" i="7"/>
  <c r="AX1261" i="7"/>
  <c r="AX685" i="7"/>
  <c r="AX878" i="7"/>
  <c r="AX399" i="7"/>
  <c r="AX2163" i="7"/>
  <c r="AX1581" i="7"/>
  <c r="AX1782" i="7"/>
  <c r="AX2021" i="7"/>
  <c r="AX790" i="7"/>
  <c r="AX95" i="7"/>
  <c r="AX426" i="7"/>
  <c r="AX977" i="7"/>
  <c r="AX1027" i="7"/>
  <c r="AX2083" i="7"/>
  <c r="AX2221" i="7"/>
  <c r="AX142" i="7"/>
  <c r="AX2244" i="7"/>
  <c r="AX451" i="7"/>
  <c r="AX1031" i="7"/>
  <c r="AX1300" i="7"/>
  <c r="AX542" i="7"/>
  <c r="AX601" i="7"/>
  <c r="AX1147" i="7"/>
  <c r="AX1479" i="7"/>
  <c r="AX1643" i="7"/>
  <c r="AX633" i="7"/>
  <c r="AX1474" i="7"/>
  <c r="AX534" i="7"/>
  <c r="AX1316" i="7"/>
  <c r="AX2219" i="7"/>
  <c r="AX1997" i="7"/>
  <c r="AX1255" i="7"/>
  <c r="AX999" i="7"/>
  <c r="AX1600" i="7"/>
  <c r="AX603" i="7"/>
  <c r="AX1346" i="7"/>
  <c r="AX1823" i="7"/>
  <c r="AX2026" i="7"/>
  <c r="AX686" i="7"/>
  <c r="AX2070" i="7"/>
  <c r="AX1397" i="7"/>
  <c r="AX327" i="7"/>
  <c r="AX641" i="7"/>
  <c r="AX1777" i="7"/>
  <c r="AX492" i="7"/>
  <c r="AX1465" i="7"/>
  <c r="AX1000" i="7"/>
  <c r="AX1640" i="7"/>
  <c r="AX1018" i="7"/>
  <c r="AX763" i="7"/>
  <c r="AX293" i="7"/>
  <c r="AX1637" i="7"/>
  <c r="AX62" i="7"/>
  <c r="AX720" i="7"/>
  <c r="AX1748" i="7"/>
  <c r="AX708" i="7"/>
  <c r="AX2082" i="7"/>
  <c r="AX2240" i="7"/>
  <c r="AX889" i="7"/>
  <c r="AX1967" i="7"/>
  <c r="AX955" i="7"/>
  <c r="AX1422" i="7"/>
  <c r="AX1897" i="7"/>
  <c r="AX1888" i="7"/>
  <c r="AX732" i="7"/>
  <c r="AX1601" i="7"/>
  <c r="AX2004" i="7"/>
  <c r="AX642" i="7"/>
  <c r="AX281" i="7"/>
  <c r="AX1635" i="7"/>
  <c r="AX1505" i="7"/>
  <c r="AX1779" i="7"/>
  <c r="AX1246" i="7"/>
  <c r="AX497" i="7"/>
  <c r="AX454" i="7"/>
  <c r="AX1381" i="7"/>
  <c r="AX1903" i="7"/>
  <c r="AX927" i="7"/>
  <c r="AX1563" i="7"/>
  <c r="AX926" i="7"/>
  <c r="AX1632" i="7"/>
  <c r="AX1593" i="7"/>
  <c r="AX415" i="7"/>
  <c r="AX1154" i="7"/>
  <c r="AX1524" i="7"/>
  <c r="AX1555" i="7"/>
  <c r="AX2014" i="7"/>
  <c r="AX403" i="7"/>
  <c r="AX1136" i="7"/>
  <c r="AX309" i="7"/>
  <c r="AX2243" i="7"/>
  <c r="AX1615" i="7"/>
  <c r="AX2283" i="7"/>
  <c r="AX378" i="7"/>
  <c r="AX1834" i="7"/>
  <c r="AX1267" i="7"/>
  <c r="AX1175" i="7"/>
  <c r="AX1660" i="7"/>
  <c r="AX1340" i="7"/>
  <c r="AX2253" i="7"/>
  <c r="AX695" i="7"/>
  <c r="AX1437" i="7"/>
  <c r="AX1314" i="7"/>
  <c r="AX2045" i="7"/>
  <c r="AX1539" i="7"/>
  <c r="AX1613" i="7"/>
  <c r="AX505" i="7"/>
  <c r="AX980" i="7"/>
  <c r="AX1476" i="7"/>
  <c r="AX1793" i="7"/>
  <c r="AX1449" i="7"/>
  <c r="AX339" i="7"/>
  <c r="AX1805" i="7"/>
  <c r="AX1443" i="7"/>
  <c r="AX668" i="7"/>
  <c r="AX1122" i="7"/>
  <c r="AX362" i="7"/>
  <c r="AX2189" i="7"/>
  <c r="AX679" i="7"/>
  <c r="AX691" i="7"/>
  <c r="AX2056" i="7"/>
  <c r="AX461" i="7"/>
  <c r="AX1487" i="7"/>
  <c r="AX2036" i="7"/>
  <c r="AX2114" i="7"/>
  <c r="AX380" i="7"/>
  <c r="AX1658" i="7"/>
  <c r="AX2159" i="7"/>
  <c r="AX1013" i="7"/>
  <c r="AX655" i="7"/>
  <c r="AX1143" i="7"/>
  <c r="AX692" i="7"/>
  <c r="AX618" i="7"/>
  <c r="AX2080" i="7"/>
  <c r="AX1240" i="7"/>
  <c r="AX1758" i="7"/>
  <c r="AX1899" i="7"/>
  <c r="AX2271" i="7"/>
  <c r="AX1802" i="7"/>
  <c r="AX128" i="7"/>
  <c r="AX2142" i="7"/>
  <c r="AX869" i="7"/>
  <c r="AX1362" i="7"/>
  <c r="AX829" i="7"/>
  <c r="AX1379" i="7"/>
  <c r="AX500" i="7"/>
  <c r="AX493" i="7"/>
  <c r="AX1325" i="7"/>
  <c r="AX1129" i="7"/>
  <c r="AX1562" i="7"/>
  <c r="AX1682" i="7"/>
  <c r="AX556" i="7"/>
  <c r="AX1418" i="7"/>
  <c r="AX1053" i="7"/>
  <c r="AX2076" i="7"/>
  <c r="AX746" i="7"/>
  <c r="AX1227" i="7"/>
  <c r="AX1303" i="7"/>
  <c r="AX1716" i="7"/>
  <c r="AX2206" i="7"/>
  <c r="AX844" i="7"/>
  <c r="AX1545" i="7"/>
  <c r="AX392" i="7"/>
  <c r="AX743" i="7"/>
  <c r="AX1817" i="7"/>
  <c r="AX2127" i="7"/>
  <c r="AX892" i="7"/>
  <c r="AX1228" i="7"/>
  <c r="AX1589" i="7"/>
  <c r="AX139" i="7"/>
  <c r="AX138" i="7"/>
  <c r="AX196" i="7"/>
  <c r="AX197" i="7"/>
  <c r="AX195" i="7"/>
  <c r="AX1727" i="7"/>
  <c r="AX1328" i="7"/>
  <c r="AX923" i="7"/>
  <c r="AX457" i="7"/>
  <c r="AX1608" i="7"/>
  <c r="AX1304" i="7"/>
  <c r="AX1287" i="7"/>
  <c r="AX1762" i="7"/>
  <c r="AX189" i="7"/>
  <c r="AX1416" i="7"/>
  <c r="AX718" i="7"/>
  <c r="AX673" i="7"/>
  <c r="AX737" i="7"/>
  <c r="AX924" i="7"/>
  <c r="AX1177" i="7"/>
  <c r="AX1842" i="7"/>
  <c r="AX835" i="7"/>
  <c r="AX1441" i="7"/>
  <c r="AX499" i="7"/>
  <c r="AX2015" i="7"/>
  <c r="AX1331" i="7"/>
  <c r="AX1318" i="7"/>
  <c r="AX2102" i="7"/>
  <c r="AX1196" i="7"/>
  <c r="AX277" i="7"/>
  <c r="AX687" i="7"/>
  <c r="AX579" i="7"/>
  <c r="AX1057" i="7"/>
  <c r="AX1642" i="7"/>
  <c r="AX1821" i="7"/>
  <c r="AX715" i="7"/>
  <c r="AX1754" i="7"/>
  <c r="AX1384" i="7"/>
  <c r="AX698" i="7"/>
  <c r="AX1398" i="7"/>
  <c r="AX934" i="7"/>
  <c r="AX1740" i="7"/>
  <c r="AX2146" i="7"/>
  <c r="AX302" i="7"/>
  <c r="AX627" i="7"/>
  <c r="AX870" i="7"/>
  <c r="AX1373" i="7"/>
  <c r="AX1124" i="7"/>
  <c r="AX1173" i="7"/>
  <c r="AX1900" i="7"/>
  <c r="AX1380" i="7"/>
  <c r="AX1518" i="7"/>
  <c r="AX555" i="7"/>
  <c r="AX329" i="7"/>
  <c r="AX1410" i="7"/>
  <c r="AX553" i="7"/>
  <c r="AX644" i="7"/>
  <c r="AX1946" i="7"/>
  <c r="AX1677" i="7"/>
  <c r="AX575" i="7"/>
  <c r="AX711" i="7"/>
  <c r="AX1672" i="7"/>
  <c r="AX307" i="7"/>
  <c r="AX8" i="7"/>
  <c r="AX305" i="7"/>
  <c r="AX1467" i="7"/>
  <c r="AX2265" i="7"/>
  <c r="AX634" i="7"/>
  <c r="AX931" i="7"/>
  <c r="AX1251" i="7"/>
  <c r="AX1488" i="7"/>
  <c r="AX1584" i="7"/>
  <c r="AX1599" i="7"/>
  <c r="AX702" i="7"/>
  <c r="AX2251" i="7"/>
  <c r="AX1527" i="7"/>
  <c r="AX2066" i="7"/>
  <c r="AX1311" i="7"/>
  <c r="AX1400" i="7"/>
  <c r="AX496" i="7"/>
  <c r="AX1363" i="7"/>
  <c r="AX694" i="7"/>
  <c r="AX985" i="7"/>
  <c r="AX359" i="7"/>
  <c r="AX2091" i="7"/>
  <c r="AX936" i="7"/>
  <c r="AX2088" i="7"/>
  <c r="AX2262" i="7"/>
  <c r="AX1142" i="7"/>
  <c r="AX1929" i="7"/>
  <c r="AX957" i="7"/>
  <c r="AX1833" i="7"/>
  <c r="AX239" i="7"/>
  <c r="AX678" i="7"/>
  <c r="AX922" i="7"/>
  <c r="AX681" i="7"/>
  <c r="AX788" i="7"/>
  <c r="AX1848" i="7"/>
  <c r="AX1192" i="7"/>
  <c r="AX847" i="7"/>
  <c r="AX1558" i="7"/>
  <c r="AX1847" i="7"/>
  <c r="AX2205" i="7"/>
  <c r="AX1816" i="7"/>
  <c r="AX432" i="7"/>
  <c r="AX1906" i="7"/>
  <c r="AX1668" i="7"/>
  <c r="AX2245" i="7"/>
  <c r="AX1934" i="7"/>
  <c r="AX778" i="7"/>
  <c r="AX897" i="7"/>
  <c r="AX1987" i="7"/>
  <c r="AX1781" i="7"/>
  <c r="AX1490" i="7"/>
  <c r="AX1646" i="7"/>
  <c r="AX1460" i="7"/>
  <c r="AX1480" i="7"/>
  <c r="AX1659" i="7"/>
  <c r="AX728" i="7"/>
  <c r="AX1641" i="7"/>
  <c r="AX1932" i="7"/>
  <c r="AX291" i="7"/>
  <c r="AX1786" i="7"/>
  <c r="AX398" i="7"/>
  <c r="AX1312" i="7"/>
  <c r="AX2274" i="7"/>
  <c r="AX2227" i="7"/>
  <c r="AX2090" i="7"/>
  <c r="AX1862" i="7"/>
  <c r="AX1447" i="7"/>
  <c r="AX629" i="7"/>
  <c r="AX2252" i="7"/>
  <c r="AX2272" i="7"/>
  <c r="AX1719" i="7"/>
  <c r="AX503" i="7"/>
  <c r="AX6" i="7"/>
  <c r="AX2120" i="7"/>
  <c r="AX2074" i="7"/>
  <c r="AX1152" i="7"/>
  <c r="AX1943" i="7"/>
  <c r="AX68" i="7"/>
  <c r="AX1462" i="7"/>
  <c r="AX741" i="7"/>
  <c r="AX1383" i="7"/>
  <c r="AX406" i="7"/>
  <c r="AX925" i="7"/>
  <c r="AX1638" i="7"/>
  <c r="AX1866" i="7"/>
  <c r="AX2131" i="7"/>
  <c r="AX2075" i="7"/>
  <c r="AX2277" i="7"/>
  <c r="AX1008" i="7"/>
  <c r="AX2093" i="7"/>
  <c r="AX1790" i="7"/>
  <c r="AX538" i="7"/>
  <c r="AX2259" i="7"/>
  <c r="AX2047" i="7"/>
  <c r="AX478" i="7"/>
  <c r="AX1159" i="7"/>
  <c r="AX2193" i="7"/>
  <c r="AX276" i="7"/>
  <c r="AX1666" i="7"/>
  <c r="AX341" i="7"/>
  <c r="AX1776" i="7"/>
  <c r="AX214" i="7"/>
  <c r="AX2108" i="7"/>
  <c r="AX1849" i="7"/>
  <c r="AX729" i="7"/>
  <c r="AX812" i="7"/>
  <c r="AX1924" i="7"/>
  <c r="AX533" i="7"/>
  <c r="AX1670" i="7"/>
  <c r="AX831" i="7"/>
  <c r="AX1225" i="7"/>
  <c r="AX364" i="7"/>
  <c r="AX2122" i="7"/>
  <c r="AX860" i="7"/>
  <c r="AX386" i="7"/>
  <c r="AX363" i="7"/>
  <c r="AX2081" i="7"/>
  <c r="AX1475" i="7"/>
  <c r="AX1764" i="7"/>
  <c r="AX2099" i="7"/>
  <c r="AX1166" i="7"/>
  <c r="AX2117" i="7"/>
  <c r="AX99" i="7"/>
  <c r="AX2230" i="7"/>
  <c r="AX725" i="7"/>
  <c r="AX1009" i="7"/>
  <c r="AX2101" i="7"/>
  <c r="AX2232" i="7"/>
  <c r="AX537" i="7"/>
  <c r="AX1183" i="7"/>
  <c r="AX896" i="7"/>
  <c r="AX1399" i="7"/>
  <c r="AX2112" i="7"/>
  <c r="AX2175" i="7"/>
  <c r="AX2208" i="7"/>
  <c r="AX1385" i="7"/>
  <c r="AX357" i="7"/>
  <c r="AX1623" i="7"/>
  <c r="AX2233" i="7"/>
  <c r="AX1751" i="7"/>
  <c r="AX407" i="7"/>
  <c r="AX2153" i="7"/>
  <c r="AX2162" i="7"/>
  <c r="AX2195" i="7"/>
  <c r="AX2145" i="7"/>
  <c r="AX852" i="7"/>
  <c r="AX2132" i="7"/>
  <c r="AX1652" i="7"/>
  <c r="AX502" i="7"/>
  <c r="AX1893" i="7"/>
  <c r="AX745" i="7"/>
  <c r="AX1391" i="7"/>
  <c r="AX1840" i="7"/>
  <c r="AX1444" i="7"/>
  <c r="AX909" i="7"/>
  <c r="AX345" i="7"/>
  <c r="AX558" i="7"/>
  <c r="AX1814" i="7"/>
  <c r="AX2087" i="7"/>
  <c r="AX1867" i="7"/>
  <c r="AX1800" i="7"/>
  <c r="AX405" i="7"/>
  <c r="AX1495" i="7"/>
  <c r="AX1439" i="7"/>
  <c r="AX2086" i="7"/>
  <c r="AX279" i="7"/>
  <c r="AX1714" i="7"/>
  <c r="AX375" i="7"/>
  <c r="AX1865" i="7"/>
  <c r="AX1846" i="7"/>
  <c r="AX2178" i="7"/>
  <c r="AX1538" i="7"/>
  <c r="AX1631" i="7"/>
  <c r="AX2207" i="7"/>
  <c r="AX920" i="7"/>
  <c r="AX117" i="7"/>
  <c r="AX1907" i="7"/>
  <c r="AX1657" i="7"/>
  <c r="AX1624" i="7"/>
  <c r="AX1890" i="7"/>
  <c r="AX2254" i="7"/>
  <c r="AX1633" i="7"/>
  <c r="AX2194" i="7"/>
  <c r="AX1396" i="7"/>
  <c r="AX1002" i="7"/>
  <c r="AX1861" i="7"/>
  <c r="AX256" i="7"/>
  <c r="AX2257" i="7"/>
  <c r="AX310" i="7"/>
  <c r="AX2260" i="7"/>
  <c r="AX2092" i="7"/>
  <c r="AX2116" i="7"/>
  <c r="AW2202" i="7"/>
  <c r="AW941" i="7"/>
  <c r="AW218" i="7"/>
  <c r="AW215" i="7"/>
  <c r="AW219" i="7"/>
  <c r="AW222" i="7"/>
  <c r="AW216" i="7"/>
  <c r="AW220" i="7"/>
  <c r="AW221" i="7"/>
  <c r="AW217" i="7"/>
  <c r="AW1902" i="7"/>
  <c r="AW2198" i="7"/>
  <c r="AW2201" i="7"/>
  <c r="AW2094" i="7"/>
  <c r="AW1858" i="7"/>
  <c r="AW2097" i="7"/>
  <c r="AW1406" i="7"/>
  <c r="AW1857" i="7"/>
  <c r="AW2028" i="7"/>
  <c r="AW1651" i="7"/>
  <c r="AW1936" i="7"/>
  <c r="AW1784" i="7"/>
  <c r="AW2069" i="7"/>
  <c r="AW1405" i="7"/>
  <c r="AW1908" i="7"/>
  <c r="AW1845" i="7"/>
  <c r="AW1045" i="7"/>
  <c r="AW2096" i="7"/>
  <c r="AW646" i="7"/>
  <c r="AW2095" i="7"/>
  <c r="AW1696" i="7"/>
  <c r="AW1549" i="7"/>
  <c r="AW1773" i="7"/>
  <c r="AW2255" i="7"/>
  <c r="AW1338" i="7"/>
  <c r="AW1938" i="7"/>
  <c r="AW748" i="7"/>
  <c r="AW1236" i="7"/>
  <c r="AW1158" i="7"/>
  <c r="AW1179" i="7"/>
  <c r="AW1809" i="7"/>
  <c r="AW1345" i="7"/>
  <c r="AW2051" i="7"/>
  <c r="AW1214" i="7"/>
  <c r="AW1572" i="7"/>
  <c r="AW2147" i="7"/>
  <c r="AW2176" i="7"/>
  <c r="AW1407" i="7"/>
  <c r="AW1452" i="7"/>
  <c r="AW1691" i="7"/>
  <c r="AW1298" i="7"/>
  <c r="AW2200" i="7"/>
  <c r="AW881" i="7"/>
  <c r="AW1224" i="7"/>
  <c r="AW252" i="7"/>
  <c r="AW759" i="7"/>
  <c r="AW1051" i="7"/>
  <c r="AW1684" i="7"/>
  <c r="AW680" i="7"/>
  <c r="AW1647" i="7"/>
  <c r="AW1062" i="7"/>
  <c r="AW1945" i="7"/>
  <c r="AW1453" i="7"/>
  <c r="AW2008" i="7"/>
  <c r="AW1421" i="7"/>
  <c r="AW1892" i="7"/>
  <c r="AW871" i="7"/>
  <c r="AW1023" i="7"/>
  <c r="AW882" i="7"/>
  <c r="AW1995" i="7"/>
  <c r="AW1060" i="7"/>
  <c r="AW1231" i="7"/>
  <c r="AW1872" i="7"/>
  <c r="AW821" i="7"/>
  <c r="AW1285" i="7"/>
  <c r="AW1859" i="7"/>
  <c r="AW1178" i="7"/>
  <c r="AW986" i="7"/>
  <c r="AW289" i="7"/>
  <c r="AW1721" i="7"/>
  <c r="AW1482" i="7"/>
  <c r="AW2167" i="7"/>
  <c r="AW1035" i="7"/>
  <c r="AW1951" i="7"/>
  <c r="AW888" i="7"/>
  <c r="AW580" i="7"/>
  <c r="AW1501" i="7"/>
  <c r="AW1194" i="7"/>
  <c r="AW1247" i="7"/>
  <c r="AW1445" i="7"/>
  <c r="AW738" i="7"/>
  <c r="AW2049" i="7"/>
  <c r="AW697" i="7"/>
  <c r="AW1180" i="7"/>
  <c r="AW559" i="7"/>
  <c r="AW1030" i="7"/>
  <c r="AW836" i="7"/>
  <c r="AW562" i="7"/>
  <c r="AW2171" i="7"/>
  <c r="AW1856" i="7"/>
  <c r="AW960" i="7"/>
  <c r="AW839" i="7"/>
  <c r="AW2057" i="7"/>
  <c r="AW1937" i="7"/>
  <c r="AW865" i="7"/>
  <c r="AW820" i="7"/>
  <c r="AW1169" i="7"/>
  <c r="AW2052" i="7"/>
  <c r="AW2139" i="7"/>
  <c r="AW858" i="7"/>
  <c r="AW2105" i="7"/>
  <c r="AW251" i="7"/>
  <c r="AW744" i="7"/>
  <c r="AW1423" i="7"/>
  <c r="AW1739" i="7"/>
  <c r="AW1376" i="7"/>
  <c r="AW1546" i="7"/>
  <c r="AW783" i="7"/>
  <c r="AW1969" i="7"/>
  <c r="AW1687" i="7"/>
  <c r="AW294" i="7"/>
  <c r="AW621" i="7"/>
  <c r="AW1621" i="7"/>
  <c r="AW1620" i="7"/>
  <c r="AW625" i="7"/>
  <c r="AW253" i="7"/>
  <c r="AW2134" i="7"/>
  <c r="AW319" i="7"/>
  <c r="AW1697" i="7"/>
  <c r="AW1413" i="7"/>
  <c r="AW1499" i="7"/>
  <c r="AW1685" i="7"/>
  <c r="AW1429" i="7"/>
  <c r="AW1195" i="7"/>
  <c r="AW710" i="7"/>
  <c r="AW1220" i="7"/>
  <c r="AW1084" i="7"/>
  <c r="AW1871" i="7"/>
  <c r="AW1920" i="7"/>
  <c r="AW1290" i="7"/>
  <c r="AW361" i="7"/>
  <c r="AW384" i="7"/>
  <c r="AW385" i="7"/>
  <c r="AW383" i="7"/>
  <c r="AW382" i="7"/>
  <c r="AW410" i="7"/>
  <c r="AW408" i="7"/>
  <c r="AW418" i="7"/>
  <c r="AW419" i="7"/>
  <c r="AW465" i="7"/>
  <c r="AW907" i="7"/>
  <c r="AW596" i="7"/>
  <c r="AW1254" i="7"/>
  <c r="AW1728" i="7"/>
  <c r="AW1944" i="7"/>
  <c r="AW1496" i="7"/>
  <c r="AW757" i="7"/>
  <c r="AW1578" i="7"/>
  <c r="AW2089" i="7"/>
  <c r="AW79" i="7"/>
  <c r="AW102" i="7"/>
  <c r="AW101" i="7"/>
  <c r="AW2022" i="7"/>
  <c r="AW1874" i="7"/>
  <c r="AW1737" i="7"/>
  <c r="AW80" i="7"/>
  <c r="AW82" i="7"/>
  <c r="AW81" i="7"/>
  <c r="AW100" i="7"/>
  <c r="AW103" i="7"/>
  <c r="AW1961" i="7"/>
  <c r="AW630" i="7"/>
  <c r="AW622" i="7"/>
  <c r="AW1446" i="7"/>
  <c r="AW381" i="7"/>
  <c r="AW1156" i="7"/>
  <c r="AW1778" i="7"/>
  <c r="AW780" i="7"/>
  <c r="AW595" i="7"/>
  <c r="AW1349" i="7"/>
  <c r="AW265" i="7"/>
  <c r="AW1176" i="7"/>
  <c r="AW1284" i="7"/>
  <c r="AW982" i="7"/>
  <c r="AW811" i="7"/>
  <c r="AW1186" i="7"/>
  <c r="AW331" i="7"/>
  <c r="AW1055" i="7"/>
  <c r="AW1200" i="7"/>
  <c r="AW1432" i="7"/>
  <c r="AW1168" i="7"/>
  <c r="AW2128" i="7"/>
  <c r="AW1082" i="7"/>
  <c r="AW2282" i="7"/>
  <c r="AW1288" i="7"/>
  <c r="AW249" i="7"/>
  <c r="AW316" i="7"/>
  <c r="AW640" i="7"/>
  <c r="AW765" i="7"/>
  <c r="AW1514" i="7"/>
  <c r="AW245" i="7"/>
  <c r="AW1068" i="7"/>
  <c r="AW1263" i="7"/>
  <c r="AW1269" i="7"/>
  <c r="AW1350" i="7"/>
  <c r="AW561" i="7"/>
  <c r="AW1940" i="7"/>
  <c r="AW409" i="7"/>
  <c r="AW427" i="7"/>
  <c r="AW424" i="7"/>
  <c r="AW429" i="7"/>
  <c r="AW421" i="7"/>
  <c r="AW585" i="7"/>
  <c r="AW2161" i="7"/>
  <c r="AW2098" i="7"/>
  <c r="AW1688" i="7"/>
  <c r="AW1941" i="7"/>
  <c r="AW1491" i="7"/>
  <c r="AW1243" i="7"/>
  <c r="AW1630" i="7"/>
  <c r="AW912" i="7"/>
  <c r="AW792" i="7"/>
  <c r="AW1024" i="7"/>
  <c r="AW141" i="7"/>
  <c r="AW213" i="7"/>
  <c r="AW1074" i="7"/>
  <c r="AW826" i="7"/>
  <c r="AW1942" i="7"/>
  <c r="AW144" i="7"/>
  <c r="AW1612" i="7"/>
  <c r="AW1607" i="7"/>
  <c r="AW1239" i="7"/>
  <c r="AW1403" i="7"/>
  <c r="AW1498" i="7"/>
  <c r="AW2111" i="7"/>
  <c r="AW55" i="7"/>
  <c r="AW814" i="7"/>
  <c r="AW1910" i="7"/>
  <c r="AW471" i="7"/>
  <c r="AW1911" i="7"/>
  <c r="AW1502" i="7"/>
  <c r="AW2199" i="7"/>
  <c r="AW1648" i="7"/>
  <c r="AW1109" i="7"/>
  <c r="AW1955" i="7"/>
  <c r="AW567" i="7"/>
  <c r="AW1516" i="7"/>
  <c r="AW1515" i="7"/>
  <c r="AW1984" i="7"/>
  <c r="AW1264" i="7"/>
  <c r="AW2141" i="7"/>
  <c r="AW118" i="7"/>
  <c r="AW140" i="7"/>
  <c r="AW1077" i="7"/>
  <c r="AW1305" i="7"/>
  <c r="AW1611" i="7"/>
  <c r="AW1448" i="7"/>
  <c r="AW660" i="7"/>
  <c r="AW846" i="7"/>
  <c r="AW1297" i="7"/>
  <c r="AW1237" i="7"/>
  <c r="AW464" i="7"/>
  <c r="AW961" i="7"/>
  <c r="AW1734" i="7"/>
  <c r="AW1333" i="7"/>
  <c r="AW1713" i="7"/>
  <c r="AW1854" i="7"/>
  <c r="AW449" i="7"/>
  <c r="AW487" i="7"/>
  <c r="AW1424" i="7"/>
  <c r="AW2169" i="7"/>
  <c r="AW661" i="7"/>
  <c r="AW942" i="7"/>
  <c r="AW1402" i="7"/>
  <c r="AW318" i="7"/>
  <c r="AW388" i="7"/>
  <c r="AW1125" i="7"/>
  <c r="AW1850" i="7"/>
  <c r="AW588" i="7"/>
  <c r="AW1983" i="7"/>
  <c r="AW879" i="7"/>
  <c r="AW350" i="7"/>
  <c r="AW598" i="7"/>
  <c r="AW2107" i="7"/>
  <c r="AW724" i="7"/>
  <c r="AW105" i="7"/>
  <c r="AW2061" i="7"/>
  <c r="AW1994" i="7"/>
  <c r="AW234" i="7"/>
  <c r="AW631" i="7"/>
  <c r="AW1040" i="7"/>
  <c r="AW1722" i="7"/>
  <c r="AW1732" i="7"/>
  <c r="AW2266" i="7"/>
  <c r="AW513" i="7"/>
  <c r="AW1080" i="7"/>
  <c r="AW1497" i="7"/>
  <c r="AW1935" i="7"/>
  <c r="AW2214" i="7"/>
  <c r="AW60" i="7"/>
  <c r="AW1187" i="7"/>
  <c r="AW2130" i="7"/>
  <c r="AW463" i="7"/>
  <c r="AW577" i="7"/>
  <c r="AW651" i="7"/>
  <c r="AW1036" i="7"/>
  <c r="AW1931" i="7"/>
  <c r="AW1197" i="7"/>
  <c r="AW1411" i="7"/>
  <c r="AW582" i="7"/>
  <c r="AW785" i="7"/>
  <c r="AW1206" i="7"/>
  <c r="AW2203" i="7"/>
  <c r="AW1451" i="7"/>
  <c r="AW1686" i="7"/>
  <c r="AW1547" i="7"/>
  <c r="AW1870" i="7"/>
  <c r="AW2012" i="7"/>
  <c r="AW1703" i="7"/>
  <c r="AW1127" i="7"/>
  <c r="AW205" i="7"/>
  <c r="AW1508" i="7"/>
  <c r="AW1673" i="7"/>
  <c r="AW969" i="7"/>
  <c r="AW1095" i="7"/>
  <c r="AW387" i="7"/>
  <c r="AW1775" i="7"/>
  <c r="AW1010" i="7"/>
  <c r="AW755" i="7"/>
  <c r="AW514" i="7"/>
  <c r="AW1559" i="7"/>
  <c r="AW848" i="7"/>
  <c r="AW1321" i="7"/>
  <c r="AW1950" i="7"/>
  <c r="AW2136" i="7"/>
  <c r="AW1494" i="7"/>
  <c r="AW1654" i="7"/>
  <c r="AW563" i="7"/>
  <c r="AW428" i="7"/>
  <c r="AW1308" i="7"/>
  <c r="AW48" i="7"/>
  <c r="AW1210" i="7"/>
  <c r="AW413" i="7"/>
  <c r="AW584" i="7"/>
  <c r="AW716" i="7"/>
  <c r="AW1112" i="7"/>
  <c r="AW452" i="7"/>
  <c r="AW1232" i="7"/>
  <c r="AW560" i="7"/>
  <c r="AW1889" i="7"/>
  <c r="AW653" i="7"/>
  <c r="AW1510" i="7"/>
  <c r="AW336" i="7"/>
  <c r="AW1201" i="7"/>
  <c r="AW809" i="7"/>
  <c r="AW1595" i="7"/>
  <c r="AW512" i="7"/>
  <c r="AW1171" i="7"/>
  <c r="AW1059" i="7"/>
  <c r="AW1234" i="7"/>
  <c r="AW2006" i="7"/>
  <c r="AW1838" i="7"/>
  <c r="AW2275" i="7"/>
  <c r="AW83" i="7"/>
  <c r="AW84" i="7"/>
  <c r="AW1939" i="7"/>
  <c r="AW1256" i="7"/>
  <c r="AW1977" i="7"/>
  <c r="AW236" i="7"/>
  <c r="AW230" i="7"/>
  <c r="AW228" i="7"/>
  <c r="AW231" i="7"/>
  <c r="AW227" i="7"/>
  <c r="AW224" i="7"/>
  <c r="AW225" i="7"/>
  <c r="AW226" i="7"/>
  <c r="AW1853" i="7"/>
  <c r="AW593" i="7"/>
  <c r="AW1090" i="7"/>
  <c r="AW1852" i="7"/>
  <c r="AW1971" i="7"/>
  <c r="AW1522" i="7"/>
  <c r="AW891" i="7"/>
  <c r="AW240" i="7"/>
  <c r="AW273" i="7"/>
  <c r="AW754" i="7"/>
  <c r="AW85" i="7"/>
  <c r="AW86" i="7"/>
  <c r="AW2177" i="7"/>
  <c r="AW1351" i="7"/>
  <c r="AW87" i="7"/>
  <c r="AW1026" i="7"/>
  <c r="AW209" i="7"/>
  <c r="AW1007" i="7"/>
  <c r="AW1699" i="7"/>
  <c r="AW1715" i="7"/>
  <c r="AW1215" i="7"/>
  <c r="AW1455" i="7"/>
  <c r="AW1609" i="7"/>
  <c r="AW1434" i="7"/>
  <c r="AW1876" i="7"/>
  <c r="AW600" i="7"/>
  <c r="AW2044" i="7"/>
  <c r="AW1119" i="7"/>
  <c r="AW88" i="7"/>
  <c r="AW740" i="7"/>
  <c r="AW1155" i="7"/>
  <c r="AW1096" i="7"/>
  <c r="AW282" i="7"/>
  <c r="AW1582" i="7"/>
  <c r="AW1855" i="7"/>
  <c r="AW1083" i="7"/>
  <c r="AW1213" i="7"/>
  <c r="AW764" i="7"/>
  <c r="AW52" i="7"/>
  <c r="AW943" i="7"/>
  <c r="AW1244" i="7"/>
  <c r="AW965" i="7"/>
  <c r="AW962" i="7"/>
  <c r="AW1395" i="7"/>
  <c r="AW1428" i="7"/>
  <c r="AW1596" i="7"/>
  <c r="AW1653" i="7"/>
  <c r="AW332" i="7"/>
  <c r="AW578" i="7"/>
  <c r="AW948" i="7"/>
  <c r="AW355" i="7"/>
  <c r="AW348" i="7"/>
  <c r="AW370" i="7"/>
  <c r="AW1787" i="7"/>
  <c r="AW1879" i="7"/>
  <c r="AW303" i="7"/>
  <c r="AW956" i="7"/>
  <c r="AW1070" i="7"/>
  <c r="AW1468" i="7"/>
  <c r="AW637" i="7"/>
  <c r="AW395" i="7"/>
  <c r="AW1199" i="7"/>
  <c r="AW1327" i="7"/>
  <c r="AW1337" i="7"/>
  <c r="AW24" i="7"/>
  <c r="AW50" i="7"/>
  <c r="AW1948" i="7"/>
  <c r="AW2032" i="7"/>
  <c r="AW543" i="7"/>
  <c r="AW2135" i="7"/>
  <c r="AW2229" i="7"/>
  <c r="AW787" i="7"/>
  <c r="AW1808" i="7"/>
  <c r="AW901" i="7"/>
  <c r="AW1252" i="7"/>
  <c r="AW393" i="7"/>
  <c r="AW772" i="7"/>
  <c r="AW7" i="7"/>
  <c r="AW107" i="7"/>
  <c r="AW1212" i="7"/>
  <c r="AW2238" i="7"/>
  <c r="AW1099" i="7"/>
  <c r="AW1294" i="7"/>
  <c r="AW1965" i="7"/>
  <c r="AW2104" i="7"/>
  <c r="AW919" i="7"/>
  <c r="AW1560" i="7"/>
  <c r="AW92" i="7"/>
  <c r="AW1690" i="7"/>
  <c r="AW714" i="7"/>
  <c r="AW1536" i="7"/>
  <c r="AW545" i="7"/>
  <c r="AW707" i="7"/>
  <c r="AW1184" i="7"/>
  <c r="AW2140" i="7"/>
  <c r="AW2138" i="7"/>
  <c r="AW237" i="7"/>
  <c r="AW248" i="7"/>
  <c r="AW684" i="7"/>
  <c r="AW1364" i="7"/>
  <c r="AW1674" i="7"/>
  <c r="AW89" i="7"/>
  <c r="AW51" i="7"/>
  <c r="AW2024" i="7"/>
  <c r="AW1061" i="7"/>
  <c r="AW770" i="7"/>
  <c r="AW800" i="7"/>
  <c r="AW996" i="7"/>
  <c r="AW369" i="7"/>
  <c r="AW587" i="7"/>
  <c r="AW2041" i="7"/>
  <c r="AW119" i="7"/>
  <c r="AW120" i="7"/>
  <c r="AW411" i="7"/>
  <c r="AW467" i="7"/>
  <c r="AW455" i="7"/>
  <c r="AW448" i="7"/>
  <c r="AW474" i="7"/>
  <c r="AW1054" i="7"/>
  <c r="AW1707" i="7"/>
  <c r="AW330" i="7"/>
  <c r="AW1724" i="7"/>
  <c r="AW2149" i="7"/>
  <c r="AW550" i="7"/>
  <c r="AW1770" i="7"/>
  <c r="AW1998" i="7"/>
  <c r="AW1693" i="7"/>
  <c r="AW349" i="7"/>
  <c r="AW1219" i="7"/>
  <c r="AW1794" i="7"/>
  <c r="AW262" i="7"/>
  <c r="AW1404" i="7"/>
  <c r="AW594" i="7"/>
  <c r="AW1711" i="7"/>
  <c r="AW2247" i="7"/>
  <c r="AW104" i="7"/>
  <c r="AW1649" i="7"/>
  <c r="AW576" i="7"/>
  <c r="AW807" i="7"/>
  <c r="AW290" i="7"/>
  <c r="AW607" i="7"/>
  <c r="AW2023" i="7"/>
  <c r="AW2155" i="7"/>
  <c r="AW784" i="7"/>
  <c r="AW967" i="7"/>
  <c r="AW1037" i="7"/>
  <c r="AW167" i="7"/>
  <c r="AW157" i="7"/>
  <c r="AW179" i="7"/>
  <c r="AW178" i="7"/>
  <c r="AW152" i="7"/>
  <c r="AW168" i="7"/>
  <c r="AW174" i="7"/>
  <c r="AW172" i="7"/>
  <c r="AW153" i="7"/>
  <c r="AW171" i="7"/>
  <c r="AW177" i="7"/>
  <c r="AW163" i="7"/>
  <c r="AW170" i="7"/>
  <c r="AW173" i="7"/>
  <c r="AW175" i="7"/>
  <c r="AW164" i="7"/>
  <c r="AW166" i="7"/>
  <c r="AW165" i="7"/>
  <c r="AW162" i="7"/>
  <c r="AW161" i="7"/>
  <c r="AW498" i="7"/>
  <c r="AW752" i="7"/>
  <c r="AW867" i="7"/>
  <c r="AW786" i="7"/>
  <c r="AW705" i="7"/>
  <c r="AW1223" i="7"/>
  <c r="AW1409" i="7"/>
  <c r="AW132" i="7"/>
  <c r="AW959" i="7"/>
  <c r="AW283" i="7"/>
  <c r="AW1056" i="7"/>
  <c r="AW347" i="7"/>
  <c r="AW825" i="7"/>
  <c r="AW1725" i="7"/>
  <c r="AW981" i="7"/>
  <c r="AW1209" i="7"/>
  <c r="AW479" i="7"/>
  <c r="AW360" i="7"/>
  <c r="AW995" i="7"/>
  <c r="AW1094" i="7"/>
  <c r="AW1161" i="7"/>
  <c r="AW1736" i="7"/>
  <c r="AW1953" i="7"/>
  <c r="AW356" i="7"/>
  <c r="AW2119" i="7"/>
  <c r="AW1493" i="7"/>
  <c r="AW886" i="7"/>
  <c r="AW374" i="7"/>
  <c r="AW1730" i="7"/>
  <c r="AW898" i="7"/>
  <c r="AW1695" i="7"/>
  <c r="AW837" i="7"/>
  <c r="AW1720" i="7"/>
  <c r="AW17" i="7"/>
  <c r="AW626" i="7"/>
  <c r="AW796" i="7"/>
  <c r="AW1513" i="7"/>
  <c r="AW2150" i="7"/>
  <c r="AW2151" i="7"/>
  <c r="AW1271" i="7"/>
  <c r="AW116" i="7"/>
  <c r="AW1242" i="7"/>
  <c r="AW958" i="7"/>
  <c r="AW446" i="7"/>
  <c r="AW311" i="7"/>
  <c r="AW1123" i="7"/>
  <c r="AW2196" i="7"/>
  <c r="AW26" i="7"/>
  <c r="AW27" i="7"/>
  <c r="AW28" i="7"/>
  <c r="AW29" i="7"/>
  <c r="AW30" i="7"/>
  <c r="AW31" i="7"/>
  <c r="AW32" i="7"/>
  <c r="AW33" i="7"/>
  <c r="AW34" i="7"/>
  <c r="AW35" i="7"/>
  <c r="AW36" i="7"/>
  <c r="AW37" i="7"/>
  <c r="AW38" i="7"/>
  <c r="AW39" i="7"/>
  <c r="AW40" i="7"/>
  <c r="AW41" i="7"/>
  <c r="AW659" i="7"/>
  <c r="AW2001" i="7"/>
  <c r="AW1132" i="7"/>
  <c r="AW1160" i="7"/>
  <c r="AW106" i="7"/>
  <c r="AW1531" i="7"/>
  <c r="AW254" i="7"/>
  <c r="AW122" i="7"/>
  <c r="AW565" i="7"/>
  <c r="AW1671" i="7"/>
  <c r="AW1791" i="7"/>
  <c r="AW266" i="7"/>
  <c r="AW1619" i="7"/>
  <c r="AW1174" i="7"/>
  <c r="AW970" i="7"/>
  <c r="AW376" i="7"/>
  <c r="AW1625" i="7"/>
  <c r="AW371" i="7"/>
  <c r="AW1813" i="7"/>
  <c r="AW1733" i="7"/>
  <c r="AW368" i="7"/>
  <c r="AW1042" i="7"/>
  <c r="AW771" i="7"/>
  <c r="AW2228" i="7"/>
  <c r="AW250" i="7"/>
  <c r="AW1486" i="7"/>
  <c r="AW10" i="7"/>
  <c r="AW649" i="7"/>
  <c r="AW1885" i="7"/>
  <c r="AW654" i="7"/>
  <c r="AW1250" i="7"/>
  <c r="AW1521" i="7"/>
  <c r="AW628" i="7"/>
  <c r="AW1085" i="7"/>
  <c r="AW1204" i="7"/>
  <c r="AW1759" i="7"/>
  <c r="AW532" i="7"/>
  <c r="AW650" i="7"/>
  <c r="AW856" i="7"/>
  <c r="AW994" i="7"/>
  <c r="AW1067" i="7"/>
  <c r="AW1712" i="7"/>
  <c r="AW1113" i="7"/>
  <c r="AW937" i="7"/>
  <c r="AW64" i="7"/>
  <c r="AW63" i="7"/>
  <c r="AW797" i="7"/>
  <c r="AW523" i="7"/>
  <c r="AW549" i="7"/>
  <c r="AW645" i="7"/>
  <c r="AW895" i="7"/>
  <c r="AW2280" i="7"/>
  <c r="AW1374" i="7"/>
  <c r="AW25" i="7"/>
  <c r="AW180" i="7"/>
  <c r="AW524" i="7"/>
  <c r="AW90" i="7"/>
  <c r="AW1420" i="7"/>
  <c r="AW1587" i="7"/>
  <c r="AW1352" i="7"/>
  <c r="AW1962" i="7"/>
  <c r="AW1797" i="7"/>
  <c r="AW527" i="7"/>
  <c r="AW753" i="7"/>
  <c r="AW1533" i="7"/>
  <c r="AW1542" i="7"/>
  <c r="AW158" i="7"/>
  <c r="AW712" i="7"/>
  <c r="AW333" i="7"/>
  <c r="AW890" i="7"/>
  <c r="AW1456" i="7"/>
  <c r="AW1894" i="7"/>
  <c r="AW1767" i="7"/>
  <c r="AW91" i="7"/>
  <c r="AW608" i="7"/>
  <c r="AW445" i="7"/>
  <c r="AW94" i="7"/>
  <c r="AW93" i="7"/>
  <c r="AW108" i="7"/>
  <c r="AW109" i="7"/>
  <c r="AW111" i="7"/>
  <c r="AW112" i="7"/>
  <c r="AW202" i="7"/>
  <c r="AW447" i="7"/>
  <c r="AW206" i="7"/>
  <c r="AW207" i="7"/>
  <c r="AW1079" i="7"/>
  <c r="AW636" i="7"/>
  <c r="AW983" i="7"/>
  <c r="AW477" i="7"/>
  <c r="AW756" i="7"/>
  <c r="AW129" i="7"/>
  <c r="AW246" i="7"/>
  <c r="AW1811" i="7"/>
  <c r="AW1763" i="7"/>
  <c r="AW110" i="7"/>
  <c r="AW574" i="7"/>
  <c r="AW1975" i="7"/>
  <c r="AW135" i="7"/>
  <c r="AW300" i="7"/>
  <c r="AW324" i="7"/>
  <c r="AW2237" i="7"/>
  <c r="AW183" i="7"/>
  <c r="AW182" i="7"/>
  <c r="AW184" i="7"/>
  <c r="AW185" i="7"/>
  <c r="AW176" i="7"/>
  <c r="AW181" i="7"/>
  <c r="AW304" i="7"/>
  <c r="AW548" i="7"/>
  <c r="AW113" i="7"/>
  <c r="AW1519" i="7"/>
  <c r="AW431" i="7"/>
  <c r="AW2144" i="7"/>
  <c r="AW984" i="7"/>
  <c r="AW1557" i="7"/>
  <c r="AW1801" i="7"/>
  <c r="AW1718" i="7"/>
  <c r="AW805" i="7"/>
  <c r="AW1511" i="7"/>
  <c r="AW312" i="7"/>
  <c r="AW2165" i="7"/>
  <c r="AW1752" i="7"/>
  <c r="AW2191" i="7"/>
  <c r="AW604" i="7"/>
  <c r="AW2040" i="7"/>
  <c r="AW2187" i="7"/>
  <c r="AW1044" i="7"/>
  <c r="AW2005" i="7"/>
  <c r="AW2053" i="7"/>
  <c r="AW2137" i="7"/>
  <c r="AW462" i="7"/>
  <c r="AW1208" i="7"/>
  <c r="AW1221" i="7"/>
  <c r="AW2210" i="7"/>
  <c r="AW297" i="7"/>
  <c r="AW1669" i="7"/>
  <c r="AW521" i="7"/>
  <c r="AW2270" i="7"/>
  <c r="AW223" i="7"/>
  <c r="AW1069" i="7"/>
  <c r="AW255" i="7"/>
  <c r="AW321" i="7"/>
  <c r="AW1878" i="7"/>
  <c r="AW915" i="7"/>
  <c r="AW1011" i="7"/>
  <c r="AW1198" i="7"/>
  <c r="AW619" i="7"/>
  <c r="AW1507" i="7"/>
  <c r="AW76" i="7"/>
  <c r="AW73" i="7"/>
  <c r="AW72" i="7"/>
  <c r="AW71" i="7"/>
  <c r="AW481" i="7"/>
  <c r="AW968" i="7"/>
  <c r="AW1064" i="7"/>
  <c r="AW1706" i="7"/>
  <c r="AW147" i="7"/>
  <c r="AW443" i="7"/>
  <c r="AW832" i="7"/>
  <c r="AW963" i="7"/>
  <c r="AW1114" i="7"/>
  <c r="AW1128" i="7"/>
  <c r="AW1181" i="7"/>
  <c r="AW850" i="7"/>
  <c r="AW699" i="7"/>
  <c r="AW1078" i="7"/>
  <c r="AW1015" i="7"/>
  <c r="AW815" i="7"/>
  <c r="AW1525" i="7"/>
  <c r="AW2077" i="7"/>
  <c r="AW1550" i="7"/>
  <c r="AW12" i="7"/>
  <c r="AW662" i="7"/>
  <c r="AW1532" i="7"/>
  <c r="AW1442" i="7"/>
  <c r="AW143" i="7"/>
  <c r="AW268" i="7"/>
  <c r="AW583" i="7"/>
  <c r="AW1689" i="7"/>
  <c r="AW417" i="7"/>
  <c r="AW875" i="7"/>
  <c r="AW96" i="7"/>
  <c r="AW1768" i="7"/>
  <c r="AW1627" i="7"/>
  <c r="AW1966" i="7"/>
  <c r="AW320" i="7"/>
  <c r="AW287" i="7"/>
  <c r="AW2121" i="7"/>
  <c r="AW44" i="7"/>
  <c r="AW203" i="7"/>
  <c r="AW529" i="7"/>
  <c r="AW469" i="7"/>
  <c r="AW1274" i="7"/>
  <c r="AW2242" i="7"/>
  <c r="AW134" i="7"/>
  <c r="AW20" i="7"/>
  <c r="AW1478" i="7"/>
  <c r="AW21" i="7"/>
  <c r="AW768" i="7"/>
  <c r="AW47" i="7"/>
  <c r="AW46" i="7"/>
  <c r="AW54" i="7"/>
  <c r="AW53" i="7"/>
  <c r="AW435" i="7"/>
  <c r="AW953" i="7"/>
  <c r="AW1172" i="7"/>
  <c r="AW776" i="7"/>
  <c r="AW1235" i="7"/>
  <c r="AW1815" i="7"/>
  <c r="AW354" i="7"/>
  <c r="AW1882" i="7"/>
  <c r="AW1347" i="7"/>
  <c r="AW1976" i="7"/>
  <c r="AW2188" i="7"/>
  <c r="AW1656" i="7"/>
  <c r="AW1704" i="7"/>
  <c r="AW1744" i="7"/>
  <c r="AW1990" i="7"/>
  <c r="AW2197" i="7"/>
  <c r="AW1836" i="7"/>
  <c r="AW315" i="7"/>
  <c r="AW775" i="7"/>
  <c r="AW946" i="7"/>
  <c r="AW508" i="7"/>
  <c r="AW818" i="7"/>
  <c r="AW987" i="7"/>
  <c r="AW1075" i="7"/>
  <c r="AW285" i="7"/>
  <c r="AW2231" i="7"/>
  <c r="AW433" i="7"/>
  <c r="AW777" i="7"/>
  <c r="AW1484" i="7"/>
  <c r="AW1947" i="7"/>
  <c r="AW1048" i="7"/>
  <c r="AW1544" i="7"/>
  <c r="AW1356" i="7"/>
  <c r="AW1592" i="7"/>
  <c r="AW78" i="7"/>
  <c r="AW77" i="7"/>
  <c r="AW74" i="7"/>
  <c r="AW75" i="7"/>
  <c r="AW2157" i="7"/>
  <c r="AW56" i="7"/>
  <c r="AW599" i="7"/>
  <c r="AW1825" i="7"/>
  <c r="AW721" i="7"/>
  <c r="AW1102" i="7"/>
  <c r="AW1145" i="7"/>
  <c r="AW1756" i="7"/>
  <c r="AW1804" i="7"/>
  <c r="AW1101" i="7"/>
  <c r="AW2050" i="7"/>
  <c r="AW272" i="7"/>
  <c r="AW519" i="7"/>
  <c r="AW334" i="7"/>
  <c r="AW1262" i="7"/>
  <c r="AW1540" i="7"/>
  <c r="AW664" i="7"/>
  <c r="AW1914" i="7"/>
  <c r="AW351" i="7"/>
  <c r="AW434" i="7"/>
  <c r="AW833" i="7"/>
  <c r="AW1205" i="7"/>
  <c r="AW1909" i="7"/>
  <c r="AW1915" i="7"/>
  <c r="AW1968" i="7"/>
  <c r="AW338" i="7"/>
  <c r="AW1610" i="7"/>
  <c r="AW475" i="7"/>
  <c r="AW422" i="7"/>
  <c r="AW1341" i="7"/>
  <c r="AW1551" i="7"/>
  <c r="AW1749" i="7"/>
  <c r="AW854" i="7"/>
  <c r="AW1675" i="7"/>
  <c r="AW23" i="7"/>
  <c r="AW22" i="7"/>
  <c r="AW1884" i="7"/>
  <c r="AW841" i="7"/>
  <c r="AW1463" i="7"/>
  <c r="AW1919" i="7"/>
  <c r="AW1963" i="7"/>
  <c r="AW1222" i="7"/>
  <c r="AW804" i="7"/>
  <c r="AW1293" i="7"/>
  <c r="AW472" i="7"/>
  <c r="AW438" i="7"/>
  <c r="AW1361" i="7"/>
  <c r="AW1425" i="7"/>
  <c r="AW1912" i="7"/>
  <c r="AW2258" i="7"/>
  <c r="AW480" i="7"/>
  <c r="AW843" i="7"/>
  <c r="AW899" i="7"/>
  <c r="AW1492" i="7"/>
  <c r="AW1344" i="7"/>
  <c r="AW346" i="7"/>
  <c r="AW774" i="7"/>
  <c r="AW1731" i="7"/>
  <c r="AW1978" i="7"/>
  <c r="AW801" i="7"/>
  <c r="AW1343" i="7"/>
  <c r="AW1483" i="7"/>
  <c r="AW531" i="7"/>
  <c r="AW1454" i="7"/>
  <c r="AW1692" i="7"/>
  <c r="AW590" i="7"/>
  <c r="AW2007" i="7"/>
  <c r="AW2033" i="7"/>
  <c r="AW146" i="7"/>
  <c r="AW264" i="7"/>
  <c r="AW506" i="7"/>
  <c r="AW658" i="7"/>
  <c r="AW1281" i="7"/>
  <c r="AW1461" i="7"/>
  <c r="AW1757" i="7"/>
  <c r="AW115" i="7"/>
  <c r="AW1073" i="7"/>
  <c r="AW1259" i="7"/>
  <c r="AW1535" i="7"/>
  <c r="AW1664" i="7"/>
  <c r="AW643" i="7"/>
  <c r="AW1415" i="7"/>
  <c r="AW1761" i="7"/>
  <c r="AW2268" i="7"/>
  <c r="AW552" i="7"/>
  <c r="AW2158" i="7"/>
  <c r="AW1982" i="7"/>
  <c r="AW739" i="7"/>
  <c r="AW1047" i="7"/>
  <c r="AW2071" i="7"/>
  <c r="AW570" i="7"/>
  <c r="AW1710" i="7"/>
  <c r="AW1886" i="7"/>
  <c r="AW284" i="7"/>
  <c r="AW414" i="7"/>
  <c r="AW799" i="7"/>
  <c r="AW1157" i="7"/>
  <c r="AW592" i="7"/>
  <c r="AW794" i="7"/>
  <c r="AW473" i="7"/>
  <c r="AW2027" i="7"/>
  <c r="AW511" i="7"/>
  <c r="AW1959" i="7"/>
  <c r="AW394" i="7"/>
  <c r="AW803" i="7"/>
  <c r="AW945" i="7"/>
  <c r="AW1017" i="7"/>
  <c r="AW1952" i="7"/>
  <c r="AW2037" i="7"/>
  <c r="AW751" i="7"/>
  <c r="AW1895" i="7"/>
  <c r="AW1999" i="7"/>
  <c r="AW1458" i="7"/>
  <c r="AW1789" i="7"/>
  <c r="AW439" i="7"/>
  <c r="AW1103" i="7"/>
  <c r="AW1427" i="7"/>
  <c r="AW389" i="7"/>
  <c r="AW1226" i="7"/>
  <c r="AW1216" i="7"/>
  <c r="AW9" i="7"/>
  <c r="AW242" i="7"/>
  <c r="AW1426" i="7"/>
  <c r="AW1552" i="7"/>
  <c r="AW1489" i="7"/>
  <c r="AW1265" i="7"/>
  <c r="AW1506" i="7"/>
  <c r="AW61" i="7"/>
  <c r="AW722" i="7"/>
  <c r="AW1957" i="7"/>
  <c r="AW782" i="7"/>
  <c r="AW779" i="7"/>
  <c r="AW1537" i="7"/>
  <c r="AW1500" i="7"/>
  <c r="AW442" i="7"/>
  <c r="AW566" i="7"/>
  <c r="AW1464" i="7"/>
  <c r="AW151" i="7"/>
  <c r="AW149" i="7"/>
  <c r="AW340" i="7"/>
  <c r="AW1575" i="7"/>
  <c r="AW1698" i="7"/>
  <c r="AW993" i="7"/>
  <c r="AW1766" i="7"/>
  <c r="AW358" i="7"/>
  <c r="AW1530" i="7"/>
  <c r="AW1309" i="7"/>
  <c r="AW1655" i="7"/>
  <c r="AW1933" i="7"/>
  <c r="AW2009" i="7"/>
  <c r="AW639" i="7"/>
  <c r="AW1887" i="7"/>
  <c r="AW352" i="7"/>
  <c r="AW367" i="7"/>
  <c r="AW1512" i="7"/>
  <c r="AW306" i="7"/>
  <c r="AW1230" i="7"/>
  <c r="AW1390" i="7"/>
  <c r="AW1605" i="7"/>
  <c r="AW130" i="7"/>
  <c r="AW507" i="7"/>
  <c r="AW793" i="7"/>
  <c r="AW1526" i="7"/>
  <c r="AW377" i="7"/>
  <c r="AW696" i="7"/>
  <c r="AW887" i="7"/>
  <c r="AW906" i="7"/>
  <c r="AW441" i="7"/>
  <c r="AW437" i="7"/>
  <c r="AW232" i="7"/>
  <c r="AW1065" i="7"/>
  <c r="AW1367" i="7"/>
  <c r="AW1188" i="7"/>
  <c r="AW490" i="7"/>
  <c r="AW1033" i="7"/>
  <c r="AW1360" i="7"/>
  <c r="AW1366" i="7"/>
  <c r="AW1245" i="7"/>
  <c r="AW1357" i="7"/>
  <c r="AW1313" i="7"/>
  <c r="AW2030" i="7"/>
  <c r="AW199" i="7"/>
  <c r="AW212" i="7"/>
  <c r="AW781" i="7"/>
  <c r="AW991" i="7"/>
  <c r="AW1319" i="7"/>
  <c r="AW1414" i="7"/>
  <c r="AW1355" i="7"/>
  <c r="AW1875" i="7"/>
  <c r="AW864" i="7"/>
  <c r="AW1041" i="7"/>
  <c r="AW1371" i="7"/>
  <c r="AW1520" i="7"/>
  <c r="AW1590" i="7"/>
  <c r="AW1818" i="7"/>
  <c r="AW709" i="7"/>
  <c r="AW2013" i="7"/>
  <c r="AW261" i="7"/>
  <c r="AW1541" i="7"/>
  <c r="AW1063" i="7"/>
  <c r="AW313" i="7"/>
  <c r="AW921" i="7"/>
  <c r="AW910" i="7"/>
  <c r="AW1597" i="7"/>
  <c r="AW145" i="7"/>
  <c r="AW670" i="7"/>
  <c r="AW802" i="7"/>
  <c r="AW675" i="7"/>
  <c r="AW1954" i="7"/>
  <c r="AW2156" i="7"/>
  <c r="AW1873" i="7"/>
  <c r="AW337" i="7"/>
  <c r="AW972" i="7"/>
  <c r="AW1148" i="7"/>
  <c r="AW1306" i="7"/>
  <c r="AW1217" i="7"/>
  <c r="AW1431" i="7"/>
  <c r="AW2148" i="7"/>
  <c r="AW482" i="7"/>
  <c r="AW838" i="7"/>
  <c r="AW1466" i="7"/>
  <c r="AW1680" i="7"/>
  <c r="AW314" i="7"/>
  <c r="AW1332" i="7"/>
  <c r="AW278" i="7"/>
  <c r="AW546" i="7"/>
  <c r="AW1694" i="7"/>
  <c r="AW1233" i="7"/>
  <c r="AW657" i="7"/>
  <c r="AW1153" i="7"/>
  <c r="AW667" i="7"/>
  <c r="AW894" i="7"/>
  <c r="AW2058" i="7"/>
  <c r="AW244" i="7"/>
  <c r="AW1238" i="7"/>
  <c r="AW1992" i="7"/>
  <c r="AW615" i="7"/>
  <c r="AW1021" i="7"/>
  <c r="AW1717" i="7"/>
  <c r="AW1795" i="7"/>
  <c r="AW2213" i="7"/>
  <c r="AW1806" i="7"/>
  <c r="AW1058" i="7"/>
  <c r="AW1481" i="7"/>
  <c r="AW1278" i="7"/>
  <c r="AW606" i="7"/>
  <c r="AW325" i="7"/>
  <c r="AW518" i="7"/>
  <c r="AW1266" i="7"/>
  <c r="AW425" i="7"/>
  <c r="AW1218" i="7"/>
  <c r="AW1207" i="7"/>
  <c r="AW1315" i="7"/>
  <c r="AW863" i="7"/>
  <c r="AW539" i="7"/>
  <c r="AW544" i="7"/>
  <c r="AW620" i="7"/>
  <c r="AW1991" i="7"/>
  <c r="AW97" i="7"/>
  <c r="AW2106" i="7"/>
  <c r="AW15" i="7"/>
  <c r="AW1504" i="7"/>
  <c r="AW564" i="7"/>
  <c r="AW1569" i="7"/>
  <c r="AW1249" i="7"/>
  <c r="AW2031" i="7"/>
  <c r="AW295" i="7"/>
  <c r="AW353" i="7"/>
  <c r="AW1565" i="7"/>
  <c r="AW1735" i="7"/>
  <c r="AW14" i="7"/>
  <c r="AW2133" i="7"/>
  <c r="AW2002" i="7"/>
  <c r="AW400" i="7"/>
  <c r="AW420" i="7"/>
  <c r="AW1046" i="7"/>
  <c r="AW1115" i="7"/>
  <c r="AW45" i="7"/>
  <c r="AW188" i="7"/>
  <c r="AW2010" i="7"/>
  <c r="AW148" i="7"/>
  <c r="AW979" i="7"/>
  <c r="AW1087" i="7"/>
  <c r="AW1354" i="7"/>
  <c r="AW1571" i="7"/>
  <c r="AW1604" i="7"/>
  <c r="AW1988" i="7"/>
  <c r="AW59" i="7"/>
  <c r="AW1163" i="7"/>
  <c r="AW1830" i="7"/>
  <c r="AW2017" i="7"/>
  <c r="AW1019" i="7"/>
  <c r="AW1863" i="7"/>
  <c r="AW2263" i="7"/>
  <c r="AW317" i="7"/>
  <c r="AW816" i="7"/>
  <c r="AW1307" i="7"/>
  <c r="AW2281" i="7"/>
  <c r="AW1091" i="7"/>
  <c r="AW200" i="7"/>
  <c r="AW257" i="7"/>
  <c r="AW857" i="7"/>
  <c r="AW379" i="7"/>
  <c r="AW2223" i="7"/>
  <c r="AW2073" i="7"/>
  <c r="AW271" i="7"/>
  <c r="AW57" i="7"/>
  <c r="AW58" i="7"/>
  <c r="AW713" i="7"/>
  <c r="AW1098" i="7"/>
  <c r="AW880" i="7"/>
  <c r="AW1417" i="7"/>
  <c r="AW1028" i="7"/>
  <c r="AW150" i="7"/>
  <c r="AW154" i="7"/>
  <c r="AW156" i="7"/>
  <c r="AW155" i="7"/>
  <c r="AW1120" i="7"/>
  <c r="AW1049" i="7"/>
  <c r="AW98" i="7"/>
  <c r="AW270" i="7"/>
  <c r="AW2085" i="7"/>
  <c r="AW515" i="7"/>
  <c r="AW766" i="7"/>
  <c r="AW1100" i="7"/>
  <c r="AW121" i="7"/>
  <c r="AW609" i="7"/>
  <c r="AW2035" i="7"/>
  <c r="AW2063" i="7"/>
  <c r="AW971" i="7"/>
  <c r="AW1140" i="7"/>
  <c r="AW2164" i="7"/>
  <c r="AW1137" i="7"/>
  <c r="AW1829" i="7"/>
  <c r="AW1989" i="7"/>
  <c r="AW1272" i="7"/>
  <c r="AW1561" i="7"/>
  <c r="AW2216" i="7"/>
  <c r="AW1339" i="7"/>
  <c r="AW2038" i="7"/>
  <c r="AW989" i="7"/>
  <c r="AW1676" i="7"/>
  <c r="AW2109" i="7"/>
  <c r="AW1081" i="7"/>
  <c r="AW2278" i="7"/>
  <c r="AW591" i="7"/>
  <c r="AW1683" i="7"/>
  <c r="AW1509" i="7"/>
  <c r="AW269" i="7"/>
  <c r="AW404" i="7"/>
  <c r="AW2182" i="7"/>
  <c r="AW1705" i="7"/>
  <c r="AW323" i="7"/>
  <c r="AW1133" i="7"/>
  <c r="AW275" i="7"/>
  <c r="AW1827" i="7"/>
  <c r="AW186" i="7"/>
  <c r="AW1972" i="7"/>
  <c r="AW828" i="7"/>
  <c r="AW1824" i="7"/>
  <c r="AW1477" i="7"/>
  <c r="AW1556" i="7"/>
  <c r="AW396" i="7"/>
  <c r="AW486" i="7"/>
  <c r="AW951" i="7"/>
  <c r="AW1401" i="7"/>
  <c r="AW516" i="7"/>
  <c r="AW1372" i="7"/>
  <c r="AW198" i="7"/>
  <c r="AW517" i="7"/>
  <c r="AW2011" i="7"/>
  <c r="AW2003" i="7"/>
  <c r="AW990" i="7"/>
  <c r="AW133" i="7"/>
  <c r="AW456" i="7"/>
  <c r="AW717" i="7"/>
  <c r="AW1182" i="7"/>
  <c r="AW551" i="7"/>
  <c r="AW2256" i="7"/>
  <c r="AW1202" i="7"/>
  <c r="AW1378" i="7"/>
  <c r="AW1986" i="7"/>
  <c r="AW893" i="7"/>
  <c r="AW819" i="7"/>
  <c r="AW1742" i="7"/>
  <c r="AW2185" i="7"/>
  <c r="AW124" i="7"/>
  <c r="AW123" i="7"/>
  <c r="AW1253" i="7"/>
  <c r="AW1470" i="7"/>
  <c r="AW1111" i="7"/>
  <c r="AW1662" i="7"/>
  <c r="AW280" i="7"/>
  <c r="AW258" i="7"/>
  <c r="AW43" i="7"/>
  <c r="AW2279" i="7"/>
  <c r="AW1365" i="7"/>
  <c r="AW1523" i="7"/>
  <c r="AW1760" i="7"/>
  <c r="AW1348" i="7"/>
  <c r="AW822" i="7"/>
  <c r="AW1881" i="7"/>
  <c r="AW851" i="7"/>
  <c r="AW701" i="7"/>
  <c r="AW204" i="7"/>
  <c r="AW791" i="7"/>
  <c r="AW1268" i="7"/>
  <c r="AW1566" i="7"/>
  <c r="AW2261" i="7"/>
  <c r="AW1554" i="7"/>
  <c r="AW114" i="7"/>
  <c r="AW2125" i="7"/>
  <c r="AW1960" i="7"/>
  <c r="AW663" i="7"/>
  <c r="AW1819" i="7"/>
  <c r="AW2186" i="7"/>
  <c r="AW42" i="7"/>
  <c r="AW488" i="7"/>
  <c r="AW1134" i="7"/>
  <c r="AW1430" i="7"/>
  <c r="AW1746" i="7"/>
  <c r="AW1336" i="7"/>
  <c r="AW1904" i="7"/>
  <c r="AW760" i="7"/>
  <c r="AW2166" i="7"/>
  <c r="AW201" i="7"/>
  <c r="AW597" i="7"/>
  <c r="AW798" i="7"/>
  <c r="AW1016" i="7"/>
  <c r="AW690" i="7"/>
  <c r="AW789" i="7"/>
  <c r="AW1598" i="7"/>
  <c r="AW1052" i="7"/>
  <c r="AW726" i="7"/>
  <c r="AW1877" i="7"/>
  <c r="AW855" i="7"/>
  <c r="AW2248" i="7"/>
  <c r="AW13" i="7"/>
  <c r="AW761" i="7"/>
  <c r="AW1005" i="7"/>
  <c r="AW412" i="7"/>
  <c r="AW952" i="7"/>
  <c r="AW1629" i="7"/>
  <c r="AW1743" i="7"/>
  <c r="AW208" i="7"/>
  <c r="AW900" i="7"/>
  <c r="AW1273" i="7"/>
  <c r="AW1436" i="7"/>
  <c r="AW1729" i="7"/>
  <c r="AW1755" i="7"/>
  <c r="AW390" i="7"/>
  <c r="AW2212" i="7"/>
  <c r="AW365" i="7"/>
  <c r="AW1029" i="7"/>
  <c r="AW1191" i="7"/>
  <c r="AW1296" i="7"/>
  <c r="AW1970" i="7"/>
  <c r="AW1270" i="7"/>
  <c r="AW1956" i="7"/>
  <c r="AW669" i="7"/>
  <c r="AW509" i="7"/>
  <c r="AW1291" i="7"/>
  <c r="AW1616" i="7"/>
  <c r="AW1310" i="7"/>
  <c r="AW2143" i="7"/>
  <c r="AW1602" i="7"/>
  <c r="AW1780" i="7"/>
  <c r="AW1576" i="7"/>
  <c r="AW470" i="7"/>
  <c r="AW1050" i="7"/>
  <c r="AW589" i="7"/>
  <c r="AW1107" i="7"/>
  <c r="AW1949" i="7"/>
  <c r="AW2226" i="7"/>
  <c r="AW373" i="7"/>
  <c r="AW1369" i="7"/>
  <c r="AW1473" i="7"/>
  <c r="AW1324" i="7"/>
  <c r="AW1548" i="7"/>
  <c r="AW1807" i="7"/>
  <c r="AW16" i="7"/>
  <c r="AW233" i="7"/>
  <c r="AW1301" i="7"/>
  <c r="AW1723" i="7"/>
  <c r="AW1393" i="7"/>
  <c r="AW1162" i="7"/>
  <c r="AW2183" i="7"/>
  <c r="AW1302" i="7"/>
  <c r="AW5" i="7"/>
  <c r="AW210" i="7"/>
  <c r="AW522" i="7"/>
  <c r="AW586" i="7"/>
  <c r="AW1883" i="7"/>
  <c r="AW1665" i="7"/>
  <c r="AW2065" i="7"/>
  <c r="AW988" i="7"/>
  <c r="AW2055" i="7"/>
  <c r="AW611" i="7"/>
  <c r="AW747" i="7"/>
  <c r="AW1326" i="7"/>
  <c r="AW1170" i="7"/>
  <c r="AW1368" i="7"/>
  <c r="AW1603" i="7"/>
  <c r="AW520" i="7"/>
  <c r="AW1105" i="7"/>
  <c r="AW750" i="7"/>
  <c r="AW1471" i="7"/>
  <c r="AW70" i="7"/>
  <c r="AW2269" i="7"/>
  <c r="AW1901" i="7"/>
  <c r="AW1783" i="7"/>
  <c r="AW1772" i="7"/>
  <c r="AW581" i="7"/>
  <c r="AW903" i="7"/>
  <c r="AW974" i="7"/>
  <c r="AW916" i="7"/>
  <c r="AW808" i="7"/>
  <c r="AW883" i="7"/>
  <c r="AW19" i="7"/>
  <c r="AW624" i="7"/>
  <c r="AW1820" i="7"/>
  <c r="AW1923" i="7"/>
  <c r="AW2039" i="7"/>
  <c r="AW2043" i="7"/>
  <c r="AW866" i="7"/>
  <c r="AW1387" i="7"/>
  <c r="AW1260" i="7"/>
  <c r="AW1279" i="7"/>
  <c r="AW1485" i="7"/>
  <c r="AW235" i="7"/>
  <c r="AW342" i="7"/>
  <c r="AW1283" i="7"/>
  <c r="AW1116" i="7"/>
  <c r="AW2046" i="7"/>
  <c r="AW2" i="7"/>
  <c r="AW1292" i="7"/>
  <c r="AW1996" i="7"/>
  <c r="AW1450" i="7"/>
  <c r="AW762" i="7"/>
  <c r="AW749" i="7"/>
  <c r="AW1190" i="7"/>
  <c r="AW1131" i="7"/>
  <c r="AW1382" i="7"/>
  <c r="AW862" i="7"/>
  <c r="AW1277" i="7"/>
  <c r="AW2190" i="7"/>
  <c r="AW905" i="7"/>
  <c r="AW1958" i="7"/>
  <c r="AW602" i="7"/>
  <c r="AW1868" i="7"/>
  <c r="AW736" i="7"/>
  <c r="AW806" i="7"/>
  <c r="AW1038" i="7"/>
  <c r="AW1141" i="7"/>
  <c r="AW1667" i="7"/>
  <c r="AW2154" i="7"/>
  <c r="AW769" i="7"/>
  <c r="AW1066" i="7"/>
  <c r="AW1828" i="7"/>
  <c r="AW18" i="7"/>
  <c r="AW1981" i="7"/>
  <c r="AW2168" i="7"/>
  <c r="AW2064" i="7"/>
  <c r="AW731" i="7"/>
  <c r="AW2181" i="7"/>
  <c r="AW468" i="7"/>
  <c r="AW485" i="7"/>
  <c r="AW1573" i="7"/>
  <c r="AW1835" i="7"/>
  <c r="AW683" i="7"/>
  <c r="AW1144" i="7"/>
  <c r="AW1918" i="7"/>
  <c r="AW1993" i="7"/>
  <c r="AW834" i="7"/>
  <c r="AW127" i="7"/>
  <c r="AW1286" i="7"/>
  <c r="AW671" i="7"/>
  <c r="AW904" i="7"/>
  <c r="AW1275" i="7"/>
  <c r="AW842" i="7"/>
  <c r="AW1034" i="7"/>
  <c r="AW845" i="7"/>
  <c r="AW1130" i="7"/>
  <c r="AW1822" i="7"/>
  <c r="AW1138" i="7"/>
  <c r="AW2113" i="7"/>
  <c r="AW298" i="7"/>
  <c r="AW840" i="7"/>
  <c r="AW938" i="7"/>
  <c r="AW1377" i="7"/>
  <c r="AW612" i="7"/>
  <c r="AW1014" i="7"/>
  <c r="AW1025" i="7"/>
  <c r="AW877" i="7"/>
  <c r="AW861" i="7"/>
  <c r="AW259" i="7"/>
  <c r="AW326" i="7"/>
  <c r="AW849" i="7"/>
  <c r="AW973" i="7"/>
  <c r="AW1412" i="7"/>
  <c r="AW2234" i="7"/>
  <c r="AW159" i="7"/>
  <c r="AW1189" i="7"/>
  <c r="AW322" i="7"/>
  <c r="AW672" i="7"/>
  <c r="AW998" i="7"/>
  <c r="AW1579" i="7"/>
  <c r="AW2020" i="7"/>
  <c r="AW949" i="7"/>
  <c r="AW1771" i="7"/>
  <c r="AW2249" i="7"/>
  <c r="AW868" i="7"/>
  <c r="AW1167" i="7"/>
  <c r="AW1679" i="7"/>
  <c r="AW1093" i="7"/>
  <c r="AW613" i="7"/>
  <c r="AW2084" i="7"/>
  <c r="AW2250" i="7"/>
  <c r="AW483" i="7"/>
  <c r="AW677" i="7"/>
  <c r="AW2018" i="7"/>
  <c r="AW528" i="7"/>
  <c r="AW1282" i="7"/>
  <c r="AW1334" i="7"/>
  <c r="AW1617" i="7"/>
  <c r="AW954" i="7"/>
  <c r="AW976" i="7"/>
  <c r="AW2042" i="7"/>
  <c r="AW1323" i="7"/>
  <c r="AW2209" i="7"/>
  <c r="AW2034" i="7"/>
  <c r="AW444" i="7"/>
  <c r="AW1006" i="7"/>
  <c r="AW1088" i="7"/>
  <c r="AW1358" i="7"/>
  <c r="AW459" i="7"/>
  <c r="AW296" i="7"/>
  <c r="AW610" i="7"/>
  <c r="AW2103" i="7"/>
  <c r="AW947" i="7"/>
  <c r="AW1092" i="7"/>
  <c r="AW638" i="7"/>
  <c r="AW1408" i="7"/>
  <c r="AW343" i="7"/>
  <c r="AW535" i="7"/>
  <c r="AW666" i="7"/>
  <c r="AW964" i="7"/>
  <c r="AW1126" i="7"/>
  <c r="AW1594" i="7"/>
  <c r="AW703" i="7"/>
  <c r="AW1146" i="7"/>
  <c r="AW1469" i="7"/>
  <c r="AW1577" i="7"/>
  <c r="AW1020" i="7"/>
  <c r="AW1001" i="7"/>
  <c r="AW1329" i="7"/>
  <c r="AW758" i="7"/>
  <c r="AW1394" i="7"/>
  <c r="AW366" i="7"/>
  <c r="AW1534" i="7"/>
  <c r="AW1851" i="7"/>
  <c r="AW2174" i="7"/>
  <c r="AW1568" i="7"/>
  <c r="AW876" i="7"/>
  <c r="AW1553" i="7"/>
  <c r="AW554" i="7"/>
  <c r="AW2060" i="7"/>
  <c r="AW2173" i="7"/>
  <c r="AW939" i="7"/>
  <c r="AW1359" i="7"/>
  <c r="AW1071" i="7"/>
  <c r="AW2215" i="7"/>
  <c r="AW229" i="7"/>
  <c r="AW1375" i="7"/>
  <c r="AW1386" i="7"/>
  <c r="AW2180" i="7"/>
  <c r="AW1022" i="7"/>
  <c r="AW647" i="7"/>
  <c r="AW2124" i="7"/>
  <c r="AW1149" i="7"/>
  <c r="AW1928" i="7"/>
  <c r="AW1503" i="7"/>
  <c r="AW510" i="7"/>
  <c r="AW997" i="7"/>
  <c r="AW1472" i="7"/>
  <c r="AW1753" i="7"/>
  <c r="AW190" i="7"/>
  <c r="AW623" i="7"/>
  <c r="AW1622" i="7"/>
  <c r="AW853" i="7"/>
  <c r="AW1388" i="7"/>
  <c r="AW2218" i="7"/>
  <c r="AW1039" i="7"/>
  <c r="AW1774" i="7"/>
  <c r="AW940" i="7"/>
  <c r="AW2246" i="7"/>
  <c r="AW267" i="7"/>
  <c r="AW2220" i="7"/>
  <c r="AW1709" i="7"/>
  <c r="AW2211" i="7"/>
  <c r="AW1012" i="7"/>
  <c r="AW2078" i="7"/>
  <c r="AW526" i="7"/>
  <c r="AW1810" i="7"/>
  <c r="AW1086" i="7"/>
  <c r="AW430" i="7"/>
  <c r="AW1921" i="7"/>
  <c r="AW688" i="7"/>
  <c r="AW902" i="7"/>
  <c r="AW1110" i="7"/>
  <c r="AW1353" i="7"/>
  <c r="AW2172" i="7"/>
  <c r="AW823" i="7"/>
  <c r="AW1896" i="7"/>
  <c r="AW344" i="7"/>
  <c r="AW423" i="7"/>
  <c r="AW932" i="7"/>
  <c r="AW1440" i="7"/>
  <c r="AW397" i="7"/>
  <c r="AW648" i="7"/>
  <c r="AW1626" i="7"/>
  <c r="AW260" i="7"/>
  <c r="AW767" i="7"/>
  <c r="AW495" i="7"/>
  <c r="AW635" i="7"/>
  <c r="AW1917" i="7"/>
  <c r="AW1702" i="7"/>
  <c r="AW1843" i="7"/>
  <c r="AW1574" i="7"/>
  <c r="AW1831" i="7"/>
  <c r="AW160" i="7"/>
  <c r="AW704" i="7"/>
  <c r="AW1927" i="7"/>
  <c r="AW466" i="7"/>
  <c r="AW501" i="7"/>
  <c r="AW1248" i="7"/>
  <c r="AW1891" i="7"/>
  <c r="AW2029" i="7"/>
  <c r="AW830" i="7"/>
  <c r="AW2239" i="7"/>
  <c r="AW817" i="7"/>
  <c r="AW1860" i="7"/>
  <c r="AW1121" i="7"/>
  <c r="AW1330" i="7"/>
  <c r="AW1826" i="7"/>
  <c r="AW1118" i="7"/>
  <c r="AW1681" i="7"/>
  <c r="AW1618" i="7"/>
  <c r="AW2025" i="7"/>
  <c r="AW460" i="7"/>
  <c r="AW1580" i="7"/>
  <c r="AW2110" i="7"/>
  <c r="AW1438" i="7"/>
  <c r="AW1663" i="7"/>
  <c r="AW489" i="7"/>
  <c r="AW1628" i="7"/>
  <c r="AW67" i="7"/>
  <c r="AW131" i="7"/>
  <c r="AW1076" i="7"/>
  <c r="AW1798" i="7"/>
  <c r="AW1139" i="7"/>
  <c r="AW1750" i="7"/>
  <c r="AW1570" i="7"/>
  <c r="AW1528" i="7"/>
  <c r="AW1433" i="7"/>
  <c r="AW1974" i="7"/>
  <c r="AW247" i="7"/>
  <c r="AW2264" i="7"/>
  <c r="AW573" i="7"/>
  <c r="AW453" i="7"/>
  <c r="AW813" i="7"/>
  <c r="AW1586" i="7"/>
  <c r="AW401" i="7"/>
  <c r="AW450" i="7"/>
  <c r="AW810" i="7"/>
  <c r="AW1108" i="7"/>
  <c r="AW1726" i="7"/>
  <c r="AW1459" i="7"/>
  <c r="AW1591" i="7"/>
  <c r="AW2019" i="7"/>
  <c r="AW1370" i="7"/>
  <c r="AW1913" i="7"/>
  <c r="AW2059" i="7"/>
  <c r="AW2225" i="7"/>
  <c r="AW11" i="7"/>
  <c r="AW1241" i="7"/>
  <c r="AW1803" i="7"/>
  <c r="AW2179" i="7"/>
  <c r="AW874" i="7"/>
  <c r="AW1973" i="7"/>
  <c r="AW491" i="7"/>
  <c r="AW2115" i="7"/>
  <c r="AW689" i="7"/>
  <c r="AW824" i="7"/>
  <c r="AW1117" i="7"/>
  <c r="AW3" i="7"/>
  <c r="AW126" i="7"/>
  <c r="AW125" i="7"/>
  <c r="AW192" i="7"/>
  <c r="AW572" i="7"/>
  <c r="AW1435" i="7"/>
  <c r="AW1299" i="7"/>
  <c r="AW1419" i="7"/>
  <c r="AW917" i="7"/>
  <c r="AW928" i="7"/>
  <c r="AW1839" i="7"/>
  <c r="AW193" i="7"/>
  <c r="AW187" i="7"/>
  <c r="AW191" i="7"/>
  <c r="AW440" i="7"/>
  <c r="AW617" i="7"/>
  <c r="AW700" i="7"/>
  <c r="AW950" i="7"/>
  <c r="AW1634" i="7"/>
  <c r="AW372" i="7"/>
  <c r="AW1585" i="7"/>
  <c r="AW571" i="7"/>
  <c r="AW458" i="7"/>
  <c r="AW1964" i="7"/>
  <c r="AW1564" i="7"/>
  <c r="AW1644" i="7"/>
  <c r="AW547" i="7"/>
  <c r="AW2160" i="7"/>
  <c r="AW263" i="7"/>
  <c r="AW730" i="7"/>
  <c r="AW706" i="7"/>
  <c r="AW1708" i="7"/>
  <c r="AW65" i="7"/>
  <c r="AW2067" i="7"/>
  <c r="AW69" i="7"/>
  <c r="AW288" i="7"/>
  <c r="AW301" i="7"/>
  <c r="AW908" i="7"/>
  <c r="AW1636" i="7"/>
  <c r="AW2222" i="7"/>
  <c r="AW2054" i="7"/>
  <c r="AW238" i="7"/>
  <c r="AW1645" i="7"/>
  <c r="AW632" i="7"/>
  <c r="AW719" i="7"/>
  <c r="AW1832" i="7"/>
  <c r="AW2126" i="7"/>
  <c r="AW1317" i="7"/>
  <c r="AW568" i="7"/>
  <c r="AW1812" i="7"/>
  <c r="AW66" i="7"/>
  <c r="AW2100" i="7"/>
  <c r="AW308" i="7"/>
  <c r="AW2079" i="7"/>
  <c r="AW335" i="7"/>
  <c r="AW674" i="7"/>
  <c r="AW1193" i="7"/>
  <c r="AW2235" i="7"/>
  <c r="AW1841" i="7"/>
  <c r="AW2129" i="7"/>
  <c r="AW1792" i="7"/>
  <c r="AW1543" i="7"/>
  <c r="AW1745" i="7"/>
  <c r="AW1769" i="7"/>
  <c r="AW929" i="7"/>
  <c r="AW1258" i="7"/>
  <c r="AW391" i="7"/>
  <c r="AW1678" i="7"/>
  <c r="AW605" i="7"/>
  <c r="AW918" i="7"/>
  <c r="AW1276" i="7"/>
  <c r="AW1837" i="7"/>
  <c r="AW4" i="7"/>
  <c r="AW616" i="7"/>
  <c r="AW665" i="7"/>
  <c r="AW569" i="7"/>
  <c r="AW911" i="7"/>
  <c r="AW795" i="7"/>
  <c r="AW2123" i="7"/>
  <c r="AW1457" i="7"/>
  <c r="AW1211" i="7"/>
  <c r="AW1229" i="7"/>
  <c r="AW1869" i="7"/>
  <c r="AW966" i="7"/>
  <c r="AW1980" i="7"/>
  <c r="AW2152" i="7"/>
  <c r="AW1106" i="7"/>
  <c r="AW1979" i="7"/>
  <c r="AW243" i="7"/>
  <c r="AW913" i="7"/>
  <c r="AW859" i="7"/>
  <c r="AW1097" i="7"/>
  <c r="AW1185" i="7"/>
  <c r="AW614" i="7"/>
  <c r="AW1032" i="7"/>
  <c r="AW1320" i="7"/>
  <c r="AW773" i="7"/>
  <c r="AW827" i="7"/>
  <c r="AW1104" i="7"/>
  <c r="AW2224" i="7"/>
  <c r="AW944" i="7"/>
  <c r="AW1043" i="7"/>
  <c r="AW1165" i="7"/>
  <c r="AW416" i="7"/>
  <c r="AW530" i="7"/>
  <c r="AW1926" i="7"/>
  <c r="AW2016" i="7"/>
  <c r="AW494" i="7"/>
  <c r="AW1738" i="7"/>
  <c r="AW1844" i="7"/>
  <c r="AW1392" i="7"/>
  <c r="AW975" i="7"/>
  <c r="AW1799" i="7"/>
  <c r="AW1203" i="7"/>
  <c r="AW540" i="7"/>
  <c r="AW873" i="7"/>
  <c r="AW2192" i="7"/>
  <c r="AW2062" i="7"/>
  <c r="AW1289" i="7"/>
  <c r="AW211" i="7"/>
  <c r="AW1922" i="7"/>
  <c r="AW742" i="7"/>
  <c r="AW1072" i="7"/>
  <c r="AW328" i="7"/>
  <c r="AW402" i="7"/>
  <c r="AW484" i="7"/>
  <c r="AW1639" i="7"/>
  <c r="AW2184" i="7"/>
  <c r="AW992" i="7"/>
  <c r="AW1898" i="7"/>
  <c r="AW2241" i="7"/>
  <c r="AW1342" i="7"/>
  <c r="AW194" i="7"/>
  <c r="AW1567" i="7"/>
  <c r="AW935" i="7"/>
  <c r="AW1257" i="7"/>
  <c r="AW1583" i="7"/>
  <c r="AW933" i="7"/>
  <c r="AW1916" i="7"/>
  <c r="AW136" i="7"/>
  <c r="AW2068" i="7"/>
  <c r="AW676" i="7"/>
  <c r="AW885" i="7"/>
  <c r="AW914" i="7"/>
  <c r="AW1529" i="7"/>
  <c r="AW2048" i="7"/>
  <c r="AW1322" i="7"/>
  <c r="AW525" i="7"/>
  <c r="AW1151" i="7"/>
  <c r="AW1700" i="7"/>
  <c r="AW727" i="7"/>
  <c r="AW2204" i="7"/>
  <c r="AW286" i="7"/>
  <c r="AW1985" i="7"/>
  <c r="AW1003" i="7"/>
  <c r="AW1089" i="7"/>
  <c r="AW476" i="7"/>
  <c r="AW1517" i="7"/>
  <c r="AW1905" i="7"/>
  <c r="AW1880" i="7"/>
  <c r="AW1925" i="7"/>
  <c r="AW557" i="7"/>
  <c r="AW1796" i="7"/>
  <c r="AW1661" i="7"/>
  <c r="AW1747" i="7"/>
  <c r="AW884" i="7"/>
  <c r="AW2267" i="7"/>
  <c r="AW49" i="7"/>
  <c r="AW169" i="7"/>
  <c r="AW2000" i="7"/>
  <c r="AW2236" i="7"/>
  <c r="AW1614" i="7"/>
  <c r="AW1701" i="7"/>
  <c r="AW541" i="7"/>
  <c r="AW1164" i="7"/>
  <c r="AW978" i="7"/>
  <c r="AW1606" i="7"/>
  <c r="AW137" i="7"/>
  <c r="AW733" i="7"/>
  <c r="AW872" i="7"/>
  <c r="AW1389" i="7"/>
  <c r="AW2276" i="7"/>
  <c r="AW723" i="7"/>
  <c r="AW682" i="7"/>
  <c r="AW656" i="7"/>
  <c r="AW292" i="7"/>
  <c r="AW504" i="7"/>
  <c r="AW1150" i="7"/>
  <c r="AW2118" i="7"/>
  <c r="AW1785" i="7"/>
  <c r="AW1588" i="7"/>
  <c r="AW2072" i="7"/>
  <c r="AW1004" i="7"/>
  <c r="AW693" i="7"/>
  <c r="AW536" i="7"/>
  <c r="AW1741" i="7"/>
  <c r="AW1135" i="7"/>
  <c r="AW1788" i="7"/>
  <c r="AW652" i="7"/>
  <c r="AW2217" i="7"/>
  <c r="AW274" i="7"/>
  <c r="AW241" i="7"/>
  <c r="AW734" i="7"/>
  <c r="AW1335" i="7"/>
  <c r="AW1280" i="7"/>
  <c r="AW1295" i="7"/>
  <c r="AW1765" i="7"/>
  <c r="AW299" i="7"/>
  <c r="AW930" i="7"/>
  <c r="AW735" i="7"/>
  <c r="AW1930" i="7"/>
  <c r="AW2170" i="7"/>
  <c r="AW2273" i="7"/>
  <c r="AW436" i="7"/>
  <c r="AW1650" i="7"/>
  <c r="AW1864" i="7"/>
  <c r="AW1261" i="7"/>
  <c r="AW685" i="7"/>
  <c r="AW878" i="7"/>
  <c r="AW399" i="7"/>
  <c r="AW2163" i="7"/>
  <c r="AW1581" i="7"/>
  <c r="AW1782" i="7"/>
  <c r="AW2021" i="7"/>
  <c r="AW790" i="7"/>
  <c r="AW95" i="7"/>
  <c r="AW426" i="7"/>
  <c r="AW977" i="7"/>
  <c r="AW1027" i="7"/>
  <c r="AW2083" i="7"/>
  <c r="AW2221" i="7"/>
  <c r="AW142" i="7"/>
  <c r="AW2244" i="7"/>
  <c r="AW451" i="7"/>
  <c r="AW1031" i="7"/>
  <c r="AW1300" i="7"/>
  <c r="AW542" i="7"/>
  <c r="AW601" i="7"/>
  <c r="AW1147" i="7"/>
  <c r="AW1479" i="7"/>
  <c r="AW1643" i="7"/>
  <c r="AW633" i="7"/>
  <c r="AW1474" i="7"/>
  <c r="AW534" i="7"/>
  <c r="AW1316" i="7"/>
  <c r="AW2219" i="7"/>
  <c r="AW1997" i="7"/>
  <c r="AW1255" i="7"/>
  <c r="AW999" i="7"/>
  <c r="AW1600" i="7"/>
  <c r="AW603" i="7"/>
  <c r="AW1346" i="7"/>
  <c r="AW1823" i="7"/>
  <c r="AW2026" i="7"/>
  <c r="AW686" i="7"/>
  <c r="AW2070" i="7"/>
  <c r="AW1397" i="7"/>
  <c r="AW327" i="7"/>
  <c r="AW641" i="7"/>
  <c r="AW1777" i="7"/>
  <c r="AW492" i="7"/>
  <c r="AW1465" i="7"/>
  <c r="AW1000" i="7"/>
  <c r="AW1640" i="7"/>
  <c r="AW1018" i="7"/>
  <c r="AW763" i="7"/>
  <c r="AW293" i="7"/>
  <c r="AW1637" i="7"/>
  <c r="AW62" i="7"/>
  <c r="AW720" i="7"/>
  <c r="AW1748" i="7"/>
  <c r="AW708" i="7"/>
  <c r="AW2082" i="7"/>
  <c r="AW2240" i="7"/>
  <c r="AW889" i="7"/>
  <c r="AW1967" i="7"/>
  <c r="AW955" i="7"/>
  <c r="AW1422" i="7"/>
  <c r="AW1897" i="7"/>
  <c r="AW1888" i="7"/>
  <c r="AW732" i="7"/>
  <c r="AW1601" i="7"/>
  <c r="AW2004" i="7"/>
  <c r="AW642" i="7"/>
  <c r="AW281" i="7"/>
  <c r="AW1635" i="7"/>
  <c r="AW1505" i="7"/>
  <c r="AW1779" i="7"/>
  <c r="AW1246" i="7"/>
  <c r="AW497" i="7"/>
  <c r="AW454" i="7"/>
  <c r="AW1381" i="7"/>
  <c r="AW1903" i="7"/>
  <c r="AW927" i="7"/>
  <c r="AW1563" i="7"/>
  <c r="AW926" i="7"/>
  <c r="AW1632" i="7"/>
  <c r="AW1593" i="7"/>
  <c r="AW415" i="7"/>
  <c r="AW1154" i="7"/>
  <c r="AW1524" i="7"/>
  <c r="AW1555" i="7"/>
  <c r="AW2014" i="7"/>
  <c r="AW403" i="7"/>
  <c r="AW1136" i="7"/>
  <c r="AW309" i="7"/>
  <c r="AW2243" i="7"/>
  <c r="AW1615" i="7"/>
  <c r="AW2283" i="7"/>
  <c r="AW378" i="7"/>
  <c r="AW1834" i="7"/>
  <c r="AW1267" i="7"/>
  <c r="AW1175" i="7"/>
  <c r="AW1660" i="7"/>
  <c r="AW1340" i="7"/>
  <c r="AW2253" i="7"/>
  <c r="AW695" i="7"/>
  <c r="AW1437" i="7"/>
  <c r="AW1314" i="7"/>
  <c r="AW2045" i="7"/>
  <c r="AW1539" i="7"/>
  <c r="AW1613" i="7"/>
  <c r="AW505" i="7"/>
  <c r="AW980" i="7"/>
  <c r="AW1476" i="7"/>
  <c r="AW1793" i="7"/>
  <c r="AW1449" i="7"/>
  <c r="AW339" i="7"/>
  <c r="AW1805" i="7"/>
  <c r="AW1443" i="7"/>
  <c r="AW668" i="7"/>
  <c r="AW1122" i="7"/>
  <c r="AW362" i="7"/>
  <c r="AW2189" i="7"/>
  <c r="AW679" i="7"/>
  <c r="AW691" i="7"/>
  <c r="AW2056" i="7"/>
  <c r="AW461" i="7"/>
  <c r="AW1487" i="7"/>
  <c r="AW2036" i="7"/>
  <c r="AW2114" i="7"/>
  <c r="AW380" i="7"/>
  <c r="AW1658" i="7"/>
  <c r="AW2159" i="7"/>
  <c r="AW1013" i="7"/>
  <c r="AW655" i="7"/>
  <c r="AW1143" i="7"/>
  <c r="AW692" i="7"/>
  <c r="AW618" i="7"/>
  <c r="AW2080" i="7"/>
  <c r="AW1240" i="7"/>
  <c r="AW1758" i="7"/>
  <c r="AW1899" i="7"/>
  <c r="AW2271" i="7"/>
  <c r="AW1802" i="7"/>
  <c r="AW128" i="7"/>
  <c r="AW2142" i="7"/>
  <c r="AW869" i="7"/>
  <c r="AW1362" i="7"/>
  <c r="AW829" i="7"/>
  <c r="AW1379" i="7"/>
  <c r="AW500" i="7"/>
  <c r="AW493" i="7"/>
  <c r="AW1325" i="7"/>
  <c r="AW1129" i="7"/>
  <c r="AW1562" i="7"/>
  <c r="AW1682" i="7"/>
  <c r="AW556" i="7"/>
  <c r="AW1418" i="7"/>
  <c r="AW1053" i="7"/>
  <c r="AW2076" i="7"/>
  <c r="AW746" i="7"/>
  <c r="AW1227" i="7"/>
  <c r="AW1303" i="7"/>
  <c r="AW1716" i="7"/>
  <c r="AW2206" i="7"/>
  <c r="AW844" i="7"/>
  <c r="AW1545" i="7"/>
  <c r="AW392" i="7"/>
  <c r="AW743" i="7"/>
  <c r="AW1817" i="7"/>
  <c r="AW2127" i="7"/>
  <c r="AW892" i="7"/>
  <c r="AW1228" i="7"/>
  <c r="AW1589" i="7"/>
  <c r="AW139" i="7"/>
  <c r="AW138" i="7"/>
  <c r="AW196" i="7"/>
  <c r="AW197" i="7"/>
  <c r="AW195" i="7"/>
  <c r="AW1727" i="7"/>
  <c r="AW1328" i="7"/>
  <c r="AW923" i="7"/>
  <c r="AW457" i="7"/>
  <c r="AW1608" i="7"/>
  <c r="AW1304" i="7"/>
  <c r="AW1287" i="7"/>
  <c r="AW1762" i="7"/>
  <c r="AW189" i="7"/>
  <c r="AW1416" i="7"/>
  <c r="AW718" i="7"/>
  <c r="AW673" i="7"/>
  <c r="AW737" i="7"/>
  <c r="AW924" i="7"/>
  <c r="AW1177" i="7"/>
  <c r="AW1842" i="7"/>
  <c r="AW835" i="7"/>
  <c r="AW1441" i="7"/>
  <c r="AW499" i="7"/>
  <c r="AW2015" i="7"/>
  <c r="AW1331" i="7"/>
  <c r="AW1318" i="7"/>
  <c r="AW2102" i="7"/>
  <c r="AW1196" i="7"/>
  <c r="AW277" i="7"/>
  <c r="AW687" i="7"/>
  <c r="AW579" i="7"/>
  <c r="AW1057" i="7"/>
  <c r="AW1642" i="7"/>
  <c r="AW1821" i="7"/>
  <c r="AW715" i="7"/>
  <c r="AW1754" i="7"/>
  <c r="AW1384" i="7"/>
  <c r="AW698" i="7"/>
  <c r="AW1398" i="7"/>
  <c r="AW934" i="7"/>
  <c r="AW1740" i="7"/>
  <c r="AW2146" i="7"/>
  <c r="AW302" i="7"/>
  <c r="AW627" i="7"/>
  <c r="AW870" i="7"/>
  <c r="AW1373" i="7"/>
  <c r="AW1124" i="7"/>
  <c r="AW1173" i="7"/>
  <c r="AW1900" i="7"/>
  <c r="AW1380" i="7"/>
  <c r="AW1518" i="7"/>
  <c r="AW555" i="7"/>
  <c r="AW329" i="7"/>
  <c r="AW1410" i="7"/>
  <c r="AW553" i="7"/>
  <c r="AW644" i="7"/>
  <c r="AW1946" i="7"/>
  <c r="AW1677" i="7"/>
  <c r="AW575" i="7"/>
  <c r="AW711" i="7"/>
  <c r="AW1672" i="7"/>
  <c r="AW307" i="7"/>
  <c r="AW8" i="7"/>
  <c r="AW305" i="7"/>
  <c r="AW1467" i="7"/>
  <c r="AW2265" i="7"/>
  <c r="AW634" i="7"/>
  <c r="AW931" i="7"/>
  <c r="AW1251" i="7"/>
  <c r="AW1488" i="7"/>
  <c r="AW1584" i="7"/>
  <c r="AW1599" i="7"/>
  <c r="AW702" i="7"/>
  <c r="AW2251" i="7"/>
  <c r="AW1527" i="7"/>
  <c r="AW2066" i="7"/>
  <c r="AW1311" i="7"/>
  <c r="AW1400" i="7"/>
  <c r="AW496" i="7"/>
  <c r="AW1363" i="7"/>
  <c r="AW694" i="7"/>
  <c r="AW985" i="7"/>
  <c r="AW359" i="7"/>
  <c r="AW2091" i="7"/>
  <c r="AW936" i="7"/>
  <c r="AW2088" i="7"/>
  <c r="AW2262" i="7"/>
  <c r="AW1142" i="7"/>
  <c r="AW1929" i="7"/>
  <c r="AW957" i="7"/>
  <c r="AW1833" i="7"/>
  <c r="AW239" i="7"/>
  <c r="AW678" i="7"/>
  <c r="AW922" i="7"/>
  <c r="AW681" i="7"/>
  <c r="AW788" i="7"/>
  <c r="AW1848" i="7"/>
  <c r="AW1192" i="7"/>
  <c r="AW847" i="7"/>
  <c r="AW1558" i="7"/>
  <c r="AW1847" i="7"/>
  <c r="AW2205" i="7"/>
  <c r="AW1816" i="7"/>
  <c r="AW432" i="7"/>
  <c r="AW1906" i="7"/>
  <c r="AW1668" i="7"/>
  <c r="AW2245" i="7"/>
  <c r="AW1934" i="7"/>
  <c r="AW778" i="7"/>
  <c r="AW897" i="7"/>
  <c r="AW1987" i="7"/>
  <c r="AW1781" i="7"/>
  <c r="AW1490" i="7"/>
  <c r="AW1646" i="7"/>
  <c r="AW1460" i="7"/>
  <c r="AW1480" i="7"/>
  <c r="AW1659" i="7"/>
  <c r="AW728" i="7"/>
  <c r="AW1641" i="7"/>
  <c r="AW1932" i="7"/>
  <c r="AW291" i="7"/>
  <c r="AW1786" i="7"/>
  <c r="AW398" i="7"/>
  <c r="AW1312" i="7"/>
  <c r="AW2274" i="7"/>
  <c r="AW2227" i="7"/>
  <c r="AW2090" i="7"/>
  <c r="AW1862" i="7"/>
  <c r="AW1447" i="7"/>
  <c r="AW629" i="7"/>
  <c r="AW2252" i="7"/>
  <c r="AW2272" i="7"/>
  <c r="AW1719" i="7"/>
  <c r="AW503" i="7"/>
  <c r="AW6" i="7"/>
  <c r="AW2120" i="7"/>
  <c r="AW2074" i="7"/>
  <c r="AW1152" i="7"/>
  <c r="AW1943" i="7"/>
  <c r="AW68" i="7"/>
  <c r="AW1462" i="7"/>
  <c r="AW741" i="7"/>
  <c r="AW1383" i="7"/>
  <c r="AW406" i="7"/>
  <c r="AW925" i="7"/>
  <c r="AW1638" i="7"/>
  <c r="AW1866" i="7"/>
  <c r="AW2131" i="7"/>
  <c r="AW2075" i="7"/>
  <c r="AW2277" i="7"/>
  <c r="AW1008" i="7"/>
  <c r="AW2093" i="7"/>
  <c r="AW1790" i="7"/>
  <c r="AW538" i="7"/>
  <c r="AW2259" i="7"/>
  <c r="AW2047" i="7"/>
  <c r="AW478" i="7"/>
  <c r="AW1159" i="7"/>
  <c r="AW2193" i="7"/>
  <c r="AW276" i="7"/>
  <c r="AW1666" i="7"/>
  <c r="AW341" i="7"/>
  <c r="AW1776" i="7"/>
  <c r="AW214" i="7"/>
  <c r="AW2108" i="7"/>
  <c r="AW1849" i="7"/>
  <c r="AW729" i="7"/>
  <c r="AW812" i="7"/>
  <c r="AW1924" i="7"/>
  <c r="AW533" i="7"/>
  <c r="AW1670" i="7"/>
  <c r="AW831" i="7"/>
  <c r="AW1225" i="7"/>
  <c r="AW364" i="7"/>
  <c r="AW2122" i="7"/>
  <c r="AW860" i="7"/>
  <c r="AW386" i="7"/>
  <c r="AW363" i="7"/>
  <c r="AW2081" i="7"/>
  <c r="AW1475" i="7"/>
  <c r="AW1764" i="7"/>
  <c r="AW2099" i="7"/>
  <c r="AW1166" i="7"/>
  <c r="AW2117" i="7"/>
  <c r="AW99" i="7"/>
  <c r="AW2230" i="7"/>
  <c r="AW725" i="7"/>
  <c r="AW1009" i="7"/>
  <c r="AW2101" i="7"/>
  <c r="AW2232" i="7"/>
  <c r="AW537" i="7"/>
  <c r="AW1183" i="7"/>
  <c r="AW896" i="7"/>
  <c r="AW1399" i="7"/>
  <c r="AW2112" i="7"/>
  <c r="AW2175" i="7"/>
  <c r="AW2208" i="7"/>
  <c r="AW1385" i="7"/>
  <c r="AW357" i="7"/>
  <c r="AW1623" i="7"/>
  <c r="AW2233" i="7"/>
  <c r="AW1751" i="7"/>
  <c r="AW407" i="7"/>
  <c r="AW2153" i="7"/>
  <c r="AW2162" i="7"/>
  <c r="AW2195" i="7"/>
  <c r="AW2145" i="7"/>
  <c r="AW852" i="7"/>
  <c r="AW2132" i="7"/>
  <c r="AW1652" i="7"/>
  <c r="AW502" i="7"/>
  <c r="AW1893" i="7"/>
  <c r="AW745" i="7"/>
  <c r="AW1391" i="7"/>
  <c r="AW1840" i="7"/>
  <c r="AW1444" i="7"/>
  <c r="AW909" i="7"/>
  <c r="AW345" i="7"/>
  <c r="AW558" i="7"/>
  <c r="AW1814" i="7"/>
  <c r="AW2087" i="7"/>
  <c r="AW1867" i="7"/>
  <c r="AW1800" i="7"/>
  <c r="AW405" i="7"/>
  <c r="AW1495" i="7"/>
  <c r="AW1439" i="7"/>
  <c r="AW2086" i="7"/>
  <c r="AW279" i="7"/>
  <c r="AW1714" i="7"/>
  <c r="AW375" i="7"/>
  <c r="AW1865" i="7"/>
  <c r="AW1846" i="7"/>
  <c r="AW2178" i="7"/>
  <c r="AW1538" i="7"/>
  <c r="AW1631" i="7"/>
  <c r="AW2207" i="7"/>
  <c r="AW920" i="7"/>
  <c r="AW117" i="7"/>
  <c r="AW1907" i="7"/>
  <c r="AW1657" i="7"/>
  <c r="AW1624" i="7"/>
  <c r="AW1890" i="7"/>
  <c r="AW2254" i="7"/>
  <c r="AW1633" i="7"/>
  <c r="AW2194" i="7"/>
  <c r="AW1396" i="7"/>
  <c r="AW1002" i="7"/>
  <c r="AW1861" i="7"/>
  <c r="AW256" i="7"/>
  <c r="AW2257" i="7"/>
  <c r="AW310" i="7"/>
  <c r="AW2260" i="7"/>
  <c r="AW2092" i="7"/>
  <c r="AW2116" i="7"/>
  <c r="AV2202" i="7"/>
  <c r="AV941" i="7"/>
  <c r="AV218" i="7"/>
  <c r="AV215" i="7"/>
  <c r="AV219" i="7"/>
  <c r="AV222" i="7"/>
  <c r="AV216" i="7"/>
  <c r="AV220" i="7"/>
  <c r="AV221" i="7"/>
  <c r="AV217" i="7"/>
  <c r="AV1902" i="7"/>
  <c r="AV2198" i="7"/>
  <c r="AV2201" i="7"/>
  <c r="AV2094" i="7"/>
  <c r="AV1858" i="7"/>
  <c r="AV2097" i="7"/>
  <c r="AV1406" i="7"/>
  <c r="AV1857" i="7"/>
  <c r="AV2028" i="7"/>
  <c r="AV1651" i="7"/>
  <c r="AV1936" i="7"/>
  <c r="AV1784" i="7"/>
  <c r="AV2069" i="7"/>
  <c r="AV1405" i="7"/>
  <c r="AV1908" i="7"/>
  <c r="AV1845" i="7"/>
  <c r="AV1045" i="7"/>
  <c r="AV2096" i="7"/>
  <c r="AV646" i="7"/>
  <c r="AV2095" i="7"/>
  <c r="AV1696" i="7"/>
  <c r="AV1549" i="7"/>
  <c r="AV1773" i="7"/>
  <c r="AV2255" i="7"/>
  <c r="AV1338" i="7"/>
  <c r="AV1938" i="7"/>
  <c r="AV748" i="7"/>
  <c r="AV1236" i="7"/>
  <c r="AV1158" i="7"/>
  <c r="AV1179" i="7"/>
  <c r="AV1809" i="7"/>
  <c r="AV1345" i="7"/>
  <c r="AV2051" i="7"/>
  <c r="AV1214" i="7"/>
  <c r="AV1572" i="7"/>
  <c r="AV2147" i="7"/>
  <c r="AV2176" i="7"/>
  <c r="AV1407" i="7"/>
  <c r="AV1452" i="7"/>
  <c r="AV1691" i="7"/>
  <c r="AV1298" i="7"/>
  <c r="AV2200" i="7"/>
  <c r="AV881" i="7"/>
  <c r="AV1224" i="7"/>
  <c r="AV252" i="7"/>
  <c r="AV759" i="7"/>
  <c r="AV1051" i="7"/>
  <c r="AV1684" i="7"/>
  <c r="AV680" i="7"/>
  <c r="AV1647" i="7"/>
  <c r="AV1062" i="7"/>
  <c r="AV1945" i="7"/>
  <c r="AV1453" i="7"/>
  <c r="AV2008" i="7"/>
  <c r="AV1421" i="7"/>
  <c r="AV1892" i="7"/>
  <c r="AV871" i="7"/>
  <c r="AV1023" i="7"/>
  <c r="AV882" i="7"/>
  <c r="AV1995" i="7"/>
  <c r="AV1060" i="7"/>
  <c r="AV1231" i="7"/>
  <c r="AV1872" i="7"/>
  <c r="AV821" i="7"/>
  <c r="AV1285" i="7"/>
  <c r="AV1859" i="7"/>
  <c r="AV1178" i="7"/>
  <c r="AV986" i="7"/>
  <c r="AV289" i="7"/>
  <c r="AV1721" i="7"/>
  <c r="AV1482" i="7"/>
  <c r="AV2167" i="7"/>
  <c r="AV1035" i="7"/>
  <c r="AV1951" i="7"/>
  <c r="AV888" i="7"/>
  <c r="AV580" i="7"/>
  <c r="AV1501" i="7"/>
  <c r="AV1194" i="7"/>
  <c r="AV1247" i="7"/>
  <c r="AV1445" i="7"/>
  <c r="AV738" i="7"/>
  <c r="AV2049" i="7"/>
  <c r="AV697" i="7"/>
  <c r="AV1180" i="7"/>
  <c r="AV559" i="7"/>
  <c r="AV1030" i="7"/>
  <c r="AV836" i="7"/>
  <c r="AV562" i="7"/>
  <c r="AV2171" i="7"/>
  <c r="AV1856" i="7"/>
  <c r="AV960" i="7"/>
  <c r="AV839" i="7"/>
  <c r="AV2057" i="7"/>
  <c r="AV1937" i="7"/>
  <c r="AV865" i="7"/>
  <c r="AV820" i="7"/>
  <c r="AV1169" i="7"/>
  <c r="AV2052" i="7"/>
  <c r="AV2139" i="7"/>
  <c r="AV858" i="7"/>
  <c r="AV2105" i="7"/>
  <c r="AV251" i="7"/>
  <c r="AV744" i="7"/>
  <c r="AV1423" i="7"/>
  <c r="AV1739" i="7"/>
  <c r="AV1376" i="7"/>
  <c r="AV1546" i="7"/>
  <c r="AV783" i="7"/>
  <c r="AV1969" i="7"/>
  <c r="AV1687" i="7"/>
  <c r="AV294" i="7"/>
  <c r="AV621" i="7"/>
  <c r="AV1621" i="7"/>
  <c r="AV1620" i="7"/>
  <c r="AV625" i="7"/>
  <c r="AV253" i="7"/>
  <c r="AV2134" i="7"/>
  <c r="AV319" i="7"/>
  <c r="AV1697" i="7"/>
  <c r="AV1413" i="7"/>
  <c r="AV1499" i="7"/>
  <c r="AV1685" i="7"/>
  <c r="AV1429" i="7"/>
  <c r="AV1195" i="7"/>
  <c r="AV710" i="7"/>
  <c r="AV1220" i="7"/>
  <c r="AV1084" i="7"/>
  <c r="AV1871" i="7"/>
  <c r="AV1920" i="7"/>
  <c r="AV1290" i="7"/>
  <c r="AV361" i="7"/>
  <c r="AV384" i="7"/>
  <c r="AV385" i="7"/>
  <c r="AV383" i="7"/>
  <c r="AV382" i="7"/>
  <c r="AV410" i="7"/>
  <c r="AV408" i="7"/>
  <c r="AV418" i="7"/>
  <c r="AV419" i="7"/>
  <c r="AV465" i="7"/>
  <c r="AV907" i="7"/>
  <c r="AV596" i="7"/>
  <c r="AV1254" i="7"/>
  <c r="AV1728" i="7"/>
  <c r="AV1944" i="7"/>
  <c r="AV1496" i="7"/>
  <c r="AV757" i="7"/>
  <c r="AV1578" i="7"/>
  <c r="AV2089" i="7"/>
  <c r="AV79" i="7"/>
  <c r="AV102" i="7"/>
  <c r="AV101" i="7"/>
  <c r="AV2022" i="7"/>
  <c r="AV1874" i="7"/>
  <c r="AV1737" i="7"/>
  <c r="AV80" i="7"/>
  <c r="AV82" i="7"/>
  <c r="AV81" i="7"/>
  <c r="AV100" i="7"/>
  <c r="AV103" i="7"/>
  <c r="AV1961" i="7"/>
  <c r="AV630" i="7"/>
  <c r="AV622" i="7"/>
  <c r="AV1446" i="7"/>
  <c r="AV381" i="7"/>
  <c r="AV1156" i="7"/>
  <c r="AV1778" i="7"/>
  <c r="AV780" i="7"/>
  <c r="AV595" i="7"/>
  <c r="AV1349" i="7"/>
  <c r="AV265" i="7"/>
  <c r="AV1176" i="7"/>
  <c r="AV1284" i="7"/>
  <c r="AV982" i="7"/>
  <c r="AV811" i="7"/>
  <c r="AV1186" i="7"/>
  <c r="AV331" i="7"/>
  <c r="AV1055" i="7"/>
  <c r="AV1200" i="7"/>
  <c r="AV1432" i="7"/>
  <c r="AV1168" i="7"/>
  <c r="AV2128" i="7"/>
  <c r="AV1082" i="7"/>
  <c r="AV2282" i="7"/>
  <c r="AV1288" i="7"/>
  <c r="AV249" i="7"/>
  <c r="AV316" i="7"/>
  <c r="AV640" i="7"/>
  <c r="AV765" i="7"/>
  <c r="AV1514" i="7"/>
  <c r="AV245" i="7"/>
  <c r="AV1068" i="7"/>
  <c r="AV1263" i="7"/>
  <c r="AV1269" i="7"/>
  <c r="AV1350" i="7"/>
  <c r="AV561" i="7"/>
  <c r="AV1940" i="7"/>
  <c r="AV409" i="7"/>
  <c r="AV427" i="7"/>
  <c r="AV424" i="7"/>
  <c r="AV429" i="7"/>
  <c r="AV421" i="7"/>
  <c r="AV585" i="7"/>
  <c r="AV2161" i="7"/>
  <c r="AV2098" i="7"/>
  <c r="AV1688" i="7"/>
  <c r="AV1941" i="7"/>
  <c r="AV1491" i="7"/>
  <c r="AV1243" i="7"/>
  <c r="AV1630" i="7"/>
  <c r="AV912" i="7"/>
  <c r="AV792" i="7"/>
  <c r="AV1024" i="7"/>
  <c r="AV141" i="7"/>
  <c r="AV213" i="7"/>
  <c r="AV1074" i="7"/>
  <c r="AV826" i="7"/>
  <c r="AV1942" i="7"/>
  <c r="AV144" i="7"/>
  <c r="AV1612" i="7"/>
  <c r="AV1607" i="7"/>
  <c r="AV1239" i="7"/>
  <c r="AV1403" i="7"/>
  <c r="AV1498" i="7"/>
  <c r="AV2111" i="7"/>
  <c r="AV55" i="7"/>
  <c r="AV814" i="7"/>
  <c r="AV1910" i="7"/>
  <c r="AV471" i="7"/>
  <c r="AV1911" i="7"/>
  <c r="AV1502" i="7"/>
  <c r="AV2199" i="7"/>
  <c r="AV1648" i="7"/>
  <c r="AV1109" i="7"/>
  <c r="AV1955" i="7"/>
  <c r="AV567" i="7"/>
  <c r="AV1516" i="7"/>
  <c r="AV1515" i="7"/>
  <c r="AV1984" i="7"/>
  <c r="AV1264" i="7"/>
  <c r="AV2141" i="7"/>
  <c r="AV118" i="7"/>
  <c r="AV140" i="7"/>
  <c r="AV1077" i="7"/>
  <c r="AV1305" i="7"/>
  <c r="AV1611" i="7"/>
  <c r="AV1448" i="7"/>
  <c r="AV660" i="7"/>
  <c r="AV846" i="7"/>
  <c r="AV1297" i="7"/>
  <c r="AV1237" i="7"/>
  <c r="AV464" i="7"/>
  <c r="AV961" i="7"/>
  <c r="AV1734" i="7"/>
  <c r="AV1333" i="7"/>
  <c r="AV1713" i="7"/>
  <c r="AV1854" i="7"/>
  <c r="AV449" i="7"/>
  <c r="AV487" i="7"/>
  <c r="AV1424" i="7"/>
  <c r="AV2169" i="7"/>
  <c r="AV661" i="7"/>
  <c r="AV942" i="7"/>
  <c r="AV1402" i="7"/>
  <c r="AV318" i="7"/>
  <c r="AV388" i="7"/>
  <c r="AV1125" i="7"/>
  <c r="AV1850" i="7"/>
  <c r="AV588" i="7"/>
  <c r="AV1983" i="7"/>
  <c r="AV879" i="7"/>
  <c r="AV350" i="7"/>
  <c r="AV598" i="7"/>
  <c r="AV2107" i="7"/>
  <c r="AV724" i="7"/>
  <c r="AV105" i="7"/>
  <c r="AV2061" i="7"/>
  <c r="AV1994" i="7"/>
  <c r="AV234" i="7"/>
  <c r="AV631" i="7"/>
  <c r="AV1040" i="7"/>
  <c r="AV1722" i="7"/>
  <c r="AV1732" i="7"/>
  <c r="AV2266" i="7"/>
  <c r="AV513" i="7"/>
  <c r="AV1080" i="7"/>
  <c r="AV1497" i="7"/>
  <c r="AV1935" i="7"/>
  <c r="AV2214" i="7"/>
  <c r="AV60" i="7"/>
  <c r="AV1187" i="7"/>
  <c r="AV2130" i="7"/>
  <c r="AV463" i="7"/>
  <c r="AV577" i="7"/>
  <c r="AV651" i="7"/>
  <c r="AV1036" i="7"/>
  <c r="AV1931" i="7"/>
  <c r="AV1197" i="7"/>
  <c r="AV1411" i="7"/>
  <c r="AV582" i="7"/>
  <c r="AV785" i="7"/>
  <c r="AV1206" i="7"/>
  <c r="AV2203" i="7"/>
  <c r="AV1451" i="7"/>
  <c r="AV1686" i="7"/>
  <c r="AV1547" i="7"/>
  <c r="AV1870" i="7"/>
  <c r="AV2012" i="7"/>
  <c r="AV1703" i="7"/>
  <c r="AV1127" i="7"/>
  <c r="AV205" i="7"/>
  <c r="AV1508" i="7"/>
  <c r="AV1673" i="7"/>
  <c r="AV969" i="7"/>
  <c r="AV1095" i="7"/>
  <c r="AV387" i="7"/>
  <c r="AV1775" i="7"/>
  <c r="AV1010" i="7"/>
  <c r="AV755" i="7"/>
  <c r="AV514" i="7"/>
  <c r="AV1559" i="7"/>
  <c r="AV848" i="7"/>
  <c r="AV1321" i="7"/>
  <c r="AV1950" i="7"/>
  <c r="AV2136" i="7"/>
  <c r="AV1494" i="7"/>
  <c r="AV1654" i="7"/>
  <c r="AV563" i="7"/>
  <c r="AV428" i="7"/>
  <c r="AV1308" i="7"/>
  <c r="AV48" i="7"/>
  <c r="AV1210" i="7"/>
  <c r="AV413" i="7"/>
  <c r="AV584" i="7"/>
  <c r="AV716" i="7"/>
  <c r="AV1112" i="7"/>
  <c r="AV452" i="7"/>
  <c r="AV1232" i="7"/>
  <c r="AV560" i="7"/>
  <c r="AV1889" i="7"/>
  <c r="AV653" i="7"/>
  <c r="AV1510" i="7"/>
  <c r="AV336" i="7"/>
  <c r="AV1201" i="7"/>
  <c r="AV809" i="7"/>
  <c r="AV1595" i="7"/>
  <c r="AV512" i="7"/>
  <c r="AV1171" i="7"/>
  <c r="AV1059" i="7"/>
  <c r="AV1234" i="7"/>
  <c r="AV2006" i="7"/>
  <c r="AV1838" i="7"/>
  <c r="AV2275" i="7"/>
  <c r="AV83" i="7"/>
  <c r="AV84" i="7"/>
  <c r="AV1939" i="7"/>
  <c r="AV1256" i="7"/>
  <c r="AV1977" i="7"/>
  <c r="AV236" i="7"/>
  <c r="AV230" i="7"/>
  <c r="AV228" i="7"/>
  <c r="AV231" i="7"/>
  <c r="AV227" i="7"/>
  <c r="AV224" i="7"/>
  <c r="AV225" i="7"/>
  <c r="AV226" i="7"/>
  <c r="AV1853" i="7"/>
  <c r="AV593" i="7"/>
  <c r="AV1090" i="7"/>
  <c r="AV1852" i="7"/>
  <c r="AV1971" i="7"/>
  <c r="AV1522" i="7"/>
  <c r="AV891" i="7"/>
  <c r="AV240" i="7"/>
  <c r="AV273" i="7"/>
  <c r="AV754" i="7"/>
  <c r="AV85" i="7"/>
  <c r="AV86" i="7"/>
  <c r="AV2177" i="7"/>
  <c r="AV1351" i="7"/>
  <c r="AV87" i="7"/>
  <c r="AV1026" i="7"/>
  <c r="AV209" i="7"/>
  <c r="AV1007" i="7"/>
  <c r="AV1699" i="7"/>
  <c r="AV1715" i="7"/>
  <c r="AV1215" i="7"/>
  <c r="AV1455" i="7"/>
  <c r="AV1609" i="7"/>
  <c r="AV1434" i="7"/>
  <c r="AV1876" i="7"/>
  <c r="AV600" i="7"/>
  <c r="AV2044" i="7"/>
  <c r="AV1119" i="7"/>
  <c r="AV88" i="7"/>
  <c r="AV740" i="7"/>
  <c r="AV1155" i="7"/>
  <c r="AV1096" i="7"/>
  <c r="AV282" i="7"/>
  <c r="AV1582" i="7"/>
  <c r="AV1855" i="7"/>
  <c r="AV1083" i="7"/>
  <c r="AV1213" i="7"/>
  <c r="AV764" i="7"/>
  <c r="AV52" i="7"/>
  <c r="AV943" i="7"/>
  <c r="AV1244" i="7"/>
  <c r="AV965" i="7"/>
  <c r="AV962" i="7"/>
  <c r="AV1395" i="7"/>
  <c r="AV1428" i="7"/>
  <c r="AV1596" i="7"/>
  <c r="AV1653" i="7"/>
  <c r="AV332" i="7"/>
  <c r="AV578" i="7"/>
  <c r="AV948" i="7"/>
  <c r="AV355" i="7"/>
  <c r="AV348" i="7"/>
  <c r="AV370" i="7"/>
  <c r="AV1787" i="7"/>
  <c r="AV1879" i="7"/>
  <c r="AV303" i="7"/>
  <c r="AV956" i="7"/>
  <c r="AV1070" i="7"/>
  <c r="AV1468" i="7"/>
  <c r="AV637" i="7"/>
  <c r="AV395" i="7"/>
  <c r="AV1199" i="7"/>
  <c r="AV1327" i="7"/>
  <c r="AV1337" i="7"/>
  <c r="AV24" i="7"/>
  <c r="AV50" i="7"/>
  <c r="AV1948" i="7"/>
  <c r="AV2032" i="7"/>
  <c r="AV543" i="7"/>
  <c r="AV2135" i="7"/>
  <c r="AV2229" i="7"/>
  <c r="AV787" i="7"/>
  <c r="AV1808" i="7"/>
  <c r="AV901" i="7"/>
  <c r="AV1252" i="7"/>
  <c r="AV393" i="7"/>
  <c r="AV772" i="7"/>
  <c r="AV7" i="7"/>
  <c r="AV107" i="7"/>
  <c r="AV1212" i="7"/>
  <c r="AV2238" i="7"/>
  <c r="AV1099" i="7"/>
  <c r="AV1294" i="7"/>
  <c r="AV1965" i="7"/>
  <c r="AV2104" i="7"/>
  <c r="AV919" i="7"/>
  <c r="AV1560" i="7"/>
  <c r="AV92" i="7"/>
  <c r="AV1690" i="7"/>
  <c r="AV714" i="7"/>
  <c r="AV1536" i="7"/>
  <c r="AV545" i="7"/>
  <c r="AV707" i="7"/>
  <c r="AV1184" i="7"/>
  <c r="AV2140" i="7"/>
  <c r="AV2138" i="7"/>
  <c r="AV237" i="7"/>
  <c r="AV248" i="7"/>
  <c r="AV684" i="7"/>
  <c r="AV1364" i="7"/>
  <c r="AV1674" i="7"/>
  <c r="AV89" i="7"/>
  <c r="AV51" i="7"/>
  <c r="AV2024" i="7"/>
  <c r="AV1061" i="7"/>
  <c r="AV770" i="7"/>
  <c r="AV800" i="7"/>
  <c r="AV996" i="7"/>
  <c r="AV369" i="7"/>
  <c r="AV587" i="7"/>
  <c r="AV2041" i="7"/>
  <c r="AV119" i="7"/>
  <c r="AV120" i="7"/>
  <c r="AV411" i="7"/>
  <c r="AV467" i="7"/>
  <c r="AV455" i="7"/>
  <c r="AV448" i="7"/>
  <c r="AV474" i="7"/>
  <c r="AV1054" i="7"/>
  <c r="AV1707" i="7"/>
  <c r="AV330" i="7"/>
  <c r="AV1724" i="7"/>
  <c r="AV2149" i="7"/>
  <c r="AV550" i="7"/>
  <c r="AV1770" i="7"/>
  <c r="AV1998" i="7"/>
  <c r="AV1693" i="7"/>
  <c r="AV349" i="7"/>
  <c r="AV1219" i="7"/>
  <c r="AV1794" i="7"/>
  <c r="AV262" i="7"/>
  <c r="AV1404" i="7"/>
  <c r="AV594" i="7"/>
  <c r="AV1711" i="7"/>
  <c r="AV2247" i="7"/>
  <c r="AV104" i="7"/>
  <c r="AV1649" i="7"/>
  <c r="AV576" i="7"/>
  <c r="AV807" i="7"/>
  <c r="AV290" i="7"/>
  <c r="AV607" i="7"/>
  <c r="AV2023" i="7"/>
  <c r="AV2155" i="7"/>
  <c r="AV784" i="7"/>
  <c r="AV967" i="7"/>
  <c r="AV1037" i="7"/>
  <c r="AV167" i="7"/>
  <c r="AV157" i="7"/>
  <c r="AV179" i="7"/>
  <c r="AV178" i="7"/>
  <c r="AV152" i="7"/>
  <c r="AV168" i="7"/>
  <c r="AV174" i="7"/>
  <c r="AV172" i="7"/>
  <c r="AV153" i="7"/>
  <c r="AV171" i="7"/>
  <c r="AV177" i="7"/>
  <c r="AV163" i="7"/>
  <c r="AV170" i="7"/>
  <c r="AV173" i="7"/>
  <c r="AV175" i="7"/>
  <c r="AV164" i="7"/>
  <c r="AV166" i="7"/>
  <c r="AV165" i="7"/>
  <c r="AV162" i="7"/>
  <c r="AV161" i="7"/>
  <c r="AV498" i="7"/>
  <c r="AV752" i="7"/>
  <c r="AV867" i="7"/>
  <c r="AV786" i="7"/>
  <c r="AV705" i="7"/>
  <c r="AV1223" i="7"/>
  <c r="AV1409" i="7"/>
  <c r="AV132" i="7"/>
  <c r="AV959" i="7"/>
  <c r="AV283" i="7"/>
  <c r="AV1056" i="7"/>
  <c r="AV347" i="7"/>
  <c r="AV825" i="7"/>
  <c r="AV1725" i="7"/>
  <c r="AV981" i="7"/>
  <c r="AV1209" i="7"/>
  <c r="AV479" i="7"/>
  <c r="AV360" i="7"/>
  <c r="AV995" i="7"/>
  <c r="AV1094" i="7"/>
  <c r="AV1161" i="7"/>
  <c r="AV1736" i="7"/>
  <c r="AV1953" i="7"/>
  <c r="AV356" i="7"/>
  <c r="AV2119" i="7"/>
  <c r="AV1493" i="7"/>
  <c r="AV886" i="7"/>
  <c r="AV374" i="7"/>
  <c r="AV1730" i="7"/>
  <c r="AV898" i="7"/>
  <c r="AV1695" i="7"/>
  <c r="AV837" i="7"/>
  <c r="AV1720" i="7"/>
  <c r="AV17" i="7"/>
  <c r="AV626" i="7"/>
  <c r="AV796" i="7"/>
  <c r="AV1513" i="7"/>
  <c r="AV2150" i="7"/>
  <c r="AV2151" i="7"/>
  <c r="AV1271" i="7"/>
  <c r="AV116" i="7"/>
  <c r="AV1242" i="7"/>
  <c r="AV958" i="7"/>
  <c r="AV446" i="7"/>
  <c r="AV311" i="7"/>
  <c r="AV1123" i="7"/>
  <c r="AV2196" i="7"/>
  <c r="AV26" i="7"/>
  <c r="AV27" i="7"/>
  <c r="AV28" i="7"/>
  <c r="AV29" i="7"/>
  <c r="AV30" i="7"/>
  <c r="AV31" i="7"/>
  <c r="AV32" i="7"/>
  <c r="AV33" i="7"/>
  <c r="AV34" i="7"/>
  <c r="AV35" i="7"/>
  <c r="AV36" i="7"/>
  <c r="AV37" i="7"/>
  <c r="AV38" i="7"/>
  <c r="AV39" i="7"/>
  <c r="AV40" i="7"/>
  <c r="AV41" i="7"/>
  <c r="AV659" i="7"/>
  <c r="AV2001" i="7"/>
  <c r="AV1132" i="7"/>
  <c r="AV1160" i="7"/>
  <c r="AV106" i="7"/>
  <c r="AV1531" i="7"/>
  <c r="AV254" i="7"/>
  <c r="AV122" i="7"/>
  <c r="AV565" i="7"/>
  <c r="AV1671" i="7"/>
  <c r="AV1791" i="7"/>
  <c r="AV266" i="7"/>
  <c r="AV1619" i="7"/>
  <c r="AV1174" i="7"/>
  <c r="AV970" i="7"/>
  <c r="AV376" i="7"/>
  <c r="AV1625" i="7"/>
  <c r="AV371" i="7"/>
  <c r="AV1813" i="7"/>
  <c r="AV1733" i="7"/>
  <c r="AV368" i="7"/>
  <c r="AV1042" i="7"/>
  <c r="AV771" i="7"/>
  <c r="AV2228" i="7"/>
  <c r="AV250" i="7"/>
  <c r="AV1486" i="7"/>
  <c r="AV10" i="7"/>
  <c r="AV649" i="7"/>
  <c r="AV1885" i="7"/>
  <c r="AV654" i="7"/>
  <c r="AV1250" i="7"/>
  <c r="AV1521" i="7"/>
  <c r="AV628" i="7"/>
  <c r="AV1085" i="7"/>
  <c r="AV1204" i="7"/>
  <c r="AV1759" i="7"/>
  <c r="AV532" i="7"/>
  <c r="AV650" i="7"/>
  <c r="AV856" i="7"/>
  <c r="AV994" i="7"/>
  <c r="AV1067" i="7"/>
  <c r="AV1712" i="7"/>
  <c r="AV1113" i="7"/>
  <c r="AV937" i="7"/>
  <c r="AV64" i="7"/>
  <c r="AV63" i="7"/>
  <c r="AV797" i="7"/>
  <c r="AV523" i="7"/>
  <c r="AV549" i="7"/>
  <c r="AV645" i="7"/>
  <c r="AV895" i="7"/>
  <c r="AV2280" i="7"/>
  <c r="AV1374" i="7"/>
  <c r="AV25" i="7"/>
  <c r="AV180" i="7"/>
  <c r="AV524" i="7"/>
  <c r="AV90" i="7"/>
  <c r="AV1420" i="7"/>
  <c r="AV1587" i="7"/>
  <c r="AV1352" i="7"/>
  <c r="AV1962" i="7"/>
  <c r="AV1797" i="7"/>
  <c r="AV527" i="7"/>
  <c r="AV753" i="7"/>
  <c r="AV1533" i="7"/>
  <c r="AV1542" i="7"/>
  <c r="AV158" i="7"/>
  <c r="AV712" i="7"/>
  <c r="AV333" i="7"/>
  <c r="AV890" i="7"/>
  <c r="AV1456" i="7"/>
  <c r="AV1894" i="7"/>
  <c r="AV1767" i="7"/>
  <c r="AV91" i="7"/>
  <c r="AV608" i="7"/>
  <c r="AV445" i="7"/>
  <c r="AV94" i="7"/>
  <c r="AV93" i="7"/>
  <c r="AV108" i="7"/>
  <c r="AV109" i="7"/>
  <c r="AV111" i="7"/>
  <c r="AV112" i="7"/>
  <c r="AV202" i="7"/>
  <c r="AV447" i="7"/>
  <c r="AV206" i="7"/>
  <c r="AV207" i="7"/>
  <c r="AV1079" i="7"/>
  <c r="AV636" i="7"/>
  <c r="AV983" i="7"/>
  <c r="AV477" i="7"/>
  <c r="AV756" i="7"/>
  <c r="AV129" i="7"/>
  <c r="AV246" i="7"/>
  <c r="AV1811" i="7"/>
  <c r="AV1763" i="7"/>
  <c r="AV110" i="7"/>
  <c r="AV574" i="7"/>
  <c r="AV1975" i="7"/>
  <c r="AV135" i="7"/>
  <c r="AV300" i="7"/>
  <c r="AV324" i="7"/>
  <c r="AV2237" i="7"/>
  <c r="AV183" i="7"/>
  <c r="AV182" i="7"/>
  <c r="AV184" i="7"/>
  <c r="AV185" i="7"/>
  <c r="AV176" i="7"/>
  <c r="AV181" i="7"/>
  <c r="AV304" i="7"/>
  <c r="AV548" i="7"/>
  <c r="AV113" i="7"/>
  <c r="AV1519" i="7"/>
  <c r="AV431" i="7"/>
  <c r="AV2144" i="7"/>
  <c r="AV984" i="7"/>
  <c r="AV1557" i="7"/>
  <c r="AV1801" i="7"/>
  <c r="AV1718" i="7"/>
  <c r="AV805" i="7"/>
  <c r="AV1511" i="7"/>
  <c r="AV312" i="7"/>
  <c r="AV2165" i="7"/>
  <c r="AV1752" i="7"/>
  <c r="AV2191" i="7"/>
  <c r="AV604" i="7"/>
  <c r="AV2040" i="7"/>
  <c r="AV2187" i="7"/>
  <c r="AV1044" i="7"/>
  <c r="AV2005" i="7"/>
  <c r="AV2053" i="7"/>
  <c r="AV2137" i="7"/>
  <c r="AV462" i="7"/>
  <c r="AV1208" i="7"/>
  <c r="AV1221" i="7"/>
  <c r="AV2210" i="7"/>
  <c r="AV297" i="7"/>
  <c r="AV1669" i="7"/>
  <c r="AV521" i="7"/>
  <c r="AV2270" i="7"/>
  <c r="AV223" i="7"/>
  <c r="AV1069" i="7"/>
  <c r="AV255" i="7"/>
  <c r="AV321" i="7"/>
  <c r="AV1878" i="7"/>
  <c r="AV915" i="7"/>
  <c r="AV1011" i="7"/>
  <c r="AV1198" i="7"/>
  <c r="AV619" i="7"/>
  <c r="AV1507" i="7"/>
  <c r="AV76" i="7"/>
  <c r="AV73" i="7"/>
  <c r="AV72" i="7"/>
  <c r="AV71" i="7"/>
  <c r="AV481" i="7"/>
  <c r="AV968" i="7"/>
  <c r="AV1064" i="7"/>
  <c r="AV1706" i="7"/>
  <c r="AV147" i="7"/>
  <c r="AV443" i="7"/>
  <c r="AV832" i="7"/>
  <c r="AV963" i="7"/>
  <c r="AV1114" i="7"/>
  <c r="AV1128" i="7"/>
  <c r="AV1181" i="7"/>
  <c r="AV850" i="7"/>
  <c r="AV699" i="7"/>
  <c r="AV1078" i="7"/>
  <c r="AV1015" i="7"/>
  <c r="AV815" i="7"/>
  <c r="AV1525" i="7"/>
  <c r="AV2077" i="7"/>
  <c r="AV1550" i="7"/>
  <c r="AV12" i="7"/>
  <c r="AV662" i="7"/>
  <c r="AV1532" i="7"/>
  <c r="AV1442" i="7"/>
  <c r="AV143" i="7"/>
  <c r="AV268" i="7"/>
  <c r="AV583" i="7"/>
  <c r="AV1689" i="7"/>
  <c r="AV417" i="7"/>
  <c r="AV875" i="7"/>
  <c r="AV96" i="7"/>
  <c r="AV1768" i="7"/>
  <c r="AV1627" i="7"/>
  <c r="AV1966" i="7"/>
  <c r="AV320" i="7"/>
  <c r="AV287" i="7"/>
  <c r="AV2121" i="7"/>
  <c r="AV44" i="7"/>
  <c r="AV203" i="7"/>
  <c r="AV529" i="7"/>
  <c r="AV469" i="7"/>
  <c r="AV1274" i="7"/>
  <c r="AV2242" i="7"/>
  <c r="AV134" i="7"/>
  <c r="AV20" i="7"/>
  <c r="AV1478" i="7"/>
  <c r="AV21" i="7"/>
  <c r="AV768" i="7"/>
  <c r="AV47" i="7"/>
  <c r="AV46" i="7"/>
  <c r="AV54" i="7"/>
  <c r="AV53" i="7"/>
  <c r="AV435" i="7"/>
  <c r="AV953" i="7"/>
  <c r="AV1172" i="7"/>
  <c r="AV776" i="7"/>
  <c r="AV1235" i="7"/>
  <c r="AV1815" i="7"/>
  <c r="AV354" i="7"/>
  <c r="AV1882" i="7"/>
  <c r="AV1347" i="7"/>
  <c r="AV1976" i="7"/>
  <c r="AV2188" i="7"/>
  <c r="AV1656" i="7"/>
  <c r="AV1704" i="7"/>
  <c r="AV1744" i="7"/>
  <c r="AV1990" i="7"/>
  <c r="AV2197" i="7"/>
  <c r="AV1836" i="7"/>
  <c r="AV315" i="7"/>
  <c r="AV775" i="7"/>
  <c r="AV946" i="7"/>
  <c r="AV508" i="7"/>
  <c r="AV818" i="7"/>
  <c r="AV987" i="7"/>
  <c r="AV1075" i="7"/>
  <c r="AV285" i="7"/>
  <c r="AV2231" i="7"/>
  <c r="AV433" i="7"/>
  <c r="AV777" i="7"/>
  <c r="AV1484" i="7"/>
  <c r="AV1947" i="7"/>
  <c r="AV1048" i="7"/>
  <c r="AV1544" i="7"/>
  <c r="AV1356" i="7"/>
  <c r="AV1592" i="7"/>
  <c r="AV78" i="7"/>
  <c r="AV77" i="7"/>
  <c r="AV74" i="7"/>
  <c r="AV75" i="7"/>
  <c r="AV2157" i="7"/>
  <c r="AV56" i="7"/>
  <c r="AV599" i="7"/>
  <c r="AV1825" i="7"/>
  <c r="AV721" i="7"/>
  <c r="AV1102" i="7"/>
  <c r="AV1145" i="7"/>
  <c r="AV1756" i="7"/>
  <c r="AV1804" i="7"/>
  <c r="AV1101" i="7"/>
  <c r="AV2050" i="7"/>
  <c r="AV272" i="7"/>
  <c r="AV519" i="7"/>
  <c r="AV334" i="7"/>
  <c r="AV1262" i="7"/>
  <c r="AV1540" i="7"/>
  <c r="AV664" i="7"/>
  <c r="AV1914" i="7"/>
  <c r="AV351" i="7"/>
  <c r="AV434" i="7"/>
  <c r="AV833" i="7"/>
  <c r="AV1205" i="7"/>
  <c r="AV1909" i="7"/>
  <c r="AV1915" i="7"/>
  <c r="AV1968" i="7"/>
  <c r="AV338" i="7"/>
  <c r="AV1610" i="7"/>
  <c r="AV475" i="7"/>
  <c r="AV422" i="7"/>
  <c r="AV1341" i="7"/>
  <c r="AV1551" i="7"/>
  <c r="AV1749" i="7"/>
  <c r="AV854" i="7"/>
  <c r="AV1675" i="7"/>
  <c r="AV23" i="7"/>
  <c r="AV22" i="7"/>
  <c r="AV1884" i="7"/>
  <c r="AV841" i="7"/>
  <c r="AV1463" i="7"/>
  <c r="AV1919" i="7"/>
  <c r="AV1963" i="7"/>
  <c r="AV1222" i="7"/>
  <c r="AV804" i="7"/>
  <c r="AV1293" i="7"/>
  <c r="AV472" i="7"/>
  <c r="AV438" i="7"/>
  <c r="AV1361" i="7"/>
  <c r="AV1425" i="7"/>
  <c r="AV1912" i="7"/>
  <c r="AV2258" i="7"/>
  <c r="AV480" i="7"/>
  <c r="AV843" i="7"/>
  <c r="AV899" i="7"/>
  <c r="AV1492" i="7"/>
  <c r="AV1344" i="7"/>
  <c r="AV346" i="7"/>
  <c r="AV774" i="7"/>
  <c r="AV1731" i="7"/>
  <c r="AV1978" i="7"/>
  <c r="AV801" i="7"/>
  <c r="AV1343" i="7"/>
  <c r="AV1483" i="7"/>
  <c r="AV531" i="7"/>
  <c r="AV1454" i="7"/>
  <c r="AV1692" i="7"/>
  <c r="AV590" i="7"/>
  <c r="AV2007" i="7"/>
  <c r="AV2033" i="7"/>
  <c r="AV146" i="7"/>
  <c r="AV264" i="7"/>
  <c r="AV506" i="7"/>
  <c r="AV658" i="7"/>
  <c r="AV1281" i="7"/>
  <c r="AV1461" i="7"/>
  <c r="AV1757" i="7"/>
  <c r="AV115" i="7"/>
  <c r="AV1073" i="7"/>
  <c r="AV1259" i="7"/>
  <c r="AV1535" i="7"/>
  <c r="AV1664" i="7"/>
  <c r="AV643" i="7"/>
  <c r="AV1415" i="7"/>
  <c r="AV1761" i="7"/>
  <c r="AV2268" i="7"/>
  <c r="AV552" i="7"/>
  <c r="AV2158" i="7"/>
  <c r="AV1982" i="7"/>
  <c r="AV739" i="7"/>
  <c r="AV1047" i="7"/>
  <c r="AV2071" i="7"/>
  <c r="AV570" i="7"/>
  <c r="AV1710" i="7"/>
  <c r="AV1886" i="7"/>
  <c r="AV284" i="7"/>
  <c r="AV414" i="7"/>
  <c r="AV799" i="7"/>
  <c r="AV1157" i="7"/>
  <c r="AV592" i="7"/>
  <c r="AV794" i="7"/>
  <c r="AV473" i="7"/>
  <c r="AV2027" i="7"/>
  <c r="AV511" i="7"/>
  <c r="AV1959" i="7"/>
  <c r="AV394" i="7"/>
  <c r="AV803" i="7"/>
  <c r="AV945" i="7"/>
  <c r="AV1017" i="7"/>
  <c r="AV1952" i="7"/>
  <c r="AV2037" i="7"/>
  <c r="AV751" i="7"/>
  <c r="AV1895" i="7"/>
  <c r="AV1999" i="7"/>
  <c r="AV1458" i="7"/>
  <c r="AV1789" i="7"/>
  <c r="AV439" i="7"/>
  <c r="AV1103" i="7"/>
  <c r="AV1427" i="7"/>
  <c r="AV389" i="7"/>
  <c r="AV1226" i="7"/>
  <c r="AV1216" i="7"/>
  <c r="AV9" i="7"/>
  <c r="AV242" i="7"/>
  <c r="AV1426" i="7"/>
  <c r="AV1552" i="7"/>
  <c r="AV1489" i="7"/>
  <c r="AV1265" i="7"/>
  <c r="AV1506" i="7"/>
  <c r="AV61" i="7"/>
  <c r="AV722" i="7"/>
  <c r="AV1957" i="7"/>
  <c r="AV782" i="7"/>
  <c r="AV779" i="7"/>
  <c r="AV1537" i="7"/>
  <c r="AV1500" i="7"/>
  <c r="AV442" i="7"/>
  <c r="AV566" i="7"/>
  <c r="AV1464" i="7"/>
  <c r="AV151" i="7"/>
  <c r="AV149" i="7"/>
  <c r="AV340" i="7"/>
  <c r="AV1575" i="7"/>
  <c r="AV1698" i="7"/>
  <c r="AV993" i="7"/>
  <c r="AV1766" i="7"/>
  <c r="AV358" i="7"/>
  <c r="AV1530" i="7"/>
  <c r="AV1309" i="7"/>
  <c r="AV1655" i="7"/>
  <c r="AV1933" i="7"/>
  <c r="AV2009" i="7"/>
  <c r="AV639" i="7"/>
  <c r="AV1887" i="7"/>
  <c r="AV352" i="7"/>
  <c r="AV367" i="7"/>
  <c r="AV1512" i="7"/>
  <c r="AV306" i="7"/>
  <c r="AV1230" i="7"/>
  <c r="AV1390" i="7"/>
  <c r="AV1605" i="7"/>
  <c r="AV130" i="7"/>
  <c r="AV507" i="7"/>
  <c r="AV793" i="7"/>
  <c r="AV1526" i="7"/>
  <c r="AV377" i="7"/>
  <c r="AV696" i="7"/>
  <c r="AV887" i="7"/>
  <c r="AV906" i="7"/>
  <c r="AV441" i="7"/>
  <c r="AV437" i="7"/>
  <c r="AV232" i="7"/>
  <c r="AV1065" i="7"/>
  <c r="AV1367" i="7"/>
  <c r="AV1188" i="7"/>
  <c r="AV490" i="7"/>
  <c r="AV1033" i="7"/>
  <c r="AV1360" i="7"/>
  <c r="AV1366" i="7"/>
  <c r="AV1245" i="7"/>
  <c r="AV1357" i="7"/>
  <c r="AV1313" i="7"/>
  <c r="AV2030" i="7"/>
  <c r="AV199" i="7"/>
  <c r="AV212" i="7"/>
  <c r="AV781" i="7"/>
  <c r="AV991" i="7"/>
  <c r="AV1319" i="7"/>
  <c r="AV1414" i="7"/>
  <c r="AV1355" i="7"/>
  <c r="AV1875" i="7"/>
  <c r="AV864" i="7"/>
  <c r="AV1041" i="7"/>
  <c r="AV1371" i="7"/>
  <c r="AV1520" i="7"/>
  <c r="AV1590" i="7"/>
  <c r="AV1818" i="7"/>
  <c r="AV709" i="7"/>
  <c r="AV2013" i="7"/>
  <c r="AV261" i="7"/>
  <c r="AV1541" i="7"/>
  <c r="AV1063" i="7"/>
  <c r="AV313" i="7"/>
  <c r="AV921" i="7"/>
  <c r="AV910" i="7"/>
  <c r="AV1597" i="7"/>
  <c r="AV145" i="7"/>
  <c r="AV670" i="7"/>
  <c r="AV802" i="7"/>
  <c r="AV675" i="7"/>
  <c r="AV1954" i="7"/>
  <c r="AV2156" i="7"/>
  <c r="AV1873" i="7"/>
  <c r="AV337" i="7"/>
  <c r="AV972" i="7"/>
  <c r="AV1148" i="7"/>
  <c r="AV1306" i="7"/>
  <c r="AV1217" i="7"/>
  <c r="AV1431" i="7"/>
  <c r="AV2148" i="7"/>
  <c r="AV482" i="7"/>
  <c r="AV838" i="7"/>
  <c r="AV1466" i="7"/>
  <c r="AV1680" i="7"/>
  <c r="AV314" i="7"/>
  <c r="AV1332" i="7"/>
  <c r="AV278" i="7"/>
  <c r="AV546" i="7"/>
  <c r="AV1694" i="7"/>
  <c r="AV1233" i="7"/>
  <c r="AV657" i="7"/>
  <c r="AV1153" i="7"/>
  <c r="AV667" i="7"/>
  <c r="AV894" i="7"/>
  <c r="AV2058" i="7"/>
  <c r="AV244" i="7"/>
  <c r="AV1238" i="7"/>
  <c r="AV1992" i="7"/>
  <c r="AV615" i="7"/>
  <c r="AV1021" i="7"/>
  <c r="AV1717" i="7"/>
  <c r="AV1795" i="7"/>
  <c r="AV2213" i="7"/>
  <c r="AV1806" i="7"/>
  <c r="AV1058" i="7"/>
  <c r="AV1481" i="7"/>
  <c r="AV1278" i="7"/>
  <c r="AV606" i="7"/>
  <c r="AV325" i="7"/>
  <c r="AV518" i="7"/>
  <c r="AV1266" i="7"/>
  <c r="AV425" i="7"/>
  <c r="AV1218" i="7"/>
  <c r="AV1207" i="7"/>
  <c r="AV1315" i="7"/>
  <c r="AV863" i="7"/>
  <c r="AV539" i="7"/>
  <c r="AV544" i="7"/>
  <c r="AV620" i="7"/>
  <c r="AV1991" i="7"/>
  <c r="AV97" i="7"/>
  <c r="AV2106" i="7"/>
  <c r="AV15" i="7"/>
  <c r="AV1504" i="7"/>
  <c r="AV564" i="7"/>
  <c r="AV1569" i="7"/>
  <c r="AV1249" i="7"/>
  <c r="AV2031" i="7"/>
  <c r="AV295" i="7"/>
  <c r="AV353" i="7"/>
  <c r="AV1565" i="7"/>
  <c r="AV1735" i="7"/>
  <c r="AV14" i="7"/>
  <c r="AV2133" i="7"/>
  <c r="AV2002" i="7"/>
  <c r="AV400" i="7"/>
  <c r="AV420" i="7"/>
  <c r="AV1046" i="7"/>
  <c r="AV1115" i="7"/>
  <c r="AV45" i="7"/>
  <c r="AV188" i="7"/>
  <c r="AV2010" i="7"/>
  <c r="AV148" i="7"/>
  <c r="AV979" i="7"/>
  <c r="AV1087" i="7"/>
  <c r="AV1354" i="7"/>
  <c r="AV1571" i="7"/>
  <c r="AV1604" i="7"/>
  <c r="AV1988" i="7"/>
  <c r="AV59" i="7"/>
  <c r="AV1163" i="7"/>
  <c r="AV1830" i="7"/>
  <c r="AV2017" i="7"/>
  <c r="AV1019" i="7"/>
  <c r="AV1863" i="7"/>
  <c r="AV2263" i="7"/>
  <c r="AV317" i="7"/>
  <c r="AV816" i="7"/>
  <c r="AV1307" i="7"/>
  <c r="AV2281" i="7"/>
  <c r="AV1091" i="7"/>
  <c r="AV200" i="7"/>
  <c r="AV257" i="7"/>
  <c r="AV857" i="7"/>
  <c r="AV379" i="7"/>
  <c r="AV2223" i="7"/>
  <c r="AV2073" i="7"/>
  <c r="AV271" i="7"/>
  <c r="AV57" i="7"/>
  <c r="AV58" i="7"/>
  <c r="AV713" i="7"/>
  <c r="AV1098" i="7"/>
  <c r="AV880" i="7"/>
  <c r="AV1417" i="7"/>
  <c r="AV1028" i="7"/>
  <c r="AV150" i="7"/>
  <c r="AV154" i="7"/>
  <c r="AV156" i="7"/>
  <c r="AV155" i="7"/>
  <c r="AV1120" i="7"/>
  <c r="AV1049" i="7"/>
  <c r="AV98" i="7"/>
  <c r="AV270" i="7"/>
  <c r="AV2085" i="7"/>
  <c r="AV515" i="7"/>
  <c r="AV766" i="7"/>
  <c r="AV1100" i="7"/>
  <c r="AV121" i="7"/>
  <c r="AV609" i="7"/>
  <c r="AV2035" i="7"/>
  <c r="AV2063" i="7"/>
  <c r="AV971" i="7"/>
  <c r="AV1140" i="7"/>
  <c r="AV2164" i="7"/>
  <c r="AV1137" i="7"/>
  <c r="AV1829" i="7"/>
  <c r="AV1989" i="7"/>
  <c r="AV1272" i="7"/>
  <c r="AV1561" i="7"/>
  <c r="AV2216" i="7"/>
  <c r="AV1339" i="7"/>
  <c r="AV2038" i="7"/>
  <c r="AV989" i="7"/>
  <c r="AV1676" i="7"/>
  <c r="AV2109" i="7"/>
  <c r="AV1081" i="7"/>
  <c r="AV2278" i="7"/>
  <c r="AV591" i="7"/>
  <c r="AV1683" i="7"/>
  <c r="AV1509" i="7"/>
  <c r="AV269" i="7"/>
  <c r="AV404" i="7"/>
  <c r="AV2182" i="7"/>
  <c r="AV1705" i="7"/>
  <c r="AV323" i="7"/>
  <c r="AV1133" i="7"/>
  <c r="AV275" i="7"/>
  <c r="AV1827" i="7"/>
  <c r="AV186" i="7"/>
  <c r="AV1972" i="7"/>
  <c r="AV828" i="7"/>
  <c r="AV1824" i="7"/>
  <c r="AV1477" i="7"/>
  <c r="AV1556" i="7"/>
  <c r="AV396" i="7"/>
  <c r="AV486" i="7"/>
  <c r="AV951" i="7"/>
  <c r="AV1401" i="7"/>
  <c r="AV516" i="7"/>
  <c r="AV1372" i="7"/>
  <c r="AV198" i="7"/>
  <c r="AV517" i="7"/>
  <c r="AV2011" i="7"/>
  <c r="AV2003" i="7"/>
  <c r="AV990" i="7"/>
  <c r="AV133" i="7"/>
  <c r="AV456" i="7"/>
  <c r="AV717" i="7"/>
  <c r="AV1182" i="7"/>
  <c r="AV551" i="7"/>
  <c r="AV2256" i="7"/>
  <c r="AV1202" i="7"/>
  <c r="AV1378" i="7"/>
  <c r="AV1986" i="7"/>
  <c r="AV893" i="7"/>
  <c r="AV819" i="7"/>
  <c r="AV1742" i="7"/>
  <c r="AV2185" i="7"/>
  <c r="AV124" i="7"/>
  <c r="AV123" i="7"/>
  <c r="AV1253" i="7"/>
  <c r="AV1470" i="7"/>
  <c r="AV1111" i="7"/>
  <c r="AV1662" i="7"/>
  <c r="AV280" i="7"/>
  <c r="AV258" i="7"/>
  <c r="AV43" i="7"/>
  <c r="AV2279" i="7"/>
  <c r="AV1365" i="7"/>
  <c r="AV1523" i="7"/>
  <c r="AV1760" i="7"/>
  <c r="AV1348" i="7"/>
  <c r="AV822" i="7"/>
  <c r="AV1881" i="7"/>
  <c r="AV851" i="7"/>
  <c r="AV701" i="7"/>
  <c r="AV204" i="7"/>
  <c r="AV791" i="7"/>
  <c r="AV1268" i="7"/>
  <c r="AV1566" i="7"/>
  <c r="AV2261" i="7"/>
  <c r="AV1554" i="7"/>
  <c r="AV114" i="7"/>
  <c r="AV2125" i="7"/>
  <c r="AV1960" i="7"/>
  <c r="AV663" i="7"/>
  <c r="AV1819" i="7"/>
  <c r="AV2186" i="7"/>
  <c r="AV42" i="7"/>
  <c r="AV488" i="7"/>
  <c r="AV1134" i="7"/>
  <c r="AV1430" i="7"/>
  <c r="AV1746" i="7"/>
  <c r="AV1336" i="7"/>
  <c r="AV1904" i="7"/>
  <c r="AV760" i="7"/>
  <c r="AV2166" i="7"/>
  <c r="AV201" i="7"/>
  <c r="AV597" i="7"/>
  <c r="AV798" i="7"/>
  <c r="AV1016" i="7"/>
  <c r="AV690" i="7"/>
  <c r="AV789" i="7"/>
  <c r="AV1598" i="7"/>
  <c r="AV1052" i="7"/>
  <c r="AV726" i="7"/>
  <c r="AV1877" i="7"/>
  <c r="AV855" i="7"/>
  <c r="AV2248" i="7"/>
  <c r="AV13" i="7"/>
  <c r="AV761" i="7"/>
  <c r="AV1005" i="7"/>
  <c r="AV412" i="7"/>
  <c r="AV952" i="7"/>
  <c r="AV1629" i="7"/>
  <c r="AV1743" i="7"/>
  <c r="AV208" i="7"/>
  <c r="AV900" i="7"/>
  <c r="AV1273" i="7"/>
  <c r="AV1436" i="7"/>
  <c r="AV1729" i="7"/>
  <c r="AV1755" i="7"/>
  <c r="AV390" i="7"/>
  <c r="AV2212" i="7"/>
  <c r="AV365" i="7"/>
  <c r="AV1029" i="7"/>
  <c r="AV1191" i="7"/>
  <c r="AV1296" i="7"/>
  <c r="AV1970" i="7"/>
  <c r="AV1270" i="7"/>
  <c r="AV1956" i="7"/>
  <c r="AV669" i="7"/>
  <c r="AV509" i="7"/>
  <c r="AV1291" i="7"/>
  <c r="AV1616" i="7"/>
  <c r="AV1310" i="7"/>
  <c r="AV2143" i="7"/>
  <c r="AV1602" i="7"/>
  <c r="AV1780" i="7"/>
  <c r="AV1576" i="7"/>
  <c r="AV470" i="7"/>
  <c r="AV1050" i="7"/>
  <c r="AV589" i="7"/>
  <c r="AV1107" i="7"/>
  <c r="AV1949" i="7"/>
  <c r="AV2226" i="7"/>
  <c r="AV373" i="7"/>
  <c r="AV1369" i="7"/>
  <c r="AV1473" i="7"/>
  <c r="AV1324" i="7"/>
  <c r="AV1548" i="7"/>
  <c r="AV1807" i="7"/>
  <c r="AV16" i="7"/>
  <c r="AV233" i="7"/>
  <c r="AV1301" i="7"/>
  <c r="AV1723" i="7"/>
  <c r="AV1393" i="7"/>
  <c r="AV1162" i="7"/>
  <c r="AV2183" i="7"/>
  <c r="AV1302" i="7"/>
  <c r="AV5" i="7"/>
  <c r="AV210" i="7"/>
  <c r="AV522" i="7"/>
  <c r="AV586" i="7"/>
  <c r="AV1883" i="7"/>
  <c r="AV1665" i="7"/>
  <c r="AV2065" i="7"/>
  <c r="AV988" i="7"/>
  <c r="AV2055" i="7"/>
  <c r="AV611" i="7"/>
  <c r="AV747" i="7"/>
  <c r="AV1326" i="7"/>
  <c r="AV1170" i="7"/>
  <c r="AV1368" i="7"/>
  <c r="AV1603" i="7"/>
  <c r="AV520" i="7"/>
  <c r="AV1105" i="7"/>
  <c r="AV750" i="7"/>
  <c r="AV1471" i="7"/>
  <c r="AV70" i="7"/>
  <c r="AV2269" i="7"/>
  <c r="AV1901" i="7"/>
  <c r="AV1783" i="7"/>
  <c r="AV1772" i="7"/>
  <c r="AV581" i="7"/>
  <c r="AV903" i="7"/>
  <c r="AV974" i="7"/>
  <c r="AV916" i="7"/>
  <c r="AV808" i="7"/>
  <c r="AV883" i="7"/>
  <c r="AV19" i="7"/>
  <c r="AV624" i="7"/>
  <c r="AV1820" i="7"/>
  <c r="AV1923" i="7"/>
  <c r="AV2039" i="7"/>
  <c r="AV2043" i="7"/>
  <c r="AV866" i="7"/>
  <c r="AV1387" i="7"/>
  <c r="AV1260" i="7"/>
  <c r="AV1279" i="7"/>
  <c r="AV1485" i="7"/>
  <c r="AV235" i="7"/>
  <c r="AV342" i="7"/>
  <c r="AV1283" i="7"/>
  <c r="AV1116" i="7"/>
  <c r="AV2046" i="7"/>
  <c r="AV2" i="7"/>
  <c r="AV1292" i="7"/>
  <c r="AV1996" i="7"/>
  <c r="AV1450" i="7"/>
  <c r="AV762" i="7"/>
  <c r="AV749" i="7"/>
  <c r="AV1190" i="7"/>
  <c r="AV1131" i="7"/>
  <c r="AV1382" i="7"/>
  <c r="AV862" i="7"/>
  <c r="AV1277" i="7"/>
  <c r="AV2190" i="7"/>
  <c r="AV905" i="7"/>
  <c r="AV1958" i="7"/>
  <c r="AV602" i="7"/>
  <c r="AV1868" i="7"/>
  <c r="AV736" i="7"/>
  <c r="AV806" i="7"/>
  <c r="AV1038" i="7"/>
  <c r="AV1141" i="7"/>
  <c r="AV1667" i="7"/>
  <c r="AV2154" i="7"/>
  <c r="AV769" i="7"/>
  <c r="AV1066" i="7"/>
  <c r="AV1828" i="7"/>
  <c r="AV18" i="7"/>
  <c r="AV1981" i="7"/>
  <c r="AV2168" i="7"/>
  <c r="AV2064" i="7"/>
  <c r="AV731" i="7"/>
  <c r="AV2181" i="7"/>
  <c r="AV468" i="7"/>
  <c r="AV485" i="7"/>
  <c r="AV1573" i="7"/>
  <c r="AV1835" i="7"/>
  <c r="AV683" i="7"/>
  <c r="AV1144" i="7"/>
  <c r="AV1918" i="7"/>
  <c r="AV1993" i="7"/>
  <c r="AV834" i="7"/>
  <c r="AV127" i="7"/>
  <c r="AV1286" i="7"/>
  <c r="AV671" i="7"/>
  <c r="AV904" i="7"/>
  <c r="AV1275" i="7"/>
  <c r="AV842" i="7"/>
  <c r="AV1034" i="7"/>
  <c r="AV845" i="7"/>
  <c r="AV1130" i="7"/>
  <c r="AV1822" i="7"/>
  <c r="AV1138" i="7"/>
  <c r="AV2113" i="7"/>
  <c r="AV298" i="7"/>
  <c r="AV840" i="7"/>
  <c r="AV938" i="7"/>
  <c r="AV1377" i="7"/>
  <c r="AV612" i="7"/>
  <c r="AV1014" i="7"/>
  <c r="AV1025" i="7"/>
  <c r="AV877" i="7"/>
  <c r="AV861" i="7"/>
  <c r="AV259" i="7"/>
  <c r="AV326" i="7"/>
  <c r="AV849" i="7"/>
  <c r="AV973" i="7"/>
  <c r="AV1412" i="7"/>
  <c r="AV2234" i="7"/>
  <c r="AV159" i="7"/>
  <c r="AV1189" i="7"/>
  <c r="AV322" i="7"/>
  <c r="AV672" i="7"/>
  <c r="AV998" i="7"/>
  <c r="AV1579" i="7"/>
  <c r="AV2020" i="7"/>
  <c r="AV949" i="7"/>
  <c r="AV1771" i="7"/>
  <c r="AV2249" i="7"/>
  <c r="AV868" i="7"/>
  <c r="AV1167" i="7"/>
  <c r="AV1679" i="7"/>
  <c r="AV1093" i="7"/>
  <c r="AV613" i="7"/>
  <c r="AV2084" i="7"/>
  <c r="AV2250" i="7"/>
  <c r="AV483" i="7"/>
  <c r="AV677" i="7"/>
  <c r="AV2018" i="7"/>
  <c r="AV528" i="7"/>
  <c r="AV1282" i="7"/>
  <c r="AV1334" i="7"/>
  <c r="AV1617" i="7"/>
  <c r="AV954" i="7"/>
  <c r="AV976" i="7"/>
  <c r="AV2042" i="7"/>
  <c r="AV1323" i="7"/>
  <c r="AV2209" i="7"/>
  <c r="AV2034" i="7"/>
  <c r="AV444" i="7"/>
  <c r="AV1006" i="7"/>
  <c r="AV1088" i="7"/>
  <c r="AV1358" i="7"/>
  <c r="AV459" i="7"/>
  <c r="AV296" i="7"/>
  <c r="AV610" i="7"/>
  <c r="AV2103" i="7"/>
  <c r="AV947" i="7"/>
  <c r="AV1092" i="7"/>
  <c r="AV638" i="7"/>
  <c r="AV1408" i="7"/>
  <c r="AV343" i="7"/>
  <c r="AV535" i="7"/>
  <c r="AV666" i="7"/>
  <c r="AV964" i="7"/>
  <c r="AV1126" i="7"/>
  <c r="AV1594" i="7"/>
  <c r="AV703" i="7"/>
  <c r="AV1146" i="7"/>
  <c r="AV1469" i="7"/>
  <c r="AV1577" i="7"/>
  <c r="AV1020" i="7"/>
  <c r="AV1001" i="7"/>
  <c r="AV1329" i="7"/>
  <c r="AV758" i="7"/>
  <c r="AV1394" i="7"/>
  <c r="AV366" i="7"/>
  <c r="AV1534" i="7"/>
  <c r="AV1851" i="7"/>
  <c r="AV2174" i="7"/>
  <c r="AV1568" i="7"/>
  <c r="AV876" i="7"/>
  <c r="AV1553" i="7"/>
  <c r="AV554" i="7"/>
  <c r="AV2060" i="7"/>
  <c r="AV2173" i="7"/>
  <c r="AV939" i="7"/>
  <c r="AV1359" i="7"/>
  <c r="AV1071" i="7"/>
  <c r="AV2215" i="7"/>
  <c r="AV229" i="7"/>
  <c r="AV1375" i="7"/>
  <c r="AV1386" i="7"/>
  <c r="AV2180" i="7"/>
  <c r="AV1022" i="7"/>
  <c r="AV647" i="7"/>
  <c r="AV2124" i="7"/>
  <c r="AV1149" i="7"/>
  <c r="AV1928" i="7"/>
  <c r="AV1503" i="7"/>
  <c r="AV510" i="7"/>
  <c r="AV997" i="7"/>
  <c r="AV1472" i="7"/>
  <c r="AV1753" i="7"/>
  <c r="AV190" i="7"/>
  <c r="AV623" i="7"/>
  <c r="AV1622" i="7"/>
  <c r="AV853" i="7"/>
  <c r="AV1388" i="7"/>
  <c r="AV2218" i="7"/>
  <c r="AV1039" i="7"/>
  <c r="AV1774" i="7"/>
  <c r="AV940" i="7"/>
  <c r="AV2246" i="7"/>
  <c r="AV267" i="7"/>
  <c r="AV2220" i="7"/>
  <c r="AV1709" i="7"/>
  <c r="AV2211" i="7"/>
  <c r="AV1012" i="7"/>
  <c r="AV2078" i="7"/>
  <c r="AV526" i="7"/>
  <c r="AV1810" i="7"/>
  <c r="AV1086" i="7"/>
  <c r="AV430" i="7"/>
  <c r="AV1921" i="7"/>
  <c r="AV688" i="7"/>
  <c r="AV902" i="7"/>
  <c r="AV1110" i="7"/>
  <c r="AV1353" i="7"/>
  <c r="AV2172" i="7"/>
  <c r="AV823" i="7"/>
  <c r="AV1896" i="7"/>
  <c r="AV344" i="7"/>
  <c r="AV423" i="7"/>
  <c r="AV932" i="7"/>
  <c r="AV1440" i="7"/>
  <c r="AV397" i="7"/>
  <c r="AV648" i="7"/>
  <c r="AV1626" i="7"/>
  <c r="AV260" i="7"/>
  <c r="AV767" i="7"/>
  <c r="AV495" i="7"/>
  <c r="AV635" i="7"/>
  <c r="AV1917" i="7"/>
  <c r="AV1702" i="7"/>
  <c r="AV1843" i="7"/>
  <c r="AV1574" i="7"/>
  <c r="AV1831" i="7"/>
  <c r="AV160" i="7"/>
  <c r="AV704" i="7"/>
  <c r="AV1927" i="7"/>
  <c r="AV466" i="7"/>
  <c r="AV501" i="7"/>
  <c r="AV1248" i="7"/>
  <c r="AV1891" i="7"/>
  <c r="AV2029" i="7"/>
  <c r="AV830" i="7"/>
  <c r="AV2239" i="7"/>
  <c r="AV817" i="7"/>
  <c r="AV1860" i="7"/>
  <c r="AV1121" i="7"/>
  <c r="AV1330" i="7"/>
  <c r="AV1826" i="7"/>
  <c r="AV1118" i="7"/>
  <c r="AV1681" i="7"/>
  <c r="AV1618" i="7"/>
  <c r="AV2025" i="7"/>
  <c r="AV460" i="7"/>
  <c r="AV1580" i="7"/>
  <c r="AV2110" i="7"/>
  <c r="AV1438" i="7"/>
  <c r="AV1663" i="7"/>
  <c r="AV489" i="7"/>
  <c r="AV1628" i="7"/>
  <c r="AV67" i="7"/>
  <c r="AV131" i="7"/>
  <c r="AV1076" i="7"/>
  <c r="AV1798" i="7"/>
  <c r="AV1139" i="7"/>
  <c r="AV1750" i="7"/>
  <c r="AV1570" i="7"/>
  <c r="AV1528" i="7"/>
  <c r="AV1433" i="7"/>
  <c r="AV1974" i="7"/>
  <c r="AV247" i="7"/>
  <c r="AV2264" i="7"/>
  <c r="AV573" i="7"/>
  <c r="AV453" i="7"/>
  <c r="AV813" i="7"/>
  <c r="AV1586" i="7"/>
  <c r="AV401" i="7"/>
  <c r="AV450" i="7"/>
  <c r="AV810" i="7"/>
  <c r="AV1108" i="7"/>
  <c r="AV1726" i="7"/>
  <c r="AV1459" i="7"/>
  <c r="AV1591" i="7"/>
  <c r="AV2019" i="7"/>
  <c r="AV1370" i="7"/>
  <c r="AV1913" i="7"/>
  <c r="AV2059" i="7"/>
  <c r="AV2225" i="7"/>
  <c r="AV11" i="7"/>
  <c r="AV1241" i="7"/>
  <c r="AV1803" i="7"/>
  <c r="AV2179" i="7"/>
  <c r="AV874" i="7"/>
  <c r="AV1973" i="7"/>
  <c r="AV491" i="7"/>
  <c r="AV2115" i="7"/>
  <c r="AV689" i="7"/>
  <c r="AV824" i="7"/>
  <c r="AV1117" i="7"/>
  <c r="AV3" i="7"/>
  <c r="AV126" i="7"/>
  <c r="AV125" i="7"/>
  <c r="AV192" i="7"/>
  <c r="AV572" i="7"/>
  <c r="AV1435" i="7"/>
  <c r="AV1299" i="7"/>
  <c r="AV1419" i="7"/>
  <c r="AV917" i="7"/>
  <c r="AV928" i="7"/>
  <c r="AV1839" i="7"/>
  <c r="AV193" i="7"/>
  <c r="AV187" i="7"/>
  <c r="AV191" i="7"/>
  <c r="AV440" i="7"/>
  <c r="AV617" i="7"/>
  <c r="AV700" i="7"/>
  <c r="AV950" i="7"/>
  <c r="AV1634" i="7"/>
  <c r="AV372" i="7"/>
  <c r="AV1585" i="7"/>
  <c r="AV571" i="7"/>
  <c r="AV458" i="7"/>
  <c r="AV1964" i="7"/>
  <c r="AV1564" i="7"/>
  <c r="AV1644" i="7"/>
  <c r="AV547" i="7"/>
  <c r="AV2160" i="7"/>
  <c r="AV263" i="7"/>
  <c r="AV730" i="7"/>
  <c r="AV706" i="7"/>
  <c r="AV1708" i="7"/>
  <c r="AV65" i="7"/>
  <c r="AV2067" i="7"/>
  <c r="AV69" i="7"/>
  <c r="AV288" i="7"/>
  <c r="AV301" i="7"/>
  <c r="AV908" i="7"/>
  <c r="AV1636" i="7"/>
  <c r="AV2222" i="7"/>
  <c r="AV2054" i="7"/>
  <c r="AV238" i="7"/>
  <c r="AV1645" i="7"/>
  <c r="AV632" i="7"/>
  <c r="AV719" i="7"/>
  <c r="AV1832" i="7"/>
  <c r="AV2126" i="7"/>
  <c r="AV1317" i="7"/>
  <c r="AV568" i="7"/>
  <c r="AV1812" i="7"/>
  <c r="AV66" i="7"/>
  <c r="AV2100" i="7"/>
  <c r="AV308" i="7"/>
  <c r="AV2079" i="7"/>
  <c r="AV335" i="7"/>
  <c r="AV674" i="7"/>
  <c r="AV1193" i="7"/>
  <c r="AV2235" i="7"/>
  <c r="AV1841" i="7"/>
  <c r="AV2129" i="7"/>
  <c r="AV1792" i="7"/>
  <c r="AV1543" i="7"/>
  <c r="AV1745" i="7"/>
  <c r="AV1769" i="7"/>
  <c r="AV929" i="7"/>
  <c r="AV1258" i="7"/>
  <c r="AV391" i="7"/>
  <c r="AV1678" i="7"/>
  <c r="AV605" i="7"/>
  <c r="AV918" i="7"/>
  <c r="AV1276" i="7"/>
  <c r="AV1837" i="7"/>
  <c r="AV4" i="7"/>
  <c r="AV616" i="7"/>
  <c r="AV665" i="7"/>
  <c r="AV569" i="7"/>
  <c r="AV911" i="7"/>
  <c r="AV795" i="7"/>
  <c r="AV2123" i="7"/>
  <c r="AV1457" i="7"/>
  <c r="AV1211" i="7"/>
  <c r="AV1229" i="7"/>
  <c r="AV1869" i="7"/>
  <c r="AV966" i="7"/>
  <c r="AV1980" i="7"/>
  <c r="AV2152" i="7"/>
  <c r="AV1106" i="7"/>
  <c r="AV1979" i="7"/>
  <c r="AV243" i="7"/>
  <c r="AV913" i="7"/>
  <c r="AV859" i="7"/>
  <c r="AV1097" i="7"/>
  <c r="AV1185" i="7"/>
  <c r="AV614" i="7"/>
  <c r="AV1032" i="7"/>
  <c r="AV1320" i="7"/>
  <c r="AV773" i="7"/>
  <c r="AV827" i="7"/>
  <c r="AV1104" i="7"/>
  <c r="AV2224" i="7"/>
  <c r="AV944" i="7"/>
  <c r="AV1043" i="7"/>
  <c r="AV1165" i="7"/>
  <c r="AV416" i="7"/>
  <c r="AV530" i="7"/>
  <c r="AV1926" i="7"/>
  <c r="AV2016" i="7"/>
  <c r="AV494" i="7"/>
  <c r="AV1738" i="7"/>
  <c r="AV1844" i="7"/>
  <c r="AV1392" i="7"/>
  <c r="AV975" i="7"/>
  <c r="AV1799" i="7"/>
  <c r="AV1203" i="7"/>
  <c r="AV540" i="7"/>
  <c r="AV873" i="7"/>
  <c r="AV2192" i="7"/>
  <c r="AV2062" i="7"/>
  <c r="AV1289" i="7"/>
  <c r="AV211" i="7"/>
  <c r="AV1922" i="7"/>
  <c r="AV742" i="7"/>
  <c r="AV1072" i="7"/>
  <c r="AV328" i="7"/>
  <c r="AV402" i="7"/>
  <c r="AV484" i="7"/>
  <c r="AV1639" i="7"/>
  <c r="AV2184" i="7"/>
  <c r="AV992" i="7"/>
  <c r="AV1898" i="7"/>
  <c r="AV2241" i="7"/>
  <c r="AV1342" i="7"/>
  <c r="AV194" i="7"/>
  <c r="AV1567" i="7"/>
  <c r="AV935" i="7"/>
  <c r="AV1257" i="7"/>
  <c r="AV1583" i="7"/>
  <c r="AV933" i="7"/>
  <c r="AV1916" i="7"/>
  <c r="AV136" i="7"/>
  <c r="AV2068" i="7"/>
  <c r="AV676" i="7"/>
  <c r="AV885" i="7"/>
  <c r="AV914" i="7"/>
  <c r="AV1529" i="7"/>
  <c r="AV2048" i="7"/>
  <c r="AV1322" i="7"/>
  <c r="AV525" i="7"/>
  <c r="AV1151" i="7"/>
  <c r="AV1700" i="7"/>
  <c r="AV727" i="7"/>
  <c r="AV2204" i="7"/>
  <c r="AV286" i="7"/>
  <c r="AV1985" i="7"/>
  <c r="AV1003" i="7"/>
  <c r="AV1089" i="7"/>
  <c r="AV476" i="7"/>
  <c r="AV1517" i="7"/>
  <c r="AV1905" i="7"/>
  <c r="AV1880" i="7"/>
  <c r="AV1925" i="7"/>
  <c r="AV557" i="7"/>
  <c r="AV1796" i="7"/>
  <c r="AV1661" i="7"/>
  <c r="AV1747" i="7"/>
  <c r="AV884" i="7"/>
  <c r="AV2267" i="7"/>
  <c r="AV49" i="7"/>
  <c r="AV169" i="7"/>
  <c r="AV2000" i="7"/>
  <c r="AV2236" i="7"/>
  <c r="AV1614" i="7"/>
  <c r="AV1701" i="7"/>
  <c r="AV541" i="7"/>
  <c r="AV1164" i="7"/>
  <c r="AV978" i="7"/>
  <c r="AV1606" i="7"/>
  <c r="AV137" i="7"/>
  <c r="AV733" i="7"/>
  <c r="AV872" i="7"/>
  <c r="AV1389" i="7"/>
  <c r="AV2276" i="7"/>
  <c r="AV723" i="7"/>
  <c r="AV682" i="7"/>
  <c r="AV656" i="7"/>
  <c r="AV292" i="7"/>
  <c r="AV504" i="7"/>
  <c r="AV1150" i="7"/>
  <c r="AV2118" i="7"/>
  <c r="AV1785" i="7"/>
  <c r="AV1588" i="7"/>
  <c r="AV2072" i="7"/>
  <c r="AV1004" i="7"/>
  <c r="AV693" i="7"/>
  <c r="AV536" i="7"/>
  <c r="AV1741" i="7"/>
  <c r="AV1135" i="7"/>
  <c r="AV1788" i="7"/>
  <c r="AV652" i="7"/>
  <c r="AV2217" i="7"/>
  <c r="AV274" i="7"/>
  <c r="AV241" i="7"/>
  <c r="AV734" i="7"/>
  <c r="AV1335" i="7"/>
  <c r="AV1280" i="7"/>
  <c r="AV1295" i="7"/>
  <c r="AV1765" i="7"/>
  <c r="AV299" i="7"/>
  <c r="AV930" i="7"/>
  <c r="AV735" i="7"/>
  <c r="AV1930" i="7"/>
  <c r="AV2170" i="7"/>
  <c r="AV2273" i="7"/>
  <c r="AV436" i="7"/>
  <c r="AV1650" i="7"/>
  <c r="AV1864" i="7"/>
  <c r="AV1261" i="7"/>
  <c r="AV685" i="7"/>
  <c r="AV878" i="7"/>
  <c r="AV399" i="7"/>
  <c r="AV2163" i="7"/>
  <c r="AV1581" i="7"/>
  <c r="AV1782" i="7"/>
  <c r="AV2021" i="7"/>
  <c r="AV790" i="7"/>
  <c r="AV95" i="7"/>
  <c r="AV426" i="7"/>
  <c r="AV977" i="7"/>
  <c r="AV1027" i="7"/>
  <c r="AV2083" i="7"/>
  <c r="AV2221" i="7"/>
  <c r="AV142" i="7"/>
  <c r="AV2244" i="7"/>
  <c r="AV451" i="7"/>
  <c r="AV1031" i="7"/>
  <c r="AV1300" i="7"/>
  <c r="AV542" i="7"/>
  <c r="AV601" i="7"/>
  <c r="AV1147" i="7"/>
  <c r="AV1479" i="7"/>
  <c r="AV1643" i="7"/>
  <c r="AV633" i="7"/>
  <c r="AV1474" i="7"/>
  <c r="AV534" i="7"/>
  <c r="AV1316" i="7"/>
  <c r="AV2219" i="7"/>
  <c r="AV1997" i="7"/>
  <c r="AV1255" i="7"/>
  <c r="AV999" i="7"/>
  <c r="AV1600" i="7"/>
  <c r="AV603" i="7"/>
  <c r="AV1346" i="7"/>
  <c r="AV1823" i="7"/>
  <c r="AV2026" i="7"/>
  <c r="AV686" i="7"/>
  <c r="AV2070" i="7"/>
  <c r="AV1397" i="7"/>
  <c r="AV327" i="7"/>
  <c r="AV641" i="7"/>
  <c r="AV1777" i="7"/>
  <c r="AV492" i="7"/>
  <c r="AV1465" i="7"/>
  <c r="AV1000" i="7"/>
  <c r="AV1640" i="7"/>
  <c r="AV1018" i="7"/>
  <c r="AV763" i="7"/>
  <c r="AV293" i="7"/>
  <c r="AV1637" i="7"/>
  <c r="AV62" i="7"/>
  <c r="AV720" i="7"/>
  <c r="AV1748" i="7"/>
  <c r="AV708" i="7"/>
  <c r="AV2082" i="7"/>
  <c r="AV2240" i="7"/>
  <c r="AV889" i="7"/>
  <c r="AV1967" i="7"/>
  <c r="AV955" i="7"/>
  <c r="AV1422" i="7"/>
  <c r="AV1897" i="7"/>
  <c r="AV1888" i="7"/>
  <c r="AV732" i="7"/>
  <c r="AV1601" i="7"/>
  <c r="AV2004" i="7"/>
  <c r="AV642" i="7"/>
  <c r="AV281" i="7"/>
  <c r="AV1635" i="7"/>
  <c r="AV1505" i="7"/>
  <c r="AV1779" i="7"/>
  <c r="AV1246" i="7"/>
  <c r="AV497" i="7"/>
  <c r="AV454" i="7"/>
  <c r="AV1381" i="7"/>
  <c r="AV1903" i="7"/>
  <c r="AV927" i="7"/>
  <c r="AV1563" i="7"/>
  <c r="AV926" i="7"/>
  <c r="AV1632" i="7"/>
  <c r="AV1593" i="7"/>
  <c r="AV415" i="7"/>
  <c r="AV1154" i="7"/>
  <c r="AV1524" i="7"/>
  <c r="AV1555" i="7"/>
  <c r="AV2014" i="7"/>
  <c r="AV403" i="7"/>
  <c r="AV1136" i="7"/>
  <c r="AV309" i="7"/>
  <c r="AV2243" i="7"/>
  <c r="AV1615" i="7"/>
  <c r="AV2283" i="7"/>
  <c r="AV378" i="7"/>
  <c r="AV1834" i="7"/>
  <c r="AV1267" i="7"/>
  <c r="AV1175" i="7"/>
  <c r="AV1660" i="7"/>
  <c r="AV1340" i="7"/>
  <c r="AV2253" i="7"/>
  <c r="AV695" i="7"/>
  <c r="AV1437" i="7"/>
  <c r="AV1314" i="7"/>
  <c r="AV2045" i="7"/>
  <c r="AV1539" i="7"/>
  <c r="AV1613" i="7"/>
  <c r="AV505" i="7"/>
  <c r="AV980" i="7"/>
  <c r="AV1476" i="7"/>
  <c r="AV1793" i="7"/>
  <c r="AV1449" i="7"/>
  <c r="AV339" i="7"/>
  <c r="AV1805" i="7"/>
  <c r="AV1443" i="7"/>
  <c r="AV668" i="7"/>
  <c r="AV1122" i="7"/>
  <c r="AV362" i="7"/>
  <c r="AV2189" i="7"/>
  <c r="AV679" i="7"/>
  <c r="AV691" i="7"/>
  <c r="AV2056" i="7"/>
  <c r="AV461" i="7"/>
  <c r="AV1487" i="7"/>
  <c r="AV2036" i="7"/>
  <c r="AV2114" i="7"/>
  <c r="AV380" i="7"/>
  <c r="AV1658" i="7"/>
  <c r="AV2159" i="7"/>
  <c r="AV1013" i="7"/>
  <c r="AV655" i="7"/>
  <c r="AV1143" i="7"/>
  <c r="AV692" i="7"/>
  <c r="AV618" i="7"/>
  <c r="AV2080" i="7"/>
  <c r="AV1240" i="7"/>
  <c r="AV1758" i="7"/>
  <c r="AV1899" i="7"/>
  <c r="AV2271" i="7"/>
  <c r="AV1802" i="7"/>
  <c r="AV128" i="7"/>
  <c r="AV2142" i="7"/>
  <c r="AV869" i="7"/>
  <c r="AV1362" i="7"/>
  <c r="AV829" i="7"/>
  <c r="AV1379" i="7"/>
  <c r="AV500" i="7"/>
  <c r="AV493" i="7"/>
  <c r="AV1325" i="7"/>
  <c r="AV1129" i="7"/>
  <c r="AV1562" i="7"/>
  <c r="AV1682" i="7"/>
  <c r="AV556" i="7"/>
  <c r="AV1418" i="7"/>
  <c r="AV1053" i="7"/>
  <c r="AV2076" i="7"/>
  <c r="AV746" i="7"/>
  <c r="AV1227" i="7"/>
  <c r="AV1303" i="7"/>
  <c r="AV1716" i="7"/>
  <c r="AV2206" i="7"/>
  <c r="AV844" i="7"/>
  <c r="AV1545" i="7"/>
  <c r="AV392" i="7"/>
  <c r="AV743" i="7"/>
  <c r="AV1817" i="7"/>
  <c r="AV2127" i="7"/>
  <c r="AV892" i="7"/>
  <c r="AV1228" i="7"/>
  <c r="AV1589" i="7"/>
  <c r="AV139" i="7"/>
  <c r="AV138" i="7"/>
  <c r="AV196" i="7"/>
  <c r="AV197" i="7"/>
  <c r="AV195" i="7"/>
  <c r="AV1727" i="7"/>
  <c r="AV1328" i="7"/>
  <c r="AV923" i="7"/>
  <c r="AV457" i="7"/>
  <c r="AV1608" i="7"/>
  <c r="AV1304" i="7"/>
  <c r="AV1287" i="7"/>
  <c r="AV1762" i="7"/>
  <c r="AV189" i="7"/>
  <c r="AV1416" i="7"/>
  <c r="AV718" i="7"/>
  <c r="AV673" i="7"/>
  <c r="AV737" i="7"/>
  <c r="AV924" i="7"/>
  <c r="AV1177" i="7"/>
  <c r="AV1842" i="7"/>
  <c r="AV835" i="7"/>
  <c r="AV1441" i="7"/>
  <c r="AV499" i="7"/>
  <c r="AV2015" i="7"/>
  <c r="AV1331" i="7"/>
  <c r="AV1318" i="7"/>
  <c r="AV2102" i="7"/>
  <c r="AV1196" i="7"/>
  <c r="AV277" i="7"/>
  <c r="AV687" i="7"/>
  <c r="AV579" i="7"/>
  <c r="AV1057" i="7"/>
  <c r="AV1642" i="7"/>
  <c r="AV1821" i="7"/>
  <c r="AV715" i="7"/>
  <c r="AV1754" i="7"/>
  <c r="AV1384" i="7"/>
  <c r="AV698" i="7"/>
  <c r="AV1398" i="7"/>
  <c r="AV934" i="7"/>
  <c r="AV1740" i="7"/>
  <c r="AV2146" i="7"/>
  <c r="AV302" i="7"/>
  <c r="AV627" i="7"/>
  <c r="AV870" i="7"/>
  <c r="AV1373" i="7"/>
  <c r="AV1124" i="7"/>
  <c r="AV1173" i="7"/>
  <c r="AV1900" i="7"/>
  <c r="AV1380" i="7"/>
  <c r="AV1518" i="7"/>
  <c r="AV555" i="7"/>
  <c r="AV329" i="7"/>
  <c r="AV1410" i="7"/>
  <c r="AV553" i="7"/>
  <c r="AV644" i="7"/>
  <c r="AV1946" i="7"/>
  <c r="AV1677" i="7"/>
  <c r="AV575" i="7"/>
  <c r="AV711" i="7"/>
  <c r="AV1672" i="7"/>
  <c r="AV307" i="7"/>
  <c r="AV8" i="7"/>
  <c r="AV305" i="7"/>
  <c r="AV1467" i="7"/>
  <c r="AV2265" i="7"/>
  <c r="AV634" i="7"/>
  <c r="AV931" i="7"/>
  <c r="AV1251" i="7"/>
  <c r="AV1488" i="7"/>
  <c r="AV1584" i="7"/>
  <c r="AV1599" i="7"/>
  <c r="AV702" i="7"/>
  <c r="AV2251" i="7"/>
  <c r="AV1527" i="7"/>
  <c r="AV2066" i="7"/>
  <c r="AV1311" i="7"/>
  <c r="AV1400" i="7"/>
  <c r="AV496" i="7"/>
  <c r="AV1363" i="7"/>
  <c r="AV694" i="7"/>
  <c r="AV985" i="7"/>
  <c r="AV359" i="7"/>
  <c r="AV2091" i="7"/>
  <c r="AV936" i="7"/>
  <c r="AV2088" i="7"/>
  <c r="AV2262" i="7"/>
  <c r="AV1142" i="7"/>
  <c r="AV1929" i="7"/>
  <c r="AV957" i="7"/>
  <c r="AV1833" i="7"/>
  <c r="AV239" i="7"/>
  <c r="AV678" i="7"/>
  <c r="AV922" i="7"/>
  <c r="AV681" i="7"/>
  <c r="AV788" i="7"/>
  <c r="AV1848" i="7"/>
  <c r="AV1192" i="7"/>
  <c r="AV847" i="7"/>
  <c r="AV1558" i="7"/>
  <c r="AV1847" i="7"/>
  <c r="AV2205" i="7"/>
  <c r="AV1816" i="7"/>
  <c r="AV432" i="7"/>
  <c r="AV1906" i="7"/>
  <c r="AV1668" i="7"/>
  <c r="AV2245" i="7"/>
  <c r="AV1934" i="7"/>
  <c r="AV778" i="7"/>
  <c r="AV897" i="7"/>
  <c r="AV1987" i="7"/>
  <c r="AV1781" i="7"/>
  <c r="AV1490" i="7"/>
  <c r="AV1646" i="7"/>
  <c r="AV1460" i="7"/>
  <c r="AV1480" i="7"/>
  <c r="AV1659" i="7"/>
  <c r="AV728" i="7"/>
  <c r="AV1641" i="7"/>
  <c r="AV1932" i="7"/>
  <c r="AV291" i="7"/>
  <c r="AV1786" i="7"/>
  <c r="AV398" i="7"/>
  <c r="AV1312" i="7"/>
  <c r="AV2274" i="7"/>
  <c r="AV2227" i="7"/>
  <c r="AV2090" i="7"/>
  <c r="AV1862" i="7"/>
  <c r="AV1447" i="7"/>
  <c r="AV629" i="7"/>
  <c r="AV2252" i="7"/>
  <c r="AV2272" i="7"/>
  <c r="AV1719" i="7"/>
  <c r="AV503" i="7"/>
  <c r="AV6" i="7"/>
  <c r="AV2120" i="7"/>
  <c r="AV2074" i="7"/>
  <c r="AV1152" i="7"/>
  <c r="AV1943" i="7"/>
  <c r="AV68" i="7"/>
  <c r="AV1462" i="7"/>
  <c r="AV741" i="7"/>
  <c r="AV1383" i="7"/>
  <c r="AV406" i="7"/>
  <c r="AV925" i="7"/>
  <c r="AV1638" i="7"/>
  <c r="AV1866" i="7"/>
  <c r="AV2131" i="7"/>
  <c r="AV2075" i="7"/>
  <c r="AV2277" i="7"/>
  <c r="AV1008" i="7"/>
  <c r="AV2093" i="7"/>
  <c r="AV1790" i="7"/>
  <c r="AV538" i="7"/>
  <c r="AV2259" i="7"/>
  <c r="AV2047" i="7"/>
  <c r="AV478" i="7"/>
  <c r="AV1159" i="7"/>
  <c r="AV2193" i="7"/>
  <c r="AV276" i="7"/>
  <c r="AV1666" i="7"/>
  <c r="AV341" i="7"/>
  <c r="AV1776" i="7"/>
  <c r="AV214" i="7"/>
  <c r="AV2108" i="7"/>
  <c r="AV1849" i="7"/>
  <c r="AV729" i="7"/>
  <c r="AV812" i="7"/>
  <c r="AV1924" i="7"/>
  <c r="AV533" i="7"/>
  <c r="AV1670" i="7"/>
  <c r="AV831" i="7"/>
  <c r="AV1225" i="7"/>
  <c r="AV364" i="7"/>
  <c r="AV2122" i="7"/>
  <c r="AV860" i="7"/>
  <c r="AV386" i="7"/>
  <c r="AV363" i="7"/>
  <c r="AV2081" i="7"/>
  <c r="AV1475" i="7"/>
  <c r="AV1764" i="7"/>
  <c r="AV2099" i="7"/>
  <c r="AV1166" i="7"/>
  <c r="AV2117" i="7"/>
  <c r="AV99" i="7"/>
  <c r="AV2230" i="7"/>
  <c r="AV725" i="7"/>
  <c r="AV1009" i="7"/>
  <c r="AV2101" i="7"/>
  <c r="AV2232" i="7"/>
  <c r="AV537" i="7"/>
  <c r="AV1183" i="7"/>
  <c r="AV896" i="7"/>
  <c r="AV1399" i="7"/>
  <c r="AV2112" i="7"/>
  <c r="AV2175" i="7"/>
  <c r="AV2208" i="7"/>
  <c r="AV1385" i="7"/>
  <c r="AV357" i="7"/>
  <c r="AV1623" i="7"/>
  <c r="AV2233" i="7"/>
  <c r="AV1751" i="7"/>
  <c r="AV407" i="7"/>
  <c r="AV2153" i="7"/>
  <c r="AV2162" i="7"/>
  <c r="AV2195" i="7"/>
  <c r="AV2145" i="7"/>
  <c r="AV852" i="7"/>
  <c r="AV2132" i="7"/>
  <c r="AV1652" i="7"/>
  <c r="AV502" i="7"/>
  <c r="AV1893" i="7"/>
  <c r="AV745" i="7"/>
  <c r="AV1391" i="7"/>
  <c r="AV1840" i="7"/>
  <c r="AV1444" i="7"/>
  <c r="AV909" i="7"/>
  <c r="AV345" i="7"/>
  <c r="AV558" i="7"/>
  <c r="AV1814" i="7"/>
  <c r="AV2087" i="7"/>
  <c r="AV1867" i="7"/>
  <c r="AV1800" i="7"/>
  <c r="AV405" i="7"/>
  <c r="AV1495" i="7"/>
  <c r="AV1439" i="7"/>
  <c r="AV2086" i="7"/>
  <c r="AV279" i="7"/>
  <c r="AV1714" i="7"/>
  <c r="AV375" i="7"/>
  <c r="AV1865" i="7"/>
  <c r="AV1846" i="7"/>
  <c r="AV2178" i="7"/>
  <c r="AV1538" i="7"/>
  <c r="AV1631" i="7"/>
  <c r="AV2207" i="7"/>
  <c r="AV920" i="7"/>
  <c r="AV117" i="7"/>
  <c r="AV1907" i="7"/>
  <c r="AV1657" i="7"/>
  <c r="AV1624" i="7"/>
  <c r="AV1890" i="7"/>
  <c r="AV2254" i="7"/>
  <c r="AV1633" i="7"/>
  <c r="AV2194" i="7"/>
  <c r="AV1396" i="7"/>
  <c r="AV1002" i="7"/>
  <c r="AV1861" i="7"/>
  <c r="AV256" i="7"/>
  <c r="AV2257" i="7"/>
  <c r="AV310" i="7"/>
  <c r="AV2260" i="7"/>
  <c r="AV2092" i="7"/>
  <c r="AV2116" i="7"/>
  <c r="AT2202" i="7"/>
  <c r="AT941" i="7"/>
  <c r="AT218" i="7"/>
  <c r="AT215" i="7"/>
  <c r="AT219" i="7"/>
  <c r="AT222" i="7"/>
  <c r="AT216" i="7"/>
  <c r="AT220" i="7"/>
  <c r="AT221" i="7"/>
  <c r="AT217" i="7"/>
  <c r="AT1902" i="7"/>
  <c r="AT2198" i="7"/>
  <c r="AT2201" i="7"/>
  <c r="AT2094" i="7"/>
  <c r="AT1858" i="7"/>
  <c r="AT2097" i="7"/>
  <c r="AT1406" i="7"/>
  <c r="AT1857" i="7"/>
  <c r="AT2028" i="7"/>
  <c r="AT1651" i="7"/>
  <c r="AT1936" i="7"/>
  <c r="AT1784" i="7"/>
  <c r="AT2069" i="7"/>
  <c r="AT1405" i="7"/>
  <c r="AT1908" i="7"/>
  <c r="AT1845" i="7"/>
  <c r="AT1045" i="7"/>
  <c r="AT2096" i="7"/>
  <c r="AT646" i="7"/>
  <c r="AT2095" i="7"/>
  <c r="AT1696" i="7"/>
  <c r="AT1549" i="7"/>
  <c r="AT1773" i="7"/>
  <c r="AT2255" i="7"/>
  <c r="AT1338" i="7"/>
  <c r="AT1938" i="7"/>
  <c r="AT748" i="7"/>
  <c r="AT1236" i="7"/>
  <c r="AT1158" i="7"/>
  <c r="AT1179" i="7"/>
  <c r="AT1809" i="7"/>
  <c r="AT1345" i="7"/>
  <c r="AT2051" i="7"/>
  <c r="AT1214" i="7"/>
  <c r="AT1572" i="7"/>
  <c r="AT2147" i="7"/>
  <c r="AT2176" i="7"/>
  <c r="AT1407" i="7"/>
  <c r="AT1452" i="7"/>
  <c r="AT1691" i="7"/>
  <c r="AT1298" i="7"/>
  <c r="AT2200" i="7"/>
  <c r="AT881" i="7"/>
  <c r="AT1224" i="7"/>
  <c r="AT252" i="7"/>
  <c r="AT759" i="7"/>
  <c r="AT1051" i="7"/>
  <c r="AT1684" i="7"/>
  <c r="AT680" i="7"/>
  <c r="AT1647" i="7"/>
  <c r="AT1062" i="7"/>
  <c r="AT1945" i="7"/>
  <c r="AT1453" i="7"/>
  <c r="AT2008" i="7"/>
  <c r="AT1421" i="7"/>
  <c r="AT1892" i="7"/>
  <c r="AT871" i="7"/>
  <c r="AT1023" i="7"/>
  <c r="AT882" i="7"/>
  <c r="AT1995" i="7"/>
  <c r="AT1060" i="7"/>
  <c r="AT1231" i="7"/>
  <c r="AT1872" i="7"/>
  <c r="AT821" i="7"/>
  <c r="AT1285" i="7"/>
  <c r="AT1859" i="7"/>
  <c r="AT1178" i="7"/>
  <c r="AT986" i="7"/>
  <c r="AT289" i="7"/>
  <c r="AT1721" i="7"/>
  <c r="AT1482" i="7"/>
  <c r="AT2167" i="7"/>
  <c r="AT1035" i="7"/>
  <c r="AT1951" i="7"/>
  <c r="AT888" i="7"/>
  <c r="AT580" i="7"/>
  <c r="AT1501" i="7"/>
  <c r="AT1194" i="7"/>
  <c r="AT1247" i="7"/>
  <c r="AT1445" i="7"/>
  <c r="AT738" i="7"/>
  <c r="AT2049" i="7"/>
  <c r="AT697" i="7"/>
  <c r="AT1180" i="7"/>
  <c r="AT559" i="7"/>
  <c r="AT1030" i="7"/>
  <c r="AT836" i="7"/>
  <c r="AT562" i="7"/>
  <c r="AT2171" i="7"/>
  <c r="AT1856" i="7"/>
  <c r="AT960" i="7"/>
  <c r="AT839" i="7"/>
  <c r="AT2057" i="7"/>
  <c r="AT1937" i="7"/>
  <c r="AT865" i="7"/>
  <c r="AT820" i="7"/>
  <c r="AT1169" i="7"/>
  <c r="AT2052" i="7"/>
  <c r="AT2139" i="7"/>
  <c r="AT858" i="7"/>
  <c r="AT2105" i="7"/>
  <c r="AT251" i="7"/>
  <c r="AT744" i="7"/>
  <c r="AT1423" i="7"/>
  <c r="AT1739" i="7"/>
  <c r="AT1376" i="7"/>
  <c r="AT1546" i="7"/>
  <c r="AT783" i="7"/>
  <c r="AT1969" i="7"/>
  <c r="AT1687" i="7"/>
  <c r="AT294" i="7"/>
  <c r="AT621" i="7"/>
  <c r="AT1621" i="7"/>
  <c r="AT1620" i="7"/>
  <c r="AT625" i="7"/>
  <c r="AT253" i="7"/>
  <c r="AT2134" i="7"/>
  <c r="AT319" i="7"/>
  <c r="AT1697" i="7"/>
  <c r="AT1413" i="7"/>
  <c r="AT1499" i="7"/>
  <c r="AT1685" i="7"/>
  <c r="AT1429" i="7"/>
  <c r="AT1195" i="7"/>
  <c r="AT710" i="7"/>
  <c r="AT1220" i="7"/>
  <c r="AT1084" i="7"/>
  <c r="AT1871" i="7"/>
  <c r="AT1920" i="7"/>
  <c r="AT1290" i="7"/>
  <c r="AT361" i="7"/>
  <c r="AT384" i="7"/>
  <c r="AT385" i="7"/>
  <c r="AT383" i="7"/>
  <c r="AT382" i="7"/>
  <c r="AT410" i="7"/>
  <c r="AT408" i="7"/>
  <c r="AT418" i="7"/>
  <c r="AT419" i="7"/>
  <c r="AT465" i="7"/>
  <c r="AT907" i="7"/>
  <c r="AT596" i="7"/>
  <c r="AT1254" i="7"/>
  <c r="AT1728" i="7"/>
  <c r="AT1944" i="7"/>
  <c r="AT1496" i="7"/>
  <c r="AT757" i="7"/>
  <c r="AT1578" i="7"/>
  <c r="AT2089" i="7"/>
  <c r="AT79" i="7"/>
  <c r="AT102" i="7"/>
  <c r="AT101" i="7"/>
  <c r="AT2022" i="7"/>
  <c r="AT1874" i="7"/>
  <c r="AT1737" i="7"/>
  <c r="AT80" i="7"/>
  <c r="AT82" i="7"/>
  <c r="AT81" i="7"/>
  <c r="AT100" i="7"/>
  <c r="AT103" i="7"/>
  <c r="AT1961" i="7"/>
  <c r="AT630" i="7"/>
  <c r="AT622" i="7"/>
  <c r="AT1446" i="7"/>
  <c r="AT381" i="7"/>
  <c r="AT1156" i="7"/>
  <c r="AT1778" i="7"/>
  <c r="AT780" i="7"/>
  <c r="AT595" i="7"/>
  <c r="AT1349" i="7"/>
  <c r="AT265" i="7"/>
  <c r="AT1176" i="7"/>
  <c r="AT1284" i="7"/>
  <c r="AT982" i="7"/>
  <c r="AT811" i="7"/>
  <c r="AT1186" i="7"/>
  <c r="AT331" i="7"/>
  <c r="AT1055" i="7"/>
  <c r="AT1200" i="7"/>
  <c r="AT1432" i="7"/>
  <c r="AT1168" i="7"/>
  <c r="AT2128" i="7"/>
  <c r="AT1082" i="7"/>
  <c r="AT2282" i="7"/>
  <c r="AT1288" i="7"/>
  <c r="AT249" i="7"/>
  <c r="AT316" i="7"/>
  <c r="AT640" i="7"/>
  <c r="AT765" i="7"/>
  <c r="AT1514" i="7"/>
  <c r="AT245" i="7"/>
  <c r="AT1068" i="7"/>
  <c r="AT1263" i="7"/>
  <c r="AT1269" i="7"/>
  <c r="AT1350" i="7"/>
  <c r="AT561" i="7"/>
  <c r="AT1940" i="7"/>
  <c r="AT409" i="7"/>
  <c r="AT427" i="7"/>
  <c r="AT424" i="7"/>
  <c r="AT429" i="7"/>
  <c r="AT421" i="7"/>
  <c r="AT585" i="7"/>
  <c r="AT2161" i="7"/>
  <c r="AT2098" i="7"/>
  <c r="AT1688" i="7"/>
  <c r="AT1941" i="7"/>
  <c r="AT1491" i="7"/>
  <c r="AT1243" i="7"/>
  <c r="AT1630" i="7"/>
  <c r="AT912" i="7"/>
  <c r="AT792" i="7"/>
  <c r="AT1024" i="7"/>
  <c r="AT141" i="7"/>
  <c r="AT213" i="7"/>
  <c r="AT1074" i="7"/>
  <c r="AT826" i="7"/>
  <c r="AT1942" i="7"/>
  <c r="AT144" i="7"/>
  <c r="AT1612" i="7"/>
  <c r="AT1607" i="7"/>
  <c r="AT1239" i="7"/>
  <c r="AT1403" i="7"/>
  <c r="AT1498" i="7"/>
  <c r="AT2111" i="7"/>
  <c r="AT55" i="7"/>
  <c r="AT814" i="7"/>
  <c r="AT1910" i="7"/>
  <c r="AT471" i="7"/>
  <c r="AT1911" i="7"/>
  <c r="AT1502" i="7"/>
  <c r="AT2199" i="7"/>
  <c r="AT1648" i="7"/>
  <c r="AT1109" i="7"/>
  <c r="AT1955" i="7"/>
  <c r="AT567" i="7"/>
  <c r="AT1516" i="7"/>
  <c r="AT1515" i="7"/>
  <c r="AT1984" i="7"/>
  <c r="AT1264" i="7"/>
  <c r="AT2141" i="7"/>
  <c r="AT118" i="7"/>
  <c r="AT140" i="7"/>
  <c r="AT1077" i="7"/>
  <c r="AT1305" i="7"/>
  <c r="AT1611" i="7"/>
  <c r="AT1448" i="7"/>
  <c r="AT660" i="7"/>
  <c r="AT846" i="7"/>
  <c r="AT1297" i="7"/>
  <c r="AT1237" i="7"/>
  <c r="AT464" i="7"/>
  <c r="AT961" i="7"/>
  <c r="AT1734" i="7"/>
  <c r="AT1333" i="7"/>
  <c r="AT1713" i="7"/>
  <c r="AT1854" i="7"/>
  <c r="AT449" i="7"/>
  <c r="AT487" i="7"/>
  <c r="AT1424" i="7"/>
  <c r="AT2169" i="7"/>
  <c r="AT661" i="7"/>
  <c r="AT942" i="7"/>
  <c r="AT1402" i="7"/>
  <c r="AT318" i="7"/>
  <c r="AT388" i="7"/>
  <c r="AT1125" i="7"/>
  <c r="AT1850" i="7"/>
  <c r="AT588" i="7"/>
  <c r="AT1983" i="7"/>
  <c r="AT879" i="7"/>
  <c r="AT350" i="7"/>
  <c r="AT598" i="7"/>
  <c r="AT2107" i="7"/>
  <c r="AT724" i="7"/>
  <c r="AT105" i="7"/>
  <c r="AT2061" i="7"/>
  <c r="AT1994" i="7"/>
  <c r="AT234" i="7"/>
  <c r="AT631" i="7"/>
  <c r="AT1040" i="7"/>
  <c r="AT1722" i="7"/>
  <c r="AT1732" i="7"/>
  <c r="AT2266" i="7"/>
  <c r="AT513" i="7"/>
  <c r="AT1080" i="7"/>
  <c r="AT1497" i="7"/>
  <c r="AT1935" i="7"/>
  <c r="AT2214" i="7"/>
  <c r="AT60" i="7"/>
  <c r="AT1187" i="7"/>
  <c r="AT2130" i="7"/>
  <c r="AT463" i="7"/>
  <c r="AT577" i="7"/>
  <c r="AT651" i="7"/>
  <c r="AT1036" i="7"/>
  <c r="AT1931" i="7"/>
  <c r="AT1197" i="7"/>
  <c r="AT1411" i="7"/>
  <c r="AT582" i="7"/>
  <c r="AT785" i="7"/>
  <c r="AT1206" i="7"/>
  <c r="AT2203" i="7"/>
  <c r="AT1451" i="7"/>
  <c r="AT1686" i="7"/>
  <c r="AT1547" i="7"/>
  <c r="AT1870" i="7"/>
  <c r="AT2012" i="7"/>
  <c r="AT1703" i="7"/>
  <c r="AT1127" i="7"/>
  <c r="AT205" i="7"/>
  <c r="AT1508" i="7"/>
  <c r="AT1673" i="7"/>
  <c r="AT969" i="7"/>
  <c r="AT1095" i="7"/>
  <c r="AT387" i="7"/>
  <c r="AT1775" i="7"/>
  <c r="AT1010" i="7"/>
  <c r="AT755" i="7"/>
  <c r="AT514" i="7"/>
  <c r="AT1559" i="7"/>
  <c r="AT848" i="7"/>
  <c r="AT1321" i="7"/>
  <c r="AT1950" i="7"/>
  <c r="AT2136" i="7"/>
  <c r="AT1494" i="7"/>
  <c r="AT1654" i="7"/>
  <c r="AT563" i="7"/>
  <c r="AT428" i="7"/>
  <c r="AT1308" i="7"/>
  <c r="AT48" i="7"/>
  <c r="AT1210" i="7"/>
  <c r="AT413" i="7"/>
  <c r="AT584" i="7"/>
  <c r="AT716" i="7"/>
  <c r="AT1112" i="7"/>
  <c r="AT452" i="7"/>
  <c r="AT1232" i="7"/>
  <c r="AT560" i="7"/>
  <c r="AT1889" i="7"/>
  <c r="AT653" i="7"/>
  <c r="AT1510" i="7"/>
  <c r="AT336" i="7"/>
  <c r="AT1201" i="7"/>
  <c r="AT809" i="7"/>
  <c r="AT1595" i="7"/>
  <c r="AT512" i="7"/>
  <c r="AT1171" i="7"/>
  <c r="AT1059" i="7"/>
  <c r="AT1234" i="7"/>
  <c r="AT2006" i="7"/>
  <c r="AT1838" i="7"/>
  <c r="AT2275" i="7"/>
  <c r="AT83" i="7"/>
  <c r="AT84" i="7"/>
  <c r="AT1939" i="7"/>
  <c r="AT1256" i="7"/>
  <c r="AT1977" i="7"/>
  <c r="AT236" i="7"/>
  <c r="AT230" i="7"/>
  <c r="AT228" i="7"/>
  <c r="AT231" i="7"/>
  <c r="AT227" i="7"/>
  <c r="AT224" i="7"/>
  <c r="AT225" i="7"/>
  <c r="AT226" i="7"/>
  <c r="AT1853" i="7"/>
  <c r="AT593" i="7"/>
  <c r="AT1090" i="7"/>
  <c r="AT1852" i="7"/>
  <c r="AT1971" i="7"/>
  <c r="AT1522" i="7"/>
  <c r="AT891" i="7"/>
  <c r="AT240" i="7"/>
  <c r="AT273" i="7"/>
  <c r="AT754" i="7"/>
  <c r="AT85" i="7"/>
  <c r="AT86" i="7"/>
  <c r="AT2177" i="7"/>
  <c r="AT1351" i="7"/>
  <c r="AT87" i="7"/>
  <c r="AT1026" i="7"/>
  <c r="AT209" i="7"/>
  <c r="AT1007" i="7"/>
  <c r="AT1699" i="7"/>
  <c r="AT1715" i="7"/>
  <c r="AT1215" i="7"/>
  <c r="AT1455" i="7"/>
  <c r="AT1609" i="7"/>
  <c r="AT1434" i="7"/>
  <c r="AT1876" i="7"/>
  <c r="AT600" i="7"/>
  <c r="AT2044" i="7"/>
  <c r="AT1119" i="7"/>
  <c r="AT88" i="7"/>
  <c r="AT740" i="7"/>
  <c r="AT1155" i="7"/>
  <c r="AT1096" i="7"/>
  <c r="AT282" i="7"/>
  <c r="AT1582" i="7"/>
  <c r="AT1855" i="7"/>
  <c r="AT1083" i="7"/>
  <c r="AT1213" i="7"/>
  <c r="AT764" i="7"/>
  <c r="AT52" i="7"/>
  <c r="AT943" i="7"/>
  <c r="AT1244" i="7"/>
  <c r="AT965" i="7"/>
  <c r="AT962" i="7"/>
  <c r="AT1395" i="7"/>
  <c r="AT1428" i="7"/>
  <c r="AT1596" i="7"/>
  <c r="AT1653" i="7"/>
  <c r="AT332" i="7"/>
  <c r="AT578" i="7"/>
  <c r="AT948" i="7"/>
  <c r="AT355" i="7"/>
  <c r="AT348" i="7"/>
  <c r="AT370" i="7"/>
  <c r="AT1787" i="7"/>
  <c r="AT1879" i="7"/>
  <c r="AT303" i="7"/>
  <c r="AT956" i="7"/>
  <c r="AT1070" i="7"/>
  <c r="AT1468" i="7"/>
  <c r="AT637" i="7"/>
  <c r="AT395" i="7"/>
  <c r="AT1199" i="7"/>
  <c r="AT1327" i="7"/>
  <c r="AT1337" i="7"/>
  <c r="AT24" i="7"/>
  <c r="AT50" i="7"/>
  <c r="AT1948" i="7"/>
  <c r="AT2032" i="7"/>
  <c r="AT543" i="7"/>
  <c r="AT2135" i="7"/>
  <c r="AT2229" i="7"/>
  <c r="AT787" i="7"/>
  <c r="AT1808" i="7"/>
  <c r="AT901" i="7"/>
  <c r="AT1252" i="7"/>
  <c r="AT393" i="7"/>
  <c r="AT772" i="7"/>
  <c r="AT7" i="7"/>
  <c r="AT107" i="7"/>
  <c r="AT1212" i="7"/>
  <c r="AT2238" i="7"/>
  <c r="AT1099" i="7"/>
  <c r="AT1294" i="7"/>
  <c r="AT1965" i="7"/>
  <c r="AT2104" i="7"/>
  <c r="AT919" i="7"/>
  <c r="AT1560" i="7"/>
  <c r="AT92" i="7"/>
  <c r="AT1690" i="7"/>
  <c r="AT714" i="7"/>
  <c r="AT1536" i="7"/>
  <c r="AT545" i="7"/>
  <c r="AT707" i="7"/>
  <c r="AT1184" i="7"/>
  <c r="AT2140" i="7"/>
  <c r="AT2138" i="7"/>
  <c r="AT237" i="7"/>
  <c r="AT248" i="7"/>
  <c r="AT684" i="7"/>
  <c r="AT1364" i="7"/>
  <c r="AT1674" i="7"/>
  <c r="AT89" i="7"/>
  <c r="AT51" i="7"/>
  <c r="AT2024" i="7"/>
  <c r="AT1061" i="7"/>
  <c r="AT770" i="7"/>
  <c r="AT800" i="7"/>
  <c r="AT996" i="7"/>
  <c r="AT369" i="7"/>
  <c r="AT587" i="7"/>
  <c r="AT2041" i="7"/>
  <c r="AT119" i="7"/>
  <c r="AT120" i="7"/>
  <c r="AT411" i="7"/>
  <c r="AT467" i="7"/>
  <c r="AT455" i="7"/>
  <c r="AT448" i="7"/>
  <c r="AT474" i="7"/>
  <c r="AT1054" i="7"/>
  <c r="AT1707" i="7"/>
  <c r="AT330" i="7"/>
  <c r="AT1724" i="7"/>
  <c r="AT2149" i="7"/>
  <c r="AT550" i="7"/>
  <c r="AT1770" i="7"/>
  <c r="AT1998" i="7"/>
  <c r="AT1693" i="7"/>
  <c r="AT349" i="7"/>
  <c r="AT1219" i="7"/>
  <c r="AT1794" i="7"/>
  <c r="AT262" i="7"/>
  <c r="AT1404" i="7"/>
  <c r="AT594" i="7"/>
  <c r="AT1711" i="7"/>
  <c r="AT2247" i="7"/>
  <c r="AT104" i="7"/>
  <c r="AT1649" i="7"/>
  <c r="AT576" i="7"/>
  <c r="AT807" i="7"/>
  <c r="AT290" i="7"/>
  <c r="AT607" i="7"/>
  <c r="AT2023" i="7"/>
  <c r="AT2155" i="7"/>
  <c r="AT784" i="7"/>
  <c r="AT967" i="7"/>
  <c r="AT1037" i="7"/>
  <c r="AT167" i="7"/>
  <c r="AT157" i="7"/>
  <c r="AT179" i="7"/>
  <c r="AT178" i="7"/>
  <c r="AT152" i="7"/>
  <c r="AT168" i="7"/>
  <c r="AT174" i="7"/>
  <c r="AT172" i="7"/>
  <c r="AT153" i="7"/>
  <c r="AT171" i="7"/>
  <c r="AT177" i="7"/>
  <c r="AT163" i="7"/>
  <c r="AT170" i="7"/>
  <c r="AT173" i="7"/>
  <c r="AT175" i="7"/>
  <c r="AT164" i="7"/>
  <c r="AT166" i="7"/>
  <c r="AT165" i="7"/>
  <c r="AT162" i="7"/>
  <c r="AT161" i="7"/>
  <c r="AT498" i="7"/>
  <c r="AT752" i="7"/>
  <c r="AT867" i="7"/>
  <c r="AT786" i="7"/>
  <c r="AT705" i="7"/>
  <c r="AT1223" i="7"/>
  <c r="AT1409" i="7"/>
  <c r="AT132" i="7"/>
  <c r="AT959" i="7"/>
  <c r="AT283" i="7"/>
  <c r="AT1056" i="7"/>
  <c r="AT347" i="7"/>
  <c r="AT825" i="7"/>
  <c r="AT1725" i="7"/>
  <c r="AT981" i="7"/>
  <c r="AT1209" i="7"/>
  <c r="AT479" i="7"/>
  <c r="AT360" i="7"/>
  <c r="AT995" i="7"/>
  <c r="AT1094" i="7"/>
  <c r="AT1161" i="7"/>
  <c r="AT1736" i="7"/>
  <c r="AT1953" i="7"/>
  <c r="AT356" i="7"/>
  <c r="AT2119" i="7"/>
  <c r="AT1493" i="7"/>
  <c r="AT886" i="7"/>
  <c r="AT374" i="7"/>
  <c r="AT1730" i="7"/>
  <c r="AT898" i="7"/>
  <c r="AT1695" i="7"/>
  <c r="AT837" i="7"/>
  <c r="AT1720" i="7"/>
  <c r="AT17" i="7"/>
  <c r="AT626" i="7"/>
  <c r="AT796" i="7"/>
  <c r="AT1513" i="7"/>
  <c r="AT2150" i="7"/>
  <c r="AT2151" i="7"/>
  <c r="AT1271" i="7"/>
  <c r="AT116" i="7"/>
  <c r="AT1242" i="7"/>
  <c r="AT958" i="7"/>
  <c r="AT446" i="7"/>
  <c r="AT311" i="7"/>
  <c r="AT1123" i="7"/>
  <c r="AT2196" i="7"/>
  <c r="AT26" i="7"/>
  <c r="AT27" i="7"/>
  <c r="AT28" i="7"/>
  <c r="AT29" i="7"/>
  <c r="AT30" i="7"/>
  <c r="AT31" i="7"/>
  <c r="AT32" i="7"/>
  <c r="AT33" i="7"/>
  <c r="AT34" i="7"/>
  <c r="AT35" i="7"/>
  <c r="AT36" i="7"/>
  <c r="AT37" i="7"/>
  <c r="AT38" i="7"/>
  <c r="AT39" i="7"/>
  <c r="AT40" i="7"/>
  <c r="AT41" i="7"/>
  <c r="AT659" i="7"/>
  <c r="AT2001" i="7"/>
  <c r="AT1132" i="7"/>
  <c r="AT1160" i="7"/>
  <c r="AT106" i="7"/>
  <c r="AT1531" i="7"/>
  <c r="AT254" i="7"/>
  <c r="AT122" i="7"/>
  <c r="AT565" i="7"/>
  <c r="AT1671" i="7"/>
  <c r="AT1791" i="7"/>
  <c r="AT266" i="7"/>
  <c r="AT1619" i="7"/>
  <c r="AT1174" i="7"/>
  <c r="AT970" i="7"/>
  <c r="AT376" i="7"/>
  <c r="AT1625" i="7"/>
  <c r="AT371" i="7"/>
  <c r="AT1813" i="7"/>
  <c r="AT1733" i="7"/>
  <c r="AT368" i="7"/>
  <c r="AT1042" i="7"/>
  <c r="AT771" i="7"/>
  <c r="AT2228" i="7"/>
  <c r="AT250" i="7"/>
  <c r="AT1486" i="7"/>
  <c r="AT10" i="7"/>
  <c r="AT649" i="7"/>
  <c r="AT1885" i="7"/>
  <c r="AT654" i="7"/>
  <c r="AT1250" i="7"/>
  <c r="AT1521" i="7"/>
  <c r="AT628" i="7"/>
  <c r="AT1085" i="7"/>
  <c r="AT1204" i="7"/>
  <c r="AT1759" i="7"/>
  <c r="AT532" i="7"/>
  <c r="AT650" i="7"/>
  <c r="AT856" i="7"/>
  <c r="AT994" i="7"/>
  <c r="AT1067" i="7"/>
  <c r="AT1712" i="7"/>
  <c r="AT1113" i="7"/>
  <c r="AT937" i="7"/>
  <c r="AT64" i="7"/>
  <c r="AT63" i="7"/>
  <c r="AT797" i="7"/>
  <c r="AT523" i="7"/>
  <c r="AT549" i="7"/>
  <c r="AT645" i="7"/>
  <c r="AT895" i="7"/>
  <c r="AT2280" i="7"/>
  <c r="AT1374" i="7"/>
  <c r="AT25" i="7"/>
  <c r="AT180" i="7"/>
  <c r="AT524" i="7"/>
  <c r="AT90" i="7"/>
  <c r="AT1420" i="7"/>
  <c r="AT1587" i="7"/>
  <c r="AT1352" i="7"/>
  <c r="AT1962" i="7"/>
  <c r="AT1797" i="7"/>
  <c r="AT527" i="7"/>
  <c r="AT753" i="7"/>
  <c r="AT1533" i="7"/>
  <c r="AT1542" i="7"/>
  <c r="AT158" i="7"/>
  <c r="AT712" i="7"/>
  <c r="AT333" i="7"/>
  <c r="AT890" i="7"/>
  <c r="AT1456" i="7"/>
  <c r="AT1894" i="7"/>
  <c r="AT1767" i="7"/>
  <c r="AT91" i="7"/>
  <c r="AT608" i="7"/>
  <c r="AT445" i="7"/>
  <c r="AT94" i="7"/>
  <c r="AT93" i="7"/>
  <c r="AT108" i="7"/>
  <c r="AT109" i="7"/>
  <c r="AT111" i="7"/>
  <c r="AT112" i="7"/>
  <c r="AT202" i="7"/>
  <c r="AT447" i="7"/>
  <c r="AT206" i="7"/>
  <c r="AT207" i="7"/>
  <c r="AT1079" i="7"/>
  <c r="AT636" i="7"/>
  <c r="AT983" i="7"/>
  <c r="AT477" i="7"/>
  <c r="AT756" i="7"/>
  <c r="AT129" i="7"/>
  <c r="AT246" i="7"/>
  <c r="AT1811" i="7"/>
  <c r="AT1763" i="7"/>
  <c r="AT110" i="7"/>
  <c r="AT574" i="7"/>
  <c r="AT1975" i="7"/>
  <c r="AT135" i="7"/>
  <c r="AT300" i="7"/>
  <c r="AT324" i="7"/>
  <c r="AT2237" i="7"/>
  <c r="AT183" i="7"/>
  <c r="AT182" i="7"/>
  <c r="AT184" i="7"/>
  <c r="AT185" i="7"/>
  <c r="AT176" i="7"/>
  <c r="AT181" i="7"/>
  <c r="AT304" i="7"/>
  <c r="AT548" i="7"/>
  <c r="AT113" i="7"/>
  <c r="AT1519" i="7"/>
  <c r="AT431" i="7"/>
  <c r="AT2144" i="7"/>
  <c r="AT984" i="7"/>
  <c r="AT1557" i="7"/>
  <c r="AT1801" i="7"/>
  <c r="AT1718" i="7"/>
  <c r="AT805" i="7"/>
  <c r="AT1511" i="7"/>
  <c r="AT312" i="7"/>
  <c r="AT2165" i="7"/>
  <c r="AT1752" i="7"/>
  <c r="AT2191" i="7"/>
  <c r="AT604" i="7"/>
  <c r="AT2040" i="7"/>
  <c r="AT2187" i="7"/>
  <c r="AT1044" i="7"/>
  <c r="AT2005" i="7"/>
  <c r="AT2053" i="7"/>
  <c r="AT2137" i="7"/>
  <c r="AT462" i="7"/>
  <c r="AT1208" i="7"/>
  <c r="AT1221" i="7"/>
  <c r="AT2210" i="7"/>
  <c r="AT297" i="7"/>
  <c r="AT1669" i="7"/>
  <c r="AT521" i="7"/>
  <c r="AT2270" i="7"/>
  <c r="AT223" i="7"/>
  <c r="AT1069" i="7"/>
  <c r="AT255" i="7"/>
  <c r="AT321" i="7"/>
  <c r="AT1878" i="7"/>
  <c r="AT915" i="7"/>
  <c r="AT1011" i="7"/>
  <c r="AT1198" i="7"/>
  <c r="AT619" i="7"/>
  <c r="AT1507" i="7"/>
  <c r="AT76" i="7"/>
  <c r="AT73" i="7"/>
  <c r="AT72" i="7"/>
  <c r="AT71" i="7"/>
  <c r="AT481" i="7"/>
  <c r="AT968" i="7"/>
  <c r="AT1064" i="7"/>
  <c r="AT1706" i="7"/>
  <c r="AT147" i="7"/>
  <c r="AT443" i="7"/>
  <c r="AT832" i="7"/>
  <c r="AT963" i="7"/>
  <c r="AT1114" i="7"/>
  <c r="AT1128" i="7"/>
  <c r="AT1181" i="7"/>
  <c r="AT850" i="7"/>
  <c r="AT699" i="7"/>
  <c r="AT1078" i="7"/>
  <c r="AT1015" i="7"/>
  <c r="AT815" i="7"/>
  <c r="AT1525" i="7"/>
  <c r="AT2077" i="7"/>
  <c r="AT1550" i="7"/>
  <c r="AT12" i="7"/>
  <c r="AT662" i="7"/>
  <c r="AT1532" i="7"/>
  <c r="AT1442" i="7"/>
  <c r="AT143" i="7"/>
  <c r="AT268" i="7"/>
  <c r="AT583" i="7"/>
  <c r="AT1689" i="7"/>
  <c r="AT417" i="7"/>
  <c r="AT875" i="7"/>
  <c r="AT96" i="7"/>
  <c r="AT1768" i="7"/>
  <c r="AT1627" i="7"/>
  <c r="AT1966" i="7"/>
  <c r="AT320" i="7"/>
  <c r="AT287" i="7"/>
  <c r="AT2121" i="7"/>
  <c r="AT44" i="7"/>
  <c r="AT203" i="7"/>
  <c r="AT529" i="7"/>
  <c r="AT469" i="7"/>
  <c r="AT1274" i="7"/>
  <c r="AT2242" i="7"/>
  <c r="AT134" i="7"/>
  <c r="AT20" i="7"/>
  <c r="AT1478" i="7"/>
  <c r="AT21" i="7"/>
  <c r="AT768" i="7"/>
  <c r="AT47" i="7"/>
  <c r="AT46" i="7"/>
  <c r="AT54" i="7"/>
  <c r="AT53" i="7"/>
  <c r="AT435" i="7"/>
  <c r="AT953" i="7"/>
  <c r="AT1172" i="7"/>
  <c r="AT776" i="7"/>
  <c r="AT1235" i="7"/>
  <c r="AT1815" i="7"/>
  <c r="AT354" i="7"/>
  <c r="AT1882" i="7"/>
  <c r="AT1347" i="7"/>
  <c r="AT1976" i="7"/>
  <c r="AT2188" i="7"/>
  <c r="AT1656" i="7"/>
  <c r="AT1704" i="7"/>
  <c r="AT1744" i="7"/>
  <c r="AT1990" i="7"/>
  <c r="AT2197" i="7"/>
  <c r="AT1836" i="7"/>
  <c r="AT315" i="7"/>
  <c r="AT775" i="7"/>
  <c r="AT946" i="7"/>
  <c r="AT508" i="7"/>
  <c r="AT818" i="7"/>
  <c r="AT987" i="7"/>
  <c r="AT1075" i="7"/>
  <c r="AT285" i="7"/>
  <c r="AT2231" i="7"/>
  <c r="AT433" i="7"/>
  <c r="AT777" i="7"/>
  <c r="AT1484" i="7"/>
  <c r="AT1947" i="7"/>
  <c r="AT1048" i="7"/>
  <c r="AT1544" i="7"/>
  <c r="AT1356" i="7"/>
  <c r="AT1592" i="7"/>
  <c r="AT78" i="7"/>
  <c r="AT77" i="7"/>
  <c r="AT74" i="7"/>
  <c r="AT75" i="7"/>
  <c r="AT2157" i="7"/>
  <c r="AT56" i="7"/>
  <c r="AT599" i="7"/>
  <c r="AT1825" i="7"/>
  <c r="AT721" i="7"/>
  <c r="AT1102" i="7"/>
  <c r="AT1145" i="7"/>
  <c r="AT1756" i="7"/>
  <c r="AT1804" i="7"/>
  <c r="AT1101" i="7"/>
  <c r="AT2050" i="7"/>
  <c r="AT272" i="7"/>
  <c r="AT519" i="7"/>
  <c r="AT334" i="7"/>
  <c r="AT1262" i="7"/>
  <c r="AT1540" i="7"/>
  <c r="AT664" i="7"/>
  <c r="AT1914" i="7"/>
  <c r="AT351" i="7"/>
  <c r="AT434" i="7"/>
  <c r="AT833" i="7"/>
  <c r="AT1205" i="7"/>
  <c r="AT1909" i="7"/>
  <c r="AT1915" i="7"/>
  <c r="AT1968" i="7"/>
  <c r="AT338" i="7"/>
  <c r="AT1610" i="7"/>
  <c r="AT475" i="7"/>
  <c r="AT422" i="7"/>
  <c r="AT1341" i="7"/>
  <c r="AT1551" i="7"/>
  <c r="AT1749" i="7"/>
  <c r="AT854" i="7"/>
  <c r="AT1675" i="7"/>
  <c r="AT23" i="7"/>
  <c r="AT22" i="7"/>
  <c r="AT1884" i="7"/>
  <c r="AT841" i="7"/>
  <c r="AT1463" i="7"/>
  <c r="AT1919" i="7"/>
  <c r="AT1963" i="7"/>
  <c r="AT1222" i="7"/>
  <c r="AT804" i="7"/>
  <c r="AT1293" i="7"/>
  <c r="AT472" i="7"/>
  <c r="AT438" i="7"/>
  <c r="AT1361" i="7"/>
  <c r="AT1425" i="7"/>
  <c r="AT1912" i="7"/>
  <c r="AT2258" i="7"/>
  <c r="AT480" i="7"/>
  <c r="AT843" i="7"/>
  <c r="AT899" i="7"/>
  <c r="AT1492" i="7"/>
  <c r="AT1344" i="7"/>
  <c r="AT346" i="7"/>
  <c r="AT774" i="7"/>
  <c r="AT1731" i="7"/>
  <c r="AT1978" i="7"/>
  <c r="AT801" i="7"/>
  <c r="AT1343" i="7"/>
  <c r="AT1483" i="7"/>
  <c r="AT531" i="7"/>
  <c r="AT1454" i="7"/>
  <c r="AT1692" i="7"/>
  <c r="AT590" i="7"/>
  <c r="AT2007" i="7"/>
  <c r="AT2033" i="7"/>
  <c r="AT146" i="7"/>
  <c r="AT264" i="7"/>
  <c r="AT506" i="7"/>
  <c r="AT658" i="7"/>
  <c r="AT1281" i="7"/>
  <c r="AT1461" i="7"/>
  <c r="AT1757" i="7"/>
  <c r="AT115" i="7"/>
  <c r="AT1073" i="7"/>
  <c r="AT1259" i="7"/>
  <c r="AT1535" i="7"/>
  <c r="AT1664" i="7"/>
  <c r="AT643" i="7"/>
  <c r="AT1415" i="7"/>
  <c r="AT1761" i="7"/>
  <c r="AT2268" i="7"/>
  <c r="AT552" i="7"/>
  <c r="AT2158" i="7"/>
  <c r="AT1982" i="7"/>
  <c r="AT739" i="7"/>
  <c r="AT1047" i="7"/>
  <c r="AT2071" i="7"/>
  <c r="AT570" i="7"/>
  <c r="AT1710" i="7"/>
  <c r="AT1886" i="7"/>
  <c r="AT284" i="7"/>
  <c r="AT414" i="7"/>
  <c r="AT799" i="7"/>
  <c r="AT1157" i="7"/>
  <c r="AT592" i="7"/>
  <c r="AT794" i="7"/>
  <c r="AT473" i="7"/>
  <c r="AT2027" i="7"/>
  <c r="AT511" i="7"/>
  <c r="AT1959" i="7"/>
  <c r="AT394" i="7"/>
  <c r="AT803" i="7"/>
  <c r="AT945" i="7"/>
  <c r="AT1017" i="7"/>
  <c r="AT1952" i="7"/>
  <c r="AT2037" i="7"/>
  <c r="AT751" i="7"/>
  <c r="AT1895" i="7"/>
  <c r="AT1999" i="7"/>
  <c r="AT1458" i="7"/>
  <c r="AT1789" i="7"/>
  <c r="AT439" i="7"/>
  <c r="AT1103" i="7"/>
  <c r="AT1427" i="7"/>
  <c r="AT389" i="7"/>
  <c r="AT1226" i="7"/>
  <c r="AT1216" i="7"/>
  <c r="AT9" i="7"/>
  <c r="AT242" i="7"/>
  <c r="AT1426" i="7"/>
  <c r="AT1552" i="7"/>
  <c r="AT1489" i="7"/>
  <c r="AT1265" i="7"/>
  <c r="AT1506" i="7"/>
  <c r="AT61" i="7"/>
  <c r="AT722" i="7"/>
  <c r="AT1957" i="7"/>
  <c r="AT782" i="7"/>
  <c r="AT779" i="7"/>
  <c r="AT1537" i="7"/>
  <c r="AT1500" i="7"/>
  <c r="AT442" i="7"/>
  <c r="AT566" i="7"/>
  <c r="AT1464" i="7"/>
  <c r="AT151" i="7"/>
  <c r="AT149" i="7"/>
  <c r="AT340" i="7"/>
  <c r="AT1575" i="7"/>
  <c r="AT1698" i="7"/>
  <c r="AT993" i="7"/>
  <c r="AT1766" i="7"/>
  <c r="AT358" i="7"/>
  <c r="AT1530" i="7"/>
  <c r="AT1309" i="7"/>
  <c r="AT1655" i="7"/>
  <c r="AT1933" i="7"/>
  <c r="AT2009" i="7"/>
  <c r="AT639" i="7"/>
  <c r="AT1887" i="7"/>
  <c r="AT352" i="7"/>
  <c r="AT367" i="7"/>
  <c r="AT1512" i="7"/>
  <c r="AT306" i="7"/>
  <c r="AT1230" i="7"/>
  <c r="AT1390" i="7"/>
  <c r="AT1605" i="7"/>
  <c r="AT130" i="7"/>
  <c r="AT507" i="7"/>
  <c r="AT793" i="7"/>
  <c r="AT1526" i="7"/>
  <c r="AT377" i="7"/>
  <c r="AT696" i="7"/>
  <c r="AT887" i="7"/>
  <c r="AT906" i="7"/>
  <c r="AT441" i="7"/>
  <c r="AT437" i="7"/>
  <c r="AT232" i="7"/>
  <c r="AT1065" i="7"/>
  <c r="AT1367" i="7"/>
  <c r="AT1188" i="7"/>
  <c r="AT490" i="7"/>
  <c r="AT1033" i="7"/>
  <c r="AT1360" i="7"/>
  <c r="AT1366" i="7"/>
  <c r="AT1245" i="7"/>
  <c r="AT1357" i="7"/>
  <c r="AT1313" i="7"/>
  <c r="AT2030" i="7"/>
  <c r="AT199" i="7"/>
  <c r="AT212" i="7"/>
  <c r="AT781" i="7"/>
  <c r="AT991" i="7"/>
  <c r="AT1319" i="7"/>
  <c r="AT1414" i="7"/>
  <c r="AT1355" i="7"/>
  <c r="AT1875" i="7"/>
  <c r="AT864" i="7"/>
  <c r="AT1041" i="7"/>
  <c r="AT1371" i="7"/>
  <c r="AT1520" i="7"/>
  <c r="AT1590" i="7"/>
  <c r="AT1818" i="7"/>
  <c r="AT709" i="7"/>
  <c r="AT2013" i="7"/>
  <c r="AT261" i="7"/>
  <c r="AT1541" i="7"/>
  <c r="AT1063" i="7"/>
  <c r="AT313" i="7"/>
  <c r="AT921" i="7"/>
  <c r="AT910" i="7"/>
  <c r="AT1597" i="7"/>
  <c r="AT145" i="7"/>
  <c r="AT670" i="7"/>
  <c r="AT802" i="7"/>
  <c r="AT675" i="7"/>
  <c r="AT1954" i="7"/>
  <c r="AT2156" i="7"/>
  <c r="AT1873" i="7"/>
  <c r="AT337" i="7"/>
  <c r="AT972" i="7"/>
  <c r="AT1148" i="7"/>
  <c r="AT1306" i="7"/>
  <c r="AT1217" i="7"/>
  <c r="AT1431" i="7"/>
  <c r="AT2148" i="7"/>
  <c r="AT482" i="7"/>
  <c r="AT838" i="7"/>
  <c r="AT1466" i="7"/>
  <c r="AT1680" i="7"/>
  <c r="AT314" i="7"/>
  <c r="AT1332" i="7"/>
  <c r="AT278" i="7"/>
  <c r="AT546" i="7"/>
  <c r="AT1694" i="7"/>
  <c r="AT1233" i="7"/>
  <c r="AT657" i="7"/>
  <c r="AT1153" i="7"/>
  <c r="AT667" i="7"/>
  <c r="AT894" i="7"/>
  <c r="AT2058" i="7"/>
  <c r="AT244" i="7"/>
  <c r="AT1238" i="7"/>
  <c r="AT1992" i="7"/>
  <c r="AT615" i="7"/>
  <c r="AT1021" i="7"/>
  <c r="AT1717" i="7"/>
  <c r="AT1795" i="7"/>
  <c r="AT2213" i="7"/>
  <c r="AT1806" i="7"/>
  <c r="AT1058" i="7"/>
  <c r="AT1481" i="7"/>
  <c r="AT1278" i="7"/>
  <c r="AT606" i="7"/>
  <c r="AT325" i="7"/>
  <c r="AT518" i="7"/>
  <c r="AT1266" i="7"/>
  <c r="AT425" i="7"/>
  <c r="AT1218" i="7"/>
  <c r="AT1207" i="7"/>
  <c r="AT1315" i="7"/>
  <c r="AT863" i="7"/>
  <c r="AT539" i="7"/>
  <c r="AT544" i="7"/>
  <c r="AT620" i="7"/>
  <c r="AT1991" i="7"/>
  <c r="AT97" i="7"/>
  <c r="AT2106" i="7"/>
  <c r="AT15" i="7"/>
  <c r="AT1504" i="7"/>
  <c r="AT564" i="7"/>
  <c r="AT1569" i="7"/>
  <c r="AT1249" i="7"/>
  <c r="AT2031" i="7"/>
  <c r="AT295" i="7"/>
  <c r="AT353" i="7"/>
  <c r="AT1565" i="7"/>
  <c r="AT1735" i="7"/>
  <c r="AT14" i="7"/>
  <c r="AT2133" i="7"/>
  <c r="AT2002" i="7"/>
  <c r="AT400" i="7"/>
  <c r="AT420" i="7"/>
  <c r="AT1046" i="7"/>
  <c r="AT1115" i="7"/>
  <c r="AT45" i="7"/>
  <c r="AT188" i="7"/>
  <c r="AT2010" i="7"/>
  <c r="AT148" i="7"/>
  <c r="AT979" i="7"/>
  <c r="AT1087" i="7"/>
  <c r="AT1354" i="7"/>
  <c r="AT1571" i="7"/>
  <c r="AT1604" i="7"/>
  <c r="AT1988" i="7"/>
  <c r="AT59" i="7"/>
  <c r="AT1163" i="7"/>
  <c r="AT1830" i="7"/>
  <c r="AT2017" i="7"/>
  <c r="AT1019" i="7"/>
  <c r="AT1863" i="7"/>
  <c r="AT2263" i="7"/>
  <c r="AT317" i="7"/>
  <c r="AT816" i="7"/>
  <c r="AT1307" i="7"/>
  <c r="AT2281" i="7"/>
  <c r="AT1091" i="7"/>
  <c r="AT200" i="7"/>
  <c r="AT257" i="7"/>
  <c r="AT857" i="7"/>
  <c r="AT379" i="7"/>
  <c r="AT2223" i="7"/>
  <c r="AT2073" i="7"/>
  <c r="AT271" i="7"/>
  <c r="AT57" i="7"/>
  <c r="AT58" i="7"/>
  <c r="AT713" i="7"/>
  <c r="AT1098" i="7"/>
  <c r="AT880" i="7"/>
  <c r="AT1417" i="7"/>
  <c r="AT1028" i="7"/>
  <c r="AT150" i="7"/>
  <c r="AT154" i="7"/>
  <c r="AT156" i="7"/>
  <c r="AT155" i="7"/>
  <c r="AT1120" i="7"/>
  <c r="AT1049" i="7"/>
  <c r="AT98" i="7"/>
  <c r="AT270" i="7"/>
  <c r="AT2085" i="7"/>
  <c r="AT515" i="7"/>
  <c r="AT766" i="7"/>
  <c r="AT1100" i="7"/>
  <c r="AT121" i="7"/>
  <c r="AT609" i="7"/>
  <c r="AT2035" i="7"/>
  <c r="AT2063" i="7"/>
  <c r="AT971" i="7"/>
  <c r="AT1140" i="7"/>
  <c r="AT2164" i="7"/>
  <c r="AT1137" i="7"/>
  <c r="AT1829" i="7"/>
  <c r="AT1989" i="7"/>
  <c r="AT1272" i="7"/>
  <c r="AT1561" i="7"/>
  <c r="AT2216" i="7"/>
  <c r="AT1339" i="7"/>
  <c r="AT2038" i="7"/>
  <c r="AT989" i="7"/>
  <c r="AT1676" i="7"/>
  <c r="AT2109" i="7"/>
  <c r="AT1081" i="7"/>
  <c r="AT2278" i="7"/>
  <c r="AT591" i="7"/>
  <c r="AT1683" i="7"/>
  <c r="AT1509" i="7"/>
  <c r="AT269" i="7"/>
  <c r="AT404" i="7"/>
  <c r="AT2182" i="7"/>
  <c r="AT1705" i="7"/>
  <c r="AT323" i="7"/>
  <c r="AT1133" i="7"/>
  <c r="AT275" i="7"/>
  <c r="AT1827" i="7"/>
  <c r="AT186" i="7"/>
  <c r="AT1972" i="7"/>
  <c r="AT828" i="7"/>
  <c r="AT1824" i="7"/>
  <c r="AT1477" i="7"/>
  <c r="AT1556" i="7"/>
  <c r="AT396" i="7"/>
  <c r="AT486" i="7"/>
  <c r="AT951" i="7"/>
  <c r="AT1401" i="7"/>
  <c r="AT516" i="7"/>
  <c r="AT1372" i="7"/>
  <c r="AT198" i="7"/>
  <c r="AT517" i="7"/>
  <c r="AT2011" i="7"/>
  <c r="AT2003" i="7"/>
  <c r="AT990" i="7"/>
  <c r="AT133" i="7"/>
  <c r="AT456" i="7"/>
  <c r="AT717" i="7"/>
  <c r="AT1182" i="7"/>
  <c r="AT551" i="7"/>
  <c r="AT2256" i="7"/>
  <c r="AT1202" i="7"/>
  <c r="AT1378" i="7"/>
  <c r="AT1986" i="7"/>
  <c r="AT893" i="7"/>
  <c r="AT819" i="7"/>
  <c r="AT1742" i="7"/>
  <c r="AT2185" i="7"/>
  <c r="AT124" i="7"/>
  <c r="AT123" i="7"/>
  <c r="AT1253" i="7"/>
  <c r="AT1470" i="7"/>
  <c r="AT1111" i="7"/>
  <c r="AT1662" i="7"/>
  <c r="AT280" i="7"/>
  <c r="AT258" i="7"/>
  <c r="AT43" i="7"/>
  <c r="AT2279" i="7"/>
  <c r="AT1365" i="7"/>
  <c r="AT1523" i="7"/>
  <c r="AT1760" i="7"/>
  <c r="AT1348" i="7"/>
  <c r="AT822" i="7"/>
  <c r="AT1881" i="7"/>
  <c r="AT851" i="7"/>
  <c r="AT701" i="7"/>
  <c r="AT204" i="7"/>
  <c r="AT791" i="7"/>
  <c r="AT1268" i="7"/>
  <c r="AT1566" i="7"/>
  <c r="AT2261" i="7"/>
  <c r="AT1554" i="7"/>
  <c r="AT114" i="7"/>
  <c r="AT2125" i="7"/>
  <c r="AT1960" i="7"/>
  <c r="AT663" i="7"/>
  <c r="AT1819" i="7"/>
  <c r="AT2186" i="7"/>
  <c r="AT42" i="7"/>
  <c r="AT488" i="7"/>
  <c r="AT1134" i="7"/>
  <c r="AT1430" i="7"/>
  <c r="AT1746" i="7"/>
  <c r="AT1336" i="7"/>
  <c r="AT1904" i="7"/>
  <c r="AT760" i="7"/>
  <c r="AT2166" i="7"/>
  <c r="AT201" i="7"/>
  <c r="AT597" i="7"/>
  <c r="AT798" i="7"/>
  <c r="AT1016" i="7"/>
  <c r="AT690" i="7"/>
  <c r="AT789" i="7"/>
  <c r="AT1598" i="7"/>
  <c r="AT1052" i="7"/>
  <c r="AT726" i="7"/>
  <c r="AT1877" i="7"/>
  <c r="AT855" i="7"/>
  <c r="AT2248" i="7"/>
  <c r="AT13" i="7"/>
  <c r="AT761" i="7"/>
  <c r="AT1005" i="7"/>
  <c r="AT412" i="7"/>
  <c r="AT952" i="7"/>
  <c r="AT1629" i="7"/>
  <c r="AT1743" i="7"/>
  <c r="AT208" i="7"/>
  <c r="AT900" i="7"/>
  <c r="AT1273" i="7"/>
  <c r="AT1436" i="7"/>
  <c r="AT1729" i="7"/>
  <c r="AT1755" i="7"/>
  <c r="AT390" i="7"/>
  <c r="AT2212" i="7"/>
  <c r="AT365" i="7"/>
  <c r="AT1029" i="7"/>
  <c r="AT1191" i="7"/>
  <c r="AT1296" i="7"/>
  <c r="AT1970" i="7"/>
  <c r="AT1270" i="7"/>
  <c r="AT1956" i="7"/>
  <c r="AT669" i="7"/>
  <c r="AT509" i="7"/>
  <c r="AT1291" i="7"/>
  <c r="AT1616" i="7"/>
  <c r="AT1310" i="7"/>
  <c r="AT2143" i="7"/>
  <c r="AT1602" i="7"/>
  <c r="AT1780" i="7"/>
  <c r="AT1576" i="7"/>
  <c r="AT470" i="7"/>
  <c r="AT1050" i="7"/>
  <c r="AT589" i="7"/>
  <c r="AT1107" i="7"/>
  <c r="AT1949" i="7"/>
  <c r="AT2226" i="7"/>
  <c r="AT373" i="7"/>
  <c r="AT1369" i="7"/>
  <c r="AT1473" i="7"/>
  <c r="AT1324" i="7"/>
  <c r="AT1548" i="7"/>
  <c r="AT1807" i="7"/>
  <c r="AT16" i="7"/>
  <c r="AT233" i="7"/>
  <c r="AT1301" i="7"/>
  <c r="AT1723" i="7"/>
  <c r="AT1393" i="7"/>
  <c r="AT1162" i="7"/>
  <c r="AT2183" i="7"/>
  <c r="AT1302" i="7"/>
  <c r="AT5" i="7"/>
  <c r="AT210" i="7"/>
  <c r="AT522" i="7"/>
  <c r="AT586" i="7"/>
  <c r="AT1883" i="7"/>
  <c r="AT1665" i="7"/>
  <c r="AT2065" i="7"/>
  <c r="AT988" i="7"/>
  <c r="AT2055" i="7"/>
  <c r="AT611" i="7"/>
  <c r="AT747" i="7"/>
  <c r="AT1326" i="7"/>
  <c r="AT1170" i="7"/>
  <c r="AT1368" i="7"/>
  <c r="AT1603" i="7"/>
  <c r="AT520" i="7"/>
  <c r="AT1105" i="7"/>
  <c r="AT750" i="7"/>
  <c r="AT1471" i="7"/>
  <c r="AT70" i="7"/>
  <c r="AT2269" i="7"/>
  <c r="AT1901" i="7"/>
  <c r="AT1783" i="7"/>
  <c r="AT1772" i="7"/>
  <c r="AT581" i="7"/>
  <c r="AT903" i="7"/>
  <c r="AT974" i="7"/>
  <c r="AT916" i="7"/>
  <c r="AT808" i="7"/>
  <c r="AT883" i="7"/>
  <c r="AT19" i="7"/>
  <c r="AT624" i="7"/>
  <c r="AT1820" i="7"/>
  <c r="AT1923" i="7"/>
  <c r="AT2039" i="7"/>
  <c r="AT2043" i="7"/>
  <c r="AT866" i="7"/>
  <c r="AT1387" i="7"/>
  <c r="AT1260" i="7"/>
  <c r="AT1279" i="7"/>
  <c r="AT1485" i="7"/>
  <c r="AT235" i="7"/>
  <c r="AT342" i="7"/>
  <c r="AT1283" i="7"/>
  <c r="AT1116" i="7"/>
  <c r="AT2046" i="7"/>
  <c r="AT2" i="7"/>
  <c r="AT1292" i="7"/>
  <c r="AT1996" i="7"/>
  <c r="AT1450" i="7"/>
  <c r="AT762" i="7"/>
  <c r="AT749" i="7"/>
  <c r="AT1190" i="7"/>
  <c r="AT1131" i="7"/>
  <c r="AT1382" i="7"/>
  <c r="AT862" i="7"/>
  <c r="AT1277" i="7"/>
  <c r="AT2190" i="7"/>
  <c r="AT905" i="7"/>
  <c r="AT1958" i="7"/>
  <c r="AT602" i="7"/>
  <c r="AT1868" i="7"/>
  <c r="AT736" i="7"/>
  <c r="AT806" i="7"/>
  <c r="AT1038" i="7"/>
  <c r="AT1141" i="7"/>
  <c r="AT1667" i="7"/>
  <c r="AT2154" i="7"/>
  <c r="AT769" i="7"/>
  <c r="AT1066" i="7"/>
  <c r="AT1828" i="7"/>
  <c r="AT18" i="7"/>
  <c r="AT1981" i="7"/>
  <c r="AT2168" i="7"/>
  <c r="AT2064" i="7"/>
  <c r="AT731" i="7"/>
  <c r="AT2181" i="7"/>
  <c r="AT468" i="7"/>
  <c r="AT485" i="7"/>
  <c r="AT1573" i="7"/>
  <c r="AT1835" i="7"/>
  <c r="AT683" i="7"/>
  <c r="AT1144" i="7"/>
  <c r="AT1918" i="7"/>
  <c r="AT1993" i="7"/>
  <c r="AT834" i="7"/>
  <c r="AT127" i="7"/>
  <c r="AT1286" i="7"/>
  <c r="AT671" i="7"/>
  <c r="AT904" i="7"/>
  <c r="AT1275" i="7"/>
  <c r="AT842" i="7"/>
  <c r="AT1034" i="7"/>
  <c r="AT845" i="7"/>
  <c r="AT1130" i="7"/>
  <c r="AT1822" i="7"/>
  <c r="AT1138" i="7"/>
  <c r="AT2113" i="7"/>
  <c r="AT298" i="7"/>
  <c r="AT840" i="7"/>
  <c r="AT938" i="7"/>
  <c r="AT1377" i="7"/>
  <c r="AT612" i="7"/>
  <c r="AT1014" i="7"/>
  <c r="AT1025" i="7"/>
  <c r="AT877" i="7"/>
  <c r="AT861" i="7"/>
  <c r="AT259" i="7"/>
  <c r="AT326" i="7"/>
  <c r="AT849" i="7"/>
  <c r="AT973" i="7"/>
  <c r="AT1412" i="7"/>
  <c r="AT2234" i="7"/>
  <c r="AT159" i="7"/>
  <c r="AT1189" i="7"/>
  <c r="AT322" i="7"/>
  <c r="AT672" i="7"/>
  <c r="AT998" i="7"/>
  <c r="AT1579" i="7"/>
  <c r="AT2020" i="7"/>
  <c r="AT949" i="7"/>
  <c r="AT1771" i="7"/>
  <c r="AT2249" i="7"/>
  <c r="AT868" i="7"/>
  <c r="AT1167" i="7"/>
  <c r="AT1679" i="7"/>
  <c r="AT1093" i="7"/>
  <c r="AT613" i="7"/>
  <c r="AT2084" i="7"/>
  <c r="AT2250" i="7"/>
  <c r="AT483" i="7"/>
  <c r="AT677" i="7"/>
  <c r="AT2018" i="7"/>
  <c r="AT528" i="7"/>
  <c r="AT1282" i="7"/>
  <c r="AT1334" i="7"/>
  <c r="AT1617" i="7"/>
  <c r="AT954" i="7"/>
  <c r="AT976" i="7"/>
  <c r="AT2042" i="7"/>
  <c r="AT1323" i="7"/>
  <c r="AT2209" i="7"/>
  <c r="AT2034" i="7"/>
  <c r="AT444" i="7"/>
  <c r="AT1006" i="7"/>
  <c r="AT1088" i="7"/>
  <c r="AT1358" i="7"/>
  <c r="AT459" i="7"/>
  <c r="AT296" i="7"/>
  <c r="AT610" i="7"/>
  <c r="AT2103" i="7"/>
  <c r="AT947" i="7"/>
  <c r="AT1092" i="7"/>
  <c r="AT638" i="7"/>
  <c r="AT1408" i="7"/>
  <c r="AT343" i="7"/>
  <c r="AT535" i="7"/>
  <c r="AT666" i="7"/>
  <c r="AT964" i="7"/>
  <c r="AT1126" i="7"/>
  <c r="AT1594" i="7"/>
  <c r="AT703" i="7"/>
  <c r="AT1146" i="7"/>
  <c r="AT1469" i="7"/>
  <c r="AT1577" i="7"/>
  <c r="AT1020" i="7"/>
  <c r="AT1001" i="7"/>
  <c r="AT1329" i="7"/>
  <c r="AT758" i="7"/>
  <c r="AT1394" i="7"/>
  <c r="AT366" i="7"/>
  <c r="AT1534" i="7"/>
  <c r="AT1851" i="7"/>
  <c r="AT2174" i="7"/>
  <c r="AT1568" i="7"/>
  <c r="AT876" i="7"/>
  <c r="AT1553" i="7"/>
  <c r="AT554" i="7"/>
  <c r="AT2060" i="7"/>
  <c r="AT2173" i="7"/>
  <c r="AT939" i="7"/>
  <c r="AT1359" i="7"/>
  <c r="AT1071" i="7"/>
  <c r="AT2215" i="7"/>
  <c r="AT229" i="7"/>
  <c r="AT1375" i="7"/>
  <c r="AT1386" i="7"/>
  <c r="AT2180" i="7"/>
  <c r="AT1022" i="7"/>
  <c r="AT647" i="7"/>
  <c r="AT2124" i="7"/>
  <c r="AT1149" i="7"/>
  <c r="AT1928" i="7"/>
  <c r="AT1503" i="7"/>
  <c r="AT510" i="7"/>
  <c r="AT997" i="7"/>
  <c r="AT1472" i="7"/>
  <c r="AT1753" i="7"/>
  <c r="AT190" i="7"/>
  <c r="AT623" i="7"/>
  <c r="AT1622" i="7"/>
  <c r="AT853" i="7"/>
  <c r="AT1388" i="7"/>
  <c r="AT2218" i="7"/>
  <c r="AT1039" i="7"/>
  <c r="AT1774" i="7"/>
  <c r="AT940" i="7"/>
  <c r="AT2246" i="7"/>
  <c r="AT267" i="7"/>
  <c r="AT2220" i="7"/>
  <c r="AT1709" i="7"/>
  <c r="AT2211" i="7"/>
  <c r="AT1012" i="7"/>
  <c r="AT2078" i="7"/>
  <c r="AT526" i="7"/>
  <c r="AT1810" i="7"/>
  <c r="AT1086" i="7"/>
  <c r="AT430" i="7"/>
  <c r="AT1921" i="7"/>
  <c r="AT688" i="7"/>
  <c r="AT902" i="7"/>
  <c r="AT1110" i="7"/>
  <c r="AT1353" i="7"/>
  <c r="AT2172" i="7"/>
  <c r="AT823" i="7"/>
  <c r="AT1896" i="7"/>
  <c r="AT344" i="7"/>
  <c r="AT423" i="7"/>
  <c r="AT932" i="7"/>
  <c r="AT1440" i="7"/>
  <c r="AT397" i="7"/>
  <c r="AT648" i="7"/>
  <c r="AT1626" i="7"/>
  <c r="AT260" i="7"/>
  <c r="AT767" i="7"/>
  <c r="AT495" i="7"/>
  <c r="AT635" i="7"/>
  <c r="AT1917" i="7"/>
  <c r="AT1702" i="7"/>
  <c r="AT1843" i="7"/>
  <c r="AT1574" i="7"/>
  <c r="AT1831" i="7"/>
  <c r="AT160" i="7"/>
  <c r="AT704" i="7"/>
  <c r="AT1927" i="7"/>
  <c r="AT466" i="7"/>
  <c r="AT501" i="7"/>
  <c r="AT1248" i="7"/>
  <c r="AT1891" i="7"/>
  <c r="AT2029" i="7"/>
  <c r="AT830" i="7"/>
  <c r="AT2239" i="7"/>
  <c r="AT817" i="7"/>
  <c r="AT1860" i="7"/>
  <c r="AT1121" i="7"/>
  <c r="AT1330" i="7"/>
  <c r="AT1826" i="7"/>
  <c r="AT1118" i="7"/>
  <c r="AT1681" i="7"/>
  <c r="AT1618" i="7"/>
  <c r="AT2025" i="7"/>
  <c r="AT460" i="7"/>
  <c r="AT1580" i="7"/>
  <c r="AT2110" i="7"/>
  <c r="AT1438" i="7"/>
  <c r="AT1663" i="7"/>
  <c r="AT489" i="7"/>
  <c r="AT1628" i="7"/>
  <c r="AT67" i="7"/>
  <c r="AT131" i="7"/>
  <c r="AT1076" i="7"/>
  <c r="AT1798" i="7"/>
  <c r="AT1139" i="7"/>
  <c r="AT1750" i="7"/>
  <c r="AT1570" i="7"/>
  <c r="AT1528" i="7"/>
  <c r="AT1433" i="7"/>
  <c r="AT1974" i="7"/>
  <c r="AT247" i="7"/>
  <c r="AT2264" i="7"/>
  <c r="AT573" i="7"/>
  <c r="AT453" i="7"/>
  <c r="AT813" i="7"/>
  <c r="AT1586" i="7"/>
  <c r="AT401" i="7"/>
  <c r="AT450" i="7"/>
  <c r="AT810" i="7"/>
  <c r="AT1108" i="7"/>
  <c r="AT1726" i="7"/>
  <c r="AT1459" i="7"/>
  <c r="AT1591" i="7"/>
  <c r="AT2019" i="7"/>
  <c r="AT1370" i="7"/>
  <c r="AT1913" i="7"/>
  <c r="AT2059" i="7"/>
  <c r="AT2225" i="7"/>
  <c r="AT11" i="7"/>
  <c r="AT1241" i="7"/>
  <c r="AT1803" i="7"/>
  <c r="AT2179" i="7"/>
  <c r="AT874" i="7"/>
  <c r="AT1973" i="7"/>
  <c r="AT491" i="7"/>
  <c r="AT2115" i="7"/>
  <c r="AT689" i="7"/>
  <c r="AT824" i="7"/>
  <c r="AT1117" i="7"/>
  <c r="AT3" i="7"/>
  <c r="AT126" i="7"/>
  <c r="AT125" i="7"/>
  <c r="AT192" i="7"/>
  <c r="AT572" i="7"/>
  <c r="AT1435" i="7"/>
  <c r="AT1299" i="7"/>
  <c r="AT1419" i="7"/>
  <c r="AT917" i="7"/>
  <c r="AT928" i="7"/>
  <c r="AT1839" i="7"/>
  <c r="AT193" i="7"/>
  <c r="AT187" i="7"/>
  <c r="AT191" i="7"/>
  <c r="AT440" i="7"/>
  <c r="AT617" i="7"/>
  <c r="AT700" i="7"/>
  <c r="AT950" i="7"/>
  <c r="AT1634" i="7"/>
  <c r="AT372" i="7"/>
  <c r="AT1585" i="7"/>
  <c r="AT571" i="7"/>
  <c r="AT458" i="7"/>
  <c r="AT1964" i="7"/>
  <c r="AT1564" i="7"/>
  <c r="AT1644" i="7"/>
  <c r="AT547" i="7"/>
  <c r="AT2160" i="7"/>
  <c r="AT263" i="7"/>
  <c r="AT730" i="7"/>
  <c r="AT706" i="7"/>
  <c r="AT1708" i="7"/>
  <c r="AT65" i="7"/>
  <c r="AT2067" i="7"/>
  <c r="AT69" i="7"/>
  <c r="AT288" i="7"/>
  <c r="AT301" i="7"/>
  <c r="AT908" i="7"/>
  <c r="AT1636" i="7"/>
  <c r="AT2222" i="7"/>
  <c r="AT2054" i="7"/>
  <c r="AT238" i="7"/>
  <c r="AT1645" i="7"/>
  <c r="AT632" i="7"/>
  <c r="AT719" i="7"/>
  <c r="AT1832" i="7"/>
  <c r="AT2126" i="7"/>
  <c r="AT1317" i="7"/>
  <c r="AT568" i="7"/>
  <c r="AT1812" i="7"/>
  <c r="AT66" i="7"/>
  <c r="AT2100" i="7"/>
  <c r="AT308" i="7"/>
  <c r="AT2079" i="7"/>
  <c r="AT335" i="7"/>
  <c r="AT674" i="7"/>
  <c r="AT1193" i="7"/>
  <c r="AT2235" i="7"/>
  <c r="AT1841" i="7"/>
  <c r="AT2129" i="7"/>
  <c r="AT1792" i="7"/>
  <c r="AT1543" i="7"/>
  <c r="AT1745" i="7"/>
  <c r="AT1769" i="7"/>
  <c r="AT929" i="7"/>
  <c r="AT1258" i="7"/>
  <c r="AT391" i="7"/>
  <c r="AT1678" i="7"/>
  <c r="AT605" i="7"/>
  <c r="AT918" i="7"/>
  <c r="AT1276" i="7"/>
  <c r="AT1837" i="7"/>
  <c r="AT4" i="7"/>
  <c r="AT616" i="7"/>
  <c r="AT665" i="7"/>
  <c r="AT569" i="7"/>
  <c r="AT911" i="7"/>
  <c r="AT795" i="7"/>
  <c r="AT2123" i="7"/>
  <c r="AT1457" i="7"/>
  <c r="AT1211" i="7"/>
  <c r="AT1229" i="7"/>
  <c r="AT1869" i="7"/>
  <c r="AT966" i="7"/>
  <c r="AT1980" i="7"/>
  <c r="AT2152" i="7"/>
  <c r="AT1106" i="7"/>
  <c r="AT1979" i="7"/>
  <c r="AT243" i="7"/>
  <c r="AT913" i="7"/>
  <c r="AT859" i="7"/>
  <c r="AT1097" i="7"/>
  <c r="AT1185" i="7"/>
  <c r="AT614" i="7"/>
  <c r="AT1032" i="7"/>
  <c r="AT1320" i="7"/>
  <c r="AT773" i="7"/>
  <c r="AT827" i="7"/>
  <c r="AT1104" i="7"/>
  <c r="AT2224" i="7"/>
  <c r="AT944" i="7"/>
  <c r="AT1043" i="7"/>
  <c r="AT1165" i="7"/>
  <c r="AT416" i="7"/>
  <c r="AT530" i="7"/>
  <c r="AT1926" i="7"/>
  <c r="AT2016" i="7"/>
  <c r="AT494" i="7"/>
  <c r="AT1738" i="7"/>
  <c r="AT1844" i="7"/>
  <c r="AT1392" i="7"/>
  <c r="AT975" i="7"/>
  <c r="AT1799" i="7"/>
  <c r="AT1203" i="7"/>
  <c r="AT540" i="7"/>
  <c r="AT873" i="7"/>
  <c r="AT2192" i="7"/>
  <c r="AT2062" i="7"/>
  <c r="AT1289" i="7"/>
  <c r="AT211" i="7"/>
  <c r="AT1922" i="7"/>
  <c r="AT742" i="7"/>
  <c r="AT1072" i="7"/>
  <c r="AT328" i="7"/>
  <c r="AT402" i="7"/>
  <c r="AT484" i="7"/>
  <c r="AT1639" i="7"/>
  <c r="AT2184" i="7"/>
  <c r="AT992" i="7"/>
  <c r="AT1898" i="7"/>
  <c r="AT2241" i="7"/>
  <c r="AT1342" i="7"/>
  <c r="AT194" i="7"/>
  <c r="AT1567" i="7"/>
  <c r="AT935" i="7"/>
  <c r="AT1257" i="7"/>
  <c r="AT1583" i="7"/>
  <c r="AT933" i="7"/>
  <c r="AT1916" i="7"/>
  <c r="AT136" i="7"/>
  <c r="AT2068" i="7"/>
  <c r="AT676" i="7"/>
  <c r="AT885" i="7"/>
  <c r="AT914" i="7"/>
  <c r="AT1529" i="7"/>
  <c r="AT2048" i="7"/>
  <c r="AT1322" i="7"/>
  <c r="AT525" i="7"/>
  <c r="AT1151" i="7"/>
  <c r="AT1700" i="7"/>
  <c r="AT727" i="7"/>
  <c r="AT2204" i="7"/>
  <c r="AT286" i="7"/>
  <c r="AT1985" i="7"/>
  <c r="AT1003" i="7"/>
  <c r="AT1089" i="7"/>
  <c r="AT476" i="7"/>
  <c r="AT1517" i="7"/>
  <c r="AT1905" i="7"/>
  <c r="AT1880" i="7"/>
  <c r="AT1925" i="7"/>
  <c r="AT557" i="7"/>
  <c r="AT1796" i="7"/>
  <c r="AT1661" i="7"/>
  <c r="AT1747" i="7"/>
  <c r="AT884" i="7"/>
  <c r="AT2267" i="7"/>
  <c r="AT49" i="7"/>
  <c r="AT169" i="7"/>
  <c r="AT2000" i="7"/>
  <c r="AT2236" i="7"/>
  <c r="AT1614" i="7"/>
  <c r="AT1701" i="7"/>
  <c r="AT541" i="7"/>
  <c r="AT1164" i="7"/>
  <c r="AT978" i="7"/>
  <c r="AT1606" i="7"/>
  <c r="AT137" i="7"/>
  <c r="AT733" i="7"/>
  <c r="AT872" i="7"/>
  <c r="AT1389" i="7"/>
  <c r="AT2276" i="7"/>
  <c r="AT723" i="7"/>
  <c r="AT682" i="7"/>
  <c r="AT656" i="7"/>
  <c r="AT292" i="7"/>
  <c r="AT504" i="7"/>
  <c r="AT1150" i="7"/>
  <c r="AT2118" i="7"/>
  <c r="AT1785" i="7"/>
  <c r="AT1588" i="7"/>
  <c r="AT2072" i="7"/>
  <c r="AT1004" i="7"/>
  <c r="AT693" i="7"/>
  <c r="AT536" i="7"/>
  <c r="AT1741" i="7"/>
  <c r="AT1135" i="7"/>
  <c r="AT1788" i="7"/>
  <c r="AT652" i="7"/>
  <c r="AT2217" i="7"/>
  <c r="AT274" i="7"/>
  <c r="AT241" i="7"/>
  <c r="AT734" i="7"/>
  <c r="AT1335" i="7"/>
  <c r="AT1280" i="7"/>
  <c r="AT1295" i="7"/>
  <c r="AT1765" i="7"/>
  <c r="AT299" i="7"/>
  <c r="AT930" i="7"/>
  <c r="AT735" i="7"/>
  <c r="AT1930" i="7"/>
  <c r="AT2170" i="7"/>
  <c r="AT2273" i="7"/>
  <c r="AT436" i="7"/>
  <c r="AT1650" i="7"/>
  <c r="AT1864" i="7"/>
  <c r="AT1261" i="7"/>
  <c r="AT685" i="7"/>
  <c r="AT878" i="7"/>
  <c r="AT399" i="7"/>
  <c r="AT2163" i="7"/>
  <c r="AT1581" i="7"/>
  <c r="AT1782" i="7"/>
  <c r="AT2021" i="7"/>
  <c r="AT790" i="7"/>
  <c r="AT95" i="7"/>
  <c r="AT426" i="7"/>
  <c r="AT977" i="7"/>
  <c r="AT1027" i="7"/>
  <c r="AT2083" i="7"/>
  <c r="AT2221" i="7"/>
  <c r="AT142" i="7"/>
  <c r="AT2244" i="7"/>
  <c r="AT451" i="7"/>
  <c r="AT1031" i="7"/>
  <c r="AT1300" i="7"/>
  <c r="AT542" i="7"/>
  <c r="AT601" i="7"/>
  <c r="AT1147" i="7"/>
  <c r="AT1479" i="7"/>
  <c r="AT1643" i="7"/>
  <c r="AT633" i="7"/>
  <c r="AT1474" i="7"/>
  <c r="AT534" i="7"/>
  <c r="AT1316" i="7"/>
  <c r="AT2219" i="7"/>
  <c r="AT1997" i="7"/>
  <c r="AT1255" i="7"/>
  <c r="AT999" i="7"/>
  <c r="AT1600" i="7"/>
  <c r="AT603" i="7"/>
  <c r="AT1346" i="7"/>
  <c r="AT1823" i="7"/>
  <c r="AT2026" i="7"/>
  <c r="AT686" i="7"/>
  <c r="AT2070" i="7"/>
  <c r="AT1397" i="7"/>
  <c r="AT327" i="7"/>
  <c r="AT641" i="7"/>
  <c r="AT1777" i="7"/>
  <c r="AT492" i="7"/>
  <c r="AT1465" i="7"/>
  <c r="AT1000" i="7"/>
  <c r="AT1640" i="7"/>
  <c r="AT1018" i="7"/>
  <c r="AT763" i="7"/>
  <c r="AT293" i="7"/>
  <c r="AT1637" i="7"/>
  <c r="AT62" i="7"/>
  <c r="AT720" i="7"/>
  <c r="AT1748" i="7"/>
  <c r="AT708" i="7"/>
  <c r="AT2082" i="7"/>
  <c r="AT2240" i="7"/>
  <c r="AT889" i="7"/>
  <c r="AT1967" i="7"/>
  <c r="AT955" i="7"/>
  <c r="AT1422" i="7"/>
  <c r="AT1897" i="7"/>
  <c r="AT1888" i="7"/>
  <c r="AT732" i="7"/>
  <c r="AT1601" i="7"/>
  <c r="AT2004" i="7"/>
  <c r="AT642" i="7"/>
  <c r="AT281" i="7"/>
  <c r="AT1635" i="7"/>
  <c r="AT1505" i="7"/>
  <c r="AT1779" i="7"/>
  <c r="AT1246" i="7"/>
  <c r="AT497" i="7"/>
  <c r="AT454" i="7"/>
  <c r="AT1381" i="7"/>
  <c r="AT1903" i="7"/>
  <c r="AT927" i="7"/>
  <c r="AT1563" i="7"/>
  <c r="AT926" i="7"/>
  <c r="AT1632" i="7"/>
  <c r="AT1593" i="7"/>
  <c r="AT415" i="7"/>
  <c r="AT1154" i="7"/>
  <c r="AT1524" i="7"/>
  <c r="AT1555" i="7"/>
  <c r="AT2014" i="7"/>
  <c r="AT403" i="7"/>
  <c r="AT1136" i="7"/>
  <c r="AT309" i="7"/>
  <c r="AT2243" i="7"/>
  <c r="AT1615" i="7"/>
  <c r="AT2283" i="7"/>
  <c r="AT378" i="7"/>
  <c r="AT1834" i="7"/>
  <c r="AT1267" i="7"/>
  <c r="AT1175" i="7"/>
  <c r="AT1660" i="7"/>
  <c r="AT1340" i="7"/>
  <c r="AT2253" i="7"/>
  <c r="AT695" i="7"/>
  <c r="AT1437" i="7"/>
  <c r="AT1314" i="7"/>
  <c r="AT2045" i="7"/>
  <c r="AT1539" i="7"/>
  <c r="AT1613" i="7"/>
  <c r="AT505" i="7"/>
  <c r="AT980" i="7"/>
  <c r="AT1476" i="7"/>
  <c r="AT1793" i="7"/>
  <c r="AT1449" i="7"/>
  <c r="AT339" i="7"/>
  <c r="AT1805" i="7"/>
  <c r="AT1443" i="7"/>
  <c r="AT668" i="7"/>
  <c r="AT1122" i="7"/>
  <c r="AT362" i="7"/>
  <c r="AT2189" i="7"/>
  <c r="AT679" i="7"/>
  <c r="AT691" i="7"/>
  <c r="AT2056" i="7"/>
  <c r="AT461" i="7"/>
  <c r="AT1487" i="7"/>
  <c r="AT2036" i="7"/>
  <c r="AT2114" i="7"/>
  <c r="AT380" i="7"/>
  <c r="AT1658" i="7"/>
  <c r="AT2159" i="7"/>
  <c r="AT1013" i="7"/>
  <c r="AT655" i="7"/>
  <c r="AT1143" i="7"/>
  <c r="AT692" i="7"/>
  <c r="AT618" i="7"/>
  <c r="AT2080" i="7"/>
  <c r="AT1240" i="7"/>
  <c r="AT1758" i="7"/>
  <c r="AT1899" i="7"/>
  <c r="AT2271" i="7"/>
  <c r="AT1802" i="7"/>
  <c r="AT128" i="7"/>
  <c r="AT2142" i="7"/>
  <c r="AT869" i="7"/>
  <c r="AT1362" i="7"/>
  <c r="AT829" i="7"/>
  <c r="AT1379" i="7"/>
  <c r="AT500" i="7"/>
  <c r="AT493" i="7"/>
  <c r="AT1325" i="7"/>
  <c r="AT1129" i="7"/>
  <c r="AT1562" i="7"/>
  <c r="AT1682" i="7"/>
  <c r="AT556" i="7"/>
  <c r="AT1418" i="7"/>
  <c r="AT1053" i="7"/>
  <c r="AT2076" i="7"/>
  <c r="AT746" i="7"/>
  <c r="AT1227" i="7"/>
  <c r="AT1303" i="7"/>
  <c r="AT1716" i="7"/>
  <c r="AT2206" i="7"/>
  <c r="AT844" i="7"/>
  <c r="AT1545" i="7"/>
  <c r="AT392" i="7"/>
  <c r="AT743" i="7"/>
  <c r="AT1817" i="7"/>
  <c r="AT2127" i="7"/>
  <c r="AT892" i="7"/>
  <c r="AT1228" i="7"/>
  <c r="AT1589" i="7"/>
  <c r="AT139" i="7"/>
  <c r="AT138" i="7"/>
  <c r="AT196" i="7"/>
  <c r="AT197" i="7"/>
  <c r="AT195" i="7"/>
  <c r="AT1727" i="7"/>
  <c r="AT1328" i="7"/>
  <c r="AT923" i="7"/>
  <c r="AT457" i="7"/>
  <c r="AT1608" i="7"/>
  <c r="AT1304" i="7"/>
  <c r="AT1287" i="7"/>
  <c r="AT1762" i="7"/>
  <c r="AT189" i="7"/>
  <c r="AT1416" i="7"/>
  <c r="AT718" i="7"/>
  <c r="AT673" i="7"/>
  <c r="AT737" i="7"/>
  <c r="AT924" i="7"/>
  <c r="AT1177" i="7"/>
  <c r="AT1842" i="7"/>
  <c r="AT835" i="7"/>
  <c r="AT1441" i="7"/>
  <c r="AT499" i="7"/>
  <c r="AT2015" i="7"/>
  <c r="AT1331" i="7"/>
  <c r="AT1318" i="7"/>
  <c r="AT2102" i="7"/>
  <c r="AT1196" i="7"/>
  <c r="AT277" i="7"/>
  <c r="AT687" i="7"/>
  <c r="AT579" i="7"/>
  <c r="AT1057" i="7"/>
  <c r="AT1642" i="7"/>
  <c r="AT1821" i="7"/>
  <c r="AT715" i="7"/>
  <c r="AT1754" i="7"/>
  <c r="AT1384" i="7"/>
  <c r="AT698" i="7"/>
  <c r="AT1398" i="7"/>
  <c r="AT934" i="7"/>
  <c r="AT1740" i="7"/>
  <c r="AT2146" i="7"/>
  <c r="AT302" i="7"/>
  <c r="AT627" i="7"/>
  <c r="AT870" i="7"/>
  <c r="AT1373" i="7"/>
  <c r="AT1124" i="7"/>
  <c r="AT1173" i="7"/>
  <c r="AT1900" i="7"/>
  <c r="AT1380" i="7"/>
  <c r="AT1518" i="7"/>
  <c r="AT555" i="7"/>
  <c r="AT329" i="7"/>
  <c r="AT1410" i="7"/>
  <c r="AT553" i="7"/>
  <c r="AT644" i="7"/>
  <c r="AT1946" i="7"/>
  <c r="AT1677" i="7"/>
  <c r="AT575" i="7"/>
  <c r="AT711" i="7"/>
  <c r="AT1672" i="7"/>
  <c r="AT307" i="7"/>
  <c r="AT8" i="7"/>
  <c r="AT305" i="7"/>
  <c r="AT1467" i="7"/>
  <c r="AT2265" i="7"/>
  <c r="AT634" i="7"/>
  <c r="AT931" i="7"/>
  <c r="AT1251" i="7"/>
  <c r="AT1488" i="7"/>
  <c r="AT1584" i="7"/>
  <c r="AT1599" i="7"/>
  <c r="AT702" i="7"/>
  <c r="AT2251" i="7"/>
  <c r="AT1527" i="7"/>
  <c r="AT2066" i="7"/>
  <c r="AT1311" i="7"/>
  <c r="AT1400" i="7"/>
  <c r="AT496" i="7"/>
  <c r="AT1363" i="7"/>
  <c r="AT694" i="7"/>
  <c r="AT985" i="7"/>
  <c r="AT359" i="7"/>
  <c r="AT2091" i="7"/>
  <c r="AT936" i="7"/>
  <c r="AT2088" i="7"/>
  <c r="AT2262" i="7"/>
  <c r="AT1142" i="7"/>
  <c r="AT1929" i="7"/>
  <c r="AT957" i="7"/>
  <c r="AT1833" i="7"/>
  <c r="AT239" i="7"/>
  <c r="AT678" i="7"/>
  <c r="AT922" i="7"/>
  <c r="AT681" i="7"/>
  <c r="AT788" i="7"/>
  <c r="AT1848" i="7"/>
  <c r="AT1192" i="7"/>
  <c r="AT847" i="7"/>
  <c r="AT1558" i="7"/>
  <c r="AT1847" i="7"/>
  <c r="AT2205" i="7"/>
  <c r="AT1816" i="7"/>
  <c r="AT432" i="7"/>
  <c r="AT1906" i="7"/>
  <c r="AT1668" i="7"/>
  <c r="AT2245" i="7"/>
  <c r="AT1934" i="7"/>
  <c r="AT778" i="7"/>
  <c r="AT897" i="7"/>
  <c r="AT1987" i="7"/>
  <c r="AT1781" i="7"/>
  <c r="AT1490" i="7"/>
  <c r="AT1646" i="7"/>
  <c r="AT1460" i="7"/>
  <c r="AT1480" i="7"/>
  <c r="AT1659" i="7"/>
  <c r="AT728" i="7"/>
  <c r="AT1641" i="7"/>
  <c r="AT1932" i="7"/>
  <c r="AT291" i="7"/>
  <c r="AT1786" i="7"/>
  <c r="AT398" i="7"/>
  <c r="AT1312" i="7"/>
  <c r="AT2274" i="7"/>
  <c r="AT2227" i="7"/>
  <c r="AT2090" i="7"/>
  <c r="AT1862" i="7"/>
  <c r="AT1447" i="7"/>
  <c r="AT629" i="7"/>
  <c r="AT2252" i="7"/>
  <c r="AT2272" i="7"/>
  <c r="AT1719" i="7"/>
  <c r="AT503" i="7"/>
  <c r="AT6" i="7"/>
  <c r="AT2120" i="7"/>
  <c r="AT2074" i="7"/>
  <c r="AT1152" i="7"/>
  <c r="AT1943" i="7"/>
  <c r="AT68" i="7"/>
  <c r="AT1462" i="7"/>
  <c r="AT741" i="7"/>
  <c r="AT1383" i="7"/>
  <c r="AT406" i="7"/>
  <c r="AT925" i="7"/>
  <c r="AT1638" i="7"/>
  <c r="AT1866" i="7"/>
  <c r="AT2131" i="7"/>
  <c r="AT2075" i="7"/>
  <c r="AT2277" i="7"/>
  <c r="AT1008" i="7"/>
  <c r="AT2093" i="7"/>
  <c r="AT1790" i="7"/>
  <c r="AT538" i="7"/>
  <c r="AT2259" i="7"/>
  <c r="AT2047" i="7"/>
  <c r="AT478" i="7"/>
  <c r="AT1159" i="7"/>
  <c r="AT2193" i="7"/>
  <c r="AT276" i="7"/>
  <c r="AT1666" i="7"/>
  <c r="AT341" i="7"/>
  <c r="AT1776" i="7"/>
  <c r="AT214" i="7"/>
  <c r="AT2108" i="7"/>
  <c r="AT1849" i="7"/>
  <c r="AT729" i="7"/>
  <c r="AT812" i="7"/>
  <c r="AT1924" i="7"/>
  <c r="AT533" i="7"/>
  <c r="AT1670" i="7"/>
  <c r="AT831" i="7"/>
  <c r="AT1225" i="7"/>
  <c r="AT364" i="7"/>
  <c r="AT2122" i="7"/>
  <c r="AT860" i="7"/>
  <c r="AT386" i="7"/>
  <c r="AT363" i="7"/>
  <c r="AT2081" i="7"/>
  <c r="AT1475" i="7"/>
  <c r="AT1764" i="7"/>
  <c r="AT2099" i="7"/>
  <c r="AT1166" i="7"/>
  <c r="AT2117" i="7"/>
  <c r="AT99" i="7"/>
  <c r="AT2230" i="7"/>
  <c r="AT725" i="7"/>
  <c r="AT1009" i="7"/>
  <c r="AT2101" i="7"/>
  <c r="AT2232" i="7"/>
  <c r="AT537" i="7"/>
  <c r="AT1183" i="7"/>
  <c r="AT896" i="7"/>
  <c r="AT1399" i="7"/>
  <c r="AT2112" i="7"/>
  <c r="AT2175" i="7"/>
  <c r="AT2208" i="7"/>
  <c r="AT1385" i="7"/>
  <c r="AT357" i="7"/>
  <c r="AT1623" i="7"/>
  <c r="AT2233" i="7"/>
  <c r="AT1751" i="7"/>
  <c r="AT407" i="7"/>
  <c r="AT2153" i="7"/>
  <c r="AT2162" i="7"/>
  <c r="AT2195" i="7"/>
  <c r="AT2145" i="7"/>
  <c r="AT852" i="7"/>
  <c r="AT2132" i="7"/>
  <c r="AT1652" i="7"/>
  <c r="AT502" i="7"/>
  <c r="AT1893" i="7"/>
  <c r="AT745" i="7"/>
  <c r="AT1391" i="7"/>
  <c r="AT1840" i="7"/>
  <c r="AT1444" i="7"/>
  <c r="AT909" i="7"/>
  <c r="AT345" i="7"/>
  <c r="AT558" i="7"/>
  <c r="AT1814" i="7"/>
  <c r="AT2087" i="7"/>
  <c r="AT1867" i="7"/>
  <c r="AT1800" i="7"/>
  <c r="AT405" i="7"/>
  <c r="AT1495" i="7"/>
  <c r="AT1439" i="7"/>
  <c r="AT2086" i="7"/>
  <c r="AT279" i="7"/>
  <c r="AT1714" i="7"/>
  <c r="AT375" i="7"/>
  <c r="AT1865" i="7"/>
  <c r="AT1846" i="7"/>
  <c r="AT2178" i="7"/>
  <c r="AT1538" i="7"/>
  <c r="AT1631" i="7"/>
  <c r="AT2207" i="7"/>
  <c r="AT920" i="7"/>
  <c r="AT117" i="7"/>
  <c r="AT1907" i="7"/>
  <c r="AT1657" i="7"/>
  <c r="AT1624" i="7"/>
  <c r="AT1890" i="7"/>
  <c r="AT2254" i="7"/>
  <c r="AT1633" i="7"/>
  <c r="AT2194" i="7"/>
  <c r="AT1396" i="7"/>
  <c r="AT1002" i="7"/>
  <c r="AT1861" i="7"/>
  <c r="AT256" i="7"/>
  <c r="AT2257" i="7"/>
  <c r="AT310" i="7"/>
  <c r="AT2260" i="7"/>
  <c r="AT2092" i="7"/>
  <c r="AT2116" i="7"/>
  <c r="AS2202" i="7"/>
  <c r="AS941" i="7"/>
  <c r="AS218" i="7"/>
  <c r="AS215" i="7"/>
  <c r="AS219" i="7"/>
  <c r="AS222" i="7"/>
  <c r="AS216" i="7"/>
  <c r="AS220" i="7"/>
  <c r="AS221" i="7"/>
  <c r="AS217" i="7"/>
  <c r="AS1902" i="7"/>
  <c r="AS2198" i="7"/>
  <c r="AS2201" i="7"/>
  <c r="AS2094" i="7"/>
  <c r="AS1858" i="7"/>
  <c r="AS2097" i="7"/>
  <c r="AS1406" i="7"/>
  <c r="AS1857" i="7"/>
  <c r="AS2028" i="7"/>
  <c r="AS1651" i="7"/>
  <c r="AS1936" i="7"/>
  <c r="AS1784" i="7"/>
  <c r="AS2069" i="7"/>
  <c r="AS1405" i="7"/>
  <c r="AS1908" i="7"/>
  <c r="AS1845" i="7"/>
  <c r="AS1045" i="7"/>
  <c r="AS2096" i="7"/>
  <c r="AS646" i="7"/>
  <c r="AS2095" i="7"/>
  <c r="AS1696" i="7"/>
  <c r="AS1549" i="7"/>
  <c r="AS1773" i="7"/>
  <c r="AS2255" i="7"/>
  <c r="AS1338" i="7"/>
  <c r="AS1938" i="7"/>
  <c r="AS748" i="7"/>
  <c r="AS1236" i="7"/>
  <c r="AS1158" i="7"/>
  <c r="AS1179" i="7"/>
  <c r="AS1809" i="7"/>
  <c r="AS1345" i="7"/>
  <c r="AS2051" i="7"/>
  <c r="AS1214" i="7"/>
  <c r="AS1572" i="7"/>
  <c r="AS2147" i="7"/>
  <c r="AS2176" i="7"/>
  <c r="AS1407" i="7"/>
  <c r="AS1452" i="7"/>
  <c r="AS1691" i="7"/>
  <c r="AS1298" i="7"/>
  <c r="AS2200" i="7"/>
  <c r="AS881" i="7"/>
  <c r="AS1224" i="7"/>
  <c r="AS252" i="7"/>
  <c r="AS759" i="7"/>
  <c r="AS1051" i="7"/>
  <c r="AS1684" i="7"/>
  <c r="AS680" i="7"/>
  <c r="AS1647" i="7"/>
  <c r="AS1062" i="7"/>
  <c r="AS1945" i="7"/>
  <c r="AS1453" i="7"/>
  <c r="AS2008" i="7"/>
  <c r="AS1421" i="7"/>
  <c r="AS1892" i="7"/>
  <c r="AS871" i="7"/>
  <c r="AS1023" i="7"/>
  <c r="AS882" i="7"/>
  <c r="AS1995" i="7"/>
  <c r="AS1060" i="7"/>
  <c r="AS1231" i="7"/>
  <c r="AS1872" i="7"/>
  <c r="AS821" i="7"/>
  <c r="AS1285" i="7"/>
  <c r="AS1859" i="7"/>
  <c r="AS1178" i="7"/>
  <c r="AS986" i="7"/>
  <c r="AS289" i="7"/>
  <c r="AS1721" i="7"/>
  <c r="AS1482" i="7"/>
  <c r="AS2167" i="7"/>
  <c r="AS1035" i="7"/>
  <c r="AS1951" i="7"/>
  <c r="AS888" i="7"/>
  <c r="AS580" i="7"/>
  <c r="AS1501" i="7"/>
  <c r="AS1194" i="7"/>
  <c r="AS1247" i="7"/>
  <c r="AS1445" i="7"/>
  <c r="AS738" i="7"/>
  <c r="AS2049" i="7"/>
  <c r="AS697" i="7"/>
  <c r="AS1180" i="7"/>
  <c r="AS559" i="7"/>
  <c r="AS1030" i="7"/>
  <c r="AS836" i="7"/>
  <c r="AS562" i="7"/>
  <c r="AS2171" i="7"/>
  <c r="AS1856" i="7"/>
  <c r="AS960" i="7"/>
  <c r="AS839" i="7"/>
  <c r="AS2057" i="7"/>
  <c r="AS1937" i="7"/>
  <c r="AS865" i="7"/>
  <c r="AS820" i="7"/>
  <c r="AS1169" i="7"/>
  <c r="AS2052" i="7"/>
  <c r="AS2139" i="7"/>
  <c r="AS858" i="7"/>
  <c r="AS2105" i="7"/>
  <c r="AS251" i="7"/>
  <c r="AS744" i="7"/>
  <c r="AS1423" i="7"/>
  <c r="AS1739" i="7"/>
  <c r="AS1376" i="7"/>
  <c r="AS1546" i="7"/>
  <c r="AS783" i="7"/>
  <c r="AS1969" i="7"/>
  <c r="AS1687" i="7"/>
  <c r="AS294" i="7"/>
  <c r="AS621" i="7"/>
  <c r="AS1621" i="7"/>
  <c r="AS1620" i="7"/>
  <c r="AS625" i="7"/>
  <c r="AS253" i="7"/>
  <c r="AS2134" i="7"/>
  <c r="AS319" i="7"/>
  <c r="AS1697" i="7"/>
  <c r="AS1413" i="7"/>
  <c r="AS1499" i="7"/>
  <c r="AS1685" i="7"/>
  <c r="AS1429" i="7"/>
  <c r="AS1195" i="7"/>
  <c r="AS710" i="7"/>
  <c r="AS1220" i="7"/>
  <c r="AS1084" i="7"/>
  <c r="AS1871" i="7"/>
  <c r="AS1920" i="7"/>
  <c r="AS1290" i="7"/>
  <c r="AS361" i="7"/>
  <c r="AS384" i="7"/>
  <c r="AS385" i="7"/>
  <c r="AS383" i="7"/>
  <c r="AS382" i="7"/>
  <c r="AS410" i="7"/>
  <c r="AS408" i="7"/>
  <c r="AS418" i="7"/>
  <c r="AS419" i="7"/>
  <c r="AS465" i="7"/>
  <c r="AS907" i="7"/>
  <c r="AS596" i="7"/>
  <c r="AS1254" i="7"/>
  <c r="AS1728" i="7"/>
  <c r="AS1944" i="7"/>
  <c r="AS1496" i="7"/>
  <c r="AS757" i="7"/>
  <c r="AS1578" i="7"/>
  <c r="AS2089" i="7"/>
  <c r="AS79" i="7"/>
  <c r="AS102" i="7"/>
  <c r="AS101" i="7"/>
  <c r="AS2022" i="7"/>
  <c r="AS1874" i="7"/>
  <c r="AS1737" i="7"/>
  <c r="AS80" i="7"/>
  <c r="AS82" i="7"/>
  <c r="AS81" i="7"/>
  <c r="AS100" i="7"/>
  <c r="AS103" i="7"/>
  <c r="AS1961" i="7"/>
  <c r="AS630" i="7"/>
  <c r="AS622" i="7"/>
  <c r="AS1446" i="7"/>
  <c r="AS381" i="7"/>
  <c r="AS1156" i="7"/>
  <c r="AS1778" i="7"/>
  <c r="AS780" i="7"/>
  <c r="AS595" i="7"/>
  <c r="AS1349" i="7"/>
  <c r="AS265" i="7"/>
  <c r="AS1176" i="7"/>
  <c r="AS1284" i="7"/>
  <c r="AS982" i="7"/>
  <c r="AS811" i="7"/>
  <c r="AS1186" i="7"/>
  <c r="AS331" i="7"/>
  <c r="AS1055" i="7"/>
  <c r="AS1200" i="7"/>
  <c r="AS1432" i="7"/>
  <c r="AS1168" i="7"/>
  <c r="AS2128" i="7"/>
  <c r="AS1082" i="7"/>
  <c r="AS2282" i="7"/>
  <c r="AS1288" i="7"/>
  <c r="AS249" i="7"/>
  <c r="AS316" i="7"/>
  <c r="AS640" i="7"/>
  <c r="AS765" i="7"/>
  <c r="AS1514" i="7"/>
  <c r="AS245" i="7"/>
  <c r="AS1068" i="7"/>
  <c r="AS1263" i="7"/>
  <c r="AS1269" i="7"/>
  <c r="AS1350" i="7"/>
  <c r="AS561" i="7"/>
  <c r="AS1940" i="7"/>
  <c r="AS409" i="7"/>
  <c r="AS427" i="7"/>
  <c r="AS424" i="7"/>
  <c r="AS429" i="7"/>
  <c r="AS421" i="7"/>
  <c r="AS585" i="7"/>
  <c r="AS2161" i="7"/>
  <c r="AS2098" i="7"/>
  <c r="AS1688" i="7"/>
  <c r="AS1941" i="7"/>
  <c r="AS1491" i="7"/>
  <c r="AS1243" i="7"/>
  <c r="AS1630" i="7"/>
  <c r="AS912" i="7"/>
  <c r="AS792" i="7"/>
  <c r="AS1024" i="7"/>
  <c r="AS141" i="7"/>
  <c r="AS213" i="7"/>
  <c r="AS1074" i="7"/>
  <c r="AS826" i="7"/>
  <c r="AS1942" i="7"/>
  <c r="AS144" i="7"/>
  <c r="AS1612" i="7"/>
  <c r="AS1607" i="7"/>
  <c r="AS1239" i="7"/>
  <c r="AS1403" i="7"/>
  <c r="AS1498" i="7"/>
  <c r="AS2111" i="7"/>
  <c r="AS55" i="7"/>
  <c r="AS814" i="7"/>
  <c r="AS1910" i="7"/>
  <c r="AS471" i="7"/>
  <c r="AS1911" i="7"/>
  <c r="AS1502" i="7"/>
  <c r="AS2199" i="7"/>
  <c r="AS1648" i="7"/>
  <c r="AS1109" i="7"/>
  <c r="AS1955" i="7"/>
  <c r="AS567" i="7"/>
  <c r="AS1516" i="7"/>
  <c r="AS1515" i="7"/>
  <c r="AS1984" i="7"/>
  <c r="AS1264" i="7"/>
  <c r="AS2141" i="7"/>
  <c r="AS118" i="7"/>
  <c r="AS140" i="7"/>
  <c r="AS1077" i="7"/>
  <c r="AS1305" i="7"/>
  <c r="AS1611" i="7"/>
  <c r="AS1448" i="7"/>
  <c r="AS660" i="7"/>
  <c r="AS846" i="7"/>
  <c r="AS1297" i="7"/>
  <c r="AS1237" i="7"/>
  <c r="AS464" i="7"/>
  <c r="AS961" i="7"/>
  <c r="AS1734" i="7"/>
  <c r="AS1333" i="7"/>
  <c r="AS1713" i="7"/>
  <c r="AS1854" i="7"/>
  <c r="AS449" i="7"/>
  <c r="AS487" i="7"/>
  <c r="AS1424" i="7"/>
  <c r="AS2169" i="7"/>
  <c r="AS661" i="7"/>
  <c r="AS942" i="7"/>
  <c r="AS1402" i="7"/>
  <c r="AS318" i="7"/>
  <c r="AS388" i="7"/>
  <c r="AS1125" i="7"/>
  <c r="AS1850" i="7"/>
  <c r="AS588" i="7"/>
  <c r="AS1983" i="7"/>
  <c r="AS879" i="7"/>
  <c r="AS350" i="7"/>
  <c r="AS598" i="7"/>
  <c r="AS2107" i="7"/>
  <c r="AS724" i="7"/>
  <c r="AS105" i="7"/>
  <c r="AS2061" i="7"/>
  <c r="AS1994" i="7"/>
  <c r="AS234" i="7"/>
  <c r="AS631" i="7"/>
  <c r="AS1040" i="7"/>
  <c r="AS1722" i="7"/>
  <c r="AS1732" i="7"/>
  <c r="AS2266" i="7"/>
  <c r="AS513" i="7"/>
  <c r="AS1080" i="7"/>
  <c r="AS1497" i="7"/>
  <c r="AS1935" i="7"/>
  <c r="AS2214" i="7"/>
  <c r="AS60" i="7"/>
  <c r="AS1187" i="7"/>
  <c r="AS2130" i="7"/>
  <c r="AS463" i="7"/>
  <c r="AS577" i="7"/>
  <c r="AS651" i="7"/>
  <c r="AS1036" i="7"/>
  <c r="AS1931" i="7"/>
  <c r="AS1197" i="7"/>
  <c r="AS1411" i="7"/>
  <c r="AS582" i="7"/>
  <c r="AS785" i="7"/>
  <c r="AS1206" i="7"/>
  <c r="AS2203" i="7"/>
  <c r="AS1451" i="7"/>
  <c r="AS1686" i="7"/>
  <c r="AS1547" i="7"/>
  <c r="AS1870" i="7"/>
  <c r="AS2012" i="7"/>
  <c r="AS1703" i="7"/>
  <c r="AS1127" i="7"/>
  <c r="AS205" i="7"/>
  <c r="AS1508" i="7"/>
  <c r="AS1673" i="7"/>
  <c r="AS969" i="7"/>
  <c r="AS1095" i="7"/>
  <c r="AS387" i="7"/>
  <c r="AS1775" i="7"/>
  <c r="AS1010" i="7"/>
  <c r="AS755" i="7"/>
  <c r="AS514" i="7"/>
  <c r="AS1559" i="7"/>
  <c r="AS848" i="7"/>
  <c r="AS1321" i="7"/>
  <c r="AS1950" i="7"/>
  <c r="AS2136" i="7"/>
  <c r="AS1494" i="7"/>
  <c r="AS1654" i="7"/>
  <c r="AS563" i="7"/>
  <c r="AS428" i="7"/>
  <c r="AS1308" i="7"/>
  <c r="AS48" i="7"/>
  <c r="AS1210" i="7"/>
  <c r="AS413" i="7"/>
  <c r="AS584" i="7"/>
  <c r="AS716" i="7"/>
  <c r="AS1112" i="7"/>
  <c r="AS452" i="7"/>
  <c r="AS1232" i="7"/>
  <c r="AS560" i="7"/>
  <c r="AS1889" i="7"/>
  <c r="AS653" i="7"/>
  <c r="AS1510" i="7"/>
  <c r="AS336" i="7"/>
  <c r="AS1201" i="7"/>
  <c r="AS809" i="7"/>
  <c r="AS1595" i="7"/>
  <c r="AS512" i="7"/>
  <c r="AS1171" i="7"/>
  <c r="AS1059" i="7"/>
  <c r="AS1234" i="7"/>
  <c r="AS2006" i="7"/>
  <c r="AS1838" i="7"/>
  <c r="AS2275" i="7"/>
  <c r="AS83" i="7"/>
  <c r="AS84" i="7"/>
  <c r="AS1939" i="7"/>
  <c r="AS1256" i="7"/>
  <c r="AS1977" i="7"/>
  <c r="AS236" i="7"/>
  <c r="AS230" i="7"/>
  <c r="AS228" i="7"/>
  <c r="AS231" i="7"/>
  <c r="AS227" i="7"/>
  <c r="AS224" i="7"/>
  <c r="AS225" i="7"/>
  <c r="AS226" i="7"/>
  <c r="AS1853" i="7"/>
  <c r="AS593" i="7"/>
  <c r="AS1090" i="7"/>
  <c r="AS1852" i="7"/>
  <c r="AS1971" i="7"/>
  <c r="AS1522" i="7"/>
  <c r="AS891" i="7"/>
  <c r="AS240" i="7"/>
  <c r="AS273" i="7"/>
  <c r="AS754" i="7"/>
  <c r="AS85" i="7"/>
  <c r="AS86" i="7"/>
  <c r="AS2177" i="7"/>
  <c r="AS1351" i="7"/>
  <c r="AS87" i="7"/>
  <c r="AS1026" i="7"/>
  <c r="AS209" i="7"/>
  <c r="AS1007" i="7"/>
  <c r="AS1699" i="7"/>
  <c r="AS1715" i="7"/>
  <c r="AS1215" i="7"/>
  <c r="AS1455" i="7"/>
  <c r="AS1609" i="7"/>
  <c r="AS1434" i="7"/>
  <c r="AS1876" i="7"/>
  <c r="AS600" i="7"/>
  <c r="AS2044" i="7"/>
  <c r="AS1119" i="7"/>
  <c r="AS88" i="7"/>
  <c r="AS740" i="7"/>
  <c r="AS1155" i="7"/>
  <c r="AS1096" i="7"/>
  <c r="AS282" i="7"/>
  <c r="AS1582" i="7"/>
  <c r="AS1855" i="7"/>
  <c r="AS1083" i="7"/>
  <c r="AS1213" i="7"/>
  <c r="AS764" i="7"/>
  <c r="AS52" i="7"/>
  <c r="AS943" i="7"/>
  <c r="AS1244" i="7"/>
  <c r="AS965" i="7"/>
  <c r="AS962" i="7"/>
  <c r="AS1395" i="7"/>
  <c r="AS1428" i="7"/>
  <c r="AS1596" i="7"/>
  <c r="AS1653" i="7"/>
  <c r="AS332" i="7"/>
  <c r="AS578" i="7"/>
  <c r="AS948" i="7"/>
  <c r="AS355" i="7"/>
  <c r="AS348" i="7"/>
  <c r="AS370" i="7"/>
  <c r="AS1787" i="7"/>
  <c r="AS1879" i="7"/>
  <c r="AS303" i="7"/>
  <c r="AS956" i="7"/>
  <c r="AS1070" i="7"/>
  <c r="AS1468" i="7"/>
  <c r="AS637" i="7"/>
  <c r="AS395" i="7"/>
  <c r="AS1199" i="7"/>
  <c r="AS1327" i="7"/>
  <c r="AS1337" i="7"/>
  <c r="AS24" i="7"/>
  <c r="AS50" i="7"/>
  <c r="AS1948" i="7"/>
  <c r="AS2032" i="7"/>
  <c r="AS543" i="7"/>
  <c r="AS2135" i="7"/>
  <c r="AS2229" i="7"/>
  <c r="AS787" i="7"/>
  <c r="AS1808" i="7"/>
  <c r="AS901" i="7"/>
  <c r="AS1252" i="7"/>
  <c r="AS393" i="7"/>
  <c r="AS772" i="7"/>
  <c r="AS7" i="7"/>
  <c r="AS107" i="7"/>
  <c r="AS1212" i="7"/>
  <c r="AS2238" i="7"/>
  <c r="AS1099" i="7"/>
  <c r="AS1294" i="7"/>
  <c r="AS1965" i="7"/>
  <c r="AS2104" i="7"/>
  <c r="AS919" i="7"/>
  <c r="AS1560" i="7"/>
  <c r="AS92" i="7"/>
  <c r="AS1690" i="7"/>
  <c r="AS714" i="7"/>
  <c r="AS1536" i="7"/>
  <c r="AS545" i="7"/>
  <c r="AS707" i="7"/>
  <c r="AS1184" i="7"/>
  <c r="AS2140" i="7"/>
  <c r="AS2138" i="7"/>
  <c r="AS237" i="7"/>
  <c r="AS248" i="7"/>
  <c r="AS684" i="7"/>
  <c r="AS1364" i="7"/>
  <c r="AS1674" i="7"/>
  <c r="AS89" i="7"/>
  <c r="AS51" i="7"/>
  <c r="AS2024" i="7"/>
  <c r="AS1061" i="7"/>
  <c r="AS770" i="7"/>
  <c r="AS800" i="7"/>
  <c r="AS996" i="7"/>
  <c r="AS369" i="7"/>
  <c r="AS587" i="7"/>
  <c r="AS2041" i="7"/>
  <c r="AS119" i="7"/>
  <c r="AS120" i="7"/>
  <c r="AS411" i="7"/>
  <c r="AS467" i="7"/>
  <c r="AS455" i="7"/>
  <c r="AS448" i="7"/>
  <c r="AS474" i="7"/>
  <c r="AS1054" i="7"/>
  <c r="AS1707" i="7"/>
  <c r="AS330" i="7"/>
  <c r="AS1724" i="7"/>
  <c r="AS2149" i="7"/>
  <c r="AS550" i="7"/>
  <c r="AS1770" i="7"/>
  <c r="AS1998" i="7"/>
  <c r="AS1693" i="7"/>
  <c r="AS349" i="7"/>
  <c r="AS1219" i="7"/>
  <c r="AS1794" i="7"/>
  <c r="AS262" i="7"/>
  <c r="AS1404" i="7"/>
  <c r="AS594" i="7"/>
  <c r="AS1711" i="7"/>
  <c r="AS2247" i="7"/>
  <c r="AS104" i="7"/>
  <c r="AS1649" i="7"/>
  <c r="AS576" i="7"/>
  <c r="AS807" i="7"/>
  <c r="AS290" i="7"/>
  <c r="AS607" i="7"/>
  <c r="AS2023" i="7"/>
  <c r="AS2155" i="7"/>
  <c r="AS784" i="7"/>
  <c r="AS967" i="7"/>
  <c r="AS1037" i="7"/>
  <c r="AS167" i="7"/>
  <c r="AS157" i="7"/>
  <c r="AS179" i="7"/>
  <c r="AS178" i="7"/>
  <c r="AS152" i="7"/>
  <c r="AS168" i="7"/>
  <c r="AS174" i="7"/>
  <c r="AS172" i="7"/>
  <c r="AS153" i="7"/>
  <c r="AS171" i="7"/>
  <c r="AS177" i="7"/>
  <c r="AS163" i="7"/>
  <c r="AS170" i="7"/>
  <c r="AS173" i="7"/>
  <c r="AS175" i="7"/>
  <c r="AS164" i="7"/>
  <c r="AS166" i="7"/>
  <c r="AS165" i="7"/>
  <c r="AS162" i="7"/>
  <c r="AS161" i="7"/>
  <c r="AS498" i="7"/>
  <c r="AS752" i="7"/>
  <c r="AS867" i="7"/>
  <c r="AS786" i="7"/>
  <c r="AS705" i="7"/>
  <c r="AS1223" i="7"/>
  <c r="AS1409" i="7"/>
  <c r="AS132" i="7"/>
  <c r="AS959" i="7"/>
  <c r="AS283" i="7"/>
  <c r="AS1056" i="7"/>
  <c r="AS347" i="7"/>
  <c r="AS825" i="7"/>
  <c r="AS1725" i="7"/>
  <c r="AS981" i="7"/>
  <c r="AS1209" i="7"/>
  <c r="AS479" i="7"/>
  <c r="AS360" i="7"/>
  <c r="AS995" i="7"/>
  <c r="AS1094" i="7"/>
  <c r="AS1161" i="7"/>
  <c r="AS1736" i="7"/>
  <c r="AS1953" i="7"/>
  <c r="AS356" i="7"/>
  <c r="AS2119" i="7"/>
  <c r="AS1493" i="7"/>
  <c r="AS886" i="7"/>
  <c r="AS374" i="7"/>
  <c r="AS1730" i="7"/>
  <c r="AS898" i="7"/>
  <c r="AS1695" i="7"/>
  <c r="AS837" i="7"/>
  <c r="AS1720" i="7"/>
  <c r="AS17" i="7"/>
  <c r="AS626" i="7"/>
  <c r="AS796" i="7"/>
  <c r="AS1513" i="7"/>
  <c r="AS2150" i="7"/>
  <c r="AS2151" i="7"/>
  <c r="AS1271" i="7"/>
  <c r="AS116" i="7"/>
  <c r="AS1242" i="7"/>
  <c r="AS958" i="7"/>
  <c r="AS446" i="7"/>
  <c r="AS311" i="7"/>
  <c r="AS1123" i="7"/>
  <c r="AS2196" i="7"/>
  <c r="AS26" i="7"/>
  <c r="AS27" i="7"/>
  <c r="AS28" i="7"/>
  <c r="AS29" i="7"/>
  <c r="AS30" i="7"/>
  <c r="AS31" i="7"/>
  <c r="AS32" i="7"/>
  <c r="AS33" i="7"/>
  <c r="AS34" i="7"/>
  <c r="AS35" i="7"/>
  <c r="AS36" i="7"/>
  <c r="AS37" i="7"/>
  <c r="AS38" i="7"/>
  <c r="AS39" i="7"/>
  <c r="AS40" i="7"/>
  <c r="AS41" i="7"/>
  <c r="AS659" i="7"/>
  <c r="AS2001" i="7"/>
  <c r="AS1132" i="7"/>
  <c r="AS1160" i="7"/>
  <c r="AS106" i="7"/>
  <c r="AS1531" i="7"/>
  <c r="AS254" i="7"/>
  <c r="AS122" i="7"/>
  <c r="AS565" i="7"/>
  <c r="AS1671" i="7"/>
  <c r="AS1791" i="7"/>
  <c r="AS266" i="7"/>
  <c r="AS1619" i="7"/>
  <c r="AS1174" i="7"/>
  <c r="AS970" i="7"/>
  <c r="AS376" i="7"/>
  <c r="AS1625" i="7"/>
  <c r="AS371" i="7"/>
  <c r="AS1813" i="7"/>
  <c r="AS1733" i="7"/>
  <c r="AS368" i="7"/>
  <c r="AS1042" i="7"/>
  <c r="AS771" i="7"/>
  <c r="AS2228" i="7"/>
  <c r="AS250" i="7"/>
  <c r="AS1486" i="7"/>
  <c r="AS10" i="7"/>
  <c r="AS649" i="7"/>
  <c r="AS1885" i="7"/>
  <c r="AS654" i="7"/>
  <c r="AS1250" i="7"/>
  <c r="AS1521" i="7"/>
  <c r="AS628" i="7"/>
  <c r="AS1085" i="7"/>
  <c r="AS1204" i="7"/>
  <c r="AS1759" i="7"/>
  <c r="AS532" i="7"/>
  <c r="AS650" i="7"/>
  <c r="AS856" i="7"/>
  <c r="AS994" i="7"/>
  <c r="AS1067" i="7"/>
  <c r="AS1712" i="7"/>
  <c r="AS1113" i="7"/>
  <c r="AS937" i="7"/>
  <c r="AS64" i="7"/>
  <c r="AS63" i="7"/>
  <c r="AS797" i="7"/>
  <c r="AS523" i="7"/>
  <c r="AS549" i="7"/>
  <c r="AS645" i="7"/>
  <c r="AS895" i="7"/>
  <c r="AS2280" i="7"/>
  <c r="AS1374" i="7"/>
  <c r="AS25" i="7"/>
  <c r="AS180" i="7"/>
  <c r="AS524" i="7"/>
  <c r="AS90" i="7"/>
  <c r="AS1420" i="7"/>
  <c r="AS1587" i="7"/>
  <c r="AS1352" i="7"/>
  <c r="AS1962" i="7"/>
  <c r="AS1797" i="7"/>
  <c r="AS527" i="7"/>
  <c r="AS753" i="7"/>
  <c r="AS1533" i="7"/>
  <c r="AS1542" i="7"/>
  <c r="AS158" i="7"/>
  <c r="AS712" i="7"/>
  <c r="AS333" i="7"/>
  <c r="AS890" i="7"/>
  <c r="AS1456" i="7"/>
  <c r="AS1894" i="7"/>
  <c r="AS1767" i="7"/>
  <c r="AS91" i="7"/>
  <c r="AS608" i="7"/>
  <c r="AS445" i="7"/>
  <c r="AS94" i="7"/>
  <c r="AS93" i="7"/>
  <c r="AS108" i="7"/>
  <c r="AS109" i="7"/>
  <c r="AS111" i="7"/>
  <c r="AS112" i="7"/>
  <c r="AS202" i="7"/>
  <c r="AS447" i="7"/>
  <c r="AS206" i="7"/>
  <c r="AS207" i="7"/>
  <c r="AS1079" i="7"/>
  <c r="AS636" i="7"/>
  <c r="AS983" i="7"/>
  <c r="AS477" i="7"/>
  <c r="AS756" i="7"/>
  <c r="AS129" i="7"/>
  <c r="AS246" i="7"/>
  <c r="AS1811" i="7"/>
  <c r="AS1763" i="7"/>
  <c r="AS110" i="7"/>
  <c r="AS574" i="7"/>
  <c r="AS1975" i="7"/>
  <c r="AS135" i="7"/>
  <c r="AS300" i="7"/>
  <c r="AS324" i="7"/>
  <c r="AS2237" i="7"/>
  <c r="AS183" i="7"/>
  <c r="AS182" i="7"/>
  <c r="AS184" i="7"/>
  <c r="AS185" i="7"/>
  <c r="AS176" i="7"/>
  <c r="AS181" i="7"/>
  <c r="AS304" i="7"/>
  <c r="AS548" i="7"/>
  <c r="AS113" i="7"/>
  <c r="AS1519" i="7"/>
  <c r="AS431" i="7"/>
  <c r="AS2144" i="7"/>
  <c r="AS984" i="7"/>
  <c r="AS1557" i="7"/>
  <c r="AS1801" i="7"/>
  <c r="AS1718" i="7"/>
  <c r="AS805" i="7"/>
  <c r="AS1511" i="7"/>
  <c r="AS312" i="7"/>
  <c r="AS2165" i="7"/>
  <c r="AS1752" i="7"/>
  <c r="AS2191" i="7"/>
  <c r="AS604" i="7"/>
  <c r="AS2040" i="7"/>
  <c r="AS2187" i="7"/>
  <c r="AS1044" i="7"/>
  <c r="AS2005" i="7"/>
  <c r="AS2053" i="7"/>
  <c r="AS2137" i="7"/>
  <c r="AS462" i="7"/>
  <c r="AS1208" i="7"/>
  <c r="AS1221" i="7"/>
  <c r="AS2210" i="7"/>
  <c r="AS297" i="7"/>
  <c r="AS1669" i="7"/>
  <c r="AS521" i="7"/>
  <c r="AS2270" i="7"/>
  <c r="AS223" i="7"/>
  <c r="AS1069" i="7"/>
  <c r="AS255" i="7"/>
  <c r="AS321" i="7"/>
  <c r="AS1878" i="7"/>
  <c r="AS915" i="7"/>
  <c r="AS1011" i="7"/>
  <c r="AS1198" i="7"/>
  <c r="AS619" i="7"/>
  <c r="AS1507" i="7"/>
  <c r="AS76" i="7"/>
  <c r="AS73" i="7"/>
  <c r="AS72" i="7"/>
  <c r="AS71" i="7"/>
  <c r="AS481" i="7"/>
  <c r="AS968" i="7"/>
  <c r="AS1064" i="7"/>
  <c r="AS1706" i="7"/>
  <c r="AS147" i="7"/>
  <c r="AS443" i="7"/>
  <c r="AS832" i="7"/>
  <c r="AS963" i="7"/>
  <c r="AS1114" i="7"/>
  <c r="AS1128" i="7"/>
  <c r="AS1181" i="7"/>
  <c r="AS850" i="7"/>
  <c r="AS699" i="7"/>
  <c r="AS1078" i="7"/>
  <c r="AS1015" i="7"/>
  <c r="AS815" i="7"/>
  <c r="AS1525" i="7"/>
  <c r="AS2077" i="7"/>
  <c r="AS1550" i="7"/>
  <c r="AS12" i="7"/>
  <c r="AS662" i="7"/>
  <c r="AS1532" i="7"/>
  <c r="AS1442" i="7"/>
  <c r="AS143" i="7"/>
  <c r="AS268" i="7"/>
  <c r="AS583" i="7"/>
  <c r="AS1689" i="7"/>
  <c r="AS417" i="7"/>
  <c r="AS875" i="7"/>
  <c r="AS96" i="7"/>
  <c r="AS1768" i="7"/>
  <c r="AS1627" i="7"/>
  <c r="AS1966" i="7"/>
  <c r="AS320" i="7"/>
  <c r="AS287" i="7"/>
  <c r="AS2121" i="7"/>
  <c r="AS44" i="7"/>
  <c r="AS203" i="7"/>
  <c r="AS529" i="7"/>
  <c r="AS469" i="7"/>
  <c r="AS1274" i="7"/>
  <c r="AS2242" i="7"/>
  <c r="AS134" i="7"/>
  <c r="AS20" i="7"/>
  <c r="AS1478" i="7"/>
  <c r="AS21" i="7"/>
  <c r="AS768" i="7"/>
  <c r="AS47" i="7"/>
  <c r="AS46" i="7"/>
  <c r="AS54" i="7"/>
  <c r="AS53" i="7"/>
  <c r="AS435" i="7"/>
  <c r="AS953" i="7"/>
  <c r="AS1172" i="7"/>
  <c r="AS776" i="7"/>
  <c r="AS1235" i="7"/>
  <c r="AS1815" i="7"/>
  <c r="AS354" i="7"/>
  <c r="AS1882" i="7"/>
  <c r="AS1347" i="7"/>
  <c r="AS1976" i="7"/>
  <c r="AS2188" i="7"/>
  <c r="AS1656" i="7"/>
  <c r="AS1704" i="7"/>
  <c r="AS1744" i="7"/>
  <c r="AS1990" i="7"/>
  <c r="AS2197" i="7"/>
  <c r="AS1836" i="7"/>
  <c r="AS315" i="7"/>
  <c r="AS775" i="7"/>
  <c r="AS946" i="7"/>
  <c r="AS508" i="7"/>
  <c r="AS818" i="7"/>
  <c r="AS987" i="7"/>
  <c r="AS1075" i="7"/>
  <c r="AS285" i="7"/>
  <c r="AS2231" i="7"/>
  <c r="AS433" i="7"/>
  <c r="AS777" i="7"/>
  <c r="AS1484" i="7"/>
  <c r="AS1947" i="7"/>
  <c r="AS1048" i="7"/>
  <c r="AS1544" i="7"/>
  <c r="AS1356" i="7"/>
  <c r="AS1592" i="7"/>
  <c r="AS78" i="7"/>
  <c r="AS77" i="7"/>
  <c r="AS74" i="7"/>
  <c r="AS75" i="7"/>
  <c r="AS2157" i="7"/>
  <c r="AS56" i="7"/>
  <c r="AS599" i="7"/>
  <c r="AS1825" i="7"/>
  <c r="AS721" i="7"/>
  <c r="AS1102" i="7"/>
  <c r="AS1145" i="7"/>
  <c r="AS1756" i="7"/>
  <c r="AS1804" i="7"/>
  <c r="AS1101" i="7"/>
  <c r="AS2050" i="7"/>
  <c r="AS272" i="7"/>
  <c r="AS519" i="7"/>
  <c r="AS334" i="7"/>
  <c r="AS1262" i="7"/>
  <c r="AS1540" i="7"/>
  <c r="AS664" i="7"/>
  <c r="AS1914" i="7"/>
  <c r="AS351" i="7"/>
  <c r="AS434" i="7"/>
  <c r="AS833" i="7"/>
  <c r="AS1205" i="7"/>
  <c r="AS1909" i="7"/>
  <c r="AS1915" i="7"/>
  <c r="AS1968" i="7"/>
  <c r="AS338" i="7"/>
  <c r="AS1610" i="7"/>
  <c r="AS475" i="7"/>
  <c r="AS422" i="7"/>
  <c r="AS1341" i="7"/>
  <c r="AS1551" i="7"/>
  <c r="AS1749" i="7"/>
  <c r="AS854" i="7"/>
  <c r="AS1675" i="7"/>
  <c r="AS23" i="7"/>
  <c r="AS22" i="7"/>
  <c r="AS1884" i="7"/>
  <c r="AS841" i="7"/>
  <c r="AS1463" i="7"/>
  <c r="AS1919" i="7"/>
  <c r="AS1963" i="7"/>
  <c r="AS1222" i="7"/>
  <c r="AS804" i="7"/>
  <c r="AS1293" i="7"/>
  <c r="AS472" i="7"/>
  <c r="AS438" i="7"/>
  <c r="AS1361" i="7"/>
  <c r="AS1425" i="7"/>
  <c r="AS1912" i="7"/>
  <c r="AS2258" i="7"/>
  <c r="AS480" i="7"/>
  <c r="AS843" i="7"/>
  <c r="AS899" i="7"/>
  <c r="AS1492" i="7"/>
  <c r="AS1344" i="7"/>
  <c r="AS346" i="7"/>
  <c r="AS774" i="7"/>
  <c r="AS1731" i="7"/>
  <c r="AS1978" i="7"/>
  <c r="AS801" i="7"/>
  <c r="AS1343" i="7"/>
  <c r="AS1483" i="7"/>
  <c r="AS531" i="7"/>
  <c r="AS1454" i="7"/>
  <c r="AS1692" i="7"/>
  <c r="AS590" i="7"/>
  <c r="AS2007" i="7"/>
  <c r="AS2033" i="7"/>
  <c r="AS146" i="7"/>
  <c r="AS264" i="7"/>
  <c r="AS506" i="7"/>
  <c r="AS658" i="7"/>
  <c r="AS1281" i="7"/>
  <c r="AS1461" i="7"/>
  <c r="AS1757" i="7"/>
  <c r="AS115" i="7"/>
  <c r="AS1073" i="7"/>
  <c r="AS1259" i="7"/>
  <c r="AS1535" i="7"/>
  <c r="AS1664" i="7"/>
  <c r="AS643" i="7"/>
  <c r="AS1415" i="7"/>
  <c r="AS1761" i="7"/>
  <c r="AS2268" i="7"/>
  <c r="AS552" i="7"/>
  <c r="AS2158" i="7"/>
  <c r="AS1982" i="7"/>
  <c r="AS739" i="7"/>
  <c r="AS1047" i="7"/>
  <c r="AS2071" i="7"/>
  <c r="AS570" i="7"/>
  <c r="AS1710" i="7"/>
  <c r="AS1886" i="7"/>
  <c r="AS284" i="7"/>
  <c r="AS414" i="7"/>
  <c r="AS799" i="7"/>
  <c r="AS1157" i="7"/>
  <c r="AS592" i="7"/>
  <c r="AS794" i="7"/>
  <c r="AS473" i="7"/>
  <c r="AS2027" i="7"/>
  <c r="AS511" i="7"/>
  <c r="AS1959" i="7"/>
  <c r="AS394" i="7"/>
  <c r="AS803" i="7"/>
  <c r="AS945" i="7"/>
  <c r="AS1017" i="7"/>
  <c r="AS1952" i="7"/>
  <c r="AS2037" i="7"/>
  <c r="AS751" i="7"/>
  <c r="AS1895" i="7"/>
  <c r="AS1999" i="7"/>
  <c r="AS1458" i="7"/>
  <c r="AS1789" i="7"/>
  <c r="AS439" i="7"/>
  <c r="AS1103" i="7"/>
  <c r="AS1427" i="7"/>
  <c r="AS389" i="7"/>
  <c r="AS1226" i="7"/>
  <c r="AS1216" i="7"/>
  <c r="AS9" i="7"/>
  <c r="AS242" i="7"/>
  <c r="AS1426" i="7"/>
  <c r="AS1552" i="7"/>
  <c r="AS1489" i="7"/>
  <c r="AS1265" i="7"/>
  <c r="AS1506" i="7"/>
  <c r="AS61" i="7"/>
  <c r="AS722" i="7"/>
  <c r="AS1957" i="7"/>
  <c r="AS782" i="7"/>
  <c r="AS779" i="7"/>
  <c r="AS1537" i="7"/>
  <c r="AS1500" i="7"/>
  <c r="AS442" i="7"/>
  <c r="AS566" i="7"/>
  <c r="AS1464" i="7"/>
  <c r="AS151" i="7"/>
  <c r="AS149" i="7"/>
  <c r="AS340" i="7"/>
  <c r="AS1575" i="7"/>
  <c r="AS1698" i="7"/>
  <c r="AS993" i="7"/>
  <c r="AS1766" i="7"/>
  <c r="AS358" i="7"/>
  <c r="AS1530" i="7"/>
  <c r="AS1309" i="7"/>
  <c r="AS1655" i="7"/>
  <c r="AS1933" i="7"/>
  <c r="AS2009" i="7"/>
  <c r="AS639" i="7"/>
  <c r="AS1887" i="7"/>
  <c r="AS352" i="7"/>
  <c r="AS367" i="7"/>
  <c r="AS1512" i="7"/>
  <c r="AS306" i="7"/>
  <c r="AS1230" i="7"/>
  <c r="AS1390" i="7"/>
  <c r="AS1605" i="7"/>
  <c r="AS130" i="7"/>
  <c r="AS507" i="7"/>
  <c r="AS793" i="7"/>
  <c r="AS1526" i="7"/>
  <c r="AS377" i="7"/>
  <c r="AS696" i="7"/>
  <c r="AS887" i="7"/>
  <c r="AS906" i="7"/>
  <c r="AS441" i="7"/>
  <c r="AS437" i="7"/>
  <c r="AS232" i="7"/>
  <c r="AS1065" i="7"/>
  <c r="AS1367" i="7"/>
  <c r="AS1188" i="7"/>
  <c r="AS490" i="7"/>
  <c r="AS1033" i="7"/>
  <c r="AS1360" i="7"/>
  <c r="AS1366" i="7"/>
  <c r="AS1245" i="7"/>
  <c r="AS1357" i="7"/>
  <c r="AS1313" i="7"/>
  <c r="AS2030" i="7"/>
  <c r="AS199" i="7"/>
  <c r="AS212" i="7"/>
  <c r="AS781" i="7"/>
  <c r="AS991" i="7"/>
  <c r="AS1319" i="7"/>
  <c r="AS1414" i="7"/>
  <c r="AS1355" i="7"/>
  <c r="AS1875" i="7"/>
  <c r="AS864" i="7"/>
  <c r="AS1041" i="7"/>
  <c r="AS1371" i="7"/>
  <c r="AS1520" i="7"/>
  <c r="AS1590" i="7"/>
  <c r="AS1818" i="7"/>
  <c r="AS709" i="7"/>
  <c r="AS2013" i="7"/>
  <c r="AS261" i="7"/>
  <c r="AS1541" i="7"/>
  <c r="AS1063" i="7"/>
  <c r="AS313" i="7"/>
  <c r="AS921" i="7"/>
  <c r="AS910" i="7"/>
  <c r="AS1597" i="7"/>
  <c r="AS145" i="7"/>
  <c r="AS670" i="7"/>
  <c r="AS802" i="7"/>
  <c r="AS675" i="7"/>
  <c r="AS1954" i="7"/>
  <c r="AS2156" i="7"/>
  <c r="AS1873" i="7"/>
  <c r="AS337" i="7"/>
  <c r="AS972" i="7"/>
  <c r="AS1148" i="7"/>
  <c r="AS1306" i="7"/>
  <c r="AS1217" i="7"/>
  <c r="AS1431" i="7"/>
  <c r="AS2148" i="7"/>
  <c r="AS482" i="7"/>
  <c r="AS838" i="7"/>
  <c r="AS1466" i="7"/>
  <c r="AS1680" i="7"/>
  <c r="AS314" i="7"/>
  <c r="AS1332" i="7"/>
  <c r="AS278" i="7"/>
  <c r="AS546" i="7"/>
  <c r="AS1694" i="7"/>
  <c r="AS1233" i="7"/>
  <c r="AS657" i="7"/>
  <c r="AS1153" i="7"/>
  <c r="AS667" i="7"/>
  <c r="AS894" i="7"/>
  <c r="AS2058" i="7"/>
  <c r="AS244" i="7"/>
  <c r="AS1238" i="7"/>
  <c r="AS1992" i="7"/>
  <c r="AS615" i="7"/>
  <c r="AS1021" i="7"/>
  <c r="AS1717" i="7"/>
  <c r="AS1795" i="7"/>
  <c r="AS2213" i="7"/>
  <c r="AS1806" i="7"/>
  <c r="AS1058" i="7"/>
  <c r="AS1481" i="7"/>
  <c r="AS1278" i="7"/>
  <c r="AS606" i="7"/>
  <c r="AS325" i="7"/>
  <c r="AS518" i="7"/>
  <c r="AS1266" i="7"/>
  <c r="AS425" i="7"/>
  <c r="AS1218" i="7"/>
  <c r="AS1207" i="7"/>
  <c r="AS1315" i="7"/>
  <c r="AS863" i="7"/>
  <c r="AS539" i="7"/>
  <c r="AS544" i="7"/>
  <c r="AS620" i="7"/>
  <c r="AS1991" i="7"/>
  <c r="AS97" i="7"/>
  <c r="AS2106" i="7"/>
  <c r="AS15" i="7"/>
  <c r="AS1504" i="7"/>
  <c r="AS564" i="7"/>
  <c r="AS1569" i="7"/>
  <c r="AS1249" i="7"/>
  <c r="AS2031" i="7"/>
  <c r="AS295" i="7"/>
  <c r="AS353" i="7"/>
  <c r="AS1565" i="7"/>
  <c r="AS1735" i="7"/>
  <c r="AS14" i="7"/>
  <c r="AS2133" i="7"/>
  <c r="AS2002" i="7"/>
  <c r="AS400" i="7"/>
  <c r="AS420" i="7"/>
  <c r="AS1046" i="7"/>
  <c r="AS1115" i="7"/>
  <c r="AS45" i="7"/>
  <c r="AS188" i="7"/>
  <c r="AS2010" i="7"/>
  <c r="AS148" i="7"/>
  <c r="AS979" i="7"/>
  <c r="AS1087" i="7"/>
  <c r="AS1354" i="7"/>
  <c r="AS1571" i="7"/>
  <c r="AS1604" i="7"/>
  <c r="AS1988" i="7"/>
  <c r="AS59" i="7"/>
  <c r="AS1163" i="7"/>
  <c r="AS1830" i="7"/>
  <c r="AS2017" i="7"/>
  <c r="AS1019" i="7"/>
  <c r="AS1863" i="7"/>
  <c r="AS2263" i="7"/>
  <c r="AS317" i="7"/>
  <c r="AS816" i="7"/>
  <c r="AS1307" i="7"/>
  <c r="AS2281" i="7"/>
  <c r="AS1091" i="7"/>
  <c r="AS200" i="7"/>
  <c r="AS257" i="7"/>
  <c r="AS857" i="7"/>
  <c r="AS379" i="7"/>
  <c r="AS2223" i="7"/>
  <c r="AS2073" i="7"/>
  <c r="AS271" i="7"/>
  <c r="AS57" i="7"/>
  <c r="AS58" i="7"/>
  <c r="AS713" i="7"/>
  <c r="AS1098" i="7"/>
  <c r="AS880" i="7"/>
  <c r="AS1417" i="7"/>
  <c r="AS1028" i="7"/>
  <c r="AS150" i="7"/>
  <c r="AS154" i="7"/>
  <c r="AS156" i="7"/>
  <c r="AS155" i="7"/>
  <c r="AS1120" i="7"/>
  <c r="AS1049" i="7"/>
  <c r="AS98" i="7"/>
  <c r="AS270" i="7"/>
  <c r="AS2085" i="7"/>
  <c r="AS515" i="7"/>
  <c r="AS766" i="7"/>
  <c r="AS1100" i="7"/>
  <c r="AS121" i="7"/>
  <c r="AS609" i="7"/>
  <c r="AS2035" i="7"/>
  <c r="AS2063" i="7"/>
  <c r="AS971" i="7"/>
  <c r="AS1140" i="7"/>
  <c r="AS2164" i="7"/>
  <c r="AS1137" i="7"/>
  <c r="AS1829" i="7"/>
  <c r="AS1989" i="7"/>
  <c r="AS1272" i="7"/>
  <c r="AS1561" i="7"/>
  <c r="AS2216" i="7"/>
  <c r="AS1339" i="7"/>
  <c r="AS2038" i="7"/>
  <c r="AS989" i="7"/>
  <c r="AS1676" i="7"/>
  <c r="AS2109" i="7"/>
  <c r="AS1081" i="7"/>
  <c r="AS2278" i="7"/>
  <c r="AS591" i="7"/>
  <c r="AS1683" i="7"/>
  <c r="AS1509" i="7"/>
  <c r="AS269" i="7"/>
  <c r="AS404" i="7"/>
  <c r="AS2182" i="7"/>
  <c r="AS1705" i="7"/>
  <c r="AS323" i="7"/>
  <c r="AS1133" i="7"/>
  <c r="AS275" i="7"/>
  <c r="AS1827" i="7"/>
  <c r="AS186" i="7"/>
  <c r="AS1972" i="7"/>
  <c r="AS828" i="7"/>
  <c r="AS1824" i="7"/>
  <c r="AS1477" i="7"/>
  <c r="AS1556" i="7"/>
  <c r="AS396" i="7"/>
  <c r="AS486" i="7"/>
  <c r="AS951" i="7"/>
  <c r="AS1401" i="7"/>
  <c r="AS516" i="7"/>
  <c r="AS1372" i="7"/>
  <c r="AS198" i="7"/>
  <c r="AS517" i="7"/>
  <c r="AS2011" i="7"/>
  <c r="AS2003" i="7"/>
  <c r="AS990" i="7"/>
  <c r="AS133" i="7"/>
  <c r="AS456" i="7"/>
  <c r="AS717" i="7"/>
  <c r="AS1182" i="7"/>
  <c r="AS551" i="7"/>
  <c r="AS2256" i="7"/>
  <c r="AS1202" i="7"/>
  <c r="AS1378" i="7"/>
  <c r="AS1986" i="7"/>
  <c r="AS893" i="7"/>
  <c r="AS819" i="7"/>
  <c r="AS1742" i="7"/>
  <c r="AS2185" i="7"/>
  <c r="AS124" i="7"/>
  <c r="AS123" i="7"/>
  <c r="AS1253" i="7"/>
  <c r="AS1470" i="7"/>
  <c r="AS1111" i="7"/>
  <c r="AS1662" i="7"/>
  <c r="AS280" i="7"/>
  <c r="AS258" i="7"/>
  <c r="AS43" i="7"/>
  <c r="AS2279" i="7"/>
  <c r="AS1365" i="7"/>
  <c r="AS1523" i="7"/>
  <c r="AS1760" i="7"/>
  <c r="AS1348" i="7"/>
  <c r="AS822" i="7"/>
  <c r="AS1881" i="7"/>
  <c r="AS851" i="7"/>
  <c r="AS701" i="7"/>
  <c r="AS204" i="7"/>
  <c r="AS791" i="7"/>
  <c r="AS1268" i="7"/>
  <c r="AS1566" i="7"/>
  <c r="AS2261" i="7"/>
  <c r="AS1554" i="7"/>
  <c r="AS114" i="7"/>
  <c r="AS2125" i="7"/>
  <c r="AS1960" i="7"/>
  <c r="AS663" i="7"/>
  <c r="AS1819" i="7"/>
  <c r="AS2186" i="7"/>
  <c r="AS42" i="7"/>
  <c r="AS488" i="7"/>
  <c r="AS1134" i="7"/>
  <c r="AS1430" i="7"/>
  <c r="AS1746" i="7"/>
  <c r="AS1336" i="7"/>
  <c r="AS1904" i="7"/>
  <c r="AS760" i="7"/>
  <c r="AS2166" i="7"/>
  <c r="AS201" i="7"/>
  <c r="AS597" i="7"/>
  <c r="AS798" i="7"/>
  <c r="AS1016" i="7"/>
  <c r="AS690" i="7"/>
  <c r="AS789" i="7"/>
  <c r="AS1598" i="7"/>
  <c r="AS1052" i="7"/>
  <c r="AS726" i="7"/>
  <c r="AS1877" i="7"/>
  <c r="AS855" i="7"/>
  <c r="AS2248" i="7"/>
  <c r="AS13" i="7"/>
  <c r="AS761" i="7"/>
  <c r="AS1005" i="7"/>
  <c r="AS412" i="7"/>
  <c r="AS952" i="7"/>
  <c r="AS1629" i="7"/>
  <c r="AS1743" i="7"/>
  <c r="AS208" i="7"/>
  <c r="AS900" i="7"/>
  <c r="AS1273" i="7"/>
  <c r="AS1436" i="7"/>
  <c r="AS1729" i="7"/>
  <c r="AS1755" i="7"/>
  <c r="AS390" i="7"/>
  <c r="AS2212" i="7"/>
  <c r="AS365" i="7"/>
  <c r="AS1029" i="7"/>
  <c r="AS1191" i="7"/>
  <c r="AS1296" i="7"/>
  <c r="AS1970" i="7"/>
  <c r="AS1270" i="7"/>
  <c r="AS1956" i="7"/>
  <c r="AS669" i="7"/>
  <c r="AS509" i="7"/>
  <c r="AS1291" i="7"/>
  <c r="AS1616" i="7"/>
  <c r="AS1310" i="7"/>
  <c r="AS2143" i="7"/>
  <c r="AS1602" i="7"/>
  <c r="AS1780" i="7"/>
  <c r="AS1576" i="7"/>
  <c r="AS470" i="7"/>
  <c r="AS1050" i="7"/>
  <c r="AS589" i="7"/>
  <c r="AS1107" i="7"/>
  <c r="AS1949" i="7"/>
  <c r="AS2226" i="7"/>
  <c r="AS373" i="7"/>
  <c r="AS1369" i="7"/>
  <c r="AS1473" i="7"/>
  <c r="AS1324" i="7"/>
  <c r="AS1548" i="7"/>
  <c r="AS1807" i="7"/>
  <c r="AS16" i="7"/>
  <c r="AS233" i="7"/>
  <c r="AS1301" i="7"/>
  <c r="AS1723" i="7"/>
  <c r="AS1393" i="7"/>
  <c r="AS1162" i="7"/>
  <c r="AS2183" i="7"/>
  <c r="AS1302" i="7"/>
  <c r="AS5" i="7"/>
  <c r="AS210" i="7"/>
  <c r="AS522" i="7"/>
  <c r="AS586" i="7"/>
  <c r="AS1883" i="7"/>
  <c r="AS1665" i="7"/>
  <c r="AS2065" i="7"/>
  <c r="AS988" i="7"/>
  <c r="AS2055" i="7"/>
  <c r="AS611" i="7"/>
  <c r="AS747" i="7"/>
  <c r="AS1326" i="7"/>
  <c r="AS1170" i="7"/>
  <c r="AS1368" i="7"/>
  <c r="AS1603" i="7"/>
  <c r="AS520" i="7"/>
  <c r="AS1105" i="7"/>
  <c r="AS750" i="7"/>
  <c r="AS1471" i="7"/>
  <c r="AS70" i="7"/>
  <c r="AS2269" i="7"/>
  <c r="AS1901" i="7"/>
  <c r="AS1783" i="7"/>
  <c r="AS1772" i="7"/>
  <c r="AS581" i="7"/>
  <c r="AS903" i="7"/>
  <c r="AS974" i="7"/>
  <c r="AS916" i="7"/>
  <c r="AS808" i="7"/>
  <c r="AS883" i="7"/>
  <c r="AS19" i="7"/>
  <c r="AS624" i="7"/>
  <c r="AS1820" i="7"/>
  <c r="AS1923" i="7"/>
  <c r="AS2039" i="7"/>
  <c r="AS2043" i="7"/>
  <c r="AS866" i="7"/>
  <c r="AS1387" i="7"/>
  <c r="AS1260" i="7"/>
  <c r="AS1279" i="7"/>
  <c r="AS1485" i="7"/>
  <c r="AS235" i="7"/>
  <c r="AS342" i="7"/>
  <c r="AS1283" i="7"/>
  <c r="AS1116" i="7"/>
  <c r="AS2046" i="7"/>
  <c r="AS2" i="7"/>
  <c r="AS1292" i="7"/>
  <c r="AS1996" i="7"/>
  <c r="AS1450" i="7"/>
  <c r="AS762" i="7"/>
  <c r="AS749" i="7"/>
  <c r="AS1190" i="7"/>
  <c r="AS1131" i="7"/>
  <c r="AS1382" i="7"/>
  <c r="AS862" i="7"/>
  <c r="AS1277" i="7"/>
  <c r="AS2190" i="7"/>
  <c r="AS905" i="7"/>
  <c r="AS1958" i="7"/>
  <c r="AS602" i="7"/>
  <c r="AS1868" i="7"/>
  <c r="AS736" i="7"/>
  <c r="AS806" i="7"/>
  <c r="AS1038" i="7"/>
  <c r="AS1141" i="7"/>
  <c r="AS1667" i="7"/>
  <c r="AS2154" i="7"/>
  <c r="AS769" i="7"/>
  <c r="AS1066" i="7"/>
  <c r="AS1828" i="7"/>
  <c r="AS18" i="7"/>
  <c r="AS1981" i="7"/>
  <c r="AS2168" i="7"/>
  <c r="AS2064" i="7"/>
  <c r="AS731" i="7"/>
  <c r="AS2181" i="7"/>
  <c r="AS468" i="7"/>
  <c r="AS485" i="7"/>
  <c r="AS1573" i="7"/>
  <c r="AS1835" i="7"/>
  <c r="AS683" i="7"/>
  <c r="AS1144" i="7"/>
  <c r="AS1918" i="7"/>
  <c r="AS1993" i="7"/>
  <c r="AS834" i="7"/>
  <c r="AS127" i="7"/>
  <c r="AS1286" i="7"/>
  <c r="AS671" i="7"/>
  <c r="AS904" i="7"/>
  <c r="AS1275" i="7"/>
  <c r="AS842" i="7"/>
  <c r="AS1034" i="7"/>
  <c r="AS845" i="7"/>
  <c r="AS1130" i="7"/>
  <c r="AS1822" i="7"/>
  <c r="AS1138" i="7"/>
  <c r="AS2113" i="7"/>
  <c r="AS298" i="7"/>
  <c r="AS840" i="7"/>
  <c r="AS938" i="7"/>
  <c r="AS1377" i="7"/>
  <c r="AS612" i="7"/>
  <c r="AS1014" i="7"/>
  <c r="AS1025" i="7"/>
  <c r="AS877" i="7"/>
  <c r="AS861" i="7"/>
  <c r="AS259" i="7"/>
  <c r="AS326" i="7"/>
  <c r="AS849" i="7"/>
  <c r="AS973" i="7"/>
  <c r="AS1412" i="7"/>
  <c r="AS2234" i="7"/>
  <c r="AS159" i="7"/>
  <c r="AS1189" i="7"/>
  <c r="AS322" i="7"/>
  <c r="AS672" i="7"/>
  <c r="AS998" i="7"/>
  <c r="AS1579" i="7"/>
  <c r="AS2020" i="7"/>
  <c r="AS949" i="7"/>
  <c r="AS1771" i="7"/>
  <c r="AS2249" i="7"/>
  <c r="AS868" i="7"/>
  <c r="AS1167" i="7"/>
  <c r="AS1679" i="7"/>
  <c r="AS1093" i="7"/>
  <c r="AS613" i="7"/>
  <c r="AS2084" i="7"/>
  <c r="AS2250" i="7"/>
  <c r="AS483" i="7"/>
  <c r="AS677" i="7"/>
  <c r="AS2018" i="7"/>
  <c r="AS528" i="7"/>
  <c r="AS1282" i="7"/>
  <c r="AS1334" i="7"/>
  <c r="AS1617" i="7"/>
  <c r="AS954" i="7"/>
  <c r="AS976" i="7"/>
  <c r="AS2042" i="7"/>
  <c r="AS1323" i="7"/>
  <c r="AS2209" i="7"/>
  <c r="AS2034" i="7"/>
  <c r="AS444" i="7"/>
  <c r="AS1006" i="7"/>
  <c r="AS1088" i="7"/>
  <c r="AS1358" i="7"/>
  <c r="AS459" i="7"/>
  <c r="AS296" i="7"/>
  <c r="AS610" i="7"/>
  <c r="AS2103" i="7"/>
  <c r="AS947" i="7"/>
  <c r="AS1092" i="7"/>
  <c r="AS638" i="7"/>
  <c r="AS1408" i="7"/>
  <c r="AS343" i="7"/>
  <c r="AS535" i="7"/>
  <c r="AS666" i="7"/>
  <c r="AS964" i="7"/>
  <c r="AS1126" i="7"/>
  <c r="AS1594" i="7"/>
  <c r="AS703" i="7"/>
  <c r="AS1146" i="7"/>
  <c r="AS1469" i="7"/>
  <c r="AS1577" i="7"/>
  <c r="AS1020" i="7"/>
  <c r="AS1001" i="7"/>
  <c r="AS1329" i="7"/>
  <c r="AS758" i="7"/>
  <c r="AS1394" i="7"/>
  <c r="AS366" i="7"/>
  <c r="AS1534" i="7"/>
  <c r="AS1851" i="7"/>
  <c r="AS2174" i="7"/>
  <c r="AS1568" i="7"/>
  <c r="AS876" i="7"/>
  <c r="AS1553" i="7"/>
  <c r="AS554" i="7"/>
  <c r="AS2060" i="7"/>
  <c r="AS2173" i="7"/>
  <c r="AS939" i="7"/>
  <c r="AS1359" i="7"/>
  <c r="AS1071" i="7"/>
  <c r="AS2215" i="7"/>
  <c r="AS229" i="7"/>
  <c r="AS1375" i="7"/>
  <c r="AS1386" i="7"/>
  <c r="AS2180" i="7"/>
  <c r="AS1022" i="7"/>
  <c r="AS647" i="7"/>
  <c r="AS2124" i="7"/>
  <c r="AS1149" i="7"/>
  <c r="AS1928" i="7"/>
  <c r="AS1503" i="7"/>
  <c r="AS510" i="7"/>
  <c r="AS997" i="7"/>
  <c r="AS1472" i="7"/>
  <c r="AS1753" i="7"/>
  <c r="AS190" i="7"/>
  <c r="AS623" i="7"/>
  <c r="AS1622" i="7"/>
  <c r="AS853" i="7"/>
  <c r="AS1388" i="7"/>
  <c r="AS2218" i="7"/>
  <c r="AS1039" i="7"/>
  <c r="AS1774" i="7"/>
  <c r="AS940" i="7"/>
  <c r="AS2246" i="7"/>
  <c r="AS267" i="7"/>
  <c r="AS2220" i="7"/>
  <c r="AS1709" i="7"/>
  <c r="AS2211" i="7"/>
  <c r="AS1012" i="7"/>
  <c r="AS2078" i="7"/>
  <c r="AS526" i="7"/>
  <c r="AS1810" i="7"/>
  <c r="AS1086" i="7"/>
  <c r="AS430" i="7"/>
  <c r="AS1921" i="7"/>
  <c r="AS688" i="7"/>
  <c r="AS902" i="7"/>
  <c r="AS1110" i="7"/>
  <c r="AS1353" i="7"/>
  <c r="AS2172" i="7"/>
  <c r="AS823" i="7"/>
  <c r="AS1896" i="7"/>
  <c r="AS344" i="7"/>
  <c r="AS423" i="7"/>
  <c r="AS932" i="7"/>
  <c r="AS1440" i="7"/>
  <c r="AS397" i="7"/>
  <c r="AS648" i="7"/>
  <c r="AS1626" i="7"/>
  <c r="AS260" i="7"/>
  <c r="AS767" i="7"/>
  <c r="AS495" i="7"/>
  <c r="AS635" i="7"/>
  <c r="AS1917" i="7"/>
  <c r="AS1702" i="7"/>
  <c r="AS1843" i="7"/>
  <c r="AS1574" i="7"/>
  <c r="AS1831" i="7"/>
  <c r="AS160" i="7"/>
  <c r="AS704" i="7"/>
  <c r="AS1927" i="7"/>
  <c r="AS466" i="7"/>
  <c r="AS501" i="7"/>
  <c r="AS1248" i="7"/>
  <c r="AS1891" i="7"/>
  <c r="AS2029" i="7"/>
  <c r="AS830" i="7"/>
  <c r="AS2239" i="7"/>
  <c r="AS817" i="7"/>
  <c r="AS1860" i="7"/>
  <c r="AS1121" i="7"/>
  <c r="AS1330" i="7"/>
  <c r="AS1826" i="7"/>
  <c r="AS1118" i="7"/>
  <c r="AS1681" i="7"/>
  <c r="AS1618" i="7"/>
  <c r="AS2025" i="7"/>
  <c r="AS460" i="7"/>
  <c r="AS1580" i="7"/>
  <c r="AS2110" i="7"/>
  <c r="AS1438" i="7"/>
  <c r="AS1663" i="7"/>
  <c r="AS489" i="7"/>
  <c r="AS1628" i="7"/>
  <c r="AS67" i="7"/>
  <c r="AS131" i="7"/>
  <c r="AS1076" i="7"/>
  <c r="AS1798" i="7"/>
  <c r="AS1139" i="7"/>
  <c r="AS1750" i="7"/>
  <c r="AS1570" i="7"/>
  <c r="AS1528" i="7"/>
  <c r="AS1433" i="7"/>
  <c r="AS1974" i="7"/>
  <c r="AS247" i="7"/>
  <c r="AS2264" i="7"/>
  <c r="AS573" i="7"/>
  <c r="AS453" i="7"/>
  <c r="AS813" i="7"/>
  <c r="AS1586" i="7"/>
  <c r="AS401" i="7"/>
  <c r="AS450" i="7"/>
  <c r="AS810" i="7"/>
  <c r="AS1108" i="7"/>
  <c r="AS1726" i="7"/>
  <c r="AS1459" i="7"/>
  <c r="AS1591" i="7"/>
  <c r="AS2019" i="7"/>
  <c r="AS1370" i="7"/>
  <c r="AS1913" i="7"/>
  <c r="AS2059" i="7"/>
  <c r="AS2225" i="7"/>
  <c r="AS11" i="7"/>
  <c r="AS1241" i="7"/>
  <c r="AS1803" i="7"/>
  <c r="AS2179" i="7"/>
  <c r="AS874" i="7"/>
  <c r="AS1973" i="7"/>
  <c r="AS491" i="7"/>
  <c r="AS2115" i="7"/>
  <c r="AS689" i="7"/>
  <c r="AS824" i="7"/>
  <c r="AS1117" i="7"/>
  <c r="AS3" i="7"/>
  <c r="AS126" i="7"/>
  <c r="AS125" i="7"/>
  <c r="AS192" i="7"/>
  <c r="AS572" i="7"/>
  <c r="AS1435" i="7"/>
  <c r="AS1299" i="7"/>
  <c r="AS1419" i="7"/>
  <c r="AS917" i="7"/>
  <c r="AS928" i="7"/>
  <c r="AS1839" i="7"/>
  <c r="AS193" i="7"/>
  <c r="AS187" i="7"/>
  <c r="AS191" i="7"/>
  <c r="AS440" i="7"/>
  <c r="AS617" i="7"/>
  <c r="AS700" i="7"/>
  <c r="AS950" i="7"/>
  <c r="AS1634" i="7"/>
  <c r="AS372" i="7"/>
  <c r="AS1585" i="7"/>
  <c r="AS571" i="7"/>
  <c r="AS458" i="7"/>
  <c r="AS1964" i="7"/>
  <c r="AS1564" i="7"/>
  <c r="AS1644" i="7"/>
  <c r="AS547" i="7"/>
  <c r="AS2160" i="7"/>
  <c r="AS263" i="7"/>
  <c r="AS730" i="7"/>
  <c r="AS706" i="7"/>
  <c r="AS1708" i="7"/>
  <c r="AS65" i="7"/>
  <c r="AS2067" i="7"/>
  <c r="AS69" i="7"/>
  <c r="AS288" i="7"/>
  <c r="AS301" i="7"/>
  <c r="AS908" i="7"/>
  <c r="AS1636" i="7"/>
  <c r="AS2222" i="7"/>
  <c r="AS2054" i="7"/>
  <c r="AS238" i="7"/>
  <c r="AS1645" i="7"/>
  <c r="AS632" i="7"/>
  <c r="AS719" i="7"/>
  <c r="AS1832" i="7"/>
  <c r="AS2126" i="7"/>
  <c r="AS1317" i="7"/>
  <c r="AS568" i="7"/>
  <c r="AS1812" i="7"/>
  <c r="AS66" i="7"/>
  <c r="AS2100" i="7"/>
  <c r="AS308" i="7"/>
  <c r="AS2079" i="7"/>
  <c r="AS335" i="7"/>
  <c r="AS674" i="7"/>
  <c r="AS1193" i="7"/>
  <c r="AS2235" i="7"/>
  <c r="AS1841" i="7"/>
  <c r="AS2129" i="7"/>
  <c r="AS1792" i="7"/>
  <c r="AS1543" i="7"/>
  <c r="AS1745" i="7"/>
  <c r="AS1769" i="7"/>
  <c r="AS929" i="7"/>
  <c r="AS1258" i="7"/>
  <c r="AS391" i="7"/>
  <c r="AS1678" i="7"/>
  <c r="AS605" i="7"/>
  <c r="AS918" i="7"/>
  <c r="AS1276" i="7"/>
  <c r="AS1837" i="7"/>
  <c r="AS4" i="7"/>
  <c r="AS616" i="7"/>
  <c r="AS665" i="7"/>
  <c r="AS569" i="7"/>
  <c r="AS911" i="7"/>
  <c r="AS795" i="7"/>
  <c r="AS2123" i="7"/>
  <c r="AS1457" i="7"/>
  <c r="AS1211" i="7"/>
  <c r="AS1229" i="7"/>
  <c r="AS1869" i="7"/>
  <c r="AS966" i="7"/>
  <c r="AS1980" i="7"/>
  <c r="AS2152" i="7"/>
  <c r="AS1106" i="7"/>
  <c r="AS1979" i="7"/>
  <c r="AS243" i="7"/>
  <c r="AS913" i="7"/>
  <c r="AS859" i="7"/>
  <c r="AS1097" i="7"/>
  <c r="AS1185" i="7"/>
  <c r="AS614" i="7"/>
  <c r="AS1032" i="7"/>
  <c r="AS1320" i="7"/>
  <c r="AS773" i="7"/>
  <c r="AS827" i="7"/>
  <c r="AS1104" i="7"/>
  <c r="AS2224" i="7"/>
  <c r="AS944" i="7"/>
  <c r="AS1043" i="7"/>
  <c r="AS1165" i="7"/>
  <c r="AS416" i="7"/>
  <c r="AS530" i="7"/>
  <c r="AS1926" i="7"/>
  <c r="AS2016" i="7"/>
  <c r="AS494" i="7"/>
  <c r="AS1738" i="7"/>
  <c r="AS1844" i="7"/>
  <c r="AS1392" i="7"/>
  <c r="AS975" i="7"/>
  <c r="AS1799" i="7"/>
  <c r="AS1203" i="7"/>
  <c r="AS540" i="7"/>
  <c r="AS873" i="7"/>
  <c r="AS2192" i="7"/>
  <c r="AS2062" i="7"/>
  <c r="AS1289" i="7"/>
  <c r="AS211" i="7"/>
  <c r="AS1922" i="7"/>
  <c r="AS742" i="7"/>
  <c r="AS1072" i="7"/>
  <c r="AS328" i="7"/>
  <c r="AS402" i="7"/>
  <c r="AS484" i="7"/>
  <c r="AS1639" i="7"/>
  <c r="AS2184" i="7"/>
  <c r="AS992" i="7"/>
  <c r="AS1898" i="7"/>
  <c r="AS2241" i="7"/>
  <c r="AS1342" i="7"/>
  <c r="AS194" i="7"/>
  <c r="AS1567" i="7"/>
  <c r="AS935" i="7"/>
  <c r="AS1257" i="7"/>
  <c r="AS1583" i="7"/>
  <c r="AS933" i="7"/>
  <c r="AS1916" i="7"/>
  <c r="AS136" i="7"/>
  <c r="AS2068" i="7"/>
  <c r="AS676" i="7"/>
  <c r="AS885" i="7"/>
  <c r="AS914" i="7"/>
  <c r="AS1529" i="7"/>
  <c r="AS2048" i="7"/>
  <c r="AS1322" i="7"/>
  <c r="AS525" i="7"/>
  <c r="AS1151" i="7"/>
  <c r="AS1700" i="7"/>
  <c r="AS727" i="7"/>
  <c r="AS2204" i="7"/>
  <c r="AS286" i="7"/>
  <c r="AS1985" i="7"/>
  <c r="AS1003" i="7"/>
  <c r="AS1089" i="7"/>
  <c r="AS476" i="7"/>
  <c r="AS1517" i="7"/>
  <c r="AS1905" i="7"/>
  <c r="AS1880" i="7"/>
  <c r="AS1925" i="7"/>
  <c r="AS557" i="7"/>
  <c r="AS1796" i="7"/>
  <c r="AS1661" i="7"/>
  <c r="AS1747" i="7"/>
  <c r="AS884" i="7"/>
  <c r="AS2267" i="7"/>
  <c r="AS49" i="7"/>
  <c r="AS169" i="7"/>
  <c r="AS2000" i="7"/>
  <c r="AS2236" i="7"/>
  <c r="AS1614" i="7"/>
  <c r="AS1701" i="7"/>
  <c r="AS541" i="7"/>
  <c r="AS1164" i="7"/>
  <c r="AS978" i="7"/>
  <c r="AS1606" i="7"/>
  <c r="AS137" i="7"/>
  <c r="AS733" i="7"/>
  <c r="AS872" i="7"/>
  <c r="AS1389" i="7"/>
  <c r="AS2276" i="7"/>
  <c r="AS723" i="7"/>
  <c r="AS682" i="7"/>
  <c r="AS656" i="7"/>
  <c r="AS292" i="7"/>
  <c r="AS504" i="7"/>
  <c r="AS1150" i="7"/>
  <c r="AS2118" i="7"/>
  <c r="AS1785" i="7"/>
  <c r="AS1588" i="7"/>
  <c r="AS2072" i="7"/>
  <c r="AS1004" i="7"/>
  <c r="AS693" i="7"/>
  <c r="AS536" i="7"/>
  <c r="AS1741" i="7"/>
  <c r="AS1135" i="7"/>
  <c r="AS1788" i="7"/>
  <c r="AS652" i="7"/>
  <c r="AS2217" i="7"/>
  <c r="AS274" i="7"/>
  <c r="AS241" i="7"/>
  <c r="AS734" i="7"/>
  <c r="AS1335" i="7"/>
  <c r="AS1280" i="7"/>
  <c r="AS1295" i="7"/>
  <c r="AS1765" i="7"/>
  <c r="AS299" i="7"/>
  <c r="AS930" i="7"/>
  <c r="AS735" i="7"/>
  <c r="AS1930" i="7"/>
  <c r="AS2170" i="7"/>
  <c r="AS2273" i="7"/>
  <c r="AS436" i="7"/>
  <c r="AS1650" i="7"/>
  <c r="AS1864" i="7"/>
  <c r="AS1261" i="7"/>
  <c r="AS685" i="7"/>
  <c r="AS878" i="7"/>
  <c r="AS399" i="7"/>
  <c r="AS2163" i="7"/>
  <c r="AS1581" i="7"/>
  <c r="AS1782" i="7"/>
  <c r="AS2021" i="7"/>
  <c r="AS790" i="7"/>
  <c r="AS95" i="7"/>
  <c r="AS426" i="7"/>
  <c r="AS977" i="7"/>
  <c r="AS1027" i="7"/>
  <c r="AS2083" i="7"/>
  <c r="AS2221" i="7"/>
  <c r="AS142" i="7"/>
  <c r="AS2244" i="7"/>
  <c r="AS451" i="7"/>
  <c r="AS1031" i="7"/>
  <c r="AS1300" i="7"/>
  <c r="AS542" i="7"/>
  <c r="AS601" i="7"/>
  <c r="AS1147" i="7"/>
  <c r="AS1479" i="7"/>
  <c r="AS1643" i="7"/>
  <c r="AS633" i="7"/>
  <c r="AS1474" i="7"/>
  <c r="AS534" i="7"/>
  <c r="AS1316" i="7"/>
  <c r="AS2219" i="7"/>
  <c r="AS1997" i="7"/>
  <c r="AS1255" i="7"/>
  <c r="AS999" i="7"/>
  <c r="AS1600" i="7"/>
  <c r="AS603" i="7"/>
  <c r="AS1346" i="7"/>
  <c r="AS1823" i="7"/>
  <c r="AS2026" i="7"/>
  <c r="AS686" i="7"/>
  <c r="AS2070" i="7"/>
  <c r="AS1397" i="7"/>
  <c r="AS327" i="7"/>
  <c r="AS641" i="7"/>
  <c r="AS1777" i="7"/>
  <c r="AS492" i="7"/>
  <c r="AS1465" i="7"/>
  <c r="AS1000" i="7"/>
  <c r="AS1640" i="7"/>
  <c r="AS1018" i="7"/>
  <c r="AS763" i="7"/>
  <c r="AS293" i="7"/>
  <c r="AS1637" i="7"/>
  <c r="AS62" i="7"/>
  <c r="AS720" i="7"/>
  <c r="AS1748" i="7"/>
  <c r="AS708" i="7"/>
  <c r="AS2082" i="7"/>
  <c r="AS2240" i="7"/>
  <c r="AS889" i="7"/>
  <c r="AS1967" i="7"/>
  <c r="AS955" i="7"/>
  <c r="AS1422" i="7"/>
  <c r="AS1897" i="7"/>
  <c r="AS1888" i="7"/>
  <c r="AS732" i="7"/>
  <c r="AS1601" i="7"/>
  <c r="AS2004" i="7"/>
  <c r="AS642" i="7"/>
  <c r="AS281" i="7"/>
  <c r="AS1635" i="7"/>
  <c r="AS1505" i="7"/>
  <c r="AS1779" i="7"/>
  <c r="AS1246" i="7"/>
  <c r="AS497" i="7"/>
  <c r="AS454" i="7"/>
  <c r="AS1381" i="7"/>
  <c r="AS1903" i="7"/>
  <c r="AS927" i="7"/>
  <c r="AS1563" i="7"/>
  <c r="AS926" i="7"/>
  <c r="AS1632" i="7"/>
  <c r="AS1593" i="7"/>
  <c r="AS415" i="7"/>
  <c r="AS1154" i="7"/>
  <c r="AS1524" i="7"/>
  <c r="AS1555" i="7"/>
  <c r="AS2014" i="7"/>
  <c r="AS403" i="7"/>
  <c r="AS1136" i="7"/>
  <c r="AS309" i="7"/>
  <c r="AS2243" i="7"/>
  <c r="AS1615" i="7"/>
  <c r="AS2283" i="7"/>
  <c r="AS378" i="7"/>
  <c r="AS1834" i="7"/>
  <c r="AS1267" i="7"/>
  <c r="AS1175" i="7"/>
  <c r="AS1660" i="7"/>
  <c r="AS1340" i="7"/>
  <c r="AS2253" i="7"/>
  <c r="AS695" i="7"/>
  <c r="AS1437" i="7"/>
  <c r="AS1314" i="7"/>
  <c r="AS2045" i="7"/>
  <c r="AS1539" i="7"/>
  <c r="AS1613" i="7"/>
  <c r="AS505" i="7"/>
  <c r="AS980" i="7"/>
  <c r="AS1476" i="7"/>
  <c r="AS1793" i="7"/>
  <c r="AS1449" i="7"/>
  <c r="AS339" i="7"/>
  <c r="AS1805" i="7"/>
  <c r="AS1443" i="7"/>
  <c r="AS668" i="7"/>
  <c r="AS1122" i="7"/>
  <c r="AS362" i="7"/>
  <c r="AS2189" i="7"/>
  <c r="AS679" i="7"/>
  <c r="AS691" i="7"/>
  <c r="AS2056" i="7"/>
  <c r="AS461" i="7"/>
  <c r="AS1487" i="7"/>
  <c r="AS2036" i="7"/>
  <c r="AS2114" i="7"/>
  <c r="AS380" i="7"/>
  <c r="AS1658" i="7"/>
  <c r="AS2159" i="7"/>
  <c r="AS1013" i="7"/>
  <c r="AS655" i="7"/>
  <c r="AS1143" i="7"/>
  <c r="AS692" i="7"/>
  <c r="AS618" i="7"/>
  <c r="AS2080" i="7"/>
  <c r="AS1240" i="7"/>
  <c r="AS1758" i="7"/>
  <c r="AS1899" i="7"/>
  <c r="AS2271" i="7"/>
  <c r="AS1802" i="7"/>
  <c r="AS128" i="7"/>
  <c r="AS2142" i="7"/>
  <c r="AS869" i="7"/>
  <c r="AS1362" i="7"/>
  <c r="AS829" i="7"/>
  <c r="AS1379" i="7"/>
  <c r="AS500" i="7"/>
  <c r="AS493" i="7"/>
  <c r="AS1325" i="7"/>
  <c r="AS1129" i="7"/>
  <c r="AS1562" i="7"/>
  <c r="AS1682" i="7"/>
  <c r="AS556" i="7"/>
  <c r="AS1418" i="7"/>
  <c r="AS1053" i="7"/>
  <c r="AS2076" i="7"/>
  <c r="AS746" i="7"/>
  <c r="AS1227" i="7"/>
  <c r="AS1303" i="7"/>
  <c r="AS1716" i="7"/>
  <c r="AS2206" i="7"/>
  <c r="AS844" i="7"/>
  <c r="AS1545" i="7"/>
  <c r="AS392" i="7"/>
  <c r="AS743" i="7"/>
  <c r="AS1817" i="7"/>
  <c r="AS2127" i="7"/>
  <c r="AS892" i="7"/>
  <c r="AS1228" i="7"/>
  <c r="AS1589" i="7"/>
  <c r="AS139" i="7"/>
  <c r="AS138" i="7"/>
  <c r="AS196" i="7"/>
  <c r="AS197" i="7"/>
  <c r="AS195" i="7"/>
  <c r="AS1727" i="7"/>
  <c r="AS1328" i="7"/>
  <c r="AS923" i="7"/>
  <c r="AS457" i="7"/>
  <c r="AS1608" i="7"/>
  <c r="AS1304" i="7"/>
  <c r="AS1287" i="7"/>
  <c r="AS1762" i="7"/>
  <c r="AS189" i="7"/>
  <c r="AS1416" i="7"/>
  <c r="AS718" i="7"/>
  <c r="AS673" i="7"/>
  <c r="AS737" i="7"/>
  <c r="AS924" i="7"/>
  <c r="AS1177" i="7"/>
  <c r="AS1842" i="7"/>
  <c r="AS835" i="7"/>
  <c r="AS1441" i="7"/>
  <c r="AS499" i="7"/>
  <c r="AS2015" i="7"/>
  <c r="AS1331" i="7"/>
  <c r="AS1318" i="7"/>
  <c r="AS2102" i="7"/>
  <c r="AS1196" i="7"/>
  <c r="AS277" i="7"/>
  <c r="AS687" i="7"/>
  <c r="AS579" i="7"/>
  <c r="AS1057" i="7"/>
  <c r="AS1642" i="7"/>
  <c r="AS1821" i="7"/>
  <c r="AS715" i="7"/>
  <c r="AS1754" i="7"/>
  <c r="AS1384" i="7"/>
  <c r="AS698" i="7"/>
  <c r="AS1398" i="7"/>
  <c r="AS934" i="7"/>
  <c r="AS1740" i="7"/>
  <c r="AS2146" i="7"/>
  <c r="AS302" i="7"/>
  <c r="AS627" i="7"/>
  <c r="AS870" i="7"/>
  <c r="AS1373" i="7"/>
  <c r="AS1124" i="7"/>
  <c r="AS1173" i="7"/>
  <c r="AS1900" i="7"/>
  <c r="AS1380" i="7"/>
  <c r="AS1518" i="7"/>
  <c r="AS555" i="7"/>
  <c r="AS329" i="7"/>
  <c r="AS1410" i="7"/>
  <c r="AS553" i="7"/>
  <c r="AS644" i="7"/>
  <c r="AS1946" i="7"/>
  <c r="AS1677" i="7"/>
  <c r="AS575" i="7"/>
  <c r="AS711" i="7"/>
  <c r="AS1672" i="7"/>
  <c r="AS307" i="7"/>
  <c r="AS8" i="7"/>
  <c r="AS305" i="7"/>
  <c r="AS1467" i="7"/>
  <c r="AS2265" i="7"/>
  <c r="AS634" i="7"/>
  <c r="AS931" i="7"/>
  <c r="AS1251" i="7"/>
  <c r="AS1488" i="7"/>
  <c r="AS1584" i="7"/>
  <c r="AS1599" i="7"/>
  <c r="AS702" i="7"/>
  <c r="AS2251" i="7"/>
  <c r="AS1527" i="7"/>
  <c r="AS2066" i="7"/>
  <c r="AS1311" i="7"/>
  <c r="AS1400" i="7"/>
  <c r="AS496" i="7"/>
  <c r="AS1363" i="7"/>
  <c r="AS694" i="7"/>
  <c r="AS985" i="7"/>
  <c r="AS359" i="7"/>
  <c r="AS2091" i="7"/>
  <c r="AS936" i="7"/>
  <c r="AS2088" i="7"/>
  <c r="AS2262" i="7"/>
  <c r="AS1142" i="7"/>
  <c r="AS1929" i="7"/>
  <c r="AS957" i="7"/>
  <c r="AS1833" i="7"/>
  <c r="AS239" i="7"/>
  <c r="AS678" i="7"/>
  <c r="AS922" i="7"/>
  <c r="AS681" i="7"/>
  <c r="AS788" i="7"/>
  <c r="AS1848" i="7"/>
  <c r="AS1192" i="7"/>
  <c r="AS847" i="7"/>
  <c r="AS1558" i="7"/>
  <c r="AS1847" i="7"/>
  <c r="AS2205" i="7"/>
  <c r="AS1816" i="7"/>
  <c r="AS432" i="7"/>
  <c r="AS1906" i="7"/>
  <c r="AS1668" i="7"/>
  <c r="AS2245" i="7"/>
  <c r="AS1934" i="7"/>
  <c r="AS778" i="7"/>
  <c r="AS897" i="7"/>
  <c r="AS1987" i="7"/>
  <c r="AS1781" i="7"/>
  <c r="AS1490" i="7"/>
  <c r="AS1646" i="7"/>
  <c r="AS1460" i="7"/>
  <c r="AS1480" i="7"/>
  <c r="AS1659" i="7"/>
  <c r="AS728" i="7"/>
  <c r="AS1641" i="7"/>
  <c r="AS1932" i="7"/>
  <c r="AS291" i="7"/>
  <c r="AS1786" i="7"/>
  <c r="AS398" i="7"/>
  <c r="AS1312" i="7"/>
  <c r="AS2274" i="7"/>
  <c r="AS2227" i="7"/>
  <c r="AS2090" i="7"/>
  <c r="AS1862" i="7"/>
  <c r="AS1447" i="7"/>
  <c r="AS629" i="7"/>
  <c r="AS2252" i="7"/>
  <c r="AS2272" i="7"/>
  <c r="AS1719" i="7"/>
  <c r="AS503" i="7"/>
  <c r="AS6" i="7"/>
  <c r="AS2120" i="7"/>
  <c r="AS2074" i="7"/>
  <c r="AS1152" i="7"/>
  <c r="AS1943" i="7"/>
  <c r="AS68" i="7"/>
  <c r="AS1462" i="7"/>
  <c r="AS741" i="7"/>
  <c r="AS1383" i="7"/>
  <c r="AS406" i="7"/>
  <c r="AS925" i="7"/>
  <c r="AS1638" i="7"/>
  <c r="AS1866" i="7"/>
  <c r="AS2131" i="7"/>
  <c r="AS2075" i="7"/>
  <c r="AS2277" i="7"/>
  <c r="AS1008" i="7"/>
  <c r="AS2093" i="7"/>
  <c r="AS1790" i="7"/>
  <c r="AS538" i="7"/>
  <c r="AS2259" i="7"/>
  <c r="AS2047" i="7"/>
  <c r="AS478" i="7"/>
  <c r="AS1159" i="7"/>
  <c r="AS2193" i="7"/>
  <c r="AS276" i="7"/>
  <c r="AS1666" i="7"/>
  <c r="AS341" i="7"/>
  <c r="AS1776" i="7"/>
  <c r="AS214" i="7"/>
  <c r="AS2108" i="7"/>
  <c r="AS1849" i="7"/>
  <c r="AS729" i="7"/>
  <c r="AS812" i="7"/>
  <c r="AS1924" i="7"/>
  <c r="AS533" i="7"/>
  <c r="AS1670" i="7"/>
  <c r="AS831" i="7"/>
  <c r="AS1225" i="7"/>
  <c r="AS364" i="7"/>
  <c r="AS2122" i="7"/>
  <c r="AS860" i="7"/>
  <c r="AS386" i="7"/>
  <c r="AS363" i="7"/>
  <c r="AS2081" i="7"/>
  <c r="AS1475" i="7"/>
  <c r="AS1764" i="7"/>
  <c r="AS2099" i="7"/>
  <c r="AS1166" i="7"/>
  <c r="AS2117" i="7"/>
  <c r="AS99" i="7"/>
  <c r="AS2230" i="7"/>
  <c r="AS725" i="7"/>
  <c r="AS1009" i="7"/>
  <c r="AS2101" i="7"/>
  <c r="AS2232" i="7"/>
  <c r="AS537" i="7"/>
  <c r="AS1183" i="7"/>
  <c r="AS896" i="7"/>
  <c r="AS1399" i="7"/>
  <c r="AS2112" i="7"/>
  <c r="AS2175" i="7"/>
  <c r="AS2208" i="7"/>
  <c r="AS1385" i="7"/>
  <c r="AS357" i="7"/>
  <c r="AS1623" i="7"/>
  <c r="AS2233" i="7"/>
  <c r="AS1751" i="7"/>
  <c r="AS407" i="7"/>
  <c r="AS2153" i="7"/>
  <c r="AS2162" i="7"/>
  <c r="AS2195" i="7"/>
  <c r="AS2145" i="7"/>
  <c r="AS852" i="7"/>
  <c r="AS2132" i="7"/>
  <c r="AS1652" i="7"/>
  <c r="AS502" i="7"/>
  <c r="AS1893" i="7"/>
  <c r="AS745" i="7"/>
  <c r="AS1391" i="7"/>
  <c r="AS1840" i="7"/>
  <c r="AS1444" i="7"/>
  <c r="AS909" i="7"/>
  <c r="AS345" i="7"/>
  <c r="AS558" i="7"/>
  <c r="AS1814" i="7"/>
  <c r="AS2087" i="7"/>
  <c r="AS1867" i="7"/>
  <c r="AS1800" i="7"/>
  <c r="AS405" i="7"/>
  <c r="AS1495" i="7"/>
  <c r="AS1439" i="7"/>
  <c r="AS2086" i="7"/>
  <c r="AS279" i="7"/>
  <c r="AS1714" i="7"/>
  <c r="AS375" i="7"/>
  <c r="AS1865" i="7"/>
  <c r="AS1846" i="7"/>
  <c r="AS2178" i="7"/>
  <c r="AS1538" i="7"/>
  <c r="AS1631" i="7"/>
  <c r="AS2207" i="7"/>
  <c r="AS920" i="7"/>
  <c r="AS117" i="7"/>
  <c r="AS1907" i="7"/>
  <c r="AS1657" i="7"/>
  <c r="AS1624" i="7"/>
  <c r="AS1890" i="7"/>
  <c r="AS2254" i="7"/>
  <c r="AS1633" i="7"/>
  <c r="AS2194" i="7"/>
  <c r="AS1396" i="7"/>
  <c r="AS1002" i="7"/>
  <c r="AS1861" i="7"/>
  <c r="AS256" i="7"/>
  <c r="AS2257" i="7"/>
  <c r="AS310" i="7"/>
  <c r="AS2260" i="7"/>
  <c r="AS2092" i="7"/>
  <c r="AS2116" i="7"/>
  <c r="Y4" i="7"/>
  <c r="Y3" i="7"/>
  <c r="Y6" i="7"/>
  <c r="Y5" i="7"/>
  <c r="Y7" i="7"/>
  <c r="Y2" i="7"/>
  <c r="Y8" i="7"/>
  <c r="Y9" i="7"/>
  <c r="Y10" i="7"/>
  <c r="Y11" i="7"/>
  <c r="Y12" i="7"/>
  <c r="Y13" i="7"/>
  <c r="Y14" i="7"/>
  <c r="Y15" i="7"/>
  <c r="Y16" i="7"/>
  <c r="Y17" i="7"/>
  <c r="Y19" i="7"/>
  <c r="Y18" i="7"/>
  <c r="Y20" i="7"/>
  <c r="Y21" i="7"/>
  <c r="Y23" i="7"/>
  <c r="Y22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7" i="7"/>
  <c r="Y46" i="7"/>
  <c r="Y45" i="7"/>
  <c r="Y44" i="7"/>
  <c r="Y54" i="7"/>
  <c r="Y52" i="7"/>
  <c r="Y50" i="7"/>
  <c r="Y48" i="7"/>
  <c r="Y51" i="7"/>
  <c r="Y53" i="7"/>
  <c r="Y49" i="7"/>
  <c r="Y57" i="7"/>
  <c r="Y59" i="7"/>
  <c r="Y58" i="7"/>
  <c r="Y56" i="7"/>
  <c r="Y55" i="7"/>
  <c r="Y66" i="7"/>
  <c r="Y65" i="7"/>
  <c r="Y64" i="7"/>
  <c r="Y63" i="7"/>
  <c r="Y62" i="7"/>
  <c r="Y61" i="7"/>
  <c r="Y60" i="7"/>
  <c r="Y69" i="7"/>
  <c r="Y70" i="7"/>
  <c r="Y67" i="7"/>
  <c r="Y68" i="7"/>
  <c r="Y92" i="7"/>
  <c r="Y88" i="7"/>
  <c r="Y87" i="7"/>
  <c r="Y89" i="7"/>
  <c r="Y91" i="7"/>
  <c r="Y80" i="7"/>
  <c r="Y82" i="7"/>
  <c r="Y94" i="7"/>
  <c r="Y90" i="7"/>
  <c r="Y79" i="7"/>
  <c r="Y81" i="7"/>
  <c r="Y93" i="7"/>
  <c r="Y85" i="7"/>
  <c r="Y83" i="7"/>
  <c r="Y84" i="7"/>
  <c r="Y86" i="7"/>
  <c r="Y76" i="7"/>
  <c r="Y78" i="7"/>
  <c r="Y77" i="7"/>
  <c r="Y73" i="7"/>
  <c r="Y74" i="7"/>
  <c r="Y75" i="7"/>
  <c r="Y72" i="7"/>
  <c r="Y71" i="7"/>
  <c r="Y96" i="7"/>
  <c r="Y97" i="7"/>
  <c r="Y95" i="7"/>
  <c r="Y98" i="7"/>
  <c r="Y99" i="7"/>
  <c r="Y100" i="7"/>
  <c r="Y102" i="7"/>
  <c r="Y105" i="7"/>
  <c r="Y104" i="7"/>
  <c r="Y103" i="7"/>
  <c r="Y101" i="7"/>
  <c r="Y108" i="7"/>
  <c r="Y109" i="7"/>
  <c r="Y107" i="7"/>
  <c r="Y111" i="7"/>
  <c r="Y112" i="7"/>
  <c r="Y110" i="7"/>
  <c r="Y106" i="7"/>
  <c r="Y116" i="7"/>
  <c r="Y114" i="7"/>
  <c r="Y113" i="7"/>
  <c r="Y115" i="7"/>
  <c r="Y117" i="7"/>
  <c r="Y119" i="7"/>
  <c r="Y120" i="7"/>
  <c r="Y118" i="7"/>
  <c r="Y124" i="7"/>
  <c r="Y123" i="7"/>
  <c r="Y121" i="7"/>
  <c r="Y122" i="7"/>
  <c r="Y126" i="7"/>
  <c r="Y125" i="7"/>
  <c r="Y127" i="7"/>
  <c r="Y128" i="7"/>
  <c r="Y129" i="7"/>
  <c r="Y130" i="7"/>
  <c r="Y131" i="7"/>
  <c r="Y132" i="7"/>
  <c r="Y135" i="7"/>
  <c r="Y133" i="7"/>
  <c r="Y134" i="7"/>
  <c r="Y137" i="7"/>
  <c r="Y139" i="7"/>
  <c r="Y138" i="7"/>
  <c r="Y136" i="7"/>
  <c r="Y144" i="7"/>
  <c r="Y141" i="7"/>
  <c r="Y140" i="7"/>
  <c r="Y145" i="7"/>
  <c r="Y143" i="7"/>
  <c r="Y142" i="7"/>
  <c r="Y147" i="7"/>
  <c r="Y146" i="7"/>
  <c r="Y148" i="7"/>
  <c r="Y150" i="7"/>
  <c r="Y154" i="7"/>
  <c r="Y156" i="7"/>
  <c r="Y155" i="7"/>
  <c r="Y183" i="7"/>
  <c r="Y182" i="7"/>
  <c r="Y167" i="7"/>
  <c r="Y157" i="7"/>
  <c r="Y179" i="7"/>
  <c r="Y178" i="7"/>
  <c r="Y152" i="7"/>
  <c r="Y168" i="7"/>
  <c r="Y174" i="7"/>
  <c r="Y172" i="7"/>
  <c r="Y153" i="7"/>
  <c r="Y171" i="7"/>
  <c r="Y177" i="7"/>
  <c r="Y163" i="7"/>
  <c r="Y170" i="7"/>
  <c r="Y173" i="7"/>
  <c r="Y175" i="7"/>
  <c r="Y164" i="7"/>
  <c r="Y166" i="7"/>
  <c r="Y165" i="7"/>
  <c r="Y184" i="7"/>
  <c r="Y180" i="7"/>
  <c r="Y185" i="7"/>
  <c r="Y162" i="7"/>
  <c r="Y151" i="7"/>
  <c r="Y149" i="7"/>
  <c r="Y161" i="7"/>
  <c r="Y176" i="7"/>
  <c r="Y158" i="7"/>
  <c r="Y181" i="7"/>
  <c r="Y159" i="7"/>
  <c r="Y160" i="7"/>
  <c r="Y169" i="7"/>
  <c r="Y189" i="7"/>
  <c r="Y196" i="7"/>
  <c r="Y197" i="7"/>
  <c r="Y194" i="7"/>
  <c r="Y192" i="7"/>
  <c r="Y190" i="7"/>
  <c r="Y193" i="7"/>
  <c r="Y187" i="7"/>
  <c r="Y186" i="7"/>
  <c r="Y195" i="7"/>
  <c r="Y191" i="7"/>
  <c r="Y188" i="7"/>
  <c r="Y199" i="7"/>
  <c r="Y198" i="7"/>
  <c r="Y201" i="7"/>
  <c r="Y202" i="7"/>
  <c r="Y200" i="7"/>
  <c r="Y205" i="7"/>
  <c r="Y206" i="7"/>
  <c r="Y207" i="7"/>
  <c r="Y208" i="7"/>
  <c r="Y203" i="7"/>
  <c r="Y204" i="7"/>
  <c r="Y210" i="7"/>
  <c r="Y209" i="7"/>
  <c r="Y212" i="7"/>
  <c r="Y211" i="7"/>
  <c r="Y213" i="7"/>
  <c r="Y214" i="7"/>
  <c r="Y218" i="7"/>
  <c r="Y236" i="7"/>
  <c r="Y230" i="7"/>
  <c r="Y215" i="7"/>
  <c r="Y219" i="7"/>
  <c r="Y228" i="7"/>
  <c r="Y231" i="7"/>
  <c r="Y222" i="7"/>
  <c r="Y216" i="7"/>
  <c r="Y220" i="7"/>
  <c r="Y221" i="7"/>
  <c r="Y217" i="7"/>
  <c r="Y227" i="7"/>
  <c r="Y224" i="7"/>
  <c r="Y225" i="7"/>
  <c r="Y226" i="7"/>
  <c r="Y229" i="7"/>
  <c r="Y223" i="7"/>
  <c r="Y237" i="7"/>
  <c r="Y233" i="7"/>
  <c r="Y235" i="7"/>
  <c r="Y234" i="7"/>
  <c r="Y238" i="7"/>
  <c r="Y232" i="7"/>
  <c r="Y240" i="7"/>
  <c r="Y239" i="7"/>
  <c r="Y245" i="7"/>
  <c r="Y242" i="7"/>
  <c r="Y244" i="7"/>
  <c r="Y241" i="7"/>
  <c r="Y243" i="7"/>
  <c r="Y247" i="7"/>
  <c r="Y252" i="7"/>
  <c r="Y249" i="7"/>
  <c r="Y251" i="7"/>
  <c r="Y250" i="7"/>
  <c r="Y255" i="7"/>
  <c r="Y246" i="7"/>
  <c r="Y258" i="7"/>
  <c r="Y248" i="7"/>
  <c r="Y256" i="7"/>
  <c r="Y257" i="7"/>
  <c r="Y254" i="7"/>
  <c r="Y253" i="7"/>
  <c r="Y262" i="7"/>
  <c r="Y261" i="7"/>
  <c r="Y260" i="7"/>
  <c r="Y259" i="7"/>
  <c r="Y264" i="7"/>
  <c r="Y268" i="7"/>
  <c r="Y267" i="7"/>
  <c r="Y265" i="7"/>
  <c r="Y266" i="7"/>
  <c r="Y263" i="7"/>
  <c r="Y269" i="7"/>
  <c r="Y271" i="7"/>
  <c r="Y270" i="7"/>
  <c r="Y272" i="7"/>
  <c r="Y273" i="7"/>
  <c r="Y277" i="7"/>
  <c r="Y276" i="7"/>
  <c r="Y275" i="7"/>
  <c r="Y274" i="7"/>
  <c r="Y278" i="7"/>
  <c r="Y281" i="7"/>
  <c r="Y279" i="7"/>
  <c r="Y280" i="7"/>
  <c r="Y283" i="7"/>
  <c r="Y282" i="7"/>
  <c r="Y294" i="7"/>
  <c r="Y289" i="7"/>
  <c r="Y290" i="7"/>
  <c r="Y284" i="7"/>
  <c r="Y285" i="7"/>
  <c r="Y287" i="7"/>
  <c r="Y288" i="7"/>
  <c r="Y293" i="7"/>
  <c r="Y291" i="7"/>
  <c r="Y286" i="7"/>
  <c r="Y292" i="7"/>
  <c r="Y300" i="7"/>
  <c r="Y296" i="7"/>
  <c r="Y297" i="7"/>
  <c r="Y298" i="7"/>
  <c r="Y295" i="7"/>
  <c r="Y299" i="7"/>
  <c r="Y302" i="7"/>
  <c r="Y301" i="7"/>
  <c r="Y303" i="7"/>
  <c r="Y304" i="7"/>
  <c r="Y308" i="7"/>
  <c r="Y306" i="7"/>
  <c r="Y309" i="7"/>
  <c r="Y307" i="7"/>
  <c r="Y305" i="7"/>
  <c r="Y310" i="7"/>
  <c r="Y311" i="7"/>
  <c r="Y314" i="7"/>
  <c r="Y313" i="7"/>
  <c r="Y331" i="7"/>
  <c r="Y330" i="7"/>
  <c r="Y312" i="7"/>
  <c r="Y324" i="7"/>
  <c r="Y319" i="7"/>
  <c r="Y340" i="7"/>
  <c r="Y346" i="7"/>
  <c r="Y318" i="7"/>
  <c r="Y317" i="7"/>
  <c r="Y316" i="7"/>
  <c r="Y325" i="7"/>
  <c r="Y337" i="7"/>
  <c r="Y333" i="7"/>
  <c r="Y338" i="7"/>
  <c r="Y322" i="7"/>
  <c r="Y332" i="7"/>
  <c r="Y320" i="7"/>
  <c r="Y339" i="7"/>
  <c r="Y327" i="7"/>
  <c r="Y335" i="7"/>
  <c r="Y328" i="7"/>
  <c r="Y315" i="7"/>
  <c r="Y343" i="7"/>
  <c r="Y336" i="7"/>
  <c r="Y329" i="7"/>
  <c r="Y321" i="7"/>
  <c r="Y326" i="7"/>
  <c r="Y334" i="7"/>
  <c r="Y344" i="7"/>
  <c r="Y345" i="7"/>
  <c r="Y341" i="7"/>
  <c r="Y323" i="7"/>
  <c r="Y342" i="7"/>
  <c r="Y351" i="7"/>
  <c r="Y355" i="7"/>
  <c r="Y350" i="7"/>
  <c r="Y360" i="7"/>
  <c r="Y349" i="7"/>
  <c r="Y361" i="7"/>
  <c r="Y347" i="7"/>
  <c r="Y348" i="7"/>
  <c r="Y352" i="7"/>
  <c r="Y363" i="7"/>
  <c r="Y366" i="7"/>
  <c r="Y356" i="7"/>
  <c r="Y354" i="7"/>
  <c r="Y362" i="7"/>
  <c r="Y358" i="7"/>
  <c r="Y353" i="7"/>
  <c r="Y359" i="7"/>
  <c r="Y357" i="7"/>
  <c r="Y365" i="7"/>
  <c r="Y364" i="7"/>
  <c r="Y367" i="7"/>
  <c r="Y371" i="7"/>
  <c r="Y376" i="7"/>
  <c r="Y369" i="7"/>
  <c r="Y372" i="7"/>
  <c r="Y368" i="7"/>
  <c r="Y380" i="7"/>
  <c r="Y374" i="7"/>
  <c r="Y377" i="7"/>
  <c r="Y379" i="7"/>
  <c r="Y373" i="7"/>
  <c r="Y375" i="7"/>
  <c r="Y378" i="7"/>
  <c r="Y370" i="7"/>
  <c r="Y384" i="7"/>
  <c r="Y385" i="7"/>
  <c r="Y383" i="7"/>
  <c r="Y381" i="7"/>
  <c r="Y382" i="7"/>
  <c r="Y396" i="7"/>
  <c r="Y401" i="7"/>
  <c r="Y389" i="7"/>
  <c r="Y399" i="7"/>
  <c r="Y394" i="7"/>
  <c r="Y403" i="7"/>
  <c r="Y387" i="7"/>
  <c r="Y388" i="7"/>
  <c r="Y402" i="7"/>
  <c r="Y400" i="7"/>
  <c r="Y393" i="7"/>
  <c r="Y395" i="7"/>
  <c r="Y386" i="7"/>
  <c r="Y391" i="7"/>
  <c r="Y404" i="7"/>
  <c r="Y398" i="7"/>
  <c r="Y406" i="7"/>
  <c r="Y392" i="7"/>
  <c r="Y390" i="7"/>
  <c r="Y407" i="7"/>
  <c r="Y397" i="7"/>
  <c r="Y405" i="7"/>
  <c r="Y410" i="7"/>
  <c r="Y408" i="7"/>
  <c r="Y409" i="7"/>
  <c r="Y412" i="7"/>
  <c r="Y415" i="7"/>
  <c r="Y414" i="7"/>
  <c r="Y411" i="7"/>
  <c r="Y413" i="7"/>
  <c r="Y416" i="7"/>
  <c r="Y427" i="7"/>
  <c r="Y418" i="7"/>
  <c r="Y419" i="7"/>
  <c r="Y424" i="7"/>
  <c r="Y429" i="7"/>
  <c r="Y421" i="7"/>
  <c r="Y463" i="7"/>
  <c r="Y447" i="7"/>
  <c r="Y498" i="7"/>
  <c r="Y468" i="7"/>
  <c r="Y455" i="7"/>
  <c r="Y464" i="7"/>
  <c r="Y430" i="7"/>
  <c r="Y446" i="7"/>
  <c r="Y437" i="7"/>
  <c r="Y433" i="7"/>
  <c r="Y462" i="7"/>
  <c r="Y491" i="7"/>
  <c r="Y473" i="7"/>
  <c r="Y439" i="7"/>
  <c r="Y485" i="7"/>
  <c r="Y495" i="7"/>
  <c r="Y431" i="7"/>
  <c r="Y459" i="7"/>
  <c r="Y497" i="7"/>
  <c r="Y426" i="7"/>
  <c r="Y454" i="7"/>
  <c r="Y483" i="7"/>
  <c r="Y449" i="7"/>
  <c r="Y493" i="7"/>
  <c r="Y467" i="7"/>
  <c r="Y456" i="7"/>
  <c r="Y469" i="7"/>
  <c r="Y441" i="7"/>
  <c r="Y475" i="7"/>
  <c r="Y470" i="7"/>
  <c r="Y465" i="7"/>
  <c r="Y448" i="7"/>
  <c r="Y436" i="7"/>
  <c r="Y457" i="7"/>
  <c r="Y444" i="7"/>
  <c r="Y452" i="7"/>
  <c r="Y472" i="7"/>
  <c r="Y500" i="7"/>
  <c r="Y440" i="7"/>
  <c r="Y499" i="7"/>
  <c r="Y425" i="7"/>
  <c r="Y453" i="7"/>
  <c r="Y482" i="7"/>
  <c r="Y487" i="7"/>
  <c r="Y471" i="7"/>
  <c r="Y460" i="7"/>
  <c r="Y420" i="7"/>
  <c r="Y480" i="7"/>
  <c r="Y484" i="7"/>
  <c r="Y474" i="7"/>
  <c r="Y442" i="7"/>
  <c r="Y492" i="7"/>
  <c r="Y479" i="7"/>
  <c r="Y434" i="7"/>
  <c r="Y445" i="7"/>
  <c r="Y423" i="7"/>
  <c r="Y435" i="7"/>
  <c r="Y486" i="7"/>
  <c r="Y451" i="7"/>
  <c r="Y490" i="7"/>
  <c r="Y461" i="7"/>
  <c r="Y478" i="7"/>
  <c r="Y422" i="7"/>
  <c r="Y494" i="7"/>
  <c r="Y438" i="7"/>
  <c r="Y504" i="7"/>
  <c r="Y488" i="7"/>
  <c r="Y458" i="7"/>
  <c r="Y443" i="7"/>
  <c r="Y450" i="7"/>
  <c r="Y417" i="7"/>
  <c r="Y502" i="7"/>
  <c r="Y428" i="7"/>
  <c r="Y503" i="7"/>
  <c r="Y477" i="7"/>
  <c r="Y432" i="7"/>
  <c r="Y466" i="7"/>
  <c r="Y501" i="7"/>
  <c r="Y496" i="7"/>
  <c r="Y476" i="7"/>
  <c r="Y489" i="7"/>
  <c r="Y481" i="7"/>
  <c r="Y507" i="7"/>
  <c r="Y506" i="7"/>
  <c r="Y508" i="7"/>
  <c r="Y509" i="7"/>
  <c r="Y510" i="7"/>
  <c r="Y505" i="7"/>
  <c r="Y543" i="7"/>
  <c r="Y516" i="7"/>
  <c r="Y524" i="7"/>
  <c r="Y541" i="7"/>
  <c r="Y529" i="7"/>
  <c r="Y513" i="7"/>
  <c r="Y511" i="7"/>
  <c r="Y531" i="7"/>
  <c r="Y521" i="7"/>
  <c r="Y528" i="7"/>
  <c r="Y525" i="7"/>
  <c r="Y517" i="7"/>
  <c r="Y534" i="7"/>
  <c r="Y536" i="7"/>
  <c r="Y520" i="7"/>
  <c r="Y530" i="7"/>
  <c r="Y512" i="7"/>
  <c r="Y532" i="7"/>
  <c r="Y527" i="7"/>
  <c r="Y519" i="7"/>
  <c r="Y526" i="7"/>
  <c r="Y540" i="7"/>
  <c r="Y535" i="7"/>
  <c r="Y522" i="7"/>
  <c r="Y518" i="7"/>
  <c r="Y523" i="7"/>
  <c r="Y533" i="7"/>
  <c r="Y538" i="7"/>
  <c r="Y515" i="7"/>
  <c r="Y542" i="7"/>
  <c r="Y514" i="7"/>
  <c r="Y539" i="7"/>
  <c r="Y537" i="7"/>
  <c r="Y549" i="7"/>
  <c r="Y548" i="7"/>
  <c r="Y552" i="7"/>
  <c r="Y547" i="7"/>
  <c r="Y550" i="7"/>
  <c r="Y544" i="7"/>
  <c r="Y557" i="7"/>
  <c r="Y551" i="7"/>
  <c r="Y555" i="7"/>
  <c r="Y553" i="7"/>
  <c r="Y546" i="7"/>
  <c r="Y556" i="7"/>
  <c r="Y554" i="7"/>
  <c r="Y545" i="7"/>
  <c r="Y558" i="7"/>
  <c r="Y559" i="7"/>
  <c r="Y560" i="7"/>
  <c r="Y572" i="7"/>
  <c r="Y562" i="7"/>
  <c r="Y561" i="7"/>
  <c r="Y563" i="7"/>
  <c r="Y569" i="7"/>
  <c r="Y567" i="7"/>
  <c r="Y571" i="7"/>
  <c r="Y565" i="7"/>
  <c r="Y566" i="7"/>
  <c r="Y573" i="7"/>
  <c r="Y570" i="7"/>
  <c r="Y564" i="7"/>
  <c r="Y568" i="7"/>
  <c r="Y675" i="7"/>
  <c r="Y580" i="7"/>
  <c r="Y646" i="7"/>
  <c r="Y597" i="7"/>
  <c r="Y636" i="7"/>
  <c r="Y631" i="7"/>
  <c r="Y584" i="7"/>
  <c r="Y600" i="7"/>
  <c r="Y585" i="7"/>
  <c r="Y594" i="7"/>
  <c r="Y671" i="7"/>
  <c r="Y587" i="7"/>
  <c r="Y619" i="7"/>
  <c r="Y662" i="7"/>
  <c r="Y663" i="7"/>
  <c r="Y610" i="7"/>
  <c r="Y589" i="7"/>
  <c r="Y618" i="7"/>
  <c r="Y639" i="7"/>
  <c r="Y582" i="7"/>
  <c r="Y697" i="7"/>
  <c r="Y657" i="7"/>
  <c r="Y627" i="7"/>
  <c r="Y602" i="7"/>
  <c r="Y612" i="7"/>
  <c r="Y668" i="7"/>
  <c r="Y686" i="7"/>
  <c r="Y579" i="7"/>
  <c r="Y626" i="7"/>
  <c r="Y625" i="7"/>
  <c r="Y595" i="7"/>
  <c r="Y674" i="7"/>
  <c r="Y577" i="7"/>
  <c r="Y604" i="7"/>
  <c r="Y574" i="7"/>
  <c r="Y647" i="7"/>
  <c r="Y684" i="7"/>
  <c r="Y588" i="7"/>
  <c r="Y615" i="7"/>
  <c r="Y649" i="7"/>
  <c r="Y645" i="7"/>
  <c r="Y606" i="7"/>
  <c r="Y621" i="7"/>
  <c r="Y581" i="7"/>
  <c r="Y591" i="7"/>
  <c r="Y576" i="7"/>
  <c r="Y596" i="7"/>
  <c r="Y628" i="7"/>
  <c r="Y683" i="7"/>
  <c r="Y623" i="7"/>
  <c r="Y677" i="7"/>
  <c r="Y611" i="7"/>
  <c r="Y689" i="7"/>
  <c r="Y661" i="7"/>
  <c r="Y642" i="7"/>
  <c r="Y664" i="7"/>
  <c r="Y658" i="7"/>
  <c r="Y678" i="7"/>
  <c r="Y670" i="7"/>
  <c r="Y695" i="7"/>
  <c r="Y601" i="7"/>
  <c r="Y603" i="7"/>
  <c r="Y624" i="7"/>
  <c r="Y607" i="7"/>
  <c r="Y680" i="7"/>
  <c r="Y630" i="7"/>
  <c r="Y660" i="7"/>
  <c r="Y648" i="7"/>
  <c r="Y605" i="7"/>
  <c r="Y690" i="7"/>
  <c r="Y693" i="7"/>
  <c r="Y593" i="7"/>
  <c r="Y608" i="7"/>
  <c r="Y676" i="7"/>
  <c r="Y578" i="7"/>
  <c r="Y632" i="7"/>
  <c r="Y653" i="7"/>
  <c r="Y640" i="7"/>
  <c r="Y616" i="7"/>
  <c r="Y599" i="7"/>
  <c r="Y614" i="7"/>
  <c r="Y638" i="7"/>
  <c r="Y659" i="7"/>
  <c r="Y665" i="7"/>
  <c r="Y575" i="7"/>
  <c r="Y673" i="7"/>
  <c r="Y669" i="7"/>
  <c r="Y622" i="7"/>
  <c r="Y650" i="7"/>
  <c r="Y682" i="7"/>
  <c r="Y691" i="7"/>
  <c r="Y644" i="7"/>
  <c r="Y609" i="7"/>
  <c r="Y652" i="7"/>
  <c r="Y656" i="7"/>
  <c r="Y592" i="7"/>
  <c r="Y651" i="7"/>
  <c r="Y598" i="7"/>
  <c r="Y688" i="7"/>
  <c r="Y637" i="7"/>
  <c r="Y617" i="7"/>
  <c r="Y613" i="7"/>
  <c r="Y667" i="7"/>
  <c r="Y590" i="7"/>
  <c r="Y641" i="7"/>
  <c r="Y635" i="7"/>
  <c r="Y654" i="7"/>
  <c r="Y655" i="7"/>
  <c r="Y679" i="7"/>
  <c r="Y666" i="7"/>
  <c r="Y687" i="7"/>
  <c r="Y643" i="7"/>
  <c r="Y692" i="7"/>
  <c r="Y634" i="7"/>
  <c r="Y694" i="7"/>
  <c r="Y586" i="7"/>
  <c r="Y672" i="7"/>
  <c r="Y685" i="7"/>
  <c r="Y696" i="7"/>
  <c r="Y629" i="7"/>
  <c r="Y620" i="7"/>
  <c r="Y633" i="7"/>
  <c r="Y583" i="7"/>
  <c r="Y681" i="7"/>
  <c r="Y700" i="7"/>
  <c r="Y710" i="7"/>
  <c r="Y708" i="7"/>
  <c r="Y706" i="7"/>
  <c r="Y703" i="7"/>
  <c r="Y699" i="7"/>
  <c r="Y707" i="7"/>
  <c r="Y711" i="7"/>
  <c r="Y704" i="7"/>
  <c r="Y698" i="7"/>
  <c r="Y705" i="7"/>
  <c r="Y702" i="7"/>
  <c r="Y709" i="7"/>
  <c r="Y701" i="7"/>
  <c r="Y716" i="7"/>
  <c r="Y713" i="7"/>
  <c r="Y719" i="7"/>
  <c r="Y717" i="7"/>
  <c r="Y720" i="7"/>
  <c r="Y718" i="7"/>
  <c r="Y714" i="7"/>
  <c r="Y712" i="7"/>
  <c r="Y715" i="7"/>
  <c r="Y724" i="7"/>
  <c r="Y723" i="7"/>
  <c r="Y721" i="7"/>
  <c r="Y731" i="7"/>
  <c r="Y726" i="7"/>
  <c r="Y734" i="7"/>
  <c r="Y730" i="7"/>
  <c r="Y736" i="7"/>
  <c r="Y727" i="7"/>
  <c r="Y733" i="7"/>
  <c r="Y728" i="7"/>
  <c r="Y735" i="7"/>
  <c r="Y737" i="7"/>
  <c r="Y722" i="7"/>
  <c r="Y729" i="7"/>
  <c r="Y725" i="7"/>
  <c r="Y732" i="7"/>
  <c r="Y741" i="7"/>
  <c r="Y739" i="7"/>
  <c r="Y740" i="7"/>
  <c r="Y738" i="7"/>
  <c r="Y742" i="7"/>
  <c r="Y743" i="7"/>
  <c r="Y821" i="7"/>
  <c r="Y842" i="7"/>
  <c r="Y875" i="7"/>
  <c r="Y809" i="7"/>
  <c r="Y804" i="7"/>
  <c r="Y871" i="7"/>
  <c r="Y880" i="7"/>
  <c r="Y788" i="7"/>
  <c r="Y783" i="7"/>
  <c r="Y749" i="7"/>
  <c r="Y772" i="7"/>
  <c r="Y759" i="7"/>
  <c r="Y807" i="7"/>
  <c r="Y884" i="7"/>
  <c r="Y756" i="7"/>
  <c r="Y796" i="7"/>
  <c r="Y775" i="7"/>
  <c r="Y771" i="7"/>
  <c r="Y857" i="7"/>
  <c r="Y770" i="7"/>
  <c r="Y885" i="7"/>
  <c r="Y888" i="7"/>
  <c r="Y791" i="7"/>
  <c r="Y913" i="7"/>
  <c r="Y921" i="7"/>
  <c r="Y816" i="7"/>
  <c r="Y818" i="7"/>
  <c r="Y805" i="7"/>
  <c r="Y941" i="7"/>
  <c r="Y851" i="7"/>
  <c r="Y830" i="7"/>
  <c r="Y933" i="7"/>
  <c r="Y765" i="7"/>
  <c r="Y752" i="7"/>
  <c r="Y894" i="7"/>
  <c r="Y912" i="7"/>
  <c r="Y898" i="7"/>
  <c r="Y882" i="7"/>
  <c r="Y757" i="7"/>
  <c r="Y877" i="7"/>
  <c r="Y940" i="7"/>
  <c r="Y929" i="7"/>
  <c r="Y826" i="7"/>
  <c r="Y841" i="7"/>
  <c r="Y862" i="7"/>
  <c r="Y774" i="7"/>
  <c r="Y837" i="7"/>
  <c r="Y900" i="7"/>
  <c r="Y918" i="7"/>
  <c r="Y874" i="7"/>
  <c r="Y764" i="7"/>
  <c r="Y840" i="7"/>
  <c r="Y803" i="7"/>
  <c r="Y789" i="7"/>
  <c r="Y839" i="7"/>
  <c r="Y762" i="7"/>
  <c r="Y754" i="7"/>
  <c r="Y760" i="7"/>
  <c r="Y787" i="7"/>
  <c r="Y781" i="7"/>
  <c r="Y825" i="7"/>
  <c r="Y864" i="7"/>
  <c r="Y911" i="7"/>
  <c r="Y850" i="7"/>
  <c r="Y903" i="7"/>
  <c r="Y848" i="7"/>
  <c r="Y790" i="7"/>
  <c r="Y815" i="7"/>
  <c r="Y916" i="7"/>
  <c r="Y822" i="7"/>
  <c r="Y801" i="7"/>
  <c r="Y838" i="7"/>
  <c r="Y844" i="7"/>
  <c r="Y932" i="7"/>
  <c r="Y899" i="7"/>
  <c r="Y744" i="7"/>
  <c r="Y907" i="7"/>
  <c r="Y800" i="7"/>
  <c r="Y901" i="7"/>
  <c r="Y811" i="7"/>
  <c r="Y858" i="7"/>
  <c r="Y753" i="7"/>
  <c r="Y776" i="7"/>
  <c r="Y845" i="7"/>
  <c r="Y814" i="7"/>
  <c r="Y887" i="7"/>
  <c r="Y906" i="7"/>
  <c r="Y780" i="7"/>
  <c r="Y778" i="7"/>
  <c r="Y794" i="7"/>
  <c r="Y748" i="7"/>
  <c r="Y891" i="7"/>
  <c r="Y779" i="7"/>
  <c r="Y865" i="7"/>
  <c r="Y902" i="7"/>
  <c r="Y820" i="7"/>
  <c r="Y866" i="7"/>
  <c r="Y828" i="7"/>
  <c r="Y919" i="7"/>
  <c r="Y824" i="7"/>
  <c r="Y768" i="7"/>
  <c r="Y879" i="7"/>
  <c r="Y782" i="7"/>
  <c r="Y755" i="7"/>
  <c r="Y846" i="7"/>
  <c r="Y769" i="7"/>
  <c r="Y834" i="7"/>
  <c r="Y832" i="7"/>
  <c r="Y758" i="7"/>
  <c r="Y854" i="7"/>
  <c r="Y878" i="7"/>
  <c r="Y773" i="7"/>
  <c r="Y895" i="7"/>
  <c r="Y896" i="7"/>
  <c r="Y923" i="7"/>
  <c r="Y930" i="7"/>
  <c r="Y936" i="7"/>
  <c r="Y836" i="7"/>
  <c r="Y806" i="7"/>
  <c r="Y763" i="7"/>
  <c r="Y767" i="7"/>
  <c r="Y925" i="7"/>
  <c r="Y926" i="7"/>
  <c r="Y793" i="7"/>
  <c r="Y859" i="7"/>
  <c r="Y917" i="7"/>
  <c r="Y798" i="7"/>
  <c r="Y819" i="7"/>
  <c r="Y829" i="7"/>
  <c r="Y927" i="7"/>
  <c r="Y928" i="7"/>
  <c r="Y872" i="7"/>
  <c r="Y817" i="7"/>
  <c r="Y867" i="7"/>
  <c r="Y777" i="7"/>
  <c r="Y876" i="7"/>
  <c r="Y843" i="7"/>
  <c r="Y915" i="7"/>
  <c r="Y808" i="7"/>
  <c r="Y751" i="7"/>
  <c r="Y792" i="7"/>
  <c r="Y914" i="7"/>
  <c r="Y897" i="7"/>
  <c r="Y873" i="7"/>
  <c r="Y766" i="7"/>
  <c r="Y761" i="7"/>
  <c r="Y802" i="7"/>
  <c r="Y886" i="7"/>
  <c r="Y868" i="7"/>
  <c r="Y849" i="7"/>
  <c r="Y795" i="7"/>
  <c r="Y883" i="7"/>
  <c r="Y823" i="7"/>
  <c r="Y827" i="7"/>
  <c r="Y810" i="7"/>
  <c r="Y908" i="7"/>
  <c r="Y938" i="7"/>
  <c r="Y813" i="7"/>
  <c r="Y784" i="7"/>
  <c r="Y890" i="7"/>
  <c r="Y892" i="7"/>
  <c r="Y889" i="7"/>
  <c r="Y905" i="7"/>
  <c r="Y747" i="7"/>
  <c r="Y935" i="7"/>
  <c r="Y861" i="7"/>
  <c r="Y835" i="7"/>
  <c r="Y922" i="7"/>
  <c r="Y797" i="7"/>
  <c r="Y799" i="7"/>
  <c r="Y856" i="7"/>
  <c r="Y931" i="7"/>
  <c r="Y831" i="7"/>
  <c r="Y881" i="7"/>
  <c r="Y860" i="7"/>
  <c r="Y746" i="7"/>
  <c r="Y937" i="7"/>
  <c r="Y750" i="7"/>
  <c r="Y847" i="7"/>
  <c r="Y904" i="7"/>
  <c r="Y869" i="7"/>
  <c r="Y855" i="7"/>
  <c r="Y863" i="7"/>
  <c r="Y870" i="7"/>
  <c r="Y910" i="7"/>
  <c r="Y853" i="7"/>
  <c r="Y786" i="7"/>
  <c r="Y939" i="7"/>
  <c r="Y920" i="7"/>
  <c r="Y785" i="7"/>
  <c r="Y934" i="7"/>
  <c r="Y893" i="7"/>
  <c r="Y833" i="7"/>
  <c r="Y745" i="7"/>
  <c r="Y924" i="7"/>
  <c r="Y812" i="7"/>
  <c r="Y909" i="7"/>
  <c r="Y852" i="7"/>
  <c r="Y955" i="7"/>
  <c r="Y956" i="7"/>
  <c r="Y950" i="7"/>
  <c r="Y949" i="7"/>
  <c r="Y952" i="7"/>
  <c r="Y942" i="7"/>
  <c r="Y945" i="7"/>
  <c r="Y943" i="7"/>
  <c r="Y951" i="7"/>
  <c r="Y947" i="7"/>
  <c r="Y944" i="7"/>
  <c r="Y954" i="7"/>
  <c r="Y948" i="7"/>
  <c r="Y946" i="7"/>
  <c r="Y953" i="7"/>
  <c r="Y969" i="7"/>
  <c r="Y971" i="7"/>
  <c r="Y958" i="7"/>
  <c r="Y972" i="7"/>
  <c r="Y979" i="7"/>
  <c r="Y989" i="7"/>
  <c r="Y982" i="7"/>
  <c r="Y970" i="7"/>
  <c r="Y961" i="7"/>
  <c r="Y967" i="7"/>
  <c r="Y986" i="7"/>
  <c r="Y985" i="7"/>
  <c r="Y993" i="7"/>
  <c r="Y968" i="7"/>
  <c r="Y995" i="7"/>
  <c r="Y965" i="7"/>
  <c r="Y1001" i="7"/>
  <c r="Y976" i="7"/>
  <c r="Y973" i="7"/>
  <c r="Y984" i="7"/>
  <c r="Y998" i="7"/>
  <c r="Y987" i="7"/>
  <c r="Y960" i="7"/>
  <c r="Y975" i="7"/>
  <c r="Y966" i="7"/>
  <c r="Y996" i="7"/>
  <c r="Y990" i="7"/>
  <c r="Y992" i="7"/>
  <c r="Y997" i="7"/>
  <c r="Y994" i="7"/>
  <c r="Y977" i="7"/>
  <c r="Y964" i="7"/>
  <c r="Y974" i="7"/>
  <c r="Y963" i="7"/>
  <c r="Y978" i="7"/>
  <c r="Y999" i="7"/>
  <c r="Y988" i="7"/>
  <c r="Y962" i="7"/>
  <c r="Y980" i="7"/>
  <c r="Y983" i="7"/>
  <c r="Y959" i="7"/>
  <c r="Y1000" i="7"/>
  <c r="Y1003" i="7"/>
  <c r="Y981" i="7"/>
  <c r="Y991" i="7"/>
  <c r="Y957" i="7"/>
  <c r="Y1002" i="7"/>
  <c r="Y1017" i="7"/>
  <c r="Y1023" i="7"/>
  <c r="Y1006" i="7"/>
  <c r="Y1021" i="7"/>
  <c r="Y1004" i="7"/>
  <c r="Y1010" i="7"/>
  <c r="Y1016" i="7"/>
  <c r="Y1005" i="7"/>
  <c r="Y1012" i="7"/>
  <c r="Y1015" i="7"/>
  <c r="Y1019" i="7"/>
  <c r="Y1014" i="7"/>
  <c r="Y1007" i="7"/>
  <c r="Y1011" i="7"/>
  <c r="Y1020" i="7"/>
  <c r="Y1013" i="7"/>
  <c r="Y1009" i="7"/>
  <c r="Y1008" i="7"/>
  <c r="Y1018" i="7"/>
  <c r="Y1022" i="7"/>
  <c r="Y1029" i="7"/>
  <c r="Y1045" i="7"/>
  <c r="Y1041" i="7"/>
  <c r="Y1035" i="7"/>
  <c r="Y1036" i="7"/>
  <c r="Y1046" i="7"/>
  <c r="Y1034" i="7"/>
  <c r="Y1031" i="7"/>
  <c r="Y1028" i="7"/>
  <c r="Y1048" i="7"/>
  <c r="Y1052" i="7"/>
  <c r="Y1033" i="7"/>
  <c r="Y1044" i="7"/>
  <c r="Y1040" i="7"/>
  <c r="Y1032" i="7"/>
  <c r="Y1030" i="7"/>
  <c r="Y1043" i="7"/>
  <c r="Y1050" i="7"/>
  <c r="Y1038" i="7"/>
  <c r="Y1026" i="7"/>
  <c r="Y1047" i="7"/>
  <c r="Y1039" i="7"/>
  <c r="Y1024" i="7"/>
  <c r="Y1049" i="7"/>
  <c r="Y1037" i="7"/>
  <c r="Y1027" i="7"/>
  <c r="Y1025" i="7"/>
  <c r="Y1051" i="7"/>
  <c r="Y1042" i="7"/>
  <c r="Y1133" i="7"/>
  <c r="Y1077" i="7"/>
  <c r="Y1068" i="7"/>
  <c r="Y1076" i="7"/>
  <c r="Y1158" i="7"/>
  <c r="Y1101" i="7"/>
  <c r="Y1054" i="7"/>
  <c r="Y1130" i="7"/>
  <c r="Y1079" i="7"/>
  <c r="Y1071" i="7"/>
  <c r="Y1097" i="7"/>
  <c r="Y1157" i="7"/>
  <c r="Y1155" i="7"/>
  <c r="Y1117" i="7"/>
  <c r="Y1146" i="7"/>
  <c r="Y1120" i="7"/>
  <c r="Y1112" i="7"/>
  <c r="Y1147" i="7"/>
  <c r="Y1060" i="7"/>
  <c r="Y1074" i="7"/>
  <c r="Y1118" i="7"/>
  <c r="Y1087" i="7"/>
  <c r="Y1062" i="7"/>
  <c r="Y1140" i="7"/>
  <c r="Y1123" i="7"/>
  <c r="Y1131" i="7"/>
  <c r="Y1067" i="7"/>
  <c r="Y1156" i="7"/>
  <c r="Y1113" i="7"/>
  <c r="Y1114" i="7"/>
  <c r="Y1075" i="7"/>
  <c r="Y1127" i="7"/>
  <c r="Y1084" i="7"/>
  <c r="Y1116" i="7"/>
  <c r="Y1070" i="7"/>
  <c r="Y1150" i="7"/>
  <c r="Y1132" i="7"/>
  <c r="Y1065" i="7"/>
  <c r="Y1151" i="7"/>
  <c r="Y1059" i="7"/>
  <c r="Y1056" i="7"/>
  <c r="Y1090" i="7"/>
  <c r="Y1078" i="7"/>
  <c r="Y1105" i="7"/>
  <c r="Y1072" i="7"/>
  <c r="Y1055" i="7"/>
  <c r="Y1098" i="7"/>
  <c r="Y1085" i="7"/>
  <c r="Y1144" i="7"/>
  <c r="Y1107" i="7"/>
  <c r="Y1096" i="7"/>
  <c r="Y1129" i="7"/>
  <c r="Y1135" i="7"/>
  <c r="Y1095" i="7"/>
  <c r="Y1064" i="7"/>
  <c r="Y1134" i="7"/>
  <c r="Y1153" i="7"/>
  <c r="Y1115" i="7"/>
  <c r="Y1111" i="7"/>
  <c r="Y1091" i="7"/>
  <c r="Y1066" i="7"/>
  <c r="Y1124" i="7"/>
  <c r="Y1109" i="7"/>
  <c r="Y1063" i="7"/>
  <c r="Y1081" i="7"/>
  <c r="Y1143" i="7"/>
  <c r="Y1119" i="7"/>
  <c r="Y1100" i="7"/>
  <c r="Y1104" i="7"/>
  <c r="Y1093" i="7"/>
  <c r="Y1089" i="7"/>
  <c r="Y1149" i="7"/>
  <c r="Y1057" i="7"/>
  <c r="Y1082" i="7"/>
  <c r="Y1106" i="7"/>
  <c r="Y1088" i="7"/>
  <c r="Y1108" i="7"/>
  <c r="Y1141" i="7"/>
  <c r="Y1102" i="7"/>
  <c r="Y1136" i="7"/>
  <c r="Y1061" i="7"/>
  <c r="Y1094" i="7"/>
  <c r="Y1086" i="7"/>
  <c r="Y1148" i="7"/>
  <c r="Y1080" i="7"/>
  <c r="Y1073" i="7"/>
  <c r="Y1145" i="7"/>
  <c r="Y1128" i="7"/>
  <c r="Y1137" i="7"/>
  <c r="Y1069" i="7"/>
  <c r="Y1125" i="7"/>
  <c r="Y1138" i="7"/>
  <c r="Y1083" i="7"/>
  <c r="Y1121" i="7"/>
  <c r="Y1103" i="7"/>
  <c r="Y1152" i="7"/>
  <c r="Y1058" i="7"/>
  <c r="Y1126" i="7"/>
  <c r="Y1092" i="7"/>
  <c r="Y1053" i="7"/>
  <c r="Y1122" i="7"/>
  <c r="Y1142" i="7"/>
  <c r="Y1110" i="7"/>
  <c r="Y1154" i="7"/>
  <c r="Y1139" i="7"/>
  <c r="Y1099" i="7"/>
  <c r="Y1160" i="7"/>
  <c r="Y1159" i="7"/>
  <c r="Y1164" i="7"/>
  <c r="Y1167" i="7"/>
  <c r="Y1165" i="7"/>
  <c r="Y1162" i="7"/>
  <c r="Y1163" i="7"/>
  <c r="Y1166" i="7"/>
  <c r="Y1161" i="7"/>
  <c r="Y1169" i="7"/>
  <c r="Y1174" i="7"/>
  <c r="Y1168" i="7"/>
  <c r="Y1172" i="7"/>
  <c r="Y1170" i="7"/>
  <c r="Y1176" i="7"/>
  <c r="Y1173" i="7"/>
  <c r="Y1175" i="7"/>
  <c r="Y1171" i="7"/>
  <c r="Y1179" i="7"/>
  <c r="Y1181" i="7"/>
  <c r="Y1182" i="7"/>
  <c r="Y1180" i="7"/>
  <c r="Y1178" i="7"/>
  <c r="Y1177" i="7"/>
  <c r="Y1183" i="7"/>
  <c r="Y1279" i="7"/>
  <c r="Y1342" i="7"/>
  <c r="Y1234" i="7"/>
  <c r="Y1261" i="7"/>
  <c r="Y1199" i="7"/>
  <c r="Y1263" i="7"/>
  <c r="Y1344" i="7"/>
  <c r="Y1352" i="7"/>
  <c r="Y1274" i="7"/>
  <c r="Y1194" i="7"/>
  <c r="Y1288" i="7"/>
  <c r="Y1294" i="7"/>
  <c r="Y1368" i="7"/>
  <c r="Y1211" i="7"/>
  <c r="Y1283" i="7"/>
  <c r="Y1253" i="7"/>
  <c r="Y1204" i="7"/>
  <c r="Y1289" i="7"/>
  <c r="Y1357" i="7"/>
  <c r="Y1338" i="7"/>
  <c r="Y1306" i="7"/>
  <c r="Y1239" i="7"/>
  <c r="Y1387" i="7"/>
  <c r="Y1273" i="7"/>
  <c r="Y1187" i="7"/>
  <c r="Y1365" i="7"/>
  <c r="Y1345" i="7"/>
  <c r="Y1349" i="7"/>
  <c r="Y1266" i="7"/>
  <c r="Y1229" i="7"/>
  <c r="Y1295" i="7"/>
  <c r="Y1351" i="7"/>
  <c r="Y1236" i="7"/>
  <c r="Y1268" i="7"/>
  <c r="Y1249" i="7"/>
  <c r="Y1300" i="7"/>
  <c r="Y1335" i="7"/>
  <c r="Y1372" i="7"/>
  <c r="Y1371" i="7"/>
  <c r="Y1292" i="7"/>
  <c r="Y1233" i="7"/>
  <c r="Y1235" i="7"/>
  <c r="Y1198" i="7"/>
  <c r="Y1296" i="7"/>
  <c r="Y1215" i="7"/>
  <c r="Y1189" i="7"/>
  <c r="Y1269" i="7"/>
  <c r="Y1242" i="7"/>
  <c r="Y1367" i="7"/>
  <c r="Y1305" i="7"/>
  <c r="Y1360" i="7"/>
  <c r="Y1237" i="7"/>
  <c r="Y1248" i="7"/>
  <c r="Y1276" i="7"/>
  <c r="Y1301" i="7"/>
  <c r="Y1403" i="7"/>
  <c r="Y1377" i="7"/>
  <c r="Y1298" i="7"/>
  <c r="Y1297" i="7"/>
  <c r="Y1302" i="7"/>
  <c r="Y1366" i="7"/>
  <c r="Y1378" i="7"/>
  <c r="Y1243" i="7"/>
  <c r="Y1405" i="7"/>
  <c r="Y1393" i="7"/>
  <c r="Y1240" i="7"/>
  <c r="Y1214" i="7"/>
  <c r="Y1337" i="7"/>
  <c r="Y1208" i="7"/>
  <c r="Y1205" i="7"/>
  <c r="Y1195" i="7"/>
  <c r="Y1225" i="7"/>
  <c r="Y1299" i="7"/>
  <c r="Y1307" i="7"/>
  <c r="Y1318" i="7"/>
  <c r="Y1224" i="7"/>
  <c r="Y1265" i="7"/>
  <c r="Y1197" i="7"/>
  <c r="Y1223" i="7"/>
  <c r="Y1190" i="7"/>
  <c r="Y1185" i="7"/>
  <c r="Y1282" i="7"/>
  <c r="Y1277" i="7"/>
  <c r="Y1363" i="7"/>
  <c r="Y1254" i="7"/>
  <c r="Y1210" i="7"/>
  <c r="Y1186" i="7"/>
  <c r="Y1231" i="7"/>
  <c r="Y1220" i="7"/>
  <c r="Y1290" i="7"/>
  <c r="Y1219" i="7"/>
  <c r="Y1280" i="7"/>
  <c r="Y1358" i="7"/>
  <c r="Y1320" i="7"/>
  <c r="Y1353" i="7"/>
  <c r="Y1238" i="7"/>
  <c r="Y1330" i="7"/>
  <c r="Y1230" i="7"/>
  <c r="Y1260" i="7"/>
  <c r="Y1188" i="7"/>
  <c r="Y1325" i="7"/>
  <c r="Y1329" i="7"/>
  <c r="Y1213" i="7"/>
  <c r="Y1308" i="7"/>
  <c r="Y1252" i="7"/>
  <c r="Y1285" i="7"/>
  <c r="Y1373" i="7"/>
  <c r="Y1333" i="7"/>
  <c r="Y1364" i="7"/>
  <c r="Y1222" i="7"/>
  <c r="Y1278" i="7"/>
  <c r="Y1340" i="7"/>
  <c r="Y1200" i="7"/>
  <c r="Y1251" i="7"/>
  <c r="Y1355" i="7"/>
  <c r="Y1228" i="7"/>
  <c r="Y1401" i="7"/>
  <c r="Y1310" i="7"/>
  <c r="Y1250" i="7"/>
  <c r="Y1287" i="7"/>
  <c r="Y1317" i="7"/>
  <c r="Y1245" i="7"/>
  <c r="Y1267" i="7"/>
  <c r="Y1314" i="7"/>
  <c r="Y1362" i="7"/>
  <c r="Y1221" i="7"/>
  <c r="Y1247" i="7"/>
  <c r="Y1271" i="7"/>
  <c r="Y1258" i="7"/>
  <c r="Y1392" i="7"/>
  <c r="Y1244" i="7"/>
  <c r="Y1347" i="7"/>
  <c r="Y1375" i="7"/>
  <c r="Y1326" i="7"/>
  <c r="Y1332" i="7"/>
  <c r="Y1202" i="7"/>
  <c r="Y1286" i="7"/>
  <c r="Y1256" i="7"/>
  <c r="Y1341" i="7"/>
  <c r="Y1346" i="7"/>
  <c r="Y1354" i="7"/>
  <c r="Y1382" i="7"/>
  <c r="Y1217" i="7"/>
  <c r="Y1397" i="7"/>
  <c r="Y1309" i="7"/>
  <c r="Y1218" i="7"/>
  <c r="Y1293" i="7"/>
  <c r="Y1389" i="7"/>
  <c r="Y1322" i="7"/>
  <c r="Y1350" i="7"/>
  <c r="Y1336" i="7"/>
  <c r="Y1184" i="7"/>
  <c r="Y1272" i="7"/>
  <c r="Y1193" i="7"/>
  <c r="Y1323" i="7"/>
  <c r="Y1324" i="7"/>
  <c r="Y1356" i="7"/>
  <c r="Y1402" i="7"/>
  <c r="Y1284" i="7"/>
  <c r="Y1264" i="7"/>
  <c r="Y1227" i="7"/>
  <c r="Y1379" i="7"/>
  <c r="Y1404" i="7"/>
  <c r="Y1232" i="7"/>
  <c r="Y1206" i="7"/>
  <c r="Y1343" i="7"/>
  <c r="Y1212" i="7"/>
  <c r="Y1226" i="7"/>
  <c r="Y1241" i="7"/>
  <c r="Y1319" i="7"/>
  <c r="Y1207" i="7"/>
  <c r="Y1304" i="7"/>
  <c r="Y1359" i="7"/>
  <c r="Y1328" i="7"/>
  <c r="Y1255" i="7"/>
  <c r="Y1209" i="7"/>
  <c r="Y1334" i="7"/>
  <c r="Y1313" i="7"/>
  <c r="Y1400" i="7"/>
  <c r="Y1348" i="7"/>
  <c r="Y1388" i="7"/>
  <c r="Y1361" i="7"/>
  <c r="Y1369" i="7"/>
  <c r="Y1394" i="7"/>
  <c r="Y1384" i="7"/>
  <c r="Y1201" i="7"/>
  <c r="Y1316" i="7"/>
  <c r="Y1331" i="7"/>
  <c r="Y1262" i="7"/>
  <c r="Y1270" i="7"/>
  <c r="Y1203" i="7"/>
  <c r="Y1291" i="7"/>
  <c r="Y1370" i="7"/>
  <c r="Y1395" i="7"/>
  <c r="Y1191" i="7"/>
  <c r="Y1398" i="7"/>
  <c r="Y1275" i="7"/>
  <c r="Y1376" i="7"/>
  <c r="Y1380" i="7"/>
  <c r="Y1381" i="7"/>
  <c r="Y1281" i="7"/>
  <c r="Y1374" i="7"/>
  <c r="Y1390" i="7"/>
  <c r="Y1399" i="7"/>
  <c r="Y1315" i="7"/>
  <c r="Y1383" i="7"/>
  <c r="Y1407" i="7"/>
  <c r="Y1386" i="7"/>
  <c r="Y1385" i="7"/>
  <c r="Y1192" i="7"/>
  <c r="Y1406" i="7"/>
  <c r="Y1259" i="7"/>
  <c r="Y1246" i="7"/>
  <c r="Y1339" i="7"/>
  <c r="Y1391" i="7"/>
  <c r="Y1196" i="7"/>
  <c r="Y1257" i="7"/>
  <c r="Y1311" i="7"/>
  <c r="Y1216" i="7"/>
  <c r="Y1321" i="7"/>
  <c r="Y1303" i="7"/>
  <c r="Y1327" i="7"/>
  <c r="Y1312" i="7"/>
  <c r="Y1396" i="7"/>
  <c r="Y1409" i="7"/>
  <c r="Y1413" i="7"/>
  <c r="Y1408" i="7"/>
  <c r="Y1414" i="7"/>
  <c r="Y1411" i="7"/>
  <c r="Y1412" i="7"/>
  <c r="Y1410" i="7"/>
  <c r="Y1426" i="7"/>
  <c r="Y1434" i="7"/>
  <c r="Y1430" i="7"/>
  <c r="Y1429" i="7"/>
  <c r="Y1424" i="7"/>
  <c r="Y1432" i="7"/>
  <c r="Y1437" i="7"/>
  <c r="Y1451" i="7"/>
  <c r="Y1441" i="7"/>
  <c r="Y1416" i="7"/>
  <c r="Y1421" i="7"/>
  <c r="Y1449" i="7"/>
  <c r="Y1452" i="7"/>
  <c r="Y1427" i="7"/>
  <c r="Y1431" i="7"/>
  <c r="Y1440" i="7"/>
  <c r="Y1428" i="7"/>
  <c r="Y1433" i="7"/>
  <c r="Y1425" i="7"/>
  <c r="Y1448" i="7"/>
  <c r="Y1436" i="7"/>
  <c r="Y1415" i="7"/>
  <c r="Y1422" i="7"/>
  <c r="Y1420" i="7"/>
  <c r="Y1443" i="7"/>
  <c r="Y1418" i="7"/>
  <c r="Y1446" i="7"/>
  <c r="Y1453" i="7"/>
  <c r="Y1438" i="7"/>
  <c r="Y1423" i="7"/>
  <c r="Y1435" i="7"/>
  <c r="Y1450" i="7"/>
  <c r="Y1442" i="7"/>
  <c r="Y1419" i="7"/>
  <c r="Y1439" i="7"/>
  <c r="Y1417" i="7"/>
  <c r="Y1444" i="7"/>
  <c r="Y1445" i="7"/>
  <c r="Y1447" i="7"/>
  <c r="Y1468" i="7"/>
  <c r="Y1461" i="7"/>
  <c r="Y1456" i="7"/>
  <c r="Y1463" i="7"/>
  <c r="Y1460" i="7"/>
  <c r="Y1459" i="7"/>
  <c r="Y1466" i="7"/>
  <c r="Y1455" i="7"/>
  <c r="Y1465" i="7"/>
  <c r="Y1457" i="7"/>
  <c r="Y1462" i="7"/>
  <c r="Y1454" i="7"/>
  <c r="Y1467" i="7"/>
  <c r="Y1464" i="7"/>
  <c r="Y1458" i="7"/>
  <c r="Y1478" i="7"/>
  <c r="Y1473" i="7"/>
  <c r="Y1480" i="7"/>
  <c r="Y1481" i="7"/>
  <c r="Y1477" i="7"/>
  <c r="Y1476" i="7"/>
  <c r="Y1470" i="7"/>
  <c r="Y1472" i="7"/>
  <c r="Y1471" i="7"/>
  <c r="Y1474" i="7"/>
  <c r="Y1469" i="7"/>
  <c r="Y1475" i="7"/>
  <c r="Y1479" i="7"/>
  <c r="Y1620" i="7"/>
  <c r="Y1482" i="7"/>
  <c r="Y1651" i="7"/>
  <c r="Y1648" i="7"/>
  <c r="Y1502" i="7"/>
  <c r="Y1561" i="7"/>
  <c r="Y1529" i="7"/>
  <c r="Y1584" i="7"/>
  <c r="Y1486" i="7"/>
  <c r="Y1483" i="7"/>
  <c r="Y1539" i="7"/>
  <c r="Y1588" i="7"/>
  <c r="Y1630" i="7"/>
  <c r="Y1562" i="7"/>
  <c r="Y1649" i="7"/>
  <c r="Y1532" i="7"/>
  <c r="Y1531" i="7"/>
  <c r="Y1569" i="7"/>
  <c r="Y1621" i="7"/>
  <c r="Y1609" i="7"/>
  <c r="Y1567" i="7"/>
  <c r="Y1636" i="7"/>
  <c r="Y1553" i="7"/>
  <c r="Y1634" i="7"/>
  <c r="Y1496" i="7"/>
  <c r="Y1550" i="7"/>
  <c r="Y1608" i="7"/>
  <c r="Y1602" i="7"/>
  <c r="Y1612" i="7"/>
  <c r="Y1516" i="7"/>
  <c r="Y1578" i="7"/>
  <c r="Y1540" i="7"/>
  <c r="Y1593" i="7"/>
  <c r="Y1573" i="7"/>
  <c r="Y1574" i="7"/>
  <c r="Y1617" i="7"/>
  <c r="Y1576" i="7"/>
  <c r="Y1639" i="7"/>
  <c r="Y1493" i="7"/>
  <c r="Y1510" i="7"/>
  <c r="Y1556" i="7"/>
  <c r="Y1568" i="7"/>
  <c r="Y1618" i="7"/>
  <c r="Y1571" i="7"/>
  <c r="Y1501" i="7"/>
  <c r="Y1607" i="7"/>
  <c r="Y1581" i="7"/>
  <c r="Y1647" i="7"/>
  <c r="Y1619" i="7"/>
  <c r="Y1591" i="7"/>
  <c r="Y1487" i="7"/>
  <c r="Y1485" i="7"/>
  <c r="Y1511" i="7"/>
  <c r="Y1559" i="7"/>
  <c r="Y1572" i="7"/>
  <c r="Y1595" i="7"/>
  <c r="Y1557" i="7"/>
  <c r="Y1491" i="7"/>
  <c r="Y1547" i="7"/>
  <c r="Y1613" i="7"/>
  <c r="Y1533" i="7"/>
  <c r="Y1522" i="7"/>
  <c r="Y1484" i="7"/>
  <c r="Y1536" i="7"/>
  <c r="Y1499" i="7"/>
  <c r="Y1492" i="7"/>
  <c r="Y1597" i="7"/>
  <c r="Y1518" i="7"/>
  <c r="Y1503" i="7"/>
  <c r="Y1583" i="7"/>
  <c r="Y1549" i="7"/>
  <c r="Y1520" i="7"/>
  <c r="Y1494" i="7"/>
  <c r="Y1594" i="7"/>
  <c r="Y1579" i="7"/>
  <c r="Y1509" i="7"/>
  <c r="Y1596" i="7"/>
  <c r="Y1498" i="7"/>
  <c r="Y1632" i="7"/>
  <c r="Y1640" i="7"/>
  <c r="Y1542" i="7"/>
  <c r="Y1566" i="7"/>
  <c r="Y1525" i="7"/>
  <c r="Y1645" i="7"/>
  <c r="Y1606" i="7"/>
  <c r="Y1530" i="7"/>
  <c r="Y1497" i="7"/>
  <c r="Y1537" i="7"/>
  <c r="Y1605" i="7"/>
  <c r="Y1500" i="7"/>
  <c r="Y1504" i="7"/>
  <c r="Y1646" i="7"/>
  <c r="Y1527" i="7"/>
  <c r="Y1552" i="7"/>
  <c r="Y1506" i="7"/>
  <c r="Y1577" i="7"/>
  <c r="Y1489" i="7"/>
  <c r="Y1508" i="7"/>
  <c r="Y1642" i="7"/>
  <c r="Y1546" i="7"/>
  <c r="Y1565" i="7"/>
  <c r="Y1560" i="7"/>
  <c r="Y1548" i="7"/>
  <c r="Y1601" i="7"/>
  <c r="Y1523" i="7"/>
  <c r="Y1517" i="7"/>
  <c r="Y1622" i="7"/>
  <c r="Y1515" i="7"/>
  <c r="Y1551" i="7"/>
  <c r="Y1625" i="7"/>
  <c r="Y1610" i="7"/>
  <c r="Y1614" i="7"/>
  <c r="Y1488" i="7"/>
  <c r="Y1507" i="7"/>
  <c r="Y1514" i="7"/>
  <c r="Y1628" i="7"/>
  <c r="Y1611" i="7"/>
  <c r="Y1526" i="7"/>
  <c r="Y1615" i="7"/>
  <c r="Y1585" i="7"/>
  <c r="Y1590" i="7"/>
  <c r="Y1637" i="7"/>
  <c r="Y1545" i="7"/>
  <c r="Y1626" i="7"/>
  <c r="Y1544" i="7"/>
  <c r="Y1603" i="7"/>
  <c r="Y1575" i="7"/>
  <c r="Y1524" i="7"/>
  <c r="Y1528" i="7"/>
  <c r="Y1534" i="7"/>
  <c r="Y1513" i="7"/>
  <c r="Y1555" i="7"/>
  <c r="Y1521" i="7"/>
  <c r="Y1564" i="7"/>
  <c r="Y1598" i="7"/>
  <c r="Y1600" i="7"/>
  <c r="Y1543" i="7"/>
  <c r="Y1586" i="7"/>
  <c r="Y1582" i="7"/>
  <c r="Y1512" i="7"/>
  <c r="Y1570" i="7"/>
  <c r="Y1643" i="7"/>
  <c r="Y1580" i="7"/>
  <c r="Y1589" i="7"/>
  <c r="Y1541" i="7"/>
  <c r="Y1629" i="7"/>
  <c r="Y1599" i="7"/>
  <c r="Y1519" i="7"/>
  <c r="Y1554" i="7"/>
  <c r="Y1604" i="7"/>
  <c r="Y1650" i="7"/>
  <c r="Y1627" i="7"/>
  <c r="Y1535" i="7"/>
  <c r="Y1633" i="7"/>
  <c r="Y1644" i="7"/>
  <c r="Y1624" i="7"/>
  <c r="Y1505" i="7"/>
  <c r="Y1495" i="7"/>
  <c r="Y1616" i="7"/>
  <c r="Y1623" i="7"/>
  <c r="Y1638" i="7"/>
  <c r="Y1558" i="7"/>
  <c r="Y1490" i="7"/>
  <c r="Y1592" i="7"/>
  <c r="Y1563" i="7"/>
  <c r="Y1538" i="7"/>
  <c r="Y1631" i="7"/>
  <c r="Y1641" i="7"/>
  <c r="Y1635" i="7"/>
  <c r="Y1587" i="7"/>
  <c r="Y1652" i="7"/>
  <c r="Y1656" i="7"/>
  <c r="Y1654" i="7"/>
  <c r="Y1653" i="7"/>
  <c r="Y1655" i="7"/>
  <c r="Y1657" i="7"/>
  <c r="Y1660" i="7"/>
  <c r="Y1669" i="7"/>
  <c r="Y1661" i="7"/>
  <c r="Y1659" i="7"/>
  <c r="Y1666" i="7"/>
  <c r="Y1665" i="7"/>
  <c r="Y1663" i="7"/>
  <c r="Y1668" i="7"/>
  <c r="Y1662" i="7"/>
  <c r="Y1664" i="7"/>
  <c r="Y1667" i="7"/>
  <c r="Y1658" i="7"/>
  <c r="Y1670" i="7"/>
  <c r="Y1685" i="7"/>
  <c r="Y1688" i="7"/>
  <c r="Y1728" i="7"/>
  <c r="Y1856" i="7"/>
  <c r="Y1703" i="7"/>
  <c r="Y1819" i="7"/>
  <c r="Y1852" i="7"/>
  <c r="Y1681" i="7"/>
  <c r="Y1813" i="7"/>
  <c r="Y1710" i="7"/>
  <c r="Y1795" i="7"/>
  <c r="Y1706" i="7"/>
  <c r="Y1745" i="7"/>
  <c r="Y1682" i="7"/>
  <c r="Y1697" i="7"/>
  <c r="Y1811" i="7"/>
  <c r="Y1719" i="7"/>
  <c r="Y1842" i="7"/>
  <c r="Y1701" i="7"/>
  <c r="Y1831" i="7"/>
  <c r="Y1707" i="7"/>
  <c r="Y1789" i="7"/>
  <c r="Y1742" i="7"/>
  <c r="Y1828" i="7"/>
  <c r="Y1858" i="7"/>
  <c r="Y1804" i="7"/>
  <c r="Y1721" i="7"/>
  <c r="Y1739" i="7"/>
  <c r="Y1712" i="7"/>
  <c r="Y1734" i="7"/>
  <c r="Y1747" i="7"/>
  <c r="Y1702" i="7"/>
  <c r="Y1676" i="7"/>
  <c r="Y1684" i="7"/>
  <c r="Y1720" i="7"/>
  <c r="Y1749" i="7"/>
  <c r="Y1683" i="7"/>
  <c r="Y1694" i="7"/>
  <c r="Y1824" i="7"/>
  <c r="Y1779" i="7"/>
  <c r="Y1827" i="7"/>
  <c r="Y1822" i="7"/>
  <c r="Y1774" i="7"/>
  <c r="Y1783" i="7"/>
  <c r="Y1743" i="7"/>
  <c r="Y1806" i="7"/>
  <c r="Y1807" i="7"/>
  <c r="Y1778" i="7"/>
  <c r="Y1713" i="7"/>
  <c r="Y1677" i="7"/>
  <c r="Y1812" i="7"/>
  <c r="Y1730" i="7"/>
  <c r="Y1689" i="7"/>
  <c r="Y1696" i="7"/>
  <c r="Y1769" i="7"/>
  <c r="Y1771" i="7"/>
  <c r="Y1801" i="7"/>
  <c r="Y1731" i="7"/>
  <c r="Y1690" i="7"/>
  <c r="Y1723" i="7"/>
  <c r="Y1838" i="7"/>
  <c r="Y1815" i="7"/>
  <c r="Y1678" i="7"/>
  <c r="Y1709" i="7"/>
  <c r="Y1792" i="7"/>
  <c r="Y1674" i="7"/>
  <c r="Y1700" i="7"/>
  <c r="Y1825" i="7"/>
  <c r="Y1711" i="7"/>
  <c r="Y1818" i="7"/>
  <c r="Y1724" i="7"/>
  <c r="Y1725" i="7"/>
  <c r="Y1693" i="7"/>
  <c r="Y1823" i="7"/>
  <c r="Y1799" i="7"/>
  <c r="Y1817" i="7"/>
  <c r="Y1675" i="7"/>
  <c r="Y1833" i="7"/>
  <c r="Y1755" i="7"/>
  <c r="Y1793" i="7"/>
  <c r="Y1841" i="7"/>
  <c r="Y1794" i="7"/>
  <c r="Y1765" i="7"/>
  <c r="Y1695" i="7"/>
  <c r="Y1699" i="7"/>
  <c r="Y1809" i="7"/>
  <c r="Y1797" i="7"/>
  <c r="Y1836" i="7"/>
  <c r="Y1855" i="7"/>
  <c r="Y1781" i="7"/>
  <c r="Y1784" i="7"/>
  <c r="Y1834" i="7"/>
  <c r="Y1716" i="7"/>
  <c r="Y1857" i="7"/>
  <c r="Y1722" i="7"/>
  <c r="Y1808" i="7"/>
  <c r="Y1796" i="7"/>
  <c r="Y1746" i="7"/>
  <c r="Y1849" i="7"/>
  <c r="Y1732" i="7"/>
  <c r="Y1777" i="7"/>
  <c r="Y1839" i="7"/>
  <c r="Y1756" i="7"/>
  <c r="Y1687" i="7"/>
  <c r="Y1759" i="7"/>
  <c r="Y1766" i="7"/>
  <c r="Y1845" i="7"/>
  <c r="Y1752" i="7"/>
  <c r="Y1718" i="7"/>
  <c r="Y1715" i="7"/>
  <c r="Y1751" i="7"/>
  <c r="Y1770" i="7"/>
  <c r="Y1741" i="7"/>
  <c r="Y1780" i="7"/>
  <c r="Y1787" i="7"/>
  <c r="Y1673" i="7"/>
  <c r="Y1704" i="7"/>
  <c r="Y1691" i="7"/>
  <c r="Y1744" i="7"/>
  <c r="Y1736" i="7"/>
  <c r="Y1803" i="7"/>
  <c r="Y1859" i="7"/>
  <c r="Y1835" i="7"/>
  <c r="Y1788" i="7"/>
  <c r="Y1764" i="7"/>
  <c r="Y1686" i="7"/>
  <c r="Y1750" i="7"/>
  <c r="Y1826" i="7"/>
  <c r="Y1738" i="7"/>
  <c r="Y1798" i="7"/>
  <c r="Y1763" i="7"/>
  <c r="Y1705" i="7"/>
  <c r="Y1726" i="7"/>
  <c r="Y1790" i="7"/>
  <c r="Y1762" i="7"/>
  <c r="Y1761" i="7"/>
  <c r="Y1821" i="7"/>
  <c r="Y1800" i="7"/>
  <c r="Y1850" i="7"/>
  <c r="Y1767" i="7"/>
  <c r="Y1708" i="7"/>
  <c r="Y1737" i="7"/>
  <c r="Y1840" i="7"/>
  <c r="Y1791" i="7"/>
  <c r="Y1829" i="7"/>
  <c r="Y1727" i="7"/>
  <c r="Y1757" i="7"/>
  <c r="Y1810" i="7"/>
  <c r="Y1740" i="7"/>
  <c r="Y1692" i="7"/>
  <c r="Y1786" i="7"/>
  <c r="Y1775" i="7"/>
  <c r="Y1671" i="7"/>
  <c r="Y1754" i="7"/>
  <c r="Y1785" i="7"/>
  <c r="Y1758" i="7"/>
  <c r="Y1729" i="7"/>
  <c r="Y1816" i="7"/>
  <c r="Y1717" i="7"/>
  <c r="Y1802" i="7"/>
  <c r="Y1698" i="7"/>
  <c r="Y1680" i="7"/>
  <c r="Y1853" i="7"/>
  <c r="Y1805" i="7"/>
  <c r="Y1848" i="7"/>
  <c r="Y1735" i="7"/>
  <c r="Y1748" i="7"/>
  <c r="Y1847" i="7"/>
  <c r="Y1773" i="7"/>
  <c r="Y1768" i="7"/>
  <c r="Y1843" i="7"/>
  <c r="Y1851" i="7"/>
  <c r="Y1776" i="7"/>
  <c r="Y1679" i="7"/>
  <c r="Y1837" i="7"/>
  <c r="Y1782" i="7"/>
  <c r="Y1714" i="7"/>
  <c r="Y1772" i="7"/>
  <c r="Y1753" i="7"/>
  <c r="Y1846" i="7"/>
  <c r="Y1760" i="7"/>
  <c r="Y1830" i="7"/>
  <c r="Y1814" i="7"/>
  <c r="Y1844" i="7"/>
  <c r="Y1672" i="7"/>
  <c r="Y1733" i="7"/>
  <c r="Y1832" i="7"/>
  <c r="Y1854" i="7"/>
  <c r="Y1820" i="7"/>
  <c r="Y1860" i="7"/>
  <c r="Y1863" i="7"/>
  <c r="Y1862" i="7"/>
  <c r="Y1861" i="7"/>
  <c r="Y1866" i="7"/>
  <c r="Y1864" i="7"/>
  <c r="Y1865" i="7"/>
  <c r="Y1867" i="7"/>
  <c r="Y1889" i="7"/>
  <c r="Y1881" i="7"/>
  <c r="Y1884" i="7"/>
  <c r="Y1892" i="7"/>
  <c r="Y1896" i="7"/>
  <c r="Y1903" i="7"/>
  <c r="Y1905" i="7"/>
  <c r="Y1868" i="7"/>
  <c r="Y1869" i="7"/>
  <c r="Y1871" i="7"/>
  <c r="Y1879" i="7"/>
  <c r="Y1900" i="7"/>
  <c r="Y1886" i="7"/>
  <c r="Y1898" i="7"/>
  <c r="Y1894" i="7"/>
  <c r="Y1899" i="7"/>
  <c r="Y1888" i="7"/>
  <c r="Y1877" i="7"/>
  <c r="Y1891" i="7"/>
  <c r="Y1882" i="7"/>
  <c r="Y1870" i="7"/>
  <c r="Y1876" i="7"/>
  <c r="Y1875" i="7"/>
  <c r="Y1908" i="7"/>
  <c r="Y1873" i="7"/>
  <c r="Y1872" i="7"/>
  <c r="Y1878" i="7"/>
  <c r="Y1902" i="7"/>
  <c r="Y1895" i="7"/>
  <c r="Y1893" i="7"/>
  <c r="Y1874" i="7"/>
  <c r="Y1887" i="7"/>
  <c r="Y1904" i="7"/>
  <c r="Y1901" i="7"/>
  <c r="Y1890" i="7"/>
  <c r="Y1880" i="7"/>
  <c r="Y1906" i="7"/>
  <c r="Y1885" i="7"/>
  <c r="Y1897" i="7"/>
  <c r="Y1907" i="7"/>
  <c r="Y1883" i="7"/>
  <c r="Y1910" i="7"/>
  <c r="Y1917" i="7"/>
  <c r="Y1914" i="7"/>
  <c r="Y1909" i="7"/>
  <c r="Y1912" i="7"/>
  <c r="Y1913" i="7"/>
  <c r="Y1915" i="7"/>
  <c r="Y1911" i="7"/>
  <c r="Y1918" i="7"/>
  <c r="Y1916" i="7"/>
  <c r="Y1919" i="7"/>
  <c r="Y1920" i="7"/>
  <c r="Y1922" i="7"/>
  <c r="Y1923" i="7"/>
  <c r="Y1921" i="7"/>
  <c r="Y1924" i="7"/>
  <c r="Y2001" i="7"/>
  <c r="Y1972" i="7"/>
  <c r="Y1973" i="7"/>
  <c r="Y1938" i="7"/>
  <c r="Y1978" i="7"/>
  <c r="Y2023" i="7"/>
  <c r="Y2097" i="7"/>
  <c r="Y2035" i="7"/>
  <c r="Y1950" i="7"/>
  <c r="Y2059" i="7"/>
  <c r="Y2031" i="7"/>
  <c r="Y1984" i="7"/>
  <c r="Y1933" i="7"/>
  <c r="Y2065" i="7"/>
  <c r="Y1944" i="7"/>
  <c r="Y1963" i="7"/>
  <c r="Y2058" i="7"/>
  <c r="Y1989" i="7"/>
  <c r="Y1994" i="7"/>
  <c r="Y2074" i="7"/>
  <c r="Y1929" i="7"/>
  <c r="Y2093" i="7"/>
  <c r="Y1953" i="7"/>
  <c r="Y1939" i="7"/>
  <c r="Y1940" i="7"/>
  <c r="Y2050" i="7"/>
  <c r="Y2075" i="7"/>
  <c r="Y1936" i="7"/>
  <c r="Y1983" i="7"/>
  <c r="Y1955" i="7"/>
  <c r="Y2022" i="7"/>
  <c r="Y2076" i="7"/>
  <c r="Y2046" i="7"/>
  <c r="Y1947" i="7"/>
  <c r="Y2044" i="7"/>
  <c r="Y1942" i="7"/>
  <c r="Y1965" i="7"/>
  <c r="Y1968" i="7"/>
  <c r="Y1931" i="7"/>
  <c r="Y2061" i="7"/>
  <c r="Y1925" i="7"/>
  <c r="Y1941" i="7"/>
  <c r="Y2051" i="7"/>
  <c r="Y1948" i="7"/>
  <c r="Y1996" i="7"/>
  <c r="Y1969" i="7"/>
  <c r="Y2032" i="7"/>
  <c r="Y2041" i="7"/>
  <c r="Y2020" i="7"/>
  <c r="Y1975" i="7"/>
  <c r="Y2016" i="7"/>
  <c r="Y2084" i="7"/>
  <c r="Y2025" i="7"/>
  <c r="Y2095" i="7"/>
  <c r="Y1960" i="7"/>
  <c r="Y2040" i="7"/>
  <c r="Y2013" i="7"/>
  <c r="Y2017" i="7"/>
  <c r="Y1976" i="7"/>
  <c r="Y2006" i="7"/>
  <c r="Y1961" i="7"/>
  <c r="Y2000" i="7"/>
  <c r="Y2082" i="7"/>
  <c r="Y2033" i="7"/>
  <c r="Y2063" i="7"/>
  <c r="Y2012" i="7"/>
  <c r="Y2011" i="7"/>
  <c r="Y2067" i="7"/>
  <c r="Y2055" i="7"/>
  <c r="Y2072" i="7"/>
  <c r="Y1935" i="7"/>
  <c r="Y1957" i="7"/>
  <c r="Y1959" i="7"/>
  <c r="Y2034" i="7"/>
  <c r="Y2089" i="7"/>
  <c r="Y1956" i="7"/>
  <c r="Y2057" i="7"/>
  <c r="Y1999" i="7"/>
  <c r="Y2030" i="7"/>
  <c r="Y2027" i="7"/>
  <c r="Y1927" i="7"/>
  <c r="Y1990" i="7"/>
  <c r="Y2048" i="7"/>
  <c r="Y1991" i="7"/>
  <c r="Y2071" i="7"/>
  <c r="Y2060" i="7"/>
  <c r="Y2049" i="7"/>
  <c r="Y2066" i="7"/>
  <c r="Y2003" i="7"/>
  <c r="Y2002" i="7"/>
  <c r="Y1988" i="7"/>
  <c r="Y2094" i="7"/>
  <c r="Y1952" i="7"/>
  <c r="Y2026" i="7"/>
  <c r="Y1997" i="7"/>
  <c r="Y1995" i="7"/>
  <c r="Y1937" i="7"/>
  <c r="Y1971" i="7"/>
  <c r="Y2019" i="7"/>
  <c r="Y2098" i="7"/>
  <c r="Y2037" i="7"/>
  <c r="Y1986" i="7"/>
  <c r="Y2038" i="7"/>
  <c r="Y1979" i="7"/>
  <c r="Y2008" i="7"/>
  <c r="Y1945" i="7"/>
  <c r="Y2014" i="7"/>
  <c r="Y2018" i="7"/>
  <c r="Y1993" i="7"/>
  <c r="Y2070" i="7"/>
  <c r="Y1949" i="7"/>
  <c r="Y2010" i="7"/>
  <c r="Y1932" i="7"/>
  <c r="Y1977" i="7"/>
  <c r="Y1946" i="7"/>
  <c r="Y2096" i="7"/>
  <c r="Y1992" i="7"/>
  <c r="Y2052" i="7"/>
  <c r="Y2053" i="7"/>
  <c r="Y2028" i="7"/>
  <c r="Y2009" i="7"/>
  <c r="Y1966" i="7"/>
  <c r="Y1998" i="7"/>
  <c r="Y1958" i="7"/>
  <c r="Y1951" i="7"/>
  <c r="Y2004" i="7"/>
  <c r="Y2054" i="7"/>
  <c r="Y2079" i="7"/>
  <c r="Y1964" i="7"/>
  <c r="Y1943" i="7"/>
  <c r="Y1980" i="7"/>
  <c r="Y2068" i="7"/>
  <c r="Y2042" i="7"/>
  <c r="Y2039" i="7"/>
  <c r="Y1928" i="7"/>
  <c r="Y2043" i="7"/>
  <c r="Y2007" i="7"/>
  <c r="Y2091" i="7"/>
  <c r="Y2024" i="7"/>
  <c r="Y1954" i="7"/>
  <c r="Y2087" i="7"/>
  <c r="Y2088" i="7"/>
  <c r="Y1970" i="7"/>
  <c r="Y2081" i="7"/>
  <c r="Y1926" i="7"/>
  <c r="Y2077" i="7"/>
  <c r="Y2047" i="7"/>
  <c r="Y1934" i="7"/>
  <c r="Y2015" i="7"/>
  <c r="Y1985" i="7"/>
  <c r="Y2083" i="7"/>
  <c r="Y2086" i="7"/>
  <c r="Y2099" i="7"/>
  <c r="Y2056" i="7"/>
  <c r="Y2090" i="7"/>
  <c r="Y2062" i="7"/>
  <c r="Y2073" i="7"/>
  <c r="Y2045" i="7"/>
  <c r="Y2080" i="7"/>
  <c r="Y2085" i="7"/>
  <c r="Y1930" i="7"/>
  <c r="Y2064" i="7"/>
  <c r="Y2078" i="7"/>
  <c r="Y2029" i="7"/>
  <c r="Y1981" i="7"/>
  <c r="Y1962" i="7"/>
  <c r="Y2005" i="7"/>
  <c r="Y1974" i="7"/>
  <c r="Y1982" i="7"/>
  <c r="Y2036" i="7"/>
  <c r="Y2021" i="7"/>
  <c r="Y2069" i="7"/>
  <c r="Y1987" i="7"/>
  <c r="Y2092" i="7"/>
  <c r="Y1967" i="7"/>
  <c r="Y2100" i="7"/>
  <c r="Y2102" i="7"/>
  <c r="Y2103" i="7"/>
  <c r="Y2101" i="7"/>
  <c r="Y2104" i="7"/>
  <c r="Y2105" i="7"/>
  <c r="Y2107" i="7"/>
  <c r="Y2109" i="7"/>
  <c r="Y2106" i="7"/>
  <c r="Y2108" i="7"/>
  <c r="Y2111" i="7"/>
  <c r="Y2115" i="7"/>
  <c r="Y2113" i="7"/>
  <c r="Y2110" i="7"/>
  <c r="Y2116" i="7"/>
  <c r="Y2112" i="7"/>
  <c r="Y2114" i="7"/>
  <c r="Y2121" i="7"/>
  <c r="Y2119" i="7"/>
  <c r="Y2118" i="7"/>
  <c r="Y2120" i="7"/>
  <c r="Y2117" i="7"/>
  <c r="Y2202" i="7"/>
  <c r="Y2197" i="7"/>
  <c r="Y2201" i="7"/>
  <c r="Y2146" i="7"/>
  <c r="Y2166" i="7"/>
  <c r="Y2174" i="7"/>
  <c r="Y2149" i="7"/>
  <c r="Y2147" i="7"/>
  <c r="Y2163" i="7"/>
  <c r="Y2158" i="7"/>
  <c r="Y2134" i="7"/>
  <c r="Y2168" i="7"/>
  <c r="Y2124" i="7"/>
  <c r="Y2137" i="7"/>
  <c r="Y2155" i="7"/>
  <c r="Y2152" i="7"/>
  <c r="Y2157" i="7"/>
  <c r="Y2126" i="7"/>
  <c r="Y2139" i="7"/>
  <c r="Y2179" i="7"/>
  <c r="Y2161" i="7"/>
  <c r="Y2199" i="7"/>
  <c r="Y2150" i="7"/>
  <c r="Y2169" i="7"/>
  <c r="Y2128" i="7"/>
  <c r="Y2140" i="7"/>
  <c r="Y2170" i="7"/>
  <c r="Y2192" i="7"/>
  <c r="Y2130" i="7"/>
  <c r="Y2144" i="7"/>
  <c r="Y2180" i="7"/>
  <c r="Y2200" i="7"/>
  <c r="Y2196" i="7"/>
  <c r="Y2135" i="7"/>
  <c r="Y2173" i="7"/>
  <c r="Y2181" i="7"/>
  <c r="Y2151" i="7"/>
  <c r="Y2160" i="7"/>
  <c r="Y2142" i="7"/>
  <c r="Y2185" i="7"/>
  <c r="Y2184" i="7"/>
  <c r="Y2125" i="7"/>
  <c r="Y2176" i="7"/>
  <c r="Y2159" i="7"/>
  <c r="Y2138" i="7"/>
  <c r="Y2129" i="7"/>
  <c r="Y2191" i="7"/>
  <c r="Y2167" i="7"/>
  <c r="Y2165" i="7"/>
  <c r="Y2198" i="7"/>
  <c r="Y2182" i="7"/>
  <c r="Y2177" i="7"/>
  <c r="Y2171" i="7"/>
  <c r="Y2136" i="7"/>
  <c r="Y2127" i="7"/>
  <c r="Y2154" i="7"/>
  <c r="Y2141" i="7"/>
  <c r="Y2164" i="7"/>
  <c r="Y2143" i="7"/>
  <c r="Y2133" i="7"/>
  <c r="Y2194" i="7"/>
  <c r="Y2131" i="7"/>
  <c r="Y2186" i="7"/>
  <c r="Y2172" i="7"/>
  <c r="Y2193" i="7"/>
  <c r="Y2183" i="7"/>
  <c r="Y2122" i="7"/>
  <c r="Y2195" i="7"/>
  <c r="Y2123" i="7"/>
  <c r="Y2190" i="7"/>
  <c r="Y2162" i="7"/>
  <c r="Y2148" i="7"/>
  <c r="Y2175" i="7"/>
  <c r="Y2178" i="7"/>
  <c r="Y2188" i="7"/>
  <c r="Y2132" i="7"/>
  <c r="Y2189" i="7"/>
  <c r="Y2187" i="7"/>
  <c r="Y2145" i="7"/>
  <c r="Y2156" i="7"/>
  <c r="Y2153" i="7"/>
  <c r="Y2205" i="7"/>
  <c r="Y2203" i="7"/>
  <c r="Y2204" i="7"/>
  <c r="Y2206" i="7"/>
  <c r="Y2207" i="7"/>
  <c r="Y2208" i="7"/>
  <c r="Y2210" i="7"/>
  <c r="Y2209" i="7"/>
  <c r="Y2211" i="7"/>
  <c r="Y2226" i="7"/>
  <c r="Y2217" i="7"/>
  <c r="Y2216" i="7"/>
  <c r="Y2220" i="7"/>
  <c r="Y2213" i="7"/>
  <c r="Y2224" i="7"/>
  <c r="Y2222" i="7"/>
  <c r="Y2223" i="7"/>
  <c r="Y2212" i="7"/>
  <c r="Y2225" i="7"/>
  <c r="Y2214" i="7"/>
  <c r="Y2219" i="7"/>
  <c r="Y2227" i="7"/>
  <c r="Y2221" i="7"/>
  <c r="Y2218" i="7"/>
  <c r="Y2215" i="7"/>
  <c r="Y2229" i="7"/>
  <c r="Y2228" i="7"/>
  <c r="Y2230" i="7"/>
  <c r="Y2231" i="7"/>
  <c r="Y2232" i="7"/>
  <c r="Y2233" i="7"/>
  <c r="Y2236" i="7"/>
  <c r="Y2234" i="7"/>
  <c r="Y2235" i="7"/>
  <c r="Y2243" i="7"/>
  <c r="Y2245" i="7"/>
  <c r="Y2238" i="7"/>
  <c r="Y2240" i="7"/>
  <c r="Y2255" i="7"/>
  <c r="Y2247" i="7"/>
  <c r="Y2239" i="7"/>
  <c r="Y2249" i="7"/>
  <c r="Y2254" i="7"/>
  <c r="Y2244" i="7"/>
  <c r="Y2248" i="7"/>
  <c r="Y2250" i="7"/>
  <c r="Y2256" i="7"/>
  <c r="Y2241" i="7"/>
  <c r="Y2237" i="7"/>
  <c r="Y2246" i="7"/>
  <c r="Y2253" i="7"/>
  <c r="Y2242" i="7"/>
  <c r="Y2252" i="7"/>
  <c r="Y2251" i="7"/>
  <c r="Y2258" i="7"/>
  <c r="Y2259" i="7"/>
  <c r="Y2257" i="7"/>
  <c r="Y2260" i="7"/>
  <c r="Y2261" i="7"/>
  <c r="Y2262" i="7"/>
  <c r="Y2263" i="7"/>
  <c r="Y2265" i="7"/>
  <c r="Y2264" i="7"/>
  <c r="Y2266" i="7"/>
  <c r="Y2267" i="7"/>
  <c r="Y2269" i="7"/>
  <c r="Y2270" i="7"/>
  <c r="Y2268" i="7"/>
  <c r="Y2271" i="7"/>
  <c r="Y2273" i="7"/>
  <c r="Y2272" i="7"/>
  <c r="Y2275" i="7"/>
  <c r="Y2274" i="7"/>
  <c r="Y2277" i="7"/>
  <c r="Y2276" i="7"/>
  <c r="Y2279" i="7"/>
  <c r="Y2278" i="7"/>
  <c r="Y2280" i="7"/>
  <c r="Y2281" i="7"/>
  <c r="Y2282" i="7"/>
  <c r="Y2283" i="7"/>
  <c r="V4" i="7"/>
  <c r="V3" i="7"/>
  <c r="V6" i="7"/>
  <c r="V5" i="7"/>
  <c r="V7" i="7"/>
  <c r="V2" i="7"/>
  <c r="V8" i="7"/>
  <c r="V9" i="7"/>
  <c r="V10" i="7"/>
  <c r="V11" i="7"/>
  <c r="V12" i="7"/>
  <c r="V13" i="7"/>
  <c r="V14" i="7"/>
  <c r="V15" i="7"/>
  <c r="V16" i="7"/>
  <c r="V17" i="7"/>
  <c r="V19" i="7"/>
  <c r="V18" i="7"/>
  <c r="V20" i="7"/>
  <c r="V21" i="7"/>
  <c r="V23" i="7"/>
  <c r="V22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7" i="7"/>
  <c r="V46" i="7"/>
  <c r="V45" i="7"/>
  <c r="V44" i="7"/>
  <c r="V54" i="7"/>
  <c r="V52" i="7"/>
  <c r="V50" i="7"/>
  <c r="V48" i="7"/>
  <c r="V51" i="7"/>
  <c r="V53" i="7"/>
  <c r="V49" i="7"/>
  <c r="V57" i="7"/>
  <c r="V59" i="7"/>
  <c r="V58" i="7"/>
  <c r="V56" i="7"/>
  <c r="V55" i="7"/>
  <c r="V66" i="7"/>
  <c r="V65" i="7"/>
  <c r="V64" i="7"/>
  <c r="V63" i="7"/>
  <c r="V62" i="7"/>
  <c r="V61" i="7"/>
  <c r="V60" i="7"/>
  <c r="V69" i="7"/>
  <c r="V70" i="7"/>
  <c r="V67" i="7"/>
  <c r="V68" i="7"/>
  <c r="V92" i="7"/>
  <c r="V88" i="7"/>
  <c r="V87" i="7"/>
  <c r="V89" i="7"/>
  <c r="V91" i="7"/>
  <c r="V80" i="7"/>
  <c r="V82" i="7"/>
  <c r="V94" i="7"/>
  <c r="V90" i="7"/>
  <c r="V79" i="7"/>
  <c r="V81" i="7"/>
  <c r="V93" i="7"/>
  <c r="V85" i="7"/>
  <c r="V83" i="7"/>
  <c r="V84" i="7"/>
  <c r="V86" i="7"/>
  <c r="V76" i="7"/>
  <c r="V78" i="7"/>
  <c r="V77" i="7"/>
  <c r="V73" i="7"/>
  <c r="V74" i="7"/>
  <c r="V75" i="7"/>
  <c r="V72" i="7"/>
  <c r="V71" i="7"/>
  <c r="V96" i="7"/>
  <c r="V97" i="7"/>
  <c r="V95" i="7"/>
  <c r="V98" i="7"/>
  <c r="V99" i="7"/>
  <c r="V100" i="7"/>
  <c r="V102" i="7"/>
  <c r="V105" i="7"/>
  <c r="V104" i="7"/>
  <c r="V103" i="7"/>
  <c r="V101" i="7"/>
  <c r="V108" i="7"/>
  <c r="V109" i="7"/>
  <c r="V107" i="7"/>
  <c r="V111" i="7"/>
  <c r="V112" i="7"/>
  <c r="V110" i="7"/>
  <c r="V106" i="7"/>
  <c r="V116" i="7"/>
  <c r="V114" i="7"/>
  <c r="V113" i="7"/>
  <c r="V115" i="7"/>
  <c r="V117" i="7"/>
  <c r="V119" i="7"/>
  <c r="V120" i="7"/>
  <c r="V118" i="7"/>
  <c r="V124" i="7"/>
  <c r="V123" i="7"/>
  <c r="V121" i="7"/>
  <c r="V122" i="7"/>
  <c r="V126" i="7"/>
  <c r="V125" i="7"/>
  <c r="V127" i="7"/>
  <c r="V128" i="7"/>
  <c r="V129" i="7"/>
  <c r="V130" i="7"/>
  <c r="V131" i="7"/>
  <c r="V132" i="7"/>
  <c r="V135" i="7"/>
  <c r="V133" i="7"/>
  <c r="V134" i="7"/>
  <c r="V137" i="7"/>
  <c r="V139" i="7"/>
  <c r="V138" i="7"/>
  <c r="V136" i="7"/>
  <c r="V144" i="7"/>
  <c r="V141" i="7"/>
  <c r="V140" i="7"/>
  <c r="V145" i="7"/>
  <c r="V143" i="7"/>
  <c r="V142" i="7"/>
  <c r="V147" i="7"/>
  <c r="V146" i="7"/>
  <c r="V148" i="7"/>
  <c r="V150" i="7"/>
  <c r="V154" i="7"/>
  <c r="V156" i="7"/>
  <c r="V155" i="7"/>
  <c r="V183" i="7"/>
  <c r="V182" i="7"/>
  <c r="V167" i="7"/>
  <c r="V157" i="7"/>
  <c r="V179" i="7"/>
  <c r="V178" i="7"/>
  <c r="V152" i="7"/>
  <c r="V168" i="7"/>
  <c r="V174" i="7"/>
  <c r="V172" i="7"/>
  <c r="V153" i="7"/>
  <c r="V171" i="7"/>
  <c r="V177" i="7"/>
  <c r="V163" i="7"/>
  <c r="V170" i="7"/>
  <c r="V173" i="7"/>
  <c r="V175" i="7"/>
  <c r="V164" i="7"/>
  <c r="V166" i="7"/>
  <c r="V165" i="7"/>
  <c r="V184" i="7"/>
  <c r="V180" i="7"/>
  <c r="V185" i="7"/>
  <c r="V162" i="7"/>
  <c r="V151" i="7"/>
  <c r="V149" i="7"/>
  <c r="V161" i="7"/>
  <c r="V176" i="7"/>
  <c r="V158" i="7"/>
  <c r="V181" i="7"/>
  <c r="V159" i="7"/>
  <c r="V160" i="7"/>
  <c r="V169" i="7"/>
  <c r="V189" i="7"/>
  <c r="V196" i="7"/>
  <c r="V197" i="7"/>
  <c r="V194" i="7"/>
  <c r="V192" i="7"/>
  <c r="V190" i="7"/>
  <c r="V193" i="7"/>
  <c r="V187" i="7"/>
  <c r="V186" i="7"/>
  <c r="V195" i="7"/>
  <c r="V191" i="7"/>
  <c r="V188" i="7"/>
  <c r="V199" i="7"/>
  <c r="V198" i="7"/>
  <c r="V201" i="7"/>
  <c r="V202" i="7"/>
  <c r="V200" i="7"/>
  <c r="V205" i="7"/>
  <c r="V206" i="7"/>
  <c r="V207" i="7"/>
  <c r="V208" i="7"/>
  <c r="V203" i="7"/>
  <c r="V204" i="7"/>
  <c r="V210" i="7"/>
  <c r="V209" i="7"/>
  <c r="V212" i="7"/>
  <c r="V211" i="7"/>
  <c r="V213" i="7"/>
  <c r="V214" i="7"/>
  <c r="V218" i="7"/>
  <c r="V236" i="7"/>
  <c r="V230" i="7"/>
  <c r="V215" i="7"/>
  <c r="V219" i="7"/>
  <c r="V228" i="7"/>
  <c r="V231" i="7"/>
  <c r="V222" i="7"/>
  <c r="V216" i="7"/>
  <c r="V220" i="7"/>
  <c r="V221" i="7"/>
  <c r="V217" i="7"/>
  <c r="V227" i="7"/>
  <c r="V224" i="7"/>
  <c r="V225" i="7"/>
  <c r="V226" i="7"/>
  <c r="V229" i="7"/>
  <c r="V223" i="7"/>
  <c r="V237" i="7"/>
  <c r="V233" i="7"/>
  <c r="V235" i="7"/>
  <c r="V234" i="7"/>
  <c r="V238" i="7"/>
  <c r="V232" i="7"/>
  <c r="V240" i="7"/>
  <c r="V239" i="7"/>
  <c r="V245" i="7"/>
  <c r="V242" i="7"/>
  <c r="V244" i="7"/>
  <c r="V241" i="7"/>
  <c r="V243" i="7"/>
  <c r="V247" i="7"/>
  <c r="V252" i="7"/>
  <c r="V249" i="7"/>
  <c r="V251" i="7"/>
  <c r="V250" i="7"/>
  <c r="V255" i="7"/>
  <c r="V246" i="7"/>
  <c r="V258" i="7"/>
  <c r="V248" i="7"/>
  <c r="V256" i="7"/>
  <c r="V257" i="7"/>
  <c r="V254" i="7"/>
  <c r="V253" i="7"/>
  <c r="V262" i="7"/>
  <c r="V261" i="7"/>
  <c r="V260" i="7"/>
  <c r="V259" i="7"/>
  <c r="V264" i="7"/>
  <c r="V268" i="7"/>
  <c r="V267" i="7"/>
  <c r="V265" i="7"/>
  <c r="V266" i="7"/>
  <c r="V263" i="7"/>
  <c r="V269" i="7"/>
  <c r="V271" i="7"/>
  <c r="V270" i="7"/>
  <c r="V272" i="7"/>
  <c r="V273" i="7"/>
  <c r="V277" i="7"/>
  <c r="V276" i="7"/>
  <c r="V275" i="7"/>
  <c r="V274" i="7"/>
  <c r="V278" i="7"/>
  <c r="V281" i="7"/>
  <c r="V279" i="7"/>
  <c r="V280" i="7"/>
  <c r="V283" i="7"/>
  <c r="V282" i="7"/>
  <c r="V294" i="7"/>
  <c r="V289" i="7"/>
  <c r="V290" i="7"/>
  <c r="V284" i="7"/>
  <c r="V285" i="7"/>
  <c r="V287" i="7"/>
  <c r="V288" i="7"/>
  <c r="V293" i="7"/>
  <c r="V291" i="7"/>
  <c r="V286" i="7"/>
  <c r="V292" i="7"/>
  <c r="V300" i="7"/>
  <c r="V296" i="7"/>
  <c r="V297" i="7"/>
  <c r="V298" i="7"/>
  <c r="V295" i="7"/>
  <c r="V299" i="7"/>
  <c r="V302" i="7"/>
  <c r="V301" i="7"/>
  <c r="V303" i="7"/>
  <c r="V304" i="7"/>
  <c r="V308" i="7"/>
  <c r="V306" i="7"/>
  <c r="V309" i="7"/>
  <c r="V307" i="7"/>
  <c r="V305" i="7"/>
  <c r="V310" i="7"/>
  <c r="V311" i="7"/>
  <c r="V314" i="7"/>
  <c r="V313" i="7"/>
  <c r="V331" i="7"/>
  <c r="V330" i="7"/>
  <c r="V312" i="7"/>
  <c r="V324" i="7"/>
  <c r="V319" i="7"/>
  <c r="V340" i="7"/>
  <c r="V346" i="7"/>
  <c r="V318" i="7"/>
  <c r="V317" i="7"/>
  <c r="V316" i="7"/>
  <c r="V325" i="7"/>
  <c r="V337" i="7"/>
  <c r="V333" i="7"/>
  <c r="V338" i="7"/>
  <c r="V322" i="7"/>
  <c r="V332" i="7"/>
  <c r="V320" i="7"/>
  <c r="V339" i="7"/>
  <c r="V327" i="7"/>
  <c r="V335" i="7"/>
  <c r="V328" i="7"/>
  <c r="V315" i="7"/>
  <c r="V343" i="7"/>
  <c r="V336" i="7"/>
  <c r="V329" i="7"/>
  <c r="V321" i="7"/>
  <c r="V326" i="7"/>
  <c r="V334" i="7"/>
  <c r="V344" i="7"/>
  <c r="V345" i="7"/>
  <c r="V341" i="7"/>
  <c r="V323" i="7"/>
  <c r="V342" i="7"/>
  <c r="V351" i="7"/>
  <c r="V355" i="7"/>
  <c r="V350" i="7"/>
  <c r="V360" i="7"/>
  <c r="V349" i="7"/>
  <c r="V361" i="7"/>
  <c r="V347" i="7"/>
  <c r="V348" i="7"/>
  <c r="V352" i="7"/>
  <c r="V363" i="7"/>
  <c r="V366" i="7"/>
  <c r="V356" i="7"/>
  <c r="V354" i="7"/>
  <c r="V362" i="7"/>
  <c r="V358" i="7"/>
  <c r="V353" i="7"/>
  <c r="V359" i="7"/>
  <c r="V357" i="7"/>
  <c r="V365" i="7"/>
  <c r="V364" i="7"/>
  <c r="V367" i="7"/>
  <c r="V371" i="7"/>
  <c r="V376" i="7"/>
  <c r="V369" i="7"/>
  <c r="V372" i="7"/>
  <c r="V368" i="7"/>
  <c r="V380" i="7"/>
  <c r="V374" i="7"/>
  <c r="V377" i="7"/>
  <c r="V379" i="7"/>
  <c r="V373" i="7"/>
  <c r="V375" i="7"/>
  <c r="V378" i="7"/>
  <c r="V370" i="7"/>
  <c r="V384" i="7"/>
  <c r="V385" i="7"/>
  <c r="V383" i="7"/>
  <c r="V381" i="7"/>
  <c r="V382" i="7"/>
  <c r="V396" i="7"/>
  <c r="V401" i="7"/>
  <c r="V389" i="7"/>
  <c r="V399" i="7"/>
  <c r="V394" i="7"/>
  <c r="V403" i="7"/>
  <c r="V387" i="7"/>
  <c r="V388" i="7"/>
  <c r="V402" i="7"/>
  <c r="V400" i="7"/>
  <c r="V393" i="7"/>
  <c r="V395" i="7"/>
  <c r="V386" i="7"/>
  <c r="V391" i="7"/>
  <c r="V404" i="7"/>
  <c r="V398" i="7"/>
  <c r="V406" i="7"/>
  <c r="V392" i="7"/>
  <c r="V390" i="7"/>
  <c r="V407" i="7"/>
  <c r="V397" i="7"/>
  <c r="V405" i="7"/>
  <c r="V410" i="7"/>
  <c r="V408" i="7"/>
  <c r="V409" i="7"/>
  <c r="V412" i="7"/>
  <c r="V415" i="7"/>
  <c r="V414" i="7"/>
  <c r="V411" i="7"/>
  <c r="V413" i="7"/>
  <c r="V416" i="7"/>
  <c r="V427" i="7"/>
  <c r="V418" i="7"/>
  <c r="V419" i="7"/>
  <c r="V424" i="7"/>
  <c r="V429" i="7"/>
  <c r="V421" i="7"/>
  <c r="V463" i="7"/>
  <c r="V447" i="7"/>
  <c r="V498" i="7"/>
  <c r="V468" i="7"/>
  <c r="V455" i="7"/>
  <c r="V464" i="7"/>
  <c r="V430" i="7"/>
  <c r="V446" i="7"/>
  <c r="V437" i="7"/>
  <c r="V433" i="7"/>
  <c r="V462" i="7"/>
  <c r="V491" i="7"/>
  <c r="V473" i="7"/>
  <c r="V439" i="7"/>
  <c r="V485" i="7"/>
  <c r="V495" i="7"/>
  <c r="V431" i="7"/>
  <c r="V459" i="7"/>
  <c r="V497" i="7"/>
  <c r="V426" i="7"/>
  <c r="V454" i="7"/>
  <c r="V483" i="7"/>
  <c r="V449" i="7"/>
  <c r="V493" i="7"/>
  <c r="V467" i="7"/>
  <c r="V456" i="7"/>
  <c r="V469" i="7"/>
  <c r="V441" i="7"/>
  <c r="V475" i="7"/>
  <c r="V470" i="7"/>
  <c r="V465" i="7"/>
  <c r="V448" i="7"/>
  <c r="V436" i="7"/>
  <c r="V457" i="7"/>
  <c r="V444" i="7"/>
  <c r="V452" i="7"/>
  <c r="V472" i="7"/>
  <c r="V500" i="7"/>
  <c r="V440" i="7"/>
  <c r="V499" i="7"/>
  <c r="V425" i="7"/>
  <c r="V453" i="7"/>
  <c r="V482" i="7"/>
  <c r="V487" i="7"/>
  <c r="V471" i="7"/>
  <c r="V460" i="7"/>
  <c r="V420" i="7"/>
  <c r="V480" i="7"/>
  <c r="V484" i="7"/>
  <c r="V474" i="7"/>
  <c r="V442" i="7"/>
  <c r="V492" i="7"/>
  <c r="V479" i="7"/>
  <c r="V434" i="7"/>
  <c r="V445" i="7"/>
  <c r="V423" i="7"/>
  <c r="V435" i="7"/>
  <c r="V486" i="7"/>
  <c r="V451" i="7"/>
  <c r="V490" i="7"/>
  <c r="V461" i="7"/>
  <c r="V478" i="7"/>
  <c r="V422" i="7"/>
  <c r="V494" i="7"/>
  <c r="V438" i="7"/>
  <c r="V504" i="7"/>
  <c r="V488" i="7"/>
  <c r="V458" i="7"/>
  <c r="V443" i="7"/>
  <c r="V450" i="7"/>
  <c r="V417" i="7"/>
  <c r="V502" i="7"/>
  <c r="V428" i="7"/>
  <c r="V503" i="7"/>
  <c r="V477" i="7"/>
  <c r="V432" i="7"/>
  <c r="V466" i="7"/>
  <c r="V501" i="7"/>
  <c r="V496" i="7"/>
  <c r="V476" i="7"/>
  <c r="V489" i="7"/>
  <c r="V481" i="7"/>
  <c r="V507" i="7"/>
  <c r="V506" i="7"/>
  <c r="V508" i="7"/>
  <c r="V509" i="7"/>
  <c r="V510" i="7"/>
  <c r="V505" i="7"/>
  <c r="V543" i="7"/>
  <c r="V516" i="7"/>
  <c r="V524" i="7"/>
  <c r="V541" i="7"/>
  <c r="V529" i="7"/>
  <c r="V513" i="7"/>
  <c r="V511" i="7"/>
  <c r="V531" i="7"/>
  <c r="V521" i="7"/>
  <c r="V528" i="7"/>
  <c r="V525" i="7"/>
  <c r="V517" i="7"/>
  <c r="V534" i="7"/>
  <c r="V536" i="7"/>
  <c r="V520" i="7"/>
  <c r="V530" i="7"/>
  <c r="V512" i="7"/>
  <c r="V532" i="7"/>
  <c r="V527" i="7"/>
  <c r="V519" i="7"/>
  <c r="V526" i="7"/>
  <c r="V540" i="7"/>
  <c r="V535" i="7"/>
  <c r="V522" i="7"/>
  <c r="V518" i="7"/>
  <c r="V523" i="7"/>
  <c r="V533" i="7"/>
  <c r="V538" i="7"/>
  <c r="V515" i="7"/>
  <c r="V542" i="7"/>
  <c r="V514" i="7"/>
  <c r="V539" i="7"/>
  <c r="V537" i="7"/>
  <c r="V549" i="7"/>
  <c r="V548" i="7"/>
  <c r="V552" i="7"/>
  <c r="V547" i="7"/>
  <c r="V550" i="7"/>
  <c r="V544" i="7"/>
  <c r="V557" i="7"/>
  <c r="V551" i="7"/>
  <c r="V555" i="7"/>
  <c r="V553" i="7"/>
  <c r="V546" i="7"/>
  <c r="V556" i="7"/>
  <c r="V554" i="7"/>
  <c r="V545" i="7"/>
  <c r="V558" i="7"/>
  <c r="V559" i="7"/>
  <c r="V560" i="7"/>
  <c r="V572" i="7"/>
  <c r="V562" i="7"/>
  <c r="V561" i="7"/>
  <c r="V563" i="7"/>
  <c r="V569" i="7"/>
  <c r="V567" i="7"/>
  <c r="V571" i="7"/>
  <c r="V565" i="7"/>
  <c r="V566" i="7"/>
  <c r="V573" i="7"/>
  <c r="V570" i="7"/>
  <c r="V564" i="7"/>
  <c r="V568" i="7"/>
  <c r="V675" i="7"/>
  <c r="V580" i="7"/>
  <c r="V646" i="7"/>
  <c r="V597" i="7"/>
  <c r="V636" i="7"/>
  <c r="V631" i="7"/>
  <c r="V584" i="7"/>
  <c r="V600" i="7"/>
  <c r="V585" i="7"/>
  <c r="V594" i="7"/>
  <c r="V671" i="7"/>
  <c r="V587" i="7"/>
  <c r="V619" i="7"/>
  <c r="V662" i="7"/>
  <c r="V663" i="7"/>
  <c r="V610" i="7"/>
  <c r="V589" i="7"/>
  <c r="V618" i="7"/>
  <c r="V639" i="7"/>
  <c r="V582" i="7"/>
  <c r="V697" i="7"/>
  <c r="V657" i="7"/>
  <c r="V627" i="7"/>
  <c r="V602" i="7"/>
  <c r="V612" i="7"/>
  <c r="V668" i="7"/>
  <c r="V686" i="7"/>
  <c r="V579" i="7"/>
  <c r="V626" i="7"/>
  <c r="V625" i="7"/>
  <c r="V595" i="7"/>
  <c r="V674" i="7"/>
  <c r="V577" i="7"/>
  <c r="V604" i="7"/>
  <c r="V574" i="7"/>
  <c r="V647" i="7"/>
  <c r="V684" i="7"/>
  <c r="V588" i="7"/>
  <c r="V615" i="7"/>
  <c r="V649" i="7"/>
  <c r="V645" i="7"/>
  <c r="V606" i="7"/>
  <c r="V621" i="7"/>
  <c r="V581" i="7"/>
  <c r="V591" i="7"/>
  <c r="V576" i="7"/>
  <c r="V596" i="7"/>
  <c r="V628" i="7"/>
  <c r="V683" i="7"/>
  <c r="V623" i="7"/>
  <c r="V677" i="7"/>
  <c r="V611" i="7"/>
  <c r="V689" i="7"/>
  <c r="V661" i="7"/>
  <c r="V642" i="7"/>
  <c r="V664" i="7"/>
  <c r="V658" i="7"/>
  <c r="V678" i="7"/>
  <c r="V670" i="7"/>
  <c r="V695" i="7"/>
  <c r="V601" i="7"/>
  <c r="V603" i="7"/>
  <c r="V624" i="7"/>
  <c r="V607" i="7"/>
  <c r="V680" i="7"/>
  <c r="V630" i="7"/>
  <c r="V660" i="7"/>
  <c r="V648" i="7"/>
  <c r="V605" i="7"/>
  <c r="V690" i="7"/>
  <c r="V693" i="7"/>
  <c r="V593" i="7"/>
  <c r="V608" i="7"/>
  <c r="V676" i="7"/>
  <c r="V578" i="7"/>
  <c r="V632" i="7"/>
  <c r="V653" i="7"/>
  <c r="V640" i="7"/>
  <c r="V616" i="7"/>
  <c r="V599" i="7"/>
  <c r="V614" i="7"/>
  <c r="V638" i="7"/>
  <c r="V659" i="7"/>
  <c r="V665" i="7"/>
  <c r="V575" i="7"/>
  <c r="V673" i="7"/>
  <c r="V669" i="7"/>
  <c r="V622" i="7"/>
  <c r="V650" i="7"/>
  <c r="V682" i="7"/>
  <c r="V691" i="7"/>
  <c r="V644" i="7"/>
  <c r="V609" i="7"/>
  <c r="V652" i="7"/>
  <c r="V656" i="7"/>
  <c r="V592" i="7"/>
  <c r="V651" i="7"/>
  <c r="V598" i="7"/>
  <c r="V688" i="7"/>
  <c r="V637" i="7"/>
  <c r="V617" i="7"/>
  <c r="V613" i="7"/>
  <c r="V667" i="7"/>
  <c r="V590" i="7"/>
  <c r="V641" i="7"/>
  <c r="V635" i="7"/>
  <c r="V654" i="7"/>
  <c r="V655" i="7"/>
  <c r="V679" i="7"/>
  <c r="V666" i="7"/>
  <c r="V687" i="7"/>
  <c r="V643" i="7"/>
  <c r="V692" i="7"/>
  <c r="V634" i="7"/>
  <c r="V694" i="7"/>
  <c r="V586" i="7"/>
  <c r="V672" i="7"/>
  <c r="V685" i="7"/>
  <c r="V696" i="7"/>
  <c r="V629" i="7"/>
  <c r="V620" i="7"/>
  <c r="V633" i="7"/>
  <c r="V583" i="7"/>
  <c r="V681" i="7"/>
  <c r="V700" i="7"/>
  <c r="V710" i="7"/>
  <c r="V708" i="7"/>
  <c r="V706" i="7"/>
  <c r="V703" i="7"/>
  <c r="V699" i="7"/>
  <c r="V707" i="7"/>
  <c r="V711" i="7"/>
  <c r="V704" i="7"/>
  <c r="V698" i="7"/>
  <c r="V705" i="7"/>
  <c r="V702" i="7"/>
  <c r="V709" i="7"/>
  <c r="V701" i="7"/>
  <c r="V716" i="7"/>
  <c r="V713" i="7"/>
  <c r="V719" i="7"/>
  <c r="V717" i="7"/>
  <c r="V720" i="7"/>
  <c r="V718" i="7"/>
  <c r="V714" i="7"/>
  <c r="V712" i="7"/>
  <c r="V715" i="7"/>
  <c r="V724" i="7"/>
  <c r="V723" i="7"/>
  <c r="V721" i="7"/>
  <c r="V731" i="7"/>
  <c r="V726" i="7"/>
  <c r="V734" i="7"/>
  <c r="V730" i="7"/>
  <c r="V736" i="7"/>
  <c r="V727" i="7"/>
  <c r="V733" i="7"/>
  <c r="V728" i="7"/>
  <c r="V735" i="7"/>
  <c r="V737" i="7"/>
  <c r="V722" i="7"/>
  <c r="V729" i="7"/>
  <c r="V725" i="7"/>
  <c r="V732" i="7"/>
  <c r="V741" i="7"/>
  <c r="V739" i="7"/>
  <c r="V740" i="7"/>
  <c r="V738" i="7"/>
  <c r="V742" i="7"/>
  <c r="V743" i="7"/>
  <c r="V821" i="7"/>
  <c r="V842" i="7"/>
  <c r="V875" i="7"/>
  <c r="V809" i="7"/>
  <c r="V804" i="7"/>
  <c r="V871" i="7"/>
  <c r="V880" i="7"/>
  <c r="V788" i="7"/>
  <c r="V783" i="7"/>
  <c r="V749" i="7"/>
  <c r="V772" i="7"/>
  <c r="V759" i="7"/>
  <c r="V807" i="7"/>
  <c r="V884" i="7"/>
  <c r="V756" i="7"/>
  <c r="V796" i="7"/>
  <c r="V775" i="7"/>
  <c r="V771" i="7"/>
  <c r="V857" i="7"/>
  <c r="V770" i="7"/>
  <c r="V885" i="7"/>
  <c r="V888" i="7"/>
  <c r="V791" i="7"/>
  <c r="V913" i="7"/>
  <c r="V921" i="7"/>
  <c r="V816" i="7"/>
  <c r="V818" i="7"/>
  <c r="V805" i="7"/>
  <c r="V941" i="7"/>
  <c r="V851" i="7"/>
  <c r="V830" i="7"/>
  <c r="V933" i="7"/>
  <c r="V765" i="7"/>
  <c r="V752" i="7"/>
  <c r="V894" i="7"/>
  <c r="V912" i="7"/>
  <c r="V898" i="7"/>
  <c r="V882" i="7"/>
  <c r="V757" i="7"/>
  <c r="V877" i="7"/>
  <c r="V940" i="7"/>
  <c r="V929" i="7"/>
  <c r="V826" i="7"/>
  <c r="V841" i="7"/>
  <c r="V862" i="7"/>
  <c r="V774" i="7"/>
  <c r="V837" i="7"/>
  <c r="V900" i="7"/>
  <c r="V918" i="7"/>
  <c r="V874" i="7"/>
  <c r="V764" i="7"/>
  <c r="V840" i="7"/>
  <c r="V803" i="7"/>
  <c r="V789" i="7"/>
  <c r="V839" i="7"/>
  <c r="V762" i="7"/>
  <c r="V754" i="7"/>
  <c r="V760" i="7"/>
  <c r="V787" i="7"/>
  <c r="V781" i="7"/>
  <c r="V825" i="7"/>
  <c r="V864" i="7"/>
  <c r="V911" i="7"/>
  <c r="V850" i="7"/>
  <c r="V903" i="7"/>
  <c r="V848" i="7"/>
  <c r="V790" i="7"/>
  <c r="V815" i="7"/>
  <c r="V916" i="7"/>
  <c r="V822" i="7"/>
  <c r="V801" i="7"/>
  <c r="V838" i="7"/>
  <c r="V844" i="7"/>
  <c r="V932" i="7"/>
  <c r="V899" i="7"/>
  <c r="V744" i="7"/>
  <c r="V907" i="7"/>
  <c r="V800" i="7"/>
  <c r="V901" i="7"/>
  <c r="V811" i="7"/>
  <c r="V858" i="7"/>
  <c r="V753" i="7"/>
  <c r="V776" i="7"/>
  <c r="V845" i="7"/>
  <c r="V814" i="7"/>
  <c r="V887" i="7"/>
  <c r="V906" i="7"/>
  <c r="V780" i="7"/>
  <c r="V778" i="7"/>
  <c r="V794" i="7"/>
  <c r="V748" i="7"/>
  <c r="V891" i="7"/>
  <c r="V779" i="7"/>
  <c r="V865" i="7"/>
  <c r="V902" i="7"/>
  <c r="V820" i="7"/>
  <c r="V866" i="7"/>
  <c r="V828" i="7"/>
  <c r="V919" i="7"/>
  <c r="V824" i="7"/>
  <c r="V768" i="7"/>
  <c r="V879" i="7"/>
  <c r="V782" i="7"/>
  <c r="V755" i="7"/>
  <c r="V846" i="7"/>
  <c r="V769" i="7"/>
  <c r="V834" i="7"/>
  <c r="V832" i="7"/>
  <c r="V758" i="7"/>
  <c r="V854" i="7"/>
  <c r="V878" i="7"/>
  <c r="V773" i="7"/>
  <c r="V895" i="7"/>
  <c r="V896" i="7"/>
  <c r="V923" i="7"/>
  <c r="V930" i="7"/>
  <c r="V936" i="7"/>
  <c r="V836" i="7"/>
  <c r="V806" i="7"/>
  <c r="V763" i="7"/>
  <c r="V767" i="7"/>
  <c r="V925" i="7"/>
  <c r="V926" i="7"/>
  <c r="V793" i="7"/>
  <c r="V859" i="7"/>
  <c r="V917" i="7"/>
  <c r="V798" i="7"/>
  <c r="V819" i="7"/>
  <c r="V829" i="7"/>
  <c r="V927" i="7"/>
  <c r="V928" i="7"/>
  <c r="V872" i="7"/>
  <c r="V817" i="7"/>
  <c r="V867" i="7"/>
  <c r="V777" i="7"/>
  <c r="V876" i="7"/>
  <c r="V843" i="7"/>
  <c r="V915" i="7"/>
  <c r="V808" i="7"/>
  <c r="V751" i="7"/>
  <c r="V792" i="7"/>
  <c r="V914" i="7"/>
  <c r="V897" i="7"/>
  <c r="V873" i="7"/>
  <c r="V766" i="7"/>
  <c r="V761" i="7"/>
  <c r="V802" i="7"/>
  <c r="V886" i="7"/>
  <c r="V868" i="7"/>
  <c r="V849" i="7"/>
  <c r="V795" i="7"/>
  <c r="V883" i="7"/>
  <c r="V823" i="7"/>
  <c r="V827" i="7"/>
  <c r="V810" i="7"/>
  <c r="V908" i="7"/>
  <c r="V938" i="7"/>
  <c r="V813" i="7"/>
  <c r="V784" i="7"/>
  <c r="V890" i="7"/>
  <c r="V892" i="7"/>
  <c r="V889" i="7"/>
  <c r="V905" i="7"/>
  <c r="V747" i="7"/>
  <c r="V935" i="7"/>
  <c r="V861" i="7"/>
  <c r="V835" i="7"/>
  <c r="V922" i="7"/>
  <c r="V797" i="7"/>
  <c r="V799" i="7"/>
  <c r="V856" i="7"/>
  <c r="V931" i="7"/>
  <c r="V831" i="7"/>
  <c r="V881" i="7"/>
  <c r="V860" i="7"/>
  <c r="V746" i="7"/>
  <c r="V937" i="7"/>
  <c r="V750" i="7"/>
  <c r="V847" i="7"/>
  <c r="V904" i="7"/>
  <c r="V869" i="7"/>
  <c r="V855" i="7"/>
  <c r="V863" i="7"/>
  <c r="V870" i="7"/>
  <c r="V910" i="7"/>
  <c r="V853" i="7"/>
  <c r="V786" i="7"/>
  <c r="V939" i="7"/>
  <c r="V920" i="7"/>
  <c r="V785" i="7"/>
  <c r="V934" i="7"/>
  <c r="V893" i="7"/>
  <c r="V833" i="7"/>
  <c r="V745" i="7"/>
  <c r="V924" i="7"/>
  <c r="V812" i="7"/>
  <c r="V909" i="7"/>
  <c r="V852" i="7"/>
  <c r="V955" i="7"/>
  <c r="V956" i="7"/>
  <c r="V950" i="7"/>
  <c r="V949" i="7"/>
  <c r="V952" i="7"/>
  <c r="V942" i="7"/>
  <c r="V945" i="7"/>
  <c r="V943" i="7"/>
  <c r="V951" i="7"/>
  <c r="V947" i="7"/>
  <c r="V944" i="7"/>
  <c r="V954" i="7"/>
  <c r="V948" i="7"/>
  <c r="V946" i="7"/>
  <c r="V953" i="7"/>
  <c r="V969" i="7"/>
  <c r="V971" i="7"/>
  <c r="V958" i="7"/>
  <c r="V972" i="7"/>
  <c r="V979" i="7"/>
  <c r="V989" i="7"/>
  <c r="V982" i="7"/>
  <c r="V970" i="7"/>
  <c r="V961" i="7"/>
  <c r="V967" i="7"/>
  <c r="V986" i="7"/>
  <c r="V985" i="7"/>
  <c r="V993" i="7"/>
  <c r="V968" i="7"/>
  <c r="V995" i="7"/>
  <c r="V965" i="7"/>
  <c r="V1001" i="7"/>
  <c r="V976" i="7"/>
  <c r="V973" i="7"/>
  <c r="V984" i="7"/>
  <c r="V998" i="7"/>
  <c r="V987" i="7"/>
  <c r="V960" i="7"/>
  <c r="V975" i="7"/>
  <c r="V966" i="7"/>
  <c r="V996" i="7"/>
  <c r="V990" i="7"/>
  <c r="V992" i="7"/>
  <c r="V997" i="7"/>
  <c r="V994" i="7"/>
  <c r="V977" i="7"/>
  <c r="V964" i="7"/>
  <c r="V974" i="7"/>
  <c r="V963" i="7"/>
  <c r="V978" i="7"/>
  <c r="V999" i="7"/>
  <c r="V988" i="7"/>
  <c r="V962" i="7"/>
  <c r="V980" i="7"/>
  <c r="V983" i="7"/>
  <c r="V959" i="7"/>
  <c r="V1000" i="7"/>
  <c r="V1003" i="7"/>
  <c r="V981" i="7"/>
  <c r="V991" i="7"/>
  <c r="V957" i="7"/>
  <c r="V1002" i="7"/>
  <c r="V1017" i="7"/>
  <c r="V1023" i="7"/>
  <c r="V1006" i="7"/>
  <c r="V1021" i="7"/>
  <c r="V1004" i="7"/>
  <c r="V1010" i="7"/>
  <c r="V1016" i="7"/>
  <c r="V1005" i="7"/>
  <c r="V1012" i="7"/>
  <c r="V1015" i="7"/>
  <c r="V1019" i="7"/>
  <c r="V1014" i="7"/>
  <c r="V1007" i="7"/>
  <c r="V1011" i="7"/>
  <c r="V1020" i="7"/>
  <c r="V1013" i="7"/>
  <c r="V1009" i="7"/>
  <c r="V1008" i="7"/>
  <c r="V1018" i="7"/>
  <c r="V1022" i="7"/>
  <c r="V1029" i="7"/>
  <c r="V1045" i="7"/>
  <c r="V1041" i="7"/>
  <c r="V1035" i="7"/>
  <c r="V1036" i="7"/>
  <c r="V1046" i="7"/>
  <c r="V1034" i="7"/>
  <c r="V1031" i="7"/>
  <c r="V1028" i="7"/>
  <c r="V1048" i="7"/>
  <c r="V1052" i="7"/>
  <c r="V1033" i="7"/>
  <c r="V1044" i="7"/>
  <c r="V1040" i="7"/>
  <c r="V1032" i="7"/>
  <c r="V1030" i="7"/>
  <c r="V1043" i="7"/>
  <c r="V1050" i="7"/>
  <c r="V1038" i="7"/>
  <c r="V1026" i="7"/>
  <c r="V1047" i="7"/>
  <c r="V1039" i="7"/>
  <c r="V1024" i="7"/>
  <c r="V1049" i="7"/>
  <c r="V1037" i="7"/>
  <c r="V1027" i="7"/>
  <c r="V1025" i="7"/>
  <c r="V1051" i="7"/>
  <c r="V1042" i="7"/>
  <c r="V1133" i="7"/>
  <c r="V1077" i="7"/>
  <c r="V1068" i="7"/>
  <c r="V1076" i="7"/>
  <c r="V1158" i="7"/>
  <c r="V1101" i="7"/>
  <c r="V1054" i="7"/>
  <c r="V1130" i="7"/>
  <c r="V1079" i="7"/>
  <c r="V1071" i="7"/>
  <c r="V1097" i="7"/>
  <c r="V1157" i="7"/>
  <c r="V1155" i="7"/>
  <c r="V1117" i="7"/>
  <c r="V1146" i="7"/>
  <c r="V1120" i="7"/>
  <c r="V1112" i="7"/>
  <c r="V1147" i="7"/>
  <c r="V1060" i="7"/>
  <c r="V1074" i="7"/>
  <c r="V1118" i="7"/>
  <c r="V1087" i="7"/>
  <c r="V1062" i="7"/>
  <c r="V1140" i="7"/>
  <c r="V1123" i="7"/>
  <c r="V1131" i="7"/>
  <c r="V1067" i="7"/>
  <c r="V1156" i="7"/>
  <c r="V1113" i="7"/>
  <c r="V1114" i="7"/>
  <c r="V1075" i="7"/>
  <c r="V1127" i="7"/>
  <c r="V1084" i="7"/>
  <c r="V1116" i="7"/>
  <c r="V1070" i="7"/>
  <c r="V1150" i="7"/>
  <c r="V1132" i="7"/>
  <c r="V1065" i="7"/>
  <c r="V1151" i="7"/>
  <c r="V1059" i="7"/>
  <c r="V1056" i="7"/>
  <c r="V1090" i="7"/>
  <c r="V1078" i="7"/>
  <c r="V1105" i="7"/>
  <c r="V1072" i="7"/>
  <c r="V1055" i="7"/>
  <c r="V1098" i="7"/>
  <c r="V1085" i="7"/>
  <c r="V1144" i="7"/>
  <c r="V1107" i="7"/>
  <c r="V1096" i="7"/>
  <c r="V1129" i="7"/>
  <c r="V1135" i="7"/>
  <c r="V1095" i="7"/>
  <c r="V1064" i="7"/>
  <c r="V1134" i="7"/>
  <c r="V1153" i="7"/>
  <c r="V1115" i="7"/>
  <c r="V1111" i="7"/>
  <c r="V1091" i="7"/>
  <c r="V1066" i="7"/>
  <c r="V1124" i="7"/>
  <c r="V1109" i="7"/>
  <c r="V1063" i="7"/>
  <c r="V1081" i="7"/>
  <c r="V1143" i="7"/>
  <c r="V1119" i="7"/>
  <c r="V1100" i="7"/>
  <c r="V1104" i="7"/>
  <c r="V1093" i="7"/>
  <c r="V1089" i="7"/>
  <c r="V1149" i="7"/>
  <c r="V1057" i="7"/>
  <c r="V1082" i="7"/>
  <c r="V1106" i="7"/>
  <c r="V1088" i="7"/>
  <c r="V1108" i="7"/>
  <c r="V1141" i="7"/>
  <c r="V1102" i="7"/>
  <c r="V1136" i="7"/>
  <c r="V1061" i="7"/>
  <c r="V1094" i="7"/>
  <c r="V1086" i="7"/>
  <c r="V1148" i="7"/>
  <c r="V1080" i="7"/>
  <c r="V1073" i="7"/>
  <c r="V1145" i="7"/>
  <c r="V1128" i="7"/>
  <c r="V1137" i="7"/>
  <c r="V1069" i="7"/>
  <c r="V1125" i="7"/>
  <c r="V1138" i="7"/>
  <c r="V1083" i="7"/>
  <c r="V1121" i="7"/>
  <c r="V1103" i="7"/>
  <c r="V1152" i="7"/>
  <c r="V1058" i="7"/>
  <c r="V1126" i="7"/>
  <c r="V1092" i="7"/>
  <c r="V1053" i="7"/>
  <c r="V1122" i="7"/>
  <c r="V1142" i="7"/>
  <c r="V1110" i="7"/>
  <c r="V1154" i="7"/>
  <c r="V1139" i="7"/>
  <c r="V1099" i="7"/>
  <c r="V1160" i="7"/>
  <c r="V1159" i="7"/>
  <c r="V1164" i="7"/>
  <c r="V1167" i="7"/>
  <c r="V1165" i="7"/>
  <c r="V1162" i="7"/>
  <c r="V1163" i="7"/>
  <c r="V1166" i="7"/>
  <c r="V1161" i="7"/>
  <c r="V1169" i="7"/>
  <c r="V1174" i="7"/>
  <c r="V1168" i="7"/>
  <c r="V1172" i="7"/>
  <c r="V1170" i="7"/>
  <c r="V1176" i="7"/>
  <c r="V1173" i="7"/>
  <c r="V1175" i="7"/>
  <c r="V1171" i="7"/>
  <c r="V1179" i="7"/>
  <c r="V1181" i="7"/>
  <c r="V1182" i="7"/>
  <c r="V1180" i="7"/>
  <c r="V1178" i="7"/>
  <c r="V1177" i="7"/>
  <c r="V1183" i="7"/>
  <c r="V1279" i="7"/>
  <c r="V1342" i="7"/>
  <c r="V1234" i="7"/>
  <c r="V1261" i="7"/>
  <c r="V1199" i="7"/>
  <c r="V1263" i="7"/>
  <c r="V1344" i="7"/>
  <c r="V1352" i="7"/>
  <c r="V1274" i="7"/>
  <c r="V1194" i="7"/>
  <c r="V1288" i="7"/>
  <c r="V1294" i="7"/>
  <c r="V1368" i="7"/>
  <c r="V1211" i="7"/>
  <c r="V1283" i="7"/>
  <c r="V1253" i="7"/>
  <c r="V1204" i="7"/>
  <c r="V1289" i="7"/>
  <c r="V1357" i="7"/>
  <c r="V1338" i="7"/>
  <c r="V1306" i="7"/>
  <c r="V1239" i="7"/>
  <c r="V1387" i="7"/>
  <c r="V1273" i="7"/>
  <c r="V1187" i="7"/>
  <c r="V1365" i="7"/>
  <c r="V1345" i="7"/>
  <c r="V1349" i="7"/>
  <c r="V1266" i="7"/>
  <c r="V1229" i="7"/>
  <c r="V1295" i="7"/>
  <c r="V1351" i="7"/>
  <c r="V1236" i="7"/>
  <c r="V1268" i="7"/>
  <c r="V1249" i="7"/>
  <c r="V1300" i="7"/>
  <c r="V1335" i="7"/>
  <c r="V1372" i="7"/>
  <c r="V1371" i="7"/>
  <c r="V1292" i="7"/>
  <c r="V1233" i="7"/>
  <c r="V1235" i="7"/>
  <c r="V1198" i="7"/>
  <c r="V1296" i="7"/>
  <c r="V1215" i="7"/>
  <c r="V1189" i="7"/>
  <c r="V1269" i="7"/>
  <c r="V1242" i="7"/>
  <c r="V1367" i="7"/>
  <c r="V1305" i="7"/>
  <c r="V1360" i="7"/>
  <c r="V1237" i="7"/>
  <c r="V1248" i="7"/>
  <c r="V1276" i="7"/>
  <c r="V1301" i="7"/>
  <c r="V1403" i="7"/>
  <c r="V1377" i="7"/>
  <c r="V1298" i="7"/>
  <c r="V1297" i="7"/>
  <c r="V1302" i="7"/>
  <c r="V1366" i="7"/>
  <c r="V1378" i="7"/>
  <c r="V1243" i="7"/>
  <c r="V1405" i="7"/>
  <c r="V1393" i="7"/>
  <c r="V1240" i="7"/>
  <c r="V1214" i="7"/>
  <c r="V1337" i="7"/>
  <c r="V1208" i="7"/>
  <c r="V1205" i="7"/>
  <c r="V1195" i="7"/>
  <c r="V1225" i="7"/>
  <c r="V1299" i="7"/>
  <c r="V1307" i="7"/>
  <c r="V1318" i="7"/>
  <c r="V1224" i="7"/>
  <c r="V1265" i="7"/>
  <c r="V1197" i="7"/>
  <c r="V1223" i="7"/>
  <c r="V1190" i="7"/>
  <c r="V1185" i="7"/>
  <c r="V1282" i="7"/>
  <c r="V1277" i="7"/>
  <c r="V1363" i="7"/>
  <c r="V1254" i="7"/>
  <c r="V1210" i="7"/>
  <c r="V1186" i="7"/>
  <c r="V1231" i="7"/>
  <c r="V1220" i="7"/>
  <c r="V1290" i="7"/>
  <c r="V1219" i="7"/>
  <c r="V1280" i="7"/>
  <c r="V1358" i="7"/>
  <c r="V1320" i="7"/>
  <c r="V1353" i="7"/>
  <c r="V1238" i="7"/>
  <c r="V1330" i="7"/>
  <c r="V1230" i="7"/>
  <c r="V1260" i="7"/>
  <c r="V1188" i="7"/>
  <c r="V1325" i="7"/>
  <c r="V1329" i="7"/>
  <c r="V1213" i="7"/>
  <c r="V1308" i="7"/>
  <c r="V1252" i="7"/>
  <c r="V1285" i="7"/>
  <c r="V1373" i="7"/>
  <c r="V1333" i="7"/>
  <c r="V1364" i="7"/>
  <c r="V1222" i="7"/>
  <c r="V1278" i="7"/>
  <c r="V1340" i="7"/>
  <c r="V1200" i="7"/>
  <c r="V1251" i="7"/>
  <c r="V1355" i="7"/>
  <c r="V1228" i="7"/>
  <c r="V1401" i="7"/>
  <c r="V1310" i="7"/>
  <c r="V1250" i="7"/>
  <c r="V1287" i="7"/>
  <c r="V1317" i="7"/>
  <c r="V1245" i="7"/>
  <c r="V1267" i="7"/>
  <c r="V1314" i="7"/>
  <c r="V1362" i="7"/>
  <c r="V1221" i="7"/>
  <c r="V1247" i="7"/>
  <c r="V1271" i="7"/>
  <c r="V1258" i="7"/>
  <c r="V1392" i="7"/>
  <c r="V1244" i="7"/>
  <c r="V1347" i="7"/>
  <c r="V1375" i="7"/>
  <c r="V1326" i="7"/>
  <c r="V1332" i="7"/>
  <c r="V1202" i="7"/>
  <c r="V1286" i="7"/>
  <c r="V1256" i="7"/>
  <c r="V1341" i="7"/>
  <c r="V1346" i="7"/>
  <c r="V1354" i="7"/>
  <c r="V1382" i="7"/>
  <c r="V1217" i="7"/>
  <c r="V1397" i="7"/>
  <c r="V1309" i="7"/>
  <c r="V1218" i="7"/>
  <c r="V1293" i="7"/>
  <c r="V1389" i="7"/>
  <c r="V1322" i="7"/>
  <c r="V1350" i="7"/>
  <c r="V1336" i="7"/>
  <c r="V1184" i="7"/>
  <c r="V1272" i="7"/>
  <c r="V1193" i="7"/>
  <c r="V1323" i="7"/>
  <c r="V1324" i="7"/>
  <c r="V1356" i="7"/>
  <c r="V1402" i="7"/>
  <c r="V1284" i="7"/>
  <c r="V1264" i="7"/>
  <c r="V1227" i="7"/>
  <c r="V1379" i="7"/>
  <c r="V1404" i="7"/>
  <c r="V1232" i="7"/>
  <c r="V1206" i="7"/>
  <c r="V1343" i="7"/>
  <c r="V1212" i="7"/>
  <c r="V1226" i="7"/>
  <c r="V1241" i="7"/>
  <c r="V1319" i="7"/>
  <c r="V1207" i="7"/>
  <c r="V1304" i="7"/>
  <c r="V1359" i="7"/>
  <c r="V1328" i="7"/>
  <c r="V1255" i="7"/>
  <c r="V1209" i="7"/>
  <c r="V1334" i="7"/>
  <c r="V1313" i="7"/>
  <c r="V1400" i="7"/>
  <c r="V1348" i="7"/>
  <c r="V1388" i="7"/>
  <c r="V1361" i="7"/>
  <c r="V1369" i="7"/>
  <c r="V1394" i="7"/>
  <c r="V1384" i="7"/>
  <c r="V1201" i="7"/>
  <c r="V1316" i="7"/>
  <c r="V1331" i="7"/>
  <c r="V1262" i="7"/>
  <c r="V1270" i="7"/>
  <c r="V1203" i="7"/>
  <c r="V1291" i="7"/>
  <c r="V1370" i="7"/>
  <c r="V1395" i="7"/>
  <c r="V1191" i="7"/>
  <c r="V1398" i="7"/>
  <c r="V1275" i="7"/>
  <c r="V1376" i="7"/>
  <c r="V1380" i="7"/>
  <c r="V1381" i="7"/>
  <c r="V1281" i="7"/>
  <c r="V1374" i="7"/>
  <c r="V1390" i="7"/>
  <c r="V1399" i="7"/>
  <c r="V1315" i="7"/>
  <c r="V1383" i="7"/>
  <c r="V1407" i="7"/>
  <c r="V1386" i="7"/>
  <c r="V1385" i="7"/>
  <c r="V1192" i="7"/>
  <c r="V1406" i="7"/>
  <c r="V1259" i="7"/>
  <c r="V1246" i="7"/>
  <c r="V1339" i="7"/>
  <c r="V1391" i="7"/>
  <c r="V1196" i="7"/>
  <c r="V1257" i="7"/>
  <c r="V1311" i="7"/>
  <c r="V1216" i="7"/>
  <c r="V1321" i="7"/>
  <c r="V1303" i="7"/>
  <c r="V1327" i="7"/>
  <c r="V1312" i="7"/>
  <c r="V1396" i="7"/>
  <c r="V1409" i="7"/>
  <c r="V1413" i="7"/>
  <c r="V1408" i="7"/>
  <c r="V1414" i="7"/>
  <c r="V1411" i="7"/>
  <c r="V1412" i="7"/>
  <c r="V1410" i="7"/>
  <c r="V1426" i="7"/>
  <c r="V1434" i="7"/>
  <c r="V1430" i="7"/>
  <c r="V1429" i="7"/>
  <c r="V1424" i="7"/>
  <c r="V1432" i="7"/>
  <c r="V1437" i="7"/>
  <c r="V1451" i="7"/>
  <c r="V1441" i="7"/>
  <c r="V1416" i="7"/>
  <c r="V1421" i="7"/>
  <c r="V1449" i="7"/>
  <c r="V1452" i="7"/>
  <c r="V1427" i="7"/>
  <c r="V1431" i="7"/>
  <c r="V1440" i="7"/>
  <c r="V1428" i="7"/>
  <c r="V1433" i="7"/>
  <c r="V1425" i="7"/>
  <c r="V1448" i="7"/>
  <c r="V1436" i="7"/>
  <c r="V1415" i="7"/>
  <c r="V1422" i="7"/>
  <c r="V1420" i="7"/>
  <c r="V1443" i="7"/>
  <c r="V1418" i="7"/>
  <c r="V1446" i="7"/>
  <c r="V1453" i="7"/>
  <c r="V1438" i="7"/>
  <c r="V1423" i="7"/>
  <c r="V1435" i="7"/>
  <c r="V1450" i="7"/>
  <c r="V1442" i="7"/>
  <c r="V1419" i="7"/>
  <c r="V1439" i="7"/>
  <c r="V1417" i="7"/>
  <c r="V1444" i="7"/>
  <c r="V1445" i="7"/>
  <c r="V1447" i="7"/>
  <c r="V1468" i="7"/>
  <c r="V1461" i="7"/>
  <c r="V1456" i="7"/>
  <c r="V1463" i="7"/>
  <c r="V1460" i="7"/>
  <c r="V1459" i="7"/>
  <c r="V1466" i="7"/>
  <c r="V1455" i="7"/>
  <c r="V1465" i="7"/>
  <c r="V1457" i="7"/>
  <c r="V1462" i="7"/>
  <c r="V1454" i="7"/>
  <c r="V1467" i="7"/>
  <c r="V1464" i="7"/>
  <c r="V1458" i="7"/>
  <c r="V1478" i="7"/>
  <c r="V1473" i="7"/>
  <c r="V1480" i="7"/>
  <c r="V1481" i="7"/>
  <c r="V1477" i="7"/>
  <c r="V1476" i="7"/>
  <c r="V1470" i="7"/>
  <c r="V1472" i="7"/>
  <c r="V1471" i="7"/>
  <c r="V1474" i="7"/>
  <c r="V1469" i="7"/>
  <c r="V1475" i="7"/>
  <c r="V1479" i="7"/>
  <c r="V1620" i="7"/>
  <c r="V1482" i="7"/>
  <c r="V1651" i="7"/>
  <c r="V1648" i="7"/>
  <c r="V1502" i="7"/>
  <c r="V1561" i="7"/>
  <c r="V1529" i="7"/>
  <c r="V1584" i="7"/>
  <c r="V1486" i="7"/>
  <c r="V1483" i="7"/>
  <c r="V1539" i="7"/>
  <c r="V1588" i="7"/>
  <c r="V1630" i="7"/>
  <c r="V1562" i="7"/>
  <c r="V1649" i="7"/>
  <c r="V1532" i="7"/>
  <c r="V1531" i="7"/>
  <c r="V1569" i="7"/>
  <c r="V1621" i="7"/>
  <c r="V1609" i="7"/>
  <c r="V1567" i="7"/>
  <c r="V1636" i="7"/>
  <c r="V1553" i="7"/>
  <c r="V1634" i="7"/>
  <c r="V1496" i="7"/>
  <c r="V1550" i="7"/>
  <c r="V1608" i="7"/>
  <c r="V1602" i="7"/>
  <c r="V1612" i="7"/>
  <c r="V1516" i="7"/>
  <c r="V1578" i="7"/>
  <c r="V1540" i="7"/>
  <c r="V1593" i="7"/>
  <c r="V1573" i="7"/>
  <c r="V1574" i="7"/>
  <c r="V1617" i="7"/>
  <c r="V1576" i="7"/>
  <c r="V1639" i="7"/>
  <c r="V1493" i="7"/>
  <c r="V1510" i="7"/>
  <c r="V1556" i="7"/>
  <c r="V1568" i="7"/>
  <c r="V1618" i="7"/>
  <c r="V1571" i="7"/>
  <c r="V1501" i="7"/>
  <c r="V1607" i="7"/>
  <c r="V1581" i="7"/>
  <c r="V1647" i="7"/>
  <c r="V1619" i="7"/>
  <c r="V1591" i="7"/>
  <c r="V1487" i="7"/>
  <c r="V1485" i="7"/>
  <c r="V1511" i="7"/>
  <c r="V1559" i="7"/>
  <c r="V1572" i="7"/>
  <c r="V1595" i="7"/>
  <c r="V1557" i="7"/>
  <c r="V1491" i="7"/>
  <c r="V1547" i="7"/>
  <c r="V1613" i="7"/>
  <c r="V1533" i="7"/>
  <c r="V1522" i="7"/>
  <c r="V1484" i="7"/>
  <c r="V1536" i="7"/>
  <c r="V1499" i="7"/>
  <c r="V1492" i="7"/>
  <c r="V1597" i="7"/>
  <c r="V1518" i="7"/>
  <c r="V1503" i="7"/>
  <c r="V1583" i="7"/>
  <c r="V1549" i="7"/>
  <c r="V1520" i="7"/>
  <c r="V1494" i="7"/>
  <c r="V1594" i="7"/>
  <c r="V1579" i="7"/>
  <c r="V1509" i="7"/>
  <c r="V1596" i="7"/>
  <c r="V1498" i="7"/>
  <c r="V1632" i="7"/>
  <c r="V1640" i="7"/>
  <c r="V1542" i="7"/>
  <c r="V1566" i="7"/>
  <c r="V1525" i="7"/>
  <c r="V1645" i="7"/>
  <c r="V1606" i="7"/>
  <c r="V1530" i="7"/>
  <c r="V1497" i="7"/>
  <c r="V1537" i="7"/>
  <c r="V1605" i="7"/>
  <c r="V1500" i="7"/>
  <c r="V1504" i="7"/>
  <c r="V1646" i="7"/>
  <c r="V1527" i="7"/>
  <c r="V1552" i="7"/>
  <c r="V1506" i="7"/>
  <c r="V1577" i="7"/>
  <c r="V1489" i="7"/>
  <c r="V1508" i="7"/>
  <c r="V1642" i="7"/>
  <c r="V1546" i="7"/>
  <c r="V1565" i="7"/>
  <c r="V1560" i="7"/>
  <c r="V1548" i="7"/>
  <c r="V1601" i="7"/>
  <c r="V1523" i="7"/>
  <c r="V1517" i="7"/>
  <c r="V1622" i="7"/>
  <c r="V1515" i="7"/>
  <c r="V1551" i="7"/>
  <c r="V1625" i="7"/>
  <c r="V1610" i="7"/>
  <c r="V1614" i="7"/>
  <c r="V1488" i="7"/>
  <c r="V1507" i="7"/>
  <c r="V1514" i="7"/>
  <c r="V1628" i="7"/>
  <c r="V1611" i="7"/>
  <c r="V1526" i="7"/>
  <c r="V1615" i="7"/>
  <c r="V1585" i="7"/>
  <c r="V1590" i="7"/>
  <c r="V1637" i="7"/>
  <c r="V1545" i="7"/>
  <c r="V1626" i="7"/>
  <c r="V1544" i="7"/>
  <c r="V1603" i="7"/>
  <c r="V1575" i="7"/>
  <c r="V1524" i="7"/>
  <c r="V1528" i="7"/>
  <c r="V1534" i="7"/>
  <c r="V1513" i="7"/>
  <c r="V1555" i="7"/>
  <c r="V1521" i="7"/>
  <c r="V1564" i="7"/>
  <c r="V1598" i="7"/>
  <c r="V1600" i="7"/>
  <c r="V1543" i="7"/>
  <c r="V1586" i="7"/>
  <c r="V1582" i="7"/>
  <c r="V1512" i="7"/>
  <c r="V1570" i="7"/>
  <c r="V1643" i="7"/>
  <c r="V1580" i="7"/>
  <c r="V1589" i="7"/>
  <c r="V1541" i="7"/>
  <c r="V1629" i="7"/>
  <c r="V1599" i="7"/>
  <c r="V1519" i="7"/>
  <c r="V1554" i="7"/>
  <c r="V1604" i="7"/>
  <c r="V1650" i="7"/>
  <c r="V1627" i="7"/>
  <c r="V1535" i="7"/>
  <c r="V1633" i="7"/>
  <c r="V1644" i="7"/>
  <c r="V1624" i="7"/>
  <c r="V1505" i="7"/>
  <c r="V1495" i="7"/>
  <c r="V1616" i="7"/>
  <c r="V1623" i="7"/>
  <c r="V1638" i="7"/>
  <c r="V1558" i="7"/>
  <c r="V1490" i="7"/>
  <c r="V1592" i="7"/>
  <c r="V1563" i="7"/>
  <c r="V1538" i="7"/>
  <c r="V1631" i="7"/>
  <c r="V1641" i="7"/>
  <c r="V1635" i="7"/>
  <c r="V1587" i="7"/>
  <c r="V1652" i="7"/>
  <c r="V1656" i="7"/>
  <c r="V1654" i="7"/>
  <c r="V1653" i="7"/>
  <c r="V1655" i="7"/>
  <c r="V1657" i="7"/>
  <c r="V1660" i="7"/>
  <c r="V1669" i="7"/>
  <c r="V1661" i="7"/>
  <c r="V1659" i="7"/>
  <c r="V1666" i="7"/>
  <c r="V1665" i="7"/>
  <c r="V1663" i="7"/>
  <c r="V1668" i="7"/>
  <c r="V1662" i="7"/>
  <c r="V1664" i="7"/>
  <c r="V1667" i="7"/>
  <c r="V1658" i="7"/>
  <c r="V1670" i="7"/>
  <c r="V1685" i="7"/>
  <c r="V1688" i="7"/>
  <c r="V1728" i="7"/>
  <c r="V1856" i="7"/>
  <c r="V1703" i="7"/>
  <c r="V1819" i="7"/>
  <c r="V1852" i="7"/>
  <c r="V1681" i="7"/>
  <c r="V1813" i="7"/>
  <c r="V1710" i="7"/>
  <c r="V1795" i="7"/>
  <c r="V1706" i="7"/>
  <c r="V1745" i="7"/>
  <c r="V1682" i="7"/>
  <c r="V1697" i="7"/>
  <c r="V1811" i="7"/>
  <c r="V1719" i="7"/>
  <c r="V1842" i="7"/>
  <c r="V1701" i="7"/>
  <c r="V1831" i="7"/>
  <c r="V1707" i="7"/>
  <c r="V1789" i="7"/>
  <c r="V1742" i="7"/>
  <c r="V1828" i="7"/>
  <c r="V1858" i="7"/>
  <c r="V1804" i="7"/>
  <c r="V1721" i="7"/>
  <c r="V1739" i="7"/>
  <c r="V1712" i="7"/>
  <c r="V1734" i="7"/>
  <c r="V1747" i="7"/>
  <c r="V1702" i="7"/>
  <c r="V1676" i="7"/>
  <c r="V1684" i="7"/>
  <c r="V1720" i="7"/>
  <c r="V1749" i="7"/>
  <c r="V1683" i="7"/>
  <c r="V1694" i="7"/>
  <c r="V1824" i="7"/>
  <c r="V1779" i="7"/>
  <c r="V1827" i="7"/>
  <c r="V1822" i="7"/>
  <c r="V1774" i="7"/>
  <c r="V1783" i="7"/>
  <c r="V1743" i="7"/>
  <c r="V1806" i="7"/>
  <c r="V1807" i="7"/>
  <c r="V1778" i="7"/>
  <c r="V1713" i="7"/>
  <c r="V1677" i="7"/>
  <c r="V1812" i="7"/>
  <c r="V1730" i="7"/>
  <c r="V1689" i="7"/>
  <c r="V1696" i="7"/>
  <c r="V1769" i="7"/>
  <c r="V1771" i="7"/>
  <c r="V1801" i="7"/>
  <c r="V1731" i="7"/>
  <c r="V1690" i="7"/>
  <c r="V1723" i="7"/>
  <c r="V1838" i="7"/>
  <c r="V1815" i="7"/>
  <c r="V1678" i="7"/>
  <c r="V1709" i="7"/>
  <c r="V1792" i="7"/>
  <c r="V1674" i="7"/>
  <c r="V1700" i="7"/>
  <c r="V1825" i="7"/>
  <c r="V1711" i="7"/>
  <c r="V1818" i="7"/>
  <c r="V1724" i="7"/>
  <c r="V1725" i="7"/>
  <c r="V1693" i="7"/>
  <c r="V1823" i="7"/>
  <c r="V1799" i="7"/>
  <c r="V1817" i="7"/>
  <c r="V1675" i="7"/>
  <c r="V1833" i="7"/>
  <c r="V1755" i="7"/>
  <c r="V1793" i="7"/>
  <c r="V1841" i="7"/>
  <c r="V1794" i="7"/>
  <c r="V1765" i="7"/>
  <c r="V1695" i="7"/>
  <c r="V1699" i="7"/>
  <c r="V1809" i="7"/>
  <c r="V1797" i="7"/>
  <c r="V1836" i="7"/>
  <c r="V1855" i="7"/>
  <c r="V1781" i="7"/>
  <c r="V1784" i="7"/>
  <c r="V1834" i="7"/>
  <c r="V1716" i="7"/>
  <c r="V1857" i="7"/>
  <c r="V1722" i="7"/>
  <c r="V1808" i="7"/>
  <c r="V1796" i="7"/>
  <c r="V1746" i="7"/>
  <c r="V1849" i="7"/>
  <c r="V1732" i="7"/>
  <c r="V1777" i="7"/>
  <c r="V1839" i="7"/>
  <c r="V1756" i="7"/>
  <c r="V1687" i="7"/>
  <c r="V1759" i="7"/>
  <c r="V1766" i="7"/>
  <c r="V1845" i="7"/>
  <c r="V1752" i="7"/>
  <c r="V1718" i="7"/>
  <c r="V1715" i="7"/>
  <c r="V1751" i="7"/>
  <c r="V1770" i="7"/>
  <c r="V1741" i="7"/>
  <c r="V1780" i="7"/>
  <c r="V1787" i="7"/>
  <c r="V1673" i="7"/>
  <c r="V1704" i="7"/>
  <c r="V1691" i="7"/>
  <c r="V1744" i="7"/>
  <c r="V1736" i="7"/>
  <c r="V1803" i="7"/>
  <c r="V1859" i="7"/>
  <c r="V1835" i="7"/>
  <c r="V1788" i="7"/>
  <c r="V1764" i="7"/>
  <c r="V1686" i="7"/>
  <c r="V1750" i="7"/>
  <c r="V1826" i="7"/>
  <c r="V1738" i="7"/>
  <c r="V1798" i="7"/>
  <c r="V1763" i="7"/>
  <c r="V1705" i="7"/>
  <c r="V1726" i="7"/>
  <c r="V1790" i="7"/>
  <c r="V1762" i="7"/>
  <c r="V1761" i="7"/>
  <c r="V1821" i="7"/>
  <c r="V1800" i="7"/>
  <c r="V1850" i="7"/>
  <c r="V1767" i="7"/>
  <c r="V1708" i="7"/>
  <c r="V1737" i="7"/>
  <c r="V1840" i="7"/>
  <c r="V1791" i="7"/>
  <c r="V1829" i="7"/>
  <c r="V1727" i="7"/>
  <c r="V1757" i="7"/>
  <c r="V1810" i="7"/>
  <c r="V1740" i="7"/>
  <c r="V1692" i="7"/>
  <c r="V1786" i="7"/>
  <c r="V1775" i="7"/>
  <c r="V1671" i="7"/>
  <c r="V1754" i="7"/>
  <c r="V1785" i="7"/>
  <c r="V1758" i="7"/>
  <c r="V1729" i="7"/>
  <c r="V1816" i="7"/>
  <c r="V1717" i="7"/>
  <c r="V1802" i="7"/>
  <c r="V1698" i="7"/>
  <c r="V1680" i="7"/>
  <c r="V1853" i="7"/>
  <c r="V1805" i="7"/>
  <c r="V1848" i="7"/>
  <c r="V1735" i="7"/>
  <c r="V1748" i="7"/>
  <c r="V1847" i="7"/>
  <c r="V1773" i="7"/>
  <c r="V1768" i="7"/>
  <c r="V1843" i="7"/>
  <c r="V1851" i="7"/>
  <c r="V1776" i="7"/>
  <c r="V1679" i="7"/>
  <c r="V1837" i="7"/>
  <c r="V1782" i="7"/>
  <c r="V1714" i="7"/>
  <c r="V1772" i="7"/>
  <c r="V1753" i="7"/>
  <c r="V1846" i="7"/>
  <c r="V1760" i="7"/>
  <c r="V1830" i="7"/>
  <c r="V1814" i="7"/>
  <c r="V1844" i="7"/>
  <c r="V1672" i="7"/>
  <c r="V1733" i="7"/>
  <c r="V1832" i="7"/>
  <c r="V1854" i="7"/>
  <c r="V1820" i="7"/>
  <c r="V1860" i="7"/>
  <c r="V1863" i="7"/>
  <c r="V1862" i="7"/>
  <c r="V1861" i="7"/>
  <c r="V1866" i="7"/>
  <c r="V1864" i="7"/>
  <c r="V1865" i="7"/>
  <c r="V1867" i="7"/>
  <c r="V1889" i="7"/>
  <c r="V1881" i="7"/>
  <c r="V1884" i="7"/>
  <c r="V1892" i="7"/>
  <c r="V1896" i="7"/>
  <c r="V1903" i="7"/>
  <c r="V1905" i="7"/>
  <c r="V1868" i="7"/>
  <c r="V1869" i="7"/>
  <c r="V1871" i="7"/>
  <c r="V1879" i="7"/>
  <c r="V1900" i="7"/>
  <c r="V1886" i="7"/>
  <c r="V1898" i="7"/>
  <c r="V1894" i="7"/>
  <c r="V1899" i="7"/>
  <c r="V1888" i="7"/>
  <c r="V1877" i="7"/>
  <c r="V1891" i="7"/>
  <c r="V1882" i="7"/>
  <c r="V1870" i="7"/>
  <c r="V1876" i="7"/>
  <c r="V1875" i="7"/>
  <c r="V1908" i="7"/>
  <c r="V1873" i="7"/>
  <c r="V1872" i="7"/>
  <c r="V1878" i="7"/>
  <c r="V1902" i="7"/>
  <c r="V1895" i="7"/>
  <c r="V1893" i="7"/>
  <c r="V1874" i="7"/>
  <c r="V1887" i="7"/>
  <c r="V1904" i="7"/>
  <c r="V1901" i="7"/>
  <c r="V1890" i="7"/>
  <c r="V1880" i="7"/>
  <c r="V1906" i="7"/>
  <c r="V1885" i="7"/>
  <c r="V1897" i="7"/>
  <c r="V1907" i="7"/>
  <c r="V1883" i="7"/>
  <c r="V1910" i="7"/>
  <c r="V1917" i="7"/>
  <c r="V1914" i="7"/>
  <c r="V1909" i="7"/>
  <c r="V1912" i="7"/>
  <c r="V1913" i="7"/>
  <c r="V1915" i="7"/>
  <c r="V1911" i="7"/>
  <c r="V1918" i="7"/>
  <c r="V1916" i="7"/>
  <c r="V1919" i="7"/>
  <c r="V1920" i="7"/>
  <c r="V1922" i="7"/>
  <c r="V1923" i="7"/>
  <c r="V1921" i="7"/>
  <c r="V1924" i="7"/>
  <c r="V2001" i="7"/>
  <c r="V1972" i="7"/>
  <c r="V1973" i="7"/>
  <c r="V1938" i="7"/>
  <c r="V1978" i="7"/>
  <c r="V2023" i="7"/>
  <c r="V2097" i="7"/>
  <c r="V2035" i="7"/>
  <c r="V1950" i="7"/>
  <c r="V2059" i="7"/>
  <c r="V2031" i="7"/>
  <c r="V1984" i="7"/>
  <c r="V1933" i="7"/>
  <c r="V2065" i="7"/>
  <c r="V1944" i="7"/>
  <c r="V1963" i="7"/>
  <c r="V2058" i="7"/>
  <c r="V1989" i="7"/>
  <c r="V1994" i="7"/>
  <c r="V2074" i="7"/>
  <c r="V1929" i="7"/>
  <c r="V2093" i="7"/>
  <c r="V1953" i="7"/>
  <c r="V1939" i="7"/>
  <c r="V1940" i="7"/>
  <c r="V2050" i="7"/>
  <c r="V2075" i="7"/>
  <c r="V1936" i="7"/>
  <c r="V1983" i="7"/>
  <c r="V1955" i="7"/>
  <c r="V2022" i="7"/>
  <c r="V2076" i="7"/>
  <c r="V2046" i="7"/>
  <c r="V1947" i="7"/>
  <c r="V2044" i="7"/>
  <c r="V1942" i="7"/>
  <c r="V1965" i="7"/>
  <c r="V1968" i="7"/>
  <c r="V1931" i="7"/>
  <c r="V2061" i="7"/>
  <c r="V1925" i="7"/>
  <c r="V1941" i="7"/>
  <c r="V2051" i="7"/>
  <c r="V1948" i="7"/>
  <c r="V1996" i="7"/>
  <c r="V1969" i="7"/>
  <c r="V2032" i="7"/>
  <c r="V2041" i="7"/>
  <c r="V2020" i="7"/>
  <c r="V1975" i="7"/>
  <c r="V2016" i="7"/>
  <c r="V2084" i="7"/>
  <c r="V2025" i="7"/>
  <c r="V2095" i="7"/>
  <c r="V1960" i="7"/>
  <c r="V2040" i="7"/>
  <c r="V2013" i="7"/>
  <c r="V2017" i="7"/>
  <c r="V1976" i="7"/>
  <c r="V2006" i="7"/>
  <c r="V1961" i="7"/>
  <c r="V2000" i="7"/>
  <c r="V2082" i="7"/>
  <c r="V2033" i="7"/>
  <c r="V2063" i="7"/>
  <c r="V2012" i="7"/>
  <c r="V2011" i="7"/>
  <c r="V2067" i="7"/>
  <c r="V2055" i="7"/>
  <c r="V2072" i="7"/>
  <c r="V1935" i="7"/>
  <c r="V1957" i="7"/>
  <c r="V1959" i="7"/>
  <c r="V2034" i="7"/>
  <c r="V2089" i="7"/>
  <c r="V1956" i="7"/>
  <c r="V2057" i="7"/>
  <c r="V1999" i="7"/>
  <c r="V2030" i="7"/>
  <c r="V2027" i="7"/>
  <c r="V1927" i="7"/>
  <c r="V1990" i="7"/>
  <c r="V2048" i="7"/>
  <c r="V1991" i="7"/>
  <c r="V2071" i="7"/>
  <c r="V2060" i="7"/>
  <c r="V2049" i="7"/>
  <c r="V2066" i="7"/>
  <c r="V2003" i="7"/>
  <c r="V2002" i="7"/>
  <c r="V1988" i="7"/>
  <c r="V2094" i="7"/>
  <c r="V1952" i="7"/>
  <c r="V2026" i="7"/>
  <c r="V1997" i="7"/>
  <c r="V1995" i="7"/>
  <c r="V1937" i="7"/>
  <c r="V1971" i="7"/>
  <c r="V2019" i="7"/>
  <c r="V2098" i="7"/>
  <c r="V2037" i="7"/>
  <c r="V1986" i="7"/>
  <c r="V2038" i="7"/>
  <c r="V1979" i="7"/>
  <c r="V2008" i="7"/>
  <c r="V1945" i="7"/>
  <c r="V2014" i="7"/>
  <c r="V2018" i="7"/>
  <c r="V1993" i="7"/>
  <c r="V2070" i="7"/>
  <c r="V1949" i="7"/>
  <c r="V2010" i="7"/>
  <c r="V1932" i="7"/>
  <c r="V1977" i="7"/>
  <c r="V1946" i="7"/>
  <c r="V2096" i="7"/>
  <c r="V1992" i="7"/>
  <c r="V2052" i="7"/>
  <c r="V2053" i="7"/>
  <c r="V2028" i="7"/>
  <c r="V2009" i="7"/>
  <c r="V1966" i="7"/>
  <c r="V1998" i="7"/>
  <c r="V1958" i="7"/>
  <c r="V1951" i="7"/>
  <c r="V2004" i="7"/>
  <c r="V2054" i="7"/>
  <c r="V2079" i="7"/>
  <c r="V1964" i="7"/>
  <c r="V1943" i="7"/>
  <c r="V1980" i="7"/>
  <c r="V2068" i="7"/>
  <c r="V2042" i="7"/>
  <c r="V2039" i="7"/>
  <c r="V1928" i="7"/>
  <c r="V2043" i="7"/>
  <c r="V2007" i="7"/>
  <c r="V2091" i="7"/>
  <c r="V2024" i="7"/>
  <c r="V1954" i="7"/>
  <c r="V2087" i="7"/>
  <c r="V2088" i="7"/>
  <c r="V1970" i="7"/>
  <c r="V2081" i="7"/>
  <c r="V1926" i="7"/>
  <c r="V2077" i="7"/>
  <c r="V2047" i="7"/>
  <c r="V1934" i="7"/>
  <c r="V2015" i="7"/>
  <c r="V1985" i="7"/>
  <c r="V2083" i="7"/>
  <c r="V2086" i="7"/>
  <c r="V2099" i="7"/>
  <c r="V2056" i="7"/>
  <c r="V2090" i="7"/>
  <c r="V2062" i="7"/>
  <c r="V2073" i="7"/>
  <c r="V2045" i="7"/>
  <c r="V2080" i="7"/>
  <c r="V2085" i="7"/>
  <c r="V1930" i="7"/>
  <c r="V2064" i="7"/>
  <c r="V2078" i="7"/>
  <c r="V2029" i="7"/>
  <c r="V1981" i="7"/>
  <c r="V1962" i="7"/>
  <c r="V2005" i="7"/>
  <c r="V1974" i="7"/>
  <c r="V1982" i="7"/>
  <c r="V2036" i="7"/>
  <c r="V2021" i="7"/>
  <c r="V2069" i="7"/>
  <c r="V1987" i="7"/>
  <c r="V2092" i="7"/>
  <c r="V1967" i="7"/>
  <c r="V2100" i="7"/>
  <c r="V2102" i="7"/>
  <c r="V2103" i="7"/>
  <c r="V2101" i="7"/>
  <c r="V2104" i="7"/>
  <c r="V2105" i="7"/>
  <c r="V2107" i="7"/>
  <c r="V2109" i="7"/>
  <c r="V2106" i="7"/>
  <c r="V2108" i="7"/>
  <c r="V2111" i="7"/>
  <c r="V2115" i="7"/>
  <c r="V2113" i="7"/>
  <c r="V2110" i="7"/>
  <c r="V2116" i="7"/>
  <c r="V2112" i="7"/>
  <c r="V2114" i="7"/>
  <c r="V2121" i="7"/>
  <c r="V2119" i="7"/>
  <c r="V2118" i="7"/>
  <c r="V2120" i="7"/>
  <c r="V2117" i="7"/>
  <c r="V2202" i="7"/>
  <c r="V2197" i="7"/>
  <c r="V2201" i="7"/>
  <c r="V2146" i="7"/>
  <c r="V2166" i="7"/>
  <c r="V2174" i="7"/>
  <c r="V2149" i="7"/>
  <c r="V2147" i="7"/>
  <c r="V2163" i="7"/>
  <c r="V2158" i="7"/>
  <c r="V2134" i="7"/>
  <c r="V2168" i="7"/>
  <c r="V2124" i="7"/>
  <c r="V2137" i="7"/>
  <c r="V2155" i="7"/>
  <c r="V2152" i="7"/>
  <c r="V2157" i="7"/>
  <c r="V2126" i="7"/>
  <c r="V2139" i="7"/>
  <c r="V2179" i="7"/>
  <c r="V2161" i="7"/>
  <c r="V2199" i="7"/>
  <c r="V2150" i="7"/>
  <c r="V2169" i="7"/>
  <c r="V2128" i="7"/>
  <c r="V2140" i="7"/>
  <c r="V2170" i="7"/>
  <c r="V2192" i="7"/>
  <c r="V2130" i="7"/>
  <c r="V2144" i="7"/>
  <c r="V2180" i="7"/>
  <c r="V2200" i="7"/>
  <c r="V2196" i="7"/>
  <c r="V2135" i="7"/>
  <c r="V2173" i="7"/>
  <c r="V2181" i="7"/>
  <c r="V2151" i="7"/>
  <c r="V2160" i="7"/>
  <c r="V2142" i="7"/>
  <c r="V2185" i="7"/>
  <c r="V2184" i="7"/>
  <c r="V2125" i="7"/>
  <c r="V2176" i="7"/>
  <c r="V2159" i="7"/>
  <c r="V2138" i="7"/>
  <c r="V2129" i="7"/>
  <c r="V2191" i="7"/>
  <c r="V2167" i="7"/>
  <c r="V2165" i="7"/>
  <c r="V2198" i="7"/>
  <c r="V2182" i="7"/>
  <c r="V2177" i="7"/>
  <c r="V2171" i="7"/>
  <c r="V2136" i="7"/>
  <c r="V2127" i="7"/>
  <c r="V2154" i="7"/>
  <c r="V2141" i="7"/>
  <c r="V2164" i="7"/>
  <c r="V2143" i="7"/>
  <c r="V2133" i="7"/>
  <c r="V2194" i="7"/>
  <c r="V2131" i="7"/>
  <c r="V2186" i="7"/>
  <c r="V2172" i="7"/>
  <c r="V2193" i="7"/>
  <c r="V2183" i="7"/>
  <c r="V2122" i="7"/>
  <c r="V2195" i="7"/>
  <c r="V2123" i="7"/>
  <c r="V2190" i="7"/>
  <c r="V2162" i="7"/>
  <c r="V2148" i="7"/>
  <c r="V2175" i="7"/>
  <c r="V2178" i="7"/>
  <c r="V2188" i="7"/>
  <c r="V2132" i="7"/>
  <c r="V2189" i="7"/>
  <c r="V2187" i="7"/>
  <c r="V2145" i="7"/>
  <c r="V2156" i="7"/>
  <c r="V2153" i="7"/>
  <c r="V2205" i="7"/>
  <c r="V2203" i="7"/>
  <c r="V2204" i="7"/>
  <c r="V2206" i="7"/>
  <c r="V2207" i="7"/>
  <c r="V2208" i="7"/>
  <c r="V2210" i="7"/>
  <c r="V2209" i="7"/>
  <c r="V2211" i="7"/>
  <c r="V2226" i="7"/>
  <c r="V2217" i="7"/>
  <c r="V2216" i="7"/>
  <c r="V2220" i="7"/>
  <c r="V2213" i="7"/>
  <c r="V2224" i="7"/>
  <c r="V2222" i="7"/>
  <c r="V2223" i="7"/>
  <c r="V2212" i="7"/>
  <c r="V2225" i="7"/>
  <c r="V2214" i="7"/>
  <c r="V2219" i="7"/>
  <c r="V2227" i="7"/>
  <c r="V2221" i="7"/>
  <c r="V2218" i="7"/>
  <c r="V2215" i="7"/>
  <c r="V2229" i="7"/>
  <c r="V2228" i="7"/>
  <c r="V2230" i="7"/>
  <c r="V2231" i="7"/>
  <c r="V2232" i="7"/>
  <c r="V2233" i="7"/>
  <c r="V2236" i="7"/>
  <c r="V2234" i="7"/>
  <c r="V2235" i="7"/>
  <c r="V2243" i="7"/>
  <c r="V2245" i="7"/>
  <c r="V2238" i="7"/>
  <c r="V2240" i="7"/>
  <c r="V2255" i="7"/>
  <c r="V2247" i="7"/>
  <c r="V2239" i="7"/>
  <c r="V2249" i="7"/>
  <c r="V2254" i="7"/>
  <c r="V2244" i="7"/>
  <c r="V2248" i="7"/>
  <c r="V2250" i="7"/>
  <c r="V2256" i="7"/>
  <c r="V2241" i="7"/>
  <c r="V2237" i="7"/>
  <c r="V2246" i="7"/>
  <c r="V2253" i="7"/>
  <c r="V2242" i="7"/>
  <c r="V2252" i="7"/>
  <c r="V2251" i="7"/>
  <c r="V2258" i="7"/>
  <c r="V2259" i="7"/>
  <c r="V2257" i="7"/>
  <c r="V2260" i="7"/>
  <c r="V2261" i="7"/>
  <c r="V2262" i="7"/>
  <c r="V2263" i="7"/>
  <c r="V2265" i="7"/>
  <c r="V2264" i="7"/>
  <c r="V2266" i="7"/>
  <c r="V2267" i="7"/>
  <c r="V2269" i="7"/>
  <c r="V2270" i="7"/>
  <c r="V2268" i="7"/>
  <c r="V2271" i="7"/>
  <c r="V2273" i="7"/>
  <c r="V2272" i="7"/>
  <c r="V2275" i="7"/>
  <c r="V2274" i="7"/>
  <c r="V2277" i="7"/>
  <c r="V2276" i="7"/>
  <c r="V2279" i="7"/>
  <c r="V2278" i="7"/>
  <c r="V2280" i="7"/>
  <c r="V2281" i="7"/>
  <c r="V2282" i="7"/>
  <c r="V2283" i="7"/>
  <c r="P218" i="7"/>
  <c r="AU218" i="7" s="1"/>
  <c r="P236" i="7"/>
  <c r="AU236" i="7" s="1"/>
  <c r="P230" i="7"/>
  <c r="AU230" i="7" s="1"/>
  <c r="P215" i="7"/>
  <c r="AU215" i="7" s="1"/>
  <c r="P219" i="7"/>
  <c r="AU219" i="7" s="1"/>
  <c r="P228" i="7"/>
  <c r="AU228" i="7" s="1"/>
  <c r="P231" i="7"/>
  <c r="AU231" i="7" s="1"/>
  <c r="P222" i="7"/>
  <c r="AU222" i="7" s="1"/>
  <c r="P216" i="7"/>
  <c r="AU216" i="7" s="1"/>
  <c r="P220" i="7"/>
  <c r="AU220" i="7" s="1"/>
  <c r="P221" i="7"/>
  <c r="AU221" i="7" s="1"/>
  <c r="P217" i="7"/>
  <c r="AU217" i="7" s="1"/>
  <c r="P100" i="7"/>
  <c r="AU100" i="7" s="1"/>
  <c r="P102" i="7"/>
  <c r="AU102" i="7" s="1"/>
  <c r="P105" i="7"/>
  <c r="AU105" i="7" s="1"/>
  <c r="P104" i="7"/>
  <c r="AU104" i="7" s="1"/>
  <c r="P103" i="7"/>
  <c r="AU103" i="7" s="1"/>
  <c r="P101" i="7"/>
  <c r="AU101" i="7" s="1"/>
  <c r="P189" i="7"/>
  <c r="AU189" i="7" s="1"/>
  <c r="P196" i="7"/>
  <c r="AU196" i="7" s="1"/>
  <c r="P197" i="7"/>
  <c r="AU197" i="7" s="1"/>
  <c r="P194" i="7"/>
  <c r="AU194" i="7" s="1"/>
  <c r="P192" i="7"/>
  <c r="AU192" i="7" s="1"/>
  <c r="P137" i="7"/>
  <c r="AU137" i="7" s="1"/>
  <c r="P4" i="7"/>
  <c r="AU4" i="7" s="1"/>
  <c r="P139" i="7"/>
  <c r="AU139" i="7" s="1"/>
  <c r="P190" i="7"/>
  <c r="AU190" i="7" s="1"/>
  <c r="P138" i="7"/>
  <c r="AU138" i="7" s="1"/>
  <c r="P136" i="7"/>
  <c r="AU136" i="7" s="1"/>
  <c r="P227" i="7"/>
  <c r="AU227" i="7" s="1"/>
  <c r="P224" i="7"/>
  <c r="AU224" i="7" s="1"/>
  <c r="P225" i="7"/>
  <c r="AU225" i="7" s="1"/>
  <c r="P226" i="7"/>
  <c r="AU226" i="7" s="1"/>
  <c r="P2202" i="7"/>
  <c r="AU2202" i="7" s="1"/>
  <c r="P108" i="7"/>
  <c r="AU108" i="7" s="1"/>
  <c r="P109" i="7"/>
  <c r="AU109" i="7" s="1"/>
  <c r="P107" i="7"/>
  <c r="AU107" i="7" s="1"/>
  <c r="P111" i="7"/>
  <c r="AU111" i="7" s="1"/>
  <c r="P112" i="7"/>
  <c r="AU112" i="7" s="1"/>
  <c r="P110" i="7"/>
  <c r="AU110" i="7" s="1"/>
  <c r="P96" i="7"/>
  <c r="AU96" i="7" s="1"/>
  <c r="P47" i="7"/>
  <c r="AU47" i="7" s="1"/>
  <c r="P54" i="7"/>
  <c r="AU54" i="7" s="1"/>
  <c r="P193" i="7"/>
  <c r="AU193" i="7" s="1"/>
  <c r="P187" i="7"/>
  <c r="AU187" i="7" s="1"/>
  <c r="P186" i="7"/>
  <c r="AU186" i="7" s="1"/>
  <c r="P195" i="7"/>
  <c r="AU195" i="7" s="1"/>
  <c r="P126" i="7"/>
  <c r="AU126" i="7" s="1"/>
  <c r="P125" i="7"/>
  <c r="AU125" i="7" s="1"/>
  <c r="P26" i="7"/>
  <c r="AU26" i="7" s="1"/>
  <c r="P27" i="7"/>
  <c r="AU27" i="7" s="1"/>
  <c r="P28" i="7"/>
  <c r="AU28" i="7" s="1"/>
  <c r="P29" i="7"/>
  <c r="AU29" i="7" s="1"/>
  <c r="P30" i="7"/>
  <c r="AU30" i="7" s="1"/>
  <c r="P31" i="7"/>
  <c r="AU31" i="7" s="1"/>
  <c r="P32" i="7"/>
  <c r="AU32" i="7" s="1"/>
  <c r="P33" i="7"/>
  <c r="AU33" i="7" s="1"/>
  <c r="P34" i="7"/>
  <c r="AU34" i="7" s="1"/>
  <c r="P35" i="7"/>
  <c r="AU35" i="7" s="1"/>
  <c r="P36" i="7"/>
  <c r="AU36" i="7" s="1"/>
  <c r="P37" i="7"/>
  <c r="AU37" i="7" s="1"/>
  <c r="P38" i="7"/>
  <c r="AU38" i="7" s="1"/>
  <c r="P39" i="7"/>
  <c r="AU39" i="7" s="1"/>
  <c r="P40" i="7"/>
  <c r="AU40" i="7" s="1"/>
  <c r="P41" i="7"/>
  <c r="AU41" i="7" s="1"/>
  <c r="P3" i="7"/>
  <c r="AU3" i="7" s="1"/>
  <c r="P6" i="7"/>
  <c r="AU6" i="7" s="1"/>
  <c r="P66" i="7"/>
  <c r="AU66" i="7" s="1"/>
  <c r="P5" i="7"/>
  <c r="AU5" i="7" s="1"/>
  <c r="P65" i="7"/>
  <c r="AU65" i="7" s="1"/>
  <c r="P191" i="7"/>
  <c r="AU191" i="7" s="1"/>
  <c r="P188" i="7"/>
  <c r="AU188" i="7" s="1"/>
  <c r="P124" i="7"/>
  <c r="AU124" i="7" s="1"/>
  <c r="P64" i="7"/>
  <c r="AU64" i="7" s="1"/>
  <c r="P63" i="7"/>
  <c r="AU63" i="7" s="1"/>
  <c r="P150" i="7"/>
  <c r="AU150" i="7" s="1"/>
  <c r="P154" i="7"/>
  <c r="AU154" i="7" s="1"/>
  <c r="P156" i="7"/>
  <c r="AU156" i="7" s="1"/>
  <c r="P155" i="7"/>
  <c r="AU155" i="7" s="1"/>
  <c r="P97" i="7"/>
  <c r="AU97" i="7" s="1"/>
  <c r="P92" i="7"/>
  <c r="AU92" i="7" s="1"/>
  <c r="P88" i="7"/>
  <c r="AU88" i="7" s="1"/>
  <c r="P87" i="7"/>
  <c r="AU87" i="7" s="1"/>
  <c r="P89" i="7"/>
  <c r="AU89" i="7" s="1"/>
  <c r="P91" i="7"/>
  <c r="AU91" i="7" s="1"/>
  <c r="P80" i="7"/>
  <c r="AU80" i="7" s="1"/>
  <c r="P82" i="7"/>
  <c r="AU82" i="7" s="1"/>
  <c r="P94" i="7"/>
  <c r="AU94" i="7" s="1"/>
  <c r="P52" i="7"/>
  <c r="AU52" i="7" s="1"/>
  <c r="P50" i="7"/>
  <c r="AU50" i="7" s="1"/>
  <c r="P48" i="7"/>
  <c r="AU48" i="7" s="1"/>
  <c r="P51" i="7"/>
  <c r="AU51" i="7" s="1"/>
  <c r="P90" i="7"/>
  <c r="AU90" i="7" s="1"/>
  <c r="P79" i="7"/>
  <c r="AU79" i="7" s="1"/>
  <c r="P81" i="7"/>
  <c r="AU81" i="7" s="1"/>
  <c r="P93" i="7"/>
  <c r="AU93" i="7" s="1"/>
  <c r="P46" i="7"/>
  <c r="AU46" i="7" s="1"/>
  <c r="P53" i="7"/>
  <c r="AU53" i="7" s="1"/>
  <c r="P675" i="7"/>
  <c r="AU675" i="7" s="1"/>
  <c r="P183" i="7"/>
  <c r="AU183" i="7" s="1"/>
  <c r="P182" i="7"/>
  <c r="AU182" i="7" s="1"/>
  <c r="P427" i="7"/>
  <c r="AU427" i="7" s="1"/>
  <c r="P418" i="7"/>
  <c r="AU418" i="7" s="1"/>
  <c r="P419" i="7"/>
  <c r="AU419" i="7" s="1"/>
  <c r="P424" i="7"/>
  <c r="AU424" i="7" s="1"/>
  <c r="P429" i="7"/>
  <c r="AU429" i="7" s="1"/>
  <c r="P167" i="7"/>
  <c r="AU167" i="7" s="1"/>
  <c r="P157" i="7"/>
  <c r="AU157" i="7" s="1"/>
  <c r="P179" i="7"/>
  <c r="AU179" i="7" s="1"/>
  <c r="P178" i="7"/>
  <c r="AU178" i="7" s="1"/>
  <c r="P152" i="7"/>
  <c r="AU152" i="7" s="1"/>
  <c r="P168" i="7"/>
  <c r="AU168" i="7" s="1"/>
  <c r="P174" i="7"/>
  <c r="AU174" i="7" s="1"/>
  <c r="P172" i="7"/>
  <c r="AU172" i="7" s="1"/>
  <c r="P153" i="7"/>
  <c r="AU153" i="7" s="1"/>
  <c r="P171" i="7"/>
  <c r="AU171" i="7" s="1"/>
  <c r="P177" i="7"/>
  <c r="AU177" i="7" s="1"/>
  <c r="P163" i="7"/>
  <c r="AU163" i="7" s="1"/>
  <c r="P170" i="7"/>
  <c r="AU170" i="7" s="1"/>
  <c r="P173" i="7"/>
  <c r="AU173" i="7" s="1"/>
  <c r="P175" i="7"/>
  <c r="AU175" i="7" s="1"/>
  <c r="P164" i="7"/>
  <c r="AU164" i="7" s="1"/>
  <c r="P166" i="7"/>
  <c r="AU166" i="7" s="1"/>
  <c r="P165" i="7"/>
  <c r="AU165" i="7" s="1"/>
  <c r="P184" i="7"/>
  <c r="AU184" i="7" s="1"/>
  <c r="P180" i="7"/>
  <c r="AU180" i="7" s="1"/>
  <c r="P185" i="7"/>
  <c r="AU185" i="7" s="1"/>
  <c r="P421" i="7"/>
  <c r="AU421" i="7" s="1"/>
  <c r="P162" i="7"/>
  <c r="AU162" i="7" s="1"/>
  <c r="P151" i="7"/>
  <c r="AU151" i="7" s="1"/>
  <c r="P149" i="7"/>
  <c r="AU149" i="7" s="1"/>
  <c r="P161" i="7"/>
  <c r="AU161" i="7" s="1"/>
  <c r="P176" i="7"/>
  <c r="AU176" i="7" s="1"/>
  <c r="P158" i="7"/>
  <c r="AU158" i="7" s="1"/>
  <c r="P181" i="7"/>
  <c r="AU181" i="7" s="1"/>
  <c r="P410" i="7"/>
  <c r="AU410" i="7" s="1"/>
  <c r="P2001" i="7"/>
  <c r="AU2001" i="7" s="1"/>
  <c r="P1620" i="7"/>
  <c r="AU1620" i="7" s="1"/>
  <c r="P821" i="7"/>
  <c r="AU821" i="7" s="1"/>
  <c r="P1179" i="7"/>
  <c r="AU1179" i="7" s="1"/>
  <c r="P1482" i="7"/>
  <c r="AU1482" i="7" s="1"/>
  <c r="P283" i="7"/>
  <c r="AU283" i="7" s="1"/>
  <c r="P1651" i="7"/>
  <c r="AU1651" i="7" s="1"/>
  <c r="P1972" i="7"/>
  <c r="AU1972" i="7" s="1"/>
  <c r="P1973" i="7"/>
  <c r="AU1973" i="7" s="1"/>
  <c r="P1938" i="7"/>
  <c r="AU1938" i="7" s="1"/>
  <c r="P1648" i="7"/>
  <c r="AU1648" i="7" s="1"/>
  <c r="P247" i="7"/>
  <c r="AU247" i="7" s="1"/>
  <c r="P123" i="7"/>
  <c r="AU123" i="7" s="1"/>
  <c r="P252" i="7"/>
  <c r="AU252" i="7" s="1"/>
  <c r="P1169" i="7"/>
  <c r="AU1169" i="7" s="1"/>
  <c r="P1685" i="7"/>
  <c r="AU1685" i="7" s="1"/>
  <c r="P384" i="7"/>
  <c r="AU384" i="7" s="1"/>
  <c r="P269" i="7"/>
  <c r="AU269" i="7" s="1"/>
  <c r="P282" i="7"/>
  <c r="AU282" i="7" s="1"/>
  <c r="P311" i="7"/>
  <c r="AU311" i="7" s="1"/>
  <c r="P1029" i="7"/>
  <c r="AU1029" i="7" s="1"/>
  <c r="P559" i="7"/>
  <c r="AU559" i="7" s="1"/>
  <c r="P1133" i="7"/>
  <c r="AU1133" i="7" s="1"/>
  <c r="P463" i="7"/>
  <c r="AU463" i="7" s="1"/>
  <c r="P2197" i="7"/>
  <c r="AU2197" i="7" s="1"/>
  <c r="P1978" i="7"/>
  <c r="P62" i="7"/>
  <c r="AU62" i="7" s="1"/>
  <c r="P61" i="7"/>
  <c r="AU61" i="7" s="1"/>
  <c r="P85" i="7"/>
  <c r="AU85" i="7" s="1"/>
  <c r="P83" i="7"/>
  <c r="AU83" i="7" s="1"/>
  <c r="P84" i="7"/>
  <c r="AU84" i="7" s="1"/>
  <c r="P86" i="7"/>
  <c r="AU86" i="7" s="1"/>
  <c r="P24" i="7"/>
  <c r="AU24" i="7" s="1"/>
  <c r="P25" i="7"/>
  <c r="AU25" i="7" s="1"/>
  <c r="P57" i="7"/>
  <c r="AU57" i="7" s="1"/>
  <c r="P59" i="7"/>
  <c r="AU59" i="7" s="1"/>
  <c r="P45" i="7"/>
  <c r="AU45" i="7" s="1"/>
  <c r="P58" i="7"/>
  <c r="AU58" i="7" s="1"/>
  <c r="P56" i="7"/>
  <c r="AU56" i="7" s="1"/>
  <c r="P385" i="7"/>
  <c r="AU385" i="7" s="1"/>
  <c r="P383" i="7"/>
  <c r="AU383" i="7" s="1"/>
  <c r="P1045" i="7"/>
  <c r="AU1045" i="7" s="1"/>
  <c r="P1688" i="7"/>
  <c r="AU1688" i="7" s="1"/>
  <c r="P1279" i="7"/>
  <c r="AU1279" i="7" s="1"/>
  <c r="P842" i="7"/>
  <c r="AU842" i="7" s="1"/>
  <c r="P262" i="7"/>
  <c r="AU262" i="7" s="1"/>
  <c r="P1077" i="7"/>
  <c r="AU1077" i="7" s="1"/>
  <c r="P1728" i="7"/>
  <c r="AU1728" i="7" s="1"/>
  <c r="P44" i="7"/>
  <c r="AU44" i="7" s="1"/>
  <c r="P314" i="7"/>
  <c r="AU314" i="7" s="1"/>
  <c r="P313" i="7"/>
  <c r="AU313" i="7" s="1"/>
  <c r="P408" i="7"/>
  <c r="AU408" i="7" s="1"/>
  <c r="P271" i="7"/>
  <c r="AU271" i="7" s="1"/>
  <c r="P447" i="7"/>
  <c r="AU447" i="7" s="1"/>
  <c r="P1068" i="7"/>
  <c r="AU1068" i="7" s="1"/>
  <c r="P1342" i="7"/>
  <c r="AU1342" i="7" s="1"/>
  <c r="P1041" i="7"/>
  <c r="AU1041" i="7" s="1"/>
  <c r="P543" i="7"/>
  <c r="AU543" i="7" s="1"/>
  <c r="P1856" i="7"/>
  <c r="AU1856" i="7" s="1"/>
  <c r="P875" i="7"/>
  <c r="AU875" i="7" s="1"/>
  <c r="P1409" i="7"/>
  <c r="AU1409" i="7" s="1"/>
  <c r="P1234" i="7"/>
  <c r="AU1234" i="7" s="1"/>
  <c r="P1261" i="7"/>
  <c r="AU1261" i="7" s="1"/>
  <c r="P955" i="7"/>
  <c r="AU955" i="7" s="1"/>
  <c r="P1035" i="7"/>
  <c r="AU1035" i="7" s="1"/>
  <c r="P20" i="7"/>
  <c r="AU20" i="7" s="1"/>
  <c r="P21" i="7"/>
  <c r="AU21" i="7" s="1"/>
  <c r="P23" i="7"/>
  <c r="AU23" i="7" s="1"/>
  <c r="P331" i="7"/>
  <c r="AU331" i="7" s="1"/>
  <c r="P330" i="7"/>
  <c r="AU330" i="7" s="1"/>
  <c r="P1502" i="7"/>
  <c r="AU1502" i="7" s="1"/>
  <c r="P294" i="7"/>
  <c r="AU294" i="7" s="1"/>
  <c r="P809" i="7"/>
  <c r="AU809" i="7" s="1"/>
  <c r="P261" i="7"/>
  <c r="AU261" i="7" s="1"/>
  <c r="P2023" i="7"/>
  <c r="AU2023" i="7" s="1"/>
  <c r="P2097" i="7"/>
  <c r="AU2097" i="7" s="1"/>
  <c r="P260" i="7"/>
  <c r="AU260" i="7" s="1"/>
  <c r="P210" i="7"/>
  <c r="AU210" i="7" s="1"/>
  <c r="P201" i="7"/>
  <c r="AU201" i="7" s="1"/>
  <c r="P409" i="7"/>
  <c r="AU409" i="7" s="1"/>
  <c r="P1703" i="7"/>
  <c r="AU1703" i="7" s="1"/>
  <c r="P1561" i="7"/>
  <c r="AU1561" i="7" s="1"/>
  <c r="P1529" i="7"/>
  <c r="AU1529" i="7" s="1"/>
  <c r="P1584" i="7"/>
  <c r="AU1584" i="7" s="1"/>
  <c r="P804" i="7"/>
  <c r="AU804" i="7" s="1"/>
  <c r="P1660" i="7"/>
  <c r="AU1660" i="7" s="1"/>
  <c r="P1199" i="7"/>
  <c r="AU1199" i="7" s="1"/>
  <c r="P1263" i="7"/>
  <c r="AU1263" i="7" s="1"/>
  <c r="P1344" i="7"/>
  <c r="AU1344" i="7" s="1"/>
  <c r="P22" i="7"/>
  <c r="AU22" i="7" s="1"/>
  <c r="P2035" i="7"/>
  <c r="AU2035" i="7" s="1"/>
  <c r="P1950" i="7"/>
  <c r="AU1950" i="7" s="1"/>
  <c r="P249" i="7"/>
  <c r="AU249" i="7" s="1"/>
  <c r="P300" i="7"/>
  <c r="AU300" i="7" s="1"/>
  <c r="P2201" i="7"/>
  <c r="AU2201" i="7" s="1"/>
  <c r="P245" i="7"/>
  <c r="AU245" i="7" s="1"/>
  <c r="P1486" i="7"/>
  <c r="P1352" i="7"/>
  <c r="AU1352" i="7" s="1"/>
  <c r="P1413" i="7"/>
  <c r="AU1413" i="7" s="1"/>
  <c r="P1889" i="7"/>
  <c r="AU1889" i="7" s="1"/>
  <c r="P2059" i="7"/>
  <c r="AU2059" i="7" s="1"/>
  <c r="P1076" i="7"/>
  <c r="AU1076" i="7" s="1"/>
  <c r="P1274" i="7"/>
  <c r="AU1274" i="7" s="1"/>
  <c r="P1819" i="7"/>
  <c r="AU1819" i="7" s="1"/>
  <c r="P303" i="7"/>
  <c r="AU303" i="7" s="1"/>
  <c r="P1468" i="7"/>
  <c r="AU1468" i="7" s="1"/>
  <c r="P1483" i="7"/>
  <c r="AU1483" i="7" s="1"/>
  <c r="P7" i="7"/>
  <c r="AU7" i="7" s="1"/>
  <c r="P202" i="7"/>
  <c r="AU202" i="7" s="1"/>
  <c r="P1158" i="7"/>
  <c r="AU1158" i="7" s="1"/>
  <c r="P1194" i="7"/>
  <c r="AU1194" i="7" s="1"/>
  <c r="P1288" i="7"/>
  <c r="AU1288" i="7" s="1"/>
  <c r="P498" i="7"/>
  <c r="AU498" i="7" s="1"/>
  <c r="P1852" i="7"/>
  <c r="AU1852" i="7" s="1"/>
  <c r="P468" i="7"/>
  <c r="AU468" i="7" s="1"/>
  <c r="P455" i="7"/>
  <c r="AU455" i="7" s="1"/>
  <c r="P2031" i="7"/>
  <c r="AU2031" i="7" s="1"/>
  <c r="P2226" i="7"/>
  <c r="AU2226" i="7" s="1"/>
  <c r="P1984" i="7"/>
  <c r="AU1984" i="7" s="1"/>
  <c r="P1933" i="7"/>
  <c r="AU1933" i="7" s="1"/>
  <c r="P2146" i="7"/>
  <c r="AU2146" i="7" s="1"/>
  <c r="P2104" i="7"/>
  <c r="AU2104" i="7" s="1"/>
  <c r="P1539" i="7"/>
  <c r="AU1539" i="7" s="1"/>
  <c r="P2065" i="7"/>
  <c r="AU2065" i="7" s="1"/>
  <c r="P1881" i="7"/>
  <c r="AU1881" i="7" s="1"/>
  <c r="P1294" i="7"/>
  <c r="AU1294" i="7" s="1"/>
  <c r="P381" i="7"/>
  <c r="AU381" i="7" s="1"/>
  <c r="P270" i="7"/>
  <c r="AU270" i="7" s="1"/>
  <c r="P229" i="7"/>
  <c r="AU229" i="7" s="1"/>
  <c r="P209" i="7"/>
  <c r="AU209" i="7" s="1"/>
  <c r="P200" i="7"/>
  <c r="AU200" i="7" s="1"/>
  <c r="P223" i="7"/>
  <c r="AU223" i="7" s="1"/>
  <c r="P312" i="7"/>
  <c r="AU312" i="7" s="1"/>
  <c r="P1588" i="7"/>
  <c r="AU1588" i="7" s="1"/>
  <c r="P1101" i="7"/>
  <c r="AU1101" i="7" s="1"/>
  <c r="P1630" i="7"/>
  <c r="AU1630" i="7" s="1"/>
  <c r="P1054" i="7"/>
  <c r="AU1054" i="7" s="1"/>
  <c r="P871" i="7"/>
  <c r="AU871" i="7" s="1"/>
  <c r="P1944" i="7"/>
  <c r="AU1944" i="7" s="1"/>
  <c r="P1681" i="7"/>
  <c r="AU1681" i="7" s="1"/>
  <c r="P1368" i="7"/>
  <c r="AU1368" i="7" s="1"/>
  <c r="P1813" i="7"/>
  <c r="AU1813" i="7" s="1"/>
  <c r="P1211" i="7"/>
  <c r="AU1211" i="7" s="1"/>
  <c r="P1283" i="7"/>
  <c r="AU1283" i="7" s="1"/>
  <c r="P1562" i="7"/>
  <c r="AU1562" i="7" s="1"/>
  <c r="P1963" i="7"/>
  <c r="AU1963" i="7" s="1"/>
  <c r="P2058" i="7"/>
  <c r="AU2058" i="7" s="1"/>
  <c r="P2166" i="7"/>
  <c r="AU2166" i="7" s="1"/>
  <c r="P1989" i="7"/>
  <c r="AU1989" i="7" s="1"/>
  <c r="P1910" i="7"/>
  <c r="AU1910" i="7" s="1"/>
  <c r="P1994" i="7"/>
  <c r="AU1994" i="7" s="1"/>
  <c r="P1253" i="7"/>
  <c r="AU1253" i="7" s="1"/>
  <c r="P1204" i="7"/>
  <c r="AU1204" i="7" s="1"/>
  <c r="P560" i="7"/>
  <c r="AU560" i="7" s="1"/>
  <c r="P1130" i="7"/>
  <c r="AU1130" i="7" s="1"/>
  <c r="P1649" i="7"/>
  <c r="AU1649" i="7" s="1"/>
  <c r="P580" i="7"/>
  <c r="AU580" i="7" s="1"/>
  <c r="P1289" i="7"/>
  <c r="AU1289" i="7" s="1"/>
  <c r="P1357" i="7"/>
  <c r="AU1357" i="7" s="1"/>
  <c r="P1338" i="7"/>
  <c r="AU1338" i="7" s="1"/>
  <c r="P1079" i="7"/>
  <c r="AU1079" i="7" s="1"/>
  <c r="P1306" i="7"/>
  <c r="AU1306" i="7" s="1"/>
  <c r="P1071" i="7"/>
  <c r="AU1071" i="7" s="1"/>
  <c r="P956" i="7"/>
  <c r="AU956" i="7" s="1"/>
  <c r="P2074" i="7"/>
  <c r="AU2074" i="7" s="1"/>
  <c r="P880" i="7"/>
  <c r="AU880" i="7" s="1"/>
  <c r="P1710" i="7"/>
  <c r="AU1710" i="7" s="1"/>
  <c r="P1929" i="7"/>
  <c r="AU1929" i="7" s="1"/>
  <c r="P2093" i="7"/>
  <c r="AU2093" i="7" s="1"/>
  <c r="P2229" i="7"/>
  <c r="AU2229" i="7" s="1"/>
  <c r="P1953" i="7"/>
  <c r="AU1953" i="7" s="1"/>
  <c r="P646" i="7"/>
  <c r="AU646" i="7" s="1"/>
  <c r="P324" i="7"/>
  <c r="AU324" i="7" s="1"/>
  <c r="P319" i="7"/>
  <c r="AU319" i="7" s="1"/>
  <c r="P351" i="7"/>
  <c r="AU351" i="7" s="1"/>
  <c r="P340" i="7"/>
  <c r="AU340" i="7" s="1"/>
  <c r="P464" i="7"/>
  <c r="AU464" i="7" s="1"/>
  <c r="P1097" i="7"/>
  <c r="AU1097" i="7" s="1"/>
  <c r="P1239" i="7"/>
  <c r="AU1239" i="7" s="1"/>
  <c r="P1939" i="7"/>
  <c r="AU1939" i="7" s="1"/>
  <c r="P1387" i="7"/>
  <c r="AU1387" i="7" s="1"/>
  <c r="P430" i="7"/>
  <c r="AU430" i="7" s="1"/>
  <c r="P272" i="7"/>
  <c r="AU272" i="7" s="1"/>
  <c r="P1940" i="7"/>
  <c r="AU1940" i="7" s="1"/>
  <c r="P2111" i="7"/>
  <c r="AU2111" i="7" s="1"/>
  <c r="P2050" i="7"/>
  <c r="AU2050" i="7" s="1"/>
  <c r="P2174" i="7"/>
  <c r="AU2174" i="7" s="1"/>
  <c r="P2149" i="7"/>
  <c r="AU2149" i="7" s="1"/>
  <c r="P2075" i="7"/>
  <c r="AU2075" i="7" s="1"/>
  <c r="P1936" i="7"/>
  <c r="AU1936" i="7" s="1"/>
  <c r="P1532" i="7"/>
  <c r="AU1532" i="7" s="1"/>
  <c r="P1478" i="7"/>
  <c r="AU1478" i="7" s="1"/>
  <c r="P1795" i="7"/>
  <c r="AU1795" i="7" s="1"/>
  <c r="P1426" i="7"/>
  <c r="AU1426" i="7" s="1"/>
  <c r="P371" i="7"/>
  <c r="AU371" i="7" s="1"/>
  <c r="P1434" i="7"/>
  <c r="AU1434" i="7" s="1"/>
  <c r="P1706" i="7"/>
  <c r="AU1706" i="7" s="1"/>
  <c r="P1273" i="7"/>
  <c r="AU1273" i="7" s="1"/>
  <c r="P1531" i="7"/>
  <c r="AU1531" i="7" s="1"/>
  <c r="P1569" i="7"/>
  <c r="AU1569" i="7" s="1"/>
  <c r="P1187" i="7"/>
  <c r="AU1187" i="7" s="1"/>
  <c r="P1365" i="7"/>
  <c r="AU1365" i="7" s="1"/>
  <c r="P1983" i="7"/>
  <c r="AU1983" i="7" s="1"/>
  <c r="P1621" i="7"/>
  <c r="AU1621" i="7" s="1"/>
  <c r="P1609" i="7"/>
  <c r="AU1609" i="7" s="1"/>
  <c r="P1345" i="7"/>
  <c r="AU1345" i="7" s="1"/>
  <c r="P1955" i="7"/>
  <c r="AU1955" i="7" s="1"/>
  <c r="P1157" i="7"/>
  <c r="AU1157" i="7" s="1"/>
  <c r="P1567" i="7"/>
  <c r="AU1567" i="7" s="1"/>
  <c r="P2022" i="7"/>
  <c r="AU2022" i="7" s="1"/>
  <c r="P1349" i="7"/>
  <c r="AU1349" i="7" s="1"/>
  <c r="P1745" i="7"/>
  <c r="AU1745" i="7" s="1"/>
  <c r="P2076" i="7"/>
  <c r="AU2076" i="7" s="1"/>
  <c r="P1266" i="7"/>
  <c r="AU1266" i="7" s="1"/>
  <c r="P1682" i="7"/>
  <c r="AU1682" i="7" s="1"/>
  <c r="P2046" i="7"/>
  <c r="AU2046" i="7" s="1"/>
  <c r="P1669" i="7"/>
  <c r="AU1669" i="7" s="1"/>
  <c r="P382" i="7"/>
  <c r="AU382" i="7" s="1"/>
  <c r="P259" i="7"/>
  <c r="AU259" i="7" s="1"/>
  <c r="P76" i="7"/>
  <c r="AU76" i="7" s="1"/>
  <c r="P78" i="7"/>
  <c r="AU78" i="7" s="1"/>
  <c r="P597" i="7"/>
  <c r="AU597" i="7" s="1"/>
  <c r="P636" i="7"/>
  <c r="AU636" i="7" s="1"/>
  <c r="P446" i="7"/>
  <c r="AU446" i="7" s="1"/>
  <c r="P631" i="7"/>
  <c r="AU631" i="7" s="1"/>
  <c r="P1017" i="7"/>
  <c r="AU1017" i="7" s="1"/>
  <c r="P584" i="7"/>
  <c r="AU584" i="7" s="1"/>
  <c r="P600" i="7"/>
  <c r="AU600" i="7" s="1"/>
  <c r="P585" i="7"/>
  <c r="AU585" i="7" s="1"/>
  <c r="P594" i="7"/>
  <c r="AU594" i="7" s="1"/>
  <c r="P969" i="7"/>
  <c r="AU969" i="7" s="1"/>
  <c r="P1408" i="7"/>
  <c r="AU1408" i="7" s="1"/>
  <c r="P1023" i="7"/>
  <c r="AU1023" i="7" s="1"/>
  <c r="P1036" i="7"/>
  <c r="AU1036" i="7" s="1"/>
  <c r="P1636" i="7"/>
  <c r="AU1636" i="7" s="1"/>
  <c r="P1917" i="7"/>
  <c r="AU1917" i="7" s="1"/>
  <c r="P1697" i="7"/>
  <c r="AU1697" i="7" s="1"/>
  <c r="P1553" i="7"/>
  <c r="AU1553" i="7" s="1"/>
  <c r="P1811" i="7"/>
  <c r="AU1811" i="7" s="1"/>
  <c r="P671" i="7"/>
  <c r="AU671" i="7" s="1"/>
  <c r="P1229" i="7"/>
  <c r="AU1229" i="7" s="1"/>
  <c r="P2217" i="7"/>
  <c r="AU2217" i="7" s="1"/>
  <c r="P1634" i="7"/>
  <c r="AU1634" i="7" s="1"/>
  <c r="P1719" i="7"/>
  <c r="AU1719" i="7" s="1"/>
  <c r="P1496" i="7"/>
  <c r="AU1496" i="7" s="1"/>
  <c r="P1947" i="7"/>
  <c r="AU1947" i="7" s="1"/>
  <c r="P2044" i="7"/>
  <c r="AU2044" i="7" s="1"/>
  <c r="P2105" i="7"/>
  <c r="AU2105" i="7" s="1"/>
  <c r="P1942" i="7"/>
  <c r="AU1942" i="7" s="1"/>
  <c r="P1965" i="7"/>
  <c r="AU1965" i="7" s="1"/>
  <c r="P788" i="7"/>
  <c r="AU788" i="7" s="1"/>
  <c r="P1842" i="7"/>
  <c r="AU1842" i="7" s="1"/>
  <c r="P1701" i="7"/>
  <c r="AU1701" i="7" s="1"/>
  <c r="P1968" i="7"/>
  <c r="AU1968" i="7" s="1"/>
  <c r="P1295" i="7"/>
  <c r="AU1295" i="7" s="1"/>
  <c r="P1155" i="7"/>
  <c r="AU1155" i="7" s="1"/>
  <c r="P1174" i="7"/>
  <c r="AU1174" i="7" s="1"/>
  <c r="P1473" i="7"/>
  <c r="AU1473" i="7" s="1"/>
  <c r="P1550" i="7"/>
  <c r="AU1550" i="7" s="1"/>
  <c r="P950" i="7"/>
  <c r="AU950" i="7" s="1"/>
  <c r="P1608" i="7"/>
  <c r="AU1608" i="7" s="1"/>
  <c r="P1602" i="7"/>
  <c r="AU1602" i="7" s="1"/>
  <c r="P1612" i="7"/>
  <c r="AU1612" i="7" s="1"/>
  <c r="P1516" i="7"/>
  <c r="AU1516" i="7" s="1"/>
  <c r="P1578" i="7"/>
  <c r="AU1578" i="7" s="1"/>
  <c r="P1540" i="7"/>
  <c r="AU1540" i="7" s="1"/>
  <c r="P1593" i="7"/>
  <c r="AU1593" i="7" s="1"/>
  <c r="P1573" i="7"/>
  <c r="AU1573" i="7" s="1"/>
  <c r="P1574" i="7"/>
  <c r="AU1574" i="7" s="1"/>
  <c r="P1931" i="7"/>
  <c r="AU1931" i="7" s="1"/>
  <c r="P1351" i="7"/>
  <c r="AU1351" i="7" s="1"/>
  <c r="P587" i="7"/>
  <c r="AU587" i="7" s="1"/>
  <c r="P1117" i="7"/>
  <c r="AU1117" i="7" s="1"/>
  <c r="P1146" i="7"/>
  <c r="AU1146" i="7" s="1"/>
  <c r="P1617" i="7"/>
  <c r="AU1617" i="7" s="1"/>
  <c r="P619" i="7"/>
  <c r="AU619" i="7" s="1"/>
  <c r="P1831" i="7"/>
  <c r="AU1831" i="7" s="1"/>
  <c r="P1181" i="7"/>
  <c r="AU1181" i="7" s="1"/>
  <c r="P1707" i="7"/>
  <c r="AU1707" i="7" s="1"/>
  <c r="P1789" i="7"/>
  <c r="P1120" i="7"/>
  <c r="AU1120" i="7" s="1"/>
  <c r="P1884" i="7"/>
  <c r="AU1884" i="7" s="1"/>
  <c r="P2061" i="7"/>
  <c r="AU2061" i="7" s="1"/>
  <c r="P1925" i="7"/>
  <c r="AU1925" i="7" s="1"/>
  <c r="P296" i="7"/>
  <c r="AU296" i="7" s="1"/>
  <c r="P355" i="7"/>
  <c r="AU355" i="7" s="1"/>
  <c r="P350" i="7"/>
  <c r="AU350" i="7" s="1"/>
  <c r="P346" i="7"/>
  <c r="AU346" i="7" s="1"/>
  <c r="P2147" i="7"/>
  <c r="AU2147" i="7" s="1"/>
  <c r="P1236" i="7"/>
  <c r="AU1236" i="7" s="1"/>
  <c r="P1742" i="7"/>
  <c r="AU1742" i="7" s="1"/>
  <c r="P1828" i="7"/>
  <c r="AU1828" i="7" s="1"/>
  <c r="P1858" i="7"/>
  <c r="AU1858" i="7" s="1"/>
  <c r="P1804" i="7"/>
  <c r="AU1804" i="7" s="1"/>
  <c r="P1721" i="7"/>
  <c r="P1112" i="7"/>
  <c r="AU1112" i="7" s="1"/>
  <c r="P1576" i="7"/>
  <c r="AU1576" i="7" s="1"/>
  <c r="P1046" i="7"/>
  <c r="AU1046" i="7" s="1"/>
  <c r="P1268" i="7"/>
  <c r="AU1268" i="7" s="1"/>
  <c r="P1249" i="7"/>
  <c r="AU1249" i="7" s="1"/>
  <c r="P1300" i="7"/>
  <c r="AU1300" i="7" s="1"/>
  <c r="P1335" i="7"/>
  <c r="AU1335" i="7" s="1"/>
  <c r="P1372" i="7"/>
  <c r="AU1372" i="7" s="1"/>
  <c r="P1661" i="7"/>
  <c r="AU1661" i="7" s="1"/>
  <c r="P1430" i="7"/>
  <c r="AU1430" i="7" s="1"/>
  <c r="P1892" i="7"/>
  <c r="AU1892" i="7" s="1"/>
  <c r="P2163" i="7"/>
  <c r="AU2163" i="7" s="1"/>
  <c r="P2158" i="7"/>
  <c r="AU2158" i="7" s="1"/>
  <c r="P2134" i="7"/>
  <c r="AU2134" i="7" s="1"/>
  <c r="P2168" i="7"/>
  <c r="AU2168" i="7" s="1"/>
  <c r="P2216" i="7"/>
  <c r="AU2216" i="7" s="1"/>
  <c r="P2124" i="7"/>
  <c r="AU2124" i="7" s="1"/>
  <c r="P2220" i="7"/>
  <c r="AU2220" i="7" s="1"/>
  <c r="P60" i="7"/>
  <c r="AU60" i="7" s="1"/>
  <c r="P237" i="7"/>
  <c r="AU237" i="7" s="1"/>
  <c r="P251" i="7"/>
  <c r="AU251" i="7" s="1"/>
  <c r="P1919" i="7"/>
  <c r="AU1919" i="7" s="1"/>
  <c r="P1896" i="7"/>
  <c r="AU1896" i="7" s="1"/>
  <c r="P1903" i="7"/>
  <c r="AU1903" i="7" s="1"/>
  <c r="P1941" i="7"/>
  <c r="AU1941" i="7" s="1"/>
  <c r="P2137" i="7"/>
  <c r="AU2137" i="7" s="1"/>
  <c r="P2155" i="7"/>
  <c r="AU2155" i="7" s="1"/>
  <c r="P2051" i="7"/>
  <c r="AU2051" i="7" s="1"/>
  <c r="P2152" i="7"/>
  <c r="AU2152" i="7" s="1"/>
  <c r="P1639" i="7"/>
  <c r="AU1639" i="7" s="1"/>
  <c r="P2157" i="7"/>
  <c r="AU2157" i="7" s="1"/>
  <c r="P1914" i="7"/>
  <c r="AU1914" i="7" s="1"/>
  <c r="P1739" i="7"/>
  <c r="AU1739" i="7" s="1"/>
  <c r="P2107" i="7"/>
  <c r="AU2107" i="7" s="1"/>
  <c r="P1948" i="7"/>
  <c r="AU1948" i="7" s="1"/>
  <c r="P1996" i="7"/>
  <c r="AU1996" i="7" s="1"/>
  <c r="P1493" i="7"/>
  <c r="AU1493" i="7" s="1"/>
  <c r="P1969" i="7"/>
  <c r="AU1969" i="7" s="1"/>
  <c r="P1712" i="7"/>
  <c r="AU1712" i="7" s="1"/>
  <c r="P1734" i="7"/>
  <c r="AU1734" i="7" s="1"/>
  <c r="P1510" i="7"/>
  <c r="AU1510" i="7" s="1"/>
  <c r="P2032" i="7"/>
  <c r="AU2032" i="7" s="1"/>
  <c r="P2041" i="7"/>
  <c r="AU2041" i="7" s="1"/>
  <c r="P2020" i="7"/>
  <c r="AU2020" i="7" s="1"/>
  <c r="P1975" i="7"/>
  <c r="P1747" i="7"/>
  <c r="AU1747" i="7" s="1"/>
  <c r="P783" i="7"/>
  <c r="AU783" i="7" s="1"/>
  <c r="P1556" i="7"/>
  <c r="AU1556" i="7" s="1"/>
  <c r="P749" i="7"/>
  <c r="AU749" i="7" s="1"/>
  <c r="P1568" i="7"/>
  <c r="AU1568" i="7" s="1"/>
  <c r="P2269" i="7"/>
  <c r="AU2269" i="7" s="1"/>
  <c r="P1905" i="7"/>
  <c r="AU1905" i="7" s="1"/>
  <c r="P2016" i="7"/>
  <c r="AU2016" i="7" s="1"/>
  <c r="P1702" i="7"/>
  <c r="AU1702" i="7" s="1"/>
  <c r="P2084" i="7"/>
  <c r="AU2084" i="7" s="1"/>
  <c r="P1429" i="7"/>
  <c r="AU1429" i="7" s="1"/>
  <c r="P2025" i="7"/>
  <c r="AU2025" i="7" s="1"/>
  <c r="P1618" i="7"/>
  <c r="AU1618" i="7" s="1"/>
  <c r="P1571" i="7"/>
  <c r="AU1571" i="7" s="1"/>
  <c r="P1868" i="7"/>
  <c r="AU1868" i="7" s="1"/>
  <c r="P1501" i="7"/>
  <c r="AU1501" i="7" s="1"/>
  <c r="P2095" i="7"/>
  <c r="AU2095" i="7" s="1"/>
  <c r="P1676" i="7"/>
  <c r="AU1676" i="7" s="1"/>
  <c r="P1684" i="7"/>
  <c r="AU1684" i="7" s="1"/>
  <c r="P2126" i="7"/>
  <c r="AU2126" i="7" s="1"/>
  <c r="P1720" i="7"/>
  <c r="AU1720" i="7" s="1"/>
  <c r="P1960" i="7"/>
  <c r="AU1960" i="7" s="1"/>
  <c r="P1749" i="7"/>
  <c r="AU1749" i="7" s="1"/>
  <c r="P2040" i="7"/>
  <c r="AU2040" i="7" s="1"/>
  <c r="P2139" i="7"/>
  <c r="AU2139" i="7" s="1"/>
  <c r="P2243" i="7"/>
  <c r="AU2243" i="7" s="1"/>
  <c r="P2013" i="7"/>
  <c r="AU2013" i="7" s="1"/>
  <c r="P2017" i="7"/>
  <c r="AU2017" i="7" s="1"/>
  <c r="P2213" i="7"/>
  <c r="AU2213" i="7" s="1"/>
  <c r="P1607" i="7"/>
  <c r="AU1607" i="7" s="1"/>
  <c r="P1683" i="7"/>
  <c r="AU1683" i="7" s="1"/>
  <c r="P2109" i="7"/>
  <c r="AU2109" i="7" s="1"/>
  <c r="P1869" i="7"/>
  <c r="AU1869" i="7" s="1"/>
  <c r="P1371" i="7"/>
  <c r="AU1371" i="7" s="1"/>
  <c r="P1976" i="7"/>
  <c r="AU1976" i="7" s="1"/>
  <c r="P1581" i="7"/>
  <c r="AU1581" i="7" s="1"/>
  <c r="P2179" i="7"/>
  <c r="AU2179" i="7" s="1"/>
  <c r="P971" i="7"/>
  <c r="AU971" i="7" s="1"/>
  <c r="P2006" i="7"/>
  <c r="AU2006" i="7" s="1"/>
  <c r="P1961" i="7"/>
  <c r="AU1961" i="7" s="1"/>
  <c r="P2000" i="7"/>
  <c r="AU2000" i="7" s="1"/>
  <c r="P2161" i="7"/>
  <c r="AU2161" i="7" s="1"/>
  <c r="P2199" i="7"/>
  <c r="AU2199" i="7" s="1"/>
  <c r="P2150" i="7"/>
  <c r="AU2150" i="7" s="1"/>
  <c r="P2169" i="7"/>
  <c r="AU2169" i="7" s="1"/>
  <c r="P2128" i="7"/>
  <c r="AU2128" i="7" s="1"/>
  <c r="P1694" i="7"/>
  <c r="AU1694" i="7" s="1"/>
  <c r="P2082" i="7"/>
  <c r="AU2082" i="7" s="1"/>
  <c r="P2033" i="7"/>
  <c r="AU2033" i="7" s="1"/>
  <c r="P516" i="7"/>
  <c r="AU516" i="7" s="1"/>
  <c r="P1147" i="7"/>
  <c r="AU1147" i="7" s="1"/>
  <c r="P524" i="7"/>
  <c r="AU524" i="7" s="1"/>
  <c r="P541" i="7"/>
  <c r="AU541" i="7" s="1"/>
  <c r="P437" i="7"/>
  <c r="AU437" i="7" s="1"/>
  <c r="P412" i="7"/>
  <c r="AU412" i="7" s="1"/>
  <c r="P1871" i="7"/>
  <c r="AU1871" i="7" s="1"/>
  <c r="P2115" i="7"/>
  <c r="AU2115" i="7" s="1"/>
  <c r="P1920" i="7"/>
  <c r="AU1920" i="7" s="1"/>
  <c r="P1424" i="7"/>
  <c r="AU1424" i="7" s="1"/>
  <c r="P1824" i="7"/>
  <c r="AU1824" i="7" s="1"/>
  <c r="P1922" i="7"/>
  <c r="AU1922" i="7" s="1"/>
  <c r="P2063" i="7"/>
  <c r="AU2063" i="7" s="1"/>
  <c r="P2012" i="7"/>
  <c r="AU2012" i="7" s="1"/>
  <c r="P1909" i="7"/>
  <c r="AU1909" i="7" s="1"/>
  <c r="P1912" i="7"/>
  <c r="AU1912" i="7" s="1"/>
  <c r="P1647" i="7"/>
  <c r="AU1647" i="7" s="1"/>
  <c r="P433" i="7"/>
  <c r="AU433" i="7" s="1"/>
  <c r="P700" i="7"/>
  <c r="AU700" i="7" s="1"/>
  <c r="P2011" i="7"/>
  <c r="AU2011" i="7" s="1"/>
  <c r="P1619" i="7"/>
  <c r="P2205" i="7"/>
  <c r="AU2205" i="7" s="1"/>
  <c r="P2140" i="7"/>
  <c r="AU2140" i="7" s="1"/>
  <c r="P1779" i="7"/>
  <c r="AU1779" i="7" s="1"/>
  <c r="P1827" i="7"/>
  <c r="AU1827" i="7" s="1"/>
  <c r="P1822" i="7"/>
  <c r="AU1822" i="7" s="1"/>
  <c r="P159" i="7"/>
  <c r="AU159" i="7" s="1"/>
  <c r="P160" i="7"/>
  <c r="AU160" i="7" s="1"/>
  <c r="P77" i="7"/>
  <c r="AU77" i="7" s="1"/>
  <c r="P73" i="7"/>
  <c r="AU73" i="7" s="1"/>
  <c r="P49" i="7"/>
  <c r="AU49" i="7" s="1"/>
  <c r="P724" i="7"/>
  <c r="AU724" i="7" s="1"/>
  <c r="P1292" i="7"/>
  <c r="AU1292" i="7" s="1"/>
  <c r="P772" i="7"/>
  <c r="AU772" i="7" s="1"/>
  <c r="P529" i="7"/>
  <c r="AU529" i="7" s="1"/>
  <c r="P2282" i="7"/>
  <c r="AU2282" i="7" s="1"/>
  <c r="P1060" i="7"/>
  <c r="AU1060" i="7" s="1"/>
  <c r="P1774" i="7"/>
  <c r="AU1774" i="7" s="1"/>
  <c r="P1783" i="7"/>
  <c r="AU1783" i="7" s="1"/>
  <c r="P2170" i="7"/>
  <c r="AU2170" i="7" s="1"/>
  <c r="P2067" i="7"/>
  <c r="AU2067" i="7" s="1"/>
  <c r="P1743" i="7"/>
  <c r="AU1743" i="7" s="1"/>
  <c r="P1806" i="7"/>
  <c r="AU1806" i="7" s="1"/>
  <c r="P1807" i="7"/>
  <c r="AU1807" i="7" s="1"/>
  <c r="P1591" i="7"/>
  <c r="AU1591" i="7" s="1"/>
  <c r="P1778" i="7"/>
  <c r="AU1778" i="7" s="1"/>
  <c r="P1713" i="7"/>
  <c r="AU1713" i="7" s="1"/>
  <c r="P1233" i="7"/>
  <c r="AU1233" i="7" s="1"/>
  <c r="P1235" i="7"/>
  <c r="AU1235" i="7" s="1"/>
  <c r="P2192" i="7"/>
  <c r="AU2192" i="7" s="1"/>
  <c r="P958" i="7"/>
  <c r="AU958" i="7" s="1"/>
  <c r="P1006" i="7"/>
  <c r="AU1006" i="7" s="1"/>
  <c r="P1677" i="7"/>
  <c r="AU1677" i="7" s="1"/>
  <c r="P1198" i="7"/>
  <c r="AU1198" i="7" s="1"/>
  <c r="P147" i="7"/>
  <c r="AU147" i="7" s="1"/>
  <c r="P1812" i="7"/>
  <c r="AU1812" i="7" s="1"/>
  <c r="P1487" i="7"/>
  <c r="AU1487" i="7" s="1"/>
  <c r="P1485" i="7"/>
  <c r="AU1485" i="7" s="1"/>
  <c r="P1511" i="7"/>
  <c r="AU1511" i="7" s="1"/>
  <c r="P2055" i="7"/>
  <c r="AU2055" i="7" s="1"/>
  <c r="P1074" i="7"/>
  <c r="AU1074" i="7" s="1"/>
  <c r="P1296" i="7"/>
  <c r="AU1296" i="7" s="1"/>
  <c r="P1215" i="7"/>
  <c r="AU1215" i="7" s="1"/>
  <c r="P1118" i="7"/>
  <c r="AU1118" i="7" s="1"/>
  <c r="P1189" i="7"/>
  <c r="AU1189" i="7" s="1"/>
  <c r="P1269" i="7"/>
  <c r="AU1269" i="7" s="1"/>
  <c r="P1242" i="7"/>
  <c r="AU1242" i="7" s="1"/>
  <c r="P1559" i="7"/>
  <c r="AU1559" i="7" s="1"/>
  <c r="P1367" i="7"/>
  <c r="AU1367" i="7" s="1"/>
  <c r="P1572" i="7"/>
  <c r="AU1572" i="7" s="1"/>
  <c r="P1305" i="7"/>
  <c r="AU1305" i="7" s="1"/>
  <c r="P1595" i="7"/>
  <c r="AU1595" i="7" s="1"/>
  <c r="P2245" i="7"/>
  <c r="AU2245" i="7" s="1"/>
  <c r="P662" i="7"/>
  <c r="AU662" i="7" s="1"/>
  <c r="P1087" i="7"/>
  <c r="AU1087" i="7" s="1"/>
  <c r="P1360" i="7"/>
  <c r="AU1360" i="7" s="1"/>
  <c r="P1021" i="7"/>
  <c r="AU1021" i="7" s="1"/>
  <c r="P759" i="7"/>
  <c r="P1730" i="7"/>
  <c r="AU1730" i="7" s="1"/>
  <c r="P2130" i="7"/>
  <c r="AU2130" i="7" s="1"/>
  <c r="P2144" i="7"/>
  <c r="AU2144" i="7" s="1"/>
  <c r="P2072" i="7"/>
  <c r="AU2072" i="7" s="1"/>
  <c r="P1689" i="7"/>
  <c r="AU1689" i="7" s="1"/>
  <c r="P710" i="7"/>
  <c r="AU710" i="7" s="1"/>
  <c r="P807" i="7"/>
  <c r="AU807" i="7" s="1"/>
  <c r="P1879" i="7"/>
  <c r="AU1879" i="7" s="1"/>
  <c r="P1557" i="7"/>
  <c r="AU1557" i="7" s="1"/>
  <c r="P1491" i="7"/>
  <c r="AU1491" i="7" s="1"/>
  <c r="P1237" i="7"/>
  <c r="AU1237" i="7" s="1"/>
  <c r="P1547" i="7"/>
  <c r="AU1547" i="7" s="1"/>
  <c r="P1696" i="7"/>
  <c r="AU1696" i="7" s="1"/>
  <c r="P1769" i="7"/>
  <c r="AU1769" i="7" s="1"/>
  <c r="P1771" i="7"/>
  <c r="AU1771" i="7" s="1"/>
  <c r="P1935" i="7"/>
  <c r="AU1935" i="7" s="1"/>
  <c r="P1248" i="7"/>
  <c r="AU1248" i="7" s="1"/>
  <c r="P1801" i="7"/>
  <c r="AU1801" i="7" s="1"/>
  <c r="P1004" i="7"/>
  <c r="AU1004" i="7" s="1"/>
  <c r="P1010" i="7"/>
  <c r="AU1010" i="7" s="1"/>
  <c r="P549" i="7"/>
  <c r="AU549" i="7" s="1"/>
  <c r="P1957" i="7"/>
  <c r="AU1957" i="7" s="1"/>
  <c r="P1900" i="7"/>
  <c r="AU1900" i="7" s="1"/>
  <c r="P2113" i="7"/>
  <c r="AU2113" i="7" s="1"/>
  <c r="P205" i="7"/>
  <c r="AU205" i="7" s="1"/>
  <c r="P206" i="7"/>
  <c r="AU206" i="7" s="1"/>
  <c r="P207" i="7"/>
  <c r="AU207" i="7" s="1"/>
  <c r="P2180" i="7"/>
  <c r="AU2180" i="7" s="1"/>
  <c r="P663" i="7"/>
  <c r="AU663" i="7" s="1"/>
  <c r="P1959" i="7"/>
  <c r="AU1959" i="7" s="1"/>
  <c r="P1913" i="7"/>
  <c r="AU1913" i="7" s="1"/>
  <c r="P462" i="7"/>
  <c r="AU462" i="7" s="1"/>
  <c r="P2034" i="7"/>
  <c r="AU2034" i="7" s="1"/>
  <c r="P1613" i="7"/>
  <c r="AU1613" i="7" s="1"/>
  <c r="P1533" i="7"/>
  <c r="AU1533" i="7" s="1"/>
  <c r="P2089" i="7"/>
  <c r="AU2089" i="7" s="1"/>
  <c r="P1432" i="7"/>
  <c r="AU1432" i="7" s="1"/>
  <c r="P1522" i="7"/>
  <c r="AU1522" i="7" s="1"/>
  <c r="P1731" i="7"/>
  <c r="P1276" i="7"/>
  <c r="AU1276" i="7" s="1"/>
  <c r="P1484" i="7"/>
  <c r="AU1484" i="7" s="1"/>
  <c r="P1956" i="7"/>
  <c r="AU1956" i="7" s="1"/>
  <c r="P884" i="7"/>
  <c r="AU884" i="7" s="1"/>
  <c r="P2057" i="7"/>
  <c r="AU2057" i="7" s="1"/>
  <c r="P1999" i="7"/>
  <c r="P1301" i="7"/>
  <c r="AU1301" i="7" s="1"/>
  <c r="P610" i="7"/>
  <c r="AU610" i="7" s="1"/>
  <c r="P589" i="7"/>
  <c r="AU589" i="7" s="1"/>
  <c r="P1690" i="7"/>
  <c r="AU1690" i="7" s="1"/>
  <c r="P1536" i="7"/>
  <c r="AU1536" i="7" s="1"/>
  <c r="P1723" i="7"/>
  <c r="AU1723" i="7" s="1"/>
  <c r="P1838" i="7"/>
  <c r="AU1838" i="7" s="1"/>
  <c r="P1499" i="7"/>
  <c r="AU1499" i="7" s="1"/>
  <c r="P618" i="7"/>
  <c r="AU618" i="7" s="1"/>
  <c r="P2200" i="7"/>
  <c r="AU2200" i="7" s="1"/>
  <c r="P1062" i="7"/>
  <c r="AU1062" i="7" s="1"/>
  <c r="P1656" i="7"/>
  <c r="AU1656" i="7" s="1"/>
  <c r="P2030" i="7"/>
  <c r="AU2030" i="7" s="1"/>
  <c r="P1886" i="7"/>
  <c r="AU1886" i="7" s="1"/>
  <c r="P2027" i="7"/>
  <c r="AU2027" i="7" s="1"/>
  <c r="P1898" i="7"/>
  <c r="AU1898" i="7" s="1"/>
  <c r="P1894" i="7"/>
  <c r="AU1894" i="7" s="1"/>
  <c r="P1899" i="7"/>
  <c r="AU1899" i="7" s="1"/>
  <c r="P360" i="7"/>
  <c r="AU360" i="7" s="1"/>
  <c r="P1815" i="7"/>
  <c r="AU1815" i="7" s="1"/>
  <c r="P1888" i="7"/>
  <c r="AU1888" i="7" s="1"/>
  <c r="P1461" i="7"/>
  <c r="AU1461" i="7" s="1"/>
  <c r="P1678" i="7"/>
  <c r="AU1678" i="7" s="1"/>
  <c r="P1709" i="7"/>
  <c r="AU1709" i="7" s="1"/>
  <c r="P1927" i="7"/>
  <c r="AU1927" i="7" s="1"/>
  <c r="P1792" i="7"/>
  <c r="AU1792" i="7" s="1"/>
  <c r="P1168" i="7"/>
  <c r="AU1168" i="7" s="1"/>
  <c r="P1674" i="7"/>
  <c r="AU1674" i="7" s="1"/>
  <c r="P1700" i="7"/>
  <c r="AU1700" i="7" s="1"/>
  <c r="P1990" i="7"/>
  <c r="AU1990" i="7" s="1"/>
  <c r="P1140" i="7"/>
  <c r="AU1140" i="7" s="1"/>
  <c r="P723" i="7"/>
  <c r="AU723" i="7" s="1"/>
  <c r="P1877" i="7"/>
  <c r="AU1877" i="7" s="1"/>
  <c r="P2196" i="7"/>
  <c r="AU2196" i="7" s="1"/>
  <c r="P2135" i="7"/>
  <c r="AU2135" i="7" s="1"/>
  <c r="P146" i="7"/>
  <c r="AU146" i="7" s="1"/>
  <c r="P144" i="7"/>
  <c r="AU144" i="7" s="1"/>
  <c r="P756" i="7"/>
  <c r="AU756" i="7" s="1"/>
  <c r="P2048" i="7"/>
  <c r="AU2048" i="7" s="1"/>
  <c r="P1123" i="7"/>
  <c r="AU1123" i="7" s="1"/>
  <c r="P1991" i="7"/>
  <c r="AU1991" i="7" s="1"/>
  <c r="P2071" i="7"/>
  <c r="AU2071" i="7" s="1"/>
  <c r="P1891" i="7"/>
  <c r="AU1891" i="7" s="1"/>
  <c r="P972" i="7"/>
  <c r="AU972" i="7" s="1"/>
  <c r="P1131" i="7"/>
  <c r="AU1131" i="7" s="1"/>
  <c r="P796" i="7"/>
  <c r="AU796" i="7" s="1"/>
  <c r="P1067" i="7"/>
  <c r="AU1067" i="7" s="1"/>
  <c r="P2060" i="7"/>
  <c r="AU2060" i="7" s="1"/>
  <c r="P1403" i="7"/>
  <c r="AU1403" i="7" s="1"/>
  <c r="P2049" i="7"/>
  <c r="AU2049" i="7" s="1"/>
  <c r="P1492" i="7"/>
  <c r="AU1492" i="7" s="1"/>
  <c r="P1597" i="7"/>
  <c r="AU1597" i="7" s="1"/>
  <c r="P1377" i="7"/>
  <c r="AU1377" i="7" s="1"/>
  <c r="P2173" i="7"/>
  <c r="AU2173" i="7" s="1"/>
  <c r="P1518" i="7"/>
  <c r="AU1518" i="7" s="1"/>
  <c r="P775" i="7"/>
  <c r="AU775" i="7" s="1"/>
  <c r="P2066" i="7"/>
  <c r="AU2066" i="7" s="1"/>
  <c r="P2003" i="7"/>
  <c r="AU2003" i="7" s="1"/>
  <c r="P1915" i="7"/>
  <c r="AU1915" i="7" s="1"/>
  <c r="P1437" i="7"/>
  <c r="AU1437" i="7" s="1"/>
  <c r="P771" i="7"/>
  <c r="AU771" i="7" s="1"/>
  <c r="P857" i="7"/>
  <c r="AU857" i="7" s="1"/>
  <c r="P1298" i="7"/>
  <c r="AU1298" i="7" s="1"/>
  <c r="P491" i="7"/>
  <c r="AU491" i="7" s="1"/>
  <c r="P473" i="7"/>
  <c r="AU473" i="7" s="1"/>
  <c r="P513" i="7"/>
  <c r="AU513" i="7" s="1"/>
  <c r="P1156" i="7"/>
  <c r="AU1156" i="7" s="1"/>
  <c r="P1882" i="7"/>
  <c r="P2002" i="7"/>
  <c r="AU2002" i="7" s="1"/>
  <c r="P1988" i="7"/>
  <c r="AU1988" i="7" s="1"/>
  <c r="P770" i="7"/>
  <c r="AU770" i="7" s="1"/>
  <c r="P885" i="7"/>
  <c r="AU885" i="7" s="1"/>
  <c r="P1297" i="7"/>
  <c r="AU1297" i="7" s="1"/>
  <c r="P1825" i="7"/>
  <c r="AU1825" i="7" s="1"/>
  <c r="P1113" i="7"/>
  <c r="AU1113" i="7" s="1"/>
  <c r="P888" i="7"/>
  <c r="AU888" i="7" s="1"/>
  <c r="P1451" i="7"/>
  <c r="AU1451" i="7" s="1"/>
  <c r="P1456" i="7"/>
  <c r="AU1456" i="7" s="1"/>
  <c r="P1870" i="7"/>
  <c r="AU1870" i="7" s="1"/>
  <c r="P979" i="7"/>
  <c r="AU979" i="7" s="1"/>
  <c r="P639" i="7"/>
  <c r="AU639" i="7" s="1"/>
  <c r="P1114" i="7"/>
  <c r="AU1114" i="7" s="1"/>
  <c r="P989" i="7"/>
  <c r="AU989" i="7" s="1"/>
  <c r="P1302" i="7"/>
  <c r="AU1302" i="7" s="1"/>
  <c r="P791" i="7"/>
  <c r="AU791" i="7" s="1"/>
  <c r="P1366" i="7"/>
  <c r="AU1366" i="7" s="1"/>
  <c r="P1503" i="7"/>
  <c r="AU1503" i="7" s="1"/>
  <c r="P1876" i="7"/>
  <c r="AU1876" i="7" s="1"/>
  <c r="P1711" i="7"/>
  <c r="AU1711" i="7" s="1"/>
  <c r="P1818" i="7"/>
  <c r="AU1818" i="7" s="1"/>
  <c r="P439" i="7"/>
  <c r="AU439" i="7" s="1"/>
  <c r="P415" i="7"/>
  <c r="AU415" i="7" s="1"/>
  <c r="P414" i="7"/>
  <c r="AU414" i="7" s="1"/>
  <c r="P485" i="7"/>
  <c r="AU485" i="7" s="1"/>
  <c r="P495" i="7"/>
  <c r="AU495" i="7" s="1"/>
  <c r="P1441" i="7"/>
  <c r="AU1441" i="7" s="1"/>
  <c r="P1583" i="7"/>
  <c r="AU1583" i="7" s="1"/>
  <c r="P1724" i="7"/>
  <c r="AU1724" i="7" s="1"/>
  <c r="P212" i="7"/>
  <c r="AU212" i="7" s="1"/>
  <c r="P1480" i="7"/>
  <c r="AU1480" i="7" s="1"/>
  <c r="P1378" i="7"/>
  <c r="AU1378" i="7" s="1"/>
  <c r="P1075" i="7"/>
  <c r="AU1075" i="7" s="1"/>
  <c r="P1127" i="7"/>
  <c r="AU1127" i="7" s="1"/>
  <c r="P572" i="7"/>
  <c r="AU572" i="7" s="1"/>
  <c r="P913" i="7"/>
  <c r="AU913" i="7" s="1"/>
  <c r="P1463" i="7"/>
  <c r="AU1463" i="7" s="1"/>
  <c r="P1243" i="7"/>
  <c r="AU1243" i="7" s="1"/>
  <c r="P1182" i="7"/>
  <c r="AU1182" i="7" s="1"/>
  <c r="P1084" i="7"/>
  <c r="AU1084" i="7" s="1"/>
  <c r="P921" i="7"/>
  <c r="AU921" i="7" s="1"/>
  <c r="P1725" i="7"/>
  <c r="AU1725" i="7" s="1"/>
  <c r="P2094" i="7"/>
  <c r="AU2094" i="7" s="1"/>
  <c r="P1405" i="7"/>
  <c r="AU1405" i="7" s="1"/>
  <c r="P816" i="7"/>
  <c r="AU816" i="7" s="1"/>
  <c r="P1164" i="7"/>
  <c r="AU1164" i="7" s="1"/>
  <c r="P1393" i="7"/>
  <c r="AU1393" i="7" s="1"/>
  <c r="P1116" i="7"/>
  <c r="AU1116" i="7" s="1"/>
  <c r="P1414" i="7"/>
  <c r="AU1414" i="7" s="1"/>
  <c r="P1952" i="7"/>
  <c r="AU1952" i="7" s="1"/>
  <c r="P2210" i="7"/>
  <c r="AU2210" i="7" s="1"/>
  <c r="P982" i="7"/>
  <c r="AU982" i="7" s="1"/>
  <c r="P1240" i="7"/>
  <c r="AU1240" i="7" s="1"/>
  <c r="P818" i="7"/>
  <c r="AU818" i="7" s="1"/>
  <c r="P289" i="7"/>
  <c r="AU289" i="7" s="1"/>
  <c r="P582" i="7"/>
  <c r="AU582" i="7" s="1"/>
  <c r="P1659" i="7"/>
  <c r="AU1659" i="7" s="1"/>
  <c r="P2026" i="7"/>
  <c r="AU2026" i="7" s="1"/>
  <c r="P1666" i="7"/>
  <c r="AU1666" i="7" s="1"/>
  <c r="P1214" i="7"/>
  <c r="AU1214" i="7" s="1"/>
  <c r="P805" i="7"/>
  <c r="AU805" i="7" s="1"/>
  <c r="P1549" i="7"/>
  <c r="AU1549" i="7" s="1"/>
  <c r="P1337" i="7"/>
  <c r="AU1337" i="7" s="1"/>
  <c r="P1520" i="7"/>
  <c r="AU1520" i="7" s="1"/>
  <c r="P1494" i="7"/>
  <c r="AU1494" i="7" s="1"/>
  <c r="P1693" i="7"/>
  <c r="AU1693" i="7" s="1"/>
  <c r="P941" i="7"/>
  <c r="AU941" i="7" s="1"/>
  <c r="P1823" i="7"/>
  <c r="AU1823" i="7" s="1"/>
  <c r="P2181" i="7"/>
  <c r="AU2181" i="7" s="1"/>
  <c r="P1208" i="7"/>
  <c r="AU1208" i="7" s="1"/>
  <c r="P1997" i="7"/>
  <c r="AU1997" i="7" s="1"/>
  <c r="P851" i="7"/>
  <c r="AU851" i="7" s="1"/>
  <c r="P2238" i="7"/>
  <c r="AU2238" i="7" s="1"/>
  <c r="P970" i="7"/>
  <c r="AU970" i="7" s="1"/>
  <c r="P1416" i="7"/>
  <c r="AU1416" i="7" s="1"/>
  <c r="P1205" i="7"/>
  <c r="AU1205" i="7" s="1"/>
  <c r="P1195" i="7"/>
  <c r="AU1195" i="7" s="1"/>
  <c r="P830" i="7"/>
  <c r="AU830" i="7" s="1"/>
  <c r="P431" i="7"/>
  <c r="AU431" i="7" s="1"/>
  <c r="P1421" i="7"/>
  <c r="AU1421" i="7" s="1"/>
  <c r="P1594" i="7"/>
  <c r="AU1594" i="7" s="1"/>
  <c r="P949" i="7"/>
  <c r="AU949" i="7" s="1"/>
  <c r="P952" i="7"/>
  <c r="AU952" i="7" s="1"/>
  <c r="P1449" i="7"/>
  <c r="AU1449" i="7" s="1"/>
  <c r="P548" i="7"/>
  <c r="AU548" i="7" s="1"/>
  <c r="P961" i="7"/>
  <c r="AU961" i="7" s="1"/>
  <c r="P1579" i="7"/>
  <c r="AU1579" i="7" s="1"/>
  <c r="P716" i="7"/>
  <c r="AU716" i="7" s="1"/>
  <c r="P1509" i="7"/>
  <c r="AU1509" i="7" s="1"/>
  <c r="P1995" i="7"/>
  <c r="AU1995" i="7" s="1"/>
  <c r="P1665" i="7"/>
  <c r="AU1665" i="7" s="1"/>
  <c r="P1799" i="7"/>
  <c r="AU1799" i="7" s="1"/>
  <c r="P290" i="7"/>
  <c r="AU290" i="7" s="1"/>
  <c r="P1937" i="7"/>
  <c r="AU1937" i="7" s="1"/>
  <c r="P1875" i="7"/>
  <c r="AU1875" i="7" s="1"/>
  <c r="P697" i="7"/>
  <c r="AU697" i="7" s="1"/>
  <c r="P933" i="7"/>
  <c r="AU933" i="7" s="1"/>
  <c r="P95" i="7"/>
  <c r="AU95" i="7" s="1"/>
  <c r="P1971" i="7"/>
  <c r="AU1971" i="7" s="1"/>
  <c r="P967" i="7"/>
  <c r="AU967" i="7" s="1"/>
  <c r="P1817" i="7"/>
  <c r="AU1817" i="7" s="1"/>
  <c r="P765" i="7"/>
  <c r="AU765" i="7" s="1"/>
  <c r="P1225" i="7"/>
  <c r="AU1225" i="7" s="1"/>
  <c r="P942" i="7"/>
  <c r="AU942" i="7" s="1"/>
  <c r="P2240" i="7"/>
  <c r="AU2240" i="7" s="1"/>
  <c r="P141" i="7"/>
  <c r="AU141" i="7" s="1"/>
  <c r="P140" i="7"/>
  <c r="AU140" i="7" s="1"/>
  <c r="P135" i="7"/>
  <c r="AU135" i="7" s="1"/>
  <c r="P119" i="7"/>
  <c r="AU119" i="7" s="1"/>
  <c r="P120" i="7"/>
  <c r="AU120" i="7" s="1"/>
  <c r="P121" i="7"/>
  <c r="AU121" i="7" s="1"/>
  <c r="P116" i="7"/>
  <c r="AU116" i="7" s="1"/>
  <c r="P264" i="7"/>
  <c r="AU264" i="7" s="1"/>
  <c r="P1596" i="7"/>
  <c r="AU1596" i="7" s="1"/>
  <c r="P986" i="7"/>
  <c r="AU986" i="7" s="1"/>
  <c r="P242" i="7"/>
  <c r="AU242" i="7" s="1"/>
  <c r="P1070" i="7"/>
  <c r="AU1070" i="7" s="1"/>
  <c r="P1150" i="7"/>
  <c r="AU1150" i="7" s="1"/>
  <c r="P2203" i="7"/>
  <c r="AU2203" i="7" s="1"/>
  <c r="P1860" i="7"/>
  <c r="AU1860" i="7" s="1"/>
  <c r="P1675" i="7"/>
  <c r="P945" i="7"/>
  <c r="AU945" i="7" s="1"/>
  <c r="P943" i="7"/>
  <c r="AU943" i="7" s="1"/>
  <c r="P951" i="7"/>
  <c r="AU951" i="7" s="1"/>
  <c r="P1908" i="7"/>
  <c r="AU1908" i="7" s="1"/>
  <c r="P9" i="7"/>
  <c r="AU9" i="7" s="1"/>
  <c r="P19" i="7"/>
  <c r="AU19" i="7" s="1"/>
  <c r="P1132" i="7"/>
  <c r="P657" i="7"/>
  <c r="AU657" i="7" s="1"/>
  <c r="P459" i="7"/>
  <c r="AU459" i="7" s="1"/>
  <c r="P497" i="7"/>
  <c r="AU497" i="7" s="1"/>
  <c r="P426" i="7"/>
  <c r="AU426" i="7" s="1"/>
  <c r="P454" i="7"/>
  <c r="AU454" i="7" s="1"/>
  <c r="P1833" i="7"/>
  <c r="AU1833" i="7" s="1"/>
  <c r="P627" i="7"/>
  <c r="AU627" i="7" s="1"/>
  <c r="P1299" i="7"/>
  <c r="AU1299" i="7" s="1"/>
  <c r="P1307" i="7"/>
  <c r="AU1307" i="7" s="1"/>
  <c r="P1481" i="7"/>
  <c r="AU1481" i="7" s="1"/>
  <c r="P752" i="7"/>
  <c r="AU752" i="7" s="1"/>
  <c r="P1755" i="7"/>
  <c r="AU1755" i="7" s="1"/>
  <c r="P1498" i="7"/>
  <c r="AU1498" i="7" s="1"/>
  <c r="P602" i="7"/>
  <c r="AU602" i="7" s="1"/>
  <c r="P318" i="7"/>
  <c r="AU318" i="7" s="1"/>
  <c r="P1793" i="7"/>
  <c r="AU1793" i="7" s="1"/>
  <c r="P2" i="7"/>
  <c r="AU2" i="7" s="1"/>
  <c r="P1873" i="7"/>
  <c r="AU1873" i="7" s="1"/>
  <c r="P1841" i="7"/>
  <c r="AU1841" i="7" s="1"/>
  <c r="P1632" i="7"/>
  <c r="AU1632" i="7" s="1"/>
  <c r="P1477" i="7"/>
  <c r="AU1477" i="7" s="1"/>
  <c r="P1318" i="7"/>
  <c r="AU1318" i="7" s="1"/>
  <c r="P1452" i="7"/>
  <c r="AU1452" i="7" s="1"/>
  <c r="P317" i="7"/>
  <c r="AU317" i="7" s="1"/>
  <c r="P2231" i="7"/>
  <c r="P894" i="7"/>
  <c r="AU894" i="7" s="1"/>
  <c r="P2151" i="7"/>
  <c r="P2019" i="7"/>
  <c r="AU2019" i="7" s="1"/>
  <c r="P1034" i="7"/>
  <c r="AU1034" i="7" s="1"/>
  <c r="P912" i="7"/>
  <c r="AU912" i="7" s="1"/>
  <c r="P483" i="7"/>
  <c r="AU483" i="7" s="1"/>
  <c r="P1065" i="7"/>
  <c r="AU1065" i="7" s="1"/>
  <c r="P898" i="7"/>
  <c r="AU898" i="7" s="1"/>
  <c r="P882" i="7"/>
  <c r="AU882" i="7" s="1"/>
  <c r="P284" i="7"/>
  <c r="AU284" i="7" s="1"/>
  <c r="P278" i="7"/>
  <c r="AU278" i="7" s="1"/>
  <c r="P757" i="7"/>
  <c r="AU757" i="7" s="1"/>
  <c r="P1427" i="7"/>
  <c r="AU1427" i="7" s="1"/>
  <c r="P250" i="7"/>
  <c r="AU250" i="7" s="1"/>
  <c r="P612" i="7"/>
  <c r="AU612" i="7" s="1"/>
  <c r="P877" i="7"/>
  <c r="AU877" i="7" s="1"/>
  <c r="P1151" i="7"/>
  <c r="AU1151" i="7" s="1"/>
  <c r="P1224" i="7"/>
  <c r="AU1224" i="7" s="1"/>
  <c r="P1059" i="7"/>
  <c r="AU1059" i="7" s="1"/>
  <c r="P1265" i="7"/>
  <c r="AU1265" i="7" s="1"/>
  <c r="P1640" i="7"/>
  <c r="AU1640" i="7" s="1"/>
  <c r="P1197" i="7"/>
  <c r="AU1197" i="7" s="1"/>
  <c r="P1223" i="7"/>
  <c r="AU1223" i="7" s="1"/>
  <c r="P1031" i="7"/>
  <c r="AU1031" i="7" s="1"/>
  <c r="P1794" i="7"/>
  <c r="AU1794" i="7" s="1"/>
  <c r="P449" i="7"/>
  <c r="AU449" i="7" s="1"/>
  <c r="P2160" i="7"/>
  <c r="AU2160" i="7" s="1"/>
  <c r="P1167" i="7"/>
  <c r="AU1167" i="7" s="1"/>
  <c r="P1056" i="7"/>
  <c r="AU1056" i="7" s="1"/>
  <c r="P1190" i="7"/>
  <c r="AU1190" i="7" s="1"/>
  <c r="P1016" i="7"/>
  <c r="AU1016" i="7" s="1"/>
  <c r="P69" i="7"/>
  <c r="AU69" i="7" s="1"/>
  <c r="P940" i="7"/>
  <c r="AU940" i="7" s="1"/>
  <c r="P929" i="7"/>
  <c r="AU929" i="7" s="1"/>
  <c r="P281" i="7"/>
  <c r="AU281" i="7" s="1"/>
  <c r="P826" i="7"/>
  <c r="AU826" i="7" s="1"/>
  <c r="P273" i="7"/>
  <c r="AU273" i="7" s="1"/>
  <c r="P841" i="7"/>
  <c r="AU841" i="7" s="1"/>
  <c r="P208" i="7"/>
  <c r="AU208" i="7" s="1"/>
  <c r="P1460" i="7"/>
  <c r="AU1460" i="7" s="1"/>
  <c r="P1542" i="7"/>
  <c r="AU1542" i="7" s="1"/>
  <c r="P668" i="7"/>
  <c r="AU668" i="7" s="1"/>
  <c r="P862" i="7"/>
  <c r="AU862" i="7" s="1"/>
  <c r="P316" i="7"/>
  <c r="AU316" i="7" s="1"/>
  <c r="P325" i="7"/>
  <c r="AU325" i="7" s="1"/>
  <c r="P337" i="7"/>
  <c r="AU337" i="7" s="1"/>
  <c r="P1566" i="7"/>
  <c r="AU1566" i="7" s="1"/>
  <c r="P1872" i="7"/>
  <c r="AU1872" i="7" s="1"/>
  <c r="P411" i="7"/>
  <c r="AU411" i="7" s="1"/>
  <c r="P1476" i="7"/>
  <c r="AU1476" i="7" s="1"/>
  <c r="P1525" i="7"/>
  <c r="AU1525" i="7" s="1"/>
  <c r="P1663" i="7"/>
  <c r="AU1663" i="7" s="1"/>
  <c r="P1459" i="7"/>
  <c r="AU1459" i="7" s="1"/>
  <c r="P1185" i="7"/>
  <c r="AU1185" i="7" s="1"/>
  <c r="P1282" i="7"/>
  <c r="AU1282" i="7" s="1"/>
  <c r="P686" i="7"/>
  <c r="AU686" i="7" s="1"/>
  <c r="P1277" i="7"/>
  <c r="AU1277" i="7" s="1"/>
  <c r="P985" i="7"/>
  <c r="AU985" i="7" s="1"/>
  <c r="P1470" i="7"/>
  <c r="AU1470" i="7" s="1"/>
  <c r="P1090" i="7"/>
  <c r="AU1090" i="7" s="1"/>
  <c r="P493" i="7"/>
  <c r="AU493" i="7" s="1"/>
  <c r="P1363" i="7"/>
  <c r="AU1363" i="7" s="1"/>
  <c r="P1645" i="7"/>
  <c r="AU1645" i="7" s="1"/>
  <c r="P1078" i="7"/>
  <c r="AU1078" i="7" s="1"/>
  <c r="P467" i="7"/>
  <c r="AU467" i="7" s="1"/>
  <c r="P1254" i="7"/>
  <c r="AU1254" i="7" s="1"/>
  <c r="P1431" i="7"/>
  <c r="AU1431" i="7" s="1"/>
  <c r="P1606" i="7"/>
  <c r="AU1606" i="7" s="1"/>
  <c r="P579" i="7"/>
  <c r="AU579" i="7" s="1"/>
  <c r="P1210" i="7"/>
  <c r="AU1210" i="7" s="1"/>
  <c r="P333" i="7"/>
  <c r="AU333" i="7" s="1"/>
  <c r="P133" i="7"/>
  <c r="AU133" i="7" s="1"/>
  <c r="P1186" i="7"/>
  <c r="AU1186" i="7" s="1"/>
  <c r="P2255" i="7"/>
  <c r="AU2255" i="7" s="1"/>
  <c r="P1180" i="7"/>
  <c r="AU1180" i="7" s="1"/>
  <c r="P1231" i="7"/>
  <c r="AU1231" i="7" s="1"/>
  <c r="P1165" i="7"/>
  <c r="AU1165" i="7" s="1"/>
  <c r="P1220" i="7"/>
  <c r="AU1220" i="7" s="1"/>
  <c r="P1162" i="7"/>
  <c r="AU1162" i="7" s="1"/>
  <c r="P1290" i="7"/>
  <c r="AU1290" i="7" s="1"/>
  <c r="P1219" i="7"/>
  <c r="AU1219" i="7" s="1"/>
  <c r="P1105" i="7"/>
  <c r="AU1105" i="7" s="1"/>
  <c r="P1440" i="7"/>
  <c r="AU1440" i="7" s="1"/>
  <c r="P993" i="7"/>
  <c r="AU993" i="7" s="1"/>
  <c r="P349" i="7"/>
  <c r="AU349" i="7" s="1"/>
  <c r="P456" i="7"/>
  <c r="AU456" i="7" s="1"/>
  <c r="P1765" i="7"/>
  <c r="AU1765" i="7" s="1"/>
  <c r="P469" i="7"/>
  <c r="AU469" i="7" s="1"/>
  <c r="P774" i="7"/>
  <c r="AU774" i="7" s="1"/>
  <c r="P837" i="7"/>
  <c r="AU837" i="7" s="1"/>
  <c r="P900" i="7"/>
  <c r="AU900" i="7" s="1"/>
  <c r="P441" i="7"/>
  <c r="AU441" i="7" s="1"/>
  <c r="P918" i="7"/>
  <c r="AU918" i="7" s="1"/>
  <c r="P874" i="7"/>
  <c r="AU874" i="7" s="1"/>
  <c r="P764" i="7"/>
  <c r="AU764" i="7" s="1"/>
  <c r="P1530" i="7"/>
  <c r="AU1530" i="7" s="1"/>
  <c r="P968" i="7"/>
  <c r="AU968" i="7" s="1"/>
  <c r="P1005" i="7"/>
  <c r="AU1005" i="7" s="1"/>
  <c r="P1695" i="7"/>
  <c r="AU1695" i="7" s="1"/>
  <c r="P1280" i="7"/>
  <c r="AU1280" i="7" s="1"/>
  <c r="P1358" i="7"/>
  <c r="AU1358" i="7" s="1"/>
  <c r="P255" i="7"/>
  <c r="AU255" i="7" s="1"/>
  <c r="P338" i="7"/>
  <c r="AU338" i="7" s="1"/>
  <c r="P2142" i="7"/>
  <c r="AU2142" i="7" s="1"/>
  <c r="P475" i="7"/>
  <c r="AU475" i="7" s="1"/>
  <c r="P2098" i="7"/>
  <c r="AU2098" i="7" s="1"/>
  <c r="P1466" i="7"/>
  <c r="AU1466" i="7" s="1"/>
  <c r="P2185" i="7"/>
  <c r="AU2185" i="7" s="1"/>
  <c r="P1072" i="7"/>
  <c r="AU1072" i="7" s="1"/>
  <c r="P2037" i="7"/>
  <c r="AU2037" i="7" s="1"/>
  <c r="P552" i="7"/>
  <c r="AU552" i="7" s="1"/>
  <c r="P1986" i="7"/>
  <c r="AU1986" i="7" s="1"/>
  <c r="P1055" i="7"/>
  <c r="AU1055" i="7" s="1"/>
  <c r="P1497" i="7"/>
  <c r="AU1497" i="7" s="1"/>
  <c r="P297" i="7"/>
  <c r="AU297" i="7" s="1"/>
  <c r="P322" i="7"/>
  <c r="AU322" i="7" s="1"/>
  <c r="P233" i="7"/>
  <c r="AU233" i="7" s="1"/>
  <c r="P2038" i="7"/>
  <c r="AU2038" i="7" s="1"/>
  <c r="P1537" i="7"/>
  <c r="AU1537" i="7" s="1"/>
  <c r="P1699" i="7"/>
  <c r="AU1699" i="7" s="1"/>
  <c r="P1979" i="7"/>
  <c r="AU1979" i="7" s="1"/>
  <c r="P145" i="7"/>
  <c r="AU145" i="7" s="1"/>
  <c r="P143" i="7"/>
  <c r="AU143" i="7" s="1"/>
  <c r="P118" i="7"/>
  <c r="AU118" i="7" s="1"/>
  <c r="P98" i="7"/>
  <c r="AU98" i="7" s="1"/>
  <c r="P1809" i="7"/>
  <c r="AU1809" i="7" s="1"/>
  <c r="P626" i="7"/>
  <c r="AU626" i="7" s="1"/>
  <c r="P995" i="7"/>
  <c r="AU995" i="7" s="1"/>
  <c r="P376" i="7"/>
  <c r="AU376" i="7" s="1"/>
  <c r="P2008" i="7"/>
  <c r="AU2008" i="7" s="1"/>
  <c r="P1945" i="7"/>
  <c r="AU1945" i="7" s="1"/>
  <c r="P1098" i="7"/>
  <c r="AU1098" i="7" s="1"/>
  <c r="P2014" i="7"/>
  <c r="AU2014" i="7" s="1"/>
  <c r="P1085" i="7"/>
  <c r="AU1085" i="7" s="1"/>
  <c r="P1320" i="7"/>
  <c r="AU1320" i="7" s="1"/>
  <c r="P1353" i="7"/>
  <c r="AU1353" i="7" s="1"/>
  <c r="P74" i="7"/>
  <c r="AU74" i="7" s="1"/>
  <c r="P75" i="7"/>
  <c r="AU75" i="7" s="1"/>
  <c r="P72" i="7"/>
  <c r="AU72" i="7" s="1"/>
  <c r="P71" i="7"/>
  <c r="AU71" i="7" s="1"/>
  <c r="P285" i="7"/>
  <c r="AU285" i="7" s="1"/>
  <c r="P1605" i="7"/>
  <c r="AU1605" i="7" s="1"/>
  <c r="P1500" i="7"/>
  <c r="AU1500" i="7" s="1"/>
  <c r="P1428" i="7"/>
  <c r="AU1428" i="7" s="1"/>
  <c r="P1797" i="7"/>
  <c r="AU1797" i="7" s="1"/>
  <c r="P246" i="7"/>
  <c r="AU246" i="7" s="1"/>
  <c r="P625" i="7"/>
  <c r="AU625" i="7" s="1"/>
  <c r="P840" i="7"/>
  <c r="AU840" i="7" s="1"/>
  <c r="P595" i="7"/>
  <c r="AU595" i="7" s="1"/>
  <c r="P721" i="7"/>
  <c r="AU721" i="7" s="1"/>
  <c r="P803" i="7"/>
  <c r="AU803" i="7" s="1"/>
  <c r="P789" i="7"/>
  <c r="AU789" i="7" s="1"/>
  <c r="P839" i="7"/>
  <c r="AU839" i="7" s="1"/>
  <c r="P762" i="7"/>
  <c r="AU762" i="7" s="1"/>
  <c r="P674" i="7"/>
  <c r="AU674" i="7" s="1"/>
  <c r="P1144" i="7"/>
  <c r="AU1144" i="7" s="1"/>
  <c r="P1107" i="7"/>
  <c r="AU1107" i="7" s="1"/>
  <c r="P1163" i="7"/>
  <c r="AU1163" i="7" s="1"/>
  <c r="P1238" i="7"/>
  <c r="AU1238" i="7" s="1"/>
  <c r="P1330" i="7"/>
  <c r="AU1330" i="7" s="1"/>
  <c r="P1230" i="7"/>
  <c r="AU1230" i="7" s="1"/>
  <c r="P1836" i="7"/>
  <c r="AU1836" i="7" s="1"/>
  <c r="P1855" i="7"/>
  <c r="AU1855" i="7" s="1"/>
  <c r="P2018" i="7"/>
  <c r="AU2018" i="7" s="1"/>
  <c r="P1504" i="7"/>
  <c r="AU1504" i="7" s="1"/>
  <c r="P562" i="7"/>
  <c r="P1260" i="7"/>
  <c r="AU1260" i="7" s="1"/>
  <c r="P134" i="7"/>
  <c r="AU134" i="7" s="1"/>
  <c r="P754" i="7"/>
  <c r="AU754" i="7" s="1"/>
  <c r="P1096" i="7"/>
  <c r="AU1096" i="7" s="1"/>
  <c r="P1646" i="7"/>
  <c r="AU1646" i="7" s="1"/>
  <c r="P1527" i="7"/>
  <c r="AU1527" i="7" s="1"/>
  <c r="P1911" i="7"/>
  <c r="AU1911" i="7" s="1"/>
  <c r="P1552" i="7"/>
  <c r="AU1552" i="7" s="1"/>
  <c r="P1993" i="7"/>
  <c r="AU1993" i="7" s="1"/>
  <c r="P1188" i="7"/>
  <c r="AU1188" i="7" s="1"/>
  <c r="P2184" i="7"/>
  <c r="AU2184" i="7" s="1"/>
  <c r="P708" i="7"/>
  <c r="AU708" i="7" s="1"/>
  <c r="P2209" i="7"/>
  <c r="AU2209" i="7" s="1"/>
  <c r="P1325" i="7"/>
  <c r="AU1325" i="7" s="1"/>
  <c r="P760" i="7"/>
  <c r="AU760" i="7" s="1"/>
  <c r="P396" i="7"/>
  <c r="AU396" i="7" s="1"/>
  <c r="P1129" i="7"/>
  <c r="AU1129" i="7" s="1"/>
  <c r="P401" i="7"/>
  <c r="AU401" i="7" s="1"/>
  <c r="P787" i="7"/>
  <c r="AU787" i="7" s="1"/>
  <c r="P731" i="7"/>
  <c r="AU731" i="7" s="1"/>
  <c r="P12" i="7"/>
  <c r="AU12" i="7" s="1"/>
  <c r="P2070" i="7"/>
  <c r="AU2070" i="7" s="1"/>
  <c r="P965" i="7"/>
  <c r="AU965" i="7" s="1"/>
  <c r="P1001" i="7"/>
  <c r="AU1001" i="7" s="1"/>
  <c r="P781" i="7"/>
  <c r="AU781" i="7" s="1"/>
  <c r="P976" i="7"/>
  <c r="AU976" i="7" s="1"/>
  <c r="P577" i="7"/>
  <c r="AU577" i="7" s="1"/>
  <c r="P604" i="7"/>
  <c r="AU604" i="7" s="1"/>
  <c r="P574" i="7"/>
  <c r="AU574" i="7" s="1"/>
  <c r="P470" i="7"/>
  <c r="AU470" i="7" s="1"/>
  <c r="P465" i="7"/>
  <c r="AU465" i="7" s="1"/>
  <c r="P561" i="7"/>
  <c r="AU561" i="7" s="1"/>
  <c r="P1028" i="7"/>
  <c r="AU1028" i="7" s="1"/>
  <c r="P825" i="7"/>
  <c r="AU825" i="7" s="1"/>
  <c r="P1329" i="7"/>
  <c r="AU1329" i="7" s="1"/>
  <c r="P1135" i="7"/>
  <c r="AU1135" i="7" s="1"/>
  <c r="P864" i="7"/>
  <c r="AU864" i="7" s="1"/>
  <c r="P911" i="7"/>
  <c r="AU911" i="7" s="1"/>
  <c r="P647" i="7"/>
  <c r="AU647" i="7" s="1"/>
  <c r="P850" i="7"/>
  <c r="AU850" i="7" s="1"/>
  <c r="P903" i="7"/>
  <c r="AU903" i="7" s="1"/>
  <c r="P684" i="7"/>
  <c r="AU684" i="7" s="1"/>
  <c r="P848" i="7"/>
  <c r="AU848" i="7" s="1"/>
  <c r="P1506" i="7"/>
  <c r="AU1506" i="7" s="1"/>
  <c r="P2263" i="7"/>
  <c r="AU2263" i="7" s="1"/>
  <c r="P511" i="7"/>
  <c r="AU511" i="7" s="1"/>
  <c r="P588" i="7"/>
  <c r="AU588" i="7" s="1"/>
  <c r="P1577" i="7"/>
  <c r="AU1577" i="7" s="1"/>
  <c r="P973" i="7"/>
  <c r="AU973" i="7" s="1"/>
  <c r="P1213" i="7"/>
  <c r="AU1213" i="7" s="1"/>
  <c r="P1781" i="7"/>
  <c r="AU1781" i="7" s="1"/>
  <c r="P563" i="7"/>
  <c r="AU563" i="7" s="1"/>
  <c r="P268" i="7"/>
  <c r="AU268" i="7" s="1"/>
  <c r="P615" i="7"/>
  <c r="AU615" i="7" s="1"/>
  <c r="P1784" i="7"/>
  <c r="AU1784" i="7" s="1"/>
  <c r="P361" i="7"/>
  <c r="AU361" i="7" s="1"/>
  <c r="P1455" i="7"/>
  <c r="AU1455" i="7" s="1"/>
  <c r="P1949" i="7"/>
  <c r="AU1949" i="7" s="1"/>
  <c r="P2125" i="7"/>
  <c r="AU2125" i="7" s="1"/>
  <c r="P1834" i="7"/>
  <c r="AU1834" i="7" s="1"/>
  <c r="P1489" i="7"/>
  <c r="AU1489" i="7" s="1"/>
  <c r="P790" i="7"/>
  <c r="AU790" i="7" s="1"/>
  <c r="P649" i="7"/>
  <c r="AU649" i="7" s="1"/>
  <c r="P815" i="7"/>
  <c r="AU815" i="7" s="1"/>
  <c r="P916" i="7"/>
  <c r="AU916" i="7" s="1"/>
  <c r="P448" i="7"/>
  <c r="AU448" i="7" s="1"/>
  <c r="P2010" i="7"/>
  <c r="AU2010" i="7" s="1"/>
  <c r="P822" i="7"/>
  <c r="AU822" i="7" s="1"/>
  <c r="P1048" i="7"/>
  <c r="AU1048" i="7" s="1"/>
  <c r="P1308" i="7"/>
  <c r="AU1308" i="7" s="1"/>
  <c r="P1652" i="7"/>
  <c r="AU1652" i="7" s="1"/>
  <c r="P298" i="7"/>
  <c r="AU298" i="7" s="1"/>
  <c r="P347" i="7"/>
  <c r="AU347" i="7" s="1"/>
  <c r="P348" i="7"/>
  <c r="AU348" i="7" s="1"/>
  <c r="P295" i="7"/>
  <c r="AU295" i="7" s="1"/>
  <c r="P569" i="7"/>
  <c r="AU569" i="7" s="1"/>
  <c r="P531" i="7"/>
  <c r="AU531" i="7" s="1"/>
  <c r="P1508" i="7"/>
  <c r="AU1508" i="7" s="1"/>
  <c r="P1095" i="7"/>
  <c r="AU1095" i="7" s="1"/>
  <c r="P947" i="7"/>
  <c r="AU947" i="7" s="1"/>
  <c r="P1012" i="7"/>
  <c r="AU1012" i="7" s="1"/>
  <c r="P1252" i="7"/>
  <c r="AU1252" i="7" s="1"/>
  <c r="P1064" i="7"/>
  <c r="P547" i="7"/>
  <c r="AU547" i="7" s="1"/>
  <c r="P521" i="7"/>
  <c r="AU521" i="7" s="1"/>
  <c r="P528" i="7"/>
  <c r="AU528" i="7" s="1"/>
  <c r="P1932" i="7"/>
  <c r="AU1932" i="7" s="1"/>
  <c r="P1642" i="7"/>
  <c r="AU1642" i="7" s="1"/>
  <c r="P169" i="7"/>
  <c r="AU169" i="7" s="1"/>
  <c r="P984" i="7"/>
  <c r="AU984" i="7" s="1"/>
  <c r="P1546" i="7"/>
  <c r="AU1546" i="7" s="1"/>
  <c r="P525" i="7"/>
  <c r="AU525" i="7" s="1"/>
  <c r="P645" i="7"/>
  <c r="AU645" i="7" s="1"/>
  <c r="P567" i="7"/>
  <c r="AU567" i="7" s="1"/>
  <c r="P1716" i="7"/>
  <c r="AU1716" i="7" s="1"/>
  <c r="P1433" i="7"/>
  <c r="AU1433" i="7" s="1"/>
  <c r="P606" i="7"/>
  <c r="AU606" i="7" s="1"/>
  <c r="P1977" i="7"/>
  <c r="AU1977" i="7" s="1"/>
  <c r="P517" i="7"/>
  <c r="AU517" i="7" s="1"/>
  <c r="P998" i="7"/>
  <c r="AU998" i="7" s="1"/>
  <c r="P987" i="7"/>
  <c r="AU987" i="7" s="1"/>
  <c r="P621" i="7"/>
  <c r="P1285" i="7"/>
  <c r="AU1285" i="7" s="1"/>
  <c r="P1857" i="7"/>
  <c r="AU1857" i="7" s="1"/>
  <c r="P534" i="7"/>
  <c r="AU534" i="7" s="1"/>
  <c r="P581" i="7"/>
  <c r="AU581" i="7" s="1"/>
  <c r="P1373" i="7"/>
  <c r="AU1373" i="7" s="1"/>
  <c r="P1722" i="7"/>
  <c r="AU1722" i="7" s="1"/>
  <c r="P244" i="7"/>
  <c r="AU244" i="7" s="1"/>
  <c r="P114" i="7"/>
  <c r="AU114" i="7" s="1"/>
  <c r="P1565" i="7"/>
  <c r="AU1565" i="7" s="1"/>
  <c r="P801" i="7"/>
  <c r="AU801" i="7" s="1"/>
  <c r="P1134" i="7"/>
  <c r="AU1134" i="7" s="1"/>
  <c r="P838" i="7"/>
  <c r="AU838" i="7" s="1"/>
  <c r="P844" i="7"/>
  <c r="AU844" i="7" s="1"/>
  <c r="P2176" i="7"/>
  <c r="AU2176" i="7" s="1"/>
  <c r="P1333" i="7"/>
  <c r="AU1333" i="7" s="1"/>
  <c r="P932" i="7"/>
  <c r="AU932" i="7" s="1"/>
  <c r="P1153" i="7"/>
  <c r="AU1153" i="7" s="1"/>
  <c r="P1364" i="7"/>
  <c r="AU1364" i="7" s="1"/>
  <c r="P591" i="7"/>
  <c r="AU591" i="7" s="1"/>
  <c r="P726" i="7"/>
  <c r="AU726" i="7" s="1"/>
  <c r="P576" i="7"/>
  <c r="AU576" i="7" s="1"/>
  <c r="P596" i="7"/>
  <c r="AU596" i="7" s="1"/>
  <c r="P628" i="7"/>
  <c r="AU628" i="7" s="1"/>
  <c r="P899" i="7"/>
  <c r="AU899" i="7" s="1"/>
  <c r="P1808" i="7"/>
  <c r="AU1808" i="7" s="1"/>
  <c r="P1796" i="7"/>
  <c r="AU1796" i="7" s="1"/>
  <c r="P1472" i="7"/>
  <c r="AU1472" i="7" s="1"/>
  <c r="P1560" i="7"/>
  <c r="AU1560" i="7" s="1"/>
  <c r="P1222" i="7"/>
  <c r="AU1222" i="7" s="1"/>
  <c r="P127" i="7"/>
  <c r="AU127" i="7" s="1"/>
  <c r="P1278" i="7"/>
  <c r="AU1278" i="7" s="1"/>
  <c r="P1340" i="7"/>
  <c r="AU1340" i="7" s="1"/>
  <c r="P1015" i="7"/>
  <c r="AU1015" i="7" s="1"/>
  <c r="P122" i="7"/>
  <c r="AU122" i="7" s="1"/>
  <c r="P960" i="7"/>
  <c r="AU960" i="7" s="1"/>
  <c r="P744" i="7"/>
  <c r="P907" i="7"/>
  <c r="AU907" i="7" s="1"/>
  <c r="P800" i="7"/>
  <c r="AU800" i="7" s="1"/>
  <c r="P734" i="7"/>
  <c r="AU734" i="7" s="1"/>
  <c r="P975" i="7"/>
  <c r="AU975" i="7" s="1"/>
  <c r="P1019" i="7"/>
  <c r="AU1019" i="7" s="1"/>
  <c r="P1200" i="7"/>
  <c r="AU1200" i="7" s="1"/>
  <c r="P1115" i="7"/>
  <c r="AU1115" i="7" s="1"/>
  <c r="P352" i="7"/>
  <c r="AU352" i="7" s="1"/>
  <c r="P1878" i="7"/>
  <c r="AU1878" i="7" s="1"/>
  <c r="P1668" i="7"/>
  <c r="AU1668" i="7" s="1"/>
  <c r="P1902" i="7"/>
  <c r="AU1902" i="7" s="1"/>
  <c r="P2159" i="7"/>
  <c r="AU2159" i="7" s="1"/>
  <c r="P1052" i="7"/>
  <c r="AU1052" i="7" s="1"/>
  <c r="P966" i="7"/>
  <c r="AU966" i="7" s="1"/>
  <c r="P1033" i="7"/>
  <c r="AU1033" i="7" s="1"/>
  <c r="P1044" i="7"/>
  <c r="AU1044" i="7" s="1"/>
  <c r="P2138" i="7"/>
  <c r="AU2138" i="7" s="1"/>
  <c r="P363" i="7"/>
  <c r="AU363" i="7" s="1"/>
  <c r="P901" i="7"/>
  <c r="AU901" i="7" s="1"/>
  <c r="P996" i="7"/>
  <c r="AU996" i="7" s="1"/>
  <c r="P683" i="7"/>
  <c r="AU683" i="7" s="1"/>
  <c r="P623" i="7"/>
  <c r="AU623" i="7" s="1"/>
  <c r="P706" i="7"/>
  <c r="AU706" i="7" s="1"/>
  <c r="P148" i="7"/>
  <c r="AU148" i="7" s="1"/>
  <c r="P1040" i="7"/>
  <c r="AU1040" i="7" s="1"/>
  <c r="P1251" i="7"/>
  <c r="AU1251" i="7" s="1"/>
  <c r="P369" i="7"/>
  <c r="AU369" i="7" s="1"/>
  <c r="P199" i="7"/>
  <c r="AU199" i="7" s="1"/>
  <c r="P436" i="7"/>
  <c r="AU436" i="7" s="1"/>
  <c r="P1548" i="7"/>
  <c r="AU1548" i="7" s="1"/>
  <c r="P129" i="7"/>
  <c r="AU129" i="7" s="1"/>
  <c r="P2247" i="7"/>
  <c r="AU2247" i="7" s="1"/>
  <c r="P1355" i="7"/>
  <c r="AU1355" i="7" s="1"/>
  <c r="P1228" i="7"/>
  <c r="AU1228" i="7" s="1"/>
  <c r="P1401" i="7"/>
  <c r="AU1401" i="7" s="1"/>
  <c r="P1111" i="7"/>
  <c r="AU1111" i="7" s="1"/>
  <c r="P267" i="7"/>
  <c r="AU267" i="7" s="1"/>
  <c r="P1746" i="7"/>
  <c r="AU1746" i="7" s="1"/>
  <c r="P1310" i="7"/>
  <c r="AU1310" i="7" s="1"/>
  <c r="P1601" i="7"/>
  <c r="AU1601" i="7" s="1"/>
  <c r="P1014" i="7"/>
  <c r="AU1014" i="7" s="1"/>
  <c r="P990" i="7"/>
  <c r="AU990" i="7" s="1"/>
  <c r="P1091" i="7"/>
  <c r="AU1091" i="7" s="1"/>
  <c r="P1523" i="7"/>
  <c r="AU1523" i="7" s="1"/>
  <c r="P1849" i="7"/>
  <c r="AU1849" i="7" s="1"/>
  <c r="P1250" i="7"/>
  <c r="AU1250" i="7" s="1"/>
  <c r="P1287" i="7"/>
  <c r="AU1287" i="7" s="1"/>
  <c r="P811" i="7"/>
  <c r="AU811" i="7" s="1"/>
  <c r="P332" i="7"/>
  <c r="AU332" i="7" s="1"/>
  <c r="P1066" i="7"/>
  <c r="AU1066" i="7" s="1"/>
  <c r="P992" i="7"/>
  <c r="AU992" i="7" s="1"/>
  <c r="P1007" i="7"/>
  <c r="AU1007" i="7" s="1"/>
  <c r="P997" i="7"/>
  <c r="AU997" i="7" s="1"/>
  <c r="P1032" i="7"/>
  <c r="AU1032" i="7" s="1"/>
  <c r="P1030" i="7"/>
  <c r="AU1030" i="7" s="1"/>
  <c r="P1317" i="7"/>
  <c r="AU1317" i="7" s="1"/>
  <c r="P1245" i="7"/>
  <c r="AU1245" i="7" s="1"/>
  <c r="P1946" i="7"/>
  <c r="AU1946" i="7" s="1"/>
  <c r="P1732" i="7"/>
  <c r="AU1732" i="7" s="1"/>
  <c r="P1517" i="7"/>
  <c r="AU1517" i="7" s="1"/>
  <c r="P2096" i="7"/>
  <c r="AU2096" i="7" s="1"/>
  <c r="P858" i="7"/>
  <c r="AU858" i="7" s="1"/>
  <c r="P753" i="7"/>
  <c r="AU753" i="7" s="1"/>
  <c r="P776" i="7"/>
  <c r="AU776" i="7" s="1"/>
  <c r="P741" i="7"/>
  <c r="AU741" i="7" s="1"/>
  <c r="P677" i="7"/>
  <c r="AU677" i="7" s="1"/>
  <c r="P845" i="7"/>
  <c r="AU845" i="7" s="1"/>
  <c r="P814" i="7"/>
  <c r="AU814" i="7" s="1"/>
  <c r="P887" i="7"/>
  <c r="AU887" i="7" s="1"/>
  <c r="P906" i="7"/>
  <c r="AU906" i="7" s="1"/>
  <c r="P780" i="7"/>
  <c r="AU780" i="7" s="1"/>
  <c r="P1622" i="7"/>
  <c r="AU1622" i="7" s="1"/>
  <c r="P778" i="7"/>
  <c r="AU778" i="7" s="1"/>
  <c r="P611" i="7"/>
  <c r="AU611" i="7" s="1"/>
  <c r="P689" i="7"/>
  <c r="AU689" i="7" s="1"/>
  <c r="P794" i="7"/>
  <c r="AU794" i="7" s="1"/>
  <c r="P70" i="7"/>
  <c r="AU70" i="7" s="1"/>
  <c r="P661" i="7"/>
  <c r="AU661" i="7" s="1"/>
  <c r="P536" i="7"/>
  <c r="AU536" i="7" s="1"/>
  <c r="P320" i="7"/>
  <c r="AU320" i="7" s="1"/>
  <c r="P10" i="7"/>
  <c r="AU10" i="7" s="1"/>
  <c r="P1515" i="7"/>
  <c r="AU1515" i="7" s="1"/>
  <c r="P457" i="7"/>
  <c r="AU457" i="7" s="1"/>
  <c r="P1777" i="7"/>
  <c r="AU1777" i="7" s="1"/>
  <c r="P1551" i="7"/>
  <c r="AU1551" i="7" s="1"/>
  <c r="P1923" i="7"/>
  <c r="AU1923" i="7" s="1"/>
  <c r="P748" i="7"/>
  <c r="AU748" i="7" s="1"/>
  <c r="P1625" i="7"/>
  <c r="AU1625" i="7" s="1"/>
  <c r="P1267" i="7"/>
  <c r="AU1267" i="7" s="1"/>
  <c r="P1465" i="7"/>
  <c r="AU1465" i="7" s="1"/>
  <c r="P1425" i="7"/>
  <c r="AU1425" i="7" s="1"/>
  <c r="P1314" i="7"/>
  <c r="AU1314" i="7" s="1"/>
  <c r="P1362" i="7"/>
  <c r="AU1362" i="7" s="1"/>
  <c r="P2129" i="7"/>
  <c r="AU2129" i="7" s="1"/>
  <c r="P1471" i="7"/>
  <c r="AU1471" i="7" s="1"/>
  <c r="P1610" i="7"/>
  <c r="AU1610" i="7" s="1"/>
  <c r="P1614" i="7"/>
  <c r="AU1614" i="7" s="1"/>
  <c r="P1011" i="7"/>
  <c r="AU1011" i="7" s="1"/>
  <c r="P642" i="7"/>
  <c r="AU642" i="7" s="1"/>
  <c r="P130" i="7"/>
  <c r="AU130" i="7" s="1"/>
  <c r="P132" i="7"/>
  <c r="AU132" i="7" s="1"/>
  <c r="P1178" i="7"/>
  <c r="AU1178" i="7" s="1"/>
  <c r="P507" i="7"/>
  <c r="AU507" i="7" s="1"/>
  <c r="P891" i="7"/>
  <c r="AU891" i="7" s="1"/>
  <c r="P994" i="7"/>
  <c r="AU994" i="7" s="1"/>
  <c r="P664" i="7"/>
  <c r="AU664" i="7" s="1"/>
  <c r="P658" i="7"/>
  <c r="AU658" i="7" s="1"/>
  <c r="P550" i="7"/>
  <c r="AU550" i="7" s="1"/>
  <c r="P678" i="7"/>
  <c r="AU678" i="7" s="1"/>
  <c r="P670" i="7"/>
  <c r="AU670" i="7" s="1"/>
  <c r="P571" i="7"/>
  <c r="AU571" i="7" s="1"/>
  <c r="P1488" i="7"/>
  <c r="AU1488" i="7" s="1"/>
  <c r="P779" i="7"/>
  <c r="AU779" i="7" s="1"/>
  <c r="P695" i="7"/>
  <c r="AU695" i="7" s="1"/>
  <c r="P444" i="7"/>
  <c r="AU444" i="7" s="1"/>
  <c r="P1124" i="7"/>
  <c r="AU1124" i="7" s="1"/>
  <c r="P1221" i="7"/>
  <c r="AU1221" i="7" s="1"/>
  <c r="P1507" i="7"/>
  <c r="AU1507" i="7" s="1"/>
  <c r="P1992" i="7"/>
  <c r="AU1992" i="7" s="1"/>
  <c r="P1839" i="7"/>
  <c r="AU1839" i="7" s="1"/>
  <c r="P1247" i="7"/>
  <c r="AU1247" i="7" s="1"/>
  <c r="P1895" i="7"/>
  <c r="AU1895" i="7" s="1"/>
  <c r="P1109" i="7"/>
  <c r="AU1109" i="7" s="1"/>
  <c r="P452" i="7"/>
  <c r="AU452" i="7" s="1"/>
  <c r="P865" i="7"/>
  <c r="AU865" i="7" s="1"/>
  <c r="P366" i="7"/>
  <c r="AU366" i="7" s="1"/>
  <c r="P1756" i="7"/>
  <c r="AU1756" i="7" s="1"/>
  <c r="P1687" i="7"/>
  <c r="P1759" i="7"/>
  <c r="AU1759" i="7" s="1"/>
  <c r="P1766" i="7"/>
  <c r="AU1766" i="7" s="1"/>
  <c r="P1845" i="7"/>
  <c r="AU1845" i="7" s="1"/>
  <c r="P1514" i="7"/>
  <c r="AU1514" i="7" s="1"/>
  <c r="P1628" i="7"/>
  <c r="AU1628" i="7" s="1"/>
  <c r="P1611" i="7"/>
  <c r="AU1611" i="7" s="1"/>
  <c r="P1654" i="7"/>
  <c r="AU1654" i="7" s="1"/>
  <c r="P1526" i="7"/>
  <c r="AU1526" i="7" s="1"/>
  <c r="P1752" i="7"/>
  <c r="AU1752" i="7" s="1"/>
  <c r="P902" i="7"/>
  <c r="AU902" i="7" s="1"/>
  <c r="P1063" i="7"/>
  <c r="AU1063" i="7" s="1"/>
  <c r="P820" i="7"/>
  <c r="P1271" i="7"/>
  <c r="AU1271" i="7" s="1"/>
  <c r="P866" i="7"/>
  <c r="AU866" i="7" s="1"/>
  <c r="P828" i="7"/>
  <c r="AU828" i="7" s="1"/>
  <c r="P2191" i="7"/>
  <c r="AU2191" i="7" s="1"/>
  <c r="P2052" i="7"/>
  <c r="AU2052" i="7" s="1"/>
  <c r="P919" i="7"/>
  <c r="AU919" i="7" s="1"/>
  <c r="P1718" i="7"/>
  <c r="AU1718" i="7" s="1"/>
  <c r="P739" i="7"/>
  <c r="AU739" i="7" s="1"/>
  <c r="P977" i="7"/>
  <c r="AU977" i="7" s="1"/>
  <c r="P730" i="7"/>
  <c r="AU730" i="7" s="1"/>
  <c r="P964" i="7"/>
  <c r="AU964" i="7" s="1"/>
  <c r="P211" i="7"/>
  <c r="AU211" i="7" s="1"/>
  <c r="P1715" i="7"/>
  <c r="AU1715" i="7" s="1"/>
  <c r="P2236" i="7"/>
  <c r="AU2236" i="7" s="1"/>
  <c r="P824" i="7"/>
  <c r="AU824" i="7" s="1"/>
  <c r="P1081" i="7"/>
  <c r="AU1081" i="7" s="1"/>
  <c r="P1258" i="7"/>
  <c r="AU1258" i="7" s="1"/>
  <c r="P1751" i="7"/>
  <c r="AU1751" i="7" s="1"/>
  <c r="P768" i="7"/>
  <c r="AU768" i="7" s="1"/>
  <c r="P1043" i="7"/>
  <c r="AU1043" i="7" s="1"/>
  <c r="P472" i="7"/>
  <c r="AU472" i="7" s="1"/>
  <c r="P113" i="7"/>
  <c r="AU113" i="7" s="1"/>
  <c r="P287" i="7"/>
  <c r="AU287" i="7" s="1"/>
  <c r="P601" i="7"/>
  <c r="AU601" i="7" s="1"/>
  <c r="P1143" i="7"/>
  <c r="AU1143" i="7" s="1"/>
  <c r="P1770" i="7"/>
  <c r="AU1770" i="7" s="1"/>
  <c r="P2053" i="7"/>
  <c r="AU2053" i="7" s="1"/>
  <c r="P2110" i="7"/>
  <c r="AU2110" i="7" s="1"/>
  <c r="P1741" i="7"/>
  <c r="AU1741" i="7" s="1"/>
  <c r="P500" i="7"/>
  <c r="AU500" i="7" s="1"/>
  <c r="P603" i="7"/>
  <c r="AU603" i="7" s="1"/>
  <c r="P624" i="7"/>
  <c r="AU624" i="7" s="1"/>
  <c r="P440" i="7"/>
  <c r="AU440" i="7" s="1"/>
  <c r="P607" i="7"/>
  <c r="AU607" i="7" s="1"/>
  <c r="P499" i="7"/>
  <c r="AU499" i="7" s="1"/>
  <c r="P425" i="7"/>
  <c r="AU425" i="7" s="1"/>
  <c r="P453" i="7"/>
  <c r="AU453" i="7" s="1"/>
  <c r="P703" i="7"/>
  <c r="AU703" i="7" s="1"/>
  <c r="P1050" i="7"/>
  <c r="AU1050" i="7" s="1"/>
  <c r="P974" i="7"/>
  <c r="AU974" i="7" s="1"/>
  <c r="P1119" i="7"/>
  <c r="AU1119" i="7" s="1"/>
  <c r="P1392" i="7"/>
  <c r="AU1392" i="7" s="1"/>
  <c r="P1244" i="7"/>
  <c r="AU1244" i="7" s="1"/>
  <c r="P1160" i="7"/>
  <c r="AU1160" i="7" s="1"/>
  <c r="P1347" i="7"/>
  <c r="AU1347" i="7" s="1"/>
  <c r="P879" i="7"/>
  <c r="AU879" i="7" s="1"/>
  <c r="P736" i="7"/>
  <c r="AU736" i="7" s="1"/>
  <c r="P782" i="7"/>
  <c r="AU782" i="7" s="1"/>
  <c r="P680" i="7"/>
  <c r="AU680" i="7" s="1"/>
  <c r="P755" i="7"/>
  <c r="AU755" i="7" s="1"/>
  <c r="P630" i="7"/>
  <c r="AU630" i="7" s="1"/>
  <c r="P660" i="7"/>
  <c r="AU660" i="7" s="1"/>
  <c r="P648" i="7"/>
  <c r="AU648" i="7" s="1"/>
  <c r="P740" i="7"/>
  <c r="AU740" i="7" s="1"/>
  <c r="P482" i="7"/>
  <c r="AU482" i="7" s="1"/>
  <c r="P520" i="7"/>
  <c r="AU520" i="7" s="1"/>
  <c r="P846" i="7"/>
  <c r="AU846" i="7" s="1"/>
  <c r="P963" i="7"/>
  <c r="AU963" i="7" s="1"/>
  <c r="P1375" i="7"/>
  <c r="AU1375" i="7" s="1"/>
  <c r="P203" i="7"/>
  <c r="AU203" i="7" s="1"/>
  <c r="P213" i="7"/>
  <c r="AU213" i="7" s="1"/>
  <c r="P265" i="7"/>
  <c r="AU265" i="7" s="1"/>
  <c r="P266" i="7"/>
  <c r="AU266" i="7" s="1"/>
  <c r="P1474" i="7"/>
  <c r="AU1474" i="7" s="1"/>
  <c r="P1326" i="7"/>
  <c r="AU1326" i="7" s="1"/>
  <c r="P1332" i="7"/>
  <c r="AU1332" i="7" s="1"/>
  <c r="P1615" i="7"/>
  <c r="AU1615" i="7" s="1"/>
  <c r="P769" i="7"/>
  <c r="AU769" i="7" s="1"/>
  <c r="P1585" i="7"/>
  <c r="AU1585" i="7" s="1"/>
  <c r="P1202" i="7"/>
  <c r="AU1202" i="7" s="1"/>
  <c r="P1100" i="7"/>
  <c r="AU1100" i="7" s="1"/>
  <c r="P834" i="7"/>
  <c r="AU834" i="7" s="1"/>
  <c r="P832" i="7"/>
  <c r="AU832" i="7" s="1"/>
  <c r="P530" i="7"/>
  <c r="AU530" i="7" s="1"/>
  <c r="P1286" i="7"/>
  <c r="AU1286" i="7" s="1"/>
  <c r="P1256" i="7"/>
  <c r="AU1256" i="7" s="1"/>
  <c r="P506" i="7"/>
  <c r="AU506" i="7" s="1"/>
  <c r="P2204" i="7"/>
  <c r="AU2204" i="7" s="1"/>
  <c r="P339" i="7"/>
  <c r="AU339" i="7" s="1"/>
  <c r="P1780" i="7"/>
  <c r="AU1780" i="7" s="1"/>
  <c r="P2028" i="7"/>
  <c r="AU2028" i="7" s="1"/>
  <c r="P2239" i="7"/>
  <c r="AU2239" i="7" s="1"/>
  <c r="P1104" i="7"/>
  <c r="AU1104" i="7" s="1"/>
  <c r="P605" i="7"/>
  <c r="AU605" i="7" s="1"/>
  <c r="P690" i="7"/>
  <c r="AU690" i="7" s="1"/>
  <c r="P2208" i="7"/>
  <c r="AU2208" i="7" s="1"/>
  <c r="P1341" i="7"/>
  <c r="AU1341" i="7" s="1"/>
  <c r="P1787" i="7"/>
  <c r="AU1787" i="7" s="1"/>
  <c r="P1093" i="7"/>
  <c r="AU1093" i="7" s="1"/>
  <c r="P1346" i="7"/>
  <c r="AU1346" i="7" s="1"/>
  <c r="P1089" i="7"/>
  <c r="AU1089" i="7" s="1"/>
  <c r="P758" i="7"/>
  <c r="AU758" i="7" s="1"/>
  <c r="P693" i="7"/>
  <c r="AU693" i="7" s="1"/>
  <c r="P1149" i="7"/>
  <c r="AU1149" i="7" s="1"/>
  <c r="P1590" i="7"/>
  <c r="AU1590" i="7" s="1"/>
  <c r="P106" i="7"/>
  <c r="AU106" i="7" s="1"/>
  <c r="P978" i="7"/>
  <c r="AU978" i="7" s="1"/>
  <c r="P1637" i="7"/>
  <c r="AU1637" i="7" s="1"/>
  <c r="P999" i="7"/>
  <c r="AU999" i="7" s="1"/>
  <c r="P55" i="7"/>
  <c r="AU55" i="7" s="1"/>
  <c r="P1354" i="7"/>
  <c r="AU1354" i="7" s="1"/>
  <c r="P944" i="7"/>
  <c r="AU944" i="7" s="1"/>
  <c r="P1448" i="7"/>
  <c r="AU1448" i="7" s="1"/>
  <c r="P1673" i="7"/>
  <c r="AU1673" i="7" s="1"/>
  <c r="P565" i="7"/>
  <c r="AU565" i="7" s="1"/>
  <c r="P389" i="7"/>
  <c r="AU389" i="7" s="1"/>
  <c r="P487" i="7"/>
  <c r="AU487" i="7" s="1"/>
  <c r="P512" i="7"/>
  <c r="AU512" i="7" s="1"/>
  <c r="P544" i="7"/>
  <c r="AU544" i="7" s="1"/>
  <c r="P988" i="7"/>
  <c r="AU988" i="7" s="1"/>
  <c r="P508" i="7"/>
  <c r="AU508" i="7" s="1"/>
  <c r="P532" i="7"/>
  <c r="AU532" i="7" s="1"/>
  <c r="P399" i="7"/>
  <c r="AU399" i="7" s="1"/>
  <c r="P471" i="7"/>
  <c r="AU471" i="7" s="1"/>
  <c r="P1863" i="7"/>
  <c r="AU1863" i="7" s="1"/>
  <c r="P2009" i="7"/>
  <c r="AU2009" i="7" s="1"/>
  <c r="P1545" i="7"/>
  <c r="AU1545" i="7" s="1"/>
  <c r="P1966" i="7"/>
  <c r="AU1966" i="7" s="1"/>
  <c r="P1998" i="7"/>
  <c r="AU1998" i="7" s="1"/>
  <c r="P713" i="7"/>
  <c r="AU713" i="7" s="1"/>
  <c r="P1653" i="7"/>
  <c r="AU1653" i="7" s="1"/>
  <c r="P1958" i="7"/>
  <c r="AU1958" i="7" s="1"/>
  <c r="P1704" i="7"/>
  <c r="AU1704" i="7" s="1"/>
  <c r="P1691" i="7"/>
  <c r="AU1691" i="7" s="1"/>
  <c r="P1744" i="7"/>
  <c r="AU1744" i="7" s="1"/>
  <c r="P1951" i="7"/>
  <c r="AU1951" i="7" s="1"/>
  <c r="P1626" i="7"/>
  <c r="AU1626" i="7" s="1"/>
  <c r="P1382" i="7"/>
  <c r="AU1382" i="7" s="1"/>
  <c r="P1217" i="7"/>
  <c r="AU1217" i="7" s="1"/>
  <c r="P327" i="7"/>
  <c r="AU327" i="7" s="1"/>
  <c r="P394" i="7"/>
  <c r="AU394" i="7" s="1"/>
  <c r="P1544" i="7"/>
  <c r="AU1544" i="7" s="1"/>
  <c r="P1436" i="7"/>
  <c r="AU1436" i="7" s="1"/>
  <c r="P1415" i="7"/>
  <c r="AU1415" i="7" s="1"/>
  <c r="P738" i="7"/>
  <c r="AU738" i="7" s="1"/>
  <c r="P854" i="7"/>
  <c r="AU854" i="7" s="1"/>
  <c r="P1736" i="7"/>
  <c r="AU1736" i="7" s="1"/>
  <c r="P878" i="7"/>
  <c r="AU878" i="7" s="1"/>
  <c r="P1803" i="7"/>
  <c r="AU1803" i="7" s="1"/>
  <c r="P593" i="7"/>
  <c r="AU593" i="7" s="1"/>
  <c r="P608" i="7"/>
  <c r="AU608" i="7" s="1"/>
  <c r="P2249" i="7"/>
  <c r="AU2249" i="7" s="1"/>
  <c r="P1662" i="7"/>
  <c r="AU1662" i="7" s="1"/>
  <c r="P14" i="7"/>
  <c r="AU14" i="7" s="1"/>
  <c r="P403" i="7"/>
  <c r="AU403" i="7" s="1"/>
  <c r="P773" i="7"/>
  <c r="AU773" i="7" s="1"/>
  <c r="P2004" i="7"/>
  <c r="AU2004" i="7" s="1"/>
  <c r="P2121" i="7"/>
  <c r="AU2121" i="7" s="1"/>
  <c r="P1397" i="7"/>
  <c r="AU1397" i="7" s="1"/>
  <c r="P676" i="7"/>
  <c r="AU676" i="7" s="1"/>
  <c r="P1309" i="7"/>
  <c r="AU1309" i="7" s="1"/>
  <c r="P557" i="7"/>
  <c r="AU557" i="7" s="1"/>
  <c r="P2254" i="7"/>
  <c r="AU2254" i="7" s="1"/>
  <c r="P2054" i="7"/>
  <c r="AU2054" i="7" s="1"/>
  <c r="P2079" i="7"/>
  <c r="AU2079" i="7" s="1"/>
  <c r="P895" i="7"/>
  <c r="AU895" i="7" s="1"/>
  <c r="P1038" i="7"/>
  <c r="AU1038" i="7" s="1"/>
  <c r="P1172" i="7"/>
  <c r="AU1172" i="7" s="1"/>
  <c r="P1026" i="7"/>
  <c r="AU1026" i="7" s="1"/>
  <c r="P1218" i="7"/>
  <c r="AU1218" i="7" s="1"/>
  <c r="P1047" i="7"/>
  <c r="AU1047" i="7" s="1"/>
  <c r="P896" i="7"/>
  <c r="AU896" i="7" s="1"/>
  <c r="P1859" i="7"/>
  <c r="AU1859" i="7" s="1"/>
  <c r="P16" i="7"/>
  <c r="AU16" i="7" s="1"/>
  <c r="P18" i="7"/>
  <c r="AU18" i="7" s="1"/>
  <c r="P2224" i="7"/>
  <c r="AU2224" i="7" s="1"/>
  <c r="P1921" i="7"/>
  <c r="AU1921" i="7" s="1"/>
  <c r="P1918" i="7"/>
  <c r="AU1918" i="7" s="1"/>
  <c r="P1057" i="7"/>
  <c r="AU1057" i="7" s="1"/>
  <c r="P923" i="7"/>
  <c r="AU923" i="7" s="1"/>
  <c r="P335" i="7"/>
  <c r="AU335" i="7" s="1"/>
  <c r="P1835" i="7"/>
  <c r="AU1835" i="7" s="1"/>
  <c r="P460" i="7"/>
  <c r="AU460" i="7" s="1"/>
  <c r="P67" i="7"/>
  <c r="AU67" i="7" s="1"/>
  <c r="P328" i="7"/>
  <c r="AU328" i="7" s="1"/>
  <c r="P551" i="7"/>
  <c r="AU551" i="7" s="1"/>
  <c r="P566" i="7"/>
  <c r="AU566" i="7" s="1"/>
  <c r="P372" i="7"/>
  <c r="AU372" i="7" s="1"/>
  <c r="P420" i="7"/>
  <c r="AU420" i="7" s="1"/>
  <c r="P277" i="7"/>
  <c r="AU277" i="7" s="1"/>
  <c r="P930" i="7"/>
  <c r="AU930" i="7" s="1"/>
  <c r="P1603" i="7"/>
  <c r="AU1603" i="7" s="1"/>
  <c r="P578" i="7"/>
  <c r="AU578" i="7" s="1"/>
  <c r="P632" i="7"/>
  <c r="AU632" i="7" s="1"/>
  <c r="P13" i="7"/>
  <c r="AU13" i="7" s="1"/>
  <c r="P936" i="7"/>
  <c r="AU936" i="7" s="1"/>
  <c r="P1788" i="7"/>
  <c r="AU1788" i="7" s="1"/>
  <c r="P962" i="7"/>
  <c r="AU962" i="7" s="1"/>
  <c r="P1082" i="7"/>
  <c r="AU1082" i="7" s="1"/>
  <c r="P2167" i="7"/>
  <c r="AU2167" i="7" s="1"/>
  <c r="P1764" i="7"/>
  <c r="AU1764" i="7" s="1"/>
  <c r="P1686" i="7"/>
  <c r="AU1686" i="7" s="1"/>
  <c r="P1106" i="7"/>
  <c r="AU1106" i="7" s="1"/>
  <c r="P2165" i="7"/>
  <c r="AU2165" i="7" s="1"/>
  <c r="P1088" i="7"/>
  <c r="AU1088" i="7" s="1"/>
  <c r="P1575" i="7"/>
  <c r="AU1575" i="7" s="1"/>
  <c r="P1750" i="7"/>
  <c r="AU1750" i="7" s="1"/>
  <c r="P1293" i="7"/>
  <c r="AU1293" i="7" s="1"/>
  <c r="P2198" i="7"/>
  <c r="AU2198" i="7" s="1"/>
  <c r="P1389" i="7"/>
  <c r="AU1389" i="7" s="1"/>
  <c r="P653" i="7"/>
  <c r="AU653" i="7" s="1"/>
  <c r="P480" i="7"/>
  <c r="AU480" i="7" s="1"/>
  <c r="P640" i="7"/>
  <c r="AU640" i="7" s="1"/>
  <c r="P484" i="7"/>
  <c r="AU484" i="7" s="1"/>
  <c r="P474" i="7"/>
  <c r="AU474" i="7" s="1"/>
  <c r="P1322" i="7"/>
  <c r="AU1322" i="7" s="1"/>
  <c r="P1350" i="7"/>
  <c r="AU1350" i="7" s="1"/>
  <c r="P1336" i="7"/>
  <c r="AU1336" i="7" s="1"/>
  <c r="P616" i="7"/>
  <c r="AU616" i="7" s="1"/>
  <c r="P1108" i="7"/>
  <c r="AU1108" i="7" s="1"/>
  <c r="P1184" i="7"/>
  <c r="AU1184" i="7" s="1"/>
  <c r="P1272" i="7"/>
  <c r="AU1272" i="7" s="1"/>
  <c r="P1826" i="7"/>
  <c r="AU1826" i="7" s="1"/>
  <c r="P1469" i="7"/>
  <c r="AU1469" i="7" s="1"/>
  <c r="P2182" i="7"/>
  <c r="AU2182" i="7" s="1"/>
  <c r="P1193" i="7"/>
  <c r="AU1193" i="7" s="1"/>
  <c r="P2177" i="7"/>
  <c r="AU2177" i="7" s="1"/>
  <c r="P1422" i="7"/>
  <c r="AU1422" i="7" s="1"/>
  <c r="P1141" i="7"/>
  <c r="AU1141" i="7" s="1"/>
  <c r="P727" i="7"/>
  <c r="AU727" i="7" s="1"/>
  <c r="P1323" i="7"/>
  <c r="AU1323" i="7" s="1"/>
  <c r="P1324" i="7"/>
  <c r="AU1324" i="7" s="1"/>
  <c r="P1738" i="7"/>
  <c r="AU1738" i="7" s="1"/>
  <c r="P356" i="7"/>
  <c r="AU356" i="7" s="1"/>
  <c r="P288" i="7"/>
  <c r="AU288" i="7" s="1"/>
  <c r="P240" i="7"/>
  <c r="AU240" i="7" s="1"/>
  <c r="P442" i="7"/>
  <c r="AU442" i="7" s="1"/>
  <c r="P1964" i="7"/>
  <c r="AU1964" i="7" s="1"/>
  <c r="P1798" i="7"/>
  <c r="AU1798" i="7" s="1"/>
  <c r="P2222" i="7"/>
  <c r="AU2222" i="7" s="1"/>
  <c r="P836" i="7"/>
  <c r="AU836" i="7" s="1"/>
  <c r="P354" i="7"/>
  <c r="AU354" i="7" s="1"/>
  <c r="P387" i="7"/>
  <c r="AU387" i="7" s="1"/>
  <c r="P1763" i="7"/>
  <c r="AU1763" i="7" s="1"/>
  <c r="P1893" i="7"/>
  <c r="AU1893" i="7" s="1"/>
  <c r="P1705" i="7"/>
  <c r="AU1705" i="7" s="1"/>
  <c r="P1943" i="7"/>
  <c r="AU1943" i="7" s="1"/>
  <c r="P1726" i="7"/>
  <c r="AU1726" i="7" s="1"/>
  <c r="P1524" i="7"/>
  <c r="AU1524" i="7" s="1"/>
  <c r="P1039" i="7"/>
  <c r="AU1039" i="7" s="1"/>
  <c r="P304" i="7"/>
  <c r="AU304" i="7" s="1"/>
  <c r="P492" i="7"/>
  <c r="AU492" i="7" s="1"/>
  <c r="P479" i="7"/>
  <c r="AU479" i="7" s="1"/>
  <c r="P1980" i="7"/>
  <c r="AU1980" i="7" s="1"/>
  <c r="P434" i="7"/>
  <c r="AU434" i="7" s="1"/>
  <c r="P445" i="7"/>
  <c r="AU445" i="7" s="1"/>
  <c r="P527" i="7"/>
  <c r="AU527" i="7" s="1"/>
  <c r="P519" i="7"/>
  <c r="AU519" i="7" s="1"/>
  <c r="P423" i="7"/>
  <c r="AU423" i="7" s="1"/>
  <c r="P362" i="7"/>
  <c r="AU362" i="7" s="1"/>
  <c r="P1790" i="7"/>
  <c r="AU1790" i="7" s="1"/>
  <c r="P42" i="7"/>
  <c r="AU42" i="7" s="1"/>
  <c r="P806" i="7"/>
  <c r="AU806" i="7" s="1"/>
  <c r="P1762" i="7"/>
  <c r="AU1762" i="7" s="1"/>
  <c r="P1528" i="7"/>
  <c r="AU1528" i="7" s="1"/>
  <c r="P1356" i="7"/>
  <c r="AU1356" i="7" s="1"/>
  <c r="P388" i="7"/>
  <c r="AU388" i="7" s="1"/>
  <c r="P526" i="7"/>
  <c r="AU526" i="7" s="1"/>
  <c r="P763" i="7"/>
  <c r="AU763" i="7" s="1"/>
  <c r="P2068" i="7"/>
  <c r="AU2068" i="7" s="1"/>
  <c r="P599" i="7"/>
  <c r="AU599" i="7" s="1"/>
  <c r="P767" i="7"/>
  <c r="AU767" i="7" s="1"/>
  <c r="P368" i="7"/>
  <c r="AU368" i="7" s="1"/>
  <c r="P1402" i="7"/>
  <c r="AU1402" i="7" s="1"/>
  <c r="P614" i="7"/>
  <c r="AU614" i="7" s="1"/>
  <c r="P1284" i="7"/>
  <c r="AU1284" i="7" s="1"/>
  <c r="P2119" i="7"/>
  <c r="AU2119" i="7" s="1"/>
  <c r="P1761" i="7"/>
  <c r="AU1761" i="7" s="1"/>
  <c r="P2171" i="7"/>
  <c r="AU2171" i="7" s="1"/>
  <c r="P925" i="7"/>
  <c r="AU925" i="7" s="1"/>
  <c r="P1420" i="7"/>
  <c r="AU1420" i="7" s="1"/>
  <c r="P926" i="7"/>
  <c r="AU926" i="7" s="1"/>
  <c r="P719" i="7"/>
  <c r="AU719" i="7" s="1"/>
  <c r="P793" i="7"/>
  <c r="AU793" i="7" s="1"/>
  <c r="P859" i="7"/>
  <c r="AU859" i="7" s="1"/>
  <c r="P917" i="7"/>
  <c r="AU917" i="7" s="1"/>
  <c r="P1020" i="7"/>
  <c r="AU1020" i="7" s="1"/>
  <c r="P798" i="7"/>
  <c r="AU798" i="7" s="1"/>
  <c r="P2223" i="7"/>
  <c r="AU2223" i="7" s="1"/>
  <c r="P2136" i="7"/>
  <c r="AU2136" i="7" s="1"/>
  <c r="P954" i="7"/>
  <c r="AU954" i="7" s="1"/>
  <c r="P1264" i="7"/>
  <c r="AU1264" i="7" s="1"/>
  <c r="P1534" i="7"/>
  <c r="AU1534" i="7" s="1"/>
  <c r="P1227" i="7"/>
  <c r="AU1227" i="7" s="1"/>
  <c r="P1170" i="7"/>
  <c r="AU1170" i="7" s="1"/>
  <c r="P1411" i="7"/>
  <c r="AU1411" i="7" s="1"/>
  <c r="P2042" i="7"/>
  <c r="AU2042" i="7" s="1"/>
  <c r="P1457" i="7"/>
  <c r="AU1457" i="7" s="1"/>
  <c r="P638" i="7"/>
  <c r="AU638" i="7" s="1"/>
  <c r="P1102" i="7"/>
  <c r="AU1102" i="7" s="1"/>
  <c r="P2039" i="7"/>
  <c r="AU2039" i="7" s="1"/>
  <c r="P819" i="7"/>
  <c r="AU819" i="7" s="1"/>
  <c r="P435" i="7"/>
  <c r="AU435" i="7" s="1"/>
  <c r="P1379" i="7"/>
  <c r="AU1379" i="7" s="1"/>
  <c r="P1404" i="7"/>
  <c r="AU1404" i="7" s="1"/>
  <c r="P1664" i="7"/>
  <c r="AU1664" i="7" s="1"/>
  <c r="P1443" i="7"/>
  <c r="AU1443" i="7" s="1"/>
  <c r="P1232" i="7"/>
  <c r="AU1232" i="7" s="1"/>
  <c r="P1024" i="7"/>
  <c r="AU1024" i="7" s="1"/>
  <c r="P1928" i="7"/>
  <c r="AU1928" i="7" s="1"/>
  <c r="P1874" i="7"/>
  <c r="AU1874" i="7" s="1"/>
  <c r="P829" i="7"/>
  <c r="AU829" i="7" s="1"/>
  <c r="P659" i="7"/>
  <c r="AU659" i="7" s="1"/>
  <c r="P699" i="7"/>
  <c r="AU699" i="7" s="1"/>
  <c r="P707" i="7"/>
  <c r="AU707" i="7" s="1"/>
  <c r="P486" i="7"/>
  <c r="AU486" i="7" s="1"/>
  <c r="P1513" i="7"/>
  <c r="AU1513" i="7" s="1"/>
  <c r="P1821" i="7"/>
  <c r="AU1821" i="7" s="1"/>
  <c r="P1800" i="7"/>
  <c r="AU1800" i="7" s="1"/>
  <c r="P2127" i="7"/>
  <c r="AU2127" i="7" s="1"/>
  <c r="P1850" i="7"/>
  <c r="AU1850" i="7" s="1"/>
  <c r="P1418" i="7"/>
  <c r="AU1418" i="7" s="1"/>
  <c r="P927" i="7"/>
  <c r="AU927" i="7" s="1"/>
  <c r="P1136" i="7"/>
  <c r="AU1136" i="7" s="1"/>
  <c r="P1446" i="7"/>
  <c r="AU1446" i="7" s="1"/>
  <c r="P555" i="7"/>
  <c r="AU555" i="7" s="1"/>
  <c r="P263" i="7"/>
  <c r="AU263" i="7" s="1"/>
  <c r="P509" i="7"/>
  <c r="AU509" i="7" s="1"/>
  <c r="P1453" i="7"/>
  <c r="AU1453" i="7" s="1"/>
  <c r="P1438" i="7"/>
  <c r="AU1438" i="7" s="1"/>
  <c r="P1061" i="7"/>
  <c r="AU1061" i="7" s="1"/>
  <c r="P1176" i="7"/>
  <c r="AU1176" i="7" s="1"/>
  <c r="P1206" i="7"/>
  <c r="AU1206" i="7" s="1"/>
  <c r="P2212" i="7"/>
  <c r="AU2212" i="7" s="1"/>
  <c r="P1767" i="7"/>
  <c r="AU1767" i="7" s="1"/>
  <c r="P540" i="7"/>
  <c r="AU540" i="7" s="1"/>
  <c r="P928" i="7"/>
  <c r="AU928" i="7" s="1"/>
  <c r="P872" i="7"/>
  <c r="AU872" i="7" s="1"/>
  <c r="P665" i="7"/>
  <c r="AU665" i="7" s="1"/>
  <c r="P817" i="7"/>
  <c r="AU817" i="7" s="1"/>
  <c r="P867" i="7"/>
  <c r="AU867" i="7" s="1"/>
  <c r="P1555" i="7"/>
  <c r="AU1555" i="7" s="1"/>
  <c r="P1343" i="7"/>
  <c r="AU1343" i="7" s="1"/>
  <c r="P2154" i="7"/>
  <c r="AU2154" i="7" s="1"/>
  <c r="P1212" i="7"/>
  <c r="AU1212" i="7" s="1"/>
  <c r="P575" i="7"/>
  <c r="AU575" i="7" s="1"/>
  <c r="P1094" i="7"/>
  <c r="AU1094" i="7" s="1"/>
  <c r="P777" i="7"/>
  <c r="AU777" i="7" s="1"/>
  <c r="P1086" i="7"/>
  <c r="AU1086" i="7" s="1"/>
  <c r="P1148" i="7"/>
  <c r="AU1148" i="7" s="1"/>
  <c r="P1226" i="7"/>
  <c r="AU1226" i="7" s="1"/>
  <c r="P1521" i="7"/>
  <c r="AU1521" i="7" s="1"/>
  <c r="P535" i="7"/>
  <c r="AU535" i="7" s="1"/>
  <c r="P2043" i="7"/>
  <c r="AU2043" i="7" s="1"/>
  <c r="P876" i="7"/>
  <c r="AU876" i="7" s="1"/>
  <c r="P711" i="7"/>
  <c r="AU711" i="7" s="1"/>
  <c r="P742" i="7"/>
  <c r="AU742" i="7" s="1"/>
  <c r="P843" i="7"/>
  <c r="AU843" i="7" s="1"/>
  <c r="P1708" i="7"/>
  <c r="AU1708" i="7" s="1"/>
  <c r="P1241" i="7"/>
  <c r="AU1241" i="7" s="1"/>
  <c r="P131" i="7"/>
  <c r="AU131" i="7" s="1"/>
  <c r="P1887" i="7"/>
  <c r="AU1887" i="7" s="1"/>
  <c r="P915" i="7"/>
  <c r="AU915" i="7" s="1"/>
  <c r="P2007" i="7"/>
  <c r="AU2007" i="7" s="1"/>
  <c r="P1080" i="7"/>
  <c r="AU1080" i="7" s="1"/>
  <c r="P948" i="7"/>
  <c r="AU948" i="7" s="1"/>
  <c r="P1319" i="7"/>
  <c r="AU1319" i="7" s="1"/>
  <c r="P673" i="7"/>
  <c r="AU673" i="7" s="1"/>
  <c r="P1207" i="7"/>
  <c r="AU1207" i="7" s="1"/>
  <c r="P733" i="7"/>
  <c r="AU733" i="7" s="1"/>
  <c r="P1655" i="7"/>
  <c r="AU1655" i="7" s="1"/>
  <c r="P1423" i="7"/>
  <c r="AU1423" i="7" s="1"/>
  <c r="P1564" i="7"/>
  <c r="AU1564" i="7" s="1"/>
  <c r="P2091" i="7"/>
  <c r="AU2091" i="7" s="1"/>
  <c r="P1598" i="7"/>
  <c r="AU1598" i="7" s="1"/>
  <c r="P1737" i="7"/>
  <c r="AU1737" i="7" s="1"/>
  <c r="P669" i="7"/>
  <c r="AU669" i="7" s="1"/>
  <c r="P622" i="7"/>
  <c r="AU622" i="7" s="1"/>
  <c r="P1304" i="7"/>
  <c r="AU1304" i="7" s="1"/>
  <c r="P1840" i="7"/>
  <c r="AU1840" i="7" s="1"/>
  <c r="P1359" i="7"/>
  <c r="AU1359" i="7" s="1"/>
  <c r="P451" i="7"/>
  <c r="AU451" i="7" s="1"/>
  <c r="P413" i="7"/>
  <c r="AU413" i="7" s="1"/>
  <c r="P650" i="7"/>
  <c r="AU650" i="7" s="1"/>
  <c r="P682" i="7"/>
  <c r="AU682" i="7" s="1"/>
  <c r="P2024" i="7"/>
  <c r="AU2024" i="7" s="1"/>
  <c r="P1791" i="7"/>
  <c r="AU1791" i="7" s="1"/>
  <c r="P2141" i="7"/>
  <c r="AU2141" i="7" s="1"/>
  <c r="P1829" i="7"/>
  <c r="AU1829" i="7" s="1"/>
  <c r="P490" i="7"/>
  <c r="AU490" i="7" s="1"/>
  <c r="P293" i="7"/>
  <c r="AU293" i="7" s="1"/>
  <c r="P1727" i="7"/>
  <c r="AU1727" i="7" s="1"/>
  <c r="P1924" i="7"/>
  <c r="AU1924" i="7" s="1"/>
  <c r="P1328" i="7"/>
  <c r="AU1328" i="7" s="1"/>
  <c r="P691" i="7"/>
  <c r="AU691" i="7" s="1"/>
  <c r="P1600" i="7"/>
  <c r="AU1600" i="7" s="1"/>
  <c r="P258" i="7"/>
  <c r="AU258" i="7" s="1"/>
  <c r="P717" i="7"/>
  <c r="AU717" i="7" s="1"/>
  <c r="P1255" i="7"/>
  <c r="AU1255" i="7" s="1"/>
  <c r="P1954" i="7"/>
  <c r="AU1954" i="7" s="1"/>
  <c r="P1177" i="7"/>
  <c r="AU1177" i="7" s="1"/>
  <c r="P2087" i="7"/>
  <c r="AU2087" i="7" s="1"/>
  <c r="P1209" i="7"/>
  <c r="AU1209" i="7" s="1"/>
  <c r="P2088" i="7"/>
  <c r="AU2088" i="7" s="1"/>
  <c r="P1334" i="7"/>
  <c r="AU1334" i="7" s="1"/>
  <c r="P1667" i="7"/>
  <c r="AU1667" i="7" s="1"/>
  <c r="P644" i="7"/>
  <c r="AU644" i="7" s="1"/>
  <c r="P1313" i="7"/>
  <c r="AU1313" i="7" s="1"/>
  <c r="P728" i="7"/>
  <c r="AU728" i="7" s="1"/>
  <c r="P609" i="7"/>
  <c r="AU609" i="7" s="1"/>
  <c r="P808" i="7"/>
  <c r="AU808" i="7" s="1"/>
  <c r="P2225" i="7"/>
  <c r="AU2225" i="7" s="1"/>
  <c r="P735" i="7"/>
  <c r="AU735" i="7" s="1"/>
  <c r="P652" i="7"/>
  <c r="AU652" i="7" s="1"/>
  <c r="P1543" i="7"/>
  <c r="AU1543" i="7" s="1"/>
  <c r="P751" i="7"/>
  <c r="AU751" i="7" s="1"/>
  <c r="P792" i="7"/>
  <c r="AU792" i="7" s="1"/>
  <c r="P914" i="7"/>
  <c r="AU914" i="7" s="1"/>
  <c r="P897" i="7"/>
  <c r="AU897" i="7" s="1"/>
  <c r="P873" i="7"/>
  <c r="AU873" i="7" s="1"/>
  <c r="P1073" i="7"/>
  <c r="AU1073" i="7" s="1"/>
  <c r="P1586" i="7"/>
  <c r="AU1586" i="7" s="1"/>
  <c r="P1145" i="7"/>
  <c r="AU1145" i="7" s="1"/>
  <c r="P1128" i="7"/>
  <c r="AU1128" i="7" s="1"/>
  <c r="P1582" i="7"/>
  <c r="AU1582" i="7" s="1"/>
  <c r="P2279" i="7"/>
  <c r="AU2279" i="7" s="1"/>
  <c r="P656" i="7"/>
  <c r="AU656" i="7" s="1"/>
  <c r="P592" i="7"/>
  <c r="AU592" i="7" s="1"/>
  <c r="P766" i="7"/>
  <c r="AU766" i="7" s="1"/>
  <c r="P2278" i="7"/>
  <c r="AU2278" i="7" s="1"/>
  <c r="P315" i="7"/>
  <c r="AU315" i="7" s="1"/>
  <c r="P380" i="7"/>
  <c r="AU380" i="7" s="1"/>
  <c r="P461" i="7"/>
  <c r="AU461" i="7" s="1"/>
  <c r="P343" i="7"/>
  <c r="AU343" i="7" s="1"/>
  <c r="P1512" i="7"/>
  <c r="AU1512" i="7" s="1"/>
  <c r="P1570" i="7"/>
  <c r="AU1570" i="7" s="1"/>
  <c r="P1643" i="7"/>
  <c r="AU1643" i="7" s="1"/>
  <c r="P1757" i="7"/>
  <c r="AU1757" i="7" s="1"/>
  <c r="P1400" i="7"/>
  <c r="AU1400" i="7" s="1"/>
  <c r="P1580" i="7"/>
  <c r="AU1580" i="7" s="1"/>
  <c r="P1348" i="7"/>
  <c r="AU1348" i="7" s="1"/>
  <c r="P239" i="7"/>
  <c r="AU239" i="7" s="1"/>
  <c r="P651" i="7"/>
  <c r="AU651" i="7" s="1"/>
  <c r="P1388" i="7"/>
  <c r="AU1388" i="7" s="1"/>
  <c r="P1361" i="7"/>
  <c r="AU1361" i="7" s="1"/>
  <c r="P1435" i="7"/>
  <c r="AU1435" i="7" s="1"/>
  <c r="P1589" i="7"/>
  <c r="AU1589" i="7" s="1"/>
  <c r="P1970" i="7"/>
  <c r="AU1970" i="7" s="1"/>
  <c r="P1049" i="7"/>
  <c r="AU1049" i="7" s="1"/>
  <c r="P522" i="7"/>
  <c r="AU522" i="7" s="1"/>
  <c r="P598" i="7"/>
  <c r="AU598" i="7" s="1"/>
  <c r="P336" i="7"/>
  <c r="AU336" i="7" s="1"/>
  <c r="P2244" i="7"/>
  <c r="AU2244" i="7" s="1"/>
  <c r="P2248" i="7"/>
  <c r="AU2248" i="7" s="1"/>
  <c r="P2118" i="7"/>
  <c r="AU2118" i="7" s="1"/>
  <c r="P402" i="7"/>
  <c r="AU402" i="7" s="1"/>
  <c r="P329" i="7"/>
  <c r="AU329" i="7" s="1"/>
  <c r="P248" i="7"/>
  <c r="AU248" i="7" s="1"/>
  <c r="P518" i="7"/>
  <c r="AU518" i="7" s="1"/>
  <c r="P235" i="7"/>
  <c r="AU235" i="7" s="1"/>
  <c r="P234" i="7"/>
  <c r="AU234" i="7" s="1"/>
  <c r="P1173" i="7"/>
  <c r="AU1173" i="7" s="1"/>
  <c r="P1166" i="7"/>
  <c r="AU1166" i="7" s="1"/>
  <c r="P2164" i="7"/>
  <c r="AU2164" i="7" s="1"/>
  <c r="P1450" i="7"/>
  <c r="AU1450" i="7" s="1"/>
  <c r="P276" i="7"/>
  <c r="AU276" i="7" s="1"/>
  <c r="P553" i="7"/>
  <c r="AU553" i="7" s="1"/>
  <c r="P374" i="7"/>
  <c r="AU374" i="7" s="1"/>
  <c r="P688" i="7"/>
  <c r="AU688" i="7" s="1"/>
  <c r="P546" i="7"/>
  <c r="AU546" i="7" s="1"/>
  <c r="P1541" i="7"/>
  <c r="AU1541" i="7" s="1"/>
  <c r="P321" i="7"/>
  <c r="AU321" i="7" s="1"/>
  <c r="P637" i="7"/>
  <c r="AU637" i="7" s="1"/>
  <c r="P761" i="7"/>
  <c r="AU761" i="7" s="1"/>
  <c r="P617" i="7"/>
  <c r="AU617" i="7" s="1"/>
  <c r="P802" i="7"/>
  <c r="AU802" i="7" s="1"/>
  <c r="P2116" i="7"/>
  <c r="AU2116" i="7" s="1"/>
  <c r="P573" i="7"/>
  <c r="AU573" i="7" s="1"/>
  <c r="P704" i="7"/>
  <c r="AU704" i="7" s="1"/>
  <c r="P1810" i="7"/>
  <c r="AU1810" i="7" s="1"/>
  <c r="P886" i="7"/>
  <c r="AU886" i="7" s="1"/>
  <c r="P2143" i="7"/>
  <c r="AU2143" i="7" s="1"/>
  <c r="P400" i="7"/>
  <c r="AU400" i="7" s="1"/>
  <c r="P377" i="7"/>
  <c r="AU377" i="7" s="1"/>
  <c r="P613" i="7"/>
  <c r="AU613" i="7" s="1"/>
  <c r="P1862" i="7"/>
  <c r="AU1862" i="7" s="1"/>
  <c r="P1137" i="7"/>
  <c r="AU1137" i="7" s="1"/>
  <c r="P478" i="7"/>
  <c r="AU478" i="7" s="1"/>
  <c r="P868" i="7"/>
  <c r="AU868" i="7" s="1"/>
  <c r="P2081" i="7"/>
  <c r="AU2081" i="7" s="1"/>
  <c r="P849" i="7"/>
  <c r="AU849" i="7" s="1"/>
  <c r="P1740" i="7"/>
  <c r="AU1740" i="7" s="1"/>
  <c r="P1692" i="7"/>
  <c r="AU1692" i="7" s="1"/>
  <c r="P667" i="7"/>
  <c r="AU667" i="7" s="1"/>
  <c r="P2233" i="7"/>
  <c r="AU2233" i="7" s="1"/>
  <c r="P2250" i="7"/>
  <c r="AU2250" i="7" s="1"/>
  <c r="P2133" i="7"/>
  <c r="AU2133" i="7" s="1"/>
  <c r="P1369" i="7"/>
  <c r="AU1369" i="7" s="1"/>
  <c r="P590" i="7"/>
  <c r="AU590" i="7" s="1"/>
  <c r="P720" i="7"/>
  <c r="AU720" i="7" s="1"/>
  <c r="P795" i="7"/>
  <c r="AU795" i="7" s="1"/>
  <c r="P883" i="7"/>
  <c r="AU883" i="7" s="1"/>
  <c r="P1037" i="7"/>
  <c r="AU1037" i="7" s="1"/>
  <c r="P1786" i="7"/>
  <c r="AU1786" i="7" s="1"/>
  <c r="P1442" i="7"/>
  <c r="AU1442" i="7" s="1"/>
  <c r="P823" i="7"/>
  <c r="AU823" i="7" s="1"/>
  <c r="P737" i="7"/>
  <c r="AU737" i="7" s="1"/>
  <c r="P1629" i="7"/>
  <c r="AU1629" i="7" s="1"/>
  <c r="P1394" i="7"/>
  <c r="AU1394" i="7" s="1"/>
  <c r="P1775" i="7"/>
  <c r="AU1775" i="7" s="1"/>
  <c r="P1671" i="7"/>
  <c r="AU1671" i="7" s="1"/>
  <c r="P422" i="7"/>
  <c r="AU422" i="7" s="1"/>
  <c r="P326" i="7"/>
  <c r="AU326" i="7" s="1"/>
  <c r="P1754" i="7"/>
  <c r="AU1754" i="7" s="1"/>
  <c r="P1419" i="7"/>
  <c r="AU1419" i="7" s="1"/>
  <c r="P827" i="7"/>
  <c r="AU827" i="7" s="1"/>
  <c r="P1027" i="7"/>
  <c r="AU1027" i="7" s="1"/>
  <c r="P1599" i="7"/>
  <c r="AU1599" i="7" s="1"/>
  <c r="P1904" i="7"/>
  <c r="AU1904" i="7" s="1"/>
  <c r="P1785" i="7"/>
  <c r="AU1785" i="7" s="1"/>
  <c r="P510" i="7"/>
  <c r="AU510" i="7" s="1"/>
  <c r="P256" i="7"/>
  <c r="AU256" i="7" s="1"/>
  <c r="P198" i="7"/>
  <c r="AU198" i="7" s="1"/>
  <c r="P334" i="7"/>
  <c r="AU334" i="7" s="1"/>
  <c r="P344" i="7"/>
  <c r="AU344" i="7" s="1"/>
  <c r="P494" i="7"/>
  <c r="AU494" i="7" s="1"/>
  <c r="P1069" i="7"/>
  <c r="AU1069" i="7" s="1"/>
  <c r="P2273" i="7"/>
  <c r="AU2273" i="7" s="1"/>
  <c r="P810" i="7"/>
  <c r="AU810" i="7" s="1"/>
  <c r="P908" i="7"/>
  <c r="AU908" i="7" s="1"/>
  <c r="P241" i="7"/>
  <c r="AU241" i="7" s="1"/>
  <c r="P556" i="7"/>
  <c r="AU556" i="7" s="1"/>
  <c r="P641" i="7"/>
  <c r="AU641" i="7" s="1"/>
  <c r="P980" i="7"/>
  <c r="AU980" i="7" s="1"/>
  <c r="P1519" i="7"/>
  <c r="AU1519" i="7" s="1"/>
  <c r="P938" i="7"/>
  <c r="AU938" i="7" s="1"/>
  <c r="P813" i="7"/>
  <c r="AU813" i="7" s="1"/>
  <c r="P698" i="7"/>
  <c r="AU698" i="7" s="1"/>
  <c r="P784" i="7"/>
  <c r="AU784" i="7" s="1"/>
  <c r="P635" i="7"/>
  <c r="AU635" i="7" s="1"/>
  <c r="P1125" i="7"/>
  <c r="AU1125" i="7" s="1"/>
  <c r="P379" i="7"/>
  <c r="AU379" i="7" s="1"/>
  <c r="P115" i="7"/>
  <c r="AU115" i="7" s="1"/>
  <c r="P308" i="7"/>
  <c r="AU308" i="7" s="1"/>
  <c r="P2256" i="7"/>
  <c r="AU2256" i="7" s="1"/>
  <c r="P1439" i="7"/>
  <c r="AU1439" i="7" s="1"/>
  <c r="P438" i="7"/>
  <c r="AU438" i="7" s="1"/>
  <c r="P142" i="7"/>
  <c r="AU142" i="7" s="1"/>
  <c r="P504" i="7"/>
  <c r="AU504" i="7" s="1"/>
  <c r="P1138" i="7"/>
  <c r="AU1138" i="7" s="1"/>
  <c r="P1758" i="7"/>
  <c r="AU1758" i="7" s="1"/>
  <c r="P2214" i="7"/>
  <c r="AU2214" i="7" s="1"/>
  <c r="P1926" i="7"/>
  <c r="AU1926" i="7" s="1"/>
  <c r="P2219" i="7"/>
  <c r="AU2219" i="7" s="1"/>
  <c r="P1729" i="7"/>
  <c r="AU1729" i="7" s="1"/>
  <c r="P890" i="7"/>
  <c r="AU890" i="7" s="1"/>
  <c r="P488" i="7"/>
  <c r="AU488" i="7" s="1"/>
  <c r="P1816" i="7"/>
  <c r="AU1816" i="7" s="1"/>
  <c r="P2077" i="7"/>
  <c r="AU2077" i="7" s="1"/>
  <c r="P1161" i="7"/>
  <c r="AU1161" i="7" s="1"/>
  <c r="P722" i="7"/>
  <c r="AU722" i="7" s="1"/>
  <c r="P983" i="7"/>
  <c r="AU983" i="7" s="1"/>
  <c r="P1083" i="7"/>
  <c r="AU1083" i="7" s="1"/>
  <c r="P959" i="7"/>
  <c r="AU959" i="7" s="1"/>
  <c r="P1013" i="7"/>
  <c r="AU1013" i="7" s="1"/>
  <c r="P1384" i="7"/>
  <c r="AU1384" i="7" s="1"/>
  <c r="P1183" i="7"/>
  <c r="AU1183" i="7" s="1"/>
  <c r="P458" i="7"/>
  <c r="AU458" i="7" s="1"/>
  <c r="P2270" i="7"/>
  <c r="AU2270" i="7" s="1"/>
  <c r="P654" i="7"/>
  <c r="AU654" i="7" s="1"/>
  <c r="P1717" i="7"/>
  <c r="AU1717" i="7" s="1"/>
  <c r="P358" i="7"/>
  <c r="AU358" i="7" s="1"/>
  <c r="P2047" i="7"/>
  <c r="AU2047" i="7" s="1"/>
  <c r="P2100" i="7"/>
  <c r="AU2100" i="7" s="1"/>
  <c r="P1802" i="7"/>
  <c r="AU1802" i="7" s="1"/>
  <c r="P1916" i="7"/>
  <c r="AU1916" i="7" s="1"/>
  <c r="P1475" i="7"/>
  <c r="AU1475" i="7" s="1"/>
  <c r="P2194" i="7"/>
  <c r="AU2194" i="7" s="1"/>
  <c r="P570" i="7"/>
  <c r="AU570" i="7" s="1"/>
  <c r="P1554" i="7"/>
  <c r="AU1554" i="7" s="1"/>
  <c r="P1604" i="7"/>
  <c r="AU1604" i="7" s="1"/>
  <c r="P345" i="7"/>
  <c r="AU345" i="7" s="1"/>
  <c r="P729" i="7"/>
  <c r="AU729" i="7" s="1"/>
  <c r="P2258" i="7"/>
  <c r="AU2258" i="7" s="1"/>
  <c r="P1201" i="7"/>
  <c r="AU1201" i="7" s="1"/>
  <c r="P1121" i="7"/>
  <c r="AU1121" i="7" s="1"/>
  <c r="P393" i="7"/>
  <c r="AU393" i="7" s="1"/>
  <c r="P725" i="7"/>
  <c r="AU725" i="7" s="1"/>
  <c r="P214" i="7"/>
  <c r="AU214" i="7" s="1"/>
  <c r="P892" i="7"/>
  <c r="AU892" i="7" s="1"/>
  <c r="P655" i="7"/>
  <c r="AU655" i="7" s="1"/>
  <c r="P889" i="7"/>
  <c r="AU889" i="7" s="1"/>
  <c r="P2241" i="7"/>
  <c r="AU2241" i="7" s="1"/>
  <c r="P523" i="7"/>
  <c r="AU523" i="7" s="1"/>
  <c r="P275" i="7"/>
  <c r="AU275" i="7" s="1"/>
  <c r="P505" i="7"/>
  <c r="AU505" i="7" s="1"/>
  <c r="P373" i="7"/>
  <c r="AU373" i="7" s="1"/>
  <c r="P564" i="7"/>
  <c r="AU564" i="7" s="1"/>
  <c r="P679" i="7"/>
  <c r="AU679" i="7" s="1"/>
  <c r="P395" i="7"/>
  <c r="AU395" i="7" s="1"/>
  <c r="P1650" i="7"/>
  <c r="AU1650" i="7" s="1"/>
  <c r="P299" i="7"/>
  <c r="AU299" i="7" s="1"/>
  <c r="P2120" i="7"/>
  <c r="AU2120" i="7" s="1"/>
  <c r="P1417" i="7"/>
  <c r="AU1417" i="7" s="1"/>
  <c r="P1444" i="7"/>
  <c r="AU1444" i="7" s="1"/>
  <c r="P1698" i="7"/>
  <c r="AU1698" i="7" s="1"/>
  <c r="P533" i="7"/>
  <c r="AU533" i="7" s="1"/>
  <c r="P1316" i="7"/>
  <c r="AU1316" i="7" s="1"/>
  <c r="P1331" i="7"/>
  <c r="AU1331" i="7" s="1"/>
  <c r="P905" i="7"/>
  <c r="AU905" i="7" s="1"/>
  <c r="P747" i="7"/>
  <c r="AU747" i="7" s="1"/>
  <c r="P705" i="7"/>
  <c r="AU705" i="7" s="1"/>
  <c r="P538" i="7"/>
  <c r="AU538" i="7" s="1"/>
  <c r="P1934" i="7"/>
  <c r="AU1934" i="7" s="1"/>
  <c r="P2015" i="7"/>
  <c r="AU2015" i="7" s="1"/>
  <c r="P2131" i="7"/>
  <c r="AU2131" i="7" s="1"/>
  <c r="P1680" i="7"/>
  <c r="AU1680" i="7" s="1"/>
  <c r="P743" i="7"/>
  <c r="AU743" i="7" s="1"/>
  <c r="P341" i="7"/>
  <c r="AU341" i="7" s="1"/>
  <c r="P1175" i="7"/>
  <c r="AU1175" i="7" s="1"/>
  <c r="P1853" i="7"/>
  <c r="AU1853" i="7" s="1"/>
  <c r="P1262" i="7"/>
  <c r="AU1262" i="7" s="1"/>
  <c r="P1270" i="7"/>
  <c r="AU1270" i="7" s="1"/>
  <c r="P1985" i="7"/>
  <c r="AU1985" i="7" s="1"/>
  <c r="P375" i="7"/>
  <c r="AU375" i="7" s="1"/>
  <c r="P2266" i="7"/>
  <c r="AU2266" i="7" s="1"/>
  <c r="P2267" i="7"/>
  <c r="AU2267" i="7" s="1"/>
  <c r="P1805" i="7"/>
  <c r="AU1805" i="7" s="1"/>
  <c r="P1848" i="7"/>
  <c r="AU1848" i="7" s="1"/>
  <c r="P1657" i="7"/>
  <c r="AU1657" i="7" s="1"/>
  <c r="P2083" i="7"/>
  <c r="AU2083" i="7" s="1"/>
  <c r="P2086" i="7"/>
  <c r="AU2086" i="7" s="1"/>
  <c r="P2099" i="7"/>
  <c r="AU2099" i="7" s="1"/>
  <c r="P2056" i="7"/>
  <c r="AU2056" i="7" s="1"/>
  <c r="P2090" i="7"/>
  <c r="AU2090" i="7" s="1"/>
  <c r="P666" i="7"/>
  <c r="AU666" i="7" s="1"/>
  <c r="P1009" i="7"/>
  <c r="AU1009" i="7" s="1"/>
  <c r="P443" i="7"/>
  <c r="AU443" i="7" s="1"/>
  <c r="P1901" i="7"/>
  <c r="AU1901" i="7" s="1"/>
  <c r="P450" i="7"/>
  <c r="AU450" i="7" s="1"/>
  <c r="P417" i="7"/>
  <c r="AU417" i="7" s="1"/>
  <c r="P1103" i="7"/>
  <c r="P502" i="7"/>
  <c r="AU502" i="7" s="1"/>
  <c r="P2186" i="7"/>
  <c r="AU2186" i="7" s="1"/>
  <c r="P1735" i="7"/>
  <c r="AU1735" i="7" s="1"/>
  <c r="P935" i="7"/>
  <c r="AU935" i="7" s="1"/>
  <c r="P428" i="7"/>
  <c r="AU428" i="7" s="1"/>
  <c r="P2237" i="7"/>
  <c r="AU2237" i="7" s="1"/>
  <c r="P353" i="7"/>
  <c r="AU353" i="7" s="1"/>
  <c r="P2062" i="7"/>
  <c r="AU2062" i="7" s="1"/>
  <c r="P2211" i="7"/>
  <c r="AU2211" i="7" s="1"/>
  <c r="P1890" i="7"/>
  <c r="AU1890" i="7" s="1"/>
  <c r="P274" i="7"/>
  <c r="AU274" i="7" s="1"/>
  <c r="P861" i="7"/>
  <c r="AU861" i="7" s="1"/>
  <c r="P835" i="7"/>
  <c r="AU835" i="7" s="1"/>
  <c r="P922" i="7"/>
  <c r="AU922" i="7" s="1"/>
  <c r="P1152" i="7"/>
  <c r="AU1152" i="7" s="1"/>
  <c r="P687" i="7"/>
  <c r="AU687" i="7" s="1"/>
  <c r="P946" i="7"/>
  <c r="AU946" i="7" s="1"/>
  <c r="P2234" i="7"/>
  <c r="AU2234" i="7" s="1"/>
  <c r="P386" i="7"/>
  <c r="AU386" i="7" s="1"/>
  <c r="P797" i="7"/>
  <c r="AU797" i="7" s="1"/>
  <c r="P799" i="7"/>
  <c r="AU799" i="7" s="1"/>
  <c r="P1203" i="7"/>
  <c r="AU1203" i="7" s="1"/>
  <c r="P257" i="7"/>
  <c r="AU257" i="7" s="1"/>
  <c r="P254" i="7"/>
  <c r="AU254" i="7" s="1"/>
  <c r="P1627" i="7"/>
  <c r="AU1627" i="7" s="1"/>
  <c r="P856" i="7"/>
  <c r="AU856" i="7" s="1"/>
  <c r="P323" i="7"/>
  <c r="AU323" i="7" s="1"/>
  <c r="P1291" i="7"/>
  <c r="AU1291" i="7" s="1"/>
  <c r="P1370" i="7"/>
  <c r="AU1370" i="7" s="1"/>
  <c r="P1748" i="7"/>
  <c r="AU1748" i="7" s="1"/>
  <c r="P643" i="7"/>
  <c r="AU643" i="7" s="1"/>
  <c r="P1395" i="7"/>
  <c r="AU1395" i="7" s="1"/>
  <c r="P2172" i="7"/>
  <c r="AU2172" i="7" s="1"/>
  <c r="P1535" i="7"/>
  <c r="AU1535" i="7" s="1"/>
  <c r="P1847" i="7"/>
  <c r="AU1847" i="7" s="1"/>
  <c r="P2193" i="7"/>
  <c r="AU2193" i="7" s="1"/>
  <c r="P1058" i="7"/>
  <c r="AU1058" i="7" s="1"/>
  <c r="P1191" i="7"/>
  <c r="AU1191" i="7" s="1"/>
  <c r="P359" i="7"/>
  <c r="AU359" i="7" s="1"/>
  <c r="P2183" i="7"/>
  <c r="AU2183" i="7" s="1"/>
  <c r="P1773" i="7"/>
  <c r="AU1773" i="7" s="1"/>
  <c r="P1025" i="7"/>
  <c r="AU1025" i="7" s="1"/>
  <c r="P702" i="7"/>
  <c r="AU702" i="7" s="1"/>
  <c r="P357" i="7"/>
  <c r="AU357" i="7" s="1"/>
  <c r="P306" i="7"/>
  <c r="AU306" i="7" s="1"/>
  <c r="P931" i="7"/>
  <c r="AU931" i="7" s="1"/>
  <c r="P1462" i="7"/>
  <c r="AU1462" i="7" s="1"/>
  <c r="P692" i="7"/>
  <c r="AU692" i="7" s="1"/>
  <c r="P568" i="7"/>
  <c r="AU568" i="7" s="1"/>
  <c r="P1880" i="7"/>
  <c r="AU1880" i="7" s="1"/>
  <c r="P128" i="7"/>
  <c r="AU128" i="7" s="1"/>
  <c r="P1126" i="7"/>
  <c r="AU1126" i="7" s="1"/>
  <c r="P1658" i="7"/>
  <c r="AU1658" i="7" s="1"/>
  <c r="P253" i="7"/>
  <c r="AU253" i="7" s="1"/>
  <c r="P831" i="7"/>
  <c r="AU831" i="7" s="1"/>
  <c r="P718" i="7"/>
  <c r="AU718" i="7" s="1"/>
  <c r="P2272" i="7"/>
  <c r="AU2272" i="7" s="1"/>
  <c r="P1633" i="7"/>
  <c r="AU1633" i="7" s="1"/>
  <c r="P1051" i="7"/>
  <c r="AU1051" i="7" s="1"/>
  <c r="P2228" i="7"/>
  <c r="P1644" i="7"/>
  <c r="AU1644" i="7" s="1"/>
  <c r="P1906" i="7"/>
  <c r="AU1906" i="7" s="1"/>
  <c r="P2122" i="7"/>
  <c r="AU2122" i="7" s="1"/>
  <c r="P2268" i="7"/>
  <c r="AU2268" i="7" s="1"/>
  <c r="P2195" i="7"/>
  <c r="AU2195" i="7" s="1"/>
  <c r="P554" i="7"/>
  <c r="AU554" i="7" s="1"/>
  <c r="P1885" i="7"/>
  <c r="AU1885" i="7" s="1"/>
  <c r="P1398" i="7"/>
  <c r="AU1398" i="7" s="1"/>
  <c r="P1008" i="7"/>
  <c r="AU1008" i="7" s="1"/>
  <c r="P1275" i="7"/>
  <c r="AU1275" i="7" s="1"/>
  <c r="P1092" i="7"/>
  <c r="AU1092" i="7" s="1"/>
  <c r="P2123" i="7"/>
  <c r="AU2123" i="7" s="1"/>
  <c r="P279" i="7"/>
  <c r="AU279" i="7" s="1"/>
  <c r="P391" i="7"/>
  <c r="AU391" i="7" s="1"/>
  <c r="P503" i="7"/>
  <c r="AU503" i="7" s="1"/>
  <c r="P404" i="7"/>
  <c r="AU404" i="7" s="1"/>
  <c r="P1042" i="7"/>
  <c r="AU1042" i="7" s="1"/>
  <c r="P881" i="7"/>
  <c r="AU881" i="7" s="1"/>
  <c r="P1376" i="7"/>
  <c r="AU1376" i="7" s="1"/>
  <c r="P1412" i="7"/>
  <c r="AU1412" i="7" s="1"/>
  <c r="P2073" i="7"/>
  <c r="AU2073" i="7" s="1"/>
  <c r="P1768" i="7"/>
  <c r="AU1768" i="7" s="1"/>
  <c r="P860" i="7"/>
  <c r="AU860" i="7" s="1"/>
  <c r="P634" i="7"/>
  <c r="AU634" i="7" s="1"/>
  <c r="P398" i="7"/>
  <c r="AU398" i="7" s="1"/>
  <c r="P694" i="7"/>
  <c r="AU694" i="7" s="1"/>
  <c r="P2045" i="7"/>
  <c r="AU2045" i="7" s="1"/>
  <c r="P477" i="7"/>
  <c r="AU477" i="7" s="1"/>
  <c r="P1018" i="7"/>
  <c r="AU1018" i="7" s="1"/>
  <c r="P2190" i="7"/>
  <c r="AU2190" i="7" s="1"/>
  <c r="P1171" i="7"/>
  <c r="AU1171" i="7" s="1"/>
  <c r="P746" i="7"/>
  <c r="AU746" i="7" s="1"/>
  <c r="P1380" i="7"/>
  <c r="AU1380" i="7" s="1"/>
  <c r="P432" i="7"/>
  <c r="AU432" i="7" s="1"/>
  <c r="P1381" i="7"/>
  <c r="AU1381" i="7" s="1"/>
  <c r="P280" i="7"/>
  <c r="AU280" i="7" s="1"/>
  <c r="P302" i="7"/>
  <c r="AU302" i="7" s="1"/>
  <c r="P243" i="7"/>
  <c r="AU243" i="7" s="1"/>
  <c r="P406" i="7"/>
  <c r="AU406" i="7" s="1"/>
  <c r="P714" i="7"/>
  <c r="AU714" i="7" s="1"/>
  <c r="P937" i="7"/>
  <c r="AU937" i="7" s="1"/>
  <c r="P2080" i="7"/>
  <c r="AU2080" i="7" s="1"/>
  <c r="P1053" i="7"/>
  <c r="AU1053" i="7" s="1"/>
  <c r="P2162" i="7"/>
  <c r="AU2162" i="7" s="1"/>
  <c r="P1843" i="7"/>
  <c r="AU1843" i="7" s="1"/>
  <c r="P2148" i="7"/>
  <c r="AU2148" i="7" s="1"/>
  <c r="P1281" i="7"/>
  <c r="AU1281" i="7" s="1"/>
  <c r="P1670" i="7"/>
  <c r="AU1670" i="7" s="1"/>
  <c r="P750" i="7"/>
  <c r="AU750" i="7" s="1"/>
  <c r="P545" i="7"/>
  <c r="AU545" i="7" s="1"/>
  <c r="P586" i="7"/>
  <c r="AU586" i="7" s="1"/>
  <c r="P1374" i="7"/>
  <c r="AU1374" i="7" s="1"/>
  <c r="P953" i="7"/>
  <c r="AU953" i="7" s="1"/>
  <c r="P847" i="7"/>
  <c r="AU847" i="7" s="1"/>
  <c r="P904" i="7"/>
  <c r="AU904" i="7" s="1"/>
  <c r="P672" i="7"/>
  <c r="AU672" i="7" s="1"/>
  <c r="P712" i="7"/>
  <c r="AU712" i="7" s="1"/>
  <c r="P869" i="7"/>
  <c r="AU869" i="7" s="1"/>
  <c r="P855" i="7"/>
  <c r="AU855" i="7" s="1"/>
  <c r="P2175" i="7"/>
  <c r="AU2175" i="7" s="1"/>
  <c r="P1624" i="7"/>
  <c r="AU1624" i="7" s="1"/>
  <c r="P1851" i="7"/>
  <c r="AU1851" i="7" s="1"/>
  <c r="P2277" i="7"/>
  <c r="AU2277" i="7" s="1"/>
  <c r="P863" i="7"/>
  <c r="AU863" i="7" s="1"/>
  <c r="P2227" i="7"/>
  <c r="AU2227" i="7" s="1"/>
  <c r="P870" i="7"/>
  <c r="AU870" i="7" s="1"/>
  <c r="P2246" i="7"/>
  <c r="AU2246" i="7" s="1"/>
  <c r="P1897" i="7"/>
  <c r="AU1897" i="7" s="1"/>
  <c r="P1776" i="7"/>
  <c r="AU1776" i="7" s="1"/>
  <c r="P1479" i="7"/>
  <c r="AU1479" i="7" s="1"/>
  <c r="P1000" i="7"/>
  <c r="AU1000" i="7" s="1"/>
  <c r="P1390" i="7"/>
  <c r="AU1390" i="7" s="1"/>
  <c r="P910" i="7"/>
  <c r="AU910" i="7" s="1"/>
  <c r="P291" i="7"/>
  <c r="AU291" i="7" s="1"/>
  <c r="P1122" i="7"/>
  <c r="AU1122" i="7" s="1"/>
  <c r="P1003" i="7"/>
  <c r="AU1003" i="7" s="1"/>
  <c r="P515" i="7"/>
  <c r="AU515" i="7" s="1"/>
  <c r="P1410" i="7"/>
  <c r="AU1410" i="7" s="1"/>
  <c r="P1505" i="7"/>
  <c r="AU1505" i="7" s="1"/>
  <c r="P1907" i="7"/>
  <c r="AU1907" i="7" s="1"/>
  <c r="P1679" i="7"/>
  <c r="AU1679" i="7" s="1"/>
  <c r="P1837" i="7"/>
  <c r="AU1837" i="7" s="1"/>
  <c r="P685" i="7"/>
  <c r="AU685" i="7" s="1"/>
  <c r="P1399" i="7"/>
  <c r="AU1399" i="7" s="1"/>
  <c r="P1782" i="7"/>
  <c r="AU1782" i="7" s="1"/>
  <c r="P2253" i="7"/>
  <c r="AU2253" i="7" s="1"/>
  <c r="P99" i="7"/>
  <c r="AU99" i="7" s="1"/>
  <c r="P1454" i="7"/>
  <c r="AU1454" i="7" s="1"/>
  <c r="P117" i="7"/>
  <c r="AU117" i="7" s="1"/>
  <c r="P1495" i="7"/>
  <c r="AU1495" i="7" s="1"/>
  <c r="P416" i="7"/>
  <c r="AU416" i="7" s="1"/>
  <c r="P392" i="7"/>
  <c r="AU392" i="7" s="1"/>
  <c r="P1616" i="7"/>
  <c r="AU1616" i="7" s="1"/>
  <c r="P2178" i="7"/>
  <c r="AU2178" i="7" s="1"/>
  <c r="P1315" i="7"/>
  <c r="AU1315" i="7" s="1"/>
  <c r="P1714" i="7"/>
  <c r="AU1714" i="7" s="1"/>
  <c r="P1383" i="7"/>
  <c r="AU1383" i="7" s="1"/>
  <c r="P1623" i="7"/>
  <c r="AU1623" i="7" s="1"/>
  <c r="P1861" i="7"/>
  <c r="AU1861" i="7" s="1"/>
  <c r="P2112" i="7"/>
  <c r="AU2112" i="7" s="1"/>
  <c r="P542" i="7"/>
  <c r="AU542" i="7" s="1"/>
  <c r="P2265" i="7"/>
  <c r="AU2265" i="7" s="1"/>
  <c r="P1407" i="7"/>
  <c r="AU1407" i="7" s="1"/>
  <c r="P68" i="7"/>
  <c r="AU68" i="7" s="1"/>
  <c r="P2085" i="7"/>
  <c r="AU2085" i="7" s="1"/>
  <c r="P466" i="7"/>
  <c r="AU466" i="7" s="1"/>
  <c r="P853" i="7"/>
  <c r="AU853" i="7" s="1"/>
  <c r="P558" i="7"/>
  <c r="AU558" i="7" s="1"/>
  <c r="P1930" i="7"/>
  <c r="AU1930" i="7" s="1"/>
  <c r="P2064" i="7"/>
  <c r="AU2064" i="7" s="1"/>
  <c r="P238" i="7"/>
  <c r="AU238" i="7" s="1"/>
  <c r="P2078" i="7"/>
  <c r="AU2078" i="7" s="1"/>
  <c r="P1638" i="7"/>
  <c r="AU1638" i="7" s="1"/>
  <c r="P981" i="7"/>
  <c r="AU981" i="7" s="1"/>
  <c r="P501" i="7"/>
  <c r="AU501" i="7" s="1"/>
  <c r="P390" i="7"/>
  <c r="AU390" i="7" s="1"/>
  <c r="P1022" i="7"/>
  <c r="AU1022" i="7" s="1"/>
  <c r="P786" i="7"/>
  <c r="AU786" i="7" s="1"/>
  <c r="P17" i="7"/>
  <c r="AU17" i="7" s="1"/>
  <c r="P1772" i="7"/>
  <c r="AU1772" i="7" s="1"/>
  <c r="P1558" i="7"/>
  <c r="AU1558" i="7" s="1"/>
  <c r="P709" i="7"/>
  <c r="AU709" i="7" s="1"/>
  <c r="P309" i="7"/>
  <c r="AU309" i="7" s="1"/>
  <c r="P1490" i="7"/>
  <c r="AU1490" i="7" s="1"/>
  <c r="P1592" i="7"/>
  <c r="AU1592" i="7" s="1"/>
  <c r="P1753" i="7"/>
  <c r="AU1753" i="7" s="1"/>
  <c r="P1467" i="7"/>
  <c r="AU1467" i="7" s="1"/>
  <c r="P2114" i="7"/>
  <c r="AU2114" i="7" s="1"/>
  <c r="P2275" i="7"/>
  <c r="AU2275" i="7" s="1"/>
  <c r="P1386" i="7"/>
  <c r="AU1386" i="7" s="1"/>
  <c r="P2029" i="7"/>
  <c r="AU2029" i="7" s="1"/>
  <c r="P2188" i="7"/>
  <c r="AU2188" i="7" s="1"/>
  <c r="P1385" i="7"/>
  <c r="AU1385" i="7" s="1"/>
  <c r="P696" i="7"/>
  <c r="AU696" i="7" s="1"/>
  <c r="P514" i="7"/>
  <c r="AU514" i="7" s="1"/>
  <c r="P407" i="7"/>
  <c r="AU407" i="7" s="1"/>
  <c r="P397" i="7"/>
  <c r="AU397" i="7" s="1"/>
  <c r="P378" i="7"/>
  <c r="AU378" i="7" s="1"/>
  <c r="P2106" i="7"/>
  <c r="AU2106" i="7" s="1"/>
  <c r="P1846" i="7"/>
  <c r="AU1846" i="7" s="1"/>
  <c r="P2206" i="7"/>
  <c r="AU2206" i="7" s="1"/>
  <c r="P1760" i="7"/>
  <c r="AU1760" i="7" s="1"/>
  <c r="P2132" i="7"/>
  <c r="AU2132" i="7" s="1"/>
  <c r="P1981" i="7"/>
  <c r="AU1981" i="7" s="1"/>
  <c r="P1962" i="7"/>
  <c r="P1830" i="7"/>
  <c r="AU1830" i="7" s="1"/>
  <c r="P2117" i="7"/>
  <c r="AU2117" i="7" s="1"/>
  <c r="P1814" i="7"/>
  <c r="AU1814" i="7" s="1"/>
  <c r="P1192" i="7"/>
  <c r="AU1192" i="7" s="1"/>
  <c r="P1406" i="7"/>
  <c r="AU1406" i="7" s="1"/>
  <c r="P1563" i="7"/>
  <c r="AU1563" i="7" s="1"/>
  <c r="P1464" i="7"/>
  <c r="AU1464" i="7" s="1"/>
  <c r="P539" i="7"/>
  <c r="AU539" i="7" s="1"/>
  <c r="P1445" i="7"/>
  <c r="AU1445" i="7" s="1"/>
  <c r="P1883" i="7"/>
  <c r="AU1883" i="7" s="1"/>
  <c r="P2005" i="7"/>
  <c r="AU2005" i="7" s="1"/>
  <c r="P2242" i="7"/>
  <c r="AU2242" i="7" s="1"/>
  <c r="P15" i="7"/>
  <c r="AU15" i="7" s="1"/>
  <c r="P2261" i="7"/>
  <c r="AU2261" i="7" s="1"/>
  <c r="P2189" i="7"/>
  <c r="AU2189" i="7" s="1"/>
  <c r="P991" i="7"/>
  <c r="AU991" i="7" s="1"/>
  <c r="P365" i="7"/>
  <c r="AU365" i="7" s="1"/>
  <c r="P364" i="7"/>
  <c r="AU364" i="7" s="1"/>
  <c r="P939" i="7"/>
  <c r="AU939" i="7" s="1"/>
  <c r="P286" i="7"/>
  <c r="AU286" i="7" s="1"/>
  <c r="P1447" i="7"/>
  <c r="AU1447" i="7" s="1"/>
  <c r="P920" i="7"/>
  <c r="AU920" i="7" s="1"/>
  <c r="P1974" i="7"/>
  <c r="AU1974" i="7" s="1"/>
  <c r="P2221" i="7"/>
  <c r="AU2221" i="7" s="1"/>
  <c r="P1844" i="7"/>
  <c r="AU1844" i="7" s="1"/>
  <c r="P2262" i="7"/>
  <c r="AU2262" i="7" s="1"/>
  <c r="P1142" i="7"/>
  <c r="AU1142" i="7" s="1"/>
  <c r="P1259" i="7"/>
  <c r="AU1259" i="7" s="1"/>
  <c r="P957" i="7"/>
  <c r="AU957" i="7" s="1"/>
  <c r="P629" i="7"/>
  <c r="AU629" i="7" s="1"/>
  <c r="P1246" i="7"/>
  <c r="AU1246" i="7" s="1"/>
  <c r="P1159" i="7"/>
  <c r="AU1159" i="7" s="1"/>
  <c r="P1982" i="7"/>
  <c r="AU1982" i="7" s="1"/>
  <c r="P1339" i="7"/>
  <c r="AU1339" i="7" s="1"/>
  <c r="P496" i="7"/>
  <c r="AU496" i="7" s="1"/>
  <c r="P1391" i="7"/>
  <c r="AU1391" i="7" s="1"/>
  <c r="P2252" i="7"/>
  <c r="AU2252" i="7" s="1"/>
  <c r="P204" i="7"/>
  <c r="AU204" i="7" s="1"/>
  <c r="P405" i="7"/>
  <c r="AU405" i="7" s="1"/>
  <c r="P2281" i="7"/>
  <c r="AU2281" i="7" s="1"/>
  <c r="P2187" i="7"/>
  <c r="AU2187" i="7" s="1"/>
  <c r="P1196" i="7"/>
  <c r="AU1196" i="7" s="1"/>
  <c r="P785" i="7"/>
  <c r="AU785" i="7" s="1"/>
  <c r="P2271" i="7"/>
  <c r="AU2271" i="7" s="1"/>
  <c r="P2145" i="7"/>
  <c r="AU2145" i="7" s="1"/>
  <c r="P1538" i="7"/>
  <c r="AU1538" i="7" s="1"/>
  <c r="P1257" i="7"/>
  <c r="AU1257" i="7" s="1"/>
  <c r="P2156" i="7"/>
  <c r="AU2156" i="7" s="1"/>
  <c r="P232" i="7"/>
  <c r="AU232" i="7" s="1"/>
  <c r="P2259" i="7"/>
  <c r="AU2259" i="7" s="1"/>
  <c r="P2264" i="7"/>
  <c r="AU2264" i="7" s="1"/>
  <c r="P370" i="7"/>
  <c r="AU370" i="7" s="1"/>
  <c r="P1631" i="7"/>
  <c r="AU1631" i="7" s="1"/>
  <c r="P2036" i="7"/>
  <c r="AU2036" i="7" s="1"/>
  <c r="P1458" i="7"/>
  <c r="AU1458" i="7" s="1"/>
  <c r="P2102" i="7"/>
  <c r="AU2102" i="7" s="1"/>
  <c r="P2021" i="7"/>
  <c r="AU2021" i="7" s="1"/>
  <c r="P476" i="7"/>
  <c r="AU476" i="7" s="1"/>
  <c r="P1672" i="7"/>
  <c r="AU1672" i="7" s="1"/>
  <c r="P1641" i="7"/>
  <c r="AU1641" i="7" s="1"/>
  <c r="P934" i="7"/>
  <c r="AU934" i="7" s="1"/>
  <c r="P2230" i="7"/>
  <c r="AU2230" i="7" s="1"/>
  <c r="P1311" i="7"/>
  <c r="AU1311" i="7" s="1"/>
  <c r="P2069" i="7"/>
  <c r="AU2069" i="7" s="1"/>
  <c r="P893" i="7"/>
  <c r="AU893" i="7" s="1"/>
  <c r="P1733" i="7"/>
  <c r="AU1733" i="7" s="1"/>
  <c r="P2235" i="7"/>
  <c r="AU2235" i="7" s="1"/>
  <c r="P833" i="7"/>
  <c r="AU833" i="7" s="1"/>
  <c r="P1216" i="7"/>
  <c r="AU1216" i="7" s="1"/>
  <c r="P292" i="7"/>
  <c r="AU292" i="7" s="1"/>
  <c r="P2218" i="7"/>
  <c r="AU2218" i="7" s="1"/>
  <c r="P1635" i="7"/>
  <c r="AU1635" i="7" s="1"/>
  <c r="P1110" i="7"/>
  <c r="AU1110" i="7" s="1"/>
  <c r="P745" i="7"/>
  <c r="AU745" i="7" s="1"/>
  <c r="P2153" i="7"/>
  <c r="AU2153" i="7" s="1"/>
  <c r="P537" i="7"/>
  <c r="AU537" i="7" s="1"/>
  <c r="P2251" i="7"/>
  <c r="AU2251" i="7" s="1"/>
  <c r="P1154" i="7"/>
  <c r="AU1154" i="7" s="1"/>
  <c r="P342" i="7"/>
  <c r="AU342" i="7" s="1"/>
  <c r="P1866" i="7"/>
  <c r="AU1866" i="7" s="1"/>
  <c r="P2274" i="7"/>
  <c r="AU2274" i="7" s="1"/>
  <c r="P620" i="7"/>
  <c r="AU620" i="7" s="1"/>
  <c r="P633" i="7"/>
  <c r="AU633" i="7" s="1"/>
  <c r="P307" i="7"/>
  <c r="AU307" i="7" s="1"/>
  <c r="P489" i="7"/>
  <c r="AU489" i="7" s="1"/>
  <c r="P1864" i="7"/>
  <c r="AU1864" i="7" s="1"/>
  <c r="P481" i="7"/>
  <c r="AU481" i="7" s="1"/>
  <c r="P1321" i="7"/>
  <c r="AU1321" i="7" s="1"/>
  <c r="P715" i="7"/>
  <c r="AU715" i="7" s="1"/>
  <c r="P8" i="7"/>
  <c r="AU8" i="7" s="1"/>
  <c r="P924" i="7"/>
  <c r="AU924" i="7" s="1"/>
  <c r="P1303" i="7"/>
  <c r="AU1303" i="7" s="1"/>
  <c r="P2257" i="7"/>
  <c r="AU2257" i="7" s="1"/>
  <c r="P812" i="7"/>
  <c r="AU812" i="7" s="1"/>
  <c r="P2215" i="7"/>
  <c r="AU2215" i="7" s="1"/>
  <c r="P305" i="7"/>
  <c r="AU305" i="7" s="1"/>
  <c r="P43" i="7"/>
  <c r="AU43" i="7" s="1"/>
  <c r="P2103" i="7"/>
  <c r="AU2103" i="7" s="1"/>
  <c r="P583" i="7"/>
  <c r="AU583" i="7" s="1"/>
  <c r="P2283" i="7"/>
  <c r="AU2283" i="7" s="1"/>
  <c r="P301" i="7"/>
  <c r="AU301" i="7" s="1"/>
  <c r="P1587" i="7"/>
  <c r="AU1587" i="7" s="1"/>
  <c r="P1139" i="7"/>
  <c r="AU1139" i="7" s="1"/>
  <c r="P1987" i="7"/>
  <c r="AU1987" i="7" s="1"/>
  <c r="P1099" i="7"/>
  <c r="AU1099" i="7" s="1"/>
  <c r="P1832" i="7"/>
  <c r="AU1832" i="7" s="1"/>
  <c r="P1327" i="7"/>
  <c r="AU1327" i="7" s="1"/>
  <c r="P1865" i="7"/>
  <c r="AU1865" i="7" s="1"/>
  <c r="P1867" i="7"/>
  <c r="AU1867" i="7" s="1"/>
  <c r="P1002" i="7"/>
  <c r="AU1002" i="7" s="1"/>
  <c r="P1312" i="7"/>
  <c r="AU1312" i="7" s="1"/>
  <c r="P2280" i="7"/>
  <c r="AU2280" i="7" s="1"/>
  <c r="P2092" i="7"/>
  <c r="AU2092" i="7" s="1"/>
  <c r="P2101" i="7"/>
  <c r="AU2101" i="7" s="1"/>
  <c r="P2232" i="7"/>
  <c r="AU2232" i="7" s="1"/>
  <c r="P681" i="7"/>
  <c r="AU681" i="7" s="1"/>
  <c r="P1396" i="7"/>
  <c r="AU1396" i="7" s="1"/>
  <c r="P2276" i="7"/>
  <c r="AU2276" i="7" s="1"/>
  <c r="P909" i="7"/>
  <c r="AU909" i="7" s="1"/>
  <c r="P2260" i="7"/>
  <c r="AU2260" i="7" s="1"/>
  <c r="P310" i="7"/>
  <c r="AU310" i="7" s="1"/>
  <c r="P2108" i="7"/>
  <c r="AU2108" i="7" s="1"/>
  <c r="P367" i="7"/>
  <c r="AU367" i="7" s="1"/>
  <c r="P852" i="7"/>
  <c r="AU852" i="7" s="1"/>
  <c r="P1967" i="7"/>
  <c r="AU1967" i="7" s="1"/>
  <c r="P11" i="7"/>
  <c r="AU11" i="7" s="1"/>
  <c r="P701" i="7"/>
  <c r="AU701" i="7" s="1"/>
  <c r="P1854" i="7"/>
  <c r="AU1854" i="7" s="1"/>
  <c r="P1820" i="7"/>
  <c r="AU1820" i="7" s="1"/>
  <c r="P732" i="7"/>
  <c r="AU732" i="7" s="1"/>
  <c r="P2207" i="7"/>
  <c r="AU2207" i="7" s="1"/>
  <c r="O218" i="7"/>
  <c r="O236" i="7"/>
  <c r="O230" i="7"/>
  <c r="O215" i="7"/>
  <c r="O219" i="7"/>
  <c r="O228" i="7"/>
  <c r="O231" i="7"/>
  <c r="O222" i="7"/>
  <c r="O216" i="7"/>
  <c r="O220" i="7"/>
  <c r="O221" i="7"/>
  <c r="O217" i="7"/>
  <c r="O100" i="7"/>
  <c r="O102" i="7"/>
  <c r="O105" i="7"/>
  <c r="O104" i="7"/>
  <c r="O103" i="7"/>
  <c r="O101" i="7"/>
  <c r="O189" i="7"/>
  <c r="O196" i="7"/>
  <c r="O197" i="7"/>
  <c r="O194" i="7"/>
  <c r="O192" i="7"/>
  <c r="O137" i="7"/>
  <c r="O4" i="7"/>
  <c r="O139" i="7"/>
  <c r="O190" i="7"/>
  <c r="O138" i="7"/>
  <c r="O136" i="7"/>
  <c r="O227" i="7"/>
  <c r="O224" i="7"/>
  <c r="O225" i="7"/>
  <c r="O226" i="7"/>
  <c r="O2202" i="7"/>
  <c r="O108" i="7"/>
  <c r="O109" i="7"/>
  <c r="O107" i="7"/>
  <c r="O111" i="7"/>
  <c r="O112" i="7"/>
  <c r="O110" i="7"/>
  <c r="O96" i="7"/>
  <c r="O47" i="7"/>
  <c r="O54" i="7"/>
  <c r="O193" i="7"/>
  <c r="O187" i="7"/>
  <c r="O186" i="7"/>
  <c r="O195" i="7"/>
  <c r="O126" i="7"/>
  <c r="O1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3" i="7"/>
  <c r="O6" i="7"/>
  <c r="O66" i="7"/>
  <c r="O5" i="7"/>
  <c r="O65" i="7"/>
  <c r="O191" i="7"/>
  <c r="O188" i="7"/>
  <c r="O124" i="7"/>
  <c r="O64" i="7"/>
  <c r="O63" i="7"/>
  <c r="O150" i="7"/>
  <c r="O154" i="7"/>
  <c r="O156" i="7"/>
  <c r="O155" i="7"/>
  <c r="O97" i="7"/>
  <c r="O92" i="7"/>
  <c r="O88" i="7"/>
  <c r="O87" i="7"/>
  <c r="O89" i="7"/>
  <c r="O91" i="7"/>
  <c r="O80" i="7"/>
  <c r="O82" i="7"/>
  <c r="O94" i="7"/>
  <c r="O52" i="7"/>
  <c r="O50" i="7"/>
  <c r="O48" i="7"/>
  <c r="O51" i="7"/>
  <c r="O90" i="7"/>
  <c r="O79" i="7"/>
  <c r="O81" i="7"/>
  <c r="O93" i="7"/>
  <c r="O46" i="7"/>
  <c r="O53" i="7"/>
  <c r="O675" i="7"/>
  <c r="O183" i="7"/>
  <c r="O182" i="7"/>
  <c r="O427" i="7"/>
  <c r="O418" i="7"/>
  <c r="O419" i="7"/>
  <c r="O424" i="7"/>
  <c r="O429" i="7"/>
  <c r="O167" i="7"/>
  <c r="O157" i="7"/>
  <c r="O179" i="7"/>
  <c r="O178" i="7"/>
  <c r="O152" i="7"/>
  <c r="O168" i="7"/>
  <c r="O174" i="7"/>
  <c r="O172" i="7"/>
  <c r="O153" i="7"/>
  <c r="O171" i="7"/>
  <c r="O177" i="7"/>
  <c r="O163" i="7"/>
  <c r="O170" i="7"/>
  <c r="O173" i="7"/>
  <c r="O175" i="7"/>
  <c r="O164" i="7"/>
  <c r="O166" i="7"/>
  <c r="O165" i="7"/>
  <c r="O184" i="7"/>
  <c r="O180" i="7"/>
  <c r="O185" i="7"/>
  <c r="O421" i="7"/>
  <c r="O162" i="7"/>
  <c r="O151" i="7"/>
  <c r="O149" i="7"/>
  <c r="O161" i="7"/>
  <c r="O176" i="7"/>
  <c r="O158" i="7"/>
  <c r="O181" i="7"/>
  <c r="O410" i="7"/>
  <c r="O2001" i="7"/>
  <c r="O1620" i="7"/>
  <c r="O821" i="7"/>
  <c r="O1179" i="7"/>
  <c r="O1482" i="7"/>
  <c r="O283" i="7"/>
  <c r="O1651" i="7"/>
  <c r="O1972" i="7"/>
  <c r="O1973" i="7"/>
  <c r="O1938" i="7"/>
  <c r="O1648" i="7"/>
  <c r="O247" i="7"/>
  <c r="O123" i="7"/>
  <c r="O252" i="7"/>
  <c r="O1169" i="7"/>
  <c r="O1685" i="7"/>
  <c r="O384" i="7"/>
  <c r="O269" i="7"/>
  <c r="O282" i="7"/>
  <c r="O311" i="7"/>
  <c r="O1029" i="7"/>
  <c r="O559" i="7"/>
  <c r="O1133" i="7"/>
  <c r="O463" i="7"/>
  <c r="O2197" i="7"/>
  <c r="O1978" i="7"/>
  <c r="O62" i="7"/>
  <c r="O61" i="7"/>
  <c r="O85" i="7"/>
  <c r="O83" i="7"/>
  <c r="O84" i="7"/>
  <c r="O86" i="7"/>
  <c r="O24" i="7"/>
  <c r="O25" i="7"/>
  <c r="O57" i="7"/>
  <c r="O59" i="7"/>
  <c r="O45" i="7"/>
  <c r="O58" i="7"/>
  <c r="O56" i="7"/>
  <c r="O385" i="7"/>
  <c r="O383" i="7"/>
  <c r="O1045" i="7"/>
  <c r="O1688" i="7"/>
  <c r="O1279" i="7"/>
  <c r="O842" i="7"/>
  <c r="O262" i="7"/>
  <c r="O1077" i="7"/>
  <c r="O1728" i="7"/>
  <c r="O44" i="7"/>
  <c r="O314" i="7"/>
  <c r="O313" i="7"/>
  <c r="O408" i="7"/>
  <c r="O271" i="7"/>
  <c r="O447" i="7"/>
  <c r="O1068" i="7"/>
  <c r="O1342" i="7"/>
  <c r="O1041" i="7"/>
  <c r="O543" i="7"/>
  <c r="O1856" i="7"/>
  <c r="O875" i="7"/>
  <c r="O1409" i="7"/>
  <c r="O1234" i="7"/>
  <c r="O1261" i="7"/>
  <c r="O955" i="7"/>
  <c r="O1035" i="7"/>
  <c r="O20" i="7"/>
  <c r="O21" i="7"/>
  <c r="O23" i="7"/>
  <c r="O331" i="7"/>
  <c r="O330" i="7"/>
  <c r="O1502" i="7"/>
  <c r="O294" i="7"/>
  <c r="O809" i="7"/>
  <c r="O261" i="7"/>
  <c r="O2023" i="7"/>
  <c r="O2097" i="7"/>
  <c r="O260" i="7"/>
  <c r="O210" i="7"/>
  <c r="O201" i="7"/>
  <c r="O409" i="7"/>
  <c r="O1703" i="7"/>
  <c r="O1561" i="7"/>
  <c r="O1529" i="7"/>
  <c r="O1584" i="7"/>
  <c r="O804" i="7"/>
  <c r="O1660" i="7"/>
  <c r="O1199" i="7"/>
  <c r="O1263" i="7"/>
  <c r="O1344" i="7"/>
  <c r="O22" i="7"/>
  <c r="O2035" i="7"/>
  <c r="O1950" i="7"/>
  <c r="O249" i="7"/>
  <c r="O300" i="7"/>
  <c r="O2201" i="7"/>
  <c r="O245" i="7"/>
  <c r="O1486" i="7"/>
  <c r="O1352" i="7"/>
  <c r="O1413" i="7"/>
  <c r="O1889" i="7"/>
  <c r="O2059" i="7"/>
  <c r="O1076" i="7"/>
  <c r="O1274" i="7"/>
  <c r="O1819" i="7"/>
  <c r="O303" i="7"/>
  <c r="O1468" i="7"/>
  <c r="O1483" i="7"/>
  <c r="O7" i="7"/>
  <c r="O202" i="7"/>
  <c r="O1158" i="7"/>
  <c r="O1194" i="7"/>
  <c r="O1288" i="7"/>
  <c r="O498" i="7"/>
  <c r="O1852" i="7"/>
  <c r="O468" i="7"/>
  <c r="O455" i="7"/>
  <c r="O2031" i="7"/>
  <c r="O2226" i="7"/>
  <c r="O1984" i="7"/>
  <c r="O1933" i="7"/>
  <c r="O2146" i="7"/>
  <c r="O2104" i="7"/>
  <c r="O1539" i="7"/>
  <c r="O2065" i="7"/>
  <c r="O1881" i="7"/>
  <c r="O1294" i="7"/>
  <c r="O381" i="7"/>
  <c r="O270" i="7"/>
  <c r="O229" i="7"/>
  <c r="O209" i="7"/>
  <c r="O200" i="7"/>
  <c r="O223" i="7"/>
  <c r="O312" i="7"/>
  <c r="O1588" i="7"/>
  <c r="O1101" i="7"/>
  <c r="O1630" i="7"/>
  <c r="O1054" i="7"/>
  <c r="O871" i="7"/>
  <c r="O1944" i="7"/>
  <c r="O1681" i="7"/>
  <c r="O1368" i="7"/>
  <c r="O1813" i="7"/>
  <c r="O1211" i="7"/>
  <c r="O1283" i="7"/>
  <c r="O1562" i="7"/>
  <c r="O1963" i="7"/>
  <c r="O2058" i="7"/>
  <c r="O2166" i="7"/>
  <c r="O1989" i="7"/>
  <c r="O1910" i="7"/>
  <c r="O1994" i="7"/>
  <c r="O1253" i="7"/>
  <c r="O1204" i="7"/>
  <c r="O560" i="7"/>
  <c r="O1130" i="7"/>
  <c r="O1649" i="7"/>
  <c r="O580" i="7"/>
  <c r="O1289" i="7"/>
  <c r="O1357" i="7"/>
  <c r="O1338" i="7"/>
  <c r="O1079" i="7"/>
  <c r="O1306" i="7"/>
  <c r="O1071" i="7"/>
  <c r="O956" i="7"/>
  <c r="O2074" i="7"/>
  <c r="O880" i="7"/>
  <c r="O1710" i="7"/>
  <c r="O1929" i="7"/>
  <c r="O2093" i="7"/>
  <c r="O2229" i="7"/>
  <c r="O1953" i="7"/>
  <c r="O646" i="7"/>
  <c r="O324" i="7"/>
  <c r="O319" i="7"/>
  <c r="O351" i="7"/>
  <c r="O340" i="7"/>
  <c r="O464" i="7"/>
  <c r="O1097" i="7"/>
  <c r="O1239" i="7"/>
  <c r="O1939" i="7"/>
  <c r="O1387" i="7"/>
  <c r="O430" i="7"/>
  <c r="O272" i="7"/>
  <c r="O1940" i="7"/>
  <c r="O2111" i="7"/>
  <c r="O2050" i="7"/>
  <c r="O2174" i="7"/>
  <c r="O2149" i="7"/>
  <c r="O2075" i="7"/>
  <c r="O1936" i="7"/>
  <c r="O1532" i="7"/>
  <c r="O1478" i="7"/>
  <c r="O1795" i="7"/>
  <c r="O1426" i="7"/>
  <c r="O371" i="7"/>
  <c r="O1434" i="7"/>
  <c r="O1706" i="7"/>
  <c r="O1273" i="7"/>
  <c r="O1531" i="7"/>
  <c r="O1569" i="7"/>
  <c r="O1187" i="7"/>
  <c r="O1365" i="7"/>
  <c r="O1983" i="7"/>
  <c r="O1621" i="7"/>
  <c r="O1609" i="7"/>
  <c r="O1345" i="7"/>
  <c r="O1955" i="7"/>
  <c r="O1157" i="7"/>
  <c r="O1567" i="7"/>
  <c r="O2022" i="7"/>
  <c r="O1349" i="7"/>
  <c r="O1745" i="7"/>
  <c r="O2076" i="7"/>
  <c r="O1266" i="7"/>
  <c r="O1682" i="7"/>
  <c r="O2046" i="7"/>
  <c r="O1669" i="7"/>
  <c r="O382" i="7"/>
  <c r="O259" i="7"/>
  <c r="O76" i="7"/>
  <c r="O78" i="7"/>
  <c r="O597" i="7"/>
  <c r="O636" i="7"/>
  <c r="O446" i="7"/>
  <c r="O631" i="7"/>
  <c r="O1017" i="7"/>
  <c r="O584" i="7"/>
  <c r="O600" i="7"/>
  <c r="O585" i="7"/>
  <c r="O594" i="7"/>
  <c r="O969" i="7"/>
  <c r="O1408" i="7"/>
  <c r="O1023" i="7"/>
  <c r="O1036" i="7"/>
  <c r="O1636" i="7"/>
  <c r="O1917" i="7"/>
  <c r="O1697" i="7"/>
  <c r="O1553" i="7"/>
  <c r="O1811" i="7"/>
  <c r="O671" i="7"/>
  <c r="O1229" i="7"/>
  <c r="O2217" i="7"/>
  <c r="O1634" i="7"/>
  <c r="O1719" i="7"/>
  <c r="O1496" i="7"/>
  <c r="O1947" i="7"/>
  <c r="O2044" i="7"/>
  <c r="O2105" i="7"/>
  <c r="O1942" i="7"/>
  <c r="O1965" i="7"/>
  <c r="O788" i="7"/>
  <c r="O1842" i="7"/>
  <c r="O1701" i="7"/>
  <c r="O1968" i="7"/>
  <c r="O1295" i="7"/>
  <c r="O1155" i="7"/>
  <c r="O1174" i="7"/>
  <c r="O1473" i="7"/>
  <c r="O1550" i="7"/>
  <c r="O950" i="7"/>
  <c r="O1608" i="7"/>
  <c r="O1602" i="7"/>
  <c r="O1612" i="7"/>
  <c r="O1516" i="7"/>
  <c r="O1578" i="7"/>
  <c r="O1540" i="7"/>
  <c r="O1593" i="7"/>
  <c r="O1573" i="7"/>
  <c r="O1574" i="7"/>
  <c r="O1931" i="7"/>
  <c r="O1351" i="7"/>
  <c r="O587" i="7"/>
  <c r="O1117" i="7"/>
  <c r="O1146" i="7"/>
  <c r="O1617" i="7"/>
  <c r="O619" i="7"/>
  <c r="O1831" i="7"/>
  <c r="O1181" i="7"/>
  <c r="O1707" i="7"/>
  <c r="O1789" i="7"/>
  <c r="O1120" i="7"/>
  <c r="O1884" i="7"/>
  <c r="O2061" i="7"/>
  <c r="O1925" i="7"/>
  <c r="O296" i="7"/>
  <c r="O355" i="7"/>
  <c r="O350" i="7"/>
  <c r="O346" i="7"/>
  <c r="O2147" i="7"/>
  <c r="O1236" i="7"/>
  <c r="O1742" i="7"/>
  <c r="O1828" i="7"/>
  <c r="O1858" i="7"/>
  <c r="O1804" i="7"/>
  <c r="O1721" i="7"/>
  <c r="O1112" i="7"/>
  <c r="O1576" i="7"/>
  <c r="O1046" i="7"/>
  <c r="O1268" i="7"/>
  <c r="O1249" i="7"/>
  <c r="O1300" i="7"/>
  <c r="O1335" i="7"/>
  <c r="O1372" i="7"/>
  <c r="O1661" i="7"/>
  <c r="O1430" i="7"/>
  <c r="O1892" i="7"/>
  <c r="O2163" i="7"/>
  <c r="O2158" i="7"/>
  <c r="O2134" i="7"/>
  <c r="O2168" i="7"/>
  <c r="O2216" i="7"/>
  <c r="O2124" i="7"/>
  <c r="O2220" i="7"/>
  <c r="O60" i="7"/>
  <c r="O237" i="7"/>
  <c r="O251" i="7"/>
  <c r="O1919" i="7"/>
  <c r="O1896" i="7"/>
  <c r="O1903" i="7"/>
  <c r="O1941" i="7"/>
  <c r="O2137" i="7"/>
  <c r="O2155" i="7"/>
  <c r="O2051" i="7"/>
  <c r="O2152" i="7"/>
  <c r="O1639" i="7"/>
  <c r="O2157" i="7"/>
  <c r="O1914" i="7"/>
  <c r="O1739" i="7"/>
  <c r="O2107" i="7"/>
  <c r="O1948" i="7"/>
  <c r="O1996" i="7"/>
  <c r="O1493" i="7"/>
  <c r="O1969" i="7"/>
  <c r="O1712" i="7"/>
  <c r="O1734" i="7"/>
  <c r="O1510" i="7"/>
  <c r="O2032" i="7"/>
  <c r="O2041" i="7"/>
  <c r="O2020" i="7"/>
  <c r="O1975" i="7"/>
  <c r="O1747" i="7"/>
  <c r="O783" i="7"/>
  <c r="O1556" i="7"/>
  <c r="O749" i="7"/>
  <c r="O1568" i="7"/>
  <c r="O2269" i="7"/>
  <c r="O1905" i="7"/>
  <c r="O2016" i="7"/>
  <c r="O1702" i="7"/>
  <c r="O2084" i="7"/>
  <c r="O1429" i="7"/>
  <c r="O2025" i="7"/>
  <c r="O1618" i="7"/>
  <c r="O1571" i="7"/>
  <c r="O1868" i="7"/>
  <c r="O1501" i="7"/>
  <c r="O2095" i="7"/>
  <c r="O1676" i="7"/>
  <c r="O1684" i="7"/>
  <c r="O2126" i="7"/>
  <c r="O1720" i="7"/>
  <c r="O1960" i="7"/>
  <c r="O1749" i="7"/>
  <c r="O2040" i="7"/>
  <c r="O2139" i="7"/>
  <c r="O2243" i="7"/>
  <c r="O2013" i="7"/>
  <c r="O2017" i="7"/>
  <c r="O2213" i="7"/>
  <c r="O1607" i="7"/>
  <c r="O1683" i="7"/>
  <c r="O2109" i="7"/>
  <c r="O1869" i="7"/>
  <c r="O1371" i="7"/>
  <c r="O1976" i="7"/>
  <c r="O1581" i="7"/>
  <c r="O2179" i="7"/>
  <c r="O971" i="7"/>
  <c r="O2006" i="7"/>
  <c r="O1961" i="7"/>
  <c r="O2000" i="7"/>
  <c r="O2161" i="7"/>
  <c r="O2199" i="7"/>
  <c r="O2150" i="7"/>
  <c r="O2169" i="7"/>
  <c r="O2128" i="7"/>
  <c r="O1694" i="7"/>
  <c r="O2082" i="7"/>
  <c r="O2033" i="7"/>
  <c r="O516" i="7"/>
  <c r="O1147" i="7"/>
  <c r="O524" i="7"/>
  <c r="O541" i="7"/>
  <c r="O437" i="7"/>
  <c r="O412" i="7"/>
  <c r="O1871" i="7"/>
  <c r="O2115" i="7"/>
  <c r="O1920" i="7"/>
  <c r="O1424" i="7"/>
  <c r="O1824" i="7"/>
  <c r="O1922" i="7"/>
  <c r="O2063" i="7"/>
  <c r="O2012" i="7"/>
  <c r="O1909" i="7"/>
  <c r="O1912" i="7"/>
  <c r="O1647" i="7"/>
  <c r="O433" i="7"/>
  <c r="O700" i="7"/>
  <c r="O2011" i="7"/>
  <c r="O1619" i="7"/>
  <c r="O2205" i="7"/>
  <c r="O2140" i="7"/>
  <c r="O1779" i="7"/>
  <c r="O1827" i="7"/>
  <c r="O1822" i="7"/>
  <c r="O159" i="7"/>
  <c r="O160" i="7"/>
  <c r="O77" i="7"/>
  <c r="O73" i="7"/>
  <c r="O49" i="7"/>
  <c r="O724" i="7"/>
  <c r="O1292" i="7"/>
  <c r="O772" i="7"/>
  <c r="O529" i="7"/>
  <c r="O2282" i="7"/>
  <c r="O1060" i="7"/>
  <c r="O1774" i="7"/>
  <c r="O1783" i="7"/>
  <c r="O2170" i="7"/>
  <c r="O2067" i="7"/>
  <c r="O1743" i="7"/>
  <c r="O1806" i="7"/>
  <c r="O1807" i="7"/>
  <c r="O1591" i="7"/>
  <c r="O1778" i="7"/>
  <c r="O1713" i="7"/>
  <c r="O1233" i="7"/>
  <c r="O1235" i="7"/>
  <c r="O2192" i="7"/>
  <c r="O958" i="7"/>
  <c r="O1006" i="7"/>
  <c r="O1677" i="7"/>
  <c r="O1198" i="7"/>
  <c r="O147" i="7"/>
  <c r="O1812" i="7"/>
  <c r="O1487" i="7"/>
  <c r="O1485" i="7"/>
  <c r="O1511" i="7"/>
  <c r="O2055" i="7"/>
  <c r="O1074" i="7"/>
  <c r="O1296" i="7"/>
  <c r="O1215" i="7"/>
  <c r="O1118" i="7"/>
  <c r="O1189" i="7"/>
  <c r="O1269" i="7"/>
  <c r="O1242" i="7"/>
  <c r="O1559" i="7"/>
  <c r="O1367" i="7"/>
  <c r="O1572" i="7"/>
  <c r="O1305" i="7"/>
  <c r="O1595" i="7"/>
  <c r="O2245" i="7"/>
  <c r="O662" i="7"/>
  <c r="O1087" i="7"/>
  <c r="O1360" i="7"/>
  <c r="O1021" i="7"/>
  <c r="O759" i="7"/>
  <c r="O1730" i="7"/>
  <c r="O2130" i="7"/>
  <c r="O2144" i="7"/>
  <c r="O2072" i="7"/>
  <c r="O1689" i="7"/>
  <c r="O710" i="7"/>
  <c r="O807" i="7"/>
  <c r="O1879" i="7"/>
  <c r="O1557" i="7"/>
  <c r="O1491" i="7"/>
  <c r="O1237" i="7"/>
  <c r="O1547" i="7"/>
  <c r="O1696" i="7"/>
  <c r="O1769" i="7"/>
  <c r="O1771" i="7"/>
  <c r="O1935" i="7"/>
  <c r="O1248" i="7"/>
  <c r="O1801" i="7"/>
  <c r="O1004" i="7"/>
  <c r="O1010" i="7"/>
  <c r="O549" i="7"/>
  <c r="O1957" i="7"/>
  <c r="O1900" i="7"/>
  <c r="O2113" i="7"/>
  <c r="O205" i="7"/>
  <c r="O206" i="7"/>
  <c r="O207" i="7"/>
  <c r="O2180" i="7"/>
  <c r="O663" i="7"/>
  <c r="O1959" i="7"/>
  <c r="O1913" i="7"/>
  <c r="O462" i="7"/>
  <c r="O2034" i="7"/>
  <c r="O1613" i="7"/>
  <c r="O1533" i="7"/>
  <c r="O2089" i="7"/>
  <c r="O1432" i="7"/>
  <c r="O1522" i="7"/>
  <c r="O1731" i="7"/>
  <c r="O1276" i="7"/>
  <c r="O1484" i="7"/>
  <c r="O1956" i="7"/>
  <c r="O884" i="7"/>
  <c r="O2057" i="7"/>
  <c r="O1999" i="7"/>
  <c r="O1301" i="7"/>
  <c r="O610" i="7"/>
  <c r="O589" i="7"/>
  <c r="O1690" i="7"/>
  <c r="O1536" i="7"/>
  <c r="O1723" i="7"/>
  <c r="O1838" i="7"/>
  <c r="O1499" i="7"/>
  <c r="O618" i="7"/>
  <c r="O2200" i="7"/>
  <c r="O1062" i="7"/>
  <c r="O1656" i="7"/>
  <c r="O2030" i="7"/>
  <c r="O1886" i="7"/>
  <c r="O2027" i="7"/>
  <c r="O1898" i="7"/>
  <c r="O1894" i="7"/>
  <c r="O1899" i="7"/>
  <c r="O360" i="7"/>
  <c r="O1815" i="7"/>
  <c r="O1888" i="7"/>
  <c r="O1461" i="7"/>
  <c r="O1678" i="7"/>
  <c r="O1709" i="7"/>
  <c r="O1927" i="7"/>
  <c r="O1792" i="7"/>
  <c r="O1168" i="7"/>
  <c r="O1674" i="7"/>
  <c r="O1700" i="7"/>
  <c r="O1990" i="7"/>
  <c r="O1140" i="7"/>
  <c r="O723" i="7"/>
  <c r="O1877" i="7"/>
  <c r="O2196" i="7"/>
  <c r="O2135" i="7"/>
  <c r="O146" i="7"/>
  <c r="O144" i="7"/>
  <c r="O756" i="7"/>
  <c r="O2048" i="7"/>
  <c r="O1123" i="7"/>
  <c r="O1991" i="7"/>
  <c r="O2071" i="7"/>
  <c r="O1891" i="7"/>
  <c r="O972" i="7"/>
  <c r="O1131" i="7"/>
  <c r="O796" i="7"/>
  <c r="O1067" i="7"/>
  <c r="O2060" i="7"/>
  <c r="O1403" i="7"/>
  <c r="O2049" i="7"/>
  <c r="O1492" i="7"/>
  <c r="O1597" i="7"/>
  <c r="O1377" i="7"/>
  <c r="O2173" i="7"/>
  <c r="O1518" i="7"/>
  <c r="O775" i="7"/>
  <c r="O2066" i="7"/>
  <c r="O2003" i="7"/>
  <c r="O1915" i="7"/>
  <c r="O1437" i="7"/>
  <c r="O771" i="7"/>
  <c r="O857" i="7"/>
  <c r="O1298" i="7"/>
  <c r="O491" i="7"/>
  <c r="O473" i="7"/>
  <c r="O513" i="7"/>
  <c r="O1156" i="7"/>
  <c r="O1882" i="7"/>
  <c r="O2002" i="7"/>
  <c r="O1988" i="7"/>
  <c r="O770" i="7"/>
  <c r="O885" i="7"/>
  <c r="O1297" i="7"/>
  <c r="O1825" i="7"/>
  <c r="O1113" i="7"/>
  <c r="O888" i="7"/>
  <c r="O1451" i="7"/>
  <c r="O1456" i="7"/>
  <c r="O1870" i="7"/>
  <c r="O979" i="7"/>
  <c r="O639" i="7"/>
  <c r="O1114" i="7"/>
  <c r="O989" i="7"/>
  <c r="O1302" i="7"/>
  <c r="O791" i="7"/>
  <c r="O1366" i="7"/>
  <c r="O1503" i="7"/>
  <c r="O1876" i="7"/>
  <c r="O1711" i="7"/>
  <c r="O1818" i="7"/>
  <c r="O439" i="7"/>
  <c r="O415" i="7"/>
  <c r="O414" i="7"/>
  <c r="O485" i="7"/>
  <c r="O495" i="7"/>
  <c r="O1441" i="7"/>
  <c r="O1583" i="7"/>
  <c r="O1724" i="7"/>
  <c r="O212" i="7"/>
  <c r="O1480" i="7"/>
  <c r="O1378" i="7"/>
  <c r="O1075" i="7"/>
  <c r="O1127" i="7"/>
  <c r="O572" i="7"/>
  <c r="O913" i="7"/>
  <c r="O1463" i="7"/>
  <c r="O1243" i="7"/>
  <c r="O1182" i="7"/>
  <c r="O1084" i="7"/>
  <c r="O921" i="7"/>
  <c r="O1725" i="7"/>
  <c r="O2094" i="7"/>
  <c r="O1405" i="7"/>
  <c r="O816" i="7"/>
  <c r="O1164" i="7"/>
  <c r="O1393" i="7"/>
  <c r="O1116" i="7"/>
  <c r="O1414" i="7"/>
  <c r="O1952" i="7"/>
  <c r="O2210" i="7"/>
  <c r="O982" i="7"/>
  <c r="O1240" i="7"/>
  <c r="O818" i="7"/>
  <c r="O289" i="7"/>
  <c r="O582" i="7"/>
  <c r="O1659" i="7"/>
  <c r="O2026" i="7"/>
  <c r="O1666" i="7"/>
  <c r="O1214" i="7"/>
  <c r="O805" i="7"/>
  <c r="O1549" i="7"/>
  <c r="O1337" i="7"/>
  <c r="O1520" i="7"/>
  <c r="O1494" i="7"/>
  <c r="O1693" i="7"/>
  <c r="O941" i="7"/>
  <c r="O1823" i="7"/>
  <c r="O2181" i="7"/>
  <c r="O1208" i="7"/>
  <c r="O1997" i="7"/>
  <c r="O851" i="7"/>
  <c r="O2238" i="7"/>
  <c r="O970" i="7"/>
  <c r="O1416" i="7"/>
  <c r="O1205" i="7"/>
  <c r="O1195" i="7"/>
  <c r="O830" i="7"/>
  <c r="O431" i="7"/>
  <c r="O1421" i="7"/>
  <c r="O1594" i="7"/>
  <c r="O949" i="7"/>
  <c r="O952" i="7"/>
  <c r="O1449" i="7"/>
  <c r="O548" i="7"/>
  <c r="O961" i="7"/>
  <c r="O1579" i="7"/>
  <c r="O716" i="7"/>
  <c r="O1509" i="7"/>
  <c r="O1995" i="7"/>
  <c r="O1665" i="7"/>
  <c r="O1799" i="7"/>
  <c r="O290" i="7"/>
  <c r="O1937" i="7"/>
  <c r="O1875" i="7"/>
  <c r="O697" i="7"/>
  <c r="O933" i="7"/>
  <c r="O95" i="7"/>
  <c r="O1971" i="7"/>
  <c r="O967" i="7"/>
  <c r="O1817" i="7"/>
  <c r="O765" i="7"/>
  <c r="O1225" i="7"/>
  <c r="O942" i="7"/>
  <c r="O2240" i="7"/>
  <c r="O141" i="7"/>
  <c r="O140" i="7"/>
  <c r="O135" i="7"/>
  <c r="O119" i="7"/>
  <c r="O120" i="7"/>
  <c r="O121" i="7"/>
  <c r="O116" i="7"/>
  <c r="O264" i="7"/>
  <c r="O1596" i="7"/>
  <c r="O986" i="7"/>
  <c r="O242" i="7"/>
  <c r="O1070" i="7"/>
  <c r="O1150" i="7"/>
  <c r="O2203" i="7"/>
  <c r="O1860" i="7"/>
  <c r="O1675" i="7"/>
  <c r="O945" i="7"/>
  <c r="O943" i="7"/>
  <c r="O951" i="7"/>
  <c r="O1908" i="7"/>
  <c r="O9" i="7"/>
  <c r="O19" i="7"/>
  <c r="O1132" i="7"/>
  <c r="O657" i="7"/>
  <c r="O459" i="7"/>
  <c r="O497" i="7"/>
  <c r="O426" i="7"/>
  <c r="O454" i="7"/>
  <c r="O1833" i="7"/>
  <c r="O627" i="7"/>
  <c r="O1299" i="7"/>
  <c r="O1307" i="7"/>
  <c r="O1481" i="7"/>
  <c r="O752" i="7"/>
  <c r="O1755" i="7"/>
  <c r="O1498" i="7"/>
  <c r="O602" i="7"/>
  <c r="O318" i="7"/>
  <c r="O1793" i="7"/>
  <c r="O2" i="7"/>
  <c r="O1873" i="7"/>
  <c r="O1841" i="7"/>
  <c r="O1632" i="7"/>
  <c r="O1477" i="7"/>
  <c r="O1318" i="7"/>
  <c r="O1452" i="7"/>
  <c r="O317" i="7"/>
  <c r="O2231" i="7"/>
  <c r="O894" i="7"/>
  <c r="O2151" i="7"/>
  <c r="O2019" i="7"/>
  <c r="O1034" i="7"/>
  <c r="O912" i="7"/>
  <c r="O483" i="7"/>
  <c r="O1065" i="7"/>
  <c r="O898" i="7"/>
  <c r="O882" i="7"/>
  <c r="O284" i="7"/>
  <c r="O278" i="7"/>
  <c r="O757" i="7"/>
  <c r="O1427" i="7"/>
  <c r="O250" i="7"/>
  <c r="O612" i="7"/>
  <c r="O877" i="7"/>
  <c r="O1151" i="7"/>
  <c r="O1224" i="7"/>
  <c r="O1059" i="7"/>
  <c r="O1265" i="7"/>
  <c r="O1640" i="7"/>
  <c r="O1197" i="7"/>
  <c r="O1223" i="7"/>
  <c r="O1031" i="7"/>
  <c r="O1794" i="7"/>
  <c r="O449" i="7"/>
  <c r="O2160" i="7"/>
  <c r="O1167" i="7"/>
  <c r="O1056" i="7"/>
  <c r="O1190" i="7"/>
  <c r="O1016" i="7"/>
  <c r="O69" i="7"/>
  <c r="O940" i="7"/>
  <c r="O929" i="7"/>
  <c r="O281" i="7"/>
  <c r="O826" i="7"/>
  <c r="O273" i="7"/>
  <c r="O841" i="7"/>
  <c r="O208" i="7"/>
  <c r="O1460" i="7"/>
  <c r="O1542" i="7"/>
  <c r="O668" i="7"/>
  <c r="O862" i="7"/>
  <c r="O316" i="7"/>
  <c r="O325" i="7"/>
  <c r="O337" i="7"/>
  <c r="O1566" i="7"/>
  <c r="O1872" i="7"/>
  <c r="O411" i="7"/>
  <c r="O1476" i="7"/>
  <c r="O1525" i="7"/>
  <c r="O1663" i="7"/>
  <c r="O1459" i="7"/>
  <c r="O1185" i="7"/>
  <c r="O1282" i="7"/>
  <c r="O686" i="7"/>
  <c r="O1277" i="7"/>
  <c r="O985" i="7"/>
  <c r="O1470" i="7"/>
  <c r="O1090" i="7"/>
  <c r="O493" i="7"/>
  <c r="O1363" i="7"/>
  <c r="O1645" i="7"/>
  <c r="O1078" i="7"/>
  <c r="O467" i="7"/>
  <c r="O1254" i="7"/>
  <c r="O1431" i="7"/>
  <c r="O1606" i="7"/>
  <c r="O579" i="7"/>
  <c r="O1210" i="7"/>
  <c r="O333" i="7"/>
  <c r="O133" i="7"/>
  <c r="O1186" i="7"/>
  <c r="O2255" i="7"/>
  <c r="O1180" i="7"/>
  <c r="O1231" i="7"/>
  <c r="O1165" i="7"/>
  <c r="O1220" i="7"/>
  <c r="O1162" i="7"/>
  <c r="O1290" i="7"/>
  <c r="O1219" i="7"/>
  <c r="O1105" i="7"/>
  <c r="O1440" i="7"/>
  <c r="O993" i="7"/>
  <c r="O349" i="7"/>
  <c r="O456" i="7"/>
  <c r="O1765" i="7"/>
  <c r="O469" i="7"/>
  <c r="O774" i="7"/>
  <c r="O837" i="7"/>
  <c r="O900" i="7"/>
  <c r="O441" i="7"/>
  <c r="O918" i="7"/>
  <c r="O874" i="7"/>
  <c r="O764" i="7"/>
  <c r="O1530" i="7"/>
  <c r="O968" i="7"/>
  <c r="O1005" i="7"/>
  <c r="O1695" i="7"/>
  <c r="O1280" i="7"/>
  <c r="O1358" i="7"/>
  <c r="O255" i="7"/>
  <c r="O338" i="7"/>
  <c r="O2142" i="7"/>
  <c r="O475" i="7"/>
  <c r="O2098" i="7"/>
  <c r="O1466" i="7"/>
  <c r="O2185" i="7"/>
  <c r="O1072" i="7"/>
  <c r="O2037" i="7"/>
  <c r="O552" i="7"/>
  <c r="O1986" i="7"/>
  <c r="O1055" i="7"/>
  <c r="O1497" i="7"/>
  <c r="O297" i="7"/>
  <c r="O322" i="7"/>
  <c r="O233" i="7"/>
  <c r="O2038" i="7"/>
  <c r="O1537" i="7"/>
  <c r="O1699" i="7"/>
  <c r="O1979" i="7"/>
  <c r="O145" i="7"/>
  <c r="O143" i="7"/>
  <c r="O118" i="7"/>
  <c r="O98" i="7"/>
  <c r="O1809" i="7"/>
  <c r="O626" i="7"/>
  <c r="O995" i="7"/>
  <c r="O376" i="7"/>
  <c r="O2008" i="7"/>
  <c r="O1945" i="7"/>
  <c r="O1098" i="7"/>
  <c r="O2014" i="7"/>
  <c r="O1085" i="7"/>
  <c r="O1320" i="7"/>
  <c r="O1353" i="7"/>
  <c r="O74" i="7"/>
  <c r="O75" i="7"/>
  <c r="O72" i="7"/>
  <c r="O71" i="7"/>
  <c r="O285" i="7"/>
  <c r="O1605" i="7"/>
  <c r="O1500" i="7"/>
  <c r="O1428" i="7"/>
  <c r="O1797" i="7"/>
  <c r="O246" i="7"/>
  <c r="O625" i="7"/>
  <c r="O840" i="7"/>
  <c r="O595" i="7"/>
  <c r="O721" i="7"/>
  <c r="O803" i="7"/>
  <c r="O789" i="7"/>
  <c r="O839" i="7"/>
  <c r="O762" i="7"/>
  <c r="O674" i="7"/>
  <c r="O1144" i="7"/>
  <c r="O1107" i="7"/>
  <c r="O1163" i="7"/>
  <c r="O1238" i="7"/>
  <c r="O1330" i="7"/>
  <c r="O1230" i="7"/>
  <c r="O1836" i="7"/>
  <c r="O1855" i="7"/>
  <c r="O2018" i="7"/>
  <c r="O1504" i="7"/>
  <c r="O562" i="7"/>
  <c r="O1260" i="7"/>
  <c r="O134" i="7"/>
  <c r="O754" i="7"/>
  <c r="O1096" i="7"/>
  <c r="O1646" i="7"/>
  <c r="O1527" i="7"/>
  <c r="O1911" i="7"/>
  <c r="O1552" i="7"/>
  <c r="O1993" i="7"/>
  <c r="O1188" i="7"/>
  <c r="O2184" i="7"/>
  <c r="O708" i="7"/>
  <c r="O2209" i="7"/>
  <c r="O1325" i="7"/>
  <c r="O760" i="7"/>
  <c r="O396" i="7"/>
  <c r="O1129" i="7"/>
  <c r="O401" i="7"/>
  <c r="O787" i="7"/>
  <c r="O731" i="7"/>
  <c r="O12" i="7"/>
  <c r="O2070" i="7"/>
  <c r="O965" i="7"/>
  <c r="O1001" i="7"/>
  <c r="O781" i="7"/>
  <c r="O976" i="7"/>
  <c r="O577" i="7"/>
  <c r="O604" i="7"/>
  <c r="O574" i="7"/>
  <c r="O470" i="7"/>
  <c r="O465" i="7"/>
  <c r="O561" i="7"/>
  <c r="O1028" i="7"/>
  <c r="O825" i="7"/>
  <c r="O1329" i="7"/>
  <c r="O1135" i="7"/>
  <c r="O864" i="7"/>
  <c r="O911" i="7"/>
  <c r="O647" i="7"/>
  <c r="O850" i="7"/>
  <c r="O903" i="7"/>
  <c r="O684" i="7"/>
  <c r="O848" i="7"/>
  <c r="O1506" i="7"/>
  <c r="O2263" i="7"/>
  <c r="O511" i="7"/>
  <c r="O588" i="7"/>
  <c r="O1577" i="7"/>
  <c r="O973" i="7"/>
  <c r="O1213" i="7"/>
  <c r="O1781" i="7"/>
  <c r="O563" i="7"/>
  <c r="O268" i="7"/>
  <c r="O615" i="7"/>
  <c r="O1784" i="7"/>
  <c r="O361" i="7"/>
  <c r="O1455" i="7"/>
  <c r="O1949" i="7"/>
  <c r="O2125" i="7"/>
  <c r="O1834" i="7"/>
  <c r="O1489" i="7"/>
  <c r="O790" i="7"/>
  <c r="O649" i="7"/>
  <c r="O815" i="7"/>
  <c r="O916" i="7"/>
  <c r="O448" i="7"/>
  <c r="O2010" i="7"/>
  <c r="O822" i="7"/>
  <c r="O1048" i="7"/>
  <c r="O1308" i="7"/>
  <c r="O1652" i="7"/>
  <c r="O298" i="7"/>
  <c r="O347" i="7"/>
  <c r="O348" i="7"/>
  <c r="O295" i="7"/>
  <c r="O569" i="7"/>
  <c r="O531" i="7"/>
  <c r="O1508" i="7"/>
  <c r="O1095" i="7"/>
  <c r="O947" i="7"/>
  <c r="O1012" i="7"/>
  <c r="O1252" i="7"/>
  <c r="O1064" i="7"/>
  <c r="O547" i="7"/>
  <c r="O521" i="7"/>
  <c r="O528" i="7"/>
  <c r="O1932" i="7"/>
  <c r="O1642" i="7"/>
  <c r="O169" i="7"/>
  <c r="O984" i="7"/>
  <c r="O1546" i="7"/>
  <c r="O525" i="7"/>
  <c r="O645" i="7"/>
  <c r="O567" i="7"/>
  <c r="O1716" i="7"/>
  <c r="O1433" i="7"/>
  <c r="O606" i="7"/>
  <c r="O1977" i="7"/>
  <c r="O517" i="7"/>
  <c r="O998" i="7"/>
  <c r="O987" i="7"/>
  <c r="O621" i="7"/>
  <c r="O1285" i="7"/>
  <c r="O1857" i="7"/>
  <c r="O534" i="7"/>
  <c r="O581" i="7"/>
  <c r="O1373" i="7"/>
  <c r="O1722" i="7"/>
  <c r="O244" i="7"/>
  <c r="O114" i="7"/>
  <c r="O1565" i="7"/>
  <c r="O801" i="7"/>
  <c r="O1134" i="7"/>
  <c r="O838" i="7"/>
  <c r="O844" i="7"/>
  <c r="O2176" i="7"/>
  <c r="O1333" i="7"/>
  <c r="O932" i="7"/>
  <c r="O1153" i="7"/>
  <c r="O1364" i="7"/>
  <c r="O591" i="7"/>
  <c r="O726" i="7"/>
  <c r="O576" i="7"/>
  <c r="O596" i="7"/>
  <c r="O628" i="7"/>
  <c r="O899" i="7"/>
  <c r="O1808" i="7"/>
  <c r="O1796" i="7"/>
  <c r="O1472" i="7"/>
  <c r="O1560" i="7"/>
  <c r="O1222" i="7"/>
  <c r="O127" i="7"/>
  <c r="O1278" i="7"/>
  <c r="O1340" i="7"/>
  <c r="O1015" i="7"/>
  <c r="O122" i="7"/>
  <c r="O960" i="7"/>
  <c r="O744" i="7"/>
  <c r="O907" i="7"/>
  <c r="O800" i="7"/>
  <c r="O734" i="7"/>
  <c r="O975" i="7"/>
  <c r="O1019" i="7"/>
  <c r="O1200" i="7"/>
  <c r="O1115" i="7"/>
  <c r="O352" i="7"/>
  <c r="O1878" i="7"/>
  <c r="O1668" i="7"/>
  <c r="O1902" i="7"/>
  <c r="O2159" i="7"/>
  <c r="O1052" i="7"/>
  <c r="O966" i="7"/>
  <c r="O1033" i="7"/>
  <c r="O1044" i="7"/>
  <c r="O2138" i="7"/>
  <c r="O363" i="7"/>
  <c r="O901" i="7"/>
  <c r="O996" i="7"/>
  <c r="O683" i="7"/>
  <c r="O623" i="7"/>
  <c r="O706" i="7"/>
  <c r="O148" i="7"/>
  <c r="O1040" i="7"/>
  <c r="O1251" i="7"/>
  <c r="O369" i="7"/>
  <c r="O199" i="7"/>
  <c r="O436" i="7"/>
  <c r="O1548" i="7"/>
  <c r="O129" i="7"/>
  <c r="O2247" i="7"/>
  <c r="O1355" i="7"/>
  <c r="O1228" i="7"/>
  <c r="O1401" i="7"/>
  <c r="O1111" i="7"/>
  <c r="O267" i="7"/>
  <c r="O1746" i="7"/>
  <c r="O1310" i="7"/>
  <c r="O1601" i="7"/>
  <c r="O1014" i="7"/>
  <c r="O990" i="7"/>
  <c r="O1091" i="7"/>
  <c r="O1523" i="7"/>
  <c r="O1849" i="7"/>
  <c r="O1250" i="7"/>
  <c r="O1287" i="7"/>
  <c r="O811" i="7"/>
  <c r="O332" i="7"/>
  <c r="O1066" i="7"/>
  <c r="O992" i="7"/>
  <c r="O1007" i="7"/>
  <c r="O997" i="7"/>
  <c r="O1032" i="7"/>
  <c r="O1030" i="7"/>
  <c r="O1317" i="7"/>
  <c r="O1245" i="7"/>
  <c r="O1946" i="7"/>
  <c r="O1732" i="7"/>
  <c r="O1517" i="7"/>
  <c r="O2096" i="7"/>
  <c r="O858" i="7"/>
  <c r="O753" i="7"/>
  <c r="O776" i="7"/>
  <c r="O741" i="7"/>
  <c r="O677" i="7"/>
  <c r="O845" i="7"/>
  <c r="O814" i="7"/>
  <c r="O887" i="7"/>
  <c r="O906" i="7"/>
  <c r="O780" i="7"/>
  <c r="O1622" i="7"/>
  <c r="O778" i="7"/>
  <c r="O611" i="7"/>
  <c r="O689" i="7"/>
  <c r="O794" i="7"/>
  <c r="O70" i="7"/>
  <c r="O661" i="7"/>
  <c r="O536" i="7"/>
  <c r="O320" i="7"/>
  <c r="O10" i="7"/>
  <c r="O1515" i="7"/>
  <c r="O457" i="7"/>
  <c r="O1777" i="7"/>
  <c r="O1551" i="7"/>
  <c r="O1923" i="7"/>
  <c r="O748" i="7"/>
  <c r="O1625" i="7"/>
  <c r="O1267" i="7"/>
  <c r="O1465" i="7"/>
  <c r="O1425" i="7"/>
  <c r="O1314" i="7"/>
  <c r="O1362" i="7"/>
  <c r="O2129" i="7"/>
  <c r="O1471" i="7"/>
  <c r="O1610" i="7"/>
  <c r="O1614" i="7"/>
  <c r="O1011" i="7"/>
  <c r="O642" i="7"/>
  <c r="O130" i="7"/>
  <c r="O132" i="7"/>
  <c r="O1178" i="7"/>
  <c r="O507" i="7"/>
  <c r="O891" i="7"/>
  <c r="O994" i="7"/>
  <c r="O664" i="7"/>
  <c r="O658" i="7"/>
  <c r="O550" i="7"/>
  <c r="O678" i="7"/>
  <c r="O670" i="7"/>
  <c r="O571" i="7"/>
  <c r="O1488" i="7"/>
  <c r="O779" i="7"/>
  <c r="O695" i="7"/>
  <c r="O444" i="7"/>
  <c r="O1124" i="7"/>
  <c r="O1221" i="7"/>
  <c r="O1507" i="7"/>
  <c r="O1992" i="7"/>
  <c r="O1839" i="7"/>
  <c r="O1247" i="7"/>
  <c r="O1895" i="7"/>
  <c r="O1109" i="7"/>
  <c r="O452" i="7"/>
  <c r="O865" i="7"/>
  <c r="O366" i="7"/>
  <c r="O1756" i="7"/>
  <c r="O1687" i="7"/>
  <c r="O1759" i="7"/>
  <c r="O1766" i="7"/>
  <c r="O1845" i="7"/>
  <c r="O1514" i="7"/>
  <c r="O1628" i="7"/>
  <c r="O1611" i="7"/>
  <c r="O1654" i="7"/>
  <c r="O1526" i="7"/>
  <c r="O1752" i="7"/>
  <c r="O902" i="7"/>
  <c r="O1063" i="7"/>
  <c r="O820" i="7"/>
  <c r="O1271" i="7"/>
  <c r="O866" i="7"/>
  <c r="O828" i="7"/>
  <c r="O2191" i="7"/>
  <c r="O2052" i="7"/>
  <c r="O919" i="7"/>
  <c r="O1718" i="7"/>
  <c r="O739" i="7"/>
  <c r="O977" i="7"/>
  <c r="O730" i="7"/>
  <c r="O964" i="7"/>
  <c r="O211" i="7"/>
  <c r="O1715" i="7"/>
  <c r="O2236" i="7"/>
  <c r="O824" i="7"/>
  <c r="O1081" i="7"/>
  <c r="O1258" i="7"/>
  <c r="O1751" i="7"/>
  <c r="O768" i="7"/>
  <c r="O1043" i="7"/>
  <c r="O472" i="7"/>
  <c r="O113" i="7"/>
  <c r="O287" i="7"/>
  <c r="O601" i="7"/>
  <c r="O1143" i="7"/>
  <c r="O1770" i="7"/>
  <c r="O2053" i="7"/>
  <c r="O2110" i="7"/>
  <c r="O1741" i="7"/>
  <c r="O500" i="7"/>
  <c r="O603" i="7"/>
  <c r="O624" i="7"/>
  <c r="O440" i="7"/>
  <c r="O607" i="7"/>
  <c r="O499" i="7"/>
  <c r="O425" i="7"/>
  <c r="O453" i="7"/>
  <c r="O703" i="7"/>
  <c r="O1050" i="7"/>
  <c r="O974" i="7"/>
  <c r="O1119" i="7"/>
  <c r="O1392" i="7"/>
  <c r="O1244" i="7"/>
  <c r="O1160" i="7"/>
  <c r="O1347" i="7"/>
  <c r="O879" i="7"/>
  <c r="O736" i="7"/>
  <c r="O782" i="7"/>
  <c r="O680" i="7"/>
  <c r="O755" i="7"/>
  <c r="O630" i="7"/>
  <c r="O660" i="7"/>
  <c r="O648" i="7"/>
  <c r="O740" i="7"/>
  <c r="O482" i="7"/>
  <c r="O520" i="7"/>
  <c r="O846" i="7"/>
  <c r="O963" i="7"/>
  <c r="O1375" i="7"/>
  <c r="O203" i="7"/>
  <c r="O213" i="7"/>
  <c r="O265" i="7"/>
  <c r="O266" i="7"/>
  <c r="O1474" i="7"/>
  <c r="O1326" i="7"/>
  <c r="O1332" i="7"/>
  <c r="O1615" i="7"/>
  <c r="O769" i="7"/>
  <c r="O1585" i="7"/>
  <c r="O1202" i="7"/>
  <c r="O1100" i="7"/>
  <c r="O834" i="7"/>
  <c r="O832" i="7"/>
  <c r="O530" i="7"/>
  <c r="O1286" i="7"/>
  <c r="O1256" i="7"/>
  <c r="O506" i="7"/>
  <c r="O2204" i="7"/>
  <c r="O339" i="7"/>
  <c r="O1780" i="7"/>
  <c r="O2028" i="7"/>
  <c r="O2239" i="7"/>
  <c r="O1104" i="7"/>
  <c r="O605" i="7"/>
  <c r="O690" i="7"/>
  <c r="O2208" i="7"/>
  <c r="O1341" i="7"/>
  <c r="O1787" i="7"/>
  <c r="O1093" i="7"/>
  <c r="O1346" i="7"/>
  <c r="O1089" i="7"/>
  <c r="O758" i="7"/>
  <c r="O693" i="7"/>
  <c r="O1149" i="7"/>
  <c r="O1590" i="7"/>
  <c r="O106" i="7"/>
  <c r="O978" i="7"/>
  <c r="O1637" i="7"/>
  <c r="O999" i="7"/>
  <c r="O55" i="7"/>
  <c r="O1354" i="7"/>
  <c r="O944" i="7"/>
  <c r="O1448" i="7"/>
  <c r="O1673" i="7"/>
  <c r="O565" i="7"/>
  <c r="O389" i="7"/>
  <c r="O487" i="7"/>
  <c r="O512" i="7"/>
  <c r="O544" i="7"/>
  <c r="O988" i="7"/>
  <c r="O508" i="7"/>
  <c r="O532" i="7"/>
  <c r="O399" i="7"/>
  <c r="O471" i="7"/>
  <c r="O1863" i="7"/>
  <c r="O2009" i="7"/>
  <c r="O1545" i="7"/>
  <c r="O1966" i="7"/>
  <c r="O1998" i="7"/>
  <c r="O713" i="7"/>
  <c r="O1653" i="7"/>
  <c r="O1958" i="7"/>
  <c r="O1704" i="7"/>
  <c r="O1691" i="7"/>
  <c r="O1744" i="7"/>
  <c r="O1951" i="7"/>
  <c r="O1626" i="7"/>
  <c r="O1382" i="7"/>
  <c r="O1217" i="7"/>
  <c r="O327" i="7"/>
  <c r="O394" i="7"/>
  <c r="O1544" i="7"/>
  <c r="O1436" i="7"/>
  <c r="O1415" i="7"/>
  <c r="O738" i="7"/>
  <c r="O854" i="7"/>
  <c r="O1736" i="7"/>
  <c r="O878" i="7"/>
  <c r="O1803" i="7"/>
  <c r="O593" i="7"/>
  <c r="O608" i="7"/>
  <c r="O2249" i="7"/>
  <c r="O1662" i="7"/>
  <c r="O14" i="7"/>
  <c r="O403" i="7"/>
  <c r="O773" i="7"/>
  <c r="O2004" i="7"/>
  <c r="O2121" i="7"/>
  <c r="O1397" i="7"/>
  <c r="O676" i="7"/>
  <c r="O1309" i="7"/>
  <c r="O557" i="7"/>
  <c r="O2254" i="7"/>
  <c r="O2054" i="7"/>
  <c r="O2079" i="7"/>
  <c r="O895" i="7"/>
  <c r="O1038" i="7"/>
  <c r="O1172" i="7"/>
  <c r="O1026" i="7"/>
  <c r="O1218" i="7"/>
  <c r="O1047" i="7"/>
  <c r="O896" i="7"/>
  <c r="O1859" i="7"/>
  <c r="O16" i="7"/>
  <c r="O18" i="7"/>
  <c r="O2224" i="7"/>
  <c r="O1921" i="7"/>
  <c r="O1918" i="7"/>
  <c r="O1057" i="7"/>
  <c r="O923" i="7"/>
  <c r="O335" i="7"/>
  <c r="O1835" i="7"/>
  <c r="O460" i="7"/>
  <c r="O67" i="7"/>
  <c r="O328" i="7"/>
  <c r="O551" i="7"/>
  <c r="O566" i="7"/>
  <c r="O372" i="7"/>
  <c r="O420" i="7"/>
  <c r="O277" i="7"/>
  <c r="O930" i="7"/>
  <c r="O1603" i="7"/>
  <c r="O578" i="7"/>
  <c r="O632" i="7"/>
  <c r="O13" i="7"/>
  <c r="O936" i="7"/>
  <c r="O1788" i="7"/>
  <c r="O962" i="7"/>
  <c r="O1082" i="7"/>
  <c r="O2167" i="7"/>
  <c r="O1764" i="7"/>
  <c r="O1686" i="7"/>
  <c r="O1106" i="7"/>
  <c r="O2165" i="7"/>
  <c r="O1088" i="7"/>
  <c r="O1575" i="7"/>
  <c r="O1750" i="7"/>
  <c r="O1293" i="7"/>
  <c r="O2198" i="7"/>
  <c r="O1389" i="7"/>
  <c r="O653" i="7"/>
  <c r="O480" i="7"/>
  <c r="O640" i="7"/>
  <c r="O484" i="7"/>
  <c r="O474" i="7"/>
  <c r="O1322" i="7"/>
  <c r="O1350" i="7"/>
  <c r="O1336" i="7"/>
  <c r="O616" i="7"/>
  <c r="O1108" i="7"/>
  <c r="O1184" i="7"/>
  <c r="O1272" i="7"/>
  <c r="O1826" i="7"/>
  <c r="O1469" i="7"/>
  <c r="O2182" i="7"/>
  <c r="O1193" i="7"/>
  <c r="O2177" i="7"/>
  <c r="O1422" i="7"/>
  <c r="O1141" i="7"/>
  <c r="O727" i="7"/>
  <c r="O1323" i="7"/>
  <c r="O1324" i="7"/>
  <c r="O1738" i="7"/>
  <c r="O356" i="7"/>
  <c r="O288" i="7"/>
  <c r="O240" i="7"/>
  <c r="O442" i="7"/>
  <c r="O1964" i="7"/>
  <c r="O1798" i="7"/>
  <c r="O2222" i="7"/>
  <c r="O836" i="7"/>
  <c r="O354" i="7"/>
  <c r="O387" i="7"/>
  <c r="O1763" i="7"/>
  <c r="O1893" i="7"/>
  <c r="O1705" i="7"/>
  <c r="O1943" i="7"/>
  <c r="O1726" i="7"/>
  <c r="O1524" i="7"/>
  <c r="O1039" i="7"/>
  <c r="O304" i="7"/>
  <c r="O492" i="7"/>
  <c r="O479" i="7"/>
  <c r="O1980" i="7"/>
  <c r="O434" i="7"/>
  <c r="O445" i="7"/>
  <c r="O527" i="7"/>
  <c r="O519" i="7"/>
  <c r="O423" i="7"/>
  <c r="O362" i="7"/>
  <c r="O1790" i="7"/>
  <c r="O42" i="7"/>
  <c r="O806" i="7"/>
  <c r="O1762" i="7"/>
  <c r="O1528" i="7"/>
  <c r="O1356" i="7"/>
  <c r="O388" i="7"/>
  <c r="O526" i="7"/>
  <c r="O763" i="7"/>
  <c r="O2068" i="7"/>
  <c r="O599" i="7"/>
  <c r="O767" i="7"/>
  <c r="O368" i="7"/>
  <c r="O1402" i="7"/>
  <c r="O614" i="7"/>
  <c r="O1284" i="7"/>
  <c r="O2119" i="7"/>
  <c r="O1761" i="7"/>
  <c r="O2171" i="7"/>
  <c r="O925" i="7"/>
  <c r="O1420" i="7"/>
  <c r="O926" i="7"/>
  <c r="O719" i="7"/>
  <c r="O793" i="7"/>
  <c r="O859" i="7"/>
  <c r="O917" i="7"/>
  <c r="O1020" i="7"/>
  <c r="O798" i="7"/>
  <c r="O2223" i="7"/>
  <c r="O2136" i="7"/>
  <c r="O954" i="7"/>
  <c r="O1264" i="7"/>
  <c r="O1534" i="7"/>
  <c r="O1227" i="7"/>
  <c r="O1170" i="7"/>
  <c r="O1411" i="7"/>
  <c r="O2042" i="7"/>
  <c r="O1457" i="7"/>
  <c r="O638" i="7"/>
  <c r="O1102" i="7"/>
  <c r="O2039" i="7"/>
  <c r="O819" i="7"/>
  <c r="O435" i="7"/>
  <c r="O1379" i="7"/>
  <c r="O1404" i="7"/>
  <c r="O1664" i="7"/>
  <c r="O1443" i="7"/>
  <c r="O1232" i="7"/>
  <c r="O1024" i="7"/>
  <c r="O1928" i="7"/>
  <c r="O1874" i="7"/>
  <c r="O829" i="7"/>
  <c r="O659" i="7"/>
  <c r="O699" i="7"/>
  <c r="O707" i="7"/>
  <c r="O486" i="7"/>
  <c r="O1513" i="7"/>
  <c r="O1821" i="7"/>
  <c r="O1800" i="7"/>
  <c r="O2127" i="7"/>
  <c r="O1850" i="7"/>
  <c r="O1418" i="7"/>
  <c r="O927" i="7"/>
  <c r="O1136" i="7"/>
  <c r="O1446" i="7"/>
  <c r="O555" i="7"/>
  <c r="O263" i="7"/>
  <c r="O509" i="7"/>
  <c r="O1453" i="7"/>
  <c r="O1438" i="7"/>
  <c r="O1061" i="7"/>
  <c r="O1176" i="7"/>
  <c r="O1206" i="7"/>
  <c r="O2212" i="7"/>
  <c r="O1767" i="7"/>
  <c r="O540" i="7"/>
  <c r="O928" i="7"/>
  <c r="O872" i="7"/>
  <c r="O665" i="7"/>
  <c r="O817" i="7"/>
  <c r="O867" i="7"/>
  <c r="O1555" i="7"/>
  <c r="O1343" i="7"/>
  <c r="O2154" i="7"/>
  <c r="O1212" i="7"/>
  <c r="O575" i="7"/>
  <c r="O1094" i="7"/>
  <c r="O777" i="7"/>
  <c r="O1086" i="7"/>
  <c r="O1148" i="7"/>
  <c r="O1226" i="7"/>
  <c r="O1521" i="7"/>
  <c r="O535" i="7"/>
  <c r="O2043" i="7"/>
  <c r="O876" i="7"/>
  <c r="O711" i="7"/>
  <c r="O742" i="7"/>
  <c r="O843" i="7"/>
  <c r="O1708" i="7"/>
  <c r="O1241" i="7"/>
  <c r="O131" i="7"/>
  <c r="O1887" i="7"/>
  <c r="O915" i="7"/>
  <c r="O2007" i="7"/>
  <c r="O1080" i="7"/>
  <c r="O948" i="7"/>
  <c r="O1319" i="7"/>
  <c r="O673" i="7"/>
  <c r="O1207" i="7"/>
  <c r="O733" i="7"/>
  <c r="O1655" i="7"/>
  <c r="O1423" i="7"/>
  <c r="O1564" i="7"/>
  <c r="O2091" i="7"/>
  <c r="O1598" i="7"/>
  <c r="O1737" i="7"/>
  <c r="O669" i="7"/>
  <c r="O622" i="7"/>
  <c r="O1304" i="7"/>
  <c r="O1840" i="7"/>
  <c r="O1359" i="7"/>
  <c r="O451" i="7"/>
  <c r="O413" i="7"/>
  <c r="O650" i="7"/>
  <c r="O682" i="7"/>
  <c r="O2024" i="7"/>
  <c r="O1791" i="7"/>
  <c r="O2141" i="7"/>
  <c r="O1829" i="7"/>
  <c r="O490" i="7"/>
  <c r="O293" i="7"/>
  <c r="O1727" i="7"/>
  <c r="O1924" i="7"/>
  <c r="O1328" i="7"/>
  <c r="O691" i="7"/>
  <c r="O1600" i="7"/>
  <c r="O258" i="7"/>
  <c r="O717" i="7"/>
  <c r="O1255" i="7"/>
  <c r="O1954" i="7"/>
  <c r="O1177" i="7"/>
  <c r="O2087" i="7"/>
  <c r="O1209" i="7"/>
  <c r="O2088" i="7"/>
  <c r="O1334" i="7"/>
  <c r="O1667" i="7"/>
  <c r="O644" i="7"/>
  <c r="O1313" i="7"/>
  <c r="O728" i="7"/>
  <c r="O609" i="7"/>
  <c r="O808" i="7"/>
  <c r="O2225" i="7"/>
  <c r="O735" i="7"/>
  <c r="O652" i="7"/>
  <c r="O1543" i="7"/>
  <c r="O751" i="7"/>
  <c r="O792" i="7"/>
  <c r="O914" i="7"/>
  <c r="O897" i="7"/>
  <c r="O873" i="7"/>
  <c r="O1073" i="7"/>
  <c r="O1586" i="7"/>
  <c r="O1145" i="7"/>
  <c r="O1128" i="7"/>
  <c r="O1582" i="7"/>
  <c r="O2279" i="7"/>
  <c r="O656" i="7"/>
  <c r="O592" i="7"/>
  <c r="O766" i="7"/>
  <c r="O2278" i="7"/>
  <c r="O315" i="7"/>
  <c r="O380" i="7"/>
  <c r="O461" i="7"/>
  <c r="O343" i="7"/>
  <c r="O1512" i="7"/>
  <c r="O1570" i="7"/>
  <c r="O1643" i="7"/>
  <c r="O1757" i="7"/>
  <c r="O1400" i="7"/>
  <c r="O1580" i="7"/>
  <c r="O1348" i="7"/>
  <c r="O239" i="7"/>
  <c r="O651" i="7"/>
  <c r="O1388" i="7"/>
  <c r="O1361" i="7"/>
  <c r="O1435" i="7"/>
  <c r="O1589" i="7"/>
  <c r="O1970" i="7"/>
  <c r="O1049" i="7"/>
  <c r="O522" i="7"/>
  <c r="O598" i="7"/>
  <c r="O336" i="7"/>
  <c r="O2244" i="7"/>
  <c r="O2248" i="7"/>
  <c r="O2118" i="7"/>
  <c r="O402" i="7"/>
  <c r="O329" i="7"/>
  <c r="O248" i="7"/>
  <c r="O518" i="7"/>
  <c r="O235" i="7"/>
  <c r="O234" i="7"/>
  <c r="O1173" i="7"/>
  <c r="O1166" i="7"/>
  <c r="O2164" i="7"/>
  <c r="O1450" i="7"/>
  <c r="O276" i="7"/>
  <c r="O553" i="7"/>
  <c r="O374" i="7"/>
  <c r="O688" i="7"/>
  <c r="O546" i="7"/>
  <c r="O1541" i="7"/>
  <c r="O321" i="7"/>
  <c r="O637" i="7"/>
  <c r="O761" i="7"/>
  <c r="O617" i="7"/>
  <c r="O802" i="7"/>
  <c r="O2116" i="7"/>
  <c r="O573" i="7"/>
  <c r="O704" i="7"/>
  <c r="O1810" i="7"/>
  <c r="O886" i="7"/>
  <c r="O2143" i="7"/>
  <c r="O400" i="7"/>
  <c r="O377" i="7"/>
  <c r="O613" i="7"/>
  <c r="O1862" i="7"/>
  <c r="O1137" i="7"/>
  <c r="O478" i="7"/>
  <c r="O868" i="7"/>
  <c r="O2081" i="7"/>
  <c r="O849" i="7"/>
  <c r="O1740" i="7"/>
  <c r="O1692" i="7"/>
  <c r="O667" i="7"/>
  <c r="O2233" i="7"/>
  <c r="O2250" i="7"/>
  <c r="O2133" i="7"/>
  <c r="O1369" i="7"/>
  <c r="O590" i="7"/>
  <c r="O720" i="7"/>
  <c r="O795" i="7"/>
  <c r="O883" i="7"/>
  <c r="O1037" i="7"/>
  <c r="O1786" i="7"/>
  <c r="O1442" i="7"/>
  <c r="O823" i="7"/>
  <c r="O737" i="7"/>
  <c r="O1629" i="7"/>
  <c r="O1394" i="7"/>
  <c r="O1775" i="7"/>
  <c r="O1671" i="7"/>
  <c r="O422" i="7"/>
  <c r="O326" i="7"/>
  <c r="O1754" i="7"/>
  <c r="O1419" i="7"/>
  <c r="O827" i="7"/>
  <c r="O1027" i="7"/>
  <c r="O1599" i="7"/>
  <c r="O1904" i="7"/>
  <c r="O1785" i="7"/>
  <c r="O510" i="7"/>
  <c r="O256" i="7"/>
  <c r="O198" i="7"/>
  <c r="O334" i="7"/>
  <c r="O344" i="7"/>
  <c r="O494" i="7"/>
  <c r="O1069" i="7"/>
  <c r="O2273" i="7"/>
  <c r="O810" i="7"/>
  <c r="O908" i="7"/>
  <c r="O241" i="7"/>
  <c r="O556" i="7"/>
  <c r="O641" i="7"/>
  <c r="O980" i="7"/>
  <c r="O1519" i="7"/>
  <c r="O938" i="7"/>
  <c r="O813" i="7"/>
  <c r="O698" i="7"/>
  <c r="O784" i="7"/>
  <c r="O635" i="7"/>
  <c r="O1125" i="7"/>
  <c r="O379" i="7"/>
  <c r="O115" i="7"/>
  <c r="O308" i="7"/>
  <c r="O2256" i="7"/>
  <c r="O1439" i="7"/>
  <c r="O438" i="7"/>
  <c r="O142" i="7"/>
  <c r="O504" i="7"/>
  <c r="O1138" i="7"/>
  <c r="O1758" i="7"/>
  <c r="O2214" i="7"/>
  <c r="O1926" i="7"/>
  <c r="O2219" i="7"/>
  <c r="O1729" i="7"/>
  <c r="O890" i="7"/>
  <c r="O488" i="7"/>
  <c r="O1816" i="7"/>
  <c r="O2077" i="7"/>
  <c r="O1161" i="7"/>
  <c r="O722" i="7"/>
  <c r="O983" i="7"/>
  <c r="O1083" i="7"/>
  <c r="O959" i="7"/>
  <c r="O1013" i="7"/>
  <c r="O1384" i="7"/>
  <c r="O1183" i="7"/>
  <c r="O458" i="7"/>
  <c r="O2270" i="7"/>
  <c r="O654" i="7"/>
  <c r="O1717" i="7"/>
  <c r="O358" i="7"/>
  <c r="O2047" i="7"/>
  <c r="O2100" i="7"/>
  <c r="O1802" i="7"/>
  <c r="O1916" i="7"/>
  <c r="O1475" i="7"/>
  <c r="O2194" i="7"/>
  <c r="O570" i="7"/>
  <c r="O1554" i="7"/>
  <c r="O1604" i="7"/>
  <c r="O345" i="7"/>
  <c r="O729" i="7"/>
  <c r="O2258" i="7"/>
  <c r="O1201" i="7"/>
  <c r="O1121" i="7"/>
  <c r="O393" i="7"/>
  <c r="O725" i="7"/>
  <c r="O214" i="7"/>
  <c r="O892" i="7"/>
  <c r="O655" i="7"/>
  <c r="O889" i="7"/>
  <c r="O2241" i="7"/>
  <c r="O523" i="7"/>
  <c r="O275" i="7"/>
  <c r="O505" i="7"/>
  <c r="O373" i="7"/>
  <c r="O564" i="7"/>
  <c r="O679" i="7"/>
  <c r="O395" i="7"/>
  <c r="O1650" i="7"/>
  <c r="O299" i="7"/>
  <c r="O2120" i="7"/>
  <c r="O1417" i="7"/>
  <c r="O1444" i="7"/>
  <c r="O1698" i="7"/>
  <c r="O533" i="7"/>
  <c r="O1316" i="7"/>
  <c r="O1331" i="7"/>
  <c r="O905" i="7"/>
  <c r="O747" i="7"/>
  <c r="O705" i="7"/>
  <c r="O538" i="7"/>
  <c r="O1934" i="7"/>
  <c r="O2015" i="7"/>
  <c r="O2131" i="7"/>
  <c r="O1680" i="7"/>
  <c r="O743" i="7"/>
  <c r="O341" i="7"/>
  <c r="O1175" i="7"/>
  <c r="O1853" i="7"/>
  <c r="O1262" i="7"/>
  <c r="O1270" i="7"/>
  <c r="O1985" i="7"/>
  <c r="O375" i="7"/>
  <c r="O2266" i="7"/>
  <c r="O2267" i="7"/>
  <c r="O1805" i="7"/>
  <c r="O1848" i="7"/>
  <c r="O1657" i="7"/>
  <c r="O2083" i="7"/>
  <c r="O2086" i="7"/>
  <c r="O2099" i="7"/>
  <c r="O2056" i="7"/>
  <c r="O2090" i="7"/>
  <c r="O666" i="7"/>
  <c r="O1009" i="7"/>
  <c r="O443" i="7"/>
  <c r="O1901" i="7"/>
  <c r="O450" i="7"/>
  <c r="O417" i="7"/>
  <c r="O1103" i="7"/>
  <c r="O502" i="7"/>
  <c r="O2186" i="7"/>
  <c r="O1735" i="7"/>
  <c r="O935" i="7"/>
  <c r="O428" i="7"/>
  <c r="O2237" i="7"/>
  <c r="O353" i="7"/>
  <c r="O2062" i="7"/>
  <c r="O2211" i="7"/>
  <c r="O1890" i="7"/>
  <c r="O274" i="7"/>
  <c r="O861" i="7"/>
  <c r="O835" i="7"/>
  <c r="O922" i="7"/>
  <c r="O1152" i="7"/>
  <c r="O687" i="7"/>
  <c r="O946" i="7"/>
  <c r="O2234" i="7"/>
  <c r="O386" i="7"/>
  <c r="O797" i="7"/>
  <c r="O799" i="7"/>
  <c r="O1203" i="7"/>
  <c r="O257" i="7"/>
  <c r="O254" i="7"/>
  <c r="O1627" i="7"/>
  <c r="O856" i="7"/>
  <c r="O323" i="7"/>
  <c r="O1291" i="7"/>
  <c r="O1370" i="7"/>
  <c r="O1748" i="7"/>
  <c r="O643" i="7"/>
  <c r="O1395" i="7"/>
  <c r="O2172" i="7"/>
  <c r="O1535" i="7"/>
  <c r="O1847" i="7"/>
  <c r="O2193" i="7"/>
  <c r="O1058" i="7"/>
  <c r="O1191" i="7"/>
  <c r="O359" i="7"/>
  <c r="O2183" i="7"/>
  <c r="O1773" i="7"/>
  <c r="O1025" i="7"/>
  <c r="O702" i="7"/>
  <c r="O357" i="7"/>
  <c r="O306" i="7"/>
  <c r="O931" i="7"/>
  <c r="O1462" i="7"/>
  <c r="O692" i="7"/>
  <c r="O568" i="7"/>
  <c r="O1880" i="7"/>
  <c r="O128" i="7"/>
  <c r="O1126" i="7"/>
  <c r="O1658" i="7"/>
  <c r="O253" i="7"/>
  <c r="O831" i="7"/>
  <c r="O718" i="7"/>
  <c r="O2272" i="7"/>
  <c r="O1633" i="7"/>
  <c r="O1051" i="7"/>
  <c r="O2228" i="7"/>
  <c r="O1644" i="7"/>
  <c r="O1906" i="7"/>
  <c r="O2122" i="7"/>
  <c r="O2268" i="7"/>
  <c r="O2195" i="7"/>
  <c r="O554" i="7"/>
  <c r="O1885" i="7"/>
  <c r="O1398" i="7"/>
  <c r="O1008" i="7"/>
  <c r="O1275" i="7"/>
  <c r="O1092" i="7"/>
  <c r="O2123" i="7"/>
  <c r="O279" i="7"/>
  <c r="O391" i="7"/>
  <c r="O503" i="7"/>
  <c r="O404" i="7"/>
  <c r="O1042" i="7"/>
  <c r="O881" i="7"/>
  <c r="O1376" i="7"/>
  <c r="O1412" i="7"/>
  <c r="O2073" i="7"/>
  <c r="O1768" i="7"/>
  <c r="O860" i="7"/>
  <c r="O634" i="7"/>
  <c r="O398" i="7"/>
  <c r="O694" i="7"/>
  <c r="O2045" i="7"/>
  <c r="O477" i="7"/>
  <c r="O1018" i="7"/>
  <c r="O2190" i="7"/>
  <c r="O1171" i="7"/>
  <c r="O746" i="7"/>
  <c r="O1380" i="7"/>
  <c r="O432" i="7"/>
  <c r="O1381" i="7"/>
  <c r="O280" i="7"/>
  <c r="O302" i="7"/>
  <c r="O243" i="7"/>
  <c r="O406" i="7"/>
  <c r="O714" i="7"/>
  <c r="O937" i="7"/>
  <c r="O2080" i="7"/>
  <c r="O1053" i="7"/>
  <c r="O2162" i="7"/>
  <c r="O1843" i="7"/>
  <c r="O2148" i="7"/>
  <c r="O1281" i="7"/>
  <c r="O1670" i="7"/>
  <c r="O750" i="7"/>
  <c r="O545" i="7"/>
  <c r="O586" i="7"/>
  <c r="O1374" i="7"/>
  <c r="O953" i="7"/>
  <c r="O847" i="7"/>
  <c r="O904" i="7"/>
  <c r="O672" i="7"/>
  <c r="O712" i="7"/>
  <c r="O869" i="7"/>
  <c r="O855" i="7"/>
  <c r="O2175" i="7"/>
  <c r="O1624" i="7"/>
  <c r="O1851" i="7"/>
  <c r="O2277" i="7"/>
  <c r="O863" i="7"/>
  <c r="O2227" i="7"/>
  <c r="O870" i="7"/>
  <c r="O2246" i="7"/>
  <c r="O1897" i="7"/>
  <c r="O1776" i="7"/>
  <c r="O1479" i="7"/>
  <c r="O1000" i="7"/>
  <c r="O1390" i="7"/>
  <c r="O910" i="7"/>
  <c r="O291" i="7"/>
  <c r="O1122" i="7"/>
  <c r="O1003" i="7"/>
  <c r="O515" i="7"/>
  <c r="O1410" i="7"/>
  <c r="O1505" i="7"/>
  <c r="O1907" i="7"/>
  <c r="O1679" i="7"/>
  <c r="O1837" i="7"/>
  <c r="O685" i="7"/>
  <c r="O1399" i="7"/>
  <c r="O1782" i="7"/>
  <c r="O2253" i="7"/>
  <c r="O99" i="7"/>
  <c r="O1454" i="7"/>
  <c r="O117" i="7"/>
  <c r="O1495" i="7"/>
  <c r="O416" i="7"/>
  <c r="O392" i="7"/>
  <c r="O1616" i="7"/>
  <c r="O2178" i="7"/>
  <c r="O1315" i="7"/>
  <c r="O1714" i="7"/>
  <c r="O1383" i="7"/>
  <c r="O1623" i="7"/>
  <c r="O1861" i="7"/>
  <c r="O2112" i="7"/>
  <c r="O542" i="7"/>
  <c r="O2265" i="7"/>
  <c r="O1407" i="7"/>
  <c r="O68" i="7"/>
  <c r="O2085" i="7"/>
  <c r="O466" i="7"/>
  <c r="O853" i="7"/>
  <c r="O558" i="7"/>
  <c r="O1930" i="7"/>
  <c r="O2064" i="7"/>
  <c r="O238" i="7"/>
  <c r="O2078" i="7"/>
  <c r="O1638" i="7"/>
  <c r="O981" i="7"/>
  <c r="O501" i="7"/>
  <c r="O390" i="7"/>
  <c r="O1022" i="7"/>
  <c r="O786" i="7"/>
  <c r="O17" i="7"/>
  <c r="O1772" i="7"/>
  <c r="O1558" i="7"/>
  <c r="O709" i="7"/>
  <c r="O309" i="7"/>
  <c r="O1490" i="7"/>
  <c r="O1592" i="7"/>
  <c r="O1753" i="7"/>
  <c r="O1467" i="7"/>
  <c r="O2114" i="7"/>
  <c r="O2275" i="7"/>
  <c r="O1386" i="7"/>
  <c r="O2029" i="7"/>
  <c r="O2188" i="7"/>
  <c r="O1385" i="7"/>
  <c r="O696" i="7"/>
  <c r="O514" i="7"/>
  <c r="O407" i="7"/>
  <c r="O397" i="7"/>
  <c r="O378" i="7"/>
  <c r="O2106" i="7"/>
  <c r="O1846" i="7"/>
  <c r="O2206" i="7"/>
  <c r="O1760" i="7"/>
  <c r="O2132" i="7"/>
  <c r="O1981" i="7"/>
  <c r="O1962" i="7"/>
  <c r="O1830" i="7"/>
  <c r="O2117" i="7"/>
  <c r="O1814" i="7"/>
  <c r="O1192" i="7"/>
  <c r="O1406" i="7"/>
  <c r="O1563" i="7"/>
  <c r="O1464" i="7"/>
  <c r="O539" i="7"/>
  <c r="O1445" i="7"/>
  <c r="O1883" i="7"/>
  <c r="O2005" i="7"/>
  <c r="O2242" i="7"/>
  <c r="O15" i="7"/>
  <c r="O2261" i="7"/>
  <c r="O2189" i="7"/>
  <c r="O991" i="7"/>
  <c r="O365" i="7"/>
  <c r="O364" i="7"/>
  <c r="O939" i="7"/>
  <c r="O286" i="7"/>
  <c r="O1447" i="7"/>
  <c r="O920" i="7"/>
  <c r="O1974" i="7"/>
  <c r="O2221" i="7"/>
  <c r="O1844" i="7"/>
  <c r="O2262" i="7"/>
  <c r="O1142" i="7"/>
  <c r="O1259" i="7"/>
  <c r="O957" i="7"/>
  <c r="O629" i="7"/>
  <c r="O1246" i="7"/>
  <c r="O1159" i="7"/>
  <c r="O1982" i="7"/>
  <c r="O1339" i="7"/>
  <c r="O496" i="7"/>
  <c r="O1391" i="7"/>
  <c r="O2252" i="7"/>
  <c r="O204" i="7"/>
  <c r="O405" i="7"/>
  <c r="O2281" i="7"/>
  <c r="O2187" i="7"/>
  <c r="O1196" i="7"/>
  <c r="O785" i="7"/>
  <c r="O2271" i="7"/>
  <c r="O2145" i="7"/>
  <c r="O1538" i="7"/>
  <c r="O1257" i="7"/>
  <c r="O2156" i="7"/>
  <c r="O232" i="7"/>
  <c r="O2259" i="7"/>
  <c r="O2264" i="7"/>
  <c r="O370" i="7"/>
  <c r="O1631" i="7"/>
  <c r="O2036" i="7"/>
  <c r="O1458" i="7"/>
  <c r="O2102" i="7"/>
  <c r="O2021" i="7"/>
  <c r="O476" i="7"/>
  <c r="O1672" i="7"/>
  <c r="O1641" i="7"/>
  <c r="O934" i="7"/>
  <c r="O2230" i="7"/>
  <c r="O1311" i="7"/>
  <c r="O2069" i="7"/>
  <c r="O893" i="7"/>
  <c r="O1733" i="7"/>
  <c r="O2235" i="7"/>
  <c r="O833" i="7"/>
  <c r="O1216" i="7"/>
  <c r="O292" i="7"/>
  <c r="O2218" i="7"/>
  <c r="O1635" i="7"/>
  <c r="O1110" i="7"/>
  <c r="O745" i="7"/>
  <c r="O2153" i="7"/>
  <c r="O537" i="7"/>
  <c r="O2251" i="7"/>
  <c r="O1154" i="7"/>
  <c r="O342" i="7"/>
  <c r="O1866" i="7"/>
  <c r="O2274" i="7"/>
  <c r="O620" i="7"/>
  <c r="O633" i="7"/>
  <c r="O307" i="7"/>
  <c r="O489" i="7"/>
  <c r="O1864" i="7"/>
  <c r="O481" i="7"/>
  <c r="O1321" i="7"/>
  <c r="O715" i="7"/>
  <c r="O8" i="7"/>
  <c r="O924" i="7"/>
  <c r="O1303" i="7"/>
  <c r="O2257" i="7"/>
  <c r="O812" i="7"/>
  <c r="O2215" i="7"/>
  <c r="O305" i="7"/>
  <c r="O43" i="7"/>
  <c r="O2103" i="7"/>
  <c r="O583" i="7"/>
  <c r="O2283" i="7"/>
  <c r="O301" i="7"/>
  <c r="O1587" i="7"/>
  <c r="O1139" i="7"/>
  <c r="O1987" i="7"/>
  <c r="O1099" i="7"/>
  <c r="O1832" i="7"/>
  <c r="O1327" i="7"/>
  <c r="O1865" i="7"/>
  <c r="O1867" i="7"/>
  <c r="O1002" i="7"/>
  <c r="O1312" i="7"/>
  <c r="O2280" i="7"/>
  <c r="O2092" i="7"/>
  <c r="O2101" i="7"/>
  <c r="O2232" i="7"/>
  <c r="O681" i="7"/>
  <c r="O1396" i="7"/>
  <c r="O2276" i="7"/>
  <c r="O909" i="7"/>
  <c r="O2260" i="7"/>
  <c r="O310" i="7"/>
  <c r="O2108" i="7"/>
  <c r="O367" i="7"/>
  <c r="O852" i="7"/>
  <c r="O1967" i="7"/>
  <c r="O11" i="7"/>
  <c r="O701" i="7"/>
  <c r="O1854" i="7"/>
  <c r="O1820" i="7"/>
  <c r="O732" i="7"/>
  <c r="O2207" i="7"/>
  <c r="D11" i="7"/>
  <c r="C11" i="7" s="1"/>
  <c r="AR11" i="7" s="1"/>
  <c r="D701" i="7"/>
  <c r="C701" i="7" s="1"/>
  <c r="AR701" i="7" s="1"/>
  <c r="D1854" i="7"/>
  <c r="C1854" i="7" s="1"/>
  <c r="AR1854" i="7" s="1"/>
  <c r="D1820" i="7"/>
  <c r="C1820" i="7" s="1"/>
  <c r="AR1820" i="7" s="1"/>
  <c r="D732" i="7"/>
  <c r="C732" i="7" s="1"/>
  <c r="AR732" i="7" s="1"/>
  <c r="D2207" i="7"/>
  <c r="C2207" i="7" s="1"/>
  <c r="AR2207" i="7" s="1"/>
  <c r="D1967" i="7"/>
  <c r="C1967" i="7" s="1"/>
  <c r="AR1967" i="7" s="1"/>
  <c r="C696" i="7"/>
  <c r="AR696" i="7" s="1"/>
  <c r="C893" i="7"/>
  <c r="AR893" i="7" s="1"/>
  <c r="C204" i="7"/>
  <c r="AR204" i="7" s="1"/>
  <c r="C108" i="7"/>
  <c r="AR108" i="7" s="1"/>
  <c r="C100" i="7"/>
  <c r="AR100" i="7" s="1"/>
  <c r="C102" i="7"/>
  <c r="AR102" i="7" s="1"/>
  <c r="C109" i="7"/>
  <c r="AR109" i="7" s="1"/>
  <c r="C107" i="7"/>
  <c r="AR107" i="7" s="1"/>
  <c r="C105" i="7"/>
  <c r="AR105" i="7" s="1"/>
  <c r="C104" i="7"/>
  <c r="AR104" i="7" s="1"/>
  <c r="C111" i="7"/>
  <c r="AR111" i="7" s="1"/>
  <c r="C112" i="7"/>
  <c r="AR112" i="7" s="1"/>
  <c r="C103" i="7"/>
  <c r="AR103" i="7" s="1"/>
  <c r="C101" i="7"/>
  <c r="AR101" i="7" s="1"/>
  <c r="C110" i="7"/>
  <c r="AR110" i="7" s="1"/>
  <c r="C96" i="7"/>
  <c r="AR96" i="7" s="1"/>
  <c r="C97" i="7"/>
  <c r="AR97" i="7" s="1"/>
  <c r="C92" i="7"/>
  <c r="AR92" i="7" s="1"/>
  <c r="C88" i="7"/>
  <c r="AR88" i="7" s="1"/>
  <c r="C87" i="7"/>
  <c r="AR87" i="7" s="1"/>
  <c r="C89" i="7"/>
  <c r="AR89" i="7" s="1"/>
  <c r="C91" i="7"/>
  <c r="AR91" i="7" s="1"/>
  <c r="C80" i="7"/>
  <c r="AR80" i="7" s="1"/>
  <c r="C82" i="7"/>
  <c r="AR82" i="7" s="1"/>
  <c r="C94" i="7"/>
  <c r="AR94" i="7" s="1"/>
  <c r="C52" i="7"/>
  <c r="AR52" i="7" s="1"/>
  <c r="C50" i="7"/>
  <c r="AR50" i="7" s="1"/>
  <c r="C48" i="7"/>
  <c r="AR48" i="7" s="1"/>
  <c r="C51" i="7"/>
  <c r="AR51" i="7" s="1"/>
  <c r="C90" i="7"/>
  <c r="AR90" i="7" s="1"/>
  <c r="C79" i="7"/>
  <c r="AR79" i="7" s="1"/>
  <c r="C81" i="7"/>
  <c r="AR81" i="7" s="1"/>
  <c r="C93" i="7"/>
  <c r="AR93" i="7" s="1"/>
  <c r="C47" i="7"/>
  <c r="AR47" i="7" s="1"/>
  <c r="C46" i="7"/>
  <c r="AR46" i="7" s="1"/>
  <c r="C54" i="7"/>
  <c r="AR54" i="7" s="1"/>
  <c r="C53" i="7"/>
  <c r="AR53" i="7" s="1"/>
  <c r="C85" i="7"/>
  <c r="AR85" i="7" s="1"/>
  <c r="C83" i="7"/>
  <c r="AR83" i="7" s="1"/>
  <c r="C84" i="7"/>
  <c r="AR84" i="7" s="1"/>
  <c r="C86" i="7"/>
  <c r="AR86" i="7" s="1"/>
  <c r="C24" i="7"/>
  <c r="AR24" i="7" s="1"/>
  <c r="C25" i="7"/>
  <c r="AR25" i="7" s="1"/>
  <c r="C57" i="7"/>
  <c r="AR57" i="7" s="1"/>
  <c r="C59" i="7"/>
  <c r="AR59" i="7" s="1"/>
  <c r="C45" i="7"/>
  <c r="AR45" i="7" s="1"/>
  <c r="C44" i="7"/>
  <c r="AR44" i="7" s="1"/>
  <c r="C58" i="7"/>
  <c r="AR58" i="7" s="1"/>
  <c r="C56" i="7"/>
  <c r="AR56" i="7" s="1"/>
  <c r="C2123" i="7"/>
  <c r="AR2123" i="7" s="1"/>
  <c r="C709" i="7"/>
  <c r="AR709" i="7" s="1"/>
  <c r="C428" i="7"/>
  <c r="AR428" i="7" s="1"/>
  <c r="C1404" i="7"/>
  <c r="AR1404" i="7" s="1"/>
  <c r="C514" i="7"/>
  <c r="AR514" i="7" s="1"/>
  <c r="C2237" i="7"/>
  <c r="AR2237" i="7" s="1"/>
  <c r="C314" i="7"/>
  <c r="AR314" i="7" s="1"/>
  <c r="C313" i="7"/>
  <c r="AR313" i="7" s="1"/>
  <c r="C366" i="7"/>
  <c r="AR366" i="7" s="1"/>
  <c r="C1464" i="7"/>
  <c r="AR1464" i="7" s="1"/>
  <c r="C1373" i="7"/>
  <c r="AR1373" i="7" s="1"/>
  <c r="C1756" i="7"/>
  <c r="AR1756" i="7" s="1"/>
  <c r="C1687" i="7"/>
  <c r="AR1687" i="7" s="1"/>
  <c r="C1759" i="7"/>
  <c r="AR1759" i="7" s="1"/>
  <c r="C1803" i="7"/>
  <c r="AR1803" i="7" s="1"/>
  <c r="C1722" i="7"/>
  <c r="AR1722" i="7" s="1"/>
  <c r="C1766" i="7"/>
  <c r="AR1766" i="7" s="1"/>
  <c r="C1845" i="7"/>
  <c r="C1514" i="7"/>
  <c r="AR1514" i="7" s="1"/>
  <c r="C1628" i="7"/>
  <c r="AR1628" i="7" s="1"/>
  <c r="C384" i="7"/>
  <c r="AR384" i="7" s="1"/>
  <c r="C385" i="7"/>
  <c r="AR385" i="7" s="1"/>
  <c r="C382" i="7"/>
  <c r="AR382" i="7" s="1"/>
  <c r="C381" i="7"/>
  <c r="AR381" i="7" s="1"/>
  <c r="C410" i="7"/>
  <c r="AR410" i="7" s="1"/>
  <c r="C408" i="7"/>
  <c r="AR408" i="7" s="1"/>
  <c r="C270" i="7"/>
  <c r="AR270" i="7" s="1"/>
  <c r="C284" i="7"/>
  <c r="AR284" i="7" s="1"/>
  <c r="C259" i="7"/>
  <c r="AR259" i="7" s="1"/>
  <c r="C269" i="7"/>
  <c r="AR269" i="7" s="1"/>
  <c r="C307" i="7"/>
  <c r="AR307" i="7" s="1"/>
  <c r="C405" i="7"/>
  <c r="AR405" i="7" s="1"/>
  <c r="C244" i="7"/>
  <c r="AR244" i="7" s="1"/>
  <c r="C260" i="7"/>
  <c r="AR260" i="7" s="1"/>
  <c r="C229" i="7"/>
  <c r="AR229" i="7" s="1"/>
  <c r="C210" i="7"/>
  <c r="AR210" i="7" s="1"/>
  <c r="C201" i="7"/>
  <c r="AR201" i="7" s="1"/>
  <c r="C209" i="7"/>
  <c r="AR209" i="7" s="1"/>
  <c r="C200" i="7"/>
  <c r="AR200" i="7" s="1"/>
  <c r="C223" i="7"/>
  <c r="AR223" i="7" s="1"/>
  <c r="C159" i="7"/>
  <c r="AR159" i="7" s="1"/>
  <c r="C160" i="7"/>
  <c r="AR160" i="7" s="1"/>
  <c r="C193" i="7"/>
  <c r="AR193" i="7" s="1"/>
  <c r="C189" i="7"/>
  <c r="AR189" i="7" s="1"/>
  <c r="C187" i="7"/>
  <c r="AR187" i="7" s="1"/>
  <c r="C196" i="7"/>
  <c r="AR196" i="7" s="1"/>
  <c r="C186" i="7"/>
  <c r="AR186" i="7" s="1"/>
  <c r="C195" i="7"/>
  <c r="AR195" i="7" s="1"/>
  <c r="C197" i="7"/>
  <c r="AR197" i="7" s="1"/>
  <c r="C126" i="7"/>
  <c r="AR126" i="7" s="1"/>
  <c r="C194" i="7"/>
  <c r="AR194" i="7" s="1"/>
  <c r="C125" i="7"/>
  <c r="AR125" i="7" s="1"/>
  <c r="C192" i="7"/>
  <c r="AR192" i="7" s="1"/>
  <c r="C1611" i="7"/>
  <c r="AR1611" i="7" s="1"/>
  <c r="C1654" i="7"/>
  <c r="AR1654" i="7" s="1"/>
  <c r="C1526" i="7"/>
  <c r="AR1526" i="7" s="1"/>
  <c r="C74" i="7"/>
  <c r="AR74" i="7" s="1"/>
  <c r="C75" i="7"/>
  <c r="AR75" i="7" s="1"/>
  <c r="C77" i="7"/>
  <c r="AR77" i="7" s="1"/>
  <c r="C73" i="7"/>
  <c r="AR73" i="7" s="1"/>
  <c r="C72" i="7"/>
  <c r="AR72" i="7" s="1"/>
  <c r="C71" i="7"/>
  <c r="AR71" i="7" s="1"/>
  <c r="C76" i="7"/>
  <c r="AR76" i="7" s="1"/>
  <c r="C26" i="7"/>
  <c r="AR26" i="7" s="1"/>
  <c r="C27" i="7"/>
  <c r="AR27" i="7" s="1"/>
  <c r="C28" i="7"/>
  <c r="AR28" i="7" s="1"/>
  <c r="C29" i="7"/>
  <c r="AR29" i="7" s="1"/>
  <c r="C30" i="7"/>
  <c r="AR30" i="7" s="1"/>
  <c r="C31" i="7"/>
  <c r="AR31" i="7" s="1"/>
  <c r="C32" i="7"/>
  <c r="AR32" i="7" s="1"/>
  <c r="C33" i="7"/>
  <c r="AR33" i="7" s="1"/>
  <c r="C34" i="7"/>
  <c r="AR34" i="7" s="1"/>
  <c r="C35" i="7"/>
  <c r="AR35" i="7" s="1"/>
  <c r="C36" i="7"/>
  <c r="AR36" i="7" s="1"/>
  <c r="C37" i="7"/>
  <c r="AR37" i="7" s="1"/>
  <c r="C38" i="7"/>
  <c r="AR38" i="7" s="1"/>
  <c r="C39" i="7"/>
  <c r="AR39" i="7" s="1"/>
  <c r="C40" i="7"/>
  <c r="AR40" i="7" s="1"/>
  <c r="C41" i="7"/>
  <c r="AR41" i="7" s="1"/>
  <c r="C279" i="7"/>
  <c r="AR279" i="7" s="1"/>
  <c r="C291" i="7"/>
  <c r="AR291" i="7" s="1"/>
  <c r="C114" i="7"/>
  <c r="AR114" i="7" s="1"/>
  <c r="C353" i="7"/>
  <c r="AR353" i="7" s="1"/>
  <c r="C280" i="7"/>
  <c r="AR280" i="7" s="1"/>
  <c r="C302" i="7"/>
  <c r="AR302" i="7" s="1"/>
  <c r="C407" i="7"/>
  <c r="AR407" i="7" s="1"/>
  <c r="C391" i="7"/>
  <c r="AR391" i="7" s="1"/>
  <c r="C357" i="7"/>
  <c r="AR357" i="7" s="1"/>
  <c r="C306" i="7"/>
  <c r="AR306" i="7" s="1"/>
  <c r="C243" i="7"/>
  <c r="AR243" i="7" s="1"/>
  <c r="C503" i="7"/>
  <c r="AR503" i="7" s="1"/>
  <c r="C292" i="7"/>
  <c r="AR292" i="7" s="1"/>
  <c r="C1321" i="7"/>
  <c r="AR1321" i="7" s="1"/>
  <c r="C285" i="7"/>
  <c r="AR285" i="7" s="1"/>
  <c r="C282" i="7"/>
  <c r="AR282" i="7" s="1"/>
  <c r="C283" i="7"/>
  <c r="AR283" i="7" s="1"/>
  <c r="C271" i="7"/>
  <c r="AR271" i="7" s="1"/>
  <c r="C451" i="7"/>
  <c r="AR451" i="7" s="1"/>
  <c r="C365" i="7"/>
  <c r="AR365" i="7" s="1"/>
  <c r="C3" i="7"/>
  <c r="AR3" i="7" s="1"/>
  <c r="C137" i="7"/>
  <c r="AR137" i="7" s="1"/>
  <c r="C4" i="7"/>
  <c r="AR4" i="7" s="1"/>
  <c r="C139" i="7"/>
  <c r="AR139" i="7" s="1"/>
  <c r="C6" i="7"/>
  <c r="AR6" i="7" s="1"/>
  <c r="C66" i="7"/>
  <c r="AR66" i="7" s="1"/>
  <c r="C5" i="7"/>
  <c r="AR5" i="7" s="1"/>
  <c r="C65" i="7"/>
  <c r="AR65" i="7" s="1"/>
  <c r="C191" i="7"/>
  <c r="AR191" i="7" s="1"/>
  <c r="C190" i="7"/>
  <c r="AR190" i="7" s="1"/>
  <c r="C409" i="7"/>
  <c r="AR409" i="7" s="1"/>
  <c r="C278" i="7"/>
  <c r="AR278" i="7" s="1"/>
  <c r="C404" i="7"/>
  <c r="AR404" i="7" s="1"/>
  <c r="C757" i="7"/>
  <c r="AR757" i="7" s="1"/>
  <c r="C1605" i="7"/>
  <c r="AR1605" i="7" s="1"/>
  <c r="C1500" i="7"/>
  <c r="AR1500" i="7" s="1"/>
  <c r="C1565" i="7"/>
  <c r="AR1565" i="7" s="1"/>
  <c r="C1427" i="7"/>
  <c r="AR1427" i="7" s="1"/>
  <c r="C1428" i="7"/>
  <c r="AR1428" i="7" s="1"/>
  <c r="C1797" i="7"/>
  <c r="AR1797" i="7" s="1"/>
  <c r="C312" i="7"/>
  <c r="AR312" i="7" s="1"/>
  <c r="C311" i="7"/>
  <c r="AR311" i="7" s="1"/>
  <c r="C476" i="7"/>
  <c r="AR476" i="7" s="1"/>
  <c r="C539" i="7"/>
  <c r="AR539" i="7" s="1"/>
  <c r="C364" i="7"/>
  <c r="AR364" i="7" s="1"/>
  <c r="C501" i="7"/>
  <c r="AR501" i="7" s="1"/>
  <c r="C406" i="7"/>
  <c r="AR406" i="7" s="1"/>
  <c r="C416" i="7"/>
  <c r="AR416" i="7" s="1"/>
  <c r="C309" i="7"/>
  <c r="AR309" i="7" s="1"/>
  <c r="C397" i="7"/>
  <c r="AR397" i="7" s="1"/>
  <c r="C392" i="7"/>
  <c r="AR392" i="7" s="1"/>
  <c r="C390" i="7"/>
  <c r="AR390" i="7" s="1"/>
  <c r="C383" i="7"/>
  <c r="AR383" i="7" s="1"/>
  <c r="C78" i="7"/>
  <c r="AR78" i="7" s="1"/>
  <c r="C301" i="7"/>
  <c r="AR301" i="7" s="1"/>
  <c r="C593" i="7"/>
  <c r="AR593" i="7" s="1"/>
  <c r="C246" i="7"/>
  <c r="AR246" i="7" s="1"/>
  <c r="C250" i="7"/>
  <c r="AR250" i="7" s="1"/>
  <c r="C1042" i="7"/>
  <c r="AR1042" i="7" s="1"/>
  <c r="C881" i="7"/>
  <c r="AR881" i="7" s="1"/>
  <c r="C1376" i="7"/>
  <c r="AR1376" i="7" s="1"/>
  <c r="C1752" i="7"/>
  <c r="AR1752" i="7" s="1"/>
  <c r="C801" i="7"/>
  <c r="AR801" i="7" s="1"/>
  <c r="C1134" i="7"/>
  <c r="AR1134" i="7" s="1"/>
  <c r="C838" i="7"/>
  <c r="AR838" i="7" s="1"/>
  <c r="C902" i="7"/>
  <c r="AR902" i="7" s="1"/>
  <c r="C612" i="7"/>
  <c r="AR612" i="7" s="1"/>
  <c r="C877" i="7"/>
  <c r="AR877" i="7" s="1"/>
  <c r="C625" i="7"/>
  <c r="AR625" i="7" s="1"/>
  <c r="C840" i="7"/>
  <c r="AR840" i="7" s="1"/>
  <c r="C595" i="7"/>
  <c r="AR595" i="7" s="1"/>
  <c r="C844" i="7"/>
  <c r="AR844" i="7" s="1"/>
  <c r="C721" i="7"/>
  <c r="AR721" i="7" s="1"/>
  <c r="C2176" i="7"/>
  <c r="AR2176" i="7" s="1"/>
  <c r="C885" i="7"/>
  <c r="AR885" i="7" s="1"/>
  <c r="C1151" i="7"/>
  <c r="AR1151" i="7" s="1"/>
  <c r="C795" i="7"/>
  <c r="AR795" i="7" s="1"/>
  <c r="C883" i="7"/>
  <c r="AR883" i="7" s="1"/>
  <c r="C803" i="7"/>
  <c r="AR803" i="7" s="1"/>
  <c r="C789" i="7"/>
  <c r="AR789" i="7" s="1"/>
  <c r="C839" i="7"/>
  <c r="AR839" i="7" s="1"/>
  <c r="C762" i="7"/>
  <c r="AR762" i="7" s="1"/>
  <c r="C1297" i="7"/>
  <c r="AR1297" i="7" s="1"/>
  <c r="C1224" i="7"/>
  <c r="AR1224" i="7" s="1"/>
  <c r="C1059" i="7"/>
  <c r="AR1059" i="7" s="1"/>
  <c r="C1265" i="7"/>
  <c r="AR1265" i="7" s="1"/>
  <c r="C1640" i="7"/>
  <c r="AR1640" i="7" s="1"/>
  <c r="C1197" i="7"/>
  <c r="AR1197" i="7" s="1"/>
  <c r="C1223" i="7"/>
  <c r="AR1223" i="7" s="1"/>
  <c r="C608" i="7"/>
  <c r="AR608" i="7" s="1"/>
  <c r="C413" i="7"/>
  <c r="AR413" i="7" s="1"/>
  <c r="C49" i="7"/>
  <c r="AR49" i="7" s="1"/>
  <c r="C674" i="7"/>
  <c r="AR674" i="7" s="1"/>
  <c r="C1144" i="7"/>
  <c r="AR1144" i="7" s="1"/>
  <c r="C1107" i="7"/>
  <c r="AR1107" i="7" s="1"/>
  <c r="C1063" i="7"/>
  <c r="AR1063" i="7" s="1"/>
  <c r="C1333" i="7"/>
  <c r="AR1333" i="7" s="1"/>
  <c r="C1031" i="7"/>
  <c r="AR1031" i="7" s="1"/>
  <c r="C1163" i="7"/>
  <c r="AR1163" i="7" s="1"/>
  <c r="C1238" i="7"/>
  <c r="AR1238" i="7" s="1"/>
  <c r="C1330" i="7"/>
  <c r="AR1330" i="7" s="1"/>
  <c r="C932" i="7"/>
  <c r="AR932" i="7" s="1"/>
  <c r="C1153" i="7"/>
  <c r="AR1153" i="7" s="1"/>
  <c r="C820" i="7"/>
  <c r="AR820" i="7" s="1"/>
  <c r="C1271" i="7"/>
  <c r="AR1271" i="7" s="1"/>
  <c r="C1364" i="7"/>
  <c r="AR1364" i="7" s="1"/>
  <c r="C1230" i="7"/>
  <c r="AR1230" i="7" s="1"/>
  <c r="C591" i="7"/>
  <c r="AR591" i="7" s="1"/>
  <c r="C726" i="7"/>
  <c r="AR726" i="7" s="1"/>
  <c r="C576" i="7"/>
  <c r="AR576" i="7" s="1"/>
  <c r="C596" i="7"/>
  <c r="AR596" i="7" s="1"/>
  <c r="C628" i="7"/>
  <c r="AR628" i="7" s="1"/>
  <c r="C899" i="7"/>
  <c r="AR899" i="7" s="1"/>
  <c r="C866" i="7"/>
  <c r="AR866" i="7" s="1"/>
  <c r="C828" i="7"/>
  <c r="AR828" i="7" s="1"/>
  <c r="C724" i="7"/>
  <c r="AR724" i="7" s="1"/>
  <c r="C2249" i="7"/>
  <c r="AR2249" i="7" s="1"/>
  <c r="C1808" i="7"/>
  <c r="AR1808" i="7" s="1"/>
  <c r="C1794" i="7"/>
  <c r="AR1794" i="7" s="1"/>
  <c r="C449" i="7"/>
  <c r="AR449" i="7" s="1"/>
  <c r="C447" i="7"/>
  <c r="AR447" i="7" s="1"/>
  <c r="C458" i="7"/>
  <c r="AR458" i="7" s="1"/>
  <c r="C1588" i="7"/>
  <c r="AR1588" i="7" s="1"/>
  <c r="C2160" i="7"/>
  <c r="AR2160" i="7" s="1"/>
  <c r="C1796" i="7"/>
  <c r="AR1796" i="7" s="1"/>
  <c r="C1836" i="7"/>
  <c r="AR1836" i="7" s="1"/>
  <c r="C1855" i="7"/>
  <c r="AR1855" i="7" s="1"/>
  <c r="C1101" i="7"/>
  <c r="C1292" i="7"/>
  <c r="AR1292" i="7" s="1"/>
  <c r="C1029" i="7"/>
  <c r="AR1029" i="7" s="1"/>
  <c r="C2281" i="7"/>
  <c r="AR2281" i="7" s="1"/>
  <c r="C2153" i="7"/>
  <c r="AR2153" i="7" s="1"/>
  <c r="C772" i="7"/>
  <c r="AR772" i="7" s="1"/>
  <c r="C2018" i="7"/>
  <c r="AR2018" i="7" s="1"/>
  <c r="C1472" i="7"/>
  <c r="AR1472" i="7" s="1"/>
  <c r="C1560" i="7"/>
  <c r="AR1560" i="7" s="1"/>
  <c r="C1222" i="7"/>
  <c r="AR1222" i="7" s="1"/>
  <c r="C957" i="7"/>
  <c r="AR957" i="7" s="1"/>
  <c r="C1167" i="7"/>
  <c r="AR1167" i="7" s="1"/>
  <c r="C1056" i="7"/>
  <c r="AR1056" i="7" s="1"/>
  <c r="C1190" i="7"/>
  <c r="AR1190" i="7" s="1"/>
  <c r="C1016" i="7"/>
  <c r="AR1016" i="7" s="1"/>
  <c r="C1504" i="7"/>
  <c r="AR1504" i="7" s="1"/>
  <c r="C1662" i="7"/>
  <c r="AR1662" i="7" s="1"/>
  <c r="C69" i="7"/>
  <c r="AR69" i="7" s="1"/>
  <c r="C940" i="7"/>
  <c r="AR940" i="7" s="1"/>
  <c r="C929" i="7"/>
  <c r="AR929" i="7" s="1"/>
  <c r="C562" i="7"/>
  <c r="AR562" i="7" s="1"/>
  <c r="C281" i="7"/>
  <c r="AR281" i="7" s="1"/>
  <c r="C2191" i="7"/>
  <c r="AR2191" i="7" s="1"/>
  <c r="C2052" i="7"/>
  <c r="AR2052" i="7" s="1"/>
  <c r="C1412" i="7"/>
  <c r="AR1412" i="7" s="1"/>
  <c r="C675" i="7"/>
  <c r="AR675" i="7" s="1"/>
  <c r="C650" i="7"/>
  <c r="AR650" i="7" s="1"/>
  <c r="C529" i="7"/>
  <c r="AR529" i="7" s="1"/>
  <c r="C597" i="7"/>
  <c r="AR597" i="7" s="1"/>
  <c r="C636" i="7"/>
  <c r="AR636" i="7" s="1"/>
  <c r="C446" i="7"/>
  <c r="AR446" i="7" s="1"/>
  <c r="C631" i="7"/>
  <c r="AR631" i="7" s="1"/>
  <c r="C1017" i="7"/>
  <c r="AR1017" i="7" s="1"/>
  <c r="C584" i="7"/>
  <c r="AR584" i="7" s="1"/>
  <c r="C600" i="7"/>
  <c r="AR600" i="7" s="1"/>
  <c r="C585" i="7"/>
  <c r="AR585" i="7" s="1"/>
  <c r="C594" i="7"/>
  <c r="AR594" i="7" s="1"/>
  <c r="C1260" i="7"/>
  <c r="AR1260" i="7" s="1"/>
  <c r="C14" i="7"/>
  <c r="AR14" i="7" s="1"/>
  <c r="C127" i="7"/>
  <c r="AR127" i="7" s="1"/>
  <c r="C134" i="7"/>
  <c r="AR134" i="7" s="1"/>
  <c r="C2270" i="7"/>
  <c r="AR2270" i="7" s="1"/>
  <c r="C2282" i="7"/>
  <c r="AR2282" i="7" s="1"/>
  <c r="C919" i="7"/>
  <c r="AR919" i="7" s="1"/>
  <c r="C1664" i="7"/>
  <c r="AR1664" i="7" s="1"/>
  <c r="C2062" i="7"/>
  <c r="AR2062" i="7" s="1"/>
  <c r="C826" i="7"/>
  <c r="AR826" i="7" s="1"/>
  <c r="C1060" i="7"/>
  <c r="AR1060" i="7" s="1"/>
  <c r="C1630" i="7"/>
  <c r="AR1630" i="7" s="1"/>
  <c r="C969" i="7"/>
  <c r="AR969" i="7" s="1"/>
  <c r="C1278" i="7"/>
  <c r="AR1278" i="7" s="1"/>
  <c r="C1054" i="7"/>
  <c r="AR1054" i="7" s="1"/>
  <c r="C1490" i="7"/>
  <c r="AR1490" i="7" s="1"/>
  <c r="C403" i="7"/>
  <c r="AR403" i="7" s="1"/>
  <c r="C1037" i="7"/>
  <c r="AR1037" i="7" s="1"/>
  <c r="C654" i="7"/>
  <c r="AR654" i="7" s="1"/>
  <c r="C1616" i="7"/>
  <c r="AR1616" i="7" s="1"/>
  <c r="C1327" i="7"/>
  <c r="AR1327" i="7" s="1"/>
  <c r="C1408" i="7"/>
  <c r="AR1408" i="7" s="1"/>
  <c r="C1825" i="7"/>
  <c r="AR1825" i="7" s="1"/>
  <c r="C1443" i="7"/>
  <c r="AR1443" i="7" s="1"/>
  <c r="C1786" i="7"/>
  <c r="AR1786" i="7" s="1"/>
  <c r="C773" i="7"/>
  <c r="AR773" i="7" s="1"/>
  <c r="C1232" i="7"/>
  <c r="AR1232" i="7" s="1"/>
  <c r="C1442" i="7"/>
  <c r="AR1442" i="7" s="1"/>
  <c r="C1340" i="7"/>
  <c r="AR1340" i="7" s="1"/>
  <c r="C1015" i="7"/>
  <c r="AR1015" i="7" s="1"/>
  <c r="C2004" i="7"/>
  <c r="AR2004" i="7" s="1"/>
  <c r="C273" i="7"/>
  <c r="AR273" i="7" s="1"/>
  <c r="C821" i="7"/>
  <c r="AR821" i="7" s="1"/>
  <c r="C1068" i="7"/>
  <c r="AR1068" i="7" s="1"/>
  <c r="C1113" i="7"/>
  <c r="AR1113" i="7" s="1"/>
  <c r="C871" i="7"/>
  <c r="AR871" i="7" s="1"/>
  <c r="C1023" i="7"/>
  <c r="AR1023" i="7" s="1"/>
  <c r="C1036" i="7"/>
  <c r="AR1036" i="7" s="1"/>
  <c r="C754" i="7"/>
  <c r="AR754" i="7" s="1"/>
  <c r="C1096" i="7"/>
  <c r="AR1096" i="7" s="1"/>
  <c r="C931" i="7"/>
  <c r="AR931" i="7" s="1"/>
  <c r="C537" i="7"/>
  <c r="AR537" i="7" s="1"/>
  <c r="C1122" i="7"/>
  <c r="AR1122" i="7" s="1"/>
  <c r="C682" i="7"/>
  <c r="AR682" i="7" s="1"/>
  <c r="C888" i="7"/>
  <c r="AR888" i="7" s="1"/>
  <c r="C1718" i="7"/>
  <c r="AR1718" i="7" s="1"/>
  <c r="C739" i="7"/>
  <c r="AR739" i="7" s="1"/>
  <c r="C1672" i="7"/>
  <c r="AR1672" i="7" s="1"/>
  <c r="C714" i="7"/>
  <c r="AR714" i="7" s="1"/>
  <c r="C1462" i="7"/>
  <c r="AR1462" i="7" s="1"/>
  <c r="C2073" i="7"/>
  <c r="AR2073" i="7" s="1"/>
  <c r="C2024" i="7"/>
  <c r="AR2024" i="7" s="1"/>
  <c r="C2036" i="7"/>
  <c r="AR2036" i="7" s="1"/>
  <c r="C378" i="7"/>
  <c r="AR378" i="7" s="1"/>
  <c r="C1587" i="7"/>
  <c r="AR1587" i="7" s="1"/>
  <c r="C2244" i="7"/>
  <c r="AR2244" i="7" s="1"/>
  <c r="C2121" i="7"/>
  <c r="AR2121" i="7" s="1"/>
  <c r="C2251" i="7"/>
  <c r="AR2251" i="7" s="1"/>
  <c r="C1445" i="7"/>
  <c r="AR1445" i="7" s="1"/>
  <c r="C1024" i="7"/>
  <c r="AR1024" i="7" s="1"/>
  <c r="C1791" i="7"/>
  <c r="AR1791" i="7" s="1"/>
  <c r="C1342" i="7"/>
  <c r="AR1342" i="7" s="1"/>
  <c r="C1041" i="7"/>
  <c r="AR1041" i="7" s="1"/>
  <c r="C2141" i="7"/>
  <c r="AR2141" i="7" s="1"/>
  <c r="C1829" i="7"/>
  <c r="AR1829" i="7" s="1"/>
  <c r="C2187" i="7"/>
  <c r="AR2187" i="7" s="1"/>
  <c r="C1703" i="7"/>
  <c r="AR1703" i="7" s="1"/>
  <c r="C1944" i="7"/>
  <c r="AR1944" i="7" s="1"/>
  <c r="C937" i="7"/>
  <c r="AR937" i="7" s="1"/>
  <c r="C1717" i="7"/>
  <c r="AR1717" i="7" s="1"/>
  <c r="C122" i="7"/>
  <c r="AR122" i="7" s="1"/>
  <c r="C823" i="7"/>
  <c r="AR823" i="7" s="1"/>
  <c r="C2248" i="7"/>
  <c r="AR2248" i="7" s="1"/>
  <c r="C977" i="7"/>
  <c r="AR977" i="7" s="1"/>
  <c r="C960" i="7"/>
  <c r="AR960" i="7" s="1"/>
  <c r="C744" i="7"/>
  <c r="AR744" i="7" s="1"/>
  <c r="C907" i="7"/>
  <c r="AR907" i="7" s="1"/>
  <c r="C800" i="7"/>
  <c r="AR800" i="7" s="1"/>
  <c r="C734" i="7"/>
  <c r="AR734" i="7" s="1"/>
  <c r="C737" i="7"/>
  <c r="AR737" i="7" s="1"/>
  <c r="C975" i="7"/>
  <c r="AR975" i="7" s="1"/>
  <c r="C1019" i="7"/>
  <c r="AR1019" i="7" s="1"/>
  <c r="C1200" i="7"/>
  <c r="AR1200" i="7" s="1"/>
  <c r="C1115" i="7"/>
  <c r="AR1115" i="7" s="1"/>
  <c r="C905" i="7"/>
  <c r="AR905" i="7" s="1"/>
  <c r="C692" i="7"/>
  <c r="AR692" i="7" s="1"/>
  <c r="C568" i="7"/>
  <c r="AR568" i="7" s="1"/>
  <c r="C747" i="7"/>
  <c r="AR747" i="7" s="1"/>
  <c r="C705" i="7"/>
  <c r="AR705" i="7" s="1"/>
  <c r="C841" i="7"/>
  <c r="AR841" i="7" s="1"/>
  <c r="C1880" i="7"/>
  <c r="AR1880" i="7" s="1"/>
  <c r="C730" i="7"/>
  <c r="AR730" i="7" s="1"/>
  <c r="C2211" i="7"/>
  <c r="AR2211" i="7" s="1"/>
  <c r="C489" i="7"/>
  <c r="AR489" i="7" s="1"/>
  <c r="C1629" i="7"/>
  <c r="AR1629" i="7" s="1"/>
  <c r="C1397" i="7"/>
  <c r="AR1397" i="7" s="1"/>
  <c r="C1646" i="7"/>
  <c r="AR1646" i="7" s="1"/>
  <c r="C2118" i="7"/>
  <c r="AR2118" i="7" s="1"/>
  <c r="C1139" i="7"/>
  <c r="AR1139" i="7" s="1"/>
  <c r="C543" i="7"/>
  <c r="AR543" i="7" s="1"/>
  <c r="C1733" i="7"/>
  <c r="AR1733" i="7" s="1"/>
  <c r="C2156" i="7"/>
  <c r="AR2156" i="7" s="1"/>
  <c r="C310" i="7"/>
  <c r="AR310" i="7" s="1"/>
  <c r="C1592" i="7"/>
  <c r="AR1592" i="7" s="1"/>
  <c r="C1394" i="7"/>
  <c r="AR1394" i="7" s="1"/>
  <c r="C1775" i="7"/>
  <c r="AR1775" i="7" s="1"/>
  <c r="C1561" i="7"/>
  <c r="AR1561" i="7" s="1"/>
  <c r="C1451" i="7"/>
  <c r="AR1451" i="7" s="1"/>
  <c r="C1671" i="7"/>
  <c r="AR1671" i="7" s="1"/>
  <c r="C1641" i="7"/>
  <c r="AR1641" i="7" s="1"/>
  <c r="C402" i="7"/>
  <c r="AR402" i="7" s="1"/>
  <c r="C329" i="7"/>
  <c r="AR329" i="7" s="1"/>
  <c r="C352" i="7"/>
  <c r="AR352" i="7" s="1"/>
  <c r="C138" i="7"/>
  <c r="AR138" i="7" s="1"/>
  <c r="C188" i="7"/>
  <c r="AR188" i="7" s="1"/>
  <c r="C136" i="7"/>
  <c r="AR136" i="7" s="1"/>
  <c r="C124" i="7"/>
  <c r="AR124" i="7" s="1"/>
  <c r="C123" i="7"/>
  <c r="AR123" i="7" s="1"/>
  <c r="C64" i="7"/>
  <c r="AR64" i="7" s="1"/>
  <c r="C63" i="7"/>
  <c r="AR63" i="7" s="1"/>
  <c r="C2108" i="7"/>
  <c r="AR2108" i="7" s="1"/>
  <c r="C1312" i="7"/>
  <c r="AR1312" i="7" s="1"/>
  <c r="C939" i="7"/>
  <c r="AR939" i="7" s="1"/>
  <c r="C1856" i="7"/>
  <c r="AR1856" i="7" s="1"/>
  <c r="C1878" i="7"/>
  <c r="AR1878" i="7" s="1"/>
  <c r="C964" i="7"/>
  <c r="AR964" i="7" s="1"/>
  <c r="C1768" i="7"/>
  <c r="AR1768" i="7" s="1"/>
  <c r="C1003" i="7"/>
  <c r="AR1003" i="7" s="1"/>
  <c r="C852" i="7"/>
  <c r="AR852" i="7" s="1"/>
  <c r="C681" i="7"/>
  <c r="AR681" i="7" s="1"/>
  <c r="C1396" i="7"/>
  <c r="AR1396" i="7" s="1"/>
  <c r="C211" i="7"/>
  <c r="AR211" i="7" s="1"/>
  <c r="C629" i="7"/>
  <c r="AR629" i="7" s="1"/>
  <c r="C515" i="7"/>
  <c r="AR515" i="7" s="1"/>
  <c r="C422" i="7"/>
  <c r="AR422" i="7" s="1"/>
  <c r="C248" i="7"/>
  <c r="AR248" i="7" s="1"/>
  <c r="C518" i="7"/>
  <c r="AR518" i="7" s="1"/>
  <c r="C490" i="7"/>
  <c r="AR490" i="7" s="1"/>
  <c r="C293" i="7"/>
  <c r="AR293" i="7" s="1"/>
  <c r="C326" i="7"/>
  <c r="AR326" i="7" s="1"/>
  <c r="C358" i="7"/>
  <c r="AR358" i="7" s="1"/>
  <c r="C538" i="7"/>
  <c r="AR538" i="7" s="1"/>
  <c r="C235" i="7"/>
  <c r="AR235" i="7" s="1"/>
  <c r="C234" i="7"/>
  <c r="AR234" i="7" s="1"/>
  <c r="C128" i="7"/>
  <c r="AR128" i="7" s="1"/>
  <c r="C232" i="7"/>
  <c r="AR232" i="7" s="1"/>
  <c r="C208" i="7"/>
  <c r="AR208" i="7" s="1"/>
  <c r="C676" i="7"/>
  <c r="AR676" i="7" s="1"/>
  <c r="C286" i="7"/>
  <c r="AR286" i="7" s="1"/>
  <c r="C1458" i="7"/>
  <c r="AR1458" i="7" s="1"/>
  <c r="C1668" i="7"/>
  <c r="AR1668" i="7" s="1"/>
  <c r="C1681" i="7"/>
  <c r="AR1681" i="7" s="1"/>
  <c r="C1456" i="7"/>
  <c r="AR1456" i="7" s="1"/>
  <c r="C1870" i="7"/>
  <c r="AR1870" i="7" s="1"/>
  <c r="C1636" i="7"/>
  <c r="AR1636" i="7" s="1"/>
  <c r="C1902" i="7"/>
  <c r="AR1902" i="7" s="1"/>
  <c r="C1928" i="7"/>
  <c r="AR1928" i="7" s="1"/>
  <c r="C1934" i="7"/>
  <c r="AR1934" i="7" s="1"/>
  <c r="C1727" i="7"/>
  <c r="AR1727" i="7" s="1"/>
  <c r="C1924" i="7"/>
  <c r="AR1924" i="7" s="1"/>
  <c r="C1890" i="7"/>
  <c r="AR1890" i="7" s="1"/>
  <c r="C1527" i="7"/>
  <c r="AR1527" i="7" s="1"/>
  <c r="C1774" i="7"/>
  <c r="AR1774" i="7" s="1"/>
  <c r="C1783" i="7"/>
  <c r="AR1783" i="7" s="1"/>
  <c r="C1460" i="7"/>
  <c r="AR1460" i="7" s="1"/>
  <c r="C1754" i="7"/>
  <c r="AR1754" i="7" s="1"/>
  <c r="C2080" i="7"/>
  <c r="AR2080" i="7" s="1"/>
  <c r="C2170" i="7"/>
  <c r="AR2170" i="7" s="1"/>
  <c r="C2067" i="7"/>
  <c r="AR2067" i="7" s="1"/>
  <c r="C1246" i="7"/>
  <c r="AR1246" i="7" s="1"/>
  <c r="C1542" i="7"/>
  <c r="AR1542" i="7" s="1"/>
  <c r="C2159" i="7"/>
  <c r="AR2159" i="7" s="1"/>
  <c r="C1419" i="7"/>
  <c r="AR1419" i="7" s="1"/>
  <c r="C1874" i="7"/>
  <c r="AR1874" i="7" s="1"/>
  <c r="C1911" i="7"/>
  <c r="AR1911" i="7" s="1"/>
  <c r="C1743" i="7"/>
  <c r="AR1743" i="7" s="1"/>
  <c r="C1806" i="7"/>
  <c r="AR1806" i="7" s="1"/>
  <c r="C1807" i="7"/>
  <c r="AR1807" i="7" s="1"/>
  <c r="C1591" i="7"/>
  <c r="AR1591" i="7" s="1"/>
  <c r="C1778" i="7"/>
  <c r="AR1778" i="7" s="1"/>
  <c r="C1713" i="7"/>
  <c r="AR1713" i="7" s="1"/>
  <c r="C1233" i="7"/>
  <c r="AR1233" i="7" s="1"/>
  <c r="C1235" i="7"/>
  <c r="AR1235" i="7" s="1"/>
  <c r="C2192" i="7"/>
  <c r="AR2192" i="7" s="1"/>
  <c r="C958" i="7"/>
  <c r="AR958" i="7" s="1"/>
  <c r="C1006" i="7"/>
  <c r="AR1006" i="7" s="1"/>
  <c r="C1677" i="7"/>
  <c r="AR1677" i="7" s="1"/>
  <c r="C1368" i="7"/>
  <c r="AR1368" i="7" s="1"/>
  <c r="C827" i="7"/>
  <c r="AR827" i="7" s="1"/>
  <c r="C274" i="7"/>
  <c r="AR274" i="7" s="1"/>
  <c r="C979" i="7"/>
  <c r="AR979" i="7" s="1"/>
  <c r="C1027" i="7"/>
  <c r="AR1027" i="7" s="1"/>
  <c r="C639" i="7"/>
  <c r="AR639" i="7" s="1"/>
  <c r="C1309" i="7"/>
  <c r="AR1309" i="7" s="1"/>
  <c r="C829" i="7"/>
  <c r="AR829" i="7" s="1"/>
  <c r="C1410" i="7"/>
  <c r="AR1410" i="7" s="1"/>
  <c r="C1196" i="7"/>
  <c r="AR1196" i="7" s="1"/>
  <c r="C1173" i="7"/>
  <c r="AR1173" i="7" s="1"/>
  <c r="C668" i="7"/>
  <c r="AR668" i="7" s="1"/>
  <c r="C1053" i="7"/>
  <c r="AR1053" i="7" s="1"/>
  <c r="C1328" i="7"/>
  <c r="AR1328" i="7" s="1"/>
  <c r="C1599" i="7"/>
  <c r="AR1599" i="7" s="1"/>
  <c r="C691" i="7"/>
  <c r="AR691" i="7" s="1"/>
  <c r="C1114" i="7"/>
  <c r="AR1114" i="7" s="1"/>
  <c r="C989" i="7"/>
  <c r="AR989" i="7" s="1"/>
  <c r="C1302" i="7"/>
  <c r="AR1302" i="7" s="1"/>
  <c r="C791" i="7"/>
  <c r="AR791" i="7" s="1"/>
  <c r="C1366" i="7"/>
  <c r="AR1366" i="7" s="1"/>
  <c r="C1503" i="7"/>
  <c r="AR1503" i="7" s="1"/>
  <c r="C1198" i="7"/>
  <c r="AR1198" i="7" s="1"/>
  <c r="C1052" i="7"/>
  <c r="AR1052" i="7" s="1"/>
  <c r="C966" i="7"/>
  <c r="AR966" i="7" s="1"/>
  <c r="C1033" i="7"/>
  <c r="AR1033" i="7" s="1"/>
  <c r="C1044" i="7"/>
  <c r="AR1044" i="7" s="1"/>
  <c r="C1552" i="7"/>
  <c r="AR1552" i="7" s="1"/>
  <c r="C2178" i="7"/>
  <c r="AR2178" i="7" s="1"/>
  <c r="C1917" i="7"/>
  <c r="AR1917" i="7" s="1"/>
  <c r="C1993" i="7"/>
  <c r="AR1993" i="7" s="1"/>
  <c r="C875" i="7"/>
  <c r="AR875" i="7" s="1"/>
  <c r="C1600" i="7"/>
  <c r="AR1600" i="7" s="1"/>
  <c r="C1904" i="7"/>
  <c r="AR1904" i="7" s="1"/>
  <c r="C1715" i="7"/>
  <c r="AR1715" i="7" s="1"/>
  <c r="C1876" i="7"/>
  <c r="AR1876" i="7" s="1"/>
  <c r="C1711" i="7"/>
  <c r="AR1711" i="7" s="1"/>
  <c r="C1818" i="7"/>
  <c r="AR1818" i="7" s="1"/>
  <c r="C2138" i="7"/>
  <c r="AR2138" i="7" s="1"/>
  <c r="C557" i="7"/>
  <c r="AR557" i="7" s="1"/>
  <c r="C218" i="7"/>
  <c r="AR218" i="7" s="1"/>
  <c r="C236" i="7"/>
  <c r="AR236" i="7" s="1"/>
  <c r="C230" i="7"/>
  <c r="AR230" i="7" s="1"/>
  <c r="C215" i="7"/>
  <c r="AR215" i="7" s="1"/>
  <c r="C219" i="7"/>
  <c r="AR219" i="7" s="1"/>
  <c r="C228" i="7"/>
  <c r="AR228" i="7" s="1"/>
  <c r="C231" i="7"/>
  <c r="AR231" i="7" s="1"/>
  <c r="C1813" i="7"/>
  <c r="AR1813" i="7" s="1"/>
  <c r="C1211" i="7"/>
  <c r="AR1211" i="7" s="1"/>
  <c r="C1283" i="7"/>
  <c r="AR1283" i="7" s="1"/>
  <c r="C1562" i="7"/>
  <c r="AR1562" i="7" s="1"/>
  <c r="C1963" i="7"/>
  <c r="AR1963" i="7" s="1"/>
  <c r="C2015" i="7"/>
  <c r="AR2015" i="7" s="1"/>
  <c r="C2131" i="7"/>
  <c r="AR2131" i="7" s="1"/>
  <c r="C2058" i="7"/>
  <c r="AR2058" i="7" s="1"/>
  <c r="C2166" i="7"/>
  <c r="AR2166" i="7" s="1"/>
  <c r="C1989" i="7"/>
  <c r="AR1989" i="7" s="1"/>
  <c r="C1910" i="7"/>
  <c r="AR1910" i="7" s="1"/>
  <c r="C2236" i="7"/>
  <c r="AR2236" i="7" s="1"/>
  <c r="C222" i="7"/>
  <c r="AR222" i="7" s="1"/>
  <c r="C216" i="7"/>
  <c r="AR216" i="7" s="1"/>
  <c r="C227" i="7"/>
  <c r="AR227" i="7" s="1"/>
  <c r="C224" i="7"/>
  <c r="AR224" i="7" s="1"/>
  <c r="C220" i="7"/>
  <c r="AR220" i="7" s="1"/>
  <c r="C221" i="7"/>
  <c r="AR221" i="7" s="1"/>
  <c r="C225" i="7"/>
  <c r="AR225" i="7" s="1"/>
  <c r="C226" i="7"/>
  <c r="AR226" i="7" s="1"/>
  <c r="C217" i="7"/>
  <c r="AR217" i="7" s="1"/>
  <c r="C183" i="7"/>
  <c r="AR183" i="7" s="1"/>
  <c r="C182" i="7"/>
  <c r="AR182" i="7" s="1"/>
  <c r="C363" i="7"/>
  <c r="AR363" i="7" s="1"/>
  <c r="C1697" i="7"/>
  <c r="AR1697" i="7" s="1"/>
  <c r="C1553" i="7"/>
  <c r="AR1553" i="7" s="1"/>
  <c r="C2254" i="7"/>
  <c r="AR2254" i="7" s="1"/>
  <c r="C2047" i="7"/>
  <c r="AR2047" i="7" s="1"/>
  <c r="C559" i="7"/>
  <c r="AR559" i="7" s="1"/>
  <c r="C1811" i="7"/>
  <c r="C671" i="7"/>
  <c r="AR671" i="7" s="1"/>
  <c r="C1229" i="7"/>
  <c r="AR1229" i="7" s="1"/>
  <c r="C2217" i="7"/>
  <c r="AR2217" i="7" s="1"/>
  <c r="C1634" i="7"/>
  <c r="AR1634" i="7" s="1"/>
  <c r="C1719" i="7"/>
  <c r="AR1719" i="7" s="1"/>
  <c r="C1496" i="7"/>
  <c r="AR1496" i="7" s="1"/>
  <c r="C1947" i="7"/>
  <c r="AR1947" i="7" s="1"/>
  <c r="C2044" i="7"/>
  <c r="AR2044" i="7" s="1"/>
  <c r="C2105" i="7"/>
  <c r="C1942" i="7"/>
  <c r="AR1942" i="7" s="1"/>
  <c r="C1965" i="7"/>
  <c r="AR1965" i="7" s="1"/>
  <c r="C2054" i="7"/>
  <c r="AR2054" i="7" s="1"/>
  <c r="C2079" i="7"/>
  <c r="AR2079" i="7" s="1"/>
  <c r="C901" i="7"/>
  <c r="AR901" i="7" s="1"/>
  <c r="C996" i="7"/>
  <c r="AR996" i="7" s="1"/>
  <c r="C824" i="7"/>
  <c r="AR824" i="7" s="1"/>
  <c r="C862" i="7"/>
  <c r="AR862" i="7" s="1"/>
  <c r="C683" i="7"/>
  <c r="AR683" i="7" s="1"/>
  <c r="C623" i="7"/>
  <c r="AR623" i="7" s="1"/>
  <c r="C706" i="7"/>
  <c r="AR706" i="7" s="1"/>
  <c r="C861" i="7"/>
  <c r="AR861" i="7" s="1"/>
  <c r="C659" i="7"/>
  <c r="AR659" i="7" s="1"/>
  <c r="C699" i="7"/>
  <c r="AR699" i="7" s="1"/>
  <c r="C707" i="7"/>
  <c r="AR707" i="7" s="1"/>
  <c r="C439" i="7"/>
  <c r="AR439" i="7" s="1"/>
  <c r="C415" i="7"/>
  <c r="AR415" i="7" s="1"/>
  <c r="C414" i="7"/>
  <c r="AR414" i="7" s="1"/>
  <c r="C485" i="7"/>
  <c r="AR485" i="7" s="1"/>
  <c r="C316" i="7"/>
  <c r="AR316" i="7" s="1"/>
  <c r="C325" i="7"/>
  <c r="AR325" i="7" s="1"/>
  <c r="C337" i="7"/>
  <c r="AR337" i="7" s="1"/>
  <c r="C495" i="7"/>
  <c r="AR495" i="7" s="1"/>
  <c r="C258" i="7"/>
  <c r="AR258" i="7" s="1"/>
  <c r="C486" i="7"/>
  <c r="AR486" i="7" s="1"/>
  <c r="C148" i="7"/>
  <c r="AR148" i="7" s="1"/>
  <c r="C147" i="7"/>
  <c r="AR147" i="7" s="1"/>
  <c r="C934" i="7"/>
  <c r="AR934" i="7" s="1"/>
  <c r="C895" i="7"/>
  <c r="AR895" i="7" s="1"/>
  <c r="C1038" i="7"/>
  <c r="AR1038" i="7" s="1"/>
  <c r="C1172" i="7"/>
  <c r="AR1172" i="7" s="1"/>
  <c r="C835" i="7"/>
  <c r="AR835" i="7" s="1"/>
  <c r="C1315" i="7"/>
  <c r="AR1315" i="7" s="1"/>
  <c r="C1081" i="7"/>
  <c r="AR1081" i="7" s="1"/>
  <c r="C1258" i="7"/>
  <c r="AR1258" i="7" s="1"/>
  <c r="C1513" i="7"/>
  <c r="AR1513" i="7" s="1"/>
  <c r="C1821" i="7"/>
  <c r="AR1821" i="7" s="1"/>
  <c r="C1040" i="7"/>
  <c r="AR1040" i="7" s="1"/>
  <c r="C1800" i="7"/>
  <c r="AR1800" i="7" s="1"/>
  <c r="C2127" i="7"/>
  <c r="AR2127" i="7" s="1"/>
  <c r="C1505" i="7"/>
  <c r="AR1505" i="7" s="1"/>
  <c r="C1026" i="7"/>
  <c r="AR1026" i="7" s="1"/>
  <c r="C1218" i="7"/>
  <c r="AR1218" i="7" s="1"/>
  <c r="C1047" i="7"/>
  <c r="AR1047" i="7" s="1"/>
  <c r="C896" i="7"/>
  <c r="AR896" i="7" s="1"/>
  <c r="C1859" i="7"/>
  <c r="AR1859" i="7" s="1"/>
  <c r="C1850" i="7"/>
  <c r="AR1850" i="7" s="1"/>
  <c r="C1045" i="7"/>
  <c r="AR1045" i="7" s="1"/>
  <c r="C1688" i="7"/>
  <c r="AR1688" i="7" s="1"/>
  <c r="C717" i="7"/>
  <c r="AR717" i="7" s="1"/>
  <c r="C16" i="7"/>
  <c r="AR16" i="7" s="1"/>
  <c r="C18" i="7"/>
  <c r="AR18" i="7" s="1"/>
  <c r="C1188" i="7"/>
  <c r="AR1188" i="7" s="1"/>
  <c r="C2224" i="7"/>
  <c r="AR2224" i="7" s="1"/>
  <c r="C1751" i="7"/>
  <c r="AR1751" i="7" s="1"/>
  <c r="C1921" i="7"/>
  <c r="AR1921" i="7" s="1"/>
  <c r="C1441" i="7"/>
  <c r="AR1441" i="7" s="1"/>
  <c r="C1418" i="7"/>
  <c r="AR1418" i="7" s="1"/>
  <c r="C1812" i="7"/>
  <c r="AR1812" i="7" s="1"/>
  <c r="C1487" i="7"/>
  <c r="AR1487" i="7" s="1"/>
  <c r="C1485" i="7"/>
  <c r="AR1485" i="7" s="1"/>
  <c r="C1511" i="7"/>
  <c r="AR1511" i="7" s="1"/>
  <c r="C1566" i="7"/>
  <c r="AR1566" i="7" s="1"/>
  <c r="C768" i="7"/>
  <c r="AR768" i="7" s="1"/>
  <c r="C1043" i="7"/>
  <c r="AR1043" i="7" s="1"/>
  <c r="C1583" i="7"/>
  <c r="AR1583" i="7" s="1"/>
  <c r="C1724" i="7"/>
  <c r="AR1724" i="7" s="1"/>
  <c r="C2106" i="7"/>
  <c r="AR2106" i="7" s="1"/>
  <c r="C860" i="7"/>
  <c r="AR860" i="7" s="1"/>
  <c r="C1126" i="7"/>
  <c r="AR1126" i="7" s="1"/>
  <c r="C1987" i="7"/>
  <c r="AR1987" i="7" s="1"/>
  <c r="C715" i="7"/>
  <c r="AR715" i="7" s="1"/>
  <c r="C1447" i="7"/>
  <c r="AR1447" i="7" s="1"/>
  <c r="C1846" i="7"/>
  <c r="AR1846" i="7" s="1"/>
  <c r="C2102" i="7"/>
  <c r="AR2102" i="7" s="1"/>
  <c r="C1918" i="7"/>
  <c r="AR1918" i="7" s="1"/>
  <c r="C1872" i="7"/>
  <c r="AR1872" i="7" s="1"/>
  <c r="C2184" i="7"/>
  <c r="AR2184" i="7" s="1"/>
  <c r="C411" i="7"/>
  <c r="AR411" i="7" s="1"/>
  <c r="C1476" i="7"/>
  <c r="AR1476" i="7" s="1"/>
  <c r="C1525" i="7"/>
  <c r="AR1525" i="7" s="1"/>
  <c r="C1663" i="7"/>
  <c r="AR1663" i="7" s="1"/>
  <c r="C1459" i="7"/>
  <c r="AR1459" i="7" s="1"/>
  <c r="C1185" i="7"/>
  <c r="AR1185" i="7" s="1"/>
  <c r="C1282" i="7"/>
  <c r="AR1282" i="7" s="1"/>
  <c r="C686" i="7"/>
  <c r="AR686" i="7" s="1"/>
  <c r="C1255" i="7"/>
  <c r="AR1255" i="7" s="1"/>
  <c r="C212" i="7"/>
  <c r="AR212" i="7" s="1"/>
  <c r="C1480" i="7"/>
  <c r="AR1480" i="7" s="1"/>
  <c r="C1159" i="7"/>
  <c r="AR1159" i="7" s="1"/>
  <c r="C1954" i="7"/>
  <c r="AR1954" i="7" s="1"/>
  <c r="C2100" i="7"/>
  <c r="AR2100" i="7" s="1"/>
  <c r="C1166" i="7"/>
  <c r="AR1166" i="7" s="1"/>
  <c r="C1802" i="7"/>
  <c r="AR1802" i="7" s="1"/>
  <c r="C1680" i="7"/>
  <c r="AR1680" i="7" s="1"/>
  <c r="C1916" i="7"/>
  <c r="AR1916" i="7" s="1"/>
  <c r="C1475" i="7"/>
  <c r="AR1475" i="7" s="1"/>
  <c r="C2194" i="7"/>
  <c r="AR2194" i="7" s="1"/>
  <c r="C1378" i="7"/>
  <c r="AR1378" i="7" s="1"/>
  <c r="C2055" i="7"/>
  <c r="AR2055" i="7" s="1"/>
  <c r="C1075" i="7"/>
  <c r="AR1075" i="7" s="1"/>
  <c r="C1177" i="7"/>
  <c r="AR1177" i="7" s="1"/>
  <c r="C1277" i="7"/>
  <c r="AR1277" i="7" s="1"/>
  <c r="C927" i="7"/>
  <c r="AR927" i="7" s="1"/>
  <c r="C985" i="7"/>
  <c r="AR985" i="7" s="1"/>
  <c r="C1470" i="7"/>
  <c r="AR1470" i="7" s="1"/>
  <c r="C743" i="7"/>
  <c r="AR743" i="7" s="1"/>
  <c r="C922" i="7"/>
  <c r="AR922" i="7" s="1"/>
  <c r="C1090" i="7"/>
  <c r="AR1090" i="7" s="1"/>
  <c r="C1251" i="7"/>
  <c r="AR1251" i="7" s="1"/>
  <c r="C2101" i="7"/>
  <c r="AR2101" i="7" s="1"/>
  <c r="C1785" i="7"/>
  <c r="AR1785" i="7" s="1"/>
  <c r="C1982" i="7"/>
  <c r="AR1982" i="7" s="1"/>
  <c r="C2087" i="7"/>
  <c r="AR2087" i="7" s="1"/>
  <c r="C920" i="7"/>
  <c r="AR920" i="7" s="1"/>
  <c r="C1753" i="7"/>
  <c r="AR1753" i="7" s="1"/>
  <c r="C1057" i="7"/>
  <c r="AR1057" i="7" s="1"/>
  <c r="C2162" i="7"/>
  <c r="AR2162" i="7" s="1"/>
  <c r="C1864" i="7"/>
  <c r="AR1864" i="7" s="1"/>
  <c r="C1907" i="7"/>
  <c r="AR1907" i="7" s="1"/>
  <c r="C708" i="7"/>
  <c r="AR708" i="7" s="1"/>
  <c r="C1136" i="7"/>
  <c r="AR1136" i="7" s="1"/>
  <c r="C2283" i="7"/>
  <c r="AR2283" i="7" s="1"/>
  <c r="C570" i="7"/>
  <c r="AR570" i="7" s="1"/>
  <c r="C1714" i="7"/>
  <c r="AR1714" i="7" s="1"/>
  <c r="C1209" i="7"/>
  <c r="AR1209" i="7" s="1"/>
  <c r="C2209" i="7"/>
  <c r="AR2209" i="7" s="1"/>
  <c r="C493" i="7"/>
  <c r="AR493" i="7" s="1"/>
  <c r="C923" i="7"/>
  <c r="AR923" i="7" s="1"/>
  <c r="C1325" i="7"/>
  <c r="AR1325" i="7" s="1"/>
  <c r="C1363" i="7"/>
  <c r="AR1363" i="7" s="1"/>
  <c r="C335" i="7"/>
  <c r="AR335" i="7" s="1"/>
  <c r="C2088" i="7"/>
  <c r="AR2088" i="7" s="1"/>
  <c r="C1334" i="7"/>
  <c r="AR1334" i="7" s="1"/>
  <c r="C788" i="7"/>
  <c r="AR788" i="7" s="1"/>
  <c r="C1842" i="7"/>
  <c r="AR1842" i="7" s="1"/>
  <c r="C1701" i="7"/>
  <c r="AR1701" i="7" s="1"/>
  <c r="C1968" i="7"/>
  <c r="AR1968" i="7" s="1"/>
  <c r="C1658" i="7"/>
  <c r="AR1658" i="7" s="1"/>
  <c r="C510" i="7"/>
  <c r="AR510" i="7" s="1"/>
  <c r="C1994" i="7"/>
  <c r="AR1994" i="7" s="1"/>
  <c r="C1253" i="7"/>
  <c r="AR1253" i="7" s="1"/>
  <c r="C256" i="7"/>
  <c r="AR256" i="7" s="1"/>
  <c r="C1383" i="7"/>
  <c r="AR1383" i="7" s="1"/>
  <c r="C1022" i="7"/>
  <c r="AR1022" i="7" s="1"/>
  <c r="C8" i="7"/>
  <c r="AR8" i="7" s="1"/>
  <c r="C1645" i="7"/>
  <c r="AR1645" i="7" s="1"/>
  <c r="C1127" i="7"/>
  <c r="AR1127" i="7" s="1"/>
  <c r="C1078" i="7"/>
  <c r="AR1078" i="7" s="1"/>
  <c r="C1295" i="7"/>
  <c r="AR1295" i="7" s="1"/>
  <c r="C1155" i="7"/>
  <c r="AR1155" i="7" s="1"/>
  <c r="C1174" i="7"/>
  <c r="AR1174" i="7" s="1"/>
  <c r="C1473" i="7"/>
  <c r="AR1473" i="7" s="1"/>
  <c r="C1550" i="7"/>
  <c r="AR1550" i="7" s="1"/>
  <c r="C950" i="7"/>
  <c r="AR950" i="7" s="1"/>
  <c r="C1204" i="7"/>
  <c r="AR1204" i="7" s="1"/>
  <c r="C1608" i="7"/>
  <c r="AR1608" i="7" s="1"/>
  <c r="C1602" i="7"/>
  <c r="AR1602" i="7" s="1"/>
  <c r="C1612" i="7"/>
  <c r="AR1612" i="7" s="1"/>
  <c r="C1516" i="7"/>
  <c r="AR1516" i="7" s="1"/>
  <c r="C1578" i="7"/>
  <c r="AR1578" i="7" s="1"/>
  <c r="C1540" i="7"/>
  <c r="AR1540" i="7" s="1"/>
  <c r="C1593" i="7"/>
  <c r="AR1593" i="7" s="1"/>
  <c r="C1573" i="7"/>
  <c r="AR1573" i="7" s="1"/>
  <c r="C1574" i="7"/>
  <c r="AR1574" i="7" s="1"/>
  <c r="C1931" i="7"/>
  <c r="AR1931" i="7" s="1"/>
  <c r="C560" i="7"/>
  <c r="AR560" i="7" s="1"/>
  <c r="C1130" i="7"/>
  <c r="AR1130" i="7" s="1"/>
  <c r="C1835" i="7"/>
  <c r="AR1835" i="7" s="1"/>
  <c r="C460" i="7"/>
  <c r="AR460" i="7" s="1"/>
  <c r="C572" i="7"/>
  <c r="AR572" i="7" s="1"/>
  <c r="C913" i="7"/>
  <c r="AR913" i="7" s="1"/>
  <c r="C369" i="7"/>
  <c r="AR369" i="7" s="1"/>
  <c r="C1667" i="7"/>
  <c r="AR1667" i="7" s="1"/>
  <c r="C1679" i="7"/>
  <c r="AR1679" i="7" s="1"/>
  <c r="C1843" i="7"/>
  <c r="AR1843" i="7" s="1"/>
  <c r="C1554" i="7"/>
  <c r="AR1554" i="7" s="1"/>
  <c r="C253" i="7"/>
  <c r="AR253" i="7" s="1"/>
  <c r="C760" i="7"/>
  <c r="AR760" i="7" s="1"/>
  <c r="C2164" i="7"/>
  <c r="AR2164" i="7" s="1"/>
  <c r="C467" i="7"/>
  <c r="AR467" i="7" s="1"/>
  <c r="C472" i="7"/>
  <c r="AR472" i="7" s="1"/>
  <c r="C1450" i="7"/>
  <c r="AR1450" i="7" s="1"/>
  <c r="C785" i="7"/>
  <c r="AR785" i="7" s="1"/>
  <c r="C1446" i="7"/>
  <c r="AR1446" i="7" s="1"/>
  <c r="C1254" i="7"/>
  <c r="AR1254" i="7" s="1"/>
  <c r="C1649" i="7"/>
  <c r="AR1649" i="7" s="1"/>
  <c r="C113" i="7"/>
  <c r="AR113" i="7" s="1"/>
  <c r="C199" i="7"/>
  <c r="AR199" i="7" s="1"/>
  <c r="C276" i="7"/>
  <c r="AR276" i="7" s="1"/>
  <c r="C396" i="7"/>
  <c r="AR396" i="7" s="1"/>
  <c r="C67" i="7"/>
  <c r="AR67" i="7" s="1"/>
  <c r="C198" i="7"/>
  <c r="AR198" i="7" s="1"/>
  <c r="C1604" i="7"/>
  <c r="AR1604" i="7" s="1"/>
  <c r="C305" i="7"/>
  <c r="AR305" i="7" s="1"/>
  <c r="C2271" i="7"/>
  <c r="AR2271" i="7" s="1"/>
  <c r="C328" i="7"/>
  <c r="AR328" i="7" s="1"/>
  <c r="C334" i="7"/>
  <c r="AR334" i="7" s="1"/>
  <c r="C344" i="7"/>
  <c r="AR344" i="7" s="1"/>
  <c r="C345" i="7"/>
  <c r="AR345" i="7" s="1"/>
  <c r="C341" i="7"/>
  <c r="AR341" i="7" s="1"/>
  <c r="C555" i="7"/>
  <c r="AR555" i="7" s="1"/>
  <c r="C263" i="7"/>
  <c r="AR263" i="7" s="1"/>
  <c r="C509" i="7"/>
  <c r="AR509" i="7" s="1"/>
  <c r="C553" i="7"/>
  <c r="AR553" i="7" s="1"/>
  <c r="C374" i="7"/>
  <c r="AR374" i="7" s="1"/>
  <c r="C688" i="7"/>
  <c r="AR688" i="7" s="1"/>
  <c r="C551" i="7"/>
  <c r="AR551" i="7" s="1"/>
  <c r="C546" i="7"/>
  <c r="AR546" i="7" s="1"/>
  <c r="C566" i="7"/>
  <c r="AR566" i="7" s="1"/>
  <c r="C372" i="7"/>
  <c r="AR372" i="7" s="1"/>
  <c r="C2259" i="7"/>
  <c r="AR2259" i="7" s="1"/>
  <c r="C1453" i="7"/>
  <c r="AR1453" i="7" s="1"/>
  <c r="C1431" i="7"/>
  <c r="AR1431" i="7" s="1"/>
  <c r="C494" i="7"/>
  <c r="AR494" i="7" s="1"/>
  <c r="C1438" i="7"/>
  <c r="AR1438" i="7" s="1"/>
  <c r="C287" i="7"/>
  <c r="AR287" i="7" s="1"/>
  <c r="C1061" i="7"/>
  <c r="AR1061" i="7" s="1"/>
  <c r="C420" i="7"/>
  <c r="AR420" i="7" s="1"/>
  <c r="C1837" i="7"/>
  <c r="AR1837" i="7" s="1"/>
  <c r="C277" i="7"/>
  <c r="AR277" i="7" s="1"/>
  <c r="C729" i="7"/>
  <c r="AR729" i="7" s="1"/>
  <c r="C1463" i="7"/>
  <c r="AR1463" i="7" s="1"/>
  <c r="C644" i="7"/>
  <c r="AR644" i="7" s="1"/>
  <c r="C634" i="7"/>
  <c r="AR634" i="7" s="1"/>
  <c r="C601" i="7"/>
  <c r="AR601" i="7" s="1"/>
  <c r="C436" i="7"/>
  <c r="AR436" i="7" s="1"/>
  <c r="C831" i="7"/>
  <c r="AR831" i="7" s="1"/>
  <c r="C930" i="7"/>
  <c r="AR930" i="7" s="1"/>
  <c r="C1529" i="7"/>
  <c r="AR1529" i="7" s="1"/>
  <c r="C1584" i="7"/>
  <c r="AR1584" i="7" s="1"/>
  <c r="C1409" i="7"/>
  <c r="AR1409" i="7" s="1"/>
  <c r="C1234" i="7"/>
  <c r="AR1234" i="7" s="1"/>
  <c r="C804" i="7"/>
  <c r="AR804" i="7" s="1"/>
  <c r="C1660" i="7"/>
  <c r="AR1660" i="7" s="1"/>
  <c r="C1261" i="7"/>
  <c r="AR1261" i="7" s="1"/>
  <c r="C1199" i="7"/>
  <c r="AR1199" i="7" s="1"/>
  <c r="C955" i="7"/>
  <c r="AR955" i="7" s="1"/>
  <c r="C1279" i="7"/>
  <c r="AR1279" i="7" s="1"/>
  <c r="C1974" i="7"/>
  <c r="AR1974" i="7" s="1"/>
  <c r="C1606" i="7"/>
  <c r="AR1606" i="7" s="1"/>
  <c r="C1548" i="7"/>
  <c r="AR1548" i="7" s="1"/>
  <c r="C924" i="7"/>
  <c r="AR924" i="7" s="1"/>
  <c r="C129" i="7"/>
  <c r="AR129" i="7" s="1"/>
  <c r="C1176" i="7"/>
  <c r="AR1176" i="7" s="1"/>
  <c r="C1206" i="7"/>
  <c r="AR1206" i="7" s="1"/>
  <c r="C1243" i="7"/>
  <c r="AR1243" i="7" s="1"/>
  <c r="C1182" i="7"/>
  <c r="AR1182" i="7" s="1"/>
  <c r="C1074" i="7"/>
  <c r="AR1074" i="7" s="1"/>
  <c r="C1296" i="7"/>
  <c r="AR1296" i="7" s="1"/>
  <c r="C1215" i="7"/>
  <c r="AR1215" i="7" s="1"/>
  <c r="C1118" i="7"/>
  <c r="AR1118" i="7" s="1"/>
  <c r="C1084" i="7"/>
  <c r="AR1084" i="7" s="1"/>
  <c r="C1189" i="7"/>
  <c r="AR1189" i="7" s="1"/>
  <c r="C1269" i="7"/>
  <c r="AR1269" i="7" s="1"/>
  <c r="C1351" i="7"/>
  <c r="AR1351" i="7" s="1"/>
  <c r="C1313" i="7"/>
  <c r="AR1313" i="7" s="1"/>
  <c r="C1143" i="7"/>
  <c r="AR1143" i="7" s="1"/>
  <c r="C2148" i="7"/>
  <c r="AR2148" i="7" s="1"/>
  <c r="C2212" i="7"/>
  <c r="AR2212" i="7" s="1"/>
  <c r="C842" i="7"/>
  <c r="AR842" i="7" s="1"/>
  <c r="C252" i="7"/>
  <c r="AR252" i="7" s="1"/>
  <c r="C1603" i="7"/>
  <c r="AR1603" i="7" s="1"/>
  <c r="C921" i="7"/>
  <c r="AR921" i="7" s="1"/>
  <c r="C579" i="7"/>
  <c r="AR579" i="7" s="1"/>
  <c r="C1210" i="7"/>
  <c r="AR1210" i="7" s="1"/>
  <c r="C1129" i="7"/>
  <c r="AR1129" i="7" s="1"/>
  <c r="C1770" i="7"/>
  <c r="AR1770" i="7" s="1"/>
  <c r="C2247" i="7"/>
  <c r="AR2247" i="7" s="1"/>
  <c r="C333" i="7"/>
  <c r="AR333" i="7" s="1"/>
  <c r="C1355" i="7"/>
  <c r="AR1355" i="7" s="1"/>
  <c r="C1228" i="7"/>
  <c r="AR1228" i="7" s="1"/>
  <c r="C2258" i="7"/>
  <c r="AR2258" i="7" s="1"/>
  <c r="C401" i="7"/>
  <c r="AR401" i="7" s="1"/>
  <c r="C578" i="7"/>
  <c r="AR578" i="7" s="1"/>
  <c r="C632" i="7"/>
  <c r="AR632" i="7" s="1"/>
  <c r="C1175" i="7"/>
  <c r="AR1175" i="7" s="1"/>
  <c r="C1853" i="7"/>
  <c r="AR1853" i="7" s="1"/>
  <c r="C1069" i="7"/>
  <c r="AR1069" i="7" s="1"/>
  <c r="C1201" i="7"/>
  <c r="AR1201" i="7" s="1"/>
  <c r="C1262" i="7"/>
  <c r="AR1262" i="7" s="1"/>
  <c r="C1152" i="7"/>
  <c r="AR1152" i="7" s="1"/>
  <c r="C587" i="7"/>
  <c r="AR587" i="7" s="1"/>
  <c r="C1035" i="7"/>
  <c r="AR1035" i="7" s="1"/>
  <c r="C1133" i="7"/>
  <c r="AR1133" i="7" s="1"/>
  <c r="C1242" i="7"/>
  <c r="AR1242" i="7" s="1"/>
  <c r="C1541" i="7"/>
  <c r="AR1541" i="7" s="1"/>
  <c r="C580" i="7"/>
  <c r="C1559" i="7"/>
  <c r="AR1559" i="7" s="1"/>
  <c r="C1367" i="7"/>
  <c r="AR1367" i="7" s="1"/>
  <c r="C1263" i="7"/>
  <c r="AR1263" i="7" s="1"/>
  <c r="C1289" i="7"/>
  <c r="AR1289" i="7" s="1"/>
  <c r="C1357" i="7"/>
  <c r="AR1357" i="7" s="1"/>
  <c r="C1338" i="7"/>
  <c r="AR1338" i="7" s="1"/>
  <c r="C1117" i="7"/>
  <c r="AR1117" i="7" s="1"/>
  <c r="C1079" i="7"/>
  <c r="AR1079" i="7" s="1"/>
  <c r="C1344" i="7"/>
  <c r="AR1344" i="7" s="1"/>
  <c r="C1306" i="7"/>
  <c r="AR1306" i="7" s="1"/>
  <c r="C1146" i="7"/>
  <c r="AR1146" i="7" s="1"/>
  <c r="C1071" i="7"/>
  <c r="AR1071" i="7" s="1"/>
  <c r="C133" i="7"/>
  <c r="AR133" i="7" s="1"/>
  <c r="C2273" i="7"/>
  <c r="AR2273" i="7" s="1"/>
  <c r="C321" i="7"/>
  <c r="AR321" i="7" s="1"/>
  <c r="C637" i="7"/>
  <c r="AR637" i="7" s="1"/>
  <c r="C1767" i="7"/>
  <c r="AR1767" i="7" s="1"/>
  <c r="C2206" i="7"/>
  <c r="AR2206" i="7" s="1"/>
  <c r="C1186" i="7"/>
  <c r="AR1186" i="7" s="1"/>
  <c r="C13" i="7"/>
  <c r="AR13" i="7" s="1"/>
  <c r="C2221" i="7"/>
  <c r="AR2221" i="7" s="1"/>
  <c r="C786" i="7"/>
  <c r="AR786" i="7" s="1"/>
  <c r="C17" i="7"/>
  <c r="AR17" i="7" s="1"/>
  <c r="C1572" i="7"/>
  <c r="AR1572" i="7" s="1"/>
  <c r="C1725" i="7"/>
  <c r="AR1725" i="7" s="1"/>
  <c r="C1305" i="7"/>
  <c r="AR1305" i="7" s="1"/>
  <c r="C787" i="7"/>
  <c r="AR787" i="7" s="1"/>
  <c r="C1401" i="7"/>
  <c r="AR1401" i="7" s="1"/>
  <c r="C1617" i="7"/>
  <c r="AR1617" i="7" s="1"/>
  <c r="C2094" i="7"/>
  <c r="AR2094" i="7" s="1"/>
  <c r="C1595" i="7"/>
  <c r="AR1595" i="7" s="1"/>
  <c r="C619" i="7"/>
  <c r="AR619" i="7" s="1"/>
  <c r="C1831" i="7"/>
  <c r="AR1831" i="7" s="1"/>
  <c r="C1181" i="7"/>
  <c r="AR1181" i="7" s="1"/>
  <c r="C1405" i="7"/>
  <c r="AR1405" i="7" s="1"/>
  <c r="C540" i="7"/>
  <c r="AR540" i="7" s="1"/>
  <c r="C928" i="7"/>
  <c r="AR928" i="7" s="1"/>
  <c r="C872" i="7"/>
  <c r="AR872" i="7" s="1"/>
  <c r="C761" i="7"/>
  <c r="AR761" i="7" s="1"/>
  <c r="C728" i="7"/>
  <c r="AR728" i="7" s="1"/>
  <c r="C718" i="7"/>
  <c r="AR718" i="7" s="1"/>
  <c r="C810" i="7"/>
  <c r="AR810" i="7" s="1"/>
  <c r="C617" i="7"/>
  <c r="AR617" i="7" s="1"/>
  <c r="C609" i="7"/>
  <c r="AR609" i="7" s="1"/>
  <c r="C908" i="7"/>
  <c r="AR908" i="7" s="1"/>
  <c r="C816" i="7"/>
  <c r="AR816" i="7" s="1"/>
  <c r="C936" i="7"/>
  <c r="AR936" i="7" s="1"/>
  <c r="C808" i="7"/>
  <c r="AR808" i="7" s="1"/>
  <c r="C802" i="7"/>
  <c r="AR802" i="7" s="1"/>
  <c r="C2276" i="7"/>
  <c r="AR2276" i="7" s="1"/>
  <c r="C20" i="7"/>
  <c r="AR20" i="7" s="1"/>
  <c r="C21" i="7"/>
  <c r="AR21" i="7" s="1"/>
  <c r="C23" i="7"/>
  <c r="AR23" i="7" s="1"/>
  <c r="C22" i="7"/>
  <c r="AR22" i="7" s="1"/>
  <c r="C1121" i="7"/>
  <c r="AR1121" i="7" s="1"/>
  <c r="C956" i="7"/>
  <c r="AR956" i="7" s="1"/>
  <c r="C731" i="7"/>
  <c r="AR731" i="7" s="1"/>
  <c r="C12" i="7"/>
  <c r="AR12" i="7" s="1"/>
  <c r="C1111" i="7"/>
  <c r="AR1111" i="7" s="1"/>
  <c r="C421" i="7"/>
  <c r="AR421" i="7" s="1"/>
  <c r="C427" i="7"/>
  <c r="AR427" i="7" s="1"/>
  <c r="C418" i="7"/>
  <c r="AR418" i="7" s="1"/>
  <c r="C419" i="7"/>
  <c r="AR419" i="7" s="1"/>
  <c r="C424" i="7"/>
  <c r="AR424" i="7" s="1"/>
  <c r="C429" i="7"/>
  <c r="AR429" i="7" s="1"/>
  <c r="C2255" i="7"/>
  <c r="AR2255" i="7" s="1"/>
  <c r="C1180" i="7"/>
  <c r="AR1180" i="7" s="1"/>
  <c r="C1231" i="7"/>
  <c r="AR1231" i="7" s="1"/>
  <c r="C1165" i="7"/>
  <c r="AR1165" i="7" s="1"/>
  <c r="C1220" i="7"/>
  <c r="AR1220" i="7" s="1"/>
  <c r="C1164" i="7"/>
  <c r="AR1164" i="7" s="1"/>
  <c r="C1162" i="7"/>
  <c r="AR1162" i="7" s="1"/>
  <c r="C1290" i="7"/>
  <c r="AR1290" i="7" s="1"/>
  <c r="C1219" i="7"/>
  <c r="AR1219" i="7" s="1"/>
  <c r="C1105" i="7"/>
  <c r="AR1105" i="7" s="1"/>
  <c r="C1393" i="7"/>
  <c r="AR1393" i="7" s="1"/>
  <c r="C1116" i="7"/>
  <c r="AR1116" i="7" s="1"/>
  <c r="C1844" i="7"/>
  <c r="AR1844" i="7" s="1"/>
  <c r="C1760" i="7"/>
  <c r="AR1760" i="7" s="1"/>
  <c r="C1883" i="7"/>
  <c r="AR1883" i="7" s="1"/>
  <c r="C2005" i="7"/>
  <c r="AR2005" i="7" s="1"/>
  <c r="C2242" i="7"/>
  <c r="AR2242" i="7" s="1"/>
  <c r="C15" i="7"/>
  <c r="AR15" i="7" s="1"/>
  <c r="C267" i="7"/>
  <c r="AR267" i="7" s="1"/>
  <c r="C1746" i="7"/>
  <c r="AR1746" i="7" s="1"/>
  <c r="C1310" i="7"/>
  <c r="AR1310" i="7" s="1"/>
  <c r="C1601" i="7"/>
  <c r="AR1601" i="7" s="1"/>
  <c r="C1414" i="7"/>
  <c r="AR1414" i="7" s="1"/>
  <c r="C1788" i="7"/>
  <c r="AR1788" i="7" s="1"/>
  <c r="C1014" i="7"/>
  <c r="AR1014" i="7" s="1"/>
  <c r="C990" i="7"/>
  <c r="AR990" i="7" s="1"/>
  <c r="C1091" i="7"/>
  <c r="AR1091" i="7" s="1"/>
  <c r="C1523" i="7"/>
  <c r="AR1523" i="7" s="1"/>
  <c r="C1849" i="7"/>
  <c r="AR1849" i="7" s="1"/>
  <c r="C2225" i="7"/>
  <c r="AR2225" i="7" s="1"/>
  <c r="C1154" i="7"/>
  <c r="AR1154" i="7" s="1"/>
  <c r="C962" i="7"/>
  <c r="AR962" i="7" s="1"/>
  <c r="C1082" i="7"/>
  <c r="AR1082" i="7" s="1"/>
  <c r="C2167" i="7"/>
  <c r="AR2167" i="7" s="1"/>
  <c r="C2264" i="7"/>
  <c r="AR2264" i="7" s="1"/>
  <c r="C2053" i="7"/>
  <c r="AR2053" i="7" s="1"/>
  <c r="C2110" i="7"/>
  <c r="AR2110" i="7" s="1"/>
  <c r="C1741" i="7"/>
  <c r="AR1741" i="7" s="1"/>
  <c r="C1952" i="7"/>
  <c r="AR1952" i="7" s="1"/>
  <c r="C2210" i="7"/>
  <c r="AR2210" i="7" s="1"/>
  <c r="C1270" i="7"/>
  <c r="AR1270" i="7" s="1"/>
  <c r="C2035" i="7"/>
  <c r="AR2035" i="7" s="1"/>
  <c r="C1440" i="7"/>
  <c r="AR1440" i="7" s="1"/>
  <c r="C1250" i="7"/>
  <c r="AR1250" i="7" s="1"/>
  <c r="C2070" i="7"/>
  <c r="AR2070" i="7" s="1"/>
  <c r="C2074" i="7"/>
  <c r="AR2074" i="7" s="1"/>
  <c r="C880" i="7"/>
  <c r="AR880" i="7" s="1"/>
  <c r="C1710" i="7"/>
  <c r="AR1710" i="7" s="1"/>
  <c r="C1985" i="7"/>
  <c r="AR1985" i="7" s="1"/>
  <c r="C1929" i="7"/>
  <c r="AR1929" i="7" s="1"/>
  <c r="C1950" i="7"/>
  <c r="AR1950" i="7" s="1"/>
  <c r="C2093" i="7"/>
  <c r="AR2093" i="7" s="1"/>
  <c r="C2229" i="7"/>
  <c r="AR2229" i="7" s="1"/>
  <c r="C1953" i="7"/>
  <c r="AR1953" i="7" s="1"/>
  <c r="C1707" i="7"/>
  <c r="AR1707" i="7" s="1"/>
  <c r="C1789" i="7"/>
  <c r="AR1789" i="7" s="1"/>
  <c r="C1120" i="7"/>
  <c r="AR1120" i="7" s="1"/>
  <c r="C1884" i="7"/>
  <c r="AR1884" i="7" s="1"/>
  <c r="C2061" i="7"/>
  <c r="AR2061" i="7" s="1"/>
  <c r="C1764" i="7"/>
  <c r="AR1764" i="7" s="1"/>
  <c r="C982" i="7"/>
  <c r="AR982" i="7" s="1"/>
  <c r="C993" i="7"/>
  <c r="AR993" i="7" s="1"/>
  <c r="C965" i="7"/>
  <c r="AR965" i="7" s="1"/>
  <c r="C1001" i="7"/>
  <c r="AR1001" i="7" s="1"/>
  <c r="C781" i="7"/>
  <c r="AR781" i="7" s="1"/>
  <c r="C976" i="7"/>
  <c r="AR976" i="7" s="1"/>
  <c r="C500" i="7"/>
  <c r="AR500" i="7" s="1"/>
  <c r="C603" i="7"/>
  <c r="AR603" i="7" s="1"/>
  <c r="C735" i="7"/>
  <c r="AR735" i="7" s="1"/>
  <c r="C687" i="7"/>
  <c r="AR687" i="7" s="1"/>
  <c r="C624" i="7"/>
  <c r="AR624" i="7" s="1"/>
  <c r="C665" i="7"/>
  <c r="AR665" i="7" s="1"/>
  <c r="C440" i="7"/>
  <c r="AR440" i="7" s="1"/>
  <c r="C577" i="7"/>
  <c r="AR577" i="7" s="1"/>
  <c r="C607" i="7"/>
  <c r="AR607" i="7" s="1"/>
  <c r="C499" i="7"/>
  <c r="AR499" i="7" s="1"/>
  <c r="C425" i="7"/>
  <c r="AR425" i="7" s="1"/>
  <c r="C453" i="7"/>
  <c r="AR453" i="7" s="1"/>
  <c r="C604" i="7"/>
  <c r="AR604" i="7" s="1"/>
  <c r="C574" i="7"/>
  <c r="AR574" i="7" s="1"/>
  <c r="C470" i="7"/>
  <c r="AR470" i="7" s="1"/>
  <c r="C465" i="7"/>
  <c r="C349" i="7"/>
  <c r="AR349" i="7" s="1"/>
  <c r="C456" i="7"/>
  <c r="AR456" i="7" s="1"/>
  <c r="C561" i="7"/>
  <c r="AR561" i="7" s="1"/>
  <c r="C817" i="7"/>
  <c r="AR817" i="7" s="1"/>
  <c r="C1028" i="7"/>
  <c r="AR1028" i="7" s="1"/>
  <c r="C703" i="7"/>
  <c r="AR703" i="7" s="1"/>
  <c r="C1050" i="7"/>
  <c r="AR1050" i="7" s="1"/>
  <c r="C974" i="7"/>
  <c r="AR974" i="7" s="1"/>
  <c r="C685" i="7"/>
  <c r="AR685" i="7" s="1"/>
  <c r="C2230" i="7"/>
  <c r="AR2230" i="7" s="1"/>
  <c r="C1686" i="7"/>
  <c r="AR1686" i="7" s="1"/>
  <c r="C867" i="7"/>
  <c r="AR867" i="7" s="1"/>
  <c r="C1119" i="7"/>
  <c r="AR1119" i="7" s="1"/>
  <c r="C1392" i="7"/>
  <c r="AR1392" i="7" s="1"/>
  <c r="C1244" i="7"/>
  <c r="AR1244" i="7" s="1"/>
  <c r="C1281" i="7"/>
  <c r="AR1281" i="7" s="1"/>
  <c r="C1160" i="7"/>
  <c r="AR1160" i="7" s="1"/>
  <c r="C1287" i="7"/>
  <c r="AR1287" i="7" s="1"/>
  <c r="C811" i="7"/>
  <c r="AR811" i="7" s="1"/>
  <c r="C342" i="7"/>
  <c r="AR342" i="7" s="1"/>
  <c r="C332" i="7"/>
  <c r="AR332" i="7" s="1"/>
  <c r="C1347" i="7"/>
  <c r="AR1347" i="7" s="1"/>
  <c r="C167" i="7"/>
  <c r="AR167" i="7" s="1"/>
  <c r="C157" i="7"/>
  <c r="AR157" i="7" s="1"/>
  <c r="C179" i="7"/>
  <c r="AR179" i="7" s="1"/>
  <c r="C178" i="7"/>
  <c r="AR178" i="7" s="1"/>
  <c r="C152" i="7"/>
  <c r="AR152" i="7" s="1"/>
  <c r="C168" i="7"/>
  <c r="AR168" i="7" s="1"/>
  <c r="C174" i="7"/>
  <c r="AR174" i="7" s="1"/>
  <c r="C172" i="7"/>
  <c r="AR172" i="7" s="1"/>
  <c r="C162" i="7"/>
  <c r="AR162" i="7" s="1"/>
  <c r="C153" i="7"/>
  <c r="AR153" i="7" s="1"/>
  <c r="C151" i="7"/>
  <c r="AR151" i="7" s="1"/>
  <c r="C1623" i="7"/>
  <c r="AR1623" i="7" s="1"/>
  <c r="C1861" i="7"/>
  <c r="AR1861" i="7" s="1"/>
  <c r="C2116" i="7"/>
  <c r="AR2116" i="7" s="1"/>
  <c r="C2245" i="7"/>
  <c r="AR2245" i="7" s="1"/>
  <c r="C2112" i="7"/>
  <c r="AR2112" i="7" s="1"/>
  <c r="C2132" i="7"/>
  <c r="AR2132" i="7" s="1"/>
  <c r="C2235" i="7"/>
  <c r="AR2235" i="7" s="1"/>
  <c r="C1765" i="7"/>
  <c r="AR1765" i="7" s="1"/>
  <c r="C2257" i="7"/>
  <c r="AR2257" i="7" s="1"/>
  <c r="C2261" i="7"/>
  <c r="AR2261" i="7" s="1"/>
  <c r="C2145" i="7"/>
  <c r="AR2145" i="7" s="1"/>
  <c r="C1002" i="7"/>
  <c r="AR1002" i="7" s="1"/>
  <c r="C2232" i="7"/>
  <c r="AR2232" i="7" s="1"/>
  <c r="C2189" i="7"/>
  <c r="AR2189" i="7" s="1"/>
  <c r="C946" i="7"/>
  <c r="AR946" i="7" s="1"/>
  <c r="C825" i="7"/>
  <c r="AR825" i="7" s="1"/>
  <c r="C1329" i="7"/>
  <c r="AR1329" i="7" s="1"/>
  <c r="C879" i="7"/>
  <c r="AR879" i="7" s="1"/>
  <c r="C1066" i="7"/>
  <c r="AR1066" i="7" s="1"/>
  <c r="C992" i="7"/>
  <c r="AR992" i="7" s="1"/>
  <c r="C1007" i="7"/>
  <c r="AR1007" i="7" s="1"/>
  <c r="C997" i="7"/>
  <c r="AR997" i="7" s="1"/>
  <c r="C1032" i="7"/>
  <c r="AR1032" i="7" s="1"/>
  <c r="C1030" i="7"/>
  <c r="AR1030" i="7" s="1"/>
  <c r="C1317" i="7"/>
  <c r="AR1317" i="7" s="1"/>
  <c r="C1245" i="7"/>
  <c r="AR1245" i="7" s="1"/>
  <c r="C2234" i="7"/>
  <c r="AR2234" i="7" s="1"/>
  <c r="C1670" i="7"/>
  <c r="AR1670" i="7" s="1"/>
  <c r="C1467" i="7"/>
  <c r="AR1467" i="7" s="1"/>
  <c r="C2114" i="7"/>
  <c r="AR2114" i="7" s="1"/>
  <c r="C386" i="7"/>
  <c r="AR386" i="7" s="1"/>
  <c r="C375" i="7"/>
  <c r="AR375" i="7" s="1"/>
  <c r="C241" i="7"/>
  <c r="AR241" i="7" s="1"/>
  <c r="C1538" i="7"/>
  <c r="AR1538" i="7" s="1"/>
  <c r="C1339" i="7"/>
  <c r="AR1339" i="7" s="1"/>
  <c r="C1399" i="7"/>
  <c r="AR1399" i="7" s="1"/>
  <c r="C1782" i="7"/>
  <c r="AR1782" i="7" s="1"/>
  <c r="C149" i="7"/>
  <c r="AR149" i="7" s="1"/>
  <c r="C171" i="7"/>
  <c r="AR171" i="7" s="1"/>
  <c r="C161" i="7"/>
  <c r="AR161" i="7" s="1"/>
  <c r="C177" i="7"/>
  <c r="AR177" i="7" s="1"/>
  <c r="C163" i="7"/>
  <c r="AR163" i="7" s="1"/>
  <c r="C170" i="7"/>
  <c r="AR170" i="7" s="1"/>
  <c r="C173" i="7"/>
  <c r="AR173" i="7" s="1"/>
  <c r="C175" i="7"/>
  <c r="AR175" i="7" s="1"/>
  <c r="C164" i="7"/>
  <c r="AR164" i="7" s="1"/>
  <c r="C166" i="7"/>
  <c r="AR166" i="7" s="1"/>
  <c r="C165" i="7"/>
  <c r="AR165" i="7" s="1"/>
  <c r="C1925" i="7"/>
  <c r="AR1925" i="7" s="1"/>
  <c r="C1135" i="7"/>
  <c r="AR1135" i="7" s="1"/>
  <c r="C556" i="7"/>
  <c r="AR556" i="7" s="1"/>
  <c r="C1106" i="7"/>
  <c r="AR1106" i="7" s="1"/>
  <c r="C652" i="7"/>
  <c r="AR652" i="7" s="1"/>
  <c r="C1240" i="7"/>
  <c r="AR1240" i="7" s="1"/>
  <c r="C641" i="7"/>
  <c r="AR641" i="7" s="1"/>
  <c r="C980" i="7"/>
  <c r="AR980" i="7" s="1"/>
  <c r="C469" i="7"/>
  <c r="AR469" i="7" s="1"/>
  <c r="C1946" i="7"/>
  <c r="AR1946" i="7" s="1"/>
  <c r="C1732" i="7"/>
  <c r="AR1732" i="7" s="1"/>
  <c r="C1517" i="7"/>
  <c r="AR1517" i="7" s="1"/>
  <c r="C2096" i="7"/>
  <c r="AR2096" i="7" s="1"/>
  <c r="C2272" i="7"/>
  <c r="AR2272" i="7" s="1"/>
  <c r="C2165" i="7"/>
  <c r="AR2165" i="7" s="1"/>
  <c r="C1088" i="7"/>
  <c r="AR1088" i="7" s="1"/>
  <c r="C1575" i="7"/>
  <c r="AR1575" i="7" s="1"/>
  <c r="C1750" i="7"/>
  <c r="AR1750" i="7" s="1"/>
  <c r="C1293" i="7"/>
  <c r="AR1293" i="7" s="1"/>
  <c r="C2198" i="7"/>
  <c r="AR2198" i="7" s="1"/>
  <c r="C646" i="7"/>
  <c r="AR646" i="7" s="1"/>
  <c r="C1651" i="7"/>
  <c r="AR1651" i="7" s="1"/>
  <c r="C1389" i="7"/>
  <c r="AR1389" i="7" s="1"/>
  <c r="C858" i="7"/>
  <c r="C753" i="7"/>
  <c r="AR753" i="7" s="1"/>
  <c r="C776" i="7"/>
  <c r="AR776" i="7" s="1"/>
  <c r="C864" i="7"/>
  <c r="AR864" i="7" s="1"/>
  <c r="C911" i="7"/>
  <c r="AR911" i="7" s="1"/>
  <c r="C741" i="7"/>
  <c r="AR741" i="7" s="1"/>
  <c r="C677" i="7"/>
  <c r="AR677" i="7" s="1"/>
  <c r="C647" i="7"/>
  <c r="AR647" i="7" s="1"/>
  <c r="C736" i="7"/>
  <c r="AR736" i="7" s="1"/>
  <c r="C782" i="7"/>
  <c r="AR782" i="7" s="1"/>
  <c r="C680" i="7"/>
  <c r="AR680" i="7" s="1"/>
  <c r="C755" i="7"/>
  <c r="AR755" i="7" s="1"/>
  <c r="C630" i="7"/>
  <c r="AR630" i="7" s="1"/>
  <c r="C660" i="7"/>
  <c r="AR660" i="7" s="1"/>
  <c r="C648" i="7"/>
  <c r="AR648" i="7" s="1"/>
  <c r="C740" i="7"/>
  <c r="AR740" i="7" s="1"/>
  <c r="C542" i="7"/>
  <c r="AR542" i="7" s="1"/>
  <c r="C393" i="7"/>
  <c r="AR393" i="7" s="1"/>
  <c r="C482" i="7"/>
  <c r="AR482" i="7" s="1"/>
  <c r="C653" i="7"/>
  <c r="AR653" i="7" s="1"/>
  <c r="C520" i="7"/>
  <c r="AR520" i="7" s="1"/>
  <c r="C480" i="7"/>
  <c r="AR480" i="7" s="1"/>
  <c r="C640" i="7"/>
  <c r="AR640" i="7" s="1"/>
  <c r="C845" i="7"/>
  <c r="AR845" i="7" s="1"/>
  <c r="C814" i="7"/>
  <c r="AR814" i="7" s="1"/>
  <c r="C887" i="7"/>
  <c r="AR887" i="7" s="1"/>
  <c r="C906" i="7"/>
  <c r="AR906" i="7" s="1"/>
  <c r="C780" i="7"/>
  <c r="AR780" i="7" s="1"/>
  <c r="C774" i="7"/>
  <c r="AR774" i="7" s="1"/>
  <c r="C818" i="7"/>
  <c r="AR818" i="7" s="1"/>
  <c r="C1543" i="7"/>
  <c r="AR1543" i="7" s="1"/>
  <c r="C573" i="7"/>
  <c r="AR573" i="7" s="1"/>
  <c r="C704" i="7"/>
  <c r="AR704" i="7" s="1"/>
  <c r="C850" i="7"/>
  <c r="AR850" i="7" s="1"/>
  <c r="C837" i="7"/>
  <c r="AR837" i="7" s="1"/>
  <c r="C900" i="7"/>
  <c r="AR900" i="7" s="1"/>
  <c r="C441" i="7"/>
  <c r="AR441" i="7" s="1"/>
  <c r="C918" i="7"/>
  <c r="AR918" i="7" s="1"/>
  <c r="C874" i="7"/>
  <c r="AR874" i="7" s="1"/>
  <c r="C764" i="7"/>
  <c r="AR764" i="7" s="1"/>
  <c r="C903" i="7"/>
  <c r="AR903" i="7" s="1"/>
  <c r="C684" i="7"/>
  <c r="AR684" i="7" s="1"/>
  <c r="C484" i="7"/>
  <c r="AR484" i="7" s="1"/>
  <c r="C249" i="7"/>
  <c r="AR249" i="7" s="1"/>
  <c r="C331" i="7"/>
  <c r="AR331" i="7" s="1"/>
  <c r="C262" i="7"/>
  <c r="AR262" i="7" s="1"/>
  <c r="C330" i="7"/>
  <c r="AR330" i="7" s="1"/>
  <c r="C300" i="7"/>
  <c r="AR300" i="7" s="1"/>
  <c r="C324" i="7"/>
  <c r="AR324" i="7" s="1"/>
  <c r="C296" i="7"/>
  <c r="AR296" i="7" s="1"/>
  <c r="C289" i="7"/>
  <c r="AR289" i="7" s="1"/>
  <c r="C355" i="7"/>
  <c r="AR355" i="7" s="1"/>
  <c r="C350" i="7"/>
  <c r="AR350" i="7" s="1"/>
  <c r="C346" i="7"/>
  <c r="AR346" i="7" s="1"/>
  <c r="C319" i="7"/>
  <c r="AR319" i="7" s="1"/>
  <c r="C351" i="7"/>
  <c r="AR351" i="7" s="1"/>
  <c r="C340" i="7"/>
  <c r="AR340" i="7" s="1"/>
  <c r="C464" i="7"/>
  <c r="AR464" i="7" s="1"/>
  <c r="C474" i="7"/>
  <c r="AR474" i="7" s="1"/>
  <c r="C846" i="7"/>
  <c r="AR846" i="7" s="1"/>
  <c r="C370" i="7"/>
  <c r="AR370" i="7" s="1"/>
  <c r="C662" i="7"/>
  <c r="AR662" i="7" s="1"/>
  <c r="C963" i="7"/>
  <c r="AR963" i="7" s="1"/>
  <c r="C797" i="7"/>
  <c r="AR797" i="7" s="1"/>
  <c r="C1087" i="7"/>
  <c r="AR1087" i="7" s="1"/>
  <c r="C1360" i="7"/>
  <c r="AR1360" i="7" s="1"/>
  <c r="C1530" i="7"/>
  <c r="AR1530" i="7" s="1"/>
  <c r="C582" i="7"/>
  <c r="AR582" i="7" s="1"/>
  <c r="C848" i="7"/>
  <c r="AR848" i="7" s="1"/>
  <c r="C1622" i="7"/>
  <c r="AR1622" i="7" s="1"/>
  <c r="C1322" i="7"/>
  <c r="AR1322" i="7" s="1"/>
  <c r="C968" i="7"/>
  <c r="AR968" i="7" s="1"/>
  <c r="C1005" i="7"/>
  <c r="AR1005" i="7" s="1"/>
  <c r="C1506" i="7"/>
  <c r="AR1506" i="7" s="1"/>
  <c r="C1502" i="7"/>
  <c r="AR1502" i="7" s="1"/>
  <c r="C2262" i="7"/>
  <c r="AR2262" i="7" s="1"/>
  <c r="C1375" i="7"/>
  <c r="AR1375" i="7" s="1"/>
  <c r="C1555" i="7"/>
  <c r="AR1555" i="7" s="1"/>
  <c r="C1343" i="7"/>
  <c r="AR1343" i="7" s="1"/>
  <c r="C1021" i="7"/>
  <c r="AR1021" i="7" s="1"/>
  <c r="C2154" i="7"/>
  <c r="AR2154" i="7" s="1"/>
  <c r="C1350" i="7"/>
  <c r="AR1350" i="7" s="1"/>
  <c r="C1212" i="7"/>
  <c r="AR1212" i="7" s="1"/>
  <c r="C1336" i="7"/>
  <c r="AR1336" i="7" s="1"/>
  <c r="C1659" i="7"/>
  <c r="AR1659" i="7" s="1"/>
  <c r="C2026" i="7"/>
  <c r="AR2026" i="7" s="1"/>
  <c r="C1666" i="7"/>
  <c r="AR1666" i="7" s="1"/>
  <c r="C1257" i="7"/>
  <c r="AR1257" i="7" s="1"/>
  <c r="C750" i="7"/>
  <c r="AR750" i="7" s="1"/>
  <c r="C545" i="7"/>
  <c r="AR545" i="7" s="1"/>
  <c r="C586" i="7"/>
  <c r="AR586" i="7" s="1"/>
  <c r="C1374" i="7"/>
  <c r="AR1374" i="7" s="1"/>
  <c r="C953" i="7"/>
  <c r="AR953" i="7" s="1"/>
  <c r="C847" i="7"/>
  <c r="AR847" i="7" s="1"/>
  <c r="C751" i="7"/>
  <c r="AR751" i="7" s="1"/>
  <c r="C792" i="7"/>
  <c r="AR792" i="7" s="1"/>
  <c r="C914" i="7"/>
  <c r="AR914" i="7" s="1"/>
  <c r="C904" i="7"/>
  <c r="AR904" i="7" s="1"/>
  <c r="C672" i="7"/>
  <c r="AR672" i="7" s="1"/>
  <c r="C712" i="7"/>
  <c r="AR712" i="7" s="1"/>
  <c r="C725" i="7"/>
  <c r="AR725" i="7" s="1"/>
  <c r="C799" i="7"/>
  <c r="AR799" i="7" s="1"/>
  <c r="C214" i="7"/>
  <c r="AR214" i="7" s="1"/>
  <c r="C892" i="7"/>
  <c r="AR892" i="7" s="1"/>
  <c r="C655" i="7"/>
  <c r="AR655" i="7" s="1"/>
  <c r="C616" i="7"/>
  <c r="AR616" i="7" s="1"/>
  <c r="C759" i="7"/>
  <c r="AR759" i="7" s="1"/>
  <c r="C1214" i="7"/>
  <c r="AR1214" i="7" s="1"/>
  <c r="C1108" i="7"/>
  <c r="AR1108" i="7" s="1"/>
  <c r="C1184" i="7"/>
  <c r="AR1184" i="7" s="1"/>
  <c r="C203" i="7"/>
  <c r="AR203" i="7" s="1"/>
  <c r="C213" i="7"/>
  <c r="AR213" i="7" s="1"/>
  <c r="C575" i="7"/>
  <c r="AR575" i="7" s="1"/>
  <c r="C1519" i="7"/>
  <c r="AR1519" i="7" s="1"/>
  <c r="C778" i="7"/>
  <c r="AR778" i="7" s="1"/>
  <c r="C265" i="7"/>
  <c r="AR265" i="7" s="1"/>
  <c r="C266" i="7"/>
  <c r="AR266" i="7" s="1"/>
  <c r="C2147" i="7"/>
  <c r="AR2147" i="7" s="1"/>
  <c r="C1236" i="7"/>
  <c r="AR1236" i="7" s="1"/>
  <c r="C1742" i="7"/>
  <c r="AR1742" i="7" s="1"/>
  <c r="C1828" i="7"/>
  <c r="AR1828" i="7" s="1"/>
  <c r="C1858" i="7"/>
  <c r="AR1858" i="7" s="1"/>
  <c r="C1804" i="7"/>
  <c r="AR1804" i="7" s="1"/>
  <c r="C1721" i="7"/>
  <c r="AR1721" i="7" s="1"/>
  <c r="C1112" i="7"/>
  <c r="AR1112" i="7" s="1"/>
  <c r="C2201" i="7"/>
  <c r="AR2201" i="7" s="1"/>
  <c r="C2202" i="7"/>
  <c r="AR2202" i="7" s="1"/>
  <c r="C1576" i="7"/>
  <c r="AR1576" i="7" s="1"/>
  <c r="C1730" i="7"/>
  <c r="AR1730" i="7" s="1"/>
  <c r="C2130" i="7"/>
  <c r="AR2130" i="7" s="1"/>
  <c r="C2144" i="7"/>
  <c r="AR2144" i="7" s="1"/>
  <c r="C2072" i="7"/>
  <c r="AR2072" i="7" s="1"/>
  <c r="C1046" i="7"/>
  <c r="AR1046" i="7" s="1"/>
  <c r="C1268" i="7"/>
  <c r="AR1268" i="7" s="1"/>
  <c r="C1249" i="7"/>
  <c r="AR1249" i="7" s="1"/>
  <c r="C805" i="7"/>
  <c r="AR805" i="7" s="1"/>
  <c r="C1094" i="7"/>
  <c r="AR1094" i="7" s="1"/>
  <c r="C2266" i="7"/>
  <c r="AR2266" i="7" s="1"/>
  <c r="C777" i="7"/>
  <c r="AR777" i="7" s="1"/>
  <c r="C1086" i="7"/>
  <c r="AR1086" i="7" s="1"/>
  <c r="C1148" i="7"/>
  <c r="AR1148" i="7" s="1"/>
  <c r="C1226" i="7"/>
  <c r="AR1226" i="7" s="1"/>
  <c r="C1521" i="7"/>
  <c r="AR1521" i="7" s="1"/>
  <c r="C1689" i="7"/>
  <c r="AR1689" i="7" s="1"/>
  <c r="C1549" i="7"/>
  <c r="C1097" i="7"/>
  <c r="AR1097" i="7" s="1"/>
  <c r="C897" i="7"/>
  <c r="AR897" i="7" s="1"/>
  <c r="C869" i="7"/>
  <c r="AR869" i="7" s="1"/>
  <c r="C710" i="7"/>
  <c r="AR710" i="7" s="1"/>
  <c r="C807" i="7"/>
  <c r="AR807" i="7" s="1"/>
  <c r="C855" i="7"/>
  <c r="AR855" i="7" s="1"/>
  <c r="C938" i="7"/>
  <c r="AR938" i="7" s="1"/>
  <c r="C813" i="7"/>
  <c r="AR813" i="7" s="1"/>
  <c r="C889" i="7"/>
  <c r="AR889" i="7" s="1"/>
  <c r="C873" i="7"/>
  <c r="AR873" i="7" s="1"/>
  <c r="C1073" i="7"/>
  <c r="AR1073" i="7" s="1"/>
  <c r="C1586" i="7"/>
  <c r="AR1586" i="7" s="1"/>
  <c r="C1879" i="7"/>
  <c r="AR1879" i="7" s="1"/>
  <c r="C1239" i="7"/>
  <c r="AR1239" i="7" s="1"/>
  <c r="C1337" i="7"/>
  <c r="AR1337" i="7" s="1"/>
  <c r="C1520" i="7"/>
  <c r="AR1520" i="7" s="1"/>
  <c r="C1494" i="7"/>
  <c r="AR1494" i="7" s="1"/>
  <c r="C1557" i="7"/>
  <c r="AR1557" i="7" s="1"/>
  <c r="C1491" i="7"/>
  <c r="AR1491" i="7" s="1"/>
  <c r="C1237" i="7"/>
  <c r="AR1237" i="7" s="1"/>
  <c r="C1547" i="7"/>
  <c r="AR1547" i="7" s="1"/>
  <c r="C1272" i="7"/>
  <c r="AR1272" i="7" s="1"/>
  <c r="C1826" i="7"/>
  <c r="AR1826" i="7" s="1"/>
  <c r="C2253" i="7"/>
  <c r="AR2253" i="7" s="1"/>
  <c r="C176" i="7"/>
  <c r="AR176" i="7" s="1"/>
  <c r="C158" i="7"/>
  <c r="AR158" i="7" s="1"/>
  <c r="C184" i="7"/>
  <c r="AR184" i="7" s="1"/>
  <c r="C181" i="7"/>
  <c r="AR181" i="7" s="1"/>
  <c r="C180" i="7"/>
  <c r="AR180" i="7" s="1"/>
  <c r="C185" i="7"/>
  <c r="AR185" i="7" s="1"/>
  <c r="C150" i="7"/>
  <c r="AR150" i="7" s="1"/>
  <c r="C154" i="7"/>
  <c r="AR154" i="7" s="1"/>
  <c r="C156" i="7"/>
  <c r="AR156" i="7" s="1"/>
  <c r="C155" i="7"/>
  <c r="AR155" i="7" s="1"/>
  <c r="C2267" i="7"/>
  <c r="AR2267" i="7" s="1"/>
  <c r="C1633" i="7"/>
  <c r="AR1633" i="7" s="1"/>
  <c r="C2263" i="7"/>
  <c r="AR2263" i="7" s="1"/>
  <c r="C1474" i="7"/>
  <c r="AR1474" i="7" s="1"/>
  <c r="C1203" i="7"/>
  <c r="AR1203" i="7" s="1"/>
  <c r="C294" i="7"/>
  <c r="AR294" i="7" s="1"/>
  <c r="C1939" i="7"/>
  <c r="AR1939" i="7" s="1"/>
  <c r="C1696" i="7"/>
  <c r="AR1696" i="7" s="1"/>
  <c r="C1469" i="7"/>
  <c r="AR1469" i="7" s="1"/>
  <c r="C1769" i="7"/>
  <c r="AR1769" i="7" s="1"/>
  <c r="C1771" i="7"/>
  <c r="AR1771" i="7" s="1"/>
  <c r="C1693" i="7"/>
  <c r="AR1693" i="7" s="1"/>
  <c r="C1695" i="7"/>
  <c r="AR1695" i="7" s="1"/>
  <c r="C1935" i="7"/>
  <c r="AR1935" i="7" s="1"/>
  <c r="C2182" i="7"/>
  <c r="AR2182" i="7" s="1"/>
  <c r="C1326" i="7"/>
  <c r="AR1326" i="7" s="1"/>
  <c r="C1866" i="7"/>
  <c r="AR1866" i="7" s="1"/>
  <c r="C1280" i="7"/>
  <c r="AR1280" i="7" s="1"/>
  <c r="C1193" i="7"/>
  <c r="AR1193" i="7" s="1"/>
  <c r="C1248" i="7"/>
  <c r="AR1248" i="7" s="1"/>
  <c r="C535" i="7"/>
  <c r="AR535" i="7" s="1"/>
  <c r="C611" i="7"/>
  <c r="AR611" i="7" s="1"/>
  <c r="C689" i="7"/>
  <c r="AR689" i="7" s="1"/>
  <c r="C511" i="7"/>
  <c r="AR511" i="7" s="1"/>
  <c r="C941" i="7"/>
  <c r="AR941" i="7" s="1"/>
  <c r="C1823" i="7"/>
  <c r="AR1823" i="7" s="1"/>
  <c r="C2181" i="7"/>
  <c r="AR2181" i="7" s="1"/>
  <c r="C2241" i="7"/>
  <c r="AR2241" i="7" s="1"/>
  <c r="C1801" i="7"/>
  <c r="AR1801" i="7" s="1"/>
  <c r="C2043" i="7"/>
  <c r="AR2043" i="7" s="1"/>
  <c r="C2177" i="7"/>
  <c r="AR2177" i="7" s="1"/>
  <c r="C1422" i="7"/>
  <c r="AR1422" i="7" s="1"/>
  <c r="C1141" i="7"/>
  <c r="AR1141" i="7" s="1"/>
  <c r="C727" i="7"/>
  <c r="AR727" i="7" s="1"/>
  <c r="C876" i="7"/>
  <c r="AR876" i="7" s="1"/>
  <c r="C2265" i="7"/>
  <c r="AR2265" i="7" s="1"/>
  <c r="C588" i="7"/>
  <c r="AR588" i="7" s="1"/>
  <c r="C711" i="7"/>
  <c r="AR711" i="7" s="1"/>
  <c r="C1332" i="7"/>
  <c r="AR1332" i="7" s="1"/>
  <c r="C1615" i="7"/>
  <c r="AR1615" i="7" s="1"/>
  <c r="C1577" i="7"/>
  <c r="AR1577" i="7" s="1"/>
  <c r="C1387" i="7"/>
  <c r="AR1387" i="7" s="1"/>
  <c r="C1300" i="7"/>
  <c r="AR1300" i="7" s="1"/>
  <c r="C1323" i="7"/>
  <c r="AR1323" i="7" s="1"/>
  <c r="C1335" i="7"/>
  <c r="AR1335" i="7" s="1"/>
  <c r="C1372" i="7"/>
  <c r="AR1372" i="7" s="1"/>
  <c r="C973" i="7"/>
  <c r="AR973" i="7" s="1"/>
  <c r="C1213" i="7"/>
  <c r="AR1213" i="7" s="1"/>
  <c r="C430" i="7"/>
  <c r="AR430" i="7" s="1"/>
  <c r="C794" i="7"/>
  <c r="AR794" i="7" s="1"/>
  <c r="C1208" i="7"/>
  <c r="AR1208" i="7" s="1"/>
  <c r="C1145" i="7"/>
  <c r="AR1145" i="7" s="1"/>
  <c r="C1004" i="7"/>
  <c r="AR1004" i="7" s="1"/>
  <c r="C698" i="7"/>
  <c r="AR698" i="7" s="1"/>
  <c r="C784" i="7"/>
  <c r="AR784" i="7" s="1"/>
  <c r="C742" i="7"/>
  <c r="AR742" i="7" s="1"/>
  <c r="C843" i="7"/>
  <c r="AR843" i="7" s="1"/>
  <c r="C769" i="7"/>
  <c r="AR769" i="7" s="1"/>
  <c r="C1324" i="7"/>
  <c r="AR1324" i="7" s="1"/>
  <c r="C1585" i="7"/>
  <c r="AR1585" i="7" s="1"/>
  <c r="C1358" i="7"/>
  <c r="AR1358" i="7" s="1"/>
  <c r="C1202" i="7"/>
  <c r="AR1202" i="7" s="1"/>
  <c r="C1100" i="7"/>
  <c r="AR1100" i="7" s="1"/>
  <c r="C834" i="7"/>
  <c r="AR834" i="7" s="1"/>
  <c r="C832" i="7"/>
  <c r="AR832" i="7" s="1"/>
  <c r="C530" i="7"/>
  <c r="AR530" i="7" s="1"/>
  <c r="C257" i="7"/>
  <c r="AR257" i="7" s="1"/>
  <c r="C254" i="7"/>
  <c r="AR254" i="7" s="1"/>
  <c r="C1128" i="7"/>
  <c r="AR1128" i="7" s="1"/>
  <c r="C1582" i="7"/>
  <c r="AR1582" i="7" s="1"/>
  <c r="C1286" i="7"/>
  <c r="AR1286" i="7" s="1"/>
  <c r="C1631" i="7"/>
  <c r="AR1631" i="7" s="1"/>
  <c r="C1781" i="7"/>
  <c r="AR1781" i="7" s="1"/>
  <c r="C1661" i="7"/>
  <c r="AR1661" i="7" s="1"/>
  <c r="C1430" i="7"/>
  <c r="AR1430" i="7" s="1"/>
  <c r="C1892" i="7"/>
  <c r="AR1892" i="7" s="1"/>
  <c r="C2163" i="7"/>
  <c r="AR2163" i="7" s="1"/>
  <c r="C2158" i="7"/>
  <c r="AR2158" i="7" s="1"/>
  <c r="C2134" i="7"/>
  <c r="AR2134" i="7" s="1"/>
  <c r="C2168" i="7"/>
  <c r="AR2168" i="7" s="1"/>
  <c r="C2216" i="7"/>
  <c r="AR2216" i="7" s="1"/>
  <c r="C2124" i="7"/>
  <c r="AR2124" i="7" s="1"/>
  <c r="C2220" i="7"/>
  <c r="AR2220" i="7" s="1"/>
  <c r="C60" i="7"/>
  <c r="AR60" i="7" s="1"/>
  <c r="C1010" i="7"/>
  <c r="AR1010" i="7" s="1"/>
  <c r="C2175" i="7"/>
  <c r="AR2175" i="7" s="1"/>
  <c r="C2279" i="7"/>
  <c r="AR2279" i="7" s="1"/>
  <c r="C1997" i="7"/>
  <c r="AR1997" i="7" s="1"/>
  <c r="C549" i="7"/>
  <c r="AR549" i="7" s="1"/>
  <c r="C1708" i="7"/>
  <c r="AR1708" i="7" s="1"/>
  <c r="C1624" i="7"/>
  <c r="AR1624" i="7" s="1"/>
  <c r="C1241" i="7"/>
  <c r="AR1241" i="7" s="1"/>
  <c r="C1810" i="7"/>
  <c r="AR1810" i="7" s="1"/>
  <c r="C1738" i="7"/>
  <c r="AR1738" i="7" s="1"/>
  <c r="C1957" i="7"/>
  <c r="AR1957" i="7" s="1"/>
  <c r="C1900" i="7"/>
  <c r="AR1900" i="7" s="1"/>
  <c r="C1627" i="7"/>
  <c r="AR1627" i="7" s="1"/>
  <c r="C463" i="7"/>
  <c r="AR463" i="7" s="1"/>
  <c r="C563" i="7"/>
  <c r="AR563" i="7" s="1"/>
  <c r="C1407" i="7"/>
  <c r="AR1407" i="7" s="1"/>
  <c r="C245" i="7"/>
  <c r="AR245" i="7" s="1"/>
  <c r="C583" i="7"/>
  <c r="AR583" i="7" s="1"/>
  <c r="C481" i="7"/>
  <c r="AR481" i="7" s="1"/>
  <c r="C812" i="7"/>
  <c r="AR812" i="7" s="1"/>
  <c r="C1142" i="7"/>
  <c r="AR1142" i="7" s="1"/>
  <c r="C268" i="7"/>
  <c r="AR268" i="7" s="1"/>
  <c r="C1486" i="7"/>
  <c r="AR1486" i="7" s="1"/>
  <c r="C1851" i="7"/>
  <c r="AR1851" i="7" s="1"/>
  <c r="C237" i="7"/>
  <c r="AR237" i="7" s="1"/>
  <c r="C251" i="7"/>
  <c r="AR251" i="7" s="1"/>
  <c r="C255" i="7"/>
  <c r="AR255" i="7" s="1"/>
  <c r="C398" i="7"/>
  <c r="AR398" i="7" s="1"/>
  <c r="C356" i="7"/>
  <c r="AR356" i="7" s="1"/>
  <c r="C288" i="7"/>
  <c r="AR288" i="7" s="1"/>
  <c r="C240" i="7"/>
  <c r="AR240" i="7" s="1"/>
  <c r="C856" i="7"/>
  <c r="AR856" i="7" s="1"/>
  <c r="C656" i="7"/>
  <c r="AR656" i="7" s="1"/>
  <c r="C70" i="7"/>
  <c r="AR70" i="7" s="1"/>
  <c r="C442" i="7"/>
  <c r="AR442" i="7" s="1"/>
  <c r="C592" i="7"/>
  <c r="AR592" i="7" s="1"/>
  <c r="C1256" i="7"/>
  <c r="AR1256" i="7" s="1"/>
  <c r="C661" i="7"/>
  <c r="AR661" i="7" s="1"/>
  <c r="C766" i="7"/>
  <c r="AR766" i="7" s="1"/>
  <c r="C886" i="7"/>
  <c r="AR886" i="7" s="1"/>
  <c r="C1051" i="7"/>
  <c r="AR1051" i="7" s="1"/>
  <c r="C851" i="7"/>
  <c r="AR851" i="7" s="1"/>
  <c r="C536" i="7"/>
  <c r="AR536" i="7" s="1"/>
  <c r="C320" i="7"/>
  <c r="AR320" i="7" s="1"/>
  <c r="C2238" i="7"/>
  <c r="AR2238" i="7" s="1"/>
  <c r="C1919" i="7"/>
  <c r="AR1919" i="7" s="1"/>
  <c r="C970" i="7"/>
  <c r="AR970" i="7" s="1"/>
  <c r="C2113" i="7"/>
  <c r="AR2113" i="7" s="1"/>
  <c r="C1964" i="7"/>
  <c r="AR1964" i="7" s="1"/>
  <c r="C1416" i="7"/>
  <c r="AR1416" i="7" s="1"/>
  <c r="C1205" i="7"/>
  <c r="AR1205" i="7" s="1"/>
  <c r="C2143" i="7"/>
  <c r="AR2143" i="7" s="1"/>
  <c r="C615" i="7"/>
  <c r="AR615" i="7" s="1"/>
  <c r="C205" i="7"/>
  <c r="AR205" i="7" s="1"/>
  <c r="C206" i="7"/>
  <c r="AR206" i="7" s="1"/>
  <c r="C207" i="7"/>
  <c r="AR207" i="7" s="1"/>
  <c r="C1784" i="7"/>
  <c r="AR1784" i="7" s="1"/>
  <c r="C1798" i="7"/>
  <c r="AR1798" i="7" s="1"/>
  <c r="C1195" i="7"/>
  <c r="AR1195" i="7" s="1"/>
  <c r="C830" i="7"/>
  <c r="AR830" i="7" s="1"/>
  <c r="C431" i="7"/>
  <c r="AR431" i="7" s="1"/>
  <c r="C1352" i="7"/>
  <c r="AR1352" i="7" s="1"/>
  <c r="C1413" i="7"/>
  <c r="AR1413" i="7" s="1"/>
  <c r="C361" i="7"/>
  <c r="AR361" i="7" s="1"/>
  <c r="C1455" i="7"/>
  <c r="AR1455" i="7" s="1"/>
  <c r="C1421" i="7"/>
  <c r="AR1421" i="7" s="1"/>
  <c r="C1594" i="7"/>
  <c r="AR1594" i="7" s="1"/>
  <c r="C949" i="7"/>
  <c r="AR949" i="7" s="1"/>
  <c r="C952" i="7"/>
  <c r="AR952" i="7" s="1"/>
  <c r="C400" i="7"/>
  <c r="AR400" i="7" s="1"/>
  <c r="C2278" i="7"/>
  <c r="AR2278" i="7" s="1"/>
  <c r="C809" i="7"/>
  <c r="AR809" i="7" s="1"/>
  <c r="C1449" i="7"/>
  <c r="AR1449" i="7" s="1"/>
  <c r="C2274" i="7"/>
  <c r="AR2274" i="7" s="1"/>
  <c r="C2277" i="7"/>
  <c r="AR2277" i="7" s="1"/>
  <c r="C131" i="7"/>
  <c r="AR131" i="7" s="1"/>
  <c r="C68" i="7"/>
  <c r="AR68" i="7" s="1"/>
  <c r="C2180" i="7"/>
  <c r="AR2180" i="7" s="1"/>
  <c r="C1887" i="7"/>
  <c r="AR1887" i="7" s="1"/>
  <c r="C1981" i="7"/>
  <c r="AR1981" i="7" s="1"/>
  <c r="C1896" i="7"/>
  <c r="AR1896" i="7" s="1"/>
  <c r="C1903" i="7"/>
  <c r="AR1903" i="7" s="1"/>
  <c r="C1941" i="7"/>
  <c r="AR1941" i="7" s="1"/>
  <c r="C2137" i="7"/>
  <c r="AR2137" i="7" s="1"/>
  <c r="C2155" i="7"/>
  <c r="AR2155" i="7" s="1"/>
  <c r="C2051" i="7"/>
  <c r="AR2051" i="7" s="1"/>
  <c r="C2152" i="7"/>
  <c r="AR2152" i="7" s="1"/>
  <c r="C1639" i="7"/>
  <c r="AR1639" i="7" s="1"/>
  <c r="C2222" i="7"/>
  <c r="AR2222" i="7" s="1"/>
  <c r="C663" i="7"/>
  <c r="AR663" i="7" s="1"/>
  <c r="C523" i="7"/>
  <c r="AR523" i="7" s="1"/>
  <c r="C275" i="7"/>
  <c r="AR275" i="7" s="1"/>
  <c r="C505" i="7"/>
  <c r="AR505" i="7" s="1"/>
  <c r="C373" i="7"/>
  <c r="AR373" i="7" s="1"/>
  <c r="C635" i="7"/>
  <c r="AR635" i="7" s="1"/>
  <c r="C272" i="7"/>
  <c r="AR272" i="7" s="1"/>
  <c r="C315" i="7"/>
  <c r="AR315" i="7" s="1"/>
  <c r="C380" i="7"/>
  <c r="AR380" i="7" s="1"/>
  <c r="C10" i="7"/>
  <c r="AR10" i="7" s="1"/>
  <c r="C1125" i="7"/>
  <c r="AR1125" i="7" s="1"/>
  <c r="C323" i="7"/>
  <c r="AR323" i="7" s="1"/>
  <c r="C377" i="7"/>
  <c r="AR377" i="7" s="1"/>
  <c r="C379" i="7"/>
  <c r="AR379" i="7" s="1"/>
  <c r="C548" i="7"/>
  <c r="AR548" i="7" s="1"/>
  <c r="C496" i="7"/>
  <c r="AR496" i="7" s="1"/>
  <c r="C506" i="7"/>
  <c r="AR506" i="7" s="1"/>
  <c r="C1291" i="7"/>
  <c r="AR1291" i="7" s="1"/>
  <c r="C1370" i="7"/>
  <c r="AR1370" i="7" s="1"/>
  <c r="C961" i="7"/>
  <c r="AR961" i="7" s="1"/>
  <c r="C613" i="7"/>
  <c r="AR613" i="7" s="1"/>
  <c r="C1949" i="7"/>
  <c r="AR1949" i="7" s="1"/>
  <c r="C1959" i="7"/>
  <c r="C1913" i="7"/>
  <c r="AR1913" i="7" s="1"/>
  <c r="C462" i="7"/>
  <c r="AR462" i="7" s="1"/>
  <c r="C1862" i="7"/>
  <c r="AR1862" i="7" s="1"/>
  <c r="C1748" i="7"/>
  <c r="AR1748" i="7" s="1"/>
  <c r="C1515" i="7"/>
  <c r="AR1515" i="7" s="1"/>
  <c r="C1579" i="7"/>
  <c r="AR1579" i="7" s="1"/>
  <c r="C2215" i="7"/>
  <c r="AR2215" i="7" s="1"/>
  <c r="C564" i="7"/>
  <c r="AR564" i="7" s="1"/>
  <c r="C643" i="7"/>
  <c r="AR643" i="7" s="1"/>
  <c r="C679" i="7"/>
  <c r="AR679" i="7" s="1"/>
  <c r="C338" i="7"/>
  <c r="AR338" i="7" s="1"/>
  <c r="C2204" i="7"/>
  <c r="AR2204" i="7" s="1"/>
  <c r="C836" i="7"/>
  <c r="AR836" i="7" s="1"/>
  <c r="C716" i="7"/>
  <c r="AR716" i="7" s="1"/>
  <c r="C2275" i="7"/>
  <c r="AR2275" i="7" s="1"/>
  <c r="C1962" i="7"/>
  <c r="C115" i="7"/>
  <c r="AR115" i="7" s="1"/>
  <c r="C2085" i="7"/>
  <c r="AR2085" i="7" s="1"/>
  <c r="C1830" i="7"/>
  <c r="AR1830" i="7" s="1"/>
  <c r="C909" i="7"/>
  <c r="AR909" i="7" s="1"/>
  <c r="C99" i="7"/>
  <c r="AR99" i="7" s="1"/>
  <c r="C694" i="7"/>
  <c r="AR694" i="7" s="1"/>
  <c r="C457" i="7"/>
  <c r="AR457" i="7" s="1"/>
  <c r="C461" i="7"/>
  <c r="AR461" i="7" s="1"/>
  <c r="C339" i="7"/>
  <c r="AR339" i="7" s="1"/>
  <c r="C354" i="7"/>
  <c r="AR354" i="7" s="1"/>
  <c r="C1395" i="7"/>
  <c r="AR1395" i="7" s="1"/>
  <c r="C1386" i="7"/>
  <c r="AR1386" i="7" s="1"/>
  <c r="C261" i="7"/>
  <c r="AR261" i="7" s="1"/>
  <c r="C308" i="7"/>
  <c r="AR308" i="7" s="1"/>
  <c r="C343" i="7"/>
  <c r="AR343" i="7" s="1"/>
  <c r="C395" i="7"/>
  <c r="AR395" i="7" s="1"/>
  <c r="C915" i="7"/>
  <c r="AR915" i="7" s="1"/>
  <c r="C2142" i="7"/>
  <c r="AR2142" i="7" s="1"/>
  <c r="C833" i="7"/>
  <c r="AR833" i="7" s="1"/>
  <c r="C475" i="7"/>
  <c r="AR475" i="7" s="1"/>
  <c r="C387" i="7"/>
  <c r="AR387" i="7" s="1"/>
  <c r="C1391" i="7"/>
  <c r="AR1391" i="7" s="1"/>
  <c r="C2034" i="7"/>
  <c r="AR2034" i="7" s="1"/>
  <c r="C1940" i="7"/>
  <c r="AR1940" i="7" s="1"/>
  <c r="C2157" i="7"/>
  <c r="AR2157" i="7" s="1"/>
  <c r="C1914" i="7"/>
  <c r="AR1914" i="7" s="1"/>
  <c r="C1739" i="7"/>
  <c r="AR1739" i="7" s="1"/>
  <c r="C2107" i="7"/>
  <c r="AR2107" i="7" s="1"/>
  <c r="C1948" i="7"/>
  <c r="AR1948" i="7" s="1"/>
  <c r="C1780" i="7"/>
  <c r="AR1780" i="7" s="1"/>
  <c r="C1777" i="7"/>
  <c r="AR1777" i="7" s="1"/>
  <c r="C1763" i="7"/>
  <c r="C2028" i="7"/>
  <c r="AR2028" i="7" s="1"/>
  <c r="C1893" i="7"/>
  <c r="AR1893" i="7" s="1"/>
  <c r="C1705" i="7"/>
  <c r="AR1705" i="7" s="1"/>
  <c r="C1996" i="7"/>
  <c r="AR1996" i="7" s="1"/>
  <c r="C1943" i="7"/>
  <c r="AR1943" i="7" s="1"/>
  <c r="C1726" i="7"/>
  <c r="AR1726" i="7" s="1"/>
  <c r="C1493" i="7"/>
  <c r="AR1493" i="7" s="1"/>
  <c r="C1613" i="7"/>
  <c r="AR1613" i="7" s="1"/>
  <c r="C1533" i="7"/>
  <c r="AR1533" i="7" s="1"/>
  <c r="C1969" i="7"/>
  <c r="C1712" i="7"/>
  <c r="AR1712" i="7" s="1"/>
  <c r="C1734" i="7"/>
  <c r="AR1734" i="7" s="1"/>
  <c r="C1512" i="7"/>
  <c r="AR1512" i="7" s="1"/>
  <c r="C1570" i="7"/>
  <c r="AR1570" i="7" s="1"/>
  <c r="C2089" i="7"/>
  <c r="AR2089" i="7" s="1"/>
  <c r="C1432" i="7"/>
  <c r="AR1432" i="7" s="1"/>
  <c r="C1522" i="7"/>
  <c r="AR1522" i="7" s="1"/>
  <c r="C1731" i="7"/>
  <c r="C1276" i="7"/>
  <c r="AR1276" i="7" s="1"/>
  <c r="C2172" i="7"/>
  <c r="AR2172" i="7" s="1"/>
  <c r="C2256" i="7"/>
  <c r="AR2256" i="7" s="1"/>
  <c r="C1510" i="7"/>
  <c r="AR1510" i="7" s="1"/>
  <c r="C2239" i="7"/>
  <c r="AR2239" i="7" s="1"/>
  <c r="C2125" i="7"/>
  <c r="AR2125" i="7" s="1"/>
  <c r="C1484" i="7"/>
  <c r="AR1484" i="7" s="1"/>
  <c r="C1956" i="7"/>
  <c r="AR1956" i="7" s="1"/>
  <c r="C2032" i="7"/>
  <c r="AR2032" i="7" s="1"/>
  <c r="C2041" i="7"/>
  <c r="AR2041" i="7" s="1"/>
  <c r="C2020" i="7"/>
  <c r="AR2020" i="7" s="1"/>
  <c r="C1975" i="7"/>
  <c r="C1747" i="7"/>
  <c r="AR1747" i="7" s="1"/>
  <c r="C783" i="7"/>
  <c r="AR783" i="7" s="1"/>
  <c r="C2007" i="7"/>
  <c r="C1556" i="7"/>
  <c r="AR1556" i="7" s="1"/>
  <c r="C749" i="7"/>
  <c r="AR749" i="7" s="1"/>
  <c r="C1568" i="7"/>
  <c r="AR1568" i="7" s="1"/>
  <c r="C2269" i="7"/>
  <c r="AR2269" i="7" s="1"/>
  <c r="C884" i="7"/>
  <c r="AR884" i="7" s="1"/>
  <c r="C1535" i="7"/>
  <c r="AR1535" i="7" s="1"/>
  <c r="C1650" i="7"/>
  <c r="AR1650" i="7" s="1"/>
  <c r="C1805" i="7"/>
  <c r="AR1805" i="7" s="1"/>
  <c r="C1848" i="7"/>
  <c r="AR1848" i="7" s="1"/>
  <c r="C1847" i="7"/>
  <c r="AR1847" i="7" s="1"/>
  <c r="C1657" i="7"/>
  <c r="AR1657" i="7" s="1"/>
  <c r="C1439" i="7"/>
  <c r="AR1439" i="7" s="1"/>
  <c r="C2083" i="7"/>
  <c r="AR2083" i="7" s="1"/>
  <c r="C2086" i="7"/>
  <c r="AR2086" i="7" s="1"/>
  <c r="C2099" i="7"/>
  <c r="AR2099" i="7" s="1"/>
  <c r="C1080" i="7"/>
  <c r="AR1080" i="7" s="1"/>
  <c r="C1104" i="7"/>
  <c r="AR1104" i="7" s="1"/>
  <c r="C1137" i="7"/>
  <c r="AR1137" i="7" s="1"/>
  <c r="C1509" i="7"/>
  <c r="AR1509" i="7" s="1"/>
  <c r="C1551" i="7"/>
  <c r="AR1551" i="7" s="1"/>
  <c r="C2098" i="7"/>
  <c r="AR2098" i="7" s="1"/>
  <c r="C2057" i="7"/>
  <c r="AR2057" i="7" s="1"/>
  <c r="C1999" i="7"/>
  <c r="AR1999" i="7" s="1"/>
  <c r="C1995" i="7"/>
  <c r="AR1995" i="7" s="1"/>
  <c r="C2117" i="7"/>
  <c r="AR2117" i="7" s="1"/>
  <c r="C2056" i="7"/>
  <c r="AR2056" i="7" s="1"/>
  <c r="C1301" i="7"/>
  <c r="AR1301" i="7" s="1"/>
  <c r="C948" i="7"/>
  <c r="AR948" i="7" s="1"/>
  <c r="C610" i="7"/>
  <c r="AR610" i="7" s="1"/>
  <c r="C589" i="7"/>
  <c r="AR589" i="7" s="1"/>
  <c r="C2111" i="7"/>
  <c r="AR2111" i="7" s="1"/>
  <c r="C2090" i="7"/>
  <c r="AR2090" i="7" s="1"/>
  <c r="C1169" i="7"/>
  <c r="AR1169" i="7" s="1"/>
  <c r="C2001" i="7"/>
  <c r="AR2001" i="7" s="1"/>
  <c r="C1889" i="7"/>
  <c r="AR1889" i="7" s="1"/>
  <c r="C2050" i="7"/>
  <c r="AR2050" i="7" s="1"/>
  <c r="C2174" i="7"/>
  <c r="AR2174" i="7" s="1"/>
  <c r="C2149" i="7"/>
  <c r="AR2149" i="7" s="1"/>
  <c r="C2075" i="7"/>
  <c r="AR2075" i="7" s="1"/>
  <c r="C1936" i="7"/>
  <c r="AR1936" i="7" s="1"/>
  <c r="C2059" i="7"/>
  <c r="AR2059" i="7" s="1"/>
  <c r="C1532" i="7"/>
  <c r="AR1532" i="7" s="1"/>
  <c r="C1466" i="7"/>
  <c r="AR1466" i="7" s="1"/>
  <c r="C1923" i="7"/>
  <c r="AR1923" i="7" s="1"/>
  <c r="C1834" i="7"/>
  <c r="AR1834" i="7" s="1"/>
  <c r="C1665" i="7"/>
  <c r="AR1665" i="7" s="1"/>
  <c r="C1799" i="7"/>
  <c r="AR1799" i="7" s="1"/>
  <c r="C290" i="7"/>
  <c r="AR290" i="7" s="1"/>
  <c r="C1937" i="7"/>
  <c r="C1489" i="7"/>
  <c r="AR1489" i="7" s="1"/>
  <c r="C1905" i="7"/>
  <c r="AR1905" i="7" s="1"/>
  <c r="C1875" i="7"/>
  <c r="AR1875" i="7" s="1"/>
  <c r="C2185" i="7"/>
  <c r="AR2185" i="7" s="1"/>
  <c r="C2016" i="7"/>
  <c r="AR2016" i="7" s="1"/>
  <c r="C748" i="7"/>
  <c r="AR748" i="7" s="1"/>
  <c r="C697" i="7"/>
  <c r="AR697" i="7" s="1"/>
  <c r="C605" i="7"/>
  <c r="AR605" i="7" s="1"/>
  <c r="C690" i="7"/>
  <c r="AR690" i="7" s="1"/>
  <c r="C2045" i="7"/>
  <c r="AR2045" i="7" s="1"/>
  <c r="C2029" i="7"/>
  <c r="AR2029" i="7" s="1"/>
  <c r="C2228" i="7"/>
  <c r="C2197" i="7"/>
  <c r="AR2197" i="7" s="1"/>
  <c r="C1972" i="7"/>
  <c r="AR1972" i="7" s="1"/>
  <c r="C1072" i="7"/>
  <c r="AR1072" i="7" s="1"/>
  <c r="C2037" i="7"/>
  <c r="AR2037" i="7" s="1"/>
  <c r="C552" i="7"/>
  <c r="AR552" i="7" s="1"/>
  <c r="C1986" i="7"/>
  <c r="AR1986" i="7" s="1"/>
  <c r="C1644" i="7"/>
  <c r="AR1644" i="7" s="1"/>
  <c r="C1643" i="7"/>
  <c r="AR1643" i="7" s="1"/>
  <c r="C933" i="7"/>
  <c r="AR933" i="7" s="1"/>
  <c r="C95" i="7"/>
  <c r="AR95" i="7" s="1"/>
  <c r="C1055" i="7"/>
  <c r="AR1055" i="7" s="1"/>
  <c r="C1497" i="7"/>
  <c r="AR1497" i="7" s="1"/>
  <c r="C1076" i="7"/>
  <c r="AR1076" i="7" s="1"/>
  <c r="C1274" i="7"/>
  <c r="AR1274" i="7" s="1"/>
  <c r="C1819" i="7"/>
  <c r="AR1819" i="7" s="1"/>
  <c r="C466" i="7"/>
  <c r="AR466" i="7" s="1"/>
  <c r="C853" i="7"/>
  <c r="AR853" i="7" s="1"/>
  <c r="C1625" i="7"/>
  <c r="AR1625" i="7" s="1"/>
  <c r="C620" i="7"/>
  <c r="AR620" i="7" s="1"/>
  <c r="C633" i="7"/>
  <c r="AR633" i="7" s="1"/>
  <c r="C1971" i="7"/>
  <c r="AR1971" i="7" s="1"/>
  <c r="C1478" i="7"/>
  <c r="C1702" i="7"/>
  <c r="AR1702" i="7" s="1"/>
  <c r="C1319" i="7"/>
  <c r="AR1319" i="7" s="1"/>
  <c r="C2084" i="7"/>
  <c r="AR2084" i="7" s="1"/>
  <c r="C1429" i="7"/>
  <c r="AR1429" i="7" s="1"/>
  <c r="C2025" i="7"/>
  <c r="AR2025" i="7" s="1"/>
  <c r="C1618" i="7"/>
  <c r="AR1618" i="7" s="1"/>
  <c r="C1571" i="7"/>
  <c r="AR1571" i="7" s="1"/>
  <c r="C1868" i="7"/>
  <c r="AR1868" i="7" s="1"/>
  <c r="C1690" i="7"/>
  <c r="AR1690" i="7" s="1"/>
  <c r="C1536" i="7"/>
  <c r="AR1536" i="7" s="1"/>
  <c r="C863" i="7"/>
  <c r="AR863" i="7" s="1"/>
  <c r="C1267" i="7"/>
  <c r="AR1267" i="7" s="1"/>
  <c r="C1524" i="7"/>
  <c r="AR1524" i="7" s="1"/>
  <c r="C1039" i="7"/>
  <c r="AR1039" i="7" s="1"/>
  <c r="C2193" i="7"/>
  <c r="AR2193" i="7" s="1"/>
  <c r="C666" i="7"/>
  <c r="AR666" i="7" s="1"/>
  <c r="C1865" i="7"/>
  <c r="AR1865" i="7" s="1"/>
  <c r="C1009" i="7"/>
  <c r="AR1009" i="7" s="1"/>
  <c r="C558" i="7"/>
  <c r="AR558" i="7" s="1"/>
  <c r="C1930" i="7"/>
  <c r="AR1930" i="7" s="1"/>
  <c r="C2208" i="7"/>
  <c r="AR2208" i="7" s="1"/>
  <c r="C304" i="7"/>
  <c r="AR304" i="7" s="1"/>
  <c r="C492" i="7"/>
  <c r="AR492" i="7" s="1"/>
  <c r="C477" i="7"/>
  <c r="AR477" i="7" s="1"/>
  <c r="C438" i="7"/>
  <c r="AR438" i="7" s="1"/>
  <c r="C479" i="7"/>
  <c r="AR479" i="7" s="1"/>
  <c r="C443" i="7"/>
  <c r="AR443" i="7" s="1"/>
  <c r="C478" i="7"/>
  <c r="AR478" i="7" s="1"/>
  <c r="C142" i="7"/>
  <c r="AR142" i="7" s="1"/>
  <c r="C504" i="7"/>
  <c r="AR504" i="7" s="1"/>
  <c r="C299" i="7"/>
  <c r="AR299" i="7" s="1"/>
  <c r="C673" i="7"/>
  <c r="AR673" i="7" s="1"/>
  <c r="C1454" i="7"/>
  <c r="AR1454" i="7" s="1"/>
  <c r="C1138" i="7"/>
  <c r="AR1138" i="7" s="1"/>
  <c r="C1465" i="7"/>
  <c r="AR1465" i="7" s="1"/>
  <c r="C1425" i="7"/>
  <c r="AR1425" i="7" s="1"/>
  <c r="C1314" i="7"/>
  <c r="AR1314" i="7" s="1"/>
  <c r="C1058" i="7"/>
  <c r="AR1058" i="7" s="1"/>
  <c r="C1362" i="7"/>
  <c r="AR1362" i="7" s="1"/>
  <c r="C297" i="7"/>
  <c r="AR297" i="7" s="1"/>
  <c r="C322" i="7"/>
  <c r="AR322" i="7" s="1"/>
  <c r="C233" i="7"/>
  <c r="AR233" i="7" s="1"/>
  <c r="C790" i="7"/>
  <c r="AR790" i="7" s="1"/>
  <c r="C649" i="7"/>
  <c r="AR649" i="7" s="1"/>
  <c r="C815" i="7"/>
  <c r="AR815" i="7" s="1"/>
  <c r="C916" i="7"/>
  <c r="AR916" i="7" s="1"/>
  <c r="C448" i="7"/>
  <c r="AR448" i="7" s="1"/>
  <c r="C2010" i="7"/>
  <c r="AR2010" i="7" s="1"/>
  <c r="C822" i="7"/>
  <c r="AR822" i="7" s="1"/>
  <c r="C1048" i="7"/>
  <c r="AR1048" i="7" s="1"/>
  <c r="C1978" i="7"/>
  <c r="AR1978" i="7" s="1"/>
  <c r="C2252" i="7"/>
  <c r="AR2252" i="7" s="1"/>
  <c r="C1758" i="7"/>
  <c r="AR1758" i="7" s="1"/>
  <c r="C2214" i="7"/>
  <c r="AR2214" i="7" s="1"/>
  <c r="C1926" i="7"/>
  <c r="AR1926" i="7" s="1"/>
  <c r="C2227" i="7"/>
  <c r="AR2227" i="7" s="1"/>
  <c r="C2219" i="7"/>
  <c r="AR2219" i="7" s="1"/>
  <c r="C1757" i="7"/>
  <c r="AR1757" i="7" s="1"/>
  <c r="C1341" i="7"/>
  <c r="AR1341" i="7" s="1"/>
  <c r="C1980" i="7"/>
  <c r="AR1980" i="7" s="1"/>
  <c r="C967" i="7"/>
  <c r="AR967" i="7" s="1"/>
  <c r="C1723" i="7"/>
  <c r="AR1723" i="7" s="1"/>
  <c r="C1838" i="7"/>
  <c r="AR1838" i="7" s="1"/>
  <c r="C1499" i="7"/>
  <c r="AR1499" i="7" s="1"/>
  <c r="C618" i="7"/>
  <c r="AR618" i="7" s="1"/>
  <c r="C2200" i="7"/>
  <c r="AR2200" i="7" s="1"/>
  <c r="C2129" i="7"/>
  <c r="AR2129" i="7" s="1"/>
  <c r="C2038" i="7"/>
  <c r="AR2038" i="7" s="1"/>
  <c r="C1207" i="7"/>
  <c r="AR1207" i="7" s="1"/>
  <c r="C1537" i="7"/>
  <c r="AR1537" i="7" s="1"/>
  <c r="C1471" i="7"/>
  <c r="AR1471" i="7" s="1"/>
  <c r="C1062" i="7"/>
  <c r="AR1062" i="7" s="1"/>
  <c r="C1501" i="7"/>
  <c r="AR1501" i="7" s="1"/>
  <c r="C1656" i="7"/>
  <c r="AR1656" i="7" s="1"/>
  <c r="C2030" i="7"/>
  <c r="AR2030" i="7" s="1"/>
  <c r="C1886" i="7"/>
  <c r="AR1886" i="7" s="1"/>
  <c r="C2027" i="7"/>
  <c r="AR2027" i="7" s="1"/>
  <c r="C1898" i="7"/>
  <c r="AR1898" i="7" s="1"/>
  <c r="C1894" i="7"/>
  <c r="AR1894" i="7" s="1"/>
  <c r="C1899" i="7"/>
  <c r="AR1899" i="7" s="1"/>
  <c r="C1610" i="7"/>
  <c r="AR1610" i="7" s="1"/>
  <c r="C303" i="7"/>
  <c r="AR303" i="7" s="1"/>
  <c r="C1468" i="7"/>
  <c r="AR1468" i="7" s="1"/>
  <c r="C1483" i="7"/>
  <c r="AR1483" i="7" s="1"/>
  <c r="C7" i="7"/>
  <c r="AR7" i="7" s="1"/>
  <c r="C202" i="7"/>
  <c r="AR202" i="7" s="1"/>
  <c r="C1158" i="7"/>
  <c r="AR1158" i="7" s="1"/>
  <c r="C1194" i="7"/>
  <c r="AR1194" i="7" s="1"/>
  <c r="C1288" i="7"/>
  <c r="AR1288" i="7" s="1"/>
  <c r="C360" i="7"/>
  <c r="AR360" i="7" s="1"/>
  <c r="C498" i="7"/>
  <c r="AR498" i="7" s="1"/>
  <c r="C1852" i="7"/>
  <c r="AR1852" i="7" s="1"/>
  <c r="C1614" i="7"/>
  <c r="AR1614" i="7" s="1"/>
  <c r="C1308" i="7"/>
  <c r="AR1308" i="7" s="1"/>
  <c r="C868" i="7"/>
  <c r="AR868" i="7" s="1"/>
  <c r="C1259" i="7"/>
  <c r="AR1259" i="7" s="1"/>
  <c r="C1787" i="7"/>
  <c r="AR1787" i="7" s="1"/>
  <c r="C468" i="7"/>
  <c r="AR468" i="7" s="1"/>
  <c r="C455" i="7"/>
  <c r="AR455" i="7" s="1"/>
  <c r="C434" i="7"/>
  <c r="AR434" i="7" s="1"/>
  <c r="C445" i="7"/>
  <c r="AR445" i="7" s="1"/>
  <c r="C527" i="7"/>
  <c r="AR527" i="7" s="1"/>
  <c r="C519" i="7"/>
  <c r="AR519" i="7" s="1"/>
  <c r="C423" i="7"/>
  <c r="AR423" i="7" s="1"/>
  <c r="C1901" i="7"/>
  <c r="AR1901" i="7" s="1"/>
  <c r="C1011" i="7"/>
  <c r="AR1011" i="7" s="1"/>
  <c r="C1815" i="7"/>
  <c r="AR1815" i="7" s="1"/>
  <c r="C2021" i="7"/>
  <c r="AR2021" i="7" s="1"/>
  <c r="C642" i="7"/>
  <c r="AR642" i="7" s="1"/>
  <c r="C1888" i="7"/>
  <c r="AR1888" i="7" s="1"/>
  <c r="C1461" i="7"/>
  <c r="AR1461" i="7" s="1"/>
  <c r="C1678" i="7"/>
  <c r="AR1678" i="7" s="1"/>
  <c r="C1709" i="7"/>
  <c r="AR1709" i="7" s="1"/>
  <c r="C1927" i="7"/>
  <c r="AR1927" i="7" s="1"/>
  <c r="C1400" i="7"/>
  <c r="AR1400" i="7" s="1"/>
  <c r="C1580" i="7"/>
  <c r="AR1580" i="7" s="1"/>
  <c r="C1906" i="7"/>
  <c r="AR1906" i="7" s="1"/>
  <c r="C1817" i="7"/>
  <c r="AR1817" i="7" s="1"/>
  <c r="C1792" i="7"/>
  <c r="AR1792" i="7" s="1"/>
  <c r="C1699" i="7"/>
  <c r="AR1699" i="7" s="1"/>
  <c r="C733" i="7"/>
  <c r="AR733" i="7" s="1"/>
  <c r="C1168" i="7"/>
  <c r="AR1168" i="7" s="1"/>
  <c r="C1729" i="7"/>
  <c r="AR1729" i="7" s="1"/>
  <c r="C1674" i="7"/>
  <c r="AR1674" i="7" s="1"/>
  <c r="C1700" i="7"/>
  <c r="AR1700" i="7" s="1"/>
  <c r="C2064" i="7"/>
  <c r="AR2064" i="7" s="1"/>
  <c r="C1099" i="7"/>
  <c r="AR1099" i="7" s="1"/>
  <c r="C2218" i="7"/>
  <c r="AR2218" i="7" s="1"/>
  <c r="C1635" i="7"/>
  <c r="AR1635" i="7" s="1"/>
  <c r="C1110" i="7"/>
  <c r="AR1110" i="7" s="1"/>
  <c r="C2280" i="7"/>
  <c r="AR2280" i="7" s="1"/>
  <c r="C2081" i="7"/>
  <c r="AR2081" i="7" s="1"/>
  <c r="C765" i="7"/>
  <c r="AR765" i="7" s="1"/>
  <c r="C1225" i="7"/>
  <c r="AR1225" i="7" s="1"/>
  <c r="C942" i="7"/>
  <c r="AR942" i="7" s="1"/>
  <c r="C1990" i="7"/>
  <c r="AR1990" i="7" s="1"/>
  <c r="C1140" i="7"/>
  <c r="AR1140" i="7" s="1"/>
  <c r="C1093" i="7"/>
  <c r="AR1093" i="7" s="1"/>
  <c r="C1346" i="7"/>
  <c r="AR1346" i="7" s="1"/>
  <c r="C1089" i="7"/>
  <c r="AR1089" i="7" s="1"/>
  <c r="C758" i="7"/>
  <c r="AR758" i="7" s="1"/>
  <c r="C693" i="7"/>
  <c r="AR693" i="7" s="1"/>
  <c r="C1149" i="7"/>
  <c r="AR1149" i="7" s="1"/>
  <c r="C1979" i="7"/>
  <c r="AR1979" i="7" s="1"/>
  <c r="C849" i="7"/>
  <c r="AR849" i="7" s="1"/>
  <c r="C723" i="7"/>
  <c r="AR723" i="7" s="1"/>
  <c r="C1877" i="7"/>
  <c r="AR1877" i="7" s="1"/>
  <c r="C2196" i="7"/>
  <c r="AR2196" i="7" s="1"/>
  <c r="C2135" i="7"/>
  <c r="AR2135" i="7" s="1"/>
  <c r="C1590" i="7"/>
  <c r="AR1590" i="7" s="1"/>
  <c r="C2095" i="7"/>
  <c r="AR2095" i="7" s="1"/>
  <c r="C1676" i="7"/>
  <c r="AR1676" i="7" s="1"/>
  <c r="C1684" i="7"/>
  <c r="AR1684" i="7" s="1"/>
  <c r="C1685" i="7"/>
  <c r="AR1685" i="7" s="1"/>
  <c r="C1620" i="7"/>
  <c r="AR1620" i="7" s="1"/>
  <c r="C2122" i="7"/>
  <c r="AR2122" i="7" s="1"/>
  <c r="C2126" i="7"/>
  <c r="AR2126" i="7" s="1"/>
  <c r="C1720" i="7"/>
  <c r="AR1720" i="7" s="1"/>
  <c r="C1960" i="7"/>
  <c r="AR1960" i="7" s="1"/>
  <c r="C1749" i="7"/>
  <c r="AR1749" i="7" s="1"/>
  <c r="C2268" i="7"/>
  <c r="AR2268" i="7" s="1"/>
  <c r="C2260" i="7"/>
  <c r="AR2260" i="7" s="1"/>
  <c r="C1795" i="7"/>
  <c r="AR1795" i="7" s="1"/>
  <c r="C1426" i="7"/>
  <c r="AR1426" i="7" s="1"/>
  <c r="C2240" i="7"/>
  <c r="AR2240" i="7" s="1"/>
  <c r="C362" i="7"/>
  <c r="AR362" i="7" s="1"/>
  <c r="C1652" i="7"/>
  <c r="AR1652" i="7" s="1"/>
  <c r="C1740" i="7"/>
  <c r="AR1740" i="7" s="1"/>
  <c r="C1311" i="7"/>
  <c r="AR1311" i="7" s="1"/>
  <c r="C1655" i="7"/>
  <c r="AR1655" i="7" s="1"/>
  <c r="C1790" i="7"/>
  <c r="AR1790" i="7" s="1"/>
  <c r="C141" i="7"/>
  <c r="AR141" i="7" s="1"/>
  <c r="C140" i="7"/>
  <c r="AR140" i="7" s="1"/>
  <c r="C145" i="7"/>
  <c r="AR145" i="7" s="1"/>
  <c r="C143" i="7"/>
  <c r="AR143" i="7" s="1"/>
  <c r="C106" i="7"/>
  <c r="AR106" i="7" s="1"/>
  <c r="C42" i="7"/>
  <c r="AR42" i="7" s="1"/>
  <c r="C135" i="7"/>
  <c r="AR135" i="7" s="1"/>
  <c r="C118" i="7"/>
  <c r="AR118" i="7" s="1"/>
  <c r="C119" i="7"/>
  <c r="AR119" i="7" s="1"/>
  <c r="C120" i="7"/>
  <c r="AR120" i="7" s="1"/>
  <c r="C121" i="7"/>
  <c r="AR121" i="7" s="1"/>
  <c r="C116" i="7"/>
  <c r="AR116" i="7" s="1"/>
  <c r="C298" i="7"/>
  <c r="AR298" i="7" s="1"/>
  <c r="C347" i="7"/>
  <c r="AR347" i="7" s="1"/>
  <c r="C348" i="7"/>
  <c r="AR348" i="7" s="1"/>
  <c r="C295" i="7"/>
  <c r="AR295" i="7" s="1"/>
  <c r="C978" i="7"/>
  <c r="AR978" i="7" s="1"/>
  <c r="C1637" i="7"/>
  <c r="AR1637" i="7" s="1"/>
  <c r="C999" i="7"/>
  <c r="AR999" i="7" s="1"/>
  <c r="C806" i="7"/>
  <c r="AR806" i="7" s="1"/>
  <c r="C264" i="7"/>
  <c r="AR264" i="7" s="1"/>
  <c r="C1762" i="7"/>
  <c r="AR1762" i="7" s="1"/>
  <c r="C1528" i="7"/>
  <c r="AR1528" i="7" s="1"/>
  <c r="C1692" i="7"/>
  <c r="AR1692" i="7" s="1"/>
  <c r="C98" i="7"/>
  <c r="AR98" i="7" s="1"/>
  <c r="C55" i="7"/>
  <c r="AR55" i="7" s="1"/>
  <c r="C130" i="7"/>
  <c r="AR130" i="7" s="1"/>
  <c r="C146" i="7"/>
  <c r="AR146" i="7" s="1"/>
  <c r="C2195" i="7"/>
  <c r="AR2195" i="7" s="1"/>
  <c r="C1191" i="7"/>
  <c r="AR1191" i="7" s="1"/>
  <c r="C890" i="7"/>
  <c r="AR890" i="7" s="1"/>
  <c r="C1809" i="7"/>
  <c r="AR1809" i="7" s="1"/>
  <c r="C488" i="7"/>
  <c r="AR488" i="7" s="1"/>
  <c r="C1356" i="7"/>
  <c r="AR1356" i="7" s="1"/>
  <c r="C1816" i="7"/>
  <c r="AR1816" i="7" s="1"/>
  <c r="C1348" i="7"/>
  <c r="AR1348" i="7" s="1"/>
  <c r="C132" i="7"/>
  <c r="AR132" i="7" s="1"/>
  <c r="C1178" i="7"/>
  <c r="AR1178" i="7" s="1"/>
  <c r="C507" i="7"/>
  <c r="AR507" i="7" s="1"/>
  <c r="C1354" i="7"/>
  <c r="AR1354" i="7" s="1"/>
  <c r="C891" i="7"/>
  <c r="AR891" i="7" s="1"/>
  <c r="C2188" i="7"/>
  <c r="AR2188" i="7" s="1"/>
  <c r="C626" i="7"/>
  <c r="AR626" i="7" s="1"/>
  <c r="C995" i="7"/>
  <c r="AR995" i="7" s="1"/>
  <c r="C238" i="7"/>
  <c r="AR238" i="7" s="1"/>
  <c r="C1772" i="7"/>
  <c r="AR1772" i="7" s="1"/>
  <c r="C1018" i="7"/>
  <c r="AR1018" i="7" s="1"/>
  <c r="C554" i="7"/>
  <c r="AR554" i="7" s="1"/>
  <c r="C870" i="7"/>
  <c r="AR870" i="7" s="1"/>
  <c r="C239" i="7"/>
  <c r="AR239" i="7" s="1"/>
  <c r="C991" i="7"/>
  <c r="AR991" i="7" s="1"/>
  <c r="C359" i="7"/>
  <c r="AR359" i="7" s="1"/>
  <c r="C144" i="7"/>
  <c r="AR144" i="7" s="1"/>
  <c r="C944" i="7"/>
  <c r="AR944" i="7" s="1"/>
  <c r="C2077" i="7"/>
  <c r="AR2077" i="7" s="1"/>
  <c r="C2069" i="7"/>
  <c r="AR2069" i="7" s="1"/>
  <c r="C1216" i="7"/>
  <c r="AR1216" i="7" s="1"/>
  <c r="C376" i="7"/>
  <c r="AR376" i="7" s="1"/>
  <c r="C371" i="7"/>
  <c r="AR371" i="7" s="1"/>
  <c r="C388" i="7"/>
  <c r="AR388" i="7" s="1"/>
  <c r="C43" i="7"/>
  <c r="AR43" i="7" s="1"/>
  <c r="C569" i="7"/>
  <c r="AR569" i="7" s="1"/>
  <c r="C1423" i="7"/>
  <c r="AR1423" i="7" s="1"/>
  <c r="C1448" i="7"/>
  <c r="AR1448" i="7" s="1"/>
  <c r="C531" i="7"/>
  <c r="AR531" i="7" s="1"/>
  <c r="C526" i="7"/>
  <c r="AR526" i="7" s="1"/>
  <c r="C1508" i="7"/>
  <c r="AR1508" i="7" s="1"/>
  <c r="C1673" i="7"/>
  <c r="AR1673" i="7" s="1"/>
  <c r="C367" i="7"/>
  <c r="AR367" i="7" s="1"/>
  <c r="C2040" i="7"/>
  <c r="AR2040" i="7" s="1"/>
  <c r="C994" i="7"/>
  <c r="AR994" i="7" s="1"/>
  <c r="C1095" i="7"/>
  <c r="AR1095" i="7" s="1"/>
  <c r="C1161" i="7"/>
  <c r="AR1161" i="7" s="1"/>
  <c r="C722" i="7"/>
  <c r="AR722" i="7" s="1"/>
  <c r="C1596" i="7"/>
  <c r="AR1596" i="7" s="1"/>
  <c r="C763" i="7"/>
  <c r="AR763" i="7" s="1"/>
  <c r="C565" i="7"/>
  <c r="AR565" i="7" s="1"/>
  <c r="C389" i="7"/>
  <c r="AR389" i="7" s="1"/>
  <c r="C487" i="7"/>
  <c r="AR487" i="7" s="1"/>
  <c r="C512" i="7"/>
  <c r="AR512" i="7" s="1"/>
  <c r="C544" i="7"/>
  <c r="AR544" i="7" s="1"/>
  <c r="C988" i="7"/>
  <c r="AR988" i="7" s="1"/>
  <c r="C508" i="7"/>
  <c r="AR508" i="7" s="1"/>
  <c r="C532" i="7"/>
  <c r="AR532" i="7" s="1"/>
  <c r="C450" i="7"/>
  <c r="AR450" i="7" s="1"/>
  <c r="C1973" i="7"/>
  <c r="AR1973" i="7" s="1"/>
  <c r="C2031" i="7"/>
  <c r="AR2031" i="7" s="1"/>
  <c r="C2068" i="7"/>
  <c r="AR2068" i="7" s="1"/>
  <c r="C599" i="7"/>
  <c r="AR599" i="7" s="1"/>
  <c r="C767" i="7"/>
  <c r="AR767" i="7" s="1"/>
  <c r="C399" i="7"/>
  <c r="AR399" i="7" s="1"/>
  <c r="C756" i="7"/>
  <c r="AR756" i="7" s="1"/>
  <c r="C471" i="7"/>
  <c r="AR471" i="7" s="1"/>
  <c r="C1832" i="7"/>
  <c r="AR1832" i="7" s="1"/>
  <c r="C983" i="7"/>
  <c r="AR983" i="7" s="1"/>
  <c r="C947" i="7"/>
  <c r="AR947" i="7" s="1"/>
  <c r="C1012" i="7"/>
  <c r="AR1012" i="7" s="1"/>
  <c r="C1252" i="7"/>
  <c r="AR1252" i="7" s="1"/>
  <c r="C986" i="7"/>
  <c r="AR986" i="7" s="1"/>
  <c r="C2139" i="7"/>
  <c r="AR2139" i="7" s="1"/>
  <c r="C2243" i="7"/>
  <c r="AR2243" i="7" s="1"/>
  <c r="C2013" i="7"/>
  <c r="AR2013" i="7" s="1"/>
  <c r="C2017" i="7"/>
  <c r="AR2017" i="7" s="1"/>
  <c r="C2213" i="7"/>
  <c r="AR2213" i="7" s="1"/>
  <c r="C1607" i="7"/>
  <c r="AR1607" i="7" s="1"/>
  <c r="C1683" i="7"/>
  <c r="AR1683" i="7" s="1"/>
  <c r="C2226" i="7"/>
  <c r="AR2226" i="7" s="1"/>
  <c r="C1984" i="7"/>
  <c r="AR1984" i="7" s="1"/>
  <c r="C2109" i="7"/>
  <c r="AR2109" i="7" s="1"/>
  <c r="C1869" i="7"/>
  <c r="AR1869" i="7" s="1"/>
  <c r="C1863" i="7"/>
  <c r="AR1863" i="7" s="1"/>
  <c r="C1371" i="7"/>
  <c r="AR1371" i="7" s="1"/>
  <c r="C2048" i="7"/>
  <c r="AR2048" i="7" s="1"/>
  <c r="C1434" i="7"/>
  <c r="AR1434" i="7" s="1"/>
  <c r="C1706" i="7"/>
  <c r="AR1706" i="7" s="1"/>
  <c r="C1273" i="7"/>
  <c r="AR1273" i="7" s="1"/>
  <c r="C1531" i="7"/>
  <c r="AR1531" i="7" s="1"/>
  <c r="C1569" i="7"/>
  <c r="AR1569" i="7" s="1"/>
  <c r="C1187" i="7"/>
  <c r="AR1187" i="7" s="1"/>
  <c r="C1365" i="7"/>
  <c r="AR1365" i="7" s="1"/>
  <c r="C1983" i="7"/>
  <c r="AR1983" i="7" s="1"/>
  <c r="C417" i="7"/>
  <c r="AR417" i="7" s="1"/>
  <c r="C2183" i="7"/>
  <c r="AR2183" i="7" s="1"/>
  <c r="C651" i="7"/>
  <c r="AR651" i="7" s="1"/>
  <c r="C664" i="7"/>
  <c r="AR664" i="7" s="1"/>
  <c r="C658" i="7"/>
  <c r="AR658" i="7" s="1"/>
  <c r="C550" i="7"/>
  <c r="AR550" i="7" s="1"/>
  <c r="C667" i="7"/>
  <c r="AR667" i="7" s="1"/>
  <c r="C1123" i="7"/>
  <c r="AR1123" i="7" s="1"/>
  <c r="C1991" i="7"/>
  <c r="AR1991" i="7" s="1"/>
  <c r="C2071" i="7"/>
  <c r="AR2071" i="7" s="1"/>
  <c r="C1891" i="7"/>
  <c r="AR1891" i="7" s="1"/>
  <c r="C972" i="7"/>
  <c r="AR972" i="7" s="1"/>
  <c r="C1131" i="7"/>
  <c r="AR1131" i="7" s="1"/>
  <c r="C1064" i="7"/>
  <c r="AR1064" i="7" s="1"/>
  <c r="C796" i="7"/>
  <c r="AR796" i="7" s="1"/>
  <c r="C1067" i="7"/>
  <c r="AR1067" i="7" s="1"/>
  <c r="C2060" i="7"/>
  <c r="AR2060" i="7" s="1"/>
  <c r="C1077" i="7"/>
  <c r="AR1077" i="7" s="1"/>
  <c r="C2009" i="7"/>
  <c r="AR2009" i="7" s="1"/>
  <c r="C1388" i="7"/>
  <c r="AR1388" i="7" s="1"/>
  <c r="C1361" i="7"/>
  <c r="AR1361" i="7" s="1"/>
  <c r="C2233" i="7"/>
  <c r="AR2233" i="7" s="1"/>
  <c r="C368" i="7"/>
  <c r="AR368" i="7" s="1"/>
  <c r="C242" i="7"/>
  <c r="AR242" i="7" s="1"/>
  <c r="C1070" i="7"/>
  <c r="AR1070" i="7" s="1"/>
  <c r="C1150" i="7"/>
  <c r="AR1150" i="7" s="1"/>
  <c r="C2203" i="7"/>
  <c r="AR2203" i="7" s="1"/>
  <c r="C1860" i="7"/>
  <c r="AR1860" i="7" s="1"/>
  <c r="C1675" i="7"/>
  <c r="AR1675" i="7" s="1"/>
  <c r="C945" i="7"/>
  <c r="AR945" i="7" s="1"/>
  <c r="C943" i="7"/>
  <c r="AR943" i="7" s="1"/>
  <c r="C951" i="7"/>
  <c r="AR951" i="7" s="1"/>
  <c r="C1908" i="7"/>
  <c r="AR1908" i="7" s="1"/>
  <c r="C9" i="7"/>
  <c r="AR9" i="7" s="1"/>
  <c r="C19" i="7"/>
  <c r="AR19" i="7" s="1"/>
  <c r="C1132" i="7"/>
  <c r="C1814" i="7"/>
  <c r="AR1814" i="7" s="1"/>
  <c r="C2120" i="7"/>
  <c r="AR2120" i="7" s="1"/>
  <c r="C1564" i="7"/>
  <c r="AR1564" i="7" s="1"/>
  <c r="C2078" i="7"/>
  <c r="AR2078" i="7" s="1"/>
  <c r="C1976" i="7"/>
  <c r="AR1976" i="7" s="1"/>
  <c r="C1192" i="7"/>
  <c r="AR1192" i="7" s="1"/>
  <c r="C2091" i="7"/>
  <c r="AR2091" i="7" s="1"/>
  <c r="C1638" i="7"/>
  <c r="AR1638" i="7" s="1"/>
  <c r="C1403" i="7"/>
  <c r="AR1403" i="7" s="1"/>
  <c r="C1406" i="7"/>
  <c r="AR1406" i="7" s="1"/>
  <c r="C1103" i="7"/>
  <c r="AR1103" i="7" s="1"/>
  <c r="C2049" i="7"/>
  <c r="AR2049" i="7" s="1"/>
  <c r="C2092" i="7"/>
  <c r="AR2092" i="7" s="1"/>
  <c r="C1402" i="7"/>
  <c r="AR1402" i="7" s="1"/>
  <c r="C1621" i="7"/>
  <c r="AR1621" i="7" s="1"/>
  <c r="C1609" i="7"/>
  <c r="AR1609" i="7" s="1"/>
  <c r="C1179" i="7"/>
  <c r="AR1179" i="7" s="1"/>
  <c r="C1482" i="7"/>
  <c r="AR1482" i="7" s="1"/>
  <c r="C614" i="7"/>
  <c r="AR614" i="7" s="1"/>
  <c r="C678" i="7"/>
  <c r="AR678" i="7" s="1"/>
  <c r="C657" i="7"/>
  <c r="AR657" i="7" s="1"/>
  <c r="C670" i="7"/>
  <c r="AR670" i="7" s="1"/>
  <c r="C547" i="7"/>
  <c r="AR547" i="7" s="1"/>
  <c r="C521" i="7"/>
  <c r="AR521" i="7" s="1"/>
  <c r="C571" i="7"/>
  <c r="AR571" i="7" s="1"/>
  <c r="C459" i="7"/>
  <c r="AR459" i="7" s="1"/>
  <c r="C497" i="7"/>
  <c r="AR497" i="7" s="1"/>
  <c r="C426" i="7"/>
  <c r="AR426" i="7" s="1"/>
  <c r="C454" i="7"/>
  <c r="AR454" i="7" s="1"/>
  <c r="C1284" i="7"/>
  <c r="AR1284" i="7" s="1"/>
  <c r="C1345" i="7"/>
  <c r="AR1345" i="7" s="1"/>
  <c r="C1492" i="7"/>
  <c r="AR1492" i="7" s="1"/>
  <c r="C1597" i="7"/>
  <c r="AR1597" i="7" s="1"/>
  <c r="C1581" i="7"/>
  <c r="AR1581" i="7" s="1"/>
  <c r="C2179" i="7"/>
  <c r="AR2179" i="7" s="1"/>
  <c r="C971" i="7"/>
  <c r="AR971" i="7" s="1"/>
  <c r="C981" i="7"/>
  <c r="AR981" i="7" s="1"/>
  <c r="C1833" i="7"/>
  <c r="AR1833" i="7" s="1"/>
  <c r="C1435" i="7"/>
  <c r="AR1435" i="7" s="1"/>
  <c r="C1417" i="7"/>
  <c r="AR1417" i="7" s="1"/>
  <c r="C1083" i="7"/>
  <c r="AR1083" i="7" s="1"/>
  <c r="C627" i="7"/>
  <c r="AR627" i="7" s="1"/>
  <c r="C528" i="7"/>
  <c r="AR528" i="7" s="1"/>
  <c r="C1377" i="7"/>
  <c r="AR1377" i="7" s="1"/>
  <c r="C1932" i="7"/>
  <c r="AR1932" i="7" s="1"/>
  <c r="C2173" i="7"/>
  <c r="AR2173" i="7" s="1"/>
  <c r="C1518" i="7"/>
  <c r="AR1518" i="7" s="1"/>
  <c r="C1545" i="7"/>
  <c r="AR1545" i="7" s="1"/>
  <c r="C1299" i="7"/>
  <c r="AR1299" i="7" s="1"/>
  <c r="C1307" i="7"/>
  <c r="AR1307" i="7" s="1"/>
  <c r="C1481" i="7"/>
  <c r="AR1481" i="7" s="1"/>
  <c r="C752" i="7"/>
  <c r="AR752" i="7" s="1"/>
  <c r="C1755" i="7"/>
  <c r="AR1755" i="7" s="1"/>
  <c r="C1498" i="7"/>
  <c r="AR1498" i="7" s="1"/>
  <c r="C602" i="7"/>
  <c r="AR602" i="7" s="1"/>
  <c r="C1488" i="7"/>
  <c r="AR1488" i="7" s="1"/>
  <c r="C779" i="7"/>
  <c r="AR779" i="7" s="1"/>
  <c r="C1589" i="7"/>
  <c r="AR1589" i="7" s="1"/>
  <c r="C2250" i="7"/>
  <c r="AR2250" i="7" s="1"/>
  <c r="C318" i="7"/>
  <c r="AR318" i="7" s="1"/>
  <c r="C775" i="7"/>
  <c r="AR775" i="7" s="1"/>
  <c r="C695" i="7"/>
  <c r="AR695" i="7" s="1"/>
  <c r="C502" i="7"/>
  <c r="AR502" i="7" s="1"/>
  <c r="C1966" i="7"/>
  <c r="AR1966" i="7" s="1"/>
  <c r="C2119" i="7"/>
  <c r="AR2119" i="7" s="1"/>
  <c r="C1761" i="7"/>
  <c r="AR1761" i="7" s="1"/>
  <c r="C1998" i="7"/>
  <c r="AR1998" i="7" s="1"/>
  <c r="C2171" i="7"/>
  <c r="AR2171" i="7" s="1"/>
  <c r="C2006" i="7"/>
  <c r="AR2006" i="7" s="1"/>
  <c r="C1793" i="7"/>
  <c r="AR1793" i="7" s="1"/>
  <c r="C2" i="7"/>
  <c r="AR2" i="7" s="1"/>
  <c r="C2066" i="7"/>
  <c r="AR2066" i="7" s="1"/>
  <c r="C2003" i="7"/>
  <c r="AR2003" i="7" s="1"/>
  <c r="C2133" i="7"/>
  <c r="AR2133" i="7" s="1"/>
  <c r="C1915" i="7"/>
  <c r="AR1915" i="7" s="1"/>
  <c r="C1961" i="7"/>
  <c r="AR1961" i="7" s="1"/>
  <c r="C1955" i="7"/>
  <c r="AR1955" i="7" s="1"/>
  <c r="C1938" i="7"/>
  <c r="AR1938" i="7" s="1"/>
  <c r="C1563" i="7"/>
  <c r="AR1563" i="7" s="1"/>
  <c r="C925" i="7"/>
  <c r="AR925" i="7" s="1"/>
  <c r="C1420" i="7"/>
  <c r="AR1420" i="7" s="1"/>
  <c r="C926" i="7"/>
  <c r="AR926" i="7" s="1"/>
  <c r="C719" i="7"/>
  <c r="AR719" i="7" s="1"/>
  <c r="C793" i="7"/>
  <c r="AR793" i="7" s="1"/>
  <c r="C859" i="7"/>
  <c r="AR859" i="7" s="1"/>
  <c r="C917" i="7"/>
  <c r="AR917" i="7" s="1"/>
  <c r="C1020" i="7"/>
  <c r="AR1020" i="7" s="1"/>
  <c r="C798" i="7"/>
  <c r="AR798" i="7" s="1"/>
  <c r="C2223" i="7"/>
  <c r="AR2223" i="7" s="1"/>
  <c r="C2186" i="7"/>
  <c r="AR2186" i="7" s="1"/>
  <c r="C2000" i="7"/>
  <c r="AR2000" i="7" s="1"/>
  <c r="C2161" i="7"/>
  <c r="AR2161" i="7" s="1"/>
  <c r="C2199" i="7"/>
  <c r="AR2199" i="7" s="1"/>
  <c r="C1157" i="7"/>
  <c r="AR1157" i="7" s="1"/>
  <c r="C2150" i="7"/>
  <c r="AR2150" i="7" s="1"/>
  <c r="C2169" i="7"/>
  <c r="AR2169" i="7" s="1"/>
  <c r="C2128" i="7"/>
  <c r="AR2128" i="7" s="1"/>
  <c r="C1694" i="7"/>
  <c r="AR1694" i="7" s="1"/>
  <c r="C2082" i="7"/>
  <c r="AR2082" i="7" s="1"/>
  <c r="C1933" i="7"/>
  <c r="AR1933" i="7" s="1"/>
  <c r="C2146" i="7"/>
  <c r="AR2146" i="7" s="1"/>
  <c r="C2104" i="7"/>
  <c r="AR2104" i="7" s="1"/>
  <c r="C1539" i="7"/>
  <c r="AR1539" i="7" s="1"/>
  <c r="C2065" i="7"/>
  <c r="AR2065" i="7" s="1"/>
  <c r="C1881" i="7"/>
  <c r="AR1881" i="7" s="1"/>
  <c r="C1437" i="7"/>
  <c r="AR1437" i="7" s="1"/>
  <c r="C1444" i="7"/>
  <c r="AR1444" i="7" s="1"/>
  <c r="C2246" i="7"/>
  <c r="AR2246" i="7" s="1"/>
  <c r="C1698" i="7"/>
  <c r="AR1698" i="7" s="1"/>
  <c r="C1873" i="7"/>
  <c r="AR1873" i="7" s="1"/>
  <c r="C2033" i="7"/>
  <c r="C444" i="7"/>
  <c r="AR444" i="7" s="1"/>
  <c r="C1598" i="7"/>
  <c r="AR1598" i="7" s="1"/>
  <c r="C1124" i="7"/>
  <c r="AR1124" i="7" s="1"/>
  <c r="C2136" i="7"/>
  <c r="AR2136" i="7" s="1"/>
  <c r="C954" i="7"/>
  <c r="AR954" i="7" s="1"/>
  <c r="C1970" i="7"/>
  <c r="AR1970" i="7" s="1"/>
  <c r="C1264" i="7"/>
  <c r="AR1264" i="7" s="1"/>
  <c r="C959" i="7"/>
  <c r="AR959" i="7" s="1"/>
  <c r="C2008" i="7"/>
  <c r="AR2008" i="7" s="1"/>
  <c r="C1642" i="7"/>
  <c r="AR1642" i="7" s="1"/>
  <c r="C1369" i="7"/>
  <c r="AR1369" i="7" s="1"/>
  <c r="C1737" i="7"/>
  <c r="AR1737" i="7" s="1"/>
  <c r="C1534" i="7"/>
  <c r="AR1534" i="7" s="1"/>
  <c r="C713" i="7"/>
  <c r="AR713" i="7" s="1"/>
  <c r="C1221" i="7"/>
  <c r="AR1221" i="7" s="1"/>
  <c r="C1507" i="7"/>
  <c r="AR1507" i="7" s="1"/>
  <c r="C1227" i="7"/>
  <c r="AR1227" i="7" s="1"/>
  <c r="C1841" i="7"/>
  <c r="AR1841" i="7" s="1"/>
  <c r="C1632" i="7"/>
  <c r="AR1632" i="7" s="1"/>
  <c r="C1477" i="7"/>
  <c r="AR1477" i="7" s="1"/>
  <c r="C1318" i="7"/>
  <c r="AR1318" i="7" s="1"/>
  <c r="C1049" i="7"/>
  <c r="AR1049" i="7" s="1"/>
  <c r="C1170" i="7"/>
  <c r="AR1170" i="7" s="1"/>
  <c r="C1653" i="7"/>
  <c r="AR1653" i="7" s="1"/>
  <c r="C1958" i="7"/>
  <c r="AR1958" i="7" s="1"/>
  <c r="C1704" i="7"/>
  <c r="AR1704" i="7" s="1"/>
  <c r="C1691" i="7"/>
  <c r="AR1691" i="7" s="1"/>
  <c r="C1744" i="7"/>
  <c r="AR1744" i="7" s="1"/>
  <c r="C1992" i="7"/>
  <c r="AR1992" i="7" s="1"/>
  <c r="C1951" i="7"/>
  <c r="AR1951" i="7" s="1"/>
  <c r="C1626" i="7"/>
  <c r="AR1626" i="7" s="1"/>
  <c r="C1885" i="7"/>
  <c r="AR1885" i="7" s="1"/>
  <c r="C1773" i="7"/>
  <c r="AR1773" i="7" s="1"/>
  <c r="C1567" i="7"/>
  <c r="AR1567" i="7" s="1"/>
  <c r="C169" i="7"/>
  <c r="AR169" i="7" s="1"/>
  <c r="C1382" i="7"/>
  <c r="AR1382" i="7" s="1"/>
  <c r="C1013" i="7"/>
  <c r="AR1013" i="7" s="1"/>
  <c r="C1452" i="7"/>
  <c r="AR1452" i="7" s="1"/>
  <c r="C1867" i="7"/>
  <c r="AR1867" i="7" s="1"/>
  <c r="C1411" i="7"/>
  <c r="AR1411" i="7" s="1"/>
  <c r="C1839" i="7"/>
  <c r="AR1839" i="7" s="1"/>
  <c r="C1217" i="7"/>
  <c r="AR1217" i="7" s="1"/>
  <c r="C327" i="7"/>
  <c r="AR327" i="7" s="1"/>
  <c r="C394" i="7"/>
  <c r="AR394" i="7" s="1"/>
  <c r="C62" i="7"/>
  <c r="AR62" i="7" s="1"/>
  <c r="C61" i="7"/>
  <c r="AR61" i="7" s="1"/>
  <c r="C2022" i="7"/>
  <c r="AR2022" i="7" s="1"/>
  <c r="C1025" i="7"/>
  <c r="AR1025" i="7" s="1"/>
  <c r="C317" i="7"/>
  <c r="AR317" i="7" s="1"/>
  <c r="C984" i="7"/>
  <c r="AR984" i="7" s="1"/>
  <c r="C771" i="7"/>
  <c r="AR771" i="7" s="1"/>
  <c r="C857" i="7"/>
  <c r="AR857" i="7" s="1"/>
  <c r="C2231" i="7"/>
  <c r="C2103" i="7"/>
  <c r="AR2103" i="7" s="1"/>
  <c r="C1897" i="7"/>
  <c r="AR1897" i="7" s="1"/>
  <c r="C2042" i="7"/>
  <c r="AR2042" i="7" s="1"/>
  <c r="C1945" i="7"/>
  <c r="AR1945" i="7" s="1"/>
  <c r="C1298" i="7"/>
  <c r="AR1298" i="7" s="1"/>
  <c r="C1247" i="7"/>
  <c r="AR1247" i="7" s="1"/>
  <c r="C1895" i="7"/>
  <c r="AR1895" i="7" s="1"/>
  <c r="C1546" i="7"/>
  <c r="AR1546" i="7" s="1"/>
  <c r="C1776" i="7"/>
  <c r="AR1776" i="7" s="1"/>
  <c r="C1544" i="7"/>
  <c r="AR1544" i="7" s="1"/>
  <c r="C1436" i="7"/>
  <c r="AR1436" i="7" s="1"/>
  <c r="C1415" i="7"/>
  <c r="AR1415" i="7" s="1"/>
  <c r="C1457" i="7"/>
  <c r="AR1457" i="7" s="1"/>
  <c r="C1098" i="7"/>
  <c r="AR1098" i="7" s="1"/>
  <c r="C1109" i="7"/>
  <c r="AR1109" i="7" s="1"/>
  <c r="C525" i="7"/>
  <c r="AR525" i="7" s="1"/>
  <c r="C516" i="7"/>
  <c r="AR516" i="7" s="1"/>
  <c r="C1147" i="7"/>
  <c r="AR1147" i="7" s="1"/>
  <c r="C894" i="7"/>
  <c r="AR894" i="7" s="1"/>
  <c r="C491" i="7"/>
  <c r="AR491" i="7" s="1"/>
  <c r="C524" i="7"/>
  <c r="AR524" i="7" s="1"/>
  <c r="C541" i="7"/>
  <c r="AR541" i="7" s="1"/>
  <c r="C437" i="7"/>
  <c r="AR437" i="7" s="1"/>
  <c r="C473" i="7"/>
  <c r="AR473" i="7" s="1"/>
  <c r="C513" i="7"/>
  <c r="AR513" i="7" s="1"/>
  <c r="C412" i="7"/>
  <c r="AR412" i="7" s="1"/>
  <c r="C1735" i="7"/>
  <c r="AR1735" i="7" s="1"/>
  <c r="C645" i="7"/>
  <c r="AR645" i="7" s="1"/>
  <c r="C452" i="7"/>
  <c r="AR452" i="7" s="1"/>
  <c r="C669" i="7"/>
  <c r="AR669" i="7" s="1"/>
  <c r="C622" i="7"/>
  <c r="AR622" i="7" s="1"/>
  <c r="C522" i="7"/>
  <c r="AR522" i="7" s="1"/>
  <c r="C598" i="7"/>
  <c r="AR598" i="7" s="1"/>
  <c r="C336" i="7"/>
  <c r="AR336" i="7" s="1"/>
  <c r="C590" i="7"/>
  <c r="AR590" i="7" s="1"/>
  <c r="C638" i="7"/>
  <c r="AR638" i="7" s="1"/>
  <c r="C567" i="7"/>
  <c r="AR567" i="7" s="1"/>
  <c r="C1156" i="7"/>
  <c r="AR1156" i="7" s="1"/>
  <c r="C865" i="7"/>
  <c r="AR865" i="7" s="1"/>
  <c r="C1882" i="7"/>
  <c r="C2151" i="7"/>
  <c r="C2019" i="7"/>
  <c r="AR2019" i="7" s="1"/>
  <c r="C2002" i="7"/>
  <c r="AR2002" i="7" s="1"/>
  <c r="C1034" i="7"/>
  <c r="AR1034" i="7" s="1"/>
  <c r="C2190" i="7"/>
  <c r="AR2190" i="7" s="1"/>
  <c r="C2014" i="7"/>
  <c r="AR2014" i="7" s="1"/>
  <c r="C1102" i="7"/>
  <c r="AR1102" i="7" s="1"/>
  <c r="C1349" i="7"/>
  <c r="AR1349" i="7" s="1"/>
  <c r="C1171" i="7"/>
  <c r="AR1171" i="7" s="1"/>
  <c r="C1716" i="7"/>
  <c r="AR1716" i="7" s="1"/>
  <c r="C1433" i="7"/>
  <c r="AR1433" i="7" s="1"/>
  <c r="C606" i="7"/>
  <c r="AR606" i="7" s="1"/>
  <c r="C1977" i="7"/>
  <c r="AR1977" i="7" s="1"/>
  <c r="C2039" i="7"/>
  <c r="AR2039" i="7" s="1"/>
  <c r="C1648" i="7"/>
  <c r="AR1648" i="7" s="1"/>
  <c r="C1294" i="7"/>
  <c r="AR1294" i="7" s="1"/>
  <c r="C1871" i="7"/>
  <c r="AR1871" i="7" s="1"/>
  <c r="C1745" i="7"/>
  <c r="AR1745" i="7" s="1"/>
  <c r="C247" i="7"/>
  <c r="AR247" i="7" s="1"/>
  <c r="C2076" i="7"/>
  <c r="AR2076" i="7" s="1"/>
  <c r="C2115" i="7"/>
  <c r="AR2115" i="7" s="1"/>
  <c r="C1920" i="7"/>
  <c r="AR1920" i="7" s="1"/>
  <c r="C1424" i="7"/>
  <c r="AR1424" i="7" s="1"/>
  <c r="C1824" i="7"/>
  <c r="AR1824" i="7" s="1"/>
  <c r="C1922" i="7"/>
  <c r="AR1922" i="7" s="1"/>
  <c r="C2063" i="7"/>
  <c r="AR2063" i="7" s="1"/>
  <c r="C2012" i="7"/>
  <c r="AR2012" i="7" s="1"/>
  <c r="C1909" i="7"/>
  <c r="AR1909" i="7" s="1"/>
  <c r="C1912" i="7"/>
  <c r="AR1912" i="7" s="1"/>
  <c r="C1988" i="7"/>
  <c r="AR1988" i="7" s="1"/>
  <c r="C1398" i="7"/>
  <c r="AR1398" i="7" s="1"/>
  <c r="C1479" i="7"/>
  <c r="AR1479" i="7" s="1"/>
  <c r="C1558" i="7"/>
  <c r="AR1558" i="7" s="1"/>
  <c r="C745" i="7"/>
  <c r="AR745" i="7" s="1"/>
  <c r="C1000" i="7"/>
  <c r="AR1000" i="7" s="1"/>
  <c r="C533" i="7"/>
  <c r="AR533" i="7" s="1"/>
  <c r="C2023" i="7"/>
  <c r="AR2023" i="7" s="1"/>
  <c r="C1728" i="7"/>
  <c r="AR1728" i="7" s="1"/>
  <c r="C1266" i="7"/>
  <c r="AR1266" i="7" s="1"/>
  <c r="C912" i="7"/>
  <c r="AR912" i="7" s="1"/>
  <c r="C483" i="7"/>
  <c r="AR483" i="7" s="1"/>
  <c r="C1065" i="7"/>
  <c r="AR1065" i="7" s="1"/>
  <c r="C517" i="7"/>
  <c r="AR517" i="7" s="1"/>
  <c r="C998" i="7"/>
  <c r="AR998" i="7" s="1"/>
  <c r="C987" i="7"/>
  <c r="AR987" i="7" s="1"/>
  <c r="C621" i="7"/>
  <c r="AR621" i="7" s="1"/>
  <c r="C1285" i="7"/>
  <c r="AR1285" i="7" s="1"/>
  <c r="C1857" i="7"/>
  <c r="AR1857" i="7" s="1"/>
  <c r="C1647" i="7"/>
  <c r="AR1647" i="7" s="1"/>
  <c r="C935" i="7"/>
  <c r="AR935" i="7" s="1"/>
  <c r="C738" i="7"/>
  <c r="AR738" i="7" s="1"/>
  <c r="C819" i="7"/>
  <c r="AR819" i="7" s="1"/>
  <c r="C854" i="7"/>
  <c r="AR854" i="7" s="1"/>
  <c r="C1736" i="7"/>
  <c r="AR1736" i="7" s="1"/>
  <c r="C878" i="7"/>
  <c r="AR878" i="7" s="1"/>
  <c r="C1085" i="7"/>
  <c r="AR1085" i="7" s="1"/>
  <c r="C898" i="7"/>
  <c r="AR898" i="7" s="1"/>
  <c r="C882" i="7"/>
  <c r="AR882" i="7" s="1"/>
  <c r="C770" i="7"/>
  <c r="AR770" i="7" s="1"/>
  <c r="C435" i="7"/>
  <c r="AR435" i="7" s="1"/>
  <c r="C433" i="7"/>
  <c r="AR433" i="7" s="1"/>
  <c r="C700" i="7"/>
  <c r="AR700" i="7" s="1"/>
  <c r="C534" i="7"/>
  <c r="AR534" i="7" s="1"/>
  <c r="C1682" i="7"/>
  <c r="AR1682" i="7" s="1"/>
  <c r="C2011" i="7"/>
  <c r="AR2011" i="7" s="1"/>
  <c r="C1619" i="7"/>
  <c r="AR1619" i="7" s="1"/>
  <c r="C2205" i="7"/>
  <c r="AR2205" i="7" s="1"/>
  <c r="C2046" i="7"/>
  <c r="AR2046" i="7" s="1"/>
  <c r="C2140" i="7"/>
  <c r="AR2140" i="7" s="1"/>
  <c r="C1779" i="7"/>
  <c r="AR1779" i="7" s="1"/>
  <c r="C1827" i="7"/>
  <c r="AR1827" i="7" s="1"/>
  <c r="C1822" i="7"/>
  <c r="AR1822" i="7" s="1"/>
  <c r="C2097" i="7"/>
  <c r="AR2097" i="7" s="1"/>
  <c r="C720" i="7"/>
  <c r="AR720" i="7" s="1"/>
  <c r="C702" i="7"/>
  <c r="AR702" i="7" s="1"/>
  <c r="C1669" i="7"/>
  <c r="AR1669" i="7" s="1"/>
  <c r="C1008" i="7"/>
  <c r="AR1008" i="7" s="1"/>
  <c r="C1275" i="7"/>
  <c r="AR1275" i="7" s="1"/>
  <c r="C746" i="7"/>
  <c r="AR746" i="7" s="1"/>
  <c r="C1390" i="7"/>
  <c r="AR1390" i="7" s="1"/>
  <c r="C1380" i="7"/>
  <c r="AR1380" i="7" s="1"/>
  <c r="C1092" i="7"/>
  <c r="AR1092" i="7" s="1"/>
  <c r="C1384" i="7"/>
  <c r="AR1384" i="7" s="1"/>
  <c r="C1303" i="7"/>
  <c r="AR1303" i="7" s="1"/>
  <c r="C1385" i="7"/>
  <c r="AR1385" i="7" s="1"/>
  <c r="C581" i="7"/>
  <c r="AR581" i="7" s="1"/>
  <c r="C1304" i="7"/>
  <c r="AR1304" i="7" s="1"/>
  <c r="C432" i="7"/>
  <c r="AR432" i="7" s="1"/>
  <c r="C1840" i="7"/>
  <c r="AR1840" i="7" s="1"/>
  <c r="C117" i="7"/>
  <c r="AR117" i="7" s="1"/>
  <c r="C910" i="7"/>
  <c r="AR910" i="7" s="1"/>
  <c r="C1320" i="7"/>
  <c r="AR1320" i="7" s="1"/>
  <c r="C1353" i="7"/>
  <c r="AR1353" i="7" s="1"/>
  <c r="C1379" i="7"/>
  <c r="AR1379" i="7" s="1"/>
  <c r="C1316" i="7"/>
  <c r="AR1316" i="7" s="1"/>
  <c r="C1381" i="7"/>
  <c r="AR1381" i="7" s="1"/>
  <c r="C1183" i="7"/>
  <c r="AR1183" i="7" s="1"/>
  <c r="C1331" i="7"/>
  <c r="AR1331" i="7" s="1"/>
  <c r="C1359" i="7"/>
  <c r="AR1359" i="7" s="1"/>
  <c r="C1495" i="7"/>
  <c r="AR1495" i="7" s="1"/>
  <c r="AP696" i="7"/>
  <c r="AP893" i="7"/>
  <c r="AP204" i="7"/>
  <c r="AP108" i="7"/>
  <c r="AP100" i="7"/>
  <c r="AP102" i="7"/>
  <c r="AP109" i="7"/>
  <c r="AP107" i="7"/>
  <c r="AP105" i="7"/>
  <c r="AP104" i="7"/>
  <c r="AP111" i="7"/>
  <c r="AP112" i="7"/>
  <c r="AP103" i="7"/>
  <c r="AP101" i="7"/>
  <c r="AP110" i="7"/>
  <c r="AP96" i="7"/>
  <c r="AP97" i="7"/>
  <c r="AP92" i="7"/>
  <c r="AP88" i="7"/>
  <c r="AP87" i="7"/>
  <c r="AP89" i="7"/>
  <c r="AP91" i="7"/>
  <c r="AP80" i="7"/>
  <c r="AP82" i="7"/>
  <c r="AP94" i="7"/>
  <c r="AP52" i="7"/>
  <c r="AP50" i="7"/>
  <c r="AP48" i="7"/>
  <c r="AP51" i="7"/>
  <c r="AP90" i="7"/>
  <c r="AP79" i="7"/>
  <c r="AP81" i="7"/>
  <c r="AP93" i="7"/>
  <c r="AP47" i="7"/>
  <c r="AP46" i="7"/>
  <c r="AP54" i="7"/>
  <c r="AP53" i="7"/>
  <c r="AP85" i="7"/>
  <c r="AP83" i="7"/>
  <c r="AP84" i="7"/>
  <c r="AP86" i="7"/>
  <c r="AP24" i="7"/>
  <c r="AP25" i="7"/>
  <c r="AP57" i="7"/>
  <c r="AP59" i="7"/>
  <c r="AP45" i="7"/>
  <c r="AP44" i="7"/>
  <c r="AP58" i="7"/>
  <c r="AP56" i="7"/>
  <c r="AP2123" i="7"/>
  <c r="AP709" i="7"/>
  <c r="AP428" i="7"/>
  <c r="AP1404" i="7"/>
  <c r="AP514" i="7"/>
  <c r="AP2237" i="7"/>
  <c r="AP314" i="7"/>
  <c r="AP313" i="7"/>
  <c r="AP366" i="7"/>
  <c r="AP1464" i="7"/>
  <c r="AP1373" i="7"/>
  <c r="AP1756" i="7"/>
  <c r="AP1687" i="7"/>
  <c r="AP1759" i="7"/>
  <c r="AP1803" i="7"/>
  <c r="AP1722" i="7"/>
  <c r="AP1766" i="7"/>
  <c r="AP1845" i="7"/>
  <c r="AP1514" i="7"/>
  <c r="AP1628" i="7"/>
  <c r="AP384" i="7"/>
  <c r="AP385" i="7"/>
  <c r="AP382" i="7"/>
  <c r="AP381" i="7"/>
  <c r="AP410" i="7"/>
  <c r="AP408" i="7"/>
  <c r="AP270" i="7"/>
  <c r="AP284" i="7"/>
  <c r="AP259" i="7"/>
  <c r="AP269" i="7"/>
  <c r="AP307" i="7"/>
  <c r="AP405" i="7"/>
  <c r="AP244" i="7"/>
  <c r="AP260" i="7"/>
  <c r="AP229" i="7"/>
  <c r="AP210" i="7"/>
  <c r="AP201" i="7"/>
  <c r="AP209" i="7"/>
  <c r="AP200" i="7"/>
  <c r="AP223" i="7"/>
  <c r="AP159" i="7"/>
  <c r="AP160" i="7"/>
  <c r="AP193" i="7"/>
  <c r="AP189" i="7"/>
  <c r="AP187" i="7"/>
  <c r="AP196" i="7"/>
  <c r="AP186" i="7"/>
  <c r="AP195" i="7"/>
  <c r="AP197" i="7"/>
  <c r="AP126" i="7"/>
  <c r="AP194" i="7"/>
  <c r="AP125" i="7"/>
  <c r="AP192" i="7"/>
  <c r="AP1611" i="7"/>
  <c r="AP1654" i="7"/>
  <c r="AP1526" i="7"/>
  <c r="AP74" i="7"/>
  <c r="AP75" i="7"/>
  <c r="AP77" i="7"/>
  <c r="AP73" i="7"/>
  <c r="AP72" i="7"/>
  <c r="AP71" i="7"/>
  <c r="AP76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279" i="7"/>
  <c r="AP291" i="7"/>
  <c r="AP114" i="7"/>
  <c r="AP353" i="7"/>
  <c r="AP280" i="7"/>
  <c r="AP302" i="7"/>
  <c r="AP407" i="7"/>
  <c r="AP391" i="7"/>
  <c r="AP357" i="7"/>
  <c r="AP306" i="7"/>
  <c r="AP243" i="7"/>
  <c r="AP503" i="7"/>
  <c r="AP292" i="7"/>
  <c r="AP1321" i="7"/>
  <c r="AP285" i="7"/>
  <c r="AP282" i="7"/>
  <c r="AP283" i="7"/>
  <c r="AP271" i="7"/>
  <c r="AP451" i="7"/>
  <c r="AP365" i="7"/>
  <c r="AP3" i="7"/>
  <c r="AP137" i="7"/>
  <c r="AP4" i="7"/>
  <c r="AP139" i="7"/>
  <c r="AP6" i="7"/>
  <c r="AP66" i="7"/>
  <c r="AP5" i="7"/>
  <c r="AP65" i="7"/>
  <c r="AP191" i="7"/>
  <c r="AP190" i="7"/>
  <c r="AP409" i="7"/>
  <c r="AP278" i="7"/>
  <c r="AP404" i="7"/>
  <c r="AP757" i="7"/>
  <c r="AP1605" i="7"/>
  <c r="AP1500" i="7"/>
  <c r="AP1565" i="7"/>
  <c r="AP1427" i="7"/>
  <c r="AP1428" i="7"/>
  <c r="AP1797" i="7"/>
  <c r="AP312" i="7"/>
  <c r="AP311" i="7"/>
  <c r="AP476" i="7"/>
  <c r="AP539" i="7"/>
  <c r="AP364" i="7"/>
  <c r="AP501" i="7"/>
  <c r="AP406" i="7"/>
  <c r="AP416" i="7"/>
  <c r="AP309" i="7"/>
  <c r="AP397" i="7"/>
  <c r="AP392" i="7"/>
  <c r="AP390" i="7"/>
  <c r="AP383" i="7"/>
  <c r="AP78" i="7"/>
  <c r="AP301" i="7"/>
  <c r="AP593" i="7"/>
  <c r="AP246" i="7"/>
  <c r="AP250" i="7"/>
  <c r="AP1042" i="7"/>
  <c r="AP881" i="7"/>
  <c r="AP1376" i="7"/>
  <c r="AP1752" i="7"/>
  <c r="AP801" i="7"/>
  <c r="AP1134" i="7"/>
  <c r="AP838" i="7"/>
  <c r="AP902" i="7"/>
  <c r="AP612" i="7"/>
  <c r="AP877" i="7"/>
  <c r="AP625" i="7"/>
  <c r="AP840" i="7"/>
  <c r="AP595" i="7"/>
  <c r="AP844" i="7"/>
  <c r="AP721" i="7"/>
  <c r="AP2176" i="7"/>
  <c r="AP885" i="7"/>
  <c r="AP1151" i="7"/>
  <c r="AP795" i="7"/>
  <c r="AP883" i="7"/>
  <c r="AP803" i="7"/>
  <c r="AP789" i="7"/>
  <c r="AP839" i="7"/>
  <c r="AP762" i="7"/>
  <c r="AP1297" i="7"/>
  <c r="AP1224" i="7"/>
  <c r="AP1059" i="7"/>
  <c r="AP1265" i="7"/>
  <c r="AP1640" i="7"/>
  <c r="AP1197" i="7"/>
  <c r="AP1223" i="7"/>
  <c r="AP608" i="7"/>
  <c r="AP413" i="7"/>
  <c r="AP49" i="7"/>
  <c r="AP674" i="7"/>
  <c r="AP1144" i="7"/>
  <c r="AP1107" i="7"/>
  <c r="AP1063" i="7"/>
  <c r="AP1333" i="7"/>
  <c r="AP1031" i="7"/>
  <c r="AP1163" i="7"/>
  <c r="AP1238" i="7"/>
  <c r="AP1330" i="7"/>
  <c r="AP932" i="7"/>
  <c r="AP1153" i="7"/>
  <c r="AP820" i="7"/>
  <c r="AP1271" i="7"/>
  <c r="AP1364" i="7"/>
  <c r="AP1230" i="7"/>
  <c r="AP591" i="7"/>
  <c r="AP726" i="7"/>
  <c r="AP576" i="7"/>
  <c r="AP596" i="7"/>
  <c r="AP628" i="7"/>
  <c r="AP899" i="7"/>
  <c r="AP866" i="7"/>
  <c r="AP828" i="7"/>
  <c r="AP724" i="7"/>
  <c r="AP2249" i="7"/>
  <c r="AP1808" i="7"/>
  <c r="AP1794" i="7"/>
  <c r="AP449" i="7"/>
  <c r="AP447" i="7"/>
  <c r="AP458" i="7"/>
  <c r="AP1588" i="7"/>
  <c r="AP2160" i="7"/>
  <c r="AP1796" i="7"/>
  <c r="AP1836" i="7"/>
  <c r="AP1855" i="7"/>
  <c r="AP1101" i="7"/>
  <c r="AP1292" i="7"/>
  <c r="AP1029" i="7"/>
  <c r="AP2281" i="7"/>
  <c r="AP2153" i="7"/>
  <c r="AP772" i="7"/>
  <c r="AP2018" i="7"/>
  <c r="AP1472" i="7"/>
  <c r="AP1560" i="7"/>
  <c r="AP1222" i="7"/>
  <c r="AP957" i="7"/>
  <c r="AP1167" i="7"/>
  <c r="AP1056" i="7"/>
  <c r="AP1190" i="7"/>
  <c r="AP1016" i="7"/>
  <c r="AP1504" i="7"/>
  <c r="AP1662" i="7"/>
  <c r="AP69" i="7"/>
  <c r="AP940" i="7"/>
  <c r="AP929" i="7"/>
  <c r="AP562" i="7"/>
  <c r="AP281" i="7"/>
  <c r="AP2191" i="7"/>
  <c r="AP2052" i="7"/>
  <c r="AP1412" i="7"/>
  <c r="AP675" i="7"/>
  <c r="AP650" i="7"/>
  <c r="AP529" i="7"/>
  <c r="AP597" i="7"/>
  <c r="AP636" i="7"/>
  <c r="AP446" i="7"/>
  <c r="AP631" i="7"/>
  <c r="AP1017" i="7"/>
  <c r="AP584" i="7"/>
  <c r="AP600" i="7"/>
  <c r="AP585" i="7"/>
  <c r="AP594" i="7"/>
  <c r="AP1260" i="7"/>
  <c r="AP14" i="7"/>
  <c r="AP127" i="7"/>
  <c r="AP134" i="7"/>
  <c r="AP2270" i="7"/>
  <c r="AP2282" i="7"/>
  <c r="AP919" i="7"/>
  <c r="AP1664" i="7"/>
  <c r="AP2062" i="7"/>
  <c r="AP826" i="7"/>
  <c r="AP1060" i="7"/>
  <c r="AP1630" i="7"/>
  <c r="AP969" i="7"/>
  <c r="AP1278" i="7"/>
  <c r="AP1054" i="7"/>
  <c r="AP1490" i="7"/>
  <c r="AP403" i="7"/>
  <c r="AP1037" i="7"/>
  <c r="AP654" i="7"/>
  <c r="AP1616" i="7"/>
  <c r="AP1327" i="7"/>
  <c r="AP1408" i="7"/>
  <c r="AP1825" i="7"/>
  <c r="AP1443" i="7"/>
  <c r="AP1786" i="7"/>
  <c r="AP773" i="7"/>
  <c r="AP1232" i="7"/>
  <c r="AP1442" i="7"/>
  <c r="AP1340" i="7"/>
  <c r="AP1015" i="7"/>
  <c r="AP2004" i="7"/>
  <c r="AP273" i="7"/>
  <c r="AP821" i="7"/>
  <c r="AP1068" i="7"/>
  <c r="AP1113" i="7"/>
  <c r="AP871" i="7"/>
  <c r="AP1023" i="7"/>
  <c r="AP1036" i="7"/>
  <c r="AP754" i="7"/>
  <c r="AP1096" i="7"/>
  <c r="AP931" i="7"/>
  <c r="AP537" i="7"/>
  <c r="AP1122" i="7"/>
  <c r="AP682" i="7"/>
  <c r="AP888" i="7"/>
  <c r="AP1718" i="7"/>
  <c r="AP739" i="7"/>
  <c r="AP1672" i="7"/>
  <c r="AP714" i="7"/>
  <c r="AP1462" i="7"/>
  <c r="AP2073" i="7"/>
  <c r="AP2024" i="7"/>
  <c r="AP2036" i="7"/>
  <c r="AP378" i="7"/>
  <c r="AP1587" i="7"/>
  <c r="AP2244" i="7"/>
  <c r="AP2121" i="7"/>
  <c r="AP2251" i="7"/>
  <c r="AP1967" i="7"/>
  <c r="AP1445" i="7"/>
  <c r="AP1024" i="7"/>
  <c r="AP1791" i="7"/>
  <c r="AP1342" i="7"/>
  <c r="AP1041" i="7"/>
  <c r="AP2141" i="7"/>
  <c r="AP1829" i="7"/>
  <c r="AP2187" i="7"/>
  <c r="AP1703" i="7"/>
  <c r="AP1944" i="7"/>
  <c r="AP937" i="7"/>
  <c r="AP1717" i="7"/>
  <c r="AP122" i="7"/>
  <c r="AP823" i="7"/>
  <c r="AP2248" i="7"/>
  <c r="AP977" i="7"/>
  <c r="AP960" i="7"/>
  <c r="AP744" i="7"/>
  <c r="AP907" i="7"/>
  <c r="AP800" i="7"/>
  <c r="AP734" i="7"/>
  <c r="AP737" i="7"/>
  <c r="AP975" i="7"/>
  <c r="AP1019" i="7"/>
  <c r="AP1200" i="7"/>
  <c r="AP1115" i="7"/>
  <c r="AP905" i="7"/>
  <c r="AP692" i="7"/>
  <c r="AP568" i="7"/>
  <c r="AP747" i="7"/>
  <c r="AP705" i="7"/>
  <c r="AP841" i="7"/>
  <c r="AP1880" i="7"/>
  <c r="AP730" i="7"/>
  <c r="AP2211" i="7"/>
  <c r="AP489" i="7"/>
  <c r="AP1629" i="7"/>
  <c r="AP1397" i="7"/>
  <c r="AP1646" i="7"/>
  <c r="AP2118" i="7"/>
  <c r="AP1139" i="7"/>
  <c r="AP543" i="7"/>
  <c r="AP1733" i="7"/>
  <c r="AP2156" i="7"/>
  <c r="AP310" i="7"/>
  <c r="AP1592" i="7"/>
  <c r="AP1394" i="7"/>
  <c r="AP1775" i="7"/>
  <c r="AP1561" i="7"/>
  <c r="AP1451" i="7"/>
  <c r="AP1671" i="7"/>
  <c r="AP1641" i="7"/>
  <c r="AP402" i="7"/>
  <c r="AP329" i="7"/>
  <c r="AP352" i="7"/>
  <c r="AP138" i="7"/>
  <c r="AP188" i="7"/>
  <c r="AP136" i="7"/>
  <c r="AP124" i="7"/>
  <c r="AP123" i="7"/>
  <c r="AP64" i="7"/>
  <c r="AP63" i="7"/>
  <c r="AP2108" i="7"/>
  <c r="AP1312" i="7"/>
  <c r="AP939" i="7"/>
  <c r="AP1856" i="7"/>
  <c r="AP1878" i="7"/>
  <c r="AP964" i="7"/>
  <c r="AP1768" i="7"/>
  <c r="AP1003" i="7"/>
  <c r="AP852" i="7"/>
  <c r="AP681" i="7"/>
  <c r="AP1396" i="7"/>
  <c r="AP211" i="7"/>
  <c r="AP629" i="7"/>
  <c r="AP515" i="7"/>
  <c r="AP422" i="7"/>
  <c r="AP248" i="7"/>
  <c r="AP518" i="7"/>
  <c r="AP490" i="7"/>
  <c r="AP293" i="7"/>
  <c r="AP326" i="7"/>
  <c r="AP358" i="7"/>
  <c r="AP538" i="7"/>
  <c r="AP235" i="7"/>
  <c r="AP234" i="7"/>
  <c r="AP128" i="7"/>
  <c r="AP232" i="7"/>
  <c r="AP208" i="7"/>
  <c r="AP676" i="7"/>
  <c r="AP286" i="7"/>
  <c r="AP1458" i="7"/>
  <c r="AP1668" i="7"/>
  <c r="AP1681" i="7"/>
  <c r="AP1456" i="7"/>
  <c r="AP1870" i="7"/>
  <c r="AP1636" i="7"/>
  <c r="AP1902" i="7"/>
  <c r="AP1928" i="7"/>
  <c r="AP1934" i="7"/>
  <c r="AP1727" i="7"/>
  <c r="AP1924" i="7"/>
  <c r="AP1890" i="7"/>
  <c r="AP1527" i="7"/>
  <c r="AP1774" i="7"/>
  <c r="AP1783" i="7"/>
  <c r="AP1460" i="7"/>
  <c r="AP1754" i="7"/>
  <c r="AP2080" i="7"/>
  <c r="AP2170" i="7"/>
  <c r="AP2067" i="7"/>
  <c r="AP1246" i="7"/>
  <c r="AP1542" i="7"/>
  <c r="AP2159" i="7"/>
  <c r="AP1419" i="7"/>
  <c r="AP1874" i="7"/>
  <c r="AP1911" i="7"/>
  <c r="AP1743" i="7"/>
  <c r="AP1806" i="7"/>
  <c r="AP1807" i="7"/>
  <c r="AP1591" i="7"/>
  <c r="AP1778" i="7"/>
  <c r="AP1713" i="7"/>
  <c r="AP1233" i="7"/>
  <c r="AP1235" i="7"/>
  <c r="AP2192" i="7"/>
  <c r="AP958" i="7"/>
  <c r="AP1006" i="7"/>
  <c r="AP1677" i="7"/>
  <c r="AP1368" i="7"/>
  <c r="AP827" i="7"/>
  <c r="AP274" i="7"/>
  <c r="AP979" i="7"/>
  <c r="AP1027" i="7"/>
  <c r="AP639" i="7"/>
  <c r="AP1309" i="7"/>
  <c r="AP829" i="7"/>
  <c r="AP1410" i="7"/>
  <c r="AP1196" i="7"/>
  <c r="AP1173" i="7"/>
  <c r="AP668" i="7"/>
  <c r="AP1053" i="7"/>
  <c r="AP1328" i="7"/>
  <c r="AP1599" i="7"/>
  <c r="AP691" i="7"/>
  <c r="AP11" i="7"/>
  <c r="AP701" i="7"/>
  <c r="AP1114" i="7"/>
  <c r="AP989" i="7"/>
  <c r="AP1302" i="7"/>
  <c r="AP791" i="7"/>
  <c r="AP1366" i="7"/>
  <c r="AP1503" i="7"/>
  <c r="AP1198" i="7"/>
  <c r="AP1052" i="7"/>
  <c r="AP966" i="7"/>
  <c r="AP1033" i="7"/>
  <c r="AP1044" i="7"/>
  <c r="AP1552" i="7"/>
  <c r="AP2178" i="7"/>
  <c r="AP1917" i="7"/>
  <c r="AP1993" i="7"/>
  <c r="AP875" i="7"/>
  <c r="AP1600" i="7"/>
  <c r="AP1904" i="7"/>
  <c r="AP1715" i="7"/>
  <c r="AP1876" i="7"/>
  <c r="AP1711" i="7"/>
  <c r="AP1818" i="7"/>
  <c r="AP2138" i="7"/>
  <c r="AP557" i="7"/>
  <c r="AP218" i="7"/>
  <c r="AP236" i="7"/>
  <c r="AP230" i="7"/>
  <c r="AP215" i="7"/>
  <c r="AP219" i="7"/>
  <c r="AP228" i="7"/>
  <c r="AP231" i="7"/>
  <c r="AP1813" i="7"/>
  <c r="AP1211" i="7"/>
  <c r="AP1283" i="7"/>
  <c r="AP1562" i="7"/>
  <c r="AP1963" i="7"/>
  <c r="AP2015" i="7"/>
  <c r="AP2131" i="7"/>
  <c r="AP2058" i="7"/>
  <c r="AP2166" i="7"/>
  <c r="AP1989" i="7"/>
  <c r="AP1910" i="7"/>
  <c r="AP2236" i="7"/>
  <c r="AP222" i="7"/>
  <c r="AP216" i="7"/>
  <c r="AP227" i="7"/>
  <c r="AP224" i="7"/>
  <c r="AP220" i="7"/>
  <c r="AP221" i="7"/>
  <c r="AP225" i="7"/>
  <c r="AP226" i="7"/>
  <c r="AP217" i="7"/>
  <c r="AP183" i="7"/>
  <c r="AP182" i="7"/>
  <c r="AP363" i="7"/>
  <c r="AP1697" i="7"/>
  <c r="AP1553" i="7"/>
  <c r="AP2254" i="7"/>
  <c r="AP2047" i="7"/>
  <c r="AP559" i="7"/>
  <c r="AP1811" i="7"/>
  <c r="AP671" i="7"/>
  <c r="AP1229" i="7"/>
  <c r="AP2217" i="7"/>
  <c r="AP1634" i="7"/>
  <c r="AP1719" i="7"/>
  <c r="AP1496" i="7"/>
  <c r="AP1947" i="7"/>
  <c r="AP2044" i="7"/>
  <c r="AP2105" i="7"/>
  <c r="AP1942" i="7"/>
  <c r="AP1965" i="7"/>
  <c r="AP2054" i="7"/>
  <c r="AP2079" i="7"/>
  <c r="AP901" i="7"/>
  <c r="AP996" i="7"/>
  <c r="AP824" i="7"/>
  <c r="AP862" i="7"/>
  <c r="AP683" i="7"/>
  <c r="AP623" i="7"/>
  <c r="AP706" i="7"/>
  <c r="AP861" i="7"/>
  <c r="AP659" i="7"/>
  <c r="AP699" i="7"/>
  <c r="AP707" i="7"/>
  <c r="AP439" i="7"/>
  <c r="AP415" i="7"/>
  <c r="AP414" i="7"/>
  <c r="AP485" i="7"/>
  <c r="AP316" i="7"/>
  <c r="AP325" i="7"/>
  <c r="AP337" i="7"/>
  <c r="AP495" i="7"/>
  <c r="AP258" i="7"/>
  <c r="AP486" i="7"/>
  <c r="AP148" i="7"/>
  <c r="AP147" i="7"/>
  <c r="AP934" i="7"/>
  <c r="AP895" i="7"/>
  <c r="AP1038" i="7"/>
  <c r="AP1172" i="7"/>
  <c r="AP835" i="7"/>
  <c r="AP1315" i="7"/>
  <c r="AP1081" i="7"/>
  <c r="AP1258" i="7"/>
  <c r="AP1513" i="7"/>
  <c r="AP1821" i="7"/>
  <c r="AP1040" i="7"/>
  <c r="AP1800" i="7"/>
  <c r="AP2127" i="7"/>
  <c r="AP1505" i="7"/>
  <c r="AP1026" i="7"/>
  <c r="AP1218" i="7"/>
  <c r="AP1047" i="7"/>
  <c r="AP896" i="7"/>
  <c r="AP1859" i="7"/>
  <c r="AP1850" i="7"/>
  <c r="AP1045" i="7"/>
  <c r="AP1688" i="7"/>
  <c r="AP717" i="7"/>
  <c r="AP16" i="7"/>
  <c r="AP18" i="7"/>
  <c r="AP1188" i="7"/>
  <c r="AP2224" i="7"/>
  <c r="AP1751" i="7"/>
  <c r="AP1921" i="7"/>
  <c r="AP1441" i="7"/>
  <c r="AP1418" i="7"/>
  <c r="AP1812" i="7"/>
  <c r="AP1487" i="7"/>
  <c r="AP1485" i="7"/>
  <c r="AP1511" i="7"/>
  <c r="AP1566" i="7"/>
  <c r="AP768" i="7"/>
  <c r="AP1043" i="7"/>
  <c r="AP1583" i="7"/>
  <c r="AP1724" i="7"/>
  <c r="AP2106" i="7"/>
  <c r="AP860" i="7"/>
  <c r="AP1126" i="7"/>
  <c r="AP1987" i="7"/>
  <c r="AP715" i="7"/>
  <c r="AP1447" i="7"/>
  <c r="AP1846" i="7"/>
  <c r="AP2102" i="7"/>
  <c r="AP1918" i="7"/>
  <c r="AP1872" i="7"/>
  <c r="AP2184" i="7"/>
  <c r="AP411" i="7"/>
  <c r="AP1476" i="7"/>
  <c r="AP1525" i="7"/>
  <c r="AP1663" i="7"/>
  <c r="AP1459" i="7"/>
  <c r="AP1185" i="7"/>
  <c r="AP1282" i="7"/>
  <c r="AP686" i="7"/>
  <c r="AP1255" i="7"/>
  <c r="AP212" i="7"/>
  <c r="AP1480" i="7"/>
  <c r="AP1159" i="7"/>
  <c r="AP1954" i="7"/>
  <c r="AP2100" i="7"/>
  <c r="AP1166" i="7"/>
  <c r="AP1802" i="7"/>
  <c r="AP1680" i="7"/>
  <c r="AP1916" i="7"/>
  <c r="AP1475" i="7"/>
  <c r="AP2194" i="7"/>
  <c r="AP1378" i="7"/>
  <c r="AP2055" i="7"/>
  <c r="AP1075" i="7"/>
  <c r="AP1177" i="7"/>
  <c r="AP1277" i="7"/>
  <c r="AP927" i="7"/>
  <c r="AP985" i="7"/>
  <c r="AP1470" i="7"/>
  <c r="AP743" i="7"/>
  <c r="AP922" i="7"/>
  <c r="AP1090" i="7"/>
  <c r="AP1251" i="7"/>
  <c r="AP2101" i="7"/>
  <c r="AP1785" i="7"/>
  <c r="AP1982" i="7"/>
  <c r="AP2087" i="7"/>
  <c r="AP920" i="7"/>
  <c r="AP1753" i="7"/>
  <c r="AP1057" i="7"/>
  <c r="AP2162" i="7"/>
  <c r="AP1864" i="7"/>
  <c r="AP1907" i="7"/>
  <c r="AP708" i="7"/>
  <c r="AP1136" i="7"/>
  <c r="AP2283" i="7"/>
  <c r="AP570" i="7"/>
  <c r="AP1714" i="7"/>
  <c r="AP1209" i="7"/>
  <c r="AP2209" i="7"/>
  <c r="AP493" i="7"/>
  <c r="AP923" i="7"/>
  <c r="AP1325" i="7"/>
  <c r="AP1363" i="7"/>
  <c r="AP335" i="7"/>
  <c r="AP2088" i="7"/>
  <c r="AP1334" i="7"/>
  <c r="AP788" i="7"/>
  <c r="AP1842" i="7"/>
  <c r="AP1701" i="7"/>
  <c r="AP1968" i="7"/>
  <c r="AP1658" i="7"/>
  <c r="AP510" i="7"/>
  <c r="AP1994" i="7"/>
  <c r="AP1253" i="7"/>
  <c r="AP256" i="7"/>
  <c r="AP1383" i="7"/>
  <c r="AP1022" i="7"/>
  <c r="AP8" i="7"/>
  <c r="AP1854" i="7"/>
  <c r="AP1820" i="7"/>
  <c r="AP1645" i="7"/>
  <c r="AP1127" i="7"/>
  <c r="AP1078" i="7"/>
  <c r="AP1295" i="7"/>
  <c r="AP1155" i="7"/>
  <c r="AP1174" i="7"/>
  <c r="AP1473" i="7"/>
  <c r="AP1550" i="7"/>
  <c r="AP950" i="7"/>
  <c r="AP1204" i="7"/>
  <c r="AP1608" i="7"/>
  <c r="AP1602" i="7"/>
  <c r="AP1612" i="7"/>
  <c r="AP1516" i="7"/>
  <c r="AP1578" i="7"/>
  <c r="AP1540" i="7"/>
  <c r="AP1593" i="7"/>
  <c r="AP1573" i="7"/>
  <c r="AP1574" i="7"/>
  <c r="AP1931" i="7"/>
  <c r="AP560" i="7"/>
  <c r="AP1130" i="7"/>
  <c r="AP1835" i="7"/>
  <c r="AP460" i="7"/>
  <c r="AP572" i="7"/>
  <c r="AP913" i="7"/>
  <c r="AP369" i="7"/>
  <c r="AP1667" i="7"/>
  <c r="AP1679" i="7"/>
  <c r="AP1843" i="7"/>
  <c r="AP1554" i="7"/>
  <c r="AP253" i="7"/>
  <c r="AP760" i="7"/>
  <c r="AP2164" i="7"/>
  <c r="AP467" i="7"/>
  <c r="AP472" i="7"/>
  <c r="AP1450" i="7"/>
  <c r="AP785" i="7"/>
  <c r="AP1446" i="7"/>
  <c r="AP1254" i="7"/>
  <c r="AP1649" i="7"/>
  <c r="AP113" i="7"/>
  <c r="AP199" i="7"/>
  <c r="AP276" i="7"/>
  <c r="AP396" i="7"/>
  <c r="AP67" i="7"/>
  <c r="AP198" i="7"/>
  <c r="AP1604" i="7"/>
  <c r="AP305" i="7"/>
  <c r="AP2271" i="7"/>
  <c r="AP328" i="7"/>
  <c r="AP334" i="7"/>
  <c r="AP344" i="7"/>
  <c r="AP345" i="7"/>
  <c r="AP341" i="7"/>
  <c r="AP555" i="7"/>
  <c r="AP263" i="7"/>
  <c r="AP509" i="7"/>
  <c r="AP553" i="7"/>
  <c r="AP374" i="7"/>
  <c r="AP688" i="7"/>
  <c r="AP551" i="7"/>
  <c r="AP546" i="7"/>
  <c r="AP566" i="7"/>
  <c r="AP372" i="7"/>
  <c r="AP2259" i="7"/>
  <c r="AP1453" i="7"/>
  <c r="AP1431" i="7"/>
  <c r="AP494" i="7"/>
  <c r="AP1438" i="7"/>
  <c r="AP287" i="7"/>
  <c r="AP1061" i="7"/>
  <c r="AP420" i="7"/>
  <c r="AP1837" i="7"/>
  <c r="AP277" i="7"/>
  <c r="AP729" i="7"/>
  <c r="AP1463" i="7"/>
  <c r="AP644" i="7"/>
  <c r="AP634" i="7"/>
  <c r="AP601" i="7"/>
  <c r="AP436" i="7"/>
  <c r="AP831" i="7"/>
  <c r="AP930" i="7"/>
  <c r="AP1529" i="7"/>
  <c r="AP1584" i="7"/>
  <c r="AP1409" i="7"/>
  <c r="AP1234" i="7"/>
  <c r="AP804" i="7"/>
  <c r="AP1660" i="7"/>
  <c r="AP1261" i="7"/>
  <c r="AP1199" i="7"/>
  <c r="AP955" i="7"/>
  <c r="AP1279" i="7"/>
  <c r="AP1974" i="7"/>
  <c r="AP1606" i="7"/>
  <c r="AP1548" i="7"/>
  <c r="AP924" i="7"/>
  <c r="AP129" i="7"/>
  <c r="AP1176" i="7"/>
  <c r="AP1206" i="7"/>
  <c r="AP1243" i="7"/>
  <c r="AP1182" i="7"/>
  <c r="AP1074" i="7"/>
  <c r="AP1296" i="7"/>
  <c r="AP1215" i="7"/>
  <c r="AP1118" i="7"/>
  <c r="AP1084" i="7"/>
  <c r="AP1189" i="7"/>
  <c r="AP1269" i="7"/>
  <c r="AP732" i="7"/>
  <c r="AP1351" i="7"/>
  <c r="AP1313" i="7"/>
  <c r="AP1143" i="7"/>
  <c r="AP2148" i="7"/>
  <c r="AP2212" i="7"/>
  <c r="AP842" i="7"/>
  <c r="AP252" i="7"/>
  <c r="AP1603" i="7"/>
  <c r="AP921" i="7"/>
  <c r="AP579" i="7"/>
  <c r="AP1210" i="7"/>
  <c r="AP1129" i="7"/>
  <c r="AP1770" i="7"/>
  <c r="AP2247" i="7"/>
  <c r="AP333" i="7"/>
  <c r="AP1355" i="7"/>
  <c r="AP1228" i="7"/>
  <c r="AP2258" i="7"/>
  <c r="AP401" i="7"/>
  <c r="AP578" i="7"/>
  <c r="AP632" i="7"/>
  <c r="AP1175" i="7"/>
  <c r="AP1853" i="7"/>
  <c r="AP1069" i="7"/>
  <c r="AP1201" i="7"/>
  <c r="AP1262" i="7"/>
  <c r="AP1152" i="7"/>
  <c r="AP587" i="7"/>
  <c r="AP1035" i="7"/>
  <c r="AP1133" i="7"/>
  <c r="AP1242" i="7"/>
  <c r="AP1541" i="7"/>
  <c r="AP580" i="7"/>
  <c r="AP1559" i="7"/>
  <c r="AP1367" i="7"/>
  <c r="AP1263" i="7"/>
  <c r="AP1289" i="7"/>
  <c r="AP1357" i="7"/>
  <c r="AP1338" i="7"/>
  <c r="AP1117" i="7"/>
  <c r="AP1079" i="7"/>
  <c r="AP1344" i="7"/>
  <c r="AP1306" i="7"/>
  <c r="AP1146" i="7"/>
  <c r="AP1071" i="7"/>
  <c r="AP133" i="7"/>
  <c r="AP2273" i="7"/>
  <c r="AP321" i="7"/>
  <c r="AP637" i="7"/>
  <c r="AP1767" i="7"/>
  <c r="AP2206" i="7"/>
  <c r="AP1186" i="7"/>
  <c r="AP13" i="7"/>
  <c r="AP2221" i="7"/>
  <c r="AP786" i="7"/>
  <c r="AP17" i="7"/>
  <c r="AP1572" i="7"/>
  <c r="AP1725" i="7"/>
  <c r="AP1305" i="7"/>
  <c r="AP787" i="7"/>
  <c r="AP1401" i="7"/>
  <c r="AP1617" i="7"/>
  <c r="AP2094" i="7"/>
  <c r="AP1595" i="7"/>
  <c r="AP619" i="7"/>
  <c r="AP1831" i="7"/>
  <c r="AP1181" i="7"/>
  <c r="AP1405" i="7"/>
  <c r="AP540" i="7"/>
  <c r="AP928" i="7"/>
  <c r="AP872" i="7"/>
  <c r="AP761" i="7"/>
  <c r="AP728" i="7"/>
  <c r="AP718" i="7"/>
  <c r="AP810" i="7"/>
  <c r="AP617" i="7"/>
  <c r="AP609" i="7"/>
  <c r="AP908" i="7"/>
  <c r="AP816" i="7"/>
  <c r="AP936" i="7"/>
  <c r="AP808" i="7"/>
  <c r="AP802" i="7"/>
  <c r="AP2276" i="7"/>
  <c r="AP20" i="7"/>
  <c r="AP21" i="7"/>
  <c r="AP23" i="7"/>
  <c r="AP22" i="7"/>
  <c r="AP1121" i="7"/>
  <c r="AP956" i="7"/>
  <c r="AP731" i="7"/>
  <c r="AP12" i="7"/>
  <c r="AP1111" i="7"/>
  <c r="AP421" i="7"/>
  <c r="AP427" i="7"/>
  <c r="AP418" i="7"/>
  <c r="AP419" i="7"/>
  <c r="AP424" i="7"/>
  <c r="AP429" i="7"/>
  <c r="AP2255" i="7"/>
  <c r="AP1180" i="7"/>
  <c r="AP1231" i="7"/>
  <c r="AP1165" i="7"/>
  <c r="AP1220" i="7"/>
  <c r="AP1164" i="7"/>
  <c r="AP1162" i="7"/>
  <c r="AP1290" i="7"/>
  <c r="AP1219" i="7"/>
  <c r="AP1105" i="7"/>
  <c r="AP1393" i="7"/>
  <c r="AP1116" i="7"/>
  <c r="AP1844" i="7"/>
  <c r="AP1760" i="7"/>
  <c r="AP1883" i="7"/>
  <c r="AP2005" i="7"/>
  <c r="AP2242" i="7"/>
  <c r="AP15" i="7"/>
  <c r="AP267" i="7"/>
  <c r="AP1746" i="7"/>
  <c r="AP1310" i="7"/>
  <c r="AP1601" i="7"/>
  <c r="AP1414" i="7"/>
  <c r="AP1788" i="7"/>
  <c r="AP1014" i="7"/>
  <c r="AP990" i="7"/>
  <c r="AP1091" i="7"/>
  <c r="AP1523" i="7"/>
  <c r="AP1849" i="7"/>
  <c r="AP2225" i="7"/>
  <c r="AP1154" i="7"/>
  <c r="AP962" i="7"/>
  <c r="AP1082" i="7"/>
  <c r="AP2167" i="7"/>
  <c r="AP2264" i="7"/>
  <c r="AP2053" i="7"/>
  <c r="AP2110" i="7"/>
  <c r="AP1741" i="7"/>
  <c r="AP1952" i="7"/>
  <c r="AP2210" i="7"/>
  <c r="AP1270" i="7"/>
  <c r="AP2035" i="7"/>
  <c r="AP1440" i="7"/>
  <c r="AP1250" i="7"/>
  <c r="AP2070" i="7"/>
  <c r="AP2074" i="7"/>
  <c r="AP880" i="7"/>
  <c r="AP1710" i="7"/>
  <c r="AP1985" i="7"/>
  <c r="AP1929" i="7"/>
  <c r="AP1950" i="7"/>
  <c r="AP2093" i="7"/>
  <c r="AP2229" i="7"/>
  <c r="AP1953" i="7"/>
  <c r="AP1707" i="7"/>
  <c r="AP1789" i="7"/>
  <c r="AP1120" i="7"/>
  <c r="AP1884" i="7"/>
  <c r="AP2061" i="7"/>
  <c r="AP1764" i="7"/>
  <c r="AP982" i="7"/>
  <c r="AP993" i="7"/>
  <c r="AP965" i="7"/>
  <c r="AP1001" i="7"/>
  <c r="AP781" i="7"/>
  <c r="AP976" i="7"/>
  <c r="AP500" i="7"/>
  <c r="AP603" i="7"/>
  <c r="AP735" i="7"/>
  <c r="AP687" i="7"/>
  <c r="AP624" i="7"/>
  <c r="AP665" i="7"/>
  <c r="AP440" i="7"/>
  <c r="AP577" i="7"/>
  <c r="AP607" i="7"/>
  <c r="AP499" i="7"/>
  <c r="AP425" i="7"/>
  <c r="AP453" i="7"/>
  <c r="AP604" i="7"/>
  <c r="AP574" i="7"/>
  <c r="AP470" i="7"/>
  <c r="AP465" i="7"/>
  <c r="AP349" i="7"/>
  <c r="AP456" i="7"/>
  <c r="AP561" i="7"/>
  <c r="AP817" i="7"/>
  <c r="AP1028" i="7"/>
  <c r="AP703" i="7"/>
  <c r="AP1050" i="7"/>
  <c r="AP974" i="7"/>
  <c r="AP685" i="7"/>
  <c r="AP2230" i="7"/>
  <c r="AP1686" i="7"/>
  <c r="AP867" i="7"/>
  <c r="AP1119" i="7"/>
  <c r="AP1392" i="7"/>
  <c r="AP1244" i="7"/>
  <c r="AP1281" i="7"/>
  <c r="AP1160" i="7"/>
  <c r="AP1287" i="7"/>
  <c r="AP811" i="7"/>
  <c r="AP342" i="7"/>
  <c r="AP332" i="7"/>
  <c r="AP1347" i="7"/>
  <c r="AP167" i="7"/>
  <c r="AP157" i="7"/>
  <c r="AP179" i="7"/>
  <c r="AP178" i="7"/>
  <c r="AP152" i="7"/>
  <c r="AP168" i="7"/>
  <c r="AP174" i="7"/>
  <c r="AP172" i="7"/>
  <c r="AP162" i="7"/>
  <c r="AP153" i="7"/>
  <c r="AP151" i="7"/>
  <c r="AP1623" i="7"/>
  <c r="AP1861" i="7"/>
  <c r="AP2116" i="7"/>
  <c r="AP2245" i="7"/>
  <c r="AP2112" i="7"/>
  <c r="AP2132" i="7"/>
  <c r="AP2207" i="7"/>
  <c r="AP2235" i="7"/>
  <c r="AP1765" i="7"/>
  <c r="AP2257" i="7"/>
  <c r="AP2261" i="7"/>
  <c r="AP2145" i="7"/>
  <c r="AP1002" i="7"/>
  <c r="AP2232" i="7"/>
  <c r="AP2189" i="7"/>
  <c r="AP946" i="7"/>
  <c r="AP825" i="7"/>
  <c r="AP1329" i="7"/>
  <c r="AP879" i="7"/>
  <c r="AP1066" i="7"/>
  <c r="AP992" i="7"/>
  <c r="AP1007" i="7"/>
  <c r="AP997" i="7"/>
  <c r="AP1032" i="7"/>
  <c r="AP1030" i="7"/>
  <c r="AP1317" i="7"/>
  <c r="AP1245" i="7"/>
  <c r="AP2234" i="7"/>
  <c r="AP1670" i="7"/>
  <c r="AP1467" i="7"/>
  <c r="AP2114" i="7"/>
  <c r="AP386" i="7"/>
  <c r="AP375" i="7"/>
  <c r="AP241" i="7"/>
  <c r="AP1538" i="7"/>
  <c r="AP1339" i="7"/>
  <c r="AP1399" i="7"/>
  <c r="AP1782" i="7"/>
  <c r="AP149" i="7"/>
  <c r="AP171" i="7"/>
  <c r="AP161" i="7"/>
  <c r="AP177" i="7"/>
  <c r="AP163" i="7"/>
  <c r="AP170" i="7"/>
  <c r="AP173" i="7"/>
  <c r="AP175" i="7"/>
  <c r="AP164" i="7"/>
  <c r="AP166" i="7"/>
  <c r="AP165" i="7"/>
  <c r="AP1925" i="7"/>
  <c r="AP1135" i="7"/>
  <c r="AP556" i="7"/>
  <c r="AP1106" i="7"/>
  <c r="AP652" i="7"/>
  <c r="AP1240" i="7"/>
  <c r="AP641" i="7"/>
  <c r="AP980" i="7"/>
  <c r="AP469" i="7"/>
  <c r="AP1946" i="7"/>
  <c r="AP1732" i="7"/>
  <c r="AP1517" i="7"/>
  <c r="AP2096" i="7"/>
  <c r="AP2272" i="7"/>
  <c r="AP2165" i="7"/>
  <c r="AP1088" i="7"/>
  <c r="AP1575" i="7"/>
  <c r="AP1750" i="7"/>
  <c r="AP1293" i="7"/>
  <c r="AP2198" i="7"/>
  <c r="AP646" i="7"/>
  <c r="AP1651" i="7"/>
  <c r="AP1389" i="7"/>
  <c r="AP858" i="7"/>
  <c r="AP753" i="7"/>
  <c r="AP776" i="7"/>
  <c r="AP864" i="7"/>
  <c r="AP911" i="7"/>
  <c r="AP741" i="7"/>
  <c r="AP677" i="7"/>
  <c r="AP647" i="7"/>
  <c r="AP736" i="7"/>
  <c r="AP782" i="7"/>
  <c r="AP680" i="7"/>
  <c r="AP755" i="7"/>
  <c r="AP630" i="7"/>
  <c r="AP660" i="7"/>
  <c r="AP648" i="7"/>
  <c r="AP740" i="7"/>
  <c r="AP542" i="7"/>
  <c r="AP393" i="7"/>
  <c r="AP482" i="7"/>
  <c r="AP653" i="7"/>
  <c r="AP520" i="7"/>
  <c r="AP480" i="7"/>
  <c r="AP640" i="7"/>
  <c r="AP845" i="7"/>
  <c r="AP814" i="7"/>
  <c r="AP887" i="7"/>
  <c r="AP906" i="7"/>
  <c r="AP780" i="7"/>
  <c r="AP774" i="7"/>
  <c r="AP818" i="7"/>
  <c r="AP1543" i="7"/>
  <c r="AP573" i="7"/>
  <c r="AP704" i="7"/>
  <c r="AP850" i="7"/>
  <c r="AP837" i="7"/>
  <c r="AP900" i="7"/>
  <c r="AP441" i="7"/>
  <c r="AP918" i="7"/>
  <c r="AP874" i="7"/>
  <c r="AP764" i="7"/>
  <c r="AP903" i="7"/>
  <c r="AP684" i="7"/>
  <c r="AP484" i="7"/>
  <c r="AP249" i="7"/>
  <c r="AP331" i="7"/>
  <c r="AP262" i="7"/>
  <c r="AP330" i="7"/>
  <c r="AP300" i="7"/>
  <c r="AP324" i="7"/>
  <c r="AP296" i="7"/>
  <c r="AP289" i="7"/>
  <c r="AP355" i="7"/>
  <c r="AP350" i="7"/>
  <c r="AP346" i="7"/>
  <c r="AP319" i="7"/>
  <c r="AP351" i="7"/>
  <c r="AP340" i="7"/>
  <c r="AP464" i="7"/>
  <c r="AP474" i="7"/>
  <c r="AP846" i="7"/>
  <c r="AP370" i="7"/>
  <c r="AP662" i="7"/>
  <c r="AP963" i="7"/>
  <c r="AP797" i="7"/>
  <c r="AP1087" i="7"/>
  <c r="AP1360" i="7"/>
  <c r="AP1530" i="7"/>
  <c r="AP582" i="7"/>
  <c r="AP848" i="7"/>
  <c r="AP1622" i="7"/>
  <c r="AP1322" i="7"/>
  <c r="AP968" i="7"/>
  <c r="AP1005" i="7"/>
  <c r="AP1506" i="7"/>
  <c r="AP1502" i="7"/>
  <c r="AP2262" i="7"/>
  <c r="AP1375" i="7"/>
  <c r="AP1555" i="7"/>
  <c r="AP1343" i="7"/>
  <c r="AP1021" i="7"/>
  <c r="AP2154" i="7"/>
  <c r="AP1350" i="7"/>
  <c r="AP1212" i="7"/>
  <c r="AP1336" i="7"/>
  <c r="AP1659" i="7"/>
  <c r="AP2026" i="7"/>
  <c r="AP1666" i="7"/>
  <c r="AP1257" i="7"/>
  <c r="AP750" i="7"/>
  <c r="AP545" i="7"/>
  <c r="AP586" i="7"/>
  <c r="AP1374" i="7"/>
  <c r="AP953" i="7"/>
  <c r="AP847" i="7"/>
  <c r="AP751" i="7"/>
  <c r="AP792" i="7"/>
  <c r="AP914" i="7"/>
  <c r="AP904" i="7"/>
  <c r="AP672" i="7"/>
  <c r="AP712" i="7"/>
  <c r="AP725" i="7"/>
  <c r="AP799" i="7"/>
  <c r="AP214" i="7"/>
  <c r="AP892" i="7"/>
  <c r="AP655" i="7"/>
  <c r="AP616" i="7"/>
  <c r="AP759" i="7"/>
  <c r="AP1214" i="7"/>
  <c r="AP1108" i="7"/>
  <c r="AP1184" i="7"/>
  <c r="AP203" i="7"/>
  <c r="AP213" i="7"/>
  <c r="AP575" i="7"/>
  <c r="AP1519" i="7"/>
  <c r="AP778" i="7"/>
  <c r="AP265" i="7"/>
  <c r="AP266" i="7"/>
  <c r="AP2147" i="7"/>
  <c r="AP1236" i="7"/>
  <c r="AP1742" i="7"/>
  <c r="AP1828" i="7"/>
  <c r="AP1858" i="7"/>
  <c r="AP1804" i="7"/>
  <c r="AP1721" i="7"/>
  <c r="AP1112" i="7"/>
  <c r="AP2201" i="7"/>
  <c r="AP2202" i="7"/>
  <c r="AP1576" i="7"/>
  <c r="AP1730" i="7"/>
  <c r="AP2130" i="7"/>
  <c r="AP2144" i="7"/>
  <c r="AP2072" i="7"/>
  <c r="AP1046" i="7"/>
  <c r="AP1268" i="7"/>
  <c r="AP1249" i="7"/>
  <c r="AP805" i="7"/>
  <c r="AP1094" i="7"/>
  <c r="AP2266" i="7"/>
  <c r="AP777" i="7"/>
  <c r="AP1086" i="7"/>
  <c r="AP1148" i="7"/>
  <c r="AP1226" i="7"/>
  <c r="AP1521" i="7"/>
  <c r="AP1689" i="7"/>
  <c r="AP1549" i="7"/>
  <c r="AP1097" i="7"/>
  <c r="AP897" i="7"/>
  <c r="AP869" i="7"/>
  <c r="AP710" i="7"/>
  <c r="AP807" i="7"/>
  <c r="AP855" i="7"/>
  <c r="AP938" i="7"/>
  <c r="AP813" i="7"/>
  <c r="AP889" i="7"/>
  <c r="AP873" i="7"/>
  <c r="AP1073" i="7"/>
  <c r="AP1586" i="7"/>
  <c r="AP1879" i="7"/>
  <c r="AP1239" i="7"/>
  <c r="AP1337" i="7"/>
  <c r="AP1520" i="7"/>
  <c r="AP1494" i="7"/>
  <c r="AP1557" i="7"/>
  <c r="AP1491" i="7"/>
  <c r="AP1237" i="7"/>
  <c r="AP1547" i="7"/>
  <c r="AP1272" i="7"/>
  <c r="AP1826" i="7"/>
  <c r="AP2253" i="7"/>
  <c r="AP176" i="7"/>
  <c r="AP158" i="7"/>
  <c r="AP184" i="7"/>
  <c r="AP181" i="7"/>
  <c r="AP180" i="7"/>
  <c r="AP185" i="7"/>
  <c r="AP150" i="7"/>
  <c r="AP154" i="7"/>
  <c r="AP156" i="7"/>
  <c r="AP155" i="7"/>
  <c r="AP2267" i="7"/>
  <c r="AP1633" i="7"/>
  <c r="AP2263" i="7"/>
  <c r="AP1474" i="7"/>
  <c r="AP1203" i="7"/>
  <c r="AP294" i="7"/>
  <c r="AP1939" i="7"/>
  <c r="AP1696" i="7"/>
  <c r="AP1469" i="7"/>
  <c r="AP1769" i="7"/>
  <c r="AP1771" i="7"/>
  <c r="AP1693" i="7"/>
  <c r="AP1695" i="7"/>
  <c r="AP1935" i="7"/>
  <c r="AP2182" i="7"/>
  <c r="AP1326" i="7"/>
  <c r="AP1866" i="7"/>
  <c r="AP1280" i="7"/>
  <c r="AP1193" i="7"/>
  <c r="AP1248" i="7"/>
  <c r="AP535" i="7"/>
  <c r="AP611" i="7"/>
  <c r="AP689" i="7"/>
  <c r="AP511" i="7"/>
  <c r="AP941" i="7"/>
  <c r="AP1823" i="7"/>
  <c r="AP2181" i="7"/>
  <c r="AP2241" i="7"/>
  <c r="AP1801" i="7"/>
  <c r="AP2043" i="7"/>
  <c r="AP2177" i="7"/>
  <c r="AP1422" i="7"/>
  <c r="AP1141" i="7"/>
  <c r="AP727" i="7"/>
  <c r="AP876" i="7"/>
  <c r="AP2265" i="7"/>
  <c r="AP588" i="7"/>
  <c r="AP711" i="7"/>
  <c r="AP1332" i="7"/>
  <c r="AP1615" i="7"/>
  <c r="AP1577" i="7"/>
  <c r="AP1387" i="7"/>
  <c r="AP1300" i="7"/>
  <c r="AP1323" i="7"/>
  <c r="AP1335" i="7"/>
  <c r="AP1372" i="7"/>
  <c r="AP973" i="7"/>
  <c r="AP1213" i="7"/>
  <c r="AP430" i="7"/>
  <c r="AP794" i="7"/>
  <c r="AP1208" i="7"/>
  <c r="AP1145" i="7"/>
  <c r="AP1004" i="7"/>
  <c r="AP698" i="7"/>
  <c r="AP784" i="7"/>
  <c r="AP742" i="7"/>
  <c r="AP843" i="7"/>
  <c r="AP769" i="7"/>
  <c r="AP1324" i="7"/>
  <c r="AP1585" i="7"/>
  <c r="AP1358" i="7"/>
  <c r="AP1202" i="7"/>
  <c r="AP1100" i="7"/>
  <c r="AP834" i="7"/>
  <c r="AP832" i="7"/>
  <c r="AP530" i="7"/>
  <c r="AP257" i="7"/>
  <c r="AP254" i="7"/>
  <c r="AP1128" i="7"/>
  <c r="AP1582" i="7"/>
  <c r="AP1286" i="7"/>
  <c r="AP1631" i="7"/>
  <c r="AP1781" i="7"/>
  <c r="AP1661" i="7"/>
  <c r="AP1430" i="7"/>
  <c r="AP1892" i="7"/>
  <c r="AP2163" i="7"/>
  <c r="AP2158" i="7"/>
  <c r="AP2134" i="7"/>
  <c r="AP2168" i="7"/>
  <c r="AP2216" i="7"/>
  <c r="AP2124" i="7"/>
  <c r="AP2220" i="7"/>
  <c r="AP60" i="7"/>
  <c r="AP1010" i="7"/>
  <c r="AP2175" i="7"/>
  <c r="AP2279" i="7"/>
  <c r="AP1997" i="7"/>
  <c r="AP549" i="7"/>
  <c r="AP1708" i="7"/>
  <c r="AP1624" i="7"/>
  <c r="AP1241" i="7"/>
  <c r="AP1810" i="7"/>
  <c r="AP1738" i="7"/>
  <c r="AP1957" i="7"/>
  <c r="AP1900" i="7"/>
  <c r="AP1627" i="7"/>
  <c r="AP463" i="7"/>
  <c r="AP563" i="7"/>
  <c r="AP1407" i="7"/>
  <c r="AP245" i="7"/>
  <c r="AP583" i="7"/>
  <c r="AP481" i="7"/>
  <c r="AP812" i="7"/>
  <c r="AP1142" i="7"/>
  <c r="AP268" i="7"/>
  <c r="AP1486" i="7"/>
  <c r="AP1851" i="7"/>
  <c r="AP237" i="7"/>
  <c r="AP251" i="7"/>
  <c r="AP255" i="7"/>
  <c r="AP398" i="7"/>
  <c r="AP356" i="7"/>
  <c r="AP288" i="7"/>
  <c r="AP240" i="7"/>
  <c r="AP856" i="7"/>
  <c r="AP656" i="7"/>
  <c r="AP70" i="7"/>
  <c r="AP442" i="7"/>
  <c r="AP592" i="7"/>
  <c r="AP1256" i="7"/>
  <c r="AP661" i="7"/>
  <c r="AP766" i="7"/>
  <c r="AP886" i="7"/>
  <c r="AP1051" i="7"/>
  <c r="AP851" i="7"/>
  <c r="AP536" i="7"/>
  <c r="AP320" i="7"/>
  <c r="AP2238" i="7"/>
  <c r="AP1919" i="7"/>
  <c r="AP970" i="7"/>
  <c r="AP2113" i="7"/>
  <c r="AP1964" i="7"/>
  <c r="AP1416" i="7"/>
  <c r="AP1205" i="7"/>
  <c r="AP2143" i="7"/>
  <c r="AP615" i="7"/>
  <c r="AP205" i="7"/>
  <c r="AP206" i="7"/>
  <c r="AP207" i="7"/>
  <c r="AP1784" i="7"/>
  <c r="AP1798" i="7"/>
  <c r="AP1195" i="7"/>
  <c r="AP830" i="7"/>
  <c r="AP431" i="7"/>
  <c r="AP1352" i="7"/>
  <c r="AP1413" i="7"/>
  <c r="AP361" i="7"/>
  <c r="AP1455" i="7"/>
  <c r="AP1421" i="7"/>
  <c r="AP1594" i="7"/>
  <c r="AP949" i="7"/>
  <c r="AP952" i="7"/>
  <c r="AP400" i="7"/>
  <c r="AP2278" i="7"/>
  <c r="AP809" i="7"/>
  <c r="AP1449" i="7"/>
  <c r="AP2274" i="7"/>
  <c r="AP2277" i="7"/>
  <c r="AP131" i="7"/>
  <c r="AP68" i="7"/>
  <c r="AP2180" i="7"/>
  <c r="AP1887" i="7"/>
  <c r="AP1981" i="7"/>
  <c r="AP1896" i="7"/>
  <c r="AP1903" i="7"/>
  <c r="AP1941" i="7"/>
  <c r="AP2137" i="7"/>
  <c r="AP2155" i="7"/>
  <c r="AP2051" i="7"/>
  <c r="AP2152" i="7"/>
  <c r="AP1639" i="7"/>
  <c r="AP2222" i="7"/>
  <c r="AP663" i="7"/>
  <c r="AP523" i="7"/>
  <c r="AP275" i="7"/>
  <c r="AP505" i="7"/>
  <c r="AP373" i="7"/>
  <c r="AP635" i="7"/>
  <c r="AP272" i="7"/>
  <c r="AP315" i="7"/>
  <c r="AP380" i="7"/>
  <c r="AP10" i="7"/>
  <c r="AP1125" i="7"/>
  <c r="AP323" i="7"/>
  <c r="AP377" i="7"/>
  <c r="AP379" i="7"/>
  <c r="AP548" i="7"/>
  <c r="AP496" i="7"/>
  <c r="AP506" i="7"/>
  <c r="AP1291" i="7"/>
  <c r="AP1370" i="7"/>
  <c r="AP961" i="7"/>
  <c r="AP613" i="7"/>
  <c r="AP1949" i="7"/>
  <c r="AP1959" i="7"/>
  <c r="AP1913" i="7"/>
  <c r="AP462" i="7"/>
  <c r="AP1862" i="7"/>
  <c r="AP1748" i="7"/>
  <c r="AP1515" i="7"/>
  <c r="AP1579" i="7"/>
  <c r="AP2215" i="7"/>
  <c r="AP564" i="7"/>
  <c r="AP643" i="7"/>
  <c r="AP679" i="7"/>
  <c r="AP338" i="7"/>
  <c r="AP2204" i="7"/>
  <c r="AP836" i="7"/>
  <c r="AP716" i="7"/>
  <c r="AP2275" i="7"/>
  <c r="AP1962" i="7"/>
  <c r="AP115" i="7"/>
  <c r="AP2085" i="7"/>
  <c r="AP1830" i="7"/>
  <c r="AP909" i="7"/>
  <c r="AP99" i="7"/>
  <c r="AP694" i="7"/>
  <c r="AP457" i="7"/>
  <c r="AP461" i="7"/>
  <c r="AP339" i="7"/>
  <c r="AP354" i="7"/>
  <c r="AP1395" i="7"/>
  <c r="AP1386" i="7"/>
  <c r="AP261" i="7"/>
  <c r="AP308" i="7"/>
  <c r="AP343" i="7"/>
  <c r="AP395" i="7"/>
  <c r="AP915" i="7"/>
  <c r="AP2142" i="7"/>
  <c r="AP833" i="7"/>
  <c r="AP475" i="7"/>
  <c r="AP387" i="7"/>
  <c r="AP1391" i="7"/>
  <c r="AP2034" i="7"/>
  <c r="AP1940" i="7"/>
  <c r="AP2157" i="7"/>
  <c r="AP1914" i="7"/>
  <c r="AP1739" i="7"/>
  <c r="AP2107" i="7"/>
  <c r="AP1948" i="7"/>
  <c r="AP1780" i="7"/>
  <c r="AP1777" i="7"/>
  <c r="AP1763" i="7"/>
  <c r="AP2028" i="7"/>
  <c r="AP1893" i="7"/>
  <c r="AP1705" i="7"/>
  <c r="AP1996" i="7"/>
  <c r="AP1943" i="7"/>
  <c r="AP1726" i="7"/>
  <c r="AP1493" i="7"/>
  <c r="AP1613" i="7"/>
  <c r="AP1533" i="7"/>
  <c r="AP1969" i="7"/>
  <c r="AP1712" i="7"/>
  <c r="AP1734" i="7"/>
  <c r="AP1512" i="7"/>
  <c r="AP1570" i="7"/>
  <c r="AP2089" i="7"/>
  <c r="AP1432" i="7"/>
  <c r="AP1522" i="7"/>
  <c r="AP1731" i="7"/>
  <c r="AP1276" i="7"/>
  <c r="AP2172" i="7"/>
  <c r="AP2256" i="7"/>
  <c r="AP1510" i="7"/>
  <c r="AP2239" i="7"/>
  <c r="AP2125" i="7"/>
  <c r="AP1484" i="7"/>
  <c r="AP1956" i="7"/>
  <c r="AP2032" i="7"/>
  <c r="AP2041" i="7"/>
  <c r="AP2020" i="7"/>
  <c r="AP1975" i="7"/>
  <c r="AP1747" i="7"/>
  <c r="AP783" i="7"/>
  <c r="AP2007" i="7"/>
  <c r="AP1556" i="7"/>
  <c r="AP749" i="7"/>
  <c r="AP1568" i="7"/>
  <c r="AP2269" i="7"/>
  <c r="AP884" i="7"/>
  <c r="AP1535" i="7"/>
  <c r="AP1650" i="7"/>
  <c r="AP1805" i="7"/>
  <c r="AP1848" i="7"/>
  <c r="AP1847" i="7"/>
  <c r="AP1657" i="7"/>
  <c r="AP1439" i="7"/>
  <c r="AP2083" i="7"/>
  <c r="AP2086" i="7"/>
  <c r="AP2099" i="7"/>
  <c r="AP1080" i="7"/>
  <c r="AP1104" i="7"/>
  <c r="AP1137" i="7"/>
  <c r="AP1509" i="7"/>
  <c r="AP1551" i="7"/>
  <c r="AP2098" i="7"/>
  <c r="AP2057" i="7"/>
  <c r="AP1999" i="7"/>
  <c r="AP1995" i="7"/>
  <c r="AP2117" i="7"/>
  <c r="AP2056" i="7"/>
  <c r="AP1301" i="7"/>
  <c r="AP948" i="7"/>
  <c r="AP610" i="7"/>
  <c r="AP589" i="7"/>
  <c r="AP2111" i="7"/>
  <c r="AP2090" i="7"/>
  <c r="AP1169" i="7"/>
  <c r="AP2001" i="7"/>
  <c r="AP1889" i="7"/>
  <c r="AP2050" i="7"/>
  <c r="AP2174" i="7"/>
  <c r="AP2149" i="7"/>
  <c r="AP2075" i="7"/>
  <c r="AP1936" i="7"/>
  <c r="AP2059" i="7"/>
  <c r="AP1532" i="7"/>
  <c r="AP1466" i="7"/>
  <c r="AP1923" i="7"/>
  <c r="AP1834" i="7"/>
  <c r="AP1665" i="7"/>
  <c r="AP1799" i="7"/>
  <c r="AP290" i="7"/>
  <c r="AP1937" i="7"/>
  <c r="AP1489" i="7"/>
  <c r="AP1905" i="7"/>
  <c r="AP1875" i="7"/>
  <c r="AP2185" i="7"/>
  <c r="AP2016" i="7"/>
  <c r="AP748" i="7"/>
  <c r="AP697" i="7"/>
  <c r="AP605" i="7"/>
  <c r="AP690" i="7"/>
  <c r="AP2045" i="7"/>
  <c r="AP2029" i="7"/>
  <c r="AP2228" i="7"/>
  <c r="AP2197" i="7"/>
  <c r="AP1972" i="7"/>
  <c r="AP1072" i="7"/>
  <c r="AP2037" i="7"/>
  <c r="AP552" i="7"/>
  <c r="AP1986" i="7"/>
  <c r="AP1644" i="7"/>
  <c r="AP1643" i="7"/>
  <c r="AP933" i="7"/>
  <c r="AP95" i="7"/>
  <c r="AP1055" i="7"/>
  <c r="AP1497" i="7"/>
  <c r="AP1076" i="7"/>
  <c r="AP1274" i="7"/>
  <c r="AP1819" i="7"/>
  <c r="AP466" i="7"/>
  <c r="AP853" i="7"/>
  <c r="AP1625" i="7"/>
  <c r="AP620" i="7"/>
  <c r="AP633" i="7"/>
  <c r="AP1971" i="7"/>
  <c r="AP1478" i="7"/>
  <c r="AP1702" i="7"/>
  <c r="AP1319" i="7"/>
  <c r="AP2084" i="7"/>
  <c r="AP1429" i="7"/>
  <c r="AP2025" i="7"/>
  <c r="AP1618" i="7"/>
  <c r="AP1571" i="7"/>
  <c r="AP1868" i="7"/>
  <c r="AP1690" i="7"/>
  <c r="AP1536" i="7"/>
  <c r="AP863" i="7"/>
  <c r="AP1267" i="7"/>
  <c r="AP1524" i="7"/>
  <c r="AP1039" i="7"/>
  <c r="AP2193" i="7"/>
  <c r="AP666" i="7"/>
  <c r="AP1865" i="7"/>
  <c r="AP1009" i="7"/>
  <c r="AP558" i="7"/>
  <c r="AP1930" i="7"/>
  <c r="AP2208" i="7"/>
  <c r="AP304" i="7"/>
  <c r="AP492" i="7"/>
  <c r="AP477" i="7"/>
  <c r="AP438" i="7"/>
  <c r="AP479" i="7"/>
  <c r="AP443" i="7"/>
  <c r="AP478" i="7"/>
  <c r="AP142" i="7"/>
  <c r="AP504" i="7"/>
  <c r="AP299" i="7"/>
  <c r="AP673" i="7"/>
  <c r="AP1454" i="7"/>
  <c r="AP1138" i="7"/>
  <c r="AP1465" i="7"/>
  <c r="AP1425" i="7"/>
  <c r="AP1314" i="7"/>
  <c r="AP1058" i="7"/>
  <c r="AP1362" i="7"/>
  <c r="AP297" i="7"/>
  <c r="AP322" i="7"/>
  <c r="AP233" i="7"/>
  <c r="AP790" i="7"/>
  <c r="AP649" i="7"/>
  <c r="AP815" i="7"/>
  <c r="AP916" i="7"/>
  <c r="AP448" i="7"/>
  <c r="AP2010" i="7"/>
  <c r="AP822" i="7"/>
  <c r="AP1048" i="7"/>
  <c r="AP1978" i="7"/>
  <c r="AP2252" i="7"/>
  <c r="AP1758" i="7"/>
  <c r="AP2214" i="7"/>
  <c r="AP1926" i="7"/>
  <c r="AP2227" i="7"/>
  <c r="AP2219" i="7"/>
  <c r="AP1757" i="7"/>
  <c r="AP1341" i="7"/>
  <c r="AP1980" i="7"/>
  <c r="AP967" i="7"/>
  <c r="AP1723" i="7"/>
  <c r="AP1838" i="7"/>
  <c r="AP1499" i="7"/>
  <c r="AP618" i="7"/>
  <c r="AP2200" i="7"/>
  <c r="AP2129" i="7"/>
  <c r="AP2038" i="7"/>
  <c r="AP1207" i="7"/>
  <c r="AP1537" i="7"/>
  <c r="AP1471" i="7"/>
  <c r="AP1062" i="7"/>
  <c r="AP1501" i="7"/>
  <c r="AP1656" i="7"/>
  <c r="AP2030" i="7"/>
  <c r="AP1886" i="7"/>
  <c r="AP2027" i="7"/>
  <c r="AP1898" i="7"/>
  <c r="AP1894" i="7"/>
  <c r="AP1899" i="7"/>
  <c r="AP1610" i="7"/>
  <c r="AP303" i="7"/>
  <c r="AP1468" i="7"/>
  <c r="AP1483" i="7"/>
  <c r="AP7" i="7"/>
  <c r="AP202" i="7"/>
  <c r="AP1158" i="7"/>
  <c r="AP1194" i="7"/>
  <c r="AP1288" i="7"/>
  <c r="AP360" i="7"/>
  <c r="AP498" i="7"/>
  <c r="AP1852" i="7"/>
  <c r="AP1614" i="7"/>
  <c r="AP1308" i="7"/>
  <c r="AP868" i="7"/>
  <c r="AP1259" i="7"/>
  <c r="AP1787" i="7"/>
  <c r="AP468" i="7"/>
  <c r="AP455" i="7"/>
  <c r="AP434" i="7"/>
  <c r="AP445" i="7"/>
  <c r="AP527" i="7"/>
  <c r="AP519" i="7"/>
  <c r="AP423" i="7"/>
  <c r="AP1901" i="7"/>
  <c r="AP1011" i="7"/>
  <c r="AP1815" i="7"/>
  <c r="AP2021" i="7"/>
  <c r="AP642" i="7"/>
  <c r="AP1888" i="7"/>
  <c r="AP1461" i="7"/>
  <c r="AP1678" i="7"/>
  <c r="AP1709" i="7"/>
  <c r="AP1927" i="7"/>
  <c r="AP1400" i="7"/>
  <c r="AP1580" i="7"/>
  <c r="AP1906" i="7"/>
  <c r="AP1817" i="7"/>
  <c r="AP1792" i="7"/>
  <c r="AP1699" i="7"/>
  <c r="AP733" i="7"/>
  <c r="AP1168" i="7"/>
  <c r="AP1729" i="7"/>
  <c r="AP1674" i="7"/>
  <c r="AP1700" i="7"/>
  <c r="AP2064" i="7"/>
  <c r="AP1099" i="7"/>
  <c r="AP2218" i="7"/>
  <c r="AP1635" i="7"/>
  <c r="AP1110" i="7"/>
  <c r="AP2280" i="7"/>
  <c r="AP2081" i="7"/>
  <c r="AP765" i="7"/>
  <c r="AP1225" i="7"/>
  <c r="AP942" i="7"/>
  <c r="AP1990" i="7"/>
  <c r="AP1140" i="7"/>
  <c r="AP1093" i="7"/>
  <c r="AP1346" i="7"/>
  <c r="AP1089" i="7"/>
  <c r="AP758" i="7"/>
  <c r="AP693" i="7"/>
  <c r="AP1149" i="7"/>
  <c r="AP1979" i="7"/>
  <c r="AP849" i="7"/>
  <c r="AP723" i="7"/>
  <c r="AP1877" i="7"/>
  <c r="AP2196" i="7"/>
  <c r="AP2135" i="7"/>
  <c r="AP1590" i="7"/>
  <c r="AP2095" i="7"/>
  <c r="AP1676" i="7"/>
  <c r="AP1684" i="7"/>
  <c r="AP1685" i="7"/>
  <c r="AP1620" i="7"/>
  <c r="AP2122" i="7"/>
  <c r="AP2126" i="7"/>
  <c r="AP1720" i="7"/>
  <c r="AP1960" i="7"/>
  <c r="AP1749" i="7"/>
  <c r="AP2268" i="7"/>
  <c r="AP2260" i="7"/>
  <c r="AP1795" i="7"/>
  <c r="AP1426" i="7"/>
  <c r="AP2240" i="7"/>
  <c r="AP362" i="7"/>
  <c r="AP1652" i="7"/>
  <c r="AP1740" i="7"/>
  <c r="AP1311" i="7"/>
  <c r="AP1655" i="7"/>
  <c r="AP1790" i="7"/>
  <c r="AP141" i="7"/>
  <c r="AP140" i="7"/>
  <c r="AP145" i="7"/>
  <c r="AP143" i="7"/>
  <c r="AP106" i="7"/>
  <c r="AP42" i="7"/>
  <c r="AP135" i="7"/>
  <c r="AP118" i="7"/>
  <c r="AP119" i="7"/>
  <c r="AP120" i="7"/>
  <c r="AP121" i="7"/>
  <c r="AP116" i="7"/>
  <c r="AP298" i="7"/>
  <c r="AP347" i="7"/>
  <c r="AP348" i="7"/>
  <c r="AP295" i="7"/>
  <c r="AP978" i="7"/>
  <c r="AP1637" i="7"/>
  <c r="AP999" i="7"/>
  <c r="AP806" i="7"/>
  <c r="AP264" i="7"/>
  <c r="AP1762" i="7"/>
  <c r="AP1528" i="7"/>
  <c r="AP1692" i="7"/>
  <c r="AP98" i="7"/>
  <c r="AP55" i="7"/>
  <c r="AP130" i="7"/>
  <c r="AP146" i="7"/>
  <c r="AP2195" i="7"/>
  <c r="AP1191" i="7"/>
  <c r="AP890" i="7"/>
  <c r="AP1809" i="7"/>
  <c r="AP488" i="7"/>
  <c r="AP1356" i="7"/>
  <c r="AP1816" i="7"/>
  <c r="AP1348" i="7"/>
  <c r="AP132" i="7"/>
  <c r="AP1178" i="7"/>
  <c r="AP507" i="7"/>
  <c r="AP1354" i="7"/>
  <c r="AP891" i="7"/>
  <c r="AP2188" i="7"/>
  <c r="AP626" i="7"/>
  <c r="AP995" i="7"/>
  <c r="AP238" i="7"/>
  <c r="AP1772" i="7"/>
  <c r="AP1018" i="7"/>
  <c r="AP554" i="7"/>
  <c r="AP870" i="7"/>
  <c r="AP239" i="7"/>
  <c r="AP991" i="7"/>
  <c r="AP359" i="7"/>
  <c r="AP144" i="7"/>
  <c r="AP944" i="7"/>
  <c r="AP2077" i="7"/>
  <c r="AP2069" i="7"/>
  <c r="AP1216" i="7"/>
  <c r="AP376" i="7"/>
  <c r="AP371" i="7"/>
  <c r="AP388" i="7"/>
  <c r="AP43" i="7"/>
  <c r="AP569" i="7"/>
  <c r="AP1423" i="7"/>
  <c r="AP1448" i="7"/>
  <c r="AP531" i="7"/>
  <c r="AP526" i="7"/>
  <c r="AP1508" i="7"/>
  <c r="AP1673" i="7"/>
  <c r="AP367" i="7"/>
  <c r="AP2040" i="7"/>
  <c r="AP994" i="7"/>
  <c r="AP1095" i="7"/>
  <c r="AP1161" i="7"/>
  <c r="AP722" i="7"/>
  <c r="AP1596" i="7"/>
  <c r="AP763" i="7"/>
  <c r="AP565" i="7"/>
  <c r="AP389" i="7"/>
  <c r="AP487" i="7"/>
  <c r="AP512" i="7"/>
  <c r="AP544" i="7"/>
  <c r="AP988" i="7"/>
  <c r="AP508" i="7"/>
  <c r="AP532" i="7"/>
  <c r="AP450" i="7"/>
  <c r="AP1973" i="7"/>
  <c r="AP2031" i="7"/>
  <c r="AP2068" i="7"/>
  <c r="AP599" i="7"/>
  <c r="AP767" i="7"/>
  <c r="AP399" i="7"/>
  <c r="AP756" i="7"/>
  <c r="AP471" i="7"/>
  <c r="AP1832" i="7"/>
  <c r="AP983" i="7"/>
  <c r="AP947" i="7"/>
  <c r="AP1012" i="7"/>
  <c r="AP1252" i="7"/>
  <c r="AP986" i="7"/>
  <c r="AP2139" i="7"/>
  <c r="AP2243" i="7"/>
  <c r="AP2013" i="7"/>
  <c r="AP2017" i="7"/>
  <c r="AP2213" i="7"/>
  <c r="AP1607" i="7"/>
  <c r="AP1683" i="7"/>
  <c r="AP2226" i="7"/>
  <c r="AP1984" i="7"/>
  <c r="AP2109" i="7"/>
  <c r="AP1869" i="7"/>
  <c r="AP1863" i="7"/>
  <c r="AP1371" i="7"/>
  <c r="AP2048" i="7"/>
  <c r="AP1434" i="7"/>
  <c r="AP1706" i="7"/>
  <c r="AP1273" i="7"/>
  <c r="AP1531" i="7"/>
  <c r="AP1569" i="7"/>
  <c r="AP1187" i="7"/>
  <c r="AP1365" i="7"/>
  <c r="AP1983" i="7"/>
  <c r="AP417" i="7"/>
  <c r="AP2183" i="7"/>
  <c r="AP651" i="7"/>
  <c r="AP664" i="7"/>
  <c r="AP658" i="7"/>
  <c r="AP550" i="7"/>
  <c r="AP667" i="7"/>
  <c r="AP1123" i="7"/>
  <c r="AP1991" i="7"/>
  <c r="AP2071" i="7"/>
  <c r="AP1891" i="7"/>
  <c r="AP972" i="7"/>
  <c r="AP1131" i="7"/>
  <c r="AP1064" i="7"/>
  <c r="AP796" i="7"/>
  <c r="AP1067" i="7"/>
  <c r="AP2060" i="7"/>
  <c r="AP1077" i="7"/>
  <c r="AP2009" i="7"/>
  <c r="AP1388" i="7"/>
  <c r="AP1361" i="7"/>
  <c r="AP2233" i="7"/>
  <c r="AP368" i="7"/>
  <c r="AP242" i="7"/>
  <c r="AP1070" i="7"/>
  <c r="AP1150" i="7"/>
  <c r="AP2203" i="7"/>
  <c r="AP1860" i="7"/>
  <c r="AP1675" i="7"/>
  <c r="AP945" i="7"/>
  <c r="AP943" i="7"/>
  <c r="AP951" i="7"/>
  <c r="AP1908" i="7"/>
  <c r="AP9" i="7"/>
  <c r="AP19" i="7"/>
  <c r="AP1132" i="7"/>
  <c r="AP1814" i="7"/>
  <c r="AP2120" i="7"/>
  <c r="AP1564" i="7"/>
  <c r="AP2078" i="7"/>
  <c r="AP1976" i="7"/>
  <c r="AP1192" i="7"/>
  <c r="AP2091" i="7"/>
  <c r="AP1638" i="7"/>
  <c r="AP1403" i="7"/>
  <c r="AP1406" i="7"/>
  <c r="AP1103" i="7"/>
  <c r="AP2049" i="7"/>
  <c r="AP2092" i="7"/>
  <c r="AP1402" i="7"/>
  <c r="AP1621" i="7"/>
  <c r="AP1609" i="7"/>
  <c r="AP1179" i="7"/>
  <c r="AP1482" i="7"/>
  <c r="AP614" i="7"/>
  <c r="AP678" i="7"/>
  <c r="AP657" i="7"/>
  <c r="AP670" i="7"/>
  <c r="AP547" i="7"/>
  <c r="AP521" i="7"/>
  <c r="AP571" i="7"/>
  <c r="AP459" i="7"/>
  <c r="AP497" i="7"/>
  <c r="AP426" i="7"/>
  <c r="AP454" i="7"/>
  <c r="AP1284" i="7"/>
  <c r="AP1345" i="7"/>
  <c r="AP1492" i="7"/>
  <c r="AP1597" i="7"/>
  <c r="AP1581" i="7"/>
  <c r="AP2179" i="7"/>
  <c r="AP971" i="7"/>
  <c r="AP981" i="7"/>
  <c r="AP1833" i="7"/>
  <c r="AP1435" i="7"/>
  <c r="AP1417" i="7"/>
  <c r="AP1083" i="7"/>
  <c r="AP627" i="7"/>
  <c r="AP528" i="7"/>
  <c r="AP1377" i="7"/>
  <c r="AP1932" i="7"/>
  <c r="AP2173" i="7"/>
  <c r="AP1518" i="7"/>
  <c r="AP1545" i="7"/>
  <c r="AP1299" i="7"/>
  <c r="AP1307" i="7"/>
  <c r="AP1481" i="7"/>
  <c r="AP752" i="7"/>
  <c r="AP1755" i="7"/>
  <c r="AP1498" i="7"/>
  <c r="AP602" i="7"/>
  <c r="AP1488" i="7"/>
  <c r="AP779" i="7"/>
  <c r="AP1589" i="7"/>
  <c r="AP2250" i="7"/>
  <c r="AP318" i="7"/>
  <c r="AP775" i="7"/>
  <c r="AP695" i="7"/>
  <c r="AP502" i="7"/>
  <c r="AP1966" i="7"/>
  <c r="AP2119" i="7"/>
  <c r="AP1761" i="7"/>
  <c r="AP1998" i="7"/>
  <c r="AP2171" i="7"/>
  <c r="AP2006" i="7"/>
  <c r="AP1793" i="7"/>
  <c r="AP2" i="7"/>
  <c r="AP2066" i="7"/>
  <c r="AP2003" i="7"/>
  <c r="AP2133" i="7"/>
  <c r="AP1915" i="7"/>
  <c r="AP1961" i="7"/>
  <c r="AP1955" i="7"/>
  <c r="AP1938" i="7"/>
  <c r="AP1563" i="7"/>
  <c r="AP925" i="7"/>
  <c r="AP1420" i="7"/>
  <c r="AP926" i="7"/>
  <c r="AP719" i="7"/>
  <c r="AP793" i="7"/>
  <c r="AP859" i="7"/>
  <c r="AP917" i="7"/>
  <c r="AP1020" i="7"/>
  <c r="AP798" i="7"/>
  <c r="AP2223" i="7"/>
  <c r="AP2186" i="7"/>
  <c r="AP2000" i="7"/>
  <c r="AP2161" i="7"/>
  <c r="AP2199" i="7"/>
  <c r="AP1157" i="7"/>
  <c r="AP2150" i="7"/>
  <c r="AP2169" i="7"/>
  <c r="AP2128" i="7"/>
  <c r="AP1694" i="7"/>
  <c r="AP2082" i="7"/>
  <c r="AP1933" i="7"/>
  <c r="AP2146" i="7"/>
  <c r="AP2104" i="7"/>
  <c r="AP1539" i="7"/>
  <c r="AP2065" i="7"/>
  <c r="AP1881" i="7"/>
  <c r="AP1437" i="7"/>
  <c r="AP1444" i="7"/>
  <c r="AP2246" i="7"/>
  <c r="AP1698" i="7"/>
  <c r="AP1873" i="7"/>
  <c r="AP2033" i="7"/>
  <c r="AP444" i="7"/>
  <c r="AP1598" i="7"/>
  <c r="AP1124" i="7"/>
  <c r="AP2136" i="7"/>
  <c r="AP954" i="7"/>
  <c r="AP1970" i="7"/>
  <c r="AP1264" i="7"/>
  <c r="AP959" i="7"/>
  <c r="AP2008" i="7"/>
  <c r="AP1642" i="7"/>
  <c r="AP1369" i="7"/>
  <c r="AP1737" i="7"/>
  <c r="AP1534" i="7"/>
  <c r="AP713" i="7"/>
  <c r="AP1221" i="7"/>
  <c r="AP1507" i="7"/>
  <c r="AP1227" i="7"/>
  <c r="AP1841" i="7"/>
  <c r="AP1632" i="7"/>
  <c r="AP1477" i="7"/>
  <c r="AP1318" i="7"/>
  <c r="AP1049" i="7"/>
  <c r="AP1170" i="7"/>
  <c r="AP1653" i="7"/>
  <c r="AP1958" i="7"/>
  <c r="AP1704" i="7"/>
  <c r="AP1691" i="7"/>
  <c r="AP1744" i="7"/>
  <c r="AP1992" i="7"/>
  <c r="AP1951" i="7"/>
  <c r="AP1626" i="7"/>
  <c r="AP1885" i="7"/>
  <c r="AP1773" i="7"/>
  <c r="AP1567" i="7"/>
  <c r="AP169" i="7"/>
  <c r="AP1382" i="7"/>
  <c r="AP1013" i="7"/>
  <c r="AP1452" i="7"/>
  <c r="AP1867" i="7"/>
  <c r="AP1411" i="7"/>
  <c r="AP1839" i="7"/>
  <c r="AP1217" i="7"/>
  <c r="AP327" i="7"/>
  <c r="AP394" i="7"/>
  <c r="AP62" i="7"/>
  <c r="AP61" i="7"/>
  <c r="AP2022" i="7"/>
  <c r="AP1025" i="7"/>
  <c r="AP317" i="7"/>
  <c r="AP984" i="7"/>
  <c r="AP771" i="7"/>
  <c r="AP857" i="7"/>
  <c r="AP2231" i="7"/>
  <c r="AP2103" i="7"/>
  <c r="AP1897" i="7"/>
  <c r="AP2042" i="7"/>
  <c r="AP1945" i="7"/>
  <c r="AP1298" i="7"/>
  <c r="AP1247" i="7"/>
  <c r="AP1895" i="7"/>
  <c r="AP1546" i="7"/>
  <c r="AP1776" i="7"/>
  <c r="AP1544" i="7"/>
  <c r="AP1436" i="7"/>
  <c r="AP1415" i="7"/>
  <c r="AP1457" i="7"/>
  <c r="AP1098" i="7"/>
  <c r="AP1109" i="7"/>
  <c r="AP525" i="7"/>
  <c r="AP516" i="7"/>
  <c r="AP1147" i="7"/>
  <c r="AP894" i="7"/>
  <c r="AP491" i="7"/>
  <c r="AP524" i="7"/>
  <c r="AP541" i="7"/>
  <c r="AP437" i="7"/>
  <c r="AP473" i="7"/>
  <c r="AP513" i="7"/>
  <c r="AP412" i="7"/>
  <c r="AP1735" i="7"/>
  <c r="AP645" i="7"/>
  <c r="AP452" i="7"/>
  <c r="AP669" i="7"/>
  <c r="AP622" i="7"/>
  <c r="AP522" i="7"/>
  <c r="AP598" i="7"/>
  <c r="AP336" i="7"/>
  <c r="AP590" i="7"/>
  <c r="AP638" i="7"/>
  <c r="AP567" i="7"/>
  <c r="AP1156" i="7"/>
  <c r="AP865" i="7"/>
  <c r="AP1882" i="7"/>
  <c r="AP2151" i="7"/>
  <c r="AP2019" i="7"/>
  <c r="AP2002" i="7"/>
  <c r="AP1034" i="7"/>
  <c r="AP2190" i="7"/>
  <c r="AP2014" i="7"/>
  <c r="AP1102" i="7"/>
  <c r="AP1349" i="7"/>
  <c r="AP1171" i="7"/>
  <c r="AP1716" i="7"/>
  <c r="AP1433" i="7"/>
  <c r="AP606" i="7"/>
  <c r="AP1977" i="7"/>
  <c r="AP2039" i="7"/>
  <c r="AP1648" i="7"/>
  <c r="AP1294" i="7"/>
  <c r="AP1871" i="7"/>
  <c r="AP1745" i="7"/>
  <c r="AP247" i="7"/>
  <c r="AP2076" i="7"/>
  <c r="AP2115" i="7"/>
  <c r="AP1920" i="7"/>
  <c r="AP1424" i="7"/>
  <c r="AP1824" i="7"/>
  <c r="AP1922" i="7"/>
  <c r="AP2063" i="7"/>
  <c r="AP2012" i="7"/>
  <c r="AP1909" i="7"/>
  <c r="AP1912" i="7"/>
  <c r="AP1988" i="7"/>
  <c r="AP1398" i="7"/>
  <c r="AP1479" i="7"/>
  <c r="AP1558" i="7"/>
  <c r="AP745" i="7"/>
  <c r="AP1000" i="7"/>
  <c r="AP533" i="7"/>
  <c r="AP2023" i="7"/>
  <c r="AP1728" i="7"/>
  <c r="AP1266" i="7"/>
  <c r="AP912" i="7"/>
  <c r="AP483" i="7"/>
  <c r="AP1065" i="7"/>
  <c r="AP517" i="7"/>
  <c r="AP998" i="7"/>
  <c r="AP987" i="7"/>
  <c r="AP621" i="7"/>
  <c r="AP1285" i="7"/>
  <c r="AP1857" i="7"/>
  <c r="AP1647" i="7"/>
  <c r="AP935" i="7"/>
  <c r="AP738" i="7"/>
  <c r="AP819" i="7"/>
  <c r="AP854" i="7"/>
  <c r="AP1736" i="7"/>
  <c r="AP878" i="7"/>
  <c r="AP1085" i="7"/>
  <c r="AP898" i="7"/>
  <c r="AP882" i="7"/>
  <c r="AP770" i="7"/>
  <c r="AP435" i="7"/>
  <c r="AP433" i="7"/>
  <c r="AP700" i="7"/>
  <c r="AP534" i="7"/>
  <c r="AP1682" i="7"/>
  <c r="AP2011" i="7"/>
  <c r="AP1619" i="7"/>
  <c r="AP2205" i="7"/>
  <c r="AP2046" i="7"/>
  <c r="AP2140" i="7"/>
  <c r="AP1779" i="7"/>
  <c r="AP1827" i="7"/>
  <c r="AP1822" i="7"/>
  <c r="AP2097" i="7"/>
  <c r="AP720" i="7"/>
  <c r="AP702" i="7"/>
  <c r="AP1669" i="7"/>
  <c r="AP1008" i="7"/>
  <c r="AP1275" i="7"/>
  <c r="AP746" i="7"/>
  <c r="AP1390" i="7"/>
  <c r="AP1380" i="7"/>
  <c r="AP1092" i="7"/>
  <c r="AP1384" i="7"/>
  <c r="AP1303" i="7"/>
  <c r="AP1385" i="7"/>
  <c r="AP581" i="7"/>
  <c r="AP1304" i="7"/>
  <c r="AP432" i="7"/>
  <c r="AP1840" i="7"/>
  <c r="AP117" i="7"/>
  <c r="AP910" i="7"/>
  <c r="AP1320" i="7"/>
  <c r="AP1353" i="7"/>
  <c r="AP1379" i="7"/>
  <c r="AP1316" i="7"/>
  <c r="AP1381" i="7"/>
  <c r="AP1183" i="7"/>
  <c r="AP1331" i="7"/>
  <c r="AP1359" i="7"/>
  <c r="AP1495" i="7"/>
  <c r="AQ696" i="7"/>
  <c r="AQ893" i="7"/>
  <c r="AQ204" i="7"/>
  <c r="AQ108" i="7"/>
  <c r="AQ100" i="7"/>
  <c r="AQ102" i="7"/>
  <c r="AQ109" i="7"/>
  <c r="AQ107" i="7"/>
  <c r="AQ105" i="7"/>
  <c r="AQ104" i="7"/>
  <c r="AQ111" i="7"/>
  <c r="AQ112" i="7"/>
  <c r="AQ103" i="7"/>
  <c r="AQ101" i="7"/>
  <c r="AQ110" i="7"/>
  <c r="AQ96" i="7"/>
  <c r="AQ97" i="7"/>
  <c r="AQ92" i="7"/>
  <c r="AQ88" i="7"/>
  <c r="AQ87" i="7"/>
  <c r="AQ89" i="7"/>
  <c r="AQ91" i="7"/>
  <c r="AQ80" i="7"/>
  <c r="AQ82" i="7"/>
  <c r="AQ94" i="7"/>
  <c r="AQ52" i="7"/>
  <c r="AQ50" i="7"/>
  <c r="AQ48" i="7"/>
  <c r="AQ51" i="7"/>
  <c r="AQ90" i="7"/>
  <c r="AQ79" i="7"/>
  <c r="AQ81" i="7"/>
  <c r="AQ93" i="7"/>
  <c r="AQ47" i="7"/>
  <c r="AQ46" i="7"/>
  <c r="AQ54" i="7"/>
  <c r="AQ53" i="7"/>
  <c r="AQ85" i="7"/>
  <c r="AQ83" i="7"/>
  <c r="AQ84" i="7"/>
  <c r="AQ86" i="7"/>
  <c r="AQ24" i="7"/>
  <c r="AQ25" i="7"/>
  <c r="AQ57" i="7"/>
  <c r="AQ59" i="7"/>
  <c r="AQ45" i="7"/>
  <c r="AQ44" i="7"/>
  <c r="AQ58" i="7"/>
  <c r="AQ56" i="7"/>
  <c r="AQ2123" i="7"/>
  <c r="AQ709" i="7"/>
  <c r="AQ428" i="7"/>
  <c r="AQ1404" i="7"/>
  <c r="AQ514" i="7"/>
  <c r="AQ2237" i="7"/>
  <c r="AQ314" i="7"/>
  <c r="AQ313" i="7"/>
  <c r="AQ366" i="7"/>
  <c r="AQ1464" i="7"/>
  <c r="AQ1373" i="7"/>
  <c r="AQ1756" i="7"/>
  <c r="AQ1687" i="7"/>
  <c r="AQ1759" i="7"/>
  <c r="AQ1803" i="7"/>
  <c r="AQ1722" i="7"/>
  <c r="AQ1766" i="7"/>
  <c r="AQ1845" i="7"/>
  <c r="AQ1514" i="7"/>
  <c r="AQ1628" i="7"/>
  <c r="AQ384" i="7"/>
  <c r="AQ385" i="7"/>
  <c r="AQ382" i="7"/>
  <c r="AQ381" i="7"/>
  <c r="AQ410" i="7"/>
  <c r="AQ408" i="7"/>
  <c r="AQ270" i="7"/>
  <c r="AQ284" i="7"/>
  <c r="AQ259" i="7"/>
  <c r="AQ269" i="7"/>
  <c r="AQ307" i="7"/>
  <c r="AQ405" i="7"/>
  <c r="AQ244" i="7"/>
  <c r="AQ260" i="7"/>
  <c r="AQ229" i="7"/>
  <c r="AQ210" i="7"/>
  <c r="AQ201" i="7"/>
  <c r="AQ209" i="7"/>
  <c r="AQ200" i="7"/>
  <c r="AQ223" i="7"/>
  <c r="AQ159" i="7"/>
  <c r="AQ160" i="7"/>
  <c r="AQ193" i="7"/>
  <c r="AQ189" i="7"/>
  <c r="AQ187" i="7"/>
  <c r="AQ196" i="7"/>
  <c r="AQ186" i="7"/>
  <c r="AQ195" i="7"/>
  <c r="AQ197" i="7"/>
  <c r="AQ126" i="7"/>
  <c r="AQ194" i="7"/>
  <c r="AQ125" i="7"/>
  <c r="AQ192" i="7"/>
  <c r="AQ1611" i="7"/>
  <c r="AQ1654" i="7"/>
  <c r="AQ1526" i="7"/>
  <c r="AQ74" i="7"/>
  <c r="AQ75" i="7"/>
  <c r="AQ77" i="7"/>
  <c r="AQ73" i="7"/>
  <c r="AQ72" i="7"/>
  <c r="AQ71" i="7"/>
  <c r="AQ76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279" i="7"/>
  <c r="AQ291" i="7"/>
  <c r="AQ114" i="7"/>
  <c r="AQ353" i="7"/>
  <c r="AQ280" i="7"/>
  <c r="AQ302" i="7"/>
  <c r="AQ407" i="7"/>
  <c r="AQ391" i="7"/>
  <c r="AQ357" i="7"/>
  <c r="AQ306" i="7"/>
  <c r="AQ243" i="7"/>
  <c r="AQ503" i="7"/>
  <c r="AQ292" i="7"/>
  <c r="AQ1321" i="7"/>
  <c r="AQ285" i="7"/>
  <c r="AQ282" i="7"/>
  <c r="AQ283" i="7"/>
  <c r="AQ271" i="7"/>
  <c r="AQ451" i="7"/>
  <c r="AQ365" i="7"/>
  <c r="AQ3" i="7"/>
  <c r="AQ137" i="7"/>
  <c r="AQ4" i="7"/>
  <c r="AQ139" i="7"/>
  <c r="AQ6" i="7"/>
  <c r="AQ66" i="7"/>
  <c r="AQ5" i="7"/>
  <c r="AQ65" i="7"/>
  <c r="AQ191" i="7"/>
  <c r="AQ190" i="7"/>
  <c r="AQ409" i="7"/>
  <c r="AQ278" i="7"/>
  <c r="AQ404" i="7"/>
  <c r="AQ757" i="7"/>
  <c r="AQ1605" i="7"/>
  <c r="AQ1500" i="7"/>
  <c r="AQ1565" i="7"/>
  <c r="AQ1427" i="7"/>
  <c r="AQ1428" i="7"/>
  <c r="AQ1797" i="7"/>
  <c r="AQ312" i="7"/>
  <c r="AQ311" i="7"/>
  <c r="AQ476" i="7"/>
  <c r="AQ539" i="7"/>
  <c r="AQ364" i="7"/>
  <c r="AQ501" i="7"/>
  <c r="AQ406" i="7"/>
  <c r="AQ416" i="7"/>
  <c r="AQ309" i="7"/>
  <c r="AQ397" i="7"/>
  <c r="AQ392" i="7"/>
  <c r="AQ390" i="7"/>
  <c r="AQ383" i="7"/>
  <c r="AQ78" i="7"/>
  <c r="AQ301" i="7"/>
  <c r="AQ593" i="7"/>
  <c r="AQ246" i="7"/>
  <c r="AQ250" i="7"/>
  <c r="AQ1042" i="7"/>
  <c r="AQ881" i="7"/>
  <c r="AQ1376" i="7"/>
  <c r="AQ1752" i="7"/>
  <c r="AQ801" i="7"/>
  <c r="AQ1134" i="7"/>
  <c r="AQ838" i="7"/>
  <c r="AQ902" i="7"/>
  <c r="AQ612" i="7"/>
  <c r="AQ877" i="7"/>
  <c r="AQ625" i="7"/>
  <c r="AQ840" i="7"/>
  <c r="AQ595" i="7"/>
  <c r="AQ844" i="7"/>
  <c r="AQ721" i="7"/>
  <c r="AQ2176" i="7"/>
  <c r="AQ885" i="7"/>
  <c r="AQ1151" i="7"/>
  <c r="AQ795" i="7"/>
  <c r="AQ883" i="7"/>
  <c r="AQ803" i="7"/>
  <c r="AQ789" i="7"/>
  <c r="AQ839" i="7"/>
  <c r="AQ762" i="7"/>
  <c r="AQ1297" i="7"/>
  <c r="AQ1224" i="7"/>
  <c r="AQ1059" i="7"/>
  <c r="AQ1265" i="7"/>
  <c r="AQ1640" i="7"/>
  <c r="AQ1197" i="7"/>
  <c r="AQ1223" i="7"/>
  <c r="AQ608" i="7"/>
  <c r="AQ413" i="7"/>
  <c r="AQ49" i="7"/>
  <c r="AQ674" i="7"/>
  <c r="AQ1144" i="7"/>
  <c r="AQ1107" i="7"/>
  <c r="AQ1063" i="7"/>
  <c r="AQ1333" i="7"/>
  <c r="AQ1031" i="7"/>
  <c r="AQ1163" i="7"/>
  <c r="AQ1238" i="7"/>
  <c r="AQ1330" i="7"/>
  <c r="AQ932" i="7"/>
  <c r="AQ1153" i="7"/>
  <c r="AQ820" i="7"/>
  <c r="AQ1271" i="7"/>
  <c r="AQ1364" i="7"/>
  <c r="AQ1230" i="7"/>
  <c r="AQ591" i="7"/>
  <c r="AQ726" i="7"/>
  <c r="AQ576" i="7"/>
  <c r="AQ596" i="7"/>
  <c r="AQ628" i="7"/>
  <c r="AQ899" i="7"/>
  <c r="AQ866" i="7"/>
  <c r="AQ828" i="7"/>
  <c r="AQ724" i="7"/>
  <c r="AQ2249" i="7"/>
  <c r="AQ1808" i="7"/>
  <c r="AQ1794" i="7"/>
  <c r="AQ449" i="7"/>
  <c r="AQ447" i="7"/>
  <c r="AQ458" i="7"/>
  <c r="AQ1588" i="7"/>
  <c r="AQ2160" i="7"/>
  <c r="AQ1796" i="7"/>
  <c r="AQ1836" i="7"/>
  <c r="AQ1855" i="7"/>
  <c r="AQ1101" i="7"/>
  <c r="AQ1292" i="7"/>
  <c r="AQ1029" i="7"/>
  <c r="AQ2281" i="7"/>
  <c r="AQ2153" i="7"/>
  <c r="AQ772" i="7"/>
  <c r="AQ2018" i="7"/>
  <c r="AQ1472" i="7"/>
  <c r="AQ1560" i="7"/>
  <c r="AQ1222" i="7"/>
  <c r="AQ957" i="7"/>
  <c r="AQ1167" i="7"/>
  <c r="AQ1056" i="7"/>
  <c r="AQ1190" i="7"/>
  <c r="AQ1016" i="7"/>
  <c r="AQ1504" i="7"/>
  <c r="AQ1662" i="7"/>
  <c r="AQ69" i="7"/>
  <c r="AQ940" i="7"/>
  <c r="AQ929" i="7"/>
  <c r="AQ562" i="7"/>
  <c r="AQ281" i="7"/>
  <c r="AQ2191" i="7"/>
  <c r="AQ2052" i="7"/>
  <c r="AQ1412" i="7"/>
  <c r="AQ675" i="7"/>
  <c r="AQ650" i="7"/>
  <c r="AQ529" i="7"/>
  <c r="AQ597" i="7"/>
  <c r="AQ636" i="7"/>
  <c r="AQ446" i="7"/>
  <c r="AQ631" i="7"/>
  <c r="AQ1017" i="7"/>
  <c r="AQ584" i="7"/>
  <c r="AQ600" i="7"/>
  <c r="AQ585" i="7"/>
  <c r="AQ594" i="7"/>
  <c r="AQ1260" i="7"/>
  <c r="AQ14" i="7"/>
  <c r="AQ127" i="7"/>
  <c r="AQ134" i="7"/>
  <c r="AQ2270" i="7"/>
  <c r="AQ2282" i="7"/>
  <c r="AQ919" i="7"/>
  <c r="AQ1664" i="7"/>
  <c r="AQ2062" i="7"/>
  <c r="AQ826" i="7"/>
  <c r="AQ1060" i="7"/>
  <c r="AQ1630" i="7"/>
  <c r="AQ969" i="7"/>
  <c r="AQ1278" i="7"/>
  <c r="AQ1054" i="7"/>
  <c r="AQ1490" i="7"/>
  <c r="AQ403" i="7"/>
  <c r="AQ1037" i="7"/>
  <c r="AQ654" i="7"/>
  <c r="AQ1616" i="7"/>
  <c r="AQ1327" i="7"/>
  <c r="AQ1408" i="7"/>
  <c r="AQ1825" i="7"/>
  <c r="AQ1443" i="7"/>
  <c r="AQ1786" i="7"/>
  <c r="AQ773" i="7"/>
  <c r="AQ1232" i="7"/>
  <c r="AQ1442" i="7"/>
  <c r="AQ1340" i="7"/>
  <c r="AQ1015" i="7"/>
  <c r="AQ2004" i="7"/>
  <c r="AQ273" i="7"/>
  <c r="AQ821" i="7"/>
  <c r="AQ1068" i="7"/>
  <c r="AQ1113" i="7"/>
  <c r="AQ871" i="7"/>
  <c r="AQ1023" i="7"/>
  <c r="AQ1036" i="7"/>
  <c r="AQ754" i="7"/>
  <c r="AQ1096" i="7"/>
  <c r="AQ931" i="7"/>
  <c r="AQ537" i="7"/>
  <c r="AQ1122" i="7"/>
  <c r="AQ682" i="7"/>
  <c r="AQ888" i="7"/>
  <c r="AQ1718" i="7"/>
  <c r="AQ739" i="7"/>
  <c r="AQ1672" i="7"/>
  <c r="AQ714" i="7"/>
  <c r="AQ1462" i="7"/>
  <c r="AQ2073" i="7"/>
  <c r="AQ2024" i="7"/>
  <c r="AQ2036" i="7"/>
  <c r="AQ378" i="7"/>
  <c r="AQ1587" i="7"/>
  <c r="AQ2244" i="7"/>
  <c r="AQ2121" i="7"/>
  <c r="AQ2251" i="7"/>
  <c r="AQ1967" i="7"/>
  <c r="AQ1445" i="7"/>
  <c r="AQ1024" i="7"/>
  <c r="AQ1791" i="7"/>
  <c r="AQ1342" i="7"/>
  <c r="AQ1041" i="7"/>
  <c r="AQ2141" i="7"/>
  <c r="AQ1829" i="7"/>
  <c r="AQ2187" i="7"/>
  <c r="AQ1703" i="7"/>
  <c r="AQ1944" i="7"/>
  <c r="AQ937" i="7"/>
  <c r="AQ1717" i="7"/>
  <c r="AQ122" i="7"/>
  <c r="AQ823" i="7"/>
  <c r="AQ2248" i="7"/>
  <c r="AQ977" i="7"/>
  <c r="AQ960" i="7"/>
  <c r="AQ744" i="7"/>
  <c r="AQ907" i="7"/>
  <c r="AQ800" i="7"/>
  <c r="AQ734" i="7"/>
  <c r="AQ737" i="7"/>
  <c r="AQ975" i="7"/>
  <c r="AQ1019" i="7"/>
  <c r="AQ1200" i="7"/>
  <c r="AQ1115" i="7"/>
  <c r="AQ905" i="7"/>
  <c r="AQ692" i="7"/>
  <c r="AQ568" i="7"/>
  <c r="AQ747" i="7"/>
  <c r="AQ705" i="7"/>
  <c r="AQ841" i="7"/>
  <c r="AQ1880" i="7"/>
  <c r="AQ730" i="7"/>
  <c r="AQ2211" i="7"/>
  <c r="AQ489" i="7"/>
  <c r="AQ1629" i="7"/>
  <c r="AQ1397" i="7"/>
  <c r="AQ1646" i="7"/>
  <c r="AQ2118" i="7"/>
  <c r="AQ1139" i="7"/>
  <c r="AQ543" i="7"/>
  <c r="AQ1733" i="7"/>
  <c r="AQ2156" i="7"/>
  <c r="AQ310" i="7"/>
  <c r="AQ1592" i="7"/>
  <c r="AQ1394" i="7"/>
  <c r="AQ1775" i="7"/>
  <c r="AQ1561" i="7"/>
  <c r="AQ1451" i="7"/>
  <c r="AQ1671" i="7"/>
  <c r="AQ1641" i="7"/>
  <c r="AQ402" i="7"/>
  <c r="AQ329" i="7"/>
  <c r="AQ352" i="7"/>
  <c r="AQ138" i="7"/>
  <c r="AQ188" i="7"/>
  <c r="AQ136" i="7"/>
  <c r="AQ124" i="7"/>
  <c r="AQ123" i="7"/>
  <c r="AQ64" i="7"/>
  <c r="AQ63" i="7"/>
  <c r="AQ2108" i="7"/>
  <c r="AQ1312" i="7"/>
  <c r="AQ939" i="7"/>
  <c r="AQ1856" i="7"/>
  <c r="AQ1878" i="7"/>
  <c r="AQ964" i="7"/>
  <c r="AQ1768" i="7"/>
  <c r="AQ1003" i="7"/>
  <c r="AQ852" i="7"/>
  <c r="AQ681" i="7"/>
  <c r="AQ1396" i="7"/>
  <c r="AQ211" i="7"/>
  <c r="AQ629" i="7"/>
  <c r="AQ515" i="7"/>
  <c r="AQ422" i="7"/>
  <c r="AQ248" i="7"/>
  <c r="AQ518" i="7"/>
  <c r="AQ490" i="7"/>
  <c r="AQ293" i="7"/>
  <c r="AQ326" i="7"/>
  <c r="AQ358" i="7"/>
  <c r="AQ538" i="7"/>
  <c r="AQ235" i="7"/>
  <c r="AQ234" i="7"/>
  <c r="AQ128" i="7"/>
  <c r="AQ232" i="7"/>
  <c r="AQ208" i="7"/>
  <c r="AQ676" i="7"/>
  <c r="AQ286" i="7"/>
  <c r="AQ1458" i="7"/>
  <c r="AQ1668" i="7"/>
  <c r="AQ1681" i="7"/>
  <c r="AQ1456" i="7"/>
  <c r="AQ1870" i="7"/>
  <c r="AQ1636" i="7"/>
  <c r="AQ1902" i="7"/>
  <c r="AQ1928" i="7"/>
  <c r="AQ1934" i="7"/>
  <c r="AQ1727" i="7"/>
  <c r="AQ1924" i="7"/>
  <c r="AQ1890" i="7"/>
  <c r="AQ1527" i="7"/>
  <c r="AQ1774" i="7"/>
  <c r="AQ1783" i="7"/>
  <c r="AQ1460" i="7"/>
  <c r="AQ1754" i="7"/>
  <c r="AQ2080" i="7"/>
  <c r="AQ2170" i="7"/>
  <c r="AQ2067" i="7"/>
  <c r="AQ1246" i="7"/>
  <c r="AQ1542" i="7"/>
  <c r="AQ2159" i="7"/>
  <c r="AQ1419" i="7"/>
  <c r="AQ1874" i="7"/>
  <c r="AQ1911" i="7"/>
  <c r="AQ1743" i="7"/>
  <c r="AQ1806" i="7"/>
  <c r="AQ1807" i="7"/>
  <c r="AQ1591" i="7"/>
  <c r="AQ1778" i="7"/>
  <c r="AQ1713" i="7"/>
  <c r="AQ1233" i="7"/>
  <c r="AQ1235" i="7"/>
  <c r="AQ2192" i="7"/>
  <c r="AQ958" i="7"/>
  <c r="AQ1006" i="7"/>
  <c r="AQ1677" i="7"/>
  <c r="AQ1368" i="7"/>
  <c r="AQ827" i="7"/>
  <c r="AQ274" i="7"/>
  <c r="AQ979" i="7"/>
  <c r="AQ1027" i="7"/>
  <c r="AQ639" i="7"/>
  <c r="AQ1309" i="7"/>
  <c r="AQ829" i="7"/>
  <c r="AQ1410" i="7"/>
  <c r="AQ1196" i="7"/>
  <c r="AQ1173" i="7"/>
  <c r="AQ668" i="7"/>
  <c r="AQ1053" i="7"/>
  <c r="AQ1328" i="7"/>
  <c r="AQ1599" i="7"/>
  <c r="AQ691" i="7"/>
  <c r="AQ11" i="7"/>
  <c r="AQ701" i="7"/>
  <c r="AQ1114" i="7"/>
  <c r="AQ989" i="7"/>
  <c r="AQ1302" i="7"/>
  <c r="AQ791" i="7"/>
  <c r="AQ1366" i="7"/>
  <c r="AQ1503" i="7"/>
  <c r="AQ1198" i="7"/>
  <c r="AQ1052" i="7"/>
  <c r="AQ966" i="7"/>
  <c r="AQ1033" i="7"/>
  <c r="AQ1044" i="7"/>
  <c r="AQ1552" i="7"/>
  <c r="AQ2178" i="7"/>
  <c r="AQ1917" i="7"/>
  <c r="AQ1993" i="7"/>
  <c r="AQ875" i="7"/>
  <c r="AQ1600" i="7"/>
  <c r="AQ1904" i="7"/>
  <c r="AQ1715" i="7"/>
  <c r="AQ1876" i="7"/>
  <c r="AQ1711" i="7"/>
  <c r="AQ1818" i="7"/>
  <c r="AQ2138" i="7"/>
  <c r="AQ557" i="7"/>
  <c r="AQ218" i="7"/>
  <c r="AQ236" i="7"/>
  <c r="AQ230" i="7"/>
  <c r="AQ215" i="7"/>
  <c r="AQ219" i="7"/>
  <c r="AQ228" i="7"/>
  <c r="AQ231" i="7"/>
  <c r="AQ1813" i="7"/>
  <c r="AQ1211" i="7"/>
  <c r="AQ1283" i="7"/>
  <c r="AQ1562" i="7"/>
  <c r="AQ1963" i="7"/>
  <c r="AQ2015" i="7"/>
  <c r="AQ2131" i="7"/>
  <c r="AQ2058" i="7"/>
  <c r="AQ2166" i="7"/>
  <c r="AQ1989" i="7"/>
  <c r="AQ1910" i="7"/>
  <c r="AQ2236" i="7"/>
  <c r="AQ222" i="7"/>
  <c r="AQ216" i="7"/>
  <c r="AQ227" i="7"/>
  <c r="AQ224" i="7"/>
  <c r="AQ220" i="7"/>
  <c r="AQ221" i="7"/>
  <c r="AQ225" i="7"/>
  <c r="AQ226" i="7"/>
  <c r="AQ217" i="7"/>
  <c r="AQ183" i="7"/>
  <c r="AQ182" i="7"/>
  <c r="AQ363" i="7"/>
  <c r="AQ1697" i="7"/>
  <c r="AQ1553" i="7"/>
  <c r="AQ2254" i="7"/>
  <c r="AQ2047" i="7"/>
  <c r="AQ559" i="7"/>
  <c r="AQ1811" i="7"/>
  <c r="AQ671" i="7"/>
  <c r="AQ1229" i="7"/>
  <c r="AQ2217" i="7"/>
  <c r="AQ1634" i="7"/>
  <c r="AQ1719" i="7"/>
  <c r="AQ1496" i="7"/>
  <c r="AQ1947" i="7"/>
  <c r="AQ2044" i="7"/>
  <c r="AQ2105" i="7"/>
  <c r="AQ1942" i="7"/>
  <c r="AQ1965" i="7"/>
  <c r="AQ2054" i="7"/>
  <c r="AQ2079" i="7"/>
  <c r="AQ901" i="7"/>
  <c r="AQ996" i="7"/>
  <c r="AQ824" i="7"/>
  <c r="AQ862" i="7"/>
  <c r="AQ683" i="7"/>
  <c r="AQ623" i="7"/>
  <c r="AQ706" i="7"/>
  <c r="AQ861" i="7"/>
  <c r="AQ659" i="7"/>
  <c r="AQ699" i="7"/>
  <c r="AQ707" i="7"/>
  <c r="AQ439" i="7"/>
  <c r="AQ415" i="7"/>
  <c r="AQ414" i="7"/>
  <c r="AQ485" i="7"/>
  <c r="AQ316" i="7"/>
  <c r="AQ325" i="7"/>
  <c r="AQ337" i="7"/>
  <c r="AQ495" i="7"/>
  <c r="AQ258" i="7"/>
  <c r="AQ486" i="7"/>
  <c r="AQ148" i="7"/>
  <c r="AQ147" i="7"/>
  <c r="AQ934" i="7"/>
  <c r="AQ895" i="7"/>
  <c r="AQ1038" i="7"/>
  <c r="AQ1172" i="7"/>
  <c r="AQ835" i="7"/>
  <c r="AQ1315" i="7"/>
  <c r="AQ1081" i="7"/>
  <c r="AQ1258" i="7"/>
  <c r="AQ1513" i="7"/>
  <c r="AQ1821" i="7"/>
  <c r="AQ1040" i="7"/>
  <c r="AQ1800" i="7"/>
  <c r="AQ2127" i="7"/>
  <c r="AQ1505" i="7"/>
  <c r="AQ1026" i="7"/>
  <c r="AQ1218" i="7"/>
  <c r="AQ1047" i="7"/>
  <c r="AQ896" i="7"/>
  <c r="AQ1859" i="7"/>
  <c r="AQ1850" i="7"/>
  <c r="AQ1045" i="7"/>
  <c r="AQ1688" i="7"/>
  <c r="AQ717" i="7"/>
  <c r="AQ16" i="7"/>
  <c r="AQ18" i="7"/>
  <c r="AQ1188" i="7"/>
  <c r="AQ2224" i="7"/>
  <c r="AQ1751" i="7"/>
  <c r="AQ1921" i="7"/>
  <c r="AQ1441" i="7"/>
  <c r="AQ1418" i="7"/>
  <c r="AQ1812" i="7"/>
  <c r="AQ1487" i="7"/>
  <c r="AQ1485" i="7"/>
  <c r="AQ1511" i="7"/>
  <c r="AQ1566" i="7"/>
  <c r="AQ768" i="7"/>
  <c r="AQ1043" i="7"/>
  <c r="AQ1583" i="7"/>
  <c r="AQ1724" i="7"/>
  <c r="AQ2106" i="7"/>
  <c r="AQ860" i="7"/>
  <c r="AQ1126" i="7"/>
  <c r="AQ1987" i="7"/>
  <c r="AQ715" i="7"/>
  <c r="AQ1447" i="7"/>
  <c r="AQ1846" i="7"/>
  <c r="AQ2102" i="7"/>
  <c r="AQ1918" i="7"/>
  <c r="AQ1872" i="7"/>
  <c r="AQ2184" i="7"/>
  <c r="AQ411" i="7"/>
  <c r="AQ1476" i="7"/>
  <c r="AQ1525" i="7"/>
  <c r="AQ1663" i="7"/>
  <c r="AQ1459" i="7"/>
  <c r="AQ1185" i="7"/>
  <c r="AQ1282" i="7"/>
  <c r="AQ686" i="7"/>
  <c r="AQ1255" i="7"/>
  <c r="AQ212" i="7"/>
  <c r="AQ1480" i="7"/>
  <c r="AQ1159" i="7"/>
  <c r="AQ1954" i="7"/>
  <c r="AQ2100" i="7"/>
  <c r="AQ1166" i="7"/>
  <c r="AQ1802" i="7"/>
  <c r="AQ1680" i="7"/>
  <c r="AQ1916" i="7"/>
  <c r="AQ1475" i="7"/>
  <c r="AQ2194" i="7"/>
  <c r="AQ1378" i="7"/>
  <c r="AQ2055" i="7"/>
  <c r="AQ1075" i="7"/>
  <c r="AQ1177" i="7"/>
  <c r="AQ1277" i="7"/>
  <c r="AQ927" i="7"/>
  <c r="AQ985" i="7"/>
  <c r="AQ1470" i="7"/>
  <c r="AQ743" i="7"/>
  <c r="AQ922" i="7"/>
  <c r="AQ1090" i="7"/>
  <c r="AQ1251" i="7"/>
  <c r="AQ2101" i="7"/>
  <c r="AQ1785" i="7"/>
  <c r="AQ1982" i="7"/>
  <c r="AQ2087" i="7"/>
  <c r="AQ920" i="7"/>
  <c r="AQ1753" i="7"/>
  <c r="AQ1057" i="7"/>
  <c r="AQ2162" i="7"/>
  <c r="AQ1864" i="7"/>
  <c r="AQ1907" i="7"/>
  <c r="AQ708" i="7"/>
  <c r="AQ1136" i="7"/>
  <c r="AQ2283" i="7"/>
  <c r="AQ570" i="7"/>
  <c r="AQ1714" i="7"/>
  <c r="AQ1209" i="7"/>
  <c r="AQ2209" i="7"/>
  <c r="AQ493" i="7"/>
  <c r="AQ923" i="7"/>
  <c r="AQ1325" i="7"/>
  <c r="AQ1363" i="7"/>
  <c r="AQ335" i="7"/>
  <c r="AQ2088" i="7"/>
  <c r="AQ1334" i="7"/>
  <c r="AQ788" i="7"/>
  <c r="AQ1842" i="7"/>
  <c r="AQ1701" i="7"/>
  <c r="AQ1968" i="7"/>
  <c r="AQ1658" i="7"/>
  <c r="AQ510" i="7"/>
  <c r="AQ1994" i="7"/>
  <c r="AQ1253" i="7"/>
  <c r="AQ256" i="7"/>
  <c r="AQ1383" i="7"/>
  <c r="AQ1022" i="7"/>
  <c r="AQ8" i="7"/>
  <c r="AQ1854" i="7"/>
  <c r="AQ1820" i="7"/>
  <c r="AQ1645" i="7"/>
  <c r="AQ1127" i="7"/>
  <c r="AQ1078" i="7"/>
  <c r="AQ1295" i="7"/>
  <c r="AQ1155" i="7"/>
  <c r="AQ1174" i="7"/>
  <c r="AQ1473" i="7"/>
  <c r="AQ1550" i="7"/>
  <c r="AQ950" i="7"/>
  <c r="AQ1204" i="7"/>
  <c r="AQ1608" i="7"/>
  <c r="AQ1602" i="7"/>
  <c r="AQ1612" i="7"/>
  <c r="AQ1516" i="7"/>
  <c r="AQ1578" i="7"/>
  <c r="AQ1540" i="7"/>
  <c r="AQ1593" i="7"/>
  <c r="AQ1573" i="7"/>
  <c r="AQ1574" i="7"/>
  <c r="AQ1931" i="7"/>
  <c r="AQ560" i="7"/>
  <c r="AQ1130" i="7"/>
  <c r="AQ1835" i="7"/>
  <c r="AQ460" i="7"/>
  <c r="AQ572" i="7"/>
  <c r="AQ913" i="7"/>
  <c r="AQ369" i="7"/>
  <c r="AQ1667" i="7"/>
  <c r="AQ1679" i="7"/>
  <c r="AQ1843" i="7"/>
  <c r="AQ1554" i="7"/>
  <c r="AQ253" i="7"/>
  <c r="AQ760" i="7"/>
  <c r="AQ2164" i="7"/>
  <c r="AQ467" i="7"/>
  <c r="AQ472" i="7"/>
  <c r="AQ1450" i="7"/>
  <c r="AQ785" i="7"/>
  <c r="AQ1446" i="7"/>
  <c r="AQ1254" i="7"/>
  <c r="AQ1649" i="7"/>
  <c r="AQ113" i="7"/>
  <c r="AQ199" i="7"/>
  <c r="AQ276" i="7"/>
  <c r="AQ396" i="7"/>
  <c r="AQ67" i="7"/>
  <c r="AQ198" i="7"/>
  <c r="AQ1604" i="7"/>
  <c r="AQ305" i="7"/>
  <c r="AQ2271" i="7"/>
  <c r="AQ328" i="7"/>
  <c r="AQ334" i="7"/>
  <c r="AQ344" i="7"/>
  <c r="AQ345" i="7"/>
  <c r="AQ341" i="7"/>
  <c r="AQ555" i="7"/>
  <c r="AQ263" i="7"/>
  <c r="AQ509" i="7"/>
  <c r="AQ553" i="7"/>
  <c r="AQ374" i="7"/>
  <c r="AQ688" i="7"/>
  <c r="AQ551" i="7"/>
  <c r="AQ546" i="7"/>
  <c r="AQ566" i="7"/>
  <c r="AQ372" i="7"/>
  <c r="AQ2259" i="7"/>
  <c r="AQ1453" i="7"/>
  <c r="AQ1431" i="7"/>
  <c r="AQ494" i="7"/>
  <c r="AQ1438" i="7"/>
  <c r="AQ287" i="7"/>
  <c r="AQ1061" i="7"/>
  <c r="AQ420" i="7"/>
  <c r="AQ1837" i="7"/>
  <c r="AQ277" i="7"/>
  <c r="AQ729" i="7"/>
  <c r="AQ1463" i="7"/>
  <c r="AQ644" i="7"/>
  <c r="AQ634" i="7"/>
  <c r="AQ601" i="7"/>
  <c r="AQ436" i="7"/>
  <c r="AQ831" i="7"/>
  <c r="AQ930" i="7"/>
  <c r="AQ1529" i="7"/>
  <c r="AQ1584" i="7"/>
  <c r="AQ1409" i="7"/>
  <c r="AQ1234" i="7"/>
  <c r="AQ804" i="7"/>
  <c r="AQ1660" i="7"/>
  <c r="AQ1261" i="7"/>
  <c r="AQ1199" i="7"/>
  <c r="AQ955" i="7"/>
  <c r="AQ1279" i="7"/>
  <c r="AQ1974" i="7"/>
  <c r="AQ1606" i="7"/>
  <c r="AQ1548" i="7"/>
  <c r="AQ924" i="7"/>
  <c r="AQ129" i="7"/>
  <c r="AQ1176" i="7"/>
  <c r="AQ1206" i="7"/>
  <c r="AQ1243" i="7"/>
  <c r="AQ1182" i="7"/>
  <c r="AQ1074" i="7"/>
  <c r="AQ1296" i="7"/>
  <c r="AQ1215" i="7"/>
  <c r="AQ1118" i="7"/>
  <c r="AQ1084" i="7"/>
  <c r="AQ1189" i="7"/>
  <c r="AQ1269" i="7"/>
  <c r="AQ732" i="7"/>
  <c r="AQ1351" i="7"/>
  <c r="AQ1313" i="7"/>
  <c r="AQ1143" i="7"/>
  <c r="AQ2148" i="7"/>
  <c r="AQ2212" i="7"/>
  <c r="AQ842" i="7"/>
  <c r="AQ252" i="7"/>
  <c r="AQ1603" i="7"/>
  <c r="AQ921" i="7"/>
  <c r="AQ579" i="7"/>
  <c r="AQ1210" i="7"/>
  <c r="AQ1129" i="7"/>
  <c r="AQ1770" i="7"/>
  <c r="AQ2247" i="7"/>
  <c r="AQ333" i="7"/>
  <c r="AQ1355" i="7"/>
  <c r="AQ1228" i="7"/>
  <c r="AQ2258" i="7"/>
  <c r="AQ401" i="7"/>
  <c r="AQ578" i="7"/>
  <c r="AQ632" i="7"/>
  <c r="AQ1175" i="7"/>
  <c r="AQ1853" i="7"/>
  <c r="AQ1069" i="7"/>
  <c r="AQ1201" i="7"/>
  <c r="AQ1262" i="7"/>
  <c r="AQ1152" i="7"/>
  <c r="AQ587" i="7"/>
  <c r="AQ1035" i="7"/>
  <c r="AQ1133" i="7"/>
  <c r="AQ1242" i="7"/>
  <c r="AQ1541" i="7"/>
  <c r="AQ580" i="7"/>
  <c r="AQ1559" i="7"/>
  <c r="AQ1367" i="7"/>
  <c r="AQ1263" i="7"/>
  <c r="AQ1289" i="7"/>
  <c r="AQ1357" i="7"/>
  <c r="AQ1338" i="7"/>
  <c r="AQ1117" i="7"/>
  <c r="AQ1079" i="7"/>
  <c r="AQ1344" i="7"/>
  <c r="AQ1306" i="7"/>
  <c r="AQ1146" i="7"/>
  <c r="AQ1071" i="7"/>
  <c r="AQ133" i="7"/>
  <c r="AQ2273" i="7"/>
  <c r="AQ321" i="7"/>
  <c r="AQ637" i="7"/>
  <c r="AQ1767" i="7"/>
  <c r="AQ2206" i="7"/>
  <c r="AQ1186" i="7"/>
  <c r="AQ13" i="7"/>
  <c r="AQ2221" i="7"/>
  <c r="AQ786" i="7"/>
  <c r="AQ17" i="7"/>
  <c r="AQ1572" i="7"/>
  <c r="AQ1725" i="7"/>
  <c r="AQ1305" i="7"/>
  <c r="AQ787" i="7"/>
  <c r="AQ1401" i="7"/>
  <c r="AQ1617" i="7"/>
  <c r="AQ2094" i="7"/>
  <c r="AQ1595" i="7"/>
  <c r="AQ619" i="7"/>
  <c r="AQ1831" i="7"/>
  <c r="AQ1181" i="7"/>
  <c r="AQ1405" i="7"/>
  <c r="AQ540" i="7"/>
  <c r="AQ928" i="7"/>
  <c r="AQ872" i="7"/>
  <c r="AQ761" i="7"/>
  <c r="AQ728" i="7"/>
  <c r="AQ718" i="7"/>
  <c r="AQ810" i="7"/>
  <c r="AQ617" i="7"/>
  <c r="AQ609" i="7"/>
  <c r="AQ908" i="7"/>
  <c r="AQ816" i="7"/>
  <c r="AQ936" i="7"/>
  <c r="AQ808" i="7"/>
  <c r="AQ802" i="7"/>
  <c r="AQ2276" i="7"/>
  <c r="AQ20" i="7"/>
  <c r="AQ21" i="7"/>
  <c r="AQ23" i="7"/>
  <c r="AQ22" i="7"/>
  <c r="AQ1121" i="7"/>
  <c r="AQ956" i="7"/>
  <c r="AQ731" i="7"/>
  <c r="AQ12" i="7"/>
  <c r="AQ1111" i="7"/>
  <c r="AQ421" i="7"/>
  <c r="AQ427" i="7"/>
  <c r="AQ418" i="7"/>
  <c r="AQ419" i="7"/>
  <c r="AQ424" i="7"/>
  <c r="AQ429" i="7"/>
  <c r="AQ2255" i="7"/>
  <c r="AQ1180" i="7"/>
  <c r="AQ1231" i="7"/>
  <c r="AQ1165" i="7"/>
  <c r="AQ1220" i="7"/>
  <c r="AQ1164" i="7"/>
  <c r="AQ1162" i="7"/>
  <c r="AQ1290" i="7"/>
  <c r="AQ1219" i="7"/>
  <c r="AQ1105" i="7"/>
  <c r="AQ1393" i="7"/>
  <c r="AQ1116" i="7"/>
  <c r="AQ1844" i="7"/>
  <c r="AQ1760" i="7"/>
  <c r="AQ1883" i="7"/>
  <c r="AQ2005" i="7"/>
  <c r="AQ2242" i="7"/>
  <c r="AQ15" i="7"/>
  <c r="AQ267" i="7"/>
  <c r="AQ1746" i="7"/>
  <c r="AQ1310" i="7"/>
  <c r="AQ1601" i="7"/>
  <c r="AQ1414" i="7"/>
  <c r="AQ1788" i="7"/>
  <c r="AQ1014" i="7"/>
  <c r="AQ990" i="7"/>
  <c r="AQ1091" i="7"/>
  <c r="AQ1523" i="7"/>
  <c r="AQ1849" i="7"/>
  <c r="AQ2225" i="7"/>
  <c r="AQ1154" i="7"/>
  <c r="AQ962" i="7"/>
  <c r="AQ1082" i="7"/>
  <c r="AQ2167" i="7"/>
  <c r="AQ2264" i="7"/>
  <c r="AQ2053" i="7"/>
  <c r="AQ2110" i="7"/>
  <c r="AQ1741" i="7"/>
  <c r="AQ1952" i="7"/>
  <c r="AQ2210" i="7"/>
  <c r="AQ1270" i="7"/>
  <c r="AQ2035" i="7"/>
  <c r="AQ1440" i="7"/>
  <c r="AQ1250" i="7"/>
  <c r="AQ2070" i="7"/>
  <c r="AQ2074" i="7"/>
  <c r="AQ880" i="7"/>
  <c r="AQ1710" i="7"/>
  <c r="AQ1985" i="7"/>
  <c r="AQ1929" i="7"/>
  <c r="AQ1950" i="7"/>
  <c r="AQ2093" i="7"/>
  <c r="AQ2229" i="7"/>
  <c r="AQ1953" i="7"/>
  <c r="AQ1707" i="7"/>
  <c r="AQ1789" i="7"/>
  <c r="AQ1120" i="7"/>
  <c r="AQ1884" i="7"/>
  <c r="AQ2061" i="7"/>
  <c r="AQ1764" i="7"/>
  <c r="AQ982" i="7"/>
  <c r="AQ993" i="7"/>
  <c r="AQ965" i="7"/>
  <c r="AQ1001" i="7"/>
  <c r="AQ781" i="7"/>
  <c r="AQ976" i="7"/>
  <c r="AQ500" i="7"/>
  <c r="AQ603" i="7"/>
  <c r="AQ735" i="7"/>
  <c r="AQ687" i="7"/>
  <c r="AQ624" i="7"/>
  <c r="AQ665" i="7"/>
  <c r="AQ440" i="7"/>
  <c r="AQ577" i="7"/>
  <c r="AQ607" i="7"/>
  <c r="AQ499" i="7"/>
  <c r="AQ425" i="7"/>
  <c r="AQ453" i="7"/>
  <c r="AQ604" i="7"/>
  <c r="AQ574" i="7"/>
  <c r="AQ470" i="7"/>
  <c r="AQ465" i="7"/>
  <c r="AQ349" i="7"/>
  <c r="AQ456" i="7"/>
  <c r="AQ561" i="7"/>
  <c r="AQ817" i="7"/>
  <c r="AQ1028" i="7"/>
  <c r="AQ703" i="7"/>
  <c r="AQ1050" i="7"/>
  <c r="AQ974" i="7"/>
  <c r="AQ685" i="7"/>
  <c r="AQ2230" i="7"/>
  <c r="AQ1686" i="7"/>
  <c r="AQ867" i="7"/>
  <c r="AQ1119" i="7"/>
  <c r="AQ1392" i="7"/>
  <c r="AQ1244" i="7"/>
  <c r="AQ1281" i="7"/>
  <c r="AQ1160" i="7"/>
  <c r="AQ1287" i="7"/>
  <c r="AQ811" i="7"/>
  <c r="AQ342" i="7"/>
  <c r="AQ332" i="7"/>
  <c r="AQ1347" i="7"/>
  <c r="AQ167" i="7"/>
  <c r="AQ157" i="7"/>
  <c r="AQ179" i="7"/>
  <c r="AQ178" i="7"/>
  <c r="AQ152" i="7"/>
  <c r="AQ168" i="7"/>
  <c r="AQ174" i="7"/>
  <c r="AQ172" i="7"/>
  <c r="AQ162" i="7"/>
  <c r="AQ153" i="7"/>
  <c r="AQ151" i="7"/>
  <c r="AQ1623" i="7"/>
  <c r="AQ1861" i="7"/>
  <c r="AQ2116" i="7"/>
  <c r="AQ2245" i="7"/>
  <c r="AQ2112" i="7"/>
  <c r="AQ2132" i="7"/>
  <c r="AQ2207" i="7"/>
  <c r="AQ2235" i="7"/>
  <c r="AQ1765" i="7"/>
  <c r="AQ2257" i="7"/>
  <c r="AQ2261" i="7"/>
  <c r="AQ2145" i="7"/>
  <c r="AQ1002" i="7"/>
  <c r="AQ2232" i="7"/>
  <c r="AQ2189" i="7"/>
  <c r="AQ946" i="7"/>
  <c r="AQ825" i="7"/>
  <c r="AQ1329" i="7"/>
  <c r="AQ879" i="7"/>
  <c r="AQ1066" i="7"/>
  <c r="AQ992" i="7"/>
  <c r="AQ1007" i="7"/>
  <c r="AQ997" i="7"/>
  <c r="AQ1032" i="7"/>
  <c r="AQ1030" i="7"/>
  <c r="AQ1317" i="7"/>
  <c r="AQ1245" i="7"/>
  <c r="AQ2234" i="7"/>
  <c r="AQ1670" i="7"/>
  <c r="AQ1467" i="7"/>
  <c r="AQ2114" i="7"/>
  <c r="AQ386" i="7"/>
  <c r="AQ375" i="7"/>
  <c r="AQ241" i="7"/>
  <c r="AQ1538" i="7"/>
  <c r="AQ1339" i="7"/>
  <c r="AQ1399" i="7"/>
  <c r="AQ1782" i="7"/>
  <c r="AQ149" i="7"/>
  <c r="AQ171" i="7"/>
  <c r="AQ161" i="7"/>
  <c r="AQ177" i="7"/>
  <c r="AQ163" i="7"/>
  <c r="AQ170" i="7"/>
  <c r="AQ173" i="7"/>
  <c r="AQ175" i="7"/>
  <c r="AQ164" i="7"/>
  <c r="AQ166" i="7"/>
  <c r="AQ165" i="7"/>
  <c r="AQ1925" i="7"/>
  <c r="AQ1135" i="7"/>
  <c r="AQ556" i="7"/>
  <c r="AQ1106" i="7"/>
  <c r="AQ652" i="7"/>
  <c r="AQ1240" i="7"/>
  <c r="AQ641" i="7"/>
  <c r="AQ980" i="7"/>
  <c r="AQ469" i="7"/>
  <c r="AQ1946" i="7"/>
  <c r="AQ1732" i="7"/>
  <c r="AQ1517" i="7"/>
  <c r="AQ2096" i="7"/>
  <c r="AQ2272" i="7"/>
  <c r="AQ2165" i="7"/>
  <c r="AQ1088" i="7"/>
  <c r="AQ1575" i="7"/>
  <c r="AQ1750" i="7"/>
  <c r="AQ1293" i="7"/>
  <c r="AQ2198" i="7"/>
  <c r="AQ646" i="7"/>
  <c r="AQ1651" i="7"/>
  <c r="AQ1389" i="7"/>
  <c r="AQ858" i="7"/>
  <c r="AQ753" i="7"/>
  <c r="AQ776" i="7"/>
  <c r="AQ864" i="7"/>
  <c r="AQ911" i="7"/>
  <c r="AQ741" i="7"/>
  <c r="AQ677" i="7"/>
  <c r="AQ647" i="7"/>
  <c r="AQ736" i="7"/>
  <c r="AQ782" i="7"/>
  <c r="AQ680" i="7"/>
  <c r="AQ755" i="7"/>
  <c r="AQ630" i="7"/>
  <c r="AQ660" i="7"/>
  <c r="AQ648" i="7"/>
  <c r="AQ740" i="7"/>
  <c r="AQ542" i="7"/>
  <c r="AQ393" i="7"/>
  <c r="AQ482" i="7"/>
  <c r="AQ653" i="7"/>
  <c r="AQ520" i="7"/>
  <c r="AQ480" i="7"/>
  <c r="AQ640" i="7"/>
  <c r="AQ845" i="7"/>
  <c r="AQ814" i="7"/>
  <c r="AQ887" i="7"/>
  <c r="AQ906" i="7"/>
  <c r="AQ780" i="7"/>
  <c r="AQ774" i="7"/>
  <c r="AQ818" i="7"/>
  <c r="AQ1543" i="7"/>
  <c r="AQ573" i="7"/>
  <c r="AQ704" i="7"/>
  <c r="AQ850" i="7"/>
  <c r="AQ837" i="7"/>
  <c r="AQ900" i="7"/>
  <c r="AQ441" i="7"/>
  <c r="AQ918" i="7"/>
  <c r="AQ874" i="7"/>
  <c r="AQ764" i="7"/>
  <c r="AQ903" i="7"/>
  <c r="AQ684" i="7"/>
  <c r="AQ484" i="7"/>
  <c r="AQ249" i="7"/>
  <c r="AQ331" i="7"/>
  <c r="AQ262" i="7"/>
  <c r="AQ330" i="7"/>
  <c r="AQ300" i="7"/>
  <c r="AQ324" i="7"/>
  <c r="AQ296" i="7"/>
  <c r="AQ289" i="7"/>
  <c r="AQ355" i="7"/>
  <c r="AQ350" i="7"/>
  <c r="AQ346" i="7"/>
  <c r="AQ319" i="7"/>
  <c r="AQ351" i="7"/>
  <c r="AQ340" i="7"/>
  <c r="AQ464" i="7"/>
  <c r="AQ474" i="7"/>
  <c r="AQ846" i="7"/>
  <c r="AQ370" i="7"/>
  <c r="AQ662" i="7"/>
  <c r="AQ963" i="7"/>
  <c r="AQ797" i="7"/>
  <c r="AQ1087" i="7"/>
  <c r="AQ1360" i="7"/>
  <c r="AQ1530" i="7"/>
  <c r="AQ582" i="7"/>
  <c r="AQ848" i="7"/>
  <c r="AQ1622" i="7"/>
  <c r="AQ1322" i="7"/>
  <c r="AQ968" i="7"/>
  <c r="AQ1005" i="7"/>
  <c r="AQ1506" i="7"/>
  <c r="AQ1502" i="7"/>
  <c r="AQ2262" i="7"/>
  <c r="AQ1375" i="7"/>
  <c r="AQ1555" i="7"/>
  <c r="AQ1343" i="7"/>
  <c r="AQ1021" i="7"/>
  <c r="AQ2154" i="7"/>
  <c r="AQ1350" i="7"/>
  <c r="AQ1212" i="7"/>
  <c r="AQ1336" i="7"/>
  <c r="AQ1659" i="7"/>
  <c r="AQ2026" i="7"/>
  <c r="AQ1666" i="7"/>
  <c r="AQ1257" i="7"/>
  <c r="AQ750" i="7"/>
  <c r="AQ545" i="7"/>
  <c r="AQ586" i="7"/>
  <c r="AQ1374" i="7"/>
  <c r="AQ953" i="7"/>
  <c r="AQ847" i="7"/>
  <c r="AQ751" i="7"/>
  <c r="AQ792" i="7"/>
  <c r="AQ914" i="7"/>
  <c r="AQ904" i="7"/>
  <c r="AQ672" i="7"/>
  <c r="AQ712" i="7"/>
  <c r="AQ725" i="7"/>
  <c r="AQ799" i="7"/>
  <c r="AQ214" i="7"/>
  <c r="AQ892" i="7"/>
  <c r="AQ655" i="7"/>
  <c r="AQ616" i="7"/>
  <c r="AQ759" i="7"/>
  <c r="AQ1214" i="7"/>
  <c r="AQ1108" i="7"/>
  <c r="AQ1184" i="7"/>
  <c r="AQ203" i="7"/>
  <c r="AQ213" i="7"/>
  <c r="AQ575" i="7"/>
  <c r="AQ1519" i="7"/>
  <c r="AQ778" i="7"/>
  <c r="AQ265" i="7"/>
  <c r="AQ266" i="7"/>
  <c r="AQ2147" i="7"/>
  <c r="AQ1236" i="7"/>
  <c r="AQ1742" i="7"/>
  <c r="AQ1828" i="7"/>
  <c r="AQ1858" i="7"/>
  <c r="AQ1804" i="7"/>
  <c r="AQ1721" i="7"/>
  <c r="AQ1112" i="7"/>
  <c r="AQ2201" i="7"/>
  <c r="AQ2202" i="7"/>
  <c r="AQ1576" i="7"/>
  <c r="AQ1730" i="7"/>
  <c r="AQ2130" i="7"/>
  <c r="AQ2144" i="7"/>
  <c r="AQ2072" i="7"/>
  <c r="AQ1046" i="7"/>
  <c r="AQ1268" i="7"/>
  <c r="AQ1249" i="7"/>
  <c r="AQ805" i="7"/>
  <c r="AQ1094" i="7"/>
  <c r="AQ2266" i="7"/>
  <c r="AQ777" i="7"/>
  <c r="AQ1086" i="7"/>
  <c r="AQ1148" i="7"/>
  <c r="AQ1226" i="7"/>
  <c r="AQ1521" i="7"/>
  <c r="AQ1689" i="7"/>
  <c r="AQ1549" i="7"/>
  <c r="AQ1097" i="7"/>
  <c r="AQ897" i="7"/>
  <c r="AQ869" i="7"/>
  <c r="AQ710" i="7"/>
  <c r="AQ807" i="7"/>
  <c r="AQ855" i="7"/>
  <c r="AQ938" i="7"/>
  <c r="AQ813" i="7"/>
  <c r="AQ889" i="7"/>
  <c r="AQ873" i="7"/>
  <c r="AQ1073" i="7"/>
  <c r="AQ1586" i="7"/>
  <c r="AQ1879" i="7"/>
  <c r="AQ1239" i="7"/>
  <c r="AQ1337" i="7"/>
  <c r="AQ1520" i="7"/>
  <c r="AQ1494" i="7"/>
  <c r="AQ1557" i="7"/>
  <c r="AQ1491" i="7"/>
  <c r="AQ1237" i="7"/>
  <c r="AQ1547" i="7"/>
  <c r="AQ1272" i="7"/>
  <c r="AQ1826" i="7"/>
  <c r="AQ2253" i="7"/>
  <c r="AQ176" i="7"/>
  <c r="AQ158" i="7"/>
  <c r="AQ184" i="7"/>
  <c r="AQ181" i="7"/>
  <c r="AQ180" i="7"/>
  <c r="AQ185" i="7"/>
  <c r="AQ150" i="7"/>
  <c r="AQ154" i="7"/>
  <c r="AQ156" i="7"/>
  <c r="AQ155" i="7"/>
  <c r="AQ2267" i="7"/>
  <c r="AQ1633" i="7"/>
  <c r="AQ2263" i="7"/>
  <c r="AQ1474" i="7"/>
  <c r="AQ1203" i="7"/>
  <c r="AQ294" i="7"/>
  <c r="AQ1939" i="7"/>
  <c r="AQ1696" i="7"/>
  <c r="AQ1469" i="7"/>
  <c r="AQ1769" i="7"/>
  <c r="AQ1771" i="7"/>
  <c r="AQ1693" i="7"/>
  <c r="AQ1695" i="7"/>
  <c r="AQ1935" i="7"/>
  <c r="AQ2182" i="7"/>
  <c r="AQ1326" i="7"/>
  <c r="AQ1866" i="7"/>
  <c r="AQ1280" i="7"/>
  <c r="AQ1193" i="7"/>
  <c r="AQ1248" i="7"/>
  <c r="AQ535" i="7"/>
  <c r="AQ611" i="7"/>
  <c r="AQ689" i="7"/>
  <c r="AQ511" i="7"/>
  <c r="AQ941" i="7"/>
  <c r="AQ1823" i="7"/>
  <c r="AQ2181" i="7"/>
  <c r="AQ2241" i="7"/>
  <c r="AQ1801" i="7"/>
  <c r="AQ2043" i="7"/>
  <c r="AQ2177" i="7"/>
  <c r="AQ1422" i="7"/>
  <c r="AQ1141" i="7"/>
  <c r="AQ727" i="7"/>
  <c r="AQ876" i="7"/>
  <c r="AQ2265" i="7"/>
  <c r="AQ588" i="7"/>
  <c r="AQ711" i="7"/>
  <c r="AQ1332" i="7"/>
  <c r="AQ1615" i="7"/>
  <c r="AQ1577" i="7"/>
  <c r="AQ1387" i="7"/>
  <c r="AQ1300" i="7"/>
  <c r="AQ1323" i="7"/>
  <c r="AQ1335" i="7"/>
  <c r="AQ1372" i="7"/>
  <c r="AQ973" i="7"/>
  <c r="AQ1213" i="7"/>
  <c r="AQ430" i="7"/>
  <c r="AQ794" i="7"/>
  <c r="AQ1208" i="7"/>
  <c r="AQ1145" i="7"/>
  <c r="AQ1004" i="7"/>
  <c r="AQ698" i="7"/>
  <c r="AQ784" i="7"/>
  <c r="AQ742" i="7"/>
  <c r="AQ843" i="7"/>
  <c r="AQ769" i="7"/>
  <c r="AQ1324" i="7"/>
  <c r="AQ1585" i="7"/>
  <c r="AQ1358" i="7"/>
  <c r="AQ1202" i="7"/>
  <c r="AQ1100" i="7"/>
  <c r="AQ834" i="7"/>
  <c r="AQ832" i="7"/>
  <c r="AQ530" i="7"/>
  <c r="AQ257" i="7"/>
  <c r="AQ254" i="7"/>
  <c r="AQ1128" i="7"/>
  <c r="AQ1582" i="7"/>
  <c r="AQ1286" i="7"/>
  <c r="AQ1631" i="7"/>
  <c r="AQ1781" i="7"/>
  <c r="AQ1661" i="7"/>
  <c r="AQ1430" i="7"/>
  <c r="AQ1892" i="7"/>
  <c r="AQ2163" i="7"/>
  <c r="AQ2158" i="7"/>
  <c r="AQ2134" i="7"/>
  <c r="AQ2168" i="7"/>
  <c r="AQ2216" i="7"/>
  <c r="AQ2124" i="7"/>
  <c r="AQ2220" i="7"/>
  <c r="AQ60" i="7"/>
  <c r="AQ1010" i="7"/>
  <c r="AQ2175" i="7"/>
  <c r="AQ2279" i="7"/>
  <c r="AQ1997" i="7"/>
  <c r="AQ549" i="7"/>
  <c r="AQ1708" i="7"/>
  <c r="AQ1624" i="7"/>
  <c r="AQ1241" i="7"/>
  <c r="AQ1810" i="7"/>
  <c r="AQ1738" i="7"/>
  <c r="AQ1957" i="7"/>
  <c r="AQ1900" i="7"/>
  <c r="AQ1627" i="7"/>
  <c r="AQ463" i="7"/>
  <c r="AQ563" i="7"/>
  <c r="AQ1407" i="7"/>
  <c r="AQ245" i="7"/>
  <c r="AQ583" i="7"/>
  <c r="AQ481" i="7"/>
  <c r="AQ812" i="7"/>
  <c r="AQ1142" i="7"/>
  <c r="AQ268" i="7"/>
  <c r="AQ1486" i="7"/>
  <c r="AQ1851" i="7"/>
  <c r="AQ237" i="7"/>
  <c r="AQ251" i="7"/>
  <c r="AQ255" i="7"/>
  <c r="AQ398" i="7"/>
  <c r="AQ356" i="7"/>
  <c r="AQ288" i="7"/>
  <c r="AQ240" i="7"/>
  <c r="AQ856" i="7"/>
  <c r="AQ656" i="7"/>
  <c r="AQ70" i="7"/>
  <c r="AQ442" i="7"/>
  <c r="AQ592" i="7"/>
  <c r="AQ1256" i="7"/>
  <c r="AQ661" i="7"/>
  <c r="AQ766" i="7"/>
  <c r="AQ886" i="7"/>
  <c r="AQ1051" i="7"/>
  <c r="AQ851" i="7"/>
  <c r="AQ536" i="7"/>
  <c r="AQ320" i="7"/>
  <c r="AQ2238" i="7"/>
  <c r="AQ1919" i="7"/>
  <c r="AQ970" i="7"/>
  <c r="AQ2113" i="7"/>
  <c r="AQ1964" i="7"/>
  <c r="AQ1416" i="7"/>
  <c r="AQ1205" i="7"/>
  <c r="AQ2143" i="7"/>
  <c r="AQ615" i="7"/>
  <c r="AQ205" i="7"/>
  <c r="AQ206" i="7"/>
  <c r="AQ207" i="7"/>
  <c r="AQ1784" i="7"/>
  <c r="AQ1798" i="7"/>
  <c r="AQ1195" i="7"/>
  <c r="AQ830" i="7"/>
  <c r="AQ431" i="7"/>
  <c r="AQ1352" i="7"/>
  <c r="AQ1413" i="7"/>
  <c r="AQ361" i="7"/>
  <c r="AQ1455" i="7"/>
  <c r="AQ1421" i="7"/>
  <c r="AQ1594" i="7"/>
  <c r="AQ949" i="7"/>
  <c r="AQ952" i="7"/>
  <c r="AQ400" i="7"/>
  <c r="AQ2278" i="7"/>
  <c r="AQ809" i="7"/>
  <c r="AQ1449" i="7"/>
  <c r="AQ2274" i="7"/>
  <c r="AQ2277" i="7"/>
  <c r="AQ131" i="7"/>
  <c r="AQ68" i="7"/>
  <c r="AQ2180" i="7"/>
  <c r="AQ1887" i="7"/>
  <c r="AQ1981" i="7"/>
  <c r="AQ1896" i="7"/>
  <c r="AQ1903" i="7"/>
  <c r="AQ1941" i="7"/>
  <c r="AQ2137" i="7"/>
  <c r="AQ2155" i="7"/>
  <c r="AQ2051" i="7"/>
  <c r="AQ2152" i="7"/>
  <c r="AQ1639" i="7"/>
  <c r="AQ2222" i="7"/>
  <c r="AQ663" i="7"/>
  <c r="AQ523" i="7"/>
  <c r="AQ275" i="7"/>
  <c r="AQ505" i="7"/>
  <c r="AQ373" i="7"/>
  <c r="AQ635" i="7"/>
  <c r="AQ272" i="7"/>
  <c r="AQ315" i="7"/>
  <c r="AQ380" i="7"/>
  <c r="AQ10" i="7"/>
  <c r="AQ1125" i="7"/>
  <c r="AQ323" i="7"/>
  <c r="AQ377" i="7"/>
  <c r="AQ379" i="7"/>
  <c r="AQ548" i="7"/>
  <c r="AQ496" i="7"/>
  <c r="AQ506" i="7"/>
  <c r="AQ1291" i="7"/>
  <c r="AQ1370" i="7"/>
  <c r="AQ961" i="7"/>
  <c r="AQ613" i="7"/>
  <c r="AQ1949" i="7"/>
  <c r="AQ1959" i="7"/>
  <c r="AQ1913" i="7"/>
  <c r="AQ462" i="7"/>
  <c r="AQ1862" i="7"/>
  <c r="AQ1748" i="7"/>
  <c r="AQ1515" i="7"/>
  <c r="AQ1579" i="7"/>
  <c r="AQ2215" i="7"/>
  <c r="AQ564" i="7"/>
  <c r="AQ643" i="7"/>
  <c r="AQ679" i="7"/>
  <c r="AQ338" i="7"/>
  <c r="AQ2204" i="7"/>
  <c r="AQ836" i="7"/>
  <c r="AQ716" i="7"/>
  <c r="AQ2275" i="7"/>
  <c r="AQ1962" i="7"/>
  <c r="AQ115" i="7"/>
  <c r="AQ2085" i="7"/>
  <c r="AQ1830" i="7"/>
  <c r="AQ909" i="7"/>
  <c r="AQ99" i="7"/>
  <c r="AQ694" i="7"/>
  <c r="AQ457" i="7"/>
  <c r="AQ461" i="7"/>
  <c r="AQ339" i="7"/>
  <c r="AQ354" i="7"/>
  <c r="AQ1395" i="7"/>
  <c r="AQ1386" i="7"/>
  <c r="AQ261" i="7"/>
  <c r="AQ308" i="7"/>
  <c r="AQ343" i="7"/>
  <c r="AQ395" i="7"/>
  <c r="AQ915" i="7"/>
  <c r="AQ2142" i="7"/>
  <c r="AQ833" i="7"/>
  <c r="AQ475" i="7"/>
  <c r="AQ387" i="7"/>
  <c r="AQ1391" i="7"/>
  <c r="AQ2034" i="7"/>
  <c r="AQ1940" i="7"/>
  <c r="AQ2157" i="7"/>
  <c r="AQ1914" i="7"/>
  <c r="AQ1739" i="7"/>
  <c r="AQ2107" i="7"/>
  <c r="AQ1948" i="7"/>
  <c r="AQ1780" i="7"/>
  <c r="AQ1777" i="7"/>
  <c r="AQ1763" i="7"/>
  <c r="AQ2028" i="7"/>
  <c r="AQ1893" i="7"/>
  <c r="AQ1705" i="7"/>
  <c r="AQ1996" i="7"/>
  <c r="AQ1943" i="7"/>
  <c r="AQ1726" i="7"/>
  <c r="AQ1493" i="7"/>
  <c r="AQ1613" i="7"/>
  <c r="AQ1533" i="7"/>
  <c r="AQ1969" i="7"/>
  <c r="AQ1712" i="7"/>
  <c r="AQ1734" i="7"/>
  <c r="AQ1512" i="7"/>
  <c r="AQ1570" i="7"/>
  <c r="AQ2089" i="7"/>
  <c r="AQ1432" i="7"/>
  <c r="AQ1522" i="7"/>
  <c r="AQ1731" i="7"/>
  <c r="AQ1276" i="7"/>
  <c r="AQ2172" i="7"/>
  <c r="AQ2256" i="7"/>
  <c r="AQ1510" i="7"/>
  <c r="AQ2239" i="7"/>
  <c r="AQ2125" i="7"/>
  <c r="AQ1484" i="7"/>
  <c r="AQ1956" i="7"/>
  <c r="AQ2032" i="7"/>
  <c r="AQ2041" i="7"/>
  <c r="AQ2020" i="7"/>
  <c r="AQ1975" i="7"/>
  <c r="AQ1747" i="7"/>
  <c r="AQ783" i="7"/>
  <c r="AQ2007" i="7"/>
  <c r="AQ1556" i="7"/>
  <c r="AQ749" i="7"/>
  <c r="AQ1568" i="7"/>
  <c r="AQ2269" i="7"/>
  <c r="AQ884" i="7"/>
  <c r="AQ1535" i="7"/>
  <c r="AQ1650" i="7"/>
  <c r="AQ1805" i="7"/>
  <c r="AQ1848" i="7"/>
  <c r="AQ1847" i="7"/>
  <c r="AQ1657" i="7"/>
  <c r="AQ1439" i="7"/>
  <c r="AQ2083" i="7"/>
  <c r="AQ2086" i="7"/>
  <c r="AQ2099" i="7"/>
  <c r="AQ1080" i="7"/>
  <c r="AQ1104" i="7"/>
  <c r="AQ1137" i="7"/>
  <c r="AQ1509" i="7"/>
  <c r="AQ1551" i="7"/>
  <c r="AQ2098" i="7"/>
  <c r="AQ2057" i="7"/>
  <c r="AQ1999" i="7"/>
  <c r="AQ1995" i="7"/>
  <c r="AQ2117" i="7"/>
  <c r="AQ2056" i="7"/>
  <c r="AQ1301" i="7"/>
  <c r="AQ948" i="7"/>
  <c r="AQ610" i="7"/>
  <c r="AQ589" i="7"/>
  <c r="AQ2111" i="7"/>
  <c r="AQ2090" i="7"/>
  <c r="AQ1169" i="7"/>
  <c r="AQ2001" i="7"/>
  <c r="AQ1889" i="7"/>
  <c r="AQ2050" i="7"/>
  <c r="AQ2174" i="7"/>
  <c r="AQ2149" i="7"/>
  <c r="AQ2075" i="7"/>
  <c r="AQ1936" i="7"/>
  <c r="AQ2059" i="7"/>
  <c r="AQ1532" i="7"/>
  <c r="AQ1466" i="7"/>
  <c r="AQ1923" i="7"/>
  <c r="AQ1834" i="7"/>
  <c r="AQ1665" i="7"/>
  <c r="AQ1799" i="7"/>
  <c r="AQ290" i="7"/>
  <c r="AQ1937" i="7"/>
  <c r="AQ1489" i="7"/>
  <c r="AQ1905" i="7"/>
  <c r="AQ1875" i="7"/>
  <c r="AQ2185" i="7"/>
  <c r="AQ2016" i="7"/>
  <c r="AQ748" i="7"/>
  <c r="AQ697" i="7"/>
  <c r="AQ605" i="7"/>
  <c r="AQ690" i="7"/>
  <c r="AQ2045" i="7"/>
  <c r="AQ2029" i="7"/>
  <c r="AQ2228" i="7"/>
  <c r="AQ2197" i="7"/>
  <c r="AQ1972" i="7"/>
  <c r="AQ1072" i="7"/>
  <c r="AQ2037" i="7"/>
  <c r="AQ552" i="7"/>
  <c r="AQ1986" i="7"/>
  <c r="AQ1644" i="7"/>
  <c r="AQ1643" i="7"/>
  <c r="AQ933" i="7"/>
  <c r="AQ95" i="7"/>
  <c r="AQ1055" i="7"/>
  <c r="AQ1497" i="7"/>
  <c r="AQ1076" i="7"/>
  <c r="AQ1274" i="7"/>
  <c r="AQ1819" i="7"/>
  <c r="AQ466" i="7"/>
  <c r="AQ853" i="7"/>
  <c r="AQ1625" i="7"/>
  <c r="AQ620" i="7"/>
  <c r="AQ633" i="7"/>
  <c r="AQ1971" i="7"/>
  <c r="AQ1478" i="7"/>
  <c r="AQ1702" i="7"/>
  <c r="AQ1319" i="7"/>
  <c r="AQ2084" i="7"/>
  <c r="AQ1429" i="7"/>
  <c r="AQ2025" i="7"/>
  <c r="AQ1618" i="7"/>
  <c r="AQ1571" i="7"/>
  <c r="AQ1868" i="7"/>
  <c r="AQ1690" i="7"/>
  <c r="AQ1536" i="7"/>
  <c r="AQ863" i="7"/>
  <c r="AQ1267" i="7"/>
  <c r="AQ1524" i="7"/>
  <c r="AQ1039" i="7"/>
  <c r="AQ2193" i="7"/>
  <c r="AQ666" i="7"/>
  <c r="AQ1865" i="7"/>
  <c r="AQ1009" i="7"/>
  <c r="AQ558" i="7"/>
  <c r="AQ1930" i="7"/>
  <c r="AQ2208" i="7"/>
  <c r="AQ304" i="7"/>
  <c r="AQ492" i="7"/>
  <c r="AQ477" i="7"/>
  <c r="AQ438" i="7"/>
  <c r="AQ479" i="7"/>
  <c r="AQ443" i="7"/>
  <c r="AQ478" i="7"/>
  <c r="AQ142" i="7"/>
  <c r="AQ504" i="7"/>
  <c r="AQ299" i="7"/>
  <c r="AQ673" i="7"/>
  <c r="AQ1454" i="7"/>
  <c r="AQ1138" i="7"/>
  <c r="AQ1465" i="7"/>
  <c r="AQ1425" i="7"/>
  <c r="AQ1314" i="7"/>
  <c r="AQ1058" i="7"/>
  <c r="AQ1362" i="7"/>
  <c r="AQ297" i="7"/>
  <c r="AQ322" i="7"/>
  <c r="AQ233" i="7"/>
  <c r="AQ790" i="7"/>
  <c r="AQ649" i="7"/>
  <c r="AQ815" i="7"/>
  <c r="AQ916" i="7"/>
  <c r="AQ448" i="7"/>
  <c r="AQ2010" i="7"/>
  <c r="AQ822" i="7"/>
  <c r="AQ1048" i="7"/>
  <c r="AQ1978" i="7"/>
  <c r="AQ2252" i="7"/>
  <c r="AQ1758" i="7"/>
  <c r="AQ2214" i="7"/>
  <c r="AQ1926" i="7"/>
  <c r="AQ2227" i="7"/>
  <c r="AQ2219" i="7"/>
  <c r="AQ1757" i="7"/>
  <c r="AQ1341" i="7"/>
  <c r="AQ1980" i="7"/>
  <c r="AQ967" i="7"/>
  <c r="AQ1723" i="7"/>
  <c r="AQ1838" i="7"/>
  <c r="AQ1499" i="7"/>
  <c r="AQ618" i="7"/>
  <c r="AQ2200" i="7"/>
  <c r="AQ2129" i="7"/>
  <c r="AQ2038" i="7"/>
  <c r="AQ1207" i="7"/>
  <c r="AQ1537" i="7"/>
  <c r="AQ1471" i="7"/>
  <c r="AQ1062" i="7"/>
  <c r="AQ1501" i="7"/>
  <c r="AQ1656" i="7"/>
  <c r="AQ2030" i="7"/>
  <c r="AQ1886" i="7"/>
  <c r="AQ2027" i="7"/>
  <c r="AQ1898" i="7"/>
  <c r="AQ1894" i="7"/>
  <c r="AQ1899" i="7"/>
  <c r="AQ1610" i="7"/>
  <c r="AQ303" i="7"/>
  <c r="AQ1468" i="7"/>
  <c r="AQ1483" i="7"/>
  <c r="AQ7" i="7"/>
  <c r="AQ202" i="7"/>
  <c r="AQ1158" i="7"/>
  <c r="AQ1194" i="7"/>
  <c r="AQ1288" i="7"/>
  <c r="AQ360" i="7"/>
  <c r="AQ498" i="7"/>
  <c r="AQ1852" i="7"/>
  <c r="AQ1614" i="7"/>
  <c r="AQ1308" i="7"/>
  <c r="AQ868" i="7"/>
  <c r="AQ1259" i="7"/>
  <c r="AQ1787" i="7"/>
  <c r="AQ468" i="7"/>
  <c r="AQ455" i="7"/>
  <c r="AQ434" i="7"/>
  <c r="AQ445" i="7"/>
  <c r="AQ527" i="7"/>
  <c r="AQ519" i="7"/>
  <c r="AQ423" i="7"/>
  <c r="AQ1901" i="7"/>
  <c r="AQ1011" i="7"/>
  <c r="AQ1815" i="7"/>
  <c r="AQ2021" i="7"/>
  <c r="AQ642" i="7"/>
  <c r="AQ1888" i="7"/>
  <c r="AQ1461" i="7"/>
  <c r="AQ1678" i="7"/>
  <c r="AQ1709" i="7"/>
  <c r="AQ1927" i="7"/>
  <c r="AQ1400" i="7"/>
  <c r="AQ1580" i="7"/>
  <c r="AQ1906" i="7"/>
  <c r="AQ1817" i="7"/>
  <c r="AQ1792" i="7"/>
  <c r="AQ1699" i="7"/>
  <c r="AQ733" i="7"/>
  <c r="AQ1168" i="7"/>
  <c r="AQ1729" i="7"/>
  <c r="AQ1674" i="7"/>
  <c r="AQ1700" i="7"/>
  <c r="AQ2064" i="7"/>
  <c r="AQ1099" i="7"/>
  <c r="AQ2218" i="7"/>
  <c r="AQ1635" i="7"/>
  <c r="AQ1110" i="7"/>
  <c r="AQ2280" i="7"/>
  <c r="AQ2081" i="7"/>
  <c r="AQ765" i="7"/>
  <c r="AQ1225" i="7"/>
  <c r="AQ942" i="7"/>
  <c r="AQ1990" i="7"/>
  <c r="AQ1140" i="7"/>
  <c r="AQ1093" i="7"/>
  <c r="AQ1346" i="7"/>
  <c r="AQ1089" i="7"/>
  <c r="AQ758" i="7"/>
  <c r="AQ693" i="7"/>
  <c r="AQ1149" i="7"/>
  <c r="AQ1979" i="7"/>
  <c r="AQ849" i="7"/>
  <c r="AQ723" i="7"/>
  <c r="AQ1877" i="7"/>
  <c r="AQ2196" i="7"/>
  <c r="AQ2135" i="7"/>
  <c r="AQ1590" i="7"/>
  <c r="AQ2095" i="7"/>
  <c r="AQ1676" i="7"/>
  <c r="AQ1684" i="7"/>
  <c r="AQ1685" i="7"/>
  <c r="AQ1620" i="7"/>
  <c r="AQ2122" i="7"/>
  <c r="AQ2126" i="7"/>
  <c r="AQ1720" i="7"/>
  <c r="AQ1960" i="7"/>
  <c r="AQ1749" i="7"/>
  <c r="AQ2268" i="7"/>
  <c r="AQ2260" i="7"/>
  <c r="AQ1795" i="7"/>
  <c r="AQ1426" i="7"/>
  <c r="AQ2240" i="7"/>
  <c r="AQ362" i="7"/>
  <c r="AQ1652" i="7"/>
  <c r="AQ1740" i="7"/>
  <c r="AQ1311" i="7"/>
  <c r="AQ1655" i="7"/>
  <c r="AQ1790" i="7"/>
  <c r="AQ141" i="7"/>
  <c r="AQ140" i="7"/>
  <c r="AQ145" i="7"/>
  <c r="AQ143" i="7"/>
  <c r="AQ106" i="7"/>
  <c r="AQ42" i="7"/>
  <c r="AQ135" i="7"/>
  <c r="AQ118" i="7"/>
  <c r="AQ119" i="7"/>
  <c r="AQ120" i="7"/>
  <c r="AQ121" i="7"/>
  <c r="AQ116" i="7"/>
  <c r="AQ298" i="7"/>
  <c r="AQ347" i="7"/>
  <c r="AQ348" i="7"/>
  <c r="AQ295" i="7"/>
  <c r="AQ978" i="7"/>
  <c r="AQ1637" i="7"/>
  <c r="AQ999" i="7"/>
  <c r="AQ806" i="7"/>
  <c r="AQ264" i="7"/>
  <c r="AQ1762" i="7"/>
  <c r="AQ1528" i="7"/>
  <c r="AQ1692" i="7"/>
  <c r="AQ98" i="7"/>
  <c r="AQ55" i="7"/>
  <c r="AQ130" i="7"/>
  <c r="AQ146" i="7"/>
  <c r="AQ2195" i="7"/>
  <c r="AQ1191" i="7"/>
  <c r="AQ890" i="7"/>
  <c r="AQ1809" i="7"/>
  <c r="AQ488" i="7"/>
  <c r="AQ1356" i="7"/>
  <c r="AQ1816" i="7"/>
  <c r="AQ1348" i="7"/>
  <c r="AQ132" i="7"/>
  <c r="AQ1178" i="7"/>
  <c r="AQ507" i="7"/>
  <c r="AQ1354" i="7"/>
  <c r="AQ891" i="7"/>
  <c r="AQ2188" i="7"/>
  <c r="AQ626" i="7"/>
  <c r="AQ995" i="7"/>
  <c r="AQ238" i="7"/>
  <c r="AQ1772" i="7"/>
  <c r="AQ1018" i="7"/>
  <c r="AQ554" i="7"/>
  <c r="AQ870" i="7"/>
  <c r="AQ239" i="7"/>
  <c r="AQ991" i="7"/>
  <c r="AQ359" i="7"/>
  <c r="AQ144" i="7"/>
  <c r="AQ944" i="7"/>
  <c r="AQ2077" i="7"/>
  <c r="AQ2069" i="7"/>
  <c r="AQ1216" i="7"/>
  <c r="AQ376" i="7"/>
  <c r="AQ371" i="7"/>
  <c r="AQ388" i="7"/>
  <c r="AQ43" i="7"/>
  <c r="AQ569" i="7"/>
  <c r="AQ1423" i="7"/>
  <c r="AQ1448" i="7"/>
  <c r="AQ531" i="7"/>
  <c r="AQ526" i="7"/>
  <c r="AQ1508" i="7"/>
  <c r="AQ1673" i="7"/>
  <c r="AQ367" i="7"/>
  <c r="AQ2040" i="7"/>
  <c r="AQ994" i="7"/>
  <c r="AQ1095" i="7"/>
  <c r="AQ1161" i="7"/>
  <c r="AQ722" i="7"/>
  <c r="AQ1596" i="7"/>
  <c r="AQ763" i="7"/>
  <c r="AQ565" i="7"/>
  <c r="AQ389" i="7"/>
  <c r="AQ487" i="7"/>
  <c r="AQ512" i="7"/>
  <c r="AQ544" i="7"/>
  <c r="AQ988" i="7"/>
  <c r="AQ508" i="7"/>
  <c r="AQ532" i="7"/>
  <c r="AQ450" i="7"/>
  <c r="AQ1973" i="7"/>
  <c r="AQ2031" i="7"/>
  <c r="AQ2068" i="7"/>
  <c r="AQ599" i="7"/>
  <c r="AQ767" i="7"/>
  <c r="AQ399" i="7"/>
  <c r="AQ756" i="7"/>
  <c r="AQ471" i="7"/>
  <c r="AQ1832" i="7"/>
  <c r="AQ983" i="7"/>
  <c r="AQ947" i="7"/>
  <c r="AQ1012" i="7"/>
  <c r="AQ1252" i="7"/>
  <c r="AQ986" i="7"/>
  <c r="AQ2139" i="7"/>
  <c r="AQ2243" i="7"/>
  <c r="AQ2013" i="7"/>
  <c r="AQ2017" i="7"/>
  <c r="AQ2213" i="7"/>
  <c r="AQ1607" i="7"/>
  <c r="AQ1683" i="7"/>
  <c r="AQ2226" i="7"/>
  <c r="AQ1984" i="7"/>
  <c r="AQ2109" i="7"/>
  <c r="AQ1869" i="7"/>
  <c r="AQ1863" i="7"/>
  <c r="AQ1371" i="7"/>
  <c r="AQ2048" i="7"/>
  <c r="AQ1434" i="7"/>
  <c r="AQ1706" i="7"/>
  <c r="AQ1273" i="7"/>
  <c r="AQ1531" i="7"/>
  <c r="AQ1569" i="7"/>
  <c r="AQ1187" i="7"/>
  <c r="AQ1365" i="7"/>
  <c r="AQ1983" i="7"/>
  <c r="AQ417" i="7"/>
  <c r="AQ2183" i="7"/>
  <c r="AQ651" i="7"/>
  <c r="AQ664" i="7"/>
  <c r="AQ658" i="7"/>
  <c r="AQ550" i="7"/>
  <c r="AQ667" i="7"/>
  <c r="AQ1123" i="7"/>
  <c r="AQ1991" i="7"/>
  <c r="AQ2071" i="7"/>
  <c r="AQ1891" i="7"/>
  <c r="AQ972" i="7"/>
  <c r="AQ1131" i="7"/>
  <c r="AQ1064" i="7"/>
  <c r="AQ796" i="7"/>
  <c r="AQ1067" i="7"/>
  <c r="AQ2060" i="7"/>
  <c r="AQ1077" i="7"/>
  <c r="AQ2009" i="7"/>
  <c r="AQ1388" i="7"/>
  <c r="AQ1361" i="7"/>
  <c r="AQ2233" i="7"/>
  <c r="AQ368" i="7"/>
  <c r="AQ242" i="7"/>
  <c r="AQ1070" i="7"/>
  <c r="AQ1150" i="7"/>
  <c r="AQ2203" i="7"/>
  <c r="AQ1860" i="7"/>
  <c r="AQ1675" i="7"/>
  <c r="AQ945" i="7"/>
  <c r="AQ943" i="7"/>
  <c r="AQ951" i="7"/>
  <c r="AQ1908" i="7"/>
  <c r="AQ9" i="7"/>
  <c r="AQ19" i="7"/>
  <c r="AQ1132" i="7"/>
  <c r="AQ1814" i="7"/>
  <c r="AQ2120" i="7"/>
  <c r="AQ1564" i="7"/>
  <c r="AQ2078" i="7"/>
  <c r="AQ1976" i="7"/>
  <c r="AQ1192" i="7"/>
  <c r="AQ2091" i="7"/>
  <c r="AQ1638" i="7"/>
  <c r="AQ1403" i="7"/>
  <c r="AQ1406" i="7"/>
  <c r="AQ1103" i="7"/>
  <c r="AQ2049" i="7"/>
  <c r="AQ2092" i="7"/>
  <c r="AQ1402" i="7"/>
  <c r="AQ1621" i="7"/>
  <c r="AQ1609" i="7"/>
  <c r="AQ1179" i="7"/>
  <c r="AQ1482" i="7"/>
  <c r="AQ614" i="7"/>
  <c r="AQ678" i="7"/>
  <c r="AQ657" i="7"/>
  <c r="AQ670" i="7"/>
  <c r="AQ547" i="7"/>
  <c r="AQ521" i="7"/>
  <c r="AQ571" i="7"/>
  <c r="AQ459" i="7"/>
  <c r="AQ497" i="7"/>
  <c r="AQ426" i="7"/>
  <c r="AQ454" i="7"/>
  <c r="AQ1284" i="7"/>
  <c r="AQ1345" i="7"/>
  <c r="AQ1492" i="7"/>
  <c r="AQ1597" i="7"/>
  <c r="AQ1581" i="7"/>
  <c r="AQ2179" i="7"/>
  <c r="AQ971" i="7"/>
  <c r="AQ981" i="7"/>
  <c r="AQ1833" i="7"/>
  <c r="AQ1435" i="7"/>
  <c r="AQ1417" i="7"/>
  <c r="AQ1083" i="7"/>
  <c r="AQ627" i="7"/>
  <c r="AQ528" i="7"/>
  <c r="AQ1377" i="7"/>
  <c r="AQ1932" i="7"/>
  <c r="AQ2173" i="7"/>
  <c r="AQ1518" i="7"/>
  <c r="AQ1545" i="7"/>
  <c r="AQ1299" i="7"/>
  <c r="AQ1307" i="7"/>
  <c r="AQ1481" i="7"/>
  <c r="AQ752" i="7"/>
  <c r="AQ1755" i="7"/>
  <c r="AQ1498" i="7"/>
  <c r="AQ602" i="7"/>
  <c r="AQ1488" i="7"/>
  <c r="AQ779" i="7"/>
  <c r="AQ1589" i="7"/>
  <c r="AQ2250" i="7"/>
  <c r="AQ318" i="7"/>
  <c r="AQ775" i="7"/>
  <c r="AQ695" i="7"/>
  <c r="AQ502" i="7"/>
  <c r="AQ1966" i="7"/>
  <c r="AQ2119" i="7"/>
  <c r="AQ1761" i="7"/>
  <c r="AQ1998" i="7"/>
  <c r="AQ2171" i="7"/>
  <c r="AQ2006" i="7"/>
  <c r="AQ1793" i="7"/>
  <c r="AQ2" i="7"/>
  <c r="AQ2066" i="7"/>
  <c r="AQ2003" i="7"/>
  <c r="AQ2133" i="7"/>
  <c r="AQ1915" i="7"/>
  <c r="AQ1961" i="7"/>
  <c r="AQ1955" i="7"/>
  <c r="AQ1938" i="7"/>
  <c r="AQ1563" i="7"/>
  <c r="AQ925" i="7"/>
  <c r="AQ1420" i="7"/>
  <c r="AQ926" i="7"/>
  <c r="AQ719" i="7"/>
  <c r="AQ793" i="7"/>
  <c r="AQ859" i="7"/>
  <c r="AQ917" i="7"/>
  <c r="AQ1020" i="7"/>
  <c r="AQ798" i="7"/>
  <c r="AQ2223" i="7"/>
  <c r="AQ2186" i="7"/>
  <c r="AQ2000" i="7"/>
  <c r="AQ2161" i="7"/>
  <c r="AQ2199" i="7"/>
  <c r="AQ1157" i="7"/>
  <c r="AQ2150" i="7"/>
  <c r="AQ2169" i="7"/>
  <c r="AQ2128" i="7"/>
  <c r="AQ1694" i="7"/>
  <c r="AQ2082" i="7"/>
  <c r="AQ1933" i="7"/>
  <c r="AQ2146" i="7"/>
  <c r="AQ2104" i="7"/>
  <c r="AQ1539" i="7"/>
  <c r="AQ2065" i="7"/>
  <c r="AQ1881" i="7"/>
  <c r="AQ1437" i="7"/>
  <c r="AQ1444" i="7"/>
  <c r="AQ2246" i="7"/>
  <c r="AQ1698" i="7"/>
  <c r="AQ1873" i="7"/>
  <c r="AQ2033" i="7"/>
  <c r="AQ444" i="7"/>
  <c r="AQ1598" i="7"/>
  <c r="AQ1124" i="7"/>
  <c r="AQ2136" i="7"/>
  <c r="AQ954" i="7"/>
  <c r="AQ1970" i="7"/>
  <c r="AQ1264" i="7"/>
  <c r="AQ959" i="7"/>
  <c r="AQ2008" i="7"/>
  <c r="AQ1642" i="7"/>
  <c r="AQ1369" i="7"/>
  <c r="AQ1737" i="7"/>
  <c r="AQ1534" i="7"/>
  <c r="AQ713" i="7"/>
  <c r="AQ1221" i="7"/>
  <c r="AQ1507" i="7"/>
  <c r="AQ1227" i="7"/>
  <c r="AQ1841" i="7"/>
  <c r="AQ1632" i="7"/>
  <c r="AQ1477" i="7"/>
  <c r="AQ1318" i="7"/>
  <c r="AQ1049" i="7"/>
  <c r="AQ1170" i="7"/>
  <c r="AQ1653" i="7"/>
  <c r="AQ1958" i="7"/>
  <c r="AQ1704" i="7"/>
  <c r="AQ1691" i="7"/>
  <c r="AQ1744" i="7"/>
  <c r="AQ1992" i="7"/>
  <c r="AQ1951" i="7"/>
  <c r="AQ1626" i="7"/>
  <c r="AQ1885" i="7"/>
  <c r="AQ1773" i="7"/>
  <c r="AQ1567" i="7"/>
  <c r="AQ169" i="7"/>
  <c r="AQ1382" i="7"/>
  <c r="AQ1013" i="7"/>
  <c r="AQ1452" i="7"/>
  <c r="AQ1867" i="7"/>
  <c r="AQ1411" i="7"/>
  <c r="AQ1839" i="7"/>
  <c r="AQ1217" i="7"/>
  <c r="AQ327" i="7"/>
  <c r="AQ394" i="7"/>
  <c r="AQ62" i="7"/>
  <c r="AQ61" i="7"/>
  <c r="AQ2022" i="7"/>
  <c r="AQ1025" i="7"/>
  <c r="AQ317" i="7"/>
  <c r="AQ984" i="7"/>
  <c r="AQ771" i="7"/>
  <c r="AQ857" i="7"/>
  <c r="AQ2231" i="7"/>
  <c r="AQ2103" i="7"/>
  <c r="AQ1897" i="7"/>
  <c r="AQ2042" i="7"/>
  <c r="AQ1945" i="7"/>
  <c r="AQ1298" i="7"/>
  <c r="AQ1247" i="7"/>
  <c r="AQ1895" i="7"/>
  <c r="AQ1546" i="7"/>
  <c r="AQ1776" i="7"/>
  <c r="AQ1544" i="7"/>
  <c r="AQ1436" i="7"/>
  <c r="AQ1415" i="7"/>
  <c r="AQ1457" i="7"/>
  <c r="AQ1098" i="7"/>
  <c r="AQ1109" i="7"/>
  <c r="AQ525" i="7"/>
  <c r="AQ516" i="7"/>
  <c r="AQ1147" i="7"/>
  <c r="AQ894" i="7"/>
  <c r="AQ491" i="7"/>
  <c r="AQ524" i="7"/>
  <c r="AQ541" i="7"/>
  <c r="AQ437" i="7"/>
  <c r="AQ473" i="7"/>
  <c r="AQ513" i="7"/>
  <c r="AQ412" i="7"/>
  <c r="AQ1735" i="7"/>
  <c r="AQ645" i="7"/>
  <c r="AQ452" i="7"/>
  <c r="AQ669" i="7"/>
  <c r="AQ622" i="7"/>
  <c r="AQ522" i="7"/>
  <c r="AQ598" i="7"/>
  <c r="AQ336" i="7"/>
  <c r="AQ590" i="7"/>
  <c r="AQ638" i="7"/>
  <c r="AQ567" i="7"/>
  <c r="AQ1156" i="7"/>
  <c r="AQ865" i="7"/>
  <c r="AQ1882" i="7"/>
  <c r="AQ2151" i="7"/>
  <c r="AQ2019" i="7"/>
  <c r="AQ2002" i="7"/>
  <c r="AQ1034" i="7"/>
  <c r="AQ2190" i="7"/>
  <c r="AQ2014" i="7"/>
  <c r="AQ1102" i="7"/>
  <c r="AQ1349" i="7"/>
  <c r="AQ1171" i="7"/>
  <c r="AQ1716" i="7"/>
  <c r="AQ1433" i="7"/>
  <c r="AQ606" i="7"/>
  <c r="AQ1977" i="7"/>
  <c r="AQ2039" i="7"/>
  <c r="AQ1648" i="7"/>
  <c r="AQ1294" i="7"/>
  <c r="AQ1871" i="7"/>
  <c r="AQ1745" i="7"/>
  <c r="AQ247" i="7"/>
  <c r="AQ2076" i="7"/>
  <c r="AQ2115" i="7"/>
  <c r="AQ1920" i="7"/>
  <c r="AQ1424" i="7"/>
  <c r="AQ1824" i="7"/>
  <c r="AQ1922" i="7"/>
  <c r="AQ2063" i="7"/>
  <c r="AQ2012" i="7"/>
  <c r="AQ1909" i="7"/>
  <c r="AQ1912" i="7"/>
  <c r="AQ1988" i="7"/>
  <c r="AQ1398" i="7"/>
  <c r="AQ1479" i="7"/>
  <c r="AQ1558" i="7"/>
  <c r="AQ745" i="7"/>
  <c r="AQ1000" i="7"/>
  <c r="AQ533" i="7"/>
  <c r="AQ2023" i="7"/>
  <c r="AQ1728" i="7"/>
  <c r="AQ1266" i="7"/>
  <c r="AQ912" i="7"/>
  <c r="AQ483" i="7"/>
  <c r="AQ1065" i="7"/>
  <c r="AQ517" i="7"/>
  <c r="AQ998" i="7"/>
  <c r="AQ987" i="7"/>
  <c r="AQ621" i="7"/>
  <c r="AQ1285" i="7"/>
  <c r="AQ1857" i="7"/>
  <c r="AQ1647" i="7"/>
  <c r="AQ935" i="7"/>
  <c r="AQ738" i="7"/>
  <c r="AQ819" i="7"/>
  <c r="AQ854" i="7"/>
  <c r="AQ1736" i="7"/>
  <c r="AQ878" i="7"/>
  <c r="AQ1085" i="7"/>
  <c r="AQ898" i="7"/>
  <c r="AQ882" i="7"/>
  <c r="AQ770" i="7"/>
  <c r="AQ435" i="7"/>
  <c r="AQ433" i="7"/>
  <c r="AQ700" i="7"/>
  <c r="AQ534" i="7"/>
  <c r="AQ1682" i="7"/>
  <c r="AQ2011" i="7"/>
  <c r="AQ1619" i="7"/>
  <c r="AQ2205" i="7"/>
  <c r="AQ2046" i="7"/>
  <c r="AQ2140" i="7"/>
  <c r="AQ1779" i="7"/>
  <c r="AQ1827" i="7"/>
  <c r="AQ1822" i="7"/>
  <c r="AQ2097" i="7"/>
  <c r="AQ720" i="7"/>
  <c r="AQ702" i="7"/>
  <c r="AQ1669" i="7"/>
  <c r="AQ1008" i="7"/>
  <c r="AQ1275" i="7"/>
  <c r="AQ746" i="7"/>
  <c r="AQ1390" i="7"/>
  <c r="AQ1380" i="7"/>
  <c r="AQ1092" i="7"/>
  <c r="AQ1384" i="7"/>
  <c r="AQ1303" i="7"/>
  <c r="AQ1385" i="7"/>
  <c r="AQ581" i="7"/>
  <c r="AQ1304" i="7"/>
  <c r="AQ432" i="7"/>
  <c r="AQ1840" i="7"/>
  <c r="AQ117" i="7"/>
  <c r="AQ910" i="7"/>
  <c r="AQ1320" i="7"/>
  <c r="AQ1353" i="7"/>
  <c r="AQ1379" i="7"/>
  <c r="AQ1316" i="7"/>
  <c r="AQ1381" i="7"/>
  <c r="AQ1183" i="7"/>
  <c r="AQ1331" i="7"/>
  <c r="AQ1359" i="7"/>
  <c r="AQ1495" i="7"/>
  <c r="C11" i="8" l="1"/>
  <c r="BC2283" i="7"/>
  <c r="D10" i="9"/>
  <c r="F6" i="9"/>
  <c r="D1" i="9"/>
  <c r="F3" i="9"/>
  <c r="F10" i="9"/>
  <c r="D6" i="9"/>
  <c r="C82" i="8"/>
  <c r="C40" i="8"/>
  <c r="BD93" i="8"/>
  <c r="BD88" i="8"/>
  <c r="BD91" i="8"/>
  <c r="BD105" i="8"/>
  <c r="BD104" i="8"/>
  <c r="BD77" i="8"/>
  <c r="BD98" i="8"/>
  <c r="BD90" i="8"/>
  <c r="AR93" i="8"/>
  <c r="BD18" i="8"/>
  <c r="AU87" i="8"/>
  <c r="AR102" i="8"/>
  <c r="AU61" i="8"/>
  <c r="AR75" i="8"/>
  <c r="AU76" i="8"/>
  <c r="BC81" i="8"/>
  <c r="BC64" i="8"/>
  <c r="BC91" i="8"/>
  <c r="AU66" i="8"/>
  <c r="AU97" i="8"/>
  <c r="BD69" i="8"/>
  <c r="AR69" i="8"/>
  <c r="AR79" i="8"/>
  <c r="BC88" i="8"/>
  <c r="AU85" i="8"/>
  <c r="AR100" i="8"/>
  <c r="BD92" i="8"/>
  <c r="AU90" i="8"/>
  <c r="AR105" i="8"/>
  <c r="BC70" i="8"/>
  <c r="BC77" i="8"/>
  <c r="AU64" i="8"/>
  <c r="BD80" i="8"/>
  <c r="AU78" i="8"/>
  <c r="AR88" i="8"/>
  <c r="BD79" i="8"/>
  <c r="BD102" i="8"/>
  <c r="BD76" i="8"/>
  <c r="BD63" i="8"/>
  <c r="BD66" i="8"/>
  <c r="BD103" i="8"/>
  <c r="AU63" i="8"/>
  <c r="BC95" i="8"/>
  <c r="AR1975" i="7"/>
  <c r="BD87" i="8" s="1"/>
  <c r="AR74" i="8"/>
  <c r="AR1731" i="7"/>
  <c r="BD1731" i="7" s="1"/>
  <c r="AR94" i="8"/>
  <c r="AU2151" i="7"/>
  <c r="BC2151" i="7" s="1"/>
  <c r="AU62" i="8"/>
  <c r="AU1882" i="7"/>
  <c r="BC83" i="8" s="1"/>
  <c r="AU83" i="8"/>
  <c r="AU1975" i="7"/>
  <c r="BC1975" i="7" s="1"/>
  <c r="AU74" i="8"/>
  <c r="AU1789" i="7"/>
  <c r="BC1789" i="7" s="1"/>
  <c r="AU104" i="8"/>
  <c r="AU2231" i="7"/>
  <c r="BC2231" i="7" s="1"/>
  <c r="AU86" i="8"/>
  <c r="AR1101" i="7"/>
  <c r="BD89" i="8" s="1"/>
  <c r="AR89" i="8"/>
  <c r="AR1882" i="7"/>
  <c r="BD1882" i="7" s="1"/>
  <c r="AR83" i="8"/>
  <c r="AR1959" i="7"/>
  <c r="BD101" i="8" s="1"/>
  <c r="AR101" i="8"/>
  <c r="BD70" i="8"/>
  <c r="BD61" i="8"/>
  <c r="BD95" i="8"/>
  <c r="BC90" i="8"/>
  <c r="BC63" i="8"/>
  <c r="AR2033" i="7"/>
  <c r="BD2033" i="7" s="1"/>
  <c r="AR97" i="8"/>
  <c r="AU1132" i="7"/>
  <c r="BC1132" i="7" s="1"/>
  <c r="AU65" i="8"/>
  <c r="AU1486" i="7"/>
  <c r="BC82" i="8" s="1"/>
  <c r="AU69" i="8"/>
  <c r="BC87" i="8"/>
  <c r="BC75" i="8"/>
  <c r="BC66" i="8"/>
  <c r="BC89" i="8"/>
  <c r="BC65" i="8"/>
  <c r="AR91" i="8"/>
  <c r="BD67" i="8"/>
  <c r="AU88" i="8"/>
  <c r="AU96" i="8"/>
  <c r="AR1962" i="7"/>
  <c r="BD71" i="8" s="1"/>
  <c r="AR71" i="8"/>
  <c r="AU1064" i="7"/>
  <c r="BC79" i="8" s="1"/>
  <c r="AU79" i="8"/>
  <c r="BC98" i="8"/>
  <c r="AR67" i="8"/>
  <c r="AU75" i="8"/>
  <c r="AU84" i="8"/>
  <c r="AR99" i="8"/>
  <c r="AU1731" i="7"/>
  <c r="BC94" i="8" s="1"/>
  <c r="AU94" i="8"/>
  <c r="AR1811" i="7"/>
  <c r="BD1811" i="7" s="1"/>
  <c r="AR72" i="8"/>
  <c r="AU1103" i="7"/>
  <c r="BC1103" i="7" s="1"/>
  <c r="AU105" i="8"/>
  <c r="AR63" i="8"/>
  <c r="AR2151" i="7"/>
  <c r="BD75" i="8" s="1"/>
  <c r="AR62" i="8"/>
  <c r="AU2228" i="7"/>
  <c r="BC2228" i="7" s="1"/>
  <c r="AU68" i="8"/>
  <c r="BC102" i="8"/>
  <c r="BC74" i="8"/>
  <c r="AR76" i="8"/>
  <c r="AR78" i="8"/>
  <c r="BC100" i="8"/>
  <c r="AU102" i="8"/>
  <c r="AR1763" i="7"/>
  <c r="AR73" i="8"/>
  <c r="AU99" i="8"/>
  <c r="BC101" i="8"/>
  <c r="BD94" i="8"/>
  <c r="AR1132" i="7"/>
  <c r="BD65" i="8" s="1"/>
  <c r="AR65" i="8"/>
  <c r="BC78" i="8"/>
  <c r="AU72" i="8"/>
  <c r="AR103" i="8"/>
  <c r="AU1619" i="7"/>
  <c r="BC1619" i="7" s="1"/>
  <c r="AU67" i="8"/>
  <c r="AU1978" i="7"/>
  <c r="BC1978" i="7" s="1"/>
  <c r="AU95" i="8"/>
  <c r="AU1962" i="7"/>
  <c r="BC1962" i="7" s="1"/>
  <c r="AU71" i="8"/>
  <c r="BD74" i="8"/>
  <c r="AR2228" i="7"/>
  <c r="BD68" i="8" s="1"/>
  <c r="AR68" i="8"/>
  <c r="AU1999" i="7"/>
  <c r="BC103" i="8" s="1"/>
  <c r="AU103" i="8"/>
  <c r="BD100" i="8"/>
  <c r="AR2231" i="7"/>
  <c r="AR86" i="8"/>
  <c r="AR1478" i="7"/>
  <c r="BD1478" i="7" s="1"/>
  <c r="AR82" i="8"/>
  <c r="AU1675" i="7"/>
  <c r="BC93" i="8" s="1"/>
  <c r="AU93" i="8"/>
  <c r="BC84" i="8"/>
  <c r="BC73" i="8"/>
  <c r="BC61" i="8"/>
  <c r="AU73" i="8"/>
  <c r="AR81" i="8"/>
  <c r="AR87" i="8"/>
  <c r="AR90" i="8"/>
  <c r="BC85" i="8"/>
  <c r="AR2007" i="7"/>
  <c r="BD2007" i="7" s="1"/>
  <c r="AR96" i="8"/>
  <c r="BD29" i="8"/>
  <c r="BC105" i="8"/>
  <c r="BC97" i="8"/>
  <c r="BC72" i="8"/>
  <c r="AR64" i="8"/>
  <c r="BD64" i="8"/>
  <c r="AR66" i="8"/>
  <c r="AU100" i="8"/>
  <c r="BD26" i="8"/>
  <c r="AR77" i="8"/>
  <c r="AU98" i="8"/>
  <c r="AU77" i="8"/>
  <c r="AR80" i="8"/>
  <c r="AU89" i="8"/>
  <c r="AR92" i="8"/>
  <c r="AU101" i="8"/>
  <c r="AR104" i="8"/>
  <c r="AR70" i="8"/>
  <c r="BD82" i="8"/>
  <c r="AU91" i="8"/>
  <c r="AU80" i="8"/>
  <c r="AU92" i="8"/>
  <c r="AR95" i="8"/>
  <c r="AU81" i="8"/>
  <c r="AR84" i="8"/>
  <c r="BD84" i="8"/>
  <c r="AR61" i="8"/>
  <c r="AU70" i="8"/>
  <c r="AU82" i="8"/>
  <c r="AR85" i="8"/>
  <c r="BD85" i="8"/>
  <c r="AR98" i="8"/>
  <c r="BD30" i="8"/>
  <c r="BD40" i="8"/>
  <c r="BD31" i="8"/>
  <c r="BD54" i="8"/>
  <c r="BD42" i="8"/>
  <c r="BD19" i="8"/>
  <c r="BC31" i="8"/>
  <c r="BD4" i="8"/>
  <c r="BD50" i="8"/>
  <c r="BD1266" i="7"/>
  <c r="BD17" i="8"/>
  <c r="BD355" i="7"/>
  <c r="BD43" i="8"/>
  <c r="BC7" i="8"/>
  <c r="BD23" i="8"/>
  <c r="BD52" i="8"/>
  <c r="BD59" i="8"/>
  <c r="BD35" i="8"/>
  <c r="BD1121" i="7"/>
  <c r="BD15" i="8"/>
  <c r="BD57" i="8"/>
  <c r="BD1602" i="7"/>
  <c r="BC19" i="8"/>
  <c r="BC43" i="8"/>
  <c r="AR6" i="8"/>
  <c r="AR54" i="8"/>
  <c r="BD46" i="8"/>
  <c r="AU3" i="8"/>
  <c r="AR30" i="8"/>
  <c r="AU51" i="8"/>
  <c r="BD8" i="8"/>
  <c r="BD27" i="8"/>
  <c r="BD33" i="8"/>
  <c r="BD53" i="8"/>
  <c r="BD36" i="8"/>
  <c r="BD49" i="8"/>
  <c r="AU27" i="8"/>
  <c r="BD20" i="8"/>
  <c r="BD37" i="8"/>
  <c r="BD1454" i="7"/>
  <c r="BD1943" i="7"/>
  <c r="BD918" i="7"/>
  <c r="BD7" i="8"/>
  <c r="BD41" i="8"/>
  <c r="BD51" i="8"/>
  <c r="BD9" i="8"/>
  <c r="BD452" i="7"/>
  <c r="BC8" i="8"/>
  <c r="AR42" i="8"/>
  <c r="AU15" i="8"/>
  <c r="BD2" i="8"/>
  <c r="AR1937" i="7"/>
  <c r="BD10" i="8" s="1"/>
  <c r="AR34" i="8"/>
  <c r="BC15" i="8"/>
  <c r="AR18" i="8"/>
  <c r="BC28" i="8"/>
  <c r="BC20" i="8"/>
  <c r="AR1969" i="7"/>
  <c r="BD1969" i="7" s="1"/>
  <c r="AR45" i="8"/>
  <c r="AR580" i="7"/>
  <c r="BD580" i="7" s="1"/>
  <c r="AR21" i="8"/>
  <c r="AR2105" i="7"/>
  <c r="BD2105" i="7" s="1"/>
  <c r="AR39" i="8"/>
  <c r="AU744" i="7"/>
  <c r="BC40" i="8" s="1"/>
  <c r="AU40" i="8"/>
  <c r="BD48" i="8"/>
  <c r="AR1549" i="7"/>
  <c r="BD5" i="8" s="1"/>
  <c r="AR5" i="8"/>
  <c r="AR1845" i="7"/>
  <c r="BD3" i="8" s="1"/>
  <c r="AR3" i="8"/>
  <c r="BD34" i="8"/>
  <c r="BD45" i="8"/>
  <c r="BC44" i="8"/>
  <c r="AU1687" i="7"/>
  <c r="BC1687" i="7" s="1"/>
  <c r="AU46" i="8"/>
  <c r="BD16" i="8"/>
  <c r="BD24" i="8"/>
  <c r="BD32" i="8"/>
  <c r="AR465" i="7"/>
  <c r="BD60" i="8" s="1"/>
  <c r="AR60" i="8"/>
  <c r="BD22" i="8"/>
  <c r="BD13" i="8"/>
  <c r="BD12" i="8"/>
  <c r="BD44" i="8"/>
  <c r="AU820" i="7"/>
  <c r="AU35" i="8"/>
  <c r="AU562" i="7"/>
  <c r="BC29" i="8" s="1"/>
  <c r="AU29" i="8"/>
  <c r="AU1721" i="7"/>
  <c r="BC17" i="8" s="1"/>
  <c r="AU17" i="8"/>
  <c r="BC12" i="8"/>
  <c r="BD6" i="8"/>
  <c r="BD21" i="8"/>
  <c r="BD39" i="8"/>
  <c r="BC56" i="8"/>
  <c r="BC32" i="8"/>
  <c r="AU39" i="8"/>
  <c r="BD28" i="8"/>
  <c r="AR858" i="7"/>
  <c r="BD38" i="8" s="1"/>
  <c r="AR38" i="8"/>
  <c r="AU759" i="7"/>
  <c r="BC10" i="8" s="1"/>
  <c r="AU10" i="8"/>
  <c r="BD58" i="8"/>
  <c r="AU621" i="7"/>
  <c r="BC621" i="7" s="1"/>
  <c r="AU47" i="8"/>
  <c r="BC37" i="8"/>
  <c r="BD56" i="8"/>
  <c r="BD47" i="8"/>
  <c r="BC54" i="8"/>
  <c r="AR53" i="8"/>
  <c r="AU50" i="8"/>
  <c r="BC42" i="8"/>
  <c r="AR41" i="8"/>
  <c r="AU38" i="8"/>
  <c r="BC30" i="8"/>
  <c r="AR29" i="8"/>
  <c r="AU26" i="8"/>
  <c r="BC18" i="8"/>
  <c r="AR17" i="8"/>
  <c r="AU14" i="8"/>
  <c r="BC6" i="8"/>
  <c r="AU2" i="8"/>
  <c r="BD1743" i="7"/>
  <c r="AR52" i="8"/>
  <c r="AU49" i="8"/>
  <c r="BC41" i="8"/>
  <c r="AR40" i="8"/>
  <c r="AU37" i="8"/>
  <c r="AR28" i="8"/>
  <c r="AU25" i="8"/>
  <c r="AR16" i="8"/>
  <c r="AU13" i="8"/>
  <c r="BC5" i="8"/>
  <c r="AR4" i="8"/>
  <c r="AU60" i="8"/>
  <c r="BC52" i="8"/>
  <c r="AR51" i="8"/>
  <c r="AU48" i="8"/>
  <c r="AU36" i="8"/>
  <c r="AR27" i="8"/>
  <c r="AU24" i="8"/>
  <c r="BC16" i="8"/>
  <c r="AR15" i="8"/>
  <c r="AU12" i="8"/>
  <c r="BC4" i="8"/>
  <c r="AU59" i="8"/>
  <c r="BC51" i="8"/>
  <c r="AR50" i="8"/>
  <c r="BC39" i="8"/>
  <c r="BC27" i="8"/>
  <c r="AR26" i="8"/>
  <c r="AU23" i="8"/>
  <c r="AR14" i="8"/>
  <c r="AU11" i="8"/>
  <c r="BC3" i="8"/>
  <c r="AR2" i="8"/>
  <c r="AU58" i="8"/>
  <c r="BC50" i="8"/>
  <c r="AR49" i="8"/>
  <c r="BC38" i="8"/>
  <c r="AR37" i="8"/>
  <c r="AU34" i="8"/>
  <c r="BC26" i="8"/>
  <c r="AR25" i="8"/>
  <c r="AU22" i="8"/>
  <c r="BC14" i="8"/>
  <c r="AR13" i="8"/>
  <c r="BC2" i="8"/>
  <c r="AU57" i="8"/>
  <c r="BC49" i="8"/>
  <c r="AR48" i="8"/>
  <c r="AU45" i="8"/>
  <c r="AR36" i="8"/>
  <c r="AU33" i="8"/>
  <c r="BC25" i="8"/>
  <c r="AR24" i="8"/>
  <c r="AU21" i="8"/>
  <c r="BC13" i="8"/>
  <c r="AR12" i="8"/>
  <c r="AU9" i="8"/>
  <c r="BC60" i="8"/>
  <c r="AR59" i="8"/>
  <c r="AU56" i="8"/>
  <c r="BC48" i="8"/>
  <c r="AR47" i="8"/>
  <c r="AU44" i="8"/>
  <c r="BC36" i="8"/>
  <c r="AR35" i="8"/>
  <c r="AU32" i="8"/>
  <c r="BC24" i="8"/>
  <c r="AR23" i="8"/>
  <c r="AU20" i="8"/>
  <c r="AR11" i="8"/>
  <c r="AU8" i="8"/>
  <c r="BC59" i="8"/>
  <c r="AR58" i="8"/>
  <c r="AU55" i="8"/>
  <c r="BC47" i="8"/>
  <c r="AR46" i="8"/>
  <c r="AU43" i="8"/>
  <c r="AU31" i="8"/>
  <c r="BC23" i="8"/>
  <c r="AR22" i="8"/>
  <c r="AU19" i="8"/>
  <c r="BC11" i="8"/>
  <c r="AR10" i="8"/>
  <c r="AU7" i="8"/>
  <c r="BC58" i="8"/>
  <c r="AR57" i="8"/>
  <c r="AU54" i="8"/>
  <c r="AU42" i="8"/>
  <c r="BC34" i="8"/>
  <c r="AR33" i="8"/>
  <c r="AU30" i="8"/>
  <c r="BC22" i="8"/>
  <c r="AU18" i="8"/>
  <c r="AR9" i="8"/>
  <c r="AU6" i="8"/>
  <c r="BC57" i="8"/>
  <c r="AR56" i="8"/>
  <c r="AU53" i="8"/>
  <c r="BC45" i="8"/>
  <c r="AR44" i="8"/>
  <c r="AU41" i="8"/>
  <c r="BC33" i="8"/>
  <c r="AR32" i="8"/>
  <c r="BC21" i="8"/>
  <c r="AR20" i="8"/>
  <c r="BC9" i="8"/>
  <c r="AR8" i="8"/>
  <c r="AU5" i="8"/>
  <c r="AR55" i="8"/>
  <c r="AU52" i="8"/>
  <c r="AR43" i="8"/>
  <c r="AR31" i="8"/>
  <c r="AU28" i="8"/>
  <c r="AR19" i="8"/>
  <c r="AU16" i="8"/>
  <c r="AR7" i="8"/>
  <c r="AU4" i="8"/>
  <c r="BD1326" i="7"/>
  <c r="BD1135" i="7"/>
  <c r="BD1727" i="7"/>
  <c r="BD1384" i="7"/>
  <c r="BD1451" i="7"/>
  <c r="BD1561" i="7"/>
  <c r="BD357" i="7"/>
  <c r="BD1995" i="7"/>
  <c r="BD1433" i="7"/>
  <c r="BD1789" i="7"/>
  <c r="BD263" i="7"/>
  <c r="BD746" i="7"/>
  <c r="BD955" i="7"/>
  <c r="BD2141" i="7"/>
  <c r="BD330" i="7"/>
  <c r="BD686" i="7"/>
  <c r="BC450" i="7"/>
  <c r="BC2110" i="7"/>
  <c r="BC1086" i="7"/>
  <c r="BC97" i="7"/>
  <c r="BC1752" i="7"/>
  <c r="BC56" i="7"/>
  <c r="BC553" i="7"/>
  <c r="BD1874" i="7"/>
  <c r="BD490" i="7"/>
  <c r="BD964" i="7"/>
  <c r="BC802" i="7"/>
  <c r="BC1383" i="7"/>
  <c r="BC1259" i="7"/>
  <c r="BC53" i="7"/>
  <c r="BC1920" i="7"/>
  <c r="BC1622" i="7"/>
  <c r="BC2072" i="7"/>
  <c r="BC547" i="7"/>
  <c r="BC49" i="7"/>
  <c r="BC1313" i="7"/>
  <c r="BC601" i="7"/>
  <c r="BC1021" i="7"/>
  <c r="BD1495" i="7"/>
  <c r="BD1912" i="7"/>
  <c r="BD1028" i="7"/>
  <c r="BC852" i="7"/>
  <c r="BC1443" i="7"/>
  <c r="BC309" i="7"/>
  <c r="BC211" i="7"/>
  <c r="BD1898" i="7"/>
  <c r="BD123" i="7"/>
  <c r="BC1010" i="7"/>
  <c r="BD1715" i="7"/>
  <c r="BC2261" i="7"/>
  <c r="BC396" i="7"/>
  <c r="BC66" i="7"/>
  <c r="BC1993" i="7"/>
  <c r="BC602" i="7"/>
  <c r="BC1324" i="7"/>
  <c r="BC237" i="7"/>
  <c r="BC2002" i="7"/>
  <c r="BC968" i="7"/>
  <c r="BC1396" i="7"/>
  <c r="BC1623" i="7"/>
  <c r="BC1764" i="7"/>
  <c r="BC6" i="7"/>
  <c r="BC2090" i="7"/>
  <c r="BC1480" i="7"/>
  <c r="BC1584" i="7"/>
  <c r="BC575" i="7"/>
  <c r="BC1124" i="7"/>
  <c r="BC138" i="7"/>
  <c r="BC2206" i="7"/>
  <c r="BC1562" i="7"/>
  <c r="BC1613" i="7"/>
  <c r="BC378" i="7"/>
  <c r="BC2026" i="7"/>
  <c r="BC633" i="7"/>
  <c r="BC2083" i="7"/>
  <c r="BC682" i="7"/>
  <c r="BC1614" i="7"/>
  <c r="BC1880" i="7"/>
  <c r="BC975" i="7"/>
  <c r="BC2224" i="7"/>
  <c r="BC1979" i="7"/>
  <c r="BC1645" i="7"/>
  <c r="BC706" i="7"/>
  <c r="BC1634" i="7"/>
  <c r="BC1974" i="7"/>
  <c r="BC1628" i="7"/>
  <c r="BC1330" i="7"/>
  <c r="BC267" i="7"/>
  <c r="BC1928" i="7"/>
  <c r="BC1088" i="7"/>
  <c r="BC1282" i="7"/>
  <c r="BC1167" i="7"/>
  <c r="BC2181" i="7"/>
  <c r="BC1038" i="7"/>
  <c r="BC1190" i="7"/>
  <c r="BC1665" i="7"/>
  <c r="BC233" i="7"/>
  <c r="BC1050" i="7"/>
  <c r="BC2166" i="7"/>
  <c r="BC1960" i="7"/>
  <c r="BC822" i="7"/>
  <c r="BC577" i="7"/>
  <c r="BC1571" i="7"/>
  <c r="BC1227" i="7"/>
  <c r="BC1092" i="7"/>
  <c r="BC754" i="7"/>
  <c r="BC1530" i="7"/>
  <c r="BC1133" i="7"/>
  <c r="BC1483" i="7"/>
  <c r="BC152" i="7"/>
  <c r="BC51" i="7"/>
  <c r="BC1320" i="7"/>
  <c r="BC2149" i="7"/>
  <c r="BD2188" i="7"/>
  <c r="BC1312" i="7"/>
  <c r="BC1009" i="7"/>
  <c r="BC492" i="7"/>
  <c r="BC1218" i="7"/>
  <c r="BC989" i="7"/>
  <c r="BC606" i="7"/>
  <c r="BC261" i="7"/>
  <c r="BC220" i="7"/>
  <c r="BC176" i="7"/>
  <c r="BC622" i="7"/>
  <c r="BC948" i="7"/>
  <c r="BC465" i="7"/>
  <c r="BC2035" i="7"/>
  <c r="BC2058" i="7"/>
  <c r="BC608" i="7"/>
  <c r="BC175" i="7"/>
  <c r="BC50" i="7"/>
  <c r="BC1400" i="7"/>
  <c r="BC266" i="7"/>
  <c r="BC585" i="7"/>
  <c r="BC1890" i="7"/>
  <c r="BC1865" i="7"/>
  <c r="BC2175" i="7"/>
  <c r="BC363" i="7"/>
  <c r="BC729" i="7"/>
  <c r="BC1781" i="7"/>
  <c r="BC1558" i="7"/>
  <c r="BC634" i="7"/>
  <c r="BC302" i="7"/>
  <c r="BC579" i="7"/>
  <c r="BC1228" i="7"/>
  <c r="BC493" i="7"/>
  <c r="BC1899" i="7"/>
  <c r="BC1437" i="7"/>
  <c r="BC926" i="7"/>
  <c r="BC642" i="7"/>
  <c r="BC1600" i="7"/>
  <c r="BC95" i="7"/>
  <c r="BC436" i="7"/>
  <c r="BC872" i="7"/>
  <c r="BC1089" i="7"/>
  <c r="BC914" i="7"/>
  <c r="BC494" i="7"/>
  <c r="BC966" i="7"/>
  <c r="BC1837" i="7"/>
  <c r="BC1636" i="7"/>
  <c r="BC440" i="7"/>
  <c r="BC125" i="7"/>
  <c r="BC1570" i="7"/>
  <c r="BC2239" i="7"/>
  <c r="BC1843" i="7"/>
  <c r="BC1022" i="7"/>
  <c r="BC1553" i="7"/>
  <c r="BC2034" i="7"/>
  <c r="BC949" i="7"/>
  <c r="BC326" i="7"/>
  <c r="BC1981" i="7"/>
  <c r="BC1996" i="7"/>
  <c r="BC866" i="7"/>
  <c r="BC210" i="7"/>
  <c r="BC1780" i="7"/>
  <c r="BC1191" i="7"/>
  <c r="BC1746" i="7"/>
  <c r="BC1365" i="7"/>
  <c r="BC124" i="7"/>
  <c r="BC154" i="7"/>
  <c r="BC991" i="7"/>
  <c r="BC507" i="7"/>
  <c r="BC2009" i="7"/>
  <c r="BC284" i="7"/>
  <c r="BC1884" i="7"/>
  <c r="BC469" i="7"/>
  <c r="BC441" i="7"/>
  <c r="BC2027" i="7"/>
  <c r="BC404" i="7"/>
  <c r="BC857" i="7"/>
  <c r="BC1915" i="7"/>
  <c r="BC315" i="7"/>
  <c r="BC532" i="7"/>
  <c r="BC31" i="7"/>
  <c r="BC393" i="7"/>
  <c r="BC318" i="7"/>
  <c r="BC961" i="7"/>
  <c r="BC1194" i="7"/>
  <c r="BC1458" i="7"/>
  <c r="BC886" i="7"/>
  <c r="BC1598" i="7"/>
  <c r="BC1170" i="7"/>
  <c r="BC1533" i="7"/>
  <c r="BC1608" i="7"/>
  <c r="BC245" i="7"/>
  <c r="BC1590" i="7"/>
  <c r="BC110" i="7"/>
  <c r="BC986" i="7"/>
  <c r="BC595" i="7"/>
  <c r="BC1256" i="7"/>
  <c r="BC2116" i="7"/>
  <c r="BC2018" i="7"/>
  <c r="BC2281" i="7"/>
  <c r="BC566" i="7"/>
  <c r="BC287" i="7"/>
  <c r="BD745" i="7"/>
  <c r="BD1694" i="7"/>
  <c r="BD2183" i="7"/>
  <c r="BD1809" i="7"/>
  <c r="BD642" i="7"/>
  <c r="BD438" i="7"/>
  <c r="BD2256" i="7"/>
  <c r="BD656" i="7"/>
  <c r="BD1086" i="7"/>
  <c r="BD895" i="7"/>
  <c r="BD128" i="7"/>
  <c r="BD820" i="7"/>
  <c r="BD1385" i="7"/>
  <c r="BD935" i="7"/>
  <c r="BD2039" i="7"/>
  <c r="BD541" i="7"/>
  <c r="BD771" i="7"/>
  <c r="BD1221" i="7"/>
  <c r="BD2186" i="7"/>
  <c r="BD1761" i="7"/>
  <c r="BD1284" i="7"/>
  <c r="BD945" i="7"/>
  <c r="BD1706" i="7"/>
  <c r="BD767" i="7"/>
  <c r="BD1790" i="7"/>
  <c r="BD1140" i="7"/>
  <c r="BD445" i="7"/>
  <c r="BD618" i="7"/>
  <c r="BD142" i="7"/>
  <c r="BD1819" i="7"/>
  <c r="BD1936" i="7"/>
  <c r="BD1080" i="7"/>
  <c r="BD1484" i="7"/>
  <c r="BD2157" i="7"/>
  <c r="BD1515" i="7"/>
  <c r="BD1941" i="7"/>
  <c r="BD970" i="7"/>
  <c r="BD1627" i="7"/>
  <c r="BD1358" i="7"/>
  <c r="BD941" i="7"/>
  <c r="BD1826" i="7"/>
  <c r="BD968" i="7"/>
  <c r="BD300" i="7"/>
  <c r="BD755" i="7"/>
  <c r="BD165" i="7"/>
  <c r="BD825" i="7"/>
  <c r="BD1281" i="7"/>
  <c r="BD577" i="7"/>
  <c r="BD1741" i="7"/>
  <c r="BD1105" i="7"/>
  <c r="BD908" i="7"/>
  <c r="BD17" i="7"/>
  <c r="BD1289" i="7"/>
  <c r="BD1143" i="7"/>
  <c r="BD1463" i="7"/>
  <c r="BD1649" i="7"/>
  <c r="BD1155" i="7"/>
  <c r="BD923" i="7"/>
  <c r="BD985" i="7"/>
  <c r="BD860" i="7"/>
  <c r="BD1315" i="7"/>
  <c r="BD683" i="7"/>
  <c r="BD1553" i="7"/>
  <c r="BD2058" i="7"/>
  <c r="BD791" i="7"/>
  <c r="BD1419" i="7"/>
  <c r="BD518" i="7"/>
  <c r="BD1733" i="7"/>
  <c r="BD597" i="7"/>
  <c r="BD1662" i="7"/>
  <c r="BD591" i="7"/>
  <c r="BD1265" i="7"/>
  <c r="BD397" i="7"/>
  <c r="BD66" i="7"/>
  <c r="BD291" i="7"/>
  <c r="BD187" i="7"/>
  <c r="BD384" i="7"/>
  <c r="BD2123" i="7"/>
  <c r="BD101" i="7"/>
  <c r="BC1714" i="7"/>
  <c r="BC2195" i="7"/>
  <c r="BC860" i="7"/>
  <c r="BC1462" i="7"/>
  <c r="BC897" i="7"/>
  <c r="BC1467" i="7"/>
  <c r="BC277" i="7"/>
  <c r="BC2127" i="7"/>
  <c r="BC1379" i="7"/>
  <c r="BC2253" i="7"/>
  <c r="BC1601" i="7"/>
  <c r="BC1255" i="7"/>
  <c r="BC2021" i="7"/>
  <c r="BC137" i="7"/>
  <c r="BC676" i="7"/>
  <c r="BC1926" i="7"/>
  <c r="BC918" i="7"/>
  <c r="BC301" i="7"/>
  <c r="BC3" i="7"/>
  <c r="BC1586" i="7"/>
  <c r="BC2029" i="7"/>
  <c r="BC526" i="7"/>
  <c r="BC1386" i="7"/>
  <c r="BC2103" i="7"/>
  <c r="BC1579" i="7"/>
  <c r="BC1144" i="7"/>
  <c r="BC2" i="7"/>
  <c r="BC1302" i="7"/>
  <c r="BC2143" i="7"/>
  <c r="BC690" i="7"/>
  <c r="BC1742" i="7"/>
  <c r="BC2031" i="7"/>
  <c r="BC1153" i="7"/>
  <c r="BC670" i="7"/>
  <c r="BC1065" i="7"/>
  <c r="BC149" i="7"/>
  <c r="BC394" i="7"/>
  <c r="BC146" i="7"/>
  <c r="BC23" i="7"/>
  <c r="BC599" i="7"/>
  <c r="BC583" i="7"/>
  <c r="BC181" i="7"/>
  <c r="BC1894" i="7"/>
  <c r="BC1759" i="7"/>
  <c r="BC1037" i="7"/>
  <c r="BC1724" i="7"/>
  <c r="BC1560" i="7"/>
  <c r="BC355" i="7"/>
  <c r="BC88" i="7"/>
  <c r="BC236" i="7"/>
  <c r="BC1112" i="7"/>
  <c r="BC582" i="7"/>
  <c r="BC1402" i="7"/>
  <c r="BC1942" i="7"/>
  <c r="BC1269" i="7"/>
  <c r="BC1496" i="7"/>
  <c r="BC1421" i="7"/>
  <c r="BC1214" i="7"/>
  <c r="BC2094" i="7"/>
  <c r="BC1209" i="7"/>
  <c r="BD1381" i="7"/>
  <c r="BD1303" i="7"/>
  <c r="BD1822" i="7"/>
  <c r="BD433" i="7"/>
  <c r="BD1647" i="7"/>
  <c r="BD2023" i="7"/>
  <c r="BD1922" i="7"/>
  <c r="BD2190" i="7"/>
  <c r="BD598" i="7"/>
  <c r="BD524" i="7"/>
  <c r="BD1776" i="7"/>
  <c r="BD984" i="7"/>
  <c r="BD1452" i="7"/>
  <c r="BD1704" i="7"/>
  <c r="BD713" i="7"/>
  <c r="BD1598" i="7"/>
  <c r="BD2146" i="7"/>
  <c r="BD2223" i="7"/>
  <c r="BD1955" i="7"/>
  <c r="BD2119" i="7"/>
  <c r="BD1755" i="7"/>
  <c r="BD1083" i="7"/>
  <c r="BD454" i="7"/>
  <c r="BD1179" i="7"/>
  <c r="BD1976" i="7"/>
  <c r="BD1675" i="7"/>
  <c r="BD2060" i="7"/>
  <c r="BD658" i="7"/>
  <c r="BD1434" i="7"/>
  <c r="BD2243" i="7"/>
  <c r="BD599" i="7"/>
  <c r="BD565" i="7"/>
  <c r="BD376" i="7"/>
  <c r="BD1018" i="7"/>
  <c r="BD1816" i="7"/>
  <c r="BD1528" i="7"/>
  <c r="BD121" i="7"/>
  <c r="BD1655" i="7"/>
  <c r="BD1720" i="7"/>
  <c r="BD2196" i="7"/>
  <c r="BD1990" i="7"/>
  <c r="BD1674" i="7"/>
  <c r="BD1678" i="7"/>
  <c r="BD434" i="7"/>
  <c r="BD1194" i="7"/>
  <c r="BD1886" i="7"/>
  <c r="BD2252" i="7"/>
  <c r="BD297" i="7"/>
  <c r="BD478" i="7"/>
  <c r="BD666" i="7"/>
  <c r="BD1429" i="7"/>
  <c r="BD1274" i="7"/>
  <c r="BD1972" i="7"/>
  <c r="BD1905" i="7"/>
  <c r="BD2075" i="7"/>
  <c r="BD1301" i="7"/>
  <c r="BD2099" i="7"/>
  <c r="BD1568" i="7"/>
  <c r="BD2125" i="7"/>
  <c r="BD1734" i="7"/>
  <c r="BD1893" i="7"/>
  <c r="BD1940" i="7"/>
  <c r="BD1386" i="7"/>
  <c r="BD1748" i="7"/>
  <c r="BD506" i="7"/>
  <c r="BD373" i="7"/>
  <c r="BD1903" i="7"/>
  <c r="BD1798" i="7"/>
  <c r="BD1919" i="7"/>
  <c r="BD592" i="7"/>
  <c r="BD1851" i="7"/>
  <c r="BD1900" i="7"/>
  <c r="BD60" i="7"/>
  <c r="BD1631" i="7"/>
  <c r="BD1585" i="7"/>
  <c r="BD1213" i="7"/>
  <c r="BD2265" i="7"/>
  <c r="BD511" i="7"/>
  <c r="BD1693" i="7"/>
  <c r="BD155" i="7"/>
  <c r="BD1272" i="7"/>
  <c r="BD873" i="7"/>
  <c r="BD1521" i="7"/>
  <c r="BD2144" i="7"/>
  <c r="BD1236" i="7"/>
  <c r="BD759" i="7"/>
  <c r="BD751" i="7"/>
  <c r="BD1212" i="7"/>
  <c r="BD1322" i="7"/>
  <c r="BD474" i="7"/>
  <c r="BD837" i="7"/>
  <c r="BD640" i="7"/>
  <c r="BD680" i="7"/>
  <c r="BD1651" i="7"/>
  <c r="BD166" i="7"/>
  <c r="BD1339" i="7"/>
  <c r="BD946" i="7"/>
  <c r="BD2132" i="7"/>
  <c r="BD152" i="7"/>
  <c r="BD1244" i="7"/>
  <c r="BD561" i="7"/>
  <c r="BD440" i="7"/>
  <c r="BD982" i="7"/>
  <c r="BD1985" i="7"/>
  <c r="BD2110" i="7"/>
  <c r="BD1310" i="7"/>
  <c r="BD1219" i="7"/>
  <c r="BD418" i="7"/>
  <c r="BD956" i="7"/>
  <c r="BD609" i="7"/>
  <c r="BD619" i="7"/>
  <c r="BD786" i="7"/>
  <c r="BD1263" i="7"/>
  <c r="BD1069" i="7"/>
  <c r="BD1129" i="7"/>
  <c r="BD1313" i="7"/>
  <c r="BD1206" i="7"/>
  <c r="BD804" i="7"/>
  <c r="BD729" i="7"/>
  <c r="BD566" i="7"/>
  <c r="BD334" i="7"/>
  <c r="BD1254" i="7"/>
  <c r="BD1667" i="7"/>
  <c r="BD1540" i="7"/>
  <c r="BD1295" i="7"/>
  <c r="BD510" i="7"/>
  <c r="BD493" i="7"/>
  <c r="BD1753" i="7"/>
  <c r="BD927" i="7"/>
  <c r="BD2100" i="7"/>
  <c r="BD1476" i="7"/>
  <c r="BD2106" i="7"/>
  <c r="BD1921" i="7"/>
  <c r="BD1047" i="7"/>
  <c r="BD835" i="7"/>
  <c r="BD316" i="7"/>
  <c r="BD862" i="7"/>
  <c r="BD1947" i="7"/>
  <c r="BD1697" i="7"/>
  <c r="BD222" i="7"/>
  <c r="BD2131" i="7"/>
  <c r="BD236" i="7"/>
  <c r="BD1917" i="7"/>
  <c r="BD1302" i="7"/>
  <c r="BD1410" i="7"/>
  <c r="BD2192" i="7"/>
  <c r="BD2159" i="7"/>
  <c r="BD1924" i="7"/>
  <c r="BD676" i="7"/>
  <c r="BD248" i="7"/>
  <c r="BD1856" i="7"/>
  <c r="BD329" i="7"/>
  <c r="BD543" i="7"/>
  <c r="BD747" i="7"/>
  <c r="BD744" i="7"/>
  <c r="BD1342" i="7"/>
  <c r="BD2073" i="7"/>
  <c r="BD754" i="7"/>
  <c r="BD1232" i="7"/>
  <c r="BD1054" i="7"/>
  <c r="BD127" i="7"/>
  <c r="BD529" i="7"/>
  <c r="BD1504" i="7"/>
  <c r="BD2281" i="7"/>
  <c r="BD1794" i="7"/>
  <c r="BD1230" i="7"/>
  <c r="BD1333" i="7"/>
  <c r="BD1059" i="7"/>
  <c r="BD721" i="7"/>
  <c r="BD1376" i="7"/>
  <c r="BD309" i="7"/>
  <c r="BD1565" i="7"/>
  <c r="BD6" i="7"/>
  <c r="BD292" i="7"/>
  <c r="BD279" i="7"/>
  <c r="BD30" i="7"/>
  <c r="BD1526" i="7"/>
  <c r="BD189" i="7"/>
  <c r="BD405" i="7"/>
  <c r="BD1628" i="7"/>
  <c r="BD313" i="7"/>
  <c r="BD56" i="7"/>
  <c r="BD53" i="7"/>
  <c r="BD94" i="7"/>
  <c r="BD103" i="7"/>
  <c r="BC310" i="7"/>
  <c r="BC279" i="7"/>
  <c r="BC909" i="7"/>
  <c r="BC2162" i="7"/>
  <c r="BC896" i="7"/>
  <c r="BC99" i="7"/>
  <c r="BC2122" i="7"/>
  <c r="BC214" i="7"/>
  <c r="BC2093" i="7"/>
  <c r="BC68" i="7"/>
  <c r="BC2252" i="7"/>
  <c r="BC291" i="7"/>
  <c r="BC778" i="7"/>
  <c r="BC1848" i="7"/>
  <c r="BC2088" i="7"/>
  <c r="BC1527" i="7"/>
  <c r="BC305" i="7"/>
  <c r="BC555" i="7"/>
  <c r="BC934" i="7"/>
  <c r="BC1196" i="7"/>
  <c r="BC1328" i="7"/>
  <c r="BC1817" i="7"/>
  <c r="BC1053" i="7"/>
  <c r="BC829" i="7"/>
  <c r="BC2080" i="7"/>
  <c r="BC1449" i="7"/>
  <c r="BC1340" i="7"/>
  <c r="BC1903" i="7"/>
  <c r="BC732" i="7"/>
  <c r="BC720" i="7"/>
  <c r="BC641" i="7"/>
  <c r="BC1997" i="7"/>
  <c r="BC1031" i="7"/>
  <c r="BC1782" i="7"/>
  <c r="BC1930" i="7"/>
  <c r="BC652" i="7"/>
  <c r="BC2118" i="7"/>
  <c r="BC1606" i="7"/>
  <c r="BC1747" i="7"/>
  <c r="BC286" i="7"/>
  <c r="BC2068" i="7"/>
  <c r="BC992" i="7"/>
  <c r="BC2192" i="7"/>
  <c r="BC530" i="7"/>
  <c r="BC1185" i="7"/>
  <c r="BC1211" i="7"/>
  <c r="BC605" i="7"/>
  <c r="BC2235" i="7"/>
  <c r="BC1317" i="7"/>
  <c r="BC288" i="7"/>
  <c r="BC1964" i="7"/>
  <c r="BC193" i="7"/>
  <c r="BC1117" i="7"/>
  <c r="BC2059" i="7"/>
  <c r="BC813" i="7"/>
  <c r="BC1139" i="7"/>
  <c r="BC2025" i="7"/>
  <c r="BC1891" i="7"/>
  <c r="BC635" i="7"/>
  <c r="BC1896" i="7"/>
  <c r="BC2078" i="7"/>
  <c r="BC1753" i="7"/>
  <c r="BC1375" i="7"/>
  <c r="BC2174" i="7"/>
  <c r="BC703" i="7"/>
  <c r="BC610" i="7"/>
  <c r="BC2042" i="7"/>
  <c r="BC2250" i="7"/>
  <c r="BC998" i="7"/>
  <c r="BC877" i="7"/>
  <c r="BC845" i="7"/>
  <c r="BC683" i="7"/>
  <c r="BC1066" i="7"/>
  <c r="BC2190" i="7"/>
  <c r="BC2046" i="7"/>
  <c r="BC1923" i="7"/>
  <c r="BC1901" i="7"/>
  <c r="BC2183" i="7"/>
  <c r="BC373" i="7"/>
  <c r="BC1310" i="7"/>
  <c r="BC2212" i="7"/>
  <c r="BC1005" i="7"/>
  <c r="BC488" i="7"/>
  <c r="BC791" i="7"/>
  <c r="BC43" i="7"/>
  <c r="BC819" i="7"/>
  <c r="BC2003" i="7"/>
  <c r="BC1824" i="7"/>
  <c r="BC1509" i="7"/>
  <c r="BC1272" i="7"/>
  <c r="BC1417" i="7"/>
  <c r="BC200" i="7"/>
  <c r="BC59" i="7"/>
  <c r="BC1249" i="7"/>
  <c r="BC1315" i="7"/>
  <c r="BC2213" i="7"/>
  <c r="BC657" i="7"/>
  <c r="BC1431" i="7"/>
  <c r="BC145" i="7"/>
  <c r="BC1520" i="7"/>
  <c r="BC199" i="7"/>
  <c r="BC232" i="7"/>
  <c r="BC1390" i="7"/>
  <c r="BC1309" i="7"/>
  <c r="BC151" i="7"/>
  <c r="BC1265" i="7"/>
  <c r="BC439" i="7"/>
  <c r="BC1959" i="7"/>
  <c r="BC570" i="7"/>
  <c r="BC1664" i="7"/>
  <c r="BC2033" i="7"/>
  <c r="BC774" i="7"/>
  <c r="BC1205" i="7"/>
  <c r="BC2050" i="7"/>
  <c r="BC777" i="7"/>
  <c r="BC2197" i="7"/>
  <c r="BC776" i="7"/>
  <c r="BC768" i="7"/>
  <c r="BC44" i="7"/>
  <c r="BC1115" i="7"/>
  <c r="BD606" i="7"/>
  <c r="BD917" i="7"/>
  <c r="BD1252" i="7"/>
  <c r="BD118" i="7"/>
  <c r="BD967" i="7"/>
  <c r="BD1439" i="7"/>
  <c r="BD206" i="7"/>
  <c r="BD843" i="7"/>
  <c r="BD1491" i="7"/>
  <c r="BD1374" i="7"/>
  <c r="BD653" i="7"/>
  <c r="BD375" i="7"/>
  <c r="BD2074" i="7"/>
  <c r="BD1617" i="7"/>
  <c r="BD305" i="7"/>
  <c r="BD1505" i="7"/>
  <c r="BD1928" i="7"/>
  <c r="BD1144" i="7"/>
  <c r="BD1183" i="7"/>
  <c r="BD700" i="7"/>
  <c r="BD2063" i="7"/>
  <c r="BD336" i="7"/>
  <c r="BD1544" i="7"/>
  <c r="BD1867" i="7"/>
  <c r="BD1124" i="7"/>
  <c r="BD1938" i="7"/>
  <c r="BD627" i="7"/>
  <c r="BD1192" i="7"/>
  <c r="BD550" i="7"/>
  <c r="BD2013" i="7"/>
  <c r="BD389" i="7"/>
  <c r="BD371" i="7"/>
  <c r="BD1692" i="7"/>
  <c r="BD2135" i="7"/>
  <c r="BD1709" i="7"/>
  <c r="BD2027" i="7"/>
  <c r="BD322" i="7"/>
  <c r="BD2025" i="7"/>
  <c r="BD1875" i="7"/>
  <c r="BD2269" i="7"/>
  <c r="BD115" i="7"/>
  <c r="BD635" i="7"/>
  <c r="BD1195" i="7"/>
  <c r="BD237" i="7"/>
  <c r="BD1010" i="7"/>
  <c r="BD430" i="7"/>
  <c r="BD1695" i="7"/>
  <c r="BD1073" i="7"/>
  <c r="BD1742" i="7"/>
  <c r="BD1336" i="7"/>
  <c r="BD900" i="7"/>
  <c r="BD1389" i="7"/>
  <c r="BD1399" i="7"/>
  <c r="BD168" i="7"/>
  <c r="BD993" i="7"/>
  <c r="BD1601" i="7"/>
  <c r="BD731" i="7"/>
  <c r="BD1770" i="7"/>
  <c r="BD1243" i="7"/>
  <c r="BD372" i="7"/>
  <c r="BD1679" i="7"/>
  <c r="BD1994" i="7"/>
  <c r="BD1166" i="7"/>
  <c r="BD1441" i="7"/>
  <c r="BD325" i="7"/>
  <c r="BD216" i="7"/>
  <c r="BD1993" i="7"/>
  <c r="BD958" i="7"/>
  <c r="BD286" i="7"/>
  <c r="BD352" i="7"/>
  <c r="BD907" i="7"/>
  <c r="BD2024" i="7"/>
  <c r="BD1490" i="7"/>
  <c r="BD2153" i="7"/>
  <c r="BD1031" i="7"/>
  <c r="BD1752" i="7"/>
  <c r="BD1427" i="7"/>
  <c r="BD1321" i="7"/>
  <c r="BD31" i="7"/>
  <c r="BD244" i="7"/>
  <c r="BD52" i="7"/>
  <c r="BC2260" i="7"/>
  <c r="BC1399" i="7"/>
  <c r="BC1790" i="7"/>
  <c r="BC1192" i="7"/>
  <c r="BC329" i="7"/>
  <c r="BC923" i="7"/>
  <c r="BC1487" i="7"/>
  <c r="BC403" i="7"/>
  <c r="BC1777" i="7"/>
  <c r="BC2170" i="7"/>
  <c r="BC884" i="7"/>
  <c r="BC2062" i="7"/>
  <c r="BC1841" i="7"/>
  <c r="BC1564" i="7"/>
  <c r="BC1750" i="7"/>
  <c r="BC1568" i="7"/>
  <c r="BC1323" i="7"/>
  <c r="BC1130" i="7"/>
  <c r="BC905" i="7"/>
  <c r="BC747" i="7"/>
  <c r="BC412" i="7"/>
  <c r="BC1268" i="7"/>
  <c r="BC1477" i="7"/>
  <c r="BC1028" i="7"/>
  <c r="BC863" i="7"/>
  <c r="BC2148" i="7"/>
  <c r="BC212" i="7"/>
  <c r="BC1506" i="7"/>
  <c r="BC1909" i="7"/>
  <c r="BC1836" i="7"/>
  <c r="BC203" i="7"/>
  <c r="BC1511" i="7"/>
  <c r="BC659" i="7"/>
  <c r="BC374" i="7"/>
  <c r="BC163" i="7"/>
  <c r="BC587" i="7"/>
  <c r="BC1327" i="7"/>
  <c r="BC209" i="7"/>
  <c r="BC1171" i="7"/>
  <c r="BC1935" i="7"/>
  <c r="BC2141" i="7"/>
  <c r="BC1349" i="7"/>
  <c r="BC1501" i="7"/>
  <c r="BC1549" i="7"/>
  <c r="BD1316" i="7"/>
  <c r="BD1827" i="7"/>
  <c r="BD1857" i="7"/>
  <c r="BD1824" i="7"/>
  <c r="BD1034" i="7"/>
  <c r="BD491" i="7"/>
  <c r="BD317" i="7"/>
  <c r="BD1958" i="7"/>
  <c r="BD444" i="7"/>
  <c r="BD798" i="7"/>
  <c r="BD1966" i="7"/>
  <c r="BD1417" i="7"/>
  <c r="BD1609" i="7"/>
  <c r="BD1860" i="7"/>
  <c r="BD664" i="7"/>
  <c r="BD2068" i="7"/>
  <c r="BD1673" i="7"/>
  <c r="BD1772" i="7"/>
  <c r="BD1762" i="7"/>
  <c r="BD1311" i="7"/>
  <c r="BD1877" i="7"/>
  <c r="BD1729" i="7"/>
  <c r="BD455" i="7"/>
  <c r="BD2030" i="7"/>
  <c r="BD1978" i="7"/>
  <c r="BD1362" i="7"/>
  <c r="BD443" i="7"/>
  <c r="BD2084" i="7"/>
  <c r="BD2197" i="7"/>
  <c r="BD2149" i="7"/>
  <c r="BD2086" i="7"/>
  <c r="BD2239" i="7"/>
  <c r="BD2028" i="7"/>
  <c r="BD1395" i="7"/>
  <c r="BD1862" i="7"/>
  <c r="BD505" i="7"/>
  <c r="BD1896" i="7"/>
  <c r="BD952" i="7"/>
  <c r="BD442" i="7"/>
  <c r="BD1486" i="7"/>
  <c r="BD1957" i="7"/>
  <c r="BD1286" i="7"/>
  <c r="BD973" i="7"/>
  <c r="BD689" i="7"/>
  <c r="BD156" i="7"/>
  <c r="BD889" i="7"/>
  <c r="BD2130" i="7"/>
  <c r="BD616" i="7"/>
  <c r="BD1350" i="7"/>
  <c r="BD464" i="7"/>
  <c r="BD782" i="7"/>
  <c r="BD178" i="7"/>
  <c r="BD456" i="7"/>
  <c r="BD1764" i="7"/>
  <c r="BD1595" i="7"/>
  <c r="BD1853" i="7"/>
  <c r="BD1351" i="7"/>
  <c r="BD1234" i="7"/>
  <c r="BD546" i="7"/>
  <c r="BD1446" i="7"/>
  <c r="BD1578" i="7"/>
  <c r="BD1658" i="7"/>
  <c r="BD2209" i="7"/>
  <c r="BD1277" i="7"/>
  <c r="BD411" i="7"/>
  <c r="BD1724" i="7"/>
  <c r="BD1218" i="7"/>
  <c r="BD485" i="7"/>
  <c r="BD1496" i="7"/>
  <c r="BD2015" i="7"/>
  <c r="BD218" i="7"/>
  <c r="BD989" i="7"/>
  <c r="BD829" i="7"/>
  <c r="BD1235" i="7"/>
  <c r="BD1542" i="7"/>
  <c r="BD208" i="7"/>
  <c r="BD939" i="7"/>
  <c r="BD1462" i="7"/>
  <c r="BD844" i="7"/>
  <c r="BD416" i="7"/>
  <c r="BD139" i="7"/>
  <c r="BD41" i="7"/>
  <c r="BD1654" i="7"/>
  <c r="BD307" i="7"/>
  <c r="BD314" i="7"/>
  <c r="BD58" i="7"/>
  <c r="BD82" i="7"/>
  <c r="BC2257" i="7"/>
  <c r="BC1907" i="7"/>
  <c r="BC2086" i="7"/>
  <c r="BC1444" i="7"/>
  <c r="BC2153" i="7"/>
  <c r="BC1183" i="7"/>
  <c r="BC364" i="7"/>
  <c r="BC1776" i="7"/>
  <c r="BC1008" i="7"/>
  <c r="BC1943" i="7"/>
  <c r="BC629" i="7"/>
  <c r="BC1932" i="7"/>
  <c r="BC1934" i="7"/>
  <c r="BC788" i="7"/>
  <c r="BC936" i="7"/>
  <c r="BC8" i="7"/>
  <c r="BC1518" i="7"/>
  <c r="BC1398" i="7"/>
  <c r="BC2102" i="7"/>
  <c r="BC1727" i="7"/>
  <c r="BC743" i="7"/>
  <c r="BC618" i="7"/>
  <c r="BC461" i="7"/>
  <c r="BC1793" i="7"/>
  <c r="BC1660" i="7"/>
  <c r="BC2014" i="7"/>
  <c r="BC1381" i="7"/>
  <c r="BC1888" i="7"/>
  <c r="BC62" i="7"/>
  <c r="BC327" i="7"/>
  <c r="BC2219" i="7"/>
  <c r="BC451" i="7"/>
  <c r="BC1581" i="7"/>
  <c r="BC735" i="7"/>
  <c r="BC1788" i="7"/>
  <c r="BC1150" i="7"/>
  <c r="BC978" i="7"/>
  <c r="BC1661" i="7"/>
  <c r="BC2204" i="7"/>
  <c r="BC136" i="7"/>
  <c r="BC2184" i="7"/>
  <c r="BC873" i="7"/>
  <c r="BC416" i="7"/>
  <c r="BC1097" i="7"/>
  <c r="BC1457" i="7"/>
  <c r="BC1678" i="7"/>
  <c r="BC1193" i="7"/>
  <c r="BC2126" i="7"/>
  <c r="BC69" i="7"/>
  <c r="BC458" i="7"/>
  <c r="BC1839" i="7"/>
  <c r="BC824" i="7"/>
  <c r="BC1913" i="7"/>
  <c r="BC453" i="7"/>
  <c r="BC1798" i="7"/>
  <c r="BC1618" i="7"/>
  <c r="BC1248" i="7"/>
  <c r="BC495" i="7"/>
  <c r="BC823" i="7"/>
  <c r="BC1012" i="7"/>
  <c r="BC1472" i="7"/>
  <c r="BC229" i="7"/>
  <c r="BC1851" i="7"/>
  <c r="BC1594" i="7"/>
  <c r="BC976" i="7"/>
  <c r="BC2084" i="7"/>
  <c r="BC672" i="7"/>
  <c r="BC1025" i="7"/>
  <c r="BC1034" i="7"/>
  <c r="BC1835" i="7"/>
  <c r="BC769" i="7"/>
  <c r="BC1277" i="7"/>
  <c r="BC1116" i="7"/>
  <c r="BC1820" i="7"/>
  <c r="BC2269" i="7"/>
  <c r="BC611" i="7"/>
  <c r="BC1162" i="7"/>
  <c r="BC2226" i="7"/>
  <c r="BC1616" i="7"/>
  <c r="BC390" i="7"/>
  <c r="BC761" i="7"/>
  <c r="BC1016" i="7"/>
  <c r="BC42" i="7"/>
  <c r="BC204" i="7"/>
  <c r="BC258" i="7"/>
  <c r="BC893" i="7"/>
  <c r="BC2011" i="7"/>
  <c r="BC828" i="7"/>
  <c r="BC1683" i="7"/>
  <c r="BC1989" i="7"/>
  <c r="BC515" i="7"/>
  <c r="BC1091" i="7"/>
  <c r="BC1988" i="7"/>
  <c r="BC1046" i="7"/>
  <c r="BC1207" i="7"/>
  <c r="BC1795" i="7"/>
  <c r="BC1233" i="7"/>
  <c r="BC1217" i="7"/>
  <c r="BC1597" i="7"/>
  <c r="BC1371" i="7"/>
  <c r="BC2030" i="7"/>
  <c r="BC437" i="7"/>
  <c r="BC1230" i="7"/>
  <c r="BC1464" i="7"/>
  <c r="BC1489" i="7"/>
  <c r="BC511" i="7"/>
  <c r="BC2071" i="7"/>
  <c r="BC1535" i="7"/>
  <c r="BC2007" i="7"/>
  <c r="BC346" i="7"/>
  <c r="BC1293" i="7"/>
  <c r="BC854" i="7"/>
  <c r="BC833" i="7"/>
  <c r="BC2157" i="7"/>
  <c r="BC433" i="7"/>
  <c r="BC1990" i="7"/>
  <c r="BC21" i="7"/>
  <c r="BC2121" i="7"/>
  <c r="BC143" i="7"/>
  <c r="BC699" i="7"/>
  <c r="BC481" i="7"/>
  <c r="BC255" i="7"/>
  <c r="BC2053" i="7"/>
  <c r="BC1718" i="7"/>
  <c r="BC185" i="7"/>
  <c r="BC1811" i="7"/>
  <c r="BC112" i="7"/>
  <c r="BC890" i="7"/>
  <c r="BC1420" i="7"/>
  <c r="BC63" i="7"/>
  <c r="BC1085" i="7"/>
  <c r="BC1042" i="7"/>
  <c r="BC1791" i="7"/>
  <c r="BC40" i="7"/>
  <c r="BC28" i="7"/>
  <c r="BC2150" i="7"/>
  <c r="BC1493" i="7"/>
  <c r="BC1725" i="7"/>
  <c r="BC752" i="7"/>
  <c r="BC171" i="7"/>
  <c r="BC784" i="7"/>
  <c r="BC1404" i="7"/>
  <c r="BC1707" i="7"/>
  <c r="BC996" i="7"/>
  <c r="BC2138" i="7"/>
  <c r="BC2104" i="7"/>
  <c r="BC1808" i="7"/>
  <c r="BC395" i="7"/>
  <c r="BC578" i="7"/>
  <c r="BC1213" i="7"/>
  <c r="BC2044" i="7"/>
  <c r="BC87" i="7"/>
  <c r="BC1090" i="7"/>
  <c r="BC584" i="7"/>
  <c r="BC848" i="7"/>
  <c r="BC1127" i="7"/>
  <c r="BC1197" i="7"/>
  <c r="BC1080" i="7"/>
  <c r="BC2107" i="7"/>
  <c r="BC661" i="7"/>
  <c r="BC1984" i="7"/>
  <c r="BC814" i="7"/>
  <c r="BC1074" i="7"/>
  <c r="BC2161" i="7"/>
  <c r="BC1068" i="7"/>
  <c r="BC1432" i="7"/>
  <c r="BC780" i="7"/>
  <c r="BC80" i="7"/>
  <c r="BC1728" i="7"/>
  <c r="BC385" i="7"/>
  <c r="BC1499" i="7"/>
  <c r="BC2139" i="7"/>
  <c r="BC836" i="7"/>
  <c r="BC888" i="7"/>
  <c r="BC1872" i="7"/>
  <c r="BC1453" i="7"/>
  <c r="BC1298" i="7"/>
  <c r="BC1345" i="7"/>
  <c r="BC1784" i="7"/>
  <c r="BC2201" i="7"/>
  <c r="BC941" i="7"/>
  <c r="BC1595" i="7"/>
  <c r="BD2116" i="7"/>
  <c r="BD572" i="7"/>
  <c r="BD882" i="7"/>
  <c r="BD169" i="7"/>
  <c r="BD1873" i="7"/>
  <c r="BD1307" i="7"/>
  <c r="BD2120" i="7"/>
  <c r="BD722" i="7"/>
  <c r="BD849" i="7"/>
  <c r="BD1314" i="7"/>
  <c r="BD1777" i="7"/>
  <c r="BD387" i="7"/>
  <c r="BD339" i="7"/>
  <c r="BD523" i="7"/>
  <c r="BD1810" i="7"/>
  <c r="BD1576" i="7"/>
  <c r="BD641" i="7"/>
  <c r="BD2167" i="7"/>
  <c r="BD1714" i="7"/>
  <c r="BD1713" i="7"/>
  <c r="BD1056" i="7"/>
  <c r="BD2097" i="7"/>
  <c r="BD1728" i="7"/>
  <c r="BD2014" i="7"/>
  <c r="BD2104" i="7"/>
  <c r="BD1498" i="7"/>
  <c r="BD1482" i="7"/>
  <c r="BD1077" i="7"/>
  <c r="BD554" i="7"/>
  <c r="BD116" i="7"/>
  <c r="BD1960" i="7"/>
  <c r="BD1700" i="7"/>
  <c r="BD1288" i="7"/>
  <c r="BD1758" i="7"/>
  <c r="BD1865" i="7"/>
  <c r="BD1072" i="7"/>
  <c r="BD948" i="7"/>
  <c r="BD1512" i="7"/>
  <c r="BD261" i="7"/>
  <c r="BD1291" i="7"/>
  <c r="BD2278" i="7"/>
  <c r="BD1256" i="7"/>
  <c r="BD1781" i="7"/>
  <c r="BD588" i="7"/>
  <c r="BD2267" i="7"/>
  <c r="BD1689" i="7"/>
  <c r="BD2072" i="7"/>
  <c r="BD1214" i="7"/>
  <c r="BD846" i="7"/>
  <c r="BD845" i="7"/>
  <c r="BD1732" i="7"/>
  <c r="BD2207" i="7"/>
  <c r="BD817" i="7"/>
  <c r="BD1929" i="7"/>
  <c r="BD419" i="7"/>
  <c r="BD1831" i="7"/>
  <c r="BD1201" i="7"/>
  <c r="BD1660" i="7"/>
  <c r="BD344" i="7"/>
  <c r="BD1593" i="7"/>
  <c r="BD1057" i="7"/>
  <c r="BD1525" i="7"/>
  <c r="BD896" i="7"/>
  <c r="BD2044" i="7"/>
  <c r="BD230" i="7"/>
  <c r="BD1196" i="7"/>
  <c r="BD1890" i="7"/>
  <c r="BD1878" i="7"/>
  <c r="BD705" i="7"/>
  <c r="BD1041" i="7"/>
  <c r="BD1096" i="7"/>
  <c r="BD134" i="7"/>
  <c r="BD449" i="7"/>
  <c r="BD2176" i="7"/>
  <c r="BD366" i="7"/>
  <c r="BD85" i="7"/>
  <c r="BC1657" i="7"/>
  <c r="BC345" i="7"/>
  <c r="BC2230" i="7"/>
  <c r="BC2108" i="7"/>
  <c r="BC2272" i="7"/>
  <c r="BC1786" i="7"/>
  <c r="BC2262" i="7"/>
  <c r="BC2066" i="7"/>
  <c r="BC1740" i="7"/>
  <c r="BC737" i="7"/>
  <c r="BC2076" i="7"/>
  <c r="BC1240" i="7"/>
  <c r="BC339" i="7"/>
  <c r="BC927" i="7"/>
  <c r="BC1748" i="7"/>
  <c r="BC1300" i="7"/>
  <c r="BC2217" i="7"/>
  <c r="BC1785" i="7"/>
  <c r="BC1985" i="7"/>
  <c r="BC1898" i="7"/>
  <c r="BC614" i="7"/>
  <c r="BC1229" i="7"/>
  <c r="BC568" i="7"/>
  <c r="BC187" i="7"/>
  <c r="BC2225" i="7"/>
  <c r="BC460" i="7"/>
  <c r="BC1917" i="7"/>
  <c r="BC190" i="7"/>
  <c r="BC1146" i="7"/>
  <c r="BC483" i="7"/>
  <c r="BC861" i="7"/>
  <c r="BC1828" i="7"/>
  <c r="BC2039" i="7"/>
  <c r="BC1783" i="7"/>
  <c r="BC1369" i="7"/>
  <c r="BC365" i="7"/>
  <c r="BC1134" i="7"/>
  <c r="BC2279" i="7"/>
  <c r="BC990" i="7"/>
  <c r="BC269" i="7"/>
  <c r="BC1100" i="7"/>
  <c r="BC257" i="7"/>
  <c r="BC45" i="7"/>
  <c r="BC1806" i="7"/>
  <c r="BC1605" i="7"/>
  <c r="BC1655" i="7"/>
  <c r="BC1710" i="7"/>
  <c r="BC643" i="7"/>
  <c r="BC438" i="7"/>
  <c r="BC272" i="7"/>
  <c r="BC1484" i="7"/>
  <c r="BC47" i="7"/>
  <c r="BC1878" i="7"/>
  <c r="BC447" i="7"/>
  <c r="BC1352" i="7"/>
  <c r="BC30" i="7"/>
  <c r="BC1271" i="7"/>
  <c r="BC786" i="7"/>
  <c r="BC248" i="7"/>
  <c r="BC1252" i="7"/>
  <c r="BC1971" i="7"/>
  <c r="BC1508" i="7"/>
  <c r="BC105" i="7"/>
  <c r="BC464" i="7"/>
  <c r="BC471" i="7"/>
  <c r="BC1688" i="7"/>
  <c r="BC2128" i="7"/>
  <c r="BC81" i="7"/>
  <c r="BC382" i="7"/>
  <c r="BC1429" i="7"/>
  <c r="BC2171" i="7"/>
  <c r="BC1285" i="7"/>
  <c r="BC881" i="7"/>
  <c r="BC2069" i="7"/>
  <c r="BC215" i="7"/>
  <c r="BD435" i="7"/>
  <c r="BD533" i="7"/>
  <c r="BD522" i="7"/>
  <c r="BD1546" i="7"/>
  <c r="BD1013" i="7"/>
  <c r="BD1534" i="7"/>
  <c r="BD1933" i="7"/>
  <c r="BD1961" i="7"/>
  <c r="BD752" i="7"/>
  <c r="BD426" i="7"/>
  <c r="BD2078" i="7"/>
  <c r="BD1067" i="7"/>
  <c r="BD2048" i="7"/>
  <c r="BD2139" i="7"/>
  <c r="BD763" i="7"/>
  <c r="BD1356" i="7"/>
  <c r="BD120" i="7"/>
  <c r="BD2126" i="7"/>
  <c r="BD942" i="7"/>
  <c r="BD1461" i="7"/>
  <c r="BD1158" i="7"/>
  <c r="BD1838" i="7"/>
  <c r="BD1076" i="7"/>
  <c r="BD1489" i="7"/>
  <c r="BD2056" i="7"/>
  <c r="BD749" i="7"/>
  <c r="BD1712" i="7"/>
  <c r="BD2034" i="7"/>
  <c r="BD2275" i="7"/>
  <c r="BD496" i="7"/>
  <c r="BD1784" i="7"/>
  <c r="BD1324" i="7"/>
  <c r="BD876" i="7"/>
  <c r="BD1771" i="7"/>
  <c r="BD1547" i="7"/>
  <c r="BD1226" i="7"/>
  <c r="BD2147" i="7"/>
  <c r="BD847" i="7"/>
  <c r="BD1622" i="7"/>
  <c r="BD262" i="7"/>
  <c r="BD850" i="7"/>
  <c r="BD480" i="7"/>
  <c r="BD646" i="7"/>
  <c r="BD469" i="7"/>
  <c r="BD164" i="7"/>
  <c r="BD1538" i="7"/>
  <c r="BD1245" i="7"/>
  <c r="BD2112" i="7"/>
  <c r="BD1392" i="7"/>
  <c r="BD665" i="7"/>
  <c r="BD1710" i="7"/>
  <c r="BD2053" i="7"/>
  <c r="BD1746" i="7"/>
  <c r="BD1290" i="7"/>
  <c r="BD427" i="7"/>
  <c r="BD617" i="7"/>
  <c r="BD2221" i="7"/>
  <c r="BD1367" i="7"/>
  <c r="BD1210" i="7"/>
  <c r="BD1176" i="7"/>
  <c r="BD277" i="7"/>
  <c r="BD328" i="7"/>
  <c r="BD369" i="7"/>
  <c r="BD1078" i="7"/>
  <c r="BD1954" i="7"/>
  <c r="BD1751" i="7"/>
  <c r="BD1172" i="7"/>
  <c r="BD824" i="7"/>
  <c r="BD363" i="7"/>
  <c r="BD2178" i="7"/>
  <c r="BD422" i="7"/>
  <c r="BD402" i="7"/>
  <c r="BD1139" i="7"/>
  <c r="BD568" i="7"/>
  <c r="BD960" i="7"/>
  <c r="BD1791" i="7"/>
  <c r="BD1036" i="7"/>
  <c r="BD773" i="7"/>
  <c r="BD1278" i="7"/>
  <c r="BD14" i="7"/>
  <c r="BD650" i="7"/>
  <c r="BD1016" i="7"/>
  <c r="BD1029" i="7"/>
  <c r="BD1808" i="7"/>
  <c r="BD1364" i="7"/>
  <c r="BD1224" i="7"/>
  <c r="BD881" i="7"/>
  <c r="BD1500" i="7"/>
  <c r="BD503" i="7"/>
  <c r="BD29" i="7"/>
  <c r="BD193" i="7"/>
  <c r="BD1514" i="7"/>
  <c r="BD514" i="7"/>
  <c r="BD54" i="7"/>
  <c r="BD112" i="7"/>
  <c r="BD1379" i="7"/>
  <c r="BD1092" i="7"/>
  <c r="BD1779" i="7"/>
  <c r="BD770" i="7"/>
  <c r="BD1285" i="7"/>
  <c r="BD1000" i="7"/>
  <c r="BD1424" i="7"/>
  <c r="BD1977" i="7"/>
  <c r="BD2002" i="7"/>
  <c r="BD622" i="7"/>
  <c r="BD894" i="7"/>
  <c r="BD1895" i="7"/>
  <c r="BD1025" i="7"/>
  <c r="BD1382" i="7"/>
  <c r="BD1653" i="7"/>
  <c r="BD1737" i="7"/>
  <c r="BD2082" i="7"/>
  <c r="BD1020" i="7"/>
  <c r="BD1915" i="7"/>
  <c r="BD502" i="7"/>
  <c r="BD1481" i="7"/>
  <c r="BD1435" i="7"/>
  <c r="BD497" i="7"/>
  <c r="BD1621" i="7"/>
  <c r="BD1564" i="7"/>
  <c r="BD2203" i="7"/>
  <c r="BD796" i="7"/>
  <c r="BD651" i="7"/>
  <c r="BD1371" i="7"/>
  <c r="BD1863" i="7"/>
  <c r="BD986" i="7"/>
  <c r="BD2031" i="7"/>
  <c r="BD1596" i="7"/>
  <c r="BD1508" i="7"/>
  <c r="BD1216" i="7"/>
  <c r="BD238" i="7"/>
  <c r="BD488" i="7"/>
  <c r="BD264" i="7"/>
  <c r="BD119" i="7"/>
  <c r="BD1740" i="7"/>
  <c r="BD2122" i="7"/>
  <c r="BD723" i="7"/>
  <c r="BD1225" i="7"/>
  <c r="BD1168" i="7"/>
  <c r="BD1888" i="7"/>
  <c r="BD468" i="7"/>
  <c r="BD202" i="7"/>
  <c r="BD1656" i="7"/>
  <c r="BD1723" i="7"/>
  <c r="BD1048" i="7"/>
  <c r="BD1058" i="7"/>
  <c r="BD479" i="7"/>
  <c r="BD1039" i="7"/>
  <c r="BD1319" i="7"/>
  <c r="BD1497" i="7"/>
  <c r="BD2174" i="7"/>
  <c r="BD2117" i="7"/>
  <c r="BD2083" i="7"/>
  <c r="BD1556" i="7"/>
  <c r="BD1510" i="7"/>
  <c r="BD1391" i="7"/>
  <c r="BD354" i="7"/>
  <c r="BD716" i="7"/>
  <c r="BD462" i="7"/>
  <c r="BD548" i="7"/>
  <c r="BD275" i="7"/>
  <c r="BD1981" i="7"/>
  <c r="BD949" i="7"/>
  <c r="BD207" i="7"/>
  <c r="BD70" i="7"/>
  <c r="BD268" i="7"/>
  <c r="BD1738" i="7"/>
  <c r="BD2124" i="7"/>
  <c r="BD1582" i="7"/>
  <c r="BD769" i="7"/>
  <c r="BD1372" i="7"/>
  <c r="BD727" i="7"/>
  <c r="BD611" i="7"/>
  <c r="BD1769" i="7"/>
  <c r="BD154" i="7"/>
  <c r="BD1237" i="7"/>
  <c r="BD813" i="7"/>
  <c r="BD1148" i="7"/>
  <c r="BD1730" i="7"/>
  <c r="BD266" i="7"/>
  <c r="BD655" i="7"/>
  <c r="BD953" i="7"/>
  <c r="BD2154" i="7"/>
  <c r="BD848" i="7"/>
  <c r="BD340" i="7"/>
  <c r="BD331" i="7"/>
  <c r="BD704" i="7"/>
  <c r="BD520" i="7"/>
  <c r="BD736" i="7"/>
  <c r="BD2198" i="7"/>
  <c r="BD980" i="7"/>
  <c r="BD175" i="7"/>
  <c r="BD241" i="7"/>
  <c r="BD1317" i="7"/>
  <c r="BD2232" i="7"/>
  <c r="BD2245" i="7"/>
  <c r="BD179" i="7"/>
  <c r="BD1119" i="7"/>
  <c r="BD349" i="7"/>
  <c r="BD624" i="7"/>
  <c r="BD2061" i="7"/>
  <c r="BD880" i="7"/>
  <c r="BD2264" i="7"/>
  <c r="BD267" i="7"/>
  <c r="BD1162" i="7"/>
  <c r="BD421" i="7"/>
  <c r="BD22" i="7"/>
  <c r="BD810" i="7"/>
  <c r="BD2094" i="7"/>
  <c r="BD13" i="7"/>
  <c r="BD1559" i="7"/>
  <c r="BD1175" i="7"/>
  <c r="BD579" i="7"/>
  <c r="BD732" i="7"/>
  <c r="BD129" i="7"/>
  <c r="BD1409" i="7"/>
  <c r="BD1837" i="7"/>
  <c r="BD551" i="7"/>
  <c r="BD2271" i="7"/>
  <c r="BD785" i="7"/>
  <c r="BD913" i="7"/>
  <c r="BD1516" i="7"/>
  <c r="BD1127" i="7"/>
  <c r="BD1968" i="7"/>
  <c r="BD1209" i="7"/>
  <c r="BD2087" i="7"/>
  <c r="BD1177" i="7"/>
  <c r="BD1159" i="7"/>
  <c r="BD2184" i="7"/>
  <c r="BD1583" i="7"/>
  <c r="BD2224" i="7"/>
  <c r="BD1026" i="7"/>
  <c r="BD1038" i="7"/>
  <c r="BD414" i="7"/>
  <c r="BD1719" i="7"/>
  <c r="BD182" i="7"/>
  <c r="BD1963" i="7"/>
  <c r="BD557" i="7"/>
  <c r="BD1114" i="7"/>
  <c r="BD1309" i="7"/>
  <c r="BD1233" i="7"/>
  <c r="BD1246" i="7"/>
  <c r="BD232" i="7"/>
  <c r="BD515" i="7"/>
  <c r="BD1312" i="7"/>
  <c r="BD1641" i="7"/>
  <c r="BD2118" i="7"/>
  <c r="BD692" i="7"/>
  <c r="BD977" i="7"/>
  <c r="BD1024" i="7"/>
  <c r="BD714" i="7"/>
  <c r="BD1023" i="7"/>
  <c r="BD1786" i="7"/>
  <c r="BD969" i="7"/>
  <c r="BD1260" i="7"/>
  <c r="BD675" i="7"/>
  <c r="BD1190" i="7"/>
  <c r="BD1292" i="7"/>
  <c r="BD2249" i="7"/>
  <c r="BD1271" i="7"/>
  <c r="BD1107" i="7"/>
  <c r="BD1297" i="7"/>
  <c r="BD595" i="7"/>
  <c r="BD1042" i="7"/>
  <c r="BD406" i="7"/>
  <c r="BD1605" i="7"/>
  <c r="BD4" i="7"/>
  <c r="BD243" i="7"/>
  <c r="BD40" i="7"/>
  <c r="BD28" i="7"/>
  <c r="BD1611" i="7"/>
  <c r="BD160" i="7"/>
  <c r="BD269" i="7"/>
  <c r="BD2237" i="7"/>
  <c r="BD44" i="7"/>
  <c r="BD46" i="7"/>
  <c r="BD80" i="7"/>
  <c r="BD111" i="7"/>
  <c r="BC256" i="7"/>
  <c r="BC117" i="7"/>
  <c r="BC1439" i="7"/>
  <c r="BC1840" i="7"/>
  <c r="BC407" i="7"/>
  <c r="BC537" i="7"/>
  <c r="BC2117" i="7"/>
  <c r="BC1225" i="7"/>
  <c r="BC341" i="7"/>
  <c r="BC2277" i="7"/>
  <c r="BC1152" i="7"/>
  <c r="BC1641" i="7"/>
  <c r="BC2245" i="7"/>
  <c r="BC681" i="7"/>
  <c r="BC2091" i="7"/>
  <c r="BC2251" i="7"/>
  <c r="BC307" i="7"/>
  <c r="BC1380" i="7"/>
  <c r="BC420" i="7"/>
  <c r="BC564" i="7"/>
  <c r="BC804" i="7"/>
  <c r="BC1172" i="7"/>
  <c r="BC71" i="7"/>
  <c r="BC2005" i="7"/>
  <c r="BC1778" i="7"/>
  <c r="BC1569" i="7"/>
  <c r="BC1235" i="7"/>
  <c r="BC1711" i="7"/>
  <c r="BC1950" i="7"/>
  <c r="BD920" i="7"/>
  <c r="BD2189" i="7"/>
  <c r="BD1348" i="7"/>
  <c r="BD74" i="7"/>
  <c r="BD1920" i="7"/>
  <c r="BD2133" i="7"/>
  <c r="BD1652" i="7"/>
  <c r="BD822" i="7"/>
  <c r="BD1533" i="7"/>
  <c r="BD1142" i="7"/>
  <c r="BD150" i="7"/>
  <c r="BD1021" i="7"/>
  <c r="BD173" i="7"/>
  <c r="BD1269" i="7"/>
  <c r="BD1075" i="7"/>
  <c r="BD183" i="7"/>
  <c r="BD629" i="7"/>
  <c r="BD1445" i="7"/>
  <c r="BD1412" i="7"/>
  <c r="BD840" i="7"/>
  <c r="BD137" i="7"/>
  <c r="BD27" i="7"/>
  <c r="BD259" i="7"/>
  <c r="BD91" i="7"/>
  <c r="BC1166" i="7"/>
  <c r="BC1668" i="7"/>
  <c r="BC1331" i="7"/>
  <c r="BC691" i="7"/>
  <c r="BC2070" i="7"/>
  <c r="BC541" i="7"/>
  <c r="BC913" i="7"/>
  <c r="BC2115" i="7"/>
  <c r="BC260" i="7"/>
  <c r="BC964" i="7"/>
  <c r="BC485" i="7"/>
  <c r="BC1723" i="7"/>
  <c r="BC851" i="7"/>
  <c r="BC270" i="7"/>
  <c r="BC1504" i="7"/>
  <c r="BC1357" i="7"/>
  <c r="BC473" i="7"/>
  <c r="BC351" i="7"/>
  <c r="BC320" i="7"/>
  <c r="BC129" i="7"/>
  <c r="BC38" i="7"/>
  <c r="BC172" i="7"/>
  <c r="BC2229" i="7"/>
  <c r="BC1201" i="7"/>
  <c r="BC846" i="7"/>
  <c r="BC1156" i="7"/>
  <c r="BC1179" i="7"/>
  <c r="BD378" i="7"/>
  <c r="BD987" i="7"/>
  <c r="BD1642" i="7"/>
  <c r="BD571" i="7"/>
  <c r="BD417" i="7"/>
  <c r="BD531" i="7"/>
  <c r="BD999" i="7"/>
  <c r="BD2081" i="7"/>
  <c r="BD1980" i="7"/>
  <c r="BD2045" i="7"/>
  <c r="BD2172" i="7"/>
  <c r="BD461" i="7"/>
  <c r="BD2180" i="7"/>
  <c r="BD812" i="7"/>
  <c r="BD1422" i="7"/>
  <c r="BD777" i="7"/>
  <c r="BD1343" i="7"/>
  <c r="BD482" i="7"/>
  <c r="BD1032" i="7"/>
  <c r="BD735" i="7"/>
  <c r="BD1146" i="7"/>
  <c r="BD1548" i="7"/>
  <c r="BD1604" i="7"/>
  <c r="BD1785" i="7"/>
  <c r="BD2127" i="7"/>
  <c r="BD217" i="7"/>
  <c r="BD1044" i="7"/>
  <c r="BD2170" i="7"/>
  <c r="BD234" i="7"/>
  <c r="BD63" i="7"/>
  <c r="BD1060" i="7"/>
  <c r="BD1855" i="7"/>
  <c r="BD674" i="7"/>
  <c r="BD246" i="7"/>
  <c r="BD404" i="7"/>
  <c r="BD38" i="7"/>
  <c r="BD223" i="7"/>
  <c r="BD93" i="7"/>
  <c r="BD893" i="7"/>
  <c r="BC1002" i="7"/>
  <c r="BC2207" i="7"/>
  <c r="BC405" i="7"/>
  <c r="BC745" i="7"/>
  <c r="BC2233" i="7"/>
  <c r="BC2099" i="7"/>
  <c r="BC831" i="7"/>
  <c r="BC276" i="7"/>
  <c r="BC2131" i="7"/>
  <c r="BC2120" i="7"/>
  <c r="BC1862" i="7"/>
  <c r="BC1659" i="7"/>
  <c r="BC1906" i="7"/>
  <c r="BC1599" i="7"/>
  <c r="BC711" i="7"/>
  <c r="BC1173" i="7"/>
  <c r="BC1754" i="7"/>
  <c r="BC2015" i="7"/>
  <c r="BC1416" i="7"/>
  <c r="BC196" i="7"/>
  <c r="BC844" i="7"/>
  <c r="BC1682" i="7"/>
  <c r="BC869" i="7"/>
  <c r="BC655" i="7"/>
  <c r="BC679" i="7"/>
  <c r="BC505" i="7"/>
  <c r="BC1834" i="7"/>
  <c r="BC1154" i="7"/>
  <c r="BC1246" i="7"/>
  <c r="BC763" i="7"/>
  <c r="BC686" i="7"/>
  <c r="BC1474" i="7"/>
  <c r="BC2221" i="7"/>
  <c r="BC878" i="7"/>
  <c r="BC1765" i="7"/>
  <c r="BC1741" i="7"/>
  <c r="BC656" i="7"/>
  <c r="BC1701" i="7"/>
  <c r="BC1925" i="7"/>
  <c r="BC1151" i="7"/>
  <c r="BC1583" i="7"/>
  <c r="BC402" i="7"/>
  <c r="BC1799" i="7"/>
  <c r="BC944" i="7"/>
  <c r="BC243" i="7"/>
  <c r="BC911" i="7"/>
  <c r="BC1258" i="7"/>
  <c r="BC632" i="7"/>
  <c r="BC1708" i="7"/>
  <c r="BC372" i="7"/>
  <c r="BC1419" i="7"/>
  <c r="BC491" i="7"/>
  <c r="BC1591" i="7"/>
  <c r="BC247" i="7"/>
  <c r="BC67" i="7"/>
  <c r="BC1826" i="7"/>
  <c r="BC1927" i="7"/>
  <c r="BC1626" i="7"/>
  <c r="BC1110" i="7"/>
  <c r="BC2220" i="7"/>
  <c r="BC1039" i="7"/>
  <c r="BC1503" i="7"/>
  <c r="BC1359" i="7"/>
  <c r="BC1394" i="7"/>
  <c r="BC666" i="7"/>
  <c r="BC1358" i="7"/>
  <c r="BC1334" i="7"/>
  <c r="BC1679" i="7"/>
  <c r="BC159" i="7"/>
  <c r="BC1377" i="7"/>
  <c r="BC904" i="7"/>
  <c r="BC468" i="7"/>
  <c r="BC1141" i="7"/>
  <c r="BC1131" i="7"/>
  <c r="BC235" i="7"/>
  <c r="BC883" i="7"/>
  <c r="BC750" i="7"/>
  <c r="BC2065" i="7"/>
  <c r="BC1301" i="7"/>
  <c r="BC589" i="7"/>
  <c r="BC669" i="7"/>
  <c r="BC1436" i="7"/>
  <c r="BC2248" i="7"/>
  <c r="BC201" i="7"/>
  <c r="BC663" i="7"/>
  <c r="BC1881" i="7"/>
  <c r="BC1111" i="7"/>
  <c r="BC1202" i="7"/>
  <c r="BC1372" i="7"/>
  <c r="BC1827" i="7"/>
  <c r="BC1081" i="7"/>
  <c r="BC2164" i="7"/>
  <c r="BC98" i="7"/>
  <c r="BC58" i="7"/>
  <c r="BC816" i="7"/>
  <c r="BC1354" i="7"/>
  <c r="BC15" i="7"/>
  <c r="BC1266" i="7"/>
  <c r="BC615" i="7"/>
  <c r="BC972" i="7"/>
  <c r="BC313" i="7"/>
  <c r="BC1245" i="7"/>
  <c r="BC887" i="7"/>
  <c r="BC367" i="7"/>
  <c r="BC1766" i="7"/>
  <c r="BC1500" i="7"/>
  <c r="BC242" i="7"/>
  <c r="BC1895" i="7"/>
  <c r="BC794" i="7"/>
  <c r="BC1982" i="7"/>
  <c r="BC115" i="7"/>
  <c r="BC1454" i="7"/>
  <c r="BC899" i="7"/>
  <c r="BC1222" i="7"/>
  <c r="BC1341" i="7"/>
  <c r="BC1914" i="7"/>
  <c r="BC1804" i="7"/>
  <c r="BC77" i="7"/>
  <c r="BC1075" i="7"/>
  <c r="BC1656" i="7"/>
  <c r="BC1966" i="7"/>
  <c r="BC662" i="7"/>
  <c r="BC1128" i="7"/>
  <c r="BC73" i="7"/>
  <c r="BC2270" i="7"/>
  <c r="BC2187" i="7"/>
  <c r="BC984" i="7"/>
  <c r="BC183" i="7"/>
  <c r="BC756" i="7"/>
  <c r="BC108" i="7"/>
  <c r="BC158" i="7"/>
  <c r="BC180" i="7"/>
  <c r="BC1113" i="7"/>
  <c r="BC1250" i="7"/>
  <c r="BC1813" i="7"/>
  <c r="BC122" i="7"/>
  <c r="BC37" i="7"/>
  <c r="BC2196" i="7"/>
  <c r="BC626" i="7"/>
  <c r="BC1953" i="7"/>
  <c r="BC1056" i="7"/>
  <c r="BC162" i="7"/>
  <c r="BC174" i="7"/>
  <c r="BC607" i="7"/>
  <c r="BC1219" i="7"/>
  <c r="BC448" i="7"/>
  <c r="BC1061" i="7"/>
  <c r="BC707" i="7"/>
  <c r="BC1099" i="7"/>
  <c r="BC2135" i="7"/>
  <c r="BC1070" i="7"/>
  <c r="BC1596" i="7"/>
  <c r="BC1582" i="7"/>
  <c r="BC1434" i="7"/>
  <c r="BC86" i="7"/>
  <c r="BC226" i="7"/>
  <c r="BC84" i="7"/>
  <c r="BC336" i="7"/>
  <c r="BC48" i="7"/>
  <c r="BC755" i="7"/>
  <c r="BC1870" i="7"/>
  <c r="BC651" i="7"/>
  <c r="BC879" i="7"/>
  <c r="BC487" i="7"/>
  <c r="BC660" i="7"/>
  <c r="BC567" i="7"/>
  <c r="BC1498" i="7"/>
  <c r="BC1024" i="7"/>
  <c r="BC429" i="7"/>
  <c r="BC765" i="7"/>
  <c r="BC331" i="7"/>
  <c r="BC381" i="7"/>
  <c r="BC2022" i="7"/>
  <c r="BC1290" i="7"/>
  <c r="BC319" i="7"/>
  <c r="BC783" i="7"/>
  <c r="BC1180" i="7"/>
  <c r="BC2167" i="7"/>
  <c r="BC1060" i="7"/>
  <c r="BC1647" i="7"/>
  <c r="BC1158" i="7"/>
  <c r="BC1045" i="7"/>
  <c r="BC2028" i="7"/>
  <c r="BC1902" i="7"/>
  <c r="BC523" i="7"/>
  <c r="BC294" i="7"/>
  <c r="BD2220" i="7"/>
  <c r="BD1442" i="7"/>
  <c r="BD1380" i="7"/>
  <c r="BD1147" i="7"/>
  <c r="BD1402" i="7"/>
  <c r="BD995" i="7"/>
  <c r="BD733" i="7"/>
  <c r="BD1524" i="7"/>
  <c r="BD379" i="7"/>
  <c r="BD1128" i="7"/>
  <c r="BD265" i="7"/>
  <c r="BD1293" i="7"/>
  <c r="BD1884" i="7"/>
  <c r="BD718" i="7"/>
  <c r="BD924" i="7"/>
  <c r="BD1450" i="7"/>
  <c r="BD1872" i="7"/>
  <c r="BD2138" i="7"/>
  <c r="BD1671" i="7"/>
  <c r="BD871" i="7"/>
  <c r="BD762" i="7"/>
  <c r="BD192" i="7"/>
  <c r="BD204" i="7"/>
  <c r="BC1495" i="7"/>
  <c r="BC1666" i="7"/>
  <c r="BC359" i="7"/>
  <c r="BC197" i="7"/>
  <c r="BC980" i="7"/>
  <c r="BC534" i="7"/>
  <c r="BC557" i="7"/>
  <c r="BC795" i="7"/>
  <c r="BC1585" i="7"/>
  <c r="BC466" i="7"/>
  <c r="BC1071" i="7"/>
  <c r="BC612" i="7"/>
  <c r="BC1471" i="7"/>
  <c r="BC13" i="7"/>
  <c r="BC198" i="7"/>
  <c r="BC713" i="7"/>
  <c r="BC921" i="7"/>
  <c r="BC1426" i="7"/>
  <c r="BC1492" i="7"/>
  <c r="BC1704" i="7"/>
  <c r="BC223" i="7"/>
  <c r="BC524" i="7"/>
  <c r="BC26" i="7"/>
  <c r="BC1794" i="7"/>
  <c r="BC1653" i="7"/>
  <c r="BC1210" i="7"/>
  <c r="BC350" i="7"/>
  <c r="BC1874" i="7"/>
  <c r="BC559" i="7"/>
  <c r="BC1651" i="7"/>
  <c r="BD1320" i="7"/>
  <c r="BD898" i="7"/>
  <c r="BD2115" i="7"/>
  <c r="BD516" i="7"/>
  <c r="BD61" i="7"/>
  <c r="BD1698" i="7"/>
  <c r="BD2128" i="7"/>
  <c r="BD775" i="7"/>
  <c r="BD1814" i="7"/>
  <c r="BD2109" i="7"/>
  <c r="BD450" i="7"/>
  <c r="BD890" i="7"/>
  <c r="BD1979" i="7"/>
  <c r="BD2021" i="7"/>
  <c r="BD1062" i="7"/>
  <c r="BD2010" i="7"/>
  <c r="BD1799" i="7"/>
  <c r="BD1657" i="7"/>
  <c r="BD475" i="7"/>
  <c r="BD377" i="7"/>
  <c r="BD205" i="7"/>
  <c r="BD2168" i="7"/>
  <c r="BD1248" i="7"/>
  <c r="BD1557" i="7"/>
  <c r="BD2202" i="7"/>
  <c r="BD1530" i="7"/>
  <c r="BD677" i="7"/>
  <c r="BD386" i="7"/>
  <c r="BD1861" i="7"/>
  <c r="BD1120" i="7"/>
  <c r="BD1849" i="7"/>
  <c r="BD728" i="7"/>
  <c r="BD578" i="7"/>
  <c r="BD1061" i="7"/>
  <c r="BD460" i="7"/>
  <c r="BD2055" i="7"/>
  <c r="BD934" i="7"/>
  <c r="BD1283" i="7"/>
  <c r="BD1778" i="7"/>
  <c r="BD1115" i="7"/>
  <c r="BD1113" i="7"/>
  <c r="BD585" i="7"/>
  <c r="BD1167" i="7"/>
  <c r="BD828" i="7"/>
  <c r="BD839" i="7"/>
  <c r="BD125" i="7"/>
  <c r="BD1722" i="7"/>
  <c r="BD59" i="7"/>
  <c r="BD105" i="7"/>
  <c r="BD910" i="7"/>
  <c r="BD2205" i="7"/>
  <c r="BD998" i="7"/>
  <c r="BD2076" i="7"/>
  <c r="BD525" i="7"/>
  <c r="BD62" i="7"/>
  <c r="BD1318" i="7"/>
  <c r="BD2246" i="7"/>
  <c r="BD793" i="7"/>
  <c r="BD318" i="7"/>
  <c r="BD971" i="7"/>
  <c r="BD2049" i="7"/>
  <c r="BD242" i="7"/>
  <c r="BD1983" i="7"/>
  <c r="BD947" i="7"/>
  <c r="BD1637" i="7"/>
  <c r="BD2240" i="7"/>
  <c r="BD1149" i="7"/>
  <c r="BD1792" i="7"/>
  <c r="BD868" i="7"/>
  <c r="BD1471" i="7"/>
  <c r="BD1341" i="7"/>
  <c r="BD1465" i="7"/>
  <c r="BD492" i="7"/>
  <c r="BD1971" i="7"/>
  <c r="BD690" i="7"/>
  <c r="BD2001" i="7"/>
  <c r="BD1847" i="7"/>
  <c r="BD1276" i="7"/>
  <c r="BD1493" i="7"/>
  <c r="BD833" i="7"/>
  <c r="BD338" i="7"/>
  <c r="BD323" i="7"/>
  <c r="BD68" i="7"/>
  <c r="BD536" i="7"/>
  <c r="BD481" i="7"/>
  <c r="BD2134" i="7"/>
  <c r="BD784" i="7"/>
  <c r="BD2177" i="7"/>
  <c r="BD1939" i="7"/>
  <c r="BD1494" i="7"/>
  <c r="BD2266" i="7"/>
  <c r="BD799" i="7"/>
  <c r="BD1555" i="7"/>
  <c r="BD346" i="7"/>
  <c r="BD818" i="7"/>
  <c r="BD741" i="7"/>
  <c r="BD652" i="7"/>
  <c r="BD2114" i="7"/>
  <c r="BD997" i="7"/>
  <c r="BD1623" i="7"/>
  <c r="BD1347" i="7"/>
  <c r="BD574" i="7"/>
  <c r="BD603" i="7"/>
  <c r="BD962" i="7"/>
  <c r="BD1523" i="7"/>
  <c r="BD2005" i="7"/>
  <c r="BD1165" i="7"/>
  <c r="BD20" i="7"/>
  <c r="BD761" i="7"/>
  <c r="BD787" i="7"/>
  <c r="BD1767" i="7"/>
  <c r="BD1306" i="7"/>
  <c r="BD1242" i="7"/>
  <c r="BD401" i="7"/>
  <c r="BD252" i="7"/>
  <c r="BD1084" i="7"/>
  <c r="BD1606" i="7"/>
  <c r="BD287" i="7"/>
  <c r="BD553" i="7"/>
  <c r="BD198" i="7"/>
  <c r="BD1608" i="7"/>
  <c r="BD1854" i="7"/>
  <c r="BD2283" i="7"/>
  <c r="BD2101" i="7"/>
  <c r="BD1378" i="7"/>
  <c r="BD1255" i="7"/>
  <c r="BD2102" i="7"/>
  <c r="BD1566" i="7"/>
  <c r="BD16" i="7"/>
  <c r="BD1800" i="7"/>
  <c r="BD147" i="7"/>
  <c r="BD707" i="7"/>
  <c r="BD901" i="7"/>
  <c r="BD1229" i="7"/>
  <c r="BD226" i="7"/>
  <c r="BD1211" i="7"/>
  <c r="BD1711" i="7"/>
  <c r="BD1033" i="7"/>
  <c r="BD691" i="7"/>
  <c r="BD979" i="7"/>
  <c r="BD1591" i="7"/>
  <c r="BD2080" i="7"/>
  <c r="BD1636" i="7"/>
  <c r="BD235" i="7"/>
  <c r="BD1396" i="7"/>
  <c r="BD64" i="7"/>
  <c r="BD1629" i="7"/>
  <c r="BD1200" i="7"/>
  <c r="BD937" i="7"/>
  <c r="BD2251" i="7"/>
  <c r="BD1718" i="7"/>
  <c r="BD1068" i="7"/>
  <c r="BD1408" i="7"/>
  <c r="BD826" i="7"/>
  <c r="BD600" i="7"/>
  <c r="BD2191" i="7"/>
  <c r="BD957" i="7"/>
  <c r="BD1836" i="7"/>
  <c r="BD866" i="7"/>
  <c r="BD932" i="7"/>
  <c r="BD49" i="7"/>
  <c r="BD789" i="7"/>
  <c r="BD877" i="7"/>
  <c r="BD593" i="7"/>
  <c r="BD539" i="7"/>
  <c r="BD278" i="7"/>
  <c r="BD365" i="7"/>
  <c r="BD391" i="7"/>
  <c r="BD37" i="7"/>
  <c r="BD194" i="7"/>
  <c r="BD200" i="7"/>
  <c r="BD270" i="7"/>
  <c r="BD1803" i="7"/>
  <c r="BD428" i="7"/>
  <c r="BD57" i="7"/>
  <c r="BD81" i="7"/>
  <c r="BD87" i="7"/>
  <c r="BD107" i="7"/>
  <c r="BD696" i="7"/>
  <c r="BC275" i="7"/>
  <c r="BC2109" i="7"/>
  <c r="BC1140" i="7"/>
  <c r="BC1049" i="7"/>
  <c r="BC57" i="7"/>
  <c r="BC317" i="7"/>
  <c r="BC1087" i="7"/>
  <c r="BC2133" i="7"/>
  <c r="BC2106" i="7"/>
  <c r="BC518" i="7"/>
  <c r="BC1992" i="7"/>
  <c r="BC1332" i="7"/>
  <c r="BC337" i="7"/>
  <c r="BC1063" i="7"/>
  <c r="BC1875" i="7"/>
  <c r="BC1366" i="7"/>
  <c r="BC696" i="7"/>
  <c r="BC352" i="7"/>
  <c r="BC1537" i="7"/>
  <c r="BC9" i="7"/>
  <c r="BC751" i="7"/>
  <c r="BC592" i="7"/>
  <c r="BC2158" i="7"/>
  <c r="BC1757" i="7"/>
  <c r="BC531" i="7"/>
  <c r="BC843" i="7"/>
  <c r="BC1963" i="7"/>
  <c r="BC422" i="7"/>
  <c r="BC78" i="7"/>
  <c r="BC987" i="7"/>
  <c r="BC2188" i="7"/>
  <c r="BC20" i="7"/>
  <c r="BC1627" i="7"/>
  <c r="BC12" i="7"/>
  <c r="BC1114" i="7"/>
  <c r="BC76" i="7"/>
  <c r="BC521" i="7"/>
  <c r="BC2040" i="7"/>
  <c r="BC2144" i="7"/>
  <c r="BC2237" i="7"/>
  <c r="BC477" i="7"/>
  <c r="BC93" i="7"/>
  <c r="BC1542" i="7"/>
  <c r="BC25" i="7"/>
  <c r="BC1712" i="7"/>
  <c r="BC654" i="7"/>
  <c r="BC371" i="7"/>
  <c r="BC254" i="7"/>
  <c r="BC36" i="7"/>
  <c r="BC1123" i="7"/>
  <c r="BC17" i="7"/>
  <c r="BC1736" i="7"/>
  <c r="BC283" i="7"/>
  <c r="BC165" i="7"/>
  <c r="BC168" i="7"/>
  <c r="BC290" i="7"/>
  <c r="BC349" i="7"/>
  <c r="BC455" i="7"/>
  <c r="BC2024" i="7"/>
  <c r="BC545" i="7"/>
  <c r="BC2238" i="7"/>
  <c r="BC543" i="7"/>
  <c r="BC956" i="7"/>
  <c r="BC1428" i="7"/>
  <c r="BC282" i="7"/>
  <c r="BC1609" i="7"/>
  <c r="BC85" i="7"/>
  <c r="BC225" i="7"/>
  <c r="BC83" i="7"/>
  <c r="BC1510" i="7"/>
  <c r="BC1308" i="7"/>
  <c r="BC1547" i="7"/>
  <c r="BC1722" i="7"/>
  <c r="BC1983" i="7"/>
  <c r="BC449" i="7"/>
  <c r="BC1448" i="7"/>
  <c r="BC1955" i="7"/>
  <c r="BC1403" i="7"/>
  <c r="BC792" i="7"/>
  <c r="BC424" i="7"/>
  <c r="BC640" i="7"/>
  <c r="BC1186" i="7"/>
  <c r="BC1446" i="7"/>
  <c r="BC101" i="7"/>
  <c r="BC907" i="7"/>
  <c r="BC2134" i="7"/>
  <c r="BC1546" i="7"/>
  <c r="BC865" i="7"/>
  <c r="BC697" i="7"/>
  <c r="BC1482" i="7"/>
  <c r="BC1995" i="7"/>
  <c r="BC680" i="7"/>
  <c r="BC1452" i="7"/>
  <c r="BC1236" i="7"/>
  <c r="BC1857" i="7"/>
  <c r="BC217" i="7"/>
  <c r="BC2202" i="7"/>
  <c r="BC766" i="7"/>
  <c r="BC1732" i="7"/>
  <c r="BC2105" i="7"/>
  <c r="BD76" i="7"/>
  <c r="BD792" i="7"/>
  <c r="BD2019" i="7"/>
  <c r="BD1833" i="7"/>
  <c r="BD526" i="7"/>
  <c r="BD7" i="7"/>
  <c r="BD1702" i="7"/>
  <c r="BD1913" i="7"/>
  <c r="BD2216" i="7"/>
  <c r="BD938" i="7"/>
  <c r="BD573" i="7"/>
  <c r="BD157" i="7"/>
  <c r="BD1164" i="7"/>
  <c r="BD1584" i="7"/>
  <c r="BD1480" i="7"/>
  <c r="BD1562" i="7"/>
  <c r="BD2108" i="7"/>
  <c r="BD1672" i="7"/>
  <c r="BD724" i="7"/>
  <c r="BD39" i="7"/>
  <c r="BD45" i="7"/>
  <c r="BC1391" i="7"/>
  <c r="BC2074" i="7"/>
  <c r="BC1672" i="7"/>
  <c r="BC1545" i="7"/>
  <c r="BC1524" i="7"/>
  <c r="BC399" i="7"/>
  <c r="BC933" i="7"/>
  <c r="BC335" i="7"/>
  <c r="BC2264" i="7"/>
  <c r="BC1774" i="7"/>
  <c r="BC459" i="7"/>
  <c r="BC1667" i="7"/>
  <c r="BC1107" i="7"/>
  <c r="BC1662" i="7"/>
  <c r="BC546" i="7"/>
  <c r="BC358" i="7"/>
  <c r="BC1692" i="7"/>
  <c r="BC285" i="7"/>
  <c r="BC72" i="7"/>
  <c r="BC109" i="7"/>
  <c r="BC1733" i="7"/>
  <c r="BC161" i="7"/>
  <c r="BC1294" i="7"/>
  <c r="BC1876" i="7"/>
  <c r="BC2012" i="7"/>
  <c r="BC2111" i="7"/>
  <c r="BC1055" i="7"/>
  <c r="BC1697" i="7"/>
  <c r="BC1231" i="7"/>
  <c r="BC1561" i="7"/>
  <c r="BD2046" i="7"/>
  <c r="BD1558" i="7"/>
  <c r="BD1298" i="7"/>
  <c r="BD2003" i="7"/>
  <c r="BD1070" i="7"/>
  <c r="BD1012" i="7"/>
  <c r="BD2077" i="7"/>
  <c r="BD362" i="7"/>
  <c r="BD1259" i="7"/>
  <c r="BD477" i="7"/>
  <c r="BD95" i="7"/>
  <c r="BD1889" i="7"/>
  <c r="BD783" i="7"/>
  <c r="BD1613" i="7"/>
  <c r="BD663" i="7"/>
  <c r="BD856" i="7"/>
  <c r="BD742" i="7"/>
  <c r="BD185" i="7"/>
  <c r="BD214" i="7"/>
  <c r="BD484" i="7"/>
  <c r="BD1240" i="7"/>
  <c r="BD167" i="7"/>
  <c r="BD2070" i="7"/>
  <c r="BD1220" i="7"/>
  <c r="BD2206" i="7"/>
  <c r="BD1189" i="7"/>
  <c r="BD374" i="7"/>
  <c r="BD1820" i="7"/>
  <c r="BD768" i="7"/>
  <c r="BD996" i="7"/>
  <c r="BD1027" i="7"/>
  <c r="BD1902" i="7"/>
  <c r="BD211" i="7"/>
  <c r="BD1397" i="7"/>
  <c r="BD1967" i="7"/>
  <c r="BD1825" i="7"/>
  <c r="BD2052" i="7"/>
  <c r="BD1153" i="7"/>
  <c r="BD625" i="7"/>
  <c r="BD364" i="7"/>
  <c r="BD3" i="7"/>
  <c r="BD26" i="7"/>
  <c r="BD284" i="7"/>
  <c r="BD1404" i="7"/>
  <c r="BD89" i="7"/>
  <c r="BD1085" i="7"/>
  <c r="BD1479" i="7"/>
  <c r="BD1716" i="7"/>
  <c r="BD645" i="7"/>
  <c r="BD1945" i="7"/>
  <c r="BD1773" i="7"/>
  <c r="BD2008" i="7"/>
  <c r="BD2169" i="7"/>
  <c r="BD2066" i="7"/>
  <c r="BD1545" i="7"/>
  <c r="BD521" i="7"/>
  <c r="BD972" i="7"/>
  <c r="BD1984" i="7"/>
  <c r="BD532" i="7"/>
  <c r="BD1095" i="7"/>
  <c r="BD1448" i="7"/>
  <c r="BD944" i="7"/>
  <c r="BD1191" i="7"/>
  <c r="BD42" i="7"/>
  <c r="BD1684" i="7"/>
  <c r="BD2280" i="7"/>
  <c r="BD1815" i="7"/>
  <c r="BD1468" i="7"/>
  <c r="BD448" i="7"/>
  <c r="BD863" i="7"/>
  <c r="BD933" i="7"/>
  <c r="BD1665" i="7"/>
  <c r="BD2057" i="7"/>
  <c r="BD1747" i="7"/>
  <c r="BD457" i="7"/>
  <c r="BD1949" i="7"/>
  <c r="BD2222" i="7"/>
  <c r="BD1455" i="7"/>
  <c r="BD615" i="7"/>
  <c r="BD240" i="7"/>
  <c r="BD1624" i="7"/>
  <c r="BD257" i="7"/>
  <c r="BD1300" i="7"/>
  <c r="BD1193" i="7"/>
  <c r="BD180" i="7"/>
  <c r="BD807" i="7"/>
  <c r="BD2201" i="7"/>
  <c r="BD1519" i="7"/>
  <c r="BD545" i="7"/>
  <c r="BD1360" i="7"/>
  <c r="BD684" i="7"/>
  <c r="BD393" i="7"/>
  <c r="BD1575" i="7"/>
  <c r="BD163" i="7"/>
  <c r="BD1002" i="7"/>
  <c r="BD2230" i="7"/>
  <c r="BD1250" i="7"/>
  <c r="BD467" i="7"/>
  <c r="BD117" i="7"/>
  <c r="BD1275" i="7"/>
  <c r="BD1619" i="7"/>
  <c r="BD878" i="7"/>
  <c r="BD517" i="7"/>
  <c r="BD1398" i="7"/>
  <c r="BD247" i="7"/>
  <c r="BD1171" i="7"/>
  <c r="BD865" i="7"/>
  <c r="BD1735" i="7"/>
  <c r="BD1109" i="7"/>
  <c r="BD2042" i="7"/>
  <c r="BD394" i="7"/>
  <c r="BD1885" i="7"/>
  <c r="BD1477" i="7"/>
  <c r="BD959" i="7"/>
  <c r="BD1444" i="7"/>
  <c r="BD2150" i="7"/>
  <c r="BD719" i="7"/>
  <c r="BD2" i="7"/>
  <c r="BD2250" i="7"/>
  <c r="BD1518" i="7"/>
  <c r="BD2179" i="7"/>
  <c r="BD547" i="7"/>
  <c r="BD1103" i="7"/>
  <c r="BD19" i="7"/>
  <c r="BD368" i="7"/>
  <c r="BD1891" i="7"/>
  <c r="BD1365" i="7"/>
  <c r="BD2226" i="7"/>
  <c r="BD983" i="7"/>
  <c r="BD508" i="7"/>
  <c r="BD994" i="7"/>
  <c r="BD1423" i="7"/>
  <c r="BD144" i="7"/>
  <c r="BD891" i="7"/>
  <c r="BD2195" i="7"/>
  <c r="BD978" i="7"/>
  <c r="BD1426" i="7"/>
  <c r="BD1676" i="7"/>
  <c r="BD693" i="7"/>
  <c r="BD1110" i="7"/>
  <c r="BD1817" i="7"/>
  <c r="BD1011" i="7"/>
  <c r="BD1308" i="7"/>
  <c r="BD303" i="7"/>
  <c r="BD1537" i="7"/>
  <c r="BD1757" i="7"/>
  <c r="BD916" i="7"/>
  <c r="BD1138" i="7"/>
  <c r="BD304" i="7"/>
  <c r="BD1536" i="7"/>
  <c r="BD633" i="7"/>
  <c r="BD1643" i="7"/>
  <c r="BD605" i="7"/>
  <c r="BD1834" i="7"/>
  <c r="BD1169" i="7"/>
  <c r="BD2098" i="7"/>
  <c r="BD1848" i="7"/>
  <c r="BD1726" i="7"/>
  <c r="BD1780" i="7"/>
  <c r="BD2142" i="7"/>
  <c r="BD694" i="7"/>
  <c r="BD679" i="7"/>
  <c r="BD613" i="7"/>
  <c r="BD1125" i="7"/>
  <c r="BD1639" i="7"/>
  <c r="BD131" i="7"/>
  <c r="BD361" i="7"/>
  <c r="BD2143" i="7"/>
  <c r="BD851" i="7"/>
  <c r="BD288" i="7"/>
  <c r="BD583" i="7"/>
  <c r="BD1708" i="7"/>
  <c r="BD2158" i="7"/>
  <c r="BD530" i="7"/>
  <c r="BD698" i="7"/>
  <c r="BD1387" i="7"/>
  <c r="BD1280" i="7"/>
  <c r="BD294" i="7"/>
  <c r="BD181" i="7"/>
  <c r="BD1520" i="7"/>
  <c r="BD710" i="7"/>
  <c r="BD1094" i="7"/>
  <c r="BD1112" i="7"/>
  <c r="BD575" i="7"/>
  <c r="BD725" i="7"/>
  <c r="BD750" i="7"/>
  <c r="BD1375" i="7"/>
  <c r="BD1087" i="7"/>
  <c r="BD350" i="7"/>
  <c r="BD903" i="7"/>
  <c r="BD774" i="7"/>
  <c r="BD542" i="7"/>
  <c r="BD911" i="7"/>
  <c r="BD1088" i="7"/>
  <c r="BD1106" i="7"/>
  <c r="BD177" i="7"/>
  <c r="BD1467" i="7"/>
  <c r="BD1007" i="7"/>
  <c r="BD2145" i="7"/>
  <c r="BD332" i="7"/>
  <c r="BD685" i="7"/>
  <c r="BD604" i="7"/>
  <c r="BD500" i="7"/>
  <c r="BD1707" i="7"/>
  <c r="BD1440" i="7"/>
  <c r="BD1154" i="7"/>
  <c r="BD1091" i="7"/>
  <c r="BD1883" i="7"/>
  <c r="BD1231" i="7"/>
  <c r="BD2276" i="7"/>
  <c r="BD872" i="7"/>
  <c r="BD1305" i="7"/>
  <c r="BD637" i="7"/>
  <c r="BD1344" i="7"/>
  <c r="BD1133" i="7"/>
  <c r="BD2258" i="7"/>
  <c r="BD842" i="7"/>
  <c r="BD1118" i="7"/>
  <c r="BD1974" i="7"/>
  <c r="BD831" i="7"/>
  <c r="BD1438" i="7"/>
  <c r="BD509" i="7"/>
  <c r="BD67" i="7"/>
  <c r="BD2164" i="7"/>
  <c r="BD1130" i="7"/>
  <c r="BD1204" i="7"/>
  <c r="BD8" i="7"/>
  <c r="BD1334" i="7"/>
  <c r="BD1136" i="7"/>
  <c r="BD1251" i="7"/>
  <c r="BD2194" i="7"/>
  <c r="BD1846" i="7"/>
  <c r="BD1511" i="7"/>
  <c r="BD717" i="7"/>
  <c r="BD1040" i="7"/>
  <c r="BD148" i="7"/>
  <c r="BD699" i="7"/>
  <c r="BD2079" i="7"/>
  <c r="BD671" i="7"/>
  <c r="BD225" i="7"/>
  <c r="BD1813" i="7"/>
  <c r="BD1876" i="7"/>
  <c r="BD966" i="7"/>
  <c r="BD1599" i="7"/>
  <c r="BD274" i="7"/>
  <c r="BD1807" i="7"/>
  <c r="BD1754" i="7"/>
  <c r="BD1870" i="7"/>
  <c r="BD538" i="7"/>
  <c r="BD681" i="7"/>
  <c r="BD1775" i="7"/>
  <c r="BD489" i="7"/>
  <c r="BD1019" i="7"/>
  <c r="BD1944" i="7"/>
  <c r="BD2121" i="7"/>
  <c r="BD888" i="7"/>
  <c r="BD821" i="7"/>
  <c r="BD1327" i="7"/>
  <c r="BD2062" i="7"/>
  <c r="BD584" i="7"/>
  <c r="BD281" i="7"/>
  <c r="BD1222" i="7"/>
  <c r="BD1796" i="7"/>
  <c r="BD899" i="7"/>
  <c r="BD1330" i="7"/>
  <c r="BD413" i="7"/>
  <c r="BD803" i="7"/>
  <c r="BD612" i="7"/>
  <c r="BD301" i="7"/>
  <c r="BD476" i="7"/>
  <c r="BD409" i="7"/>
  <c r="BD451" i="7"/>
  <c r="BD407" i="7"/>
  <c r="BD36" i="7"/>
  <c r="BD71" i="7"/>
  <c r="BD126" i="7"/>
  <c r="BD209" i="7"/>
  <c r="BD408" i="7"/>
  <c r="BD1759" i="7"/>
  <c r="BD709" i="7"/>
  <c r="BD25" i="7"/>
  <c r="BD79" i="7"/>
  <c r="BD88" i="7"/>
  <c r="BD109" i="7"/>
  <c r="BC2194" i="7"/>
  <c r="BC1538" i="7"/>
  <c r="BC502" i="7"/>
  <c r="BC357" i="7"/>
  <c r="BC1475" i="7"/>
  <c r="BC533" i="7"/>
  <c r="BC1159" i="7"/>
  <c r="BC1638" i="7"/>
  <c r="BC2227" i="7"/>
  <c r="BC1460" i="7"/>
  <c r="BC1816" i="7"/>
  <c r="BC239" i="7"/>
  <c r="BC694" i="7"/>
  <c r="BC1488" i="7"/>
  <c r="BC1677" i="7"/>
  <c r="BC1373" i="7"/>
  <c r="BC1821" i="7"/>
  <c r="BC1441" i="7"/>
  <c r="BC1762" i="7"/>
  <c r="BC139" i="7"/>
  <c r="BC128" i="7"/>
  <c r="BC2159" i="7"/>
  <c r="BC362" i="7"/>
  <c r="BC1539" i="7"/>
  <c r="BC415" i="7"/>
  <c r="BC1505" i="7"/>
  <c r="BC1967" i="7"/>
  <c r="BC1640" i="7"/>
  <c r="BC1823" i="7"/>
  <c r="BC1643" i="7"/>
  <c r="BC1027" i="7"/>
  <c r="BC1261" i="7"/>
  <c r="BC1280" i="7"/>
  <c r="BC723" i="7"/>
  <c r="BC2236" i="7"/>
  <c r="BC1905" i="7"/>
  <c r="BC1322" i="7"/>
  <c r="BC935" i="7"/>
  <c r="BC1072" i="7"/>
  <c r="BC1392" i="7"/>
  <c r="BC1104" i="7"/>
  <c r="BC1106" i="7"/>
  <c r="BC665" i="7"/>
  <c r="BC1769" i="7"/>
  <c r="BC2079" i="7"/>
  <c r="BC238" i="7"/>
  <c r="BC730" i="7"/>
  <c r="BC950" i="7"/>
  <c r="BC1435" i="7"/>
  <c r="BC874" i="7"/>
  <c r="BC1726" i="7"/>
  <c r="BC489" i="7"/>
  <c r="BC1121" i="7"/>
  <c r="BC160" i="7"/>
  <c r="BC397" i="7"/>
  <c r="BC688" i="7"/>
  <c r="BC2246" i="7"/>
  <c r="BC2218" i="7"/>
  <c r="BC1149" i="7"/>
  <c r="BC2173" i="7"/>
  <c r="BC1329" i="7"/>
  <c r="BC343" i="7"/>
  <c r="BC1006" i="7"/>
  <c r="BC528" i="7"/>
  <c r="BC868" i="7"/>
  <c r="BC1412" i="7"/>
  <c r="BC840" i="7"/>
  <c r="BC1286" i="7"/>
  <c r="BC731" i="7"/>
  <c r="BC806" i="7"/>
  <c r="BC749" i="7"/>
  <c r="BC1279" i="7"/>
  <c r="BC916" i="7"/>
  <c r="BC520" i="7"/>
  <c r="BC1883" i="7"/>
  <c r="BC16" i="7"/>
  <c r="BC1270" i="7"/>
  <c r="BC900" i="7"/>
  <c r="BC1877" i="7"/>
  <c r="BC760" i="7"/>
  <c r="BC2125" i="7"/>
  <c r="BC1348" i="7"/>
  <c r="BC1253" i="7"/>
  <c r="BC551" i="7"/>
  <c r="BC1401" i="7"/>
  <c r="BC1676" i="7"/>
  <c r="BC971" i="7"/>
  <c r="BC1120" i="7"/>
  <c r="BC271" i="7"/>
  <c r="BC2263" i="7"/>
  <c r="BC979" i="7"/>
  <c r="BC14" i="7"/>
  <c r="BC325" i="7"/>
  <c r="BC1238" i="7"/>
  <c r="BC314" i="7"/>
  <c r="BC1541" i="7"/>
  <c r="BC1355" i="7"/>
  <c r="BC1360" i="7"/>
  <c r="BC377" i="7"/>
  <c r="BC779" i="7"/>
  <c r="BC1216" i="7"/>
  <c r="BC2037" i="7"/>
  <c r="BC1157" i="7"/>
  <c r="BC552" i="7"/>
  <c r="BC1461" i="7"/>
  <c r="BC480" i="7"/>
  <c r="BC1919" i="7"/>
  <c r="BC475" i="7"/>
  <c r="BC1756" i="7"/>
  <c r="BC1592" i="7"/>
  <c r="BC818" i="7"/>
  <c r="BC1976" i="7"/>
  <c r="BC134" i="7"/>
  <c r="BC1768" i="7"/>
  <c r="BC963" i="7"/>
  <c r="BC1507" i="7"/>
  <c r="BC1669" i="7"/>
  <c r="BC604" i="7"/>
  <c r="BC431" i="7"/>
  <c r="BC324" i="7"/>
  <c r="BC983" i="7"/>
  <c r="BC94" i="7"/>
  <c r="BC1374" i="7"/>
  <c r="BC1067" i="7"/>
  <c r="BC1885" i="7"/>
  <c r="BC1531" i="7"/>
  <c r="BC35" i="7"/>
  <c r="BC311" i="7"/>
  <c r="BC1720" i="7"/>
  <c r="BC1161" i="7"/>
  <c r="BC959" i="7"/>
  <c r="BC166" i="7"/>
  <c r="BC807" i="7"/>
  <c r="BC1693" i="7"/>
  <c r="BC467" i="7"/>
  <c r="BC1212" i="7"/>
  <c r="BC2032" i="7"/>
  <c r="BC303" i="7"/>
  <c r="BC1395" i="7"/>
  <c r="BC1455" i="7"/>
  <c r="BC224" i="7"/>
  <c r="BC2275" i="7"/>
  <c r="BC653" i="7"/>
  <c r="BC428" i="7"/>
  <c r="BC1775" i="7"/>
  <c r="BC1686" i="7"/>
  <c r="BC463" i="7"/>
  <c r="BC1040" i="7"/>
  <c r="BC588" i="7"/>
  <c r="BC1854" i="7"/>
  <c r="BC1611" i="7"/>
  <c r="BC1109" i="7"/>
  <c r="BC1239" i="7"/>
  <c r="BC912" i="7"/>
  <c r="BC427" i="7"/>
  <c r="BC1937" i="7"/>
  <c r="BC1631" i="7"/>
  <c r="BC1670" i="7"/>
  <c r="BC432" i="7"/>
  <c r="BC715" i="7"/>
  <c r="BC2142" i="7"/>
  <c r="BC1779" i="7"/>
  <c r="BC685" i="7"/>
  <c r="BC525" i="7"/>
  <c r="BC569" i="7"/>
  <c r="BC1299" i="7"/>
  <c r="BC704" i="7"/>
  <c r="BC939" i="7"/>
  <c r="BC2234" i="7"/>
  <c r="BC1485" i="7"/>
  <c r="BC1956" i="7"/>
  <c r="BC1470" i="7"/>
  <c r="BC472" i="7"/>
  <c r="BC1550" i="7"/>
  <c r="BD2193" i="7"/>
  <c r="BD930" i="7"/>
  <c r="BD400" i="7"/>
  <c r="BD2022" i="7"/>
  <c r="BD1150" i="7"/>
  <c r="BD806" i="7"/>
  <c r="BD1501" i="7"/>
  <c r="BD2050" i="7"/>
  <c r="BD2238" i="7"/>
  <c r="BD1469" i="7"/>
  <c r="BD249" i="7"/>
  <c r="BD867" i="7"/>
  <c r="BD921" i="7"/>
  <c r="BD1982" i="7"/>
  <c r="BD1634" i="7"/>
  <c r="BD701" i="7"/>
  <c r="BD2248" i="7"/>
  <c r="BD306" i="7"/>
  <c r="BD47" i="7"/>
  <c r="BC1861" i="7"/>
  <c r="BC922" i="7"/>
  <c r="BC718" i="7"/>
  <c r="BC1267" i="7"/>
  <c r="BC142" i="7"/>
  <c r="BC1700" i="7"/>
  <c r="BC2019" i="7"/>
  <c r="BC1709" i="7"/>
  <c r="BC1093" i="7"/>
  <c r="BC19" i="7"/>
  <c r="BC597" i="7"/>
  <c r="BC186" i="7"/>
  <c r="BC1307" i="7"/>
  <c r="BC1148" i="7"/>
  <c r="BC442" i="7"/>
  <c r="BC953" i="7"/>
  <c r="BC1044" i="7"/>
  <c r="BC1521" i="7"/>
  <c r="BC347" i="7"/>
  <c r="BC770" i="7"/>
  <c r="BC2177" i="7"/>
  <c r="BC2266" i="7"/>
  <c r="BC1514" i="7"/>
  <c r="BD1567" i="7"/>
  <c r="BD859" i="7"/>
  <c r="BD1299" i="7"/>
  <c r="BD2092" i="7"/>
  <c r="BD1161" i="7"/>
  <c r="BD135" i="7"/>
  <c r="BD1699" i="7"/>
  <c r="BD1425" i="7"/>
  <c r="BD1421" i="7"/>
  <c r="BD1241" i="7"/>
  <c r="BD1323" i="7"/>
  <c r="BD855" i="7"/>
  <c r="BD586" i="7"/>
  <c r="BD1543" i="7"/>
  <c r="BD170" i="7"/>
  <c r="BD1686" i="7"/>
  <c r="BD1082" i="7"/>
  <c r="BD21" i="7"/>
  <c r="BD1541" i="7"/>
  <c r="BD1529" i="7"/>
  <c r="BD472" i="7"/>
  <c r="BD1918" i="7"/>
  <c r="BD439" i="7"/>
  <c r="BD1818" i="7"/>
  <c r="BD1717" i="7"/>
  <c r="BD1840" i="7"/>
  <c r="BD1736" i="7"/>
  <c r="BD1988" i="7"/>
  <c r="BD1098" i="7"/>
  <c r="BD327" i="7"/>
  <c r="BD1264" i="7"/>
  <c r="BD1157" i="7"/>
  <c r="BD1589" i="7"/>
  <c r="BD1581" i="7"/>
  <c r="BD1406" i="7"/>
  <c r="BD2233" i="7"/>
  <c r="BD1187" i="7"/>
  <c r="BD1832" i="7"/>
  <c r="BD146" i="7"/>
  <c r="BD1635" i="7"/>
  <c r="BD1690" i="7"/>
  <c r="BD697" i="7"/>
  <c r="BD2090" i="7"/>
  <c r="BD1805" i="7"/>
  <c r="BD2020" i="7"/>
  <c r="BD1522" i="7"/>
  <c r="BD1948" i="7"/>
  <c r="BD99" i="7"/>
  <c r="BD10" i="7"/>
  <c r="BD2277" i="7"/>
  <c r="BD1205" i="7"/>
  <c r="BD356" i="7"/>
  <c r="BD549" i="7"/>
  <c r="BD2163" i="7"/>
  <c r="BD832" i="7"/>
  <c r="BD1004" i="7"/>
  <c r="BD1801" i="7"/>
  <c r="BD1866" i="7"/>
  <c r="BD1203" i="7"/>
  <c r="BD184" i="7"/>
  <c r="BD1337" i="7"/>
  <c r="BD869" i="7"/>
  <c r="BD805" i="7"/>
  <c r="BD1721" i="7"/>
  <c r="BD213" i="7"/>
  <c r="BD712" i="7"/>
  <c r="BD1257" i="7"/>
  <c r="BD2262" i="7"/>
  <c r="BD764" i="7"/>
  <c r="BD780" i="7"/>
  <c r="BD740" i="7"/>
  <c r="BD864" i="7"/>
  <c r="BD2165" i="7"/>
  <c r="BD556" i="7"/>
  <c r="BD161" i="7"/>
  <c r="BD1670" i="7"/>
  <c r="BD992" i="7"/>
  <c r="BD2261" i="7"/>
  <c r="BD153" i="7"/>
  <c r="BD342" i="7"/>
  <c r="BD974" i="7"/>
  <c r="BD453" i="7"/>
  <c r="BD1953" i="7"/>
  <c r="BD2035" i="7"/>
  <c r="BD2225" i="7"/>
  <c r="BD990" i="7"/>
  <c r="BD1760" i="7"/>
  <c r="BD1180" i="7"/>
  <c r="BD802" i="7"/>
  <c r="BD928" i="7"/>
  <c r="BD1725" i="7"/>
  <c r="BD321" i="7"/>
  <c r="BD1079" i="7"/>
  <c r="BD1035" i="7"/>
  <c r="BD1228" i="7"/>
  <c r="BD2212" i="7"/>
  <c r="BD1215" i="7"/>
  <c r="BD1279" i="7"/>
  <c r="BD436" i="7"/>
  <c r="BD494" i="7"/>
  <c r="BD396" i="7"/>
  <c r="BD760" i="7"/>
  <c r="BD560" i="7"/>
  <c r="BD950" i="7"/>
  <c r="BD1022" i="7"/>
  <c r="BD2088" i="7"/>
  <c r="BD708" i="7"/>
  <c r="BD1090" i="7"/>
  <c r="BD1475" i="7"/>
  <c r="BD1282" i="7"/>
  <c r="BD1447" i="7"/>
  <c r="BD1485" i="7"/>
  <c r="BD1688" i="7"/>
  <c r="BD1821" i="7"/>
  <c r="BD486" i="7"/>
  <c r="BD659" i="7"/>
  <c r="BD2054" i="7"/>
  <c r="BD221" i="7"/>
  <c r="BD2236" i="7"/>
  <c r="BD231" i="7"/>
  <c r="BD1052" i="7"/>
  <c r="BD1328" i="7"/>
  <c r="BD827" i="7"/>
  <c r="BD1806" i="7"/>
  <c r="BD1460" i="7"/>
  <c r="BD1456" i="7"/>
  <c r="BD358" i="7"/>
  <c r="BD852" i="7"/>
  <c r="BD124" i="7"/>
  <c r="BD1394" i="7"/>
  <c r="BD2211" i="7"/>
  <c r="BD975" i="7"/>
  <c r="BD1703" i="7"/>
  <c r="BD2244" i="7"/>
  <c r="BD682" i="7"/>
  <c r="BD273" i="7"/>
  <c r="BD1616" i="7"/>
  <c r="BD1664" i="7"/>
  <c r="BD1017" i="7"/>
  <c r="BD562" i="7"/>
  <c r="BD1560" i="7"/>
  <c r="BD2160" i="7"/>
  <c r="BD628" i="7"/>
  <c r="BD1238" i="7"/>
  <c r="BD608" i="7"/>
  <c r="BD883" i="7"/>
  <c r="BD902" i="7"/>
  <c r="BD78" i="7"/>
  <c r="BD311" i="7"/>
  <c r="BD190" i="7"/>
  <c r="BD271" i="7"/>
  <c r="BD302" i="7"/>
  <c r="BD35" i="7"/>
  <c r="BD72" i="7"/>
  <c r="BD197" i="7"/>
  <c r="BD201" i="7"/>
  <c r="BD410" i="7"/>
  <c r="BD1687" i="7"/>
  <c r="BD24" i="7"/>
  <c r="BD90" i="7"/>
  <c r="BD92" i="7"/>
  <c r="BD102" i="7"/>
  <c r="BC1633" i="7"/>
  <c r="BC2178" i="7"/>
  <c r="BC1867" i="7"/>
  <c r="BC1652" i="7"/>
  <c r="BC1385" i="7"/>
  <c r="BC2081" i="7"/>
  <c r="BC1924" i="7"/>
  <c r="BC478" i="7"/>
  <c r="BC925" i="7"/>
  <c r="BC503" i="7"/>
  <c r="BC1646" i="7"/>
  <c r="BC2205" i="7"/>
  <c r="BC1833" i="7"/>
  <c r="BC1363" i="7"/>
  <c r="BC1251" i="7"/>
  <c r="BC1946" i="7"/>
  <c r="BC870" i="7"/>
  <c r="BC1642" i="7"/>
  <c r="BC835" i="7"/>
  <c r="BC1287" i="7"/>
  <c r="BC1589" i="7"/>
  <c r="BC1716" i="7"/>
  <c r="BC1129" i="7"/>
  <c r="BC1802" i="7"/>
  <c r="BC1658" i="7"/>
  <c r="BC1122" i="7"/>
  <c r="BC2045" i="7"/>
  <c r="BC1615" i="7"/>
  <c r="BC1593" i="7"/>
  <c r="BC1635" i="7"/>
  <c r="BC889" i="7"/>
  <c r="BC1000" i="7"/>
  <c r="BC1346" i="7"/>
  <c r="BC1479" i="7"/>
  <c r="BC977" i="7"/>
  <c r="BC1864" i="7"/>
  <c r="BC1335" i="7"/>
  <c r="BC693" i="7"/>
  <c r="BC2276" i="7"/>
  <c r="BC2000" i="7"/>
  <c r="BC1517" i="7"/>
  <c r="BC2048" i="7"/>
  <c r="BC1567" i="7"/>
  <c r="BC742" i="7"/>
  <c r="BC1844" i="7"/>
  <c r="BC827" i="7"/>
  <c r="BC2152" i="7"/>
  <c r="BC616" i="7"/>
  <c r="BC1745" i="7"/>
  <c r="BC308" i="7"/>
  <c r="BC2054" i="7"/>
  <c r="BC263" i="7"/>
  <c r="BC700" i="7"/>
  <c r="BC572" i="7"/>
  <c r="BC2179" i="7"/>
  <c r="BC1108" i="7"/>
  <c r="BC1433" i="7"/>
  <c r="BC1663" i="7"/>
  <c r="BC1860" i="7"/>
  <c r="BC1831" i="7"/>
  <c r="BC1440" i="7"/>
  <c r="BC1921" i="7"/>
  <c r="BC940" i="7"/>
  <c r="BC1388" i="7"/>
  <c r="BC2124" i="7"/>
  <c r="BC2060" i="7"/>
  <c r="BC1001" i="7"/>
  <c r="BC1408" i="7"/>
  <c r="BC2249" i="7"/>
  <c r="BC973" i="7"/>
  <c r="BC298" i="7"/>
  <c r="BC127" i="7"/>
  <c r="BC2064" i="7"/>
  <c r="BC736" i="7"/>
  <c r="BC762" i="7"/>
  <c r="BC1260" i="7"/>
  <c r="BC974" i="7"/>
  <c r="BC1603" i="7"/>
  <c r="BC586" i="7"/>
  <c r="BC1807" i="7"/>
  <c r="BC470" i="7"/>
  <c r="BC1970" i="7"/>
  <c r="BC208" i="7"/>
  <c r="BC726" i="7"/>
  <c r="BC1904" i="7"/>
  <c r="BC114" i="7"/>
  <c r="BC1760" i="7"/>
  <c r="BC1182" i="7"/>
  <c r="BC951" i="7"/>
  <c r="BC323" i="7"/>
  <c r="BC2063" i="7"/>
  <c r="BC155" i="7"/>
  <c r="BC2073" i="7"/>
  <c r="BC1863" i="7"/>
  <c r="BC1735" i="7"/>
  <c r="BC1991" i="7"/>
  <c r="BC244" i="7"/>
  <c r="BC1680" i="7"/>
  <c r="BC2156" i="7"/>
  <c r="BC1414" i="7"/>
  <c r="BC1033" i="7"/>
  <c r="BC1526" i="7"/>
  <c r="BC1887" i="7"/>
  <c r="BC993" i="7"/>
  <c r="BC782" i="7"/>
  <c r="BC1226" i="7"/>
  <c r="BC1952" i="7"/>
  <c r="BC799" i="7"/>
  <c r="BC2268" i="7"/>
  <c r="BC1281" i="7"/>
  <c r="BC1343" i="7"/>
  <c r="BC2258" i="7"/>
  <c r="BC1463" i="7"/>
  <c r="BC1610" i="7"/>
  <c r="BC1540" i="7"/>
  <c r="BC1145" i="7"/>
  <c r="BC1356" i="7"/>
  <c r="BC508" i="7"/>
  <c r="BC1347" i="7"/>
  <c r="BC435" i="7"/>
  <c r="BC2242" i="7"/>
  <c r="BC96" i="7"/>
  <c r="BC2077" i="7"/>
  <c r="BC832" i="7"/>
  <c r="BC619" i="7"/>
  <c r="BC297" i="7"/>
  <c r="BC2191" i="7"/>
  <c r="BC1519" i="7"/>
  <c r="BC300" i="7"/>
  <c r="BC636" i="7"/>
  <c r="BC445" i="7"/>
  <c r="BC753" i="7"/>
  <c r="BC2280" i="7"/>
  <c r="BC994" i="7"/>
  <c r="BC649" i="7"/>
  <c r="BC1625" i="7"/>
  <c r="BC106" i="7"/>
  <c r="BC34" i="7"/>
  <c r="BC446" i="7"/>
  <c r="BC837" i="7"/>
  <c r="BC1094" i="7"/>
  <c r="BC132" i="7"/>
  <c r="BC164" i="7"/>
  <c r="BC178" i="7"/>
  <c r="BC576" i="7"/>
  <c r="BC1998" i="7"/>
  <c r="BC411" i="7"/>
  <c r="BC89" i="7"/>
  <c r="BC1536" i="7"/>
  <c r="BC107" i="7"/>
  <c r="BC1948" i="7"/>
  <c r="BC1879" i="7"/>
  <c r="BC962" i="7"/>
  <c r="BC1215" i="7"/>
  <c r="BC273" i="7"/>
  <c r="BC227" i="7"/>
  <c r="BC1838" i="7"/>
  <c r="BC1889" i="7"/>
  <c r="BC563" i="7"/>
  <c r="BC387" i="7"/>
  <c r="BC1451" i="7"/>
  <c r="BC2130" i="7"/>
  <c r="BC631" i="7"/>
  <c r="BC1850" i="7"/>
  <c r="BC1713" i="7"/>
  <c r="BC1305" i="7"/>
  <c r="BC1648" i="7"/>
  <c r="BC1630" i="7"/>
  <c r="BC409" i="7"/>
  <c r="BC249" i="7"/>
  <c r="BC982" i="7"/>
  <c r="BC630" i="7"/>
  <c r="BC79" i="7"/>
  <c r="BC419" i="7"/>
  <c r="BC1084" i="7"/>
  <c r="BC625" i="7"/>
  <c r="BC1739" i="7"/>
  <c r="BC2057" i="7"/>
  <c r="BC738" i="7"/>
  <c r="BC289" i="7"/>
  <c r="BC1051" i="7"/>
  <c r="BC2176" i="7"/>
  <c r="BC1938" i="7"/>
  <c r="BC2097" i="7"/>
  <c r="BC880" i="7"/>
  <c r="BD976" i="7"/>
  <c r="BD1499" i="7"/>
  <c r="BD1353" i="7"/>
  <c r="BD621" i="7"/>
  <c r="BD1247" i="7"/>
  <c r="BD1369" i="7"/>
  <c r="BD459" i="7"/>
  <c r="BD1064" i="7"/>
  <c r="BD2069" i="7"/>
  <c r="BD1787" i="7"/>
  <c r="BD2029" i="7"/>
  <c r="BD1594" i="7"/>
  <c r="BD1335" i="7"/>
  <c r="BD892" i="7"/>
  <c r="BD647" i="7"/>
  <c r="BD1030" i="7"/>
  <c r="BD23" i="7"/>
  <c r="BD1071" i="7"/>
  <c r="BD688" i="7"/>
  <c r="BD1645" i="7"/>
  <c r="BD1043" i="7"/>
  <c r="BD2067" i="7"/>
  <c r="BD122" i="7"/>
  <c r="BD594" i="7"/>
  <c r="BD250" i="7"/>
  <c r="BD1766" i="7"/>
  <c r="BC1751" i="7"/>
  <c r="BC1447" i="7"/>
  <c r="BC1900" i="7"/>
  <c r="BC1362" i="7"/>
  <c r="BC497" i="7"/>
  <c r="BC299" i="7"/>
  <c r="BC484" i="7"/>
  <c r="BC719" i="7"/>
  <c r="BC131" i="7"/>
  <c r="BC510" i="7"/>
  <c r="BC1189" i="7"/>
  <c r="BC342" i="7"/>
  <c r="BC509" i="7"/>
  <c r="BC1378" i="7"/>
  <c r="BC1512" i="7"/>
  <c r="BC1073" i="7"/>
  <c r="BC74" i="7"/>
  <c r="BC1181" i="7"/>
  <c r="BC712" i="7"/>
  <c r="BC796" i="7"/>
  <c r="BC474" i="7"/>
  <c r="BC1855" i="7"/>
  <c r="BC514" i="7"/>
  <c r="BC1424" i="7"/>
  <c r="BC421" i="7"/>
  <c r="BC1169" i="7"/>
  <c r="BC2096" i="7"/>
  <c r="BD1390" i="7"/>
  <c r="BD1049" i="7"/>
  <c r="BD981" i="7"/>
  <c r="BD1131" i="7"/>
  <c r="BD1685" i="7"/>
  <c r="BD1483" i="7"/>
  <c r="BD1267" i="7"/>
  <c r="BD1999" i="7"/>
  <c r="BD320" i="7"/>
  <c r="BD254" i="7"/>
  <c r="BD1696" i="7"/>
  <c r="BD778" i="7"/>
  <c r="BD319" i="7"/>
  <c r="BD1750" i="7"/>
  <c r="BD470" i="7"/>
  <c r="BD2242" i="7"/>
  <c r="BD1401" i="7"/>
  <c r="BD1603" i="7"/>
  <c r="BD1842" i="7"/>
  <c r="BD570" i="7"/>
  <c r="BD212" i="7"/>
  <c r="BD18" i="7"/>
  <c r="BD2217" i="7"/>
  <c r="BD11" i="7"/>
  <c r="BD739" i="7"/>
  <c r="BD1008" i="7"/>
  <c r="BD1065" i="7"/>
  <c r="BD1745" i="7"/>
  <c r="BD1156" i="7"/>
  <c r="BD412" i="7"/>
  <c r="BD1897" i="7"/>
  <c r="BD1626" i="7"/>
  <c r="BD1632" i="7"/>
  <c r="BD1437" i="7"/>
  <c r="BD926" i="7"/>
  <c r="BD1793" i="7"/>
  <c r="BD2173" i="7"/>
  <c r="BD670" i="7"/>
  <c r="BD9" i="7"/>
  <c r="BD2071" i="7"/>
  <c r="BD1683" i="7"/>
  <c r="BD988" i="7"/>
  <c r="BD2040" i="7"/>
  <c r="BD569" i="7"/>
  <c r="BD359" i="7"/>
  <c r="BD1354" i="7"/>
  <c r="BD295" i="7"/>
  <c r="BD143" i="7"/>
  <c r="BD1795" i="7"/>
  <c r="BD2095" i="7"/>
  <c r="BD758" i="7"/>
  <c r="BD1906" i="7"/>
  <c r="BD1901" i="7"/>
  <c r="BD1614" i="7"/>
  <c r="BD1610" i="7"/>
  <c r="BD1207" i="7"/>
  <c r="BD2219" i="7"/>
  <c r="BD815" i="7"/>
  <c r="BD2208" i="7"/>
  <c r="BD620" i="7"/>
  <c r="BD1644" i="7"/>
  <c r="BD1923" i="7"/>
  <c r="BD1551" i="7"/>
  <c r="BD915" i="7"/>
  <c r="BD643" i="7"/>
  <c r="BD961" i="7"/>
  <c r="BD2152" i="7"/>
  <c r="BD1413" i="7"/>
  <c r="BD1051" i="7"/>
  <c r="BD245" i="7"/>
  <c r="BD1577" i="7"/>
  <c r="BD797" i="7"/>
  <c r="BD432" i="7"/>
  <c r="BD1669" i="7"/>
  <c r="BD2011" i="7"/>
  <c r="BD854" i="7"/>
  <c r="BD483" i="7"/>
  <c r="BD1871" i="7"/>
  <c r="BD567" i="7"/>
  <c r="BD513" i="7"/>
  <c r="BD1457" i="7"/>
  <c r="BD2103" i="7"/>
  <c r="BD1217" i="7"/>
  <c r="BD1951" i="7"/>
  <c r="BD1841" i="7"/>
  <c r="BD1970" i="7"/>
  <c r="BD1881" i="7"/>
  <c r="BD2199" i="7"/>
  <c r="BD1420" i="7"/>
  <c r="BD2006" i="7"/>
  <c r="BD779" i="7"/>
  <c r="BD1932" i="7"/>
  <c r="BD1597" i="7"/>
  <c r="BD657" i="7"/>
  <c r="BD1403" i="7"/>
  <c r="BD1908" i="7"/>
  <c r="BD1361" i="7"/>
  <c r="BD1991" i="7"/>
  <c r="BD1569" i="7"/>
  <c r="BD1607" i="7"/>
  <c r="BD471" i="7"/>
  <c r="BD544" i="7"/>
  <c r="BD367" i="7"/>
  <c r="BD43" i="7"/>
  <c r="BD991" i="7"/>
  <c r="BD507" i="7"/>
  <c r="BD130" i="7"/>
  <c r="BD348" i="7"/>
  <c r="BD145" i="7"/>
  <c r="BD2260" i="7"/>
  <c r="BD1089" i="7"/>
  <c r="BD2218" i="7"/>
  <c r="BD1580" i="7"/>
  <c r="BD423" i="7"/>
  <c r="BD1852" i="7"/>
  <c r="BD1899" i="7"/>
  <c r="BD2038" i="7"/>
  <c r="BD2227" i="7"/>
  <c r="BD649" i="7"/>
  <c r="BD673" i="7"/>
  <c r="BD1930" i="7"/>
  <c r="BD1868" i="7"/>
  <c r="BD1625" i="7"/>
  <c r="BD1986" i="7"/>
  <c r="BD748" i="7"/>
  <c r="BD1466" i="7"/>
  <c r="BD2111" i="7"/>
  <c r="BD1509" i="7"/>
  <c r="BD1650" i="7"/>
  <c r="BD2041" i="7"/>
  <c r="BD1432" i="7"/>
  <c r="BD1996" i="7"/>
  <c r="BD2107" i="7"/>
  <c r="BD395" i="7"/>
  <c r="BD909" i="7"/>
  <c r="BD564" i="7"/>
  <c r="BD380" i="7"/>
  <c r="BD2051" i="7"/>
  <c r="BD2274" i="7"/>
  <c r="BD1352" i="7"/>
  <c r="BD1416" i="7"/>
  <c r="BD886" i="7"/>
  <c r="BD398" i="7"/>
  <c r="BD1407" i="7"/>
  <c r="BD1997" i="7"/>
  <c r="BD1892" i="7"/>
  <c r="BD834" i="7"/>
  <c r="BD1145" i="7"/>
  <c r="BD1615" i="7"/>
  <c r="BD2241" i="7"/>
  <c r="BD1474" i="7"/>
  <c r="BD158" i="7"/>
  <c r="BD1239" i="7"/>
  <c r="BD897" i="7"/>
  <c r="BD1249" i="7"/>
  <c r="BD1804" i="7"/>
  <c r="BD203" i="7"/>
  <c r="BD672" i="7"/>
  <c r="BD1666" i="7"/>
  <c r="BD1502" i="7"/>
  <c r="BD963" i="7"/>
  <c r="BD289" i="7"/>
  <c r="BD874" i="7"/>
  <c r="BD906" i="7"/>
  <c r="BD648" i="7"/>
  <c r="BD776" i="7"/>
  <c r="BD2272" i="7"/>
  <c r="BD171" i="7"/>
  <c r="BD2234" i="7"/>
  <c r="BD1066" i="7"/>
  <c r="BD2257" i="7"/>
  <c r="BD162" i="7"/>
  <c r="BD811" i="7"/>
  <c r="BD1050" i="7"/>
  <c r="BD425" i="7"/>
  <c r="BD781" i="7"/>
  <c r="BD2229" i="7"/>
  <c r="BD1270" i="7"/>
  <c r="BD1844" i="7"/>
  <c r="BD2255" i="7"/>
  <c r="BD808" i="7"/>
  <c r="BD540" i="7"/>
  <c r="BD1572" i="7"/>
  <c r="BD2273" i="7"/>
  <c r="BD1117" i="7"/>
  <c r="BD587" i="7"/>
  <c r="BD1355" i="7"/>
  <c r="BD1296" i="7"/>
  <c r="BD601" i="7"/>
  <c r="BD1431" i="7"/>
  <c r="BD555" i="7"/>
  <c r="BD276" i="7"/>
  <c r="BD253" i="7"/>
  <c r="BD1931" i="7"/>
  <c r="BD1550" i="7"/>
  <c r="BD1383" i="7"/>
  <c r="BD335" i="7"/>
  <c r="BD1907" i="7"/>
  <c r="BD922" i="7"/>
  <c r="BD1916" i="7"/>
  <c r="BD715" i="7"/>
  <c r="BD1487" i="7"/>
  <c r="BD1045" i="7"/>
  <c r="BD1513" i="7"/>
  <c r="BD258" i="7"/>
  <c r="BD861" i="7"/>
  <c r="BD1965" i="7"/>
  <c r="BD559" i="7"/>
  <c r="BD220" i="7"/>
  <c r="BD1910" i="7"/>
  <c r="BD228" i="7"/>
  <c r="BD1904" i="7"/>
  <c r="BD1198" i="7"/>
  <c r="BD1053" i="7"/>
  <c r="BD1368" i="7"/>
  <c r="BD1783" i="7"/>
  <c r="BD1681" i="7"/>
  <c r="BD326" i="7"/>
  <c r="BD1003" i="7"/>
  <c r="BD136" i="7"/>
  <c r="BD1592" i="7"/>
  <c r="BD730" i="7"/>
  <c r="BD737" i="7"/>
  <c r="BD823" i="7"/>
  <c r="BD2187" i="7"/>
  <c r="BD1587" i="7"/>
  <c r="BD1122" i="7"/>
  <c r="BD2004" i="7"/>
  <c r="BD654" i="7"/>
  <c r="BD919" i="7"/>
  <c r="BD631" i="7"/>
  <c r="BD929" i="7"/>
  <c r="BD1472" i="7"/>
  <c r="BD1588" i="7"/>
  <c r="BD596" i="7"/>
  <c r="BD1163" i="7"/>
  <c r="BD1223" i="7"/>
  <c r="BD795" i="7"/>
  <c r="BD838" i="7"/>
  <c r="BD383" i="7"/>
  <c r="BD312" i="7"/>
  <c r="BD191" i="7"/>
  <c r="BD283" i="7"/>
  <c r="BD280" i="7"/>
  <c r="BD34" i="7"/>
  <c r="BD73" i="7"/>
  <c r="BD195" i="7"/>
  <c r="BD210" i="7"/>
  <c r="BD381" i="7"/>
  <c r="BD1756" i="7"/>
  <c r="BD86" i="7"/>
  <c r="BD51" i="7"/>
  <c r="BD97" i="7"/>
  <c r="BD100" i="7"/>
  <c r="BC2254" i="7"/>
  <c r="BC1846" i="7"/>
  <c r="BC2087" i="7"/>
  <c r="BC2132" i="7"/>
  <c r="BC2208" i="7"/>
  <c r="BC2101" i="7"/>
  <c r="BC812" i="7"/>
  <c r="BC2047" i="7"/>
  <c r="BC406" i="7"/>
  <c r="BC1719" i="7"/>
  <c r="BC2274" i="7"/>
  <c r="BC1490" i="7"/>
  <c r="BC1847" i="7"/>
  <c r="BC957" i="7"/>
  <c r="BC496" i="7"/>
  <c r="BC931" i="7"/>
  <c r="BC644" i="7"/>
  <c r="BC627" i="7"/>
  <c r="BC1057" i="7"/>
  <c r="BC1842" i="7"/>
  <c r="BC1304" i="7"/>
  <c r="BC1303" i="7"/>
  <c r="BC1325" i="7"/>
  <c r="BC2271" i="7"/>
  <c r="BC380" i="7"/>
  <c r="BC668" i="7"/>
  <c r="BC1314" i="7"/>
  <c r="BC2243" i="7"/>
  <c r="BC1632" i="7"/>
  <c r="BC281" i="7"/>
  <c r="BC2240" i="7"/>
  <c r="BC1465" i="7"/>
  <c r="BC603" i="7"/>
  <c r="BC1147" i="7"/>
  <c r="BC426" i="7"/>
  <c r="BC1650" i="7"/>
  <c r="BC734" i="7"/>
  <c r="BC1004" i="7"/>
  <c r="BC1389" i="7"/>
  <c r="BC169" i="7"/>
  <c r="BC476" i="7"/>
  <c r="BC1529" i="7"/>
  <c r="BC194" i="7"/>
  <c r="BC1922" i="7"/>
  <c r="BC1738" i="7"/>
  <c r="BC773" i="7"/>
  <c r="BC1980" i="7"/>
  <c r="BC4" i="7"/>
  <c r="BC1543" i="7"/>
  <c r="BC2100" i="7"/>
  <c r="BC2222" i="7"/>
  <c r="BC2160" i="7"/>
  <c r="BC617" i="7"/>
  <c r="BC192" i="7"/>
  <c r="BC1803" i="7"/>
  <c r="BC810" i="7"/>
  <c r="BC1528" i="7"/>
  <c r="BC1438" i="7"/>
  <c r="BC817" i="7"/>
  <c r="BC1574" i="7"/>
  <c r="BC932" i="7"/>
  <c r="BC430" i="7"/>
  <c r="BC853" i="7"/>
  <c r="BC647" i="7"/>
  <c r="BC554" i="7"/>
  <c r="BC1020" i="7"/>
  <c r="BC638" i="7"/>
  <c r="BC444" i="7"/>
  <c r="BC1771" i="7"/>
  <c r="BC849" i="7"/>
  <c r="BC2113" i="7"/>
  <c r="BC834" i="7"/>
  <c r="BC2168" i="7"/>
  <c r="BC1868" i="7"/>
  <c r="BC1450" i="7"/>
  <c r="BC1387" i="7"/>
  <c r="BC903" i="7"/>
  <c r="BC1368" i="7"/>
  <c r="BC522" i="7"/>
  <c r="BC1548" i="7"/>
  <c r="BC1576" i="7"/>
  <c r="BC1296" i="7"/>
  <c r="BC1743" i="7"/>
  <c r="BE1743" i="7" s="1"/>
  <c r="BF1743" i="7" s="1"/>
  <c r="BC1052" i="7"/>
  <c r="BC1336" i="7"/>
  <c r="BC1554" i="7"/>
  <c r="BC1523" i="7"/>
  <c r="BC123" i="7"/>
  <c r="BC717" i="7"/>
  <c r="BC486" i="7"/>
  <c r="BC1705" i="7"/>
  <c r="BC2038" i="7"/>
  <c r="BC156" i="7"/>
  <c r="BC2223" i="7"/>
  <c r="BC1019" i="7"/>
  <c r="BC148" i="7"/>
  <c r="BC1565" i="7"/>
  <c r="BC620" i="7"/>
  <c r="BC1278" i="7"/>
  <c r="BC1466" i="7"/>
  <c r="BC1954" i="7"/>
  <c r="BC2013" i="7"/>
  <c r="BC1319" i="7"/>
  <c r="BC490" i="7"/>
  <c r="BC793" i="7"/>
  <c r="BC639" i="7"/>
  <c r="BC1698" i="7"/>
  <c r="BC1957" i="7"/>
  <c r="BC389" i="7"/>
  <c r="BC1017" i="7"/>
  <c r="BC414" i="7"/>
  <c r="BC1761" i="7"/>
  <c r="BC658" i="7"/>
  <c r="BC1912" i="7"/>
  <c r="BC841" i="7"/>
  <c r="BC338" i="7"/>
  <c r="BC1262" i="7"/>
  <c r="BC1544" i="7"/>
  <c r="BC946" i="7"/>
  <c r="BC1274" i="7"/>
  <c r="BC875" i="7"/>
  <c r="BC1525" i="7"/>
  <c r="BC443" i="7"/>
  <c r="BC1198" i="7"/>
  <c r="BC2210" i="7"/>
  <c r="BC113" i="7"/>
  <c r="BC135" i="7"/>
  <c r="BC1079" i="7"/>
  <c r="BC527" i="7"/>
  <c r="BC895" i="7"/>
  <c r="BC856" i="7"/>
  <c r="BC10" i="7"/>
  <c r="BC376" i="7"/>
  <c r="BC1160" i="7"/>
  <c r="BC33" i="7"/>
  <c r="BC1695" i="7"/>
  <c r="BC995" i="7"/>
  <c r="BC1409" i="7"/>
  <c r="BC179" i="7"/>
  <c r="BC1649" i="7"/>
  <c r="BC1770" i="7"/>
  <c r="BC120" i="7"/>
  <c r="BC1674" i="7"/>
  <c r="BC714" i="7"/>
  <c r="BC7" i="7"/>
  <c r="BC1787" i="7"/>
  <c r="BC965" i="7"/>
  <c r="BC1096" i="7"/>
  <c r="BC240" i="7"/>
  <c r="BC231" i="7"/>
  <c r="BC2006" i="7"/>
  <c r="BC560" i="7"/>
  <c r="BC1654" i="7"/>
  <c r="BC1095" i="7"/>
  <c r="BC2203" i="7"/>
  <c r="BC1187" i="7"/>
  <c r="BC234" i="7"/>
  <c r="BC1125" i="7"/>
  <c r="BC1333" i="7"/>
  <c r="BC1077" i="7"/>
  <c r="BC1612" i="7"/>
  <c r="BC1243" i="7"/>
  <c r="BC1940" i="7"/>
  <c r="BC1288" i="7"/>
  <c r="BC1284" i="7"/>
  <c r="BC1961" i="7"/>
  <c r="BC418" i="7"/>
  <c r="BC1220" i="7"/>
  <c r="BC839" i="7"/>
  <c r="BC216" i="7"/>
  <c r="BC1800" i="7"/>
  <c r="BC2193" i="7"/>
  <c r="BC678" i="7"/>
  <c r="BC499" i="7"/>
  <c r="BC1013" i="7"/>
  <c r="BC955" i="7"/>
  <c r="BC1295" i="7"/>
  <c r="BC1257" i="7"/>
  <c r="BC929" i="7"/>
  <c r="BC1973" i="7"/>
  <c r="BC648" i="7"/>
  <c r="BC758" i="7"/>
  <c r="BC938" i="7"/>
  <c r="BC808" i="7"/>
  <c r="BC1273" i="7"/>
  <c r="BC2256" i="7"/>
  <c r="BC278" i="7"/>
  <c r="BC2199" i="7"/>
  <c r="BC1062" i="7"/>
  <c r="BD1934" i="7"/>
  <c r="BD2204" i="7"/>
  <c r="BD1014" i="7"/>
  <c r="BD1063" i="7"/>
  <c r="BD106" i="7"/>
  <c r="BD669" i="7"/>
  <c r="BD695" i="7"/>
  <c r="BD1973" i="7"/>
  <c r="BD765" i="7"/>
  <c r="BD836" i="7"/>
  <c r="BD535" i="7"/>
  <c r="BD351" i="7"/>
  <c r="BD687" i="7"/>
  <c r="BD632" i="7"/>
  <c r="BD1701" i="7"/>
  <c r="BD415" i="7"/>
  <c r="BD639" i="7"/>
  <c r="BD905" i="7"/>
  <c r="BD1630" i="7"/>
  <c r="BD757" i="7"/>
  <c r="BC920" i="7"/>
  <c r="BC2075" i="7"/>
  <c r="BC702" i="7"/>
  <c r="BC556" i="7"/>
  <c r="BC1422" i="7"/>
  <c r="BC1135" i="7"/>
  <c r="BC1043" i="7"/>
  <c r="BC917" i="7"/>
  <c r="BC1353" i="7"/>
  <c r="BC1617" i="7"/>
  <c r="BC1382" i="7"/>
  <c r="BC1729" i="7"/>
  <c r="BC2278" i="7"/>
  <c r="BC400" i="7"/>
  <c r="BC864" i="7"/>
  <c r="BC1551" i="7"/>
  <c r="BC1478" i="7"/>
  <c r="BC1557" i="7"/>
  <c r="BC937" i="7"/>
  <c r="BC356" i="7"/>
  <c r="BC1184" i="7"/>
  <c r="BC1939" i="7"/>
  <c r="BC1516" i="7"/>
  <c r="BC596" i="7"/>
  <c r="BD1359" i="7"/>
  <c r="BD702" i="7"/>
  <c r="BD819" i="7"/>
  <c r="BD1909" i="7"/>
  <c r="BD1349" i="7"/>
  <c r="BD473" i="7"/>
  <c r="BD1839" i="7"/>
  <c r="BD1227" i="7"/>
  <c r="BD2065" i="7"/>
  <c r="BD925" i="7"/>
  <c r="BD1488" i="7"/>
  <c r="BD1492" i="7"/>
  <c r="BD1638" i="7"/>
  <c r="BD1388" i="7"/>
  <c r="BD756" i="7"/>
  <c r="BD55" i="7"/>
  <c r="BD140" i="7"/>
  <c r="BD1099" i="7"/>
  <c r="BD498" i="7"/>
  <c r="BD2129" i="7"/>
  <c r="BD790" i="7"/>
  <c r="BD558" i="7"/>
  <c r="BD853" i="7"/>
  <c r="BD2016" i="7"/>
  <c r="BD589" i="7"/>
  <c r="BD2032" i="7"/>
  <c r="BD1705" i="7"/>
  <c r="BD343" i="7"/>
  <c r="BD2215" i="7"/>
  <c r="BD315" i="7"/>
  <c r="BD2155" i="7"/>
  <c r="BD1449" i="7"/>
  <c r="BD1964" i="7"/>
  <c r="BD255" i="7"/>
  <c r="BD2279" i="7"/>
  <c r="BD1100" i="7"/>
  <c r="BD1332" i="7"/>
  <c r="BD2182" i="7"/>
  <c r="BD176" i="7"/>
  <c r="BD1097" i="7"/>
  <c r="BD1268" i="7"/>
  <c r="BD1858" i="7"/>
  <c r="BD904" i="7"/>
  <c r="BD2026" i="7"/>
  <c r="BD1506" i="7"/>
  <c r="BD662" i="7"/>
  <c r="BD296" i="7"/>
  <c r="BD887" i="7"/>
  <c r="BD753" i="7"/>
  <c r="BD1765" i="7"/>
  <c r="BD1287" i="7"/>
  <c r="BD499" i="7"/>
  <c r="BD2093" i="7"/>
  <c r="BD1788" i="7"/>
  <c r="BD429" i="7"/>
  <c r="BD936" i="7"/>
  <c r="BD1338" i="7"/>
  <c r="BD333" i="7"/>
  <c r="BD1074" i="7"/>
  <c r="BD634" i="7"/>
  <c r="BD341" i="7"/>
  <c r="BD1554" i="7"/>
  <c r="BD1473" i="7"/>
  <c r="BD1363" i="7"/>
  <c r="BD743" i="7"/>
  <c r="BD1459" i="7"/>
  <c r="BD1812" i="7"/>
  <c r="BD1258" i="7"/>
  <c r="BD706" i="7"/>
  <c r="BD2047" i="7"/>
  <c r="BD1989" i="7"/>
  <c r="BD1600" i="7"/>
  <c r="BD668" i="7"/>
  <c r="BD1677" i="7"/>
  <c r="BD1911" i="7"/>
  <c r="BD1668" i="7"/>
  <c r="BD293" i="7"/>
  <c r="BD1768" i="7"/>
  <c r="BD188" i="7"/>
  <c r="BD310" i="7"/>
  <c r="BD1880" i="7"/>
  <c r="BD734" i="7"/>
  <c r="BD1829" i="7"/>
  <c r="BD537" i="7"/>
  <c r="BD1037" i="7"/>
  <c r="BD446" i="7"/>
  <c r="BD2018" i="7"/>
  <c r="BD576" i="7"/>
  <c r="BD1197" i="7"/>
  <c r="BD1151" i="7"/>
  <c r="BD390" i="7"/>
  <c r="BD1797" i="7"/>
  <c r="BD65" i="7"/>
  <c r="BD282" i="7"/>
  <c r="BD353" i="7"/>
  <c r="BD33" i="7"/>
  <c r="BD77" i="7"/>
  <c r="BD186" i="7"/>
  <c r="BD229" i="7"/>
  <c r="BD382" i="7"/>
  <c r="BD1373" i="7"/>
  <c r="BD48" i="7"/>
  <c r="BD108" i="7"/>
  <c r="BC2182" i="7"/>
  <c r="BC1339" i="7"/>
  <c r="BC609" i="7"/>
  <c r="BC379" i="7"/>
  <c r="BC2017" i="7"/>
  <c r="BC2010" i="7"/>
  <c r="BC353" i="7"/>
  <c r="BC544" i="7"/>
  <c r="BC1481" i="7"/>
  <c r="BC894" i="7"/>
  <c r="BC675" i="7"/>
  <c r="BC709" i="7"/>
  <c r="BC1188" i="7"/>
  <c r="BC1575" i="7"/>
  <c r="BC945" i="7"/>
  <c r="BC506" i="7"/>
  <c r="BC801" i="7"/>
  <c r="BC1425" i="7"/>
  <c r="BC1968" i="7"/>
  <c r="BC334" i="7"/>
  <c r="BC721" i="7"/>
  <c r="BC1048" i="7"/>
  <c r="BC775" i="7"/>
  <c r="BC354" i="7"/>
  <c r="BC54" i="7"/>
  <c r="BC417" i="7"/>
  <c r="BC815" i="7"/>
  <c r="BC147" i="7"/>
  <c r="BC1221" i="7"/>
  <c r="BC2165" i="7"/>
  <c r="BC548" i="7"/>
  <c r="BC207" i="7"/>
  <c r="BC91" i="7"/>
  <c r="BC1797" i="7"/>
  <c r="BC645" i="7"/>
  <c r="BC650" i="7"/>
  <c r="BC970" i="7"/>
  <c r="BE970" i="7" s="1"/>
  <c r="BF970" i="7" s="1"/>
  <c r="BC32" i="7"/>
  <c r="BC1242" i="7"/>
  <c r="BC898" i="7"/>
  <c r="BC360" i="7"/>
  <c r="BC1223" i="7"/>
  <c r="BC173" i="7"/>
  <c r="BC157" i="7"/>
  <c r="BC104" i="7"/>
  <c r="BC550" i="7"/>
  <c r="BC119" i="7"/>
  <c r="BC1364" i="7"/>
  <c r="BC1690" i="7"/>
  <c r="BC772" i="7"/>
  <c r="BC24" i="7"/>
  <c r="BC370" i="7"/>
  <c r="BC1244" i="7"/>
  <c r="BC1155" i="7"/>
  <c r="BC1699" i="7"/>
  <c r="BC891" i="7"/>
  <c r="BC228" i="7"/>
  <c r="BC1234" i="7"/>
  <c r="BC1232" i="7"/>
  <c r="BC1494" i="7"/>
  <c r="BC969" i="7"/>
  <c r="BC1206" i="7"/>
  <c r="BC60" i="7"/>
  <c r="BC1994" i="7"/>
  <c r="BC388" i="7"/>
  <c r="BC1734" i="7"/>
  <c r="BC140" i="7"/>
  <c r="BC1502" i="7"/>
  <c r="BC1491" i="7"/>
  <c r="BC561" i="7"/>
  <c r="BC2282" i="7"/>
  <c r="BC1176" i="7"/>
  <c r="BC103" i="7"/>
  <c r="BC1578" i="7"/>
  <c r="BC408" i="7"/>
  <c r="BC710" i="7"/>
  <c r="BC1621" i="7"/>
  <c r="BC960" i="7"/>
  <c r="BC1247" i="7"/>
  <c r="BC1178" i="7"/>
  <c r="BC871" i="7"/>
  <c r="BC252" i="7"/>
  <c r="BC2255" i="7"/>
  <c r="BC1908" i="7"/>
  <c r="BC1858" i="7"/>
  <c r="BC222" i="7"/>
  <c r="BC1814" i="7"/>
  <c r="BC2259" i="7"/>
  <c r="BC1929" i="7"/>
  <c r="BC1177" i="7"/>
  <c r="BC2114" i="7"/>
  <c r="BC2082" i="7"/>
  <c r="BC241" i="7"/>
  <c r="BC1342" i="7"/>
  <c r="BC1792" i="7"/>
  <c r="BC1241" i="7"/>
  <c r="BC423" i="7"/>
  <c r="BC1577" i="7"/>
  <c r="BC1138" i="7"/>
  <c r="BC581" i="7"/>
  <c r="BC1629" i="7"/>
  <c r="BC456" i="7"/>
  <c r="BC838" i="7"/>
  <c r="BC722" i="7"/>
  <c r="BC664" i="7"/>
  <c r="BC1011" i="7"/>
  <c r="BC958" i="7"/>
  <c r="BC52" i="7"/>
  <c r="BC1607" i="7"/>
  <c r="BD788" i="7"/>
  <c r="BD1835" i="7"/>
  <c r="BD626" i="7"/>
  <c r="BD1691" i="7"/>
  <c r="BD2140" i="7"/>
  <c r="BD1170" i="7"/>
  <c r="BD1869" i="7"/>
  <c r="BD1620" i="7"/>
  <c r="BD1055" i="7"/>
  <c r="BD1887" i="7"/>
  <c r="BD1141" i="7"/>
  <c r="BD582" i="7"/>
  <c r="BD15" i="7"/>
  <c r="BD1186" i="7"/>
  <c r="BD420" i="7"/>
  <c r="BD1612" i="7"/>
  <c r="BD1188" i="7"/>
  <c r="BD1552" i="7"/>
  <c r="BD1646" i="7"/>
  <c r="BD1443" i="7"/>
  <c r="BD501" i="7"/>
  <c r="BD159" i="7"/>
  <c r="BD104" i="7"/>
  <c r="BC2232" i="7"/>
  <c r="BC728" i="7"/>
  <c r="BC1384" i="7"/>
  <c r="BC1143" i="7"/>
  <c r="BC293" i="7"/>
  <c r="BC292" i="7"/>
  <c r="BC1203" i="7"/>
  <c r="BC65" i="7"/>
  <c r="BC1118" i="7"/>
  <c r="BC366" i="7"/>
  <c r="BC1275" i="7"/>
  <c r="BC988" i="7"/>
  <c r="BC1819" i="7"/>
  <c r="BC1137" i="7"/>
  <c r="BC425" i="7"/>
  <c r="BC906" i="7"/>
  <c r="BC739" i="7"/>
  <c r="BC1532" i="7"/>
  <c r="BC182" i="7"/>
  <c r="BC565" i="7"/>
  <c r="BC2023" i="7"/>
  <c r="BC1468" i="7"/>
  <c r="BC1853" i="7"/>
  <c r="BC1036" i="7"/>
  <c r="BC141" i="7"/>
  <c r="BC361" i="7"/>
  <c r="BC1035" i="7"/>
  <c r="BD1304" i="7"/>
  <c r="BD1682" i="7"/>
  <c r="BD912" i="7"/>
  <c r="BD1294" i="7"/>
  <c r="BD638" i="7"/>
  <c r="BD1415" i="7"/>
  <c r="BD1992" i="7"/>
  <c r="BD954" i="7"/>
  <c r="BD2161" i="7"/>
  <c r="BD2171" i="7"/>
  <c r="BD1377" i="7"/>
  <c r="BD678" i="7"/>
  <c r="BD951" i="7"/>
  <c r="BD1123" i="7"/>
  <c r="BD1531" i="7"/>
  <c r="BD2213" i="7"/>
  <c r="BD512" i="7"/>
  <c r="BD239" i="7"/>
  <c r="BD1178" i="7"/>
  <c r="BD347" i="7"/>
  <c r="BD2268" i="7"/>
  <c r="BD1346" i="7"/>
  <c r="BD1400" i="7"/>
  <c r="BD519" i="7"/>
  <c r="BD1894" i="7"/>
  <c r="BD1926" i="7"/>
  <c r="BD299" i="7"/>
  <c r="BD1571" i="7"/>
  <c r="BD552" i="7"/>
  <c r="BD1532" i="7"/>
  <c r="BD1137" i="7"/>
  <c r="BD1535" i="7"/>
  <c r="BD2089" i="7"/>
  <c r="BD1739" i="7"/>
  <c r="BD1830" i="7"/>
  <c r="BD431" i="7"/>
  <c r="BD766" i="7"/>
  <c r="BD563" i="7"/>
  <c r="BD1430" i="7"/>
  <c r="BD1208" i="7"/>
  <c r="BD2181" i="7"/>
  <c r="BD2263" i="7"/>
  <c r="BD1879" i="7"/>
  <c r="BD1184" i="7"/>
  <c r="BD660" i="7"/>
  <c r="BD2096" i="7"/>
  <c r="BD149" i="7"/>
  <c r="BD879" i="7"/>
  <c r="BD172" i="7"/>
  <c r="BD703" i="7"/>
  <c r="BD1001" i="7"/>
  <c r="BD2210" i="7"/>
  <c r="BD1116" i="7"/>
  <c r="BD1111" i="7"/>
  <c r="BD1405" i="7"/>
  <c r="BD133" i="7"/>
  <c r="BD1152" i="7"/>
  <c r="BD1199" i="7"/>
  <c r="BD1453" i="7"/>
  <c r="BD199" i="7"/>
  <c r="BD1574" i="7"/>
  <c r="BD256" i="7"/>
  <c r="BD1864" i="7"/>
  <c r="BD1680" i="7"/>
  <c r="BD1987" i="7"/>
  <c r="BD1850" i="7"/>
  <c r="BD495" i="7"/>
  <c r="BD1942" i="7"/>
  <c r="BD224" i="7"/>
  <c r="BD219" i="7"/>
  <c r="BD1503" i="7"/>
  <c r="BD1774" i="7"/>
  <c r="BD1015" i="7"/>
  <c r="BD2282" i="7"/>
  <c r="BD940" i="7"/>
  <c r="BD458" i="7"/>
  <c r="BD1134" i="7"/>
  <c r="BD84" i="7"/>
  <c r="BD96" i="7"/>
  <c r="BD1331" i="7"/>
  <c r="BD581" i="7"/>
  <c r="BD720" i="7"/>
  <c r="BD534" i="7"/>
  <c r="BD738" i="7"/>
  <c r="BD2012" i="7"/>
  <c r="BD1648" i="7"/>
  <c r="BD1102" i="7"/>
  <c r="BD590" i="7"/>
  <c r="BD437" i="7"/>
  <c r="BD1436" i="7"/>
  <c r="BD857" i="7"/>
  <c r="BD1411" i="7"/>
  <c r="BD1744" i="7"/>
  <c r="BD1507" i="7"/>
  <c r="BD2136" i="7"/>
  <c r="BD1539" i="7"/>
  <c r="BD2000" i="7"/>
  <c r="BD1563" i="7"/>
  <c r="BD1998" i="7"/>
  <c r="BD602" i="7"/>
  <c r="BD528" i="7"/>
  <c r="BD1345" i="7"/>
  <c r="BD614" i="7"/>
  <c r="BD2091" i="7"/>
  <c r="BD943" i="7"/>
  <c r="BD2009" i="7"/>
  <c r="BD667" i="7"/>
  <c r="BD1273" i="7"/>
  <c r="BD2017" i="7"/>
  <c r="BD399" i="7"/>
  <c r="BD487" i="7"/>
  <c r="BD388" i="7"/>
  <c r="BD870" i="7"/>
  <c r="BD132" i="7"/>
  <c r="BD98" i="7"/>
  <c r="BD298" i="7"/>
  <c r="BD141" i="7"/>
  <c r="BD1749" i="7"/>
  <c r="BD1590" i="7"/>
  <c r="BD1093" i="7"/>
  <c r="BD2064" i="7"/>
  <c r="BD1927" i="7"/>
  <c r="BD527" i="7"/>
  <c r="BD360" i="7"/>
  <c r="BD2200" i="7"/>
  <c r="BD2214" i="7"/>
  <c r="BD233" i="7"/>
  <c r="BD504" i="7"/>
  <c r="BD1009" i="7"/>
  <c r="BD1618" i="7"/>
  <c r="BD466" i="7"/>
  <c r="BD2037" i="7"/>
  <c r="BD2185" i="7"/>
  <c r="BD2059" i="7"/>
  <c r="BD610" i="7"/>
  <c r="BD1104" i="7"/>
  <c r="BD884" i="7"/>
  <c r="BD1956" i="7"/>
  <c r="BD1570" i="7"/>
  <c r="BD1914" i="7"/>
  <c r="BD308" i="7"/>
  <c r="BD2085" i="7"/>
  <c r="BD1579" i="7"/>
  <c r="BD1370" i="7"/>
  <c r="BD272" i="7"/>
  <c r="BD2137" i="7"/>
  <c r="BD809" i="7"/>
  <c r="BD830" i="7"/>
  <c r="BD2113" i="7"/>
  <c r="BD661" i="7"/>
  <c r="BD251" i="7"/>
  <c r="BD463" i="7"/>
  <c r="BD2175" i="7"/>
  <c r="BD1661" i="7"/>
  <c r="BD1202" i="7"/>
  <c r="BD794" i="7"/>
  <c r="BD711" i="7"/>
  <c r="BD1823" i="7"/>
  <c r="BD1935" i="7"/>
  <c r="BD1633" i="7"/>
  <c r="BD2253" i="7"/>
  <c r="BD1586" i="7"/>
  <c r="BD1046" i="7"/>
  <c r="BD1828" i="7"/>
  <c r="BD1108" i="7"/>
  <c r="BD914" i="7"/>
  <c r="BD1659" i="7"/>
  <c r="BD1005" i="7"/>
  <c r="BD370" i="7"/>
  <c r="BD324" i="7"/>
  <c r="BD441" i="7"/>
  <c r="BD814" i="7"/>
  <c r="BD630" i="7"/>
  <c r="BD1517" i="7"/>
  <c r="BD1925" i="7"/>
  <c r="BD1782" i="7"/>
  <c r="BD1329" i="7"/>
  <c r="BD2235" i="7"/>
  <c r="BD174" i="7"/>
  <c r="BD1160" i="7"/>
  <c r="BD607" i="7"/>
  <c r="BD965" i="7"/>
  <c r="BD1950" i="7"/>
  <c r="BD1952" i="7"/>
  <c r="BD1414" i="7"/>
  <c r="BD1393" i="7"/>
  <c r="BD424" i="7"/>
  <c r="BD12" i="7"/>
  <c r="BD816" i="7"/>
  <c r="BD1181" i="7"/>
  <c r="BD1357" i="7"/>
  <c r="BD1262" i="7"/>
  <c r="BD2247" i="7"/>
  <c r="BD2148" i="7"/>
  <c r="BD1182" i="7"/>
  <c r="BD1261" i="7"/>
  <c r="BD644" i="7"/>
  <c r="BD2259" i="7"/>
  <c r="BD345" i="7"/>
  <c r="BD113" i="7"/>
  <c r="BD1843" i="7"/>
  <c r="BD1573" i="7"/>
  <c r="BD1174" i="7"/>
  <c r="BD1253" i="7"/>
  <c r="BD1325" i="7"/>
  <c r="BD2162" i="7"/>
  <c r="BD1470" i="7"/>
  <c r="BD1802" i="7"/>
  <c r="BD1663" i="7"/>
  <c r="BD1126" i="7"/>
  <c r="BD1418" i="7"/>
  <c r="BD1859" i="7"/>
  <c r="BD1081" i="7"/>
  <c r="BD337" i="7"/>
  <c r="BD623" i="7"/>
  <c r="BD2254" i="7"/>
  <c r="BD227" i="7"/>
  <c r="BD2166" i="7"/>
  <c r="BD215" i="7"/>
  <c r="BD875" i="7"/>
  <c r="BD1366" i="7"/>
  <c r="BD1173" i="7"/>
  <c r="BD1006" i="7"/>
  <c r="BD1527" i="7"/>
  <c r="BD1458" i="7"/>
  <c r="BD138" i="7"/>
  <c r="BD2156" i="7"/>
  <c r="BD841" i="7"/>
  <c r="BD800" i="7"/>
  <c r="BD2036" i="7"/>
  <c r="BD931" i="7"/>
  <c r="BD1340" i="7"/>
  <c r="BD403" i="7"/>
  <c r="BD2270" i="7"/>
  <c r="BD636" i="7"/>
  <c r="BD69" i="7"/>
  <c r="BD772" i="7"/>
  <c r="BD447" i="7"/>
  <c r="BD726" i="7"/>
  <c r="BD1640" i="7"/>
  <c r="BD885" i="7"/>
  <c r="BD801" i="7"/>
  <c r="BD392" i="7"/>
  <c r="BD1428" i="7"/>
  <c r="BD5" i="7"/>
  <c r="BD285" i="7"/>
  <c r="BD114" i="7"/>
  <c r="BD32" i="7"/>
  <c r="BD75" i="7"/>
  <c r="BD196" i="7"/>
  <c r="BD260" i="7"/>
  <c r="BD385" i="7"/>
  <c r="BD1464" i="7"/>
  <c r="BD83" i="7"/>
  <c r="BD50" i="7"/>
  <c r="BD110" i="7"/>
  <c r="BC2092" i="7"/>
  <c r="BC1624" i="7"/>
  <c r="BC375" i="7"/>
  <c r="BC558" i="7"/>
  <c r="BC2145" i="7"/>
  <c r="BC2112" i="7"/>
  <c r="BC725" i="7"/>
  <c r="BC386" i="7"/>
  <c r="BC1849" i="7"/>
  <c r="BC538" i="7"/>
  <c r="BC741" i="7"/>
  <c r="BC398" i="7"/>
  <c r="BC1987" i="7"/>
  <c r="BC847" i="7"/>
  <c r="BC1142" i="7"/>
  <c r="BC1311" i="7"/>
  <c r="BC2265" i="7"/>
  <c r="BC1410" i="7"/>
  <c r="BC2146" i="7"/>
  <c r="BC687" i="7"/>
  <c r="BC924" i="7"/>
  <c r="BC457" i="7"/>
  <c r="BC892" i="7"/>
  <c r="BC746" i="7"/>
  <c r="BC500" i="7"/>
  <c r="BC1758" i="7"/>
  <c r="BC2036" i="7"/>
  <c r="BC1805" i="7"/>
  <c r="BC695" i="7"/>
  <c r="BC1136" i="7"/>
  <c r="BC1563" i="7"/>
  <c r="BC2004" i="7"/>
  <c r="BC708" i="7"/>
  <c r="BC999" i="7"/>
  <c r="BC542" i="7"/>
  <c r="BC790" i="7"/>
  <c r="BC2273" i="7"/>
  <c r="BC274" i="7"/>
  <c r="BC1588" i="7"/>
  <c r="BC733" i="7"/>
  <c r="BC2267" i="7"/>
  <c r="BC1003" i="7"/>
  <c r="BC885" i="7"/>
  <c r="BC2241" i="7"/>
  <c r="BC1289" i="7"/>
  <c r="BC2016" i="7"/>
  <c r="BC1032" i="7"/>
  <c r="BC1869" i="7"/>
  <c r="BC1276" i="7"/>
  <c r="BC2129" i="7"/>
  <c r="BC1812" i="7"/>
  <c r="BC908" i="7"/>
  <c r="BC1644" i="7"/>
  <c r="BC191" i="7"/>
  <c r="BC126" i="7"/>
  <c r="BC11" i="7"/>
  <c r="BC401" i="7"/>
  <c r="BC1580" i="7"/>
  <c r="BC830" i="7"/>
  <c r="BC1702" i="7"/>
  <c r="BC344" i="7"/>
  <c r="BC1810" i="7"/>
  <c r="BC623" i="7"/>
  <c r="BC2180" i="7"/>
  <c r="BC876" i="7"/>
  <c r="BC1469" i="7"/>
  <c r="BC947" i="7"/>
  <c r="BC2209" i="7"/>
  <c r="BC677" i="7"/>
  <c r="BC2020" i="7"/>
  <c r="BC259" i="7"/>
  <c r="BC1822" i="7"/>
  <c r="BC1918" i="7"/>
  <c r="BC18" i="7"/>
  <c r="BC1958" i="7"/>
  <c r="BC1292" i="7"/>
  <c r="BC2043" i="7"/>
  <c r="BC1772" i="7"/>
  <c r="BC1326" i="7"/>
  <c r="BC5" i="7"/>
  <c r="BC1473" i="7"/>
  <c r="BC1602" i="7"/>
  <c r="BC1029" i="7"/>
  <c r="BC952" i="7"/>
  <c r="BC789" i="7"/>
  <c r="BC1430" i="7"/>
  <c r="BC1566" i="7"/>
  <c r="BC2185" i="7"/>
  <c r="BC133" i="7"/>
  <c r="BC1556" i="7"/>
  <c r="BC2216" i="7"/>
  <c r="BC121" i="7"/>
  <c r="BC150" i="7"/>
  <c r="BC1830" i="7"/>
  <c r="BC188" i="7"/>
  <c r="BC295" i="7"/>
  <c r="BC539" i="7"/>
  <c r="BC1058" i="7"/>
  <c r="BC667" i="7"/>
  <c r="BC482" i="7"/>
  <c r="BC1818" i="7"/>
  <c r="BC781" i="7"/>
  <c r="BC1367" i="7"/>
  <c r="BC130" i="7"/>
  <c r="BC1933" i="7"/>
  <c r="BC340" i="7"/>
  <c r="BC61" i="7"/>
  <c r="BC1427" i="7"/>
  <c r="BC803" i="7"/>
  <c r="BC1886" i="7"/>
  <c r="BC1415" i="7"/>
  <c r="BC264" i="7"/>
  <c r="BC1361" i="7"/>
  <c r="BC22" i="7"/>
  <c r="BC519" i="7"/>
  <c r="BC1825" i="7"/>
  <c r="BC1947" i="7"/>
  <c r="BC1815" i="7"/>
  <c r="BC46" i="7"/>
  <c r="BC529" i="7"/>
  <c r="BC1689" i="7"/>
  <c r="BC1015" i="7"/>
  <c r="BC1706" i="7"/>
  <c r="BC915" i="7"/>
  <c r="BC1208" i="7"/>
  <c r="BC312" i="7"/>
  <c r="BC304" i="7"/>
  <c r="BC574" i="7"/>
  <c r="BC206" i="7"/>
  <c r="BC1767" i="7"/>
  <c r="BC549" i="7"/>
  <c r="BC250" i="7"/>
  <c r="BC1174" i="7"/>
  <c r="BC2001" i="7"/>
  <c r="BC116" i="7"/>
  <c r="BC1730" i="7"/>
  <c r="BC479" i="7"/>
  <c r="BC705" i="7"/>
  <c r="BC170" i="7"/>
  <c r="BC167" i="7"/>
  <c r="BC2247" i="7"/>
  <c r="BC2041" i="7"/>
  <c r="BC684" i="7"/>
  <c r="BC92" i="7"/>
  <c r="BC1337" i="7"/>
  <c r="BC348" i="7"/>
  <c r="BC943" i="7"/>
  <c r="BC740" i="7"/>
  <c r="BC1007" i="7"/>
  <c r="BC1522" i="7"/>
  <c r="BC230" i="7"/>
  <c r="BC1059" i="7"/>
  <c r="BC452" i="7"/>
  <c r="BC2136" i="7"/>
  <c r="BC1673" i="7"/>
  <c r="BC785" i="7"/>
  <c r="BC2214" i="7"/>
  <c r="BC2061" i="7"/>
  <c r="BC118" i="7"/>
  <c r="BC1911" i="7"/>
  <c r="BC144" i="7"/>
  <c r="BC1941" i="7"/>
  <c r="BC1350" i="7"/>
  <c r="BC1082" i="7"/>
  <c r="BC265" i="7"/>
  <c r="BC100" i="7"/>
  <c r="BC757" i="7"/>
  <c r="BC410" i="7"/>
  <c r="BC1195" i="7"/>
  <c r="BC251" i="7"/>
  <c r="BC1856" i="7"/>
  <c r="BC1859" i="7"/>
  <c r="BC1892" i="7"/>
  <c r="BC1224" i="7"/>
  <c r="BC1572" i="7"/>
  <c r="BC1773" i="7"/>
  <c r="BC1405" i="7"/>
  <c r="BC219" i="7"/>
  <c r="BC1893" i="7"/>
  <c r="BC1866" i="7"/>
  <c r="BC985" i="7"/>
  <c r="BC189" i="7"/>
  <c r="BC2189" i="7"/>
  <c r="BC1018" i="7"/>
  <c r="BC536" i="7"/>
  <c r="BC328" i="7"/>
  <c r="BC1459" i="7"/>
  <c r="BC902" i="7"/>
  <c r="BC535" i="7"/>
  <c r="BC671" i="7"/>
  <c r="BC1105" i="7"/>
  <c r="BC855" i="7"/>
  <c r="BC516" i="7"/>
  <c r="BC1163" i="7"/>
  <c r="BC1873" i="7"/>
  <c r="BC1102" i="7"/>
  <c r="BC462" i="7"/>
  <c r="BC1715" i="7"/>
  <c r="BC2095" i="7"/>
  <c r="BD1946" i="7"/>
  <c r="BD1185" i="7"/>
  <c r="BD2043" i="7"/>
  <c r="BD151" i="7"/>
  <c r="BD290" i="7"/>
  <c r="BC512" i="7"/>
  <c r="BC1321" i="7"/>
  <c r="BC1411" i="7"/>
  <c r="BC1497" i="7"/>
  <c r="BC724" i="7"/>
  <c r="BC942" i="7"/>
  <c r="BC1237" i="7"/>
  <c r="BC2098" i="7"/>
  <c r="BC1168" i="7"/>
  <c r="BC82" i="7"/>
  <c r="BC1944" i="7"/>
  <c r="BC383" i="7"/>
  <c r="BC1685" i="7"/>
  <c r="BC821" i="7"/>
  <c r="BC2200" i="7"/>
  <c r="BC1696" i="7"/>
  <c r="BC218" i="7"/>
  <c r="BC2137" i="7"/>
  <c r="BC797" i="7"/>
  <c r="BC594" i="7"/>
  <c r="BC580" i="7"/>
  <c r="BC29" i="7"/>
  <c r="BC901" i="7"/>
  <c r="BC1910" i="7"/>
  <c r="BC1801" i="7"/>
  <c r="BC184" i="7"/>
  <c r="BC246" i="7"/>
  <c r="BC111" i="7"/>
  <c r="BC333" i="7"/>
  <c r="BC90" i="7"/>
  <c r="BC64" i="7"/>
  <c r="BC628" i="7"/>
  <c r="BC368" i="7"/>
  <c r="BC1671" i="7"/>
  <c r="BC39" i="7"/>
  <c r="BC27" i="7"/>
  <c r="BC1513" i="7"/>
  <c r="BC2119" i="7"/>
  <c r="BC825" i="7"/>
  <c r="BC498" i="7"/>
  <c r="BC153" i="7"/>
  <c r="BC2155" i="7"/>
  <c r="BC262" i="7"/>
  <c r="BC1054" i="7"/>
  <c r="BC800" i="7"/>
  <c r="BC2140" i="7"/>
  <c r="BC1965" i="7"/>
  <c r="BC787" i="7"/>
  <c r="BC637" i="7"/>
  <c r="BC332" i="7"/>
  <c r="BC1083" i="7"/>
  <c r="BC600" i="7"/>
  <c r="BC1351" i="7"/>
  <c r="BC593" i="7"/>
  <c r="BC1559" i="7"/>
  <c r="BC1931" i="7"/>
  <c r="BC598" i="7"/>
  <c r="BC2169" i="7"/>
  <c r="BC1297" i="7"/>
  <c r="BC1515" i="7"/>
  <c r="BC55" i="7"/>
  <c r="BC1200" i="7"/>
  <c r="BC1737" i="7"/>
  <c r="BC384" i="7"/>
  <c r="BC1413" i="7"/>
  <c r="BC1969" i="7"/>
  <c r="BC2052" i="7"/>
  <c r="BC1030" i="7"/>
  <c r="BC1691" i="7"/>
  <c r="BC646" i="7"/>
  <c r="BC2198" i="7"/>
  <c r="BC1604" i="7"/>
  <c r="BC434" i="7"/>
  <c r="BC1456" i="7"/>
  <c r="BC177" i="7"/>
  <c r="BC1026" i="7"/>
  <c r="BC513" i="7"/>
  <c r="BC1263" i="7"/>
  <c r="BC1951" i="7"/>
  <c r="BC1098" i="7"/>
  <c r="BC75" i="7"/>
  <c r="BC1078" i="7"/>
  <c r="BC1763" i="7"/>
  <c r="BC981" i="7"/>
  <c r="BC764" i="7"/>
  <c r="BC809" i="7"/>
  <c r="BC205" i="7"/>
  <c r="BC858" i="7"/>
  <c r="BC1936" i="7"/>
  <c r="BC2085" i="7"/>
  <c r="BC1344" i="7"/>
  <c r="BC850" i="7"/>
  <c r="BC1204" i="7"/>
  <c r="BC330" i="7"/>
  <c r="BC1703" i="7"/>
  <c r="BC826" i="7"/>
  <c r="BC316" i="7"/>
  <c r="BC811" i="7"/>
  <c r="BC1871" i="7"/>
  <c r="BC1376" i="7"/>
  <c r="BC2049" i="7"/>
  <c r="BC882" i="7"/>
  <c r="BC1684" i="7"/>
  <c r="BC1407" i="7"/>
  <c r="BC221" i="7"/>
  <c r="BC1829" i="7"/>
  <c r="BC1041" i="7"/>
  <c r="BC1744" i="7"/>
  <c r="BC321" i="7"/>
  <c r="BC805" i="7"/>
  <c r="BC1199" i="7"/>
  <c r="BC1852" i="7"/>
  <c r="BC2051" i="7"/>
  <c r="BC1406" i="7"/>
  <c r="BC591" i="7"/>
  <c r="BC910" i="7"/>
  <c r="BC306" i="7"/>
  <c r="BC1552" i="7"/>
  <c r="BC1047" i="7"/>
  <c r="BC1749" i="7"/>
  <c r="BC1069" i="7"/>
  <c r="BC1587" i="7"/>
  <c r="BC967" i="7"/>
  <c r="BC716" i="7"/>
  <c r="BC213" i="7"/>
  <c r="BC102" i="7"/>
  <c r="BC1809" i="7"/>
  <c r="BC2089" i="7"/>
  <c r="BC1423" i="7"/>
  <c r="BC1445" i="7"/>
  <c r="BC1023" i="7"/>
  <c r="BC2147" i="7"/>
  <c r="BC1338" i="7"/>
  <c r="BC1845" i="7"/>
  <c r="BC698" i="7"/>
  <c r="BC1318" i="7"/>
  <c r="BC673" i="7"/>
  <c r="BC195" i="7"/>
  <c r="BC392" i="7"/>
  <c r="BC1418" i="7"/>
  <c r="BC692" i="7"/>
  <c r="BC2056" i="7"/>
  <c r="BC1476" i="7"/>
  <c r="BC1175" i="7"/>
  <c r="BC1555" i="7"/>
  <c r="BC454" i="7"/>
  <c r="BC1897" i="7"/>
  <c r="BC1637" i="7"/>
  <c r="BC1397" i="7"/>
  <c r="BC1316" i="7"/>
  <c r="BC2244" i="7"/>
  <c r="BC2163" i="7"/>
  <c r="BC930" i="7"/>
  <c r="BC504" i="7"/>
  <c r="BC1164" i="7"/>
  <c r="BC1796" i="7"/>
  <c r="BC727" i="7"/>
  <c r="BC1916" i="7"/>
  <c r="BC1639" i="7"/>
  <c r="BC540" i="7"/>
  <c r="BC1165" i="7"/>
  <c r="BC859" i="7"/>
  <c r="BC2123" i="7"/>
  <c r="BC391" i="7"/>
  <c r="BC674" i="7"/>
  <c r="BE674" i="7" s="1"/>
  <c r="BF674" i="7" s="1"/>
  <c r="BC1832" i="7"/>
  <c r="BC2067" i="7"/>
  <c r="BC571" i="7"/>
  <c r="BC928" i="7"/>
  <c r="BC689" i="7"/>
  <c r="BC1370" i="7"/>
  <c r="BC573" i="7"/>
  <c r="BC1076" i="7"/>
  <c r="BC1681" i="7"/>
  <c r="BC501" i="7"/>
  <c r="BC767" i="7"/>
  <c r="BC2172" i="7"/>
  <c r="BC2211" i="7"/>
  <c r="BC997" i="7"/>
  <c r="BC2215" i="7"/>
  <c r="BC1534" i="7"/>
  <c r="BC1126" i="7"/>
  <c r="BC296" i="7"/>
  <c r="BC954" i="7"/>
  <c r="BC613" i="7"/>
  <c r="BC322" i="7"/>
  <c r="BC1014" i="7"/>
  <c r="BC842" i="7"/>
  <c r="BC1573" i="7"/>
  <c r="BC2154" i="7"/>
  <c r="BC862" i="7"/>
  <c r="BC1283" i="7"/>
  <c r="BC624" i="7"/>
  <c r="BC70" i="7"/>
  <c r="BC2055" i="7"/>
  <c r="BC1393" i="7"/>
  <c r="BC1949" i="7"/>
  <c r="BC1291" i="7"/>
  <c r="BC1755" i="7"/>
  <c r="BC798" i="7"/>
  <c r="BC2186" i="7"/>
  <c r="BC701" i="7"/>
  <c r="BC280" i="7"/>
  <c r="BC1986" i="7"/>
  <c r="BC517" i="7"/>
  <c r="BC1972" i="7"/>
  <c r="BC1306" i="7"/>
  <c r="BC41" i="7"/>
  <c r="BC919" i="7"/>
  <c r="BC413" i="7"/>
  <c r="BC253" i="7"/>
  <c r="BC1694" i="7"/>
  <c r="BC1101" i="7"/>
  <c r="BC268" i="7"/>
  <c r="BC202" i="7"/>
  <c r="BC867" i="7"/>
  <c r="BC1119" i="7"/>
  <c r="BC1264" i="7"/>
  <c r="BC1254" i="7"/>
  <c r="BC1620" i="7"/>
  <c r="BC2008" i="7"/>
  <c r="BC1717" i="7"/>
  <c r="BC590" i="7"/>
  <c r="BC1442" i="7"/>
  <c r="BC771" i="7"/>
  <c r="BC369" i="7"/>
  <c r="BC1977" i="7"/>
  <c r="BC1945" i="7"/>
  <c r="BC748" i="7"/>
  <c r="CF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CF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CF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CM237" i="1"/>
  <c r="CM51" i="1"/>
  <c r="CM54" i="1"/>
  <c r="CM44" i="1"/>
  <c r="CM40" i="1"/>
  <c r="CM193" i="1"/>
  <c r="CM257" i="1"/>
  <c r="BV100" i="1"/>
  <c r="R15" i="2"/>
  <c r="CM201" i="1" s="1"/>
  <c r="CL46" i="1"/>
  <c r="CQ46" i="1" s="1"/>
  <c r="CT46" i="1" s="1"/>
  <c r="CL166" i="1"/>
  <c r="CQ166" i="1" s="1"/>
  <c r="CT166" i="1" s="1"/>
  <c r="BU100" i="1"/>
  <c r="BS100" i="1"/>
  <c r="BS117" i="1"/>
  <c r="BS140" i="1"/>
  <c r="BS261" i="1"/>
  <c r="BS151" i="1"/>
  <c r="BS223" i="1"/>
  <c r="BS114" i="1"/>
  <c r="BS218" i="1"/>
  <c r="BS169" i="1"/>
  <c r="BS102" i="1"/>
  <c r="BS279" i="1"/>
  <c r="BS62" i="1"/>
  <c r="BS304" i="1"/>
  <c r="BS139" i="1"/>
  <c r="BS246" i="1"/>
  <c r="BS220" i="1"/>
  <c r="BS81" i="1"/>
  <c r="BS176" i="1"/>
  <c r="BS265" i="1"/>
  <c r="BS75" i="1"/>
  <c r="BS227" i="1"/>
  <c r="BS152" i="1"/>
  <c r="BS177" i="1"/>
  <c r="BS179" i="1"/>
  <c r="BS56" i="1"/>
  <c r="BS170" i="1"/>
  <c r="BS46" i="1"/>
  <c r="BS221" i="1"/>
  <c r="BS71" i="1"/>
  <c r="BS158" i="1"/>
  <c r="BS131" i="1"/>
  <c r="BS161" i="1"/>
  <c r="BS278" i="1"/>
  <c r="BS67" i="1"/>
  <c r="BS254" i="1"/>
  <c r="BS27" i="1"/>
  <c r="BS130" i="1"/>
  <c r="BS122" i="1"/>
  <c r="BS38" i="1"/>
  <c r="BS288" i="1"/>
  <c r="BS8" i="1"/>
  <c r="BS84" i="1"/>
  <c r="BS196" i="1"/>
  <c r="BS120" i="1"/>
  <c r="BS14" i="1"/>
  <c r="BS210" i="1"/>
  <c r="BS112" i="1"/>
  <c r="BS95" i="1"/>
  <c r="BS105" i="1"/>
  <c r="BS238" i="1"/>
  <c r="BS259" i="1"/>
  <c r="BS243" i="1"/>
  <c r="BS61" i="1"/>
  <c r="BS159" i="1"/>
  <c r="BS109" i="1"/>
  <c r="BS36" i="1"/>
  <c r="BS43" i="1"/>
  <c r="BS59" i="1"/>
  <c r="BS144" i="1"/>
  <c r="BS296" i="1"/>
  <c r="BS293" i="1"/>
  <c r="BS129" i="1"/>
  <c r="BS166" i="1"/>
  <c r="BS127" i="1"/>
  <c r="BS248" i="1"/>
  <c r="BS269" i="1"/>
  <c r="BS235" i="1"/>
  <c r="BS155" i="1"/>
  <c r="BS206" i="1"/>
  <c r="BS42" i="1"/>
  <c r="BS31" i="1"/>
  <c r="BS20" i="1"/>
  <c r="BS195" i="1"/>
  <c r="BS21" i="1"/>
  <c r="BS165" i="1"/>
  <c r="BS172" i="1"/>
  <c r="BS300" i="1"/>
  <c r="BS9" i="1"/>
  <c r="BS183" i="1"/>
  <c r="BS213" i="1"/>
  <c r="BS258" i="1"/>
  <c r="BS255" i="1"/>
  <c r="BS194" i="1"/>
  <c r="BS87" i="1"/>
  <c r="BS37" i="1"/>
  <c r="BS303" i="1"/>
  <c r="BS19" i="1"/>
  <c r="BS104" i="1"/>
  <c r="BS190" i="1"/>
  <c r="BS147" i="1"/>
  <c r="BS30" i="1"/>
  <c r="BS208" i="1"/>
  <c r="BS292" i="1"/>
  <c r="BS226" i="1"/>
  <c r="BS274" i="1"/>
  <c r="BS230" i="1"/>
  <c r="BS239" i="1"/>
  <c r="BS157" i="1"/>
  <c r="BS297" i="1"/>
  <c r="BS285" i="1"/>
  <c r="BS10" i="1"/>
  <c r="BS298" i="1"/>
  <c r="BS212" i="1"/>
  <c r="BS240" i="1"/>
  <c r="BS6" i="1"/>
  <c r="BS242" i="1"/>
  <c r="BS32" i="1"/>
  <c r="BS108" i="1"/>
  <c r="BS189" i="1"/>
  <c r="BS121" i="1"/>
  <c r="BS266" i="1"/>
  <c r="BS99" i="1"/>
  <c r="BS98" i="1"/>
  <c r="BS291" i="1"/>
  <c r="BS307" i="1"/>
  <c r="BS282" i="1"/>
  <c r="BS181" i="1"/>
  <c r="BS149" i="1"/>
  <c r="BS308" i="1"/>
  <c r="BS275" i="1"/>
  <c r="BS260" i="1"/>
  <c r="BS277" i="1"/>
  <c r="BS132" i="1"/>
  <c r="BS101" i="1"/>
  <c r="BS16" i="1"/>
  <c r="BS236" i="1"/>
  <c r="BS143" i="1"/>
  <c r="BS267" i="1"/>
  <c r="BS18" i="1"/>
  <c r="BS290" i="1"/>
  <c r="BS245" i="1"/>
  <c r="BS188" i="1"/>
  <c r="BS150" i="1"/>
  <c r="BS249" i="1"/>
  <c r="BS48" i="1"/>
  <c r="BS178" i="1"/>
  <c r="BS185" i="1"/>
  <c r="BS263" i="1"/>
  <c r="BS145" i="1"/>
  <c r="BS24" i="1"/>
  <c r="BS25" i="1"/>
  <c r="BS49" i="1"/>
  <c r="BS294" i="1"/>
  <c r="BS276" i="1"/>
  <c r="BS163" i="1"/>
  <c r="BS305" i="1"/>
  <c r="BS116" i="1"/>
  <c r="BS23" i="1"/>
  <c r="BS247" i="1"/>
  <c r="BS2" i="1"/>
  <c r="BS88" i="1"/>
  <c r="BS125" i="1"/>
  <c r="BS241" i="1"/>
  <c r="BS192" i="1"/>
  <c r="BS225" i="1"/>
  <c r="BS80" i="1"/>
  <c r="BS74" i="1"/>
  <c r="BS110" i="1"/>
  <c r="BS92" i="1"/>
  <c r="BS17" i="1"/>
  <c r="BS113" i="1"/>
  <c r="BS222" i="1"/>
  <c r="BS211" i="1"/>
  <c r="BS271" i="1"/>
  <c r="BS76" i="1"/>
  <c r="BS136" i="1"/>
  <c r="BS53" i="1"/>
  <c r="BS57" i="1"/>
  <c r="BS65" i="1"/>
  <c r="BS34" i="1"/>
  <c r="BS141" i="1"/>
  <c r="BS202" i="1"/>
  <c r="BS55" i="1"/>
  <c r="BS273" i="1"/>
  <c r="BS111" i="1"/>
  <c r="BS234" i="1"/>
  <c r="BS295" i="1"/>
  <c r="BS133" i="1"/>
  <c r="BS90" i="1"/>
  <c r="BS233" i="1"/>
  <c r="BS175" i="1"/>
  <c r="BS15" i="1"/>
  <c r="BS224" i="1"/>
  <c r="BS77" i="1"/>
  <c r="BS83" i="1"/>
  <c r="BS148" i="1"/>
  <c r="BS191" i="1"/>
  <c r="BS115" i="1"/>
  <c r="BS229" i="1"/>
  <c r="BS85" i="1"/>
  <c r="BS89" i="1"/>
  <c r="BS4" i="1"/>
  <c r="BS164" i="1"/>
  <c r="BS299" i="1"/>
  <c r="BS153" i="1"/>
  <c r="BS302" i="1"/>
  <c r="BS162" i="1"/>
  <c r="BS209" i="1"/>
  <c r="BS146" i="1"/>
  <c r="BS281" i="1"/>
  <c r="BS199" i="1"/>
  <c r="BS52" i="1"/>
  <c r="BS253" i="1"/>
  <c r="BS262" i="1"/>
  <c r="BS173" i="1"/>
  <c r="BS33" i="1"/>
  <c r="BS28" i="1"/>
  <c r="BS160" i="1"/>
  <c r="BS86" i="1"/>
  <c r="BS22" i="1"/>
  <c r="BS12" i="1"/>
  <c r="BS270" i="1"/>
  <c r="BS219" i="1"/>
  <c r="BS272" i="1"/>
  <c r="BS70" i="1"/>
  <c r="BS200" i="1"/>
  <c r="BS251" i="1"/>
  <c r="BS134" i="1"/>
  <c r="BS94" i="1"/>
  <c r="BS5" i="1"/>
  <c r="BS68" i="1"/>
  <c r="BS301" i="1"/>
  <c r="BS207" i="1"/>
  <c r="BS289" i="1"/>
  <c r="BS284" i="1"/>
  <c r="BS283" i="1"/>
  <c r="BS306" i="1"/>
  <c r="BS184" i="1"/>
  <c r="BS106" i="1"/>
  <c r="BS103" i="1"/>
  <c r="BS60" i="1"/>
  <c r="BS64" i="1"/>
  <c r="BS29" i="1"/>
  <c r="BS41" i="1"/>
  <c r="BS96" i="1"/>
  <c r="BS7" i="1"/>
  <c r="BS69" i="1"/>
  <c r="BS138" i="1"/>
  <c r="BS174" i="1"/>
  <c r="BS214" i="1"/>
  <c r="BS58" i="1"/>
  <c r="BS180" i="1"/>
  <c r="BS93" i="1"/>
  <c r="BS26" i="1"/>
  <c r="BS35" i="1"/>
  <c r="BS171" i="1"/>
  <c r="BS268" i="1"/>
  <c r="BS137" i="1"/>
  <c r="BS216" i="1"/>
  <c r="BS168" i="1"/>
  <c r="BS256" i="1"/>
  <c r="BS79" i="1"/>
  <c r="BS217" i="1"/>
  <c r="BS287" i="1"/>
  <c r="BS47" i="1"/>
  <c r="BS244" i="1"/>
  <c r="BS128" i="1"/>
  <c r="BS286" i="1"/>
  <c r="BS215" i="1"/>
  <c r="BS97" i="1"/>
  <c r="BS167" i="1"/>
  <c r="BS187" i="1"/>
  <c r="BS66" i="1"/>
  <c r="BS39" i="1"/>
  <c r="BS250" i="1"/>
  <c r="BS232" i="1"/>
  <c r="BS45" i="1"/>
  <c r="BS73" i="1"/>
  <c r="BS13" i="1"/>
  <c r="BS72" i="1"/>
  <c r="BS252" i="1"/>
  <c r="BS203" i="1"/>
  <c r="BS126" i="1"/>
  <c r="BS123" i="1"/>
  <c r="BS197" i="1"/>
  <c r="BS11" i="1"/>
  <c r="BS118" i="1"/>
  <c r="BS280" i="1"/>
  <c r="BS82" i="1"/>
  <c r="BS142" i="1"/>
  <c r="BS198" i="1"/>
  <c r="BS182" i="1"/>
  <c r="BS205" i="1"/>
  <c r="BS154" i="1"/>
  <c r="BS264" i="1"/>
  <c r="BS204" i="1"/>
  <c r="BS3" i="1"/>
  <c r="BS237" i="1"/>
  <c r="BS231" i="1"/>
  <c r="BS124" i="1"/>
  <c r="BS51" i="1"/>
  <c r="BS54" i="1"/>
  <c r="BS63" i="1"/>
  <c r="BS135" i="1"/>
  <c r="BS228" i="1"/>
  <c r="BS44" i="1"/>
  <c r="BS156" i="1"/>
  <c r="BS50" i="1"/>
  <c r="BS201" i="1"/>
  <c r="BS40" i="1"/>
  <c r="BS78" i="1"/>
  <c r="BS91" i="1"/>
  <c r="BS119" i="1"/>
  <c r="BS193" i="1"/>
  <c r="BS186" i="1"/>
  <c r="BS107" i="1"/>
  <c r="BS257" i="1"/>
  <c r="BT100" i="1"/>
  <c r="BT117" i="1"/>
  <c r="BT140" i="1"/>
  <c r="BT261" i="1"/>
  <c r="BT151" i="1"/>
  <c r="BT223" i="1"/>
  <c r="BT114" i="1"/>
  <c r="BT218" i="1"/>
  <c r="BT169" i="1"/>
  <c r="BT102" i="1"/>
  <c r="BT279" i="1"/>
  <c r="BT62" i="1"/>
  <c r="BT304" i="1"/>
  <c r="BT139" i="1"/>
  <c r="BT246" i="1"/>
  <c r="BT220" i="1"/>
  <c r="BT81" i="1"/>
  <c r="BT176" i="1"/>
  <c r="BT265" i="1"/>
  <c r="BT75" i="1"/>
  <c r="BT227" i="1"/>
  <c r="BT152" i="1"/>
  <c r="BT177" i="1"/>
  <c r="BT179" i="1"/>
  <c r="BT56" i="1"/>
  <c r="BT170" i="1"/>
  <c r="BT46" i="1"/>
  <c r="BT221" i="1"/>
  <c r="BT71" i="1"/>
  <c r="BT158" i="1"/>
  <c r="BT131" i="1"/>
  <c r="BT161" i="1"/>
  <c r="BT278" i="1"/>
  <c r="BT67" i="1"/>
  <c r="BT254" i="1"/>
  <c r="BT27" i="1"/>
  <c r="BT130" i="1"/>
  <c r="BT122" i="1"/>
  <c r="BT38" i="1"/>
  <c r="BT288" i="1"/>
  <c r="BT8" i="1"/>
  <c r="BT84" i="1"/>
  <c r="BT196" i="1"/>
  <c r="BT120" i="1"/>
  <c r="BT14" i="1"/>
  <c r="BT210" i="1"/>
  <c r="BT112" i="1"/>
  <c r="BT95" i="1"/>
  <c r="BT105" i="1"/>
  <c r="BT238" i="1"/>
  <c r="BT259" i="1"/>
  <c r="BT243" i="1"/>
  <c r="BT61" i="1"/>
  <c r="BT159" i="1"/>
  <c r="BT109" i="1"/>
  <c r="BT36" i="1"/>
  <c r="BT43" i="1"/>
  <c r="BT59" i="1"/>
  <c r="BT144" i="1"/>
  <c r="BT296" i="1"/>
  <c r="BT293" i="1"/>
  <c r="BT129" i="1"/>
  <c r="BT166" i="1"/>
  <c r="BT127" i="1"/>
  <c r="BT248" i="1"/>
  <c r="BT269" i="1"/>
  <c r="BT235" i="1"/>
  <c r="BT155" i="1"/>
  <c r="BT206" i="1"/>
  <c r="BT42" i="1"/>
  <c r="BT31" i="1"/>
  <c r="BT20" i="1"/>
  <c r="BT195" i="1"/>
  <c r="BT21" i="1"/>
  <c r="BT165" i="1"/>
  <c r="BT172" i="1"/>
  <c r="BT300" i="1"/>
  <c r="BT9" i="1"/>
  <c r="BT183" i="1"/>
  <c r="BT213" i="1"/>
  <c r="BT258" i="1"/>
  <c r="BT255" i="1"/>
  <c r="BT194" i="1"/>
  <c r="BT87" i="1"/>
  <c r="BT37" i="1"/>
  <c r="BT303" i="1"/>
  <c r="BT19" i="1"/>
  <c r="BT104" i="1"/>
  <c r="BT190" i="1"/>
  <c r="BT147" i="1"/>
  <c r="BT30" i="1"/>
  <c r="BT208" i="1"/>
  <c r="BT292" i="1"/>
  <c r="BT226" i="1"/>
  <c r="BT274" i="1"/>
  <c r="BT230" i="1"/>
  <c r="BT239" i="1"/>
  <c r="BT157" i="1"/>
  <c r="BT297" i="1"/>
  <c r="BT285" i="1"/>
  <c r="BT10" i="1"/>
  <c r="BT298" i="1"/>
  <c r="BT212" i="1"/>
  <c r="BT240" i="1"/>
  <c r="BT6" i="1"/>
  <c r="BT242" i="1"/>
  <c r="BT32" i="1"/>
  <c r="BT108" i="1"/>
  <c r="BT189" i="1"/>
  <c r="BT121" i="1"/>
  <c r="BT266" i="1"/>
  <c r="BT99" i="1"/>
  <c r="BT98" i="1"/>
  <c r="BT291" i="1"/>
  <c r="BT307" i="1"/>
  <c r="BT282" i="1"/>
  <c r="BT181" i="1"/>
  <c r="BT149" i="1"/>
  <c r="BT308" i="1"/>
  <c r="BT275" i="1"/>
  <c r="BT260" i="1"/>
  <c r="BT277" i="1"/>
  <c r="BT132" i="1"/>
  <c r="BT101" i="1"/>
  <c r="BT16" i="1"/>
  <c r="BT236" i="1"/>
  <c r="BT143" i="1"/>
  <c r="BT267" i="1"/>
  <c r="BT18" i="1"/>
  <c r="BT290" i="1"/>
  <c r="BT245" i="1"/>
  <c r="BT188" i="1"/>
  <c r="BT150" i="1"/>
  <c r="BT249" i="1"/>
  <c r="BT48" i="1"/>
  <c r="BT178" i="1"/>
  <c r="BT185" i="1"/>
  <c r="BT263" i="1"/>
  <c r="BT145" i="1"/>
  <c r="BT24" i="1"/>
  <c r="BT25" i="1"/>
  <c r="BT49" i="1"/>
  <c r="BT294" i="1"/>
  <c r="BT276" i="1"/>
  <c r="BT163" i="1"/>
  <c r="BT305" i="1"/>
  <c r="BT116" i="1"/>
  <c r="BT23" i="1"/>
  <c r="BT247" i="1"/>
  <c r="BT2" i="1"/>
  <c r="BT88" i="1"/>
  <c r="BT125" i="1"/>
  <c r="BT241" i="1"/>
  <c r="BT192" i="1"/>
  <c r="BT225" i="1"/>
  <c r="BT80" i="1"/>
  <c r="BT74" i="1"/>
  <c r="BT110" i="1"/>
  <c r="BT92" i="1"/>
  <c r="BT17" i="1"/>
  <c r="BT113" i="1"/>
  <c r="BT222" i="1"/>
  <c r="BT211" i="1"/>
  <c r="BT271" i="1"/>
  <c r="BT76" i="1"/>
  <c r="BT136" i="1"/>
  <c r="BT53" i="1"/>
  <c r="BT57" i="1"/>
  <c r="BT65" i="1"/>
  <c r="BT34" i="1"/>
  <c r="BT141" i="1"/>
  <c r="BT202" i="1"/>
  <c r="BT55" i="1"/>
  <c r="BT273" i="1"/>
  <c r="BT111" i="1"/>
  <c r="BT234" i="1"/>
  <c r="BT295" i="1"/>
  <c r="BT133" i="1"/>
  <c r="BT90" i="1"/>
  <c r="BT233" i="1"/>
  <c r="BT175" i="1"/>
  <c r="BT15" i="1"/>
  <c r="BT224" i="1"/>
  <c r="BT77" i="1"/>
  <c r="BT83" i="1"/>
  <c r="BT148" i="1"/>
  <c r="BT191" i="1"/>
  <c r="BT115" i="1"/>
  <c r="BT229" i="1"/>
  <c r="BT85" i="1"/>
  <c r="BT89" i="1"/>
  <c r="BT4" i="1"/>
  <c r="BT164" i="1"/>
  <c r="BT299" i="1"/>
  <c r="BT153" i="1"/>
  <c r="BT302" i="1"/>
  <c r="BT162" i="1"/>
  <c r="BT209" i="1"/>
  <c r="BT146" i="1"/>
  <c r="BT281" i="1"/>
  <c r="BT199" i="1"/>
  <c r="BT52" i="1"/>
  <c r="BT253" i="1"/>
  <c r="BT262" i="1"/>
  <c r="BT173" i="1"/>
  <c r="BT33" i="1"/>
  <c r="BT28" i="1"/>
  <c r="BT160" i="1"/>
  <c r="BT86" i="1"/>
  <c r="BT22" i="1"/>
  <c r="BT12" i="1"/>
  <c r="BT270" i="1"/>
  <c r="BT219" i="1"/>
  <c r="BT272" i="1"/>
  <c r="BT70" i="1"/>
  <c r="BT200" i="1"/>
  <c r="BT251" i="1"/>
  <c r="BT134" i="1"/>
  <c r="BT94" i="1"/>
  <c r="BT5" i="1"/>
  <c r="BT68" i="1"/>
  <c r="BT301" i="1"/>
  <c r="BT207" i="1"/>
  <c r="BT289" i="1"/>
  <c r="BT284" i="1"/>
  <c r="BT283" i="1"/>
  <c r="BT306" i="1"/>
  <c r="BT184" i="1"/>
  <c r="BT106" i="1"/>
  <c r="BT103" i="1"/>
  <c r="BT60" i="1"/>
  <c r="BT64" i="1"/>
  <c r="BT29" i="1"/>
  <c r="BT41" i="1"/>
  <c r="BT96" i="1"/>
  <c r="BT7" i="1"/>
  <c r="BT69" i="1"/>
  <c r="BT138" i="1"/>
  <c r="BT174" i="1"/>
  <c r="BT214" i="1"/>
  <c r="BT58" i="1"/>
  <c r="BT180" i="1"/>
  <c r="BT93" i="1"/>
  <c r="BT26" i="1"/>
  <c r="BT35" i="1"/>
  <c r="BT171" i="1"/>
  <c r="BT268" i="1"/>
  <c r="BT137" i="1"/>
  <c r="BT216" i="1"/>
  <c r="BT168" i="1"/>
  <c r="BT256" i="1"/>
  <c r="BT79" i="1"/>
  <c r="BT217" i="1"/>
  <c r="BT287" i="1"/>
  <c r="BT47" i="1"/>
  <c r="BT244" i="1"/>
  <c r="BT128" i="1"/>
  <c r="BT286" i="1"/>
  <c r="BT215" i="1"/>
  <c r="BT97" i="1"/>
  <c r="BT167" i="1"/>
  <c r="BT187" i="1"/>
  <c r="BT66" i="1"/>
  <c r="BT39" i="1"/>
  <c r="BT250" i="1"/>
  <c r="BT232" i="1"/>
  <c r="BT45" i="1"/>
  <c r="BT73" i="1"/>
  <c r="BT13" i="1"/>
  <c r="BT72" i="1"/>
  <c r="BT252" i="1"/>
  <c r="BT203" i="1"/>
  <c r="BT126" i="1"/>
  <c r="BT123" i="1"/>
  <c r="BT197" i="1"/>
  <c r="BT11" i="1"/>
  <c r="BT118" i="1"/>
  <c r="BT280" i="1"/>
  <c r="BT82" i="1"/>
  <c r="BT142" i="1"/>
  <c r="BT198" i="1"/>
  <c r="BT182" i="1"/>
  <c r="BT205" i="1"/>
  <c r="BT154" i="1"/>
  <c r="BT264" i="1"/>
  <c r="BT204" i="1"/>
  <c r="BT3" i="1"/>
  <c r="BT237" i="1"/>
  <c r="BT231" i="1"/>
  <c r="BT124" i="1"/>
  <c r="BT51" i="1"/>
  <c r="BT54" i="1"/>
  <c r="BT63" i="1"/>
  <c r="BT135" i="1"/>
  <c r="BT228" i="1"/>
  <c r="BT44" i="1"/>
  <c r="BT156" i="1"/>
  <c r="BT50" i="1"/>
  <c r="BT201" i="1"/>
  <c r="BT40" i="1"/>
  <c r="BT78" i="1"/>
  <c r="BT91" i="1"/>
  <c r="BT119" i="1"/>
  <c r="BT193" i="1"/>
  <c r="BT186" i="1"/>
  <c r="BT107" i="1"/>
  <c r="BT257" i="1"/>
  <c r="W37" i="2"/>
  <c r="R29" i="2"/>
  <c r="CP7" i="1" s="1"/>
  <c r="R30" i="2"/>
  <c r="R31" i="2"/>
  <c r="R32" i="2"/>
  <c r="R33" i="2"/>
  <c r="CP56" i="1" s="1"/>
  <c r="R34" i="2"/>
  <c r="CP150" i="1" s="1"/>
  <c r="R35" i="2"/>
  <c r="CP206" i="1" s="1"/>
  <c r="R36" i="2"/>
  <c r="CP242" i="1" s="1"/>
  <c r="R37" i="2"/>
  <c r="CP302" i="1" s="1"/>
  <c r="R38" i="2"/>
  <c r="CP304" i="1" s="1"/>
  <c r="R39" i="2"/>
  <c r="R41" i="2"/>
  <c r="R42" i="2"/>
  <c r="R12" i="2"/>
  <c r="R13" i="2"/>
  <c r="BH17" i="8" s="1"/>
  <c r="R14" i="2"/>
  <c r="CM103" i="1" s="1"/>
  <c r="R21" i="2"/>
  <c r="R11" i="2"/>
  <c r="CM261" i="1" s="1"/>
  <c r="W36" i="2"/>
  <c r="W28" i="2"/>
  <c r="CO235" i="1" s="1"/>
  <c r="W29" i="2"/>
  <c r="W30" i="2"/>
  <c r="CO141" i="1" s="1"/>
  <c r="W31" i="2"/>
  <c r="CO207" i="1" s="1"/>
  <c r="W32" i="2"/>
  <c r="CO205" i="1" s="1"/>
  <c r="W33" i="2"/>
  <c r="W27" i="2"/>
  <c r="W10" i="2"/>
  <c r="W11" i="2"/>
  <c r="W12" i="2"/>
  <c r="W13" i="2"/>
  <c r="W14" i="2"/>
  <c r="W15" i="2"/>
  <c r="W9" i="2"/>
  <c r="CN265" i="1" s="1"/>
  <c r="T3" i="2"/>
  <c r="CL279" i="1" s="1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F2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F3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F4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F5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F6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F7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F8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F9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F10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F11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F12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F13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F14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F15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F16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F17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F18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F19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F20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F21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F22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F23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F24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F25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F26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F27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F28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F29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F30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F31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F32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F33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F34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F35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F36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F37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F38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F39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F40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F41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F42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F43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F44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F45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F46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F47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F48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F49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F50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F51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F52" i="3"/>
  <c r="BR100" i="1"/>
  <c r="BR117" i="1"/>
  <c r="BR140" i="1"/>
  <c r="BR261" i="1"/>
  <c r="BR151" i="1"/>
  <c r="BR223" i="1"/>
  <c r="BR114" i="1"/>
  <c r="BR218" i="1"/>
  <c r="BR169" i="1"/>
  <c r="BR102" i="1"/>
  <c r="BR279" i="1"/>
  <c r="BR62" i="1"/>
  <c r="BR304" i="1"/>
  <c r="BR139" i="1"/>
  <c r="BR246" i="1"/>
  <c r="BR220" i="1"/>
  <c r="BR81" i="1"/>
  <c r="BR176" i="1"/>
  <c r="BR265" i="1"/>
  <c r="BR75" i="1"/>
  <c r="BR227" i="1"/>
  <c r="BR152" i="1"/>
  <c r="BR177" i="1"/>
  <c r="BR179" i="1"/>
  <c r="BR56" i="1"/>
  <c r="BR170" i="1"/>
  <c r="BR46" i="1"/>
  <c r="BR221" i="1"/>
  <c r="BR71" i="1"/>
  <c r="BR158" i="1"/>
  <c r="BR131" i="1"/>
  <c r="BR161" i="1"/>
  <c r="BR278" i="1"/>
  <c r="BR67" i="1"/>
  <c r="BR254" i="1"/>
  <c r="BR27" i="1"/>
  <c r="BR130" i="1"/>
  <c r="BR122" i="1"/>
  <c r="BR38" i="1"/>
  <c r="BR288" i="1"/>
  <c r="BR8" i="1"/>
  <c r="BR84" i="1"/>
  <c r="BR196" i="1"/>
  <c r="BR120" i="1"/>
  <c r="BR14" i="1"/>
  <c r="BR210" i="1"/>
  <c r="BR112" i="1"/>
  <c r="BR95" i="1"/>
  <c r="BR105" i="1"/>
  <c r="BR238" i="1"/>
  <c r="BR259" i="1"/>
  <c r="BR243" i="1"/>
  <c r="BR61" i="1"/>
  <c r="BR159" i="1"/>
  <c r="BR109" i="1"/>
  <c r="BR36" i="1"/>
  <c r="BR43" i="1"/>
  <c r="BR59" i="1"/>
  <c r="BR144" i="1"/>
  <c r="BR296" i="1"/>
  <c r="BR293" i="1"/>
  <c r="BR129" i="1"/>
  <c r="BR166" i="1"/>
  <c r="BR127" i="1"/>
  <c r="BR248" i="1"/>
  <c r="BR269" i="1"/>
  <c r="BR235" i="1"/>
  <c r="BR155" i="1"/>
  <c r="BR206" i="1"/>
  <c r="BR42" i="1"/>
  <c r="BR31" i="1"/>
  <c r="BR20" i="1"/>
  <c r="BR195" i="1"/>
  <c r="BR21" i="1"/>
  <c r="BR165" i="1"/>
  <c r="BR172" i="1"/>
  <c r="BR300" i="1"/>
  <c r="BR9" i="1"/>
  <c r="BR183" i="1"/>
  <c r="BR213" i="1"/>
  <c r="BR258" i="1"/>
  <c r="BR255" i="1"/>
  <c r="BR194" i="1"/>
  <c r="BR87" i="1"/>
  <c r="BR37" i="1"/>
  <c r="BR303" i="1"/>
  <c r="BR19" i="1"/>
  <c r="BR104" i="1"/>
  <c r="BR190" i="1"/>
  <c r="BR147" i="1"/>
  <c r="BR30" i="1"/>
  <c r="BR208" i="1"/>
  <c r="BR292" i="1"/>
  <c r="BR226" i="1"/>
  <c r="BR274" i="1"/>
  <c r="BR230" i="1"/>
  <c r="BR239" i="1"/>
  <c r="BR157" i="1"/>
  <c r="BR297" i="1"/>
  <c r="BR285" i="1"/>
  <c r="BR10" i="1"/>
  <c r="BR298" i="1"/>
  <c r="BR212" i="1"/>
  <c r="BR240" i="1"/>
  <c r="BR6" i="1"/>
  <c r="BR242" i="1"/>
  <c r="BR32" i="1"/>
  <c r="BR108" i="1"/>
  <c r="BR189" i="1"/>
  <c r="BR121" i="1"/>
  <c r="BR266" i="1"/>
  <c r="BR99" i="1"/>
  <c r="BR98" i="1"/>
  <c r="BR291" i="1"/>
  <c r="BR307" i="1"/>
  <c r="BR282" i="1"/>
  <c r="BR181" i="1"/>
  <c r="BR149" i="1"/>
  <c r="BR308" i="1"/>
  <c r="BR275" i="1"/>
  <c r="BR260" i="1"/>
  <c r="BR277" i="1"/>
  <c r="BR132" i="1"/>
  <c r="BR101" i="1"/>
  <c r="BR16" i="1"/>
  <c r="BR236" i="1"/>
  <c r="BR143" i="1"/>
  <c r="BR267" i="1"/>
  <c r="BR18" i="1"/>
  <c r="BR290" i="1"/>
  <c r="BR245" i="1"/>
  <c r="BR188" i="1"/>
  <c r="BR150" i="1"/>
  <c r="BR249" i="1"/>
  <c r="BR48" i="1"/>
  <c r="BR178" i="1"/>
  <c r="BR185" i="1"/>
  <c r="BR263" i="1"/>
  <c r="BR145" i="1"/>
  <c r="BR24" i="1"/>
  <c r="BR25" i="1"/>
  <c r="BR49" i="1"/>
  <c r="BR294" i="1"/>
  <c r="BR276" i="1"/>
  <c r="BR163" i="1"/>
  <c r="BR305" i="1"/>
  <c r="BR116" i="1"/>
  <c r="BR23" i="1"/>
  <c r="BR247" i="1"/>
  <c r="BR2" i="1"/>
  <c r="BR88" i="1"/>
  <c r="BR125" i="1"/>
  <c r="BR241" i="1"/>
  <c r="BR192" i="1"/>
  <c r="BR225" i="1"/>
  <c r="BR80" i="1"/>
  <c r="BR74" i="1"/>
  <c r="BR110" i="1"/>
  <c r="BR92" i="1"/>
  <c r="BR17" i="1"/>
  <c r="BR113" i="1"/>
  <c r="BR222" i="1"/>
  <c r="BR211" i="1"/>
  <c r="BR271" i="1"/>
  <c r="BR76" i="1"/>
  <c r="BR136" i="1"/>
  <c r="BR53" i="1"/>
  <c r="BR57" i="1"/>
  <c r="BR65" i="1"/>
  <c r="BR34" i="1"/>
  <c r="BR141" i="1"/>
  <c r="BR202" i="1"/>
  <c r="BR55" i="1"/>
  <c r="BR273" i="1"/>
  <c r="BR111" i="1"/>
  <c r="BR234" i="1"/>
  <c r="BR295" i="1"/>
  <c r="BR133" i="1"/>
  <c r="BR90" i="1"/>
  <c r="BR233" i="1"/>
  <c r="BR175" i="1"/>
  <c r="BR15" i="1"/>
  <c r="BR224" i="1"/>
  <c r="BR77" i="1"/>
  <c r="BR83" i="1"/>
  <c r="BR148" i="1"/>
  <c r="BR191" i="1"/>
  <c r="BR115" i="1"/>
  <c r="BR229" i="1"/>
  <c r="BR85" i="1"/>
  <c r="BR89" i="1"/>
  <c r="BR4" i="1"/>
  <c r="BR164" i="1"/>
  <c r="BR299" i="1"/>
  <c r="BR153" i="1"/>
  <c r="BR302" i="1"/>
  <c r="BR162" i="1"/>
  <c r="BR209" i="1"/>
  <c r="BR146" i="1"/>
  <c r="BR281" i="1"/>
  <c r="BR199" i="1"/>
  <c r="BR52" i="1"/>
  <c r="BR253" i="1"/>
  <c r="BR262" i="1"/>
  <c r="BR173" i="1"/>
  <c r="BR33" i="1"/>
  <c r="BR28" i="1"/>
  <c r="BR160" i="1"/>
  <c r="BR86" i="1"/>
  <c r="BR22" i="1"/>
  <c r="BR12" i="1"/>
  <c r="BR270" i="1"/>
  <c r="BR219" i="1"/>
  <c r="BR272" i="1"/>
  <c r="BR70" i="1"/>
  <c r="BR200" i="1"/>
  <c r="BR251" i="1"/>
  <c r="BR134" i="1"/>
  <c r="BR94" i="1"/>
  <c r="BR5" i="1"/>
  <c r="BR68" i="1"/>
  <c r="BR301" i="1"/>
  <c r="BR207" i="1"/>
  <c r="BR289" i="1"/>
  <c r="BR284" i="1"/>
  <c r="BR283" i="1"/>
  <c r="BR306" i="1"/>
  <c r="BR184" i="1"/>
  <c r="BR106" i="1"/>
  <c r="BR103" i="1"/>
  <c r="BR60" i="1"/>
  <c r="BR64" i="1"/>
  <c r="BR29" i="1"/>
  <c r="BR41" i="1"/>
  <c r="BR96" i="1"/>
  <c r="BR7" i="1"/>
  <c r="BR69" i="1"/>
  <c r="BR138" i="1"/>
  <c r="BR174" i="1"/>
  <c r="BR214" i="1"/>
  <c r="BR58" i="1"/>
  <c r="BR180" i="1"/>
  <c r="BR93" i="1"/>
  <c r="BR26" i="1"/>
  <c r="BR35" i="1"/>
  <c r="BR171" i="1"/>
  <c r="BR268" i="1"/>
  <c r="BR137" i="1"/>
  <c r="BR216" i="1"/>
  <c r="BR168" i="1"/>
  <c r="BR256" i="1"/>
  <c r="BR79" i="1"/>
  <c r="BR217" i="1"/>
  <c r="BR287" i="1"/>
  <c r="BR47" i="1"/>
  <c r="BR244" i="1"/>
  <c r="BR128" i="1"/>
  <c r="BR286" i="1"/>
  <c r="BR215" i="1"/>
  <c r="BR97" i="1"/>
  <c r="BR167" i="1"/>
  <c r="BR187" i="1"/>
  <c r="BR66" i="1"/>
  <c r="BR39" i="1"/>
  <c r="BR250" i="1"/>
  <c r="BR232" i="1"/>
  <c r="BR45" i="1"/>
  <c r="BR73" i="1"/>
  <c r="BR13" i="1"/>
  <c r="BR72" i="1"/>
  <c r="BR252" i="1"/>
  <c r="BR203" i="1"/>
  <c r="BR126" i="1"/>
  <c r="BR123" i="1"/>
  <c r="BR197" i="1"/>
  <c r="BR11" i="1"/>
  <c r="BR118" i="1"/>
  <c r="BR280" i="1"/>
  <c r="BR82" i="1"/>
  <c r="BR142" i="1"/>
  <c r="BR198" i="1"/>
  <c r="BR182" i="1"/>
  <c r="BR205" i="1"/>
  <c r="BR154" i="1"/>
  <c r="BR264" i="1"/>
  <c r="BR204" i="1"/>
  <c r="BR3" i="1"/>
  <c r="BR237" i="1"/>
  <c r="BR231" i="1"/>
  <c r="BR124" i="1"/>
  <c r="BR51" i="1"/>
  <c r="BR54" i="1"/>
  <c r="BR63" i="1"/>
  <c r="BR135" i="1"/>
  <c r="BR228" i="1"/>
  <c r="BR44" i="1"/>
  <c r="BR156" i="1"/>
  <c r="BR50" i="1"/>
  <c r="BR201" i="1"/>
  <c r="BR40" i="1"/>
  <c r="BR78" i="1"/>
  <c r="BR91" i="1"/>
  <c r="BR119" i="1"/>
  <c r="BR193" i="1"/>
  <c r="BR186" i="1"/>
  <c r="BR107" i="1"/>
  <c r="BR257" i="1"/>
  <c r="BU117" i="1"/>
  <c r="BU140" i="1"/>
  <c r="BU261" i="1"/>
  <c r="BU151" i="1"/>
  <c r="BU223" i="1"/>
  <c r="BU114" i="1"/>
  <c r="BU218" i="1"/>
  <c r="BU169" i="1"/>
  <c r="BU102" i="1"/>
  <c r="BU279" i="1"/>
  <c r="BU62" i="1"/>
  <c r="BU304" i="1"/>
  <c r="BU139" i="1"/>
  <c r="BU246" i="1"/>
  <c r="BU220" i="1"/>
  <c r="BU81" i="1"/>
  <c r="BU176" i="1"/>
  <c r="BU265" i="1"/>
  <c r="BU75" i="1"/>
  <c r="BU227" i="1"/>
  <c r="BU152" i="1"/>
  <c r="BU177" i="1"/>
  <c r="BU179" i="1"/>
  <c r="BU56" i="1"/>
  <c r="BU170" i="1"/>
  <c r="BU46" i="1"/>
  <c r="BU221" i="1"/>
  <c r="BU71" i="1"/>
  <c r="BU158" i="1"/>
  <c r="BU131" i="1"/>
  <c r="BU161" i="1"/>
  <c r="BU278" i="1"/>
  <c r="BU67" i="1"/>
  <c r="BU254" i="1"/>
  <c r="BU27" i="1"/>
  <c r="BU130" i="1"/>
  <c r="BU122" i="1"/>
  <c r="BU38" i="1"/>
  <c r="BU288" i="1"/>
  <c r="BU8" i="1"/>
  <c r="BU84" i="1"/>
  <c r="BU196" i="1"/>
  <c r="BU120" i="1"/>
  <c r="BU14" i="1"/>
  <c r="BU210" i="1"/>
  <c r="BU112" i="1"/>
  <c r="BU95" i="1"/>
  <c r="BU105" i="1"/>
  <c r="BU238" i="1"/>
  <c r="BU259" i="1"/>
  <c r="BU243" i="1"/>
  <c r="BU61" i="1"/>
  <c r="BU159" i="1"/>
  <c r="BU109" i="1"/>
  <c r="BU36" i="1"/>
  <c r="BU43" i="1"/>
  <c r="BU59" i="1"/>
  <c r="BU144" i="1"/>
  <c r="BU296" i="1"/>
  <c r="BU293" i="1"/>
  <c r="BU129" i="1"/>
  <c r="BU166" i="1"/>
  <c r="BU127" i="1"/>
  <c r="BU248" i="1"/>
  <c r="BU269" i="1"/>
  <c r="BU235" i="1"/>
  <c r="BU155" i="1"/>
  <c r="BU206" i="1"/>
  <c r="BU42" i="1"/>
  <c r="BU31" i="1"/>
  <c r="BU20" i="1"/>
  <c r="BU195" i="1"/>
  <c r="BU21" i="1"/>
  <c r="BU165" i="1"/>
  <c r="BU172" i="1"/>
  <c r="BU300" i="1"/>
  <c r="BU9" i="1"/>
  <c r="BU183" i="1"/>
  <c r="BU213" i="1"/>
  <c r="BU258" i="1"/>
  <c r="BU255" i="1"/>
  <c r="BU194" i="1"/>
  <c r="BU87" i="1"/>
  <c r="BU37" i="1"/>
  <c r="BU303" i="1"/>
  <c r="BU19" i="1"/>
  <c r="BU104" i="1"/>
  <c r="BU190" i="1"/>
  <c r="BU147" i="1"/>
  <c r="BU30" i="1"/>
  <c r="BU208" i="1"/>
  <c r="BU292" i="1"/>
  <c r="BU226" i="1"/>
  <c r="BU274" i="1"/>
  <c r="BU230" i="1"/>
  <c r="BU239" i="1"/>
  <c r="BU157" i="1"/>
  <c r="BU297" i="1"/>
  <c r="BU285" i="1"/>
  <c r="BU10" i="1"/>
  <c r="BU298" i="1"/>
  <c r="BU212" i="1"/>
  <c r="BU240" i="1"/>
  <c r="BU6" i="1"/>
  <c r="BU242" i="1"/>
  <c r="BU32" i="1"/>
  <c r="BU108" i="1"/>
  <c r="BU189" i="1"/>
  <c r="BU121" i="1"/>
  <c r="BU266" i="1"/>
  <c r="BU99" i="1"/>
  <c r="BU98" i="1"/>
  <c r="BU291" i="1"/>
  <c r="BU307" i="1"/>
  <c r="BU282" i="1"/>
  <c r="BU181" i="1"/>
  <c r="BU149" i="1"/>
  <c r="BU308" i="1"/>
  <c r="BU275" i="1"/>
  <c r="BU260" i="1"/>
  <c r="BU277" i="1"/>
  <c r="BU132" i="1"/>
  <c r="BU101" i="1"/>
  <c r="BU16" i="1"/>
  <c r="BU236" i="1"/>
  <c r="BU143" i="1"/>
  <c r="BU267" i="1"/>
  <c r="BU18" i="1"/>
  <c r="BU290" i="1"/>
  <c r="BU245" i="1"/>
  <c r="BU188" i="1"/>
  <c r="BU150" i="1"/>
  <c r="BU249" i="1"/>
  <c r="BU48" i="1"/>
  <c r="BU178" i="1"/>
  <c r="BU185" i="1"/>
  <c r="BU263" i="1"/>
  <c r="BU145" i="1"/>
  <c r="BU24" i="1"/>
  <c r="BU25" i="1"/>
  <c r="BU49" i="1"/>
  <c r="BU294" i="1"/>
  <c r="BU276" i="1"/>
  <c r="BU163" i="1"/>
  <c r="BU305" i="1"/>
  <c r="BU116" i="1"/>
  <c r="BU23" i="1"/>
  <c r="BU247" i="1"/>
  <c r="BU2" i="1"/>
  <c r="BU88" i="1"/>
  <c r="BU125" i="1"/>
  <c r="BU241" i="1"/>
  <c r="BU192" i="1"/>
  <c r="BU225" i="1"/>
  <c r="BU80" i="1"/>
  <c r="BU74" i="1"/>
  <c r="BU110" i="1"/>
  <c r="BU92" i="1"/>
  <c r="BU17" i="1"/>
  <c r="BU113" i="1"/>
  <c r="BU222" i="1"/>
  <c r="BU211" i="1"/>
  <c r="BU271" i="1"/>
  <c r="BU76" i="1"/>
  <c r="BU136" i="1"/>
  <c r="BU53" i="1"/>
  <c r="BU57" i="1"/>
  <c r="BU65" i="1"/>
  <c r="BU34" i="1"/>
  <c r="BU141" i="1"/>
  <c r="BU202" i="1"/>
  <c r="BU55" i="1"/>
  <c r="BU273" i="1"/>
  <c r="BU111" i="1"/>
  <c r="BU234" i="1"/>
  <c r="BU295" i="1"/>
  <c r="BU133" i="1"/>
  <c r="BU90" i="1"/>
  <c r="BU233" i="1"/>
  <c r="BU175" i="1"/>
  <c r="BU15" i="1"/>
  <c r="BU224" i="1"/>
  <c r="BU77" i="1"/>
  <c r="BU83" i="1"/>
  <c r="BU148" i="1"/>
  <c r="BU191" i="1"/>
  <c r="BU115" i="1"/>
  <c r="BU229" i="1"/>
  <c r="BU85" i="1"/>
  <c r="BU89" i="1"/>
  <c r="BU4" i="1"/>
  <c r="BU164" i="1"/>
  <c r="BU299" i="1"/>
  <c r="BU153" i="1"/>
  <c r="BU302" i="1"/>
  <c r="BU162" i="1"/>
  <c r="BU209" i="1"/>
  <c r="BU146" i="1"/>
  <c r="BU281" i="1"/>
  <c r="BU199" i="1"/>
  <c r="BU52" i="1"/>
  <c r="BU253" i="1"/>
  <c r="BU262" i="1"/>
  <c r="BU173" i="1"/>
  <c r="BU33" i="1"/>
  <c r="BU28" i="1"/>
  <c r="BU160" i="1"/>
  <c r="BU86" i="1"/>
  <c r="BU22" i="1"/>
  <c r="BU12" i="1"/>
  <c r="BU270" i="1"/>
  <c r="BU219" i="1"/>
  <c r="BU272" i="1"/>
  <c r="BU70" i="1"/>
  <c r="BU200" i="1"/>
  <c r="BU251" i="1"/>
  <c r="BU134" i="1"/>
  <c r="BU94" i="1"/>
  <c r="BU5" i="1"/>
  <c r="BU68" i="1"/>
  <c r="BU301" i="1"/>
  <c r="BU207" i="1"/>
  <c r="BU289" i="1"/>
  <c r="BU284" i="1"/>
  <c r="BU283" i="1"/>
  <c r="BU306" i="1"/>
  <c r="BU184" i="1"/>
  <c r="BU106" i="1"/>
  <c r="BU103" i="1"/>
  <c r="BU60" i="1"/>
  <c r="BU64" i="1"/>
  <c r="BU29" i="1"/>
  <c r="BU41" i="1"/>
  <c r="BU96" i="1"/>
  <c r="BU7" i="1"/>
  <c r="BU69" i="1"/>
  <c r="BU138" i="1"/>
  <c r="BU174" i="1"/>
  <c r="BU214" i="1"/>
  <c r="BU58" i="1"/>
  <c r="BU180" i="1"/>
  <c r="BU93" i="1"/>
  <c r="BU26" i="1"/>
  <c r="BU35" i="1"/>
  <c r="BU171" i="1"/>
  <c r="BU268" i="1"/>
  <c r="BU137" i="1"/>
  <c r="BU216" i="1"/>
  <c r="BU168" i="1"/>
  <c r="BU256" i="1"/>
  <c r="BU79" i="1"/>
  <c r="BU217" i="1"/>
  <c r="BU287" i="1"/>
  <c r="BU47" i="1"/>
  <c r="BU244" i="1"/>
  <c r="BU128" i="1"/>
  <c r="BU286" i="1"/>
  <c r="BU215" i="1"/>
  <c r="BU97" i="1"/>
  <c r="BU167" i="1"/>
  <c r="BU187" i="1"/>
  <c r="BU66" i="1"/>
  <c r="BU39" i="1"/>
  <c r="BU250" i="1"/>
  <c r="BU232" i="1"/>
  <c r="BU45" i="1"/>
  <c r="BU73" i="1"/>
  <c r="BU13" i="1"/>
  <c r="BU72" i="1"/>
  <c r="BU252" i="1"/>
  <c r="BU203" i="1"/>
  <c r="BU126" i="1"/>
  <c r="BU123" i="1"/>
  <c r="BU197" i="1"/>
  <c r="BU11" i="1"/>
  <c r="BU118" i="1"/>
  <c r="BU280" i="1"/>
  <c r="BU82" i="1"/>
  <c r="BU142" i="1"/>
  <c r="BU198" i="1"/>
  <c r="BU182" i="1"/>
  <c r="BU205" i="1"/>
  <c r="BU154" i="1"/>
  <c r="BU264" i="1"/>
  <c r="BU204" i="1"/>
  <c r="BU3" i="1"/>
  <c r="BU237" i="1"/>
  <c r="BU231" i="1"/>
  <c r="BU124" i="1"/>
  <c r="BU51" i="1"/>
  <c r="BU54" i="1"/>
  <c r="BU63" i="1"/>
  <c r="BU135" i="1"/>
  <c r="BU228" i="1"/>
  <c r="BU44" i="1"/>
  <c r="BU156" i="1"/>
  <c r="BU50" i="1"/>
  <c r="BU201" i="1"/>
  <c r="BU40" i="1"/>
  <c r="BU78" i="1"/>
  <c r="BU91" i="1"/>
  <c r="BU119" i="1"/>
  <c r="BU193" i="1"/>
  <c r="BU186" i="1"/>
  <c r="BU107" i="1"/>
  <c r="BU257" i="1"/>
  <c r="BV117" i="1"/>
  <c r="BV140" i="1"/>
  <c r="BV261" i="1"/>
  <c r="BV151" i="1"/>
  <c r="BV223" i="1"/>
  <c r="BV114" i="1"/>
  <c r="BV218" i="1"/>
  <c r="BV169" i="1"/>
  <c r="BV102" i="1"/>
  <c r="BV279" i="1"/>
  <c r="BV62" i="1"/>
  <c r="BV304" i="1"/>
  <c r="BV139" i="1"/>
  <c r="BV246" i="1"/>
  <c r="BV220" i="1"/>
  <c r="BV81" i="1"/>
  <c r="BV176" i="1"/>
  <c r="BV265" i="1"/>
  <c r="BV75" i="1"/>
  <c r="BV227" i="1"/>
  <c r="BV152" i="1"/>
  <c r="BV177" i="1"/>
  <c r="BV179" i="1"/>
  <c r="BV56" i="1"/>
  <c r="BV170" i="1"/>
  <c r="BV46" i="1"/>
  <c r="BV221" i="1"/>
  <c r="BV71" i="1"/>
  <c r="BV158" i="1"/>
  <c r="BV131" i="1"/>
  <c r="BV161" i="1"/>
  <c r="BV278" i="1"/>
  <c r="BV67" i="1"/>
  <c r="BV254" i="1"/>
  <c r="BV27" i="1"/>
  <c r="BV130" i="1"/>
  <c r="BV122" i="1"/>
  <c r="BV38" i="1"/>
  <c r="BV288" i="1"/>
  <c r="BV8" i="1"/>
  <c r="BV84" i="1"/>
  <c r="BV196" i="1"/>
  <c r="BV120" i="1"/>
  <c r="BV14" i="1"/>
  <c r="BV210" i="1"/>
  <c r="BV112" i="1"/>
  <c r="BV95" i="1"/>
  <c r="BV105" i="1"/>
  <c r="BV238" i="1"/>
  <c r="BV259" i="1"/>
  <c r="BV243" i="1"/>
  <c r="BV61" i="1"/>
  <c r="BV159" i="1"/>
  <c r="BV109" i="1"/>
  <c r="BV36" i="1"/>
  <c r="BV43" i="1"/>
  <c r="BV59" i="1"/>
  <c r="BV144" i="1"/>
  <c r="BV296" i="1"/>
  <c r="BV293" i="1"/>
  <c r="BV129" i="1"/>
  <c r="BV166" i="1"/>
  <c r="BV127" i="1"/>
  <c r="BV248" i="1"/>
  <c r="BV269" i="1"/>
  <c r="BV235" i="1"/>
  <c r="BV155" i="1"/>
  <c r="BV206" i="1"/>
  <c r="BV42" i="1"/>
  <c r="BV31" i="1"/>
  <c r="BV20" i="1"/>
  <c r="BV195" i="1"/>
  <c r="BV21" i="1"/>
  <c r="BV165" i="1"/>
  <c r="BV172" i="1"/>
  <c r="BV300" i="1"/>
  <c r="BV9" i="1"/>
  <c r="BV183" i="1"/>
  <c r="BV213" i="1"/>
  <c r="BV258" i="1"/>
  <c r="BV255" i="1"/>
  <c r="BV194" i="1"/>
  <c r="BV87" i="1"/>
  <c r="BV37" i="1"/>
  <c r="BV303" i="1"/>
  <c r="BV19" i="1"/>
  <c r="BV104" i="1"/>
  <c r="BV190" i="1"/>
  <c r="BV147" i="1"/>
  <c r="BV30" i="1"/>
  <c r="BV208" i="1"/>
  <c r="BV292" i="1"/>
  <c r="BV226" i="1"/>
  <c r="BV274" i="1"/>
  <c r="BV230" i="1"/>
  <c r="BV239" i="1"/>
  <c r="BV157" i="1"/>
  <c r="BV297" i="1"/>
  <c r="BV285" i="1"/>
  <c r="BV10" i="1"/>
  <c r="BV298" i="1"/>
  <c r="BV212" i="1"/>
  <c r="BV240" i="1"/>
  <c r="BV6" i="1"/>
  <c r="BV242" i="1"/>
  <c r="BV32" i="1"/>
  <c r="BV108" i="1"/>
  <c r="BV189" i="1"/>
  <c r="BV121" i="1"/>
  <c r="BV266" i="1"/>
  <c r="BV99" i="1"/>
  <c r="BV98" i="1"/>
  <c r="BV291" i="1"/>
  <c r="BV307" i="1"/>
  <c r="BV282" i="1"/>
  <c r="BV181" i="1"/>
  <c r="BV149" i="1"/>
  <c r="BV308" i="1"/>
  <c r="BV275" i="1"/>
  <c r="BV260" i="1"/>
  <c r="BV277" i="1"/>
  <c r="BV132" i="1"/>
  <c r="BV101" i="1"/>
  <c r="BV16" i="1"/>
  <c r="BV236" i="1"/>
  <c r="BV143" i="1"/>
  <c r="BV267" i="1"/>
  <c r="BV18" i="1"/>
  <c r="BV290" i="1"/>
  <c r="BV245" i="1"/>
  <c r="BV188" i="1"/>
  <c r="BV150" i="1"/>
  <c r="BV249" i="1"/>
  <c r="BV48" i="1"/>
  <c r="BV178" i="1"/>
  <c r="BV185" i="1"/>
  <c r="BV263" i="1"/>
  <c r="BV145" i="1"/>
  <c r="BV24" i="1"/>
  <c r="BV25" i="1"/>
  <c r="BV49" i="1"/>
  <c r="BV294" i="1"/>
  <c r="BV276" i="1"/>
  <c r="BV163" i="1"/>
  <c r="BV305" i="1"/>
  <c r="BV116" i="1"/>
  <c r="BV23" i="1"/>
  <c r="BV247" i="1"/>
  <c r="BV2" i="1"/>
  <c r="BV88" i="1"/>
  <c r="BV125" i="1"/>
  <c r="BV241" i="1"/>
  <c r="BV192" i="1"/>
  <c r="BV225" i="1"/>
  <c r="BV80" i="1"/>
  <c r="BV74" i="1"/>
  <c r="BV110" i="1"/>
  <c r="BV92" i="1"/>
  <c r="BV17" i="1"/>
  <c r="BV113" i="1"/>
  <c r="BV222" i="1"/>
  <c r="BV211" i="1"/>
  <c r="BV271" i="1"/>
  <c r="BV76" i="1"/>
  <c r="BV136" i="1"/>
  <c r="BV53" i="1"/>
  <c r="BV57" i="1"/>
  <c r="BV65" i="1"/>
  <c r="BV34" i="1"/>
  <c r="BV141" i="1"/>
  <c r="BV202" i="1"/>
  <c r="BV55" i="1"/>
  <c r="BV273" i="1"/>
  <c r="BV111" i="1"/>
  <c r="BV234" i="1"/>
  <c r="BV295" i="1"/>
  <c r="BV133" i="1"/>
  <c r="BV90" i="1"/>
  <c r="BV233" i="1"/>
  <c r="BV175" i="1"/>
  <c r="BV15" i="1"/>
  <c r="BV224" i="1"/>
  <c r="BV77" i="1"/>
  <c r="BV83" i="1"/>
  <c r="BV148" i="1"/>
  <c r="BV191" i="1"/>
  <c r="BV115" i="1"/>
  <c r="BV229" i="1"/>
  <c r="BV85" i="1"/>
  <c r="BV89" i="1"/>
  <c r="BV4" i="1"/>
  <c r="BV164" i="1"/>
  <c r="BV299" i="1"/>
  <c r="BV153" i="1"/>
  <c r="BV302" i="1"/>
  <c r="BV162" i="1"/>
  <c r="BV209" i="1"/>
  <c r="BV146" i="1"/>
  <c r="BV281" i="1"/>
  <c r="BV199" i="1"/>
  <c r="BV52" i="1"/>
  <c r="BV253" i="1"/>
  <c r="BV262" i="1"/>
  <c r="BV173" i="1"/>
  <c r="BV33" i="1"/>
  <c r="BV28" i="1"/>
  <c r="BV160" i="1"/>
  <c r="BV86" i="1"/>
  <c r="BV22" i="1"/>
  <c r="BV12" i="1"/>
  <c r="BV270" i="1"/>
  <c r="BV219" i="1"/>
  <c r="BV272" i="1"/>
  <c r="BV70" i="1"/>
  <c r="BV200" i="1"/>
  <c r="BV251" i="1"/>
  <c r="BV134" i="1"/>
  <c r="BV94" i="1"/>
  <c r="BV5" i="1"/>
  <c r="BV68" i="1"/>
  <c r="BV301" i="1"/>
  <c r="BV207" i="1"/>
  <c r="BV289" i="1"/>
  <c r="BV284" i="1"/>
  <c r="BV283" i="1"/>
  <c r="BV306" i="1"/>
  <c r="BV184" i="1"/>
  <c r="BV106" i="1"/>
  <c r="BV103" i="1"/>
  <c r="BV60" i="1"/>
  <c r="BV64" i="1"/>
  <c r="BV29" i="1"/>
  <c r="BV41" i="1"/>
  <c r="BV96" i="1"/>
  <c r="BV7" i="1"/>
  <c r="BV69" i="1"/>
  <c r="BV138" i="1"/>
  <c r="BV174" i="1"/>
  <c r="BV214" i="1"/>
  <c r="BV58" i="1"/>
  <c r="BV180" i="1"/>
  <c r="BV93" i="1"/>
  <c r="BV26" i="1"/>
  <c r="BV35" i="1"/>
  <c r="BV171" i="1"/>
  <c r="BV268" i="1"/>
  <c r="BV137" i="1"/>
  <c r="BV216" i="1"/>
  <c r="BV168" i="1"/>
  <c r="BV256" i="1"/>
  <c r="BV79" i="1"/>
  <c r="BV217" i="1"/>
  <c r="BV287" i="1"/>
  <c r="BV47" i="1"/>
  <c r="BV244" i="1"/>
  <c r="BV128" i="1"/>
  <c r="BV286" i="1"/>
  <c r="BV215" i="1"/>
  <c r="BV97" i="1"/>
  <c r="BV167" i="1"/>
  <c r="BV187" i="1"/>
  <c r="BV66" i="1"/>
  <c r="BV39" i="1"/>
  <c r="BV250" i="1"/>
  <c r="BV232" i="1"/>
  <c r="BV45" i="1"/>
  <c r="BV73" i="1"/>
  <c r="BV13" i="1"/>
  <c r="BV72" i="1"/>
  <c r="BV252" i="1"/>
  <c r="BV203" i="1"/>
  <c r="BV126" i="1"/>
  <c r="BV123" i="1"/>
  <c r="BV197" i="1"/>
  <c r="BV11" i="1"/>
  <c r="BV118" i="1"/>
  <c r="BV280" i="1"/>
  <c r="BV82" i="1"/>
  <c r="BV142" i="1"/>
  <c r="BV198" i="1"/>
  <c r="BV182" i="1"/>
  <c r="BV205" i="1"/>
  <c r="BV154" i="1"/>
  <c r="BV264" i="1"/>
  <c r="BV204" i="1"/>
  <c r="BV3" i="1"/>
  <c r="BV237" i="1"/>
  <c r="BV231" i="1"/>
  <c r="BV124" i="1"/>
  <c r="BV51" i="1"/>
  <c r="BV54" i="1"/>
  <c r="BV63" i="1"/>
  <c r="BV135" i="1"/>
  <c r="BV228" i="1"/>
  <c r="BV44" i="1"/>
  <c r="BV156" i="1"/>
  <c r="BV50" i="1"/>
  <c r="BV201" i="1"/>
  <c r="BV40" i="1"/>
  <c r="BV78" i="1"/>
  <c r="BV91" i="1"/>
  <c r="BV119" i="1"/>
  <c r="BV193" i="1"/>
  <c r="BV186" i="1"/>
  <c r="BV107" i="1"/>
  <c r="BV257" i="1"/>
  <c r="BW100" i="1"/>
  <c r="BW117" i="1"/>
  <c r="BW140" i="1"/>
  <c r="BW261" i="1"/>
  <c r="BW151" i="1"/>
  <c r="BW223" i="1"/>
  <c r="BW114" i="1"/>
  <c r="BW218" i="1"/>
  <c r="BW169" i="1"/>
  <c r="BW102" i="1"/>
  <c r="BW279" i="1"/>
  <c r="BW62" i="1"/>
  <c r="BW304" i="1"/>
  <c r="BW139" i="1"/>
  <c r="BW246" i="1"/>
  <c r="BW220" i="1"/>
  <c r="BW81" i="1"/>
  <c r="BW176" i="1"/>
  <c r="BW265" i="1"/>
  <c r="BW75" i="1"/>
  <c r="BW227" i="1"/>
  <c r="BW152" i="1"/>
  <c r="BW177" i="1"/>
  <c r="BW179" i="1"/>
  <c r="BW56" i="1"/>
  <c r="BW170" i="1"/>
  <c r="BW46" i="1"/>
  <c r="BW221" i="1"/>
  <c r="BW71" i="1"/>
  <c r="BW158" i="1"/>
  <c r="BW131" i="1"/>
  <c r="BW161" i="1"/>
  <c r="BW278" i="1"/>
  <c r="BW67" i="1"/>
  <c r="BW254" i="1"/>
  <c r="BW27" i="1"/>
  <c r="BW130" i="1"/>
  <c r="BW122" i="1"/>
  <c r="BW38" i="1"/>
  <c r="BW288" i="1"/>
  <c r="BW8" i="1"/>
  <c r="BW84" i="1"/>
  <c r="BW196" i="1"/>
  <c r="BW120" i="1"/>
  <c r="BW14" i="1"/>
  <c r="BW210" i="1"/>
  <c r="BW112" i="1"/>
  <c r="BW95" i="1"/>
  <c r="BW105" i="1"/>
  <c r="BW238" i="1"/>
  <c r="BW259" i="1"/>
  <c r="BW243" i="1"/>
  <c r="BW61" i="1"/>
  <c r="BW159" i="1"/>
  <c r="BW109" i="1"/>
  <c r="BW36" i="1"/>
  <c r="BW43" i="1"/>
  <c r="BW59" i="1"/>
  <c r="BW144" i="1"/>
  <c r="BW296" i="1"/>
  <c r="BW293" i="1"/>
  <c r="BW129" i="1"/>
  <c r="BW166" i="1"/>
  <c r="BW127" i="1"/>
  <c r="BW248" i="1"/>
  <c r="BW269" i="1"/>
  <c r="BW235" i="1"/>
  <c r="BW155" i="1"/>
  <c r="BW206" i="1"/>
  <c r="BW42" i="1"/>
  <c r="BW31" i="1"/>
  <c r="BW20" i="1"/>
  <c r="BW195" i="1"/>
  <c r="BW21" i="1"/>
  <c r="BW165" i="1"/>
  <c r="BW172" i="1"/>
  <c r="BW300" i="1"/>
  <c r="BW9" i="1"/>
  <c r="BW183" i="1"/>
  <c r="BW213" i="1"/>
  <c r="BW258" i="1"/>
  <c r="BW255" i="1"/>
  <c r="BW194" i="1"/>
  <c r="BW87" i="1"/>
  <c r="BW37" i="1"/>
  <c r="BW303" i="1"/>
  <c r="BW19" i="1"/>
  <c r="BW104" i="1"/>
  <c r="BW190" i="1"/>
  <c r="BW147" i="1"/>
  <c r="BW30" i="1"/>
  <c r="BW208" i="1"/>
  <c r="BW292" i="1"/>
  <c r="BW226" i="1"/>
  <c r="BW274" i="1"/>
  <c r="BW230" i="1"/>
  <c r="BW239" i="1"/>
  <c r="BW157" i="1"/>
  <c r="BW297" i="1"/>
  <c r="BW285" i="1"/>
  <c r="BW10" i="1"/>
  <c r="BW298" i="1"/>
  <c r="BW212" i="1"/>
  <c r="BW240" i="1"/>
  <c r="BW6" i="1"/>
  <c r="BW242" i="1"/>
  <c r="BW32" i="1"/>
  <c r="BW108" i="1"/>
  <c r="BW189" i="1"/>
  <c r="BW121" i="1"/>
  <c r="BW266" i="1"/>
  <c r="BW99" i="1"/>
  <c r="BW98" i="1"/>
  <c r="BW291" i="1"/>
  <c r="BW307" i="1"/>
  <c r="BW282" i="1"/>
  <c r="BW181" i="1"/>
  <c r="BW149" i="1"/>
  <c r="BW308" i="1"/>
  <c r="BW275" i="1"/>
  <c r="BW260" i="1"/>
  <c r="BW277" i="1"/>
  <c r="BW132" i="1"/>
  <c r="BW101" i="1"/>
  <c r="BW16" i="1"/>
  <c r="BW236" i="1"/>
  <c r="BW143" i="1"/>
  <c r="BW267" i="1"/>
  <c r="BW18" i="1"/>
  <c r="BW290" i="1"/>
  <c r="BW245" i="1"/>
  <c r="BW188" i="1"/>
  <c r="BW150" i="1"/>
  <c r="BW249" i="1"/>
  <c r="BW48" i="1"/>
  <c r="BW178" i="1"/>
  <c r="BW185" i="1"/>
  <c r="BW263" i="1"/>
  <c r="BW145" i="1"/>
  <c r="BW24" i="1"/>
  <c r="BW25" i="1"/>
  <c r="BW49" i="1"/>
  <c r="BW294" i="1"/>
  <c r="BW276" i="1"/>
  <c r="BW163" i="1"/>
  <c r="BW305" i="1"/>
  <c r="BW116" i="1"/>
  <c r="BW23" i="1"/>
  <c r="BW247" i="1"/>
  <c r="BW2" i="1"/>
  <c r="BW88" i="1"/>
  <c r="BW125" i="1"/>
  <c r="BW241" i="1"/>
  <c r="BW192" i="1"/>
  <c r="BW225" i="1"/>
  <c r="BW80" i="1"/>
  <c r="BW74" i="1"/>
  <c r="BW110" i="1"/>
  <c r="BW92" i="1"/>
  <c r="BW17" i="1"/>
  <c r="BW113" i="1"/>
  <c r="BW222" i="1"/>
  <c r="BW211" i="1"/>
  <c r="BW271" i="1"/>
  <c r="BW76" i="1"/>
  <c r="BW136" i="1"/>
  <c r="BW53" i="1"/>
  <c r="BW57" i="1"/>
  <c r="BW65" i="1"/>
  <c r="BW34" i="1"/>
  <c r="BW141" i="1"/>
  <c r="BW202" i="1"/>
  <c r="BW55" i="1"/>
  <c r="BW273" i="1"/>
  <c r="BW111" i="1"/>
  <c r="BW234" i="1"/>
  <c r="BW295" i="1"/>
  <c r="BW133" i="1"/>
  <c r="BW90" i="1"/>
  <c r="BW233" i="1"/>
  <c r="BW175" i="1"/>
  <c r="BW15" i="1"/>
  <c r="BW224" i="1"/>
  <c r="BW77" i="1"/>
  <c r="BW83" i="1"/>
  <c r="BW148" i="1"/>
  <c r="BW191" i="1"/>
  <c r="BW115" i="1"/>
  <c r="BW229" i="1"/>
  <c r="BW85" i="1"/>
  <c r="BW89" i="1"/>
  <c r="BW4" i="1"/>
  <c r="BW164" i="1"/>
  <c r="BW299" i="1"/>
  <c r="BW153" i="1"/>
  <c r="BW302" i="1"/>
  <c r="BW162" i="1"/>
  <c r="BW209" i="1"/>
  <c r="BW146" i="1"/>
  <c r="BW281" i="1"/>
  <c r="BW199" i="1"/>
  <c r="BW52" i="1"/>
  <c r="BW253" i="1"/>
  <c r="BW262" i="1"/>
  <c r="BW173" i="1"/>
  <c r="BW33" i="1"/>
  <c r="BW28" i="1"/>
  <c r="BW160" i="1"/>
  <c r="BW86" i="1"/>
  <c r="BW22" i="1"/>
  <c r="BW12" i="1"/>
  <c r="BW270" i="1"/>
  <c r="BW219" i="1"/>
  <c r="BW272" i="1"/>
  <c r="BW70" i="1"/>
  <c r="BW200" i="1"/>
  <c r="BW251" i="1"/>
  <c r="BW134" i="1"/>
  <c r="BW94" i="1"/>
  <c r="BW5" i="1"/>
  <c r="BW68" i="1"/>
  <c r="BW301" i="1"/>
  <c r="BW207" i="1"/>
  <c r="BW289" i="1"/>
  <c r="BW284" i="1"/>
  <c r="BW283" i="1"/>
  <c r="BW306" i="1"/>
  <c r="BW184" i="1"/>
  <c r="BW106" i="1"/>
  <c r="BW103" i="1"/>
  <c r="BW60" i="1"/>
  <c r="BW64" i="1"/>
  <c r="BW29" i="1"/>
  <c r="BW41" i="1"/>
  <c r="BW96" i="1"/>
  <c r="BW7" i="1"/>
  <c r="BW69" i="1"/>
  <c r="BW138" i="1"/>
  <c r="BW174" i="1"/>
  <c r="BW214" i="1"/>
  <c r="BW58" i="1"/>
  <c r="BW180" i="1"/>
  <c r="BW93" i="1"/>
  <c r="BW26" i="1"/>
  <c r="BW35" i="1"/>
  <c r="BW171" i="1"/>
  <c r="BW268" i="1"/>
  <c r="BW137" i="1"/>
  <c r="BW216" i="1"/>
  <c r="BW168" i="1"/>
  <c r="BW256" i="1"/>
  <c r="BW79" i="1"/>
  <c r="BW217" i="1"/>
  <c r="BW287" i="1"/>
  <c r="BW47" i="1"/>
  <c r="BW244" i="1"/>
  <c r="BW128" i="1"/>
  <c r="BW286" i="1"/>
  <c r="BW215" i="1"/>
  <c r="BW97" i="1"/>
  <c r="BW167" i="1"/>
  <c r="BW187" i="1"/>
  <c r="BW66" i="1"/>
  <c r="BW39" i="1"/>
  <c r="BW250" i="1"/>
  <c r="BW232" i="1"/>
  <c r="BW45" i="1"/>
  <c r="BW73" i="1"/>
  <c r="BW13" i="1"/>
  <c r="BW72" i="1"/>
  <c r="BW252" i="1"/>
  <c r="BW203" i="1"/>
  <c r="BW126" i="1"/>
  <c r="BW123" i="1"/>
  <c r="BW197" i="1"/>
  <c r="BW11" i="1"/>
  <c r="BW118" i="1"/>
  <c r="BW280" i="1"/>
  <c r="BW82" i="1"/>
  <c r="BW142" i="1"/>
  <c r="BW198" i="1"/>
  <c r="BW182" i="1"/>
  <c r="BW205" i="1"/>
  <c r="BW154" i="1"/>
  <c r="BW264" i="1"/>
  <c r="BW204" i="1"/>
  <c r="BW3" i="1"/>
  <c r="BW237" i="1"/>
  <c r="BW231" i="1"/>
  <c r="BW124" i="1"/>
  <c r="BW51" i="1"/>
  <c r="BW54" i="1"/>
  <c r="BW63" i="1"/>
  <c r="BW135" i="1"/>
  <c r="BW228" i="1"/>
  <c r="BW44" i="1"/>
  <c r="BW156" i="1"/>
  <c r="BW50" i="1"/>
  <c r="BW201" i="1"/>
  <c r="BW40" i="1"/>
  <c r="BW78" i="1"/>
  <c r="BW91" i="1"/>
  <c r="BW119" i="1"/>
  <c r="BW193" i="1"/>
  <c r="BW186" i="1"/>
  <c r="BW107" i="1"/>
  <c r="BW257" i="1"/>
  <c r="BX100" i="1"/>
  <c r="BX117" i="1"/>
  <c r="BX140" i="1"/>
  <c r="BX261" i="1"/>
  <c r="BX151" i="1"/>
  <c r="BX223" i="1"/>
  <c r="BX114" i="1"/>
  <c r="BX218" i="1"/>
  <c r="BX169" i="1"/>
  <c r="BX102" i="1"/>
  <c r="BX279" i="1"/>
  <c r="BX62" i="1"/>
  <c r="BX304" i="1"/>
  <c r="BX139" i="1"/>
  <c r="BX246" i="1"/>
  <c r="BX220" i="1"/>
  <c r="BX81" i="1"/>
  <c r="BX176" i="1"/>
  <c r="BX265" i="1"/>
  <c r="BX75" i="1"/>
  <c r="BX227" i="1"/>
  <c r="BX152" i="1"/>
  <c r="BX177" i="1"/>
  <c r="BX179" i="1"/>
  <c r="BX56" i="1"/>
  <c r="BX170" i="1"/>
  <c r="BX46" i="1"/>
  <c r="BX221" i="1"/>
  <c r="BX71" i="1"/>
  <c r="BX158" i="1"/>
  <c r="BX131" i="1"/>
  <c r="BX161" i="1"/>
  <c r="BX278" i="1"/>
  <c r="BX67" i="1"/>
  <c r="BX254" i="1"/>
  <c r="BX27" i="1"/>
  <c r="BX130" i="1"/>
  <c r="BX122" i="1"/>
  <c r="BX38" i="1"/>
  <c r="BX288" i="1"/>
  <c r="BX8" i="1"/>
  <c r="BX84" i="1"/>
  <c r="BX196" i="1"/>
  <c r="BX120" i="1"/>
  <c r="BX14" i="1"/>
  <c r="BX210" i="1"/>
  <c r="BX112" i="1"/>
  <c r="BX95" i="1"/>
  <c r="BX105" i="1"/>
  <c r="BX238" i="1"/>
  <c r="BX259" i="1"/>
  <c r="BX243" i="1"/>
  <c r="BX61" i="1"/>
  <c r="BX159" i="1"/>
  <c r="BX109" i="1"/>
  <c r="BX36" i="1"/>
  <c r="BX43" i="1"/>
  <c r="BX59" i="1"/>
  <c r="BX144" i="1"/>
  <c r="BX296" i="1"/>
  <c r="BX293" i="1"/>
  <c r="BX129" i="1"/>
  <c r="BX166" i="1"/>
  <c r="BX127" i="1"/>
  <c r="BX248" i="1"/>
  <c r="BX269" i="1"/>
  <c r="BX235" i="1"/>
  <c r="BX155" i="1"/>
  <c r="BX206" i="1"/>
  <c r="BX42" i="1"/>
  <c r="BX31" i="1"/>
  <c r="BX20" i="1"/>
  <c r="BX195" i="1"/>
  <c r="BX21" i="1"/>
  <c r="BX165" i="1"/>
  <c r="BX172" i="1"/>
  <c r="BX300" i="1"/>
  <c r="BX9" i="1"/>
  <c r="BX183" i="1"/>
  <c r="BX213" i="1"/>
  <c r="BX258" i="1"/>
  <c r="BX255" i="1"/>
  <c r="BX194" i="1"/>
  <c r="BX87" i="1"/>
  <c r="BX37" i="1"/>
  <c r="BX303" i="1"/>
  <c r="BX19" i="1"/>
  <c r="BX104" i="1"/>
  <c r="BX190" i="1"/>
  <c r="BX147" i="1"/>
  <c r="BX30" i="1"/>
  <c r="BX208" i="1"/>
  <c r="BX292" i="1"/>
  <c r="BX226" i="1"/>
  <c r="BX274" i="1"/>
  <c r="BX230" i="1"/>
  <c r="BX239" i="1"/>
  <c r="BX157" i="1"/>
  <c r="BX297" i="1"/>
  <c r="BX285" i="1"/>
  <c r="BX10" i="1"/>
  <c r="BX298" i="1"/>
  <c r="BX212" i="1"/>
  <c r="BX240" i="1"/>
  <c r="BX6" i="1"/>
  <c r="BX242" i="1"/>
  <c r="BX32" i="1"/>
  <c r="BX108" i="1"/>
  <c r="BX189" i="1"/>
  <c r="BX121" i="1"/>
  <c r="BX266" i="1"/>
  <c r="BX99" i="1"/>
  <c r="BX98" i="1"/>
  <c r="BX291" i="1"/>
  <c r="BX307" i="1"/>
  <c r="BX282" i="1"/>
  <c r="BX181" i="1"/>
  <c r="BX149" i="1"/>
  <c r="BX308" i="1"/>
  <c r="BX275" i="1"/>
  <c r="BX260" i="1"/>
  <c r="BX277" i="1"/>
  <c r="BX132" i="1"/>
  <c r="BX101" i="1"/>
  <c r="BX16" i="1"/>
  <c r="BX236" i="1"/>
  <c r="BX143" i="1"/>
  <c r="BX267" i="1"/>
  <c r="BX18" i="1"/>
  <c r="BX290" i="1"/>
  <c r="BX245" i="1"/>
  <c r="BX188" i="1"/>
  <c r="BX150" i="1"/>
  <c r="BX249" i="1"/>
  <c r="BX48" i="1"/>
  <c r="BX178" i="1"/>
  <c r="BX185" i="1"/>
  <c r="BX263" i="1"/>
  <c r="BX145" i="1"/>
  <c r="BX24" i="1"/>
  <c r="BX25" i="1"/>
  <c r="BX49" i="1"/>
  <c r="BX294" i="1"/>
  <c r="BX276" i="1"/>
  <c r="BX163" i="1"/>
  <c r="BX305" i="1"/>
  <c r="BX116" i="1"/>
  <c r="BX23" i="1"/>
  <c r="BX247" i="1"/>
  <c r="BX2" i="1"/>
  <c r="BX88" i="1"/>
  <c r="BX125" i="1"/>
  <c r="BX241" i="1"/>
  <c r="BX192" i="1"/>
  <c r="BX225" i="1"/>
  <c r="BX80" i="1"/>
  <c r="BX74" i="1"/>
  <c r="BX110" i="1"/>
  <c r="BX92" i="1"/>
  <c r="BX17" i="1"/>
  <c r="BX113" i="1"/>
  <c r="BX222" i="1"/>
  <c r="BX211" i="1"/>
  <c r="BX271" i="1"/>
  <c r="BX76" i="1"/>
  <c r="BX136" i="1"/>
  <c r="BX53" i="1"/>
  <c r="BX57" i="1"/>
  <c r="BX65" i="1"/>
  <c r="BX34" i="1"/>
  <c r="BX141" i="1"/>
  <c r="BX202" i="1"/>
  <c r="BX55" i="1"/>
  <c r="BX273" i="1"/>
  <c r="BX111" i="1"/>
  <c r="BX234" i="1"/>
  <c r="BX295" i="1"/>
  <c r="BX133" i="1"/>
  <c r="BX90" i="1"/>
  <c r="BX233" i="1"/>
  <c r="BX175" i="1"/>
  <c r="BX15" i="1"/>
  <c r="BX224" i="1"/>
  <c r="BX77" i="1"/>
  <c r="BX83" i="1"/>
  <c r="BX148" i="1"/>
  <c r="BX191" i="1"/>
  <c r="BX115" i="1"/>
  <c r="BX229" i="1"/>
  <c r="BX85" i="1"/>
  <c r="BX89" i="1"/>
  <c r="BX4" i="1"/>
  <c r="BX164" i="1"/>
  <c r="BX299" i="1"/>
  <c r="BX153" i="1"/>
  <c r="BX302" i="1"/>
  <c r="BX162" i="1"/>
  <c r="BX209" i="1"/>
  <c r="BX146" i="1"/>
  <c r="BX281" i="1"/>
  <c r="BX199" i="1"/>
  <c r="BX52" i="1"/>
  <c r="BX253" i="1"/>
  <c r="BX262" i="1"/>
  <c r="BX173" i="1"/>
  <c r="BX33" i="1"/>
  <c r="BX28" i="1"/>
  <c r="BX160" i="1"/>
  <c r="BX86" i="1"/>
  <c r="BX22" i="1"/>
  <c r="BX12" i="1"/>
  <c r="BX270" i="1"/>
  <c r="BX219" i="1"/>
  <c r="BX272" i="1"/>
  <c r="BX70" i="1"/>
  <c r="BX200" i="1"/>
  <c r="BX251" i="1"/>
  <c r="BX134" i="1"/>
  <c r="BX94" i="1"/>
  <c r="BX5" i="1"/>
  <c r="BX68" i="1"/>
  <c r="BX301" i="1"/>
  <c r="BX207" i="1"/>
  <c r="BX289" i="1"/>
  <c r="BX284" i="1"/>
  <c r="BX283" i="1"/>
  <c r="BX306" i="1"/>
  <c r="BX184" i="1"/>
  <c r="BX106" i="1"/>
  <c r="BX103" i="1"/>
  <c r="BX60" i="1"/>
  <c r="BX64" i="1"/>
  <c r="BX29" i="1"/>
  <c r="BX41" i="1"/>
  <c r="BX96" i="1"/>
  <c r="BX7" i="1"/>
  <c r="BX69" i="1"/>
  <c r="BX138" i="1"/>
  <c r="BX174" i="1"/>
  <c r="BX214" i="1"/>
  <c r="BX58" i="1"/>
  <c r="BX180" i="1"/>
  <c r="BX93" i="1"/>
  <c r="BX26" i="1"/>
  <c r="BX35" i="1"/>
  <c r="BX171" i="1"/>
  <c r="BX268" i="1"/>
  <c r="BX137" i="1"/>
  <c r="BX216" i="1"/>
  <c r="BX168" i="1"/>
  <c r="BX256" i="1"/>
  <c r="BX79" i="1"/>
  <c r="BX217" i="1"/>
  <c r="BX287" i="1"/>
  <c r="BX47" i="1"/>
  <c r="BX244" i="1"/>
  <c r="BX128" i="1"/>
  <c r="BX286" i="1"/>
  <c r="BX215" i="1"/>
  <c r="BX97" i="1"/>
  <c r="BX167" i="1"/>
  <c r="BX187" i="1"/>
  <c r="BX66" i="1"/>
  <c r="BX39" i="1"/>
  <c r="BX250" i="1"/>
  <c r="BX232" i="1"/>
  <c r="BX45" i="1"/>
  <c r="BX73" i="1"/>
  <c r="BX13" i="1"/>
  <c r="BX72" i="1"/>
  <c r="BX252" i="1"/>
  <c r="BX203" i="1"/>
  <c r="BX126" i="1"/>
  <c r="BX123" i="1"/>
  <c r="BX197" i="1"/>
  <c r="BX11" i="1"/>
  <c r="BX118" i="1"/>
  <c r="BX280" i="1"/>
  <c r="BX82" i="1"/>
  <c r="BX142" i="1"/>
  <c r="BX198" i="1"/>
  <c r="BX182" i="1"/>
  <c r="BX205" i="1"/>
  <c r="BX154" i="1"/>
  <c r="BX264" i="1"/>
  <c r="BX204" i="1"/>
  <c r="BX3" i="1"/>
  <c r="BX237" i="1"/>
  <c r="BX231" i="1"/>
  <c r="BX124" i="1"/>
  <c r="BX51" i="1"/>
  <c r="BX54" i="1"/>
  <c r="BX63" i="1"/>
  <c r="BX135" i="1"/>
  <c r="BX228" i="1"/>
  <c r="BX44" i="1"/>
  <c r="BX156" i="1"/>
  <c r="BX50" i="1"/>
  <c r="BX201" i="1"/>
  <c r="BX40" i="1"/>
  <c r="BX78" i="1"/>
  <c r="BX91" i="1"/>
  <c r="BX119" i="1"/>
  <c r="BX193" i="1"/>
  <c r="BX186" i="1"/>
  <c r="BX107" i="1"/>
  <c r="BX257" i="1"/>
  <c r="BY100" i="1"/>
  <c r="BY117" i="1"/>
  <c r="BY140" i="1"/>
  <c r="BY261" i="1"/>
  <c r="BY151" i="1"/>
  <c r="BY223" i="1"/>
  <c r="BY114" i="1"/>
  <c r="BY218" i="1"/>
  <c r="BY169" i="1"/>
  <c r="BY102" i="1"/>
  <c r="BY279" i="1"/>
  <c r="BY62" i="1"/>
  <c r="BY304" i="1"/>
  <c r="BY139" i="1"/>
  <c r="BY246" i="1"/>
  <c r="BY220" i="1"/>
  <c r="BY81" i="1"/>
  <c r="BY176" i="1"/>
  <c r="BY265" i="1"/>
  <c r="BY75" i="1"/>
  <c r="BY227" i="1"/>
  <c r="BY152" i="1"/>
  <c r="BY177" i="1"/>
  <c r="BY179" i="1"/>
  <c r="BY56" i="1"/>
  <c r="BY170" i="1"/>
  <c r="BY46" i="1"/>
  <c r="BY221" i="1"/>
  <c r="BY71" i="1"/>
  <c r="BY158" i="1"/>
  <c r="BY131" i="1"/>
  <c r="BY161" i="1"/>
  <c r="BY278" i="1"/>
  <c r="BY67" i="1"/>
  <c r="BY254" i="1"/>
  <c r="BY27" i="1"/>
  <c r="BY130" i="1"/>
  <c r="BY122" i="1"/>
  <c r="BY38" i="1"/>
  <c r="BY288" i="1"/>
  <c r="BY8" i="1"/>
  <c r="BY84" i="1"/>
  <c r="BY196" i="1"/>
  <c r="BY120" i="1"/>
  <c r="BY14" i="1"/>
  <c r="BY210" i="1"/>
  <c r="BY112" i="1"/>
  <c r="BY95" i="1"/>
  <c r="BY105" i="1"/>
  <c r="BY238" i="1"/>
  <c r="BY259" i="1"/>
  <c r="BY243" i="1"/>
  <c r="BY61" i="1"/>
  <c r="BY159" i="1"/>
  <c r="BY109" i="1"/>
  <c r="BY36" i="1"/>
  <c r="BY43" i="1"/>
  <c r="BY59" i="1"/>
  <c r="BY144" i="1"/>
  <c r="BY296" i="1"/>
  <c r="BY293" i="1"/>
  <c r="BY129" i="1"/>
  <c r="BY166" i="1"/>
  <c r="BY127" i="1"/>
  <c r="BY248" i="1"/>
  <c r="BY269" i="1"/>
  <c r="BY235" i="1"/>
  <c r="BY155" i="1"/>
  <c r="BY206" i="1"/>
  <c r="BY42" i="1"/>
  <c r="BY31" i="1"/>
  <c r="BY20" i="1"/>
  <c r="BY195" i="1"/>
  <c r="BY21" i="1"/>
  <c r="BY165" i="1"/>
  <c r="BY172" i="1"/>
  <c r="BY300" i="1"/>
  <c r="BY9" i="1"/>
  <c r="BY183" i="1"/>
  <c r="BY213" i="1"/>
  <c r="BY258" i="1"/>
  <c r="BY255" i="1"/>
  <c r="BY194" i="1"/>
  <c r="BY87" i="1"/>
  <c r="BY37" i="1"/>
  <c r="BY303" i="1"/>
  <c r="BY19" i="1"/>
  <c r="BY104" i="1"/>
  <c r="BY190" i="1"/>
  <c r="BY147" i="1"/>
  <c r="BY30" i="1"/>
  <c r="BY208" i="1"/>
  <c r="BY292" i="1"/>
  <c r="BY226" i="1"/>
  <c r="BY274" i="1"/>
  <c r="BY230" i="1"/>
  <c r="BY239" i="1"/>
  <c r="BY157" i="1"/>
  <c r="BY297" i="1"/>
  <c r="BY285" i="1"/>
  <c r="BY10" i="1"/>
  <c r="BY298" i="1"/>
  <c r="BY212" i="1"/>
  <c r="BY240" i="1"/>
  <c r="BY6" i="1"/>
  <c r="BY242" i="1"/>
  <c r="BY32" i="1"/>
  <c r="BY108" i="1"/>
  <c r="BY189" i="1"/>
  <c r="BY121" i="1"/>
  <c r="BY266" i="1"/>
  <c r="BY99" i="1"/>
  <c r="BY98" i="1"/>
  <c r="BY291" i="1"/>
  <c r="BY307" i="1"/>
  <c r="BY282" i="1"/>
  <c r="BY181" i="1"/>
  <c r="BY149" i="1"/>
  <c r="BY308" i="1"/>
  <c r="BY275" i="1"/>
  <c r="BY260" i="1"/>
  <c r="BY277" i="1"/>
  <c r="BY132" i="1"/>
  <c r="BY101" i="1"/>
  <c r="BY16" i="1"/>
  <c r="BY236" i="1"/>
  <c r="BY143" i="1"/>
  <c r="BY267" i="1"/>
  <c r="BY18" i="1"/>
  <c r="BY290" i="1"/>
  <c r="BY245" i="1"/>
  <c r="BY188" i="1"/>
  <c r="BY150" i="1"/>
  <c r="BY249" i="1"/>
  <c r="BY48" i="1"/>
  <c r="BY178" i="1"/>
  <c r="BY185" i="1"/>
  <c r="BY263" i="1"/>
  <c r="BY145" i="1"/>
  <c r="BY24" i="1"/>
  <c r="BY25" i="1"/>
  <c r="BY49" i="1"/>
  <c r="BY294" i="1"/>
  <c r="BY276" i="1"/>
  <c r="BY163" i="1"/>
  <c r="BY305" i="1"/>
  <c r="BY116" i="1"/>
  <c r="BY23" i="1"/>
  <c r="BY247" i="1"/>
  <c r="BY2" i="1"/>
  <c r="BY88" i="1"/>
  <c r="BY125" i="1"/>
  <c r="BY241" i="1"/>
  <c r="BY192" i="1"/>
  <c r="BY225" i="1"/>
  <c r="BY80" i="1"/>
  <c r="BY74" i="1"/>
  <c r="BY110" i="1"/>
  <c r="BY92" i="1"/>
  <c r="BY17" i="1"/>
  <c r="BY113" i="1"/>
  <c r="BY222" i="1"/>
  <c r="BY211" i="1"/>
  <c r="BY271" i="1"/>
  <c r="BY76" i="1"/>
  <c r="BY136" i="1"/>
  <c r="BY53" i="1"/>
  <c r="BY57" i="1"/>
  <c r="BY65" i="1"/>
  <c r="BY34" i="1"/>
  <c r="BY141" i="1"/>
  <c r="BY202" i="1"/>
  <c r="BY55" i="1"/>
  <c r="BY273" i="1"/>
  <c r="BY111" i="1"/>
  <c r="BY234" i="1"/>
  <c r="BY295" i="1"/>
  <c r="BY133" i="1"/>
  <c r="BY90" i="1"/>
  <c r="BY233" i="1"/>
  <c r="BY175" i="1"/>
  <c r="BY15" i="1"/>
  <c r="BY224" i="1"/>
  <c r="BY77" i="1"/>
  <c r="BY83" i="1"/>
  <c r="BY148" i="1"/>
  <c r="BY191" i="1"/>
  <c r="BY115" i="1"/>
  <c r="BY229" i="1"/>
  <c r="BY85" i="1"/>
  <c r="BY89" i="1"/>
  <c r="BY4" i="1"/>
  <c r="BY164" i="1"/>
  <c r="BY299" i="1"/>
  <c r="BY153" i="1"/>
  <c r="BY302" i="1"/>
  <c r="BY162" i="1"/>
  <c r="BY209" i="1"/>
  <c r="BY146" i="1"/>
  <c r="BY281" i="1"/>
  <c r="BY199" i="1"/>
  <c r="BY52" i="1"/>
  <c r="BY253" i="1"/>
  <c r="BY262" i="1"/>
  <c r="BY173" i="1"/>
  <c r="BY33" i="1"/>
  <c r="BY28" i="1"/>
  <c r="BY160" i="1"/>
  <c r="BY86" i="1"/>
  <c r="BY22" i="1"/>
  <c r="BY12" i="1"/>
  <c r="BY270" i="1"/>
  <c r="BY219" i="1"/>
  <c r="BY272" i="1"/>
  <c r="BY70" i="1"/>
  <c r="BY200" i="1"/>
  <c r="BY251" i="1"/>
  <c r="BY134" i="1"/>
  <c r="BY94" i="1"/>
  <c r="BY5" i="1"/>
  <c r="BY68" i="1"/>
  <c r="BY301" i="1"/>
  <c r="BY207" i="1"/>
  <c r="BY289" i="1"/>
  <c r="BY284" i="1"/>
  <c r="BY283" i="1"/>
  <c r="BY306" i="1"/>
  <c r="BY184" i="1"/>
  <c r="BY106" i="1"/>
  <c r="BY103" i="1"/>
  <c r="BY60" i="1"/>
  <c r="BY64" i="1"/>
  <c r="BY29" i="1"/>
  <c r="BY41" i="1"/>
  <c r="BY96" i="1"/>
  <c r="BY7" i="1"/>
  <c r="BY69" i="1"/>
  <c r="BY138" i="1"/>
  <c r="BY174" i="1"/>
  <c r="BY214" i="1"/>
  <c r="BY58" i="1"/>
  <c r="BY180" i="1"/>
  <c r="BY93" i="1"/>
  <c r="BY26" i="1"/>
  <c r="BY35" i="1"/>
  <c r="BY171" i="1"/>
  <c r="BY268" i="1"/>
  <c r="BY137" i="1"/>
  <c r="BY216" i="1"/>
  <c r="BY168" i="1"/>
  <c r="BY256" i="1"/>
  <c r="BY79" i="1"/>
  <c r="BY217" i="1"/>
  <c r="BY287" i="1"/>
  <c r="BY47" i="1"/>
  <c r="BY244" i="1"/>
  <c r="BY128" i="1"/>
  <c r="BY286" i="1"/>
  <c r="BY215" i="1"/>
  <c r="BY97" i="1"/>
  <c r="BY167" i="1"/>
  <c r="BY187" i="1"/>
  <c r="BY66" i="1"/>
  <c r="BY39" i="1"/>
  <c r="BY250" i="1"/>
  <c r="BY232" i="1"/>
  <c r="BY45" i="1"/>
  <c r="BY73" i="1"/>
  <c r="BY13" i="1"/>
  <c r="BY72" i="1"/>
  <c r="BY252" i="1"/>
  <c r="BY203" i="1"/>
  <c r="BY126" i="1"/>
  <c r="BY123" i="1"/>
  <c r="BY197" i="1"/>
  <c r="BY11" i="1"/>
  <c r="BY118" i="1"/>
  <c r="BY280" i="1"/>
  <c r="BY82" i="1"/>
  <c r="BY142" i="1"/>
  <c r="BY198" i="1"/>
  <c r="BY182" i="1"/>
  <c r="BY205" i="1"/>
  <c r="BY154" i="1"/>
  <c r="BY264" i="1"/>
  <c r="BY204" i="1"/>
  <c r="BY3" i="1"/>
  <c r="BY237" i="1"/>
  <c r="BY231" i="1"/>
  <c r="BY124" i="1"/>
  <c r="BY51" i="1"/>
  <c r="BY54" i="1"/>
  <c r="BY63" i="1"/>
  <c r="BY135" i="1"/>
  <c r="BY228" i="1"/>
  <c r="BY44" i="1"/>
  <c r="BY156" i="1"/>
  <c r="BY50" i="1"/>
  <c r="BY201" i="1"/>
  <c r="BY40" i="1"/>
  <c r="BY78" i="1"/>
  <c r="BY91" i="1"/>
  <c r="BY119" i="1"/>
  <c r="BY193" i="1"/>
  <c r="BY186" i="1"/>
  <c r="BY107" i="1"/>
  <c r="BY257" i="1"/>
  <c r="BZ100" i="1"/>
  <c r="BZ117" i="1"/>
  <c r="BZ140" i="1"/>
  <c r="BZ261" i="1"/>
  <c r="BZ151" i="1"/>
  <c r="BZ223" i="1"/>
  <c r="BZ114" i="1"/>
  <c r="BZ218" i="1"/>
  <c r="BZ169" i="1"/>
  <c r="BZ102" i="1"/>
  <c r="BZ279" i="1"/>
  <c r="BZ62" i="1"/>
  <c r="BZ304" i="1"/>
  <c r="BZ139" i="1"/>
  <c r="BZ246" i="1"/>
  <c r="BZ220" i="1"/>
  <c r="BZ81" i="1"/>
  <c r="BZ176" i="1"/>
  <c r="BZ265" i="1"/>
  <c r="BZ75" i="1"/>
  <c r="BZ227" i="1"/>
  <c r="BZ152" i="1"/>
  <c r="BZ177" i="1"/>
  <c r="BZ179" i="1"/>
  <c r="BZ56" i="1"/>
  <c r="BZ170" i="1"/>
  <c r="BZ46" i="1"/>
  <c r="BZ221" i="1"/>
  <c r="BZ71" i="1"/>
  <c r="BZ158" i="1"/>
  <c r="BZ131" i="1"/>
  <c r="BZ161" i="1"/>
  <c r="BZ278" i="1"/>
  <c r="BZ67" i="1"/>
  <c r="BZ254" i="1"/>
  <c r="BZ27" i="1"/>
  <c r="BZ130" i="1"/>
  <c r="BZ122" i="1"/>
  <c r="BZ38" i="1"/>
  <c r="BZ288" i="1"/>
  <c r="BZ8" i="1"/>
  <c r="BZ84" i="1"/>
  <c r="BZ196" i="1"/>
  <c r="BZ120" i="1"/>
  <c r="BZ14" i="1"/>
  <c r="BZ210" i="1"/>
  <c r="BZ112" i="1"/>
  <c r="BZ95" i="1"/>
  <c r="BZ105" i="1"/>
  <c r="BZ238" i="1"/>
  <c r="BZ259" i="1"/>
  <c r="BZ243" i="1"/>
  <c r="BZ61" i="1"/>
  <c r="BZ159" i="1"/>
  <c r="BZ109" i="1"/>
  <c r="BZ36" i="1"/>
  <c r="BZ43" i="1"/>
  <c r="BZ59" i="1"/>
  <c r="BZ144" i="1"/>
  <c r="BZ296" i="1"/>
  <c r="BZ293" i="1"/>
  <c r="BZ129" i="1"/>
  <c r="BZ166" i="1"/>
  <c r="BZ127" i="1"/>
  <c r="BZ248" i="1"/>
  <c r="BZ269" i="1"/>
  <c r="BZ235" i="1"/>
  <c r="BZ155" i="1"/>
  <c r="BZ206" i="1"/>
  <c r="BZ42" i="1"/>
  <c r="BZ31" i="1"/>
  <c r="BZ20" i="1"/>
  <c r="BZ195" i="1"/>
  <c r="BZ21" i="1"/>
  <c r="BZ165" i="1"/>
  <c r="BZ172" i="1"/>
  <c r="BZ300" i="1"/>
  <c r="BZ9" i="1"/>
  <c r="BZ183" i="1"/>
  <c r="BZ213" i="1"/>
  <c r="BZ258" i="1"/>
  <c r="BZ255" i="1"/>
  <c r="BZ194" i="1"/>
  <c r="BZ87" i="1"/>
  <c r="BZ37" i="1"/>
  <c r="BZ303" i="1"/>
  <c r="BZ19" i="1"/>
  <c r="BZ104" i="1"/>
  <c r="BZ190" i="1"/>
  <c r="BZ147" i="1"/>
  <c r="BZ30" i="1"/>
  <c r="BZ208" i="1"/>
  <c r="BZ292" i="1"/>
  <c r="BZ226" i="1"/>
  <c r="BZ274" i="1"/>
  <c r="BZ230" i="1"/>
  <c r="BZ239" i="1"/>
  <c r="BZ157" i="1"/>
  <c r="BZ297" i="1"/>
  <c r="BZ285" i="1"/>
  <c r="BZ10" i="1"/>
  <c r="BZ298" i="1"/>
  <c r="BZ212" i="1"/>
  <c r="BZ240" i="1"/>
  <c r="BZ6" i="1"/>
  <c r="BZ242" i="1"/>
  <c r="BZ32" i="1"/>
  <c r="BZ108" i="1"/>
  <c r="BZ189" i="1"/>
  <c r="BZ121" i="1"/>
  <c r="BZ266" i="1"/>
  <c r="BZ99" i="1"/>
  <c r="BZ98" i="1"/>
  <c r="BZ291" i="1"/>
  <c r="BZ307" i="1"/>
  <c r="BZ282" i="1"/>
  <c r="BZ181" i="1"/>
  <c r="BZ149" i="1"/>
  <c r="BZ308" i="1"/>
  <c r="BZ275" i="1"/>
  <c r="BZ260" i="1"/>
  <c r="BZ277" i="1"/>
  <c r="BZ132" i="1"/>
  <c r="BZ101" i="1"/>
  <c r="BZ16" i="1"/>
  <c r="BZ236" i="1"/>
  <c r="BZ143" i="1"/>
  <c r="BZ267" i="1"/>
  <c r="BZ18" i="1"/>
  <c r="BZ290" i="1"/>
  <c r="BZ245" i="1"/>
  <c r="BZ188" i="1"/>
  <c r="BZ150" i="1"/>
  <c r="BZ249" i="1"/>
  <c r="BZ48" i="1"/>
  <c r="BZ178" i="1"/>
  <c r="BZ185" i="1"/>
  <c r="BZ263" i="1"/>
  <c r="BZ145" i="1"/>
  <c r="BZ24" i="1"/>
  <c r="BZ25" i="1"/>
  <c r="BZ49" i="1"/>
  <c r="BZ294" i="1"/>
  <c r="BZ276" i="1"/>
  <c r="BZ163" i="1"/>
  <c r="BZ305" i="1"/>
  <c r="BZ116" i="1"/>
  <c r="BZ23" i="1"/>
  <c r="BZ247" i="1"/>
  <c r="BZ2" i="1"/>
  <c r="BZ88" i="1"/>
  <c r="BZ125" i="1"/>
  <c r="BZ241" i="1"/>
  <c r="BZ192" i="1"/>
  <c r="BZ225" i="1"/>
  <c r="BZ80" i="1"/>
  <c r="BZ74" i="1"/>
  <c r="BZ110" i="1"/>
  <c r="BZ92" i="1"/>
  <c r="BZ17" i="1"/>
  <c r="BZ113" i="1"/>
  <c r="BZ222" i="1"/>
  <c r="BZ211" i="1"/>
  <c r="BZ271" i="1"/>
  <c r="BZ76" i="1"/>
  <c r="BZ136" i="1"/>
  <c r="BZ53" i="1"/>
  <c r="BZ57" i="1"/>
  <c r="BZ65" i="1"/>
  <c r="BZ34" i="1"/>
  <c r="BZ141" i="1"/>
  <c r="BZ202" i="1"/>
  <c r="BZ55" i="1"/>
  <c r="BZ273" i="1"/>
  <c r="BZ111" i="1"/>
  <c r="BZ234" i="1"/>
  <c r="BZ295" i="1"/>
  <c r="BZ133" i="1"/>
  <c r="BZ90" i="1"/>
  <c r="BZ233" i="1"/>
  <c r="BZ175" i="1"/>
  <c r="BZ15" i="1"/>
  <c r="BZ224" i="1"/>
  <c r="BZ77" i="1"/>
  <c r="BZ83" i="1"/>
  <c r="BZ148" i="1"/>
  <c r="BZ191" i="1"/>
  <c r="BZ115" i="1"/>
  <c r="BZ229" i="1"/>
  <c r="BZ85" i="1"/>
  <c r="BZ89" i="1"/>
  <c r="BZ4" i="1"/>
  <c r="BZ164" i="1"/>
  <c r="BZ299" i="1"/>
  <c r="BZ153" i="1"/>
  <c r="BZ302" i="1"/>
  <c r="BZ162" i="1"/>
  <c r="BZ209" i="1"/>
  <c r="BZ146" i="1"/>
  <c r="BZ281" i="1"/>
  <c r="BZ199" i="1"/>
  <c r="BZ52" i="1"/>
  <c r="BZ253" i="1"/>
  <c r="BZ262" i="1"/>
  <c r="BZ173" i="1"/>
  <c r="BZ33" i="1"/>
  <c r="BZ28" i="1"/>
  <c r="BZ160" i="1"/>
  <c r="BZ86" i="1"/>
  <c r="BZ22" i="1"/>
  <c r="BZ12" i="1"/>
  <c r="BZ270" i="1"/>
  <c r="BZ219" i="1"/>
  <c r="BZ272" i="1"/>
  <c r="BZ70" i="1"/>
  <c r="BZ200" i="1"/>
  <c r="BZ251" i="1"/>
  <c r="BZ134" i="1"/>
  <c r="BZ94" i="1"/>
  <c r="BZ5" i="1"/>
  <c r="BZ68" i="1"/>
  <c r="BZ301" i="1"/>
  <c r="BZ207" i="1"/>
  <c r="BZ289" i="1"/>
  <c r="BZ284" i="1"/>
  <c r="BZ283" i="1"/>
  <c r="BZ306" i="1"/>
  <c r="BZ184" i="1"/>
  <c r="BZ106" i="1"/>
  <c r="BZ103" i="1"/>
  <c r="BZ60" i="1"/>
  <c r="BZ64" i="1"/>
  <c r="BZ29" i="1"/>
  <c r="BZ41" i="1"/>
  <c r="BZ96" i="1"/>
  <c r="BZ7" i="1"/>
  <c r="BZ69" i="1"/>
  <c r="BZ138" i="1"/>
  <c r="BZ174" i="1"/>
  <c r="BZ214" i="1"/>
  <c r="BZ58" i="1"/>
  <c r="BZ180" i="1"/>
  <c r="BZ93" i="1"/>
  <c r="BZ26" i="1"/>
  <c r="BZ35" i="1"/>
  <c r="BZ171" i="1"/>
  <c r="BZ268" i="1"/>
  <c r="BZ137" i="1"/>
  <c r="BZ216" i="1"/>
  <c r="BZ168" i="1"/>
  <c r="BZ256" i="1"/>
  <c r="BZ79" i="1"/>
  <c r="BZ217" i="1"/>
  <c r="BZ287" i="1"/>
  <c r="BZ47" i="1"/>
  <c r="BZ244" i="1"/>
  <c r="BZ128" i="1"/>
  <c r="BZ286" i="1"/>
  <c r="BZ215" i="1"/>
  <c r="BZ97" i="1"/>
  <c r="BZ167" i="1"/>
  <c r="BZ187" i="1"/>
  <c r="BZ66" i="1"/>
  <c r="BZ39" i="1"/>
  <c r="BZ250" i="1"/>
  <c r="BZ232" i="1"/>
  <c r="BZ45" i="1"/>
  <c r="BZ73" i="1"/>
  <c r="BZ13" i="1"/>
  <c r="BZ72" i="1"/>
  <c r="BZ252" i="1"/>
  <c r="BZ203" i="1"/>
  <c r="BZ126" i="1"/>
  <c r="BZ123" i="1"/>
  <c r="BZ197" i="1"/>
  <c r="BZ11" i="1"/>
  <c r="BZ118" i="1"/>
  <c r="BZ280" i="1"/>
  <c r="BZ82" i="1"/>
  <c r="BZ142" i="1"/>
  <c r="BZ198" i="1"/>
  <c r="BZ182" i="1"/>
  <c r="BZ205" i="1"/>
  <c r="BZ154" i="1"/>
  <c r="BZ264" i="1"/>
  <c r="BZ204" i="1"/>
  <c r="BZ3" i="1"/>
  <c r="BZ237" i="1"/>
  <c r="BZ231" i="1"/>
  <c r="BZ124" i="1"/>
  <c r="BZ51" i="1"/>
  <c r="BZ54" i="1"/>
  <c r="BZ63" i="1"/>
  <c r="BZ135" i="1"/>
  <c r="BZ228" i="1"/>
  <c r="BZ44" i="1"/>
  <c r="BZ156" i="1"/>
  <c r="BZ50" i="1"/>
  <c r="BZ201" i="1"/>
  <c r="BZ40" i="1"/>
  <c r="BZ78" i="1"/>
  <c r="BZ91" i="1"/>
  <c r="BZ119" i="1"/>
  <c r="BZ193" i="1"/>
  <c r="BZ186" i="1"/>
  <c r="BZ107" i="1"/>
  <c r="BZ257" i="1"/>
  <c r="CA100" i="1"/>
  <c r="CA117" i="1"/>
  <c r="CA140" i="1"/>
  <c r="CA261" i="1"/>
  <c r="CA151" i="1"/>
  <c r="CA223" i="1"/>
  <c r="CA114" i="1"/>
  <c r="CA218" i="1"/>
  <c r="CA169" i="1"/>
  <c r="CA102" i="1"/>
  <c r="CA279" i="1"/>
  <c r="CA62" i="1"/>
  <c r="CA304" i="1"/>
  <c r="CA139" i="1"/>
  <c r="CA246" i="1"/>
  <c r="CA220" i="1"/>
  <c r="CA81" i="1"/>
  <c r="CA176" i="1"/>
  <c r="CA265" i="1"/>
  <c r="CA75" i="1"/>
  <c r="CA227" i="1"/>
  <c r="CA152" i="1"/>
  <c r="CA177" i="1"/>
  <c r="CA179" i="1"/>
  <c r="CA56" i="1"/>
  <c r="CA170" i="1"/>
  <c r="CA46" i="1"/>
  <c r="CA221" i="1"/>
  <c r="CA71" i="1"/>
  <c r="CA158" i="1"/>
  <c r="CA131" i="1"/>
  <c r="CA161" i="1"/>
  <c r="CA278" i="1"/>
  <c r="CA67" i="1"/>
  <c r="CA254" i="1"/>
  <c r="CA27" i="1"/>
  <c r="CA130" i="1"/>
  <c r="CA122" i="1"/>
  <c r="CA38" i="1"/>
  <c r="CA288" i="1"/>
  <c r="CA8" i="1"/>
  <c r="CA84" i="1"/>
  <c r="CA196" i="1"/>
  <c r="CA120" i="1"/>
  <c r="CA14" i="1"/>
  <c r="CA210" i="1"/>
  <c r="CA112" i="1"/>
  <c r="CA95" i="1"/>
  <c r="CA105" i="1"/>
  <c r="CA238" i="1"/>
  <c r="CA259" i="1"/>
  <c r="CA243" i="1"/>
  <c r="CA61" i="1"/>
  <c r="CA159" i="1"/>
  <c r="CA109" i="1"/>
  <c r="CA36" i="1"/>
  <c r="CA43" i="1"/>
  <c r="CA59" i="1"/>
  <c r="CA144" i="1"/>
  <c r="CA296" i="1"/>
  <c r="CA293" i="1"/>
  <c r="CA129" i="1"/>
  <c r="CA166" i="1"/>
  <c r="CA127" i="1"/>
  <c r="CA248" i="1"/>
  <c r="CA269" i="1"/>
  <c r="CA235" i="1"/>
  <c r="CA155" i="1"/>
  <c r="CA206" i="1"/>
  <c r="CA42" i="1"/>
  <c r="CA31" i="1"/>
  <c r="CA20" i="1"/>
  <c r="CA195" i="1"/>
  <c r="CA21" i="1"/>
  <c r="CA165" i="1"/>
  <c r="CA172" i="1"/>
  <c r="CA300" i="1"/>
  <c r="CA9" i="1"/>
  <c r="CA183" i="1"/>
  <c r="CA213" i="1"/>
  <c r="CA258" i="1"/>
  <c r="CA255" i="1"/>
  <c r="CA194" i="1"/>
  <c r="CA87" i="1"/>
  <c r="CA37" i="1"/>
  <c r="CA303" i="1"/>
  <c r="CA19" i="1"/>
  <c r="CA104" i="1"/>
  <c r="CA190" i="1"/>
  <c r="CA147" i="1"/>
  <c r="CA30" i="1"/>
  <c r="CA208" i="1"/>
  <c r="CA292" i="1"/>
  <c r="CA226" i="1"/>
  <c r="CA274" i="1"/>
  <c r="CA230" i="1"/>
  <c r="CA239" i="1"/>
  <c r="CA157" i="1"/>
  <c r="CA297" i="1"/>
  <c r="CA285" i="1"/>
  <c r="CA10" i="1"/>
  <c r="CA298" i="1"/>
  <c r="CA212" i="1"/>
  <c r="CA240" i="1"/>
  <c r="CA6" i="1"/>
  <c r="CA242" i="1"/>
  <c r="CA32" i="1"/>
  <c r="CA108" i="1"/>
  <c r="CA189" i="1"/>
  <c r="CA121" i="1"/>
  <c r="CA266" i="1"/>
  <c r="CA99" i="1"/>
  <c r="CA98" i="1"/>
  <c r="CA291" i="1"/>
  <c r="CA307" i="1"/>
  <c r="CA282" i="1"/>
  <c r="CA181" i="1"/>
  <c r="CA149" i="1"/>
  <c r="CA308" i="1"/>
  <c r="CA275" i="1"/>
  <c r="CA260" i="1"/>
  <c r="CA277" i="1"/>
  <c r="CA132" i="1"/>
  <c r="CA101" i="1"/>
  <c r="CA16" i="1"/>
  <c r="CA236" i="1"/>
  <c r="CA143" i="1"/>
  <c r="CA267" i="1"/>
  <c r="CA18" i="1"/>
  <c r="CA290" i="1"/>
  <c r="CA245" i="1"/>
  <c r="CA188" i="1"/>
  <c r="CA150" i="1"/>
  <c r="CA249" i="1"/>
  <c r="CA48" i="1"/>
  <c r="CA178" i="1"/>
  <c r="CA185" i="1"/>
  <c r="CA263" i="1"/>
  <c r="CA145" i="1"/>
  <c r="CA24" i="1"/>
  <c r="CA25" i="1"/>
  <c r="CA49" i="1"/>
  <c r="CA294" i="1"/>
  <c r="CA276" i="1"/>
  <c r="CA163" i="1"/>
  <c r="CA305" i="1"/>
  <c r="CA116" i="1"/>
  <c r="CA23" i="1"/>
  <c r="CA247" i="1"/>
  <c r="CA2" i="1"/>
  <c r="CA88" i="1"/>
  <c r="CA125" i="1"/>
  <c r="CA241" i="1"/>
  <c r="CA192" i="1"/>
  <c r="CA225" i="1"/>
  <c r="CA80" i="1"/>
  <c r="CA74" i="1"/>
  <c r="CA110" i="1"/>
  <c r="CA92" i="1"/>
  <c r="CA17" i="1"/>
  <c r="CA113" i="1"/>
  <c r="CA222" i="1"/>
  <c r="CA211" i="1"/>
  <c r="CA271" i="1"/>
  <c r="CA76" i="1"/>
  <c r="CA136" i="1"/>
  <c r="CA53" i="1"/>
  <c r="CA57" i="1"/>
  <c r="CA65" i="1"/>
  <c r="CA34" i="1"/>
  <c r="CA141" i="1"/>
  <c r="CA202" i="1"/>
  <c r="CA55" i="1"/>
  <c r="CA273" i="1"/>
  <c r="CA111" i="1"/>
  <c r="CA234" i="1"/>
  <c r="CA295" i="1"/>
  <c r="CA133" i="1"/>
  <c r="CA90" i="1"/>
  <c r="CA233" i="1"/>
  <c r="CA175" i="1"/>
  <c r="CA15" i="1"/>
  <c r="CA224" i="1"/>
  <c r="CA77" i="1"/>
  <c r="CA83" i="1"/>
  <c r="CA148" i="1"/>
  <c r="CA191" i="1"/>
  <c r="CA115" i="1"/>
  <c r="CA229" i="1"/>
  <c r="CA85" i="1"/>
  <c r="CA89" i="1"/>
  <c r="CA4" i="1"/>
  <c r="CA164" i="1"/>
  <c r="CA299" i="1"/>
  <c r="CA153" i="1"/>
  <c r="CA302" i="1"/>
  <c r="CA162" i="1"/>
  <c r="CA209" i="1"/>
  <c r="CA146" i="1"/>
  <c r="CA281" i="1"/>
  <c r="CA199" i="1"/>
  <c r="CA52" i="1"/>
  <c r="CA253" i="1"/>
  <c r="CA262" i="1"/>
  <c r="CA173" i="1"/>
  <c r="CA33" i="1"/>
  <c r="CA28" i="1"/>
  <c r="CA160" i="1"/>
  <c r="CA86" i="1"/>
  <c r="CA22" i="1"/>
  <c r="CA12" i="1"/>
  <c r="CA270" i="1"/>
  <c r="CA219" i="1"/>
  <c r="CA272" i="1"/>
  <c r="CA70" i="1"/>
  <c r="CA200" i="1"/>
  <c r="CA251" i="1"/>
  <c r="CA134" i="1"/>
  <c r="CA94" i="1"/>
  <c r="CA5" i="1"/>
  <c r="CA68" i="1"/>
  <c r="CA301" i="1"/>
  <c r="CA207" i="1"/>
  <c r="CA289" i="1"/>
  <c r="CA284" i="1"/>
  <c r="CA283" i="1"/>
  <c r="CA306" i="1"/>
  <c r="CA184" i="1"/>
  <c r="CA106" i="1"/>
  <c r="CA103" i="1"/>
  <c r="CA60" i="1"/>
  <c r="CA64" i="1"/>
  <c r="CA29" i="1"/>
  <c r="CA41" i="1"/>
  <c r="CA96" i="1"/>
  <c r="CA7" i="1"/>
  <c r="CA69" i="1"/>
  <c r="CA138" i="1"/>
  <c r="CA174" i="1"/>
  <c r="CA214" i="1"/>
  <c r="CA58" i="1"/>
  <c r="CA180" i="1"/>
  <c r="CA93" i="1"/>
  <c r="CA26" i="1"/>
  <c r="CA35" i="1"/>
  <c r="CA171" i="1"/>
  <c r="CA268" i="1"/>
  <c r="CA137" i="1"/>
  <c r="CA216" i="1"/>
  <c r="CA168" i="1"/>
  <c r="CA256" i="1"/>
  <c r="CA79" i="1"/>
  <c r="CA217" i="1"/>
  <c r="CA287" i="1"/>
  <c r="CA47" i="1"/>
  <c r="CA244" i="1"/>
  <c r="CA128" i="1"/>
  <c r="CA286" i="1"/>
  <c r="CA215" i="1"/>
  <c r="CA97" i="1"/>
  <c r="CA167" i="1"/>
  <c r="CA187" i="1"/>
  <c r="CA66" i="1"/>
  <c r="CA39" i="1"/>
  <c r="CA250" i="1"/>
  <c r="CA232" i="1"/>
  <c r="CA45" i="1"/>
  <c r="CA73" i="1"/>
  <c r="CA13" i="1"/>
  <c r="CA72" i="1"/>
  <c r="CA252" i="1"/>
  <c r="CA203" i="1"/>
  <c r="CA126" i="1"/>
  <c r="CA123" i="1"/>
  <c r="CA197" i="1"/>
  <c r="CA11" i="1"/>
  <c r="CA118" i="1"/>
  <c r="CA280" i="1"/>
  <c r="CA82" i="1"/>
  <c r="CA142" i="1"/>
  <c r="CA198" i="1"/>
  <c r="CA182" i="1"/>
  <c r="CA205" i="1"/>
  <c r="CA154" i="1"/>
  <c r="CA264" i="1"/>
  <c r="CA204" i="1"/>
  <c r="CA3" i="1"/>
  <c r="CA237" i="1"/>
  <c r="CA231" i="1"/>
  <c r="CA124" i="1"/>
  <c r="CA51" i="1"/>
  <c r="CA54" i="1"/>
  <c r="CA63" i="1"/>
  <c r="CA135" i="1"/>
  <c r="CA228" i="1"/>
  <c r="CA44" i="1"/>
  <c r="CA156" i="1"/>
  <c r="CA50" i="1"/>
  <c r="CA201" i="1"/>
  <c r="CA40" i="1"/>
  <c r="CA78" i="1"/>
  <c r="CA91" i="1"/>
  <c r="CA119" i="1"/>
  <c r="CA193" i="1"/>
  <c r="CA186" i="1"/>
  <c r="CA107" i="1"/>
  <c r="CA257" i="1"/>
  <c r="CB100" i="1"/>
  <c r="CB117" i="1"/>
  <c r="CB140" i="1"/>
  <c r="CB261" i="1"/>
  <c r="CB151" i="1"/>
  <c r="CB223" i="1"/>
  <c r="CB114" i="1"/>
  <c r="CB218" i="1"/>
  <c r="CB169" i="1"/>
  <c r="CB102" i="1"/>
  <c r="CB279" i="1"/>
  <c r="CB62" i="1"/>
  <c r="CB304" i="1"/>
  <c r="CB139" i="1"/>
  <c r="CB246" i="1"/>
  <c r="CB220" i="1"/>
  <c r="CB81" i="1"/>
  <c r="CB176" i="1"/>
  <c r="CB265" i="1"/>
  <c r="CB75" i="1"/>
  <c r="CB227" i="1"/>
  <c r="CB152" i="1"/>
  <c r="CB177" i="1"/>
  <c r="CB179" i="1"/>
  <c r="CB56" i="1"/>
  <c r="CB170" i="1"/>
  <c r="CB46" i="1"/>
  <c r="CB221" i="1"/>
  <c r="CB71" i="1"/>
  <c r="CB158" i="1"/>
  <c r="CB131" i="1"/>
  <c r="CB161" i="1"/>
  <c r="CB278" i="1"/>
  <c r="CB67" i="1"/>
  <c r="CB254" i="1"/>
  <c r="CB27" i="1"/>
  <c r="CB130" i="1"/>
  <c r="CB122" i="1"/>
  <c r="CB38" i="1"/>
  <c r="CB288" i="1"/>
  <c r="CB8" i="1"/>
  <c r="CB84" i="1"/>
  <c r="CB196" i="1"/>
  <c r="CB120" i="1"/>
  <c r="CB14" i="1"/>
  <c r="CB210" i="1"/>
  <c r="CB112" i="1"/>
  <c r="CB95" i="1"/>
  <c r="CB105" i="1"/>
  <c r="CB238" i="1"/>
  <c r="CB259" i="1"/>
  <c r="CB243" i="1"/>
  <c r="CB61" i="1"/>
  <c r="CB159" i="1"/>
  <c r="CB109" i="1"/>
  <c r="CB36" i="1"/>
  <c r="CB43" i="1"/>
  <c r="CB59" i="1"/>
  <c r="CB144" i="1"/>
  <c r="CB296" i="1"/>
  <c r="CB293" i="1"/>
  <c r="CB129" i="1"/>
  <c r="CB166" i="1"/>
  <c r="CB127" i="1"/>
  <c r="CB248" i="1"/>
  <c r="CB269" i="1"/>
  <c r="CB235" i="1"/>
  <c r="CB155" i="1"/>
  <c r="CB206" i="1"/>
  <c r="CB42" i="1"/>
  <c r="CB31" i="1"/>
  <c r="CB20" i="1"/>
  <c r="CB195" i="1"/>
  <c r="CB21" i="1"/>
  <c r="CB165" i="1"/>
  <c r="CB172" i="1"/>
  <c r="CB300" i="1"/>
  <c r="CB9" i="1"/>
  <c r="CB183" i="1"/>
  <c r="CB213" i="1"/>
  <c r="CB258" i="1"/>
  <c r="CB255" i="1"/>
  <c r="CB194" i="1"/>
  <c r="CB87" i="1"/>
  <c r="CB37" i="1"/>
  <c r="CB303" i="1"/>
  <c r="CB19" i="1"/>
  <c r="CB104" i="1"/>
  <c r="CB190" i="1"/>
  <c r="CB147" i="1"/>
  <c r="CB30" i="1"/>
  <c r="CB208" i="1"/>
  <c r="CB292" i="1"/>
  <c r="CB226" i="1"/>
  <c r="CB274" i="1"/>
  <c r="CB230" i="1"/>
  <c r="CB239" i="1"/>
  <c r="CB157" i="1"/>
  <c r="CB297" i="1"/>
  <c r="CB285" i="1"/>
  <c r="CB10" i="1"/>
  <c r="CB298" i="1"/>
  <c r="CB212" i="1"/>
  <c r="CB240" i="1"/>
  <c r="CB6" i="1"/>
  <c r="CB242" i="1"/>
  <c r="CB32" i="1"/>
  <c r="CB108" i="1"/>
  <c r="CB189" i="1"/>
  <c r="CB121" i="1"/>
  <c r="CB266" i="1"/>
  <c r="CB99" i="1"/>
  <c r="CB98" i="1"/>
  <c r="CB291" i="1"/>
  <c r="CB307" i="1"/>
  <c r="CB282" i="1"/>
  <c r="CB181" i="1"/>
  <c r="CB149" i="1"/>
  <c r="CB308" i="1"/>
  <c r="CB275" i="1"/>
  <c r="CB260" i="1"/>
  <c r="CB277" i="1"/>
  <c r="CB132" i="1"/>
  <c r="CB101" i="1"/>
  <c r="CB16" i="1"/>
  <c r="CB236" i="1"/>
  <c r="CB143" i="1"/>
  <c r="CB267" i="1"/>
  <c r="CB18" i="1"/>
  <c r="CB290" i="1"/>
  <c r="CB245" i="1"/>
  <c r="CB188" i="1"/>
  <c r="CB150" i="1"/>
  <c r="CB249" i="1"/>
  <c r="CB48" i="1"/>
  <c r="CB178" i="1"/>
  <c r="CB185" i="1"/>
  <c r="CB263" i="1"/>
  <c r="CB145" i="1"/>
  <c r="CB24" i="1"/>
  <c r="CB25" i="1"/>
  <c r="CB49" i="1"/>
  <c r="CB294" i="1"/>
  <c r="CB276" i="1"/>
  <c r="CB163" i="1"/>
  <c r="CB305" i="1"/>
  <c r="CB116" i="1"/>
  <c r="CB23" i="1"/>
  <c r="CB247" i="1"/>
  <c r="CB2" i="1"/>
  <c r="CB88" i="1"/>
  <c r="CB125" i="1"/>
  <c r="CB241" i="1"/>
  <c r="CB192" i="1"/>
  <c r="CB225" i="1"/>
  <c r="CB80" i="1"/>
  <c r="CB74" i="1"/>
  <c r="CB110" i="1"/>
  <c r="CB92" i="1"/>
  <c r="CB17" i="1"/>
  <c r="CB113" i="1"/>
  <c r="CB222" i="1"/>
  <c r="CB211" i="1"/>
  <c r="CB271" i="1"/>
  <c r="CB76" i="1"/>
  <c r="CB136" i="1"/>
  <c r="CB53" i="1"/>
  <c r="CB57" i="1"/>
  <c r="CB65" i="1"/>
  <c r="CB34" i="1"/>
  <c r="CB141" i="1"/>
  <c r="CB202" i="1"/>
  <c r="CB55" i="1"/>
  <c r="CB273" i="1"/>
  <c r="CB111" i="1"/>
  <c r="CB234" i="1"/>
  <c r="CB295" i="1"/>
  <c r="CB133" i="1"/>
  <c r="CB90" i="1"/>
  <c r="CB233" i="1"/>
  <c r="CB175" i="1"/>
  <c r="CB15" i="1"/>
  <c r="CB224" i="1"/>
  <c r="CB77" i="1"/>
  <c r="CB83" i="1"/>
  <c r="CB148" i="1"/>
  <c r="CB191" i="1"/>
  <c r="CB115" i="1"/>
  <c r="CB229" i="1"/>
  <c r="CB85" i="1"/>
  <c r="CB89" i="1"/>
  <c r="CB4" i="1"/>
  <c r="CB164" i="1"/>
  <c r="CB299" i="1"/>
  <c r="CB153" i="1"/>
  <c r="CB302" i="1"/>
  <c r="CB162" i="1"/>
  <c r="CB209" i="1"/>
  <c r="CB146" i="1"/>
  <c r="CB281" i="1"/>
  <c r="CB199" i="1"/>
  <c r="CB52" i="1"/>
  <c r="CB253" i="1"/>
  <c r="CB262" i="1"/>
  <c r="CB173" i="1"/>
  <c r="CB33" i="1"/>
  <c r="CB28" i="1"/>
  <c r="CB160" i="1"/>
  <c r="CB86" i="1"/>
  <c r="CB22" i="1"/>
  <c r="CB12" i="1"/>
  <c r="CB270" i="1"/>
  <c r="CB219" i="1"/>
  <c r="CB272" i="1"/>
  <c r="CB70" i="1"/>
  <c r="CB200" i="1"/>
  <c r="CB251" i="1"/>
  <c r="CB134" i="1"/>
  <c r="CB94" i="1"/>
  <c r="CB5" i="1"/>
  <c r="CB68" i="1"/>
  <c r="CB301" i="1"/>
  <c r="CB207" i="1"/>
  <c r="CB289" i="1"/>
  <c r="CB284" i="1"/>
  <c r="CB283" i="1"/>
  <c r="CB306" i="1"/>
  <c r="CB184" i="1"/>
  <c r="CB106" i="1"/>
  <c r="CB103" i="1"/>
  <c r="CB60" i="1"/>
  <c r="CB64" i="1"/>
  <c r="CB29" i="1"/>
  <c r="CB41" i="1"/>
  <c r="CB96" i="1"/>
  <c r="CB7" i="1"/>
  <c r="CB69" i="1"/>
  <c r="CB138" i="1"/>
  <c r="CB174" i="1"/>
  <c r="CB214" i="1"/>
  <c r="CB58" i="1"/>
  <c r="CB180" i="1"/>
  <c r="CB93" i="1"/>
  <c r="CB26" i="1"/>
  <c r="CB35" i="1"/>
  <c r="CB171" i="1"/>
  <c r="CB268" i="1"/>
  <c r="CB137" i="1"/>
  <c r="CB216" i="1"/>
  <c r="CB168" i="1"/>
  <c r="CB256" i="1"/>
  <c r="CB79" i="1"/>
  <c r="CB217" i="1"/>
  <c r="CB287" i="1"/>
  <c r="CB47" i="1"/>
  <c r="CB244" i="1"/>
  <c r="CB128" i="1"/>
  <c r="CB286" i="1"/>
  <c r="CB215" i="1"/>
  <c r="CB97" i="1"/>
  <c r="CB167" i="1"/>
  <c r="CB187" i="1"/>
  <c r="CB66" i="1"/>
  <c r="CB39" i="1"/>
  <c r="CB250" i="1"/>
  <c r="CB232" i="1"/>
  <c r="CB45" i="1"/>
  <c r="CB73" i="1"/>
  <c r="CB13" i="1"/>
  <c r="CB72" i="1"/>
  <c r="CB252" i="1"/>
  <c r="CB203" i="1"/>
  <c r="CB126" i="1"/>
  <c r="CB123" i="1"/>
  <c r="CB197" i="1"/>
  <c r="CB11" i="1"/>
  <c r="CB118" i="1"/>
  <c r="CB280" i="1"/>
  <c r="CB82" i="1"/>
  <c r="CB142" i="1"/>
  <c r="CB198" i="1"/>
  <c r="CB182" i="1"/>
  <c r="CB205" i="1"/>
  <c r="CB154" i="1"/>
  <c r="CB264" i="1"/>
  <c r="CB204" i="1"/>
  <c r="CB3" i="1"/>
  <c r="CB237" i="1"/>
  <c r="CB231" i="1"/>
  <c r="CB124" i="1"/>
  <c r="CB51" i="1"/>
  <c r="CB54" i="1"/>
  <c r="CB63" i="1"/>
  <c r="CB135" i="1"/>
  <c r="CB228" i="1"/>
  <c r="CB44" i="1"/>
  <c r="CB156" i="1"/>
  <c r="CB50" i="1"/>
  <c r="CB201" i="1"/>
  <c r="CB40" i="1"/>
  <c r="CB78" i="1"/>
  <c r="CB91" i="1"/>
  <c r="CB119" i="1"/>
  <c r="CB193" i="1"/>
  <c r="CB186" i="1"/>
  <c r="CB107" i="1"/>
  <c r="CB257" i="1"/>
  <c r="CC100" i="1"/>
  <c r="CC117" i="1"/>
  <c r="CC140" i="1"/>
  <c r="CC261" i="1"/>
  <c r="CC151" i="1"/>
  <c r="CC223" i="1"/>
  <c r="CC114" i="1"/>
  <c r="CC218" i="1"/>
  <c r="CC169" i="1"/>
  <c r="CC102" i="1"/>
  <c r="CC279" i="1"/>
  <c r="CC62" i="1"/>
  <c r="CC304" i="1"/>
  <c r="CC139" i="1"/>
  <c r="CC246" i="1"/>
  <c r="CC220" i="1"/>
  <c r="CC81" i="1"/>
  <c r="CC176" i="1"/>
  <c r="CC265" i="1"/>
  <c r="CC75" i="1"/>
  <c r="CC227" i="1"/>
  <c r="CC152" i="1"/>
  <c r="CC177" i="1"/>
  <c r="CC179" i="1"/>
  <c r="CC56" i="1"/>
  <c r="CC170" i="1"/>
  <c r="CC46" i="1"/>
  <c r="CC221" i="1"/>
  <c r="CC71" i="1"/>
  <c r="CC158" i="1"/>
  <c r="CC131" i="1"/>
  <c r="CC161" i="1"/>
  <c r="CC278" i="1"/>
  <c r="CC67" i="1"/>
  <c r="CC254" i="1"/>
  <c r="CC27" i="1"/>
  <c r="CC130" i="1"/>
  <c r="CC122" i="1"/>
  <c r="CC38" i="1"/>
  <c r="CC288" i="1"/>
  <c r="CC8" i="1"/>
  <c r="CC84" i="1"/>
  <c r="CC196" i="1"/>
  <c r="CC120" i="1"/>
  <c r="CC14" i="1"/>
  <c r="CC210" i="1"/>
  <c r="CC112" i="1"/>
  <c r="CC95" i="1"/>
  <c r="CC105" i="1"/>
  <c r="CC238" i="1"/>
  <c r="CC259" i="1"/>
  <c r="CC243" i="1"/>
  <c r="CC61" i="1"/>
  <c r="CC159" i="1"/>
  <c r="CC109" i="1"/>
  <c r="CC36" i="1"/>
  <c r="CC43" i="1"/>
  <c r="CC59" i="1"/>
  <c r="CC144" i="1"/>
  <c r="CC296" i="1"/>
  <c r="CC293" i="1"/>
  <c r="CC129" i="1"/>
  <c r="CC166" i="1"/>
  <c r="CC127" i="1"/>
  <c r="CC248" i="1"/>
  <c r="CC269" i="1"/>
  <c r="CC235" i="1"/>
  <c r="CC155" i="1"/>
  <c r="CC206" i="1"/>
  <c r="CC42" i="1"/>
  <c r="CC31" i="1"/>
  <c r="CC20" i="1"/>
  <c r="CC195" i="1"/>
  <c r="CC21" i="1"/>
  <c r="CC165" i="1"/>
  <c r="CC172" i="1"/>
  <c r="CC300" i="1"/>
  <c r="CC9" i="1"/>
  <c r="CC183" i="1"/>
  <c r="CC213" i="1"/>
  <c r="CC258" i="1"/>
  <c r="CC255" i="1"/>
  <c r="CC194" i="1"/>
  <c r="CC87" i="1"/>
  <c r="CC37" i="1"/>
  <c r="CC303" i="1"/>
  <c r="CC19" i="1"/>
  <c r="CC104" i="1"/>
  <c r="CC190" i="1"/>
  <c r="CC147" i="1"/>
  <c r="CC30" i="1"/>
  <c r="CC208" i="1"/>
  <c r="CC292" i="1"/>
  <c r="CC226" i="1"/>
  <c r="CC274" i="1"/>
  <c r="CC230" i="1"/>
  <c r="CC239" i="1"/>
  <c r="CC157" i="1"/>
  <c r="CC297" i="1"/>
  <c r="CC285" i="1"/>
  <c r="CC10" i="1"/>
  <c r="CC298" i="1"/>
  <c r="CC212" i="1"/>
  <c r="CC240" i="1"/>
  <c r="CC6" i="1"/>
  <c r="CC242" i="1"/>
  <c r="CC32" i="1"/>
  <c r="CC108" i="1"/>
  <c r="CC189" i="1"/>
  <c r="CC121" i="1"/>
  <c r="CC266" i="1"/>
  <c r="CC99" i="1"/>
  <c r="CC98" i="1"/>
  <c r="CC291" i="1"/>
  <c r="CC307" i="1"/>
  <c r="CC282" i="1"/>
  <c r="CC181" i="1"/>
  <c r="CC149" i="1"/>
  <c r="CC308" i="1"/>
  <c r="CC275" i="1"/>
  <c r="CC260" i="1"/>
  <c r="CC277" i="1"/>
  <c r="CC132" i="1"/>
  <c r="CC101" i="1"/>
  <c r="CC16" i="1"/>
  <c r="CC236" i="1"/>
  <c r="CC143" i="1"/>
  <c r="CC267" i="1"/>
  <c r="CC18" i="1"/>
  <c r="CC290" i="1"/>
  <c r="CC245" i="1"/>
  <c r="CC188" i="1"/>
  <c r="CC150" i="1"/>
  <c r="CC249" i="1"/>
  <c r="CC48" i="1"/>
  <c r="CC178" i="1"/>
  <c r="CC185" i="1"/>
  <c r="CC263" i="1"/>
  <c r="CC145" i="1"/>
  <c r="CC24" i="1"/>
  <c r="CC25" i="1"/>
  <c r="CC49" i="1"/>
  <c r="CC294" i="1"/>
  <c r="CC276" i="1"/>
  <c r="CC163" i="1"/>
  <c r="CC305" i="1"/>
  <c r="CC116" i="1"/>
  <c r="CC23" i="1"/>
  <c r="CC247" i="1"/>
  <c r="CC2" i="1"/>
  <c r="CC88" i="1"/>
  <c r="CC125" i="1"/>
  <c r="CC241" i="1"/>
  <c r="CC192" i="1"/>
  <c r="CC225" i="1"/>
  <c r="CC80" i="1"/>
  <c r="CC74" i="1"/>
  <c r="CC110" i="1"/>
  <c r="CC92" i="1"/>
  <c r="CC17" i="1"/>
  <c r="CC113" i="1"/>
  <c r="CC222" i="1"/>
  <c r="CC211" i="1"/>
  <c r="CC271" i="1"/>
  <c r="CC76" i="1"/>
  <c r="CC136" i="1"/>
  <c r="CC53" i="1"/>
  <c r="CC57" i="1"/>
  <c r="CC65" i="1"/>
  <c r="CC34" i="1"/>
  <c r="CC141" i="1"/>
  <c r="CC202" i="1"/>
  <c r="CC55" i="1"/>
  <c r="CC273" i="1"/>
  <c r="CC111" i="1"/>
  <c r="CC234" i="1"/>
  <c r="CC295" i="1"/>
  <c r="CC133" i="1"/>
  <c r="CC90" i="1"/>
  <c r="CC233" i="1"/>
  <c r="CC175" i="1"/>
  <c r="CC15" i="1"/>
  <c r="CC224" i="1"/>
  <c r="CC77" i="1"/>
  <c r="CC83" i="1"/>
  <c r="CC148" i="1"/>
  <c r="CC191" i="1"/>
  <c r="CC115" i="1"/>
  <c r="CC229" i="1"/>
  <c r="CC85" i="1"/>
  <c r="CC89" i="1"/>
  <c r="CC4" i="1"/>
  <c r="CC164" i="1"/>
  <c r="CC299" i="1"/>
  <c r="CC153" i="1"/>
  <c r="CC302" i="1"/>
  <c r="CC162" i="1"/>
  <c r="CC209" i="1"/>
  <c r="CC146" i="1"/>
  <c r="CC281" i="1"/>
  <c r="CC199" i="1"/>
  <c r="CC52" i="1"/>
  <c r="CC253" i="1"/>
  <c r="CC262" i="1"/>
  <c r="CC173" i="1"/>
  <c r="CC33" i="1"/>
  <c r="CC28" i="1"/>
  <c r="CC160" i="1"/>
  <c r="CC86" i="1"/>
  <c r="CC22" i="1"/>
  <c r="CC12" i="1"/>
  <c r="CC270" i="1"/>
  <c r="CC219" i="1"/>
  <c r="CC272" i="1"/>
  <c r="CC70" i="1"/>
  <c r="CC200" i="1"/>
  <c r="CC251" i="1"/>
  <c r="CC134" i="1"/>
  <c r="CC94" i="1"/>
  <c r="CC5" i="1"/>
  <c r="CC68" i="1"/>
  <c r="CC301" i="1"/>
  <c r="CC207" i="1"/>
  <c r="CC289" i="1"/>
  <c r="CC284" i="1"/>
  <c r="CC283" i="1"/>
  <c r="CC306" i="1"/>
  <c r="CC184" i="1"/>
  <c r="CC106" i="1"/>
  <c r="CC103" i="1"/>
  <c r="CC60" i="1"/>
  <c r="CC64" i="1"/>
  <c r="CC29" i="1"/>
  <c r="CC41" i="1"/>
  <c r="CC96" i="1"/>
  <c r="CC7" i="1"/>
  <c r="CC69" i="1"/>
  <c r="CC138" i="1"/>
  <c r="CC174" i="1"/>
  <c r="CC214" i="1"/>
  <c r="CC58" i="1"/>
  <c r="CC180" i="1"/>
  <c r="CC93" i="1"/>
  <c r="CC26" i="1"/>
  <c r="CC35" i="1"/>
  <c r="CC171" i="1"/>
  <c r="CC268" i="1"/>
  <c r="CC137" i="1"/>
  <c r="CC216" i="1"/>
  <c r="CC168" i="1"/>
  <c r="CC256" i="1"/>
  <c r="CC79" i="1"/>
  <c r="CC217" i="1"/>
  <c r="CC287" i="1"/>
  <c r="CC47" i="1"/>
  <c r="CC244" i="1"/>
  <c r="CC128" i="1"/>
  <c r="CC286" i="1"/>
  <c r="CC215" i="1"/>
  <c r="CC97" i="1"/>
  <c r="CC167" i="1"/>
  <c r="CC187" i="1"/>
  <c r="CC66" i="1"/>
  <c r="CC39" i="1"/>
  <c r="CC250" i="1"/>
  <c r="CC232" i="1"/>
  <c r="CC45" i="1"/>
  <c r="CC73" i="1"/>
  <c r="CC13" i="1"/>
  <c r="CC72" i="1"/>
  <c r="CC252" i="1"/>
  <c r="CC203" i="1"/>
  <c r="CC126" i="1"/>
  <c r="CC123" i="1"/>
  <c r="CC197" i="1"/>
  <c r="CC11" i="1"/>
  <c r="CC118" i="1"/>
  <c r="CC280" i="1"/>
  <c r="CC82" i="1"/>
  <c r="CC142" i="1"/>
  <c r="CC198" i="1"/>
  <c r="CC182" i="1"/>
  <c r="CC205" i="1"/>
  <c r="CC154" i="1"/>
  <c r="CC264" i="1"/>
  <c r="CC204" i="1"/>
  <c r="CC3" i="1"/>
  <c r="CC237" i="1"/>
  <c r="CC231" i="1"/>
  <c r="CC124" i="1"/>
  <c r="CC51" i="1"/>
  <c r="CC54" i="1"/>
  <c r="CC63" i="1"/>
  <c r="CC135" i="1"/>
  <c r="CC228" i="1"/>
  <c r="CC44" i="1"/>
  <c r="CC156" i="1"/>
  <c r="CC50" i="1"/>
  <c r="CC201" i="1"/>
  <c r="CC40" i="1"/>
  <c r="CC78" i="1"/>
  <c r="CC91" i="1"/>
  <c r="CC119" i="1"/>
  <c r="CC193" i="1"/>
  <c r="CC186" i="1"/>
  <c r="CC107" i="1"/>
  <c r="CC257" i="1"/>
  <c r="CD100" i="1"/>
  <c r="CD117" i="1"/>
  <c r="CD140" i="1"/>
  <c r="CD261" i="1"/>
  <c r="CD151" i="1"/>
  <c r="CD223" i="1"/>
  <c r="CD114" i="1"/>
  <c r="CD218" i="1"/>
  <c r="CD169" i="1"/>
  <c r="CD102" i="1"/>
  <c r="CD279" i="1"/>
  <c r="CD62" i="1"/>
  <c r="CD304" i="1"/>
  <c r="CD139" i="1"/>
  <c r="CD246" i="1"/>
  <c r="CD220" i="1"/>
  <c r="CD81" i="1"/>
  <c r="CD176" i="1"/>
  <c r="CD265" i="1"/>
  <c r="CD75" i="1"/>
  <c r="CD227" i="1"/>
  <c r="CD152" i="1"/>
  <c r="CD177" i="1"/>
  <c r="CD179" i="1"/>
  <c r="CD56" i="1"/>
  <c r="CD170" i="1"/>
  <c r="CD46" i="1"/>
  <c r="CD221" i="1"/>
  <c r="CD71" i="1"/>
  <c r="CD158" i="1"/>
  <c r="CD131" i="1"/>
  <c r="CD161" i="1"/>
  <c r="CD278" i="1"/>
  <c r="CD67" i="1"/>
  <c r="CD254" i="1"/>
  <c r="CD27" i="1"/>
  <c r="CD130" i="1"/>
  <c r="CD122" i="1"/>
  <c r="CD38" i="1"/>
  <c r="CD288" i="1"/>
  <c r="CD8" i="1"/>
  <c r="CD84" i="1"/>
  <c r="CD196" i="1"/>
  <c r="CD120" i="1"/>
  <c r="CD14" i="1"/>
  <c r="CD210" i="1"/>
  <c r="CD112" i="1"/>
  <c r="CD95" i="1"/>
  <c r="CD105" i="1"/>
  <c r="CD238" i="1"/>
  <c r="CD259" i="1"/>
  <c r="CD243" i="1"/>
  <c r="CD61" i="1"/>
  <c r="CD159" i="1"/>
  <c r="CD109" i="1"/>
  <c r="CD36" i="1"/>
  <c r="CD43" i="1"/>
  <c r="CD59" i="1"/>
  <c r="CD144" i="1"/>
  <c r="CD296" i="1"/>
  <c r="CD293" i="1"/>
  <c r="CD129" i="1"/>
  <c r="CD166" i="1"/>
  <c r="CD127" i="1"/>
  <c r="CD248" i="1"/>
  <c r="CD269" i="1"/>
  <c r="CD235" i="1"/>
  <c r="CD155" i="1"/>
  <c r="CD206" i="1"/>
  <c r="CD42" i="1"/>
  <c r="CD31" i="1"/>
  <c r="CD20" i="1"/>
  <c r="CD195" i="1"/>
  <c r="CD21" i="1"/>
  <c r="CD165" i="1"/>
  <c r="CD172" i="1"/>
  <c r="CD300" i="1"/>
  <c r="CD9" i="1"/>
  <c r="CD183" i="1"/>
  <c r="CD213" i="1"/>
  <c r="CD258" i="1"/>
  <c r="CD255" i="1"/>
  <c r="CD194" i="1"/>
  <c r="CD87" i="1"/>
  <c r="CD37" i="1"/>
  <c r="CD303" i="1"/>
  <c r="CD19" i="1"/>
  <c r="CD104" i="1"/>
  <c r="CD190" i="1"/>
  <c r="CD147" i="1"/>
  <c r="CD30" i="1"/>
  <c r="CD208" i="1"/>
  <c r="CD292" i="1"/>
  <c r="CD226" i="1"/>
  <c r="CD274" i="1"/>
  <c r="CD230" i="1"/>
  <c r="CD239" i="1"/>
  <c r="CD157" i="1"/>
  <c r="CD297" i="1"/>
  <c r="CD285" i="1"/>
  <c r="CD10" i="1"/>
  <c r="CD298" i="1"/>
  <c r="CD212" i="1"/>
  <c r="CD240" i="1"/>
  <c r="CD6" i="1"/>
  <c r="CD242" i="1"/>
  <c r="CD32" i="1"/>
  <c r="CD108" i="1"/>
  <c r="CD189" i="1"/>
  <c r="CD121" i="1"/>
  <c r="CD266" i="1"/>
  <c r="CD99" i="1"/>
  <c r="CD98" i="1"/>
  <c r="CD291" i="1"/>
  <c r="CD307" i="1"/>
  <c r="CD282" i="1"/>
  <c r="CD181" i="1"/>
  <c r="CD149" i="1"/>
  <c r="CD308" i="1"/>
  <c r="CD275" i="1"/>
  <c r="CD260" i="1"/>
  <c r="CD277" i="1"/>
  <c r="CD132" i="1"/>
  <c r="CD101" i="1"/>
  <c r="CD16" i="1"/>
  <c r="CD236" i="1"/>
  <c r="CD143" i="1"/>
  <c r="CD267" i="1"/>
  <c r="CD18" i="1"/>
  <c r="CD290" i="1"/>
  <c r="CD245" i="1"/>
  <c r="CD188" i="1"/>
  <c r="CD150" i="1"/>
  <c r="CD249" i="1"/>
  <c r="CD48" i="1"/>
  <c r="CD178" i="1"/>
  <c r="CD185" i="1"/>
  <c r="CD263" i="1"/>
  <c r="CD145" i="1"/>
  <c r="CD24" i="1"/>
  <c r="CD25" i="1"/>
  <c r="CD49" i="1"/>
  <c r="CD294" i="1"/>
  <c r="CD276" i="1"/>
  <c r="CD163" i="1"/>
  <c r="CD305" i="1"/>
  <c r="CD116" i="1"/>
  <c r="CD23" i="1"/>
  <c r="CD247" i="1"/>
  <c r="CD2" i="1"/>
  <c r="CD88" i="1"/>
  <c r="CD125" i="1"/>
  <c r="CD241" i="1"/>
  <c r="CD192" i="1"/>
  <c r="CD225" i="1"/>
  <c r="CD80" i="1"/>
  <c r="CD74" i="1"/>
  <c r="CD110" i="1"/>
  <c r="CD92" i="1"/>
  <c r="CD17" i="1"/>
  <c r="CD113" i="1"/>
  <c r="CD222" i="1"/>
  <c r="CD211" i="1"/>
  <c r="CD271" i="1"/>
  <c r="CD76" i="1"/>
  <c r="CD136" i="1"/>
  <c r="CD53" i="1"/>
  <c r="CD57" i="1"/>
  <c r="CD65" i="1"/>
  <c r="CD34" i="1"/>
  <c r="CD141" i="1"/>
  <c r="CD202" i="1"/>
  <c r="CD55" i="1"/>
  <c r="CD273" i="1"/>
  <c r="CD111" i="1"/>
  <c r="CD234" i="1"/>
  <c r="CD295" i="1"/>
  <c r="CD133" i="1"/>
  <c r="CD90" i="1"/>
  <c r="CD233" i="1"/>
  <c r="CD175" i="1"/>
  <c r="CD15" i="1"/>
  <c r="CD224" i="1"/>
  <c r="CD77" i="1"/>
  <c r="CD83" i="1"/>
  <c r="CD148" i="1"/>
  <c r="CD191" i="1"/>
  <c r="CD115" i="1"/>
  <c r="CD229" i="1"/>
  <c r="CD85" i="1"/>
  <c r="CD89" i="1"/>
  <c r="CD4" i="1"/>
  <c r="CD164" i="1"/>
  <c r="CD299" i="1"/>
  <c r="CD153" i="1"/>
  <c r="CD302" i="1"/>
  <c r="CD162" i="1"/>
  <c r="CD209" i="1"/>
  <c r="CD146" i="1"/>
  <c r="CD281" i="1"/>
  <c r="CD199" i="1"/>
  <c r="CD52" i="1"/>
  <c r="CD253" i="1"/>
  <c r="CD262" i="1"/>
  <c r="CD173" i="1"/>
  <c r="CD33" i="1"/>
  <c r="CD28" i="1"/>
  <c r="CD160" i="1"/>
  <c r="CD86" i="1"/>
  <c r="CD22" i="1"/>
  <c r="CD12" i="1"/>
  <c r="CD270" i="1"/>
  <c r="CD219" i="1"/>
  <c r="CD272" i="1"/>
  <c r="CD70" i="1"/>
  <c r="CD200" i="1"/>
  <c r="CD251" i="1"/>
  <c r="CD134" i="1"/>
  <c r="CD94" i="1"/>
  <c r="CD5" i="1"/>
  <c r="CD68" i="1"/>
  <c r="CD301" i="1"/>
  <c r="CD207" i="1"/>
  <c r="CD289" i="1"/>
  <c r="CD284" i="1"/>
  <c r="CD283" i="1"/>
  <c r="CD306" i="1"/>
  <c r="CD184" i="1"/>
  <c r="CD106" i="1"/>
  <c r="CD103" i="1"/>
  <c r="CD60" i="1"/>
  <c r="CD64" i="1"/>
  <c r="CD29" i="1"/>
  <c r="CD41" i="1"/>
  <c r="CD96" i="1"/>
  <c r="CD7" i="1"/>
  <c r="CD69" i="1"/>
  <c r="CD138" i="1"/>
  <c r="CD174" i="1"/>
  <c r="CD214" i="1"/>
  <c r="CD58" i="1"/>
  <c r="CD180" i="1"/>
  <c r="CD93" i="1"/>
  <c r="CD26" i="1"/>
  <c r="CD35" i="1"/>
  <c r="CD171" i="1"/>
  <c r="CD268" i="1"/>
  <c r="CD137" i="1"/>
  <c r="CD216" i="1"/>
  <c r="CD168" i="1"/>
  <c r="CD256" i="1"/>
  <c r="CD79" i="1"/>
  <c r="CD217" i="1"/>
  <c r="CD287" i="1"/>
  <c r="CD47" i="1"/>
  <c r="CD244" i="1"/>
  <c r="CD128" i="1"/>
  <c r="CD286" i="1"/>
  <c r="CD215" i="1"/>
  <c r="CD97" i="1"/>
  <c r="CD167" i="1"/>
  <c r="CD187" i="1"/>
  <c r="CD66" i="1"/>
  <c r="CD39" i="1"/>
  <c r="CD250" i="1"/>
  <c r="CD232" i="1"/>
  <c r="CD45" i="1"/>
  <c r="CD73" i="1"/>
  <c r="CD13" i="1"/>
  <c r="CD72" i="1"/>
  <c r="CD252" i="1"/>
  <c r="CD203" i="1"/>
  <c r="CD126" i="1"/>
  <c r="CD123" i="1"/>
  <c r="CD197" i="1"/>
  <c r="CD11" i="1"/>
  <c r="CD118" i="1"/>
  <c r="CD280" i="1"/>
  <c r="CD82" i="1"/>
  <c r="CD142" i="1"/>
  <c r="CD198" i="1"/>
  <c r="CD182" i="1"/>
  <c r="CD205" i="1"/>
  <c r="CD154" i="1"/>
  <c r="CD264" i="1"/>
  <c r="CD204" i="1"/>
  <c r="CD3" i="1"/>
  <c r="CD237" i="1"/>
  <c r="CD231" i="1"/>
  <c r="CD124" i="1"/>
  <c r="CD51" i="1"/>
  <c r="CD54" i="1"/>
  <c r="CD63" i="1"/>
  <c r="CD135" i="1"/>
  <c r="CD228" i="1"/>
  <c r="CD44" i="1"/>
  <c r="CD156" i="1"/>
  <c r="CD50" i="1"/>
  <c r="CD201" i="1"/>
  <c r="CD40" i="1"/>
  <c r="CD78" i="1"/>
  <c r="CD91" i="1"/>
  <c r="CD119" i="1"/>
  <c r="CD193" i="1"/>
  <c r="CD186" i="1"/>
  <c r="CD107" i="1"/>
  <c r="CD257" i="1"/>
  <c r="CF100" i="1"/>
  <c r="CF117" i="1"/>
  <c r="CF140" i="1"/>
  <c r="CF261" i="1"/>
  <c r="CF151" i="1"/>
  <c r="CF223" i="1"/>
  <c r="CF114" i="1"/>
  <c r="CF218" i="1"/>
  <c r="CF169" i="1"/>
  <c r="CF102" i="1"/>
  <c r="CF279" i="1"/>
  <c r="CF62" i="1"/>
  <c r="CF304" i="1"/>
  <c r="CF139" i="1"/>
  <c r="CF246" i="1"/>
  <c r="CF220" i="1"/>
  <c r="CF81" i="1"/>
  <c r="CF176" i="1"/>
  <c r="CF265" i="1"/>
  <c r="CF75" i="1"/>
  <c r="CF227" i="1"/>
  <c r="CF152" i="1"/>
  <c r="CF177" i="1"/>
  <c r="CF179" i="1"/>
  <c r="CF56" i="1"/>
  <c r="CF170" i="1"/>
  <c r="CF46" i="1"/>
  <c r="CF221" i="1"/>
  <c r="CF71" i="1"/>
  <c r="CF158" i="1"/>
  <c r="CF131" i="1"/>
  <c r="CF161" i="1"/>
  <c r="CF278" i="1"/>
  <c r="CF67" i="1"/>
  <c r="CF254" i="1"/>
  <c r="CF27" i="1"/>
  <c r="CF130" i="1"/>
  <c r="CF122" i="1"/>
  <c r="CF38" i="1"/>
  <c r="CF288" i="1"/>
  <c r="CF8" i="1"/>
  <c r="CF84" i="1"/>
  <c r="CF196" i="1"/>
  <c r="CF120" i="1"/>
  <c r="CF14" i="1"/>
  <c r="CF210" i="1"/>
  <c r="CF112" i="1"/>
  <c r="CF95" i="1"/>
  <c r="CF105" i="1"/>
  <c r="CF238" i="1"/>
  <c r="CF259" i="1"/>
  <c r="CF243" i="1"/>
  <c r="CF61" i="1"/>
  <c r="CF159" i="1"/>
  <c r="CF109" i="1"/>
  <c r="CF36" i="1"/>
  <c r="CF43" i="1"/>
  <c r="CF59" i="1"/>
  <c r="CF144" i="1"/>
  <c r="CF296" i="1"/>
  <c r="CF293" i="1"/>
  <c r="CF129" i="1"/>
  <c r="CF166" i="1"/>
  <c r="CF127" i="1"/>
  <c r="CF248" i="1"/>
  <c r="CF269" i="1"/>
  <c r="CF235" i="1"/>
  <c r="CF155" i="1"/>
  <c r="CF206" i="1"/>
  <c r="CF42" i="1"/>
  <c r="CF31" i="1"/>
  <c r="CF20" i="1"/>
  <c r="CF195" i="1"/>
  <c r="CF21" i="1"/>
  <c r="CF165" i="1"/>
  <c r="CF172" i="1"/>
  <c r="CF300" i="1"/>
  <c r="CF9" i="1"/>
  <c r="CF183" i="1"/>
  <c r="CF213" i="1"/>
  <c r="CF258" i="1"/>
  <c r="CF255" i="1"/>
  <c r="CF194" i="1"/>
  <c r="CF87" i="1"/>
  <c r="CF37" i="1"/>
  <c r="CF303" i="1"/>
  <c r="CF19" i="1"/>
  <c r="CF104" i="1"/>
  <c r="CF190" i="1"/>
  <c r="CF147" i="1"/>
  <c r="CF30" i="1"/>
  <c r="CF208" i="1"/>
  <c r="CF292" i="1"/>
  <c r="CF226" i="1"/>
  <c r="CF274" i="1"/>
  <c r="CF230" i="1"/>
  <c r="CF239" i="1"/>
  <c r="CF157" i="1"/>
  <c r="CF297" i="1"/>
  <c r="CF285" i="1"/>
  <c r="CF10" i="1"/>
  <c r="CF298" i="1"/>
  <c r="CF212" i="1"/>
  <c r="CF240" i="1"/>
  <c r="CF6" i="1"/>
  <c r="CF242" i="1"/>
  <c r="CF32" i="1"/>
  <c r="CF108" i="1"/>
  <c r="CF189" i="1"/>
  <c r="CF121" i="1"/>
  <c r="CF266" i="1"/>
  <c r="CF99" i="1"/>
  <c r="CF98" i="1"/>
  <c r="CF291" i="1"/>
  <c r="CF307" i="1"/>
  <c r="CF282" i="1"/>
  <c r="CF181" i="1"/>
  <c r="CF149" i="1"/>
  <c r="CF308" i="1"/>
  <c r="CF275" i="1"/>
  <c r="CF260" i="1"/>
  <c r="CF277" i="1"/>
  <c r="CF132" i="1"/>
  <c r="CF101" i="1"/>
  <c r="CF16" i="1"/>
  <c r="CF236" i="1"/>
  <c r="CF143" i="1"/>
  <c r="CF267" i="1"/>
  <c r="CF18" i="1"/>
  <c r="CF290" i="1"/>
  <c r="CF245" i="1"/>
  <c r="CF188" i="1"/>
  <c r="CF150" i="1"/>
  <c r="CF249" i="1"/>
  <c r="CF48" i="1"/>
  <c r="CF178" i="1"/>
  <c r="CF185" i="1"/>
  <c r="CF263" i="1"/>
  <c r="CF145" i="1"/>
  <c r="CF24" i="1"/>
  <c r="CF25" i="1"/>
  <c r="CF49" i="1"/>
  <c r="CF294" i="1"/>
  <c r="CF276" i="1"/>
  <c r="CF163" i="1"/>
  <c r="CF305" i="1"/>
  <c r="CF116" i="1"/>
  <c r="CF23" i="1"/>
  <c r="CF247" i="1"/>
  <c r="CF2" i="1"/>
  <c r="CF88" i="1"/>
  <c r="CF125" i="1"/>
  <c r="CF241" i="1"/>
  <c r="CF192" i="1"/>
  <c r="CF225" i="1"/>
  <c r="CF80" i="1"/>
  <c r="CF74" i="1"/>
  <c r="CF110" i="1"/>
  <c r="CF92" i="1"/>
  <c r="CF17" i="1"/>
  <c r="CF113" i="1"/>
  <c r="CF222" i="1"/>
  <c r="CF211" i="1"/>
  <c r="CF271" i="1"/>
  <c r="CF76" i="1"/>
  <c r="CF136" i="1"/>
  <c r="CF53" i="1"/>
  <c r="CF57" i="1"/>
  <c r="CF65" i="1"/>
  <c r="CF34" i="1"/>
  <c r="CF141" i="1"/>
  <c r="CF202" i="1"/>
  <c r="CF55" i="1"/>
  <c r="CF273" i="1"/>
  <c r="CF111" i="1"/>
  <c r="CF234" i="1"/>
  <c r="CF295" i="1"/>
  <c r="CF133" i="1"/>
  <c r="CF90" i="1"/>
  <c r="CF233" i="1"/>
  <c r="CF175" i="1"/>
  <c r="CF15" i="1"/>
  <c r="CF224" i="1"/>
  <c r="CF77" i="1"/>
  <c r="CF83" i="1"/>
  <c r="CF148" i="1"/>
  <c r="CF191" i="1"/>
  <c r="CF115" i="1"/>
  <c r="CF229" i="1"/>
  <c r="CF85" i="1"/>
  <c r="CF89" i="1"/>
  <c r="CF4" i="1"/>
  <c r="CF164" i="1"/>
  <c r="CF299" i="1"/>
  <c r="CF153" i="1"/>
  <c r="CF302" i="1"/>
  <c r="CF162" i="1"/>
  <c r="CF209" i="1"/>
  <c r="CF146" i="1"/>
  <c r="CF281" i="1"/>
  <c r="CF199" i="1"/>
  <c r="CF52" i="1"/>
  <c r="CF253" i="1"/>
  <c r="CF262" i="1"/>
  <c r="CF173" i="1"/>
  <c r="CF33" i="1"/>
  <c r="CF28" i="1"/>
  <c r="CF160" i="1"/>
  <c r="CF86" i="1"/>
  <c r="CF22" i="1"/>
  <c r="CF12" i="1"/>
  <c r="CF270" i="1"/>
  <c r="CF219" i="1"/>
  <c r="CF272" i="1"/>
  <c r="CF70" i="1"/>
  <c r="CF200" i="1"/>
  <c r="CF251" i="1"/>
  <c r="CF134" i="1"/>
  <c r="CF94" i="1"/>
  <c r="CF5" i="1"/>
  <c r="CF68" i="1"/>
  <c r="CF301" i="1"/>
  <c r="CF207" i="1"/>
  <c r="CF289" i="1"/>
  <c r="CF284" i="1"/>
  <c r="CF283" i="1"/>
  <c r="CF306" i="1"/>
  <c r="CF184" i="1"/>
  <c r="CF106" i="1"/>
  <c r="CF103" i="1"/>
  <c r="CF60" i="1"/>
  <c r="CF64" i="1"/>
  <c r="CF29" i="1"/>
  <c r="CF41" i="1"/>
  <c r="CF96" i="1"/>
  <c r="CF7" i="1"/>
  <c r="CF69" i="1"/>
  <c r="CF138" i="1"/>
  <c r="CF174" i="1"/>
  <c r="CF214" i="1"/>
  <c r="CF58" i="1"/>
  <c r="CF180" i="1"/>
  <c r="CF93" i="1"/>
  <c r="CF26" i="1"/>
  <c r="CF35" i="1"/>
  <c r="CF171" i="1"/>
  <c r="CF268" i="1"/>
  <c r="CF137" i="1"/>
  <c r="CF216" i="1"/>
  <c r="CF168" i="1"/>
  <c r="CF256" i="1"/>
  <c r="CF79" i="1"/>
  <c r="CF217" i="1"/>
  <c r="CF287" i="1"/>
  <c r="CF47" i="1"/>
  <c r="CF244" i="1"/>
  <c r="CF128" i="1"/>
  <c r="CF286" i="1"/>
  <c r="CF215" i="1"/>
  <c r="CF97" i="1"/>
  <c r="CF167" i="1"/>
  <c r="CF187" i="1"/>
  <c r="CF66" i="1"/>
  <c r="CF39" i="1"/>
  <c r="CF250" i="1"/>
  <c r="CF232" i="1"/>
  <c r="CF45" i="1"/>
  <c r="CF73" i="1"/>
  <c r="CF13" i="1"/>
  <c r="CF72" i="1"/>
  <c r="CF252" i="1"/>
  <c r="CF203" i="1"/>
  <c r="CF126" i="1"/>
  <c r="CF123" i="1"/>
  <c r="CF197" i="1"/>
  <c r="CF11" i="1"/>
  <c r="CF118" i="1"/>
  <c r="CF280" i="1"/>
  <c r="CF82" i="1"/>
  <c r="CF142" i="1"/>
  <c r="CF198" i="1"/>
  <c r="CF182" i="1"/>
  <c r="CF205" i="1"/>
  <c r="CF154" i="1"/>
  <c r="CF264" i="1"/>
  <c r="CF204" i="1"/>
  <c r="CF3" i="1"/>
  <c r="CF237" i="1"/>
  <c r="CF231" i="1"/>
  <c r="CF124" i="1"/>
  <c r="CF51" i="1"/>
  <c r="CF54" i="1"/>
  <c r="CF63" i="1"/>
  <c r="CF135" i="1"/>
  <c r="CF228" i="1"/>
  <c r="CF44" i="1"/>
  <c r="CF156" i="1"/>
  <c r="CF50" i="1"/>
  <c r="CF201" i="1"/>
  <c r="CF40" i="1"/>
  <c r="CF78" i="1"/>
  <c r="CF91" i="1"/>
  <c r="CF119" i="1"/>
  <c r="CF193" i="1"/>
  <c r="CF186" i="1"/>
  <c r="CF107" i="1"/>
  <c r="CF257" i="1"/>
  <c r="CN94" i="1" l="1"/>
  <c r="BI23" i="8"/>
  <c r="BI71" i="8"/>
  <c r="BI83" i="8"/>
  <c r="BI98" i="8"/>
  <c r="BI42" i="8"/>
  <c r="BI67" i="8"/>
  <c r="BI20" i="8"/>
  <c r="BI24" i="8"/>
  <c r="BI60" i="8"/>
  <c r="BI72" i="8"/>
  <c r="BI84" i="8"/>
  <c r="BI74" i="8"/>
  <c r="BI99" i="8"/>
  <c r="BI78" i="8"/>
  <c r="BI56" i="8"/>
  <c r="BI45" i="8"/>
  <c r="BI25" i="8"/>
  <c r="BI49" i="8"/>
  <c r="BI73" i="8"/>
  <c r="BI85" i="8"/>
  <c r="BI86" i="8"/>
  <c r="BI75" i="8"/>
  <c r="BI69" i="8"/>
  <c r="BI22" i="8"/>
  <c r="BI76" i="8"/>
  <c r="BI77" i="8"/>
  <c r="BI55" i="8"/>
  <c r="BI44" i="8"/>
  <c r="BI21" i="8"/>
  <c r="BI57" i="8"/>
  <c r="BI58" i="8"/>
  <c r="CL28" i="1"/>
  <c r="CQ28" i="1" s="1"/>
  <c r="CT28" i="1" s="1"/>
  <c r="BE797" i="7"/>
  <c r="BF797" i="7" s="1"/>
  <c r="CM188" i="1"/>
  <c r="BH15" i="8"/>
  <c r="BH18" i="8"/>
  <c r="CN105" i="1"/>
  <c r="BI35" i="8"/>
  <c r="BI47" i="8"/>
  <c r="BI59" i="8"/>
  <c r="BI51" i="8"/>
  <c r="BI87" i="8"/>
  <c r="BI81" i="8"/>
  <c r="BI34" i="8"/>
  <c r="BI82" i="8"/>
  <c r="BI36" i="8"/>
  <c r="BI48" i="8"/>
  <c r="BI96" i="8"/>
  <c r="BI38" i="8"/>
  <c r="BI63" i="8"/>
  <c r="BI43" i="8"/>
  <c r="BI103" i="8"/>
  <c r="BI46" i="8"/>
  <c r="BI37" i="8"/>
  <c r="BI97" i="8"/>
  <c r="BI26" i="8"/>
  <c r="BI50" i="8"/>
  <c r="BI27" i="8"/>
  <c r="BI39" i="8"/>
  <c r="BI54" i="8"/>
  <c r="BI90" i="8"/>
  <c r="BI31" i="8"/>
  <c r="BI79" i="8"/>
  <c r="BI32" i="8"/>
  <c r="BI80" i="8"/>
  <c r="BI33" i="8"/>
  <c r="BI70" i="8"/>
  <c r="BI28" i="8"/>
  <c r="BI40" i="8"/>
  <c r="BI52" i="8"/>
  <c r="BI64" i="8"/>
  <c r="BI88" i="8"/>
  <c r="BI100" i="8"/>
  <c r="BI29" i="8"/>
  <c r="BI41" i="8"/>
  <c r="BI53" i="8"/>
  <c r="BI65" i="8"/>
  <c r="BI89" i="8"/>
  <c r="BI101" i="8"/>
  <c r="BI30" i="8"/>
  <c r="BI66" i="8"/>
  <c r="BI102" i="8"/>
  <c r="BI91" i="8"/>
  <c r="BI92" i="8"/>
  <c r="BI104" i="8"/>
  <c r="BI93" i="8"/>
  <c r="BI105" i="8"/>
  <c r="BI94" i="8"/>
  <c r="CL141" i="1"/>
  <c r="CQ141" i="1" s="1"/>
  <c r="CT141" i="1" s="1"/>
  <c r="CM50" i="1"/>
  <c r="CL92" i="1"/>
  <c r="CQ92" i="1" s="1"/>
  <c r="CT92" i="1" s="1"/>
  <c r="CL132" i="1"/>
  <c r="CQ132" i="1" s="1"/>
  <c r="CT132" i="1" s="1"/>
  <c r="CL246" i="1"/>
  <c r="CQ246" i="1" s="1"/>
  <c r="CT246" i="1" s="1"/>
  <c r="CM275" i="1"/>
  <c r="CM87" i="1"/>
  <c r="CO181" i="1"/>
  <c r="BJ14" i="8"/>
  <c r="CM27" i="1"/>
  <c r="CM20" i="1"/>
  <c r="BI11" i="8"/>
  <c r="BI3" i="8"/>
  <c r="BI9" i="8"/>
  <c r="BI12" i="8"/>
  <c r="BI2" i="8"/>
  <c r="BI4" i="8"/>
  <c r="BI16" i="8"/>
  <c r="BI5" i="8"/>
  <c r="BI6" i="8"/>
  <c r="BI7" i="8"/>
  <c r="BI8" i="8"/>
  <c r="BI10" i="8"/>
  <c r="CL119" i="1"/>
  <c r="CN217" i="1"/>
  <c r="CN284" i="1"/>
  <c r="BI95" i="8"/>
  <c r="BI14" i="8"/>
  <c r="BI62" i="8"/>
  <c r="BI19" i="8"/>
  <c r="BI68" i="8"/>
  <c r="BI15" i="8"/>
  <c r="BI13" i="8"/>
  <c r="BI61" i="8"/>
  <c r="BI17" i="8"/>
  <c r="BI18" i="8"/>
  <c r="CL45" i="1"/>
  <c r="CQ45" i="1" s="1"/>
  <c r="CT45" i="1" s="1"/>
  <c r="CM119" i="1"/>
  <c r="CN304" i="1"/>
  <c r="BE1326" i="7"/>
  <c r="BF1326" i="7" s="1"/>
  <c r="BE1548" i="7"/>
  <c r="BF1548" i="7" s="1"/>
  <c r="BE935" i="7"/>
  <c r="BF935" i="7" s="1"/>
  <c r="CP307" i="1"/>
  <c r="BK2281" i="7"/>
  <c r="CP204" i="1"/>
  <c r="CP168" i="1"/>
  <c r="CP138" i="1"/>
  <c r="CG255" i="1"/>
  <c r="CE255" i="1"/>
  <c r="O316" i="9"/>
  <c r="P316" i="9" s="1"/>
  <c r="O312" i="9"/>
  <c r="P312" i="9" s="1"/>
  <c r="O308" i="9"/>
  <c r="P308" i="9" s="1"/>
  <c r="O304" i="9"/>
  <c r="P304" i="9" s="1"/>
  <c r="O300" i="9"/>
  <c r="P300" i="9" s="1"/>
  <c r="O296" i="9"/>
  <c r="P296" i="9" s="1"/>
  <c r="O292" i="9"/>
  <c r="P292" i="9" s="1"/>
  <c r="O288" i="9"/>
  <c r="P288" i="9" s="1"/>
  <c r="O284" i="9"/>
  <c r="P284" i="9" s="1"/>
  <c r="O280" i="9"/>
  <c r="P280" i="9" s="1"/>
  <c r="O276" i="9"/>
  <c r="P276" i="9" s="1"/>
  <c r="O272" i="9"/>
  <c r="P272" i="9" s="1"/>
  <c r="O268" i="9"/>
  <c r="P268" i="9" s="1"/>
  <c r="O264" i="9"/>
  <c r="P264" i="9" s="1"/>
  <c r="O260" i="9"/>
  <c r="P260" i="9" s="1"/>
  <c r="O256" i="9"/>
  <c r="P256" i="9" s="1"/>
  <c r="O252" i="9"/>
  <c r="P252" i="9" s="1"/>
  <c r="O248" i="9"/>
  <c r="P248" i="9" s="1"/>
  <c r="O244" i="9"/>
  <c r="P244" i="9" s="1"/>
  <c r="O240" i="9"/>
  <c r="P240" i="9" s="1"/>
  <c r="O236" i="9"/>
  <c r="P236" i="9" s="1"/>
  <c r="O232" i="9"/>
  <c r="P232" i="9" s="1"/>
  <c r="O228" i="9"/>
  <c r="P228" i="9" s="1"/>
  <c r="O224" i="9"/>
  <c r="P224" i="9" s="1"/>
  <c r="O220" i="9"/>
  <c r="P220" i="9" s="1"/>
  <c r="O216" i="9"/>
  <c r="P216" i="9" s="1"/>
  <c r="O212" i="9"/>
  <c r="P212" i="9" s="1"/>
  <c r="O208" i="9"/>
  <c r="P208" i="9" s="1"/>
  <c r="O204" i="9"/>
  <c r="P204" i="9" s="1"/>
  <c r="O200" i="9"/>
  <c r="P200" i="9" s="1"/>
  <c r="O196" i="9"/>
  <c r="P196" i="9" s="1"/>
  <c r="O192" i="9"/>
  <c r="P192" i="9" s="1"/>
  <c r="O313" i="9"/>
  <c r="P313" i="9" s="1"/>
  <c r="O309" i="9"/>
  <c r="P309" i="9" s="1"/>
  <c r="O305" i="9"/>
  <c r="P305" i="9" s="1"/>
  <c r="O301" i="9"/>
  <c r="P301" i="9" s="1"/>
  <c r="O297" i="9"/>
  <c r="P297" i="9" s="1"/>
  <c r="O293" i="9"/>
  <c r="P293" i="9" s="1"/>
  <c r="O289" i="9"/>
  <c r="P289" i="9" s="1"/>
  <c r="O285" i="9"/>
  <c r="P285" i="9" s="1"/>
  <c r="O281" i="9"/>
  <c r="P281" i="9" s="1"/>
  <c r="O277" i="9"/>
  <c r="P277" i="9" s="1"/>
  <c r="O273" i="9"/>
  <c r="P273" i="9" s="1"/>
  <c r="O269" i="9"/>
  <c r="P269" i="9" s="1"/>
  <c r="O265" i="9"/>
  <c r="P265" i="9" s="1"/>
  <c r="O261" i="9"/>
  <c r="P261" i="9" s="1"/>
  <c r="O257" i="9"/>
  <c r="P257" i="9" s="1"/>
  <c r="O253" i="9"/>
  <c r="P253" i="9" s="1"/>
  <c r="O249" i="9"/>
  <c r="P249" i="9" s="1"/>
  <c r="O245" i="9"/>
  <c r="P245" i="9" s="1"/>
  <c r="O241" i="9"/>
  <c r="P241" i="9" s="1"/>
  <c r="O237" i="9"/>
  <c r="P237" i="9" s="1"/>
  <c r="O233" i="9"/>
  <c r="P233" i="9" s="1"/>
  <c r="O229" i="9"/>
  <c r="P229" i="9" s="1"/>
  <c r="O225" i="9"/>
  <c r="P225" i="9" s="1"/>
  <c r="O221" i="9"/>
  <c r="P221" i="9" s="1"/>
  <c r="O217" i="9"/>
  <c r="P217" i="9" s="1"/>
  <c r="O213" i="9"/>
  <c r="P213" i="9" s="1"/>
  <c r="O209" i="9"/>
  <c r="P209" i="9" s="1"/>
  <c r="O205" i="9"/>
  <c r="P205" i="9" s="1"/>
  <c r="O201" i="9"/>
  <c r="P201" i="9" s="1"/>
  <c r="O197" i="9"/>
  <c r="P197" i="9" s="1"/>
  <c r="O193" i="9"/>
  <c r="P193" i="9" s="1"/>
  <c r="O278" i="9"/>
  <c r="P278" i="9" s="1"/>
  <c r="O246" i="9"/>
  <c r="P246" i="9" s="1"/>
  <c r="O226" i="9"/>
  <c r="P226" i="9" s="1"/>
  <c r="O219" i="9"/>
  <c r="P219" i="9" s="1"/>
  <c r="O311" i="9"/>
  <c r="P311" i="9" s="1"/>
  <c r="O298" i="9"/>
  <c r="P298" i="9" s="1"/>
  <c r="O294" i="9"/>
  <c r="P294" i="9" s="1"/>
  <c r="O283" i="9"/>
  <c r="P283" i="9" s="1"/>
  <c r="O258" i="9"/>
  <c r="P258" i="9" s="1"/>
  <c r="O206" i="9"/>
  <c r="P206" i="9" s="1"/>
  <c r="O195" i="9"/>
  <c r="P195" i="9" s="1"/>
  <c r="O190" i="9"/>
  <c r="P190" i="9" s="1"/>
  <c r="O186" i="9"/>
  <c r="P186" i="9" s="1"/>
  <c r="O182" i="9"/>
  <c r="P182" i="9" s="1"/>
  <c r="O178" i="9"/>
  <c r="P178" i="9" s="1"/>
  <c r="O174" i="9"/>
  <c r="P174" i="9" s="1"/>
  <c r="O170" i="9"/>
  <c r="P170" i="9" s="1"/>
  <c r="O166" i="9"/>
  <c r="P166" i="9" s="1"/>
  <c r="O162" i="9"/>
  <c r="P162" i="9" s="1"/>
  <c r="O158" i="9"/>
  <c r="P158" i="9" s="1"/>
  <c r="O154" i="9"/>
  <c r="P154" i="9" s="1"/>
  <c r="O302" i="9"/>
  <c r="P302" i="9" s="1"/>
  <c r="O290" i="9"/>
  <c r="P290" i="9" s="1"/>
  <c r="O267" i="9"/>
  <c r="P267" i="9" s="1"/>
  <c r="O251" i="9"/>
  <c r="P251" i="9" s="1"/>
  <c r="O235" i="9"/>
  <c r="P235" i="9" s="1"/>
  <c r="O215" i="9"/>
  <c r="P215" i="9" s="1"/>
  <c r="O274" i="9"/>
  <c r="P274" i="9" s="1"/>
  <c r="O242" i="9"/>
  <c r="P242" i="9" s="1"/>
  <c r="O202" i="9"/>
  <c r="P202" i="9" s="1"/>
  <c r="O315" i="9"/>
  <c r="P315" i="9" s="1"/>
  <c r="O306" i="9"/>
  <c r="P306" i="9" s="1"/>
  <c r="O286" i="9"/>
  <c r="P286" i="9" s="1"/>
  <c r="O263" i="9"/>
  <c r="P263" i="9" s="1"/>
  <c r="O231" i="9"/>
  <c r="P231" i="9" s="1"/>
  <c r="O222" i="9"/>
  <c r="P222" i="9" s="1"/>
  <c r="O211" i="9"/>
  <c r="P211" i="9" s="1"/>
  <c r="O191" i="9"/>
  <c r="P191" i="9" s="1"/>
  <c r="O187" i="9"/>
  <c r="P187" i="9" s="1"/>
  <c r="O183" i="9"/>
  <c r="P183" i="9" s="1"/>
  <c r="O179" i="9"/>
  <c r="P179" i="9" s="1"/>
  <c r="O175" i="9"/>
  <c r="P175" i="9" s="1"/>
  <c r="O171" i="9"/>
  <c r="P171" i="9" s="1"/>
  <c r="O167" i="9"/>
  <c r="P167" i="9" s="1"/>
  <c r="O163" i="9"/>
  <c r="P163" i="9" s="1"/>
  <c r="O159" i="9"/>
  <c r="P159" i="9" s="1"/>
  <c r="O155" i="9"/>
  <c r="P155" i="9" s="1"/>
  <c r="O279" i="9"/>
  <c r="P279" i="9" s="1"/>
  <c r="O254" i="9"/>
  <c r="P254" i="9" s="1"/>
  <c r="O238" i="9"/>
  <c r="P238" i="9" s="1"/>
  <c r="O198" i="9"/>
  <c r="P198" i="9" s="1"/>
  <c r="O310" i="9"/>
  <c r="P310" i="9" s="1"/>
  <c r="O295" i="9"/>
  <c r="P295" i="9" s="1"/>
  <c r="O270" i="9"/>
  <c r="P270" i="9" s="1"/>
  <c r="O247" i="9"/>
  <c r="P247" i="9" s="1"/>
  <c r="O227" i="9"/>
  <c r="P227" i="9" s="1"/>
  <c r="O218" i="9"/>
  <c r="P218" i="9" s="1"/>
  <c r="O299" i="9"/>
  <c r="P299" i="9" s="1"/>
  <c r="O291" i="9"/>
  <c r="P291" i="9" s="1"/>
  <c r="O259" i="9"/>
  <c r="P259" i="9" s="1"/>
  <c r="O314" i="9"/>
  <c r="P314" i="9" s="1"/>
  <c r="O271" i="9"/>
  <c r="P271" i="9" s="1"/>
  <c r="O194" i="9"/>
  <c r="P194" i="9" s="1"/>
  <c r="O152" i="9"/>
  <c r="P152" i="9" s="1"/>
  <c r="O282" i="9"/>
  <c r="P282" i="9" s="1"/>
  <c r="O210" i="9"/>
  <c r="P210" i="9" s="1"/>
  <c r="O207" i="9"/>
  <c r="P207" i="9" s="1"/>
  <c r="O184" i="9"/>
  <c r="P184" i="9" s="1"/>
  <c r="O160" i="9"/>
  <c r="P160" i="9" s="1"/>
  <c r="O149" i="9"/>
  <c r="P149" i="9" s="1"/>
  <c r="O250" i="9"/>
  <c r="P250" i="9" s="1"/>
  <c r="O169" i="9"/>
  <c r="P169" i="9" s="1"/>
  <c r="O146" i="9"/>
  <c r="P146" i="9" s="1"/>
  <c r="O143" i="9"/>
  <c r="P143" i="9" s="1"/>
  <c r="O136" i="9"/>
  <c r="P136" i="9" s="1"/>
  <c r="O132" i="9"/>
  <c r="P132" i="9" s="1"/>
  <c r="O128" i="9"/>
  <c r="P128" i="9" s="1"/>
  <c r="O124" i="9"/>
  <c r="P124" i="9" s="1"/>
  <c r="O120" i="9"/>
  <c r="P120" i="9" s="1"/>
  <c r="O116" i="9"/>
  <c r="P116" i="9" s="1"/>
  <c r="O112" i="9"/>
  <c r="P112" i="9" s="1"/>
  <c r="O108" i="9"/>
  <c r="P108" i="9" s="1"/>
  <c r="O104" i="9"/>
  <c r="P104" i="9" s="1"/>
  <c r="O100" i="9"/>
  <c r="P100" i="9" s="1"/>
  <c r="O96" i="9"/>
  <c r="P96" i="9" s="1"/>
  <c r="O92" i="9"/>
  <c r="P92" i="9" s="1"/>
  <c r="O88" i="9"/>
  <c r="P88" i="9" s="1"/>
  <c r="O84" i="9"/>
  <c r="P84" i="9" s="1"/>
  <c r="O80" i="9"/>
  <c r="P80" i="9" s="1"/>
  <c r="O76" i="9"/>
  <c r="P76" i="9" s="1"/>
  <c r="O199" i="9"/>
  <c r="P199" i="9" s="1"/>
  <c r="O180" i="9"/>
  <c r="P180" i="9" s="1"/>
  <c r="O165" i="9"/>
  <c r="P165" i="9" s="1"/>
  <c r="O140" i="9"/>
  <c r="P140" i="9" s="1"/>
  <c r="O243" i="9"/>
  <c r="P243" i="9" s="1"/>
  <c r="O234" i="9"/>
  <c r="P234" i="9" s="1"/>
  <c r="O189" i="9"/>
  <c r="P189" i="9" s="1"/>
  <c r="O287" i="9"/>
  <c r="P287" i="9" s="1"/>
  <c r="O275" i="9"/>
  <c r="P275" i="9" s="1"/>
  <c r="O303" i="9"/>
  <c r="P303" i="9" s="1"/>
  <c r="O203" i="9"/>
  <c r="P203" i="9" s="1"/>
  <c r="O188" i="9"/>
  <c r="P188" i="9" s="1"/>
  <c r="O115" i="9"/>
  <c r="P115" i="9" s="1"/>
  <c r="O93" i="9"/>
  <c r="P93" i="9" s="1"/>
  <c r="O83" i="9"/>
  <c r="P83" i="9" s="1"/>
  <c r="O85" i="9"/>
  <c r="P85" i="9" s="1"/>
  <c r="O266" i="9"/>
  <c r="P266" i="9" s="1"/>
  <c r="O239" i="9"/>
  <c r="P239" i="9" s="1"/>
  <c r="O176" i="9"/>
  <c r="P176" i="9" s="1"/>
  <c r="O172" i="9"/>
  <c r="P172" i="9" s="1"/>
  <c r="O122" i="9"/>
  <c r="P122" i="9" s="1"/>
  <c r="O113" i="9"/>
  <c r="P113" i="9" s="1"/>
  <c r="O103" i="9"/>
  <c r="P103" i="9" s="1"/>
  <c r="O81" i="9"/>
  <c r="P81" i="9" s="1"/>
  <c r="O73" i="9"/>
  <c r="P73" i="9" s="1"/>
  <c r="O69" i="9"/>
  <c r="P69" i="9" s="1"/>
  <c r="O65" i="9"/>
  <c r="P65" i="9" s="1"/>
  <c r="O61" i="9"/>
  <c r="P61" i="9" s="1"/>
  <c r="O57" i="9"/>
  <c r="P57" i="9" s="1"/>
  <c r="O53" i="9"/>
  <c r="P53" i="9" s="1"/>
  <c r="O49" i="9"/>
  <c r="P49" i="9" s="1"/>
  <c r="O45" i="9"/>
  <c r="P45" i="9" s="1"/>
  <c r="O41" i="9"/>
  <c r="P41" i="9" s="1"/>
  <c r="O37" i="9"/>
  <c r="P37" i="9" s="1"/>
  <c r="O33" i="9"/>
  <c r="P33" i="9" s="1"/>
  <c r="O29" i="9"/>
  <c r="P29" i="9" s="1"/>
  <c r="O25" i="9"/>
  <c r="P25" i="9" s="1"/>
  <c r="O21" i="9"/>
  <c r="P21" i="9" s="1"/>
  <c r="O17" i="9"/>
  <c r="P17" i="9" s="1"/>
  <c r="O119" i="9"/>
  <c r="P119" i="9" s="1"/>
  <c r="O90" i="9"/>
  <c r="P90" i="9" s="1"/>
  <c r="O262" i="9"/>
  <c r="P262" i="9" s="1"/>
  <c r="O185" i="9"/>
  <c r="P185" i="9" s="1"/>
  <c r="O164" i="9"/>
  <c r="P164" i="9" s="1"/>
  <c r="O151" i="9"/>
  <c r="P151" i="9" s="1"/>
  <c r="O147" i="9"/>
  <c r="P147" i="9" s="1"/>
  <c r="O145" i="9"/>
  <c r="P145" i="9" s="1"/>
  <c r="O106" i="9"/>
  <c r="P106" i="9" s="1"/>
  <c r="O101" i="9"/>
  <c r="P101" i="9" s="1"/>
  <c r="O86" i="9"/>
  <c r="P86" i="9" s="1"/>
  <c r="F8" i="9"/>
  <c r="O153" i="9"/>
  <c r="P153" i="9" s="1"/>
  <c r="O118" i="9"/>
  <c r="P118" i="9" s="1"/>
  <c r="O111" i="9"/>
  <c r="P111" i="9" s="1"/>
  <c r="O91" i="9"/>
  <c r="P91" i="9" s="1"/>
  <c r="O307" i="9"/>
  <c r="P307" i="9" s="1"/>
  <c r="O255" i="9"/>
  <c r="P255" i="9" s="1"/>
  <c r="O141" i="9"/>
  <c r="P141" i="9" s="1"/>
  <c r="O139" i="9"/>
  <c r="P139" i="9" s="1"/>
  <c r="O137" i="9"/>
  <c r="P137" i="9" s="1"/>
  <c r="O94" i="9"/>
  <c r="P94" i="9" s="1"/>
  <c r="O79" i="9"/>
  <c r="P79" i="9" s="1"/>
  <c r="O74" i="9"/>
  <c r="P74" i="9" s="1"/>
  <c r="O70" i="9"/>
  <c r="P70" i="9" s="1"/>
  <c r="O66" i="9"/>
  <c r="P66" i="9" s="1"/>
  <c r="O62" i="9"/>
  <c r="P62" i="9" s="1"/>
  <c r="O58" i="9"/>
  <c r="P58" i="9" s="1"/>
  <c r="O54" i="9"/>
  <c r="P54" i="9" s="1"/>
  <c r="O50" i="9"/>
  <c r="P50" i="9" s="1"/>
  <c r="O46" i="9"/>
  <c r="P46" i="9" s="1"/>
  <c r="O42" i="9"/>
  <c r="P42" i="9" s="1"/>
  <c r="O38" i="9"/>
  <c r="P38" i="9" s="1"/>
  <c r="O34" i="9"/>
  <c r="P34" i="9" s="1"/>
  <c r="O30" i="9"/>
  <c r="P30" i="9" s="1"/>
  <c r="O26" i="9"/>
  <c r="P26" i="9" s="1"/>
  <c r="O22" i="9"/>
  <c r="P22" i="9" s="1"/>
  <c r="O18" i="9"/>
  <c r="P18" i="9" s="1"/>
  <c r="O14" i="9"/>
  <c r="P14" i="9" s="1"/>
  <c r="O157" i="9"/>
  <c r="P157" i="9" s="1"/>
  <c r="O135" i="9"/>
  <c r="P135" i="9" s="1"/>
  <c r="O133" i="9"/>
  <c r="P133" i="9" s="1"/>
  <c r="O129" i="9"/>
  <c r="P129" i="9" s="1"/>
  <c r="O125" i="9"/>
  <c r="P125" i="9" s="1"/>
  <c r="O109" i="9"/>
  <c r="P109" i="9" s="1"/>
  <c r="O99" i="9"/>
  <c r="P99" i="9" s="1"/>
  <c r="O89" i="9"/>
  <c r="P89" i="9" s="1"/>
  <c r="O77" i="9"/>
  <c r="P77" i="9" s="1"/>
  <c r="O214" i="9"/>
  <c r="P214" i="9" s="1"/>
  <c r="O173" i="9"/>
  <c r="P173" i="9" s="1"/>
  <c r="O131" i="9"/>
  <c r="P131" i="9" s="1"/>
  <c r="O127" i="9"/>
  <c r="P127" i="9" s="1"/>
  <c r="O114" i="9"/>
  <c r="P114" i="9" s="1"/>
  <c r="O82" i="9"/>
  <c r="P82" i="9" s="1"/>
  <c r="O150" i="9"/>
  <c r="P150" i="9" s="1"/>
  <c r="O110" i="9"/>
  <c r="P110" i="9" s="1"/>
  <c r="O230" i="9"/>
  <c r="P230" i="9" s="1"/>
  <c r="O177" i="9"/>
  <c r="P177" i="9" s="1"/>
  <c r="O168" i="9"/>
  <c r="P168" i="9" s="1"/>
  <c r="O161" i="9"/>
  <c r="P161" i="9" s="1"/>
  <c r="O123" i="9"/>
  <c r="P123" i="9" s="1"/>
  <c r="O121" i="9"/>
  <c r="P121" i="9" s="1"/>
  <c r="O102" i="9"/>
  <c r="P102" i="9" s="1"/>
  <c r="O97" i="9"/>
  <c r="P97" i="9" s="1"/>
  <c r="O71" i="9"/>
  <c r="P71" i="9" s="1"/>
  <c r="O67" i="9"/>
  <c r="P67" i="9" s="1"/>
  <c r="O63" i="9"/>
  <c r="P63" i="9" s="1"/>
  <c r="O59" i="9"/>
  <c r="P59" i="9" s="1"/>
  <c r="O55" i="9"/>
  <c r="P55" i="9" s="1"/>
  <c r="O51" i="9"/>
  <c r="P51" i="9" s="1"/>
  <c r="O47" i="9"/>
  <c r="P47" i="9" s="1"/>
  <c r="O43" i="9"/>
  <c r="P43" i="9" s="1"/>
  <c r="O39" i="9"/>
  <c r="P39" i="9" s="1"/>
  <c r="O35" i="9"/>
  <c r="P35" i="9" s="1"/>
  <c r="O31" i="9"/>
  <c r="P31" i="9" s="1"/>
  <c r="O27" i="9"/>
  <c r="P27" i="9" s="1"/>
  <c r="O23" i="9"/>
  <c r="P23" i="9" s="1"/>
  <c r="O19" i="9"/>
  <c r="P19" i="9" s="1"/>
  <c r="O15" i="9"/>
  <c r="P15" i="9" s="1"/>
  <c r="O148" i="9"/>
  <c r="P148" i="9" s="1"/>
  <c r="O107" i="9"/>
  <c r="P107" i="9" s="1"/>
  <c r="O87" i="9"/>
  <c r="P87" i="9" s="1"/>
  <c r="O75" i="9"/>
  <c r="P75" i="9" s="1"/>
  <c r="O181" i="9"/>
  <c r="P181" i="9" s="1"/>
  <c r="O144" i="9"/>
  <c r="P144" i="9" s="1"/>
  <c r="O138" i="9"/>
  <c r="P138" i="9" s="1"/>
  <c r="O156" i="9"/>
  <c r="P156" i="9" s="1"/>
  <c r="O142" i="9"/>
  <c r="P142" i="9" s="1"/>
  <c r="O134" i="9"/>
  <c r="P134" i="9" s="1"/>
  <c r="O117" i="9"/>
  <c r="P117" i="9" s="1"/>
  <c r="O105" i="9"/>
  <c r="P105" i="9" s="1"/>
  <c r="O95" i="9"/>
  <c r="P95" i="9" s="1"/>
  <c r="O78" i="9"/>
  <c r="P78" i="9" s="1"/>
  <c r="O72" i="9"/>
  <c r="P72" i="9" s="1"/>
  <c r="O68" i="9"/>
  <c r="P68" i="9" s="1"/>
  <c r="O64" i="9"/>
  <c r="P64" i="9" s="1"/>
  <c r="O60" i="9"/>
  <c r="P60" i="9" s="1"/>
  <c r="O56" i="9"/>
  <c r="P56" i="9" s="1"/>
  <c r="O52" i="9"/>
  <c r="P52" i="9" s="1"/>
  <c r="O48" i="9"/>
  <c r="P48" i="9" s="1"/>
  <c r="O44" i="9"/>
  <c r="P44" i="9" s="1"/>
  <c r="O40" i="9"/>
  <c r="P40" i="9" s="1"/>
  <c r="O36" i="9"/>
  <c r="P36" i="9" s="1"/>
  <c r="O32" i="9"/>
  <c r="P32" i="9" s="1"/>
  <c r="O28" i="9"/>
  <c r="P28" i="9" s="1"/>
  <c r="O24" i="9"/>
  <c r="P24" i="9" s="1"/>
  <c r="O20" i="9"/>
  <c r="P20" i="9" s="1"/>
  <c r="O16" i="9"/>
  <c r="P16" i="9" s="1"/>
  <c r="O223" i="9"/>
  <c r="P223" i="9" s="1"/>
  <c r="O130" i="9"/>
  <c r="P130" i="9" s="1"/>
  <c r="O126" i="9"/>
  <c r="P126" i="9" s="1"/>
  <c r="O98" i="9"/>
  <c r="P98" i="9" s="1"/>
  <c r="BE1847" i="7"/>
  <c r="BF1847" i="7" s="1"/>
  <c r="BE1274" i="7"/>
  <c r="BF1274" i="7" s="1"/>
  <c r="BD55" i="8"/>
  <c r="BC55" i="8"/>
  <c r="BC53" i="8"/>
  <c r="BC76" i="8"/>
  <c r="BE178" i="7"/>
  <c r="BF178" i="7" s="1"/>
  <c r="CP49" i="1"/>
  <c r="BE2067" i="7"/>
  <c r="BF2067" i="7" s="1"/>
  <c r="CL153" i="1"/>
  <c r="CQ153" i="1" s="1"/>
  <c r="CT153" i="1" s="1"/>
  <c r="CL259" i="1"/>
  <c r="CQ259" i="1" s="1"/>
  <c r="CT259" i="1" s="1"/>
  <c r="CM108" i="1"/>
  <c r="CP123" i="1"/>
  <c r="CP290" i="1"/>
  <c r="CN173" i="1"/>
  <c r="BE504" i="7"/>
  <c r="BF504" i="7" s="1"/>
  <c r="CL224" i="1"/>
  <c r="CQ224" i="1" s="1"/>
  <c r="CT224" i="1" s="1"/>
  <c r="CL38" i="1"/>
  <c r="CQ38" i="1" s="1"/>
  <c r="CT38" i="1" s="1"/>
  <c r="CM230" i="1"/>
  <c r="CP187" i="1"/>
  <c r="CP181" i="1"/>
  <c r="CN74" i="1"/>
  <c r="CP292" i="1"/>
  <c r="CR292" i="1" s="1"/>
  <c r="CS292" i="1" s="1"/>
  <c r="CU292" i="1" s="1"/>
  <c r="CX292" i="1" s="1"/>
  <c r="CL51" i="1"/>
  <c r="CQ51" i="1" s="1"/>
  <c r="CT51" i="1" s="1"/>
  <c r="CL116" i="1"/>
  <c r="CQ116" i="1" s="1"/>
  <c r="CT116" i="1" s="1"/>
  <c r="CL140" i="1"/>
  <c r="CQ140" i="1" s="1"/>
  <c r="CT140" i="1" s="1"/>
  <c r="CM11" i="1"/>
  <c r="CM296" i="1"/>
  <c r="CP283" i="1"/>
  <c r="CP227" i="1"/>
  <c r="CL82" i="1"/>
  <c r="CQ82" i="1" s="1"/>
  <c r="CT82" i="1" s="1"/>
  <c r="CL48" i="1"/>
  <c r="CQ48" i="1" s="1"/>
  <c r="CT48" i="1" s="1"/>
  <c r="CM39" i="1"/>
  <c r="CM95" i="1"/>
  <c r="CP272" i="1"/>
  <c r="CR272" i="1" s="1"/>
  <c r="CS272" i="1" s="1"/>
  <c r="CU272" i="1" s="1"/>
  <c r="CO96" i="1"/>
  <c r="CM79" i="1"/>
  <c r="CP52" i="1"/>
  <c r="CO191" i="1"/>
  <c r="CL47" i="1"/>
  <c r="CQ47" i="1" s="1"/>
  <c r="CT47" i="1" s="1"/>
  <c r="CL266" i="1"/>
  <c r="CQ266" i="1" s="1"/>
  <c r="CT266" i="1" s="1"/>
  <c r="CM214" i="1"/>
  <c r="CM179" i="1"/>
  <c r="CP85" i="1"/>
  <c r="CO145" i="1"/>
  <c r="BD1975" i="7"/>
  <c r="BE1975" i="7" s="1"/>
  <c r="CL93" i="1"/>
  <c r="CQ93" i="1" s="1"/>
  <c r="CT93" i="1" s="1"/>
  <c r="CL297" i="1"/>
  <c r="CQ297" i="1" s="1"/>
  <c r="CT297" i="1" s="1"/>
  <c r="CM184" i="1"/>
  <c r="CM62" i="1"/>
  <c r="CP133" i="1"/>
  <c r="CO30" i="1"/>
  <c r="CL60" i="1"/>
  <c r="CQ60" i="1" s="1"/>
  <c r="CT60" i="1" s="1"/>
  <c r="CL19" i="1"/>
  <c r="CM276" i="1"/>
  <c r="CN100" i="1"/>
  <c r="CP136" i="1"/>
  <c r="CR136" i="1" s="1"/>
  <c r="CS136" i="1" s="1"/>
  <c r="CU136" i="1" s="1"/>
  <c r="CO196" i="1"/>
  <c r="CL94" i="1"/>
  <c r="CQ94" i="1" s="1"/>
  <c r="CT94" i="1" s="1"/>
  <c r="CL165" i="1"/>
  <c r="CQ165" i="1" s="1"/>
  <c r="CT165" i="1" s="1"/>
  <c r="CP50" i="1"/>
  <c r="CP192" i="1"/>
  <c r="CR192" i="1" s="1"/>
  <c r="CS192" i="1" s="1"/>
  <c r="CU192" i="1" s="1"/>
  <c r="CN78" i="1"/>
  <c r="BI1859" i="7"/>
  <c r="BI1853" i="7"/>
  <c r="BI1407" i="7"/>
  <c r="BI1003" i="7"/>
  <c r="CN88" i="1"/>
  <c r="CN75" i="1"/>
  <c r="BH89" i="8"/>
  <c r="BH85" i="8"/>
  <c r="BH81" i="8"/>
  <c r="BH77" i="8"/>
  <c r="BH73" i="8"/>
  <c r="BH69" i="8"/>
  <c r="BH65" i="8"/>
  <c r="BH61" i="8"/>
  <c r="BH90" i="8"/>
  <c r="BH86" i="8"/>
  <c r="BH82" i="8"/>
  <c r="BH78" i="8"/>
  <c r="BH74" i="8"/>
  <c r="BH70" i="8"/>
  <c r="BH66" i="8"/>
  <c r="BH62" i="8"/>
  <c r="BH3" i="8"/>
  <c r="BH68" i="8"/>
  <c r="BH9" i="8"/>
  <c r="BH79" i="8"/>
  <c r="BH88" i="8"/>
  <c r="BH64" i="8"/>
  <c r="BH5" i="8"/>
  <c r="BH84" i="8"/>
  <c r="BH71" i="8"/>
  <c r="BH87" i="8"/>
  <c r="BH63" i="8"/>
  <c r="BH6" i="8"/>
  <c r="BH10" i="8"/>
  <c r="BH58" i="8"/>
  <c r="BH75" i="8"/>
  <c r="BH60" i="8"/>
  <c r="BH4" i="8"/>
  <c r="BH8" i="8"/>
  <c r="BH76" i="8"/>
  <c r="BH83" i="8"/>
  <c r="BH67" i="8"/>
  <c r="BH59" i="8"/>
  <c r="BH7" i="8"/>
  <c r="BH72" i="8"/>
  <c r="BH80" i="8"/>
  <c r="BH1178" i="7"/>
  <c r="BH419" i="7"/>
  <c r="BH811" i="7"/>
  <c r="BH427" i="7"/>
  <c r="BH48" i="7"/>
  <c r="BH395" i="7"/>
  <c r="BH369" i="7"/>
  <c r="BH867" i="7"/>
  <c r="BH886" i="7"/>
  <c r="BH421" i="7"/>
  <c r="BH661" i="7"/>
  <c r="BH424" i="7"/>
  <c r="BH1910" i="7"/>
  <c r="BH429" i="7"/>
  <c r="BH1497" i="7"/>
  <c r="BH381" i="7"/>
  <c r="BH826" i="7"/>
  <c r="BH631" i="7"/>
  <c r="BH593" i="7"/>
  <c r="BH550" i="7"/>
  <c r="BH27" i="7"/>
  <c r="BH39" i="7"/>
  <c r="BH890" i="7"/>
  <c r="BH384" i="7"/>
  <c r="BH409" i="7"/>
  <c r="BH1942" i="7"/>
  <c r="BH388" i="7"/>
  <c r="BH209" i="7"/>
  <c r="BH787" i="7"/>
  <c r="BH356" i="7"/>
  <c r="BH28" i="7"/>
  <c r="BH40" i="7"/>
  <c r="BH805" i="7"/>
  <c r="BH385" i="7"/>
  <c r="BH29" i="7"/>
  <c r="BH41" i="7"/>
  <c r="BH1511" i="7"/>
  <c r="BH462" i="7"/>
  <c r="BH529" i="7"/>
  <c r="BH53" i="7"/>
  <c r="BH438" i="7"/>
  <c r="BH383" i="7"/>
  <c r="BH563" i="7"/>
  <c r="BH1699" i="7"/>
  <c r="BH290" i="7"/>
  <c r="BH30" i="7"/>
  <c r="BH250" i="7"/>
  <c r="BH206" i="7"/>
  <c r="BH304" i="7"/>
  <c r="BH417" i="7"/>
  <c r="BH435" i="7"/>
  <c r="BH1909" i="7"/>
  <c r="BH23" i="7"/>
  <c r="BH1017" i="7"/>
  <c r="BH910" i="7"/>
  <c r="BH2011" i="7"/>
  <c r="BH1268" i="7"/>
  <c r="BH1134" i="7"/>
  <c r="BH1629" i="7"/>
  <c r="BH974" i="7"/>
  <c r="BH1260" i="7"/>
  <c r="BH964" i="7"/>
  <c r="BH1419" i="7"/>
  <c r="BH632" i="7"/>
  <c r="BH1457" i="7"/>
  <c r="BH1231" i="7"/>
  <c r="BH382" i="7"/>
  <c r="BH467" i="7"/>
  <c r="BH116" i="7"/>
  <c r="BH31" i="7"/>
  <c r="BH91" i="7"/>
  <c r="BH207" i="7"/>
  <c r="BH147" i="7"/>
  <c r="BH418" i="7"/>
  <c r="BH1206" i="7"/>
  <c r="BH17" i="7"/>
  <c r="BH35" i="7"/>
  <c r="BH1078" i="7"/>
  <c r="BH768" i="7"/>
  <c r="BH833" i="7"/>
  <c r="BH358" i="7"/>
  <c r="BH1266" i="7"/>
  <c r="BH154" i="7"/>
  <c r="BH280" i="7"/>
  <c r="BH1956" i="7"/>
  <c r="BH611" i="7"/>
  <c r="BH1996" i="7"/>
  <c r="BH1001" i="7"/>
  <c r="BH1076" i="7"/>
  <c r="BH263" i="7"/>
  <c r="BH335" i="7"/>
  <c r="BH1032" i="7"/>
  <c r="BH494" i="7"/>
  <c r="BH1280" i="7"/>
  <c r="BH1823" i="7"/>
  <c r="BH1175" i="7"/>
  <c r="BH499" i="7"/>
  <c r="BH1124" i="7"/>
  <c r="BH1584" i="7"/>
  <c r="BH359" i="7"/>
  <c r="BH681" i="7"/>
  <c r="BH2252" i="7"/>
  <c r="BH1945" i="7"/>
  <c r="BH104" i="7"/>
  <c r="BH1284" i="7"/>
  <c r="BH37" i="7"/>
  <c r="BH90" i="7"/>
  <c r="BH46" i="7"/>
  <c r="BH1919" i="7"/>
  <c r="BH1500" i="7"/>
  <c r="BH1319" i="7"/>
  <c r="BH1541" i="7"/>
  <c r="BH155" i="7"/>
  <c r="BH198" i="7"/>
  <c r="BH2261" i="7"/>
  <c r="BH1336" i="7"/>
  <c r="BH1877" i="7"/>
  <c r="BH509" i="7"/>
  <c r="BH672" i="7"/>
  <c r="BH2034" i="7"/>
  <c r="BH343" i="7"/>
  <c r="BH997" i="7"/>
  <c r="BH706" i="7"/>
  <c r="BH2235" i="7"/>
  <c r="BH773" i="7"/>
  <c r="BH1716" i="7"/>
  <c r="BH1331" i="7"/>
  <c r="BH925" i="7"/>
  <c r="BH38" i="7"/>
  <c r="BH1813" i="7"/>
  <c r="BH968" i="7"/>
  <c r="BH12" i="7"/>
  <c r="BH54" i="7"/>
  <c r="BH1795" i="7"/>
  <c r="BH1315" i="7"/>
  <c r="BH2073" i="7"/>
  <c r="BH1140" i="7"/>
  <c r="BH1081" i="7"/>
  <c r="BH517" i="7"/>
  <c r="BH1554" i="7"/>
  <c r="BH855" i="7"/>
  <c r="BH1170" i="7"/>
  <c r="BH444" i="7"/>
  <c r="BH267" i="7"/>
  <c r="BH1248" i="7"/>
  <c r="BH2025" i="7"/>
  <c r="BH1750" i="7"/>
  <c r="BH1435" i="7"/>
  <c r="BH1841" i="7"/>
  <c r="BH1392" i="7"/>
  <c r="BH328" i="7"/>
  <c r="BH682" i="7"/>
  <c r="BH399" i="7"/>
  <c r="BH403" i="7"/>
  <c r="BH339" i="7"/>
  <c r="BH1325" i="7"/>
  <c r="BH698" i="7"/>
  <c r="BH897" i="7"/>
  <c r="BH1707" i="7"/>
  <c r="BH753" i="7"/>
  <c r="BH604" i="7"/>
  <c r="BH519" i="7"/>
  <c r="BH475" i="7"/>
  <c r="BH751" i="7"/>
  <c r="BH566" i="7"/>
  <c r="BH1933" i="7"/>
  <c r="BH1355" i="7"/>
  <c r="BH295" i="7"/>
  <c r="BH2010" i="7"/>
  <c r="BH1523" i="7"/>
  <c r="BH760" i="7"/>
  <c r="BH1755" i="7"/>
  <c r="BH877" i="7"/>
  <c r="BH1534" i="7"/>
  <c r="BH495" i="7"/>
  <c r="BH1891" i="7"/>
  <c r="BH1108" i="7"/>
  <c r="BH2067" i="7"/>
  <c r="BH2129" i="7"/>
  <c r="BH1104" i="7"/>
  <c r="BH1701" i="7"/>
  <c r="BH62" i="7"/>
  <c r="BH732" i="7"/>
  <c r="BH1903" i="7"/>
  <c r="BH2114" i="7"/>
  <c r="BH1899" i="7"/>
  <c r="BH8" i="7"/>
  <c r="BH847" i="7"/>
  <c r="BH1243" i="7"/>
  <c r="BH1730" i="7"/>
  <c r="BH1198" i="7"/>
  <c r="BH508" i="7"/>
  <c r="BH473" i="7"/>
  <c r="BH1458" i="7"/>
  <c r="BH1265" i="7"/>
  <c r="BH149" i="7"/>
  <c r="BH1245" i="7"/>
  <c r="BH1481" i="7"/>
  <c r="BH456" i="7"/>
  <c r="BH663" i="7"/>
  <c r="BH1283" i="7"/>
  <c r="BH296" i="7"/>
  <c r="BH703" i="7"/>
  <c r="BH1438" i="7"/>
  <c r="BH1839" i="7"/>
  <c r="BH1964" i="7"/>
  <c r="BH1745" i="7"/>
  <c r="BH978" i="7"/>
  <c r="BH708" i="7"/>
  <c r="BH1122" i="7"/>
  <c r="BH128" i="7"/>
  <c r="BH2227" i="7"/>
  <c r="BH2277" i="7"/>
  <c r="BH341" i="7"/>
  <c r="BH410" i="7"/>
  <c r="BH50" i="7"/>
  <c r="BH714" i="7"/>
  <c r="BH132" i="7"/>
  <c r="BH33" i="7"/>
  <c r="BH1374" i="7"/>
  <c r="BH608" i="7"/>
  <c r="BH1347" i="7"/>
  <c r="BH22" i="7"/>
  <c r="BH1073" i="7"/>
  <c r="BH437" i="7"/>
  <c r="BH244" i="7"/>
  <c r="BH325" i="7"/>
  <c r="BH200" i="7"/>
  <c r="BH1028" i="7"/>
  <c r="BH121" i="7"/>
  <c r="BH951" i="7"/>
  <c r="BH701" i="7"/>
  <c r="BH1743" i="7"/>
  <c r="BH1970" i="7"/>
  <c r="BH2" i="7"/>
  <c r="BH1981" i="7"/>
  <c r="BH834" i="7"/>
  <c r="BH1577" i="7"/>
  <c r="BH2124" i="7"/>
  <c r="BH1831" i="7"/>
  <c r="BH453" i="7"/>
  <c r="BH2059" i="7"/>
  <c r="BH2222" i="7"/>
  <c r="BH2241" i="7"/>
  <c r="BH1588" i="7"/>
  <c r="BH734" i="7"/>
  <c r="BH603" i="7"/>
  <c r="BH889" i="7"/>
  <c r="BH415" i="7"/>
  <c r="BH679" i="7"/>
  <c r="BH1608" i="7"/>
  <c r="BH1642" i="7"/>
  <c r="BH870" i="7"/>
  <c r="BH1659" i="7"/>
  <c r="BH297" i="7"/>
  <c r="BH21" i="7"/>
  <c r="BH1912" i="7"/>
  <c r="BH1360" i="7"/>
  <c r="BH657" i="7"/>
  <c r="BH148" i="7"/>
  <c r="BH1137" i="7"/>
  <c r="BH2125" i="7"/>
  <c r="BH1310" i="7"/>
  <c r="BH210" i="7"/>
  <c r="BH1382" i="7"/>
  <c r="BH861" i="7"/>
  <c r="BH1126" i="7"/>
  <c r="BH635" i="7"/>
  <c r="BH1726" i="7"/>
  <c r="BH917" i="7"/>
  <c r="BH2276" i="7"/>
  <c r="BH1295" i="7"/>
  <c r="BH2026" i="7"/>
  <c r="BH1967" i="7"/>
  <c r="BH1312" i="7"/>
  <c r="BH587" i="7"/>
  <c r="BH47" i="7"/>
  <c r="BH2143" i="7"/>
  <c r="BH683" i="7"/>
  <c r="BH1459" i="7"/>
  <c r="BH288" i="7"/>
  <c r="BH292" i="7"/>
  <c r="BH451" i="7"/>
  <c r="BH1303" i="7"/>
  <c r="BH408" i="7"/>
  <c r="BH10" i="7"/>
  <c r="BH1542" i="7"/>
  <c r="BH1968" i="7"/>
  <c r="BH1259" i="7"/>
  <c r="BH511" i="7"/>
  <c r="BH670" i="7"/>
  <c r="BH1991" i="7"/>
  <c r="BH1098" i="7"/>
  <c r="BH396" i="7"/>
  <c r="BH412" i="7"/>
  <c r="BH1146" i="7"/>
  <c r="BH2192" i="7"/>
  <c r="BH2068" i="7"/>
  <c r="BH1796" i="7"/>
  <c r="BH641" i="7"/>
  <c r="BH2271" i="7"/>
  <c r="BH673" i="7"/>
  <c r="BH26" i="7"/>
  <c r="BH712" i="7"/>
  <c r="BH2058" i="7"/>
  <c r="BH1417" i="7"/>
  <c r="BH1820" i="7"/>
  <c r="BH905" i="7"/>
  <c r="BH1636" i="7"/>
  <c r="BH2118" i="7"/>
  <c r="BH2004" i="7"/>
  <c r="BH2131" i="7"/>
  <c r="BH99" i="7"/>
  <c r="BH2153" i="7"/>
  <c r="BH80" i="7"/>
  <c r="BH32" i="7"/>
  <c r="BH654" i="7"/>
  <c r="BH212" i="7"/>
  <c r="BH150" i="7"/>
  <c r="BH1286" i="7"/>
  <c r="BH1020" i="7"/>
  <c r="BH1149" i="7"/>
  <c r="BH704" i="7"/>
  <c r="BH131" i="7"/>
  <c r="BH2054" i="7"/>
  <c r="BH211" i="7"/>
  <c r="BH1785" i="7"/>
  <c r="BH1244" i="7"/>
  <c r="BH34" i="7"/>
  <c r="BH1749" i="7"/>
  <c r="BH1873" i="7"/>
  <c r="BH1569" i="7"/>
  <c r="BH156" i="7"/>
  <c r="BH806" i="7"/>
  <c r="BH322" i="7"/>
  <c r="BH2209" i="7"/>
  <c r="BH1320" i="7"/>
  <c r="BH49" i="7"/>
  <c r="BH1635" i="7"/>
  <c r="BH2127" i="7"/>
  <c r="BH1142" i="7"/>
  <c r="BH122" i="7"/>
  <c r="BH946" i="7"/>
  <c r="BH1901" i="7"/>
  <c r="BH2060" i="7"/>
  <c r="BH1039" i="7"/>
  <c r="BH1211" i="7"/>
  <c r="BH95" i="7"/>
  <c r="BH2082" i="7"/>
  <c r="BH1013" i="7"/>
  <c r="BH555" i="7"/>
  <c r="BH2066" i="7"/>
  <c r="BH1337" i="7"/>
  <c r="BH246" i="7"/>
  <c r="BH20" i="7"/>
  <c r="BH664" i="7"/>
  <c r="BH1281" i="7"/>
  <c r="BH425" i="7"/>
  <c r="BH379" i="7"/>
  <c r="BH275" i="7"/>
  <c r="BH1566" i="7"/>
  <c r="BH726" i="7"/>
  <c r="BH1772" i="7"/>
  <c r="BH401" i="7"/>
  <c r="BH1738" i="7"/>
  <c r="BH51" i="7"/>
  <c r="BH254" i="7"/>
  <c r="BH531" i="7"/>
  <c r="BH151" i="7"/>
  <c r="BH1590" i="7"/>
  <c r="BH2133" i="7"/>
  <c r="BH798" i="7"/>
  <c r="BH876" i="7"/>
  <c r="BH571" i="7"/>
  <c r="BH239" i="7"/>
  <c r="BH2120" i="7"/>
  <c r="BH1692" i="7"/>
  <c r="BH1217" i="7"/>
  <c r="BH2263" i="7"/>
  <c r="BH990" i="7"/>
  <c r="BH70" i="7"/>
  <c r="BH1553" i="7"/>
  <c r="BH458" i="7"/>
  <c r="BH790" i="7"/>
  <c r="BH2208" i="7"/>
  <c r="BH317" i="7"/>
  <c r="BH390" i="7"/>
  <c r="BH235" i="7"/>
  <c r="BH2020" i="7"/>
  <c r="BH2212" i="7"/>
  <c r="BH530" i="7"/>
  <c r="BH457" i="7"/>
  <c r="BH784" i="7"/>
  <c r="BH832" i="7"/>
  <c r="BH2281" i="7"/>
  <c r="BH623" i="7"/>
  <c r="BH1781" i="7"/>
  <c r="BH853" i="7"/>
  <c r="BH1160" i="7"/>
  <c r="BH1976" i="7"/>
  <c r="BH520" i="7"/>
  <c r="BH106" i="7"/>
  <c r="BH1801" i="7"/>
  <c r="BH1990" i="7"/>
  <c r="BH14" i="7"/>
  <c r="BH201" i="7"/>
  <c r="BH1130" i="7"/>
  <c r="BH1581" i="7"/>
  <c r="BH999" i="7"/>
  <c r="BH203" i="7"/>
  <c r="BH591" i="7"/>
  <c r="BH2264" i="7"/>
  <c r="BH1700" i="7"/>
  <c r="BH1488" i="7"/>
  <c r="BH727" i="7"/>
  <c r="BH477" i="7"/>
  <c r="BH665" i="7"/>
  <c r="BH1502" i="7"/>
  <c r="BH36" i="7"/>
  <c r="BH1884" i="7"/>
  <c r="BH441" i="7"/>
  <c r="BH459" i="7"/>
  <c r="BH2115" i="7"/>
  <c r="BH693" i="7"/>
  <c r="BH579" i="7"/>
  <c r="BH1460" i="7"/>
  <c r="BH1886" i="7"/>
  <c r="BH1463" i="7"/>
  <c r="BH610" i="7"/>
  <c r="BH1788" i="7"/>
  <c r="BH2103" i="7"/>
  <c r="BH652" i="7"/>
  <c r="BH1278" i="7"/>
  <c r="BH2100" i="7"/>
  <c r="BH1660" i="7"/>
  <c r="BH1639" i="7"/>
  <c r="BH2219" i="7"/>
  <c r="BH500" i="7"/>
  <c r="BH2154" i="7"/>
  <c r="BH992" i="7"/>
  <c r="BH1997" i="7"/>
  <c r="BK253" i="7"/>
  <c r="BK248" i="7"/>
  <c r="BK250" i="7"/>
  <c r="BK304" i="7"/>
  <c r="BK312" i="7"/>
  <c r="BK285" i="7"/>
  <c r="BK252" i="7"/>
  <c r="BK289" i="7"/>
  <c r="BK331" i="7"/>
  <c r="BK272" i="7"/>
  <c r="BK306" i="7"/>
  <c r="BK319" i="7"/>
  <c r="BK257" i="7"/>
  <c r="BK324" i="7"/>
  <c r="BK318" i="7"/>
  <c r="BK311" i="7"/>
  <c r="BK315" i="7"/>
  <c r="BK262" i="7"/>
  <c r="BK255" i="7"/>
  <c r="BK268" i="7"/>
  <c r="BK251" i="7"/>
  <c r="BK332" i="7"/>
  <c r="BK286" i="7"/>
  <c r="BK274" i="7"/>
  <c r="BK336" i="7"/>
  <c r="BK330" i="7"/>
  <c r="BK266" i="7"/>
  <c r="BK325" i="7"/>
  <c r="BK269" i="7"/>
  <c r="BK296" i="7"/>
  <c r="BK267" i="7"/>
  <c r="BK241" i="7"/>
  <c r="BK239" i="7"/>
  <c r="BK297" i="7"/>
  <c r="BK264" i="7"/>
  <c r="BK313" i="7"/>
  <c r="BK244" i="7"/>
  <c r="BK260" i="7"/>
  <c r="BK294" i="7"/>
  <c r="BK273" i="7"/>
  <c r="BK282" i="7"/>
  <c r="BK320" i="7"/>
  <c r="BK334" i="7"/>
  <c r="BK284" i="7"/>
  <c r="BK322" i="7"/>
  <c r="BK301" i="7"/>
  <c r="BK333" i="7"/>
  <c r="BK246" i="7"/>
  <c r="BK287" i="7"/>
  <c r="BK346" i="7"/>
  <c r="BK314" i="7"/>
  <c r="BK323" i="7"/>
  <c r="BK290" i="7"/>
  <c r="BK254" i="7"/>
  <c r="BK340" i="7"/>
  <c r="BK337" i="7"/>
  <c r="BK270" i="7"/>
  <c r="BK280" i="7"/>
  <c r="BK300" i="7"/>
  <c r="BK265" i="7"/>
  <c r="BK259" i="7"/>
  <c r="BK288" i="7"/>
  <c r="BK308" i="7"/>
  <c r="BK243" i="7"/>
  <c r="BK329" i="7"/>
  <c r="BK278" i="7"/>
  <c r="BK271" i="7"/>
  <c r="BK326" i="7"/>
  <c r="BK292" i="7"/>
  <c r="BK293" i="7"/>
  <c r="BK256" i="7"/>
  <c r="BK249" i="7"/>
  <c r="BK321" i="7"/>
  <c r="BK317" i="7"/>
  <c r="BK303" i="7"/>
  <c r="BK263" i="7"/>
  <c r="BK345" i="7"/>
  <c r="BK310" i="7"/>
  <c r="BK328" i="7"/>
  <c r="BK302" i="7"/>
  <c r="BK307" i="7"/>
  <c r="BK343" i="7"/>
  <c r="BK247" i="7"/>
  <c r="BK291" i="7"/>
  <c r="BK283" i="7"/>
  <c r="BK261" i="7"/>
  <c r="BK275" i="7"/>
  <c r="BK298" i="7"/>
  <c r="BK299" i="7"/>
  <c r="BK277" i="7"/>
  <c r="BK305" i="7"/>
  <c r="BK258" i="7"/>
  <c r="BK309" i="7"/>
  <c r="BK342" i="7"/>
  <c r="BK341" i="7"/>
  <c r="BK338" i="7"/>
  <c r="BK295" i="7"/>
  <c r="BK327" i="7"/>
  <c r="BK316" i="7"/>
  <c r="BK335" i="7"/>
  <c r="BK344" i="7"/>
  <c r="BK242" i="7"/>
  <c r="BK281" i="7"/>
  <c r="BK279" i="7"/>
  <c r="BK339" i="7"/>
  <c r="BK245" i="7"/>
  <c r="BK240" i="7"/>
  <c r="BK276" i="7"/>
  <c r="CP56" i="3"/>
  <c r="CP36" i="1"/>
  <c r="CM200" i="1"/>
  <c r="CM262" i="1"/>
  <c r="CM4" i="1"/>
  <c r="CM233" i="1"/>
  <c r="CM57" i="1"/>
  <c r="CM80" i="1"/>
  <c r="CP43" i="1"/>
  <c r="BJ98" i="8"/>
  <c r="BJ94" i="8"/>
  <c r="BJ95" i="8"/>
  <c r="BJ91" i="8"/>
  <c r="BJ93" i="8"/>
  <c r="BJ96" i="8"/>
  <c r="BJ219" i="7"/>
  <c r="BJ1406" i="7"/>
  <c r="BJ646" i="7"/>
  <c r="BJ1809" i="7"/>
  <c r="BJ881" i="7"/>
  <c r="BJ1421" i="7"/>
  <c r="BJ1178" i="7"/>
  <c r="BJ1247" i="7"/>
  <c r="BJ960" i="7"/>
  <c r="BJ744" i="7"/>
  <c r="BJ625" i="7"/>
  <c r="BJ222" i="7"/>
  <c r="BJ1857" i="7"/>
  <c r="BJ2095" i="7"/>
  <c r="BJ1345" i="7"/>
  <c r="BJ1224" i="7"/>
  <c r="BJ1892" i="7"/>
  <c r="BJ986" i="7"/>
  <c r="BJ1445" i="7"/>
  <c r="BJ839" i="7"/>
  <c r="BJ1423" i="7"/>
  <c r="BJ253" i="7"/>
  <c r="BJ216" i="7"/>
  <c r="BJ2028" i="7"/>
  <c r="BJ1696" i="7"/>
  <c r="BJ2051" i="7"/>
  <c r="BJ252" i="7"/>
  <c r="BJ871" i="7"/>
  <c r="BJ289" i="7"/>
  <c r="BJ738" i="7"/>
  <c r="BJ2057" i="7"/>
  <c r="BJ1739" i="7"/>
  <c r="BJ2134" i="7"/>
  <c r="BJ97" i="8"/>
  <c r="BJ2198" i="7"/>
  <c r="BJ1045" i="7"/>
  <c r="BJ1572" i="7"/>
  <c r="BJ1647" i="7"/>
  <c r="BJ1285" i="7"/>
  <c r="BJ697" i="7"/>
  <c r="BJ2052" i="7"/>
  <c r="BJ1621" i="7"/>
  <c r="BJ92" i="8"/>
  <c r="BJ2201" i="7"/>
  <c r="BJ2096" i="7"/>
  <c r="BJ2147" i="7"/>
  <c r="BJ1062" i="7"/>
  <c r="BJ1859" i="7"/>
  <c r="BJ1180" i="7"/>
  <c r="BJ2139" i="7"/>
  <c r="BJ1620" i="7"/>
  <c r="BJ2094" i="7"/>
  <c r="BJ1549" i="7"/>
  <c r="BJ2176" i="7"/>
  <c r="BJ1945" i="7"/>
  <c r="BJ1721" i="7"/>
  <c r="BJ559" i="7"/>
  <c r="BJ858" i="7"/>
  <c r="BJ319" i="7"/>
  <c r="BJ2097" i="7"/>
  <c r="BJ2255" i="7"/>
  <c r="BJ1452" i="7"/>
  <c r="BJ2008" i="7"/>
  <c r="BJ2167" i="7"/>
  <c r="BJ836" i="7"/>
  <c r="BJ251" i="7"/>
  <c r="BJ1413" i="7"/>
  <c r="BJ1902" i="7"/>
  <c r="BJ748" i="7"/>
  <c r="BJ680" i="7"/>
  <c r="BJ888" i="7"/>
  <c r="BJ1169" i="7"/>
  <c r="BJ1429" i="7"/>
  <c r="BJ1858" i="7"/>
  <c r="BJ1236" i="7"/>
  <c r="BJ1453" i="7"/>
  <c r="BJ580" i="7"/>
  <c r="BJ2105" i="7"/>
  <c r="BJ1195" i="7"/>
  <c r="BJ1651" i="7"/>
  <c r="BJ1158" i="7"/>
  <c r="BJ1023" i="7"/>
  <c r="BJ1501" i="7"/>
  <c r="BJ1376" i="7"/>
  <c r="BJ710" i="7"/>
  <c r="BJ1784" i="7"/>
  <c r="BJ1214" i="7"/>
  <c r="BJ1995" i="7"/>
  <c r="BJ2049" i="7"/>
  <c r="BJ783" i="7"/>
  <c r="BJ218" i="7"/>
  <c r="BJ1908" i="7"/>
  <c r="BJ1298" i="7"/>
  <c r="BJ1872" i="7"/>
  <c r="BJ2171" i="7"/>
  <c r="BJ294" i="7"/>
  <c r="BJ221" i="7"/>
  <c r="BJ1338" i="7"/>
  <c r="BJ1051" i="7"/>
  <c r="BJ1035" i="7"/>
  <c r="BJ865" i="7"/>
  <c r="BJ1499" i="7"/>
  <c r="BJ1773" i="7"/>
  <c r="BJ1482" i="7"/>
  <c r="BJ1697" i="7"/>
  <c r="BJ1938" i="7"/>
  <c r="BJ1951" i="7"/>
  <c r="BJ1685" i="7"/>
  <c r="BJ1179" i="7"/>
  <c r="BJ1194" i="7"/>
  <c r="BJ1220" i="7"/>
  <c r="BJ941" i="7"/>
  <c r="BJ1691" i="7"/>
  <c r="BJ562" i="7"/>
  <c r="BJ217" i="7"/>
  <c r="BJ1684" i="7"/>
  <c r="BJ820" i="7"/>
  <c r="BJ1405" i="7"/>
  <c r="BJ1231" i="7"/>
  <c r="BJ1687" i="7"/>
  <c r="BJ1936" i="7"/>
  <c r="BJ1546" i="7"/>
  <c r="BJ2069" i="7"/>
  <c r="BJ1969" i="7"/>
  <c r="BJ1845" i="7"/>
  <c r="BJ621" i="7"/>
  <c r="BJ1407" i="7"/>
  <c r="BJ2200" i="7"/>
  <c r="BJ882" i="7"/>
  <c r="BJ215" i="7"/>
  <c r="BJ1856" i="7"/>
  <c r="BJ1060" i="7"/>
  <c r="BJ1937" i="7"/>
  <c r="BJ759" i="7"/>
  <c r="BJ821" i="7"/>
  <c r="BJ1030" i="7"/>
  <c r="BJ220" i="7"/>
  <c r="CO218" i="1"/>
  <c r="CO120" i="1"/>
  <c r="CO152" i="1"/>
  <c r="CO177" i="1"/>
  <c r="CO117" i="1"/>
  <c r="CO41" i="1"/>
  <c r="BH2" i="8"/>
  <c r="BH21" i="8"/>
  <c r="BH25" i="8"/>
  <c r="BH29" i="8"/>
  <c r="BH33" i="8"/>
  <c r="BH37" i="8"/>
  <c r="BH41" i="8"/>
  <c r="BH45" i="8"/>
  <c r="BH49" i="8"/>
  <c r="BH53" i="8"/>
  <c r="BH57" i="8"/>
  <c r="BH22" i="8"/>
  <c r="BH26" i="8"/>
  <c r="BH30" i="8"/>
  <c r="BH34" i="8"/>
  <c r="BH38" i="8"/>
  <c r="BH42" i="8"/>
  <c r="BH46" i="8"/>
  <c r="BH50" i="8"/>
  <c r="BH54" i="8"/>
  <c r="BH32" i="8"/>
  <c r="BH56" i="8"/>
  <c r="BH23" i="8"/>
  <c r="BH47" i="8"/>
  <c r="BH16" i="8"/>
  <c r="BH36" i="8"/>
  <c r="BH40" i="8"/>
  <c r="BH11" i="8"/>
  <c r="BH31" i="8"/>
  <c r="BH55" i="8"/>
  <c r="BH39" i="8"/>
  <c r="BH48" i="8"/>
  <c r="BH44" i="8"/>
  <c r="BH51" i="8"/>
  <c r="BH27" i="8"/>
  <c r="BH24" i="8"/>
  <c r="BH43" i="8"/>
  <c r="BH20" i="8"/>
  <c r="BH19" i="8"/>
  <c r="BH35" i="8"/>
  <c r="BH52" i="8"/>
  <c r="BH1247" i="7"/>
  <c r="BH960" i="7"/>
  <c r="BH744" i="7"/>
  <c r="BH625" i="7"/>
  <c r="BH1084" i="7"/>
  <c r="BH102" i="7"/>
  <c r="BH622" i="7"/>
  <c r="BH1955" i="7"/>
  <c r="BH487" i="7"/>
  <c r="BH1732" i="7"/>
  <c r="BH651" i="7"/>
  <c r="BH1870" i="7"/>
  <c r="BH755" i="7"/>
  <c r="BH336" i="7"/>
  <c r="BH1853" i="7"/>
  <c r="BH1876" i="7"/>
  <c r="BH1213" i="7"/>
  <c r="BH2104" i="7"/>
  <c r="BH330" i="7"/>
  <c r="BH967" i="7"/>
  <c r="BH177" i="7"/>
  <c r="BH2151" i="7"/>
  <c r="BH1549" i="7"/>
  <c r="BH1214" i="7"/>
  <c r="BH759" i="7"/>
  <c r="BH1721" i="7"/>
  <c r="BH1937" i="7"/>
  <c r="BH319" i="7"/>
  <c r="BH596" i="7"/>
  <c r="BH1874" i="7"/>
  <c r="BH1055" i="7"/>
  <c r="BH141" i="7"/>
  <c r="BH55" i="7"/>
  <c r="BH1515" i="7"/>
  <c r="BH1197" i="7"/>
  <c r="BH1127" i="7"/>
  <c r="BH848" i="7"/>
  <c r="BH584" i="7"/>
  <c r="BH1026" i="7"/>
  <c r="BH1119" i="7"/>
  <c r="BH943" i="7"/>
  <c r="BH348" i="7"/>
  <c r="BH28" i="8"/>
  <c r="BH1224" i="7"/>
  <c r="BH2167" i="7"/>
  <c r="BH1030" i="7"/>
  <c r="BH858" i="7"/>
  <c r="BH1920" i="7"/>
  <c r="BH1728" i="7"/>
  <c r="BH81" i="7"/>
  <c r="BH265" i="7"/>
  <c r="BH1288" i="7"/>
  <c r="BH213" i="7"/>
  <c r="BH118" i="7"/>
  <c r="BH1713" i="7"/>
  <c r="BH1845" i="7"/>
  <c r="BH1035" i="7"/>
  <c r="BH836" i="7"/>
  <c r="BH2105" i="7"/>
  <c r="BH253" i="7"/>
  <c r="BH361" i="7"/>
  <c r="BH1944" i="7"/>
  <c r="BH100" i="7"/>
  <c r="BH249" i="7"/>
  <c r="BH471" i="7"/>
  <c r="BH140" i="7"/>
  <c r="BH350" i="7"/>
  <c r="BH1691" i="7"/>
  <c r="BH1169" i="7"/>
  <c r="BH465" i="7"/>
  <c r="BH839" i="7"/>
  <c r="BH1687" i="7"/>
  <c r="BH1871" i="7"/>
  <c r="BH1578" i="7"/>
  <c r="BH846" i="7"/>
  <c r="BH318" i="7"/>
  <c r="BH1036" i="7"/>
  <c r="BH205" i="7"/>
  <c r="BH2136" i="7"/>
  <c r="BH560" i="7"/>
  <c r="BH87" i="7"/>
  <c r="BH740" i="7"/>
  <c r="BH1070" i="7"/>
  <c r="BH2229" i="7"/>
  <c r="BH1965" i="7"/>
  <c r="BH248" i="7"/>
  <c r="BH2041" i="7"/>
  <c r="BH178" i="7"/>
  <c r="BH166" i="7"/>
  <c r="BH283" i="7"/>
  <c r="BH1953" i="7"/>
  <c r="BH1671" i="7"/>
  <c r="BH1085" i="7"/>
  <c r="BH112" i="7"/>
  <c r="BH1811" i="7"/>
  <c r="BH185" i="7"/>
  <c r="BH1718" i="7"/>
  <c r="BH2053" i="7"/>
  <c r="BH1696" i="7"/>
  <c r="BH580" i="7"/>
  <c r="BH2057" i="7"/>
  <c r="BH2089" i="7"/>
  <c r="BH2128" i="7"/>
  <c r="BH1237" i="7"/>
  <c r="BH1931" i="7"/>
  <c r="BH1508" i="7"/>
  <c r="BH1494" i="7"/>
  <c r="BH1889" i="7"/>
  <c r="BH119" i="7"/>
  <c r="BH576" i="7"/>
  <c r="BH152" i="7"/>
  <c r="BH165" i="7"/>
  <c r="BH1056" i="7"/>
  <c r="BH1791" i="7"/>
  <c r="BH771" i="7"/>
  <c r="BH1204" i="7"/>
  <c r="BH797" i="7"/>
  <c r="BH1456" i="7"/>
  <c r="BH202" i="7"/>
  <c r="BH1763" i="7"/>
  <c r="BH176" i="7"/>
  <c r="BH1298" i="7"/>
  <c r="BH1995" i="7"/>
  <c r="BH1501" i="7"/>
  <c r="BH621" i="7"/>
  <c r="BH79" i="7"/>
  <c r="BH1082" i="7"/>
  <c r="BH585" i="7"/>
  <c r="BH144" i="7"/>
  <c r="BH1109" i="7"/>
  <c r="BH464" i="7"/>
  <c r="BH1722" i="7"/>
  <c r="BH1411" i="7"/>
  <c r="BH1673" i="7"/>
  <c r="BH1654" i="7"/>
  <c r="BH653" i="7"/>
  <c r="BH1939" i="7"/>
  <c r="BH1096" i="7"/>
  <c r="BH1596" i="7"/>
  <c r="BH637" i="7"/>
  <c r="BH1560" i="7"/>
  <c r="BH120" i="7"/>
  <c r="BH1998" i="7"/>
  <c r="BH807" i="7"/>
  <c r="BH168" i="7"/>
  <c r="BH162" i="7"/>
  <c r="BH2119" i="7"/>
  <c r="BH2150" i="7"/>
  <c r="BH266" i="7"/>
  <c r="BH2228" i="7"/>
  <c r="BH1759" i="7"/>
  <c r="BH1894" i="7"/>
  <c r="BH447" i="7"/>
  <c r="BH110" i="7"/>
  <c r="BH181" i="7"/>
  <c r="BH1878" i="7"/>
  <c r="BH1064" i="7"/>
  <c r="BH1015" i="7"/>
  <c r="BH1656" i="7"/>
  <c r="BH1101" i="7"/>
  <c r="BH1205" i="7"/>
  <c r="BH1675" i="7"/>
  <c r="BH1731" i="7"/>
  <c r="BH1060" i="7"/>
  <c r="BH820" i="7"/>
  <c r="BH101" i="7"/>
  <c r="BH780" i="7"/>
  <c r="BH2282" i="7"/>
  <c r="BH2161" i="7"/>
  <c r="BH567" i="7"/>
  <c r="BH961" i="7"/>
  <c r="BH2266" i="7"/>
  <c r="BH582" i="7"/>
  <c r="BH969" i="7"/>
  <c r="BH1510" i="7"/>
  <c r="BH1256" i="7"/>
  <c r="BH1971" i="7"/>
  <c r="BH282" i="7"/>
  <c r="BH1653" i="7"/>
  <c r="BH1199" i="7"/>
  <c r="BH92" i="7"/>
  <c r="BH411" i="7"/>
  <c r="BH1693" i="7"/>
  <c r="BH174" i="7"/>
  <c r="BH161" i="7"/>
  <c r="BH825" i="7"/>
  <c r="BH1493" i="7"/>
  <c r="BH659" i="7"/>
  <c r="BH1619" i="7"/>
  <c r="BH532" i="7"/>
  <c r="BH1962" i="7"/>
  <c r="BH1767" i="7"/>
  <c r="BH574" i="7"/>
  <c r="BH1208" i="7"/>
  <c r="BH815" i="7"/>
  <c r="BH1704" i="7"/>
  <c r="BH2050" i="7"/>
  <c r="BH1978" i="7"/>
  <c r="BH1761" i="7"/>
  <c r="BH414" i="7"/>
  <c r="BH1226" i="7"/>
  <c r="BH782" i="7"/>
  <c r="BH993" i="7"/>
  <c r="BH1357" i="7"/>
  <c r="BH1041" i="7"/>
  <c r="BH1306" i="7"/>
  <c r="BH1694" i="7"/>
  <c r="BH1717" i="7"/>
  <c r="BH1218" i="7"/>
  <c r="BH420" i="7"/>
  <c r="BH1988" i="7"/>
  <c r="BH1091" i="7"/>
  <c r="BH880" i="7"/>
  <c r="BH1989" i="7"/>
  <c r="BH1683" i="7"/>
  <c r="BH789" i="7"/>
  <c r="BH1780" i="7"/>
  <c r="BH1548" i="7"/>
  <c r="BH522" i="7"/>
  <c r="BH1603" i="7"/>
  <c r="BH762" i="7"/>
  <c r="BH736" i="7"/>
  <c r="BH2064" i="7"/>
  <c r="BH2249" i="7"/>
  <c r="BH1282" i="7"/>
  <c r="BH1358" i="7"/>
  <c r="BH1071" i="7"/>
  <c r="BH1121" i="7"/>
  <c r="BH489" i="7"/>
  <c r="BH491" i="7"/>
  <c r="BH595" i="7"/>
  <c r="BH640" i="7"/>
  <c r="BH1516" i="7"/>
  <c r="BH1734" i="7"/>
  <c r="BH513" i="7"/>
  <c r="BH785" i="7"/>
  <c r="BH1095" i="7"/>
  <c r="BH428" i="7"/>
  <c r="BH1201" i="7"/>
  <c r="BH236" i="7"/>
  <c r="BH1522" i="7"/>
  <c r="BH1582" i="7"/>
  <c r="BH332" i="7"/>
  <c r="BH1327" i="7"/>
  <c r="BH393" i="7"/>
  <c r="BH1690" i="7"/>
  <c r="BH89" i="7"/>
  <c r="BH349" i="7"/>
  <c r="BH607" i="7"/>
  <c r="BH172" i="7"/>
  <c r="BH498" i="7"/>
  <c r="BH1725" i="7"/>
  <c r="BH2001" i="7"/>
  <c r="BH1174" i="7"/>
  <c r="BH1486" i="7"/>
  <c r="BH650" i="7"/>
  <c r="BH645" i="7"/>
  <c r="BH1797" i="7"/>
  <c r="BH1975" i="7"/>
  <c r="BH548" i="7"/>
  <c r="BH1525" i="7"/>
  <c r="BH1274" i="7"/>
  <c r="BH953" i="7"/>
  <c r="BH1744" i="7"/>
  <c r="BH2231" i="7"/>
  <c r="BH1915" i="7"/>
  <c r="BH1062" i="7"/>
  <c r="BH738" i="7"/>
  <c r="BH783" i="7"/>
  <c r="BH1269" i="7"/>
  <c r="BH1305" i="7"/>
  <c r="BH724" i="7"/>
  <c r="BH1059" i="7"/>
  <c r="BH600" i="7"/>
  <c r="BH455" i="7"/>
  <c r="BH163" i="7"/>
  <c r="BH1209" i="7"/>
  <c r="BH376" i="7"/>
  <c r="BH628" i="7"/>
  <c r="BH180" i="7"/>
  <c r="BH94" i="7"/>
  <c r="BH135" i="7"/>
  <c r="BH1557" i="7"/>
  <c r="BH1669" i="7"/>
  <c r="BH2188" i="7"/>
  <c r="BH1484" i="7"/>
  <c r="BH1102" i="7"/>
  <c r="BH590" i="7"/>
  <c r="BH1535" i="7"/>
  <c r="BH1710" i="7"/>
  <c r="BH803" i="7"/>
  <c r="BH389" i="7"/>
  <c r="BH779" i="7"/>
  <c r="BH1065" i="7"/>
  <c r="BH781" i="7"/>
  <c r="BH1992" i="7"/>
  <c r="BH1504" i="7"/>
  <c r="BH1046" i="7"/>
  <c r="BH1163" i="7"/>
  <c r="BH857" i="7"/>
  <c r="BH2035" i="7"/>
  <c r="BH989" i="7"/>
  <c r="BH1133" i="7"/>
  <c r="BH791" i="7"/>
  <c r="BH1430" i="7"/>
  <c r="BH1052" i="7"/>
  <c r="BH900" i="7"/>
  <c r="BH1107" i="7"/>
  <c r="BH1783" i="7"/>
  <c r="BH2043" i="7"/>
  <c r="BH1868" i="7"/>
  <c r="BH731" i="7"/>
  <c r="BH1377" i="7"/>
  <c r="BH1189" i="7"/>
  <c r="BH1323" i="7"/>
  <c r="BH638" i="7"/>
  <c r="BH430" i="7"/>
  <c r="BH1118" i="7"/>
  <c r="BH605" i="7"/>
  <c r="BH1229" i="7"/>
  <c r="BH1922" i="7"/>
  <c r="BH1529" i="7"/>
  <c r="BH1004" i="7"/>
  <c r="BH955" i="7"/>
  <c r="BH1524" i="7"/>
  <c r="BH2056" i="7"/>
  <c r="BH1287" i="7"/>
  <c r="BH2245" i="7"/>
  <c r="BH1641" i="7"/>
  <c r="BH1969" i="7"/>
  <c r="BH1350" i="7"/>
  <c r="BH1498" i="7"/>
  <c r="BH1611" i="7"/>
  <c r="BH105" i="7"/>
  <c r="BH2203" i="7"/>
  <c r="BH1950" i="7"/>
  <c r="BH1234" i="7"/>
  <c r="BH2044" i="7"/>
  <c r="BH355" i="7"/>
  <c r="BH448" i="7"/>
  <c r="BH170" i="7"/>
  <c r="BH1180" i="7"/>
  <c r="BH1254" i="7"/>
  <c r="BH561" i="7"/>
  <c r="BH2111" i="7"/>
  <c r="BH660" i="7"/>
  <c r="BH2006" i="7"/>
  <c r="BH88" i="7"/>
  <c r="BH370" i="7"/>
  <c r="BH2135" i="7"/>
  <c r="BH474" i="7"/>
  <c r="BH173" i="7"/>
  <c r="BH360" i="7"/>
  <c r="BH1242" i="7"/>
  <c r="BH371" i="7"/>
  <c r="BH994" i="7"/>
  <c r="BH108" i="7"/>
  <c r="BH324" i="7"/>
  <c r="BH1752" i="7"/>
  <c r="BH2270" i="7"/>
  <c r="BH481" i="7"/>
  <c r="BH1550" i="7"/>
  <c r="BH320" i="7"/>
  <c r="BH1756" i="7"/>
  <c r="BH1492" i="7"/>
  <c r="BH2033" i="7"/>
  <c r="BH1952" i="7"/>
  <c r="BH9" i="7"/>
  <c r="BH130" i="7"/>
  <c r="BH337" i="7"/>
  <c r="BH278" i="7"/>
  <c r="BH1249" i="7"/>
  <c r="BH2017" i="7"/>
  <c r="BH2223" i="7"/>
  <c r="BH971" i="7"/>
  <c r="BH2109" i="7"/>
  <c r="BH1827" i="7"/>
  <c r="BH1986" i="7"/>
  <c r="BH2279" i="7"/>
  <c r="BH1436" i="7"/>
  <c r="BH2226" i="7"/>
  <c r="BH749" i="7"/>
  <c r="BH468" i="7"/>
  <c r="BH1275" i="7"/>
  <c r="BH2246" i="7"/>
  <c r="BH1618" i="7"/>
  <c r="BH1803" i="7"/>
  <c r="BH572" i="7"/>
  <c r="BH950" i="7"/>
  <c r="BH1276" i="7"/>
  <c r="BH1844" i="7"/>
  <c r="BH1072" i="7"/>
  <c r="BH1322" i="7"/>
  <c r="BH1905" i="7"/>
  <c r="BH723" i="7"/>
  <c r="BH1765" i="7"/>
  <c r="BH878" i="7"/>
  <c r="BH2221" i="7"/>
  <c r="BH686" i="7"/>
  <c r="BH1897" i="7"/>
  <c r="BH454" i="7"/>
  <c r="BH1340" i="7"/>
  <c r="BH1449" i="7"/>
  <c r="BH1900" i="7"/>
  <c r="BH778" i="7"/>
  <c r="BH1719" i="7"/>
  <c r="BH559" i="7"/>
  <c r="BH1697" i="7"/>
  <c r="BH1496" i="7"/>
  <c r="BH982" i="7"/>
  <c r="BH814" i="7"/>
  <c r="BH1333" i="7"/>
  <c r="BH1994" i="7"/>
  <c r="BH1686" i="7"/>
  <c r="BH1210" i="7"/>
  <c r="BH273" i="7"/>
  <c r="BH1787" i="7"/>
  <c r="BH772" i="7"/>
  <c r="BH2140" i="7"/>
  <c r="BH1054" i="7"/>
  <c r="BH175" i="7"/>
  <c r="BH995" i="7"/>
  <c r="BH958" i="7"/>
  <c r="BH1067" i="7"/>
  <c r="BH109" i="7"/>
  <c r="BH1544" i="7"/>
  <c r="BH1804" i="7"/>
  <c r="BH1610" i="7"/>
  <c r="BH1963" i="7"/>
  <c r="BH1344" i="7"/>
  <c r="BH146" i="7"/>
  <c r="BH1415" i="7"/>
  <c r="BH799" i="7"/>
  <c r="BH2037" i="7"/>
  <c r="BH242" i="7"/>
  <c r="BH442" i="7"/>
  <c r="BH507" i="7"/>
  <c r="BH1414" i="7"/>
  <c r="BH1063" i="7"/>
  <c r="BH972" i="7"/>
  <c r="BH546" i="7"/>
  <c r="BH2031" i="7"/>
  <c r="BH1019" i="7"/>
  <c r="BH1120" i="7"/>
  <c r="BH819" i="7"/>
  <c r="BH1365" i="7"/>
  <c r="BH1904" i="7"/>
  <c r="BH1302" i="7"/>
  <c r="BH903" i="7"/>
  <c r="BH1279" i="7"/>
  <c r="BH842" i="7"/>
  <c r="BH1025" i="7"/>
  <c r="BH535" i="7"/>
  <c r="BH1110" i="7"/>
  <c r="BH767" i="7"/>
  <c r="BH810" i="7"/>
  <c r="BH2179" i="7"/>
  <c r="BH1634" i="7"/>
  <c r="BH1837" i="7"/>
  <c r="BH525" i="7"/>
  <c r="BH1614" i="7"/>
  <c r="BH299" i="7"/>
  <c r="BH2070" i="7"/>
  <c r="BH1637" i="7"/>
  <c r="BH1888" i="7"/>
  <c r="BH2253" i="7"/>
  <c r="BH2036" i="7"/>
  <c r="BH1758" i="7"/>
  <c r="BH2206" i="7"/>
  <c r="BH2251" i="7"/>
  <c r="BH2195" i="7"/>
  <c r="BH1936" i="7"/>
  <c r="BH562" i="7"/>
  <c r="BH757" i="7"/>
  <c r="BH1186" i="7"/>
  <c r="BH1688" i="7"/>
  <c r="BH234" i="7"/>
  <c r="BH1547" i="7"/>
  <c r="BH754" i="7"/>
  <c r="BH7" i="7"/>
  <c r="BH2138" i="7"/>
  <c r="BH2155" i="7"/>
  <c r="BH164" i="7"/>
  <c r="BH1094" i="7"/>
  <c r="BH1132" i="7"/>
  <c r="BH1733" i="7"/>
  <c r="BH1712" i="7"/>
  <c r="BH111" i="7"/>
  <c r="BH183" i="7"/>
  <c r="BH1069" i="7"/>
  <c r="BH662" i="7"/>
  <c r="BH315" i="7"/>
  <c r="BH1356" i="7"/>
  <c r="BH1222" i="7"/>
  <c r="BH264" i="7"/>
  <c r="BH2268" i="7"/>
  <c r="BH793" i="7"/>
  <c r="BH1033" i="7"/>
  <c r="BH1148" i="7"/>
  <c r="BH1233" i="7"/>
  <c r="BH2213" i="7"/>
  <c r="BH1049" i="7"/>
  <c r="BH2278" i="7"/>
  <c r="BH2003" i="7"/>
  <c r="BH1742" i="7"/>
  <c r="BH2248" i="7"/>
  <c r="BH1616" i="7"/>
  <c r="BH1369" i="7"/>
  <c r="BH1368" i="7"/>
  <c r="BH1131" i="7"/>
  <c r="BH1573" i="7"/>
  <c r="BH1579" i="7"/>
  <c r="BH677" i="7"/>
  <c r="BH1753" i="7"/>
  <c r="BH2220" i="7"/>
  <c r="BH1299" i="7"/>
  <c r="BH1585" i="7"/>
  <c r="BH2126" i="7"/>
  <c r="BH2152" i="7"/>
  <c r="BH1583" i="7"/>
  <c r="BH1151" i="7"/>
  <c r="BH656" i="7"/>
  <c r="BH1135" i="7"/>
  <c r="BH2163" i="7"/>
  <c r="BH2244" i="7"/>
  <c r="BH844" i="7"/>
  <c r="BH718" i="7"/>
  <c r="BH1285" i="7"/>
  <c r="BH2139" i="7"/>
  <c r="BH1429" i="7"/>
  <c r="BH82" i="7"/>
  <c r="BH1432" i="7"/>
  <c r="BH60" i="7"/>
  <c r="BH387" i="7"/>
  <c r="BH452" i="7"/>
  <c r="BH231" i="7"/>
  <c r="BH52" i="7"/>
  <c r="BH1061" i="7"/>
  <c r="BH1219" i="7"/>
  <c r="BH167" i="7"/>
  <c r="BH705" i="7"/>
  <c r="BH2196" i="7"/>
  <c r="BH1531" i="7"/>
  <c r="BH649" i="7"/>
  <c r="BH158" i="7"/>
  <c r="BH983" i="7"/>
  <c r="BH1044" i="7"/>
  <c r="BH1114" i="7"/>
  <c r="BH143" i="7"/>
  <c r="BH2242" i="7"/>
  <c r="BH2157" i="7"/>
  <c r="BH1540" i="7"/>
  <c r="BH1551" i="7"/>
  <c r="BH472" i="7"/>
  <c r="BH1343" i="7"/>
  <c r="BH1461" i="7"/>
  <c r="BH1887" i="7"/>
  <c r="BH1371" i="7"/>
  <c r="BH145" i="7"/>
  <c r="BH2148" i="7"/>
  <c r="BH667" i="7"/>
  <c r="BH1735" i="7"/>
  <c r="BH1087" i="7"/>
  <c r="BH816" i="7"/>
  <c r="BH1272" i="7"/>
  <c r="BH269" i="7"/>
  <c r="BH1556" i="7"/>
  <c r="BH822" i="7"/>
  <c r="BH1602" i="7"/>
  <c r="BH1883" i="7"/>
  <c r="BH750" i="7"/>
  <c r="BH19" i="7"/>
  <c r="BH1066" i="7"/>
  <c r="BH1144" i="7"/>
  <c r="BH1822" i="7"/>
  <c r="BH1771" i="7"/>
  <c r="BH1568" i="7"/>
  <c r="BH2180" i="7"/>
  <c r="BH1012" i="7"/>
  <c r="BH1896" i="7"/>
  <c r="BH1702" i="7"/>
  <c r="BH2239" i="7"/>
  <c r="BH1974" i="7"/>
  <c r="BH569" i="7"/>
  <c r="BH2184" i="7"/>
  <c r="BH2204" i="7"/>
  <c r="BH1150" i="7"/>
  <c r="BH2217" i="7"/>
  <c r="BH2170" i="7"/>
  <c r="BH1300" i="7"/>
  <c r="BH1777" i="7"/>
  <c r="BH1615" i="7"/>
  <c r="BH2146" i="7"/>
  <c r="BH1152" i="7"/>
  <c r="BH1739" i="7"/>
  <c r="BH630" i="7"/>
  <c r="BH1068" i="7"/>
  <c r="BH1024" i="7"/>
  <c r="BH1983" i="7"/>
  <c r="BH514" i="7"/>
  <c r="BH512" i="7"/>
  <c r="BH225" i="7"/>
  <c r="BH962" i="7"/>
  <c r="BH153" i="7"/>
  <c r="BH1250" i="7"/>
  <c r="BH2144" i="7"/>
  <c r="BH850" i="7"/>
  <c r="BH1478" i="7"/>
  <c r="BH433" i="7"/>
  <c r="BH351" i="7"/>
  <c r="BH2258" i="7"/>
  <c r="BH1454" i="7"/>
  <c r="BH2071" i="7"/>
  <c r="BH1959" i="7"/>
  <c r="BH1103" i="7"/>
  <c r="BH199" i="7"/>
  <c r="BH1818" i="7"/>
  <c r="BH1466" i="7"/>
  <c r="BH2106" i="7"/>
  <c r="BH2002" i="7"/>
  <c r="BH1604" i="7"/>
  <c r="BH1705" i="7"/>
  <c r="BH1111" i="7"/>
  <c r="BH1050" i="7"/>
  <c r="BH1301" i="7"/>
  <c r="BH988" i="7"/>
  <c r="BH2269" i="7"/>
  <c r="BH1923" i="7"/>
  <c r="BH1958" i="7"/>
  <c r="BH2234" i="7"/>
  <c r="BH1679" i="7"/>
  <c r="BH976" i="7"/>
  <c r="BH1810" i="7"/>
  <c r="BH1330" i="7"/>
  <c r="BH547" i="7"/>
  <c r="BH2123" i="7"/>
  <c r="BH1289" i="7"/>
  <c r="BH885" i="7"/>
  <c r="BH1147" i="7"/>
  <c r="BH1143" i="7"/>
  <c r="BH1362" i="7"/>
  <c r="BH1946" i="7"/>
  <c r="BH1195" i="7"/>
  <c r="BH1984" i="7"/>
  <c r="BH2130" i="7"/>
  <c r="BH1171" i="7"/>
  <c r="BH1434" i="7"/>
  <c r="BH800" i="7"/>
  <c r="BH179" i="7"/>
  <c r="BH524" i="7"/>
  <c r="BH300" i="7"/>
  <c r="BH699" i="7"/>
  <c r="BH987" i="7"/>
  <c r="BH1914" i="7"/>
  <c r="BH1757" i="7"/>
  <c r="BH794" i="7"/>
  <c r="BH1489" i="7"/>
  <c r="BH639" i="7"/>
  <c r="BH1824" i="7"/>
  <c r="BH2185" i="7"/>
  <c r="BH808" i="7"/>
  <c r="BH1835" i="7"/>
  <c r="BH1375" i="7"/>
  <c r="BH1792" i="7"/>
  <c r="BH1106" i="7"/>
  <c r="BH1799" i="7"/>
  <c r="BH1517" i="7"/>
  <c r="BH1154" i="7"/>
  <c r="BH577" i="7"/>
  <c r="BH1948" i="7"/>
  <c r="BH171" i="7"/>
  <c r="BH521" i="7"/>
  <c r="BH777" i="7"/>
  <c r="BH434" i="7"/>
  <c r="BH480" i="7"/>
  <c r="BH352" i="7"/>
  <c r="BH1366" i="7"/>
  <c r="BH1597" i="7"/>
  <c r="BH544" i="7"/>
  <c r="BH1477" i="7"/>
  <c r="BH1960" i="7"/>
  <c r="BH862" i="7"/>
  <c r="BH1594" i="7"/>
  <c r="BH1386" i="7"/>
  <c r="BH2211" i="7"/>
  <c r="BH1917" i="7"/>
  <c r="BH2110" i="7"/>
  <c r="BH1543" i="7"/>
  <c r="BH1203" i="7"/>
  <c r="BH557" i="7"/>
  <c r="BH1821" i="7"/>
  <c r="BH1951" i="7"/>
  <c r="BH1077" i="7"/>
  <c r="BH230" i="7"/>
  <c r="BH1724" i="7"/>
  <c r="BH752" i="7"/>
  <c r="BH1123" i="7"/>
  <c r="BH182" i="7"/>
  <c r="BH1532" i="7"/>
  <c r="BH776" i="7"/>
  <c r="BH1947" i="7"/>
  <c r="BH1354" i="7"/>
  <c r="BH1819" i="7"/>
  <c r="BH1576" i="7"/>
  <c r="BH624" i="7"/>
  <c r="BH2190" i="7"/>
  <c r="BH1843" i="7"/>
  <c r="BH1370" i="7"/>
  <c r="BH1769" i="7"/>
  <c r="BH913" i="7"/>
  <c r="BH1601" i="7"/>
  <c r="BH1443" i="7"/>
  <c r="BH1816" i="7"/>
  <c r="BH1737" i="7"/>
  <c r="BH1941" i="7"/>
  <c r="BH2012" i="7"/>
  <c r="BH228" i="7"/>
  <c r="BH107" i="7"/>
  <c r="BH2149" i="7"/>
  <c r="BH786" i="7"/>
  <c r="BH1885" i="7"/>
  <c r="BH184" i="7"/>
  <c r="BH1442" i="7"/>
  <c r="BH1235" i="7"/>
  <c r="BH422" i="7"/>
  <c r="BH1664" i="7"/>
  <c r="BH394" i="7"/>
  <c r="BH1957" i="7"/>
  <c r="BH1230" i="7"/>
  <c r="BH2030" i="7"/>
  <c r="BH1571" i="7"/>
  <c r="BH2216" i="7"/>
  <c r="BH486" i="7"/>
  <c r="BH2186" i="7"/>
  <c r="BH952" i="7"/>
  <c r="BH2065" i="7"/>
  <c r="BH1412" i="7"/>
  <c r="BH954" i="7"/>
  <c r="BH647" i="7"/>
  <c r="BH526" i="7"/>
  <c r="BH1574" i="7"/>
  <c r="BH859" i="7"/>
  <c r="BH2062" i="7"/>
  <c r="BH676" i="7"/>
  <c r="BH1747" i="7"/>
  <c r="BH2273" i="7"/>
  <c r="BH2243" i="7"/>
  <c r="BH985" i="7"/>
  <c r="BH812" i="7"/>
  <c r="BH2171" i="7"/>
  <c r="BH1491" i="7"/>
  <c r="BH449" i="7"/>
  <c r="BH1703" i="7"/>
  <c r="BH227" i="7"/>
  <c r="BH764" i="7"/>
  <c r="BH1212" i="7"/>
  <c r="BH1223" i="7"/>
  <c r="BH333" i="7"/>
  <c r="BH1519" i="7"/>
  <c r="BH268" i="7"/>
  <c r="BH354" i="7"/>
  <c r="BH1341" i="7"/>
  <c r="BH552" i="7"/>
  <c r="BH945" i="7"/>
  <c r="BH1605" i="7"/>
  <c r="BH1954" i="7"/>
  <c r="BH1238" i="7"/>
  <c r="BH15" i="7"/>
  <c r="BH1662" i="7"/>
  <c r="BH488" i="7"/>
  <c r="BH589" i="7"/>
  <c r="BH2055" i="7"/>
  <c r="BH602" i="7"/>
  <c r="BH2042" i="7"/>
  <c r="BH1086" i="7"/>
  <c r="BH2225" i="7"/>
  <c r="BH440" i="7"/>
  <c r="BH914" i="7"/>
  <c r="BH2142" i="7"/>
  <c r="BH1817" i="7"/>
  <c r="BH305" i="7"/>
  <c r="BH2075" i="7"/>
  <c r="BH1684" i="7"/>
  <c r="BH103" i="7"/>
  <c r="BH1424" i="7"/>
  <c r="BH1775" i="7"/>
  <c r="BH224" i="7"/>
  <c r="BH1099" i="7"/>
  <c r="BH262" i="7"/>
  <c r="BH1409" i="7"/>
  <c r="BH1521" i="7"/>
  <c r="BH431" i="7"/>
  <c r="BH1882" i="7"/>
  <c r="BH801" i="7"/>
  <c r="BH2158" i="7"/>
  <c r="BH1895" i="7"/>
  <c r="BH991" i="7"/>
  <c r="BH615" i="7"/>
  <c r="BH1830" i="7"/>
  <c r="BH1676" i="7"/>
  <c r="BH1372" i="7"/>
  <c r="BH258" i="7"/>
  <c r="BH1273" i="7"/>
  <c r="BH1949" i="7"/>
  <c r="BH747" i="7"/>
  <c r="BH866" i="7"/>
  <c r="BH904" i="7"/>
  <c r="BH1329" i="7"/>
  <c r="BH1503" i="7"/>
  <c r="BH688" i="7"/>
  <c r="BH1798" i="7"/>
  <c r="BH700" i="7"/>
  <c r="BH1645" i="7"/>
  <c r="BH918" i="7"/>
  <c r="BH2072" i="7"/>
  <c r="BH378" i="7"/>
  <c r="BH2189" i="7"/>
  <c r="BH869" i="7"/>
  <c r="BH1499" i="7"/>
  <c r="BH1200" i="7"/>
  <c r="BH2214" i="7"/>
  <c r="BH1232" i="7"/>
  <c r="BH1215" i="7"/>
  <c r="BH2024" i="7"/>
  <c r="BH1695" i="7"/>
  <c r="BH2280" i="7"/>
  <c r="BH756" i="7"/>
  <c r="BH2005" i="7"/>
  <c r="BH1128" i="7"/>
  <c r="BH1262" i="7"/>
  <c r="BH1293" i="7"/>
  <c r="BH658" i="7"/>
  <c r="BH232" i="7"/>
  <c r="BH400" i="7"/>
  <c r="BH609" i="7"/>
  <c r="BH1598" i="7"/>
  <c r="BH1270" i="7"/>
  <c r="BH1723" i="7"/>
  <c r="BH1292" i="7"/>
  <c r="BH1093" i="7"/>
  <c r="BH1826" i="7"/>
  <c r="BH2079" i="7"/>
  <c r="BH2016" i="7"/>
  <c r="BH1342" i="7"/>
  <c r="BH923" i="7"/>
  <c r="BH1391" i="7"/>
  <c r="BH1685" i="7"/>
  <c r="BH1187" i="7"/>
  <c r="BH809" i="7"/>
  <c r="BH1455" i="7"/>
  <c r="BH770" i="7"/>
  <c r="BH157" i="7"/>
  <c r="BH1720" i="7"/>
  <c r="BH2137" i="7"/>
  <c r="BH1181" i="7"/>
  <c r="BH818" i="7"/>
  <c r="BH1425" i="7"/>
  <c r="BH592" i="7"/>
  <c r="BH1552" i="7"/>
  <c r="BH2009" i="7"/>
  <c r="BH1367" i="7"/>
  <c r="BH261" i="7"/>
  <c r="BH1332" i="7"/>
  <c r="BH2063" i="7"/>
  <c r="BH1378" i="7"/>
  <c r="BH1162" i="7"/>
  <c r="BH1450" i="7"/>
  <c r="BH612" i="7"/>
  <c r="BH2084" i="7"/>
  <c r="BH1626" i="7"/>
  <c r="BH1869" i="7"/>
  <c r="BH872" i="7"/>
  <c r="BH2040" i="7"/>
  <c r="BH2182" i="7"/>
  <c r="BH1471" i="7"/>
  <c r="BH1138" i="7"/>
  <c r="BH2224" i="7"/>
  <c r="BH1373" i="7"/>
  <c r="BH1872" i="7"/>
  <c r="BH331" i="7"/>
  <c r="BH598" i="7"/>
  <c r="BH856" i="7"/>
  <c r="BH775" i="7"/>
  <c r="BH340" i="7"/>
  <c r="BH1016" i="7"/>
  <c r="BH830" i="7"/>
  <c r="BH2000" i="7"/>
  <c r="BH2074" i="7"/>
  <c r="BH1935" i="7"/>
  <c r="BH1711" i="7"/>
  <c r="BH1113" i="7"/>
  <c r="BH2007" i="7"/>
  <c r="BH1575" i="7"/>
  <c r="BH1165" i="7"/>
  <c r="BH541" i="7"/>
  <c r="BH965" i="7"/>
  <c r="BH721" i="7"/>
  <c r="BH739" i="7"/>
  <c r="BH1766" i="7"/>
  <c r="BH482" i="7"/>
  <c r="BH1307" i="7"/>
  <c r="BH717" i="7"/>
  <c r="BH342" i="7"/>
  <c r="BH949" i="7"/>
  <c r="BH1860" i="7"/>
  <c r="BH1164" i="7"/>
  <c r="BH1779" i="7"/>
  <c r="BH895" i="7"/>
  <c r="BH1145" i="7"/>
  <c r="BH1047" i="7"/>
  <c r="BH1182" i="7"/>
  <c r="BH1029" i="7"/>
  <c r="BH1116" i="7"/>
  <c r="BH868" i="7"/>
  <c r="BH1317" i="7"/>
  <c r="BH484" i="7"/>
  <c r="BH497" i="7"/>
  <c r="BH1441" i="7"/>
  <c r="BH1559" i="7"/>
  <c r="BH303" i="7"/>
  <c r="BH959" i="7"/>
  <c r="BH93" i="7"/>
  <c r="BH963" i="7"/>
  <c r="BH98" i="7"/>
  <c r="BH1296" i="7"/>
  <c r="BH2046" i="7"/>
  <c r="BH1961" i="7"/>
  <c r="BH1536" i="7"/>
  <c r="BH439" i="7"/>
  <c r="BH864" i="7"/>
  <c r="BH1565" i="7"/>
  <c r="BH1509" i="7"/>
  <c r="BH2166" i="7"/>
  <c r="BH845" i="7"/>
  <c r="BH824" i="7"/>
  <c r="BH911" i="7"/>
  <c r="BH1640" i="7"/>
  <c r="BH942" i="7"/>
  <c r="BH1483" i="7"/>
  <c r="BH1427" i="7"/>
  <c r="BH1520" i="7"/>
  <c r="BH1105" i="7"/>
  <c r="BH2174" i="7"/>
  <c r="BH1117" i="7"/>
  <c r="BH1314" i="7"/>
  <c r="BH1833" i="7"/>
  <c r="BH2272" i="7"/>
  <c r="BH1789" i="7"/>
  <c r="BH1100" i="7"/>
  <c r="BH1433" i="7"/>
  <c r="BH1682" i="7"/>
  <c r="BH2093" i="7"/>
  <c r="BH226" i="7"/>
  <c r="BH1161" i="7"/>
  <c r="BH1828" i="7"/>
  <c r="BH1346" i="7"/>
  <c r="BH1736" i="7"/>
  <c r="BH18" i="7"/>
  <c r="BH573" i="7"/>
  <c r="BH854" i="7"/>
  <c r="BH1760" i="7"/>
  <c r="BH1088" i="7"/>
  <c r="BH1973" i="7"/>
  <c r="BH1294" i="7"/>
  <c r="BH616" i="7"/>
  <c r="BH1875" i="7"/>
  <c r="BH1593" i="7"/>
  <c r="BH1423" i="7"/>
  <c r="BH1079" i="7"/>
  <c r="BH1058" i="7"/>
  <c r="BH851" i="7"/>
  <c r="BH353" i="7"/>
  <c r="BH636" i="7"/>
  <c r="BH1473" i="7"/>
  <c r="BH1335" i="7"/>
  <c r="BH1546" i="7"/>
  <c r="BH1768" i="7"/>
  <c r="BH2172" i="7"/>
  <c r="BH655" i="7"/>
  <c r="BH1966" i="7"/>
  <c r="BH1999" i="7"/>
  <c r="BH766" i="7"/>
  <c r="BH823" i="7"/>
  <c r="BH1562" i="7"/>
  <c r="BH1324" i="7"/>
  <c r="CM56" i="3"/>
  <c r="CM54" i="3"/>
  <c r="BK102" i="8"/>
  <c r="BK98" i="8"/>
  <c r="BK94" i="8"/>
  <c r="BK90" i="8"/>
  <c r="BK95" i="8"/>
  <c r="BK91" i="8"/>
  <c r="BK87" i="8"/>
  <c r="BK101" i="8"/>
  <c r="BK88" i="8"/>
  <c r="BK26" i="8"/>
  <c r="BK30" i="8"/>
  <c r="BK34" i="8"/>
  <c r="BK38" i="8"/>
  <c r="BK42" i="8"/>
  <c r="BK54" i="8"/>
  <c r="BK222" i="7"/>
  <c r="BK163" i="7"/>
  <c r="BK206" i="7"/>
  <c r="BK216" i="7"/>
  <c r="BK167" i="7"/>
  <c r="BK170" i="7"/>
  <c r="BK207" i="7"/>
  <c r="BK147" i="7"/>
  <c r="BK97" i="8"/>
  <c r="BK220" i="7"/>
  <c r="BK141" i="7"/>
  <c r="BK157" i="7"/>
  <c r="BK173" i="7"/>
  <c r="BK145" i="7"/>
  <c r="BK93" i="8"/>
  <c r="BK217" i="7"/>
  <c r="BK230" i="7"/>
  <c r="BK178" i="7"/>
  <c r="BK164" i="7"/>
  <c r="BK228" i="7"/>
  <c r="BK152" i="7"/>
  <c r="BK166" i="7"/>
  <c r="BK23" i="8"/>
  <c r="BK27" i="8"/>
  <c r="BK31" i="8"/>
  <c r="BK35" i="8"/>
  <c r="BK39" i="8"/>
  <c r="BK43" i="8"/>
  <c r="BK55" i="8"/>
  <c r="BK218" i="7"/>
  <c r="BK225" i="7"/>
  <c r="BK153" i="7"/>
  <c r="BK185" i="7"/>
  <c r="BK226" i="7"/>
  <c r="BK202" i="7"/>
  <c r="BK176" i="7"/>
  <c r="BK143" i="7"/>
  <c r="BK199" i="7"/>
  <c r="BK32" i="8"/>
  <c r="BK56" i="8"/>
  <c r="BK237" i="7"/>
  <c r="BK181" i="7"/>
  <c r="BK146" i="7"/>
  <c r="BK212" i="7"/>
  <c r="BK200" i="7"/>
  <c r="BK208" i="7"/>
  <c r="BK229" i="7"/>
  <c r="BK137" i="7"/>
  <c r="BK179" i="7"/>
  <c r="BK150" i="7"/>
  <c r="BK233" i="7"/>
  <c r="BK235" i="7"/>
  <c r="BK159" i="7"/>
  <c r="BK234" i="7"/>
  <c r="BK174" i="7"/>
  <c r="BK223" i="7"/>
  <c r="BK232" i="7"/>
  <c r="BK156" i="7"/>
  <c r="BK187" i="7"/>
  <c r="BK92" i="8"/>
  <c r="BK29" i="8"/>
  <c r="BK40" i="8"/>
  <c r="BK53" i="8"/>
  <c r="BK172" i="7"/>
  <c r="BK188" i="7"/>
  <c r="BK155" i="7"/>
  <c r="BK24" i="8"/>
  <c r="BK37" i="8"/>
  <c r="BK231" i="7"/>
  <c r="BK165" i="7"/>
  <c r="BK180" i="7"/>
  <c r="BK183" i="7"/>
  <c r="BK186" i="7"/>
  <c r="BK198" i="7"/>
  <c r="BK204" i="7"/>
  <c r="BK57" i="8"/>
  <c r="BK213" i="7"/>
  <c r="BK205" i="7"/>
  <c r="BK236" i="7"/>
  <c r="BK203" i="7"/>
  <c r="BK169" i="7"/>
  <c r="BK142" i="7"/>
  <c r="BK89" i="8"/>
  <c r="BK144" i="7"/>
  <c r="BK227" i="7"/>
  <c r="BK182" i="7"/>
  <c r="BK190" i="7"/>
  <c r="BK214" i="7"/>
  <c r="BK224" i="7"/>
  <c r="BK184" i="7"/>
  <c r="BK201" i="7"/>
  <c r="BK28" i="8"/>
  <c r="BK215" i="7"/>
  <c r="BK171" i="7"/>
  <c r="BK140" i="7"/>
  <c r="BK162" i="7"/>
  <c r="BK154" i="7"/>
  <c r="BK52" i="8"/>
  <c r="BK191" i="7"/>
  <c r="BK168" i="7"/>
  <c r="BK160" i="7"/>
  <c r="BK211" i="7"/>
  <c r="BK197" i="7"/>
  <c r="BK177" i="7"/>
  <c r="BK192" i="7"/>
  <c r="BK195" i="7"/>
  <c r="BK175" i="7"/>
  <c r="BK96" i="8"/>
  <c r="BK149" i="7"/>
  <c r="BK209" i="7"/>
  <c r="BK161" i="7"/>
  <c r="BK238" i="7"/>
  <c r="BK189" i="7"/>
  <c r="BK194" i="7"/>
  <c r="BK219" i="7"/>
  <c r="BK25" i="8"/>
  <c r="BK33" i="8"/>
  <c r="BK44" i="8"/>
  <c r="BK210" i="7"/>
  <c r="BK138" i="7"/>
  <c r="BK221" i="7"/>
  <c r="BK148" i="7"/>
  <c r="BK151" i="7"/>
  <c r="BK196" i="7"/>
  <c r="BK158" i="7"/>
  <c r="BK36" i="8"/>
  <c r="BK193" i="7"/>
  <c r="BK139" i="7"/>
  <c r="BK136" i="7"/>
  <c r="BK41" i="8"/>
  <c r="CP21" i="1"/>
  <c r="CP30" i="1"/>
  <c r="CP31" i="1"/>
  <c r="CP27" i="1"/>
  <c r="CP20" i="1"/>
  <c r="CL91" i="1"/>
  <c r="CQ91" i="1" s="1"/>
  <c r="CT91" i="1" s="1"/>
  <c r="CL124" i="1"/>
  <c r="CQ124" i="1" s="1"/>
  <c r="CT124" i="1" s="1"/>
  <c r="CL280" i="1"/>
  <c r="CQ280" i="1" s="1"/>
  <c r="CT280" i="1" s="1"/>
  <c r="CL232" i="1"/>
  <c r="CQ232" i="1" s="1"/>
  <c r="CT232" i="1" s="1"/>
  <c r="CL287" i="1"/>
  <c r="CQ287" i="1" s="1"/>
  <c r="CT287" i="1" s="1"/>
  <c r="CL180" i="1"/>
  <c r="CQ180" i="1" s="1"/>
  <c r="CT180" i="1" s="1"/>
  <c r="CL103" i="1"/>
  <c r="CQ103" i="1" s="1"/>
  <c r="CT103" i="1" s="1"/>
  <c r="CL134" i="1"/>
  <c r="CQ134" i="1" s="1"/>
  <c r="CT134" i="1" s="1"/>
  <c r="CL33" i="1"/>
  <c r="CQ33" i="1" s="1"/>
  <c r="CT33" i="1" s="1"/>
  <c r="CL299" i="1"/>
  <c r="CQ299" i="1" s="1"/>
  <c r="CT299" i="1" s="1"/>
  <c r="CL15" i="1"/>
  <c r="CQ15" i="1" s="1"/>
  <c r="CT15" i="1" s="1"/>
  <c r="CL34" i="1"/>
  <c r="CQ34" i="1" s="1"/>
  <c r="CT34" i="1" s="1"/>
  <c r="CL110" i="1"/>
  <c r="CQ110" i="1" s="1"/>
  <c r="CT110" i="1" s="1"/>
  <c r="CL305" i="1"/>
  <c r="CQ305" i="1" s="1"/>
  <c r="CT305" i="1" s="1"/>
  <c r="CL249" i="1"/>
  <c r="CQ249" i="1" s="1"/>
  <c r="CT249" i="1" s="1"/>
  <c r="CL277" i="1"/>
  <c r="CQ277" i="1" s="1"/>
  <c r="CT277" i="1" s="1"/>
  <c r="CL121" i="1"/>
  <c r="CQ121" i="1" s="1"/>
  <c r="CT121" i="1" s="1"/>
  <c r="CL157" i="1"/>
  <c r="CQ157" i="1" s="1"/>
  <c r="CT157" i="1" s="1"/>
  <c r="CL303" i="1"/>
  <c r="CQ303" i="1" s="1"/>
  <c r="CT303" i="1" s="1"/>
  <c r="CL21" i="1"/>
  <c r="CQ21" i="1" s="1"/>
  <c r="CT21" i="1" s="1"/>
  <c r="CL129" i="1"/>
  <c r="CL238" i="1"/>
  <c r="CL122" i="1"/>
  <c r="CQ122" i="1" s="1"/>
  <c r="CT122" i="1" s="1"/>
  <c r="CL170" i="1"/>
  <c r="CL139" i="1"/>
  <c r="CQ139" i="1" s="1"/>
  <c r="CT139" i="1" s="1"/>
  <c r="CL117" i="1"/>
  <c r="CM3" i="1"/>
  <c r="CM197" i="1"/>
  <c r="CM66" i="1"/>
  <c r="CM256" i="1"/>
  <c r="CM174" i="1"/>
  <c r="CM306" i="1"/>
  <c r="CM70" i="1"/>
  <c r="CM253" i="1"/>
  <c r="CM89" i="1"/>
  <c r="CM90" i="1"/>
  <c r="CM53" i="1"/>
  <c r="CM225" i="1"/>
  <c r="CM294" i="1"/>
  <c r="CM245" i="1"/>
  <c r="CM308" i="1"/>
  <c r="CM32" i="1"/>
  <c r="CM274" i="1"/>
  <c r="CM194" i="1"/>
  <c r="CM31" i="1"/>
  <c r="CM144" i="1"/>
  <c r="CM112" i="1"/>
  <c r="CM254" i="1"/>
  <c r="CM177" i="1"/>
  <c r="CM279" i="1"/>
  <c r="CO100" i="1"/>
  <c r="CP156" i="1"/>
  <c r="CP264" i="1"/>
  <c r="CP126" i="1"/>
  <c r="CR126" i="1" s="1"/>
  <c r="CS126" i="1" s="1"/>
  <c r="CU126" i="1" s="1"/>
  <c r="CX126" i="1" s="1"/>
  <c r="CP167" i="1"/>
  <c r="CP216" i="1"/>
  <c r="CR216" i="1" s="1"/>
  <c r="CS216" i="1" s="1"/>
  <c r="CU216" i="1" s="1"/>
  <c r="CP69" i="1"/>
  <c r="CR69" i="1" s="1"/>
  <c r="CS69" i="1" s="1"/>
  <c r="CU69" i="1" s="1"/>
  <c r="CX69" i="1" s="1"/>
  <c r="CP284" i="1"/>
  <c r="CP219" i="1"/>
  <c r="CP199" i="1"/>
  <c r="CP229" i="1"/>
  <c r="CP295" i="1"/>
  <c r="CP76" i="1"/>
  <c r="CP241" i="1"/>
  <c r="CP25" i="1"/>
  <c r="CP18" i="1"/>
  <c r="CR18" i="1" s="1"/>
  <c r="CS18" i="1" s="1"/>
  <c r="CU18" i="1" s="1"/>
  <c r="CP282" i="1"/>
  <c r="CP19" i="1"/>
  <c r="CP259" i="1"/>
  <c r="CP246" i="1"/>
  <c r="CO82" i="1"/>
  <c r="CO60" i="1"/>
  <c r="CO224" i="1"/>
  <c r="CO48" i="1"/>
  <c r="CO19" i="1"/>
  <c r="CO38" i="1"/>
  <c r="CN156" i="1"/>
  <c r="CN216" i="1"/>
  <c r="CN199" i="1"/>
  <c r="CN163" i="1"/>
  <c r="BJ15" i="8"/>
  <c r="BJ99" i="7"/>
  <c r="BJ2208" i="7"/>
  <c r="BJ2132" i="7"/>
  <c r="BJ2117" i="7"/>
  <c r="BJ1385" i="7"/>
  <c r="BJ502" i="7"/>
  <c r="BJ2122" i="7"/>
  <c r="BJ1009" i="7"/>
  <c r="BJ2233" i="7"/>
  <c r="BJ1391" i="7"/>
  <c r="BJ2099" i="7"/>
  <c r="BJ357" i="7"/>
  <c r="BJ1840" i="7"/>
  <c r="BJ1166" i="7"/>
  <c r="BJ1623" i="7"/>
  <c r="BJ1444" i="7"/>
  <c r="BJ2230" i="7"/>
  <c r="BJ1751" i="7"/>
  <c r="BJ909" i="7"/>
  <c r="BJ725" i="7"/>
  <c r="BJ407" i="7"/>
  <c r="BJ345" i="7"/>
  <c r="BJ2101" i="7"/>
  <c r="BJ2153" i="7"/>
  <c r="BJ558" i="7"/>
  <c r="BJ1475" i="7"/>
  <c r="BJ2112" i="7"/>
  <c r="BJ1893" i="7"/>
  <c r="BJ1399" i="7"/>
  <c r="BJ2175" i="7"/>
  <c r="BJ2162" i="7"/>
  <c r="BJ860" i="7"/>
  <c r="BJ2195" i="7"/>
  <c r="BJ386" i="7"/>
  <c r="BJ2145" i="7"/>
  <c r="BJ2232" i="7"/>
  <c r="BJ537" i="7"/>
  <c r="BJ1183" i="7"/>
  <c r="BJ896" i="7"/>
  <c r="BJ852" i="7"/>
  <c r="BJ2081" i="7"/>
  <c r="BJ1652" i="7"/>
  <c r="BJ745" i="7"/>
  <c r="BJ1764" i="7"/>
  <c r="BJ363" i="7"/>
  <c r="CO280" i="1"/>
  <c r="CO54" i="1"/>
  <c r="CO301" i="1"/>
  <c r="CO107" i="1"/>
  <c r="BK10" i="7"/>
  <c r="BK9" i="7"/>
  <c r="BK7" i="7"/>
  <c r="BK3" i="7"/>
  <c r="BK4" i="7"/>
  <c r="BK5" i="7"/>
  <c r="BK105" i="8"/>
  <c r="BK6" i="7"/>
  <c r="BK8" i="7"/>
  <c r="BK11" i="7"/>
  <c r="BK2" i="7"/>
  <c r="BK103" i="8"/>
  <c r="BK50" i="8"/>
  <c r="BK101" i="7"/>
  <c r="BK116" i="7"/>
  <c r="BK119" i="7"/>
  <c r="BK104" i="7"/>
  <c r="BK135" i="7"/>
  <c r="BK113" i="7"/>
  <c r="BK96" i="7"/>
  <c r="BK104" i="8"/>
  <c r="BK105" i="7"/>
  <c r="BK132" i="7"/>
  <c r="BK106" i="7"/>
  <c r="BK107" i="7"/>
  <c r="BK115" i="7"/>
  <c r="BK130" i="7"/>
  <c r="BK47" i="8"/>
  <c r="BK51" i="8"/>
  <c r="BK112" i="7"/>
  <c r="BK102" i="7"/>
  <c r="BK95" i="7"/>
  <c r="BK121" i="7"/>
  <c r="BK133" i="7"/>
  <c r="BK131" i="7"/>
  <c r="BK100" i="7"/>
  <c r="BK129" i="7"/>
  <c r="BK123" i="7"/>
  <c r="BK103" i="7"/>
  <c r="BK48" i="8"/>
  <c r="BK118" i="7"/>
  <c r="BK108" i="7"/>
  <c r="BK134" i="7"/>
  <c r="BK127" i="7"/>
  <c r="BK122" i="7"/>
  <c r="BK126" i="7"/>
  <c r="BK109" i="7"/>
  <c r="BK124" i="7"/>
  <c r="BK114" i="7"/>
  <c r="BK98" i="7"/>
  <c r="BK125" i="7"/>
  <c r="BK99" i="7"/>
  <c r="BK117" i="7"/>
  <c r="BK49" i="8"/>
  <c r="BK97" i="7"/>
  <c r="BK111" i="7"/>
  <c r="BK110" i="7"/>
  <c r="BK20" i="8"/>
  <c r="BK128" i="7"/>
  <c r="BK120" i="7"/>
  <c r="CP8" i="1"/>
  <c r="CP10" i="1"/>
  <c r="CP9" i="1"/>
  <c r="CL78" i="1"/>
  <c r="CQ78" i="1" s="1"/>
  <c r="CT78" i="1" s="1"/>
  <c r="CL231" i="1"/>
  <c r="CL118" i="1"/>
  <c r="CQ118" i="1" s="1"/>
  <c r="CT118" i="1" s="1"/>
  <c r="CL250" i="1"/>
  <c r="CQ250" i="1" s="1"/>
  <c r="CT250" i="1" s="1"/>
  <c r="CL217" i="1"/>
  <c r="CL58" i="1"/>
  <c r="CQ58" i="1" s="1"/>
  <c r="CT58" i="1" s="1"/>
  <c r="CL106" i="1"/>
  <c r="CQ106" i="1" s="1"/>
  <c r="CT106" i="1" s="1"/>
  <c r="CL251" i="1"/>
  <c r="CQ251" i="1" s="1"/>
  <c r="CT251" i="1" s="1"/>
  <c r="CL173" i="1"/>
  <c r="CQ173" i="1" s="1"/>
  <c r="CT173" i="1" s="1"/>
  <c r="CL164" i="1"/>
  <c r="CQ164" i="1" s="1"/>
  <c r="CT164" i="1" s="1"/>
  <c r="CL175" i="1"/>
  <c r="CL65" i="1"/>
  <c r="CQ65" i="1" s="1"/>
  <c r="CT65" i="1" s="1"/>
  <c r="CL74" i="1"/>
  <c r="CQ74" i="1" s="1"/>
  <c r="CT74" i="1" s="1"/>
  <c r="CL163" i="1"/>
  <c r="CQ163" i="1" s="1"/>
  <c r="CT163" i="1" s="1"/>
  <c r="CL150" i="1"/>
  <c r="CQ150" i="1" s="1"/>
  <c r="CT150" i="1" s="1"/>
  <c r="CL260" i="1"/>
  <c r="CQ260" i="1" s="1"/>
  <c r="CT260" i="1" s="1"/>
  <c r="CL189" i="1"/>
  <c r="CL239" i="1"/>
  <c r="CQ239" i="1" s="1"/>
  <c r="CT239" i="1" s="1"/>
  <c r="CL37" i="1"/>
  <c r="CL195" i="1"/>
  <c r="CQ195" i="1" s="1"/>
  <c r="CT195" i="1" s="1"/>
  <c r="CL293" i="1"/>
  <c r="CQ293" i="1" s="1"/>
  <c r="CT293" i="1" s="1"/>
  <c r="CL105" i="1"/>
  <c r="CQ105" i="1" s="1"/>
  <c r="CT105" i="1" s="1"/>
  <c r="CL130" i="1"/>
  <c r="CL56" i="1"/>
  <c r="CQ56" i="1" s="1"/>
  <c r="CT56" i="1" s="1"/>
  <c r="CL304" i="1"/>
  <c r="CQ304" i="1" s="1"/>
  <c r="CT304" i="1" s="1"/>
  <c r="CL100" i="1"/>
  <c r="CM204" i="1"/>
  <c r="CM123" i="1"/>
  <c r="CM187" i="1"/>
  <c r="CM168" i="1"/>
  <c r="CM138" i="1"/>
  <c r="CM283" i="1"/>
  <c r="CM272" i="1"/>
  <c r="CM52" i="1"/>
  <c r="CM85" i="1"/>
  <c r="CM133" i="1"/>
  <c r="CM136" i="1"/>
  <c r="CM192" i="1"/>
  <c r="CM49" i="1"/>
  <c r="CM290" i="1"/>
  <c r="CM149" i="1"/>
  <c r="CM242" i="1"/>
  <c r="CM226" i="1"/>
  <c r="CM255" i="1"/>
  <c r="CM42" i="1"/>
  <c r="CM59" i="1"/>
  <c r="CM210" i="1"/>
  <c r="CM67" i="1"/>
  <c r="CM152" i="1"/>
  <c r="CM102" i="1"/>
  <c r="CP100" i="1"/>
  <c r="CP44" i="1"/>
  <c r="CP154" i="1"/>
  <c r="CP203" i="1"/>
  <c r="CP97" i="1"/>
  <c r="CR97" i="1" s="1"/>
  <c r="CS97" i="1" s="1"/>
  <c r="CU97" i="1" s="1"/>
  <c r="CP137" i="1"/>
  <c r="CR137" i="1" s="1"/>
  <c r="CS137" i="1" s="1"/>
  <c r="CU137" i="1" s="1"/>
  <c r="CP289" i="1"/>
  <c r="CP270" i="1"/>
  <c r="CP281" i="1"/>
  <c r="CP115" i="1"/>
  <c r="CP234" i="1"/>
  <c r="CP271" i="1"/>
  <c r="CP125" i="1"/>
  <c r="CP24" i="1"/>
  <c r="CP267" i="1"/>
  <c r="CP37" i="1"/>
  <c r="CP105" i="1"/>
  <c r="CR105" i="1" s="1"/>
  <c r="CS105" i="1" s="1"/>
  <c r="CU105" i="1" s="1"/>
  <c r="CX105" i="1" s="1"/>
  <c r="CO126" i="1"/>
  <c r="CO284" i="1"/>
  <c r="CO295" i="1"/>
  <c r="CO18" i="1"/>
  <c r="CO258" i="1"/>
  <c r="CO278" i="1"/>
  <c r="CN51" i="1"/>
  <c r="CN93" i="1"/>
  <c r="CN153" i="1"/>
  <c r="CN150" i="1"/>
  <c r="BJ13" i="8"/>
  <c r="BJ1929" i="7"/>
  <c r="BJ1847" i="7"/>
  <c r="BJ1490" i="7"/>
  <c r="BJ2274" i="7"/>
  <c r="BJ2074" i="7"/>
  <c r="BJ2075" i="7"/>
  <c r="BJ1666" i="7"/>
  <c r="BJ1225" i="7"/>
  <c r="BJ678" i="7"/>
  <c r="BJ1668" i="7"/>
  <c r="BJ1641" i="7"/>
  <c r="BJ2272" i="7"/>
  <c r="BJ925" i="7"/>
  <c r="BJ1159" i="7"/>
  <c r="BJ1670" i="7"/>
  <c r="BJ359" i="7"/>
  <c r="BJ788" i="7"/>
  <c r="BJ778" i="7"/>
  <c r="BJ1786" i="7"/>
  <c r="BJ6" i="7"/>
  <c r="BJ2131" i="7"/>
  <c r="BJ341" i="7"/>
  <c r="BJ1142" i="7"/>
  <c r="BJ432" i="7"/>
  <c r="BJ1932" i="7"/>
  <c r="BJ2120" i="7"/>
  <c r="BJ2093" i="7"/>
  <c r="BJ729" i="7"/>
  <c r="BJ957" i="7"/>
  <c r="BJ1906" i="7"/>
  <c r="BJ291" i="7"/>
  <c r="BJ1152" i="7"/>
  <c r="BJ1790" i="7"/>
  <c r="BJ812" i="7"/>
  <c r="BJ1833" i="7"/>
  <c r="BJ2245" i="7"/>
  <c r="BJ398" i="7"/>
  <c r="BJ1943" i="7"/>
  <c r="BJ538" i="7"/>
  <c r="BJ1924" i="7"/>
  <c r="BJ239" i="7"/>
  <c r="BJ1934" i="7"/>
  <c r="BJ1312" i="7"/>
  <c r="BJ68" i="7"/>
  <c r="BJ2259" i="7"/>
  <c r="BJ533" i="7"/>
  <c r="BJ922" i="7"/>
  <c r="BJ897" i="7"/>
  <c r="BJ2227" i="7"/>
  <c r="BJ1462" i="7"/>
  <c r="BJ2047" i="7"/>
  <c r="BJ831" i="7"/>
  <c r="BJ2088" i="7"/>
  <c r="BJ2205" i="7"/>
  <c r="BJ1659" i="7"/>
  <c r="BJ1719" i="7"/>
  <c r="BJ2277" i="7"/>
  <c r="BJ2108" i="7"/>
  <c r="BJ1558" i="7"/>
  <c r="BJ2252" i="7"/>
  <c r="BJ214" i="7"/>
  <c r="BJ1816" i="7"/>
  <c r="BJ503" i="7"/>
  <c r="BJ1849" i="7"/>
  <c r="BJ1987" i="7"/>
  <c r="BJ741" i="7"/>
  <c r="BJ364" i="7"/>
  <c r="BJ694" i="7"/>
  <c r="BJ1781" i="7"/>
  <c r="BJ1383" i="7"/>
  <c r="BJ985" i="7"/>
  <c r="BJ1646" i="7"/>
  <c r="BJ406" i="7"/>
  <c r="BJ2262" i="7"/>
  <c r="BJ728" i="7"/>
  <c r="BJ1192" i="7"/>
  <c r="BJ1447" i="7"/>
  <c r="BJ276" i="7"/>
  <c r="BJ2090" i="7"/>
  <c r="BJ1862" i="7"/>
  <c r="BJ629" i="7"/>
  <c r="BJ1638" i="7"/>
  <c r="BJ1866" i="7"/>
  <c r="BJ681" i="7"/>
  <c r="BJ2193" i="7"/>
  <c r="BJ1460" i="7"/>
  <c r="BJ2091" i="7"/>
  <c r="BJ936" i="7"/>
  <c r="BJ1848" i="7"/>
  <c r="BJ847" i="7"/>
  <c r="BJ1480" i="7"/>
  <c r="BJ1008" i="7"/>
  <c r="BJ478" i="7"/>
  <c r="BJ1776" i="7"/>
  <c r="CO97" i="1"/>
  <c r="CO123" i="1"/>
  <c r="CO50" i="1"/>
  <c r="CO230" i="1"/>
  <c r="CO184" i="1"/>
  <c r="CO39" i="1"/>
  <c r="CO217" i="1"/>
  <c r="CO110" i="1"/>
  <c r="CO244" i="1"/>
  <c r="CO63" i="1"/>
  <c r="CO269" i="1"/>
  <c r="BK86" i="8"/>
  <c r="BK82" i="8"/>
  <c r="BK78" i="8"/>
  <c r="BK74" i="8"/>
  <c r="BK70" i="8"/>
  <c r="BK66" i="8"/>
  <c r="BK99" i="8"/>
  <c r="BK83" i="8"/>
  <c r="BK79" i="8"/>
  <c r="BK75" i="8"/>
  <c r="BK71" i="8"/>
  <c r="BK67" i="8"/>
  <c r="BK77" i="8"/>
  <c r="BK64" i="8"/>
  <c r="BK22" i="8"/>
  <c r="BK46" i="8"/>
  <c r="BK30" i="7"/>
  <c r="BK74" i="7"/>
  <c r="BK87" i="7"/>
  <c r="BK52" i="7"/>
  <c r="BK31" i="7"/>
  <c r="BK91" i="7"/>
  <c r="BK75" i="7"/>
  <c r="BK84" i="8"/>
  <c r="BK73" i="8"/>
  <c r="BK55" i="7"/>
  <c r="BK92" i="7"/>
  <c r="BK32" i="7"/>
  <c r="BK80" i="8"/>
  <c r="BK69" i="8"/>
  <c r="BK80" i="7"/>
  <c r="BK50" i="7"/>
  <c r="BK89" i="7"/>
  <c r="BK34" i="7"/>
  <c r="BK94" i="7"/>
  <c r="BK82" i="7"/>
  <c r="BK51" i="7"/>
  <c r="BK35" i="7"/>
  <c r="BK25" i="7"/>
  <c r="BK93" i="7"/>
  <c r="BK76" i="7"/>
  <c r="BK19" i="8"/>
  <c r="BK85" i="7"/>
  <c r="BK27" i="7"/>
  <c r="BK39" i="7"/>
  <c r="BK63" i="7"/>
  <c r="BK44" i="7"/>
  <c r="BK46" i="7"/>
  <c r="BK79" i="7"/>
  <c r="BK28" i="7"/>
  <c r="BK65" i="7"/>
  <c r="BK21" i="8"/>
  <c r="BK45" i="8"/>
  <c r="BK29" i="7"/>
  <c r="BK47" i="7"/>
  <c r="BK61" i="7"/>
  <c r="BK67" i="7"/>
  <c r="BK68" i="7"/>
  <c r="BK72" i="8"/>
  <c r="BK88" i="7"/>
  <c r="BK33" i="7"/>
  <c r="BK54" i="7"/>
  <c r="BK59" i="7"/>
  <c r="BK69" i="7"/>
  <c r="BK81" i="8"/>
  <c r="BK65" i="8"/>
  <c r="BK37" i="7"/>
  <c r="BK45" i="7"/>
  <c r="BK70" i="7"/>
  <c r="BK76" i="8"/>
  <c r="BK38" i="7"/>
  <c r="BK64" i="7"/>
  <c r="BK60" i="7"/>
  <c r="BK73" i="7"/>
  <c r="BK77" i="7"/>
  <c r="BK42" i="7"/>
  <c r="BK43" i="7"/>
  <c r="BK72" i="7"/>
  <c r="BK78" i="7"/>
  <c r="BK68" i="8"/>
  <c r="BK90" i="7"/>
  <c r="BK71" i="7"/>
  <c r="BK56" i="7"/>
  <c r="BK86" i="7"/>
  <c r="BK53" i="7"/>
  <c r="BK58" i="7"/>
  <c r="BK83" i="7"/>
  <c r="BK40" i="7"/>
  <c r="BK48" i="7"/>
  <c r="BK100" i="8"/>
  <c r="BK24" i="7"/>
  <c r="BK81" i="7"/>
  <c r="BK57" i="7"/>
  <c r="BK85" i="8"/>
  <c r="BK49" i="7"/>
  <c r="BK66" i="7"/>
  <c r="BK36" i="7"/>
  <c r="BK84" i="7"/>
  <c r="BK62" i="7"/>
  <c r="BK41" i="7"/>
  <c r="BK26" i="7"/>
  <c r="CL40" i="1"/>
  <c r="CQ40" i="1" s="1"/>
  <c r="CT40" i="1" s="1"/>
  <c r="CL237" i="1"/>
  <c r="CL11" i="1"/>
  <c r="CQ11" i="1" s="1"/>
  <c r="CT11" i="1" s="1"/>
  <c r="CL39" i="1"/>
  <c r="CQ39" i="1" s="1"/>
  <c r="CT39" i="1" s="1"/>
  <c r="CL79" i="1"/>
  <c r="CL214" i="1"/>
  <c r="CL184" i="1"/>
  <c r="CL200" i="1"/>
  <c r="CL262" i="1"/>
  <c r="CQ262" i="1" s="1"/>
  <c r="CT262" i="1" s="1"/>
  <c r="CL4" i="1"/>
  <c r="CQ4" i="1" s="1"/>
  <c r="CL233" i="1"/>
  <c r="CL57" i="1"/>
  <c r="CL80" i="1"/>
  <c r="CQ80" i="1" s="1"/>
  <c r="CT80" i="1" s="1"/>
  <c r="CL276" i="1"/>
  <c r="CL188" i="1"/>
  <c r="CL275" i="1"/>
  <c r="CL108" i="1"/>
  <c r="CQ108" i="1" s="1"/>
  <c r="CT108" i="1" s="1"/>
  <c r="CL230" i="1"/>
  <c r="CQ230" i="1" s="1"/>
  <c r="CT230" i="1" s="1"/>
  <c r="CL87" i="1"/>
  <c r="CL20" i="1"/>
  <c r="CQ20" i="1" s="1"/>
  <c r="CT20" i="1" s="1"/>
  <c r="CL296" i="1"/>
  <c r="CL95" i="1"/>
  <c r="CQ95" i="1" s="1"/>
  <c r="CT95" i="1" s="1"/>
  <c r="CL27" i="1"/>
  <c r="CQ27" i="1" s="1"/>
  <c r="CT27" i="1" s="1"/>
  <c r="CL179" i="1"/>
  <c r="CQ179" i="1" s="1"/>
  <c r="CT179" i="1" s="1"/>
  <c r="CL62" i="1"/>
  <c r="CQ62" i="1" s="1"/>
  <c r="CT62" i="1" s="1"/>
  <c r="BH710" i="7"/>
  <c r="BH366" i="7"/>
  <c r="BH510" i="7"/>
  <c r="BH416" i="7"/>
  <c r="BH1390" i="7"/>
  <c r="BH238" i="7"/>
  <c r="BH1383" i="7"/>
  <c r="BH2259" i="7"/>
  <c r="BH2081" i="7"/>
  <c r="BH537" i="7"/>
  <c r="BH407" i="7"/>
  <c r="BH1840" i="7"/>
  <c r="BH2086" i="7"/>
  <c r="BH2250" i="7"/>
  <c r="BH501" i="7"/>
  <c r="BH935" i="7"/>
  <c r="BH2236" i="7"/>
  <c r="BH293" i="7"/>
  <c r="BH1384" i="7"/>
  <c r="BH936" i="7"/>
  <c r="BH909" i="7"/>
  <c r="BH2092" i="7"/>
  <c r="BH1838" i="7"/>
  <c r="BH490" i="7"/>
  <c r="BH1416" i="7"/>
  <c r="BH2088" i="7"/>
  <c r="BH503" i="7"/>
  <c r="BH1399" i="7"/>
  <c r="BH345" i="7"/>
  <c r="BH666" i="7"/>
  <c r="BH402" i="7"/>
  <c r="BH930" i="7"/>
  <c r="BH1397" i="7"/>
  <c r="BH695" i="7"/>
  <c r="BH1527" i="7"/>
  <c r="BH365" i="7"/>
  <c r="BH689" i="7"/>
  <c r="BH540" i="7"/>
  <c r="BH926" i="7"/>
  <c r="BH743" i="7"/>
  <c r="BH364" i="7"/>
  <c r="BH1385" i="7"/>
  <c r="BH1538" i="7"/>
  <c r="BH96" i="7"/>
  <c r="BH1650" i="7"/>
  <c r="BH1505" i="7"/>
  <c r="BH1834" i="7"/>
  <c r="BH694" i="7"/>
  <c r="BH1906" i="7"/>
  <c r="BH2108" i="7"/>
  <c r="BH745" i="7"/>
  <c r="BH1495" i="7"/>
  <c r="BH2083" i="7"/>
  <c r="BH692" i="7"/>
  <c r="BH406" i="7"/>
  <c r="BH558" i="7"/>
  <c r="BH2207" i="7"/>
  <c r="BH928" i="7"/>
  <c r="BH1916" i="7"/>
  <c r="BH1847" i="7"/>
  <c r="BH1918" i="7"/>
  <c r="BH1022" i="7"/>
  <c r="BH2078" i="7"/>
  <c r="BH504" i="7"/>
  <c r="BH1930" i="7"/>
  <c r="BH309" i="7"/>
  <c r="BH1849" i="7"/>
  <c r="BH2087" i="7"/>
  <c r="BH97" i="7"/>
  <c r="BH737" i="7"/>
  <c r="BH711" i="7"/>
  <c r="BH1401" i="7"/>
  <c r="BH934" i="7"/>
  <c r="BH2091" i="7"/>
  <c r="BH1668" i="7"/>
  <c r="BH742" i="7"/>
  <c r="BH1842" i="7"/>
  <c r="BH1740" i="7"/>
  <c r="BH257" i="7"/>
  <c r="BH277" i="7"/>
  <c r="BH788" i="7"/>
  <c r="BH1681" i="7"/>
  <c r="BH720" i="7"/>
  <c r="BH1613" i="7"/>
  <c r="BH691" i="7"/>
  <c r="BH2132" i="7"/>
  <c r="BH502" i="7"/>
  <c r="BH685" i="7"/>
  <c r="BH302" i="7"/>
  <c r="BH2232" i="7"/>
  <c r="BH1002" i="7"/>
  <c r="BH404" i="7"/>
  <c r="BH1183" i="7"/>
  <c r="BH931" i="7"/>
  <c r="BH2194" i="7"/>
  <c r="BH1388" i="7"/>
  <c r="BH1475" i="7"/>
  <c r="BH1311" i="7"/>
  <c r="CM156" i="1"/>
  <c r="CM264" i="1"/>
  <c r="CM126" i="1"/>
  <c r="CM167" i="1"/>
  <c r="CM216" i="1"/>
  <c r="CM69" i="1"/>
  <c r="CM284" i="1"/>
  <c r="CM219" i="1"/>
  <c r="CM199" i="1"/>
  <c r="CM229" i="1"/>
  <c r="CM295" i="1"/>
  <c r="CM76" i="1"/>
  <c r="CM241" i="1"/>
  <c r="CM25" i="1"/>
  <c r="CM18" i="1"/>
  <c r="CM181" i="1"/>
  <c r="CM6" i="1"/>
  <c r="CM292" i="1"/>
  <c r="CM258" i="1"/>
  <c r="CM206" i="1"/>
  <c r="CM43" i="1"/>
  <c r="CM14" i="1"/>
  <c r="CM278" i="1"/>
  <c r="CM227" i="1"/>
  <c r="CM169" i="1"/>
  <c r="CP257" i="1"/>
  <c r="CP228" i="1"/>
  <c r="CP205" i="1"/>
  <c r="CP252" i="1"/>
  <c r="CP215" i="1"/>
  <c r="CP268" i="1"/>
  <c r="CP96" i="1"/>
  <c r="CP207" i="1"/>
  <c r="CP12" i="1"/>
  <c r="CP146" i="1"/>
  <c r="CP191" i="1"/>
  <c r="CP111" i="1"/>
  <c r="CP211" i="1"/>
  <c r="CP88" i="1"/>
  <c r="CR88" i="1" s="1"/>
  <c r="CS88" i="1" s="1"/>
  <c r="CU88" i="1" s="1"/>
  <c r="CX88" i="1" s="1"/>
  <c r="CP145" i="1"/>
  <c r="CP143" i="1"/>
  <c r="CP266" i="1"/>
  <c r="CR266" i="1" s="1"/>
  <c r="CS266" i="1" s="1"/>
  <c r="CU266" i="1" s="1"/>
  <c r="CX266" i="1" s="1"/>
  <c r="CP255" i="1"/>
  <c r="CP210" i="1"/>
  <c r="CR210" i="1" s="1"/>
  <c r="CS210" i="1" s="1"/>
  <c r="CU210" i="1" s="1"/>
  <c r="CX210" i="1" s="1"/>
  <c r="CP102" i="1"/>
  <c r="CR102" i="1" s="1"/>
  <c r="CS102" i="1" s="1"/>
  <c r="CU102" i="1" s="1"/>
  <c r="CO252" i="1"/>
  <c r="CO111" i="1"/>
  <c r="CO143" i="1"/>
  <c r="CO183" i="1"/>
  <c r="CO131" i="1"/>
  <c r="CN231" i="1"/>
  <c r="CN58" i="1"/>
  <c r="CN164" i="1"/>
  <c r="CN260" i="1"/>
  <c r="BJ16" i="8"/>
  <c r="BJ1782" i="7"/>
  <c r="BJ1031" i="7"/>
  <c r="BJ1997" i="7"/>
  <c r="BJ641" i="7"/>
  <c r="BJ1748" i="7"/>
  <c r="BJ2004" i="7"/>
  <c r="BJ1563" i="7"/>
  <c r="BJ2243" i="7"/>
  <c r="BJ1314" i="7"/>
  <c r="BJ668" i="7"/>
  <c r="BJ1658" i="7"/>
  <c r="BJ1802" i="7"/>
  <c r="BJ1682" i="7"/>
  <c r="BJ392" i="7"/>
  <c r="BJ1727" i="7"/>
  <c r="BJ737" i="7"/>
  <c r="BJ277" i="7"/>
  <c r="BJ1740" i="7"/>
  <c r="BJ329" i="7"/>
  <c r="BJ1467" i="7"/>
  <c r="BJ1311" i="7"/>
  <c r="BJ95" i="7"/>
  <c r="BJ426" i="7"/>
  <c r="BJ1479" i="7"/>
  <c r="BJ1823" i="7"/>
  <c r="BJ763" i="7"/>
  <c r="BJ1897" i="7"/>
  <c r="BJ1381" i="7"/>
  <c r="BJ1136" i="7"/>
  <c r="BJ1437" i="7"/>
  <c r="BJ1122" i="7"/>
  <c r="BJ2083" i="7"/>
  <c r="BJ1474" i="7"/>
  <c r="BJ2070" i="7"/>
  <c r="BJ62" i="7"/>
  <c r="BJ1601" i="7"/>
  <c r="BJ926" i="7"/>
  <c r="BJ2283" i="7"/>
  <c r="BJ1613" i="7"/>
  <c r="BJ679" i="7"/>
  <c r="BJ692" i="7"/>
  <c r="BJ1379" i="7"/>
  <c r="BJ1303" i="7"/>
  <c r="BJ138" i="7"/>
  <c r="BJ1416" i="7"/>
  <c r="BJ2102" i="7"/>
  <c r="BJ934" i="7"/>
  <c r="BJ1410" i="7"/>
  <c r="BJ634" i="7"/>
  <c r="BJ1363" i="7"/>
  <c r="BJ399" i="7"/>
  <c r="BJ2244" i="7"/>
  <c r="BJ2219" i="7"/>
  <c r="BJ1777" i="7"/>
  <c r="BJ2082" i="7"/>
  <c r="BJ1635" i="7"/>
  <c r="BJ415" i="7"/>
  <c r="BJ1267" i="7"/>
  <c r="BJ1476" i="7"/>
  <c r="BJ461" i="7"/>
  <c r="BJ1240" i="7"/>
  <c r="BJ1325" i="7"/>
  <c r="BJ844" i="7"/>
  <c r="BJ195" i="7"/>
  <c r="BJ924" i="7"/>
  <c r="BJ579" i="7"/>
  <c r="BJ627" i="7"/>
  <c r="BJ1946" i="7"/>
  <c r="BJ1488" i="7"/>
  <c r="BJ977" i="7"/>
  <c r="BJ1316" i="7"/>
  <c r="BJ1000" i="7"/>
  <c r="BJ1888" i="7"/>
  <c r="BJ1593" i="7"/>
  <c r="BJ1340" i="7"/>
  <c r="BJ362" i="7"/>
  <c r="BJ618" i="7"/>
  <c r="BJ1129" i="7"/>
  <c r="BJ1817" i="7"/>
  <c r="BJ1304" i="7"/>
  <c r="BJ1331" i="7"/>
  <c r="BJ2146" i="7"/>
  <c r="BJ1677" i="7"/>
  <c r="BJ702" i="7"/>
  <c r="BJ1027" i="7"/>
  <c r="BJ1255" i="7"/>
  <c r="BJ1640" i="7"/>
  <c r="BJ732" i="7"/>
  <c r="BJ1154" i="7"/>
  <c r="BJ2253" i="7"/>
  <c r="BJ2189" i="7"/>
  <c r="BJ2080" i="7"/>
  <c r="BJ1562" i="7"/>
  <c r="BJ2127" i="7"/>
  <c r="BJ1287" i="7"/>
  <c r="BJ1318" i="7"/>
  <c r="BJ302" i="7"/>
  <c r="BJ575" i="7"/>
  <c r="BJ2251" i="7"/>
  <c r="BJ2221" i="7"/>
  <c r="BJ999" i="7"/>
  <c r="BJ1018" i="7"/>
  <c r="BJ642" i="7"/>
  <c r="BJ1524" i="7"/>
  <c r="BJ695" i="7"/>
  <c r="BJ691" i="7"/>
  <c r="BJ1758" i="7"/>
  <c r="BJ556" i="7"/>
  <c r="BJ892" i="7"/>
  <c r="BJ1762" i="7"/>
  <c r="BJ1196" i="7"/>
  <c r="BJ870" i="7"/>
  <c r="BJ711" i="7"/>
  <c r="BJ1527" i="7"/>
  <c r="BJ142" i="7"/>
  <c r="BJ1600" i="7"/>
  <c r="BJ293" i="7"/>
  <c r="BJ281" i="7"/>
  <c r="BJ1555" i="7"/>
  <c r="BJ2045" i="7"/>
  <c r="BJ2056" i="7"/>
  <c r="BJ1899" i="7"/>
  <c r="BJ1418" i="7"/>
  <c r="BJ1228" i="7"/>
  <c r="BJ189" i="7"/>
  <c r="BJ687" i="7"/>
  <c r="BJ1373" i="7"/>
  <c r="BJ1672" i="7"/>
  <c r="BJ2066" i="7"/>
  <c r="BJ451" i="7"/>
  <c r="BJ603" i="7"/>
  <c r="BJ1637" i="7"/>
  <c r="BJ1505" i="7"/>
  <c r="BJ2014" i="7"/>
  <c r="BJ1539" i="7"/>
  <c r="BJ1487" i="7"/>
  <c r="BJ2271" i="7"/>
  <c r="BJ1053" i="7"/>
  <c r="BJ1589" i="7"/>
  <c r="BJ718" i="7"/>
  <c r="BJ1057" i="7"/>
  <c r="BJ1124" i="7"/>
  <c r="BJ307" i="7"/>
  <c r="BJ1400" i="7"/>
  <c r="BJ2021" i="7"/>
  <c r="BJ633" i="7"/>
  <c r="BJ492" i="7"/>
  <c r="BJ955" i="7"/>
  <c r="BJ927" i="7"/>
  <c r="BJ1175" i="7"/>
  <c r="BJ1805" i="7"/>
  <c r="BJ655" i="7"/>
  <c r="BJ500" i="7"/>
  <c r="BJ1545" i="7"/>
  <c r="BJ457" i="7"/>
  <c r="BJ499" i="7"/>
  <c r="BJ698" i="7"/>
  <c r="BJ553" i="7"/>
  <c r="BJ1584" i="7"/>
  <c r="BJ1581" i="7"/>
  <c r="BJ327" i="7"/>
  <c r="BJ1903" i="7"/>
  <c r="BJ339" i="7"/>
  <c r="BJ829" i="7"/>
  <c r="BJ923" i="7"/>
  <c r="BJ1384" i="7"/>
  <c r="BJ1251" i="7"/>
  <c r="BJ790" i="7"/>
  <c r="BJ1465" i="7"/>
  <c r="BJ1632" i="7"/>
  <c r="BJ1443" i="7"/>
  <c r="BJ493" i="7"/>
  <c r="BJ1608" i="7"/>
  <c r="BJ1398" i="7"/>
  <c r="BJ1599" i="7"/>
  <c r="BJ1300" i="7"/>
  <c r="BJ720" i="7"/>
  <c r="BJ403" i="7"/>
  <c r="BJ2036" i="7"/>
  <c r="BJ2076" i="7"/>
  <c r="BJ673" i="7"/>
  <c r="BJ1173" i="7"/>
  <c r="BJ496" i="7"/>
  <c r="BJ542" i="7"/>
  <c r="BJ708" i="7"/>
  <c r="BJ309" i="7"/>
  <c r="BJ2114" i="7"/>
  <c r="BJ746" i="7"/>
  <c r="BJ1177" i="7"/>
  <c r="BJ1900" i="7"/>
  <c r="BJ601" i="7"/>
  <c r="BJ2240" i="7"/>
  <c r="BJ1615" i="7"/>
  <c r="BJ380" i="7"/>
  <c r="BJ1227" i="7"/>
  <c r="BJ1842" i="7"/>
  <c r="BJ1380" i="7"/>
  <c r="BJ534" i="7"/>
  <c r="BJ1422" i="7"/>
  <c r="BJ1660" i="7"/>
  <c r="BJ1143" i="7"/>
  <c r="BJ743" i="7"/>
  <c r="BJ2015" i="7"/>
  <c r="BJ644" i="7"/>
  <c r="BJ686" i="7"/>
  <c r="BJ497" i="7"/>
  <c r="BJ1793" i="7"/>
  <c r="BJ869" i="7"/>
  <c r="BJ197" i="7"/>
  <c r="BJ715" i="7"/>
  <c r="BJ2265" i="7"/>
  <c r="BJ1967" i="7"/>
  <c r="BJ2142" i="7"/>
  <c r="BJ1518" i="7"/>
  <c r="BJ1779" i="7"/>
  <c r="BJ1362" i="7"/>
  <c r="BJ555" i="7"/>
  <c r="BJ1246" i="7"/>
  <c r="BJ1716" i="7"/>
  <c r="BJ8" i="7"/>
  <c r="BJ454" i="7"/>
  <c r="BJ2206" i="7"/>
  <c r="BJ305" i="7"/>
  <c r="BJ378" i="7"/>
  <c r="BJ139" i="7"/>
  <c r="BJ931" i="7"/>
  <c r="BJ1643" i="7"/>
  <c r="BJ980" i="7"/>
  <c r="BJ835" i="7"/>
  <c r="BJ1397" i="7"/>
  <c r="BJ1013" i="7"/>
  <c r="BJ1821" i="7"/>
  <c r="BJ2026" i="7"/>
  <c r="BJ889" i="7"/>
  <c r="BJ1834" i="7"/>
  <c r="BJ505" i="7"/>
  <c r="BJ1449" i="7"/>
  <c r="BJ2159" i="7"/>
  <c r="BJ1147" i="7"/>
  <c r="BJ1642" i="7"/>
  <c r="BJ1346" i="7"/>
  <c r="BJ1754" i="7"/>
  <c r="BJ128" i="7"/>
  <c r="BJ196" i="7"/>
  <c r="BJ1328" i="7"/>
  <c r="BJ1441" i="7"/>
  <c r="BJ2163" i="7"/>
  <c r="CO240" i="1"/>
  <c r="CO282" i="1"/>
  <c r="CO270" i="1"/>
  <c r="CO137" i="1"/>
  <c r="CO154" i="1"/>
  <c r="CO283" i="1"/>
  <c r="CO187" i="1"/>
  <c r="CO53" i="1"/>
  <c r="CO89" i="1"/>
  <c r="CO70" i="1"/>
  <c r="CO201" i="1"/>
  <c r="CO57" i="1"/>
  <c r="CO79" i="1"/>
  <c r="CO237" i="1"/>
  <c r="CO40" i="1"/>
  <c r="CO58" i="1"/>
  <c r="CO231" i="1"/>
  <c r="CO124" i="1"/>
  <c r="CO178" i="1"/>
  <c r="CO302" i="1"/>
  <c r="CO142" i="1"/>
  <c r="CO193" i="1"/>
  <c r="CO300" i="1"/>
  <c r="CO86" i="1"/>
  <c r="CO186" i="1"/>
  <c r="CO182" i="1"/>
  <c r="BK2282" i="7"/>
  <c r="BK2283" i="7"/>
  <c r="CL201" i="1"/>
  <c r="CQ201" i="1" s="1"/>
  <c r="CT201" i="1" s="1"/>
  <c r="CL3" i="1"/>
  <c r="CQ3" i="1" s="1"/>
  <c r="CT3" i="1" s="1"/>
  <c r="CL197" i="1"/>
  <c r="CQ197" i="1" s="1"/>
  <c r="CT197" i="1" s="1"/>
  <c r="CL66" i="1"/>
  <c r="CQ66" i="1" s="1"/>
  <c r="CT66" i="1" s="1"/>
  <c r="CL256" i="1"/>
  <c r="CQ256" i="1" s="1"/>
  <c r="CT256" i="1" s="1"/>
  <c r="CL174" i="1"/>
  <c r="CL306" i="1"/>
  <c r="CQ306" i="1" s="1"/>
  <c r="CT306" i="1" s="1"/>
  <c r="CL70" i="1"/>
  <c r="CQ70" i="1" s="1"/>
  <c r="CT70" i="1" s="1"/>
  <c r="CL253" i="1"/>
  <c r="CQ253" i="1" s="1"/>
  <c r="CT253" i="1" s="1"/>
  <c r="CL89" i="1"/>
  <c r="CQ89" i="1" s="1"/>
  <c r="CT89" i="1" s="1"/>
  <c r="CL90" i="1"/>
  <c r="CQ90" i="1" s="1"/>
  <c r="CT90" i="1" s="1"/>
  <c r="CL53" i="1"/>
  <c r="CL225" i="1"/>
  <c r="CQ225" i="1" s="1"/>
  <c r="CT225" i="1" s="1"/>
  <c r="CL294" i="1"/>
  <c r="CQ294" i="1" s="1"/>
  <c r="CT294" i="1" s="1"/>
  <c r="CL245" i="1"/>
  <c r="CQ245" i="1" s="1"/>
  <c r="CT245" i="1" s="1"/>
  <c r="CL308" i="1"/>
  <c r="CL32" i="1"/>
  <c r="CQ32" i="1" s="1"/>
  <c r="CT32" i="1" s="1"/>
  <c r="CL274" i="1"/>
  <c r="CQ274" i="1" s="1"/>
  <c r="CT274" i="1" s="1"/>
  <c r="CL194" i="1"/>
  <c r="CL31" i="1"/>
  <c r="CQ31" i="1" s="1"/>
  <c r="CT31" i="1" s="1"/>
  <c r="CL144" i="1"/>
  <c r="CQ144" i="1" s="1"/>
  <c r="CT144" i="1" s="1"/>
  <c r="CL112" i="1"/>
  <c r="CQ112" i="1" s="1"/>
  <c r="CT112" i="1" s="1"/>
  <c r="CL254" i="1"/>
  <c r="CQ254" i="1" s="1"/>
  <c r="CT254" i="1" s="1"/>
  <c r="CL177" i="1"/>
  <c r="CM154" i="1"/>
  <c r="CM203" i="1"/>
  <c r="CM97" i="1"/>
  <c r="CM137" i="1"/>
  <c r="CM7" i="1"/>
  <c r="CM289" i="1"/>
  <c r="CM270" i="1"/>
  <c r="CM281" i="1"/>
  <c r="CM115" i="1"/>
  <c r="CM234" i="1"/>
  <c r="CM271" i="1"/>
  <c r="CM125" i="1"/>
  <c r="CM24" i="1"/>
  <c r="CM267" i="1"/>
  <c r="CM282" i="1"/>
  <c r="CM240" i="1"/>
  <c r="CM208" i="1"/>
  <c r="CM213" i="1"/>
  <c r="CM155" i="1"/>
  <c r="CM36" i="1"/>
  <c r="CM120" i="1"/>
  <c r="CM161" i="1"/>
  <c r="CM75" i="1"/>
  <c r="CM218" i="1"/>
  <c r="CP107" i="1"/>
  <c r="CR107" i="1" s="1"/>
  <c r="CS107" i="1" s="1"/>
  <c r="CU107" i="1" s="1"/>
  <c r="CX107" i="1" s="1"/>
  <c r="CP135" i="1"/>
  <c r="CR135" i="1" s="1"/>
  <c r="CS135" i="1" s="1"/>
  <c r="CU135" i="1" s="1"/>
  <c r="CX135" i="1" s="1"/>
  <c r="CP182" i="1"/>
  <c r="CP72" i="1"/>
  <c r="CP286" i="1"/>
  <c r="CP171" i="1"/>
  <c r="CP41" i="1"/>
  <c r="CP301" i="1"/>
  <c r="CP22" i="1"/>
  <c r="CP209" i="1"/>
  <c r="CP148" i="1"/>
  <c r="CP273" i="1"/>
  <c r="CP222" i="1"/>
  <c r="CR222" i="1" s="1"/>
  <c r="CS222" i="1" s="1"/>
  <c r="CU222" i="1" s="1"/>
  <c r="CP2" i="1"/>
  <c r="CP263" i="1"/>
  <c r="CP236" i="1"/>
  <c r="CP121" i="1"/>
  <c r="CR121" i="1" s="1"/>
  <c r="CS121" i="1" s="1"/>
  <c r="CU121" i="1" s="1"/>
  <c r="CP258" i="1"/>
  <c r="CP14" i="1"/>
  <c r="CP169" i="1"/>
  <c r="CO45" i="1"/>
  <c r="CO94" i="1"/>
  <c r="CO132" i="1"/>
  <c r="CO165" i="1"/>
  <c r="CO46" i="1"/>
  <c r="CN264" i="1"/>
  <c r="CN69" i="1"/>
  <c r="CN229" i="1"/>
  <c r="CN189" i="1"/>
  <c r="BG105" i="8"/>
  <c r="BG101" i="8"/>
  <c r="BG97" i="8"/>
  <c r="BG93" i="8"/>
  <c r="BG89" i="8"/>
  <c r="BG85" i="8"/>
  <c r="BG81" i="8"/>
  <c r="BG77" i="8"/>
  <c r="BG73" i="8"/>
  <c r="BG69" i="8"/>
  <c r="BG65" i="8"/>
  <c r="BG61" i="8"/>
  <c r="BG5" i="8"/>
  <c r="BG102" i="8"/>
  <c r="BG98" i="8"/>
  <c r="BG94" i="8"/>
  <c r="BG90" i="8"/>
  <c r="BG86" i="8"/>
  <c r="BG82" i="8"/>
  <c r="BG78" i="8"/>
  <c r="BG74" i="8"/>
  <c r="BG70" i="8"/>
  <c r="BG66" i="8"/>
  <c r="BG62" i="8"/>
  <c r="BG4" i="8"/>
  <c r="BG83" i="8"/>
  <c r="BG3" i="8"/>
  <c r="BG92" i="8"/>
  <c r="BG68" i="8"/>
  <c r="BG103" i="8"/>
  <c r="BG79" i="8"/>
  <c r="BG8" i="8"/>
  <c r="BG12" i="8"/>
  <c r="BG16" i="8"/>
  <c r="BG20" i="8"/>
  <c r="BG24" i="8"/>
  <c r="BG28" i="8"/>
  <c r="BG32" i="8"/>
  <c r="BG36" i="8"/>
  <c r="BG40" i="8"/>
  <c r="BG44" i="8"/>
  <c r="BG48" i="8"/>
  <c r="BG52" i="8"/>
  <c r="BG56" i="8"/>
  <c r="BG60" i="8"/>
  <c r="BG99" i="8"/>
  <c r="BG75" i="8"/>
  <c r="BG84" i="8"/>
  <c r="BG7" i="8"/>
  <c r="BG11" i="8"/>
  <c r="BG15" i="8"/>
  <c r="BG19" i="8"/>
  <c r="BG23" i="8"/>
  <c r="BG27" i="8"/>
  <c r="BG31" i="8"/>
  <c r="BG35" i="8"/>
  <c r="BG39" i="8"/>
  <c r="BG43" i="8"/>
  <c r="BG47" i="8"/>
  <c r="BG51" i="8"/>
  <c r="BG55" i="8"/>
  <c r="BG59" i="8"/>
  <c r="BG100" i="8"/>
  <c r="BG76" i="8"/>
  <c r="BG14" i="8"/>
  <c r="BG21" i="8"/>
  <c r="BG34" i="8"/>
  <c r="BG45" i="8"/>
  <c r="BG58" i="8"/>
  <c r="BG91" i="8"/>
  <c r="BG25" i="8"/>
  <c r="BG38" i="8"/>
  <c r="BG49" i="8"/>
  <c r="BG88" i="8"/>
  <c r="BG72" i="8"/>
  <c r="BG63" i="8"/>
  <c r="BG9" i="8"/>
  <c r="BG29" i="8"/>
  <c r="BG42" i="8"/>
  <c r="BG53" i="8"/>
  <c r="BG104" i="8"/>
  <c r="BG71" i="8"/>
  <c r="BG46" i="8"/>
  <c r="BG17" i="8"/>
  <c r="BG30" i="8"/>
  <c r="BG6" i="8"/>
  <c r="BG37" i="8"/>
  <c r="BG96" i="8"/>
  <c r="BG26" i="8"/>
  <c r="BG2" i="8"/>
  <c r="BG54" i="8"/>
  <c r="BG41" i="8"/>
  <c r="BG50" i="8"/>
  <c r="BG95" i="8"/>
  <c r="BG67" i="8"/>
  <c r="BG13" i="8"/>
  <c r="BG22" i="8"/>
  <c r="BG57" i="8"/>
  <c r="BG87" i="8"/>
  <c r="BG64" i="8"/>
  <c r="BG80" i="8"/>
  <c r="BG18" i="8"/>
  <c r="BG10" i="8"/>
  <c r="BG33" i="8"/>
  <c r="BG221" i="7"/>
  <c r="BG1936" i="7"/>
  <c r="BG1773" i="7"/>
  <c r="BG1572" i="7"/>
  <c r="BG1051" i="7"/>
  <c r="BG882" i="7"/>
  <c r="BG1482" i="7"/>
  <c r="BG697" i="7"/>
  <c r="BG865" i="7"/>
  <c r="BG1902" i="7"/>
  <c r="BG2069" i="7"/>
  <c r="BG1338" i="7"/>
  <c r="BG2176" i="7"/>
  <c r="BG680" i="7"/>
  <c r="BG1060" i="7"/>
  <c r="BG1035" i="7"/>
  <c r="BG559" i="7"/>
  <c r="BG2198" i="7"/>
  <c r="BG1405" i="7"/>
  <c r="BG1938" i="7"/>
  <c r="BG1407" i="7"/>
  <c r="BG1647" i="7"/>
  <c r="BG1231" i="7"/>
  <c r="BG1951" i="7"/>
  <c r="BG1030" i="7"/>
  <c r="BG2052" i="7"/>
  <c r="BG1687" i="7"/>
  <c r="BG1685" i="7"/>
  <c r="BG383" i="7"/>
  <c r="BG1496" i="7"/>
  <c r="BG81" i="7"/>
  <c r="BG1349" i="7"/>
  <c r="BG2128" i="7"/>
  <c r="BG1269" i="7"/>
  <c r="BG1688" i="7"/>
  <c r="BG1942" i="7"/>
  <c r="BG1911" i="7"/>
  <c r="BG118" i="7"/>
  <c r="BG1734" i="7"/>
  <c r="BG388" i="7"/>
  <c r="BG1994" i="7"/>
  <c r="BG60" i="7"/>
  <c r="BG1206" i="7"/>
  <c r="BG969" i="7"/>
  <c r="BG1494" i="7"/>
  <c r="BG1232" i="7"/>
  <c r="BG1234" i="7"/>
  <c r="BG231" i="7"/>
  <c r="BG240" i="7"/>
  <c r="BG1715" i="7"/>
  <c r="BG1096" i="7"/>
  <c r="BG1395" i="7"/>
  <c r="BG303" i="7"/>
  <c r="BG2032" i="7"/>
  <c r="BG1212" i="7"/>
  <c r="BG545" i="7"/>
  <c r="BG2024" i="7"/>
  <c r="BG455" i="7"/>
  <c r="BG349" i="7"/>
  <c r="BG290" i="7"/>
  <c r="BG168" i="7"/>
  <c r="BG165" i="7"/>
  <c r="BG283" i="7"/>
  <c r="BG1736" i="7"/>
  <c r="BG17" i="7"/>
  <c r="BG1123" i="7"/>
  <c r="BG36" i="7"/>
  <c r="BG254" i="7"/>
  <c r="BG1813" i="7"/>
  <c r="BG1250" i="7"/>
  <c r="BG1113" i="7"/>
  <c r="BG180" i="7"/>
  <c r="BG158" i="7"/>
  <c r="BG108" i="7"/>
  <c r="BG756" i="7"/>
  <c r="BG183" i="7"/>
  <c r="BG984" i="7"/>
  <c r="BG2187" i="7"/>
  <c r="BG2270" i="7"/>
  <c r="BG73" i="7"/>
  <c r="BG1128" i="7"/>
  <c r="BG1532" i="7"/>
  <c r="BG320" i="7"/>
  <c r="BG21" i="7"/>
  <c r="BG354" i="7"/>
  <c r="BG775" i="7"/>
  <c r="BG1048" i="7"/>
  <c r="BG721" i="7"/>
  <c r="BG664" i="7"/>
  <c r="BG422" i="7"/>
  <c r="BG1963" i="7"/>
  <c r="BG899" i="7"/>
  <c r="BG1692" i="7"/>
  <c r="BG1073" i="7"/>
  <c r="BG1047" i="7"/>
  <c r="BG2027" i="7"/>
  <c r="BG1458" i="7"/>
  <c r="BG1489" i="7"/>
  <c r="BG1464" i="7"/>
  <c r="BG1933" i="7"/>
  <c r="BG507" i="7"/>
  <c r="BG1188" i="7"/>
  <c r="BG991" i="7"/>
  <c r="BG2013" i="7"/>
  <c r="BG1954" i="7"/>
  <c r="BG1466" i="7"/>
  <c r="BG2058" i="7"/>
  <c r="BG1278" i="7"/>
  <c r="BG620" i="7"/>
  <c r="BG1565" i="7"/>
  <c r="BG148" i="7"/>
  <c r="BG1863" i="7"/>
  <c r="BG2073" i="7"/>
  <c r="BG155" i="7"/>
  <c r="BG2063" i="7"/>
  <c r="BG989" i="7"/>
  <c r="BG323" i="7"/>
  <c r="BG951" i="7"/>
  <c r="BG1182" i="7"/>
  <c r="BG1253" i="7"/>
  <c r="BG822" i="7"/>
  <c r="BG1960" i="7"/>
  <c r="BG2166" i="7"/>
  <c r="BG2248" i="7"/>
  <c r="BG1729" i="7"/>
  <c r="BG509" i="7"/>
  <c r="BG1949" i="7"/>
  <c r="BG1393" i="7"/>
  <c r="BG2055" i="7"/>
  <c r="BG2269" i="7"/>
  <c r="BG1820" i="7"/>
  <c r="BG1116" i="7"/>
  <c r="BG1277" i="7"/>
  <c r="BG769" i="7"/>
  <c r="BG1835" i="7"/>
  <c r="BG1034" i="7"/>
  <c r="BG1025" i="7"/>
  <c r="BG672" i="7"/>
  <c r="BG2084" i="7"/>
  <c r="BG1323" i="7"/>
  <c r="BG1092" i="7"/>
  <c r="BG1577" i="7"/>
  <c r="BG1553" i="7"/>
  <c r="BG1022" i="7"/>
  <c r="BG1622" i="7"/>
  <c r="BG1012" i="7"/>
  <c r="BG823" i="7"/>
  <c r="BG635" i="7"/>
  <c r="BG1891" i="7"/>
  <c r="BG2025" i="7"/>
  <c r="BG1139" i="7"/>
  <c r="BG401" i="7"/>
  <c r="BG11" i="7"/>
  <c r="BG126" i="7"/>
  <c r="BG191" i="7"/>
  <c r="BG1644" i="7"/>
  <c r="BG908" i="7"/>
  <c r="BG1812" i="7"/>
  <c r="BG1543" i="7"/>
  <c r="BG616" i="7"/>
  <c r="BG2152" i="7"/>
  <c r="BG827" i="7"/>
  <c r="BG1844" i="7"/>
  <c r="BG742" i="7"/>
  <c r="BG1567" i="7"/>
  <c r="BG2048" i="7"/>
  <c r="BG1517" i="7"/>
  <c r="BG2000" i="7"/>
  <c r="BG215" i="7"/>
  <c r="BG2097" i="7"/>
  <c r="BG2096" i="7"/>
  <c r="BG1179" i="7"/>
  <c r="BG2200" i="7"/>
  <c r="BG2008" i="7"/>
  <c r="BG1859" i="7"/>
  <c r="BG1194" i="7"/>
  <c r="BG1856" i="7"/>
  <c r="BG251" i="7"/>
  <c r="BG1620" i="7"/>
  <c r="BG1220" i="7"/>
  <c r="BG418" i="7"/>
  <c r="BG79" i="7"/>
  <c r="BG630" i="7"/>
  <c r="BG982" i="7"/>
  <c r="BG249" i="7"/>
  <c r="BG409" i="7"/>
  <c r="BG1630" i="7"/>
  <c r="BG1239" i="7"/>
  <c r="BG1109" i="7"/>
  <c r="BG1611" i="7"/>
  <c r="BG449" i="7"/>
  <c r="BG1983" i="7"/>
  <c r="BG1722" i="7"/>
  <c r="BG577" i="7"/>
  <c r="BG1547" i="7"/>
  <c r="BG1010" i="7"/>
  <c r="BG1308" i="7"/>
  <c r="BG1510" i="7"/>
  <c r="BG83" i="7"/>
  <c r="BG226" i="7"/>
  <c r="BG86" i="7"/>
  <c r="BG1434" i="7"/>
  <c r="BG1083" i="7"/>
  <c r="BG332" i="7"/>
  <c r="BG637" i="7"/>
  <c r="BG787" i="7"/>
  <c r="BG1965" i="7"/>
  <c r="BG2138" i="7"/>
  <c r="BG996" i="7"/>
  <c r="BG1707" i="7"/>
  <c r="BG1404" i="7"/>
  <c r="BG784" i="7"/>
  <c r="BG171" i="7"/>
  <c r="BG752" i="7"/>
  <c r="BG1725" i="7"/>
  <c r="BG1493" i="7"/>
  <c r="BG2150" i="7"/>
  <c r="BG28" i="7"/>
  <c r="BG40" i="7"/>
  <c r="BG1791" i="7"/>
  <c r="BG771" i="7"/>
  <c r="BG1204" i="7"/>
  <c r="BG797" i="7"/>
  <c r="BG1587" i="7"/>
  <c r="BG1456" i="7"/>
  <c r="BG202" i="7"/>
  <c r="BG1763" i="7"/>
  <c r="BG176" i="7"/>
  <c r="BG805" i="7"/>
  <c r="BG2137" i="7"/>
  <c r="BG321" i="7"/>
  <c r="BG968" i="7"/>
  <c r="BG1078" i="7"/>
  <c r="BG583" i="7"/>
  <c r="BG203" i="7"/>
  <c r="BG54" i="7"/>
  <c r="BG2188" i="7"/>
  <c r="BG987" i="7"/>
  <c r="BG78" i="7"/>
  <c r="BG1804" i="7"/>
  <c r="BG833" i="7"/>
  <c r="BG854" i="7"/>
  <c r="BG472" i="7"/>
  <c r="BG774" i="7"/>
  <c r="BG146" i="7"/>
  <c r="BG643" i="7"/>
  <c r="BG1886" i="7"/>
  <c r="BG803" i="7"/>
  <c r="BG1427" i="7"/>
  <c r="BG722" i="7"/>
  <c r="BG1575" i="7"/>
  <c r="BG352" i="7"/>
  <c r="BG696" i="7"/>
  <c r="BG1366" i="7"/>
  <c r="BG1875" i="7"/>
  <c r="BG313" i="7"/>
  <c r="BG972" i="7"/>
  <c r="BG278" i="7"/>
  <c r="BG615" i="7"/>
  <c r="BG1266" i="7"/>
  <c r="BG15" i="7"/>
  <c r="BG2002" i="7"/>
  <c r="BG1571" i="7"/>
  <c r="BG1307" i="7"/>
  <c r="BG713" i="7"/>
  <c r="BG270" i="7"/>
  <c r="BG1137" i="7"/>
  <c r="BG2278" i="7"/>
  <c r="BG186" i="7"/>
  <c r="BG198" i="7"/>
  <c r="BG1378" i="7"/>
  <c r="BG280" i="7"/>
  <c r="BG204" i="7"/>
  <c r="BG42" i="7"/>
  <c r="BG1016" i="7"/>
  <c r="BG412" i="7"/>
  <c r="BG216" i="7"/>
  <c r="BG2028" i="7"/>
  <c r="BG1696" i="7"/>
  <c r="BG2094" i="7"/>
  <c r="BG2255" i="7"/>
  <c r="BG881" i="7"/>
  <c r="BG1995" i="7"/>
  <c r="BG1247" i="7"/>
  <c r="BG820" i="7"/>
  <c r="BG294" i="7"/>
  <c r="BG710" i="7"/>
  <c r="BG465" i="7"/>
  <c r="BG1874" i="7"/>
  <c r="BG780" i="7"/>
  <c r="BG1082" i="7"/>
  <c r="BG1940" i="7"/>
  <c r="BG792" i="7"/>
  <c r="BG55" i="7"/>
  <c r="BG1264" i="7"/>
  <c r="BG1333" i="7"/>
  <c r="BG588" i="7"/>
  <c r="BG2266" i="7"/>
  <c r="BG1197" i="7"/>
  <c r="BG1508" i="7"/>
  <c r="BG1654" i="7"/>
  <c r="BG653" i="7"/>
  <c r="BG1939" i="7"/>
  <c r="BG1852" i="7"/>
  <c r="BG1007" i="7"/>
  <c r="BG282" i="7"/>
  <c r="BG1653" i="7"/>
  <c r="BG1199" i="7"/>
  <c r="BG393" i="7"/>
  <c r="BG714" i="7"/>
  <c r="BG1061" i="7"/>
  <c r="BG1054" i="7"/>
  <c r="BG1711" i="7"/>
  <c r="BG157" i="7"/>
  <c r="BG164" i="7"/>
  <c r="BG1056" i="7"/>
  <c r="BG2119" i="7"/>
  <c r="BG1271" i="7"/>
  <c r="BG32" i="7"/>
  <c r="BG106" i="7"/>
  <c r="BG1733" i="7"/>
  <c r="BG1085" i="7"/>
  <c r="BG549" i="7"/>
  <c r="BG527" i="7"/>
  <c r="BG94" i="7"/>
  <c r="BG129" i="7"/>
  <c r="BG185" i="7"/>
  <c r="BG312" i="7"/>
  <c r="BG2210" i="7"/>
  <c r="BG1507" i="7"/>
  <c r="BG1181" i="7"/>
  <c r="BG268" i="7"/>
  <c r="BG469" i="7"/>
  <c r="BG1172" i="7"/>
  <c r="BG1836" i="7"/>
  <c r="BG1544" i="7"/>
  <c r="BG1756" i="7"/>
  <c r="BG1909" i="7"/>
  <c r="BG1884" i="7"/>
  <c r="BG480" i="7"/>
  <c r="BG590" i="7"/>
  <c r="BG1664" i="7"/>
  <c r="BG414" i="7"/>
  <c r="BG2037" i="7"/>
  <c r="BG1426" i="7"/>
  <c r="BG151" i="7"/>
  <c r="BG1887" i="7"/>
  <c r="BG906" i="7"/>
  <c r="BG2030" i="7"/>
  <c r="BG1818" i="7"/>
  <c r="BG2156" i="7"/>
  <c r="BG1332" i="7"/>
  <c r="BG1717" i="7"/>
  <c r="BG1315" i="7"/>
  <c r="BG295" i="7"/>
  <c r="BG979" i="7"/>
  <c r="BG816" i="7"/>
  <c r="BG880" i="7"/>
  <c r="BG1100" i="7"/>
  <c r="BG1339" i="7"/>
  <c r="BG1133" i="7"/>
  <c r="BG1372" i="7"/>
  <c r="BG893" i="7"/>
  <c r="BG1365" i="7"/>
  <c r="BG114" i="7"/>
  <c r="BG201" i="7"/>
  <c r="BG1005" i="7"/>
  <c r="BG1029" i="7"/>
  <c r="BG1780" i="7"/>
  <c r="BG1807" i="7"/>
  <c r="BG1883" i="7"/>
  <c r="BG750" i="7"/>
  <c r="BG19" i="7"/>
  <c r="BG1283" i="7"/>
  <c r="BG2190" i="7"/>
  <c r="BG1828" i="7"/>
  <c r="BG1918" i="7"/>
  <c r="BG1138" i="7"/>
  <c r="BG849" i="7"/>
  <c r="BG2249" i="7"/>
  <c r="BG1334" i="7"/>
  <c r="BG296" i="7"/>
  <c r="BG703" i="7"/>
  <c r="BG1568" i="7"/>
  <c r="BG2180" i="7"/>
  <c r="BG853" i="7"/>
  <c r="BG526" i="7"/>
  <c r="BG423" i="7"/>
  <c r="BG1574" i="7"/>
  <c r="BG1860" i="7"/>
  <c r="BG489" i="7"/>
  <c r="BG2264" i="7"/>
  <c r="BG1370" i="7"/>
  <c r="BG824" i="7"/>
  <c r="BG1858" i="7"/>
  <c r="BG748" i="7"/>
  <c r="BG1224" i="7"/>
  <c r="BG1872" i="7"/>
  <c r="BG1445" i="7"/>
  <c r="BG1169" i="7"/>
  <c r="BG621" i="7"/>
  <c r="BG1084" i="7"/>
  <c r="BG907" i="7"/>
  <c r="BG1737" i="7"/>
  <c r="BG595" i="7"/>
  <c r="BG2282" i="7"/>
  <c r="BG427" i="7"/>
  <c r="BG1024" i="7"/>
  <c r="BG814" i="7"/>
  <c r="BG2141" i="7"/>
  <c r="BG1713" i="7"/>
  <c r="BG879" i="7"/>
  <c r="BG513" i="7"/>
  <c r="BG1411" i="7"/>
  <c r="BG1673" i="7"/>
  <c r="BG563" i="7"/>
  <c r="BG336" i="7"/>
  <c r="BG1256" i="7"/>
  <c r="BG1971" i="7"/>
  <c r="BG1699" i="7"/>
  <c r="BG1582" i="7"/>
  <c r="BG578" i="7"/>
  <c r="BG1327" i="7"/>
  <c r="BG772" i="7"/>
  <c r="BG1536" i="7"/>
  <c r="BG770" i="7"/>
  <c r="BG330" i="7"/>
  <c r="BG2247" i="7"/>
  <c r="BG179" i="7"/>
  <c r="BG166" i="7"/>
  <c r="BG347" i="7"/>
  <c r="BG886" i="7"/>
  <c r="BG116" i="7"/>
  <c r="BG33" i="7"/>
  <c r="BG1531" i="7"/>
  <c r="BG368" i="7"/>
  <c r="BG1759" i="7"/>
  <c r="BG645" i="7"/>
  <c r="BG753" i="7"/>
  <c r="BG93" i="7"/>
  <c r="BG246" i="7"/>
  <c r="BG181" i="7"/>
  <c r="BG2165" i="7"/>
  <c r="BG297" i="7"/>
  <c r="BG76" i="7"/>
  <c r="BG850" i="7"/>
  <c r="BG1689" i="7"/>
  <c r="BG1274" i="7"/>
  <c r="BG776" i="7"/>
  <c r="BG315" i="7"/>
  <c r="BG1356" i="7"/>
  <c r="BG1101" i="7"/>
  <c r="BG1915" i="7"/>
  <c r="BG841" i="7"/>
  <c r="BG843" i="7"/>
  <c r="BG2007" i="7"/>
  <c r="BG1415" i="7"/>
  <c r="BG799" i="7"/>
  <c r="BG751" i="7"/>
  <c r="BG1552" i="7"/>
  <c r="BG149" i="7"/>
  <c r="BG367" i="7"/>
  <c r="BG441" i="7"/>
  <c r="BG199" i="7"/>
  <c r="BG709" i="7"/>
  <c r="BG1873" i="7"/>
  <c r="BG546" i="7"/>
  <c r="BG1795" i="7"/>
  <c r="BG863" i="7"/>
  <c r="BG353" i="7"/>
  <c r="BG1087" i="7"/>
  <c r="BG2281" i="7"/>
  <c r="BG1417" i="7"/>
  <c r="BG121" i="7"/>
  <c r="BG2038" i="7"/>
  <c r="BG275" i="7"/>
  <c r="BG517" i="7"/>
  <c r="BG819" i="7"/>
  <c r="BG1523" i="7"/>
  <c r="BG2125" i="7"/>
  <c r="BG597" i="7"/>
  <c r="BG952" i="7"/>
  <c r="BG1191" i="7"/>
  <c r="BG1576" i="7"/>
  <c r="BG16" i="7"/>
  <c r="BG1665" i="7"/>
  <c r="BG1471" i="7"/>
  <c r="BG624" i="7"/>
  <c r="BG2046" i="7"/>
  <c r="BG905" i="7"/>
  <c r="BG18" i="7"/>
  <c r="BG1993" i="7"/>
  <c r="BG2113" i="7"/>
  <c r="BG973" i="7"/>
  <c r="BG868" i="7"/>
  <c r="BG1617" i="7"/>
  <c r="BG610" i="7"/>
  <c r="BG1146" i="7"/>
  <c r="BG876" i="7"/>
  <c r="BG647" i="7"/>
  <c r="BG1388" i="7"/>
  <c r="BG1810" i="7"/>
  <c r="BG932" i="7"/>
  <c r="BG1831" i="7"/>
  <c r="BG1121" i="7"/>
  <c r="BG1628" i="7"/>
  <c r="BG573" i="7"/>
  <c r="BG1913" i="7"/>
  <c r="BG1117" i="7"/>
  <c r="BG187" i="7"/>
  <c r="BG547" i="7"/>
  <c r="BG2222" i="7"/>
  <c r="BG308" i="7"/>
  <c r="BG1258" i="7"/>
  <c r="BG2123" i="7"/>
  <c r="BG1097" i="7"/>
  <c r="BG530" i="7"/>
  <c r="BG2062" i="7"/>
  <c r="BG2241" i="7"/>
  <c r="BG914" i="7"/>
  <c r="BG476" i="7"/>
  <c r="BG2236" i="7"/>
  <c r="BG723" i="7"/>
  <c r="BG536" i="7"/>
  <c r="BG1765" i="7"/>
  <c r="BG878" i="7"/>
  <c r="BG2221" i="7"/>
  <c r="BG1474" i="7"/>
  <c r="BG686" i="7"/>
  <c r="BG293" i="7"/>
  <c r="BG1897" i="7"/>
  <c r="BG454" i="7"/>
  <c r="BG2014" i="7"/>
  <c r="BG1340" i="7"/>
  <c r="BG1449" i="7"/>
  <c r="BG1487" i="7"/>
  <c r="BG1240" i="7"/>
  <c r="BG493" i="7"/>
  <c r="BG1716" i="7"/>
  <c r="BG138" i="7"/>
  <c r="BG189" i="7"/>
  <c r="BG1331" i="7"/>
  <c r="BG1384" i="7"/>
  <c r="BG1900" i="7"/>
  <c r="BG1672" i="7"/>
  <c r="BG702" i="7"/>
  <c r="BG936" i="7"/>
  <c r="BG1848" i="7"/>
  <c r="BG778" i="7"/>
  <c r="BG291" i="7"/>
  <c r="BG1719" i="7"/>
  <c r="BG925" i="7"/>
  <c r="BG478" i="7"/>
  <c r="BG1924" i="7"/>
  <c r="BG1764" i="7"/>
  <c r="BG896" i="7"/>
  <c r="BG2162" i="7"/>
  <c r="BG909" i="7"/>
  <c r="BG1714" i="7"/>
  <c r="BG1624" i="7"/>
  <c r="BG2092" i="7"/>
  <c r="BG1406" i="7"/>
  <c r="BG1236" i="7"/>
  <c r="BG252" i="7"/>
  <c r="BG821" i="7"/>
  <c r="BG738" i="7"/>
  <c r="BG2139" i="7"/>
  <c r="BG1621" i="7"/>
  <c r="BG1871" i="7"/>
  <c r="BG596" i="7"/>
  <c r="BG80" i="7"/>
  <c r="BG265" i="7"/>
  <c r="BG1288" i="7"/>
  <c r="BG424" i="7"/>
  <c r="BG141" i="7"/>
  <c r="BG1910" i="7"/>
  <c r="BG140" i="7"/>
  <c r="BG1854" i="7"/>
  <c r="BG350" i="7"/>
  <c r="BG1080" i="7"/>
  <c r="BG582" i="7"/>
  <c r="BG1095" i="7"/>
  <c r="BG428" i="7"/>
  <c r="BG1201" i="7"/>
  <c r="BG1977" i="7"/>
  <c r="BG1522" i="7"/>
  <c r="BG1215" i="7"/>
  <c r="BG1855" i="7"/>
  <c r="BG948" i="7"/>
  <c r="BG1337" i="7"/>
  <c r="BG7" i="7"/>
  <c r="BG707" i="7"/>
  <c r="BG800" i="7"/>
  <c r="BG1724" i="7"/>
  <c r="BG104" i="7"/>
  <c r="BG178" i="7"/>
  <c r="BG162" i="7"/>
  <c r="BG825" i="7"/>
  <c r="BG374" i="7"/>
  <c r="BG1242" i="7"/>
  <c r="BG34" i="7"/>
  <c r="BG122" i="7"/>
  <c r="BG1042" i="7"/>
  <c r="BG532" i="7"/>
  <c r="BG895" i="7"/>
  <c r="BG1533" i="7"/>
  <c r="BG109" i="7"/>
  <c r="BG1811" i="7"/>
  <c r="BG304" i="7"/>
  <c r="BG1752" i="7"/>
  <c r="BG1669" i="7"/>
  <c r="BG72" i="7"/>
  <c r="BG699" i="7"/>
  <c r="BG417" i="7"/>
  <c r="BG2242" i="7"/>
  <c r="BG1235" i="7"/>
  <c r="BG946" i="7"/>
  <c r="BG1592" i="7"/>
  <c r="BG2050" i="7"/>
  <c r="BG1968" i="7"/>
  <c r="BG1463" i="7"/>
  <c r="BG1492" i="7"/>
  <c r="BG2033" i="7"/>
  <c r="BG1761" i="7"/>
  <c r="BG1157" i="7"/>
  <c r="BG1895" i="7"/>
  <c r="BG1265" i="7"/>
  <c r="BG340" i="7"/>
  <c r="BG1512" i="7"/>
  <c r="BG437" i="7"/>
  <c r="BG212" i="7"/>
  <c r="BG261" i="7"/>
  <c r="BG337" i="7"/>
  <c r="BG1694" i="7"/>
  <c r="BG2213" i="7"/>
  <c r="BG539" i="7"/>
  <c r="BG1735" i="7"/>
  <c r="BG1354" i="7"/>
  <c r="BG1091" i="7"/>
  <c r="BG1028" i="7"/>
  <c r="BG609" i="7"/>
  <c r="BG1676" i="7"/>
  <c r="BG1827" i="7"/>
  <c r="BG2011" i="7"/>
  <c r="BG1742" i="7"/>
  <c r="BG1760" i="7"/>
  <c r="BG663" i="7"/>
  <c r="BG1857" i="7"/>
  <c r="BG1158" i="7"/>
  <c r="BG759" i="7"/>
  <c r="BG1285" i="7"/>
  <c r="BG2049" i="7"/>
  <c r="BG858" i="7"/>
  <c r="BG625" i="7"/>
  <c r="BG1920" i="7"/>
  <c r="BG1254" i="7"/>
  <c r="BG82" i="7"/>
  <c r="BG1176" i="7"/>
  <c r="BG316" i="7"/>
  <c r="BG429" i="7"/>
  <c r="BG213" i="7"/>
  <c r="BG471" i="7"/>
  <c r="BG1077" i="7"/>
  <c r="BG487" i="7"/>
  <c r="BG598" i="7"/>
  <c r="BG1497" i="7"/>
  <c r="BG785" i="7"/>
  <c r="BG387" i="7"/>
  <c r="BG48" i="7"/>
  <c r="BG809" i="7"/>
  <c r="BG236" i="7"/>
  <c r="BG891" i="7"/>
  <c r="BG1455" i="7"/>
  <c r="BG1213" i="7"/>
  <c r="BG355" i="7"/>
  <c r="BG24" i="7"/>
  <c r="BG107" i="7"/>
  <c r="BG1184" i="7"/>
  <c r="BG369" i="7"/>
  <c r="BG2149" i="7"/>
  <c r="BG1649" i="7"/>
  <c r="BG152" i="7"/>
  <c r="BG161" i="7"/>
  <c r="BG981" i="7"/>
  <c r="BG1730" i="7"/>
  <c r="BG958" i="7"/>
  <c r="BG35" i="7"/>
  <c r="BG565" i="7"/>
  <c r="BG2228" i="7"/>
  <c r="BG650" i="7"/>
  <c r="BG2280" i="7"/>
  <c r="BG1542" i="7"/>
  <c r="BG111" i="7"/>
  <c r="BG110" i="7"/>
  <c r="BG548" i="7"/>
  <c r="BG2191" i="7"/>
  <c r="BG521" i="7"/>
  <c r="BG71" i="7"/>
  <c r="BG1015" i="7"/>
  <c r="BG875" i="7"/>
  <c r="BG134" i="7"/>
  <c r="BG1815" i="7"/>
  <c r="BG508" i="7"/>
  <c r="BG77" i="7"/>
  <c r="BG272" i="7"/>
  <c r="BG338" i="7"/>
  <c r="BG1919" i="7"/>
  <c r="BG1344" i="7"/>
  <c r="BG264" i="7"/>
  <c r="BG2268" i="7"/>
  <c r="BG592" i="7"/>
  <c r="BG1999" i="7"/>
  <c r="BG1506" i="7"/>
  <c r="BG1698" i="7"/>
  <c r="BG306" i="7"/>
  <c r="BG232" i="7"/>
  <c r="BG781" i="7"/>
  <c r="BG1541" i="7"/>
  <c r="BG1148" i="7"/>
  <c r="BG1233" i="7"/>
  <c r="BG1806" i="7"/>
  <c r="BG544" i="7"/>
  <c r="BG14" i="7"/>
  <c r="BG1604" i="7"/>
  <c r="BG200" i="7"/>
  <c r="BG150" i="7"/>
  <c r="BG2035" i="7"/>
  <c r="BG2109" i="7"/>
  <c r="BG1972" i="7"/>
  <c r="BG2003" i="7"/>
  <c r="BG2185" i="7"/>
  <c r="BG1348" i="7"/>
  <c r="BG1819" i="7"/>
  <c r="BG690" i="7"/>
  <c r="BG1743" i="7"/>
  <c r="BG1970" i="7"/>
  <c r="BG1050" i="7"/>
  <c r="BG1301" i="7"/>
  <c r="BG988" i="7"/>
  <c r="BG1901" i="7"/>
  <c r="BG2039" i="7"/>
  <c r="BG1292" i="7"/>
  <c r="BG602" i="7"/>
  <c r="BG2168" i="7"/>
  <c r="BG127" i="7"/>
  <c r="BG840" i="7"/>
  <c r="BG2234" i="7"/>
  <c r="BG1679" i="7"/>
  <c r="BG976" i="7"/>
  <c r="BG947" i="7"/>
  <c r="BG1020" i="7"/>
  <c r="BG2060" i="7"/>
  <c r="BG1149" i="7"/>
  <c r="BG1039" i="7"/>
  <c r="BG430" i="7"/>
  <c r="BG397" i="7"/>
  <c r="BG704" i="7"/>
  <c r="BG1826" i="7"/>
  <c r="BG131" i="7"/>
  <c r="BG813" i="7"/>
  <c r="BG2225" i="7"/>
  <c r="BG125" i="7"/>
  <c r="BG617" i="7"/>
  <c r="BG263" i="7"/>
  <c r="BG238" i="7"/>
  <c r="BG335" i="7"/>
  <c r="BG1678" i="7"/>
  <c r="BG1211" i="7"/>
  <c r="BG614" i="7"/>
  <c r="BG2016" i="7"/>
  <c r="BG211" i="7"/>
  <c r="BG2202" i="7"/>
  <c r="BG1651" i="7"/>
  <c r="BG1809" i="7"/>
  <c r="BG1684" i="7"/>
  <c r="BG1178" i="7"/>
  <c r="BG1180" i="7"/>
  <c r="BG2105" i="7"/>
  <c r="BG253" i="7"/>
  <c r="BG1290" i="7"/>
  <c r="BG1728" i="7"/>
  <c r="BG100" i="7"/>
  <c r="BG1284" i="7"/>
  <c r="BG640" i="7"/>
  <c r="BG421" i="7"/>
  <c r="BG1074" i="7"/>
  <c r="BG1502" i="7"/>
  <c r="BG1305" i="7"/>
  <c r="BG1424" i="7"/>
  <c r="BG2107" i="7"/>
  <c r="BG1935" i="7"/>
  <c r="BG2203" i="7"/>
  <c r="BG1775" i="7"/>
  <c r="BG1210" i="7"/>
  <c r="BG1595" i="7"/>
  <c r="BG230" i="7"/>
  <c r="BG273" i="7"/>
  <c r="BG1609" i="7"/>
  <c r="BG764" i="7"/>
  <c r="BG348" i="7"/>
  <c r="BG50" i="7"/>
  <c r="BG2238" i="7"/>
  <c r="BG2140" i="7"/>
  <c r="BG587" i="7"/>
  <c r="BG550" i="7"/>
  <c r="BG576" i="7"/>
  <c r="BG174" i="7"/>
  <c r="BG498" i="7"/>
  <c r="BG1209" i="7"/>
  <c r="BG898" i="7"/>
  <c r="BG446" i="7"/>
  <c r="BG37" i="7"/>
  <c r="BG1671" i="7"/>
  <c r="BG250" i="7"/>
  <c r="BG856" i="7"/>
  <c r="BG1374" i="7"/>
  <c r="BG712" i="7"/>
  <c r="BG112" i="7"/>
  <c r="BG574" i="7"/>
  <c r="BG113" i="7"/>
  <c r="BG604" i="7"/>
  <c r="BG223" i="7"/>
  <c r="BG481" i="7"/>
  <c r="BG815" i="7"/>
  <c r="BG96" i="7"/>
  <c r="BG20" i="7"/>
  <c r="BG1882" i="7"/>
  <c r="BG818" i="7"/>
  <c r="BG74" i="7"/>
  <c r="BG519" i="7"/>
  <c r="BG1610" i="7"/>
  <c r="BG1222" i="7"/>
  <c r="BG346" i="7"/>
  <c r="BG506" i="7"/>
  <c r="BG552" i="7"/>
  <c r="BG794" i="7"/>
  <c r="BG1789" i="7"/>
  <c r="BG61" i="7"/>
  <c r="BG993" i="7"/>
  <c r="BG1230" i="7"/>
  <c r="BG1065" i="7"/>
  <c r="BG1319" i="7"/>
  <c r="BG1063" i="7"/>
  <c r="BG1306" i="7"/>
  <c r="BG657" i="7"/>
  <c r="BG1058" i="7"/>
  <c r="BG1991" i="7"/>
  <c r="BG2133" i="7"/>
  <c r="BG1988" i="7"/>
  <c r="BG257" i="7"/>
  <c r="BG154" i="7"/>
  <c r="BG971" i="7"/>
  <c r="BG1081" i="7"/>
  <c r="BG828" i="7"/>
  <c r="BG990" i="7"/>
  <c r="BG124" i="7"/>
  <c r="BG1881" i="7"/>
  <c r="BG2186" i="7"/>
  <c r="BG789" i="7"/>
  <c r="BG208" i="7"/>
  <c r="BG1270" i="7"/>
  <c r="BG589" i="7"/>
  <c r="BG1723" i="7"/>
  <c r="BG611" i="7"/>
  <c r="BG1783" i="7"/>
  <c r="BG2043" i="7"/>
  <c r="BG1996" i="7"/>
  <c r="BG1868" i="7"/>
  <c r="BG2064" i="7"/>
  <c r="BG1286" i="7"/>
  <c r="BG938" i="7"/>
  <c r="BG159" i="7"/>
  <c r="BG941" i="7"/>
  <c r="BG1784" i="7"/>
  <c r="BG1345" i="7"/>
  <c r="BG1062" i="7"/>
  <c r="BG986" i="7"/>
  <c r="BG836" i="7"/>
  <c r="BG744" i="7"/>
  <c r="BG2134" i="7"/>
  <c r="BG361" i="7"/>
  <c r="BG1944" i="7"/>
  <c r="BG103" i="7"/>
  <c r="BG811" i="7"/>
  <c r="BG765" i="7"/>
  <c r="BG585" i="7"/>
  <c r="BG826" i="7"/>
  <c r="BG2199" i="7"/>
  <c r="BG1448" i="7"/>
  <c r="BG2169" i="7"/>
  <c r="BG724" i="7"/>
  <c r="BG2214" i="7"/>
  <c r="BG1451" i="7"/>
  <c r="BG755" i="7"/>
  <c r="BG413" i="7"/>
  <c r="BG512" i="7"/>
  <c r="BG228" i="7"/>
  <c r="BG754" i="7"/>
  <c r="BG1876" i="7"/>
  <c r="BG52" i="7"/>
  <c r="BG370" i="7"/>
  <c r="BG1948" i="7"/>
  <c r="BG1099" i="7"/>
  <c r="BG237" i="7"/>
  <c r="BG2041" i="7"/>
  <c r="BG1770" i="7"/>
  <c r="BG807" i="7"/>
  <c r="BG172" i="7"/>
  <c r="BG867" i="7"/>
  <c r="BG479" i="7"/>
  <c r="BG1695" i="7"/>
  <c r="BG311" i="7"/>
  <c r="BG38" i="7"/>
  <c r="BG266" i="7"/>
  <c r="BG1486" i="7"/>
  <c r="BG994" i="7"/>
  <c r="BG25" i="7"/>
  <c r="BG333" i="7"/>
  <c r="BG447" i="7"/>
  <c r="BG1975" i="7"/>
  <c r="BG1519" i="7"/>
  <c r="BG2040" i="7"/>
  <c r="BG1069" i="7"/>
  <c r="BG1064" i="7"/>
  <c r="BG1525" i="7"/>
  <c r="BG1768" i="7"/>
  <c r="BG1478" i="7"/>
  <c r="BG1347" i="7"/>
  <c r="BG1075" i="7"/>
  <c r="BG75" i="7"/>
  <c r="BG334" i="7"/>
  <c r="BG475" i="7"/>
  <c r="BG804" i="7"/>
  <c r="BG1731" i="7"/>
  <c r="BG658" i="7"/>
  <c r="BG2158" i="7"/>
  <c r="BG473" i="7"/>
  <c r="BG439" i="7"/>
  <c r="BG1957" i="7"/>
  <c r="BG1766" i="7"/>
  <c r="BG1390" i="7"/>
  <c r="BG1367" i="7"/>
  <c r="BG1414" i="7"/>
  <c r="BG921" i="7"/>
  <c r="BG1217" i="7"/>
  <c r="BG1153" i="7"/>
  <c r="BG1481" i="7"/>
  <c r="BG97" i="7"/>
  <c r="BG400" i="7"/>
  <c r="BG59" i="7"/>
  <c r="BG857" i="7"/>
  <c r="BG156" i="7"/>
  <c r="BG1140" i="7"/>
  <c r="BG591" i="7"/>
  <c r="BG1824" i="7"/>
  <c r="BG133" i="7"/>
  <c r="BG123" i="7"/>
  <c r="BG851" i="7"/>
  <c r="BG488" i="7"/>
  <c r="BG1598" i="7"/>
  <c r="BG900" i="7"/>
  <c r="BG1956" i="7"/>
  <c r="BG1107" i="7"/>
  <c r="BG1162" i="7"/>
  <c r="BG217" i="7"/>
  <c r="BG2095" i="7"/>
  <c r="BG1691" i="7"/>
  <c r="BG871" i="7"/>
  <c r="BG580" i="7"/>
  <c r="BG2057" i="7"/>
  <c r="BG783" i="7"/>
  <c r="BG1429" i="7"/>
  <c r="BG408" i="7"/>
  <c r="BG101" i="7"/>
  <c r="BG1156" i="7"/>
  <c r="BG1432" i="7"/>
  <c r="BG1350" i="7"/>
  <c r="BG1243" i="7"/>
  <c r="BG1498" i="7"/>
  <c r="BG1515" i="7"/>
  <c r="BG464" i="7"/>
  <c r="BG1125" i="7"/>
  <c r="BG1040" i="7"/>
  <c r="BG1036" i="7"/>
  <c r="BG1127" i="7"/>
  <c r="BG1950" i="7"/>
  <c r="BG560" i="7"/>
  <c r="BG2275" i="7"/>
  <c r="BG593" i="7"/>
  <c r="BG1026" i="7"/>
  <c r="BG740" i="7"/>
  <c r="BG1428" i="7"/>
  <c r="BG1468" i="7"/>
  <c r="BG901" i="7"/>
  <c r="BG92" i="7"/>
  <c r="BG89" i="7"/>
  <c r="BG448" i="7"/>
  <c r="BG262" i="7"/>
  <c r="BG1037" i="7"/>
  <c r="BG173" i="7"/>
  <c r="BG132" i="7"/>
  <c r="BG1953" i="7"/>
  <c r="BG1513" i="7"/>
  <c r="BG30" i="7"/>
  <c r="BG1132" i="7"/>
  <c r="BG1625" i="7"/>
  <c r="BG1521" i="7"/>
  <c r="BG63" i="7"/>
  <c r="BG1962" i="7"/>
  <c r="BG608" i="7"/>
  <c r="BG983" i="7"/>
  <c r="BG182" i="7"/>
  <c r="BG1718" i="7"/>
  <c r="BG1208" i="7"/>
  <c r="BG1198" i="7"/>
  <c r="BG963" i="7"/>
  <c r="BG1442" i="7"/>
  <c r="BG44" i="7"/>
  <c r="BG435" i="7"/>
  <c r="BG1990" i="7"/>
  <c r="BG1484" i="7"/>
  <c r="BG1102" i="7"/>
  <c r="BG434" i="7"/>
  <c r="BG23" i="7"/>
  <c r="BG1912" i="7"/>
  <c r="BG531" i="7"/>
  <c r="BG1259" i="7"/>
  <c r="BG1710" i="7"/>
  <c r="BG1017" i="7"/>
  <c r="BG9" i="7"/>
  <c r="BG442" i="7"/>
  <c r="BG2009" i="7"/>
  <c r="BG377" i="7"/>
  <c r="BG1357" i="7"/>
  <c r="BG1520" i="7"/>
  <c r="BG802" i="7"/>
  <c r="BG1680" i="7"/>
  <c r="BG1992" i="7"/>
  <c r="BG1218" i="7"/>
  <c r="BG1249" i="7"/>
  <c r="BG188" i="7"/>
  <c r="BG2263" i="7"/>
  <c r="BG58" i="7"/>
  <c r="BG515" i="7"/>
  <c r="BG1561" i="7"/>
  <c r="BG2182" i="7"/>
  <c r="BG1401" i="7"/>
  <c r="BG1202" i="7"/>
  <c r="BG43" i="7"/>
  <c r="BG2261" i="7"/>
  <c r="BG1904" i="7"/>
  <c r="BG1045" i="7"/>
  <c r="BG1023" i="7"/>
  <c r="BG1739" i="7"/>
  <c r="BG410" i="7"/>
  <c r="BG1186" i="7"/>
  <c r="BG1941" i="7"/>
  <c r="BG1984" i="7"/>
  <c r="BG2061" i="7"/>
  <c r="BG1703" i="7"/>
  <c r="BG1171" i="7"/>
  <c r="BG1351" i="7"/>
  <c r="BG1596" i="7"/>
  <c r="BG2104" i="7"/>
  <c r="BG467" i="7"/>
  <c r="BG153" i="7"/>
  <c r="BG1094" i="7"/>
  <c r="BG31" i="7"/>
  <c r="BG649" i="7"/>
  <c r="BG1352" i="7"/>
  <c r="BG135" i="7"/>
  <c r="BG2053" i="7"/>
  <c r="BG1114" i="7"/>
  <c r="BG47" i="7"/>
  <c r="BG777" i="7"/>
  <c r="BG1341" i="7"/>
  <c r="BG1343" i="7"/>
  <c r="BG284" i="7"/>
  <c r="BG779" i="7"/>
  <c r="BG1526" i="7"/>
  <c r="BG910" i="7"/>
  <c r="BG244" i="7"/>
  <c r="BG2031" i="7"/>
  <c r="BG2223" i="7"/>
  <c r="BG1272" i="7"/>
  <c r="BG456" i="7"/>
  <c r="BG1268" i="7"/>
  <c r="BG855" i="7"/>
  <c r="BG1291" i="7"/>
  <c r="BG233" i="7"/>
  <c r="BG1603" i="7"/>
  <c r="BG866" i="7"/>
  <c r="BG1131" i="7"/>
  <c r="BG731" i="7"/>
  <c r="BG845" i="7"/>
  <c r="BG1189" i="7"/>
  <c r="BG677" i="7"/>
  <c r="BG459" i="7"/>
  <c r="BG1329" i="7"/>
  <c r="BG2215" i="7"/>
  <c r="BG623" i="7"/>
  <c r="BG688" i="7"/>
  <c r="BG495" i="7"/>
  <c r="BG817" i="7"/>
  <c r="BG1798" i="7"/>
  <c r="BG1726" i="7"/>
  <c r="BG689" i="7"/>
  <c r="BG700" i="7"/>
  <c r="BG1708" i="7"/>
  <c r="BG2126" i="7"/>
  <c r="BG1745" i="7"/>
  <c r="BG795" i="7"/>
  <c r="BG1032" i="7"/>
  <c r="BG1392" i="7"/>
  <c r="BG484" i="7"/>
  <c r="BG136" i="7"/>
  <c r="BG1985" i="7"/>
  <c r="BG49" i="7"/>
  <c r="BG2276" i="7"/>
  <c r="BG1741" i="7"/>
  <c r="BG930" i="7"/>
  <c r="BG1581" i="7"/>
  <c r="BG1031" i="7"/>
  <c r="BG1255" i="7"/>
  <c r="BG492" i="7"/>
  <c r="BG2240" i="7"/>
  <c r="BG1505" i="7"/>
  <c r="BG1154" i="7"/>
  <c r="BG1175" i="7"/>
  <c r="BG1793" i="7"/>
  <c r="BG2036" i="7"/>
  <c r="BG1899" i="7"/>
  <c r="BG1562" i="7"/>
  <c r="BG392" i="7"/>
  <c r="BG1328" i="7"/>
  <c r="BG1177" i="7"/>
  <c r="BG1057" i="7"/>
  <c r="BG870" i="7"/>
  <c r="BG1677" i="7"/>
  <c r="BG1584" i="7"/>
  <c r="BG2091" i="7"/>
  <c r="BG1192" i="7"/>
  <c r="BG1987" i="7"/>
  <c r="BG646" i="7"/>
  <c r="BG289" i="7"/>
  <c r="BG1376" i="7"/>
  <c r="BG419" i="7"/>
  <c r="BG331" i="7"/>
  <c r="BG1491" i="7"/>
  <c r="BG660" i="7"/>
  <c r="BG234" i="7"/>
  <c r="BG205" i="7"/>
  <c r="BG1059" i="7"/>
  <c r="BG87" i="7"/>
  <c r="BG1787" i="7"/>
  <c r="BG919" i="7"/>
  <c r="BG474" i="7"/>
  <c r="BG177" i="7"/>
  <c r="BG1161" i="7"/>
  <c r="BG39" i="7"/>
  <c r="BG1885" i="7"/>
  <c r="BG1797" i="7"/>
  <c r="BG300" i="7"/>
  <c r="BG462" i="7"/>
  <c r="BG2077" i="7"/>
  <c r="BG46" i="7"/>
  <c r="BG1947" i="7"/>
  <c r="BG1551" i="7"/>
  <c r="BG1483" i="7"/>
  <c r="BG511" i="7"/>
  <c r="BG1537" i="7"/>
  <c r="BG887" i="7"/>
  <c r="BG1597" i="7"/>
  <c r="BG1238" i="7"/>
  <c r="BG420" i="7"/>
  <c r="BG271" i="7"/>
  <c r="BG2216" i="7"/>
  <c r="BG717" i="7"/>
  <c r="BG1566" i="7"/>
  <c r="BG13" i="7"/>
  <c r="BG1616" i="7"/>
  <c r="BG2183" i="7"/>
  <c r="BG520" i="7"/>
  <c r="BG1387" i="7"/>
  <c r="BG1382" i="7"/>
  <c r="BG2181" i="7"/>
  <c r="BG1130" i="7"/>
  <c r="BG322" i="7"/>
  <c r="BG2018" i="7"/>
  <c r="BG2103" i="7"/>
  <c r="BG758" i="7"/>
  <c r="BG229" i="7"/>
  <c r="BG2218" i="7"/>
  <c r="BG902" i="7"/>
  <c r="BG1917" i="7"/>
  <c r="BG1330" i="7"/>
  <c r="BG1750" i="7"/>
  <c r="BG1459" i="7"/>
  <c r="BG3" i="7"/>
  <c r="BG1549" i="7"/>
  <c r="BG1721" i="7"/>
  <c r="BG1546" i="7"/>
  <c r="BG757" i="7"/>
  <c r="BG1055" i="7"/>
  <c r="BG912" i="7"/>
  <c r="BG846" i="7"/>
  <c r="BG631" i="7"/>
  <c r="BG514" i="7"/>
  <c r="BG2006" i="7"/>
  <c r="BG209" i="7"/>
  <c r="BG1879" i="7"/>
  <c r="BG1560" i="7"/>
  <c r="BG1998" i="7"/>
  <c r="BG163" i="7"/>
  <c r="BG356" i="7"/>
  <c r="BG41" i="7"/>
  <c r="BG654" i="7"/>
  <c r="BG890" i="7"/>
  <c r="BG324" i="7"/>
  <c r="BG1221" i="7"/>
  <c r="BG1550" i="7"/>
  <c r="BG53" i="7"/>
  <c r="BG2157" i="7"/>
  <c r="BG1749" i="7"/>
  <c r="BG1454" i="7"/>
  <c r="BG1959" i="7"/>
  <c r="BG1500" i="7"/>
  <c r="BG490" i="7"/>
  <c r="BG145" i="7"/>
  <c r="BG1021" i="7"/>
  <c r="BG1046" i="7"/>
  <c r="BG57" i="7"/>
  <c r="BG1683" i="7"/>
  <c r="BG551" i="7"/>
  <c r="BG1554" i="7"/>
  <c r="BG761" i="7"/>
  <c r="BG1310" i="7"/>
  <c r="BG1302" i="7"/>
  <c r="BG1105" i="7"/>
  <c r="BG1260" i="7"/>
  <c r="BG862" i="7"/>
  <c r="BG468" i="7"/>
  <c r="BG1822" i="7"/>
  <c r="BG998" i="7"/>
  <c r="BG528" i="7"/>
  <c r="BG638" i="7"/>
  <c r="BG1394" i="7"/>
  <c r="BG1375" i="7"/>
  <c r="BG1774" i="7"/>
  <c r="BG1110" i="7"/>
  <c r="BG1702" i="7"/>
  <c r="BG1118" i="7"/>
  <c r="BG1570" i="7"/>
  <c r="BG1591" i="7"/>
  <c r="BG192" i="7"/>
  <c r="BG2051" i="7"/>
  <c r="BG2167" i="7"/>
  <c r="BG1969" i="7"/>
  <c r="BG1578" i="7"/>
  <c r="BG1200" i="7"/>
  <c r="BG144" i="7"/>
  <c r="BG1297" i="7"/>
  <c r="BG1732" i="7"/>
  <c r="BG1559" i="7"/>
  <c r="BG1838" i="7"/>
  <c r="BG600" i="7"/>
  <c r="BG956" i="7"/>
  <c r="BG1690" i="7"/>
  <c r="BG1693" i="7"/>
  <c r="BG170" i="7"/>
  <c r="BG837" i="7"/>
  <c r="BG659" i="7"/>
  <c r="BG628" i="7"/>
  <c r="BG1894" i="7"/>
  <c r="BG2237" i="7"/>
  <c r="BG255" i="7"/>
  <c r="BG12" i="7"/>
  <c r="BG953" i="7"/>
  <c r="BG56" i="7"/>
  <c r="BG1675" i="7"/>
  <c r="BG1281" i="7"/>
  <c r="BG394" i="7"/>
  <c r="BG566" i="7"/>
  <c r="BG1033" i="7"/>
  <c r="BG670" i="7"/>
  <c r="BG606" i="7"/>
  <c r="BG1115" i="7"/>
  <c r="BG1098" i="7"/>
  <c r="BG1509" i="7"/>
  <c r="BG2256" i="7"/>
  <c r="BG1134" i="7"/>
  <c r="BG1629" i="7"/>
  <c r="BG2143" i="7"/>
  <c r="BG5" i="7"/>
  <c r="BG70" i="7"/>
  <c r="BG1279" i="7"/>
  <c r="BG1958" i="7"/>
  <c r="BG485" i="7"/>
  <c r="BG298" i="7"/>
  <c r="BG1579" i="7"/>
  <c r="BG1282" i="7"/>
  <c r="BG1408" i="7"/>
  <c r="BG366" i="7"/>
  <c r="BG1386" i="7"/>
  <c r="BG940" i="7"/>
  <c r="BG1353" i="7"/>
  <c r="BG1843" i="7"/>
  <c r="BG1681" i="7"/>
  <c r="BG1528" i="7"/>
  <c r="BG2019" i="7"/>
  <c r="BG572" i="7"/>
  <c r="BG372" i="7"/>
  <c r="BG69" i="7"/>
  <c r="BG66" i="7"/>
  <c r="BG391" i="7"/>
  <c r="BG1869" i="7"/>
  <c r="BG1104" i="7"/>
  <c r="BG1203" i="7"/>
  <c r="BG992" i="7"/>
  <c r="BG885" i="7"/>
  <c r="BG1905" i="7"/>
  <c r="BG1701" i="7"/>
  <c r="BG292" i="7"/>
  <c r="BG652" i="7"/>
  <c r="BG2170" i="7"/>
  <c r="BG790" i="7"/>
  <c r="BG601" i="7"/>
  <c r="BG603" i="7"/>
  <c r="BG1640" i="7"/>
  <c r="BG955" i="7"/>
  <c r="BG497" i="7"/>
  <c r="BG403" i="7"/>
  <c r="BG695" i="7"/>
  <c r="BG1443" i="7"/>
  <c r="BG1658" i="7"/>
  <c r="BG128" i="7"/>
  <c r="BG1418" i="7"/>
  <c r="BG2127" i="7"/>
  <c r="BG1608" i="7"/>
  <c r="BG1214" i="7"/>
  <c r="BG888" i="7"/>
  <c r="BG319" i="7"/>
  <c r="BG2089" i="7"/>
  <c r="BG1168" i="7"/>
  <c r="BG1612" i="7"/>
  <c r="BG1237" i="7"/>
  <c r="BG1187" i="7"/>
  <c r="BG848" i="7"/>
  <c r="BG84" i="7"/>
  <c r="BG2044" i="7"/>
  <c r="BG1070" i="7"/>
  <c r="BG248" i="7"/>
  <c r="BG1219" i="7"/>
  <c r="BG175" i="7"/>
  <c r="BG1720" i="7"/>
  <c r="BG2001" i="7"/>
  <c r="BG1067" i="7"/>
  <c r="BG1767" i="7"/>
  <c r="BG184" i="7"/>
  <c r="BG1878" i="7"/>
  <c r="BG662" i="7"/>
  <c r="BG1976" i="7"/>
  <c r="BG599" i="7"/>
  <c r="BG22" i="7"/>
  <c r="BG1461" i="7"/>
  <c r="BG945" i="7"/>
  <c r="BG358" i="7"/>
  <c r="BG1360" i="7"/>
  <c r="BG675" i="7"/>
  <c r="BG325" i="7"/>
  <c r="BG45" i="7"/>
  <c r="BG1120" i="7"/>
  <c r="BG269" i="7"/>
  <c r="BG1986" i="7"/>
  <c r="BG1430" i="7"/>
  <c r="BG1273" i="7"/>
  <c r="BG1602" i="7"/>
  <c r="BG210" i="7"/>
  <c r="BG1772" i="7"/>
  <c r="BG1485" i="7"/>
  <c r="BG736" i="7"/>
  <c r="BG1573" i="7"/>
  <c r="BG1377" i="7"/>
  <c r="BG2020" i="7"/>
  <c r="BG954" i="7"/>
  <c r="BG343" i="7"/>
  <c r="BG1534" i="7"/>
  <c r="BG2124" i="7"/>
  <c r="BG2246" i="7"/>
  <c r="BG2172" i="7"/>
  <c r="BG160" i="7"/>
  <c r="BG1618" i="7"/>
  <c r="BG1433" i="7"/>
  <c r="BG2059" i="7"/>
  <c r="BG1435" i="7"/>
  <c r="BG1585" i="7"/>
  <c r="BG288" i="7"/>
  <c r="BG2100" i="7"/>
  <c r="BG605" i="7"/>
  <c r="BG966" i="7"/>
  <c r="BG2224" i="7"/>
  <c r="BG540" i="7"/>
  <c r="BG1898" i="7"/>
  <c r="BG1529" i="7"/>
  <c r="BG1880" i="7"/>
  <c r="BG541" i="7"/>
  <c r="BG504" i="7"/>
  <c r="BG2217" i="7"/>
  <c r="BG2273" i="7"/>
  <c r="BG95" i="7"/>
  <c r="BG1147" i="7"/>
  <c r="BG1346" i="7"/>
  <c r="BG1018" i="7"/>
  <c r="BG1422" i="7"/>
  <c r="BG1381" i="7"/>
  <c r="BG1136" i="7"/>
  <c r="BG1437" i="7"/>
  <c r="BG668" i="7"/>
  <c r="BG2159" i="7"/>
  <c r="BG2142" i="7"/>
  <c r="BG1053" i="7"/>
  <c r="BG892" i="7"/>
  <c r="BG1304" i="7"/>
  <c r="BG499" i="7"/>
  <c r="BG1754" i="7"/>
  <c r="BG1380" i="7"/>
  <c r="BG8" i="7"/>
  <c r="BG2066" i="7"/>
  <c r="BG1929" i="7"/>
  <c r="BG2205" i="7"/>
  <c r="BG1460" i="7"/>
  <c r="BG1862" i="7"/>
  <c r="BG1462" i="7"/>
  <c r="BG538" i="7"/>
  <c r="BG729" i="7"/>
  <c r="BG1475" i="7"/>
  <c r="BG1399" i="7"/>
  <c r="BG2145" i="7"/>
  <c r="BG1814" i="7"/>
  <c r="BG2178" i="7"/>
  <c r="BG1396" i="7"/>
  <c r="BG1908" i="7"/>
  <c r="BG1421" i="7"/>
  <c r="BG1937" i="7"/>
  <c r="BG385" i="7"/>
  <c r="BG381" i="7"/>
  <c r="BG2161" i="7"/>
  <c r="BG567" i="7"/>
  <c r="BG1850" i="7"/>
  <c r="BG1870" i="7"/>
  <c r="BG452" i="7"/>
  <c r="BG85" i="7"/>
  <c r="BG965" i="7"/>
  <c r="BG1252" i="7"/>
  <c r="BG120" i="7"/>
  <c r="BG967" i="7"/>
  <c r="BG360" i="7"/>
  <c r="BG27" i="7"/>
  <c r="BG371" i="7"/>
  <c r="BG90" i="7"/>
  <c r="BG636" i="7"/>
  <c r="BG1044" i="7"/>
  <c r="BG443" i="7"/>
  <c r="BG529" i="7"/>
  <c r="BG2231" i="7"/>
  <c r="BG351" i="7"/>
  <c r="BG1978" i="7"/>
  <c r="BG2071" i="7"/>
  <c r="BG242" i="7"/>
  <c r="BG130" i="7"/>
  <c r="BG1371" i="7"/>
  <c r="BG667" i="7"/>
  <c r="BG564" i="7"/>
  <c r="BG317" i="7"/>
  <c r="BG1829" i="7"/>
  <c r="BG486" i="7"/>
  <c r="BG701" i="7"/>
  <c r="BG726" i="7"/>
  <c r="BG1296" i="7"/>
  <c r="BG1324" i="7"/>
  <c r="BG1170" i="7"/>
  <c r="BG883" i="7"/>
  <c r="BG749" i="7"/>
  <c r="BG1066" i="7"/>
  <c r="BG1275" i="7"/>
  <c r="BG326" i="7"/>
  <c r="BG2250" i="7"/>
  <c r="BG1088" i="7"/>
  <c r="BG1469" i="7"/>
  <c r="BG1359" i="7"/>
  <c r="BG1753" i="7"/>
  <c r="BG1086" i="7"/>
  <c r="BG260" i="7"/>
  <c r="BG830" i="7"/>
  <c r="BG67" i="7"/>
  <c r="BG810" i="7"/>
  <c r="BG491" i="7"/>
  <c r="BG193" i="7"/>
  <c r="BG1845" i="7"/>
  <c r="BG1892" i="7"/>
  <c r="BG1423" i="7"/>
  <c r="BG382" i="7"/>
  <c r="BG1778" i="7"/>
  <c r="BG2098" i="7"/>
  <c r="BG1516" i="7"/>
  <c r="BG105" i="7"/>
  <c r="BG2012" i="7"/>
  <c r="BG1889" i="7"/>
  <c r="BG2177" i="7"/>
  <c r="BG962" i="7"/>
  <c r="BG1294" i="7"/>
  <c r="BG411" i="7"/>
  <c r="BG167" i="7"/>
  <c r="BG995" i="7"/>
  <c r="BG29" i="7"/>
  <c r="BG10" i="7"/>
  <c r="BG1420" i="7"/>
  <c r="BG477" i="7"/>
  <c r="BG2005" i="7"/>
  <c r="BG832" i="7"/>
  <c r="BG768" i="7"/>
  <c r="BG433" i="7"/>
  <c r="BG1205" i="7"/>
  <c r="BG801" i="7"/>
  <c r="BG570" i="7"/>
  <c r="BG782" i="7"/>
  <c r="BG793" i="7"/>
  <c r="BG1590" i="7"/>
  <c r="BG894" i="7"/>
  <c r="BG1569" i="7"/>
  <c r="BG379" i="7"/>
  <c r="BG1989" i="7"/>
  <c r="BG516" i="7"/>
  <c r="BG791" i="7"/>
  <c r="BG1877" i="7"/>
  <c r="BG669" i="7"/>
  <c r="BG1548" i="7"/>
  <c r="BG1368" i="7"/>
  <c r="BG1923" i="7"/>
  <c r="BG1190" i="7"/>
  <c r="BG1981" i="7"/>
  <c r="BG842" i="7"/>
  <c r="BG1412" i="7"/>
  <c r="BG483" i="7"/>
  <c r="BG1358" i="7"/>
  <c r="BG1001" i="7"/>
  <c r="BG1071" i="7"/>
  <c r="BG190" i="7"/>
  <c r="BG1921" i="7"/>
  <c r="BG767" i="7"/>
  <c r="BG2239" i="7"/>
  <c r="BG1076" i="7"/>
  <c r="BG1108" i="7"/>
  <c r="BG219" i="7"/>
  <c r="BG960" i="7"/>
  <c r="BG1514" i="7"/>
  <c r="BG942" i="7"/>
  <c r="BG1112" i="7"/>
  <c r="BG543" i="7"/>
  <c r="BG2023" i="7"/>
  <c r="BG1160" i="7"/>
  <c r="BG206" i="7"/>
  <c r="BG147" i="7"/>
  <c r="BG1145" i="7"/>
  <c r="BG1982" i="7"/>
  <c r="BG1245" i="7"/>
  <c r="BG1207" i="7"/>
  <c r="BG2164" i="7"/>
  <c r="BG1336" i="7"/>
  <c r="BG1369" i="7"/>
  <c r="BG235" i="7"/>
  <c r="BG834" i="7"/>
  <c r="BG613" i="7"/>
  <c r="BG2174" i="7"/>
  <c r="BG2211" i="7"/>
  <c r="BG460" i="7"/>
  <c r="BG2179" i="7"/>
  <c r="BG571" i="7"/>
  <c r="BG1645" i="7"/>
  <c r="BG1792" i="7"/>
  <c r="BG1980" i="7"/>
  <c r="BG416" i="7"/>
  <c r="BG402" i="7"/>
  <c r="BG1322" i="7"/>
  <c r="BG1661" i="7"/>
  <c r="BG1389" i="7"/>
  <c r="BG274" i="7"/>
  <c r="BG1261" i="7"/>
  <c r="BG451" i="7"/>
  <c r="BG1823" i="7"/>
  <c r="BG720" i="7"/>
  <c r="BG1635" i="7"/>
  <c r="BG309" i="7"/>
  <c r="BG1613" i="7"/>
  <c r="BG461" i="7"/>
  <c r="BG869" i="7"/>
  <c r="BG1303" i="7"/>
  <c r="BG1727" i="7"/>
  <c r="BG1441" i="7"/>
  <c r="BG1398" i="7"/>
  <c r="BG1410" i="7"/>
  <c r="BG1251" i="7"/>
  <c r="BG2088" i="7"/>
  <c r="BG1847" i="7"/>
  <c r="BG1659" i="7"/>
  <c r="BG2252" i="7"/>
  <c r="BG1638" i="7"/>
  <c r="BG276" i="7"/>
  <c r="BG364" i="7"/>
  <c r="BG1009" i="7"/>
  <c r="BG1751" i="7"/>
  <c r="BG1444" i="7"/>
  <c r="BG1865" i="7"/>
  <c r="BG2194" i="7"/>
  <c r="BG523" i="7"/>
  <c r="BG1027" i="7"/>
  <c r="BG1173" i="7"/>
  <c r="BG1385" i="7"/>
  <c r="BG2197" i="7"/>
  <c r="BG2154" i="7"/>
  <c r="BG440" i="7"/>
  <c r="BG436" i="7"/>
  <c r="BG1314" i="7"/>
  <c r="BG2265" i="7"/>
  <c r="BG1670" i="7"/>
  <c r="BG222" i="7"/>
  <c r="BG839" i="7"/>
  <c r="BG245" i="7"/>
  <c r="BG1402" i="7"/>
  <c r="BG227" i="7"/>
  <c r="BG2135" i="7"/>
  <c r="BG2155" i="7"/>
  <c r="BG1619" i="7"/>
  <c r="BG207" i="7"/>
  <c r="BG143" i="7"/>
  <c r="BG1262" i="7"/>
  <c r="BG739" i="7"/>
  <c r="BG1313" i="7"/>
  <c r="BG2106" i="7"/>
  <c r="BG404" i="7"/>
  <c r="BG760" i="7"/>
  <c r="BG1473" i="7"/>
  <c r="BG342" i="7"/>
  <c r="BG671" i="7"/>
  <c r="BG2042" i="7"/>
  <c r="BG554" i="7"/>
  <c r="BG2078" i="7"/>
  <c r="BG1580" i="7"/>
  <c r="BG874" i="7"/>
  <c r="BG458" i="7"/>
  <c r="BG632" i="7"/>
  <c r="BG1769" i="7"/>
  <c r="BG1106" i="7"/>
  <c r="BG1926" i="7"/>
  <c r="BG1639" i="7"/>
  <c r="BG525" i="7"/>
  <c r="BG1747" i="7"/>
  <c r="BG682" i="7"/>
  <c r="BG241" i="7"/>
  <c r="BG685" i="7"/>
  <c r="BG1300" i="7"/>
  <c r="BG2026" i="7"/>
  <c r="BG1748" i="7"/>
  <c r="BG1779" i="7"/>
  <c r="BG2243" i="7"/>
  <c r="BG505" i="7"/>
  <c r="BG2114" i="7"/>
  <c r="BG1362" i="7"/>
  <c r="BG2206" i="7"/>
  <c r="BG923" i="7"/>
  <c r="BG2015" i="7"/>
  <c r="BG934" i="7"/>
  <c r="BG553" i="7"/>
  <c r="BG1488" i="7"/>
  <c r="BG2262" i="7"/>
  <c r="BG1816" i="7"/>
  <c r="BG728" i="7"/>
  <c r="BG2272" i="7"/>
  <c r="BG1866" i="7"/>
  <c r="BG1666" i="7"/>
  <c r="BG2122" i="7"/>
  <c r="BG2101" i="7"/>
  <c r="BG407" i="7"/>
  <c r="BG345" i="7"/>
  <c r="BG1846" i="7"/>
  <c r="BG1002" i="7"/>
  <c r="BG1049" i="7"/>
  <c r="BG1193" i="7"/>
  <c r="BG2219" i="7"/>
  <c r="BG1642" i="7"/>
  <c r="BG68" i="7"/>
  <c r="BG1794" i="7"/>
  <c r="BG974" i="7"/>
  <c r="BG911" i="7"/>
  <c r="BG2004" i="7"/>
  <c r="BG1518" i="7"/>
  <c r="BG1890" i="7"/>
  <c r="BG220" i="7"/>
  <c r="BG1697" i="7"/>
  <c r="BG1068" i="7"/>
  <c r="BG318" i="7"/>
  <c r="BG224" i="7"/>
  <c r="BG2229" i="7"/>
  <c r="BG786" i="7"/>
  <c r="BG1174" i="7"/>
  <c r="BG1079" i="7"/>
  <c r="BG1627" i="7"/>
  <c r="BG1540" i="7"/>
  <c r="BG1952" i="7"/>
  <c r="BG1355" i="7"/>
  <c r="BG1504" i="7"/>
  <c r="BG1705" i="7"/>
  <c r="BG798" i="7"/>
  <c r="BG522" i="7"/>
  <c r="BG2" i="7"/>
  <c r="BG904" i="7"/>
  <c r="BG2209" i="7"/>
  <c r="BG2173" i="7"/>
  <c r="BG1896" i="7"/>
  <c r="BG2110" i="7"/>
  <c r="BG1973" i="7"/>
  <c r="BG1964" i="7"/>
  <c r="BG719" i="7"/>
  <c r="BG929" i="7"/>
  <c r="BG1979" i="7"/>
  <c r="BG494" i="7"/>
  <c r="BG2184" i="7"/>
  <c r="BG1151" i="7"/>
  <c r="BG884" i="7"/>
  <c r="BG656" i="7"/>
  <c r="BG734" i="7"/>
  <c r="BG399" i="7"/>
  <c r="BG542" i="7"/>
  <c r="BG2070" i="7"/>
  <c r="BG708" i="7"/>
  <c r="BG1246" i="7"/>
  <c r="BG1615" i="7"/>
  <c r="BG980" i="7"/>
  <c r="BG380" i="7"/>
  <c r="BG829" i="7"/>
  <c r="BG844" i="7"/>
  <c r="BG457" i="7"/>
  <c r="BG1318" i="7"/>
  <c r="BG1740" i="7"/>
  <c r="BG644" i="7"/>
  <c r="BG1599" i="7"/>
  <c r="BG1142" i="7"/>
  <c r="BG432" i="7"/>
  <c r="BG1641" i="7"/>
  <c r="BG503" i="7"/>
  <c r="BG2131" i="7"/>
  <c r="BG341" i="7"/>
  <c r="BG860" i="7"/>
  <c r="BG2232" i="7"/>
  <c r="BG2153" i="7"/>
  <c r="BG558" i="7"/>
  <c r="BG1538" i="7"/>
  <c r="BG1861" i="7"/>
  <c r="BG1321" i="7"/>
  <c r="BG1744" i="7"/>
  <c r="BG949" i="7"/>
  <c r="BG569" i="7"/>
  <c r="BG1930" i="7"/>
  <c r="BG556" i="7"/>
  <c r="BG2259" i="7"/>
  <c r="BG1955" i="7"/>
  <c r="BG314" i="7"/>
  <c r="BG501" i="7"/>
  <c r="BG693" i="7"/>
  <c r="BG2076" i="7"/>
  <c r="BG2090" i="7"/>
  <c r="BG2086" i="7"/>
  <c r="BG2201" i="7"/>
  <c r="BG1413" i="7"/>
  <c r="BG1263" i="7"/>
  <c r="BG2130" i="7"/>
  <c r="BG225" i="7"/>
  <c r="BG1808" i="7"/>
  <c r="BG705" i="7"/>
  <c r="BG970" i="7"/>
  <c r="BG431" i="7"/>
  <c r="BG1966" i="7"/>
  <c r="BG1914" i="7"/>
  <c r="BG1103" i="7"/>
  <c r="BG864" i="7"/>
  <c r="BG2010" i="7"/>
  <c r="BG1477" i="7"/>
  <c r="BG1052" i="7"/>
  <c r="BG586" i="7"/>
  <c r="BG1450" i="7"/>
  <c r="BG612" i="7"/>
  <c r="BG2034" i="7"/>
  <c r="BG939" i="7"/>
  <c r="BG344" i="7"/>
  <c r="BG1438" i="7"/>
  <c r="BG2115" i="7"/>
  <c r="BG1564" i="7"/>
  <c r="BG1832" i="7"/>
  <c r="BG918" i="7"/>
  <c r="BG243" i="7"/>
  <c r="BG1738" i="7"/>
  <c r="BG1342" i="7"/>
  <c r="BG1700" i="7"/>
  <c r="BG2267" i="7"/>
  <c r="BG1150" i="7"/>
  <c r="BG1335" i="7"/>
  <c r="BG2163" i="7"/>
  <c r="BG1479" i="7"/>
  <c r="BG1397" i="7"/>
  <c r="BG2082" i="7"/>
  <c r="BG1903" i="7"/>
  <c r="BG2283" i="7"/>
  <c r="BG1476" i="7"/>
  <c r="BG1013" i="7"/>
  <c r="BG1379" i="7"/>
  <c r="BG1545" i="7"/>
  <c r="BG1287" i="7"/>
  <c r="BG2102" i="7"/>
  <c r="BG2146" i="7"/>
  <c r="BG1946" i="7"/>
  <c r="BG2251" i="7"/>
  <c r="BG957" i="7"/>
  <c r="BG1906" i="7"/>
  <c r="BG1932" i="7"/>
  <c r="BG6" i="7"/>
  <c r="BG2075" i="7"/>
  <c r="BG1776" i="7"/>
  <c r="BG386" i="7"/>
  <c r="BG537" i="7"/>
  <c r="BG2195" i="7"/>
  <c r="BG2087" i="7"/>
  <c r="BG1631" i="7"/>
  <c r="BG256" i="7"/>
  <c r="BG838" i="7"/>
  <c r="BG1593" i="7"/>
  <c r="BG1781" i="7"/>
  <c r="BG1439" i="7"/>
  <c r="BG943" i="7"/>
  <c r="BG1757" i="7"/>
  <c r="BG470" i="7"/>
  <c r="BG450" i="7"/>
  <c r="BG1922" i="7"/>
  <c r="BG415" i="7"/>
  <c r="BG788" i="7"/>
  <c r="BG357" i="7"/>
  <c r="BG2147" i="7"/>
  <c r="BG1499" i="7"/>
  <c r="BG561" i="7"/>
  <c r="BG463" i="7"/>
  <c r="BG1853" i="7"/>
  <c r="BG684" i="7"/>
  <c r="BG1223" i="7"/>
  <c r="BG376" i="7"/>
  <c r="BG2144" i="7"/>
  <c r="BG287" i="7"/>
  <c r="BG1293" i="7"/>
  <c r="BG389" i="7"/>
  <c r="BG1041" i="7"/>
  <c r="BG1163" i="7"/>
  <c r="BG1556" i="7"/>
  <c r="BG1436" i="7"/>
  <c r="BG2065" i="7"/>
  <c r="BG762" i="7"/>
  <c r="BG1014" i="7"/>
  <c r="BG444" i="7"/>
  <c r="BG1928" i="7"/>
  <c r="BG1440" i="7"/>
  <c r="BG1663" i="7"/>
  <c r="BG1299" i="7"/>
  <c r="BG2160" i="7"/>
  <c r="BG1317" i="7"/>
  <c r="BG1276" i="7"/>
  <c r="BG913" i="7"/>
  <c r="BG975" i="7"/>
  <c r="BG194" i="7"/>
  <c r="BG727" i="7"/>
  <c r="BG169" i="7"/>
  <c r="BG2118" i="7"/>
  <c r="BG1280" i="7"/>
  <c r="BG1782" i="7"/>
  <c r="BG1643" i="7"/>
  <c r="BG327" i="7"/>
  <c r="BG889" i="7"/>
  <c r="BG927" i="7"/>
  <c r="BG378" i="7"/>
  <c r="BG339" i="7"/>
  <c r="BG655" i="7"/>
  <c r="BG500" i="7"/>
  <c r="BG743" i="7"/>
  <c r="BG1762" i="7"/>
  <c r="BG1196" i="7"/>
  <c r="BG302" i="7"/>
  <c r="BG575" i="7"/>
  <c r="BG1527" i="7"/>
  <c r="BG1833" i="7"/>
  <c r="BG1668" i="7"/>
  <c r="BG1786" i="7"/>
  <c r="BG2120" i="7"/>
  <c r="BG2277" i="7"/>
  <c r="BG214" i="7"/>
  <c r="BG363" i="7"/>
  <c r="BG1183" i="7"/>
  <c r="BG852" i="7"/>
  <c r="BG1867" i="7"/>
  <c r="BG2207" i="7"/>
  <c r="BG2257" i="7"/>
  <c r="BG2022" i="7"/>
  <c r="BG1662" i="7"/>
  <c r="BG1586" i="7"/>
  <c r="BG1089" i="7"/>
  <c r="BG2080" i="7"/>
  <c r="BG2117" i="7"/>
  <c r="BG524" i="7"/>
  <c r="BG1771" i="7"/>
  <c r="BG1916" i="7"/>
  <c r="BG679" i="7"/>
  <c r="BG2047" i="7"/>
  <c r="BG1452" i="7"/>
  <c r="BG1195" i="7"/>
  <c r="BG1607" i="7"/>
  <c r="BG651" i="7"/>
  <c r="BG1090" i="7"/>
  <c r="BG1364" i="7"/>
  <c r="BG1409" i="7"/>
  <c r="BG1712" i="7"/>
  <c r="BG1557" i="7"/>
  <c r="BG2121" i="7"/>
  <c r="BG438" i="7"/>
  <c r="BG1226" i="7"/>
  <c r="BG1431" i="7"/>
  <c r="BG1830" i="7"/>
  <c r="BG396" i="7"/>
  <c r="BG1755" i="7"/>
  <c r="BG747" i="7"/>
  <c r="BG806" i="7"/>
  <c r="BG877" i="7"/>
  <c r="BG1006" i="7"/>
  <c r="BG1503" i="7"/>
  <c r="BG648" i="7"/>
  <c r="BG1974" i="7"/>
  <c r="BG1419" i="7"/>
  <c r="BG730" i="7"/>
  <c r="BG568" i="7"/>
  <c r="BG1837" i="7"/>
  <c r="BG859" i="7"/>
  <c r="BG1799" i="7"/>
  <c r="BG935" i="7"/>
  <c r="BG2204" i="7"/>
  <c r="BG1614" i="7"/>
  <c r="BG1785" i="7"/>
  <c r="BG1295" i="7"/>
  <c r="BG2021" i="7"/>
  <c r="BG633" i="7"/>
  <c r="BG641" i="7"/>
  <c r="BG1967" i="7"/>
  <c r="BG1563" i="7"/>
  <c r="BG1834" i="7"/>
  <c r="BG1805" i="7"/>
  <c r="BG1143" i="7"/>
  <c r="BG1325" i="7"/>
  <c r="BG1817" i="7"/>
  <c r="BG1416" i="7"/>
  <c r="BG277" i="7"/>
  <c r="BG627" i="7"/>
  <c r="BG711" i="7"/>
  <c r="BG1311" i="7"/>
  <c r="BG239" i="7"/>
  <c r="BG2245" i="7"/>
  <c r="BG398" i="7"/>
  <c r="BG2074" i="7"/>
  <c r="BG1008" i="7"/>
  <c r="BG2108" i="7"/>
  <c r="BG2081" i="7"/>
  <c r="BG2112" i="7"/>
  <c r="BG2132" i="7"/>
  <c r="BG1800" i="7"/>
  <c r="BG920" i="7"/>
  <c r="BG310" i="7"/>
  <c r="BG1155" i="7"/>
  <c r="BG915" i="7"/>
  <c r="BG1667" i="7"/>
  <c r="BG1839" i="7"/>
  <c r="BG1606" i="7"/>
  <c r="BG139" i="7"/>
  <c r="BG533" i="7"/>
  <c r="BG1961" i="7"/>
  <c r="BG98" i="7"/>
  <c r="BG2235" i="7"/>
  <c r="BG1997" i="7"/>
  <c r="BG924" i="7"/>
  <c r="BG1490" i="7"/>
  <c r="BG99" i="7"/>
  <c r="BG1298" i="7"/>
  <c r="BG384" i="7"/>
  <c r="BG1403" i="7"/>
  <c r="BG1931" i="7"/>
  <c r="BG1119" i="7"/>
  <c r="BG1674" i="7"/>
  <c r="BG959" i="7"/>
  <c r="BG937" i="7"/>
  <c r="BG1801" i="7"/>
  <c r="BG1656" i="7"/>
  <c r="BG1361" i="7"/>
  <c r="BG1216" i="7"/>
  <c r="BG2148" i="7"/>
  <c r="BG2017" i="7"/>
  <c r="BG1470" i="7"/>
  <c r="BG390" i="7"/>
  <c r="BG1326" i="7"/>
  <c r="BG1038" i="7"/>
  <c r="BG861" i="7"/>
  <c r="BG535" i="7"/>
  <c r="BG510" i="7"/>
  <c r="BG1626" i="7"/>
  <c r="BG247" i="7"/>
  <c r="BG917" i="7"/>
  <c r="BG706" i="7"/>
  <c r="BG2079" i="7"/>
  <c r="BG4" i="7"/>
  <c r="BG1185" i="7"/>
  <c r="BG873" i="7"/>
  <c r="BG1257" i="7"/>
  <c r="BG286" i="7"/>
  <c r="BG1164" i="7"/>
  <c r="BG1588" i="7"/>
  <c r="BG299" i="7"/>
  <c r="BG426" i="7"/>
  <c r="BG534" i="7"/>
  <c r="BG1777" i="7"/>
  <c r="BG1888" i="7"/>
  <c r="BG926" i="7"/>
  <c r="BG1267" i="7"/>
  <c r="BG1122" i="7"/>
  <c r="BG692" i="7"/>
  <c r="BG1129" i="7"/>
  <c r="BG1228" i="7"/>
  <c r="BG718" i="7"/>
  <c r="BG687" i="7"/>
  <c r="BG1373" i="7"/>
  <c r="BG307" i="7"/>
  <c r="BG1400" i="7"/>
  <c r="BG678" i="7"/>
  <c r="BG1934" i="7"/>
  <c r="BG1312" i="7"/>
  <c r="BG1152" i="7"/>
  <c r="BG2093" i="7"/>
  <c r="BG1849" i="7"/>
  <c r="BG2099" i="7"/>
  <c r="BG2175" i="7"/>
  <c r="BG1652" i="7"/>
  <c r="BG405" i="7"/>
  <c r="BG117" i="7"/>
  <c r="BM117" i="7" s="1"/>
  <c r="BG2260" i="7"/>
  <c r="BG119" i="7"/>
  <c r="BG365" i="7"/>
  <c r="BG466" i="7"/>
  <c r="BG933" i="7"/>
  <c r="BG2189" i="7"/>
  <c r="BG681" i="7"/>
  <c r="BG2151" i="7"/>
  <c r="BG258" i="7"/>
  <c r="BG301" i="7"/>
  <c r="BG763" i="7"/>
  <c r="BG1821" i="7"/>
  <c r="BG1945" i="7"/>
  <c r="BG102" i="7"/>
  <c r="BG2111" i="7"/>
  <c r="BG1686" i="7"/>
  <c r="BG88" i="7"/>
  <c r="BG51" i="7"/>
  <c r="BG626" i="7"/>
  <c r="BG64" i="7"/>
  <c r="BG1511" i="7"/>
  <c r="BG1704" i="7"/>
  <c r="BG1425" i="7"/>
  <c r="BG1530" i="7"/>
  <c r="BG482" i="7"/>
  <c r="BG1019" i="7"/>
  <c r="BG1111" i="7"/>
  <c r="BG2212" i="7"/>
  <c r="BG581" i="7"/>
  <c r="BG1141" i="7"/>
  <c r="BG259" i="7"/>
  <c r="BG666" i="7"/>
  <c r="BG997" i="7"/>
  <c r="BG1927" i="7"/>
  <c r="BG453" i="7"/>
  <c r="BG928" i="7"/>
  <c r="BG65" i="7"/>
  <c r="BG674" i="7"/>
  <c r="BG665" i="7"/>
  <c r="BG1320" i="7"/>
  <c r="BG2192" i="7"/>
  <c r="BG1583" i="7"/>
  <c r="BG1003" i="7"/>
  <c r="BG978" i="7"/>
  <c r="BG2072" i="7"/>
  <c r="BG735" i="7"/>
  <c r="BG977" i="7"/>
  <c r="BG1316" i="7"/>
  <c r="BG1465" i="7"/>
  <c r="BG732" i="7"/>
  <c r="BG1632" i="7"/>
  <c r="BG1660" i="7"/>
  <c r="BG362" i="7"/>
  <c r="BG618" i="7"/>
  <c r="BG1682" i="7"/>
  <c r="BG1589" i="7"/>
  <c r="BG673" i="7"/>
  <c r="BG579" i="7"/>
  <c r="BG1124" i="7"/>
  <c r="BG305" i="7"/>
  <c r="BG496" i="7"/>
  <c r="BG922" i="7"/>
  <c r="BG897" i="7"/>
  <c r="BG2274" i="7"/>
  <c r="BG1943" i="7"/>
  <c r="BG1790" i="7"/>
  <c r="BG812" i="7"/>
  <c r="BG1166" i="7"/>
  <c r="BG2208" i="7"/>
  <c r="BG502" i="7"/>
  <c r="BG1495" i="7"/>
  <c r="BG1907" i="7"/>
  <c r="BG2116" i="7"/>
  <c r="BG1453" i="7"/>
  <c r="BG2258" i="7"/>
  <c r="BG1472" i="7"/>
  <c r="BG1289" i="7"/>
  <c r="BG2253" i="7"/>
  <c r="BG1363" i="7"/>
  <c r="BG1893" i="7"/>
  <c r="BG2136" i="7"/>
  <c r="BG1925" i="7"/>
  <c r="BG694" i="7"/>
  <c r="BG562" i="7"/>
  <c r="BG622" i="7"/>
  <c r="BG961" i="7"/>
  <c r="BG584" i="7"/>
  <c r="BG1244" i="7"/>
  <c r="BG594" i="7"/>
  <c r="BG2196" i="7"/>
  <c r="BG91" i="7"/>
  <c r="BG619" i="7"/>
  <c r="BG285" i="7"/>
  <c r="BG115" i="7"/>
  <c r="BG639" i="7"/>
  <c r="BG518" i="7"/>
  <c r="BG2085" i="7"/>
  <c r="BG2279" i="7"/>
  <c r="BG2226" i="7"/>
  <c r="BG916" i="7"/>
  <c r="BG683" i="7"/>
  <c r="BG1167" i="7"/>
  <c r="BG1594" i="7"/>
  <c r="BG2220" i="7"/>
  <c r="BG1248" i="7"/>
  <c r="BG1241" i="7"/>
  <c r="BG950" i="7"/>
  <c r="BG1636" i="7"/>
  <c r="BG1841" i="7"/>
  <c r="BG1457" i="7"/>
  <c r="BG1043" i="7"/>
  <c r="BG1072" i="7"/>
  <c r="BG2068" i="7"/>
  <c r="BG557" i="7"/>
  <c r="BG733" i="7"/>
  <c r="BG1135" i="7"/>
  <c r="BG1650" i="7"/>
  <c r="BG142" i="7"/>
  <c r="BG999" i="7"/>
  <c r="BG1637" i="7"/>
  <c r="BG642" i="7"/>
  <c r="BG1524" i="7"/>
  <c r="BG2045" i="7"/>
  <c r="BG691" i="7"/>
  <c r="BG2271" i="7"/>
  <c r="BG746" i="7"/>
  <c r="BG197" i="7"/>
  <c r="BG1842" i="7"/>
  <c r="BG715" i="7"/>
  <c r="BG555" i="7"/>
  <c r="BG634" i="7"/>
  <c r="BG985" i="7"/>
  <c r="BG847" i="7"/>
  <c r="BG1646" i="7"/>
  <c r="BG1447" i="7"/>
  <c r="BG1383" i="7"/>
  <c r="BG1159" i="7"/>
  <c r="BG831" i="7"/>
  <c r="BG2230" i="7"/>
  <c r="BG1623" i="7"/>
  <c r="BG1391" i="7"/>
  <c r="BG279" i="7"/>
  <c r="BG2254" i="7"/>
  <c r="BG796" i="7"/>
  <c r="BG903" i="7"/>
  <c r="BG2067" i="7"/>
  <c r="BG1004" i="7"/>
  <c r="BG1601" i="7"/>
  <c r="BG1467" i="7"/>
  <c r="BG1657" i="7"/>
  <c r="BG1501" i="7"/>
  <c r="BG1655" i="7"/>
  <c r="BG267" i="7"/>
  <c r="BG137" i="7"/>
  <c r="BG1758" i="7"/>
  <c r="BG745" i="7"/>
  <c r="BG218" i="7"/>
  <c r="BG2171" i="7"/>
  <c r="BG1446" i="7"/>
  <c r="BG661" i="7"/>
  <c r="BG716" i="7"/>
  <c r="BG395" i="7"/>
  <c r="BG607" i="7"/>
  <c r="BG26" i="7"/>
  <c r="BG445" i="7"/>
  <c r="BG1706" i="7"/>
  <c r="BG1825" i="7"/>
  <c r="BG1535" i="7"/>
  <c r="BG1605" i="7"/>
  <c r="BG425" i="7"/>
  <c r="BG766" i="7"/>
  <c r="BG1746" i="7"/>
  <c r="BG373" i="7"/>
  <c r="BG808" i="7"/>
  <c r="BG1144" i="7"/>
  <c r="BG1093" i="7"/>
  <c r="BG1851" i="7"/>
  <c r="BG1709" i="7"/>
  <c r="BG2029" i="7"/>
  <c r="BG1803" i="7"/>
  <c r="BG1634" i="7"/>
  <c r="BG2054" i="7"/>
  <c r="BG2129" i="7"/>
  <c r="BG1229" i="7"/>
  <c r="BG1165" i="7"/>
  <c r="BG328" i="7"/>
  <c r="BG676" i="7"/>
  <c r="BG1796" i="7"/>
  <c r="BG872" i="7"/>
  <c r="BG1788" i="7"/>
  <c r="BG1864" i="7"/>
  <c r="BG2244" i="7"/>
  <c r="BG1600" i="7"/>
  <c r="BG62" i="7"/>
  <c r="BG281" i="7"/>
  <c r="BG1555" i="7"/>
  <c r="BG1539" i="7"/>
  <c r="BG2056" i="7"/>
  <c r="BG1802" i="7"/>
  <c r="BG1227" i="7"/>
  <c r="BG195" i="7"/>
  <c r="BG835" i="7"/>
  <c r="BG698" i="7"/>
  <c r="BG329" i="7"/>
  <c r="BG931" i="7"/>
  <c r="BG359" i="7"/>
  <c r="BG1558" i="7"/>
  <c r="BG1480" i="7"/>
  <c r="BG629" i="7"/>
  <c r="BG406" i="7"/>
  <c r="BG2193" i="7"/>
  <c r="BG1225" i="7"/>
  <c r="BG725" i="7"/>
  <c r="BG2233" i="7"/>
  <c r="BG1840" i="7"/>
  <c r="BG375" i="7"/>
  <c r="BG1633" i="7"/>
  <c r="BG1648" i="7"/>
  <c r="BG1309" i="7"/>
  <c r="BG964" i="7"/>
  <c r="BG773" i="7"/>
  <c r="BG1000" i="7"/>
  <c r="BG737" i="7"/>
  <c r="BG2227" i="7"/>
  <c r="BG1011" i="7"/>
  <c r="BG1126" i="7"/>
  <c r="BG944" i="7"/>
  <c r="BG2083" i="7"/>
  <c r="BG196" i="7"/>
  <c r="BG741" i="7"/>
  <c r="CL55" i="3"/>
  <c r="CL56" i="3"/>
  <c r="CL54" i="3"/>
  <c r="BJ2" i="8"/>
  <c r="BJ12" i="8"/>
  <c r="BJ974" i="7"/>
  <c r="BJ1260" i="7"/>
  <c r="BJ70" i="7"/>
  <c r="BJ1820" i="7"/>
  <c r="BJ2046" i="7"/>
  <c r="BJ2190" i="7"/>
  <c r="BJ1066" i="7"/>
  <c r="BJ683" i="7"/>
  <c r="BJ845" i="7"/>
  <c r="BJ877" i="7"/>
  <c r="BJ998" i="7"/>
  <c r="BJ2250" i="7"/>
  <c r="BJ2209" i="7"/>
  <c r="BJ638" i="7"/>
  <c r="BJ1020" i="7"/>
  <c r="BJ554" i="7"/>
  <c r="BJ647" i="7"/>
  <c r="BJ853" i="7"/>
  <c r="BJ2078" i="7"/>
  <c r="BJ1896" i="7"/>
  <c r="BJ1917" i="7"/>
  <c r="BJ11" i="8"/>
  <c r="BJ2269" i="7"/>
  <c r="BJ1923" i="7"/>
  <c r="BJ2" i="7"/>
  <c r="BJ905" i="7"/>
  <c r="BJ1828" i="7"/>
  <c r="BJ1144" i="7"/>
  <c r="BJ1130" i="7"/>
  <c r="BJ861" i="7"/>
  <c r="BJ1579" i="7"/>
  <c r="BJ483" i="7"/>
  <c r="BJ2034" i="7"/>
  <c r="BJ1408" i="7"/>
  <c r="BJ1001" i="7"/>
  <c r="BJ2060" i="7"/>
  <c r="BJ2124" i="7"/>
  <c r="BJ1388" i="7"/>
  <c r="BJ526" i="7"/>
  <c r="BJ344" i="7"/>
  <c r="BJ1702" i="7"/>
  <c r="BJ1772" i="7"/>
  <c r="BJ866" i="7"/>
  <c r="BJ1450" i="7"/>
  <c r="BJ1868" i="7"/>
  <c r="BJ2168" i="7"/>
  <c r="BJ834" i="7"/>
  <c r="BJ2113" i="7"/>
  <c r="BJ849" i="7"/>
  <c r="BJ1771" i="7"/>
  <c r="BJ528" i="7"/>
  <c r="BJ1088" i="7"/>
  <c r="BJ666" i="7"/>
  <c r="BJ1394" i="7"/>
  <c r="BJ1359" i="7"/>
  <c r="BJ1503" i="7"/>
  <c r="BJ1774" i="7"/>
  <c r="BJ430" i="7"/>
  <c r="BJ1440" i="7"/>
  <c r="BJ1831" i="7"/>
  <c r="BJ1860" i="7"/>
  <c r="BJ1663" i="7"/>
  <c r="BJ1974" i="7"/>
  <c r="BJ1459" i="7"/>
  <c r="BJ1973" i="7"/>
  <c r="BJ1299" i="7"/>
  <c r="BJ1634" i="7"/>
  <c r="BJ706" i="7"/>
  <c r="BJ1645" i="7"/>
  <c r="BJ335" i="7"/>
  <c r="BJ391" i="7"/>
  <c r="BJ2123" i="7"/>
  <c r="BJ859" i="7"/>
  <c r="BJ1165" i="7"/>
  <c r="BJ540" i="7"/>
  <c r="BJ1639" i="7"/>
  <c r="BJ1916" i="7"/>
  <c r="BJ727" i="7"/>
  <c r="BJ1796" i="7"/>
  <c r="BJ1164" i="7"/>
  <c r="BJ504" i="7"/>
  <c r="BJ652" i="7"/>
  <c r="BJ1930" i="7"/>
  <c r="BJ750" i="7"/>
  <c r="BJ2043" i="7"/>
  <c r="BJ1190" i="7"/>
  <c r="BJ2154" i="7"/>
  <c r="BJ1993" i="7"/>
  <c r="BJ938" i="7"/>
  <c r="BJ322" i="7"/>
  <c r="BJ2018" i="7"/>
  <c r="BJ296" i="7"/>
  <c r="BJ1469" i="7"/>
  <c r="BJ939" i="7"/>
  <c r="BJ1472" i="7"/>
  <c r="BJ2211" i="7"/>
  <c r="BJ932" i="7"/>
  <c r="BJ1927" i="7"/>
  <c r="BJ1118" i="7"/>
  <c r="BJ1076" i="7"/>
  <c r="BJ1586" i="7"/>
  <c r="BJ11" i="7"/>
  <c r="BJ125" i="7"/>
  <c r="BJ617" i="7"/>
  <c r="BJ263" i="7"/>
  <c r="BJ238" i="7"/>
  <c r="BJ674" i="7"/>
  <c r="BJ605" i="7"/>
  <c r="BJ1229" i="7"/>
  <c r="BJ1032" i="7"/>
  <c r="BJ494" i="7"/>
  <c r="BJ1922" i="7"/>
  <c r="BJ1567" i="7"/>
  <c r="BJ1322" i="7"/>
  <c r="BJ1880" i="7"/>
  <c r="BJ1701" i="7"/>
  <c r="BJ292" i="7"/>
  <c r="BJ2217" i="7"/>
  <c r="BJ2273" i="7"/>
  <c r="BJ1471" i="7"/>
  <c r="BJ1387" i="7"/>
  <c r="BJ1131" i="7"/>
  <c r="BJ769" i="7"/>
  <c r="BJ127" i="7"/>
  <c r="BJ1377" i="7"/>
  <c r="BJ672" i="7"/>
  <c r="BJ1282" i="7"/>
  <c r="BJ610" i="7"/>
  <c r="BJ1577" i="7"/>
  <c r="BJ1071" i="7"/>
  <c r="BJ1753" i="7"/>
  <c r="BJ1012" i="7"/>
  <c r="BJ397" i="7"/>
  <c r="BJ466" i="7"/>
  <c r="BJ1681" i="7"/>
  <c r="BJ1798" i="7"/>
  <c r="BJ401" i="7"/>
  <c r="BJ1241" i="7"/>
  <c r="BJ192" i="7"/>
  <c r="BJ700" i="7"/>
  <c r="BJ730" i="7"/>
  <c r="BJ632" i="7"/>
  <c r="BJ1193" i="7"/>
  <c r="BJ918" i="7"/>
  <c r="BJ1869" i="7"/>
  <c r="BJ1320" i="7"/>
  <c r="BJ1738" i="7"/>
  <c r="BJ742" i="7"/>
  <c r="BJ935" i="7"/>
  <c r="BJ525" i="7"/>
  <c r="BJ1925" i="7"/>
  <c r="BJ541" i="7"/>
  <c r="BJ1150" i="7"/>
  <c r="BJ274" i="7"/>
  <c r="BJ436" i="7"/>
  <c r="BJ1901" i="7"/>
  <c r="BJ1279" i="7"/>
  <c r="BJ1382" i="7"/>
  <c r="BJ18" i="7"/>
  <c r="BJ1286" i="7"/>
  <c r="BJ612" i="7"/>
  <c r="BJ2020" i="7"/>
  <c r="BJ1334" i="7"/>
  <c r="BJ2103" i="7"/>
  <c r="BJ1329" i="7"/>
  <c r="BJ2215" i="7"/>
  <c r="BJ190" i="7"/>
  <c r="BJ1810" i="7"/>
  <c r="BJ648" i="7"/>
  <c r="BJ501" i="7"/>
  <c r="BJ1618" i="7"/>
  <c r="BJ1139" i="7"/>
  <c r="BJ450" i="7"/>
  <c r="BJ1803" i="7"/>
  <c r="BJ572" i="7"/>
  <c r="BJ950" i="7"/>
  <c r="BJ1708" i="7"/>
  <c r="BJ719" i="7"/>
  <c r="BJ2235" i="7"/>
  <c r="BJ1276" i="7"/>
  <c r="BJ966" i="7"/>
  <c r="BJ773" i="7"/>
  <c r="BJ1844" i="7"/>
  <c r="BJ1072" i="7"/>
  <c r="BJ1257" i="7"/>
  <c r="BJ1151" i="7"/>
  <c r="BJ557" i="7"/>
  <c r="BJ581" i="7"/>
  <c r="BJ235" i="7"/>
  <c r="BJ1277" i="7"/>
  <c r="BJ2064" i="7"/>
  <c r="BJ904" i="7"/>
  <c r="BJ1025" i="7"/>
  <c r="BJ2249" i="7"/>
  <c r="BJ954" i="7"/>
  <c r="BJ1092" i="7"/>
  <c r="BJ366" i="7"/>
  <c r="BJ1375" i="7"/>
  <c r="BJ1622" i="7"/>
  <c r="BJ1921" i="7"/>
  <c r="BJ260" i="7"/>
  <c r="BJ1891" i="7"/>
  <c r="BJ460" i="7"/>
  <c r="BJ1570" i="7"/>
  <c r="BJ1108" i="7"/>
  <c r="BJ874" i="7"/>
  <c r="BJ1419" i="7"/>
  <c r="BJ1585" i="7"/>
  <c r="BJ2067" i="7"/>
  <c r="BJ2126" i="7"/>
  <c r="BJ2129" i="7"/>
  <c r="BJ4" i="7"/>
  <c r="BJ2152" i="7"/>
  <c r="BJ1104" i="7"/>
  <c r="BJ975" i="7"/>
  <c r="BJ402" i="7"/>
  <c r="BJ933" i="7"/>
  <c r="BJ2204" i="7"/>
  <c r="BJ1747" i="7"/>
  <c r="BJ137" i="7"/>
  <c r="BJ1588" i="7"/>
  <c r="BJ1335" i="7"/>
  <c r="BJ1261" i="7"/>
  <c r="BJ808" i="7"/>
  <c r="BJ1116" i="7"/>
  <c r="BJ736" i="7"/>
  <c r="BJ468" i="7"/>
  <c r="BJ1034" i="7"/>
  <c r="BJ973" i="7"/>
  <c r="BJ1679" i="7"/>
  <c r="BJ1323" i="7"/>
  <c r="BJ964" i="7"/>
  <c r="BJ2174" i="7"/>
  <c r="BJ1022" i="7"/>
  <c r="BJ940" i="7"/>
  <c r="BJ1110" i="7"/>
  <c r="BJ635" i="7"/>
  <c r="BJ2239" i="7"/>
  <c r="BJ1438" i="7"/>
  <c r="BJ247" i="7"/>
  <c r="BJ2019" i="7"/>
  <c r="BJ689" i="7"/>
  <c r="BJ1839" i="7"/>
  <c r="BJ1964" i="7"/>
  <c r="BJ301" i="7"/>
  <c r="BJ1812" i="7"/>
  <c r="BJ1745" i="7"/>
  <c r="BJ569" i="7"/>
  <c r="BJ243" i="7"/>
  <c r="BJ1043" i="7"/>
  <c r="BJ873" i="7"/>
  <c r="BJ992" i="7"/>
  <c r="BJ676" i="7"/>
  <c r="BJ1003" i="7"/>
  <c r="BJ49" i="7"/>
  <c r="BJ1389" i="7"/>
  <c r="BJ693" i="7"/>
  <c r="BJ1765" i="7"/>
  <c r="BJ19" i="7"/>
  <c r="BJ602" i="7"/>
  <c r="BJ671" i="7"/>
  <c r="BJ159" i="7"/>
  <c r="BJ444" i="7"/>
  <c r="BJ1534" i="7"/>
  <c r="BJ997" i="7"/>
  <c r="BJ2172" i="7"/>
  <c r="BJ830" i="7"/>
  <c r="BJ1750" i="7"/>
  <c r="BJ2059" i="7"/>
  <c r="BJ193" i="7"/>
  <c r="BJ69" i="7"/>
  <c r="BJ2079" i="7"/>
  <c r="BJ795" i="7"/>
  <c r="BJ944" i="7"/>
  <c r="BJ328" i="7"/>
  <c r="BJ1529" i="7"/>
  <c r="BJ169" i="7"/>
  <c r="BJ2118" i="7"/>
  <c r="BJ299" i="7"/>
  <c r="BJ624" i="7"/>
  <c r="BJ806" i="7"/>
  <c r="BJ1275" i="7"/>
  <c r="BJ1189" i="7"/>
  <c r="BJ1006" i="7"/>
  <c r="BJ1851" i="7"/>
  <c r="BJ623" i="7"/>
  <c r="BJ823" i="7"/>
  <c r="BJ817" i="7"/>
  <c r="BJ1528" i="7"/>
  <c r="BJ2225" i="7"/>
  <c r="BJ187" i="7"/>
  <c r="BJ288" i="7"/>
  <c r="BJ1841" i="7"/>
  <c r="BJ1457" i="7"/>
  <c r="BJ416" i="7"/>
  <c r="BJ484" i="7"/>
  <c r="BJ2048" i="7"/>
  <c r="BJ2000" i="7"/>
  <c r="BJ1785" i="7"/>
  <c r="BJ930" i="7"/>
  <c r="BJ2039" i="7"/>
  <c r="BJ1038" i="7"/>
  <c r="BJ842" i="7"/>
  <c r="BJ949" i="7"/>
  <c r="BJ1358" i="7"/>
  <c r="BJ1568" i="7"/>
  <c r="BJ2218" i="7"/>
  <c r="BJ423" i="7"/>
  <c r="BJ1121" i="7"/>
  <c r="BJ1433" i="7"/>
  <c r="BJ2179" i="7"/>
  <c r="BJ191" i="7"/>
  <c r="BJ908" i="7"/>
  <c r="BJ1792" i="7"/>
  <c r="BJ1211" i="7"/>
  <c r="BJ530" i="7"/>
  <c r="BJ2184" i="7"/>
  <c r="BJ1700" i="7"/>
  <c r="BJ2236" i="7"/>
  <c r="BJ2072" i="7"/>
  <c r="BJ735" i="7"/>
  <c r="BJ1485" i="7"/>
  <c r="BJ1141" i="7"/>
  <c r="BJ1822" i="7"/>
  <c r="BJ868" i="7"/>
  <c r="BJ459" i="7"/>
  <c r="BJ876" i="7"/>
  <c r="BJ1039" i="7"/>
  <c r="BJ1626" i="7"/>
  <c r="BJ1330" i="7"/>
  <c r="BJ2264" i="7"/>
  <c r="BJ491" i="7"/>
  <c r="BJ440" i="7"/>
  <c r="BJ1636" i="7"/>
  <c r="BJ1543" i="7"/>
  <c r="BJ1980" i="7"/>
  <c r="BJ1926" i="7"/>
  <c r="BJ1898" i="7"/>
  <c r="BJ286" i="7"/>
  <c r="BJ1614" i="7"/>
  <c r="BJ1004" i="7"/>
  <c r="BJ2170" i="7"/>
  <c r="BJ342" i="7"/>
  <c r="BJ1667" i="7"/>
  <c r="BJ1138" i="7"/>
  <c r="BJ1167" i="7"/>
  <c r="BJ947" i="7"/>
  <c r="BJ1553" i="7"/>
  <c r="BJ2246" i="7"/>
  <c r="BJ767" i="7"/>
  <c r="BJ1826" i="7"/>
  <c r="BJ573" i="7"/>
  <c r="BJ2115" i="7"/>
  <c r="BJ372" i="7"/>
  <c r="BJ2222" i="7"/>
  <c r="BJ1769" i="7"/>
  <c r="BJ1106" i="7"/>
  <c r="BJ2016" i="7"/>
  <c r="BJ2241" i="7"/>
  <c r="BJ1985" i="7"/>
  <c r="BJ978" i="7"/>
  <c r="BJ536" i="7"/>
  <c r="BJ1650" i="7"/>
  <c r="BJ916" i="7"/>
  <c r="BJ862" i="7"/>
  <c r="BJ1835" i="7"/>
  <c r="BJ1412" i="7"/>
  <c r="BJ976" i="7"/>
  <c r="BJ1146" i="7"/>
  <c r="BJ1928" i="7"/>
  <c r="BJ902" i="7"/>
  <c r="BJ1248" i="7"/>
  <c r="BJ67" i="7"/>
  <c r="BJ1370" i="7"/>
  <c r="BJ917" i="7"/>
  <c r="BJ2160" i="7"/>
  <c r="BJ2100" i="7"/>
  <c r="BJ665" i="7"/>
  <c r="BJ827" i="7"/>
  <c r="BJ1289" i="7"/>
  <c r="BJ885" i="7"/>
  <c r="BJ884" i="7"/>
  <c r="BJ682" i="7"/>
  <c r="BJ1280" i="7"/>
  <c r="BJ749" i="7"/>
  <c r="BJ326" i="7"/>
  <c r="BJ703" i="7"/>
  <c r="BJ688" i="7"/>
  <c r="BJ1628" i="7"/>
  <c r="BJ1435" i="7"/>
  <c r="BJ66" i="7"/>
  <c r="BJ614" i="7"/>
  <c r="BJ2068" i="7"/>
  <c r="BJ723" i="7"/>
  <c r="BJ1958" i="7"/>
  <c r="BJ2234" i="7"/>
  <c r="BJ758" i="7"/>
  <c r="BJ1353" i="7"/>
  <c r="BJ131" i="7"/>
  <c r="BJ928" i="7"/>
  <c r="BJ308" i="7"/>
  <c r="BJ2224" i="7"/>
  <c r="BJ914" i="7"/>
  <c r="BJ656" i="7"/>
  <c r="BJ1981" i="7"/>
  <c r="BJ1093" i="7"/>
  <c r="BJ2173" i="7"/>
  <c r="BJ495" i="7"/>
  <c r="BJ453" i="7"/>
  <c r="BJ571" i="7"/>
  <c r="BJ929" i="7"/>
  <c r="BJ1392" i="7"/>
  <c r="BJ1089" i="7"/>
  <c r="BJ1741" i="7"/>
  <c r="BJ731" i="7"/>
  <c r="BJ613" i="7"/>
  <c r="BJ229" i="7"/>
  <c r="BJ1843" i="7"/>
  <c r="BJ813" i="7"/>
  <c r="BJ458" i="7"/>
  <c r="BJ1258" i="7"/>
  <c r="BJ1799" i="7"/>
  <c r="BJ476" i="7"/>
  <c r="BJ1135" i="7"/>
  <c r="BJ2181" i="7"/>
  <c r="BJ2084" i="7"/>
  <c r="BJ1386" i="7"/>
  <c r="BJ1574" i="7"/>
  <c r="BJ810" i="7"/>
  <c r="BJ1564" i="7"/>
  <c r="BJ1678" i="7"/>
  <c r="BJ1203" i="7"/>
  <c r="BJ1517" i="7"/>
  <c r="BJ1788" i="7"/>
  <c r="BJ883" i="7"/>
  <c r="BJ1918" i="7"/>
  <c r="BJ2042" i="7"/>
  <c r="BJ510" i="7"/>
  <c r="BJ2029" i="7"/>
  <c r="BJ1913" i="7"/>
  <c r="BJ65" i="7"/>
  <c r="BJ911" i="7"/>
  <c r="BJ211" i="7"/>
  <c r="BJ2267" i="7"/>
  <c r="BJ1295" i="7"/>
  <c r="BJ1996" i="7"/>
  <c r="BJ1014" i="7"/>
  <c r="BJ1126" i="7"/>
  <c r="BJ1709" i="7"/>
  <c r="BJ2110" i="7"/>
  <c r="BJ3" i="7"/>
  <c r="BJ1317" i="7"/>
  <c r="BJ1097" i="7"/>
  <c r="BJ1583" i="7"/>
  <c r="BJ872" i="7"/>
  <c r="BJ878" i="7"/>
  <c r="BJ903" i="7"/>
  <c r="BJ535" i="7"/>
  <c r="BJ1726" i="7"/>
  <c r="BJ1979" i="7"/>
  <c r="BJ2276" i="7"/>
  <c r="BJ1283" i="7"/>
  <c r="BJ1594" i="7"/>
  <c r="BJ1591" i="7"/>
  <c r="BJ913" i="7"/>
  <c r="BJ241" i="7"/>
  <c r="BJ1292" i="7"/>
  <c r="BJ2180" i="7"/>
  <c r="BJ824" i="7"/>
  <c r="BJ1185" i="7"/>
  <c r="BJ734" i="7"/>
  <c r="BJ762" i="7"/>
  <c r="BJ1149" i="7"/>
  <c r="BJ1117" i="7"/>
  <c r="BJ2192" i="7"/>
  <c r="BJ1864" i="7"/>
  <c r="BJ485" i="7"/>
  <c r="BJ267" i="7"/>
  <c r="BJ126" i="7"/>
  <c r="BJ2062" i="7"/>
  <c r="BJ685" i="7"/>
  <c r="BJ840" i="7"/>
  <c r="BJ160" i="7"/>
  <c r="BJ2054" i="7"/>
  <c r="BJ136" i="7"/>
  <c r="BJ1617" i="7"/>
  <c r="BJ1580" i="7"/>
  <c r="BJ1837" i="7"/>
  <c r="BJ1606" i="7"/>
  <c r="BJ1783" i="7"/>
  <c r="BJ547" i="7"/>
  <c r="BJ1573" i="7"/>
  <c r="BJ1832" i="7"/>
  <c r="BJ298" i="7"/>
  <c r="BJ568" i="7"/>
  <c r="BJ259" i="7"/>
  <c r="BJ616" i="7"/>
  <c r="BJ677" i="7"/>
  <c r="BJ1342" i="7"/>
  <c r="BJ343" i="7"/>
  <c r="BJ194" i="7"/>
  <c r="BJ489" i="7"/>
  <c r="BJ1644" i="7"/>
  <c r="BJ2220" i="7"/>
  <c r="BJ1086" i="7"/>
  <c r="BJ733" i="7"/>
  <c r="BJ2025" i="7"/>
  <c r="BJ704" i="7"/>
  <c r="BJ1661" i="7"/>
  <c r="BJ1905" i="7"/>
  <c r="CO75" i="1"/>
  <c r="CO161" i="1"/>
  <c r="CO208" i="1"/>
  <c r="CO125" i="1"/>
  <c r="CO271" i="1"/>
  <c r="CO234" i="1"/>
  <c r="CO115" i="1"/>
  <c r="CO281" i="1"/>
  <c r="CO44" i="1"/>
  <c r="CO210" i="1"/>
  <c r="CO290" i="1"/>
  <c r="CO192" i="1"/>
  <c r="CO136" i="1"/>
  <c r="CO85" i="1"/>
  <c r="CO204" i="1"/>
  <c r="CO254" i="1"/>
  <c r="CO112" i="1"/>
  <c r="CO194" i="1"/>
  <c r="CO294" i="1"/>
  <c r="CO225" i="1"/>
  <c r="CO253" i="1"/>
  <c r="CO256" i="1"/>
  <c r="CO66" i="1"/>
  <c r="CO3" i="1"/>
  <c r="CO62" i="1"/>
  <c r="CO179" i="1"/>
  <c r="CO95" i="1"/>
  <c r="CO200" i="1"/>
  <c r="CO189" i="1"/>
  <c r="CO150" i="1"/>
  <c r="CO164" i="1"/>
  <c r="CO78" i="1"/>
  <c r="CO303" i="1"/>
  <c r="CO249" i="1"/>
  <c r="CO33" i="1"/>
  <c r="CO103" i="1"/>
  <c r="CO180" i="1"/>
  <c r="CO91" i="1"/>
  <c r="CO285" i="1"/>
  <c r="CO99" i="1"/>
  <c r="CO160" i="1"/>
  <c r="CO26" i="1"/>
  <c r="CO151" i="1"/>
  <c r="CO248" i="1"/>
  <c r="CO190" i="1"/>
  <c r="CO185" i="1"/>
  <c r="CO247" i="1"/>
  <c r="CO55" i="1"/>
  <c r="CO162" i="1"/>
  <c r="CO68" i="1"/>
  <c r="CO35" i="1"/>
  <c r="CO128" i="1"/>
  <c r="CO13" i="1"/>
  <c r="CO198" i="1"/>
  <c r="CO176" i="1"/>
  <c r="CO263" i="1"/>
  <c r="CO222" i="1"/>
  <c r="CO209" i="1"/>
  <c r="CO171" i="1"/>
  <c r="CO286" i="1"/>
  <c r="CO135" i="1"/>
  <c r="BK2268" i="7"/>
  <c r="BK2275" i="7"/>
  <c r="BK2279" i="7"/>
  <c r="BK2273" i="7"/>
  <c r="BK2267" i="7"/>
  <c r="BK2278" i="7"/>
  <c r="BK2280" i="7"/>
  <c r="BK2277" i="7"/>
  <c r="BK2274" i="7"/>
  <c r="BK2271" i="7"/>
  <c r="BK2276" i="7"/>
  <c r="BK2270" i="7"/>
  <c r="BK2269" i="7"/>
  <c r="BK2272" i="7"/>
  <c r="CL50" i="1"/>
  <c r="CQ50" i="1" s="1"/>
  <c r="CT50" i="1" s="1"/>
  <c r="CL204" i="1"/>
  <c r="CQ204" i="1" s="1"/>
  <c r="CT204" i="1" s="1"/>
  <c r="CL123" i="1"/>
  <c r="CQ123" i="1" s="1"/>
  <c r="CT123" i="1" s="1"/>
  <c r="CL187" i="1"/>
  <c r="CQ187" i="1" s="1"/>
  <c r="CT187" i="1" s="1"/>
  <c r="CL168" i="1"/>
  <c r="CQ168" i="1" s="1"/>
  <c r="CT168" i="1" s="1"/>
  <c r="CL138" i="1"/>
  <c r="CQ138" i="1" s="1"/>
  <c r="CT138" i="1" s="1"/>
  <c r="CL283" i="1"/>
  <c r="CQ283" i="1" s="1"/>
  <c r="CT283" i="1" s="1"/>
  <c r="CL272" i="1"/>
  <c r="CQ272" i="1" s="1"/>
  <c r="CT272" i="1" s="1"/>
  <c r="CL52" i="1"/>
  <c r="CQ52" i="1" s="1"/>
  <c r="CT52" i="1" s="1"/>
  <c r="CL85" i="1"/>
  <c r="CQ85" i="1" s="1"/>
  <c r="CT85" i="1" s="1"/>
  <c r="CL133" i="1"/>
  <c r="CQ133" i="1" s="1"/>
  <c r="CT133" i="1" s="1"/>
  <c r="CL136" i="1"/>
  <c r="CQ136" i="1" s="1"/>
  <c r="CT136" i="1" s="1"/>
  <c r="CL192" i="1"/>
  <c r="CQ192" i="1" s="1"/>
  <c r="CT192" i="1" s="1"/>
  <c r="CL49" i="1"/>
  <c r="CQ49" i="1" s="1"/>
  <c r="CT49" i="1" s="1"/>
  <c r="CL290" i="1"/>
  <c r="CQ290" i="1" s="1"/>
  <c r="CT290" i="1" s="1"/>
  <c r="CL149" i="1"/>
  <c r="CQ149" i="1" s="1"/>
  <c r="CT149" i="1" s="1"/>
  <c r="CL242" i="1"/>
  <c r="CQ242" i="1" s="1"/>
  <c r="CT242" i="1" s="1"/>
  <c r="CL226" i="1"/>
  <c r="CQ226" i="1" s="1"/>
  <c r="CT226" i="1" s="1"/>
  <c r="CL255" i="1"/>
  <c r="CQ255" i="1" s="1"/>
  <c r="CT255" i="1" s="1"/>
  <c r="CL42" i="1"/>
  <c r="CQ42" i="1" s="1"/>
  <c r="CT42" i="1" s="1"/>
  <c r="CL59" i="1"/>
  <c r="CQ59" i="1" s="1"/>
  <c r="CT59" i="1" s="1"/>
  <c r="CL210" i="1"/>
  <c r="CQ210" i="1" s="1"/>
  <c r="CT210" i="1" s="1"/>
  <c r="CL67" i="1"/>
  <c r="CQ67" i="1" s="1"/>
  <c r="CT67" i="1" s="1"/>
  <c r="CL152" i="1"/>
  <c r="CQ152" i="1" s="1"/>
  <c r="CT152" i="1" s="1"/>
  <c r="CL102" i="1"/>
  <c r="CQ102" i="1" s="1"/>
  <c r="CT102" i="1" s="1"/>
  <c r="CM228" i="1"/>
  <c r="CM205" i="1"/>
  <c r="CM252" i="1"/>
  <c r="CM215" i="1"/>
  <c r="CM268" i="1"/>
  <c r="CM96" i="1"/>
  <c r="CM207" i="1"/>
  <c r="CM12" i="1"/>
  <c r="CM146" i="1"/>
  <c r="CM191" i="1"/>
  <c r="CM111" i="1"/>
  <c r="CM211" i="1"/>
  <c r="CM88" i="1"/>
  <c r="CM145" i="1"/>
  <c r="CM143" i="1"/>
  <c r="CM307" i="1"/>
  <c r="CM212" i="1"/>
  <c r="CM30" i="1"/>
  <c r="CM183" i="1"/>
  <c r="CM235" i="1"/>
  <c r="CM109" i="1"/>
  <c r="CM196" i="1"/>
  <c r="CM131" i="1"/>
  <c r="CM265" i="1"/>
  <c r="CM114" i="1"/>
  <c r="CP186" i="1"/>
  <c r="CP63" i="1"/>
  <c r="CR63" i="1" s="1"/>
  <c r="CS63" i="1" s="1"/>
  <c r="CP198" i="1"/>
  <c r="CP13" i="1"/>
  <c r="CP128" i="1"/>
  <c r="CR128" i="1" s="1"/>
  <c r="CS128" i="1" s="1"/>
  <c r="CU128" i="1" s="1"/>
  <c r="CX128" i="1" s="1"/>
  <c r="CP35" i="1"/>
  <c r="CP29" i="1"/>
  <c r="CP68" i="1"/>
  <c r="CP86" i="1"/>
  <c r="CP162" i="1"/>
  <c r="CP83" i="1"/>
  <c r="CP55" i="1"/>
  <c r="CP113" i="1"/>
  <c r="CP247" i="1"/>
  <c r="CP185" i="1"/>
  <c r="CP16" i="1"/>
  <c r="CP189" i="1"/>
  <c r="CP165" i="1"/>
  <c r="CP38" i="1"/>
  <c r="CP140" i="1"/>
  <c r="CO167" i="1"/>
  <c r="CO219" i="1"/>
  <c r="CO76" i="1"/>
  <c r="CO206" i="1"/>
  <c r="CO227" i="1"/>
  <c r="CN82" i="1"/>
  <c r="CN60" i="1"/>
  <c r="CN224" i="1"/>
  <c r="CN239" i="1"/>
  <c r="CO55" i="3"/>
  <c r="BJ102" i="8"/>
  <c r="BJ90" i="8"/>
  <c r="BJ86" i="8"/>
  <c r="BJ103" i="8"/>
  <c r="BJ87" i="8"/>
  <c r="BJ83" i="8"/>
  <c r="BJ101" i="8"/>
  <c r="BJ88" i="8"/>
  <c r="BJ104" i="8"/>
  <c r="BJ85" i="8"/>
  <c r="BJ84" i="8"/>
  <c r="BJ89" i="8"/>
  <c r="BJ18" i="8"/>
  <c r="BJ915" i="7"/>
  <c r="BJ1706" i="7"/>
  <c r="BJ815" i="7"/>
  <c r="BJ417" i="7"/>
  <c r="BJ469" i="7"/>
  <c r="BJ435" i="7"/>
  <c r="BJ1704" i="7"/>
  <c r="BJ285" i="7"/>
  <c r="BJ74" i="7"/>
  <c r="BJ2050" i="7"/>
  <c r="BJ1909" i="7"/>
  <c r="BJ23" i="7"/>
  <c r="BJ1361" i="7"/>
  <c r="BJ1978" i="7"/>
  <c r="BJ506" i="7"/>
  <c r="BJ1761" i="7"/>
  <c r="BJ414" i="7"/>
  <c r="BJ1017" i="7"/>
  <c r="BJ1226" i="7"/>
  <c r="BJ782" i="7"/>
  <c r="BJ993" i="7"/>
  <c r="BJ1512" i="7"/>
  <c r="BJ906" i="7"/>
  <c r="BJ1357" i="7"/>
  <c r="BJ1041" i="7"/>
  <c r="BJ910" i="7"/>
  <c r="BJ1306" i="7"/>
  <c r="BJ1694" i="7"/>
  <c r="BJ1717" i="7"/>
  <c r="BJ1218" i="7"/>
  <c r="BJ564" i="7"/>
  <c r="BJ420" i="7"/>
  <c r="BJ1988" i="7"/>
  <c r="BJ1091" i="7"/>
  <c r="BJ880" i="7"/>
  <c r="BJ515" i="7"/>
  <c r="BJ1989" i="7"/>
  <c r="BJ1683" i="7"/>
  <c r="BJ828" i="7"/>
  <c r="BJ2011" i="7"/>
  <c r="BJ893" i="7"/>
  <c r="BJ43" i="7"/>
  <c r="BJ1268" i="7"/>
  <c r="BJ1134" i="7"/>
  <c r="BJ789" i="7"/>
  <c r="BJ1629" i="7"/>
  <c r="BJ1191" i="7"/>
  <c r="BJ1780" i="7"/>
  <c r="BJ1548" i="7"/>
  <c r="BJ522" i="7"/>
  <c r="BJ1603" i="7"/>
  <c r="BJ2210" i="7"/>
  <c r="BJ619" i="7"/>
  <c r="BJ963" i="7"/>
  <c r="BJ662" i="7"/>
  <c r="BJ320" i="7"/>
  <c r="BJ768" i="7"/>
  <c r="BJ1347" i="7"/>
  <c r="BJ818" i="7"/>
  <c r="BJ78" i="7"/>
  <c r="BJ1101" i="7"/>
  <c r="BJ1915" i="7"/>
  <c r="BJ1884" i="7"/>
  <c r="BJ2258" i="7"/>
  <c r="BJ531" i="7"/>
  <c r="BJ115" i="7"/>
  <c r="BJ1047" i="7"/>
  <c r="BJ511" i="7"/>
  <c r="BJ439" i="7"/>
  <c r="BJ61" i="7"/>
  <c r="BJ1575" i="7"/>
  <c r="BJ367" i="7"/>
  <c r="BJ441" i="7"/>
  <c r="BJ2030" i="7"/>
  <c r="BJ1590" i="7"/>
  <c r="BJ802" i="7"/>
  <c r="BJ838" i="7"/>
  <c r="BJ2058" i="7"/>
  <c r="BJ606" i="7"/>
  <c r="BJ97" i="7"/>
  <c r="BJ2133" i="7"/>
  <c r="BJ1571" i="7"/>
  <c r="BJ2281" i="7"/>
  <c r="BJ1417" i="7"/>
  <c r="BJ1100" i="7"/>
  <c r="BJ2216" i="7"/>
  <c r="BJ2182" i="7"/>
  <c r="BJ486" i="7"/>
  <c r="BJ1182" i="7"/>
  <c r="BJ1470" i="7"/>
  <c r="BJ851" i="7"/>
  <c r="BJ2186" i="7"/>
  <c r="BJ1016" i="7"/>
  <c r="BJ952" i="7"/>
  <c r="BJ1296" i="7"/>
  <c r="BJ470" i="7"/>
  <c r="BJ233" i="7"/>
  <c r="BJ2065" i="7"/>
  <c r="BJ105" i="8"/>
  <c r="BJ297" i="7"/>
  <c r="BJ1507" i="7"/>
  <c r="BJ1114" i="7"/>
  <c r="BJ1532" i="7"/>
  <c r="BJ287" i="7"/>
  <c r="BJ47" i="7"/>
  <c r="BJ1976" i="7"/>
  <c r="BJ987" i="7"/>
  <c r="BJ77" i="7"/>
  <c r="BJ272" i="7"/>
  <c r="BJ1968" i="7"/>
  <c r="BJ841" i="7"/>
  <c r="BJ480" i="7"/>
  <c r="BJ1454" i="7"/>
  <c r="BJ1073" i="7"/>
  <c r="BJ2071" i="7"/>
  <c r="BJ1959" i="7"/>
  <c r="BJ1103" i="7"/>
  <c r="BJ722" i="7"/>
  <c r="BJ1698" i="7"/>
  <c r="BJ306" i="7"/>
  <c r="BJ437" i="7"/>
  <c r="BJ199" i="7"/>
  <c r="BJ1818" i="7"/>
  <c r="BJ675" i="7"/>
  <c r="BJ1466" i="7"/>
  <c r="BJ244" i="7"/>
  <c r="BJ325" i="7"/>
  <c r="BJ2106" i="7"/>
  <c r="BJ2002" i="7"/>
  <c r="BJ1604" i="7"/>
  <c r="BJ200" i="7"/>
  <c r="BJ1028" i="7"/>
  <c r="BJ121" i="7"/>
  <c r="BJ1339" i="7"/>
  <c r="BJ1705" i="7"/>
  <c r="BJ951" i="7"/>
  <c r="BJ551" i="7"/>
  <c r="BJ1111" i="7"/>
  <c r="BJ701" i="7"/>
  <c r="BJ42" i="7"/>
  <c r="BJ690" i="7"/>
  <c r="BJ1743" i="7"/>
  <c r="BJ1970" i="7"/>
  <c r="BJ1050" i="7"/>
  <c r="BJ1301" i="7"/>
  <c r="BJ988" i="7"/>
  <c r="BJ1669" i="7"/>
  <c r="BJ76" i="7"/>
  <c r="BJ1128" i="7"/>
  <c r="BJ1442" i="7"/>
  <c r="BJ2121" i="7"/>
  <c r="BJ46" i="7"/>
  <c r="BJ2188" i="7"/>
  <c r="BJ1075" i="7"/>
  <c r="BJ75" i="7"/>
  <c r="BJ519" i="7"/>
  <c r="BJ338" i="7"/>
  <c r="BJ1463" i="7"/>
  <c r="BJ843" i="7"/>
  <c r="BJ1692" i="7"/>
  <c r="BJ1259" i="7"/>
  <c r="BJ570" i="7"/>
  <c r="BJ394" i="7"/>
  <c r="BJ1427" i="7"/>
  <c r="BJ1957" i="7"/>
  <c r="BJ1766" i="7"/>
  <c r="BJ1230" i="7"/>
  <c r="BJ232" i="7"/>
  <c r="BJ212" i="7"/>
  <c r="BJ709" i="7"/>
  <c r="BJ1954" i="7"/>
  <c r="BJ1680" i="7"/>
  <c r="BJ1238" i="7"/>
  <c r="BJ518" i="7"/>
  <c r="BJ15" i="7"/>
  <c r="BJ400" i="7"/>
  <c r="BJ59" i="7"/>
  <c r="BJ257" i="7"/>
  <c r="BJ2270" i="7"/>
  <c r="BJ72" i="7"/>
  <c r="BJ850" i="7"/>
  <c r="BJ268" i="7"/>
  <c r="BJ203" i="7"/>
  <c r="BJ53" i="7"/>
  <c r="BJ1744" i="7"/>
  <c r="BJ433" i="7"/>
  <c r="BJ56" i="7"/>
  <c r="BJ1262" i="7"/>
  <c r="BJ475" i="7"/>
  <c r="BJ1963" i="7"/>
  <c r="BJ1492" i="7"/>
  <c r="BJ2007" i="7"/>
  <c r="BJ1664" i="7"/>
  <c r="BJ1886" i="7"/>
  <c r="BJ945" i="7"/>
  <c r="BJ1216" i="7"/>
  <c r="BJ1537" i="7"/>
  <c r="BJ1530" i="7"/>
  <c r="BJ1605" i="7"/>
  <c r="BJ1367" i="7"/>
  <c r="BJ991" i="7"/>
  <c r="BJ261" i="7"/>
  <c r="BJ1873" i="7"/>
  <c r="BJ1332" i="7"/>
  <c r="BJ615" i="7"/>
  <c r="BJ425" i="7"/>
  <c r="BJ1569" i="7"/>
  <c r="BJ1115" i="7"/>
  <c r="BJ1830" i="7"/>
  <c r="BJ379" i="7"/>
  <c r="BJ156" i="7"/>
  <c r="BJ2063" i="7"/>
  <c r="BJ1676" i="7"/>
  <c r="BJ275" i="7"/>
  <c r="BJ1372" i="7"/>
  <c r="BJ1378" i="7"/>
  <c r="BJ258" i="7"/>
  <c r="BJ1566" i="7"/>
  <c r="BJ1746" i="7"/>
  <c r="BJ726" i="7"/>
  <c r="BJ1273" i="7"/>
  <c r="BJ669" i="7"/>
  <c r="BJ1949" i="7"/>
  <c r="BJ1162" i="7"/>
  <c r="BJ747" i="7"/>
  <c r="BJ255" i="7"/>
  <c r="BJ968" i="7"/>
  <c r="BJ1011" i="7"/>
  <c r="BJ443" i="7"/>
  <c r="BJ1550" i="7"/>
  <c r="BJ1627" i="7"/>
  <c r="BJ1478" i="7"/>
  <c r="BJ147" i="7"/>
  <c r="BJ875" i="7"/>
  <c r="BJ953" i="7"/>
  <c r="BJ775" i="7"/>
  <c r="BJ599" i="7"/>
  <c r="BJ434" i="7"/>
  <c r="BJ1222" i="7"/>
  <c r="BJ801" i="7"/>
  <c r="BJ643" i="7"/>
  <c r="BJ794" i="7"/>
  <c r="BJ9" i="7"/>
  <c r="BJ151" i="7"/>
  <c r="BJ130" i="7"/>
  <c r="BJ1366" i="7"/>
  <c r="BJ1541" i="7"/>
  <c r="BJ1431" i="7"/>
  <c r="BJ1021" i="7"/>
  <c r="BJ544" i="7"/>
  <c r="BJ45" i="7"/>
  <c r="BJ317" i="7"/>
  <c r="BJ154" i="7"/>
  <c r="BJ2164" i="7"/>
  <c r="BJ269" i="7"/>
  <c r="BJ516" i="7"/>
  <c r="BJ1742" i="7"/>
  <c r="BJ822" i="7"/>
  <c r="BJ1430" i="7"/>
  <c r="BJ2248" i="7"/>
  <c r="BJ365" i="7"/>
  <c r="BJ1107" i="7"/>
  <c r="BJ5" i="7"/>
  <c r="BJ832" i="7"/>
  <c r="BJ96" i="7"/>
  <c r="BJ1172" i="7"/>
  <c r="BJ946" i="7"/>
  <c r="BJ1825" i="7"/>
  <c r="BJ833" i="7"/>
  <c r="BJ804" i="7"/>
  <c r="BJ1343" i="7"/>
  <c r="BJ1415" i="7"/>
  <c r="BJ473" i="7"/>
  <c r="BJ242" i="7"/>
  <c r="BJ149" i="7"/>
  <c r="BJ507" i="7"/>
  <c r="BJ1245" i="7"/>
  <c r="BJ1063" i="7"/>
  <c r="BJ2148" i="7"/>
  <c r="BJ1795" i="7"/>
  <c r="BJ620" i="7"/>
  <c r="BJ188" i="7"/>
  <c r="BJ816" i="7"/>
  <c r="BJ155" i="7"/>
  <c r="BJ1137" i="7"/>
  <c r="BJ404" i="7"/>
  <c r="BJ198" i="7"/>
  <c r="BJ2185" i="7"/>
  <c r="BJ1881" i="7"/>
  <c r="BJ1336" i="7"/>
  <c r="BJ13" i="7"/>
  <c r="BJ1029" i="7"/>
  <c r="BJ2226" i="7"/>
  <c r="BJ210" i="7"/>
  <c r="BJ521" i="7"/>
  <c r="BJ1181" i="7"/>
  <c r="BJ1768" i="7"/>
  <c r="BJ776" i="7"/>
  <c r="BJ508" i="7"/>
  <c r="BJ721" i="7"/>
  <c r="BJ1205" i="7"/>
  <c r="BJ1293" i="7"/>
  <c r="BJ1483" i="7"/>
  <c r="BJ2268" i="7"/>
  <c r="BJ2027" i="7"/>
  <c r="BJ1426" i="7"/>
  <c r="BJ340" i="7"/>
  <c r="BJ793" i="7"/>
  <c r="BJ1313" i="7"/>
  <c r="BJ313" i="7"/>
  <c r="BJ482" i="7"/>
  <c r="BJ2213" i="7"/>
  <c r="BJ1991" i="7"/>
  <c r="BJ2010" i="7"/>
  <c r="BJ1307" i="7"/>
  <c r="BJ1120" i="7"/>
  <c r="BJ1829" i="7"/>
  <c r="BJ323" i="7"/>
  <c r="BJ517" i="7"/>
  <c r="BJ124" i="7"/>
  <c r="BJ204" i="7"/>
  <c r="BJ1904" i="7"/>
  <c r="BJ761" i="7"/>
  <c r="BJ1270" i="7"/>
  <c r="BJ373" i="7"/>
  <c r="BJ586" i="7"/>
  <c r="BJ1069" i="7"/>
  <c r="BJ1078" i="7"/>
  <c r="BJ44" i="7"/>
  <c r="BJ1815" i="7"/>
  <c r="BJ777" i="7"/>
  <c r="BJ1145" i="7"/>
  <c r="BJ422" i="7"/>
  <c r="BJ438" i="7"/>
  <c r="BJ2033" i="7"/>
  <c r="BJ2158" i="7"/>
  <c r="BJ1952" i="7"/>
  <c r="BJ1489" i="7"/>
  <c r="BJ1309" i="7"/>
  <c r="BJ377" i="7"/>
  <c r="BJ1319" i="7"/>
  <c r="BJ1597" i="7"/>
  <c r="BJ278" i="7"/>
  <c r="BJ1058" i="7"/>
  <c r="BJ1249" i="7"/>
  <c r="BJ979" i="7"/>
  <c r="BJ2223" i="7"/>
  <c r="BJ98" i="7"/>
  <c r="BJ1561" i="7"/>
  <c r="BJ1827" i="7"/>
  <c r="BJ990" i="7"/>
  <c r="BJ1253" i="7"/>
  <c r="BJ2261" i="7"/>
  <c r="BJ2166" i="7"/>
  <c r="BJ412" i="7"/>
  <c r="BJ509" i="7"/>
  <c r="BJ1473" i="7"/>
  <c r="BJ1665" i="7"/>
  <c r="BJ1198" i="7"/>
  <c r="BJ2077" i="7"/>
  <c r="BJ2242" i="7"/>
  <c r="BJ1656" i="7"/>
  <c r="BJ1048" i="7"/>
  <c r="BJ334" i="7"/>
  <c r="BJ1749" i="7"/>
  <c r="BJ899" i="7"/>
  <c r="BJ658" i="7"/>
  <c r="BJ1710" i="7"/>
  <c r="BJ1895" i="7"/>
  <c r="BJ779" i="7"/>
  <c r="BJ2009" i="7"/>
  <c r="BJ1065" i="7"/>
  <c r="BJ1875" i="7"/>
  <c r="BJ2156" i="7"/>
  <c r="BJ657" i="7"/>
  <c r="BJ1266" i="7"/>
  <c r="BJ353" i="7"/>
  <c r="BJ1163" i="7"/>
  <c r="BJ57" i="7"/>
  <c r="BJ766" i="7"/>
  <c r="BJ2109" i="7"/>
  <c r="BJ1824" i="7"/>
  <c r="BJ717" i="7"/>
  <c r="BJ2279" i="7"/>
  <c r="BJ2125" i="7"/>
  <c r="BJ798" i="7"/>
  <c r="BJ1436" i="7"/>
  <c r="BJ1310" i="7"/>
  <c r="BJ16" i="7"/>
  <c r="BJ1326" i="7"/>
  <c r="BJ481" i="7"/>
  <c r="BJ583" i="7"/>
  <c r="BJ21" i="7"/>
  <c r="BJ1836" i="7"/>
  <c r="BJ1592" i="7"/>
  <c r="BJ1914" i="7"/>
  <c r="BJ22" i="7"/>
  <c r="BJ774" i="7"/>
  <c r="BJ1757" i="7"/>
  <c r="BJ1157" i="7"/>
  <c r="BJ1789" i="7"/>
  <c r="BJ566" i="7"/>
  <c r="BJ352" i="7"/>
  <c r="BJ1033" i="7"/>
  <c r="BJ1520" i="7"/>
  <c r="BJ12" i="7"/>
  <c r="BJ1990" i="7"/>
  <c r="BJ1540" i="7"/>
  <c r="BJ1344" i="7"/>
  <c r="BJ284" i="7"/>
  <c r="BJ1500" i="7"/>
  <c r="BJ1188" i="7"/>
  <c r="BJ337" i="7"/>
  <c r="BJ1481" i="7"/>
  <c r="BJ1046" i="7"/>
  <c r="BJ713" i="7"/>
  <c r="BJ989" i="7"/>
  <c r="BJ2003" i="7"/>
  <c r="BJ1760" i="7"/>
  <c r="BJ1598" i="7"/>
  <c r="BJ1291" i="7"/>
  <c r="BJ1302" i="7"/>
  <c r="BJ143" i="7"/>
  <c r="BJ2197" i="7"/>
  <c r="BJ664" i="7"/>
  <c r="BJ346" i="7"/>
  <c r="BJ799" i="7"/>
  <c r="BJ442" i="7"/>
  <c r="BJ490" i="7"/>
  <c r="BJ972" i="7"/>
  <c r="BJ1278" i="7"/>
  <c r="BJ148" i="7"/>
  <c r="BJ1098" i="7"/>
  <c r="BJ1081" i="7"/>
  <c r="BJ133" i="7"/>
  <c r="BJ1348" i="7"/>
  <c r="BJ1052" i="7"/>
  <c r="BJ1616" i="7"/>
  <c r="BJ1883" i="7"/>
  <c r="BJ1689" i="7"/>
  <c r="BJ315" i="7"/>
  <c r="BJ351" i="7"/>
  <c r="BJ1731" i="7"/>
  <c r="BJ592" i="7"/>
  <c r="BJ1464" i="7"/>
  <c r="BJ1360" i="7"/>
  <c r="BJ1148" i="7"/>
  <c r="BJ1207" i="7"/>
  <c r="BJ1087" i="7"/>
  <c r="BJ150" i="7"/>
  <c r="BJ2278" i="7"/>
  <c r="BJ456" i="7"/>
  <c r="BJ791" i="7"/>
  <c r="BJ1877" i="7"/>
  <c r="BJ2143" i="7"/>
  <c r="BJ2055" i="7"/>
  <c r="BJ223" i="7"/>
  <c r="BJ1966" i="7"/>
  <c r="BJ2231" i="7"/>
  <c r="BJ1610" i="7"/>
  <c r="BJ590" i="7"/>
  <c r="BJ803" i="7"/>
  <c r="BJ358" i="7"/>
  <c r="BJ781" i="7"/>
  <c r="BJ1217" i="7"/>
  <c r="BJ1315" i="7"/>
  <c r="BJ1354" i="7"/>
  <c r="BJ1049" i="7"/>
  <c r="BJ591" i="7"/>
  <c r="BJ2256" i="7"/>
  <c r="BJ1554" i="7"/>
  <c r="BJ855" i="7"/>
  <c r="BJ1602" i="7"/>
  <c r="BJ611" i="7"/>
  <c r="BJ321" i="7"/>
  <c r="BJ529" i="7"/>
  <c r="BJ1484" i="7"/>
  <c r="BJ1341" i="7"/>
  <c r="BJ146" i="7"/>
  <c r="BJ2037" i="7"/>
  <c r="BJ1655" i="7"/>
  <c r="BJ1414" i="7"/>
  <c r="BJ314" i="7"/>
  <c r="BJ863" i="7"/>
  <c r="BJ2017" i="7"/>
  <c r="BJ270" i="7"/>
  <c r="BJ1509" i="7"/>
  <c r="BJ1202" i="7"/>
  <c r="BJ114" i="7"/>
  <c r="BJ1005" i="7"/>
  <c r="BJ1576" i="7"/>
  <c r="BJ1170" i="7"/>
  <c r="BJ73" i="7"/>
  <c r="BJ134" i="7"/>
  <c r="BJ1544" i="7"/>
  <c r="BJ854" i="7"/>
  <c r="BJ1281" i="7"/>
  <c r="BJ1999" i="7"/>
  <c r="BJ639" i="7"/>
  <c r="BJ1015" i="7"/>
  <c r="BJ354" i="7"/>
  <c r="BJ1756" i="7"/>
  <c r="BJ1425" i="7"/>
  <c r="BJ1982" i="7"/>
  <c r="BJ1265" i="7"/>
  <c r="BJ696" i="7"/>
  <c r="BJ145" i="7"/>
  <c r="BJ1992" i="7"/>
  <c r="BJ1735" i="7"/>
  <c r="BJ271" i="7"/>
  <c r="BJ1272" i="7"/>
  <c r="BJ396" i="7"/>
  <c r="BJ1365" i="7"/>
  <c r="BJ201" i="7"/>
  <c r="BJ2212" i="7"/>
  <c r="BJ1393" i="7"/>
  <c r="BJ1882" i="7"/>
  <c r="BJ1461" i="7"/>
  <c r="BJ1526" i="7"/>
  <c r="BJ894" i="7"/>
  <c r="BJ2073" i="7"/>
  <c r="BJ1556" i="7"/>
  <c r="BJ760" i="7"/>
  <c r="BJ1723" i="7"/>
  <c r="BJ1947" i="7"/>
  <c r="BJ1535" i="7"/>
  <c r="BJ887" i="7"/>
  <c r="BJ1806" i="7"/>
  <c r="BJ58" i="7"/>
  <c r="BJ1401" i="7"/>
  <c r="BJ597" i="7"/>
  <c r="BJ2183" i="7"/>
  <c r="BJ1356" i="7"/>
  <c r="BJ552" i="7"/>
  <c r="BJ1355" i="7"/>
  <c r="BJ539" i="7"/>
  <c r="BJ2085" i="7"/>
  <c r="BJ1986" i="7"/>
  <c r="BJ208" i="7"/>
  <c r="BJ1368" i="7"/>
  <c r="BJ1878" i="7"/>
  <c r="BJ2157" i="7"/>
  <c r="BJ739" i="7"/>
  <c r="BJ864" i="7"/>
  <c r="BJ1504" i="7"/>
  <c r="BJ609" i="7"/>
  <c r="BJ819" i="7"/>
  <c r="BJ900" i="7"/>
  <c r="BJ520" i="7"/>
  <c r="BJ71" i="7"/>
  <c r="BJ1102" i="7"/>
  <c r="BJ751" i="7"/>
  <c r="BJ1371" i="7"/>
  <c r="BJ2031" i="7"/>
  <c r="BJ2035" i="7"/>
  <c r="BJ123" i="7"/>
  <c r="BJ1729" i="7"/>
  <c r="BJ1105" i="7"/>
  <c r="BJ1525" i="7"/>
  <c r="BJ1675" i="7"/>
  <c r="BJ1552" i="7"/>
  <c r="BJ670" i="7"/>
  <c r="BJ14" i="7"/>
  <c r="BJ2038" i="7"/>
  <c r="BJ1523" i="7"/>
  <c r="BJ1956" i="7"/>
  <c r="BJ54" i="7"/>
  <c r="BJ1912" i="7"/>
  <c r="BJ1887" i="7"/>
  <c r="BJ1153" i="7"/>
  <c r="BJ2263" i="7"/>
  <c r="BJ1972" i="7"/>
  <c r="BJ1819" i="7"/>
  <c r="BJ1324" i="7"/>
  <c r="BJ1804" i="7"/>
  <c r="BJ546" i="7"/>
  <c r="BJ1477" i="7"/>
  <c r="BJ1551" i="7"/>
  <c r="BJ1233" i="7"/>
  <c r="BJ1662" i="7"/>
  <c r="BJ1919" i="7"/>
  <c r="BJ667" i="7"/>
  <c r="BJ280" i="7"/>
  <c r="BJ472" i="7"/>
  <c r="BJ295" i="7"/>
  <c r="BJ1960" i="7"/>
  <c r="BJ264" i="7"/>
  <c r="BJ1565" i="7"/>
  <c r="BJ663" i="7"/>
  <c r="BJ1064" i="7"/>
  <c r="BJ1506" i="7"/>
  <c r="BJ857" i="7"/>
  <c r="BJ390" i="7"/>
  <c r="BJ20" i="7"/>
  <c r="BJ2013" i="7"/>
  <c r="BJ1133" i="7"/>
  <c r="BJ1807" i="7"/>
  <c r="BJ1933" i="7"/>
  <c r="BJ1390" i="7"/>
  <c r="BJ921" i="7"/>
  <c r="BJ1019" i="7"/>
  <c r="BJ1863" i="7"/>
  <c r="BJ971" i="7"/>
  <c r="BJ1458" i="7"/>
  <c r="BJ589" i="7"/>
  <c r="BJ389" i="7"/>
  <c r="BJ1369" i="7"/>
  <c r="BJ1140" i="7"/>
  <c r="BJ186" i="7"/>
  <c r="BJ488" i="7"/>
  <c r="BJ1755" i="7"/>
  <c r="BJ1274" i="7"/>
  <c r="BJ1235" i="7"/>
  <c r="BJ699" i="7"/>
  <c r="CO289" i="1"/>
  <c r="CO255" i="1"/>
  <c r="CO226" i="1"/>
  <c r="CO133" i="1"/>
  <c r="CO272" i="1"/>
  <c r="CO138" i="1"/>
  <c r="CO168" i="1"/>
  <c r="CO279" i="1"/>
  <c r="CO90" i="1"/>
  <c r="CO306" i="1"/>
  <c r="CO197" i="1"/>
  <c r="CO27" i="1"/>
  <c r="CO296" i="1"/>
  <c r="CO108" i="1"/>
  <c r="CO275" i="1"/>
  <c r="CO188" i="1"/>
  <c r="CO80" i="1"/>
  <c r="CO233" i="1"/>
  <c r="CO262" i="1"/>
  <c r="CO214" i="1"/>
  <c r="CO11" i="1"/>
  <c r="CO56" i="1"/>
  <c r="CO130" i="1"/>
  <c r="CO105" i="1"/>
  <c r="CO293" i="1"/>
  <c r="CO195" i="1"/>
  <c r="CO260" i="1"/>
  <c r="CO65" i="1"/>
  <c r="CO175" i="1"/>
  <c r="CO173" i="1"/>
  <c r="CO251" i="1"/>
  <c r="CO106" i="1"/>
  <c r="CO250" i="1"/>
  <c r="CO118" i="1"/>
  <c r="CO238" i="1"/>
  <c r="CO129" i="1"/>
  <c r="CO157" i="1"/>
  <c r="CO305" i="1"/>
  <c r="CO299" i="1"/>
  <c r="CO134" i="1"/>
  <c r="CO287" i="1"/>
  <c r="CO232" i="1"/>
  <c r="CO220" i="1"/>
  <c r="CO288" i="1"/>
  <c r="CO172" i="1"/>
  <c r="CO104" i="1"/>
  <c r="CO17" i="1"/>
  <c r="CO73" i="1"/>
  <c r="CO71" i="1"/>
  <c r="CO83" i="1"/>
  <c r="CO29" i="1"/>
  <c r="CO84" i="1"/>
  <c r="CO147" i="1"/>
  <c r="CO273" i="1"/>
  <c r="CO148" i="1"/>
  <c r="CO22" i="1"/>
  <c r="CO72" i="1"/>
  <c r="BK2266" i="7"/>
  <c r="BK2247" i="7"/>
  <c r="BK2231" i="7"/>
  <c r="BK2242" i="7"/>
  <c r="BK2255" i="7"/>
  <c r="BK2237" i="7"/>
  <c r="BK2229" i="7"/>
  <c r="BK2246" i="7"/>
  <c r="BK2264" i="7"/>
  <c r="BK2258" i="7"/>
  <c r="BK2261" i="7"/>
  <c r="BK2234" i="7"/>
  <c r="BK2235" i="7"/>
  <c r="BK2240" i="7"/>
  <c r="BK2241" i="7"/>
  <c r="BK2238" i="7"/>
  <c r="BK2249" i="7"/>
  <c r="BK2265" i="7"/>
  <c r="BK2239" i="7"/>
  <c r="BK2244" i="7"/>
  <c r="BK2236" i="7"/>
  <c r="BK2233" i="7"/>
  <c r="BK17" i="8"/>
  <c r="BK2259" i="7"/>
  <c r="BK2228" i="7"/>
  <c r="BK2263" i="7"/>
  <c r="BK2248" i="7"/>
  <c r="BK2230" i="7"/>
  <c r="BK2260" i="7"/>
  <c r="BK2250" i="7"/>
  <c r="BK2253" i="7"/>
  <c r="BK2232" i="7"/>
  <c r="BK2262" i="7"/>
  <c r="BK2243" i="7"/>
  <c r="BK2251" i="7"/>
  <c r="BK2252" i="7"/>
  <c r="BK2254" i="7"/>
  <c r="BK2257" i="7"/>
  <c r="BK2245" i="7"/>
  <c r="BK2256" i="7"/>
  <c r="CP303" i="1"/>
  <c r="CL156" i="1"/>
  <c r="CQ156" i="1" s="1"/>
  <c r="CT156" i="1" s="1"/>
  <c r="CL264" i="1"/>
  <c r="CQ264" i="1" s="1"/>
  <c r="CT264" i="1" s="1"/>
  <c r="CL126" i="1"/>
  <c r="CQ126" i="1" s="1"/>
  <c r="CT126" i="1" s="1"/>
  <c r="CL167" i="1"/>
  <c r="CQ167" i="1" s="1"/>
  <c r="CT167" i="1" s="1"/>
  <c r="CL216" i="1"/>
  <c r="CQ216" i="1" s="1"/>
  <c r="CT216" i="1" s="1"/>
  <c r="CL69" i="1"/>
  <c r="CQ69" i="1" s="1"/>
  <c r="CT69" i="1" s="1"/>
  <c r="CL284" i="1"/>
  <c r="CQ284" i="1" s="1"/>
  <c r="CT284" i="1" s="1"/>
  <c r="CL219" i="1"/>
  <c r="CQ219" i="1" s="1"/>
  <c r="CT219" i="1" s="1"/>
  <c r="CL199" i="1"/>
  <c r="CL229" i="1"/>
  <c r="CQ229" i="1" s="1"/>
  <c r="CT229" i="1" s="1"/>
  <c r="CL295" i="1"/>
  <c r="CQ295" i="1" s="1"/>
  <c r="CT295" i="1" s="1"/>
  <c r="CL76" i="1"/>
  <c r="CQ76" i="1" s="1"/>
  <c r="CT76" i="1" s="1"/>
  <c r="CL241" i="1"/>
  <c r="CL25" i="1"/>
  <c r="CQ25" i="1" s="1"/>
  <c r="CT25" i="1" s="1"/>
  <c r="CL18" i="1"/>
  <c r="CQ18" i="1" s="1"/>
  <c r="CT18" i="1" s="1"/>
  <c r="CL181" i="1"/>
  <c r="CL6" i="1"/>
  <c r="CL292" i="1"/>
  <c r="CQ292" i="1" s="1"/>
  <c r="CT292" i="1" s="1"/>
  <c r="CL258" i="1"/>
  <c r="CQ258" i="1" s="1"/>
  <c r="CT258" i="1" s="1"/>
  <c r="CL206" i="1"/>
  <c r="CQ206" i="1" s="1"/>
  <c r="CT206" i="1" s="1"/>
  <c r="CL43" i="1"/>
  <c r="CQ43" i="1" s="1"/>
  <c r="CT43" i="1" s="1"/>
  <c r="CL14" i="1"/>
  <c r="CQ14" i="1" s="1"/>
  <c r="CT14" i="1" s="1"/>
  <c r="CL278" i="1"/>
  <c r="CQ278" i="1" s="1"/>
  <c r="CT278" i="1" s="1"/>
  <c r="CL227" i="1"/>
  <c r="CQ227" i="1" s="1"/>
  <c r="CT227" i="1" s="1"/>
  <c r="CL169" i="1"/>
  <c r="CQ169" i="1" s="1"/>
  <c r="CT169" i="1" s="1"/>
  <c r="CM107" i="1"/>
  <c r="CM135" i="1"/>
  <c r="CM182" i="1"/>
  <c r="CM72" i="1"/>
  <c r="CM286" i="1"/>
  <c r="CM171" i="1"/>
  <c r="CM41" i="1"/>
  <c r="CM301" i="1"/>
  <c r="CM22" i="1"/>
  <c r="CM209" i="1"/>
  <c r="CM148" i="1"/>
  <c r="CM273" i="1"/>
  <c r="CM222" i="1"/>
  <c r="CM2" i="1"/>
  <c r="CM263" i="1"/>
  <c r="CM236" i="1"/>
  <c r="CM291" i="1"/>
  <c r="CM298" i="1"/>
  <c r="CM147" i="1"/>
  <c r="CM9" i="1"/>
  <c r="CM269" i="1"/>
  <c r="CM159" i="1"/>
  <c r="CM84" i="1"/>
  <c r="CM158" i="1"/>
  <c r="CM176" i="1"/>
  <c r="CM223" i="1"/>
  <c r="CP193" i="1"/>
  <c r="CP54" i="1"/>
  <c r="CP142" i="1"/>
  <c r="CP73" i="1"/>
  <c r="CP244" i="1"/>
  <c r="CP26" i="1"/>
  <c r="CP64" i="1"/>
  <c r="CP5" i="1"/>
  <c r="CP160" i="1"/>
  <c r="CP77" i="1"/>
  <c r="CP202" i="1"/>
  <c r="CP17" i="1"/>
  <c r="CP23" i="1"/>
  <c r="CP178" i="1"/>
  <c r="CP101" i="1"/>
  <c r="CP32" i="1"/>
  <c r="CP195" i="1"/>
  <c r="CP130" i="1"/>
  <c r="CO257" i="1"/>
  <c r="CO215" i="1"/>
  <c r="CO12" i="1"/>
  <c r="CO211" i="1"/>
  <c r="CO307" i="1"/>
  <c r="CO265" i="1"/>
  <c r="CN118" i="1"/>
  <c r="CN106" i="1"/>
  <c r="CN175" i="1"/>
  <c r="CN37" i="1"/>
  <c r="BI2" i="7"/>
  <c r="BI1672" i="7"/>
  <c r="BI4" i="7"/>
  <c r="BI2257" i="7"/>
  <c r="BI5" i="7"/>
  <c r="BI12" i="7"/>
  <c r="BI6" i="7"/>
  <c r="BI11" i="7"/>
  <c r="BI9" i="7"/>
  <c r="BI7" i="7"/>
  <c r="BI1671" i="7"/>
  <c r="BI1185" i="7"/>
  <c r="BI3" i="7"/>
  <c r="BI10" i="7"/>
  <c r="BI16" i="7"/>
  <c r="BI8" i="7"/>
  <c r="CN2" i="1"/>
  <c r="CN257" i="1"/>
  <c r="CN306" i="1"/>
  <c r="CN3" i="1"/>
  <c r="CN237" i="1"/>
  <c r="BJ82" i="8"/>
  <c r="BJ78" i="8"/>
  <c r="BJ74" i="8"/>
  <c r="BJ70" i="8"/>
  <c r="BJ66" i="8"/>
  <c r="BJ62" i="8"/>
  <c r="BJ99" i="8"/>
  <c r="BJ79" i="8"/>
  <c r="BJ75" i="8"/>
  <c r="BJ71" i="8"/>
  <c r="BJ67" i="8"/>
  <c r="BJ63" i="8"/>
  <c r="BJ5" i="8"/>
  <c r="BJ77" i="8"/>
  <c r="BJ64" i="8"/>
  <c r="BJ3" i="8"/>
  <c r="BJ9" i="8"/>
  <c r="BJ17" i="8"/>
  <c r="BJ21" i="8"/>
  <c r="BJ25" i="8"/>
  <c r="BJ29" i="8"/>
  <c r="BJ33" i="8"/>
  <c r="BJ37" i="8"/>
  <c r="BJ41" i="8"/>
  <c r="BJ45" i="8"/>
  <c r="BJ49" i="8"/>
  <c r="BJ53" i="8"/>
  <c r="BJ57" i="8"/>
  <c r="BJ80" i="8"/>
  <c r="BJ69" i="8"/>
  <c r="BJ8" i="8"/>
  <c r="BJ20" i="8"/>
  <c r="BJ24" i="8"/>
  <c r="BJ28" i="8"/>
  <c r="BJ32" i="8"/>
  <c r="BJ36" i="8"/>
  <c r="BJ40" i="8"/>
  <c r="BJ44" i="8"/>
  <c r="BJ48" i="8"/>
  <c r="BJ52" i="8"/>
  <c r="BJ56" i="8"/>
  <c r="BJ60" i="8"/>
  <c r="BJ72" i="8"/>
  <c r="BJ61" i="8"/>
  <c r="BJ4" i="8"/>
  <c r="BJ100" i="8"/>
  <c r="BJ68" i="8"/>
  <c r="BJ10" i="8"/>
  <c r="BJ30" i="8"/>
  <c r="BJ54" i="8"/>
  <c r="BJ19" i="8"/>
  <c r="BJ43" i="8"/>
  <c r="BJ34" i="8"/>
  <c r="BJ58" i="8"/>
  <c r="BJ38" i="8"/>
  <c r="BJ81" i="8"/>
  <c r="BJ65" i="8"/>
  <c r="BJ7" i="8"/>
  <c r="BJ27" i="8"/>
  <c r="BJ51" i="8"/>
  <c r="BJ73" i="8"/>
  <c r="BJ35" i="8"/>
  <c r="BJ59" i="8"/>
  <c r="BJ1084" i="7"/>
  <c r="BJ419" i="7"/>
  <c r="BJ102" i="7"/>
  <c r="BJ622" i="7"/>
  <c r="BJ811" i="7"/>
  <c r="BJ316" i="7"/>
  <c r="BJ427" i="7"/>
  <c r="BJ912" i="7"/>
  <c r="BJ1403" i="7"/>
  <c r="BJ1955" i="7"/>
  <c r="BJ1448" i="7"/>
  <c r="BJ487" i="7"/>
  <c r="BJ879" i="7"/>
  <c r="BJ1732" i="7"/>
  <c r="BJ651" i="7"/>
  <c r="BJ1870" i="7"/>
  <c r="BJ755" i="7"/>
  <c r="BJ48" i="7"/>
  <c r="BJ23" i="8"/>
  <c r="BJ39" i="8"/>
  <c r="BJ1871" i="7"/>
  <c r="BJ465" i="7"/>
  <c r="BJ101" i="7"/>
  <c r="BJ1446" i="7"/>
  <c r="BJ1186" i="7"/>
  <c r="BJ640" i="7"/>
  <c r="BJ424" i="7"/>
  <c r="BJ792" i="7"/>
  <c r="BJ1498" i="7"/>
  <c r="BJ567" i="7"/>
  <c r="BJ660" i="7"/>
  <c r="BJ1424" i="7"/>
  <c r="BJ350" i="7"/>
  <c r="BJ2266" i="7"/>
  <c r="BJ1036" i="7"/>
  <c r="BJ2012" i="7"/>
  <c r="BJ514" i="7"/>
  <c r="BJ1210" i="7"/>
  <c r="BJ1201" i="7"/>
  <c r="BJ1939" i="7"/>
  <c r="BJ593" i="7"/>
  <c r="BJ1351" i="7"/>
  <c r="BJ600" i="7"/>
  <c r="BJ764" i="7"/>
  <c r="BJ948" i="7"/>
  <c r="BJ1199" i="7"/>
  <c r="BJ901" i="7"/>
  <c r="BJ919" i="7"/>
  <c r="BJ248" i="7"/>
  <c r="BJ587" i="7"/>
  <c r="BJ1724" i="7"/>
  <c r="BJ1711" i="7"/>
  <c r="BJ1037" i="7"/>
  <c r="BJ163" i="7"/>
  <c r="BJ786" i="7"/>
  <c r="BJ1209" i="7"/>
  <c r="BJ374" i="7"/>
  <c r="BJ1271" i="7"/>
  <c r="BJ30" i="7"/>
  <c r="BJ659" i="7"/>
  <c r="BJ1619" i="7"/>
  <c r="BJ250" i="7"/>
  <c r="BJ532" i="7"/>
  <c r="BJ46" i="8"/>
  <c r="BJ55" i="8"/>
  <c r="BJ1920" i="7"/>
  <c r="BJ907" i="7"/>
  <c r="BJ2022" i="7"/>
  <c r="BJ381" i="7"/>
  <c r="BJ331" i="7"/>
  <c r="BJ765" i="7"/>
  <c r="BJ429" i="7"/>
  <c r="BJ1024" i="7"/>
  <c r="BJ2111" i="7"/>
  <c r="BJ1516" i="7"/>
  <c r="BJ846" i="7"/>
  <c r="BJ2169" i="7"/>
  <c r="BJ598" i="7"/>
  <c r="BJ513" i="7"/>
  <c r="BJ1931" i="7"/>
  <c r="BJ1703" i="7"/>
  <c r="BJ1559" i="7"/>
  <c r="BJ413" i="7"/>
  <c r="BJ809" i="7"/>
  <c r="BJ1256" i="7"/>
  <c r="BJ1090" i="7"/>
  <c r="BJ87" i="7"/>
  <c r="BJ2044" i="7"/>
  <c r="BJ52" i="7"/>
  <c r="BJ355" i="7"/>
  <c r="BJ1327" i="7"/>
  <c r="BJ1252" i="7"/>
  <c r="BJ1560" i="7"/>
  <c r="BJ684" i="7"/>
  <c r="BJ2041" i="7"/>
  <c r="BJ2149" i="7"/>
  <c r="BJ42" i="8"/>
  <c r="BJ47" i="8"/>
  <c r="BJ76" i="8"/>
  <c r="BJ361" i="7"/>
  <c r="BJ1496" i="7"/>
  <c r="BJ1961" i="7"/>
  <c r="BJ1200" i="7"/>
  <c r="BJ1269" i="7"/>
  <c r="BJ1243" i="7"/>
  <c r="BJ814" i="7"/>
  <c r="BJ118" i="7"/>
  <c r="BJ1854" i="7"/>
  <c r="BJ724" i="7"/>
  <c r="BJ60" i="7"/>
  <c r="BJ1686" i="7"/>
  <c r="BJ1321" i="7"/>
  <c r="BJ1232" i="7"/>
  <c r="BJ1838" i="7"/>
  <c r="BJ226" i="7"/>
  <c r="BJ1026" i="7"/>
  <c r="BJ740" i="7"/>
  <c r="BJ384" i="7"/>
  <c r="BJ757" i="7"/>
  <c r="BJ630" i="7"/>
  <c r="BJ1432" i="7"/>
  <c r="BJ1350" i="7"/>
  <c r="BJ1630" i="7"/>
  <c r="BJ1910" i="7"/>
  <c r="BJ140" i="7"/>
  <c r="BJ449" i="7"/>
  <c r="BJ105" i="7"/>
  <c r="BJ1187" i="7"/>
  <c r="BJ1547" i="7"/>
  <c r="BJ1950" i="7"/>
  <c r="BJ560" i="7"/>
  <c r="BJ2275" i="7"/>
  <c r="BJ1853" i="7"/>
  <c r="BJ209" i="7"/>
  <c r="BJ1155" i="7"/>
  <c r="BJ1428" i="7"/>
  <c r="BJ1468" i="7"/>
  <c r="BJ1808" i="7"/>
  <c r="BJ1690" i="7"/>
  <c r="BJ51" i="7"/>
  <c r="BJ448" i="7"/>
  <c r="BJ262" i="7"/>
  <c r="BJ784" i="7"/>
  <c r="BJ177" i="7"/>
  <c r="BJ705" i="7"/>
  <c r="BJ360" i="7"/>
  <c r="BJ1695" i="7"/>
  <c r="BJ446" i="7"/>
  <c r="BJ35" i="7"/>
  <c r="BJ254" i="7"/>
  <c r="BJ1733" i="7"/>
  <c r="BJ628" i="7"/>
  <c r="BJ63" i="7"/>
  <c r="BJ1420" i="7"/>
  <c r="BJ890" i="7"/>
  <c r="BJ112" i="7"/>
  <c r="BJ1811" i="7"/>
  <c r="BJ185" i="7"/>
  <c r="BJ1718" i="7"/>
  <c r="BJ2053" i="7"/>
  <c r="BJ385" i="7"/>
  <c r="BJ1578" i="7"/>
  <c r="BJ1156" i="7"/>
  <c r="BJ1168" i="7"/>
  <c r="BJ561" i="7"/>
  <c r="BJ141" i="7"/>
  <c r="BJ471" i="7"/>
  <c r="BJ1077" i="7"/>
  <c r="BJ661" i="7"/>
  <c r="BJ2061" i="7"/>
  <c r="BJ2130" i="7"/>
  <c r="BJ1127" i="7"/>
  <c r="BJ2136" i="7"/>
  <c r="BJ1889" i="7"/>
  <c r="BJ83" i="7"/>
  <c r="BJ1852" i="7"/>
  <c r="BJ1007" i="7"/>
  <c r="BJ1096" i="7"/>
  <c r="BJ1596" i="7"/>
  <c r="BJ637" i="7"/>
  <c r="BJ393" i="7"/>
  <c r="BJ714" i="7"/>
  <c r="BJ2024" i="7"/>
  <c r="BJ474" i="7"/>
  <c r="BJ1404" i="7"/>
  <c r="BJ967" i="7"/>
  <c r="BJ170" i="7"/>
  <c r="BJ382" i="7"/>
  <c r="BJ79" i="7"/>
  <c r="BJ780" i="7"/>
  <c r="BJ1082" i="7"/>
  <c r="BJ409" i="7"/>
  <c r="BJ1074" i="7"/>
  <c r="BJ1502" i="7"/>
  <c r="BJ1611" i="7"/>
  <c r="BJ1402" i="7"/>
  <c r="BJ234" i="7"/>
  <c r="BJ577" i="7"/>
  <c r="BJ1508" i="7"/>
  <c r="BJ1654" i="7"/>
  <c r="BJ1510" i="7"/>
  <c r="BJ1977" i="7"/>
  <c r="BJ1522" i="7"/>
  <c r="BJ1715" i="7"/>
  <c r="BJ1582" i="7"/>
  <c r="BJ332" i="7"/>
  <c r="BJ1337" i="7"/>
  <c r="BJ7" i="7"/>
  <c r="BJ545" i="7"/>
  <c r="BJ770" i="7"/>
  <c r="BJ1707" i="7"/>
  <c r="BJ2247" i="7"/>
  <c r="BJ157" i="7"/>
  <c r="BJ175" i="7"/>
  <c r="BJ132" i="7"/>
  <c r="BJ1161" i="7"/>
  <c r="BJ17" i="7"/>
  <c r="BJ2196" i="7"/>
  <c r="BJ38" i="7"/>
  <c r="BJ1671" i="7"/>
  <c r="BJ771" i="7"/>
  <c r="BJ1759" i="7"/>
  <c r="BJ549" i="7"/>
  <c r="BJ1962" i="7"/>
  <c r="BJ1767" i="7"/>
  <c r="BJ206" i="7"/>
  <c r="BJ574" i="7"/>
  <c r="BJ304" i="7"/>
  <c r="BJ312" i="7"/>
  <c r="BJ1208" i="7"/>
  <c r="BJ26" i="8"/>
  <c r="BJ1944" i="7"/>
  <c r="BJ265" i="7"/>
  <c r="BJ1263" i="7"/>
  <c r="BJ144" i="7"/>
  <c r="BJ2141" i="7"/>
  <c r="BJ1125" i="7"/>
  <c r="BJ2214" i="7"/>
  <c r="BJ1095" i="7"/>
  <c r="BJ452" i="7"/>
  <c r="BJ228" i="7"/>
  <c r="BJ2177" i="7"/>
  <c r="BJ1213" i="7"/>
  <c r="BJ303" i="7"/>
  <c r="BJ772" i="7"/>
  <c r="BJ2140" i="7"/>
  <c r="BJ411" i="7"/>
  <c r="BJ594" i="7"/>
  <c r="BJ152" i="7"/>
  <c r="BJ498" i="7"/>
  <c r="BJ479" i="7"/>
  <c r="BJ1720" i="7"/>
  <c r="BJ27" i="7"/>
  <c r="BJ2001" i="7"/>
  <c r="BJ1625" i="7"/>
  <c r="BJ1521" i="7"/>
  <c r="BJ523" i="7"/>
  <c r="BJ527" i="7"/>
  <c r="BJ94" i="7"/>
  <c r="BJ756" i="7"/>
  <c r="BJ184" i="7"/>
  <c r="BJ1511" i="7"/>
  <c r="BJ2089" i="7"/>
  <c r="BJ1176" i="7"/>
  <c r="BJ1940" i="7"/>
  <c r="BJ1612" i="7"/>
  <c r="BJ1305" i="7"/>
  <c r="BJ1850" i="7"/>
  <c r="BJ463" i="7"/>
  <c r="BJ387" i="7"/>
  <c r="BJ653" i="7"/>
  <c r="BJ231" i="7"/>
  <c r="BJ1699" i="7"/>
  <c r="BJ943" i="7"/>
  <c r="BJ956" i="7"/>
  <c r="BJ107" i="7"/>
  <c r="BJ2138" i="7"/>
  <c r="BJ467" i="7"/>
  <c r="BJ104" i="7"/>
  <c r="BJ168" i="7"/>
  <c r="BJ752" i="7"/>
  <c r="BJ995" i="7"/>
  <c r="BJ626" i="7"/>
  <c r="BJ28" i="7"/>
  <c r="BJ1132" i="7"/>
  <c r="BJ371" i="7"/>
  <c r="BJ1085" i="7"/>
  <c r="BJ645" i="7"/>
  <c r="BJ753" i="7"/>
  <c r="BJ93" i="7"/>
  <c r="BJ129" i="7"/>
  <c r="BJ176" i="7"/>
  <c r="BJ2165" i="7"/>
  <c r="BJ1874" i="7"/>
  <c r="BJ1284" i="7"/>
  <c r="BJ421" i="7"/>
  <c r="BJ1607" i="7"/>
  <c r="BJ1297" i="7"/>
  <c r="BJ588" i="7"/>
  <c r="BJ1197" i="7"/>
  <c r="BJ1775" i="7"/>
  <c r="BJ336" i="7"/>
  <c r="BJ227" i="7"/>
  <c r="BJ1215" i="7"/>
  <c r="BJ1244" i="7"/>
  <c r="BJ1070" i="7"/>
  <c r="BJ1212" i="7"/>
  <c r="BJ237" i="7"/>
  <c r="BJ455" i="7"/>
  <c r="BJ1649" i="7"/>
  <c r="BJ174" i="7"/>
  <c r="BJ867" i="7"/>
  <c r="BJ1094" i="7"/>
  <c r="BJ796" i="7"/>
  <c r="BJ29" i="7"/>
  <c r="BJ1160" i="7"/>
  <c r="BJ1813" i="7"/>
  <c r="BJ1204" i="7"/>
  <c r="BJ895" i="7"/>
  <c r="BJ1533" i="7"/>
  <c r="BJ108" i="7"/>
  <c r="BJ246" i="7"/>
  <c r="BJ181" i="7"/>
  <c r="BJ1752" i="7"/>
  <c r="BJ1290" i="7"/>
  <c r="BJ80" i="7"/>
  <c r="BJ1055" i="7"/>
  <c r="BJ2161" i="7"/>
  <c r="BJ55" i="7"/>
  <c r="BJ464" i="7"/>
  <c r="BJ2107" i="7"/>
  <c r="BJ582" i="7"/>
  <c r="BJ848" i="7"/>
  <c r="BJ512" i="7"/>
  <c r="BJ225" i="7"/>
  <c r="BJ1609" i="7"/>
  <c r="BJ962" i="7"/>
  <c r="BJ24" i="7"/>
  <c r="BJ1099" i="7"/>
  <c r="BJ1674" i="7"/>
  <c r="BJ330" i="7"/>
  <c r="BJ807" i="7"/>
  <c r="BJ153" i="7"/>
  <c r="BJ1409" i="7"/>
  <c r="BJ1953" i="7"/>
  <c r="BJ2150" i="7"/>
  <c r="BJ32" i="7"/>
  <c r="BJ1531" i="7"/>
  <c r="BJ1042" i="7"/>
  <c r="BJ856" i="7"/>
  <c r="BJ1374" i="7"/>
  <c r="BJ158" i="7"/>
  <c r="BJ111" i="7"/>
  <c r="BJ110" i="7"/>
  <c r="BJ113" i="7"/>
  <c r="BJ604" i="7"/>
  <c r="BJ408" i="7"/>
  <c r="BJ100" i="7"/>
  <c r="BJ1288" i="7"/>
  <c r="BJ1941" i="7"/>
  <c r="BJ1648" i="7"/>
  <c r="BJ1333" i="7"/>
  <c r="BJ1040" i="7"/>
  <c r="BJ2203" i="7"/>
  <c r="BJ428" i="7"/>
  <c r="BJ1234" i="7"/>
  <c r="BJ240" i="7"/>
  <c r="BJ1119" i="7"/>
  <c r="BJ578" i="7"/>
  <c r="BJ2032" i="7"/>
  <c r="BJ2104" i="7"/>
  <c r="BJ800" i="7"/>
  <c r="BJ1998" i="7"/>
  <c r="BJ2023" i="7"/>
  <c r="BJ164" i="7"/>
  <c r="BJ1056" i="7"/>
  <c r="BJ1493" i="7"/>
  <c r="BJ1242" i="7"/>
  <c r="BJ36" i="7"/>
  <c r="BJ1791" i="7"/>
  <c r="BJ10" i="7"/>
  <c r="BJ1712" i="7"/>
  <c r="BJ524" i="7"/>
  <c r="BJ1456" i="7"/>
  <c r="BJ207" i="7"/>
  <c r="BJ300" i="7"/>
  <c r="BJ2144" i="7"/>
  <c r="BJ1044" i="7"/>
  <c r="BJ1254" i="7"/>
  <c r="BJ595" i="7"/>
  <c r="BJ245" i="7"/>
  <c r="BJ826" i="7"/>
  <c r="BJ1984" i="7"/>
  <c r="BJ318" i="7"/>
  <c r="BJ1497" i="7"/>
  <c r="BJ1673" i="7"/>
  <c r="BJ716" i="7"/>
  <c r="BJ236" i="7"/>
  <c r="BJ85" i="7"/>
  <c r="BJ1855" i="7"/>
  <c r="BJ1787" i="7"/>
  <c r="BJ2229" i="7"/>
  <c r="BJ707" i="7"/>
  <c r="BJ119" i="7"/>
  <c r="BJ1219" i="7"/>
  <c r="BJ179" i="7"/>
  <c r="BJ162" i="7"/>
  <c r="BJ1725" i="7"/>
  <c r="BJ898" i="7"/>
  <c r="BJ1123" i="7"/>
  <c r="BJ40" i="7"/>
  <c r="BJ970" i="7"/>
  <c r="BJ654" i="7"/>
  <c r="BJ64" i="7"/>
  <c r="BJ1352" i="7"/>
  <c r="BJ608" i="7"/>
  <c r="BJ983" i="7"/>
  <c r="BJ183" i="7"/>
  <c r="BJ1801" i="7"/>
  <c r="BJ462" i="7"/>
  <c r="BJ1778" i="7"/>
  <c r="BJ213" i="7"/>
  <c r="BJ942" i="7"/>
  <c r="BJ205" i="7"/>
  <c r="BJ84" i="7"/>
  <c r="BJ282" i="7"/>
  <c r="BJ2135" i="7"/>
  <c r="BJ369" i="7"/>
  <c r="BJ167" i="7"/>
  <c r="BJ825" i="7"/>
  <c r="BJ311" i="7"/>
  <c r="BJ1174" i="7"/>
  <c r="BJ937" i="7"/>
  <c r="BJ91" i="7"/>
  <c r="BJ2237" i="7"/>
  <c r="BJ2137" i="7"/>
  <c r="BJ1349" i="7"/>
  <c r="BJ1942" i="7"/>
  <c r="BJ388" i="7"/>
  <c r="BJ969" i="7"/>
  <c r="BJ230" i="7"/>
  <c r="BJ1083" i="7"/>
  <c r="BJ787" i="7"/>
  <c r="BJ120" i="7"/>
  <c r="BJ178" i="7"/>
  <c r="BJ981" i="7"/>
  <c r="BJ26" i="7"/>
  <c r="BJ376" i="7"/>
  <c r="BJ797" i="7"/>
  <c r="BJ445" i="7"/>
  <c r="BJ182" i="7"/>
  <c r="BJ1221" i="7"/>
  <c r="BJ982" i="7"/>
  <c r="BJ1239" i="7"/>
  <c r="BJ1983" i="7"/>
  <c r="BJ1010" i="7"/>
  <c r="BJ224" i="7"/>
  <c r="BJ965" i="7"/>
  <c r="BJ2238" i="7"/>
  <c r="BJ1054" i="7"/>
  <c r="BJ172" i="7"/>
  <c r="BJ1736" i="7"/>
  <c r="BJ31" i="7"/>
  <c r="BJ368" i="7"/>
  <c r="BJ2280" i="7"/>
  <c r="BJ109" i="7"/>
  <c r="BJ548" i="7"/>
  <c r="BJ410" i="7"/>
  <c r="BJ2282" i="7"/>
  <c r="BJ2199" i="7"/>
  <c r="BJ631" i="7"/>
  <c r="BJ563" i="7"/>
  <c r="BJ891" i="7"/>
  <c r="BJ1653" i="7"/>
  <c r="BJ1965" i="7"/>
  <c r="BJ1770" i="7"/>
  <c r="BJ173" i="7"/>
  <c r="BJ2119" i="7"/>
  <c r="BJ34" i="7"/>
  <c r="BJ1486" i="7"/>
  <c r="BJ180" i="7"/>
  <c r="BJ447" i="7"/>
  <c r="BJ431" i="7"/>
  <c r="BJ50" i="8"/>
  <c r="BJ1728" i="7"/>
  <c r="BJ1068" i="7"/>
  <c r="BJ1264" i="7"/>
  <c r="BJ1935" i="7"/>
  <c r="BJ1112" i="7"/>
  <c r="BJ86" i="7"/>
  <c r="BJ1879" i="7"/>
  <c r="BJ1184" i="7"/>
  <c r="BJ1794" i="7"/>
  <c r="BJ161" i="7"/>
  <c r="BJ837" i="7"/>
  <c r="BJ41" i="7"/>
  <c r="BJ1250" i="7"/>
  <c r="BJ1797" i="7"/>
  <c r="BJ477" i="7"/>
  <c r="BJ805" i="7"/>
  <c r="BJ6" i="8"/>
  <c r="BJ81" i="7"/>
  <c r="BJ1688" i="7"/>
  <c r="BJ1734" i="7"/>
  <c r="BJ1206" i="7"/>
  <c r="BJ1059" i="7"/>
  <c r="BJ1876" i="7"/>
  <c r="BJ1948" i="7"/>
  <c r="BJ1061" i="7"/>
  <c r="BJ607" i="7"/>
  <c r="BJ283" i="7"/>
  <c r="BJ116" i="7"/>
  <c r="BJ565" i="7"/>
  <c r="BJ1067" i="7"/>
  <c r="BJ333" i="7"/>
  <c r="BJ135" i="7"/>
  <c r="BJ2187" i="7"/>
  <c r="BJ31" i="8"/>
  <c r="BJ585" i="7"/>
  <c r="BJ1411" i="7"/>
  <c r="BJ1455" i="7"/>
  <c r="BJ1364" i="7"/>
  <c r="BJ1223" i="7"/>
  <c r="BJ106" i="7"/>
  <c r="BJ1542" i="7"/>
  <c r="BJ2191" i="7"/>
  <c r="BJ2098" i="7"/>
  <c r="BJ785" i="7"/>
  <c r="BJ1434" i="7"/>
  <c r="BJ89" i="7"/>
  <c r="BJ959" i="7"/>
  <c r="BJ122" i="7"/>
  <c r="BJ712" i="7"/>
  <c r="BJ2040" i="7"/>
  <c r="BJ1491" i="7"/>
  <c r="BJ1451" i="7"/>
  <c r="BJ88" i="7"/>
  <c r="BJ996" i="7"/>
  <c r="BJ347" i="7"/>
  <c r="BJ266" i="7"/>
  <c r="BJ1894" i="7"/>
  <c r="BJ2005" i="7"/>
  <c r="BJ383" i="7"/>
  <c r="BJ1911" i="7"/>
  <c r="BJ1494" i="7"/>
  <c r="BJ1395" i="7"/>
  <c r="BJ550" i="7"/>
  <c r="BJ356" i="7"/>
  <c r="BJ2228" i="7"/>
  <c r="BJ202" i="7"/>
  <c r="BJ418" i="7"/>
  <c r="BJ1109" i="7"/>
  <c r="BJ1308" i="7"/>
  <c r="BJ348" i="7"/>
  <c r="BJ1693" i="7"/>
  <c r="BJ886" i="7"/>
  <c r="BJ649" i="7"/>
  <c r="BJ1079" i="7"/>
  <c r="BJ1737" i="7"/>
  <c r="BJ1237" i="7"/>
  <c r="BJ1595" i="7"/>
  <c r="BJ395" i="7"/>
  <c r="BJ576" i="7"/>
  <c r="BJ1513" i="7"/>
  <c r="BJ650" i="7"/>
  <c r="BJ1763" i="7"/>
  <c r="BJ249" i="7"/>
  <c r="BJ1722" i="7"/>
  <c r="BJ273" i="7"/>
  <c r="BJ92" i="7"/>
  <c r="BJ166" i="7"/>
  <c r="BJ37" i="7"/>
  <c r="BJ90" i="7"/>
  <c r="BJ984" i="7"/>
  <c r="BJ82" i="7"/>
  <c r="BJ1971" i="7"/>
  <c r="BJ1730" i="7"/>
  <c r="BJ324" i="7"/>
  <c r="BJ103" i="7"/>
  <c r="BJ754" i="7"/>
  <c r="BJ2151" i="7"/>
  <c r="BJ1519" i="7"/>
  <c r="BJ2128" i="7"/>
  <c r="BJ370" i="7"/>
  <c r="BJ958" i="7"/>
  <c r="BJ1557" i="7"/>
  <c r="BJ1514" i="7"/>
  <c r="BJ50" i="7"/>
  <c r="BJ33" i="7"/>
  <c r="BJ1515" i="7"/>
  <c r="BJ543" i="7"/>
  <c r="BJ39" i="7"/>
  <c r="BJ1994" i="7"/>
  <c r="BJ349" i="7"/>
  <c r="BJ1113" i="7"/>
  <c r="BJ1171" i="7"/>
  <c r="BJ171" i="7"/>
  <c r="BJ636" i="7"/>
  <c r="BJ2155" i="7"/>
  <c r="BJ165" i="7"/>
  <c r="BJ1885" i="7"/>
  <c r="BJ596" i="7"/>
  <c r="BJ994" i="7"/>
  <c r="BJ22" i="8"/>
  <c r="BJ961" i="7"/>
  <c r="BJ25" i="7"/>
  <c r="BJ584" i="7"/>
  <c r="BJ1536" i="7"/>
  <c r="BJ1713" i="7"/>
  <c r="BJ1080" i="7"/>
  <c r="BJ2006" i="7"/>
  <c r="BJ1294" i="7"/>
  <c r="BJ290" i="7"/>
  <c r="BJ1587" i="7"/>
  <c r="BJ1975" i="7"/>
  <c r="CO36" i="1"/>
  <c r="CO155" i="1"/>
  <c r="CO213" i="1"/>
  <c r="CO267" i="1"/>
  <c r="CO24" i="1"/>
  <c r="CO7" i="1"/>
  <c r="CO203" i="1"/>
  <c r="CO102" i="1"/>
  <c r="CO67" i="1"/>
  <c r="CO59" i="1"/>
  <c r="CO42" i="1"/>
  <c r="CO242" i="1"/>
  <c r="CO149" i="1"/>
  <c r="CO49" i="1"/>
  <c r="CO52" i="1"/>
  <c r="CO144" i="1"/>
  <c r="CO31" i="1"/>
  <c r="CO274" i="1"/>
  <c r="CO32" i="1"/>
  <c r="CO308" i="1"/>
  <c r="CO245" i="1"/>
  <c r="CO56" i="3"/>
  <c r="CO20" i="1"/>
  <c r="CO87" i="1"/>
  <c r="CO276" i="1"/>
  <c r="CO4" i="1"/>
  <c r="CO304" i="1"/>
  <c r="CO37" i="1"/>
  <c r="CO239" i="1"/>
  <c r="CO163" i="1"/>
  <c r="CO74" i="1"/>
  <c r="CO54" i="3"/>
  <c r="CO139" i="1"/>
  <c r="CO170" i="1"/>
  <c r="CO122" i="1"/>
  <c r="CO21" i="1"/>
  <c r="CO121" i="1"/>
  <c r="CO277" i="1"/>
  <c r="CO34" i="1"/>
  <c r="CO15" i="1"/>
  <c r="CO261" i="1"/>
  <c r="CO221" i="1"/>
  <c r="CO243" i="1"/>
  <c r="CO127" i="1"/>
  <c r="CO101" i="1"/>
  <c r="CO23" i="1"/>
  <c r="CO202" i="1"/>
  <c r="CO77" i="1"/>
  <c r="CO5" i="1"/>
  <c r="CO64" i="1"/>
  <c r="CO81" i="1"/>
  <c r="CO8" i="1"/>
  <c r="CO61" i="1"/>
  <c r="CO10" i="1"/>
  <c r="CO98" i="1"/>
  <c r="CO16" i="1"/>
  <c r="CO113" i="1"/>
  <c r="CO223" i="1"/>
  <c r="CO158" i="1"/>
  <c r="CO159" i="1"/>
  <c r="CO9" i="1"/>
  <c r="CO298" i="1"/>
  <c r="CO291" i="1"/>
  <c r="CO236" i="1"/>
  <c r="CO2" i="1"/>
  <c r="BK2134" i="7"/>
  <c r="BK2111" i="7"/>
  <c r="BK2169" i="7"/>
  <c r="BK2149" i="7"/>
  <c r="BK2165" i="7"/>
  <c r="BK2107" i="7"/>
  <c r="BK2210" i="7"/>
  <c r="BK2157" i="7"/>
  <c r="BK2213" i="7"/>
  <c r="BK2147" i="7"/>
  <c r="BK2167" i="7"/>
  <c r="BK2161" i="7"/>
  <c r="BK2176" i="7"/>
  <c r="BK2141" i="7"/>
  <c r="BK2214" i="7"/>
  <c r="BK2136" i="7"/>
  <c r="BK2144" i="7"/>
  <c r="BK11" i="8"/>
  <c r="BK15" i="8"/>
  <c r="BK2171" i="7"/>
  <c r="BK2105" i="7"/>
  <c r="BK2140" i="7"/>
  <c r="BK2155" i="7"/>
  <c r="BK2119" i="7"/>
  <c r="BK2138" i="7"/>
  <c r="BK2137" i="7"/>
  <c r="BK2106" i="7"/>
  <c r="BK2215" i="7"/>
  <c r="BK2115" i="7"/>
  <c r="BK2192" i="7"/>
  <c r="BK2118" i="7"/>
  <c r="BK2148" i="7"/>
  <c r="BK2181" i="7"/>
  <c r="BK2189" i="7"/>
  <c r="BK2127" i="7"/>
  <c r="BK2216" i="7"/>
  <c r="BK2185" i="7"/>
  <c r="BK2174" i="7"/>
  <c r="BK2220" i="7"/>
  <c r="BK2126" i="7"/>
  <c r="BK2202" i="7"/>
  <c r="BK2203" i="7"/>
  <c r="BK2223" i="7"/>
  <c r="BK2125" i="7"/>
  <c r="BK2154" i="7"/>
  <c r="BK2180" i="7"/>
  <c r="BK2211" i="7"/>
  <c r="BK2172" i="7"/>
  <c r="BK2225" i="7"/>
  <c r="BK2199" i="7"/>
  <c r="BK2166" i="7"/>
  <c r="BK2198" i="7"/>
  <c r="BK2187" i="7"/>
  <c r="BK2143" i="7"/>
  <c r="BK2133" i="7"/>
  <c r="BK2100" i="7"/>
  <c r="BK2122" i="7"/>
  <c r="BK2182" i="7"/>
  <c r="BK2173" i="7"/>
  <c r="BK2204" i="7"/>
  <c r="BK2217" i="7"/>
  <c r="BK2207" i="7"/>
  <c r="BK2227" i="7"/>
  <c r="BK2108" i="7"/>
  <c r="BK2101" i="7"/>
  <c r="BK2200" i="7"/>
  <c r="BK2150" i="7"/>
  <c r="BK2158" i="7"/>
  <c r="BK2164" i="7"/>
  <c r="BK2201" i="7"/>
  <c r="BK2139" i="7"/>
  <c r="BK2196" i="7"/>
  <c r="BK2188" i="7"/>
  <c r="BK2113" i="7"/>
  <c r="BK2123" i="7"/>
  <c r="BK2184" i="7"/>
  <c r="BK2186" i="7"/>
  <c r="BK2152" i="7"/>
  <c r="BK2170" i="7"/>
  <c r="BK2121" i="7"/>
  <c r="BK2226" i="7"/>
  <c r="BK2219" i="7"/>
  <c r="BK2146" i="7"/>
  <c r="BK2178" i="7"/>
  <c r="BK2120" i="7"/>
  <c r="BK2153" i="7"/>
  <c r="BK2191" i="7"/>
  <c r="BK2109" i="7"/>
  <c r="BK2102" i="7"/>
  <c r="BK2205" i="7"/>
  <c r="BK2162" i="7"/>
  <c r="BK2183" i="7"/>
  <c r="BK2224" i="7"/>
  <c r="BK2221" i="7"/>
  <c r="BK2142" i="7"/>
  <c r="BK2206" i="7"/>
  <c r="BK2193" i="7"/>
  <c r="BK2145" i="7"/>
  <c r="BK2177" i="7"/>
  <c r="BK2212" i="7"/>
  <c r="BK2218" i="7"/>
  <c r="BK2222" i="7"/>
  <c r="BK2175" i="7"/>
  <c r="BK2168" i="7"/>
  <c r="BK2114" i="7"/>
  <c r="BK2131" i="7"/>
  <c r="BK2208" i="7"/>
  <c r="BK2194" i="7"/>
  <c r="BK2179" i="7"/>
  <c r="BK2151" i="7"/>
  <c r="BK2197" i="7"/>
  <c r="BK2110" i="7"/>
  <c r="BK2159" i="7"/>
  <c r="BK2195" i="7"/>
  <c r="BK2116" i="7"/>
  <c r="BK2128" i="7"/>
  <c r="BK2156" i="7"/>
  <c r="BK2129" i="7"/>
  <c r="BK2117" i="7"/>
  <c r="BK2112" i="7"/>
  <c r="BK2132" i="7"/>
  <c r="BK2103" i="7"/>
  <c r="BK2160" i="7"/>
  <c r="BK2163" i="7"/>
  <c r="BK2124" i="7"/>
  <c r="BK2190" i="7"/>
  <c r="BK2130" i="7"/>
  <c r="BK2104" i="7"/>
  <c r="BK2209" i="7"/>
  <c r="BK2135" i="7"/>
  <c r="CP288" i="1"/>
  <c r="CP285" i="1"/>
  <c r="CP300" i="1"/>
  <c r="CP298" i="1"/>
  <c r="CP291" i="1"/>
  <c r="CR291" i="1" s="1"/>
  <c r="CS291" i="1" s="1"/>
  <c r="CU291" i="1" s="1"/>
  <c r="CX291" i="1" s="1"/>
  <c r="CP296" i="1"/>
  <c r="CR296" i="1" s="1"/>
  <c r="CS296" i="1" s="1"/>
  <c r="CL44" i="1"/>
  <c r="CQ44" i="1" s="1"/>
  <c r="CT44" i="1" s="1"/>
  <c r="CL154" i="1"/>
  <c r="CQ154" i="1" s="1"/>
  <c r="CT154" i="1" s="1"/>
  <c r="CL203" i="1"/>
  <c r="CQ203" i="1" s="1"/>
  <c r="CT203" i="1" s="1"/>
  <c r="CL97" i="1"/>
  <c r="CQ97" i="1" s="1"/>
  <c r="CT97" i="1" s="1"/>
  <c r="CL137" i="1"/>
  <c r="CQ137" i="1" s="1"/>
  <c r="CT137" i="1" s="1"/>
  <c r="CL7" i="1"/>
  <c r="CQ7" i="1" s="1"/>
  <c r="CT7" i="1" s="1"/>
  <c r="CL289" i="1"/>
  <c r="CQ289" i="1" s="1"/>
  <c r="CT289" i="1" s="1"/>
  <c r="CL270" i="1"/>
  <c r="CQ270" i="1" s="1"/>
  <c r="CT270" i="1" s="1"/>
  <c r="CL281" i="1"/>
  <c r="CQ281" i="1" s="1"/>
  <c r="CT281" i="1" s="1"/>
  <c r="CL115" i="1"/>
  <c r="CQ115" i="1" s="1"/>
  <c r="CT115" i="1" s="1"/>
  <c r="CL234" i="1"/>
  <c r="CQ234" i="1" s="1"/>
  <c r="CT234" i="1" s="1"/>
  <c r="CL271" i="1"/>
  <c r="CQ271" i="1" s="1"/>
  <c r="CT271" i="1" s="1"/>
  <c r="CL125" i="1"/>
  <c r="CQ125" i="1" s="1"/>
  <c r="CT125" i="1" s="1"/>
  <c r="CL24" i="1"/>
  <c r="CQ24" i="1" s="1"/>
  <c r="CT24" i="1" s="1"/>
  <c r="CL267" i="1"/>
  <c r="CQ267" i="1" s="1"/>
  <c r="CT267" i="1" s="1"/>
  <c r="CL282" i="1"/>
  <c r="CQ282" i="1" s="1"/>
  <c r="CT282" i="1" s="1"/>
  <c r="CL240" i="1"/>
  <c r="CQ240" i="1" s="1"/>
  <c r="CT240" i="1" s="1"/>
  <c r="CL208" i="1"/>
  <c r="CQ208" i="1" s="1"/>
  <c r="CT208" i="1" s="1"/>
  <c r="CL213" i="1"/>
  <c r="CQ213" i="1" s="1"/>
  <c r="CT213" i="1" s="1"/>
  <c r="CL155" i="1"/>
  <c r="CQ155" i="1" s="1"/>
  <c r="CT155" i="1" s="1"/>
  <c r="CL36" i="1"/>
  <c r="CQ36" i="1" s="1"/>
  <c r="CL120" i="1"/>
  <c r="CQ120" i="1" s="1"/>
  <c r="CT120" i="1" s="1"/>
  <c r="CL161" i="1"/>
  <c r="CQ161" i="1" s="1"/>
  <c r="CT161" i="1" s="1"/>
  <c r="CL75" i="1"/>
  <c r="CQ75" i="1" s="1"/>
  <c r="CT75" i="1" s="1"/>
  <c r="CL218" i="1"/>
  <c r="CQ218" i="1" s="1"/>
  <c r="CT218" i="1" s="1"/>
  <c r="CM186" i="1"/>
  <c r="CM63" i="1"/>
  <c r="CM198" i="1"/>
  <c r="CM13" i="1"/>
  <c r="CM128" i="1"/>
  <c r="CM35" i="1"/>
  <c r="CM29" i="1"/>
  <c r="CM68" i="1"/>
  <c r="CM86" i="1"/>
  <c r="CM162" i="1"/>
  <c r="CM83" i="1"/>
  <c r="CM55" i="1"/>
  <c r="CM113" i="1"/>
  <c r="CM247" i="1"/>
  <c r="CM185" i="1"/>
  <c r="CM16" i="1"/>
  <c r="CM98" i="1"/>
  <c r="CM10" i="1"/>
  <c r="CM190" i="1"/>
  <c r="CM300" i="1"/>
  <c r="CM248" i="1"/>
  <c r="CM61" i="1"/>
  <c r="CM8" i="1"/>
  <c r="CM71" i="1"/>
  <c r="CM81" i="1"/>
  <c r="CM151" i="1"/>
  <c r="CP119" i="1"/>
  <c r="CP51" i="1"/>
  <c r="CP82" i="1"/>
  <c r="CP45" i="1"/>
  <c r="CP47" i="1"/>
  <c r="CP93" i="1"/>
  <c r="CP60" i="1"/>
  <c r="CP94" i="1"/>
  <c r="CP28" i="1"/>
  <c r="CP153" i="1"/>
  <c r="CP224" i="1"/>
  <c r="CP141" i="1"/>
  <c r="CP92" i="1"/>
  <c r="CP116" i="1"/>
  <c r="CP48" i="1"/>
  <c r="CP132" i="1"/>
  <c r="CP42" i="1"/>
  <c r="CP67" i="1"/>
  <c r="CO119" i="1"/>
  <c r="CO47" i="1"/>
  <c r="CO28" i="1"/>
  <c r="CO92" i="1"/>
  <c r="CO266" i="1"/>
  <c r="CO166" i="1"/>
  <c r="CO246" i="1"/>
  <c r="CN126" i="1"/>
  <c r="CN295" i="1"/>
  <c r="CN195" i="1"/>
  <c r="BI1484" i="7"/>
  <c r="BI1487" i="7"/>
  <c r="BI2132" i="7"/>
  <c r="BI1416" i="7"/>
  <c r="BI14" i="7"/>
  <c r="BI957" i="7"/>
  <c r="BI1196" i="7"/>
  <c r="BI1674" i="7"/>
  <c r="BI1488" i="7"/>
  <c r="BI1658" i="7"/>
  <c r="BI62" i="7"/>
  <c r="BI1192" i="7"/>
  <c r="BI68" i="7"/>
  <c r="BI1681" i="7"/>
  <c r="BI61" i="7"/>
  <c r="BI1057" i="7"/>
  <c r="BI1675" i="7"/>
  <c r="BI1927" i="7"/>
  <c r="BI1527" i="7"/>
  <c r="BI1714" i="7"/>
  <c r="BI1928" i="7"/>
  <c r="BI1505" i="7"/>
  <c r="BI95" i="7"/>
  <c r="BI2102" i="7"/>
  <c r="BI1660" i="7"/>
  <c r="BI1490" i="7"/>
  <c r="BI1677" i="7"/>
  <c r="BI2127" i="7"/>
  <c r="BI411" i="7"/>
  <c r="BI15" i="7"/>
  <c r="BI417" i="7"/>
  <c r="BI2116" i="7"/>
  <c r="BI1311" i="7"/>
  <c r="BI1186" i="7"/>
  <c r="BI2110" i="7"/>
  <c r="BI1869" i="7"/>
  <c r="BI1890" i="7"/>
  <c r="BI747" i="7"/>
  <c r="BI13" i="7"/>
  <c r="BI1189" i="7"/>
  <c r="BI1909" i="7"/>
  <c r="BI1926" i="7"/>
  <c r="BI17" i="7"/>
  <c r="BI432" i="7"/>
  <c r="BI1495" i="7"/>
  <c r="BI1173" i="7"/>
  <c r="BI1191" i="7"/>
  <c r="BI1678" i="7"/>
  <c r="BI2208" i="7"/>
  <c r="BI1673" i="7"/>
  <c r="BI745" i="7"/>
  <c r="BI1190" i="7"/>
  <c r="BI279" i="7"/>
  <c r="BI1929" i="7"/>
  <c r="BI1454" i="7"/>
  <c r="BI1624" i="7"/>
  <c r="BI2125" i="7"/>
  <c r="BI1485" i="7"/>
  <c r="BI1053" i="7"/>
  <c r="BI1024" i="7"/>
  <c r="BI852" i="7"/>
  <c r="BI2268" i="7"/>
  <c r="BI1934" i="7"/>
  <c r="BI1659" i="7"/>
  <c r="BI1930" i="7"/>
  <c r="BI18" i="7"/>
  <c r="BI19" i="7"/>
  <c r="BI1932" i="7"/>
  <c r="BI1193" i="7"/>
  <c r="BI1483" i="7"/>
  <c r="BI746" i="7"/>
  <c r="BI1676" i="7"/>
  <c r="BI1538" i="7"/>
  <c r="BI1868" i="7"/>
  <c r="BI1943" i="7"/>
  <c r="BI1188" i="7"/>
  <c r="BI1652" i="7"/>
  <c r="BI1679" i="7"/>
  <c r="BI117" i="7"/>
  <c r="BI2124" i="7"/>
  <c r="BI505" i="7"/>
  <c r="BI1418" i="7"/>
  <c r="BI1861" i="7"/>
  <c r="BI2101" i="7"/>
  <c r="BI2112" i="7"/>
  <c r="BI1177" i="7"/>
  <c r="BI1417" i="7"/>
  <c r="CN23" i="1"/>
  <c r="CN193" i="1"/>
  <c r="CN247" i="1"/>
  <c r="CN198" i="1"/>
  <c r="CN186" i="1"/>
  <c r="CN176" i="1"/>
  <c r="CN301" i="1"/>
  <c r="CN182" i="1"/>
  <c r="CN107" i="1"/>
  <c r="CN207" i="1"/>
  <c r="CN205" i="1"/>
  <c r="CN289" i="1"/>
  <c r="CN154" i="1"/>
  <c r="CN283" i="1"/>
  <c r="CN204" i="1"/>
  <c r="BJ2257" i="7"/>
  <c r="BJ2260" i="7"/>
  <c r="BJ2092" i="7"/>
  <c r="BJ2116" i="7"/>
  <c r="BJ256" i="7"/>
  <c r="BJ310" i="7"/>
  <c r="CO174" i="1"/>
  <c r="BK14" i="8"/>
  <c r="BK1857" i="7"/>
  <c r="BK2095" i="7"/>
  <c r="BK1892" i="7"/>
  <c r="BK1871" i="7"/>
  <c r="BK2012" i="7"/>
  <c r="BK1939" i="7"/>
  <c r="BK1724" i="7"/>
  <c r="BK1711" i="7"/>
  <c r="BK1962" i="7"/>
  <c r="BK1767" i="7"/>
  <c r="BK1706" i="7"/>
  <c r="BK1704" i="7"/>
  <c r="BK2050" i="7"/>
  <c r="BK1909" i="7"/>
  <c r="BK1978" i="7"/>
  <c r="BK1761" i="7"/>
  <c r="BK2028" i="7"/>
  <c r="BK1696" i="7"/>
  <c r="BK2051" i="7"/>
  <c r="BK2057" i="7"/>
  <c r="BK1739" i="7"/>
  <c r="BK1920" i="7"/>
  <c r="BK2022" i="7"/>
  <c r="BK1931" i="7"/>
  <c r="BK1703" i="7"/>
  <c r="BK2044" i="7"/>
  <c r="BK2041" i="7"/>
  <c r="BK1730" i="7"/>
  <c r="BK2001" i="7"/>
  <c r="BK1797" i="7"/>
  <c r="BK1975" i="7"/>
  <c r="BK1744" i="7"/>
  <c r="BK1915" i="7"/>
  <c r="BK1952" i="7"/>
  <c r="BK1766" i="7"/>
  <c r="BK1721" i="7"/>
  <c r="BK2049" i="7"/>
  <c r="BK1937" i="7"/>
  <c r="BK1874" i="7"/>
  <c r="BK1977" i="7"/>
  <c r="BK1852" i="7"/>
  <c r="BK1752" i="7"/>
  <c r="BK2077" i="7"/>
  <c r="BK1990" i="7"/>
  <c r="BK1968" i="7"/>
  <c r="BK1884" i="7"/>
  <c r="BK1912" i="7"/>
  <c r="BK2037" i="7"/>
  <c r="BK2030" i="7"/>
  <c r="BK1784" i="7"/>
  <c r="BK1684" i="7"/>
  <c r="BK1995" i="7"/>
  <c r="BK1728" i="7"/>
  <c r="BK1910" i="7"/>
  <c r="BK1935" i="7"/>
  <c r="BK1950" i="7"/>
  <c r="BK1787" i="7"/>
  <c r="BK1998" i="7"/>
  <c r="BK1885" i="7"/>
  <c r="BK1669" i="7"/>
  <c r="BK1836" i="7"/>
  <c r="BK1757" i="7"/>
  <c r="BK1982" i="7"/>
  <c r="BK1902" i="7"/>
  <c r="BK2069" i="7"/>
  <c r="BK1969" i="7"/>
  <c r="BK1944" i="7"/>
  <c r="BK2098" i="7"/>
  <c r="BK2061" i="7"/>
  <c r="BK1673" i="7"/>
  <c r="BK1699" i="7"/>
  <c r="BK1879" i="7"/>
  <c r="BK1948" i="7"/>
  <c r="BK1693" i="7"/>
  <c r="BK1720" i="7"/>
  <c r="BK1712" i="7"/>
  <c r="BK2040" i="7"/>
  <c r="BK1966" i="7"/>
  <c r="BK1815" i="7"/>
  <c r="BK1947" i="7"/>
  <c r="BK1825" i="7"/>
  <c r="BK1919" i="7"/>
  <c r="BK1999" i="7"/>
  <c r="BK1655" i="7"/>
  <c r="BK1858" i="7"/>
  <c r="BK2089" i="7"/>
  <c r="BK1961" i="7"/>
  <c r="BK1940" i="7"/>
  <c r="BK1854" i="7"/>
  <c r="BK1686" i="7"/>
  <c r="BK1775" i="7"/>
  <c r="BK1855" i="7"/>
  <c r="BK1653" i="7"/>
  <c r="BK1671" i="7"/>
  <c r="BK1811" i="7"/>
  <c r="BK1718" i="7"/>
  <c r="BK2053" i="7"/>
  <c r="BK1976" i="7"/>
  <c r="BK1756" i="7"/>
  <c r="BK1749" i="7"/>
  <c r="BK2097" i="7"/>
  <c r="BK2008" i="7"/>
  <c r="BK1983" i="7"/>
  <c r="BK1707" i="7"/>
  <c r="BK1791" i="7"/>
  <c r="BK2033" i="7"/>
  <c r="BK2071" i="7"/>
  <c r="BK2002" i="7"/>
  <c r="BK1824" i="7"/>
  <c r="BK2003" i="7"/>
  <c r="BK1743" i="7"/>
  <c r="BK1807" i="7"/>
  <c r="BK2019" i="7"/>
  <c r="BK2068" i="7"/>
  <c r="BK1747" i="7"/>
  <c r="BK2082" i="7"/>
  <c r="BK12" i="8"/>
  <c r="BK1809" i="7"/>
  <c r="BK1853" i="7"/>
  <c r="BK1876" i="7"/>
  <c r="BK1808" i="7"/>
  <c r="BK1759" i="7"/>
  <c r="BK1895" i="7"/>
  <c r="BK2058" i="7"/>
  <c r="BK1988" i="7"/>
  <c r="BK1742" i="7"/>
  <c r="BK1746" i="7"/>
  <c r="BK1970" i="7"/>
  <c r="BK1883" i="7"/>
  <c r="BK1851" i="7"/>
  <c r="BK1927" i="7"/>
  <c r="BK1826" i="7"/>
  <c r="BK2067" i="7"/>
  <c r="BK1832" i="7"/>
  <c r="BK1926" i="7"/>
  <c r="BK2062" i="7"/>
  <c r="BK1898" i="7"/>
  <c r="BK1985" i="7"/>
  <c r="BK1785" i="7"/>
  <c r="BK1842" i="7"/>
  <c r="BK1862" i="7"/>
  <c r="BK2093" i="7"/>
  <c r="BK1936" i="7"/>
  <c r="BK1737" i="7"/>
  <c r="BK1971" i="7"/>
  <c r="BK1674" i="7"/>
  <c r="BK1770" i="7"/>
  <c r="BK1695" i="7"/>
  <c r="BK1689" i="7"/>
  <c r="BK1804" i="7"/>
  <c r="BK1710" i="7"/>
  <c r="BK1933" i="7"/>
  <c r="BK1665" i="7"/>
  <c r="BK1679" i="7"/>
  <c r="BK1753" i="7"/>
  <c r="BK1913" i="7"/>
  <c r="BK1839" i="7"/>
  <c r="BK1841" i="7"/>
  <c r="BK1869" i="7"/>
  <c r="BK2016" i="7"/>
  <c r="BK1834" i="7"/>
  <c r="BK2076" i="7"/>
  <c r="BK1946" i="7"/>
  <c r="BK1906" i="7"/>
  <c r="BK1659" i="7"/>
  <c r="BK1908" i="7"/>
  <c r="BK1872" i="7"/>
  <c r="BK1941" i="7"/>
  <c r="BK1654" i="7"/>
  <c r="BK2006" i="7"/>
  <c r="BK1733" i="7"/>
  <c r="BK1680" i="7"/>
  <c r="BK1992" i="7"/>
  <c r="BK2017" i="7"/>
  <c r="BK2035" i="7"/>
  <c r="BK2038" i="7"/>
  <c r="BK1705" i="7"/>
  <c r="BK1723" i="7"/>
  <c r="BK2042" i="7"/>
  <c r="BK1798" i="7"/>
  <c r="BK1792" i="7"/>
  <c r="BK1980" i="7"/>
  <c r="BK1845" i="7"/>
  <c r="BK1691" i="7"/>
  <c r="BK1713" i="7"/>
  <c r="BK1838" i="7"/>
  <c r="BK1794" i="7"/>
  <c r="BK1801" i="7"/>
  <c r="BK1887" i="7"/>
  <c r="BK2031" i="7"/>
  <c r="BK2073" i="7"/>
  <c r="BK2063" i="7"/>
  <c r="BK1960" i="7"/>
  <c r="BK1938" i="7"/>
  <c r="BK1951" i="7"/>
  <c r="BK2052" i="7"/>
  <c r="BK1685" i="7"/>
  <c r="BK1942" i="7"/>
  <c r="BK1715" i="7"/>
  <c r="BK2032" i="7"/>
  <c r="BK1736" i="7"/>
  <c r="BK1656" i="7"/>
  <c r="BK1692" i="7"/>
  <c r="BK1818" i="7"/>
  <c r="BK1694" i="7"/>
  <c r="BK1806" i="7"/>
  <c r="BK1735" i="7"/>
  <c r="BK1773" i="7"/>
  <c r="BK1697" i="7"/>
  <c r="BK1778" i="7"/>
  <c r="BK1690" i="7"/>
  <c r="BK1789" i="7"/>
  <c r="BK2009" i="7"/>
  <c r="BK1683" i="7"/>
  <c r="BK2011" i="7"/>
  <c r="BK2039" i="7"/>
  <c r="BK1828" i="7"/>
  <c r="BK2034" i="7"/>
  <c r="BK2060" i="7"/>
  <c r="BK1708" i="7"/>
  <c r="BK1678" i="7"/>
  <c r="BK1979" i="7"/>
  <c r="BK1922" i="7"/>
  <c r="BK1997" i="7"/>
  <c r="BK1888" i="7"/>
  <c r="BK1758" i="7"/>
  <c r="BK2015" i="7"/>
  <c r="BK2074" i="7"/>
  <c r="BK1776" i="7"/>
  <c r="BK1800" i="7"/>
  <c r="BK1953" i="7"/>
  <c r="BK1875" i="7"/>
  <c r="BK1760" i="7"/>
  <c r="BK1904" i="7"/>
  <c r="BK2043" i="7"/>
  <c r="BK1810" i="7"/>
  <c r="BK1837" i="7"/>
  <c r="BK2000" i="7"/>
  <c r="BK1899" i="7"/>
  <c r="BK1682" i="7"/>
  <c r="BK1817" i="7"/>
  <c r="BK1848" i="7"/>
  <c r="BK1987" i="7"/>
  <c r="BK1893" i="7"/>
  <c r="BK1861" i="7"/>
  <c r="BK1850" i="7"/>
  <c r="BK2023" i="7"/>
  <c r="BK1963" i="7"/>
  <c r="BK1664" i="7"/>
  <c r="BK2010" i="7"/>
  <c r="BK1881" i="7"/>
  <c r="BK1981" i="7"/>
  <c r="BK2084" i="7"/>
  <c r="BK1726" i="7"/>
  <c r="BK2079" i="7"/>
  <c r="BK1793" i="7"/>
  <c r="BK2036" i="7"/>
  <c r="BK1762" i="7"/>
  <c r="BK2091" i="7"/>
  <c r="BK1781" i="7"/>
  <c r="BK1943" i="7"/>
  <c r="BK1790" i="7"/>
  <c r="BK1856" i="7"/>
  <c r="BK1722" i="7"/>
  <c r="BK2013" i="7"/>
  <c r="BK1991" i="7"/>
  <c r="BK1827" i="7"/>
  <c r="BK1755" i="7"/>
  <c r="BK1901" i="7"/>
  <c r="BK2027" i="7"/>
  <c r="BK1954" i="7"/>
  <c r="BK1830" i="7"/>
  <c r="BK1877" i="7"/>
  <c r="BK2065" i="7"/>
  <c r="BK2046" i="7"/>
  <c r="BK1868" i="7"/>
  <c r="BK1774" i="7"/>
  <c r="BK1896" i="7"/>
  <c r="BK1831" i="7"/>
  <c r="BK1974" i="7"/>
  <c r="BK1745" i="7"/>
  <c r="BK1799" i="7"/>
  <c r="BK2048" i="7"/>
  <c r="BK1925" i="7"/>
  <c r="BK2096" i="7"/>
  <c r="BK1859" i="7"/>
  <c r="BK1965" i="7"/>
  <c r="BK1725" i="7"/>
  <c r="BK1763" i="7"/>
  <c r="BK1768" i="7"/>
  <c r="BK1675" i="7"/>
  <c r="BK1662" i="7"/>
  <c r="BK1820" i="7"/>
  <c r="BK1996" i="7"/>
  <c r="BK1993" i="7"/>
  <c r="BK1928" i="7"/>
  <c r="BK1891" i="7"/>
  <c r="BK1812" i="7"/>
  <c r="BK1661" i="7"/>
  <c r="BK2083" i="7"/>
  <c r="BK1777" i="7"/>
  <c r="BK1911" i="7"/>
  <c r="BK1813" i="7"/>
  <c r="BK1717" i="7"/>
  <c r="BK1863" i="7"/>
  <c r="BK1989" i="7"/>
  <c r="BK1772" i="7"/>
  <c r="BK2020" i="7"/>
  <c r="BK2078" i="7"/>
  <c r="BK1788" i="7"/>
  <c r="BK1782" i="7"/>
  <c r="BK1748" i="7"/>
  <c r="BK1660" i="7"/>
  <c r="BK2080" i="7"/>
  <c r="BK1672" i="7"/>
  <c r="BK1955" i="7"/>
  <c r="BK1959" i="7"/>
  <c r="BK1795" i="7"/>
  <c r="BK1676" i="7"/>
  <c r="BK1771" i="7"/>
  <c r="BK1769" i="7"/>
  <c r="BK2021" i="7"/>
  <c r="BK1823" i="7"/>
  <c r="BK1903" i="7"/>
  <c r="BK1847" i="7"/>
  <c r="BK1932" i="7"/>
  <c r="BK2047" i="7"/>
  <c r="BK1670" i="7"/>
  <c r="BK1984" i="7"/>
  <c r="BK1667" i="7"/>
  <c r="BK1822" i="7"/>
  <c r="BK1921" i="7"/>
  <c r="BK2029" i="7"/>
  <c r="BK1700" i="7"/>
  <c r="BK2026" i="7"/>
  <c r="BK1967" i="7"/>
  <c r="BK1802" i="7"/>
  <c r="BK1727" i="7"/>
  <c r="BK1814" i="7"/>
  <c r="BK2092" i="7"/>
  <c r="BK1734" i="7"/>
  <c r="BK1729" i="7"/>
  <c r="BK2054" i="7"/>
  <c r="BK2070" i="7"/>
  <c r="BK1897" i="7"/>
  <c r="BK2056" i="7"/>
  <c r="BK1668" i="7"/>
  <c r="BK1867" i="7"/>
  <c r="BK1657" i="7"/>
  <c r="BK16" i="8"/>
  <c r="BK1894" i="7"/>
  <c r="BK1986" i="7"/>
  <c r="BK1860" i="7"/>
  <c r="BK1796" i="7"/>
  <c r="BK1765" i="7"/>
  <c r="BK1833" i="7"/>
  <c r="BK1786" i="7"/>
  <c r="BK1866" i="7"/>
  <c r="BK2087" i="7"/>
  <c r="BK1698" i="7"/>
  <c r="BK1783" i="7"/>
  <c r="BK1681" i="7"/>
  <c r="BK1803" i="7"/>
  <c r="BK2004" i="7"/>
  <c r="BK1754" i="7"/>
  <c r="BK2090" i="7"/>
  <c r="BK2085" i="7"/>
  <c r="BK1956" i="7"/>
  <c r="BK2064" i="7"/>
  <c r="BK2025" i="7"/>
  <c r="BK2075" i="7"/>
  <c r="BK2081" i="7"/>
  <c r="BK2086" i="7"/>
  <c r="BK1732" i="7"/>
  <c r="BK1829" i="7"/>
  <c r="BK1780" i="7"/>
  <c r="BK1835" i="7"/>
  <c r="BK1916" i="7"/>
  <c r="BK1864" i="7"/>
  <c r="BK1779" i="7"/>
  <c r="BK1716" i="7"/>
  <c r="BK1816" i="7"/>
  <c r="BK1764" i="7"/>
  <c r="BK1714" i="7"/>
  <c r="BK2024" i="7"/>
  <c r="BK1844" i="7"/>
  <c r="BK2072" i="7"/>
  <c r="BK1652" i="7"/>
  <c r="BK1846" i="7"/>
  <c r="BK1957" i="7"/>
  <c r="BK1958" i="7"/>
  <c r="BK1843" i="7"/>
  <c r="BK1880" i="7"/>
  <c r="BK2014" i="7"/>
  <c r="BK1805" i="7"/>
  <c r="BK1929" i="7"/>
  <c r="BK1890" i="7"/>
  <c r="BK1688" i="7"/>
  <c r="BK2007" i="7"/>
  <c r="BK1905" i="7"/>
  <c r="BK1994" i="7"/>
  <c r="BK1819" i="7"/>
  <c r="BK1923" i="7"/>
  <c r="BK2059" i="7"/>
  <c r="BK1821" i="7"/>
  <c r="BK1886" i="7"/>
  <c r="BK1709" i="7"/>
  <c r="BK1973" i="7"/>
  <c r="BK1701" i="7"/>
  <c r="BK1740" i="7"/>
  <c r="BK1751" i="7"/>
  <c r="BK1870" i="7"/>
  <c r="BK1882" i="7"/>
  <c r="BK1738" i="7"/>
  <c r="BK2045" i="7"/>
  <c r="BK1934" i="7"/>
  <c r="BK1666" i="7"/>
  <c r="BK1687" i="7"/>
  <c r="BK1914" i="7"/>
  <c r="BK1949" i="7"/>
  <c r="BK1741" i="7"/>
  <c r="BK1924" i="7"/>
  <c r="BK2055" i="7"/>
  <c r="BK1918" i="7"/>
  <c r="BK1750" i="7"/>
  <c r="BK2066" i="7"/>
  <c r="BK1719" i="7"/>
  <c r="BK1865" i="7"/>
  <c r="BK2094" i="7"/>
  <c r="BK1930" i="7"/>
  <c r="BK1658" i="7"/>
  <c r="BK1945" i="7"/>
  <c r="BK2099" i="7"/>
  <c r="BK2088" i="7"/>
  <c r="BK1731" i="7"/>
  <c r="BK1972" i="7"/>
  <c r="BK2005" i="7"/>
  <c r="BK1917" i="7"/>
  <c r="BK1849" i="7"/>
  <c r="BK1702" i="7"/>
  <c r="BK1663" i="7"/>
  <c r="BK1840" i="7"/>
  <c r="BK1907" i="7"/>
  <c r="BK1964" i="7"/>
  <c r="BK1677" i="7"/>
  <c r="BK1878" i="7"/>
  <c r="BK2018" i="7"/>
  <c r="BK1873" i="7"/>
  <c r="BK1889" i="7"/>
  <c r="BK1900" i="7"/>
  <c r="CP238" i="1"/>
  <c r="CP261" i="1"/>
  <c r="CP220" i="1"/>
  <c r="CP221" i="1"/>
  <c r="CP243" i="1"/>
  <c r="CP248" i="1"/>
  <c r="CP223" i="1"/>
  <c r="CP269" i="1"/>
  <c r="CP265" i="1"/>
  <c r="CR265" i="1" s="1"/>
  <c r="CS265" i="1" s="1"/>
  <c r="CP235" i="1"/>
  <c r="CP218" i="1"/>
  <c r="CP240" i="1"/>
  <c r="CP279" i="1"/>
  <c r="CR279" i="1" s="1"/>
  <c r="CS279" i="1" s="1"/>
  <c r="CU279" i="1" s="1"/>
  <c r="CX279" i="1" s="1"/>
  <c r="CP254" i="1"/>
  <c r="CP274" i="1"/>
  <c r="CP230" i="1"/>
  <c r="CP275" i="1"/>
  <c r="CR275" i="1" s="1"/>
  <c r="CS275" i="1" s="1"/>
  <c r="CL257" i="1"/>
  <c r="CQ257" i="1" s="1"/>
  <c r="CL228" i="1"/>
  <c r="CQ228" i="1" s="1"/>
  <c r="CT228" i="1" s="1"/>
  <c r="CL205" i="1"/>
  <c r="CQ205" i="1" s="1"/>
  <c r="CT205" i="1" s="1"/>
  <c r="CL252" i="1"/>
  <c r="CQ252" i="1" s="1"/>
  <c r="CT252" i="1" s="1"/>
  <c r="CL215" i="1"/>
  <c r="CQ215" i="1" s="1"/>
  <c r="CT215" i="1" s="1"/>
  <c r="CL268" i="1"/>
  <c r="CQ268" i="1" s="1"/>
  <c r="CT268" i="1" s="1"/>
  <c r="CL96" i="1"/>
  <c r="CQ96" i="1" s="1"/>
  <c r="CT96" i="1" s="1"/>
  <c r="CL207" i="1"/>
  <c r="CQ207" i="1" s="1"/>
  <c r="CT207" i="1" s="1"/>
  <c r="CL12" i="1"/>
  <c r="CQ12" i="1" s="1"/>
  <c r="CT12" i="1" s="1"/>
  <c r="CL146" i="1"/>
  <c r="CQ146" i="1" s="1"/>
  <c r="CT146" i="1" s="1"/>
  <c r="CL191" i="1"/>
  <c r="CQ191" i="1" s="1"/>
  <c r="CT191" i="1" s="1"/>
  <c r="CL111" i="1"/>
  <c r="CQ111" i="1" s="1"/>
  <c r="CT111" i="1" s="1"/>
  <c r="CL211" i="1"/>
  <c r="CQ211" i="1" s="1"/>
  <c r="CL88" i="1"/>
  <c r="CQ88" i="1" s="1"/>
  <c r="CT88" i="1" s="1"/>
  <c r="CL145" i="1"/>
  <c r="CQ145" i="1" s="1"/>
  <c r="CT145" i="1" s="1"/>
  <c r="CL143" i="1"/>
  <c r="CQ143" i="1" s="1"/>
  <c r="CT143" i="1" s="1"/>
  <c r="CL307" i="1"/>
  <c r="CQ307" i="1" s="1"/>
  <c r="CT307" i="1" s="1"/>
  <c r="CL212" i="1"/>
  <c r="CQ212" i="1" s="1"/>
  <c r="CT212" i="1" s="1"/>
  <c r="CL30" i="1"/>
  <c r="CQ30" i="1" s="1"/>
  <c r="CT30" i="1" s="1"/>
  <c r="CL183" i="1"/>
  <c r="CQ183" i="1" s="1"/>
  <c r="CT183" i="1" s="1"/>
  <c r="CL235" i="1"/>
  <c r="CQ235" i="1" s="1"/>
  <c r="CT235" i="1" s="1"/>
  <c r="CL109" i="1"/>
  <c r="CQ109" i="1" s="1"/>
  <c r="CT109" i="1" s="1"/>
  <c r="CL196" i="1"/>
  <c r="CQ196" i="1" s="1"/>
  <c r="CT196" i="1" s="1"/>
  <c r="CL131" i="1"/>
  <c r="CQ131" i="1" s="1"/>
  <c r="CT131" i="1" s="1"/>
  <c r="CL265" i="1"/>
  <c r="CL114" i="1"/>
  <c r="CQ114" i="1" s="1"/>
  <c r="CT114" i="1" s="1"/>
  <c r="CM142" i="1"/>
  <c r="CM73" i="1"/>
  <c r="CM244" i="1"/>
  <c r="CM26" i="1"/>
  <c r="CM64" i="1"/>
  <c r="CM5" i="1"/>
  <c r="CM160" i="1"/>
  <c r="CM302" i="1"/>
  <c r="CM77" i="1"/>
  <c r="CM202" i="1"/>
  <c r="CM17" i="1"/>
  <c r="CM23" i="1"/>
  <c r="CM178" i="1"/>
  <c r="CM101" i="1"/>
  <c r="CM99" i="1"/>
  <c r="CM285" i="1"/>
  <c r="CM104" i="1"/>
  <c r="CM172" i="1"/>
  <c r="CM127" i="1"/>
  <c r="CM243" i="1"/>
  <c r="CM288" i="1"/>
  <c r="CM221" i="1"/>
  <c r="CM220" i="1"/>
  <c r="CP91" i="1"/>
  <c r="CP124" i="1"/>
  <c r="CP280" i="1"/>
  <c r="CP232" i="1"/>
  <c r="CP287" i="1"/>
  <c r="CR287" i="1" s="1"/>
  <c r="CS287" i="1" s="1"/>
  <c r="CU287" i="1" s="1"/>
  <c r="CX287" i="1" s="1"/>
  <c r="CP180" i="1"/>
  <c r="CP103" i="1"/>
  <c r="CP134" i="1"/>
  <c r="CP33" i="1"/>
  <c r="CP299" i="1"/>
  <c r="CP15" i="1"/>
  <c r="CP34" i="1"/>
  <c r="CP110" i="1"/>
  <c r="CP305" i="1"/>
  <c r="CP249" i="1"/>
  <c r="CP277" i="1"/>
  <c r="CP6" i="1"/>
  <c r="CP278" i="1"/>
  <c r="CO156" i="1"/>
  <c r="CO216" i="1"/>
  <c r="CO199" i="1"/>
  <c r="CO241" i="1"/>
  <c r="CO6" i="1"/>
  <c r="CO43" i="1"/>
  <c r="CO169" i="1"/>
  <c r="CN45" i="1"/>
  <c r="CN141" i="1"/>
  <c r="CN293" i="1"/>
  <c r="BI1867" i="7"/>
  <c r="BI239" i="7"/>
  <c r="BI2157" i="7"/>
  <c r="BI2037" i="7"/>
  <c r="BI1988" i="7"/>
  <c r="BI2003" i="7"/>
  <c r="BI1723" i="7"/>
  <c r="BI1568" i="7"/>
  <c r="BI1973" i="7"/>
  <c r="BI2184" i="7"/>
  <c r="BI2189" i="7"/>
  <c r="BI1497" i="7"/>
  <c r="BI2261" i="7"/>
  <c r="BI1039" i="7"/>
  <c r="BI1781" i="7"/>
  <c r="BI1940" i="7"/>
  <c r="BI1729" i="7"/>
  <c r="BI1727" i="7"/>
  <c r="BI1400" i="7"/>
  <c r="BI1509" i="7"/>
  <c r="BI1897" i="7"/>
  <c r="BI1248" i="7"/>
  <c r="BI1331" i="7"/>
  <c r="BI1005" i="7"/>
  <c r="BI1726" i="7"/>
  <c r="BI1545" i="7"/>
  <c r="BI1067" i="7"/>
  <c r="BI1694" i="7"/>
  <c r="BI812" i="7"/>
  <c r="BI1982" i="7"/>
  <c r="BI1880" i="7"/>
  <c r="BI1746" i="7"/>
  <c r="BI2272" i="7"/>
  <c r="BI2159" i="7"/>
  <c r="BI118" i="7"/>
  <c r="BI577" i="7"/>
  <c r="BI202" i="7"/>
  <c r="BI381" i="7"/>
  <c r="BI152" i="7"/>
  <c r="BI1696" i="7"/>
  <c r="BI1697" i="7"/>
  <c r="BI1208" i="7"/>
  <c r="BI1999" i="7"/>
  <c r="BI2017" i="7"/>
  <c r="BI1529" i="7"/>
  <c r="BI2056" i="7"/>
  <c r="BI1699" i="7"/>
  <c r="BI1743" i="7"/>
  <c r="BI2241" i="7"/>
  <c r="BI2165" i="7"/>
  <c r="BI1261" i="7"/>
  <c r="BI1318" i="7"/>
  <c r="BI1388" i="7"/>
  <c r="BI1848" i="7"/>
  <c r="BI1963" i="7"/>
  <c r="BI1598" i="7"/>
  <c r="BI1524" i="7"/>
  <c r="BI2113" i="7"/>
  <c r="BI1964" i="7"/>
  <c r="BI1762" i="7"/>
  <c r="BI1717" i="7"/>
  <c r="BI1471" i="7"/>
  <c r="BI2126" i="7"/>
  <c r="BI1601" i="7"/>
  <c r="BI1661" i="7"/>
  <c r="BI121" i="7"/>
  <c r="BI586" i="7"/>
  <c r="BI1670" i="7"/>
  <c r="BI2259" i="7"/>
  <c r="BI349" i="7"/>
  <c r="BI699" i="7"/>
  <c r="BI384" i="7"/>
  <c r="BI1682" i="7"/>
  <c r="BI1691" i="7"/>
  <c r="BI1876" i="7"/>
  <c r="BI1054" i="7"/>
  <c r="BI1914" i="7"/>
  <c r="BI1986" i="7"/>
  <c r="BI2246" i="7"/>
  <c r="BI1585" i="7"/>
  <c r="BI1817" i="7"/>
  <c r="BI1542" i="7"/>
  <c r="BI1755" i="7"/>
  <c r="BI1891" i="7"/>
  <c r="BI1796" i="7"/>
  <c r="BI1533" i="7"/>
  <c r="BI1092" i="7"/>
  <c r="BI1027" i="7"/>
  <c r="BI1380" i="7"/>
  <c r="BI2078" i="7"/>
  <c r="BI1222" i="7"/>
  <c r="BI1340" i="7"/>
  <c r="BI1457" i="7"/>
  <c r="BI1227" i="7"/>
  <c r="BI2100" i="7"/>
  <c r="BI2015" i="7"/>
  <c r="BI2092" i="7"/>
  <c r="BI2213" i="7"/>
  <c r="BI1779" i="7"/>
  <c r="BI1750" i="7"/>
  <c r="BI2205" i="7"/>
  <c r="BI1906" i="7"/>
  <c r="BI127" i="7"/>
  <c r="BI2235" i="7"/>
  <c r="BI2108" i="7"/>
  <c r="BI1283" i="7"/>
  <c r="BI2207" i="7"/>
  <c r="BI582" i="7"/>
  <c r="BI262" i="7"/>
  <c r="BI371" i="7"/>
  <c r="BI385" i="7"/>
  <c r="BI1951" i="7"/>
  <c r="BI2111" i="7"/>
  <c r="BI943" i="7"/>
  <c r="BI1551" i="7"/>
  <c r="BI2278" i="7"/>
  <c r="BI2269" i="7"/>
  <c r="BI2172" i="7"/>
  <c r="BI2016" i="7"/>
  <c r="BI1441" i="7"/>
  <c r="BI1265" i="7"/>
  <c r="BI610" i="7"/>
  <c r="BI1701" i="7"/>
  <c r="BI2173" i="7"/>
  <c r="BI1437" i="7"/>
  <c r="BI1623" i="7"/>
  <c r="BI1289" i="7"/>
  <c r="BI1032" i="7"/>
  <c r="BI1748" i="7"/>
  <c r="BI1916" i="7"/>
  <c r="BI1993" i="7"/>
  <c r="BI1633" i="7"/>
  <c r="BI2133" i="7"/>
  <c r="BI1295" i="7"/>
  <c r="BI1472" i="7"/>
  <c r="BI1385" i="7"/>
  <c r="BI1312" i="7"/>
  <c r="BI1439" i="7"/>
  <c r="BI2206" i="7"/>
  <c r="BI960" i="7"/>
  <c r="BI584" i="7"/>
  <c r="BI786" i="7"/>
  <c r="BI766" i="7"/>
  <c r="BI1088" i="7"/>
  <c r="BI246" i="7"/>
  <c r="BI1122" i="7"/>
  <c r="BI588" i="7"/>
  <c r="BI287" i="7"/>
  <c r="BI1570" i="7"/>
  <c r="BI391" i="7"/>
  <c r="BI601" i="7"/>
  <c r="BI461" i="7"/>
  <c r="BI291" i="7"/>
  <c r="BI416" i="7"/>
  <c r="BI692" i="7"/>
  <c r="BI537" i="7"/>
  <c r="BI211" i="7"/>
  <c r="BI1060" i="7"/>
  <c r="BI383" i="7"/>
  <c r="BI1070" i="7"/>
  <c r="BI1695" i="7"/>
  <c r="BI1975" i="7"/>
  <c r="BI1230" i="7"/>
  <c r="BI1705" i="7"/>
  <c r="BI1783" i="7"/>
  <c r="BI1821" i="7"/>
  <c r="BI1933" i="7"/>
  <c r="BI2118" i="7"/>
  <c r="BI2218" i="7"/>
  <c r="BI2045" i="7"/>
  <c r="BI2145" i="7"/>
  <c r="BI1489" i="7"/>
  <c r="BI1583" i="7"/>
  <c r="BI1738" i="7"/>
  <c r="BI1246" i="7"/>
  <c r="BI1921" i="7"/>
  <c r="BI2236" i="7"/>
  <c r="BI1758" i="7"/>
  <c r="BI1554" i="7"/>
  <c r="BI1774" i="7"/>
  <c r="BI1563" i="7"/>
  <c r="BI724" i="7"/>
  <c r="BI129" i="7"/>
  <c r="BI1228" i="7"/>
  <c r="BI585" i="7"/>
  <c r="BI318" i="7"/>
  <c r="BI248" i="7"/>
  <c r="BI320" i="7"/>
  <c r="BI389" i="7"/>
  <c r="BI609" i="7"/>
  <c r="BI440" i="7"/>
  <c r="BI563" i="7"/>
  <c r="BI295" i="7"/>
  <c r="BI726" i="7"/>
  <c r="BI459" i="7"/>
  <c r="BI632" i="7"/>
  <c r="BI790" i="7"/>
  <c r="BI413" i="7"/>
  <c r="BI516" i="7"/>
  <c r="BI528" i="7"/>
  <c r="BI534" i="7"/>
  <c r="BI715" i="7"/>
  <c r="BI398" i="7"/>
  <c r="BI1390" i="7"/>
  <c r="BI540" i="7"/>
  <c r="BI743" i="7"/>
  <c r="BI616" i="7"/>
  <c r="BI436" i="7"/>
  <c r="BI1499" i="7"/>
  <c r="BI382" i="7"/>
  <c r="BI1937" i="7"/>
  <c r="BI2135" i="7"/>
  <c r="BI1720" i="7"/>
  <c r="BI2144" i="7"/>
  <c r="BI1731" i="7"/>
  <c r="BI1574" i="7"/>
  <c r="BI1922" i="7"/>
  <c r="BI2146" i="7"/>
  <c r="BI1788" i="7"/>
  <c r="BI1977" i="7"/>
  <c r="BI1539" i="7"/>
  <c r="BI1893" i="7"/>
  <c r="BI1614" i="7"/>
  <c r="BI1700" i="7"/>
  <c r="BI1476" i="7"/>
  <c r="BI1528" i="7"/>
  <c r="BI2142" i="7"/>
  <c r="BI1877" i="7"/>
  <c r="BI1997" i="7"/>
  <c r="BI2238" i="7"/>
  <c r="BI1410" i="7"/>
  <c r="BI115" i="7"/>
  <c r="BI634" i="7"/>
  <c r="BI1816" i="7"/>
  <c r="BI1913" i="7"/>
  <c r="BI350" i="7"/>
  <c r="BI560" i="7"/>
  <c r="BI242" i="7"/>
  <c r="BI546" i="7"/>
  <c r="BI624" i="7"/>
  <c r="BI700" i="7"/>
  <c r="BI438" i="7"/>
  <c r="BI317" i="7"/>
  <c r="BI390" i="7"/>
  <c r="BI296" i="7"/>
  <c r="BI523" i="7"/>
  <c r="BI134" i="7"/>
  <c r="BI2156" i="7"/>
  <c r="BI133" i="7"/>
  <c r="BI1038" i="7"/>
  <c r="BI450" i="7"/>
  <c r="BI614" i="7"/>
  <c r="BI1316" i="7"/>
  <c r="BI618" i="7"/>
  <c r="BI627" i="7"/>
  <c r="BI629" i="7"/>
  <c r="BI490" i="7"/>
  <c r="BI402" i="7"/>
  <c r="BI737" i="7"/>
  <c r="BI410" i="7"/>
  <c r="BI772" i="7"/>
  <c r="BI2150" i="7"/>
  <c r="BI1064" i="7"/>
  <c r="BI1978" i="7"/>
  <c r="BI1504" i="7"/>
  <c r="BI1742" i="7"/>
  <c r="BI749" i="7"/>
  <c r="BI2239" i="7"/>
  <c r="BI1747" i="7"/>
  <c r="BI2245" i="7"/>
  <c r="BI1991" i="7"/>
  <c r="BI2025" i="7"/>
  <c r="BI2219" i="7"/>
  <c r="BI2177" i="7"/>
  <c r="BI1689" i="7"/>
  <c r="BI1564" i="7"/>
  <c r="BI2083" i="7"/>
  <c r="BI1954" i="7"/>
  <c r="BI1443" i="7"/>
  <c r="BI1280" i="7"/>
  <c r="BI1507" i="7"/>
  <c r="BI1304" i="7"/>
  <c r="BI408" i="7"/>
  <c r="BI1965" i="7"/>
  <c r="BI1525" i="7"/>
  <c r="BI2002" i="7"/>
  <c r="BI1860" i="7"/>
  <c r="BI1719" i="7"/>
  <c r="BI1028" i="7"/>
  <c r="BI1438" i="7"/>
  <c r="BI1715" i="7"/>
  <c r="BI1506" i="7"/>
  <c r="BI1812" i="7"/>
  <c r="BI1216" i="7"/>
  <c r="BI1754" i="7"/>
  <c r="BI1475" i="7"/>
  <c r="BI1782" i="7"/>
  <c r="BI1262" i="7"/>
  <c r="BI723" i="7"/>
  <c r="BI725" i="7"/>
  <c r="BI1924" i="7"/>
  <c r="BI2234" i="7"/>
  <c r="BI2143" i="7"/>
  <c r="BI354" i="7"/>
  <c r="BI146" i="7"/>
  <c r="BI544" i="7"/>
  <c r="BI762" i="7"/>
  <c r="BI526" i="7"/>
  <c r="BI605" i="7"/>
  <c r="BI116" i="7"/>
  <c r="BI1137" i="7"/>
  <c r="BI611" i="7"/>
  <c r="BI603" i="7"/>
  <c r="BI457" i="7"/>
  <c r="BI294" i="7"/>
  <c r="BI792" i="7"/>
  <c r="BI409" i="7"/>
  <c r="BI1223" i="7"/>
  <c r="BI2104" i="7"/>
  <c r="BI1966" i="7"/>
  <c r="BI2033" i="7"/>
  <c r="BI1958" i="7"/>
  <c r="BI1798" i="7"/>
  <c r="BI951" i="7"/>
  <c r="BI1076" i="7"/>
  <c r="BI1967" i="7"/>
  <c r="BI1698" i="7"/>
  <c r="BI1980" i="7"/>
  <c r="BI2088" i="7"/>
  <c r="BI1693" i="7"/>
  <c r="BI1881" i="7"/>
  <c r="BI1518" i="7"/>
  <c r="BI2194" i="7"/>
  <c r="BI2021" i="7"/>
  <c r="BI1480" i="7"/>
  <c r="BI1205" i="7"/>
  <c r="BI1260" i="7"/>
  <c r="BI1985" i="7"/>
  <c r="BI2274" i="7"/>
  <c r="BI114" i="7"/>
  <c r="BI930" i="7"/>
  <c r="BI1166" i="7"/>
  <c r="BI1759" i="7"/>
  <c r="BI55" i="7"/>
  <c r="BI315" i="7"/>
  <c r="BI264" i="7"/>
  <c r="BI352" i="7"/>
  <c r="BI430" i="7"/>
  <c r="BI714" i="7"/>
  <c r="BI106" i="7"/>
  <c r="BI520" i="7"/>
  <c r="BI153" i="7"/>
  <c r="BI2283" i="7"/>
  <c r="BI1950" i="7"/>
  <c r="BI2138" i="7"/>
  <c r="BI1486" i="7"/>
  <c r="BI1959" i="7"/>
  <c r="BI1989" i="7"/>
  <c r="BI589" i="7"/>
  <c r="BI1769" i="7"/>
  <c r="BI1300" i="7"/>
  <c r="BI1910" i="7"/>
  <c r="BI1996" i="7"/>
  <c r="BI2066" i="7"/>
  <c r="BI2048" i="7"/>
  <c r="BI1786" i="7"/>
  <c r="BI2081" i="7"/>
  <c r="BI1025" i="7"/>
  <c r="BI1566" i="7"/>
  <c r="BI1716" i="7"/>
  <c r="BI2019" i="7"/>
  <c r="BI1225" i="7"/>
  <c r="BI1553" i="7"/>
  <c r="BI2162" i="7"/>
  <c r="BI1872" i="7"/>
  <c r="BI1690" i="7"/>
  <c r="BI1704" i="7"/>
  <c r="BI1912" i="7"/>
  <c r="BI1339" i="7"/>
  <c r="BI1066" i="7"/>
  <c r="BI2153" i="7"/>
  <c r="BI1847" i="7"/>
  <c r="BI1479" i="7"/>
  <c r="BI2221" i="7"/>
  <c r="BI1435" i="7"/>
  <c r="BI1255" i="7"/>
  <c r="BI1104" i="7"/>
  <c r="BI1949" i="7"/>
  <c r="BI428" i="7"/>
  <c r="BI1029" i="7"/>
  <c r="BI767" i="7"/>
  <c r="BI937" i="7"/>
  <c r="BI545" i="7"/>
  <c r="BI42" i="7"/>
  <c r="BI460" i="7"/>
  <c r="BI642" i="7"/>
  <c r="BI1022" i="7"/>
  <c r="BI691" i="7"/>
  <c r="BI570" i="7"/>
  <c r="BI325" i="7"/>
  <c r="BI1936" i="7"/>
  <c r="BI1498" i="7"/>
  <c r="BI1722" i="7"/>
  <c r="BI1171" i="7"/>
  <c r="BI1725" i="7"/>
  <c r="BI1415" i="7"/>
  <c r="BI1520" i="7"/>
  <c r="BI1272" i="7"/>
  <c r="BI1594" i="7"/>
  <c r="BI1990" i="7"/>
  <c r="BI1245" i="7"/>
  <c r="BI1081" i="7"/>
  <c r="BI1286" i="7"/>
  <c r="BI99" i="7"/>
  <c r="BI2008" i="7"/>
  <c r="BI796" i="7"/>
  <c r="BI1592" i="7"/>
  <c r="BI2231" i="7"/>
  <c r="BI1780" i="7"/>
  <c r="BI1886" i="7"/>
  <c r="BI1253" i="7"/>
  <c r="BI788" i="7"/>
  <c r="BI1706" i="7"/>
  <c r="BI1753" i="7"/>
  <c r="BI1447" i="7"/>
  <c r="BI2244" i="7"/>
  <c r="BI1987" i="7"/>
  <c r="BI49" i="7"/>
  <c r="BI1543" i="7"/>
  <c r="BI512" i="7"/>
  <c r="BI967" i="7"/>
  <c r="BI1752" i="7"/>
  <c r="BI522" i="7"/>
  <c r="BI872" i="7"/>
  <c r="BI768" i="7"/>
  <c r="BI517" i="7"/>
  <c r="BI727" i="7"/>
  <c r="BI339" i="7"/>
  <c r="BI346" i="7"/>
  <c r="BI594" i="7"/>
  <c r="BI321" i="7"/>
  <c r="BI326" i="7"/>
  <c r="BI617" i="7"/>
  <c r="BI476" i="7"/>
  <c r="BI329" i="7"/>
  <c r="BI501" i="7"/>
  <c r="BI1000" i="7"/>
  <c r="BI635" i="7"/>
  <c r="BI1200" i="7"/>
  <c r="BI1732" i="7"/>
  <c r="BI1059" i="7"/>
  <c r="BI1213" i="7"/>
  <c r="BI1209" i="7"/>
  <c r="BI1085" i="7"/>
  <c r="BI1519" i="7"/>
  <c r="BI1550" i="7"/>
  <c r="BI1761" i="7"/>
  <c r="BI1065" i="7"/>
  <c r="BI1565" i="7"/>
  <c r="BI1602" i="7"/>
  <c r="BI1279" i="7"/>
  <c r="BI1945" i="7"/>
  <c r="BI1023" i="7"/>
  <c r="BI1395" i="7"/>
  <c r="BI2141" i="7"/>
  <c r="BI1271" i="7"/>
  <c r="BI1195" i="7"/>
  <c r="BI1711" i="7"/>
  <c r="BI1947" i="7"/>
  <c r="BI1576" i="7"/>
  <c r="BI2152" i="7"/>
  <c r="BI1970" i="7"/>
  <c r="BI1470" i="7"/>
  <c r="BI1383" i="7"/>
  <c r="BI1229" i="7"/>
  <c r="BI2029" i="7"/>
  <c r="BI2129" i="7"/>
  <c r="BI2160" i="7"/>
  <c r="BI1776" i="7"/>
  <c r="BI909" i="7"/>
  <c r="BI1515" i="7"/>
  <c r="BI521" i="7"/>
  <c r="BI378" i="7"/>
  <c r="BI784" i="7"/>
  <c r="BI946" i="7"/>
  <c r="BI978" i="7"/>
  <c r="BI1303" i="7"/>
  <c r="BI443" i="7"/>
  <c r="BI518" i="7"/>
  <c r="BI973" i="7"/>
  <c r="BI372" i="7"/>
  <c r="BI1136" i="7"/>
  <c r="BI553" i="7"/>
  <c r="BI831" i="7"/>
  <c r="BI689" i="7"/>
  <c r="BI934" i="7"/>
  <c r="BI927" i="7"/>
  <c r="BI453" i="7"/>
  <c r="BI1320" i="7"/>
  <c r="BI1935" i="7"/>
  <c r="BI1939" i="7"/>
  <c r="BI965" i="7"/>
  <c r="BI1061" i="7"/>
  <c r="BI1204" i="7"/>
  <c r="BI1718" i="7"/>
  <c r="BI1540" i="7"/>
  <c r="BI1063" i="7"/>
  <c r="BI1087" i="7"/>
  <c r="BI1683" i="7"/>
  <c r="BI791" i="7"/>
  <c r="BI1071" i="7"/>
  <c r="BI1322" i="7"/>
  <c r="BI1314" i="7"/>
  <c r="BI1178" i="7"/>
  <c r="BI712" i="7"/>
  <c r="BI964" i="7"/>
  <c r="BI1211" i="7"/>
  <c r="BI1513" i="7"/>
  <c r="BI1871" i="7"/>
  <c r="BI2155" i="7"/>
  <c r="BI1461" i="7"/>
  <c r="BI1956" i="7"/>
  <c r="BI2147" i="7"/>
  <c r="BI1183" i="7"/>
  <c r="BI1203" i="7"/>
  <c r="BI1663" i="7"/>
  <c r="BI1785" i="7"/>
  <c r="BI1180" i="7"/>
  <c r="BI2276" i="7"/>
  <c r="BI1512" i="7"/>
  <c r="BI558" i="7"/>
  <c r="BI1072" i="7"/>
  <c r="BI1756" i="7"/>
  <c r="BI353" i="7"/>
  <c r="BI655" i="7"/>
  <c r="BI280" i="7"/>
  <c r="BI673" i="7"/>
  <c r="BI583" i="7"/>
  <c r="BI761" i="7"/>
  <c r="BI613" i="7"/>
  <c r="BI644" i="7"/>
  <c r="BI860" i="7"/>
  <c r="BI928" i="7"/>
  <c r="BI302" i="7"/>
  <c r="BI288" i="7"/>
  <c r="BI1496" i="7"/>
  <c r="BI1535" i="7"/>
  <c r="BI1473" i="7"/>
  <c r="BI2217" i="7"/>
  <c r="BI319" i="7"/>
  <c r="BI1282" i="7"/>
  <c r="BI1175" i="7"/>
  <c r="BI1408" i="7"/>
  <c r="BI2175" i="7"/>
  <c r="BI67" i="7"/>
  <c r="BI2204" i="7"/>
  <c r="BI771" i="7"/>
  <c r="BI652" i="7"/>
  <c r="BI1172" i="7"/>
  <c r="BI620" i="7"/>
  <c r="BI758" i="7"/>
  <c r="BI274" i="7"/>
  <c r="BI829" i="7"/>
  <c r="BI575" i="7"/>
  <c r="BI386" i="7"/>
  <c r="BI405" i="7"/>
  <c r="BI243" i="7"/>
  <c r="BI292" i="7"/>
  <c r="BI2130" i="7"/>
  <c r="BI1653" i="7"/>
  <c r="BI1274" i="7"/>
  <c r="BI1571" i="7"/>
  <c r="BI1292" i="7"/>
  <c r="BI949" i="7"/>
  <c r="BI1055" i="7"/>
  <c r="BI1103" i="7"/>
  <c r="BI1301" i="7"/>
  <c r="BI2163" i="7"/>
  <c r="BI1467" i="7"/>
  <c r="BI1523" i="7"/>
  <c r="BI2042" i="7"/>
  <c r="BI1124" i="7"/>
  <c r="BI1469" i="7"/>
  <c r="BI2254" i="7"/>
  <c r="BI2243" i="7"/>
  <c r="BI776" i="7"/>
  <c r="BI420" i="7"/>
  <c r="BI579" i="7"/>
  <c r="BI564" i="7"/>
  <c r="BI375" i="7"/>
  <c r="BI1197" i="7"/>
  <c r="BI1494" i="7"/>
  <c r="BI754" i="7"/>
  <c r="BI1199" i="7"/>
  <c r="BI797" i="7"/>
  <c r="BI2005" i="7"/>
  <c r="BI1477" i="7"/>
  <c r="BI1430" i="7"/>
  <c r="BI1162" i="7"/>
  <c r="BI1771" i="7"/>
  <c r="BI1117" i="7"/>
  <c r="BI1962" i="7"/>
  <c r="BI1593" i="7"/>
  <c r="BI1419" i="7"/>
  <c r="BI2168" i="7"/>
  <c r="BI1534" i="7"/>
  <c r="BI2117" i="7"/>
  <c r="BI1517" i="7"/>
  <c r="BI1217" i="7"/>
  <c r="BI1741" i="7"/>
  <c r="BI980" i="7"/>
  <c r="BI1657" i="7"/>
  <c r="BI1911" i="7"/>
  <c r="BI2203" i="7"/>
  <c r="BI1102" i="7"/>
  <c r="BI130" i="7"/>
  <c r="BI98" i="7"/>
  <c r="BI806" i="7"/>
  <c r="BI555" i="7"/>
  <c r="BI316" i="7"/>
  <c r="BI368" i="7"/>
  <c r="BI515" i="7"/>
  <c r="BI1034" i="7"/>
  <c r="BI327" i="7"/>
  <c r="BI392" i="7"/>
  <c r="BI720" i="7"/>
  <c r="BI406" i="7"/>
  <c r="BI454" i="7"/>
  <c r="BI1745" i="7"/>
  <c r="BI1493" i="7"/>
  <c r="BI357" i="7"/>
  <c r="BI1584" i="7"/>
  <c r="BI508" i="7"/>
  <c r="BI782" i="7"/>
  <c r="BI976" i="7"/>
  <c r="BI834" i="7"/>
  <c r="BI478" i="7"/>
  <c r="BI1187" i="7"/>
  <c r="BI1510" i="7"/>
  <c r="BI777" i="7"/>
  <c r="BI1427" i="7"/>
  <c r="BI1276" i="7"/>
  <c r="BI1244" i="7"/>
  <c r="BI1278" i="7"/>
  <c r="BI974" i="7"/>
  <c r="BI1194" i="7"/>
  <c r="BI2039" i="7"/>
  <c r="BI813" i="7"/>
  <c r="BI633" i="7"/>
  <c r="BI1580" i="7"/>
  <c r="BI2282" i="7"/>
  <c r="BI22" i="7"/>
  <c r="BI71" i="7"/>
  <c r="BI45" i="7"/>
  <c r="BI2228" i="7"/>
  <c r="BI1810" i="7"/>
  <c r="BI773" i="7"/>
  <c r="BI1733" i="7"/>
  <c r="BI1751" i="7"/>
  <c r="BI1702" i="7"/>
  <c r="BI2131" i="7"/>
  <c r="BI698" i="7"/>
  <c r="BI1018" i="7"/>
  <c r="BI364" i="7"/>
  <c r="BI1201" i="7"/>
  <c r="BI1544" i="7"/>
  <c r="BI1226" i="7"/>
  <c r="BI971" i="7"/>
  <c r="BI1106" i="7"/>
  <c r="BI1919" i="7"/>
  <c r="BI1266" i="7"/>
  <c r="BI1820" i="7"/>
  <c r="BI1773" i="7"/>
  <c r="BI1428" i="7"/>
  <c r="BI1829" i="7"/>
  <c r="BI1420" i="7"/>
  <c r="BI1586" i="7"/>
  <c r="BI1465" i="7"/>
  <c r="BI1708" i="7"/>
  <c r="BI2270" i="7"/>
  <c r="BI200" i="7"/>
  <c r="BI229" i="7"/>
  <c r="BI1866" i="7"/>
  <c r="BI2011" i="7"/>
  <c r="BI1110" i="7"/>
  <c r="BI2013" i="7"/>
  <c r="BI2277" i="7"/>
  <c r="BI69" i="7"/>
  <c r="BI2164" i="7"/>
  <c r="BI793" i="7"/>
  <c r="BI870" i="7"/>
  <c r="BI763" i="7"/>
  <c r="BI328" i="7"/>
  <c r="BI1941" i="7"/>
  <c r="BI1686" i="7"/>
  <c r="BI779" i="7"/>
  <c r="BI1012" i="7"/>
  <c r="BI844" i="7"/>
  <c r="BI1707" i="7"/>
  <c r="BI1692" i="7"/>
  <c r="BI1972" i="7"/>
  <c r="BI1221" i="7"/>
  <c r="BI1422" i="7"/>
  <c r="BI1009" i="7"/>
  <c r="BI1589" i="7"/>
  <c r="BI2273" i="7"/>
  <c r="BI201" i="7"/>
  <c r="BI78" i="7"/>
  <c r="BI260" i="7"/>
  <c r="BI57" i="7"/>
  <c r="BI2086" i="7"/>
  <c r="BI60" i="7"/>
  <c r="BI873" i="7"/>
  <c r="BI1777" i="7"/>
  <c r="BI2018" i="7"/>
  <c r="BI1548" i="7"/>
  <c r="BI1790" i="7"/>
  <c r="BI1765" i="7"/>
  <c r="BI1802" i="7"/>
  <c r="BI2262" i="7"/>
  <c r="BI574" i="7"/>
  <c r="BI323" i="7"/>
  <c r="BI817" i="7"/>
  <c r="BI666" i="7"/>
  <c r="BI256" i="7"/>
  <c r="BI1870" i="7"/>
  <c r="BI1215" i="7"/>
  <c r="BI770" i="7"/>
  <c r="BI1425" i="7"/>
  <c r="BI615" i="7"/>
  <c r="BI1107" i="7"/>
  <c r="BI1896" i="7"/>
  <c r="BI1335" i="7"/>
  <c r="BI1900" i="7"/>
  <c r="BI1073" i="7"/>
  <c r="BI2010" i="7"/>
  <c r="BI1126" i="7"/>
  <c r="BI1588" i="7"/>
  <c r="BI1184" i="7"/>
  <c r="BI1179" i="7"/>
  <c r="BI1252" i="7"/>
  <c r="BI2181" i="7"/>
  <c r="BI1258" i="7"/>
  <c r="BI1764" i="7"/>
  <c r="BI2264" i="7"/>
  <c r="BI24" i="7"/>
  <c r="BI74" i="7"/>
  <c r="BI1236" i="7"/>
  <c r="BI1888" i="7"/>
  <c r="BI1814" i="7"/>
  <c r="BI2170" i="7"/>
  <c r="BI729" i="7"/>
  <c r="BI1460" i="7"/>
  <c r="BI751" i="7"/>
  <c r="BI263" i="7"/>
  <c r="BI1328" i="7"/>
  <c r="BI1944" i="7"/>
  <c r="BI1455" i="7"/>
  <c r="BI576" i="7"/>
  <c r="BI1033" i="7"/>
  <c r="BI1302" i="7"/>
  <c r="BI1275" i="7"/>
  <c r="BI878" i="7"/>
  <c r="BI778" i="7"/>
  <c r="BI1259" i="7"/>
  <c r="BI1404" i="7"/>
  <c r="BI684" i="7"/>
  <c r="BI947" i="7"/>
  <c r="BI1075" i="7"/>
  <c r="BI1207" i="7"/>
  <c r="BI966" i="7"/>
  <c r="BI1129" i="7"/>
  <c r="BI1800" i="7"/>
  <c r="BI2265" i="7"/>
  <c r="BI75" i="7"/>
  <c r="BI2099" i="7"/>
  <c r="BI131" i="7"/>
  <c r="BI2216" i="7"/>
  <c r="BI2020" i="7"/>
  <c r="BI1492" i="7"/>
  <c r="BI1108" i="7"/>
  <c r="BI2258" i="7"/>
  <c r="BI1865" i="7"/>
  <c r="BI370" i="7"/>
  <c r="BI434" i="7"/>
  <c r="BI369" i="7"/>
  <c r="BI212" i="7"/>
  <c r="BI641" i="7"/>
  <c r="BI298" i="7"/>
  <c r="BI1043" i="7"/>
  <c r="BI309" i="7"/>
  <c r="BI1062" i="7"/>
  <c r="BI962" i="7"/>
  <c r="BI1456" i="7"/>
  <c r="BI1960" i="7"/>
  <c r="BI1093" i="7"/>
  <c r="BI1299" i="7"/>
  <c r="BI968" i="7"/>
  <c r="BI1403" i="7"/>
  <c r="BI2107" i="7"/>
  <c r="BI1793" i="7"/>
  <c r="BI1530" i="7"/>
  <c r="BI1089" i="7"/>
  <c r="BI1251" i="7"/>
  <c r="BI1680" i="7"/>
  <c r="BI20" i="7"/>
  <c r="BI76" i="7"/>
  <c r="BI271" i="7"/>
  <c r="BI86" i="7"/>
  <c r="BI1638" i="7"/>
  <c r="BI972" i="7"/>
  <c r="BI1744" i="7"/>
  <c r="BI1979" i="7"/>
  <c r="BI1832" i="7"/>
  <c r="BI578" i="7"/>
  <c r="BI466" i="7"/>
  <c r="BI365" i="7"/>
  <c r="BI506" i="7"/>
  <c r="BI1491" i="7"/>
  <c r="BI1026" i="7"/>
  <c r="BI1238" i="7"/>
  <c r="BI1436" i="7"/>
  <c r="BI1086" i="7"/>
  <c r="BI1239" i="7"/>
  <c r="BI1277" i="7"/>
  <c r="BI668" i="7"/>
  <c r="BI210" i="7"/>
  <c r="BI1907" i="7"/>
  <c r="BI1957" i="7"/>
  <c r="BI2178" i="7"/>
  <c r="BI775" i="7"/>
  <c r="BI525" i="7"/>
  <c r="BI685" i="7"/>
  <c r="BI510" i="7"/>
  <c r="BI961" i="7"/>
  <c r="BI1712" i="7"/>
  <c r="BI1118" i="7"/>
  <c r="BI511" i="7"/>
  <c r="BI722" i="7"/>
  <c r="BI2250" i="7"/>
  <c r="BI25" i="7"/>
  <c r="BI83" i="7"/>
  <c r="BI2128" i="7"/>
  <c r="BI845" i="7"/>
  <c r="BI2009" i="7"/>
  <c r="BI2014" i="7"/>
  <c r="BI1474" i="7"/>
  <c r="BI433" i="7"/>
  <c r="BI1397" i="7"/>
  <c r="BI293" i="7"/>
  <c r="BI1618" i="7"/>
  <c r="BI1458" i="7"/>
  <c r="BI1537" i="7"/>
  <c r="BI1834" i="7"/>
  <c r="BI84" i="7"/>
  <c r="BI1330" i="7"/>
  <c r="BI1650" i="7"/>
  <c r="BI422" i="7"/>
  <c r="BI587" i="7"/>
  <c r="BI580" i="7"/>
  <c r="BI1424" i="7"/>
  <c r="BI2043" i="7"/>
  <c r="BI950" i="7"/>
  <c r="BI1599" i="7"/>
  <c r="BI73" i="7"/>
  <c r="BI44" i="7"/>
  <c r="BI1307" i="7"/>
  <c r="BI1600" i="7"/>
  <c r="BI1501" i="7"/>
  <c r="BI1948" i="7"/>
  <c r="BI803" i="7"/>
  <c r="BI1317" i="7"/>
  <c r="BI1206" i="7"/>
  <c r="BI1010" i="7"/>
  <c r="BI1139" i="7"/>
  <c r="BI1363" i="7"/>
  <c r="BI1846" i="7"/>
  <c r="BI72" i="7"/>
  <c r="BI56" i="7"/>
  <c r="BI347" i="7"/>
  <c r="BI1884" i="7"/>
  <c r="BI1013" i="7"/>
  <c r="BI1170" i="7"/>
  <c r="BI348" i="7"/>
  <c r="BI789" i="7"/>
  <c r="BI769" i="7"/>
  <c r="BI702" i="7"/>
  <c r="BI198" i="7"/>
  <c r="BI1874" i="7"/>
  <c r="BI959" i="7"/>
  <c r="BI1532" i="7"/>
  <c r="BI1608" i="7"/>
  <c r="BI1898" i="7"/>
  <c r="BI1399" i="7"/>
  <c r="BI209" i="7"/>
  <c r="BI314" i="7"/>
  <c r="BI1267" i="7"/>
  <c r="BI351" i="7"/>
  <c r="BI451" i="7"/>
  <c r="BI827" i="7"/>
  <c r="BI1757" i="7"/>
  <c r="BI1105" i="7"/>
  <c r="BI1526" i="7"/>
  <c r="BI1006" i="7"/>
  <c r="BI1668" i="7"/>
  <c r="BI85" i="7"/>
  <c r="BI753" i="7"/>
  <c r="BI1952" i="7"/>
  <c r="BI232" i="7"/>
  <c r="BI359" i="7"/>
  <c r="BI1687" i="7"/>
  <c r="BI1575" i="7"/>
  <c r="BI1573" i="7"/>
  <c r="BI1160" i="7"/>
  <c r="BI58" i="7"/>
  <c r="BI1684" i="7"/>
  <c r="BI2230" i="7"/>
  <c r="BI1613" i="7"/>
  <c r="BI819" i="7"/>
  <c r="BI757" i="7"/>
  <c r="BI1579" i="7"/>
  <c r="BI805" i="7"/>
  <c r="BI999" i="7"/>
  <c r="BI2134" i="7"/>
  <c r="BI1097" i="7"/>
  <c r="BI282" i="7"/>
  <c r="BI2136" i="7"/>
  <c r="BI1567" i="7"/>
  <c r="BI728" i="7"/>
  <c r="BI1514" i="7"/>
  <c r="BI1168" i="7"/>
  <c r="BI21" i="7"/>
  <c r="BI1558" i="7"/>
  <c r="BI485" i="7"/>
  <c r="BI1008" i="7"/>
  <c r="BI1161" i="7"/>
  <c r="BI1323" i="7"/>
  <c r="BI1078" i="7"/>
  <c r="BI1031" i="7"/>
  <c r="BI23" i="7"/>
  <c r="BI2260" i="7"/>
  <c r="BI1766" i="7"/>
  <c r="BI1942" i="7"/>
  <c r="BI1873" i="7"/>
  <c r="BI514" i="7"/>
  <c r="BI1268" i="7"/>
  <c r="BI1202" i="7"/>
  <c r="BI313" i="7"/>
  <c r="BI1040" i="7"/>
  <c r="BI781" i="7"/>
  <c r="BI604" i="7"/>
  <c r="BI944" i="7"/>
  <c r="BI310" i="7"/>
  <c r="BI113" i="7"/>
  <c r="BI2158" i="7"/>
  <c r="BI598" i="7"/>
  <c r="BI713" i="7"/>
  <c r="BI1556" i="7"/>
  <c r="BI1569" i="7"/>
  <c r="BI2233" i="7"/>
  <c r="BI1042" i="7"/>
  <c r="BI2215" i="7"/>
  <c r="BI388" i="7"/>
  <c r="BI223" i="7"/>
  <c r="BI1459" i="7"/>
  <c r="BI760" i="7"/>
  <c r="BI270" i="7"/>
  <c r="BI2054" i="7"/>
  <c r="BI938" i="7"/>
  <c r="BI1587" i="7"/>
  <c r="BI1555" i="7"/>
  <c r="BI2114" i="7"/>
  <c r="BI835" i="7"/>
  <c r="BI868" i="7"/>
  <c r="BI1541" i="7"/>
  <c r="BI2247" i="7"/>
  <c r="BI1310" i="7"/>
  <c r="BI1709" i="7"/>
  <c r="BI1181" i="7"/>
  <c r="BI1004" i="7"/>
  <c r="BI656" i="7"/>
  <c r="BI1938" i="7"/>
  <c r="BI2036" i="7"/>
  <c r="BI387" i="7"/>
  <c r="BI147" i="7"/>
  <c r="BI1155" i="7"/>
  <c r="BI581" i="7"/>
  <c r="BI77" i="7"/>
  <c r="BI1002" i="7"/>
  <c r="BI752" i="7"/>
  <c r="BI283" i="7"/>
  <c r="BI1325" i="7"/>
  <c r="BI1384" i="7"/>
  <c r="BI259" i="7"/>
  <c r="CN139" i="1"/>
  <c r="CN303" i="1"/>
  <c r="CN157" i="1"/>
  <c r="CN121" i="1"/>
  <c r="CN277" i="1"/>
  <c r="CN249" i="1"/>
  <c r="CN305" i="1"/>
  <c r="CN15" i="1"/>
  <c r="CN299" i="1"/>
  <c r="CN33" i="1"/>
  <c r="CN134" i="1"/>
  <c r="CN287" i="1"/>
  <c r="CN232" i="1"/>
  <c r="CN280" i="1"/>
  <c r="CN91" i="1"/>
  <c r="CN246" i="1"/>
  <c r="CN19" i="1"/>
  <c r="CN297" i="1"/>
  <c r="CN266" i="1"/>
  <c r="CN132" i="1"/>
  <c r="CN48" i="1"/>
  <c r="CN116" i="1"/>
  <c r="CN220" i="1"/>
  <c r="CN172" i="1"/>
  <c r="CN104" i="1"/>
  <c r="CN285" i="1"/>
  <c r="CN99" i="1"/>
  <c r="CN101" i="1"/>
  <c r="CN178" i="1"/>
  <c r="CN77" i="1"/>
  <c r="CN302" i="1"/>
  <c r="CN160" i="1"/>
  <c r="CN5" i="1"/>
  <c r="CN244" i="1"/>
  <c r="CN73" i="1"/>
  <c r="CN142" i="1"/>
  <c r="CN81" i="1"/>
  <c r="CN300" i="1"/>
  <c r="CN190" i="1"/>
  <c r="CN10" i="1"/>
  <c r="CN98" i="1"/>
  <c r="CN16" i="1"/>
  <c r="CN185" i="1"/>
  <c r="CN83" i="1"/>
  <c r="CN162" i="1"/>
  <c r="CN86" i="1"/>
  <c r="CN68" i="1"/>
  <c r="CN128" i="1"/>
  <c r="CN13" i="1"/>
  <c r="CN9" i="1"/>
  <c r="CN147" i="1"/>
  <c r="CN298" i="1"/>
  <c r="CN291" i="1"/>
  <c r="CN236" i="1"/>
  <c r="CN263" i="1"/>
  <c r="CN148" i="1"/>
  <c r="CN209" i="1"/>
  <c r="CN22" i="1"/>
  <c r="CN286" i="1"/>
  <c r="CN72" i="1"/>
  <c r="CN135" i="1"/>
  <c r="CN183" i="1"/>
  <c r="CN30" i="1"/>
  <c r="CN212" i="1"/>
  <c r="CN307" i="1"/>
  <c r="CN143" i="1"/>
  <c r="CN145" i="1"/>
  <c r="CN191" i="1"/>
  <c r="CN146" i="1"/>
  <c r="CN12" i="1"/>
  <c r="CN268" i="1"/>
  <c r="CN215" i="1"/>
  <c r="CN252" i="1"/>
  <c r="CN228" i="1"/>
  <c r="CN213" i="1"/>
  <c r="CN208" i="1"/>
  <c r="CN240" i="1"/>
  <c r="CN282" i="1"/>
  <c r="CN267" i="1"/>
  <c r="CN24" i="1"/>
  <c r="CN115" i="1"/>
  <c r="CN281" i="1"/>
  <c r="CN270" i="1"/>
  <c r="CN137" i="1"/>
  <c r="CN97" i="1"/>
  <c r="CN203" i="1"/>
  <c r="CN44" i="1"/>
  <c r="CN258" i="1"/>
  <c r="CN292" i="1"/>
  <c r="CN6" i="1"/>
  <c r="CN181" i="1"/>
  <c r="CN18" i="1"/>
  <c r="CN25" i="1"/>
  <c r="CN255" i="1"/>
  <c r="CN226" i="1"/>
  <c r="CN242" i="1"/>
  <c r="CN149" i="1"/>
  <c r="CN290" i="1"/>
  <c r="CN49" i="1"/>
  <c r="CN85" i="1"/>
  <c r="CN52" i="1"/>
  <c r="CN272" i="1"/>
  <c r="CN168" i="1"/>
  <c r="CN187" i="1"/>
  <c r="CN123" i="1"/>
  <c r="CN50" i="1"/>
  <c r="CN279" i="1"/>
  <c r="CN194" i="1"/>
  <c r="CN274" i="1"/>
  <c r="CN32" i="1"/>
  <c r="CN308" i="1"/>
  <c r="CN245" i="1"/>
  <c r="CN294" i="1"/>
  <c r="CN89" i="1"/>
  <c r="CN253" i="1"/>
  <c r="CN70" i="1"/>
  <c r="CN256" i="1"/>
  <c r="CN66" i="1"/>
  <c r="CN197" i="1"/>
  <c r="CN201" i="1"/>
  <c r="CN62" i="1"/>
  <c r="CN87" i="1"/>
  <c r="CN230" i="1"/>
  <c r="CN108" i="1"/>
  <c r="CN275" i="1"/>
  <c r="CN188" i="1"/>
  <c r="CN276" i="1"/>
  <c r="CN4" i="1"/>
  <c r="CN262" i="1"/>
  <c r="CN200" i="1"/>
  <c r="CN79" i="1"/>
  <c r="CN39" i="1"/>
  <c r="CN11" i="1"/>
  <c r="CN40" i="1"/>
  <c r="BH97" i="8"/>
  <c r="BH93" i="8"/>
  <c r="BH98" i="8"/>
  <c r="BH94" i="8"/>
  <c r="BH92" i="8"/>
  <c r="BH95" i="8"/>
  <c r="BH91" i="8"/>
  <c r="BH12" i="8"/>
  <c r="BH96" i="8"/>
  <c r="BH219" i="7"/>
  <c r="BH646" i="7"/>
  <c r="BH1809" i="7"/>
  <c r="BH881" i="7"/>
  <c r="BH1421" i="7"/>
  <c r="BH912" i="7"/>
  <c r="BH1448" i="7"/>
  <c r="BH879" i="7"/>
  <c r="BH2177" i="7"/>
  <c r="BH1808" i="7"/>
  <c r="BH237" i="7"/>
  <c r="BH220" i="7"/>
  <c r="BH2049" i="7"/>
  <c r="BH1376" i="7"/>
  <c r="BH1290" i="7"/>
  <c r="BH1514" i="7"/>
  <c r="BH1297" i="7"/>
  <c r="BH2107" i="7"/>
  <c r="BH1595" i="7"/>
  <c r="BH1977" i="7"/>
  <c r="BH1236" i="7"/>
  <c r="BH1620" i="7"/>
  <c r="BH1179" i="7"/>
  <c r="BH252" i="7"/>
  <c r="BH882" i="7"/>
  <c r="BH1176" i="7"/>
  <c r="BH1045" i="7"/>
  <c r="BH217" i="7"/>
  <c r="BH1784" i="7"/>
  <c r="BH1938" i="7"/>
  <c r="BH2008" i="7"/>
  <c r="BH986" i="7"/>
  <c r="BH871" i="7"/>
  <c r="BH888" i="7"/>
  <c r="BH796" i="7"/>
  <c r="BH1042" i="7"/>
  <c r="BH1040" i="7"/>
  <c r="BH1428" i="7"/>
  <c r="BH919" i="7"/>
  <c r="BH684" i="7"/>
  <c r="BH1770" i="7"/>
  <c r="BH1587" i="7"/>
  <c r="BH1773" i="7"/>
  <c r="BH865" i="7"/>
  <c r="BH1778" i="7"/>
  <c r="BH1125" i="7"/>
  <c r="BH901" i="7"/>
  <c r="BH1364" i="7"/>
  <c r="BH523" i="7"/>
  <c r="BH1352" i="7"/>
  <c r="BH1194" i="7"/>
  <c r="BH1621" i="7"/>
  <c r="BH1612" i="7"/>
  <c r="BH1850" i="7"/>
  <c r="BH1252" i="7"/>
  <c r="BH1271" i="7"/>
  <c r="BH915" i="7"/>
  <c r="BH1706" i="7"/>
  <c r="BH906" i="7"/>
  <c r="BH218" i="7"/>
  <c r="BH1338" i="7"/>
  <c r="BH1051" i="7"/>
  <c r="BH1445" i="7"/>
  <c r="BH2052" i="7"/>
  <c r="BH2134" i="7"/>
  <c r="BH2022" i="7"/>
  <c r="BH1607" i="7"/>
  <c r="BH1715" i="7"/>
  <c r="BH2165" i="7"/>
  <c r="BH875" i="7"/>
  <c r="BH1321" i="7"/>
  <c r="BH948" i="7"/>
  <c r="BH2032" i="7"/>
  <c r="BH2247" i="7"/>
  <c r="BH1627" i="7"/>
  <c r="BH2013" i="7"/>
  <c r="BH1393" i="7"/>
  <c r="BH1643" i="7"/>
  <c r="BH1345" i="7"/>
  <c r="BH907" i="7"/>
  <c r="BH1349" i="7"/>
  <c r="BH891" i="7"/>
  <c r="BH707" i="7"/>
  <c r="BH215" i="7"/>
  <c r="BH2028" i="7"/>
  <c r="BH2051" i="7"/>
  <c r="BH2061" i="7"/>
  <c r="BH1308" i="7"/>
  <c r="BH240" i="7"/>
  <c r="BH1048" i="7"/>
  <c r="BH1021" i="7"/>
  <c r="BH2183" i="7"/>
  <c r="BH222" i="7"/>
  <c r="BH1572" i="7"/>
  <c r="BH1892" i="7"/>
  <c r="BH2023" i="7"/>
  <c r="BH2191" i="7"/>
  <c r="BH1836" i="7"/>
  <c r="BH1190" i="7"/>
  <c r="BH485" i="7"/>
  <c r="BH1394" i="7"/>
  <c r="BH1832" i="7"/>
  <c r="BH216" i="7"/>
  <c r="BH2147" i="7"/>
  <c r="BH1413" i="7"/>
  <c r="BH2121" i="7"/>
  <c r="BH2164" i="7"/>
  <c r="BH1972" i="7"/>
  <c r="BH1667" i="7"/>
  <c r="BH1925" i="7"/>
  <c r="BH2262" i="7"/>
  <c r="BH2169" i="7"/>
  <c r="BH1351" i="7"/>
  <c r="BH2238" i="7"/>
  <c r="BH1815" i="7"/>
  <c r="BH2085" i="7"/>
  <c r="BH680" i="7"/>
  <c r="BH2141" i="7"/>
  <c r="BH463" i="7"/>
  <c r="BH1609" i="7"/>
  <c r="BH996" i="7"/>
  <c r="BH2210" i="7"/>
  <c r="BH1825" i="7"/>
  <c r="BH690" i="7"/>
  <c r="BH947" i="7"/>
  <c r="BH2218" i="7"/>
  <c r="BH932" i="7"/>
  <c r="BH1625" i="7"/>
  <c r="BH921" i="7"/>
  <c r="BH2018" i="7"/>
  <c r="BH933" i="7"/>
  <c r="BH2176" i="7"/>
  <c r="BH1220" i="7"/>
  <c r="BH1263" i="7"/>
  <c r="BH1264" i="7"/>
  <c r="BH2077" i="7"/>
  <c r="BH1153" i="7"/>
  <c r="BH1829" i="7"/>
  <c r="BH1793" i="7"/>
  <c r="BH255" i="7"/>
  <c r="BH899" i="7"/>
  <c r="BH1313" i="7"/>
  <c r="BH894" i="7"/>
  <c r="BH1561" i="7"/>
  <c r="BH1592" i="7"/>
  <c r="BH929" i="7"/>
  <c r="BH542" i="7"/>
  <c r="BH1794" i="7"/>
  <c r="BH774" i="7"/>
  <c r="BH2069" i="7"/>
  <c r="BH1630" i="7"/>
  <c r="BH1526" i="7"/>
  <c r="BH821" i="7"/>
  <c r="BH709" i="7"/>
  <c r="BH2168" i="7"/>
  <c r="BH2160" i="7"/>
  <c r="BH748" i="7"/>
  <c r="BH669" i="7"/>
  <c r="BH2181" i="7"/>
  <c r="BH2187" i="7"/>
  <c r="BH221" i="7"/>
  <c r="BH1644" i="7"/>
  <c r="BH1902" i="7"/>
  <c r="BH792" i="7"/>
  <c r="BH1010" i="7"/>
  <c r="BH1239" i="7"/>
  <c r="BH1167" i="7"/>
  <c r="BH1851" i="7"/>
  <c r="BH1446" i="7"/>
  <c r="BH898" i="7"/>
  <c r="BH887" i="7"/>
  <c r="BH1348" i="7"/>
  <c r="BH804" i="7"/>
  <c r="BH251" i="7"/>
  <c r="BH1112" i="7"/>
  <c r="BK1345" i="7"/>
  <c r="BK1224" i="7"/>
  <c r="BK1445" i="7"/>
  <c r="BK1423" i="7"/>
  <c r="BK1446" i="7"/>
  <c r="BK1186" i="7"/>
  <c r="BK1498" i="7"/>
  <c r="BK1424" i="7"/>
  <c r="BK1210" i="7"/>
  <c r="BK1201" i="7"/>
  <c r="BK1351" i="7"/>
  <c r="BK1199" i="7"/>
  <c r="BK1209" i="7"/>
  <c r="BK1271" i="7"/>
  <c r="BK1619" i="7"/>
  <c r="BK1208" i="7"/>
  <c r="BK1361" i="7"/>
  <c r="BK1226" i="7"/>
  <c r="BK1512" i="7"/>
  <c r="BK1357" i="7"/>
  <c r="BK1306" i="7"/>
  <c r="BK1516" i="7"/>
  <c r="BK1559" i="7"/>
  <c r="BK1256" i="7"/>
  <c r="BK1327" i="7"/>
  <c r="BK1252" i="7"/>
  <c r="BK1560" i="7"/>
  <c r="BK1174" i="7"/>
  <c r="BK1486" i="7"/>
  <c r="BK1221" i="7"/>
  <c r="BK1525" i="7"/>
  <c r="BK1274" i="7"/>
  <c r="BK1425" i="7"/>
  <c r="BK1216" i="7"/>
  <c r="BK1313" i="7"/>
  <c r="BK1371" i="7"/>
  <c r="BK1597" i="7"/>
  <c r="BK1651" i="7"/>
  <c r="BK1549" i="7"/>
  <c r="BK1214" i="7"/>
  <c r="BK1376" i="7"/>
  <c r="BK1290" i="7"/>
  <c r="BK1514" i="7"/>
  <c r="BK1515" i="7"/>
  <c r="BK1297" i="7"/>
  <c r="BK1197" i="7"/>
  <c r="BK1595" i="7"/>
  <c r="BK1337" i="7"/>
  <c r="BK1364" i="7"/>
  <c r="BK1223" i="7"/>
  <c r="BK1242" i="7"/>
  <c r="BK1198" i="7"/>
  <c r="BK1172" i="7"/>
  <c r="BK1343" i="7"/>
  <c r="BK1281" i="7"/>
  <c r="BK1537" i="7"/>
  <c r="BK1230" i="7"/>
  <c r="BK1520" i="7"/>
  <c r="BK1431" i="7"/>
  <c r="BK1315" i="7"/>
  <c r="BK1249" i="7"/>
  <c r="BK1163" i="7"/>
  <c r="BK1180" i="7"/>
  <c r="BK1413" i="7"/>
  <c r="BK1432" i="7"/>
  <c r="BK1264" i="7"/>
  <c r="BK1402" i="7"/>
  <c r="BK1508" i="7"/>
  <c r="BK1171" i="7"/>
  <c r="BK1522" i="7"/>
  <c r="BK1625" i="7"/>
  <c r="BK1374" i="7"/>
  <c r="BK1533" i="7"/>
  <c r="BK1507" i="7"/>
  <c r="BK1627" i="7"/>
  <c r="BK1235" i="7"/>
  <c r="BK1484" i="7"/>
  <c r="BK1262" i="7"/>
  <c r="BK1610" i="7"/>
  <c r="BK1463" i="7"/>
  <c r="BK1338" i="7"/>
  <c r="BK1169" i="7"/>
  <c r="BK1499" i="7"/>
  <c r="BK1168" i="7"/>
  <c r="BK1263" i="7"/>
  <c r="BK1536" i="7"/>
  <c r="BK1161" i="7"/>
  <c r="BK1531" i="7"/>
  <c r="BK1542" i="7"/>
  <c r="BK1478" i="7"/>
  <c r="BK1540" i="7"/>
  <c r="BK1454" i="7"/>
  <c r="BK1552" i="7"/>
  <c r="BK1367" i="7"/>
  <c r="BK1481" i="7"/>
  <c r="BK1298" i="7"/>
  <c r="BK1453" i="7"/>
  <c r="BK1285" i="7"/>
  <c r="BK1501" i="7"/>
  <c r="BK1621" i="7"/>
  <c r="BK1284" i="7"/>
  <c r="BK1288" i="7"/>
  <c r="BK1243" i="7"/>
  <c r="BK1607" i="7"/>
  <c r="BK1648" i="7"/>
  <c r="BK1305" i="7"/>
  <c r="BK1609" i="7"/>
  <c r="BK1468" i="7"/>
  <c r="BK1294" i="7"/>
  <c r="BK1513" i="7"/>
  <c r="BK1420" i="7"/>
  <c r="BK1592" i="7"/>
  <c r="BK1179" i="7"/>
  <c r="BK1194" i="7"/>
  <c r="BK1220" i="7"/>
  <c r="BK1239" i="7"/>
  <c r="BK1611" i="7"/>
  <c r="BK1510" i="7"/>
  <c r="BK1434" i="7"/>
  <c r="BK1493" i="7"/>
  <c r="BK1204" i="7"/>
  <c r="BK1587" i="7"/>
  <c r="BK1341" i="7"/>
  <c r="BK1506" i="7"/>
  <c r="BK1530" i="7"/>
  <c r="BK1526" i="7"/>
  <c r="BK1541" i="7"/>
  <c r="BK1217" i="7"/>
  <c r="BK1604" i="7"/>
  <c r="BK1417" i="7"/>
  <c r="BK1272" i="7"/>
  <c r="BK1509" i="7"/>
  <c r="BK1566" i="7"/>
  <c r="BK1430" i="7"/>
  <c r="BK1598" i="7"/>
  <c r="BK1296" i="7"/>
  <c r="BK1576" i="7"/>
  <c r="BK1279" i="7"/>
  <c r="BK1286" i="7"/>
  <c r="BK1412" i="7"/>
  <c r="BK1334" i="7"/>
  <c r="BK1534" i="7"/>
  <c r="BK1330" i="7"/>
  <c r="BK1628" i="7"/>
  <c r="BK1585" i="7"/>
  <c r="BK1193" i="7"/>
  <c r="BK1211" i="7"/>
  <c r="BK1185" i="7"/>
  <c r="BK1606" i="7"/>
  <c r="BK1406" i="7"/>
  <c r="BK1421" i="7"/>
  <c r="BK1247" i="7"/>
  <c r="BK1403" i="7"/>
  <c r="BK1448" i="7"/>
  <c r="BK1352" i="7"/>
  <c r="BK1551" i="7"/>
  <c r="BK1309" i="7"/>
  <c r="BK1561" i="7"/>
  <c r="BK1477" i="7"/>
  <c r="BK1365" i="7"/>
  <c r="BK1485" i="7"/>
  <c r="BK1190" i="7"/>
  <c r="BK1167" i="7"/>
  <c r="BK1617" i="7"/>
  <c r="BK1594" i="7"/>
  <c r="BK1472" i="7"/>
  <c r="BK1626" i="7"/>
  <c r="BK1370" i="7"/>
  <c r="BK1229" i="7"/>
  <c r="BK1600" i="7"/>
  <c r="BK1465" i="7"/>
  <c r="BK1635" i="7"/>
  <c r="BK1593" i="7"/>
  <c r="BK1613" i="7"/>
  <c r="BK1363" i="7"/>
  <c r="BK1480" i="7"/>
  <c r="BK1572" i="7"/>
  <c r="BK1546" i="7"/>
  <c r="BK1200" i="7"/>
  <c r="BK1237" i="7"/>
  <c r="BK1411" i="7"/>
  <c r="BK1321" i="7"/>
  <c r="BK1409" i="7"/>
  <c r="BK1519" i="7"/>
  <c r="BK1458" i="7"/>
  <c r="BK1504" i="7"/>
  <c r="BK1556" i="7"/>
  <c r="BK1523" i="7"/>
  <c r="BK1554" i="7"/>
  <c r="BK1336" i="7"/>
  <c r="BK1270" i="7"/>
  <c r="BK1377" i="7"/>
  <c r="BK1375" i="7"/>
  <c r="BK1276" i="7"/>
  <c r="BK1289" i="7"/>
  <c r="BK1588" i="7"/>
  <c r="BK1650" i="7"/>
  <c r="BK1505" i="7"/>
  <c r="BK1362" i="7"/>
  <c r="BK1608" i="7"/>
  <c r="BK1642" i="7"/>
  <c r="BK1251" i="7"/>
  <c r="BK1452" i="7"/>
  <c r="BK1502" i="7"/>
  <c r="BK1333" i="7"/>
  <c r="BK1219" i="7"/>
  <c r="BK1557" i="7"/>
  <c r="BK1181" i="7"/>
  <c r="BK1344" i="7"/>
  <c r="BK1500" i="7"/>
  <c r="BK1414" i="7"/>
  <c r="BK1569" i="7"/>
  <c r="BK1348" i="7"/>
  <c r="BK1436" i="7"/>
  <c r="BK1283" i="7"/>
  <c r="BK1573" i="7"/>
  <c r="BK1469" i="7"/>
  <c r="BK1248" i="7"/>
  <c r="BK1618" i="7"/>
  <c r="BK1586" i="7"/>
  <c r="BK1564" i="7"/>
  <c r="BK1491" i="7"/>
  <c r="BK1451" i="7"/>
  <c r="BK1582" i="7"/>
  <c r="BK1259" i="7"/>
  <c r="BK1355" i="7"/>
  <c r="BK1218" i="7"/>
  <c r="BK1182" i="7"/>
  <c r="BK1253" i="7"/>
  <c r="BK1647" i="7"/>
  <c r="BK1496" i="7"/>
  <c r="BK1349" i="7"/>
  <c r="BK1269" i="7"/>
  <c r="BK1232" i="7"/>
  <c r="BK1395" i="7"/>
  <c r="BK1250" i="7"/>
  <c r="BK1205" i="7"/>
  <c r="BK1415" i="7"/>
  <c r="BK1426" i="7"/>
  <c r="BK1605" i="7"/>
  <c r="BK1360" i="7"/>
  <c r="BK1378" i="7"/>
  <c r="BK1473" i="7"/>
  <c r="BK1170" i="7"/>
  <c r="BK1482" i="7"/>
  <c r="BK1244" i="7"/>
  <c r="BK1649" i="7"/>
  <c r="BK1160" i="7"/>
  <c r="BK1356" i="7"/>
  <c r="BK1461" i="7"/>
  <c r="BK1319" i="7"/>
  <c r="BK1466" i="7"/>
  <c r="BK1266" i="7"/>
  <c r="BK1616" i="7"/>
  <c r="BK1301" i="7"/>
  <c r="BK1368" i="7"/>
  <c r="BK1165" i="7"/>
  <c r="BK1257" i="7"/>
  <c r="BK1261" i="7"/>
  <c r="BK1615" i="7"/>
  <c r="BK1562" i="7"/>
  <c r="BK1304" i="7"/>
  <c r="BK1312" i="7"/>
  <c r="BK1631" i="7"/>
  <c r="BK1429" i="7"/>
  <c r="BK1428" i="7"/>
  <c r="BK1535" i="7"/>
  <c r="BK1427" i="7"/>
  <c r="BK1332" i="7"/>
  <c r="BK1207" i="7"/>
  <c r="BK1629" i="7"/>
  <c r="BK1310" i="7"/>
  <c r="BK1393" i="7"/>
  <c r="BK1603" i="7"/>
  <c r="BK1382" i="7"/>
  <c r="BK1275" i="7"/>
  <c r="BK1583" i="7"/>
  <c r="BK1255" i="7"/>
  <c r="BK1563" i="7"/>
  <c r="BK1476" i="7"/>
  <c r="BK1487" i="7"/>
  <c r="BK1287" i="7"/>
  <c r="BK1331" i="7"/>
  <c r="BK1398" i="7"/>
  <c r="BK1623" i="7"/>
  <c r="BK1236" i="7"/>
  <c r="BK1195" i="7"/>
  <c r="BK1176" i="7"/>
  <c r="BK1612" i="7"/>
  <c r="BK1596" i="7"/>
  <c r="BK1184" i="7"/>
  <c r="BK1273" i="7"/>
  <c r="BK1602" i="7"/>
  <c r="BK1162" i="7"/>
  <c r="BK1471" i="7"/>
  <c r="BK1277" i="7"/>
  <c r="BK1577" i="7"/>
  <c r="BK1622" i="7"/>
  <c r="BK1335" i="7"/>
  <c r="BK1346" i="7"/>
  <c r="BK1601" i="7"/>
  <c r="BK1267" i="7"/>
  <c r="BK1228" i="7"/>
  <c r="BK1318" i="7"/>
  <c r="BK1410" i="7"/>
  <c r="BK1488" i="7"/>
  <c r="BK1192" i="7"/>
  <c r="BK1495" i="7"/>
  <c r="BK13" i="8"/>
  <c r="BK1308" i="7"/>
  <c r="BK1456" i="7"/>
  <c r="BK1293" i="7"/>
  <c r="BK1489" i="7"/>
  <c r="BK1233" i="7"/>
  <c r="BK1202" i="7"/>
  <c r="BK1302" i="7"/>
  <c r="BK1260" i="7"/>
  <c r="BK1350" i="7"/>
  <c r="BK1187" i="7"/>
  <c r="BK1215" i="7"/>
  <c r="BK1521" i="7"/>
  <c r="BK1464" i="7"/>
  <c r="BK1188" i="7"/>
  <c r="BK1339" i="7"/>
  <c r="BK1394" i="7"/>
  <c r="BK1241" i="7"/>
  <c r="BK1299" i="7"/>
  <c r="BK1645" i="7"/>
  <c r="BK1620" i="7"/>
  <c r="BK1630" i="7"/>
  <c r="BK1547" i="7"/>
  <c r="BK1404" i="7"/>
  <c r="BK1575" i="7"/>
  <c r="BK1366" i="7"/>
  <c r="BK1565" i="7"/>
  <c r="BK1372" i="7"/>
  <c r="BK1548" i="7"/>
  <c r="BK1323" i="7"/>
  <c r="BK1553" i="7"/>
  <c r="BK1438" i="7"/>
  <c r="BK1258" i="7"/>
  <c r="BK1567" i="7"/>
  <c r="BK1316" i="7"/>
  <c r="BK1422" i="7"/>
  <c r="BK1407" i="7"/>
  <c r="BK1494" i="7"/>
  <c r="BK1528" i="7"/>
  <c r="BK1543" i="7"/>
  <c r="BK1322" i="7"/>
  <c r="BK1381" i="7"/>
  <c r="BK1441" i="7"/>
  <c r="BK1400" i="7"/>
  <c r="BK1558" i="7"/>
  <c r="BK1641" i="7"/>
  <c r="BK1511" i="7"/>
  <c r="BK1470" i="7"/>
  <c r="BK1369" i="7"/>
  <c r="BK1408" i="7"/>
  <c r="BK1386" i="7"/>
  <c r="BK1433" i="7"/>
  <c r="BK1320" i="7"/>
  <c r="BK1164" i="7"/>
  <c r="BK1280" i="7"/>
  <c r="BK1340" i="7"/>
  <c r="BK1240" i="7"/>
  <c r="BK1227" i="7"/>
  <c r="BK1538" i="7"/>
  <c r="BK1254" i="7"/>
  <c r="BK1245" i="7"/>
  <c r="BK1278" i="7"/>
  <c r="BK1307" i="7"/>
  <c r="BK1324" i="7"/>
  <c r="BK1636" i="7"/>
  <c r="BK1295" i="7"/>
  <c r="BK1632" i="7"/>
  <c r="BK1303" i="7"/>
  <c r="BK1373" i="7"/>
  <c r="BK1462" i="7"/>
  <c r="BK1231" i="7"/>
  <c r="BK1234" i="7"/>
  <c r="BK1212" i="7"/>
  <c r="BK1347" i="7"/>
  <c r="BK1265" i="7"/>
  <c r="BK1387" i="7"/>
  <c r="BK1419" i="7"/>
  <c r="BK1639" i="7"/>
  <c r="BK1517" i="7"/>
  <c r="BK1524" i="7"/>
  <c r="BK1437" i="7"/>
  <c r="BK1173" i="7"/>
  <c r="BK1467" i="7"/>
  <c r="BK1383" i="7"/>
  <c r="BK1183" i="7"/>
  <c r="BK1442" i="7"/>
  <c r="BK1238" i="7"/>
  <c r="BK1457" i="7"/>
  <c r="BK1643" i="7"/>
  <c r="BK1328" i="7"/>
  <c r="BK1225" i="7"/>
  <c r="BK1633" i="7"/>
  <c r="BK1222" i="7"/>
  <c r="BK1191" i="7"/>
  <c r="BK1189" i="7"/>
  <c r="BK1342" i="7"/>
  <c r="BK1325" i="7"/>
  <c r="BK1584" i="7"/>
  <c r="BK1439" i="7"/>
  <c r="BK1455" i="7"/>
  <c r="BK1492" i="7"/>
  <c r="BK1390" i="7"/>
  <c r="BK1329" i="7"/>
  <c r="BK1614" i="7"/>
  <c r="BK1474" i="7"/>
  <c r="BK1416" i="7"/>
  <c r="BK1384" i="7"/>
  <c r="BK1599" i="7"/>
  <c r="BK1447" i="7"/>
  <c r="BK1385" i="7"/>
  <c r="BK1396" i="7"/>
  <c r="BK1213" i="7"/>
  <c r="BK1483" i="7"/>
  <c r="BK1353" i="7"/>
  <c r="BK1435" i="7"/>
  <c r="BK1389" i="7"/>
  <c r="BK1159" i="7"/>
  <c r="BK1405" i="7"/>
  <c r="BK1206" i="7"/>
  <c r="BK1354" i="7"/>
  <c r="BK1292" i="7"/>
  <c r="BK1359" i="7"/>
  <c r="BK1440" i="7"/>
  <c r="BK1570" i="7"/>
  <c r="BK1634" i="7"/>
  <c r="BK1529" i="7"/>
  <c r="BK1581" i="7"/>
  <c r="BK1539" i="7"/>
  <c r="BK1177" i="7"/>
  <c r="BK1518" i="7"/>
  <c r="BK1311" i="7"/>
  <c r="BK1178" i="7"/>
  <c r="BK1358" i="7"/>
  <c r="BK1591" i="7"/>
  <c r="BK1644" i="7"/>
  <c r="BK1203" i="7"/>
  <c r="BK1300" i="7"/>
  <c r="BK1379" i="7"/>
  <c r="BK1460" i="7"/>
  <c r="BK1399" i="7"/>
  <c r="BK1444" i="7"/>
  <c r="BK1268" i="7"/>
  <c r="BK1503" i="7"/>
  <c r="BK1459" i="7"/>
  <c r="BK1555" i="7"/>
  <c r="BK1624" i="7"/>
  <c r="BK1532" i="7"/>
  <c r="BK1388" i="7"/>
  <c r="BK1479" i="7"/>
  <c r="BK1638" i="7"/>
  <c r="BK1497" i="7"/>
  <c r="BK1579" i="7"/>
  <c r="BK1175" i="7"/>
  <c r="BK1418" i="7"/>
  <c r="BK1450" i="7"/>
  <c r="BK1282" i="7"/>
  <c r="BK1545" i="7"/>
  <c r="BK1380" i="7"/>
  <c r="BK1574" i="7"/>
  <c r="BK1443" i="7"/>
  <c r="BK1166" i="7"/>
  <c r="BK1326" i="7"/>
  <c r="BK1317" i="7"/>
  <c r="BK1475" i="7"/>
  <c r="BK1568" i="7"/>
  <c r="BK1527" i="7"/>
  <c r="BK1578" i="7"/>
  <c r="BK1397" i="7"/>
  <c r="BK1401" i="7"/>
  <c r="BK1392" i="7"/>
  <c r="BK1640" i="7"/>
  <c r="BK1589" i="7"/>
  <c r="BK1490" i="7"/>
  <c r="BK1391" i="7"/>
  <c r="BK1550" i="7"/>
  <c r="BK1590" i="7"/>
  <c r="BK1580" i="7"/>
  <c r="BK1449" i="7"/>
  <c r="BK1314" i="7"/>
  <c r="BK1544" i="7"/>
  <c r="BK1291" i="7"/>
  <c r="BK1571" i="7"/>
  <c r="BK1637" i="7"/>
  <c r="BK1246" i="7"/>
  <c r="BK1646" i="7"/>
  <c r="BK1196" i="7"/>
  <c r="CP170" i="1"/>
  <c r="CP157" i="1"/>
  <c r="CP172" i="1"/>
  <c r="CP151" i="1"/>
  <c r="CR151" i="1" s="1"/>
  <c r="CS151" i="1" s="1"/>
  <c r="CU151" i="1" s="1"/>
  <c r="CX151" i="1" s="1"/>
  <c r="CP190" i="1"/>
  <c r="CP176" i="1"/>
  <c r="CR176" i="1" s="1"/>
  <c r="CS176" i="1" s="1"/>
  <c r="CP158" i="1"/>
  <c r="CP159" i="1"/>
  <c r="CP54" i="3"/>
  <c r="CP196" i="1"/>
  <c r="CP183" i="1"/>
  <c r="CP212" i="1"/>
  <c r="CP161" i="1"/>
  <c r="CP155" i="1"/>
  <c r="CP213" i="1"/>
  <c r="CP208" i="1"/>
  <c r="CR208" i="1" s="1"/>
  <c r="CS208" i="1" s="1"/>
  <c r="CU208" i="1" s="1"/>
  <c r="CP177" i="1"/>
  <c r="CP194" i="1"/>
  <c r="CR194" i="1" s="1"/>
  <c r="CS194" i="1" s="1"/>
  <c r="CP179" i="1"/>
  <c r="CL107" i="1"/>
  <c r="CQ107" i="1" s="1"/>
  <c r="CT107" i="1" s="1"/>
  <c r="CL135" i="1"/>
  <c r="CQ135" i="1" s="1"/>
  <c r="CT135" i="1" s="1"/>
  <c r="CL182" i="1"/>
  <c r="CQ182" i="1" s="1"/>
  <c r="CT182" i="1" s="1"/>
  <c r="CL72" i="1"/>
  <c r="CQ72" i="1" s="1"/>
  <c r="CT72" i="1" s="1"/>
  <c r="CL286" i="1"/>
  <c r="CQ286" i="1" s="1"/>
  <c r="CT286" i="1" s="1"/>
  <c r="CL171" i="1"/>
  <c r="CQ171" i="1" s="1"/>
  <c r="CT171" i="1" s="1"/>
  <c r="CL41" i="1"/>
  <c r="CQ41" i="1" s="1"/>
  <c r="CT41" i="1" s="1"/>
  <c r="CL301" i="1"/>
  <c r="CQ301" i="1" s="1"/>
  <c r="CT301" i="1" s="1"/>
  <c r="CL22" i="1"/>
  <c r="CQ22" i="1" s="1"/>
  <c r="CT22" i="1" s="1"/>
  <c r="CL209" i="1"/>
  <c r="CQ209" i="1" s="1"/>
  <c r="CT209" i="1" s="1"/>
  <c r="CL148" i="1"/>
  <c r="CQ148" i="1" s="1"/>
  <c r="CT148" i="1" s="1"/>
  <c r="CL273" i="1"/>
  <c r="CQ273" i="1" s="1"/>
  <c r="CT273" i="1" s="1"/>
  <c r="CL222" i="1"/>
  <c r="CQ222" i="1" s="1"/>
  <c r="CT222" i="1" s="1"/>
  <c r="CL2" i="1"/>
  <c r="CQ2" i="1" s="1"/>
  <c r="CT2" i="1" s="1"/>
  <c r="CL263" i="1"/>
  <c r="CQ263" i="1" s="1"/>
  <c r="CT263" i="1" s="1"/>
  <c r="CL236" i="1"/>
  <c r="CQ236" i="1" s="1"/>
  <c r="CT236" i="1" s="1"/>
  <c r="CL291" i="1"/>
  <c r="CQ291" i="1" s="1"/>
  <c r="CT291" i="1" s="1"/>
  <c r="CL298" i="1"/>
  <c r="CQ298" i="1" s="1"/>
  <c r="CT298" i="1" s="1"/>
  <c r="CL147" i="1"/>
  <c r="CQ147" i="1" s="1"/>
  <c r="CT147" i="1" s="1"/>
  <c r="CL9" i="1"/>
  <c r="CQ9" i="1" s="1"/>
  <c r="CT9" i="1" s="1"/>
  <c r="CL269" i="1"/>
  <c r="CQ269" i="1" s="1"/>
  <c r="CT269" i="1" s="1"/>
  <c r="CL159" i="1"/>
  <c r="CQ159" i="1" s="1"/>
  <c r="CT159" i="1" s="1"/>
  <c r="CL84" i="1"/>
  <c r="CQ84" i="1" s="1"/>
  <c r="CT84" i="1" s="1"/>
  <c r="CL158" i="1"/>
  <c r="CQ158" i="1" s="1"/>
  <c r="CT158" i="1" s="1"/>
  <c r="CL176" i="1"/>
  <c r="CQ176" i="1" s="1"/>
  <c r="CL223" i="1"/>
  <c r="CQ223" i="1" s="1"/>
  <c r="CT223" i="1" s="1"/>
  <c r="CM82" i="1"/>
  <c r="CM45" i="1"/>
  <c r="CM47" i="1"/>
  <c r="CM93" i="1"/>
  <c r="CM60" i="1"/>
  <c r="CM94" i="1"/>
  <c r="CM28" i="1"/>
  <c r="CM153" i="1"/>
  <c r="CM224" i="1"/>
  <c r="CM141" i="1"/>
  <c r="CM92" i="1"/>
  <c r="CM116" i="1"/>
  <c r="CM48" i="1"/>
  <c r="CM132" i="1"/>
  <c r="CM266" i="1"/>
  <c r="CM297" i="1"/>
  <c r="CM19" i="1"/>
  <c r="CM165" i="1"/>
  <c r="CM166" i="1"/>
  <c r="CM259" i="1"/>
  <c r="CM38" i="1"/>
  <c r="CM46" i="1"/>
  <c r="CM246" i="1"/>
  <c r="CR246" i="1" s="1"/>
  <c r="CS246" i="1" s="1"/>
  <c r="CU246" i="1" s="1"/>
  <c r="CX246" i="1" s="1"/>
  <c r="CM140" i="1"/>
  <c r="CP78" i="1"/>
  <c r="CP231" i="1"/>
  <c r="CP118" i="1"/>
  <c r="CP250" i="1"/>
  <c r="CP217" i="1"/>
  <c r="CP58" i="1"/>
  <c r="CP106" i="1"/>
  <c r="CP251" i="1"/>
  <c r="CP173" i="1"/>
  <c r="CP164" i="1"/>
  <c r="CP175" i="1"/>
  <c r="CP65" i="1"/>
  <c r="CP74" i="1"/>
  <c r="CP163" i="1"/>
  <c r="CP260" i="1"/>
  <c r="CP297" i="1"/>
  <c r="CR297" i="1" s="1"/>
  <c r="CS297" i="1" s="1"/>
  <c r="CU297" i="1" s="1"/>
  <c r="CX297" i="1" s="1"/>
  <c r="CP166" i="1"/>
  <c r="CP46" i="1"/>
  <c r="CO228" i="1"/>
  <c r="CO268" i="1"/>
  <c r="CO146" i="1"/>
  <c r="CO88" i="1"/>
  <c r="CO212" i="1"/>
  <c r="CO109" i="1"/>
  <c r="CO114" i="1"/>
  <c r="CN250" i="1"/>
  <c r="CN251" i="1"/>
  <c r="CN65" i="1"/>
  <c r="BI823" i="7"/>
  <c r="BI178" i="7"/>
  <c r="BI164" i="7"/>
  <c r="BI112" i="7"/>
  <c r="BI429" i="7"/>
  <c r="BI35" i="7"/>
  <c r="BI53" i="7"/>
  <c r="BI217" i="7"/>
  <c r="BI192" i="7"/>
  <c r="BI196" i="7"/>
  <c r="BI100" i="7"/>
  <c r="BI88" i="7"/>
  <c r="BI1969" i="7"/>
  <c r="BI1077" i="7"/>
  <c r="BI1971" i="7"/>
  <c r="BI2024" i="7"/>
  <c r="BI2196" i="7"/>
  <c r="BI2053" i="7"/>
  <c r="BI1639" i="7"/>
  <c r="BI1389" i="7"/>
  <c r="BI1838" i="7"/>
  <c r="BI1396" i="7"/>
  <c r="BI1603" i="7"/>
  <c r="BI1433" i="7"/>
  <c r="BI1346" i="7"/>
  <c r="BI2026" i="7"/>
  <c r="BI2275" i="7"/>
  <c r="BI2090" i="7"/>
  <c r="BI2220" i="7"/>
  <c r="BI1795" i="7"/>
  <c r="BI1666" i="7"/>
  <c r="BI858" i="7"/>
  <c r="BI331" i="7"/>
  <c r="BI653" i="7"/>
  <c r="BI1787" i="7"/>
  <c r="BI330" i="7"/>
  <c r="BI266" i="7"/>
  <c r="BI850" i="7"/>
  <c r="BI2122" i="7"/>
  <c r="BI166" i="7"/>
  <c r="BI110" i="7"/>
  <c r="BI421" i="7"/>
  <c r="BI36" i="7"/>
  <c r="BI150" i="7"/>
  <c r="BI64" i="7"/>
  <c r="BI193" i="7"/>
  <c r="BI197" i="7"/>
  <c r="BI103" i="7"/>
  <c r="BI80" i="7"/>
  <c r="BI1611" i="7"/>
  <c r="BI1434" i="7"/>
  <c r="BI2041" i="7"/>
  <c r="BI1132" i="7"/>
  <c r="BI1101" i="7"/>
  <c r="BI1378" i="7"/>
  <c r="BI1883" i="7"/>
  <c r="BI2180" i="7"/>
  <c r="BI1634" i="7"/>
  <c r="BI267" i="7"/>
  <c r="BI2200" i="7"/>
  <c r="BI1665" i="7"/>
  <c r="BI2059" i="7"/>
  <c r="BI1918" i="7"/>
  <c r="BI2087" i="7"/>
  <c r="BI431" i="7"/>
  <c r="BI1391" i="7"/>
  <c r="BI1468" i="7"/>
  <c r="BI1426" i="7"/>
  <c r="BI1740" i="7"/>
  <c r="BI1646" i="7"/>
  <c r="BI1140" i="7"/>
  <c r="BI1401" i="7"/>
  <c r="BI744" i="7"/>
  <c r="BI249" i="7"/>
  <c r="BI140" i="7"/>
  <c r="BI651" i="7"/>
  <c r="BI336" i="7"/>
  <c r="BI303" i="7"/>
  <c r="BI376" i="7"/>
  <c r="BI447" i="7"/>
  <c r="BI168" i="7"/>
  <c r="BI165" i="7"/>
  <c r="BI183" i="7"/>
  <c r="BI51" i="7"/>
  <c r="BI37" i="7"/>
  <c r="BI154" i="7"/>
  <c r="BI63" i="7"/>
  <c r="BI187" i="7"/>
  <c r="BI195" i="7"/>
  <c r="BI105" i="7"/>
  <c r="BI48" i="7"/>
  <c r="BI1983" i="7"/>
  <c r="BI1531" i="7"/>
  <c r="BI1878" i="7"/>
  <c r="BI1789" i="7"/>
  <c r="BI1120" i="7"/>
  <c r="BI2065" i="7"/>
  <c r="BI1905" i="7"/>
  <c r="BI2098" i="7"/>
  <c r="BI2210" i="7"/>
  <c r="BI1324" i="7"/>
  <c r="BI1142" i="7"/>
  <c r="BI1359" i="7"/>
  <c r="BI1557" i="7"/>
  <c r="BI1837" i="7"/>
  <c r="BI1976" i="7"/>
  <c r="BI2197" i="7"/>
  <c r="BI70" i="7"/>
  <c r="BI1356" i="7"/>
  <c r="BI1803" i="7"/>
  <c r="BI2073" i="7"/>
  <c r="BI625" i="7"/>
  <c r="BI640" i="7"/>
  <c r="BI660" i="7"/>
  <c r="BI809" i="7"/>
  <c r="BI637" i="7"/>
  <c r="BI1079" i="7"/>
  <c r="BI268" i="7"/>
  <c r="BI107" i="7"/>
  <c r="BI170" i="7"/>
  <c r="BI182" i="7"/>
  <c r="BI29" i="7"/>
  <c r="BI47" i="7"/>
  <c r="BI188" i="7"/>
  <c r="BI101" i="7"/>
  <c r="BI50" i="7"/>
  <c r="BI2119" i="7"/>
  <c r="BI1763" i="7"/>
  <c r="BI1887" i="7"/>
  <c r="BI2049" i="7"/>
  <c r="BI1851" i="7"/>
  <c r="BI1895" i="7"/>
  <c r="BI875" i="7"/>
  <c r="BI1069" i="7"/>
  <c r="BI1904" i="7"/>
  <c r="BI1843" i="7"/>
  <c r="BI1615" i="7"/>
  <c r="BI1381" i="7"/>
  <c r="BI892" i="7"/>
  <c r="BI2232" i="7"/>
  <c r="BI2027" i="7"/>
  <c r="BI1350" i="7"/>
  <c r="BI487" i="7"/>
  <c r="BI393" i="7"/>
  <c r="BI895" i="7"/>
  <c r="BI1768" i="7"/>
  <c r="BI854" i="7"/>
  <c r="BI439" i="7"/>
  <c r="BI337" i="7"/>
  <c r="BI903" i="7"/>
  <c r="BI572" i="7"/>
  <c r="BI631" i="7"/>
  <c r="BI867" i="7"/>
  <c r="BI475" i="7"/>
  <c r="BI657" i="7"/>
  <c r="BI798" i="7"/>
  <c r="BI444" i="7"/>
  <c r="BI706" i="7"/>
  <c r="BI399" i="7"/>
  <c r="BI847" i="7"/>
  <c r="BI865" i="7"/>
  <c r="BI237" i="7"/>
  <c r="BI626" i="7"/>
  <c r="BI828" i="7"/>
  <c r="BI916" i="7"/>
  <c r="BI483" i="7"/>
  <c r="BI710" i="7"/>
  <c r="BI468" i="7"/>
  <c r="BI148" i="7"/>
  <c r="BI621" i="7"/>
  <c r="BI92" i="7"/>
  <c r="BI173" i="7"/>
  <c r="BI184" i="7"/>
  <c r="BI30" i="7"/>
  <c r="BI46" i="7"/>
  <c r="BI186" i="7"/>
  <c r="BI194" i="7"/>
  <c r="BI82" i="7"/>
  <c r="BI104" i="7"/>
  <c r="BI1030" i="7"/>
  <c r="BI1955" i="7"/>
  <c r="BI1917" i="7"/>
  <c r="BI1799" i="7"/>
  <c r="BI2103" i="7"/>
  <c r="BI2022" i="7"/>
  <c r="BI1815" i="7"/>
  <c r="BI1442" i="7"/>
  <c r="BI2166" i="7"/>
  <c r="BI830" i="7"/>
  <c r="BI1581" i="7"/>
  <c r="BI1308" i="7"/>
  <c r="BI2223" i="7"/>
  <c r="BI839" i="7"/>
  <c r="BI452" i="7"/>
  <c r="BI705" i="7"/>
  <c r="BI524" i="7"/>
  <c r="BI472" i="7"/>
  <c r="BI482" i="7"/>
  <c r="BI638" i="7"/>
  <c r="BI541" i="7"/>
  <c r="BI356" i="7"/>
  <c r="BI304" i="7"/>
  <c r="BI1463" i="7"/>
  <c r="BI679" i="7"/>
  <c r="BI897" i="7"/>
  <c r="BI996" i="7"/>
  <c r="BI446" i="7"/>
  <c r="BI469" i="7"/>
  <c r="BI377" i="7"/>
  <c r="BI883" i="7"/>
  <c r="BI247" i="7"/>
  <c r="BI795" i="7"/>
  <c r="BI380" i="7"/>
  <c r="BI407" i="7"/>
  <c r="BI396" i="7"/>
  <c r="BI1285" i="7"/>
  <c r="BI89" i="7"/>
  <c r="BI175" i="7"/>
  <c r="BI185" i="7"/>
  <c r="BI31" i="7"/>
  <c r="BI54" i="7"/>
  <c r="BI124" i="7"/>
  <c r="BI136" i="7"/>
  <c r="BI81" i="7"/>
  <c r="BI151" i="7"/>
  <c r="BI1984" i="7"/>
  <c r="BI1992" i="7"/>
  <c r="BI1827" i="7"/>
  <c r="BI1923" i="7"/>
  <c r="BI2058" i="7"/>
  <c r="BI2060" i="7"/>
  <c r="BI1643" i="7"/>
  <c r="BI1591" i="7"/>
  <c r="BI2266" i="7"/>
  <c r="BI1597" i="7"/>
  <c r="BI1879" i="7"/>
  <c r="BI2091" i="7"/>
  <c r="BI2248" i="7"/>
  <c r="BI1826" i="7"/>
  <c r="BI1440" i="7"/>
  <c r="BI721" i="7"/>
  <c r="BI2047" i="7"/>
  <c r="BI2182" i="7"/>
  <c r="BI1845" i="7"/>
  <c r="BI820" i="7"/>
  <c r="BI800" i="7"/>
  <c r="BI360" i="7"/>
  <c r="BI333" i="7"/>
  <c r="BI953" i="7"/>
  <c r="BI480" i="7"/>
  <c r="BI486" i="7"/>
  <c r="BI535" i="7"/>
  <c r="BI1164" i="7"/>
  <c r="BI593" i="7"/>
  <c r="BI886" i="7"/>
  <c r="BI297" i="7"/>
  <c r="BI335" i="7"/>
  <c r="BI500" i="7"/>
  <c r="BI925" i="7"/>
  <c r="BI907" i="7"/>
  <c r="BI716" i="7"/>
  <c r="BI565" i="7"/>
  <c r="BI1334" i="7"/>
  <c r="BI502" i="7"/>
  <c r="BI233" i="7"/>
  <c r="BI412" i="7"/>
  <c r="BI1035" i="7"/>
  <c r="BI1429" i="7"/>
  <c r="BI167" i="7"/>
  <c r="BI162" i="7"/>
  <c r="BI176" i="7"/>
  <c r="BI32" i="7"/>
  <c r="BI156" i="7"/>
  <c r="BI123" i="7"/>
  <c r="BI137" i="7"/>
  <c r="BI236" i="7"/>
  <c r="BI149" i="7"/>
  <c r="BI2105" i="7"/>
  <c r="BI1994" i="7"/>
  <c r="BI1805" i="7"/>
  <c r="BI1522" i="7"/>
  <c r="BI157" i="7"/>
  <c r="BI161" i="7"/>
  <c r="BI181" i="7"/>
  <c r="BI33" i="7"/>
  <c r="BI155" i="7"/>
  <c r="BI139" i="7"/>
  <c r="BI230" i="7"/>
  <c r="BI425" i="7"/>
  <c r="BI1546" i="7"/>
  <c r="BI2214" i="7"/>
  <c r="BI2151" i="7"/>
  <c r="BI2007" i="7"/>
  <c r="BI2185" i="7"/>
  <c r="BI1131" i="7"/>
  <c r="BI2000" i="7"/>
  <c r="BI2082" i="7"/>
  <c r="BI2080" i="7"/>
  <c r="BI1842" i="7"/>
  <c r="BI1724" i="7"/>
  <c r="BI1058" i="7"/>
  <c r="BI1562" i="7"/>
  <c r="BI1823" i="7"/>
  <c r="BI1616" i="7"/>
  <c r="BI2062" i="7"/>
  <c r="BI1287" i="7"/>
  <c r="BI1772" i="7"/>
  <c r="BI1352" i="7"/>
  <c r="BI1257" i="7"/>
  <c r="BI43" i="7"/>
  <c r="BI2149" i="7"/>
  <c r="BI361" i="7"/>
  <c r="BI144" i="7"/>
  <c r="BI234" i="7"/>
  <c r="BI273" i="7"/>
  <c r="BI120" i="7"/>
  <c r="BI1736" i="7"/>
  <c r="BI442" i="7"/>
  <c r="BI258" i="7"/>
  <c r="BI299" i="7"/>
  <c r="BI787" i="7"/>
  <c r="BI473" i="7"/>
  <c r="BI623" i="7"/>
  <c r="BI530" i="7"/>
  <c r="BI887" i="7"/>
  <c r="BI179" i="7"/>
  <c r="BI180" i="7"/>
  <c r="BI418" i="7"/>
  <c r="BI34" i="7"/>
  <c r="BI218" i="7"/>
  <c r="BI190" i="7"/>
  <c r="BI138" i="7"/>
  <c r="BI228" i="7"/>
  <c r="BI783" i="7"/>
  <c r="BI1036" i="7"/>
  <c r="BI1123" i="7"/>
  <c r="BI1046" i="7"/>
  <c r="BI1819" i="7"/>
  <c r="BI2072" i="7"/>
  <c r="BI2075" i="7"/>
  <c r="BI1609" i="7"/>
  <c r="BI2076" i="7"/>
  <c r="BI1511" i="7"/>
  <c r="BI1635" i="7"/>
  <c r="BI988" i="7"/>
  <c r="BI1373" i="7"/>
  <c r="BI1313" i="7"/>
  <c r="BI132" i="7"/>
  <c r="BI2249" i="7"/>
  <c r="BI2271" i="7"/>
  <c r="BI465" i="7"/>
  <c r="BI513" i="7"/>
  <c r="BI600" i="7"/>
  <c r="BI659" i="7"/>
  <c r="BI300" i="7"/>
  <c r="BI851" i="7"/>
  <c r="BI918" i="7"/>
  <c r="BI1147" i="7"/>
  <c r="BI1017" i="7"/>
  <c r="BI275" i="7"/>
  <c r="BI1159" i="7"/>
  <c r="BI93" i="7"/>
  <c r="BI424" i="7"/>
  <c r="BI40" i="7"/>
  <c r="BI222" i="7"/>
  <c r="BI125" i="7"/>
  <c r="BI96" i="7"/>
  <c r="BI224" i="7"/>
  <c r="BI2188" i="7"/>
  <c r="BI2084" i="7"/>
  <c r="BI2222" i="7"/>
  <c r="BI2085" i="7"/>
  <c r="BI1863" i="7"/>
  <c r="BI856" i="7"/>
  <c r="BI199" i="7"/>
  <c r="BI108" i="7"/>
  <c r="BI91" i="7"/>
  <c r="BI2109" i="7"/>
  <c r="BI1792" i="7"/>
  <c r="BI1903" i="7"/>
  <c r="BI1462" i="7"/>
  <c r="BI1270" i="7"/>
  <c r="BI1667" i="7"/>
  <c r="BI2267" i="7"/>
  <c r="BI738" i="7"/>
  <c r="BI471" i="7"/>
  <c r="BI607" i="7"/>
  <c r="BI590" i="7"/>
  <c r="BI1151" i="7"/>
  <c r="BI550" i="7"/>
  <c r="BI529" i="7"/>
  <c r="BI379" i="7"/>
  <c r="BI322" i="7"/>
  <c r="BI1392" i="7"/>
  <c r="BI403" i="7"/>
  <c r="BI919" i="7"/>
  <c r="BI984" i="7"/>
  <c r="BI643" i="7"/>
  <c r="BI1014" i="7"/>
  <c r="BI286" i="7"/>
  <c r="BI687" i="7"/>
  <c r="BI276" i="7"/>
  <c r="BI235" i="7"/>
  <c r="BI2139" i="7"/>
  <c r="BI969" i="7"/>
  <c r="BI1582" i="7"/>
  <c r="BI1560" i="7"/>
  <c r="BI628" i="7"/>
  <c r="BI756" i="7"/>
  <c r="BI815" i="7"/>
  <c r="BI1804" i="7"/>
  <c r="BI1605" i="7"/>
  <c r="BI2031" i="7"/>
  <c r="BI1760" i="7"/>
  <c r="BI1296" i="7"/>
  <c r="BI866" i="7"/>
  <c r="BI1165" i="7"/>
  <c r="BI955" i="7"/>
  <c r="BI1152" i="7"/>
  <c r="BI1813" i="7"/>
  <c r="BI2067" i="7"/>
  <c r="BI1453" i="7"/>
  <c r="BI1855" i="7"/>
  <c r="BI2069" i="7"/>
  <c r="BI1413" i="7"/>
  <c r="BI1112" i="7"/>
  <c r="BI690" i="7"/>
  <c r="BI1007" i="7"/>
  <c r="BI1925" i="7"/>
  <c r="BI109" i="7"/>
  <c r="BI215" i="7"/>
  <c r="BI97" i="7"/>
  <c r="BI2167" i="7"/>
  <c r="BI2140" i="7"/>
  <c r="BI1899" i="7"/>
  <c r="BI1645" i="7"/>
  <c r="BI1835" i="7"/>
  <c r="BI1841" i="7"/>
  <c r="BI1644" i="7"/>
  <c r="BI1849" i="7"/>
  <c r="BI2240" i="7"/>
  <c r="BI559" i="7"/>
  <c r="BI567" i="7"/>
  <c r="BI658" i="7"/>
  <c r="BI145" i="7"/>
  <c r="BI1121" i="7"/>
  <c r="BI290" i="7"/>
  <c r="BI672" i="7"/>
  <c r="BI707" i="7"/>
  <c r="BI606" i="7"/>
  <c r="BI597" i="7"/>
  <c r="BI533" i="7"/>
  <c r="BI277" i="7"/>
  <c r="BI343" i="7"/>
  <c r="BI1549" i="7"/>
  <c r="BI814" i="7"/>
  <c r="BI1095" i="7"/>
  <c r="BI1536" i="7"/>
  <c r="BI2050" i="7"/>
  <c r="BI1818" i="7"/>
  <c r="BI822" i="7"/>
  <c r="BI1412" i="7"/>
  <c r="BI1329" i="7"/>
  <c r="BI1370" i="7"/>
  <c r="BI914" i="7"/>
  <c r="BI1154" i="7"/>
  <c r="BI1374" i="7"/>
  <c r="BI1319" i="7"/>
  <c r="BI591" i="7"/>
  <c r="BI877" i="7"/>
  <c r="BI1636" i="7"/>
  <c r="BI941" i="7"/>
  <c r="BI1045" i="7"/>
  <c r="BI1595" i="7"/>
  <c r="BI1825" i="7"/>
  <c r="BI1083" i="7"/>
  <c r="BI2237" i="7"/>
  <c r="BI111" i="7"/>
  <c r="BI219" i="7"/>
  <c r="BI79" i="7"/>
  <c r="BI2051" i="7"/>
  <c r="BI2154" i="7"/>
  <c r="BI1822" i="7"/>
  <c r="BI1362" i="7"/>
  <c r="BI681" i="7"/>
  <c r="BI1844" i="7"/>
  <c r="BI1737" i="7"/>
  <c r="BI836" i="7"/>
  <c r="BI764" i="7"/>
  <c r="BI498" i="7"/>
  <c r="BI739" i="7"/>
  <c r="BI667" i="7"/>
  <c r="BI489" i="7"/>
  <c r="BI456" i="7"/>
  <c r="BI876" i="7"/>
  <c r="BI696" i="7"/>
  <c r="BI255" i="7"/>
  <c r="BI1037" i="7"/>
  <c r="BI733" i="7"/>
  <c r="BI1739" i="7"/>
  <c r="BI1432" i="7"/>
  <c r="BI1109" i="7"/>
  <c r="BI755" i="7"/>
  <c r="BI1094" i="7"/>
  <c r="BI662" i="7"/>
  <c r="BI552" i="7"/>
  <c r="BI1367" i="7"/>
  <c r="BI1050" i="7"/>
  <c r="BI1116" i="7"/>
  <c r="BI2225" i="7"/>
  <c r="BI1355" i="7"/>
  <c r="BI990" i="7"/>
  <c r="BI1482" i="7"/>
  <c r="BI543" i="7"/>
  <c r="BI646" i="7"/>
  <c r="BI882" i="7"/>
  <c r="BI1290" i="7"/>
  <c r="BI1448" i="7"/>
  <c r="BI1351" i="7"/>
  <c r="BI899" i="7"/>
  <c r="BI1393" i="7"/>
  <c r="BI367" i="7"/>
  <c r="BI419" i="7"/>
  <c r="BI216" i="7"/>
  <c r="BI102" i="7"/>
  <c r="BI2226" i="7"/>
  <c r="BI2224" i="7"/>
  <c r="BI1138" i="7"/>
  <c r="BI896" i="7"/>
  <c r="BI863" i="7"/>
  <c r="BI562" i="7"/>
  <c r="BI846" i="7"/>
  <c r="BI1596" i="7"/>
  <c r="BI995" i="7"/>
  <c r="BI2071" i="7"/>
  <c r="BI750" i="7"/>
  <c r="BI573" i="7"/>
  <c r="BI519" i="7"/>
  <c r="BI853" i="7"/>
  <c r="BI682" i="7"/>
  <c r="BI680" i="7"/>
  <c r="BI906" i="7"/>
  <c r="BI981" i="7"/>
  <c r="BI539" i="7"/>
  <c r="BI730" i="7"/>
  <c r="BI536" i="7"/>
  <c r="BI362" i="7"/>
  <c r="BI52" i="7"/>
  <c r="BI427" i="7"/>
  <c r="BI220" i="7"/>
  <c r="BI231" i="7"/>
  <c r="BI1409" i="7"/>
  <c r="BI1382" i="7"/>
  <c r="BI1892" i="7"/>
  <c r="BI975" i="7"/>
  <c r="BI2263" i="7"/>
  <c r="BI1241" i="7"/>
  <c r="BI985" i="7"/>
  <c r="BI1730" i="7"/>
  <c r="BI253" i="7"/>
  <c r="BI464" i="7"/>
  <c r="BI332" i="7"/>
  <c r="BI963" i="7"/>
  <c r="BI400" i="7"/>
  <c r="BI342" i="7"/>
  <c r="BI810" i="7"/>
  <c r="BI718" i="7"/>
  <c r="BI254" i="7"/>
  <c r="BI664" i="7"/>
  <c r="BI701" i="7"/>
  <c r="BI495" i="7"/>
  <c r="BI499" i="7"/>
  <c r="BI871" i="7"/>
  <c r="BI894" i="7"/>
  <c r="BI479" i="7"/>
  <c r="BI301" i="7"/>
  <c r="BI935" i="7"/>
  <c r="BI711" i="7"/>
  <c r="BI1224" i="7"/>
  <c r="BI1084" i="7"/>
  <c r="BI1288" i="7"/>
  <c r="BI1305" i="7"/>
  <c r="BI848" i="7"/>
  <c r="BI1998" i="7"/>
  <c r="BI1242" i="7"/>
  <c r="BI1113" i="7"/>
  <c r="BI1044" i="7"/>
  <c r="BI1341" i="7"/>
  <c r="BI799" i="7"/>
  <c r="BI1366" i="7"/>
  <c r="BI1306" i="7"/>
  <c r="BI1824" i="7"/>
  <c r="BI2186" i="7"/>
  <c r="BI1369" i="7"/>
  <c r="BI647" i="7"/>
  <c r="BI824" i="7"/>
  <c r="BI1150" i="7"/>
  <c r="BI174" i="7"/>
  <c r="BI26" i="7"/>
  <c r="BI221" i="7"/>
  <c r="BI227" i="7"/>
  <c r="BI1619" i="7"/>
  <c r="BI1981" i="7"/>
  <c r="BI1632" i="7"/>
  <c r="BI1833" i="7"/>
  <c r="BI462" i="7"/>
  <c r="BI596" i="7"/>
  <c r="BI449" i="7"/>
  <c r="BI355" i="7"/>
  <c r="BI649" i="7"/>
  <c r="BI736" i="7"/>
  <c r="BI305" i="7"/>
  <c r="BI122" i="7"/>
  <c r="BI531" i="7"/>
  <c r="BI663" i="7"/>
  <c r="BI704" i="7"/>
  <c r="BI734" i="7"/>
  <c r="BI888" i="7"/>
  <c r="BI374" i="7"/>
  <c r="BI599" i="7"/>
  <c r="BI470" i="7"/>
  <c r="BI902" i="7"/>
  <c r="BI908" i="7"/>
  <c r="BI426" i="7"/>
  <c r="BI493" i="7"/>
  <c r="BI307" i="7"/>
  <c r="BI504" i="7"/>
  <c r="BI931" i="7"/>
  <c r="BI169" i="7"/>
  <c r="BI128" i="7"/>
  <c r="BI1254" i="7"/>
  <c r="BI1068" i="7"/>
  <c r="BI1237" i="7"/>
  <c r="BI958" i="7"/>
  <c r="BI1235" i="7"/>
  <c r="BI1293" i="7"/>
  <c r="BI592" i="7"/>
  <c r="BI1357" i="7"/>
  <c r="BI1466" i="7"/>
  <c r="BI1163" i="7"/>
  <c r="BI862" i="7"/>
  <c r="BI1503" i="7"/>
  <c r="BI1135" i="7"/>
  <c r="BI177" i="7"/>
  <c r="BI38" i="7"/>
  <c r="BI191" i="7"/>
  <c r="BI87" i="7"/>
  <c r="BI1703" i="7"/>
  <c r="BI2211" i="7"/>
  <c r="BI1710" i="7"/>
  <c r="BI741" i="7"/>
  <c r="BI2227" i="7"/>
  <c r="BI2252" i="7"/>
  <c r="BI780" i="7"/>
  <c r="BI994" i="7"/>
  <c r="BI913" i="7"/>
  <c r="BI395" i="7"/>
  <c r="BI608" i="7"/>
  <c r="BI358" i="7"/>
  <c r="BI708" i="7"/>
  <c r="BI463" i="7"/>
  <c r="BI338" i="7"/>
  <c r="BI397" i="7"/>
  <c r="BI674" i="7"/>
  <c r="BI678" i="7"/>
  <c r="BI688" i="7"/>
  <c r="BI208" i="7"/>
  <c r="BI172" i="7"/>
  <c r="BI65" i="7"/>
  <c r="BI2006" i="7"/>
  <c r="BI1377" i="7"/>
  <c r="BI2279" i="7"/>
  <c r="BI2253" i="7"/>
  <c r="BI595" i="7"/>
  <c r="BI474" i="7"/>
  <c r="BI250" i="7"/>
  <c r="BI415" i="7"/>
  <c r="BI289" i="7"/>
  <c r="BI1361" i="7"/>
  <c r="BI344" i="7"/>
  <c r="BI492" i="7"/>
  <c r="BI503" i="7"/>
  <c r="BI910" i="7"/>
  <c r="BI2171" i="7"/>
  <c r="BI561" i="7"/>
  <c r="BI2229" i="7"/>
  <c r="BI2001" i="7"/>
  <c r="BI983" i="7"/>
  <c r="BI1148" i="7"/>
  <c r="BI1100" i="7"/>
  <c r="BI952" i="7"/>
  <c r="BI2190" i="7"/>
  <c r="BI1143" i="7"/>
  <c r="BI1347" i="7"/>
  <c r="BI1839" i="7"/>
  <c r="BI1857" i="7"/>
  <c r="BI1854" i="7"/>
  <c r="BI1784" i="7"/>
  <c r="BI1630" i="7"/>
  <c r="BI1321" i="7"/>
  <c r="BI2191" i="7"/>
  <c r="BI1021" i="7"/>
  <c r="BI1080" i="7"/>
  <c r="BI802" i="7"/>
  <c r="BI922" i="7"/>
  <c r="BI159" i="7"/>
  <c r="BI956" i="7"/>
  <c r="BI445" i="7"/>
  <c r="BI639" i="7"/>
  <c r="BI1451" i="7"/>
  <c r="BI171" i="7"/>
  <c r="BI66" i="7"/>
  <c r="BI244" i="7"/>
  <c r="BI265" i="7"/>
  <c r="BI532" i="7"/>
  <c r="BI507" i="7"/>
  <c r="BI1375" i="7"/>
  <c r="BI654" i="7"/>
  <c r="BI1130" i="7"/>
  <c r="BI765" i="7"/>
  <c r="BI843" i="7"/>
  <c r="BI423" i="7"/>
  <c r="BI920" i="7"/>
  <c r="BI670" i="7"/>
  <c r="BI2057" i="7"/>
  <c r="BI1688" i="7"/>
  <c r="BI1411" i="7"/>
  <c r="BI2040" i="7"/>
  <c r="BI1332" i="7"/>
  <c r="BI900" i="7"/>
  <c r="BI1828" i="7"/>
  <c r="BI869" i="7"/>
  <c r="BI1337" i="7"/>
  <c r="BI2192" i="7"/>
  <c r="BI1402" i="7"/>
  <c r="BI1445" i="7"/>
  <c r="BI912" i="7"/>
  <c r="BI2187" i="7"/>
  <c r="BI675" i="7"/>
  <c r="BI1387" i="7"/>
  <c r="BI538" i="7"/>
  <c r="BI285" i="7"/>
  <c r="BI59" i="7"/>
  <c r="BI2028" i="7"/>
  <c r="BI864" i="7"/>
  <c r="BI1157" i="7"/>
  <c r="BI163" i="7"/>
  <c r="BI189" i="7"/>
  <c r="BI945" i="7"/>
  <c r="BI1444" i="7"/>
  <c r="BI569" i="7"/>
  <c r="BI213" i="7"/>
  <c r="BI650" i="7"/>
  <c r="BI547" i="7"/>
  <c r="BI477" i="7"/>
  <c r="BI861" i="7"/>
  <c r="BI1090" i="7"/>
  <c r="BI979" i="7"/>
  <c r="BI257" i="7"/>
  <c r="BI345" i="7"/>
  <c r="BI1256" i="7"/>
  <c r="BI1212" i="7"/>
  <c r="BI1791" i="7"/>
  <c r="BI2137" i="7"/>
  <c r="BI1145" i="7"/>
  <c r="BI1233" i="7"/>
  <c r="BI1133" i="7"/>
  <c r="BI1273" i="7"/>
  <c r="BI859" i="7"/>
  <c r="BI1315" i="7"/>
  <c r="BI905" i="7"/>
  <c r="BI992" i="7"/>
  <c r="BI2096" i="7"/>
  <c r="BI1852" i="7"/>
  <c r="BI1338" i="7"/>
  <c r="BI2052" i="7"/>
  <c r="BI1607" i="7"/>
  <c r="BI2032" i="7"/>
  <c r="BI915" i="7"/>
  <c r="BI1431" i="7"/>
  <c r="BI874" i="7"/>
  <c r="BI2176" i="7"/>
  <c r="BI1111" i="7"/>
  <c r="BI939" i="7"/>
  <c r="BI94" i="7"/>
  <c r="BI226" i="7"/>
  <c r="BI785" i="7"/>
  <c r="BI857" i="7"/>
  <c r="BI676" i="7"/>
  <c r="BI203" i="7"/>
  <c r="BI571" i="7"/>
  <c r="BI341" i="7"/>
  <c r="BI837" i="7"/>
  <c r="BI204" i="7"/>
  <c r="BI1728" i="7"/>
  <c r="BI1250" i="7"/>
  <c r="BI1114" i="7"/>
  <c r="BI993" i="7"/>
  <c r="BI1372" i="7"/>
  <c r="BI904" i="7"/>
  <c r="BI890" i="7"/>
  <c r="BI1621" i="7"/>
  <c r="BI1297" i="7"/>
  <c r="BI2121" i="7"/>
  <c r="BI619" i="7"/>
  <c r="BI1806" i="7"/>
  <c r="BI1141" i="7"/>
  <c r="BI1240" i="7"/>
  <c r="BI278" i="7"/>
  <c r="BI363" i="7"/>
  <c r="BI1247" i="7"/>
  <c r="BI1641" i="7"/>
  <c r="BI636" i="7"/>
  <c r="BI1721" i="7"/>
  <c r="BI1968" i="7"/>
  <c r="BI27" i="7"/>
  <c r="BI1882" i="7"/>
  <c r="BI1655" i="7"/>
  <c r="BI2209" i="7"/>
  <c r="BI1606" i="7"/>
  <c r="BI205" i="7"/>
  <c r="BI1049" i="7"/>
  <c r="BI885" i="7"/>
  <c r="BI245" i="7"/>
  <c r="BI970" i="7"/>
  <c r="BI551" i="7"/>
  <c r="BI719" i="7"/>
  <c r="BI366" i="7"/>
  <c r="BI497" i="7"/>
  <c r="BI554" i="7"/>
  <c r="BI1516" i="7"/>
  <c r="BI2012" i="7"/>
  <c r="BI1521" i="7"/>
  <c r="BI1128" i="7"/>
  <c r="BI1344" i="7"/>
  <c r="BI1218" i="7"/>
  <c r="BI717" i="7"/>
  <c r="BI1626" i="7"/>
  <c r="BI1801" i="7"/>
  <c r="BI703" i="7"/>
  <c r="BI693" i="7"/>
  <c r="BI1452" i="7"/>
  <c r="BI1809" i="7"/>
  <c r="BI1620" i="7"/>
  <c r="BI2169" i="7"/>
  <c r="BI1836" i="7"/>
  <c r="BI849" i="7"/>
  <c r="BI742" i="7"/>
  <c r="BI311" i="7"/>
  <c r="BI269" i="7"/>
  <c r="BI1961" i="7"/>
  <c r="BI801" i="7"/>
  <c r="BI1127" i="7"/>
  <c r="BI1901" i="7"/>
  <c r="BI1612" i="7"/>
  <c r="BI90" i="7"/>
  <c r="BI240" i="7"/>
  <c r="BI496" i="7"/>
  <c r="BI238" i="7"/>
  <c r="BI982" i="7"/>
  <c r="BI1210" i="7"/>
  <c r="BI1056" i="7"/>
  <c r="BI1656" i="7"/>
  <c r="BI1664" i="7"/>
  <c r="BI1414" i="7"/>
  <c r="BI816" i="7"/>
  <c r="BI1637" i="7"/>
  <c r="BI1243" i="7"/>
  <c r="BI1360" i="7"/>
  <c r="BI1336" i="7"/>
  <c r="BI1149" i="7"/>
  <c r="BI1642" i="7"/>
  <c r="BI1908" i="7"/>
  <c r="BI1051" i="7"/>
  <c r="BI1176" i="7"/>
  <c r="BI898" i="7"/>
  <c r="BI709" i="7"/>
  <c r="BI1807" i="7"/>
  <c r="BI1622" i="7"/>
  <c r="BI1840" i="7"/>
  <c r="BI1561" i="7"/>
  <c r="BI855" i="7"/>
  <c r="BI2094" i="7"/>
  <c r="BI932" i="7"/>
  <c r="BI158" i="7"/>
  <c r="BI1811" i="7"/>
  <c r="BI2183" i="7"/>
  <c r="BI911" i="7"/>
  <c r="BI917" i="7"/>
  <c r="BI1174" i="7"/>
  <c r="BI1610" i="7"/>
  <c r="BI923" i="7"/>
  <c r="BI683" i="7"/>
  <c r="BI2095" i="7"/>
  <c r="BI2077" i="7"/>
  <c r="BI1011" i="7"/>
  <c r="BI160" i="7"/>
  <c r="BI740" i="7"/>
  <c r="BI28" i="7"/>
  <c r="BI1115" i="7"/>
  <c r="BI241" i="7"/>
  <c r="BI1406" i="7"/>
  <c r="BI665" i="7"/>
  <c r="BI549" i="7"/>
  <c r="BI308" i="7"/>
  <c r="BI2044" i="7"/>
  <c r="BI1343" i="7"/>
  <c r="BI1249" i="7"/>
  <c r="BI2055" i="7"/>
  <c r="BI2074" i="7"/>
  <c r="BI1146" i="7"/>
  <c r="BI1345" i="7"/>
  <c r="BI1048" i="7"/>
  <c r="BI998" i="7"/>
  <c r="BI556" i="7"/>
  <c r="BI1020" i="7"/>
  <c r="BI39" i="7"/>
  <c r="BI1631" i="7"/>
  <c r="BI1864" i="7"/>
  <c r="BI826" i="7"/>
  <c r="BI494" i="7"/>
  <c r="BI527" i="7"/>
  <c r="BI1734" i="7"/>
  <c r="BI1119" i="7"/>
  <c r="BI2280" i="7"/>
  <c r="BI1354" i="7"/>
  <c r="BI1368" i="7"/>
  <c r="BI1001" i="7"/>
  <c r="BI697" i="7"/>
  <c r="BI1572" i="7"/>
  <c r="BI1617" i="7"/>
  <c r="BI312" i="7"/>
  <c r="BI1915" i="7"/>
  <c r="BI1831" i="7"/>
  <c r="BI1862" i="7"/>
  <c r="BI1604" i="7"/>
  <c r="BI630" i="7"/>
  <c r="BI889" i="7"/>
  <c r="BI334" i="7"/>
  <c r="BI142" i="7"/>
  <c r="BI695" i="7"/>
  <c r="BI1327" i="7"/>
  <c r="BI1894" i="7"/>
  <c r="BI1047" i="7"/>
  <c r="BI1091" i="7"/>
  <c r="BI661" i="7"/>
  <c r="BI2199" i="7"/>
  <c r="BI821" i="7"/>
  <c r="BI2061" i="7"/>
  <c r="BI921" i="7"/>
  <c r="BI1309" i="7"/>
  <c r="BI1628" i="7"/>
  <c r="BI252" i="7"/>
  <c r="BI126" i="7"/>
  <c r="BI1830" i="7"/>
  <c r="BI622" i="7"/>
  <c r="BI394" i="7"/>
  <c r="BI467" i="7"/>
  <c r="BI732" i="7"/>
  <c r="BI841" i="7"/>
  <c r="BI694" i="7"/>
  <c r="BI880" i="7"/>
  <c r="BI2046" i="7"/>
  <c r="BI1481" i="7"/>
  <c r="BI401" i="7"/>
  <c r="BI1648" i="7"/>
  <c r="BI1153" i="7"/>
  <c r="BI2161" i="7"/>
  <c r="BI891" i="7"/>
  <c r="BI1654" i="7"/>
  <c r="BI991" i="7"/>
  <c r="BI1365" i="7"/>
  <c r="BI1640" i="7"/>
  <c r="BI1134" i="7"/>
  <c r="BI1349" i="7"/>
  <c r="BI933" i="7"/>
  <c r="BI1749" i="7"/>
  <c r="BI1167" i="7"/>
  <c r="BI41" i="7"/>
  <c r="BI977" i="7"/>
  <c r="BI1298" i="7"/>
  <c r="BI1096" i="7"/>
  <c r="BI811" i="7"/>
  <c r="BI881" i="7"/>
  <c r="BI225" i="7"/>
  <c r="BI1099" i="7"/>
  <c r="BI2068" i="7"/>
  <c r="BI1376" i="7"/>
  <c r="BI568" i="7"/>
  <c r="BI2281" i="7"/>
  <c r="BI2034" i="7"/>
  <c r="BI1446" i="7"/>
  <c r="BI924" i="7"/>
  <c r="BI807" i="7"/>
  <c r="BI2030" i="7"/>
  <c r="BI1394" i="7"/>
  <c r="BI1875" i="7"/>
  <c r="BI731" i="7"/>
  <c r="BI901" i="7"/>
  <c r="BI1082" i="7"/>
  <c r="BI825" i="7"/>
  <c r="BI954" i="7"/>
  <c r="BI832" i="7"/>
  <c r="BI1858" i="7"/>
  <c r="BI735" i="7"/>
  <c r="BI1552" i="7"/>
  <c r="BI1234" i="7"/>
  <c r="BI2148" i="7"/>
  <c r="BI677" i="7"/>
  <c r="BI1269" i="7"/>
  <c r="BI1371" i="7"/>
  <c r="BI2097" i="7"/>
  <c r="BI1263" i="7"/>
  <c r="BI1074" i="7"/>
  <c r="BI441" i="7"/>
  <c r="BI373" i="7"/>
  <c r="BI207" i="7"/>
  <c r="BI1559" i="7"/>
  <c r="BI1015" i="7"/>
  <c r="BI1662" i="7"/>
  <c r="BI2070" i="7"/>
  <c r="BI940" i="7"/>
  <c r="BI936" i="7"/>
  <c r="BI2174" i="7"/>
  <c r="BI1627" i="7"/>
  <c r="BI1995" i="7"/>
  <c r="BI1578" i="7"/>
  <c r="BI2063" i="7"/>
  <c r="BI1398" i="7"/>
  <c r="BI1333" i="7"/>
  <c r="BI1019" i="7"/>
  <c r="BI1500" i="7"/>
  <c r="BI879" i="7"/>
  <c r="BI2079" i="7"/>
  <c r="BI1547" i="7"/>
  <c r="BI1808" i="7"/>
  <c r="BI455" i="7"/>
  <c r="BI840" i="7"/>
  <c r="BI1232" i="7"/>
  <c r="BI1016" i="7"/>
  <c r="BI1629" i="7"/>
  <c r="BI926" i="7"/>
  <c r="BI1797" i="7"/>
  <c r="BI2179" i="7"/>
  <c r="BI1464" i="7"/>
  <c r="BI2201" i="7"/>
  <c r="BI340" i="7"/>
  <c r="BI818" i="7"/>
  <c r="BI1449" i="7"/>
  <c r="BI1158" i="7"/>
  <c r="BI1326" i="7"/>
  <c r="BI2093" i="7"/>
  <c r="BI893" i="7"/>
  <c r="BI1182" i="7"/>
  <c r="BI1364" i="7"/>
  <c r="BI842" i="7"/>
  <c r="BI1052" i="7"/>
  <c r="BI929" i="7"/>
  <c r="BI1294" i="7"/>
  <c r="BI686" i="7"/>
  <c r="BI2038" i="7"/>
  <c r="BI448" i="7"/>
  <c r="BI1889" i="7"/>
  <c r="BI566" i="7"/>
  <c r="BI1649" i="7"/>
  <c r="BI284" i="7"/>
  <c r="BI435" i="7"/>
  <c r="BI1669" i="7"/>
  <c r="BI488" i="7"/>
  <c r="BI509" i="7"/>
  <c r="BI1902" i="7"/>
  <c r="BI1508" i="7"/>
  <c r="BI987" i="7"/>
  <c r="BI838" i="7"/>
  <c r="CN55" i="3"/>
  <c r="CN117" i="1"/>
  <c r="CN170" i="1"/>
  <c r="CN122" i="1"/>
  <c r="CN238" i="1"/>
  <c r="CN129" i="1"/>
  <c r="CN21" i="1"/>
  <c r="CN110" i="1"/>
  <c r="CN34" i="1"/>
  <c r="CN103" i="1"/>
  <c r="CN180" i="1"/>
  <c r="CN124" i="1"/>
  <c r="CN140" i="1"/>
  <c r="CN46" i="1"/>
  <c r="CN38" i="1"/>
  <c r="CN259" i="1"/>
  <c r="CN166" i="1"/>
  <c r="CN165" i="1"/>
  <c r="CN261" i="1"/>
  <c r="CN221" i="1"/>
  <c r="CN288" i="1"/>
  <c r="CN243" i="1"/>
  <c r="CN127" i="1"/>
  <c r="CN17" i="1"/>
  <c r="CN202" i="1"/>
  <c r="CN64" i="1"/>
  <c r="CN26" i="1"/>
  <c r="CN54" i="1"/>
  <c r="CN151" i="1"/>
  <c r="CN71" i="1"/>
  <c r="CN8" i="1"/>
  <c r="CN61" i="1"/>
  <c r="CN248" i="1"/>
  <c r="CN113" i="1"/>
  <c r="CN55" i="1"/>
  <c r="CN29" i="1"/>
  <c r="CN35" i="1"/>
  <c r="CN63" i="1"/>
  <c r="CN223" i="1"/>
  <c r="CN158" i="1"/>
  <c r="CN84" i="1"/>
  <c r="CN159" i="1"/>
  <c r="CN269" i="1"/>
  <c r="CN222" i="1"/>
  <c r="CN273" i="1"/>
  <c r="CN41" i="1"/>
  <c r="CN171" i="1"/>
  <c r="CN56" i="3"/>
  <c r="CN114" i="1"/>
  <c r="CN131" i="1"/>
  <c r="CN196" i="1"/>
  <c r="CN109" i="1"/>
  <c r="CN235" i="1"/>
  <c r="CN211" i="1"/>
  <c r="CN111" i="1"/>
  <c r="CN96" i="1"/>
  <c r="CN218" i="1"/>
  <c r="CN161" i="1"/>
  <c r="CN120" i="1"/>
  <c r="CN36" i="1"/>
  <c r="CN155" i="1"/>
  <c r="CN125" i="1"/>
  <c r="CN271" i="1"/>
  <c r="CN234" i="1"/>
  <c r="CN7" i="1"/>
  <c r="CN54" i="3"/>
  <c r="CN169" i="1"/>
  <c r="CN278" i="1"/>
  <c r="CN14" i="1"/>
  <c r="CN43" i="1"/>
  <c r="CN206" i="1"/>
  <c r="CN241" i="1"/>
  <c r="CR241" i="1" s="1"/>
  <c r="CS241" i="1" s="1"/>
  <c r="CN102" i="1"/>
  <c r="CN67" i="1"/>
  <c r="CN210" i="1"/>
  <c r="CN59" i="1"/>
  <c r="CN42" i="1"/>
  <c r="CN192" i="1"/>
  <c r="CN136" i="1"/>
  <c r="CN133" i="1"/>
  <c r="CN138" i="1"/>
  <c r="CN254" i="1"/>
  <c r="CN112" i="1"/>
  <c r="CN144" i="1"/>
  <c r="CN31" i="1"/>
  <c r="CN225" i="1"/>
  <c r="CN53" i="1"/>
  <c r="CN90" i="1"/>
  <c r="CN174" i="1"/>
  <c r="CN27" i="1"/>
  <c r="CN95" i="1"/>
  <c r="CN296" i="1"/>
  <c r="CN20" i="1"/>
  <c r="CN80" i="1"/>
  <c r="CN57" i="1"/>
  <c r="CN233" i="1"/>
  <c r="CN184" i="1"/>
  <c r="CN214" i="1"/>
  <c r="BK986" i="7"/>
  <c r="BK839" i="7"/>
  <c r="BK792" i="7"/>
  <c r="BK1036" i="7"/>
  <c r="BK764" i="7"/>
  <c r="BK948" i="7"/>
  <c r="BK901" i="7"/>
  <c r="BK919" i="7"/>
  <c r="BK1037" i="7"/>
  <c r="BK786" i="7"/>
  <c r="BK915" i="7"/>
  <c r="BK815" i="7"/>
  <c r="BK1017" i="7"/>
  <c r="BK782" i="7"/>
  <c r="BK993" i="7"/>
  <c r="BK906" i="7"/>
  <c r="BK1041" i="7"/>
  <c r="BK910" i="7"/>
  <c r="BK871" i="7"/>
  <c r="BK738" i="7"/>
  <c r="BK907" i="7"/>
  <c r="BK765" i="7"/>
  <c r="BK1024" i="7"/>
  <c r="BK846" i="7"/>
  <c r="BK809" i="7"/>
  <c r="BK1090" i="7"/>
  <c r="BK705" i="7"/>
  <c r="BK1011" i="7"/>
  <c r="BK875" i="7"/>
  <c r="BK953" i="7"/>
  <c r="BK801" i="7"/>
  <c r="BK799" i="7"/>
  <c r="BK779" i="7"/>
  <c r="BK759" i="7"/>
  <c r="BK1023" i="7"/>
  <c r="BK1156" i="7"/>
  <c r="BK1055" i="7"/>
  <c r="BK1080" i="7"/>
  <c r="BK1127" i="7"/>
  <c r="BK848" i="7"/>
  <c r="BK1026" i="7"/>
  <c r="BK1119" i="7"/>
  <c r="BK943" i="7"/>
  <c r="BK898" i="7"/>
  <c r="BK1132" i="7"/>
  <c r="BK970" i="7"/>
  <c r="BK856" i="7"/>
  <c r="BK895" i="7"/>
  <c r="BK1079" i="7"/>
  <c r="BK1157" i="7"/>
  <c r="BK1115" i="7"/>
  <c r="BK820" i="7"/>
  <c r="BK783" i="7"/>
  <c r="BK780" i="7"/>
  <c r="BK1068" i="7"/>
  <c r="BK1074" i="7"/>
  <c r="BK1112" i="7"/>
  <c r="BK1007" i="7"/>
  <c r="BK740" i="7"/>
  <c r="BK965" i="7"/>
  <c r="BK714" i="7"/>
  <c r="BK1094" i="7"/>
  <c r="BK837" i="7"/>
  <c r="BK1067" i="7"/>
  <c r="BK983" i="7"/>
  <c r="BK963" i="7"/>
  <c r="BK794" i="7"/>
  <c r="BK1060" i="7"/>
  <c r="BK1035" i="7"/>
  <c r="BK826" i="7"/>
  <c r="BK961" i="7"/>
  <c r="BK785" i="7"/>
  <c r="BK1059" i="7"/>
  <c r="BK891" i="7"/>
  <c r="BK1155" i="7"/>
  <c r="BK962" i="7"/>
  <c r="BK807" i="7"/>
  <c r="BK959" i="7"/>
  <c r="BK1114" i="7"/>
  <c r="BK843" i="7"/>
  <c r="BK739" i="7"/>
  <c r="BK781" i="7"/>
  <c r="BK709" i="7"/>
  <c r="BK838" i="7"/>
  <c r="BK894" i="7"/>
  <c r="BK1045" i="7"/>
  <c r="BK1158" i="7"/>
  <c r="BK710" i="7"/>
  <c r="BK1040" i="7"/>
  <c r="BK800" i="7"/>
  <c r="BK1054" i="7"/>
  <c r="BK825" i="7"/>
  <c r="BK1042" i="7"/>
  <c r="BK1085" i="7"/>
  <c r="BK890" i="7"/>
  <c r="BK699" i="7"/>
  <c r="BK818" i="7"/>
  <c r="BK2" i="8"/>
  <c r="BK982" i="7"/>
  <c r="BK1010" i="7"/>
  <c r="BK787" i="7"/>
  <c r="BK784" i="7"/>
  <c r="BK752" i="7"/>
  <c r="BK968" i="7"/>
  <c r="BK768" i="7"/>
  <c r="BK946" i="7"/>
  <c r="BK1102" i="7"/>
  <c r="BK751" i="7"/>
  <c r="BK1091" i="7"/>
  <c r="BK766" i="7"/>
  <c r="BK819" i="7"/>
  <c r="BK916" i="7"/>
  <c r="BK749" i="7"/>
  <c r="BK806" i="7"/>
  <c r="BK731" i="7"/>
  <c r="BK840" i="7"/>
  <c r="BK868" i="7"/>
  <c r="BK1126" i="7"/>
  <c r="BK997" i="7"/>
  <c r="BK704" i="7"/>
  <c r="BK917" i="7"/>
  <c r="BK719" i="7"/>
  <c r="BK992" i="7"/>
  <c r="BK790" i="7"/>
  <c r="BK999" i="7"/>
  <c r="BK744" i="7"/>
  <c r="BK1084" i="7"/>
  <c r="BK811" i="7"/>
  <c r="BK879" i="7"/>
  <c r="BK755" i="7"/>
  <c r="BK967" i="7"/>
  <c r="BK867" i="7"/>
  <c r="BK886" i="7"/>
  <c r="BK1064" i="7"/>
  <c r="BK1145" i="7"/>
  <c r="BK1063" i="7"/>
  <c r="BK1028" i="7"/>
  <c r="BK1100" i="7"/>
  <c r="BK990" i="7"/>
  <c r="BK1052" i="7"/>
  <c r="BK1105" i="7"/>
  <c r="BK808" i="7"/>
  <c r="BK1038" i="7"/>
  <c r="BK938" i="7"/>
  <c r="BK902" i="7"/>
  <c r="BK928" i="7"/>
  <c r="BK918" i="7"/>
  <c r="BK884" i="7"/>
  <c r="BK869" i="7"/>
  <c r="BK1053" i="7"/>
  <c r="BK1057" i="7"/>
  <c r="BK931" i="7"/>
  <c r="BK882" i="7"/>
  <c r="BK814" i="7"/>
  <c r="BK724" i="7"/>
  <c r="BK772" i="7"/>
  <c r="BK994" i="7"/>
  <c r="BK753" i="7"/>
  <c r="BK832" i="7"/>
  <c r="BK987" i="7"/>
  <c r="BK854" i="7"/>
  <c r="BK899" i="7"/>
  <c r="BK722" i="7"/>
  <c r="BK991" i="7"/>
  <c r="BK857" i="7"/>
  <c r="BK726" i="7"/>
  <c r="BK900" i="7"/>
  <c r="BK1050" i="7"/>
  <c r="BK750" i="7"/>
  <c r="BK883" i="7"/>
  <c r="BK1131" i="7"/>
  <c r="BK1141" i="7"/>
  <c r="BK904" i="7"/>
  <c r="BK954" i="7"/>
  <c r="BK703" i="7"/>
  <c r="BK1110" i="7"/>
  <c r="BK1118" i="7"/>
  <c r="BK824" i="7"/>
  <c r="BK1032" i="7"/>
  <c r="BK885" i="7"/>
  <c r="BK1003" i="7"/>
  <c r="BK733" i="7"/>
  <c r="BK734" i="7"/>
  <c r="BK1147" i="7"/>
  <c r="BK1000" i="7"/>
  <c r="BK889" i="7"/>
  <c r="BK1143" i="7"/>
  <c r="BK892" i="7"/>
  <c r="BK835" i="7"/>
  <c r="BK870" i="7"/>
  <c r="BK836" i="7"/>
  <c r="BK1082" i="7"/>
  <c r="BK956" i="7"/>
  <c r="BK1061" i="7"/>
  <c r="BK1056" i="7"/>
  <c r="BK937" i="7"/>
  <c r="BK712" i="7"/>
  <c r="BK776" i="7"/>
  <c r="BK777" i="7"/>
  <c r="BK1073" i="7"/>
  <c r="BK717" i="7"/>
  <c r="BK760" i="7"/>
  <c r="BK855" i="7"/>
  <c r="BK1107" i="7"/>
  <c r="BK988" i="7"/>
  <c r="BK862" i="7"/>
  <c r="BK842" i="7"/>
  <c r="BK1014" i="7"/>
  <c r="BK947" i="7"/>
  <c r="BK876" i="7"/>
  <c r="BK941" i="7"/>
  <c r="BK821" i="7"/>
  <c r="BK754" i="7"/>
  <c r="BK1070" i="7"/>
  <c r="BK1099" i="7"/>
  <c r="BK770" i="7"/>
  <c r="BK796" i="7"/>
  <c r="BK1069" i="7"/>
  <c r="BK850" i="7"/>
  <c r="BK1048" i="7"/>
  <c r="BK1103" i="7"/>
  <c r="BK1065" i="7"/>
  <c r="BK802" i="7"/>
  <c r="BK1019" i="7"/>
  <c r="BK989" i="7"/>
  <c r="BK951" i="7"/>
  <c r="BK822" i="7"/>
  <c r="BK969" i="7"/>
  <c r="BK1123" i="7"/>
  <c r="BK804" i="7"/>
  <c r="BK1087" i="7"/>
  <c r="BK816" i="7"/>
  <c r="BK713" i="7"/>
  <c r="BK1137" i="7"/>
  <c r="BK1016" i="7"/>
  <c r="BK942" i="7"/>
  <c r="BK995" i="7"/>
  <c r="BK1134" i="7"/>
  <c r="BK952" i="7"/>
  <c r="BK762" i="7"/>
  <c r="BK861" i="7"/>
  <c r="BK964" i="7"/>
  <c r="BK830" i="7"/>
  <c r="BK810" i="7"/>
  <c r="BK727" i="7"/>
  <c r="BK1018" i="7"/>
  <c r="BK927" i="7"/>
  <c r="BK980" i="7"/>
  <c r="BK743" i="7"/>
  <c r="BK698" i="7"/>
  <c r="BK985" i="7"/>
  <c r="BK788" i="7"/>
  <c r="BK897" i="7"/>
  <c r="BK725" i="7"/>
  <c r="BK1002" i="7"/>
  <c r="BK748" i="7"/>
  <c r="BK888" i="7"/>
  <c r="BK1125" i="7"/>
  <c r="BK1095" i="7"/>
  <c r="BK707" i="7"/>
  <c r="BK841" i="7"/>
  <c r="BK1046" i="7"/>
  <c r="BK1093" i="7"/>
  <c r="BK1146" i="7"/>
  <c r="BK767" i="7"/>
  <c r="BK1076" i="7"/>
  <c r="BK1108" i="7"/>
  <c r="BK1117" i="7"/>
  <c r="BK700" i="7"/>
  <c r="BK742" i="7"/>
  <c r="BK763" i="7"/>
  <c r="BK732" i="7"/>
  <c r="BK1152" i="7"/>
  <c r="BK1008" i="7"/>
  <c r="BK860" i="7"/>
  <c r="BK1009" i="7"/>
  <c r="BK864" i="7"/>
  <c r="BK863" i="7"/>
  <c r="BK971" i="7"/>
  <c r="BK1133" i="7"/>
  <c r="BK866" i="7"/>
  <c r="BK1034" i="7"/>
  <c r="BK1006" i="7"/>
  <c r="BK939" i="7"/>
  <c r="BK1086" i="7"/>
  <c r="BK817" i="7"/>
  <c r="BK1139" i="7"/>
  <c r="BK950" i="7"/>
  <c r="BK908" i="7"/>
  <c r="BK913" i="7"/>
  <c r="BK1072" i="7"/>
  <c r="BK933" i="7"/>
  <c r="BK1089" i="7"/>
  <c r="BK878" i="7"/>
  <c r="BK926" i="7"/>
  <c r="BK934" i="7"/>
  <c r="BK745" i="7"/>
  <c r="BK920" i="7"/>
  <c r="BK1109" i="7"/>
  <c r="BK996" i="7"/>
  <c r="BK771" i="7"/>
  <c r="BK805" i="7"/>
  <c r="BK1078" i="7"/>
  <c r="BK1101" i="7"/>
  <c r="BK979" i="7"/>
  <c r="BK701" i="7"/>
  <c r="BK798" i="7"/>
  <c r="BK905" i="7"/>
  <c r="BK1062" i="7"/>
  <c r="BK757" i="7"/>
  <c r="BK1044" i="7"/>
  <c r="BK833" i="7"/>
  <c r="BK774" i="7"/>
  <c r="BK1021" i="7"/>
  <c r="BK1029" i="7"/>
  <c r="BK903" i="7"/>
  <c r="BK998" i="7"/>
  <c r="BK827" i="7"/>
  <c r="BK978" i="7"/>
  <c r="BK1083" i="7"/>
  <c r="BK797" i="7"/>
  <c r="BK1075" i="7"/>
  <c r="BK803" i="7"/>
  <c r="BK972" i="7"/>
  <c r="BK1058" i="7"/>
  <c r="BK1081" i="7"/>
  <c r="BK761" i="7"/>
  <c r="BK747" i="7"/>
  <c r="BK769" i="7"/>
  <c r="BK1025" i="7"/>
  <c r="BK949" i="7"/>
  <c r="BK1012" i="7"/>
  <c r="BK932" i="7"/>
  <c r="BK874" i="7"/>
  <c r="BK730" i="7"/>
  <c r="BK944" i="7"/>
  <c r="BK873" i="7"/>
  <c r="BK1151" i="7"/>
  <c r="BK1135" i="7"/>
  <c r="BK984" i="7"/>
  <c r="BK893" i="7"/>
  <c r="BK789" i="7"/>
  <c r="BK845" i="7"/>
  <c r="BK1092" i="7"/>
  <c r="BK1071" i="7"/>
  <c r="BK1097" i="7"/>
  <c r="BK746" i="7"/>
  <c r="BK881" i="7"/>
  <c r="BK1033" i="7"/>
  <c r="BK974" i="7"/>
  <c r="BK736" i="7"/>
  <c r="BK1130" i="7"/>
  <c r="BK706" i="7"/>
  <c r="BK708" i="7"/>
  <c r="BK1122" i="7"/>
  <c r="BK1051" i="7"/>
  <c r="BK716" i="7"/>
  <c r="BK945" i="7"/>
  <c r="BK1111" i="7"/>
  <c r="BK1022" i="7"/>
  <c r="BK929" i="7"/>
  <c r="BK773" i="7"/>
  <c r="BK872" i="7"/>
  <c r="BK977" i="7"/>
  <c r="BK936" i="7"/>
  <c r="BK831" i="7"/>
  <c r="BK1113" i="7"/>
  <c r="BK851" i="7"/>
  <c r="BK1020" i="7"/>
  <c r="BK1149" i="7"/>
  <c r="BK823" i="7"/>
  <c r="BK1121" i="7"/>
  <c r="BK723" i="7"/>
  <c r="BK923" i="7"/>
  <c r="BK960" i="7"/>
  <c r="BK912" i="7"/>
  <c r="BK1120" i="7"/>
  <c r="BK973" i="7"/>
  <c r="BK955" i="7"/>
  <c r="BK1136" i="7"/>
  <c r="BK715" i="7"/>
  <c r="BK865" i="7"/>
  <c r="BK1077" i="7"/>
  <c r="BK1049" i="7"/>
  <c r="BK1001" i="7"/>
  <c r="BK1039" i="7"/>
  <c r="BK966" i="7"/>
  <c r="BK930" i="7"/>
  <c r="BK922" i="7"/>
  <c r="BK858" i="7"/>
  <c r="BK981" i="7"/>
  <c r="BK791" i="7"/>
  <c r="BK940" i="7"/>
  <c r="BK1106" i="7"/>
  <c r="BK735" i="7"/>
  <c r="BK1129" i="7"/>
  <c r="BK887" i="7"/>
  <c r="BK1104" i="7"/>
  <c r="BK1124" i="7"/>
  <c r="BK1128" i="7"/>
  <c r="BK721" i="7"/>
  <c r="BK1047" i="7"/>
  <c r="BK828" i="7"/>
  <c r="BK834" i="7"/>
  <c r="BK976" i="7"/>
  <c r="BK778" i="7"/>
  <c r="BK1098" i="7"/>
  <c r="BK1005" i="7"/>
  <c r="BK877" i="7"/>
  <c r="BK853" i="7"/>
  <c r="BK911" i="7"/>
  <c r="BK925" i="7"/>
  <c r="BK812" i="7"/>
  <c r="BK1031" i="7"/>
  <c r="BK829" i="7"/>
  <c r="BK1142" i="7"/>
  <c r="BK896" i="7"/>
  <c r="BK849" i="7"/>
  <c r="BK795" i="7"/>
  <c r="BK957" i="7"/>
  <c r="BK958" i="7"/>
  <c r="BK1116" i="7"/>
  <c r="BK859" i="7"/>
  <c r="BK847" i="7"/>
  <c r="BK1150" i="7"/>
  <c r="BK1096" i="7"/>
  <c r="BK756" i="7"/>
  <c r="BK921" i="7"/>
  <c r="BK720" i="7"/>
  <c r="BK711" i="7"/>
  <c r="BK728" i="7"/>
  <c r="BK909" i="7"/>
  <c r="BK1015" i="7"/>
  <c r="BK1153" i="7"/>
  <c r="BK914" i="7"/>
  <c r="BK924" i="7"/>
  <c r="BK758" i="7"/>
  <c r="BK702" i="7"/>
  <c r="BK880" i="7"/>
  <c r="BK1013" i="7"/>
  <c r="BK1030" i="7"/>
  <c r="BK1140" i="7"/>
  <c r="BK1027" i="7"/>
  <c r="BK1043" i="7"/>
  <c r="BK844" i="7"/>
  <c r="BK852" i="7"/>
  <c r="BK1066" i="7"/>
  <c r="BK935" i="7"/>
  <c r="BK718" i="7"/>
  <c r="BK775" i="7"/>
  <c r="BK1004" i="7"/>
  <c r="BK1154" i="7"/>
  <c r="BK729" i="7"/>
  <c r="BK813" i="7"/>
  <c r="BK737" i="7"/>
  <c r="BK1148" i="7"/>
  <c r="BK741" i="7"/>
  <c r="BK975" i="7"/>
  <c r="BK1138" i="7"/>
  <c r="BK1144" i="7"/>
  <c r="BK1088" i="7"/>
  <c r="BK793" i="7"/>
  <c r="CP117" i="1"/>
  <c r="CR117" i="1" s="1"/>
  <c r="CS117" i="1" s="1"/>
  <c r="CP139" i="1"/>
  <c r="CP122" i="1"/>
  <c r="CR122" i="1" s="1"/>
  <c r="CS122" i="1" s="1"/>
  <c r="CU122" i="1" s="1"/>
  <c r="CX122" i="1" s="1"/>
  <c r="CP129" i="1"/>
  <c r="CP127" i="1"/>
  <c r="CP104" i="1"/>
  <c r="CP99" i="1"/>
  <c r="CP98" i="1"/>
  <c r="CR98" i="1" s="1"/>
  <c r="CS98" i="1" s="1"/>
  <c r="CU98" i="1" s="1"/>
  <c r="CP147" i="1"/>
  <c r="CP114" i="1"/>
  <c r="CP131" i="1"/>
  <c r="CP109" i="1"/>
  <c r="CP120" i="1"/>
  <c r="CP112" i="1"/>
  <c r="CP144" i="1"/>
  <c r="CP55" i="3"/>
  <c r="CP95" i="1"/>
  <c r="CP108" i="1"/>
  <c r="CL186" i="1"/>
  <c r="CQ186" i="1" s="1"/>
  <c r="CT186" i="1" s="1"/>
  <c r="CL63" i="1"/>
  <c r="CL198" i="1"/>
  <c r="CQ198" i="1" s="1"/>
  <c r="CT198" i="1" s="1"/>
  <c r="CL13" i="1"/>
  <c r="CQ13" i="1" s="1"/>
  <c r="CT13" i="1" s="1"/>
  <c r="CL128" i="1"/>
  <c r="CQ128" i="1" s="1"/>
  <c r="CT128" i="1" s="1"/>
  <c r="CL35" i="1"/>
  <c r="CQ35" i="1" s="1"/>
  <c r="CT35" i="1" s="1"/>
  <c r="CL29" i="1"/>
  <c r="CQ29" i="1" s="1"/>
  <c r="CT29" i="1" s="1"/>
  <c r="CL68" i="1"/>
  <c r="CQ68" i="1" s="1"/>
  <c r="CT68" i="1" s="1"/>
  <c r="CL86" i="1"/>
  <c r="CQ86" i="1" s="1"/>
  <c r="CT86" i="1" s="1"/>
  <c r="CL162" i="1"/>
  <c r="CQ162" i="1" s="1"/>
  <c r="CT162" i="1" s="1"/>
  <c r="CL83" i="1"/>
  <c r="CQ83" i="1" s="1"/>
  <c r="CT83" i="1" s="1"/>
  <c r="CL55" i="1"/>
  <c r="CQ55" i="1" s="1"/>
  <c r="CT55" i="1" s="1"/>
  <c r="CL113" i="1"/>
  <c r="CQ113" i="1" s="1"/>
  <c r="CT113" i="1" s="1"/>
  <c r="CL247" i="1"/>
  <c r="CQ247" i="1" s="1"/>
  <c r="CT247" i="1" s="1"/>
  <c r="CL185" i="1"/>
  <c r="CQ185" i="1" s="1"/>
  <c r="CL16" i="1"/>
  <c r="CL98" i="1"/>
  <c r="CQ98" i="1" s="1"/>
  <c r="CT98" i="1" s="1"/>
  <c r="CL10" i="1"/>
  <c r="CQ10" i="1" s="1"/>
  <c r="CT10" i="1" s="1"/>
  <c r="CL190" i="1"/>
  <c r="CQ190" i="1" s="1"/>
  <c r="CT190" i="1" s="1"/>
  <c r="CL300" i="1"/>
  <c r="CQ300" i="1" s="1"/>
  <c r="CT300" i="1" s="1"/>
  <c r="CL248" i="1"/>
  <c r="CQ248" i="1" s="1"/>
  <c r="CT248" i="1" s="1"/>
  <c r="CL61" i="1"/>
  <c r="CQ61" i="1" s="1"/>
  <c r="CT61" i="1" s="1"/>
  <c r="CL8" i="1"/>
  <c r="CQ8" i="1" s="1"/>
  <c r="CT8" i="1" s="1"/>
  <c r="CL71" i="1"/>
  <c r="CQ71" i="1" s="1"/>
  <c r="CT71" i="1" s="1"/>
  <c r="CL81" i="1"/>
  <c r="CQ81" i="1" s="1"/>
  <c r="CT81" i="1" s="1"/>
  <c r="CL151" i="1"/>
  <c r="CQ151" i="1" s="1"/>
  <c r="CT151" i="1" s="1"/>
  <c r="CM91" i="1"/>
  <c r="CM124" i="1"/>
  <c r="CM280" i="1"/>
  <c r="CM232" i="1"/>
  <c r="CM287" i="1"/>
  <c r="CM180" i="1"/>
  <c r="CM134" i="1"/>
  <c r="CM33" i="1"/>
  <c r="CM299" i="1"/>
  <c r="CM15" i="1"/>
  <c r="CM34" i="1"/>
  <c r="CM110" i="1"/>
  <c r="CM305" i="1"/>
  <c r="CM249" i="1"/>
  <c r="CM277" i="1"/>
  <c r="CM121" i="1"/>
  <c r="CM157" i="1"/>
  <c r="CM303" i="1"/>
  <c r="CM21" i="1"/>
  <c r="CM129" i="1"/>
  <c r="CM238" i="1"/>
  <c r="CM122" i="1"/>
  <c r="CM170" i="1"/>
  <c r="CM139" i="1"/>
  <c r="CM117" i="1"/>
  <c r="CP40" i="1"/>
  <c r="CP237" i="1"/>
  <c r="CP11" i="1"/>
  <c r="CP39" i="1"/>
  <c r="CP79" i="1"/>
  <c r="CR79" i="1" s="1"/>
  <c r="CS79" i="1" s="1"/>
  <c r="CP214" i="1"/>
  <c r="CR214" i="1" s="1"/>
  <c r="CS214" i="1" s="1"/>
  <c r="CP184" i="1"/>
  <c r="CP200" i="1"/>
  <c r="CP262" i="1"/>
  <c r="CP4" i="1"/>
  <c r="CP233" i="1"/>
  <c r="CP57" i="1"/>
  <c r="CP80" i="1"/>
  <c r="CP276" i="1"/>
  <c r="CP188" i="1"/>
  <c r="CP308" i="1"/>
  <c r="CR308" i="1" s="1"/>
  <c r="CS308" i="1" s="1"/>
  <c r="CP239" i="1"/>
  <c r="CP293" i="1"/>
  <c r="CR293" i="1" s="1"/>
  <c r="CS293" i="1" s="1"/>
  <c r="CU293" i="1" s="1"/>
  <c r="CX293" i="1" s="1"/>
  <c r="CO51" i="1"/>
  <c r="CO93" i="1"/>
  <c r="CO153" i="1"/>
  <c r="CO116" i="1"/>
  <c r="CO297" i="1"/>
  <c r="CO259" i="1"/>
  <c r="CO140" i="1"/>
  <c r="CN167" i="1"/>
  <c r="CN219" i="1"/>
  <c r="CN76" i="1"/>
  <c r="CN130" i="1"/>
  <c r="BI948" i="7"/>
  <c r="BI1577" i="7"/>
  <c r="BI1974" i="7"/>
  <c r="BI2195" i="7"/>
  <c r="BI1685" i="7"/>
  <c r="BI1450" i="7"/>
  <c r="BI2004" i="7"/>
  <c r="BI884" i="7"/>
  <c r="BI214" i="7"/>
  <c r="BI1651" i="7"/>
  <c r="BI2256" i="7"/>
  <c r="BI1735" i="7"/>
  <c r="BI557" i="7"/>
  <c r="BI306" i="7"/>
  <c r="BI1353" i="7"/>
  <c r="BI2089" i="7"/>
  <c r="BI2251" i="7"/>
  <c r="BI808" i="7"/>
  <c r="BI251" i="7"/>
  <c r="BI542" i="7"/>
  <c r="BI143" i="7"/>
  <c r="BI141" i="7"/>
  <c r="BI484" i="7"/>
  <c r="BI1379" i="7"/>
  <c r="BI135" i="7"/>
  <c r="BI2106" i="7"/>
  <c r="BI1342" i="7"/>
  <c r="BI2193" i="7"/>
  <c r="BI602" i="7"/>
  <c r="BI1920" i="7"/>
  <c r="BI2123" i="7"/>
  <c r="BI548" i="7"/>
  <c r="BI261" i="7"/>
  <c r="BI612" i="7"/>
  <c r="BI1264" i="7"/>
  <c r="BI281" i="7"/>
  <c r="BI1423" i="7"/>
  <c r="BI989" i="7"/>
  <c r="BI833" i="7"/>
  <c r="BI1421" i="7"/>
  <c r="BI1220" i="7"/>
  <c r="BI669" i="7"/>
  <c r="BI1214" i="7"/>
  <c r="BI2198" i="7"/>
  <c r="BI1625" i="7"/>
  <c r="BI1946" i="7"/>
  <c r="BI481" i="7"/>
  <c r="BI2120" i="7"/>
  <c r="BI414" i="7"/>
  <c r="BI804" i="7"/>
  <c r="BI794" i="7"/>
  <c r="BI491" i="7"/>
  <c r="BI759" i="7"/>
  <c r="BI1219" i="7"/>
  <c r="BI2035" i="7"/>
  <c r="BI119" i="7"/>
  <c r="BI1144" i="7"/>
  <c r="BI458" i="7"/>
  <c r="BI404" i="7"/>
  <c r="BI1358" i="7"/>
  <c r="BI2212" i="7"/>
  <c r="BI1386" i="7"/>
  <c r="BI1405" i="7"/>
  <c r="BI671" i="7"/>
  <c r="BI1885" i="7"/>
  <c r="BI648" i="7"/>
  <c r="BI1169" i="7"/>
  <c r="BI2064" i="7"/>
  <c r="BI1478" i="7"/>
  <c r="BI324" i="7"/>
  <c r="BI1098" i="7"/>
  <c r="BI1931" i="7"/>
  <c r="BI272" i="7"/>
  <c r="BI1713" i="7"/>
  <c r="BI1770" i="7"/>
  <c r="BI645" i="7"/>
  <c r="BI1281" i="7"/>
  <c r="BI748" i="7"/>
  <c r="BI1231" i="7"/>
  <c r="BI1647" i="7"/>
  <c r="BI1125" i="7"/>
  <c r="BI1284" i="7"/>
  <c r="BI1850" i="7"/>
  <c r="BI774" i="7"/>
  <c r="BI1590" i="7"/>
  <c r="BI997" i="7"/>
  <c r="BI2255" i="7"/>
  <c r="BI942" i="7"/>
  <c r="BI1767" i="7"/>
  <c r="BI986" i="7"/>
  <c r="BI1502" i="7"/>
  <c r="BI1856" i="7"/>
  <c r="BI437" i="7"/>
  <c r="BI1198" i="7"/>
  <c r="BI2023" i="7"/>
  <c r="BI1291" i="7"/>
  <c r="BI1953" i="7"/>
  <c r="BI1348" i="7"/>
  <c r="BI1775" i="7"/>
  <c r="BI1041" i="7"/>
  <c r="BI1794" i="7"/>
  <c r="BI1778" i="7"/>
  <c r="BI2202" i="7"/>
  <c r="BI2115" i="7"/>
  <c r="BI2242" i="7"/>
  <c r="BI1156" i="7"/>
  <c r="BI206" i="7"/>
  <c r="CN227" i="1"/>
  <c r="CN152" i="1"/>
  <c r="CN177" i="1"/>
  <c r="CN179" i="1"/>
  <c r="BH105" i="8"/>
  <c r="BH101" i="8"/>
  <c r="BH102" i="8"/>
  <c r="BH13" i="8"/>
  <c r="BH103" i="8"/>
  <c r="BH14" i="8"/>
  <c r="BH100" i="8"/>
  <c r="BH104" i="8"/>
  <c r="BH99" i="8"/>
  <c r="BH316" i="7"/>
  <c r="BH84" i="7"/>
  <c r="BH578" i="7"/>
  <c r="BH594" i="7"/>
  <c r="BH981" i="7"/>
  <c r="BH1080" i="7"/>
  <c r="BH1074" i="7"/>
  <c r="BH1168" i="7"/>
  <c r="BH1940" i="7"/>
  <c r="BH63" i="7"/>
  <c r="BH1420" i="7"/>
  <c r="BH83" i="7"/>
  <c r="BH1090" i="7"/>
  <c r="BH1513" i="7"/>
  <c r="BH1007" i="7"/>
  <c r="BH347" i="7"/>
  <c r="BH1689" i="7"/>
  <c r="BH1075" i="7"/>
  <c r="BH77" i="7"/>
  <c r="BH1674" i="7"/>
  <c r="BH549" i="7"/>
  <c r="BH312" i="7"/>
  <c r="BH469" i="7"/>
  <c r="BH285" i="7"/>
  <c r="BH74" i="7"/>
  <c r="BH1361" i="7"/>
  <c r="BH506" i="7"/>
  <c r="BH1512" i="7"/>
  <c r="BH564" i="7"/>
  <c r="BH515" i="7"/>
  <c r="BH828" i="7"/>
  <c r="BH893" i="7"/>
  <c r="BH43" i="7"/>
  <c r="BH1191" i="7"/>
  <c r="BH127" i="7"/>
  <c r="BH298" i="7"/>
  <c r="BH973" i="7"/>
  <c r="BH1921" i="7"/>
  <c r="BH397" i="7"/>
  <c r="BH160" i="7"/>
  <c r="BH247" i="7"/>
  <c r="BH1591" i="7"/>
  <c r="BH372" i="7"/>
  <c r="BH1708" i="7"/>
  <c r="BH674" i="7"/>
  <c r="BH1678" i="7"/>
  <c r="BH1097" i="7"/>
  <c r="BH873" i="7"/>
  <c r="BH588" i="7"/>
  <c r="BH374" i="7"/>
  <c r="BH1221" i="7"/>
  <c r="BH1011" i="7"/>
  <c r="BH75" i="7"/>
  <c r="BH272" i="7"/>
  <c r="BH545" i="7"/>
  <c r="BH72" i="7"/>
  <c r="BH841" i="7"/>
  <c r="BH843" i="7"/>
  <c r="BH2156" i="7"/>
  <c r="BH314" i="7"/>
  <c r="BH516" i="7"/>
  <c r="BH1202" i="7"/>
  <c r="BH671" i="7"/>
  <c r="BH613" i="7"/>
  <c r="BH2173" i="7"/>
  <c r="BH1928" i="7"/>
  <c r="BH1774" i="7"/>
  <c r="BH648" i="7"/>
  <c r="BH1927" i="7"/>
  <c r="BH1586" i="7"/>
  <c r="BH11" i="7"/>
  <c r="BH125" i="7"/>
  <c r="BH617" i="7"/>
  <c r="BH194" i="7"/>
  <c r="BH476" i="7"/>
  <c r="BH169" i="7"/>
  <c r="BH1389" i="7"/>
  <c r="BH1261" i="7"/>
  <c r="BH1027" i="7"/>
  <c r="BH1018" i="7"/>
  <c r="BH1246" i="7"/>
  <c r="BH1476" i="7"/>
  <c r="BH618" i="7"/>
  <c r="BH1379" i="7"/>
  <c r="BH1227" i="7"/>
  <c r="BH1589" i="7"/>
  <c r="BH715" i="7"/>
  <c r="BH575" i="7"/>
  <c r="BH729" i="7"/>
  <c r="BH479" i="7"/>
  <c r="BH338" i="7"/>
  <c r="BH643" i="7"/>
  <c r="BH284" i="7"/>
  <c r="BH1309" i="7"/>
  <c r="BH1188" i="7"/>
  <c r="BH1207" i="7"/>
  <c r="BH45" i="7"/>
  <c r="BH1326" i="7"/>
  <c r="BH581" i="7"/>
  <c r="BH1387" i="7"/>
  <c r="BH1038" i="7"/>
  <c r="BH1014" i="7"/>
  <c r="BH758" i="7"/>
  <c r="BH1359" i="7"/>
  <c r="BH902" i="7"/>
  <c r="BH260" i="7"/>
  <c r="BH1139" i="7"/>
  <c r="BH450" i="7"/>
  <c r="BH719" i="7"/>
  <c r="BH966" i="7"/>
  <c r="BH536" i="7"/>
  <c r="BH1474" i="7"/>
  <c r="BH2014" i="7"/>
  <c r="BH1487" i="7"/>
  <c r="BH1240" i="7"/>
  <c r="BH493" i="7"/>
  <c r="BH138" i="7"/>
  <c r="BH189" i="7"/>
  <c r="BH1672" i="7"/>
  <c r="BH702" i="7"/>
  <c r="BH291" i="7"/>
  <c r="BH478" i="7"/>
  <c r="BH1764" i="7"/>
  <c r="BH896" i="7"/>
  <c r="BH2162" i="7"/>
  <c r="BH527" i="7"/>
  <c r="BH223" i="7"/>
  <c r="BH287" i="7"/>
  <c r="BH1655" i="7"/>
  <c r="BH188" i="7"/>
  <c r="BH186" i="7"/>
  <c r="BH1729" i="7"/>
  <c r="BH1291" i="7"/>
  <c r="BH373" i="7"/>
  <c r="BH1141" i="7"/>
  <c r="BH998" i="7"/>
  <c r="BH483" i="7"/>
  <c r="BH2215" i="7"/>
  <c r="BH1472" i="7"/>
  <c r="BH65" i="7"/>
  <c r="BH1980" i="7"/>
  <c r="BH827" i="7"/>
  <c r="BH1257" i="7"/>
  <c r="BH1880" i="7"/>
  <c r="BH1741" i="7"/>
  <c r="BH142" i="7"/>
  <c r="BH534" i="7"/>
  <c r="BH1381" i="7"/>
  <c r="BH196" i="7"/>
  <c r="BH1318" i="7"/>
  <c r="BH1380" i="7"/>
  <c r="BH307" i="7"/>
  <c r="BH1192" i="7"/>
  <c r="BH1786" i="7"/>
  <c r="BH1159" i="7"/>
  <c r="BH533" i="7"/>
  <c r="BH375" i="7"/>
  <c r="BH1911" i="7"/>
  <c r="BH413" i="7"/>
  <c r="BH1879" i="7"/>
  <c r="BH446" i="7"/>
  <c r="BH443" i="7"/>
  <c r="BH1172" i="7"/>
  <c r="BH1426" i="7"/>
  <c r="BH313" i="7"/>
  <c r="BH863" i="7"/>
  <c r="BH1863" i="7"/>
  <c r="BH271" i="7"/>
  <c r="BH114" i="7"/>
  <c r="BH5" i="7"/>
  <c r="BH916" i="7"/>
  <c r="BH1485" i="7"/>
  <c r="BH1034" i="7"/>
  <c r="BH1006" i="7"/>
  <c r="BH229" i="7"/>
  <c r="BH1353" i="7"/>
  <c r="BH460" i="7"/>
  <c r="BH1570" i="7"/>
  <c r="BH874" i="7"/>
  <c r="BH4" i="7"/>
  <c r="BH975" i="7"/>
  <c r="BH1316" i="7"/>
  <c r="BH1136" i="7"/>
  <c r="BH1805" i="7"/>
  <c r="BH1129" i="7"/>
  <c r="BH197" i="7"/>
  <c r="BH1518" i="7"/>
  <c r="BH1987" i="7"/>
  <c r="BH398" i="7"/>
  <c r="BH6" i="7"/>
  <c r="BH64" i="7"/>
  <c r="BH113" i="7"/>
  <c r="BH1982" i="7"/>
  <c r="BH620" i="7"/>
  <c r="BH713" i="7"/>
  <c r="BH123" i="7"/>
  <c r="BH597" i="7"/>
  <c r="BH1005" i="7"/>
  <c r="BH1807" i="7"/>
  <c r="BH1277" i="7"/>
  <c r="BH326" i="7"/>
  <c r="BH1334" i="7"/>
  <c r="BH1622" i="7"/>
  <c r="BH2019" i="7"/>
  <c r="BH301" i="7"/>
  <c r="BH1812" i="7"/>
  <c r="BH243" i="7"/>
  <c r="BH1043" i="7"/>
  <c r="BH136" i="7"/>
  <c r="BH1661" i="7"/>
  <c r="BH2021" i="7"/>
  <c r="BH1255" i="7"/>
  <c r="BH642" i="7"/>
  <c r="BH2045" i="7"/>
  <c r="BH2159" i="7"/>
  <c r="BH556" i="7"/>
  <c r="BH1328" i="7"/>
  <c r="BH924" i="7"/>
  <c r="BH687" i="7"/>
  <c r="BH1410" i="7"/>
  <c r="BH2265" i="7"/>
  <c r="BH957" i="7"/>
  <c r="BH2205" i="7"/>
  <c r="BH1646" i="7"/>
  <c r="BH2230" i="7"/>
  <c r="BH1867" i="7"/>
  <c r="BH1396" i="7"/>
  <c r="BH837" i="7"/>
  <c r="BH565" i="7"/>
  <c r="BH129" i="7"/>
  <c r="BH76" i="7"/>
  <c r="BH722" i="7"/>
  <c r="BH1698" i="7"/>
  <c r="BH306" i="7"/>
  <c r="BH675" i="7"/>
  <c r="BH1339" i="7"/>
  <c r="BH551" i="7"/>
  <c r="BH42" i="7"/>
  <c r="BH840" i="7"/>
  <c r="BH554" i="7"/>
  <c r="BH67" i="7"/>
  <c r="BH3" i="7"/>
  <c r="BH191" i="7"/>
  <c r="BH308" i="7"/>
  <c r="BH1258" i="7"/>
  <c r="BH1185" i="7"/>
  <c r="BH1926" i="7"/>
  <c r="BH2267" i="7"/>
  <c r="BH733" i="7"/>
  <c r="BH426" i="7"/>
  <c r="BH505" i="7"/>
  <c r="BH2076" i="7"/>
  <c r="BH892" i="7"/>
  <c r="BH835" i="7"/>
  <c r="BH1251" i="7"/>
  <c r="BH678" i="7"/>
  <c r="BH1462" i="7"/>
  <c r="BH1790" i="7"/>
  <c r="BH386" i="7"/>
  <c r="BH2233" i="7"/>
  <c r="BH920" i="7"/>
  <c r="BH289" i="7"/>
  <c r="BH24" i="7"/>
  <c r="BH626" i="7"/>
  <c r="BH539" i="7"/>
  <c r="BH57" i="7"/>
  <c r="BH13" i="7"/>
  <c r="BH1709" i="7"/>
  <c r="BH1580" i="7"/>
  <c r="BH69" i="7"/>
  <c r="BH980" i="7"/>
  <c r="BH746" i="7"/>
  <c r="BH1304" i="7"/>
  <c r="BH1057" i="7"/>
  <c r="BH553" i="7"/>
  <c r="BH1558" i="7"/>
  <c r="BH1776" i="7"/>
  <c r="BH357" i="7"/>
  <c r="BH311" i="7"/>
  <c r="BH368" i="7"/>
  <c r="BH1533" i="7"/>
  <c r="BH115" i="7"/>
  <c r="BH2027" i="7"/>
  <c r="BH1506" i="7"/>
  <c r="BH979" i="7"/>
  <c r="BH58" i="7"/>
  <c r="BH124" i="7"/>
  <c r="BH761" i="7"/>
  <c r="BH586" i="7"/>
  <c r="BH883" i="7"/>
  <c r="BH259" i="7"/>
  <c r="BH528" i="7"/>
  <c r="BH1979" i="7"/>
  <c r="BH735" i="7"/>
  <c r="BH327" i="7"/>
  <c r="BH1422" i="7"/>
  <c r="BH1555" i="7"/>
  <c r="BH2080" i="7"/>
  <c r="BH1762" i="7"/>
  <c r="BH644" i="7"/>
  <c r="BH496" i="7"/>
  <c r="BH2274" i="7"/>
  <c r="BH214" i="7"/>
  <c r="BH1623" i="7"/>
  <c r="BH1814" i="7"/>
  <c r="BH61" i="7"/>
  <c r="BH1253" i="7"/>
  <c r="BH1665" i="7"/>
  <c r="BH849" i="7"/>
  <c r="BH1617" i="7"/>
  <c r="BH1663" i="7"/>
  <c r="BH193" i="7"/>
  <c r="BH908" i="7"/>
  <c r="BH1031" i="7"/>
  <c r="BH1545" i="7"/>
  <c r="BH1754" i="7"/>
  <c r="BH1677" i="7"/>
  <c r="BH1363" i="7"/>
  <c r="BH2117" i="7"/>
  <c r="BH1751" i="7"/>
  <c r="BH1083" i="7"/>
  <c r="BH321" i="7"/>
  <c r="BH802" i="7"/>
  <c r="BH1470" i="7"/>
  <c r="BH470" i="7"/>
  <c r="BH1993" i="7"/>
  <c r="BH1469" i="7"/>
  <c r="BH1628" i="7"/>
  <c r="BH1913" i="7"/>
  <c r="BH187" i="7"/>
  <c r="BH492" i="7"/>
  <c r="BH668" i="7"/>
  <c r="BH1802" i="7"/>
  <c r="BH392" i="7"/>
  <c r="BH1862" i="7"/>
  <c r="BH1800" i="7"/>
  <c r="BH619" i="7"/>
  <c r="BH78" i="7"/>
  <c r="BH1537" i="7"/>
  <c r="BH59" i="7"/>
  <c r="BH2038" i="7"/>
  <c r="BH208" i="7"/>
  <c r="BH2039" i="7"/>
  <c r="BH159" i="7"/>
  <c r="BH391" i="7"/>
  <c r="BH614" i="7"/>
  <c r="BH884" i="7"/>
  <c r="BH436" i="7"/>
  <c r="BH601" i="7"/>
  <c r="BH1465" i="7"/>
  <c r="BH281" i="7"/>
  <c r="BH2283" i="7"/>
  <c r="BH362" i="7"/>
  <c r="BH1177" i="7"/>
  <c r="BH725" i="7"/>
  <c r="BH2145" i="7"/>
  <c r="BH445" i="7"/>
  <c r="BH1507" i="7"/>
  <c r="BH583" i="7"/>
  <c r="BH56" i="7"/>
  <c r="BH1464" i="7"/>
  <c r="BH1746" i="7"/>
  <c r="BH466" i="7"/>
  <c r="BH1241" i="7"/>
  <c r="BH2048" i="7"/>
  <c r="BH1864" i="7"/>
  <c r="BH1934" i="7"/>
  <c r="BH629" i="7"/>
  <c r="BH1008" i="7"/>
  <c r="BH1009" i="7"/>
  <c r="BH852" i="7"/>
  <c r="BH1037" i="7"/>
  <c r="BH134" i="7"/>
  <c r="BH1216" i="7"/>
  <c r="BH1530" i="7"/>
  <c r="BH1680" i="7"/>
  <c r="BH518" i="7"/>
  <c r="BH323" i="7"/>
  <c r="BH204" i="7"/>
  <c r="BH938" i="7"/>
  <c r="BH1092" i="7"/>
  <c r="BH1440" i="7"/>
  <c r="BH813" i="7"/>
  <c r="BH126" i="7"/>
  <c r="BH137" i="7"/>
  <c r="BH241" i="7"/>
  <c r="BH1600" i="7"/>
  <c r="BH1632" i="7"/>
  <c r="BH1539" i="7"/>
  <c r="BH1418" i="7"/>
  <c r="BH728" i="7"/>
  <c r="BH276" i="7"/>
  <c r="BH363" i="7"/>
  <c r="BH2175" i="7"/>
  <c r="BH2178" i="7"/>
  <c r="BH765" i="7"/>
  <c r="BH970" i="7"/>
  <c r="BH25" i="7"/>
  <c r="BH1115" i="7"/>
  <c r="BH1408" i="7"/>
  <c r="BH192" i="7"/>
  <c r="BH730" i="7"/>
  <c r="BH1193" i="7"/>
  <c r="BH1567" i="7"/>
  <c r="BH1089" i="7"/>
  <c r="BH86" i="7"/>
  <c r="BH2029" i="7"/>
  <c r="BH1782" i="7"/>
  <c r="BH139" i="7"/>
  <c r="BH2113" i="7"/>
  <c r="BH944" i="7"/>
  <c r="BH1748" i="7"/>
  <c r="BH195" i="7"/>
  <c r="BH922" i="7"/>
  <c r="BH1631" i="7"/>
  <c r="BH73" i="7"/>
  <c r="BH599" i="7"/>
  <c r="BH1431" i="7"/>
  <c r="BH133" i="7"/>
  <c r="BH817" i="7"/>
  <c r="BH1564" i="7"/>
  <c r="BH977" i="7"/>
  <c r="BH2240" i="7"/>
  <c r="BH461" i="7"/>
  <c r="BH1727" i="7"/>
  <c r="BH329" i="7"/>
  <c r="BH1943" i="7"/>
  <c r="BH831" i="7"/>
  <c r="BH71" i="7"/>
  <c r="BH190" i="7"/>
  <c r="BH380" i="7"/>
  <c r="BH1225" i="7"/>
  <c r="BH838" i="7"/>
  <c r="BH1528" i="7"/>
  <c r="BH1606" i="7"/>
  <c r="BH633" i="7"/>
  <c r="BH1658" i="7"/>
  <c r="BH634" i="7"/>
  <c r="BH741" i="7"/>
  <c r="BH334" i="7"/>
  <c r="BH377" i="7"/>
  <c r="BH1806" i="7"/>
  <c r="BH984" i="7"/>
  <c r="BH344" i="7"/>
  <c r="BH286" i="7"/>
  <c r="BH1437" i="7"/>
  <c r="BH1053" i="7"/>
  <c r="BH1929" i="7"/>
  <c r="BH2193" i="7"/>
  <c r="BH85" i="7"/>
  <c r="BH423" i="7"/>
  <c r="BH795" i="7"/>
  <c r="BH1985" i="7"/>
  <c r="BH763" i="7"/>
  <c r="BH1228" i="7"/>
  <c r="BH627" i="7"/>
  <c r="BH1666" i="7"/>
  <c r="BH44" i="7"/>
  <c r="BH769" i="7"/>
  <c r="BH1898" i="7"/>
  <c r="BH829" i="7"/>
  <c r="BH2015" i="7"/>
  <c r="BH538" i="7"/>
  <c r="BH1893" i="7"/>
  <c r="BH2047" i="7"/>
  <c r="BH1444" i="7"/>
  <c r="BH2254" i="7"/>
  <c r="BH1490" i="7"/>
  <c r="BH1633" i="7"/>
  <c r="BH1563" i="7"/>
  <c r="BH1881" i="7"/>
  <c r="BH568" i="7"/>
  <c r="BH66" i="7"/>
  <c r="BH1267" i="7"/>
  <c r="BH1932" i="7"/>
  <c r="BH860" i="7"/>
  <c r="BH606" i="7"/>
  <c r="BH274" i="7"/>
  <c r="BH716" i="7"/>
  <c r="BH270" i="7"/>
  <c r="BH233" i="7"/>
  <c r="BH1599" i="7"/>
  <c r="BH16" i="7"/>
  <c r="CM55" i="3"/>
  <c r="BK3" i="8"/>
  <c r="BK62" i="8"/>
  <c r="BK63" i="8"/>
  <c r="BK4" i="8"/>
  <c r="BK6" i="8"/>
  <c r="BK10" i="8"/>
  <c r="BK18" i="8"/>
  <c r="BK58" i="8"/>
  <c r="BK465" i="7"/>
  <c r="BK640" i="7"/>
  <c r="BK424" i="7"/>
  <c r="BK567" i="7"/>
  <c r="BK660" i="7"/>
  <c r="BK350" i="7"/>
  <c r="BK514" i="7"/>
  <c r="BK593" i="7"/>
  <c r="BK600" i="7"/>
  <c r="BK587" i="7"/>
  <c r="BK374" i="7"/>
  <c r="BK659" i="7"/>
  <c r="BK532" i="7"/>
  <c r="BK549" i="7"/>
  <c r="BK574" i="7"/>
  <c r="BK417" i="7"/>
  <c r="BK469" i="7"/>
  <c r="BK435" i="7"/>
  <c r="BK506" i="7"/>
  <c r="BK414" i="7"/>
  <c r="BK381" i="7"/>
  <c r="BK429" i="7"/>
  <c r="BK598" i="7"/>
  <c r="BK513" i="7"/>
  <c r="BK413" i="7"/>
  <c r="BK355" i="7"/>
  <c r="BK684" i="7"/>
  <c r="BK479" i="7"/>
  <c r="BK650" i="7"/>
  <c r="BK645" i="7"/>
  <c r="BK548" i="7"/>
  <c r="BK658" i="7"/>
  <c r="BK441" i="7"/>
  <c r="BK596" i="7"/>
  <c r="BK421" i="7"/>
  <c r="BK661" i="7"/>
  <c r="BK584" i="7"/>
  <c r="BK348" i="7"/>
  <c r="BK393" i="7"/>
  <c r="BK550" i="7"/>
  <c r="BK360" i="7"/>
  <c r="BK527" i="7"/>
  <c r="BK608" i="7"/>
  <c r="BK443" i="7"/>
  <c r="BK433" i="7"/>
  <c r="BK519" i="7"/>
  <c r="BK552" i="7"/>
  <c r="BK358" i="7"/>
  <c r="BK437" i="7"/>
  <c r="BK657" i="7"/>
  <c r="BK384" i="7"/>
  <c r="BK464" i="7"/>
  <c r="BK582" i="7"/>
  <c r="BK411" i="7"/>
  <c r="BK576" i="7"/>
  <c r="BK446" i="7"/>
  <c r="BK431" i="7"/>
  <c r="BK604" i="7"/>
  <c r="BK599" i="7"/>
  <c r="BK480" i="7"/>
  <c r="BK531" i="7"/>
  <c r="BK680" i="7"/>
  <c r="BK559" i="7"/>
  <c r="BK385" i="7"/>
  <c r="BK595" i="7"/>
  <c r="BK471" i="7"/>
  <c r="BK452" i="7"/>
  <c r="BK467" i="7"/>
  <c r="BK371" i="7"/>
  <c r="BK654" i="7"/>
  <c r="BK477" i="7"/>
  <c r="BK521" i="7"/>
  <c r="BK662" i="7"/>
  <c r="BK475" i="7"/>
  <c r="BK473" i="7"/>
  <c r="BK566" i="7"/>
  <c r="BK675" i="7"/>
  <c r="BK544" i="7"/>
  <c r="BK7" i="8"/>
  <c r="BK59" i="8"/>
  <c r="BK408" i="7"/>
  <c r="BK588" i="7"/>
  <c r="BK463" i="7"/>
  <c r="BK428" i="7"/>
  <c r="BK653" i="7"/>
  <c r="BK498" i="7"/>
  <c r="BK481" i="7"/>
  <c r="BK434" i="7"/>
  <c r="BK409" i="7"/>
  <c r="BK577" i="7"/>
  <c r="BK438" i="7"/>
  <c r="BK667" i="7"/>
  <c r="BK606" i="7"/>
  <c r="BK586" i="7"/>
  <c r="BK520" i="7"/>
  <c r="BK459" i="7"/>
  <c r="BK688" i="7"/>
  <c r="BK648" i="7"/>
  <c r="BK605" i="7"/>
  <c r="BK530" i="7"/>
  <c r="BK542" i="7"/>
  <c r="BK492" i="7"/>
  <c r="BK427" i="7"/>
  <c r="BK651" i="7"/>
  <c r="BK578" i="7"/>
  <c r="BK447" i="7"/>
  <c r="BK462" i="7"/>
  <c r="BK583" i="7"/>
  <c r="BK508" i="7"/>
  <c r="BK570" i="7"/>
  <c r="BK377" i="7"/>
  <c r="BK400" i="7"/>
  <c r="BK470" i="7"/>
  <c r="BK671" i="7"/>
  <c r="BK573" i="7"/>
  <c r="BK689" i="7"/>
  <c r="BK571" i="7"/>
  <c r="BK614" i="7"/>
  <c r="BK676" i="7"/>
  <c r="BK436" i="7"/>
  <c r="BK601" i="7"/>
  <c r="BK378" i="7"/>
  <c r="BK655" i="7"/>
  <c r="BK457" i="7"/>
  <c r="BK627" i="7"/>
  <c r="BK644" i="7"/>
  <c r="BK432" i="7"/>
  <c r="BK61" i="8"/>
  <c r="BK697" i="7"/>
  <c r="BK361" i="7"/>
  <c r="BK585" i="7"/>
  <c r="BK512" i="7"/>
  <c r="BK370" i="7"/>
  <c r="BK376" i="7"/>
  <c r="BK636" i="7"/>
  <c r="BK696" i="7"/>
  <c r="BK482" i="7"/>
  <c r="BK518" i="7"/>
  <c r="BK420" i="7"/>
  <c r="BK404" i="7"/>
  <c r="BK468" i="7"/>
  <c r="BK610" i="7"/>
  <c r="BK466" i="7"/>
  <c r="BK453" i="7"/>
  <c r="BK458" i="7"/>
  <c r="BK426" i="7"/>
  <c r="BK603" i="7"/>
  <c r="BK415" i="7"/>
  <c r="BK505" i="7"/>
  <c r="BK679" i="7"/>
  <c r="BK694" i="7"/>
  <c r="BK678" i="7"/>
  <c r="BK382" i="7"/>
  <c r="BK626" i="7"/>
  <c r="BK439" i="7"/>
  <c r="BK639" i="7"/>
  <c r="BK670" i="7"/>
  <c r="BK425" i="7"/>
  <c r="BK486" i="7"/>
  <c r="BK669" i="7"/>
  <c r="BK624" i="7"/>
  <c r="BK613" i="7"/>
  <c r="BK623" i="7"/>
  <c r="BK495" i="7"/>
  <c r="BK568" i="7"/>
  <c r="BK9" i="8"/>
  <c r="BK562" i="7"/>
  <c r="BK621" i="7"/>
  <c r="BK410" i="7"/>
  <c r="BK631" i="7"/>
  <c r="BK563" i="7"/>
  <c r="BK347" i="7"/>
  <c r="BK368" i="7"/>
  <c r="BK354" i="7"/>
  <c r="BK664" i="7"/>
  <c r="BK592" i="7"/>
  <c r="BK442" i="7"/>
  <c r="BK615" i="7"/>
  <c r="BK388" i="7"/>
  <c r="BK545" i="7"/>
  <c r="BK455" i="7"/>
  <c r="BK394" i="7"/>
  <c r="BK620" i="7"/>
  <c r="BK412" i="7"/>
  <c r="BK365" i="7"/>
  <c r="BK581" i="7"/>
  <c r="BK619" i="7"/>
  <c r="BK515" i="7"/>
  <c r="BK510" i="7"/>
  <c r="BK526" i="7"/>
  <c r="BK397" i="7"/>
  <c r="BK489" i="7"/>
  <c r="BK491" i="7"/>
  <c r="BK617" i="7"/>
  <c r="BK682" i="7"/>
  <c r="BK652" i="7"/>
  <c r="BK461" i="7"/>
  <c r="BK555" i="7"/>
  <c r="BK357" i="7"/>
  <c r="BK502" i="7"/>
  <c r="BK607" i="7"/>
  <c r="BK524" i="7"/>
  <c r="BK529" i="7"/>
  <c r="BK352" i="7"/>
  <c r="BK379" i="7"/>
  <c r="BK609" i="7"/>
  <c r="BK456" i="7"/>
  <c r="BK444" i="7"/>
  <c r="BK416" i="7"/>
  <c r="BK656" i="7"/>
  <c r="BK685" i="7"/>
  <c r="BK634" i="7"/>
  <c r="BK359" i="7"/>
  <c r="BK405" i="7"/>
  <c r="BK8" i="8"/>
  <c r="BK580" i="7"/>
  <c r="BK387" i="7"/>
  <c r="BK356" i="7"/>
  <c r="BK565" i="7"/>
  <c r="BK389" i="7"/>
  <c r="BK367" i="7"/>
  <c r="BK551" i="7"/>
  <c r="BK635" i="7"/>
  <c r="BK616" i="7"/>
  <c r="BK494" i="7"/>
  <c r="BK451" i="7"/>
  <c r="BK556" i="7"/>
  <c r="BK386" i="7"/>
  <c r="BK418" i="7"/>
  <c r="BK637" i="7"/>
  <c r="BK507" i="7"/>
  <c r="BK589" i="7"/>
  <c r="BK560" i="7"/>
  <c r="BK543" i="7"/>
  <c r="BK448" i="7"/>
  <c r="BK564" i="7"/>
  <c r="BK396" i="7"/>
  <c r="BK373" i="7"/>
  <c r="BK683" i="7"/>
  <c r="BK528" i="7"/>
  <c r="BK638" i="7"/>
  <c r="BK647" i="7"/>
  <c r="BK460" i="7"/>
  <c r="BK547" i="7"/>
  <c r="BK630" i="7"/>
  <c r="BK449" i="7"/>
  <c r="BK590" i="7"/>
  <c r="BK509" i="7"/>
  <c r="BK535" i="7"/>
  <c r="BK401" i="7"/>
  <c r="BK5" i="8"/>
  <c r="BK383" i="7"/>
  <c r="BK422" i="7"/>
  <c r="BK511" i="7"/>
  <c r="BK490" i="7"/>
  <c r="BK602" i="7"/>
  <c r="BK541" i="7"/>
  <c r="BK668" i="7"/>
  <c r="BK533" i="7"/>
  <c r="BK407" i="7"/>
  <c r="BK419" i="7"/>
  <c r="BK395" i="7"/>
  <c r="BK430" i="7"/>
  <c r="BK501" i="7"/>
  <c r="BK525" i="7"/>
  <c r="BK499" i="7"/>
  <c r="BK496" i="7"/>
  <c r="BK558" i="7"/>
  <c r="BK649" i="7"/>
  <c r="BK572" i="7"/>
  <c r="BK402" i="7"/>
  <c r="BK362" i="7"/>
  <c r="BK478" i="7"/>
  <c r="BK472" i="7"/>
  <c r="BK677" i="7"/>
  <c r="BK450" i="7"/>
  <c r="BK665" i="7"/>
  <c r="BK398" i="7"/>
  <c r="BK364" i="7"/>
  <c r="BK594" i="7"/>
  <c r="BK666" i="7"/>
  <c r="BK484" i="7"/>
  <c r="BK691" i="7"/>
  <c r="BK493" i="7"/>
  <c r="BK445" i="7"/>
  <c r="BK539" i="7"/>
  <c r="BK633" i="7"/>
  <c r="BK363" i="7"/>
  <c r="BK487" i="7"/>
  <c r="BK672" i="7"/>
  <c r="BK632" i="7"/>
  <c r="BK642" i="7"/>
  <c r="BK380" i="7"/>
  <c r="BK681" i="7"/>
  <c r="BK625" i="7"/>
  <c r="BK353" i="7"/>
  <c r="BK663" i="7"/>
  <c r="BK483" i="7"/>
  <c r="BK366" i="7"/>
  <c r="BK686" i="7"/>
  <c r="BK695" i="7"/>
  <c r="BK673" i="7"/>
  <c r="BK597" i="7"/>
  <c r="BK641" i="7"/>
  <c r="BK454" i="7"/>
  <c r="BK618" i="7"/>
  <c r="BK392" i="7"/>
  <c r="BK503" i="7"/>
  <c r="BK561" i="7"/>
  <c r="BK474" i="7"/>
  <c r="BK523" i="7"/>
  <c r="BK546" i="7"/>
  <c r="BK517" i="7"/>
  <c r="BK611" i="7"/>
  <c r="BK536" i="7"/>
  <c r="BK579" i="7"/>
  <c r="BK575" i="7"/>
  <c r="BK349" i="7"/>
  <c r="BK612" i="7"/>
  <c r="BK569" i="7"/>
  <c r="BK687" i="7"/>
  <c r="BK406" i="7"/>
  <c r="BK60" i="8"/>
  <c r="BK643" i="7"/>
  <c r="BK557" i="7"/>
  <c r="BK403" i="7"/>
  <c r="BK500" i="7"/>
  <c r="BK488" i="7"/>
  <c r="BK534" i="7"/>
  <c r="BK538" i="7"/>
  <c r="BK646" i="7"/>
  <c r="BK423" i="7"/>
  <c r="BK440" i="7"/>
  <c r="BK591" i="7"/>
  <c r="BK540" i="7"/>
  <c r="BK369" i="7"/>
  <c r="BK516" i="7"/>
  <c r="BK554" i="7"/>
  <c r="BK674" i="7"/>
  <c r="BK497" i="7"/>
  <c r="BK692" i="7"/>
  <c r="BK351" i="7"/>
  <c r="BK399" i="7"/>
  <c r="BK628" i="7"/>
  <c r="BK391" i="7"/>
  <c r="BK537" i="7"/>
  <c r="BK622" i="7"/>
  <c r="BK690" i="7"/>
  <c r="BK485" i="7"/>
  <c r="BK629" i="7"/>
  <c r="BK372" i="7"/>
  <c r="BK553" i="7"/>
  <c r="BK390" i="7"/>
  <c r="BK375" i="7"/>
  <c r="BK476" i="7"/>
  <c r="BK504" i="7"/>
  <c r="BK693" i="7"/>
  <c r="BK522" i="7"/>
  <c r="CP81" i="1"/>
  <c r="CP71" i="1"/>
  <c r="CP61" i="1"/>
  <c r="CP84" i="1"/>
  <c r="CP75" i="1"/>
  <c r="CP62" i="1"/>
  <c r="CP87" i="1"/>
  <c r="CL193" i="1"/>
  <c r="CQ193" i="1" s="1"/>
  <c r="CT193" i="1" s="1"/>
  <c r="CL54" i="1"/>
  <c r="CQ54" i="1" s="1"/>
  <c r="CT54" i="1" s="1"/>
  <c r="CL142" i="1"/>
  <c r="CQ142" i="1" s="1"/>
  <c r="CT142" i="1" s="1"/>
  <c r="CL73" i="1"/>
  <c r="CQ73" i="1" s="1"/>
  <c r="CT73" i="1" s="1"/>
  <c r="CL244" i="1"/>
  <c r="CQ244" i="1" s="1"/>
  <c r="CT244" i="1" s="1"/>
  <c r="CL26" i="1"/>
  <c r="CL64" i="1"/>
  <c r="CQ64" i="1" s="1"/>
  <c r="CT64" i="1" s="1"/>
  <c r="CL5" i="1"/>
  <c r="CQ5" i="1" s="1"/>
  <c r="CT5" i="1" s="1"/>
  <c r="CL160" i="1"/>
  <c r="CQ160" i="1" s="1"/>
  <c r="CT160" i="1" s="1"/>
  <c r="CL302" i="1"/>
  <c r="CQ302" i="1" s="1"/>
  <c r="CT302" i="1" s="1"/>
  <c r="CL77" i="1"/>
  <c r="CQ77" i="1" s="1"/>
  <c r="CT77" i="1" s="1"/>
  <c r="CL202" i="1"/>
  <c r="CQ202" i="1" s="1"/>
  <c r="CT202" i="1" s="1"/>
  <c r="CL17" i="1"/>
  <c r="CQ17" i="1" s="1"/>
  <c r="CT17" i="1" s="1"/>
  <c r="CL23" i="1"/>
  <c r="CQ23" i="1" s="1"/>
  <c r="CT23" i="1" s="1"/>
  <c r="CL178" i="1"/>
  <c r="CQ178" i="1" s="1"/>
  <c r="CT178" i="1" s="1"/>
  <c r="CL101" i="1"/>
  <c r="CQ101" i="1" s="1"/>
  <c r="CT101" i="1" s="1"/>
  <c r="CL99" i="1"/>
  <c r="CQ99" i="1" s="1"/>
  <c r="CT99" i="1" s="1"/>
  <c r="CL285" i="1"/>
  <c r="CQ285" i="1" s="1"/>
  <c r="CT285" i="1" s="1"/>
  <c r="CL104" i="1"/>
  <c r="CQ104" i="1" s="1"/>
  <c r="CT104" i="1" s="1"/>
  <c r="CL172" i="1"/>
  <c r="CQ172" i="1" s="1"/>
  <c r="CT172" i="1" s="1"/>
  <c r="CL127" i="1"/>
  <c r="CQ127" i="1" s="1"/>
  <c r="CT127" i="1" s="1"/>
  <c r="CL243" i="1"/>
  <c r="CQ243" i="1" s="1"/>
  <c r="CT243" i="1" s="1"/>
  <c r="CL288" i="1"/>
  <c r="CQ288" i="1" s="1"/>
  <c r="CT288" i="1" s="1"/>
  <c r="CL221" i="1"/>
  <c r="CQ221" i="1" s="1"/>
  <c r="CT221" i="1" s="1"/>
  <c r="CL220" i="1"/>
  <c r="CQ220" i="1" s="1"/>
  <c r="CT220" i="1" s="1"/>
  <c r="CL261" i="1"/>
  <c r="CQ261" i="1" s="1"/>
  <c r="CM78" i="1"/>
  <c r="CM231" i="1"/>
  <c r="CM118" i="1"/>
  <c r="CM250" i="1"/>
  <c r="CM217" i="1"/>
  <c r="CM58" i="1"/>
  <c r="CR58" i="1" s="1"/>
  <c r="CS58" i="1" s="1"/>
  <c r="CM106" i="1"/>
  <c r="CM251" i="1"/>
  <c r="CM173" i="1"/>
  <c r="CM164" i="1"/>
  <c r="CM175" i="1"/>
  <c r="CM65" i="1"/>
  <c r="CM74" i="1"/>
  <c r="CM163" i="1"/>
  <c r="CM150" i="1"/>
  <c r="CM260" i="1"/>
  <c r="CM189" i="1"/>
  <c r="CM239" i="1"/>
  <c r="CM37" i="1"/>
  <c r="CM195" i="1"/>
  <c r="CM293" i="1"/>
  <c r="CM105" i="1"/>
  <c r="CM130" i="1"/>
  <c r="CM56" i="1"/>
  <c r="CM304" i="1"/>
  <c r="CR304" i="1" s="1"/>
  <c r="CS304" i="1" s="1"/>
  <c r="CU304" i="1" s="1"/>
  <c r="CX304" i="1" s="1"/>
  <c r="CM100" i="1"/>
  <c r="CP201" i="1"/>
  <c r="CP3" i="1"/>
  <c r="CP197" i="1"/>
  <c r="CR197" i="1" s="1"/>
  <c r="CS197" i="1" s="1"/>
  <c r="CU197" i="1" s="1"/>
  <c r="CX197" i="1" s="1"/>
  <c r="CP66" i="1"/>
  <c r="CP256" i="1"/>
  <c r="CP174" i="1"/>
  <c r="CP306" i="1"/>
  <c r="CP70" i="1"/>
  <c r="CR70" i="1" s="1"/>
  <c r="CS70" i="1" s="1"/>
  <c r="CU70" i="1" s="1"/>
  <c r="CX70" i="1" s="1"/>
  <c r="CP253" i="1"/>
  <c r="CR253" i="1" s="1"/>
  <c r="CS253" i="1" s="1"/>
  <c r="CU253" i="1" s="1"/>
  <c r="CP89" i="1"/>
  <c r="CP90" i="1"/>
  <c r="CP53" i="1"/>
  <c r="CP225" i="1"/>
  <c r="CP294" i="1"/>
  <c r="CP245" i="1"/>
  <c r="CP149" i="1"/>
  <c r="CR149" i="1" s="1"/>
  <c r="CS149" i="1" s="1"/>
  <c r="CU149" i="1" s="1"/>
  <c r="CP226" i="1"/>
  <c r="CP59" i="1"/>
  <c r="CP152" i="1"/>
  <c r="CO264" i="1"/>
  <c r="CO69" i="1"/>
  <c r="CO229" i="1"/>
  <c r="CO25" i="1"/>
  <c r="CO292" i="1"/>
  <c r="CO14" i="1"/>
  <c r="CN119" i="1"/>
  <c r="CN47" i="1"/>
  <c r="CN28" i="1"/>
  <c r="CN92" i="1"/>
  <c r="CN56" i="1"/>
  <c r="BE1637" i="7"/>
  <c r="BF1637" i="7" s="1"/>
  <c r="BE497" i="7"/>
  <c r="BF497" i="7" s="1"/>
  <c r="BE1939" i="7"/>
  <c r="BF1939" i="7" s="1"/>
  <c r="BE1602" i="7"/>
  <c r="BF1602" i="7" s="1"/>
  <c r="BD1959" i="7"/>
  <c r="BE1959" i="7" s="1"/>
  <c r="BE1119" i="7"/>
  <c r="BF1119" i="7" s="1"/>
  <c r="BE490" i="7"/>
  <c r="BF490" i="7" s="1"/>
  <c r="BE245" i="7"/>
  <c r="BF245" i="7" s="1"/>
  <c r="BE1073" i="7"/>
  <c r="BF1073" i="7" s="1"/>
  <c r="BE571" i="7"/>
  <c r="BF571" i="7" s="1"/>
  <c r="BD1101" i="7"/>
  <c r="BE551" i="7"/>
  <c r="BF551" i="7" s="1"/>
  <c r="BE799" i="7"/>
  <c r="BF799" i="7" s="1"/>
  <c r="BE1418" i="7"/>
  <c r="BF1418" i="7" s="1"/>
  <c r="BE1769" i="7"/>
  <c r="BF1769" i="7" s="1"/>
  <c r="BE1504" i="7"/>
  <c r="BF1504" i="7" s="1"/>
  <c r="BE918" i="7"/>
  <c r="BF918" i="7" s="1"/>
  <c r="BE572" i="7"/>
  <c r="BF572" i="7" s="1"/>
  <c r="BE2146" i="7"/>
  <c r="BF2146" i="7" s="1"/>
  <c r="BE1867" i="7"/>
  <c r="BF1867" i="7" s="1"/>
  <c r="BE98" i="8"/>
  <c r="BE948" i="7"/>
  <c r="BF948" i="7" s="1"/>
  <c r="BE1393" i="7"/>
  <c r="BF1393" i="7" s="1"/>
  <c r="BE2015" i="7"/>
  <c r="BF2015" i="7" s="1"/>
  <c r="BE144" i="7"/>
  <c r="BF144" i="7" s="1"/>
  <c r="BE603" i="7"/>
  <c r="BF603" i="7" s="1"/>
  <c r="BE1735" i="7"/>
  <c r="BF1735" i="7" s="1"/>
  <c r="BE1792" i="7"/>
  <c r="BF1792" i="7" s="1"/>
  <c r="BD1132" i="7"/>
  <c r="BE1132" i="7" s="1"/>
  <c r="BE1318" i="7"/>
  <c r="BF1318" i="7" s="1"/>
  <c r="BE205" i="7"/>
  <c r="BF205" i="7" s="1"/>
  <c r="BE924" i="7"/>
  <c r="BF924" i="7" s="1"/>
  <c r="BE708" i="7"/>
  <c r="BF708" i="7" s="1"/>
  <c r="BE1210" i="7"/>
  <c r="BF1210" i="7" s="1"/>
  <c r="BE1245" i="7"/>
  <c r="BF1245" i="7" s="1"/>
  <c r="BE202" i="7"/>
  <c r="BF202" i="7" s="1"/>
  <c r="BE194" i="7"/>
  <c r="BF194" i="7" s="1"/>
  <c r="BE244" i="7"/>
  <c r="BF244" i="7" s="1"/>
  <c r="BE2283" i="7"/>
  <c r="BF2283" i="7" s="1"/>
  <c r="BE27" i="7"/>
  <c r="BF27" i="7" s="1"/>
  <c r="BE306" i="7"/>
  <c r="BF306" i="7" s="1"/>
  <c r="BE1142" i="7"/>
  <c r="BF1142" i="7" s="1"/>
  <c r="BE1577" i="7"/>
  <c r="BF1577" i="7" s="1"/>
  <c r="BE1547" i="7"/>
  <c r="BF1547" i="7" s="1"/>
  <c r="BE54" i="7"/>
  <c r="BF54" i="7" s="1"/>
  <c r="BE1076" i="7"/>
  <c r="BF1076" i="7" s="1"/>
  <c r="BE64" i="7"/>
  <c r="BF64" i="7" s="1"/>
  <c r="BE1029" i="7"/>
  <c r="BF1029" i="7" s="1"/>
  <c r="BE894" i="7"/>
  <c r="BF894" i="7" s="1"/>
  <c r="BE573" i="7"/>
  <c r="BF573" i="7" s="1"/>
  <c r="BE45" i="8"/>
  <c r="BE1773" i="7"/>
  <c r="BF1773" i="7" s="1"/>
  <c r="BE87" i="8"/>
  <c r="BE457" i="7"/>
  <c r="BF457" i="7" s="1"/>
  <c r="BE1216" i="7"/>
  <c r="BF1216" i="7" s="1"/>
  <c r="BE401" i="7"/>
  <c r="BF401" i="7" s="1"/>
  <c r="BC1882" i="7"/>
  <c r="BE1882" i="7" s="1"/>
  <c r="BE82" i="8"/>
  <c r="BD78" i="8"/>
  <c r="BC744" i="7"/>
  <c r="BE744" i="7" s="1"/>
  <c r="BE1072" i="7"/>
  <c r="BF1072" i="7" s="1"/>
  <c r="BE78" i="8"/>
  <c r="BE65" i="8"/>
  <c r="BC96" i="8"/>
  <c r="BD86" i="8"/>
  <c r="BD99" i="8"/>
  <c r="BC99" i="8"/>
  <c r="BD25" i="8"/>
  <c r="BE372" i="7"/>
  <c r="BF372" i="7" s="1"/>
  <c r="BE2244" i="7"/>
  <c r="BF2244" i="7" s="1"/>
  <c r="BE723" i="7"/>
  <c r="BF723" i="7" s="1"/>
  <c r="BD81" i="8"/>
  <c r="BC80" i="8"/>
  <c r="BC92" i="8"/>
  <c r="BE85" i="8"/>
  <c r="BC67" i="8"/>
  <c r="BE724" i="7"/>
  <c r="BF724" i="7" s="1"/>
  <c r="BE1915" i="7"/>
  <c r="BF1915" i="7" s="1"/>
  <c r="BE77" i="8"/>
  <c r="BE1044" i="7"/>
  <c r="BF1044" i="7" s="1"/>
  <c r="BE95" i="8"/>
  <c r="BD1962" i="7"/>
  <c r="BE71" i="8" s="1"/>
  <c r="BC1999" i="7"/>
  <c r="BE1999" i="7" s="1"/>
  <c r="BE104" i="8"/>
  <c r="BE1291" i="7"/>
  <c r="BF1291" i="7" s="1"/>
  <c r="BE51" i="8"/>
  <c r="BE800" i="7"/>
  <c r="BF800" i="7" s="1"/>
  <c r="BE609" i="7"/>
  <c r="BF609" i="7" s="1"/>
  <c r="BE179" i="7"/>
  <c r="BF179" i="7" s="1"/>
  <c r="BE810" i="7"/>
  <c r="BF810" i="7" s="1"/>
  <c r="BE1343" i="7"/>
  <c r="BF1343" i="7" s="1"/>
  <c r="BE2276" i="7"/>
  <c r="BF2276" i="7" s="1"/>
  <c r="BE520" i="7"/>
  <c r="BF520" i="7" s="1"/>
  <c r="BE1092" i="7"/>
  <c r="BF1092" i="7" s="1"/>
  <c r="BC62" i="8"/>
  <c r="BE74" i="8"/>
  <c r="BC1721" i="7"/>
  <c r="BE1721" i="7" s="1"/>
  <c r="BE417" i="7"/>
  <c r="BF417" i="7" s="1"/>
  <c r="BE666" i="7"/>
  <c r="BF666" i="7" s="1"/>
  <c r="BE1658" i="7"/>
  <c r="BF1658" i="7" s="1"/>
  <c r="BE1376" i="7"/>
  <c r="BF1376" i="7" s="1"/>
  <c r="BE902" i="7"/>
  <c r="BF902" i="7" s="1"/>
  <c r="BD2231" i="7"/>
  <c r="BE2231" i="7" s="1"/>
  <c r="BE314" i="7"/>
  <c r="BF314" i="7" s="1"/>
  <c r="BE1639" i="7"/>
  <c r="BF1639" i="7" s="1"/>
  <c r="BE1405" i="7"/>
  <c r="BF1405" i="7" s="1"/>
  <c r="BE1767" i="7"/>
  <c r="BF1767" i="7" s="1"/>
  <c r="BE994" i="7"/>
  <c r="BF994" i="7" s="1"/>
  <c r="BE1322" i="7"/>
  <c r="BF1322" i="7" s="1"/>
  <c r="BE64" i="8"/>
  <c r="BE1827" i="7"/>
  <c r="BF1827" i="7" s="1"/>
  <c r="BC104" i="8"/>
  <c r="BE513" i="7"/>
  <c r="BF513" i="7" s="1"/>
  <c r="BE1413" i="7"/>
  <c r="BF1413" i="7" s="1"/>
  <c r="BE2023" i="7"/>
  <c r="BF2023" i="7" s="1"/>
  <c r="BE664" i="7"/>
  <c r="BF664" i="7" s="1"/>
  <c r="BE354" i="7"/>
  <c r="BF354" i="7" s="1"/>
  <c r="BC1731" i="7"/>
  <c r="BE94" i="8" s="1"/>
  <c r="BE1140" i="7"/>
  <c r="BF1140" i="7" s="1"/>
  <c r="BC86" i="8"/>
  <c r="BE1522" i="7"/>
  <c r="BF1522" i="7" s="1"/>
  <c r="BE705" i="7"/>
  <c r="BF705" i="7" s="1"/>
  <c r="BE519" i="7"/>
  <c r="BF519" i="7" s="1"/>
  <c r="BE1491" i="7"/>
  <c r="BF1491" i="7" s="1"/>
  <c r="BE443" i="7"/>
  <c r="BF443" i="7" s="1"/>
  <c r="BE961" i="7"/>
  <c r="BF961" i="7" s="1"/>
  <c r="BE63" i="8"/>
  <c r="BE1235" i="7"/>
  <c r="BF1235" i="7" s="1"/>
  <c r="BE89" i="8"/>
  <c r="BE2145" i="7"/>
  <c r="BF2145" i="7" s="1"/>
  <c r="BE155" i="7"/>
  <c r="BF155" i="7" s="1"/>
  <c r="BE2024" i="7"/>
  <c r="BF2024" i="7" s="1"/>
  <c r="BE309" i="7"/>
  <c r="BF309" i="7" s="1"/>
  <c r="BE1694" i="7"/>
  <c r="BF1694" i="7" s="1"/>
  <c r="BE910" i="7"/>
  <c r="BF910" i="7" s="1"/>
  <c r="BE330" i="7"/>
  <c r="BF330" i="7" s="1"/>
  <c r="BE1163" i="7"/>
  <c r="BF1163" i="7" s="1"/>
  <c r="BE929" i="7"/>
  <c r="BF929" i="7" s="1"/>
  <c r="BE49" i="8"/>
  <c r="BE375" i="7"/>
  <c r="BF375" i="7" s="1"/>
  <c r="BE442" i="7"/>
  <c r="BF442" i="7" s="1"/>
  <c r="BE1561" i="7"/>
  <c r="BF1561" i="7" s="1"/>
  <c r="BE1627" i="7"/>
  <c r="BF1627" i="7" s="1"/>
  <c r="BE1434" i="7"/>
  <c r="BF1434" i="7" s="1"/>
  <c r="BE58" i="7"/>
  <c r="BF58" i="7" s="1"/>
  <c r="BC1064" i="7"/>
  <c r="BE79" i="8" s="1"/>
  <c r="BE24" i="7"/>
  <c r="BF24" i="7" s="1"/>
  <c r="BE103" i="8"/>
  <c r="BE1438" i="7"/>
  <c r="BF1438" i="7" s="1"/>
  <c r="BE1067" i="7"/>
  <c r="BF1067" i="7" s="1"/>
  <c r="BE1088" i="7"/>
  <c r="BF1088" i="7" s="1"/>
  <c r="BE1213" i="7"/>
  <c r="BF1213" i="7" s="1"/>
  <c r="BC1675" i="7"/>
  <c r="BE93" i="8" s="1"/>
  <c r="BE1105" i="7"/>
  <c r="BF1105" i="7" s="1"/>
  <c r="BE506" i="7"/>
  <c r="BF506" i="7" s="1"/>
  <c r="BE2199" i="7"/>
  <c r="BF2199" i="7" s="1"/>
  <c r="BE387" i="7"/>
  <c r="BF387" i="7" s="1"/>
  <c r="BE1297" i="7"/>
  <c r="BF1297" i="7" s="1"/>
  <c r="BE1588" i="7"/>
  <c r="BF1588" i="7" s="1"/>
  <c r="BE83" i="8"/>
  <c r="BE66" i="8"/>
  <c r="BE102" i="8"/>
  <c r="BE455" i="7"/>
  <c r="BF455" i="7" s="1"/>
  <c r="BD83" i="8"/>
  <c r="BE322" i="7"/>
  <c r="BF322" i="7" s="1"/>
  <c r="BE70" i="8"/>
  <c r="BE1452" i="7"/>
  <c r="BF1452" i="7" s="1"/>
  <c r="BD2151" i="7"/>
  <c r="BE62" i="8" s="1"/>
  <c r="BD2228" i="7"/>
  <c r="BE68" i="8" s="1"/>
  <c r="BE423" i="7"/>
  <c r="BF423" i="7" s="1"/>
  <c r="BE2041" i="7"/>
  <c r="BF2041" i="7" s="1"/>
  <c r="BE975" i="7"/>
  <c r="BF975" i="7" s="1"/>
  <c r="BE357" i="7"/>
  <c r="BF357" i="7" s="1"/>
  <c r="BE90" i="8"/>
  <c r="BE91" i="8"/>
  <c r="BC71" i="8"/>
  <c r="BC1486" i="7"/>
  <c r="BE1921" i="7"/>
  <c r="BF1921" i="7" s="1"/>
  <c r="BE1811" i="7"/>
  <c r="BE72" i="8"/>
  <c r="BE88" i="8"/>
  <c r="BD72" i="8"/>
  <c r="BC69" i="8"/>
  <c r="BE150" i="7"/>
  <c r="BF150" i="7" s="1"/>
  <c r="BE550" i="7"/>
  <c r="BF550" i="7" s="1"/>
  <c r="BE475" i="7"/>
  <c r="BF475" i="7" s="1"/>
  <c r="BC68" i="8"/>
  <c r="BE121" i="7"/>
  <c r="BF121" i="7" s="1"/>
  <c r="BD1763" i="7"/>
  <c r="BE73" i="8" s="1"/>
  <c r="BE61" i="8"/>
  <c r="BE97" i="8"/>
  <c r="BE115" i="7"/>
  <c r="BF115" i="7" s="1"/>
  <c r="BD73" i="8"/>
  <c r="BE1041" i="7"/>
  <c r="BF1041" i="7" s="1"/>
  <c r="BE1410" i="7"/>
  <c r="BF1410" i="7" s="1"/>
  <c r="BE80" i="8"/>
  <c r="BE2079" i="7"/>
  <c r="BF2079" i="7" s="1"/>
  <c r="BD96" i="8"/>
  <c r="BE1004" i="7"/>
  <c r="BF1004" i="7" s="1"/>
  <c r="BE1589" i="7"/>
  <c r="BF1589" i="7" s="1"/>
  <c r="BE96" i="8"/>
  <c r="BE101" i="8"/>
  <c r="BE67" i="8"/>
  <c r="BD62" i="8"/>
  <c r="BD97" i="8"/>
  <c r="BE714" i="7"/>
  <c r="BF714" i="7" s="1"/>
  <c r="BE100" i="8"/>
  <c r="BE99" i="8"/>
  <c r="BE316" i="7"/>
  <c r="BF316" i="7" s="1"/>
  <c r="BE1947" i="7"/>
  <c r="BE1458" i="7"/>
  <c r="BF1458" i="7" s="1"/>
  <c r="BE1284" i="7"/>
  <c r="BF1284" i="7" s="1"/>
  <c r="BE849" i="7"/>
  <c r="BF849" i="7" s="1"/>
  <c r="BE1980" i="7"/>
  <c r="BF1980" i="7" s="1"/>
  <c r="BE1751" i="7"/>
  <c r="BF1751" i="7" s="1"/>
  <c r="BE1712" i="7"/>
  <c r="BF1712" i="7" s="1"/>
  <c r="BE553" i="7"/>
  <c r="BF553" i="7" s="1"/>
  <c r="BE1530" i="7"/>
  <c r="BF1530" i="7" s="1"/>
  <c r="BE579" i="7"/>
  <c r="BF579" i="7" s="1"/>
  <c r="BE1256" i="7"/>
  <c r="BF1256" i="7" s="1"/>
  <c r="BE1755" i="7"/>
  <c r="BF1755" i="7" s="1"/>
  <c r="BE1843" i="7"/>
  <c r="BF1843" i="7" s="1"/>
  <c r="BE1079" i="7"/>
  <c r="BF1079" i="7" s="1"/>
  <c r="BE793" i="7"/>
  <c r="BF793" i="7" s="1"/>
  <c r="BE1190" i="7"/>
  <c r="BF1190" i="7" s="1"/>
  <c r="BE1351" i="7"/>
  <c r="BF1351" i="7" s="1"/>
  <c r="BE1528" i="7"/>
  <c r="BF1528" i="7" s="1"/>
  <c r="BE914" i="7"/>
  <c r="BF914" i="7" s="1"/>
  <c r="BE2256" i="7"/>
  <c r="BF2256" i="7" s="1"/>
  <c r="BE1191" i="7"/>
  <c r="BF1191" i="7" s="1"/>
  <c r="BE369" i="7"/>
  <c r="BF369" i="7" s="1"/>
  <c r="BE740" i="7"/>
  <c r="BF740" i="7" s="1"/>
  <c r="BE50" i="7"/>
  <c r="BF50" i="7" s="1"/>
  <c r="BE2055" i="7"/>
  <c r="BF2055" i="7" s="1"/>
  <c r="BE332" i="7"/>
  <c r="BF332" i="7" s="1"/>
  <c r="BE2119" i="7"/>
  <c r="BF2119" i="7" s="1"/>
  <c r="BE118" i="7"/>
  <c r="BF118" i="7" s="1"/>
  <c r="BE49" i="7"/>
  <c r="BF49" i="7" s="1"/>
  <c r="BE1985" i="7"/>
  <c r="BF1985" i="7" s="1"/>
  <c r="BE70" i="7"/>
  <c r="BF70" i="7" s="1"/>
  <c r="BE123" i="7"/>
  <c r="BF123" i="7" s="1"/>
  <c r="BE297" i="7"/>
  <c r="BF297" i="7" s="1"/>
  <c r="BE770" i="7"/>
  <c r="BF770" i="7" s="1"/>
  <c r="BE939" i="7"/>
  <c r="BF939" i="7" s="1"/>
  <c r="BE34" i="8"/>
  <c r="BE533" i="7"/>
  <c r="BF533" i="7" s="1"/>
  <c r="BE17" i="7"/>
  <c r="BF17" i="7" s="1"/>
  <c r="BE44" i="8"/>
  <c r="BD11" i="8"/>
  <c r="BE689" i="7"/>
  <c r="BF689" i="7" s="1"/>
  <c r="BE857" i="7"/>
  <c r="BF857" i="7" s="1"/>
  <c r="BE1206" i="7"/>
  <c r="BF1206" i="7" s="1"/>
  <c r="BE880" i="7"/>
  <c r="BF880" i="7" s="1"/>
  <c r="BD1845" i="7"/>
  <c r="BE1845" i="7" s="1"/>
  <c r="BE268" i="7"/>
  <c r="BF268" i="7" s="1"/>
  <c r="BE967" i="7"/>
  <c r="BF967" i="7" s="1"/>
  <c r="BE2" i="8"/>
  <c r="BE2198" i="7"/>
  <c r="BF2198" i="7" s="1"/>
  <c r="BE1058" i="7"/>
  <c r="BF1058" i="7" s="1"/>
  <c r="BE376" i="7"/>
  <c r="BF376" i="7" s="1"/>
  <c r="BE74" i="7"/>
  <c r="BF74" i="7" s="1"/>
  <c r="BE700" i="7"/>
  <c r="BF700" i="7" s="1"/>
  <c r="BD1937" i="7"/>
  <c r="BE1937" i="7" s="1"/>
  <c r="BE1727" i="7"/>
  <c r="BF1727" i="7" s="1"/>
  <c r="BE989" i="7"/>
  <c r="BF989" i="7" s="1"/>
  <c r="BE529" i="7"/>
  <c r="BF529" i="7" s="1"/>
  <c r="BE496" i="7"/>
  <c r="BF496" i="7" s="1"/>
  <c r="BE220" i="7"/>
  <c r="BF220" i="7" s="1"/>
  <c r="BE982" i="7"/>
  <c r="BF982" i="7" s="1"/>
  <c r="BE411" i="7"/>
  <c r="BF411" i="7" s="1"/>
  <c r="BE436" i="7"/>
  <c r="BF436" i="7" s="1"/>
  <c r="BE749" i="7"/>
  <c r="BF749" i="7" s="1"/>
  <c r="BE1613" i="7"/>
  <c r="BF1613" i="7" s="1"/>
  <c r="BE2109" i="7"/>
  <c r="BF2109" i="7" s="1"/>
  <c r="BE1396" i="7"/>
  <c r="BF1396" i="7" s="1"/>
  <c r="BE1069" i="7"/>
  <c r="BF1069" i="7" s="1"/>
  <c r="BE789" i="7"/>
  <c r="BF789" i="7" s="1"/>
  <c r="BE441" i="7"/>
  <c r="BF441" i="7" s="1"/>
  <c r="BE706" i="7"/>
  <c r="BF706" i="7" s="1"/>
  <c r="BE2203" i="7"/>
  <c r="BF2203" i="7" s="1"/>
  <c r="BE2176" i="7"/>
  <c r="BF2176" i="7" s="1"/>
  <c r="BE1558" i="7"/>
  <c r="BF1558" i="7" s="1"/>
  <c r="BE434" i="7"/>
  <c r="BF434" i="7" s="1"/>
  <c r="BE1801" i="7"/>
  <c r="BF1801" i="7" s="1"/>
  <c r="BE2061" i="7"/>
  <c r="BF2061" i="7" s="1"/>
  <c r="BE264" i="7"/>
  <c r="BF264" i="7" s="1"/>
  <c r="BE59" i="8"/>
  <c r="BE56" i="8"/>
  <c r="BE317" i="7"/>
  <c r="BF317" i="7" s="1"/>
  <c r="BE1898" i="7"/>
  <c r="BF1898" i="7" s="1"/>
  <c r="BD14" i="8"/>
  <c r="BE862" i="7"/>
  <c r="BF862" i="7" s="1"/>
  <c r="BE969" i="7"/>
  <c r="BF969" i="7" s="1"/>
  <c r="BE1389" i="7"/>
  <c r="BF1389" i="7" s="1"/>
  <c r="BE1505" i="7"/>
  <c r="BF1505" i="7" s="1"/>
  <c r="BE1826" i="7"/>
  <c r="BF1826" i="7" s="1"/>
  <c r="BE2098" i="7"/>
  <c r="BF2098" i="7" s="1"/>
  <c r="BE2168" i="7"/>
  <c r="BF2168" i="7" s="1"/>
  <c r="BE1645" i="7"/>
  <c r="BF1645" i="7" s="1"/>
  <c r="BE2081" i="7"/>
  <c r="BF2081" i="7" s="1"/>
  <c r="BE1301" i="7"/>
  <c r="BF1301" i="7" s="1"/>
  <c r="BC759" i="7"/>
  <c r="BE759" i="7" s="1"/>
  <c r="BE321" i="7"/>
  <c r="BF321" i="7" s="1"/>
  <c r="BE809" i="7"/>
  <c r="BF809" i="7" s="1"/>
  <c r="BE265" i="7"/>
  <c r="BF265" i="7" s="1"/>
  <c r="BE274" i="7"/>
  <c r="BF274" i="7" s="1"/>
  <c r="BE847" i="7"/>
  <c r="BF847" i="7" s="1"/>
  <c r="BE1614" i="7"/>
  <c r="BF1614" i="7" s="1"/>
  <c r="BE142" i="7"/>
  <c r="BF142" i="7" s="1"/>
  <c r="BE1720" i="7"/>
  <c r="BF1720" i="7" s="1"/>
  <c r="BE1348" i="7"/>
  <c r="BF1348" i="7" s="1"/>
  <c r="BE2008" i="7"/>
  <c r="BF2008" i="7" s="1"/>
  <c r="BE767" i="7"/>
  <c r="BF767" i="7" s="1"/>
  <c r="BE1744" i="7"/>
  <c r="BF1744" i="7" s="1"/>
  <c r="BE764" i="7"/>
  <c r="BF764" i="7" s="1"/>
  <c r="BE565" i="7"/>
  <c r="BF565" i="7" s="1"/>
  <c r="BE12" i="8"/>
  <c r="BE1295" i="7"/>
  <c r="BF1295" i="7" s="1"/>
  <c r="BE736" i="7"/>
  <c r="BF736" i="7" s="1"/>
  <c r="BE1263" i="7"/>
  <c r="BF1263" i="7" s="1"/>
  <c r="BE2155" i="7"/>
  <c r="BF2155" i="7" s="1"/>
  <c r="BE90" i="7"/>
  <c r="BF90" i="7" s="1"/>
  <c r="BE328" i="7"/>
  <c r="BF328" i="7" s="1"/>
  <c r="BE2020" i="7"/>
  <c r="BF2020" i="7" s="1"/>
  <c r="BE1576" i="7"/>
  <c r="BF1576" i="7" s="1"/>
  <c r="BE1779" i="7"/>
  <c r="BF1779" i="7" s="1"/>
  <c r="BE640" i="7"/>
  <c r="BF640" i="7" s="1"/>
  <c r="BE130" i="7"/>
  <c r="BF130" i="7" s="1"/>
  <c r="BE1032" i="7"/>
  <c r="BF1032" i="7" s="1"/>
  <c r="BE892" i="7"/>
  <c r="BF892" i="7" s="1"/>
  <c r="BE1048" i="7"/>
  <c r="BF1048" i="7" s="1"/>
  <c r="BD465" i="7"/>
  <c r="BE465" i="7" s="1"/>
  <c r="BE127" i="7"/>
  <c r="BF127" i="7" s="1"/>
  <c r="BE1266" i="7"/>
  <c r="BF1266" i="7" s="1"/>
  <c r="BE355" i="7"/>
  <c r="BF355" i="7" s="1"/>
  <c r="BE1026" i="7"/>
  <c r="BF1026" i="7" s="1"/>
  <c r="BE384" i="7"/>
  <c r="BF384" i="7" s="1"/>
  <c r="BE498" i="7"/>
  <c r="BF498" i="7" s="1"/>
  <c r="BE1873" i="7"/>
  <c r="BF1873" i="7" s="1"/>
  <c r="BE40" i="8"/>
  <c r="BE522" i="7"/>
  <c r="BF522" i="7" s="1"/>
  <c r="BE406" i="7"/>
  <c r="BF406" i="7" s="1"/>
  <c r="BE665" i="7"/>
  <c r="BF665" i="7" s="1"/>
  <c r="BE771" i="7"/>
  <c r="BF771" i="7" s="1"/>
  <c r="BE947" i="7"/>
  <c r="BF947" i="7" s="1"/>
  <c r="BE1289" i="7"/>
  <c r="BF1289" i="7" s="1"/>
  <c r="BE973" i="7"/>
  <c r="BF973" i="7" s="1"/>
  <c r="BE1482" i="7"/>
  <c r="BF1482" i="7" s="1"/>
  <c r="BC562" i="7"/>
  <c r="BE562" i="7" s="1"/>
  <c r="BE917" i="7"/>
  <c r="BF917" i="7" s="1"/>
  <c r="BE1899" i="7"/>
  <c r="BF1899" i="7" s="1"/>
  <c r="BE1451" i="7"/>
  <c r="BF1451" i="7" s="1"/>
  <c r="BE2048" i="7"/>
  <c r="BF2048" i="7" s="1"/>
  <c r="BE704" i="7"/>
  <c r="BF704" i="7" s="1"/>
  <c r="BE532" i="7"/>
  <c r="BF532" i="7" s="1"/>
  <c r="BE866" i="7"/>
  <c r="BF866" i="7" s="1"/>
  <c r="BE1167" i="7"/>
  <c r="BF1167" i="7" s="1"/>
  <c r="BE1943" i="7"/>
  <c r="BF1943" i="7" s="1"/>
  <c r="BE1573" i="7"/>
  <c r="BF1573" i="7" s="1"/>
  <c r="BE57" i="8"/>
  <c r="BE138" i="7"/>
  <c r="BF138" i="7" s="1"/>
  <c r="BE1837" i="7"/>
  <c r="BF1837" i="7" s="1"/>
  <c r="BE1865" i="7"/>
  <c r="BF1865" i="7" s="1"/>
  <c r="BE1028" i="7"/>
  <c r="BF1028" i="7" s="1"/>
  <c r="BE2273" i="7"/>
  <c r="BF2273" i="7" s="1"/>
  <c r="BE1118" i="7"/>
  <c r="BF1118" i="7" s="1"/>
  <c r="BE1698" i="7"/>
  <c r="BF1698" i="7" s="1"/>
  <c r="BE1447" i="7"/>
  <c r="BF1447" i="7" s="1"/>
  <c r="BE1446" i="7"/>
  <c r="BF1446" i="7" s="1"/>
  <c r="BE822" i="7"/>
  <c r="BF822" i="7" s="1"/>
  <c r="BE4" i="8"/>
  <c r="BE1102" i="7"/>
  <c r="BF1102" i="7" s="1"/>
  <c r="BE170" i="7"/>
  <c r="BF170" i="7" s="1"/>
  <c r="BE574" i="7"/>
  <c r="BF574" i="7" s="1"/>
  <c r="BE1654" i="7"/>
  <c r="BF1654" i="7" s="1"/>
  <c r="BE326" i="7"/>
  <c r="BF326" i="7" s="1"/>
  <c r="BE1611" i="7"/>
  <c r="BF1611" i="7" s="1"/>
  <c r="BE1703" i="7"/>
  <c r="BF1703" i="7" s="1"/>
  <c r="BE333" i="7"/>
  <c r="BF333" i="7" s="1"/>
  <c r="BE54" i="8"/>
  <c r="BE1993" i="7"/>
  <c r="BF1993" i="7" s="1"/>
  <c r="BE1078" i="7"/>
  <c r="BF1078" i="7" s="1"/>
  <c r="BE111" i="7"/>
  <c r="BF111" i="7" s="1"/>
  <c r="BE1018" i="7"/>
  <c r="BF1018" i="7" s="1"/>
  <c r="BE979" i="7"/>
  <c r="BF979" i="7" s="1"/>
  <c r="BE1584" i="7"/>
  <c r="BF1584" i="7" s="1"/>
  <c r="BE590" i="7"/>
  <c r="BF590" i="7" s="1"/>
  <c r="BE102" i="7"/>
  <c r="BF102" i="7" s="1"/>
  <c r="BE1406" i="7"/>
  <c r="BF1406" i="7" s="1"/>
  <c r="BE1469" i="7"/>
  <c r="BF1469" i="7" s="1"/>
  <c r="BE1121" i="7"/>
  <c r="BF1121" i="7" s="1"/>
  <c r="BE1259" i="7"/>
  <c r="BF1259" i="7" s="1"/>
  <c r="BE1928" i="7"/>
  <c r="BF1928" i="7" s="1"/>
  <c r="BE2051" i="7"/>
  <c r="BF2051" i="7" s="1"/>
  <c r="BE348" i="7"/>
  <c r="BF348" i="7" s="1"/>
  <c r="BE1384" i="7"/>
  <c r="BF1384" i="7" s="1"/>
  <c r="BE1120" i="7"/>
  <c r="BF1120" i="7" s="1"/>
  <c r="BE450" i="7"/>
  <c r="BF450" i="7" s="1"/>
  <c r="BE2183" i="7"/>
  <c r="BF2183" i="7" s="1"/>
  <c r="BE280" i="7"/>
  <c r="BF280" i="7" s="1"/>
  <c r="BD1549" i="7"/>
  <c r="BE1549" i="7" s="1"/>
  <c r="BE507" i="7"/>
  <c r="BF507" i="7" s="1"/>
  <c r="BE2149" i="7"/>
  <c r="BF2149" i="7" s="1"/>
  <c r="BE593" i="7"/>
  <c r="BF593" i="7" s="1"/>
  <c r="BE120" i="7"/>
  <c r="BF120" i="7" s="1"/>
  <c r="BE755" i="7"/>
  <c r="BF755" i="7" s="1"/>
  <c r="BE1454" i="7"/>
  <c r="BF1454" i="7" s="1"/>
  <c r="BE438" i="7"/>
  <c r="BF438" i="7" s="1"/>
  <c r="BE1080" i="7"/>
  <c r="BF1080" i="7" s="1"/>
  <c r="BE873" i="7"/>
  <c r="BF873" i="7" s="1"/>
  <c r="BE1949" i="7"/>
  <c r="BF1949" i="7" s="1"/>
  <c r="BE859" i="7"/>
  <c r="BF859" i="7" s="1"/>
  <c r="BE536" i="7"/>
  <c r="BF536" i="7" s="1"/>
  <c r="BE1473" i="7"/>
  <c r="BF1473" i="7" s="1"/>
  <c r="BE2082" i="7"/>
  <c r="BF2082" i="7" s="1"/>
  <c r="BE409" i="7"/>
  <c r="BF409" i="7" s="1"/>
  <c r="BE1395" i="7"/>
  <c r="BF1395" i="7" s="1"/>
  <c r="BE325" i="7"/>
  <c r="BF325" i="7" s="1"/>
  <c r="BE2125" i="7"/>
  <c r="BF2125" i="7" s="1"/>
  <c r="BE1510" i="7"/>
  <c r="BF1510" i="7" s="1"/>
  <c r="BE2028" i="7"/>
  <c r="BF2028" i="7" s="1"/>
  <c r="BE1439" i="7"/>
  <c r="BF1439" i="7" s="1"/>
  <c r="BE1010" i="7"/>
  <c r="BF1010" i="7" s="1"/>
  <c r="BE392" i="7"/>
  <c r="BF392" i="7" s="1"/>
  <c r="BE221" i="7"/>
  <c r="BF221" i="7" s="1"/>
  <c r="BE1321" i="7"/>
  <c r="BF1321" i="7" s="1"/>
  <c r="BE479" i="7"/>
  <c r="BF479" i="7" s="1"/>
  <c r="BE1203" i="7"/>
  <c r="BF1203" i="7" s="1"/>
  <c r="BE23" i="8"/>
  <c r="BE891" i="7"/>
  <c r="BF891" i="7" s="1"/>
  <c r="BE675" i="7"/>
  <c r="BF675" i="7" s="1"/>
  <c r="BE955" i="7"/>
  <c r="BF955" i="7" s="1"/>
  <c r="BE1649" i="7"/>
  <c r="BF1649" i="7" s="1"/>
  <c r="BE156" i="7"/>
  <c r="BF156" i="7" s="1"/>
  <c r="BE1816" i="7"/>
  <c r="BF1816" i="7" s="1"/>
  <c r="BE1133" i="7"/>
  <c r="BF1133" i="7" s="1"/>
  <c r="BE11" i="8"/>
  <c r="BE850" i="7"/>
  <c r="BF850" i="7" s="1"/>
  <c r="BE116" i="7"/>
  <c r="BF116" i="7" s="1"/>
  <c r="BE2026" i="7"/>
  <c r="BF2026" i="7" s="1"/>
  <c r="BE1855" i="7"/>
  <c r="BF1855" i="7" s="1"/>
  <c r="BE85" i="7"/>
  <c r="BF85" i="7" s="1"/>
  <c r="BE1039" i="7"/>
  <c r="BF1039" i="7" s="1"/>
  <c r="BE2252" i="7"/>
  <c r="BF2252" i="7" s="1"/>
  <c r="BE1534" i="7"/>
  <c r="BF1534" i="7" s="1"/>
  <c r="BE1729" i="7"/>
  <c r="BF1729" i="7" s="1"/>
  <c r="BE995" i="7"/>
  <c r="BF995" i="7" s="1"/>
  <c r="BE2013" i="7"/>
  <c r="BF2013" i="7" s="1"/>
  <c r="BE300" i="7"/>
  <c r="BF300" i="7" s="1"/>
  <c r="BE2133" i="7"/>
  <c r="BF2133" i="7" s="1"/>
  <c r="BE1651" i="7"/>
  <c r="BF1651" i="7" s="1"/>
  <c r="BE14" i="8"/>
  <c r="BE454" i="7"/>
  <c r="BF454" i="7" s="1"/>
  <c r="BE1968" i="7"/>
  <c r="BF1968" i="7" s="1"/>
  <c r="BE1954" i="7"/>
  <c r="BF1954" i="7" s="1"/>
  <c r="BE601" i="7"/>
  <c r="BF601" i="7" s="1"/>
  <c r="BE993" i="7"/>
  <c r="BF993" i="7" s="1"/>
  <c r="BE503" i="7"/>
  <c r="BF503" i="7" s="1"/>
  <c r="BE818" i="7"/>
  <c r="BF818" i="7" s="1"/>
  <c r="BE16" i="7"/>
  <c r="BF16" i="7" s="1"/>
  <c r="BE18" i="8"/>
  <c r="BE261" i="7"/>
  <c r="BF261" i="7" s="1"/>
  <c r="BE21" i="8"/>
  <c r="BE250" i="7"/>
  <c r="BF250" i="7" s="1"/>
  <c r="BE695" i="7"/>
  <c r="BF695" i="7" s="1"/>
  <c r="BD858" i="7"/>
  <c r="BE858" i="7" s="1"/>
  <c r="BE222" i="7"/>
  <c r="BF222" i="7" s="1"/>
  <c r="BE1761" i="7"/>
  <c r="BF1761" i="7" s="1"/>
  <c r="BE1948" i="7"/>
  <c r="BF1948" i="7" s="1"/>
  <c r="BE1000" i="7"/>
  <c r="BF1000" i="7" s="1"/>
  <c r="BE1391" i="7"/>
  <c r="BF1391" i="7" s="1"/>
  <c r="BE1764" i="7"/>
  <c r="BF1764" i="7" s="1"/>
  <c r="BE1192" i="7"/>
  <c r="BF1192" i="7" s="1"/>
  <c r="BE1175" i="7"/>
  <c r="BF1175" i="7" s="1"/>
  <c r="BE1671" i="7"/>
  <c r="BF1671" i="7" s="1"/>
  <c r="BE733" i="7"/>
  <c r="BF733" i="7" s="1"/>
  <c r="BE216" i="7"/>
  <c r="BF216" i="7" s="1"/>
  <c r="BE889" i="7"/>
  <c r="BF889" i="7" s="1"/>
  <c r="BE183" i="7"/>
  <c r="BF183" i="7" s="1"/>
  <c r="BE485" i="7"/>
  <c r="BF485" i="7" s="1"/>
  <c r="BE28" i="8"/>
  <c r="BE798" i="7"/>
  <c r="BF798" i="7" s="1"/>
  <c r="BE2136" i="7"/>
  <c r="BF2136" i="7" s="1"/>
  <c r="BE1036" i="7"/>
  <c r="BF1036" i="7" s="1"/>
  <c r="BE1908" i="7"/>
  <c r="BF1908" i="7" s="1"/>
  <c r="BE103" i="7"/>
  <c r="BF103" i="7" s="1"/>
  <c r="BE1017" i="7"/>
  <c r="BF1017" i="7" s="1"/>
  <c r="BE166" i="7"/>
  <c r="BF166" i="7" s="1"/>
  <c r="BE1974" i="7"/>
  <c r="BF1974" i="7" s="1"/>
  <c r="BE243" i="7"/>
  <c r="BF243" i="7" s="1"/>
  <c r="BE2172" i="7"/>
  <c r="BF2172" i="7" s="1"/>
  <c r="BE1749" i="7"/>
  <c r="BF1749" i="7" s="1"/>
  <c r="BE1715" i="7"/>
  <c r="BF1715" i="7" s="1"/>
  <c r="BE452" i="7"/>
  <c r="BF452" i="7" s="1"/>
  <c r="BE1853" i="7"/>
  <c r="BF1853" i="7" s="1"/>
  <c r="BE1275" i="7"/>
  <c r="BF1275" i="7" s="1"/>
  <c r="BE2255" i="7"/>
  <c r="BF2255" i="7" s="1"/>
  <c r="BE1557" i="7"/>
  <c r="BF1557" i="7" s="1"/>
  <c r="BE974" i="7"/>
  <c r="BF974" i="7" s="1"/>
  <c r="BE1521" i="7"/>
  <c r="BF1521" i="7" s="1"/>
  <c r="BE2275" i="7"/>
  <c r="BF2275" i="7" s="1"/>
  <c r="BE1653" i="7"/>
  <c r="BF1653" i="7" s="1"/>
  <c r="BE1135" i="7"/>
  <c r="BF1135" i="7" s="1"/>
  <c r="BE1733" i="7"/>
  <c r="BF1733" i="7" s="1"/>
  <c r="BE1798" i="7"/>
  <c r="BF1798" i="7" s="1"/>
  <c r="BE17" i="8"/>
  <c r="BE1195" i="7"/>
  <c r="BE55" i="8"/>
  <c r="BE1035" i="7"/>
  <c r="BE19" i="8"/>
  <c r="BE625" i="7"/>
  <c r="BE48" i="8"/>
  <c r="BE39" i="8"/>
  <c r="BE125" i="7"/>
  <c r="BF125" i="7" s="1"/>
  <c r="BE26" i="8"/>
  <c r="BE1622" i="7"/>
  <c r="BF1622" i="7" s="1"/>
  <c r="BE6" i="8"/>
  <c r="BC35" i="8"/>
  <c r="BE3" i="8"/>
  <c r="BE2112" i="7"/>
  <c r="BF2112" i="7" s="1"/>
  <c r="BE408" i="7"/>
  <c r="BF408" i="7" s="1"/>
  <c r="BE1617" i="7"/>
  <c r="BF1617" i="7" s="1"/>
  <c r="BE25" i="8"/>
  <c r="BE15" i="8"/>
  <c r="BE1691" i="7"/>
  <c r="BE7" i="8"/>
  <c r="BE1227" i="7"/>
  <c r="BF1227" i="7" s="1"/>
  <c r="BE1667" i="7"/>
  <c r="BF1667" i="7" s="1"/>
  <c r="BE1546" i="7"/>
  <c r="BE43" i="8"/>
  <c r="BC820" i="7"/>
  <c r="BE35" i="8" s="1"/>
  <c r="BE2224" i="7"/>
  <c r="BF2224" i="7" s="1"/>
  <c r="BE413" i="7"/>
  <c r="BF413" i="7" s="1"/>
  <c r="BE1030" i="7"/>
  <c r="BE27" i="8"/>
  <c r="BE344" i="7"/>
  <c r="BF344" i="7" s="1"/>
  <c r="BE1176" i="7"/>
  <c r="BF1176" i="7" s="1"/>
  <c r="BE1494" i="7"/>
  <c r="BF1494" i="7" s="1"/>
  <c r="BE1336" i="7"/>
  <c r="BF1336" i="7" s="1"/>
  <c r="BE50" i="8"/>
  <c r="BE37" i="8"/>
  <c r="BE58" i="8"/>
  <c r="BE1023" i="7"/>
  <c r="BF1023" i="7" s="1"/>
  <c r="BE1951" i="7"/>
  <c r="BE20" i="8"/>
  <c r="BE2052" i="7"/>
  <c r="BF2052" i="7" s="1"/>
  <c r="BE1905" i="7"/>
  <c r="BF1905" i="7" s="1"/>
  <c r="BE46" i="8"/>
  <c r="BE60" i="8"/>
  <c r="BE1224" i="7"/>
  <c r="BE9" i="8"/>
  <c r="BE561" i="7"/>
  <c r="BF561" i="7" s="1"/>
  <c r="BE2271" i="7"/>
  <c r="BF2271" i="7" s="1"/>
  <c r="BE1169" i="7"/>
  <c r="BE36" i="8"/>
  <c r="BE52" i="8"/>
  <c r="BE613" i="7"/>
  <c r="BF613" i="7" s="1"/>
  <c r="BE1423" i="7"/>
  <c r="BE41" i="8"/>
  <c r="BE16" i="8"/>
  <c r="BE97" i="7"/>
  <c r="BF97" i="7" s="1"/>
  <c r="BE2159" i="7"/>
  <c r="BF2159" i="7" s="1"/>
  <c r="BE986" i="7"/>
  <c r="BF986" i="7" s="1"/>
  <c r="BE30" i="8"/>
  <c r="BE5" i="8"/>
  <c r="BC46" i="8"/>
  <c r="BE1685" i="7"/>
  <c r="BE53" i="8"/>
  <c r="BE456" i="7"/>
  <c r="BF456" i="7" s="1"/>
  <c r="BE960" i="7"/>
  <c r="BE31" i="8"/>
  <c r="BE24" i="8"/>
  <c r="BE445" i="7"/>
  <c r="BF445" i="7" s="1"/>
  <c r="BE22" i="8"/>
  <c r="BE839" i="7"/>
  <c r="BE32" i="8"/>
  <c r="BE2057" i="7"/>
  <c r="BE33" i="8"/>
  <c r="BE1995" i="7"/>
  <c r="BE13" i="8"/>
  <c r="BE318" i="7"/>
  <c r="BF318" i="7" s="1"/>
  <c r="BE621" i="7"/>
  <c r="BE47" i="8"/>
  <c r="BE1009" i="7"/>
  <c r="BF1009" i="7" s="1"/>
  <c r="BE42" i="8"/>
  <c r="BE8" i="8"/>
  <c r="BE928" i="7"/>
  <c r="BF928" i="7" s="1"/>
  <c r="BE1433" i="7"/>
  <c r="BF1433" i="7" s="1"/>
  <c r="BE1752" i="7"/>
  <c r="BF1752" i="7" s="1"/>
  <c r="BE1570" i="7"/>
  <c r="BF1570" i="7" s="1"/>
  <c r="BE1632" i="7"/>
  <c r="BF1632" i="7" s="1"/>
  <c r="BE210" i="7"/>
  <c r="BF210" i="7" s="1"/>
  <c r="BE1338" i="7"/>
  <c r="BF1338" i="7" s="1"/>
  <c r="BE684" i="7"/>
  <c r="BF684" i="7" s="1"/>
  <c r="BE1237" i="7"/>
  <c r="BF1237" i="7" s="1"/>
  <c r="BE1810" i="7"/>
  <c r="BF1810" i="7" s="1"/>
  <c r="BE234" i="7"/>
  <c r="BF234" i="7" s="1"/>
  <c r="BE1924" i="7"/>
  <c r="BF1924" i="7" s="1"/>
  <c r="BE1884" i="7"/>
  <c r="BF1884" i="7" s="1"/>
  <c r="BE748" i="7"/>
  <c r="BF748" i="7" s="1"/>
  <c r="BE2056" i="7"/>
  <c r="BF2056" i="7" s="1"/>
  <c r="BE811" i="7"/>
  <c r="BF811" i="7" s="1"/>
  <c r="BE1054" i="7"/>
  <c r="BF1054" i="7" s="1"/>
  <c r="BE628" i="7"/>
  <c r="BF628" i="7" s="1"/>
  <c r="BE1364" i="7"/>
  <c r="BF1364" i="7" s="1"/>
  <c r="BE815" i="7"/>
  <c r="BF815" i="7" s="1"/>
  <c r="BE1565" i="7"/>
  <c r="BF1565" i="7" s="1"/>
  <c r="BE832" i="7"/>
  <c r="BF832" i="7" s="1"/>
  <c r="BE608" i="7"/>
  <c r="BF608" i="7" s="1"/>
  <c r="BE1945" i="7"/>
  <c r="BF1945" i="7" s="1"/>
  <c r="BE1620" i="7"/>
  <c r="BF1620" i="7" s="1"/>
  <c r="BE391" i="7"/>
  <c r="BF391" i="7" s="1"/>
  <c r="BE930" i="7"/>
  <c r="BF930" i="7" s="1"/>
  <c r="BE2206" i="7"/>
  <c r="BF2206" i="7" s="1"/>
  <c r="BE577" i="7"/>
  <c r="BF577" i="7" s="1"/>
  <c r="BE1264" i="7"/>
  <c r="BF1264" i="7" s="1"/>
  <c r="BE153" i="7"/>
  <c r="BF153" i="7" s="1"/>
  <c r="BE65" i="7"/>
  <c r="BF65" i="7" s="1"/>
  <c r="BE228" i="7"/>
  <c r="BF228" i="7" s="1"/>
  <c r="BE1770" i="7"/>
  <c r="BF1770" i="7" s="1"/>
  <c r="BE426" i="7"/>
  <c r="BF426" i="7" s="1"/>
  <c r="BE421" i="7"/>
  <c r="BF421" i="7" s="1"/>
  <c r="BE729" i="7"/>
  <c r="BF729" i="7" s="1"/>
  <c r="BE1854" i="7"/>
  <c r="BF1854" i="7" s="1"/>
  <c r="BE492" i="7"/>
  <c r="BF492" i="7" s="1"/>
  <c r="BE248" i="7"/>
  <c r="BF248" i="7" s="1"/>
  <c r="BE2269" i="7"/>
  <c r="BF2269" i="7" s="1"/>
  <c r="BE683" i="7"/>
  <c r="BF683" i="7" s="1"/>
  <c r="BE195" i="7"/>
  <c r="BF195" i="7" s="1"/>
  <c r="BE1556" i="7"/>
  <c r="BF1556" i="7" s="1"/>
  <c r="BE2006" i="7"/>
  <c r="BF2006" i="7" s="1"/>
  <c r="BE339" i="7"/>
  <c r="BF339" i="7" s="1"/>
  <c r="BE237" i="7"/>
  <c r="BF237" i="7" s="1"/>
  <c r="BE1456" i="7"/>
  <c r="BF1456" i="7" s="1"/>
  <c r="BE2241" i="7"/>
  <c r="BF2241" i="7" s="1"/>
  <c r="BE1223" i="7"/>
  <c r="BF1223" i="7" s="1"/>
  <c r="BE1481" i="7"/>
  <c r="BF1481" i="7" s="1"/>
  <c r="BE1086" i="7"/>
  <c r="BF1086" i="7" s="1"/>
  <c r="BE544" i="7"/>
  <c r="BF544" i="7" s="1"/>
  <c r="BE1895" i="7"/>
  <c r="BF1895" i="7" s="1"/>
  <c r="BE2095" i="7"/>
  <c r="BF2095" i="7" s="1"/>
  <c r="BE1427" i="7"/>
  <c r="BF1427" i="7" s="1"/>
  <c r="BE1918" i="7"/>
  <c r="BF1918" i="7" s="1"/>
  <c r="BE1812" i="7"/>
  <c r="BF1812" i="7" s="1"/>
  <c r="BE2036" i="7"/>
  <c r="BF2036" i="7" s="1"/>
  <c r="BE1241" i="7"/>
  <c r="BF1241" i="7" s="1"/>
  <c r="BE147" i="7"/>
  <c r="BF147" i="7" s="1"/>
  <c r="BE634" i="7"/>
  <c r="BF634" i="7" s="1"/>
  <c r="BE396" i="7"/>
  <c r="BF396" i="7" s="1"/>
  <c r="BE802" i="7"/>
  <c r="BF802" i="7" s="1"/>
  <c r="BE427" i="7"/>
  <c r="BF427" i="7" s="1"/>
  <c r="BE154" i="7"/>
  <c r="BF154" i="7" s="1"/>
  <c r="BE2083" i="7"/>
  <c r="BF2083" i="7" s="1"/>
  <c r="BE942" i="7"/>
  <c r="BF942" i="7" s="1"/>
  <c r="BE2129" i="7"/>
  <c r="BF2129" i="7" s="1"/>
  <c r="BE958" i="7"/>
  <c r="BF958" i="7" s="1"/>
  <c r="BE945" i="7"/>
  <c r="BF945" i="7" s="1"/>
  <c r="BE176" i="7"/>
  <c r="BF176" i="7" s="1"/>
  <c r="BE2100" i="7"/>
  <c r="BF2100" i="7" s="1"/>
  <c r="BE494" i="7"/>
  <c r="BF494" i="7" s="1"/>
  <c r="BE1330" i="7"/>
  <c r="BF1330" i="7" s="1"/>
  <c r="BE585" i="7"/>
  <c r="BF585" i="7" s="1"/>
  <c r="BE1495" i="7"/>
  <c r="BF1495" i="7" s="1"/>
  <c r="BE1559" i="7"/>
  <c r="BF1559" i="7" s="1"/>
  <c r="BE262" i="7"/>
  <c r="BF262" i="7" s="1"/>
  <c r="BE366" i="7"/>
  <c r="BF366" i="7" s="1"/>
  <c r="BE1700" i="7"/>
  <c r="BF1700" i="7" s="1"/>
  <c r="BE1634" i="7"/>
  <c r="BF1634" i="7" s="1"/>
  <c r="BE2264" i="7"/>
  <c r="BF2264" i="7" s="1"/>
  <c r="BE101" i="7"/>
  <c r="BF101" i="7" s="1"/>
  <c r="BE844" i="7"/>
  <c r="BF844" i="7" s="1"/>
  <c r="BE2120" i="7"/>
  <c r="BF2120" i="7" s="1"/>
  <c r="BE2027" i="7"/>
  <c r="BF2027" i="7" s="1"/>
  <c r="BE41" i="7"/>
  <c r="BF41" i="7" s="1"/>
  <c r="BE1552" i="7"/>
  <c r="BF1552" i="7" s="1"/>
  <c r="BE746" i="7"/>
  <c r="BF746" i="7" s="1"/>
  <c r="BE871" i="7"/>
  <c r="BF871" i="7" s="1"/>
  <c r="BE1234" i="7"/>
  <c r="BF1234" i="7" s="1"/>
  <c r="BE1961" i="7"/>
  <c r="BF1961" i="7" s="1"/>
  <c r="BE895" i="7"/>
  <c r="BF895" i="7" s="1"/>
  <c r="BE4" i="7"/>
  <c r="BF4" i="7" s="1"/>
  <c r="BE1889" i="7"/>
  <c r="BF1889" i="7" s="1"/>
  <c r="BE2045" i="7"/>
  <c r="BF2045" i="7" s="1"/>
  <c r="BE1652" i="7"/>
  <c r="BF1652" i="7" s="1"/>
  <c r="BE1533" i="7"/>
  <c r="BF1533" i="7" s="1"/>
  <c r="BE1776" i="7"/>
  <c r="BF1776" i="7" s="1"/>
  <c r="BE566" i="7"/>
  <c r="BF566" i="7" s="1"/>
  <c r="BE1407" i="7"/>
  <c r="BF1407" i="7" s="1"/>
  <c r="BE1083" i="7"/>
  <c r="BF1083" i="7" s="1"/>
  <c r="BE825" i="7"/>
  <c r="BF825" i="7" s="1"/>
  <c r="BE1856" i="7"/>
  <c r="BF1856" i="7" s="1"/>
  <c r="BE1911" i="7"/>
  <c r="BF1911" i="7" s="1"/>
  <c r="BE1730" i="7"/>
  <c r="BF1730" i="7" s="1"/>
  <c r="BE1361" i="7"/>
  <c r="BF1361" i="7" s="1"/>
  <c r="BE538" i="7"/>
  <c r="BF538" i="7" s="1"/>
  <c r="BE292" i="7"/>
  <c r="BF292" i="7" s="1"/>
  <c r="BE278" i="7"/>
  <c r="BF278" i="7" s="1"/>
  <c r="BE444" i="7"/>
  <c r="BF444" i="7" s="1"/>
  <c r="BE1738" i="7"/>
  <c r="BF1738" i="7" s="1"/>
  <c r="BE51" i="7"/>
  <c r="BF51" i="7" s="1"/>
  <c r="BE616" i="7"/>
  <c r="BF616" i="7" s="1"/>
  <c r="BE1228" i="7"/>
  <c r="BF1228" i="7" s="1"/>
  <c r="BE1877" i="7"/>
  <c r="BF1877" i="7" s="1"/>
  <c r="BE592" i="7"/>
  <c r="BF592" i="7" s="1"/>
  <c r="BE1370" i="7"/>
  <c r="BF1370" i="7" s="1"/>
  <c r="BE673" i="7"/>
  <c r="BF673" i="7" s="1"/>
  <c r="BE943" i="7"/>
  <c r="BF943" i="7" s="1"/>
  <c r="BE2278" i="7"/>
  <c r="BF2278" i="7" s="1"/>
  <c r="BE1305" i="7"/>
  <c r="BF1305" i="7" s="1"/>
  <c r="BE2034" i="7"/>
  <c r="BF2034" i="7" s="1"/>
  <c r="BE1866" i="7"/>
  <c r="BF1866" i="7" s="1"/>
  <c r="BE1015" i="7"/>
  <c r="BF1015" i="7" s="1"/>
  <c r="BE2166" i="7"/>
  <c r="BF2166" i="7" s="1"/>
  <c r="BE1400" i="7"/>
  <c r="BF1400" i="7" s="1"/>
  <c r="BE903" i="7"/>
  <c r="BF903" i="7" s="1"/>
  <c r="BE554" i="7"/>
  <c r="BF554" i="7" s="1"/>
  <c r="BE872" i="7"/>
  <c r="BF872" i="7" s="1"/>
  <c r="BE1662" i="7"/>
  <c r="BF1662" i="7" s="1"/>
  <c r="BE980" i="7"/>
  <c r="BF980" i="7" s="1"/>
  <c r="BE2167" i="7"/>
  <c r="BE505" i="7"/>
  <c r="BF505" i="7" s="1"/>
  <c r="BE1172" i="7"/>
  <c r="BF1172" i="7" s="1"/>
  <c r="BE923" i="7"/>
  <c r="BF923" i="7" s="1"/>
  <c r="BE1936" i="7"/>
  <c r="BE1893" i="7"/>
  <c r="BF1893" i="7" s="1"/>
  <c r="BE92" i="7"/>
  <c r="BF92" i="7" s="1"/>
  <c r="BE1886" i="7"/>
  <c r="BF1886" i="7" s="1"/>
  <c r="BE1566" i="7"/>
  <c r="BF1566" i="7" s="1"/>
  <c r="BE1644" i="7"/>
  <c r="BF1644" i="7" s="1"/>
  <c r="BE361" i="7"/>
  <c r="BE60" i="7"/>
  <c r="BF60" i="7" s="1"/>
  <c r="BE647" i="7"/>
  <c r="BF647" i="7" s="1"/>
  <c r="BE476" i="7"/>
  <c r="BF476" i="7" s="1"/>
  <c r="BE886" i="7"/>
  <c r="BF886" i="7" s="1"/>
  <c r="BE484" i="7"/>
  <c r="BF484" i="7" s="1"/>
  <c r="BE1084" i="7"/>
  <c r="BE2063" i="7"/>
  <c r="BF2063" i="7" s="1"/>
  <c r="BE1807" i="7"/>
  <c r="BF1807" i="7" s="1"/>
  <c r="BE94" i="7"/>
  <c r="BF94" i="7" s="1"/>
  <c r="BE2186" i="7"/>
  <c r="BF2186" i="7" s="1"/>
  <c r="BE1164" i="7"/>
  <c r="BF1164" i="7" s="1"/>
  <c r="BE1587" i="7"/>
  <c r="BF1587" i="7" s="1"/>
  <c r="BE646" i="7"/>
  <c r="BF646" i="7" s="1"/>
  <c r="BE2169" i="7"/>
  <c r="BF2169" i="7" s="1"/>
  <c r="BE594" i="7"/>
  <c r="BF594" i="7" s="1"/>
  <c r="BE535" i="7"/>
  <c r="BF535" i="7" s="1"/>
  <c r="BE757" i="7"/>
  <c r="BF757" i="7" s="1"/>
  <c r="BE1353" i="7"/>
  <c r="BF1353" i="7" s="1"/>
  <c r="BE414" i="7"/>
  <c r="BF414" i="7" s="1"/>
  <c r="BE1523" i="7"/>
  <c r="BF1523" i="7" s="1"/>
  <c r="BE323" i="7"/>
  <c r="BF323" i="7" s="1"/>
  <c r="BE1665" i="7"/>
  <c r="BF1665" i="7" s="1"/>
  <c r="BE1201" i="7"/>
  <c r="BF1201" i="7" s="1"/>
  <c r="BE1165" i="7"/>
  <c r="BF1165" i="7" s="1"/>
  <c r="BE741" i="7"/>
  <c r="BF741" i="7" s="1"/>
  <c r="BE182" i="7"/>
  <c r="BF182" i="7" s="1"/>
  <c r="BE1170" i="7"/>
  <c r="BF1170" i="7" s="1"/>
  <c r="BE1288" i="7"/>
  <c r="BF1288" i="7" s="1"/>
  <c r="BE773" i="7"/>
  <c r="BF773" i="7" s="1"/>
  <c r="BE1440" i="7"/>
  <c r="BF1440" i="7" s="1"/>
  <c r="BE1480" i="7"/>
  <c r="BF1480" i="7" s="1"/>
  <c r="BE267" i="7"/>
  <c r="BF267" i="7" s="1"/>
  <c r="BE927" i="7"/>
  <c r="BF927" i="7" s="1"/>
  <c r="BE177" i="7"/>
  <c r="BF177" i="7" s="1"/>
  <c r="BE1940" i="7"/>
  <c r="BF1940" i="7" s="1"/>
  <c r="BE1684" i="7"/>
  <c r="BE184" i="7"/>
  <c r="BF184" i="7" s="1"/>
  <c r="BE383" i="7"/>
  <c r="BF383" i="7" s="1"/>
  <c r="BE133" i="7"/>
  <c r="BF133" i="7" s="1"/>
  <c r="BE1929" i="7"/>
  <c r="BF1929" i="7" s="1"/>
  <c r="BE1734" i="7"/>
  <c r="BF1734" i="7" s="1"/>
  <c r="BE1155" i="7"/>
  <c r="BF1155" i="7" s="1"/>
  <c r="BE1319" i="7"/>
  <c r="BF1319" i="7" s="1"/>
  <c r="BE1465" i="7"/>
  <c r="BF1465" i="7" s="1"/>
  <c r="BE1863" i="7"/>
  <c r="BF1863" i="7" s="1"/>
  <c r="BE1344" i="7"/>
  <c r="BF1344" i="7" s="1"/>
  <c r="BE827" i="7"/>
  <c r="BF827" i="7" s="1"/>
  <c r="BE1716" i="7"/>
  <c r="BF1716" i="7" s="1"/>
  <c r="BE124" i="7"/>
  <c r="BF124" i="7" s="1"/>
  <c r="BE1643" i="7"/>
  <c r="BF1643" i="7" s="1"/>
  <c r="BE139" i="7"/>
  <c r="BF139" i="7" s="1"/>
  <c r="BE1313" i="7"/>
  <c r="BF1313" i="7" s="1"/>
  <c r="BE2215" i="7"/>
  <c r="BF2215" i="7" s="1"/>
  <c r="BE29" i="7"/>
  <c r="BF29" i="7" s="1"/>
  <c r="BE725" i="7"/>
  <c r="BF725" i="7" s="1"/>
  <c r="BE710" i="7"/>
  <c r="BF710" i="7" s="1"/>
  <c r="BE898" i="7"/>
  <c r="BF898" i="7" s="1"/>
  <c r="BE719" i="7"/>
  <c r="BF719" i="7" s="1"/>
  <c r="BE597" i="7"/>
  <c r="BF597" i="7" s="1"/>
  <c r="BE1670" i="7"/>
  <c r="BF1670" i="7" s="1"/>
  <c r="BE701" i="7"/>
  <c r="BF701" i="7" s="1"/>
  <c r="BE1425" i="7"/>
  <c r="BF1425" i="7" s="1"/>
  <c r="BE315" i="7"/>
  <c r="BF315" i="7" s="1"/>
  <c r="BE1800" i="7"/>
  <c r="BF1800" i="7" s="1"/>
  <c r="BE1466" i="7"/>
  <c r="BF1466" i="7" s="1"/>
  <c r="BE1408" i="7"/>
  <c r="BF1408" i="7" s="1"/>
  <c r="BE2140" i="7"/>
  <c r="BF2140" i="7" s="1"/>
  <c r="BE539" i="7"/>
  <c r="BF539" i="7" s="1"/>
  <c r="BE2130" i="7"/>
  <c r="BF2130" i="7" s="1"/>
  <c r="BE966" i="7"/>
  <c r="BF966" i="7" s="1"/>
  <c r="BE2144" i="7"/>
  <c r="BE295" i="7"/>
  <c r="BF295" i="7" s="1"/>
  <c r="BE1690" i="7"/>
  <c r="BF1690" i="7" s="1"/>
  <c r="BE648" i="7"/>
  <c r="BF648" i="7" s="1"/>
  <c r="BE2222" i="7"/>
  <c r="BF2222" i="7" s="1"/>
  <c r="BE2261" i="7"/>
  <c r="BF2261" i="7" s="1"/>
  <c r="BE916" i="7"/>
  <c r="BF916" i="7" s="1"/>
  <c r="BE543" i="7"/>
  <c r="BF543" i="7" s="1"/>
  <c r="BE1021" i="7"/>
  <c r="BF1021" i="7" s="1"/>
  <c r="BE949" i="7"/>
  <c r="BF949" i="7" s="1"/>
  <c r="BE1931" i="7"/>
  <c r="BF1931" i="7" s="1"/>
  <c r="BE188" i="7"/>
  <c r="BF188" i="7" s="1"/>
  <c r="BE1862" i="7"/>
  <c r="BF1862" i="7" s="1"/>
  <c r="BE964" i="7"/>
  <c r="BF964" i="7" s="1"/>
  <c r="BE1312" i="7"/>
  <c r="BF1312" i="7" s="1"/>
  <c r="BE919" i="7"/>
  <c r="BF919" i="7" s="1"/>
  <c r="BE1014" i="7"/>
  <c r="BF1014" i="7" s="1"/>
  <c r="BE692" i="7"/>
  <c r="BF692" i="7" s="1"/>
  <c r="BE167" i="7"/>
  <c r="BF167" i="7" s="1"/>
  <c r="BE500" i="7"/>
  <c r="BF500" i="7" s="1"/>
  <c r="BE1624" i="7"/>
  <c r="BF1624" i="7" s="1"/>
  <c r="BE1575" i="7"/>
  <c r="BF1575" i="7" s="1"/>
  <c r="BE1339" i="7"/>
  <c r="BF1339" i="7" s="1"/>
  <c r="BE1050" i="7"/>
  <c r="BF1050" i="7" s="1"/>
  <c r="BE1900" i="7"/>
  <c r="BF1900" i="7" s="1"/>
  <c r="BE480" i="7"/>
  <c r="BF480" i="7" s="1"/>
  <c r="BE843" i="7"/>
  <c r="BF843" i="7" s="1"/>
  <c r="BE1794" i="7"/>
  <c r="BF1794" i="7" s="1"/>
  <c r="BE1290" i="7"/>
  <c r="BF1290" i="7" s="1"/>
  <c r="BE1484" i="7"/>
  <c r="BF1484" i="7" s="1"/>
  <c r="BE981" i="7"/>
  <c r="BF981" i="7" s="1"/>
  <c r="BE230" i="7"/>
  <c r="BF230" i="7" s="1"/>
  <c r="BE1825" i="7"/>
  <c r="BF1825" i="7" s="1"/>
  <c r="BE1933" i="7"/>
  <c r="BF1933" i="7" s="1"/>
  <c r="BE1869" i="7"/>
  <c r="BF1869" i="7" s="1"/>
  <c r="BE1551" i="7"/>
  <c r="BE1019" i="7"/>
  <c r="BF1019" i="7" s="1"/>
  <c r="BE249" i="7"/>
  <c r="BF249" i="7" s="1"/>
  <c r="BE1251" i="7"/>
  <c r="BF1251" i="7" s="1"/>
  <c r="BE371" i="7"/>
  <c r="BF371" i="7" s="1"/>
  <c r="BE2131" i="7"/>
  <c r="BF2131" i="7" s="1"/>
  <c r="BE129" i="7"/>
  <c r="BF129" i="7" s="1"/>
  <c r="BE2137" i="7"/>
  <c r="BF2137" i="7" s="1"/>
  <c r="BE1043" i="7"/>
  <c r="BF1043" i="7" s="1"/>
  <c r="BE1593" i="7"/>
  <c r="BF1593" i="7" s="1"/>
  <c r="BE2200" i="7"/>
  <c r="BF2200" i="7" s="1"/>
  <c r="BE1699" i="7"/>
  <c r="BF1699" i="7" s="1"/>
  <c r="BE91" i="7"/>
  <c r="BF91" i="7" s="1"/>
  <c r="BE1126" i="7"/>
  <c r="BF1126" i="7" s="1"/>
  <c r="BE1200" i="7"/>
  <c r="BF1200" i="7" s="1"/>
  <c r="BE1910" i="7"/>
  <c r="BF1910" i="7" s="1"/>
  <c r="BE410" i="7"/>
  <c r="BF410" i="7" s="1"/>
  <c r="BE785" i="7"/>
  <c r="BF785" i="7" s="1"/>
  <c r="BE728" i="7"/>
  <c r="BF728" i="7" s="1"/>
  <c r="BE1242" i="7"/>
  <c r="BF1242" i="7" s="1"/>
  <c r="BE938" i="7"/>
  <c r="BF938" i="7" s="1"/>
  <c r="BE1387" i="7"/>
  <c r="BF1387" i="7" s="1"/>
  <c r="BE627" i="7"/>
  <c r="BF627" i="7" s="1"/>
  <c r="BE2101" i="7"/>
  <c r="BF2101" i="7" s="1"/>
  <c r="BE1540" i="7"/>
  <c r="BF1540" i="7" s="1"/>
  <c r="BE742" i="7"/>
  <c r="BF742" i="7" s="1"/>
  <c r="BE1038" i="7"/>
  <c r="BF1038" i="7" s="1"/>
  <c r="BE2039" i="7"/>
  <c r="BF2039" i="7" s="1"/>
  <c r="BE511" i="7"/>
  <c r="BF511" i="7" s="1"/>
  <c r="BE2239" i="7"/>
  <c r="BF2239" i="7" s="1"/>
  <c r="BE373" i="7"/>
  <c r="BF373" i="7" s="1"/>
  <c r="BE968" i="7"/>
  <c r="BF968" i="7" s="1"/>
  <c r="BE2211" i="7"/>
  <c r="BF2211" i="7" s="1"/>
  <c r="BE2147" i="7"/>
  <c r="BF2147" i="7" s="1"/>
  <c r="BE1871" i="7"/>
  <c r="BE1673" i="7"/>
  <c r="BF1673" i="7" s="1"/>
  <c r="BE549" i="7"/>
  <c r="BF549" i="7" s="1"/>
  <c r="BE803" i="7"/>
  <c r="BF803" i="7" s="1"/>
  <c r="BE1430" i="7"/>
  <c r="BF1430" i="7" s="1"/>
  <c r="BE18" i="7"/>
  <c r="BF18" i="7" s="1"/>
  <c r="BE908" i="7"/>
  <c r="BF908" i="7" s="1"/>
  <c r="BE1805" i="7"/>
  <c r="BF1805" i="7" s="1"/>
  <c r="BE1311" i="7"/>
  <c r="BF1311" i="7" s="1"/>
  <c r="BE1858" i="7"/>
  <c r="BF1858" i="7" s="1"/>
  <c r="BE1578" i="7"/>
  <c r="BF1578" i="7" s="1"/>
  <c r="BE1600" i="7"/>
  <c r="BF1600" i="7" s="1"/>
  <c r="BE758" i="7"/>
  <c r="BF758" i="7" s="1"/>
  <c r="BE1125" i="7"/>
  <c r="BF1125" i="7" s="1"/>
  <c r="BE1450" i="7"/>
  <c r="BF1450" i="7" s="1"/>
  <c r="BE169" i="7"/>
  <c r="BF169" i="7" s="1"/>
  <c r="BE991" i="7"/>
  <c r="BF991" i="7" s="1"/>
  <c r="BE107" i="7"/>
  <c r="BF107" i="7" s="1"/>
  <c r="BE1526" i="7"/>
  <c r="BF1526" i="7" s="1"/>
  <c r="BE835" i="7"/>
  <c r="BF835" i="7" s="1"/>
  <c r="BE478" i="7"/>
  <c r="BF478" i="7" s="1"/>
  <c r="BE682" i="7"/>
  <c r="BF682" i="7" s="1"/>
  <c r="BE2177" i="7"/>
  <c r="BF2177" i="7" s="1"/>
  <c r="BE19" i="7"/>
  <c r="BF19" i="7" s="1"/>
  <c r="BE1693" i="7"/>
  <c r="BF1693" i="7" s="1"/>
  <c r="BE377" i="7"/>
  <c r="BF377" i="7" s="1"/>
  <c r="BE971" i="7"/>
  <c r="BF971" i="7" s="1"/>
  <c r="BE1392" i="7"/>
  <c r="BF1392" i="7" s="1"/>
  <c r="BE1107" i="7"/>
  <c r="BF1107" i="7" s="1"/>
  <c r="BE1874" i="7"/>
  <c r="BF1874" i="7" s="1"/>
  <c r="BE804" i="7"/>
  <c r="BF804" i="7" s="1"/>
  <c r="BE1789" i="7"/>
  <c r="BE56" i="7"/>
  <c r="BF56" i="7" s="1"/>
  <c r="BE13" i="7"/>
  <c r="BF13" i="7" s="1"/>
  <c r="BE1678" i="7"/>
  <c r="BF1678" i="7" s="1"/>
  <c r="BE618" i="7"/>
  <c r="BF618" i="7" s="1"/>
  <c r="BE2163" i="7"/>
  <c r="BF2163" i="7" s="1"/>
  <c r="BE1445" i="7"/>
  <c r="BF1445" i="7" s="1"/>
  <c r="BE826" i="7"/>
  <c r="BF826" i="7" s="1"/>
  <c r="BE1969" i="7"/>
  <c r="BE1696" i="7"/>
  <c r="BE1572" i="7"/>
  <c r="BF1572" i="7" s="1"/>
  <c r="BE1082" i="7"/>
  <c r="BF1082" i="7" s="1"/>
  <c r="BE340" i="7"/>
  <c r="BF340" i="7" s="1"/>
  <c r="BE259" i="7"/>
  <c r="BF259" i="7" s="1"/>
  <c r="BE1702" i="7"/>
  <c r="BF1702" i="7" s="1"/>
  <c r="BE1276" i="7"/>
  <c r="BF1276" i="7" s="1"/>
  <c r="BE2181" i="7"/>
  <c r="BF2181" i="7" s="1"/>
  <c r="BE1011" i="7"/>
  <c r="BF1011" i="7" s="1"/>
  <c r="BE1232" i="7"/>
  <c r="BF1232" i="7" s="1"/>
  <c r="BE119" i="7"/>
  <c r="BF119" i="7" s="1"/>
  <c r="BE1674" i="7"/>
  <c r="BF1674" i="7" s="1"/>
  <c r="BE856" i="7"/>
  <c r="BF856" i="7" s="1"/>
  <c r="BE1957" i="7"/>
  <c r="BF1957" i="7" s="1"/>
  <c r="BE932" i="7"/>
  <c r="BF932" i="7" s="1"/>
  <c r="BE957" i="7"/>
  <c r="BF957" i="7" s="1"/>
  <c r="BE1846" i="7"/>
  <c r="BF1846" i="7" s="1"/>
  <c r="BE1383" i="7"/>
  <c r="BF1383" i="7" s="1"/>
  <c r="BE1512" i="7"/>
  <c r="BF1512" i="7" s="1"/>
  <c r="BE1938" i="7"/>
  <c r="BF1938" i="7" s="1"/>
  <c r="BE263" i="7"/>
  <c r="BF263" i="7" s="1"/>
  <c r="BE1385" i="7"/>
  <c r="BF1385" i="7" s="1"/>
  <c r="BE2019" i="7"/>
  <c r="BF2019" i="7" s="1"/>
  <c r="BE1435" i="7"/>
  <c r="BF1435" i="7" s="1"/>
  <c r="BE2202" i="7"/>
  <c r="BF2202" i="7" s="1"/>
  <c r="BE1963" i="7"/>
  <c r="BF1963" i="7" s="1"/>
  <c r="BE1875" i="7"/>
  <c r="BF1875" i="7" s="1"/>
  <c r="BE1623" i="7"/>
  <c r="BF1623" i="7" s="1"/>
  <c r="BE1679" i="7"/>
  <c r="BF1679" i="7" s="1"/>
  <c r="BE2157" i="7"/>
  <c r="BE606" i="7"/>
  <c r="BF606" i="7" s="1"/>
  <c r="BE66" i="7"/>
  <c r="BF66" i="7" s="1"/>
  <c r="BE642" i="7"/>
  <c r="BF642" i="7" s="1"/>
  <c r="BE2058" i="7"/>
  <c r="BF2058" i="7" s="1"/>
  <c r="BE1095" i="7"/>
  <c r="BF1095" i="7" s="1"/>
  <c r="BE1378" i="7"/>
  <c r="BF1378" i="7" s="1"/>
  <c r="BE1149" i="7"/>
  <c r="BF1149" i="7" s="1"/>
  <c r="BE2072" i="7"/>
  <c r="BF2072" i="7" s="1"/>
  <c r="BE1306" i="7"/>
  <c r="BF1306" i="7" s="1"/>
  <c r="BE954" i="7"/>
  <c r="BF954" i="7" s="1"/>
  <c r="BE1892" i="7"/>
  <c r="BF1892" i="7" s="1"/>
  <c r="BE1580" i="7"/>
  <c r="BF1580" i="7" s="1"/>
  <c r="BE645" i="7"/>
  <c r="BF645" i="7" s="1"/>
  <c r="BE1062" i="7"/>
  <c r="BE2223" i="7"/>
  <c r="BF2223" i="7" s="1"/>
  <c r="BE1490" i="7"/>
  <c r="BF1490" i="7" s="1"/>
  <c r="BE509" i="7"/>
  <c r="BF509" i="7" s="1"/>
  <c r="BE1051" i="7"/>
  <c r="BF1051" i="7" s="1"/>
  <c r="BE2280" i="7"/>
  <c r="BF2280" i="7" s="1"/>
  <c r="BE693" i="7"/>
  <c r="BF693" i="7" s="1"/>
  <c r="BE953" i="7"/>
  <c r="BF953" i="7" s="1"/>
  <c r="BE525" i="7"/>
  <c r="BF525" i="7" s="1"/>
  <c r="BE694" i="7"/>
  <c r="BF694" i="7" s="1"/>
  <c r="BE1857" i="7"/>
  <c r="BF1857" i="7" s="1"/>
  <c r="BE1608" i="7"/>
  <c r="BF1608" i="7" s="1"/>
  <c r="BE1358" i="7"/>
  <c r="BF1358" i="7" s="1"/>
  <c r="BE686" i="7"/>
  <c r="BF686" i="7" s="1"/>
  <c r="BE2115" i="7"/>
  <c r="BF2115" i="7" s="1"/>
  <c r="BE622" i="7"/>
  <c r="BF622" i="7" s="1"/>
  <c r="BE363" i="7"/>
  <c r="BF363" i="7" s="1"/>
  <c r="BE2030" i="7"/>
  <c r="BF2030" i="7" s="1"/>
  <c r="BE1442" i="7"/>
  <c r="BF1442" i="7" s="1"/>
  <c r="BE867" i="7"/>
  <c r="BF867" i="7" s="1"/>
  <c r="BE296" i="7"/>
  <c r="BF296" i="7" s="1"/>
  <c r="BE1809" i="7"/>
  <c r="BF1809" i="7" s="1"/>
  <c r="BE1204" i="7"/>
  <c r="BF1204" i="7" s="1"/>
  <c r="BE75" i="7"/>
  <c r="BF75" i="7" s="1"/>
  <c r="BE1737" i="7"/>
  <c r="BF1737" i="7" s="1"/>
  <c r="BE246" i="7"/>
  <c r="BF246" i="7" s="1"/>
  <c r="BE1859" i="7"/>
  <c r="BF1859" i="7" s="1"/>
  <c r="BE1007" i="7"/>
  <c r="BF1007" i="7" s="1"/>
  <c r="BE22" i="7"/>
  <c r="BF22" i="7" s="1"/>
  <c r="BE2216" i="7"/>
  <c r="BF2216" i="7" s="1"/>
  <c r="BE2209" i="7"/>
  <c r="BF2209" i="7" s="1"/>
  <c r="BE2016" i="7"/>
  <c r="BF2016" i="7" s="1"/>
  <c r="BE999" i="7"/>
  <c r="BF999" i="7" s="1"/>
  <c r="BE838" i="7"/>
  <c r="BF838" i="7" s="1"/>
  <c r="BE1247" i="7"/>
  <c r="BE157" i="7"/>
  <c r="BF157" i="7" s="1"/>
  <c r="BE775" i="7"/>
  <c r="BF775" i="7" s="1"/>
  <c r="BE864" i="7"/>
  <c r="BF864" i="7" s="1"/>
  <c r="BE560" i="7"/>
  <c r="BF560" i="7" s="1"/>
  <c r="BE1147" i="7"/>
  <c r="BF1147" i="7" s="1"/>
  <c r="BE1303" i="7"/>
  <c r="BF1303" i="7" s="1"/>
  <c r="BE342" i="7"/>
  <c r="BF342" i="7" s="1"/>
  <c r="BE435" i="7"/>
  <c r="BF435" i="7" s="1"/>
  <c r="BE1335" i="7"/>
  <c r="BF1335" i="7" s="1"/>
  <c r="BE1833" i="7"/>
  <c r="BF1833" i="7" s="1"/>
  <c r="BE2178" i="7"/>
  <c r="BF2178" i="7" s="1"/>
  <c r="BE731" i="7"/>
  <c r="BF731" i="7" s="1"/>
  <c r="BE238" i="7"/>
  <c r="BF238" i="7" s="1"/>
  <c r="BE362" i="7"/>
  <c r="BF362" i="7" s="1"/>
  <c r="BE1780" i="7"/>
  <c r="BF1780" i="7" s="1"/>
  <c r="BE211" i="7"/>
  <c r="BF211" i="7" s="1"/>
  <c r="BE933" i="7"/>
  <c r="BF933" i="7" s="1"/>
  <c r="BE1562" i="7"/>
  <c r="BF1562" i="7" s="1"/>
  <c r="BE1236" i="7"/>
  <c r="BF1236" i="7" s="1"/>
  <c r="BE1636" i="7"/>
  <c r="BF1636" i="7" s="1"/>
  <c r="BE524" i="7"/>
  <c r="BF524" i="7" s="1"/>
  <c r="BE313" i="7"/>
  <c r="BF313" i="7" s="1"/>
  <c r="BE2002" i="7"/>
  <c r="BF2002" i="7" s="1"/>
  <c r="BE469" i="7"/>
  <c r="BF469" i="7" s="1"/>
  <c r="BE1252" i="7"/>
  <c r="BF1252" i="7" s="1"/>
  <c r="BE1748" i="7"/>
  <c r="BF1748" i="7" s="1"/>
  <c r="BE1890" i="7"/>
  <c r="BF1890" i="7" s="1"/>
  <c r="BE941" i="7"/>
  <c r="BF941" i="7" s="1"/>
  <c r="BE2075" i="7"/>
  <c r="BF2075" i="7" s="1"/>
  <c r="BE1189" i="7"/>
  <c r="BF1189" i="7" s="1"/>
  <c r="BE1347" i="7"/>
  <c r="BF1347" i="7" s="1"/>
  <c r="BE718" i="7"/>
  <c r="BF718" i="7" s="1"/>
  <c r="BE491" i="7"/>
  <c r="BF491" i="7" s="1"/>
  <c r="BE624" i="7"/>
  <c r="BF624" i="7" s="1"/>
  <c r="BE213" i="7"/>
  <c r="BF213" i="7" s="1"/>
  <c r="BE882" i="7"/>
  <c r="BF882" i="7" s="1"/>
  <c r="BE55" i="7"/>
  <c r="BF55" i="7" s="1"/>
  <c r="BE1513" i="7"/>
  <c r="BF1513" i="7" s="1"/>
  <c r="BE1944" i="7"/>
  <c r="BF1944" i="7" s="1"/>
  <c r="BE1818" i="7"/>
  <c r="BF1818" i="7" s="1"/>
  <c r="BE1772" i="7"/>
  <c r="BF1772" i="7" s="1"/>
  <c r="BE11" i="7"/>
  <c r="BF11" i="7" s="1"/>
  <c r="BE2004" i="7"/>
  <c r="BF2004" i="7" s="1"/>
  <c r="BE687" i="7"/>
  <c r="BF687" i="7" s="1"/>
  <c r="BE1849" i="7"/>
  <c r="BF1849" i="7" s="1"/>
  <c r="BE739" i="7"/>
  <c r="BF739" i="7" s="1"/>
  <c r="BE1629" i="7"/>
  <c r="BF1629" i="7" s="1"/>
  <c r="BE207" i="7"/>
  <c r="BF207" i="7" s="1"/>
  <c r="BE920" i="7"/>
  <c r="BF920" i="7" s="1"/>
  <c r="BE1243" i="7"/>
  <c r="BF1243" i="7" s="1"/>
  <c r="BE1922" i="7"/>
  <c r="BF1922" i="7" s="1"/>
  <c r="BE510" i="7"/>
  <c r="BF510" i="7" s="1"/>
  <c r="BE508" i="7"/>
  <c r="BF508" i="7" s="1"/>
  <c r="BE1226" i="7"/>
  <c r="BF1226" i="7" s="1"/>
  <c r="BE588" i="7"/>
  <c r="BF588" i="7" s="1"/>
  <c r="BE397" i="7"/>
  <c r="BF397" i="7" s="1"/>
  <c r="BE95" i="7"/>
  <c r="BF95" i="7" s="1"/>
  <c r="BE1692" i="7"/>
  <c r="BF1692" i="7" s="1"/>
  <c r="BE1524" i="7"/>
  <c r="BF1524" i="7" s="1"/>
  <c r="BE680" i="7"/>
  <c r="BF680" i="7" s="1"/>
  <c r="BE287" i="7"/>
  <c r="BF287" i="7" s="1"/>
  <c r="BE2099" i="7"/>
  <c r="BF2099" i="7" s="1"/>
  <c r="BE378" i="7"/>
  <c r="BF378" i="7" s="1"/>
  <c r="BE786" i="7"/>
  <c r="BF786" i="7" s="1"/>
  <c r="BE1781" i="7"/>
  <c r="BF1781" i="7" s="1"/>
  <c r="BE1960" i="7"/>
  <c r="BF1960" i="7" s="1"/>
  <c r="BE1101" i="7"/>
  <c r="BE1283" i="7"/>
  <c r="BF1283" i="7" s="1"/>
  <c r="BE698" i="7"/>
  <c r="BF698" i="7" s="1"/>
  <c r="BE1852" i="7"/>
  <c r="BF1852" i="7" s="1"/>
  <c r="BE1604" i="7"/>
  <c r="BF1604" i="7" s="1"/>
  <c r="BE787" i="7"/>
  <c r="BF787" i="7" s="1"/>
  <c r="BE82" i="7"/>
  <c r="BF82" i="7" s="1"/>
  <c r="BE855" i="7"/>
  <c r="BF855" i="7" s="1"/>
  <c r="BE2001" i="7"/>
  <c r="BF2001" i="7" s="1"/>
  <c r="BE482" i="7"/>
  <c r="BF482" i="7" s="1"/>
  <c r="BE2185" i="7"/>
  <c r="BF2185" i="7" s="1"/>
  <c r="BE126" i="7"/>
  <c r="BF126" i="7" s="1"/>
  <c r="BE885" i="7"/>
  <c r="BF885" i="7" s="1"/>
  <c r="BE1621" i="7"/>
  <c r="BF1621" i="7" s="1"/>
  <c r="BE334" i="7"/>
  <c r="BF334" i="7" s="1"/>
  <c r="BE1516" i="7"/>
  <c r="BF1516" i="7" s="1"/>
  <c r="BE240" i="7"/>
  <c r="BF240" i="7" s="1"/>
  <c r="BE1912" i="7"/>
  <c r="BF1912" i="7" s="1"/>
  <c r="BE486" i="7"/>
  <c r="BF486" i="7" s="1"/>
  <c r="BE2240" i="7"/>
  <c r="BF2240" i="7" s="1"/>
  <c r="BE1842" i="7"/>
  <c r="BF1842" i="7" s="1"/>
  <c r="BE474" i="7"/>
  <c r="BF474" i="7" s="1"/>
  <c r="BE131" i="7"/>
  <c r="BF131" i="7" s="1"/>
  <c r="BE1713" i="7"/>
  <c r="BF1713" i="7" s="1"/>
  <c r="BE1094" i="7"/>
  <c r="BF1094" i="7" s="1"/>
  <c r="BE782" i="7"/>
  <c r="BF782" i="7" s="1"/>
  <c r="BE1307" i="7"/>
  <c r="BF1307" i="7" s="1"/>
  <c r="BE1212" i="7"/>
  <c r="BF1212" i="7" s="1"/>
  <c r="BE1885" i="7"/>
  <c r="BE900" i="7"/>
  <c r="BF900" i="7" s="1"/>
  <c r="BE1542" i="7"/>
  <c r="BF1542" i="7" s="1"/>
  <c r="BE1979" i="7"/>
  <c r="BF1979" i="7" s="1"/>
  <c r="BE1320" i="7"/>
  <c r="BF1320" i="7" s="1"/>
  <c r="BE1647" i="7"/>
  <c r="BF1647" i="7" s="1"/>
  <c r="BE1219" i="7"/>
  <c r="BF1219" i="7" s="1"/>
  <c r="BE175" i="7"/>
  <c r="BF175" i="7" s="1"/>
  <c r="BE1746" i="7"/>
  <c r="BF1746" i="7" s="1"/>
  <c r="BE187" i="7"/>
  <c r="BF187" i="7" s="1"/>
  <c r="BE1381" i="7"/>
  <c r="BF1381" i="7" s="1"/>
  <c r="BE291" i="7"/>
  <c r="BF291" i="7" s="1"/>
  <c r="BE2049" i="7"/>
  <c r="BF2049" i="7" s="1"/>
  <c r="BE1965" i="7"/>
  <c r="BF1965" i="7" s="1"/>
  <c r="BE39" i="7"/>
  <c r="BF39" i="7" s="1"/>
  <c r="BE667" i="7"/>
  <c r="BF667" i="7" s="1"/>
  <c r="BE1292" i="7"/>
  <c r="BF1292" i="7" s="1"/>
  <c r="BE2180" i="7"/>
  <c r="BF2180" i="7" s="1"/>
  <c r="BE1003" i="7"/>
  <c r="BF1003" i="7" s="1"/>
  <c r="BE1136" i="7"/>
  <c r="BF1136" i="7" s="1"/>
  <c r="BE425" i="7"/>
  <c r="BF425" i="7" s="1"/>
  <c r="BE1814" i="7"/>
  <c r="BF1814" i="7" s="1"/>
  <c r="BE1994" i="7"/>
  <c r="BF1994" i="7" s="1"/>
  <c r="BE1382" i="7"/>
  <c r="BF1382" i="7" s="1"/>
  <c r="BE1077" i="7"/>
  <c r="BF1077" i="7" s="1"/>
  <c r="BE1096" i="7"/>
  <c r="BF1096" i="7" s="1"/>
  <c r="BE658" i="7"/>
  <c r="BF658" i="7" s="1"/>
  <c r="BE717" i="7"/>
  <c r="BF717" i="7" s="1"/>
  <c r="BE1529" i="7"/>
  <c r="BF1529" i="7" s="1"/>
  <c r="BE281" i="7"/>
  <c r="BF281" i="7" s="1"/>
  <c r="BE796" i="7"/>
  <c r="BF796" i="7" s="1"/>
  <c r="BE837" i="7"/>
  <c r="BF837" i="7" s="1"/>
  <c r="BE1519" i="7"/>
  <c r="BF1519" i="7" s="1"/>
  <c r="BE1861" i="7"/>
  <c r="BF1861" i="7" s="1"/>
  <c r="BE1976" i="7"/>
  <c r="BF1976" i="7" s="1"/>
  <c r="BE1106" i="7"/>
  <c r="BF1106" i="7" s="1"/>
  <c r="BE547" i="7"/>
  <c r="BF547" i="7" s="1"/>
  <c r="BE987" i="7"/>
  <c r="BF987" i="7" s="1"/>
  <c r="BE1024" i="7"/>
  <c r="BF1024" i="7" s="1"/>
  <c r="BE30" i="7"/>
  <c r="BF30" i="7" s="1"/>
  <c r="BE1218" i="7"/>
  <c r="BF1218" i="7" s="1"/>
  <c r="BE2141" i="7"/>
  <c r="BF2141" i="7" s="1"/>
  <c r="BE1417" i="7"/>
  <c r="BF1417" i="7" s="1"/>
  <c r="BE1310" i="7"/>
  <c r="BF1310" i="7" s="1"/>
  <c r="BE493" i="7"/>
  <c r="BF493" i="7" s="1"/>
  <c r="BE2110" i="7"/>
  <c r="BF2110" i="7" s="1"/>
  <c r="BE2154" i="7"/>
  <c r="BF2154" i="7" s="1"/>
  <c r="BE985" i="7"/>
  <c r="BF985" i="7" s="1"/>
  <c r="BE1706" i="7"/>
  <c r="BF1706" i="7" s="1"/>
  <c r="BE876" i="7"/>
  <c r="BF876" i="7" s="1"/>
  <c r="BE386" i="7"/>
  <c r="BF386" i="7" s="1"/>
  <c r="BE2009" i="7"/>
  <c r="BF2009" i="7" s="1"/>
  <c r="BE2114" i="7"/>
  <c r="BF2114" i="7" s="1"/>
  <c r="BE1502" i="7"/>
  <c r="BF1502" i="7" s="1"/>
  <c r="BE1422" i="7"/>
  <c r="BF1422" i="7" s="1"/>
  <c r="BE418" i="7"/>
  <c r="BF418" i="7" s="1"/>
  <c r="BE1187" i="7"/>
  <c r="BF1187" i="7" s="1"/>
  <c r="BE10" i="7"/>
  <c r="BF10" i="7" s="1"/>
  <c r="BE430" i="7"/>
  <c r="BF430" i="7" s="1"/>
  <c r="BE926" i="7"/>
  <c r="BF926" i="7" s="1"/>
  <c r="BE1362" i="7"/>
  <c r="BF1362" i="7" s="1"/>
  <c r="BE2097" i="7"/>
  <c r="BF2097" i="7" s="1"/>
  <c r="BE1625" i="7"/>
  <c r="BF1625" i="7" s="1"/>
  <c r="BE2258" i="7"/>
  <c r="BF2258" i="7" s="1"/>
  <c r="BE1709" i="7"/>
  <c r="BF1709" i="7" s="1"/>
  <c r="BE2134" i="7"/>
  <c r="BF2134" i="7" s="1"/>
  <c r="BE1983" i="7"/>
  <c r="BF1983" i="7" s="1"/>
  <c r="BE464" i="7"/>
  <c r="BF464" i="7" s="1"/>
  <c r="BE433" i="7"/>
  <c r="BF433" i="7" s="1"/>
  <c r="BE1553" i="7"/>
  <c r="BF1553" i="7" s="1"/>
  <c r="BE595" i="7"/>
  <c r="BF595" i="7" s="1"/>
  <c r="BE754" i="7"/>
  <c r="BF754" i="7" s="1"/>
  <c r="BE558" i="7"/>
  <c r="BF558" i="7" s="1"/>
  <c r="BE253" i="7"/>
  <c r="BE1832" i="7"/>
  <c r="BF1832" i="7" s="1"/>
  <c r="BE1476" i="7"/>
  <c r="BF1476" i="7" s="1"/>
  <c r="BE1168" i="7"/>
  <c r="BF1168" i="7" s="1"/>
  <c r="BE2214" i="7"/>
  <c r="BF2214" i="7" s="1"/>
  <c r="BE1337" i="7"/>
  <c r="BF1337" i="7" s="1"/>
  <c r="BE1415" i="7"/>
  <c r="BF1415" i="7" s="1"/>
  <c r="BE191" i="7"/>
  <c r="BF191" i="7" s="1"/>
  <c r="BE2175" i="7"/>
  <c r="BF2175" i="7" s="1"/>
  <c r="BE1177" i="7"/>
  <c r="BF1177" i="7" s="1"/>
  <c r="BE556" i="7"/>
  <c r="BF556" i="7" s="1"/>
  <c r="BE834" i="7"/>
  <c r="BF834" i="7" s="1"/>
  <c r="BE1543" i="7"/>
  <c r="BF1543" i="7" s="1"/>
  <c r="BE1437" i="7"/>
  <c r="BF1437" i="7" s="1"/>
  <c r="BE959" i="7"/>
  <c r="BF959" i="7" s="1"/>
  <c r="BE1722" i="7"/>
  <c r="BF1722" i="7" s="1"/>
  <c r="BE1981" i="7"/>
  <c r="BF1981" i="7" s="1"/>
  <c r="BE1399" i="7"/>
  <c r="BF1399" i="7" s="1"/>
  <c r="BE1124" i="7"/>
  <c r="BF1124" i="7" s="1"/>
  <c r="BE842" i="7"/>
  <c r="BF842" i="7" s="1"/>
  <c r="BE671" i="7"/>
  <c r="BF671" i="7" s="1"/>
  <c r="BE1689" i="7"/>
  <c r="BF1689" i="7" s="1"/>
  <c r="BE2267" i="7"/>
  <c r="BF2267" i="7" s="1"/>
  <c r="BE293" i="7"/>
  <c r="BF293" i="7" s="1"/>
  <c r="BE946" i="7"/>
  <c r="BF946" i="7" s="1"/>
  <c r="BE1281" i="7"/>
  <c r="BF1281" i="7" s="1"/>
  <c r="BE762" i="7"/>
  <c r="BF762" i="7" s="1"/>
  <c r="BE1282" i="7"/>
  <c r="BF1282" i="7" s="1"/>
  <c r="BE502" i="7"/>
  <c r="BF502" i="7" s="1"/>
  <c r="BE575" i="7"/>
  <c r="BF575" i="7" s="1"/>
  <c r="BE393" i="7"/>
  <c r="BF393" i="7" s="1"/>
  <c r="BE76" i="7"/>
  <c r="BF76" i="7" s="1"/>
  <c r="BE2135" i="7"/>
  <c r="BF2135" i="7" s="1"/>
  <c r="BE152" i="7"/>
  <c r="BF152" i="7" s="1"/>
  <c r="BE1324" i="7"/>
  <c r="BF1324" i="7" s="1"/>
  <c r="BE1681" i="7"/>
  <c r="BF1681" i="7" s="1"/>
  <c r="BE218" i="7"/>
  <c r="BF218" i="7" s="1"/>
  <c r="BE1459" i="7"/>
  <c r="BF1459" i="7" s="1"/>
  <c r="BE2247" i="7"/>
  <c r="BF2247" i="7" s="1"/>
  <c r="BE61" i="7"/>
  <c r="BF61" i="7" s="1"/>
  <c r="BE952" i="7"/>
  <c r="BF952" i="7" s="1"/>
  <c r="BE1822" i="7"/>
  <c r="BF1822" i="7" s="1"/>
  <c r="BE1758" i="7"/>
  <c r="BF1758" i="7" s="1"/>
  <c r="BE548" i="7"/>
  <c r="BF548" i="7" s="1"/>
  <c r="BE135" i="7"/>
  <c r="BF135" i="7" s="1"/>
  <c r="BE514" i="7"/>
  <c r="BF514" i="7" s="1"/>
  <c r="BE164" i="7"/>
  <c r="BF164" i="7" s="1"/>
  <c r="BE2205" i="7"/>
  <c r="BF2205" i="7" s="1"/>
  <c r="BE2035" i="7"/>
  <c r="BF2035" i="7" s="1"/>
  <c r="BE303" i="7"/>
  <c r="BF303" i="7" s="1"/>
  <c r="BE14" i="7"/>
  <c r="BF14" i="7" s="1"/>
  <c r="BE760" i="7"/>
  <c r="BF760" i="7" s="1"/>
  <c r="BE349" i="7"/>
  <c r="BF349" i="7" s="1"/>
  <c r="BE1061" i="7"/>
  <c r="BF1061" i="7" s="1"/>
  <c r="BE279" i="7"/>
  <c r="BF279" i="7" s="1"/>
  <c r="BE1316" i="7"/>
  <c r="BF1316" i="7" s="1"/>
  <c r="BE462" i="7"/>
  <c r="BF462" i="7" s="1"/>
  <c r="BE1059" i="7"/>
  <c r="BF1059" i="7" s="1"/>
  <c r="BE1830" i="7"/>
  <c r="BF1830" i="7" s="1"/>
  <c r="BE2232" i="7"/>
  <c r="BF2232" i="7" s="1"/>
  <c r="BE1607" i="7"/>
  <c r="BF1607" i="7" s="1"/>
  <c r="BE2165" i="7"/>
  <c r="BF2165" i="7" s="1"/>
  <c r="BE2010" i="7"/>
  <c r="BF2010" i="7" s="1"/>
  <c r="BE231" i="7"/>
  <c r="BF231" i="7" s="1"/>
  <c r="BE1409" i="7"/>
  <c r="BF1409" i="7" s="1"/>
  <c r="BE1860" i="7"/>
  <c r="BF1860" i="7" s="1"/>
  <c r="BE977" i="7"/>
  <c r="BF977" i="7" s="1"/>
  <c r="BE840" i="7"/>
  <c r="BF840" i="7" s="1"/>
  <c r="BE128" i="7"/>
  <c r="BF128" i="7" s="1"/>
  <c r="BE284" i="7"/>
  <c r="BF284" i="7" s="1"/>
  <c r="BE20" i="7"/>
  <c r="BF20" i="7" s="1"/>
  <c r="BE1704" i="7"/>
  <c r="BE1158" i="7"/>
  <c r="BF1158" i="7" s="1"/>
  <c r="BE336" i="7"/>
  <c r="BF336" i="7" s="1"/>
  <c r="BE1429" i="7"/>
  <c r="BE2007" i="7"/>
  <c r="BE31" i="7"/>
  <c r="BF31" i="7" s="1"/>
  <c r="BE2080" i="7"/>
  <c r="BF2080" i="7" s="1"/>
  <c r="BE540" i="7"/>
  <c r="BF540" i="7" s="1"/>
  <c r="BE1397" i="7"/>
  <c r="BF1397" i="7" s="1"/>
  <c r="BE591" i="7"/>
  <c r="BF591" i="7" s="1"/>
  <c r="BE600" i="7"/>
  <c r="BF600" i="7" s="1"/>
  <c r="BE1350" i="7"/>
  <c r="BF1350" i="7" s="1"/>
  <c r="BE790" i="7"/>
  <c r="BF790" i="7" s="1"/>
  <c r="BE2092" i="7"/>
  <c r="BF2092" i="7" s="1"/>
  <c r="BE602" i="7"/>
  <c r="BF602" i="7" s="1"/>
  <c r="BE52" i="7"/>
  <c r="BF52" i="7" s="1"/>
  <c r="BE808" i="7"/>
  <c r="BF808" i="7" s="1"/>
  <c r="BE2193" i="7"/>
  <c r="BF2193" i="7" s="1"/>
  <c r="BE1996" i="7"/>
  <c r="BF1996" i="7" s="1"/>
  <c r="BE1040" i="7"/>
  <c r="BF1040" i="7" s="1"/>
  <c r="BE1412" i="7"/>
  <c r="BF1412" i="7" s="1"/>
  <c r="BE160" i="7"/>
  <c r="BF160" i="7" s="1"/>
  <c r="BE2188" i="7"/>
  <c r="BE751" i="7"/>
  <c r="BF751" i="7" s="1"/>
  <c r="BE2106" i="7"/>
  <c r="BF2106" i="7" s="1"/>
  <c r="BE557" i="7"/>
  <c r="BF557" i="7" s="1"/>
  <c r="BE777" i="7"/>
  <c r="BF777" i="7" s="1"/>
  <c r="BE2281" i="7"/>
  <c r="BF2281" i="7" s="1"/>
  <c r="BE517" i="7"/>
  <c r="BF517" i="7" s="1"/>
  <c r="BE1411" i="7"/>
  <c r="BF1411" i="7" s="1"/>
  <c r="BE1941" i="7"/>
  <c r="BF1941" i="7" s="1"/>
  <c r="BE304" i="7"/>
  <c r="BF304" i="7" s="1"/>
  <c r="BE677" i="7"/>
  <c r="BF677" i="7" s="1"/>
  <c r="BE379" i="7"/>
  <c r="BF379" i="7" s="1"/>
  <c r="BE1333" i="7"/>
  <c r="BF1333" i="7" s="1"/>
  <c r="BE1695" i="7"/>
  <c r="BF1695" i="7" s="1"/>
  <c r="BE812" i="7"/>
  <c r="BF812" i="7" s="1"/>
  <c r="BE1145" i="7"/>
  <c r="BF1145" i="7" s="1"/>
  <c r="BE2249" i="7"/>
  <c r="BF2249" i="7" s="1"/>
  <c r="BE852" i="7"/>
  <c r="BF852" i="7" s="1"/>
  <c r="BE1514" i="7"/>
  <c r="BF1514" i="7" s="1"/>
  <c r="BE546" i="7"/>
  <c r="BF546" i="7" s="1"/>
  <c r="BE1609" i="7"/>
  <c r="BF1609" i="7" s="1"/>
  <c r="BE745" i="7"/>
  <c r="BF745" i="7" s="1"/>
  <c r="BE1920" i="7"/>
  <c r="BE1655" i="7"/>
  <c r="BF1655" i="7" s="1"/>
  <c r="BE1717" i="7"/>
  <c r="BF1717" i="7" s="1"/>
  <c r="BE1986" i="7"/>
  <c r="BF1986" i="7" s="1"/>
  <c r="BE312" i="7"/>
  <c r="BF312" i="7" s="1"/>
  <c r="BE110" i="7"/>
  <c r="BF110" i="7" s="1"/>
  <c r="BE1468" i="7"/>
  <c r="BF1468" i="7" s="1"/>
  <c r="BE1342" i="7"/>
  <c r="BF1342" i="7" s="1"/>
  <c r="BE617" i="7"/>
  <c r="BF617" i="7" s="1"/>
  <c r="BE2191" i="7"/>
  <c r="BF2191" i="7" s="1"/>
  <c r="BE1485" i="7"/>
  <c r="BF1485" i="7" s="1"/>
  <c r="BE1374" i="7"/>
  <c r="BF1374" i="7" s="1"/>
  <c r="BE242" i="7"/>
  <c r="BF242" i="7" s="1"/>
  <c r="BE405" i="7"/>
  <c r="BF405" i="7" s="1"/>
  <c r="BE53" i="7"/>
  <c r="BF53" i="7" s="1"/>
  <c r="BE6" i="7"/>
  <c r="BF6" i="7" s="1"/>
  <c r="BE1386" i="7"/>
  <c r="BF1386" i="7" s="1"/>
  <c r="BE1601" i="7"/>
  <c r="BF1601" i="7" s="1"/>
  <c r="BE1598" i="7"/>
  <c r="BF1598" i="7" s="1"/>
  <c r="BE404" i="7"/>
  <c r="BF404" i="7" s="1"/>
  <c r="BE1365" i="7"/>
  <c r="BF1365" i="7" s="1"/>
  <c r="BE1022" i="7"/>
  <c r="BF1022" i="7" s="1"/>
  <c r="BE727" i="7"/>
  <c r="BF727" i="7" s="1"/>
  <c r="BE2085" i="7"/>
  <c r="BF2085" i="7" s="1"/>
  <c r="BE512" i="7"/>
  <c r="BF512" i="7" s="1"/>
  <c r="BE1208" i="7"/>
  <c r="BE1571" i="7"/>
  <c r="BF1571" i="7" s="1"/>
  <c r="BE1443" i="7"/>
  <c r="BF1443" i="7" s="1"/>
  <c r="BE1787" i="7"/>
  <c r="BF1787" i="7" s="1"/>
  <c r="BE419" i="7"/>
  <c r="BF419" i="7" s="1"/>
  <c r="BE586" i="7"/>
  <c r="BF586" i="7" s="1"/>
  <c r="BE2179" i="7"/>
  <c r="BF2179" i="7" s="1"/>
  <c r="BE1567" i="7"/>
  <c r="BF1567" i="7" s="1"/>
  <c r="BE1631" i="7"/>
  <c r="BF1631" i="7" s="1"/>
  <c r="BE1775" i="7"/>
  <c r="BF1775" i="7" s="1"/>
  <c r="BE1159" i="7"/>
  <c r="BF1159" i="7" s="1"/>
  <c r="BE2237" i="7"/>
  <c r="BF2237" i="7" s="1"/>
  <c r="BE352" i="7"/>
  <c r="BF352" i="7" s="1"/>
  <c r="BE713" i="7"/>
  <c r="BF713" i="7" s="1"/>
  <c r="BE2207" i="7"/>
  <c r="BF2207" i="7" s="1"/>
  <c r="BE846" i="7"/>
  <c r="BF846" i="7" s="1"/>
  <c r="BE1568" i="7"/>
  <c r="BF1568" i="7" s="1"/>
  <c r="BE329" i="7"/>
  <c r="BF329" i="7" s="1"/>
  <c r="BE2116" i="7"/>
  <c r="BF2116" i="7" s="1"/>
  <c r="BE100" i="7"/>
  <c r="BF100" i="7" s="1"/>
  <c r="BE997" i="7"/>
  <c r="BF997" i="7" s="1"/>
  <c r="BE1796" i="7"/>
  <c r="BF1796" i="7" s="1"/>
  <c r="BE1515" i="7"/>
  <c r="BF1515" i="7" s="1"/>
  <c r="BE901" i="7"/>
  <c r="BF901" i="7" s="1"/>
  <c r="BE516" i="7"/>
  <c r="BF516" i="7" s="1"/>
  <c r="BE189" i="7"/>
  <c r="BF189" i="7" s="1"/>
  <c r="BE251" i="7"/>
  <c r="BF251" i="7" s="1"/>
  <c r="BE915" i="7"/>
  <c r="BF915" i="7" s="1"/>
  <c r="BE1978" i="7"/>
  <c r="BE1590" i="7"/>
  <c r="BF1590" i="7" s="1"/>
  <c r="BE650" i="7"/>
  <c r="BF650" i="7" s="1"/>
  <c r="BE1880" i="7"/>
  <c r="BF1880" i="7" s="1"/>
  <c r="BE1478" i="7"/>
  <c r="BE620" i="7"/>
  <c r="BF620" i="7" s="1"/>
  <c r="BE2132" i="7"/>
  <c r="BF2132" i="7" s="1"/>
  <c r="BE1536" i="7"/>
  <c r="BF1536" i="7" s="1"/>
  <c r="BE2060" i="7"/>
  <c r="BF2060" i="7" s="1"/>
  <c r="BE428" i="7"/>
  <c r="BF428" i="7" s="1"/>
  <c r="BE983" i="7"/>
  <c r="BF983" i="7" s="1"/>
  <c r="BE1360" i="7"/>
  <c r="BF1360" i="7" s="1"/>
  <c r="BE1676" i="7"/>
  <c r="BF1676" i="7" s="1"/>
  <c r="BE1967" i="7"/>
  <c r="BF1967" i="7" s="1"/>
  <c r="BE1821" i="7"/>
  <c r="BF1821" i="7" s="1"/>
  <c r="BE956" i="7"/>
  <c r="BF956" i="7" s="1"/>
  <c r="BE1056" i="7"/>
  <c r="BF1056" i="7" s="1"/>
  <c r="BE440" i="7"/>
  <c r="BF440" i="7" s="1"/>
  <c r="BE1555" i="7"/>
  <c r="BF1555" i="7" s="1"/>
  <c r="BE716" i="7"/>
  <c r="BF716" i="7" s="1"/>
  <c r="BE637" i="7"/>
  <c r="BF637" i="7" s="1"/>
  <c r="BE2189" i="7"/>
  <c r="BF2189" i="7" s="1"/>
  <c r="BE1367" i="7"/>
  <c r="BF1367" i="7" s="1"/>
  <c r="BE398" i="7"/>
  <c r="BF398" i="7" s="1"/>
  <c r="BE1221" i="7"/>
  <c r="BF1221" i="7" s="1"/>
  <c r="BE1089" i="7"/>
  <c r="BF1089" i="7" s="1"/>
  <c r="BE962" i="7"/>
  <c r="BF962" i="7" s="1"/>
  <c r="BE208" i="7"/>
  <c r="BF208" i="7" s="1"/>
  <c r="BE1455" i="7"/>
  <c r="BF1455" i="7" s="1"/>
  <c r="BE1161" i="7"/>
  <c r="BF1161" i="7" s="1"/>
  <c r="BE604" i="7"/>
  <c r="BF604" i="7" s="1"/>
  <c r="BE1726" i="7"/>
  <c r="BF1726" i="7" s="1"/>
  <c r="BE1762" i="7"/>
  <c r="BF1762" i="7" s="1"/>
  <c r="BE1087" i="7"/>
  <c r="BF1087" i="7" s="1"/>
  <c r="BE1728" i="7"/>
  <c r="BF1728" i="7" s="1"/>
  <c r="BE2104" i="7"/>
  <c r="BF2104" i="7" s="1"/>
  <c r="BE40" i="7"/>
  <c r="BF40" i="7" s="1"/>
  <c r="BE1248" i="7"/>
  <c r="BF1248" i="7" s="1"/>
  <c r="BE1317" i="7"/>
  <c r="BF1317" i="7" s="1"/>
  <c r="BE2118" i="7"/>
  <c r="BF2118" i="7" s="1"/>
  <c r="BE1449" i="7"/>
  <c r="BF1449" i="7" s="1"/>
  <c r="BE1527" i="7"/>
  <c r="BF1527" i="7" s="1"/>
  <c r="BE1098" i="7"/>
  <c r="BF1098" i="7" s="1"/>
  <c r="BE1138" i="7"/>
  <c r="BF1138" i="7" s="1"/>
  <c r="BE2073" i="7"/>
  <c r="BF2073" i="7" s="1"/>
  <c r="BE1441" i="7"/>
  <c r="BF1441" i="7" s="1"/>
  <c r="BE257" i="7"/>
  <c r="BF257" i="7" s="1"/>
  <c r="BE483" i="7"/>
  <c r="BF483" i="7" s="1"/>
  <c r="BE1628" i="7"/>
  <c r="BF1628" i="7" s="1"/>
  <c r="BE598" i="7"/>
  <c r="BF598" i="7" s="1"/>
  <c r="BE1220" i="7"/>
  <c r="BF1220" i="7" s="1"/>
  <c r="BE7" i="7"/>
  <c r="BF7" i="7" s="1"/>
  <c r="BE302" i="7"/>
  <c r="BF302" i="7" s="1"/>
  <c r="BE72" i="7"/>
  <c r="BF72" i="7" s="1"/>
  <c r="BE545" i="7"/>
  <c r="BF545" i="7" s="1"/>
  <c r="BE254" i="7"/>
  <c r="BF254" i="7" s="1"/>
  <c r="BE1049" i="7"/>
  <c r="BF1049" i="7" s="1"/>
  <c r="BE266" i="7"/>
  <c r="BF266" i="7" s="1"/>
  <c r="BE1390" i="7"/>
  <c r="BF1390" i="7" s="1"/>
  <c r="BE1254" i="7"/>
  <c r="BF1254" i="7" s="1"/>
  <c r="BE805" i="7"/>
  <c r="BF805" i="7" s="1"/>
  <c r="BE1174" i="7"/>
  <c r="BF1174" i="7" s="1"/>
  <c r="BE1244" i="7"/>
  <c r="BF1244" i="7" s="1"/>
  <c r="BE173" i="7"/>
  <c r="BF173" i="7" s="1"/>
  <c r="BE1278" i="7"/>
  <c r="BF1278" i="7" s="1"/>
  <c r="BE1803" i="7"/>
  <c r="BF1803" i="7" s="1"/>
  <c r="BE1719" i="7"/>
  <c r="BF1719" i="7" s="1"/>
  <c r="BE619" i="7"/>
  <c r="BF619" i="7" s="1"/>
  <c r="BE1033" i="7"/>
  <c r="BF1033" i="7" s="1"/>
  <c r="BE806" i="7"/>
  <c r="BF806" i="7" s="1"/>
  <c r="BE730" i="7"/>
  <c r="BF730" i="7" s="1"/>
  <c r="BE881" i="7"/>
  <c r="BF881" i="7" s="1"/>
  <c r="BE63" i="7"/>
  <c r="BF63" i="7" s="1"/>
  <c r="BE1217" i="7"/>
  <c r="BF1217" i="7" s="1"/>
  <c r="BE1913" i="7"/>
  <c r="BF1913" i="7" s="1"/>
  <c r="BE2184" i="7"/>
  <c r="BF2184" i="7" s="1"/>
  <c r="BE62" i="7"/>
  <c r="BF62" i="7" s="1"/>
  <c r="BE1205" i="7"/>
  <c r="BF1205" i="7" s="1"/>
  <c r="BE1496" i="7"/>
  <c r="BF1496" i="7" s="1"/>
  <c r="BE1619" i="7"/>
  <c r="BE501" i="7"/>
  <c r="BF501" i="7" s="1"/>
  <c r="BE2123" i="7"/>
  <c r="BF2123" i="7" s="1"/>
  <c r="BE1047" i="7"/>
  <c r="BF1047" i="7" s="1"/>
  <c r="BE1958" i="7"/>
  <c r="BF1958" i="7" s="1"/>
  <c r="BE596" i="7"/>
  <c r="BF596" i="7" s="1"/>
  <c r="BE89" i="7"/>
  <c r="BF89" i="7" s="1"/>
  <c r="BE1603" i="7"/>
  <c r="BF1603" i="7" s="1"/>
  <c r="BE134" i="7"/>
  <c r="BF134" i="7" s="1"/>
  <c r="BE2246" i="7"/>
  <c r="BF2246" i="7" s="1"/>
  <c r="BE531" i="7"/>
  <c r="BF531" i="7" s="1"/>
  <c r="BE226" i="7"/>
  <c r="BF226" i="7" s="1"/>
  <c r="BE180" i="7"/>
  <c r="BF180" i="7" s="1"/>
  <c r="BE1419" i="7"/>
  <c r="BF1419" i="7" s="1"/>
  <c r="BE1872" i="7"/>
  <c r="BE368" i="7"/>
  <c r="BF368" i="7" s="1"/>
  <c r="BE821" i="7"/>
  <c r="BF821" i="7" s="1"/>
  <c r="BE1497" i="7"/>
  <c r="BF1497" i="7" s="1"/>
  <c r="BE2265" i="7"/>
  <c r="BF2265" i="7" s="1"/>
  <c r="BE233" i="7"/>
  <c r="BF233" i="7" s="1"/>
  <c r="BE1188" i="7"/>
  <c r="BF1188" i="7" s="1"/>
  <c r="BE389" i="7"/>
  <c r="BF389" i="7" s="1"/>
  <c r="BE1057" i="7"/>
  <c r="BF1057" i="7" s="1"/>
  <c r="BE1483" i="7"/>
  <c r="BF1483" i="7" s="1"/>
  <c r="BE649" i="7"/>
  <c r="BF649" i="7" s="1"/>
  <c r="BE1286" i="7"/>
  <c r="BF1286" i="7" s="1"/>
  <c r="BE1545" i="7"/>
  <c r="BF1545" i="7" s="1"/>
  <c r="BE87" i="7"/>
  <c r="BF87" i="7" s="1"/>
  <c r="BE890" i="7"/>
  <c r="BF890" i="7" s="1"/>
  <c r="BE364" i="7"/>
  <c r="BF364" i="7" s="1"/>
  <c r="BE1824" i="7"/>
  <c r="BF1824" i="7" s="1"/>
  <c r="BE813" i="7"/>
  <c r="BF813" i="7" s="1"/>
  <c r="BE2192" i="7"/>
  <c r="BF2192" i="7" s="1"/>
  <c r="BE641" i="7"/>
  <c r="BF641" i="7" s="1"/>
  <c r="BE68" i="7"/>
  <c r="BF68" i="7" s="1"/>
  <c r="BE46" i="7"/>
  <c r="BF46" i="7" s="1"/>
  <c r="BE1143" i="7"/>
  <c r="BF1143" i="7" s="1"/>
  <c r="BE241" i="7"/>
  <c r="BF241" i="7" s="1"/>
  <c r="BE252" i="7"/>
  <c r="BF252" i="7" s="1"/>
  <c r="BE709" i="7"/>
  <c r="BF709" i="7" s="1"/>
  <c r="BE148" i="7"/>
  <c r="BF148" i="7" s="1"/>
  <c r="BE1052" i="7"/>
  <c r="BF1052" i="7" s="1"/>
  <c r="BE2160" i="7"/>
  <c r="BF2160" i="7" s="1"/>
  <c r="BE1838" i="7"/>
  <c r="BF1838" i="7" s="1"/>
  <c r="BE1299" i="7"/>
  <c r="BF1299" i="7" s="1"/>
  <c r="BE1280" i="7"/>
  <c r="BF1280" i="7" s="1"/>
  <c r="BE1672" i="7"/>
  <c r="BF1672" i="7" s="1"/>
  <c r="BE1471" i="7"/>
  <c r="BF1471" i="7" s="1"/>
  <c r="BE365" i="7"/>
  <c r="BF365" i="7" s="1"/>
  <c r="BE1990" i="7"/>
  <c r="BF1990" i="7" s="1"/>
  <c r="BE1277" i="7"/>
  <c r="BF1277" i="7" s="1"/>
  <c r="BE1841" i="7"/>
  <c r="BF1841" i="7" s="1"/>
  <c r="BE2260" i="7"/>
  <c r="BF2260" i="7" s="1"/>
  <c r="BE1977" i="7"/>
  <c r="BF1977" i="7" s="1"/>
  <c r="BE1972" i="7"/>
  <c r="BF1972" i="7" s="1"/>
  <c r="BE2089" i="7"/>
  <c r="BF2089" i="7" s="1"/>
  <c r="BE1829" i="7"/>
  <c r="BF1829" i="7" s="1"/>
  <c r="BE580" i="7"/>
  <c r="BE1815" i="7"/>
  <c r="BF1815" i="7" s="1"/>
  <c r="BE722" i="7"/>
  <c r="BF722" i="7" s="1"/>
  <c r="BE721" i="7"/>
  <c r="BF721" i="7" s="1"/>
  <c r="BE2243" i="7"/>
  <c r="BF2243" i="7" s="1"/>
  <c r="BE1760" i="7"/>
  <c r="BF1760" i="7" s="1"/>
  <c r="BE1538" i="7"/>
  <c r="BF1538" i="7" s="1"/>
  <c r="BE792" i="7"/>
  <c r="BF792" i="7" s="1"/>
  <c r="BE1582" i="7"/>
  <c r="BF1582" i="7" s="1"/>
  <c r="BE656" i="7"/>
  <c r="BF656" i="7" s="1"/>
  <c r="BE1271" i="7"/>
  <c r="BF1271" i="7" s="1"/>
  <c r="BE1657" i="7"/>
  <c r="BF1657" i="7" s="1"/>
  <c r="BE1196" i="7"/>
  <c r="BF1196" i="7" s="1"/>
  <c r="BE897" i="7"/>
  <c r="BF897" i="7" s="1"/>
  <c r="BE206" i="7"/>
  <c r="BF206" i="7" s="1"/>
  <c r="BE1819" i="7"/>
  <c r="BF1819" i="7" s="1"/>
  <c r="BE1178" i="7"/>
  <c r="BF1178" i="7" s="1"/>
  <c r="BE356" i="7"/>
  <c r="BF356" i="7" s="1"/>
  <c r="BE639" i="7"/>
  <c r="BF639" i="7" s="1"/>
  <c r="BE273" i="7"/>
  <c r="BF273" i="7" s="1"/>
  <c r="BE807" i="7"/>
  <c r="BF807" i="7" s="1"/>
  <c r="BE1027" i="7"/>
  <c r="BF1027" i="7" s="1"/>
  <c r="BE1460" i="7"/>
  <c r="BF1460" i="7" s="1"/>
  <c r="BE2194" i="7"/>
  <c r="BF2194" i="7" s="1"/>
  <c r="BE93" i="7"/>
  <c r="BF93" i="7" s="1"/>
  <c r="BE319" i="7"/>
  <c r="BE2153" i="7"/>
  <c r="BF2153" i="7" s="1"/>
  <c r="BE1903" i="7"/>
  <c r="BF1903" i="7" s="1"/>
  <c r="BE599" i="7"/>
  <c r="BF599" i="7" s="1"/>
  <c r="BE1930" i="7"/>
  <c r="BF1930" i="7" s="1"/>
  <c r="BE1916" i="7"/>
  <c r="BF1916" i="7" s="1"/>
  <c r="BE1897" i="7"/>
  <c r="BF1897" i="7" s="1"/>
  <c r="BE830" i="7"/>
  <c r="BF830" i="7" s="1"/>
  <c r="BE1987" i="7"/>
  <c r="BF1987" i="7" s="1"/>
  <c r="BE988" i="7"/>
  <c r="BF988" i="7" s="1"/>
  <c r="BE2018" i="7"/>
  <c r="BF2018" i="7" s="1"/>
  <c r="BE937" i="7"/>
  <c r="BF937" i="7" s="1"/>
  <c r="BE2054" i="7"/>
  <c r="BF2054" i="7" s="1"/>
  <c r="BE685" i="7"/>
  <c r="BF685" i="7" s="1"/>
  <c r="BE1756" i="7"/>
  <c r="BF1756" i="7" s="1"/>
  <c r="BE1876" i="7"/>
  <c r="BF1876" i="7" s="1"/>
  <c r="BE1732" i="7"/>
  <c r="BF1732" i="7" s="1"/>
  <c r="BE1955" i="7"/>
  <c r="BF1955" i="7" s="1"/>
  <c r="BE655" i="7"/>
  <c r="BF655" i="7" s="1"/>
  <c r="BE2005" i="7"/>
  <c r="BF2005" i="7" s="1"/>
  <c r="BE1641" i="7"/>
  <c r="BF1641" i="7" s="1"/>
  <c r="BE2128" i="7"/>
  <c r="BF2128" i="7" s="1"/>
  <c r="BE761" i="7"/>
  <c r="BF761" i="7" s="1"/>
  <c r="BE1193" i="7"/>
  <c r="BF1193" i="7" s="1"/>
  <c r="BE461" i="7"/>
  <c r="BF461" i="7" s="1"/>
  <c r="BE1444" i="7"/>
  <c r="BF1444" i="7" s="1"/>
  <c r="BE44" i="7"/>
  <c r="BF44" i="7" s="1"/>
  <c r="BE791" i="7"/>
  <c r="BF791" i="7" s="1"/>
  <c r="BE2190" i="7"/>
  <c r="BF2190" i="7" s="1"/>
  <c r="BE1753" i="7"/>
  <c r="BF1753" i="7" s="1"/>
  <c r="BE1194" i="7"/>
  <c r="BF1194" i="7" s="1"/>
  <c r="BE236" i="7"/>
  <c r="BF236" i="7" s="1"/>
  <c r="BE860" i="7"/>
  <c r="BF860" i="7" s="1"/>
  <c r="BE542" i="7"/>
  <c r="BF542" i="7" s="1"/>
  <c r="BE2038" i="7"/>
  <c r="BF2038" i="7" s="1"/>
  <c r="BE1771" i="7"/>
  <c r="BF1771" i="7" s="1"/>
  <c r="BE1650" i="7"/>
  <c r="BF1650" i="7" s="1"/>
  <c r="BE380" i="7"/>
  <c r="BF380" i="7" s="1"/>
  <c r="BE2208" i="7"/>
  <c r="BF2208" i="7" s="1"/>
  <c r="BE2090" i="7"/>
  <c r="BF2090" i="7" s="1"/>
  <c r="BE1883" i="7"/>
  <c r="BF1883" i="7" s="1"/>
  <c r="BE633" i="7"/>
  <c r="BF633" i="7" s="1"/>
  <c r="BE1448" i="7"/>
  <c r="BF1448" i="7" s="1"/>
  <c r="BE78" i="7"/>
  <c r="BF78" i="7" s="1"/>
  <c r="BE270" i="7"/>
  <c r="BF270" i="7" s="1"/>
  <c r="BE2086" i="7"/>
  <c r="BF2086" i="7" s="1"/>
  <c r="BE747" i="7"/>
  <c r="BF747" i="7" s="1"/>
  <c r="BE1532" i="7"/>
  <c r="BF1532" i="7" s="1"/>
  <c r="BE370" i="7"/>
  <c r="BF370" i="7" s="1"/>
  <c r="BE2017" i="7"/>
  <c r="BF2017" i="7" s="1"/>
  <c r="BE1531" i="7"/>
  <c r="BE1199" i="7"/>
  <c r="BF1199" i="7" s="1"/>
  <c r="BE499" i="7"/>
  <c r="BF499" i="7" s="1"/>
  <c r="BE1160" i="7"/>
  <c r="BF1160" i="7" s="1"/>
  <c r="BE1182" i="7"/>
  <c r="BF1182" i="7" s="1"/>
  <c r="BE1001" i="7"/>
  <c r="BF1001" i="7" s="1"/>
  <c r="BE1768" i="7"/>
  <c r="BF1768" i="7" s="1"/>
  <c r="BE104" i="7"/>
  <c r="BF104" i="7" s="1"/>
  <c r="BE1273" i="7"/>
  <c r="BF1273" i="7" s="1"/>
  <c r="BE678" i="7"/>
  <c r="BF678" i="7" s="1"/>
  <c r="BE2037" i="7"/>
  <c r="BE83" i="7"/>
  <c r="BF83" i="7" s="1"/>
  <c r="BE2161" i="7"/>
  <c r="BF2161" i="7" s="1"/>
  <c r="BE2043" i="7"/>
  <c r="BF2043" i="7" s="1"/>
  <c r="BE965" i="7"/>
  <c r="BF965" i="7" s="1"/>
  <c r="BE2113" i="7"/>
  <c r="BF2113" i="7" s="1"/>
  <c r="BE106" i="7"/>
  <c r="BF106" i="7" s="1"/>
  <c r="BE1677" i="7"/>
  <c r="BF1677" i="7" s="1"/>
  <c r="BE424" i="7"/>
  <c r="BF424" i="7" s="1"/>
  <c r="BE1535" i="7"/>
  <c r="BE772" i="7"/>
  <c r="BF772" i="7" s="1"/>
  <c r="BE32" i="7"/>
  <c r="BF32" i="7" s="1"/>
  <c r="BE1797" i="7"/>
  <c r="BF1797" i="7" s="1"/>
  <c r="BE2210" i="7"/>
  <c r="BF2210" i="7" s="1"/>
  <c r="BE227" i="7"/>
  <c r="BF227" i="7" s="1"/>
  <c r="BE1488" i="7"/>
  <c r="BF1488" i="7" s="1"/>
  <c r="BE836" i="7"/>
  <c r="BE884" i="7"/>
  <c r="BF884" i="7" s="1"/>
  <c r="BE1563" i="7"/>
  <c r="BF1563" i="7" s="1"/>
  <c r="BE906" i="7"/>
  <c r="BF906" i="7" s="1"/>
  <c r="BE140" i="7"/>
  <c r="BF140" i="7" s="1"/>
  <c r="BE702" i="7"/>
  <c r="BF702" i="7" s="1"/>
  <c r="BE1262" i="7"/>
  <c r="BF1262" i="7" s="1"/>
  <c r="BE1839" i="7"/>
  <c r="BF1839" i="7" s="1"/>
  <c r="BE2204" i="7"/>
  <c r="BF2204" i="7" s="1"/>
  <c r="BE219" i="7"/>
  <c r="BF219" i="7" s="1"/>
  <c r="BE623" i="7"/>
  <c r="BF623" i="7" s="1"/>
  <c r="BE801" i="7"/>
  <c r="BF801" i="7" s="1"/>
  <c r="BE2077" i="7"/>
  <c r="BF2077" i="7" s="1"/>
  <c r="BE298" i="7"/>
  <c r="BF298" i="7" s="1"/>
  <c r="BE1745" i="7"/>
  <c r="BF1745" i="7" s="1"/>
  <c r="BE781" i="7"/>
  <c r="BF781" i="7" s="1"/>
  <c r="BE581" i="7"/>
  <c r="BF581" i="7" s="1"/>
  <c r="BE2259" i="7"/>
  <c r="BF2259" i="7" s="1"/>
  <c r="BE2282" i="7"/>
  <c r="BF2282" i="7" s="1"/>
  <c r="BE353" i="7"/>
  <c r="BF353" i="7" s="1"/>
  <c r="BE1148" i="7"/>
  <c r="BF1148" i="7" s="1"/>
  <c r="BE5" i="7"/>
  <c r="BF5" i="7" s="1"/>
  <c r="BE2182" i="7"/>
  <c r="BF2182" i="7" s="1"/>
  <c r="BE841" i="7"/>
  <c r="BF841" i="7" s="1"/>
  <c r="BE528" i="7"/>
  <c r="BF528" i="7" s="1"/>
  <c r="BE141" i="7"/>
  <c r="BF141" i="7" s="1"/>
  <c r="BE1137" i="7"/>
  <c r="BF1137" i="7" s="1"/>
  <c r="BE388" i="7"/>
  <c r="BF388" i="7" s="1"/>
  <c r="BE360" i="7"/>
  <c r="BF360" i="7" s="1"/>
  <c r="BE875" i="7"/>
  <c r="BF875" i="7" s="1"/>
  <c r="BE1006" i="7"/>
  <c r="BF1006" i="7" s="1"/>
  <c r="BE1823" i="7"/>
  <c r="BF1823" i="7" s="1"/>
  <c r="BE400" i="7"/>
  <c r="BF400" i="7" s="1"/>
  <c r="BE33" i="7"/>
  <c r="BF33" i="7" s="1"/>
  <c r="BE527" i="7"/>
  <c r="BF527" i="7" s="1"/>
  <c r="BE1198" i="7"/>
  <c r="BF1198" i="7" s="1"/>
  <c r="BE1554" i="7"/>
  <c r="BF1554" i="7" s="1"/>
  <c r="BE1868" i="7"/>
  <c r="BF1868" i="7" s="1"/>
  <c r="BE853" i="7"/>
  <c r="BF853" i="7" s="1"/>
  <c r="BE644" i="7"/>
  <c r="BF644" i="7" s="1"/>
  <c r="BE2274" i="7"/>
  <c r="BF2274" i="7" s="1"/>
  <c r="BE289" i="7"/>
  <c r="BF289" i="7" s="1"/>
  <c r="BE1630" i="7"/>
  <c r="BF1630" i="7" s="1"/>
  <c r="BE636" i="7"/>
  <c r="BF636" i="7" s="1"/>
  <c r="BE1356" i="7"/>
  <c r="BF1356" i="7" s="1"/>
  <c r="BE1680" i="7"/>
  <c r="BF1680" i="7" s="1"/>
  <c r="BE922" i="7"/>
  <c r="BF922" i="7" s="1"/>
  <c r="BE35" i="7"/>
  <c r="BF35" i="7" s="1"/>
  <c r="BE324" i="7"/>
  <c r="BF324" i="7" s="1"/>
  <c r="BE1279" i="7"/>
  <c r="BF1279" i="7" s="1"/>
  <c r="BE2074" i="7"/>
  <c r="BF2074" i="7" s="1"/>
  <c r="BE559" i="7"/>
  <c r="BE1492" i="7"/>
  <c r="BF1492" i="7" s="1"/>
  <c r="BE765" i="7"/>
  <c r="BF765" i="7" s="1"/>
  <c r="BE2091" i="7"/>
  <c r="BF2091" i="7" s="1"/>
  <c r="BE1710" i="7"/>
  <c r="BF1710" i="7" s="1"/>
  <c r="BE2150" i="7"/>
  <c r="BE1616" i="7"/>
  <c r="BF1616" i="7" s="1"/>
  <c r="BE1034" i="7"/>
  <c r="BF1034" i="7" s="1"/>
  <c r="BE1934" i="7"/>
  <c r="BF1934" i="7" s="1"/>
  <c r="BE209" i="7"/>
  <c r="BF209" i="7" s="1"/>
  <c r="BE2174" i="7"/>
  <c r="BF2174" i="7" s="1"/>
  <c r="BE1705" i="7"/>
  <c r="BF1705" i="7" s="1"/>
  <c r="BE1314" i="7"/>
  <c r="BF1314" i="7" s="1"/>
  <c r="BE931" i="7"/>
  <c r="BF931" i="7" s="1"/>
  <c r="BE1648" i="7"/>
  <c r="BF1648" i="7" s="1"/>
  <c r="BE1215" i="7"/>
  <c r="BF1215" i="7" s="1"/>
  <c r="BE132" i="7"/>
  <c r="BF132" i="7" s="1"/>
  <c r="BE1887" i="7"/>
  <c r="BF1887" i="7" s="1"/>
  <c r="BE347" i="7"/>
  <c r="BF347" i="7" s="1"/>
  <c r="BE569" i="7"/>
  <c r="BF569" i="7" s="1"/>
  <c r="BE653" i="7"/>
  <c r="BF653" i="7" s="1"/>
  <c r="BE431" i="7"/>
  <c r="BF431" i="7" s="1"/>
  <c r="BE343" i="7"/>
  <c r="BF343" i="7" s="1"/>
  <c r="BE1640" i="7"/>
  <c r="BF1640" i="7" s="1"/>
  <c r="BE1475" i="7"/>
  <c r="BF1475" i="7" s="1"/>
  <c r="BE1537" i="7"/>
  <c r="BF1537" i="7" s="1"/>
  <c r="BE518" i="7"/>
  <c r="BF518" i="7" s="1"/>
  <c r="BE921" i="7"/>
  <c r="BF921" i="7" s="1"/>
  <c r="BE1914" i="7"/>
  <c r="BE1436" i="7"/>
  <c r="BF1436" i="7" s="1"/>
  <c r="BE1394" i="7"/>
  <c r="BF1394" i="7" s="1"/>
  <c r="BE1258" i="7"/>
  <c r="BF1258" i="7" s="1"/>
  <c r="BE1718" i="7"/>
  <c r="BF1718" i="7" s="1"/>
  <c r="BE672" i="7"/>
  <c r="BF672" i="7" s="1"/>
  <c r="BE823" i="7"/>
  <c r="BF823" i="7" s="1"/>
  <c r="BE1907" i="7"/>
  <c r="BF1907" i="7" s="1"/>
  <c r="BE1506" i="7"/>
  <c r="BF1506" i="7" s="1"/>
  <c r="BE1130" i="7"/>
  <c r="BF1130" i="7" s="1"/>
  <c r="BE2033" i="7"/>
  <c r="BE1117" i="7"/>
  <c r="BF1117" i="7" s="1"/>
  <c r="BE1973" i="7"/>
  <c r="BF1973" i="7" s="1"/>
  <c r="BE1612" i="7"/>
  <c r="BF1612" i="7" s="1"/>
  <c r="BE1544" i="7"/>
  <c r="BF1544" i="7" s="1"/>
  <c r="BE96" i="7"/>
  <c r="BF96" i="7" s="1"/>
  <c r="BE2268" i="7"/>
  <c r="BF2268" i="7" s="1"/>
  <c r="BE470" i="7"/>
  <c r="BF470" i="7" s="1"/>
  <c r="BE2124" i="7"/>
  <c r="BF2124" i="7" s="1"/>
  <c r="BE2152" i="7"/>
  <c r="BF2152" i="7" s="1"/>
  <c r="BE1517" i="7"/>
  <c r="BF1517" i="7" s="1"/>
  <c r="BE1129" i="7"/>
  <c r="BF1129" i="7" s="1"/>
  <c r="BE870" i="7"/>
  <c r="BF870" i="7" s="1"/>
  <c r="BE1646" i="7"/>
  <c r="BF1646" i="7" s="1"/>
  <c r="BE1633" i="7"/>
  <c r="BF1633" i="7" s="1"/>
  <c r="BE1919" i="7"/>
  <c r="BF1919" i="7" s="1"/>
  <c r="BE1355" i="7"/>
  <c r="BF1355" i="7" s="1"/>
  <c r="BE1401" i="7"/>
  <c r="BF1401" i="7" s="1"/>
  <c r="BE1270" i="7"/>
  <c r="BF1270" i="7" s="1"/>
  <c r="BE1329" i="7"/>
  <c r="BF1329" i="7" s="1"/>
  <c r="BE489" i="7"/>
  <c r="BF489" i="7" s="1"/>
  <c r="BE2236" i="7"/>
  <c r="BF2236" i="7" s="1"/>
  <c r="BE239" i="7"/>
  <c r="BF239" i="7" s="1"/>
  <c r="BE1774" i="7"/>
  <c r="BF1774" i="7" s="1"/>
  <c r="BE654" i="7"/>
  <c r="BF654" i="7" s="1"/>
  <c r="BE447" i="7"/>
  <c r="BF447" i="7" s="1"/>
  <c r="BE814" i="7"/>
  <c r="BF814" i="7" s="1"/>
  <c r="BE1795" i="7"/>
  <c r="BF1795" i="7" s="1"/>
  <c r="BE2011" i="7"/>
  <c r="BF2011" i="7" s="1"/>
  <c r="BE2212" i="7"/>
  <c r="BF2212" i="7" s="1"/>
  <c r="BE1848" i="7"/>
  <c r="BF1848" i="7" s="1"/>
  <c r="BE2162" i="7"/>
  <c r="BF2162" i="7" s="1"/>
  <c r="BE1525" i="7"/>
  <c r="BE1368" i="7"/>
  <c r="BF1368" i="7" s="1"/>
  <c r="BE638" i="7"/>
  <c r="BF638" i="7" s="1"/>
  <c r="BE668" i="7"/>
  <c r="BF668" i="7" s="1"/>
  <c r="BE1304" i="7"/>
  <c r="BF1304" i="7" s="1"/>
  <c r="BE2096" i="7"/>
  <c r="BF2096" i="7" s="1"/>
  <c r="BE630" i="7"/>
  <c r="BF630" i="7" s="1"/>
  <c r="BE186" i="7"/>
  <c r="BF186" i="7" s="1"/>
  <c r="BE912" i="7"/>
  <c r="BF912" i="7" s="1"/>
  <c r="BE2032" i="7"/>
  <c r="BF2032" i="7" s="1"/>
  <c r="BE449" i="7"/>
  <c r="BF449" i="7" s="1"/>
  <c r="BE1840" i="7"/>
  <c r="BF1840" i="7" s="1"/>
  <c r="BE255" i="7"/>
  <c r="BF255" i="7" s="1"/>
  <c r="BE1487" i="7"/>
  <c r="BF1487" i="7" s="1"/>
  <c r="BE570" i="7"/>
  <c r="BF570" i="7" s="1"/>
  <c r="BE145" i="7"/>
  <c r="BF145" i="7" s="1"/>
  <c r="BE2068" i="7"/>
  <c r="BF2068" i="7" s="1"/>
  <c r="BE1724" i="7"/>
  <c r="BF1724" i="7" s="1"/>
  <c r="BE1257" i="7"/>
  <c r="BF1257" i="7" s="1"/>
  <c r="BE563" i="7"/>
  <c r="BF563" i="7" s="1"/>
  <c r="BE2242" i="7"/>
  <c r="BF2242" i="7" s="1"/>
  <c r="BE1610" i="7"/>
  <c r="BF1610" i="7" s="1"/>
  <c r="BE1991" i="7"/>
  <c r="BF1991" i="7" s="1"/>
  <c r="BE114" i="7"/>
  <c r="BF114" i="7" s="1"/>
  <c r="BE1388" i="7"/>
  <c r="BF1388" i="7" s="1"/>
  <c r="BE1663" i="7"/>
  <c r="BF1663" i="7" s="1"/>
  <c r="BE2000" i="7"/>
  <c r="BF2000" i="7" s="1"/>
  <c r="BE1479" i="7"/>
  <c r="BF1479" i="7" s="1"/>
  <c r="BE1615" i="7"/>
  <c r="BF1615" i="7" s="1"/>
  <c r="BE1946" i="7"/>
  <c r="BF1946" i="7" s="1"/>
  <c r="BE1550" i="7"/>
  <c r="BF1550" i="7" s="1"/>
  <c r="BE2173" i="7"/>
  <c r="BF2173" i="7" s="1"/>
  <c r="BE335" i="7"/>
  <c r="BF335" i="7" s="1"/>
  <c r="BE12" i="7"/>
  <c r="BF12" i="7" s="1"/>
  <c r="BE1404" i="7"/>
  <c r="BF1404" i="7" s="1"/>
  <c r="BE258" i="7"/>
  <c r="BF258" i="7" s="1"/>
  <c r="BE1398" i="7"/>
  <c r="BF1398" i="7" s="1"/>
  <c r="BE1008" i="7"/>
  <c r="BF1008" i="7" s="1"/>
  <c r="BE374" i="7"/>
  <c r="BF374" i="7" s="1"/>
  <c r="BE877" i="7"/>
  <c r="BF877" i="7" s="1"/>
  <c r="BE2078" i="7"/>
  <c r="BF2078" i="7" s="1"/>
  <c r="BE2143" i="7"/>
  <c r="BF2143" i="7" s="1"/>
  <c r="BE1020" i="7"/>
  <c r="BF1020" i="7" s="1"/>
  <c r="BE734" i="7"/>
  <c r="BF734" i="7" s="1"/>
  <c r="BE2047" i="7"/>
  <c r="BF2047" i="7" s="1"/>
  <c r="BE2087" i="7"/>
  <c r="BF2087" i="7" s="1"/>
  <c r="BE1739" i="7"/>
  <c r="BE1952" i="7"/>
  <c r="BF1952" i="7" s="1"/>
  <c r="BE1669" i="7"/>
  <c r="BF1669" i="7" s="1"/>
  <c r="BE1253" i="7"/>
  <c r="BF1253" i="7" s="1"/>
  <c r="BE415" i="7"/>
  <c r="BF415" i="7" s="1"/>
  <c r="BE2012" i="7"/>
  <c r="BF2012" i="7" s="1"/>
  <c r="BE1428" i="7"/>
  <c r="BF1428" i="7" s="1"/>
  <c r="BE165" i="7"/>
  <c r="BF165" i="7" s="1"/>
  <c r="BE2196" i="7"/>
  <c r="BE367" i="7"/>
  <c r="BF367" i="7" s="1"/>
  <c r="BE1202" i="7"/>
  <c r="BF1202" i="7" s="1"/>
  <c r="BE1377" i="7"/>
  <c r="BF1377" i="7" s="1"/>
  <c r="BE1765" i="7"/>
  <c r="BF1765" i="7" s="1"/>
  <c r="BE1668" i="7"/>
  <c r="BF1668" i="7" s="1"/>
  <c r="BE385" i="7"/>
  <c r="BF385" i="7" s="1"/>
  <c r="BE854" i="7"/>
  <c r="BF854" i="7" s="1"/>
  <c r="BE1457" i="7"/>
  <c r="BF1457" i="7" s="1"/>
  <c r="BE1788" i="7"/>
  <c r="BF1788" i="7" s="1"/>
  <c r="BE657" i="7"/>
  <c r="BF657" i="7" s="1"/>
  <c r="BE732" i="7"/>
  <c r="BF732" i="7" s="1"/>
  <c r="BE1328" i="7"/>
  <c r="BF1328" i="7" s="1"/>
  <c r="BE113" i="7"/>
  <c r="BF113" i="7" s="1"/>
  <c r="BE1998" i="7"/>
  <c r="BF1998" i="7" s="1"/>
  <c r="BE1463" i="7"/>
  <c r="BF1463" i="7" s="1"/>
  <c r="BE1414" i="7"/>
  <c r="BF1414" i="7" s="1"/>
  <c r="BE1904" i="7"/>
  <c r="BF1904" i="7" s="1"/>
  <c r="BE2064" i="7"/>
  <c r="BF2064" i="7" s="1"/>
  <c r="BE940" i="7"/>
  <c r="BF940" i="7" s="1"/>
  <c r="BE1844" i="7"/>
  <c r="BF1844" i="7" s="1"/>
  <c r="BE1346" i="7"/>
  <c r="BF1346" i="7" s="1"/>
  <c r="BE1470" i="7"/>
  <c r="BF1470" i="7" s="1"/>
  <c r="BE715" i="7"/>
  <c r="BF715" i="7" s="1"/>
  <c r="BE271" i="7"/>
  <c r="BF271" i="7" s="1"/>
  <c r="BE2218" i="7"/>
  <c r="BF2218" i="7" s="1"/>
  <c r="BE874" i="7"/>
  <c r="BF874" i="7" s="1"/>
  <c r="BE1104" i="7"/>
  <c r="BF1104" i="7" s="1"/>
  <c r="BE2227" i="7"/>
  <c r="BF2227" i="7" s="1"/>
  <c r="BE1366" i="7"/>
  <c r="BF1366" i="7" s="1"/>
  <c r="BE26" i="7"/>
  <c r="BF26" i="7" s="1"/>
  <c r="BE487" i="7"/>
  <c r="BF487" i="7" s="1"/>
  <c r="BE171" i="7"/>
  <c r="BF171" i="7" s="1"/>
  <c r="BE1116" i="7"/>
  <c r="BF1116" i="7" s="1"/>
  <c r="BE1594" i="7"/>
  <c r="BF1594" i="7" s="1"/>
  <c r="BE1501" i="7"/>
  <c r="BE635" i="7"/>
  <c r="BF635" i="7" s="1"/>
  <c r="BE1184" i="7"/>
  <c r="BF1184" i="7" s="1"/>
  <c r="BE1013" i="7"/>
  <c r="BF1013" i="7" s="1"/>
  <c r="BE338" i="7"/>
  <c r="BF338" i="7" s="1"/>
  <c r="BE1296" i="7"/>
  <c r="BF1296" i="7" s="1"/>
  <c r="BE1574" i="7"/>
  <c r="BF1574" i="7" s="1"/>
  <c r="BE192" i="7"/>
  <c r="BF192" i="7" s="1"/>
  <c r="BE712" i="7"/>
  <c r="BF712" i="7" s="1"/>
  <c r="BE1850" i="7"/>
  <c r="BF1850" i="7" s="1"/>
  <c r="BE1879" i="7"/>
  <c r="BF1879" i="7" s="1"/>
  <c r="BE446" i="7"/>
  <c r="BF446" i="7" s="1"/>
  <c r="BE753" i="7"/>
  <c r="BF753" i="7" s="1"/>
  <c r="BE2266" i="7"/>
  <c r="BF2266" i="7" s="1"/>
  <c r="BE1507" i="7"/>
  <c r="BF1507" i="7" s="1"/>
  <c r="BE766" i="7"/>
  <c r="BF766" i="7" s="1"/>
  <c r="BE1736" i="7"/>
  <c r="BF1736" i="7" s="1"/>
  <c r="BE1711" i="7"/>
  <c r="BF1711" i="7" s="1"/>
  <c r="BE2277" i="7"/>
  <c r="BF2277" i="7" s="1"/>
  <c r="BE80" i="7"/>
  <c r="BF80" i="7" s="1"/>
  <c r="BE2107" i="7"/>
  <c r="BF2107" i="7" s="1"/>
  <c r="BE437" i="7"/>
  <c r="BF437" i="7" s="1"/>
  <c r="BE1581" i="7"/>
  <c r="BF1581" i="7" s="1"/>
  <c r="BE1511" i="7"/>
  <c r="BF1511" i="7" s="1"/>
  <c r="BE819" i="7"/>
  <c r="BF819" i="7" s="1"/>
  <c r="BE299" i="7"/>
  <c r="BF299" i="7" s="1"/>
  <c r="BE576" i="7"/>
  <c r="BF576" i="7" s="1"/>
  <c r="BE34" i="7"/>
  <c r="BF34" i="7" s="1"/>
  <c r="BE951" i="7"/>
  <c r="BF951" i="7" s="1"/>
  <c r="BE726" i="7"/>
  <c r="BF726" i="7" s="1"/>
  <c r="BE1108" i="7"/>
  <c r="BF1108" i="7" s="1"/>
  <c r="BE308" i="7"/>
  <c r="BF308" i="7" s="1"/>
  <c r="BE1122" i="7"/>
  <c r="BF1122" i="7" s="1"/>
  <c r="BE1287" i="7"/>
  <c r="BF1287" i="7" s="1"/>
  <c r="BE1363" i="7"/>
  <c r="BF1363" i="7" s="1"/>
  <c r="BE925" i="7"/>
  <c r="BF925" i="7" s="1"/>
  <c r="BE1267" i="7"/>
  <c r="BF1267" i="7" s="1"/>
  <c r="BE467" i="7"/>
  <c r="BF467" i="7" s="1"/>
  <c r="BE963" i="7"/>
  <c r="BF963" i="7" s="1"/>
  <c r="BE552" i="7"/>
  <c r="BF552" i="7" s="1"/>
  <c r="BE1238" i="7"/>
  <c r="BF1238" i="7" s="1"/>
  <c r="BE1261" i="7"/>
  <c r="BF1261" i="7" s="1"/>
  <c r="BE1539" i="7"/>
  <c r="BF1539" i="7" s="1"/>
  <c r="BE1063" i="7"/>
  <c r="BF1063" i="7" s="1"/>
  <c r="BE1071" i="7"/>
  <c r="BF1071" i="7" s="1"/>
  <c r="BE2225" i="7"/>
  <c r="BF2225" i="7" s="1"/>
  <c r="BE2262" i="7"/>
  <c r="BF2262" i="7" s="1"/>
  <c r="BE2121" i="7"/>
  <c r="BF2121" i="7" s="1"/>
  <c r="BE229" i="7"/>
  <c r="BF229" i="7" s="1"/>
  <c r="BE1268" i="7"/>
  <c r="BF1268" i="7" s="1"/>
  <c r="BE151" i="7"/>
  <c r="BF151" i="7" s="1"/>
  <c r="BE605" i="7"/>
  <c r="BF605" i="7" s="1"/>
  <c r="BE582" i="7"/>
  <c r="BF582" i="7" s="1"/>
  <c r="BE817" i="7"/>
  <c r="BF817" i="7" s="1"/>
  <c r="BE1325" i="7"/>
  <c r="BF1325" i="7" s="1"/>
  <c r="BE2254" i="7"/>
  <c r="BF2254" i="7" s="1"/>
  <c r="BE631" i="7"/>
  <c r="BF631" i="7" s="1"/>
  <c r="BE2156" i="7"/>
  <c r="BF2156" i="7" s="1"/>
  <c r="BE1093" i="7"/>
  <c r="BF1093" i="7" s="1"/>
  <c r="BE2234" i="7"/>
  <c r="BF2234" i="7" s="1"/>
  <c r="BE311" i="7"/>
  <c r="BF311" i="7" s="1"/>
  <c r="BE868" i="7"/>
  <c r="BF868" i="7" s="1"/>
  <c r="BE688" i="7"/>
  <c r="BF688" i="7" s="1"/>
  <c r="BE950" i="7"/>
  <c r="BF950" i="7" s="1"/>
  <c r="BE1373" i="7"/>
  <c r="BF1373" i="7" s="1"/>
  <c r="BE1638" i="7"/>
  <c r="BF1638" i="7" s="1"/>
  <c r="BE651" i="7"/>
  <c r="BF651" i="7" s="1"/>
  <c r="BE607" i="7"/>
  <c r="BF607" i="7" s="1"/>
  <c r="BE2187" i="7"/>
  <c r="BF2187" i="7" s="1"/>
  <c r="BE1982" i="7"/>
  <c r="BF1982" i="7" s="1"/>
  <c r="BE883" i="7"/>
  <c r="BF883" i="7" s="1"/>
  <c r="BE1626" i="7"/>
  <c r="BF1626" i="7" s="1"/>
  <c r="BE1583" i="7"/>
  <c r="BF1583" i="7" s="1"/>
  <c r="BE276" i="7"/>
  <c r="BF276" i="7" s="1"/>
  <c r="BE1156" i="7"/>
  <c r="BF1156" i="7" s="1"/>
  <c r="BE1197" i="7"/>
  <c r="BF1197" i="7" s="1"/>
  <c r="BE395" i="7"/>
  <c r="BF395" i="7" s="1"/>
  <c r="BE515" i="7"/>
  <c r="BF515" i="7" s="1"/>
  <c r="BE936" i="7"/>
  <c r="BF936" i="7" s="1"/>
  <c r="BE1935" i="7"/>
  <c r="BF1935" i="7" s="1"/>
  <c r="BE1923" i="7"/>
  <c r="BF1923" i="7" s="1"/>
  <c r="BE610" i="7"/>
  <c r="BF610" i="7" s="1"/>
  <c r="BE214" i="7"/>
  <c r="BF214" i="7" s="1"/>
  <c r="BE670" i="7"/>
  <c r="BF670" i="7" s="1"/>
  <c r="BE472" i="7"/>
  <c r="BF472" i="7" s="1"/>
  <c r="BE2142" i="7"/>
  <c r="BF2142" i="7" s="1"/>
  <c r="BE1239" i="7"/>
  <c r="BF1239" i="7" s="1"/>
  <c r="BE463" i="7"/>
  <c r="BF463" i="7" s="1"/>
  <c r="BE224" i="7"/>
  <c r="BF224" i="7" s="1"/>
  <c r="BE779" i="7"/>
  <c r="BF779" i="7" s="1"/>
  <c r="BE1541" i="7"/>
  <c r="BF1541" i="7" s="1"/>
  <c r="BE1055" i="7"/>
  <c r="BF1055" i="7" s="1"/>
  <c r="BE2105" i="7"/>
  <c r="BE865" i="7"/>
  <c r="BF865" i="7" s="1"/>
  <c r="BE1596" i="7"/>
  <c r="BF1596" i="7" s="1"/>
  <c r="BE448" i="7"/>
  <c r="BF448" i="7" s="1"/>
  <c r="BE1953" i="7"/>
  <c r="BF1953" i="7" s="1"/>
  <c r="BE1250" i="7"/>
  <c r="BF1250" i="7" s="1"/>
  <c r="BE662" i="7"/>
  <c r="BF662" i="7" s="1"/>
  <c r="BE77" i="7"/>
  <c r="BF77" i="7" s="1"/>
  <c r="BE1500" i="7"/>
  <c r="BF1500" i="7" s="1"/>
  <c r="BE1354" i="7"/>
  <c r="BF1354" i="7" s="1"/>
  <c r="BE201" i="7"/>
  <c r="BF201" i="7" s="1"/>
  <c r="BE2065" i="7"/>
  <c r="BF2065" i="7" s="1"/>
  <c r="BE468" i="7"/>
  <c r="BF468" i="7" s="1"/>
  <c r="BE2220" i="7"/>
  <c r="BF2220" i="7" s="1"/>
  <c r="BE247" i="7"/>
  <c r="BF247" i="7" s="1"/>
  <c r="BE632" i="7"/>
  <c r="BF632" i="7" s="1"/>
  <c r="BE1799" i="7"/>
  <c r="BF1799" i="7" s="1"/>
  <c r="BE196" i="7"/>
  <c r="BF196" i="7" s="1"/>
  <c r="BE1599" i="7"/>
  <c r="BF1599" i="7" s="1"/>
  <c r="BE2233" i="7"/>
  <c r="BF2233" i="7" s="1"/>
  <c r="BE1179" i="7"/>
  <c r="BF1179" i="7" s="1"/>
  <c r="BE172" i="7"/>
  <c r="BF172" i="7" s="1"/>
  <c r="BE1357" i="7"/>
  <c r="BF1357" i="7" s="1"/>
  <c r="BE691" i="7"/>
  <c r="BF691" i="7" s="1"/>
  <c r="BE307" i="7"/>
  <c r="BF307" i="7" s="1"/>
  <c r="BE537" i="7"/>
  <c r="BF537" i="7" s="1"/>
  <c r="BE215" i="7"/>
  <c r="BF215" i="7" s="1"/>
  <c r="BE382" i="7"/>
  <c r="BF382" i="7" s="1"/>
  <c r="BE105" i="7"/>
  <c r="BF105" i="7" s="1"/>
  <c r="BE1806" i="7"/>
  <c r="BF1806" i="7" s="1"/>
  <c r="BE2279" i="7"/>
  <c r="BF2279" i="7" s="1"/>
  <c r="BE1828" i="7"/>
  <c r="BF1828" i="7" s="1"/>
  <c r="BE1917" i="7"/>
  <c r="BF1917" i="7" s="1"/>
  <c r="BE614" i="7"/>
  <c r="BF614" i="7" s="1"/>
  <c r="BE1740" i="7"/>
  <c r="BF1740" i="7" s="1"/>
  <c r="BE2230" i="7"/>
  <c r="BF2230" i="7" s="1"/>
  <c r="BE2201" i="7"/>
  <c r="BF2201" i="7" s="1"/>
  <c r="BE1091" i="7"/>
  <c r="BF1091" i="7" s="1"/>
  <c r="BE1909" i="7"/>
  <c r="BF1909" i="7" s="1"/>
  <c r="BE59" i="7"/>
  <c r="BF59" i="7" s="1"/>
  <c r="BE1421" i="7"/>
  <c r="BF1421" i="7" s="1"/>
  <c r="BE149" i="7"/>
  <c r="BF149" i="7" s="1"/>
  <c r="BE1742" i="7"/>
  <c r="BF1742" i="7" s="1"/>
  <c r="BE1579" i="7"/>
  <c r="BF1579" i="7" s="1"/>
  <c r="BE3" i="7"/>
  <c r="BF3" i="7" s="1"/>
  <c r="BE2021" i="7"/>
  <c r="BF2021" i="7" s="1"/>
  <c r="BE277" i="7"/>
  <c r="BF277" i="7" s="1"/>
  <c r="BE1714" i="7"/>
  <c r="BF1714" i="7" s="1"/>
  <c r="BE1186" i="7"/>
  <c r="BF1186" i="7" s="1"/>
  <c r="BE1308" i="7"/>
  <c r="BF1308" i="7" s="1"/>
  <c r="BE282" i="7"/>
  <c r="BF282" i="7" s="1"/>
  <c r="BE283" i="7"/>
  <c r="BF283" i="7" s="1"/>
  <c r="BE477" i="7"/>
  <c r="BF477" i="7" s="1"/>
  <c r="BE1114" i="7"/>
  <c r="BF1114" i="7" s="1"/>
  <c r="BE9" i="7"/>
  <c r="BF9" i="7" s="1"/>
  <c r="BE1426" i="7"/>
  <c r="BF1426" i="7" s="1"/>
  <c r="BE612" i="7"/>
  <c r="BF612" i="7" s="1"/>
  <c r="BE534" i="7"/>
  <c r="BF534" i="7" s="1"/>
  <c r="BE1902" i="7"/>
  <c r="BF1902" i="7" s="1"/>
  <c r="BE1060" i="7"/>
  <c r="BE429" i="7"/>
  <c r="BF429" i="7" s="1"/>
  <c r="BE879" i="7"/>
  <c r="BF879" i="7" s="1"/>
  <c r="BE1569" i="7"/>
  <c r="BF1569" i="7" s="1"/>
  <c r="BE643" i="7"/>
  <c r="BF643" i="7" s="1"/>
  <c r="BE888" i="7"/>
  <c r="BF888" i="7" s="1"/>
  <c r="BE1074" i="7"/>
  <c r="BF1074" i="7" s="1"/>
  <c r="BE1090" i="7"/>
  <c r="BF1090" i="7" s="1"/>
  <c r="BE1808" i="7"/>
  <c r="BF1808" i="7" s="1"/>
  <c r="BE784" i="7"/>
  <c r="BF784" i="7" s="1"/>
  <c r="BE28" i="7"/>
  <c r="BF28" i="7" s="1"/>
  <c r="BE1420" i="7"/>
  <c r="BF1420" i="7" s="1"/>
  <c r="BE2053" i="7"/>
  <c r="BE21" i="7"/>
  <c r="BF21" i="7" s="1"/>
  <c r="BE833" i="7"/>
  <c r="BF833" i="7" s="1"/>
  <c r="BE2071" i="7"/>
  <c r="BF2071" i="7" s="1"/>
  <c r="BE1230" i="7"/>
  <c r="BF1230" i="7" s="1"/>
  <c r="BE1233" i="7"/>
  <c r="BF1233" i="7" s="1"/>
  <c r="BE893" i="7"/>
  <c r="BF893" i="7" s="1"/>
  <c r="BE390" i="7"/>
  <c r="BF390" i="7" s="1"/>
  <c r="BE1820" i="7"/>
  <c r="BF1820" i="7" s="1"/>
  <c r="BE1025" i="7"/>
  <c r="BF1025" i="7" s="1"/>
  <c r="BE1851" i="7"/>
  <c r="BF1851" i="7" s="1"/>
  <c r="BE495" i="7"/>
  <c r="BF495" i="7" s="1"/>
  <c r="BE824" i="7"/>
  <c r="BF824" i="7" s="1"/>
  <c r="BE136" i="7"/>
  <c r="BF136" i="7" s="1"/>
  <c r="BE735" i="7"/>
  <c r="BF735" i="7" s="1"/>
  <c r="BE1888" i="7"/>
  <c r="BF1888" i="7" s="1"/>
  <c r="BE2102" i="7"/>
  <c r="BF2102" i="7" s="1"/>
  <c r="BE788" i="7"/>
  <c r="BF788" i="7" s="1"/>
  <c r="BE1171" i="7"/>
  <c r="BF1171" i="7" s="1"/>
  <c r="BE659" i="7"/>
  <c r="BF659" i="7" s="1"/>
  <c r="BE1477" i="7"/>
  <c r="BF1477" i="7" s="1"/>
  <c r="BE1323" i="7"/>
  <c r="BF1323" i="7" s="1"/>
  <c r="BE2062" i="7"/>
  <c r="BF2062" i="7" s="1"/>
  <c r="BE1115" i="7"/>
  <c r="BF1115" i="7" s="1"/>
  <c r="BE1664" i="7"/>
  <c r="BF1664" i="7" s="1"/>
  <c r="BE1309" i="7"/>
  <c r="BF1309" i="7" s="1"/>
  <c r="BE1431" i="7"/>
  <c r="BF1431" i="7" s="1"/>
  <c r="BE2003" i="7"/>
  <c r="BF2003" i="7" s="1"/>
  <c r="BE1005" i="7"/>
  <c r="BF1005" i="7" s="1"/>
  <c r="BE1901" i="7"/>
  <c r="BF1901" i="7" s="1"/>
  <c r="BE845" i="7"/>
  <c r="BF845" i="7" s="1"/>
  <c r="BE703" i="7"/>
  <c r="BF703" i="7" s="1"/>
  <c r="BE1896" i="7"/>
  <c r="BF1896" i="7" s="1"/>
  <c r="BE2059" i="7"/>
  <c r="BF2059" i="7" s="1"/>
  <c r="BE2235" i="7"/>
  <c r="BF2235" i="7" s="1"/>
  <c r="BE992" i="7"/>
  <c r="BF992" i="7" s="1"/>
  <c r="BE652" i="7"/>
  <c r="BF652" i="7" s="1"/>
  <c r="BE720" i="7"/>
  <c r="BF720" i="7" s="1"/>
  <c r="BE2088" i="7"/>
  <c r="BF2088" i="7" s="1"/>
  <c r="BE2093" i="7"/>
  <c r="BF2093" i="7" s="1"/>
  <c r="BE909" i="7"/>
  <c r="BF909" i="7" s="1"/>
  <c r="BE1112" i="7"/>
  <c r="BF1112" i="7" s="1"/>
  <c r="BE1037" i="7"/>
  <c r="BF1037" i="7" s="1"/>
  <c r="BE583" i="7"/>
  <c r="BF583" i="7" s="1"/>
  <c r="BE1424" i="7"/>
  <c r="BF1424" i="7" s="1"/>
  <c r="BE1181" i="7"/>
  <c r="BF1181" i="7" s="1"/>
  <c r="BE738" i="7"/>
  <c r="BE79" i="7"/>
  <c r="BF79" i="7" s="1"/>
  <c r="BE1970" i="7"/>
  <c r="BF1970" i="7" s="1"/>
  <c r="BE1260" i="7"/>
  <c r="BF1260" i="7" s="1"/>
  <c r="BE1831" i="7"/>
  <c r="BF1831" i="7" s="1"/>
  <c r="BE1864" i="7"/>
  <c r="BF1864" i="7" s="1"/>
  <c r="BE1635" i="7"/>
  <c r="BF1635" i="7" s="1"/>
  <c r="BE1802" i="7"/>
  <c r="BF1802" i="7" s="1"/>
  <c r="BE1642" i="7"/>
  <c r="BF1642" i="7" s="1"/>
  <c r="BE1956" i="7"/>
  <c r="BF1956" i="7" s="1"/>
  <c r="BE432" i="7"/>
  <c r="BF432" i="7" s="1"/>
  <c r="BE1109" i="7"/>
  <c r="BF1109" i="7" s="1"/>
  <c r="BE1686" i="7"/>
  <c r="BF1686" i="7" s="1"/>
  <c r="BE1592" i="7"/>
  <c r="BF1592" i="7" s="1"/>
  <c r="BE1461" i="7"/>
  <c r="BE2263" i="7"/>
  <c r="BF2263" i="7" s="1"/>
  <c r="BE2111" i="7"/>
  <c r="BF2111" i="7" s="1"/>
  <c r="BE109" i="7"/>
  <c r="BF109" i="7" s="1"/>
  <c r="BE84" i="7"/>
  <c r="BF84" i="7" s="1"/>
  <c r="BE1070" i="7"/>
  <c r="BF1070" i="7" s="1"/>
  <c r="BE626" i="7"/>
  <c r="BF626" i="7" s="1"/>
  <c r="BE1113" i="7"/>
  <c r="BF1113" i="7" s="1"/>
  <c r="BE984" i="7"/>
  <c r="BF984" i="7" s="1"/>
  <c r="BE1966" i="7"/>
  <c r="BE1804" i="7"/>
  <c r="BF1804" i="7" s="1"/>
  <c r="BE1766" i="7"/>
  <c r="BF1766" i="7" s="1"/>
  <c r="BE972" i="7"/>
  <c r="BF972" i="7" s="1"/>
  <c r="BE816" i="7"/>
  <c r="BF816" i="7" s="1"/>
  <c r="BE1372" i="7"/>
  <c r="BF1372" i="7" s="1"/>
  <c r="BE2248" i="7"/>
  <c r="BF2248" i="7" s="1"/>
  <c r="BE750" i="7"/>
  <c r="BF750" i="7" s="1"/>
  <c r="BE904" i="7"/>
  <c r="BF904" i="7" s="1"/>
  <c r="BE1110" i="7"/>
  <c r="BF1110" i="7" s="1"/>
  <c r="BE1591" i="7"/>
  <c r="BF1591" i="7" s="1"/>
  <c r="BE402" i="7"/>
  <c r="BF402" i="7" s="1"/>
  <c r="BE1741" i="7"/>
  <c r="BF1741" i="7" s="1"/>
  <c r="BE763" i="7"/>
  <c r="BF763" i="7" s="1"/>
  <c r="BE679" i="7"/>
  <c r="BF679" i="7" s="1"/>
  <c r="BE1416" i="7"/>
  <c r="BF1416" i="7" s="1"/>
  <c r="BE38" i="7"/>
  <c r="BF38" i="7" s="1"/>
  <c r="BE260" i="7"/>
  <c r="BF260" i="7" s="1"/>
  <c r="BE1331" i="7"/>
  <c r="BF1331" i="7" s="1"/>
  <c r="BE1778" i="7"/>
  <c r="BF1778" i="7" s="1"/>
  <c r="BE2251" i="7"/>
  <c r="BF2251" i="7" s="1"/>
  <c r="BE1152" i="7"/>
  <c r="BF1152" i="7" s="1"/>
  <c r="BE407" i="7"/>
  <c r="BF407" i="7" s="1"/>
  <c r="BE2069" i="7"/>
  <c r="BF2069" i="7" s="1"/>
  <c r="BE81" i="7"/>
  <c r="BF81" i="7" s="1"/>
  <c r="BE1508" i="7"/>
  <c r="BF1508" i="7" s="1"/>
  <c r="BE1878" i="7"/>
  <c r="BE45" i="7"/>
  <c r="BF45" i="7" s="1"/>
  <c r="BE1134" i="7"/>
  <c r="BF1134" i="7" s="1"/>
  <c r="BE861" i="7"/>
  <c r="BF861" i="7" s="1"/>
  <c r="BE460" i="7"/>
  <c r="BF460" i="7" s="1"/>
  <c r="BE2066" i="7"/>
  <c r="BF2066" i="7" s="1"/>
  <c r="BE345" i="7"/>
  <c r="BF345" i="7" s="1"/>
  <c r="BE1784" i="7"/>
  <c r="BF1784" i="7" s="1"/>
  <c r="BE2050" i="7"/>
  <c r="BF2050" i="7" s="1"/>
  <c r="BE200" i="7"/>
  <c r="BF200" i="7" s="1"/>
  <c r="BE1065" i="7"/>
  <c r="BF1065" i="7" s="1"/>
  <c r="BE690" i="7"/>
  <c r="BF690" i="7" s="1"/>
  <c r="BE2103" i="7"/>
  <c r="BF2103" i="7" s="1"/>
  <c r="BE301" i="7"/>
  <c r="BF301" i="7" s="1"/>
  <c r="BE1255" i="7"/>
  <c r="BF1255" i="7" s="1"/>
  <c r="BE1467" i="7"/>
  <c r="BF1467" i="7" s="1"/>
  <c r="BE1757" i="7"/>
  <c r="BF1757" i="7" s="1"/>
  <c r="BE337" i="7"/>
  <c r="BF337" i="7" s="1"/>
  <c r="BE275" i="7"/>
  <c r="BF275" i="7" s="1"/>
  <c r="BE466" i="7"/>
  <c r="BF466" i="7" s="1"/>
  <c r="BE197" i="7"/>
  <c r="BF197" i="7" s="1"/>
  <c r="BE1045" i="7"/>
  <c r="BF1045" i="7" s="1"/>
  <c r="BE1180" i="7"/>
  <c r="BE2022" i="7"/>
  <c r="BF2022" i="7" s="1"/>
  <c r="BE1498" i="7"/>
  <c r="BF1498" i="7" s="1"/>
  <c r="BE615" i="7"/>
  <c r="BF615" i="7" s="1"/>
  <c r="BE71" i="7"/>
  <c r="BF71" i="7" s="1"/>
  <c r="BE1971" i="7"/>
  <c r="BF1971" i="7" s="1"/>
  <c r="BE47" i="7"/>
  <c r="BF47" i="7" s="1"/>
  <c r="BE1103" i="7"/>
  <c r="BE1345" i="7"/>
  <c r="BF1345" i="7" s="1"/>
  <c r="BE2139" i="7"/>
  <c r="BE780" i="7"/>
  <c r="BF780" i="7" s="1"/>
  <c r="BE1984" i="7"/>
  <c r="BF1984" i="7" s="1"/>
  <c r="BE1127" i="7"/>
  <c r="BF1127" i="7" s="1"/>
  <c r="BE2044" i="7"/>
  <c r="BF2044" i="7" s="1"/>
  <c r="BE2138" i="7"/>
  <c r="BF2138" i="7" s="1"/>
  <c r="BE752" i="7"/>
  <c r="BF752" i="7" s="1"/>
  <c r="BE1791" i="7"/>
  <c r="BF1791" i="7" s="1"/>
  <c r="BE112" i="7"/>
  <c r="BF112" i="7" s="1"/>
  <c r="BE481" i="7"/>
  <c r="BF481" i="7" s="1"/>
  <c r="BE1293" i="7"/>
  <c r="BF1293" i="7" s="1"/>
  <c r="BE1207" i="7"/>
  <c r="BF1207" i="7" s="1"/>
  <c r="BE1989" i="7"/>
  <c r="BF1989" i="7" s="1"/>
  <c r="BE204" i="7"/>
  <c r="BF204" i="7" s="1"/>
  <c r="BE2226" i="7"/>
  <c r="BF2226" i="7" s="1"/>
  <c r="BE2084" i="7"/>
  <c r="BF2084" i="7" s="1"/>
  <c r="BE1472" i="7"/>
  <c r="BF1472" i="7" s="1"/>
  <c r="BE1618" i="7"/>
  <c r="BF1618" i="7" s="1"/>
  <c r="BE458" i="7"/>
  <c r="BF458" i="7" s="1"/>
  <c r="BE1097" i="7"/>
  <c r="BF1097" i="7" s="1"/>
  <c r="BE1661" i="7"/>
  <c r="BF1661" i="7" s="1"/>
  <c r="BE451" i="7"/>
  <c r="BF451" i="7" s="1"/>
  <c r="BE2014" i="7"/>
  <c r="BF2014" i="7" s="1"/>
  <c r="BE1518" i="7"/>
  <c r="BF1518" i="7" s="1"/>
  <c r="BE1932" i="7"/>
  <c r="BF1932" i="7" s="1"/>
  <c r="BE2257" i="7"/>
  <c r="BF2257" i="7" s="1"/>
  <c r="BE1327" i="7"/>
  <c r="BF1327" i="7" s="1"/>
  <c r="BE212" i="7"/>
  <c r="BF212" i="7" s="1"/>
  <c r="BE412" i="7"/>
  <c r="BF412" i="7" s="1"/>
  <c r="BE2170" i="7"/>
  <c r="BF2170" i="7" s="1"/>
  <c r="BE768" i="7"/>
  <c r="BF768" i="7" s="1"/>
  <c r="BE232" i="7"/>
  <c r="BF232" i="7" s="1"/>
  <c r="BE2213" i="7"/>
  <c r="BF2213" i="7" s="1"/>
  <c r="BE43" i="7"/>
  <c r="BF43" i="7" s="1"/>
  <c r="BE2046" i="7"/>
  <c r="BF2046" i="7" s="1"/>
  <c r="BE998" i="7"/>
  <c r="BF998" i="7" s="1"/>
  <c r="BE1375" i="7"/>
  <c r="BF1375" i="7" s="1"/>
  <c r="BE1891" i="7"/>
  <c r="BF1891" i="7" s="1"/>
  <c r="BE193" i="7"/>
  <c r="BF193" i="7" s="1"/>
  <c r="BE1211" i="7"/>
  <c r="BF1211" i="7" s="1"/>
  <c r="BE286" i="7"/>
  <c r="BF286" i="7" s="1"/>
  <c r="BE1782" i="7"/>
  <c r="BF1782" i="7" s="1"/>
  <c r="BE829" i="7"/>
  <c r="BF829" i="7" s="1"/>
  <c r="BE934" i="7"/>
  <c r="BF934" i="7" s="1"/>
  <c r="BE778" i="7"/>
  <c r="BF778" i="7" s="1"/>
  <c r="BE2122" i="7"/>
  <c r="BF2122" i="7" s="1"/>
  <c r="BE1269" i="7"/>
  <c r="BF1269" i="7" s="1"/>
  <c r="BE88" i="7"/>
  <c r="BF88" i="7" s="1"/>
  <c r="BE1157" i="7"/>
  <c r="BF1157" i="7" s="1"/>
  <c r="BE285" i="7"/>
  <c r="BF285" i="7" s="1"/>
  <c r="BE217" i="7"/>
  <c r="BF217" i="7" s="1"/>
  <c r="BE1870" i="7"/>
  <c r="BF1870" i="7" s="1"/>
  <c r="BE86" i="7"/>
  <c r="BF86" i="7" s="1"/>
  <c r="BE1099" i="7"/>
  <c r="BF1099" i="7" s="1"/>
  <c r="BE174" i="7"/>
  <c r="BF174" i="7" s="1"/>
  <c r="BE37" i="7"/>
  <c r="BF37" i="7" s="1"/>
  <c r="BE158" i="7"/>
  <c r="BF158" i="7" s="1"/>
  <c r="BE2270" i="7"/>
  <c r="BF2270" i="7" s="1"/>
  <c r="BE1341" i="7"/>
  <c r="BF1341" i="7" s="1"/>
  <c r="BE794" i="7"/>
  <c r="BF794" i="7" s="1"/>
  <c r="BE887" i="7"/>
  <c r="BF887" i="7" s="1"/>
  <c r="BE98" i="7"/>
  <c r="BF98" i="7" s="1"/>
  <c r="BE1111" i="7"/>
  <c r="BF1111" i="7" s="1"/>
  <c r="BE669" i="7"/>
  <c r="BF669" i="7" s="1"/>
  <c r="BE235" i="7"/>
  <c r="BF235" i="7" s="1"/>
  <c r="BE159" i="7"/>
  <c r="BF159" i="7" s="1"/>
  <c r="BE1359" i="7"/>
  <c r="BF1359" i="7" s="1"/>
  <c r="BE1927" i="7"/>
  <c r="BF1927" i="7" s="1"/>
  <c r="BE911" i="7"/>
  <c r="BF911" i="7" s="1"/>
  <c r="BE1151" i="7"/>
  <c r="BF1151" i="7" s="1"/>
  <c r="BE878" i="7"/>
  <c r="BF878" i="7" s="1"/>
  <c r="BE1246" i="7"/>
  <c r="BF1246" i="7" s="1"/>
  <c r="BE869" i="7"/>
  <c r="BF869" i="7" s="1"/>
  <c r="BE1754" i="7"/>
  <c r="BF1754" i="7" s="1"/>
  <c r="BE1906" i="7"/>
  <c r="BF1906" i="7" s="1"/>
  <c r="BE831" i="7"/>
  <c r="BF831" i="7" s="1"/>
  <c r="BE320" i="7"/>
  <c r="BF320" i="7" s="1"/>
  <c r="BE851" i="7"/>
  <c r="BF851" i="7" s="1"/>
  <c r="BE913" i="7"/>
  <c r="BF913" i="7" s="1"/>
  <c r="BE1166" i="7"/>
  <c r="BF1166" i="7" s="1"/>
  <c r="BE681" i="7"/>
  <c r="BF681" i="7" s="1"/>
  <c r="BE341" i="7"/>
  <c r="BF341" i="7" s="1"/>
  <c r="BE1285" i="7"/>
  <c r="BE1688" i="7"/>
  <c r="BF1688" i="7" s="1"/>
  <c r="BE1100" i="7"/>
  <c r="BF1100" i="7" s="1"/>
  <c r="BE1369" i="7"/>
  <c r="BF1369" i="7" s="1"/>
  <c r="BE1146" i="7"/>
  <c r="BF1146" i="7" s="1"/>
  <c r="BE1785" i="7"/>
  <c r="BF1785" i="7" s="1"/>
  <c r="BE1240" i="7"/>
  <c r="BF1240" i="7" s="1"/>
  <c r="BE1786" i="7"/>
  <c r="BF1786" i="7" s="1"/>
  <c r="BE1209" i="7"/>
  <c r="BF1209" i="7" s="1"/>
  <c r="BE1759" i="7"/>
  <c r="BF1759" i="7" s="1"/>
  <c r="BE23" i="7"/>
  <c r="BF23" i="7" s="1"/>
  <c r="BE1153" i="7"/>
  <c r="BF1153" i="7" s="1"/>
  <c r="BE1302" i="7"/>
  <c r="BF1302" i="7" s="1"/>
  <c r="BE526" i="7"/>
  <c r="BF526" i="7" s="1"/>
  <c r="BE1926" i="7"/>
  <c r="BF1926" i="7" s="1"/>
  <c r="BE2253" i="7"/>
  <c r="BF2253" i="7" s="1"/>
  <c r="BE1462" i="7"/>
  <c r="BF1462" i="7" s="1"/>
  <c r="BE399" i="7"/>
  <c r="BF399" i="7" s="1"/>
  <c r="BE907" i="7"/>
  <c r="BF907" i="7" s="1"/>
  <c r="BE225" i="7"/>
  <c r="BF225" i="7" s="1"/>
  <c r="BE290" i="7"/>
  <c r="BF290" i="7" s="1"/>
  <c r="BE1123" i="7"/>
  <c r="BE25" i="7"/>
  <c r="BF25" i="7" s="1"/>
  <c r="BE2040" i="7"/>
  <c r="BF2040" i="7" s="1"/>
  <c r="BE2158" i="7"/>
  <c r="BE1332" i="7"/>
  <c r="BF1332" i="7" s="1"/>
  <c r="BE350" i="7"/>
  <c r="BF350" i="7" s="1"/>
  <c r="BE223" i="7"/>
  <c r="BF223" i="7" s="1"/>
  <c r="BE198" i="7"/>
  <c r="BF198" i="7" s="1"/>
  <c r="BE1585" i="7"/>
  <c r="BF1585" i="7" s="1"/>
  <c r="BE359" i="7"/>
  <c r="BF359" i="7" s="1"/>
  <c r="BE381" i="7"/>
  <c r="BF381" i="7" s="1"/>
  <c r="BE567" i="7"/>
  <c r="BF567" i="7" s="1"/>
  <c r="BE1298" i="7"/>
  <c r="BE1687" i="7"/>
  <c r="BE1432" i="7"/>
  <c r="BF1432" i="7" s="1"/>
  <c r="BE848" i="7"/>
  <c r="BF848" i="7" s="1"/>
  <c r="BE996" i="7"/>
  <c r="BF996" i="7" s="1"/>
  <c r="BE1725" i="7"/>
  <c r="BF1725" i="7" s="1"/>
  <c r="BE1042" i="7"/>
  <c r="BF1042" i="7" s="1"/>
  <c r="BE699" i="7"/>
  <c r="BF699" i="7" s="1"/>
  <c r="BE346" i="7"/>
  <c r="BF346" i="7" s="1"/>
  <c r="BE1489" i="7"/>
  <c r="BF1489" i="7" s="1"/>
  <c r="BE1371" i="7"/>
  <c r="BF1371" i="7" s="1"/>
  <c r="BE1683" i="7"/>
  <c r="BF1683" i="7" s="1"/>
  <c r="BE42" i="7"/>
  <c r="BF42" i="7" s="1"/>
  <c r="BE1162" i="7"/>
  <c r="BF1162" i="7" s="1"/>
  <c r="BE769" i="7"/>
  <c r="BF769" i="7" s="1"/>
  <c r="BE976" i="7"/>
  <c r="BF976" i="7" s="1"/>
  <c r="BE69" i="7"/>
  <c r="BF69" i="7" s="1"/>
  <c r="BE416" i="7"/>
  <c r="BF416" i="7" s="1"/>
  <c r="BE978" i="7"/>
  <c r="BF978" i="7" s="1"/>
  <c r="BE2219" i="7"/>
  <c r="BF2219" i="7" s="1"/>
  <c r="BE1660" i="7"/>
  <c r="BF1660" i="7" s="1"/>
  <c r="BE743" i="7"/>
  <c r="BF743" i="7" s="1"/>
  <c r="BE8" i="7"/>
  <c r="BF8" i="7" s="1"/>
  <c r="BE629" i="7"/>
  <c r="BF629" i="7" s="1"/>
  <c r="BE1183" i="7"/>
  <c r="BF1183" i="7" s="1"/>
  <c r="BE1349" i="7"/>
  <c r="BF1349" i="7" s="1"/>
  <c r="BE587" i="7"/>
  <c r="BF587" i="7" s="1"/>
  <c r="BE2148" i="7"/>
  <c r="BF2148" i="7" s="1"/>
  <c r="BE1750" i="7"/>
  <c r="BF1750" i="7" s="1"/>
  <c r="BE1777" i="7"/>
  <c r="BF1777" i="7" s="1"/>
  <c r="BE1790" i="7"/>
  <c r="BF1790" i="7" s="1"/>
  <c r="BE776" i="7"/>
  <c r="BF776" i="7" s="1"/>
  <c r="BE439" i="7"/>
  <c r="BF439" i="7" s="1"/>
  <c r="BE199" i="7"/>
  <c r="BF199" i="7" s="1"/>
  <c r="BE1315" i="7"/>
  <c r="BF1315" i="7" s="1"/>
  <c r="BE1272" i="7"/>
  <c r="BF1272" i="7" s="1"/>
  <c r="BE2250" i="7"/>
  <c r="BF2250" i="7" s="1"/>
  <c r="BE2025" i="7"/>
  <c r="BF2025" i="7" s="1"/>
  <c r="BE1964" i="7"/>
  <c r="BF1964" i="7" s="1"/>
  <c r="BE1185" i="7"/>
  <c r="BF1185" i="7" s="1"/>
  <c r="BE1747" i="7"/>
  <c r="BF1747" i="7" s="1"/>
  <c r="BE1031" i="7"/>
  <c r="BF1031" i="7" s="1"/>
  <c r="BE1053" i="7"/>
  <c r="BF1053" i="7" s="1"/>
  <c r="BE555" i="7"/>
  <c r="BF555" i="7" s="1"/>
  <c r="BE99" i="7"/>
  <c r="BF99" i="7" s="1"/>
  <c r="BE310" i="7"/>
  <c r="BF310" i="7" s="1"/>
  <c r="BE1942" i="7"/>
  <c r="BF1942" i="7" s="1"/>
  <c r="BE1231" i="7"/>
  <c r="BF1231" i="7" s="1"/>
  <c r="BE1294" i="7"/>
  <c r="BF1294" i="7" s="1"/>
  <c r="BE707" i="7"/>
  <c r="BF707" i="7" s="1"/>
  <c r="BE162" i="7"/>
  <c r="BF162" i="7" s="1"/>
  <c r="BE122" i="7"/>
  <c r="BF122" i="7" s="1"/>
  <c r="BE108" i="7"/>
  <c r="BF108" i="7" s="1"/>
  <c r="BE73" i="7"/>
  <c r="BF73" i="7" s="1"/>
  <c r="BE1656" i="7"/>
  <c r="BF1656" i="7" s="1"/>
  <c r="BE1222" i="7"/>
  <c r="BF1222" i="7" s="1"/>
  <c r="BE2164" i="7"/>
  <c r="BF2164" i="7" s="1"/>
  <c r="BE1881" i="7"/>
  <c r="BF1881" i="7" s="1"/>
  <c r="BE589" i="7"/>
  <c r="BF589" i="7" s="1"/>
  <c r="BE1131" i="7"/>
  <c r="BF1131" i="7" s="1"/>
  <c r="BE1503" i="7"/>
  <c r="BF1503" i="7" s="1"/>
  <c r="BE1925" i="7"/>
  <c r="BF1925" i="7" s="1"/>
  <c r="BE2221" i="7"/>
  <c r="BF2221" i="7" s="1"/>
  <c r="BE1154" i="7"/>
  <c r="BF1154" i="7" s="1"/>
  <c r="BE1682" i="7"/>
  <c r="BF1682" i="7" s="1"/>
  <c r="BE1173" i="7"/>
  <c r="BF1173" i="7" s="1"/>
  <c r="BE1659" i="7"/>
  <c r="BF1659" i="7" s="1"/>
  <c r="BE1002" i="7"/>
  <c r="BF1002" i="7" s="1"/>
  <c r="BE351" i="7"/>
  <c r="BF351" i="7" s="1"/>
  <c r="BE1723" i="7"/>
  <c r="BF1723" i="7" s="1"/>
  <c r="BE541" i="7"/>
  <c r="BF541" i="7" s="1"/>
  <c r="BE564" i="7"/>
  <c r="BF564" i="7" s="1"/>
  <c r="BE2245" i="7"/>
  <c r="BF2245" i="7" s="1"/>
  <c r="BE1225" i="7"/>
  <c r="BF1225" i="7" s="1"/>
  <c r="BE117" i="7"/>
  <c r="BF117" i="7" s="1"/>
  <c r="BE2171" i="7"/>
  <c r="BE471" i="7"/>
  <c r="BF471" i="7" s="1"/>
  <c r="BE269" i="7"/>
  <c r="BF269" i="7" s="1"/>
  <c r="BE1783" i="7"/>
  <c r="BF1783" i="7" s="1"/>
  <c r="BE190" i="7"/>
  <c r="BF190" i="7" s="1"/>
  <c r="BE568" i="7"/>
  <c r="BF568" i="7" s="1"/>
  <c r="BE2217" i="7"/>
  <c r="BF2217" i="7" s="1"/>
  <c r="BE2076" i="7"/>
  <c r="BF2076" i="7" s="1"/>
  <c r="BE2272" i="7"/>
  <c r="BF2272" i="7" s="1"/>
  <c r="BE1046" i="7"/>
  <c r="BF1046" i="7" s="1"/>
  <c r="BE203" i="7"/>
  <c r="BF203" i="7" s="1"/>
  <c r="BE2094" i="7"/>
  <c r="BF2094" i="7" s="1"/>
  <c r="BE1894" i="7"/>
  <c r="BF1894" i="7" s="1"/>
  <c r="BE146" i="7"/>
  <c r="BF146" i="7" s="1"/>
  <c r="BE2031" i="7"/>
  <c r="BF2031" i="7" s="1"/>
  <c r="BE2" i="7"/>
  <c r="BF2" i="7" s="1"/>
  <c r="BE2029" i="7"/>
  <c r="BF2029" i="7" s="1"/>
  <c r="BE676" i="7"/>
  <c r="BF676" i="7" s="1"/>
  <c r="BE1379" i="7"/>
  <c r="BF1379" i="7" s="1"/>
  <c r="BE459" i="7"/>
  <c r="BF459" i="7" s="1"/>
  <c r="BE1403" i="7"/>
  <c r="BF1403" i="7" s="1"/>
  <c r="BE2238" i="7"/>
  <c r="BF2238" i="7" s="1"/>
  <c r="BE168" i="7"/>
  <c r="BF168" i="7" s="1"/>
  <c r="BE36" i="7"/>
  <c r="BF36" i="7" s="1"/>
  <c r="BE521" i="7"/>
  <c r="BF521" i="7" s="1"/>
  <c r="BE422" i="7"/>
  <c r="BF422" i="7" s="1"/>
  <c r="BE696" i="7"/>
  <c r="BF696" i="7" s="1"/>
  <c r="BE1992" i="7"/>
  <c r="BF1992" i="7" s="1"/>
  <c r="BE57" i="7"/>
  <c r="BF57" i="7" s="1"/>
  <c r="BE795" i="7"/>
  <c r="BF795" i="7" s="1"/>
  <c r="BE1666" i="7"/>
  <c r="BF1666" i="7" s="1"/>
  <c r="BE294" i="7"/>
  <c r="BF294" i="7" s="1"/>
  <c r="BE783" i="7"/>
  <c r="BE331" i="7"/>
  <c r="BF331" i="7" s="1"/>
  <c r="BE660" i="7"/>
  <c r="BF660" i="7" s="1"/>
  <c r="BE15" i="7"/>
  <c r="BF15" i="7" s="1"/>
  <c r="BE420" i="7"/>
  <c r="BF420" i="7" s="1"/>
  <c r="BE1352" i="7"/>
  <c r="BF1352" i="7" s="1"/>
  <c r="BE272" i="7"/>
  <c r="BF272" i="7" s="1"/>
  <c r="BE1605" i="7"/>
  <c r="BF1605" i="7" s="1"/>
  <c r="BE1595" i="7"/>
  <c r="BF1595" i="7" s="1"/>
  <c r="BE1453" i="7"/>
  <c r="BF1453" i="7" s="1"/>
  <c r="BE1499" i="7"/>
  <c r="BE1068" i="7"/>
  <c r="BF1068" i="7" s="1"/>
  <c r="BE661" i="7"/>
  <c r="BF661" i="7" s="1"/>
  <c r="BE584" i="7"/>
  <c r="BF584" i="7" s="1"/>
  <c r="BE578" i="7"/>
  <c r="BF578" i="7" s="1"/>
  <c r="BE1707" i="7"/>
  <c r="BF1707" i="7" s="1"/>
  <c r="BE1493" i="7"/>
  <c r="BF1493" i="7" s="1"/>
  <c r="BE1085" i="7"/>
  <c r="BF1085" i="7" s="1"/>
  <c r="BE185" i="7"/>
  <c r="BF185" i="7" s="1"/>
  <c r="BE143" i="7"/>
  <c r="BF143" i="7" s="1"/>
  <c r="BE1464" i="7"/>
  <c r="BF1464" i="7" s="1"/>
  <c r="BE1597" i="7"/>
  <c r="BF1597" i="7" s="1"/>
  <c r="BE828" i="7"/>
  <c r="BF828" i="7" s="1"/>
  <c r="BE1016" i="7"/>
  <c r="BF1016" i="7" s="1"/>
  <c r="BE611" i="7"/>
  <c r="BF611" i="7" s="1"/>
  <c r="BE1835" i="7"/>
  <c r="BF1835" i="7" s="1"/>
  <c r="BE1012" i="7"/>
  <c r="BF1012" i="7" s="1"/>
  <c r="BE453" i="7"/>
  <c r="BF453" i="7" s="1"/>
  <c r="BE2126" i="7"/>
  <c r="BF2126" i="7" s="1"/>
  <c r="BE1150" i="7"/>
  <c r="BF1150" i="7" s="1"/>
  <c r="BE327" i="7"/>
  <c r="BF327" i="7" s="1"/>
  <c r="BE1793" i="7"/>
  <c r="BF1793" i="7" s="1"/>
  <c r="BE163" i="7"/>
  <c r="BF163" i="7" s="1"/>
  <c r="BE863" i="7"/>
  <c r="BF863" i="7" s="1"/>
  <c r="BE905" i="7"/>
  <c r="BF905" i="7" s="1"/>
  <c r="BE1564" i="7"/>
  <c r="BF1564" i="7" s="1"/>
  <c r="BE403" i="7"/>
  <c r="BF403" i="7" s="1"/>
  <c r="BE2197" i="7"/>
  <c r="BF2197" i="7" s="1"/>
  <c r="BE774" i="7"/>
  <c r="BF774" i="7" s="1"/>
  <c r="BE1265" i="7"/>
  <c r="BF1265" i="7" s="1"/>
  <c r="BE1520" i="7"/>
  <c r="BF1520" i="7" s="1"/>
  <c r="BE1249" i="7"/>
  <c r="BF1249" i="7" s="1"/>
  <c r="BE1509" i="7"/>
  <c r="BF1509" i="7" s="1"/>
  <c r="BE488" i="7"/>
  <c r="BF488" i="7" s="1"/>
  <c r="BE1066" i="7"/>
  <c r="BF1066" i="7" s="1"/>
  <c r="BE2042" i="7"/>
  <c r="BF2042" i="7" s="1"/>
  <c r="BE1139" i="7"/>
  <c r="BF1139" i="7" s="1"/>
  <c r="BE288" i="7"/>
  <c r="BF288" i="7" s="1"/>
  <c r="BE530" i="7"/>
  <c r="BF530" i="7" s="1"/>
  <c r="BE1606" i="7"/>
  <c r="BF1606" i="7" s="1"/>
  <c r="BE1997" i="7"/>
  <c r="BF1997" i="7" s="1"/>
  <c r="BE1340" i="7"/>
  <c r="BF1340" i="7" s="1"/>
  <c r="BE1817" i="7"/>
  <c r="BF1817" i="7" s="1"/>
  <c r="BE305" i="7"/>
  <c r="BF305" i="7" s="1"/>
  <c r="BE896" i="7"/>
  <c r="BF896" i="7" s="1"/>
  <c r="BE1402" i="7"/>
  <c r="BF1402" i="7" s="1"/>
  <c r="BE1560" i="7"/>
  <c r="BF1560" i="7" s="1"/>
  <c r="BE1697" i="7"/>
  <c r="BE161" i="7"/>
  <c r="BF161" i="7" s="1"/>
  <c r="BE358" i="7"/>
  <c r="BF358" i="7" s="1"/>
  <c r="BE697" i="7"/>
  <c r="BF697" i="7" s="1"/>
  <c r="BE523" i="7"/>
  <c r="BF523" i="7" s="1"/>
  <c r="BE48" i="7"/>
  <c r="BF48" i="7" s="1"/>
  <c r="BE1813" i="7"/>
  <c r="BF1813" i="7" s="1"/>
  <c r="BE756" i="7"/>
  <c r="BF756" i="7" s="1"/>
  <c r="BE1128" i="7"/>
  <c r="BF1128" i="7" s="1"/>
  <c r="BE1075" i="7"/>
  <c r="BF1075" i="7" s="1"/>
  <c r="BE899" i="7"/>
  <c r="BF899" i="7" s="1"/>
  <c r="BE1081" i="7"/>
  <c r="BF1081" i="7" s="1"/>
  <c r="BE663" i="7"/>
  <c r="BF663" i="7" s="1"/>
  <c r="BE1141" i="7"/>
  <c r="BF1141" i="7" s="1"/>
  <c r="BE1334" i="7"/>
  <c r="BF1334" i="7" s="1"/>
  <c r="BE67" i="7"/>
  <c r="BF67" i="7" s="1"/>
  <c r="BE1708" i="7"/>
  <c r="BF1708" i="7" s="1"/>
  <c r="BE944" i="7"/>
  <c r="BF944" i="7" s="1"/>
  <c r="BE1701" i="7"/>
  <c r="BF1701" i="7" s="1"/>
  <c r="BE1474" i="7"/>
  <c r="BF1474" i="7" s="1"/>
  <c r="BE1834" i="7"/>
  <c r="BF1834" i="7" s="1"/>
  <c r="BE711" i="7"/>
  <c r="BF711" i="7" s="1"/>
  <c r="BE2229" i="7"/>
  <c r="BF2229" i="7" s="1"/>
  <c r="BE473" i="7"/>
  <c r="BF473" i="7" s="1"/>
  <c r="BE2070" i="7"/>
  <c r="BF2070" i="7" s="1"/>
  <c r="BE1950" i="7"/>
  <c r="BF1950" i="7" s="1"/>
  <c r="BE1380" i="7"/>
  <c r="BF1380" i="7" s="1"/>
  <c r="BE2117" i="7"/>
  <c r="BF2117" i="7" s="1"/>
  <c r="BE256" i="7"/>
  <c r="BF256" i="7" s="1"/>
  <c r="BE990" i="7"/>
  <c r="BF990" i="7" s="1"/>
  <c r="BE1229" i="7"/>
  <c r="BF1229" i="7" s="1"/>
  <c r="BE1300" i="7"/>
  <c r="BF1300" i="7" s="1"/>
  <c r="BE737" i="7"/>
  <c r="BF737" i="7" s="1"/>
  <c r="BE2108" i="7"/>
  <c r="BF2108" i="7" s="1"/>
  <c r="BE1988" i="7"/>
  <c r="BF1988" i="7" s="1"/>
  <c r="BE1836" i="7"/>
  <c r="BF1836" i="7" s="1"/>
  <c r="BE1214" i="7"/>
  <c r="BE181" i="7"/>
  <c r="BF181" i="7" s="1"/>
  <c r="BE394" i="7"/>
  <c r="BF394" i="7" s="1"/>
  <c r="BE1144" i="7"/>
  <c r="BF1144" i="7" s="1"/>
  <c r="BE1586" i="7"/>
  <c r="BF1586" i="7" s="1"/>
  <c r="BE137" i="7"/>
  <c r="BF137" i="7" s="1"/>
  <c r="BE2127" i="7"/>
  <c r="BF2127" i="7" s="1"/>
  <c r="BE2195" i="7"/>
  <c r="BF2195" i="7" s="1"/>
  <c r="CE56" i="3"/>
  <c r="CV56" i="3"/>
  <c r="CQ56" i="3"/>
  <c r="CG56" i="3"/>
  <c r="CH56" i="3"/>
  <c r="CT56" i="3"/>
  <c r="CV55" i="3"/>
  <c r="CE55" i="3"/>
  <c r="CE54" i="3"/>
  <c r="CV54" i="3"/>
  <c r="CQ54" i="3"/>
  <c r="CQ55" i="3"/>
  <c r="CG54" i="3"/>
  <c r="CG55" i="3"/>
  <c r="CH54" i="3"/>
  <c r="CT54" i="3"/>
  <c r="CH55" i="3"/>
  <c r="CT55" i="3"/>
  <c r="CV65" i="1"/>
  <c r="CY65" i="1" s="1"/>
  <c r="CV122" i="1"/>
  <c r="CY122" i="1" s="1"/>
  <c r="CV46" i="1"/>
  <c r="CY46" i="1" s="1"/>
  <c r="CV34" i="1"/>
  <c r="CY34" i="1" s="1"/>
  <c r="CV40" i="1"/>
  <c r="CY40" i="1" s="1"/>
  <c r="CV80" i="1"/>
  <c r="CY80" i="1" s="1"/>
  <c r="CV139" i="1"/>
  <c r="CY139" i="1" s="1"/>
  <c r="CV182" i="1"/>
  <c r="CY182" i="1" s="1"/>
  <c r="CV190" i="1"/>
  <c r="CY190" i="1" s="1"/>
  <c r="CV72" i="1"/>
  <c r="CY72" i="1" s="1"/>
  <c r="CV141" i="1"/>
  <c r="CY141" i="1" s="1"/>
  <c r="CV48" i="1"/>
  <c r="CY48" i="1" s="1"/>
  <c r="CV166" i="1"/>
  <c r="CY166" i="1" s="1"/>
  <c r="CV81" i="1"/>
  <c r="CY81" i="1" s="1"/>
  <c r="CV60" i="1"/>
  <c r="CY60" i="1" s="1"/>
  <c r="CV299" i="1"/>
  <c r="CY299" i="1" s="1"/>
  <c r="CV38" i="1"/>
  <c r="CY38" i="1" s="1"/>
  <c r="CV195" i="1"/>
  <c r="CY195" i="1" s="1"/>
  <c r="CV140" i="1"/>
  <c r="CY140" i="1" s="1"/>
  <c r="CV251" i="1"/>
  <c r="CY251" i="1" s="1"/>
  <c r="CE207" i="1"/>
  <c r="CV282" i="1"/>
  <c r="CY282" i="1" s="1"/>
  <c r="CV185" i="1"/>
  <c r="CY185" i="1" s="1"/>
  <c r="CQ188" i="1"/>
  <c r="CT188" i="1" s="1"/>
  <c r="CT185" i="1"/>
  <c r="CQ199" i="1"/>
  <c r="CT199" i="1" s="1"/>
  <c r="CG164" i="1"/>
  <c r="CG197" i="1"/>
  <c r="CG245" i="1"/>
  <c r="CG30" i="1"/>
  <c r="CE250" i="1"/>
  <c r="CE173" i="1"/>
  <c r="CG257" i="1"/>
  <c r="CG143" i="1"/>
  <c r="CE106" i="1"/>
  <c r="CE239" i="1"/>
  <c r="CG281" i="1"/>
  <c r="CG236" i="1"/>
  <c r="CG218" i="1"/>
  <c r="CE11" i="1"/>
  <c r="CE184" i="1"/>
  <c r="CE275" i="1"/>
  <c r="CE139" i="1"/>
  <c r="CG198" i="1"/>
  <c r="CG35" i="1"/>
  <c r="CG55" i="1"/>
  <c r="CG185" i="1"/>
  <c r="CE70" i="1"/>
  <c r="CE182" i="1"/>
  <c r="CG41" i="1"/>
  <c r="CG273" i="1"/>
  <c r="CG298" i="1"/>
  <c r="CG54" i="1"/>
  <c r="CG26" i="1"/>
  <c r="CG302" i="1"/>
  <c r="CG101" i="1"/>
  <c r="CG172" i="1"/>
  <c r="CG127" i="1"/>
  <c r="CV164" i="1"/>
  <c r="CY164" i="1" s="1"/>
  <c r="CE37" i="1"/>
  <c r="CE140" i="1"/>
  <c r="CE50" i="1"/>
  <c r="CE204" i="1"/>
  <c r="CE123" i="1"/>
  <c r="CE187" i="1"/>
  <c r="CE138" i="1"/>
  <c r="CE283" i="1"/>
  <c r="CE272" i="1"/>
  <c r="CE133" i="1"/>
  <c r="CE136" i="1"/>
  <c r="CE149" i="1"/>
  <c r="CE42" i="1"/>
  <c r="CE59" i="1"/>
  <c r="CE179" i="1"/>
  <c r="CE62" i="1"/>
  <c r="CE49" i="1"/>
  <c r="CG191" i="1"/>
  <c r="CE251" i="1"/>
  <c r="CE65" i="1"/>
  <c r="CE260" i="1"/>
  <c r="CE293" i="1"/>
  <c r="CG36" i="1"/>
  <c r="CG171" i="1"/>
  <c r="CE80" i="1"/>
  <c r="CE170" i="1"/>
  <c r="CQ177" i="1"/>
  <c r="CT177" i="1" s="1"/>
  <c r="CG252" i="1"/>
  <c r="CG88" i="1"/>
  <c r="CG120" i="1"/>
  <c r="CG10" i="1"/>
  <c r="CG248" i="1"/>
  <c r="CV124" i="1"/>
  <c r="CY124" i="1" s="1"/>
  <c r="CE308" i="1"/>
  <c r="CE304" i="1"/>
  <c r="CE197" i="1"/>
  <c r="CE66" i="1"/>
  <c r="CE89" i="1"/>
  <c r="CE225" i="1"/>
  <c r="CE274" i="1"/>
  <c r="CG29" i="1"/>
  <c r="CE82" i="1"/>
  <c r="CE47" i="1"/>
  <c r="CG93" i="1"/>
  <c r="CG60" i="1"/>
  <c r="CG94" i="1"/>
  <c r="CG153" i="1"/>
  <c r="CG224" i="1"/>
  <c r="CG297" i="1"/>
  <c r="CG19" i="1"/>
  <c r="CG166" i="1"/>
  <c r="CE276" i="1"/>
  <c r="CE188" i="1"/>
  <c r="CV20" i="1"/>
  <c r="CY20" i="1" s="1"/>
  <c r="CE105" i="1"/>
  <c r="CQ279" i="1"/>
  <c r="CT279" i="1" s="1"/>
  <c r="CE273" i="1"/>
  <c r="CG147" i="1"/>
  <c r="CG91" i="1"/>
  <c r="CG134" i="1"/>
  <c r="CE157" i="1"/>
  <c r="CG38" i="1"/>
  <c r="CG126" i="1"/>
  <c r="CG227" i="1"/>
  <c r="CG68" i="1"/>
  <c r="CG83" i="1"/>
  <c r="CG247" i="1"/>
  <c r="CG300" i="1"/>
  <c r="CG84" i="1"/>
  <c r="CG114" i="1"/>
  <c r="CG51" i="1"/>
  <c r="CG45" i="1"/>
  <c r="CE93" i="1"/>
  <c r="CG92" i="1"/>
  <c r="CE48" i="1"/>
  <c r="CG259" i="1"/>
  <c r="CG78" i="1"/>
  <c r="CG231" i="1"/>
  <c r="CG118" i="1"/>
  <c r="CG250" i="1"/>
  <c r="CG217" i="1"/>
  <c r="CE58" i="1"/>
  <c r="CG106" i="1"/>
  <c r="CG251" i="1"/>
  <c r="CG175" i="1"/>
  <c r="CG65" i="1"/>
  <c r="CG74" i="1"/>
  <c r="CG150" i="1"/>
  <c r="CG189" i="1"/>
  <c r="CG239" i="1"/>
  <c r="CG37" i="1"/>
  <c r="CG195" i="1"/>
  <c r="CG293" i="1"/>
  <c r="CG122" i="1"/>
  <c r="CG46" i="1"/>
  <c r="CG246" i="1"/>
  <c r="CG140" i="1"/>
  <c r="CE85" i="1"/>
  <c r="CE290" i="1"/>
  <c r="CE112" i="1"/>
  <c r="CE205" i="1"/>
  <c r="CE215" i="1"/>
  <c r="CE146" i="1"/>
  <c r="CE111" i="1"/>
  <c r="CE145" i="1"/>
  <c r="CE30" i="1"/>
  <c r="CE183" i="1"/>
  <c r="CE109" i="1"/>
  <c r="CE161" i="1"/>
  <c r="CV268" i="1"/>
  <c r="CY268" i="1" s="1"/>
  <c r="CV230" i="1"/>
  <c r="CY230" i="1" s="1"/>
  <c r="CG96" i="1"/>
  <c r="CG212" i="1"/>
  <c r="CG169" i="1"/>
  <c r="CE231" i="1"/>
  <c r="CE195" i="1"/>
  <c r="CV260" i="1"/>
  <c r="CY260" i="1" s="1"/>
  <c r="CG148" i="1"/>
  <c r="CG263" i="1"/>
  <c r="CG159" i="1"/>
  <c r="CE237" i="1"/>
  <c r="CE233" i="1"/>
  <c r="CE296" i="1"/>
  <c r="CG226" i="1"/>
  <c r="CE286" i="1"/>
  <c r="CG209" i="1"/>
  <c r="CG2" i="1"/>
  <c r="CE196" i="1"/>
  <c r="CG124" i="1"/>
  <c r="CG103" i="1"/>
  <c r="CG110" i="1"/>
  <c r="CG121" i="1"/>
  <c r="CG21" i="1"/>
  <c r="CG220" i="1"/>
  <c r="CE95" i="1"/>
  <c r="CV114" i="1"/>
  <c r="CY114" i="1" s="1"/>
  <c r="CG237" i="1"/>
  <c r="CG11" i="1"/>
  <c r="CG79" i="1"/>
  <c r="CG262" i="1"/>
  <c r="CG57" i="1"/>
  <c r="CG276" i="1"/>
  <c r="CG188" i="1"/>
  <c r="CG108" i="1"/>
  <c r="CG230" i="1"/>
  <c r="CG130" i="1"/>
  <c r="CG170" i="1"/>
  <c r="CE135" i="1"/>
  <c r="CE22" i="1"/>
  <c r="CE148" i="1"/>
  <c r="CE291" i="1"/>
  <c r="CE298" i="1"/>
  <c r="CE9" i="1"/>
  <c r="CE131" i="1"/>
  <c r="CE218" i="1"/>
  <c r="CV291" i="1"/>
  <c r="CY291" i="1" s="1"/>
  <c r="CV9" i="1"/>
  <c r="CY9" i="1" s="1"/>
  <c r="CQ63" i="1"/>
  <c r="CT63" i="1" s="1"/>
  <c r="CQ26" i="1"/>
  <c r="CT26" i="1" s="1"/>
  <c r="CG179" i="1"/>
  <c r="CG72" i="1"/>
  <c r="CE245" i="1"/>
  <c r="CG3" i="1"/>
  <c r="CG66" i="1"/>
  <c r="CG256" i="1"/>
  <c r="CG306" i="1"/>
  <c r="CG70" i="1"/>
  <c r="CG89" i="1"/>
  <c r="CG294" i="1"/>
  <c r="CG32" i="1"/>
  <c r="CG194" i="1"/>
  <c r="CG31" i="1"/>
  <c r="CG95" i="1"/>
  <c r="CG27" i="1"/>
  <c r="CV203" i="1"/>
  <c r="CY203" i="1" s="1"/>
  <c r="CV289" i="1"/>
  <c r="CY289" i="1" s="1"/>
  <c r="CE63" i="1"/>
  <c r="CE83" i="1"/>
  <c r="CE247" i="1"/>
  <c r="CE98" i="1"/>
  <c r="CE114" i="1"/>
  <c r="CV63" i="1"/>
  <c r="CY63" i="1" s="1"/>
  <c r="CG136" i="1"/>
  <c r="CE171" i="1"/>
  <c r="CE263" i="1"/>
  <c r="CG75" i="1"/>
  <c r="CG17" i="1"/>
  <c r="CG287" i="1"/>
  <c r="CG34" i="1"/>
  <c r="CE129" i="1"/>
  <c r="CG261" i="1"/>
  <c r="CG4" i="1"/>
  <c r="CE230" i="1"/>
  <c r="CE87" i="1"/>
  <c r="CG105" i="1"/>
  <c r="CE130" i="1"/>
  <c r="CG204" i="1"/>
  <c r="CG187" i="1"/>
  <c r="CG168" i="1"/>
  <c r="CG283" i="1"/>
  <c r="CG272" i="1"/>
  <c r="CG52" i="1"/>
  <c r="CG85" i="1"/>
  <c r="CG133" i="1"/>
  <c r="CG192" i="1"/>
  <c r="CG49" i="1"/>
  <c r="CG290" i="1"/>
  <c r="CG149" i="1"/>
  <c r="CG242" i="1"/>
  <c r="CG42" i="1"/>
  <c r="CG112" i="1"/>
  <c r="CG62" i="1"/>
  <c r="CV207" i="1"/>
  <c r="CY207" i="1" s="1"/>
  <c r="CV193" i="1"/>
  <c r="CY193" i="1" s="1"/>
  <c r="CV244" i="1"/>
  <c r="CY244" i="1" s="1"/>
  <c r="CV160" i="1"/>
  <c r="CY160" i="1" s="1"/>
  <c r="CV77" i="1"/>
  <c r="CY77" i="1" s="1"/>
  <c r="CV17" i="1"/>
  <c r="CY17" i="1" s="1"/>
  <c r="CV23" i="1"/>
  <c r="CY23" i="1" s="1"/>
  <c r="CV178" i="1"/>
  <c r="CY178" i="1" s="1"/>
  <c r="CV101" i="1"/>
  <c r="CY101" i="1" s="1"/>
  <c r="CV99" i="1"/>
  <c r="CY99" i="1" s="1"/>
  <c r="CV285" i="1"/>
  <c r="CY285" i="1" s="1"/>
  <c r="CV127" i="1"/>
  <c r="CY127" i="1" s="1"/>
  <c r="CV71" i="1"/>
  <c r="CY71" i="1" s="1"/>
  <c r="CV223" i="1"/>
  <c r="CY223" i="1" s="1"/>
  <c r="CE15" i="1"/>
  <c r="CG301" i="1"/>
  <c r="CG9" i="1"/>
  <c r="CG8" i="1"/>
  <c r="CE280" i="1"/>
  <c r="CG15" i="1"/>
  <c r="CG277" i="1"/>
  <c r="CG221" i="1"/>
  <c r="CE94" i="1"/>
  <c r="CE28" i="1"/>
  <c r="CE266" i="1"/>
  <c r="CE297" i="1"/>
  <c r="CE151" i="1"/>
  <c r="CV51" i="1"/>
  <c r="CY51" i="1" s="1"/>
  <c r="CV45" i="1"/>
  <c r="CY45" i="1" s="1"/>
  <c r="CV47" i="1"/>
  <c r="CY47" i="1" s="1"/>
  <c r="CV153" i="1"/>
  <c r="CY153" i="1" s="1"/>
  <c r="CV224" i="1"/>
  <c r="CY224" i="1" s="1"/>
  <c r="CV116" i="1"/>
  <c r="CY116" i="1" s="1"/>
  <c r="CV297" i="1"/>
  <c r="CY297" i="1" s="1"/>
  <c r="CR39" i="1"/>
  <c r="CS39" i="1" s="1"/>
  <c r="CU39" i="1" s="1"/>
  <c r="CX39" i="1" s="1"/>
  <c r="CG100" i="1"/>
  <c r="CG182" i="1"/>
  <c r="CE294" i="1"/>
  <c r="CG154" i="1"/>
  <c r="CG24" i="1"/>
  <c r="CV35" i="1"/>
  <c r="CY35" i="1" s="1"/>
  <c r="CV98" i="1"/>
  <c r="CY98" i="1" s="1"/>
  <c r="CV10" i="1"/>
  <c r="CY10" i="1" s="1"/>
  <c r="CE134" i="1"/>
  <c r="CV249" i="1"/>
  <c r="CY249" i="1" s="1"/>
  <c r="CV157" i="1"/>
  <c r="CY157" i="1" s="1"/>
  <c r="CT36" i="1"/>
  <c r="CV36" i="1"/>
  <c r="CY36" i="1" s="1"/>
  <c r="CV271" i="1"/>
  <c r="CY271" i="1" s="1"/>
  <c r="CV12" i="1"/>
  <c r="CY12" i="1" s="1"/>
  <c r="CG244" i="1"/>
  <c r="CG160" i="1"/>
  <c r="CG202" i="1"/>
  <c r="CG71" i="1"/>
  <c r="CE168" i="1"/>
  <c r="CE52" i="1"/>
  <c r="CE192" i="1"/>
  <c r="CE242" i="1"/>
  <c r="CE254" i="1"/>
  <c r="CE100" i="1"/>
  <c r="CG58" i="1"/>
  <c r="CV73" i="1"/>
  <c r="CY73" i="1" s="1"/>
  <c r="CE124" i="1"/>
  <c r="CG280" i="1"/>
  <c r="CE287" i="1"/>
  <c r="CG180" i="1"/>
  <c r="CE33" i="1"/>
  <c r="CG299" i="1"/>
  <c r="CE34" i="1"/>
  <c r="CE249" i="1"/>
  <c r="CE121" i="1"/>
  <c r="CG157" i="1"/>
  <c r="CG129" i="1"/>
  <c r="CG238" i="1"/>
  <c r="CE38" i="1"/>
  <c r="CE261" i="1"/>
  <c r="CQ231" i="1"/>
  <c r="CT231" i="1" s="1"/>
  <c r="CQ175" i="1"/>
  <c r="CT175" i="1" s="1"/>
  <c r="CQ217" i="1"/>
  <c r="CT217" i="1" s="1"/>
  <c r="CQ37" i="1"/>
  <c r="CT37" i="1" s="1"/>
  <c r="CG266" i="1"/>
  <c r="CG165" i="1"/>
  <c r="CV108" i="1"/>
  <c r="CY108" i="1" s="1"/>
  <c r="CV266" i="1"/>
  <c r="CY266" i="1" s="1"/>
  <c r="CV165" i="1"/>
  <c r="CY165" i="1" s="1"/>
  <c r="CV151" i="1"/>
  <c r="CY151" i="1" s="1"/>
  <c r="CQ237" i="1"/>
  <c r="CT237" i="1" s="1"/>
  <c r="CQ214" i="1"/>
  <c r="CT214" i="1" s="1"/>
  <c r="CQ57" i="1"/>
  <c r="CT57" i="1" s="1"/>
  <c r="CQ276" i="1"/>
  <c r="CT276" i="1" s="1"/>
  <c r="CQ275" i="1"/>
  <c r="CT275" i="1" s="1"/>
  <c r="CQ170" i="1"/>
  <c r="CT170" i="1" s="1"/>
  <c r="CQ117" i="1"/>
  <c r="CT117" i="1" s="1"/>
  <c r="CQ79" i="1"/>
  <c r="CT79" i="1" s="1"/>
  <c r="CG305" i="1"/>
  <c r="CG196" i="1"/>
  <c r="CG173" i="1"/>
  <c r="CG163" i="1"/>
  <c r="CG260" i="1"/>
  <c r="CE307" i="1"/>
  <c r="CE235" i="1"/>
  <c r="CE4" i="1"/>
  <c r="CE2" i="1"/>
  <c r="CG214" i="1"/>
  <c r="CG233" i="1"/>
  <c r="CG296" i="1"/>
  <c r="CG117" i="1"/>
  <c r="CE301" i="1"/>
  <c r="CE269" i="1"/>
  <c r="CE122" i="1"/>
  <c r="CV11" i="1"/>
  <c r="CY11" i="1" s="1"/>
  <c r="CV39" i="1"/>
  <c r="CY39" i="1" s="1"/>
  <c r="CV262" i="1"/>
  <c r="CY262" i="1" s="1"/>
  <c r="CE226" i="1"/>
  <c r="CG90" i="1"/>
  <c r="CG308" i="1"/>
  <c r="CE300" i="1"/>
  <c r="CV197" i="1"/>
  <c r="CY197" i="1" s="1"/>
  <c r="CV66" i="1"/>
  <c r="CY66" i="1" s="1"/>
  <c r="CV256" i="1"/>
  <c r="CY256" i="1" s="1"/>
  <c r="CV306" i="1"/>
  <c r="CY306" i="1" s="1"/>
  <c r="CV70" i="1"/>
  <c r="CY70" i="1" s="1"/>
  <c r="CV253" i="1"/>
  <c r="CY253" i="1" s="1"/>
  <c r="CV90" i="1"/>
  <c r="CY90" i="1" s="1"/>
  <c r="CV245" i="1"/>
  <c r="CY245" i="1" s="1"/>
  <c r="CV32" i="1"/>
  <c r="CY32" i="1" s="1"/>
  <c r="CV274" i="1"/>
  <c r="CY274" i="1" s="1"/>
  <c r="CV31" i="1"/>
  <c r="CY31" i="1" s="1"/>
  <c r="CV144" i="1"/>
  <c r="CY144" i="1" s="1"/>
  <c r="CV95" i="1"/>
  <c r="CY95" i="1" s="1"/>
  <c r="CV56" i="1"/>
  <c r="CY56" i="1" s="1"/>
  <c r="CV304" i="1"/>
  <c r="CY304" i="1" s="1"/>
  <c r="CG216" i="1"/>
  <c r="CG219" i="1"/>
  <c r="CG76" i="1"/>
  <c r="CG18" i="1"/>
  <c r="CG6" i="1"/>
  <c r="CG206" i="1"/>
  <c r="CG177" i="1"/>
  <c r="CG232" i="1"/>
  <c r="CG303" i="1"/>
  <c r="CG50" i="1"/>
  <c r="CG123" i="1"/>
  <c r="CG138" i="1"/>
  <c r="CG59" i="1"/>
  <c r="CG254" i="1"/>
  <c r="CE174" i="1"/>
  <c r="CE175" i="1"/>
  <c r="CE194" i="1"/>
  <c r="CE27" i="1"/>
  <c r="CE221" i="1"/>
  <c r="CV50" i="1"/>
  <c r="CY50" i="1" s="1"/>
  <c r="CV204" i="1"/>
  <c r="CY204" i="1" s="1"/>
  <c r="CV123" i="1"/>
  <c r="CY123" i="1" s="1"/>
  <c r="CV187" i="1"/>
  <c r="CY187" i="1" s="1"/>
  <c r="CV138" i="1"/>
  <c r="CY138" i="1" s="1"/>
  <c r="CV283" i="1"/>
  <c r="CY283" i="1" s="1"/>
  <c r="CV85" i="1"/>
  <c r="CY85" i="1" s="1"/>
  <c r="CV133" i="1"/>
  <c r="CY133" i="1" s="1"/>
  <c r="CV136" i="1"/>
  <c r="CY136" i="1" s="1"/>
  <c r="CV192" i="1"/>
  <c r="CY192" i="1" s="1"/>
  <c r="CV49" i="1"/>
  <c r="CY49" i="1" s="1"/>
  <c r="CV290" i="1"/>
  <c r="CY290" i="1" s="1"/>
  <c r="CV149" i="1"/>
  <c r="CY149" i="1" s="1"/>
  <c r="CV226" i="1"/>
  <c r="CY226" i="1" s="1"/>
  <c r="CV255" i="1"/>
  <c r="CY255" i="1" s="1"/>
  <c r="CV254" i="1"/>
  <c r="CY254" i="1" s="1"/>
  <c r="CV179" i="1"/>
  <c r="CY179" i="1" s="1"/>
  <c r="CV62" i="1"/>
  <c r="CY62" i="1" s="1"/>
  <c r="CE44" i="1"/>
  <c r="CG203" i="1"/>
  <c r="CG97" i="1"/>
  <c r="CG137" i="1"/>
  <c r="CG7" i="1"/>
  <c r="CG289" i="1"/>
  <c r="CG270" i="1"/>
  <c r="CG115" i="1"/>
  <c r="CG234" i="1"/>
  <c r="CG271" i="1"/>
  <c r="CG125" i="1"/>
  <c r="CG267" i="1"/>
  <c r="CG282" i="1"/>
  <c r="CE240" i="1"/>
  <c r="CG208" i="1"/>
  <c r="CG213" i="1"/>
  <c r="CG155" i="1"/>
  <c r="CG14" i="1"/>
  <c r="CG278" i="1"/>
  <c r="CG152" i="1"/>
  <c r="CG102" i="1"/>
  <c r="CV250" i="1"/>
  <c r="CY250" i="1" s="1"/>
  <c r="CE116" i="1"/>
  <c r="CV156" i="1"/>
  <c r="CY156" i="1" s="1"/>
  <c r="CV264" i="1"/>
  <c r="CY264" i="1" s="1"/>
  <c r="CV126" i="1"/>
  <c r="CY126" i="1" s="1"/>
  <c r="CV216" i="1"/>
  <c r="CY216" i="1" s="1"/>
  <c r="CV69" i="1"/>
  <c r="CY69" i="1" s="1"/>
  <c r="CV229" i="1"/>
  <c r="CY229" i="1" s="1"/>
  <c r="CV295" i="1"/>
  <c r="CY295" i="1" s="1"/>
  <c r="CV76" i="1"/>
  <c r="CY76" i="1" s="1"/>
  <c r="CV25" i="1"/>
  <c r="CY25" i="1" s="1"/>
  <c r="CV18" i="1"/>
  <c r="CY18" i="1" s="1"/>
  <c r="CV292" i="1"/>
  <c r="CY292" i="1" s="1"/>
  <c r="CV43" i="1"/>
  <c r="CY43" i="1" s="1"/>
  <c r="CV210" i="1"/>
  <c r="CY210" i="1" s="1"/>
  <c r="CV67" i="1"/>
  <c r="CY67" i="1" s="1"/>
  <c r="CQ200" i="1"/>
  <c r="CE180" i="1"/>
  <c r="CE305" i="1"/>
  <c r="CE21" i="1"/>
  <c r="CV154" i="1"/>
  <c r="CY154" i="1" s="1"/>
  <c r="CV97" i="1"/>
  <c r="CY97" i="1" s="1"/>
  <c r="CV137" i="1"/>
  <c r="CY137" i="1" s="1"/>
  <c r="CV7" i="1"/>
  <c r="CY7" i="1" s="1"/>
  <c r="CV281" i="1"/>
  <c r="CY281" i="1" s="1"/>
  <c r="CV115" i="1"/>
  <c r="CY115" i="1" s="1"/>
  <c r="CV234" i="1"/>
  <c r="CY234" i="1" s="1"/>
  <c r="CV24" i="1"/>
  <c r="CY24" i="1" s="1"/>
  <c r="CV267" i="1"/>
  <c r="CY267" i="1" s="1"/>
  <c r="CV240" i="1"/>
  <c r="CY240" i="1" s="1"/>
  <c r="CV208" i="1"/>
  <c r="CY208" i="1" s="1"/>
  <c r="CV213" i="1"/>
  <c r="CY213" i="1" s="1"/>
  <c r="CV14" i="1"/>
  <c r="CY14" i="1" s="1"/>
  <c r="CV278" i="1"/>
  <c r="CY278" i="1" s="1"/>
  <c r="CV152" i="1"/>
  <c r="CY152" i="1" s="1"/>
  <c r="CV102" i="1"/>
  <c r="CY102" i="1" s="1"/>
  <c r="CG228" i="1"/>
  <c r="CG268" i="1"/>
  <c r="CG12" i="1"/>
  <c r="CG211" i="1"/>
  <c r="CE163" i="1"/>
  <c r="CE46" i="1"/>
  <c r="CH100" i="1"/>
  <c r="CV228" i="1"/>
  <c r="CY228" i="1" s="1"/>
  <c r="CV205" i="1"/>
  <c r="CY205" i="1" s="1"/>
  <c r="CE96" i="1"/>
  <c r="CE12" i="1"/>
  <c r="CV146" i="1"/>
  <c r="CY146" i="1" s="1"/>
  <c r="CV191" i="1"/>
  <c r="CY191" i="1" s="1"/>
  <c r="CV88" i="1"/>
  <c r="CY88" i="1" s="1"/>
  <c r="CV145" i="1"/>
  <c r="CY145" i="1" s="1"/>
  <c r="CV212" i="1"/>
  <c r="CY212" i="1" s="1"/>
  <c r="CV183" i="1"/>
  <c r="CY183" i="1" s="1"/>
  <c r="CV235" i="1"/>
  <c r="CY235" i="1" s="1"/>
  <c r="CV109" i="1"/>
  <c r="CY109" i="1" s="1"/>
  <c r="CV120" i="1"/>
  <c r="CY120" i="1" s="1"/>
  <c r="CV161" i="1"/>
  <c r="CY161" i="1" s="1"/>
  <c r="CV227" i="1"/>
  <c r="CY227" i="1" s="1"/>
  <c r="CV169" i="1"/>
  <c r="CY169" i="1" s="1"/>
  <c r="CG186" i="1"/>
  <c r="CG13" i="1"/>
  <c r="CE128" i="1"/>
  <c r="CE68" i="1"/>
  <c r="CG162" i="1"/>
  <c r="CG113" i="1"/>
  <c r="CG16" i="1"/>
  <c r="CG98" i="1"/>
  <c r="CG107" i="1"/>
  <c r="CG135" i="1"/>
  <c r="CG286" i="1"/>
  <c r="CG22" i="1"/>
  <c r="CG222" i="1"/>
  <c r="CG291" i="1"/>
  <c r="CG269" i="1"/>
  <c r="CG131" i="1"/>
  <c r="CE108" i="1"/>
  <c r="CE20" i="1"/>
  <c r="CE107" i="1"/>
  <c r="CV135" i="1"/>
  <c r="CY135" i="1" s="1"/>
  <c r="CE72" i="1"/>
  <c r="CV286" i="1"/>
  <c r="CY286" i="1" s="1"/>
  <c r="CE41" i="1"/>
  <c r="CV301" i="1"/>
  <c r="CY301" i="1" s="1"/>
  <c r="CV22" i="1"/>
  <c r="CY22" i="1" s="1"/>
  <c r="CE209" i="1"/>
  <c r="CV273" i="1"/>
  <c r="CY273" i="1" s="1"/>
  <c r="CE222" i="1"/>
  <c r="CV2" i="1"/>
  <c r="CY2" i="1" s="1"/>
  <c r="CE236" i="1"/>
  <c r="CV236" i="1"/>
  <c r="CY236" i="1" s="1"/>
  <c r="CE147" i="1"/>
  <c r="CV269" i="1"/>
  <c r="CY269" i="1" s="1"/>
  <c r="CE159" i="1"/>
  <c r="CV196" i="1"/>
  <c r="CY196" i="1" s="1"/>
  <c r="CV131" i="1"/>
  <c r="CY131" i="1" s="1"/>
  <c r="CE75" i="1"/>
  <c r="CG193" i="1"/>
  <c r="CG142" i="1"/>
  <c r="CG73" i="1"/>
  <c r="CG64" i="1"/>
  <c r="CG5" i="1"/>
  <c r="CG77" i="1"/>
  <c r="CG23" i="1"/>
  <c r="CG178" i="1"/>
  <c r="CG99" i="1"/>
  <c r="CG285" i="1"/>
  <c r="CG104" i="1"/>
  <c r="CG243" i="1"/>
  <c r="CG176" i="1"/>
  <c r="CG223" i="1"/>
  <c r="CQ119" i="1"/>
  <c r="CQ19" i="1"/>
  <c r="CT19" i="1" s="1"/>
  <c r="CG63" i="1"/>
  <c r="CG86" i="1"/>
  <c r="CG190" i="1"/>
  <c r="CG158" i="1"/>
  <c r="CE201" i="1"/>
  <c r="CE256" i="1"/>
  <c r="CE253" i="1"/>
  <c r="CE31" i="1"/>
  <c r="CE186" i="1"/>
  <c r="CV247" i="1"/>
  <c r="CY247" i="1" s="1"/>
  <c r="CQ233" i="1"/>
  <c r="CT233" i="1" s="1"/>
  <c r="CQ189" i="1"/>
  <c r="CT189" i="1" s="1"/>
  <c r="CQ296" i="1"/>
  <c r="CT296" i="1" s="1"/>
  <c r="CQ130" i="1"/>
  <c r="CT130" i="1" s="1"/>
  <c r="CE198" i="1"/>
  <c r="CE13" i="1"/>
  <c r="CV13" i="1"/>
  <c r="CY13" i="1" s="1"/>
  <c r="CV128" i="1"/>
  <c r="CY128" i="1" s="1"/>
  <c r="CE35" i="1"/>
  <c r="CE29" i="1"/>
  <c r="CE86" i="1"/>
  <c r="CE162" i="1"/>
  <c r="CE55" i="1"/>
  <c r="CV55" i="1"/>
  <c r="CY55" i="1" s="1"/>
  <c r="CE113" i="1"/>
  <c r="CE185" i="1"/>
  <c r="CE16" i="1"/>
  <c r="CE10" i="1"/>
  <c r="CE190" i="1"/>
  <c r="CE248" i="1"/>
  <c r="CE61" i="1"/>
  <c r="CE158" i="1"/>
  <c r="CV158" i="1"/>
  <c r="CE265" i="1"/>
  <c r="CG119" i="1"/>
  <c r="CE51" i="1"/>
  <c r="CG82" i="1"/>
  <c r="CG47" i="1"/>
  <c r="CG28" i="1"/>
  <c r="CE224" i="1"/>
  <c r="CG141" i="1"/>
  <c r="CG116" i="1"/>
  <c r="CG48" i="1"/>
  <c r="CG132" i="1"/>
  <c r="CE165" i="1"/>
  <c r="CE166" i="1"/>
  <c r="CE288" i="1"/>
  <c r="CG81" i="1"/>
  <c r="CG151" i="1"/>
  <c r="CQ238" i="1"/>
  <c r="CT238" i="1" s="1"/>
  <c r="CV29" i="1"/>
  <c r="CY29" i="1" s="1"/>
  <c r="CV91" i="1"/>
  <c r="CY91" i="1" s="1"/>
  <c r="CV280" i="1"/>
  <c r="CY280" i="1" s="1"/>
  <c r="CV287" i="1"/>
  <c r="CY287" i="1" s="1"/>
  <c r="CV180" i="1"/>
  <c r="CY180" i="1" s="1"/>
  <c r="CV33" i="1"/>
  <c r="CY33" i="1" s="1"/>
  <c r="CV15" i="1"/>
  <c r="CY15" i="1" s="1"/>
  <c r="CV110" i="1"/>
  <c r="CY110" i="1" s="1"/>
  <c r="CV305" i="1"/>
  <c r="CY305" i="1" s="1"/>
  <c r="CV121" i="1"/>
  <c r="CY121" i="1" s="1"/>
  <c r="CV220" i="1"/>
  <c r="CY220" i="1" s="1"/>
  <c r="CE40" i="1"/>
  <c r="CG39" i="1"/>
  <c r="CE79" i="1"/>
  <c r="CE214" i="1"/>
  <c r="CG184" i="1"/>
  <c r="CE200" i="1"/>
  <c r="CE262" i="1"/>
  <c r="CE57" i="1"/>
  <c r="CG80" i="1"/>
  <c r="CG275" i="1"/>
  <c r="CG87" i="1"/>
  <c r="CG20" i="1"/>
  <c r="CG139" i="1"/>
  <c r="CE117" i="1"/>
  <c r="CQ241" i="1"/>
  <c r="CT241" i="1" s="1"/>
  <c r="CV198" i="1"/>
  <c r="CY198" i="1" s="1"/>
  <c r="CV78" i="1"/>
  <c r="CY78" i="1" s="1"/>
  <c r="CV173" i="1"/>
  <c r="CY173" i="1" s="1"/>
  <c r="CV74" i="1"/>
  <c r="CY74" i="1" s="1"/>
  <c r="CV163" i="1"/>
  <c r="CY163" i="1" s="1"/>
  <c r="CV293" i="1"/>
  <c r="CY293" i="1" s="1"/>
  <c r="CV246" i="1"/>
  <c r="CY246" i="1" s="1"/>
  <c r="CG201" i="1"/>
  <c r="CE3" i="1"/>
  <c r="CG174" i="1"/>
  <c r="CE306" i="1"/>
  <c r="CG253" i="1"/>
  <c r="CE90" i="1"/>
  <c r="CG53" i="1"/>
  <c r="CG225" i="1"/>
  <c r="CE32" i="1"/>
  <c r="CG274" i="1"/>
  <c r="CG144" i="1"/>
  <c r="CG56" i="1"/>
  <c r="CG304" i="1"/>
  <c r="CQ100" i="1"/>
  <c r="CT100" i="1" s="1"/>
  <c r="CQ308" i="1"/>
  <c r="CT308" i="1" s="1"/>
  <c r="CQ194" i="1"/>
  <c r="CT194" i="1" s="1"/>
  <c r="CV105" i="1"/>
  <c r="CY105" i="1" s="1"/>
  <c r="CQ6" i="1"/>
  <c r="CT6" i="1" s="1"/>
  <c r="CQ174" i="1"/>
  <c r="CT174" i="1" s="1"/>
  <c r="CQ53" i="1"/>
  <c r="CT53" i="1" s="1"/>
  <c r="CQ129" i="1"/>
  <c r="CT129" i="1" s="1"/>
  <c r="CQ265" i="1"/>
  <c r="CG61" i="1"/>
  <c r="CE84" i="1"/>
  <c r="CG265" i="1"/>
  <c r="CR205" i="1"/>
  <c r="CS205" i="1" s="1"/>
  <c r="CU205" i="1" s="1"/>
  <c r="CX205" i="1" s="1"/>
  <c r="CR7" i="1"/>
  <c r="CS7" i="1" s="1"/>
  <c r="CU7" i="1" s="1"/>
  <c r="CE144" i="1"/>
  <c r="CE56" i="1"/>
  <c r="CG40" i="1"/>
  <c r="CG249" i="1"/>
  <c r="CE141" i="1"/>
  <c r="CG288" i="1"/>
  <c r="CE219" i="1"/>
  <c r="CE206" i="1"/>
  <c r="CE53" i="1"/>
  <c r="CG128" i="1"/>
  <c r="CG200" i="1"/>
  <c r="CE203" i="1"/>
  <c r="CE137" i="1"/>
  <c r="CE289" i="1"/>
  <c r="CE270" i="1"/>
  <c r="CE281" i="1"/>
  <c r="CE115" i="1"/>
  <c r="CE271" i="1"/>
  <c r="CE125" i="1"/>
  <c r="CE267" i="1"/>
  <c r="CE213" i="1"/>
  <c r="CE155" i="1"/>
  <c r="CE36" i="1"/>
  <c r="CE152" i="1"/>
  <c r="CE102" i="1"/>
  <c r="CG44" i="1"/>
  <c r="CE14" i="1"/>
  <c r="CE39" i="1"/>
  <c r="CG33" i="1"/>
  <c r="CE119" i="1"/>
  <c r="CE45" i="1"/>
  <c r="CE60" i="1"/>
  <c r="CE153" i="1"/>
  <c r="CE92" i="1"/>
  <c r="CE132" i="1"/>
  <c r="CE19" i="1"/>
  <c r="CE259" i="1"/>
  <c r="CE81" i="1"/>
  <c r="CG240" i="1"/>
  <c r="CE91" i="1"/>
  <c r="CE232" i="1"/>
  <c r="CE103" i="1"/>
  <c r="CE299" i="1"/>
  <c r="CE110" i="1"/>
  <c r="CE277" i="1"/>
  <c r="CE303" i="1"/>
  <c r="CE238" i="1"/>
  <c r="CE220" i="1"/>
  <c r="CE156" i="1"/>
  <c r="CE264" i="1"/>
  <c r="CE167" i="1"/>
  <c r="CE69" i="1"/>
  <c r="CE284" i="1"/>
  <c r="CE199" i="1"/>
  <c r="CE229" i="1"/>
  <c r="CE295" i="1"/>
  <c r="CE241" i="1"/>
  <c r="CE25" i="1"/>
  <c r="CE181" i="1"/>
  <c r="CE292" i="1"/>
  <c r="CE258" i="1"/>
  <c r="CE43" i="1"/>
  <c r="CE210" i="1"/>
  <c r="CE67" i="1"/>
  <c r="CE279" i="1"/>
  <c r="CE154" i="1"/>
  <c r="CE97" i="1"/>
  <c r="CE7" i="1"/>
  <c r="CE234" i="1"/>
  <c r="CE24" i="1"/>
  <c r="CE282" i="1"/>
  <c r="CE208" i="1"/>
  <c r="CE278" i="1"/>
  <c r="CE78" i="1"/>
  <c r="CE118" i="1"/>
  <c r="CE217" i="1"/>
  <c r="CE164" i="1"/>
  <c r="CE74" i="1"/>
  <c r="CE150" i="1"/>
  <c r="CE189" i="1"/>
  <c r="CE246" i="1"/>
  <c r="CE228" i="1"/>
  <c r="CE126" i="1"/>
  <c r="CE88" i="1"/>
  <c r="CE18" i="1"/>
  <c r="CE169" i="1"/>
  <c r="CE252" i="1"/>
  <c r="CE216" i="1"/>
  <c r="CE143" i="1"/>
  <c r="CE6" i="1"/>
  <c r="CE191" i="1"/>
  <c r="CE76" i="1"/>
  <c r="CE120" i="1"/>
  <c r="CE177" i="1"/>
  <c r="CG156" i="1"/>
  <c r="CG264" i="1"/>
  <c r="CG167" i="1"/>
  <c r="CG69" i="1"/>
  <c r="CG284" i="1"/>
  <c r="CG199" i="1"/>
  <c r="CG229" i="1"/>
  <c r="CG295" i="1"/>
  <c r="CG241" i="1"/>
  <c r="CG25" i="1"/>
  <c r="CG181" i="1"/>
  <c r="CG292" i="1"/>
  <c r="CG258" i="1"/>
  <c r="CG43" i="1"/>
  <c r="CG210" i="1"/>
  <c r="CG67" i="1"/>
  <c r="CG279" i="1"/>
  <c r="CE268" i="1"/>
  <c r="CE212" i="1"/>
  <c r="CE257" i="1"/>
  <c r="CE211" i="1"/>
  <c r="CE227" i="1"/>
  <c r="CG205" i="1"/>
  <c r="CG215" i="1"/>
  <c r="CG207" i="1"/>
  <c r="CG146" i="1"/>
  <c r="CG111" i="1"/>
  <c r="CG145" i="1"/>
  <c r="CG307" i="1"/>
  <c r="CG183" i="1"/>
  <c r="CG235" i="1"/>
  <c r="CG109" i="1"/>
  <c r="CG161" i="1"/>
  <c r="CE193" i="1"/>
  <c r="CE54" i="1"/>
  <c r="CE142" i="1"/>
  <c r="CE73" i="1"/>
  <c r="CE244" i="1"/>
  <c r="CE26" i="1"/>
  <c r="CE64" i="1"/>
  <c r="CE5" i="1"/>
  <c r="CE160" i="1"/>
  <c r="CE302" i="1"/>
  <c r="CE77" i="1"/>
  <c r="CE202" i="1"/>
  <c r="CE17" i="1"/>
  <c r="CE23" i="1"/>
  <c r="CE178" i="1"/>
  <c r="CE101" i="1"/>
  <c r="CE99" i="1"/>
  <c r="CE285" i="1"/>
  <c r="CE104" i="1"/>
  <c r="CE172" i="1"/>
  <c r="CE127" i="1"/>
  <c r="CE243" i="1"/>
  <c r="CE8" i="1"/>
  <c r="CE71" i="1"/>
  <c r="CE176" i="1"/>
  <c r="CE223" i="1"/>
  <c r="CH49" i="3"/>
  <c r="CH37" i="3"/>
  <c r="CH42" i="3"/>
  <c r="CH30" i="3"/>
  <c r="CH41" i="3"/>
  <c r="CH29" i="3"/>
  <c r="CH31" i="1"/>
  <c r="CH51" i="3"/>
  <c r="CH52" i="3"/>
  <c r="CH40" i="3"/>
  <c r="CH28" i="3"/>
  <c r="CH64" i="1"/>
  <c r="CH44" i="3"/>
  <c r="CH32" i="3"/>
  <c r="CH20" i="3"/>
  <c r="CH8" i="3"/>
  <c r="CH165" i="1"/>
  <c r="CH43" i="3"/>
  <c r="CH19" i="3"/>
  <c r="CH7" i="3"/>
  <c r="CE28" i="3"/>
  <c r="CE15" i="3"/>
  <c r="CG34" i="3"/>
  <c r="CG22" i="3"/>
  <c r="CG10" i="3"/>
  <c r="CH18" i="3"/>
  <c r="CH6" i="3"/>
  <c r="CE50" i="3"/>
  <c r="CE38" i="3"/>
  <c r="CE26" i="3"/>
  <c r="CE14" i="3"/>
  <c r="CE2" i="3"/>
  <c r="CG23" i="3"/>
  <c r="CG33" i="3"/>
  <c r="CG21" i="3"/>
  <c r="CG9" i="3"/>
  <c r="CH17" i="3"/>
  <c r="CH5" i="3"/>
  <c r="CE49" i="3"/>
  <c r="CE37" i="3"/>
  <c r="CE25" i="3"/>
  <c r="CE13" i="3"/>
  <c r="CG12" i="3"/>
  <c r="CE52" i="3"/>
  <c r="CG46" i="3"/>
  <c r="CG32" i="3"/>
  <c r="CG20" i="3"/>
  <c r="CG8" i="3"/>
  <c r="CH16" i="3"/>
  <c r="CH4" i="3"/>
  <c r="CE48" i="3"/>
  <c r="CE36" i="3"/>
  <c r="CE24" i="3"/>
  <c r="CE12" i="3"/>
  <c r="CE40" i="3"/>
  <c r="CG45" i="3"/>
  <c r="CG31" i="3"/>
  <c r="CG19" i="3"/>
  <c r="CG7" i="3"/>
  <c r="CH39" i="3"/>
  <c r="CH27" i="3"/>
  <c r="CH15" i="3"/>
  <c r="CH3" i="3"/>
  <c r="CE47" i="3"/>
  <c r="CE35" i="3"/>
  <c r="CE23" i="3"/>
  <c r="CE11" i="3"/>
  <c r="CG36" i="3"/>
  <c r="CG35" i="3"/>
  <c r="CG44" i="3"/>
  <c r="CG42" i="3"/>
  <c r="CG30" i="3"/>
  <c r="CG18" i="3"/>
  <c r="CG6" i="3"/>
  <c r="CH123" i="1"/>
  <c r="CH50" i="3"/>
  <c r="CH38" i="3"/>
  <c r="CH26" i="3"/>
  <c r="CH14" i="3"/>
  <c r="CH2" i="3"/>
  <c r="CE46" i="3"/>
  <c r="CE34" i="3"/>
  <c r="CE22" i="3"/>
  <c r="CE10" i="3"/>
  <c r="CE4" i="3"/>
  <c r="CE39" i="3"/>
  <c r="CG41" i="3"/>
  <c r="CG29" i="3"/>
  <c r="CG5" i="3"/>
  <c r="CH25" i="3"/>
  <c r="CH13" i="3"/>
  <c r="CE45" i="3"/>
  <c r="CE33" i="3"/>
  <c r="CE21" i="3"/>
  <c r="CE9" i="3"/>
  <c r="CE51" i="3"/>
  <c r="CG52" i="3"/>
  <c r="CG40" i="3"/>
  <c r="CG28" i="3"/>
  <c r="CG16" i="3"/>
  <c r="CG4" i="3"/>
  <c r="CH282" i="1"/>
  <c r="CH48" i="3"/>
  <c r="CH36" i="3"/>
  <c r="CH24" i="3"/>
  <c r="CH12" i="3"/>
  <c r="CE44" i="3"/>
  <c r="CE32" i="3"/>
  <c r="CE20" i="3"/>
  <c r="CE8" i="3"/>
  <c r="CG24" i="3"/>
  <c r="CE16" i="3"/>
  <c r="CE3" i="3"/>
  <c r="CG51" i="3"/>
  <c r="CG39" i="3"/>
  <c r="CG27" i="3"/>
  <c r="CG15" i="3"/>
  <c r="CG3" i="3"/>
  <c r="CH111" i="1"/>
  <c r="CH47" i="3"/>
  <c r="CH35" i="3"/>
  <c r="CH23" i="3"/>
  <c r="CH11" i="3"/>
  <c r="CE43" i="3"/>
  <c r="CE31" i="3"/>
  <c r="CE19" i="3"/>
  <c r="CE7" i="3"/>
  <c r="CG48" i="3"/>
  <c r="CG11" i="3"/>
  <c r="CE27" i="3"/>
  <c r="CG50" i="3"/>
  <c r="CG38" i="3"/>
  <c r="CG26" i="3"/>
  <c r="CG14" i="3"/>
  <c r="CG2" i="3"/>
  <c r="CH46" i="3"/>
  <c r="CH34" i="3"/>
  <c r="CH22" i="3"/>
  <c r="CH10" i="3"/>
  <c r="CE42" i="3"/>
  <c r="CE30" i="3"/>
  <c r="CE18" i="3"/>
  <c r="CE6" i="3"/>
  <c r="CG49" i="3"/>
  <c r="CG37" i="3"/>
  <c r="CG25" i="3"/>
  <c r="CG13" i="3"/>
  <c r="CH55" i="1"/>
  <c r="CH45" i="3"/>
  <c r="CH33" i="3"/>
  <c r="CH21" i="3"/>
  <c r="CH9" i="3"/>
  <c r="CE41" i="3"/>
  <c r="CE29" i="3"/>
  <c r="CE17" i="3"/>
  <c r="CE5" i="3"/>
  <c r="CH295" i="1"/>
  <c r="CH31" i="3"/>
  <c r="CG47" i="3"/>
  <c r="CG43" i="3"/>
  <c r="CG17" i="3"/>
  <c r="CH68" i="1"/>
  <c r="CH280" i="1"/>
  <c r="CH103" i="1"/>
  <c r="CH195" i="1"/>
  <c r="CH46" i="1"/>
  <c r="CH11" i="1"/>
  <c r="CH290" i="1"/>
  <c r="CH267" i="1"/>
  <c r="CH152" i="1"/>
  <c r="CH40" i="1"/>
  <c r="CH231" i="1"/>
  <c r="CH232" i="1"/>
  <c r="CH287" i="1"/>
  <c r="CH26" i="1"/>
  <c r="CH207" i="1"/>
  <c r="CH12" i="1"/>
  <c r="CH146" i="1"/>
  <c r="CH191" i="1"/>
  <c r="CH76" i="1"/>
  <c r="CH241" i="1"/>
  <c r="CH49" i="1"/>
  <c r="CH149" i="1"/>
  <c r="CH242" i="1"/>
  <c r="CH226" i="1"/>
  <c r="CH255" i="1"/>
  <c r="CH166" i="1"/>
  <c r="CH259" i="1"/>
  <c r="CH288" i="1"/>
  <c r="CH179" i="1"/>
  <c r="CH62" i="1"/>
  <c r="CH50" i="1"/>
  <c r="CH237" i="1"/>
  <c r="CH39" i="1"/>
  <c r="CH79" i="1"/>
  <c r="CH180" i="1"/>
  <c r="CH86" i="1"/>
  <c r="CH162" i="1"/>
  <c r="CH83" i="1"/>
  <c r="CH211" i="1"/>
  <c r="CH24" i="1"/>
  <c r="CH240" i="1"/>
  <c r="CH208" i="1"/>
  <c r="CH213" i="1"/>
  <c r="CH293" i="1"/>
  <c r="CH122" i="1"/>
  <c r="CH197" i="1"/>
  <c r="CH58" i="1"/>
  <c r="CH160" i="1"/>
  <c r="CH273" i="1"/>
  <c r="CH145" i="1"/>
  <c r="CH212" i="1"/>
  <c r="CH20" i="1"/>
  <c r="CH130" i="1"/>
  <c r="CH102" i="1"/>
  <c r="CH257" i="1"/>
  <c r="CH214" i="1"/>
  <c r="CH28" i="1"/>
  <c r="CH263" i="1"/>
  <c r="CH298" i="1"/>
  <c r="CH27" i="1"/>
  <c r="CH169" i="1"/>
  <c r="CH193" i="1"/>
  <c r="CH252" i="1"/>
  <c r="CH268" i="1"/>
  <c r="CH262" i="1"/>
  <c r="CH110" i="1"/>
  <c r="CH48" i="1"/>
  <c r="CH266" i="1"/>
  <c r="CH19" i="1"/>
  <c r="CH155" i="1"/>
  <c r="CH14" i="1"/>
  <c r="CH278" i="1"/>
  <c r="CH81" i="1"/>
  <c r="CH63" i="1"/>
  <c r="CH182" i="1"/>
  <c r="CH72" i="1"/>
  <c r="CH286" i="1"/>
  <c r="CH7" i="1"/>
  <c r="CH306" i="1"/>
  <c r="CH70" i="1"/>
  <c r="CH253" i="1"/>
  <c r="CH89" i="1"/>
  <c r="CH65" i="1"/>
  <c r="CH74" i="1"/>
  <c r="CH305" i="1"/>
  <c r="CH249" i="1"/>
  <c r="CH277" i="1"/>
  <c r="CH121" i="1"/>
  <c r="CH157" i="1"/>
  <c r="CH303" i="1"/>
  <c r="CH235" i="1"/>
  <c r="CH109" i="1"/>
  <c r="CH120" i="1"/>
  <c r="CH161" i="1"/>
  <c r="CH220" i="1"/>
  <c r="CH151" i="1"/>
  <c r="CH205" i="1"/>
  <c r="CH215" i="1"/>
  <c r="CH69" i="1"/>
  <c r="CH200" i="1"/>
  <c r="CH4" i="1"/>
  <c r="CH34" i="1"/>
  <c r="CH116" i="1"/>
  <c r="CH132" i="1"/>
  <c r="CH297" i="1"/>
  <c r="CH36" i="1"/>
  <c r="CH223" i="1"/>
  <c r="CH119" i="1"/>
  <c r="CH198" i="1"/>
  <c r="CH13" i="1"/>
  <c r="CH128" i="1"/>
  <c r="CH96" i="1"/>
  <c r="CH283" i="1"/>
  <c r="CH272" i="1"/>
  <c r="CH85" i="1"/>
  <c r="CH233" i="1"/>
  <c r="CH57" i="1"/>
  <c r="CH163" i="1"/>
  <c r="CH150" i="1"/>
  <c r="CH260" i="1"/>
  <c r="CH189" i="1"/>
  <c r="CH239" i="1"/>
  <c r="CH37" i="1"/>
  <c r="CH269" i="1"/>
  <c r="CH159" i="1"/>
  <c r="CH131" i="1"/>
  <c r="CH246" i="1"/>
  <c r="CH261" i="1"/>
  <c r="CH91" i="1"/>
  <c r="CH51" i="1"/>
  <c r="CH142" i="1"/>
  <c r="CH73" i="1"/>
  <c r="CH244" i="1"/>
  <c r="CH171" i="1"/>
  <c r="CH41" i="1"/>
  <c r="CH284" i="1"/>
  <c r="CH219" i="1"/>
  <c r="CH199" i="1"/>
  <c r="CH229" i="1"/>
  <c r="CH90" i="1"/>
  <c r="CH53" i="1"/>
  <c r="CH225" i="1"/>
  <c r="CH276" i="1"/>
  <c r="CH188" i="1"/>
  <c r="CH275" i="1"/>
  <c r="CH108" i="1"/>
  <c r="CH230" i="1"/>
  <c r="CH87" i="1"/>
  <c r="CH248" i="1"/>
  <c r="CH61" i="1"/>
  <c r="CH84" i="1"/>
  <c r="CH158" i="1"/>
  <c r="CH139" i="1"/>
  <c r="CH140" i="1"/>
  <c r="CH78" i="1"/>
  <c r="CH124" i="1"/>
  <c r="CH82" i="1"/>
  <c r="CH45" i="1"/>
  <c r="CH47" i="1"/>
  <c r="CH35" i="1"/>
  <c r="CH29" i="1"/>
  <c r="CH289" i="1"/>
  <c r="CH270" i="1"/>
  <c r="CH281" i="1"/>
  <c r="CH115" i="1"/>
  <c r="CH133" i="1"/>
  <c r="CH136" i="1"/>
  <c r="CH192" i="1"/>
  <c r="CH294" i="1"/>
  <c r="CH245" i="1"/>
  <c r="CH308" i="1"/>
  <c r="CH32" i="1"/>
  <c r="CH274" i="1"/>
  <c r="CH194" i="1"/>
  <c r="CH127" i="1"/>
  <c r="CH243" i="1"/>
  <c r="CH8" i="1"/>
  <c r="CH71" i="1"/>
  <c r="CH56" i="1"/>
  <c r="CH304" i="1"/>
  <c r="CH117" i="1"/>
  <c r="CH156" i="1"/>
  <c r="CH3" i="1"/>
  <c r="CH66" i="1"/>
  <c r="CH256" i="1"/>
  <c r="CH106" i="1"/>
  <c r="CH5" i="1"/>
  <c r="CH302" i="1"/>
  <c r="CH77" i="1"/>
  <c r="CH222" i="1"/>
  <c r="CH88" i="1"/>
  <c r="CH143" i="1"/>
  <c r="CH307" i="1"/>
  <c r="CH30" i="1"/>
  <c r="CH183" i="1"/>
  <c r="CH296" i="1"/>
  <c r="CH105" i="1"/>
  <c r="CH170" i="1"/>
  <c r="CH227" i="1"/>
  <c r="CH44" i="1"/>
  <c r="CH204" i="1"/>
  <c r="CH187" i="1"/>
  <c r="CH168" i="1"/>
  <c r="CH184" i="1"/>
  <c r="CH94" i="1"/>
  <c r="CH153" i="1"/>
  <c r="CH224" i="1"/>
  <c r="CH113" i="1"/>
  <c r="CH2" i="1"/>
  <c r="CH236" i="1"/>
  <c r="CH291" i="1"/>
  <c r="CH147" i="1"/>
  <c r="CH9" i="1"/>
  <c r="CH144" i="1"/>
  <c r="CH95" i="1"/>
  <c r="CH75" i="1"/>
  <c r="CH186" i="1"/>
  <c r="CH135" i="1"/>
  <c r="CH154" i="1"/>
  <c r="CH203" i="1"/>
  <c r="CH97" i="1"/>
  <c r="CH137" i="1"/>
  <c r="CH138" i="1"/>
  <c r="CH251" i="1"/>
  <c r="CH173" i="1"/>
  <c r="CH164" i="1"/>
  <c r="CH175" i="1"/>
  <c r="CH141" i="1"/>
  <c r="CH92" i="1"/>
  <c r="CH23" i="1"/>
  <c r="CH178" i="1"/>
  <c r="CH101" i="1"/>
  <c r="CH99" i="1"/>
  <c r="CH285" i="1"/>
  <c r="CH104" i="1"/>
  <c r="CH172" i="1"/>
  <c r="CH206" i="1"/>
  <c r="CH43" i="1"/>
  <c r="CH210" i="1"/>
  <c r="CH67" i="1"/>
  <c r="CH176" i="1"/>
  <c r="CH201" i="1"/>
  <c r="CH118" i="1"/>
  <c r="CH250" i="1"/>
  <c r="CH217" i="1"/>
  <c r="CH93" i="1"/>
  <c r="CH60" i="1"/>
  <c r="CH301" i="1"/>
  <c r="CH22" i="1"/>
  <c r="CH209" i="1"/>
  <c r="CH148" i="1"/>
  <c r="CH234" i="1"/>
  <c r="CH271" i="1"/>
  <c r="CH125" i="1"/>
  <c r="CH25" i="1"/>
  <c r="CH18" i="1"/>
  <c r="CH181" i="1"/>
  <c r="CH6" i="1"/>
  <c r="CH292" i="1"/>
  <c r="CH258" i="1"/>
  <c r="CH21" i="1"/>
  <c r="CH129" i="1"/>
  <c r="CH238" i="1"/>
  <c r="CH38" i="1"/>
  <c r="CH221" i="1"/>
  <c r="CH177" i="1"/>
  <c r="CH279" i="1"/>
  <c r="CH107" i="1"/>
  <c r="CH228" i="1"/>
  <c r="CH264" i="1"/>
  <c r="CH126" i="1"/>
  <c r="CH167" i="1"/>
  <c r="CH216" i="1"/>
  <c r="CH174" i="1"/>
  <c r="CH134" i="1"/>
  <c r="CH33" i="1"/>
  <c r="CH299" i="1"/>
  <c r="CH15" i="1"/>
  <c r="CH202" i="1"/>
  <c r="CH17" i="1"/>
  <c r="CH247" i="1"/>
  <c r="CH185" i="1"/>
  <c r="CH16" i="1"/>
  <c r="CH98" i="1"/>
  <c r="CH10" i="1"/>
  <c r="CH190" i="1"/>
  <c r="CH300" i="1"/>
  <c r="CH42" i="1"/>
  <c r="CH59" i="1"/>
  <c r="CH112" i="1"/>
  <c r="CH254" i="1"/>
  <c r="CH265" i="1"/>
  <c r="CH218" i="1"/>
  <c r="CH114" i="1"/>
  <c r="CH54" i="1"/>
  <c r="CH52" i="1"/>
  <c r="CH80" i="1"/>
  <c r="CH196" i="1"/>
  <c r="CR67" i="1" l="1"/>
  <c r="CS67" i="1" s="1"/>
  <c r="CU67" i="1" s="1"/>
  <c r="CX67" i="1" s="1"/>
  <c r="CR57" i="1"/>
  <c r="CS57" i="1" s="1"/>
  <c r="CR120" i="1"/>
  <c r="CS120" i="1" s="1"/>
  <c r="CU120" i="1" s="1"/>
  <c r="CX120" i="1" s="1"/>
  <c r="CR146" i="1"/>
  <c r="CS146" i="1" s="1"/>
  <c r="CU146" i="1" s="1"/>
  <c r="CR290" i="1"/>
  <c r="CS290" i="1" s="1"/>
  <c r="CU290" i="1" s="1"/>
  <c r="CR286" i="1"/>
  <c r="CS286" i="1" s="1"/>
  <c r="CU286" i="1" s="1"/>
  <c r="CX286" i="1" s="1"/>
  <c r="CR103" i="1"/>
  <c r="CS103" i="1" s="1"/>
  <c r="CR267" i="1"/>
  <c r="CS267" i="1" s="1"/>
  <c r="CU267" i="1" s="1"/>
  <c r="CR226" i="1"/>
  <c r="CS226" i="1" s="1"/>
  <c r="CU226" i="1" s="1"/>
  <c r="CR163" i="1"/>
  <c r="CS163" i="1" s="1"/>
  <c r="CU163" i="1" s="1"/>
  <c r="CX163" i="1" s="1"/>
  <c r="CR306" i="1"/>
  <c r="CS306" i="1" s="1"/>
  <c r="CU306" i="1" s="1"/>
  <c r="CX306" i="1" s="1"/>
  <c r="CR189" i="1"/>
  <c r="CS189" i="1" s="1"/>
  <c r="CU189" i="1" s="1"/>
  <c r="CR62" i="1"/>
  <c r="CS62" i="1" s="1"/>
  <c r="CU62" i="1" s="1"/>
  <c r="CX62" i="1" s="1"/>
  <c r="CR101" i="1"/>
  <c r="CS101" i="1" s="1"/>
  <c r="CU101" i="1" s="1"/>
  <c r="CR207" i="1"/>
  <c r="CS207" i="1" s="1"/>
  <c r="CU207" i="1" s="1"/>
  <c r="BM1637" i="7"/>
  <c r="BM2130" i="7"/>
  <c r="BM2154" i="7"/>
  <c r="BM1526" i="7"/>
  <c r="BM2203" i="7"/>
  <c r="BM2125" i="7"/>
  <c r="CR154" i="1"/>
  <c r="CS154" i="1" s="1"/>
  <c r="CU154" i="1" s="1"/>
  <c r="CX154" i="1" s="1"/>
  <c r="CR256" i="1"/>
  <c r="CS256" i="1" s="1"/>
  <c r="CU256" i="1" s="1"/>
  <c r="CX256" i="1" s="1"/>
  <c r="CR6" i="1"/>
  <c r="CS6" i="1" s="1"/>
  <c r="CU6" i="1" s="1"/>
  <c r="BM1796" i="7"/>
  <c r="BN1796" i="7" s="1"/>
  <c r="BM26" i="7"/>
  <c r="BM1842" i="7"/>
  <c r="BM1946" i="7"/>
  <c r="BM2086" i="7"/>
  <c r="BM1744" i="7"/>
  <c r="BM245" i="7"/>
  <c r="BM1847" i="7"/>
  <c r="BM1989" i="7"/>
  <c r="BM1889" i="7"/>
  <c r="BM1710" i="7"/>
  <c r="BM30" i="7"/>
  <c r="CR26" i="1"/>
  <c r="CS26" i="1" s="1"/>
  <c r="CU26" i="1" s="1"/>
  <c r="CX26" i="1" s="1"/>
  <c r="CR177" i="1"/>
  <c r="CS177" i="1" s="1"/>
  <c r="CV44" i="1"/>
  <c r="CY44" i="1" s="1"/>
  <c r="CR90" i="1"/>
  <c r="CS90" i="1" s="1"/>
  <c r="CU90" i="1" s="1"/>
  <c r="CX90" i="1" s="1"/>
  <c r="CV132" i="1"/>
  <c r="CY132" i="1" s="1"/>
  <c r="CV142" i="1"/>
  <c r="CY142" i="1" s="1"/>
  <c r="CV68" i="1"/>
  <c r="CY68" i="1" s="1"/>
  <c r="CV199" i="1"/>
  <c r="CY199" i="1" s="1"/>
  <c r="CV106" i="1"/>
  <c r="CY106" i="1" s="1"/>
  <c r="CV263" i="1"/>
  <c r="CY263" i="1" s="1"/>
  <c r="CV125" i="1"/>
  <c r="CY125" i="1" s="1"/>
  <c r="CR262" i="1"/>
  <c r="CS262" i="1" s="1"/>
  <c r="CU262" i="1" s="1"/>
  <c r="CX262" i="1" s="1"/>
  <c r="CR162" i="1"/>
  <c r="CS162" i="1" s="1"/>
  <c r="CU162" i="1" s="1"/>
  <c r="CX162" i="1" s="1"/>
  <c r="CR21" i="1"/>
  <c r="CS21" i="1" s="1"/>
  <c r="CU21" i="1" s="1"/>
  <c r="CR71" i="1"/>
  <c r="CS71" i="1" s="1"/>
  <c r="CU71" i="1" s="1"/>
  <c r="CX71" i="1" s="1"/>
  <c r="CR259" i="1"/>
  <c r="CS259" i="1" s="1"/>
  <c r="CU259" i="1" s="1"/>
  <c r="CR106" i="1"/>
  <c r="CS106" i="1" s="1"/>
  <c r="CU106" i="1" s="1"/>
  <c r="CX106" i="1" s="1"/>
  <c r="CV75" i="1"/>
  <c r="CY75" i="1" s="1"/>
  <c r="CV209" i="1"/>
  <c r="CY209" i="1" s="1"/>
  <c r="CV221" i="1"/>
  <c r="CY221" i="1" s="1"/>
  <c r="CV86" i="1"/>
  <c r="CY86" i="1" s="1"/>
  <c r="CV300" i="1"/>
  <c r="CY300" i="1" s="1"/>
  <c r="CV159" i="1"/>
  <c r="CY159" i="1" s="1"/>
  <c r="CV111" i="1"/>
  <c r="CY111" i="1" s="1"/>
  <c r="CV219" i="1"/>
  <c r="CY219" i="1" s="1"/>
  <c r="CV93" i="1"/>
  <c r="CY93" i="1" s="1"/>
  <c r="CV92" i="1"/>
  <c r="CY92" i="1" s="1"/>
  <c r="CV252" i="1"/>
  <c r="CY252" i="1" s="1"/>
  <c r="CR59" i="1"/>
  <c r="CS59" i="1" s="1"/>
  <c r="CU59" i="1" s="1"/>
  <c r="CX59" i="1" s="1"/>
  <c r="CR174" i="1"/>
  <c r="CS174" i="1" s="1"/>
  <c r="CR75" i="1"/>
  <c r="CS75" i="1" s="1"/>
  <c r="CU75" i="1" s="1"/>
  <c r="CR95" i="1"/>
  <c r="CS95" i="1" s="1"/>
  <c r="CU95" i="1" s="1"/>
  <c r="CX95" i="1" s="1"/>
  <c r="CR127" i="1"/>
  <c r="CS127" i="1" s="1"/>
  <c r="CU127" i="1" s="1"/>
  <c r="CR278" i="1"/>
  <c r="CS278" i="1" s="1"/>
  <c r="CU278" i="1" s="1"/>
  <c r="CR180" i="1"/>
  <c r="CS180" i="1" s="1"/>
  <c r="CU180" i="1" s="1"/>
  <c r="CX180" i="1" s="1"/>
  <c r="CR240" i="1"/>
  <c r="CS240" i="1" s="1"/>
  <c r="CU240" i="1" s="1"/>
  <c r="CW240" i="1" s="1"/>
  <c r="CZ240" i="1" s="1"/>
  <c r="CR141" i="1"/>
  <c r="CS141" i="1" s="1"/>
  <c r="CU141" i="1" s="1"/>
  <c r="CW141" i="1" s="1"/>
  <c r="CZ141" i="1" s="1"/>
  <c r="CR123" i="1"/>
  <c r="CS123" i="1" s="1"/>
  <c r="CU123" i="1" s="1"/>
  <c r="CV42" i="1"/>
  <c r="CV171" i="1"/>
  <c r="CY171" i="1" s="1"/>
  <c r="CR219" i="1"/>
  <c r="CS219" i="1" s="1"/>
  <c r="CU219" i="1" s="1"/>
  <c r="CV303" i="1"/>
  <c r="CY303" i="1" s="1"/>
  <c r="CV284" i="1"/>
  <c r="CY284" i="1" s="1"/>
  <c r="CV27" i="1"/>
  <c r="CY27" i="1" s="1"/>
  <c r="CV28" i="1"/>
  <c r="CY28" i="1" s="1"/>
  <c r="BM1186" i="7"/>
  <c r="CR73" i="1"/>
  <c r="CS73" i="1" s="1"/>
  <c r="CU73" i="1" s="1"/>
  <c r="CW73" i="1" s="1"/>
  <c r="CZ73" i="1" s="1"/>
  <c r="CR268" i="1"/>
  <c r="CS268" i="1" s="1"/>
  <c r="CU268" i="1" s="1"/>
  <c r="CX268" i="1" s="1"/>
  <c r="CR37" i="1"/>
  <c r="CS37" i="1" s="1"/>
  <c r="CR52" i="1"/>
  <c r="CS52" i="1" s="1"/>
  <c r="CU52" i="1" s="1"/>
  <c r="CV258" i="1"/>
  <c r="CY258" i="1" s="1"/>
  <c r="CR294" i="1"/>
  <c r="CS294" i="1" s="1"/>
  <c r="CU294" i="1" s="1"/>
  <c r="CX294" i="1" s="1"/>
  <c r="CR81" i="1"/>
  <c r="CS81" i="1" s="1"/>
  <c r="CU81" i="1" s="1"/>
  <c r="CR280" i="1"/>
  <c r="CS280" i="1" s="1"/>
  <c r="CU280" i="1" s="1"/>
  <c r="CX280" i="1" s="1"/>
  <c r="CR32" i="1"/>
  <c r="CS32" i="1" s="1"/>
  <c r="CU32" i="1" s="1"/>
  <c r="CX32" i="1" s="1"/>
  <c r="BM1636" i="7"/>
  <c r="CR142" i="1"/>
  <c r="CS142" i="1" s="1"/>
  <c r="CU142" i="1" s="1"/>
  <c r="CV298" i="1"/>
  <c r="CY298" i="1" s="1"/>
  <c r="CR221" i="1"/>
  <c r="CS221" i="1" s="1"/>
  <c r="CU221" i="1" s="1"/>
  <c r="CX221" i="1" s="1"/>
  <c r="CR84" i="1"/>
  <c r="CS84" i="1" s="1"/>
  <c r="CU84" i="1" s="1"/>
  <c r="CX84" i="1" s="1"/>
  <c r="CV113" i="1"/>
  <c r="CY113" i="1" s="1"/>
  <c r="CV186" i="1"/>
  <c r="CY186" i="1" s="1"/>
  <c r="CV215" i="1"/>
  <c r="CY215" i="1" s="1"/>
  <c r="CV201" i="1"/>
  <c r="CY201" i="1" s="1"/>
  <c r="CV202" i="1"/>
  <c r="CY202" i="1" s="1"/>
  <c r="CV84" i="1"/>
  <c r="CY84" i="1" s="1"/>
  <c r="CR201" i="1"/>
  <c r="CS201" i="1" s="1"/>
  <c r="CU201" i="1" s="1"/>
  <c r="CR109" i="1"/>
  <c r="CS109" i="1" s="1"/>
  <c r="CU109" i="1" s="1"/>
  <c r="CR46" i="1"/>
  <c r="CS46" i="1" s="1"/>
  <c r="CU46" i="1" s="1"/>
  <c r="CX46" i="1" s="1"/>
  <c r="CR213" i="1"/>
  <c r="CS213" i="1" s="1"/>
  <c r="CU213" i="1" s="1"/>
  <c r="CX213" i="1" s="1"/>
  <c r="CR172" i="1"/>
  <c r="CS172" i="1" s="1"/>
  <c r="CU172" i="1" s="1"/>
  <c r="CR110" i="1"/>
  <c r="CS110" i="1" s="1"/>
  <c r="CU110" i="1" s="1"/>
  <c r="CX110" i="1" s="1"/>
  <c r="CR91" i="1"/>
  <c r="CS91" i="1" s="1"/>
  <c r="CU91" i="1" s="1"/>
  <c r="CX91" i="1" s="1"/>
  <c r="CR223" i="1"/>
  <c r="CS223" i="1" s="1"/>
  <c r="CU223" i="1" s="1"/>
  <c r="CR298" i="1"/>
  <c r="CS298" i="1" s="1"/>
  <c r="CU298" i="1" s="1"/>
  <c r="CX298" i="1" s="1"/>
  <c r="CR178" i="1"/>
  <c r="CS178" i="1" s="1"/>
  <c r="CU178" i="1" s="1"/>
  <c r="CR148" i="1"/>
  <c r="CS148" i="1" s="1"/>
  <c r="CU148" i="1" s="1"/>
  <c r="CR143" i="1"/>
  <c r="CS143" i="1" s="1"/>
  <c r="CU143" i="1" s="1"/>
  <c r="CX143" i="1" s="1"/>
  <c r="CR252" i="1"/>
  <c r="CS252" i="1" s="1"/>
  <c r="CU252" i="1" s="1"/>
  <c r="CX252" i="1" s="1"/>
  <c r="CR44" i="1"/>
  <c r="CS44" i="1" s="1"/>
  <c r="CU44" i="1" s="1"/>
  <c r="CX44" i="1" s="1"/>
  <c r="CR25" i="1"/>
  <c r="CS25" i="1" s="1"/>
  <c r="CU25" i="1" s="1"/>
  <c r="CR264" i="1"/>
  <c r="CS264" i="1" s="1"/>
  <c r="CU264" i="1" s="1"/>
  <c r="CR85" i="1"/>
  <c r="CS85" i="1" s="1"/>
  <c r="CU85" i="1" s="1"/>
  <c r="CX85" i="1" s="1"/>
  <c r="CR187" i="1"/>
  <c r="CS187" i="1" s="1"/>
  <c r="CU187" i="1" s="1"/>
  <c r="CW187" i="1" s="1"/>
  <c r="CZ187" i="1" s="1"/>
  <c r="CV206" i="1"/>
  <c r="CY206" i="1" s="1"/>
  <c r="CR203" i="1"/>
  <c r="CS203" i="1" s="1"/>
  <c r="CU203" i="1" s="1"/>
  <c r="CR218" i="1"/>
  <c r="CS218" i="1" s="1"/>
  <c r="CU218" i="1" s="1"/>
  <c r="CR300" i="1"/>
  <c r="CS300" i="1" s="1"/>
  <c r="CU300" i="1" s="1"/>
  <c r="CV21" i="1"/>
  <c r="CY21" i="1" s="1"/>
  <c r="CV307" i="1"/>
  <c r="CY307" i="1" s="1"/>
  <c r="BM258" i="7"/>
  <c r="BM1997" i="7"/>
  <c r="BM1659" i="7"/>
  <c r="BM1750" i="7"/>
  <c r="BM1988" i="7"/>
  <c r="BM2092" i="7"/>
  <c r="BN2092" i="7" s="1"/>
  <c r="CR40" i="1"/>
  <c r="CS40" i="1" s="1"/>
  <c r="CU40" i="1" s="1"/>
  <c r="CX40" i="1" s="1"/>
  <c r="CR250" i="1"/>
  <c r="CS250" i="1" s="1"/>
  <c r="CU250" i="1" s="1"/>
  <c r="CX250" i="1" s="1"/>
  <c r="CR243" i="1"/>
  <c r="CS243" i="1" s="1"/>
  <c r="CU243" i="1" s="1"/>
  <c r="CR285" i="1"/>
  <c r="CS285" i="1" s="1"/>
  <c r="CU285" i="1" s="1"/>
  <c r="CW285" i="1" s="1"/>
  <c r="CZ285" i="1" s="1"/>
  <c r="CR247" i="1"/>
  <c r="CS247" i="1" s="1"/>
  <c r="CU247" i="1" s="1"/>
  <c r="BM64" i="7"/>
  <c r="BM2099" i="7"/>
  <c r="BM1800" i="7"/>
  <c r="BM2021" i="7"/>
  <c r="BM1974" i="7"/>
  <c r="BM302" i="7"/>
  <c r="BM1816" i="7"/>
  <c r="BN1816" i="7" s="1"/>
  <c r="BM1779" i="7"/>
  <c r="BN1779" i="7" s="1"/>
  <c r="BM1792" i="7"/>
  <c r="BM90" i="7"/>
  <c r="BM22" i="7"/>
  <c r="BM1675" i="7"/>
  <c r="BM1690" i="7"/>
  <c r="BM2051" i="7"/>
  <c r="BM39" i="7"/>
  <c r="CR228" i="1"/>
  <c r="CS228" i="1" s="1"/>
  <c r="CU228" i="1" s="1"/>
  <c r="CX228" i="1" s="1"/>
  <c r="CR271" i="1"/>
  <c r="CS271" i="1" s="1"/>
  <c r="CU271" i="1" s="1"/>
  <c r="CX271" i="1" s="1"/>
  <c r="CR76" i="1"/>
  <c r="CS76" i="1" s="1"/>
  <c r="CU76" i="1" s="1"/>
  <c r="CX76" i="1" s="1"/>
  <c r="CR227" i="1"/>
  <c r="CS227" i="1" s="1"/>
  <c r="CU227" i="1" s="1"/>
  <c r="CW227" i="1" s="1"/>
  <c r="CZ227" i="1" s="1"/>
  <c r="CR170" i="1"/>
  <c r="CS170" i="1" s="1"/>
  <c r="CU170" i="1" s="1"/>
  <c r="CV218" i="1"/>
  <c r="CY218" i="1" s="1"/>
  <c r="CV52" i="1"/>
  <c r="CY52" i="1" s="1"/>
  <c r="CV294" i="1"/>
  <c r="CY294" i="1" s="1"/>
  <c r="CV259" i="1"/>
  <c r="CY259" i="1" s="1"/>
  <c r="CV64" i="1"/>
  <c r="CY64" i="1" s="1"/>
  <c r="CV104" i="1"/>
  <c r="CY104" i="1" s="1"/>
  <c r="CR299" i="1"/>
  <c r="CS299" i="1" s="1"/>
  <c r="CU299" i="1" s="1"/>
  <c r="CW299" i="1" s="1"/>
  <c r="CZ299" i="1" s="1"/>
  <c r="CR45" i="1"/>
  <c r="CS45" i="1" s="1"/>
  <c r="CU45" i="1" s="1"/>
  <c r="CR288" i="1"/>
  <c r="CS288" i="1" s="1"/>
  <c r="CU288" i="1" s="1"/>
  <c r="BM733" i="7"/>
  <c r="BM91" i="7"/>
  <c r="CR68" i="1"/>
  <c r="CS68" i="1" s="1"/>
  <c r="CU68" i="1" s="1"/>
  <c r="CX68" i="1" s="1"/>
  <c r="CV134" i="1"/>
  <c r="CY134" i="1" s="1"/>
  <c r="CR132" i="1"/>
  <c r="CS132" i="1" s="1"/>
  <c r="CU132" i="1" s="1"/>
  <c r="CV143" i="1"/>
  <c r="CY143" i="1" s="1"/>
  <c r="CV59" i="1"/>
  <c r="CY59" i="1" s="1"/>
  <c r="CV272" i="1"/>
  <c r="CY272" i="1" s="1"/>
  <c r="CV225" i="1"/>
  <c r="CY225" i="1" s="1"/>
  <c r="CV103" i="1"/>
  <c r="CV239" i="1"/>
  <c r="CY239" i="1" s="1"/>
  <c r="CV155" i="1"/>
  <c r="CY155" i="1" s="1"/>
  <c r="CR231" i="1"/>
  <c r="CS231" i="1" s="1"/>
  <c r="CR183" i="1"/>
  <c r="CS183" i="1" s="1"/>
  <c r="CU183" i="1" s="1"/>
  <c r="CX183" i="1" s="1"/>
  <c r="CR33" i="1"/>
  <c r="CS33" i="1" s="1"/>
  <c r="CU33" i="1" s="1"/>
  <c r="CW33" i="1" s="1"/>
  <c r="CZ33" i="1" s="1"/>
  <c r="CR274" i="1"/>
  <c r="CS274" i="1" s="1"/>
  <c r="CU274" i="1" s="1"/>
  <c r="CR220" i="1"/>
  <c r="CS220" i="1" s="1"/>
  <c r="CU220" i="1" s="1"/>
  <c r="CX220" i="1" s="1"/>
  <c r="CR77" i="1"/>
  <c r="CS77" i="1" s="1"/>
  <c r="CU77" i="1" s="1"/>
  <c r="CW77" i="1" s="1"/>
  <c r="CZ77" i="1" s="1"/>
  <c r="CR55" i="3"/>
  <c r="CR14" i="1"/>
  <c r="CS14" i="1" s="1"/>
  <c r="CU14" i="1" s="1"/>
  <c r="CR111" i="1"/>
  <c r="CS111" i="1" s="1"/>
  <c r="CU111" i="1" s="1"/>
  <c r="CX111" i="1" s="1"/>
  <c r="CR115" i="1"/>
  <c r="CS115" i="1" s="1"/>
  <c r="CU115" i="1" s="1"/>
  <c r="CX115" i="1" s="1"/>
  <c r="CR9" i="1"/>
  <c r="CS9" i="1" s="1"/>
  <c r="CU9" i="1" s="1"/>
  <c r="CR229" i="1"/>
  <c r="CS229" i="1" s="1"/>
  <c r="CU229" i="1" s="1"/>
  <c r="CX229" i="1" s="1"/>
  <c r="CV148" i="1"/>
  <c r="CY148" i="1" s="1"/>
  <c r="CV248" i="1"/>
  <c r="CY248" i="1" s="1"/>
  <c r="CR206" i="1"/>
  <c r="CS206" i="1" s="1"/>
  <c r="CU206" i="1" s="1"/>
  <c r="CX206" i="1" s="1"/>
  <c r="CR4" i="1"/>
  <c r="CS4" i="1" s="1"/>
  <c r="CR99" i="1"/>
  <c r="CS99" i="1" s="1"/>
  <c r="CU99" i="1" s="1"/>
  <c r="CR134" i="1"/>
  <c r="CS134" i="1" s="1"/>
  <c r="CU134" i="1" s="1"/>
  <c r="CR254" i="1"/>
  <c r="CS254" i="1" s="1"/>
  <c r="CU254" i="1" s="1"/>
  <c r="CX254" i="1" s="1"/>
  <c r="BM2243" i="7"/>
  <c r="BM2235" i="7"/>
  <c r="BM2219" i="7"/>
  <c r="BM2227" i="7"/>
  <c r="BM2220" i="7"/>
  <c r="BM2151" i="7"/>
  <c r="BM2164" i="7"/>
  <c r="BN2164" i="7" s="1"/>
  <c r="BM2215" i="7"/>
  <c r="BN2215" i="7" s="1"/>
  <c r="BM2193" i="7"/>
  <c r="BM2230" i="7"/>
  <c r="BM1821" i="7"/>
  <c r="BM1837" i="7"/>
  <c r="BM1781" i="7"/>
  <c r="BM2066" i="7"/>
  <c r="BM1761" i="7"/>
  <c r="BM1910" i="7"/>
  <c r="BM1655" i="7"/>
  <c r="BM1867" i="7"/>
  <c r="BM1663" i="7"/>
  <c r="BN1663" i="7" s="1"/>
  <c r="BM1705" i="7"/>
  <c r="BN1705" i="7" s="1"/>
  <c r="BM1769" i="7"/>
  <c r="BM1802" i="7"/>
  <c r="BM1650" i="7"/>
  <c r="BM1419" i="7"/>
  <c r="BM1397" i="7"/>
  <c r="BM1227" i="7"/>
  <c r="BM1623" i="7"/>
  <c r="BM1166" i="7"/>
  <c r="BM1589" i="7"/>
  <c r="BM1164" i="7"/>
  <c r="BM1631" i="7"/>
  <c r="BN1631" i="7" s="1"/>
  <c r="BM1479" i="7"/>
  <c r="BN1479" i="7" s="1"/>
  <c r="BM1193" i="7"/>
  <c r="BM1635" i="7"/>
  <c r="BN1635" i="7" s="1"/>
  <c r="BM1514" i="7"/>
  <c r="BM1475" i="7"/>
  <c r="BM1346" i="7"/>
  <c r="BM1214" i="7"/>
  <c r="BM1386" i="7"/>
  <c r="BM1629" i="7"/>
  <c r="BM1330" i="7"/>
  <c r="BM1177" i="7"/>
  <c r="BM1249" i="7"/>
  <c r="BN1249" i="7" s="1"/>
  <c r="BM1428" i="7"/>
  <c r="BN1428" i="7" s="1"/>
  <c r="BM1515" i="7"/>
  <c r="BM1594" i="7"/>
  <c r="BN1594" i="7" s="1"/>
  <c r="BM1363" i="7"/>
  <c r="BM745" i="7"/>
  <c r="BM985" i="7"/>
  <c r="BM928" i="7"/>
  <c r="BM927" i="7"/>
  <c r="BM1093" i="7"/>
  <c r="BM1135" i="7"/>
  <c r="BM788" i="7"/>
  <c r="BM1103" i="7"/>
  <c r="BN1103" i="7" s="1"/>
  <c r="BM929" i="7"/>
  <c r="BN929" i="7" s="1"/>
  <c r="BM1068" i="7"/>
  <c r="BN1068" i="7" s="1"/>
  <c r="BM1027" i="7"/>
  <c r="BM832" i="7"/>
  <c r="BM1066" i="7"/>
  <c r="BM998" i="7"/>
  <c r="BM887" i="7"/>
  <c r="BM855" i="7"/>
  <c r="BM1045" i="7"/>
  <c r="BM963" i="7"/>
  <c r="BM619" i="7"/>
  <c r="BM666" i="7"/>
  <c r="BN666" i="7" s="1"/>
  <c r="BM627" i="7"/>
  <c r="BN627" i="7" s="1"/>
  <c r="BM438" i="7"/>
  <c r="BM432" i="7"/>
  <c r="BM483" i="7"/>
  <c r="BM567" i="7"/>
  <c r="BM499" i="7"/>
  <c r="BM603" i="7"/>
  <c r="BM514" i="7"/>
  <c r="BN514" i="7" s="1"/>
  <c r="BM607" i="7"/>
  <c r="BM256" i="7"/>
  <c r="BM331" i="7"/>
  <c r="BM810" i="7"/>
  <c r="BN810" i="7" s="1"/>
  <c r="BM1387" i="7"/>
  <c r="BM676" i="7"/>
  <c r="BM2083" i="7"/>
  <c r="BM375" i="7"/>
  <c r="BM329" i="7"/>
  <c r="BM2244" i="7"/>
  <c r="BM1803" i="7"/>
  <c r="BM1535" i="7"/>
  <c r="BM796" i="7"/>
  <c r="BM518" i="7"/>
  <c r="BN518" i="7" s="1"/>
  <c r="BM562" i="7"/>
  <c r="BM1907" i="7"/>
  <c r="BN1907" i="7" s="1"/>
  <c r="BM305" i="7"/>
  <c r="BN305" i="7" s="1"/>
  <c r="BM1316" i="7"/>
  <c r="BM1530" i="7"/>
  <c r="BN1530" i="7" s="1"/>
  <c r="BM307" i="7"/>
  <c r="BM534" i="7"/>
  <c r="BM917" i="7"/>
  <c r="BM1216" i="7"/>
  <c r="BM99" i="7"/>
  <c r="BM915" i="7"/>
  <c r="BM2245" i="7"/>
  <c r="BM1563" i="7"/>
  <c r="BN1563" i="7" s="1"/>
  <c r="BM396" i="7"/>
  <c r="BN396" i="7" s="1"/>
  <c r="BM1607" i="7"/>
  <c r="BN1607" i="7" s="1"/>
  <c r="BM1662" i="7"/>
  <c r="BM1668" i="7"/>
  <c r="BM1276" i="7"/>
  <c r="BM1556" i="7"/>
  <c r="BM561" i="7"/>
  <c r="BN561" i="7" s="1"/>
  <c r="BM1932" i="7"/>
  <c r="BM243" i="7"/>
  <c r="BM1052" i="7"/>
  <c r="BM556" i="7"/>
  <c r="BN556" i="7" s="1"/>
  <c r="BM341" i="7"/>
  <c r="BN341" i="7" s="1"/>
  <c r="BM829" i="7"/>
  <c r="BN829" i="7" s="1"/>
  <c r="BM1151" i="7"/>
  <c r="BN1151" i="7" s="1"/>
  <c r="BM904" i="7"/>
  <c r="BN904" i="7" s="1"/>
  <c r="BM786" i="7"/>
  <c r="BM1794" i="7"/>
  <c r="BM1666" i="7"/>
  <c r="BM1362" i="7"/>
  <c r="BN1362" i="7" s="1"/>
  <c r="BM525" i="7"/>
  <c r="BM671" i="7"/>
  <c r="BN671" i="7" s="1"/>
  <c r="BM2155" i="7"/>
  <c r="BM276" i="7"/>
  <c r="BM869" i="7"/>
  <c r="BN869" i="7" s="1"/>
  <c r="BM1322" i="7"/>
  <c r="BN1322" i="7" s="1"/>
  <c r="BM834" i="7"/>
  <c r="BN834" i="7" s="1"/>
  <c r="BM2023" i="7"/>
  <c r="BM190" i="7"/>
  <c r="BM669" i="7"/>
  <c r="BM801" i="7"/>
  <c r="BM411" i="7"/>
  <c r="BN411" i="7" s="1"/>
  <c r="BM1892" i="7"/>
  <c r="BM1088" i="7"/>
  <c r="BM486" i="7"/>
  <c r="BM529" i="7"/>
  <c r="BN529" i="7" s="1"/>
  <c r="BM85" i="7"/>
  <c r="BN85" i="7" s="1"/>
  <c r="BM2178" i="7"/>
  <c r="BN2178" i="7" s="1"/>
  <c r="BM1144" i="7"/>
  <c r="BN1144" i="7" s="1"/>
  <c r="BM1782" i="7"/>
  <c r="BM737" i="7"/>
  <c r="BM966" i="7"/>
  <c r="BM1011" i="7"/>
  <c r="BM725" i="7"/>
  <c r="BM195" i="7"/>
  <c r="BM872" i="7"/>
  <c r="BM1851" i="7"/>
  <c r="BM445" i="7"/>
  <c r="BN445" i="7" s="1"/>
  <c r="BM267" i="7"/>
  <c r="BN267" i="7" s="1"/>
  <c r="BM1391" i="7"/>
  <c r="BN1391" i="7" s="1"/>
  <c r="BM535" i="7"/>
  <c r="BN535" i="7" s="1"/>
  <c r="BM667" i="7"/>
  <c r="BM57" i="7"/>
  <c r="BM1893" i="7"/>
  <c r="BM937" i="7"/>
  <c r="BM248" i="7"/>
  <c r="BM1221" i="7"/>
  <c r="BM679" i="7"/>
  <c r="BN679" i="7" s="1"/>
  <c r="BM2115" i="7"/>
  <c r="BM1869" i="7"/>
  <c r="BM795" i="7"/>
  <c r="BN795" i="7" s="1"/>
  <c r="BM1228" i="7"/>
  <c r="BN1228" i="7" s="1"/>
  <c r="BM1341" i="7"/>
  <c r="BN1341" i="7" s="1"/>
  <c r="BM1225" i="7"/>
  <c r="BM404" i="7"/>
  <c r="BM2124" i="7"/>
  <c r="BM1501" i="7"/>
  <c r="BM978" i="7"/>
  <c r="BM1293" i="7"/>
  <c r="BM1246" i="7"/>
  <c r="BM1273" i="7"/>
  <c r="BM1255" i="7"/>
  <c r="BM2104" i="7"/>
  <c r="BN2104" i="7" s="1"/>
  <c r="BM197" i="7"/>
  <c r="BN197" i="7" s="1"/>
  <c r="BM1136" i="7"/>
  <c r="BN1136" i="7" s="1"/>
  <c r="BM1529" i="7"/>
  <c r="BM1618" i="7"/>
  <c r="BN1618" i="7" s="1"/>
  <c r="BM1485" i="7"/>
  <c r="BM1360" i="7"/>
  <c r="BM2001" i="7"/>
  <c r="BM1168" i="7"/>
  <c r="BM403" i="7"/>
  <c r="BN403" i="7" s="1"/>
  <c r="BM885" i="7"/>
  <c r="BM1681" i="7"/>
  <c r="BM1279" i="7"/>
  <c r="BN1279" i="7" s="1"/>
  <c r="BM1033" i="7"/>
  <c r="BN1033" i="7" s="1"/>
  <c r="BM659" i="7"/>
  <c r="BN659" i="7" s="1"/>
  <c r="BM1200" i="7"/>
  <c r="BM1375" i="7"/>
  <c r="BN1375" i="7" s="1"/>
  <c r="BM761" i="7"/>
  <c r="BM1749" i="7"/>
  <c r="BM1560" i="7"/>
  <c r="BM1549" i="7"/>
  <c r="BM322" i="7"/>
  <c r="BM271" i="7"/>
  <c r="BN271" i="7" s="1"/>
  <c r="BM462" i="7"/>
  <c r="BN462" i="7" s="1"/>
  <c r="BM205" i="7"/>
  <c r="BN205" i="7" s="1"/>
  <c r="BM1584" i="7"/>
  <c r="BN1584" i="7" s="1"/>
  <c r="BM1154" i="7"/>
  <c r="BN1154" i="7" s="1"/>
  <c r="BM136" i="7"/>
  <c r="BM817" i="7"/>
  <c r="BM866" i="7"/>
  <c r="BM31" i="7"/>
  <c r="BM515" i="7"/>
  <c r="BN515" i="7" s="1"/>
  <c r="BM2009" i="7"/>
  <c r="BM1990" i="7"/>
  <c r="BM63" i="7"/>
  <c r="BM89" i="7"/>
  <c r="BM1036" i="7"/>
  <c r="BN1036" i="7" s="1"/>
  <c r="BM1429" i="7"/>
  <c r="BN1429" i="7" s="1"/>
  <c r="BM1598" i="7"/>
  <c r="BN1598" i="7" s="1"/>
  <c r="BM97" i="7"/>
  <c r="BM2158" i="7"/>
  <c r="BM1064" i="7"/>
  <c r="BM311" i="7"/>
  <c r="BM52" i="7"/>
  <c r="BM2199" i="7"/>
  <c r="BN2199" i="7" s="1"/>
  <c r="BM1062" i="7"/>
  <c r="BM611" i="7"/>
  <c r="BM971" i="7"/>
  <c r="BM1230" i="7"/>
  <c r="BN1230" i="7" s="1"/>
  <c r="BM818" i="7"/>
  <c r="BN818" i="7" s="1"/>
  <c r="BM1374" i="7"/>
  <c r="BN1374" i="7" s="1"/>
  <c r="BM587" i="7"/>
  <c r="BM1290" i="7"/>
  <c r="BM1211" i="7"/>
  <c r="BM397" i="7"/>
  <c r="BM2168" i="7"/>
  <c r="BN2168" i="7" s="1"/>
  <c r="BM1348" i="7"/>
  <c r="BM1233" i="7"/>
  <c r="BM1344" i="7"/>
  <c r="BM2191" i="7"/>
  <c r="BM981" i="7"/>
  <c r="BN981" i="7" s="1"/>
  <c r="BM891" i="7"/>
  <c r="BN891" i="7" s="1"/>
  <c r="BM429" i="7"/>
  <c r="BM1857" i="7"/>
  <c r="BM539" i="7"/>
  <c r="BM72" i="7"/>
  <c r="BM1242" i="7"/>
  <c r="BM1855" i="7"/>
  <c r="BN1855" i="7" s="1"/>
  <c r="BM252" i="7"/>
  <c r="BN252" i="7" s="1"/>
  <c r="BM925" i="7"/>
  <c r="BM138" i="7"/>
  <c r="BM1474" i="7"/>
  <c r="BM1097" i="7"/>
  <c r="BN1097" i="7" s="1"/>
  <c r="BM1831" i="7"/>
  <c r="BN1831" i="7" s="1"/>
  <c r="BM1993" i="7"/>
  <c r="BN1993" i="7" s="1"/>
  <c r="BM1795" i="7"/>
  <c r="BM2007" i="7"/>
  <c r="BM297" i="7"/>
  <c r="BM886" i="7"/>
  <c r="BM1699" i="7"/>
  <c r="BN1699" i="7" s="1"/>
  <c r="BM1024" i="7"/>
  <c r="BM748" i="7"/>
  <c r="BM1568" i="7"/>
  <c r="BM750" i="7"/>
  <c r="BM1339" i="7"/>
  <c r="BN1339" i="7" s="1"/>
  <c r="BM906" i="7"/>
  <c r="BN906" i="7" s="1"/>
  <c r="BM1544" i="7"/>
  <c r="BN1544" i="7" s="1"/>
  <c r="BM527" i="7"/>
  <c r="BM1054" i="7"/>
  <c r="BM1508" i="7"/>
  <c r="BM465" i="7"/>
  <c r="BM412" i="7"/>
  <c r="BN412" i="7" s="1"/>
  <c r="BM1307" i="7"/>
  <c r="BM352" i="7"/>
  <c r="BM1804" i="7"/>
  <c r="BM176" i="7"/>
  <c r="BM1493" i="7"/>
  <c r="BN1493" i="7" s="1"/>
  <c r="BM332" i="7"/>
  <c r="BN332" i="7" s="1"/>
  <c r="BM1983" i="7"/>
  <c r="BN1983" i="7" s="1"/>
  <c r="BM1220" i="7"/>
  <c r="BM2000" i="7"/>
  <c r="BM1644" i="7"/>
  <c r="BM1022" i="7"/>
  <c r="BM1116" i="7"/>
  <c r="BN1116" i="7" s="1"/>
  <c r="BM1253" i="7"/>
  <c r="BM1278" i="7"/>
  <c r="BM2027" i="7"/>
  <c r="BM21" i="7"/>
  <c r="BM180" i="7"/>
  <c r="BM290" i="7"/>
  <c r="BN290" i="7" s="1"/>
  <c r="BM231" i="7"/>
  <c r="BN231" i="7" s="1"/>
  <c r="BM1942" i="7"/>
  <c r="BM1951" i="7"/>
  <c r="BM1338" i="7"/>
  <c r="BM944" i="7"/>
  <c r="BM1840" i="7"/>
  <c r="BN1840" i="7" s="1"/>
  <c r="BM698" i="7"/>
  <c r="BM1864" i="7"/>
  <c r="BM2029" i="7"/>
  <c r="BN2029" i="7" s="1"/>
  <c r="BM1825" i="7"/>
  <c r="BM1758" i="7"/>
  <c r="BN1758" i="7" s="1"/>
  <c r="BM2254" i="7"/>
  <c r="BN2254" i="7" s="1"/>
  <c r="BM634" i="7"/>
  <c r="BN634" i="7" s="1"/>
  <c r="BM999" i="7"/>
  <c r="BN999" i="7" s="1"/>
  <c r="BM950" i="7"/>
  <c r="BM639" i="7"/>
  <c r="BM694" i="7"/>
  <c r="BM1495" i="7"/>
  <c r="BN1495" i="7" s="1"/>
  <c r="BM1124" i="7"/>
  <c r="BM977" i="7"/>
  <c r="BM453" i="7"/>
  <c r="BM1425" i="7"/>
  <c r="BM763" i="7"/>
  <c r="BN763" i="7" s="1"/>
  <c r="BM405" i="7"/>
  <c r="BN405" i="7" s="1"/>
  <c r="BM1373" i="7"/>
  <c r="BN1373" i="7" s="1"/>
  <c r="BM426" i="7"/>
  <c r="BM247" i="7"/>
  <c r="BM1361" i="7"/>
  <c r="BM1490" i="7"/>
  <c r="BM1155" i="7"/>
  <c r="BN1155" i="7" s="1"/>
  <c r="BM239" i="7"/>
  <c r="BM1967" i="7"/>
  <c r="BM568" i="7"/>
  <c r="BM1126" i="7"/>
  <c r="BM2233" i="7"/>
  <c r="BN2233" i="7" s="1"/>
  <c r="BM835" i="7"/>
  <c r="BN835" i="7" s="1"/>
  <c r="BM1788" i="7"/>
  <c r="BN1788" i="7" s="1"/>
  <c r="BM1709" i="7"/>
  <c r="BM1706" i="7"/>
  <c r="BM137" i="7"/>
  <c r="BM279" i="7"/>
  <c r="BM555" i="7"/>
  <c r="BM142" i="7"/>
  <c r="BM1241" i="7"/>
  <c r="BM115" i="7"/>
  <c r="BM1925" i="7"/>
  <c r="BM502" i="7"/>
  <c r="BN502" i="7" s="1"/>
  <c r="BM579" i="7"/>
  <c r="BN579" i="7" s="1"/>
  <c r="BM735" i="7"/>
  <c r="BN735" i="7" s="1"/>
  <c r="BM1927" i="7"/>
  <c r="BM1704" i="7"/>
  <c r="BM301" i="7"/>
  <c r="BM1652" i="7"/>
  <c r="BM687" i="7"/>
  <c r="BM299" i="7"/>
  <c r="BN299" i="7" s="1"/>
  <c r="BM1626" i="7"/>
  <c r="BM1656" i="7"/>
  <c r="BN1656" i="7" s="1"/>
  <c r="BM924" i="7"/>
  <c r="BM715" i="7"/>
  <c r="BN715" i="7" s="1"/>
  <c r="BM1248" i="7"/>
  <c r="BN1248" i="7" s="1"/>
  <c r="BM285" i="7"/>
  <c r="BN285" i="7" s="1"/>
  <c r="BM2136" i="7"/>
  <c r="BM2208" i="7"/>
  <c r="BM673" i="7"/>
  <c r="BM2072" i="7"/>
  <c r="BM997" i="7"/>
  <c r="BM1511" i="7"/>
  <c r="BM2175" i="7"/>
  <c r="BM718" i="7"/>
  <c r="BM1588" i="7"/>
  <c r="BM510" i="7"/>
  <c r="BN510" i="7" s="1"/>
  <c r="BM1801" i="7"/>
  <c r="BN1801" i="7" s="1"/>
  <c r="BM920" i="7"/>
  <c r="BN920" i="7" s="1"/>
  <c r="BM711" i="7"/>
  <c r="BM633" i="7"/>
  <c r="BM1226" i="7"/>
  <c r="BM2047" i="7"/>
  <c r="BM2207" i="7"/>
  <c r="BM575" i="7"/>
  <c r="BM1643" i="7"/>
  <c r="BM1299" i="7"/>
  <c r="BM389" i="7"/>
  <c r="BM357" i="7"/>
  <c r="BN357" i="7" s="1"/>
  <c r="BM2251" i="7"/>
  <c r="BN2251" i="7" s="1"/>
  <c r="BM1564" i="7"/>
  <c r="BN1564" i="7" s="1"/>
  <c r="BM864" i="7"/>
  <c r="BN864" i="7" s="1"/>
  <c r="BM2201" i="7"/>
  <c r="BM949" i="7"/>
  <c r="BM1641" i="7"/>
  <c r="BM1615" i="7"/>
  <c r="BM1979" i="7"/>
  <c r="BM798" i="7"/>
  <c r="BM318" i="7"/>
  <c r="BN318" i="7" s="1"/>
  <c r="BM728" i="7"/>
  <c r="BM1106" i="7"/>
  <c r="BN1106" i="7" s="1"/>
  <c r="BM760" i="7"/>
  <c r="BN760" i="7" s="1"/>
  <c r="BM1402" i="7"/>
  <c r="BN1402" i="7" s="1"/>
  <c r="BM1173" i="7"/>
  <c r="BM309" i="7"/>
  <c r="BM1980" i="7"/>
  <c r="BM1336" i="7"/>
  <c r="BM942" i="7"/>
  <c r="BM1358" i="7"/>
  <c r="BM516" i="7"/>
  <c r="BN516" i="7" s="1"/>
  <c r="BM768" i="7"/>
  <c r="BM2177" i="7"/>
  <c r="BM491" i="7"/>
  <c r="BM1275" i="7"/>
  <c r="BN1275" i="7" s="1"/>
  <c r="BM564" i="7"/>
  <c r="BN564" i="7" s="1"/>
  <c r="BM636" i="7"/>
  <c r="BM1850" i="7"/>
  <c r="BM1399" i="7"/>
  <c r="BM1754" i="7"/>
  <c r="BM1018" i="7"/>
  <c r="BM2224" i="7"/>
  <c r="BN2224" i="7" s="1"/>
  <c r="BM2246" i="7"/>
  <c r="BM1602" i="7"/>
  <c r="BM1461" i="7"/>
  <c r="BM1219" i="7"/>
  <c r="BM888" i="7"/>
  <c r="BN888" i="7" s="1"/>
  <c r="BM1640" i="7"/>
  <c r="BN1640" i="7" s="1"/>
  <c r="BM1104" i="7"/>
  <c r="BN1104" i="7" s="1"/>
  <c r="BM940" i="7"/>
  <c r="BM2143" i="7"/>
  <c r="BM1281" i="7"/>
  <c r="BM1693" i="7"/>
  <c r="BM2167" i="7"/>
  <c r="BN2167" i="7" s="1"/>
  <c r="BM528" i="7"/>
  <c r="BN528" i="7" s="1"/>
  <c r="BM1683" i="7"/>
  <c r="BN1683" i="7" s="1"/>
  <c r="BM1550" i="7"/>
  <c r="BM2006" i="7"/>
  <c r="BN2006" i="7" s="1"/>
  <c r="BM1382" i="7"/>
  <c r="BN1382" i="7" s="1"/>
  <c r="BM1597" i="7"/>
  <c r="BN1597" i="7" s="1"/>
  <c r="BM1885" i="7"/>
  <c r="BM1491" i="7"/>
  <c r="BN1491" i="7" s="1"/>
  <c r="BM1057" i="7"/>
  <c r="BM492" i="7"/>
  <c r="BM1032" i="7"/>
  <c r="BM623" i="7"/>
  <c r="BM1291" i="7"/>
  <c r="BM1343" i="7"/>
  <c r="BM467" i="7"/>
  <c r="BN467" i="7" s="1"/>
  <c r="BM1023" i="7"/>
  <c r="BN1023" i="7" s="1"/>
  <c r="BM188" i="7"/>
  <c r="BM1017" i="7"/>
  <c r="BN1017" i="7" s="1"/>
  <c r="BM1442" i="7"/>
  <c r="BM1132" i="7"/>
  <c r="BM1468" i="7"/>
  <c r="BM464" i="7"/>
  <c r="BM580" i="7"/>
  <c r="BM123" i="7"/>
  <c r="BM1217" i="7"/>
  <c r="BM804" i="7"/>
  <c r="BM1519" i="7"/>
  <c r="BM867" i="7"/>
  <c r="BN867" i="7" s="1"/>
  <c r="BM228" i="7"/>
  <c r="BN228" i="7" s="1"/>
  <c r="BM765" i="7"/>
  <c r="BN765" i="7" s="1"/>
  <c r="BM941" i="7"/>
  <c r="BN941" i="7" s="1"/>
  <c r="BM1270" i="7"/>
  <c r="BN1270" i="7" s="1"/>
  <c r="BM1789" i="7"/>
  <c r="BM96" i="7"/>
  <c r="BM1671" i="7"/>
  <c r="BM50" i="7"/>
  <c r="BM1424" i="7"/>
  <c r="BM1180" i="7"/>
  <c r="BM238" i="7"/>
  <c r="BM1149" i="7"/>
  <c r="BN1149" i="7" s="1"/>
  <c r="BM2039" i="7"/>
  <c r="BN2039" i="7" s="1"/>
  <c r="BM1972" i="7"/>
  <c r="BN1972" i="7" s="1"/>
  <c r="BM781" i="7"/>
  <c r="BN781" i="7" s="1"/>
  <c r="BM272" i="7"/>
  <c r="BM111" i="7"/>
  <c r="BM1649" i="7"/>
  <c r="BM48" i="7"/>
  <c r="BM82" i="7"/>
  <c r="BM1742" i="7"/>
  <c r="BM337" i="7"/>
  <c r="BN337" i="7" s="1"/>
  <c r="BM1463" i="7"/>
  <c r="BM304" i="7"/>
  <c r="BN304" i="7" s="1"/>
  <c r="BM162" i="7"/>
  <c r="BM1977" i="7"/>
  <c r="BN1977" i="7" s="1"/>
  <c r="BM1288" i="7"/>
  <c r="BM778" i="7"/>
  <c r="BM1240" i="7"/>
  <c r="BM1765" i="7"/>
  <c r="BM308" i="7"/>
  <c r="BM1388" i="7"/>
  <c r="BM2046" i="7"/>
  <c r="BM517" i="7"/>
  <c r="BM709" i="7"/>
  <c r="BN709" i="7" s="1"/>
  <c r="BM1915" i="7"/>
  <c r="BN1915" i="7" s="1"/>
  <c r="BM246" i="7"/>
  <c r="BN246" i="7" s="1"/>
  <c r="BM179" i="7"/>
  <c r="BM336" i="7"/>
  <c r="BM595" i="7"/>
  <c r="BM1370" i="7"/>
  <c r="BM1334" i="7"/>
  <c r="BM1780" i="7"/>
  <c r="BM816" i="7"/>
  <c r="BM1426" i="7"/>
  <c r="BM469" i="7"/>
  <c r="BM1733" i="7"/>
  <c r="BM393" i="7"/>
  <c r="BN393" i="7" s="1"/>
  <c r="BM588" i="7"/>
  <c r="BN588" i="7" s="1"/>
  <c r="BM820" i="7"/>
  <c r="BN820" i="7" s="1"/>
  <c r="BM204" i="7"/>
  <c r="BM15" i="7"/>
  <c r="BM1427" i="7"/>
  <c r="BM2188" i="7"/>
  <c r="BM1456" i="7"/>
  <c r="BM171" i="7"/>
  <c r="BM86" i="7"/>
  <c r="BM1109" i="7"/>
  <c r="BM1856" i="7"/>
  <c r="BM1567" i="7"/>
  <c r="BM11" i="7"/>
  <c r="BN11" i="7" s="1"/>
  <c r="BM1092" i="7"/>
  <c r="BN1092" i="7" s="1"/>
  <c r="BM2055" i="7"/>
  <c r="BM323" i="7"/>
  <c r="BM1954" i="7"/>
  <c r="BM1692" i="7"/>
  <c r="BM1128" i="7"/>
  <c r="BM1813" i="7"/>
  <c r="BM2024" i="7"/>
  <c r="BM1494" i="7"/>
  <c r="BM2128" i="7"/>
  <c r="BM1407" i="7"/>
  <c r="BN1407" i="7" s="1"/>
  <c r="BM865" i="7"/>
  <c r="BN865" i="7" s="1"/>
  <c r="BM812" i="7"/>
  <c r="BN812" i="7" s="1"/>
  <c r="BM1000" i="7"/>
  <c r="BN1000" i="7" s="1"/>
  <c r="BM406" i="7"/>
  <c r="BM2056" i="7"/>
  <c r="BM328" i="7"/>
  <c r="BM808" i="7"/>
  <c r="BM395" i="7"/>
  <c r="BM1657" i="7"/>
  <c r="BM831" i="7"/>
  <c r="BM746" i="7"/>
  <c r="BM557" i="7"/>
  <c r="BN557" i="7" s="1"/>
  <c r="BM1167" i="7"/>
  <c r="BN1167" i="7" s="1"/>
  <c r="BM2196" i="7"/>
  <c r="BN2196" i="7" s="1"/>
  <c r="BM2253" i="7"/>
  <c r="BM1790" i="7"/>
  <c r="BM618" i="7"/>
  <c r="BM1583" i="7"/>
  <c r="BM1141" i="7"/>
  <c r="BM51" i="7"/>
  <c r="BM2189" i="7"/>
  <c r="BM2093" i="7"/>
  <c r="BN2093" i="7" s="1"/>
  <c r="BM692" i="7"/>
  <c r="BN692" i="7" s="1"/>
  <c r="BM1257" i="7"/>
  <c r="BN1257" i="7" s="1"/>
  <c r="BM1038" i="7"/>
  <c r="BN1038" i="7" s="1"/>
  <c r="BM1674" i="7"/>
  <c r="BN1674" i="7" s="1"/>
  <c r="BM1961" i="7"/>
  <c r="BM2112" i="7"/>
  <c r="BM1416" i="7"/>
  <c r="BM1785" i="7"/>
  <c r="BM1503" i="7"/>
  <c r="BM773" i="7"/>
  <c r="BM629" i="7"/>
  <c r="BN629" i="7" s="1"/>
  <c r="BM1539" i="7"/>
  <c r="BN1539" i="7" s="1"/>
  <c r="BM1165" i="7"/>
  <c r="BM373" i="7"/>
  <c r="BN373" i="7" s="1"/>
  <c r="BM716" i="7"/>
  <c r="BN716" i="7" s="1"/>
  <c r="BM1467" i="7"/>
  <c r="BN1467" i="7" s="1"/>
  <c r="BM1159" i="7"/>
  <c r="BM2271" i="7"/>
  <c r="BN2271" i="7" s="1"/>
  <c r="BM2068" i="7"/>
  <c r="BM683" i="7"/>
  <c r="BM594" i="7"/>
  <c r="BM1289" i="7"/>
  <c r="BM1943" i="7"/>
  <c r="BM362" i="7"/>
  <c r="BN362" i="7" s="1"/>
  <c r="BM2192" i="7"/>
  <c r="BM581" i="7"/>
  <c r="BN581" i="7" s="1"/>
  <c r="BM88" i="7"/>
  <c r="BN88" i="7" s="1"/>
  <c r="BM933" i="7"/>
  <c r="BN933" i="7" s="1"/>
  <c r="BM1152" i="7"/>
  <c r="BN1152" i="7" s="1"/>
  <c r="BM1122" i="7"/>
  <c r="BN1122" i="7" s="1"/>
  <c r="BM873" i="7"/>
  <c r="BM1326" i="7"/>
  <c r="BM1119" i="7"/>
  <c r="BN1119" i="7" s="1"/>
  <c r="BM533" i="7"/>
  <c r="BM964" i="7"/>
  <c r="BM1480" i="7"/>
  <c r="BM1555" i="7"/>
  <c r="BM1229" i="7"/>
  <c r="BN1229" i="7" s="1"/>
  <c r="BM1746" i="7"/>
  <c r="BN1746" i="7" s="1"/>
  <c r="BM661" i="7"/>
  <c r="BN661" i="7" s="1"/>
  <c r="BM1601" i="7"/>
  <c r="BM1383" i="7"/>
  <c r="BN1383" i="7" s="1"/>
  <c r="BM691" i="7"/>
  <c r="BM1072" i="7"/>
  <c r="BM916" i="7"/>
  <c r="BN916" i="7" s="1"/>
  <c r="BM1244" i="7"/>
  <c r="BM1472" i="7"/>
  <c r="BM2274" i="7"/>
  <c r="BM1309" i="7"/>
  <c r="BN1309" i="7" s="1"/>
  <c r="BM1558" i="7"/>
  <c r="BN1558" i="7" s="1"/>
  <c r="BM281" i="7"/>
  <c r="BN281" i="7" s="1"/>
  <c r="BM2129" i="7"/>
  <c r="BN2129" i="7" s="1"/>
  <c r="BM766" i="7"/>
  <c r="BM1446" i="7"/>
  <c r="BN1446" i="7" s="1"/>
  <c r="BM1004" i="7"/>
  <c r="BM1447" i="7"/>
  <c r="BM2045" i="7"/>
  <c r="BN2045" i="7" s="1"/>
  <c r="BM1043" i="7"/>
  <c r="BM2226" i="7"/>
  <c r="BM584" i="7"/>
  <c r="BN584" i="7" s="1"/>
  <c r="BM2258" i="7"/>
  <c r="BM897" i="7"/>
  <c r="BN897" i="7" s="1"/>
  <c r="BM741" i="7"/>
  <c r="BN741" i="7" s="1"/>
  <c r="BM1648" i="7"/>
  <c r="BN1648" i="7" s="1"/>
  <c r="BM359" i="7"/>
  <c r="BM62" i="7"/>
  <c r="BM2054" i="7"/>
  <c r="BM425" i="7"/>
  <c r="BM2171" i="7"/>
  <c r="BN2171" i="7" s="1"/>
  <c r="BM2067" i="7"/>
  <c r="BM1646" i="7"/>
  <c r="BM1524" i="7"/>
  <c r="BM1457" i="7"/>
  <c r="BN1457" i="7" s="1"/>
  <c r="BM2279" i="7"/>
  <c r="BN2279" i="7" s="1"/>
  <c r="BM961" i="7"/>
  <c r="BN961" i="7" s="1"/>
  <c r="BM1453" i="7"/>
  <c r="BN1453" i="7" s="1"/>
  <c r="BM196" i="7"/>
  <c r="BM1633" i="7"/>
  <c r="BN1633" i="7" s="1"/>
  <c r="BM931" i="7"/>
  <c r="BM1600" i="7"/>
  <c r="BM1634" i="7"/>
  <c r="BN1634" i="7" s="1"/>
  <c r="BM1605" i="7"/>
  <c r="BM218" i="7"/>
  <c r="BM903" i="7"/>
  <c r="BM847" i="7"/>
  <c r="BM642" i="7"/>
  <c r="BN642" i="7" s="1"/>
  <c r="BM1841" i="7"/>
  <c r="BN1841" i="7" s="1"/>
  <c r="BM2085" i="7"/>
  <c r="BN2085" i="7" s="1"/>
  <c r="BM622" i="7"/>
  <c r="BM2116" i="7"/>
  <c r="BM496" i="7"/>
  <c r="BM1830" i="7"/>
  <c r="BM1195" i="7"/>
  <c r="BN1195" i="7" s="1"/>
  <c r="BM2022" i="7"/>
  <c r="BM1833" i="7"/>
  <c r="BM889" i="7"/>
  <c r="BM1317" i="7"/>
  <c r="BM1163" i="7"/>
  <c r="BN1163" i="7" s="1"/>
  <c r="BM1499" i="7"/>
  <c r="BN1499" i="7" s="1"/>
  <c r="BM1593" i="7"/>
  <c r="BN1593" i="7" s="1"/>
  <c r="BM1906" i="7"/>
  <c r="BM1903" i="7"/>
  <c r="BM918" i="7"/>
  <c r="BM1477" i="7"/>
  <c r="BM1263" i="7"/>
  <c r="BN1263" i="7" s="1"/>
  <c r="BM1930" i="7"/>
  <c r="BM2131" i="7"/>
  <c r="BM380" i="7"/>
  <c r="BM2184" i="7"/>
  <c r="BM2" i="7"/>
  <c r="BN2" i="7" s="1"/>
  <c r="BM2229" i="7"/>
  <c r="BN2229" i="7" s="1"/>
  <c r="BM68" i="7"/>
  <c r="BN68" i="7" s="1"/>
  <c r="BM1866" i="7"/>
  <c r="BM2114" i="7"/>
  <c r="BM1639" i="7"/>
  <c r="BM342" i="7"/>
  <c r="BM2135" i="7"/>
  <c r="BN2135" i="7" s="1"/>
  <c r="BM2197" i="7"/>
  <c r="BM1638" i="7"/>
  <c r="BM461" i="7"/>
  <c r="BM402" i="7"/>
  <c r="BN402" i="7" s="1"/>
  <c r="BM235" i="7"/>
  <c r="BN235" i="7" s="1"/>
  <c r="BM543" i="7"/>
  <c r="BN543" i="7" s="1"/>
  <c r="BM1071" i="7"/>
  <c r="BN1071" i="7" s="1"/>
  <c r="BM1877" i="7"/>
  <c r="BM1205" i="7"/>
  <c r="BN1205" i="7" s="1"/>
  <c r="BM1294" i="7"/>
  <c r="BM1845" i="7"/>
  <c r="BM2250" i="7"/>
  <c r="BN2250" i="7" s="1"/>
  <c r="BM1829" i="7"/>
  <c r="BM443" i="7"/>
  <c r="BN443" i="7" s="1"/>
  <c r="BM452" i="7"/>
  <c r="BM1814" i="7"/>
  <c r="BM8" i="7"/>
  <c r="BN8" i="7" s="1"/>
  <c r="BM1381" i="7"/>
  <c r="BN1381" i="7" s="1"/>
  <c r="BM1898" i="7"/>
  <c r="BN1898" i="7" s="1"/>
  <c r="BM160" i="7"/>
  <c r="BM1772" i="7"/>
  <c r="BM358" i="7"/>
  <c r="BM1720" i="7"/>
  <c r="BM2089" i="7"/>
  <c r="BN2089" i="7" s="1"/>
  <c r="BM497" i="7"/>
  <c r="BM992" i="7"/>
  <c r="BM1843" i="7"/>
  <c r="BN1843" i="7" s="1"/>
  <c r="BM70" i="7"/>
  <c r="BM566" i="7"/>
  <c r="BN566" i="7" s="1"/>
  <c r="BM837" i="7"/>
  <c r="BN837" i="7" s="1"/>
  <c r="BM1578" i="7"/>
  <c r="BN1578" i="7" s="1"/>
  <c r="BM1394" i="7"/>
  <c r="BM1554" i="7"/>
  <c r="BN1554" i="7" s="1"/>
  <c r="BM2157" i="7"/>
  <c r="BM1879" i="7"/>
  <c r="BM3" i="7"/>
  <c r="BN3" i="7" s="1"/>
  <c r="BM1130" i="7"/>
  <c r="BM420" i="7"/>
  <c r="BM300" i="7"/>
  <c r="BN300" i="7" s="1"/>
  <c r="BM234" i="7"/>
  <c r="BM1677" i="7"/>
  <c r="BN1677" i="7" s="1"/>
  <c r="BM1505" i="7"/>
  <c r="BN1505" i="7" s="1"/>
  <c r="BM484" i="7"/>
  <c r="BN484" i="7" s="1"/>
  <c r="BM495" i="7"/>
  <c r="BM1603" i="7"/>
  <c r="BN1603" i="7" s="1"/>
  <c r="BM779" i="7"/>
  <c r="BM1094" i="7"/>
  <c r="BM410" i="7"/>
  <c r="BM58" i="7"/>
  <c r="BM442" i="7"/>
  <c r="BM435" i="7"/>
  <c r="BM1521" i="7"/>
  <c r="BM92" i="7"/>
  <c r="BM1040" i="7"/>
  <c r="BN1040" i="7" s="1"/>
  <c r="BM310" i="7"/>
  <c r="BN310" i="7" s="1"/>
  <c r="BM1311" i="7"/>
  <c r="BM641" i="7"/>
  <c r="BM730" i="7"/>
  <c r="BM1431" i="7"/>
  <c r="BM1452" i="7"/>
  <c r="BN1452" i="7" s="1"/>
  <c r="BM2257" i="7"/>
  <c r="BM1527" i="7"/>
  <c r="BM327" i="7"/>
  <c r="BN327" i="7" s="1"/>
  <c r="BM2160" i="7"/>
  <c r="BM1041" i="7"/>
  <c r="BN1041" i="7" s="1"/>
  <c r="BM2147" i="7"/>
  <c r="BN2147" i="7" s="1"/>
  <c r="BM838" i="7"/>
  <c r="BN838" i="7" s="1"/>
  <c r="BM957" i="7"/>
  <c r="BN957" i="7" s="1"/>
  <c r="BM2082" i="7"/>
  <c r="BM1832" i="7"/>
  <c r="BM2010" i="7"/>
  <c r="BM1413" i="7"/>
  <c r="BN1413" i="7" s="1"/>
  <c r="BM569" i="7"/>
  <c r="BM503" i="7"/>
  <c r="BN503" i="7" s="1"/>
  <c r="BM980" i="7"/>
  <c r="BM494" i="7"/>
  <c r="BN494" i="7" s="1"/>
  <c r="BM522" i="7"/>
  <c r="BN522" i="7" s="1"/>
  <c r="BM224" i="7"/>
  <c r="BN224" i="7" s="1"/>
  <c r="BM1642" i="7"/>
  <c r="BN1642" i="7" s="1"/>
  <c r="BM2272" i="7"/>
  <c r="BM505" i="7"/>
  <c r="BM1926" i="7"/>
  <c r="BM1473" i="7"/>
  <c r="BM227" i="7"/>
  <c r="BM1385" i="7"/>
  <c r="BM2252" i="7"/>
  <c r="BM1613" i="7"/>
  <c r="BM416" i="7"/>
  <c r="BN416" i="7" s="1"/>
  <c r="BM1369" i="7"/>
  <c r="BN1369" i="7" s="1"/>
  <c r="BM1112" i="7"/>
  <c r="BN1112" i="7" s="1"/>
  <c r="BM1001" i="7"/>
  <c r="BN1001" i="7" s="1"/>
  <c r="BM791" i="7"/>
  <c r="BN791" i="7" s="1"/>
  <c r="BM433" i="7"/>
  <c r="BM962" i="7"/>
  <c r="BM193" i="7"/>
  <c r="BM326" i="7"/>
  <c r="BM317" i="7"/>
  <c r="BN317" i="7" s="1"/>
  <c r="BM1044" i="7"/>
  <c r="BM1870" i="7"/>
  <c r="BN1870" i="7" s="1"/>
  <c r="BM2145" i="7"/>
  <c r="BM1380" i="7"/>
  <c r="BN1380" i="7" s="1"/>
  <c r="BM1422" i="7"/>
  <c r="BN1422" i="7" s="1"/>
  <c r="BM540" i="7"/>
  <c r="BM2172" i="7"/>
  <c r="BM210" i="7"/>
  <c r="BM945" i="7"/>
  <c r="BM175" i="7"/>
  <c r="BM319" i="7"/>
  <c r="BM955" i="7"/>
  <c r="BM1203" i="7"/>
  <c r="BM1353" i="7"/>
  <c r="BM5" i="7"/>
  <c r="BM394" i="7"/>
  <c r="BN394" i="7" s="1"/>
  <c r="BM170" i="7"/>
  <c r="BM1969" i="7"/>
  <c r="BN1969" i="7" s="1"/>
  <c r="BM638" i="7"/>
  <c r="BM551" i="7"/>
  <c r="BM53" i="7"/>
  <c r="BM209" i="7"/>
  <c r="BM1459" i="7"/>
  <c r="BM2181" i="7"/>
  <c r="BN2181" i="7" s="1"/>
  <c r="BM1238" i="7"/>
  <c r="BM1797" i="7"/>
  <c r="BN1797" i="7" s="1"/>
  <c r="BM660" i="7"/>
  <c r="BN660" i="7" s="1"/>
  <c r="BM870" i="7"/>
  <c r="BN870" i="7" s="1"/>
  <c r="BM2240" i="7"/>
  <c r="BN2240" i="7" s="1"/>
  <c r="BM1392" i="7"/>
  <c r="BN1392" i="7" s="1"/>
  <c r="BM688" i="7"/>
  <c r="BM233" i="7"/>
  <c r="BM284" i="7"/>
  <c r="BM153" i="7"/>
  <c r="BM1739" i="7"/>
  <c r="BN1739" i="7" s="1"/>
  <c r="BM2263" i="7"/>
  <c r="BM9" i="7"/>
  <c r="BM44" i="7"/>
  <c r="BM1625" i="7"/>
  <c r="BM901" i="7"/>
  <c r="BN901" i="7" s="1"/>
  <c r="BM1125" i="7"/>
  <c r="BN1125" i="7" s="1"/>
  <c r="BM2057" i="7"/>
  <c r="BN2057" i="7" s="1"/>
  <c r="BM1682" i="7"/>
  <c r="BM1003" i="7"/>
  <c r="BM259" i="7"/>
  <c r="BM626" i="7"/>
  <c r="BM681" i="7"/>
  <c r="BM1849" i="7"/>
  <c r="BM1129" i="7"/>
  <c r="BM286" i="7"/>
  <c r="BN286" i="7" s="1"/>
  <c r="BM861" i="7"/>
  <c r="BM959" i="7"/>
  <c r="BN959" i="7" s="1"/>
  <c r="BM98" i="7"/>
  <c r="BN98" i="7" s="1"/>
  <c r="BM2132" i="7"/>
  <c r="BN2132" i="7" s="1"/>
  <c r="BM277" i="7"/>
  <c r="BM1295" i="7"/>
  <c r="BM648" i="7"/>
  <c r="BM2121" i="7"/>
  <c r="BN2121" i="7" s="1"/>
  <c r="BM1916" i="7"/>
  <c r="BM852" i="7"/>
  <c r="BM1196" i="7"/>
  <c r="BM1280" i="7"/>
  <c r="BM1440" i="7"/>
  <c r="BM287" i="7"/>
  <c r="BM415" i="7"/>
  <c r="BN415" i="7" s="1"/>
  <c r="BM2087" i="7"/>
  <c r="BM2146" i="7"/>
  <c r="BM2163" i="7"/>
  <c r="BM1438" i="7"/>
  <c r="BM1914" i="7"/>
  <c r="BM2090" i="7"/>
  <c r="BM1321" i="7"/>
  <c r="BM1142" i="7"/>
  <c r="BM708" i="7"/>
  <c r="BM719" i="7"/>
  <c r="BM1504" i="7"/>
  <c r="BN1504" i="7" s="1"/>
  <c r="BM1697" i="7"/>
  <c r="BN1697" i="7" s="1"/>
  <c r="BM1049" i="7"/>
  <c r="BN1049" i="7" s="1"/>
  <c r="BM2262" i="7"/>
  <c r="BM1748" i="7"/>
  <c r="BM632" i="7"/>
  <c r="BM2106" i="7"/>
  <c r="BN2106" i="7" s="1"/>
  <c r="BM839" i="7"/>
  <c r="BM523" i="7"/>
  <c r="BM2088" i="7"/>
  <c r="BM720" i="7"/>
  <c r="BM1645" i="7"/>
  <c r="BM1207" i="7"/>
  <c r="BM960" i="7"/>
  <c r="BM1412" i="7"/>
  <c r="BN1412" i="7" s="1"/>
  <c r="BM379" i="7"/>
  <c r="BM2005" i="7"/>
  <c r="BM2012" i="7"/>
  <c r="BM67" i="7"/>
  <c r="BM749" i="7"/>
  <c r="BM1371" i="7"/>
  <c r="BM371" i="7"/>
  <c r="BN371" i="7" s="1"/>
  <c r="BM2161" i="7"/>
  <c r="BM729" i="7"/>
  <c r="BM1304" i="7"/>
  <c r="BM1147" i="7"/>
  <c r="BN1147" i="7" s="1"/>
  <c r="BM605" i="7"/>
  <c r="BN605" i="7" s="1"/>
  <c r="BM1534" i="7"/>
  <c r="BM1430" i="7"/>
  <c r="BN1430" i="7" s="1"/>
  <c r="BM599" i="7"/>
  <c r="BM1070" i="7"/>
  <c r="BM1608" i="7"/>
  <c r="BM601" i="7"/>
  <c r="BM391" i="7"/>
  <c r="BN391" i="7" s="1"/>
  <c r="BM366" i="7"/>
  <c r="BM1134" i="7"/>
  <c r="BM56" i="7"/>
  <c r="BM956" i="7"/>
  <c r="BN956" i="7" s="1"/>
  <c r="BM192" i="7"/>
  <c r="BN192" i="7" s="1"/>
  <c r="BM1822" i="7"/>
  <c r="BM1046" i="7"/>
  <c r="BM324" i="7"/>
  <c r="BM631" i="7"/>
  <c r="BM1917" i="7"/>
  <c r="BM520" i="7"/>
  <c r="BM1537" i="7"/>
  <c r="BM1161" i="7"/>
  <c r="BM419" i="7"/>
  <c r="BM1328" i="7"/>
  <c r="BN1328" i="7" s="1"/>
  <c r="BM1031" i="7"/>
  <c r="BN1031" i="7" s="1"/>
  <c r="BM1745" i="7"/>
  <c r="BN1745" i="7" s="1"/>
  <c r="BM1329" i="7"/>
  <c r="BM1268" i="7"/>
  <c r="BN1268" i="7" s="1"/>
  <c r="BM777" i="7"/>
  <c r="BM1596" i="7"/>
  <c r="BM1904" i="7"/>
  <c r="BM1218" i="7"/>
  <c r="BM1259" i="7"/>
  <c r="BM1198" i="7"/>
  <c r="BM1513" i="7"/>
  <c r="BM740" i="7"/>
  <c r="BN740" i="7" s="1"/>
  <c r="BM1498" i="7"/>
  <c r="BN1498" i="7" s="1"/>
  <c r="BM1691" i="7"/>
  <c r="BN1691" i="7" s="1"/>
  <c r="BM1557" i="7"/>
  <c r="BM1771" i="7"/>
  <c r="BM1183" i="7"/>
  <c r="BM1762" i="7"/>
  <c r="BM2118" i="7"/>
  <c r="BM1928" i="7"/>
  <c r="BM2144" i="7"/>
  <c r="BM1922" i="7"/>
  <c r="BM2195" i="7"/>
  <c r="BM2102" i="7"/>
  <c r="BN2102" i="7" s="1"/>
  <c r="BM1335" i="7"/>
  <c r="BN1335" i="7" s="1"/>
  <c r="BM344" i="7"/>
  <c r="BN344" i="7" s="1"/>
  <c r="BM1966" i="7"/>
  <c r="BM2076" i="7"/>
  <c r="BM1861" i="7"/>
  <c r="BM1599" i="7"/>
  <c r="BM2070" i="7"/>
  <c r="BM1964" i="7"/>
  <c r="BM1355" i="7"/>
  <c r="BM220" i="7"/>
  <c r="BM1002" i="7"/>
  <c r="BM1488" i="7"/>
  <c r="BN1488" i="7" s="1"/>
  <c r="BM2026" i="7"/>
  <c r="BN2026" i="7" s="1"/>
  <c r="BM458" i="7"/>
  <c r="BN458" i="7" s="1"/>
  <c r="BM1313" i="7"/>
  <c r="BM222" i="7"/>
  <c r="BM2194" i="7"/>
  <c r="BM1251" i="7"/>
  <c r="BM1823" i="7"/>
  <c r="BM571" i="7"/>
  <c r="BM1245" i="7"/>
  <c r="BM219" i="7"/>
  <c r="BM842" i="7"/>
  <c r="BM1569" i="7"/>
  <c r="BN1569" i="7" s="1"/>
  <c r="BM477" i="7"/>
  <c r="BN477" i="7" s="1"/>
  <c r="BM105" i="7"/>
  <c r="BN105" i="7" s="1"/>
  <c r="BM830" i="7"/>
  <c r="BN830" i="7" s="1"/>
  <c r="BM883" i="7"/>
  <c r="BM130" i="7"/>
  <c r="BM27" i="7"/>
  <c r="BM381" i="7"/>
  <c r="BM538" i="7"/>
  <c r="BM892" i="7"/>
  <c r="BM95" i="7"/>
  <c r="BM2100" i="7"/>
  <c r="BM343" i="7"/>
  <c r="BN343" i="7" s="1"/>
  <c r="BM1986" i="7"/>
  <c r="BN1986" i="7" s="1"/>
  <c r="BM1976" i="7"/>
  <c r="BN1976" i="7" s="1"/>
  <c r="BM2044" i="7"/>
  <c r="BM2127" i="7"/>
  <c r="BM790" i="7"/>
  <c r="BM66" i="7"/>
  <c r="BM1408" i="7"/>
  <c r="BM2256" i="7"/>
  <c r="BM953" i="7"/>
  <c r="BM600" i="7"/>
  <c r="BM1591" i="7"/>
  <c r="BM468" i="7"/>
  <c r="BM1021" i="7"/>
  <c r="BN1021" i="7" s="1"/>
  <c r="BM890" i="7"/>
  <c r="BN890" i="7" s="1"/>
  <c r="BM846" i="7"/>
  <c r="BN846" i="7" s="1"/>
  <c r="BM902" i="7"/>
  <c r="BM2183" i="7"/>
  <c r="BM511" i="7"/>
  <c r="BM177" i="7"/>
  <c r="BM1376" i="7"/>
  <c r="BM392" i="7"/>
  <c r="BM1581" i="7"/>
  <c r="BM2126" i="7"/>
  <c r="BM459" i="7"/>
  <c r="BN459" i="7" s="1"/>
  <c r="BM456" i="7"/>
  <c r="BN456" i="7" s="1"/>
  <c r="BM47" i="7"/>
  <c r="BM1351" i="7"/>
  <c r="BM2261" i="7"/>
  <c r="BN2261" i="7" s="1"/>
  <c r="BM1992" i="7"/>
  <c r="BM531" i="7"/>
  <c r="BM1208" i="7"/>
  <c r="BM1953" i="7"/>
  <c r="BM2081" i="7"/>
  <c r="BM1817" i="7"/>
  <c r="BN1817" i="7" s="1"/>
  <c r="BM1614" i="7"/>
  <c r="BM1006" i="7"/>
  <c r="BN1006" i="7" s="1"/>
  <c r="BM1712" i="7"/>
  <c r="BN1712" i="7" s="1"/>
  <c r="BM524" i="7"/>
  <c r="BN524" i="7" s="1"/>
  <c r="BM363" i="7"/>
  <c r="BM743" i="7"/>
  <c r="BN743" i="7" s="1"/>
  <c r="BM169" i="7"/>
  <c r="BM444" i="7"/>
  <c r="BN444" i="7" s="1"/>
  <c r="BM376" i="7"/>
  <c r="BM450" i="7"/>
  <c r="BM537" i="7"/>
  <c r="BN537" i="7" s="1"/>
  <c r="BM1287" i="7"/>
  <c r="BN1287" i="7" s="1"/>
  <c r="BM1150" i="7"/>
  <c r="BM939" i="7"/>
  <c r="BN939" i="7" s="1"/>
  <c r="BM431" i="7"/>
  <c r="BN431" i="7" s="1"/>
  <c r="BM693" i="7"/>
  <c r="BN693" i="7" s="1"/>
  <c r="BM1538" i="7"/>
  <c r="BM644" i="7"/>
  <c r="BM542" i="7"/>
  <c r="BM1973" i="7"/>
  <c r="BM1952" i="7"/>
  <c r="BM1890" i="7"/>
  <c r="BM1846" i="7"/>
  <c r="BM553" i="7"/>
  <c r="BN553" i="7" s="1"/>
  <c r="BM1300" i="7"/>
  <c r="BM874" i="7"/>
  <c r="BN874" i="7" s="1"/>
  <c r="BM739" i="7"/>
  <c r="BN739" i="7" s="1"/>
  <c r="BM1670" i="7"/>
  <c r="BN1670" i="7" s="1"/>
  <c r="BM1865" i="7"/>
  <c r="BM1410" i="7"/>
  <c r="BN1410" i="7" s="1"/>
  <c r="BM451" i="7"/>
  <c r="BM2179" i="7"/>
  <c r="BN2179" i="7" s="1"/>
  <c r="BM1982" i="7"/>
  <c r="BN1982" i="7" s="1"/>
  <c r="BM1108" i="7"/>
  <c r="BM1981" i="7"/>
  <c r="BM894" i="7"/>
  <c r="BN894" i="7" s="1"/>
  <c r="BM1420" i="7"/>
  <c r="BM1516" i="7"/>
  <c r="BN1516" i="7" s="1"/>
  <c r="BM260" i="7"/>
  <c r="BN260" i="7" s="1"/>
  <c r="BM1170" i="7"/>
  <c r="BN1170" i="7" s="1"/>
  <c r="BM242" i="7"/>
  <c r="BM360" i="7"/>
  <c r="BM385" i="7"/>
  <c r="BM1462" i="7"/>
  <c r="BM1053" i="7"/>
  <c r="BN1053" i="7" s="1"/>
  <c r="BM2273" i="7"/>
  <c r="BM288" i="7"/>
  <c r="BN288" i="7" s="1"/>
  <c r="BM954" i="7"/>
  <c r="BN954" i="7" s="1"/>
  <c r="BM269" i="7"/>
  <c r="BM662" i="7"/>
  <c r="BN662" i="7" s="1"/>
  <c r="BM84" i="7"/>
  <c r="BN84" i="7" s="1"/>
  <c r="BM1418" i="7"/>
  <c r="BN1418" i="7" s="1"/>
  <c r="BM2170" i="7"/>
  <c r="BN2170" i="7" s="1"/>
  <c r="BM69" i="7"/>
  <c r="BM1282" i="7"/>
  <c r="BM1509" i="7"/>
  <c r="BM12" i="7"/>
  <c r="BN12" i="7" s="1"/>
  <c r="BM1838" i="7"/>
  <c r="BM1570" i="7"/>
  <c r="BM862" i="7"/>
  <c r="BN862" i="7" s="1"/>
  <c r="BM145" i="7"/>
  <c r="BN145" i="7" s="1"/>
  <c r="BM654" i="7"/>
  <c r="BN654" i="7" s="1"/>
  <c r="BM912" i="7"/>
  <c r="BN912" i="7" s="1"/>
  <c r="BM2218" i="7"/>
  <c r="BN2218" i="7" s="1"/>
  <c r="BM1616" i="7"/>
  <c r="BM1483" i="7"/>
  <c r="BN1483" i="7" s="1"/>
  <c r="BM474" i="7"/>
  <c r="BM289" i="7"/>
  <c r="BM1562" i="7"/>
  <c r="BN1562" i="7" s="1"/>
  <c r="BM930" i="7"/>
  <c r="BM1708" i="7"/>
  <c r="BM677" i="7"/>
  <c r="BM1272" i="7"/>
  <c r="BN1272" i="7" s="1"/>
  <c r="BM1114" i="7"/>
  <c r="BN1114" i="7" s="1"/>
  <c r="BM1171" i="7"/>
  <c r="BN1171" i="7" s="1"/>
  <c r="BM43" i="7"/>
  <c r="BN43" i="7" s="1"/>
  <c r="BM1680" i="7"/>
  <c r="BM1912" i="7"/>
  <c r="BM1660" i="7"/>
  <c r="BM1320" i="7"/>
  <c r="BM2212" i="7"/>
  <c r="BM1686" i="7"/>
  <c r="BM466" i="7"/>
  <c r="BN466" i="7" s="1"/>
  <c r="BM1312" i="7"/>
  <c r="BM1267" i="7"/>
  <c r="BM1185" i="7"/>
  <c r="BN1185" i="7" s="1"/>
  <c r="BM390" i="7"/>
  <c r="BN390" i="7" s="1"/>
  <c r="BM1931" i="7"/>
  <c r="BN1931" i="7" s="1"/>
  <c r="BM139" i="7"/>
  <c r="BM2108" i="7"/>
  <c r="BM1325" i="7"/>
  <c r="BM2204" i="7"/>
  <c r="BN2204" i="7" s="1"/>
  <c r="BM877" i="7"/>
  <c r="BM1409" i="7"/>
  <c r="BM2117" i="7"/>
  <c r="BM214" i="7"/>
  <c r="BN214" i="7" s="1"/>
  <c r="BM500" i="7"/>
  <c r="BN500" i="7" s="1"/>
  <c r="BM727" i="7"/>
  <c r="BN727" i="7" s="1"/>
  <c r="BM1014" i="7"/>
  <c r="BN1014" i="7" s="1"/>
  <c r="BM1223" i="7"/>
  <c r="BN1223" i="7" s="1"/>
  <c r="BM470" i="7"/>
  <c r="BM386" i="7"/>
  <c r="BM1545" i="7"/>
  <c r="BM2267" i="7"/>
  <c r="BN2267" i="7" s="1"/>
  <c r="BM2034" i="7"/>
  <c r="BM970" i="7"/>
  <c r="BM501" i="7"/>
  <c r="BN501" i="7" s="1"/>
  <c r="BM558" i="7"/>
  <c r="BM1740" i="7"/>
  <c r="BM399" i="7"/>
  <c r="BN399" i="7" s="1"/>
  <c r="BM2110" i="7"/>
  <c r="BN2110" i="7" s="1"/>
  <c r="BM1540" i="7"/>
  <c r="BN1540" i="7" s="1"/>
  <c r="BM1518" i="7"/>
  <c r="BM345" i="7"/>
  <c r="BM934" i="7"/>
  <c r="BM685" i="7"/>
  <c r="BM1580" i="7"/>
  <c r="BM1262" i="7"/>
  <c r="BM2265" i="7"/>
  <c r="BM1444" i="7"/>
  <c r="BM1398" i="7"/>
  <c r="BN1398" i="7" s="1"/>
  <c r="BM1261" i="7"/>
  <c r="BN1261" i="7" s="1"/>
  <c r="BM460" i="7"/>
  <c r="BN460" i="7" s="1"/>
  <c r="BM1145" i="7"/>
  <c r="BN1145" i="7" s="1"/>
  <c r="BM1076" i="7"/>
  <c r="BN1076" i="7" s="1"/>
  <c r="BM1190" i="7"/>
  <c r="BN1190" i="7" s="1"/>
  <c r="BM1590" i="7"/>
  <c r="BM10" i="7"/>
  <c r="BM2098" i="7"/>
  <c r="BM1086" i="7"/>
  <c r="BM1324" i="7"/>
  <c r="BM2071" i="7"/>
  <c r="BN2071" i="7" s="1"/>
  <c r="BM967" i="7"/>
  <c r="BM1937" i="7"/>
  <c r="BN1937" i="7" s="1"/>
  <c r="BM1862" i="7"/>
  <c r="BN1862" i="7" s="1"/>
  <c r="BM2142" i="7"/>
  <c r="BN2142" i="7" s="1"/>
  <c r="BM2217" i="7"/>
  <c r="BM1585" i="7"/>
  <c r="BN1585" i="7" s="1"/>
  <c r="BM2020" i="7"/>
  <c r="BM1120" i="7"/>
  <c r="BM1878" i="7"/>
  <c r="BM848" i="7"/>
  <c r="BM128" i="7"/>
  <c r="BM652" i="7"/>
  <c r="BM372" i="7"/>
  <c r="BN372" i="7" s="1"/>
  <c r="BM1579" i="7"/>
  <c r="BN1579" i="7" s="1"/>
  <c r="BM1098" i="7"/>
  <c r="BN1098" i="7" s="1"/>
  <c r="BM255" i="7"/>
  <c r="BN255" i="7" s="1"/>
  <c r="BM1559" i="7"/>
  <c r="BM1118" i="7"/>
  <c r="BN1118" i="7" s="1"/>
  <c r="BM1260" i="7"/>
  <c r="BM490" i="7"/>
  <c r="BN490" i="7" s="1"/>
  <c r="BM41" i="7"/>
  <c r="BM1055" i="7"/>
  <c r="BM229" i="7"/>
  <c r="BN229" i="7" s="1"/>
  <c r="BM13" i="7"/>
  <c r="BN13" i="7" s="1"/>
  <c r="BM1551" i="7"/>
  <c r="BN1551" i="7" s="1"/>
  <c r="BM919" i="7"/>
  <c r="BN919" i="7" s="1"/>
  <c r="BM646" i="7"/>
  <c r="BN646" i="7" s="1"/>
  <c r="BM1899" i="7"/>
  <c r="BN1899" i="7" s="1"/>
  <c r="BM1741" i="7"/>
  <c r="BM700" i="7"/>
  <c r="BM1189" i="7"/>
  <c r="BM2223" i="7"/>
  <c r="BN2223" i="7" s="1"/>
  <c r="BM2053" i="7"/>
  <c r="BN2053" i="7" s="1"/>
  <c r="BM1703" i="7"/>
  <c r="BM1202" i="7"/>
  <c r="BM802" i="7"/>
  <c r="BM23" i="7"/>
  <c r="BM182" i="7"/>
  <c r="BM173" i="7"/>
  <c r="BM2275" i="7"/>
  <c r="BN2275" i="7" s="1"/>
  <c r="BM1432" i="7"/>
  <c r="BM1162" i="7"/>
  <c r="BN1162" i="7" s="1"/>
  <c r="BM1632" i="7"/>
  <c r="BM665" i="7"/>
  <c r="BM1111" i="7"/>
  <c r="BN1111" i="7" s="1"/>
  <c r="BM2111" i="7"/>
  <c r="BN2111" i="7" s="1"/>
  <c r="BM365" i="7"/>
  <c r="BN365" i="7" s="1"/>
  <c r="BM1934" i="7"/>
  <c r="BN1934" i="7" s="1"/>
  <c r="BM926" i="7"/>
  <c r="BM4" i="7"/>
  <c r="BN4" i="7" s="1"/>
  <c r="BM1470" i="7"/>
  <c r="BN1470" i="7" s="1"/>
  <c r="BM1403" i="7"/>
  <c r="BN1403" i="7" s="1"/>
  <c r="BM1606" i="7"/>
  <c r="BM1008" i="7"/>
  <c r="BM1143" i="7"/>
  <c r="BM935" i="7"/>
  <c r="BM806" i="7"/>
  <c r="BN806" i="7" s="1"/>
  <c r="BM1364" i="7"/>
  <c r="BM2080" i="7"/>
  <c r="BM2277" i="7"/>
  <c r="BM655" i="7"/>
  <c r="BN655" i="7" s="1"/>
  <c r="BM194" i="7"/>
  <c r="BN194" i="7" s="1"/>
  <c r="BM762" i="7"/>
  <c r="BN762" i="7" s="1"/>
  <c r="BM684" i="7"/>
  <c r="BM1757" i="7"/>
  <c r="BM1776" i="7"/>
  <c r="BM1379" i="7"/>
  <c r="BM1700" i="7"/>
  <c r="BM612" i="7"/>
  <c r="BN612" i="7" s="1"/>
  <c r="BM705" i="7"/>
  <c r="BM314" i="7"/>
  <c r="BN314" i="7" s="1"/>
  <c r="BM2153" i="7"/>
  <c r="BM1318" i="7"/>
  <c r="BM734" i="7"/>
  <c r="BN734" i="7" s="1"/>
  <c r="BM1896" i="7"/>
  <c r="BN1896" i="7" s="1"/>
  <c r="BM1627" i="7"/>
  <c r="BN1627" i="7" s="1"/>
  <c r="BM2004" i="7"/>
  <c r="BM407" i="7"/>
  <c r="BM2015" i="7"/>
  <c r="BM241" i="7"/>
  <c r="BN241" i="7" s="1"/>
  <c r="BM2078" i="7"/>
  <c r="BN2078" i="7" s="1"/>
  <c r="BM143" i="7"/>
  <c r="BM1314" i="7"/>
  <c r="BM1751" i="7"/>
  <c r="BM1441" i="7"/>
  <c r="BN1441" i="7" s="1"/>
  <c r="BM274" i="7"/>
  <c r="BN274" i="7" s="1"/>
  <c r="BM2211" i="7"/>
  <c r="BN2211" i="7" s="1"/>
  <c r="BM147" i="7"/>
  <c r="BN147" i="7" s="1"/>
  <c r="BM2239" i="7"/>
  <c r="BN2239" i="7" s="1"/>
  <c r="BM1923" i="7"/>
  <c r="BM793" i="7"/>
  <c r="BN793" i="7" s="1"/>
  <c r="BM29" i="7"/>
  <c r="BM1778" i="7"/>
  <c r="BN1778" i="7" s="1"/>
  <c r="BM1753" i="7"/>
  <c r="BM1296" i="7"/>
  <c r="BM1978" i="7"/>
  <c r="BN1978" i="7" s="1"/>
  <c r="BM120" i="7"/>
  <c r="BN120" i="7" s="1"/>
  <c r="BM1421" i="7"/>
  <c r="BN1421" i="7" s="1"/>
  <c r="BM1460" i="7"/>
  <c r="BN1460" i="7" s="1"/>
  <c r="BM2159" i="7"/>
  <c r="BN2159" i="7" s="1"/>
  <c r="BM504" i="7"/>
  <c r="BM1435" i="7"/>
  <c r="BN1435" i="7" s="1"/>
  <c r="BM1377" i="7"/>
  <c r="BM45" i="7"/>
  <c r="BM184" i="7"/>
  <c r="BM1187" i="7"/>
  <c r="BM1658" i="7"/>
  <c r="BM292" i="7"/>
  <c r="BN292" i="7" s="1"/>
  <c r="BM572" i="7"/>
  <c r="BN572" i="7" s="1"/>
  <c r="BM298" i="7"/>
  <c r="BN298" i="7" s="1"/>
  <c r="BM1115" i="7"/>
  <c r="BN1115" i="7" s="1"/>
  <c r="BM2237" i="7"/>
  <c r="BM1732" i="7"/>
  <c r="BM1702" i="7"/>
  <c r="BM1105" i="7"/>
  <c r="BM1500" i="7"/>
  <c r="BM356" i="7"/>
  <c r="BN356" i="7" s="1"/>
  <c r="BM757" i="7"/>
  <c r="BM758" i="7"/>
  <c r="BM1566" i="7"/>
  <c r="BN1566" i="7" s="1"/>
  <c r="BM1947" i="7"/>
  <c r="BM1787" i="7"/>
  <c r="BN1787" i="7" s="1"/>
  <c r="BM1987" i="7"/>
  <c r="BN1987" i="7" s="1"/>
  <c r="BM2036" i="7"/>
  <c r="BN2036" i="7" s="1"/>
  <c r="BM2276" i="7"/>
  <c r="BM689" i="7"/>
  <c r="BM845" i="7"/>
  <c r="BM2031" i="7"/>
  <c r="BM135" i="7"/>
  <c r="BN135" i="7" s="1"/>
  <c r="BM2061" i="7"/>
  <c r="BM1401" i="7"/>
  <c r="BM1520" i="7"/>
  <c r="BN1520" i="7" s="1"/>
  <c r="BM434" i="7"/>
  <c r="BN434" i="7" s="1"/>
  <c r="BM983" i="7"/>
  <c r="BN983" i="7" s="1"/>
  <c r="BM1037" i="7"/>
  <c r="BN1037" i="7" s="1"/>
  <c r="BM922" i="7"/>
  <c r="BN922" i="7" s="1"/>
  <c r="BM732" i="7"/>
  <c r="BN732" i="7" s="1"/>
  <c r="BM674" i="7"/>
  <c r="BM1019" i="7"/>
  <c r="BM102" i="7"/>
  <c r="BM119" i="7"/>
  <c r="BN119" i="7" s="1"/>
  <c r="BM678" i="7"/>
  <c r="BN678" i="7" s="1"/>
  <c r="BM1888" i="7"/>
  <c r="BM2079" i="7"/>
  <c r="BM2017" i="7"/>
  <c r="BM384" i="7"/>
  <c r="BM1839" i="7"/>
  <c r="BN1839" i="7" s="1"/>
  <c r="BM2074" i="7"/>
  <c r="BN2074" i="7" s="1"/>
  <c r="BM1805" i="7"/>
  <c r="BM1799" i="7"/>
  <c r="BM747" i="7"/>
  <c r="BN747" i="7" s="1"/>
  <c r="BM1090" i="7"/>
  <c r="BM1089" i="7"/>
  <c r="BN1089" i="7" s="1"/>
  <c r="BM2120" i="7"/>
  <c r="BN2120" i="7" s="1"/>
  <c r="BM339" i="7"/>
  <c r="BM975" i="7"/>
  <c r="BN975" i="7" s="1"/>
  <c r="BM2065" i="7"/>
  <c r="BM1853" i="7"/>
  <c r="BN1853" i="7" s="1"/>
  <c r="BM943" i="7"/>
  <c r="BN943" i="7" s="1"/>
  <c r="BM2075" i="7"/>
  <c r="BN2075" i="7" s="1"/>
  <c r="BM1013" i="7"/>
  <c r="BN1013" i="7" s="1"/>
  <c r="BM1342" i="7"/>
  <c r="BN1342" i="7" s="1"/>
  <c r="BM1450" i="7"/>
  <c r="BM1808" i="7"/>
  <c r="BM1955" i="7"/>
  <c r="BN1955" i="7" s="1"/>
  <c r="BM2232" i="7"/>
  <c r="BM457" i="7"/>
  <c r="BN457" i="7" s="1"/>
  <c r="BM656" i="7"/>
  <c r="BN656" i="7" s="1"/>
  <c r="BM2173" i="7"/>
  <c r="BM1079" i="7"/>
  <c r="BN1079" i="7" s="1"/>
  <c r="BM911" i="7"/>
  <c r="BN911" i="7" s="1"/>
  <c r="BM2101" i="7"/>
  <c r="BN2101" i="7" s="1"/>
  <c r="BM923" i="7"/>
  <c r="BN923" i="7" s="1"/>
  <c r="BM682" i="7"/>
  <c r="BM554" i="7"/>
  <c r="BM207" i="7"/>
  <c r="BM436" i="7"/>
  <c r="BN436" i="7" s="1"/>
  <c r="BM1009" i="7"/>
  <c r="BM1727" i="7"/>
  <c r="BM1389" i="7"/>
  <c r="BM2174" i="7"/>
  <c r="BM206" i="7"/>
  <c r="BN206" i="7" s="1"/>
  <c r="BM767" i="7"/>
  <c r="BN767" i="7" s="1"/>
  <c r="BM1368" i="7"/>
  <c r="BN1368" i="7" s="1"/>
  <c r="BM782" i="7"/>
  <c r="BN782" i="7" s="1"/>
  <c r="BM995" i="7"/>
  <c r="BM382" i="7"/>
  <c r="BM1359" i="7"/>
  <c r="BM726" i="7"/>
  <c r="BN726" i="7" s="1"/>
  <c r="BM351" i="7"/>
  <c r="BN351" i="7" s="1"/>
  <c r="BM1252" i="7"/>
  <c r="BM1908" i="7"/>
  <c r="BN1908" i="7" s="1"/>
  <c r="BM2205" i="7"/>
  <c r="BM668" i="7"/>
  <c r="BN668" i="7" s="1"/>
  <c r="BM541" i="7"/>
  <c r="BN541" i="7" s="1"/>
  <c r="BM2059" i="7"/>
  <c r="BN2059" i="7" s="1"/>
  <c r="BM1573" i="7"/>
  <c r="BM325" i="7"/>
  <c r="BM1767" i="7"/>
  <c r="BM1237" i="7"/>
  <c r="BM1443" i="7"/>
  <c r="BN1443" i="7" s="1"/>
  <c r="BM1701" i="7"/>
  <c r="BM2019" i="7"/>
  <c r="BM485" i="7"/>
  <c r="BM606" i="7"/>
  <c r="BN606" i="7" s="1"/>
  <c r="BM1894" i="7"/>
  <c r="BN1894" i="7" s="1"/>
  <c r="BM1297" i="7"/>
  <c r="BN1297" i="7" s="1"/>
  <c r="BM1110" i="7"/>
  <c r="BN1110" i="7" s="1"/>
  <c r="BM1302" i="7"/>
  <c r="BM1959" i="7"/>
  <c r="BM163" i="7"/>
  <c r="BM1546" i="7"/>
  <c r="BM2103" i="7"/>
  <c r="BN2103" i="7" s="1"/>
  <c r="BM717" i="7"/>
  <c r="BM46" i="7"/>
  <c r="BM87" i="7"/>
  <c r="BN87" i="7" s="1"/>
  <c r="BM1192" i="7"/>
  <c r="BN1192" i="7" s="1"/>
  <c r="BM1793" i="7"/>
  <c r="BN1793" i="7" s="1"/>
  <c r="BM49" i="7"/>
  <c r="BN49" i="7" s="1"/>
  <c r="BM1726" i="7"/>
  <c r="BN1726" i="7" s="1"/>
  <c r="BM731" i="7"/>
  <c r="BN731" i="7" s="1"/>
  <c r="BM244" i="7"/>
  <c r="BM1352" i="7"/>
  <c r="BM1984" i="7"/>
  <c r="BM2182" i="7"/>
  <c r="BN2182" i="7" s="1"/>
  <c r="BM1357" i="7"/>
  <c r="BM1102" i="7"/>
  <c r="BM608" i="7"/>
  <c r="BM262" i="7"/>
  <c r="BM1950" i="7"/>
  <c r="BN1950" i="7" s="1"/>
  <c r="BM101" i="7"/>
  <c r="BN101" i="7" s="1"/>
  <c r="BM1956" i="7"/>
  <c r="BN1956" i="7" s="1"/>
  <c r="BM1465" i="7"/>
  <c r="BM65" i="7"/>
  <c r="BM482" i="7"/>
  <c r="BM1945" i="7"/>
  <c r="BM2260" i="7"/>
  <c r="BN2260" i="7" s="1"/>
  <c r="BM1400" i="7"/>
  <c r="BM1777" i="7"/>
  <c r="BM706" i="7"/>
  <c r="BN706" i="7" s="1"/>
  <c r="BM2148" i="7"/>
  <c r="BM1298" i="7"/>
  <c r="BN1298" i="7" s="1"/>
  <c r="BM1667" i="7"/>
  <c r="BN1667" i="7" s="1"/>
  <c r="BM398" i="7"/>
  <c r="BN398" i="7" s="1"/>
  <c r="BM1834" i="7"/>
  <c r="BM859" i="7"/>
  <c r="BM1755" i="7"/>
  <c r="BM651" i="7"/>
  <c r="BM1586" i="7"/>
  <c r="BN1586" i="7" s="1"/>
  <c r="BM1786" i="7"/>
  <c r="BM378" i="7"/>
  <c r="BN378" i="7" s="1"/>
  <c r="BM913" i="7"/>
  <c r="BM1436" i="7"/>
  <c r="BN1436" i="7" s="1"/>
  <c r="BM463" i="7"/>
  <c r="BN463" i="7" s="1"/>
  <c r="BM1439" i="7"/>
  <c r="BN1439" i="7" s="1"/>
  <c r="BM6" i="7"/>
  <c r="BN6" i="7" s="1"/>
  <c r="BM1476" i="7"/>
  <c r="BM1738" i="7"/>
  <c r="BM586" i="7"/>
  <c r="BM225" i="7"/>
  <c r="BM2259" i="7"/>
  <c r="BN2259" i="7" s="1"/>
  <c r="BM860" i="7"/>
  <c r="BM844" i="7"/>
  <c r="BM884" i="7"/>
  <c r="BM2209" i="7"/>
  <c r="BM1174" i="7"/>
  <c r="BN1174" i="7" s="1"/>
  <c r="BM974" i="7"/>
  <c r="BN974" i="7" s="1"/>
  <c r="BM2122" i="7"/>
  <c r="BM2206" i="7"/>
  <c r="BN2206" i="7" s="1"/>
  <c r="BM1747" i="7"/>
  <c r="BM2042" i="7"/>
  <c r="BM1619" i="7"/>
  <c r="BM440" i="7"/>
  <c r="BM364" i="7"/>
  <c r="BN364" i="7" s="1"/>
  <c r="BM1303" i="7"/>
  <c r="BM1661" i="7"/>
  <c r="BN1661" i="7" s="1"/>
  <c r="BM613" i="7"/>
  <c r="BN613" i="7" s="1"/>
  <c r="BM1160" i="7"/>
  <c r="BN1160" i="7" s="1"/>
  <c r="BM1921" i="7"/>
  <c r="BN1921" i="7" s="1"/>
  <c r="BM1548" i="7"/>
  <c r="BN1548" i="7" s="1"/>
  <c r="BM570" i="7"/>
  <c r="BM167" i="7"/>
  <c r="BM1423" i="7"/>
  <c r="BM1469" i="7"/>
  <c r="BM701" i="7"/>
  <c r="BN701" i="7" s="1"/>
  <c r="BM2231" i="7"/>
  <c r="BM965" i="7"/>
  <c r="BM1396" i="7"/>
  <c r="BM1929" i="7"/>
  <c r="BM1437" i="7"/>
  <c r="BN1437" i="7" s="1"/>
  <c r="BM1880" i="7"/>
  <c r="BN1880" i="7" s="1"/>
  <c r="BM1433" i="7"/>
  <c r="BN1433" i="7" s="1"/>
  <c r="BM736" i="7"/>
  <c r="BN736" i="7" s="1"/>
  <c r="BM675" i="7"/>
  <c r="BM1067" i="7"/>
  <c r="BN1067" i="7" s="1"/>
  <c r="BM1612" i="7"/>
  <c r="BM695" i="7"/>
  <c r="BN695" i="7" s="1"/>
  <c r="BM1905" i="7"/>
  <c r="BM1528" i="7"/>
  <c r="BM1958" i="7"/>
  <c r="BN1958" i="7" s="1"/>
  <c r="BM670" i="7"/>
  <c r="BM628" i="7"/>
  <c r="BN628" i="7" s="1"/>
  <c r="BM144" i="7"/>
  <c r="BN144" i="7" s="1"/>
  <c r="BM1774" i="7"/>
  <c r="BN1774" i="7" s="1"/>
  <c r="BM1310" i="7"/>
  <c r="BM1454" i="7"/>
  <c r="BN1454" i="7" s="1"/>
  <c r="BM1998" i="7"/>
  <c r="BM1721" i="7"/>
  <c r="BM2018" i="7"/>
  <c r="BM2216" i="7"/>
  <c r="BN2216" i="7" s="1"/>
  <c r="BM2077" i="7"/>
  <c r="BM1059" i="7"/>
  <c r="BM2091" i="7"/>
  <c r="BM1175" i="7"/>
  <c r="BN1175" i="7" s="1"/>
  <c r="BM1985" i="7"/>
  <c r="BN1985" i="7" s="1"/>
  <c r="BM1798" i="7"/>
  <c r="BN1798" i="7" s="1"/>
  <c r="BM1131" i="7"/>
  <c r="BN1131" i="7" s="1"/>
  <c r="BM910" i="7"/>
  <c r="BM649" i="7"/>
  <c r="BM1941" i="7"/>
  <c r="BM1561" i="7"/>
  <c r="BM377" i="7"/>
  <c r="BN377" i="7" s="1"/>
  <c r="BM1484" i="7"/>
  <c r="BM1962" i="7"/>
  <c r="BM448" i="7"/>
  <c r="BN448" i="7" s="1"/>
  <c r="BM1127" i="7"/>
  <c r="BN1127" i="7" s="1"/>
  <c r="BM408" i="7"/>
  <c r="BM783" i="7"/>
  <c r="BN783" i="7" s="1"/>
  <c r="BM488" i="7"/>
  <c r="BM1481" i="7"/>
  <c r="BN1481" i="7" s="1"/>
  <c r="BM658" i="7"/>
  <c r="BM1069" i="7"/>
  <c r="BM1695" i="7"/>
  <c r="BN1695" i="7" s="1"/>
  <c r="BM1876" i="7"/>
  <c r="BM826" i="7"/>
  <c r="BM1345" i="7"/>
  <c r="BM1723" i="7"/>
  <c r="BM154" i="7"/>
  <c r="BM993" i="7"/>
  <c r="BN993" i="7" s="1"/>
  <c r="BM1882" i="7"/>
  <c r="BN1882" i="7" s="1"/>
  <c r="BM856" i="7"/>
  <c r="BN856" i="7" s="1"/>
  <c r="BM2140" i="7"/>
  <c r="BM1935" i="7"/>
  <c r="BM253" i="7"/>
  <c r="BM1678" i="7"/>
  <c r="BM430" i="7"/>
  <c r="BM602" i="7"/>
  <c r="BM2185" i="7"/>
  <c r="BM1148" i="7"/>
  <c r="BM1919" i="7"/>
  <c r="BN1919" i="7" s="1"/>
  <c r="BM548" i="7"/>
  <c r="BN548" i="7" s="1"/>
  <c r="BM161" i="7"/>
  <c r="BM236" i="7"/>
  <c r="BM316" i="7"/>
  <c r="BM663" i="7"/>
  <c r="BM2213" i="7"/>
  <c r="BN2213" i="7" s="1"/>
  <c r="BM2033" i="7"/>
  <c r="BN2033" i="7" s="1"/>
  <c r="BM1669" i="7"/>
  <c r="BM374" i="7"/>
  <c r="BM1215" i="7"/>
  <c r="BM141" i="7"/>
  <c r="BN141" i="7" s="1"/>
  <c r="BM1236" i="7"/>
  <c r="BN1236" i="7" s="1"/>
  <c r="BM1719" i="7"/>
  <c r="BN1719" i="7" s="1"/>
  <c r="BM1716" i="7"/>
  <c r="BN1716" i="7" s="1"/>
  <c r="BM2221" i="7"/>
  <c r="BM2123" i="7"/>
  <c r="BM932" i="7"/>
  <c r="BM18" i="7"/>
  <c r="BM1523" i="7"/>
  <c r="BM546" i="7"/>
  <c r="BM843" i="7"/>
  <c r="BM2165" i="7"/>
  <c r="BM347" i="7"/>
  <c r="BM1971" i="7"/>
  <c r="BN1971" i="7" s="1"/>
  <c r="BM427" i="7"/>
  <c r="BM1858" i="7"/>
  <c r="BN1858" i="7" s="1"/>
  <c r="BM703" i="7"/>
  <c r="BM1883" i="7"/>
  <c r="BM1100" i="7"/>
  <c r="BM1887" i="7"/>
  <c r="BM1836" i="7"/>
  <c r="BM549" i="7"/>
  <c r="BM1061" i="7"/>
  <c r="BM1197" i="7"/>
  <c r="BM710" i="7"/>
  <c r="BN710" i="7" s="1"/>
  <c r="BM1016" i="7"/>
  <c r="BN1016" i="7" s="1"/>
  <c r="BM1571" i="7"/>
  <c r="BN1571" i="7" s="1"/>
  <c r="BM1575" i="7"/>
  <c r="BN1575" i="7" s="1"/>
  <c r="BM78" i="7"/>
  <c r="BM1763" i="7"/>
  <c r="BM1725" i="7"/>
  <c r="BM1083" i="7"/>
  <c r="BM449" i="7"/>
  <c r="BN449" i="7" s="1"/>
  <c r="BM1620" i="7"/>
  <c r="BM1517" i="7"/>
  <c r="BM191" i="7"/>
  <c r="BN191" i="7" s="1"/>
  <c r="BM1553" i="7"/>
  <c r="BM1820" i="7"/>
  <c r="BN1820" i="7" s="1"/>
  <c r="BM1182" i="7"/>
  <c r="BN1182" i="7" s="1"/>
  <c r="BM2058" i="7"/>
  <c r="BN2058" i="7" s="1"/>
  <c r="BM1047" i="7"/>
  <c r="BN1047" i="7" s="1"/>
  <c r="BM320" i="7"/>
  <c r="BM1113" i="7"/>
  <c r="BM349" i="7"/>
  <c r="BM1234" i="7"/>
  <c r="BN1234" i="7" s="1"/>
  <c r="BM1688" i="7"/>
  <c r="BM1231" i="7"/>
  <c r="BM2069" i="7"/>
  <c r="BN2069" i="7" s="1"/>
  <c r="BM851" i="7"/>
  <c r="BM1153" i="7"/>
  <c r="BN1153" i="7" s="1"/>
  <c r="BM1731" i="7"/>
  <c r="BN1731" i="7" s="1"/>
  <c r="BM2040" i="7"/>
  <c r="BN2040" i="7" s="1"/>
  <c r="BM479" i="7"/>
  <c r="BM754" i="7"/>
  <c r="BM585" i="7"/>
  <c r="BM1784" i="7"/>
  <c r="BM589" i="7"/>
  <c r="BM257" i="7"/>
  <c r="BN257" i="7" s="1"/>
  <c r="BM61" i="7"/>
  <c r="BM20" i="7"/>
  <c r="BN20" i="7" s="1"/>
  <c r="BM250" i="7"/>
  <c r="BM2238" i="7"/>
  <c r="BN2238" i="7" s="1"/>
  <c r="BM2107" i="7"/>
  <c r="BN2107" i="7" s="1"/>
  <c r="BM2105" i="7"/>
  <c r="BM335" i="7"/>
  <c r="BM1039" i="7"/>
  <c r="BM1292" i="7"/>
  <c r="BM2003" i="7"/>
  <c r="BM1541" i="7"/>
  <c r="BM338" i="7"/>
  <c r="BN338" i="7" s="1"/>
  <c r="BM110" i="7"/>
  <c r="BM152" i="7"/>
  <c r="BM809" i="7"/>
  <c r="BM1176" i="7"/>
  <c r="BN1176" i="7" s="1"/>
  <c r="BM1760" i="7"/>
  <c r="BN1760" i="7" s="1"/>
  <c r="BM1694" i="7"/>
  <c r="BN1694" i="7" s="1"/>
  <c r="BM1492" i="7"/>
  <c r="BM1752" i="7"/>
  <c r="BM825" i="7"/>
  <c r="BM1522" i="7"/>
  <c r="BM424" i="7"/>
  <c r="BM1406" i="7"/>
  <c r="BM291" i="7"/>
  <c r="BM493" i="7"/>
  <c r="BM878" i="7"/>
  <c r="BM1258" i="7"/>
  <c r="BN1258" i="7" s="1"/>
  <c r="BM1810" i="7"/>
  <c r="BN1810" i="7" s="1"/>
  <c r="BM905" i="7"/>
  <c r="BN905" i="7" s="1"/>
  <c r="BM819" i="7"/>
  <c r="BN819" i="7" s="1"/>
  <c r="BM1873" i="7"/>
  <c r="BM841" i="7"/>
  <c r="BM181" i="7"/>
  <c r="BM166" i="7"/>
  <c r="BM1256" i="7"/>
  <c r="BM2282" i="7"/>
  <c r="BM824" i="7"/>
  <c r="BM296" i="7"/>
  <c r="BM1807" i="7"/>
  <c r="BN1807" i="7" s="1"/>
  <c r="BM880" i="7"/>
  <c r="BN880" i="7" s="1"/>
  <c r="BM151" i="7"/>
  <c r="BN151" i="7" s="1"/>
  <c r="BM1172" i="7"/>
  <c r="BM1085" i="7"/>
  <c r="BM714" i="7"/>
  <c r="BM2266" i="7"/>
  <c r="BN2266" i="7" s="1"/>
  <c r="BM294" i="7"/>
  <c r="BN294" i="7" s="1"/>
  <c r="BM42" i="7"/>
  <c r="BM2002" i="7"/>
  <c r="BM722" i="7"/>
  <c r="BM987" i="7"/>
  <c r="BM202" i="7"/>
  <c r="BM752" i="7"/>
  <c r="BN752" i="7" s="1"/>
  <c r="BM1434" i="7"/>
  <c r="BN1434" i="7" s="1"/>
  <c r="BM1611" i="7"/>
  <c r="BM251" i="7"/>
  <c r="BM2048" i="7"/>
  <c r="BM126" i="7"/>
  <c r="BM1577" i="7"/>
  <c r="BN1577" i="7" s="1"/>
  <c r="BM2269" i="7"/>
  <c r="BM951" i="7"/>
  <c r="BM1466" i="7"/>
  <c r="BM1073" i="7"/>
  <c r="BM1532" i="7"/>
  <c r="BN1532" i="7" s="1"/>
  <c r="BM1250" i="7"/>
  <c r="BN1250" i="7" s="1"/>
  <c r="BM455" i="7"/>
  <c r="BN455" i="7" s="1"/>
  <c r="BM1232" i="7"/>
  <c r="BM1269" i="7"/>
  <c r="BN1269" i="7" s="1"/>
  <c r="BM1647" i="7"/>
  <c r="BM1902" i="7"/>
  <c r="BM871" i="7"/>
  <c r="BN871" i="7" s="1"/>
  <c r="BM133" i="7"/>
  <c r="BM921" i="7"/>
  <c r="BM475" i="7"/>
  <c r="BM1975" i="7"/>
  <c r="BM172" i="7"/>
  <c r="BM512" i="7"/>
  <c r="BN512" i="7" s="1"/>
  <c r="BM811" i="7"/>
  <c r="BN811" i="7" s="1"/>
  <c r="BM159" i="7"/>
  <c r="BM208" i="7"/>
  <c r="BM2133" i="7"/>
  <c r="BM794" i="7"/>
  <c r="BM815" i="7"/>
  <c r="BN815" i="7" s="1"/>
  <c r="BM37" i="7"/>
  <c r="BM348" i="7"/>
  <c r="BM1305" i="7"/>
  <c r="BM1178" i="7"/>
  <c r="BM263" i="7"/>
  <c r="BN263" i="7" s="1"/>
  <c r="BM2060" i="7"/>
  <c r="BN2060" i="7" s="1"/>
  <c r="BM1901" i="7"/>
  <c r="BN1901" i="7" s="1"/>
  <c r="BM2109" i="7"/>
  <c r="BM232" i="7"/>
  <c r="BM77" i="7"/>
  <c r="BM1542" i="7"/>
  <c r="BM2149" i="7"/>
  <c r="BN2149" i="7" s="1"/>
  <c r="BM387" i="7"/>
  <c r="BM1254" i="7"/>
  <c r="BM2011" i="7"/>
  <c r="BM261" i="7"/>
  <c r="BM1968" i="7"/>
  <c r="BN1968" i="7" s="1"/>
  <c r="BM1811" i="7"/>
  <c r="BN1811" i="7" s="1"/>
  <c r="BM178" i="7"/>
  <c r="BM1201" i="7"/>
  <c r="BM265" i="7"/>
  <c r="BM1624" i="7"/>
  <c r="BM1848" i="7"/>
  <c r="BM1487" i="7"/>
  <c r="BM536" i="7"/>
  <c r="BM2222" i="7"/>
  <c r="BM647" i="7"/>
  <c r="BM624" i="7"/>
  <c r="BN624" i="7" s="1"/>
  <c r="BM275" i="7"/>
  <c r="BN275" i="7" s="1"/>
  <c r="BM199" i="7"/>
  <c r="BN199" i="7" s="1"/>
  <c r="BM1101" i="7"/>
  <c r="BN1101" i="7" s="1"/>
  <c r="BM93" i="7"/>
  <c r="BM2247" i="7"/>
  <c r="BN2247" i="7" s="1"/>
  <c r="BM563" i="7"/>
  <c r="BM1737" i="7"/>
  <c r="BM2264" i="7"/>
  <c r="BN2264" i="7" s="1"/>
  <c r="BM2249" i="7"/>
  <c r="BM1029" i="7"/>
  <c r="BM979" i="7"/>
  <c r="BM2037" i="7"/>
  <c r="BM268" i="7"/>
  <c r="BN268" i="7" s="1"/>
  <c r="BM106" i="7"/>
  <c r="BN106" i="7" s="1"/>
  <c r="BM1199" i="7"/>
  <c r="BN1199" i="7" s="1"/>
  <c r="BM1333" i="7"/>
  <c r="BM1247" i="7"/>
  <c r="BM280" i="7"/>
  <c r="BM1266" i="7"/>
  <c r="BM803" i="7"/>
  <c r="BN803" i="7" s="1"/>
  <c r="BM54" i="7"/>
  <c r="BM1587" i="7"/>
  <c r="BM784" i="7"/>
  <c r="BM226" i="7"/>
  <c r="BM1239" i="7"/>
  <c r="BN1239" i="7" s="1"/>
  <c r="BM1194" i="7"/>
  <c r="BN1194" i="7" s="1"/>
  <c r="BM742" i="7"/>
  <c r="BN742" i="7" s="1"/>
  <c r="BM401" i="7"/>
  <c r="BM1323" i="7"/>
  <c r="BM1393" i="7"/>
  <c r="BM989" i="7"/>
  <c r="BM2013" i="7"/>
  <c r="BN2013" i="7" s="1"/>
  <c r="BM899" i="7"/>
  <c r="BM73" i="7"/>
  <c r="BM254" i="7"/>
  <c r="BN254" i="7" s="1"/>
  <c r="BM545" i="7"/>
  <c r="BM969" i="7"/>
  <c r="BN969" i="7" s="1"/>
  <c r="BM1349" i="7"/>
  <c r="BN1349" i="7" s="1"/>
  <c r="BM1938" i="7"/>
  <c r="BN1938" i="7" s="1"/>
  <c r="BM697" i="7"/>
  <c r="BM1824" i="7"/>
  <c r="BM1414" i="7"/>
  <c r="BM334" i="7"/>
  <c r="BM447" i="7"/>
  <c r="BM807" i="7"/>
  <c r="BM413" i="7"/>
  <c r="BN413" i="7" s="1"/>
  <c r="BM103" i="7"/>
  <c r="BM938" i="7"/>
  <c r="BM789" i="7"/>
  <c r="BN789" i="7" s="1"/>
  <c r="BM1991" i="7"/>
  <c r="BN1991" i="7" s="1"/>
  <c r="BM552" i="7"/>
  <c r="BN552" i="7" s="1"/>
  <c r="BM481" i="7"/>
  <c r="BM446" i="7"/>
  <c r="BM764" i="7"/>
  <c r="BM1502" i="7"/>
  <c r="BM1684" i="7"/>
  <c r="BM617" i="7"/>
  <c r="BM1020" i="7"/>
  <c r="BM988" i="7"/>
  <c r="BM2035" i="7"/>
  <c r="BM306" i="7"/>
  <c r="BN306" i="7" s="1"/>
  <c r="BM508" i="7"/>
  <c r="BN508" i="7" s="1"/>
  <c r="BM2280" i="7"/>
  <c r="BN2280" i="7" s="1"/>
  <c r="BM369" i="7"/>
  <c r="BM785" i="7"/>
  <c r="BM1920" i="7"/>
  <c r="BM1827" i="7"/>
  <c r="BM212" i="7"/>
  <c r="BM2050" i="7"/>
  <c r="BM109" i="7"/>
  <c r="BM104" i="7"/>
  <c r="BM428" i="7"/>
  <c r="BN428" i="7" s="1"/>
  <c r="BM80" i="7"/>
  <c r="BN80" i="7" s="1"/>
  <c r="BM1714" i="7"/>
  <c r="BN1714" i="7" s="1"/>
  <c r="BM936" i="7"/>
  <c r="BN936" i="7" s="1"/>
  <c r="BM1449" i="7"/>
  <c r="BM723" i="7"/>
  <c r="BM547" i="7"/>
  <c r="BM876" i="7"/>
  <c r="BM1471" i="7"/>
  <c r="BM2038" i="7"/>
  <c r="BM441" i="7"/>
  <c r="BN441" i="7" s="1"/>
  <c r="BM1356" i="7"/>
  <c r="BM753" i="7"/>
  <c r="BM330" i="7"/>
  <c r="BM1673" i="7"/>
  <c r="BN1673" i="7" s="1"/>
  <c r="BM907" i="7"/>
  <c r="BN907" i="7" s="1"/>
  <c r="BM489" i="7"/>
  <c r="BM849" i="7"/>
  <c r="BM1005" i="7"/>
  <c r="BM295" i="7"/>
  <c r="BM414" i="7"/>
  <c r="BM1181" i="7"/>
  <c r="BM32" i="7"/>
  <c r="BM1653" i="7"/>
  <c r="BM1264" i="7"/>
  <c r="BM1995" i="7"/>
  <c r="BN1995" i="7" s="1"/>
  <c r="BM1378" i="7"/>
  <c r="BN1378" i="7" s="1"/>
  <c r="BM615" i="7"/>
  <c r="BN615" i="7" s="1"/>
  <c r="BM1886" i="7"/>
  <c r="BM203" i="7"/>
  <c r="BM797" i="7"/>
  <c r="BM1404" i="7"/>
  <c r="BM83" i="7"/>
  <c r="BM1630" i="7"/>
  <c r="BM1859" i="7"/>
  <c r="BM1844" i="7"/>
  <c r="BN1844" i="7" s="1"/>
  <c r="BM1139" i="7"/>
  <c r="BM2084" i="7"/>
  <c r="BN2084" i="7" s="1"/>
  <c r="BM1949" i="7"/>
  <c r="BN1949" i="7" s="1"/>
  <c r="BM2063" i="7"/>
  <c r="BM991" i="7"/>
  <c r="BN991" i="7" s="1"/>
  <c r="BM1963" i="7"/>
  <c r="BM2270" i="7"/>
  <c r="BM36" i="7"/>
  <c r="BM1212" i="7"/>
  <c r="BM1206" i="7"/>
  <c r="BM81" i="7"/>
  <c r="BM1405" i="7"/>
  <c r="BM1482" i="7"/>
  <c r="BM1026" i="7"/>
  <c r="BN1026" i="7" s="1"/>
  <c r="BM1243" i="7"/>
  <c r="BN1243" i="7" s="1"/>
  <c r="BM2095" i="7"/>
  <c r="BN2095" i="7" s="1"/>
  <c r="BM591" i="7"/>
  <c r="BM1367" i="7"/>
  <c r="BN1367" i="7" s="1"/>
  <c r="BM75" i="7"/>
  <c r="BM333" i="7"/>
  <c r="BM1770" i="7"/>
  <c r="BM755" i="7"/>
  <c r="BM1944" i="7"/>
  <c r="BM1286" i="7"/>
  <c r="BM2186" i="7"/>
  <c r="BM1058" i="7"/>
  <c r="BN1058" i="7" s="1"/>
  <c r="BM506" i="7"/>
  <c r="BN506" i="7" s="1"/>
  <c r="BM223" i="7"/>
  <c r="BN223" i="7" s="1"/>
  <c r="BM898" i="7"/>
  <c r="BN898" i="7" s="1"/>
  <c r="BM1609" i="7"/>
  <c r="BM1074" i="7"/>
  <c r="BM1809" i="7"/>
  <c r="BM125" i="7"/>
  <c r="BM947" i="7"/>
  <c r="BM1301" i="7"/>
  <c r="BM150" i="7"/>
  <c r="BM1698" i="7"/>
  <c r="BM1815" i="7"/>
  <c r="BN1815" i="7" s="1"/>
  <c r="BM650" i="7"/>
  <c r="BN650" i="7" s="1"/>
  <c r="BM1184" i="7"/>
  <c r="BN1184" i="7" s="1"/>
  <c r="BM1497" i="7"/>
  <c r="BM625" i="7"/>
  <c r="BM1676" i="7"/>
  <c r="BM437" i="7"/>
  <c r="BM1592" i="7"/>
  <c r="BM1533" i="7"/>
  <c r="BM1724" i="7"/>
  <c r="BM1095" i="7"/>
  <c r="BM596" i="7"/>
  <c r="BN596" i="7" s="1"/>
  <c r="BM909" i="7"/>
  <c r="BN909" i="7" s="1"/>
  <c r="BM702" i="7"/>
  <c r="BN702" i="7" s="1"/>
  <c r="BM1340" i="7"/>
  <c r="BN1340" i="7" s="1"/>
  <c r="BM2236" i="7"/>
  <c r="BM187" i="7"/>
  <c r="BM1146" i="7"/>
  <c r="BM1665" i="7"/>
  <c r="BM121" i="7"/>
  <c r="BM367" i="7"/>
  <c r="BM315" i="7"/>
  <c r="BM645" i="7"/>
  <c r="BM770" i="7"/>
  <c r="BM1411" i="7"/>
  <c r="BN1411" i="7" s="1"/>
  <c r="BM1084" i="7"/>
  <c r="BN1084" i="7" s="1"/>
  <c r="BM1860" i="7"/>
  <c r="BN1860" i="7" s="1"/>
  <c r="BM1138" i="7"/>
  <c r="BN1138" i="7" s="1"/>
  <c r="BM201" i="7"/>
  <c r="BM1315" i="7"/>
  <c r="BM1664" i="7"/>
  <c r="BM1507" i="7"/>
  <c r="BM1271" i="7"/>
  <c r="BM282" i="7"/>
  <c r="BM55" i="7"/>
  <c r="BM881" i="7"/>
  <c r="BM198" i="7"/>
  <c r="BN198" i="7" s="1"/>
  <c r="BM278" i="7"/>
  <c r="BN278" i="7" s="1"/>
  <c r="BM643" i="7"/>
  <c r="BN643" i="7" s="1"/>
  <c r="BM583" i="7"/>
  <c r="BM1204" i="7"/>
  <c r="BN1204" i="7" s="1"/>
  <c r="BM1707" i="7"/>
  <c r="BM1510" i="7"/>
  <c r="BM409" i="7"/>
  <c r="BM2008" i="7"/>
  <c r="BM827" i="7"/>
  <c r="BM2025" i="7"/>
  <c r="BN2025" i="7" s="1"/>
  <c r="BM672" i="7"/>
  <c r="BN672" i="7" s="1"/>
  <c r="BM509" i="7"/>
  <c r="BN509" i="7" s="1"/>
  <c r="BM155" i="7"/>
  <c r="BM1188" i="7"/>
  <c r="BN1188" i="7" s="1"/>
  <c r="BM422" i="7"/>
  <c r="BM2187" i="7"/>
  <c r="BM1123" i="7"/>
  <c r="BM2032" i="7"/>
  <c r="BM60" i="7"/>
  <c r="BM1496" i="7"/>
  <c r="BM2198" i="7"/>
  <c r="BM882" i="7"/>
  <c r="BM1718" i="7"/>
  <c r="BM132" i="7"/>
  <c r="BN132" i="7" s="1"/>
  <c r="BM593" i="7"/>
  <c r="BN593" i="7" s="1"/>
  <c r="BM1350" i="7"/>
  <c r="BN1350" i="7" s="1"/>
  <c r="BM217" i="7"/>
  <c r="BM1140" i="7"/>
  <c r="BN1140" i="7" s="1"/>
  <c r="BM1390" i="7"/>
  <c r="BM1075" i="7"/>
  <c r="BM25" i="7"/>
  <c r="BN25" i="7" s="1"/>
  <c r="BM2041" i="7"/>
  <c r="BM1451" i="7"/>
  <c r="BM361" i="7"/>
  <c r="BN361" i="7" s="1"/>
  <c r="BM2064" i="7"/>
  <c r="BM1881" i="7"/>
  <c r="BN1881" i="7" s="1"/>
  <c r="BM657" i="7"/>
  <c r="BN657" i="7" s="1"/>
  <c r="BM346" i="7"/>
  <c r="BN346" i="7" s="1"/>
  <c r="BM604" i="7"/>
  <c r="BM1209" i="7"/>
  <c r="BN1209" i="7" s="1"/>
  <c r="BM273" i="7"/>
  <c r="BN273" i="7" s="1"/>
  <c r="BM421" i="7"/>
  <c r="BM1651" i="7"/>
  <c r="BN1651" i="7" s="1"/>
  <c r="BM2225" i="7"/>
  <c r="BN2225" i="7" s="1"/>
  <c r="BM976" i="7"/>
  <c r="BM1050" i="7"/>
  <c r="BN1050" i="7" s="1"/>
  <c r="BM200" i="7"/>
  <c r="BM1506" i="7"/>
  <c r="BN1506" i="7" s="1"/>
  <c r="BM134" i="7"/>
  <c r="BN134" i="7" s="1"/>
  <c r="BM2228" i="7"/>
  <c r="BN2228" i="7" s="1"/>
  <c r="BM107" i="7"/>
  <c r="BM598" i="7"/>
  <c r="BN598" i="7" s="1"/>
  <c r="BM858" i="7"/>
  <c r="BN858" i="7" s="1"/>
  <c r="BM609" i="7"/>
  <c r="BM1512" i="7"/>
  <c r="BN1512" i="7" s="1"/>
  <c r="BM946" i="7"/>
  <c r="BM895" i="7"/>
  <c r="BN895" i="7" s="1"/>
  <c r="BM800" i="7"/>
  <c r="BN800" i="7" s="1"/>
  <c r="BM582" i="7"/>
  <c r="BN582" i="7" s="1"/>
  <c r="BM1871" i="7"/>
  <c r="BN1871" i="7" s="1"/>
  <c r="BM2162" i="7"/>
  <c r="BN2162" i="7" s="1"/>
  <c r="BM1672" i="7"/>
  <c r="BN1672" i="7" s="1"/>
  <c r="BM2014" i="7"/>
  <c r="BM476" i="7"/>
  <c r="BM1117" i="7"/>
  <c r="BM610" i="7"/>
  <c r="BM16" i="7"/>
  <c r="BN16" i="7" s="1"/>
  <c r="BM1417" i="7"/>
  <c r="BM149" i="7"/>
  <c r="BN149" i="7" s="1"/>
  <c r="BM776" i="7"/>
  <c r="BN776" i="7" s="1"/>
  <c r="BM1759" i="7"/>
  <c r="BM1536" i="7"/>
  <c r="BN1536" i="7" s="1"/>
  <c r="BM513" i="7"/>
  <c r="BN513" i="7" s="1"/>
  <c r="BM621" i="7"/>
  <c r="BN621" i="7" s="1"/>
  <c r="BM1574" i="7"/>
  <c r="BM1918" i="7"/>
  <c r="BM114" i="7"/>
  <c r="BM1717" i="7"/>
  <c r="BM590" i="7"/>
  <c r="BN590" i="7" s="1"/>
  <c r="BM2210" i="7"/>
  <c r="BN2210" i="7" s="1"/>
  <c r="BM2119" i="7"/>
  <c r="BN2119" i="7" s="1"/>
  <c r="BM1007" i="7"/>
  <c r="BN1007" i="7" s="1"/>
  <c r="BM792" i="7"/>
  <c r="BM2255" i="7"/>
  <c r="BN2255" i="7" s="1"/>
  <c r="BM186" i="7"/>
  <c r="BM972" i="7"/>
  <c r="BN972" i="7" s="1"/>
  <c r="BM146" i="7"/>
  <c r="BM1078" i="7"/>
  <c r="BN1078" i="7" s="1"/>
  <c r="BM771" i="7"/>
  <c r="BM996" i="7"/>
  <c r="BM1308" i="7"/>
  <c r="BN1308" i="7" s="1"/>
  <c r="BM249" i="7"/>
  <c r="BN249" i="7" s="1"/>
  <c r="BM2200" i="7"/>
  <c r="BM2152" i="7"/>
  <c r="BN2152" i="7" s="1"/>
  <c r="BM1891" i="7"/>
  <c r="BM1025" i="7"/>
  <c r="BN1025" i="7" s="1"/>
  <c r="BM1729" i="7"/>
  <c r="BN1729" i="7" s="1"/>
  <c r="BM2073" i="7"/>
  <c r="BN2073" i="7" s="1"/>
  <c r="BM507" i="7"/>
  <c r="BM664" i="7"/>
  <c r="BN664" i="7" s="1"/>
  <c r="BM984" i="7"/>
  <c r="BM17" i="7"/>
  <c r="BM303" i="7"/>
  <c r="BN303" i="7" s="1"/>
  <c r="BM1994" i="7"/>
  <c r="BM383" i="7"/>
  <c r="BM559" i="7"/>
  <c r="BN559" i="7" s="1"/>
  <c r="BM1051" i="7"/>
  <c r="BM156" i="7"/>
  <c r="BM1766" i="7"/>
  <c r="BN1766" i="7" s="1"/>
  <c r="BM1347" i="7"/>
  <c r="BN1347" i="7" s="1"/>
  <c r="BM994" i="7"/>
  <c r="BN994" i="7" s="1"/>
  <c r="BM237" i="7"/>
  <c r="BM2214" i="7"/>
  <c r="BN2214" i="7" s="1"/>
  <c r="BM2134" i="7"/>
  <c r="BN2134" i="7" s="1"/>
  <c r="BM1868" i="7"/>
  <c r="BN1868" i="7" s="1"/>
  <c r="BM124" i="7"/>
  <c r="BM1306" i="7"/>
  <c r="BM1222" i="7"/>
  <c r="BM113" i="7"/>
  <c r="BN113" i="7" s="1"/>
  <c r="BM498" i="7"/>
  <c r="BN498" i="7" s="1"/>
  <c r="BM230" i="7"/>
  <c r="BN230" i="7" s="1"/>
  <c r="BM640" i="7"/>
  <c r="BN640" i="7" s="1"/>
  <c r="BM2202" i="7"/>
  <c r="BM813" i="7"/>
  <c r="BN813" i="7" s="1"/>
  <c r="BM1679" i="7"/>
  <c r="BM1970" i="7"/>
  <c r="BM1604" i="7"/>
  <c r="BN1604" i="7" s="1"/>
  <c r="BM1999" i="7"/>
  <c r="BM875" i="7"/>
  <c r="BN875" i="7" s="1"/>
  <c r="BM565" i="7"/>
  <c r="BN565" i="7" s="1"/>
  <c r="BM24" i="7"/>
  <c r="BN24" i="7" s="1"/>
  <c r="BM487" i="7"/>
  <c r="BN487" i="7" s="1"/>
  <c r="BM2049" i="7"/>
  <c r="BN2049" i="7" s="1"/>
  <c r="BM1028" i="7"/>
  <c r="BN1028" i="7" s="1"/>
  <c r="BM340" i="7"/>
  <c r="BM1235" i="7"/>
  <c r="BN1235" i="7" s="1"/>
  <c r="BM532" i="7"/>
  <c r="BM707" i="7"/>
  <c r="BM1080" i="7"/>
  <c r="BN1080" i="7" s="1"/>
  <c r="BM1621" i="7"/>
  <c r="BM896" i="7"/>
  <c r="BM1900" i="7"/>
  <c r="BN1900" i="7" s="1"/>
  <c r="BM454" i="7"/>
  <c r="BN454" i="7" s="1"/>
  <c r="BM914" i="7"/>
  <c r="BN914" i="7" s="1"/>
  <c r="BM1913" i="7"/>
  <c r="BN1913" i="7" s="1"/>
  <c r="BM1617" i="7"/>
  <c r="BN1617" i="7" s="1"/>
  <c r="BM1576" i="7"/>
  <c r="BM2281" i="7"/>
  <c r="BN2281" i="7" s="1"/>
  <c r="BM1552" i="7"/>
  <c r="BM1274" i="7"/>
  <c r="BM368" i="7"/>
  <c r="BN368" i="7" s="1"/>
  <c r="BM772" i="7"/>
  <c r="BM879" i="7"/>
  <c r="BM1169" i="7"/>
  <c r="BM423" i="7"/>
  <c r="BN423" i="7" s="1"/>
  <c r="BM1828" i="7"/>
  <c r="BN1828" i="7" s="1"/>
  <c r="BM1365" i="7"/>
  <c r="BN1365" i="7" s="1"/>
  <c r="BM1332" i="7"/>
  <c r="BN1332" i="7" s="1"/>
  <c r="BM480" i="7"/>
  <c r="BM312" i="7"/>
  <c r="BM1056" i="7"/>
  <c r="BM1852" i="7"/>
  <c r="BM1940" i="7"/>
  <c r="BN1940" i="7" s="1"/>
  <c r="BM2094" i="7"/>
  <c r="BM2278" i="7"/>
  <c r="BM313" i="7"/>
  <c r="BN313" i="7" s="1"/>
  <c r="BM774" i="7"/>
  <c r="BM968" i="7"/>
  <c r="BN968" i="7" s="1"/>
  <c r="BM1791" i="7"/>
  <c r="BN1791" i="7" s="1"/>
  <c r="BM2138" i="7"/>
  <c r="BN2138" i="7" s="1"/>
  <c r="BM1010" i="7"/>
  <c r="BN1010" i="7" s="1"/>
  <c r="BM982" i="7"/>
  <c r="BM1179" i="7"/>
  <c r="BM616" i="7"/>
  <c r="BN616" i="7" s="1"/>
  <c r="BM635" i="7"/>
  <c r="BN635" i="7" s="1"/>
  <c r="BM1034" i="7"/>
  <c r="BM2248" i="7"/>
  <c r="BM1863" i="7"/>
  <c r="BN1863" i="7" s="1"/>
  <c r="BM1933" i="7"/>
  <c r="BM721" i="7"/>
  <c r="BN721" i="7" s="1"/>
  <c r="BM183" i="7"/>
  <c r="BM1736" i="7"/>
  <c r="BN1736" i="7" s="1"/>
  <c r="BM1395" i="7"/>
  <c r="BN1395" i="7" s="1"/>
  <c r="BM388" i="7"/>
  <c r="BM1685" i="7"/>
  <c r="BM1035" i="7"/>
  <c r="BM1572" i="7"/>
  <c r="BN1572" i="7" s="1"/>
  <c r="BM560" i="7"/>
  <c r="BN560" i="7" s="1"/>
  <c r="BM1156" i="7"/>
  <c r="BM1107" i="7"/>
  <c r="BN1107" i="7" s="1"/>
  <c r="BM857" i="7"/>
  <c r="BM1957" i="7"/>
  <c r="BN1957" i="7" s="1"/>
  <c r="BM1478" i="7"/>
  <c r="BN1478" i="7" s="1"/>
  <c r="BM1486" i="7"/>
  <c r="BN1486" i="7" s="1"/>
  <c r="BM1099" i="7"/>
  <c r="BN1099" i="7" s="1"/>
  <c r="BM724" i="7"/>
  <c r="BM744" i="7"/>
  <c r="BM1996" i="7"/>
  <c r="BM990" i="7"/>
  <c r="BN990" i="7" s="1"/>
  <c r="BM1063" i="7"/>
  <c r="BM1610" i="7"/>
  <c r="BN1610" i="7" s="1"/>
  <c r="BM574" i="7"/>
  <c r="BN574" i="7" s="1"/>
  <c r="BM174" i="7"/>
  <c r="BM1595" i="7"/>
  <c r="BN1595" i="7" s="1"/>
  <c r="BM1284" i="7"/>
  <c r="BN1284" i="7" s="1"/>
  <c r="BM211" i="7"/>
  <c r="BN211" i="7" s="1"/>
  <c r="BM131" i="7"/>
  <c r="BM2234" i="7"/>
  <c r="BN2234" i="7" s="1"/>
  <c r="BM1743" i="7"/>
  <c r="BM14" i="7"/>
  <c r="BM592" i="7"/>
  <c r="BN592" i="7" s="1"/>
  <c r="BM1015" i="7"/>
  <c r="BM35" i="7"/>
  <c r="BM355" i="7"/>
  <c r="BN355" i="7" s="1"/>
  <c r="BM1077" i="7"/>
  <c r="BM1285" i="7"/>
  <c r="BN1285" i="7" s="1"/>
  <c r="BM1091" i="7"/>
  <c r="BN1091" i="7" s="1"/>
  <c r="BM1265" i="7"/>
  <c r="BN1265" i="7" s="1"/>
  <c r="BM2242" i="7"/>
  <c r="BN2242" i="7" s="1"/>
  <c r="BM1042" i="7"/>
  <c r="BN1042" i="7" s="1"/>
  <c r="BM7" i="7"/>
  <c r="BM350" i="7"/>
  <c r="BM2139" i="7"/>
  <c r="BN2139" i="7" s="1"/>
  <c r="BM1764" i="7"/>
  <c r="BM1384" i="7"/>
  <c r="BN1384" i="7" s="1"/>
  <c r="BM1897" i="7"/>
  <c r="BN1897" i="7" s="1"/>
  <c r="BM2241" i="7"/>
  <c r="BM573" i="7"/>
  <c r="BN573" i="7" s="1"/>
  <c r="BM868" i="7"/>
  <c r="BN868" i="7" s="1"/>
  <c r="BM1191" i="7"/>
  <c r="BN1191" i="7" s="1"/>
  <c r="BM1087" i="7"/>
  <c r="BN1087" i="7" s="1"/>
  <c r="BM751" i="7"/>
  <c r="BN751" i="7" s="1"/>
  <c r="BM1689" i="7"/>
  <c r="BM1531" i="7"/>
  <c r="BM1327" i="7"/>
  <c r="BN1327" i="7" s="1"/>
  <c r="BM1713" i="7"/>
  <c r="BM1445" i="7"/>
  <c r="BN1445" i="7" s="1"/>
  <c r="BM526" i="7"/>
  <c r="BN526" i="7" s="1"/>
  <c r="BM2190" i="7"/>
  <c r="BM893" i="7"/>
  <c r="BN893" i="7" s="1"/>
  <c r="BM2156" i="7"/>
  <c r="BN2156" i="7" s="1"/>
  <c r="BM1884" i="7"/>
  <c r="BN1884" i="7" s="1"/>
  <c r="BM185" i="7"/>
  <c r="BM164" i="7"/>
  <c r="BM1939" i="7"/>
  <c r="BM1082" i="7"/>
  <c r="BM1696" i="7"/>
  <c r="BN1696" i="7" s="1"/>
  <c r="BM1137" i="7"/>
  <c r="BM1875" i="7"/>
  <c r="BN1875" i="7" s="1"/>
  <c r="BM472" i="7"/>
  <c r="BN472" i="7" s="1"/>
  <c r="BM321" i="7"/>
  <c r="BM40" i="7"/>
  <c r="BM1965" i="7"/>
  <c r="BN1965" i="7" s="1"/>
  <c r="BM1547" i="7"/>
  <c r="BN1547" i="7" s="1"/>
  <c r="BM630" i="7"/>
  <c r="BM2096" i="7"/>
  <c r="BM1543" i="7"/>
  <c r="BM823" i="7"/>
  <c r="BM1835" i="7"/>
  <c r="BN1835" i="7" s="1"/>
  <c r="BM2166" i="7"/>
  <c r="BN2166" i="7" s="1"/>
  <c r="BM148" i="7"/>
  <c r="BN148" i="7" s="1"/>
  <c r="BM1464" i="7"/>
  <c r="BM1048" i="7"/>
  <c r="BM756" i="7"/>
  <c r="BN756" i="7" s="1"/>
  <c r="BM283" i="7"/>
  <c r="BN283" i="7" s="1"/>
  <c r="BM1096" i="7"/>
  <c r="BN1096" i="7" s="1"/>
  <c r="BM1734" i="7"/>
  <c r="BM1687" i="7"/>
  <c r="BM1060" i="7"/>
  <c r="BM1773" i="7"/>
  <c r="BM59" i="7"/>
  <c r="BN59" i="7" s="1"/>
  <c r="BM439" i="7"/>
  <c r="BM1768" i="7"/>
  <c r="BM266" i="7"/>
  <c r="BN266" i="7" s="1"/>
  <c r="BM1948" i="7"/>
  <c r="BM2169" i="7"/>
  <c r="BN2169" i="7" s="1"/>
  <c r="BM836" i="7"/>
  <c r="BN836" i="7" s="1"/>
  <c r="BM2043" i="7"/>
  <c r="BN2043" i="7" s="1"/>
  <c r="BM828" i="7"/>
  <c r="BN828" i="7" s="1"/>
  <c r="BM1319" i="7"/>
  <c r="BN1319" i="7" s="1"/>
  <c r="BM519" i="7"/>
  <c r="BM112" i="7"/>
  <c r="BM576" i="7"/>
  <c r="BN576" i="7" s="1"/>
  <c r="BM1210" i="7"/>
  <c r="BM100" i="7"/>
  <c r="BN100" i="7" s="1"/>
  <c r="BM2016" i="7"/>
  <c r="BN2016" i="7" s="1"/>
  <c r="BM1826" i="7"/>
  <c r="BM840" i="7"/>
  <c r="BN840" i="7" s="1"/>
  <c r="BM690" i="7"/>
  <c r="BN690" i="7" s="1"/>
  <c r="BM544" i="7"/>
  <c r="BN544" i="7" s="1"/>
  <c r="BM2268" i="7"/>
  <c r="BN2268" i="7" s="1"/>
  <c r="BM71" i="7"/>
  <c r="BM958" i="7"/>
  <c r="BN958" i="7" s="1"/>
  <c r="BM1213" i="7"/>
  <c r="BM471" i="7"/>
  <c r="BN471" i="7" s="1"/>
  <c r="BM759" i="7"/>
  <c r="BM1354" i="7"/>
  <c r="BM1895" i="7"/>
  <c r="BN1895" i="7" s="1"/>
  <c r="BM417" i="7"/>
  <c r="BN417" i="7" s="1"/>
  <c r="BM122" i="7"/>
  <c r="BN122" i="7" s="1"/>
  <c r="BM1337" i="7"/>
  <c r="BN1337" i="7" s="1"/>
  <c r="BM1854" i="7"/>
  <c r="BN1854" i="7" s="1"/>
  <c r="BM738" i="7"/>
  <c r="BN738" i="7" s="1"/>
  <c r="BM1924" i="7"/>
  <c r="BM1331" i="7"/>
  <c r="BM293" i="7"/>
  <c r="BM2062" i="7"/>
  <c r="BN2062" i="7" s="1"/>
  <c r="BM1628" i="7"/>
  <c r="BM973" i="7"/>
  <c r="BM952" i="7"/>
  <c r="BM353" i="7"/>
  <c r="BM799" i="7"/>
  <c r="BN799" i="7" s="1"/>
  <c r="BM850" i="7"/>
  <c r="BN850" i="7" s="1"/>
  <c r="BM33" i="7"/>
  <c r="BM578" i="7"/>
  <c r="BM2141" i="7"/>
  <c r="BM1872" i="7"/>
  <c r="BM853" i="7"/>
  <c r="BM1283" i="7"/>
  <c r="BN1283" i="7" s="1"/>
  <c r="BM1372" i="7"/>
  <c r="BM1818" i="7"/>
  <c r="BM1909" i="7"/>
  <c r="BM129" i="7"/>
  <c r="BN129" i="7" s="1"/>
  <c r="BM157" i="7"/>
  <c r="BM653" i="7"/>
  <c r="BN653" i="7" s="1"/>
  <c r="BM780" i="7"/>
  <c r="BN780" i="7" s="1"/>
  <c r="BM2028" i="7"/>
  <c r="BM270" i="7"/>
  <c r="BM1366" i="7"/>
  <c r="BM854" i="7"/>
  <c r="BM2137" i="7"/>
  <c r="BN2137" i="7" s="1"/>
  <c r="BM28" i="7"/>
  <c r="BM787" i="7"/>
  <c r="BM577" i="7"/>
  <c r="BN577" i="7" s="1"/>
  <c r="BM79" i="7"/>
  <c r="BN79" i="7" s="1"/>
  <c r="BM2097" i="7"/>
  <c r="BN2097" i="7" s="1"/>
  <c r="BM1812" i="7"/>
  <c r="BN1812" i="7" s="1"/>
  <c r="BM1012" i="7"/>
  <c r="BN1012" i="7" s="1"/>
  <c r="BM769" i="7"/>
  <c r="BN769" i="7" s="1"/>
  <c r="BM1960" i="7"/>
  <c r="BM1565" i="7"/>
  <c r="BM1489" i="7"/>
  <c r="BM775" i="7"/>
  <c r="BN775" i="7" s="1"/>
  <c r="BM108" i="7"/>
  <c r="BM165" i="7"/>
  <c r="BM1715" i="7"/>
  <c r="BN1715" i="7" s="1"/>
  <c r="BM118" i="7"/>
  <c r="BN118" i="7" s="1"/>
  <c r="BM2052" i="7"/>
  <c r="BN2052" i="7" s="1"/>
  <c r="BM680" i="7"/>
  <c r="BN680" i="7" s="1"/>
  <c r="BM1936" i="7"/>
  <c r="BN1936" i="7" s="1"/>
  <c r="BM900" i="7"/>
  <c r="BN900" i="7" s="1"/>
  <c r="BM400" i="7"/>
  <c r="BM473" i="7"/>
  <c r="BM1525" i="7"/>
  <c r="BM38" i="7"/>
  <c r="BM370" i="7"/>
  <c r="BM1448" i="7"/>
  <c r="BM986" i="7"/>
  <c r="BN986" i="7" s="1"/>
  <c r="BM1783" i="7"/>
  <c r="BM1081" i="7"/>
  <c r="BN1081" i="7" s="1"/>
  <c r="BM1065" i="7"/>
  <c r="BN1065" i="7" s="1"/>
  <c r="BM74" i="7"/>
  <c r="BN74" i="7" s="1"/>
  <c r="BM712" i="7"/>
  <c r="BM550" i="7"/>
  <c r="BM1775" i="7"/>
  <c r="BM1728" i="7"/>
  <c r="BM614" i="7"/>
  <c r="BN614" i="7" s="1"/>
  <c r="BM704" i="7"/>
  <c r="BM127" i="7"/>
  <c r="BM1819" i="7"/>
  <c r="BN1819" i="7" s="1"/>
  <c r="BM1806" i="7"/>
  <c r="BM264" i="7"/>
  <c r="BN264" i="7" s="1"/>
  <c r="BM521" i="7"/>
  <c r="BN521" i="7" s="1"/>
  <c r="BM1730" i="7"/>
  <c r="BN1730" i="7" s="1"/>
  <c r="BM1455" i="7"/>
  <c r="BM213" i="7"/>
  <c r="BM1158" i="7"/>
  <c r="BN1158" i="7" s="1"/>
  <c r="BM1735" i="7"/>
  <c r="BM1157" i="7"/>
  <c r="BM699" i="7"/>
  <c r="BM34" i="7"/>
  <c r="BM948" i="7"/>
  <c r="BM140" i="7"/>
  <c r="BN140" i="7" s="1"/>
  <c r="BM821" i="7"/>
  <c r="BN821" i="7" s="1"/>
  <c r="BM478" i="7"/>
  <c r="BN478" i="7" s="1"/>
  <c r="BM189" i="7"/>
  <c r="BN189" i="7" s="1"/>
  <c r="BM686" i="7"/>
  <c r="BM530" i="7"/>
  <c r="BM1121" i="7"/>
  <c r="BN1121" i="7" s="1"/>
  <c r="BM2113" i="7"/>
  <c r="BN2113" i="7" s="1"/>
  <c r="BM597" i="7"/>
  <c r="BM863" i="7"/>
  <c r="BM1415" i="7"/>
  <c r="BM76" i="7"/>
  <c r="BN76" i="7" s="1"/>
  <c r="BM116" i="7"/>
  <c r="BM1582" i="7"/>
  <c r="BN1582" i="7" s="1"/>
  <c r="BM814" i="7"/>
  <c r="BN814" i="7" s="1"/>
  <c r="BM1224" i="7"/>
  <c r="BN1224" i="7" s="1"/>
  <c r="BM2180" i="7"/>
  <c r="BN2180" i="7" s="1"/>
  <c r="BM19" i="7"/>
  <c r="BM1133" i="7"/>
  <c r="BM2030" i="7"/>
  <c r="BM1756" i="7"/>
  <c r="BM94" i="7"/>
  <c r="BM1711" i="7"/>
  <c r="BM1654" i="7"/>
  <c r="BN1654" i="7" s="1"/>
  <c r="BM1874" i="7"/>
  <c r="BM216" i="7"/>
  <c r="BM713" i="7"/>
  <c r="BN713" i="7" s="1"/>
  <c r="BM696" i="7"/>
  <c r="BN696" i="7" s="1"/>
  <c r="BM833" i="7"/>
  <c r="BN833" i="7" s="1"/>
  <c r="BM805" i="7"/>
  <c r="BM2150" i="7"/>
  <c r="BM637" i="7"/>
  <c r="BM1722" i="7"/>
  <c r="BN1722" i="7" s="1"/>
  <c r="BM418" i="7"/>
  <c r="BM215" i="7"/>
  <c r="BM908" i="7"/>
  <c r="BM1622" i="7"/>
  <c r="BN1622" i="7" s="1"/>
  <c r="BM1277" i="7"/>
  <c r="BN1277" i="7" s="1"/>
  <c r="BM822" i="7"/>
  <c r="BN822" i="7" s="1"/>
  <c r="BM620" i="7"/>
  <c r="BN620" i="7" s="1"/>
  <c r="BM1458" i="7"/>
  <c r="BM354" i="7"/>
  <c r="BM158" i="7"/>
  <c r="BM168" i="7"/>
  <c r="BM240" i="7"/>
  <c r="BN240" i="7" s="1"/>
  <c r="BM1911" i="7"/>
  <c r="BM1030" i="7"/>
  <c r="BM2176" i="7"/>
  <c r="BM221" i="7"/>
  <c r="CR251" i="1"/>
  <c r="CS251" i="1" s="1"/>
  <c r="CU251" i="1" s="1"/>
  <c r="CX251" i="1" s="1"/>
  <c r="CR35" i="1"/>
  <c r="CS35" i="1" s="1"/>
  <c r="CU35" i="1" s="1"/>
  <c r="CX35" i="1" s="1"/>
  <c r="CR60" i="1"/>
  <c r="CS60" i="1" s="1"/>
  <c r="CU60" i="1" s="1"/>
  <c r="CW60" i="1" s="1"/>
  <c r="CZ60" i="1" s="1"/>
  <c r="CR255" i="1"/>
  <c r="CS255" i="1" s="1"/>
  <c r="CU255" i="1" s="1"/>
  <c r="CR249" i="1"/>
  <c r="CS249" i="1" s="1"/>
  <c r="CU249" i="1" s="1"/>
  <c r="CX249" i="1" s="1"/>
  <c r="CR195" i="1"/>
  <c r="CS195" i="1" s="1"/>
  <c r="CU195" i="1" s="1"/>
  <c r="CX195" i="1" s="1"/>
  <c r="CR19" i="1"/>
  <c r="CS19" i="1" s="1"/>
  <c r="CU19" i="1" s="1"/>
  <c r="CR238" i="1"/>
  <c r="CS238" i="1" s="1"/>
  <c r="CR51" i="1"/>
  <c r="CS51" i="1" s="1"/>
  <c r="CU51" i="1" s="1"/>
  <c r="CX51" i="1" s="1"/>
  <c r="CR55" i="1"/>
  <c r="CS55" i="1" s="1"/>
  <c r="CU55" i="1" s="1"/>
  <c r="CW55" i="1" s="1"/>
  <c r="CI147" i="1"/>
  <c r="CK147" i="1" s="1"/>
  <c r="CR50" i="1"/>
  <c r="CS50" i="1" s="1"/>
  <c r="CU50" i="1" s="1"/>
  <c r="CX50" i="1" s="1"/>
  <c r="CV83" i="1"/>
  <c r="CY83" i="1" s="1"/>
  <c r="CR260" i="1"/>
  <c r="CS260" i="1" s="1"/>
  <c r="CU260" i="1" s="1"/>
  <c r="CX260" i="1" s="1"/>
  <c r="CR202" i="1"/>
  <c r="CS202" i="1" s="1"/>
  <c r="CU202" i="1" s="1"/>
  <c r="CW202" i="1" s="1"/>
  <c r="CZ202" i="1" s="1"/>
  <c r="CR113" i="1"/>
  <c r="CS113" i="1" s="1"/>
  <c r="CU113" i="1" s="1"/>
  <c r="CR169" i="1"/>
  <c r="CS169" i="1" s="1"/>
  <c r="CU169" i="1" s="1"/>
  <c r="CX169" i="1" s="1"/>
  <c r="CR301" i="1"/>
  <c r="CS301" i="1" s="1"/>
  <c r="CU301" i="1" s="1"/>
  <c r="CX301" i="1" s="1"/>
  <c r="CR211" i="1"/>
  <c r="CS211" i="1" s="1"/>
  <c r="CR257" i="1"/>
  <c r="CS257" i="1" s="1"/>
  <c r="CR295" i="1"/>
  <c r="CS295" i="1" s="1"/>
  <c r="CU295" i="1" s="1"/>
  <c r="CX295" i="1" s="1"/>
  <c r="CR283" i="1"/>
  <c r="CS283" i="1" s="1"/>
  <c r="CU283" i="1" s="1"/>
  <c r="CX283" i="1" s="1"/>
  <c r="CR48" i="1"/>
  <c r="CS48" i="1" s="1"/>
  <c r="CU48" i="1" s="1"/>
  <c r="CX48" i="1" s="1"/>
  <c r="CR133" i="1"/>
  <c r="CS133" i="1" s="1"/>
  <c r="CU133" i="1" s="1"/>
  <c r="CW133" i="1" s="1"/>
  <c r="CZ133" i="1" s="1"/>
  <c r="CV8" i="1"/>
  <c r="CY8" i="1" s="1"/>
  <c r="CR233" i="1"/>
  <c r="CS233" i="1" s="1"/>
  <c r="CU233" i="1" s="1"/>
  <c r="CR144" i="1"/>
  <c r="CS144" i="1" s="1"/>
  <c r="CU144" i="1" s="1"/>
  <c r="CX144" i="1" s="1"/>
  <c r="CR17" i="1"/>
  <c r="CS17" i="1" s="1"/>
  <c r="CU17" i="1" s="1"/>
  <c r="CR164" i="1"/>
  <c r="CS164" i="1" s="1"/>
  <c r="CU164" i="1" s="1"/>
  <c r="CX164" i="1" s="1"/>
  <c r="CR28" i="1"/>
  <c r="CS28" i="1" s="1"/>
  <c r="CU28" i="1" s="1"/>
  <c r="CX28" i="1" s="1"/>
  <c r="CR152" i="1"/>
  <c r="CS152" i="1" s="1"/>
  <c r="CU152" i="1" s="1"/>
  <c r="CW152" i="1" s="1"/>
  <c r="DA152" i="1" s="1"/>
  <c r="CR235" i="1"/>
  <c r="CS235" i="1" s="1"/>
  <c r="CU235" i="1" s="1"/>
  <c r="CX235" i="1" s="1"/>
  <c r="CR8" i="1"/>
  <c r="CS8" i="1" s="1"/>
  <c r="CU8" i="1" s="1"/>
  <c r="CX8" i="1" s="1"/>
  <c r="CV302" i="1"/>
  <c r="CY302" i="1" s="1"/>
  <c r="CR139" i="1"/>
  <c r="CS139" i="1" s="1"/>
  <c r="CU139" i="1" s="1"/>
  <c r="CW139" i="1" s="1"/>
  <c r="CV243" i="1"/>
  <c r="CY243" i="1" s="1"/>
  <c r="CV288" i="1"/>
  <c r="CY288" i="1" s="1"/>
  <c r="CR302" i="1"/>
  <c r="CS302" i="1" s="1"/>
  <c r="CU302" i="1" s="1"/>
  <c r="CX302" i="1" s="1"/>
  <c r="CR188" i="1"/>
  <c r="CS188" i="1" s="1"/>
  <c r="CU188" i="1" s="1"/>
  <c r="CW21" i="1"/>
  <c r="CZ21" i="1" s="1"/>
  <c r="CR131" i="1"/>
  <c r="CS131" i="1" s="1"/>
  <c r="CU131" i="1" s="1"/>
  <c r="CW131" i="1" s="1"/>
  <c r="CR166" i="1"/>
  <c r="CS166" i="1" s="1"/>
  <c r="CU166" i="1" s="1"/>
  <c r="CW166" i="1" s="1"/>
  <c r="CZ166" i="1" s="1"/>
  <c r="CR217" i="1"/>
  <c r="CS217" i="1" s="1"/>
  <c r="CU217" i="1" s="1"/>
  <c r="CR157" i="1"/>
  <c r="CS157" i="1" s="1"/>
  <c r="CU157" i="1" s="1"/>
  <c r="CR200" i="1"/>
  <c r="CS200" i="1" s="1"/>
  <c r="CR22" i="1"/>
  <c r="CS22" i="1" s="1"/>
  <c r="CU22" i="1" s="1"/>
  <c r="CW22" i="1" s="1"/>
  <c r="CZ22" i="1" s="1"/>
  <c r="CR244" i="1"/>
  <c r="CS244" i="1" s="1"/>
  <c r="CU244" i="1" s="1"/>
  <c r="CW244" i="1" s="1"/>
  <c r="CZ244" i="1" s="1"/>
  <c r="CR193" i="1"/>
  <c r="CS193" i="1" s="1"/>
  <c r="CU193" i="1" s="1"/>
  <c r="CX193" i="1" s="1"/>
  <c r="CR263" i="1"/>
  <c r="CS263" i="1" s="1"/>
  <c r="CU263" i="1" s="1"/>
  <c r="CR182" i="1"/>
  <c r="CS182" i="1" s="1"/>
  <c r="CU182" i="1" s="1"/>
  <c r="CX182" i="1" s="1"/>
  <c r="CR181" i="1"/>
  <c r="CS181" i="1" s="1"/>
  <c r="CR273" i="1"/>
  <c r="CS273" i="1" s="1"/>
  <c r="CU273" i="1" s="1"/>
  <c r="CR138" i="1"/>
  <c r="CS138" i="1" s="1"/>
  <c r="CU138" i="1" s="1"/>
  <c r="CX138" i="1" s="1"/>
  <c r="CR185" i="1"/>
  <c r="CS185" i="1" s="1"/>
  <c r="CU185" i="1" s="1"/>
  <c r="CW185" i="1" s="1"/>
  <c r="CZ185" i="1" s="1"/>
  <c r="CR198" i="1"/>
  <c r="CS198" i="1" s="1"/>
  <c r="CU198" i="1" s="1"/>
  <c r="CX198" i="1" s="1"/>
  <c r="CR307" i="1"/>
  <c r="CS307" i="1" s="1"/>
  <c r="CU307" i="1" s="1"/>
  <c r="CR215" i="1"/>
  <c r="CS215" i="1" s="1"/>
  <c r="CU215" i="1" s="1"/>
  <c r="CW215" i="1" s="1"/>
  <c r="CZ215" i="1" s="1"/>
  <c r="CR94" i="1"/>
  <c r="CS94" i="1" s="1"/>
  <c r="CU94" i="1" s="1"/>
  <c r="CX94" i="1" s="1"/>
  <c r="CR209" i="1"/>
  <c r="CS209" i="1" s="1"/>
  <c r="CU209" i="1" s="1"/>
  <c r="CX209" i="1" s="1"/>
  <c r="CR282" i="1"/>
  <c r="CS282" i="1" s="1"/>
  <c r="CU282" i="1" s="1"/>
  <c r="CX282" i="1" s="1"/>
  <c r="CR145" i="1"/>
  <c r="CS145" i="1" s="1"/>
  <c r="CU145" i="1" s="1"/>
  <c r="CX145" i="1" s="1"/>
  <c r="CR125" i="1"/>
  <c r="CS125" i="1" s="1"/>
  <c r="CU125" i="1" s="1"/>
  <c r="CX125" i="1" s="1"/>
  <c r="CR100" i="1"/>
  <c r="CS100" i="1" s="1"/>
  <c r="CU100" i="1" s="1"/>
  <c r="CR49" i="1"/>
  <c r="CS49" i="1" s="1"/>
  <c r="CU49" i="1" s="1"/>
  <c r="CW49" i="1" s="1"/>
  <c r="CZ49" i="1" s="1"/>
  <c r="CR204" i="1"/>
  <c r="CS204" i="1" s="1"/>
  <c r="CU204" i="1" s="1"/>
  <c r="CR156" i="1"/>
  <c r="CS156" i="1" s="1"/>
  <c r="CU156" i="1" s="1"/>
  <c r="CX156" i="1" s="1"/>
  <c r="CR42" i="1"/>
  <c r="CS42" i="1" s="1"/>
  <c r="CU42" i="1" s="1"/>
  <c r="CW42" i="1" s="1"/>
  <c r="CR47" i="1"/>
  <c r="CS47" i="1" s="1"/>
  <c r="CU47" i="1" s="1"/>
  <c r="CW47" i="1" s="1"/>
  <c r="DA47" i="1" s="1"/>
  <c r="CR29" i="1"/>
  <c r="CS29" i="1" s="1"/>
  <c r="CU29" i="1" s="1"/>
  <c r="CR2" i="1"/>
  <c r="CS2" i="1" s="1"/>
  <c r="CU2" i="1" s="1"/>
  <c r="CW2" i="1" s="1"/>
  <c r="CR24" i="1"/>
  <c r="CS24" i="1" s="1"/>
  <c r="CU24" i="1" s="1"/>
  <c r="CW24" i="1" s="1"/>
  <c r="F9" i="9"/>
  <c r="F7" i="9"/>
  <c r="BE76" i="8"/>
  <c r="CR116" i="1"/>
  <c r="CS116" i="1" s="1"/>
  <c r="CU116" i="1" s="1"/>
  <c r="CX116" i="1" s="1"/>
  <c r="CR239" i="1"/>
  <c r="CS239" i="1" s="1"/>
  <c r="CU239" i="1" s="1"/>
  <c r="CX239" i="1" s="1"/>
  <c r="CR66" i="1"/>
  <c r="CS66" i="1" s="1"/>
  <c r="CU66" i="1" s="1"/>
  <c r="CX66" i="1" s="1"/>
  <c r="CR104" i="1"/>
  <c r="CS104" i="1" s="1"/>
  <c r="CU104" i="1" s="1"/>
  <c r="CX104" i="1" s="1"/>
  <c r="CR186" i="1"/>
  <c r="CS186" i="1" s="1"/>
  <c r="CU186" i="1" s="1"/>
  <c r="CW186" i="1" s="1"/>
  <c r="CZ186" i="1" s="1"/>
  <c r="CR190" i="1"/>
  <c r="CS190" i="1" s="1"/>
  <c r="CU190" i="1" s="1"/>
  <c r="CX190" i="1" s="1"/>
  <c r="CR3" i="1"/>
  <c r="CS3" i="1" s="1"/>
  <c r="CU3" i="1" s="1"/>
  <c r="CR173" i="1"/>
  <c r="CS173" i="1" s="1"/>
  <c r="CU173" i="1" s="1"/>
  <c r="CX173" i="1" s="1"/>
  <c r="CR225" i="1"/>
  <c r="CS225" i="1" s="1"/>
  <c r="CU225" i="1" s="1"/>
  <c r="CX225" i="1" s="1"/>
  <c r="CR161" i="1"/>
  <c r="CS161" i="1" s="1"/>
  <c r="CU161" i="1" s="1"/>
  <c r="CW161" i="1" s="1"/>
  <c r="CZ161" i="1" s="1"/>
  <c r="CR234" i="1"/>
  <c r="CS234" i="1" s="1"/>
  <c r="CU234" i="1" s="1"/>
  <c r="CW234" i="1" s="1"/>
  <c r="CR237" i="1"/>
  <c r="CS237" i="1" s="1"/>
  <c r="CU237" i="1" s="1"/>
  <c r="CR87" i="1"/>
  <c r="CS87" i="1" s="1"/>
  <c r="CU87" i="1" s="1"/>
  <c r="CR184" i="1"/>
  <c r="CS184" i="1" s="1"/>
  <c r="CR93" i="1"/>
  <c r="CS93" i="1" s="1"/>
  <c r="CR38" i="1"/>
  <c r="CS38" i="1" s="1"/>
  <c r="CU38" i="1" s="1"/>
  <c r="CW38" i="1" s="1"/>
  <c r="CZ38" i="1" s="1"/>
  <c r="CR245" i="1"/>
  <c r="CS245" i="1" s="1"/>
  <c r="CU245" i="1" s="1"/>
  <c r="CX245" i="1" s="1"/>
  <c r="CR276" i="1"/>
  <c r="CS276" i="1" s="1"/>
  <c r="CU276" i="1" s="1"/>
  <c r="CR179" i="1"/>
  <c r="CS179" i="1" s="1"/>
  <c r="CU179" i="1" s="1"/>
  <c r="CW179" i="1" s="1"/>
  <c r="CR230" i="1"/>
  <c r="CS230" i="1" s="1"/>
  <c r="CU230" i="1" s="1"/>
  <c r="CX230" i="1" s="1"/>
  <c r="CR65" i="1"/>
  <c r="CS65" i="1" s="1"/>
  <c r="CU65" i="1" s="1"/>
  <c r="CX65" i="1" s="1"/>
  <c r="CR27" i="1"/>
  <c r="CS27" i="1" s="1"/>
  <c r="CU27" i="1" s="1"/>
  <c r="CX27" i="1" s="1"/>
  <c r="CR212" i="1"/>
  <c r="CS212" i="1" s="1"/>
  <c r="CU212" i="1" s="1"/>
  <c r="CX212" i="1" s="1"/>
  <c r="CX299" i="1"/>
  <c r="CW101" i="1"/>
  <c r="CZ101" i="1" s="1"/>
  <c r="CR41" i="1"/>
  <c r="CS41" i="1" s="1"/>
  <c r="CU41" i="1" s="1"/>
  <c r="CW41" i="1" s="1"/>
  <c r="CZ41" i="1" s="1"/>
  <c r="CR30" i="1"/>
  <c r="CS30" i="1" s="1"/>
  <c r="CU30" i="1" s="1"/>
  <c r="CX30" i="1" s="1"/>
  <c r="CV188" i="1"/>
  <c r="CY188" i="1" s="1"/>
  <c r="CV147" i="1"/>
  <c r="CY147" i="1" s="1"/>
  <c r="CQ181" i="1"/>
  <c r="CT181" i="1" s="1"/>
  <c r="CV112" i="1"/>
  <c r="CY112" i="1" s="1"/>
  <c r="CV41" i="1"/>
  <c r="CY41" i="1" s="1"/>
  <c r="BE1675" i="7"/>
  <c r="BF1675" i="7" s="1"/>
  <c r="CR232" i="1"/>
  <c r="CS232" i="1" s="1"/>
  <c r="CU232" i="1" s="1"/>
  <c r="CW232" i="1" s="1"/>
  <c r="CZ232" i="1" s="1"/>
  <c r="CR118" i="1"/>
  <c r="CS118" i="1" s="1"/>
  <c r="CU118" i="1" s="1"/>
  <c r="CX118" i="1" s="1"/>
  <c r="CV270" i="1"/>
  <c r="CY270" i="1" s="1"/>
  <c r="CV232" i="1"/>
  <c r="CY232" i="1" s="1"/>
  <c r="CR5" i="1"/>
  <c r="CS5" i="1" s="1"/>
  <c r="CU5" i="1" s="1"/>
  <c r="CR112" i="1"/>
  <c r="CS112" i="1" s="1"/>
  <c r="CU112" i="1" s="1"/>
  <c r="CX112" i="1" s="1"/>
  <c r="CR82" i="1"/>
  <c r="CS82" i="1" s="1"/>
  <c r="CU82" i="1" s="1"/>
  <c r="CX82" i="1" s="1"/>
  <c r="CR53" i="1"/>
  <c r="CS53" i="1" s="1"/>
  <c r="CU53" i="1" s="1"/>
  <c r="CX53" i="1" s="1"/>
  <c r="CR11" i="1"/>
  <c r="CS11" i="1" s="1"/>
  <c r="CU11" i="1" s="1"/>
  <c r="CX11" i="1" s="1"/>
  <c r="CR74" i="1"/>
  <c r="CS74" i="1" s="1"/>
  <c r="CU74" i="1" s="1"/>
  <c r="CX74" i="1" s="1"/>
  <c r="CR78" i="1"/>
  <c r="CS78" i="1" s="1"/>
  <c r="CU78" i="1" s="1"/>
  <c r="CW78" i="1" s="1"/>
  <c r="CZ78" i="1" s="1"/>
  <c r="CR196" i="1"/>
  <c r="CS196" i="1" s="1"/>
  <c r="CU196" i="1" s="1"/>
  <c r="CX196" i="1" s="1"/>
  <c r="CR305" i="1"/>
  <c r="CS305" i="1" s="1"/>
  <c r="CU305" i="1" s="1"/>
  <c r="CX305" i="1" s="1"/>
  <c r="CR269" i="1"/>
  <c r="CS269" i="1" s="1"/>
  <c r="CU269" i="1" s="1"/>
  <c r="CX269" i="1" s="1"/>
  <c r="CR119" i="1"/>
  <c r="CS119" i="1" s="1"/>
  <c r="CR160" i="1"/>
  <c r="CS160" i="1" s="1"/>
  <c r="CU160" i="1" s="1"/>
  <c r="CW160" i="1" s="1"/>
  <c r="CZ160" i="1" s="1"/>
  <c r="CR303" i="1"/>
  <c r="CS303" i="1" s="1"/>
  <c r="CU303" i="1" s="1"/>
  <c r="CX303" i="1" s="1"/>
  <c r="CR83" i="1"/>
  <c r="CS83" i="1" s="1"/>
  <c r="CU83" i="1" s="1"/>
  <c r="CX83" i="1" s="1"/>
  <c r="CR258" i="1"/>
  <c r="CS258" i="1" s="1"/>
  <c r="CU258" i="1" s="1"/>
  <c r="CW258" i="1" s="1"/>
  <c r="CZ258" i="1" s="1"/>
  <c r="CR171" i="1"/>
  <c r="CS171" i="1" s="1"/>
  <c r="CU171" i="1" s="1"/>
  <c r="CX171" i="1" s="1"/>
  <c r="CR191" i="1"/>
  <c r="CS191" i="1" s="1"/>
  <c r="CU191" i="1" s="1"/>
  <c r="CR281" i="1"/>
  <c r="CS281" i="1" s="1"/>
  <c r="CU281" i="1" s="1"/>
  <c r="CX281" i="1" s="1"/>
  <c r="CR10" i="1"/>
  <c r="CS10" i="1" s="1"/>
  <c r="CU10" i="1" s="1"/>
  <c r="CX10" i="1" s="1"/>
  <c r="CR199" i="1"/>
  <c r="CS199" i="1" s="1"/>
  <c r="CU199" i="1" s="1"/>
  <c r="CX199" i="1" s="1"/>
  <c r="CR20" i="1"/>
  <c r="CS20" i="1" s="1"/>
  <c r="CU20" i="1" s="1"/>
  <c r="CW20" i="1" s="1"/>
  <c r="CZ20" i="1" s="1"/>
  <c r="CR61" i="1"/>
  <c r="CS61" i="1" s="1"/>
  <c r="CU61" i="1" s="1"/>
  <c r="CX61" i="1" s="1"/>
  <c r="CV96" i="1"/>
  <c r="CY96" i="1" s="1"/>
  <c r="CR150" i="1"/>
  <c r="CS150" i="1" s="1"/>
  <c r="CU150" i="1" s="1"/>
  <c r="BE1962" i="7"/>
  <c r="CR168" i="1"/>
  <c r="CS168" i="1" s="1"/>
  <c r="CU168" i="1" s="1"/>
  <c r="CR167" i="1"/>
  <c r="CS167" i="1" s="1"/>
  <c r="CU167" i="1" s="1"/>
  <c r="CX167" i="1" s="1"/>
  <c r="CV162" i="1"/>
  <c r="CY162" i="1" s="1"/>
  <c r="CR89" i="1"/>
  <c r="CS89" i="1" s="1"/>
  <c r="CU89" i="1" s="1"/>
  <c r="CX89" i="1" s="1"/>
  <c r="CR56" i="1"/>
  <c r="CS56" i="1" s="1"/>
  <c r="CU56" i="1" s="1"/>
  <c r="CX56" i="1" s="1"/>
  <c r="CR140" i="1"/>
  <c r="CS140" i="1" s="1"/>
  <c r="CU140" i="1" s="1"/>
  <c r="CX140" i="1" s="1"/>
  <c r="CR80" i="1"/>
  <c r="CS80" i="1" s="1"/>
  <c r="CU80" i="1" s="1"/>
  <c r="CW80" i="1" s="1"/>
  <c r="CZ80" i="1" s="1"/>
  <c r="CR114" i="1"/>
  <c r="CS114" i="1" s="1"/>
  <c r="CU114" i="1" s="1"/>
  <c r="CX114" i="1" s="1"/>
  <c r="CR159" i="1"/>
  <c r="CS159" i="1" s="1"/>
  <c r="CU159" i="1" s="1"/>
  <c r="CW159" i="1" s="1"/>
  <c r="CZ159" i="1" s="1"/>
  <c r="CR165" i="1"/>
  <c r="CS165" i="1" s="1"/>
  <c r="CU165" i="1" s="1"/>
  <c r="CX165" i="1" s="1"/>
  <c r="CR175" i="1"/>
  <c r="CS175" i="1" s="1"/>
  <c r="CU175" i="1" s="1"/>
  <c r="CR43" i="1"/>
  <c r="CS43" i="1" s="1"/>
  <c r="CU43" i="1" s="1"/>
  <c r="CX43" i="1" s="1"/>
  <c r="CR34" i="1"/>
  <c r="CS34" i="1" s="1"/>
  <c r="CU34" i="1" s="1"/>
  <c r="CX34" i="1" s="1"/>
  <c r="CR248" i="1"/>
  <c r="CS248" i="1" s="1"/>
  <c r="CU248" i="1" s="1"/>
  <c r="CX248" i="1" s="1"/>
  <c r="CR224" i="1"/>
  <c r="CS224" i="1" s="1"/>
  <c r="CU224" i="1" s="1"/>
  <c r="CX224" i="1" s="1"/>
  <c r="CR64" i="1"/>
  <c r="CS64" i="1" s="1"/>
  <c r="CU64" i="1" s="1"/>
  <c r="CR86" i="1"/>
  <c r="CS86" i="1" s="1"/>
  <c r="CU86" i="1" s="1"/>
  <c r="CX86" i="1" s="1"/>
  <c r="CR236" i="1"/>
  <c r="CS236" i="1" s="1"/>
  <c r="CU236" i="1" s="1"/>
  <c r="CX236" i="1" s="1"/>
  <c r="CR72" i="1"/>
  <c r="CS72" i="1" s="1"/>
  <c r="CU72" i="1" s="1"/>
  <c r="CW72" i="1" s="1"/>
  <c r="CZ72" i="1" s="1"/>
  <c r="CR12" i="1"/>
  <c r="CS12" i="1" s="1"/>
  <c r="CU12" i="1" s="1"/>
  <c r="CX12" i="1" s="1"/>
  <c r="CR289" i="1"/>
  <c r="CS289" i="1" s="1"/>
  <c r="CU289" i="1" s="1"/>
  <c r="CX289" i="1" s="1"/>
  <c r="CR284" i="1"/>
  <c r="CS284" i="1" s="1"/>
  <c r="CU284" i="1" s="1"/>
  <c r="CW284" i="1" s="1"/>
  <c r="CZ284" i="1" s="1"/>
  <c r="CR31" i="1"/>
  <c r="CS31" i="1" s="1"/>
  <c r="CU31" i="1" s="1"/>
  <c r="CX31" i="1" s="1"/>
  <c r="CR36" i="1"/>
  <c r="CS36" i="1" s="1"/>
  <c r="CR242" i="1"/>
  <c r="CS242" i="1" s="1"/>
  <c r="CU242" i="1" s="1"/>
  <c r="CV118" i="1"/>
  <c r="CY118" i="1" s="1"/>
  <c r="CV242" i="1"/>
  <c r="CY242" i="1" s="1"/>
  <c r="CV168" i="1"/>
  <c r="CY168" i="1" s="1"/>
  <c r="CV89" i="1"/>
  <c r="CY89" i="1" s="1"/>
  <c r="CV82" i="1"/>
  <c r="CY82" i="1" s="1"/>
  <c r="CR147" i="1"/>
  <c r="CS147" i="1" s="1"/>
  <c r="CU147" i="1" s="1"/>
  <c r="CX147" i="1" s="1"/>
  <c r="CR158" i="1"/>
  <c r="CS158" i="1" s="1"/>
  <c r="CU158" i="1" s="1"/>
  <c r="CW158" i="1" s="1"/>
  <c r="CR15" i="1"/>
  <c r="CS15" i="1" s="1"/>
  <c r="CU15" i="1" s="1"/>
  <c r="CX15" i="1" s="1"/>
  <c r="CR153" i="1"/>
  <c r="CS153" i="1" s="1"/>
  <c r="CU153" i="1" s="1"/>
  <c r="CW153" i="1" s="1"/>
  <c r="CZ153" i="1" s="1"/>
  <c r="CR130" i="1"/>
  <c r="CS130" i="1" s="1"/>
  <c r="CU130" i="1" s="1"/>
  <c r="CX130" i="1" s="1"/>
  <c r="CW98" i="1"/>
  <c r="CZ98" i="1" s="1"/>
  <c r="CV30" i="1"/>
  <c r="CY30" i="1" s="1"/>
  <c r="CV167" i="1"/>
  <c r="CY167" i="1" s="1"/>
  <c r="CQ87" i="1"/>
  <c r="CT87" i="1" s="1"/>
  <c r="CV5" i="1"/>
  <c r="CY5" i="1" s="1"/>
  <c r="CR270" i="1"/>
  <c r="CS270" i="1" s="1"/>
  <c r="CU270" i="1" s="1"/>
  <c r="CR96" i="1"/>
  <c r="CS96" i="1" s="1"/>
  <c r="CU96" i="1" s="1"/>
  <c r="CX96" i="1" s="1"/>
  <c r="CV277" i="1"/>
  <c r="CY277" i="1" s="1"/>
  <c r="CQ184" i="1"/>
  <c r="CT184" i="1" s="1"/>
  <c r="CV172" i="1"/>
  <c r="CY172" i="1" s="1"/>
  <c r="CR277" i="1"/>
  <c r="CS277" i="1" s="1"/>
  <c r="CU277" i="1" s="1"/>
  <c r="CW277" i="1" s="1"/>
  <c r="CZ277" i="1" s="1"/>
  <c r="CR155" i="1"/>
  <c r="CS155" i="1" s="1"/>
  <c r="CU155" i="1" s="1"/>
  <c r="CW155" i="1" s="1"/>
  <c r="DA155" i="1" s="1"/>
  <c r="CV61" i="1"/>
  <c r="CY61" i="1" s="1"/>
  <c r="CR124" i="1"/>
  <c r="CS124" i="1" s="1"/>
  <c r="CU124" i="1" s="1"/>
  <c r="CW124" i="1" s="1"/>
  <c r="CZ124" i="1" s="1"/>
  <c r="CR129" i="1"/>
  <c r="CS129" i="1" s="1"/>
  <c r="CU129" i="1" s="1"/>
  <c r="CR92" i="1"/>
  <c r="CS92" i="1" s="1"/>
  <c r="CU92" i="1" s="1"/>
  <c r="CW92" i="1" s="1"/>
  <c r="CZ92" i="1" s="1"/>
  <c r="CR108" i="1"/>
  <c r="CS108" i="1" s="1"/>
  <c r="CU108" i="1" s="1"/>
  <c r="CX108" i="1" s="1"/>
  <c r="CR54" i="3"/>
  <c r="CR56" i="3"/>
  <c r="BF91" i="8"/>
  <c r="CI121" i="1"/>
  <c r="CI44" i="1"/>
  <c r="CW192" i="1"/>
  <c r="CZ192" i="1" s="1"/>
  <c r="CT261" i="1"/>
  <c r="CV261" i="1"/>
  <c r="CY261" i="1" s="1"/>
  <c r="CQ16" i="1"/>
  <c r="CR16" i="1"/>
  <c r="CS16" i="1" s="1"/>
  <c r="CT176" i="1"/>
  <c r="CU176" i="1" s="1"/>
  <c r="CX176" i="1" s="1"/>
  <c r="CV176" i="1"/>
  <c r="CY176" i="1" s="1"/>
  <c r="CT211" i="1"/>
  <c r="CV211" i="1"/>
  <c r="CY211" i="1" s="1"/>
  <c r="CT257" i="1"/>
  <c r="CV257" i="1"/>
  <c r="CY257" i="1" s="1"/>
  <c r="CR54" i="1"/>
  <c r="CS54" i="1" s="1"/>
  <c r="CU54" i="1" s="1"/>
  <c r="CX54" i="1" s="1"/>
  <c r="CV107" i="1"/>
  <c r="CY107" i="1" s="1"/>
  <c r="CR13" i="1"/>
  <c r="CS13" i="1" s="1"/>
  <c r="CU13" i="1" s="1"/>
  <c r="CX13" i="1" s="1"/>
  <c r="CV222" i="1"/>
  <c r="CY222" i="1" s="1"/>
  <c r="CR261" i="1"/>
  <c r="CS261" i="1" s="1"/>
  <c r="CR23" i="1"/>
  <c r="CS23" i="1" s="1"/>
  <c r="CU23" i="1" s="1"/>
  <c r="CW23" i="1" s="1"/>
  <c r="CZ23" i="1" s="1"/>
  <c r="CV54" i="1"/>
  <c r="CY54" i="1" s="1"/>
  <c r="BL1309" i="7"/>
  <c r="BL1558" i="7"/>
  <c r="BL281" i="7"/>
  <c r="BL2129" i="7"/>
  <c r="BN766" i="7"/>
  <c r="BL766" i="7"/>
  <c r="BL1446" i="7"/>
  <c r="BN1004" i="7"/>
  <c r="BL1004" i="7"/>
  <c r="BL1447" i="7"/>
  <c r="BN1447" i="7"/>
  <c r="BL2045" i="7"/>
  <c r="BL1043" i="7"/>
  <c r="BN1043" i="7"/>
  <c r="BL2226" i="7"/>
  <c r="BN2226" i="7"/>
  <c r="BL584" i="7"/>
  <c r="BL2258" i="7"/>
  <c r="BN2258" i="7"/>
  <c r="BL897" i="7"/>
  <c r="BN1632" i="7"/>
  <c r="BL1632" i="7"/>
  <c r="BN665" i="7"/>
  <c r="BL665" i="7"/>
  <c r="BL1111" i="7"/>
  <c r="BL2111" i="7"/>
  <c r="BL365" i="7"/>
  <c r="BL1934" i="7"/>
  <c r="BN926" i="7"/>
  <c r="BL926" i="7"/>
  <c r="BL4" i="7"/>
  <c r="BL1470" i="7"/>
  <c r="BL1403" i="7"/>
  <c r="BN1606" i="7"/>
  <c r="BL1606" i="7"/>
  <c r="BN1008" i="7"/>
  <c r="BL1008" i="7"/>
  <c r="BN1143" i="7"/>
  <c r="BL1143" i="7"/>
  <c r="BN935" i="7"/>
  <c r="BL935" i="7"/>
  <c r="BL806" i="7"/>
  <c r="BL1364" i="7"/>
  <c r="BN1364" i="7"/>
  <c r="BN2080" i="7"/>
  <c r="BL2080" i="7"/>
  <c r="BN2277" i="7"/>
  <c r="BL2277" i="7"/>
  <c r="BL655" i="7"/>
  <c r="BL194" i="7"/>
  <c r="BL762" i="7"/>
  <c r="BN684" i="7"/>
  <c r="BL684" i="7"/>
  <c r="BL1757" i="7"/>
  <c r="BN1757" i="7"/>
  <c r="BN1776" i="7"/>
  <c r="BL1776" i="7"/>
  <c r="BN1379" i="7"/>
  <c r="BL1379" i="7"/>
  <c r="BN1700" i="7"/>
  <c r="BL1700" i="7"/>
  <c r="BL612" i="7"/>
  <c r="BN705" i="7"/>
  <c r="BL705" i="7"/>
  <c r="BL314" i="7"/>
  <c r="BN2153" i="7"/>
  <c r="BL2153" i="7"/>
  <c r="BL1318" i="7"/>
  <c r="BN1318" i="7"/>
  <c r="BL734" i="7"/>
  <c r="BL1896" i="7"/>
  <c r="BL1627" i="7"/>
  <c r="BN2004" i="7"/>
  <c r="BL2004" i="7"/>
  <c r="BL407" i="7"/>
  <c r="BN407" i="7"/>
  <c r="BN2015" i="7"/>
  <c r="BL2015" i="7"/>
  <c r="BL241" i="7"/>
  <c r="BL2078" i="7"/>
  <c r="BN143" i="7"/>
  <c r="BL143" i="7"/>
  <c r="BN1314" i="7"/>
  <c r="BL1314" i="7"/>
  <c r="BN1751" i="7"/>
  <c r="BL1751" i="7"/>
  <c r="BL1441" i="7"/>
  <c r="BL274" i="7"/>
  <c r="BL2211" i="7"/>
  <c r="BL147" i="7"/>
  <c r="BL2239" i="7"/>
  <c r="BN1923" i="7"/>
  <c r="BL1923" i="7"/>
  <c r="BL793" i="7"/>
  <c r="BL68" i="8"/>
  <c r="BM68" i="8"/>
  <c r="BL29" i="7"/>
  <c r="BL1778" i="7"/>
  <c r="BN1753" i="7"/>
  <c r="BL1753" i="7"/>
  <c r="BN1296" i="7"/>
  <c r="BL1296" i="7"/>
  <c r="BL1978" i="7"/>
  <c r="BL120" i="7"/>
  <c r="BL1421" i="7"/>
  <c r="BL1460" i="7"/>
  <c r="BL2159" i="7"/>
  <c r="BN504" i="7"/>
  <c r="BL504" i="7"/>
  <c r="BL1435" i="7"/>
  <c r="BN1377" i="7"/>
  <c r="BL1377" i="7"/>
  <c r="BN45" i="7"/>
  <c r="BL45" i="7"/>
  <c r="BL54" i="8"/>
  <c r="BM54" i="8"/>
  <c r="BL184" i="7"/>
  <c r="BN1187" i="7"/>
  <c r="BL1187" i="7"/>
  <c r="BN1658" i="7"/>
  <c r="BL1658" i="7"/>
  <c r="BL292" i="7"/>
  <c r="BL572" i="7"/>
  <c r="BL298" i="7"/>
  <c r="BL1115" i="7"/>
  <c r="BL17" i="8"/>
  <c r="BM17" i="8"/>
  <c r="BL2237" i="7"/>
  <c r="BN1732" i="7"/>
  <c r="BL1732" i="7"/>
  <c r="BN1702" i="7"/>
  <c r="BL1702" i="7"/>
  <c r="BL1105" i="7"/>
  <c r="BN1105" i="7"/>
  <c r="BL1500" i="7"/>
  <c r="BN1500" i="7"/>
  <c r="BL356" i="7"/>
  <c r="BN757" i="7"/>
  <c r="BL757" i="7"/>
  <c r="BN758" i="7"/>
  <c r="BL758" i="7"/>
  <c r="BL1566" i="7"/>
  <c r="BN1947" i="7"/>
  <c r="BL1947" i="7"/>
  <c r="BL1787" i="7"/>
  <c r="BL1987" i="7"/>
  <c r="BL2036" i="7"/>
  <c r="BL2276" i="7"/>
  <c r="BN2276" i="7"/>
  <c r="BN689" i="7"/>
  <c r="BL689" i="7"/>
  <c r="BN845" i="7"/>
  <c r="BL845" i="7"/>
  <c r="BN2031" i="7"/>
  <c r="BL2031" i="7"/>
  <c r="BL135" i="7"/>
  <c r="BN2061" i="7"/>
  <c r="BL2061" i="7"/>
  <c r="BL1401" i="7"/>
  <c r="BN1401" i="7"/>
  <c r="BL1520" i="7"/>
  <c r="BL434" i="7"/>
  <c r="BL983" i="7"/>
  <c r="BL1037" i="7"/>
  <c r="BL560" i="7"/>
  <c r="BL1156" i="7"/>
  <c r="BN1156" i="7"/>
  <c r="BL1107" i="7"/>
  <c r="BN857" i="7"/>
  <c r="BL857" i="7"/>
  <c r="BL1957" i="7"/>
  <c r="BL1478" i="7"/>
  <c r="BL1486" i="7"/>
  <c r="BL1099" i="7"/>
  <c r="BN724" i="7"/>
  <c r="BL724" i="7"/>
  <c r="BN744" i="7"/>
  <c r="BL744" i="7"/>
  <c r="BN1996" i="7"/>
  <c r="BL1996" i="7"/>
  <c r="BL990" i="7"/>
  <c r="BL1063" i="7"/>
  <c r="BN1063" i="7"/>
  <c r="BL1610" i="7"/>
  <c r="BL574" i="7"/>
  <c r="BM29" i="8"/>
  <c r="BL29" i="8"/>
  <c r="BL174" i="7"/>
  <c r="BL1595" i="7"/>
  <c r="BL1284" i="7"/>
  <c r="BL211" i="7"/>
  <c r="BL131" i="7"/>
  <c r="BN131" i="7"/>
  <c r="BL2234" i="7"/>
  <c r="BN1743" i="7"/>
  <c r="BL1743" i="7"/>
  <c r="BN14" i="7"/>
  <c r="BL14" i="7"/>
  <c r="BL592" i="7"/>
  <c r="BN1015" i="7"/>
  <c r="BL1015" i="7"/>
  <c r="BM74" i="8"/>
  <c r="BL74" i="8"/>
  <c r="BL35" i="7"/>
  <c r="BL355" i="7"/>
  <c r="BN1077" i="7"/>
  <c r="BL1077" i="7"/>
  <c r="BL1285" i="7"/>
  <c r="BL1091" i="7"/>
  <c r="BL1265" i="7"/>
  <c r="BL2242" i="7"/>
  <c r="BL1042" i="7"/>
  <c r="BN7" i="7"/>
  <c r="BL7" i="7"/>
  <c r="BN350" i="7"/>
  <c r="BL350" i="7"/>
  <c r="BL2139" i="7"/>
  <c r="BN1764" i="7"/>
  <c r="BL1764" i="7"/>
  <c r="BL1384" i="7"/>
  <c r="BL1897" i="7"/>
  <c r="BN2241" i="7"/>
  <c r="BL2241" i="7"/>
  <c r="BL573" i="7"/>
  <c r="BL868" i="7"/>
  <c r="BL1191" i="7"/>
  <c r="BL1087" i="7"/>
  <c r="BL751" i="7"/>
  <c r="BN1689" i="7"/>
  <c r="BL1689" i="7"/>
  <c r="BN1531" i="7"/>
  <c r="BL1531" i="7"/>
  <c r="BL1327" i="7"/>
  <c r="BN1713" i="7"/>
  <c r="BL1713" i="7"/>
  <c r="BL1445" i="7"/>
  <c r="BL526" i="7"/>
  <c r="BN2190" i="7"/>
  <c r="BL2190" i="7"/>
  <c r="BL893" i="7"/>
  <c r="BL2156" i="7"/>
  <c r="BL1884" i="7"/>
  <c r="BL55" i="8"/>
  <c r="BM55" i="8"/>
  <c r="BL185" i="7"/>
  <c r="BL38" i="8"/>
  <c r="BM38" i="8"/>
  <c r="BL164" i="7"/>
  <c r="BL1939" i="7"/>
  <c r="BN1939" i="7"/>
  <c r="BN1082" i="7"/>
  <c r="BL1082" i="7"/>
  <c r="BL1696" i="7"/>
  <c r="BL1137" i="7"/>
  <c r="BN1137" i="7"/>
  <c r="BL1875" i="7"/>
  <c r="BL472" i="7"/>
  <c r="BN321" i="7"/>
  <c r="BL321" i="7"/>
  <c r="BM79" i="8"/>
  <c r="BL79" i="8"/>
  <c r="BL40" i="7"/>
  <c r="BL1965" i="7"/>
  <c r="BL1547" i="7"/>
  <c r="BL630" i="7"/>
  <c r="BN630" i="7"/>
  <c r="BN2096" i="7"/>
  <c r="BL2096" i="7"/>
  <c r="BN1543" i="7"/>
  <c r="BL1543" i="7"/>
  <c r="BL2" i="8"/>
  <c r="BL823" i="7"/>
  <c r="BM2" i="8"/>
  <c r="BL1835" i="7"/>
  <c r="BL2166" i="7"/>
  <c r="BL148" i="7"/>
  <c r="BN1464" i="7"/>
  <c r="BL1464" i="7"/>
  <c r="BN1048" i="7"/>
  <c r="BL1048" i="7"/>
  <c r="BL756" i="7"/>
  <c r="BL283" i="7"/>
  <c r="BL1096" i="7"/>
  <c r="BN1734" i="7"/>
  <c r="BL1734" i="7"/>
  <c r="BN1687" i="7"/>
  <c r="BL1687" i="7"/>
  <c r="BN1060" i="7"/>
  <c r="BL1060" i="7"/>
  <c r="BL1773" i="7"/>
  <c r="BN1773" i="7"/>
  <c r="BN773" i="7"/>
  <c r="BL773" i="7"/>
  <c r="BL629" i="7"/>
  <c r="BL1539" i="7"/>
  <c r="BN1165" i="7"/>
  <c r="BL1165" i="7"/>
  <c r="BL373" i="7"/>
  <c r="BL716" i="7"/>
  <c r="BL1467" i="7"/>
  <c r="BL1159" i="7"/>
  <c r="BM13" i="8"/>
  <c r="BL13" i="8"/>
  <c r="BL2271" i="7"/>
  <c r="BN2068" i="7"/>
  <c r="BL2068" i="7"/>
  <c r="BL683" i="7"/>
  <c r="BN683" i="7"/>
  <c r="BN594" i="7"/>
  <c r="BL594" i="7"/>
  <c r="BN1289" i="7"/>
  <c r="BL1289" i="7"/>
  <c r="BN1943" i="7"/>
  <c r="BL1943" i="7"/>
  <c r="BL362" i="7"/>
  <c r="BN2192" i="7"/>
  <c r="BL2192" i="7"/>
  <c r="BL581" i="7"/>
  <c r="BL88" i="7"/>
  <c r="BL933" i="7"/>
  <c r="BL1152" i="7"/>
  <c r="BL1122" i="7"/>
  <c r="BL873" i="7"/>
  <c r="BN873" i="7"/>
  <c r="BN1326" i="7"/>
  <c r="BL1326" i="7"/>
  <c r="BL1119" i="7"/>
  <c r="BN533" i="7"/>
  <c r="BL533" i="7"/>
  <c r="BN2081" i="7"/>
  <c r="BL2081" i="7"/>
  <c r="BL1817" i="7"/>
  <c r="BL1614" i="7"/>
  <c r="BN1614" i="7"/>
  <c r="BL1006" i="7"/>
  <c r="BL1712" i="7"/>
  <c r="BL524" i="7"/>
  <c r="BL363" i="7"/>
  <c r="BN363" i="7"/>
  <c r="BL743" i="7"/>
  <c r="BN169" i="7"/>
  <c r="BL169" i="7"/>
  <c r="BL444" i="7"/>
  <c r="BN376" i="7"/>
  <c r="BL376" i="7"/>
  <c r="BN450" i="7"/>
  <c r="BL450" i="7"/>
  <c r="BL537" i="7"/>
  <c r="BL1287" i="7"/>
  <c r="BL1150" i="7"/>
  <c r="BN1150" i="7"/>
  <c r="BL939" i="7"/>
  <c r="BL431" i="7"/>
  <c r="BL693" i="7"/>
  <c r="BN1538" i="7"/>
  <c r="BL1538" i="7"/>
  <c r="BN644" i="7"/>
  <c r="BL644" i="7"/>
  <c r="BN542" i="7"/>
  <c r="BL542" i="7"/>
  <c r="BN1973" i="7"/>
  <c r="BL1973" i="7"/>
  <c r="BN1952" i="7"/>
  <c r="BL1952" i="7"/>
  <c r="BL1890" i="7"/>
  <c r="BN1890" i="7"/>
  <c r="BN1846" i="7"/>
  <c r="BL1846" i="7"/>
  <c r="BL553" i="7"/>
  <c r="BN1300" i="7"/>
  <c r="BL1300" i="7"/>
  <c r="BL874" i="7"/>
  <c r="BL739" i="7"/>
  <c r="BL1670" i="7"/>
  <c r="BN1865" i="7"/>
  <c r="BL1865" i="7"/>
  <c r="BL1410" i="7"/>
  <c r="BN451" i="7"/>
  <c r="BL451" i="7"/>
  <c r="BL2179" i="7"/>
  <c r="BL1982" i="7"/>
  <c r="BN1108" i="7"/>
  <c r="BL1108" i="7"/>
  <c r="BN1981" i="7"/>
  <c r="BL1981" i="7"/>
  <c r="BL894" i="7"/>
  <c r="BN1420" i="7"/>
  <c r="BL1420" i="7"/>
  <c r="BL1516" i="7"/>
  <c r="BL260" i="7"/>
  <c r="BL1170" i="7"/>
  <c r="BN242" i="7"/>
  <c r="BL242" i="7"/>
  <c r="BN360" i="7"/>
  <c r="BL360" i="7"/>
  <c r="BL5" i="8"/>
  <c r="BM5" i="8"/>
  <c r="BL385" i="7"/>
  <c r="BN1462" i="7"/>
  <c r="BL1462" i="7"/>
  <c r="BL1053" i="7"/>
  <c r="BN2273" i="7"/>
  <c r="BL2273" i="7"/>
  <c r="BL288" i="7"/>
  <c r="BL954" i="7"/>
  <c r="BN269" i="7"/>
  <c r="BL269" i="7"/>
  <c r="BL662" i="7"/>
  <c r="BL84" i="7"/>
  <c r="BL1418" i="7"/>
  <c r="BL2170" i="7"/>
  <c r="BN69" i="7"/>
  <c r="BL69" i="7"/>
  <c r="BN1282" i="7"/>
  <c r="BL1282" i="7"/>
  <c r="BN1509" i="7"/>
  <c r="BL1509" i="7"/>
  <c r="BL12" i="7"/>
  <c r="BN1838" i="7"/>
  <c r="BL1838" i="7"/>
  <c r="BN1570" i="7"/>
  <c r="BL1570" i="7"/>
  <c r="BL862" i="7"/>
  <c r="BL145" i="7"/>
  <c r="BL654" i="7"/>
  <c r="BL912" i="7"/>
  <c r="BL2218" i="7"/>
  <c r="BN1616" i="7"/>
  <c r="BL1616" i="7"/>
  <c r="BL1483" i="7"/>
  <c r="BL474" i="7"/>
  <c r="BN474" i="7"/>
  <c r="BN289" i="7"/>
  <c r="BL289" i="7"/>
  <c r="BL1562" i="7"/>
  <c r="BN930" i="7"/>
  <c r="BL930" i="7"/>
  <c r="BL1708" i="7"/>
  <c r="BN1708" i="7"/>
  <c r="BN677" i="7"/>
  <c r="BL677" i="7"/>
  <c r="BL1272" i="7"/>
  <c r="BL1114" i="7"/>
  <c r="BL1171" i="7"/>
  <c r="BL43" i="7"/>
  <c r="BL1680" i="7"/>
  <c r="BN1680" i="7"/>
  <c r="BN1912" i="7"/>
  <c r="BL1912" i="7"/>
  <c r="BN1718" i="7"/>
  <c r="BL1718" i="7"/>
  <c r="BL132" i="7"/>
  <c r="BL593" i="7"/>
  <c r="BL1350" i="7"/>
  <c r="BL98" i="8"/>
  <c r="BM98" i="8"/>
  <c r="BL217" i="7"/>
  <c r="BL1140" i="7"/>
  <c r="BN1390" i="7"/>
  <c r="BL1390" i="7"/>
  <c r="BN1075" i="7"/>
  <c r="BL1075" i="7"/>
  <c r="BL25" i="7"/>
  <c r="BN2041" i="7"/>
  <c r="BL2041" i="7"/>
  <c r="BL1451" i="7"/>
  <c r="BN1451" i="7"/>
  <c r="BL361" i="7"/>
  <c r="BN2064" i="7"/>
  <c r="BL2064" i="7"/>
  <c r="BL1881" i="7"/>
  <c r="BL657" i="7"/>
  <c r="BL346" i="7"/>
  <c r="BN604" i="7"/>
  <c r="BL604" i="7"/>
  <c r="BL1209" i="7"/>
  <c r="BL273" i="7"/>
  <c r="BM63" i="8"/>
  <c r="BL63" i="8"/>
  <c r="BL421" i="7"/>
  <c r="BL1651" i="7"/>
  <c r="BL2225" i="7"/>
  <c r="BN976" i="7"/>
  <c r="BL976" i="7"/>
  <c r="BL1050" i="7"/>
  <c r="BN200" i="7"/>
  <c r="BL200" i="7"/>
  <c r="BL1506" i="7"/>
  <c r="BL134" i="7"/>
  <c r="BL2228" i="7"/>
  <c r="BM20" i="8"/>
  <c r="BL20" i="8"/>
  <c r="BL107" i="7"/>
  <c r="BL598" i="7"/>
  <c r="BL858" i="7"/>
  <c r="BN609" i="7"/>
  <c r="BL609" i="7"/>
  <c r="BL1512" i="7"/>
  <c r="BN946" i="7"/>
  <c r="BL946" i="7"/>
  <c r="BL895" i="7"/>
  <c r="BL800" i="7"/>
  <c r="BL582" i="7"/>
  <c r="BL1871" i="7"/>
  <c r="BL2162" i="7"/>
  <c r="BL1672" i="7"/>
  <c r="BN2014" i="7"/>
  <c r="BL2014" i="7"/>
  <c r="BN476" i="7"/>
  <c r="BL476" i="7"/>
  <c r="BN1117" i="7"/>
  <c r="BL1117" i="7"/>
  <c r="BL610" i="7"/>
  <c r="BN610" i="7"/>
  <c r="BL16" i="7"/>
  <c r="BN1417" i="7"/>
  <c r="BL1417" i="7"/>
  <c r="BL149" i="7"/>
  <c r="BL776" i="7"/>
  <c r="BL1759" i="7"/>
  <c r="BN1759" i="7"/>
  <c r="BL1536" i="7"/>
  <c r="BL513" i="7"/>
  <c r="BL621" i="7"/>
  <c r="BL1574" i="7"/>
  <c r="BN1574" i="7"/>
  <c r="BL1918" i="7"/>
  <c r="BN1918" i="7"/>
  <c r="BN114" i="7"/>
  <c r="BL114" i="7"/>
  <c r="BN1717" i="7"/>
  <c r="BL1717" i="7"/>
  <c r="BL590" i="7"/>
  <c r="BL2210" i="7"/>
  <c r="BL2119" i="7"/>
  <c r="BL1007" i="7"/>
  <c r="BN792" i="7"/>
  <c r="BL792" i="7"/>
  <c r="BL2255" i="7"/>
  <c r="BM102" i="8"/>
  <c r="BL102" i="8"/>
  <c r="BL186" i="7"/>
  <c r="BL972" i="7"/>
  <c r="BN146" i="7"/>
  <c r="BL146" i="7"/>
  <c r="BL1078" i="7"/>
  <c r="BL771" i="7"/>
  <c r="BN771" i="7"/>
  <c r="BN996" i="7"/>
  <c r="BL996" i="7"/>
  <c r="BL1308" i="7"/>
  <c r="BL249" i="7"/>
  <c r="BN2200" i="7"/>
  <c r="BL2200" i="7"/>
  <c r="BL2152" i="7"/>
  <c r="BN1891" i="7"/>
  <c r="BL1891" i="7"/>
  <c r="BL1025" i="7"/>
  <c r="BL1729" i="7"/>
  <c r="BL2073" i="7"/>
  <c r="BN507" i="7"/>
  <c r="BL507" i="7"/>
  <c r="BL664" i="7"/>
  <c r="BL984" i="7"/>
  <c r="BN984" i="7"/>
  <c r="BN17" i="7"/>
  <c r="BL17" i="7"/>
  <c r="BL303" i="7"/>
  <c r="BN1994" i="7"/>
  <c r="BL1994" i="7"/>
  <c r="BL383" i="7"/>
  <c r="BL6" i="8"/>
  <c r="BM6" i="8"/>
  <c r="BL559" i="7"/>
  <c r="BN1051" i="7"/>
  <c r="BL1051" i="7"/>
  <c r="BN964" i="7"/>
  <c r="BL964" i="7"/>
  <c r="BN1480" i="7"/>
  <c r="BL1480" i="7"/>
  <c r="BN1555" i="7"/>
  <c r="BL1555" i="7"/>
  <c r="BL1229" i="7"/>
  <c r="BL1746" i="7"/>
  <c r="BL661" i="7"/>
  <c r="BN1601" i="7"/>
  <c r="BL1601" i="7"/>
  <c r="BL1383" i="7"/>
  <c r="BN691" i="7"/>
  <c r="BL691" i="7"/>
  <c r="BL1072" i="7"/>
  <c r="BN1072" i="7"/>
  <c r="BL916" i="7"/>
  <c r="BN1244" i="7"/>
  <c r="BL1244" i="7"/>
  <c r="BN1472" i="7"/>
  <c r="BL1472" i="7"/>
  <c r="BN2274" i="7"/>
  <c r="BL2274" i="7"/>
  <c r="BL1660" i="7"/>
  <c r="BN1660" i="7"/>
  <c r="BN1320" i="7"/>
  <c r="BL1320" i="7"/>
  <c r="BN2212" i="7"/>
  <c r="BL2212" i="7"/>
  <c r="BL1686" i="7"/>
  <c r="BN1686" i="7"/>
  <c r="BL466" i="7"/>
  <c r="BL1312" i="7"/>
  <c r="BN1312" i="7"/>
  <c r="BN1267" i="7"/>
  <c r="BL1267" i="7"/>
  <c r="BL1185" i="7"/>
  <c r="BL390" i="7"/>
  <c r="BL1931" i="7"/>
  <c r="BN139" i="7"/>
  <c r="BL139" i="7"/>
  <c r="BN2108" i="7"/>
  <c r="BL2108" i="7"/>
  <c r="BN1325" i="7"/>
  <c r="BL1325" i="7"/>
  <c r="BL2204" i="7"/>
  <c r="BN877" i="7"/>
  <c r="BL877" i="7"/>
  <c r="BN1409" i="7"/>
  <c r="BL1409" i="7"/>
  <c r="BN2117" i="7"/>
  <c r="BL2117" i="7"/>
  <c r="BL214" i="7"/>
  <c r="BL500" i="7"/>
  <c r="BL727" i="7"/>
  <c r="BL1014" i="7"/>
  <c r="BL1223" i="7"/>
  <c r="BL470" i="7"/>
  <c r="BN470" i="7"/>
  <c r="BN386" i="7"/>
  <c r="BL386" i="7"/>
  <c r="BN1545" i="7"/>
  <c r="BL1545" i="7"/>
  <c r="BL2267" i="7"/>
  <c r="BN2034" i="7"/>
  <c r="BL2034" i="7"/>
  <c r="BN970" i="7"/>
  <c r="BL970" i="7"/>
  <c r="BL501" i="7"/>
  <c r="BL558" i="7"/>
  <c r="BN558" i="7"/>
  <c r="BN1740" i="7"/>
  <c r="BL1740" i="7"/>
  <c r="BL399" i="7"/>
  <c r="BL2110" i="7"/>
  <c r="BL1540" i="7"/>
  <c r="BN1518" i="7"/>
  <c r="BL1518" i="7"/>
  <c r="BN345" i="7"/>
  <c r="BL345" i="7"/>
  <c r="BN934" i="7"/>
  <c r="BL934" i="7"/>
  <c r="BN685" i="7"/>
  <c r="BL685" i="7"/>
  <c r="BN1580" i="7"/>
  <c r="BL1580" i="7"/>
  <c r="BN1262" i="7"/>
  <c r="BL1262" i="7"/>
  <c r="BN2265" i="7"/>
  <c r="BL2265" i="7"/>
  <c r="BN1444" i="7"/>
  <c r="BL1444" i="7"/>
  <c r="BL1398" i="7"/>
  <c r="BL1261" i="7"/>
  <c r="BL460" i="7"/>
  <c r="BL1145" i="7"/>
  <c r="BL1076" i="7"/>
  <c r="BL1190" i="7"/>
  <c r="BN1590" i="7"/>
  <c r="BL1590" i="7"/>
  <c r="BN10" i="7"/>
  <c r="BL10" i="7"/>
  <c r="BN2098" i="7"/>
  <c r="BL2098" i="7"/>
  <c r="BN1086" i="7"/>
  <c r="BL1086" i="7"/>
  <c r="BN1324" i="7"/>
  <c r="BL1324" i="7"/>
  <c r="BL2071" i="7"/>
  <c r="BN967" i="7"/>
  <c r="BL967" i="7"/>
  <c r="BL1937" i="7"/>
  <c r="BL1862" i="7"/>
  <c r="BL2142" i="7"/>
  <c r="BN2217" i="7"/>
  <c r="BL2217" i="7"/>
  <c r="BL1585" i="7"/>
  <c r="BL2020" i="7"/>
  <c r="BN2020" i="7"/>
  <c r="BN1120" i="7"/>
  <c r="BL1120" i="7"/>
  <c r="BN1878" i="7"/>
  <c r="BL1878" i="7"/>
  <c r="BN848" i="7"/>
  <c r="BL848" i="7"/>
  <c r="BN128" i="7"/>
  <c r="BL128" i="7"/>
  <c r="BL652" i="7"/>
  <c r="BN652" i="7"/>
  <c r="BL372" i="7"/>
  <c r="BL1579" i="7"/>
  <c r="BL1098" i="7"/>
  <c r="BL255" i="7"/>
  <c r="BL1559" i="7"/>
  <c r="BN1559" i="7"/>
  <c r="BL1118" i="7"/>
  <c r="BN1260" i="7"/>
  <c r="BL1260" i="7"/>
  <c r="BL490" i="7"/>
  <c r="BL80" i="8"/>
  <c r="BM80" i="8"/>
  <c r="BL41" i="7"/>
  <c r="BN1055" i="7"/>
  <c r="BL1055" i="7"/>
  <c r="BL229" i="7"/>
  <c r="BL13" i="7"/>
  <c r="BL1551" i="7"/>
  <c r="BL919" i="7"/>
  <c r="BL646" i="7"/>
  <c r="BL1899" i="7"/>
  <c r="BL1741" i="7"/>
  <c r="BN1741" i="7"/>
  <c r="BN700" i="7"/>
  <c r="BL700" i="7"/>
  <c r="BL1189" i="7"/>
  <c r="BN1189" i="7"/>
  <c r="BL2223" i="7"/>
  <c r="BL2053" i="7"/>
  <c r="BL1703" i="7"/>
  <c r="BN1703" i="7"/>
  <c r="BN1202" i="7"/>
  <c r="BL1202" i="7"/>
  <c r="BN802" i="7"/>
  <c r="BL802" i="7"/>
  <c r="BN23" i="7"/>
  <c r="BL23" i="7"/>
  <c r="BM53" i="8"/>
  <c r="BL53" i="8"/>
  <c r="BL182" i="7"/>
  <c r="BL36" i="8"/>
  <c r="BM36" i="8"/>
  <c r="BL173" i="7"/>
  <c r="BL2275" i="7"/>
  <c r="BN1432" i="7"/>
  <c r="BL1432" i="7"/>
  <c r="BL1162" i="7"/>
  <c r="BM89" i="8"/>
  <c r="BL89" i="8"/>
  <c r="BL156" i="7"/>
  <c r="BL1766" i="7"/>
  <c r="BL1347" i="7"/>
  <c r="BL994" i="7"/>
  <c r="BL237" i="7"/>
  <c r="BN237" i="7"/>
  <c r="BL2214" i="7"/>
  <c r="BL2134" i="7"/>
  <c r="BL1868" i="7"/>
  <c r="BL103" i="8"/>
  <c r="BL124" i="7"/>
  <c r="BM103" i="8"/>
  <c r="BN1306" i="7"/>
  <c r="BL1306" i="7"/>
  <c r="BN1222" i="7"/>
  <c r="BL1222" i="7"/>
  <c r="BL113" i="7"/>
  <c r="BL498" i="7"/>
  <c r="BL230" i="7"/>
  <c r="BL640" i="7"/>
  <c r="BN2202" i="7"/>
  <c r="BL2202" i="7"/>
  <c r="BL813" i="7"/>
  <c r="BN1679" i="7"/>
  <c r="BL1679" i="7"/>
  <c r="BN1970" i="7"/>
  <c r="BL1970" i="7"/>
  <c r="BL1604" i="7"/>
  <c r="BN1999" i="7"/>
  <c r="BL1999" i="7"/>
  <c r="BL875" i="7"/>
  <c r="BL565" i="7"/>
  <c r="BL24" i="7"/>
  <c r="BL487" i="7"/>
  <c r="BL2049" i="7"/>
  <c r="BL1028" i="7"/>
  <c r="BN340" i="7"/>
  <c r="BL340" i="7"/>
  <c r="BL1235" i="7"/>
  <c r="BN532" i="7"/>
  <c r="BL532" i="7"/>
  <c r="BN707" i="7"/>
  <c r="BL707" i="7"/>
  <c r="BL1080" i="7"/>
  <c r="BN1621" i="7"/>
  <c r="BL1621" i="7"/>
  <c r="BN896" i="7"/>
  <c r="BL896" i="7"/>
  <c r="BL1900" i="7"/>
  <c r="BL454" i="7"/>
  <c r="BL914" i="7"/>
  <c r="BL1913" i="7"/>
  <c r="BL1617" i="7"/>
  <c r="BN1576" i="7"/>
  <c r="BL1576" i="7"/>
  <c r="BL2281" i="7"/>
  <c r="BL1552" i="7"/>
  <c r="BN1552" i="7"/>
  <c r="BN1274" i="7"/>
  <c r="BL1274" i="7"/>
  <c r="BL368" i="7"/>
  <c r="BL772" i="7"/>
  <c r="BN772" i="7"/>
  <c r="BN879" i="7"/>
  <c r="BL879" i="7"/>
  <c r="BN1169" i="7"/>
  <c r="BL1169" i="7"/>
  <c r="BL423" i="7"/>
  <c r="BL1828" i="7"/>
  <c r="BL1365" i="7"/>
  <c r="BL1332" i="7"/>
  <c r="BL480" i="7"/>
  <c r="BN480" i="7"/>
  <c r="BN312" i="7"/>
  <c r="BL312" i="7"/>
  <c r="BN1056" i="7"/>
  <c r="BL1056" i="7"/>
  <c r="BN1852" i="7"/>
  <c r="BL1852" i="7"/>
  <c r="BL1940" i="7"/>
  <c r="BL2094" i="7"/>
  <c r="BN2094" i="7"/>
  <c r="BN2278" i="7"/>
  <c r="BL2278" i="7"/>
  <c r="BL313" i="7"/>
  <c r="BL774" i="7"/>
  <c r="BN774" i="7"/>
  <c r="BL968" i="7"/>
  <c r="BL1791" i="7"/>
  <c r="BL2138" i="7"/>
  <c r="BL1010" i="7"/>
  <c r="BL982" i="7"/>
  <c r="BN982" i="7"/>
  <c r="BN1179" i="7"/>
  <c r="BL1179" i="7"/>
  <c r="BL616" i="7"/>
  <c r="BL635" i="7"/>
  <c r="BN1034" i="7"/>
  <c r="BL1034" i="7"/>
  <c r="BN2248" i="7"/>
  <c r="BL2248" i="7"/>
  <c r="BL1863" i="7"/>
  <c r="BN1933" i="7"/>
  <c r="BL1933" i="7"/>
  <c r="BL721" i="7"/>
  <c r="BL52" i="8"/>
  <c r="BM52" i="8"/>
  <c r="BL183" i="7"/>
  <c r="BL1736" i="7"/>
  <c r="BL1395" i="7"/>
  <c r="BN388" i="7"/>
  <c r="BL388" i="7"/>
  <c r="BN1685" i="7"/>
  <c r="BL1685" i="7"/>
  <c r="BN1035" i="7"/>
  <c r="BL1035" i="7"/>
  <c r="BL1572" i="7"/>
  <c r="BL741" i="7"/>
  <c r="BL1648" i="7"/>
  <c r="BL359" i="7"/>
  <c r="BN359" i="7"/>
  <c r="BN62" i="7"/>
  <c r="BL62" i="7"/>
  <c r="BL2054" i="7"/>
  <c r="BN2054" i="7"/>
  <c r="BN425" i="7"/>
  <c r="BL425" i="7"/>
  <c r="BL2171" i="7"/>
  <c r="BL2067" i="7"/>
  <c r="BN2067" i="7"/>
  <c r="BN1646" i="7"/>
  <c r="BL1646" i="7"/>
  <c r="BN1524" i="7"/>
  <c r="BL1524" i="7"/>
  <c r="BL1457" i="7"/>
  <c r="BL2279" i="7"/>
  <c r="BL961" i="7"/>
  <c r="BL1453" i="7"/>
  <c r="BL922" i="7"/>
  <c r="BL732" i="7"/>
  <c r="BN674" i="7"/>
  <c r="BL674" i="7"/>
  <c r="BL1019" i="7"/>
  <c r="BN1019" i="7"/>
  <c r="BL102" i="7"/>
  <c r="BN102" i="7"/>
  <c r="BL119" i="7"/>
  <c r="BL678" i="7"/>
  <c r="BN1888" i="7"/>
  <c r="BL1888" i="7"/>
  <c r="BL2079" i="7"/>
  <c r="BN2079" i="7"/>
  <c r="BN2017" i="7"/>
  <c r="BL2017" i="7"/>
  <c r="BM4" i="8"/>
  <c r="BL4" i="8"/>
  <c r="BL384" i="7"/>
  <c r="BL1839" i="7"/>
  <c r="BL2074" i="7"/>
  <c r="BN1805" i="7"/>
  <c r="BL1805" i="7"/>
  <c r="BN1799" i="7"/>
  <c r="BL1799" i="7"/>
  <c r="BL747" i="7"/>
  <c r="BN1090" i="7"/>
  <c r="BL1090" i="7"/>
  <c r="BL1089" i="7"/>
  <c r="BL2120" i="7"/>
  <c r="BN339" i="7"/>
  <c r="BL339" i="7"/>
  <c r="BL975" i="7"/>
  <c r="BL2065" i="7"/>
  <c r="BN2065" i="7"/>
  <c r="BL1853" i="7"/>
  <c r="BL943" i="7"/>
  <c r="BL2075" i="7"/>
  <c r="BL1013" i="7"/>
  <c r="BL1342" i="7"/>
  <c r="BN1450" i="7"/>
  <c r="BL1450" i="7"/>
  <c r="BN1808" i="7"/>
  <c r="BL1808" i="7"/>
  <c r="BL1955" i="7"/>
  <c r="BN2232" i="7"/>
  <c r="BL2232" i="7"/>
  <c r="BL457" i="7"/>
  <c r="BL656" i="7"/>
  <c r="BN2173" i="7"/>
  <c r="BL2173" i="7"/>
  <c r="BL1079" i="7"/>
  <c r="BL911" i="7"/>
  <c r="BL2101" i="7"/>
  <c r="BL923" i="7"/>
  <c r="BL682" i="7"/>
  <c r="BN682" i="7"/>
  <c r="BN554" i="7"/>
  <c r="BL554" i="7"/>
  <c r="BN207" i="7"/>
  <c r="BL207" i="7"/>
  <c r="BL436" i="7"/>
  <c r="BN1009" i="7"/>
  <c r="BL1009" i="7"/>
  <c r="BN1727" i="7"/>
  <c r="BL1727" i="7"/>
  <c r="BN1389" i="7"/>
  <c r="BL1389" i="7"/>
  <c r="BN2174" i="7"/>
  <c r="BL2174" i="7"/>
  <c r="BL206" i="7"/>
  <c r="BL767" i="7"/>
  <c r="BL1368" i="7"/>
  <c r="BL782" i="7"/>
  <c r="BN995" i="7"/>
  <c r="BL995" i="7"/>
  <c r="BM7" i="8"/>
  <c r="BL7" i="8"/>
  <c r="BL382" i="7"/>
  <c r="BN1359" i="7"/>
  <c r="BL1359" i="7"/>
  <c r="BL726" i="7"/>
  <c r="BL351" i="7"/>
  <c r="BN1252" i="7"/>
  <c r="BL1252" i="7"/>
  <c r="BL1908" i="7"/>
  <c r="BN2205" i="7"/>
  <c r="BL2205" i="7"/>
  <c r="BL668" i="7"/>
  <c r="BL541" i="7"/>
  <c r="BL2059" i="7"/>
  <c r="BN1573" i="7"/>
  <c r="BL1573" i="7"/>
  <c r="BN325" i="7"/>
  <c r="BL325" i="7"/>
  <c r="BN1767" i="7"/>
  <c r="BL1767" i="7"/>
  <c r="BL1237" i="7"/>
  <c r="BN1237" i="7"/>
  <c r="BL1443" i="7"/>
  <c r="BL1701" i="7"/>
  <c r="BN1701" i="7"/>
  <c r="BN2019" i="7"/>
  <c r="BL2019" i="7"/>
  <c r="BN485" i="7"/>
  <c r="BL485" i="7"/>
  <c r="BL606" i="7"/>
  <c r="BL1894" i="7"/>
  <c r="BL1297" i="7"/>
  <c r="BL1110" i="7"/>
  <c r="BN1302" i="7"/>
  <c r="BL1302" i="7"/>
  <c r="BN1959" i="7"/>
  <c r="BL1959" i="7"/>
  <c r="BL34" i="8"/>
  <c r="BM34" i="8"/>
  <c r="BL163" i="7"/>
  <c r="BN1546" i="7"/>
  <c r="BL1546" i="7"/>
  <c r="BL2103" i="7"/>
  <c r="BN717" i="7"/>
  <c r="BL717" i="7"/>
  <c r="BL84" i="8"/>
  <c r="BM84" i="8"/>
  <c r="BL46" i="7"/>
  <c r="BL87" i="7"/>
  <c r="BL1192" i="7"/>
  <c r="BL1793" i="7"/>
  <c r="BL49" i="7"/>
  <c r="BL1726" i="7"/>
  <c r="BL731" i="7"/>
  <c r="BL244" i="7"/>
  <c r="BN244" i="7"/>
  <c r="BN1352" i="7"/>
  <c r="BL1352" i="7"/>
  <c r="BN1984" i="7"/>
  <c r="BL1984" i="7"/>
  <c r="BL2182" i="7"/>
  <c r="BN1357" i="7"/>
  <c r="BL1357" i="7"/>
  <c r="BL1102" i="7"/>
  <c r="BN1102" i="7"/>
  <c r="BN608" i="7"/>
  <c r="BL608" i="7"/>
  <c r="BN262" i="7"/>
  <c r="BL262" i="7"/>
  <c r="BL1950" i="7"/>
  <c r="BL101" i="7"/>
  <c r="BL1956" i="7"/>
  <c r="BL59" i="7"/>
  <c r="BN439" i="7"/>
  <c r="BL439" i="7"/>
  <c r="BL1768" i="7"/>
  <c r="BN1768" i="7"/>
  <c r="BL266" i="7"/>
  <c r="BN1948" i="7"/>
  <c r="BL1948" i="7"/>
  <c r="BL2169" i="7"/>
  <c r="BL836" i="7"/>
  <c r="BL2043" i="7"/>
  <c r="BL828" i="7"/>
  <c r="BL1319" i="7"/>
  <c r="BN519" i="7"/>
  <c r="BL519" i="7"/>
  <c r="BM50" i="8"/>
  <c r="BL50" i="8"/>
  <c r="BL112" i="7"/>
  <c r="BL576" i="7"/>
  <c r="BN1210" i="7"/>
  <c r="BL1210" i="7"/>
  <c r="BL100" i="7"/>
  <c r="BL2016" i="7"/>
  <c r="BN1826" i="7"/>
  <c r="BL1826" i="7"/>
  <c r="BL840" i="7"/>
  <c r="BL690" i="7"/>
  <c r="BL544" i="7"/>
  <c r="BL2268" i="7"/>
  <c r="BL71" i="7"/>
  <c r="BN71" i="7"/>
  <c r="BL958" i="7"/>
  <c r="BN1213" i="7"/>
  <c r="BL1213" i="7"/>
  <c r="BL471" i="7"/>
  <c r="BN759" i="7"/>
  <c r="BL759" i="7"/>
  <c r="BN1354" i="7"/>
  <c r="BL1354" i="7"/>
  <c r="BL1895" i="7"/>
  <c r="BL417" i="7"/>
  <c r="BL122" i="7"/>
  <c r="BL1337" i="7"/>
  <c r="BL1854" i="7"/>
  <c r="BL738" i="7"/>
  <c r="BN1924" i="7"/>
  <c r="BL1924" i="7"/>
  <c r="BN1331" i="7"/>
  <c r="BL1331" i="7"/>
  <c r="BN293" i="7"/>
  <c r="BL293" i="7"/>
  <c r="BL2062" i="7"/>
  <c r="BL1628" i="7"/>
  <c r="BN1628" i="7"/>
  <c r="BN973" i="7"/>
  <c r="BL973" i="7"/>
  <c r="BN952" i="7"/>
  <c r="BL952" i="7"/>
  <c r="BN353" i="7"/>
  <c r="BL353" i="7"/>
  <c r="BL799" i="7"/>
  <c r="BL850" i="7"/>
  <c r="BM72" i="8"/>
  <c r="BL33" i="7"/>
  <c r="BL72" i="8"/>
  <c r="BN578" i="7"/>
  <c r="BL578" i="7"/>
  <c r="BN2141" i="7"/>
  <c r="BL2141" i="7"/>
  <c r="BN1872" i="7"/>
  <c r="BL1872" i="7"/>
  <c r="BN853" i="7"/>
  <c r="BL853" i="7"/>
  <c r="BL1283" i="7"/>
  <c r="BL1372" i="7"/>
  <c r="BN1372" i="7"/>
  <c r="BN1818" i="7"/>
  <c r="BL1818" i="7"/>
  <c r="BN1909" i="7"/>
  <c r="BL1909" i="7"/>
  <c r="BL129" i="7"/>
  <c r="BL24" i="8"/>
  <c r="BM24" i="8"/>
  <c r="BL157" i="7"/>
  <c r="BL653" i="7"/>
  <c r="BL780" i="7"/>
  <c r="BN2028" i="7"/>
  <c r="BL2028" i="7"/>
  <c r="BN270" i="7"/>
  <c r="BL270" i="7"/>
  <c r="BN1366" i="7"/>
  <c r="BL1366" i="7"/>
  <c r="BN854" i="7"/>
  <c r="BL854" i="7"/>
  <c r="BL2137" i="7"/>
  <c r="BM67" i="8"/>
  <c r="BL67" i="8"/>
  <c r="BL28" i="7"/>
  <c r="BL787" i="7"/>
  <c r="BN787" i="7"/>
  <c r="BL577" i="7"/>
  <c r="BL79" i="7"/>
  <c r="BL2097" i="7"/>
  <c r="BL1812" i="7"/>
  <c r="BL1012" i="7"/>
  <c r="BL769" i="7"/>
  <c r="BN1960" i="7"/>
  <c r="BL1960" i="7"/>
  <c r="BN1565" i="7"/>
  <c r="BL1565" i="7"/>
  <c r="BN1489" i="7"/>
  <c r="BL1489" i="7"/>
  <c r="BL775" i="7"/>
  <c r="BL47" i="8"/>
  <c r="BM47" i="8"/>
  <c r="BL108" i="7"/>
  <c r="BM40" i="8"/>
  <c r="BL40" i="8"/>
  <c r="BL165" i="7"/>
  <c r="BL1715" i="7"/>
  <c r="BL118" i="7"/>
  <c r="BL2052" i="7"/>
  <c r="BL680" i="7"/>
  <c r="BL1936" i="7"/>
  <c r="BN196" i="7"/>
  <c r="BL196" i="7"/>
  <c r="BL1633" i="7"/>
  <c r="BN931" i="7"/>
  <c r="BL931" i="7"/>
  <c r="BN1600" i="7"/>
  <c r="BL1600" i="7"/>
  <c r="BL1634" i="7"/>
  <c r="BN1605" i="7"/>
  <c r="BL1605" i="7"/>
  <c r="BL218" i="7"/>
  <c r="BL91" i="8"/>
  <c r="BM91" i="8"/>
  <c r="BN903" i="7"/>
  <c r="BL903" i="7"/>
  <c r="BN847" i="7"/>
  <c r="BL847" i="7"/>
  <c r="BL642" i="7"/>
  <c r="BL1841" i="7"/>
  <c r="BL2085" i="7"/>
  <c r="BN622" i="7"/>
  <c r="BL622" i="7"/>
  <c r="BN2116" i="7"/>
  <c r="BL2116" i="7"/>
  <c r="BN496" i="7"/>
  <c r="BL496" i="7"/>
  <c r="BN1465" i="7"/>
  <c r="BL1465" i="7"/>
  <c r="BL65" i="7"/>
  <c r="BN65" i="7"/>
  <c r="BL482" i="7"/>
  <c r="BN482" i="7"/>
  <c r="BL1945" i="7"/>
  <c r="BN1945" i="7"/>
  <c r="BL2260" i="7"/>
  <c r="BN1400" i="7"/>
  <c r="BL1400" i="7"/>
  <c r="BL1777" i="7"/>
  <c r="BN1777" i="7"/>
  <c r="BL706" i="7"/>
  <c r="BL2148" i="7"/>
  <c r="BN2148" i="7"/>
  <c r="BL1298" i="7"/>
  <c r="BL1667" i="7"/>
  <c r="BL398" i="7"/>
  <c r="BN1834" i="7"/>
  <c r="BL1834" i="7"/>
  <c r="BL859" i="7"/>
  <c r="BN859" i="7"/>
  <c r="BN1755" i="7"/>
  <c r="BL1755" i="7"/>
  <c r="BN651" i="7"/>
  <c r="BL651" i="7"/>
  <c r="BL1586" i="7"/>
  <c r="BN1786" i="7"/>
  <c r="BL1786" i="7"/>
  <c r="BL378" i="7"/>
  <c r="BL913" i="7"/>
  <c r="BN913" i="7"/>
  <c r="BL1436" i="7"/>
  <c r="BL463" i="7"/>
  <c r="BL1439" i="7"/>
  <c r="BL6" i="7"/>
  <c r="BN1476" i="7"/>
  <c r="BL1476" i="7"/>
  <c r="BN1738" i="7"/>
  <c r="BL1738" i="7"/>
  <c r="BN586" i="7"/>
  <c r="BL586" i="7"/>
  <c r="BN225" i="7"/>
  <c r="BL225" i="7"/>
  <c r="BL2259" i="7"/>
  <c r="BL860" i="7"/>
  <c r="BN860" i="7"/>
  <c r="BN844" i="7"/>
  <c r="BL844" i="7"/>
  <c r="BL884" i="7"/>
  <c r="BN884" i="7"/>
  <c r="BL2209" i="7"/>
  <c r="BN2209" i="7"/>
  <c r="BL1174" i="7"/>
  <c r="BL974" i="7"/>
  <c r="BL2122" i="7"/>
  <c r="BL15" i="8"/>
  <c r="BM15" i="8"/>
  <c r="BL2206" i="7"/>
  <c r="BN1747" i="7"/>
  <c r="BL1747" i="7"/>
  <c r="BN2042" i="7"/>
  <c r="BL2042" i="7"/>
  <c r="BN1619" i="7"/>
  <c r="BL1619" i="7"/>
  <c r="BL440" i="7"/>
  <c r="BN440" i="7"/>
  <c r="BL364" i="7"/>
  <c r="BN1303" i="7"/>
  <c r="BL1303" i="7"/>
  <c r="BL1661" i="7"/>
  <c r="BL613" i="7"/>
  <c r="BL1160" i="7"/>
  <c r="BL1921" i="7"/>
  <c r="BL1548" i="7"/>
  <c r="BN570" i="7"/>
  <c r="BL570" i="7"/>
  <c r="BM23" i="8"/>
  <c r="BL23" i="8"/>
  <c r="BL167" i="7"/>
  <c r="BN1423" i="7"/>
  <c r="BL1423" i="7"/>
  <c r="BN1469" i="7"/>
  <c r="BL1469" i="7"/>
  <c r="BL701" i="7"/>
  <c r="BL2231" i="7"/>
  <c r="BN2231" i="7"/>
  <c r="BN965" i="7"/>
  <c r="BL965" i="7"/>
  <c r="BL1396" i="7"/>
  <c r="BN1396" i="7"/>
  <c r="BN1929" i="7"/>
  <c r="BL1929" i="7"/>
  <c r="BL1437" i="7"/>
  <c r="BL1880" i="7"/>
  <c r="BL1433" i="7"/>
  <c r="BL736" i="7"/>
  <c r="BN675" i="7"/>
  <c r="BL675" i="7"/>
  <c r="BL1067" i="7"/>
  <c r="BN1612" i="7"/>
  <c r="BL1612" i="7"/>
  <c r="BL695" i="7"/>
  <c r="BN1905" i="7"/>
  <c r="BL1905" i="7"/>
  <c r="BN1528" i="7"/>
  <c r="BL1528" i="7"/>
  <c r="BL1958" i="7"/>
  <c r="BN670" i="7"/>
  <c r="BL670" i="7"/>
  <c r="BL628" i="7"/>
  <c r="BL144" i="7"/>
  <c r="BL1774" i="7"/>
  <c r="BN1310" i="7"/>
  <c r="BL1310" i="7"/>
  <c r="BL1454" i="7"/>
  <c r="BN1998" i="7"/>
  <c r="BL1998" i="7"/>
  <c r="BN1721" i="7"/>
  <c r="BL1721" i="7"/>
  <c r="BN2018" i="7"/>
  <c r="BL2018" i="7"/>
  <c r="BL2216" i="7"/>
  <c r="BN2077" i="7"/>
  <c r="BL2077" i="7"/>
  <c r="BN1059" i="7"/>
  <c r="BL1059" i="7"/>
  <c r="BN2091" i="7"/>
  <c r="BL2091" i="7"/>
  <c r="BL1175" i="7"/>
  <c r="BL1985" i="7"/>
  <c r="BL1798" i="7"/>
  <c r="BL1131" i="7"/>
  <c r="BL910" i="7"/>
  <c r="BN910" i="7"/>
  <c r="BN649" i="7"/>
  <c r="BL649" i="7"/>
  <c r="BN1941" i="7"/>
  <c r="BL1941" i="7"/>
  <c r="BN1561" i="7"/>
  <c r="BL1561" i="7"/>
  <c r="BL377" i="7"/>
  <c r="BN1484" i="7"/>
  <c r="BL1484" i="7"/>
  <c r="BN1962" i="7"/>
  <c r="BL1962" i="7"/>
  <c r="BL448" i="7"/>
  <c r="BL1127" i="7"/>
  <c r="BM9" i="8"/>
  <c r="BL9" i="8"/>
  <c r="BL408" i="7"/>
  <c r="BL900" i="7"/>
  <c r="BN400" i="7"/>
  <c r="BL400" i="7"/>
  <c r="BN473" i="7"/>
  <c r="BL473" i="7"/>
  <c r="BN1525" i="7"/>
  <c r="BL1525" i="7"/>
  <c r="BL77" i="8"/>
  <c r="BM77" i="8"/>
  <c r="BL38" i="7"/>
  <c r="BN370" i="7"/>
  <c r="BL370" i="7"/>
  <c r="BN1448" i="7"/>
  <c r="BL1448" i="7"/>
  <c r="BL986" i="7"/>
  <c r="BN1783" i="7"/>
  <c r="BL1783" i="7"/>
  <c r="BL1081" i="7"/>
  <c r="BL1065" i="7"/>
  <c r="BL74" i="7"/>
  <c r="BL712" i="7"/>
  <c r="BN712" i="7"/>
  <c r="BN550" i="7"/>
  <c r="BL550" i="7"/>
  <c r="BL1775" i="7"/>
  <c r="BN1775" i="7"/>
  <c r="BN1728" i="7"/>
  <c r="BL1728" i="7"/>
  <c r="BL614" i="7"/>
  <c r="BN704" i="7"/>
  <c r="BL704" i="7"/>
  <c r="BL127" i="7"/>
  <c r="BN127" i="7"/>
  <c r="BL1819" i="7"/>
  <c r="BN1806" i="7"/>
  <c r="BL1806" i="7"/>
  <c r="BL264" i="7"/>
  <c r="BL521" i="7"/>
  <c r="BL1730" i="7"/>
  <c r="BL1455" i="7"/>
  <c r="BN1455" i="7"/>
  <c r="BN213" i="7"/>
  <c r="BL213" i="7"/>
  <c r="BL1158" i="7"/>
  <c r="BN1735" i="7"/>
  <c r="BL1735" i="7"/>
  <c r="BN1157" i="7"/>
  <c r="BL1157" i="7"/>
  <c r="BN699" i="7"/>
  <c r="BL699" i="7"/>
  <c r="BM73" i="8"/>
  <c r="BL34" i="7"/>
  <c r="BN948" i="7"/>
  <c r="BL948" i="7"/>
  <c r="BL140" i="7"/>
  <c r="BL821" i="7"/>
  <c r="BL478" i="7"/>
  <c r="BL189" i="7"/>
  <c r="BN686" i="7"/>
  <c r="BL686" i="7"/>
  <c r="BN530" i="7"/>
  <c r="BL530" i="7"/>
  <c r="BL1121" i="7"/>
  <c r="BL2113" i="7"/>
  <c r="BN597" i="7"/>
  <c r="BL597" i="7"/>
  <c r="BN863" i="7"/>
  <c r="BL863" i="7"/>
  <c r="BN1415" i="7"/>
  <c r="BL1415" i="7"/>
  <c r="BL76" i="7"/>
  <c r="BN116" i="7"/>
  <c r="BL116" i="7"/>
  <c r="BL1582" i="7"/>
  <c r="BL814" i="7"/>
  <c r="BL1224" i="7"/>
  <c r="BL2180" i="7"/>
  <c r="BN19" i="7"/>
  <c r="BL19" i="7"/>
  <c r="BN1133" i="7"/>
  <c r="BL1133" i="7"/>
  <c r="BN2030" i="7"/>
  <c r="BL2030" i="7"/>
  <c r="BN1756" i="7"/>
  <c r="BL1756" i="7"/>
  <c r="BM45" i="8"/>
  <c r="BL45" i="8"/>
  <c r="BL94" i="7"/>
  <c r="BN1711" i="7"/>
  <c r="BL1711" i="7"/>
  <c r="BL1654" i="7"/>
  <c r="BN1874" i="7"/>
  <c r="BL1874" i="7"/>
  <c r="BL95" i="8"/>
  <c r="BL216" i="7"/>
  <c r="BM95" i="8"/>
  <c r="BL713" i="7"/>
  <c r="BL696" i="7"/>
  <c r="BL833" i="7"/>
  <c r="BN805" i="7"/>
  <c r="BL805" i="7"/>
  <c r="BN2150" i="7"/>
  <c r="BL2150" i="7"/>
  <c r="BN637" i="7"/>
  <c r="BL637" i="7"/>
  <c r="BL1722" i="7"/>
  <c r="BL58" i="8"/>
  <c r="BL418" i="7"/>
  <c r="BM58" i="8"/>
  <c r="BM92" i="8"/>
  <c r="BL92" i="8"/>
  <c r="BL215" i="7"/>
  <c r="BN908" i="7"/>
  <c r="BL908" i="7"/>
  <c r="BL1622" i="7"/>
  <c r="BL1277" i="7"/>
  <c r="BL822" i="7"/>
  <c r="BL620" i="7"/>
  <c r="BL1458" i="7"/>
  <c r="BN1458" i="7"/>
  <c r="BN354" i="7"/>
  <c r="BL354" i="7"/>
  <c r="BM44" i="8"/>
  <c r="BL44" i="8"/>
  <c r="BL158" i="7"/>
  <c r="BM28" i="8"/>
  <c r="BL28" i="8"/>
  <c r="BL168" i="7"/>
  <c r="BL240" i="7"/>
  <c r="BN1911" i="7"/>
  <c r="BL1911" i="7"/>
  <c r="BN1030" i="7"/>
  <c r="BL1030" i="7"/>
  <c r="BL2176" i="7"/>
  <c r="BN2176" i="7"/>
  <c r="BM97" i="8"/>
  <c r="BL97" i="8"/>
  <c r="BL221" i="7"/>
  <c r="BN2083" i="7"/>
  <c r="BL2083" i="7"/>
  <c r="BN375" i="7"/>
  <c r="BL375" i="7"/>
  <c r="BL329" i="7"/>
  <c r="BN329" i="7"/>
  <c r="BL2244" i="7"/>
  <c r="BN2244" i="7"/>
  <c r="BN1803" i="7"/>
  <c r="BL1803" i="7"/>
  <c r="BN1535" i="7"/>
  <c r="BL1535" i="7"/>
  <c r="BL745" i="7"/>
  <c r="BN745" i="7"/>
  <c r="BN796" i="7"/>
  <c r="BL796" i="7"/>
  <c r="BN985" i="7"/>
  <c r="BL985" i="7"/>
  <c r="BN1637" i="7"/>
  <c r="BL1637" i="7"/>
  <c r="BN1636" i="7"/>
  <c r="BL1636" i="7"/>
  <c r="BL518" i="7"/>
  <c r="BN562" i="7"/>
  <c r="BL562" i="7"/>
  <c r="BL1907" i="7"/>
  <c r="BL305" i="7"/>
  <c r="BN1316" i="7"/>
  <c r="BL1316" i="7"/>
  <c r="BL928" i="7"/>
  <c r="BN928" i="7"/>
  <c r="BL1530" i="7"/>
  <c r="BL1821" i="7"/>
  <c r="BN1821" i="7"/>
  <c r="BN117" i="7"/>
  <c r="BL117" i="7"/>
  <c r="BN307" i="7"/>
  <c r="BL307" i="7"/>
  <c r="BL534" i="7"/>
  <c r="BN534" i="7"/>
  <c r="BL917" i="7"/>
  <c r="BN917" i="7"/>
  <c r="BN1216" i="7"/>
  <c r="BL1216" i="7"/>
  <c r="BN99" i="7"/>
  <c r="BL99" i="7"/>
  <c r="BN915" i="7"/>
  <c r="BL915" i="7"/>
  <c r="BN2245" i="7"/>
  <c r="BL2245" i="7"/>
  <c r="BL1563" i="7"/>
  <c r="BN1837" i="7"/>
  <c r="BL1837" i="7"/>
  <c r="BL396" i="7"/>
  <c r="BL1607" i="7"/>
  <c r="BN1662" i="7"/>
  <c r="BL1662" i="7"/>
  <c r="BN1668" i="7"/>
  <c r="BL1668" i="7"/>
  <c r="BN927" i="7"/>
  <c r="BL927" i="7"/>
  <c r="BN1276" i="7"/>
  <c r="BL1276" i="7"/>
  <c r="BL1556" i="7"/>
  <c r="BN1556" i="7"/>
  <c r="BL561" i="7"/>
  <c r="BN1781" i="7"/>
  <c r="BL1781" i="7"/>
  <c r="BN1932" i="7"/>
  <c r="BL1932" i="7"/>
  <c r="BM2283" i="7"/>
  <c r="BN2283" i="7" s="1"/>
  <c r="BL2283" i="7"/>
  <c r="BN243" i="7"/>
  <c r="BL243" i="7"/>
  <c r="BL1052" i="7"/>
  <c r="BN1052" i="7"/>
  <c r="BL2130" i="7"/>
  <c r="BN2130" i="7"/>
  <c r="BL556" i="7"/>
  <c r="BL341" i="7"/>
  <c r="BL829" i="7"/>
  <c r="BL1151" i="7"/>
  <c r="BL904" i="7"/>
  <c r="BN786" i="7"/>
  <c r="BL786" i="7"/>
  <c r="BN1794" i="7"/>
  <c r="BL1794" i="7"/>
  <c r="BN1666" i="7"/>
  <c r="BL1666" i="7"/>
  <c r="BL1362" i="7"/>
  <c r="BN525" i="7"/>
  <c r="BL525" i="7"/>
  <c r="BL671" i="7"/>
  <c r="BL2155" i="7"/>
  <c r="BN2155" i="7"/>
  <c r="BN2154" i="7"/>
  <c r="BL2154" i="7"/>
  <c r="BN276" i="7"/>
  <c r="BL276" i="7"/>
  <c r="BL869" i="7"/>
  <c r="BL1322" i="7"/>
  <c r="BL834" i="7"/>
  <c r="BN2023" i="7"/>
  <c r="BL2023" i="7"/>
  <c r="BN190" i="7"/>
  <c r="BL190" i="7"/>
  <c r="BN669" i="7"/>
  <c r="BL669" i="7"/>
  <c r="BN801" i="7"/>
  <c r="BL801" i="7"/>
  <c r="BL411" i="7"/>
  <c r="BN1892" i="7"/>
  <c r="BL1892" i="7"/>
  <c r="BL1088" i="7"/>
  <c r="BN1088" i="7"/>
  <c r="BL486" i="7"/>
  <c r="BN486" i="7"/>
  <c r="BL529" i="7"/>
  <c r="BL85" i="7"/>
  <c r="BL2178" i="7"/>
  <c r="BL2066" i="7"/>
  <c r="BN2066" i="7"/>
  <c r="BL1136" i="7"/>
  <c r="BL1529" i="7"/>
  <c r="BN1529" i="7"/>
  <c r="BL1618" i="7"/>
  <c r="BL1485" i="7"/>
  <c r="BN1485" i="7"/>
  <c r="BN1360" i="7"/>
  <c r="BL1360" i="7"/>
  <c r="BN2001" i="7"/>
  <c r="BL2001" i="7"/>
  <c r="BL1168" i="7"/>
  <c r="BN1168" i="7"/>
  <c r="BL403" i="7"/>
  <c r="BN885" i="7"/>
  <c r="BL885" i="7"/>
  <c r="BL1681" i="7"/>
  <c r="BN1681" i="7"/>
  <c r="BL1279" i="7"/>
  <c r="BL1033" i="7"/>
  <c r="BL659" i="7"/>
  <c r="BN1200" i="7"/>
  <c r="BL1200" i="7"/>
  <c r="BL1375" i="7"/>
  <c r="BN761" i="7"/>
  <c r="BL761" i="7"/>
  <c r="BL1749" i="7"/>
  <c r="BN1749" i="7"/>
  <c r="BN1560" i="7"/>
  <c r="BL1560" i="7"/>
  <c r="BN1549" i="7"/>
  <c r="BL1549" i="7"/>
  <c r="BN322" i="7"/>
  <c r="BL322" i="7"/>
  <c r="BL271" i="7"/>
  <c r="BL462" i="7"/>
  <c r="BL205" i="7"/>
  <c r="BL1584" i="7"/>
  <c r="BL1154" i="7"/>
  <c r="BN136" i="7"/>
  <c r="BL136" i="7"/>
  <c r="BN817" i="7"/>
  <c r="BL817" i="7"/>
  <c r="BL866" i="7"/>
  <c r="BN866" i="7"/>
  <c r="BN1526" i="7"/>
  <c r="BL1526" i="7"/>
  <c r="BM70" i="8"/>
  <c r="BL70" i="8"/>
  <c r="BL31" i="7"/>
  <c r="BN1186" i="7"/>
  <c r="BL1186" i="7"/>
  <c r="BL515" i="7"/>
  <c r="BN2009" i="7"/>
  <c r="BL2009" i="7"/>
  <c r="BN1990" i="7"/>
  <c r="BL1990" i="7"/>
  <c r="BL100" i="8"/>
  <c r="BM100" i="8"/>
  <c r="BL63" i="7"/>
  <c r="BM22" i="8"/>
  <c r="BL22" i="8"/>
  <c r="BL89" i="7"/>
  <c r="BL1036" i="7"/>
  <c r="BL1429" i="7"/>
  <c r="BL1598" i="7"/>
  <c r="BN97" i="7"/>
  <c r="BL97" i="7"/>
  <c r="BN2158" i="7"/>
  <c r="BL2158" i="7"/>
  <c r="BN1064" i="7"/>
  <c r="BL1064" i="7"/>
  <c r="BN311" i="7"/>
  <c r="BL311" i="7"/>
  <c r="BL19" i="8"/>
  <c r="BM19" i="8"/>
  <c r="BL52" i="7"/>
  <c r="BL2199" i="7"/>
  <c r="BN1062" i="7"/>
  <c r="BL1062" i="7"/>
  <c r="BN611" i="7"/>
  <c r="BL611" i="7"/>
  <c r="BN971" i="7"/>
  <c r="BL971" i="7"/>
  <c r="BL1230" i="7"/>
  <c r="BL818" i="7"/>
  <c r="BL1374" i="7"/>
  <c r="BN587" i="7"/>
  <c r="BL587" i="7"/>
  <c r="BN2203" i="7"/>
  <c r="BL2203" i="7"/>
  <c r="BL1290" i="7"/>
  <c r="BN1290" i="7"/>
  <c r="BN1211" i="7"/>
  <c r="BL1211" i="7"/>
  <c r="BN397" i="7"/>
  <c r="BL397" i="7"/>
  <c r="BL2168" i="7"/>
  <c r="BN1348" i="7"/>
  <c r="BL1348" i="7"/>
  <c r="BN1233" i="7"/>
  <c r="BL1233" i="7"/>
  <c r="BL1344" i="7"/>
  <c r="BN1344" i="7"/>
  <c r="BL2191" i="7"/>
  <c r="BN2191" i="7"/>
  <c r="BL981" i="7"/>
  <c r="BL891" i="7"/>
  <c r="BM62" i="8"/>
  <c r="BL62" i="8"/>
  <c r="BL429" i="7"/>
  <c r="BN1857" i="7"/>
  <c r="BL1857" i="7"/>
  <c r="BN539" i="7"/>
  <c r="BL539" i="7"/>
  <c r="BL1761" i="7"/>
  <c r="BN1761" i="7"/>
  <c r="BN72" i="7"/>
  <c r="BL72" i="7"/>
  <c r="BL1242" i="7"/>
  <c r="BN1242" i="7"/>
  <c r="BL1855" i="7"/>
  <c r="BN1910" i="7"/>
  <c r="BL1910" i="7"/>
  <c r="BL252" i="7"/>
  <c r="BL925" i="7"/>
  <c r="BN925" i="7"/>
  <c r="BL138" i="7"/>
  <c r="BN138" i="7"/>
  <c r="BL1474" i="7"/>
  <c r="BN1474" i="7"/>
  <c r="BL1097" i="7"/>
  <c r="BL1831" i="7"/>
  <c r="BL1993" i="7"/>
  <c r="BN2125" i="7"/>
  <c r="BL2125" i="7"/>
  <c r="BN1795" i="7"/>
  <c r="BL1795" i="7"/>
  <c r="BN2007" i="7"/>
  <c r="BL2007" i="7"/>
  <c r="BN297" i="7"/>
  <c r="BL297" i="7"/>
  <c r="BN886" i="7"/>
  <c r="BL886" i="7"/>
  <c r="BL1699" i="7"/>
  <c r="BN1024" i="7"/>
  <c r="BL1024" i="7"/>
  <c r="BN748" i="7"/>
  <c r="BL748" i="7"/>
  <c r="BL1568" i="7"/>
  <c r="BN1568" i="7"/>
  <c r="BN750" i="7"/>
  <c r="BL750" i="7"/>
  <c r="BL1339" i="7"/>
  <c r="BL906" i="7"/>
  <c r="BL1544" i="7"/>
  <c r="BN527" i="7"/>
  <c r="BL527" i="7"/>
  <c r="BN1054" i="7"/>
  <c r="BL1054" i="7"/>
  <c r="BN1508" i="7"/>
  <c r="BL1508" i="7"/>
  <c r="BN465" i="7"/>
  <c r="BL465" i="7"/>
  <c r="BL412" i="7"/>
  <c r="BL1307" i="7"/>
  <c r="BN1307" i="7"/>
  <c r="BN352" i="7"/>
  <c r="BL352" i="7"/>
  <c r="BN1804" i="7"/>
  <c r="BL1804" i="7"/>
  <c r="BL56" i="8"/>
  <c r="BM56" i="8"/>
  <c r="BL176" i="7"/>
  <c r="BL1493" i="7"/>
  <c r="BL332" i="7"/>
  <c r="BL1983" i="7"/>
  <c r="BN1220" i="7"/>
  <c r="BL1220" i="7"/>
  <c r="BN2000" i="7"/>
  <c r="BL2000" i="7"/>
  <c r="BN1644" i="7"/>
  <c r="BL1644" i="7"/>
  <c r="BN1022" i="7"/>
  <c r="BL1022" i="7"/>
  <c r="BL1116" i="7"/>
  <c r="BN1253" i="7"/>
  <c r="BL1253" i="7"/>
  <c r="BN1278" i="7"/>
  <c r="BL1278" i="7"/>
  <c r="BL2027" i="7"/>
  <c r="BN2027" i="7"/>
  <c r="BL21" i="7"/>
  <c r="BN21" i="7"/>
  <c r="BL43" i="8"/>
  <c r="BM43" i="8"/>
  <c r="BL180" i="7"/>
  <c r="BL290" i="7"/>
  <c r="BL231" i="7"/>
  <c r="BN1942" i="7"/>
  <c r="BL1942" i="7"/>
  <c r="BN1951" i="7"/>
  <c r="BL1951" i="7"/>
  <c r="BN1338" i="7"/>
  <c r="BL1338" i="7"/>
  <c r="BN944" i="7"/>
  <c r="BL944" i="7"/>
  <c r="BL1840" i="7"/>
  <c r="BL698" i="7"/>
  <c r="BN698" i="7"/>
  <c r="BN1864" i="7"/>
  <c r="BL1864" i="7"/>
  <c r="BL2029" i="7"/>
  <c r="BN1825" i="7"/>
  <c r="BL1825" i="7"/>
  <c r="BL1758" i="7"/>
  <c r="BL2254" i="7"/>
  <c r="BL634" i="7"/>
  <c r="BL999" i="7"/>
  <c r="BN950" i="7"/>
  <c r="BL950" i="7"/>
  <c r="BL639" i="7"/>
  <c r="BN639" i="7"/>
  <c r="BL694" i="7"/>
  <c r="BN694" i="7"/>
  <c r="BL1495" i="7"/>
  <c r="BN1124" i="7"/>
  <c r="BL1124" i="7"/>
  <c r="BN977" i="7"/>
  <c r="BL977" i="7"/>
  <c r="BL453" i="7"/>
  <c r="BN453" i="7"/>
  <c r="BN1425" i="7"/>
  <c r="BL1425" i="7"/>
  <c r="BL763" i="7"/>
  <c r="BL405" i="7"/>
  <c r="BL1373" i="7"/>
  <c r="BN426" i="7"/>
  <c r="BL426" i="7"/>
  <c r="BN247" i="7"/>
  <c r="BL247" i="7"/>
  <c r="BN1361" i="7"/>
  <c r="BL1361" i="7"/>
  <c r="BL1490" i="7"/>
  <c r="BN1490" i="7"/>
  <c r="BL1155" i="7"/>
  <c r="BL239" i="7"/>
  <c r="BN239" i="7"/>
  <c r="BL1967" i="7"/>
  <c r="BN1967" i="7"/>
  <c r="BN568" i="7"/>
  <c r="BL568" i="7"/>
  <c r="BN1830" i="7"/>
  <c r="BL1830" i="7"/>
  <c r="BL1195" i="7"/>
  <c r="BN2022" i="7"/>
  <c r="BL2022" i="7"/>
  <c r="BL1833" i="7"/>
  <c r="BN1833" i="7"/>
  <c r="BN889" i="7"/>
  <c r="BL889" i="7"/>
  <c r="BN1317" i="7"/>
  <c r="BL1317" i="7"/>
  <c r="BL1163" i="7"/>
  <c r="BL1499" i="7"/>
  <c r="BL1593" i="7"/>
  <c r="BN1906" i="7"/>
  <c r="BL1906" i="7"/>
  <c r="BN1903" i="7"/>
  <c r="BL1903" i="7"/>
  <c r="BN918" i="7"/>
  <c r="BL918" i="7"/>
  <c r="BL1477" i="7"/>
  <c r="BN1477" i="7"/>
  <c r="BL1263" i="7"/>
  <c r="BN1930" i="7"/>
  <c r="BL1930" i="7"/>
  <c r="BN2131" i="7"/>
  <c r="BL2131" i="7"/>
  <c r="BN380" i="7"/>
  <c r="BL380" i="7"/>
  <c r="BN2184" i="7"/>
  <c r="BL2184" i="7"/>
  <c r="BL2" i="7"/>
  <c r="BL2229" i="7"/>
  <c r="BL68" i="7"/>
  <c r="BN1866" i="7"/>
  <c r="BL1866" i="7"/>
  <c r="BL2114" i="7"/>
  <c r="BN2114" i="7"/>
  <c r="BN1639" i="7"/>
  <c r="BL1639" i="7"/>
  <c r="BN342" i="7"/>
  <c r="BL342" i="7"/>
  <c r="BL2135" i="7"/>
  <c r="BN2197" i="7"/>
  <c r="BL2197" i="7"/>
  <c r="BN1638" i="7"/>
  <c r="BL1638" i="7"/>
  <c r="BL461" i="7"/>
  <c r="BN461" i="7"/>
  <c r="BL402" i="7"/>
  <c r="BL235" i="7"/>
  <c r="BL543" i="7"/>
  <c r="BL1071" i="7"/>
  <c r="BL1877" i="7"/>
  <c r="BN1877" i="7"/>
  <c r="BL1205" i="7"/>
  <c r="BL1294" i="7"/>
  <c r="BN1294" i="7"/>
  <c r="BN1845" i="7"/>
  <c r="BL1845" i="7"/>
  <c r="BL2250" i="7"/>
  <c r="BN1829" i="7"/>
  <c r="BL1829" i="7"/>
  <c r="BL443" i="7"/>
  <c r="BN452" i="7"/>
  <c r="BL452" i="7"/>
  <c r="BN1814" i="7"/>
  <c r="BL1814" i="7"/>
  <c r="BL8" i="7"/>
  <c r="BL1381" i="7"/>
  <c r="BL1898" i="7"/>
  <c r="BN160" i="7"/>
  <c r="BL160" i="7"/>
  <c r="BL1772" i="7"/>
  <c r="BN1772" i="7"/>
  <c r="BN358" i="7"/>
  <c r="BL358" i="7"/>
  <c r="BL1720" i="7"/>
  <c r="BN1720" i="7"/>
  <c r="BL2089" i="7"/>
  <c r="BN497" i="7"/>
  <c r="BL497" i="7"/>
  <c r="BL992" i="7"/>
  <c r="BN992" i="7"/>
  <c r="BL1843" i="7"/>
  <c r="BN70" i="7"/>
  <c r="BL70" i="7"/>
  <c r="BL566" i="7"/>
  <c r="BL837" i="7"/>
  <c r="BL1578" i="7"/>
  <c r="BN1394" i="7"/>
  <c r="BL1394" i="7"/>
  <c r="BL1554" i="7"/>
  <c r="BN2157" i="7"/>
  <c r="BL2157" i="7"/>
  <c r="BN1879" i="7"/>
  <c r="BL1879" i="7"/>
  <c r="BL3" i="7"/>
  <c r="BN1130" i="7"/>
  <c r="BL1130" i="7"/>
  <c r="BL420" i="7"/>
  <c r="BN420" i="7"/>
  <c r="BL300" i="7"/>
  <c r="BL234" i="7"/>
  <c r="BN234" i="7"/>
  <c r="BL1677" i="7"/>
  <c r="BL1505" i="7"/>
  <c r="BL484" i="7"/>
  <c r="BN495" i="7"/>
  <c r="BL495" i="7"/>
  <c r="BL1603" i="7"/>
  <c r="BL779" i="7"/>
  <c r="BN779" i="7"/>
  <c r="BN1094" i="7"/>
  <c r="BL1094" i="7"/>
  <c r="BM8" i="8"/>
  <c r="BL8" i="8"/>
  <c r="BL410" i="7"/>
  <c r="BN58" i="7"/>
  <c r="BL58" i="7"/>
  <c r="BN442" i="7"/>
  <c r="BL442" i="7"/>
  <c r="BN435" i="7"/>
  <c r="BL435" i="7"/>
  <c r="BL1521" i="7"/>
  <c r="BN1521" i="7"/>
  <c r="BL21" i="8"/>
  <c r="BM21" i="8"/>
  <c r="BL92" i="7"/>
  <c r="BL1040" i="7"/>
  <c r="BL783" i="7"/>
  <c r="BN488" i="7"/>
  <c r="BL488" i="7"/>
  <c r="BL1481" i="7"/>
  <c r="BN658" i="7"/>
  <c r="BL658" i="7"/>
  <c r="BL1069" i="7"/>
  <c r="BN1069" i="7"/>
  <c r="BL1695" i="7"/>
  <c r="BN1876" i="7"/>
  <c r="BL1876" i="7"/>
  <c r="BN826" i="7"/>
  <c r="BL826" i="7"/>
  <c r="BN1345" i="7"/>
  <c r="BL1345" i="7"/>
  <c r="BN1723" i="7"/>
  <c r="BL1723" i="7"/>
  <c r="BM88" i="8"/>
  <c r="BL88" i="8"/>
  <c r="BL154" i="7"/>
  <c r="BL993" i="7"/>
  <c r="BL83" i="8"/>
  <c r="BL1882" i="7"/>
  <c r="BL856" i="7"/>
  <c r="BL2140" i="7"/>
  <c r="BN2140" i="7"/>
  <c r="BN1935" i="7"/>
  <c r="BL1935" i="7"/>
  <c r="BN253" i="7"/>
  <c r="BL253" i="7"/>
  <c r="BN1678" i="7"/>
  <c r="BL1678" i="7"/>
  <c r="BN430" i="7"/>
  <c r="BL430" i="7"/>
  <c r="BN602" i="7"/>
  <c r="BL602" i="7"/>
  <c r="BN2185" i="7"/>
  <c r="BL2185" i="7"/>
  <c r="BN1148" i="7"/>
  <c r="BL1148" i="7"/>
  <c r="BL1919" i="7"/>
  <c r="BL548" i="7"/>
  <c r="BM42" i="8"/>
  <c r="BL42" i="8"/>
  <c r="BL161" i="7"/>
  <c r="BN236" i="7"/>
  <c r="BL236" i="7"/>
  <c r="BN316" i="7"/>
  <c r="BL316" i="7"/>
  <c r="BN663" i="7"/>
  <c r="BL663" i="7"/>
  <c r="BL2213" i="7"/>
  <c r="BL2033" i="7"/>
  <c r="BL1669" i="7"/>
  <c r="BN1669" i="7"/>
  <c r="BL374" i="7"/>
  <c r="BN374" i="7"/>
  <c r="BL1215" i="7"/>
  <c r="BN1215" i="7"/>
  <c r="BL141" i="7"/>
  <c r="BL1236" i="7"/>
  <c r="BL1719" i="7"/>
  <c r="BL1716" i="7"/>
  <c r="BN2221" i="7"/>
  <c r="BL2221" i="7"/>
  <c r="BL11" i="8"/>
  <c r="BM11" i="8"/>
  <c r="BL2123" i="7"/>
  <c r="BN932" i="7"/>
  <c r="BL932" i="7"/>
  <c r="BL18" i="7"/>
  <c r="BN18" i="7"/>
  <c r="BN1523" i="7"/>
  <c r="BL1523" i="7"/>
  <c r="BL546" i="7"/>
  <c r="BN546" i="7"/>
  <c r="BN843" i="7"/>
  <c r="BL843" i="7"/>
  <c r="BL2165" i="7"/>
  <c r="BN2165" i="7"/>
  <c r="BN347" i="7"/>
  <c r="BL347" i="7"/>
  <c r="BL1971" i="7"/>
  <c r="BL60" i="8"/>
  <c r="BM60" i="8"/>
  <c r="BL427" i="7"/>
  <c r="BL1858" i="7"/>
  <c r="BN703" i="7"/>
  <c r="BL703" i="7"/>
  <c r="BN1883" i="7"/>
  <c r="BL1883" i="7"/>
  <c r="BN1100" i="7"/>
  <c r="BL1100" i="7"/>
  <c r="BL1887" i="7"/>
  <c r="BN1887" i="7"/>
  <c r="BN1836" i="7"/>
  <c r="BL1836" i="7"/>
  <c r="BN549" i="7"/>
  <c r="BL549" i="7"/>
  <c r="BN1061" i="7"/>
  <c r="BL1061" i="7"/>
  <c r="BN1197" i="7"/>
  <c r="BL1197" i="7"/>
  <c r="BL710" i="7"/>
  <c r="BL1016" i="7"/>
  <c r="BL1571" i="7"/>
  <c r="BL1575" i="7"/>
  <c r="BN78" i="7"/>
  <c r="BL78" i="7"/>
  <c r="BL73" i="8"/>
  <c r="BL1763" i="7"/>
  <c r="BN1763" i="7"/>
  <c r="BN1725" i="7"/>
  <c r="BL1725" i="7"/>
  <c r="BL1083" i="7"/>
  <c r="BN1083" i="7"/>
  <c r="BL449" i="7"/>
  <c r="BN1620" i="7"/>
  <c r="BL1620" i="7"/>
  <c r="BL1517" i="7"/>
  <c r="BN1517" i="7"/>
  <c r="BL191" i="7"/>
  <c r="BN1553" i="7"/>
  <c r="BL1553" i="7"/>
  <c r="BL1820" i="7"/>
  <c r="BL1182" i="7"/>
  <c r="BL2058" i="7"/>
  <c r="BL1047" i="7"/>
  <c r="BL320" i="7"/>
  <c r="BN320" i="7"/>
  <c r="BN1113" i="7"/>
  <c r="BL1113" i="7"/>
  <c r="BL349" i="7"/>
  <c r="BN349" i="7"/>
  <c r="BL1234" i="7"/>
  <c r="BL1688" i="7"/>
  <c r="BN1688" i="7"/>
  <c r="BN1231" i="7"/>
  <c r="BL1231" i="7"/>
  <c r="BL2069" i="7"/>
  <c r="BN1126" i="7"/>
  <c r="BL1126" i="7"/>
  <c r="BL2233" i="7"/>
  <c r="BL835" i="7"/>
  <c r="BL1788" i="7"/>
  <c r="BL1709" i="7"/>
  <c r="BN1709" i="7"/>
  <c r="BN1706" i="7"/>
  <c r="BL1706" i="7"/>
  <c r="BN137" i="7"/>
  <c r="BL137" i="7"/>
  <c r="BN279" i="7"/>
  <c r="BL279" i="7"/>
  <c r="BL555" i="7"/>
  <c r="BN555" i="7"/>
  <c r="BL142" i="7"/>
  <c r="BN142" i="7"/>
  <c r="BN1241" i="7"/>
  <c r="BL1241" i="7"/>
  <c r="BN115" i="7"/>
  <c r="BL115" i="7"/>
  <c r="BL12" i="8"/>
  <c r="BM12" i="8"/>
  <c r="BL1925" i="7"/>
  <c r="BL502" i="7"/>
  <c r="BL579" i="7"/>
  <c r="BL735" i="7"/>
  <c r="BN1927" i="7"/>
  <c r="BL1927" i="7"/>
  <c r="BN1704" i="7"/>
  <c r="BL1704" i="7"/>
  <c r="BN301" i="7"/>
  <c r="BL301" i="7"/>
  <c r="BN1652" i="7"/>
  <c r="BL1652" i="7"/>
  <c r="BN687" i="7"/>
  <c r="BL687" i="7"/>
  <c r="BL299" i="7"/>
  <c r="BN1626" i="7"/>
  <c r="BL1626" i="7"/>
  <c r="BL1656" i="7"/>
  <c r="BN924" i="7"/>
  <c r="BL924" i="7"/>
  <c r="BL310" i="7"/>
  <c r="BN1311" i="7"/>
  <c r="BL1311" i="7"/>
  <c r="BN641" i="7"/>
  <c r="BL641" i="7"/>
  <c r="BL730" i="7"/>
  <c r="BN730" i="7"/>
  <c r="BN1431" i="7"/>
  <c r="BL1431" i="7"/>
  <c r="BL1452" i="7"/>
  <c r="BN2257" i="7"/>
  <c r="BL2257" i="7"/>
  <c r="BN1527" i="7"/>
  <c r="BL1527" i="7"/>
  <c r="BL327" i="7"/>
  <c r="BN2160" i="7"/>
  <c r="BL2160" i="7"/>
  <c r="BL1041" i="7"/>
  <c r="BL2147" i="7"/>
  <c r="BL838" i="7"/>
  <c r="BL957" i="7"/>
  <c r="BN2082" i="7"/>
  <c r="BL2082" i="7"/>
  <c r="BN1832" i="7"/>
  <c r="BL1832" i="7"/>
  <c r="BN2010" i="7"/>
  <c r="BL2010" i="7"/>
  <c r="BL1413" i="7"/>
  <c r="BN569" i="7"/>
  <c r="BL569" i="7"/>
  <c r="BL503" i="7"/>
  <c r="BN980" i="7"/>
  <c r="BL980" i="7"/>
  <c r="BL494" i="7"/>
  <c r="BL522" i="7"/>
  <c r="BL224" i="7"/>
  <c r="BL1642" i="7"/>
  <c r="BN2272" i="7"/>
  <c r="BL2272" i="7"/>
  <c r="BN505" i="7"/>
  <c r="BL505" i="7"/>
  <c r="BN1926" i="7"/>
  <c r="BL1926" i="7"/>
  <c r="BL1473" i="7"/>
  <c r="BN1473" i="7"/>
  <c r="BL227" i="7"/>
  <c r="BN227" i="7"/>
  <c r="BN1385" i="7"/>
  <c r="BL1385" i="7"/>
  <c r="BN2252" i="7"/>
  <c r="BL2252" i="7"/>
  <c r="BL1613" i="7"/>
  <c r="BN1613" i="7"/>
  <c r="BL416" i="7"/>
  <c r="BL1369" i="7"/>
  <c r="BL1112" i="7"/>
  <c r="BL1001" i="7"/>
  <c r="BL791" i="7"/>
  <c r="BN433" i="7"/>
  <c r="BL433" i="7"/>
  <c r="BN962" i="7"/>
  <c r="BL962" i="7"/>
  <c r="BN193" i="7"/>
  <c r="BL193" i="7"/>
  <c r="BL326" i="7"/>
  <c r="BN326" i="7"/>
  <c r="BL317" i="7"/>
  <c r="BN1044" i="7"/>
  <c r="BL1044" i="7"/>
  <c r="BL1870" i="7"/>
  <c r="BN2145" i="7"/>
  <c r="BL2145" i="7"/>
  <c r="BL1380" i="7"/>
  <c r="BL1422" i="7"/>
  <c r="BN540" i="7"/>
  <c r="BL540" i="7"/>
  <c r="BN2172" i="7"/>
  <c r="BL2172" i="7"/>
  <c r="BN210" i="7"/>
  <c r="BL210" i="7"/>
  <c r="BN945" i="7"/>
  <c r="BL945" i="7"/>
  <c r="BL175" i="7"/>
  <c r="BL37" i="8"/>
  <c r="BM37" i="8"/>
  <c r="BN319" i="7"/>
  <c r="BL319" i="7"/>
  <c r="BN955" i="7"/>
  <c r="BL955" i="7"/>
  <c r="BL1203" i="7"/>
  <c r="BN1203" i="7"/>
  <c r="BN1353" i="7"/>
  <c r="BL1353" i="7"/>
  <c r="BM105" i="8"/>
  <c r="BL105" i="8"/>
  <c r="BL5" i="7"/>
  <c r="BL394" i="7"/>
  <c r="BL35" i="8"/>
  <c r="BM35" i="8"/>
  <c r="BL170" i="7"/>
  <c r="BL1969" i="7"/>
  <c r="BN638" i="7"/>
  <c r="BL638" i="7"/>
  <c r="BN551" i="7"/>
  <c r="BL551" i="7"/>
  <c r="BM86" i="8"/>
  <c r="BL53" i="7"/>
  <c r="BL86" i="8"/>
  <c r="BN209" i="7"/>
  <c r="BL209" i="7"/>
  <c r="BN1459" i="7"/>
  <c r="BL1459" i="7"/>
  <c r="BL2181" i="7"/>
  <c r="BN1238" i="7"/>
  <c r="BL1238" i="7"/>
  <c r="BL1797" i="7"/>
  <c r="BL660" i="7"/>
  <c r="BL870" i="7"/>
  <c r="BL2240" i="7"/>
  <c r="BL1392" i="7"/>
  <c r="BL688" i="7"/>
  <c r="BN688" i="7"/>
  <c r="BL233" i="7"/>
  <c r="BN233" i="7"/>
  <c r="BL284" i="7"/>
  <c r="BN284" i="7"/>
  <c r="BL31" i="8"/>
  <c r="BM31" i="8"/>
  <c r="BL153" i="7"/>
  <c r="BL1739" i="7"/>
  <c r="BL2263" i="7"/>
  <c r="BN2263" i="7"/>
  <c r="BN9" i="7"/>
  <c r="BL9" i="7"/>
  <c r="BN44" i="7"/>
  <c r="BL44" i="7"/>
  <c r="BN1625" i="7"/>
  <c r="BL1625" i="7"/>
  <c r="BL901" i="7"/>
  <c r="BL1125" i="7"/>
  <c r="BL2057" i="7"/>
  <c r="BL851" i="7"/>
  <c r="BN851" i="7"/>
  <c r="BL1153" i="7"/>
  <c r="BL1731" i="7"/>
  <c r="BL2040" i="7"/>
  <c r="BN479" i="7"/>
  <c r="BL479" i="7"/>
  <c r="BN754" i="7"/>
  <c r="BL754" i="7"/>
  <c r="BL585" i="7"/>
  <c r="BN585" i="7"/>
  <c r="BN1784" i="7"/>
  <c r="BL1784" i="7"/>
  <c r="BN589" i="7"/>
  <c r="BL589" i="7"/>
  <c r="BL257" i="7"/>
  <c r="BN61" i="7"/>
  <c r="BL61" i="7"/>
  <c r="BL20" i="7"/>
  <c r="BN250" i="7"/>
  <c r="BL250" i="7"/>
  <c r="BL2238" i="7"/>
  <c r="BL2107" i="7"/>
  <c r="BN2105" i="7"/>
  <c r="BL2105" i="7"/>
  <c r="BN335" i="7"/>
  <c r="BL335" i="7"/>
  <c r="BN1039" i="7"/>
  <c r="BL1039" i="7"/>
  <c r="BL1292" i="7"/>
  <c r="BN1292" i="7"/>
  <c r="BN2003" i="7"/>
  <c r="BL2003" i="7"/>
  <c r="BN1541" i="7"/>
  <c r="BL1541" i="7"/>
  <c r="BL338" i="7"/>
  <c r="BM51" i="8"/>
  <c r="BL51" i="8"/>
  <c r="BL110" i="7"/>
  <c r="BM27" i="8"/>
  <c r="BL27" i="8"/>
  <c r="BL152" i="7"/>
  <c r="BN809" i="7"/>
  <c r="BL809" i="7"/>
  <c r="BL1176" i="7"/>
  <c r="BL1760" i="7"/>
  <c r="BL1694" i="7"/>
  <c r="BL1492" i="7"/>
  <c r="BN1492" i="7"/>
  <c r="BN1752" i="7"/>
  <c r="BL1752" i="7"/>
  <c r="BL825" i="7"/>
  <c r="BN825" i="7"/>
  <c r="BN1522" i="7"/>
  <c r="BL1522" i="7"/>
  <c r="BL61" i="8"/>
  <c r="BM61" i="8"/>
  <c r="BL424" i="7"/>
  <c r="BN1406" i="7"/>
  <c r="BL1406" i="7"/>
  <c r="BN291" i="7"/>
  <c r="BL291" i="7"/>
  <c r="BN493" i="7"/>
  <c r="BL493" i="7"/>
  <c r="BN878" i="7"/>
  <c r="BL878" i="7"/>
  <c r="BL1258" i="7"/>
  <c r="BL1810" i="7"/>
  <c r="BL905" i="7"/>
  <c r="BL819" i="7"/>
  <c r="BN1873" i="7"/>
  <c r="BL1873" i="7"/>
  <c r="BN841" i="7"/>
  <c r="BL841" i="7"/>
  <c r="BL57" i="8"/>
  <c r="BM57" i="8"/>
  <c r="BL181" i="7"/>
  <c r="BL39" i="8"/>
  <c r="BM39" i="8"/>
  <c r="BL166" i="7"/>
  <c r="BN1256" i="7"/>
  <c r="BL1256" i="7"/>
  <c r="BN2282" i="7"/>
  <c r="BL2282" i="7"/>
  <c r="BN824" i="7"/>
  <c r="BL824" i="7"/>
  <c r="BL296" i="7"/>
  <c r="BN296" i="7"/>
  <c r="BL1807" i="7"/>
  <c r="BL880" i="7"/>
  <c r="BL151" i="7"/>
  <c r="BL1172" i="7"/>
  <c r="BN1172" i="7"/>
  <c r="BN1085" i="7"/>
  <c r="BL1085" i="7"/>
  <c r="BN714" i="7"/>
  <c r="BL714" i="7"/>
  <c r="BL2266" i="7"/>
  <c r="BL294" i="7"/>
  <c r="BN42" i="7"/>
  <c r="BL42" i="7"/>
  <c r="BN2002" i="7"/>
  <c r="BL2002" i="7"/>
  <c r="BN722" i="7"/>
  <c r="BL722" i="7"/>
  <c r="BL987" i="7"/>
  <c r="BN987" i="7"/>
  <c r="BN202" i="7"/>
  <c r="BL202" i="7"/>
  <c r="BL752" i="7"/>
  <c r="BL1434" i="7"/>
  <c r="BL1611" i="7"/>
  <c r="BN1611" i="7"/>
  <c r="BN251" i="7"/>
  <c r="BL251" i="7"/>
  <c r="BL2048" i="7"/>
  <c r="BN2048" i="7"/>
  <c r="BN126" i="7"/>
  <c r="BL126" i="7"/>
  <c r="BL1577" i="7"/>
  <c r="BN2269" i="7"/>
  <c r="BL2269" i="7"/>
  <c r="BN951" i="7"/>
  <c r="BL951" i="7"/>
  <c r="BL1466" i="7"/>
  <c r="BN1466" i="7"/>
  <c r="BN1073" i="7"/>
  <c r="BL1073" i="7"/>
  <c r="BL1532" i="7"/>
  <c r="BL1250" i="7"/>
  <c r="BL455" i="7"/>
  <c r="BL1232" i="7"/>
  <c r="BN1232" i="7"/>
  <c r="BL1269" i="7"/>
  <c r="BN1647" i="7"/>
  <c r="BL1647" i="7"/>
  <c r="BN1902" i="7"/>
  <c r="BL1902" i="7"/>
  <c r="BN1011" i="7"/>
  <c r="BL1011" i="7"/>
  <c r="BL725" i="7"/>
  <c r="BN725" i="7"/>
  <c r="BN195" i="7"/>
  <c r="BL195" i="7"/>
  <c r="BN872" i="7"/>
  <c r="BL872" i="7"/>
  <c r="BN1851" i="7"/>
  <c r="BL1851" i="7"/>
  <c r="BL445" i="7"/>
  <c r="BL267" i="7"/>
  <c r="BL1391" i="7"/>
  <c r="BL715" i="7"/>
  <c r="BL1650" i="7"/>
  <c r="BN1650" i="7"/>
  <c r="BL1248" i="7"/>
  <c r="BL285" i="7"/>
  <c r="BN2136" i="7"/>
  <c r="BL2136" i="7"/>
  <c r="BN2208" i="7"/>
  <c r="BL2208" i="7"/>
  <c r="BN673" i="7"/>
  <c r="BL673" i="7"/>
  <c r="BN2072" i="7"/>
  <c r="BL2072" i="7"/>
  <c r="BN997" i="7"/>
  <c r="BL997" i="7"/>
  <c r="BN1511" i="7"/>
  <c r="BL1511" i="7"/>
  <c r="BN258" i="7"/>
  <c r="BL258" i="7"/>
  <c r="BL2175" i="7"/>
  <c r="BN2175" i="7"/>
  <c r="BN718" i="7"/>
  <c r="BL718" i="7"/>
  <c r="BN1588" i="7"/>
  <c r="BL1588" i="7"/>
  <c r="BL510" i="7"/>
  <c r="BL1801" i="7"/>
  <c r="BL1997" i="7"/>
  <c r="BN1997" i="7"/>
  <c r="BL920" i="7"/>
  <c r="BL711" i="7"/>
  <c r="BN711" i="7"/>
  <c r="BN633" i="7"/>
  <c r="BL633" i="7"/>
  <c r="BN1419" i="7"/>
  <c r="BL1419" i="7"/>
  <c r="BN1226" i="7"/>
  <c r="BL1226" i="7"/>
  <c r="BN2047" i="7"/>
  <c r="BL2047" i="7"/>
  <c r="BN2207" i="7"/>
  <c r="BL2207" i="7"/>
  <c r="BL575" i="7"/>
  <c r="BN575" i="7"/>
  <c r="BN1643" i="7"/>
  <c r="BL1643" i="7"/>
  <c r="BN1299" i="7"/>
  <c r="BL1299" i="7"/>
  <c r="BN389" i="7"/>
  <c r="BL389" i="7"/>
  <c r="BL357" i="7"/>
  <c r="BN256" i="7"/>
  <c r="BL256" i="7"/>
  <c r="BL2251" i="7"/>
  <c r="BN1397" i="7"/>
  <c r="BL1397" i="7"/>
  <c r="BL1564" i="7"/>
  <c r="BL864" i="7"/>
  <c r="BN2201" i="7"/>
  <c r="BL2201" i="7"/>
  <c r="BN949" i="7"/>
  <c r="BL949" i="7"/>
  <c r="BN1641" i="7"/>
  <c r="BL1641" i="7"/>
  <c r="BL1615" i="7"/>
  <c r="BN1615" i="7"/>
  <c r="BN1979" i="7"/>
  <c r="BL1979" i="7"/>
  <c r="BN798" i="7"/>
  <c r="BL798" i="7"/>
  <c r="BL318" i="7"/>
  <c r="BN2219" i="7"/>
  <c r="BL2219" i="7"/>
  <c r="BN728" i="7"/>
  <c r="BL728" i="7"/>
  <c r="BN2243" i="7"/>
  <c r="BL2243" i="7"/>
  <c r="BL1106" i="7"/>
  <c r="BL760" i="7"/>
  <c r="BL1402" i="7"/>
  <c r="BN1173" i="7"/>
  <c r="BL1173" i="7"/>
  <c r="BN1659" i="7"/>
  <c r="BL1659" i="7"/>
  <c r="BN309" i="7"/>
  <c r="BL309" i="7"/>
  <c r="BN1980" i="7"/>
  <c r="BL1980" i="7"/>
  <c r="BN1336" i="7"/>
  <c r="BL1336" i="7"/>
  <c r="BN942" i="7"/>
  <c r="BL942" i="7"/>
  <c r="BN1358" i="7"/>
  <c r="BL1358" i="7"/>
  <c r="BL516" i="7"/>
  <c r="BN768" i="7"/>
  <c r="BL768" i="7"/>
  <c r="BL2177" i="7"/>
  <c r="BN2177" i="7"/>
  <c r="BN491" i="7"/>
  <c r="BL491" i="7"/>
  <c r="BL1275" i="7"/>
  <c r="BL564" i="7"/>
  <c r="BN636" i="7"/>
  <c r="BL636" i="7"/>
  <c r="BN1850" i="7"/>
  <c r="BL1850" i="7"/>
  <c r="BN1399" i="7"/>
  <c r="BL1399" i="7"/>
  <c r="BN1754" i="7"/>
  <c r="BL1754" i="7"/>
  <c r="BN1018" i="7"/>
  <c r="BL1018" i="7"/>
  <c r="BL2224" i="7"/>
  <c r="BL2246" i="7"/>
  <c r="BN2246" i="7"/>
  <c r="BN1602" i="7"/>
  <c r="BL1602" i="7"/>
  <c r="BN1461" i="7"/>
  <c r="BL1461" i="7"/>
  <c r="BN1219" i="7"/>
  <c r="BL1219" i="7"/>
  <c r="BL888" i="7"/>
  <c r="BL1640" i="7"/>
  <c r="BL1104" i="7"/>
  <c r="BL940" i="7"/>
  <c r="BN940" i="7"/>
  <c r="BN2143" i="7"/>
  <c r="BL2143" i="7"/>
  <c r="BN1281" i="7"/>
  <c r="BL1281" i="7"/>
  <c r="BN1693" i="7"/>
  <c r="BL1693" i="7"/>
  <c r="BL2167" i="7"/>
  <c r="BL528" i="7"/>
  <c r="BL1683" i="7"/>
  <c r="BN1550" i="7"/>
  <c r="BL1550" i="7"/>
  <c r="BL2006" i="7"/>
  <c r="BL1750" i="7"/>
  <c r="BN1750" i="7"/>
  <c r="BL1382" i="7"/>
  <c r="BL1597" i="7"/>
  <c r="BN1885" i="7"/>
  <c r="BL1885" i="7"/>
  <c r="BL1491" i="7"/>
  <c r="BN1057" i="7"/>
  <c r="BL1057" i="7"/>
  <c r="BN492" i="7"/>
  <c r="BL492" i="7"/>
  <c r="BN1032" i="7"/>
  <c r="BL1032" i="7"/>
  <c r="BN623" i="7"/>
  <c r="BL623" i="7"/>
  <c r="BN1291" i="7"/>
  <c r="BL1291" i="7"/>
  <c r="BL1343" i="7"/>
  <c r="BN1343" i="7"/>
  <c r="BL467" i="7"/>
  <c r="BL1023" i="7"/>
  <c r="BM101" i="8"/>
  <c r="BL101" i="8"/>
  <c r="BL188" i="7"/>
  <c r="BL1017" i="7"/>
  <c r="BN1442" i="7"/>
  <c r="BL1442" i="7"/>
  <c r="BN1132" i="7"/>
  <c r="BL1132" i="7"/>
  <c r="BN1468" i="7"/>
  <c r="BL1468" i="7"/>
  <c r="BN464" i="7"/>
  <c r="BL464" i="7"/>
  <c r="BN580" i="7"/>
  <c r="BL580" i="7"/>
  <c r="BL104" i="8"/>
  <c r="BL123" i="7"/>
  <c r="BM104" i="8"/>
  <c r="BN1217" i="7"/>
  <c r="BL1217" i="7"/>
  <c r="BL804" i="7"/>
  <c r="BN804" i="7"/>
  <c r="BN1519" i="7"/>
  <c r="BL1519" i="7"/>
  <c r="BL867" i="7"/>
  <c r="BL228" i="7"/>
  <c r="BL765" i="7"/>
  <c r="BL941" i="7"/>
  <c r="BL1270" i="7"/>
  <c r="BN1988" i="7"/>
  <c r="BL1988" i="7"/>
  <c r="BL1789" i="7"/>
  <c r="BN1789" i="7"/>
  <c r="BN96" i="7"/>
  <c r="BL96" i="7"/>
  <c r="BL1671" i="7"/>
  <c r="BN1671" i="7"/>
  <c r="BN50" i="7"/>
  <c r="BL50" i="7"/>
  <c r="BN1424" i="7"/>
  <c r="BL1424" i="7"/>
  <c r="BL1180" i="7"/>
  <c r="BN1180" i="7"/>
  <c r="BL238" i="7"/>
  <c r="BN238" i="7"/>
  <c r="BL1149" i="7"/>
  <c r="BL2039" i="7"/>
  <c r="BL1972" i="7"/>
  <c r="BL781" i="7"/>
  <c r="BL272" i="7"/>
  <c r="BN272" i="7"/>
  <c r="BM49" i="8"/>
  <c r="BL49" i="8"/>
  <c r="BL111" i="7"/>
  <c r="BN1649" i="7"/>
  <c r="BL1649" i="7"/>
  <c r="BN48" i="7"/>
  <c r="BL48" i="7"/>
  <c r="BN82" i="7"/>
  <c r="BL82" i="7"/>
  <c r="BN1742" i="7"/>
  <c r="BL1742" i="7"/>
  <c r="BL337" i="7"/>
  <c r="BN1463" i="7"/>
  <c r="BL1463" i="7"/>
  <c r="BL304" i="7"/>
  <c r="BM41" i="8"/>
  <c r="BL41" i="8"/>
  <c r="BL162" i="7"/>
  <c r="BL1977" i="7"/>
  <c r="BN1288" i="7"/>
  <c r="BL1288" i="7"/>
  <c r="BL2092" i="7"/>
  <c r="BN778" i="7"/>
  <c r="BL778" i="7"/>
  <c r="BN1240" i="7"/>
  <c r="BL1240" i="7"/>
  <c r="BN1765" i="7"/>
  <c r="BL1765" i="7"/>
  <c r="BN308" i="7"/>
  <c r="BL308" i="7"/>
  <c r="BN1388" i="7"/>
  <c r="BL1388" i="7"/>
  <c r="BN2046" i="7"/>
  <c r="BL2046" i="7"/>
  <c r="BN517" i="7"/>
  <c r="BL517" i="7"/>
  <c r="BL709" i="7"/>
  <c r="BL1915" i="7"/>
  <c r="BL246" i="7"/>
  <c r="BL179" i="7"/>
  <c r="BM25" i="8"/>
  <c r="BL25" i="8"/>
  <c r="BN336" i="7"/>
  <c r="BL336" i="7"/>
  <c r="BN595" i="7"/>
  <c r="BL595" i="7"/>
  <c r="BL1370" i="7"/>
  <c r="BN1370" i="7"/>
  <c r="BN1334" i="7"/>
  <c r="BL1334" i="7"/>
  <c r="BN1780" i="7"/>
  <c r="BL1780" i="7"/>
  <c r="BN816" i="7"/>
  <c r="BL816" i="7"/>
  <c r="BL1426" i="7"/>
  <c r="BN1426" i="7"/>
  <c r="BN469" i="7"/>
  <c r="BL469" i="7"/>
  <c r="BN1733" i="7"/>
  <c r="BL1733" i="7"/>
  <c r="BL393" i="7"/>
  <c r="BL588" i="7"/>
  <c r="BL820" i="7"/>
  <c r="BL204" i="7"/>
  <c r="BN204" i="7"/>
  <c r="BN15" i="7"/>
  <c r="BL15" i="7"/>
  <c r="BN1427" i="7"/>
  <c r="BL1427" i="7"/>
  <c r="BN2188" i="7"/>
  <c r="BL2188" i="7"/>
  <c r="BN1456" i="7"/>
  <c r="BL1456" i="7"/>
  <c r="BM32" i="8"/>
  <c r="BL32" i="8"/>
  <c r="BL171" i="7"/>
  <c r="BN86" i="7"/>
  <c r="BL86" i="7"/>
  <c r="BN1109" i="7"/>
  <c r="BL1109" i="7"/>
  <c r="BN1856" i="7"/>
  <c r="BL1856" i="7"/>
  <c r="BN1567" i="7"/>
  <c r="BL1567" i="7"/>
  <c r="BL11" i="7"/>
  <c r="BL1092" i="7"/>
  <c r="BL2055" i="7"/>
  <c r="BN2055" i="7"/>
  <c r="BN323" i="7"/>
  <c r="BL323" i="7"/>
  <c r="BN1954" i="7"/>
  <c r="BL1954" i="7"/>
  <c r="BN1692" i="7"/>
  <c r="BL1692" i="7"/>
  <c r="BN1128" i="7"/>
  <c r="BL1128" i="7"/>
  <c r="BN1813" i="7"/>
  <c r="BL1813" i="7"/>
  <c r="BN2024" i="7"/>
  <c r="BL2024" i="7"/>
  <c r="BN1494" i="7"/>
  <c r="BL1494" i="7"/>
  <c r="BN2128" i="7"/>
  <c r="BL2128" i="7"/>
  <c r="BL1407" i="7"/>
  <c r="BL865" i="7"/>
  <c r="BN2227" i="7"/>
  <c r="BL2227" i="7"/>
  <c r="BN1225" i="7"/>
  <c r="BL1225" i="7"/>
  <c r="BN1227" i="7"/>
  <c r="BL1227" i="7"/>
  <c r="BL1796" i="7"/>
  <c r="BN1093" i="7"/>
  <c r="BL1093" i="7"/>
  <c r="BM65" i="8"/>
  <c r="BL65" i="8"/>
  <c r="BL26" i="7"/>
  <c r="BL1655" i="7"/>
  <c r="BN1655" i="7"/>
  <c r="BL1623" i="7"/>
  <c r="BN1623" i="7"/>
  <c r="BN1842" i="7"/>
  <c r="BL1842" i="7"/>
  <c r="BL1135" i="7"/>
  <c r="BN1135" i="7"/>
  <c r="BN2220" i="7"/>
  <c r="BL2220" i="7"/>
  <c r="BL619" i="7"/>
  <c r="BN619" i="7"/>
  <c r="BN1893" i="7"/>
  <c r="BL1893" i="7"/>
  <c r="BN1166" i="7"/>
  <c r="BL1166" i="7"/>
  <c r="BL1589" i="7"/>
  <c r="BN1589" i="7"/>
  <c r="BN978" i="7"/>
  <c r="BL978" i="7"/>
  <c r="BL666" i="7"/>
  <c r="BM99" i="8"/>
  <c r="BL99" i="8"/>
  <c r="BL64" i="7"/>
  <c r="BN2151" i="7"/>
  <c r="BL2151" i="7"/>
  <c r="BN2099" i="7"/>
  <c r="BL2099" i="7"/>
  <c r="BL1228" i="7"/>
  <c r="BL1164" i="7"/>
  <c r="BN1164" i="7"/>
  <c r="BL535" i="7"/>
  <c r="BN937" i="7"/>
  <c r="BL937" i="7"/>
  <c r="BL2235" i="7"/>
  <c r="BN2235" i="7"/>
  <c r="BN1800" i="7"/>
  <c r="BL1800" i="7"/>
  <c r="BL627" i="7"/>
  <c r="BN2021" i="7"/>
  <c r="BL2021" i="7"/>
  <c r="BL1974" i="7"/>
  <c r="BN1974" i="7"/>
  <c r="BN438" i="7"/>
  <c r="BL438" i="7"/>
  <c r="BL679" i="7"/>
  <c r="BL14" i="8"/>
  <c r="BM14" i="8"/>
  <c r="BL1867" i="7"/>
  <c r="BN302" i="7"/>
  <c r="BL302" i="7"/>
  <c r="BN1782" i="7"/>
  <c r="BL1782" i="7"/>
  <c r="BL1663" i="7"/>
  <c r="BL1293" i="7"/>
  <c r="BN1293" i="7"/>
  <c r="BN788" i="7"/>
  <c r="BL788" i="7"/>
  <c r="BL1631" i="7"/>
  <c r="BL1946" i="7"/>
  <c r="BN1946" i="7"/>
  <c r="BL1479" i="7"/>
  <c r="BN2115" i="7"/>
  <c r="BL2115" i="7"/>
  <c r="BL1103" i="7"/>
  <c r="BN2086" i="7"/>
  <c r="BL2086" i="7"/>
  <c r="BL1744" i="7"/>
  <c r="BN1744" i="7"/>
  <c r="BN432" i="7"/>
  <c r="BL432" i="7"/>
  <c r="BN1246" i="7"/>
  <c r="BL1246" i="7"/>
  <c r="BL929" i="7"/>
  <c r="BL1705" i="7"/>
  <c r="BL1068" i="7"/>
  <c r="BN1193" i="7"/>
  <c r="BL1193" i="7"/>
  <c r="BL1816" i="7"/>
  <c r="BL1779" i="7"/>
  <c r="BN1769" i="7"/>
  <c r="BL1769" i="7"/>
  <c r="BN404" i="7"/>
  <c r="BL404" i="7"/>
  <c r="BN245" i="7"/>
  <c r="BL245" i="7"/>
  <c r="BN1027" i="7"/>
  <c r="BL1027" i="7"/>
  <c r="BN1847" i="7"/>
  <c r="BL1847" i="7"/>
  <c r="BL1635" i="7"/>
  <c r="BN1792" i="7"/>
  <c r="BL1792" i="7"/>
  <c r="BL2164" i="7"/>
  <c r="BN1514" i="7"/>
  <c r="BL1514" i="7"/>
  <c r="BN483" i="7"/>
  <c r="BL483" i="7"/>
  <c r="BL1989" i="7"/>
  <c r="BN1989" i="7"/>
  <c r="BL832" i="7"/>
  <c r="BN832" i="7"/>
  <c r="BN1889" i="7"/>
  <c r="BL1889" i="7"/>
  <c r="BL810" i="7"/>
  <c r="BN1066" i="7"/>
  <c r="BL1066" i="7"/>
  <c r="BL667" i="7"/>
  <c r="BN667" i="7"/>
  <c r="BM81" i="8"/>
  <c r="BL81" i="8"/>
  <c r="BL90" i="7"/>
  <c r="BN567" i="7"/>
  <c r="BL567" i="7"/>
  <c r="BN1475" i="7"/>
  <c r="BL1475" i="7"/>
  <c r="BN499" i="7"/>
  <c r="BL499" i="7"/>
  <c r="BL1346" i="7"/>
  <c r="BN1346" i="7"/>
  <c r="BN966" i="7"/>
  <c r="BL966" i="7"/>
  <c r="BN2124" i="7"/>
  <c r="BL2124" i="7"/>
  <c r="BN1273" i="7"/>
  <c r="BL1273" i="7"/>
  <c r="BN22" i="7"/>
  <c r="BL22" i="7"/>
  <c r="BN248" i="7"/>
  <c r="BL248" i="7"/>
  <c r="BN1214" i="7"/>
  <c r="BL1214" i="7"/>
  <c r="BN603" i="7"/>
  <c r="BL603" i="7"/>
  <c r="BN1869" i="7"/>
  <c r="BL1869" i="7"/>
  <c r="BN1386" i="7"/>
  <c r="BL1386" i="7"/>
  <c r="BN1629" i="7"/>
  <c r="BL1629" i="7"/>
  <c r="BL93" i="8"/>
  <c r="BN1675" i="7"/>
  <c r="BL1675" i="7"/>
  <c r="BN1690" i="7"/>
  <c r="BL1690" i="7"/>
  <c r="BL2051" i="7"/>
  <c r="BN2051" i="7"/>
  <c r="BN998" i="7"/>
  <c r="BL998" i="7"/>
  <c r="BN57" i="7"/>
  <c r="BL57" i="7"/>
  <c r="BL1221" i="7"/>
  <c r="BN1221" i="7"/>
  <c r="BL514" i="7"/>
  <c r="BN1330" i="7"/>
  <c r="BL1330" i="7"/>
  <c r="BN1387" i="7"/>
  <c r="BL1387" i="7"/>
  <c r="BN887" i="7"/>
  <c r="BL887" i="7"/>
  <c r="BM78" i="8"/>
  <c r="BL78" i="8"/>
  <c r="BL39" i="7"/>
  <c r="BN331" i="7"/>
  <c r="BL331" i="7"/>
  <c r="BN1177" i="7"/>
  <c r="BL1177" i="7"/>
  <c r="BN1255" i="7"/>
  <c r="BL1255" i="7"/>
  <c r="BL795" i="7"/>
  <c r="BL2215" i="7"/>
  <c r="BL855" i="7"/>
  <c r="BN855" i="7"/>
  <c r="BL1341" i="7"/>
  <c r="BL2104" i="7"/>
  <c r="BN1045" i="7"/>
  <c r="BL1045" i="7"/>
  <c r="BL1249" i="7"/>
  <c r="BN1710" i="7"/>
  <c r="BL1710" i="7"/>
  <c r="BN963" i="7"/>
  <c r="BL963" i="7"/>
  <c r="BM69" i="8"/>
  <c r="BL69" i="8"/>
  <c r="BL30" i="7"/>
  <c r="BL1428" i="7"/>
  <c r="BL1515" i="7"/>
  <c r="BN1515" i="7"/>
  <c r="BL871" i="7"/>
  <c r="BN133" i="7"/>
  <c r="BL133" i="7"/>
  <c r="BN921" i="7"/>
  <c r="BL921" i="7"/>
  <c r="BN475" i="7"/>
  <c r="BL475" i="7"/>
  <c r="BN1975" i="7"/>
  <c r="BL1975" i="7"/>
  <c r="BM30" i="8"/>
  <c r="BL30" i="8"/>
  <c r="BL172" i="7"/>
  <c r="BL512" i="7"/>
  <c r="BL811" i="7"/>
  <c r="BN159" i="7"/>
  <c r="BL159" i="7"/>
  <c r="BN208" i="7"/>
  <c r="BL208" i="7"/>
  <c r="BN2133" i="7"/>
  <c r="BL2133" i="7"/>
  <c r="BN794" i="7"/>
  <c r="BL794" i="7"/>
  <c r="BL815" i="7"/>
  <c r="BM76" i="8"/>
  <c r="BL76" i="8"/>
  <c r="BL37" i="7"/>
  <c r="BN348" i="7"/>
  <c r="BL348" i="7"/>
  <c r="BL1305" i="7"/>
  <c r="BN1305" i="7"/>
  <c r="BN1178" i="7"/>
  <c r="BL1178" i="7"/>
  <c r="BL263" i="7"/>
  <c r="BL2060" i="7"/>
  <c r="BL1901" i="7"/>
  <c r="BN2109" i="7"/>
  <c r="BL2109" i="7"/>
  <c r="BN232" i="7"/>
  <c r="BL232" i="7"/>
  <c r="BN77" i="7"/>
  <c r="BL77" i="7"/>
  <c r="BN1542" i="7"/>
  <c r="BL1542" i="7"/>
  <c r="BL2149" i="7"/>
  <c r="BL387" i="7"/>
  <c r="BN387" i="7"/>
  <c r="BL1254" i="7"/>
  <c r="BN1254" i="7"/>
  <c r="BN2011" i="7"/>
  <c r="BL2011" i="7"/>
  <c r="BL261" i="7"/>
  <c r="BN261" i="7"/>
  <c r="BL1968" i="7"/>
  <c r="BL1811" i="7"/>
  <c r="BM26" i="8"/>
  <c r="BL26" i="8"/>
  <c r="BL178" i="7"/>
  <c r="BN1201" i="7"/>
  <c r="BL1201" i="7"/>
  <c r="BN265" i="7"/>
  <c r="BL265" i="7"/>
  <c r="BN1624" i="7"/>
  <c r="BL1624" i="7"/>
  <c r="BN1848" i="7"/>
  <c r="BL1848" i="7"/>
  <c r="BN1487" i="7"/>
  <c r="BL1487" i="7"/>
  <c r="BN536" i="7"/>
  <c r="BL536" i="7"/>
  <c r="BN2222" i="7"/>
  <c r="BL2222" i="7"/>
  <c r="BN647" i="7"/>
  <c r="BL647" i="7"/>
  <c r="BL624" i="7"/>
  <c r="BL275" i="7"/>
  <c r="BL199" i="7"/>
  <c r="BL1101" i="7"/>
  <c r="BM46" i="8"/>
  <c r="BL46" i="8"/>
  <c r="BL93" i="7"/>
  <c r="BL2247" i="7"/>
  <c r="BN563" i="7"/>
  <c r="BL563" i="7"/>
  <c r="BN1737" i="7"/>
  <c r="BL1737" i="7"/>
  <c r="BL2264" i="7"/>
  <c r="BL2249" i="7"/>
  <c r="BN2249" i="7"/>
  <c r="BN1029" i="7"/>
  <c r="BL1029" i="7"/>
  <c r="BN979" i="7"/>
  <c r="BL979" i="7"/>
  <c r="BL2037" i="7"/>
  <c r="BN2037" i="7"/>
  <c r="BL268" i="7"/>
  <c r="BL106" i="7"/>
  <c r="BL1199" i="7"/>
  <c r="BN1333" i="7"/>
  <c r="BL1333" i="7"/>
  <c r="BN1247" i="7"/>
  <c r="BL1247" i="7"/>
  <c r="BL280" i="7"/>
  <c r="BN280" i="7"/>
  <c r="BN1266" i="7"/>
  <c r="BL1266" i="7"/>
  <c r="BL803" i="7"/>
  <c r="BL85" i="8"/>
  <c r="BM85" i="8"/>
  <c r="BL54" i="7"/>
  <c r="BN1587" i="7"/>
  <c r="BL1587" i="7"/>
  <c r="BN784" i="7"/>
  <c r="BL784" i="7"/>
  <c r="BN226" i="7"/>
  <c r="BL226" i="7"/>
  <c r="BL1239" i="7"/>
  <c r="BL1194" i="7"/>
  <c r="BL742" i="7"/>
  <c r="BN401" i="7"/>
  <c r="BL401" i="7"/>
  <c r="BL1323" i="7"/>
  <c r="BN1323" i="7"/>
  <c r="BL1393" i="7"/>
  <c r="BN1393" i="7"/>
  <c r="BN989" i="7"/>
  <c r="BL989" i="7"/>
  <c r="BL2013" i="7"/>
  <c r="BN899" i="7"/>
  <c r="BL899" i="7"/>
  <c r="BN73" i="7"/>
  <c r="BL73" i="7"/>
  <c r="BL254" i="7"/>
  <c r="BL545" i="7"/>
  <c r="BN545" i="7"/>
  <c r="BL969" i="7"/>
  <c r="BL1349" i="7"/>
  <c r="BL1938" i="7"/>
  <c r="BN697" i="7"/>
  <c r="BL697" i="7"/>
  <c r="BN737" i="7"/>
  <c r="BL737" i="7"/>
  <c r="BN2193" i="7"/>
  <c r="BL2193" i="7"/>
  <c r="BN1802" i="7"/>
  <c r="BL1802" i="7"/>
  <c r="BN676" i="7"/>
  <c r="BL676" i="7"/>
  <c r="BL1144" i="7"/>
  <c r="BL607" i="7"/>
  <c r="BN607" i="7"/>
  <c r="BN1501" i="7"/>
  <c r="BL1501" i="7"/>
  <c r="BN2230" i="7"/>
  <c r="BL2230" i="7"/>
  <c r="BL197" i="7"/>
  <c r="BL733" i="7"/>
  <c r="BN733" i="7"/>
  <c r="BL1594" i="7"/>
  <c r="BL91" i="7"/>
  <c r="BM82" i="8"/>
  <c r="BL82" i="8"/>
  <c r="BN1363" i="7"/>
  <c r="BL1363" i="7"/>
  <c r="BL812" i="7"/>
  <c r="BL16" i="8"/>
  <c r="BM16" i="8"/>
  <c r="BL1682" i="7"/>
  <c r="BN1003" i="7"/>
  <c r="BL1003" i="7"/>
  <c r="BN259" i="7"/>
  <c r="BL259" i="7"/>
  <c r="BN626" i="7"/>
  <c r="BL626" i="7"/>
  <c r="BN681" i="7"/>
  <c r="BL681" i="7"/>
  <c r="BN1849" i="7"/>
  <c r="BL1849" i="7"/>
  <c r="BN1129" i="7"/>
  <c r="BL1129" i="7"/>
  <c r="BL286" i="7"/>
  <c r="BL861" i="7"/>
  <c r="BN861" i="7"/>
  <c r="BL959" i="7"/>
  <c r="BL98" i="7"/>
  <c r="BL2132" i="7"/>
  <c r="BN277" i="7"/>
  <c r="BL277" i="7"/>
  <c r="BN1295" i="7"/>
  <c r="BL1295" i="7"/>
  <c r="BL648" i="7"/>
  <c r="BN648" i="7"/>
  <c r="BL2121" i="7"/>
  <c r="BL1916" i="7"/>
  <c r="BN1916" i="7"/>
  <c r="BN852" i="7"/>
  <c r="BL852" i="7"/>
  <c r="BN1196" i="7"/>
  <c r="BL1196" i="7"/>
  <c r="BL1280" i="7"/>
  <c r="BN1280" i="7"/>
  <c r="BN1440" i="7"/>
  <c r="BL1440" i="7"/>
  <c r="BN287" i="7"/>
  <c r="BL287" i="7"/>
  <c r="BL415" i="7"/>
  <c r="BN2087" i="7"/>
  <c r="BL2087" i="7"/>
  <c r="BN2146" i="7"/>
  <c r="BL2146" i="7"/>
  <c r="BN2163" i="7"/>
  <c r="BL2163" i="7"/>
  <c r="BN1438" i="7"/>
  <c r="BL1438" i="7"/>
  <c r="BN1914" i="7"/>
  <c r="BL1914" i="7"/>
  <c r="BN2090" i="7"/>
  <c r="BL2090" i="7"/>
  <c r="BL1321" i="7"/>
  <c r="BN1321" i="7"/>
  <c r="BN1142" i="7"/>
  <c r="BL1142" i="7"/>
  <c r="BN708" i="7"/>
  <c r="BL708" i="7"/>
  <c r="BL719" i="7"/>
  <c r="BN719" i="7"/>
  <c r="BL1504" i="7"/>
  <c r="BL1697" i="7"/>
  <c r="BL1049" i="7"/>
  <c r="BN2262" i="7"/>
  <c r="BL2262" i="7"/>
  <c r="BN1748" i="7"/>
  <c r="BL1748" i="7"/>
  <c r="BL632" i="7"/>
  <c r="BN632" i="7"/>
  <c r="BL2106" i="7"/>
  <c r="BN839" i="7"/>
  <c r="BL839" i="7"/>
  <c r="BN523" i="7"/>
  <c r="BL523" i="7"/>
  <c r="BN2088" i="7"/>
  <c r="BL2088" i="7"/>
  <c r="BL720" i="7"/>
  <c r="BN720" i="7"/>
  <c r="BL1645" i="7"/>
  <c r="BN1645" i="7"/>
  <c r="BN1207" i="7"/>
  <c r="BL1207" i="7"/>
  <c r="BN960" i="7"/>
  <c r="BL960" i="7"/>
  <c r="BL1412" i="7"/>
  <c r="BN379" i="7"/>
  <c r="BL379" i="7"/>
  <c r="BL2005" i="7"/>
  <c r="BN2005" i="7"/>
  <c r="BL2012" i="7"/>
  <c r="BN2012" i="7"/>
  <c r="BN67" i="7"/>
  <c r="BL67" i="7"/>
  <c r="BN749" i="7"/>
  <c r="BL749" i="7"/>
  <c r="BL1371" i="7"/>
  <c r="BN1371" i="7"/>
  <c r="BL371" i="7"/>
  <c r="BN2161" i="7"/>
  <c r="BL2161" i="7"/>
  <c r="BN729" i="7"/>
  <c r="BL729" i="7"/>
  <c r="BN1304" i="7"/>
  <c r="BL1304" i="7"/>
  <c r="BL1147" i="7"/>
  <c r="BL605" i="7"/>
  <c r="BN1534" i="7"/>
  <c r="BL1534" i="7"/>
  <c r="BL1430" i="7"/>
  <c r="BN599" i="7"/>
  <c r="BL599" i="7"/>
  <c r="BN1070" i="7"/>
  <c r="BL1070" i="7"/>
  <c r="BL1608" i="7"/>
  <c r="BN1608" i="7"/>
  <c r="BN601" i="7"/>
  <c r="BL601" i="7"/>
  <c r="BL391" i="7"/>
  <c r="BN366" i="7"/>
  <c r="BL366" i="7"/>
  <c r="BN1134" i="7"/>
  <c r="BL1134" i="7"/>
  <c r="BN56" i="7"/>
  <c r="BL56" i="7"/>
  <c r="BL956" i="7"/>
  <c r="BL192" i="7"/>
  <c r="BN1822" i="7"/>
  <c r="BL1822" i="7"/>
  <c r="BN1046" i="7"/>
  <c r="BL1046" i="7"/>
  <c r="BL324" i="7"/>
  <c r="BN324" i="7"/>
  <c r="BN631" i="7"/>
  <c r="BL631" i="7"/>
  <c r="BN1917" i="7"/>
  <c r="BL1917" i="7"/>
  <c r="BN520" i="7"/>
  <c r="BL520" i="7"/>
  <c r="BN1537" i="7"/>
  <c r="BL1537" i="7"/>
  <c r="BL1161" i="7"/>
  <c r="BN1161" i="7"/>
  <c r="BL59" i="8"/>
  <c r="BM59" i="8"/>
  <c r="BL419" i="7"/>
  <c r="BL1328" i="7"/>
  <c r="BL1031" i="7"/>
  <c r="BL1745" i="7"/>
  <c r="BN1329" i="7"/>
  <c r="BL1329" i="7"/>
  <c r="BL1268" i="7"/>
  <c r="BL777" i="7"/>
  <c r="BN777" i="7"/>
  <c r="BN1596" i="7"/>
  <c r="BL1596" i="7"/>
  <c r="BL1904" i="7"/>
  <c r="BN1904" i="7"/>
  <c r="BN1218" i="7"/>
  <c r="BL1218" i="7"/>
  <c r="BN1259" i="7"/>
  <c r="BL1259" i="7"/>
  <c r="BN1198" i="7"/>
  <c r="BL1198" i="7"/>
  <c r="BN1513" i="7"/>
  <c r="BL1513" i="7"/>
  <c r="BL740" i="7"/>
  <c r="BL1498" i="7"/>
  <c r="BL1691" i="7"/>
  <c r="BN1824" i="7"/>
  <c r="BL1824" i="7"/>
  <c r="BN1414" i="7"/>
  <c r="BL1414" i="7"/>
  <c r="BL334" i="7"/>
  <c r="BN334" i="7"/>
  <c r="BN447" i="7"/>
  <c r="BL447" i="7"/>
  <c r="BN807" i="7"/>
  <c r="BL807" i="7"/>
  <c r="BL413" i="7"/>
  <c r="BN103" i="7"/>
  <c r="BL103" i="7"/>
  <c r="BN938" i="7"/>
  <c r="BL938" i="7"/>
  <c r="BL789" i="7"/>
  <c r="BL1991" i="7"/>
  <c r="BL552" i="7"/>
  <c r="BN481" i="7"/>
  <c r="BL481" i="7"/>
  <c r="BN446" i="7"/>
  <c r="BL446" i="7"/>
  <c r="BN764" i="7"/>
  <c r="BL764" i="7"/>
  <c r="BN1502" i="7"/>
  <c r="BL1502" i="7"/>
  <c r="BL1684" i="7"/>
  <c r="BN1684" i="7"/>
  <c r="BN617" i="7"/>
  <c r="BL617" i="7"/>
  <c r="BL1020" i="7"/>
  <c r="BN1020" i="7"/>
  <c r="BN988" i="7"/>
  <c r="BL988" i="7"/>
  <c r="BN2035" i="7"/>
  <c r="BL2035" i="7"/>
  <c r="BL306" i="7"/>
  <c r="BL508" i="7"/>
  <c r="BL2280" i="7"/>
  <c r="BN369" i="7"/>
  <c r="BL369" i="7"/>
  <c r="BN785" i="7"/>
  <c r="BL785" i="7"/>
  <c r="BN1920" i="7"/>
  <c r="BL1920" i="7"/>
  <c r="BN1827" i="7"/>
  <c r="BL1827" i="7"/>
  <c r="BN212" i="7"/>
  <c r="BL212" i="7"/>
  <c r="BN2050" i="7"/>
  <c r="BL2050" i="7"/>
  <c r="BM48" i="8"/>
  <c r="BL48" i="8"/>
  <c r="BL109" i="7"/>
  <c r="BN104" i="7"/>
  <c r="BL104" i="7"/>
  <c r="BL428" i="7"/>
  <c r="BL80" i="7"/>
  <c r="BL1714" i="7"/>
  <c r="BL936" i="7"/>
  <c r="BN1449" i="7"/>
  <c r="BL1449" i="7"/>
  <c r="BL723" i="7"/>
  <c r="BN723" i="7"/>
  <c r="BN547" i="7"/>
  <c r="BL547" i="7"/>
  <c r="BN876" i="7"/>
  <c r="BL876" i="7"/>
  <c r="BL1471" i="7"/>
  <c r="BN1471" i="7"/>
  <c r="BN2038" i="7"/>
  <c r="BL2038" i="7"/>
  <c r="BL441" i="7"/>
  <c r="BN1356" i="7"/>
  <c r="BL1356" i="7"/>
  <c r="BN753" i="7"/>
  <c r="BL753" i="7"/>
  <c r="BN330" i="7"/>
  <c r="BL330" i="7"/>
  <c r="BL1673" i="7"/>
  <c r="BL907" i="7"/>
  <c r="BL489" i="7"/>
  <c r="BN489" i="7"/>
  <c r="BN849" i="7"/>
  <c r="BL849" i="7"/>
  <c r="BN1005" i="7"/>
  <c r="BL1005" i="7"/>
  <c r="BL295" i="7"/>
  <c r="BN295" i="7"/>
  <c r="BN414" i="7"/>
  <c r="BL414" i="7"/>
  <c r="BN1181" i="7"/>
  <c r="BL1181" i="7"/>
  <c r="BM71" i="8"/>
  <c r="BL71" i="8"/>
  <c r="BL32" i="7"/>
  <c r="BL1653" i="7"/>
  <c r="BN1653" i="7"/>
  <c r="BN1264" i="7"/>
  <c r="BL1264" i="7"/>
  <c r="BL1995" i="7"/>
  <c r="BL1378" i="7"/>
  <c r="BL615" i="7"/>
  <c r="BN1886" i="7"/>
  <c r="BL1886" i="7"/>
  <c r="BL203" i="7"/>
  <c r="BN203" i="7"/>
  <c r="BN797" i="7"/>
  <c r="BL797" i="7"/>
  <c r="BN1404" i="7"/>
  <c r="BL1404" i="7"/>
  <c r="BN83" i="7"/>
  <c r="BL83" i="7"/>
  <c r="BN1630" i="7"/>
  <c r="BL1630" i="7"/>
  <c r="BN1859" i="7"/>
  <c r="BL1859" i="7"/>
  <c r="BL1844" i="7"/>
  <c r="BN1139" i="7"/>
  <c r="BL1139" i="7"/>
  <c r="BL2084" i="7"/>
  <c r="BL1949" i="7"/>
  <c r="BN2063" i="7"/>
  <c r="BL2063" i="7"/>
  <c r="BL991" i="7"/>
  <c r="BN1963" i="7"/>
  <c r="BL1963" i="7"/>
  <c r="BN2270" i="7"/>
  <c r="BL2270" i="7"/>
  <c r="BM75" i="8"/>
  <c r="BL75" i="8"/>
  <c r="BL36" i="7"/>
  <c r="BN1212" i="7"/>
  <c r="BL1212" i="7"/>
  <c r="BN1206" i="7"/>
  <c r="BL1206" i="7"/>
  <c r="BN81" i="7"/>
  <c r="BL81" i="7"/>
  <c r="BN1405" i="7"/>
  <c r="BL1405" i="7"/>
  <c r="BN1482" i="7"/>
  <c r="BL1482" i="7"/>
  <c r="BL1000" i="7"/>
  <c r="BN406" i="7"/>
  <c r="BL406" i="7"/>
  <c r="BN2056" i="7"/>
  <c r="BL2056" i="7"/>
  <c r="BL328" i="7"/>
  <c r="BN328" i="7"/>
  <c r="BN808" i="7"/>
  <c r="BL808" i="7"/>
  <c r="BN395" i="7"/>
  <c r="BL395" i="7"/>
  <c r="BL1657" i="7"/>
  <c r="BN1657" i="7"/>
  <c r="BN831" i="7"/>
  <c r="BL831" i="7"/>
  <c r="BN746" i="7"/>
  <c r="BL746" i="7"/>
  <c r="BL557" i="7"/>
  <c r="BL1167" i="7"/>
  <c r="BL2196" i="7"/>
  <c r="BN2253" i="7"/>
  <c r="BL2253" i="7"/>
  <c r="BN1790" i="7"/>
  <c r="BL1790" i="7"/>
  <c r="BN618" i="7"/>
  <c r="BL618" i="7"/>
  <c r="BN1583" i="7"/>
  <c r="BL1583" i="7"/>
  <c r="BN1141" i="7"/>
  <c r="BL1141" i="7"/>
  <c r="BM64" i="8"/>
  <c r="BL64" i="8"/>
  <c r="BL51" i="7"/>
  <c r="BN2189" i="7"/>
  <c r="BL2189" i="7"/>
  <c r="BL2093" i="7"/>
  <c r="BL692" i="7"/>
  <c r="BL1257" i="7"/>
  <c r="BL1038" i="7"/>
  <c r="BL1674" i="7"/>
  <c r="BN1961" i="7"/>
  <c r="BL1961" i="7"/>
  <c r="BN2112" i="7"/>
  <c r="BL2112" i="7"/>
  <c r="BN1416" i="7"/>
  <c r="BL1416" i="7"/>
  <c r="BN1785" i="7"/>
  <c r="BL1785" i="7"/>
  <c r="BN1503" i="7"/>
  <c r="BL1503" i="7"/>
  <c r="BN1557" i="7"/>
  <c r="BL1557" i="7"/>
  <c r="BN1771" i="7"/>
  <c r="BL1771" i="7"/>
  <c r="BN1183" i="7"/>
  <c r="BL1183" i="7"/>
  <c r="BN1762" i="7"/>
  <c r="BL1762" i="7"/>
  <c r="BN2118" i="7"/>
  <c r="BL2118" i="7"/>
  <c r="BL1928" i="7"/>
  <c r="BN1928" i="7"/>
  <c r="BN2144" i="7"/>
  <c r="BL2144" i="7"/>
  <c r="BN1922" i="7"/>
  <c r="BL1922" i="7"/>
  <c r="BN2195" i="7"/>
  <c r="BL2195" i="7"/>
  <c r="BL2102" i="7"/>
  <c r="BL1335" i="7"/>
  <c r="BL344" i="7"/>
  <c r="BN1966" i="7"/>
  <c r="BL1966" i="7"/>
  <c r="BL2076" i="7"/>
  <c r="BN2076" i="7"/>
  <c r="BN1861" i="7"/>
  <c r="BL1861" i="7"/>
  <c r="BN1599" i="7"/>
  <c r="BL1599" i="7"/>
  <c r="BL2070" i="7"/>
  <c r="BN2070" i="7"/>
  <c r="BN1964" i="7"/>
  <c r="BL1964" i="7"/>
  <c r="BN1355" i="7"/>
  <c r="BL1355" i="7"/>
  <c r="BL96" i="8"/>
  <c r="BM96" i="8"/>
  <c r="BL220" i="7"/>
  <c r="BN1002" i="7"/>
  <c r="BL1002" i="7"/>
  <c r="BL1488" i="7"/>
  <c r="BL2026" i="7"/>
  <c r="BL458" i="7"/>
  <c r="BL1313" i="7"/>
  <c r="BN1313" i="7"/>
  <c r="BL94" i="8"/>
  <c r="BM94" i="8"/>
  <c r="BL222" i="7"/>
  <c r="BN2194" i="7"/>
  <c r="BL2194" i="7"/>
  <c r="BL1251" i="7"/>
  <c r="BN1251" i="7"/>
  <c r="BL1823" i="7"/>
  <c r="BN1823" i="7"/>
  <c r="BL571" i="7"/>
  <c r="BN571" i="7"/>
  <c r="BN1245" i="7"/>
  <c r="BL1245" i="7"/>
  <c r="BM93" i="8"/>
  <c r="BL219" i="7"/>
  <c r="BL842" i="7"/>
  <c r="BN842" i="7"/>
  <c r="BL1569" i="7"/>
  <c r="BL477" i="7"/>
  <c r="BL105" i="7"/>
  <c r="BL830" i="7"/>
  <c r="BL883" i="7"/>
  <c r="BN883" i="7"/>
  <c r="BN130" i="7"/>
  <c r="BL130" i="7"/>
  <c r="BL66" i="8"/>
  <c r="BM66" i="8"/>
  <c r="BL27" i="7"/>
  <c r="BL3" i="8"/>
  <c r="BM3" i="8"/>
  <c r="BL381" i="7"/>
  <c r="BL538" i="7"/>
  <c r="BN538" i="7"/>
  <c r="BN892" i="7"/>
  <c r="BL892" i="7"/>
  <c r="BN95" i="7"/>
  <c r="BL95" i="7"/>
  <c r="BN2100" i="7"/>
  <c r="BL2100" i="7"/>
  <c r="BL343" i="7"/>
  <c r="BL1986" i="7"/>
  <c r="BL1976" i="7"/>
  <c r="BN2044" i="7"/>
  <c r="BL2044" i="7"/>
  <c r="BN2127" i="7"/>
  <c r="BL2127" i="7"/>
  <c r="BN790" i="7"/>
  <c r="BL790" i="7"/>
  <c r="BN66" i="7"/>
  <c r="BL66" i="7"/>
  <c r="BL1408" i="7"/>
  <c r="BN1408" i="7"/>
  <c r="BN2256" i="7"/>
  <c r="BL2256" i="7"/>
  <c r="BL953" i="7"/>
  <c r="BN953" i="7"/>
  <c r="BL600" i="7"/>
  <c r="BN600" i="7"/>
  <c r="BN1591" i="7"/>
  <c r="BL1591" i="7"/>
  <c r="BL468" i="7"/>
  <c r="BN468" i="7"/>
  <c r="BL1021" i="7"/>
  <c r="BL890" i="7"/>
  <c r="BL846" i="7"/>
  <c r="BL902" i="7"/>
  <c r="BN902" i="7"/>
  <c r="BL2183" i="7"/>
  <c r="BN2183" i="7"/>
  <c r="BN511" i="7"/>
  <c r="BL511" i="7"/>
  <c r="BL33" i="8"/>
  <c r="BM33" i="8"/>
  <c r="BL177" i="7"/>
  <c r="BL1376" i="7"/>
  <c r="BN1376" i="7"/>
  <c r="BN392" i="7"/>
  <c r="BL392" i="7"/>
  <c r="BN1581" i="7"/>
  <c r="BL1581" i="7"/>
  <c r="BL2126" i="7"/>
  <c r="BN2126" i="7"/>
  <c r="BL459" i="7"/>
  <c r="BL456" i="7"/>
  <c r="BM83" i="8"/>
  <c r="BL47" i="7"/>
  <c r="BL1351" i="7"/>
  <c r="BN1351" i="7"/>
  <c r="BL2261" i="7"/>
  <c r="BN1992" i="7"/>
  <c r="BL1992" i="7"/>
  <c r="BN531" i="7"/>
  <c r="BL531" i="7"/>
  <c r="BN1208" i="7"/>
  <c r="BL1208" i="7"/>
  <c r="BN1953" i="7"/>
  <c r="BL1953" i="7"/>
  <c r="BL1026" i="7"/>
  <c r="BL1243" i="7"/>
  <c r="BL2095" i="7"/>
  <c r="BL591" i="7"/>
  <c r="BN591" i="7"/>
  <c r="BL1367" i="7"/>
  <c r="BL75" i="7"/>
  <c r="BN75" i="7"/>
  <c r="BL333" i="7"/>
  <c r="BN333" i="7"/>
  <c r="BL1770" i="7"/>
  <c r="BN1770" i="7"/>
  <c r="BN755" i="7"/>
  <c r="BL755" i="7"/>
  <c r="BN1944" i="7"/>
  <c r="BL1944" i="7"/>
  <c r="BN1286" i="7"/>
  <c r="BL1286" i="7"/>
  <c r="BL2186" i="7"/>
  <c r="BN2186" i="7"/>
  <c r="BL1058" i="7"/>
  <c r="BL506" i="7"/>
  <c r="BL223" i="7"/>
  <c r="BL898" i="7"/>
  <c r="BL1609" i="7"/>
  <c r="BN1609" i="7"/>
  <c r="BN1074" i="7"/>
  <c r="BL1074" i="7"/>
  <c r="BN1809" i="7"/>
  <c r="BL1809" i="7"/>
  <c r="BN125" i="7"/>
  <c r="BL125" i="7"/>
  <c r="BN947" i="7"/>
  <c r="BL947" i="7"/>
  <c r="BN1301" i="7"/>
  <c r="BL1301" i="7"/>
  <c r="BM87" i="8"/>
  <c r="BL87" i="8"/>
  <c r="BL150" i="7"/>
  <c r="BN1698" i="7"/>
  <c r="BL1698" i="7"/>
  <c r="BL1815" i="7"/>
  <c r="BL650" i="7"/>
  <c r="BL1184" i="7"/>
  <c r="BN1497" i="7"/>
  <c r="BL1497" i="7"/>
  <c r="BN625" i="7"/>
  <c r="BL625" i="7"/>
  <c r="BL1676" i="7"/>
  <c r="BN1676" i="7"/>
  <c r="BN437" i="7"/>
  <c r="BL437" i="7"/>
  <c r="BN1592" i="7"/>
  <c r="BL1592" i="7"/>
  <c r="BN1533" i="7"/>
  <c r="BL1533" i="7"/>
  <c r="BL1724" i="7"/>
  <c r="BN1724" i="7"/>
  <c r="BN1095" i="7"/>
  <c r="BL1095" i="7"/>
  <c r="BL596" i="7"/>
  <c r="BL909" i="7"/>
  <c r="BL702" i="7"/>
  <c r="BL1340" i="7"/>
  <c r="BL2236" i="7"/>
  <c r="BN2236" i="7"/>
  <c r="BN187" i="7"/>
  <c r="BL187" i="7"/>
  <c r="BN1146" i="7"/>
  <c r="BL1146" i="7"/>
  <c r="BN1665" i="7"/>
  <c r="BL1665" i="7"/>
  <c r="BN121" i="7"/>
  <c r="BL121" i="7"/>
  <c r="BL18" i="8"/>
  <c r="BM18" i="8"/>
  <c r="BL367" i="7"/>
  <c r="BN315" i="7"/>
  <c r="BL315" i="7"/>
  <c r="BN645" i="7"/>
  <c r="BL645" i="7"/>
  <c r="BN770" i="7"/>
  <c r="BL770" i="7"/>
  <c r="BL1411" i="7"/>
  <c r="BL1084" i="7"/>
  <c r="BL1860" i="7"/>
  <c r="BL1138" i="7"/>
  <c r="BN201" i="7"/>
  <c r="BL201" i="7"/>
  <c r="BN1315" i="7"/>
  <c r="BL1315" i="7"/>
  <c r="BN1664" i="7"/>
  <c r="BL1664" i="7"/>
  <c r="BN1507" i="7"/>
  <c r="BL1507" i="7"/>
  <c r="BN1271" i="7"/>
  <c r="BL1271" i="7"/>
  <c r="BN282" i="7"/>
  <c r="BL282" i="7"/>
  <c r="BL55" i="7"/>
  <c r="BN55" i="7"/>
  <c r="BN881" i="7"/>
  <c r="BL881" i="7"/>
  <c r="BL198" i="7"/>
  <c r="BL278" i="7"/>
  <c r="BL643" i="7"/>
  <c r="BN583" i="7"/>
  <c r="BL583" i="7"/>
  <c r="BL1204" i="7"/>
  <c r="BN1707" i="7"/>
  <c r="BL1707" i="7"/>
  <c r="BN1510" i="7"/>
  <c r="BL1510" i="7"/>
  <c r="BM10" i="8"/>
  <c r="BL10" i="8"/>
  <c r="BL409" i="7"/>
  <c r="BN2008" i="7"/>
  <c r="BL2008" i="7"/>
  <c r="BL827" i="7"/>
  <c r="BN827" i="7"/>
  <c r="BL2025" i="7"/>
  <c r="BL672" i="7"/>
  <c r="BL509" i="7"/>
  <c r="BL90" i="8"/>
  <c r="BM90" i="8"/>
  <c r="BL155" i="7"/>
  <c r="BL1188" i="7"/>
  <c r="BL422" i="7"/>
  <c r="BN422" i="7"/>
  <c r="BN2187" i="7"/>
  <c r="BL2187" i="7"/>
  <c r="BL1123" i="7"/>
  <c r="BN1123" i="7"/>
  <c r="BN2032" i="7"/>
  <c r="BL2032" i="7"/>
  <c r="BL60" i="7"/>
  <c r="BN60" i="7"/>
  <c r="BN1496" i="7"/>
  <c r="BL1496" i="7"/>
  <c r="BN2198" i="7"/>
  <c r="BL2198" i="7"/>
  <c r="BL882" i="7"/>
  <c r="BN882" i="7"/>
  <c r="BE81" i="8"/>
  <c r="BE86" i="8"/>
  <c r="BE105" i="8"/>
  <c r="BE75" i="8"/>
  <c r="BE1064" i="7"/>
  <c r="BF1064" i="7" s="1"/>
  <c r="BE1763" i="7"/>
  <c r="BF1763" i="7" s="1"/>
  <c r="BE84" i="8"/>
  <c r="BE92" i="8"/>
  <c r="BE2228" i="7"/>
  <c r="BF2228" i="7" s="1"/>
  <c r="BE1731" i="7"/>
  <c r="BF1731" i="7" s="1"/>
  <c r="BE10" i="8"/>
  <c r="BF2158" i="7"/>
  <c r="BF100" i="8"/>
  <c r="BF2150" i="7"/>
  <c r="BF61" i="8"/>
  <c r="BF2188" i="7"/>
  <c r="BF84" i="8"/>
  <c r="BF1962" i="7"/>
  <c r="BF71" i="8"/>
  <c r="BF2196" i="7"/>
  <c r="BF64" i="8"/>
  <c r="BF1914" i="7"/>
  <c r="BF90" i="8"/>
  <c r="BF1882" i="7"/>
  <c r="BF83" i="8"/>
  <c r="BF1103" i="7"/>
  <c r="BF105" i="8"/>
  <c r="BF1132" i="7"/>
  <c r="BF65" i="8"/>
  <c r="BF68" i="8"/>
  <c r="BF1123" i="7"/>
  <c r="BF63" i="8"/>
  <c r="BF94" i="8"/>
  <c r="BF2033" i="7"/>
  <c r="BF97" i="8"/>
  <c r="BF1999" i="7"/>
  <c r="BF103" i="8"/>
  <c r="BF73" i="8"/>
  <c r="BE2151" i="7"/>
  <c r="BF1551" i="7"/>
  <c r="BF1975" i="7"/>
  <c r="BF74" i="8"/>
  <c r="BF79" i="8"/>
  <c r="BF1959" i="7"/>
  <c r="BF101" i="8"/>
  <c r="BF1535" i="7"/>
  <c r="BF99" i="8"/>
  <c r="BF1478" i="7"/>
  <c r="BF1208" i="7"/>
  <c r="BF77" i="8"/>
  <c r="BF2157" i="7"/>
  <c r="BF88" i="8"/>
  <c r="BF1947" i="7"/>
  <c r="BF87" i="8"/>
  <c r="BF1704" i="7"/>
  <c r="BF85" i="8"/>
  <c r="BF1885" i="7"/>
  <c r="BF70" i="8"/>
  <c r="BF1811" i="7"/>
  <c r="BF72" i="8"/>
  <c r="BF1878" i="7"/>
  <c r="BF78" i="8"/>
  <c r="BF1461" i="7"/>
  <c r="BF98" i="8"/>
  <c r="BF2053" i="7"/>
  <c r="BF76" i="8"/>
  <c r="BF1525" i="7"/>
  <c r="BF80" i="8"/>
  <c r="BF2037" i="7"/>
  <c r="BF102" i="8"/>
  <c r="BF1619" i="7"/>
  <c r="BF67" i="8"/>
  <c r="BF2007" i="7"/>
  <c r="BF96" i="8"/>
  <c r="BF1789" i="7"/>
  <c r="BF104" i="8"/>
  <c r="BF1966" i="7"/>
  <c r="BF81" i="8"/>
  <c r="BF1978" i="7"/>
  <c r="BF95" i="8"/>
  <c r="BF2144" i="7"/>
  <c r="BF75" i="8"/>
  <c r="BF2231" i="7"/>
  <c r="BF86" i="8"/>
  <c r="BE1486" i="7"/>
  <c r="BF82" i="8" s="1"/>
  <c r="BE69" i="8"/>
  <c r="BF1531" i="7"/>
  <c r="BF66" i="8"/>
  <c r="BF93" i="8"/>
  <c r="BF1101" i="7"/>
  <c r="BF89" i="8"/>
  <c r="BE29" i="8"/>
  <c r="BE38" i="8"/>
  <c r="BF783" i="7"/>
  <c r="BF44" i="8"/>
  <c r="BF1298" i="7"/>
  <c r="BF8" i="8"/>
  <c r="BF2139" i="7"/>
  <c r="BF37" i="8"/>
  <c r="BF2167" i="7"/>
  <c r="BF18" i="8"/>
  <c r="BF1995" i="7"/>
  <c r="BF13" i="8"/>
  <c r="BF839" i="7"/>
  <c r="BF32" i="8"/>
  <c r="BF562" i="7"/>
  <c r="BF29" i="8"/>
  <c r="BF1697" i="7"/>
  <c r="BF51" i="8"/>
  <c r="BF1549" i="7"/>
  <c r="BF5" i="8"/>
  <c r="BF1060" i="7"/>
  <c r="BF14" i="8"/>
  <c r="BF2105" i="7"/>
  <c r="BF39" i="8"/>
  <c r="BF621" i="7"/>
  <c r="BF47" i="8"/>
  <c r="BF1035" i="7"/>
  <c r="BF19" i="8"/>
  <c r="BF1499" i="7"/>
  <c r="BF52" i="8"/>
  <c r="BF738" i="7"/>
  <c r="BF24" i="8"/>
  <c r="BF319" i="7"/>
  <c r="BF50" i="8"/>
  <c r="BF744" i="7"/>
  <c r="BF40" i="8"/>
  <c r="BF361" i="7"/>
  <c r="BF59" i="8"/>
  <c r="BF2057" i="7"/>
  <c r="BF33" i="8"/>
  <c r="BF960" i="7"/>
  <c r="BF31" i="8"/>
  <c r="BF1872" i="7"/>
  <c r="BF15" i="8"/>
  <c r="BF465" i="7"/>
  <c r="BF60" i="8"/>
  <c r="BF1871" i="7"/>
  <c r="BF57" i="8"/>
  <c r="BF1195" i="7"/>
  <c r="BF1429" i="7"/>
  <c r="BF54" i="8"/>
  <c r="BF858" i="7"/>
  <c r="BF38" i="8"/>
  <c r="BF1247" i="7"/>
  <c r="BF23" i="8"/>
  <c r="BF1696" i="7"/>
  <c r="BF4" i="8"/>
  <c r="BF1845" i="7"/>
  <c r="BF3" i="8"/>
  <c r="BF1721" i="7"/>
  <c r="BF17" i="8"/>
  <c r="BF559" i="7"/>
  <c r="BF26" i="8"/>
  <c r="BF580" i="7"/>
  <c r="BF21" i="8"/>
  <c r="BF1937" i="7"/>
  <c r="BF34" i="8"/>
  <c r="BF1169" i="7"/>
  <c r="BF36" i="8"/>
  <c r="BF1685" i="7"/>
  <c r="BF53" i="8"/>
  <c r="BF1739" i="7"/>
  <c r="BF42" i="8"/>
  <c r="BF759" i="7"/>
  <c r="BF10" i="8"/>
  <c r="BF1969" i="7"/>
  <c r="BF45" i="8"/>
  <c r="BF2171" i="7"/>
  <c r="BF30" i="8"/>
  <c r="BF836" i="7"/>
  <c r="BF28" i="8"/>
  <c r="BF253" i="7"/>
  <c r="BF49" i="8"/>
  <c r="BF1062" i="7"/>
  <c r="BF12" i="8"/>
  <c r="BF1084" i="7"/>
  <c r="BF56" i="8"/>
  <c r="BF1936" i="7"/>
  <c r="BF2" i="8"/>
  <c r="BF1951" i="7"/>
  <c r="BF20" i="8"/>
  <c r="BF1546" i="7"/>
  <c r="BF43" i="8"/>
  <c r="BF1180" i="7"/>
  <c r="BF25" i="8"/>
  <c r="BF1423" i="7"/>
  <c r="BF41" i="8"/>
  <c r="BE820" i="7"/>
  <c r="BF1684" i="7"/>
  <c r="BF11" i="8"/>
  <c r="BF1030" i="7"/>
  <c r="BF27" i="8"/>
  <c r="BF1691" i="7"/>
  <c r="BF7" i="8"/>
  <c r="BF1214" i="7"/>
  <c r="BF6" i="8"/>
  <c r="BF1687" i="7"/>
  <c r="BF46" i="8"/>
  <c r="BF1285" i="7"/>
  <c r="BF16" i="8"/>
  <c r="BF1501" i="7"/>
  <c r="BF22" i="8"/>
  <c r="BF1920" i="7"/>
  <c r="BF58" i="8"/>
  <c r="BF1224" i="7"/>
  <c r="BF9" i="8"/>
  <c r="BF625" i="7"/>
  <c r="BF48" i="8"/>
  <c r="CW273" i="1"/>
  <c r="CZ273" i="1" s="1"/>
  <c r="CW203" i="1"/>
  <c r="CZ203" i="1" s="1"/>
  <c r="CW75" i="1"/>
  <c r="CZ75" i="1" s="1"/>
  <c r="CI277" i="1"/>
  <c r="CW307" i="1"/>
  <c r="CZ307" i="1" s="1"/>
  <c r="CW272" i="1"/>
  <c r="CZ272" i="1" s="1"/>
  <c r="CI56" i="3"/>
  <c r="CW267" i="1"/>
  <c r="CZ267" i="1" s="1"/>
  <c r="CW226" i="1"/>
  <c r="CZ226" i="1" s="1"/>
  <c r="CY42" i="1"/>
  <c r="CY56" i="3"/>
  <c r="CS56" i="3"/>
  <c r="CW48" i="1"/>
  <c r="CZ48" i="1" s="1"/>
  <c r="CI58" i="1"/>
  <c r="CJ58" i="1" s="1"/>
  <c r="CW142" i="1"/>
  <c r="CZ142" i="1" s="1"/>
  <c r="CX73" i="1"/>
  <c r="CI49" i="1"/>
  <c r="CJ49" i="1" s="1"/>
  <c r="CW134" i="1"/>
  <c r="CZ134" i="1" s="1"/>
  <c r="CW99" i="1"/>
  <c r="CZ99" i="1" s="1"/>
  <c r="CI84" i="1"/>
  <c r="CW178" i="1"/>
  <c r="CZ178" i="1" s="1"/>
  <c r="CW259" i="1"/>
  <c r="CZ259" i="1" s="1"/>
  <c r="CX243" i="1"/>
  <c r="CW157" i="1"/>
  <c r="CZ157" i="1" s="1"/>
  <c r="CW5" i="1"/>
  <c r="CZ5" i="1" s="1"/>
  <c r="CW148" i="1"/>
  <c r="CZ148" i="1" s="1"/>
  <c r="CI55" i="3"/>
  <c r="CY103" i="1"/>
  <c r="CY55" i="3"/>
  <c r="CX307" i="1"/>
  <c r="CW127" i="1"/>
  <c r="CZ127" i="1" s="1"/>
  <c r="CY158" i="1"/>
  <c r="CY54" i="3"/>
  <c r="CI54" i="3"/>
  <c r="CU103" i="1"/>
  <c r="CW135" i="1"/>
  <c r="CZ135" i="1" s="1"/>
  <c r="CW7" i="1"/>
  <c r="CZ7" i="1" s="1"/>
  <c r="CW137" i="1"/>
  <c r="DA137" i="1" s="1"/>
  <c r="CW207" i="1"/>
  <c r="CZ207" i="1" s="1"/>
  <c r="CW247" i="1"/>
  <c r="CZ247" i="1" s="1"/>
  <c r="CW17" i="1"/>
  <c r="CZ17" i="1" s="1"/>
  <c r="DA166" i="1"/>
  <c r="CW132" i="1"/>
  <c r="CZ132" i="1" s="1"/>
  <c r="CW52" i="1"/>
  <c r="CZ52" i="1" s="1"/>
  <c r="CW183" i="1"/>
  <c r="DA183" i="1" s="1"/>
  <c r="CW9" i="1"/>
  <c r="CZ9" i="1" s="1"/>
  <c r="CW102" i="1"/>
  <c r="CZ102" i="1" s="1"/>
  <c r="CW151" i="1"/>
  <c r="CZ151" i="1" s="1"/>
  <c r="CW288" i="1"/>
  <c r="CZ288" i="1" s="1"/>
  <c r="CW45" i="1"/>
  <c r="CZ45" i="1" s="1"/>
  <c r="CW18" i="1"/>
  <c r="CZ18" i="1" s="1"/>
  <c r="CW136" i="1"/>
  <c r="CZ136" i="1" s="1"/>
  <c r="CV117" i="1"/>
  <c r="CY117" i="1" s="1"/>
  <c r="CV26" i="1"/>
  <c r="CY26" i="1" s="1"/>
  <c r="CW40" i="1"/>
  <c r="CZ40" i="1" s="1"/>
  <c r="CW212" i="1"/>
  <c r="CZ212" i="1" s="1"/>
  <c r="CW300" i="1"/>
  <c r="CZ300" i="1" s="1"/>
  <c r="CU63" i="1"/>
  <c r="CX63" i="1" s="1"/>
  <c r="CW46" i="1"/>
  <c r="CZ46" i="1" s="1"/>
  <c r="CV19" i="1"/>
  <c r="CY19" i="1" s="1"/>
  <c r="CX127" i="1"/>
  <c r="CW81" i="1"/>
  <c r="CW239" i="1"/>
  <c r="CZ239" i="1" s="1"/>
  <c r="DA285" i="1"/>
  <c r="CW220" i="1"/>
  <c r="CW242" i="1"/>
  <c r="CW291" i="1"/>
  <c r="CX148" i="1"/>
  <c r="DA73" i="1"/>
  <c r="CW149" i="1"/>
  <c r="CZ149" i="1" s="1"/>
  <c r="CW204" i="1"/>
  <c r="CZ204" i="1" s="1"/>
  <c r="CU93" i="1"/>
  <c r="CX93" i="1" s="1"/>
  <c r="CW251" i="1"/>
  <c r="CZ251" i="1" s="1"/>
  <c r="CU36" i="1"/>
  <c r="CW36" i="1" s="1"/>
  <c r="CZ36" i="1" s="1"/>
  <c r="CW290" i="1"/>
  <c r="CZ290" i="1" s="1"/>
  <c r="CW164" i="1"/>
  <c r="CZ164" i="1" s="1"/>
  <c r="CW89" i="1"/>
  <c r="CZ89" i="1" s="1"/>
  <c r="CW223" i="1"/>
  <c r="CZ223" i="1" s="1"/>
  <c r="CW253" i="1"/>
  <c r="CZ253" i="1" s="1"/>
  <c r="CW121" i="1"/>
  <c r="CZ121" i="1" s="1"/>
  <c r="CW191" i="1"/>
  <c r="DA191" i="1" s="1"/>
  <c r="CW264" i="1"/>
  <c r="CZ264" i="1" s="1"/>
  <c r="CW30" i="1"/>
  <c r="DA30" i="1" s="1"/>
  <c r="DA215" i="1"/>
  <c r="CW146" i="1"/>
  <c r="DA146" i="1" s="1"/>
  <c r="CW29" i="1"/>
  <c r="CZ29" i="1" s="1"/>
  <c r="CX242" i="1"/>
  <c r="CW205" i="1"/>
  <c r="DA205" i="1" s="1"/>
  <c r="CW76" i="1"/>
  <c r="CW252" i="1"/>
  <c r="CZ252" i="1" s="1"/>
  <c r="CX159" i="1"/>
  <c r="CV79" i="1"/>
  <c r="CY79" i="1" s="1"/>
  <c r="CU231" i="1"/>
  <c r="CX231" i="1" s="1"/>
  <c r="CW109" i="1"/>
  <c r="DA109" i="1" s="1"/>
  <c r="CV231" i="1"/>
  <c r="CY231" i="1" s="1"/>
  <c r="CX102" i="1"/>
  <c r="CV276" i="1"/>
  <c r="CY276" i="1" s="1"/>
  <c r="CV3" i="1"/>
  <c r="CY3" i="1" s="1"/>
  <c r="CW201" i="1"/>
  <c r="CZ201" i="1" s="1"/>
  <c r="CX52" i="1"/>
  <c r="CX267" i="1"/>
  <c r="CX41" i="1"/>
  <c r="CU117" i="1"/>
  <c r="CX117" i="1" s="1"/>
  <c r="CX247" i="1"/>
  <c r="CV238" i="1"/>
  <c r="CY238" i="1" s="1"/>
  <c r="CU57" i="1"/>
  <c r="CX57" i="1" s="1"/>
  <c r="CX9" i="1"/>
  <c r="CU194" i="1"/>
  <c r="CX194" i="1" s="1"/>
  <c r="CX285" i="1"/>
  <c r="DA299" i="1"/>
  <c r="CW14" i="1"/>
  <c r="CV275" i="1"/>
  <c r="CY275" i="1" s="1"/>
  <c r="CW39" i="1"/>
  <c r="CZ39" i="1" s="1"/>
  <c r="CV57" i="1"/>
  <c r="CY57" i="1" s="1"/>
  <c r="CX253" i="1"/>
  <c r="CW180" i="1"/>
  <c r="CW278" i="1"/>
  <c r="CW143" i="1"/>
  <c r="CW228" i="1"/>
  <c r="CW263" i="1"/>
  <c r="CX77" i="1"/>
  <c r="CX259" i="1"/>
  <c r="CW107" i="1"/>
  <c r="CZ107" i="1" s="1"/>
  <c r="CW90" i="1"/>
  <c r="CW71" i="1"/>
  <c r="CX75" i="1"/>
  <c r="CX132" i="1"/>
  <c r="CW97" i="1"/>
  <c r="CZ97" i="1" s="1"/>
  <c r="CW25" i="1"/>
  <c r="CZ25" i="1" s="1"/>
  <c r="CW216" i="1"/>
  <c r="CZ216" i="1" s="1"/>
  <c r="CW32" i="1"/>
  <c r="CW274" i="1"/>
  <c r="CZ274" i="1" s="1"/>
  <c r="CV94" i="1"/>
  <c r="CY94" i="1" s="1"/>
  <c r="CX222" i="1"/>
  <c r="CW172" i="1"/>
  <c r="CZ172" i="1" s="1"/>
  <c r="CW122" i="1"/>
  <c r="CZ122" i="1" s="1"/>
  <c r="CW111" i="1"/>
  <c r="CZ111" i="1" s="1"/>
  <c r="CW64" i="1"/>
  <c r="CZ64" i="1" s="1"/>
  <c r="CW208" i="1"/>
  <c r="CZ208" i="1" s="1"/>
  <c r="CW218" i="1"/>
  <c r="CZ218" i="1" s="1"/>
  <c r="CW219" i="1"/>
  <c r="CZ219" i="1" s="1"/>
  <c r="CW113" i="1"/>
  <c r="CZ113" i="1" s="1"/>
  <c r="CW123" i="1"/>
  <c r="CZ123" i="1" s="1"/>
  <c r="CI298" i="1"/>
  <c r="CX201" i="1"/>
  <c r="CX99" i="1"/>
  <c r="CX45" i="1"/>
  <c r="CX109" i="1"/>
  <c r="CW249" i="1"/>
  <c r="CW85" i="1"/>
  <c r="CU214" i="1"/>
  <c r="CX214" i="1" s="1"/>
  <c r="CV233" i="1"/>
  <c r="CY233" i="1" s="1"/>
  <c r="CX278" i="1"/>
  <c r="CX172" i="1"/>
  <c r="CX263" i="1"/>
  <c r="CX98" i="1"/>
  <c r="CX101" i="1"/>
  <c r="DA98" i="1"/>
  <c r="CV214" i="1"/>
  <c r="CY214" i="1" s="1"/>
  <c r="CV175" i="1"/>
  <c r="CY175" i="1" s="1"/>
  <c r="CU174" i="1"/>
  <c r="CX174" i="1" s="1"/>
  <c r="CU177" i="1"/>
  <c r="CW306" i="1"/>
  <c r="CW163" i="1"/>
  <c r="CZ163" i="1" s="1"/>
  <c r="CX14" i="1"/>
  <c r="CX178" i="1"/>
  <c r="CX288" i="1"/>
  <c r="CW59" i="1"/>
  <c r="CW171" i="1"/>
  <c r="CW297" i="1"/>
  <c r="CW69" i="1"/>
  <c r="CV279" i="1"/>
  <c r="CY279" i="1" s="1"/>
  <c r="CW256" i="1"/>
  <c r="CI243" i="1"/>
  <c r="CI281" i="1"/>
  <c r="CJ281" i="1" s="1"/>
  <c r="CX81" i="1"/>
  <c r="CX146" i="1"/>
  <c r="CW271" i="1"/>
  <c r="CW292" i="1"/>
  <c r="CV217" i="1"/>
  <c r="CY217" i="1" s="1"/>
  <c r="CV177" i="1"/>
  <c r="CY177" i="1" s="1"/>
  <c r="CW11" i="1"/>
  <c r="CW88" i="1"/>
  <c r="CZ88" i="1" s="1"/>
  <c r="CW254" i="1"/>
  <c r="CW301" i="1"/>
  <c r="CW235" i="1"/>
  <c r="CV189" i="1"/>
  <c r="CY189" i="1" s="1"/>
  <c r="CV53" i="1"/>
  <c r="CY53" i="1" s="1"/>
  <c r="CX216" i="1"/>
  <c r="CW126" i="1"/>
  <c r="CU308" i="1"/>
  <c r="CW70" i="1"/>
  <c r="CU275" i="1"/>
  <c r="CU37" i="1"/>
  <c r="CV150" i="1"/>
  <c r="CY150" i="1" s="1"/>
  <c r="CX226" i="1"/>
  <c r="CX17" i="1"/>
  <c r="CX25" i="1"/>
  <c r="CW13" i="1"/>
  <c r="CV6" i="1"/>
  <c r="CY6" i="1" s="1"/>
  <c r="CW67" i="1"/>
  <c r="CV237" i="1"/>
  <c r="CY237" i="1" s="1"/>
  <c r="CW95" i="1"/>
  <c r="CX166" i="1"/>
  <c r="CX300" i="1"/>
  <c r="CW44" i="1"/>
  <c r="CW138" i="1"/>
  <c r="CZ138" i="1" s="1"/>
  <c r="CW286" i="1"/>
  <c r="CW128" i="1"/>
  <c r="CT200" i="1"/>
  <c r="CV200" i="1"/>
  <c r="CY200" i="1" s="1"/>
  <c r="CV181" i="1"/>
  <c r="CY181" i="1" s="1"/>
  <c r="CU79" i="1"/>
  <c r="CW245" i="1"/>
  <c r="CU58" i="1"/>
  <c r="CX264" i="1"/>
  <c r="CW298" i="1"/>
  <c r="CW105" i="1"/>
  <c r="CX123" i="1"/>
  <c r="CV37" i="1"/>
  <c r="CY37" i="1" s="1"/>
  <c r="CV129" i="1"/>
  <c r="CY129" i="1" s="1"/>
  <c r="CV119" i="1"/>
  <c r="CY119" i="1" s="1"/>
  <c r="CT119" i="1"/>
  <c r="CW229" i="1"/>
  <c r="CZ229" i="1" s="1"/>
  <c r="CW115" i="1"/>
  <c r="CV58" i="1"/>
  <c r="CY58" i="1" s="1"/>
  <c r="CU238" i="1"/>
  <c r="CV194" i="1"/>
  <c r="CY194" i="1" s="1"/>
  <c r="CW197" i="1"/>
  <c r="CW246" i="1"/>
  <c r="CW221" i="1"/>
  <c r="CZ221" i="1" s="1"/>
  <c r="CW145" i="1"/>
  <c r="CT265" i="1"/>
  <c r="CU265" i="1" s="1"/>
  <c r="CV265" i="1"/>
  <c r="CY265" i="1" s="1"/>
  <c r="CV241" i="1"/>
  <c r="CY241" i="1" s="1"/>
  <c r="CV174" i="1"/>
  <c r="CY174" i="1" s="1"/>
  <c r="CU241" i="1"/>
  <c r="CV130" i="1"/>
  <c r="CY130" i="1" s="1"/>
  <c r="CW250" i="1"/>
  <c r="CX272" i="1"/>
  <c r="CW266" i="1"/>
  <c r="CZ266" i="1" s="1"/>
  <c r="CX29" i="1"/>
  <c r="CX113" i="1"/>
  <c r="CW280" i="1"/>
  <c r="CW169" i="1"/>
  <c r="CW154" i="1"/>
  <c r="CW210" i="1"/>
  <c r="CW108" i="1"/>
  <c r="CV296" i="1"/>
  <c r="CY296" i="1" s="1"/>
  <c r="CX179" i="1"/>
  <c r="CX274" i="1"/>
  <c r="CW106" i="1"/>
  <c r="CZ106" i="1" s="1"/>
  <c r="CV100" i="1"/>
  <c r="CY100" i="1" s="1"/>
  <c r="CW43" i="1"/>
  <c r="CV308" i="1"/>
  <c r="CY308" i="1" s="1"/>
  <c r="CW304" i="1"/>
  <c r="CV170" i="1"/>
  <c r="CY170" i="1" s="1"/>
  <c r="CU296" i="1"/>
  <c r="CT4" i="1"/>
  <c r="CU4" i="1" s="1"/>
  <c r="CV4" i="1"/>
  <c r="CY4" i="1" s="1"/>
  <c r="CV87" i="1"/>
  <c r="CY87" i="1" s="1"/>
  <c r="CW293" i="1"/>
  <c r="CZ293" i="1" s="1"/>
  <c r="CW213" i="1"/>
  <c r="CZ213" i="1" s="1"/>
  <c r="CW294" i="1"/>
  <c r="CW287" i="1"/>
  <c r="CX64" i="1"/>
  <c r="CX191" i="1"/>
  <c r="CX121" i="1"/>
  <c r="CX203" i="1"/>
  <c r="CX208" i="1"/>
  <c r="CX18" i="1"/>
  <c r="CX136" i="1"/>
  <c r="CW120" i="1"/>
  <c r="CZ120" i="1" s="1"/>
  <c r="CX218" i="1"/>
  <c r="CX219" i="1"/>
  <c r="CX273" i="1"/>
  <c r="CX207" i="1"/>
  <c r="CX7" i="1"/>
  <c r="CX149" i="1"/>
  <c r="CX137" i="1"/>
  <c r="CX223" i="1"/>
  <c r="CX290" i="1"/>
  <c r="CX97" i="1"/>
  <c r="CX49" i="1"/>
  <c r="CX204" i="1"/>
  <c r="CX21" i="1"/>
  <c r="CX134" i="1"/>
  <c r="DA77" i="1"/>
  <c r="CX192" i="1"/>
  <c r="CX157" i="1"/>
  <c r="DA49" i="1"/>
  <c r="DA21" i="1"/>
  <c r="CX234" i="1"/>
  <c r="CX5" i="1"/>
  <c r="CX142" i="1"/>
  <c r="CI295" i="1"/>
  <c r="CJ295" i="1" s="1"/>
  <c r="CI34" i="3"/>
  <c r="CI28" i="3"/>
  <c r="CI50" i="3"/>
  <c r="CI67" i="1"/>
  <c r="CJ67" i="1" s="1"/>
  <c r="CI160" i="1"/>
  <c r="CI48" i="3"/>
  <c r="CI269" i="1"/>
  <c r="CJ269" i="1" s="1"/>
  <c r="CI77" i="1"/>
  <c r="CJ77" i="1" s="1"/>
  <c r="CI7" i="1"/>
  <c r="CI155" i="1"/>
  <c r="CJ155" i="1" s="1"/>
  <c r="CI30" i="3"/>
  <c r="CI305" i="1"/>
  <c r="CJ305" i="1" s="1"/>
  <c r="CI103" i="1"/>
  <c r="CJ103" i="1" s="1"/>
  <c r="CI263" i="1"/>
  <c r="CI260" i="1"/>
  <c r="CJ260" i="1" s="1"/>
  <c r="CI31" i="1"/>
  <c r="CJ31" i="1" s="1"/>
  <c r="CI259" i="1"/>
  <c r="CJ259" i="1" s="1"/>
  <c r="CI41" i="3"/>
  <c r="CI252" i="1"/>
  <c r="CJ252" i="1" s="1"/>
  <c r="CI165" i="1"/>
  <c r="CJ165" i="1" s="1"/>
  <c r="CI129" i="1"/>
  <c r="CI50" i="1"/>
  <c r="CJ50" i="1" s="1"/>
  <c r="CI108" i="1"/>
  <c r="CJ108" i="1" s="1"/>
  <c r="CI22" i="3"/>
  <c r="CI140" i="1"/>
  <c r="CJ140" i="1" s="1"/>
  <c r="CI18" i="3"/>
  <c r="CI149" i="1"/>
  <c r="CJ149" i="1" s="1"/>
  <c r="CI241" i="1"/>
  <c r="CJ241" i="1" s="1"/>
  <c r="CI40" i="1"/>
  <c r="CJ40" i="1" s="1"/>
  <c r="CI204" i="1"/>
  <c r="CI65" i="1"/>
  <c r="CJ65" i="1" s="1"/>
  <c r="CI213" i="1"/>
  <c r="CJ213" i="1" s="1"/>
  <c r="CI11" i="1"/>
  <c r="CJ11" i="1" s="1"/>
  <c r="CI199" i="1"/>
  <c r="CJ199" i="1" s="1"/>
  <c r="CI42" i="3"/>
  <c r="CI127" i="1"/>
  <c r="CI196" i="1"/>
  <c r="CJ196" i="1" s="1"/>
  <c r="CI246" i="1"/>
  <c r="CJ246" i="1" s="1"/>
  <c r="CI85" i="1"/>
  <c r="CJ85" i="1" s="1"/>
  <c r="CI62" i="1"/>
  <c r="CJ62" i="1" s="1"/>
  <c r="CI194" i="1"/>
  <c r="CI111" i="1"/>
  <c r="CJ111" i="1" s="1"/>
  <c r="CI266" i="1"/>
  <c r="CJ266" i="1" s="1"/>
  <c r="CI83" i="1"/>
  <c r="CJ83" i="1" s="1"/>
  <c r="CI197" i="1"/>
  <c r="CJ197" i="1" s="1"/>
  <c r="CI2" i="3"/>
  <c r="CI28" i="1"/>
  <c r="CI162" i="1"/>
  <c r="CJ162" i="1" s="1"/>
  <c r="CI171" i="1"/>
  <c r="CJ171" i="1" s="1"/>
  <c r="CI297" i="1"/>
  <c r="CJ297" i="1" s="1"/>
  <c r="CI214" i="1"/>
  <c r="CI280" i="1"/>
  <c r="CJ280" i="1" s="1"/>
  <c r="CI291" i="1"/>
  <c r="CI168" i="1"/>
  <c r="CI285" i="1"/>
  <c r="CJ285" i="1" s="1"/>
  <c r="CI270" i="1"/>
  <c r="CI289" i="1"/>
  <c r="CI132" i="1"/>
  <c r="CJ132" i="1" s="1"/>
  <c r="CI274" i="1"/>
  <c r="CI64" i="1"/>
  <c r="CJ64" i="1" s="1"/>
  <c r="CI229" i="1"/>
  <c r="CI120" i="1"/>
  <c r="CJ120" i="1" s="1"/>
  <c r="CI186" i="1"/>
  <c r="CJ186" i="1" s="1"/>
  <c r="CI256" i="1"/>
  <c r="CJ256" i="1" s="1"/>
  <c r="CI61" i="1"/>
  <c r="CJ61" i="1" s="1"/>
  <c r="CI70" i="1"/>
  <c r="CI284" i="1"/>
  <c r="CJ284" i="1" s="1"/>
  <c r="CI272" i="1"/>
  <c r="CJ272" i="1" s="1"/>
  <c r="CI303" i="1"/>
  <c r="CJ303" i="1" s="1"/>
  <c r="CI110" i="1"/>
  <c r="CJ110" i="1" s="1"/>
  <c r="CI86" i="1"/>
  <c r="CJ86" i="1" s="1"/>
  <c r="CI230" i="1"/>
  <c r="CJ230" i="1" s="1"/>
  <c r="CI175" i="1"/>
  <c r="CJ175" i="1" s="1"/>
  <c r="CI275" i="1"/>
  <c r="CJ275" i="1" s="1"/>
  <c r="CI244" i="1"/>
  <c r="CJ244" i="1" s="1"/>
  <c r="CI37" i="1"/>
  <c r="CJ37" i="1" s="1"/>
  <c r="CI57" i="1"/>
  <c r="CJ57" i="1" s="1"/>
  <c r="CI208" i="1"/>
  <c r="CJ208" i="1" s="1"/>
  <c r="CI215" i="1"/>
  <c r="CI79" i="1"/>
  <c r="CJ79" i="1" s="1"/>
  <c r="CI235" i="1"/>
  <c r="CJ235" i="1" s="1"/>
  <c r="CI282" i="1"/>
  <c r="CJ282" i="1" s="1"/>
  <c r="CI151" i="1"/>
  <c r="CJ151" i="1" s="1"/>
  <c r="CI290" i="1"/>
  <c r="CJ290" i="1" s="1"/>
  <c r="CI92" i="1"/>
  <c r="CJ92" i="1" s="1"/>
  <c r="CI267" i="1"/>
  <c r="CJ267" i="1" s="1"/>
  <c r="CI139" i="1"/>
  <c r="CJ139" i="1" s="1"/>
  <c r="CI150" i="1"/>
  <c r="CI238" i="1"/>
  <c r="CI12" i="1"/>
  <c r="CJ12" i="1" s="1"/>
  <c r="CI288" i="1"/>
  <c r="CI94" i="1"/>
  <c r="CI237" i="1"/>
  <c r="CJ237" i="1" s="1"/>
  <c r="CI20" i="1"/>
  <c r="CI225" i="1"/>
  <c r="CJ225" i="1" s="1"/>
  <c r="CI166" i="1"/>
  <c r="CJ166" i="1" s="1"/>
  <c r="CI293" i="1"/>
  <c r="CI224" i="1"/>
  <c r="CI4" i="3"/>
  <c r="CI261" i="1"/>
  <c r="CJ261" i="1" s="1"/>
  <c r="CI233" i="1"/>
  <c r="CJ233" i="1" s="1"/>
  <c r="CI153" i="1"/>
  <c r="CI49" i="3"/>
  <c r="CI88" i="1"/>
  <c r="CJ88" i="1" s="1"/>
  <c r="CI154" i="1"/>
  <c r="CJ154" i="1" s="1"/>
  <c r="CI306" i="1"/>
  <c r="CI31" i="3"/>
  <c r="CI135" i="1"/>
  <c r="CJ135" i="1" s="1"/>
  <c r="CI128" i="1"/>
  <c r="CI146" i="1"/>
  <c r="CJ146" i="1" s="1"/>
  <c r="CI239" i="1"/>
  <c r="CI13" i="1"/>
  <c r="CJ13" i="1" s="1"/>
  <c r="CI40" i="3"/>
  <c r="CI133" i="1"/>
  <c r="CJ133" i="1" s="1"/>
  <c r="CI206" i="1"/>
  <c r="CJ206" i="1" s="1"/>
  <c r="CI142" i="1"/>
  <c r="CJ142" i="1" s="1"/>
  <c r="CI198" i="1"/>
  <c r="CJ198" i="1" s="1"/>
  <c r="CI157" i="1"/>
  <c r="CI258" i="1"/>
  <c r="CI123" i="1"/>
  <c r="CI66" i="1"/>
  <c r="CI180" i="1"/>
  <c r="CJ180" i="1" s="1"/>
  <c r="CI223" i="1"/>
  <c r="CJ223" i="1" s="1"/>
  <c r="CI296" i="1"/>
  <c r="CI24" i="3"/>
  <c r="CI113" i="1"/>
  <c r="CI96" i="1"/>
  <c r="CJ96" i="1" s="1"/>
  <c r="CI55" i="1"/>
  <c r="CI36" i="3"/>
  <c r="CI32" i="1"/>
  <c r="CJ32" i="1" s="1"/>
  <c r="CI35" i="1"/>
  <c r="CI119" i="1"/>
  <c r="CJ119" i="1" s="1"/>
  <c r="CI200" i="1"/>
  <c r="CJ200" i="1" s="1"/>
  <c r="CI245" i="1"/>
  <c r="CI45" i="1"/>
  <c r="CJ45" i="1" s="1"/>
  <c r="CI80" i="1"/>
  <c r="CJ80" i="1" s="1"/>
  <c r="CI159" i="1"/>
  <c r="CJ159" i="1" s="1"/>
  <c r="CI283" i="1"/>
  <c r="CI43" i="3"/>
  <c r="CI161" i="1"/>
  <c r="CI35" i="3"/>
  <c r="CI279" i="1"/>
  <c r="CJ279" i="1" s="1"/>
  <c r="CI13" i="3"/>
  <c r="CI74" i="1"/>
  <c r="CI195" i="1"/>
  <c r="CJ195" i="1" s="1"/>
  <c r="CI102" i="1"/>
  <c r="CJ102" i="1" s="1"/>
  <c r="CI12" i="3"/>
  <c r="CI46" i="1"/>
  <c r="CI29" i="3"/>
  <c r="CI53" i="1"/>
  <c r="CJ53" i="1" s="1"/>
  <c r="CI5" i="3"/>
  <c r="CI254" i="1"/>
  <c r="CJ254" i="1" s="1"/>
  <c r="CI38" i="3"/>
  <c r="CI105" i="1"/>
  <c r="CJ105" i="1" s="1"/>
  <c r="CI52" i="3"/>
  <c r="CI227" i="1"/>
  <c r="CJ227" i="1" s="1"/>
  <c r="CI23" i="3"/>
  <c r="CI3" i="1"/>
  <c r="CJ3" i="1" s="1"/>
  <c r="CI16" i="3"/>
  <c r="CI304" i="1"/>
  <c r="CJ304" i="1" s="1"/>
  <c r="CI15" i="3"/>
  <c r="CI95" i="1"/>
  <c r="CJ95" i="1" s="1"/>
  <c r="CI51" i="3"/>
  <c r="CI158" i="1"/>
  <c r="CJ158" i="1" s="1"/>
  <c r="CI33" i="3"/>
  <c r="CI286" i="1"/>
  <c r="CJ286" i="1" s="1"/>
  <c r="CI51" i="1"/>
  <c r="CJ51" i="1" s="1"/>
  <c r="CI14" i="3"/>
  <c r="CI56" i="1"/>
  <c r="CJ56" i="1" s="1"/>
  <c r="CI27" i="3"/>
  <c r="CI26" i="3"/>
  <c r="CI45" i="3"/>
  <c r="CI17" i="3"/>
  <c r="CI71" i="1"/>
  <c r="CJ71" i="1" s="1"/>
  <c r="CI32" i="3"/>
  <c r="CI25" i="3"/>
  <c r="CI232" i="1"/>
  <c r="CJ232" i="1" s="1"/>
  <c r="CI81" i="1"/>
  <c r="CI19" i="3"/>
  <c r="CI48" i="1"/>
  <c r="CJ48" i="1" s="1"/>
  <c r="CI7" i="3"/>
  <c r="CI47" i="3"/>
  <c r="CI8" i="1"/>
  <c r="CJ8" i="1" s="1"/>
  <c r="CI44" i="3"/>
  <c r="CI27" i="1"/>
  <c r="CJ27" i="1" s="1"/>
  <c r="CI39" i="3"/>
  <c r="CI205" i="1"/>
  <c r="CI8" i="3"/>
  <c r="CI248" i="1"/>
  <c r="CJ248" i="1" s="1"/>
  <c r="CI109" i="1"/>
  <c r="CI21" i="3"/>
  <c r="CI169" i="1"/>
  <c r="CJ169" i="1" s="1"/>
  <c r="CI11" i="3"/>
  <c r="CI136" i="1"/>
  <c r="CJ136" i="1" s="1"/>
  <c r="CI78" i="1"/>
  <c r="CI9" i="3"/>
  <c r="CI10" i="3"/>
  <c r="CI183" i="1"/>
  <c r="CJ183" i="1" s="1"/>
  <c r="CI3" i="3"/>
  <c r="CI189" i="1"/>
  <c r="CJ189" i="1" s="1"/>
  <c r="CI251" i="1"/>
  <c r="CJ251" i="1" s="1"/>
  <c r="CI36" i="1"/>
  <c r="CJ36" i="1" s="1"/>
  <c r="CI37" i="3"/>
  <c r="CI46" i="3"/>
  <c r="CI176" i="1"/>
  <c r="CI20" i="3"/>
  <c r="CI6" i="3"/>
  <c r="CI278" i="1"/>
  <c r="CJ278" i="1" s="1"/>
  <c r="CI207" i="1"/>
  <c r="CJ207" i="1" s="1"/>
  <c r="CI72" i="1"/>
  <c r="CJ72" i="1" s="1"/>
  <c r="CI268" i="1"/>
  <c r="CJ268" i="1" s="1"/>
  <c r="CI38" i="1"/>
  <c r="CJ38" i="1" s="1"/>
  <c r="CI170" i="1"/>
  <c r="CJ170" i="1" s="1"/>
  <c r="CI308" i="1"/>
  <c r="CJ308" i="1" s="1"/>
  <c r="CI47" i="1"/>
  <c r="CJ47" i="1" s="1"/>
  <c r="CI131" i="1"/>
  <c r="CI23" i="1"/>
  <c r="CJ23" i="1" s="1"/>
  <c r="CI90" i="1"/>
  <c r="CJ90" i="1" s="1"/>
  <c r="CI34" i="1"/>
  <c r="CJ34" i="1" s="1"/>
  <c r="CI137" i="1"/>
  <c r="CJ137" i="1" s="1"/>
  <c r="CI138" i="1"/>
  <c r="CJ138" i="1" s="1"/>
  <c r="CI76" i="1"/>
  <c r="CJ76" i="1" s="1"/>
  <c r="CI219" i="1"/>
  <c r="CJ219" i="1" s="1"/>
  <c r="CI294" i="1"/>
  <c r="CJ294" i="1" s="1"/>
  <c r="CI82" i="1"/>
  <c r="CJ82" i="1" s="1"/>
  <c r="CI104" i="1"/>
  <c r="CJ104" i="1" s="1"/>
  <c r="CI141" i="1"/>
  <c r="CJ141" i="1" s="1"/>
  <c r="CI179" i="1"/>
  <c r="CJ179" i="1" s="1"/>
  <c r="CI26" i="1"/>
  <c r="CJ26" i="1" s="1"/>
  <c r="CI4" i="1"/>
  <c r="CJ4" i="1" s="1"/>
  <c r="CI143" i="1"/>
  <c r="CJ143" i="1" s="1"/>
  <c r="CI144" i="1"/>
  <c r="CI117" i="1"/>
  <c r="CJ117" i="1" s="1"/>
  <c r="CI68" i="1"/>
  <c r="CJ68" i="1" s="1"/>
  <c r="CI190" i="1"/>
  <c r="CI184" i="1"/>
  <c r="CI75" i="1"/>
  <c r="CJ75" i="1" s="1"/>
  <c r="CI115" i="1"/>
  <c r="CI69" i="1"/>
  <c r="CJ69" i="1" s="1"/>
  <c r="CI210" i="1"/>
  <c r="CJ210" i="1" s="1"/>
  <c r="CI262" i="1"/>
  <c r="CJ262" i="1" s="1"/>
  <c r="CI130" i="1"/>
  <c r="CJ130" i="1" s="1"/>
  <c r="CI152" i="1"/>
  <c r="CJ152" i="1" s="1"/>
  <c r="CI240" i="1"/>
  <c r="CJ240" i="1" s="1"/>
  <c r="CI222" i="1"/>
  <c r="CJ222" i="1" s="1"/>
  <c r="CI73" i="1"/>
  <c r="CI188" i="1"/>
  <c r="CJ188" i="1" s="1"/>
  <c r="CI236" i="1"/>
  <c r="CI187" i="1"/>
  <c r="CI273" i="1"/>
  <c r="CI39" i="1"/>
  <c r="CJ39" i="1" s="1"/>
  <c r="CI181" i="1"/>
  <c r="CJ181" i="1" s="1"/>
  <c r="CI97" i="1"/>
  <c r="CJ97" i="1" s="1"/>
  <c r="CI193" i="1"/>
  <c r="CJ193" i="1" s="1"/>
  <c r="CI226" i="1"/>
  <c r="CJ226" i="1" s="1"/>
  <c r="CI276" i="1"/>
  <c r="CI249" i="1"/>
  <c r="CI257" i="1"/>
  <c r="CI18" i="1"/>
  <c r="CJ18" i="1" s="1"/>
  <c r="CI156" i="1"/>
  <c r="CJ156" i="1" s="1"/>
  <c r="CI292" i="1"/>
  <c r="CI287" i="1"/>
  <c r="CJ287" i="1" s="1"/>
  <c r="CI54" i="1"/>
  <c r="CJ54" i="1" s="1"/>
  <c r="CI182" i="1"/>
  <c r="CJ182" i="1" s="1"/>
  <c r="CI116" i="1"/>
  <c r="CJ116" i="1" s="1"/>
  <c r="CI114" i="1"/>
  <c r="CJ114" i="1" s="1"/>
  <c r="CI203" i="1"/>
  <c r="CJ203" i="1" s="1"/>
  <c r="CI300" i="1"/>
  <c r="CJ300" i="1" s="1"/>
  <c r="CI212" i="1"/>
  <c r="CJ212" i="1" s="1"/>
  <c r="CI242" i="1"/>
  <c r="CJ242" i="1" s="1"/>
  <c r="CI100" i="1"/>
  <c r="CJ100" i="1" s="1"/>
  <c r="CI99" i="1"/>
  <c r="CI192" i="1"/>
  <c r="CJ192" i="1" s="1"/>
  <c r="CI124" i="1"/>
  <c r="CJ124" i="1" s="1"/>
  <c r="CI220" i="1"/>
  <c r="CJ220" i="1" s="1"/>
  <c r="CI19" i="1"/>
  <c r="CJ19" i="1" s="1"/>
  <c r="CI164" i="1"/>
  <c r="CJ164" i="1" s="1"/>
  <c r="CI91" i="1"/>
  <c r="CJ91" i="1" s="1"/>
  <c r="CI231" i="1"/>
  <c r="CJ231" i="1" s="1"/>
  <c r="CI255" i="1"/>
  <c r="CI145" i="1"/>
  <c r="CJ145" i="1" s="1"/>
  <c r="CI191" i="1"/>
  <c r="CJ191" i="1" s="1"/>
  <c r="CI14" i="1"/>
  <c r="CJ14" i="1" s="1"/>
  <c r="CI101" i="1"/>
  <c r="CJ101" i="1" s="1"/>
  <c r="CI172" i="1"/>
  <c r="CJ172" i="1" s="1"/>
  <c r="CI24" i="1"/>
  <c r="CJ24" i="1" s="1"/>
  <c r="CI106" i="1"/>
  <c r="CJ106" i="1" s="1"/>
  <c r="CI63" i="1"/>
  <c r="CJ63" i="1" s="1"/>
  <c r="CI9" i="1"/>
  <c r="CJ9" i="1" s="1"/>
  <c r="CI5" i="1"/>
  <c r="CJ5" i="1" s="1"/>
  <c r="CI30" i="1"/>
  <c r="CJ30" i="1" s="1"/>
  <c r="CI301" i="1"/>
  <c r="CI87" i="1"/>
  <c r="CI21" i="1"/>
  <c r="CI221" i="1"/>
  <c r="CJ221" i="1" s="1"/>
  <c r="CI122" i="1"/>
  <c r="CJ122" i="1" s="1"/>
  <c r="CI43" i="1"/>
  <c r="CJ43" i="1" s="1"/>
  <c r="CI211" i="1"/>
  <c r="CJ211" i="1" s="1"/>
  <c r="CI41" i="1"/>
  <c r="CJ41" i="1" s="1"/>
  <c r="CI89" i="1"/>
  <c r="CJ89" i="1" s="1"/>
  <c r="CI2" i="1"/>
  <c r="CI29" i="1"/>
  <c r="CJ29" i="1" s="1"/>
  <c r="CI163" i="1"/>
  <c r="CJ163" i="1" s="1"/>
  <c r="CI178" i="1"/>
  <c r="CJ178" i="1" s="1"/>
  <c r="CI173" i="1"/>
  <c r="CJ173" i="1" s="1"/>
  <c r="CI253" i="1"/>
  <c r="CJ253" i="1" s="1"/>
  <c r="CI148" i="1"/>
  <c r="CJ148" i="1" s="1"/>
  <c r="CI307" i="1"/>
  <c r="CJ307" i="1" s="1"/>
  <c r="CI302" i="1"/>
  <c r="CJ302" i="1" s="1"/>
  <c r="CI209" i="1"/>
  <c r="CJ209" i="1" s="1"/>
  <c r="CI52" i="1"/>
  <c r="CJ52" i="1" s="1"/>
  <c r="CI217" i="1"/>
  <c r="CJ217" i="1" s="1"/>
  <c r="CI250" i="1"/>
  <c r="CI265" i="1"/>
  <c r="CJ265" i="1" s="1"/>
  <c r="CI299" i="1"/>
  <c r="CJ299" i="1" s="1"/>
  <c r="CI22" i="1"/>
  <c r="CJ22" i="1" s="1"/>
  <c r="CI33" i="1"/>
  <c r="CJ33" i="1" s="1"/>
  <c r="CI218" i="1"/>
  <c r="CJ218" i="1" s="1"/>
  <c r="CI134" i="1"/>
  <c r="CJ134" i="1" s="1"/>
  <c r="CI59" i="1"/>
  <c r="CJ59" i="1" s="1"/>
  <c r="CI60" i="1"/>
  <c r="CJ60" i="1" s="1"/>
  <c r="CI42" i="1"/>
  <c r="CJ42" i="1" s="1"/>
  <c r="CI6" i="1"/>
  <c r="CJ6" i="1" s="1"/>
  <c r="CI93" i="1"/>
  <c r="CJ93" i="1" s="1"/>
  <c r="CI15" i="1"/>
  <c r="CJ15" i="1" s="1"/>
  <c r="CI10" i="1"/>
  <c r="CJ10" i="1" s="1"/>
  <c r="CI174" i="1"/>
  <c r="CJ174" i="1" s="1"/>
  <c r="CI98" i="1"/>
  <c r="CJ98" i="1" s="1"/>
  <c r="CI216" i="1"/>
  <c r="CJ216" i="1" s="1"/>
  <c r="CI16" i="1"/>
  <c r="CJ16" i="1" s="1"/>
  <c r="CI167" i="1"/>
  <c r="CJ167" i="1" s="1"/>
  <c r="CI25" i="1"/>
  <c r="CJ25" i="1" s="1"/>
  <c r="CI118" i="1"/>
  <c r="CJ118" i="1" s="1"/>
  <c r="CI185" i="1"/>
  <c r="CJ185" i="1" s="1"/>
  <c r="CI126" i="1"/>
  <c r="CJ126" i="1" s="1"/>
  <c r="CI125" i="1"/>
  <c r="CJ125" i="1" s="1"/>
  <c r="CI247" i="1"/>
  <c r="CJ247" i="1" s="1"/>
  <c r="CI264" i="1"/>
  <c r="CJ264" i="1" s="1"/>
  <c r="CI271" i="1"/>
  <c r="CJ271" i="1" s="1"/>
  <c r="CI201" i="1"/>
  <c r="CJ201" i="1" s="1"/>
  <c r="CI112" i="1"/>
  <c r="CJ112" i="1" s="1"/>
  <c r="CI177" i="1"/>
  <c r="CJ177" i="1" s="1"/>
  <c r="CI17" i="1"/>
  <c r="CJ17" i="1" s="1"/>
  <c r="CI228" i="1"/>
  <c r="CJ228" i="1" s="1"/>
  <c r="CI234" i="1"/>
  <c r="CJ234" i="1" s="1"/>
  <c r="CI202" i="1"/>
  <c r="CJ202" i="1" s="1"/>
  <c r="CI107" i="1"/>
  <c r="CJ107" i="1" s="1"/>
  <c r="CW165" i="1" l="1"/>
  <c r="CW262" i="1"/>
  <c r="DA227" i="1"/>
  <c r="CX187" i="1"/>
  <c r="CW35" i="1"/>
  <c r="CW84" i="1"/>
  <c r="CZ84" i="1" s="1"/>
  <c r="CW302" i="1"/>
  <c r="CU119" i="1"/>
  <c r="CW110" i="1"/>
  <c r="CX153" i="1"/>
  <c r="DA187" i="1"/>
  <c r="CX240" i="1"/>
  <c r="CW268" i="1"/>
  <c r="DA153" i="1"/>
  <c r="CX277" i="1"/>
  <c r="CX227" i="1"/>
  <c r="CW182" i="1"/>
  <c r="CZ182" i="1" s="1"/>
  <c r="CX202" i="1"/>
  <c r="CW206" i="1"/>
  <c r="DA206" i="1" s="1"/>
  <c r="CW91" i="1"/>
  <c r="CZ91" i="1" s="1"/>
  <c r="CX60" i="1"/>
  <c r="CW62" i="1"/>
  <c r="CW68" i="1"/>
  <c r="CZ68" i="1" s="1"/>
  <c r="CX33" i="1"/>
  <c r="DA160" i="1"/>
  <c r="CW162" i="1"/>
  <c r="CW144" i="1"/>
  <c r="DA141" i="1"/>
  <c r="CX141" i="1"/>
  <c r="CU181" i="1"/>
  <c r="CW168" i="1"/>
  <c r="CZ168" i="1" s="1"/>
  <c r="CX186" i="1"/>
  <c r="CX152" i="1"/>
  <c r="CX92" i="1"/>
  <c r="CX215" i="1"/>
  <c r="CW173" i="1"/>
  <c r="CZ173" i="1" s="1"/>
  <c r="CW198" i="1"/>
  <c r="CW230" i="1"/>
  <c r="DA230" i="1" s="1"/>
  <c r="CX22" i="1"/>
  <c r="CW224" i="1"/>
  <c r="DA224" i="1" s="1"/>
  <c r="CX2" i="1"/>
  <c r="CX55" i="1"/>
  <c r="CS55" i="3"/>
  <c r="CW283" i="1"/>
  <c r="CU55" i="3"/>
  <c r="CW10" i="1"/>
  <c r="DA10" i="1" s="1"/>
  <c r="CW282" i="1"/>
  <c r="CX24" i="1"/>
  <c r="CW156" i="1"/>
  <c r="CX38" i="1"/>
  <c r="CX160" i="1"/>
  <c r="DA38" i="1"/>
  <c r="CW193" i="1"/>
  <c r="CZ193" i="1" s="1"/>
  <c r="CW112" i="1"/>
  <c r="CX155" i="1"/>
  <c r="CW31" i="1"/>
  <c r="CW116" i="1"/>
  <c r="CZ116" i="1" s="1"/>
  <c r="CU56" i="3"/>
  <c r="CJ147" i="1"/>
  <c r="CW50" i="1"/>
  <c r="DA50" i="1" s="1"/>
  <c r="CW195" i="1"/>
  <c r="CU257" i="1"/>
  <c r="CX257" i="1" s="1"/>
  <c r="CX133" i="1"/>
  <c r="CW51" i="1"/>
  <c r="CZ51" i="1" s="1"/>
  <c r="CW28" i="1"/>
  <c r="CZ28" i="1" s="1"/>
  <c r="CW104" i="1"/>
  <c r="CX131" i="1"/>
  <c r="CW188" i="1"/>
  <c r="CZ188" i="1" s="1"/>
  <c r="CX188" i="1"/>
  <c r="CW260" i="1"/>
  <c r="CZ260" i="1" s="1"/>
  <c r="DA157" i="1"/>
  <c r="CX168" i="1"/>
  <c r="CW140" i="1"/>
  <c r="CZ140" i="1" s="1"/>
  <c r="CX232" i="1"/>
  <c r="CX161" i="1"/>
  <c r="CW125" i="1"/>
  <c r="DA125" i="1" s="1"/>
  <c r="CW96" i="1"/>
  <c r="CZ96" i="1" s="1"/>
  <c r="CW27" i="1"/>
  <c r="CW236" i="1"/>
  <c r="CZ236" i="1" s="1"/>
  <c r="CX78" i="1"/>
  <c r="CW303" i="1"/>
  <c r="CW295" i="1"/>
  <c r="CX284" i="1"/>
  <c r="CW255" i="1"/>
  <c r="DA255" i="1" s="1"/>
  <c r="CX255" i="1"/>
  <c r="CU184" i="1"/>
  <c r="CU200" i="1"/>
  <c r="CU211" i="1"/>
  <c r="CX211" i="1" s="1"/>
  <c r="CZ139" i="1"/>
  <c r="DA139" i="1"/>
  <c r="CZ131" i="1"/>
  <c r="DA131" i="1"/>
  <c r="DA132" i="1"/>
  <c r="CX139" i="1"/>
  <c r="CX124" i="1"/>
  <c r="DA124" i="1"/>
  <c r="CW82" i="1"/>
  <c r="DA82" i="1" s="1"/>
  <c r="CW66" i="1"/>
  <c r="CZ66" i="1" s="1"/>
  <c r="CW34" i="1"/>
  <c r="CZ34" i="1" s="1"/>
  <c r="CX47" i="1"/>
  <c r="CZ24" i="1"/>
  <c r="DA24" i="1"/>
  <c r="CW243" i="1"/>
  <c r="CX258" i="1"/>
  <c r="CW8" i="1"/>
  <c r="CZ8" i="1" s="1"/>
  <c r="CW83" i="1"/>
  <c r="CZ83" i="1" s="1"/>
  <c r="CW190" i="1"/>
  <c r="DA190" i="1" s="1"/>
  <c r="DA244" i="1"/>
  <c r="CW248" i="1"/>
  <c r="CW167" i="1"/>
  <c r="DA167" i="1" s="1"/>
  <c r="CX244" i="1"/>
  <c r="CW209" i="1"/>
  <c r="CZ209" i="1" s="1"/>
  <c r="CW270" i="1"/>
  <c r="CW222" i="1"/>
  <c r="CZ222" i="1" s="1"/>
  <c r="CJ255" i="1"/>
  <c r="CK255" i="1"/>
  <c r="CK190" i="1"/>
  <c r="CJ190" i="1"/>
  <c r="CK205" i="1"/>
  <c r="CJ205" i="1"/>
  <c r="CK288" i="1"/>
  <c r="CJ288" i="1"/>
  <c r="CK215" i="1"/>
  <c r="CJ215" i="1"/>
  <c r="CK243" i="1"/>
  <c r="CJ243" i="1"/>
  <c r="CK236" i="1"/>
  <c r="CJ236" i="1"/>
  <c r="CK21" i="1"/>
  <c r="CJ21" i="1"/>
  <c r="CK257" i="1"/>
  <c r="CJ257" i="1"/>
  <c r="CK73" i="1"/>
  <c r="CJ73" i="1"/>
  <c r="CK283" i="1"/>
  <c r="CJ283" i="1"/>
  <c r="CK113" i="1"/>
  <c r="CJ113" i="1"/>
  <c r="CK153" i="1"/>
  <c r="CJ153" i="1"/>
  <c r="CK70" i="1"/>
  <c r="CJ70" i="1"/>
  <c r="CK168" i="1"/>
  <c r="CJ168" i="1"/>
  <c r="CK204" i="1"/>
  <c r="CJ204" i="1"/>
  <c r="CX23" i="1"/>
  <c r="DA121" i="1"/>
  <c r="CW86" i="1"/>
  <c r="DA86" i="1" s="1"/>
  <c r="CK55" i="1"/>
  <c r="CJ55" i="1"/>
  <c r="CK87" i="1"/>
  <c r="CJ87" i="1"/>
  <c r="CK249" i="1"/>
  <c r="CJ249" i="1"/>
  <c r="CK238" i="1"/>
  <c r="CJ238" i="1"/>
  <c r="CK291" i="1"/>
  <c r="CJ291" i="1"/>
  <c r="CK194" i="1"/>
  <c r="CJ194" i="1"/>
  <c r="CK160" i="1"/>
  <c r="CJ160" i="1"/>
  <c r="DA75" i="1"/>
  <c r="CK184" i="1"/>
  <c r="CJ184" i="1"/>
  <c r="CK161" i="1"/>
  <c r="CJ161" i="1"/>
  <c r="CK301" i="1"/>
  <c r="CJ301" i="1"/>
  <c r="CK276" i="1"/>
  <c r="CJ276" i="1"/>
  <c r="CK144" i="1"/>
  <c r="CJ144" i="1"/>
  <c r="CK46" i="1"/>
  <c r="CJ46" i="1"/>
  <c r="CK296" i="1"/>
  <c r="CJ296" i="1"/>
  <c r="CK150" i="1"/>
  <c r="CJ150" i="1"/>
  <c r="CK78" i="1"/>
  <c r="CJ78" i="1"/>
  <c r="CK239" i="1"/>
  <c r="CJ239" i="1"/>
  <c r="CK214" i="1"/>
  <c r="CJ214" i="1"/>
  <c r="CK245" i="1"/>
  <c r="CJ245" i="1"/>
  <c r="CK224" i="1"/>
  <c r="CJ224" i="1"/>
  <c r="CK263" i="1"/>
  <c r="CJ263" i="1"/>
  <c r="CK84" i="1"/>
  <c r="CJ84" i="1"/>
  <c r="CK99" i="1"/>
  <c r="CJ99" i="1"/>
  <c r="CK250" i="1"/>
  <c r="CJ250" i="1"/>
  <c r="CK2" i="1"/>
  <c r="CJ2" i="1"/>
  <c r="CK176" i="1"/>
  <c r="CJ176" i="1"/>
  <c r="CK66" i="1"/>
  <c r="CJ66" i="1"/>
  <c r="CK128" i="1"/>
  <c r="CJ128" i="1"/>
  <c r="CK293" i="1"/>
  <c r="CJ293" i="1"/>
  <c r="CK229" i="1"/>
  <c r="CJ229" i="1"/>
  <c r="CW225" i="1"/>
  <c r="CW176" i="1"/>
  <c r="CZ176" i="1" s="1"/>
  <c r="CK44" i="1"/>
  <c r="CJ44" i="1"/>
  <c r="CK94" i="1"/>
  <c r="CJ94" i="1"/>
  <c r="CK131" i="1"/>
  <c r="CJ131" i="1"/>
  <c r="CK74" i="1"/>
  <c r="CJ74" i="1"/>
  <c r="CK123" i="1"/>
  <c r="CJ123" i="1"/>
  <c r="CK127" i="1"/>
  <c r="CJ127" i="1"/>
  <c r="CW65" i="1"/>
  <c r="CZ65" i="1" s="1"/>
  <c r="CK270" i="1"/>
  <c r="CJ270" i="1"/>
  <c r="CK35" i="1"/>
  <c r="CJ35" i="1"/>
  <c r="CK258" i="1"/>
  <c r="CJ258" i="1"/>
  <c r="CK274" i="1"/>
  <c r="CJ274" i="1"/>
  <c r="CK28" i="1"/>
  <c r="CJ28" i="1"/>
  <c r="CW56" i="1"/>
  <c r="CZ56" i="3" s="1"/>
  <c r="CW281" i="1"/>
  <c r="DA281" i="1" s="1"/>
  <c r="CK121" i="1"/>
  <c r="CJ121" i="1"/>
  <c r="CK273" i="1"/>
  <c r="CJ273" i="1"/>
  <c r="CK115" i="1"/>
  <c r="CJ115" i="1"/>
  <c r="CK109" i="1"/>
  <c r="CJ109" i="1"/>
  <c r="CK81" i="1"/>
  <c r="CJ81" i="1"/>
  <c r="CK157" i="1"/>
  <c r="CJ157" i="1"/>
  <c r="CK306" i="1"/>
  <c r="CJ306" i="1"/>
  <c r="CK20" i="1"/>
  <c r="CJ20" i="1"/>
  <c r="CX270" i="1"/>
  <c r="CW74" i="1"/>
  <c r="CZ74" i="1" s="1"/>
  <c r="CK277" i="1"/>
  <c r="CJ277" i="1"/>
  <c r="CK292" i="1"/>
  <c r="CJ292" i="1"/>
  <c r="CK187" i="1"/>
  <c r="CJ187" i="1"/>
  <c r="CK289" i="1"/>
  <c r="CJ289" i="1"/>
  <c r="CK129" i="1"/>
  <c r="CJ129" i="1"/>
  <c r="CK7" i="1"/>
  <c r="CJ7" i="1"/>
  <c r="CK298" i="1"/>
  <c r="CJ298" i="1"/>
  <c r="BF55" i="8"/>
  <c r="DA101" i="1"/>
  <c r="CX72" i="1"/>
  <c r="CW15" i="1"/>
  <c r="CZ15" i="1" s="1"/>
  <c r="CW196" i="1"/>
  <c r="DA196" i="1" s="1"/>
  <c r="DA290" i="1"/>
  <c r="CW269" i="1"/>
  <c r="CZ269" i="1" s="1"/>
  <c r="CX80" i="1"/>
  <c r="DA72" i="1"/>
  <c r="CW289" i="1"/>
  <c r="DA289" i="1" s="1"/>
  <c r="CW147" i="1"/>
  <c r="CW118" i="1"/>
  <c r="CZ118" i="1" s="1"/>
  <c r="CX20" i="1"/>
  <c r="CU261" i="1"/>
  <c r="CX261" i="1" s="1"/>
  <c r="CW305" i="1"/>
  <c r="CZ305" i="1" s="1"/>
  <c r="CW12" i="1"/>
  <c r="DA12" i="1" s="1"/>
  <c r="CW114" i="1"/>
  <c r="CU54" i="3"/>
  <c r="CV184" i="1"/>
  <c r="CY184" i="1" s="1"/>
  <c r="CS54" i="3"/>
  <c r="CW61" i="1"/>
  <c r="CK49" i="1"/>
  <c r="DA20" i="1"/>
  <c r="DA267" i="1"/>
  <c r="DA192" i="1"/>
  <c r="DA92" i="1"/>
  <c r="DA240" i="1"/>
  <c r="DA102" i="1"/>
  <c r="DA142" i="1"/>
  <c r="DA41" i="1"/>
  <c r="DA84" i="1"/>
  <c r="CZ191" i="1"/>
  <c r="DA23" i="1"/>
  <c r="DA135" i="1"/>
  <c r="BQ60" i="7"/>
  <c r="BT60" i="7" s="1"/>
  <c r="BO60" i="7"/>
  <c r="BP60" i="7" s="1"/>
  <c r="BO155" i="7"/>
  <c r="BO90" i="8"/>
  <c r="BQ155" i="7"/>
  <c r="BQ90" i="8"/>
  <c r="BN150" i="7"/>
  <c r="BN87" i="8"/>
  <c r="BO2186" i="7"/>
  <c r="BP2186" i="7" s="1"/>
  <c r="BQ2186" i="7"/>
  <c r="BT2186" i="7" s="1"/>
  <c r="BO75" i="7"/>
  <c r="BP75" i="7" s="1"/>
  <c r="BQ75" i="7"/>
  <c r="BT75" i="7" s="1"/>
  <c r="BN47" i="7"/>
  <c r="BN83" i="8"/>
  <c r="BQ846" i="7"/>
  <c r="BT846" i="7" s="1"/>
  <c r="BO846" i="7"/>
  <c r="BP846" i="7" s="1"/>
  <c r="BQ2044" i="7"/>
  <c r="BT2044" i="7" s="1"/>
  <c r="BO2044" i="7"/>
  <c r="BP2044" i="7" s="1"/>
  <c r="BO892" i="7"/>
  <c r="BP892" i="7" s="1"/>
  <c r="BQ892" i="7"/>
  <c r="BT892" i="7" s="1"/>
  <c r="BO130" i="7"/>
  <c r="BP130" i="7" s="1"/>
  <c r="BQ130" i="7"/>
  <c r="BT130" i="7" s="1"/>
  <c r="BO1251" i="7"/>
  <c r="BP1251" i="7" s="1"/>
  <c r="BQ1251" i="7"/>
  <c r="BT1251" i="7" s="1"/>
  <c r="BO2026" i="7"/>
  <c r="BQ2026" i="7"/>
  <c r="BT2026" i="7" s="1"/>
  <c r="BQ1928" i="7"/>
  <c r="BT1928" i="7" s="1"/>
  <c r="BO1928" i="7"/>
  <c r="BP1928" i="7" s="1"/>
  <c r="BO2084" i="7"/>
  <c r="BP2084" i="7" s="1"/>
  <c r="BQ2084" i="7"/>
  <c r="BT2084" i="7" s="1"/>
  <c r="BO1995" i="7"/>
  <c r="BP1995" i="7" s="1"/>
  <c r="BQ1995" i="7"/>
  <c r="BT1995" i="7" s="1"/>
  <c r="BO1471" i="7"/>
  <c r="BP1471" i="7" s="1"/>
  <c r="BQ1471" i="7"/>
  <c r="BT1471" i="7" s="1"/>
  <c r="BO2280" i="7"/>
  <c r="BP2280" i="7" s="1"/>
  <c r="BQ2280" i="7"/>
  <c r="BT2280" i="7" s="1"/>
  <c r="BO1904" i="7"/>
  <c r="BP1904" i="7" s="1"/>
  <c r="BQ1904" i="7"/>
  <c r="BT1904" i="7" s="1"/>
  <c r="BQ192" i="7"/>
  <c r="BT192" i="7" s="1"/>
  <c r="BO192" i="7"/>
  <c r="BP192" i="7" s="1"/>
  <c r="BO1371" i="7"/>
  <c r="BP1371" i="7" s="1"/>
  <c r="BQ1371" i="7"/>
  <c r="BT1371" i="7" s="1"/>
  <c r="CZ109" i="1"/>
  <c r="CZ30" i="1"/>
  <c r="DA258" i="1"/>
  <c r="CZ205" i="1"/>
  <c r="BO422" i="7"/>
  <c r="BP422" i="7" s="1"/>
  <c r="BQ422" i="7"/>
  <c r="BT422" i="7" s="1"/>
  <c r="DA46" i="1"/>
  <c r="BO1321" i="7"/>
  <c r="BP1321" i="7" s="1"/>
  <c r="BQ1321" i="7"/>
  <c r="BT1321" i="7" s="1"/>
  <c r="BO733" i="7"/>
  <c r="BP733" i="7" s="1"/>
  <c r="BQ733" i="7"/>
  <c r="BT733" i="7" s="1"/>
  <c r="BO2249" i="7"/>
  <c r="BP2249" i="7" s="1"/>
  <c r="BQ2249" i="7"/>
  <c r="BT2249" i="7" s="1"/>
  <c r="BO1305" i="7"/>
  <c r="BP1305" i="7" s="1"/>
  <c r="BQ1305" i="7"/>
  <c r="BT1305" i="7" s="1"/>
  <c r="BQ1515" i="7"/>
  <c r="BT1515" i="7" s="1"/>
  <c r="BO1515" i="7"/>
  <c r="BP1515" i="7" s="1"/>
  <c r="BO1249" i="7"/>
  <c r="BP1249" i="7" s="1"/>
  <c r="BQ1249" i="7"/>
  <c r="BT1249" i="7" s="1"/>
  <c r="BO1869" i="7"/>
  <c r="BP1869" i="7" s="1"/>
  <c r="BQ1869" i="7"/>
  <c r="BT1869" i="7" s="1"/>
  <c r="BO2124" i="7"/>
  <c r="BP2124" i="7" s="1"/>
  <c r="BQ2124" i="7"/>
  <c r="BT2124" i="7" s="1"/>
  <c r="BN90" i="7"/>
  <c r="BN81" i="8"/>
  <c r="BO278" i="7"/>
  <c r="BP278" i="7" s="1"/>
  <c r="BQ278" i="7"/>
  <c r="BT278" i="7" s="1"/>
  <c r="BO1507" i="7"/>
  <c r="BP1507" i="7" s="1"/>
  <c r="BQ1507" i="7"/>
  <c r="BT1507" i="7" s="1"/>
  <c r="BO1084" i="7"/>
  <c r="BP1084" i="7" s="1"/>
  <c r="BQ1084" i="7"/>
  <c r="BT1084" i="7" s="1"/>
  <c r="BO1533" i="7"/>
  <c r="BP1533" i="7" s="1"/>
  <c r="BQ1533" i="7"/>
  <c r="BT1533" i="7" s="1"/>
  <c r="BO1184" i="7"/>
  <c r="BP1184" i="7" s="1"/>
  <c r="BQ1184" i="7"/>
  <c r="BT1184" i="7" s="1"/>
  <c r="BO1301" i="7"/>
  <c r="BP1301" i="7" s="1"/>
  <c r="BQ1301" i="7"/>
  <c r="BT1301" i="7" s="1"/>
  <c r="BQ898" i="7"/>
  <c r="BT898" i="7" s="1"/>
  <c r="BO898" i="7"/>
  <c r="BP898" i="7" s="1"/>
  <c r="BO1944" i="7"/>
  <c r="BP1944" i="7" s="1"/>
  <c r="BQ1944" i="7"/>
  <c r="BT1944" i="7" s="1"/>
  <c r="BO531" i="7"/>
  <c r="BP531" i="7" s="1"/>
  <c r="BQ531" i="7"/>
  <c r="BT531" i="7" s="1"/>
  <c r="BN177" i="7"/>
  <c r="BN33" i="8"/>
  <c r="BQ538" i="7"/>
  <c r="BT538" i="7" s="1"/>
  <c r="BO538" i="7"/>
  <c r="BP538" i="7" s="1"/>
  <c r="BO883" i="7"/>
  <c r="BP883" i="7" s="1"/>
  <c r="BQ883" i="7"/>
  <c r="BT883" i="7" s="1"/>
  <c r="BN219" i="7"/>
  <c r="BN93" i="8"/>
  <c r="BQ94" i="8"/>
  <c r="BO94" i="8"/>
  <c r="BO222" i="7"/>
  <c r="BQ222" i="7"/>
  <c r="BO1002" i="7"/>
  <c r="BP1002" i="7" s="1"/>
  <c r="BQ1002" i="7"/>
  <c r="BT1002" i="7" s="1"/>
  <c r="BO882" i="7"/>
  <c r="BP882" i="7" s="1"/>
  <c r="BQ882" i="7"/>
  <c r="BT882" i="7" s="1"/>
  <c r="BO198" i="7"/>
  <c r="BP198" i="7" s="1"/>
  <c r="BQ198" i="7"/>
  <c r="BT198" i="7" s="1"/>
  <c r="BO702" i="7"/>
  <c r="BP702" i="7" s="1"/>
  <c r="BQ702" i="7"/>
  <c r="BT702" i="7" s="1"/>
  <c r="BO223" i="7"/>
  <c r="BP223" i="7" s="1"/>
  <c r="BQ223" i="7"/>
  <c r="BT223" i="7" s="1"/>
  <c r="BO511" i="7"/>
  <c r="BP511" i="7" s="1"/>
  <c r="BQ511" i="7"/>
  <c r="BT511" i="7" s="1"/>
  <c r="BO909" i="7"/>
  <c r="BQ909" i="7"/>
  <c r="BT909" i="7" s="1"/>
  <c r="BQ1770" i="7"/>
  <c r="BT1770" i="7" s="1"/>
  <c r="BO1770" i="7"/>
  <c r="BP1770" i="7" s="1"/>
  <c r="BO1243" i="7"/>
  <c r="BP1243" i="7" s="1"/>
  <c r="BQ1243" i="7"/>
  <c r="BT1243" i="7" s="1"/>
  <c r="BO1581" i="7"/>
  <c r="BP1581" i="7" s="1"/>
  <c r="BQ1581" i="7"/>
  <c r="BT1581" i="7" s="1"/>
  <c r="BO1591" i="7"/>
  <c r="BP1591" i="7" s="1"/>
  <c r="BQ1591" i="7"/>
  <c r="BT1591" i="7" s="1"/>
  <c r="BO790" i="7"/>
  <c r="BP790" i="7" s="1"/>
  <c r="BQ790" i="7"/>
  <c r="BT790" i="7" s="1"/>
  <c r="BO2100" i="7"/>
  <c r="BP2100" i="7" s="1"/>
  <c r="BQ2100" i="7"/>
  <c r="BT2100" i="7" s="1"/>
  <c r="BN27" i="7"/>
  <c r="BN66" i="8"/>
  <c r="BO477" i="7"/>
  <c r="BP477" i="7" s="1"/>
  <c r="BQ477" i="7"/>
  <c r="BT477" i="7" s="1"/>
  <c r="BO571" i="7"/>
  <c r="BP571" i="7" s="1"/>
  <c r="BQ571" i="7"/>
  <c r="BT571" i="7" s="1"/>
  <c r="BO1313" i="7"/>
  <c r="BP1313" i="7" s="1"/>
  <c r="BQ1313" i="7"/>
  <c r="BT1313" i="7" s="1"/>
  <c r="BQ2076" i="7"/>
  <c r="BT2076" i="7" s="1"/>
  <c r="BO2076" i="7"/>
  <c r="BP2076" i="7" s="1"/>
  <c r="BQ1635" i="7"/>
  <c r="BT1635" i="7" s="1"/>
  <c r="BO1635" i="7"/>
  <c r="BP1635" i="7" s="1"/>
  <c r="BO1779" i="7"/>
  <c r="BP1779" i="7" s="1"/>
  <c r="BQ1779" i="7"/>
  <c r="BT1779" i="7" s="1"/>
  <c r="BO1246" i="7"/>
  <c r="BP1246" i="7" s="1"/>
  <c r="BQ1246" i="7"/>
  <c r="BT1246" i="7" s="1"/>
  <c r="BO1479" i="7"/>
  <c r="BP1479" i="7" s="1"/>
  <c r="BQ1479" i="7"/>
  <c r="BT1479" i="7" s="1"/>
  <c r="BO1782" i="7"/>
  <c r="BP1782" i="7" s="1"/>
  <c r="BQ1782" i="7"/>
  <c r="BT1782" i="7" s="1"/>
  <c r="BO535" i="7"/>
  <c r="BQ535" i="7"/>
  <c r="BT535" i="7" s="1"/>
  <c r="BQ26" i="7"/>
  <c r="BO65" i="8"/>
  <c r="BQ65" i="8"/>
  <c r="BO26" i="7"/>
  <c r="BO2227" i="7"/>
  <c r="BP2227" i="7" s="1"/>
  <c r="BQ2227" i="7"/>
  <c r="BT2227" i="7" s="1"/>
  <c r="BO1813" i="7"/>
  <c r="BP1813" i="7" s="1"/>
  <c r="BQ1813" i="7"/>
  <c r="BT1813" i="7" s="1"/>
  <c r="BQ1092" i="7"/>
  <c r="BT1092" i="7" s="1"/>
  <c r="BO1092" i="7"/>
  <c r="BP1092" i="7" s="1"/>
  <c r="BO32" i="8"/>
  <c r="BQ32" i="8"/>
  <c r="BO171" i="7"/>
  <c r="BQ171" i="7"/>
  <c r="BO336" i="7"/>
  <c r="BP336" i="7" s="1"/>
  <c r="BQ336" i="7"/>
  <c r="BT336" i="7" s="1"/>
  <c r="BO517" i="7"/>
  <c r="BP517" i="7" s="1"/>
  <c r="BQ517" i="7"/>
  <c r="BT517" i="7" s="1"/>
  <c r="BO778" i="7"/>
  <c r="BP778" i="7" s="1"/>
  <c r="BQ778" i="7"/>
  <c r="BT778" i="7" s="1"/>
  <c r="BO304" i="7"/>
  <c r="BP304" i="7" s="1"/>
  <c r="BQ304" i="7"/>
  <c r="BT304" i="7" s="1"/>
  <c r="BO1649" i="7"/>
  <c r="BP1649" i="7" s="1"/>
  <c r="BQ1649" i="7"/>
  <c r="BT1649" i="7" s="1"/>
  <c r="BO765" i="7"/>
  <c r="BP765" i="7" s="1"/>
  <c r="BQ765" i="7"/>
  <c r="BT765" i="7" s="1"/>
  <c r="BO1442" i="7"/>
  <c r="BP1442" i="7" s="1"/>
  <c r="BQ1442" i="7"/>
  <c r="BT1442" i="7" s="1"/>
  <c r="BO1491" i="7"/>
  <c r="BP1491" i="7" s="1"/>
  <c r="BQ1491" i="7"/>
  <c r="BT1491" i="7" s="1"/>
  <c r="BO1550" i="7"/>
  <c r="BP1550" i="7" s="1"/>
  <c r="BQ1550" i="7"/>
  <c r="BT1550" i="7" s="1"/>
  <c r="BO2143" i="7"/>
  <c r="BP2143" i="7" s="1"/>
  <c r="BQ2143" i="7"/>
  <c r="BT2143" i="7" s="1"/>
  <c r="BO1461" i="7"/>
  <c r="BP1461" i="7" s="1"/>
  <c r="BQ1461" i="7"/>
  <c r="BT1461" i="7" s="1"/>
  <c r="BO1399" i="7"/>
  <c r="BP1399" i="7" s="1"/>
  <c r="BQ1399" i="7"/>
  <c r="BT1399" i="7" s="1"/>
  <c r="BO1980" i="7"/>
  <c r="BP1980" i="7" s="1"/>
  <c r="BQ1980" i="7"/>
  <c r="BT1980" i="7" s="1"/>
  <c r="BO1106" i="7"/>
  <c r="BP1106" i="7" s="1"/>
  <c r="BQ1106" i="7"/>
  <c r="BT1106" i="7" s="1"/>
  <c r="BQ1979" i="7"/>
  <c r="BT1979" i="7" s="1"/>
  <c r="BO1979" i="7"/>
  <c r="BP1979" i="7" s="1"/>
  <c r="BO1299" i="7"/>
  <c r="BP1299" i="7" s="1"/>
  <c r="BQ1299" i="7"/>
  <c r="BT1299" i="7" s="1"/>
  <c r="BO1419" i="7"/>
  <c r="BP1419" i="7" s="1"/>
  <c r="BQ1419" i="7"/>
  <c r="BT1419" i="7" s="1"/>
  <c r="BO997" i="7"/>
  <c r="BP997" i="7" s="1"/>
  <c r="BQ997" i="7"/>
  <c r="BT997" i="7" s="1"/>
  <c r="BQ1248" i="7"/>
  <c r="BT1248" i="7" s="1"/>
  <c r="BO1248" i="7"/>
  <c r="BP1248" i="7" s="1"/>
  <c r="BO1851" i="7"/>
  <c r="BP1851" i="7" s="1"/>
  <c r="BQ1851" i="7"/>
  <c r="BT1851" i="7" s="1"/>
  <c r="BO1647" i="7"/>
  <c r="BP1647" i="7" s="1"/>
  <c r="BQ1647" i="7"/>
  <c r="BT1647" i="7" s="1"/>
  <c r="BO1073" i="7"/>
  <c r="BP1073" i="7" s="1"/>
  <c r="BQ1073" i="7"/>
  <c r="BT1073" i="7" s="1"/>
  <c r="BQ714" i="7"/>
  <c r="BT714" i="7" s="1"/>
  <c r="BO714" i="7"/>
  <c r="BP714" i="7" s="1"/>
  <c r="BN181" i="7"/>
  <c r="BN57" i="8"/>
  <c r="BQ1810" i="7"/>
  <c r="BT1810" i="7" s="1"/>
  <c r="BO1810" i="7"/>
  <c r="BP1810" i="7" s="1"/>
  <c r="BQ61" i="8"/>
  <c r="BO61" i="8"/>
  <c r="BQ424" i="7"/>
  <c r="BO424" i="7"/>
  <c r="BO1694" i="7"/>
  <c r="BP1694" i="7" s="1"/>
  <c r="BQ1694" i="7"/>
  <c r="BT1694" i="7" s="1"/>
  <c r="BO51" i="8"/>
  <c r="BQ51" i="8"/>
  <c r="BQ110" i="7"/>
  <c r="BO110" i="7"/>
  <c r="BQ1039" i="7"/>
  <c r="BT1039" i="7" s="1"/>
  <c r="BO1039" i="7"/>
  <c r="BP1039" i="7" s="1"/>
  <c r="BO20" i="7"/>
  <c r="BQ20" i="7"/>
  <c r="BT20" i="7" s="1"/>
  <c r="BO754" i="7"/>
  <c r="BP754" i="7" s="1"/>
  <c r="BQ754" i="7"/>
  <c r="BT754" i="7" s="1"/>
  <c r="BO1238" i="7"/>
  <c r="BP1238" i="7" s="1"/>
  <c r="BQ1238" i="7"/>
  <c r="BT1238" i="7" s="1"/>
  <c r="BO551" i="7"/>
  <c r="BP551" i="7" s="1"/>
  <c r="BQ551" i="7"/>
  <c r="BT551" i="7" s="1"/>
  <c r="BN5" i="7"/>
  <c r="BN105" i="8"/>
  <c r="BO1422" i="7"/>
  <c r="BP1422" i="7" s="1"/>
  <c r="BQ1422" i="7"/>
  <c r="BT1422" i="7" s="1"/>
  <c r="BO1112" i="7"/>
  <c r="BP1112" i="7" s="1"/>
  <c r="BQ1112" i="7"/>
  <c r="BT1112" i="7" s="1"/>
  <c r="BO1413" i="7"/>
  <c r="BP1413" i="7" s="1"/>
  <c r="BQ1413" i="7"/>
  <c r="BT1413" i="7" s="1"/>
  <c r="BO2147" i="7"/>
  <c r="BP2147" i="7" s="1"/>
  <c r="BQ2147" i="7"/>
  <c r="BT2147" i="7" s="1"/>
  <c r="BO1452" i="7"/>
  <c r="BP1452" i="7" s="1"/>
  <c r="BQ1452" i="7"/>
  <c r="BT1452" i="7" s="1"/>
  <c r="BO924" i="7"/>
  <c r="BP924" i="7" s="1"/>
  <c r="BQ924" i="7"/>
  <c r="BT924" i="7" s="1"/>
  <c r="BO301" i="7"/>
  <c r="BP301" i="7" s="1"/>
  <c r="BQ301" i="7"/>
  <c r="BT301" i="7" s="1"/>
  <c r="BO1925" i="7"/>
  <c r="BO12" i="8"/>
  <c r="BQ12" i="8"/>
  <c r="BQ1925" i="7"/>
  <c r="BO279" i="7"/>
  <c r="BP279" i="7" s="1"/>
  <c r="BQ279" i="7"/>
  <c r="BT279" i="7" s="1"/>
  <c r="BO2233" i="7"/>
  <c r="BQ2233" i="7"/>
  <c r="BT2233" i="7" s="1"/>
  <c r="BQ1820" i="7"/>
  <c r="BT1820" i="7" s="1"/>
  <c r="BO1820" i="7"/>
  <c r="BP1820" i="7" s="1"/>
  <c r="BO60" i="8"/>
  <c r="BQ60" i="8"/>
  <c r="BQ427" i="7"/>
  <c r="BO427" i="7"/>
  <c r="BO546" i="7"/>
  <c r="BP546" i="7" s="1"/>
  <c r="BQ546" i="7"/>
  <c r="BT546" i="7" s="1"/>
  <c r="BO374" i="7"/>
  <c r="BP374" i="7" s="1"/>
  <c r="BQ374" i="7"/>
  <c r="BT374" i="7" s="1"/>
  <c r="BQ2140" i="7"/>
  <c r="BT2140" i="7" s="1"/>
  <c r="BO2140" i="7"/>
  <c r="BP2140" i="7" s="1"/>
  <c r="BO1723" i="7"/>
  <c r="BP1723" i="7" s="1"/>
  <c r="BQ1723" i="7"/>
  <c r="BT1723" i="7" s="1"/>
  <c r="BO658" i="7"/>
  <c r="BP658" i="7" s="1"/>
  <c r="BQ658" i="7"/>
  <c r="BT658" i="7" s="1"/>
  <c r="BO1505" i="7"/>
  <c r="BP1505" i="7" s="1"/>
  <c r="BQ1505" i="7"/>
  <c r="BT1505" i="7" s="1"/>
  <c r="BO3" i="7"/>
  <c r="BP3" i="7" s="1"/>
  <c r="BQ3" i="7"/>
  <c r="BT3" i="7" s="1"/>
  <c r="BO837" i="7"/>
  <c r="BP837" i="7" s="1"/>
  <c r="BQ837" i="7"/>
  <c r="BT837" i="7" s="1"/>
  <c r="BO2089" i="7"/>
  <c r="BP2089" i="7" s="1"/>
  <c r="BQ2089" i="7"/>
  <c r="BT2089" i="7" s="1"/>
  <c r="BO1381" i="7"/>
  <c r="BP1381" i="7" s="1"/>
  <c r="BQ1381" i="7"/>
  <c r="BT1381" i="7" s="1"/>
  <c r="BO2250" i="7"/>
  <c r="BP2250" i="7" s="1"/>
  <c r="BQ2250" i="7"/>
  <c r="BT2250" i="7" s="1"/>
  <c r="BO543" i="7"/>
  <c r="BP543" i="7" s="1"/>
  <c r="BQ543" i="7"/>
  <c r="BT543" i="7" s="1"/>
  <c r="BO2135" i="7"/>
  <c r="BP2135" i="7" s="1"/>
  <c r="BQ2135" i="7"/>
  <c r="BT2135" i="7" s="1"/>
  <c r="BQ1263" i="7"/>
  <c r="BT1263" i="7" s="1"/>
  <c r="BO1263" i="7"/>
  <c r="BP1263" i="7" s="1"/>
  <c r="BO1499" i="7"/>
  <c r="BP1499" i="7" s="1"/>
  <c r="BQ1499" i="7"/>
  <c r="BT1499" i="7" s="1"/>
  <c r="BO1195" i="7"/>
  <c r="BP1195" i="7" s="1"/>
  <c r="BQ1195" i="7"/>
  <c r="BT1195" i="7" s="1"/>
  <c r="BO763" i="7"/>
  <c r="BP763" i="7" s="1"/>
  <c r="BQ763" i="7"/>
  <c r="BT763" i="7" s="1"/>
  <c r="BQ1758" i="7"/>
  <c r="BT1758" i="7" s="1"/>
  <c r="BO1758" i="7"/>
  <c r="BP1758" i="7" s="1"/>
  <c r="BO944" i="7"/>
  <c r="BP944" i="7" s="1"/>
  <c r="BQ944" i="7"/>
  <c r="BT944" i="7" s="1"/>
  <c r="BN180" i="7"/>
  <c r="BN43" i="8"/>
  <c r="BO1116" i="7"/>
  <c r="BP1116" i="7" s="1"/>
  <c r="BQ1116" i="7"/>
  <c r="BT1116" i="7" s="1"/>
  <c r="BQ332" i="7"/>
  <c r="BT332" i="7" s="1"/>
  <c r="BO332" i="7"/>
  <c r="BP332" i="7" s="1"/>
  <c r="BQ1544" i="7"/>
  <c r="BT1544" i="7" s="1"/>
  <c r="BO1544" i="7"/>
  <c r="BP1544" i="7" s="1"/>
  <c r="BO1024" i="7"/>
  <c r="BP1024" i="7" s="1"/>
  <c r="BQ1024" i="7"/>
  <c r="BT1024" i="7" s="1"/>
  <c r="BO2125" i="7"/>
  <c r="BP2125" i="7" s="1"/>
  <c r="BQ2125" i="7"/>
  <c r="BT2125" i="7" s="1"/>
  <c r="BO397" i="7"/>
  <c r="BP397" i="7" s="1"/>
  <c r="BQ397" i="7"/>
  <c r="BT397" i="7" s="1"/>
  <c r="BO818" i="7"/>
  <c r="BP818" i="7" s="1"/>
  <c r="BQ818" i="7"/>
  <c r="BT818" i="7" s="1"/>
  <c r="BQ19" i="8"/>
  <c r="BO19" i="8"/>
  <c r="BO52" i="7"/>
  <c r="BQ52" i="7"/>
  <c r="BO1598" i="7"/>
  <c r="BP1598" i="7" s="1"/>
  <c r="BQ1598" i="7"/>
  <c r="BT1598" i="7" s="1"/>
  <c r="BO1560" i="7"/>
  <c r="BP1560" i="7" s="1"/>
  <c r="BQ1560" i="7"/>
  <c r="BT1560" i="7" s="1"/>
  <c r="BO1033" i="7"/>
  <c r="BP1033" i="7" s="1"/>
  <c r="BQ1033" i="7"/>
  <c r="BT1033" i="7" s="1"/>
  <c r="BO2001" i="7"/>
  <c r="BP2001" i="7" s="1"/>
  <c r="BQ2001" i="7"/>
  <c r="BT2001" i="7" s="1"/>
  <c r="BO1892" i="7"/>
  <c r="BQ1892" i="7"/>
  <c r="BT1892" i="7" s="1"/>
  <c r="BO904" i="7"/>
  <c r="BP904" i="7" s="1"/>
  <c r="BQ904" i="7"/>
  <c r="BT904" i="7" s="1"/>
  <c r="BO396" i="7"/>
  <c r="BP396" i="7" s="1"/>
  <c r="BQ396" i="7"/>
  <c r="BT396" i="7" s="1"/>
  <c r="BO1216" i="7"/>
  <c r="BP1216" i="7" s="1"/>
  <c r="BQ1216" i="7"/>
  <c r="BT1216" i="7" s="1"/>
  <c r="BO1530" i="7"/>
  <c r="BP1530" i="7" s="1"/>
  <c r="BQ1530" i="7"/>
  <c r="BT1530" i="7" s="1"/>
  <c r="BQ518" i="7"/>
  <c r="BT518" i="7" s="1"/>
  <c r="BO518" i="7"/>
  <c r="BP518" i="7" s="1"/>
  <c r="BO1535" i="7"/>
  <c r="BQ1535" i="7"/>
  <c r="BT1535" i="7" s="1"/>
  <c r="BN221" i="7"/>
  <c r="BN97" i="8"/>
  <c r="BO28" i="8"/>
  <c r="BQ28" i="8"/>
  <c r="BO168" i="7"/>
  <c r="BQ168" i="7"/>
  <c r="BO620" i="7"/>
  <c r="BP620" i="7" s="1"/>
  <c r="BQ620" i="7"/>
  <c r="BT620" i="7" s="1"/>
  <c r="BO805" i="7"/>
  <c r="BP805" i="7" s="1"/>
  <c r="BQ805" i="7"/>
  <c r="BT805" i="7" s="1"/>
  <c r="BO1874" i="7"/>
  <c r="BP1874" i="7" s="1"/>
  <c r="BQ1874" i="7"/>
  <c r="BT1874" i="7" s="1"/>
  <c r="BQ2030" i="7"/>
  <c r="BT2030" i="7" s="1"/>
  <c r="BO2030" i="7"/>
  <c r="BP2030" i="7" s="1"/>
  <c r="BO1582" i="7"/>
  <c r="BP1582" i="7" s="1"/>
  <c r="BQ1582" i="7"/>
  <c r="BT1582" i="7" s="1"/>
  <c r="BO2113" i="7"/>
  <c r="BP2113" i="7" s="1"/>
  <c r="BQ2113" i="7"/>
  <c r="BT2113" i="7" s="1"/>
  <c r="BO821" i="7"/>
  <c r="BP821" i="7" s="1"/>
  <c r="BQ821" i="7"/>
  <c r="BT821" i="7" s="1"/>
  <c r="BO614" i="7"/>
  <c r="BQ614" i="7"/>
  <c r="BT614" i="7" s="1"/>
  <c r="BQ77" i="8"/>
  <c r="BO77" i="8"/>
  <c r="BO38" i="7"/>
  <c r="BQ38" i="7"/>
  <c r="BN408" i="7"/>
  <c r="BN9" i="8"/>
  <c r="BO1774" i="7"/>
  <c r="BP1774" i="7" s="1"/>
  <c r="BQ1774" i="7"/>
  <c r="BT1774" i="7" s="1"/>
  <c r="BO1433" i="7"/>
  <c r="BQ1433" i="7"/>
  <c r="BT1433" i="7" s="1"/>
  <c r="BQ2231" i="7"/>
  <c r="BT2231" i="7" s="1"/>
  <c r="BO2231" i="7"/>
  <c r="BP2231" i="7" s="1"/>
  <c r="BO2206" i="7"/>
  <c r="BQ2206" i="7"/>
  <c r="BT2206" i="7" s="1"/>
  <c r="BO884" i="7"/>
  <c r="BP884" i="7" s="1"/>
  <c r="BQ884" i="7"/>
  <c r="BT884" i="7" s="1"/>
  <c r="BO913" i="7"/>
  <c r="BP913" i="7" s="1"/>
  <c r="BQ913" i="7"/>
  <c r="BT913" i="7" s="1"/>
  <c r="BO859" i="7"/>
  <c r="BP859" i="7" s="1"/>
  <c r="BQ859" i="7"/>
  <c r="BT859" i="7" s="1"/>
  <c r="BO706" i="7"/>
  <c r="BQ706" i="7"/>
  <c r="BT706" i="7" s="1"/>
  <c r="BO65" i="7"/>
  <c r="BQ65" i="7"/>
  <c r="BT65" i="7" s="1"/>
  <c r="BO850" i="7"/>
  <c r="BP850" i="7" s="1"/>
  <c r="BQ850" i="7"/>
  <c r="BT850" i="7" s="1"/>
  <c r="BO690" i="7"/>
  <c r="BP690" i="7" s="1"/>
  <c r="BQ690" i="7"/>
  <c r="BT690" i="7" s="1"/>
  <c r="BO244" i="7"/>
  <c r="BP244" i="7" s="1"/>
  <c r="BQ244" i="7"/>
  <c r="BT244" i="7" s="1"/>
  <c r="BN163" i="7"/>
  <c r="BN34" i="8"/>
  <c r="BQ1237" i="7"/>
  <c r="BT1237" i="7" s="1"/>
  <c r="BO1237" i="7"/>
  <c r="BP1237" i="7" s="1"/>
  <c r="BO911" i="7"/>
  <c r="BQ911" i="7"/>
  <c r="BT911" i="7" s="1"/>
  <c r="BO359" i="7"/>
  <c r="BP359" i="7" s="1"/>
  <c r="BQ359" i="7"/>
  <c r="BT359" i="7" s="1"/>
  <c r="BO774" i="7"/>
  <c r="BP774" i="7" s="1"/>
  <c r="BQ774" i="7"/>
  <c r="BT774" i="7" s="1"/>
  <c r="BO1552" i="7"/>
  <c r="BP1552" i="7" s="1"/>
  <c r="BQ1552" i="7"/>
  <c r="BT1552" i="7" s="1"/>
  <c r="BO24" i="7"/>
  <c r="BP24" i="7" s="1"/>
  <c r="BQ24" i="7"/>
  <c r="BT24" i="7" s="1"/>
  <c r="BO113" i="7"/>
  <c r="BQ113" i="7"/>
  <c r="BT113" i="7" s="1"/>
  <c r="BN156" i="7"/>
  <c r="BN89" i="8"/>
  <c r="BO1703" i="7"/>
  <c r="BP1703" i="7" s="1"/>
  <c r="BQ1703" i="7"/>
  <c r="BT1703" i="7" s="1"/>
  <c r="BO1559" i="7"/>
  <c r="BP1559" i="7" s="1"/>
  <c r="BQ1559" i="7"/>
  <c r="BT1559" i="7" s="1"/>
  <c r="BO470" i="7"/>
  <c r="BP470" i="7" s="1"/>
  <c r="BQ470" i="7"/>
  <c r="BT470" i="7" s="1"/>
  <c r="BO466" i="7"/>
  <c r="BP466" i="7" s="1"/>
  <c r="BQ466" i="7"/>
  <c r="BT466" i="7" s="1"/>
  <c r="BQ1729" i="7"/>
  <c r="BT1729" i="7" s="1"/>
  <c r="BO1729" i="7"/>
  <c r="BP1729" i="7" s="1"/>
  <c r="BN186" i="7"/>
  <c r="BN102" i="8"/>
  <c r="BQ1672" i="7"/>
  <c r="BT1672" i="7" s="1"/>
  <c r="BO1672" i="7"/>
  <c r="BP1672" i="7" s="1"/>
  <c r="BO1272" i="7"/>
  <c r="BP1272" i="7" s="1"/>
  <c r="BQ1272" i="7"/>
  <c r="BT1272" i="7" s="1"/>
  <c r="BO474" i="7"/>
  <c r="BP474" i="7" s="1"/>
  <c r="BQ474" i="7"/>
  <c r="BT474" i="7" s="1"/>
  <c r="BN385" i="7"/>
  <c r="BN5" i="8"/>
  <c r="BO1516" i="7"/>
  <c r="BP1516" i="7" s="1"/>
  <c r="BQ1516" i="7"/>
  <c r="BT1516" i="7" s="1"/>
  <c r="BO2179" i="7"/>
  <c r="BQ2179" i="7"/>
  <c r="BT2179" i="7" s="1"/>
  <c r="BO1006" i="7"/>
  <c r="BQ1006" i="7"/>
  <c r="BT1006" i="7" s="1"/>
  <c r="BO683" i="7"/>
  <c r="BP683" i="7" s="1"/>
  <c r="BQ683" i="7"/>
  <c r="BT683" i="7" s="1"/>
  <c r="BO756" i="7"/>
  <c r="BP756" i="7" s="1"/>
  <c r="BQ756" i="7"/>
  <c r="BT756" i="7" s="1"/>
  <c r="BO55" i="8"/>
  <c r="BQ55" i="8"/>
  <c r="BO185" i="7"/>
  <c r="BQ185" i="7"/>
  <c r="BQ526" i="7"/>
  <c r="BT526" i="7" s="1"/>
  <c r="BO526" i="7"/>
  <c r="BP526" i="7" s="1"/>
  <c r="BO1897" i="7"/>
  <c r="BP1897" i="7" s="1"/>
  <c r="BQ1897" i="7"/>
  <c r="BT1897" i="7" s="1"/>
  <c r="BO1042" i="7"/>
  <c r="BP1042" i="7" s="1"/>
  <c r="BQ1042" i="7"/>
  <c r="BT1042" i="7" s="1"/>
  <c r="BO1743" i="7"/>
  <c r="BP1743" i="7" s="1"/>
  <c r="BQ1743" i="7"/>
  <c r="BT1743" i="7" s="1"/>
  <c r="BO29" i="8"/>
  <c r="BQ29" i="8"/>
  <c r="BO174" i="7"/>
  <c r="BQ174" i="7"/>
  <c r="BO1996" i="7"/>
  <c r="BP1996" i="7" s="1"/>
  <c r="BQ1996" i="7"/>
  <c r="BT1996" i="7" s="1"/>
  <c r="BO1957" i="7"/>
  <c r="BP1957" i="7" s="1"/>
  <c r="BQ1957" i="7"/>
  <c r="BT1957" i="7" s="1"/>
  <c r="BO983" i="7"/>
  <c r="BP983" i="7" s="1"/>
  <c r="BQ983" i="7"/>
  <c r="BT983" i="7" s="1"/>
  <c r="BQ2031" i="7"/>
  <c r="BT2031" i="7" s="1"/>
  <c r="BO2031" i="7"/>
  <c r="BP2031" i="7" s="1"/>
  <c r="BO1115" i="7"/>
  <c r="BP1115" i="7" s="1"/>
  <c r="BQ1115" i="7"/>
  <c r="BT1115" i="7" s="1"/>
  <c r="BO184" i="7"/>
  <c r="BO54" i="8"/>
  <c r="BQ184" i="7"/>
  <c r="BQ54" i="8"/>
  <c r="BO1753" i="7"/>
  <c r="BP1753" i="7" s="1"/>
  <c r="BQ1753" i="7"/>
  <c r="BT1753" i="7" s="1"/>
  <c r="BQ2239" i="7"/>
  <c r="BT2239" i="7" s="1"/>
  <c r="BO2239" i="7"/>
  <c r="BP2239" i="7" s="1"/>
  <c r="BO1314" i="7"/>
  <c r="BP1314" i="7" s="1"/>
  <c r="BQ1314" i="7"/>
  <c r="BT1314" i="7" s="1"/>
  <c r="BO2004" i="7"/>
  <c r="BP2004" i="7" s="1"/>
  <c r="BQ2004" i="7"/>
  <c r="BT2004" i="7" s="1"/>
  <c r="BO2080" i="7"/>
  <c r="BP2080" i="7" s="1"/>
  <c r="BQ2080" i="7"/>
  <c r="BT2080" i="7" s="1"/>
  <c r="BQ1606" i="7"/>
  <c r="BT1606" i="7" s="1"/>
  <c r="BO1606" i="7"/>
  <c r="BP1606" i="7" s="1"/>
  <c r="BO1004" i="7"/>
  <c r="BP1004" i="7" s="1"/>
  <c r="BQ1004" i="7"/>
  <c r="BT1004" i="7" s="1"/>
  <c r="BQ1309" i="7"/>
  <c r="BT1309" i="7" s="1"/>
  <c r="BO1309" i="7"/>
  <c r="BP1309" i="7" s="1"/>
  <c r="BO2032" i="7"/>
  <c r="BP2032" i="7" s="1"/>
  <c r="BQ2032" i="7"/>
  <c r="BT2032" i="7" s="1"/>
  <c r="BQ10" i="8"/>
  <c r="BO409" i="7"/>
  <c r="BQ409" i="7"/>
  <c r="BO10" i="8"/>
  <c r="BO1271" i="7"/>
  <c r="BP1271" i="7" s="1"/>
  <c r="BQ1271" i="7"/>
  <c r="BT1271" i="7" s="1"/>
  <c r="BO18" i="8"/>
  <c r="BQ18" i="8"/>
  <c r="BO367" i="7"/>
  <c r="BQ367" i="7"/>
  <c r="BO1497" i="7"/>
  <c r="BP1497" i="7" s="1"/>
  <c r="BQ1497" i="7"/>
  <c r="BT1497" i="7" s="1"/>
  <c r="BO1286" i="7"/>
  <c r="BP1286" i="7" s="1"/>
  <c r="BQ1286" i="7"/>
  <c r="BT1286" i="7" s="1"/>
  <c r="BO1367" i="7"/>
  <c r="BP1367" i="7" s="1"/>
  <c r="BQ1367" i="7"/>
  <c r="BT1367" i="7" s="1"/>
  <c r="BO1208" i="7"/>
  <c r="BP1208" i="7" s="1"/>
  <c r="BQ1208" i="7"/>
  <c r="BT1208" i="7" s="1"/>
  <c r="BO1376" i="7"/>
  <c r="BP1376" i="7" s="1"/>
  <c r="BQ1376" i="7"/>
  <c r="BT1376" i="7" s="1"/>
  <c r="BO953" i="7"/>
  <c r="BP953" i="7" s="1"/>
  <c r="BQ953" i="7"/>
  <c r="BT953" i="7" s="1"/>
  <c r="BO842" i="7"/>
  <c r="BP842" i="7" s="1"/>
  <c r="BQ842" i="7"/>
  <c r="BT842" i="7" s="1"/>
  <c r="BO2194" i="7"/>
  <c r="BP2194" i="7" s="1"/>
  <c r="BQ2194" i="7"/>
  <c r="BT2194" i="7" s="1"/>
  <c r="BO1488" i="7"/>
  <c r="BP1488" i="7" s="1"/>
  <c r="BQ1488" i="7"/>
  <c r="BT1488" i="7" s="1"/>
  <c r="BO1335" i="7"/>
  <c r="BQ1335" i="7"/>
  <c r="BT1335" i="7" s="1"/>
  <c r="BO2118" i="7"/>
  <c r="BP2118" i="7" s="1"/>
  <c r="BQ2118" i="7"/>
  <c r="BT2118" i="7" s="1"/>
  <c r="BO1785" i="7"/>
  <c r="BP1785" i="7" s="1"/>
  <c r="BQ1785" i="7"/>
  <c r="BT1785" i="7" s="1"/>
  <c r="BO1141" i="7"/>
  <c r="BP1141" i="7" s="1"/>
  <c r="BQ1141" i="7"/>
  <c r="BT1141" i="7" s="1"/>
  <c r="BO1167" i="7"/>
  <c r="BP1167" i="7" s="1"/>
  <c r="BQ1167" i="7"/>
  <c r="BT1167" i="7" s="1"/>
  <c r="BO808" i="7"/>
  <c r="BP808" i="7" s="1"/>
  <c r="BQ808" i="7"/>
  <c r="BT808" i="7" s="1"/>
  <c r="BO1405" i="7"/>
  <c r="BP1405" i="7" s="1"/>
  <c r="BQ1405" i="7"/>
  <c r="BT1405" i="7" s="1"/>
  <c r="BO2270" i="7"/>
  <c r="BP2270" i="7" s="1"/>
  <c r="BQ2270" i="7"/>
  <c r="BT2270" i="7" s="1"/>
  <c r="BO1139" i="7"/>
  <c r="BP1139" i="7" s="1"/>
  <c r="BQ1139" i="7"/>
  <c r="BT1139" i="7" s="1"/>
  <c r="BO797" i="7"/>
  <c r="BP797" i="7" s="1"/>
  <c r="BQ797" i="7"/>
  <c r="BT797" i="7" s="1"/>
  <c r="BO1264" i="7"/>
  <c r="BP1264" i="7" s="1"/>
  <c r="BQ1264" i="7"/>
  <c r="BT1264" i="7" s="1"/>
  <c r="BO330" i="7"/>
  <c r="BP330" i="7" s="1"/>
  <c r="BQ330" i="7"/>
  <c r="BT330" i="7" s="1"/>
  <c r="BO876" i="7"/>
  <c r="BP876" i="7" s="1"/>
  <c r="BQ876" i="7"/>
  <c r="BT876" i="7" s="1"/>
  <c r="BO80" i="7"/>
  <c r="BQ80" i="7"/>
  <c r="BT80" i="7" s="1"/>
  <c r="BO212" i="7"/>
  <c r="BP212" i="7" s="1"/>
  <c r="BQ212" i="7"/>
  <c r="BT212" i="7" s="1"/>
  <c r="BO508" i="7"/>
  <c r="BP508" i="7" s="1"/>
  <c r="BQ508" i="7"/>
  <c r="BT508" i="7" s="1"/>
  <c r="BO1991" i="7"/>
  <c r="BP1991" i="7" s="1"/>
  <c r="BQ1991" i="7"/>
  <c r="BT1991" i="7" s="1"/>
  <c r="BO447" i="7"/>
  <c r="BP447" i="7" s="1"/>
  <c r="BQ447" i="7"/>
  <c r="BT447" i="7" s="1"/>
  <c r="BQ740" i="7"/>
  <c r="BT740" i="7" s="1"/>
  <c r="BO740" i="7"/>
  <c r="BP740" i="7" s="1"/>
  <c r="BO1596" i="7"/>
  <c r="BP1596" i="7" s="1"/>
  <c r="BQ1596" i="7"/>
  <c r="BT1596" i="7" s="1"/>
  <c r="BQ1328" i="7"/>
  <c r="BT1328" i="7" s="1"/>
  <c r="BO1328" i="7"/>
  <c r="BP1328" i="7" s="1"/>
  <c r="BO1917" i="7"/>
  <c r="BP1917" i="7" s="1"/>
  <c r="BQ1917" i="7"/>
  <c r="BT1917" i="7" s="1"/>
  <c r="BO956" i="7"/>
  <c r="BP956" i="7" s="1"/>
  <c r="BQ956" i="7"/>
  <c r="BT956" i="7" s="1"/>
  <c r="BO1147" i="7"/>
  <c r="BP1147" i="7" s="1"/>
  <c r="BQ1147" i="7"/>
  <c r="BT1147" i="7" s="1"/>
  <c r="BO749" i="7"/>
  <c r="BP749" i="7" s="1"/>
  <c r="BQ749" i="7"/>
  <c r="BT749" i="7" s="1"/>
  <c r="BO960" i="7"/>
  <c r="BP960" i="7" s="1"/>
  <c r="BQ960" i="7"/>
  <c r="BT960" i="7" s="1"/>
  <c r="BO839" i="7"/>
  <c r="BP839" i="7" s="1"/>
  <c r="BQ839" i="7"/>
  <c r="BT839" i="7" s="1"/>
  <c r="BO1697" i="7"/>
  <c r="BP1697" i="7" s="1"/>
  <c r="BQ1697" i="7"/>
  <c r="BT1697" i="7" s="1"/>
  <c r="BO2090" i="7"/>
  <c r="BP2090" i="7" s="1"/>
  <c r="BQ2090" i="7"/>
  <c r="BT2090" i="7" s="1"/>
  <c r="BO415" i="7"/>
  <c r="BQ415" i="7"/>
  <c r="BT415" i="7" s="1"/>
  <c r="BO98" i="7"/>
  <c r="BQ98" i="7"/>
  <c r="BT98" i="7" s="1"/>
  <c r="BO681" i="7"/>
  <c r="BQ681" i="7"/>
  <c r="BT681" i="7" s="1"/>
  <c r="BQ812" i="7"/>
  <c r="BT812" i="7" s="1"/>
  <c r="BO812" i="7"/>
  <c r="BP812" i="7" s="1"/>
  <c r="BO197" i="7"/>
  <c r="BP197" i="7" s="1"/>
  <c r="BQ197" i="7"/>
  <c r="BT197" i="7" s="1"/>
  <c r="BO1802" i="7"/>
  <c r="BP1802" i="7" s="1"/>
  <c r="BQ1802" i="7"/>
  <c r="BT1802" i="7" s="1"/>
  <c r="BO969" i="7"/>
  <c r="BP969" i="7" s="1"/>
  <c r="BQ969" i="7"/>
  <c r="BT969" i="7" s="1"/>
  <c r="BO989" i="7"/>
  <c r="BP989" i="7" s="1"/>
  <c r="BQ989" i="7"/>
  <c r="BT989" i="7" s="1"/>
  <c r="BQ1239" i="7"/>
  <c r="BT1239" i="7" s="1"/>
  <c r="BO1239" i="7"/>
  <c r="BP1239" i="7" s="1"/>
  <c r="BO803" i="7"/>
  <c r="BP803" i="7" s="1"/>
  <c r="BQ803" i="7"/>
  <c r="BT803" i="7" s="1"/>
  <c r="BQ1101" i="7"/>
  <c r="BT1101" i="7" s="1"/>
  <c r="BO1101" i="7"/>
  <c r="BP1101" i="7" s="1"/>
  <c r="BS1101" i="7" s="1"/>
  <c r="BO536" i="7"/>
  <c r="BP536" i="7" s="1"/>
  <c r="BQ536" i="7"/>
  <c r="BT536" i="7" s="1"/>
  <c r="BN178" i="7"/>
  <c r="BN26" i="8"/>
  <c r="BO2109" i="7"/>
  <c r="BP2109" i="7" s="1"/>
  <c r="BQ2109" i="7"/>
  <c r="BT2109" i="7" s="1"/>
  <c r="BO348" i="7"/>
  <c r="BP348" i="7" s="1"/>
  <c r="BQ348" i="7"/>
  <c r="BT348" i="7" s="1"/>
  <c r="BO208" i="7"/>
  <c r="BP208" i="7" s="1"/>
  <c r="BQ208" i="7"/>
  <c r="BT208" i="7" s="1"/>
  <c r="BO1975" i="7"/>
  <c r="BP1975" i="7" s="1"/>
  <c r="BS1975" i="7" s="1"/>
  <c r="BQ1975" i="7"/>
  <c r="BT1975" i="7" s="1"/>
  <c r="BO1045" i="7"/>
  <c r="BP1045" i="7" s="1"/>
  <c r="BQ1045" i="7"/>
  <c r="BT1045" i="7" s="1"/>
  <c r="BQ1255" i="7"/>
  <c r="BT1255" i="7" s="1"/>
  <c r="BO1255" i="7"/>
  <c r="BP1255" i="7" s="1"/>
  <c r="BO1387" i="7"/>
  <c r="BP1387" i="7" s="1"/>
  <c r="BQ1387" i="7"/>
  <c r="BT1387" i="7" s="1"/>
  <c r="BO90" i="7"/>
  <c r="BQ90" i="7"/>
  <c r="BQ81" i="8"/>
  <c r="BO81" i="8"/>
  <c r="BO832" i="7"/>
  <c r="BP832" i="7" s="1"/>
  <c r="BQ832" i="7"/>
  <c r="BT832" i="7" s="1"/>
  <c r="BO1974" i="7"/>
  <c r="BP1974" i="7" s="1"/>
  <c r="BQ1974" i="7"/>
  <c r="BT1974" i="7" s="1"/>
  <c r="BP535" i="7"/>
  <c r="BO619" i="7"/>
  <c r="BP619" i="7" s="1"/>
  <c r="BQ619" i="7"/>
  <c r="BT619" i="7" s="1"/>
  <c r="BN26" i="7"/>
  <c r="BN65" i="8"/>
  <c r="BN171" i="7"/>
  <c r="BN32" i="8"/>
  <c r="BQ204" i="7"/>
  <c r="BT204" i="7" s="1"/>
  <c r="BO204" i="7"/>
  <c r="BP204" i="7" s="1"/>
  <c r="BO1426" i="7"/>
  <c r="BP1426" i="7" s="1"/>
  <c r="BQ1426" i="7"/>
  <c r="BT1426" i="7" s="1"/>
  <c r="BO2039" i="7"/>
  <c r="BP2039" i="7" s="1"/>
  <c r="BQ2039" i="7"/>
  <c r="BT2039" i="7" s="1"/>
  <c r="BO1671" i="7"/>
  <c r="BP1671" i="7" s="1"/>
  <c r="BQ1671" i="7"/>
  <c r="BT1671" i="7" s="1"/>
  <c r="BO123" i="7"/>
  <c r="BQ104" i="8"/>
  <c r="BO104" i="8"/>
  <c r="BQ123" i="7"/>
  <c r="BO1343" i="7"/>
  <c r="BP1343" i="7" s="1"/>
  <c r="BQ1343" i="7"/>
  <c r="BT1343" i="7" s="1"/>
  <c r="BO2177" i="7"/>
  <c r="BP2177" i="7" s="1"/>
  <c r="BQ2177" i="7"/>
  <c r="BT2177" i="7" s="1"/>
  <c r="BO1564" i="7"/>
  <c r="BP1564" i="7" s="1"/>
  <c r="BQ1564" i="7"/>
  <c r="BT1564" i="7" s="1"/>
  <c r="BO510" i="7"/>
  <c r="BP510" i="7" s="1"/>
  <c r="BQ510" i="7"/>
  <c r="BT510" i="7" s="1"/>
  <c r="BO2048" i="7"/>
  <c r="BP2048" i="7" s="1"/>
  <c r="BQ2048" i="7"/>
  <c r="BT2048" i="7" s="1"/>
  <c r="BO987" i="7"/>
  <c r="BP987" i="7" s="1"/>
  <c r="BQ987" i="7"/>
  <c r="BT987" i="7" s="1"/>
  <c r="BO296" i="7"/>
  <c r="BP296" i="7" s="1"/>
  <c r="BQ296" i="7"/>
  <c r="BT296" i="7" s="1"/>
  <c r="BQ57" i="8"/>
  <c r="BO57" i="8"/>
  <c r="BQ181" i="7"/>
  <c r="BO181" i="7"/>
  <c r="BN424" i="7"/>
  <c r="BN61" i="8"/>
  <c r="BN110" i="7"/>
  <c r="BN51" i="8"/>
  <c r="BP20" i="7"/>
  <c r="BQ2057" i="7"/>
  <c r="BT2057" i="7" s="1"/>
  <c r="BO2057" i="7"/>
  <c r="BP2057" i="7" s="1"/>
  <c r="BO2263" i="7"/>
  <c r="BP2263" i="7" s="1"/>
  <c r="BQ2263" i="7"/>
  <c r="BT2263" i="7" s="1"/>
  <c r="BQ688" i="7"/>
  <c r="BT688" i="7" s="1"/>
  <c r="BO688" i="7"/>
  <c r="BP688" i="7" s="1"/>
  <c r="BQ5" i="7"/>
  <c r="BO105" i="8"/>
  <c r="BQ105" i="8"/>
  <c r="BO5" i="7"/>
  <c r="BO326" i="7"/>
  <c r="BP326" i="7" s="1"/>
  <c r="BQ326" i="7"/>
  <c r="BT326" i="7" s="1"/>
  <c r="BO227" i="7"/>
  <c r="BP227" i="7" s="1"/>
  <c r="BQ227" i="7"/>
  <c r="BT227" i="7" s="1"/>
  <c r="BO224" i="7"/>
  <c r="BP224" i="7" s="1"/>
  <c r="BQ224" i="7"/>
  <c r="BT224" i="7" s="1"/>
  <c r="BN1925" i="7"/>
  <c r="BN12" i="8"/>
  <c r="BP2233" i="7"/>
  <c r="BO349" i="7"/>
  <c r="BP349" i="7" s="1"/>
  <c r="BQ349" i="7"/>
  <c r="BT349" i="7" s="1"/>
  <c r="BQ1083" i="7"/>
  <c r="BT1083" i="7" s="1"/>
  <c r="BO1083" i="7"/>
  <c r="BP1083" i="7" s="1"/>
  <c r="BO1016" i="7"/>
  <c r="BP1016" i="7" s="1"/>
  <c r="BQ1016" i="7"/>
  <c r="BT1016" i="7" s="1"/>
  <c r="BQ1523" i="7"/>
  <c r="BT1523" i="7" s="1"/>
  <c r="BO1523" i="7"/>
  <c r="BP1523" i="7" s="1"/>
  <c r="BO1716" i="7"/>
  <c r="BP1716" i="7" s="1"/>
  <c r="BQ1716" i="7"/>
  <c r="BT1716" i="7" s="1"/>
  <c r="BO42" i="8"/>
  <c r="BQ42" i="8"/>
  <c r="BO161" i="7"/>
  <c r="BQ161" i="7"/>
  <c r="BO602" i="7"/>
  <c r="BP602" i="7" s="1"/>
  <c r="BQ602" i="7"/>
  <c r="BT602" i="7" s="1"/>
  <c r="BO2229" i="7"/>
  <c r="BP2229" i="7" s="1"/>
  <c r="BQ2229" i="7"/>
  <c r="BT2229" i="7" s="1"/>
  <c r="BQ1490" i="7"/>
  <c r="BT1490" i="7" s="1"/>
  <c r="BO1490" i="7"/>
  <c r="BP1490" i="7" s="1"/>
  <c r="BQ694" i="7"/>
  <c r="BT694" i="7" s="1"/>
  <c r="BO694" i="7"/>
  <c r="BP694" i="7" s="1"/>
  <c r="BO43" i="8"/>
  <c r="BQ43" i="8"/>
  <c r="BO180" i="7"/>
  <c r="BQ180" i="7"/>
  <c r="BO1307" i="7"/>
  <c r="BP1307" i="7" s="1"/>
  <c r="BQ1307" i="7"/>
  <c r="BT1307" i="7" s="1"/>
  <c r="BO925" i="7"/>
  <c r="BP925" i="7" s="1"/>
  <c r="BQ925" i="7"/>
  <c r="BT925" i="7" s="1"/>
  <c r="BO1761" i="7"/>
  <c r="BP1761" i="7" s="1"/>
  <c r="BQ1761" i="7"/>
  <c r="BT1761" i="7" s="1"/>
  <c r="BO981" i="7"/>
  <c r="BP981" i="7" s="1"/>
  <c r="BQ981" i="7"/>
  <c r="BT981" i="7" s="1"/>
  <c r="BN52" i="7"/>
  <c r="BN19" i="8"/>
  <c r="BO1584" i="7"/>
  <c r="BP1584" i="7" s="1"/>
  <c r="BQ1584" i="7"/>
  <c r="BT1584" i="7" s="1"/>
  <c r="BO2066" i="7"/>
  <c r="BP2066" i="7" s="1"/>
  <c r="BQ2066" i="7"/>
  <c r="BT2066" i="7" s="1"/>
  <c r="BP1892" i="7"/>
  <c r="BO834" i="7"/>
  <c r="BP834" i="7" s="1"/>
  <c r="BQ834" i="7"/>
  <c r="BT834" i="7" s="1"/>
  <c r="BO671" i="7"/>
  <c r="BP671" i="7" s="1"/>
  <c r="BQ671" i="7"/>
  <c r="BT671" i="7" s="1"/>
  <c r="BO1052" i="7"/>
  <c r="BP1052" i="7" s="1"/>
  <c r="BQ1052" i="7"/>
  <c r="BT1052" i="7" s="1"/>
  <c r="BO1556" i="7"/>
  <c r="BP1556" i="7" s="1"/>
  <c r="BQ1556" i="7"/>
  <c r="BT1556" i="7" s="1"/>
  <c r="BP1535" i="7"/>
  <c r="BO221" i="7"/>
  <c r="BQ221" i="7"/>
  <c r="BO97" i="8"/>
  <c r="BQ97" i="8"/>
  <c r="BN168" i="7"/>
  <c r="BN28" i="8"/>
  <c r="BQ1735" i="7"/>
  <c r="BT1735" i="7" s="1"/>
  <c r="BO1735" i="7"/>
  <c r="BP1735" i="7" s="1"/>
  <c r="BO264" i="7"/>
  <c r="BP264" i="7" s="1"/>
  <c r="BQ264" i="7"/>
  <c r="BT264" i="7" s="1"/>
  <c r="BO1728" i="7"/>
  <c r="BP1728" i="7" s="1"/>
  <c r="BQ1728" i="7"/>
  <c r="BT1728" i="7" s="1"/>
  <c r="BO1081" i="7"/>
  <c r="BP1081" i="7" s="1"/>
  <c r="BQ1081" i="7"/>
  <c r="BT1081" i="7" s="1"/>
  <c r="BQ1561" i="7"/>
  <c r="BT1561" i="7" s="1"/>
  <c r="BO1561" i="7"/>
  <c r="BP1561" i="7" s="1"/>
  <c r="BO1985" i="7"/>
  <c r="BP1985" i="7" s="1"/>
  <c r="BQ1985" i="7"/>
  <c r="BT1985" i="7" s="1"/>
  <c r="BO2018" i="7"/>
  <c r="BQ2018" i="7"/>
  <c r="BT2018" i="7" s="1"/>
  <c r="BO144" i="7"/>
  <c r="BP144" i="7" s="1"/>
  <c r="BQ144" i="7"/>
  <c r="BT144" i="7" s="1"/>
  <c r="BO695" i="7"/>
  <c r="BP695" i="7" s="1"/>
  <c r="BQ695" i="7"/>
  <c r="BT695" i="7" s="1"/>
  <c r="BO1880" i="7"/>
  <c r="BP1880" i="7" s="1"/>
  <c r="BQ1880" i="7"/>
  <c r="BT1880" i="7" s="1"/>
  <c r="BQ1548" i="7"/>
  <c r="BT1548" i="7" s="1"/>
  <c r="BO1548" i="7"/>
  <c r="BP1548" i="7" s="1"/>
  <c r="BO364" i="7"/>
  <c r="BP364" i="7" s="1"/>
  <c r="BQ364" i="7"/>
  <c r="BT364" i="7" s="1"/>
  <c r="BO844" i="7"/>
  <c r="BP844" i="7" s="1"/>
  <c r="BQ844" i="7"/>
  <c r="BT844" i="7" s="1"/>
  <c r="BO1476" i="7"/>
  <c r="BP1476" i="7" s="1"/>
  <c r="BQ1476" i="7"/>
  <c r="BT1476" i="7" s="1"/>
  <c r="BO1834" i="7"/>
  <c r="BP1834" i="7" s="1"/>
  <c r="BQ1834" i="7"/>
  <c r="BT1834" i="7" s="1"/>
  <c r="BO1465" i="7"/>
  <c r="BP1465" i="7" s="1"/>
  <c r="BQ1465" i="7"/>
  <c r="BT1465" i="7" s="1"/>
  <c r="BO642" i="7"/>
  <c r="BP642" i="7" s="1"/>
  <c r="BQ642" i="7"/>
  <c r="BT642" i="7" s="1"/>
  <c r="BO108" i="7"/>
  <c r="BO47" i="8"/>
  <c r="BQ47" i="8"/>
  <c r="BQ108" i="7"/>
  <c r="BQ769" i="7"/>
  <c r="BT769" i="7" s="1"/>
  <c r="BO769" i="7"/>
  <c r="BP769" i="7" s="1"/>
  <c r="BO270" i="7"/>
  <c r="BP270" i="7" s="1"/>
  <c r="BQ270" i="7"/>
  <c r="BT270" i="7" s="1"/>
  <c r="BO129" i="7"/>
  <c r="BP129" i="7" s="1"/>
  <c r="BQ129" i="7"/>
  <c r="BT129" i="7" s="1"/>
  <c r="BO1872" i="7"/>
  <c r="BP1872" i="7" s="1"/>
  <c r="BQ1872" i="7"/>
  <c r="BT1872" i="7" s="1"/>
  <c r="BO799" i="7"/>
  <c r="BP799" i="7" s="1"/>
  <c r="BQ799" i="7"/>
  <c r="BT799" i="7" s="1"/>
  <c r="BO293" i="7"/>
  <c r="BQ293" i="7"/>
  <c r="BT293" i="7" s="1"/>
  <c r="BO122" i="7"/>
  <c r="BP122" i="7" s="1"/>
  <c r="BQ122" i="7"/>
  <c r="BT122" i="7" s="1"/>
  <c r="BO1213" i="7"/>
  <c r="BP1213" i="7" s="1"/>
  <c r="BQ1213" i="7"/>
  <c r="BT1213" i="7" s="1"/>
  <c r="BO50" i="8"/>
  <c r="BO112" i="7"/>
  <c r="BQ112" i="7"/>
  <c r="BQ50" i="8"/>
  <c r="BO836" i="7"/>
  <c r="BP836" i="7" s="1"/>
  <c r="BQ836" i="7"/>
  <c r="BT836" i="7" s="1"/>
  <c r="BO59" i="7"/>
  <c r="BP59" i="7" s="1"/>
  <c r="BQ59" i="7"/>
  <c r="BT59" i="7" s="1"/>
  <c r="BQ731" i="7"/>
  <c r="BT731" i="7" s="1"/>
  <c r="BO731" i="7"/>
  <c r="BP731" i="7" s="1"/>
  <c r="BO84" i="8"/>
  <c r="BQ84" i="8"/>
  <c r="BQ46" i="7"/>
  <c r="BO46" i="7"/>
  <c r="BO1767" i="7"/>
  <c r="BP1767" i="7" s="1"/>
  <c r="BQ1767" i="7"/>
  <c r="BT1767" i="7" s="1"/>
  <c r="BO2205" i="7"/>
  <c r="BP2205" i="7" s="1"/>
  <c r="BQ2205" i="7"/>
  <c r="BT2205" i="7" s="1"/>
  <c r="BN382" i="7"/>
  <c r="BN7" i="8"/>
  <c r="BO206" i="7"/>
  <c r="BP206" i="7" s="1"/>
  <c r="BQ206" i="7"/>
  <c r="BT206" i="7" s="1"/>
  <c r="BO207" i="7"/>
  <c r="BP207" i="7" s="1"/>
  <c r="BQ207" i="7"/>
  <c r="BT207" i="7" s="1"/>
  <c r="BQ1079" i="7"/>
  <c r="BT1079" i="7" s="1"/>
  <c r="BO1079" i="7"/>
  <c r="BP1079" i="7" s="1"/>
  <c r="BO1808" i="7"/>
  <c r="BP1808" i="7" s="1"/>
  <c r="BQ1808" i="7"/>
  <c r="BT1808" i="7" s="1"/>
  <c r="BO1853" i="7"/>
  <c r="BP1853" i="7" s="1"/>
  <c r="BQ1853" i="7"/>
  <c r="BT1853" i="7" s="1"/>
  <c r="BO1090" i="7"/>
  <c r="BP1090" i="7" s="1"/>
  <c r="BQ1090" i="7"/>
  <c r="BT1090" i="7" s="1"/>
  <c r="BN384" i="7"/>
  <c r="BN4" i="8"/>
  <c r="BO1453" i="7"/>
  <c r="BQ1453" i="7"/>
  <c r="BT1453" i="7" s="1"/>
  <c r="BO1395" i="7"/>
  <c r="BP1395" i="7" s="1"/>
  <c r="BQ1395" i="7"/>
  <c r="BT1395" i="7" s="1"/>
  <c r="BO1863" i="7"/>
  <c r="BP1863" i="7" s="1"/>
  <c r="BQ1863" i="7"/>
  <c r="BT1863" i="7" s="1"/>
  <c r="BQ313" i="7"/>
  <c r="BT313" i="7" s="1"/>
  <c r="BO313" i="7"/>
  <c r="BP313" i="7" s="1"/>
  <c r="BO312" i="7"/>
  <c r="BP312" i="7" s="1"/>
  <c r="BQ312" i="7"/>
  <c r="BT312" i="7" s="1"/>
  <c r="BO1169" i="7"/>
  <c r="BP1169" i="7" s="1"/>
  <c r="BQ1169" i="7"/>
  <c r="BT1169" i="7" s="1"/>
  <c r="BO2281" i="7"/>
  <c r="BP2281" i="7" s="1"/>
  <c r="BQ2281" i="7"/>
  <c r="BT2281" i="7" s="1"/>
  <c r="BO1900" i="7"/>
  <c r="BP1900" i="7" s="1"/>
  <c r="BQ1900" i="7"/>
  <c r="BT1900" i="7" s="1"/>
  <c r="BQ1235" i="7"/>
  <c r="BT1235" i="7" s="1"/>
  <c r="BO1235" i="7"/>
  <c r="BP1235" i="7" s="1"/>
  <c r="BO565" i="7"/>
  <c r="BQ565" i="7"/>
  <c r="BT565" i="7" s="1"/>
  <c r="BQ813" i="7"/>
  <c r="BT813" i="7" s="1"/>
  <c r="BO813" i="7"/>
  <c r="BP813" i="7" s="1"/>
  <c r="BO1222" i="7"/>
  <c r="BP1222" i="7" s="1"/>
  <c r="BQ1222" i="7"/>
  <c r="BT1222" i="7" s="1"/>
  <c r="BO2214" i="7"/>
  <c r="BP2214" i="7" s="1"/>
  <c r="BQ2214" i="7"/>
  <c r="BT2214" i="7" s="1"/>
  <c r="BN182" i="7"/>
  <c r="BN53" i="8"/>
  <c r="BO80" i="8"/>
  <c r="BQ80" i="8"/>
  <c r="BO41" i="7"/>
  <c r="BQ41" i="7"/>
  <c r="BQ255" i="7"/>
  <c r="BT255" i="7" s="1"/>
  <c r="BO255" i="7"/>
  <c r="BP255" i="7" s="1"/>
  <c r="BO848" i="7"/>
  <c r="BP848" i="7" s="1"/>
  <c r="BQ848" i="7"/>
  <c r="BT848" i="7" s="1"/>
  <c r="BQ2142" i="7"/>
  <c r="BT2142" i="7" s="1"/>
  <c r="BO2142" i="7"/>
  <c r="BP2142" i="7" s="1"/>
  <c r="BO1086" i="7"/>
  <c r="BP1086" i="7" s="1"/>
  <c r="BQ1086" i="7"/>
  <c r="BT1086" i="7" s="1"/>
  <c r="BO1262" i="7"/>
  <c r="BP1262" i="7" s="1"/>
  <c r="BQ1262" i="7"/>
  <c r="BT1262" i="7" s="1"/>
  <c r="BO970" i="7"/>
  <c r="BP970" i="7" s="1"/>
  <c r="BQ970" i="7"/>
  <c r="BT970" i="7" s="1"/>
  <c r="BO1223" i="7"/>
  <c r="BP1223" i="7" s="1"/>
  <c r="BQ1223" i="7"/>
  <c r="BT1223" i="7" s="1"/>
  <c r="BO1409" i="7"/>
  <c r="BP1409" i="7" s="1"/>
  <c r="BQ1409" i="7"/>
  <c r="BT1409" i="7" s="1"/>
  <c r="BO1244" i="7"/>
  <c r="BP1244" i="7" s="1"/>
  <c r="BQ1244" i="7"/>
  <c r="BT1244" i="7" s="1"/>
  <c r="BO661" i="7"/>
  <c r="BP661" i="7" s="1"/>
  <c r="BQ661" i="7"/>
  <c r="BT661" i="7" s="1"/>
  <c r="BO1051" i="7"/>
  <c r="BP1051" i="7" s="1"/>
  <c r="BQ1051" i="7"/>
  <c r="BT1051" i="7" s="1"/>
  <c r="BO17" i="7"/>
  <c r="BP17" i="7" s="1"/>
  <c r="BQ17" i="7"/>
  <c r="BT17" i="7" s="1"/>
  <c r="BQ1025" i="7"/>
  <c r="BT1025" i="7" s="1"/>
  <c r="BO1025" i="7"/>
  <c r="BP1025" i="7" s="1"/>
  <c r="BO996" i="7"/>
  <c r="BP996" i="7" s="1"/>
  <c r="BQ996" i="7"/>
  <c r="BT996" i="7" s="1"/>
  <c r="BQ16" i="7"/>
  <c r="BT16" i="7" s="1"/>
  <c r="BO16" i="7"/>
  <c r="BP16" i="7" s="1"/>
  <c r="BO68" i="8"/>
  <c r="BQ2228" i="7"/>
  <c r="BT2228" i="7" s="1"/>
  <c r="BO2228" i="7"/>
  <c r="BP2228" i="7" s="1"/>
  <c r="BO2225" i="7"/>
  <c r="BQ2225" i="7"/>
  <c r="BT2225" i="7" s="1"/>
  <c r="BQ604" i="7"/>
  <c r="BT604" i="7" s="1"/>
  <c r="BO604" i="7"/>
  <c r="BN217" i="7"/>
  <c r="BN98" i="8"/>
  <c r="BO1912" i="7"/>
  <c r="BP1912" i="7" s="1"/>
  <c r="BQ1912" i="7"/>
  <c r="BT1912" i="7" s="1"/>
  <c r="BQ677" i="7"/>
  <c r="BT677" i="7" s="1"/>
  <c r="BO677" i="7"/>
  <c r="BP677" i="7" s="1"/>
  <c r="BO1483" i="7"/>
  <c r="BP1483" i="7" s="1"/>
  <c r="BQ1483" i="7"/>
  <c r="BT1483" i="7" s="1"/>
  <c r="BO69" i="7"/>
  <c r="BP69" i="7" s="1"/>
  <c r="BQ69" i="7"/>
  <c r="BT69" i="7" s="1"/>
  <c r="BO954" i="7"/>
  <c r="BP954" i="7" s="1"/>
  <c r="BQ954" i="7"/>
  <c r="BT954" i="7" s="1"/>
  <c r="BO1420" i="7"/>
  <c r="BP1420" i="7" s="1"/>
  <c r="BQ1420" i="7"/>
  <c r="BT1420" i="7" s="1"/>
  <c r="BO451" i="7"/>
  <c r="BP451" i="7" s="1"/>
  <c r="BQ451" i="7"/>
  <c r="BT451" i="7" s="1"/>
  <c r="BO1300" i="7"/>
  <c r="BP1300" i="7" s="1"/>
  <c r="BQ1300" i="7"/>
  <c r="BT1300" i="7" s="1"/>
  <c r="BO542" i="7"/>
  <c r="BP542" i="7" s="1"/>
  <c r="BQ542" i="7"/>
  <c r="BT542" i="7" s="1"/>
  <c r="BQ169" i="7"/>
  <c r="BT169" i="7" s="1"/>
  <c r="BO169" i="7"/>
  <c r="BP169" i="7" s="1"/>
  <c r="BO2192" i="7"/>
  <c r="BP2192" i="7" s="1"/>
  <c r="BQ2192" i="7"/>
  <c r="BT2192" i="7" s="1"/>
  <c r="BQ2068" i="7"/>
  <c r="BT2068" i="7" s="1"/>
  <c r="BO2068" i="7"/>
  <c r="BP2068" i="7" s="1"/>
  <c r="BO373" i="7"/>
  <c r="BP373" i="7" s="1"/>
  <c r="BQ373" i="7"/>
  <c r="BT373" i="7" s="1"/>
  <c r="BQ1773" i="7"/>
  <c r="BT1773" i="7" s="1"/>
  <c r="BO1773" i="7"/>
  <c r="BP1773" i="7" s="1"/>
  <c r="BQ2" i="8"/>
  <c r="BO2" i="8"/>
  <c r="BO823" i="7"/>
  <c r="BQ823" i="7"/>
  <c r="BO1965" i="7"/>
  <c r="BP1965" i="7" s="1"/>
  <c r="BQ1965" i="7"/>
  <c r="BT1965" i="7" s="1"/>
  <c r="BO1137" i="7"/>
  <c r="BP1137" i="7" s="1"/>
  <c r="BQ1137" i="7"/>
  <c r="BT1137" i="7" s="1"/>
  <c r="BN185" i="7"/>
  <c r="BN55" i="8"/>
  <c r="BO751" i="7"/>
  <c r="BP751" i="7" s="1"/>
  <c r="BQ751" i="7"/>
  <c r="BT751" i="7" s="1"/>
  <c r="BO355" i="7"/>
  <c r="BP355" i="7" s="1"/>
  <c r="BQ355" i="7"/>
  <c r="BT355" i="7" s="1"/>
  <c r="BN174" i="7"/>
  <c r="BN29" i="8"/>
  <c r="BO1787" i="7"/>
  <c r="BP1787" i="7" s="1"/>
  <c r="BQ1787" i="7"/>
  <c r="BT1787" i="7" s="1"/>
  <c r="BO1500" i="7"/>
  <c r="BP1500" i="7" s="1"/>
  <c r="BQ1500" i="7"/>
  <c r="BT1500" i="7" s="1"/>
  <c r="BN184" i="7"/>
  <c r="BN54" i="8"/>
  <c r="BO2159" i="7"/>
  <c r="BP2159" i="7" s="1"/>
  <c r="BQ2159" i="7"/>
  <c r="BT2159" i="7" s="1"/>
  <c r="BQ314" i="7"/>
  <c r="BT314" i="7" s="1"/>
  <c r="BO314" i="7"/>
  <c r="BP314" i="7" s="1"/>
  <c r="BO1757" i="7"/>
  <c r="BP1757" i="7" s="1"/>
  <c r="BQ1757" i="7"/>
  <c r="BT1757" i="7" s="1"/>
  <c r="BO365" i="7"/>
  <c r="BP365" i="7" s="1"/>
  <c r="BQ365" i="7"/>
  <c r="BT365" i="7" s="1"/>
  <c r="BO2258" i="7"/>
  <c r="BP2258" i="7" s="1"/>
  <c r="BQ2258" i="7"/>
  <c r="BT2258" i="7" s="1"/>
  <c r="BN409" i="7"/>
  <c r="BN10" i="8"/>
  <c r="BO643" i="7"/>
  <c r="BP643" i="7" s="1"/>
  <c r="BQ643" i="7"/>
  <c r="BT643" i="7" s="1"/>
  <c r="BO1860" i="7"/>
  <c r="BP1860" i="7" s="1"/>
  <c r="BQ1860" i="7"/>
  <c r="BT1860" i="7" s="1"/>
  <c r="BN367" i="7"/>
  <c r="BN18" i="8"/>
  <c r="BQ2236" i="7"/>
  <c r="BT2236" i="7" s="1"/>
  <c r="BO2236" i="7"/>
  <c r="BP2236" i="7" s="1"/>
  <c r="BO1724" i="7"/>
  <c r="BP1724" i="7" s="1"/>
  <c r="BQ1724" i="7"/>
  <c r="BT1724" i="7" s="1"/>
  <c r="BO1609" i="7"/>
  <c r="BP1609" i="7" s="1"/>
  <c r="BQ1609" i="7"/>
  <c r="BT1609" i="7" s="1"/>
  <c r="BQ456" i="7"/>
  <c r="BT456" i="7" s="1"/>
  <c r="BO456" i="7"/>
  <c r="BP456" i="7" s="1"/>
  <c r="BO33" i="8"/>
  <c r="BQ33" i="8"/>
  <c r="BO177" i="7"/>
  <c r="BQ177" i="7"/>
  <c r="BO890" i="7"/>
  <c r="BP890" i="7" s="1"/>
  <c r="BQ890" i="7"/>
  <c r="BT890" i="7" s="1"/>
  <c r="BO2256" i="7"/>
  <c r="BP2256" i="7" s="1"/>
  <c r="BQ2256" i="7"/>
  <c r="BT2256" i="7" s="1"/>
  <c r="BO1976" i="7"/>
  <c r="BP1976" i="7" s="1"/>
  <c r="BQ1976" i="7"/>
  <c r="BT1976" i="7" s="1"/>
  <c r="BO219" i="7"/>
  <c r="BQ93" i="8"/>
  <c r="BO93" i="8"/>
  <c r="BQ219" i="7"/>
  <c r="BO2070" i="7"/>
  <c r="BP2070" i="7" s="1"/>
  <c r="BQ2070" i="7"/>
  <c r="BT2070" i="7" s="1"/>
  <c r="BP1335" i="7"/>
  <c r="BO1257" i="7"/>
  <c r="BP1257" i="7" s="1"/>
  <c r="BQ1257" i="7"/>
  <c r="BT1257" i="7" s="1"/>
  <c r="BO295" i="7"/>
  <c r="BP295" i="7" s="1"/>
  <c r="BQ295" i="7"/>
  <c r="BT295" i="7" s="1"/>
  <c r="BP80" i="7"/>
  <c r="BO1684" i="7"/>
  <c r="BP1684" i="7" s="1"/>
  <c r="BQ1684" i="7"/>
  <c r="BT1684" i="7" s="1"/>
  <c r="BO1608" i="7"/>
  <c r="BP1608" i="7" s="1"/>
  <c r="BQ1608" i="7"/>
  <c r="BT1608" i="7" s="1"/>
  <c r="BP415" i="7"/>
  <c r="BO1916" i="7"/>
  <c r="BP1916" i="7" s="1"/>
  <c r="BQ1916" i="7"/>
  <c r="BT1916" i="7" s="1"/>
  <c r="BP98" i="7"/>
  <c r="BP681" i="7"/>
  <c r="BO106" i="7"/>
  <c r="BP106" i="7" s="1"/>
  <c r="BQ106" i="7"/>
  <c r="BT106" i="7" s="1"/>
  <c r="BQ2264" i="7"/>
  <c r="BT2264" i="7" s="1"/>
  <c r="BO2264" i="7"/>
  <c r="BP2264" i="7" s="1"/>
  <c r="BO26" i="8"/>
  <c r="BQ26" i="8"/>
  <c r="BO178" i="7"/>
  <c r="BQ178" i="7"/>
  <c r="BO1254" i="7"/>
  <c r="BP1254" i="7" s="1"/>
  <c r="BQ1254" i="7"/>
  <c r="BT1254" i="7" s="1"/>
  <c r="BO1428" i="7"/>
  <c r="BP1428" i="7" s="1"/>
  <c r="BQ1428" i="7"/>
  <c r="BT1428" i="7" s="1"/>
  <c r="BO2051" i="7"/>
  <c r="BP2051" i="7" s="1"/>
  <c r="BQ2051" i="7"/>
  <c r="BT2051" i="7" s="1"/>
  <c r="BO603" i="7"/>
  <c r="BP603" i="7" s="1"/>
  <c r="BQ603" i="7"/>
  <c r="BT603" i="7" s="1"/>
  <c r="BQ966" i="7"/>
  <c r="BT966" i="7" s="1"/>
  <c r="BO966" i="7"/>
  <c r="BP966" i="7" s="1"/>
  <c r="BQ1847" i="7"/>
  <c r="BT1847" i="7" s="1"/>
  <c r="BO1847" i="7"/>
  <c r="BP1847" i="7" s="1"/>
  <c r="BO432" i="7"/>
  <c r="BP432" i="7" s="1"/>
  <c r="BQ432" i="7"/>
  <c r="BT432" i="7" s="1"/>
  <c r="BO302" i="7"/>
  <c r="BP302" i="7" s="1"/>
  <c r="BQ302" i="7"/>
  <c r="BT302" i="7" s="1"/>
  <c r="BO2021" i="7"/>
  <c r="BP2021" i="7" s="1"/>
  <c r="BQ2021" i="7"/>
  <c r="BT2021" i="7" s="1"/>
  <c r="BO666" i="7"/>
  <c r="BP666" i="7" s="1"/>
  <c r="BQ666" i="7"/>
  <c r="BT666" i="7" s="1"/>
  <c r="BO2220" i="7"/>
  <c r="BP2220" i="7" s="1"/>
  <c r="BQ2220" i="7"/>
  <c r="BT2220" i="7" s="1"/>
  <c r="BO865" i="7"/>
  <c r="BP865" i="7" s="1"/>
  <c r="BQ865" i="7"/>
  <c r="BT865" i="7" s="1"/>
  <c r="BO1128" i="7"/>
  <c r="BP1128" i="7" s="1"/>
  <c r="BQ1128" i="7"/>
  <c r="BT1128" i="7" s="1"/>
  <c r="BO11" i="7"/>
  <c r="BP11" i="7" s="1"/>
  <c r="BQ11" i="7"/>
  <c r="BT11" i="7" s="1"/>
  <c r="BO820" i="7"/>
  <c r="BP820" i="7" s="1"/>
  <c r="BQ820" i="7"/>
  <c r="BT820" i="7" s="1"/>
  <c r="BO816" i="7"/>
  <c r="BQ816" i="7"/>
  <c r="BT816" i="7" s="1"/>
  <c r="BO2046" i="7"/>
  <c r="BP2046" i="7" s="1"/>
  <c r="BQ2046" i="7"/>
  <c r="BT2046" i="7" s="1"/>
  <c r="BO2092" i="7"/>
  <c r="BP2092" i="7" s="1"/>
  <c r="BQ2092" i="7"/>
  <c r="BT2092" i="7" s="1"/>
  <c r="BO1463" i="7"/>
  <c r="BP1463" i="7" s="1"/>
  <c r="BQ1463" i="7"/>
  <c r="BT1463" i="7" s="1"/>
  <c r="BN111" i="7"/>
  <c r="BN49" i="8"/>
  <c r="BQ96" i="7"/>
  <c r="BT96" i="7" s="1"/>
  <c r="BO96" i="7"/>
  <c r="BQ228" i="7"/>
  <c r="BT228" i="7" s="1"/>
  <c r="BO228" i="7"/>
  <c r="BP228" i="7" s="1"/>
  <c r="BN123" i="7"/>
  <c r="BN104" i="8"/>
  <c r="BO1017" i="7"/>
  <c r="BP1017" i="7" s="1"/>
  <c r="BQ1017" i="7"/>
  <c r="BT1017" i="7" s="1"/>
  <c r="BO1291" i="7"/>
  <c r="BP1291" i="7" s="1"/>
  <c r="BQ1291" i="7"/>
  <c r="BT1291" i="7" s="1"/>
  <c r="BO1885" i="7"/>
  <c r="BP1885" i="7" s="1"/>
  <c r="BQ1885" i="7"/>
  <c r="BT1885" i="7" s="1"/>
  <c r="BO1683" i="7"/>
  <c r="BP1683" i="7" s="1"/>
  <c r="BQ1683" i="7"/>
  <c r="BT1683" i="7" s="1"/>
  <c r="BO1602" i="7"/>
  <c r="BP1602" i="7" s="1"/>
  <c r="BQ1602" i="7"/>
  <c r="BT1602" i="7" s="1"/>
  <c r="BO1850" i="7"/>
  <c r="BP1850" i="7" s="1"/>
  <c r="BQ1850" i="7"/>
  <c r="BT1850" i="7" s="1"/>
  <c r="BO768" i="7"/>
  <c r="BP768" i="7" s="1"/>
  <c r="BQ768" i="7"/>
  <c r="BT768" i="7" s="1"/>
  <c r="BO309" i="7"/>
  <c r="BP309" i="7" s="1"/>
  <c r="BQ309" i="7"/>
  <c r="BT309" i="7" s="1"/>
  <c r="BO2243" i="7"/>
  <c r="BP2243" i="7" s="1"/>
  <c r="BQ2243" i="7"/>
  <c r="BT2243" i="7" s="1"/>
  <c r="BO1397" i="7"/>
  <c r="BP1397" i="7" s="1"/>
  <c r="BQ1397" i="7"/>
  <c r="BT1397" i="7" s="1"/>
  <c r="BQ1643" i="7"/>
  <c r="BT1643" i="7" s="1"/>
  <c r="BO1643" i="7"/>
  <c r="BP1643" i="7" s="1"/>
  <c r="BQ633" i="7"/>
  <c r="BT633" i="7" s="1"/>
  <c r="BO633" i="7"/>
  <c r="BP633" i="7" s="1"/>
  <c r="BO1588" i="7"/>
  <c r="BP1588" i="7" s="1"/>
  <c r="BQ1588" i="7"/>
  <c r="BT1588" i="7" s="1"/>
  <c r="BO2072" i="7"/>
  <c r="BP2072" i="7" s="1"/>
  <c r="BQ2072" i="7"/>
  <c r="BT2072" i="7" s="1"/>
  <c r="BO872" i="7"/>
  <c r="BP872" i="7" s="1"/>
  <c r="BQ872" i="7"/>
  <c r="BT872" i="7" s="1"/>
  <c r="BQ1269" i="7"/>
  <c r="BT1269" i="7" s="1"/>
  <c r="BO1269" i="7"/>
  <c r="BP1269" i="7" s="1"/>
  <c r="BO251" i="7"/>
  <c r="BP251" i="7" s="1"/>
  <c r="BQ251" i="7"/>
  <c r="BT251" i="7" s="1"/>
  <c r="BO722" i="7"/>
  <c r="BP722" i="7" s="1"/>
  <c r="BQ722" i="7"/>
  <c r="BT722" i="7" s="1"/>
  <c r="BO1085" i="7"/>
  <c r="BP1085" i="7" s="1"/>
  <c r="BQ1085" i="7"/>
  <c r="BT1085" i="7" s="1"/>
  <c r="BO824" i="7"/>
  <c r="BP824" i="7" s="1"/>
  <c r="BQ824" i="7"/>
  <c r="BT824" i="7" s="1"/>
  <c r="BO1258" i="7"/>
  <c r="BQ1258" i="7"/>
  <c r="BT1258" i="7" s="1"/>
  <c r="BO335" i="7"/>
  <c r="BP335" i="7" s="1"/>
  <c r="BQ335" i="7"/>
  <c r="BT335" i="7" s="1"/>
  <c r="BQ61" i="7"/>
  <c r="BT61" i="7" s="1"/>
  <c r="BO61" i="7"/>
  <c r="BP61" i="7" s="1"/>
  <c r="BO479" i="7"/>
  <c r="BP479" i="7" s="1"/>
  <c r="BQ479" i="7"/>
  <c r="BT479" i="7" s="1"/>
  <c r="BO1125" i="7"/>
  <c r="BP1125" i="7" s="1"/>
  <c r="BQ1125" i="7"/>
  <c r="BT1125" i="7" s="1"/>
  <c r="BO2181" i="7"/>
  <c r="BP2181" i="7" s="1"/>
  <c r="BQ2181" i="7"/>
  <c r="BT2181" i="7" s="1"/>
  <c r="BO638" i="7"/>
  <c r="BP638" i="7" s="1"/>
  <c r="BQ638" i="7"/>
  <c r="BT638" i="7" s="1"/>
  <c r="BO37" i="8"/>
  <c r="BQ37" i="8"/>
  <c r="BQ175" i="7"/>
  <c r="BO175" i="7"/>
  <c r="BQ1380" i="7"/>
  <c r="BT1380" i="7" s="1"/>
  <c r="BO1380" i="7"/>
  <c r="BP1380" i="7" s="1"/>
  <c r="BO193" i="7"/>
  <c r="BP193" i="7" s="1"/>
  <c r="BQ193" i="7"/>
  <c r="BT193" i="7" s="1"/>
  <c r="BQ1369" i="7"/>
  <c r="BT1369" i="7" s="1"/>
  <c r="BO1369" i="7"/>
  <c r="BP1369" i="7" s="1"/>
  <c r="BO522" i="7"/>
  <c r="BP522" i="7" s="1"/>
  <c r="BQ522" i="7"/>
  <c r="BT522" i="7" s="1"/>
  <c r="BO2010" i="7"/>
  <c r="BP2010" i="7" s="1"/>
  <c r="BQ2010" i="7"/>
  <c r="BT2010" i="7" s="1"/>
  <c r="BO1431" i="7"/>
  <c r="BP1431" i="7" s="1"/>
  <c r="BQ1431" i="7"/>
  <c r="BT1431" i="7" s="1"/>
  <c r="BO1656" i="7"/>
  <c r="BP1656" i="7" s="1"/>
  <c r="BQ1656" i="7"/>
  <c r="BT1656" i="7" s="1"/>
  <c r="BQ1704" i="7"/>
  <c r="BT1704" i="7" s="1"/>
  <c r="BO1704" i="7"/>
  <c r="BP1704" i="7" s="1"/>
  <c r="BO137" i="7"/>
  <c r="BP137" i="7" s="1"/>
  <c r="BQ137" i="7"/>
  <c r="BT137" i="7" s="1"/>
  <c r="BO1126" i="7"/>
  <c r="BP1126" i="7" s="1"/>
  <c r="BQ1126" i="7"/>
  <c r="BT1126" i="7" s="1"/>
  <c r="BO1113" i="7"/>
  <c r="BP1113" i="7" s="1"/>
  <c r="BQ1113" i="7"/>
  <c r="BT1113" i="7" s="1"/>
  <c r="BO1553" i="7"/>
  <c r="BP1553" i="7" s="1"/>
  <c r="BQ1553" i="7"/>
  <c r="BT1553" i="7" s="1"/>
  <c r="BO1725" i="7"/>
  <c r="BP1725" i="7" s="1"/>
  <c r="BQ1725" i="7"/>
  <c r="BT1725" i="7" s="1"/>
  <c r="BO1887" i="7"/>
  <c r="BP1887" i="7" s="1"/>
  <c r="BQ1887" i="7"/>
  <c r="BT1887" i="7" s="1"/>
  <c r="BO1669" i="7"/>
  <c r="BP1669" i="7" s="1"/>
  <c r="BQ1669" i="7"/>
  <c r="BT1669" i="7" s="1"/>
  <c r="BN161" i="7"/>
  <c r="BN42" i="8"/>
  <c r="BO856" i="7"/>
  <c r="BP856" i="7" s="1"/>
  <c r="BQ856" i="7"/>
  <c r="BT856" i="7" s="1"/>
  <c r="BO1345" i="7"/>
  <c r="BP1345" i="7" s="1"/>
  <c r="BQ1345" i="7"/>
  <c r="BT1345" i="7" s="1"/>
  <c r="BO1094" i="7"/>
  <c r="BP1094" i="7" s="1"/>
  <c r="BQ1094" i="7"/>
  <c r="BT1094" i="7" s="1"/>
  <c r="BO1677" i="7"/>
  <c r="BP1677" i="7" s="1"/>
  <c r="BQ1677" i="7"/>
  <c r="BT1677" i="7" s="1"/>
  <c r="BO1879" i="7"/>
  <c r="BP1879" i="7" s="1"/>
  <c r="BQ1879" i="7"/>
  <c r="BT1879" i="7" s="1"/>
  <c r="BO1845" i="7"/>
  <c r="BP1845" i="7" s="1"/>
  <c r="BQ1845" i="7"/>
  <c r="BT1845" i="7" s="1"/>
  <c r="BO235" i="7"/>
  <c r="BP235" i="7" s="1"/>
  <c r="BQ235" i="7"/>
  <c r="BT235" i="7" s="1"/>
  <c r="BQ342" i="7"/>
  <c r="BT342" i="7" s="1"/>
  <c r="BO342" i="7"/>
  <c r="BP342" i="7" s="1"/>
  <c r="BO2" i="7"/>
  <c r="BP2" i="7" s="1"/>
  <c r="BQ2" i="7"/>
  <c r="BT2" i="7" s="1"/>
  <c r="BO1830" i="7"/>
  <c r="BP1830" i="7" s="1"/>
  <c r="BQ1830" i="7"/>
  <c r="BT1830" i="7" s="1"/>
  <c r="BQ1361" i="7"/>
  <c r="BT1361" i="7" s="1"/>
  <c r="BO1361" i="7"/>
  <c r="BP1361" i="7" s="1"/>
  <c r="BO1425" i="7"/>
  <c r="BP1425" i="7" s="1"/>
  <c r="BQ1425" i="7"/>
  <c r="BT1425" i="7" s="1"/>
  <c r="BO1825" i="7"/>
  <c r="BP1825" i="7" s="1"/>
  <c r="BQ1825" i="7"/>
  <c r="BT1825" i="7" s="1"/>
  <c r="BO1338" i="7"/>
  <c r="BP1338" i="7" s="1"/>
  <c r="BQ1338" i="7"/>
  <c r="BT1338" i="7" s="1"/>
  <c r="BO1022" i="7"/>
  <c r="BP1022" i="7" s="1"/>
  <c r="BQ1022" i="7"/>
  <c r="BT1022" i="7" s="1"/>
  <c r="BO1493" i="7"/>
  <c r="BP1493" i="7" s="1"/>
  <c r="BQ1493" i="7"/>
  <c r="BT1493" i="7" s="1"/>
  <c r="BO412" i="7"/>
  <c r="BP412" i="7" s="1"/>
  <c r="BQ412" i="7"/>
  <c r="BT412" i="7" s="1"/>
  <c r="BO906" i="7"/>
  <c r="BP906" i="7" s="1"/>
  <c r="BQ906" i="7"/>
  <c r="BT906" i="7" s="1"/>
  <c r="BO1699" i="7"/>
  <c r="BP1699" i="7" s="1"/>
  <c r="BQ1699" i="7"/>
  <c r="BT1699" i="7" s="1"/>
  <c r="BO1993" i="7"/>
  <c r="BP1993" i="7" s="1"/>
  <c r="BQ1993" i="7"/>
  <c r="BT1993" i="7" s="1"/>
  <c r="BO252" i="7"/>
  <c r="BP252" i="7" s="1"/>
  <c r="BQ252" i="7"/>
  <c r="BT252" i="7" s="1"/>
  <c r="BO539" i="7"/>
  <c r="BP539" i="7" s="1"/>
  <c r="BQ539" i="7"/>
  <c r="BT539" i="7" s="1"/>
  <c r="BO1211" i="7"/>
  <c r="BP1211" i="7" s="1"/>
  <c r="BQ1211" i="7"/>
  <c r="BT1211" i="7" s="1"/>
  <c r="BO1230" i="7"/>
  <c r="BP1230" i="7" s="1"/>
  <c r="BQ1230" i="7"/>
  <c r="BT1230" i="7" s="1"/>
  <c r="BO1429" i="7"/>
  <c r="BP1429" i="7" s="1"/>
  <c r="BQ1429" i="7"/>
  <c r="BT1429" i="7" s="1"/>
  <c r="BO1990" i="7"/>
  <c r="BP1990" i="7" s="1"/>
  <c r="BQ1990" i="7"/>
  <c r="BT1990" i="7" s="1"/>
  <c r="BQ1526" i="7"/>
  <c r="BT1526" i="7" s="1"/>
  <c r="BO1526" i="7"/>
  <c r="BP1526" i="7" s="1"/>
  <c r="BO205" i="7"/>
  <c r="BP205" i="7" s="1"/>
  <c r="BQ205" i="7"/>
  <c r="BT205" i="7" s="1"/>
  <c r="BO1279" i="7"/>
  <c r="BP1279" i="7" s="1"/>
  <c r="BQ1279" i="7"/>
  <c r="BT1279" i="7" s="1"/>
  <c r="BO1360" i="7"/>
  <c r="BP1360" i="7" s="1"/>
  <c r="BQ1360" i="7"/>
  <c r="BT1360" i="7" s="1"/>
  <c r="BO2178" i="7"/>
  <c r="BP2178" i="7" s="1"/>
  <c r="BQ2178" i="7"/>
  <c r="BT2178" i="7" s="1"/>
  <c r="BO411" i="7"/>
  <c r="BP411" i="7" s="1"/>
  <c r="BQ411" i="7"/>
  <c r="BT411" i="7" s="1"/>
  <c r="BO1322" i="7"/>
  <c r="BP1322" i="7" s="1"/>
  <c r="BQ1322" i="7"/>
  <c r="BT1322" i="7" s="1"/>
  <c r="BO525" i="7"/>
  <c r="BP525" i="7" s="1"/>
  <c r="BQ525" i="7"/>
  <c r="BT525" i="7" s="1"/>
  <c r="BO1151" i="7"/>
  <c r="BP1151" i="7" s="1"/>
  <c r="BQ1151" i="7"/>
  <c r="BT1151" i="7" s="1"/>
  <c r="BO243" i="7"/>
  <c r="BP243" i="7" s="1"/>
  <c r="BQ243" i="7"/>
  <c r="BT243" i="7" s="1"/>
  <c r="BO1276" i="7"/>
  <c r="BP1276" i="7" s="1"/>
  <c r="BQ1276" i="7"/>
  <c r="BT1276" i="7" s="1"/>
  <c r="BQ1837" i="7"/>
  <c r="BT1837" i="7" s="1"/>
  <c r="BO1837" i="7"/>
  <c r="BP1837" i="7" s="1"/>
  <c r="BQ1636" i="7"/>
  <c r="BT1636" i="7" s="1"/>
  <c r="BO1636" i="7"/>
  <c r="BP1636" i="7" s="1"/>
  <c r="BO1803" i="7"/>
  <c r="BP1803" i="7" s="1"/>
  <c r="BQ1803" i="7"/>
  <c r="BT1803" i="7" s="1"/>
  <c r="BO822" i="7"/>
  <c r="BP822" i="7" s="1"/>
  <c r="BQ822" i="7"/>
  <c r="BT822" i="7" s="1"/>
  <c r="BN418" i="7"/>
  <c r="BN58" i="8"/>
  <c r="BO833" i="7"/>
  <c r="BP833" i="7" s="1"/>
  <c r="BQ833" i="7"/>
  <c r="BT833" i="7" s="1"/>
  <c r="BO1654" i="7"/>
  <c r="BP1654" i="7" s="1"/>
  <c r="BQ1654" i="7"/>
  <c r="BT1654" i="7" s="1"/>
  <c r="BQ1133" i="7"/>
  <c r="BT1133" i="7" s="1"/>
  <c r="BO1133" i="7"/>
  <c r="BP1133" i="7" s="1"/>
  <c r="BO116" i="7"/>
  <c r="BP116" i="7" s="1"/>
  <c r="BQ116" i="7"/>
  <c r="BT116" i="7" s="1"/>
  <c r="BO140" i="7"/>
  <c r="BP140" i="7" s="1"/>
  <c r="BQ140" i="7"/>
  <c r="BT140" i="7" s="1"/>
  <c r="BP2018" i="7"/>
  <c r="BO701" i="7"/>
  <c r="BP701" i="7" s="1"/>
  <c r="BQ701" i="7"/>
  <c r="BT701" i="7" s="1"/>
  <c r="BO378" i="7"/>
  <c r="BP378" i="7" s="1"/>
  <c r="BQ378" i="7"/>
  <c r="BT378" i="7" s="1"/>
  <c r="BO1777" i="7"/>
  <c r="BP1777" i="7" s="1"/>
  <c r="BQ1777" i="7"/>
  <c r="BT1777" i="7" s="1"/>
  <c r="BO1634" i="7"/>
  <c r="BP1634" i="7" s="1"/>
  <c r="BQ1634" i="7"/>
  <c r="BT1634" i="7" s="1"/>
  <c r="BQ680" i="7"/>
  <c r="BT680" i="7" s="1"/>
  <c r="BO680" i="7"/>
  <c r="BP680" i="7" s="1"/>
  <c r="BN108" i="7"/>
  <c r="BN47" i="8"/>
  <c r="BO787" i="7"/>
  <c r="BP787" i="7" s="1"/>
  <c r="BQ787" i="7"/>
  <c r="BT787" i="7" s="1"/>
  <c r="BP293" i="7"/>
  <c r="BO840" i="7"/>
  <c r="BP840" i="7" s="1"/>
  <c r="BQ840" i="7"/>
  <c r="BT840" i="7" s="1"/>
  <c r="BN112" i="7"/>
  <c r="BN50" i="8"/>
  <c r="BO1102" i="7"/>
  <c r="BP1102" i="7" s="1"/>
  <c r="BQ1102" i="7"/>
  <c r="BT1102" i="7" s="1"/>
  <c r="BN46" i="7"/>
  <c r="BN84" i="8"/>
  <c r="BO606" i="7"/>
  <c r="BP606" i="7" s="1"/>
  <c r="BQ606" i="7"/>
  <c r="BT606" i="7" s="1"/>
  <c r="BO7" i="8"/>
  <c r="BO382" i="7"/>
  <c r="BQ382" i="7"/>
  <c r="BQ7" i="8"/>
  <c r="BQ4" i="8"/>
  <c r="BO4" i="8"/>
  <c r="BO384" i="7"/>
  <c r="BQ384" i="7"/>
  <c r="BO119" i="7"/>
  <c r="BP119" i="7" s="1"/>
  <c r="BQ119" i="7"/>
  <c r="BT119" i="7" s="1"/>
  <c r="BP1453" i="7"/>
  <c r="BO2067" i="7"/>
  <c r="BP2067" i="7" s="1"/>
  <c r="BQ2067" i="7"/>
  <c r="BT2067" i="7" s="1"/>
  <c r="BO1648" i="7"/>
  <c r="BP1648" i="7" s="1"/>
  <c r="BQ1648" i="7"/>
  <c r="BT1648" i="7" s="1"/>
  <c r="BO982" i="7"/>
  <c r="BP982" i="7" s="1"/>
  <c r="BQ982" i="7"/>
  <c r="BT982" i="7" s="1"/>
  <c r="BP565" i="7"/>
  <c r="BO53" i="8"/>
  <c r="BQ53" i="8"/>
  <c r="BO182" i="7"/>
  <c r="BQ182" i="7"/>
  <c r="BO2053" i="7"/>
  <c r="BP2053" i="7" s="1"/>
  <c r="BQ2053" i="7"/>
  <c r="BT2053" i="7" s="1"/>
  <c r="BO646" i="7"/>
  <c r="BP646" i="7" s="1"/>
  <c r="BQ646" i="7"/>
  <c r="BT646" i="7" s="1"/>
  <c r="BO1145" i="7"/>
  <c r="BP1145" i="7" s="1"/>
  <c r="BQ1145" i="7"/>
  <c r="BT1145" i="7" s="1"/>
  <c r="BO1540" i="7"/>
  <c r="BP1540" i="7" s="1"/>
  <c r="BQ1540" i="7"/>
  <c r="BT1540" i="7" s="1"/>
  <c r="BO1931" i="7"/>
  <c r="BP1931" i="7" s="1"/>
  <c r="BQ1931" i="7"/>
  <c r="BT1931" i="7" s="1"/>
  <c r="BO1686" i="7"/>
  <c r="BP1686" i="7" s="1"/>
  <c r="BQ1686" i="7"/>
  <c r="BT1686" i="7" s="1"/>
  <c r="BQ590" i="7"/>
  <c r="BT590" i="7" s="1"/>
  <c r="BO590" i="7"/>
  <c r="BP590" i="7" s="1"/>
  <c r="BO513" i="7"/>
  <c r="BP513" i="7" s="1"/>
  <c r="BQ513" i="7"/>
  <c r="BT513" i="7" s="1"/>
  <c r="BO2162" i="7"/>
  <c r="BP2162" i="7" s="1"/>
  <c r="BQ2162" i="7"/>
  <c r="BT2162" i="7" s="1"/>
  <c r="BQ1512" i="7"/>
  <c r="BT1512" i="7" s="1"/>
  <c r="BO1512" i="7"/>
  <c r="BP1512" i="7" s="1"/>
  <c r="BP2225" i="7"/>
  <c r="BP604" i="7"/>
  <c r="BO1451" i="7"/>
  <c r="BP1451" i="7" s="1"/>
  <c r="BQ1451" i="7"/>
  <c r="BT1451" i="7" s="1"/>
  <c r="BO98" i="8"/>
  <c r="BQ98" i="8"/>
  <c r="BO217" i="7"/>
  <c r="BQ217" i="7"/>
  <c r="BO862" i="7"/>
  <c r="BP862" i="7" s="1"/>
  <c r="BQ862" i="7"/>
  <c r="BT862" i="7" s="1"/>
  <c r="BO1150" i="7"/>
  <c r="BP1150" i="7" s="1"/>
  <c r="BQ1150" i="7"/>
  <c r="BT1150" i="7" s="1"/>
  <c r="BO1614" i="7"/>
  <c r="BP1614" i="7" s="1"/>
  <c r="BQ1614" i="7"/>
  <c r="BT1614" i="7" s="1"/>
  <c r="BO873" i="7"/>
  <c r="BP873" i="7" s="1"/>
  <c r="BQ873" i="7"/>
  <c r="BT873" i="7" s="1"/>
  <c r="BO1060" i="7"/>
  <c r="BP1060" i="7" s="1"/>
  <c r="BQ1060" i="7"/>
  <c r="BT1060" i="7" s="1"/>
  <c r="BO1048" i="7"/>
  <c r="BP1048" i="7" s="1"/>
  <c r="BQ1048" i="7"/>
  <c r="BT1048" i="7" s="1"/>
  <c r="BN823" i="7"/>
  <c r="BN2" i="8"/>
  <c r="BO79" i="8"/>
  <c r="BQ79" i="8"/>
  <c r="BO40" i="7"/>
  <c r="BQ40" i="7"/>
  <c r="BQ1696" i="7"/>
  <c r="BT1696" i="7" s="1"/>
  <c r="BO1696" i="7"/>
  <c r="BP1696" i="7" s="1"/>
  <c r="BO1445" i="7"/>
  <c r="BP1445" i="7" s="1"/>
  <c r="BQ1445" i="7"/>
  <c r="BT1445" i="7" s="1"/>
  <c r="BO1087" i="7"/>
  <c r="BP1087" i="7" s="1"/>
  <c r="BQ1087" i="7"/>
  <c r="BT1087" i="7" s="1"/>
  <c r="BO1384" i="7"/>
  <c r="BP1384" i="7" s="1"/>
  <c r="BQ1384" i="7"/>
  <c r="BT1384" i="7" s="1"/>
  <c r="BQ74" i="8"/>
  <c r="BO74" i="8"/>
  <c r="BO35" i="7"/>
  <c r="BQ35" i="7"/>
  <c r="BO2234" i="7"/>
  <c r="BP2234" i="7" s="1"/>
  <c r="BQ2234" i="7"/>
  <c r="BT2234" i="7" s="1"/>
  <c r="BO744" i="7"/>
  <c r="BP744" i="7" s="1"/>
  <c r="BQ744" i="7"/>
  <c r="BT744" i="7" s="1"/>
  <c r="BO857" i="7"/>
  <c r="BP857" i="7" s="1"/>
  <c r="BQ857" i="7"/>
  <c r="BT857" i="7" s="1"/>
  <c r="BO434" i="7"/>
  <c r="BP434" i="7" s="1"/>
  <c r="BQ434" i="7"/>
  <c r="BT434" i="7" s="1"/>
  <c r="BQ845" i="7"/>
  <c r="BT845" i="7" s="1"/>
  <c r="BO845" i="7"/>
  <c r="BP845" i="7" s="1"/>
  <c r="BO1947" i="7"/>
  <c r="BP1947" i="7" s="1"/>
  <c r="BQ1947" i="7"/>
  <c r="BT1947" i="7" s="1"/>
  <c r="BO298" i="7"/>
  <c r="BP298" i="7" s="1"/>
  <c r="BQ298" i="7"/>
  <c r="BT298" i="7" s="1"/>
  <c r="BQ143" i="7"/>
  <c r="BT143" i="7" s="1"/>
  <c r="BO143" i="7"/>
  <c r="BP143" i="7" s="1"/>
  <c r="BO1627" i="7"/>
  <c r="BP1627" i="7" s="1"/>
  <c r="BQ1627" i="7"/>
  <c r="BT1627" i="7" s="1"/>
  <c r="BO705" i="7"/>
  <c r="BP705" i="7" s="1"/>
  <c r="BQ705" i="7"/>
  <c r="BT705" i="7" s="1"/>
  <c r="BQ684" i="7"/>
  <c r="BT684" i="7" s="1"/>
  <c r="BO684" i="7"/>
  <c r="BP684" i="7" s="1"/>
  <c r="BO1403" i="7"/>
  <c r="BP1403" i="7" s="1"/>
  <c r="BQ1403" i="7"/>
  <c r="BT1403" i="7" s="1"/>
  <c r="BO2111" i="7"/>
  <c r="BP2111" i="7" s="1"/>
  <c r="BQ2111" i="7"/>
  <c r="BT2111" i="7" s="1"/>
  <c r="BQ584" i="7"/>
  <c r="BT584" i="7" s="1"/>
  <c r="BO584" i="7"/>
  <c r="BP584" i="7" s="1"/>
  <c r="BO1446" i="7"/>
  <c r="BP1446" i="7" s="1"/>
  <c r="BQ1446" i="7"/>
  <c r="BT1446" i="7" s="1"/>
  <c r="BO1599" i="7"/>
  <c r="BP1599" i="7" s="1"/>
  <c r="BQ1599" i="7"/>
  <c r="BT1599" i="7" s="1"/>
  <c r="BO2102" i="7"/>
  <c r="BP2102" i="7" s="1"/>
  <c r="BQ2102" i="7"/>
  <c r="BT2102" i="7" s="1"/>
  <c r="BO1762" i="7"/>
  <c r="BP1762" i="7" s="1"/>
  <c r="BQ1762" i="7"/>
  <c r="BT1762" i="7" s="1"/>
  <c r="BO1416" i="7"/>
  <c r="BQ1416" i="7"/>
  <c r="BT1416" i="7" s="1"/>
  <c r="BO692" i="7"/>
  <c r="BP692" i="7" s="1"/>
  <c r="BQ692" i="7"/>
  <c r="BT692" i="7" s="1"/>
  <c r="BO1583" i="7"/>
  <c r="BP1583" i="7" s="1"/>
  <c r="BQ1583" i="7"/>
  <c r="BT1583" i="7" s="1"/>
  <c r="BQ81" i="7"/>
  <c r="BT81" i="7" s="1"/>
  <c r="BO81" i="7"/>
  <c r="BP81" i="7" s="1"/>
  <c r="BO1963" i="7"/>
  <c r="BP1963" i="7" s="1"/>
  <c r="BQ1963" i="7"/>
  <c r="BT1963" i="7" s="1"/>
  <c r="BO1005" i="7"/>
  <c r="BQ1005" i="7"/>
  <c r="BT1005" i="7" s="1"/>
  <c r="BQ753" i="7"/>
  <c r="BT753" i="7" s="1"/>
  <c r="BO753" i="7"/>
  <c r="BO547" i="7"/>
  <c r="BP547" i="7" s="1"/>
  <c r="BQ547" i="7"/>
  <c r="BT547" i="7" s="1"/>
  <c r="BO428" i="7"/>
  <c r="BP428" i="7" s="1"/>
  <c r="BQ428" i="7"/>
  <c r="BT428" i="7" s="1"/>
  <c r="BQ1827" i="7"/>
  <c r="BT1827" i="7" s="1"/>
  <c r="BO1827" i="7"/>
  <c r="BP1827" i="7" s="1"/>
  <c r="BO306" i="7"/>
  <c r="BP306" i="7" s="1"/>
  <c r="BQ306" i="7"/>
  <c r="BT306" i="7" s="1"/>
  <c r="BQ1502" i="7"/>
  <c r="BT1502" i="7" s="1"/>
  <c r="BO1502" i="7"/>
  <c r="BP1502" i="7" s="1"/>
  <c r="BO789" i="7"/>
  <c r="BP789" i="7" s="1"/>
  <c r="BQ789" i="7"/>
  <c r="BT789" i="7" s="1"/>
  <c r="BO1513" i="7"/>
  <c r="BP1513" i="7" s="1"/>
  <c r="BQ1513" i="7"/>
  <c r="BT1513" i="7" s="1"/>
  <c r="BO59" i="8"/>
  <c r="BQ59" i="8"/>
  <c r="BO419" i="7"/>
  <c r="BQ419" i="7"/>
  <c r="BQ631" i="7"/>
  <c r="BT631" i="7" s="1"/>
  <c r="BO631" i="7"/>
  <c r="BP631" i="7" s="1"/>
  <c r="BO56" i="7"/>
  <c r="BP56" i="7" s="1"/>
  <c r="BQ56" i="7"/>
  <c r="BT56" i="7" s="1"/>
  <c r="BO1070" i="7"/>
  <c r="BP1070" i="7" s="1"/>
  <c r="BQ1070" i="7"/>
  <c r="BT1070" i="7" s="1"/>
  <c r="BO1304" i="7"/>
  <c r="BQ1304" i="7"/>
  <c r="BT1304" i="7" s="1"/>
  <c r="BQ67" i="7"/>
  <c r="BT67" i="7" s="1"/>
  <c r="BO67" i="7"/>
  <c r="BP67" i="7" s="1"/>
  <c r="BO1207" i="7"/>
  <c r="BP1207" i="7" s="1"/>
  <c r="BQ1207" i="7"/>
  <c r="BT1207" i="7" s="1"/>
  <c r="BO2106" i="7"/>
  <c r="BP2106" i="7" s="1"/>
  <c r="BQ2106" i="7"/>
  <c r="BT2106" i="7" s="1"/>
  <c r="BO1914" i="7"/>
  <c r="BP1914" i="7" s="1"/>
  <c r="BQ1914" i="7"/>
  <c r="BT1914" i="7" s="1"/>
  <c r="BO287" i="7"/>
  <c r="BP287" i="7" s="1"/>
  <c r="BQ287" i="7"/>
  <c r="BT287" i="7" s="1"/>
  <c r="BO2121" i="7"/>
  <c r="BP2121" i="7" s="1"/>
  <c r="BQ2121" i="7"/>
  <c r="BT2121" i="7" s="1"/>
  <c r="BO626" i="7"/>
  <c r="BP626" i="7" s="1"/>
  <c r="BQ626" i="7"/>
  <c r="BT626" i="7" s="1"/>
  <c r="BQ1363" i="7"/>
  <c r="BT1363" i="7" s="1"/>
  <c r="BO1363" i="7"/>
  <c r="BP1363" i="7" s="1"/>
  <c r="BQ2230" i="7"/>
  <c r="BT2230" i="7" s="1"/>
  <c r="BO2230" i="7"/>
  <c r="BP2230" i="7" s="1"/>
  <c r="BO2193" i="7"/>
  <c r="BP2193" i="7" s="1"/>
  <c r="BQ2193" i="7"/>
  <c r="BT2193" i="7" s="1"/>
  <c r="BO226" i="7"/>
  <c r="BP226" i="7" s="1"/>
  <c r="BQ226" i="7"/>
  <c r="BT226" i="7" s="1"/>
  <c r="BO1266" i="7"/>
  <c r="BP1266" i="7" s="1"/>
  <c r="BQ1266" i="7"/>
  <c r="BT1266" i="7" s="1"/>
  <c r="BO268" i="7"/>
  <c r="BP268" i="7" s="1"/>
  <c r="BQ268" i="7"/>
  <c r="BT268" i="7" s="1"/>
  <c r="BO1737" i="7"/>
  <c r="BP1737" i="7" s="1"/>
  <c r="BQ1737" i="7"/>
  <c r="BT1737" i="7" s="1"/>
  <c r="BO199" i="7"/>
  <c r="BP199" i="7" s="1"/>
  <c r="BQ199" i="7"/>
  <c r="BT199" i="7" s="1"/>
  <c r="BO1487" i="7"/>
  <c r="BP1487" i="7" s="1"/>
  <c r="BQ1487" i="7"/>
  <c r="BT1487" i="7" s="1"/>
  <c r="BO1901" i="7"/>
  <c r="BP1901" i="7" s="1"/>
  <c r="BQ1901" i="7"/>
  <c r="BT1901" i="7" s="1"/>
  <c r="BO76" i="8"/>
  <c r="BQ76" i="8"/>
  <c r="BO37" i="7"/>
  <c r="BQ37" i="7"/>
  <c r="BO159" i="7"/>
  <c r="BP159" i="7" s="1"/>
  <c r="BQ159" i="7"/>
  <c r="BT159" i="7" s="1"/>
  <c r="BO475" i="7"/>
  <c r="BP475" i="7" s="1"/>
  <c r="BQ475" i="7"/>
  <c r="BT475" i="7" s="1"/>
  <c r="BO30" i="7"/>
  <c r="BO69" i="8"/>
  <c r="BQ30" i="7"/>
  <c r="BQ69" i="8"/>
  <c r="BO2104" i="7"/>
  <c r="BP2104" i="7" s="1"/>
  <c r="BQ2104" i="7"/>
  <c r="BT2104" i="7" s="1"/>
  <c r="BO1177" i="7"/>
  <c r="BP1177" i="7" s="1"/>
  <c r="BQ1177" i="7"/>
  <c r="BT1177" i="7" s="1"/>
  <c r="BQ1330" i="7"/>
  <c r="BT1330" i="7" s="1"/>
  <c r="BO1330" i="7"/>
  <c r="BP1330" i="7" s="1"/>
  <c r="BO1690" i="7"/>
  <c r="BP1690" i="7" s="1"/>
  <c r="BQ1690" i="7"/>
  <c r="BT1690" i="7" s="1"/>
  <c r="BQ1989" i="7"/>
  <c r="BT1989" i="7" s="1"/>
  <c r="BO1989" i="7"/>
  <c r="BP1989" i="7" s="1"/>
  <c r="BO1816" i="7"/>
  <c r="BP1816" i="7" s="1"/>
  <c r="BQ1816" i="7"/>
  <c r="BT1816" i="7" s="1"/>
  <c r="BO1946" i="7"/>
  <c r="BP1946" i="7" s="1"/>
  <c r="BQ1946" i="7"/>
  <c r="BT1946" i="7" s="1"/>
  <c r="BO1164" i="7"/>
  <c r="BP1164" i="7" s="1"/>
  <c r="BQ1164" i="7"/>
  <c r="BT1164" i="7" s="1"/>
  <c r="BP816" i="7"/>
  <c r="BQ49" i="8"/>
  <c r="BQ111" i="7"/>
  <c r="BO49" i="8"/>
  <c r="BO111" i="7"/>
  <c r="BQ1149" i="7"/>
  <c r="BT1149" i="7" s="1"/>
  <c r="BO1149" i="7"/>
  <c r="BP1149" i="7" s="1"/>
  <c r="BP96" i="7"/>
  <c r="BO940" i="7"/>
  <c r="BP940" i="7" s="1"/>
  <c r="BQ940" i="7"/>
  <c r="BT940" i="7" s="1"/>
  <c r="BO1615" i="7"/>
  <c r="BP1615" i="7" s="1"/>
  <c r="BQ1615" i="7"/>
  <c r="BT1615" i="7" s="1"/>
  <c r="BO1650" i="7"/>
  <c r="BP1650" i="7" s="1"/>
  <c r="BQ1650" i="7"/>
  <c r="BT1650" i="7" s="1"/>
  <c r="BO1466" i="7"/>
  <c r="BP1466" i="7" s="1"/>
  <c r="BQ1466" i="7"/>
  <c r="BT1466" i="7" s="1"/>
  <c r="BP1258" i="7"/>
  <c r="BO1760" i="7"/>
  <c r="BP1760" i="7" s="1"/>
  <c r="BQ1760" i="7"/>
  <c r="BT1760" i="7" s="1"/>
  <c r="BO1739" i="7"/>
  <c r="BP1739" i="7" s="1"/>
  <c r="BQ1739" i="7"/>
  <c r="BT1739" i="7" s="1"/>
  <c r="BO1392" i="7"/>
  <c r="BP1392" i="7" s="1"/>
  <c r="BQ1392" i="7"/>
  <c r="BT1392" i="7" s="1"/>
  <c r="BN175" i="7"/>
  <c r="BN37" i="8"/>
  <c r="BO1473" i="7"/>
  <c r="BP1473" i="7" s="1"/>
  <c r="BQ1473" i="7"/>
  <c r="BT1473" i="7" s="1"/>
  <c r="BO1041" i="7"/>
  <c r="BP1041" i="7" s="1"/>
  <c r="BQ1041" i="7"/>
  <c r="BT1041" i="7" s="1"/>
  <c r="BO1100" i="7"/>
  <c r="BP1100" i="7" s="1"/>
  <c r="BQ1100" i="7"/>
  <c r="BT1100" i="7" s="1"/>
  <c r="BO1971" i="7"/>
  <c r="BP1971" i="7" s="1"/>
  <c r="BQ1971" i="7"/>
  <c r="BT1971" i="7" s="1"/>
  <c r="BO1719" i="7"/>
  <c r="BP1719" i="7" s="1"/>
  <c r="BQ1719" i="7"/>
  <c r="BT1719" i="7" s="1"/>
  <c r="BQ2033" i="7"/>
  <c r="BT2033" i="7" s="1"/>
  <c r="BO2033" i="7"/>
  <c r="BP2033" i="7" s="1"/>
  <c r="BO430" i="7"/>
  <c r="BP430" i="7" s="1"/>
  <c r="BQ430" i="7"/>
  <c r="BT430" i="7" s="1"/>
  <c r="BO1882" i="7"/>
  <c r="BP1882" i="7" s="1"/>
  <c r="BQ1882" i="7"/>
  <c r="BT1882" i="7" s="1"/>
  <c r="BQ1481" i="7"/>
  <c r="BT1481" i="7" s="1"/>
  <c r="BO1481" i="7"/>
  <c r="BP1481" i="7" s="1"/>
  <c r="BO1521" i="7"/>
  <c r="BP1521" i="7" s="1"/>
  <c r="BQ1521" i="7"/>
  <c r="BT1521" i="7" s="1"/>
  <c r="BQ566" i="7"/>
  <c r="BT566" i="7" s="1"/>
  <c r="BO566" i="7"/>
  <c r="BP566" i="7" s="1"/>
  <c r="BO1720" i="7"/>
  <c r="BP1720" i="7" s="1"/>
  <c r="BQ1720" i="7"/>
  <c r="BT1720" i="7" s="1"/>
  <c r="BO8" i="7"/>
  <c r="BP8" i="7" s="1"/>
  <c r="BQ8" i="7"/>
  <c r="BT8" i="7" s="1"/>
  <c r="BO1477" i="7"/>
  <c r="BP1477" i="7" s="1"/>
  <c r="BQ1477" i="7"/>
  <c r="BT1477" i="7" s="1"/>
  <c r="BO1163" i="7"/>
  <c r="BP1163" i="7" s="1"/>
  <c r="BQ1163" i="7"/>
  <c r="BT1163" i="7" s="1"/>
  <c r="BO639" i="7"/>
  <c r="BP639" i="7" s="1"/>
  <c r="BQ639" i="7"/>
  <c r="BT639" i="7" s="1"/>
  <c r="BO2191" i="7"/>
  <c r="BP2191" i="7" s="1"/>
  <c r="BQ2191" i="7"/>
  <c r="BT2191" i="7" s="1"/>
  <c r="BO1749" i="7"/>
  <c r="BP1749" i="7" s="1"/>
  <c r="BQ1749" i="7"/>
  <c r="BT1749" i="7" s="1"/>
  <c r="BO917" i="7"/>
  <c r="BP917" i="7" s="1"/>
  <c r="BQ917" i="7"/>
  <c r="BT917" i="7" s="1"/>
  <c r="BO928" i="7"/>
  <c r="BP928" i="7" s="1"/>
  <c r="BQ928" i="7"/>
  <c r="BT928" i="7" s="1"/>
  <c r="BQ1121" i="7"/>
  <c r="BT1121" i="7" s="1"/>
  <c r="BO1121" i="7"/>
  <c r="BP1121" i="7" s="1"/>
  <c r="BQ1158" i="7"/>
  <c r="BT1158" i="7" s="1"/>
  <c r="BO1158" i="7"/>
  <c r="BP1158" i="7" s="1"/>
  <c r="BQ1806" i="7"/>
  <c r="BT1806" i="7" s="1"/>
  <c r="BO1806" i="7"/>
  <c r="BP1806" i="7" s="1"/>
  <c r="BQ1783" i="7"/>
  <c r="BT1783" i="7" s="1"/>
  <c r="BO1783" i="7"/>
  <c r="BP1783" i="7" s="1"/>
  <c r="BQ1525" i="7"/>
  <c r="BT1525" i="7" s="1"/>
  <c r="BO1525" i="7"/>
  <c r="BP1525" i="7" s="1"/>
  <c r="BQ1127" i="7"/>
  <c r="BT1127" i="7" s="1"/>
  <c r="BO1127" i="7"/>
  <c r="BP1127" i="7" s="1"/>
  <c r="BO1941" i="7"/>
  <c r="BP1941" i="7" s="1"/>
  <c r="BQ1941" i="7"/>
  <c r="BT1941" i="7" s="1"/>
  <c r="BO1721" i="7"/>
  <c r="BP1721" i="7" s="1"/>
  <c r="BS1721" i="7" s="1"/>
  <c r="BQ1721" i="7"/>
  <c r="BT1721" i="7" s="1"/>
  <c r="BO628" i="7"/>
  <c r="BP628" i="7" s="1"/>
  <c r="BQ628" i="7"/>
  <c r="BT628" i="7" s="1"/>
  <c r="BO1612" i="7"/>
  <c r="BP1612" i="7" s="1"/>
  <c r="BQ1612" i="7"/>
  <c r="BT1612" i="7" s="1"/>
  <c r="BO1469" i="7"/>
  <c r="BP1469" i="7" s="1"/>
  <c r="BQ1469" i="7"/>
  <c r="BT1469" i="7" s="1"/>
  <c r="BO1921" i="7"/>
  <c r="BP1921" i="7" s="1"/>
  <c r="BQ1921" i="7"/>
  <c r="BT1921" i="7" s="1"/>
  <c r="BN2122" i="7"/>
  <c r="BN15" i="8"/>
  <c r="BO1786" i="7"/>
  <c r="BP1786" i="7" s="1"/>
  <c r="BQ1786" i="7"/>
  <c r="BT1786" i="7" s="1"/>
  <c r="BO1400" i="7"/>
  <c r="BP1400" i="7" s="1"/>
  <c r="BQ1400" i="7"/>
  <c r="BT1400" i="7" s="1"/>
  <c r="BO496" i="7"/>
  <c r="BP496" i="7" s="1"/>
  <c r="BQ496" i="7"/>
  <c r="BT496" i="7" s="1"/>
  <c r="BO847" i="7"/>
  <c r="BP847" i="7" s="1"/>
  <c r="BQ847" i="7"/>
  <c r="BT847" i="7" s="1"/>
  <c r="BO1600" i="7"/>
  <c r="BP1600" i="7" s="1"/>
  <c r="BQ1600" i="7"/>
  <c r="BT1600" i="7" s="1"/>
  <c r="BO67" i="8"/>
  <c r="BQ67" i="8"/>
  <c r="BQ28" i="7"/>
  <c r="BO28" i="7"/>
  <c r="BO2028" i="7"/>
  <c r="BP2028" i="7" s="1"/>
  <c r="BQ2028" i="7"/>
  <c r="BT2028" i="7" s="1"/>
  <c r="BO1909" i="7"/>
  <c r="BP1909" i="7" s="1"/>
  <c r="BQ1909" i="7"/>
  <c r="BT1909" i="7" s="1"/>
  <c r="BO2141" i="7"/>
  <c r="BP2141" i="7" s="1"/>
  <c r="BQ2141" i="7"/>
  <c r="BT2141" i="7" s="1"/>
  <c r="BO353" i="7"/>
  <c r="BP353" i="7" s="1"/>
  <c r="BQ353" i="7"/>
  <c r="BT353" i="7" s="1"/>
  <c r="BO1331" i="7"/>
  <c r="BP1331" i="7" s="1"/>
  <c r="BQ1331" i="7"/>
  <c r="BT1331" i="7" s="1"/>
  <c r="BO417" i="7"/>
  <c r="BP417" i="7" s="1"/>
  <c r="BQ417" i="7"/>
  <c r="BT417" i="7" s="1"/>
  <c r="BO958" i="7"/>
  <c r="BP958" i="7" s="1"/>
  <c r="BQ958" i="7"/>
  <c r="BT958" i="7" s="1"/>
  <c r="BQ1826" i="7"/>
  <c r="BT1826" i="7" s="1"/>
  <c r="BO1826" i="7"/>
  <c r="BP1826" i="7" s="1"/>
  <c r="BO2169" i="7"/>
  <c r="BP2169" i="7" s="1"/>
  <c r="BQ2169" i="7"/>
  <c r="BT2169" i="7" s="1"/>
  <c r="BO1956" i="7"/>
  <c r="BP1956" i="7" s="1"/>
  <c r="BQ1956" i="7"/>
  <c r="BT1956" i="7" s="1"/>
  <c r="BO1357" i="7"/>
  <c r="BP1357" i="7" s="1"/>
  <c r="BQ1357" i="7"/>
  <c r="BT1357" i="7" s="1"/>
  <c r="BQ1959" i="7"/>
  <c r="BT1959" i="7" s="1"/>
  <c r="BO1959" i="7"/>
  <c r="BP1959" i="7" s="1"/>
  <c r="BO485" i="7"/>
  <c r="BP485" i="7" s="1"/>
  <c r="BQ485" i="7"/>
  <c r="BT485" i="7" s="1"/>
  <c r="BO325" i="7"/>
  <c r="BP325" i="7" s="1"/>
  <c r="BQ325" i="7"/>
  <c r="BT325" i="7" s="1"/>
  <c r="BQ1908" i="7"/>
  <c r="BT1908" i="7" s="1"/>
  <c r="BO1908" i="7"/>
  <c r="BP1908" i="7" s="1"/>
  <c r="BO2174" i="7"/>
  <c r="BP2174" i="7" s="1"/>
  <c r="BQ2174" i="7"/>
  <c r="BT2174" i="7" s="1"/>
  <c r="BO554" i="7"/>
  <c r="BP554" i="7" s="1"/>
  <c r="BQ554" i="7"/>
  <c r="BT554" i="7" s="1"/>
  <c r="BO2173" i="7"/>
  <c r="BP2173" i="7" s="1"/>
  <c r="BQ2173" i="7"/>
  <c r="BT2173" i="7" s="1"/>
  <c r="BO1450" i="7"/>
  <c r="BP1450" i="7" s="1"/>
  <c r="BQ1450" i="7"/>
  <c r="BT1450" i="7" s="1"/>
  <c r="BO747" i="7"/>
  <c r="BP747" i="7" s="1"/>
  <c r="BQ747" i="7"/>
  <c r="BT747" i="7" s="1"/>
  <c r="BO961" i="7"/>
  <c r="BP961" i="7" s="1"/>
  <c r="BQ961" i="7"/>
  <c r="BT961" i="7" s="1"/>
  <c r="BO2171" i="7"/>
  <c r="BP2171" i="7" s="1"/>
  <c r="BQ2171" i="7"/>
  <c r="BT2171" i="7" s="1"/>
  <c r="BO741" i="7"/>
  <c r="BP741" i="7" s="1"/>
  <c r="BQ741" i="7"/>
  <c r="BT741" i="7" s="1"/>
  <c r="BQ1736" i="7"/>
  <c r="BT1736" i="7" s="1"/>
  <c r="BO1736" i="7"/>
  <c r="BP1736" i="7" s="1"/>
  <c r="BQ2248" i="7"/>
  <c r="BT2248" i="7" s="1"/>
  <c r="BO2248" i="7"/>
  <c r="BP2248" i="7" s="1"/>
  <c r="BO1010" i="7"/>
  <c r="BP1010" i="7" s="1"/>
  <c r="BQ1010" i="7"/>
  <c r="BT1010" i="7" s="1"/>
  <c r="BO2278" i="7"/>
  <c r="BP2278" i="7" s="1"/>
  <c r="BQ2278" i="7"/>
  <c r="BT2278" i="7" s="1"/>
  <c r="BO879" i="7"/>
  <c r="BP879" i="7" s="1"/>
  <c r="BQ879" i="7"/>
  <c r="BT879" i="7" s="1"/>
  <c r="BO1576" i="7"/>
  <c r="BP1576" i="7" s="1"/>
  <c r="BQ1576" i="7"/>
  <c r="BT1576" i="7" s="1"/>
  <c r="BO896" i="7"/>
  <c r="BP896" i="7" s="1"/>
  <c r="BQ896" i="7"/>
  <c r="BT896" i="7" s="1"/>
  <c r="BO340" i="7"/>
  <c r="BP340" i="7" s="1"/>
  <c r="BQ340" i="7"/>
  <c r="BT340" i="7" s="1"/>
  <c r="BO2202" i="7"/>
  <c r="BP2202" i="7" s="1"/>
  <c r="BQ2202" i="7"/>
  <c r="BT2202" i="7" s="1"/>
  <c r="BO1306" i="7"/>
  <c r="BP1306" i="7" s="1"/>
  <c r="BQ1306" i="7"/>
  <c r="BT1306" i="7" s="1"/>
  <c r="BO1162" i="7"/>
  <c r="BP1162" i="7" s="1"/>
  <c r="BQ1162" i="7"/>
  <c r="BT1162" i="7" s="1"/>
  <c r="BO2223" i="7"/>
  <c r="BP2223" i="7" s="1"/>
  <c r="BQ2223" i="7"/>
  <c r="BT2223" i="7" s="1"/>
  <c r="BQ919" i="7"/>
  <c r="BT919" i="7" s="1"/>
  <c r="BO919" i="7"/>
  <c r="BP919" i="7" s="1"/>
  <c r="BN41" i="7"/>
  <c r="BP80" i="8" s="1"/>
  <c r="BN80" i="8"/>
  <c r="BO1098" i="7"/>
  <c r="BP1098" i="7" s="1"/>
  <c r="BQ1098" i="7"/>
  <c r="BT1098" i="7" s="1"/>
  <c r="BO1878" i="7"/>
  <c r="BP1878" i="7" s="1"/>
  <c r="BQ1878" i="7"/>
  <c r="BT1878" i="7" s="1"/>
  <c r="BO1862" i="7"/>
  <c r="BP1862" i="7" s="1"/>
  <c r="BQ1862" i="7"/>
  <c r="BT1862" i="7" s="1"/>
  <c r="BO2098" i="7"/>
  <c r="BP2098" i="7" s="1"/>
  <c r="BQ2098" i="7"/>
  <c r="BT2098" i="7" s="1"/>
  <c r="BO1580" i="7"/>
  <c r="BP1580" i="7" s="1"/>
  <c r="BQ1580" i="7"/>
  <c r="BT1580" i="7" s="1"/>
  <c r="BQ2034" i="7"/>
  <c r="BT2034" i="7" s="1"/>
  <c r="BO2034" i="7"/>
  <c r="BP2034" i="7" s="1"/>
  <c r="BO1014" i="7"/>
  <c r="BP1014" i="7" s="1"/>
  <c r="BQ1014" i="7"/>
  <c r="BT1014" i="7" s="1"/>
  <c r="BO877" i="7"/>
  <c r="BP877" i="7" s="1"/>
  <c r="BQ877" i="7"/>
  <c r="BT877" i="7" s="1"/>
  <c r="BO390" i="7"/>
  <c r="BP390" i="7" s="1"/>
  <c r="BQ390" i="7"/>
  <c r="BT390" i="7" s="1"/>
  <c r="BQ2212" i="7"/>
  <c r="BT2212" i="7" s="1"/>
  <c r="BO2212" i="7"/>
  <c r="BP2212" i="7" s="1"/>
  <c r="BO1746" i="7"/>
  <c r="BP1746" i="7" s="1"/>
  <c r="BQ1746" i="7"/>
  <c r="BT1746" i="7" s="1"/>
  <c r="BO559" i="7"/>
  <c r="BP559" i="7" s="1"/>
  <c r="BQ559" i="7"/>
  <c r="BT559" i="7" s="1"/>
  <c r="BO1891" i="7"/>
  <c r="BP1891" i="7" s="1"/>
  <c r="BQ1891" i="7"/>
  <c r="BT1891" i="7" s="1"/>
  <c r="BO2255" i="7"/>
  <c r="BP2255" i="7" s="1"/>
  <c r="BQ2255" i="7"/>
  <c r="BT2255" i="7" s="1"/>
  <c r="BO1717" i="7"/>
  <c r="BP1717" i="7" s="1"/>
  <c r="BQ1717" i="7"/>
  <c r="BT1717" i="7" s="1"/>
  <c r="BO1871" i="7"/>
  <c r="BP1871" i="7" s="1"/>
  <c r="BQ1871" i="7"/>
  <c r="BT1871" i="7" s="1"/>
  <c r="BO609" i="7"/>
  <c r="BP609" i="7" s="1"/>
  <c r="BQ609" i="7"/>
  <c r="BT609" i="7" s="1"/>
  <c r="BO1651" i="7"/>
  <c r="BP1651" i="7" s="1"/>
  <c r="BQ1651" i="7"/>
  <c r="BT1651" i="7" s="1"/>
  <c r="BO346" i="7"/>
  <c r="BP346" i="7" s="1"/>
  <c r="BQ346" i="7"/>
  <c r="BT346" i="7" s="1"/>
  <c r="BO2041" i="7"/>
  <c r="BP2041" i="7" s="1"/>
  <c r="BQ2041" i="7"/>
  <c r="BT2041" i="7" s="1"/>
  <c r="BO1616" i="7"/>
  <c r="BP1616" i="7" s="1"/>
  <c r="BQ1616" i="7"/>
  <c r="BT1616" i="7" s="1"/>
  <c r="BO1570" i="7"/>
  <c r="BP1570" i="7" s="1"/>
  <c r="BQ1570" i="7"/>
  <c r="BT1570" i="7" s="1"/>
  <c r="BO2170" i="7"/>
  <c r="BP2170" i="7" s="1"/>
  <c r="BQ2170" i="7"/>
  <c r="BT2170" i="7" s="1"/>
  <c r="BO288" i="7"/>
  <c r="BP288" i="7" s="1"/>
  <c r="BQ288" i="7"/>
  <c r="BT288" i="7" s="1"/>
  <c r="BO360" i="7"/>
  <c r="BP360" i="7" s="1"/>
  <c r="BQ360" i="7"/>
  <c r="BT360" i="7" s="1"/>
  <c r="BO894" i="7"/>
  <c r="BP894" i="7" s="1"/>
  <c r="BQ894" i="7"/>
  <c r="BT894" i="7" s="1"/>
  <c r="BO1410" i="7"/>
  <c r="BP1410" i="7" s="1"/>
  <c r="BQ1410" i="7"/>
  <c r="BT1410" i="7" s="1"/>
  <c r="BO553" i="7"/>
  <c r="BP553" i="7" s="1"/>
  <c r="BQ553" i="7"/>
  <c r="BT553" i="7" s="1"/>
  <c r="BO644" i="7"/>
  <c r="BP644" i="7" s="1"/>
  <c r="BQ644" i="7"/>
  <c r="BT644" i="7" s="1"/>
  <c r="BQ1287" i="7"/>
  <c r="BT1287" i="7" s="1"/>
  <c r="BO1287" i="7"/>
  <c r="BP1287" i="7" s="1"/>
  <c r="BO1165" i="7"/>
  <c r="BP1165" i="7" s="1"/>
  <c r="BQ1165" i="7"/>
  <c r="BT1165" i="7" s="1"/>
  <c r="BN40" i="7"/>
  <c r="BN79" i="8"/>
  <c r="BO2242" i="7"/>
  <c r="BP2242" i="7" s="1"/>
  <c r="BQ2242" i="7"/>
  <c r="BT2242" i="7" s="1"/>
  <c r="BN35" i="7"/>
  <c r="BN74" i="8"/>
  <c r="BO1105" i="7"/>
  <c r="BP1105" i="7" s="1"/>
  <c r="BQ1105" i="7"/>
  <c r="BT1105" i="7" s="1"/>
  <c r="BO1460" i="7"/>
  <c r="BP1460" i="7" s="1"/>
  <c r="BQ1460" i="7"/>
  <c r="BT1460" i="7" s="1"/>
  <c r="BO1778" i="7"/>
  <c r="BP1778" i="7" s="1"/>
  <c r="BQ1778" i="7"/>
  <c r="BT1778" i="7" s="1"/>
  <c r="BO147" i="7"/>
  <c r="BP147" i="7" s="1"/>
  <c r="BQ147" i="7"/>
  <c r="BT147" i="7" s="1"/>
  <c r="BO1364" i="7"/>
  <c r="BP1364" i="7" s="1"/>
  <c r="BQ1364" i="7"/>
  <c r="BT1364" i="7" s="1"/>
  <c r="BO1123" i="7"/>
  <c r="BP1123" i="7" s="1"/>
  <c r="BQ1123" i="7"/>
  <c r="BT1123" i="7" s="1"/>
  <c r="BO509" i="7"/>
  <c r="BP509" i="7" s="1"/>
  <c r="BQ509" i="7"/>
  <c r="BT509" i="7" s="1"/>
  <c r="BO1340" i="7"/>
  <c r="BP1340" i="7" s="1"/>
  <c r="BQ1340" i="7"/>
  <c r="BT1340" i="7" s="1"/>
  <c r="BO591" i="7"/>
  <c r="BP591" i="7" s="1"/>
  <c r="BQ591" i="7"/>
  <c r="BT591" i="7" s="1"/>
  <c r="BO1021" i="7"/>
  <c r="BP1021" i="7" s="1"/>
  <c r="BQ1021" i="7"/>
  <c r="BT1021" i="7" s="1"/>
  <c r="BQ1986" i="7"/>
  <c r="BT1986" i="7" s="1"/>
  <c r="BO1986" i="7"/>
  <c r="BP1986" i="7" s="1"/>
  <c r="BO3" i="8"/>
  <c r="BQ3" i="8"/>
  <c r="BO381" i="7"/>
  <c r="BQ381" i="7"/>
  <c r="BO830" i="7"/>
  <c r="BP830" i="7" s="1"/>
  <c r="BQ830" i="7"/>
  <c r="BT830" i="7" s="1"/>
  <c r="BN222" i="7"/>
  <c r="BN94" i="8"/>
  <c r="BP1416" i="7"/>
  <c r="BQ557" i="7"/>
  <c r="BT557" i="7" s="1"/>
  <c r="BO557" i="7"/>
  <c r="BP557" i="7" s="1"/>
  <c r="BO328" i="7"/>
  <c r="BP328" i="7" s="1"/>
  <c r="BQ328" i="7"/>
  <c r="BT328" i="7" s="1"/>
  <c r="BO1844" i="7"/>
  <c r="BP1844" i="7" s="1"/>
  <c r="BQ1844" i="7"/>
  <c r="BT1844" i="7" s="1"/>
  <c r="BO203" i="7"/>
  <c r="BP203" i="7" s="1"/>
  <c r="BQ203" i="7"/>
  <c r="BT203" i="7" s="1"/>
  <c r="BO1653" i="7"/>
  <c r="BP1653" i="7" s="1"/>
  <c r="BQ1653" i="7"/>
  <c r="BT1653" i="7" s="1"/>
  <c r="BP1005" i="7"/>
  <c r="BP753" i="7"/>
  <c r="BQ334" i="7"/>
  <c r="BT334" i="7" s="1"/>
  <c r="BO334" i="7"/>
  <c r="BP334" i="7" s="1"/>
  <c r="BO777" i="7"/>
  <c r="BP777" i="7" s="1"/>
  <c r="BQ777" i="7"/>
  <c r="BT777" i="7" s="1"/>
  <c r="BN419" i="7"/>
  <c r="BN59" i="8"/>
  <c r="BP1304" i="7"/>
  <c r="BQ1504" i="7"/>
  <c r="BT1504" i="7" s="1"/>
  <c r="BO1504" i="7"/>
  <c r="BP1504" i="7" s="1"/>
  <c r="BO959" i="7"/>
  <c r="BP959" i="7" s="1"/>
  <c r="BQ959" i="7"/>
  <c r="BT959" i="7" s="1"/>
  <c r="BO545" i="7"/>
  <c r="BP545" i="7" s="1"/>
  <c r="BQ545" i="7"/>
  <c r="BT545" i="7" s="1"/>
  <c r="BO1393" i="7"/>
  <c r="BP1393" i="7" s="1"/>
  <c r="BQ1393" i="7"/>
  <c r="BT1393" i="7" s="1"/>
  <c r="BO387" i="7"/>
  <c r="BP387" i="7" s="1"/>
  <c r="BQ387" i="7"/>
  <c r="BT387" i="7" s="1"/>
  <c r="BN37" i="7"/>
  <c r="BN76" i="8"/>
  <c r="BN30" i="7"/>
  <c r="BN69" i="8"/>
  <c r="BO1214" i="7"/>
  <c r="BP1214" i="7" s="1"/>
  <c r="BQ1214" i="7"/>
  <c r="BT1214" i="7" s="1"/>
  <c r="BO483" i="7"/>
  <c r="BP483" i="7" s="1"/>
  <c r="BQ483" i="7"/>
  <c r="BT483" i="7" s="1"/>
  <c r="BO1027" i="7"/>
  <c r="BP1027" i="7" s="1"/>
  <c r="BQ1027" i="7"/>
  <c r="BT1027" i="7" s="1"/>
  <c r="BO1193" i="7"/>
  <c r="BP1193" i="7" s="1"/>
  <c r="BQ1193" i="7"/>
  <c r="BT1193" i="7" s="1"/>
  <c r="BN1867" i="7"/>
  <c r="BN14" i="8"/>
  <c r="BO1228" i="7"/>
  <c r="BP1228" i="7" s="1"/>
  <c r="BQ1228" i="7"/>
  <c r="BT1228" i="7" s="1"/>
  <c r="BO978" i="7"/>
  <c r="BP978" i="7" s="1"/>
  <c r="BQ978" i="7"/>
  <c r="BT978" i="7" s="1"/>
  <c r="BQ1093" i="7"/>
  <c r="BT1093" i="7" s="1"/>
  <c r="BO1093" i="7"/>
  <c r="BP1093" i="7" s="1"/>
  <c r="BO1692" i="7"/>
  <c r="BP1692" i="7" s="1"/>
  <c r="BQ1692" i="7"/>
  <c r="BT1692" i="7" s="1"/>
  <c r="BO1567" i="7"/>
  <c r="BP1567" i="7" s="1"/>
  <c r="BQ1567" i="7"/>
  <c r="BT1567" i="7" s="1"/>
  <c r="BO1456" i="7"/>
  <c r="BP1456" i="7" s="1"/>
  <c r="BQ1456" i="7"/>
  <c r="BT1456" i="7" s="1"/>
  <c r="BQ588" i="7"/>
  <c r="BT588" i="7" s="1"/>
  <c r="BO588" i="7"/>
  <c r="BP588" i="7" s="1"/>
  <c r="BO1780" i="7"/>
  <c r="BP1780" i="7" s="1"/>
  <c r="BQ1780" i="7"/>
  <c r="BT1780" i="7" s="1"/>
  <c r="BQ25" i="8"/>
  <c r="BO25" i="8"/>
  <c r="BO179" i="7"/>
  <c r="BQ179" i="7"/>
  <c r="BO1388" i="7"/>
  <c r="BP1388" i="7" s="1"/>
  <c r="BQ1388" i="7"/>
  <c r="BT1388" i="7" s="1"/>
  <c r="BO1288" i="7"/>
  <c r="BP1288" i="7" s="1"/>
  <c r="BQ1288" i="7"/>
  <c r="BT1288" i="7" s="1"/>
  <c r="BO337" i="7"/>
  <c r="BP337" i="7" s="1"/>
  <c r="BQ337" i="7"/>
  <c r="BT337" i="7" s="1"/>
  <c r="BO867" i="7"/>
  <c r="BP867" i="7" s="1"/>
  <c r="BQ867" i="7"/>
  <c r="BT867" i="7" s="1"/>
  <c r="BO580" i="7"/>
  <c r="BP580" i="7" s="1"/>
  <c r="BQ580" i="7"/>
  <c r="BT580" i="7" s="1"/>
  <c r="BO188" i="7"/>
  <c r="BQ101" i="8"/>
  <c r="BO101" i="8"/>
  <c r="BQ188" i="7"/>
  <c r="BO623" i="7"/>
  <c r="BP623" i="7" s="1"/>
  <c r="BQ623" i="7"/>
  <c r="BT623" i="7" s="1"/>
  <c r="BO1597" i="7"/>
  <c r="BP1597" i="7" s="1"/>
  <c r="BQ1597" i="7"/>
  <c r="BT1597" i="7" s="1"/>
  <c r="BO636" i="7"/>
  <c r="BP636" i="7" s="1"/>
  <c r="BQ636" i="7"/>
  <c r="BT636" i="7" s="1"/>
  <c r="BO1659" i="7"/>
  <c r="BP1659" i="7" s="1"/>
  <c r="BQ1659" i="7"/>
  <c r="BT1659" i="7" s="1"/>
  <c r="BO728" i="7"/>
  <c r="BP728" i="7" s="1"/>
  <c r="BQ728" i="7"/>
  <c r="BT728" i="7" s="1"/>
  <c r="BO1641" i="7"/>
  <c r="BP1641" i="7" s="1"/>
  <c r="BQ1641" i="7"/>
  <c r="BT1641" i="7" s="1"/>
  <c r="BQ718" i="7"/>
  <c r="BT718" i="7" s="1"/>
  <c r="BO718" i="7"/>
  <c r="BP718" i="7" s="1"/>
  <c r="BO673" i="7"/>
  <c r="BP673" i="7" s="1"/>
  <c r="BQ673" i="7"/>
  <c r="BT673" i="7" s="1"/>
  <c r="BO195" i="7"/>
  <c r="BP195" i="7" s="1"/>
  <c r="BQ195" i="7"/>
  <c r="BT195" i="7" s="1"/>
  <c r="BQ951" i="7"/>
  <c r="BT951" i="7" s="1"/>
  <c r="BO951" i="7"/>
  <c r="BP951" i="7" s="1"/>
  <c r="BO2002" i="7"/>
  <c r="BP2002" i="7" s="1"/>
  <c r="BQ2002" i="7"/>
  <c r="BT2002" i="7" s="1"/>
  <c r="BO2282" i="7"/>
  <c r="BP2282" i="7" s="1"/>
  <c r="BQ2282" i="7"/>
  <c r="BT2282" i="7" s="1"/>
  <c r="BO841" i="7"/>
  <c r="BQ841" i="7"/>
  <c r="BT841" i="7" s="1"/>
  <c r="BO878" i="7"/>
  <c r="BP878" i="7" s="1"/>
  <c r="BQ878" i="7"/>
  <c r="BT878" i="7" s="1"/>
  <c r="BO1522" i="7"/>
  <c r="BP1522" i="7" s="1"/>
  <c r="BQ1522" i="7"/>
  <c r="BT1522" i="7" s="1"/>
  <c r="BO1176" i="7"/>
  <c r="BP1176" i="7" s="1"/>
  <c r="BQ1176" i="7"/>
  <c r="BT1176" i="7" s="1"/>
  <c r="BO338" i="7"/>
  <c r="BP338" i="7" s="1"/>
  <c r="BQ338" i="7"/>
  <c r="BT338" i="7" s="1"/>
  <c r="BQ2105" i="7"/>
  <c r="BT2105" i="7" s="1"/>
  <c r="BO2105" i="7"/>
  <c r="BP2105" i="7" s="1"/>
  <c r="BO257" i="7"/>
  <c r="BP257" i="7" s="1"/>
  <c r="BQ257" i="7"/>
  <c r="BT257" i="7" s="1"/>
  <c r="BQ2040" i="7"/>
  <c r="BT2040" i="7" s="1"/>
  <c r="BO2040" i="7"/>
  <c r="BP2040" i="7" s="1"/>
  <c r="BO901" i="7"/>
  <c r="BP901" i="7" s="1"/>
  <c r="BQ901" i="7"/>
  <c r="BT901" i="7" s="1"/>
  <c r="BN153" i="7"/>
  <c r="BN31" i="8"/>
  <c r="BO2240" i="7"/>
  <c r="BP2240" i="7" s="1"/>
  <c r="BQ2240" i="7"/>
  <c r="BT2240" i="7" s="1"/>
  <c r="BO1459" i="7"/>
  <c r="BP1459" i="7" s="1"/>
  <c r="BQ1459" i="7"/>
  <c r="BT1459" i="7" s="1"/>
  <c r="BQ1969" i="7"/>
  <c r="BT1969" i="7" s="1"/>
  <c r="BO1969" i="7"/>
  <c r="BP1969" i="7" s="1"/>
  <c r="BO1353" i="7"/>
  <c r="BP1353" i="7" s="1"/>
  <c r="BQ1353" i="7"/>
  <c r="BT1353" i="7" s="1"/>
  <c r="BO945" i="7"/>
  <c r="BP945" i="7" s="1"/>
  <c r="BQ945" i="7"/>
  <c r="BT945" i="7" s="1"/>
  <c r="BO2145" i="7"/>
  <c r="BP2145" i="7" s="1"/>
  <c r="BQ2145" i="7"/>
  <c r="BT2145" i="7" s="1"/>
  <c r="BO962" i="7"/>
  <c r="BP962" i="7" s="1"/>
  <c r="BQ962" i="7"/>
  <c r="BT962" i="7" s="1"/>
  <c r="BO416" i="7"/>
  <c r="BP416" i="7" s="1"/>
  <c r="BQ416" i="7"/>
  <c r="BT416" i="7" s="1"/>
  <c r="BO1926" i="7"/>
  <c r="BQ1926" i="7"/>
  <c r="BT1926" i="7" s="1"/>
  <c r="BO1832" i="7"/>
  <c r="BP1832" i="7" s="1"/>
  <c r="BQ1832" i="7"/>
  <c r="BT1832" i="7" s="1"/>
  <c r="BO2160" i="7"/>
  <c r="BP2160" i="7" s="1"/>
  <c r="BQ2160" i="7"/>
  <c r="BT2160" i="7" s="1"/>
  <c r="BO1626" i="7"/>
  <c r="BP1626" i="7" s="1"/>
  <c r="BQ1626" i="7"/>
  <c r="BT1626" i="7" s="1"/>
  <c r="BO1927" i="7"/>
  <c r="BP1927" i="7" s="1"/>
  <c r="BQ1927" i="7"/>
  <c r="BT1927" i="7" s="1"/>
  <c r="BO115" i="7"/>
  <c r="BP115" i="7" s="1"/>
  <c r="BQ115" i="7"/>
  <c r="BT115" i="7" s="1"/>
  <c r="BO1706" i="7"/>
  <c r="BP1706" i="7" s="1"/>
  <c r="BQ1706" i="7"/>
  <c r="BT1706" i="7" s="1"/>
  <c r="BO2069" i="7"/>
  <c r="BP2069" i="7" s="1"/>
  <c r="BQ2069" i="7"/>
  <c r="BT2069" i="7" s="1"/>
  <c r="BO191" i="7"/>
  <c r="BP191" i="7" s="1"/>
  <c r="BQ191" i="7"/>
  <c r="BT191" i="7" s="1"/>
  <c r="BO710" i="7"/>
  <c r="BP710" i="7" s="1"/>
  <c r="BQ710" i="7"/>
  <c r="BT710" i="7" s="1"/>
  <c r="BO18" i="7"/>
  <c r="BP18" i="7" s="1"/>
  <c r="BQ18" i="7"/>
  <c r="BT18" i="7" s="1"/>
  <c r="BO826" i="7"/>
  <c r="BP826" i="7" s="1"/>
  <c r="BQ826" i="7"/>
  <c r="BT826" i="7" s="1"/>
  <c r="BO488" i="7"/>
  <c r="BP488" i="7" s="1"/>
  <c r="BQ488" i="7"/>
  <c r="BT488" i="7" s="1"/>
  <c r="BO435" i="7"/>
  <c r="BP435" i="7" s="1"/>
  <c r="BQ435" i="7"/>
  <c r="BT435" i="7" s="1"/>
  <c r="BQ2157" i="7"/>
  <c r="BT2157" i="7" s="1"/>
  <c r="BO2157" i="7"/>
  <c r="BP2157" i="7" s="1"/>
  <c r="BQ70" i="7"/>
  <c r="BT70" i="7" s="1"/>
  <c r="BO70" i="7"/>
  <c r="BP70" i="7" s="1"/>
  <c r="BO358" i="7"/>
  <c r="BP358" i="7" s="1"/>
  <c r="BQ358" i="7"/>
  <c r="BT358" i="7" s="1"/>
  <c r="BQ1814" i="7"/>
  <c r="BT1814" i="7" s="1"/>
  <c r="BO1814" i="7"/>
  <c r="BP1814" i="7" s="1"/>
  <c r="BO1639" i="7"/>
  <c r="BP1639" i="7" s="1"/>
  <c r="BQ1639" i="7"/>
  <c r="BT1639" i="7" s="1"/>
  <c r="BO2184" i="7"/>
  <c r="BP2184" i="7" s="1"/>
  <c r="BQ2184" i="7"/>
  <c r="BT2184" i="7" s="1"/>
  <c r="BO918" i="7"/>
  <c r="BP918" i="7" s="1"/>
  <c r="BQ918" i="7"/>
  <c r="BT918" i="7" s="1"/>
  <c r="BO1317" i="7"/>
  <c r="BP1317" i="7" s="1"/>
  <c r="BQ1317" i="7"/>
  <c r="BT1317" i="7" s="1"/>
  <c r="BO568" i="7"/>
  <c r="BP568" i="7" s="1"/>
  <c r="BQ568" i="7"/>
  <c r="BT568" i="7" s="1"/>
  <c r="BO247" i="7"/>
  <c r="BQ247" i="7"/>
  <c r="BT247" i="7" s="1"/>
  <c r="BO950" i="7"/>
  <c r="BP950" i="7" s="1"/>
  <c r="BQ950" i="7"/>
  <c r="BT950" i="7" s="1"/>
  <c r="BO2029" i="7"/>
  <c r="BP2029" i="7" s="1"/>
  <c r="BQ2029" i="7"/>
  <c r="BT2029" i="7" s="1"/>
  <c r="BO1951" i="7"/>
  <c r="BP1951" i="7" s="1"/>
  <c r="BQ1951" i="7"/>
  <c r="BT1951" i="7" s="1"/>
  <c r="BO1644" i="7"/>
  <c r="BP1644" i="7" s="1"/>
  <c r="BQ1644" i="7"/>
  <c r="BT1644" i="7" s="1"/>
  <c r="BO176" i="7"/>
  <c r="BO56" i="8"/>
  <c r="BQ56" i="8"/>
  <c r="BQ176" i="7"/>
  <c r="BO465" i="7"/>
  <c r="BP465" i="7" s="1"/>
  <c r="BQ465" i="7"/>
  <c r="BT465" i="7" s="1"/>
  <c r="BO1339" i="7"/>
  <c r="BP1339" i="7" s="1"/>
  <c r="BQ1339" i="7"/>
  <c r="BT1339" i="7" s="1"/>
  <c r="BO886" i="7"/>
  <c r="BP886" i="7" s="1"/>
  <c r="BQ886" i="7"/>
  <c r="BT886" i="7" s="1"/>
  <c r="BO1831" i="7"/>
  <c r="BP1831" i="7" s="1"/>
  <c r="BQ1831" i="7"/>
  <c r="BT1831" i="7" s="1"/>
  <c r="BO1910" i="7"/>
  <c r="BP1910" i="7" s="1"/>
  <c r="BQ1910" i="7"/>
  <c r="BT1910" i="7" s="1"/>
  <c r="BO1857" i="7"/>
  <c r="BP1857" i="7" s="1"/>
  <c r="BQ1857" i="7"/>
  <c r="BT1857" i="7" s="1"/>
  <c r="BO971" i="7"/>
  <c r="BP971" i="7" s="1"/>
  <c r="BQ971" i="7"/>
  <c r="BT971" i="7" s="1"/>
  <c r="BO311" i="7"/>
  <c r="BP311" i="7" s="1"/>
  <c r="BQ311" i="7"/>
  <c r="BT311" i="7" s="1"/>
  <c r="BO1036" i="7"/>
  <c r="BP1036" i="7" s="1"/>
  <c r="BQ1036" i="7"/>
  <c r="BT1036" i="7" s="1"/>
  <c r="BO2009" i="7"/>
  <c r="BP2009" i="7" s="1"/>
  <c r="BQ2009" i="7"/>
  <c r="BT2009" i="7" s="1"/>
  <c r="BO462" i="7"/>
  <c r="BP462" i="7" s="1"/>
  <c r="BQ462" i="7"/>
  <c r="BT462" i="7" s="1"/>
  <c r="BO761" i="7"/>
  <c r="BP761" i="7" s="1"/>
  <c r="BQ761" i="7"/>
  <c r="BT761" i="7" s="1"/>
  <c r="BO85" i="7"/>
  <c r="BP85" i="7" s="1"/>
  <c r="BQ85" i="7"/>
  <c r="BT85" i="7" s="1"/>
  <c r="BO801" i="7"/>
  <c r="BP801" i="7" s="1"/>
  <c r="BQ801" i="7"/>
  <c r="BT801" i="7" s="1"/>
  <c r="BO869" i="7"/>
  <c r="BP869" i="7" s="1"/>
  <c r="BQ869" i="7"/>
  <c r="BT869" i="7" s="1"/>
  <c r="BO1362" i="7"/>
  <c r="BP1362" i="7" s="1"/>
  <c r="BQ1362" i="7"/>
  <c r="BT1362" i="7" s="1"/>
  <c r="BO2283" i="7"/>
  <c r="BP2283" i="7" s="1"/>
  <c r="BQ2283" i="7"/>
  <c r="BT2283" i="7" s="1"/>
  <c r="BO927" i="7"/>
  <c r="BP927" i="7" s="1"/>
  <c r="BQ927" i="7"/>
  <c r="BT927" i="7" s="1"/>
  <c r="BO1563" i="7"/>
  <c r="BP1563" i="7" s="1"/>
  <c r="BQ1563" i="7"/>
  <c r="BT1563" i="7" s="1"/>
  <c r="BO1316" i="7"/>
  <c r="BP1316" i="7" s="1"/>
  <c r="BQ1316" i="7"/>
  <c r="BT1316" i="7" s="1"/>
  <c r="BO1637" i="7"/>
  <c r="BP1637" i="7" s="1"/>
  <c r="BQ1637" i="7"/>
  <c r="BT1637" i="7" s="1"/>
  <c r="BQ44" i="8"/>
  <c r="BO44" i="8"/>
  <c r="BO158" i="7"/>
  <c r="BQ158" i="7"/>
  <c r="BO1277" i="7"/>
  <c r="BP1277" i="7" s="1"/>
  <c r="BQ1277" i="7"/>
  <c r="BT1277" i="7" s="1"/>
  <c r="BO418" i="7"/>
  <c r="BO58" i="8"/>
  <c r="BQ418" i="7"/>
  <c r="BQ58" i="8"/>
  <c r="BO696" i="7"/>
  <c r="BP696" i="7" s="1"/>
  <c r="BQ696" i="7"/>
  <c r="BT696" i="7" s="1"/>
  <c r="BO1711" i="7"/>
  <c r="BP1711" i="7" s="1"/>
  <c r="BQ1711" i="7"/>
  <c r="BT1711" i="7" s="1"/>
  <c r="BO19" i="7"/>
  <c r="BP19" i="7" s="1"/>
  <c r="BQ19" i="7"/>
  <c r="BT19" i="7" s="1"/>
  <c r="BO76" i="7"/>
  <c r="BP76" i="7" s="1"/>
  <c r="BQ76" i="7"/>
  <c r="BT76" i="7" s="1"/>
  <c r="BO530" i="7"/>
  <c r="BP530" i="7" s="1"/>
  <c r="BQ530" i="7"/>
  <c r="BT530" i="7" s="1"/>
  <c r="BO948" i="7"/>
  <c r="BP948" i="7" s="1"/>
  <c r="BQ948" i="7"/>
  <c r="BT948" i="7" s="1"/>
  <c r="BO1775" i="7"/>
  <c r="BP1775" i="7" s="1"/>
  <c r="BQ1775" i="7"/>
  <c r="BT1775" i="7" s="1"/>
  <c r="BO1175" i="7"/>
  <c r="BP1175" i="7" s="1"/>
  <c r="BQ1175" i="7"/>
  <c r="BT1175" i="7" s="1"/>
  <c r="BO1437" i="7"/>
  <c r="BP1437" i="7" s="1"/>
  <c r="BQ1437" i="7"/>
  <c r="BT1437" i="7" s="1"/>
  <c r="BO440" i="7"/>
  <c r="BP440" i="7" s="1"/>
  <c r="BQ440" i="7"/>
  <c r="BT440" i="7" s="1"/>
  <c r="BO15" i="8"/>
  <c r="BQ15" i="8"/>
  <c r="BO2122" i="7"/>
  <c r="BQ2122" i="7"/>
  <c r="BO860" i="7"/>
  <c r="BP860" i="7" s="1"/>
  <c r="BQ860" i="7"/>
  <c r="BT860" i="7" s="1"/>
  <c r="BO6" i="7"/>
  <c r="BP6" i="7" s="1"/>
  <c r="BQ6" i="7"/>
  <c r="BT6" i="7" s="1"/>
  <c r="BO398" i="7"/>
  <c r="BP398" i="7" s="1"/>
  <c r="BQ398" i="7"/>
  <c r="BT398" i="7" s="1"/>
  <c r="BQ2052" i="7"/>
  <c r="BT2052" i="7" s="1"/>
  <c r="BO2052" i="7"/>
  <c r="BP2052" i="7" s="1"/>
  <c r="BO1012" i="7"/>
  <c r="BP1012" i="7" s="1"/>
  <c r="BQ1012" i="7"/>
  <c r="BT1012" i="7" s="1"/>
  <c r="BN28" i="7"/>
  <c r="BN67" i="8"/>
  <c r="BO1726" i="7"/>
  <c r="BP1726" i="7" s="1"/>
  <c r="BQ1726" i="7"/>
  <c r="BT1726" i="7" s="1"/>
  <c r="BO2065" i="7"/>
  <c r="BP2065" i="7" s="1"/>
  <c r="BQ2065" i="7"/>
  <c r="BT2065" i="7" s="1"/>
  <c r="BO102" i="7"/>
  <c r="BP102" i="7" s="1"/>
  <c r="BQ102" i="7"/>
  <c r="BT102" i="7" s="1"/>
  <c r="BO480" i="7"/>
  <c r="BP480" i="7" s="1"/>
  <c r="BQ480" i="7"/>
  <c r="BT480" i="7" s="1"/>
  <c r="BO875" i="7"/>
  <c r="BP875" i="7" s="1"/>
  <c r="BQ875" i="7"/>
  <c r="BT875" i="7" s="1"/>
  <c r="BO237" i="7"/>
  <c r="BP237" i="7" s="1"/>
  <c r="BQ237" i="7"/>
  <c r="BT237" i="7" s="1"/>
  <c r="BO460" i="7"/>
  <c r="BP460" i="7" s="1"/>
  <c r="BQ460" i="7"/>
  <c r="BT460" i="7" s="1"/>
  <c r="BO2110" i="7"/>
  <c r="BP2110" i="7" s="1"/>
  <c r="BQ2110" i="7"/>
  <c r="BT2110" i="7" s="1"/>
  <c r="BQ916" i="7"/>
  <c r="BT916" i="7" s="1"/>
  <c r="BO916" i="7"/>
  <c r="BP916" i="7" s="1"/>
  <c r="BO984" i="7"/>
  <c r="BP984" i="7" s="1"/>
  <c r="BQ984" i="7"/>
  <c r="BT984" i="7" s="1"/>
  <c r="BO771" i="7"/>
  <c r="BP771" i="7" s="1"/>
  <c r="BQ771" i="7"/>
  <c r="BT771" i="7" s="1"/>
  <c r="BO1536" i="7"/>
  <c r="BP1536" i="7" s="1"/>
  <c r="BQ1536" i="7"/>
  <c r="BT1536" i="7" s="1"/>
  <c r="BO610" i="7"/>
  <c r="BP610" i="7" s="1"/>
  <c r="BQ610" i="7"/>
  <c r="BT610" i="7" s="1"/>
  <c r="BO134" i="7"/>
  <c r="BP134" i="7" s="1"/>
  <c r="BQ134" i="7"/>
  <c r="BT134" i="7" s="1"/>
  <c r="BO1680" i="7"/>
  <c r="BP1680" i="7" s="1"/>
  <c r="BQ1680" i="7"/>
  <c r="BT1680" i="7" s="1"/>
  <c r="BO1708" i="7"/>
  <c r="BP1708" i="7" s="1"/>
  <c r="BQ1708" i="7"/>
  <c r="BT1708" i="7" s="1"/>
  <c r="BO743" i="7"/>
  <c r="BP743" i="7" s="1"/>
  <c r="BQ743" i="7"/>
  <c r="BT743" i="7" s="1"/>
  <c r="BO1817" i="7"/>
  <c r="BP1817" i="7" s="1"/>
  <c r="BQ1817" i="7"/>
  <c r="BT1817" i="7" s="1"/>
  <c r="BO1122" i="7"/>
  <c r="BP1122" i="7" s="1"/>
  <c r="BQ1122" i="7"/>
  <c r="BT1122" i="7" s="1"/>
  <c r="BO362" i="7"/>
  <c r="BP362" i="7" s="1"/>
  <c r="BQ362" i="7"/>
  <c r="BT362" i="7" s="1"/>
  <c r="BO2271" i="7"/>
  <c r="BP2271" i="7" s="1"/>
  <c r="BQ2271" i="7"/>
  <c r="BT2271" i="7" s="1"/>
  <c r="BO1687" i="7"/>
  <c r="BP1687" i="7" s="1"/>
  <c r="BQ1687" i="7"/>
  <c r="BT1687" i="7" s="1"/>
  <c r="BO1464" i="7"/>
  <c r="BP1464" i="7" s="1"/>
  <c r="BQ1464" i="7"/>
  <c r="BT1464" i="7" s="1"/>
  <c r="BO1543" i="7"/>
  <c r="BP1543" i="7" s="1"/>
  <c r="BQ1543" i="7"/>
  <c r="BT1543" i="7" s="1"/>
  <c r="BO1082" i="7"/>
  <c r="BP1082" i="7" s="1"/>
  <c r="BQ1082" i="7"/>
  <c r="BT1082" i="7" s="1"/>
  <c r="BO1884" i="7"/>
  <c r="BP1884" i="7" s="1"/>
  <c r="BQ1884" i="7"/>
  <c r="BT1884" i="7" s="1"/>
  <c r="BO1713" i="7"/>
  <c r="BP1713" i="7" s="1"/>
  <c r="BQ1713" i="7"/>
  <c r="BT1713" i="7" s="1"/>
  <c r="BO1764" i="7"/>
  <c r="BP1764" i="7" s="1"/>
  <c r="BQ1764" i="7"/>
  <c r="BT1764" i="7" s="1"/>
  <c r="BO574" i="7"/>
  <c r="BP574" i="7" s="1"/>
  <c r="BQ574" i="7"/>
  <c r="BT574" i="7" s="1"/>
  <c r="BO724" i="7"/>
  <c r="BP724" i="7" s="1"/>
  <c r="BQ724" i="7"/>
  <c r="BT724" i="7" s="1"/>
  <c r="BQ689" i="7"/>
  <c r="BT689" i="7" s="1"/>
  <c r="BO689" i="7"/>
  <c r="BP689" i="7" s="1"/>
  <c r="BO1566" i="7"/>
  <c r="BP1566" i="7" s="1"/>
  <c r="BQ1566" i="7"/>
  <c r="BT1566" i="7" s="1"/>
  <c r="BQ1702" i="7"/>
  <c r="BT1702" i="7" s="1"/>
  <c r="BO1702" i="7"/>
  <c r="BP1702" i="7" s="1"/>
  <c r="BQ45" i="7"/>
  <c r="BT45" i="7" s="1"/>
  <c r="BO45" i="7"/>
  <c r="BP45" i="7" s="1"/>
  <c r="BO1421" i="7"/>
  <c r="BP1421" i="7" s="1"/>
  <c r="BQ1421" i="7"/>
  <c r="BT1421" i="7" s="1"/>
  <c r="BQ68" i="8"/>
  <c r="BO29" i="7"/>
  <c r="BQ29" i="7"/>
  <c r="BO2211" i="7"/>
  <c r="BP2211" i="7" s="1"/>
  <c r="BQ2211" i="7"/>
  <c r="BT2211" i="7" s="1"/>
  <c r="BQ2078" i="7"/>
  <c r="BT2078" i="7" s="1"/>
  <c r="BO2078" i="7"/>
  <c r="BP2078" i="7" s="1"/>
  <c r="BO612" i="7"/>
  <c r="BP612" i="7" s="1"/>
  <c r="BQ612" i="7"/>
  <c r="BT612" i="7" s="1"/>
  <c r="BQ806" i="7"/>
  <c r="BT806" i="7" s="1"/>
  <c r="BO806" i="7"/>
  <c r="BP806" i="7" s="1"/>
  <c r="BO1470" i="7"/>
  <c r="BQ1470" i="7"/>
  <c r="BT1470" i="7" s="1"/>
  <c r="BO1111" i="7"/>
  <c r="BP1111" i="7" s="1"/>
  <c r="BQ1111" i="7"/>
  <c r="BT1111" i="7" s="1"/>
  <c r="BO766" i="7"/>
  <c r="BP766" i="7" s="1"/>
  <c r="BQ766" i="7"/>
  <c r="BT766" i="7" s="1"/>
  <c r="BO2187" i="7"/>
  <c r="BP2187" i="7" s="1"/>
  <c r="BQ2187" i="7"/>
  <c r="BT2187" i="7" s="1"/>
  <c r="BO672" i="7"/>
  <c r="BP672" i="7" s="1"/>
  <c r="BQ672" i="7"/>
  <c r="BT672" i="7" s="1"/>
  <c r="BO1510" i="7"/>
  <c r="BP1510" i="7" s="1"/>
  <c r="BQ1510" i="7"/>
  <c r="BT1510" i="7" s="1"/>
  <c r="BQ1664" i="7"/>
  <c r="BT1664" i="7" s="1"/>
  <c r="BO1664" i="7"/>
  <c r="BP1664" i="7" s="1"/>
  <c r="BO1411" i="7"/>
  <c r="BP1411" i="7" s="1"/>
  <c r="BQ1411" i="7"/>
  <c r="BT1411" i="7" s="1"/>
  <c r="BQ121" i="7"/>
  <c r="BT121" i="7" s="1"/>
  <c r="BO121" i="7"/>
  <c r="BP121" i="7" s="1"/>
  <c r="BO1592" i="7"/>
  <c r="BP1592" i="7" s="1"/>
  <c r="BQ1592" i="7"/>
  <c r="BT1592" i="7" s="1"/>
  <c r="BO650" i="7"/>
  <c r="BP650" i="7" s="1"/>
  <c r="BQ650" i="7"/>
  <c r="BT650" i="7" s="1"/>
  <c r="BQ947" i="7"/>
  <c r="BT947" i="7" s="1"/>
  <c r="BO947" i="7"/>
  <c r="BP947" i="7" s="1"/>
  <c r="BO755" i="7"/>
  <c r="BP755" i="7" s="1"/>
  <c r="BQ755" i="7"/>
  <c r="BT755" i="7" s="1"/>
  <c r="BO2095" i="7"/>
  <c r="BP2095" i="7" s="1"/>
  <c r="BQ2095" i="7"/>
  <c r="BT2095" i="7" s="1"/>
  <c r="BO1992" i="7"/>
  <c r="BP1992" i="7" s="1"/>
  <c r="BQ1992" i="7"/>
  <c r="BT1992" i="7" s="1"/>
  <c r="BO459" i="7"/>
  <c r="BP459" i="7" s="1"/>
  <c r="BQ459" i="7"/>
  <c r="BT459" i="7" s="1"/>
  <c r="BO1408" i="7"/>
  <c r="BP1408" i="7" s="1"/>
  <c r="BQ1408" i="7"/>
  <c r="BT1408" i="7" s="1"/>
  <c r="BN381" i="7"/>
  <c r="BN3" i="8"/>
  <c r="BO1245" i="7"/>
  <c r="BP1245" i="7" s="1"/>
  <c r="BQ1245" i="7"/>
  <c r="BT1245" i="7" s="1"/>
  <c r="BN220" i="7"/>
  <c r="BN96" i="8"/>
  <c r="BO1861" i="7"/>
  <c r="BP1861" i="7" s="1"/>
  <c r="BQ1861" i="7"/>
  <c r="BT1861" i="7" s="1"/>
  <c r="BO2195" i="7"/>
  <c r="BP2195" i="7" s="1"/>
  <c r="BQ2195" i="7"/>
  <c r="BT2195" i="7" s="1"/>
  <c r="BQ1183" i="7"/>
  <c r="BT1183" i="7" s="1"/>
  <c r="BO1183" i="7"/>
  <c r="BP1183" i="7" s="1"/>
  <c r="BO2112" i="7"/>
  <c r="BP2112" i="7" s="1"/>
  <c r="BQ2112" i="7"/>
  <c r="BT2112" i="7" s="1"/>
  <c r="BO618" i="7"/>
  <c r="BP618" i="7" s="1"/>
  <c r="BQ618" i="7"/>
  <c r="BT618" i="7" s="1"/>
  <c r="BO746" i="7"/>
  <c r="BP746" i="7" s="1"/>
  <c r="BQ746" i="7"/>
  <c r="BT746" i="7" s="1"/>
  <c r="BO2056" i="7"/>
  <c r="BP2056" i="7" s="1"/>
  <c r="BQ2056" i="7"/>
  <c r="BT2056" i="7" s="1"/>
  <c r="BQ1206" i="7"/>
  <c r="BT1206" i="7" s="1"/>
  <c r="BO1206" i="7"/>
  <c r="BP1206" i="7" s="1"/>
  <c r="BO991" i="7"/>
  <c r="BP991" i="7" s="1"/>
  <c r="BQ991" i="7"/>
  <c r="BT991" i="7" s="1"/>
  <c r="BO1859" i="7"/>
  <c r="BQ1859" i="7"/>
  <c r="BT1859" i="7" s="1"/>
  <c r="BO1886" i="7"/>
  <c r="BP1886" i="7" s="1"/>
  <c r="BQ1886" i="7"/>
  <c r="BT1886" i="7" s="1"/>
  <c r="BQ71" i="8"/>
  <c r="BO32" i="7"/>
  <c r="BO71" i="8"/>
  <c r="BQ32" i="7"/>
  <c r="BO849" i="7"/>
  <c r="BP849" i="7" s="1"/>
  <c r="BQ849" i="7"/>
  <c r="BT849" i="7" s="1"/>
  <c r="BO1356" i="7"/>
  <c r="BP1356" i="7" s="1"/>
  <c r="BQ1356" i="7"/>
  <c r="BT1356" i="7" s="1"/>
  <c r="BO104" i="7"/>
  <c r="BP104" i="7" s="1"/>
  <c r="BQ104" i="7"/>
  <c r="BT104" i="7" s="1"/>
  <c r="BQ1920" i="7"/>
  <c r="BT1920" i="7" s="1"/>
  <c r="BO1920" i="7"/>
  <c r="BP1920" i="7" s="1"/>
  <c r="BO2035" i="7"/>
  <c r="BP2035" i="7" s="1"/>
  <c r="BQ2035" i="7"/>
  <c r="BT2035" i="7" s="1"/>
  <c r="BO764" i="7"/>
  <c r="BP764" i="7" s="1"/>
  <c r="BQ764" i="7"/>
  <c r="BT764" i="7" s="1"/>
  <c r="BO938" i="7"/>
  <c r="BP938" i="7" s="1"/>
  <c r="BQ938" i="7"/>
  <c r="BT938" i="7" s="1"/>
  <c r="BO1414" i="7"/>
  <c r="BQ1414" i="7"/>
  <c r="BT1414" i="7" s="1"/>
  <c r="BO1198" i="7"/>
  <c r="BP1198" i="7" s="1"/>
  <c r="BQ1198" i="7"/>
  <c r="BT1198" i="7" s="1"/>
  <c r="BO1268" i="7"/>
  <c r="BP1268" i="7" s="1"/>
  <c r="BQ1268" i="7"/>
  <c r="BT1268" i="7" s="1"/>
  <c r="BO1134" i="7"/>
  <c r="BP1134" i="7" s="1"/>
  <c r="BQ1134" i="7"/>
  <c r="BT1134" i="7" s="1"/>
  <c r="BO599" i="7"/>
  <c r="BP599" i="7" s="1"/>
  <c r="BQ599" i="7"/>
  <c r="BT599" i="7" s="1"/>
  <c r="BO729" i="7"/>
  <c r="BP729" i="7" s="1"/>
  <c r="BQ729" i="7"/>
  <c r="BT729" i="7" s="1"/>
  <c r="BO1438" i="7"/>
  <c r="BP1438" i="7" s="1"/>
  <c r="BQ1438" i="7"/>
  <c r="BT1438" i="7" s="1"/>
  <c r="BO1440" i="7"/>
  <c r="BP1440" i="7" s="1"/>
  <c r="BQ1440" i="7"/>
  <c r="BT1440" i="7" s="1"/>
  <c r="BO259" i="7"/>
  <c r="BP259" i="7" s="1"/>
  <c r="BQ259" i="7"/>
  <c r="BT259" i="7" s="1"/>
  <c r="BO1501" i="7"/>
  <c r="BP1501" i="7" s="1"/>
  <c r="BQ1501" i="7"/>
  <c r="BT1501" i="7" s="1"/>
  <c r="BO737" i="7"/>
  <c r="BP737" i="7" s="1"/>
  <c r="BQ737" i="7"/>
  <c r="BT737" i="7" s="1"/>
  <c r="BQ254" i="7"/>
  <c r="BT254" i="7" s="1"/>
  <c r="BO254" i="7"/>
  <c r="BP254" i="7" s="1"/>
  <c r="BO784" i="7"/>
  <c r="BP784" i="7" s="1"/>
  <c r="BQ784" i="7"/>
  <c r="BT784" i="7" s="1"/>
  <c r="BO563" i="7"/>
  <c r="BP563" i="7" s="1"/>
  <c r="BQ563" i="7"/>
  <c r="BT563" i="7" s="1"/>
  <c r="BO275" i="7"/>
  <c r="BP275" i="7" s="1"/>
  <c r="BQ275" i="7"/>
  <c r="BT275" i="7" s="1"/>
  <c r="BQ1848" i="7"/>
  <c r="BT1848" i="7" s="1"/>
  <c r="BO1848" i="7"/>
  <c r="BP1848" i="7" s="1"/>
  <c r="BQ1811" i="7"/>
  <c r="BT1811" i="7" s="1"/>
  <c r="BO1811" i="7"/>
  <c r="BP1811" i="7" s="1"/>
  <c r="BQ2149" i="7"/>
  <c r="BT2149" i="7" s="1"/>
  <c r="BO2149" i="7"/>
  <c r="BP2149" i="7" s="1"/>
  <c r="BQ2060" i="7"/>
  <c r="BT2060" i="7" s="1"/>
  <c r="BO2060" i="7"/>
  <c r="BP2060" i="7" s="1"/>
  <c r="BO921" i="7"/>
  <c r="BP921" i="7" s="1"/>
  <c r="BQ921" i="7"/>
  <c r="BT921" i="7" s="1"/>
  <c r="BO1341" i="7"/>
  <c r="BP1341" i="7" s="1"/>
  <c r="BQ1341" i="7"/>
  <c r="BT1341" i="7" s="1"/>
  <c r="BO331" i="7"/>
  <c r="BP331" i="7" s="1"/>
  <c r="BQ331" i="7"/>
  <c r="BT331" i="7" s="1"/>
  <c r="BQ514" i="7"/>
  <c r="BT514" i="7" s="1"/>
  <c r="BO514" i="7"/>
  <c r="BP514" i="7" s="1"/>
  <c r="BQ1675" i="7"/>
  <c r="BT1675" i="7" s="1"/>
  <c r="BO1675" i="7"/>
  <c r="BP1675" i="7" s="1"/>
  <c r="BO1346" i="7"/>
  <c r="BP1346" i="7" s="1"/>
  <c r="BQ1346" i="7"/>
  <c r="BT1346" i="7" s="1"/>
  <c r="BO667" i="7"/>
  <c r="BP667" i="7" s="1"/>
  <c r="BQ667" i="7"/>
  <c r="BT667" i="7" s="1"/>
  <c r="BO1744" i="7"/>
  <c r="BP1744" i="7" s="1"/>
  <c r="BQ1744" i="7"/>
  <c r="BT1744" i="7" s="1"/>
  <c r="BQ1631" i="7"/>
  <c r="BT1631" i="7" s="1"/>
  <c r="BO1631" i="7"/>
  <c r="BP1631" i="7" s="1"/>
  <c r="BO14" i="8"/>
  <c r="BQ14" i="8"/>
  <c r="BO1867" i="7"/>
  <c r="BQ1867" i="7"/>
  <c r="BO627" i="7"/>
  <c r="BP627" i="7" s="1"/>
  <c r="BQ627" i="7"/>
  <c r="BT627" i="7" s="1"/>
  <c r="BO1135" i="7"/>
  <c r="BP1135" i="7" s="1"/>
  <c r="BQ1135" i="7"/>
  <c r="BT1135" i="7" s="1"/>
  <c r="BO1407" i="7"/>
  <c r="BP1407" i="7" s="1"/>
  <c r="BQ1407" i="7"/>
  <c r="BT1407" i="7" s="1"/>
  <c r="BN179" i="7"/>
  <c r="BN25" i="8"/>
  <c r="BO238" i="7"/>
  <c r="BP238" i="7" s="1"/>
  <c r="BQ238" i="7"/>
  <c r="BT238" i="7" s="1"/>
  <c r="BQ1789" i="7"/>
  <c r="BT1789" i="7" s="1"/>
  <c r="BO1789" i="7"/>
  <c r="BP1789" i="7" s="1"/>
  <c r="BN188" i="7"/>
  <c r="BN101" i="8"/>
  <c r="BO528" i="7"/>
  <c r="BP528" i="7" s="1"/>
  <c r="BQ528" i="7"/>
  <c r="BT528" i="7" s="1"/>
  <c r="BO1104" i="7"/>
  <c r="BP1104" i="7" s="1"/>
  <c r="BQ1104" i="7"/>
  <c r="BT1104" i="7" s="1"/>
  <c r="BO2246" i="7"/>
  <c r="BP2246" i="7" s="1"/>
  <c r="BQ2246" i="7"/>
  <c r="BT2246" i="7" s="1"/>
  <c r="BO516" i="7"/>
  <c r="BP516" i="7" s="1"/>
  <c r="BQ516" i="7"/>
  <c r="BT516" i="7" s="1"/>
  <c r="BO2251" i="7"/>
  <c r="BP2251" i="7" s="1"/>
  <c r="BQ2251" i="7"/>
  <c r="BT2251" i="7" s="1"/>
  <c r="BO575" i="7"/>
  <c r="BP575" i="7" s="1"/>
  <c r="BQ575" i="7"/>
  <c r="BT575" i="7" s="1"/>
  <c r="BO711" i="7"/>
  <c r="BP711" i="7" s="1"/>
  <c r="BQ711" i="7"/>
  <c r="BT711" i="7" s="1"/>
  <c r="BO715" i="7"/>
  <c r="BP715" i="7" s="1"/>
  <c r="BQ715" i="7"/>
  <c r="BT715" i="7" s="1"/>
  <c r="BO1232" i="7"/>
  <c r="BP1232" i="7" s="1"/>
  <c r="BQ1232" i="7"/>
  <c r="BT1232" i="7" s="1"/>
  <c r="BO1611" i="7"/>
  <c r="BP1611" i="7" s="1"/>
  <c r="BQ1611" i="7"/>
  <c r="BT1611" i="7" s="1"/>
  <c r="BO1172" i="7"/>
  <c r="BP1172" i="7" s="1"/>
  <c r="BQ1172" i="7"/>
  <c r="BT1172" i="7" s="1"/>
  <c r="BP841" i="7"/>
  <c r="BQ31" i="8"/>
  <c r="BQ153" i="7"/>
  <c r="BO31" i="8"/>
  <c r="BO153" i="7"/>
  <c r="BP1926" i="7"/>
  <c r="BO494" i="7"/>
  <c r="BP494" i="7" s="1"/>
  <c r="BQ494" i="7"/>
  <c r="BT494" i="7" s="1"/>
  <c r="BO730" i="7"/>
  <c r="BP730" i="7" s="1"/>
  <c r="BQ730" i="7"/>
  <c r="BT730" i="7" s="1"/>
  <c r="BO320" i="7"/>
  <c r="BP320" i="7" s="1"/>
  <c r="BQ320" i="7"/>
  <c r="BT320" i="7" s="1"/>
  <c r="BO1763" i="7"/>
  <c r="BP1763" i="7" s="1"/>
  <c r="BQ1763" i="7"/>
  <c r="BT1763" i="7" s="1"/>
  <c r="BQ1197" i="7"/>
  <c r="BT1197" i="7" s="1"/>
  <c r="BO1197" i="7"/>
  <c r="BP1197" i="7" s="1"/>
  <c r="BO1883" i="7"/>
  <c r="BP1883" i="7" s="1"/>
  <c r="BQ1883" i="7"/>
  <c r="BT1883" i="7" s="1"/>
  <c r="BO347" i="7"/>
  <c r="BP347" i="7" s="1"/>
  <c r="BQ347" i="7"/>
  <c r="BT347" i="7" s="1"/>
  <c r="BO932" i="7"/>
  <c r="BP932" i="7" s="1"/>
  <c r="BQ932" i="7"/>
  <c r="BT932" i="7" s="1"/>
  <c r="BO1236" i="7"/>
  <c r="BP1236" i="7" s="1"/>
  <c r="BQ1236" i="7"/>
  <c r="BT1236" i="7" s="1"/>
  <c r="BO2213" i="7"/>
  <c r="BP2213" i="7" s="1"/>
  <c r="BQ2213" i="7"/>
  <c r="BT2213" i="7" s="1"/>
  <c r="BO548" i="7"/>
  <c r="BP548" i="7" s="1"/>
  <c r="BQ548" i="7"/>
  <c r="BT548" i="7" s="1"/>
  <c r="BO1678" i="7"/>
  <c r="BP1678" i="7" s="1"/>
  <c r="BQ1678" i="7"/>
  <c r="BT1678" i="7" s="1"/>
  <c r="BO779" i="7"/>
  <c r="BP779" i="7" s="1"/>
  <c r="BQ779" i="7"/>
  <c r="BT779" i="7" s="1"/>
  <c r="BO234" i="7"/>
  <c r="BP234" i="7" s="1"/>
  <c r="BQ234" i="7"/>
  <c r="BT234" i="7" s="1"/>
  <c r="BO1294" i="7"/>
  <c r="BP1294" i="7" s="1"/>
  <c r="BQ1294" i="7"/>
  <c r="BT1294" i="7" s="1"/>
  <c r="BO402" i="7"/>
  <c r="BP402" i="7" s="1"/>
  <c r="BQ402" i="7"/>
  <c r="BT402" i="7" s="1"/>
  <c r="BP247" i="7"/>
  <c r="BO453" i="7"/>
  <c r="BP453" i="7" s="1"/>
  <c r="BQ453" i="7"/>
  <c r="BT453" i="7" s="1"/>
  <c r="BO21" i="7"/>
  <c r="BP21" i="7" s="1"/>
  <c r="BQ21" i="7"/>
  <c r="BT21" i="7" s="1"/>
  <c r="BN176" i="7"/>
  <c r="BN56" i="8"/>
  <c r="BQ1344" i="7"/>
  <c r="BT1344" i="7" s="1"/>
  <c r="BO1344" i="7"/>
  <c r="BP1344" i="7" s="1"/>
  <c r="BQ1290" i="7"/>
  <c r="BT1290" i="7" s="1"/>
  <c r="BO1290" i="7"/>
  <c r="BP1290" i="7" s="1"/>
  <c r="BO866" i="7"/>
  <c r="BP866" i="7" s="1"/>
  <c r="BQ866" i="7"/>
  <c r="BT866" i="7" s="1"/>
  <c r="BO1681" i="7"/>
  <c r="BP1681" i="7" s="1"/>
  <c r="BQ1681" i="7"/>
  <c r="BT1681" i="7" s="1"/>
  <c r="BQ1485" i="7"/>
  <c r="BT1485" i="7" s="1"/>
  <c r="BO1485" i="7"/>
  <c r="BP1485" i="7" s="1"/>
  <c r="BO829" i="7"/>
  <c r="BP829" i="7" s="1"/>
  <c r="BQ829" i="7"/>
  <c r="BT829" i="7" s="1"/>
  <c r="BQ534" i="7"/>
  <c r="BT534" i="7" s="1"/>
  <c r="BO534" i="7"/>
  <c r="BP534" i="7" s="1"/>
  <c r="BO2244" i="7"/>
  <c r="BP2244" i="7" s="1"/>
  <c r="BQ2244" i="7"/>
  <c r="BT2244" i="7" s="1"/>
  <c r="BO2176" i="7"/>
  <c r="BP2176" i="7" s="1"/>
  <c r="BQ2176" i="7"/>
  <c r="BT2176" i="7" s="1"/>
  <c r="BN158" i="7"/>
  <c r="BN44" i="8"/>
  <c r="BO213" i="7"/>
  <c r="BP213" i="7" s="1"/>
  <c r="BQ213" i="7"/>
  <c r="BT213" i="7" s="1"/>
  <c r="BO1819" i="7"/>
  <c r="BP1819" i="7" s="1"/>
  <c r="BQ1819" i="7"/>
  <c r="BT1819" i="7" s="1"/>
  <c r="BQ550" i="7"/>
  <c r="BT550" i="7" s="1"/>
  <c r="BO550" i="7"/>
  <c r="BP550" i="7" s="1"/>
  <c r="BO473" i="7"/>
  <c r="BP473" i="7" s="1"/>
  <c r="BQ473" i="7"/>
  <c r="BT473" i="7" s="1"/>
  <c r="BO448" i="7"/>
  <c r="BP448" i="7" s="1"/>
  <c r="BQ448" i="7"/>
  <c r="BT448" i="7" s="1"/>
  <c r="BO649" i="7"/>
  <c r="BP649" i="7" s="1"/>
  <c r="BQ649" i="7"/>
  <c r="BT649" i="7" s="1"/>
  <c r="BO2091" i="7"/>
  <c r="BP2091" i="7" s="1"/>
  <c r="BQ2091" i="7"/>
  <c r="BT2091" i="7" s="1"/>
  <c r="BO1998" i="7"/>
  <c r="BP1998" i="7" s="1"/>
  <c r="BQ1998" i="7"/>
  <c r="BT1998" i="7" s="1"/>
  <c r="BO670" i="7"/>
  <c r="BP670" i="7" s="1"/>
  <c r="BQ670" i="7"/>
  <c r="BT670" i="7" s="1"/>
  <c r="BO1929" i="7"/>
  <c r="BP1929" i="7" s="1"/>
  <c r="BQ1929" i="7"/>
  <c r="BT1929" i="7" s="1"/>
  <c r="BO1423" i="7"/>
  <c r="BP1423" i="7" s="1"/>
  <c r="BQ1423" i="7"/>
  <c r="BT1423" i="7" s="1"/>
  <c r="BO1160" i="7"/>
  <c r="BP1160" i="7" s="1"/>
  <c r="BQ1160" i="7"/>
  <c r="BT1160" i="7" s="1"/>
  <c r="BO1619" i="7"/>
  <c r="BP1619" i="7" s="1"/>
  <c r="BQ1619" i="7"/>
  <c r="BT1619" i="7" s="1"/>
  <c r="BO974" i="7"/>
  <c r="BP974" i="7" s="1"/>
  <c r="BQ974" i="7"/>
  <c r="BT974" i="7" s="1"/>
  <c r="BO2259" i="7"/>
  <c r="BP2259" i="7" s="1"/>
  <c r="BQ2259" i="7"/>
  <c r="BT2259" i="7" s="1"/>
  <c r="BO1439" i="7"/>
  <c r="BP1439" i="7" s="1"/>
  <c r="BQ1439" i="7"/>
  <c r="BT1439" i="7" s="1"/>
  <c r="BO1586" i="7"/>
  <c r="BP1586" i="7" s="1"/>
  <c r="BQ1586" i="7"/>
  <c r="BT1586" i="7" s="1"/>
  <c r="BO1667" i="7"/>
  <c r="BP1667" i="7" s="1"/>
  <c r="BQ1667" i="7"/>
  <c r="BT1667" i="7" s="1"/>
  <c r="BQ2260" i="7"/>
  <c r="BT2260" i="7" s="1"/>
  <c r="BO2260" i="7"/>
  <c r="BP2260" i="7" s="1"/>
  <c r="BO2116" i="7"/>
  <c r="BP2116" i="7" s="1"/>
  <c r="BQ2116" i="7"/>
  <c r="BT2116" i="7" s="1"/>
  <c r="BO903" i="7"/>
  <c r="BP903" i="7" s="1"/>
  <c r="BQ903" i="7"/>
  <c r="BT903" i="7" s="1"/>
  <c r="BO931" i="7"/>
  <c r="BP931" i="7" s="1"/>
  <c r="BQ931" i="7"/>
  <c r="BT931" i="7" s="1"/>
  <c r="BO118" i="7"/>
  <c r="BP118" i="7" s="1"/>
  <c r="BQ118" i="7"/>
  <c r="BT118" i="7" s="1"/>
  <c r="BO775" i="7"/>
  <c r="BP775" i="7" s="1"/>
  <c r="BQ775" i="7"/>
  <c r="BT775" i="7" s="1"/>
  <c r="BO1812" i="7"/>
  <c r="BP1812" i="7" s="1"/>
  <c r="BQ1812" i="7"/>
  <c r="BT1812" i="7" s="1"/>
  <c r="BO780" i="7"/>
  <c r="BP780" i="7" s="1"/>
  <c r="BQ780" i="7"/>
  <c r="BT780" i="7" s="1"/>
  <c r="BO1818" i="7"/>
  <c r="BP1818" i="7" s="1"/>
  <c r="BQ1818" i="7"/>
  <c r="BT1818" i="7" s="1"/>
  <c r="BO578" i="7"/>
  <c r="BP578" i="7" s="1"/>
  <c r="BQ578" i="7"/>
  <c r="BT578" i="7" s="1"/>
  <c r="BO952" i="7"/>
  <c r="BP952" i="7" s="1"/>
  <c r="BQ952" i="7"/>
  <c r="BT952" i="7" s="1"/>
  <c r="BO1924" i="7"/>
  <c r="BP1924" i="7" s="1"/>
  <c r="BQ1924" i="7"/>
  <c r="BT1924" i="7" s="1"/>
  <c r="BO1895" i="7"/>
  <c r="BP1895" i="7" s="1"/>
  <c r="BQ1895" i="7"/>
  <c r="BT1895" i="7" s="1"/>
  <c r="BO2016" i="7"/>
  <c r="BP2016" i="7" s="1"/>
  <c r="BQ2016" i="7"/>
  <c r="BT2016" i="7" s="1"/>
  <c r="BO519" i="7"/>
  <c r="BP519" i="7" s="1"/>
  <c r="BQ519" i="7"/>
  <c r="BT519" i="7" s="1"/>
  <c r="BO1948" i="7"/>
  <c r="BP1948" i="7" s="1"/>
  <c r="BQ1948" i="7"/>
  <c r="BT1948" i="7" s="1"/>
  <c r="BO2182" i="7"/>
  <c r="BP2182" i="7" s="1"/>
  <c r="BQ2182" i="7"/>
  <c r="BT2182" i="7" s="1"/>
  <c r="BO717" i="7"/>
  <c r="BP717" i="7" s="1"/>
  <c r="BQ717" i="7"/>
  <c r="BT717" i="7" s="1"/>
  <c r="BQ1302" i="7"/>
  <c r="BT1302" i="7" s="1"/>
  <c r="BO1302" i="7"/>
  <c r="BP1302" i="7" s="1"/>
  <c r="BO2019" i="7"/>
  <c r="BP2019" i="7" s="1"/>
  <c r="BQ2019" i="7"/>
  <c r="BT2019" i="7" s="1"/>
  <c r="BO1573" i="7"/>
  <c r="BP1573" i="7" s="1"/>
  <c r="BQ1573" i="7"/>
  <c r="BT1573" i="7" s="1"/>
  <c r="BO1252" i="7"/>
  <c r="BP1252" i="7" s="1"/>
  <c r="BQ1252" i="7"/>
  <c r="BT1252" i="7" s="1"/>
  <c r="BO995" i="7"/>
  <c r="BP995" i="7" s="1"/>
  <c r="BQ995" i="7"/>
  <c r="BT995" i="7" s="1"/>
  <c r="BO1389" i="7"/>
  <c r="BP1389" i="7" s="1"/>
  <c r="BQ1389" i="7"/>
  <c r="BT1389" i="7" s="1"/>
  <c r="BO656" i="7"/>
  <c r="BP656" i="7" s="1"/>
  <c r="BQ656" i="7"/>
  <c r="BT656" i="7" s="1"/>
  <c r="BO1342" i="7"/>
  <c r="BP1342" i="7" s="1"/>
  <c r="BQ1342" i="7"/>
  <c r="BT1342" i="7" s="1"/>
  <c r="BO1799" i="7"/>
  <c r="BP1799" i="7" s="1"/>
  <c r="BQ1799" i="7"/>
  <c r="BT1799" i="7" s="1"/>
  <c r="BO2017" i="7"/>
  <c r="BP2017" i="7" s="1"/>
  <c r="BQ2017" i="7"/>
  <c r="BT2017" i="7" s="1"/>
  <c r="BO2279" i="7"/>
  <c r="BP2279" i="7" s="1"/>
  <c r="BQ2279" i="7"/>
  <c r="BT2279" i="7" s="1"/>
  <c r="BO425" i="7"/>
  <c r="BP425" i="7" s="1"/>
  <c r="BQ425" i="7"/>
  <c r="BT425" i="7" s="1"/>
  <c r="BO1572" i="7"/>
  <c r="BP1572" i="7" s="1"/>
  <c r="BQ1572" i="7"/>
  <c r="BT1572" i="7" s="1"/>
  <c r="BN183" i="7"/>
  <c r="BN52" i="8"/>
  <c r="BO1034" i="7"/>
  <c r="BP1034" i="7" s="1"/>
  <c r="BQ1034" i="7"/>
  <c r="BT1034" i="7" s="1"/>
  <c r="BQ2138" i="7"/>
  <c r="BT2138" i="7" s="1"/>
  <c r="BO2138" i="7"/>
  <c r="BP2138" i="7" s="1"/>
  <c r="BO1332" i="7"/>
  <c r="BQ1332" i="7"/>
  <c r="BT1332" i="7" s="1"/>
  <c r="BQ1617" i="7"/>
  <c r="BT1617" i="7" s="1"/>
  <c r="BO1617" i="7"/>
  <c r="BO1621" i="7"/>
  <c r="BP1621" i="7" s="1"/>
  <c r="BQ1621" i="7"/>
  <c r="BT1621" i="7" s="1"/>
  <c r="BO1028" i="7"/>
  <c r="BP1028" i="7" s="1"/>
  <c r="BQ1028" i="7"/>
  <c r="BT1028" i="7" s="1"/>
  <c r="BQ1999" i="7"/>
  <c r="BT1999" i="7" s="1"/>
  <c r="BO1999" i="7"/>
  <c r="BP1999" i="7" s="1"/>
  <c r="BO640" i="7"/>
  <c r="BP640" i="7" s="1"/>
  <c r="BQ640" i="7"/>
  <c r="BT640" i="7" s="1"/>
  <c r="BN124" i="7"/>
  <c r="BN103" i="8"/>
  <c r="BO994" i="7"/>
  <c r="BP994" i="7" s="1"/>
  <c r="BQ994" i="7"/>
  <c r="BT994" i="7" s="1"/>
  <c r="BO1432" i="7"/>
  <c r="BP1432" i="7" s="1"/>
  <c r="BQ1432" i="7"/>
  <c r="BT1432" i="7" s="1"/>
  <c r="BO23" i="7"/>
  <c r="BP23" i="7" s="1"/>
  <c r="BQ23" i="7"/>
  <c r="BT23" i="7" s="1"/>
  <c r="BO490" i="7"/>
  <c r="BP490" i="7" s="1"/>
  <c r="BQ490" i="7"/>
  <c r="BT490" i="7" s="1"/>
  <c r="BO1579" i="7"/>
  <c r="BP1579" i="7" s="1"/>
  <c r="BQ1579" i="7"/>
  <c r="BT1579" i="7" s="1"/>
  <c r="BO1120" i="7"/>
  <c r="BP1120" i="7" s="1"/>
  <c r="BQ1120" i="7"/>
  <c r="BT1120" i="7" s="1"/>
  <c r="BO1937" i="7"/>
  <c r="BP1937" i="7" s="1"/>
  <c r="BQ1937" i="7"/>
  <c r="BT1937" i="7" s="1"/>
  <c r="BO10" i="7"/>
  <c r="BP10" i="7" s="1"/>
  <c r="BQ10" i="7"/>
  <c r="BT10" i="7" s="1"/>
  <c r="BO1261" i="7"/>
  <c r="BQ1261" i="7"/>
  <c r="BT1261" i="7" s="1"/>
  <c r="BO685" i="7"/>
  <c r="BP685" i="7" s="1"/>
  <c r="BQ685" i="7"/>
  <c r="BT685" i="7" s="1"/>
  <c r="BO2267" i="7"/>
  <c r="BP2267" i="7" s="1"/>
  <c r="BQ2267" i="7"/>
  <c r="BT2267" i="7" s="1"/>
  <c r="BO2204" i="7"/>
  <c r="BP2204" i="7" s="1"/>
  <c r="BQ2204" i="7"/>
  <c r="BT2204" i="7" s="1"/>
  <c r="BO1185" i="7"/>
  <c r="BP1185" i="7" s="1"/>
  <c r="BQ1185" i="7"/>
  <c r="BT1185" i="7" s="1"/>
  <c r="BQ1320" i="7"/>
  <c r="BT1320" i="7" s="1"/>
  <c r="BO1320" i="7"/>
  <c r="BP1320" i="7" s="1"/>
  <c r="BO1229" i="7"/>
  <c r="BP1229" i="7" s="1"/>
  <c r="BQ1229" i="7"/>
  <c r="BT1229" i="7" s="1"/>
  <c r="BO2152" i="7"/>
  <c r="BP2152" i="7" s="1"/>
  <c r="BQ2152" i="7"/>
  <c r="BT2152" i="7" s="1"/>
  <c r="BO792" i="7"/>
  <c r="BP792" i="7" s="1"/>
  <c r="BQ792" i="7"/>
  <c r="BT792" i="7" s="1"/>
  <c r="BO114" i="7"/>
  <c r="BP114" i="7" s="1"/>
  <c r="BQ114" i="7"/>
  <c r="BT114" i="7" s="1"/>
  <c r="BO1117" i="7"/>
  <c r="BP1117" i="7" s="1"/>
  <c r="BQ1117" i="7"/>
  <c r="BT1117" i="7" s="1"/>
  <c r="BO582" i="7"/>
  <c r="BP582" i="7" s="1"/>
  <c r="BQ582" i="7"/>
  <c r="BT582" i="7" s="1"/>
  <c r="BO1506" i="7"/>
  <c r="BP1506" i="7" s="1"/>
  <c r="BQ1506" i="7"/>
  <c r="BT1506" i="7" s="1"/>
  <c r="BN421" i="7"/>
  <c r="BN63" i="8"/>
  <c r="BO657" i="7"/>
  <c r="BP657" i="7" s="1"/>
  <c r="BQ657" i="7"/>
  <c r="BT657" i="7" s="1"/>
  <c r="BO25" i="7"/>
  <c r="BP25" i="7" s="1"/>
  <c r="BQ25" i="7"/>
  <c r="BT25" i="7" s="1"/>
  <c r="BQ1350" i="7"/>
  <c r="BT1350" i="7" s="1"/>
  <c r="BO1350" i="7"/>
  <c r="BP1350" i="7" s="1"/>
  <c r="BO43" i="7"/>
  <c r="BP43" i="7" s="1"/>
  <c r="BQ43" i="7"/>
  <c r="BT43" i="7" s="1"/>
  <c r="BO930" i="7"/>
  <c r="BP930" i="7" s="1"/>
  <c r="BQ930" i="7"/>
  <c r="BT930" i="7" s="1"/>
  <c r="BO1838" i="7"/>
  <c r="BP1838" i="7" s="1"/>
  <c r="BQ1838" i="7"/>
  <c r="BT1838" i="7" s="1"/>
  <c r="BO1418" i="7"/>
  <c r="BP1418" i="7" s="1"/>
  <c r="BQ1418" i="7"/>
  <c r="BT1418" i="7" s="1"/>
  <c r="BO2273" i="7"/>
  <c r="BP2273" i="7" s="1"/>
  <c r="BQ2273" i="7"/>
  <c r="BT2273" i="7" s="1"/>
  <c r="BO242" i="7"/>
  <c r="BP242" i="7" s="1"/>
  <c r="BQ242" i="7"/>
  <c r="BT242" i="7" s="1"/>
  <c r="BO1981" i="7"/>
  <c r="BP1981" i="7" s="1"/>
  <c r="BQ1981" i="7"/>
  <c r="BT1981" i="7" s="1"/>
  <c r="BO1865" i="7"/>
  <c r="BP1865" i="7" s="1"/>
  <c r="BQ1865" i="7"/>
  <c r="BT1865" i="7" s="1"/>
  <c r="BO1846" i="7"/>
  <c r="BP1846" i="7" s="1"/>
  <c r="BQ1846" i="7"/>
  <c r="BT1846" i="7" s="1"/>
  <c r="BO1538" i="7"/>
  <c r="BP1538" i="7" s="1"/>
  <c r="BQ1538" i="7"/>
  <c r="BT1538" i="7" s="1"/>
  <c r="BO537" i="7"/>
  <c r="BP537" i="7" s="1"/>
  <c r="BQ537" i="7"/>
  <c r="BT537" i="7" s="1"/>
  <c r="BO2081" i="7"/>
  <c r="BP2081" i="7" s="1"/>
  <c r="BQ2081" i="7"/>
  <c r="BT2081" i="7" s="1"/>
  <c r="BO1943" i="7"/>
  <c r="BP1943" i="7" s="1"/>
  <c r="BQ1943" i="7"/>
  <c r="BT1943" i="7" s="1"/>
  <c r="BO1191" i="7"/>
  <c r="BP1191" i="7" s="1"/>
  <c r="BQ1191" i="7"/>
  <c r="BT1191" i="7" s="1"/>
  <c r="BO1265" i="7"/>
  <c r="BP1265" i="7" s="1"/>
  <c r="BQ1265" i="7"/>
  <c r="BT1265" i="7" s="1"/>
  <c r="BO131" i="7"/>
  <c r="BP131" i="7" s="1"/>
  <c r="BQ131" i="7"/>
  <c r="BT131" i="7" s="1"/>
  <c r="BO1107" i="7"/>
  <c r="BP1107" i="7" s="1"/>
  <c r="BQ1107" i="7"/>
  <c r="BT1107" i="7" s="1"/>
  <c r="BO1520" i="7"/>
  <c r="BP1520" i="7" s="1"/>
  <c r="BQ1520" i="7"/>
  <c r="BT1520" i="7" s="1"/>
  <c r="BO572" i="7"/>
  <c r="BP572" i="7" s="1"/>
  <c r="BQ572" i="7"/>
  <c r="BT572" i="7" s="1"/>
  <c r="BN29" i="7"/>
  <c r="BN68" i="8"/>
  <c r="BO1896" i="7"/>
  <c r="BP1896" i="7" s="1"/>
  <c r="BQ1896" i="7"/>
  <c r="BT1896" i="7" s="1"/>
  <c r="BO762" i="7"/>
  <c r="BP762" i="7" s="1"/>
  <c r="BQ762" i="7"/>
  <c r="BT762" i="7" s="1"/>
  <c r="BP1470" i="7"/>
  <c r="BO2226" i="7"/>
  <c r="BP2226" i="7" s="1"/>
  <c r="BQ2226" i="7"/>
  <c r="BT2226" i="7" s="1"/>
  <c r="BO66" i="7"/>
  <c r="BP66" i="7" s="1"/>
  <c r="BQ66" i="7"/>
  <c r="BT66" i="7" s="1"/>
  <c r="BO343" i="7"/>
  <c r="BP343" i="7" s="1"/>
  <c r="BQ343" i="7"/>
  <c r="BT343" i="7" s="1"/>
  <c r="BO96" i="8"/>
  <c r="BQ96" i="8"/>
  <c r="BO220" i="7"/>
  <c r="BQ220" i="7"/>
  <c r="BO2093" i="7"/>
  <c r="BP2093" i="7" s="1"/>
  <c r="BQ2093" i="7"/>
  <c r="BT2093" i="7" s="1"/>
  <c r="BP1859" i="7"/>
  <c r="BN32" i="7"/>
  <c r="BN71" i="8"/>
  <c r="BO723" i="7"/>
  <c r="BP723" i="7" s="1"/>
  <c r="BQ723" i="7"/>
  <c r="BT723" i="7" s="1"/>
  <c r="BP1414" i="7"/>
  <c r="BO324" i="7"/>
  <c r="BP324" i="7" s="1"/>
  <c r="BQ324" i="7"/>
  <c r="BT324" i="7" s="1"/>
  <c r="BO2012" i="7"/>
  <c r="BP2012" i="7" s="1"/>
  <c r="BQ2012" i="7"/>
  <c r="BT2012" i="7" s="1"/>
  <c r="BO1645" i="7"/>
  <c r="BP1645" i="7" s="1"/>
  <c r="BQ1645" i="7"/>
  <c r="BT1645" i="7" s="1"/>
  <c r="BO632" i="7"/>
  <c r="BP632" i="7" s="1"/>
  <c r="BQ632" i="7"/>
  <c r="BT632" i="7" s="1"/>
  <c r="BQ719" i="7"/>
  <c r="BT719" i="7" s="1"/>
  <c r="BO719" i="7"/>
  <c r="BP719" i="7" s="1"/>
  <c r="BO648" i="7"/>
  <c r="BP648" i="7" s="1"/>
  <c r="BQ648" i="7"/>
  <c r="BT648" i="7" s="1"/>
  <c r="BO861" i="7"/>
  <c r="BP861" i="7" s="1"/>
  <c r="BQ861" i="7"/>
  <c r="BT861" i="7" s="1"/>
  <c r="BO1323" i="7"/>
  <c r="BP1323" i="7" s="1"/>
  <c r="BQ1323" i="7"/>
  <c r="BT1323" i="7" s="1"/>
  <c r="BO280" i="7"/>
  <c r="BP280" i="7" s="1"/>
  <c r="BQ280" i="7"/>
  <c r="BT280" i="7" s="1"/>
  <c r="BO2037" i="7"/>
  <c r="BP2037" i="7" s="1"/>
  <c r="BQ2037" i="7"/>
  <c r="BO811" i="7"/>
  <c r="BP811" i="7" s="1"/>
  <c r="BQ811" i="7"/>
  <c r="BT811" i="7" s="1"/>
  <c r="BQ248" i="7"/>
  <c r="BT248" i="7" s="1"/>
  <c r="BO248" i="7"/>
  <c r="BP248" i="7" s="1"/>
  <c r="BO499" i="7"/>
  <c r="BP499" i="7" s="1"/>
  <c r="BQ499" i="7"/>
  <c r="BT499" i="7" s="1"/>
  <c r="BQ1066" i="7"/>
  <c r="BT1066" i="7" s="1"/>
  <c r="BO1066" i="7"/>
  <c r="BP1066" i="7" s="1"/>
  <c r="BO1514" i="7"/>
  <c r="BP1514" i="7" s="1"/>
  <c r="BQ1514" i="7"/>
  <c r="BT1514" i="7" s="1"/>
  <c r="BO245" i="7"/>
  <c r="BP245" i="7" s="1"/>
  <c r="BQ245" i="7"/>
  <c r="BT245" i="7" s="1"/>
  <c r="BQ1068" i="7"/>
  <c r="BT1068" i="7" s="1"/>
  <c r="BO1068" i="7"/>
  <c r="BP1068" i="7" s="1"/>
  <c r="BO2086" i="7"/>
  <c r="BP2086" i="7" s="1"/>
  <c r="BQ2086" i="7"/>
  <c r="BT2086" i="7" s="1"/>
  <c r="BO788" i="7"/>
  <c r="BP788" i="7" s="1"/>
  <c r="BQ788" i="7"/>
  <c r="BT788" i="7" s="1"/>
  <c r="BQ1800" i="7"/>
  <c r="BT1800" i="7" s="1"/>
  <c r="BO1800" i="7"/>
  <c r="BP1800" i="7" s="1"/>
  <c r="BO2099" i="7"/>
  <c r="BP2099" i="7" s="1"/>
  <c r="BQ2099" i="7"/>
  <c r="BT2099" i="7" s="1"/>
  <c r="BO1842" i="7"/>
  <c r="BP1842" i="7" s="1"/>
  <c r="BQ1842" i="7"/>
  <c r="BT1842" i="7" s="1"/>
  <c r="BO1796" i="7"/>
  <c r="BP1796" i="7" s="1"/>
  <c r="BQ1796" i="7"/>
  <c r="BT1796" i="7" s="1"/>
  <c r="BO2128" i="7"/>
  <c r="BP2128" i="7" s="1"/>
  <c r="BQ2128" i="7"/>
  <c r="BT2128" i="7" s="1"/>
  <c r="BO1954" i="7"/>
  <c r="BP1954" i="7" s="1"/>
  <c r="BQ1954" i="7"/>
  <c r="BT1954" i="7" s="1"/>
  <c r="BQ1856" i="7"/>
  <c r="BT1856" i="7" s="1"/>
  <c r="BO1856" i="7"/>
  <c r="BP1856" i="7" s="1"/>
  <c r="BO2188" i="7"/>
  <c r="BP2188" i="7" s="1"/>
  <c r="BQ2188" i="7"/>
  <c r="BT2188" i="7" s="1"/>
  <c r="BO393" i="7"/>
  <c r="BP393" i="7" s="1"/>
  <c r="BQ393" i="7"/>
  <c r="BT393" i="7" s="1"/>
  <c r="BO1334" i="7"/>
  <c r="BP1334" i="7" s="1"/>
  <c r="BQ1334" i="7"/>
  <c r="BT1334" i="7" s="1"/>
  <c r="BQ308" i="7"/>
  <c r="BT308" i="7" s="1"/>
  <c r="BO308" i="7"/>
  <c r="BP308" i="7" s="1"/>
  <c r="BO1977" i="7"/>
  <c r="BP1977" i="7" s="1"/>
  <c r="BQ1977" i="7"/>
  <c r="BT1977" i="7" s="1"/>
  <c r="BO1742" i="7"/>
  <c r="BP1742" i="7" s="1"/>
  <c r="BQ1742" i="7"/>
  <c r="BT1742" i="7" s="1"/>
  <c r="BO1988" i="7"/>
  <c r="BP1988" i="7" s="1"/>
  <c r="BQ1988" i="7"/>
  <c r="BT1988" i="7" s="1"/>
  <c r="BQ1519" i="7"/>
  <c r="BT1519" i="7" s="1"/>
  <c r="BO1519" i="7"/>
  <c r="BP1519" i="7" s="1"/>
  <c r="BO464" i="7"/>
  <c r="BP464" i="7" s="1"/>
  <c r="BQ464" i="7"/>
  <c r="BT464" i="7" s="1"/>
  <c r="BO1032" i="7"/>
  <c r="BP1032" i="7" s="1"/>
  <c r="BQ1032" i="7"/>
  <c r="BT1032" i="7" s="1"/>
  <c r="BO2167" i="7"/>
  <c r="BP2167" i="7" s="1"/>
  <c r="BQ2167" i="7"/>
  <c r="BT2167" i="7" s="1"/>
  <c r="BO564" i="7"/>
  <c r="BP564" i="7" s="1"/>
  <c r="BQ564" i="7"/>
  <c r="BT564" i="7" s="1"/>
  <c r="BO1358" i="7"/>
  <c r="BP1358" i="7" s="1"/>
  <c r="BQ1358" i="7"/>
  <c r="BT1358" i="7" s="1"/>
  <c r="BO1173" i="7"/>
  <c r="BP1173" i="7" s="1"/>
  <c r="BQ1173" i="7"/>
  <c r="BT1173" i="7" s="1"/>
  <c r="BO2219" i="7"/>
  <c r="BP2219" i="7" s="1"/>
  <c r="BQ2219" i="7"/>
  <c r="BT2219" i="7" s="1"/>
  <c r="BO949" i="7"/>
  <c r="BP949" i="7" s="1"/>
  <c r="BQ949" i="7"/>
  <c r="BT949" i="7" s="1"/>
  <c r="BO256" i="7"/>
  <c r="BP256" i="7" s="1"/>
  <c r="BQ256" i="7"/>
  <c r="BT256" i="7" s="1"/>
  <c r="BQ2207" i="7"/>
  <c r="BT2207" i="7" s="1"/>
  <c r="BO2207" i="7"/>
  <c r="BP2207" i="7" s="1"/>
  <c r="BQ920" i="7"/>
  <c r="BT920" i="7" s="1"/>
  <c r="BO920" i="7"/>
  <c r="BP920" i="7" s="1"/>
  <c r="BO2208" i="7"/>
  <c r="BP2208" i="7" s="1"/>
  <c r="BQ2208" i="7"/>
  <c r="BT2208" i="7" s="1"/>
  <c r="BO455" i="7"/>
  <c r="BP455" i="7" s="1"/>
  <c r="BQ455" i="7"/>
  <c r="BT455" i="7" s="1"/>
  <c r="BO2269" i="7"/>
  <c r="BP2269" i="7" s="1"/>
  <c r="BQ2269" i="7"/>
  <c r="BT2269" i="7" s="1"/>
  <c r="BO1434" i="7"/>
  <c r="BP1434" i="7" s="1"/>
  <c r="BQ1434" i="7"/>
  <c r="BT1434" i="7" s="1"/>
  <c r="BO42" i="7"/>
  <c r="BP42" i="7" s="1"/>
  <c r="BQ42" i="7"/>
  <c r="BT42" i="7" s="1"/>
  <c r="BQ151" i="7"/>
  <c r="BT151" i="7" s="1"/>
  <c r="BO151" i="7"/>
  <c r="BP151" i="7" s="1"/>
  <c r="BQ1256" i="7"/>
  <c r="BT1256" i="7" s="1"/>
  <c r="BO1256" i="7"/>
  <c r="BP1256" i="7" s="1"/>
  <c r="BO1873" i="7"/>
  <c r="BP1873" i="7" s="1"/>
  <c r="BQ1873" i="7"/>
  <c r="BT1873" i="7" s="1"/>
  <c r="BO493" i="7"/>
  <c r="BP493" i="7" s="1"/>
  <c r="BQ493" i="7"/>
  <c r="BT493" i="7" s="1"/>
  <c r="BO809" i="7"/>
  <c r="BP809" i="7" s="1"/>
  <c r="BQ809" i="7"/>
  <c r="BT809" i="7" s="1"/>
  <c r="BO1541" i="7"/>
  <c r="BP1541" i="7" s="1"/>
  <c r="BQ1541" i="7"/>
  <c r="BT1541" i="7" s="1"/>
  <c r="BO2107" i="7"/>
  <c r="BP2107" i="7" s="1"/>
  <c r="BQ2107" i="7"/>
  <c r="BT2107" i="7" s="1"/>
  <c r="BO589" i="7"/>
  <c r="BP589" i="7" s="1"/>
  <c r="BQ589" i="7"/>
  <c r="BT589" i="7" s="1"/>
  <c r="BO1731" i="7"/>
  <c r="BP1731" i="7" s="1"/>
  <c r="BQ1731" i="7"/>
  <c r="BT1731" i="7" s="1"/>
  <c r="BO1625" i="7"/>
  <c r="BP1625" i="7" s="1"/>
  <c r="BQ1625" i="7"/>
  <c r="BT1625" i="7" s="1"/>
  <c r="BO870" i="7"/>
  <c r="BP870" i="7" s="1"/>
  <c r="BQ870" i="7"/>
  <c r="BT870" i="7" s="1"/>
  <c r="BO209" i="7"/>
  <c r="BP209" i="7" s="1"/>
  <c r="BQ209" i="7"/>
  <c r="BT209" i="7" s="1"/>
  <c r="BO35" i="8"/>
  <c r="BQ35" i="8"/>
  <c r="BO170" i="7"/>
  <c r="BQ170" i="7"/>
  <c r="BO210" i="7"/>
  <c r="BP210" i="7" s="1"/>
  <c r="BQ210" i="7"/>
  <c r="BT210" i="7" s="1"/>
  <c r="BO1870" i="7"/>
  <c r="BP1870" i="7" s="1"/>
  <c r="BQ1870" i="7"/>
  <c r="BT1870" i="7" s="1"/>
  <c r="BQ433" i="7"/>
  <c r="BT433" i="7" s="1"/>
  <c r="BO433" i="7"/>
  <c r="BP433" i="7" s="1"/>
  <c r="BO505" i="7"/>
  <c r="BP505" i="7" s="1"/>
  <c r="BQ505" i="7"/>
  <c r="BT505" i="7" s="1"/>
  <c r="BO980" i="7"/>
  <c r="BP980" i="7" s="1"/>
  <c r="BQ980" i="7"/>
  <c r="BT980" i="7" s="1"/>
  <c r="BO2082" i="7"/>
  <c r="BP2082" i="7" s="1"/>
  <c r="BQ2082" i="7"/>
  <c r="BT2082" i="7" s="1"/>
  <c r="BO641" i="7"/>
  <c r="BP641" i="7" s="1"/>
  <c r="BQ641" i="7"/>
  <c r="BT641" i="7" s="1"/>
  <c r="BO299" i="7"/>
  <c r="BP299" i="7" s="1"/>
  <c r="BQ299" i="7"/>
  <c r="BT299" i="7" s="1"/>
  <c r="BO735" i="7"/>
  <c r="BP735" i="7" s="1"/>
  <c r="BQ735" i="7"/>
  <c r="BT735" i="7" s="1"/>
  <c r="BQ1241" i="7"/>
  <c r="BT1241" i="7" s="1"/>
  <c r="BO1241" i="7"/>
  <c r="BP1241" i="7" s="1"/>
  <c r="BO1231" i="7"/>
  <c r="BP1231" i="7" s="1"/>
  <c r="BQ1231" i="7"/>
  <c r="BT1231" i="7" s="1"/>
  <c r="BO1047" i="7"/>
  <c r="BP1047" i="7" s="1"/>
  <c r="BQ1047" i="7"/>
  <c r="BT1047" i="7" s="1"/>
  <c r="BO993" i="7"/>
  <c r="BP993" i="7" s="1"/>
  <c r="BQ993" i="7"/>
  <c r="BT993" i="7" s="1"/>
  <c r="BO1876" i="7"/>
  <c r="BP1876" i="7" s="1"/>
  <c r="BQ1876" i="7"/>
  <c r="BT1876" i="7" s="1"/>
  <c r="BO783" i="7"/>
  <c r="BP783" i="7" s="1"/>
  <c r="BS783" i="7" s="1"/>
  <c r="BQ783" i="7"/>
  <c r="BT783" i="7" s="1"/>
  <c r="BO442" i="7"/>
  <c r="BP442" i="7" s="1"/>
  <c r="BQ442" i="7"/>
  <c r="BT442" i="7" s="1"/>
  <c r="BO1603" i="7"/>
  <c r="BP1603" i="7" s="1"/>
  <c r="BQ1603" i="7"/>
  <c r="BT1603" i="7" s="1"/>
  <c r="BQ1554" i="7"/>
  <c r="BT1554" i="7" s="1"/>
  <c r="BO1554" i="7"/>
  <c r="BP1554" i="7" s="1"/>
  <c r="BO1843" i="7"/>
  <c r="BP1843" i="7" s="1"/>
  <c r="BQ1843" i="7"/>
  <c r="BT1843" i="7" s="1"/>
  <c r="BO452" i="7"/>
  <c r="BP452" i="7" s="1"/>
  <c r="BQ452" i="7"/>
  <c r="BT452" i="7" s="1"/>
  <c r="BO1205" i="7"/>
  <c r="BP1205" i="7" s="1"/>
  <c r="BQ1205" i="7"/>
  <c r="BT1205" i="7" s="1"/>
  <c r="BO380" i="7"/>
  <c r="BP380" i="7" s="1"/>
  <c r="BQ380" i="7"/>
  <c r="BT380" i="7" s="1"/>
  <c r="BO1903" i="7"/>
  <c r="BP1903" i="7" s="1"/>
  <c r="BQ1903" i="7"/>
  <c r="BT1903" i="7" s="1"/>
  <c r="BO889" i="7"/>
  <c r="BP889" i="7" s="1"/>
  <c r="BQ889" i="7"/>
  <c r="BT889" i="7" s="1"/>
  <c r="BO426" i="7"/>
  <c r="BP426" i="7" s="1"/>
  <c r="BQ426" i="7"/>
  <c r="BT426" i="7" s="1"/>
  <c r="BO977" i="7"/>
  <c r="BP977" i="7" s="1"/>
  <c r="BQ977" i="7"/>
  <c r="BT977" i="7" s="1"/>
  <c r="BO999" i="7"/>
  <c r="BP999" i="7" s="1"/>
  <c r="BQ999" i="7"/>
  <c r="BT999" i="7" s="1"/>
  <c r="BO1864" i="7"/>
  <c r="BP1864" i="7" s="1"/>
  <c r="BQ1864" i="7"/>
  <c r="BT1864" i="7" s="1"/>
  <c r="BO1942" i="7"/>
  <c r="BP1942" i="7" s="1"/>
  <c r="BQ1942" i="7"/>
  <c r="BT1942" i="7" s="1"/>
  <c r="BO2000" i="7"/>
  <c r="BP2000" i="7" s="1"/>
  <c r="BQ2000" i="7"/>
  <c r="BT2000" i="7" s="1"/>
  <c r="BO1508" i="7"/>
  <c r="BP1508" i="7" s="1"/>
  <c r="BQ1508" i="7"/>
  <c r="BT1508" i="7" s="1"/>
  <c r="BO750" i="7"/>
  <c r="BP750" i="7" s="1"/>
  <c r="BQ750" i="7"/>
  <c r="BT750" i="7" s="1"/>
  <c r="BO297" i="7"/>
  <c r="BP297" i="7" s="1"/>
  <c r="BQ297" i="7"/>
  <c r="BT297" i="7" s="1"/>
  <c r="BQ1097" i="7"/>
  <c r="BT1097" i="7" s="1"/>
  <c r="BO1097" i="7"/>
  <c r="BP1097" i="7" s="1"/>
  <c r="BQ1855" i="7"/>
  <c r="BT1855" i="7" s="1"/>
  <c r="BO1855" i="7"/>
  <c r="BP1855" i="7" s="1"/>
  <c r="BQ62" i="8"/>
  <c r="BO62" i="8"/>
  <c r="BO429" i="7"/>
  <c r="BQ429" i="7"/>
  <c r="BO1233" i="7"/>
  <c r="BP1233" i="7" s="1"/>
  <c r="BQ1233" i="7"/>
  <c r="BT1233" i="7" s="1"/>
  <c r="BO2203" i="7"/>
  <c r="BP2203" i="7" s="1"/>
  <c r="BQ2203" i="7"/>
  <c r="BT2203" i="7" s="1"/>
  <c r="BO611" i="7"/>
  <c r="BP611" i="7" s="1"/>
  <c r="BQ611" i="7"/>
  <c r="BT611" i="7" s="1"/>
  <c r="BO1064" i="7"/>
  <c r="BP1064" i="7" s="1"/>
  <c r="BQ1064" i="7"/>
  <c r="BT1064" i="7" s="1"/>
  <c r="BN89" i="7"/>
  <c r="BN22" i="8"/>
  <c r="BO515" i="7"/>
  <c r="BP515" i="7" s="1"/>
  <c r="BQ515" i="7"/>
  <c r="BT515" i="7" s="1"/>
  <c r="BO817" i="7"/>
  <c r="BP817" i="7" s="1"/>
  <c r="BQ817" i="7"/>
  <c r="BT817" i="7" s="1"/>
  <c r="BO271" i="7"/>
  <c r="BP271" i="7" s="1"/>
  <c r="BQ271" i="7"/>
  <c r="BT271" i="7" s="1"/>
  <c r="BO1375" i="7"/>
  <c r="BP1375" i="7" s="1"/>
  <c r="BQ1375" i="7"/>
  <c r="BT1375" i="7" s="1"/>
  <c r="BO885" i="7"/>
  <c r="BP885" i="7" s="1"/>
  <c r="BQ885" i="7"/>
  <c r="BT885" i="7" s="1"/>
  <c r="BO1618" i="7"/>
  <c r="BP1618" i="7" s="1"/>
  <c r="BQ1618" i="7"/>
  <c r="BT1618" i="7" s="1"/>
  <c r="BO529" i="7"/>
  <c r="BP529" i="7" s="1"/>
  <c r="BQ529" i="7"/>
  <c r="BT529" i="7" s="1"/>
  <c r="BO669" i="7"/>
  <c r="BP669" i="7" s="1"/>
  <c r="BQ669" i="7"/>
  <c r="BT669" i="7" s="1"/>
  <c r="BO276" i="7"/>
  <c r="BP276" i="7" s="1"/>
  <c r="BQ276" i="7"/>
  <c r="BT276" i="7" s="1"/>
  <c r="BO1666" i="7"/>
  <c r="BQ1666" i="7"/>
  <c r="BT1666" i="7" s="1"/>
  <c r="BO341" i="7"/>
  <c r="BQ341" i="7"/>
  <c r="BT341" i="7" s="1"/>
  <c r="BO1932" i="7"/>
  <c r="BP1932" i="7" s="1"/>
  <c r="BQ1932" i="7"/>
  <c r="BT1932" i="7" s="1"/>
  <c r="BO1668" i="7"/>
  <c r="BP1668" i="7" s="1"/>
  <c r="BQ1668" i="7"/>
  <c r="BT1668" i="7" s="1"/>
  <c r="BO2245" i="7"/>
  <c r="BP2245" i="7" s="1"/>
  <c r="BQ2245" i="7"/>
  <c r="BT2245" i="7" s="1"/>
  <c r="BO307" i="7"/>
  <c r="BP307" i="7" s="1"/>
  <c r="BQ307" i="7"/>
  <c r="BT307" i="7" s="1"/>
  <c r="BO305" i="7"/>
  <c r="BP305" i="7" s="1"/>
  <c r="BQ305" i="7"/>
  <c r="BT305" i="7" s="1"/>
  <c r="BO985" i="7"/>
  <c r="BP985" i="7" s="1"/>
  <c r="BQ985" i="7"/>
  <c r="BT985" i="7" s="1"/>
  <c r="BO1030" i="7"/>
  <c r="BP1030" i="7" s="1"/>
  <c r="BQ1030" i="7"/>
  <c r="BT1030" i="7" s="1"/>
  <c r="BQ1622" i="7"/>
  <c r="BT1622" i="7" s="1"/>
  <c r="BO1622" i="7"/>
  <c r="BP1622" i="7" s="1"/>
  <c r="BO1722" i="7"/>
  <c r="BP1722" i="7" s="1"/>
  <c r="BQ1722" i="7"/>
  <c r="BT1722" i="7" s="1"/>
  <c r="BO713" i="7"/>
  <c r="BP713" i="7" s="1"/>
  <c r="BQ713" i="7"/>
  <c r="BT713" i="7" s="1"/>
  <c r="BO94" i="7"/>
  <c r="BQ94" i="7"/>
  <c r="BQ45" i="8"/>
  <c r="BO45" i="8"/>
  <c r="BO2180" i="7"/>
  <c r="BP2180" i="7" s="1"/>
  <c r="BQ2180" i="7"/>
  <c r="BT2180" i="7" s="1"/>
  <c r="BO1415" i="7"/>
  <c r="BP1415" i="7" s="1"/>
  <c r="BQ1415" i="7"/>
  <c r="BT1415" i="7" s="1"/>
  <c r="BO686" i="7"/>
  <c r="BP686" i="7" s="1"/>
  <c r="BQ686" i="7"/>
  <c r="BT686" i="7" s="1"/>
  <c r="BN34" i="7"/>
  <c r="BN73" i="8"/>
  <c r="BO986" i="7"/>
  <c r="BP986" i="7" s="1"/>
  <c r="BQ986" i="7"/>
  <c r="BT986" i="7" s="1"/>
  <c r="BO1067" i="7"/>
  <c r="BP1067" i="7" s="1"/>
  <c r="BQ1067" i="7"/>
  <c r="BT1067" i="7" s="1"/>
  <c r="BO71" i="7"/>
  <c r="BP71" i="7" s="1"/>
  <c r="BQ71" i="7"/>
  <c r="BT71" i="7" s="1"/>
  <c r="BQ101" i="7"/>
  <c r="BT101" i="7" s="1"/>
  <c r="BO101" i="7"/>
  <c r="BP101" i="7" s="1"/>
  <c r="BO49" i="7"/>
  <c r="BP49" i="7" s="1"/>
  <c r="BQ49" i="7"/>
  <c r="BT49" i="7" s="1"/>
  <c r="BO682" i="7"/>
  <c r="BP682" i="7" s="1"/>
  <c r="BQ682" i="7"/>
  <c r="BT682" i="7" s="1"/>
  <c r="BO975" i="7"/>
  <c r="BP975" i="7" s="1"/>
  <c r="BQ975" i="7"/>
  <c r="BT975" i="7" s="1"/>
  <c r="BO1019" i="7"/>
  <c r="BP1019" i="7" s="1"/>
  <c r="BQ1019" i="7"/>
  <c r="BT1019" i="7" s="1"/>
  <c r="BQ52" i="8"/>
  <c r="BO183" i="7"/>
  <c r="BQ183" i="7"/>
  <c r="BO52" i="8"/>
  <c r="BO2094" i="7"/>
  <c r="BP2094" i="7" s="1"/>
  <c r="BQ2094" i="7"/>
  <c r="BT2094" i="7" s="1"/>
  <c r="BP1332" i="7"/>
  <c r="BO772" i="7"/>
  <c r="BP772" i="7" s="1"/>
  <c r="BQ772" i="7"/>
  <c r="BT772" i="7" s="1"/>
  <c r="BP1617" i="7"/>
  <c r="BO1189" i="7"/>
  <c r="BP1189" i="7" s="1"/>
  <c r="BQ1189" i="7"/>
  <c r="BT1189" i="7" s="1"/>
  <c r="BO1551" i="7"/>
  <c r="BP1551" i="7" s="1"/>
  <c r="BQ1551" i="7"/>
  <c r="BT1551" i="7" s="1"/>
  <c r="BP1261" i="7"/>
  <c r="BO399" i="7"/>
  <c r="BP399" i="7" s="1"/>
  <c r="BQ399" i="7"/>
  <c r="BT399" i="7" s="1"/>
  <c r="BQ727" i="7"/>
  <c r="BT727" i="7" s="1"/>
  <c r="BO727" i="7"/>
  <c r="BP727" i="7" s="1"/>
  <c r="BO1072" i="7"/>
  <c r="BP1072" i="7" s="1"/>
  <c r="BQ1072" i="7"/>
  <c r="BT1072" i="7" s="1"/>
  <c r="BO664" i="7"/>
  <c r="BP664" i="7" s="1"/>
  <c r="BQ664" i="7"/>
  <c r="BT664" i="7" s="1"/>
  <c r="BO1078" i="7"/>
  <c r="BP1078" i="7" s="1"/>
  <c r="BQ1078" i="7"/>
  <c r="BT1078" i="7" s="1"/>
  <c r="BO1759" i="7"/>
  <c r="BP1759" i="7" s="1"/>
  <c r="BQ1759" i="7"/>
  <c r="BT1759" i="7" s="1"/>
  <c r="BO858" i="7"/>
  <c r="BP858" i="7" s="1"/>
  <c r="BQ858" i="7"/>
  <c r="BO63" i="8"/>
  <c r="BQ63" i="8"/>
  <c r="BO421" i="7"/>
  <c r="BQ421" i="7"/>
  <c r="BO2218" i="7"/>
  <c r="BP2218" i="7" s="1"/>
  <c r="BQ2218" i="7"/>
  <c r="BT2218" i="7" s="1"/>
  <c r="BO363" i="7"/>
  <c r="BP363" i="7" s="1"/>
  <c r="BQ363" i="7"/>
  <c r="BT363" i="7" s="1"/>
  <c r="BO1152" i="7"/>
  <c r="BP1152" i="7" s="1"/>
  <c r="BQ1152" i="7"/>
  <c r="BT1152" i="7" s="1"/>
  <c r="BO1539" i="7"/>
  <c r="BP1539" i="7" s="1"/>
  <c r="BQ1539" i="7"/>
  <c r="BT1539" i="7" s="1"/>
  <c r="BO1734" i="7"/>
  <c r="BP1734" i="7" s="1"/>
  <c r="BQ1734" i="7"/>
  <c r="BT1734" i="7" s="1"/>
  <c r="BQ148" i="7"/>
  <c r="BT148" i="7" s="1"/>
  <c r="BO148" i="7"/>
  <c r="BP148" i="7" s="1"/>
  <c r="BO2096" i="7"/>
  <c r="BP2096" i="7" s="1"/>
  <c r="BQ2096" i="7"/>
  <c r="BT2096" i="7" s="1"/>
  <c r="BO321" i="7"/>
  <c r="BP321" i="7" s="1"/>
  <c r="BQ321" i="7"/>
  <c r="BT321" i="7" s="1"/>
  <c r="BO1327" i="7"/>
  <c r="BP1327" i="7" s="1"/>
  <c r="BQ1327" i="7"/>
  <c r="BT1327" i="7" s="1"/>
  <c r="BO868" i="7"/>
  <c r="BP868" i="7" s="1"/>
  <c r="BQ868" i="7"/>
  <c r="BT868" i="7" s="1"/>
  <c r="BO2139" i="7"/>
  <c r="BP2139" i="7" s="1"/>
  <c r="BQ2139" i="7"/>
  <c r="BT2139" i="7" s="1"/>
  <c r="BO1091" i="7"/>
  <c r="BP1091" i="7" s="1"/>
  <c r="BQ1091" i="7"/>
  <c r="BT1091" i="7" s="1"/>
  <c r="BO1015" i="7"/>
  <c r="BP1015" i="7" s="1"/>
  <c r="BQ1015" i="7"/>
  <c r="BT1015" i="7" s="1"/>
  <c r="BO211" i="7"/>
  <c r="BP211" i="7" s="1"/>
  <c r="BQ211" i="7"/>
  <c r="BT211" i="7" s="1"/>
  <c r="BO1610" i="7"/>
  <c r="BP1610" i="7" s="1"/>
  <c r="BQ1610" i="7"/>
  <c r="BT1610" i="7" s="1"/>
  <c r="BO1099" i="7"/>
  <c r="BP1099" i="7" s="1"/>
  <c r="BQ1099" i="7"/>
  <c r="BT1099" i="7" s="1"/>
  <c r="BO758" i="7"/>
  <c r="BP758" i="7" s="1"/>
  <c r="BQ758" i="7"/>
  <c r="BT758" i="7" s="1"/>
  <c r="BO1732" i="7"/>
  <c r="BP1732" i="7" s="1"/>
  <c r="BQ1732" i="7"/>
  <c r="BT1732" i="7" s="1"/>
  <c r="BO1377" i="7"/>
  <c r="BP1377" i="7" s="1"/>
  <c r="BQ1377" i="7"/>
  <c r="BT1377" i="7" s="1"/>
  <c r="BO120" i="7"/>
  <c r="BP120" i="7" s="1"/>
  <c r="BQ120" i="7"/>
  <c r="BT120" i="7" s="1"/>
  <c r="BO274" i="7"/>
  <c r="BP274" i="7" s="1"/>
  <c r="BQ274" i="7"/>
  <c r="BT274" i="7" s="1"/>
  <c r="BO241" i="7"/>
  <c r="BP241" i="7" s="1"/>
  <c r="BQ241" i="7"/>
  <c r="BT241" i="7" s="1"/>
  <c r="BO734" i="7"/>
  <c r="BP734" i="7" s="1"/>
  <c r="BQ734" i="7"/>
  <c r="BT734" i="7" s="1"/>
  <c r="BO1700" i="7"/>
  <c r="BP1700" i="7" s="1"/>
  <c r="BQ1700" i="7"/>
  <c r="BT1700" i="7" s="1"/>
  <c r="BO194" i="7"/>
  <c r="BP194" i="7" s="1"/>
  <c r="BQ194" i="7"/>
  <c r="BT194" i="7" s="1"/>
  <c r="BQ935" i="7"/>
  <c r="BT935" i="7" s="1"/>
  <c r="BO935" i="7"/>
  <c r="BP935" i="7" s="1"/>
  <c r="BO665" i="7"/>
  <c r="BP665" i="7" s="1"/>
  <c r="BQ665" i="7"/>
  <c r="BT665" i="7" s="1"/>
  <c r="BO2129" i="7"/>
  <c r="BP2129" i="7" s="1"/>
  <c r="BQ2129" i="7"/>
  <c r="BT2129" i="7" s="1"/>
  <c r="BQ2198" i="7"/>
  <c r="BT2198" i="7" s="1"/>
  <c r="BO2198" i="7"/>
  <c r="BP2198" i="7" s="1"/>
  <c r="BO2025" i="7"/>
  <c r="BP2025" i="7" s="1"/>
  <c r="BQ2025" i="7"/>
  <c r="BT2025" i="7" s="1"/>
  <c r="BO1707" i="7"/>
  <c r="BP1707" i="7" s="1"/>
  <c r="BQ1707" i="7"/>
  <c r="BT1707" i="7" s="1"/>
  <c r="BQ881" i="7"/>
  <c r="BT881" i="7" s="1"/>
  <c r="BO881" i="7"/>
  <c r="BP881" i="7" s="1"/>
  <c r="BO1315" i="7"/>
  <c r="BP1315" i="7" s="1"/>
  <c r="BQ1315" i="7"/>
  <c r="BT1315" i="7" s="1"/>
  <c r="BQ770" i="7"/>
  <c r="BT770" i="7" s="1"/>
  <c r="BO770" i="7"/>
  <c r="BP770" i="7" s="1"/>
  <c r="BO1665" i="7"/>
  <c r="BP1665" i="7" s="1"/>
  <c r="BQ1665" i="7"/>
  <c r="BT1665" i="7" s="1"/>
  <c r="BP909" i="7"/>
  <c r="BO437" i="7"/>
  <c r="BP437" i="7" s="1"/>
  <c r="BQ437" i="7"/>
  <c r="BT437" i="7" s="1"/>
  <c r="BQ1815" i="7"/>
  <c r="BT1815" i="7" s="1"/>
  <c r="BO1815" i="7"/>
  <c r="BP1815" i="7" s="1"/>
  <c r="BO125" i="7"/>
  <c r="BP125" i="7" s="1"/>
  <c r="BQ125" i="7"/>
  <c r="BT125" i="7" s="1"/>
  <c r="BQ506" i="7"/>
  <c r="BT506" i="7" s="1"/>
  <c r="BO506" i="7"/>
  <c r="BP506" i="7" s="1"/>
  <c r="BO2261" i="7"/>
  <c r="BP2261" i="7" s="1"/>
  <c r="BQ2261" i="7"/>
  <c r="BT2261" i="7" s="1"/>
  <c r="BO2126" i="7"/>
  <c r="BP2126" i="7" s="1"/>
  <c r="BQ2126" i="7"/>
  <c r="BT2126" i="7" s="1"/>
  <c r="BO468" i="7"/>
  <c r="BP468" i="7" s="1"/>
  <c r="BQ468" i="7"/>
  <c r="BT468" i="7" s="1"/>
  <c r="BQ105" i="7"/>
  <c r="BT105" i="7" s="1"/>
  <c r="BO105" i="7"/>
  <c r="BP105" i="7" s="1"/>
  <c r="BO1922" i="7"/>
  <c r="BP1922" i="7" s="1"/>
  <c r="BQ1922" i="7"/>
  <c r="BT1922" i="7" s="1"/>
  <c r="BO1771" i="7"/>
  <c r="BP1771" i="7" s="1"/>
  <c r="BQ1771" i="7"/>
  <c r="BT1771" i="7" s="1"/>
  <c r="BO1961" i="7"/>
  <c r="BP1961" i="7" s="1"/>
  <c r="BQ1961" i="7"/>
  <c r="BT1961" i="7" s="1"/>
  <c r="BO2189" i="7"/>
  <c r="BP2189" i="7" s="1"/>
  <c r="BQ2189" i="7"/>
  <c r="BT2189" i="7" s="1"/>
  <c r="BQ1790" i="7"/>
  <c r="BT1790" i="7" s="1"/>
  <c r="BO1790" i="7"/>
  <c r="BP1790" i="7" s="1"/>
  <c r="BO831" i="7"/>
  <c r="BP831" i="7" s="1"/>
  <c r="BQ831" i="7"/>
  <c r="BT831" i="7" s="1"/>
  <c r="BO406" i="7"/>
  <c r="BP406" i="7" s="1"/>
  <c r="BQ406" i="7"/>
  <c r="BT406" i="7" s="1"/>
  <c r="BO1212" i="7"/>
  <c r="BP1212" i="7" s="1"/>
  <c r="BQ1212" i="7"/>
  <c r="BT1212" i="7" s="1"/>
  <c r="BO2063" i="7"/>
  <c r="BP2063" i="7" s="1"/>
  <c r="BQ2063" i="7"/>
  <c r="BT2063" i="7" s="1"/>
  <c r="BQ1630" i="7"/>
  <c r="BT1630" i="7" s="1"/>
  <c r="BO1630" i="7"/>
  <c r="BP1630" i="7" s="1"/>
  <c r="BO1449" i="7"/>
  <c r="BQ1449" i="7"/>
  <c r="BT1449" i="7" s="1"/>
  <c r="BO48" i="8"/>
  <c r="BQ48" i="8"/>
  <c r="BO109" i="7"/>
  <c r="BQ109" i="7"/>
  <c r="BO785" i="7"/>
  <c r="BP785" i="7" s="1"/>
  <c r="BQ785" i="7"/>
  <c r="BT785" i="7" s="1"/>
  <c r="BO988" i="7"/>
  <c r="BP988" i="7" s="1"/>
  <c r="BQ988" i="7"/>
  <c r="BT988" i="7" s="1"/>
  <c r="BO446" i="7"/>
  <c r="BP446" i="7" s="1"/>
  <c r="BQ446" i="7"/>
  <c r="BT446" i="7" s="1"/>
  <c r="BO103" i="7"/>
  <c r="BP103" i="7" s="1"/>
  <c r="BQ103" i="7"/>
  <c r="BT103" i="7" s="1"/>
  <c r="BO1824" i="7"/>
  <c r="BP1824" i="7" s="1"/>
  <c r="BQ1824" i="7"/>
  <c r="BT1824" i="7" s="1"/>
  <c r="BO1259" i="7"/>
  <c r="BP1259" i="7" s="1"/>
  <c r="BQ1259" i="7"/>
  <c r="BT1259" i="7" s="1"/>
  <c r="BO1329" i="7"/>
  <c r="BQ1329" i="7"/>
  <c r="BT1329" i="7" s="1"/>
  <c r="BO1046" i="7"/>
  <c r="BP1046" i="7" s="1"/>
  <c r="BQ1046" i="7"/>
  <c r="BT1046" i="7" s="1"/>
  <c r="BO366" i="7"/>
  <c r="BP366" i="7" s="1"/>
  <c r="BQ366" i="7"/>
  <c r="BT366" i="7" s="1"/>
  <c r="BO2161" i="7"/>
  <c r="BP2161" i="7" s="1"/>
  <c r="BQ2161" i="7"/>
  <c r="BT2161" i="7" s="1"/>
  <c r="BO1748" i="7"/>
  <c r="BP1748" i="7" s="1"/>
  <c r="BQ1748" i="7"/>
  <c r="BT1748" i="7" s="1"/>
  <c r="BO708" i="7"/>
  <c r="BP708" i="7" s="1"/>
  <c r="BQ708" i="7"/>
  <c r="BT708" i="7" s="1"/>
  <c r="BO2163" i="7"/>
  <c r="BP2163" i="7" s="1"/>
  <c r="BQ2163" i="7"/>
  <c r="BT2163" i="7" s="1"/>
  <c r="BO1295" i="7"/>
  <c r="BP1295" i="7" s="1"/>
  <c r="BQ1295" i="7"/>
  <c r="BT1295" i="7" s="1"/>
  <c r="BO286" i="7"/>
  <c r="BP286" i="7" s="1"/>
  <c r="BQ286" i="7"/>
  <c r="BT286" i="7" s="1"/>
  <c r="BO1003" i="7"/>
  <c r="BP1003" i="7" s="1"/>
  <c r="BQ1003" i="7"/>
  <c r="BT1003" i="7" s="1"/>
  <c r="BQ82" i="8"/>
  <c r="BO82" i="8"/>
  <c r="BQ91" i="7"/>
  <c r="BO91" i="7"/>
  <c r="BQ697" i="7"/>
  <c r="BT697" i="7" s="1"/>
  <c r="BO697" i="7"/>
  <c r="BP697" i="7" s="1"/>
  <c r="BO73" i="7"/>
  <c r="BP73" i="7" s="1"/>
  <c r="BQ73" i="7"/>
  <c r="BT73" i="7" s="1"/>
  <c r="BO401" i="7"/>
  <c r="BP401" i="7" s="1"/>
  <c r="BQ401" i="7"/>
  <c r="BT401" i="7" s="1"/>
  <c r="BO1587" i="7"/>
  <c r="BP1587" i="7" s="1"/>
  <c r="BQ1587" i="7"/>
  <c r="BT1587" i="7" s="1"/>
  <c r="BQ1247" i="7"/>
  <c r="BT1247" i="7" s="1"/>
  <c r="BO1247" i="7"/>
  <c r="BP1247" i="7" s="1"/>
  <c r="BO979" i="7"/>
  <c r="BP979" i="7" s="1"/>
  <c r="BQ979" i="7"/>
  <c r="BT979" i="7" s="1"/>
  <c r="BO2247" i="7"/>
  <c r="BP2247" i="7" s="1"/>
  <c r="BQ2247" i="7"/>
  <c r="BT2247" i="7" s="1"/>
  <c r="BO624" i="7"/>
  <c r="BP624" i="7" s="1"/>
  <c r="BQ624" i="7"/>
  <c r="BT624" i="7" s="1"/>
  <c r="BO1624" i="7"/>
  <c r="BP1624" i="7" s="1"/>
  <c r="BQ1624" i="7"/>
  <c r="BT1624" i="7" s="1"/>
  <c r="BO1968" i="7"/>
  <c r="BP1968" i="7" s="1"/>
  <c r="BQ1968" i="7"/>
  <c r="BT1968" i="7" s="1"/>
  <c r="BO1542" i="7"/>
  <c r="BP1542" i="7" s="1"/>
  <c r="BQ1542" i="7"/>
  <c r="BT1542" i="7" s="1"/>
  <c r="BO263" i="7"/>
  <c r="BP263" i="7" s="1"/>
  <c r="BQ263" i="7"/>
  <c r="BT263" i="7" s="1"/>
  <c r="BO512" i="7"/>
  <c r="BP512" i="7" s="1"/>
  <c r="BQ512" i="7"/>
  <c r="BT512" i="7" s="1"/>
  <c r="BO133" i="7"/>
  <c r="BP133" i="7" s="1"/>
  <c r="BQ133" i="7"/>
  <c r="BT133" i="7" s="1"/>
  <c r="BO963" i="7"/>
  <c r="BP963" i="7" s="1"/>
  <c r="BQ963" i="7"/>
  <c r="BT963" i="7" s="1"/>
  <c r="BN39" i="7"/>
  <c r="BN78" i="8"/>
  <c r="BO1589" i="7"/>
  <c r="BP1589" i="7" s="1"/>
  <c r="BQ1589" i="7"/>
  <c r="BT1589" i="7" s="1"/>
  <c r="BO246" i="7"/>
  <c r="BP246" i="7" s="1"/>
  <c r="BQ246" i="7"/>
  <c r="BT246" i="7" s="1"/>
  <c r="BO272" i="7"/>
  <c r="BP272" i="7" s="1"/>
  <c r="BQ272" i="7"/>
  <c r="BT272" i="7" s="1"/>
  <c r="BQ1180" i="7"/>
  <c r="BT1180" i="7" s="1"/>
  <c r="BO1180" i="7"/>
  <c r="BP1180" i="7" s="1"/>
  <c r="BO1382" i="7"/>
  <c r="BP1382" i="7" s="1"/>
  <c r="BQ1382" i="7"/>
  <c r="BT1382" i="7" s="1"/>
  <c r="BO1640" i="7"/>
  <c r="BP1640" i="7" s="1"/>
  <c r="BQ1640" i="7"/>
  <c r="BT1640" i="7" s="1"/>
  <c r="BO2224" i="7"/>
  <c r="BP2224" i="7" s="1"/>
  <c r="BQ2224" i="7"/>
  <c r="BT2224" i="7" s="1"/>
  <c r="BO2175" i="7"/>
  <c r="BP2175" i="7" s="1"/>
  <c r="BQ2175" i="7"/>
  <c r="BT2175" i="7" s="1"/>
  <c r="BO1391" i="7"/>
  <c r="BP1391" i="7" s="1"/>
  <c r="BQ1391" i="7"/>
  <c r="BT1391" i="7" s="1"/>
  <c r="BQ725" i="7"/>
  <c r="BT725" i="7" s="1"/>
  <c r="BO725" i="7"/>
  <c r="BP725" i="7" s="1"/>
  <c r="BO825" i="7"/>
  <c r="BP825" i="7" s="1"/>
  <c r="BQ825" i="7"/>
  <c r="BT825" i="7" s="1"/>
  <c r="BN170" i="7"/>
  <c r="BN35" i="8"/>
  <c r="BO1203" i="7"/>
  <c r="BP1203" i="7" s="1"/>
  <c r="BQ1203" i="7"/>
  <c r="BT1203" i="7" s="1"/>
  <c r="BO1613" i="7"/>
  <c r="BP1613" i="7" s="1"/>
  <c r="BQ1613" i="7"/>
  <c r="BT1613" i="7" s="1"/>
  <c r="BO327" i="7"/>
  <c r="BP327" i="7" s="1"/>
  <c r="BQ327" i="7"/>
  <c r="BT327" i="7" s="1"/>
  <c r="BO1709" i="7"/>
  <c r="BP1709" i="7" s="1"/>
  <c r="BQ1709" i="7"/>
  <c r="BT1709" i="7" s="1"/>
  <c r="BO1517" i="7"/>
  <c r="BP1517" i="7" s="1"/>
  <c r="BQ1517" i="7"/>
  <c r="BT1517" i="7" s="1"/>
  <c r="BO78" i="7"/>
  <c r="BP78" i="7" s="1"/>
  <c r="BQ78" i="7"/>
  <c r="BT78" i="7" s="1"/>
  <c r="BO1061" i="7"/>
  <c r="BQ1061" i="7"/>
  <c r="BT1061" i="7" s="1"/>
  <c r="BO703" i="7"/>
  <c r="BP703" i="7" s="1"/>
  <c r="BQ703" i="7"/>
  <c r="BT703" i="7" s="1"/>
  <c r="BO11" i="8"/>
  <c r="BQ11" i="8"/>
  <c r="BO2123" i="7"/>
  <c r="BQ2123" i="7"/>
  <c r="BO141" i="7"/>
  <c r="BP141" i="7" s="1"/>
  <c r="BQ141" i="7"/>
  <c r="BT141" i="7" s="1"/>
  <c r="BO663" i="7"/>
  <c r="BP663" i="7" s="1"/>
  <c r="BQ663" i="7"/>
  <c r="BT663" i="7" s="1"/>
  <c r="BO1919" i="7"/>
  <c r="BP1919" i="7" s="1"/>
  <c r="BQ1919" i="7"/>
  <c r="BT1919" i="7" s="1"/>
  <c r="BO253" i="7"/>
  <c r="BP253" i="7" s="1"/>
  <c r="BQ253" i="7"/>
  <c r="BT253" i="7" s="1"/>
  <c r="BO300" i="7"/>
  <c r="BP300" i="7" s="1"/>
  <c r="BQ300" i="7"/>
  <c r="BT300" i="7" s="1"/>
  <c r="BQ1772" i="7"/>
  <c r="BT1772" i="7" s="1"/>
  <c r="BO1772" i="7"/>
  <c r="BP1772" i="7" s="1"/>
  <c r="BO461" i="7"/>
  <c r="BP461" i="7" s="1"/>
  <c r="BQ461" i="7"/>
  <c r="BT461" i="7" s="1"/>
  <c r="BO2114" i="7"/>
  <c r="BP2114" i="7" s="1"/>
  <c r="BQ2114" i="7"/>
  <c r="BT2114" i="7" s="1"/>
  <c r="BO1967" i="7"/>
  <c r="BP1967" i="7" s="1"/>
  <c r="BQ1967" i="7"/>
  <c r="BT1967" i="7" s="1"/>
  <c r="BO2027" i="7"/>
  <c r="BP2027" i="7" s="1"/>
  <c r="BQ2027" i="7"/>
  <c r="BT2027" i="7" s="1"/>
  <c r="BN429" i="7"/>
  <c r="BN62" i="8"/>
  <c r="BO22" i="8"/>
  <c r="BO89" i="7"/>
  <c r="BQ89" i="7"/>
  <c r="BQ22" i="8"/>
  <c r="BP1666" i="7"/>
  <c r="BP341" i="7"/>
  <c r="BQ329" i="7"/>
  <c r="BT329" i="7" s="1"/>
  <c r="BO329" i="7"/>
  <c r="BP329" i="7" s="1"/>
  <c r="BN94" i="7"/>
  <c r="BN45" i="8"/>
  <c r="BQ73" i="8"/>
  <c r="BO73" i="8"/>
  <c r="BQ34" i="7"/>
  <c r="BO34" i="7"/>
  <c r="BQ1448" i="7"/>
  <c r="BT1448" i="7" s="1"/>
  <c r="BO1448" i="7"/>
  <c r="BP1448" i="7" s="1"/>
  <c r="BO400" i="7"/>
  <c r="BP400" i="7" s="1"/>
  <c r="BQ400" i="7"/>
  <c r="BT400" i="7" s="1"/>
  <c r="BQ1962" i="7"/>
  <c r="BT1962" i="7" s="1"/>
  <c r="BO1962" i="7"/>
  <c r="BP1962" i="7" s="1"/>
  <c r="BO1059" i="7"/>
  <c r="BP1059" i="7" s="1"/>
  <c r="BQ1059" i="7"/>
  <c r="BT1059" i="7" s="1"/>
  <c r="BO1454" i="7"/>
  <c r="BP1454" i="7" s="1"/>
  <c r="BQ1454" i="7"/>
  <c r="BT1454" i="7" s="1"/>
  <c r="BO1958" i="7"/>
  <c r="BP1958" i="7" s="1"/>
  <c r="BQ1958" i="7"/>
  <c r="BT1958" i="7" s="1"/>
  <c r="BQ675" i="7"/>
  <c r="BT675" i="7" s="1"/>
  <c r="BO675" i="7"/>
  <c r="BP675" i="7" s="1"/>
  <c r="BQ23" i="8"/>
  <c r="BO23" i="8"/>
  <c r="BO167" i="7"/>
  <c r="BQ167" i="7"/>
  <c r="BO2042" i="7"/>
  <c r="BP2042" i="7" s="1"/>
  <c r="BQ2042" i="7"/>
  <c r="BT2042" i="7" s="1"/>
  <c r="BO1174" i="7"/>
  <c r="BP1174" i="7" s="1"/>
  <c r="BQ1174" i="7"/>
  <c r="BT1174" i="7" s="1"/>
  <c r="BO225" i="7"/>
  <c r="BQ225" i="7"/>
  <c r="BT225" i="7" s="1"/>
  <c r="BQ463" i="7"/>
  <c r="BT463" i="7" s="1"/>
  <c r="BO463" i="7"/>
  <c r="BP463" i="7" s="1"/>
  <c r="BO651" i="7"/>
  <c r="BP651" i="7" s="1"/>
  <c r="BQ651" i="7"/>
  <c r="BT651" i="7" s="1"/>
  <c r="BO1298" i="7"/>
  <c r="BP1298" i="7" s="1"/>
  <c r="BS1298" i="7" s="1"/>
  <c r="BQ1298" i="7"/>
  <c r="BT1298" i="7" s="1"/>
  <c r="BO622" i="7"/>
  <c r="BP622" i="7" s="1"/>
  <c r="BQ622" i="7"/>
  <c r="BT622" i="7" s="1"/>
  <c r="BO1633" i="7"/>
  <c r="BP1633" i="7" s="1"/>
  <c r="BQ1633" i="7"/>
  <c r="BT1633" i="7" s="1"/>
  <c r="BO1715" i="7"/>
  <c r="BP1715" i="7" s="1"/>
  <c r="BQ1715" i="7"/>
  <c r="BT1715" i="7" s="1"/>
  <c r="BO1489" i="7"/>
  <c r="BP1489" i="7" s="1"/>
  <c r="BQ1489" i="7"/>
  <c r="BT1489" i="7" s="1"/>
  <c r="BO2137" i="7"/>
  <c r="BP2137" i="7" s="1"/>
  <c r="BQ2137" i="7"/>
  <c r="BT2137" i="7" s="1"/>
  <c r="BO653" i="7"/>
  <c r="BP653" i="7" s="1"/>
  <c r="BQ653" i="7"/>
  <c r="BT653" i="7" s="1"/>
  <c r="BO973" i="7"/>
  <c r="BP973" i="7" s="1"/>
  <c r="BQ973" i="7"/>
  <c r="BT973" i="7" s="1"/>
  <c r="BQ1354" i="7"/>
  <c r="BT1354" i="7" s="1"/>
  <c r="BO1354" i="7"/>
  <c r="BP1354" i="7" s="1"/>
  <c r="BO100" i="7"/>
  <c r="BP100" i="7" s="1"/>
  <c r="BQ100" i="7"/>
  <c r="BT100" i="7" s="1"/>
  <c r="BO1319" i="7"/>
  <c r="BP1319" i="7" s="1"/>
  <c r="BQ1319" i="7"/>
  <c r="BT1319" i="7" s="1"/>
  <c r="BO266" i="7"/>
  <c r="BP266" i="7" s="1"/>
  <c r="BQ266" i="7"/>
  <c r="BT266" i="7" s="1"/>
  <c r="BO1950" i="7"/>
  <c r="BP1950" i="7" s="1"/>
  <c r="BQ1950" i="7"/>
  <c r="BT1950" i="7" s="1"/>
  <c r="BO1984" i="7"/>
  <c r="BP1984" i="7" s="1"/>
  <c r="BQ1984" i="7"/>
  <c r="BT1984" i="7" s="1"/>
  <c r="BO1793" i="7"/>
  <c r="BP1793" i="7" s="1"/>
  <c r="BQ1793" i="7"/>
  <c r="BT1793" i="7" s="1"/>
  <c r="BQ2103" i="7"/>
  <c r="BT2103" i="7" s="1"/>
  <c r="BO2103" i="7"/>
  <c r="BP2103" i="7" s="1"/>
  <c r="BO1110" i="7"/>
  <c r="BP1110" i="7" s="1"/>
  <c r="BQ1110" i="7"/>
  <c r="BT1110" i="7" s="1"/>
  <c r="BQ351" i="7"/>
  <c r="BT351" i="7" s="1"/>
  <c r="BO351" i="7"/>
  <c r="BP351" i="7" s="1"/>
  <c r="BO782" i="7"/>
  <c r="BP782" i="7" s="1"/>
  <c r="BQ782" i="7"/>
  <c r="BT782" i="7" s="1"/>
  <c r="BO1727" i="7"/>
  <c r="BP1727" i="7" s="1"/>
  <c r="BQ1727" i="7"/>
  <c r="BT1727" i="7" s="1"/>
  <c r="BQ923" i="7"/>
  <c r="BT923" i="7" s="1"/>
  <c r="BO923" i="7"/>
  <c r="BP923" i="7" s="1"/>
  <c r="BQ457" i="7"/>
  <c r="BT457" i="7" s="1"/>
  <c r="BO457" i="7"/>
  <c r="BP457" i="7" s="1"/>
  <c r="BO1013" i="7"/>
  <c r="BP1013" i="7" s="1"/>
  <c r="BQ1013" i="7"/>
  <c r="BT1013" i="7" s="1"/>
  <c r="BO339" i="7"/>
  <c r="BP339" i="7" s="1"/>
  <c r="BQ339" i="7"/>
  <c r="BT339" i="7" s="1"/>
  <c r="BQ1805" i="7"/>
  <c r="BT1805" i="7" s="1"/>
  <c r="BO1805" i="7"/>
  <c r="BP1805" i="7" s="1"/>
  <c r="BQ674" i="7"/>
  <c r="BT674" i="7" s="1"/>
  <c r="BO674" i="7"/>
  <c r="BP674" i="7" s="1"/>
  <c r="BO1457" i="7"/>
  <c r="BP1457" i="7" s="1"/>
  <c r="BQ1457" i="7"/>
  <c r="BT1457" i="7" s="1"/>
  <c r="BO1035" i="7"/>
  <c r="BP1035" i="7" s="1"/>
  <c r="BQ1035" i="7"/>
  <c r="BT1035" i="7" s="1"/>
  <c r="BO635" i="7"/>
  <c r="BP635" i="7" s="1"/>
  <c r="BQ635" i="7"/>
  <c r="BT635" i="7" s="1"/>
  <c r="BO1791" i="7"/>
  <c r="BP1791" i="7" s="1"/>
  <c r="BQ1791" i="7"/>
  <c r="BT1791" i="7" s="1"/>
  <c r="BO1940" i="7"/>
  <c r="BP1940" i="7" s="1"/>
  <c r="BQ1940" i="7"/>
  <c r="BT1940" i="7" s="1"/>
  <c r="BO1365" i="7"/>
  <c r="BP1365" i="7" s="1"/>
  <c r="BQ1365" i="7"/>
  <c r="BT1365" i="7" s="1"/>
  <c r="BO1913" i="7"/>
  <c r="BP1913" i="7" s="1"/>
  <c r="BQ1913" i="7"/>
  <c r="BT1913" i="7" s="1"/>
  <c r="BQ1080" i="7"/>
  <c r="BT1080" i="7" s="1"/>
  <c r="BO1080" i="7"/>
  <c r="BP1080" i="7" s="1"/>
  <c r="BO2049" i="7"/>
  <c r="BP2049" i="7" s="1"/>
  <c r="BQ2049" i="7"/>
  <c r="BT2049" i="7" s="1"/>
  <c r="BQ1604" i="7"/>
  <c r="BT1604" i="7" s="1"/>
  <c r="BO1604" i="7"/>
  <c r="BP1604" i="7" s="1"/>
  <c r="BO230" i="7"/>
  <c r="BP230" i="7" s="1"/>
  <c r="BQ230" i="7"/>
  <c r="BT230" i="7" s="1"/>
  <c r="BQ103" i="8"/>
  <c r="BO103" i="8"/>
  <c r="BO124" i="7"/>
  <c r="BQ124" i="7"/>
  <c r="BO1347" i="7"/>
  <c r="BP1347" i="7" s="1"/>
  <c r="BQ1347" i="7"/>
  <c r="BT1347" i="7" s="1"/>
  <c r="BQ802" i="7"/>
  <c r="BT802" i="7" s="1"/>
  <c r="BO802" i="7"/>
  <c r="BP802" i="7" s="1"/>
  <c r="BO700" i="7"/>
  <c r="BP700" i="7" s="1"/>
  <c r="BQ700" i="7"/>
  <c r="BT700" i="7" s="1"/>
  <c r="BO1260" i="7"/>
  <c r="BP1260" i="7" s="1"/>
  <c r="BQ1260" i="7"/>
  <c r="BT1260" i="7" s="1"/>
  <c r="BQ372" i="7"/>
  <c r="BT372" i="7" s="1"/>
  <c r="BO372" i="7"/>
  <c r="BP372" i="7" s="1"/>
  <c r="BQ967" i="7"/>
  <c r="BT967" i="7" s="1"/>
  <c r="BO967" i="7"/>
  <c r="BP967" i="7" s="1"/>
  <c r="BO1590" i="7"/>
  <c r="BP1590" i="7" s="1"/>
  <c r="BQ1590" i="7"/>
  <c r="BT1590" i="7" s="1"/>
  <c r="BO1398" i="7"/>
  <c r="BP1398" i="7" s="1"/>
  <c r="BQ1398" i="7"/>
  <c r="BT1398" i="7" s="1"/>
  <c r="BO934" i="7"/>
  <c r="BP934" i="7" s="1"/>
  <c r="BQ934" i="7"/>
  <c r="BT934" i="7" s="1"/>
  <c r="BO1740" i="7"/>
  <c r="BP1740" i="7" s="1"/>
  <c r="BQ1740" i="7"/>
  <c r="BT1740" i="7" s="1"/>
  <c r="BO1545" i="7"/>
  <c r="BP1545" i="7" s="1"/>
  <c r="BQ1545" i="7"/>
  <c r="BT1545" i="7" s="1"/>
  <c r="BO500" i="7"/>
  <c r="BP500" i="7" s="1"/>
  <c r="BQ500" i="7"/>
  <c r="BT500" i="7" s="1"/>
  <c r="BO1325" i="7"/>
  <c r="BQ1325" i="7"/>
  <c r="BT1325" i="7" s="1"/>
  <c r="BO1267" i="7"/>
  <c r="BP1267" i="7" s="1"/>
  <c r="BQ1267" i="7"/>
  <c r="BT1267" i="7" s="1"/>
  <c r="BQ691" i="7"/>
  <c r="BT691" i="7" s="1"/>
  <c r="BO691" i="7"/>
  <c r="BP691" i="7" s="1"/>
  <c r="BQ1555" i="7"/>
  <c r="BT1555" i="7" s="1"/>
  <c r="BO1555" i="7"/>
  <c r="BP1555" i="7" s="1"/>
  <c r="BQ6" i="8"/>
  <c r="BO6" i="8"/>
  <c r="BO383" i="7"/>
  <c r="BQ383" i="7"/>
  <c r="BO507" i="7"/>
  <c r="BP507" i="7" s="1"/>
  <c r="BQ507" i="7"/>
  <c r="BT507" i="7" s="1"/>
  <c r="BO2200" i="7"/>
  <c r="BP2200" i="7" s="1"/>
  <c r="BQ2200" i="7"/>
  <c r="BT2200" i="7" s="1"/>
  <c r="BO146" i="7"/>
  <c r="BP146" i="7" s="1"/>
  <c r="BQ146" i="7"/>
  <c r="BT146" i="7" s="1"/>
  <c r="BQ1007" i="7"/>
  <c r="BT1007" i="7" s="1"/>
  <c r="BO1007" i="7"/>
  <c r="BP1007" i="7" s="1"/>
  <c r="BO776" i="7"/>
  <c r="BP776" i="7" s="1"/>
  <c r="BQ776" i="7"/>
  <c r="BT776" i="7" s="1"/>
  <c r="BO476" i="7"/>
  <c r="BP476" i="7" s="1"/>
  <c r="BQ476" i="7"/>
  <c r="BT476" i="7" s="1"/>
  <c r="BO598" i="7"/>
  <c r="BP598" i="7" s="1"/>
  <c r="BQ598" i="7"/>
  <c r="BT598" i="7" s="1"/>
  <c r="BO200" i="7"/>
  <c r="BP200" i="7" s="1"/>
  <c r="BQ200" i="7"/>
  <c r="BT200" i="7" s="1"/>
  <c r="BO1881" i="7"/>
  <c r="BP1881" i="7" s="1"/>
  <c r="BQ1881" i="7"/>
  <c r="BT1881" i="7" s="1"/>
  <c r="BO1075" i="7"/>
  <c r="BP1075" i="7" s="1"/>
  <c r="BQ1075" i="7"/>
  <c r="BT1075" i="7" s="1"/>
  <c r="BO1562" i="7"/>
  <c r="BP1562" i="7" s="1"/>
  <c r="BQ1562" i="7"/>
  <c r="BT1562" i="7" s="1"/>
  <c r="BO12" i="7"/>
  <c r="BP12" i="7" s="1"/>
  <c r="BQ12" i="7"/>
  <c r="BT12" i="7" s="1"/>
  <c r="BO84" i="7"/>
  <c r="BP84" i="7" s="1"/>
  <c r="BQ84" i="7"/>
  <c r="BT84" i="7" s="1"/>
  <c r="BO1053" i="7"/>
  <c r="BP1053" i="7" s="1"/>
  <c r="BQ1053" i="7"/>
  <c r="BT1053" i="7" s="1"/>
  <c r="BO1170" i="7"/>
  <c r="BP1170" i="7" s="1"/>
  <c r="BQ1170" i="7"/>
  <c r="BT1170" i="7" s="1"/>
  <c r="BQ1108" i="7"/>
  <c r="BT1108" i="7" s="1"/>
  <c r="BO1108" i="7"/>
  <c r="BP1108" i="7" s="1"/>
  <c r="BO1670" i="7"/>
  <c r="BP1670" i="7" s="1"/>
  <c r="BQ1670" i="7"/>
  <c r="BT1670" i="7" s="1"/>
  <c r="BO693" i="7"/>
  <c r="BP693" i="7" s="1"/>
  <c r="BQ693" i="7"/>
  <c r="BT693" i="7" s="1"/>
  <c r="BO450" i="7"/>
  <c r="BP450" i="7" s="1"/>
  <c r="BQ450" i="7"/>
  <c r="BT450" i="7" s="1"/>
  <c r="BO524" i="7"/>
  <c r="BP524" i="7" s="1"/>
  <c r="BQ524" i="7"/>
  <c r="BT524" i="7" s="1"/>
  <c r="BO533" i="7"/>
  <c r="BP533" i="7" s="1"/>
  <c r="BQ533" i="7"/>
  <c r="BT533" i="7" s="1"/>
  <c r="BO933" i="7"/>
  <c r="BP933" i="7" s="1"/>
  <c r="BQ933" i="7"/>
  <c r="BT933" i="7" s="1"/>
  <c r="BO1289" i="7"/>
  <c r="BP1289" i="7" s="1"/>
  <c r="BQ1289" i="7"/>
  <c r="BT1289" i="7" s="1"/>
  <c r="BO13" i="8"/>
  <c r="BQ13" i="8"/>
  <c r="BO1159" i="7"/>
  <c r="BQ1159" i="7"/>
  <c r="BQ629" i="7"/>
  <c r="BT629" i="7" s="1"/>
  <c r="BO629" i="7"/>
  <c r="BP629" i="7" s="1"/>
  <c r="BO1939" i="7"/>
  <c r="BP1939" i="7" s="1"/>
  <c r="BQ1939" i="7"/>
  <c r="BT1939" i="7" s="1"/>
  <c r="BO2156" i="7"/>
  <c r="BP2156" i="7" s="1"/>
  <c r="BQ2156" i="7"/>
  <c r="BT2156" i="7" s="1"/>
  <c r="BO1156" i="7"/>
  <c r="BP1156" i="7" s="1"/>
  <c r="BQ1156" i="7"/>
  <c r="BT1156" i="7" s="1"/>
  <c r="BQ1401" i="7"/>
  <c r="BT1401" i="7" s="1"/>
  <c r="BO1401" i="7"/>
  <c r="BP1401" i="7" s="1"/>
  <c r="BO2276" i="7"/>
  <c r="BP2276" i="7" s="1"/>
  <c r="BQ2276" i="7"/>
  <c r="BT2276" i="7" s="1"/>
  <c r="BO292" i="7"/>
  <c r="BP292" i="7" s="1"/>
  <c r="BQ292" i="7"/>
  <c r="BT292" i="7" s="1"/>
  <c r="BQ4" i="7"/>
  <c r="BT4" i="7" s="1"/>
  <c r="BO4" i="7"/>
  <c r="BP4" i="7" s="1"/>
  <c r="BO1043" i="7"/>
  <c r="BP1043" i="7" s="1"/>
  <c r="BQ1043" i="7"/>
  <c r="BT1043" i="7" s="1"/>
  <c r="CT16" i="1"/>
  <c r="CU16" i="1" s="1"/>
  <c r="CV16" i="1"/>
  <c r="CY16" i="1" s="1"/>
  <c r="BO615" i="7"/>
  <c r="BP615" i="7" s="1"/>
  <c r="BQ615" i="7"/>
  <c r="BT615" i="7" s="1"/>
  <c r="BO489" i="7"/>
  <c r="BP489" i="7" s="1"/>
  <c r="BQ489" i="7"/>
  <c r="BT489" i="7" s="1"/>
  <c r="BO441" i="7"/>
  <c r="BP441" i="7" s="1"/>
  <c r="BQ441" i="7"/>
  <c r="BT441" i="7" s="1"/>
  <c r="BP1449" i="7"/>
  <c r="BN109" i="7"/>
  <c r="BN48" i="8"/>
  <c r="BP1329" i="7"/>
  <c r="BO1161" i="7"/>
  <c r="BP1161" i="7" s="1"/>
  <c r="BQ1161" i="7"/>
  <c r="BT1161" i="7" s="1"/>
  <c r="BO1430" i="7"/>
  <c r="BP1430" i="7" s="1"/>
  <c r="BQ1430" i="7"/>
  <c r="BT1430" i="7" s="1"/>
  <c r="BO2005" i="7"/>
  <c r="BP2005" i="7" s="1"/>
  <c r="BQ2005" i="7"/>
  <c r="BT2005" i="7" s="1"/>
  <c r="BO720" i="7"/>
  <c r="BP720" i="7" s="1"/>
  <c r="BQ720" i="7"/>
  <c r="BT720" i="7" s="1"/>
  <c r="BO1280" i="7"/>
  <c r="BP1280" i="7" s="1"/>
  <c r="BQ1280" i="7"/>
  <c r="BT1280" i="7" s="1"/>
  <c r="BN91" i="7"/>
  <c r="BN82" i="8"/>
  <c r="BO607" i="7"/>
  <c r="BP607" i="7" s="1"/>
  <c r="BQ607" i="7"/>
  <c r="BT607" i="7" s="1"/>
  <c r="BO815" i="7"/>
  <c r="BP815" i="7" s="1"/>
  <c r="BQ815" i="7"/>
  <c r="BT815" i="7" s="1"/>
  <c r="BO855" i="7"/>
  <c r="BP855" i="7" s="1"/>
  <c r="BQ855" i="7"/>
  <c r="BT855" i="7" s="1"/>
  <c r="BO39" i="7"/>
  <c r="BQ39" i="7"/>
  <c r="BO78" i="8"/>
  <c r="BQ78" i="8"/>
  <c r="BQ1221" i="7"/>
  <c r="BT1221" i="7" s="1"/>
  <c r="BO1221" i="7"/>
  <c r="BP1221" i="7" s="1"/>
  <c r="BO1629" i="7"/>
  <c r="BP1629" i="7" s="1"/>
  <c r="BQ1629" i="7"/>
  <c r="BT1629" i="7" s="1"/>
  <c r="BO22" i="7"/>
  <c r="BP22" i="7" s="1"/>
  <c r="BQ22" i="7"/>
  <c r="BT22" i="7" s="1"/>
  <c r="BO1475" i="7"/>
  <c r="BP1475" i="7" s="1"/>
  <c r="BQ1475" i="7"/>
  <c r="BT1475" i="7" s="1"/>
  <c r="BO810" i="7"/>
  <c r="BP810" i="7" s="1"/>
  <c r="BQ810" i="7"/>
  <c r="BT810" i="7" s="1"/>
  <c r="BQ404" i="7"/>
  <c r="BT404" i="7" s="1"/>
  <c r="BO404" i="7"/>
  <c r="BP404" i="7" s="1"/>
  <c r="BO1705" i="7"/>
  <c r="BP1705" i="7" s="1"/>
  <c r="BQ1705" i="7"/>
  <c r="BT1705" i="7" s="1"/>
  <c r="BQ1103" i="7"/>
  <c r="BT1103" i="7" s="1"/>
  <c r="BO1103" i="7"/>
  <c r="BP1103" i="7" s="1"/>
  <c r="BO679" i="7"/>
  <c r="BP679" i="7" s="1"/>
  <c r="BQ679" i="7"/>
  <c r="BT679" i="7" s="1"/>
  <c r="BQ2151" i="7"/>
  <c r="BT2151" i="7" s="1"/>
  <c r="BO2151" i="7"/>
  <c r="BP2151" i="7" s="1"/>
  <c r="BO1166" i="7"/>
  <c r="BP1166" i="7" s="1"/>
  <c r="BQ1166" i="7"/>
  <c r="BT1166" i="7" s="1"/>
  <c r="BO1227" i="7"/>
  <c r="BQ1227" i="7"/>
  <c r="BT1227" i="7" s="1"/>
  <c r="BO1494" i="7"/>
  <c r="BP1494" i="7" s="1"/>
  <c r="BQ1494" i="7"/>
  <c r="BT1494" i="7" s="1"/>
  <c r="BO323" i="7"/>
  <c r="BP323" i="7" s="1"/>
  <c r="BQ323" i="7"/>
  <c r="BT323" i="7" s="1"/>
  <c r="BO1109" i="7"/>
  <c r="BP1109" i="7" s="1"/>
  <c r="BQ1109" i="7"/>
  <c r="BT1109" i="7" s="1"/>
  <c r="BO1427" i="7"/>
  <c r="BP1427" i="7" s="1"/>
  <c r="BQ1427" i="7"/>
  <c r="BT1427" i="7" s="1"/>
  <c r="BO1733" i="7"/>
  <c r="BP1733" i="7" s="1"/>
  <c r="BQ1733" i="7"/>
  <c r="BT1733" i="7" s="1"/>
  <c r="BQ1765" i="7"/>
  <c r="BT1765" i="7" s="1"/>
  <c r="BO1765" i="7"/>
  <c r="BP1765" i="7" s="1"/>
  <c r="BO41" i="8"/>
  <c r="BQ41" i="8"/>
  <c r="BQ162" i="7"/>
  <c r="BO162" i="7"/>
  <c r="BO82" i="7"/>
  <c r="BP82" i="7" s="1"/>
  <c r="BQ82" i="7"/>
  <c r="BT82" i="7" s="1"/>
  <c r="BO781" i="7"/>
  <c r="BP781" i="7" s="1"/>
  <c r="BQ781" i="7"/>
  <c r="BT781" i="7" s="1"/>
  <c r="BO1424" i="7"/>
  <c r="BP1424" i="7" s="1"/>
  <c r="BQ1424" i="7"/>
  <c r="BT1424" i="7" s="1"/>
  <c r="BO1270" i="7"/>
  <c r="BP1270" i="7" s="1"/>
  <c r="BQ1270" i="7"/>
  <c r="BT1270" i="7" s="1"/>
  <c r="BO1468" i="7"/>
  <c r="BP1468" i="7" s="1"/>
  <c r="BQ1468" i="7"/>
  <c r="BT1468" i="7" s="1"/>
  <c r="BO1023" i="7"/>
  <c r="BP1023" i="7" s="1"/>
  <c r="BQ1023" i="7"/>
  <c r="BT1023" i="7" s="1"/>
  <c r="BO492" i="7"/>
  <c r="BP492" i="7" s="1"/>
  <c r="BQ492" i="7"/>
  <c r="BT492" i="7" s="1"/>
  <c r="BO1693" i="7"/>
  <c r="BP1693" i="7" s="1"/>
  <c r="BQ1693" i="7"/>
  <c r="BT1693" i="7" s="1"/>
  <c r="BO888" i="7"/>
  <c r="BP888" i="7" s="1"/>
  <c r="BQ888" i="7"/>
  <c r="BT888" i="7" s="1"/>
  <c r="BO1018" i="7"/>
  <c r="BP1018" i="7" s="1"/>
  <c r="BQ1018" i="7"/>
  <c r="BT1018" i="7" s="1"/>
  <c r="BQ942" i="7"/>
  <c r="BT942" i="7" s="1"/>
  <c r="BO942" i="7"/>
  <c r="BP942" i="7" s="1"/>
  <c r="BQ1402" i="7"/>
  <c r="BT1402" i="7" s="1"/>
  <c r="BO1402" i="7"/>
  <c r="BP1402" i="7" s="1"/>
  <c r="BQ318" i="7"/>
  <c r="BT318" i="7" s="1"/>
  <c r="BO318" i="7"/>
  <c r="BP318" i="7" s="1"/>
  <c r="BO2201" i="7"/>
  <c r="BP2201" i="7" s="1"/>
  <c r="BQ2201" i="7"/>
  <c r="BT2201" i="7" s="1"/>
  <c r="BO2047" i="7"/>
  <c r="BP2047" i="7" s="1"/>
  <c r="BQ2047" i="7"/>
  <c r="BT2047" i="7" s="1"/>
  <c r="BO258" i="7"/>
  <c r="BP258" i="7" s="1"/>
  <c r="BQ258" i="7"/>
  <c r="BT258" i="7" s="1"/>
  <c r="BO2136" i="7"/>
  <c r="BP2136" i="7" s="1"/>
  <c r="BQ2136" i="7"/>
  <c r="BT2136" i="7" s="1"/>
  <c r="BO1011" i="7"/>
  <c r="BP1011" i="7" s="1"/>
  <c r="BQ1011" i="7"/>
  <c r="BT1011" i="7" s="1"/>
  <c r="BO1250" i="7"/>
  <c r="BP1250" i="7" s="1"/>
  <c r="BQ1250" i="7"/>
  <c r="BT1250" i="7" s="1"/>
  <c r="BO752" i="7"/>
  <c r="BP752" i="7" s="1"/>
  <c r="BQ752" i="7"/>
  <c r="BT752" i="7" s="1"/>
  <c r="BQ294" i="7"/>
  <c r="BT294" i="7" s="1"/>
  <c r="BO294" i="7"/>
  <c r="BP294" i="7" s="1"/>
  <c r="BO880" i="7"/>
  <c r="BP880" i="7" s="1"/>
  <c r="BQ880" i="7"/>
  <c r="BT880" i="7" s="1"/>
  <c r="BN166" i="7"/>
  <c r="BN39" i="8"/>
  <c r="BO819" i="7"/>
  <c r="BP819" i="7" s="1"/>
  <c r="BQ819" i="7"/>
  <c r="BT819" i="7" s="1"/>
  <c r="BO291" i="7"/>
  <c r="BP291" i="7" s="1"/>
  <c r="BQ291" i="7"/>
  <c r="BT291" i="7" s="1"/>
  <c r="BO1752" i="7"/>
  <c r="BP1752" i="7" s="1"/>
  <c r="BQ1752" i="7"/>
  <c r="BT1752" i="7" s="1"/>
  <c r="BQ27" i="8"/>
  <c r="BO27" i="8"/>
  <c r="BO152" i="7"/>
  <c r="BQ152" i="7"/>
  <c r="BO2003" i="7"/>
  <c r="BP2003" i="7" s="1"/>
  <c r="BQ2003" i="7"/>
  <c r="BT2003" i="7" s="1"/>
  <c r="BO2238" i="7"/>
  <c r="BP2238" i="7" s="1"/>
  <c r="BQ2238" i="7"/>
  <c r="BT2238" i="7" s="1"/>
  <c r="BO1784" i="7"/>
  <c r="BP1784" i="7" s="1"/>
  <c r="BQ1784" i="7"/>
  <c r="BT1784" i="7" s="1"/>
  <c r="BQ1153" i="7"/>
  <c r="BT1153" i="7" s="1"/>
  <c r="BO1153" i="7"/>
  <c r="BP1153" i="7" s="1"/>
  <c r="BO44" i="7"/>
  <c r="BP44" i="7" s="1"/>
  <c r="BQ44" i="7"/>
  <c r="BT44" i="7" s="1"/>
  <c r="BO660" i="7"/>
  <c r="BP660" i="7" s="1"/>
  <c r="BQ660" i="7"/>
  <c r="BT660" i="7" s="1"/>
  <c r="BO955" i="7"/>
  <c r="BP955" i="7" s="1"/>
  <c r="BQ955" i="7"/>
  <c r="BT955" i="7" s="1"/>
  <c r="BO2172" i="7"/>
  <c r="BP2172" i="7" s="1"/>
  <c r="BQ2172" i="7"/>
  <c r="BT2172" i="7" s="1"/>
  <c r="BO1044" i="7"/>
  <c r="BP1044" i="7" s="1"/>
  <c r="BQ1044" i="7"/>
  <c r="BT1044" i="7" s="1"/>
  <c r="BO2252" i="7"/>
  <c r="BP2252" i="7" s="1"/>
  <c r="BQ2252" i="7"/>
  <c r="BT2252" i="7" s="1"/>
  <c r="BO2272" i="7"/>
  <c r="BP2272" i="7" s="1"/>
  <c r="BQ2272" i="7"/>
  <c r="BT2272" i="7" s="1"/>
  <c r="BO503" i="7"/>
  <c r="BP503" i="7" s="1"/>
  <c r="BQ503" i="7"/>
  <c r="BT503" i="7" s="1"/>
  <c r="BO957" i="7"/>
  <c r="BP957" i="7" s="1"/>
  <c r="BQ957" i="7"/>
  <c r="BT957" i="7" s="1"/>
  <c r="BO1527" i="7"/>
  <c r="BP1527" i="7" s="1"/>
  <c r="BQ1527" i="7"/>
  <c r="BT1527" i="7" s="1"/>
  <c r="BO1311" i="7"/>
  <c r="BP1311" i="7" s="1"/>
  <c r="BQ1311" i="7"/>
  <c r="BT1311" i="7" s="1"/>
  <c r="BO687" i="7"/>
  <c r="BP687" i="7" s="1"/>
  <c r="BQ687" i="7"/>
  <c r="BT687" i="7" s="1"/>
  <c r="BO579" i="7"/>
  <c r="BP579" i="7" s="1"/>
  <c r="BQ579" i="7"/>
  <c r="BT579" i="7" s="1"/>
  <c r="BO1788" i="7"/>
  <c r="BQ1788" i="7"/>
  <c r="BT1788" i="7" s="1"/>
  <c r="BO2058" i="7"/>
  <c r="BP2058" i="7" s="1"/>
  <c r="BQ2058" i="7"/>
  <c r="BT2058" i="7" s="1"/>
  <c r="BO1620" i="7"/>
  <c r="BP1620" i="7" s="1"/>
  <c r="BQ1620" i="7"/>
  <c r="BT1620" i="7" s="1"/>
  <c r="BP1061" i="7"/>
  <c r="BO2165" i="7"/>
  <c r="BP2165" i="7" s="1"/>
  <c r="BQ2165" i="7"/>
  <c r="BT2165" i="7" s="1"/>
  <c r="BN2123" i="7"/>
  <c r="BP11" i="8" s="1"/>
  <c r="BN11" i="8"/>
  <c r="BN154" i="7"/>
  <c r="BN88" i="8"/>
  <c r="BO1040" i="7"/>
  <c r="BP1040" i="7" s="1"/>
  <c r="BQ1040" i="7"/>
  <c r="BT1040" i="7" s="1"/>
  <c r="BO58" i="7"/>
  <c r="BP58" i="7" s="1"/>
  <c r="BQ58" i="7"/>
  <c r="BT58" i="7" s="1"/>
  <c r="BO495" i="7"/>
  <c r="BP495" i="7" s="1"/>
  <c r="BQ495" i="7"/>
  <c r="BT495" i="7" s="1"/>
  <c r="BO1394" i="7"/>
  <c r="BP1394" i="7" s="1"/>
  <c r="BQ1394" i="7"/>
  <c r="BT1394" i="7" s="1"/>
  <c r="BO160" i="7"/>
  <c r="BP160" i="7" s="1"/>
  <c r="BQ160" i="7"/>
  <c r="BT160" i="7" s="1"/>
  <c r="BO443" i="7"/>
  <c r="BP443" i="7" s="1"/>
  <c r="BQ443" i="7"/>
  <c r="BT443" i="7" s="1"/>
  <c r="BO1638" i="7"/>
  <c r="BP1638" i="7" s="1"/>
  <c r="BQ1638" i="7"/>
  <c r="BT1638" i="7" s="1"/>
  <c r="BO1866" i="7"/>
  <c r="BP1866" i="7" s="1"/>
  <c r="BQ1866" i="7"/>
  <c r="BT1866" i="7" s="1"/>
  <c r="BO2131" i="7"/>
  <c r="BP2131" i="7" s="1"/>
  <c r="BQ2131" i="7"/>
  <c r="BT2131" i="7" s="1"/>
  <c r="BO1906" i="7"/>
  <c r="BP1906" i="7" s="1"/>
  <c r="BQ1906" i="7"/>
  <c r="BT1906" i="7" s="1"/>
  <c r="BQ1124" i="7"/>
  <c r="BT1124" i="7" s="1"/>
  <c r="BO1124" i="7"/>
  <c r="BP1124" i="7" s="1"/>
  <c r="BO634" i="7"/>
  <c r="BP634" i="7" s="1"/>
  <c r="BQ634" i="7"/>
  <c r="BT634" i="7" s="1"/>
  <c r="BO231" i="7"/>
  <c r="BP231" i="7" s="1"/>
  <c r="BQ231" i="7"/>
  <c r="BT231" i="7" s="1"/>
  <c r="BQ1278" i="7"/>
  <c r="BT1278" i="7" s="1"/>
  <c r="BO1278" i="7"/>
  <c r="BP1278" i="7" s="1"/>
  <c r="BO1220" i="7"/>
  <c r="BP1220" i="7" s="1"/>
  <c r="BQ1220" i="7"/>
  <c r="BT1220" i="7" s="1"/>
  <c r="BO1804" i="7"/>
  <c r="BP1804" i="7" s="1"/>
  <c r="BQ1804" i="7"/>
  <c r="BT1804" i="7" s="1"/>
  <c r="BQ1054" i="7"/>
  <c r="BT1054" i="7" s="1"/>
  <c r="BO1054" i="7"/>
  <c r="BP1054" i="7" s="1"/>
  <c r="BO2007" i="7"/>
  <c r="BP2007" i="7" s="1"/>
  <c r="BQ2007" i="7"/>
  <c r="BT2007" i="7" s="1"/>
  <c r="BO1348" i="7"/>
  <c r="BP1348" i="7" s="1"/>
  <c r="BQ1348" i="7"/>
  <c r="BT1348" i="7" s="1"/>
  <c r="BO587" i="7"/>
  <c r="BP587" i="7" s="1"/>
  <c r="BQ587" i="7"/>
  <c r="BT587" i="7" s="1"/>
  <c r="BQ1062" i="7"/>
  <c r="BT1062" i="7" s="1"/>
  <c r="BO1062" i="7"/>
  <c r="BP1062" i="7" s="1"/>
  <c r="BO2158" i="7"/>
  <c r="BP2158" i="7" s="1"/>
  <c r="BQ2158" i="7"/>
  <c r="BT2158" i="7" s="1"/>
  <c r="BO1186" i="7"/>
  <c r="BP1186" i="7" s="1"/>
  <c r="BQ1186" i="7"/>
  <c r="BT1186" i="7" s="1"/>
  <c r="BO136" i="7"/>
  <c r="BQ136" i="7"/>
  <c r="BT136" i="7" s="1"/>
  <c r="BO322" i="7"/>
  <c r="BP322" i="7" s="1"/>
  <c r="BQ322" i="7"/>
  <c r="BT322" i="7" s="1"/>
  <c r="BO1200" i="7"/>
  <c r="BP1200" i="7" s="1"/>
  <c r="BQ1200" i="7"/>
  <c r="BT1200" i="7" s="1"/>
  <c r="BO190" i="7"/>
  <c r="BP190" i="7" s="1"/>
  <c r="BQ190" i="7"/>
  <c r="BT190" i="7" s="1"/>
  <c r="BO2154" i="7"/>
  <c r="BP2154" i="7" s="1"/>
  <c r="BQ2154" i="7"/>
  <c r="BT2154" i="7" s="1"/>
  <c r="BO1794" i="7"/>
  <c r="BP1794" i="7" s="1"/>
  <c r="BQ1794" i="7"/>
  <c r="BT1794" i="7" s="1"/>
  <c r="BO556" i="7"/>
  <c r="BP556" i="7" s="1"/>
  <c r="BQ556" i="7"/>
  <c r="BT556" i="7" s="1"/>
  <c r="BO1781" i="7"/>
  <c r="BP1781" i="7" s="1"/>
  <c r="BQ1781" i="7"/>
  <c r="BT1781" i="7" s="1"/>
  <c r="BO1662" i="7"/>
  <c r="BP1662" i="7" s="1"/>
  <c r="BQ1662" i="7"/>
  <c r="BT1662" i="7" s="1"/>
  <c r="BO915" i="7"/>
  <c r="BP915" i="7" s="1"/>
  <c r="BQ915" i="7"/>
  <c r="BT915" i="7" s="1"/>
  <c r="BO117" i="7"/>
  <c r="BP117" i="7" s="1"/>
  <c r="BQ117" i="7"/>
  <c r="BT117" i="7" s="1"/>
  <c r="BO1907" i="7"/>
  <c r="BP1907" i="7" s="1"/>
  <c r="BQ1907" i="7"/>
  <c r="BT1907" i="7" s="1"/>
  <c r="BO796" i="7"/>
  <c r="BP796" i="7" s="1"/>
  <c r="BQ796" i="7"/>
  <c r="BT796" i="7" s="1"/>
  <c r="BO375" i="7"/>
  <c r="BP375" i="7" s="1"/>
  <c r="BQ375" i="7"/>
  <c r="BT375" i="7" s="1"/>
  <c r="BO1911" i="7"/>
  <c r="BQ1911" i="7"/>
  <c r="BT1911" i="7" s="1"/>
  <c r="BO354" i="7"/>
  <c r="BP354" i="7" s="1"/>
  <c r="BQ354" i="7"/>
  <c r="BT354" i="7" s="1"/>
  <c r="BO908" i="7"/>
  <c r="BP908" i="7" s="1"/>
  <c r="BQ908" i="7"/>
  <c r="BT908" i="7" s="1"/>
  <c r="BQ637" i="7"/>
  <c r="BT637" i="7" s="1"/>
  <c r="BO637" i="7"/>
  <c r="BP637" i="7" s="1"/>
  <c r="BN216" i="7"/>
  <c r="BN95" i="8"/>
  <c r="BQ1224" i="7"/>
  <c r="BT1224" i="7" s="1"/>
  <c r="BO1224" i="7"/>
  <c r="BP1224" i="7" s="1"/>
  <c r="BO863" i="7"/>
  <c r="BP863" i="7" s="1"/>
  <c r="BQ863" i="7"/>
  <c r="BT863" i="7" s="1"/>
  <c r="BO189" i="7"/>
  <c r="BP189" i="7" s="1"/>
  <c r="BQ189" i="7"/>
  <c r="BT189" i="7" s="1"/>
  <c r="BO1455" i="7"/>
  <c r="BP1455" i="7" s="1"/>
  <c r="BQ1455" i="7"/>
  <c r="BT1455" i="7" s="1"/>
  <c r="BO127" i="7"/>
  <c r="BP127" i="7" s="1"/>
  <c r="BQ127" i="7"/>
  <c r="BT127" i="7" s="1"/>
  <c r="BO712" i="7"/>
  <c r="BP712" i="7" s="1"/>
  <c r="BQ712" i="7"/>
  <c r="BT712" i="7" s="1"/>
  <c r="BO910" i="7"/>
  <c r="BP910" i="7" s="1"/>
  <c r="BQ910" i="7"/>
  <c r="BT910" i="7" s="1"/>
  <c r="BO1396" i="7"/>
  <c r="BP1396" i="7" s="1"/>
  <c r="BQ1396" i="7"/>
  <c r="BT1396" i="7" s="1"/>
  <c r="BN167" i="7"/>
  <c r="BP23" i="8" s="1"/>
  <c r="BN23" i="8"/>
  <c r="BO613" i="7"/>
  <c r="BP613" i="7" s="1"/>
  <c r="BQ613" i="7"/>
  <c r="BT613" i="7" s="1"/>
  <c r="BP225" i="7"/>
  <c r="BQ1945" i="7"/>
  <c r="BT1945" i="7" s="1"/>
  <c r="BO1945" i="7"/>
  <c r="BP1945" i="7" s="1"/>
  <c r="BO2097" i="7"/>
  <c r="BP2097" i="7" s="1"/>
  <c r="BQ2097" i="7"/>
  <c r="BT2097" i="7" s="1"/>
  <c r="BQ1372" i="7"/>
  <c r="BT1372" i="7" s="1"/>
  <c r="BO1372" i="7"/>
  <c r="BP1372" i="7" s="1"/>
  <c r="BO33" i="7"/>
  <c r="BO72" i="8"/>
  <c r="BQ72" i="8"/>
  <c r="BQ33" i="7"/>
  <c r="BO738" i="7"/>
  <c r="BP738" i="7" s="1"/>
  <c r="BQ738" i="7"/>
  <c r="BT738" i="7" s="1"/>
  <c r="BO2268" i="7"/>
  <c r="BP2268" i="7" s="1"/>
  <c r="BQ2268" i="7"/>
  <c r="BT2268" i="7" s="1"/>
  <c r="BO1701" i="7"/>
  <c r="BP1701" i="7" s="1"/>
  <c r="BQ1701" i="7"/>
  <c r="BT1701" i="7" s="1"/>
  <c r="BO2059" i="7"/>
  <c r="BP2059" i="7" s="1"/>
  <c r="BQ2059" i="7"/>
  <c r="BT2059" i="7" s="1"/>
  <c r="BO2079" i="7"/>
  <c r="BP2079" i="7" s="1"/>
  <c r="BQ2079" i="7"/>
  <c r="BT2079" i="7" s="1"/>
  <c r="BO2054" i="7"/>
  <c r="BP2054" i="7" s="1"/>
  <c r="BQ2054" i="7"/>
  <c r="BT2054" i="7" s="1"/>
  <c r="BO368" i="7"/>
  <c r="BP368" i="7" s="1"/>
  <c r="BQ368" i="7"/>
  <c r="BT368" i="7" s="1"/>
  <c r="BO2275" i="7"/>
  <c r="BP2275" i="7" s="1"/>
  <c r="BQ2275" i="7"/>
  <c r="BT2275" i="7" s="1"/>
  <c r="BO13" i="7"/>
  <c r="BP13" i="7" s="1"/>
  <c r="BQ13" i="7"/>
  <c r="BT13" i="7" s="1"/>
  <c r="BO2020" i="7"/>
  <c r="BP2020" i="7" s="1"/>
  <c r="BQ2020" i="7"/>
  <c r="BT2020" i="7" s="1"/>
  <c r="BP1325" i="7"/>
  <c r="BO1660" i="7"/>
  <c r="BP1660" i="7" s="1"/>
  <c r="BQ1660" i="7"/>
  <c r="BT1660" i="7" s="1"/>
  <c r="BN383" i="7"/>
  <c r="BN6" i="8"/>
  <c r="BO1918" i="7"/>
  <c r="BP1918" i="7" s="1"/>
  <c r="BQ1918" i="7"/>
  <c r="BT1918" i="7" s="1"/>
  <c r="BQ800" i="7"/>
  <c r="BT800" i="7" s="1"/>
  <c r="BO800" i="7"/>
  <c r="BP800" i="7" s="1"/>
  <c r="BO593" i="7"/>
  <c r="BP593" i="7" s="1"/>
  <c r="BQ593" i="7"/>
  <c r="BT593" i="7" s="1"/>
  <c r="BQ1171" i="7"/>
  <c r="BT1171" i="7" s="1"/>
  <c r="BO1171" i="7"/>
  <c r="BP1171" i="7" s="1"/>
  <c r="BO912" i="7"/>
  <c r="BP912" i="7" s="1"/>
  <c r="BQ912" i="7"/>
  <c r="BT912" i="7" s="1"/>
  <c r="BO1890" i="7"/>
  <c r="BP1890" i="7" s="1"/>
  <c r="BQ1890" i="7"/>
  <c r="BT1890" i="7" s="1"/>
  <c r="BN1159" i="7"/>
  <c r="BN13" i="8"/>
  <c r="BO1096" i="7"/>
  <c r="BP1096" i="7" s="1"/>
  <c r="BQ1096" i="7"/>
  <c r="BT1096" i="7" s="1"/>
  <c r="BO2166" i="7"/>
  <c r="BP2166" i="7" s="1"/>
  <c r="BQ2166" i="7"/>
  <c r="BT2166" i="7" s="1"/>
  <c r="BO472" i="7"/>
  <c r="BP472" i="7" s="1"/>
  <c r="BQ472" i="7"/>
  <c r="BT472" i="7" s="1"/>
  <c r="BN164" i="7"/>
  <c r="BN38" i="8"/>
  <c r="BO893" i="7"/>
  <c r="BP893" i="7" s="1"/>
  <c r="BQ893" i="7"/>
  <c r="BT893" i="7" s="1"/>
  <c r="BO1531" i="7"/>
  <c r="BP1531" i="7" s="1"/>
  <c r="BQ1531" i="7"/>
  <c r="BT1531" i="7" s="1"/>
  <c r="BQ573" i="7"/>
  <c r="BT573" i="7" s="1"/>
  <c r="BO573" i="7"/>
  <c r="BP573" i="7" s="1"/>
  <c r="BO350" i="7"/>
  <c r="BP350" i="7" s="1"/>
  <c r="BQ350" i="7"/>
  <c r="BT350" i="7" s="1"/>
  <c r="BO592" i="7"/>
  <c r="BP592" i="7" s="1"/>
  <c r="BQ592" i="7"/>
  <c r="BT592" i="7" s="1"/>
  <c r="BO1284" i="7"/>
  <c r="BP1284" i="7" s="1"/>
  <c r="BQ1284" i="7"/>
  <c r="BT1284" i="7" s="1"/>
  <c r="BQ560" i="7"/>
  <c r="BT560" i="7" s="1"/>
  <c r="BO560" i="7"/>
  <c r="BP560" i="7" s="1"/>
  <c r="BO2061" i="7"/>
  <c r="BP2061" i="7" s="1"/>
  <c r="BQ2061" i="7"/>
  <c r="BT2061" i="7" s="1"/>
  <c r="BO2036" i="7"/>
  <c r="BP2036" i="7" s="1"/>
  <c r="BQ2036" i="7"/>
  <c r="BT2036" i="7" s="1"/>
  <c r="BO757" i="7"/>
  <c r="BP757" i="7" s="1"/>
  <c r="BQ757" i="7"/>
  <c r="BT757" i="7" s="1"/>
  <c r="BQ17" i="8"/>
  <c r="BO17" i="8"/>
  <c r="BO2237" i="7"/>
  <c r="BQ2237" i="7"/>
  <c r="BO1658" i="7"/>
  <c r="BP1658" i="7" s="1"/>
  <c r="BQ1658" i="7"/>
  <c r="BT1658" i="7" s="1"/>
  <c r="BO1435" i="7"/>
  <c r="BP1435" i="7" s="1"/>
  <c r="BQ1435" i="7"/>
  <c r="BT1435" i="7" s="1"/>
  <c r="BQ1978" i="7"/>
  <c r="BT1978" i="7" s="1"/>
  <c r="BO1978" i="7"/>
  <c r="BP1978" i="7" s="1"/>
  <c r="BO793" i="7"/>
  <c r="BP793" i="7" s="1"/>
  <c r="BQ793" i="7"/>
  <c r="BT793" i="7" s="1"/>
  <c r="BO2015" i="7"/>
  <c r="BP2015" i="7" s="1"/>
  <c r="BQ2015" i="7"/>
  <c r="BT2015" i="7" s="1"/>
  <c r="BO1379" i="7"/>
  <c r="BP1379" i="7" s="1"/>
  <c r="BQ1379" i="7"/>
  <c r="BT1379" i="7" s="1"/>
  <c r="BQ655" i="7"/>
  <c r="BT655" i="7" s="1"/>
  <c r="BO655" i="7"/>
  <c r="BP655" i="7" s="1"/>
  <c r="BO1143" i="7"/>
  <c r="BP1143" i="7" s="1"/>
  <c r="BQ1143" i="7"/>
  <c r="BT1143" i="7" s="1"/>
  <c r="BO926" i="7"/>
  <c r="BP926" i="7" s="1"/>
  <c r="BQ926" i="7"/>
  <c r="BT926" i="7" s="1"/>
  <c r="BO1632" i="7"/>
  <c r="BP1632" i="7" s="1"/>
  <c r="BQ1632" i="7"/>
  <c r="BT1632" i="7" s="1"/>
  <c r="BO1496" i="7"/>
  <c r="BP1496" i="7" s="1"/>
  <c r="BQ1496" i="7"/>
  <c r="BT1496" i="7" s="1"/>
  <c r="BO1204" i="7"/>
  <c r="BP1204" i="7" s="1"/>
  <c r="BQ1204" i="7"/>
  <c r="BT1204" i="7" s="1"/>
  <c r="BO201" i="7"/>
  <c r="BP201" i="7" s="1"/>
  <c r="BQ201" i="7"/>
  <c r="BT201" i="7" s="1"/>
  <c r="BO645" i="7"/>
  <c r="BP645" i="7" s="1"/>
  <c r="BQ645" i="7"/>
  <c r="BT645" i="7" s="1"/>
  <c r="BO1146" i="7"/>
  <c r="BQ1146" i="7"/>
  <c r="BT1146" i="7" s="1"/>
  <c r="BO596" i="7"/>
  <c r="BP596" i="7" s="1"/>
  <c r="BQ596" i="7"/>
  <c r="BT596" i="7" s="1"/>
  <c r="BO1698" i="7"/>
  <c r="BP1698" i="7" s="1"/>
  <c r="BQ1698" i="7"/>
  <c r="BT1698" i="7" s="1"/>
  <c r="BO1809" i="7"/>
  <c r="BP1809" i="7" s="1"/>
  <c r="BQ1809" i="7"/>
  <c r="BT1809" i="7" s="1"/>
  <c r="BO1058" i="7"/>
  <c r="BP1058" i="7" s="1"/>
  <c r="BQ1058" i="7"/>
  <c r="BT1058" i="7" s="1"/>
  <c r="BO1026" i="7"/>
  <c r="BP1026" i="7" s="1"/>
  <c r="BQ1026" i="7"/>
  <c r="BT1026" i="7" s="1"/>
  <c r="BQ2183" i="7"/>
  <c r="BT2183" i="7" s="1"/>
  <c r="BO2183" i="7"/>
  <c r="BP2183" i="7" s="1"/>
  <c r="BQ66" i="8"/>
  <c r="BO66" i="8"/>
  <c r="BO27" i="7"/>
  <c r="BQ27" i="7"/>
  <c r="BQ458" i="7"/>
  <c r="BT458" i="7" s="1"/>
  <c r="BO458" i="7"/>
  <c r="BP458" i="7" s="1"/>
  <c r="BO1355" i="7"/>
  <c r="BP1355" i="7" s="1"/>
  <c r="BQ1355" i="7"/>
  <c r="BT1355" i="7" s="1"/>
  <c r="BO1966" i="7"/>
  <c r="BP1966" i="7" s="1"/>
  <c r="BQ1966" i="7"/>
  <c r="BT1966" i="7" s="1"/>
  <c r="BO2144" i="7"/>
  <c r="BP2144" i="7" s="1"/>
  <c r="BQ2144" i="7"/>
  <c r="BT2144" i="7" s="1"/>
  <c r="BO1557" i="7"/>
  <c r="BP1557" i="7" s="1"/>
  <c r="BQ1557" i="7"/>
  <c r="BT1557" i="7" s="1"/>
  <c r="BO1674" i="7"/>
  <c r="BP1674" i="7" s="1"/>
  <c r="BQ1674" i="7"/>
  <c r="BT1674" i="7" s="1"/>
  <c r="BQ64" i="8"/>
  <c r="BO64" i="8"/>
  <c r="BO51" i="7"/>
  <c r="BQ51" i="7"/>
  <c r="BO2253" i="7"/>
  <c r="BP2253" i="7" s="1"/>
  <c r="BQ2253" i="7"/>
  <c r="BT2253" i="7" s="1"/>
  <c r="BO1000" i="7"/>
  <c r="BP1000" i="7" s="1"/>
  <c r="BQ1000" i="7"/>
  <c r="BT1000" i="7" s="1"/>
  <c r="BQ75" i="8"/>
  <c r="BO36" i="7"/>
  <c r="BQ36" i="7"/>
  <c r="BO75" i="8"/>
  <c r="BO83" i="7"/>
  <c r="BQ83" i="7"/>
  <c r="BT83" i="7" s="1"/>
  <c r="BO1181" i="7"/>
  <c r="BP1181" i="7" s="1"/>
  <c r="BQ1181" i="7"/>
  <c r="BT1181" i="7" s="1"/>
  <c r="BO907" i="7"/>
  <c r="BP907" i="7" s="1"/>
  <c r="BQ907" i="7"/>
  <c r="BT907" i="7" s="1"/>
  <c r="BO2038" i="7"/>
  <c r="BP2038" i="7" s="1"/>
  <c r="BQ2038" i="7"/>
  <c r="BT2038" i="7" s="1"/>
  <c r="BO936" i="7"/>
  <c r="BP936" i="7" s="1"/>
  <c r="BQ936" i="7"/>
  <c r="BT936" i="7" s="1"/>
  <c r="BO369" i="7"/>
  <c r="BP369" i="7" s="1"/>
  <c r="BQ369" i="7"/>
  <c r="BT369" i="7" s="1"/>
  <c r="BO481" i="7"/>
  <c r="BP481" i="7" s="1"/>
  <c r="BQ481" i="7"/>
  <c r="BT481" i="7" s="1"/>
  <c r="BO413" i="7"/>
  <c r="BP413" i="7" s="1"/>
  <c r="BQ413" i="7"/>
  <c r="BT413" i="7" s="1"/>
  <c r="BO1691" i="7"/>
  <c r="BP1691" i="7" s="1"/>
  <c r="BQ1691" i="7"/>
  <c r="BT1691" i="7" s="1"/>
  <c r="BQ1218" i="7"/>
  <c r="BT1218" i="7" s="1"/>
  <c r="BO1218" i="7"/>
  <c r="BP1218" i="7" s="1"/>
  <c r="BO1745" i="7"/>
  <c r="BP1745" i="7" s="1"/>
  <c r="BQ1745" i="7"/>
  <c r="BT1745" i="7" s="1"/>
  <c r="BQ1537" i="7"/>
  <c r="BT1537" i="7" s="1"/>
  <c r="BO1537" i="7"/>
  <c r="BP1537" i="7" s="1"/>
  <c r="BO1822" i="7"/>
  <c r="BP1822" i="7" s="1"/>
  <c r="BQ1822" i="7"/>
  <c r="BT1822" i="7" s="1"/>
  <c r="BQ391" i="7"/>
  <c r="BT391" i="7" s="1"/>
  <c r="BO391" i="7"/>
  <c r="BP391" i="7" s="1"/>
  <c r="BO1534" i="7"/>
  <c r="BP1534" i="7" s="1"/>
  <c r="BQ1534" i="7"/>
  <c r="BT1534" i="7" s="1"/>
  <c r="BO371" i="7"/>
  <c r="BP371" i="7" s="1"/>
  <c r="BQ371" i="7"/>
  <c r="BT371" i="7" s="1"/>
  <c r="BQ379" i="7"/>
  <c r="BT379" i="7" s="1"/>
  <c r="BO379" i="7"/>
  <c r="BP379" i="7" s="1"/>
  <c r="BO2088" i="7"/>
  <c r="BP2088" i="7" s="1"/>
  <c r="BQ2088" i="7"/>
  <c r="BT2088" i="7" s="1"/>
  <c r="BO2262" i="7"/>
  <c r="BP2262" i="7" s="1"/>
  <c r="BQ2262" i="7"/>
  <c r="BT2262" i="7" s="1"/>
  <c r="BO1142" i="7"/>
  <c r="BP1142" i="7" s="1"/>
  <c r="BQ1142" i="7"/>
  <c r="BT1142" i="7" s="1"/>
  <c r="BO2146" i="7"/>
  <c r="BP2146" i="7" s="1"/>
  <c r="BQ2146" i="7"/>
  <c r="BT2146" i="7" s="1"/>
  <c r="BO1196" i="7"/>
  <c r="BP1196" i="7" s="1"/>
  <c r="BQ1196" i="7"/>
  <c r="BT1196" i="7" s="1"/>
  <c r="BO277" i="7"/>
  <c r="BP277" i="7" s="1"/>
  <c r="BQ277" i="7"/>
  <c r="BT277" i="7" s="1"/>
  <c r="BO1129" i="7"/>
  <c r="BP1129" i="7" s="1"/>
  <c r="BQ1129" i="7"/>
  <c r="BT1129" i="7" s="1"/>
  <c r="BO1682" i="7"/>
  <c r="BO16" i="8"/>
  <c r="BQ1682" i="7"/>
  <c r="BQ16" i="8"/>
  <c r="BO1594" i="7"/>
  <c r="BP1594" i="7" s="1"/>
  <c r="BQ1594" i="7"/>
  <c r="BT1594" i="7" s="1"/>
  <c r="BO899" i="7"/>
  <c r="BP899" i="7" s="1"/>
  <c r="BQ899" i="7"/>
  <c r="BT899" i="7" s="1"/>
  <c r="BO742" i="7"/>
  <c r="BP742" i="7" s="1"/>
  <c r="BQ742" i="7"/>
  <c r="BT742" i="7" s="1"/>
  <c r="BQ85" i="8"/>
  <c r="BO85" i="8"/>
  <c r="BQ54" i="7"/>
  <c r="BO54" i="7"/>
  <c r="BQ1333" i="7"/>
  <c r="BT1333" i="7" s="1"/>
  <c r="BO1333" i="7"/>
  <c r="BP1333" i="7" s="1"/>
  <c r="BO1029" i="7"/>
  <c r="BP1029" i="7" s="1"/>
  <c r="BQ1029" i="7"/>
  <c r="BT1029" i="7" s="1"/>
  <c r="BO46" i="8"/>
  <c r="BQ46" i="8"/>
  <c r="BQ93" i="7"/>
  <c r="BO93" i="7"/>
  <c r="BO647" i="7"/>
  <c r="BP647" i="7" s="1"/>
  <c r="BQ647" i="7"/>
  <c r="BT647" i="7" s="1"/>
  <c r="BO265" i="7"/>
  <c r="BP265" i="7" s="1"/>
  <c r="BQ265" i="7"/>
  <c r="BT265" i="7" s="1"/>
  <c r="BO77" i="7"/>
  <c r="BP77" i="7" s="1"/>
  <c r="BQ77" i="7"/>
  <c r="BT77" i="7" s="1"/>
  <c r="BO1178" i="7"/>
  <c r="BP1178" i="7" s="1"/>
  <c r="BQ1178" i="7"/>
  <c r="BT1178" i="7" s="1"/>
  <c r="BO794" i="7"/>
  <c r="BQ794" i="7"/>
  <c r="BT794" i="7" s="1"/>
  <c r="BN172" i="7"/>
  <c r="BN30" i="8"/>
  <c r="BQ1710" i="7"/>
  <c r="BT1710" i="7" s="1"/>
  <c r="BO1710" i="7"/>
  <c r="BP1710" i="7" s="1"/>
  <c r="BO2215" i="7"/>
  <c r="BP2215" i="7" s="1"/>
  <c r="BQ2215" i="7"/>
  <c r="BT2215" i="7" s="1"/>
  <c r="BO57" i="7"/>
  <c r="BP57" i="7" s="1"/>
  <c r="BQ57" i="7"/>
  <c r="BT57" i="7" s="1"/>
  <c r="BO2164" i="7"/>
  <c r="BP2164" i="7" s="1"/>
  <c r="BQ2164" i="7"/>
  <c r="BT2164" i="7" s="1"/>
  <c r="BO1293" i="7"/>
  <c r="BP1293" i="7" s="1"/>
  <c r="BQ1293" i="7"/>
  <c r="BT1293" i="7" s="1"/>
  <c r="BO2235" i="7"/>
  <c r="BP2235" i="7" s="1"/>
  <c r="BQ2235" i="7"/>
  <c r="BT2235" i="7" s="1"/>
  <c r="BO1623" i="7"/>
  <c r="BP1623" i="7" s="1"/>
  <c r="BQ1623" i="7"/>
  <c r="BT1623" i="7" s="1"/>
  <c r="BP1227" i="7"/>
  <c r="BO1370" i="7"/>
  <c r="BP1370" i="7" s="1"/>
  <c r="BQ1370" i="7"/>
  <c r="BT1370" i="7" s="1"/>
  <c r="BO1915" i="7"/>
  <c r="BP1915" i="7" s="1"/>
  <c r="BQ1915" i="7"/>
  <c r="BT1915" i="7" s="1"/>
  <c r="BN162" i="7"/>
  <c r="BN41" i="8"/>
  <c r="BO804" i="7"/>
  <c r="BP804" i="7" s="1"/>
  <c r="BQ804" i="7"/>
  <c r="BT804" i="7" s="1"/>
  <c r="BQ1750" i="7"/>
  <c r="BT1750" i="7" s="1"/>
  <c r="BO1750" i="7"/>
  <c r="BP1750" i="7" s="1"/>
  <c r="BQ1275" i="7"/>
  <c r="BT1275" i="7" s="1"/>
  <c r="BO1275" i="7"/>
  <c r="BP1275" i="7" s="1"/>
  <c r="BQ357" i="7"/>
  <c r="BT357" i="7" s="1"/>
  <c r="BO357" i="7"/>
  <c r="BP357" i="7" s="1"/>
  <c r="BO1997" i="7"/>
  <c r="BP1997" i="7" s="1"/>
  <c r="BQ1997" i="7"/>
  <c r="BT1997" i="7" s="1"/>
  <c r="BO267" i="7"/>
  <c r="BP267" i="7" s="1"/>
  <c r="BQ267" i="7"/>
  <c r="BT267" i="7" s="1"/>
  <c r="BO1577" i="7"/>
  <c r="BP1577" i="7" s="1"/>
  <c r="BQ1577" i="7"/>
  <c r="BT1577" i="7" s="1"/>
  <c r="BO39" i="8"/>
  <c r="BQ39" i="8"/>
  <c r="BQ166" i="7"/>
  <c r="BO166" i="7"/>
  <c r="BN152" i="7"/>
  <c r="BN27" i="8"/>
  <c r="BO284" i="7"/>
  <c r="BP284" i="7" s="1"/>
  <c r="BQ284" i="7"/>
  <c r="BT284" i="7" s="1"/>
  <c r="BO86" i="8"/>
  <c r="BQ86" i="8"/>
  <c r="BO53" i="7"/>
  <c r="BQ53" i="7"/>
  <c r="BO791" i="7"/>
  <c r="BP791" i="7" s="1"/>
  <c r="BQ791" i="7"/>
  <c r="BT791" i="7" s="1"/>
  <c r="BQ142" i="7"/>
  <c r="BT142" i="7" s="1"/>
  <c r="BO142" i="7"/>
  <c r="BP142" i="7" s="1"/>
  <c r="BP1788" i="7"/>
  <c r="BO1688" i="7"/>
  <c r="BP1688" i="7" s="1"/>
  <c r="BQ1688" i="7"/>
  <c r="BT1688" i="7" s="1"/>
  <c r="BO1575" i="7"/>
  <c r="BP1575" i="7" s="1"/>
  <c r="BQ1575" i="7"/>
  <c r="BT1575" i="7" s="1"/>
  <c r="BO549" i="7"/>
  <c r="BP549" i="7" s="1"/>
  <c r="BQ549" i="7"/>
  <c r="BT549" i="7" s="1"/>
  <c r="BO1858" i="7"/>
  <c r="BP1858" i="7" s="1"/>
  <c r="BQ1858" i="7"/>
  <c r="BT1858" i="7" s="1"/>
  <c r="BO843" i="7"/>
  <c r="BP843" i="7" s="1"/>
  <c r="BQ843" i="7"/>
  <c r="BT843" i="7" s="1"/>
  <c r="BO316" i="7"/>
  <c r="BP316" i="7" s="1"/>
  <c r="BQ316" i="7"/>
  <c r="BT316" i="7" s="1"/>
  <c r="BO1148" i="7"/>
  <c r="BP1148" i="7" s="1"/>
  <c r="BQ1148" i="7"/>
  <c r="BT1148" i="7" s="1"/>
  <c r="BO1935" i="7"/>
  <c r="BP1935" i="7" s="1"/>
  <c r="BQ1935" i="7"/>
  <c r="BT1935" i="7" s="1"/>
  <c r="BO88" i="8"/>
  <c r="BQ88" i="8"/>
  <c r="BQ154" i="7"/>
  <c r="BO154" i="7"/>
  <c r="BQ1695" i="7"/>
  <c r="BT1695" i="7" s="1"/>
  <c r="BO1695" i="7"/>
  <c r="BP1695" i="7" s="1"/>
  <c r="BO420" i="7"/>
  <c r="BP420" i="7" s="1"/>
  <c r="BQ420" i="7"/>
  <c r="BT420" i="7" s="1"/>
  <c r="BO992" i="7"/>
  <c r="BP992" i="7" s="1"/>
  <c r="BQ992" i="7"/>
  <c r="BT992" i="7" s="1"/>
  <c r="BO1877" i="7"/>
  <c r="BP1877" i="7" s="1"/>
  <c r="BQ1877" i="7"/>
  <c r="BT1877" i="7" s="1"/>
  <c r="BO1833" i="7"/>
  <c r="BP1833" i="7" s="1"/>
  <c r="BQ1833" i="7"/>
  <c r="BT1833" i="7" s="1"/>
  <c r="BO239" i="7"/>
  <c r="BP239" i="7" s="1"/>
  <c r="BQ239" i="7"/>
  <c r="BT239" i="7" s="1"/>
  <c r="BQ1373" i="7"/>
  <c r="BT1373" i="7" s="1"/>
  <c r="BO1373" i="7"/>
  <c r="BP1373" i="7" s="1"/>
  <c r="BO698" i="7"/>
  <c r="BP698" i="7" s="1"/>
  <c r="BQ698" i="7"/>
  <c r="BT698" i="7" s="1"/>
  <c r="BO1568" i="7"/>
  <c r="BP1568" i="7" s="1"/>
  <c r="BQ1568" i="7"/>
  <c r="BT1568" i="7" s="1"/>
  <c r="BO1474" i="7"/>
  <c r="BP1474" i="7" s="1"/>
  <c r="BQ1474" i="7"/>
  <c r="BT1474" i="7" s="1"/>
  <c r="BO1242" i="7"/>
  <c r="BP1242" i="7" s="1"/>
  <c r="BQ1242" i="7"/>
  <c r="BT1242" i="7" s="1"/>
  <c r="BP136" i="7"/>
  <c r="BO403" i="7"/>
  <c r="BP403" i="7" s="1"/>
  <c r="BQ403" i="7"/>
  <c r="BT403" i="7" s="1"/>
  <c r="BO1529" i="7"/>
  <c r="BP1529" i="7" s="1"/>
  <c r="BQ1529" i="7"/>
  <c r="BT1529" i="7" s="1"/>
  <c r="BO486" i="7"/>
  <c r="BP486" i="7" s="1"/>
  <c r="BQ486" i="7"/>
  <c r="BT486" i="7" s="1"/>
  <c r="BP1911" i="7"/>
  <c r="BQ699" i="7"/>
  <c r="BT699" i="7" s="1"/>
  <c r="BO699" i="7"/>
  <c r="BP699" i="7" s="1"/>
  <c r="BQ1730" i="7"/>
  <c r="BT1730" i="7" s="1"/>
  <c r="BO1730" i="7"/>
  <c r="BP1730" i="7" s="1"/>
  <c r="BO704" i="7"/>
  <c r="BP704" i="7" s="1"/>
  <c r="BQ704" i="7"/>
  <c r="BT704" i="7" s="1"/>
  <c r="BO370" i="7"/>
  <c r="BQ370" i="7"/>
  <c r="BT370" i="7" s="1"/>
  <c r="BQ900" i="7"/>
  <c r="BT900" i="7" s="1"/>
  <c r="BO900" i="7"/>
  <c r="BP900" i="7" s="1"/>
  <c r="BO1484" i="7"/>
  <c r="BP1484" i="7" s="1"/>
  <c r="BQ1484" i="7"/>
  <c r="BT1484" i="7" s="1"/>
  <c r="BO1131" i="7"/>
  <c r="BP1131" i="7" s="1"/>
  <c r="BQ1131" i="7"/>
  <c r="BT1131" i="7" s="1"/>
  <c r="BO2077" i="7"/>
  <c r="BP2077" i="7" s="1"/>
  <c r="BQ2077" i="7"/>
  <c r="BT2077" i="7" s="1"/>
  <c r="BO1310" i="7"/>
  <c r="BP1310" i="7" s="1"/>
  <c r="BQ1310" i="7"/>
  <c r="BT1310" i="7" s="1"/>
  <c r="BO1528" i="7"/>
  <c r="BP1528" i="7" s="1"/>
  <c r="BQ1528" i="7"/>
  <c r="BT1528" i="7" s="1"/>
  <c r="BO736" i="7"/>
  <c r="BP736" i="7" s="1"/>
  <c r="BQ736" i="7"/>
  <c r="BT736" i="7" s="1"/>
  <c r="BQ965" i="7"/>
  <c r="BT965" i="7" s="1"/>
  <c r="BO965" i="7"/>
  <c r="BP965" i="7" s="1"/>
  <c r="BO1661" i="7"/>
  <c r="BP1661" i="7" s="1"/>
  <c r="BQ1661" i="7"/>
  <c r="BT1661" i="7" s="1"/>
  <c r="BO1747" i="7"/>
  <c r="BP1747" i="7" s="1"/>
  <c r="BQ1747" i="7"/>
  <c r="BT1747" i="7" s="1"/>
  <c r="BO586" i="7"/>
  <c r="BP586" i="7" s="1"/>
  <c r="BQ586" i="7"/>
  <c r="BT586" i="7" s="1"/>
  <c r="BO1436" i="7"/>
  <c r="BQ1436" i="7"/>
  <c r="BT1436" i="7" s="1"/>
  <c r="BQ1755" i="7"/>
  <c r="BT1755" i="7" s="1"/>
  <c r="BO1755" i="7"/>
  <c r="BP1755" i="7" s="1"/>
  <c r="BQ91" i="8"/>
  <c r="BO91" i="8"/>
  <c r="BO218" i="7"/>
  <c r="BQ218" i="7"/>
  <c r="BO196" i="7"/>
  <c r="BQ196" i="7"/>
  <c r="BT196" i="7" s="1"/>
  <c r="BQ40" i="8"/>
  <c r="BO40" i="8"/>
  <c r="BO165" i="7"/>
  <c r="BQ165" i="7"/>
  <c r="BO1565" i="7"/>
  <c r="BP1565" i="7" s="1"/>
  <c r="BQ1565" i="7"/>
  <c r="BT1565" i="7" s="1"/>
  <c r="BQ854" i="7"/>
  <c r="BT854" i="7" s="1"/>
  <c r="BO854" i="7"/>
  <c r="BP854" i="7" s="1"/>
  <c r="BO24" i="8"/>
  <c r="BQ24" i="8"/>
  <c r="BO157" i="7"/>
  <c r="BQ157" i="7"/>
  <c r="BO1283" i="7"/>
  <c r="BP1283" i="7" s="1"/>
  <c r="BQ1283" i="7"/>
  <c r="BT1283" i="7" s="1"/>
  <c r="BN33" i="7"/>
  <c r="BN72" i="8"/>
  <c r="BO1854" i="7"/>
  <c r="BP1854" i="7" s="1"/>
  <c r="BQ1854" i="7"/>
  <c r="BT1854" i="7" s="1"/>
  <c r="BO759" i="7"/>
  <c r="BP759" i="7" s="1"/>
  <c r="BQ759" i="7"/>
  <c r="BT759" i="7" s="1"/>
  <c r="BO544" i="7"/>
  <c r="BP544" i="7" s="1"/>
  <c r="BQ544" i="7"/>
  <c r="BT544" i="7" s="1"/>
  <c r="BO1210" i="7"/>
  <c r="BP1210" i="7" s="1"/>
  <c r="BQ1210" i="7"/>
  <c r="BT1210" i="7" s="1"/>
  <c r="BO828" i="7"/>
  <c r="BP828" i="7" s="1"/>
  <c r="BQ828" i="7"/>
  <c r="BT828" i="7" s="1"/>
  <c r="BO262" i="7"/>
  <c r="BP262" i="7" s="1"/>
  <c r="BQ262" i="7"/>
  <c r="BT262" i="7" s="1"/>
  <c r="BQ1352" i="7"/>
  <c r="BT1352" i="7" s="1"/>
  <c r="BO1352" i="7"/>
  <c r="BP1352" i="7" s="1"/>
  <c r="BO1192" i="7"/>
  <c r="BP1192" i="7" s="1"/>
  <c r="BQ1192" i="7"/>
  <c r="BT1192" i="7" s="1"/>
  <c r="BQ1546" i="7"/>
  <c r="BT1546" i="7" s="1"/>
  <c r="BO1546" i="7"/>
  <c r="BP1546" i="7" s="1"/>
  <c r="BO1297" i="7"/>
  <c r="BP1297" i="7" s="1"/>
  <c r="BQ1297" i="7"/>
  <c r="BT1297" i="7" s="1"/>
  <c r="BO1443" i="7"/>
  <c r="BP1443" i="7" s="1"/>
  <c r="BQ1443" i="7"/>
  <c r="BT1443" i="7" s="1"/>
  <c r="BQ726" i="7"/>
  <c r="BT726" i="7" s="1"/>
  <c r="BO726" i="7"/>
  <c r="BP726" i="7" s="1"/>
  <c r="BO1009" i="7"/>
  <c r="BP1009" i="7" s="1"/>
  <c r="BQ1009" i="7"/>
  <c r="BT1009" i="7" s="1"/>
  <c r="BQ2101" i="7"/>
  <c r="BT2101" i="7" s="1"/>
  <c r="BO2101" i="7"/>
  <c r="BP2101" i="7" s="1"/>
  <c r="BO2232" i="7"/>
  <c r="BP2232" i="7" s="1"/>
  <c r="BQ2232" i="7"/>
  <c r="BT2232" i="7" s="1"/>
  <c r="BQ1888" i="7"/>
  <c r="BT1888" i="7" s="1"/>
  <c r="BO1888" i="7"/>
  <c r="BP1888" i="7" s="1"/>
  <c r="BO732" i="7"/>
  <c r="BP732" i="7" s="1"/>
  <c r="BQ732" i="7"/>
  <c r="BT732" i="7" s="1"/>
  <c r="BO1524" i="7"/>
  <c r="BP1524" i="7" s="1"/>
  <c r="BQ1524" i="7"/>
  <c r="BT1524" i="7" s="1"/>
  <c r="BO62" i="7"/>
  <c r="BP62" i="7" s="1"/>
  <c r="BQ62" i="7"/>
  <c r="BT62" i="7" s="1"/>
  <c r="BO1685" i="7"/>
  <c r="BP1685" i="7" s="1"/>
  <c r="BQ1685" i="7"/>
  <c r="BT1685" i="7" s="1"/>
  <c r="BO721" i="7"/>
  <c r="BP721" i="7" s="1"/>
  <c r="BQ721" i="7"/>
  <c r="BT721" i="7" s="1"/>
  <c r="BO616" i="7"/>
  <c r="BP616" i="7" s="1"/>
  <c r="BQ616" i="7"/>
  <c r="BT616" i="7" s="1"/>
  <c r="BO968" i="7"/>
  <c r="BP968" i="7" s="1"/>
  <c r="BQ968" i="7"/>
  <c r="BT968" i="7" s="1"/>
  <c r="BO1852" i="7"/>
  <c r="BP1852" i="7" s="1"/>
  <c r="BQ1852" i="7"/>
  <c r="BT1852" i="7" s="1"/>
  <c r="BO1274" i="7"/>
  <c r="BP1274" i="7" s="1"/>
  <c r="BQ1274" i="7"/>
  <c r="BT1274" i="7" s="1"/>
  <c r="BO914" i="7"/>
  <c r="BP914" i="7" s="1"/>
  <c r="BQ914" i="7"/>
  <c r="BT914" i="7" s="1"/>
  <c r="BQ707" i="7"/>
  <c r="BT707" i="7" s="1"/>
  <c r="BO707" i="7"/>
  <c r="BP707" i="7" s="1"/>
  <c r="BO487" i="7"/>
  <c r="BP487" i="7" s="1"/>
  <c r="BQ487" i="7"/>
  <c r="BT487" i="7" s="1"/>
  <c r="BO1970" i="7"/>
  <c r="BP1970" i="7" s="1"/>
  <c r="BQ1970" i="7"/>
  <c r="BT1970" i="7" s="1"/>
  <c r="BO1868" i="7"/>
  <c r="BP1868" i="7" s="1"/>
  <c r="BQ1868" i="7"/>
  <c r="BT1868" i="7" s="1"/>
  <c r="BO36" i="8"/>
  <c r="BQ36" i="8"/>
  <c r="BO173" i="7"/>
  <c r="BQ173" i="7"/>
  <c r="BO1202" i="7"/>
  <c r="BQ1202" i="7"/>
  <c r="BT1202" i="7" s="1"/>
  <c r="BO229" i="7"/>
  <c r="BP229" i="7" s="1"/>
  <c r="BQ229" i="7"/>
  <c r="BT229" i="7" s="1"/>
  <c r="BO2071" i="7"/>
  <c r="BP2071" i="7" s="1"/>
  <c r="BQ2071" i="7"/>
  <c r="BT2071" i="7" s="1"/>
  <c r="BO1444" i="7"/>
  <c r="BP1444" i="7" s="1"/>
  <c r="BQ1444" i="7"/>
  <c r="BT1444" i="7" s="1"/>
  <c r="BO345" i="7"/>
  <c r="BP345" i="7" s="1"/>
  <c r="BQ345" i="7"/>
  <c r="BT345" i="7" s="1"/>
  <c r="BO386" i="7"/>
  <c r="BP386" i="7" s="1"/>
  <c r="BQ386" i="7"/>
  <c r="BT386" i="7" s="1"/>
  <c r="BQ214" i="7"/>
  <c r="BT214" i="7" s="1"/>
  <c r="BO214" i="7"/>
  <c r="BP214" i="7" s="1"/>
  <c r="BO2108" i="7"/>
  <c r="BP2108" i="7" s="1"/>
  <c r="BQ2108" i="7"/>
  <c r="BT2108" i="7" s="1"/>
  <c r="BQ2274" i="7"/>
  <c r="BT2274" i="7" s="1"/>
  <c r="BO2274" i="7"/>
  <c r="BP2274" i="7" s="1"/>
  <c r="BQ1383" i="7"/>
  <c r="BT1383" i="7" s="1"/>
  <c r="BO1383" i="7"/>
  <c r="BP1383" i="7" s="1"/>
  <c r="BO1480" i="7"/>
  <c r="BP1480" i="7" s="1"/>
  <c r="BQ1480" i="7"/>
  <c r="BT1480" i="7" s="1"/>
  <c r="BO1994" i="7"/>
  <c r="BP1994" i="7" s="1"/>
  <c r="BQ1994" i="7"/>
  <c r="BT1994" i="7" s="1"/>
  <c r="BO2073" i="7"/>
  <c r="BP2073" i="7" s="1"/>
  <c r="BQ2073" i="7"/>
  <c r="BT2073" i="7" s="1"/>
  <c r="BO249" i="7"/>
  <c r="BP249" i="7" s="1"/>
  <c r="BQ249" i="7"/>
  <c r="BT249" i="7" s="1"/>
  <c r="BO972" i="7"/>
  <c r="BP972" i="7" s="1"/>
  <c r="BQ972" i="7"/>
  <c r="BT972" i="7" s="1"/>
  <c r="BO2119" i="7"/>
  <c r="BP2119" i="7" s="1"/>
  <c r="BQ2119" i="7"/>
  <c r="BT2119" i="7" s="1"/>
  <c r="BO149" i="7"/>
  <c r="BP149" i="7" s="1"/>
  <c r="BQ149" i="7"/>
  <c r="BT149" i="7" s="1"/>
  <c r="BO2014" i="7"/>
  <c r="BP2014" i="7" s="1"/>
  <c r="BQ2014" i="7"/>
  <c r="BT2014" i="7" s="1"/>
  <c r="BO895" i="7"/>
  <c r="BP895" i="7" s="1"/>
  <c r="BQ895" i="7"/>
  <c r="BT895" i="7" s="1"/>
  <c r="BN107" i="7"/>
  <c r="BN20" i="8"/>
  <c r="BO2064" i="7"/>
  <c r="BP2064" i="7" s="1"/>
  <c r="BQ2064" i="7"/>
  <c r="BT2064" i="7" s="1"/>
  <c r="BO1390" i="7"/>
  <c r="BP1390" i="7" s="1"/>
  <c r="BQ1390" i="7"/>
  <c r="BT1390" i="7" s="1"/>
  <c r="BO1114" i="7"/>
  <c r="BP1114" i="7" s="1"/>
  <c r="BQ1114" i="7"/>
  <c r="BT1114" i="7" s="1"/>
  <c r="BO289" i="7"/>
  <c r="BP289" i="7" s="1"/>
  <c r="BQ289" i="7"/>
  <c r="BT289" i="7" s="1"/>
  <c r="BQ654" i="7"/>
  <c r="BT654" i="7" s="1"/>
  <c r="BO654" i="7"/>
  <c r="BP654" i="7" s="1"/>
  <c r="BO1509" i="7"/>
  <c r="BP1509" i="7" s="1"/>
  <c r="BQ1509" i="7"/>
  <c r="BT1509" i="7" s="1"/>
  <c r="BO662" i="7"/>
  <c r="BP662" i="7" s="1"/>
  <c r="BQ662" i="7"/>
  <c r="BT662" i="7" s="1"/>
  <c r="BO1462" i="7"/>
  <c r="BP1462" i="7" s="1"/>
  <c r="BQ1462" i="7"/>
  <c r="BT1462" i="7" s="1"/>
  <c r="BO260" i="7"/>
  <c r="BP260" i="7" s="1"/>
  <c r="BQ260" i="7"/>
  <c r="BT260" i="7" s="1"/>
  <c r="BO1952" i="7"/>
  <c r="BP1952" i="7" s="1"/>
  <c r="BQ1952" i="7"/>
  <c r="BT1952" i="7" s="1"/>
  <c r="BO376" i="7"/>
  <c r="BP376" i="7" s="1"/>
  <c r="BQ376" i="7"/>
  <c r="BT376" i="7" s="1"/>
  <c r="BO1712" i="7"/>
  <c r="BP1712" i="7" s="1"/>
  <c r="BQ1712" i="7"/>
  <c r="BT1712" i="7" s="1"/>
  <c r="BO88" i="7"/>
  <c r="BP88" i="7" s="1"/>
  <c r="BQ88" i="7"/>
  <c r="BT88" i="7" s="1"/>
  <c r="BO594" i="7"/>
  <c r="BP594" i="7" s="1"/>
  <c r="BQ594" i="7"/>
  <c r="BT594" i="7" s="1"/>
  <c r="BO1467" i="7"/>
  <c r="BP1467" i="7" s="1"/>
  <c r="BQ1467" i="7"/>
  <c r="BT1467" i="7" s="1"/>
  <c r="BQ773" i="7"/>
  <c r="BT773" i="7" s="1"/>
  <c r="BO773" i="7"/>
  <c r="BP773" i="7" s="1"/>
  <c r="BO630" i="7"/>
  <c r="BP630" i="7" s="1"/>
  <c r="BQ630" i="7"/>
  <c r="BT630" i="7" s="1"/>
  <c r="BO38" i="8"/>
  <c r="BQ38" i="8"/>
  <c r="BO164" i="7"/>
  <c r="BQ164" i="7"/>
  <c r="BT164" i="7" s="1"/>
  <c r="BO1285" i="7"/>
  <c r="BP1285" i="7" s="1"/>
  <c r="BQ1285" i="7"/>
  <c r="BT1285" i="7" s="1"/>
  <c r="BQ1063" i="7"/>
  <c r="BT1063" i="7" s="1"/>
  <c r="BO1063" i="7"/>
  <c r="BP1063" i="7" s="1"/>
  <c r="BO1486" i="7"/>
  <c r="BP1486" i="7" s="1"/>
  <c r="BQ1486" i="7"/>
  <c r="BT1486" i="7" s="1"/>
  <c r="BN2237" i="7"/>
  <c r="BN17" i="8"/>
  <c r="BO1441" i="7"/>
  <c r="BP1441" i="7" s="1"/>
  <c r="BQ1441" i="7"/>
  <c r="BT1441" i="7" s="1"/>
  <c r="BO1318" i="7"/>
  <c r="BP1318" i="7" s="1"/>
  <c r="BQ1318" i="7"/>
  <c r="BT1318" i="7" s="1"/>
  <c r="BO2045" i="7"/>
  <c r="BP2045" i="7" s="1"/>
  <c r="BQ2045" i="7"/>
  <c r="BT2045" i="7" s="1"/>
  <c r="BO281" i="7"/>
  <c r="BP281" i="7" s="1"/>
  <c r="BQ281" i="7"/>
  <c r="BT281" i="7" s="1"/>
  <c r="BO1188" i="7"/>
  <c r="BP1188" i="7" s="1"/>
  <c r="BQ1188" i="7"/>
  <c r="BT1188" i="7" s="1"/>
  <c r="BO827" i="7"/>
  <c r="BP827" i="7" s="1"/>
  <c r="BQ827" i="7"/>
  <c r="BT827" i="7" s="1"/>
  <c r="BO55" i="7"/>
  <c r="BP55" i="7" s="1"/>
  <c r="BQ55" i="7"/>
  <c r="BT55" i="7" s="1"/>
  <c r="BP1146" i="7"/>
  <c r="BO1676" i="7"/>
  <c r="BP1676" i="7" s="1"/>
  <c r="BQ1676" i="7"/>
  <c r="BT1676" i="7" s="1"/>
  <c r="BQ333" i="7"/>
  <c r="BT333" i="7" s="1"/>
  <c r="BO333" i="7"/>
  <c r="BP333" i="7" s="1"/>
  <c r="BO1351" i="7"/>
  <c r="BP1351" i="7" s="1"/>
  <c r="BQ1351" i="7"/>
  <c r="BT1351" i="7" s="1"/>
  <c r="BO392" i="7"/>
  <c r="BP392" i="7" s="1"/>
  <c r="BQ392" i="7"/>
  <c r="BT392" i="7" s="1"/>
  <c r="BO2127" i="7"/>
  <c r="BP2127" i="7" s="1"/>
  <c r="BQ2127" i="7"/>
  <c r="BT2127" i="7" s="1"/>
  <c r="BQ95" i="7"/>
  <c r="BT95" i="7" s="1"/>
  <c r="BO95" i="7"/>
  <c r="BP95" i="7" s="1"/>
  <c r="BO1823" i="7"/>
  <c r="BP1823" i="7" s="1"/>
  <c r="BQ1823" i="7"/>
  <c r="BT1823" i="7" s="1"/>
  <c r="BN51" i="7"/>
  <c r="BN64" i="8"/>
  <c r="BQ1657" i="7"/>
  <c r="BT1657" i="7" s="1"/>
  <c r="BO1657" i="7"/>
  <c r="BP1657" i="7" s="1"/>
  <c r="BN36" i="7"/>
  <c r="BN75" i="8"/>
  <c r="BO1949" i="7"/>
  <c r="BP1949" i="7" s="1"/>
  <c r="BQ1949" i="7"/>
  <c r="BT1949" i="7" s="1"/>
  <c r="BP83" i="7"/>
  <c r="BO1378" i="7"/>
  <c r="BP1378" i="7" s="1"/>
  <c r="BQ1378" i="7"/>
  <c r="BT1378" i="7" s="1"/>
  <c r="BO1020" i="7"/>
  <c r="BP1020" i="7" s="1"/>
  <c r="BQ1020" i="7"/>
  <c r="BT1020" i="7" s="1"/>
  <c r="BN1682" i="7"/>
  <c r="BN16" i="8"/>
  <c r="BO1144" i="7"/>
  <c r="BP1144" i="7" s="1"/>
  <c r="BQ1144" i="7"/>
  <c r="BT1144" i="7" s="1"/>
  <c r="BO1938" i="7"/>
  <c r="BP1938" i="7" s="1"/>
  <c r="BQ1938" i="7"/>
  <c r="BT1938" i="7" s="1"/>
  <c r="BN54" i="7"/>
  <c r="BP85" i="8" s="1"/>
  <c r="BN85" i="8"/>
  <c r="BN93" i="7"/>
  <c r="BN46" i="8"/>
  <c r="BO261" i="7"/>
  <c r="BP261" i="7" s="1"/>
  <c r="BQ261" i="7"/>
  <c r="BT261" i="7" s="1"/>
  <c r="BP794" i="7"/>
  <c r="BO30" i="8"/>
  <c r="BQ30" i="8"/>
  <c r="BO172" i="7"/>
  <c r="BQ172" i="7"/>
  <c r="BQ871" i="7"/>
  <c r="BT871" i="7" s="1"/>
  <c r="BO871" i="7"/>
  <c r="BP871" i="7" s="1"/>
  <c r="BO1386" i="7"/>
  <c r="BP1386" i="7" s="1"/>
  <c r="BQ1386" i="7"/>
  <c r="BT1386" i="7" s="1"/>
  <c r="BO1273" i="7"/>
  <c r="BP1273" i="7" s="1"/>
  <c r="BQ1273" i="7"/>
  <c r="BT1273" i="7" s="1"/>
  <c r="BO567" i="7"/>
  <c r="BP567" i="7" s="1"/>
  <c r="BQ567" i="7"/>
  <c r="BT567" i="7" s="1"/>
  <c r="BO1889" i="7"/>
  <c r="BP1889" i="7" s="1"/>
  <c r="BQ1889" i="7"/>
  <c r="BT1889" i="7" s="1"/>
  <c r="BQ1792" i="7"/>
  <c r="BT1792" i="7" s="1"/>
  <c r="BO1792" i="7"/>
  <c r="BP1792" i="7" s="1"/>
  <c r="BQ1769" i="7"/>
  <c r="BT1769" i="7" s="1"/>
  <c r="BO1769" i="7"/>
  <c r="BP1769" i="7" s="1"/>
  <c r="BO929" i="7"/>
  <c r="BP929" i="7" s="1"/>
  <c r="BQ929" i="7"/>
  <c r="BT929" i="7" s="1"/>
  <c r="BO2115" i="7"/>
  <c r="BP2115" i="7" s="1"/>
  <c r="BQ2115" i="7"/>
  <c r="BT2115" i="7" s="1"/>
  <c r="BO1663" i="7"/>
  <c r="BP1663" i="7" s="1"/>
  <c r="BQ1663" i="7"/>
  <c r="BT1663" i="7" s="1"/>
  <c r="BQ438" i="7"/>
  <c r="BT438" i="7" s="1"/>
  <c r="BO438" i="7"/>
  <c r="BP438" i="7" s="1"/>
  <c r="BO937" i="7"/>
  <c r="BP937" i="7" s="1"/>
  <c r="BQ937" i="7"/>
  <c r="BT937" i="7" s="1"/>
  <c r="BO64" i="7"/>
  <c r="BO99" i="8"/>
  <c r="BQ64" i="7"/>
  <c r="BQ99" i="8"/>
  <c r="BO1893" i="7"/>
  <c r="BP1893" i="7" s="1"/>
  <c r="BQ1893" i="7"/>
  <c r="BT1893" i="7" s="1"/>
  <c r="BO1225" i="7"/>
  <c r="BP1225" i="7" s="1"/>
  <c r="BQ1225" i="7"/>
  <c r="BT1225" i="7" s="1"/>
  <c r="BO2024" i="7"/>
  <c r="BP2024" i="7" s="1"/>
  <c r="BQ2024" i="7"/>
  <c r="BT2024" i="7" s="1"/>
  <c r="BO86" i="7"/>
  <c r="BP86" i="7" s="1"/>
  <c r="BQ86" i="7"/>
  <c r="BT86" i="7" s="1"/>
  <c r="BO15" i="7"/>
  <c r="BP15" i="7" s="1"/>
  <c r="BQ15" i="7"/>
  <c r="BT15" i="7" s="1"/>
  <c r="BQ469" i="7"/>
  <c r="BT469" i="7" s="1"/>
  <c r="BO469" i="7"/>
  <c r="BP469" i="7" s="1"/>
  <c r="BO595" i="7"/>
  <c r="BP595" i="7" s="1"/>
  <c r="BQ595" i="7"/>
  <c r="BT595" i="7" s="1"/>
  <c r="BO709" i="7"/>
  <c r="BP709" i="7" s="1"/>
  <c r="BQ709" i="7"/>
  <c r="BT709" i="7" s="1"/>
  <c r="BO1240" i="7"/>
  <c r="BP1240" i="7" s="1"/>
  <c r="BQ1240" i="7"/>
  <c r="BT1240" i="7" s="1"/>
  <c r="BO48" i="7"/>
  <c r="BP48" i="7" s="1"/>
  <c r="BQ48" i="7"/>
  <c r="BT48" i="7" s="1"/>
  <c r="BO1972" i="7"/>
  <c r="BP1972" i="7" s="1"/>
  <c r="BQ1972" i="7"/>
  <c r="BT1972" i="7" s="1"/>
  <c r="BO50" i="7"/>
  <c r="BQ50" i="7"/>
  <c r="BT50" i="7" s="1"/>
  <c r="BO941" i="7"/>
  <c r="BP941" i="7" s="1"/>
  <c r="BQ941" i="7"/>
  <c r="BT941" i="7" s="1"/>
  <c r="BO1217" i="7"/>
  <c r="BP1217" i="7" s="1"/>
  <c r="BQ1217" i="7"/>
  <c r="BT1217" i="7" s="1"/>
  <c r="BQ1132" i="7"/>
  <c r="BT1132" i="7" s="1"/>
  <c r="BO1132" i="7"/>
  <c r="BP1132" i="7" s="1"/>
  <c r="BO1057" i="7"/>
  <c r="BP1057" i="7" s="1"/>
  <c r="BQ1057" i="7"/>
  <c r="BT1057" i="7" s="1"/>
  <c r="BO1281" i="7"/>
  <c r="BP1281" i="7" s="1"/>
  <c r="BQ1281" i="7"/>
  <c r="BT1281" i="7" s="1"/>
  <c r="BQ1219" i="7"/>
  <c r="BT1219" i="7" s="1"/>
  <c r="BO1219" i="7"/>
  <c r="BP1219" i="7" s="1"/>
  <c r="BO1754" i="7"/>
  <c r="BP1754" i="7" s="1"/>
  <c r="BQ1754" i="7"/>
  <c r="BT1754" i="7" s="1"/>
  <c r="BO491" i="7"/>
  <c r="BP491" i="7" s="1"/>
  <c r="BQ491" i="7"/>
  <c r="BT491" i="7" s="1"/>
  <c r="BQ1336" i="7"/>
  <c r="BT1336" i="7" s="1"/>
  <c r="BO1336" i="7"/>
  <c r="BP1336" i="7" s="1"/>
  <c r="BO760" i="7"/>
  <c r="BP760" i="7" s="1"/>
  <c r="BQ760" i="7"/>
  <c r="BT760" i="7" s="1"/>
  <c r="BO798" i="7"/>
  <c r="BP798" i="7" s="1"/>
  <c r="BQ798" i="7"/>
  <c r="BT798" i="7" s="1"/>
  <c r="BO389" i="7"/>
  <c r="BP389" i="7" s="1"/>
  <c r="BQ389" i="7"/>
  <c r="BT389" i="7" s="1"/>
  <c r="BO1226" i="7"/>
  <c r="BP1226" i="7" s="1"/>
  <c r="BQ1226" i="7"/>
  <c r="BT1226" i="7" s="1"/>
  <c r="BO1801" i="7"/>
  <c r="BP1801" i="7" s="1"/>
  <c r="BQ1801" i="7"/>
  <c r="BT1801" i="7" s="1"/>
  <c r="BO1511" i="7"/>
  <c r="BP1511" i="7" s="1"/>
  <c r="BQ1511" i="7"/>
  <c r="BT1511" i="7" s="1"/>
  <c r="BO285" i="7"/>
  <c r="BP285" i="7" s="1"/>
  <c r="BQ285" i="7"/>
  <c r="BT285" i="7" s="1"/>
  <c r="BO445" i="7"/>
  <c r="BP445" i="7" s="1"/>
  <c r="BQ445" i="7"/>
  <c r="BT445" i="7" s="1"/>
  <c r="BO1902" i="7"/>
  <c r="BP1902" i="7" s="1"/>
  <c r="BQ1902" i="7"/>
  <c r="BT1902" i="7" s="1"/>
  <c r="BQ126" i="7"/>
  <c r="BT126" i="7" s="1"/>
  <c r="BO126" i="7"/>
  <c r="BP126" i="7" s="1"/>
  <c r="BO202" i="7"/>
  <c r="BP202" i="7" s="1"/>
  <c r="BQ202" i="7"/>
  <c r="BT202" i="7" s="1"/>
  <c r="BO2266" i="7"/>
  <c r="BP2266" i="7" s="1"/>
  <c r="BQ2266" i="7"/>
  <c r="BT2266" i="7" s="1"/>
  <c r="BO905" i="7"/>
  <c r="BP905" i="7" s="1"/>
  <c r="BQ905" i="7"/>
  <c r="BT905" i="7" s="1"/>
  <c r="BO1406" i="7"/>
  <c r="BP1406" i="7" s="1"/>
  <c r="BQ1406" i="7"/>
  <c r="BT1406" i="7" s="1"/>
  <c r="BO250" i="7"/>
  <c r="BP250" i="7" s="1"/>
  <c r="BQ250" i="7"/>
  <c r="BT250" i="7" s="1"/>
  <c r="BQ9" i="7"/>
  <c r="BT9" i="7" s="1"/>
  <c r="BO9" i="7"/>
  <c r="BP9" i="7" s="1"/>
  <c r="BO1797" i="7"/>
  <c r="BP1797" i="7" s="1"/>
  <c r="BQ1797" i="7"/>
  <c r="BT1797" i="7" s="1"/>
  <c r="BN53" i="7"/>
  <c r="BN86" i="8"/>
  <c r="BO394" i="7"/>
  <c r="BP394" i="7" s="1"/>
  <c r="BQ394" i="7"/>
  <c r="BT394" i="7" s="1"/>
  <c r="BO319" i="7"/>
  <c r="BP319" i="7" s="1"/>
  <c r="BQ319" i="7"/>
  <c r="BT319" i="7" s="1"/>
  <c r="BO540" i="7"/>
  <c r="BP540" i="7" s="1"/>
  <c r="BQ540" i="7"/>
  <c r="BT540" i="7" s="1"/>
  <c r="BO317" i="7"/>
  <c r="BP317" i="7" s="1"/>
  <c r="BQ317" i="7"/>
  <c r="BT317" i="7" s="1"/>
  <c r="BO1385" i="7"/>
  <c r="BP1385" i="7" s="1"/>
  <c r="BQ1385" i="7"/>
  <c r="BT1385" i="7" s="1"/>
  <c r="BO1642" i="7"/>
  <c r="BP1642" i="7" s="1"/>
  <c r="BQ1642" i="7"/>
  <c r="BT1642" i="7" s="1"/>
  <c r="BO569" i="7"/>
  <c r="BP569" i="7" s="1"/>
  <c r="BQ569" i="7"/>
  <c r="BT569" i="7" s="1"/>
  <c r="BO838" i="7"/>
  <c r="BP838" i="7" s="1"/>
  <c r="BQ838" i="7"/>
  <c r="BT838" i="7" s="1"/>
  <c r="BO2257" i="7"/>
  <c r="BP2257" i="7" s="1"/>
  <c r="BQ2257" i="7"/>
  <c r="BT2257" i="7" s="1"/>
  <c r="BO1652" i="7"/>
  <c r="BP1652" i="7" s="1"/>
  <c r="BQ1652" i="7"/>
  <c r="BT1652" i="7" s="1"/>
  <c r="BO502" i="7"/>
  <c r="BP502" i="7" s="1"/>
  <c r="BQ502" i="7"/>
  <c r="BT502" i="7" s="1"/>
  <c r="BO835" i="7"/>
  <c r="BP835" i="7" s="1"/>
  <c r="BQ835" i="7"/>
  <c r="BT835" i="7" s="1"/>
  <c r="BO1234" i="7"/>
  <c r="BP1234" i="7" s="1"/>
  <c r="BQ1234" i="7"/>
  <c r="BT1234" i="7" s="1"/>
  <c r="BO449" i="7"/>
  <c r="BP449" i="7" s="1"/>
  <c r="BQ449" i="7"/>
  <c r="BT449" i="7" s="1"/>
  <c r="BO1215" i="7"/>
  <c r="BP1215" i="7" s="1"/>
  <c r="BQ1215" i="7"/>
  <c r="BT1215" i="7" s="1"/>
  <c r="BO21" i="8"/>
  <c r="BO92" i="7"/>
  <c r="BQ92" i="7"/>
  <c r="BQ21" i="8"/>
  <c r="BQ8" i="8"/>
  <c r="BO8" i="8"/>
  <c r="BQ410" i="7"/>
  <c r="BO410" i="7"/>
  <c r="BO1130" i="7"/>
  <c r="BP1130" i="7" s="1"/>
  <c r="BQ1130" i="7"/>
  <c r="BT1130" i="7" s="1"/>
  <c r="BO1578" i="7"/>
  <c r="BP1578" i="7" s="1"/>
  <c r="BQ1578" i="7"/>
  <c r="BT1578" i="7" s="1"/>
  <c r="BO497" i="7"/>
  <c r="BP497" i="7" s="1"/>
  <c r="BQ497" i="7"/>
  <c r="BT497" i="7" s="1"/>
  <c r="BO1898" i="7"/>
  <c r="BP1898" i="7" s="1"/>
  <c r="BQ1898" i="7"/>
  <c r="BT1898" i="7" s="1"/>
  <c r="BO1829" i="7"/>
  <c r="BP1829" i="7" s="1"/>
  <c r="BQ1829" i="7"/>
  <c r="BT1829" i="7" s="1"/>
  <c r="BO2197" i="7"/>
  <c r="BP2197" i="7" s="1"/>
  <c r="BQ2197" i="7"/>
  <c r="BT2197" i="7" s="1"/>
  <c r="BO1930" i="7"/>
  <c r="BP1930" i="7" s="1"/>
  <c r="BQ1930" i="7"/>
  <c r="BT1930" i="7" s="1"/>
  <c r="BO2022" i="7"/>
  <c r="BP2022" i="7" s="1"/>
  <c r="BQ2022" i="7"/>
  <c r="BT2022" i="7" s="1"/>
  <c r="BO1155" i="7"/>
  <c r="BP1155" i="7" s="1"/>
  <c r="BQ1155" i="7"/>
  <c r="BT1155" i="7" s="1"/>
  <c r="BO405" i="7"/>
  <c r="BP405" i="7" s="1"/>
  <c r="BQ405" i="7"/>
  <c r="BT405" i="7" s="1"/>
  <c r="BO2254" i="7"/>
  <c r="BP2254" i="7" s="1"/>
  <c r="BQ2254" i="7"/>
  <c r="BT2254" i="7" s="1"/>
  <c r="BO1840" i="7"/>
  <c r="BP1840" i="7" s="1"/>
  <c r="BQ1840" i="7"/>
  <c r="BT1840" i="7" s="1"/>
  <c r="BO290" i="7"/>
  <c r="BP290" i="7" s="1"/>
  <c r="BQ290" i="7"/>
  <c r="BT290" i="7" s="1"/>
  <c r="BO1253" i="7"/>
  <c r="BP1253" i="7" s="1"/>
  <c r="BQ1253" i="7"/>
  <c r="BT1253" i="7" s="1"/>
  <c r="BO1983" i="7"/>
  <c r="BP1983" i="7" s="1"/>
  <c r="BQ1983" i="7"/>
  <c r="BT1983" i="7" s="1"/>
  <c r="BQ352" i="7"/>
  <c r="BT352" i="7" s="1"/>
  <c r="BO352" i="7"/>
  <c r="BP352" i="7" s="1"/>
  <c r="BO527" i="7"/>
  <c r="BP527" i="7" s="1"/>
  <c r="BQ527" i="7"/>
  <c r="BT527" i="7" s="1"/>
  <c r="BO748" i="7"/>
  <c r="BP748" i="7" s="1"/>
  <c r="BQ748" i="7"/>
  <c r="BT748" i="7" s="1"/>
  <c r="BO1795" i="7"/>
  <c r="BP1795" i="7" s="1"/>
  <c r="BQ1795" i="7"/>
  <c r="BT1795" i="7" s="1"/>
  <c r="BO72" i="7"/>
  <c r="BP72" i="7" s="1"/>
  <c r="BQ72" i="7"/>
  <c r="BT72" i="7" s="1"/>
  <c r="BQ891" i="7"/>
  <c r="BT891" i="7" s="1"/>
  <c r="BO891" i="7"/>
  <c r="BP891" i="7" s="1"/>
  <c r="BO2168" i="7"/>
  <c r="BP2168" i="7" s="1"/>
  <c r="BQ2168" i="7"/>
  <c r="BT2168" i="7" s="1"/>
  <c r="BQ1374" i="7"/>
  <c r="BT1374" i="7" s="1"/>
  <c r="BO1374" i="7"/>
  <c r="BP1374" i="7" s="1"/>
  <c r="BO2199" i="7"/>
  <c r="BP2199" i="7" s="1"/>
  <c r="BQ2199" i="7"/>
  <c r="BT2199" i="7" s="1"/>
  <c r="BO97" i="7"/>
  <c r="BP97" i="7" s="1"/>
  <c r="BQ97" i="7"/>
  <c r="BT97" i="7" s="1"/>
  <c r="BQ100" i="8"/>
  <c r="BO100" i="8"/>
  <c r="BO63" i="7"/>
  <c r="BQ63" i="7"/>
  <c r="BO70" i="8"/>
  <c r="BQ70" i="8"/>
  <c r="BO31" i="7"/>
  <c r="BQ31" i="7"/>
  <c r="BO1154" i="7"/>
  <c r="BP1154" i="7" s="1"/>
  <c r="BQ1154" i="7"/>
  <c r="BT1154" i="7" s="1"/>
  <c r="BQ1549" i="7"/>
  <c r="BT1549" i="7" s="1"/>
  <c r="BO1549" i="7"/>
  <c r="BP1549" i="7" s="1"/>
  <c r="BO659" i="7"/>
  <c r="BP659" i="7" s="1"/>
  <c r="BQ659" i="7"/>
  <c r="BT659" i="7" s="1"/>
  <c r="BO1136" i="7"/>
  <c r="BP1136" i="7" s="1"/>
  <c r="BQ1136" i="7"/>
  <c r="BT1136" i="7" s="1"/>
  <c r="BO2023" i="7"/>
  <c r="BP2023" i="7" s="1"/>
  <c r="BQ2023" i="7"/>
  <c r="BT2023" i="7" s="1"/>
  <c r="BQ786" i="7"/>
  <c r="BT786" i="7" s="1"/>
  <c r="BO786" i="7"/>
  <c r="BP786" i="7" s="1"/>
  <c r="BO99" i="7"/>
  <c r="BP99" i="7" s="1"/>
  <c r="BQ99" i="7"/>
  <c r="BT99" i="7" s="1"/>
  <c r="BQ562" i="7"/>
  <c r="BT562" i="7" s="1"/>
  <c r="BO562" i="7"/>
  <c r="BP562" i="7" s="1"/>
  <c r="BO2083" i="7"/>
  <c r="BP2083" i="7" s="1"/>
  <c r="BQ2083" i="7"/>
  <c r="BT2083" i="7" s="1"/>
  <c r="BO240" i="7"/>
  <c r="BP240" i="7" s="1"/>
  <c r="BQ240" i="7"/>
  <c r="BT240" i="7" s="1"/>
  <c r="BQ92" i="8"/>
  <c r="BO215" i="7"/>
  <c r="BQ215" i="7"/>
  <c r="BO92" i="8"/>
  <c r="BO2150" i="7"/>
  <c r="BP2150" i="7" s="1"/>
  <c r="BQ2150" i="7"/>
  <c r="BT2150" i="7" s="1"/>
  <c r="BQ95" i="8"/>
  <c r="BO95" i="8"/>
  <c r="BQ216" i="7"/>
  <c r="BO216" i="7"/>
  <c r="BO1756" i="7"/>
  <c r="BP1756" i="7" s="1"/>
  <c r="BQ1756" i="7"/>
  <c r="BT1756" i="7" s="1"/>
  <c r="BO814" i="7"/>
  <c r="BP814" i="7" s="1"/>
  <c r="BQ814" i="7"/>
  <c r="BT814" i="7" s="1"/>
  <c r="BO597" i="7"/>
  <c r="BP597" i="7" s="1"/>
  <c r="BQ597" i="7"/>
  <c r="BT597" i="7" s="1"/>
  <c r="BO74" i="7"/>
  <c r="BP74" i="7" s="1"/>
  <c r="BQ74" i="7"/>
  <c r="BT74" i="7" s="1"/>
  <c r="BP370" i="7"/>
  <c r="BO2209" i="7"/>
  <c r="BP2209" i="7" s="1"/>
  <c r="BQ2209" i="7"/>
  <c r="BT2209" i="7" s="1"/>
  <c r="BP1436" i="7"/>
  <c r="BO2148" i="7"/>
  <c r="BP2148" i="7" s="1"/>
  <c r="BQ2148" i="7"/>
  <c r="BT2148" i="7" s="1"/>
  <c r="BO482" i="7"/>
  <c r="BP482" i="7" s="1"/>
  <c r="BQ482" i="7"/>
  <c r="BT482" i="7" s="1"/>
  <c r="BO2085" i="7"/>
  <c r="BP2085" i="7" s="1"/>
  <c r="BQ2085" i="7"/>
  <c r="BT2085" i="7" s="1"/>
  <c r="BN218" i="7"/>
  <c r="BN91" i="8"/>
  <c r="BP196" i="7"/>
  <c r="BO79" i="7"/>
  <c r="BP79" i="7" s="1"/>
  <c r="BQ79" i="7"/>
  <c r="BT79" i="7" s="1"/>
  <c r="BN157" i="7"/>
  <c r="BN24" i="8"/>
  <c r="BO1628" i="7"/>
  <c r="BP1628" i="7" s="1"/>
  <c r="BQ1628" i="7"/>
  <c r="BT1628" i="7" s="1"/>
  <c r="BO1768" i="7"/>
  <c r="BP1768" i="7" s="1"/>
  <c r="BQ1768" i="7"/>
  <c r="BT1768" i="7" s="1"/>
  <c r="BO541" i="7"/>
  <c r="BP541" i="7" s="1"/>
  <c r="BQ541" i="7"/>
  <c r="BT541" i="7" s="1"/>
  <c r="BO1368" i="7"/>
  <c r="BP1368" i="7" s="1"/>
  <c r="BQ1368" i="7"/>
  <c r="BT1368" i="7" s="1"/>
  <c r="BO2075" i="7"/>
  <c r="BP2075" i="7" s="1"/>
  <c r="BQ2075" i="7"/>
  <c r="BT2075" i="7" s="1"/>
  <c r="BO2120" i="7"/>
  <c r="BP2120" i="7" s="1"/>
  <c r="BQ2120" i="7"/>
  <c r="BT2120" i="7" s="1"/>
  <c r="BO2074" i="7"/>
  <c r="BP2074" i="7" s="1"/>
  <c r="BQ2074" i="7"/>
  <c r="BT2074" i="7" s="1"/>
  <c r="BO1828" i="7"/>
  <c r="BP1828" i="7" s="1"/>
  <c r="BQ1828" i="7"/>
  <c r="BT1828" i="7" s="1"/>
  <c r="BQ498" i="7"/>
  <c r="BT498" i="7" s="1"/>
  <c r="BO498" i="7"/>
  <c r="BP498" i="7" s="1"/>
  <c r="BO1766" i="7"/>
  <c r="BP1766" i="7" s="1"/>
  <c r="BQ1766" i="7"/>
  <c r="BT1766" i="7" s="1"/>
  <c r="BN173" i="7"/>
  <c r="BN36" i="8"/>
  <c r="BP1202" i="7"/>
  <c r="BQ1741" i="7"/>
  <c r="BT1741" i="7" s="1"/>
  <c r="BO1741" i="7"/>
  <c r="BP1741" i="7" s="1"/>
  <c r="BO1118" i="7"/>
  <c r="BP1118" i="7" s="1"/>
  <c r="BQ1118" i="7"/>
  <c r="BT1118" i="7" s="1"/>
  <c r="BO652" i="7"/>
  <c r="BP652" i="7" s="1"/>
  <c r="BQ652" i="7"/>
  <c r="BT652" i="7" s="1"/>
  <c r="BO1585" i="7"/>
  <c r="BP1585" i="7" s="1"/>
  <c r="BQ1585" i="7"/>
  <c r="BT1585" i="7" s="1"/>
  <c r="BQ1190" i="7"/>
  <c r="BT1190" i="7" s="1"/>
  <c r="BO1190" i="7"/>
  <c r="BP1190" i="7" s="1"/>
  <c r="BO558" i="7"/>
  <c r="BP558" i="7" s="1"/>
  <c r="BQ558" i="7"/>
  <c r="BT558" i="7" s="1"/>
  <c r="BO1312" i="7"/>
  <c r="BP1312" i="7" s="1"/>
  <c r="BQ1312" i="7"/>
  <c r="BT1312" i="7" s="1"/>
  <c r="BO1574" i="7"/>
  <c r="BP1574" i="7" s="1"/>
  <c r="BQ1574" i="7"/>
  <c r="BT1574" i="7" s="1"/>
  <c r="BQ20" i="8"/>
  <c r="BO20" i="8"/>
  <c r="BO107" i="7"/>
  <c r="BQ107" i="7"/>
  <c r="BO1050" i="7"/>
  <c r="BP1050" i="7" s="1"/>
  <c r="BQ1050" i="7"/>
  <c r="BT1050" i="7" s="1"/>
  <c r="BO273" i="7"/>
  <c r="BP273" i="7" s="1"/>
  <c r="BQ273" i="7"/>
  <c r="BT273" i="7" s="1"/>
  <c r="BO132" i="7"/>
  <c r="BP132" i="7" s="1"/>
  <c r="BQ132" i="7"/>
  <c r="BT132" i="7" s="1"/>
  <c r="BO1982" i="7"/>
  <c r="BP1982" i="7" s="1"/>
  <c r="BQ1982" i="7"/>
  <c r="BT1982" i="7" s="1"/>
  <c r="BO739" i="7"/>
  <c r="BP739" i="7" s="1"/>
  <c r="BQ739" i="7"/>
  <c r="BT739" i="7" s="1"/>
  <c r="BO431" i="7"/>
  <c r="BP431" i="7" s="1"/>
  <c r="BQ431" i="7"/>
  <c r="BT431" i="7" s="1"/>
  <c r="BO1119" i="7"/>
  <c r="BP1119" i="7" s="1"/>
  <c r="BQ1119" i="7"/>
  <c r="BT1119" i="7" s="1"/>
  <c r="BQ283" i="7"/>
  <c r="BT283" i="7" s="1"/>
  <c r="BO283" i="7"/>
  <c r="BP283" i="7" s="1"/>
  <c r="BO1835" i="7"/>
  <c r="BP1835" i="7" s="1"/>
  <c r="BQ1835" i="7"/>
  <c r="BT1835" i="7" s="1"/>
  <c r="BO1547" i="7"/>
  <c r="BP1547" i="7" s="1"/>
  <c r="BQ1547" i="7"/>
  <c r="BT1547" i="7" s="1"/>
  <c r="BO1875" i="7"/>
  <c r="BP1875" i="7" s="1"/>
  <c r="BQ1875" i="7"/>
  <c r="BT1875" i="7" s="1"/>
  <c r="BO2190" i="7"/>
  <c r="BP2190" i="7" s="1"/>
  <c r="BQ2190" i="7"/>
  <c r="BT2190" i="7" s="1"/>
  <c r="BO1689" i="7"/>
  <c r="BP1689" i="7" s="1"/>
  <c r="BQ1689" i="7"/>
  <c r="BT1689" i="7" s="1"/>
  <c r="BO2241" i="7"/>
  <c r="BP2241" i="7" s="1"/>
  <c r="BQ2241" i="7"/>
  <c r="BT2241" i="7" s="1"/>
  <c r="BO7" i="7"/>
  <c r="BP7" i="7" s="1"/>
  <c r="BQ7" i="7"/>
  <c r="BT7" i="7" s="1"/>
  <c r="BO1077" i="7"/>
  <c r="BP1077" i="7" s="1"/>
  <c r="BQ1077" i="7"/>
  <c r="BT1077" i="7" s="1"/>
  <c r="BO14" i="7"/>
  <c r="BP14" i="7" s="1"/>
  <c r="BQ14" i="7"/>
  <c r="BT14" i="7" s="1"/>
  <c r="BO1595" i="7"/>
  <c r="BP1595" i="7" s="1"/>
  <c r="BQ1595" i="7"/>
  <c r="BT1595" i="7" s="1"/>
  <c r="BO990" i="7"/>
  <c r="BP990" i="7" s="1"/>
  <c r="BQ990" i="7"/>
  <c r="BT990" i="7" s="1"/>
  <c r="BO1478" i="7"/>
  <c r="BP1478" i="7" s="1"/>
  <c r="BQ1478" i="7"/>
  <c r="BT1478" i="7" s="1"/>
  <c r="BQ1037" i="7"/>
  <c r="BT1037" i="7" s="1"/>
  <c r="BO1037" i="7"/>
  <c r="BP1037" i="7" s="1"/>
  <c r="BO135" i="7"/>
  <c r="BP135" i="7" s="1"/>
  <c r="BQ135" i="7"/>
  <c r="BT135" i="7" s="1"/>
  <c r="BO1187" i="7"/>
  <c r="BP1187" i="7" s="1"/>
  <c r="BQ1187" i="7"/>
  <c r="BT1187" i="7" s="1"/>
  <c r="BO504" i="7"/>
  <c r="BP504" i="7" s="1"/>
  <c r="BQ504" i="7"/>
  <c r="BT504" i="7" s="1"/>
  <c r="BO1296" i="7"/>
  <c r="BP1296" i="7" s="1"/>
  <c r="BQ1296" i="7"/>
  <c r="BT1296" i="7" s="1"/>
  <c r="BQ1923" i="7"/>
  <c r="BT1923" i="7" s="1"/>
  <c r="BO1923" i="7"/>
  <c r="BP1923" i="7" s="1"/>
  <c r="BQ1751" i="7"/>
  <c r="BT1751" i="7" s="1"/>
  <c r="BO1751" i="7"/>
  <c r="BP1751" i="7" s="1"/>
  <c r="BQ2153" i="7"/>
  <c r="BT2153" i="7" s="1"/>
  <c r="BO2153" i="7"/>
  <c r="BP2153" i="7" s="1"/>
  <c r="BO1776" i="7"/>
  <c r="BP1776" i="7" s="1"/>
  <c r="BQ1776" i="7"/>
  <c r="BT1776" i="7" s="1"/>
  <c r="BO2277" i="7"/>
  <c r="BP2277" i="7" s="1"/>
  <c r="BQ2277" i="7"/>
  <c r="BT2277" i="7" s="1"/>
  <c r="BO1008" i="7"/>
  <c r="BP1008" i="7" s="1"/>
  <c r="BQ1008" i="7"/>
  <c r="BT1008" i="7" s="1"/>
  <c r="BO897" i="7"/>
  <c r="BP897" i="7" s="1"/>
  <c r="BQ897" i="7"/>
  <c r="BT897" i="7" s="1"/>
  <c r="BN155" i="7"/>
  <c r="BN90" i="8"/>
  <c r="BO2008" i="7"/>
  <c r="BP2008" i="7" s="1"/>
  <c r="BQ2008" i="7"/>
  <c r="BT2008" i="7" s="1"/>
  <c r="BO583" i="7"/>
  <c r="BP583" i="7" s="1"/>
  <c r="BQ583" i="7"/>
  <c r="BT583" i="7" s="1"/>
  <c r="BO282" i="7"/>
  <c r="BP282" i="7" s="1"/>
  <c r="BQ282" i="7"/>
  <c r="BT282" i="7" s="1"/>
  <c r="BO1138" i="7"/>
  <c r="BP1138" i="7" s="1"/>
  <c r="BQ1138" i="7"/>
  <c r="BT1138" i="7" s="1"/>
  <c r="BQ315" i="7"/>
  <c r="BT315" i="7" s="1"/>
  <c r="BO315" i="7"/>
  <c r="BP315" i="7" s="1"/>
  <c r="BO187" i="7"/>
  <c r="BP187" i="7" s="1"/>
  <c r="BQ187" i="7"/>
  <c r="BT187" i="7" s="1"/>
  <c r="BO1095" i="7"/>
  <c r="BP1095" i="7" s="1"/>
  <c r="BQ1095" i="7"/>
  <c r="BT1095" i="7" s="1"/>
  <c r="BO625" i="7"/>
  <c r="BP625" i="7" s="1"/>
  <c r="BQ625" i="7"/>
  <c r="BT625" i="7" s="1"/>
  <c r="BQ87" i="8"/>
  <c r="BO87" i="8"/>
  <c r="BO150" i="7"/>
  <c r="BQ150" i="7"/>
  <c r="BO1074" i="7"/>
  <c r="BP1074" i="7" s="1"/>
  <c r="BQ1074" i="7"/>
  <c r="BT1074" i="7" s="1"/>
  <c r="BO1953" i="7"/>
  <c r="BP1953" i="7" s="1"/>
  <c r="BQ1953" i="7"/>
  <c r="BT1953" i="7" s="1"/>
  <c r="BQ83" i="8"/>
  <c r="BO83" i="8"/>
  <c r="BO47" i="7"/>
  <c r="BQ47" i="7"/>
  <c r="BO902" i="7"/>
  <c r="BP902" i="7" s="1"/>
  <c r="BQ902" i="7"/>
  <c r="BT902" i="7" s="1"/>
  <c r="BQ600" i="7"/>
  <c r="BT600" i="7" s="1"/>
  <c r="BO600" i="7"/>
  <c r="BP600" i="7" s="1"/>
  <c r="BO1569" i="7"/>
  <c r="BP1569" i="7" s="1"/>
  <c r="BQ1569" i="7"/>
  <c r="BT1569" i="7" s="1"/>
  <c r="BP2026" i="7"/>
  <c r="BO1964" i="7"/>
  <c r="BP1964" i="7" s="1"/>
  <c r="BQ1964" i="7"/>
  <c r="BT1964" i="7" s="1"/>
  <c r="BO344" i="7"/>
  <c r="BP344" i="7" s="1"/>
  <c r="BQ344" i="7"/>
  <c r="BT344" i="7" s="1"/>
  <c r="BO1503" i="7"/>
  <c r="BP1503" i="7" s="1"/>
  <c r="BQ1503" i="7"/>
  <c r="BT1503" i="7" s="1"/>
  <c r="BO1038" i="7"/>
  <c r="BP1038" i="7" s="1"/>
  <c r="BQ1038" i="7"/>
  <c r="BT1038" i="7" s="1"/>
  <c r="BO2196" i="7"/>
  <c r="BP2196" i="7" s="1"/>
  <c r="BQ2196" i="7"/>
  <c r="BT2196" i="7" s="1"/>
  <c r="BO395" i="7"/>
  <c r="BP395" i="7" s="1"/>
  <c r="BQ395" i="7"/>
  <c r="BT395" i="7" s="1"/>
  <c r="BO1482" i="7"/>
  <c r="BP1482" i="7" s="1"/>
  <c r="BQ1482" i="7"/>
  <c r="BT1482" i="7" s="1"/>
  <c r="BO1404" i="7"/>
  <c r="BP1404" i="7" s="1"/>
  <c r="BQ1404" i="7"/>
  <c r="BT1404" i="7" s="1"/>
  <c r="BO414" i="7"/>
  <c r="BP414" i="7" s="1"/>
  <c r="BQ414" i="7"/>
  <c r="BT414" i="7" s="1"/>
  <c r="BO1673" i="7"/>
  <c r="BP1673" i="7" s="1"/>
  <c r="BQ1673" i="7"/>
  <c r="BT1673" i="7" s="1"/>
  <c r="BO1714" i="7"/>
  <c r="BP1714" i="7" s="1"/>
  <c r="BQ1714" i="7"/>
  <c r="BT1714" i="7" s="1"/>
  <c r="BO2050" i="7"/>
  <c r="BP2050" i="7" s="1"/>
  <c r="BQ2050" i="7"/>
  <c r="BT2050" i="7" s="1"/>
  <c r="BQ617" i="7"/>
  <c r="BT617" i="7" s="1"/>
  <c r="BO617" i="7"/>
  <c r="BP617" i="7" s="1"/>
  <c r="BO552" i="7"/>
  <c r="BP552" i="7" s="1"/>
  <c r="BQ552" i="7"/>
  <c r="BT552" i="7" s="1"/>
  <c r="BO807" i="7"/>
  <c r="BP807" i="7" s="1"/>
  <c r="BQ807" i="7"/>
  <c r="BT807" i="7" s="1"/>
  <c r="BO1498" i="7"/>
  <c r="BP1498" i="7" s="1"/>
  <c r="BQ1498" i="7"/>
  <c r="BT1498" i="7" s="1"/>
  <c r="BO1031" i="7"/>
  <c r="BP1031" i="7" s="1"/>
  <c r="BQ1031" i="7"/>
  <c r="BT1031" i="7" s="1"/>
  <c r="BO520" i="7"/>
  <c r="BP520" i="7" s="1"/>
  <c r="BQ520" i="7"/>
  <c r="BT520" i="7" s="1"/>
  <c r="BQ601" i="7"/>
  <c r="BT601" i="7" s="1"/>
  <c r="BO601" i="7"/>
  <c r="BP601" i="7" s="1"/>
  <c r="BQ605" i="7"/>
  <c r="BT605" i="7" s="1"/>
  <c r="BO605" i="7"/>
  <c r="BP605" i="7" s="1"/>
  <c r="BO1412" i="7"/>
  <c r="BP1412" i="7" s="1"/>
  <c r="BQ1412" i="7"/>
  <c r="BT1412" i="7" s="1"/>
  <c r="BO523" i="7"/>
  <c r="BP523" i="7" s="1"/>
  <c r="BQ523" i="7"/>
  <c r="BT523" i="7" s="1"/>
  <c r="BO1049" i="7"/>
  <c r="BP1049" i="7" s="1"/>
  <c r="BQ1049" i="7"/>
  <c r="BT1049" i="7" s="1"/>
  <c r="BO2087" i="7"/>
  <c r="BP2087" i="7" s="1"/>
  <c r="BQ2087" i="7"/>
  <c r="BT2087" i="7" s="1"/>
  <c r="BO852" i="7"/>
  <c r="BP852" i="7" s="1"/>
  <c r="BQ852" i="7"/>
  <c r="BT852" i="7" s="1"/>
  <c r="BO2132" i="7"/>
  <c r="BP2132" i="7" s="1"/>
  <c r="BQ2132" i="7"/>
  <c r="BT2132" i="7" s="1"/>
  <c r="BO1849" i="7"/>
  <c r="BP1849" i="7" s="1"/>
  <c r="BQ1849" i="7"/>
  <c r="BT1849" i="7" s="1"/>
  <c r="BO676" i="7"/>
  <c r="BP676" i="7" s="1"/>
  <c r="BQ676" i="7"/>
  <c r="BT676" i="7" s="1"/>
  <c r="BO1349" i="7"/>
  <c r="BP1349" i="7" s="1"/>
  <c r="BQ1349" i="7"/>
  <c r="BT1349" i="7" s="1"/>
  <c r="BO2013" i="7"/>
  <c r="BP2013" i="7" s="1"/>
  <c r="BQ2013" i="7"/>
  <c r="BT2013" i="7" s="1"/>
  <c r="BO1194" i="7"/>
  <c r="BP1194" i="7" s="1"/>
  <c r="BQ1194" i="7"/>
  <c r="BT1194" i="7" s="1"/>
  <c r="BO1199" i="7"/>
  <c r="BP1199" i="7" s="1"/>
  <c r="BQ1199" i="7"/>
  <c r="BT1199" i="7" s="1"/>
  <c r="BQ2222" i="7"/>
  <c r="BT2222" i="7" s="1"/>
  <c r="BO2222" i="7"/>
  <c r="BP2222" i="7" s="1"/>
  <c r="BO1201" i="7"/>
  <c r="BP1201" i="7" s="1"/>
  <c r="BQ1201" i="7"/>
  <c r="BT1201" i="7" s="1"/>
  <c r="BO2011" i="7"/>
  <c r="BP2011" i="7" s="1"/>
  <c r="BQ2011" i="7"/>
  <c r="BT2011" i="7" s="1"/>
  <c r="BO232" i="7"/>
  <c r="BP232" i="7" s="1"/>
  <c r="BQ232" i="7"/>
  <c r="BT232" i="7" s="1"/>
  <c r="BO2133" i="7"/>
  <c r="BP2133" i="7" s="1"/>
  <c r="BQ2133" i="7"/>
  <c r="BT2133" i="7" s="1"/>
  <c r="BO795" i="7"/>
  <c r="BP795" i="7" s="1"/>
  <c r="BQ795" i="7"/>
  <c r="BT795" i="7" s="1"/>
  <c r="BO887" i="7"/>
  <c r="BP887" i="7" s="1"/>
  <c r="BQ887" i="7"/>
  <c r="BT887" i="7" s="1"/>
  <c r="BO998" i="7"/>
  <c r="BP998" i="7" s="1"/>
  <c r="BQ998" i="7"/>
  <c r="BT998" i="7" s="1"/>
  <c r="BN64" i="7"/>
  <c r="BP99" i="8" s="1"/>
  <c r="BN99" i="8"/>
  <c r="BO1655" i="7"/>
  <c r="BP1655" i="7" s="1"/>
  <c r="BQ1655" i="7"/>
  <c r="BT1655" i="7" s="1"/>
  <c r="BO2055" i="7"/>
  <c r="BP2055" i="7" s="1"/>
  <c r="BQ2055" i="7"/>
  <c r="BT2055" i="7" s="1"/>
  <c r="BP50" i="7"/>
  <c r="BO467" i="7"/>
  <c r="BP467" i="7" s="1"/>
  <c r="BQ467" i="7"/>
  <c r="BT467" i="7" s="1"/>
  <c r="BO2006" i="7"/>
  <c r="BP2006" i="7" s="1"/>
  <c r="BQ2006" i="7"/>
  <c r="BT2006" i="7" s="1"/>
  <c r="BO864" i="7"/>
  <c r="BP864" i="7" s="1"/>
  <c r="BQ864" i="7"/>
  <c r="BT864" i="7" s="1"/>
  <c r="BO1532" i="7"/>
  <c r="BP1532" i="7" s="1"/>
  <c r="BQ1532" i="7"/>
  <c r="BT1532" i="7" s="1"/>
  <c r="BO1807" i="7"/>
  <c r="BP1807" i="7" s="1"/>
  <c r="BQ1807" i="7"/>
  <c r="BT1807" i="7" s="1"/>
  <c r="BO1492" i="7"/>
  <c r="BP1492" i="7" s="1"/>
  <c r="BQ1492" i="7"/>
  <c r="BT1492" i="7" s="1"/>
  <c r="BO1292" i="7"/>
  <c r="BP1292" i="7" s="1"/>
  <c r="BQ1292" i="7"/>
  <c r="BT1292" i="7" s="1"/>
  <c r="BO585" i="7"/>
  <c r="BP585" i="7" s="1"/>
  <c r="BQ585" i="7"/>
  <c r="BT585" i="7" s="1"/>
  <c r="BQ851" i="7"/>
  <c r="BT851" i="7" s="1"/>
  <c r="BO851" i="7"/>
  <c r="BP851" i="7" s="1"/>
  <c r="BO233" i="7"/>
  <c r="BP233" i="7" s="1"/>
  <c r="BQ233" i="7"/>
  <c r="BT233" i="7" s="1"/>
  <c r="BO1001" i="7"/>
  <c r="BP1001" i="7" s="1"/>
  <c r="BQ1001" i="7"/>
  <c r="BT1001" i="7" s="1"/>
  <c r="BO310" i="7"/>
  <c r="BP310" i="7" s="1"/>
  <c r="BQ310" i="7"/>
  <c r="BT310" i="7" s="1"/>
  <c r="BO555" i="7"/>
  <c r="BP555" i="7" s="1"/>
  <c r="BQ555" i="7"/>
  <c r="BT555" i="7" s="1"/>
  <c r="BO1182" i="7"/>
  <c r="BP1182" i="7" s="1"/>
  <c r="BQ1182" i="7"/>
  <c r="BT1182" i="7" s="1"/>
  <c r="BO1571" i="7"/>
  <c r="BP1571" i="7" s="1"/>
  <c r="BQ1571" i="7"/>
  <c r="BT1571" i="7" s="1"/>
  <c r="BO1836" i="7"/>
  <c r="BP1836" i="7" s="1"/>
  <c r="BQ1836" i="7"/>
  <c r="BT1836" i="7" s="1"/>
  <c r="BN427" i="7"/>
  <c r="BP60" i="8" s="1"/>
  <c r="BN60" i="8"/>
  <c r="BO2221" i="7"/>
  <c r="BP2221" i="7" s="1"/>
  <c r="BQ2221" i="7"/>
  <c r="BT2221" i="7" s="1"/>
  <c r="BO236" i="7"/>
  <c r="BP236" i="7" s="1"/>
  <c r="BQ236" i="7"/>
  <c r="BT236" i="7" s="1"/>
  <c r="BO2185" i="7"/>
  <c r="BP2185" i="7" s="1"/>
  <c r="BQ2185" i="7"/>
  <c r="BT2185" i="7" s="1"/>
  <c r="BO1069" i="7"/>
  <c r="BP1069" i="7" s="1"/>
  <c r="BQ1069" i="7"/>
  <c r="BT1069" i="7" s="1"/>
  <c r="BN92" i="7"/>
  <c r="BN21" i="8"/>
  <c r="BN410" i="7"/>
  <c r="BN8" i="8"/>
  <c r="BO484" i="7"/>
  <c r="BP484" i="7" s="1"/>
  <c r="BQ484" i="7"/>
  <c r="BT484" i="7" s="1"/>
  <c r="BO1071" i="7"/>
  <c r="BP1071" i="7" s="1"/>
  <c r="BQ1071" i="7"/>
  <c r="BT1071" i="7" s="1"/>
  <c r="BO68" i="7"/>
  <c r="BP68" i="7" s="1"/>
  <c r="BQ68" i="7"/>
  <c r="BT68" i="7" s="1"/>
  <c r="BO1593" i="7"/>
  <c r="BP1593" i="7" s="1"/>
  <c r="BQ1593" i="7"/>
  <c r="BT1593" i="7" s="1"/>
  <c r="BO1495" i="7"/>
  <c r="BP1495" i="7" s="1"/>
  <c r="BQ1495" i="7"/>
  <c r="BT1495" i="7" s="1"/>
  <c r="BO138" i="7"/>
  <c r="BP138" i="7" s="1"/>
  <c r="BQ138" i="7"/>
  <c r="BT138" i="7" s="1"/>
  <c r="BN63" i="7"/>
  <c r="BP100" i="8" s="1"/>
  <c r="BN100" i="8"/>
  <c r="BN31" i="7"/>
  <c r="BN70" i="8"/>
  <c r="BQ1168" i="7"/>
  <c r="BT1168" i="7" s="1"/>
  <c r="BO1168" i="7"/>
  <c r="BP1168" i="7" s="1"/>
  <c r="BO1088" i="7"/>
  <c r="BP1088" i="7" s="1"/>
  <c r="BQ1088" i="7"/>
  <c r="BT1088" i="7" s="1"/>
  <c r="BQ2155" i="7"/>
  <c r="BT2155" i="7" s="1"/>
  <c r="BO2155" i="7"/>
  <c r="BP2155" i="7" s="1"/>
  <c r="BO2130" i="7"/>
  <c r="BP2130" i="7" s="1"/>
  <c r="BQ2130" i="7"/>
  <c r="BT2130" i="7" s="1"/>
  <c r="BQ561" i="7"/>
  <c r="BT561" i="7" s="1"/>
  <c r="BO561" i="7"/>
  <c r="BP561" i="7" s="1"/>
  <c r="BO1607" i="7"/>
  <c r="BP1607" i="7" s="1"/>
  <c r="BQ1607" i="7"/>
  <c r="BT1607" i="7" s="1"/>
  <c r="BO1821" i="7"/>
  <c r="BP1821" i="7" s="1"/>
  <c r="BQ1821" i="7"/>
  <c r="BT1821" i="7" s="1"/>
  <c r="BO745" i="7"/>
  <c r="BP745" i="7" s="1"/>
  <c r="BQ745" i="7"/>
  <c r="BT745" i="7" s="1"/>
  <c r="BQ1458" i="7"/>
  <c r="BT1458" i="7" s="1"/>
  <c r="BO1458" i="7"/>
  <c r="BP1458" i="7" s="1"/>
  <c r="BN215" i="7"/>
  <c r="BN92" i="8"/>
  <c r="BO478" i="7"/>
  <c r="BP478" i="7" s="1"/>
  <c r="BQ478" i="7"/>
  <c r="BT478" i="7" s="1"/>
  <c r="BQ1157" i="7"/>
  <c r="BT1157" i="7" s="1"/>
  <c r="BO1157" i="7"/>
  <c r="BP1157" i="7" s="1"/>
  <c r="BO521" i="7"/>
  <c r="BP521" i="7" s="1"/>
  <c r="BQ521" i="7"/>
  <c r="BT521" i="7" s="1"/>
  <c r="BP614" i="7"/>
  <c r="BO1065" i="7"/>
  <c r="BP1065" i="7" s="1"/>
  <c r="BQ1065" i="7"/>
  <c r="BT1065" i="7" s="1"/>
  <c r="BN38" i="7"/>
  <c r="BN77" i="8"/>
  <c r="BO9" i="8"/>
  <c r="BQ9" i="8"/>
  <c r="BO408" i="7"/>
  <c r="BQ408" i="7"/>
  <c r="BO377" i="7"/>
  <c r="BP377" i="7" s="1"/>
  <c r="BQ377" i="7"/>
  <c r="BT377" i="7" s="1"/>
  <c r="BO1798" i="7"/>
  <c r="BP1798" i="7" s="1"/>
  <c r="BQ1798" i="7"/>
  <c r="BT1798" i="7" s="1"/>
  <c r="BO2216" i="7"/>
  <c r="BP2216" i="7" s="1"/>
  <c r="BQ2216" i="7"/>
  <c r="BT2216" i="7" s="1"/>
  <c r="BO1905" i="7"/>
  <c r="BP1905" i="7" s="1"/>
  <c r="BQ1905" i="7"/>
  <c r="BT1905" i="7" s="1"/>
  <c r="BP1433" i="7"/>
  <c r="BQ570" i="7"/>
  <c r="BT570" i="7" s="1"/>
  <c r="BO570" i="7"/>
  <c r="BP570" i="7" s="1"/>
  <c r="BO1303" i="7"/>
  <c r="BP1303" i="7" s="1"/>
  <c r="BQ1303" i="7"/>
  <c r="BT1303" i="7" s="1"/>
  <c r="BP2206" i="7"/>
  <c r="BQ1738" i="7"/>
  <c r="BT1738" i="7" s="1"/>
  <c r="BO1738" i="7"/>
  <c r="BP1738" i="7" s="1"/>
  <c r="BP706" i="7"/>
  <c r="BP65" i="7"/>
  <c r="BQ1841" i="7"/>
  <c r="BT1841" i="7" s="1"/>
  <c r="BO1841" i="7"/>
  <c r="BP1841" i="7" s="1"/>
  <c r="BO1605" i="7"/>
  <c r="BP1605" i="7" s="1"/>
  <c r="BQ1605" i="7"/>
  <c r="BT1605" i="7" s="1"/>
  <c r="BQ1936" i="7"/>
  <c r="BT1936" i="7" s="1"/>
  <c r="BO1936" i="7"/>
  <c r="BP1936" i="7" s="1"/>
  <c r="BN165" i="7"/>
  <c r="BN40" i="8"/>
  <c r="BO1960" i="7"/>
  <c r="BP1960" i="7" s="1"/>
  <c r="BQ1960" i="7"/>
  <c r="BT1960" i="7" s="1"/>
  <c r="BO577" i="7"/>
  <c r="BP577" i="7" s="1"/>
  <c r="BQ577" i="7"/>
  <c r="BT577" i="7" s="1"/>
  <c r="BO1366" i="7"/>
  <c r="BP1366" i="7" s="1"/>
  <c r="BQ1366" i="7"/>
  <c r="BT1366" i="7" s="1"/>
  <c r="BO853" i="7"/>
  <c r="BP853" i="7" s="1"/>
  <c r="BQ853" i="7"/>
  <c r="BT853" i="7" s="1"/>
  <c r="BO2062" i="7"/>
  <c r="BP2062" i="7" s="1"/>
  <c r="BQ2062" i="7"/>
  <c r="BT2062" i="7" s="1"/>
  <c r="BO1337" i="7"/>
  <c r="BP1337" i="7" s="1"/>
  <c r="BQ1337" i="7"/>
  <c r="BT1337" i="7" s="1"/>
  <c r="BO471" i="7"/>
  <c r="BP471" i="7" s="1"/>
  <c r="BQ471" i="7"/>
  <c r="BT471" i="7" s="1"/>
  <c r="BO576" i="7"/>
  <c r="BP576" i="7" s="1"/>
  <c r="BQ576" i="7"/>
  <c r="BT576" i="7" s="1"/>
  <c r="BQ2043" i="7"/>
  <c r="BT2043" i="7" s="1"/>
  <c r="BO2043" i="7"/>
  <c r="BP2043" i="7" s="1"/>
  <c r="BO439" i="7"/>
  <c r="BP439" i="7" s="1"/>
  <c r="BQ439" i="7"/>
  <c r="BT439" i="7" s="1"/>
  <c r="BO608" i="7"/>
  <c r="BP608" i="7" s="1"/>
  <c r="BQ608" i="7"/>
  <c r="BT608" i="7" s="1"/>
  <c r="BQ87" i="7"/>
  <c r="BT87" i="7" s="1"/>
  <c r="BO87" i="7"/>
  <c r="BP87" i="7" s="1"/>
  <c r="BQ34" i="8"/>
  <c r="BO34" i="8"/>
  <c r="BQ163" i="7"/>
  <c r="BO163" i="7"/>
  <c r="BO1894" i="7"/>
  <c r="BP1894" i="7" s="1"/>
  <c r="BQ1894" i="7"/>
  <c r="BT1894" i="7" s="1"/>
  <c r="BO668" i="7"/>
  <c r="BP668" i="7" s="1"/>
  <c r="BQ668" i="7"/>
  <c r="BT668" i="7" s="1"/>
  <c r="BO1359" i="7"/>
  <c r="BP1359" i="7" s="1"/>
  <c r="BQ1359" i="7"/>
  <c r="BT1359" i="7" s="1"/>
  <c r="BO767" i="7"/>
  <c r="BP767" i="7" s="1"/>
  <c r="BQ767" i="7"/>
  <c r="BT767" i="7" s="1"/>
  <c r="BO436" i="7"/>
  <c r="BP436" i="7" s="1"/>
  <c r="BQ436" i="7"/>
  <c r="BT436" i="7" s="1"/>
  <c r="BP911" i="7"/>
  <c r="BO1955" i="7"/>
  <c r="BP1955" i="7" s="1"/>
  <c r="BQ1955" i="7"/>
  <c r="BT1955" i="7" s="1"/>
  <c r="BO943" i="7"/>
  <c r="BP943" i="7" s="1"/>
  <c r="BQ943" i="7"/>
  <c r="BT943" i="7" s="1"/>
  <c r="BO1089" i="7"/>
  <c r="BP1089" i="7" s="1"/>
  <c r="BQ1089" i="7"/>
  <c r="BT1089" i="7" s="1"/>
  <c r="BQ1839" i="7"/>
  <c r="BT1839" i="7" s="1"/>
  <c r="BO1839" i="7"/>
  <c r="BP1839" i="7" s="1"/>
  <c r="BO678" i="7"/>
  <c r="BP678" i="7" s="1"/>
  <c r="BQ678" i="7"/>
  <c r="BT678" i="7" s="1"/>
  <c r="BO922" i="7"/>
  <c r="BP922" i="7" s="1"/>
  <c r="BQ922" i="7"/>
  <c r="BT922" i="7" s="1"/>
  <c r="BO1646" i="7"/>
  <c r="BP1646" i="7" s="1"/>
  <c r="BQ1646" i="7"/>
  <c r="BT1646" i="7" s="1"/>
  <c r="BO388" i="7"/>
  <c r="BP388" i="7" s="1"/>
  <c r="BQ388" i="7"/>
  <c r="BT388" i="7" s="1"/>
  <c r="BO1933" i="7"/>
  <c r="BP1933" i="7" s="1"/>
  <c r="BQ1933" i="7"/>
  <c r="BT1933" i="7" s="1"/>
  <c r="BO1179" i="7"/>
  <c r="BP1179" i="7" s="1"/>
  <c r="BQ1179" i="7"/>
  <c r="BT1179" i="7" s="1"/>
  <c r="BO1056" i="7"/>
  <c r="BP1056" i="7" s="1"/>
  <c r="BQ1056" i="7"/>
  <c r="BT1056" i="7" s="1"/>
  <c r="BO423" i="7"/>
  <c r="BP423" i="7" s="1"/>
  <c r="BQ423" i="7"/>
  <c r="BT423" i="7" s="1"/>
  <c r="BO454" i="7"/>
  <c r="BP454" i="7" s="1"/>
  <c r="BQ454" i="7"/>
  <c r="BT454" i="7" s="1"/>
  <c r="BO532" i="7"/>
  <c r="BP532" i="7" s="1"/>
  <c r="BQ532" i="7"/>
  <c r="BT532" i="7" s="1"/>
  <c r="BO1679" i="7"/>
  <c r="BP1679" i="7" s="1"/>
  <c r="BQ1679" i="7"/>
  <c r="BT1679" i="7" s="1"/>
  <c r="BP113" i="7"/>
  <c r="BO2134" i="7"/>
  <c r="BP2134" i="7" s="1"/>
  <c r="BQ2134" i="7"/>
  <c r="BT2134" i="7" s="1"/>
  <c r="BO89" i="8"/>
  <c r="BQ89" i="8"/>
  <c r="BQ156" i="7"/>
  <c r="BO156" i="7"/>
  <c r="BO1899" i="7"/>
  <c r="BP1899" i="7" s="1"/>
  <c r="BQ1899" i="7"/>
  <c r="BT1899" i="7" s="1"/>
  <c r="BO1055" i="7"/>
  <c r="BP1055" i="7" s="1"/>
  <c r="BQ1055" i="7"/>
  <c r="BT1055" i="7" s="1"/>
  <c r="BO128" i="7"/>
  <c r="BP128" i="7" s="1"/>
  <c r="BQ128" i="7"/>
  <c r="BT128" i="7" s="1"/>
  <c r="BO2217" i="7"/>
  <c r="BP2217" i="7" s="1"/>
  <c r="BQ2217" i="7"/>
  <c r="BT2217" i="7" s="1"/>
  <c r="BO1324" i="7"/>
  <c r="BP1324" i="7" s="1"/>
  <c r="BQ1324" i="7"/>
  <c r="BT1324" i="7" s="1"/>
  <c r="BO1076" i="7"/>
  <c r="BP1076" i="7" s="1"/>
  <c r="BQ1076" i="7"/>
  <c r="BT1076" i="7" s="1"/>
  <c r="BO2265" i="7"/>
  <c r="BP2265" i="7" s="1"/>
  <c r="BQ2265" i="7"/>
  <c r="BT2265" i="7" s="1"/>
  <c r="BO1518" i="7"/>
  <c r="BP1518" i="7" s="1"/>
  <c r="BQ1518" i="7"/>
  <c r="BT1518" i="7" s="1"/>
  <c r="BO501" i="7"/>
  <c r="BP501" i="7" s="1"/>
  <c r="BQ501" i="7"/>
  <c r="BT501" i="7" s="1"/>
  <c r="BO2117" i="7"/>
  <c r="BP2117" i="7" s="1"/>
  <c r="BQ2117" i="7"/>
  <c r="BT2117" i="7" s="1"/>
  <c r="BO139" i="7"/>
  <c r="BP139" i="7" s="1"/>
  <c r="BQ139" i="7"/>
  <c r="BT139" i="7" s="1"/>
  <c r="BO1472" i="7"/>
  <c r="BP1472" i="7" s="1"/>
  <c r="BQ1472" i="7"/>
  <c r="BT1472" i="7" s="1"/>
  <c r="BO1601" i="7"/>
  <c r="BP1601" i="7" s="1"/>
  <c r="BQ1601" i="7"/>
  <c r="BT1601" i="7" s="1"/>
  <c r="BO964" i="7"/>
  <c r="BP964" i="7" s="1"/>
  <c r="BQ964" i="7"/>
  <c r="BT964" i="7" s="1"/>
  <c r="BO303" i="7"/>
  <c r="BP303" i="7" s="1"/>
  <c r="BQ303" i="7"/>
  <c r="BT303" i="7" s="1"/>
  <c r="BO1308" i="7"/>
  <c r="BP1308" i="7" s="1"/>
  <c r="BQ1308" i="7"/>
  <c r="BT1308" i="7" s="1"/>
  <c r="BO102" i="8"/>
  <c r="BQ102" i="8"/>
  <c r="BO186" i="7"/>
  <c r="BQ186" i="7"/>
  <c r="BT186" i="7" s="1"/>
  <c r="BO2210" i="7"/>
  <c r="BP2210" i="7" s="1"/>
  <c r="BQ2210" i="7"/>
  <c r="BT2210" i="7" s="1"/>
  <c r="BO621" i="7"/>
  <c r="BP621" i="7" s="1"/>
  <c r="BS621" i="7" s="1"/>
  <c r="BQ621" i="7"/>
  <c r="BT621" i="7" s="1"/>
  <c r="BO1417" i="7"/>
  <c r="BP1417" i="7" s="1"/>
  <c r="BQ1417" i="7"/>
  <c r="BT1417" i="7" s="1"/>
  <c r="BO946" i="7"/>
  <c r="BP946" i="7" s="1"/>
  <c r="BQ946" i="7"/>
  <c r="BT946" i="7" s="1"/>
  <c r="BQ976" i="7"/>
  <c r="BT976" i="7" s="1"/>
  <c r="BO976" i="7"/>
  <c r="BP976" i="7" s="1"/>
  <c r="BO1209" i="7"/>
  <c r="BP1209" i="7" s="1"/>
  <c r="BQ1209" i="7"/>
  <c r="BT1209" i="7" s="1"/>
  <c r="BO361" i="7"/>
  <c r="BP361" i="7" s="1"/>
  <c r="BQ361" i="7"/>
  <c r="BT361" i="7" s="1"/>
  <c r="BO1140" i="7"/>
  <c r="BP1140" i="7" s="1"/>
  <c r="BQ1140" i="7"/>
  <c r="BT1140" i="7" s="1"/>
  <c r="BO1718" i="7"/>
  <c r="BP1718" i="7" s="1"/>
  <c r="BQ1718" i="7"/>
  <c r="BT1718" i="7" s="1"/>
  <c r="BO145" i="7"/>
  <c r="BP145" i="7" s="1"/>
  <c r="BQ145" i="7"/>
  <c r="BT145" i="7" s="1"/>
  <c r="BQ1282" i="7"/>
  <c r="BT1282" i="7" s="1"/>
  <c r="BO1282" i="7"/>
  <c r="BP1282" i="7" s="1"/>
  <c r="BO269" i="7"/>
  <c r="BP269" i="7" s="1"/>
  <c r="BQ269" i="7"/>
  <c r="BT269" i="7" s="1"/>
  <c r="BQ5" i="8"/>
  <c r="BO5" i="8"/>
  <c r="BO385" i="7"/>
  <c r="BQ385" i="7"/>
  <c r="BP2179" i="7"/>
  <c r="BO874" i="7"/>
  <c r="BP874" i="7" s="1"/>
  <c r="BQ874" i="7"/>
  <c r="BT874" i="7" s="1"/>
  <c r="BO1973" i="7"/>
  <c r="BP1973" i="7" s="1"/>
  <c r="BQ1973" i="7"/>
  <c r="BT1973" i="7" s="1"/>
  <c r="BO939" i="7"/>
  <c r="BP939" i="7" s="1"/>
  <c r="BQ939" i="7"/>
  <c r="BT939" i="7" s="1"/>
  <c r="BO444" i="7"/>
  <c r="BP444" i="7" s="1"/>
  <c r="BQ444" i="7"/>
  <c r="BT444" i="7" s="1"/>
  <c r="BP1006" i="7"/>
  <c r="BO1326" i="7"/>
  <c r="BP1326" i="7" s="1"/>
  <c r="BQ1326" i="7"/>
  <c r="BT1326" i="7" s="1"/>
  <c r="BO581" i="7"/>
  <c r="BP581" i="7" s="1"/>
  <c r="BQ581" i="7"/>
  <c r="BT581" i="7" s="1"/>
  <c r="BO716" i="7"/>
  <c r="BP716" i="7" s="1"/>
  <c r="BQ716" i="7"/>
  <c r="BT716" i="7" s="1"/>
  <c r="BO1987" i="7"/>
  <c r="BP1987" i="7" s="1"/>
  <c r="BQ1987" i="7"/>
  <c r="BT1987" i="7" s="1"/>
  <c r="BO356" i="7"/>
  <c r="BP356" i="7" s="1"/>
  <c r="BQ356" i="7"/>
  <c r="BT356" i="7" s="1"/>
  <c r="BO407" i="7"/>
  <c r="BP407" i="7" s="1"/>
  <c r="BQ407" i="7"/>
  <c r="BT407" i="7" s="1"/>
  <c r="BO1934" i="7"/>
  <c r="BP1934" i="7" s="1"/>
  <c r="BQ1934" i="7"/>
  <c r="BT1934" i="7" s="1"/>
  <c r="BO1447" i="7"/>
  <c r="BP1447" i="7" s="1"/>
  <c r="BQ1447" i="7"/>
  <c r="BT1447" i="7" s="1"/>
  <c r="BO1558" i="7"/>
  <c r="BP1558" i="7" s="1"/>
  <c r="BQ1558" i="7"/>
  <c r="BT1558" i="7" s="1"/>
  <c r="CW54" i="1"/>
  <c r="DA54" i="3" s="1"/>
  <c r="CX185" i="1"/>
  <c r="DA203" i="1"/>
  <c r="DA7" i="1"/>
  <c r="DA307" i="1"/>
  <c r="DA277" i="1"/>
  <c r="DA148" i="1"/>
  <c r="DA106" i="1"/>
  <c r="DA45" i="1"/>
  <c r="BF92" i="8"/>
  <c r="BF1486" i="7"/>
  <c r="BF69" i="8"/>
  <c r="BF2151" i="7"/>
  <c r="BF62" i="8"/>
  <c r="BF820" i="7"/>
  <c r="BF35" i="8"/>
  <c r="CK58" i="1"/>
  <c r="DA5" i="1"/>
  <c r="DA273" i="1"/>
  <c r="CZ152" i="1"/>
  <c r="DA159" i="1"/>
  <c r="DA268" i="1"/>
  <c r="CZ268" i="1"/>
  <c r="DA223" i="1"/>
  <c r="DA272" i="1"/>
  <c r="DA48" i="1"/>
  <c r="DA219" i="1"/>
  <c r="DA259" i="1"/>
  <c r="DA113" i="1"/>
  <c r="DA34" i="1"/>
  <c r="DA232" i="1"/>
  <c r="DA226" i="1"/>
  <c r="DA22" i="1"/>
  <c r="DA185" i="1"/>
  <c r="CX42" i="1"/>
  <c r="CX56" i="3"/>
  <c r="CW56" i="3"/>
  <c r="CK56" i="3"/>
  <c r="CJ56" i="3"/>
  <c r="DA17" i="1"/>
  <c r="CZ104" i="1"/>
  <c r="DA104" i="1"/>
  <c r="DA172" i="1"/>
  <c r="DA134" i="1"/>
  <c r="DA52" i="1"/>
  <c r="DA33" i="1"/>
  <c r="DA239" i="1"/>
  <c r="DA99" i="1"/>
  <c r="DA133" i="1"/>
  <c r="DA182" i="1"/>
  <c r="DA127" i="1"/>
  <c r="DA18" i="1"/>
  <c r="DA116" i="1"/>
  <c r="CZ137" i="1"/>
  <c r="DA9" i="1"/>
  <c r="CZ155" i="1"/>
  <c r="DA60" i="1"/>
  <c r="DA29" i="1"/>
  <c r="DA136" i="1"/>
  <c r="DA178" i="1"/>
  <c r="CK55" i="3"/>
  <c r="CJ55" i="3"/>
  <c r="CZ146" i="1"/>
  <c r="DA151" i="1"/>
  <c r="CW26" i="1"/>
  <c r="CZ26" i="1" s="1"/>
  <c r="CW103" i="1"/>
  <c r="CX55" i="3"/>
  <c r="CW55" i="3"/>
  <c r="CX103" i="1"/>
  <c r="CK54" i="3"/>
  <c r="CJ54" i="3"/>
  <c r="DA207" i="1"/>
  <c r="DA123" i="1"/>
  <c r="CX158" i="1"/>
  <c r="CX54" i="3"/>
  <c r="CW54" i="3"/>
  <c r="DA140" i="1"/>
  <c r="DA97" i="1"/>
  <c r="DA186" i="1"/>
  <c r="CZ183" i="1"/>
  <c r="DA68" i="1"/>
  <c r="DA284" i="1"/>
  <c r="DA252" i="1"/>
  <c r="DA201" i="1"/>
  <c r="DA149" i="1"/>
  <c r="DA138" i="1"/>
  <c r="DA51" i="1"/>
  <c r="DA80" i="1"/>
  <c r="DA212" i="1"/>
  <c r="DA247" i="1"/>
  <c r="DA218" i="1"/>
  <c r="CK281" i="1"/>
  <c r="DA114" i="1"/>
  <c r="CZ114" i="1"/>
  <c r="DA288" i="1"/>
  <c r="DA88" i="1"/>
  <c r="DA161" i="1"/>
  <c r="DA208" i="1"/>
  <c r="CZ55" i="1"/>
  <c r="DA55" i="1"/>
  <c r="DA78" i="1"/>
  <c r="DA202" i="1"/>
  <c r="DA36" i="1"/>
  <c r="CX36" i="1"/>
  <c r="DA25" i="1"/>
  <c r="DA164" i="1"/>
  <c r="DA264" i="1"/>
  <c r="DA40" i="1"/>
  <c r="DA266" i="1"/>
  <c r="CW199" i="1"/>
  <c r="DA199" i="1" s="1"/>
  <c r="DA39" i="1"/>
  <c r="CW231" i="1"/>
  <c r="CZ231" i="1" s="1"/>
  <c r="DA229" i="1"/>
  <c r="DA89" i="1"/>
  <c r="DA300" i="1"/>
  <c r="DA253" i="1"/>
  <c r="DA213" i="1"/>
  <c r="CW117" i="1"/>
  <c r="CZ117" i="1" s="1"/>
  <c r="CW63" i="1"/>
  <c r="DA173" i="1"/>
  <c r="DA168" i="1"/>
  <c r="CW93" i="1"/>
  <c r="DA93" i="1" s="1"/>
  <c r="DA204" i="1"/>
  <c r="CW57" i="1"/>
  <c r="CZ57" i="1" s="1"/>
  <c r="CZ81" i="1"/>
  <c r="DA81" i="1"/>
  <c r="DA251" i="1"/>
  <c r="CZ76" i="1"/>
  <c r="DA76" i="1"/>
  <c r="CZ282" i="1"/>
  <c r="DA282" i="1"/>
  <c r="CJ8" i="3"/>
  <c r="CZ291" i="1"/>
  <c r="DA291" i="1"/>
  <c r="DA274" i="1"/>
  <c r="CZ242" i="1"/>
  <c r="DA242" i="1"/>
  <c r="CK45" i="3"/>
  <c r="CZ47" i="1"/>
  <c r="CZ220" i="1"/>
  <c r="DA220" i="1"/>
  <c r="CZ195" i="1"/>
  <c r="DA195" i="1"/>
  <c r="CZ281" i="1"/>
  <c r="CW279" i="1"/>
  <c r="DA279" i="1" s="1"/>
  <c r="DA14" i="1"/>
  <c r="CZ14" i="1"/>
  <c r="DA111" i="1"/>
  <c r="DA91" i="1"/>
  <c r="CZ271" i="1"/>
  <c r="DA271" i="1"/>
  <c r="CJ31" i="3"/>
  <c r="DA221" i="1"/>
  <c r="CZ256" i="1"/>
  <c r="DA256" i="1"/>
  <c r="CZ248" i="1"/>
  <c r="DA248" i="1"/>
  <c r="CZ234" i="1"/>
  <c r="DA234" i="1"/>
  <c r="DA188" i="1"/>
  <c r="CZ69" i="1"/>
  <c r="DA69" i="1"/>
  <c r="CW214" i="1"/>
  <c r="CZ214" i="1" s="1"/>
  <c r="CZ297" i="1"/>
  <c r="DA297" i="1"/>
  <c r="CZ112" i="1"/>
  <c r="DA112" i="1"/>
  <c r="CZ11" i="1"/>
  <c r="DA11" i="1"/>
  <c r="CZ35" i="1"/>
  <c r="DA35" i="1"/>
  <c r="CZ71" i="1"/>
  <c r="DA71" i="1"/>
  <c r="CZ263" i="1"/>
  <c r="DA263" i="1"/>
  <c r="CZ224" i="1"/>
  <c r="DA120" i="1"/>
  <c r="CZ302" i="1"/>
  <c r="DA302" i="1"/>
  <c r="CZ156" i="1"/>
  <c r="DA156" i="1"/>
  <c r="CZ32" i="1"/>
  <c r="DA32" i="1"/>
  <c r="CZ90" i="1"/>
  <c r="DA90" i="1"/>
  <c r="CZ228" i="1"/>
  <c r="DA228" i="1"/>
  <c r="CZ171" i="1"/>
  <c r="DA171" i="1"/>
  <c r="CZ230" i="1"/>
  <c r="CJ45" i="3"/>
  <c r="DA293" i="1"/>
  <c r="DA163" i="1"/>
  <c r="CW53" i="1"/>
  <c r="CZ53" i="1" s="1"/>
  <c r="CZ283" i="1"/>
  <c r="DA283" i="1"/>
  <c r="CZ306" i="1"/>
  <c r="DA306" i="1"/>
  <c r="CZ85" i="1"/>
  <c r="DA85" i="1"/>
  <c r="CZ278" i="1"/>
  <c r="DA278" i="1"/>
  <c r="CZ31" i="1"/>
  <c r="DA31" i="1"/>
  <c r="CZ143" i="1"/>
  <c r="DA143" i="1"/>
  <c r="DA216" i="1"/>
  <c r="CZ59" i="1"/>
  <c r="DA59" i="1"/>
  <c r="CW177" i="1"/>
  <c r="CX177" i="1"/>
  <c r="CZ249" i="1"/>
  <c r="DA249" i="1"/>
  <c r="CZ2" i="1"/>
  <c r="DA2" i="1"/>
  <c r="CZ180" i="1"/>
  <c r="DA180" i="1"/>
  <c r="DA122" i="1"/>
  <c r="DA64" i="1"/>
  <c r="CW94" i="1"/>
  <c r="DA94" i="1" s="1"/>
  <c r="CW194" i="1"/>
  <c r="CZ194" i="1" s="1"/>
  <c r="DA107" i="1"/>
  <c r="CZ206" i="1"/>
  <c r="CZ292" i="1"/>
  <c r="DA292" i="1"/>
  <c r="CZ82" i="1"/>
  <c r="DA158" i="1"/>
  <c r="CZ158" i="1"/>
  <c r="CZ42" i="1"/>
  <c r="DA42" i="1"/>
  <c r="CW276" i="1"/>
  <c r="CX276" i="1"/>
  <c r="CZ165" i="1"/>
  <c r="DA165" i="1"/>
  <c r="CW119" i="1"/>
  <c r="CX119" i="1"/>
  <c r="CW4" i="1"/>
  <c r="CX4" i="1"/>
  <c r="DA235" i="1"/>
  <c r="CZ235" i="1"/>
  <c r="CW296" i="1"/>
  <c r="CX296" i="1"/>
  <c r="CZ303" i="1"/>
  <c r="DA303" i="1"/>
  <c r="CW100" i="1"/>
  <c r="CX100" i="1"/>
  <c r="CW58" i="1"/>
  <c r="CX58" i="1"/>
  <c r="CZ27" i="1"/>
  <c r="DA27" i="1"/>
  <c r="CZ110" i="1"/>
  <c r="DA110" i="1"/>
  <c r="CZ301" i="1"/>
  <c r="DA301" i="1"/>
  <c r="CZ198" i="1"/>
  <c r="DA198" i="1"/>
  <c r="CW181" i="1"/>
  <c r="CX181" i="1"/>
  <c r="CW241" i="1"/>
  <c r="CX241" i="1"/>
  <c r="CZ246" i="1"/>
  <c r="DA246" i="1"/>
  <c r="CW6" i="1"/>
  <c r="CX6" i="1"/>
  <c r="DA44" i="1"/>
  <c r="CZ44" i="1"/>
  <c r="CZ254" i="1"/>
  <c r="DA254" i="1"/>
  <c r="CZ286" i="1"/>
  <c r="DA286" i="1"/>
  <c r="CZ294" i="1"/>
  <c r="DA294" i="1"/>
  <c r="CZ304" i="1"/>
  <c r="DA304" i="1"/>
  <c r="CW265" i="1"/>
  <c r="CX265" i="1"/>
  <c r="CZ197" i="1"/>
  <c r="DA197" i="1"/>
  <c r="DA115" i="1"/>
  <c r="CZ115" i="1"/>
  <c r="CZ245" i="1"/>
  <c r="DA245" i="1"/>
  <c r="CZ13" i="1"/>
  <c r="DA13" i="1"/>
  <c r="CX37" i="1"/>
  <c r="CW37" i="1"/>
  <c r="CJ6" i="3"/>
  <c r="CZ210" i="1"/>
  <c r="DA210" i="1"/>
  <c r="CW150" i="1"/>
  <c r="CX150" i="1"/>
  <c r="CZ162" i="1"/>
  <c r="DA162" i="1"/>
  <c r="CX189" i="1"/>
  <c r="CW189" i="1"/>
  <c r="CW87" i="1"/>
  <c r="CX87" i="1"/>
  <c r="CW275" i="1"/>
  <c r="CX275" i="1"/>
  <c r="CZ43" i="1"/>
  <c r="DA43" i="1"/>
  <c r="CZ154" i="1"/>
  <c r="DA154" i="1"/>
  <c r="CW129" i="1"/>
  <c r="CX129" i="1"/>
  <c r="CW237" i="1"/>
  <c r="CX237" i="1"/>
  <c r="CZ179" i="1"/>
  <c r="DA179" i="1"/>
  <c r="CW79" i="1"/>
  <c r="CX79" i="1"/>
  <c r="CW200" i="1"/>
  <c r="CX200" i="1"/>
  <c r="CZ262" i="1"/>
  <c r="DA262" i="1"/>
  <c r="CZ287" i="1"/>
  <c r="DA287" i="1"/>
  <c r="CW19" i="1"/>
  <c r="CX19" i="1"/>
  <c r="DA96" i="1"/>
  <c r="CK37" i="3"/>
  <c r="CZ196" i="1"/>
  <c r="CZ95" i="1"/>
  <c r="DA95" i="1"/>
  <c r="CZ70" i="1"/>
  <c r="DA70" i="1"/>
  <c r="CZ108" i="1"/>
  <c r="DA108" i="1"/>
  <c r="CZ169" i="1"/>
  <c r="DA169" i="1"/>
  <c r="CZ144" i="1"/>
  <c r="DA144" i="1"/>
  <c r="CZ62" i="1"/>
  <c r="DA62" i="1"/>
  <c r="CW217" i="1"/>
  <c r="CX217" i="1"/>
  <c r="CJ46" i="3"/>
  <c r="CJ5" i="3"/>
  <c r="CW175" i="1"/>
  <c r="CX175" i="1"/>
  <c r="CZ145" i="1"/>
  <c r="DA145" i="1"/>
  <c r="CZ105" i="1"/>
  <c r="DA105" i="1"/>
  <c r="CK7" i="3"/>
  <c r="CW233" i="1"/>
  <c r="CX233" i="1"/>
  <c r="CZ280" i="1"/>
  <c r="DA280" i="1"/>
  <c r="DA236" i="1"/>
  <c r="CW174" i="1"/>
  <c r="CW308" i="1"/>
  <c r="CX308" i="1"/>
  <c r="CW170" i="1"/>
  <c r="CX170" i="1"/>
  <c r="CW238" i="1"/>
  <c r="CX238" i="1"/>
  <c r="CZ225" i="1"/>
  <c r="DA225" i="1"/>
  <c r="CZ298" i="1"/>
  <c r="DA298" i="1"/>
  <c r="CZ67" i="1"/>
  <c r="DA67" i="1"/>
  <c r="CZ295" i="1"/>
  <c r="DA295" i="1"/>
  <c r="CZ250" i="1"/>
  <c r="DA250" i="1"/>
  <c r="CW3" i="1"/>
  <c r="CX3" i="1"/>
  <c r="CZ128" i="1"/>
  <c r="DA128" i="1"/>
  <c r="DA126" i="1"/>
  <c r="CZ126" i="1"/>
  <c r="CW130" i="1"/>
  <c r="CJ37" i="3"/>
  <c r="CK67" i="1"/>
  <c r="CK295" i="1"/>
  <c r="CK146" i="1"/>
  <c r="CK6" i="3"/>
  <c r="CK77" i="1"/>
  <c r="CK233" i="1"/>
  <c r="CK213" i="1"/>
  <c r="CK50" i="1"/>
  <c r="CK103" i="1"/>
  <c r="CK269" i="1"/>
  <c r="CK53" i="1"/>
  <c r="CK305" i="1"/>
  <c r="CK235" i="1"/>
  <c r="CK261" i="1"/>
  <c r="CK199" i="1"/>
  <c r="CK31" i="1"/>
  <c r="CK259" i="1"/>
  <c r="CK197" i="1"/>
  <c r="CK155" i="1"/>
  <c r="CK11" i="1"/>
  <c r="CK180" i="1"/>
  <c r="CK260" i="1"/>
  <c r="CK246" i="1"/>
  <c r="CK200" i="1"/>
  <c r="CK266" i="1"/>
  <c r="CK272" i="1"/>
  <c r="CK108" i="1"/>
  <c r="CK132" i="1"/>
  <c r="CK65" i="1"/>
  <c r="CK165" i="1"/>
  <c r="CK252" i="1"/>
  <c r="CK31" i="3"/>
  <c r="CK32" i="1"/>
  <c r="CK280" i="1"/>
  <c r="CK82" i="1"/>
  <c r="CJ43" i="3"/>
  <c r="CK88" i="1"/>
  <c r="CK162" i="1"/>
  <c r="CK196" i="1"/>
  <c r="CK23" i="1"/>
  <c r="CK275" i="1"/>
  <c r="CK47" i="3"/>
  <c r="CJ47" i="3"/>
  <c r="CK297" i="1"/>
  <c r="CK225" i="1"/>
  <c r="CK14" i="3"/>
  <c r="CJ14" i="3"/>
  <c r="CK46" i="3"/>
  <c r="CK92" i="1"/>
  <c r="CK140" i="1"/>
  <c r="CK120" i="1"/>
  <c r="CJ16" i="3"/>
  <c r="CK189" i="1"/>
  <c r="CK244" i="1"/>
  <c r="CK149" i="1"/>
  <c r="CK186" i="1"/>
  <c r="CK17" i="3"/>
  <c r="CK230" i="1"/>
  <c r="CK43" i="3"/>
  <c r="CK16" i="3"/>
  <c r="CK40" i="1"/>
  <c r="CJ3" i="3"/>
  <c r="CK287" i="1"/>
  <c r="CK3" i="3"/>
  <c r="CK290" i="1"/>
  <c r="CJ17" i="3"/>
  <c r="CK61" i="1"/>
  <c r="CK124" i="1"/>
  <c r="CK175" i="1"/>
  <c r="CK97" i="1"/>
  <c r="CK83" i="1"/>
  <c r="CK219" i="1"/>
  <c r="CK119" i="1"/>
  <c r="CK241" i="1"/>
  <c r="CJ7" i="3"/>
  <c r="CK12" i="1"/>
  <c r="CK85" i="1"/>
  <c r="CK171" i="1"/>
  <c r="CK62" i="1"/>
  <c r="CK5" i="3"/>
  <c r="CK282" i="1"/>
  <c r="CK64" i="1"/>
  <c r="CK208" i="1"/>
  <c r="CK285" i="1"/>
  <c r="CK267" i="1"/>
  <c r="CK111" i="1"/>
  <c r="CK80" i="1"/>
  <c r="CK139" i="1"/>
  <c r="CK36" i="1"/>
  <c r="CK286" i="1"/>
  <c r="CK37" i="1"/>
  <c r="CK151" i="1"/>
  <c r="CK303" i="1"/>
  <c r="CK86" i="1"/>
  <c r="CK141" i="1"/>
  <c r="CK79" i="1"/>
  <c r="CK237" i="1"/>
  <c r="CK284" i="1"/>
  <c r="CK110" i="1"/>
  <c r="CK256" i="1"/>
  <c r="CK136" i="1"/>
  <c r="CK193" i="1"/>
  <c r="CK13" i="1"/>
  <c r="CK181" i="1"/>
  <c r="CK51" i="1"/>
  <c r="CK57" i="1"/>
  <c r="CK223" i="1"/>
  <c r="CK117" i="1"/>
  <c r="CK47" i="1"/>
  <c r="CK166" i="1"/>
  <c r="CK142" i="1"/>
  <c r="CK154" i="1"/>
  <c r="CK8" i="3"/>
  <c r="CK206" i="1"/>
  <c r="CK90" i="1"/>
  <c r="CK48" i="1"/>
  <c r="CK179" i="1"/>
  <c r="CK76" i="1"/>
  <c r="CK159" i="1"/>
  <c r="CK188" i="1"/>
  <c r="CK207" i="1"/>
  <c r="CK253" i="1"/>
  <c r="CK45" i="1"/>
  <c r="CK133" i="1"/>
  <c r="CK268" i="1"/>
  <c r="CK96" i="1"/>
  <c r="CK198" i="1"/>
  <c r="CK135" i="1"/>
  <c r="CK232" i="1"/>
  <c r="CK248" i="1"/>
  <c r="CK170" i="1"/>
  <c r="CJ28" i="3"/>
  <c r="CK28" i="3"/>
  <c r="CK95" i="1"/>
  <c r="CJ51" i="3"/>
  <c r="CK51" i="3"/>
  <c r="CK105" i="1"/>
  <c r="CJ52" i="3"/>
  <c r="CK52" i="3"/>
  <c r="CK102" i="1"/>
  <c r="CJ12" i="3"/>
  <c r="CK12" i="3"/>
  <c r="CJ26" i="3"/>
  <c r="CK26" i="3"/>
  <c r="CK38" i="1"/>
  <c r="CJ42" i="3"/>
  <c r="CK42" i="3"/>
  <c r="CK183" i="1"/>
  <c r="CK251" i="1"/>
  <c r="CJ19" i="3"/>
  <c r="CK19" i="3"/>
  <c r="CK304" i="1"/>
  <c r="CJ15" i="3"/>
  <c r="CK15" i="3"/>
  <c r="CK254" i="1"/>
  <c r="CJ38" i="3"/>
  <c r="CK38" i="3"/>
  <c r="CK279" i="1"/>
  <c r="CJ13" i="3"/>
  <c r="CK13" i="3"/>
  <c r="CK75" i="1"/>
  <c r="CJ22" i="3"/>
  <c r="CK22" i="3"/>
  <c r="CJ20" i="3"/>
  <c r="CK20" i="3"/>
  <c r="CK56" i="1"/>
  <c r="CJ27" i="3"/>
  <c r="CK27" i="3"/>
  <c r="CK100" i="1"/>
  <c r="CJ2" i="3"/>
  <c r="CK2" i="3"/>
  <c r="CK3" i="1"/>
  <c r="CK308" i="1"/>
  <c r="CK122" i="1"/>
  <c r="CJ41" i="3"/>
  <c r="CK41" i="3"/>
  <c r="CK137" i="1"/>
  <c r="CJ36" i="3"/>
  <c r="CK36" i="3"/>
  <c r="CK27" i="1"/>
  <c r="CJ39" i="3"/>
  <c r="CK39" i="3"/>
  <c r="CJ10" i="3"/>
  <c r="CK10" i="3"/>
  <c r="CK221" i="1"/>
  <c r="CJ30" i="3"/>
  <c r="CK30" i="3"/>
  <c r="CK158" i="1"/>
  <c r="CK226" i="1"/>
  <c r="CK71" i="1"/>
  <c r="CJ32" i="3"/>
  <c r="CK32" i="3"/>
  <c r="CJ24" i="3"/>
  <c r="CK24" i="3"/>
  <c r="CJ4" i="3"/>
  <c r="CK4" i="3"/>
  <c r="CJ34" i="3"/>
  <c r="CK34" i="3"/>
  <c r="CK169" i="1"/>
  <c r="CJ11" i="3"/>
  <c r="CK11" i="3"/>
  <c r="CK8" i="1"/>
  <c r="CJ44" i="3"/>
  <c r="CK44" i="3"/>
  <c r="CJ35" i="3"/>
  <c r="CK35" i="3"/>
  <c r="CK177" i="1"/>
  <c r="CJ25" i="3"/>
  <c r="CK25" i="3"/>
  <c r="CJ21" i="3"/>
  <c r="CK21" i="3"/>
  <c r="CK130" i="1"/>
  <c r="CJ40" i="3"/>
  <c r="CK40" i="3"/>
  <c r="CJ33" i="3"/>
  <c r="CK33" i="3"/>
  <c r="CK112" i="1"/>
  <c r="CJ50" i="3"/>
  <c r="CK50" i="3"/>
  <c r="CJ48" i="3"/>
  <c r="CK48" i="3"/>
  <c r="CJ18" i="3"/>
  <c r="CK18" i="3"/>
  <c r="CJ9" i="3"/>
  <c r="CK9" i="3"/>
  <c r="CJ49" i="3"/>
  <c r="CK49" i="3"/>
  <c r="CK227" i="1"/>
  <c r="CJ23" i="3"/>
  <c r="CK23" i="3"/>
  <c r="CJ29" i="3"/>
  <c r="CK29" i="3"/>
  <c r="CK195" i="1"/>
  <c r="CK209" i="1"/>
  <c r="CK26" i="1"/>
  <c r="CK262" i="1"/>
  <c r="CK34" i="1"/>
  <c r="CK41" i="1"/>
  <c r="CK72" i="1"/>
  <c r="CK222" i="1"/>
  <c r="CK104" i="1"/>
  <c r="CK278" i="1"/>
  <c r="CK240" i="1"/>
  <c r="CK68" i="1"/>
  <c r="CK39" i="1"/>
  <c r="CK152" i="1"/>
  <c r="CK294" i="1"/>
  <c r="CK143" i="1"/>
  <c r="CK210" i="1"/>
  <c r="CK4" i="1"/>
  <c r="CK69" i="1"/>
  <c r="CK138" i="1"/>
  <c r="CK29" i="1"/>
  <c r="CK54" i="1"/>
  <c r="CK178" i="1"/>
  <c r="CK19" i="1"/>
  <c r="CK220" i="1"/>
  <c r="CK203" i="1"/>
  <c r="CK148" i="1"/>
  <c r="CK211" i="1"/>
  <c r="CK114" i="1"/>
  <c r="CK156" i="1"/>
  <c r="CK43" i="1"/>
  <c r="CK191" i="1"/>
  <c r="CK116" i="1"/>
  <c r="CK192" i="1"/>
  <c r="CK145" i="1"/>
  <c r="CK182" i="1"/>
  <c r="CK89" i="1"/>
  <c r="CK30" i="1"/>
  <c r="CK14" i="1"/>
  <c r="CK173" i="1"/>
  <c r="CK5" i="1"/>
  <c r="CK212" i="1"/>
  <c r="CK164" i="1"/>
  <c r="CK91" i="1"/>
  <c r="CK9" i="1"/>
  <c r="CK106" i="1"/>
  <c r="CK63" i="1"/>
  <c r="CK300" i="1"/>
  <c r="CK18" i="1"/>
  <c r="CK217" i="1"/>
  <c r="CK163" i="1"/>
  <c r="CK24" i="1"/>
  <c r="CK101" i="1"/>
  <c r="CK172" i="1"/>
  <c r="CK231" i="1"/>
  <c r="CK242" i="1"/>
  <c r="CK52" i="1"/>
  <c r="CK302" i="1"/>
  <c r="CK307" i="1"/>
  <c r="CK16" i="1"/>
  <c r="CK10" i="1"/>
  <c r="CK125" i="1"/>
  <c r="CK107" i="1"/>
  <c r="CK201" i="1"/>
  <c r="CK126" i="1"/>
  <c r="CK202" i="1"/>
  <c r="CK271" i="1"/>
  <c r="CK185" i="1"/>
  <c r="CK60" i="1"/>
  <c r="CK33" i="1"/>
  <c r="CK264" i="1"/>
  <c r="CK59" i="1"/>
  <c r="CK247" i="1"/>
  <c r="CK134" i="1"/>
  <c r="CK218" i="1"/>
  <c r="CK234" i="1"/>
  <c r="CK15" i="1"/>
  <c r="CK22" i="1"/>
  <c r="CK228" i="1"/>
  <c r="CK118" i="1"/>
  <c r="CK216" i="1"/>
  <c r="CK93" i="1"/>
  <c r="CK299" i="1"/>
  <c r="CK17" i="1"/>
  <c r="CK25" i="1"/>
  <c r="CK98" i="1"/>
  <c r="CK6" i="1"/>
  <c r="CK265" i="1"/>
  <c r="CK167" i="1"/>
  <c r="CK174" i="1"/>
  <c r="CK42" i="1"/>
  <c r="CZ255" i="1" l="1"/>
  <c r="CW184" i="1"/>
  <c r="BP36" i="8"/>
  <c r="BP92" i="8"/>
  <c r="BR1030" i="7"/>
  <c r="BU1030" i="7" s="1"/>
  <c r="BP27" i="8"/>
  <c r="BR1298" i="7"/>
  <c r="BU1298" i="7" s="1"/>
  <c r="BP40" i="8"/>
  <c r="BP27" i="7"/>
  <c r="BR27" i="7" s="1"/>
  <c r="BP186" i="7"/>
  <c r="BP156" i="7"/>
  <c r="DA28" i="1"/>
  <c r="BP47" i="7"/>
  <c r="DA193" i="1"/>
  <c r="CZ125" i="1"/>
  <c r="CZ86" i="1"/>
  <c r="DA66" i="1"/>
  <c r="BP177" i="7"/>
  <c r="BS177" i="7" s="1"/>
  <c r="CZ10" i="1"/>
  <c r="CX184" i="1"/>
  <c r="DA260" i="1"/>
  <c r="CZ50" i="1"/>
  <c r="DA56" i="3"/>
  <c r="BP221" i="7"/>
  <c r="BR221" i="7" s="1"/>
  <c r="BP382" i="7"/>
  <c r="CW257" i="1"/>
  <c r="BP166" i="7"/>
  <c r="BP183" i="7"/>
  <c r="DA305" i="1"/>
  <c r="DA209" i="1"/>
  <c r="CZ167" i="1"/>
  <c r="DA26" i="1"/>
  <c r="DA269" i="1"/>
  <c r="DA74" i="1"/>
  <c r="BP2122" i="7"/>
  <c r="BR2122" i="7" s="1"/>
  <c r="BR783" i="7"/>
  <c r="BU783" i="7" s="1"/>
  <c r="CW211" i="1"/>
  <c r="BP111" i="7"/>
  <c r="BR111" i="7" s="1"/>
  <c r="CZ289" i="1"/>
  <c r="DA222" i="1"/>
  <c r="DA83" i="1"/>
  <c r="DA65" i="1"/>
  <c r="DA56" i="1"/>
  <c r="CZ56" i="1"/>
  <c r="CZ54" i="3"/>
  <c r="CZ12" i="1"/>
  <c r="DA15" i="1"/>
  <c r="CZ190" i="1"/>
  <c r="CZ243" i="1"/>
  <c r="DA243" i="1"/>
  <c r="CZ270" i="1"/>
  <c r="DA270" i="1"/>
  <c r="CW261" i="1"/>
  <c r="CZ261" i="1" s="1"/>
  <c r="DA8" i="1"/>
  <c r="DA176" i="1"/>
  <c r="BP384" i="7"/>
  <c r="BR384" i="7" s="1"/>
  <c r="BS1030" i="7"/>
  <c r="BP77" i="8"/>
  <c r="BP86" i="8"/>
  <c r="BP75" i="8"/>
  <c r="BP94" i="8"/>
  <c r="BP76" i="8"/>
  <c r="BP385" i="7"/>
  <c r="BP32" i="8"/>
  <c r="BP45" i="8"/>
  <c r="BP55" i="8"/>
  <c r="BR1975" i="7"/>
  <c r="BU1975" i="7" s="1"/>
  <c r="BP64" i="8"/>
  <c r="BP163" i="7"/>
  <c r="BR163" i="7" s="1"/>
  <c r="BP46" i="8"/>
  <c r="BP3" i="8"/>
  <c r="BP74" i="8"/>
  <c r="BP8" i="8"/>
  <c r="BP68" i="8"/>
  <c r="BP37" i="8"/>
  <c r="BP2" i="8"/>
  <c r="BP18" i="8"/>
  <c r="BP6" i="8"/>
  <c r="BP69" i="8"/>
  <c r="BP42" i="8"/>
  <c r="BP84" i="8"/>
  <c r="BP79" i="8"/>
  <c r="BP51" i="8"/>
  <c r="BP41" i="8"/>
  <c r="BP50" i="8"/>
  <c r="BP19" i="8"/>
  <c r="BP65" i="8"/>
  <c r="BP90" i="7"/>
  <c r="BS90" i="7" s="1"/>
  <c r="BP408" i="7"/>
  <c r="BR408" i="7" s="1"/>
  <c r="BP124" i="7"/>
  <c r="BS124" i="7" s="1"/>
  <c r="BP29" i="8"/>
  <c r="BP28" i="8"/>
  <c r="BP82" i="8"/>
  <c r="BP62" i="8"/>
  <c r="BP71" i="8"/>
  <c r="BP1867" i="7"/>
  <c r="BR1867" i="7" s="1"/>
  <c r="BP67" i="8"/>
  <c r="BR1214" i="7"/>
  <c r="BU1214" i="7" s="1"/>
  <c r="BR102" i="8"/>
  <c r="BR738" i="7"/>
  <c r="BU738" i="7" s="1"/>
  <c r="BP48" i="8"/>
  <c r="BP44" i="8"/>
  <c r="BP59" i="8"/>
  <c r="BP35" i="8"/>
  <c r="BP10" i="8"/>
  <c r="BP24" i="8"/>
  <c r="BP89" i="7"/>
  <c r="BR89" i="7" s="1"/>
  <c r="BP25" i="8"/>
  <c r="BP180" i="7"/>
  <c r="BS180" i="7" s="1"/>
  <c r="BP70" i="8"/>
  <c r="BP153" i="7"/>
  <c r="BP61" i="8"/>
  <c r="BP178" i="7"/>
  <c r="BP5" i="7"/>
  <c r="BS5" i="7" s="1"/>
  <c r="BP220" i="7"/>
  <c r="BS220" i="7" s="1"/>
  <c r="BP181" i="7"/>
  <c r="BS181" i="7" s="1"/>
  <c r="DA118" i="1"/>
  <c r="BP182" i="7"/>
  <c r="BR182" i="7" s="1"/>
  <c r="BP30" i="8"/>
  <c r="BP17" i="8"/>
  <c r="BS102" i="8"/>
  <c r="BP13" i="8"/>
  <c r="CZ61" i="1"/>
  <c r="DA61" i="1"/>
  <c r="CZ147" i="1"/>
  <c r="DA147" i="1"/>
  <c r="BP217" i="7"/>
  <c r="BP421" i="7"/>
  <c r="BR421" i="7" s="1"/>
  <c r="BP150" i="7"/>
  <c r="BS87" i="8" s="1"/>
  <c r="BS738" i="7"/>
  <c r="BP154" i="7"/>
  <c r="BP107" i="7"/>
  <c r="BR107" i="7" s="1"/>
  <c r="BP216" i="7"/>
  <c r="BS7" i="8" s="1"/>
  <c r="BR1721" i="7"/>
  <c r="BU1721" i="7" s="1"/>
  <c r="BS1214" i="7"/>
  <c r="BP39" i="7"/>
  <c r="BR78" i="8" s="1"/>
  <c r="BP164" i="7"/>
  <c r="BP92" i="7"/>
  <c r="BR21" i="8" s="1"/>
  <c r="BP218" i="7"/>
  <c r="BR218" i="7" s="1"/>
  <c r="BP34" i="7"/>
  <c r="BR34" i="7" s="1"/>
  <c r="BS1646" i="7"/>
  <c r="BR1646" i="7"/>
  <c r="BU1646" i="7" s="1"/>
  <c r="BS2185" i="7"/>
  <c r="BR2185" i="7"/>
  <c r="BU2185" i="7" s="1"/>
  <c r="BS1964" i="7"/>
  <c r="BR1964" i="7"/>
  <c r="BU1964" i="7" s="1"/>
  <c r="BS1095" i="7"/>
  <c r="BR1095" i="7"/>
  <c r="BU1095" i="7" s="1"/>
  <c r="BS1623" i="7"/>
  <c r="BR1623" i="7"/>
  <c r="BU1623" i="7" s="1"/>
  <c r="BS1067" i="7"/>
  <c r="BR1067" i="7"/>
  <c r="BU1067" i="7" s="1"/>
  <c r="BS1992" i="7"/>
  <c r="BR1992" i="7"/>
  <c r="BU1992" i="7" s="1"/>
  <c r="BS2066" i="7"/>
  <c r="BR2066" i="7"/>
  <c r="BU2066" i="7" s="1"/>
  <c r="BS1987" i="7"/>
  <c r="BR1987" i="7"/>
  <c r="BU1987" i="7" s="1"/>
  <c r="BS138" i="7"/>
  <c r="BR138" i="7"/>
  <c r="BU138" i="7" s="1"/>
  <c r="BS1574" i="7"/>
  <c r="BR1574" i="7"/>
  <c r="BU1574" i="7" s="1"/>
  <c r="BS486" i="7"/>
  <c r="BR486" i="7"/>
  <c r="BU486" i="7" s="1"/>
  <c r="CX16" i="1"/>
  <c r="CW16" i="1"/>
  <c r="BS2218" i="7"/>
  <c r="BR2218" i="7"/>
  <c r="BU2218" i="7" s="1"/>
  <c r="BS1501" i="7"/>
  <c r="BR1501" i="7"/>
  <c r="BU1501" i="7" s="1"/>
  <c r="BR1254" i="7"/>
  <c r="BU1254" i="7" s="1"/>
  <c r="BS1254" i="7"/>
  <c r="BR1257" i="7"/>
  <c r="BU1257" i="7" s="1"/>
  <c r="BS1257" i="7"/>
  <c r="BS555" i="7"/>
  <c r="BR555" i="7"/>
  <c r="BU555" i="7" s="1"/>
  <c r="BR1828" i="7"/>
  <c r="BU1828" i="7" s="1"/>
  <c r="BS1828" i="7"/>
  <c r="BS99" i="7"/>
  <c r="BR99" i="7"/>
  <c r="BU99" i="7" s="1"/>
  <c r="BR1285" i="7"/>
  <c r="BU1285" i="7" s="1"/>
  <c r="BS1285" i="7"/>
  <c r="BS912" i="7"/>
  <c r="BR912" i="7"/>
  <c r="BU912" i="7" s="1"/>
  <c r="BS2162" i="7"/>
  <c r="BR2162" i="7"/>
  <c r="BU2162" i="7" s="1"/>
  <c r="BS1777" i="7"/>
  <c r="BR1777" i="7"/>
  <c r="BU1777" i="7" s="1"/>
  <c r="BS1584" i="7"/>
  <c r="BR1584" i="7"/>
  <c r="BU1584" i="7" s="1"/>
  <c r="BR839" i="7"/>
  <c r="BU839" i="7" s="1"/>
  <c r="BS839" i="7"/>
  <c r="BS471" i="7"/>
  <c r="BR471" i="7"/>
  <c r="BU471" i="7" s="1"/>
  <c r="BS1312" i="7"/>
  <c r="BR1312" i="7"/>
  <c r="BU1312" i="7" s="1"/>
  <c r="BS2085" i="7"/>
  <c r="BR2085" i="7"/>
  <c r="BU2085" i="7" s="1"/>
  <c r="BR1823" i="7"/>
  <c r="BU1823" i="7" s="1"/>
  <c r="BS1823" i="7"/>
  <c r="BS594" i="7"/>
  <c r="BR594" i="7"/>
  <c r="BU594" i="7" s="1"/>
  <c r="BS2235" i="7"/>
  <c r="BR2235" i="7"/>
  <c r="BU2235" i="7" s="1"/>
  <c r="BS2037" i="7"/>
  <c r="BR2037" i="7"/>
  <c r="BU2037" i="7" s="1"/>
  <c r="BR632" i="7"/>
  <c r="BU632" i="7" s="1"/>
  <c r="BS632" i="7"/>
  <c r="BR1104" i="7"/>
  <c r="BU1104" i="7" s="1"/>
  <c r="BS1104" i="7"/>
  <c r="BR1744" i="7"/>
  <c r="BU1744" i="7" s="1"/>
  <c r="BS1744" i="7"/>
  <c r="BS1411" i="7"/>
  <c r="BR1411" i="7"/>
  <c r="BU1411" i="7" s="1"/>
  <c r="BS337" i="7"/>
  <c r="BR337" i="7"/>
  <c r="BU337" i="7" s="1"/>
  <c r="BS1570" i="7"/>
  <c r="BR1570" i="7"/>
  <c r="BU1570" i="7" s="1"/>
  <c r="BS946" i="7"/>
  <c r="BR946" i="7"/>
  <c r="BU946" i="7" s="1"/>
  <c r="BS678" i="7"/>
  <c r="BR678" i="7"/>
  <c r="BU678" i="7" s="1"/>
  <c r="BS310" i="7"/>
  <c r="BR310" i="7"/>
  <c r="BU310" i="7" s="1"/>
  <c r="BR1292" i="7"/>
  <c r="BU1292" i="7" s="1"/>
  <c r="BS1292" i="7"/>
  <c r="BS2006" i="7"/>
  <c r="BR2006" i="7"/>
  <c r="BU2006" i="7" s="1"/>
  <c r="BS1049" i="7"/>
  <c r="BR1049" i="7"/>
  <c r="BU1049" i="7" s="1"/>
  <c r="BS905" i="7"/>
  <c r="BR905" i="7"/>
  <c r="BU905" i="7" s="1"/>
  <c r="BS420" i="7"/>
  <c r="BR420" i="7"/>
  <c r="BU420" i="7" s="1"/>
  <c r="BS267" i="7"/>
  <c r="BR267" i="7"/>
  <c r="BU267" i="7" s="1"/>
  <c r="BR2224" i="7"/>
  <c r="BU2224" i="7" s="1"/>
  <c r="BS2224" i="7"/>
  <c r="BS1539" i="7"/>
  <c r="BR1539" i="7"/>
  <c r="BU1539" i="7" s="1"/>
  <c r="BS711" i="7"/>
  <c r="BR711" i="7"/>
  <c r="BU711" i="7" s="1"/>
  <c r="BR610" i="7"/>
  <c r="BU610" i="7" s="1"/>
  <c r="BS610" i="7"/>
  <c r="BS2065" i="7"/>
  <c r="BR2065" i="7"/>
  <c r="BU2065" i="7" s="1"/>
  <c r="BS378" i="7"/>
  <c r="BR378" i="7"/>
  <c r="BU378" i="7" s="1"/>
  <c r="BS2217" i="7"/>
  <c r="BR2217" i="7"/>
  <c r="BU2217" i="7" s="1"/>
  <c r="BS1088" i="7"/>
  <c r="BR1088" i="7"/>
  <c r="BU1088" i="7" s="1"/>
  <c r="BS482" i="7"/>
  <c r="BR482" i="7"/>
  <c r="BU482" i="7" s="1"/>
  <c r="BS1443" i="7"/>
  <c r="BR1443" i="7"/>
  <c r="BU1443" i="7" s="1"/>
  <c r="BS403" i="7"/>
  <c r="BR403" i="7"/>
  <c r="BU403" i="7" s="1"/>
  <c r="BS855" i="7"/>
  <c r="BR855" i="7"/>
  <c r="BU855" i="7" s="1"/>
  <c r="BS975" i="7"/>
  <c r="BR975" i="7"/>
  <c r="BU975" i="7" s="1"/>
  <c r="BS280" i="7"/>
  <c r="BR280" i="7"/>
  <c r="BU280" i="7" s="1"/>
  <c r="BR1645" i="7"/>
  <c r="BU1645" i="7" s="1"/>
  <c r="BS1645" i="7"/>
  <c r="BR528" i="7"/>
  <c r="BU528" i="7" s="1"/>
  <c r="BS528" i="7"/>
  <c r="BS1338" i="7"/>
  <c r="BR1338" i="7"/>
  <c r="BU1338" i="7" s="1"/>
  <c r="BR1376" i="7"/>
  <c r="BU1376" i="7" s="1"/>
  <c r="BS1376" i="7"/>
  <c r="BS1492" i="7"/>
  <c r="BR1492" i="7"/>
  <c r="BU1492" i="7" s="1"/>
  <c r="BS1628" i="7"/>
  <c r="BR1628" i="7"/>
  <c r="BU1628" i="7" s="1"/>
  <c r="BS2059" i="7"/>
  <c r="BR2059" i="7"/>
  <c r="BU2059" i="7" s="1"/>
  <c r="BS720" i="7"/>
  <c r="BR720" i="7"/>
  <c r="BU720" i="7" s="1"/>
  <c r="BS1640" i="7"/>
  <c r="BR1640" i="7"/>
  <c r="BU1640" i="7" s="1"/>
  <c r="BR1589" i="7"/>
  <c r="BU1589" i="7" s="1"/>
  <c r="BS1589" i="7"/>
  <c r="BR881" i="7"/>
  <c r="BU881" i="7" s="1"/>
  <c r="BS881" i="7"/>
  <c r="BS1152" i="7"/>
  <c r="BR1152" i="7"/>
  <c r="BU1152" i="7" s="1"/>
  <c r="BR297" i="7"/>
  <c r="BU297" i="7" s="1"/>
  <c r="BS297" i="7"/>
  <c r="BS1520" i="7"/>
  <c r="BR1520" i="7"/>
  <c r="BU1520" i="7" s="1"/>
  <c r="BR575" i="7"/>
  <c r="BU575" i="7" s="1"/>
  <c r="BS575" i="7"/>
  <c r="BR743" i="7"/>
  <c r="BU743" i="7" s="1"/>
  <c r="BS743" i="7"/>
  <c r="BS639" i="7"/>
  <c r="BR639" i="7"/>
  <c r="BU639" i="7" s="1"/>
  <c r="BS2067" i="7"/>
  <c r="BR2067" i="7"/>
  <c r="BU2067" i="7" s="1"/>
  <c r="BR2264" i="7"/>
  <c r="BU2264" i="7" s="1"/>
  <c r="BS2264" i="7"/>
  <c r="BS501" i="7"/>
  <c r="BR501" i="7"/>
  <c r="BU501" i="7" s="1"/>
  <c r="BR1821" i="7"/>
  <c r="BU1821" i="7" s="1"/>
  <c r="BS1821" i="7"/>
  <c r="BS229" i="7"/>
  <c r="BR229" i="7"/>
  <c r="BU229" i="7" s="1"/>
  <c r="BS327" i="7"/>
  <c r="BR327" i="7"/>
  <c r="BU327" i="7" s="1"/>
  <c r="BS399" i="7"/>
  <c r="BR399" i="7"/>
  <c r="BU399" i="7" s="1"/>
  <c r="BR1346" i="7"/>
  <c r="BU1346" i="7" s="1"/>
  <c r="BS1346" i="7"/>
  <c r="BR1459" i="7"/>
  <c r="BU1459" i="7" s="1"/>
  <c r="BS1459" i="7"/>
  <c r="BS671" i="7"/>
  <c r="BR671" i="7"/>
  <c r="BU671" i="7" s="1"/>
  <c r="BS1089" i="7"/>
  <c r="BR1089" i="7"/>
  <c r="BU1089" i="7" s="1"/>
  <c r="BS1503" i="7"/>
  <c r="BR1503" i="7"/>
  <c r="BU1503" i="7" s="1"/>
  <c r="BS282" i="7"/>
  <c r="BR282" i="7"/>
  <c r="BU282" i="7" s="1"/>
  <c r="BS504" i="7"/>
  <c r="BR504" i="7"/>
  <c r="BU504" i="7" s="1"/>
  <c r="BR431" i="7"/>
  <c r="BU431" i="7" s="1"/>
  <c r="BS431" i="7"/>
  <c r="BS1217" i="7"/>
  <c r="BR1217" i="7"/>
  <c r="BU1217" i="7" s="1"/>
  <c r="BR630" i="7"/>
  <c r="BU630" i="7" s="1"/>
  <c r="BS630" i="7"/>
  <c r="BS239" i="7"/>
  <c r="BR239" i="7"/>
  <c r="BU239" i="7" s="1"/>
  <c r="BS1614" i="7"/>
  <c r="BR1614" i="7"/>
  <c r="BU1614" i="7" s="1"/>
  <c r="BR1451" i="7"/>
  <c r="BU1451" i="7" s="1"/>
  <c r="BS1451" i="7"/>
  <c r="BS1262" i="7"/>
  <c r="BR1262" i="7"/>
  <c r="BU1262" i="7" s="1"/>
  <c r="BS1055" i="7"/>
  <c r="BR1055" i="7"/>
  <c r="BU1055" i="7" s="1"/>
  <c r="BS668" i="7"/>
  <c r="BR668" i="7"/>
  <c r="BU668" i="7" s="1"/>
  <c r="BR1766" i="7"/>
  <c r="BU1766" i="7" s="1"/>
  <c r="BS1766" i="7"/>
  <c r="BR1370" i="7"/>
  <c r="BU1370" i="7" s="1"/>
  <c r="BS1370" i="7"/>
  <c r="BS1613" i="7"/>
  <c r="BR1613" i="7"/>
  <c r="BU1613" i="7" s="1"/>
  <c r="BS672" i="7"/>
  <c r="BR672" i="7"/>
  <c r="BU672" i="7" s="1"/>
  <c r="BR6" i="7"/>
  <c r="BS6" i="7"/>
  <c r="BS18" i="7"/>
  <c r="BR18" i="7"/>
  <c r="BU18" i="7" s="1"/>
  <c r="BR1340" i="7"/>
  <c r="BU1340" i="7" s="1"/>
  <c r="BS1340" i="7"/>
  <c r="BS1683" i="7"/>
  <c r="BR1683" i="7"/>
  <c r="BU1683" i="7" s="1"/>
  <c r="BR820" i="7"/>
  <c r="BU820" i="7" s="1"/>
  <c r="BS820" i="7"/>
  <c r="BS834" i="7"/>
  <c r="BR834" i="7"/>
  <c r="BU834" i="7" s="1"/>
  <c r="BS1974" i="7"/>
  <c r="BR1974" i="7"/>
  <c r="BU1974" i="7" s="1"/>
  <c r="BS2210" i="7"/>
  <c r="BR2210" i="7"/>
  <c r="BU2210" i="7" s="1"/>
  <c r="BS388" i="7"/>
  <c r="BR388" i="7"/>
  <c r="BU388" i="7" s="1"/>
  <c r="BS943" i="7"/>
  <c r="BR943" i="7"/>
  <c r="BU943" i="7" s="1"/>
  <c r="BS795" i="7"/>
  <c r="BR795" i="7"/>
  <c r="BU795" i="7" s="1"/>
  <c r="BS1199" i="7"/>
  <c r="BR1199" i="7"/>
  <c r="BU1199" i="7" s="1"/>
  <c r="BS552" i="7"/>
  <c r="BR552" i="7"/>
  <c r="BU552" i="7" s="1"/>
  <c r="BS1188" i="7"/>
  <c r="BR1188" i="7"/>
  <c r="BU1188" i="7" s="1"/>
  <c r="BR1430" i="7"/>
  <c r="BU1430" i="7" s="1"/>
  <c r="BS1430" i="7"/>
  <c r="BS437" i="7"/>
  <c r="BR437" i="7"/>
  <c r="BU437" i="7" s="1"/>
  <c r="BS21" i="7"/>
  <c r="BR21" i="7"/>
  <c r="BU21" i="7" s="1"/>
  <c r="BR984" i="7"/>
  <c r="BU984" i="7" s="1"/>
  <c r="BS984" i="7"/>
  <c r="BS875" i="7"/>
  <c r="BR875" i="7"/>
  <c r="BU875" i="7" s="1"/>
  <c r="BS1650" i="7"/>
  <c r="BR1650" i="7"/>
  <c r="BU1650" i="7" s="1"/>
  <c r="BR295" i="7"/>
  <c r="BU295" i="7" s="1"/>
  <c r="BS295" i="7"/>
  <c r="BS2263" i="7"/>
  <c r="BR2263" i="7"/>
  <c r="BU2263" i="7" s="1"/>
  <c r="BS1894" i="7"/>
  <c r="BR1894" i="7"/>
  <c r="BU1894" i="7" s="1"/>
  <c r="BS1366" i="7"/>
  <c r="BR1366" i="7"/>
  <c r="BU1366" i="7" s="1"/>
  <c r="BR615" i="7"/>
  <c r="BU615" i="7" s="1"/>
  <c r="BS615" i="7"/>
  <c r="BS2175" i="7"/>
  <c r="BR2175" i="7"/>
  <c r="BU2175" i="7" s="1"/>
  <c r="BS1102" i="7"/>
  <c r="BR1102" i="7"/>
  <c r="BU1102" i="7" s="1"/>
  <c r="BR1151" i="7"/>
  <c r="BU1151" i="7" s="1"/>
  <c r="BS1151" i="7"/>
  <c r="BS296" i="7"/>
  <c r="BR296" i="7"/>
  <c r="BU296" i="7" s="1"/>
  <c r="BS1558" i="7"/>
  <c r="BR1558" i="7"/>
  <c r="BU1558" i="7" s="1"/>
  <c r="BS1689" i="7"/>
  <c r="BR1689" i="7"/>
  <c r="BU1689" i="7" s="1"/>
  <c r="BR423" i="7"/>
  <c r="BU423" i="7" s="1"/>
  <c r="BS423" i="7"/>
  <c r="BS922" i="7"/>
  <c r="BR922" i="7"/>
  <c r="BU922" i="7" s="1"/>
  <c r="BS859" i="7"/>
  <c r="BR859" i="7"/>
  <c r="BU859" i="7" s="1"/>
  <c r="BR2130" i="7"/>
  <c r="BU2130" i="7" s="1"/>
  <c r="BS2130" i="7"/>
  <c r="BS1898" i="7"/>
  <c r="BR1898" i="7"/>
  <c r="BU1898" i="7" s="1"/>
  <c r="BR585" i="7"/>
  <c r="BU585" i="7" s="1"/>
  <c r="BS585" i="7"/>
  <c r="BR601" i="7"/>
  <c r="BU601" i="7" s="1"/>
  <c r="BS601" i="7"/>
  <c r="BR617" i="7"/>
  <c r="BU617" i="7" s="1"/>
  <c r="BS617" i="7"/>
  <c r="BR2153" i="7"/>
  <c r="BU2153" i="7" s="1"/>
  <c r="BS2153" i="7"/>
  <c r="BS14" i="7"/>
  <c r="BR14" i="7"/>
  <c r="BU14" i="7" s="1"/>
  <c r="BR1875" i="7"/>
  <c r="BU1875" i="7" s="1"/>
  <c r="BS1875" i="7"/>
  <c r="BS2075" i="7"/>
  <c r="BR2075" i="7"/>
  <c r="BU2075" i="7" s="1"/>
  <c r="BR2148" i="7"/>
  <c r="BU2148" i="7" s="1"/>
  <c r="BS2148" i="7"/>
  <c r="BP31" i="7"/>
  <c r="BR1234" i="7"/>
  <c r="BU1234" i="7" s="1"/>
  <c r="BS1234" i="7"/>
  <c r="BR319" i="7"/>
  <c r="BU319" i="7" s="1"/>
  <c r="BS319" i="7"/>
  <c r="BR1902" i="7"/>
  <c r="BU1902" i="7" s="1"/>
  <c r="BS1902" i="7"/>
  <c r="BS389" i="7"/>
  <c r="BR389" i="7"/>
  <c r="BU389" i="7" s="1"/>
  <c r="BS469" i="7"/>
  <c r="BR469" i="7"/>
  <c r="BU469" i="7" s="1"/>
  <c r="BS261" i="7"/>
  <c r="BR261" i="7"/>
  <c r="BU261" i="7" s="1"/>
  <c r="BS1020" i="7"/>
  <c r="BR1020" i="7"/>
  <c r="BU1020" i="7" s="1"/>
  <c r="BS2253" i="7"/>
  <c r="BR2253" i="7"/>
  <c r="BU2253" i="7" s="1"/>
  <c r="BR1351" i="7"/>
  <c r="BU1351" i="7" s="1"/>
  <c r="BS1351" i="7"/>
  <c r="BS1063" i="7"/>
  <c r="BR1063" i="7"/>
  <c r="BU1063" i="7" s="1"/>
  <c r="BR2073" i="7"/>
  <c r="BU2073" i="7" s="1"/>
  <c r="BS2073" i="7"/>
  <c r="BR214" i="7"/>
  <c r="BU214" i="7" s="1"/>
  <c r="BS214" i="7"/>
  <c r="BS487" i="7"/>
  <c r="BR487" i="7"/>
  <c r="BU487" i="7" s="1"/>
  <c r="BR1888" i="7"/>
  <c r="BU1888" i="7" s="1"/>
  <c r="BS1888" i="7"/>
  <c r="BS1283" i="7"/>
  <c r="BR1283" i="7"/>
  <c r="BU1283" i="7" s="1"/>
  <c r="BR1528" i="7"/>
  <c r="BU1528" i="7" s="1"/>
  <c r="BS1528" i="7"/>
  <c r="BR1529" i="7"/>
  <c r="BU1529" i="7" s="1"/>
  <c r="BS1529" i="7"/>
  <c r="BS1148" i="7"/>
  <c r="BR1148" i="7"/>
  <c r="BU1148" i="7" s="1"/>
  <c r="BS660" i="7"/>
  <c r="BR660" i="7"/>
  <c r="BU660" i="7" s="1"/>
  <c r="BR804" i="7"/>
  <c r="BU804" i="7" s="1"/>
  <c r="BS804" i="7"/>
  <c r="BR647" i="7"/>
  <c r="BU647" i="7" s="1"/>
  <c r="BS647" i="7"/>
  <c r="BR1129" i="7"/>
  <c r="BU1129" i="7" s="1"/>
  <c r="BS1129" i="7"/>
  <c r="BR2088" i="7"/>
  <c r="BU2088" i="7" s="1"/>
  <c r="BS2088" i="7"/>
  <c r="BR369" i="7"/>
  <c r="BU369" i="7" s="1"/>
  <c r="BS369" i="7"/>
  <c r="BT36" i="7"/>
  <c r="BT75" i="8"/>
  <c r="BR1674" i="7"/>
  <c r="BU1674" i="7" s="1"/>
  <c r="BS1674" i="7"/>
  <c r="BT27" i="7"/>
  <c r="BT66" i="8"/>
  <c r="BR1379" i="7"/>
  <c r="BU1379" i="7" s="1"/>
  <c r="BS1379" i="7"/>
  <c r="BP2237" i="7"/>
  <c r="BS1284" i="7"/>
  <c r="BR1284" i="7"/>
  <c r="BU1284" i="7" s="1"/>
  <c r="BR1890" i="7"/>
  <c r="BU1890" i="7" s="1"/>
  <c r="BS1890" i="7"/>
  <c r="BR146" i="7"/>
  <c r="BU146" i="7" s="1"/>
  <c r="BS146" i="7"/>
  <c r="BR2268" i="7"/>
  <c r="BU2268" i="7" s="1"/>
  <c r="BS2268" i="7"/>
  <c r="BS1715" i="7"/>
  <c r="BR1715" i="7"/>
  <c r="BU1715" i="7" s="1"/>
  <c r="BR910" i="7"/>
  <c r="BU910" i="7" s="1"/>
  <c r="BS910" i="7"/>
  <c r="BR375" i="7"/>
  <c r="BU375" i="7" s="1"/>
  <c r="BS375" i="7"/>
  <c r="BS1781" i="7"/>
  <c r="BR1781" i="7"/>
  <c r="BU1781" i="7" s="1"/>
  <c r="BR1200" i="7"/>
  <c r="BU1200" i="7" s="1"/>
  <c r="BS1200" i="7"/>
  <c r="BS1061" i="7"/>
  <c r="BR1061" i="7"/>
  <c r="BU1061" i="7" s="1"/>
  <c r="BR1311" i="7"/>
  <c r="BU1311" i="7" s="1"/>
  <c r="BS1311" i="7"/>
  <c r="BR1044" i="7"/>
  <c r="BU1044" i="7" s="1"/>
  <c r="BS1044" i="7"/>
  <c r="BS1784" i="7"/>
  <c r="BR1784" i="7"/>
  <c r="BU1784" i="7" s="1"/>
  <c r="BS1250" i="7"/>
  <c r="BR1250" i="7"/>
  <c r="BU1250" i="7" s="1"/>
  <c r="BS318" i="7"/>
  <c r="BR318" i="7"/>
  <c r="BU318" i="7" s="1"/>
  <c r="BS1427" i="7"/>
  <c r="BR1427" i="7"/>
  <c r="BU1427" i="7" s="1"/>
  <c r="BR2151" i="7"/>
  <c r="BU2151" i="7" s="1"/>
  <c r="BS2151" i="7"/>
  <c r="BS810" i="7"/>
  <c r="BR810" i="7"/>
  <c r="BU810" i="7" s="1"/>
  <c r="BR1043" i="7"/>
  <c r="BU1043" i="7" s="1"/>
  <c r="BS1043" i="7"/>
  <c r="BS1156" i="7"/>
  <c r="BR1156" i="7"/>
  <c r="BU1156" i="7" s="1"/>
  <c r="BR693" i="7"/>
  <c r="BU693" i="7" s="1"/>
  <c r="BS693" i="7"/>
  <c r="BR12" i="7"/>
  <c r="BU12" i="7" s="1"/>
  <c r="BS12" i="7"/>
  <c r="BT383" i="7"/>
  <c r="BT6" i="8"/>
  <c r="BS967" i="7"/>
  <c r="BR967" i="7"/>
  <c r="BU967" i="7" s="1"/>
  <c r="BT124" i="7"/>
  <c r="BT103" i="8"/>
  <c r="BR923" i="7"/>
  <c r="BU923" i="7" s="1"/>
  <c r="BS923" i="7"/>
  <c r="BR1958" i="7"/>
  <c r="BU1958" i="7" s="1"/>
  <c r="BS1958" i="7"/>
  <c r="BT34" i="7"/>
  <c r="BT73" i="8"/>
  <c r="BS2114" i="7"/>
  <c r="BR2114" i="7"/>
  <c r="BU2114" i="7" s="1"/>
  <c r="BR663" i="7"/>
  <c r="BU663" i="7" s="1"/>
  <c r="BS663" i="7"/>
  <c r="BR78" i="7"/>
  <c r="BU78" i="7" s="1"/>
  <c r="BS78" i="7"/>
  <c r="BS256" i="7"/>
  <c r="BR256" i="7"/>
  <c r="BU256" i="7" s="1"/>
  <c r="BS272" i="7"/>
  <c r="BR272" i="7"/>
  <c r="BU272" i="7" s="1"/>
  <c r="BR963" i="7"/>
  <c r="BU963" i="7" s="1"/>
  <c r="BS963" i="7"/>
  <c r="BS1624" i="7"/>
  <c r="BR1624" i="7"/>
  <c r="BU1624" i="7" s="1"/>
  <c r="BR401" i="7"/>
  <c r="BU401" i="7" s="1"/>
  <c r="BS401" i="7"/>
  <c r="BR286" i="7"/>
  <c r="BU286" i="7" s="1"/>
  <c r="BS286" i="7"/>
  <c r="BS103" i="7"/>
  <c r="BR103" i="7"/>
  <c r="BU103" i="7" s="1"/>
  <c r="BR1790" i="7"/>
  <c r="BU1790" i="7" s="1"/>
  <c r="BS1790" i="7"/>
  <c r="BS935" i="7"/>
  <c r="BR935" i="7"/>
  <c r="BU935" i="7" s="1"/>
  <c r="BS858" i="7"/>
  <c r="BR858" i="7"/>
  <c r="BU858" i="7" s="1"/>
  <c r="BR931" i="7"/>
  <c r="BU931" i="7" s="1"/>
  <c r="BS931" i="7"/>
  <c r="BR505" i="7"/>
  <c r="BU505" i="7" s="1"/>
  <c r="BS505" i="7"/>
  <c r="BS1358" i="7"/>
  <c r="BR1358" i="7"/>
  <c r="BU1358" i="7" s="1"/>
  <c r="BR1842" i="7"/>
  <c r="BU1842" i="7" s="1"/>
  <c r="BS1842" i="7"/>
  <c r="BS275" i="7"/>
  <c r="BR275" i="7"/>
  <c r="BU275" i="7" s="1"/>
  <c r="BS343" i="7"/>
  <c r="BR343" i="7"/>
  <c r="BU343" i="7" s="1"/>
  <c r="BS1538" i="7"/>
  <c r="BR1538" i="7"/>
  <c r="BU1538" i="7" s="1"/>
  <c r="BS1120" i="7"/>
  <c r="BR1120" i="7"/>
  <c r="BU1120" i="7" s="1"/>
  <c r="BR213" i="7"/>
  <c r="BU213" i="7" s="1"/>
  <c r="BS213" i="7"/>
  <c r="BS1485" i="7"/>
  <c r="BR1485" i="7"/>
  <c r="BU1485" i="7" s="1"/>
  <c r="BS1236" i="7"/>
  <c r="BR1236" i="7"/>
  <c r="BU1236" i="7" s="1"/>
  <c r="BS320" i="7"/>
  <c r="BR320" i="7"/>
  <c r="BU320" i="7" s="1"/>
  <c r="BS841" i="7"/>
  <c r="BR841" i="7"/>
  <c r="BU841" i="7" s="1"/>
  <c r="BR1135" i="7"/>
  <c r="BU1135" i="7" s="1"/>
  <c r="BS1135" i="7"/>
  <c r="BR667" i="7"/>
  <c r="BU667" i="7" s="1"/>
  <c r="BS667" i="7"/>
  <c r="BR921" i="7"/>
  <c r="BU921" i="7" s="1"/>
  <c r="BS921" i="7"/>
  <c r="BR563" i="7"/>
  <c r="BU563" i="7" s="1"/>
  <c r="BS563" i="7"/>
  <c r="BS1920" i="7"/>
  <c r="BR1920" i="7"/>
  <c r="BU1920" i="7" s="1"/>
  <c r="BP96" i="8"/>
  <c r="BS2095" i="7"/>
  <c r="BR2095" i="7"/>
  <c r="BU2095" i="7" s="1"/>
  <c r="BT29" i="7"/>
  <c r="BT68" i="8"/>
  <c r="BS2041" i="7"/>
  <c r="BR2041" i="7"/>
  <c r="BU2041" i="7" s="1"/>
  <c r="BS916" i="7"/>
  <c r="BR916" i="7"/>
  <c r="BU916" i="7" s="1"/>
  <c r="BS480" i="7"/>
  <c r="BR480" i="7"/>
  <c r="BU480" i="7" s="1"/>
  <c r="BT2122" i="7"/>
  <c r="BT15" i="8"/>
  <c r="BR1775" i="7"/>
  <c r="BU1775" i="7" s="1"/>
  <c r="BS1775" i="7"/>
  <c r="BS696" i="7"/>
  <c r="BR696" i="7"/>
  <c r="BU696" i="7" s="1"/>
  <c r="BR1637" i="7"/>
  <c r="BU1637" i="7" s="1"/>
  <c r="BS1637" i="7"/>
  <c r="BR869" i="7"/>
  <c r="BU869" i="7" s="1"/>
  <c r="BS869" i="7"/>
  <c r="BR1036" i="7"/>
  <c r="BU1036" i="7" s="1"/>
  <c r="BS1036" i="7"/>
  <c r="BR886" i="7"/>
  <c r="BU886" i="7" s="1"/>
  <c r="BS886" i="7"/>
  <c r="BR2157" i="7"/>
  <c r="BU2157" i="7" s="1"/>
  <c r="BS2157" i="7"/>
  <c r="BR710" i="7"/>
  <c r="BU710" i="7" s="1"/>
  <c r="BS710" i="7"/>
  <c r="BR1626" i="7"/>
  <c r="BU1626" i="7" s="1"/>
  <c r="BS1626" i="7"/>
  <c r="BR2145" i="7"/>
  <c r="BU2145" i="7" s="1"/>
  <c r="BS2145" i="7"/>
  <c r="BP31" i="8"/>
  <c r="BS1176" i="7"/>
  <c r="BR1176" i="7"/>
  <c r="BU1176" i="7" s="1"/>
  <c r="BR728" i="7"/>
  <c r="BU728" i="7" s="1"/>
  <c r="BS728" i="7"/>
  <c r="BR1388" i="7"/>
  <c r="BU1388" i="7" s="1"/>
  <c r="BS1388" i="7"/>
  <c r="BS1567" i="7"/>
  <c r="BR1567" i="7"/>
  <c r="BU1567" i="7" s="1"/>
  <c r="BR959" i="7"/>
  <c r="BU959" i="7" s="1"/>
  <c r="BS959" i="7"/>
  <c r="BS1627" i="7"/>
  <c r="BR1627" i="7"/>
  <c r="BU1627" i="7" s="1"/>
  <c r="BS2242" i="7"/>
  <c r="BR2242" i="7"/>
  <c r="BU2242" i="7" s="1"/>
  <c r="BS2212" i="7"/>
  <c r="BR2212" i="7"/>
  <c r="BU2212" i="7" s="1"/>
  <c r="BS896" i="7"/>
  <c r="BR896" i="7"/>
  <c r="BU896" i="7" s="1"/>
  <c r="BS1959" i="7"/>
  <c r="BR1959" i="7"/>
  <c r="BU1959" i="7" s="1"/>
  <c r="BP28" i="7"/>
  <c r="BR628" i="7"/>
  <c r="BU628" i="7" s="1"/>
  <c r="BS628" i="7"/>
  <c r="BS1749" i="7"/>
  <c r="BR1749" i="7"/>
  <c r="BU1749" i="7" s="1"/>
  <c r="BR1094" i="7"/>
  <c r="BU1094" i="7" s="1"/>
  <c r="BS1094" i="7"/>
  <c r="BS1466" i="7"/>
  <c r="BR1466" i="7"/>
  <c r="BU1466" i="7" s="1"/>
  <c r="BP30" i="7"/>
  <c r="BR1487" i="7"/>
  <c r="BU1487" i="7" s="1"/>
  <c r="BS1487" i="7"/>
  <c r="BR1502" i="7"/>
  <c r="BU1502" i="7" s="1"/>
  <c r="BS1502" i="7"/>
  <c r="BT35" i="7"/>
  <c r="BT74" i="8"/>
  <c r="BT40" i="7"/>
  <c r="BT79" i="8"/>
  <c r="BS661" i="7"/>
  <c r="BR661" i="7"/>
  <c r="BU661" i="7" s="1"/>
  <c r="BR787" i="7"/>
  <c r="BU787" i="7" s="1"/>
  <c r="BS787" i="7"/>
  <c r="BS701" i="7"/>
  <c r="BR701" i="7"/>
  <c r="BU701" i="7" s="1"/>
  <c r="BS1345" i="7"/>
  <c r="BR1345" i="7"/>
  <c r="BU1345" i="7" s="1"/>
  <c r="BS1725" i="7"/>
  <c r="BR1725" i="7"/>
  <c r="BU1725" i="7" s="1"/>
  <c r="BR1656" i="7"/>
  <c r="BU1656" i="7" s="1"/>
  <c r="BS1656" i="7"/>
  <c r="BS479" i="7"/>
  <c r="BR479" i="7"/>
  <c r="BU479" i="7" s="1"/>
  <c r="BR722" i="7"/>
  <c r="BU722" i="7" s="1"/>
  <c r="BS722" i="7"/>
  <c r="BS633" i="7"/>
  <c r="BR633" i="7"/>
  <c r="BU633" i="7" s="1"/>
  <c r="BS966" i="7"/>
  <c r="BR966" i="7"/>
  <c r="BU966" i="7" s="1"/>
  <c r="BR1724" i="7"/>
  <c r="BU1724" i="7" s="1"/>
  <c r="BS1724" i="7"/>
  <c r="BR2258" i="7"/>
  <c r="BU2258" i="7" s="1"/>
  <c r="BS2258" i="7"/>
  <c r="BR1500" i="7"/>
  <c r="BU1500" i="7" s="1"/>
  <c r="BS1500" i="7"/>
  <c r="BR1244" i="7"/>
  <c r="BU1244" i="7" s="1"/>
  <c r="BS1244" i="7"/>
  <c r="BS2214" i="7"/>
  <c r="BR2214" i="7"/>
  <c r="BU2214" i="7" s="1"/>
  <c r="BR2281" i="7"/>
  <c r="BU2281" i="7" s="1"/>
  <c r="BS2281" i="7"/>
  <c r="BR129" i="7"/>
  <c r="BU129" i="7" s="1"/>
  <c r="BS129" i="7"/>
  <c r="BR1465" i="7"/>
  <c r="BU1465" i="7" s="1"/>
  <c r="BS1465" i="7"/>
  <c r="BR1761" i="7"/>
  <c r="BU1761" i="7" s="1"/>
  <c r="BS1761" i="7"/>
  <c r="BR1490" i="7"/>
  <c r="BU1490" i="7" s="1"/>
  <c r="BS1490" i="7"/>
  <c r="BP1925" i="7"/>
  <c r="BP12" i="8"/>
  <c r="BR989" i="7"/>
  <c r="BU989" i="7" s="1"/>
  <c r="BS989" i="7"/>
  <c r="BR749" i="7"/>
  <c r="BU749" i="7" s="1"/>
  <c r="BS749" i="7"/>
  <c r="BR876" i="7"/>
  <c r="BU876" i="7" s="1"/>
  <c r="BS876" i="7"/>
  <c r="BR2118" i="7"/>
  <c r="BU2118" i="7" s="1"/>
  <c r="BS2118" i="7"/>
  <c r="BR683" i="7"/>
  <c r="BU683" i="7" s="1"/>
  <c r="BS683" i="7"/>
  <c r="BS1272" i="7"/>
  <c r="BR1272" i="7"/>
  <c r="BU1272" i="7" s="1"/>
  <c r="BR470" i="7"/>
  <c r="BU470" i="7" s="1"/>
  <c r="BS470" i="7"/>
  <c r="BR690" i="7"/>
  <c r="BU690" i="7" s="1"/>
  <c r="BS690" i="7"/>
  <c r="BR913" i="7"/>
  <c r="BU913" i="7" s="1"/>
  <c r="BS913" i="7"/>
  <c r="BP9" i="8"/>
  <c r="BS1582" i="7"/>
  <c r="BR1582" i="7"/>
  <c r="BU1582" i="7" s="1"/>
  <c r="BR396" i="7"/>
  <c r="BU396" i="7" s="1"/>
  <c r="BS396" i="7"/>
  <c r="BR397" i="7"/>
  <c r="BU397" i="7" s="1"/>
  <c r="BS397" i="7"/>
  <c r="BP43" i="8"/>
  <c r="BR837" i="7"/>
  <c r="BU837" i="7" s="1"/>
  <c r="BS837" i="7"/>
  <c r="BR714" i="7"/>
  <c r="BU714" i="7" s="1"/>
  <c r="BS714" i="7"/>
  <c r="BR2100" i="7"/>
  <c r="BU2100" i="7" s="1"/>
  <c r="BS2100" i="7"/>
  <c r="BR198" i="7"/>
  <c r="BU198" i="7" s="1"/>
  <c r="BS198" i="7"/>
  <c r="BR898" i="7"/>
  <c r="BU898" i="7" s="1"/>
  <c r="BS898" i="7"/>
  <c r="BR1507" i="7"/>
  <c r="BU1507" i="7" s="1"/>
  <c r="BS1507" i="7"/>
  <c r="BR1515" i="7"/>
  <c r="BU1515" i="7" s="1"/>
  <c r="BS1515" i="7"/>
  <c r="BS192" i="7"/>
  <c r="BR192" i="7"/>
  <c r="BU192" i="7" s="1"/>
  <c r="BR2084" i="7"/>
  <c r="BU2084" i="7" s="1"/>
  <c r="BS2084" i="7"/>
  <c r="BS892" i="7"/>
  <c r="BR892" i="7"/>
  <c r="BU892" i="7" s="1"/>
  <c r="BS1973" i="7"/>
  <c r="BR1973" i="7"/>
  <c r="BU1973" i="7" s="1"/>
  <c r="BR139" i="7"/>
  <c r="BU139" i="7" s="1"/>
  <c r="BS139" i="7"/>
  <c r="BR1324" i="7"/>
  <c r="BU1324" i="7" s="1"/>
  <c r="BS1324" i="7"/>
  <c r="BR436" i="7"/>
  <c r="BU436" i="7" s="1"/>
  <c r="BS436" i="7"/>
  <c r="BR1960" i="7"/>
  <c r="BU1960" i="7" s="1"/>
  <c r="BS1960" i="7"/>
  <c r="BR1738" i="7"/>
  <c r="BU1738" i="7" s="1"/>
  <c r="BS1738" i="7"/>
  <c r="BS2216" i="7"/>
  <c r="BR2216" i="7"/>
  <c r="BU2216" i="7" s="1"/>
  <c r="BR1065" i="7"/>
  <c r="BU1065" i="7" s="1"/>
  <c r="BS1065" i="7"/>
  <c r="BS240" i="7"/>
  <c r="BR240" i="7"/>
  <c r="BU240" i="7" s="1"/>
  <c r="BS527" i="7"/>
  <c r="BR527" i="7"/>
  <c r="BU527" i="7" s="1"/>
  <c r="BS1130" i="7"/>
  <c r="BR1130" i="7"/>
  <c r="BU1130" i="7" s="1"/>
  <c r="BR236" i="7"/>
  <c r="BU236" i="7" s="1"/>
  <c r="BS236" i="7"/>
  <c r="BS250" i="7"/>
  <c r="BR250" i="7"/>
  <c r="BU250" i="7" s="1"/>
  <c r="BS864" i="7"/>
  <c r="BR864" i="7"/>
  <c r="BU864" i="7" s="1"/>
  <c r="BS1655" i="7"/>
  <c r="BR1655" i="7"/>
  <c r="BU1655" i="7" s="1"/>
  <c r="BR2133" i="7"/>
  <c r="BU2133" i="7" s="1"/>
  <c r="BS2133" i="7"/>
  <c r="BS1194" i="7"/>
  <c r="BR1194" i="7"/>
  <c r="BU1194" i="7" s="1"/>
  <c r="BS852" i="7"/>
  <c r="BR852" i="7"/>
  <c r="BU852" i="7" s="1"/>
  <c r="BR1482" i="7"/>
  <c r="BU1482" i="7" s="1"/>
  <c r="BS1482" i="7"/>
  <c r="BS2008" i="7"/>
  <c r="BR2008" i="7"/>
  <c r="BU2008" i="7" s="1"/>
  <c r="BR739" i="7"/>
  <c r="BU739" i="7" s="1"/>
  <c r="BS739" i="7"/>
  <c r="BR1585" i="7"/>
  <c r="BU1585" i="7" s="1"/>
  <c r="BS1585" i="7"/>
  <c r="BS1009" i="7"/>
  <c r="BR1009" i="7"/>
  <c r="BU1009" i="7" s="1"/>
  <c r="BR1436" i="7"/>
  <c r="BU1436" i="7" s="1"/>
  <c r="BS1436" i="7"/>
  <c r="BR1756" i="7"/>
  <c r="BU1756" i="7" s="1"/>
  <c r="BS1756" i="7"/>
  <c r="BR2023" i="7"/>
  <c r="BU2023" i="7" s="1"/>
  <c r="BS2023" i="7"/>
  <c r="BR1829" i="7"/>
  <c r="BU1829" i="7" s="1"/>
  <c r="BS1829" i="7"/>
  <c r="BT64" i="7"/>
  <c r="BT99" i="8"/>
  <c r="BS1386" i="7"/>
  <c r="BR1386" i="7"/>
  <c r="BU1386" i="7" s="1"/>
  <c r="BS936" i="7"/>
  <c r="BR936" i="7"/>
  <c r="BU936" i="7" s="1"/>
  <c r="BR333" i="7"/>
  <c r="BU333" i="7" s="1"/>
  <c r="BS333" i="7"/>
  <c r="BS281" i="7"/>
  <c r="BR281" i="7"/>
  <c r="BU281" i="7" s="1"/>
  <c r="BR1952" i="7"/>
  <c r="BU1952" i="7" s="1"/>
  <c r="BS1952" i="7"/>
  <c r="BS289" i="7"/>
  <c r="BR289" i="7"/>
  <c r="BU289" i="7" s="1"/>
  <c r="BS2014" i="7"/>
  <c r="BR2014" i="7"/>
  <c r="BU2014" i="7" s="1"/>
  <c r="BR707" i="7"/>
  <c r="BU707" i="7" s="1"/>
  <c r="BS707" i="7"/>
  <c r="BR616" i="7"/>
  <c r="BU616" i="7" s="1"/>
  <c r="BS616" i="7"/>
  <c r="BR1297" i="7"/>
  <c r="BU1297" i="7" s="1"/>
  <c r="BS1297" i="7"/>
  <c r="BR1210" i="7"/>
  <c r="BU1210" i="7" s="1"/>
  <c r="BS1210" i="7"/>
  <c r="BT157" i="7"/>
  <c r="BT24" i="8"/>
  <c r="BS698" i="7"/>
  <c r="BR698" i="7"/>
  <c r="BU698" i="7" s="1"/>
  <c r="BS1688" i="7"/>
  <c r="BR1688" i="7"/>
  <c r="BU1688" i="7" s="1"/>
  <c r="BP93" i="7"/>
  <c r="BR379" i="7"/>
  <c r="BU379" i="7" s="1"/>
  <c r="BS379" i="7"/>
  <c r="BP36" i="7"/>
  <c r="BR66" i="8"/>
  <c r="BS66" i="8"/>
  <c r="BR1698" i="7"/>
  <c r="BU1698" i="7" s="1"/>
  <c r="BS1698" i="7"/>
  <c r="BP38" i="8"/>
  <c r="BS1170" i="7"/>
  <c r="BR1170" i="7"/>
  <c r="BU1170" i="7" s="1"/>
  <c r="BS368" i="7"/>
  <c r="BR368" i="7"/>
  <c r="BU368" i="7" s="1"/>
  <c r="BR1945" i="7"/>
  <c r="BU1945" i="7" s="1"/>
  <c r="BS1945" i="7"/>
  <c r="BR1866" i="7"/>
  <c r="BU1866" i="7" s="1"/>
  <c r="BS1866" i="7"/>
  <c r="BS492" i="7"/>
  <c r="BR492" i="7"/>
  <c r="BU492" i="7" s="1"/>
  <c r="BR82" i="7"/>
  <c r="BU82" i="7" s="1"/>
  <c r="BS82" i="7"/>
  <c r="BR1280" i="7"/>
  <c r="BU1280" i="7" s="1"/>
  <c r="BS1280" i="7"/>
  <c r="BR4" i="7"/>
  <c r="BS4" i="7"/>
  <c r="BS1015" i="7"/>
  <c r="BR1015" i="7"/>
  <c r="BU1015" i="7" s="1"/>
  <c r="BR476" i="7"/>
  <c r="BU476" i="7" s="1"/>
  <c r="BS476" i="7"/>
  <c r="BP383" i="7"/>
  <c r="BR500" i="7"/>
  <c r="BU500" i="7" s="1"/>
  <c r="BS500" i="7"/>
  <c r="BS103" i="8"/>
  <c r="BR103" i="8"/>
  <c r="BR1913" i="7"/>
  <c r="BU1913" i="7" s="1"/>
  <c r="BS1913" i="7"/>
  <c r="BS1457" i="7"/>
  <c r="BR1457" i="7"/>
  <c r="BU1457" i="7" s="1"/>
  <c r="BS1354" i="7"/>
  <c r="BR1354" i="7"/>
  <c r="BU1354" i="7" s="1"/>
  <c r="BT89" i="7"/>
  <c r="BT22" i="8"/>
  <c r="BR1173" i="7"/>
  <c r="BU1173" i="7" s="1"/>
  <c r="BS1173" i="7"/>
  <c r="BS308" i="7"/>
  <c r="BR308" i="7"/>
  <c r="BU308" i="7" s="1"/>
  <c r="BR1707" i="7"/>
  <c r="BU1707" i="7" s="1"/>
  <c r="BS1707" i="7"/>
  <c r="BR120" i="7"/>
  <c r="BU120" i="7" s="1"/>
  <c r="BS120" i="7"/>
  <c r="BR211" i="7"/>
  <c r="BU211" i="7" s="1"/>
  <c r="BS211" i="7"/>
  <c r="BR321" i="7"/>
  <c r="BU321" i="7" s="1"/>
  <c r="BS321" i="7"/>
  <c r="BR363" i="7"/>
  <c r="BU363" i="7" s="1"/>
  <c r="BS363" i="7"/>
  <c r="BR1261" i="7"/>
  <c r="BU1261" i="7" s="1"/>
  <c r="BS1261" i="7"/>
  <c r="BR2094" i="7"/>
  <c r="BU2094" i="7" s="1"/>
  <c r="BS2094" i="7"/>
  <c r="BS1389" i="7"/>
  <c r="BR1389" i="7"/>
  <c r="BU1389" i="7" s="1"/>
  <c r="BS1586" i="7"/>
  <c r="BR1586" i="7"/>
  <c r="BU1586" i="7" s="1"/>
  <c r="BS686" i="7"/>
  <c r="BR686" i="7"/>
  <c r="BU686" i="7" s="1"/>
  <c r="BR1722" i="7"/>
  <c r="BU1722" i="7" s="1"/>
  <c r="BS1722" i="7"/>
  <c r="BS2245" i="7"/>
  <c r="BR2245" i="7"/>
  <c r="BU2245" i="7" s="1"/>
  <c r="BR669" i="7"/>
  <c r="BU669" i="7" s="1"/>
  <c r="BS669" i="7"/>
  <c r="BR817" i="7"/>
  <c r="BU817" i="7" s="1"/>
  <c r="BS817" i="7"/>
  <c r="BR1233" i="7"/>
  <c r="BU1233" i="7" s="1"/>
  <c r="BS1233" i="7"/>
  <c r="BR750" i="7"/>
  <c r="BU750" i="7" s="1"/>
  <c r="BS750" i="7"/>
  <c r="BR977" i="7"/>
  <c r="BU977" i="7" s="1"/>
  <c r="BS977" i="7"/>
  <c r="BR452" i="7"/>
  <c r="BU452" i="7" s="1"/>
  <c r="BS452" i="7"/>
  <c r="BR1876" i="7"/>
  <c r="BU1876" i="7" s="1"/>
  <c r="BS1876" i="7"/>
  <c r="BR735" i="7"/>
  <c r="BU735" i="7" s="1"/>
  <c r="BS735" i="7"/>
  <c r="BS209" i="7"/>
  <c r="BR209" i="7"/>
  <c r="BU209" i="7" s="1"/>
  <c r="BR42" i="7"/>
  <c r="BU42" i="7" s="1"/>
  <c r="BS42" i="7"/>
  <c r="BR2207" i="7"/>
  <c r="BU2207" i="7" s="1"/>
  <c r="BS2207" i="7"/>
  <c r="BR245" i="7"/>
  <c r="BU245" i="7" s="1"/>
  <c r="BS245" i="7"/>
  <c r="BT102" i="8"/>
  <c r="BT2037" i="7"/>
  <c r="BS723" i="7"/>
  <c r="BR723" i="7"/>
  <c r="BU723" i="7" s="1"/>
  <c r="BS1191" i="7"/>
  <c r="BR1191" i="7"/>
  <c r="BU1191" i="7" s="1"/>
  <c r="BR657" i="7"/>
  <c r="BU657" i="7" s="1"/>
  <c r="BS657" i="7"/>
  <c r="BR792" i="7"/>
  <c r="BU792" i="7" s="1"/>
  <c r="BS792" i="7"/>
  <c r="BR2267" i="7"/>
  <c r="BU2267" i="7" s="1"/>
  <c r="BS2267" i="7"/>
  <c r="BP103" i="8"/>
  <c r="BR2279" i="7"/>
  <c r="BU2279" i="7" s="1"/>
  <c r="BS2279" i="7"/>
  <c r="BR1924" i="7"/>
  <c r="BU1924" i="7" s="1"/>
  <c r="BS1924" i="7"/>
  <c r="BS775" i="7"/>
  <c r="BR775" i="7"/>
  <c r="BU775" i="7" s="1"/>
  <c r="BR1667" i="7"/>
  <c r="BU1667" i="7" s="1"/>
  <c r="BS1667" i="7"/>
  <c r="BP176" i="7"/>
  <c r="BP56" i="8"/>
  <c r="BS234" i="7"/>
  <c r="BR234" i="7"/>
  <c r="BU234" i="7" s="1"/>
  <c r="BR1927" i="7"/>
  <c r="BU1927" i="7" s="1"/>
  <c r="BS1927" i="7"/>
  <c r="BP188" i="7"/>
  <c r="BP101" i="8"/>
  <c r="BR2060" i="7"/>
  <c r="BU2060" i="7" s="1"/>
  <c r="BS2060" i="7"/>
  <c r="BS1440" i="7"/>
  <c r="BR1440" i="7"/>
  <c r="BU1440" i="7" s="1"/>
  <c r="BR1268" i="7"/>
  <c r="BU1268" i="7" s="1"/>
  <c r="BS1268" i="7"/>
  <c r="BS1886" i="7"/>
  <c r="BR1886" i="7"/>
  <c r="BU1886" i="7" s="1"/>
  <c r="BS618" i="7"/>
  <c r="BR618" i="7"/>
  <c r="BU618" i="7" s="1"/>
  <c r="BP29" i="7"/>
  <c r="BS1082" i="7"/>
  <c r="BR1082" i="7"/>
  <c r="BU1082" i="7" s="1"/>
  <c r="BR1122" i="7"/>
  <c r="BU1122" i="7" s="1"/>
  <c r="BS1122" i="7"/>
  <c r="BR1012" i="7"/>
  <c r="BU1012" i="7" s="1"/>
  <c r="BS1012" i="7"/>
  <c r="BS15" i="8"/>
  <c r="BR15" i="8"/>
  <c r="BR7" i="8"/>
  <c r="BR1951" i="7"/>
  <c r="BU1951" i="7" s="1"/>
  <c r="BS1951" i="7"/>
  <c r="BT179" i="7"/>
  <c r="BT25" i="8"/>
  <c r="BR1193" i="7"/>
  <c r="BU1193" i="7" s="1"/>
  <c r="BS1193" i="7"/>
  <c r="BR1504" i="7"/>
  <c r="BU1504" i="7" s="1"/>
  <c r="BS1504" i="7"/>
  <c r="BR1653" i="7"/>
  <c r="BU1653" i="7" s="1"/>
  <c r="BS1653" i="7"/>
  <c r="BS591" i="7"/>
  <c r="BR591" i="7"/>
  <c r="BU591" i="7" s="1"/>
  <c r="BR1410" i="7"/>
  <c r="BU1410" i="7" s="1"/>
  <c r="BS1410" i="7"/>
  <c r="BR1616" i="7"/>
  <c r="BU1616" i="7" s="1"/>
  <c r="BS1616" i="7"/>
  <c r="BS2098" i="7"/>
  <c r="BR2098" i="7"/>
  <c r="BU2098" i="7" s="1"/>
  <c r="BR2223" i="7"/>
  <c r="BU2223" i="7" s="1"/>
  <c r="BS2223" i="7"/>
  <c r="BS2173" i="7"/>
  <c r="BR2173" i="7"/>
  <c r="BU2173" i="7" s="1"/>
  <c r="BS417" i="7"/>
  <c r="BR417" i="7"/>
  <c r="BU417" i="7" s="1"/>
  <c r="BT28" i="7"/>
  <c r="BT67" i="8"/>
  <c r="BS1786" i="7"/>
  <c r="BR1786" i="7"/>
  <c r="BU1786" i="7" s="1"/>
  <c r="BS1158" i="7"/>
  <c r="BR1158" i="7"/>
  <c r="BU1158" i="7" s="1"/>
  <c r="BS1230" i="7"/>
  <c r="BR1230" i="7"/>
  <c r="BU1230" i="7" s="1"/>
  <c r="BR1163" i="7"/>
  <c r="BU1163" i="7" s="1"/>
  <c r="BS1163" i="7"/>
  <c r="BS638" i="7"/>
  <c r="BR638" i="7"/>
  <c r="BU638" i="7" s="1"/>
  <c r="BT111" i="7"/>
  <c r="BT49" i="8"/>
  <c r="BR2193" i="7"/>
  <c r="BU2193" i="7" s="1"/>
  <c r="BS2193" i="7"/>
  <c r="BS1914" i="7"/>
  <c r="BR1914" i="7"/>
  <c r="BU1914" i="7" s="1"/>
  <c r="BR56" i="7"/>
  <c r="BU56" i="7" s="1"/>
  <c r="BS56" i="7"/>
  <c r="BS1762" i="7"/>
  <c r="BR1762" i="7"/>
  <c r="BU1762" i="7" s="1"/>
  <c r="BS1947" i="7"/>
  <c r="BR1947" i="7"/>
  <c r="BU1947" i="7" s="1"/>
  <c r="BP35" i="7"/>
  <c r="BP40" i="7"/>
  <c r="BR2053" i="7"/>
  <c r="BU2053" i="7" s="1"/>
  <c r="BS2053" i="7"/>
  <c r="BS1453" i="7"/>
  <c r="BR1453" i="7"/>
  <c r="BU1453" i="7" s="1"/>
  <c r="BR606" i="7"/>
  <c r="BU606" i="7" s="1"/>
  <c r="BS606" i="7"/>
  <c r="BR1880" i="7"/>
  <c r="BU1880" i="7" s="1"/>
  <c r="BS1880" i="7"/>
  <c r="BS833" i="7"/>
  <c r="BR833" i="7"/>
  <c r="BU833" i="7" s="1"/>
  <c r="BR2178" i="7"/>
  <c r="BU2178" i="7" s="1"/>
  <c r="BS2178" i="7"/>
  <c r="BR1429" i="7"/>
  <c r="BU1429" i="7" s="1"/>
  <c r="BS1429" i="7"/>
  <c r="BP175" i="7"/>
  <c r="BR61" i="7"/>
  <c r="BU61" i="7" s="1"/>
  <c r="BS61" i="7"/>
  <c r="BS1850" i="7"/>
  <c r="BR1850" i="7"/>
  <c r="BU1850" i="7" s="1"/>
  <c r="BP123" i="7"/>
  <c r="BP104" i="8"/>
  <c r="BR2046" i="7"/>
  <c r="BU2046" i="7" s="1"/>
  <c r="BS2046" i="7"/>
  <c r="BR2220" i="7"/>
  <c r="BU2220" i="7" s="1"/>
  <c r="BS2220" i="7"/>
  <c r="BR2070" i="7"/>
  <c r="BU2070" i="7" s="1"/>
  <c r="BS2070" i="7"/>
  <c r="BS890" i="7"/>
  <c r="BR890" i="7"/>
  <c r="BU890" i="7" s="1"/>
  <c r="BR2236" i="7"/>
  <c r="BU2236" i="7" s="1"/>
  <c r="BS2236" i="7"/>
  <c r="BR1420" i="7"/>
  <c r="BU1420" i="7" s="1"/>
  <c r="BS1420" i="7"/>
  <c r="BP98" i="8"/>
  <c r="BR207" i="7"/>
  <c r="BU207" i="7" s="1"/>
  <c r="BS207" i="7"/>
  <c r="BR1716" i="7"/>
  <c r="BU1716" i="7" s="1"/>
  <c r="BS1716" i="7"/>
  <c r="BS2177" i="7"/>
  <c r="BR2177" i="7"/>
  <c r="BU2177" i="7" s="1"/>
  <c r="BR1426" i="7"/>
  <c r="BU1426" i="7" s="1"/>
  <c r="BS1426" i="7"/>
  <c r="BP26" i="8"/>
  <c r="BR1405" i="7"/>
  <c r="BU1405" i="7" s="1"/>
  <c r="BS1405" i="7"/>
  <c r="BR1004" i="7"/>
  <c r="BU1004" i="7" s="1"/>
  <c r="BS1004" i="7"/>
  <c r="BR1753" i="7"/>
  <c r="BU1753" i="7" s="1"/>
  <c r="BS1753" i="7"/>
  <c r="BS1957" i="7"/>
  <c r="BR1957" i="7"/>
  <c r="BU1957" i="7" s="1"/>
  <c r="BS1897" i="7"/>
  <c r="BR1897" i="7"/>
  <c r="BU1897" i="7" s="1"/>
  <c r="BS24" i="7"/>
  <c r="BR24" i="7"/>
  <c r="BU24" i="7" s="1"/>
  <c r="BT38" i="7"/>
  <c r="BT77" i="8"/>
  <c r="BR2030" i="7"/>
  <c r="BU2030" i="7" s="1"/>
  <c r="BS2030" i="7"/>
  <c r="BS1560" i="7"/>
  <c r="BR1560" i="7"/>
  <c r="BU1560" i="7" s="1"/>
  <c r="BR374" i="7"/>
  <c r="BU374" i="7" s="1"/>
  <c r="BS374" i="7"/>
  <c r="BR279" i="7"/>
  <c r="BU279" i="7" s="1"/>
  <c r="BS279" i="7"/>
  <c r="BS2147" i="7"/>
  <c r="BR2147" i="7"/>
  <c r="BU2147" i="7" s="1"/>
  <c r="BR1238" i="7"/>
  <c r="BU1238" i="7" s="1"/>
  <c r="BS1238" i="7"/>
  <c r="BR1419" i="7"/>
  <c r="BU1419" i="7" s="1"/>
  <c r="BS1419" i="7"/>
  <c r="BS1461" i="7"/>
  <c r="BR1461" i="7"/>
  <c r="BU1461" i="7" s="1"/>
  <c r="BR1649" i="7"/>
  <c r="BU1649" i="7" s="1"/>
  <c r="BS1649" i="7"/>
  <c r="BR2076" i="7"/>
  <c r="BU2076" i="7" s="1"/>
  <c r="BS2076" i="7"/>
  <c r="BP219" i="7"/>
  <c r="BP93" i="8"/>
  <c r="BS2044" i="7"/>
  <c r="BR2044" i="7"/>
  <c r="BU2044" i="7" s="1"/>
  <c r="BP87" i="8"/>
  <c r="BR1447" i="7"/>
  <c r="BU1447" i="7" s="1"/>
  <c r="BS1447" i="7"/>
  <c r="BS716" i="7"/>
  <c r="BR716" i="7"/>
  <c r="BU716" i="7" s="1"/>
  <c r="BR145" i="7"/>
  <c r="BU145" i="7" s="1"/>
  <c r="BS145" i="7"/>
  <c r="BS1308" i="7"/>
  <c r="BR1308" i="7"/>
  <c r="BU1308" i="7" s="1"/>
  <c r="BR1056" i="7"/>
  <c r="BU1056" i="7" s="1"/>
  <c r="BS1056" i="7"/>
  <c r="BS87" i="7"/>
  <c r="BR87" i="7"/>
  <c r="BU87" i="7" s="1"/>
  <c r="BS614" i="7"/>
  <c r="BR614" i="7"/>
  <c r="BU614" i="7" s="1"/>
  <c r="BS1253" i="7"/>
  <c r="BR1253" i="7"/>
  <c r="BU1253" i="7" s="1"/>
  <c r="BS760" i="7"/>
  <c r="BR760" i="7"/>
  <c r="BU760" i="7" s="1"/>
  <c r="BS2026" i="7"/>
  <c r="BR2026" i="7"/>
  <c r="BU2026" i="7" s="1"/>
  <c r="BR1751" i="7"/>
  <c r="BU1751" i="7" s="1"/>
  <c r="BS1751" i="7"/>
  <c r="BS135" i="7"/>
  <c r="BR135" i="7"/>
  <c r="BU135" i="7" s="1"/>
  <c r="BR1077" i="7"/>
  <c r="BU1077" i="7" s="1"/>
  <c r="BS1077" i="7"/>
  <c r="BS1547" i="7"/>
  <c r="BR1547" i="7"/>
  <c r="BU1547" i="7" s="1"/>
  <c r="BS498" i="7"/>
  <c r="BR498" i="7"/>
  <c r="BU498" i="7" s="1"/>
  <c r="BR586" i="7"/>
  <c r="BU586" i="7" s="1"/>
  <c r="BS586" i="7"/>
  <c r="BS95" i="8"/>
  <c r="BR95" i="8"/>
  <c r="BR2168" i="7"/>
  <c r="BU2168" i="7" s="1"/>
  <c r="BS2168" i="7"/>
  <c r="BS352" i="7"/>
  <c r="BR352" i="7"/>
  <c r="BU352" i="7" s="1"/>
  <c r="BR835" i="7"/>
  <c r="BU835" i="7" s="1"/>
  <c r="BS835" i="7"/>
  <c r="BR569" i="7"/>
  <c r="BU569" i="7" s="1"/>
  <c r="BS569" i="7"/>
  <c r="BR394" i="7"/>
  <c r="BU394" i="7" s="1"/>
  <c r="BS394" i="7"/>
  <c r="BS1406" i="7"/>
  <c r="BR1406" i="7"/>
  <c r="BU1406" i="7" s="1"/>
  <c r="BS445" i="7"/>
  <c r="BR445" i="7"/>
  <c r="BU445" i="7" s="1"/>
  <c r="BS798" i="7"/>
  <c r="BR798" i="7"/>
  <c r="BU798" i="7" s="1"/>
  <c r="BR1281" i="7"/>
  <c r="BU1281" i="7" s="1"/>
  <c r="BS1281" i="7"/>
  <c r="BR1769" i="7"/>
  <c r="BU1769" i="7" s="1"/>
  <c r="BS1769" i="7"/>
  <c r="BS2215" i="7"/>
  <c r="BR2215" i="7"/>
  <c r="BU2215" i="7" s="1"/>
  <c r="BS1181" i="7"/>
  <c r="BR1181" i="7"/>
  <c r="BU1181" i="7" s="1"/>
  <c r="BS1467" i="7"/>
  <c r="BR1467" i="7"/>
  <c r="BU1467" i="7" s="1"/>
  <c r="BR1994" i="7"/>
  <c r="BU1994" i="7" s="1"/>
  <c r="BS1994" i="7"/>
  <c r="BT173" i="7"/>
  <c r="BT36" i="8"/>
  <c r="BR1546" i="7"/>
  <c r="BU1546" i="7" s="1"/>
  <c r="BS1546" i="7"/>
  <c r="BP157" i="7"/>
  <c r="BS1310" i="7"/>
  <c r="BR1310" i="7"/>
  <c r="BU1310" i="7" s="1"/>
  <c r="BS704" i="7"/>
  <c r="BR704" i="7"/>
  <c r="BU704" i="7" s="1"/>
  <c r="BS1373" i="7"/>
  <c r="BR1373" i="7"/>
  <c r="BU1373" i="7" s="1"/>
  <c r="BS495" i="7"/>
  <c r="BR495" i="7"/>
  <c r="BU495" i="7" s="1"/>
  <c r="BR316" i="7"/>
  <c r="BU316" i="7" s="1"/>
  <c r="BS316" i="7"/>
  <c r="BS1788" i="7"/>
  <c r="BR1788" i="7"/>
  <c r="BU1788" i="7" s="1"/>
  <c r="BR284" i="7"/>
  <c r="BU284" i="7" s="1"/>
  <c r="BS284" i="7"/>
  <c r="BR1293" i="7"/>
  <c r="BU1293" i="7" s="1"/>
  <c r="BS1293" i="7"/>
  <c r="BT93" i="7"/>
  <c r="BT46" i="8"/>
  <c r="BR742" i="7"/>
  <c r="BU742" i="7" s="1"/>
  <c r="BS742" i="7"/>
  <c r="BR277" i="7"/>
  <c r="BU277" i="7" s="1"/>
  <c r="BS277" i="7"/>
  <c r="BR1745" i="7"/>
  <c r="BU1745" i="7" s="1"/>
  <c r="BS1745" i="7"/>
  <c r="BS1557" i="7"/>
  <c r="BR1557" i="7"/>
  <c r="BU1557" i="7" s="1"/>
  <c r="BR1496" i="7"/>
  <c r="BU1496" i="7" s="1"/>
  <c r="BS1496" i="7"/>
  <c r="BR2015" i="7"/>
  <c r="BU2015" i="7" s="1"/>
  <c r="BS2015" i="7"/>
  <c r="BR592" i="7"/>
  <c r="BU592" i="7" s="1"/>
  <c r="BS592" i="7"/>
  <c r="BR712" i="7"/>
  <c r="BU712" i="7" s="1"/>
  <c r="BS712" i="7"/>
  <c r="BP95" i="8"/>
  <c r="BR796" i="7"/>
  <c r="BU796" i="7" s="1"/>
  <c r="BS796" i="7"/>
  <c r="BR556" i="7"/>
  <c r="BU556" i="7" s="1"/>
  <c r="BS556" i="7"/>
  <c r="BR322" i="7"/>
  <c r="BU322" i="7" s="1"/>
  <c r="BS322" i="7"/>
  <c r="BR1348" i="7"/>
  <c r="BU1348" i="7" s="1"/>
  <c r="BS1348" i="7"/>
  <c r="BS231" i="7"/>
  <c r="BR231" i="7"/>
  <c r="BU231" i="7" s="1"/>
  <c r="BR58" i="7"/>
  <c r="BU58" i="7" s="1"/>
  <c r="BS58" i="7"/>
  <c r="BS2172" i="7"/>
  <c r="BR2172" i="7"/>
  <c r="BU2172" i="7" s="1"/>
  <c r="BS2238" i="7"/>
  <c r="BR2238" i="7"/>
  <c r="BU2238" i="7" s="1"/>
  <c r="BR819" i="7"/>
  <c r="BU819" i="7" s="1"/>
  <c r="BS819" i="7"/>
  <c r="BR1011" i="7"/>
  <c r="BU1011" i="7" s="1"/>
  <c r="BS1011" i="7"/>
  <c r="BS1402" i="7"/>
  <c r="BR1402" i="7"/>
  <c r="BU1402" i="7" s="1"/>
  <c r="BP162" i="7"/>
  <c r="BS1109" i="7"/>
  <c r="BR1109" i="7"/>
  <c r="BU1109" i="7" s="1"/>
  <c r="BR1449" i="7"/>
  <c r="BU1449" i="7" s="1"/>
  <c r="BS1449" i="7"/>
  <c r="BS1327" i="7"/>
  <c r="BR1327" i="7"/>
  <c r="BU1327" i="7" s="1"/>
  <c r="BR1289" i="7"/>
  <c r="BU1289" i="7" s="1"/>
  <c r="BS1289" i="7"/>
  <c r="BR1670" i="7"/>
  <c r="BU1670" i="7" s="1"/>
  <c r="BS1670" i="7"/>
  <c r="BR372" i="7"/>
  <c r="BU372" i="7" s="1"/>
  <c r="BS372" i="7"/>
  <c r="BS674" i="7"/>
  <c r="BR674" i="7"/>
  <c r="BU674" i="7" s="1"/>
  <c r="BR1793" i="7"/>
  <c r="BU1793" i="7" s="1"/>
  <c r="BS1793" i="7"/>
  <c r="BR1633" i="7"/>
  <c r="BU1633" i="7" s="1"/>
  <c r="BS1633" i="7"/>
  <c r="BS1174" i="7"/>
  <c r="BR1174" i="7"/>
  <c r="BU1174" i="7" s="1"/>
  <c r="BR1454" i="7"/>
  <c r="BU1454" i="7" s="1"/>
  <c r="BS1454" i="7"/>
  <c r="BR22" i="8"/>
  <c r="BS22" i="8"/>
  <c r="BS461" i="7"/>
  <c r="BR461" i="7"/>
  <c r="BU461" i="7" s="1"/>
  <c r="BR141" i="7"/>
  <c r="BU141" i="7" s="1"/>
  <c r="BS141" i="7"/>
  <c r="BR1517" i="7"/>
  <c r="BU1517" i="7" s="1"/>
  <c r="BS1517" i="7"/>
  <c r="BR589" i="7"/>
  <c r="BU589" i="7" s="1"/>
  <c r="BS589" i="7"/>
  <c r="BS564" i="7"/>
  <c r="BR564" i="7"/>
  <c r="BU564" i="7" s="1"/>
  <c r="BR133" i="7"/>
  <c r="BU133" i="7" s="1"/>
  <c r="BS133" i="7"/>
  <c r="BS624" i="7"/>
  <c r="BR624" i="7"/>
  <c r="BU624" i="7" s="1"/>
  <c r="BR73" i="7"/>
  <c r="BU73" i="7" s="1"/>
  <c r="BS73" i="7"/>
  <c r="BS1295" i="7"/>
  <c r="BR1295" i="7"/>
  <c r="BU1295" i="7" s="1"/>
  <c r="BR366" i="7"/>
  <c r="BU366" i="7" s="1"/>
  <c r="BS366" i="7"/>
  <c r="BR446" i="7"/>
  <c r="BU446" i="7" s="1"/>
  <c r="BS446" i="7"/>
  <c r="BR1630" i="7"/>
  <c r="BU1630" i="7" s="1"/>
  <c r="BS1630" i="7"/>
  <c r="BS468" i="7"/>
  <c r="BR468" i="7"/>
  <c r="BU468" i="7" s="1"/>
  <c r="BS537" i="7"/>
  <c r="BR537" i="7"/>
  <c r="BU537" i="7" s="1"/>
  <c r="BR1759" i="7"/>
  <c r="BU1759" i="7" s="1"/>
  <c r="BS1759" i="7"/>
  <c r="BS1579" i="7"/>
  <c r="BR1579" i="7"/>
  <c r="BU1579" i="7" s="1"/>
  <c r="BS1573" i="7"/>
  <c r="BR1573" i="7"/>
  <c r="BU1573" i="7" s="1"/>
  <c r="BS2259" i="7"/>
  <c r="BR2259" i="7"/>
  <c r="BU2259" i="7" s="1"/>
  <c r="BR1622" i="7"/>
  <c r="BU1622" i="7" s="1"/>
  <c r="BS1622" i="7"/>
  <c r="BT429" i="7"/>
  <c r="BT62" i="8"/>
  <c r="BS433" i="7"/>
  <c r="BR433" i="7"/>
  <c r="BU433" i="7" s="1"/>
  <c r="BR1988" i="7"/>
  <c r="BU1988" i="7" s="1"/>
  <c r="BS1988" i="7"/>
  <c r="BR2188" i="7"/>
  <c r="BU2188" i="7" s="1"/>
  <c r="BS2188" i="7"/>
  <c r="BS66" i="7"/>
  <c r="BR66" i="7"/>
  <c r="BU66" i="7" s="1"/>
  <c r="BS1464" i="7"/>
  <c r="BR1464" i="7"/>
  <c r="BU1464" i="7" s="1"/>
  <c r="BR1846" i="7"/>
  <c r="BU1846" i="7" s="1"/>
  <c r="BS1846" i="7"/>
  <c r="BS1838" i="7"/>
  <c r="BR1838" i="7"/>
  <c r="BU1838" i="7" s="1"/>
  <c r="BR2138" i="7"/>
  <c r="BU2138" i="7" s="1"/>
  <c r="BS2138" i="7"/>
  <c r="BR649" i="7"/>
  <c r="BU649" i="7" s="1"/>
  <c r="BS649" i="7"/>
  <c r="BR932" i="7"/>
  <c r="BU932" i="7" s="1"/>
  <c r="BS932" i="7"/>
  <c r="BR1172" i="7"/>
  <c r="BU1172" i="7" s="1"/>
  <c r="BS1172" i="7"/>
  <c r="BR2251" i="7"/>
  <c r="BU2251" i="7" s="1"/>
  <c r="BS2251" i="7"/>
  <c r="BR1789" i="7"/>
  <c r="BU1789" i="7" s="1"/>
  <c r="BS1789" i="7"/>
  <c r="BS627" i="7"/>
  <c r="BR627" i="7"/>
  <c r="BU627" i="7" s="1"/>
  <c r="BR2093" i="7"/>
  <c r="BU2093" i="7" s="1"/>
  <c r="BS2093" i="7"/>
  <c r="BR1245" i="7"/>
  <c r="BU1245" i="7" s="1"/>
  <c r="BS1245" i="7"/>
  <c r="BR755" i="7"/>
  <c r="BU755" i="7" s="1"/>
  <c r="BS755" i="7"/>
  <c r="BR1664" i="7"/>
  <c r="BU1664" i="7" s="1"/>
  <c r="BS1664" i="7"/>
  <c r="BR134" i="7"/>
  <c r="BU134" i="7" s="1"/>
  <c r="BS134" i="7"/>
  <c r="BS390" i="7"/>
  <c r="BR390" i="7"/>
  <c r="BU390" i="7" s="1"/>
  <c r="BS102" i="7"/>
  <c r="BR102" i="7"/>
  <c r="BU102" i="7" s="1"/>
  <c r="BR2052" i="7"/>
  <c r="BU2052" i="7" s="1"/>
  <c r="BS2052" i="7"/>
  <c r="BR948" i="7"/>
  <c r="BU948" i="7" s="1"/>
  <c r="BS948" i="7"/>
  <c r="BT58" i="8"/>
  <c r="BT418" i="7"/>
  <c r="BS1316" i="7"/>
  <c r="BR1316" i="7"/>
  <c r="BU1316" i="7" s="1"/>
  <c r="BR311" i="7"/>
  <c r="BU311" i="7" s="1"/>
  <c r="BS311" i="7"/>
  <c r="BS1339" i="7"/>
  <c r="BR1339" i="7"/>
  <c r="BU1339" i="7" s="1"/>
  <c r="BS191" i="7"/>
  <c r="BR191" i="7"/>
  <c r="BU191" i="7" s="1"/>
  <c r="BS2160" i="7"/>
  <c r="BR2160" i="7"/>
  <c r="BU2160" i="7" s="1"/>
  <c r="BR945" i="7"/>
  <c r="BU945" i="7" s="1"/>
  <c r="BS945" i="7"/>
  <c r="BR901" i="7"/>
  <c r="BU901" i="7" s="1"/>
  <c r="BS901" i="7"/>
  <c r="BS1522" i="7"/>
  <c r="BR1522" i="7"/>
  <c r="BU1522" i="7" s="1"/>
  <c r="BR195" i="7"/>
  <c r="BU195" i="7" s="1"/>
  <c r="BS195" i="7"/>
  <c r="BP179" i="7"/>
  <c r="BS1692" i="7"/>
  <c r="BR1692" i="7"/>
  <c r="BU1692" i="7" s="1"/>
  <c r="BS1184" i="7"/>
  <c r="BR1184" i="7"/>
  <c r="BU1184" i="7" s="1"/>
  <c r="BS147" i="7"/>
  <c r="BR147" i="7"/>
  <c r="BU147" i="7" s="1"/>
  <c r="BS1717" i="7"/>
  <c r="BR1717" i="7"/>
  <c r="BU1717" i="7" s="1"/>
  <c r="BS1576" i="7"/>
  <c r="BR1576" i="7"/>
  <c r="BU1576" i="7" s="1"/>
  <c r="BS741" i="7"/>
  <c r="BR741" i="7"/>
  <c r="BU741" i="7" s="1"/>
  <c r="BR1521" i="7"/>
  <c r="BU1521" i="7" s="1"/>
  <c r="BS1521" i="7"/>
  <c r="BS2181" i="7"/>
  <c r="BR2181" i="7"/>
  <c r="BU2181" i="7" s="1"/>
  <c r="BR1690" i="7"/>
  <c r="BU1690" i="7" s="1"/>
  <c r="BS1690" i="7"/>
  <c r="BR475" i="7"/>
  <c r="BU475" i="7" s="1"/>
  <c r="BS475" i="7"/>
  <c r="BS2230" i="7"/>
  <c r="BR2230" i="7"/>
  <c r="BU2230" i="7" s="1"/>
  <c r="BS631" i="7"/>
  <c r="BR631" i="7"/>
  <c r="BU631" i="7" s="1"/>
  <c r="BS684" i="7"/>
  <c r="BR684" i="7"/>
  <c r="BU684" i="7" s="1"/>
  <c r="BS845" i="7"/>
  <c r="BR845" i="7"/>
  <c r="BU845" i="7" s="1"/>
  <c r="BS604" i="7"/>
  <c r="BR604" i="7"/>
  <c r="BU604" i="7" s="1"/>
  <c r="BS1686" i="7"/>
  <c r="BR1686" i="7"/>
  <c r="BU1686" i="7" s="1"/>
  <c r="BT182" i="7"/>
  <c r="BT53" i="8"/>
  <c r="BP108" i="7"/>
  <c r="BP47" i="8"/>
  <c r="BS2018" i="7"/>
  <c r="BR2018" i="7"/>
  <c r="BU2018" i="7" s="1"/>
  <c r="BS235" i="7"/>
  <c r="BR235" i="7"/>
  <c r="BU235" i="7" s="1"/>
  <c r="BS856" i="7"/>
  <c r="BR856" i="7"/>
  <c r="BU856" i="7" s="1"/>
  <c r="BS1553" i="7"/>
  <c r="BR1553" i="7"/>
  <c r="BU1553" i="7" s="1"/>
  <c r="BS1431" i="7"/>
  <c r="BR1431" i="7"/>
  <c r="BU1431" i="7" s="1"/>
  <c r="BT175" i="7"/>
  <c r="BT37" i="8"/>
  <c r="BR251" i="7"/>
  <c r="BU251" i="7" s="1"/>
  <c r="BS251" i="7"/>
  <c r="BR1643" i="7"/>
  <c r="BU1643" i="7" s="1"/>
  <c r="BS1643" i="7"/>
  <c r="BR228" i="7"/>
  <c r="BU228" i="7" s="1"/>
  <c r="BS228" i="7"/>
  <c r="BR1608" i="7"/>
  <c r="BU1608" i="7" s="1"/>
  <c r="BS1608" i="7"/>
  <c r="BS1488" i="7"/>
  <c r="BR1488" i="7"/>
  <c r="BU1488" i="7" s="1"/>
  <c r="BT177" i="7"/>
  <c r="BT33" i="8"/>
  <c r="BR365" i="7"/>
  <c r="BU365" i="7" s="1"/>
  <c r="BS365" i="7"/>
  <c r="BS1787" i="7"/>
  <c r="BR1787" i="7"/>
  <c r="BU1787" i="7" s="1"/>
  <c r="BR1965" i="7"/>
  <c r="BU1965" i="7" s="1"/>
  <c r="BS1965" i="7"/>
  <c r="BS2192" i="7"/>
  <c r="BR2192" i="7"/>
  <c r="BU2192" i="7" s="1"/>
  <c r="BR996" i="7"/>
  <c r="BU996" i="7" s="1"/>
  <c r="BS996" i="7"/>
  <c r="BR1409" i="7"/>
  <c r="BU1409" i="7" s="1"/>
  <c r="BS1409" i="7"/>
  <c r="BR848" i="7"/>
  <c r="BU848" i="7" s="1"/>
  <c r="BS848" i="7"/>
  <c r="BR1222" i="7"/>
  <c r="BU1222" i="7" s="1"/>
  <c r="BS1222" i="7"/>
  <c r="BR1169" i="7"/>
  <c r="BU1169" i="7" s="1"/>
  <c r="BS1169" i="7"/>
  <c r="BR731" i="7"/>
  <c r="BU731" i="7" s="1"/>
  <c r="BS731" i="7"/>
  <c r="BR1213" i="7"/>
  <c r="BU1213" i="7" s="1"/>
  <c r="BS1213" i="7"/>
  <c r="BR270" i="7"/>
  <c r="BU270" i="7" s="1"/>
  <c r="BS270" i="7"/>
  <c r="BT221" i="7"/>
  <c r="BT97" i="8"/>
  <c r="BS1892" i="7"/>
  <c r="BR1892" i="7"/>
  <c r="BU1892" i="7" s="1"/>
  <c r="BR925" i="7"/>
  <c r="BU925" i="7" s="1"/>
  <c r="BS925" i="7"/>
  <c r="BS1523" i="7"/>
  <c r="BR1523" i="7"/>
  <c r="BU1523" i="7" s="1"/>
  <c r="BR224" i="7"/>
  <c r="BU224" i="7" s="1"/>
  <c r="BS224" i="7"/>
  <c r="BS204" i="7"/>
  <c r="BR204" i="7"/>
  <c r="BU204" i="7" s="1"/>
  <c r="BS1782" i="7"/>
  <c r="BR1782" i="7"/>
  <c r="BU1782" i="7" s="1"/>
  <c r="BR1045" i="7"/>
  <c r="BU1045" i="7" s="1"/>
  <c r="BS1045" i="7"/>
  <c r="BR969" i="7"/>
  <c r="BU969" i="7" s="1"/>
  <c r="BS969" i="7"/>
  <c r="BS1147" i="7"/>
  <c r="BR1147" i="7"/>
  <c r="BU1147" i="7" s="1"/>
  <c r="BR447" i="7"/>
  <c r="BU447" i="7" s="1"/>
  <c r="BS447" i="7"/>
  <c r="BR330" i="7"/>
  <c r="BU330" i="7" s="1"/>
  <c r="BS330" i="7"/>
  <c r="BR1606" i="7"/>
  <c r="BU1606" i="7" s="1"/>
  <c r="BS1606" i="7"/>
  <c r="BR526" i="7"/>
  <c r="BU526" i="7" s="1"/>
  <c r="BS526" i="7"/>
  <c r="BR1672" i="7"/>
  <c r="BU1672" i="7" s="1"/>
  <c r="BS1672" i="7"/>
  <c r="BP38" i="7"/>
  <c r="BP97" i="8"/>
  <c r="BS2125" i="7"/>
  <c r="BR2125" i="7"/>
  <c r="BU2125" i="7" s="1"/>
  <c r="BR944" i="7"/>
  <c r="BU944" i="7" s="1"/>
  <c r="BS944" i="7"/>
  <c r="BR2135" i="7"/>
  <c r="BU2135" i="7" s="1"/>
  <c r="BS2135" i="7"/>
  <c r="BS3" i="7"/>
  <c r="BR3" i="7"/>
  <c r="BT1925" i="7"/>
  <c r="BT12" i="8"/>
  <c r="BR1694" i="7"/>
  <c r="BU1694" i="7" s="1"/>
  <c r="BS1694" i="7"/>
  <c r="BR1092" i="7"/>
  <c r="BU1092" i="7" s="1"/>
  <c r="BS1092" i="7"/>
  <c r="BS790" i="7"/>
  <c r="BR790" i="7"/>
  <c r="BU790" i="7" s="1"/>
  <c r="BR278" i="7"/>
  <c r="BU278" i="7" s="1"/>
  <c r="BS278" i="7"/>
  <c r="BS422" i="7"/>
  <c r="BR422" i="7"/>
  <c r="BU422" i="7" s="1"/>
  <c r="BR1928" i="7"/>
  <c r="BU1928" i="7" s="1"/>
  <c r="BS1928" i="7"/>
  <c r="BS874" i="7"/>
  <c r="BR874" i="7"/>
  <c r="BU874" i="7" s="1"/>
  <c r="BS2117" i="7"/>
  <c r="BR2117" i="7"/>
  <c r="BU2117" i="7" s="1"/>
  <c r="BS2134" i="7"/>
  <c r="BR2134" i="7"/>
  <c r="BU2134" i="7" s="1"/>
  <c r="BR1839" i="7"/>
  <c r="BU1839" i="7" s="1"/>
  <c r="BS1839" i="7"/>
  <c r="BR767" i="7"/>
  <c r="BU767" i="7" s="1"/>
  <c r="BS767" i="7"/>
  <c r="BR1337" i="7"/>
  <c r="BU1337" i="7" s="1"/>
  <c r="BS1337" i="7"/>
  <c r="BS884" i="7"/>
  <c r="BR884" i="7"/>
  <c r="BU884" i="7" s="1"/>
  <c r="BR1798" i="7"/>
  <c r="BU1798" i="7" s="1"/>
  <c r="BS1798" i="7"/>
  <c r="BS745" i="7"/>
  <c r="BR745" i="7"/>
  <c r="BU745" i="7" s="1"/>
  <c r="BS2254" i="7"/>
  <c r="BR2254" i="7"/>
  <c r="BU2254" i="7" s="1"/>
  <c r="BR484" i="7"/>
  <c r="BU484" i="7" s="1"/>
  <c r="BS484" i="7"/>
  <c r="BR2221" i="7"/>
  <c r="BU2221" i="7" s="1"/>
  <c r="BS2221" i="7"/>
  <c r="BS232" i="7"/>
  <c r="BR232" i="7"/>
  <c r="BU232" i="7" s="1"/>
  <c r="BR2013" i="7"/>
  <c r="BU2013" i="7" s="1"/>
  <c r="BS2013" i="7"/>
  <c r="BS2087" i="7"/>
  <c r="BR2087" i="7"/>
  <c r="BU2087" i="7" s="1"/>
  <c r="BR520" i="7"/>
  <c r="BU520" i="7" s="1"/>
  <c r="BS520" i="7"/>
  <c r="BR2050" i="7"/>
  <c r="BU2050" i="7" s="1"/>
  <c r="BS2050" i="7"/>
  <c r="BR395" i="7"/>
  <c r="BU395" i="7" s="1"/>
  <c r="BS395" i="7"/>
  <c r="BS1953" i="7"/>
  <c r="BR1953" i="7"/>
  <c r="BU1953" i="7" s="1"/>
  <c r="BR187" i="7"/>
  <c r="BU187" i="7" s="1"/>
  <c r="BS187" i="7"/>
  <c r="BP155" i="7"/>
  <c r="BP90" i="8"/>
  <c r="BR1037" i="7"/>
  <c r="BU1037" i="7" s="1"/>
  <c r="BS1037" i="7"/>
  <c r="BR1982" i="7"/>
  <c r="BU1982" i="7" s="1"/>
  <c r="BS1982" i="7"/>
  <c r="BS652" i="7"/>
  <c r="BR652" i="7"/>
  <c r="BU652" i="7" s="1"/>
  <c r="BR1368" i="7"/>
  <c r="BU1368" i="7" s="1"/>
  <c r="BS1368" i="7"/>
  <c r="BR79" i="7"/>
  <c r="BU79" i="7" s="1"/>
  <c r="BS79" i="7"/>
  <c r="BT216" i="7"/>
  <c r="BT95" i="8"/>
  <c r="BS2083" i="7"/>
  <c r="BR2083" i="7"/>
  <c r="BU2083" i="7" s="1"/>
  <c r="BT63" i="7"/>
  <c r="BT100" i="8"/>
  <c r="BS891" i="7"/>
  <c r="BR891" i="7"/>
  <c r="BU891" i="7" s="1"/>
  <c r="BS405" i="7"/>
  <c r="BR405" i="7"/>
  <c r="BU405" i="7" s="1"/>
  <c r="BT92" i="7"/>
  <c r="BT21" i="8"/>
  <c r="BS1972" i="7"/>
  <c r="BR1972" i="7"/>
  <c r="BU1972" i="7" s="1"/>
  <c r="BP64" i="7"/>
  <c r="BR871" i="7"/>
  <c r="BU871" i="7" s="1"/>
  <c r="BS871" i="7"/>
  <c r="BS2045" i="7"/>
  <c r="BR2045" i="7"/>
  <c r="BU2045" i="7" s="1"/>
  <c r="BS1114" i="7"/>
  <c r="BR1114" i="7"/>
  <c r="BU1114" i="7" s="1"/>
  <c r="BS149" i="7"/>
  <c r="BR149" i="7"/>
  <c r="BU149" i="7" s="1"/>
  <c r="BR386" i="7"/>
  <c r="BU386" i="7" s="1"/>
  <c r="BS386" i="7"/>
  <c r="BP173" i="7"/>
  <c r="BR721" i="7"/>
  <c r="BU721" i="7" s="1"/>
  <c r="BS721" i="7"/>
  <c r="BR2232" i="7"/>
  <c r="BU2232" i="7" s="1"/>
  <c r="BS2232" i="7"/>
  <c r="BR544" i="7"/>
  <c r="BU544" i="7" s="1"/>
  <c r="BS544" i="7"/>
  <c r="BT218" i="7"/>
  <c r="BT91" i="8"/>
  <c r="BR1730" i="7"/>
  <c r="BU1730" i="7" s="1"/>
  <c r="BS1730" i="7"/>
  <c r="BS136" i="7"/>
  <c r="BR136" i="7"/>
  <c r="BU136" i="7" s="1"/>
  <c r="BS1695" i="7"/>
  <c r="BR1695" i="7"/>
  <c r="BU1695" i="7" s="1"/>
  <c r="BS142" i="7"/>
  <c r="BR142" i="7"/>
  <c r="BU142" i="7" s="1"/>
  <c r="BR1997" i="7"/>
  <c r="BU1997" i="7" s="1"/>
  <c r="BS1997" i="7"/>
  <c r="BS1705" i="7"/>
  <c r="BR1705" i="7"/>
  <c r="BU1705" i="7" s="1"/>
  <c r="BS1218" i="7"/>
  <c r="BR1218" i="7"/>
  <c r="BU1218" i="7" s="1"/>
  <c r="BS596" i="7"/>
  <c r="BR596" i="7"/>
  <c r="BU596" i="7" s="1"/>
  <c r="BS472" i="7"/>
  <c r="BR472" i="7"/>
  <c r="BU472" i="7" s="1"/>
  <c r="BR2054" i="7"/>
  <c r="BU2054" i="7" s="1"/>
  <c r="BS2054" i="7"/>
  <c r="BT72" i="8"/>
  <c r="BT33" i="7"/>
  <c r="BS463" i="7"/>
  <c r="BR463" i="7"/>
  <c r="BU463" i="7" s="1"/>
  <c r="BS637" i="7"/>
  <c r="BR637" i="7"/>
  <c r="BU637" i="7" s="1"/>
  <c r="BS1638" i="7"/>
  <c r="BR1638" i="7"/>
  <c r="BU1638" i="7" s="1"/>
  <c r="BS1023" i="7"/>
  <c r="BR1023" i="7"/>
  <c r="BU1023" i="7" s="1"/>
  <c r="BT162" i="7"/>
  <c r="BT41" i="8"/>
  <c r="BS512" i="7"/>
  <c r="BR512" i="7"/>
  <c r="BU512" i="7" s="1"/>
  <c r="BS734" i="7"/>
  <c r="BR734" i="7"/>
  <c r="BU734" i="7" s="1"/>
  <c r="BR1108" i="7"/>
  <c r="BU1108" i="7" s="1"/>
  <c r="BS1108" i="7"/>
  <c r="BS1562" i="7"/>
  <c r="BR1562" i="7"/>
  <c r="BU1562" i="7" s="1"/>
  <c r="BS776" i="7"/>
  <c r="BR776" i="7"/>
  <c r="BU776" i="7" s="1"/>
  <c r="BS1545" i="7"/>
  <c r="BR1545" i="7"/>
  <c r="BU1545" i="7" s="1"/>
  <c r="BR1365" i="7"/>
  <c r="BU1365" i="7" s="1"/>
  <c r="BS1365" i="7"/>
  <c r="BS1727" i="7"/>
  <c r="BR1727" i="7"/>
  <c r="BU1727" i="7" s="1"/>
  <c r="BS1772" i="7"/>
  <c r="BR1772" i="7"/>
  <c r="BU1772" i="7" s="1"/>
  <c r="BT2123" i="7"/>
  <c r="BT11" i="8"/>
  <c r="BS1541" i="7"/>
  <c r="BR1541" i="7"/>
  <c r="BU1541" i="7" s="1"/>
  <c r="BR246" i="7"/>
  <c r="BU246" i="7" s="1"/>
  <c r="BS246" i="7"/>
  <c r="BR697" i="7"/>
  <c r="BU697" i="7" s="1"/>
  <c r="BS697" i="7"/>
  <c r="BR2189" i="7"/>
  <c r="BU2189" i="7" s="1"/>
  <c r="BS2189" i="7"/>
  <c r="BR909" i="7"/>
  <c r="BU909" i="7" s="1"/>
  <c r="BS909" i="7"/>
  <c r="BS2025" i="7"/>
  <c r="BR2025" i="7"/>
  <c r="BU2025" i="7" s="1"/>
  <c r="BR194" i="7"/>
  <c r="BU194" i="7" s="1"/>
  <c r="BS194" i="7"/>
  <c r="BS2096" i="7"/>
  <c r="BR2096" i="7"/>
  <c r="BU2096" i="7" s="1"/>
  <c r="BS242" i="7"/>
  <c r="BR242" i="7"/>
  <c r="BU242" i="7" s="1"/>
  <c r="BS490" i="7"/>
  <c r="BR490" i="7"/>
  <c r="BU490" i="7" s="1"/>
  <c r="BT183" i="7"/>
  <c r="BT52" i="8"/>
  <c r="BS717" i="7"/>
  <c r="BR717" i="7"/>
  <c r="BU717" i="7" s="1"/>
  <c r="BS1160" i="7"/>
  <c r="BR1160" i="7"/>
  <c r="BU1160" i="7" s="1"/>
  <c r="BS1415" i="7"/>
  <c r="BR1415" i="7"/>
  <c r="BU1415" i="7" s="1"/>
  <c r="BS529" i="7"/>
  <c r="BR529" i="7"/>
  <c r="BU529" i="7" s="1"/>
  <c r="BR515" i="7"/>
  <c r="BU515" i="7" s="1"/>
  <c r="BS515" i="7"/>
  <c r="BP429" i="7"/>
  <c r="BR1508" i="7"/>
  <c r="BU1508" i="7" s="1"/>
  <c r="BS1508" i="7"/>
  <c r="BS426" i="7"/>
  <c r="BR426" i="7"/>
  <c r="BU426" i="7" s="1"/>
  <c r="BS1843" i="7"/>
  <c r="BR1843" i="7"/>
  <c r="BU1843" i="7" s="1"/>
  <c r="BR993" i="7"/>
  <c r="BU993" i="7" s="1"/>
  <c r="BS993" i="7"/>
  <c r="BS870" i="7"/>
  <c r="BR870" i="7"/>
  <c r="BU870" i="7" s="1"/>
  <c r="BR809" i="7"/>
  <c r="BU809" i="7" s="1"/>
  <c r="BS809" i="7"/>
  <c r="BR1434" i="7"/>
  <c r="BU1434" i="7" s="1"/>
  <c r="BS1434" i="7"/>
  <c r="BR1856" i="7"/>
  <c r="BU1856" i="7" s="1"/>
  <c r="BS1856" i="7"/>
  <c r="BR2099" i="7"/>
  <c r="BU2099" i="7" s="1"/>
  <c r="BS2099" i="7"/>
  <c r="BR1514" i="7"/>
  <c r="BU1514" i="7" s="1"/>
  <c r="BS1514" i="7"/>
  <c r="BR766" i="7"/>
  <c r="BU766" i="7" s="1"/>
  <c r="BS766" i="7"/>
  <c r="BS572" i="7"/>
  <c r="BR572" i="7"/>
  <c r="BU572" i="7" s="1"/>
  <c r="BP63" i="8"/>
  <c r="BR2152" i="7"/>
  <c r="BU2152" i="7" s="1"/>
  <c r="BS2152" i="7"/>
  <c r="BS640" i="7"/>
  <c r="BR640" i="7"/>
  <c r="BU640" i="7" s="1"/>
  <c r="BR995" i="7"/>
  <c r="BU995" i="7" s="1"/>
  <c r="BS995" i="7"/>
  <c r="BR952" i="7"/>
  <c r="BU952" i="7" s="1"/>
  <c r="BS952" i="7"/>
  <c r="BR118" i="7"/>
  <c r="BU118" i="7" s="1"/>
  <c r="BS118" i="7"/>
  <c r="BS1423" i="7"/>
  <c r="BR1423" i="7"/>
  <c r="BU1423" i="7" s="1"/>
  <c r="BR1681" i="7"/>
  <c r="BU1681" i="7" s="1"/>
  <c r="BS1681" i="7"/>
  <c r="BR779" i="7"/>
  <c r="BU779" i="7" s="1"/>
  <c r="BS779" i="7"/>
  <c r="BS730" i="7"/>
  <c r="BR730" i="7"/>
  <c r="BU730" i="7" s="1"/>
  <c r="BR1659" i="7"/>
  <c r="BU1659" i="7" s="1"/>
  <c r="BS1659" i="7"/>
  <c r="BT1867" i="7"/>
  <c r="BT14" i="8"/>
  <c r="BR1675" i="7"/>
  <c r="BU1675" i="7" s="1"/>
  <c r="BS1675" i="7"/>
  <c r="BR2149" i="7"/>
  <c r="BU2149" i="7" s="1"/>
  <c r="BS2149" i="7"/>
  <c r="BR784" i="7"/>
  <c r="BU784" i="7" s="1"/>
  <c r="BS784" i="7"/>
  <c r="BS1438" i="7"/>
  <c r="BR1438" i="7"/>
  <c r="BU1438" i="7" s="1"/>
  <c r="BR1198" i="7"/>
  <c r="BU1198" i="7" s="1"/>
  <c r="BS1198" i="7"/>
  <c r="BS947" i="7"/>
  <c r="BR947" i="7"/>
  <c r="BU947" i="7" s="1"/>
  <c r="BS724" i="7"/>
  <c r="BR724" i="7"/>
  <c r="BU724" i="7" s="1"/>
  <c r="BR1543" i="7"/>
  <c r="BU1543" i="7" s="1"/>
  <c r="BS1543" i="7"/>
  <c r="BS1817" i="7"/>
  <c r="BR1817" i="7"/>
  <c r="BU1817" i="7" s="1"/>
  <c r="BS2029" i="7"/>
  <c r="BR2029" i="7"/>
  <c r="BU2029" i="7" s="1"/>
  <c r="BR2184" i="7"/>
  <c r="BU2184" i="7" s="1"/>
  <c r="BS2184" i="7"/>
  <c r="BS435" i="7"/>
  <c r="BR435" i="7"/>
  <c r="BU435" i="7" s="1"/>
  <c r="BR2040" i="7"/>
  <c r="BU2040" i="7" s="1"/>
  <c r="BS2040" i="7"/>
  <c r="BR1093" i="7"/>
  <c r="BU1093" i="7" s="1"/>
  <c r="BS1093" i="7"/>
  <c r="BR1027" i="7"/>
  <c r="BU1027" i="7" s="1"/>
  <c r="BS1027" i="7"/>
  <c r="BS387" i="7"/>
  <c r="BR387" i="7"/>
  <c r="BU387" i="7" s="1"/>
  <c r="BS1304" i="7"/>
  <c r="BR1304" i="7"/>
  <c r="BU1304" i="7" s="1"/>
  <c r="BS203" i="7"/>
  <c r="BR203" i="7"/>
  <c r="BU203" i="7" s="1"/>
  <c r="BR830" i="7"/>
  <c r="BU830" i="7" s="1"/>
  <c r="BS830" i="7"/>
  <c r="BR894" i="7"/>
  <c r="BU894" i="7" s="1"/>
  <c r="BS894" i="7"/>
  <c r="BS1862" i="7"/>
  <c r="BR1862" i="7"/>
  <c r="BU1862" i="7" s="1"/>
  <c r="BS1162" i="7"/>
  <c r="BR1162" i="7"/>
  <c r="BU1162" i="7" s="1"/>
  <c r="BS554" i="7"/>
  <c r="BR554" i="7"/>
  <c r="BU554" i="7" s="1"/>
  <c r="BR1121" i="7"/>
  <c r="BU1121" i="7" s="1"/>
  <c r="BS1121" i="7"/>
  <c r="BS2191" i="7"/>
  <c r="BR2191" i="7"/>
  <c r="BU2191" i="7" s="1"/>
  <c r="BS1477" i="7"/>
  <c r="BR1477" i="7"/>
  <c r="BU1477" i="7" s="1"/>
  <c r="BR1481" i="7"/>
  <c r="BU1481" i="7" s="1"/>
  <c r="BS1481" i="7"/>
  <c r="BS1971" i="7"/>
  <c r="BR1971" i="7"/>
  <c r="BU1971" i="7" s="1"/>
  <c r="BR816" i="7"/>
  <c r="BU816" i="7" s="1"/>
  <c r="BS816" i="7"/>
  <c r="BR1330" i="7"/>
  <c r="BU1330" i="7" s="1"/>
  <c r="BS1330" i="7"/>
  <c r="BS2106" i="7"/>
  <c r="BR2106" i="7"/>
  <c r="BU2106" i="7" s="1"/>
  <c r="BR306" i="7"/>
  <c r="BU306" i="7" s="1"/>
  <c r="BS306" i="7"/>
  <c r="BS1963" i="7"/>
  <c r="BR1963" i="7"/>
  <c r="BU1963" i="7" s="1"/>
  <c r="BS2102" i="7"/>
  <c r="BR2102" i="7"/>
  <c r="BU2102" i="7" s="1"/>
  <c r="BR1150" i="7"/>
  <c r="BU1150" i="7" s="1"/>
  <c r="BS1150" i="7"/>
  <c r="BS2225" i="7"/>
  <c r="BR2225" i="7"/>
  <c r="BU2225" i="7" s="1"/>
  <c r="BS119" i="7"/>
  <c r="BR119" i="7"/>
  <c r="BU119" i="7" s="1"/>
  <c r="BR680" i="7"/>
  <c r="BU680" i="7" s="1"/>
  <c r="BS680" i="7"/>
  <c r="BS1081" i="7"/>
  <c r="BR1081" i="7"/>
  <c r="BU1081" i="7" s="1"/>
  <c r="BP418" i="7"/>
  <c r="BP58" i="8"/>
  <c r="BR243" i="7"/>
  <c r="BU243" i="7" s="1"/>
  <c r="BS243" i="7"/>
  <c r="BR1360" i="7"/>
  <c r="BU1360" i="7" s="1"/>
  <c r="BS1360" i="7"/>
  <c r="BS906" i="7"/>
  <c r="BR906" i="7"/>
  <c r="BU906" i="7" s="1"/>
  <c r="BS602" i="7"/>
  <c r="BR602" i="7"/>
  <c r="BU602" i="7" s="1"/>
  <c r="BR1269" i="7"/>
  <c r="BU1269" i="7" s="1"/>
  <c r="BS1269" i="7"/>
  <c r="BR1602" i="7"/>
  <c r="BU1602" i="7" s="1"/>
  <c r="BS1602" i="7"/>
  <c r="BR666" i="7"/>
  <c r="BU666" i="7" s="1"/>
  <c r="BS666" i="7"/>
  <c r="BS603" i="7"/>
  <c r="BR603" i="7"/>
  <c r="BU603" i="7" s="1"/>
  <c r="BT93" i="8"/>
  <c r="BT219" i="7"/>
  <c r="BR177" i="7"/>
  <c r="BT823" i="7"/>
  <c r="BT2" i="8"/>
  <c r="BR1025" i="7"/>
  <c r="BU1025" i="7" s="1"/>
  <c r="BS1025" i="7"/>
  <c r="BR255" i="7"/>
  <c r="BU255" i="7" s="1"/>
  <c r="BS255" i="7"/>
  <c r="BR813" i="7"/>
  <c r="BU813" i="7" s="1"/>
  <c r="BS813" i="7"/>
  <c r="BP4" i="8"/>
  <c r="BS206" i="7"/>
  <c r="BR206" i="7"/>
  <c r="BU206" i="7" s="1"/>
  <c r="BS769" i="7"/>
  <c r="BR769" i="7"/>
  <c r="BU769" i="7" s="1"/>
  <c r="BR1834" i="7"/>
  <c r="BU1834" i="7" s="1"/>
  <c r="BS1834" i="7"/>
  <c r="BS97" i="8"/>
  <c r="BR97" i="8"/>
  <c r="BR2229" i="7"/>
  <c r="BU2229" i="7" s="1"/>
  <c r="BS2229" i="7"/>
  <c r="BS2057" i="7"/>
  <c r="BR2057" i="7"/>
  <c r="BU2057" i="7" s="1"/>
  <c r="BS1343" i="7"/>
  <c r="BR1343" i="7"/>
  <c r="BU1343" i="7" s="1"/>
  <c r="BR536" i="7"/>
  <c r="BU536" i="7" s="1"/>
  <c r="BS536" i="7"/>
  <c r="BS808" i="7"/>
  <c r="BR808" i="7"/>
  <c r="BU808" i="7" s="1"/>
  <c r="BS1208" i="7"/>
  <c r="BR1208" i="7"/>
  <c r="BU1208" i="7" s="1"/>
  <c r="BS1271" i="7"/>
  <c r="BR1271" i="7"/>
  <c r="BU1271" i="7" s="1"/>
  <c r="BT184" i="7"/>
  <c r="BT54" i="8"/>
  <c r="BS1996" i="7"/>
  <c r="BR1996" i="7"/>
  <c r="BU1996" i="7" s="1"/>
  <c r="BR1552" i="7"/>
  <c r="BU1552" i="7" s="1"/>
  <c r="BS1552" i="7"/>
  <c r="BR850" i="7"/>
  <c r="BU850" i="7" s="1"/>
  <c r="BS850" i="7"/>
  <c r="BR1758" i="7"/>
  <c r="BU1758" i="7" s="1"/>
  <c r="BS1758" i="7"/>
  <c r="BR546" i="7"/>
  <c r="BU546" i="7" s="1"/>
  <c r="BS546" i="7"/>
  <c r="BR1413" i="7"/>
  <c r="BU1413" i="7" s="1"/>
  <c r="BS1413" i="7"/>
  <c r="BP424" i="7"/>
  <c r="BR1073" i="7"/>
  <c r="BU1073" i="7" s="1"/>
  <c r="BS1073" i="7"/>
  <c r="BR1299" i="7"/>
  <c r="BU1299" i="7" s="1"/>
  <c r="BS1299" i="7"/>
  <c r="BS2143" i="7"/>
  <c r="BR2143" i="7"/>
  <c r="BU2143" i="7" s="1"/>
  <c r="BR304" i="7"/>
  <c r="BU304" i="7" s="1"/>
  <c r="BS304" i="7"/>
  <c r="BR882" i="7"/>
  <c r="BU882" i="7" s="1"/>
  <c r="BS882" i="7"/>
  <c r="BR1301" i="7"/>
  <c r="BU1301" i="7" s="1"/>
  <c r="BS1301" i="7"/>
  <c r="BR1305" i="7"/>
  <c r="BU1305" i="7" s="1"/>
  <c r="BS1305" i="7"/>
  <c r="BR1904" i="7"/>
  <c r="BU1904" i="7" s="1"/>
  <c r="BS1904" i="7"/>
  <c r="BR846" i="7"/>
  <c r="BU846" i="7" s="1"/>
  <c r="BS846" i="7"/>
  <c r="BS1934" i="7"/>
  <c r="BR1934" i="7"/>
  <c r="BU1934" i="7" s="1"/>
  <c r="BS581" i="7"/>
  <c r="BR581" i="7"/>
  <c r="BU581" i="7" s="1"/>
  <c r="BR2179" i="7"/>
  <c r="BU2179" i="7" s="1"/>
  <c r="BS2179" i="7"/>
  <c r="BS1718" i="7"/>
  <c r="BR1718" i="7"/>
  <c r="BU1718" i="7" s="1"/>
  <c r="BR1417" i="7"/>
  <c r="BU1417" i="7" s="1"/>
  <c r="BS1417" i="7"/>
  <c r="BR303" i="7"/>
  <c r="BU303" i="7" s="1"/>
  <c r="BS303" i="7"/>
  <c r="BS113" i="7"/>
  <c r="BR113" i="7"/>
  <c r="BU113" i="7" s="1"/>
  <c r="BR1179" i="7"/>
  <c r="BU1179" i="7" s="1"/>
  <c r="BS1179" i="7"/>
  <c r="BR1936" i="7"/>
  <c r="BU1936" i="7" s="1"/>
  <c r="BS1936" i="7"/>
  <c r="BR2206" i="7"/>
  <c r="BU2206" i="7" s="1"/>
  <c r="BS2206" i="7"/>
  <c r="BS521" i="7"/>
  <c r="BR521" i="7"/>
  <c r="BU521" i="7" s="1"/>
  <c r="BS838" i="7"/>
  <c r="BR838" i="7"/>
  <c r="BU838" i="7" s="1"/>
  <c r="BS929" i="7"/>
  <c r="BR929" i="7"/>
  <c r="BU929" i="7" s="1"/>
  <c r="BS1569" i="7"/>
  <c r="BR1569" i="7"/>
  <c r="BU1569" i="7" s="1"/>
  <c r="BS315" i="7"/>
  <c r="BR315" i="7"/>
  <c r="BU315" i="7" s="1"/>
  <c r="BS1923" i="7"/>
  <c r="BR1923" i="7"/>
  <c r="BU1923" i="7" s="1"/>
  <c r="BR7" i="7"/>
  <c r="BS7" i="7"/>
  <c r="BS1835" i="7"/>
  <c r="BR1835" i="7"/>
  <c r="BU1835" i="7" s="1"/>
  <c r="BS260" i="7"/>
  <c r="BR260" i="7"/>
  <c r="BU260" i="7" s="1"/>
  <c r="BS914" i="7"/>
  <c r="BR914" i="7"/>
  <c r="BU914" i="7" s="1"/>
  <c r="BR726" i="7"/>
  <c r="BU726" i="7" s="1"/>
  <c r="BS726" i="7"/>
  <c r="BR196" i="7"/>
  <c r="BU196" i="7" s="1"/>
  <c r="BS196" i="7"/>
  <c r="BS2209" i="7"/>
  <c r="BR2209" i="7"/>
  <c r="BU2209" i="7" s="1"/>
  <c r="BS562" i="7"/>
  <c r="BR562" i="7"/>
  <c r="BU562" i="7" s="1"/>
  <c r="BS1136" i="7"/>
  <c r="BR1136" i="7"/>
  <c r="BU1136" i="7" s="1"/>
  <c r="BP63" i="7"/>
  <c r="BS21" i="8"/>
  <c r="BR1642" i="7"/>
  <c r="BU1642" i="7" s="1"/>
  <c r="BS1642" i="7"/>
  <c r="BR1792" i="7"/>
  <c r="BU1792" i="7" s="1"/>
  <c r="BS1792" i="7"/>
  <c r="BR1378" i="7"/>
  <c r="BU1378" i="7" s="1"/>
  <c r="BS1378" i="7"/>
  <c r="BR1676" i="7"/>
  <c r="BU1676" i="7" s="1"/>
  <c r="BS1676" i="7"/>
  <c r="BR1480" i="7"/>
  <c r="BU1480" i="7" s="1"/>
  <c r="BS1480" i="7"/>
  <c r="BR2101" i="7"/>
  <c r="BU2101" i="7" s="1"/>
  <c r="BS2101" i="7"/>
  <c r="BS218" i="7"/>
  <c r="BS1747" i="7"/>
  <c r="BR1747" i="7"/>
  <c r="BU1747" i="7" s="1"/>
  <c r="BR2077" i="7"/>
  <c r="BU2077" i="7" s="1"/>
  <c r="BS2077" i="7"/>
  <c r="BS1186" i="7"/>
  <c r="BR1186" i="7"/>
  <c r="BU1186" i="7" s="1"/>
  <c r="BR843" i="7"/>
  <c r="BU843" i="7" s="1"/>
  <c r="BS843" i="7"/>
  <c r="BS2047" i="7"/>
  <c r="BR2047" i="7"/>
  <c r="BU2047" i="7" s="1"/>
  <c r="BR1915" i="7"/>
  <c r="BU1915" i="7" s="1"/>
  <c r="BS1915" i="7"/>
  <c r="BS899" i="7"/>
  <c r="BR899" i="7"/>
  <c r="BU899" i="7" s="1"/>
  <c r="BR1196" i="7"/>
  <c r="BU1196" i="7" s="1"/>
  <c r="BS1196" i="7"/>
  <c r="BR371" i="7"/>
  <c r="BU371" i="7" s="1"/>
  <c r="BS371" i="7"/>
  <c r="BR2038" i="7"/>
  <c r="BU2038" i="7" s="1"/>
  <c r="BS2038" i="7"/>
  <c r="BS1000" i="7"/>
  <c r="BR1000" i="7"/>
  <c r="BU1000" i="7" s="1"/>
  <c r="BS2144" i="7"/>
  <c r="BR2144" i="7"/>
  <c r="BU2144" i="7" s="1"/>
  <c r="BS2183" i="7"/>
  <c r="BR2183" i="7"/>
  <c r="BU2183" i="7" s="1"/>
  <c r="BR1632" i="7"/>
  <c r="BU1632" i="7" s="1"/>
  <c r="BS1632" i="7"/>
  <c r="BS793" i="7"/>
  <c r="BR793" i="7"/>
  <c r="BU793" i="7" s="1"/>
  <c r="BS757" i="7"/>
  <c r="BR757" i="7"/>
  <c r="BU757" i="7" s="1"/>
  <c r="BS1171" i="7"/>
  <c r="BR1171" i="7"/>
  <c r="BU1171" i="7" s="1"/>
  <c r="BR1660" i="7"/>
  <c r="BU1660" i="7" s="1"/>
  <c r="BS1660" i="7"/>
  <c r="BS225" i="7"/>
  <c r="BR225" i="7"/>
  <c r="BU225" i="7" s="1"/>
  <c r="BR127" i="7"/>
  <c r="BU127" i="7" s="1"/>
  <c r="BS127" i="7"/>
  <c r="BR1794" i="7"/>
  <c r="BU1794" i="7" s="1"/>
  <c r="BS1794" i="7"/>
  <c r="BS2007" i="7"/>
  <c r="BR2007" i="7"/>
  <c r="BU2007" i="7" s="1"/>
  <c r="BS634" i="7"/>
  <c r="BR634" i="7"/>
  <c r="BU634" i="7" s="1"/>
  <c r="BR1040" i="7"/>
  <c r="BU1040" i="7" s="1"/>
  <c r="BS1040" i="7"/>
  <c r="BR2058" i="7"/>
  <c r="BU2058" i="7" s="1"/>
  <c r="BS2058" i="7"/>
  <c r="BR957" i="7"/>
  <c r="BU957" i="7" s="1"/>
  <c r="BS957" i="7"/>
  <c r="BR955" i="7"/>
  <c r="BU955" i="7" s="1"/>
  <c r="BS955" i="7"/>
  <c r="BS2003" i="7"/>
  <c r="BR2003" i="7"/>
  <c r="BU2003" i="7" s="1"/>
  <c r="BP39" i="8"/>
  <c r="BS942" i="7"/>
  <c r="BR942" i="7"/>
  <c r="BU942" i="7" s="1"/>
  <c r="BR323" i="7"/>
  <c r="BU323" i="7" s="1"/>
  <c r="BS323" i="7"/>
  <c r="BS679" i="7"/>
  <c r="BR679" i="7"/>
  <c r="BU679" i="7" s="1"/>
  <c r="BR22" i="7"/>
  <c r="BU22" i="7" s="1"/>
  <c r="BS22" i="7"/>
  <c r="BS441" i="7"/>
  <c r="BR441" i="7"/>
  <c r="BU441" i="7" s="1"/>
  <c r="BS1377" i="7"/>
  <c r="BR1377" i="7"/>
  <c r="BU1377" i="7" s="1"/>
  <c r="BR2156" i="7"/>
  <c r="BU2156" i="7" s="1"/>
  <c r="BS2156" i="7"/>
  <c r="BR933" i="7"/>
  <c r="BU933" i="7" s="1"/>
  <c r="BS933" i="7"/>
  <c r="BS1007" i="7"/>
  <c r="BR1007" i="7"/>
  <c r="BU1007" i="7" s="1"/>
  <c r="BR1555" i="7"/>
  <c r="BU1555" i="7" s="1"/>
  <c r="BS1555" i="7"/>
  <c r="BR1805" i="7"/>
  <c r="BU1805" i="7" s="1"/>
  <c r="BS1805" i="7"/>
  <c r="BR1984" i="7"/>
  <c r="BU1984" i="7" s="1"/>
  <c r="BS1984" i="7"/>
  <c r="BR973" i="7"/>
  <c r="BU973" i="7" s="1"/>
  <c r="BS973" i="7"/>
  <c r="BR622" i="7"/>
  <c r="BU622" i="7" s="1"/>
  <c r="BS622" i="7"/>
  <c r="BR2042" i="7"/>
  <c r="BU2042" i="7" s="1"/>
  <c r="BS2042" i="7"/>
  <c r="BR1059" i="7"/>
  <c r="BU1059" i="7" s="1"/>
  <c r="BS1059" i="7"/>
  <c r="BP2123" i="7"/>
  <c r="BR1709" i="7"/>
  <c r="BU1709" i="7" s="1"/>
  <c r="BS1709" i="7"/>
  <c r="BS393" i="7"/>
  <c r="BR393" i="7"/>
  <c r="BU393" i="7" s="1"/>
  <c r="BS2247" i="7"/>
  <c r="BR2247" i="7"/>
  <c r="BU2247" i="7" s="1"/>
  <c r="BS2163" i="7"/>
  <c r="BR2163" i="7"/>
  <c r="BU2163" i="7" s="1"/>
  <c r="BR988" i="7"/>
  <c r="BU988" i="7" s="1"/>
  <c r="BS988" i="7"/>
  <c r="BS2126" i="7"/>
  <c r="BR2126" i="7"/>
  <c r="BU2126" i="7" s="1"/>
  <c r="BS2198" i="7"/>
  <c r="BR2198" i="7"/>
  <c r="BU2198" i="7" s="1"/>
  <c r="BS148" i="7"/>
  <c r="BR148" i="7"/>
  <c r="BU148" i="7" s="1"/>
  <c r="BS1418" i="7"/>
  <c r="BR1418" i="7"/>
  <c r="BU1418" i="7" s="1"/>
  <c r="BS1078" i="7"/>
  <c r="BR1078" i="7"/>
  <c r="BU1078" i="7" s="1"/>
  <c r="BR183" i="7"/>
  <c r="BS183" i="7"/>
  <c r="BS1554" i="7"/>
  <c r="BR1554" i="7"/>
  <c r="BU1554" i="7" s="1"/>
  <c r="BS347" i="7"/>
  <c r="BR347" i="7"/>
  <c r="BU347" i="7" s="1"/>
  <c r="BR1742" i="7"/>
  <c r="BU1742" i="7" s="1"/>
  <c r="BS1742" i="7"/>
  <c r="BS1800" i="7"/>
  <c r="BR1800" i="7"/>
  <c r="BU1800" i="7" s="1"/>
  <c r="BS1066" i="7"/>
  <c r="BR1066" i="7"/>
  <c r="BU1066" i="7" s="1"/>
  <c r="BS1859" i="7"/>
  <c r="BR1859" i="7"/>
  <c r="BU1859" i="7" s="1"/>
  <c r="BR1865" i="7"/>
  <c r="BU1865" i="7" s="1"/>
  <c r="BS1865" i="7"/>
  <c r="BS685" i="7"/>
  <c r="BR685" i="7"/>
  <c r="BU685" i="7" s="1"/>
  <c r="BR1999" i="7"/>
  <c r="BU1999" i="7" s="1"/>
  <c r="BS1999" i="7"/>
  <c r="BS448" i="7"/>
  <c r="BR448" i="7"/>
  <c r="BU448" i="7" s="1"/>
  <c r="BR2176" i="7"/>
  <c r="BU2176" i="7" s="1"/>
  <c r="BS2176" i="7"/>
  <c r="BS826" i="7"/>
  <c r="BR826" i="7"/>
  <c r="BU826" i="7" s="1"/>
  <c r="BR1611" i="7"/>
  <c r="BU1611" i="7" s="1"/>
  <c r="BS1611" i="7"/>
  <c r="BS1867" i="7"/>
  <c r="BS254" i="7"/>
  <c r="BR254" i="7"/>
  <c r="BU254" i="7" s="1"/>
  <c r="BS2112" i="7"/>
  <c r="BR2112" i="7"/>
  <c r="BU2112" i="7" s="1"/>
  <c r="BR806" i="7"/>
  <c r="BU806" i="7" s="1"/>
  <c r="BS806" i="7"/>
  <c r="BS1421" i="7"/>
  <c r="BR1421" i="7"/>
  <c r="BU1421" i="7" s="1"/>
  <c r="BR2110" i="7"/>
  <c r="BU2110" i="7" s="1"/>
  <c r="BS2110" i="7"/>
  <c r="BR847" i="7"/>
  <c r="BU847" i="7" s="1"/>
  <c r="BS847" i="7"/>
  <c r="BR530" i="7"/>
  <c r="BU530" i="7" s="1"/>
  <c r="BS530" i="7"/>
  <c r="BR1563" i="7"/>
  <c r="BU1563" i="7" s="1"/>
  <c r="BS1563" i="7"/>
  <c r="BR85" i="7"/>
  <c r="BU85" i="7" s="1"/>
  <c r="BS85" i="7"/>
  <c r="BS971" i="7"/>
  <c r="BR971" i="7"/>
  <c r="BU971" i="7" s="1"/>
  <c r="BS465" i="7"/>
  <c r="BR465" i="7"/>
  <c r="BU465" i="7" s="1"/>
  <c r="BS2069" i="7"/>
  <c r="BR2069" i="7"/>
  <c r="BU2069" i="7" s="1"/>
  <c r="BR1832" i="7"/>
  <c r="BU1832" i="7" s="1"/>
  <c r="BS1832" i="7"/>
  <c r="BR1353" i="7"/>
  <c r="BU1353" i="7" s="1"/>
  <c r="BS1353" i="7"/>
  <c r="BR878" i="7"/>
  <c r="BU878" i="7" s="1"/>
  <c r="BS878" i="7"/>
  <c r="BR673" i="7"/>
  <c r="BU673" i="7" s="1"/>
  <c r="BS673" i="7"/>
  <c r="BR636" i="7"/>
  <c r="BU636" i="7" s="1"/>
  <c r="BS636" i="7"/>
  <c r="BS580" i="7"/>
  <c r="BR580" i="7"/>
  <c r="BU580" i="7" s="1"/>
  <c r="BS199" i="7"/>
  <c r="BR199" i="7"/>
  <c r="BU199" i="7" s="1"/>
  <c r="BT381" i="7"/>
  <c r="BT3" i="8"/>
  <c r="BR1778" i="7"/>
  <c r="BU1778" i="7" s="1"/>
  <c r="BS1778" i="7"/>
  <c r="BS1165" i="7"/>
  <c r="BR1165" i="7"/>
  <c r="BU1165" i="7" s="1"/>
  <c r="BR2255" i="7"/>
  <c r="BU2255" i="7" s="1"/>
  <c r="BS2255" i="7"/>
  <c r="BR879" i="7"/>
  <c r="BU879" i="7" s="1"/>
  <c r="BS879" i="7"/>
  <c r="BR2171" i="7"/>
  <c r="BU2171" i="7" s="1"/>
  <c r="BS2171" i="7"/>
  <c r="BP15" i="8"/>
  <c r="BS1941" i="7"/>
  <c r="BR1941" i="7"/>
  <c r="BU1941" i="7" s="1"/>
  <c r="BS1699" i="7"/>
  <c r="BR1699" i="7"/>
  <c r="BU1699" i="7" s="1"/>
  <c r="BS2" i="7"/>
  <c r="BR2" i="7"/>
  <c r="BR1392" i="7"/>
  <c r="BU1392" i="7" s="1"/>
  <c r="BS1392" i="7"/>
  <c r="BR1615" i="7"/>
  <c r="BU1615" i="7" s="1"/>
  <c r="BS1615" i="7"/>
  <c r="BR1737" i="7"/>
  <c r="BU1737" i="7" s="1"/>
  <c r="BS1737" i="7"/>
  <c r="BT419" i="7"/>
  <c r="BT59" i="8"/>
  <c r="BR1827" i="7"/>
  <c r="BU1827" i="7" s="1"/>
  <c r="BS1827" i="7"/>
  <c r="BR81" i="7"/>
  <c r="BU81" i="7" s="1"/>
  <c r="BS81" i="7"/>
  <c r="BR954" i="7"/>
  <c r="BU954" i="7" s="1"/>
  <c r="BS954" i="7"/>
  <c r="BS1512" i="7"/>
  <c r="BR1512" i="7"/>
  <c r="BU1512" i="7" s="1"/>
  <c r="BR1931" i="7"/>
  <c r="BU1931" i="7" s="1"/>
  <c r="BS1931" i="7"/>
  <c r="BT384" i="7"/>
  <c r="BT4" i="8"/>
  <c r="BS1845" i="7"/>
  <c r="BR1845" i="7"/>
  <c r="BU1845" i="7" s="1"/>
  <c r="BR1113" i="7"/>
  <c r="BU1113" i="7" s="1"/>
  <c r="BS1113" i="7"/>
  <c r="BS2010" i="7"/>
  <c r="BR2010" i="7"/>
  <c r="BU2010" i="7" s="1"/>
  <c r="BR1684" i="7"/>
  <c r="BU1684" i="7" s="1"/>
  <c r="BS1684" i="7"/>
  <c r="BS1757" i="7"/>
  <c r="BR1757" i="7"/>
  <c r="BU1757" i="7" s="1"/>
  <c r="BP823" i="7"/>
  <c r="BR169" i="7"/>
  <c r="BU169" i="7" s="1"/>
  <c r="BS169" i="7"/>
  <c r="BR1223" i="7"/>
  <c r="BU1223" i="7" s="1"/>
  <c r="BS1223" i="7"/>
  <c r="BR312" i="7"/>
  <c r="BU312" i="7" s="1"/>
  <c r="BS312" i="7"/>
  <c r="BS122" i="7"/>
  <c r="BR122" i="7"/>
  <c r="BU122" i="7" s="1"/>
  <c r="BR695" i="7"/>
  <c r="BU695" i="7" s="1"/>
  <c r="BS695" i="7"/>
  <c r="BR1728" i="7"/>
  <c r="BU1728" i="7" s="1"/>
  <c r="BS1728" i="7"/>
  <c r="BS1535" i="7"/>
  <c r="BR1535" i="7"/>
  <c r="BU1535" i="7" s="1"/>
  <c r="BR1307" i="7"/>
  <c r="BU1307" i="7" s="1"/>
  <c r="BS1307" i="7"/>
  <c r="BS2250" i="7"/>
  <c r="BR2250" i="7"/>
  <c r="BU2250" i="7" s="1"/>
  <c r="BS227" i="7"/>
  <c r="BR227" i="7"/>
  <c r="BU227" i="7" s="1"/>
  <c r="BT104" i="8"/>
  <c r="BT123" i="7"/>
  <c r="BR832" i="7"/>
  <c r="BU832" i="7" s="1"/>
  <c r="BS832" i="7"/>
  <c r="BR87" i="8"/>
  <c r="BR1101" i="7"/>
  <c r="BU1101" i="7" s="1"/>
  <c r="BS2090" i="7"/>
  <c r="BR2090" i="7"/>
  <c r="BU2090" i="7" s="1"/>
  <c r="BR956" i="7"/>
  <c r="BU956" i="7" s="1"/>
  <c r="BS956" i="7"/>
  <c r="BR1991" i="7"/>
  <c r="BU1991" i="7" s="1"/>
  <c r="BS1991" i="7"/>
  <c r="BT174" i="7"/>
  <c r="BT29" i="8"/>
  <c r="BT185" i="7"/>
  <c r="BT55" i="8"/>
  <c r="BR1559" i="7"/>
  <c r="BU1559" i="7" s="1"/>
  <c r="BS1559" i="7"/>
  <c r="BR1237" i="7"/>
  <c r="BU1237" i="7" s="1"/>
  <c r="BS1237" i="7"/>
  <c r="BR1874" i="7"/>
  <c r="BU1874" i="7" s="1"/>
  <c r="BS1874" i="7"/>
  <c r="BR1598" i="7"/>
  <c r="BU1598" i="7" s="1"/>
  <c r="BS1598" i="7"/>
  <c r="BS1024" i="7"/>
  <c r="BR1024" i="7"/>
  <c r="BU1024" i="7" s="1"/>
  <c r="BS543" i="7"/>
  <c r="BR543" i="7"/>
  <c r="BU543" i="7" s="1"/>
  <c r="BS1505" i="7"/>
  <c r="BR1505" i="7"/>
  <c r="BU1505" i="7" s="1"/>
  <c r="BP427" i="7"/>
  <c r="BR754" i="7"/>
  <c r="BU754" i="7" s="1"/>
  <c r="BS754" i="7"/>
  <c r="BT424" i="7"/>
  <c r="BT61" i="8"/>
  <c r="BS1979" i="7"/>
  <c r="BR1979" i="7"/>
  <c r="BU1979" i="7" s="1"/>
  <c r="BR1313" i="7"/>
  <c r="BU1313" i="7" s="1"/>
  <c r="BS1313" i="7"/>
  <c r="BS1591" i="7"/>
  <c r="BR1591" i="7"/>
  <c r="BU1591" i="7" s="1"/>
  <c r="BS511" i="7"/>
  <c r="BR511" i="7"/>
  <c r="BU511" i="7" s="1"/>
  <c r="BS538" i="7"/>
  <c r="BR538" i="7"/>
  <c r="BU538" i="7" s="1"/>
  <c r="BP81" i="8"/>
  <c r="BT385" i="7"/>
  <c r="BT5" i="8"/>
  <c r="BS128" i="7"/>
  <c r="BR128" i="7"/>
  <c r="BU128" i="7" s="1"/>
  <c r="BS1359" i="7"/>
  <c r="BR1359" i="7"/>
  <c r="BU1359" i="7" s="1"/>
  <c r="BR608" i="7"/>
  <c r="BU608" i="7" s="1"/>
  <c r="BS608" i="7"/>
  <c r="BR2062" i="7"/>
  <c r="BU2062" i="7" s="1"/>
  <c r="BS2062" i="7"/>
  <c r="BS377" i="7"/>
  <c r="BR377" i="7"/>
  <c r="BU377" i="7" s="1"/>
  <c r="BS1157" i="7"/>
  <c r="BR1157" i="7"/>
  <c r="BU1157" i="7" s="1"/>
  <c r="BR1168" i="7"/>
  <c r="BU1168" i="7" s="1"/>
  <c r="BS1168" i="7"/>
  <c r="BR1495" i="7"/>
  <c r="BU1495" i="7" s="1"/>
  <c r="BS1495" i="7"/>
  <c r="BS1273" i="7"/>
  <c r="BR1273" i="7"/>
  <c r="BU1273" i="7" s="1"/>
  <c r="BS2011" i="7"/>
  <c r="BR2011" i="7"/>
  <c r="BU2011" i="7" s="1"/>
  <c r="BR1349" i="7"/>
  <c r="BU1349" i="7" s="1"/>
  <c r="BS1349" i="7"/>
  <c r="BR1031" i="7"/>
  <c r="BU1031" i="7" s="1"/>
  <c r="BS1031" i="7"/>
  <c r="BR1714" i="7"/>
  <c r="BU1714" i="7" s="1"/>
  <c r="BS1714" i="7"/>
  <c r="BR2196" i="7"/>
  <c r="BU2196" i="7" s="1"/>
  <c r="BS2196" i="7"/>
  <c r="BR600" i="7"/>
  <c r="BU600" i="7" s="1"/>
  <c r="BS600" i="7"/>
  <c r="BS1074" i="7"/>
  <c r="BR1074" i="7"/>
  <c r="BU1074" i="7" s="1"/>
  <c r="BR897" i="7"/>
  <c r="BU897" i="7" s="1"/>
  <c r="BS897" i="7"/>
  <c r="BS283" i="7"/>
  <c r="BR283" i="7"/>
  <c r="BU283" i="7" s="1"/>
  <c r="BR1118" i="7"/>
  <c r="BU1118" i="7" s="1"/>
  <c r="BS1118" i="7"/>
  <c r="BS370" i="7"/>
  <c r="BR370" i="7"/>
  <c r="BU370" i="7" s="1"/>
  <c r="BR1983" i="7"/>
  <c r="BU1983" i="7" s="1"/>
  <c r="BS1983" i="7"/>
  <c r="BR1155" i="7"/>
  <c r="BU1155" i="7" s="1"/>
  <c r="BS1155" i="7"/>
  <c r="BR497" i="7"/>
  <c r="BU497" i="7" s="1"/>
  <c r="BS497" i="7"/>
  <c r="BS502" i="7"/>
  <c r="BR502" i="7"/>
  <c r="BU502" i="7" s="1"/>
  <c r="BR1336" i="7"/>
  <c r="BU1336" i="7" s="1"/>
  <c r="BS1336" i="7"/>
  <c r="BR1057" i="7"/>
  <c r="BU1057" i="7" s="1"/>
  <c r="BS1057" i="7"/>
  <c r="BS48" i="7"/>
  <c r="BR48" i="7"/>
  <c r="BU48" i="7" s="1"/>
  <c r="BR86" i="7"/>
  <c r="BU86" i="7" s="1"/>
  <c r="BS86" i="7"/>
  <c r="BR937" i="7"/>
  <c r="BU937" i="7" s="1"/>
  <c r="BS937" i="7"/>
  <c r="BT172" i="7"/>
  <c r="BT30" i="8"/>
  <c r="BS83" i="7"/>
  <c r="BR83" i="7"/>
  <c r="BU83" i="7" s="1"/>
  <c r="BR95" i="7"/>
  <c r="BU95" i="7" s="1"/>
  <c r="BS95" i="7"/>
  <c r="BS1146" i="7"/>
  <c r="BR1146" i="7"/>
  <c r="BU1146" i="7" s="1"/>
  <c r="BR1318" i="7"/>
  <c r="BU1318" i="7" s="1"/>
  <c r="BS1318" i="7"/>
  <c r="BR164" i="7"/>
  <c r="BS164" i="7"/>
  <c r="BS38" i="8"/>
  <c r="BR1462" i="7"/>
  <c r="BU1462" i="7" s="1"/>
  <c r="BS1462" i="7"/>
  <c r="BR1390" i="7"/>
  <c r="BU1390" i="7" s="1"/>
  <c r="BS1390" i="7"/>
  <c r="BS1383" i="7"/>
  <c r="BR1383" i="7"/>
  <c r="BU1383" i="7" s="1"/>
  <c r="BS1685" i="7"/>
  <c r="BR1685" i="7"/>
  <c r="BU1685" i="7" s="1"/>
  <c r="BR1192" i="7"/>
  <c r="BU1192" i="7" s="1"/>
  <c r="BS1192" i="7"/>
  <c r="BS759" i="7"/>
  <c r="BR759" i="7"/>
  <c r="BU759" i="7" s="1"/>
  <c r="BR854" i="7"/>
  <c r="BU854" i="7" s="1"/>
  <c r="BS854" i="7"/>
  <c r="BS699" i="7"/>
  <c r="BR699" i="7"/>
  <c r="BU699" i="7" s="1"/>
  <c r="BR587" i="7"/>
  <c r="BU587" i="7" s="1"/>
  <c r="BS587" i="7"/>
  <c r="BR88" i="8"/>
  <c r="BR154" i="7"/>
  <c r="BS88" i="8"/>
  <c r="BS154" i="7"/>
  <c r="BR1527" i="7"/>
  <c r="BU1527" i="7" s="1"/>
  <c r="BS1527" i="7"/>
  <c r="BS291" i="7"/>
  <c r="BR291" i="7"/>
  <c r="BU291" i="7" s="1"/>
  <c r="BS357" i="7"/>
  <c r="BR357" i="7"/>
  <c r="BU357" i="7" s="1"/>
  <c r="BR2164" i="7"/>
  <c r="BU2164" i="7" s="1"/>
  <c r="BS2164" i="7"/>
  <c r="BR1978" i="7"/>
  <c r="BU1978" i="7" s="1"/>
  <c r="BS1978" i="7"/>
  <c r="BR350" i="7"/>
  <c r="BU350" i="7" s="1"/>
  <c r="BS350" i="7"/>
  <c r="BS1325" i="7"/>
  <c r="BR1325" i="7"/>
  <c r="BU1325" i="7" s="1"/>
  <c r="BS2079" i="7"/>
  <c r="BR2079" i="7"/>
  <c r="BU2079" i="7" s="1"/>
  <c r="BR1054" i="7"/>
  <c r="BU1054" i="7" s="1"/>
  <c r="BS1054" i="7"/>
  <c r="BR1124" i="7"/>
  <c r="BU1124" i="7" s="1"/>
  <c r="BS1124" i="7"/>
  <c r="BS443" i="7"/>
  <c r="BR443" i="7"/>
  <c r="BU443" i="7" s="1"/>
  <c r="BT152" i="7"/>
  <c r="BT27" i="8"/>
  <c r="BS2136" i="7"/>
  <c r="BR2136" i="7"/>
  <c r="BU2136" i="7" s="1"/>
  <c r="BR1468" i="7"/>
  <c r="BU1468" i="7" s="1"/>
  <c r="BS1468" i="7"/>
  <c r="BR1103" i="7"/>
  <c r="BU1103" i="7" s="1"/>
  <c r="BS1103" i="7"/>
  <c r="BS815" i="7"/>
  <c r="BR815" i="7"/>
  <c r="BU815" i="7" s="1"/>
  <c r="BR2005" i="7"/>
  <c r="BU2005" i="7" s="1"/>
  <c r="BS2005" i="7"/>
  <c r="BR1075" i="7"/>
  <c r="BU1075" i="7" s="1"/>
  <c r="BS1075" i="7"/>
  <c r="BR1740" i="7"/>
  <c r="BU1740" i="7" s="1"/>
  <c r="BS1740" i="7"/>
  <c r="BR1260" i="7"/>
  <c r="BU1260" i="7" s="1"/>
  <c r="BS1260" i="7"/>
  <c r="BS230" i="7"/>
  <c r="BR230" i="7"/>
  <c r="BU230" i="7" s="1"/>
  <c r="BS1940" i="7"/>
  <c r="BR1940" i="7"/>
  <c r="BU1940" i="7" s="1"/>
  <c r="BS782" i="7"/>
  <c r="BR782" i="7"/>
  <c r="BU782" i="7" s="1"/>
  <c r="BT167" i="7"/>
  <c r="BT23" i="8"/>
  <c r="BS1962" i="7"/>
  <c r="BR1962" i="7"/>
  <c r="BU1962" i="7" s="1"/>
  <c r="BS713" i="7"/>
  <c r="BR713" i="7"/>
  <c r="BU713" i="7" s="1"/>
  <c r="BS299" i="7"/>
  <c r="BR299" i="7"/>
  <c r="BU299" i="7" s="1"/>
  <c r="BR825" i="7"/>
  <c r="BU825" i="7" s="1"/>
  <c r="BS825" i="7"/>
  <c r="BP91" i="7"/>
  <c r="BS91" i="8" s="1"/>
  <c r="BR2063" i="7"/>
  <c r="BU2063" i="7" s="1"/>
  <c r="BS2063" i="7"/>
  <c r="BS1961" i="7"/>
  <c r="BR1961" i="7"/>
  <c r="BU1961" i="7" s="1"/>
  <c r="BR1665" i="7"/>
  <c r="BU1665" i="7" s="1"/>
  <c r="BS1665" i="7"/>
  <c r="BR1700" i="7"/>
  <c r="BU1700" i="7" s="1"/>
  <c r="BS1700" i="7"/>
  <c r="BR1732" i="7"/>
  <c r="BU1732" i="7" s="1"/>
  <c r="BS1732" i="7"/>
  <c r="BR1091" i="7"/>
  <c r="BU1091" i="7" s="1"/>
  <c r="BS1091" i="7"/>
  <c r="BS1551" i="7"/>
  <c r="BR1551" i="7"/>
  <c r="BU1551" i="7" s="1"/>
  <c r="BR49" i="7"/>
  <c r="BU49" i="7" s="1"/>
  <c r="BS49" i="7"/>
  <c r="BS2180" i="7"/>
  <c r="BR2180" i="7"/>
  <c r="BU2180" i="7" s="1"/>
  <c r="BR9" i="8"/>
  <c r="BR1932" i="7"/>
  <c r="BU1932" i="7" s="1"/>
  <c r="BS1932" i="7"/>
  <c r="BR1618" i="7"/>
  <c r="BU1618" i="7" s="1"/>
  <c r="BS1618" i="7"/>
  <c r="BP22" i="8"/>
  <c r="BR2000" i="7"/>
  <c r="BU2000" i="7" s="1"/>
  <c r="BS2000" i="7"/>
  <c r="BR889" i="7"/>
  <c r="BU889" i="7" s="1"/>
  <c r="BS889" i="7"/>
  <c r="BS1883" i="7"/>
  <c r="BR1883" i="7"/>
  <c r="BU1883" i="7" s="1"/>
  <c r="BS641" i="7"/>
  <c r="BR641" i="7"/>
  <c r="BU641" i="7" s="1"/>
  <c r="BS1870" i="7"/>
  <c r="BR1870" i="7"/>
  <c r="BU1870" i="7" s="1"/>
  <c r="BS1625" i="7"/>
  <c r="BR1625" i="7"/>
  <c r="BU1625" i="7" s="1"/>
  <c r="BR493" i="7"/>
  <c r="BU493" i="7" s="1"/>
  <c r="BS493" i="7"/>
  <c r="BR2269" i="7"/>
  <c r="BU2269" i="7" s="1"/>
  <c r="BS2269" i="7"/>
  <c r="BS2226" i="7"/>
  <c r="BR2226" i="7"/>
  <c r="BU2226" i="7" s="1"/>
  <c r="BS1943" i="7"/>
  <c r="BR1943" i="7"/>
  <c r="BU1943" i="7" s="1"/>
  <c r="BR930" i="7"/>
  <c r="BU930" i="7" s="1"/>
  <c r="BS930" i="7"/>
  <c r="BR1506" i="7"/>
  <c r="BU1506" i="7" s="1"/>
  <c r="BS1506" i="7"/>
  <c r="BR1229" i="7"/>
  <c r="BU1229" i="7" s="1"/>
  <c r="BS1229" i="7"/>
  <c r="BR1189" i="7"/>
  <c r="BU1189" i="7" s="1"/>
  <c r="BS1189" i="7"/>
  <c r="BR1034" i="7"/>
  <c r="BU1034" i="7" s="1"/>
  <c r="BS1034" i="7"/>
  <c r="BS1799" i="7"/>
  <c r="BR1799" i="7"/>
  <c r="BU1799" i="7" s="1"/>
  <c r="BR1252" i="7"/>
  <c r="BU1252" i="7" s="1"/>
  <c r="BS1252" i="7"/>
  <c r="BS1948" i="7"/>
  <c r="BR1948" i="7"/>
  <c r="BU1948" i="7" s="1"/>
  <c r="BS578" i="7"/>
  <c r="BR578" i="7"/>
  <c r="BU578" i="7" s="1"/>
  <c r="BR1439" i="7"/>
  <c r="BU1439" i="7" s="1"/>
  <c r="BS1439" i="7"/>
  <c r="BS1929" i="7"/>
  <c r="BR1929" i="7"/>
  <c r="BU1929" i="7" s="1"/>
  <c r="BS866" i="7"/>
  <c r="BR866" i="7"/>
  <c r="BU866" i="7" s="1"/>
  <c r="BR453" i="7"/>
  <c r="BU453" i="7" s="1"/>
  <c r="BS453" i="7"/>
  <c r="BS494" i="7"/>
  <c r="BR494" i="7"/>
  <c r="BU494" i="7" s="1"/>
  <c r="BR516" i="7"/>
  <c r="BU516" i="7" s="1"/>
  <c r="BS516" i="7"/>
  <c r="BS238" i="7"/>
  <c r="BR238" i="7"/>
  <c r="BU238" i="7" s="1"/>
  <c r="BS514" i="7"/>
  <c r="BR514" i="7"/>
  <c r="BU514" i="7" s="1"/>
  <c r="BS1811" i="7"/>
  <c r="BR1811" i="7"/>
  <c r="BU1811" i="7" s="1"/>
  <c r="BS1356" i="7"/>
  <c r="BR1356" i="7"/>
  <c r="BU1356" i="7" s="1"/>
  <c r="BS991" i="7"/>
  <c r="BR991" i="7"/>
  <c r="BU991" i="7" s="1"/>
  <c r="BS1183" i="7"/>
  <c r="BR1183" i="7"/>
  <c r="BU1183" i="7" s="1"/>
  <c r="BS1510" i="7"/>
  <c r="BR1510" i="7"/>
  <c r="BU1510" i="7" s="1"/>
  <c r="BS45" i="7"/>
  <c r="BR45" i="7"/>
  <c r="BU45" i="7" s="1"/>
  <c r="BS574" i="7"/>
  <c r="BR574" i="7"/>
  <c r="BU574" i="7" s="1"/>
  <c r="BS1400" i="7"/>
  <c r="BR1400" i="7"/>
  <c r="BU1400" i="7" s="1"/>
  <c r="BR440" i="7"/>
  <c r="BU440" i="7" s="1"/>
  <c r="BS440" i="7"/>
  <c r="BT56" i="8"/>
  <c r="BT176" i="7"/>
  <c r="BS950" i="7"/>
  <c r="BR950" i="7"/>
  <c r="BU950" i="7" s="1"/>
  <c r="BR1639" i="7"/>
  <c r="BU1639" i="7" s="1"/>
  <c r="BS1639" i="7"/>
  <c r="BS488" i="7"/>
  <c r="BR488" i="7"/>
  <c r="BU488" i="7" s="1"/>
  <c r="BS1969" i="7"/>
  <c r="BR1969" i="7"/>
  <c r="BU1969" i="7" s="1"/>
  <c r="BS718" i="7"/>
  <c r="BR718" i="7"/>
  <c r="BU718" i="7" s="1"/>
  <c r="BS483" i="7"/>
  <c r="BR483" i="7"/>
  <c r="BU483" i="7" s="1"/>
  <c r="BS1266" i="7"/>
  <c r="BR1266" i="7"/>
  <c r="BU1266" i="7" s="1"/>
  <c r="BR1844" i="7"/>
  <c r="BU1844" i="7" s="1"/>
  <c r="BS1844" i="7"/>
  <c r="BP381" i="7"/>
  <c r="BS346" i="7"/>
  <c r="BR346" i="7"/>
  <c r="BU346" i="7" s="1"/>
  <c r="BS877" i="7"/>
  <c r="BR877" i="7"/>
  <c r="BU877" i="7" s="1"/>
  <c r="BR1878" i="7"/>
  <c r="BU1878" i="7" s="1"/>
  <c r="BS1878" i="7"/>
  <c r="BS1306" i="7"/>
  <c r="BR1306" i="7"/>
  <c r="BU1306" i="7" s="1"/>
  <c r="BR2174" i="7"/>
  <c r="BU2174" i="7" s="1"/>
  <c r="BS2174" i="7"/>
  <c r="BR353" i="7"/>
  <c r="BU353" i="7" s="1"/>
  <c r="BS353" i="7"/>
  <c r="BS1600" i="7"/>
  <c r="BR1600" i="7"/>
  <c r="BU1600" i="7" s="1"/>
  <c r="BS1127" i="7"/>
  <c r="BR1127" i="7"/>
  <c r="BU1127" i="7" s="1"/>
  <c r="BS412" i="7"/>
  <c r="BR412" i="7"/>
  <c r="BU412" i="7" s="1"/>
  <c r="BR1100" i="7"/>
  <c r="BU1100" i="7" s="1"/>
  <c r="BS1100" i="7"/>
  <c r="BS1164" i="7"/>
  <c r="BR1164" i="7"/>
  <c r="BU1164" i="7" s="1"/>
  <c r="BT37" i="7"/>
  <c r="BT76" i="8"/>
  <c r="BS1207" i="7"/>
  <c r="BR1207" i="7"/>
  <c r="BU1207" i="7" s="1"/>
  <c r="BP419" i="7"/>
  <c r="BR705" i="7"/>
  <c r="BU705" i="7" s="1"/>
  <c r="BS705" i="7"/>
  <c r="BR434" i="7"/>
  <c r="BU434" i="7" s="1"/>
  <c r="BS434" i="7"/>
  <c r="BS1384" i="7"/>
  <c r="BR1384" i="7"/>
  <c r="BU1384" i="7" s="1"/>
  <c r="BS69" i="7"/>
  <c r="BR69" i="7"/>
  <c r="BU69" i="7" s="1"/>
  <c r="BS4" i="8"/>
  <c r="BR4" i="8"/>
  <c r="BR140" i="7"/>
  <c r="BU140" i="7" s="1"/>
  <c r="BS140" i="7"/>
  <c r="BS822" i="7"/>
  <c r="BR822" i="7"/>
  <c r="BU822" i="7" s="1"/>
  <c r="BR1279" i="7"/>
  <c r="BU1279" i="7" s="1"/>
  <c r="BS1279" i="7"/>
  <c r="BS1211" i="7"/>
  <c r="BR1211" i="7"/>
  <c r="BU1211" i="7" s="1"/>
  <c r="BR1361" i="7"/>
  <c r="BU1361" i="7" s="1"/>
  <c r="BS1361" i="7"/>
  <c r="BS1397" i="7"/>
  <c r="BR1397" i="7"/>
  <c r="BU1397" i="7" s="1"/>
  <c r="BS2021" i="7"/>
  <c r="BR2021" i="7"/>
  <c r="BU2021" i="7" s="1"/>
  <c r="BS2051" i="7"/>
  <c r="BR2051" i="7"/>
  <c r="BU2051" i="7" s="1"/>
  <c r="BS106" i="7"/>
  <c r="BR106" i="7"/>
  <c r="BU106" i="7" s="1"/>
  <c r="BS80" i="7"/>
  <c r="BR80" i="7"/>
  <c r="BU80" i="7" s="1"/>
  <c r="BR314" i="7"/>
  <c r="BU314" i="7" s="1"/>
  <c r="BS314" i="7"/>
  <c r="BT41" i="7"/>
  <c r="BT80" i="8"/>
  <c r="BS313" i="7"/>
  <c r="BR313" i="7"/>
  <c r="BU313" i="7" s="1"/>
  <c r="BS1090" i="7"/>
  <c r="BR1090" i="7"/>
  <c r="BU1090" i="7" s="1"/>
  <c r="BP7" i="8"/>
  <c r="BT47" i="8"/>
  <c r="BT108" i="7"/>
  <c r="BS1116" i="7"/>
  <c r="BR1116" i="7"/>
  <c r="BU1116" i="7" s="1"/>
  <c r="BS2089" i="7"/>
  <c r="BR2089" i="7"/>
  <c r="BU2089" i="7" s="1"/>
  <c r="BS20" i="7"/>
  <c r="BR20" i="7"/>
  <c r="BU20" i="7" s="1"/>
  <c r="BR987" i="7"/>
  <c r="BU987" i="7" s="1"/>
  <c r="BS987" i="7"/>
  <c r="BS1264" i="7"/>
  <c r="BR1264" i="7"/>
  <c r="BU1264" i="7" s="1"/>
  <c r="BS1167" i="7"/>
  <c r="BR1167" i="7"/>
  <c r="BU1167" i="7" s="1"/>
  <c r="BR1367" i="7"/>
  <c r="BU1367" i="7" s="1"/>
  <c r="BS1367" i="7"/>
  <c r="BT409" i="7"/>
  <c r="BT10" i="8"/>
  <c r="BR2080" i="7"/>
  <c r="BU2080" i="7" s="1"/>
  <c r="BS2080" i="7"/>
  <c r="BP174" i="7"/>
  <c r="BP185" i="7"/>
  <c r="BR774" i="7"/>
  <c r="BU774" i="7" s="1"/>
  <c r="BS774" i="7"/>
  <c r="BR2231" i="7"/>
  <c r="BU2231" i="7" s="1"/>
  <c r="BS2231" i="7"/>
  <c r="BR518" i="7"/>
  <c r="BU518" i="7" s="1"/>
  <c r="BS518" i="7"/>
  <c r="BT52" i="7"/>
  <c r="BT19" i="8"/>
  <c r="BR1544" i="7"/>
  <c r="BU1544" i="7" s="1"/>
  <c r="BS1544" i="7"/>
  <c r="BT427" i="7"/>
  <c r="BT60" i="8"/>
  <c r="BR1112" i="7"/>
  <c r="BU1112" i="7" s="1"/>
  <c r="BS1112" i="7"/>
  <c r="BR1647" i="7"/>
  <c r="BU1647" i="7" s="1"/>
  <c r="BS1647" i="7"/>
  <c r="BR1550" i="7"/>
  <c r="BU1550" i="7" s="1"/>
  <c r="BS1550" i="7"/>
  <c r="BS778" i="7"/>
  <c r="BR778" i="7"/>
  <c r="BU778" i="7" s="1"/>
  <c r="BS1813" i="7"/>
  <c r="BR1813" i="7"/>
  <c r="BU1813" i="7" s="1"/>
  <c r="BS2249" i="7"/>
  <c r="BR2249" i="7"/>
  <c r="BU2249" i="7" s="1"/>
  <c r="BT155" i="7"/>
  <c r="BT90" i="8"/>
  <c r="BR407" i="7"/>
  <c r="BU407" i="7" s="1"/>
  <c r="BS407" i="7"/>
  <c r="BS1326" i="7"/>
  <c r="BR1326" i="7"/>
  <c r="BU1326" i="7" s="1"/>
  <c r="BS5" i="8"/>
  <c r="BR385" i="7"/>
  <c r="BS385" i="7"/>
  <c r="BR5" i="8"/>
  <c r="BS1140" i="7"/>
  <c r="BR1140" i="7"/>
  <c r="BU1140" i="7" s="1"/>
  <c r="BR621" i="7"/>
  <c r="BU621" i="7" s="1"/>
  <c r="BS964" i="7"/>
  <c r="BR964" i="7"/>
  <c r="BU964" i="7" s="1"/>
  <c r="BS1679" i="7"/>
  <c r="BR1679" i="7"/>
  <c r="BU1679" i="7" s="1"/>
  <c r="BR1933" i="7"/>
  <c r="BU1933" i="7" s="1"/>
  <c r="BS1933" i="7"/>
  <c r="BR1303" i="7"/>
  <c r="BU1303" i="7" s="1"/>
  <c r="BS1303" i="7"/>
  <c r="BT408" i="7"/>
  <c r="BT9" i="8"/>
  <c r="BS1001" i="7"/>
  <c r="BR1001" i="7"/>
  <c r="BU1001" i="7" s="1"/>
  <c r="BR467" i="7"/>
  <c r="BU467" i="7" s="1"/>
  <c r="BS467" i="7"/>
  <c r="BT150" i="7"/>
  <c r="BT87" i="8"/>
  <c r="BS1478" i="7"/>
  <c r="BR1478" i="7"/>
  <c r="BU1478" i="7" s="1"/>
  <c r="BR2241" i="7"/>
  <c r="BU2241" i="7" s="1"/>
  <c r="BS2241" i="7"/>
  <c r="BR132" i="7"/>
  <c r="BU132" i="7" s="1"/>
  <c r="BS132" i="7"/>
  <c r="BS541" i="7"/>
  <c r="BR541" i="7"/>
  <c r="BU541" i="7" s="1"/>
  <c r="BP91" i="8"/>
  <c r="BS659" i="7"/>
  <c r="BR659" i="7"/>
  <c r="BU659" i="7" s="1"/>
  <c r="BS72" i="7"/>
  <c r="BR72" i="7"/>
  <c r="BU72" i="7" s="1"/>
  <c r="BS1385" i="7"/>
  <c r="BR1385" i="7"/>
  <c r="BU1385" i="7" s="1"/>
  <c r="BR1797" i="7"/>
  <c r="BU1797" i="7" s="1"/>
  <c r="BS1797" i="7"/>
  <c r="BR2266" i="7"/>
  <c r="BU2266" i="7" s="1"/>
  <c r="BS2266" i="7"/>
  <c r="BR1511" i="7"/>
  <c r="BU1511" i="7" s="1"/>
  <c r="BS1511" i="7"/>
  <c r="BR1132" i="7"/>
  <c r="BU1132" i="7" s="1"/>
  <c r="BS1132" i="7"/>
  <c r="BR438" i="7"/>
  <c r="BU438" i="7" s="1"/>
  <c r="BS438" i="7"/>
  <c r="BP172" i="7"/>
  <c r="BS1938" i="7"/>
  <c r="BR1938" i="7"/>
  <c r="BU1938" i="7" s="1"/>
  <c r="BR88" i="7"/>
  <c r="BU88" i="7" s="1"/>
  <c r="BS88" i="7"/>
  <c r="BR2119" i="7"/>
  <c r="BU2119" i="7" s="1"/>
  <c r="BS2119" i="7"/>
  <c r="BR1274" i="7"/>
  <c r="BU1274" i="7" s="1"/>
  <c r="BS1274" i="7"/>
  <c r="BR1352" i="7"/>
  <c r="BU1352" i="7" s="1"/>
  <c r="BS1352" i="7"/>
  <c r="BR1661" i="7"/>
  <c r="BU1661" i="7" s="1"/>
  <c r="BS1661" i="7"/>
  <c r="BR1131" i="7"/>
  <c r="BU1131" i="7" s="1"/>
  <c r="BS1131" i="7"/>
  <c r="BT154" i="7"/>
  <c r="BT88" i="8"/>
  <c r="BS1858" i="7"/>
  <c r="BR1858" i="7"/>
  <c r="BU1858" i="7" s="1"/>
  <c r="BR39" i="8"/>
  <c r="BS166" i="7"/>
  <c r="BS39" i="8"/>
  <c r="BR166" i="7"/>
  <c r="BS1475" i="7"/>
  <c r="BR1475" i="7"/>
  <c r="BU1475" i="7" s="1"/>
  <c r="BR1029" i="7"/>
  <c r="BU1029" i="7" s="1"/>
  <c r="BS1029" i="7"/>
  <c r="BR1594" i="7"/>
  <c r="BU1594" i="7" s="1"/>
  <c r="BS1594" i="7"/>
  <c r="BR2146" i="7"/>
  <c r="BU2146" i="7" s="1"/>
  <c r="BS2146" i="7"/>
  <c r="BR1534" i="7"/>
  <c r="BU1534" i="7" s="1"/>
  <c r="BS1534" i="7"/>
  <c r="BS1691" i="7"/>
  <c r="BR1691" i="7"/>
  <c r="BU1691" i="7" s="1"/>
  <c r="BR907" i="7"/>
  <c r="BU907" i="7" s="1"/>
  <c r="BS907" i="7"/>
  <c r="BS1966" i="7"/>
  <c r="BR1966" i="7"/>
  <c r="BU1966" i="7" s="1"/>
  <c r="BS926" i="7"/>
  <c r="BR926" i="7"/>
  <c r="BU926" i="7" s="1"/>
  <c r="BS2036" i="7"/>
  <c r="BR2036" i="7"/>
  <c r="BU2036" i="7" s="1"/>
  <c r="BR573" i="7"/>
  <c r="BU573" i="7" s="1"/>
  <c r="BS573" i="7"/>
  <c r="BS613" i="7"/>
  <c r="BR613" i="7"/>
  <c r="BU613" i="7" s="1"/>
  <c r="BR1455" i="7"/>
  <c r="BU1455" i="7" s="1"/>
  <c r="BS1455" i="7"/>
  <c r="BR908" i="7"/>
  <c r="BU908" i="7" s="1"/>
  <c r="BS908" i="7"/>
  <c r="BR117" i="7"/>
  <c r="BU117" i="7" s="1"/>
  <c r="BS117" i="7"/>
  <c r="BS2154" i="7"/>
  <c r="BR2154" i="7"/>
  <c r="BU2154" i="7" s="1"/>
  <c r="BP88" i="8"/>
  <c r="BR503" i="7"/>
  <c r="BU503" i="7" s="1"/>
  <c r="BS503" i="7"/>
  <c r="BP152" i="7"/>
  <c r="BR880" i="7"/>
  <c r="BU880" i="7" s="1"/>
  <c r="BS880" i="7"/>
  <c r="BR1765" i="7"/>
  <c r="BU1765" i="7" s="1"/>
  <c r="BS1765" i="7"/>
  <c r="BS1494" i="7"/>
  <c r="BR1494" i="7"/>
  <c r="BU1494" i="7" s="1"/>
  <c r="BR1629" i="7"/>
  <c r="BU1629" i="7" s="1"/>
  <c r="BS1629" i="7"/>
  <c r="BS263" i="7"/>
  <c r="BR263" i="7"/>
  <c r="BU263" i="7" s="1"/>
  <c r="BR489" i="7"/>
  <c r="BU489" i="7" s="1"/>
  <c r="BS489" i="7"/>
  <c r="BR292" i="7"/>
  <c r="BU292" i="7" s="1"/>
  <c r="BS292" i="7"/>
  <c r="BS1939" i="7"/>
  <c r="BR1939" i="7"/>
  <c r="BU1939" i="7" s="1"/>
  <c r="BS533" i="7"/>
  <c r="BR533" i="7"/>
  <c r="BU533" i="7" s="1"/>
  <c r="BR691" i="7"/>
  <c r="BU691" i="7" s="1"/>
  <c r="BS691" i="7"/>
  <c r="BS1604" i="7"/>
  <c r="BR1604" i="7"/>
  <c r="BU1604" i="7" s="1"/>
  <c r="BR351" i="7"/>
  <c r="BU351" i="7" s="1"/>
  <c r="BS351" i="7"/>
  <c r="BR1950" i="7"/>
  <c r="BU1950" i="7" s="1"/>
  <c r="BS1950" i="7"/>
  <c r="BR653" i="7"/>
  <c r="BU653" i="7" s="1"/>
  <c r="BS653" i="7"/>
  <c r="BP167" i="7"/>
  <c r="BR329" i="7"/>
  <c r="BU329" i="7" s="1"/>
  <c r="BS329" i="7"/>
  <c r="BR300" i="7"/>
  <c r="BU300" i="7" s="1"/>
  <c r="BS300" i="7"/>
  <c r="BR725" i="7"/>
  <c r="BU725" i="7" s="1"/>
  <c r="BS725" i="7"/>
  <c r="BS979" i="7"/>
  <c r="BR979" i="7"/>
  <c r="BU979" i="7" s="1"/>
  <c r="BT91" i="7"/>
  <c r="BT82" i="8"/>
  <c r="BR708" i="7"/>
  <c r="BU708" i="7" s="1"/>
  <c r="BS708" i="7"/>
  <c r="BR785" i="7"/>
  <c r="BU785" i="7" s="1"/>
  <c r="BS785" i="7"/>
  <c r="BS2261" i="7"/>
  <c r="BR2261" i="7"/>
  <c r="BU2261" i="7" s="1"/>
  <c r="BR770" i="7"/>
  <c r="BU770" i="7" s="1"/>
  <c r="BS770" i="7"/>
  <c r="BS664" i="7"/>
  <c r="BR664" i="7"/>
  <c r="BU664" i="7" s="1"/>
  <c r="BS2182" i="7"/>
  <c r="BR2182" i="7"/>
  <c r="BU2182" i="7" s="1"/>
  <c r="BS1998" i="7"/>
  <c r="BR1998" i="7"/>
  <c r="BU1998" i="7" s="1"/>
  <c r="BS1855" i="7"/>
  <c r="BR1855" i="7"/>
  <c r="BU1855" i="7" s="1"/>
  <c r="BR949" i="7"/>
  <c r="BU949" i="7" s="1"/>
  <c r="BS949" i="7"/>
  <c r="BR2167" i="7"/>
  <c r="BU2167" i="7" s="1"/>
  <c r="BS2167" i="7"/>
  <c r="BR1977" i="7"/>
  <c r="BU1977" i="7" s="1"/>
  <c r="BS1977" i="7"/>
  <c r="BR1954" i="7"/>
  <c r="BU1954" i="7" s="1"/>
  <c r="BS1954" i="7"/>
  <c r="BR1323" i="7"/>
  <c r="BU1323" i="7" s="1"/>
  <c r="BS1323" i="7"/>
  <c r="BS2012" i="7"/>
  <c r="BR2012" i="7"/>
  <c r="BU2012" i="7" s="1"/>
  <c r="BR1111" i="7"/>
  <c r="BU1111" i="7" s="1"/>
  <c r="BS1111" i="7"/>
  <c r="BS1981" i="7"/>
  <c r="BR1981" i="7"/>
  <c r="BU1981" i="7" s="1"/>
  <c r="BR1320" i="7"/>
  <c r="BU1320" i="7" s="1"/>
  <c r="BS1320" i="7"/>
  <c r="BS473" i="7"/>
  <c r="BR473" i="7"/>
  <c r="BU473" i="7" s="1"/>
  <c r="BR2244" i="7"/>
  <c r="BU2244" i="7" s="1"/>
  <c r="BS2244" i="7"/>
  <c r="BS2009" i="7"/>
  <c r="BR2009" i="7"/>
  <c r="BU2009" i="7" s="1"/>
  <c r="BR247" i="7"/>
  <c r="BU247" i="7" s="1"/>
  <c r="BS247" i="7"/>
  <c r="BS1678" i="7"/>
  <c r="BR1678" i="7"/>
  <c r="BU1678" i="7" s="1"/>
  <c r="BS1926" i="7"/>
  <c r="BR1926" i="7"/>
  <c r="BU1926" i="7" s="1"/>
  <c r="BS1232" i="7"/>
  <c r="BR1232" i="7"/>
  <c r="BU1232" i="7" s="1"/>
  <c r="BS1206" i="7"/>
  <c r="BR1206" i="7"/>
  <c r="BU1206" i="7" s="1"/>
  <c r="BR1408" i="7"/>
  <c r="BU1408" i="7" s="1"/>
  <c r="BS1408" i="7"/>
  <c r="BR650" i="7"/>
  <c r="BU650" i="7" s="1"/>
  <c r="BS650" i="7"/>
  <c r="BS360" i="7"/>
  <c r="BR360" i="7"/>
  <c r="BU360" i="7" s="1"/>
  <c r="BR1536" i="7"/>
  <c r="BU1536" i="7" s="1"/>
  <c r="BS1536" i="7"/>
  <c r="BS460" i="7"/>
  <c r="BR460" i="7"/>
  <c r="BU460" i="7" s="1"/>
  <c r="BR1726" i="7"/>
  <c r="BU1726" i="7" s="1"/>
  <c r="BS1726" i="7"/>
  <c r="BS76" i="7"/>
  <c r="BR76" i="7"/>
  <c r="BU76" i="7" s="1"/>
  <c r="BS1277" i="7"/>
  <c r="BR1277" i="7"/>
  <c r="BU1277" i="7" s="1"/>
  <c r="BR927" i="7"/>
  <c r="BU927" i="7" s="1"/>
  <c r="BS927" i="7"/>
  <c r="BR761" i="7"/>
  <c r="BU761" i="7" s="1"/>
  <c r="BS761" i="7"/>
  <c r="BS1857" i="7"/>
  <c r="BR1857" i="7"/>
  <c r="BU1857" i="7" s="1"/>
  <c r="BS1814" i="7"/>
  <c r="BR1814" i="7"/>
  <c r="BU1814" i="7" s="1"/>
  <c r="BR1706" i="7"/>
  <c r="BU1706" i="7" s="1"/>
  <c r="BS1706" i="7"/>
  <c r="BR257" i="7"/>
  <c r="BU257" i="7" s="1"/>
  <c r="BS257" i="7"/>
  <c r="BR867" i="7"/>
  <c r="BU867" i="7" s="1"/>
  <c r="BS867" i="7"/>
  <c r="BS1780" i="7"/>
  <c r="BR1780" i="7"/>
  <c r="BU1780" i="7" s="1"/>
  <c r="BR978" i="7"/>
  <c r="BU978" i="7" s="1"/>
  <c r="BS978" i="7"/>
  <c r="BR509" i="7"/>
  <c r="BU509" i="7" s="1"/>
  <c r="BS509" i="7"/>
  <c r="BR1460" i="7"/>
  <c r="BU1460" i="7" s="1"/>
  <c r="BS1460" i="7"/>
  <c r="BS1287" i="7"/>
  <c r="BR1287" i="7"/>
  <c r="BU1287" i="7" s="1"/>
  <c r="BS1891" i="7"/>
  <c r="BR1891" i="7"/>
  <c r="BU1891" i="7" s="1"/>
  <c r="BR2278" i="7"/>
  <c r="BU2278" i="7" s="1"/>
  <c r="BS2278" i="7"/>
  <c r="BS961" i="7"/>
  <c r="BR961" i="7"/>
  <c r="BU961" i="7" s="1"/>
  <c r="BS1908" i="7"/>
  <c r="BR1908" i="7"/>
  <c r="BU1908" i="7" s="1"/>
  <c r="BR1921" i="7"/>
  <c r="BU1921" i="7" s="1"/>
  <c r="BS1921" i="7"/>
  <c r="BS928" i="7"/>
  <c r="BR928" i="7"/>
  <c r="BU928" i="7" s="1"/>
  <c r="BR8" i="7"/>
  <c r="BU8" i="7" s="1"/>
  <c r="BS8" i="7"/>
  <c r="BR1882" i="7"/>
  <c r="BU1882" i="7" s="1"/>
  <c r="BS1882" i="7"/>
  <c r="BS1126" i="7"/>
  <c r="BR1126" i="7"/>
  <c r="BU1126" i="7" s="1"/>
  <c r="BS1739" i="7"/>
  <c r="BR1739" i="7"/>
  <c r="BU1739" i="7" s="1"/>
  <c r="BR940" i="7"/>
  <c r="BU940" i="7" s="1"/>
  <c r="BS940" i="7"/>
  <c r="BR1177" i="7"/>
  <c r="BU1177" i="7" s="1"/>
  <c r="BS1177" i="7"/>
  <c r="BP37" i="7"/>
  <c r="BR268" i="7"/>
  <c r="BU268" i="7" s="1"/>
  <c r="BS268" i="7"/>
  <c r="BS67" i="7"/>
  <c r="BR67" i="7"/>
  <c r="BU67" i="7" s="1"/>
  <c r="BR1540" i="7"/>
  <c r="BU1540" i="7" s="1"/>
  <c r="BS1540" i="7"/>
  <c r="BS565" i="7"/>
  <c r="BR565" i="7"/>
  <c r="BU565" i="7" s="1"/>
  <c r="BS1634" i="7"/>
  <c r="BR1634" i="7"/>
  <c r="BU1634" i="7" s="1"/>
  <c r="BR1879" i="7"/>
  <c r="BU1879" i="7" s="1"/>
  <c r="BS1879" i="7"/>
  <c r="BR522" i="7"/>
  <c r="BU522" i="7" s="1"/>
  <c r="BS522" i="7"/>
  <c r="BS872" i="7"/>
  <c r="BR872" i="7"/>
  <c r="BU872" i="7" s="1"/>
  <c r="BS1802" i="7"/>
  <c r="BR1802" i="7"/>
  <c r="BU1802" i="7" s="1"/>
  <c r="BR456" i="7"/>
  <c r="BU456" i="7" s="1"/>
  <c r="BS456" i="7"/>
  <c r="BR1860" i="7"/>
  <c r="BU1860" i="7" s="1"/>
  <c r="BS1860" i="7"/>
  <c r="BS355" i="7"/>
  <c r="BR355" i="7"/>
  <c r="BU355" i="7" s="1"/>
  <c r="BR17" i="7"/>
  <c r="BU17" i="7" s="1"/>
  <c r="BS17" i="7"/>
  <c r="BR970" i="7"/>
  <c r="BU970" i="7" s="1"/>
  <c r="BS970" i="7"/>
  <c r="BP41" i="7"/>
  <c r="BR59" i="7"/>
  <c r="BU59" i="7" s="1"/>
  <c r="BS59" i="7"/>
  <c r="BR1476" i="7"/>
  <c r="BU1476" i="7" s="1"/>
  <c r="BS1476" i="7"/>
  <c r="BR144" i="7"/>
  <c r="BU144" i="7" s="1"/>
  <c r="BS144" i="7"/>
  <c r="BR264" i="7"/>
  <c r="BU264" i="7" s="1"/>
  <c r="BS264" i="7"/>
  <c r="BR1556" i="7"/>
  <c r="BU1556" i="7" s="1"/>
  <c r="BS1556" i="7"/>
  <c r="BT180" i="7"/>
  <c r="BT43" i="8"/>
  <c r="BS1083" i="7"/>
  <c r="BR1083" i="7"/>
  <c r="BU1083" i="7" s="1"/>
  <c r="BS326" i="7"/>
  <c r="BR326" i="7"/>
  <c r="BU326" i="7" s="1"/>
  <c r="BR2227" i="7"/>
  <c r="BU2227" i="7" s="1"/>
  <c r="BS2227" i="7"/>
  <c r="BS208" i="7"/>
  <c r="BR208" i="7"/>
  <c r="BU208" i="7" s="1"/>
  <c r="BR197" i="7"/>
  <c r="BU197" i="7" s="1"/>
  <c r="BS197" i="7"/>
  <c r="BR1697" i="7"/>
  <c r="BU1697" i="7" s="1"/>
  <c r="BS1697" i="7"/>
  <c r="BR1917" i="7"/>
  <c r="BU1917" i="7" s="1"/>
  <c r="BS1917" i="7"/>
  <c r="BS508" i="7"/>
  <c r="BR508" i="7"/>
  <c r="BU508" i="7" s="1"/>
  <c r="BR2194" i="7"/>
  <c r="BU2194" i="7" s="1"/>
  <c r="BS2194" i="7"/>
  <c r="BP409" i="7"/>
  <c r="BS1516" i="7"/>
  <c r="BR1516" i="7"/>
  <c r="BU1516" i="7" s="1"/>
  <c r="BP102" i="8"/>
  <c r="BS805" i="7"/>
  <c r="BR805" i="7"/>
  <c r="BU805" i="7" s="1"/>
  <c r="BP52" i="7"/>
  <c r="BS52" i="8" s="1"/>
  <c r="BS763" i="7"/>
  <c r="BR763" i="7"/>
  <c r="BU763" i="7" s="1"/>
  <c r="BR658" i="7"/>
  <c r="BU658" i="7" s="1"/>
  <c r="BS658" i="7"/>
  <c r="BR1479" i="7"/>
  <c r="BU1479" i="7" s="1"/>
  <c r="BS1479" i="7"/>
  <c r="BR1581" i="7"/>
  <c r="BU1581" i="7" s="1"/>
  <c r="BS1581" i="7"/>
  <c r="BS2124" i="7"/>
  <c r="BR2124" i="7"/>
  <c r="BU2124" i="7" s="1"/>
  <c r="BS2280" i="7"/>
  <c r="BR2280" i="7"/>
  <c r="BU2280" i="7" s="1"/>
  <c r="BR1006" i="7"/>
  <c r="BU1006" i="7" s="1"/>
  <c r="BS1006" i="7"/>
  <c r="BS1518" i="7"/>
  <c r="BR1518" i="7"/>
  <c r="BU1518" i="7" s="1"/>
  <c r="BS439" i="7"/>
  <c r="BR439" i="7"/>
  <c r="BU439" i="7" s="1"/>
  <c r="BR853" i="7"/>
  <c r="BU853" i="7" s="1"/>
  <c r="BS853" i="7"/>
  <c r="BR1605" i="7"/>
  <c r="BU1605" i="7" s="1"/>
  <c r="BS1605" i="7"/>
  <c r="BR570" i="7"/>
  <c r="BU570" i="7" s="1"/>
  <c r="BS570" i="7"/>
  <c r="BS1593" i="7"/>
  <c r="BR1593" i="7"/>
  <c r="BU1593" i="7" s="1"/>
  <c r="BP21" i="8"/>
  <c r="BS1836" i="7"/>
  <c r="BR1836" i="7"/>
  <c r="BU1836" i="7" s="1"/>
  <c r="BS998" i="7"/>
  <c r="BR998" i="7"/>
  <c r="BU998" i="7" s="1"/>
  <c r="BR1201" i="7"/>
  <c r="BU1201" i="7" s="1"/>
  <c r="BS1201" i="7"/>
  <c r="BR676" i="7"/>
  <c r="BU676" i="7" s="1"/>
  <c r="BS676" i="7"/>
  <c r="BR523" i="7"/>
  <c r="BU523" i="7" s="1"/>
  <c r="BS523" i="7"/>
  <c r="BR1498" i="7"/>
  <c r="BU1498" i="7" s="1"/>
  <c r="BS1498" i="7"/>
  <c r="BS1673" i="7"/>
  <c r="BR1673" i="7"/>
  <c r="BU1673" i="7" s="1"/>
  <c r="BS1038" i="7"/>
  <c r="BR1038" i="7"/>
  <c r="BU1038" i="7" s="1"/>
  <c r="BR1138" i="7"/>
  <c r="BU1138" i="7" s="1"/>
  <c r="BS1138" i="7"/>
  <c r="BS1008" i="7"/>
  <c r="BR1008" i="7"/>
  <c r="BU1008" i="7" s="1"/>
  <c r="BR1296" i="7"/>
  <c r="BU1296" i="7" s="1"/>
  <c r="BS1296" i="7"/>
  <c r="BR1741" i="7"/>
  <c r="BU1741" i="7" s="1"/>
  <c r="BS1741" i="7"/>
  <c r="BS74" i="7"/>
  <c r="BR74" i="7"/>
  <c r="BU74" i="7" s="1"/>
  <c r="BR2150" i="7"/>
  <c r="BU2150" i="7" s="1"/>
  <c r="BS2150" i="7"/>
  <c r="BR1549" i="7"/>
  <c r="BU1549" i="7" s="1"/>
  <c r="BS1549" i="7"/>
  <c r="BS2022" i="7"/>
  <c r="BR2022" i="7"/>
  <c r="BU2022" i="7" s="1"/>
  <c r="BS1578" i="7"/>
  <c r="BR1578" i="7"/>
  <c r="BU1578" i="7" s="1"/>
  <c r="BR1215" i="7"/>
  <c r="BU1215" i="7" s="1"/>
  <c r="BS1215" i="7"/>
  <c r="BR1652" i="7"/>
  <c r="BU1652" i="7" s="1"/>
  <c r="BS1652" i="7"/>
  <c r="BR9" i="7"/>
  <c r="BU9" i="7" s="1"/>
  <c r="BS9" i="7"/>
  <c r="BR1240" i="7"/>
  <c r="BU1240" i="7" s="1"/>
  <c r="BS1240" i="7"/>
  <c r="BR2024" i="7"/>
  <c r="BU2024" i="7" s="1"/>
  <c r="BS2024" i="7"/>
  <c r="BR1889" i="7"/>
  <c r="BU1889" i="7" s="1"/>
  <c r="BS1889" i="7"/>
  <c r="BR1949" i="7"/>
  <c r="BU1949" i="7" s="1"/>
  <c r="BS1949" i="7"/>
  <c r="BS55" i="7"/>
  <c r="BR55" i="7"/>
  <c r="BU55" i="7" s="1"/>
  <c r="BR1441" i="7"/>
  <c r="BU1441" i="7" s="1"/>
  <c r="BS1441" i="7"/>
  <c r="BS662" i="7"/>
  <c r="BR662" i="7"/>
  <c r="BU662" i="7" s="1"/>
  <c r="BR2064" i="7"/>
  <c r="BU2064" i="7" s="1"/>
  <c r="BS2064" i="7"/>
  <c r="BR2274" i="7"/>
  <c r="BU2274" i="7" s="1"/>
  <c r="BS2274" i="7"/>
  <c r="BR1444" i="7"/>
  <c r="BU1444" i="7" s="1"/>
  <c r="BS1444" i="7"/>
  <c r="BS62" i="7"/>
  <c r="BR62" i="7"/>
  <c r="BU62" i="7" s="1"/>
  <c r="BR1854" i="7"/>
  <c r="BU1854" i="7" s="1"/>
  <c r="BS1854" i="7"/>
  <c r="BS965" i="7"/>
  <c r="BR965" i="7"/>
  <c r="BU965" i="7" s="1"/>
  <c r="BS1911" i="7"/>
  <c r="BR1911" i="7"/>
  <c r="BU1911" i="7" s="1"/>
  <c r="BR1242" i="7"/>
  <c r="BU1242" i="7" s="1"/>
  <c r="BS1242" i="7"/>
  <c r="BS1833" i="7"/>
  <c r="BR1833" i="7"/>
  <c r="BU1833" i="7" s="1"/>
  <c r="BS791" i="7"/>
  <c r="BR791" i="7"/>
  <c r="BU791" i="7" s="1"/>
  <c r="BT166" i="7"/>
  <c r="BT39" i="8"/>
  <c r="BR1275" i="7"/>
  <c r="BU1275" i="7" s="1"/>
  <c r="BS1275" i="7"/>
  <c r="BS1227" i="7"/>
  <c r="BR1227" i="7"/>
  <c r="BU1227" i="7" s="1"/>
  <c r="BS1333" i="7"/>
  <c r="BR1333" i="7"/>
  <c r="BU1333" i="7" s="1"/>
  <c r="BR391" i="7"/>
  <c r="BU391" i="7" s="1"/>
  <c r="BS391" i="7"/>
  <c r="BT51" i="7"/>
  <c r="BT64" i="8"/>
  <c r="BR1026" i="7"/>
  <c r="BU1026" i="7" s="1"/>
  <c r="BS1026" i="7"/>
  <c r="BR645" i="7"/>
  <c r="BU645" i="7" s="1"/>
  <c r="BS645" i="7"/>
  <c r="BR593" i="7"/>
  <c r="BU593" i="7" s="1"/>
  <c r="BS593" i="7"/>
  <c r="BR2020" i="7"/>
  <c r="BU2020" i="7" s="1"/>
  <c r="BS2020" i="7"/>
  <c r="BR1372" i="7"/>
  <c r="BU1372" i="7" s="1"/>
  <c r="BS1372" i="7"/>
  <c r="BR160" i="7"/>
  <c r="BU160" i="7" s="1"/>
  <c r="BS160" i="7"/>
  <c r="BS294" i="7"/>
  <c r="BR294" i="7"/>
  <c r="BU294" i="7" s="1"/>
  <c r="BR258" i="7"/>
  <c r="BU258" i="7" s="1"/>
  <c r="BS258" i="7"/>
  <c r="BR1018" i="7"/>
  <c r="BU1018" i="7" s="1"/>
  <c r="BS1018" i="7"/>
  <c r="BS1270" i="7"/>
  <c r="BR1270" i="7"/>
  <c r="BU1270" i="7" s="1"/>
  <c r="BS1221" i="7"/>
  <c r="BR1221" i="7"/>
  <c r="BU1221" i="7" s="1"/>
  <c r="BS1587" i="7"/>
  <c r="BR1587" i="7"/>
  <c r="BU1587" i="7" s="1"/>
  <c r="BR629" i="7"/>
  <c r="BU629" i="7" s="1"/>
  <c r="BS629" i="7"/>
  <c r="BS1881" i="7"/>
  <c r="BR1881" i="7"/>
  <c r="BU1881" i="7" s="1"/>
  <c r="BS934" i="7"/>
  <c r="BR934" i="7"/>
  <c r="BU934" i="7" s="1"/>
  <c r="BR700" i="7"/>
  <c r="BU700" i="7" s="1"/>
  <c r="BS700" i="7"/>
  <c r="BR1791" i="7"/>
  <c r="BU1791" i="7" s="1"/>
  <c r="BS1791" i="7"/>
  <c r="BS339" i="7"/>
  <c r="BR339" i="7"/>
  <c r="BU339" i="7" s="1"/>
  <c r="BS499" i="7"/>
  <c r="BR499" i="7"/>
  <c r="BU499" i="7" s="1"/>
  <c r="BR1247" i="7"/>
  <c r="BU1247" i="7" s="1"/>
  <c r="BS1247" i="7"/>
  <c r="BT109" i="7"/>
  <c r="BT48" i="8"/>
  <c r="BR1212" i="7"/>
  <c r="BU1212" i="7" s="1"/>
  <c r="BS1212" i="7"/>
  <c r="BR1771" i="7"/>
  <c r="BU1771" i="7" s="1"/>
  <c r="BS1771" i="7"/>
  <c r="BS506" i="7"/>
  <c r="BR506" i="7"/>
  <c r="BU506" i="7" s="1"/>
  <c r="DA261" i="1"/>
  <c r="BR758" i="7"/>
  <c r="BU758" i="7" s="1"/>
  <c r="BS758" i="7"/>
  <c r="BR2139" i="7"/>
  <c r="BU2139" i="7" s="1"/>
  <c r="BS2139" i="7"/>
  <c r="BS1734" i="7"/>
  <c r="BR1734" i="7"/>
  <c r="BU1734" i="7" s="1"/>
  <c r="BT421" i="7"/>
  <c r="BT63" i="8"/>
  <c r="BS1019" i="7"/>
  <c r="BR1019" i="7"/>
  <c r="BU1019" i="7" s="1"/>
  <c r="BR101" i="7"/>
  <c r="BU101" i="7" s="1"/>
  <c r="BS101" i="7"/>
  <c r="BS2091" i="7"/>
  <c r="BR2091" i="7"/>
  <c r="BU2091" i="7" s="1"/>
  <c r="BS985" i="7"/>
  <c r="BR985" i="7"/>
  <c r="BU985" i="7" s="1"/>
  <c r="BR885" i="7"/>
  <c r="BU885" i="7" s="1"/>
  <c r="BS885" i="7"/>
  <c r="BR1064" i="7"/>
  <c r="BU1064" i="7" s="1"/>
  <c r="BS1064" i="7"/>
  <c r="BS1942" i="7"/>
  <c r="BR1942" i="7"/>
  <c r="BU1942" i="7" s="1"/>
  <c r="BR1903" i="7"/>
  <c r="BU1903" i="7" s="1"/>
  <c r="BS1903" i="7"/>
  <c r="BS1603" i="7"/>
  <c r="BR1603" i="7"/>
  <c r="BU1603" i="7" s="1"/>
  <c r="BS1047" i="7"/>
  <c r="BR1047" i="7"/>
  <c r="BU1047" i="7" s="1"/>
  <c r="BR210" i="7"/>
  <c r="BU210" i="7" s="1"/>
  <c r="BS210" i="7"/>
  <c r="BS1731" i="7"/>
  <c r="BR1731" i="7"/>
  <c r="BU1731" i="7" s="1"/>
  <c r="BS1873" i="7"/>
  <c r="BR1873" i="7"/>
  <c r="BU1873" i="7" s="1"/>
  <c r="BS455" i="7"/>
  <c r="BR455" i="7"/>
  <c r="BU455" i="7" s="1"/>
  <c r="BR788" i="7"/>
  <c r="BU788" i="7" s="1"/>
  <c r="BS788" i="7"/>
  <c r="BT220" i="7"/>
  <c r="BT96" i="8"/>
  <c r="BS1470" i="7"/>
  <c r="BR1470" i="7"/>
  <c r="BU1470" i="7" s="1"/>
  <c r="BR1107" i="7"/>
  <c r="BU1107" i="7" s="1"/>
  <c r="BS1107" i="7"/>
  <c r="BR43" i="7"/>
  <c r="BU43" i="7" s="1"/>
  <c r="BS43" i="7"/>
  <c r="BR582" i="7"/>
  <c r="BU582" i="7" s="1"/>
  <c r="BS582" i="7"/>
  <c r="BS23" i="7"/>
  <c r="BR23" i="7"/>
  <c r="BU23" i="7" s="1"/>
  <c r="BS1028" i="7"/>
  <c r="BR1028" i="7"/>
  <c r="BU1028" i="7" s="1"/>
  <c r="BP52" i="8"/>
  <c r="BR519" i="7"/>
  <c r="BU519" i="7" s="1"/>
  <c r="BS519" i="7"/>
  <c r="BR903" i="7"/>
  <c r="BU903" i="7" s="1"/>
  <c r="BS903" i="7"/>
  <c r="BR550" i="7"/>
  <c r="BU550" i="7" s="1"/>
  <c r="BS550" i="7"/>
  <c r="BR534" i="7"/>
  <c r="BU534" i="7" s="1"/>
  <c r="BS534" i="7"/>
  <c r="BR1290" i="7"/>
  <c r="BU1290" i="7" s="1"/>
  <c r="BS1290" i="7"/>
  <c r="BS918" i="7"/>
  <c r="BR918" i="7"/>
  <c r="BU918" i="7" s="1"/>
  <c r="BR1197" i="7"/>
  <c r="BU1197" i="7" s="1"/>
  <c r="BS1197" i="7"/>
  <c r="BS2246" i="7"/>
  <c r="BR2246" i="7"/>
  <c r="BU2246" i="7" s="1"/>
  <c r="BR1631" i="7"/>
  <c r="BU1631" i="7" s="1"/>
  <c r="BS1631" i="7"/>
  <c r="BR1848" i="7"/>
  <c r="BU1848" i="7" s="1"/>
  <c r="BS1848" i="7"/>
  <c r="BR737" i="7"/>
  <c r="BU737" i="7" s="1"/>
  <c r="BS737" i="7"/>
  <c r="BR729" i="7"/>
  <c r="BU729" i="7" s="1"/>
  <c r="BS729" i="7"/>
  <c r="BR938" i="7"/>
  <c r="BU938" i="7" s="1"/>
  <c r="BS938" i="7"/>
  <c r="BR849" i="7"/>
  <c r="BU849" i="7" s="1"/>
  <c r="BS849" i="7"/>
  <c r="BR612" i="7"/>
  <c r="BU612" i="7" s="1"/>
  <c r="BS612" i="7"/>
  <c r="BR1702" i="7"/>
  <c r="BU1702" i="7" s="1"/>
  <c r="BS1702" i="7"/>
  <c r="BS1764" i="7"/>
  <c r="BR1764" i="7"/>
  <c r="BU1764" i="7" s="1"/>
  <c r="BR1687" i="7"/>
  <c r="BU1687" i="7" s="1"/>
  <c r="BS1687" i="7"/>
  <c r="BS1357" i="7"/>
  <c r="BR1357" i="7"/>
  <c r="BU1357" i="7" s="1"/>
  <c r="BR398" i="7"/>
  <c r="BU398" i="7" s="1"/>
  <c r="BS398" i="7"/>
  <c r="BS1437" i="7"/>
  <c r="BR1437" i="7"/>
  <c r="BU1437" i="7" s="1"/>
  <c r="BT158" i="7"/>
  <c r="BT44" i="8"/>
  <c r="BR2105" i="7"/>
  <c r="BU2105" i="7" s="1"/>
  <c r="BS2105" i="7"/>
  <c r="BR588" i="7"/>
  <c r="BU588" i="7" s="1"/>
  <c r="BS588" i="7"/>
  <c r="BS777" i="7"/>
  <c r="BR777" i="7"/>
  <c r="BU777" i="7" s="1"/>
  <c r="BR328" i="7"/>
  <c r="BU328" i="7" s="1"/>
  <c r="BS328" i="7"/>
  <c r="BR288" i="7"/>
  <c r="BU288" i="7" s="1"/>
  <c r="BS288" i="7"/>
  <c r="BS1651" i="7"/>
  <c r="BR1651" i="7"/>
  <c r="BU1651" i="7" s="1"/>
  <c r="BS1014" i="7"/>
  <c r="BR1014" i="7"/>
  <c r="BU1014" i="7" s="1"/>
  <c r="BS1098" i="7"/>
  <c r="BR1098" i="7"/>
  <c r="BU1098" i="7" s="1"/>
  <c r="BR2202" i="7"/>
  <c r="BU2202" i="7" s="1"/>
  <c r="BS2202" i="7"/>
  <c r="BR2169" i="7"/>
  <c r="BU2169" i="7" s="1"/>
  <c r="BS2169" i="7"/>
  <c r="BR2141" i="7"/>
  <c r="BU2141" i="7" s="1"/>
  <c r="BS2141" i="7"/>
  <c r="BR1525" i="7"/>
  <c r="BU1525" i="7" s="1"/>
  <c r="BS1525" i="7"/>
  <c r="BS1825" i="7"/>
  <c r="BR1825" i="7"/>
  <c r="BU1825" i="7" s="1"/>
  <c r="BS335" i="7"/>
  <c r="BR335" i="7"/>
  <c r="BU335" i="7" s="1"/>
  <c r="BS1946" i="7"/>
  <c r="BR1946" i="7"/>
  <c r="BU1946" i="7" s="1"/>
  <c r="BR626" i="7"/>
  <c r="BU626" i="7" s="1"/>
  <c r="BS626" i="7"/>
  <c r="BR428" i="7"/>
  <c r="BU428" i="7" s="1"/>
  <c r="BS428" i="7"/>
  <c r="BR1583" i="7"/>
  <c r="BU1583" i="7" s="1"/>
  <c r="BS1583" i="7"/>
  <c r="BR1446" i="7"/>
  <c r="BU1446" i="7" s="1"/>
  <c r="BS1446" i="7"/>
  <c r="BS857" i="7"/>
  <c r="BR857" i="7"/>
  <c r="BU857" i="7" s="1"/>
  <c r="BS1087" i="7"/>
  <c r="BR1087" i="7"/>
  <c r="BU1087" i="7" s="1"/>
  <c r="BS1048" i="7"/>
  <c r="BR1048" i="7"/>
  <c r="BU1048" i="7" s="1"/>
  <c r="BR862" i="7"/>
  <c r="BU862" i="7" s="1"/>
  <c r="BS862" i="7"/>
  <c r="BR116" i="7"/>
  <c r="BU116" i="7" s="1"/>
  <c r="BS116" i="7"/>
  <c r="BR1803" i="7"/>
  <c r="BU1803" i="7" s="1"/>
  <c r="BS1803" i="7"/>
  <c r="BR525" i="7"/>
  <c r="BU525" i="7" s="1"/>
  <c r="BS525" i="7"/>
  <c r="BR205" i="7"/>
  <c r="BU205" i="7" s="1"/>
  <c r="BS205" i="7"/>
  <c r="BS539" i="7"/>
  <c r="BR539" i="7"/>
  <c r="BU539" i="7" s="1"/>
  <c r="BS1493" i="7"/>
  <c r="BR1493" i="7"/>
  <c r="BU1493" i="7" s="1"/>
  <c r="BS1669" i="7"/>
  <c r="BR1669" i="7"/>
  <c r="BU1669" i="7" s="1"/>
  <c r="BR1369" i="7"/>
  <c r="BU1369" i="7" s="1"/>
  <c r="BS1369" i="7"/>
  <c r="BS2243" i="7"/>
  <c r="BR2243" i="7"/>
  <c r="BU2243" i="7" s="1"/>
  <c r="BR1885" i="7"/>
  <c r="BU1885" i="7" s="1"/>
  <c r="BS1885" i="7"/>
  <c r="BP49" i="8"/>
  <c r="BR11" i="7"/>
  <c r="BU11" i="7" s="1"/>
  <c r="BS11" i="7"/>
  <c r="BR302" i="7"/>
  <c r="BU302" i="7" s="1"/>
  <c r="BS302" i="7"/>
  <c r="BS1428" i="7"/>
  <c r="BR1428" i="7"/>
  <c r="BU1428" i="7" s="1"/>
  <c r="BS681" i="7"/>
  <c r="BR681" i="7"/>
  <c r="BU681" i="7" s="1"/>
  <c r="BS883" i="7"/>
  <c r="BR883" i="7"/>
  <c r="BU883" i="7" s="1"/>
  <c r="BR1773" i="7"/>
  <c r="BU1773" i="7" s="1"/>
  <c r="BS1773" i="7"/>
  <c r="BR542" i="7"/>
  <c r="BU542" i="7" s="1"/>
  <c r="BS542" i="7"/>
  <c r="BR1483" i="7"/>
  <c r="BU1483" i="7" s="1"/>
  <c r="BS1483" i="7"/>
  <c r="BR2228" i="7"/>
  <c r="BU2228" i="7" s="1"/>
  <c r="BS2228" i="7"/>
  <c r="BR1235" i="7"/>
  <c r="BU1235" i="7" s="1"/>
  <c r="BS1235" i="7"/>
  <c r="BS1853" i="7"/>
  <c r="BR1853" i="7"/>
  <c r="BU1853" i="7" s="1"/>
  <c r="BR2205" i="7"/>
  <c r="BU2205" i="7" s="1"/>
  <c r="BS2205" i="7"/>
  <c r="BR1735" i="7"/>
  <c r="BU1735" i="7" s="1"/>
  <c r="BS1735" i="7"/>
  <c r="BR43" i="8"/>
  <c r="BS43" i="8"/>
  <c r="BR180" i="7"/>
  <c r="BS2048" i="7"/>
  <c r="BR2048" i="7"/>
  <c r="BU2048" i="7" s="1"/>
  <c r="BT90" i="7"/>
  <c r="BT81" i="8"/>
  <c r="BR812" i="7"/>
  <c r="BU812" i="7" s="1"/>
  <c r="BS812" i="7"/>
  <c r="BR1328" i="7"/>
  <c r="BU1328" i="7" s="1"/>
  <c r="BS1328" i="7"/>
  <c r="BS797" i="7"/>
  <c r="BR797" i="7"/>
  <c r="BU797" i="7" s="1"/>
  <c r="BS2004" i="7"/>
  <c r="BR2004" i="7"/>
  <c r="BU2004" i="7" s="1"/>
  <c r="BR1115" i="7"/>
  <c r="BU1115" i="7" s="1"/>
  <c r="BS1115" i="7"/>
  <c r="BS1729" i="7"/>
  <c r="BR1729" i="7"/>
  <c r="BU1729" i="7" s="1"/>
  <c r="BS1703" i="7"/>
  <c r="BR1703" i="7"/>
  <c r="BU1703" i="7" s="1"/>
  <c r="BR332" i="7"/>
  <c r="BU332" i="7" s="1"/>
  <c r="BS332" i="7"/>
  <c r="BS301" i="7"/>
  <c r="BR301" i="7"/>
  <c r="BU301" i="7" s="1"/>
  <c r="BS1422" i="7"/>
  <c r="BR1422" i="7"/>
  <c r="BU1422" i="7" s="1"/>
  <c r="BR1039" i="7"/>
  <c r="BU1039" i="7" s="1"/>
  <c r="BS1039" i="7"/>
  <c r="BR1810" i="7"/>
  <c r="BU1810" i="7" s="1"/>
  <c r="BS1810" i="7"/>
  <c r="BS1851" i="7"/>
  <c r="BR1851" i="7"/>
  <c r="BU1851" i="7" s="1"/>
  <c r="BS1106" i="7"/>
  <c r="BR1106" i="7"/>
  <c r="BU1106" i="7" s="1"/>
  <c r="BR1491" i="7"/>
  <c r="BU1491" i="7" s="1"/>
  <c r="BS1491" i="7"/>
  <c r="BR517" i="7"/>
  <c r="BU517" i="7" s="1"/>
  <c r="BS517" i="7"/>
  <c r="BR223" i="7"/>
  <c r="BU223" i="7" s="1"/>
  <c r="BS223" i="7"/>
  <c r="BR1002" i="7"/>
  <c r="BU1002" i="7" s="1"/>
  <c r="BS1002" i="7"/>
  <c r="BP33" i="8"/>
  <c r="BR1533" i="7"/>
  <c r="BU1533" i="7" s="1"/>
  <c r="BS1533" i="7"/>
  <c r="BP83" i="8"/>
  <c r="BR361" i="7"/>
  <c r="BU361" i="7" s="1"/>
  <c r="BS361" i="7"/>
  <c r="BS1601" i="7"/>
  <c r="BR1601" i="7"/>
  <c r="BU1601" i="7" s="1"/>
  <c r="BR532" i="7"/>
  <c r="BU532" i="7" s="1"/>
  <c r="BS532" i="7"/>
  <c r="BR2043" i="7"/>
  <c r="BU2043" i="7" s="1"/>
  <c r="BS2043" i="7"/>
  <c r="BR1841" i="7"/>
  <c r="BU1841" i="7" s="1"/>
  <c r="BS1841" i="7"/>
  <c r="BS478" i="7"/>
  <c r="BR478" i="7"/>
  <c r="BU478" i="7" s="1"/>
  <c r="BR1607" i="7"/>
  <c r="BU1607" i="7" s="1"/>
  <c r="BS1607" i="7"/>
  <c r="BS233" i="7"/>
  <c r="BR233" i="7"/>
  <c r="BU233" i="7" s="1"/>
  <c r="BS1807" i="7"/>
  <c r="BR1807" i="7"/>
  <c r="BU1807" i="7" s="1"/>
  <c r="BS50" i="7"/>
  <c r="BR50" i="7"/>
  <c r="BU50" i="7" s="1"/>
  <c r="BR2222" i="7"/>
  <c r="BU2222" i="7" s="1"/>
  <c r="BS2222" i="7"/>
  <c r="BR902" i="7"/>
  <c r="BU902" i="7" s="1"/>
  <c r="BS902" i="7"/>
  <c r="BR990" i="7"/>
  <c r="BU990" i="7" s="1"/>
  <c r="BS990" i="7"/>
  <c r="BR273" i="7"/>
  <c r="BU273" i="7" s="1"/>
  <c r="BS273" i="7"/>
  <c r="BS558" i="7"/>
  <c r="BR558" i="7"/>
  <c r="BU558" i="7" s="1"/>
  <c r="BR2074" i="7"/>
  <c r="BU2074" i="7" s="1"/>
  <c r="BS2074" i="7"/>
  <c r="BS97" i="7"/>
  <c r="BR97" i="7"/>
  <c r="BU97" i="7" s="1"/>
  <c r="BS1575" i="7"/>
  <c r="BR1575" i="7"/>
  <c r="BU1575" i="7" s="1"/>
  <c r="BR317" i="7"/>
  <c r="BU317" i="7" s="1"/>
  <c r="BS317" i="7"/>
  <c r="BR202" i="7"/>
  <c r="BU202" i="7" s="1"/>
  <c r="BS202" i="7"/>
  <c r="BS1801" i="7"/>
  <c r="BR1801" i="7"/>
  <c r="BU1801" i="7" s="1"/>
  <c r="BR491" i="7"/>
  <c r="BU491" i="7" s="1"/>
  <c r="BS491" i="7"/>
  <c r="BR1144" i="7"/>
  <c r="BU1144" i="7" s="1"/>
  <c r="BS1144" i="7"/>
  <c r="BR2127" i="7"/>
  <c r="BU2127" i="7" s="1"/>
  <c r="BS2127" i="7"/>
  <c r="BR1712" i="7"/>
  <c r="BU1712" i="7" s="1"/>
  <c r="BS1712" i="7"/>
  <c r="BS972" i="7"/>
  <c r="BR972" i="7"/>
  <c r="BU972" i="7" s="1"/>
  <c r="BR1868" i="7"/>
  <c r="BU1868" i="7" s="1"/>
  <c r="BS1868" i="7"/>
  <c r="BS1565" i="7"/>
  <c r="BR1565" i="7"/>
  <c r="BU1565" i="7" s="1"/>
  <c r="BR1484" i="7"/>
  <c r="BU1484" i="7" s="1"/>
  <c r="BS1484" i="7"/>
  <c r="BS1907" i="7"/>
  <c r="BR1907" i="7"/>
  <c r="BU1907" i="7" s="1"/>
  <c r="BR549" i="7"/>
  <c r="BU549" i="7" s="1"/>
  <c r="BS549" i="7"/>
  <c r="BT53" i="7"/>
  <c r="BT86" i="8"/>
  <c r="BS57" i="7"/>
  <c r="BR57" i="7"/>
  <c r="BU57" i="7" s="1"/>
  <c r="BR77" i="7"/>
  <c r="BU77" i="7" s="1"/>
  <c r="BS77" i="7"/>
  <c r="BT1682" i="7"/>
  <c r="BT16" i="8"/>
  <c r="BR1142" i="7"/>
  <c r="BU1142" i="7" s="1"/>
  <c r="BS1142" i="7"/>
  <c r="BS413" i="7"/>
  <c r="BR413" i="7"/>
  <c r="BU413" i="7" s="1"/>
  <c r="BP51" i="7"/>
  <c r="BS1355" i="7"/>
  <c r="BR1355" i="7"/>
  <c r="BU1355" i="7" s="1"/>
  <c r="BR1143" i="7"/>
  <c r="BU1143" i="7" s="1"/>
  <c r="BS1143" i="7"/>
  <c r="BS1435" i="7"/>
  <c r="BR1435" i="7"/>
  <c r="BU1435" i="7" s="1"/>
  <c r="BR2061" i="7"/>
  <c r="BU2061" i="7" s="1"/>
  <c r="BS2061" i="7"/>
  <c r="BR1096" i="7"/>
  <c r="BU1096" i="7" s="1"/>
  <c r="BS1096" i="7"/>
  <c r="BR800" i="7"/>
  <c r="BU800" i="7" s="1"/>
  <c r="BS800" i="7"/>
  <c r="BR189" i="7"/>
  <c r="BU189" i="7" s="1"/>
  <c r="BS189" i="7"/>
  <c r="BR354" i="7"/>
  <c r="BU354" i="7" s="1"/>
  <c r="BS354" i="7"/>
  <c r="BR915" i="7"/>
  <c r="BU915" i="7" s="1"/>
  <c r="BS915" i="7"/>
  <c r="BR190" i="7"/>
  <c r="BU190" i="7" s="1"/>
  <c r="BS190" i="7"/>
  <c r="BS2158" i="7"/>
  <c r="BR2158" i="7"/>
  <c r="BU2158" i="7" s="1"/>
  <c r="BR1804" i="7"/>
  <c r="BU1804" i="7" s="1"/>
  <c r="BS1804" i="7"/>
  <c r="BR579" i="7"/>
  <c r="BU579" i="7" s="1"/>
  <c r="BS579" i="7"/>
  <c r="BR2272" i="7"/>
  <c r="BU2272" i="7" s="1"/>
  <c r="BS2272" i="7"/>
  <c r="BR44" i="7"/>
  <c r="BU44" i="7" s="1"/>
  <c r="BS44" i="7"/>
  <c r="BS1046" i="7"/>
  <c r="BR1046" i="7"/>
  <c r="BU1046" i="7" s="1"/>
  <c r="BR2276" i="7"/>
  <c r="BU2276" i="7" s="1"/>
  <c r="BS2276" i="7"/>
  <c r="BS524" i="7"/>
  <c r="BR524" i="7"/>
  <c r="BU524" i="7" s="1"/>
  <c r="BR1053" i="7"/>
  <c r="BU1053" i="7" s="1"/>
  <c r="BS1053" i="7"/>
  <c r="BR802" i="7"/>
  <c r="BU802" i="7" s="1"/>
  <c r="BS802" i="7"/>
  <c r="BS266" i="7"/>
  <c r="BR266" i="7"/>
  <c r="BU266" i="7" s="1"/>
  <c r="BS651" i="7"/>
  <c r="BR651" i="7"/>
  <c r="BU651" i="7" s="1"/>
  <c r="BR400" i="7"/>
  <c r="BU400" i="7" s="1"/>
  <c r="BS400" i="7"/>
  <c r="BS1668" i="7"/>
  <c r="BR1668" i="7"/>
  <c r="BU1668" i="7" s="1"/>
  <c r="BR2027" i="7"/>
  <c r="BU2027" i="7" s="1"/>
  <c r="BS2027" i="7"/>
  <c r="BR253" i="7"/>
  <c r="BU253" i="7" s="1"/>
  <c r="BS253" i="7"/>
  <c r="BR1382" i="7"/>
  <c r="BU1382" i="7" s="1"/>
  <c r="BS1382" i="7"/>
  <c r="BS1542" i="7"/>
  <c r="BR1542" i="7"/>
  <c r="BU1542" i="7" s="1"/>
  <c r="BS1748" i="7"/>
  <c r="BR1748" i="7"/>
  <c r="BU1748" i="7" s="1"/>
  <c r="BS1259" i="7"/>
  <c r="BR1259" i="7"/>
  <c r="BU1259" i="7" s="1"/>
  <c r="BP109" i="7"/>
  <c r="BR63" i="8"/>
  <c r="BS63" i="8"/>
  <c r="BR1072" i="7"/>
  <c r="BU1072" i="7" s="1"/>
  <c r="BS1072" i="7"/>
  <c r="BS1617" i="7"/>
  <c r="BR1617" i="7"/>
  <c r="BU1617" i="7" s="1"/>
  <c r="BS2017" i="7"/>
  <c r="BR2017" i="7"/>
  <c r="BU2017" i="7" s="1"/>
  <c r="BT94" i="7"/>
  <c r="BT45" i="8"/>
  <c r="BS1097" i="7"/>
  <c r="BR1097" i="7"/>
  <c r="BU1097" i="7" s="1"/>
  <c r="BS2082" i="7"/>
  <c r="BR2082" i="7"/>
  <c r="BU2082" i="7" s="1"/>
  <c r="BT170" i="7"/>
  <c r="BT35" i="8"/>
  <c r="BS1256" i="7"/>
  <c r="BR1256" i="7"/>
  <c r="BU1256" i="7" s="1"/>
  <c r="BR2219" i="7"/>
  <c r="BU2219" i="7" s="1"/>
  <c r="BS2219" i="7"/>
  <c r="BR1032" i="7"/>
  <c r="BU1032" i="7" s="1"/>
  <c r="BS1032" i="7"/>
  <c r="BS2128" i="7"/>
  <c r="BR2128" i="7"/>
  <c r="BU2128" i="7" s="1"/>
  <c r="BS248" i="7"/>
  <c r="BR248" i="7"/>
  <c r="BU248" i="7" s="1"/>
  <c r="BS861" i="7"/>
  <c r="BR861" i="7"/>
  <c r="BU861" i="7" s="1"/>
  <c r="BR324" i="7"/>
  <c r="BU324" i="7" s="1"/>
  <c r="BS324" i="7"/>
  <c r="BS96" i="8"/>
  <c r="BR220" i="7"/>
  <c r="BR96" i="8"/>
  <c r="BR2081" i="7"/>
  <c r="BU2081" i="7" s="1"/>
  <c r="BS2081" i="7"/>
  <c r="BR1350" i="7"/>
  <c r="BU1350" i="7" s="1"/>
  <c r="BS1350" i="7"/>
  <c r="BR10" i="7"/>
  <c r="BU10" i="7" s="1"/>
  <c r="BS10" i="7"/>
  <c r="BR1342" i="7"/>
  <c r="BU1342" i="7" s="1"/>
  <c r="BS1342" i="7"/>
  <c r="BS670" i="7"/>
  <c r="BR670" i="7"/>
  <c r="BU670" i="7" s="1"/>
  <c r="BR548" i="7"/>
  <c r="BU548" i="7" s="1"/>
  <c r="BS548" i="7"/>
  <c r="BS153" i="7"/>
  <c r="BR153" i="7"/>
  <c r="BR715" i="7"/>
  <c r="BU715" i="7" s="1"/>
  <c r="BS715" i="7"/>
  <c r="BR331" i="7"/>
  <c r="BU331" i="7" s="1"/>
  <c r="BS331" i="7"/>
  <c r="BT32" i="7"/>
  <c r="BT71" i="8"/>
  <c r="BS2195" i="7"/>
  <c r="BR2195" i="7"/>
  <c r="BU2195" i="7" s="1"/>
  <c r="BR459" i="7"/>
  <c r="BU459" i="7" s="1"/>
  <c r="BS459" i="7"/>
  <c r="BS1592" i="7"/>
  <c r="BR1592" i="7"/>
  <c r="BU1592" i="7" s="1"/>
  <c r="BS2078" i="7"/>
  <c r="BR2078" i="7"/>
  <c r="BU2078" i="7" s="1"/>
  <c r="BR771" i="7"/>
  <c r="BU771" i="7" s="1"/>
  <c r="BS771" i="7"/>
  <c r="BR237" i="7"/>
  <c r="BU237" i="7" s="1"/>
  <c r="BS237" i="7"/>
  <c r="BS1956" i="7"/>
  <c r="BR1956" i="7"/>
  <c r="BU1956" i="7" s="1"/>
  <c r="BS1612" i="7"/>
  <c r="BR1612" i="7"/>
  <c r="BU1612" i="7" s="1"/>
  <c r="BR19" i="7"/>
  <c r="BU19" i="7" s="1"/>
  <c r="BS19" i="7"/>
  <c r="BP158" i="7"/>
  <c r="BS2283" i="7"/>
  <c r="BR2283" i="7"/>
  <c r="BU2283" i="7" s="1"/>
  <c r="BS462" i="7"/>
  <c r="BR462" i="7"/>
  <c r="BU462" i="7" s="1"/>
  <c r="BR1910" i="7"/>
  <c r="BU1910" i="7" s="1"/>
  <c r="BS1910" i="7"/>
  <c r="BR1719" i="7"/>
  <c r="BU1719" i="7" s="1"/>
  <c r="BS1719" i="7"/>
  <c r="BR115" i="7"/>
  <c r="BU115" i="7" s="1"/>
  <c r="BS115" i="7"/>
  <c r="BR416" i="7"/>
  <c r="BU416" i="7" s="1"/>
  <c r="BS416" i="7"/>
  <c r="BR2282" i="7"/>
  <c r="BU2282" i="7" s="1"/>
  <c r="BS2282" i="7"/>
  <c r="BR1597" i="7"/>
  <c r="BU1597" i="7" s="1"/>
  <c r="BS1597" i="7"/>
  <c r="BR1228" i="7"/>
  <c r="BU1228" i="7" s="1"/>
  <c r="BS1228" i="7"/>
  <c r="BS334" i="7"/>
  <c r="BR334" i="7"/>
  <c r="BU334" i="7" s="1"/>
  <c r="BR557" i="7"/>
  <c r="BU557" i="7" s="1"/>
  <c r="BS557" i="7"/>
  <c r="BR1986" i="7"/>
  <c r="BU1986" i="7" s="1"/>
  <c r="BS1986" i="7"/>
  <c r="BR1123" i="7"/>
  <c r="BU1123" i="7" s="1"/>
  <c r="BS1123" i="7"/>
  <c r="BR1105" i="7"/>
  <c r="BU1105" i="7" s="1"/>
  <c r="BS1105" i="7"/>
  <c r="BR2034" i="7"/>
  <c r="BU2034" i="7" s="1"/>
  <c r="BS2034" i="7"/>
  <c r="BS1010" i="7"/>
  <c r="BR1010" i="7"/>
  <c r="BU1010" i="7" s="1"/>
  <c r="BS747" i="7"/>
  <c r="BR747" i="7"/>
  <c r="BU747" i="7" s="1"/>
  <c r="BR1826" i="7"/>
  <c r="BU1826" i="7" s="1"/>
  <c r="BS1826" i="7"/>
  <c r="BS1469" i="7"/>
  <c r="BR1469" i="7"/>
  <c r="BU1469" i="7" s="1"/>
  <c r="BR917" i="7"/>
  <c r="BU917" i="7" s="1"/>
  <c r="BS917" i="7"/>
  <c r="BS1720" i="7"/>
  <c r="BR1720" i="7"/>
  <c r="BU1720" i="7" s="1"/>
  <c r="BS430" i="7"/>
  <c r="BR430" i="7"/>
  <c r="BU430" i="7" s="1"/>
  <c r="BR1041" i="7"/>
  <c r="BU1041" i="7" s="1"/>
  <c r="BS1041" i="7"/>
  <c r="BR96" i="7"/>
  <c r="BU96" i="7" s="1"/>
  <c r="BS96" i="7"/>
  <c r="BS432" i="7"/>
  <c r="BR432" i="7"/>
  <c r="BU432" i="7" s="1"/>
  <c r="BS2104" i="7"/>
  <c r="BR2104" i="7"/>
  <c r="BU2104" i="7" s="1"/>
  <c r="BR584" i="7"/>
  <c r="BU584" i="7" s="1"/>
  <c r="BS584" i="7"/>
  <c r="BR143" i="7"/>
  <c r="BU143" i="7" s="1"/>
  <c r="BS143" i="7"/>
  <c r="BT217" i="7"/>
  <c r="BT98" i="8"/>
  <c r="BS982" i="7"/>
  <c r="BR982" i="7"/>
  <c r="BU982" i="7" s="1"/>
  <c r="BS1133" i="7"/>
  <c r="BR1133" i="7"/>
  <c r="BU1133" i="7" s="1"/>
  <c r="BR1636" i="7"/>
  <c r="BU1636" i="7" s="1"/>
  <c r="BS1636" i="7"/>
  <c r="BS1526" i="7"/>
  <c r="BR1526" i="7"/>
  <c r="BU1526" i="7" s="1"/>
  <c r="BS137" i="7"/>
  <c r="BR137" i="7"/>
  <c r="BU137" i="7" s="1"/>
  <c r="BR824" i="7"/>
  <c r="BU824" i="7" s="1"/>
  <c r="BS824" i="7"/>
  <c r="BR98" i="7"/>
  <c r="BU98" i="7" s="1"/>
  <c r="BS98" i="7"/>
  <c r="BR1141" i="7"/>
  <c r="BU1141" i="7" s="1"/>
  <c r="BS1141" i="7"/>
  <c r="BR1286" i="7"/>
  <c r="BU1286" i="7" s="1"/>
  <c r="BS1286" i="7"/>
  <c r="BR643" i="7"/>
  <c r="BU643" i="7" s="1"/>
  <c r="BS643" i="7"/>
  <c r="BR2159" i="7"/>
  <c r="BU2159" i="7" s="1"/>
  <c r="BS2159" i="7"/>
  <c r="BR751" i="7"/>
  <c r="BU751" i="7" s="1"/>
  <c r="BS751" i="7"/>
  <c r="BR677" i="7"/>
  <c r="BU677" i="7" s="1"/>
  <c r="BS677" i="7"/>
  <c r="BR1051" i="7"/>
  <c r="BU1051" i="7" s="1"/>
  <c r="BS1051" i="7"/>
  <c r="BS1863" i="7"/>
  <c r="BR1863" i="7"/>
  <c r="BU1863" i="7" s="1"/>
  <c r="BS836" i="7"/>
  <c r="BR836" i="7"/>
  <c r="BU836" i="7" s="1"/>
  <c r="BR799" i="7"/>
  <c r="BU799" i="7" s="1"/>
  <c r="BS799" i="7"/>
  <c r="BS844" i="7"/>
  <c r="BR844" i="7"/>
  <c r="BU844" i="7" s="1"/>
  <c r="BS1052" i="7"/>
  <c r="BR1052" i="7"/>
  <c r="BU1052" i="7" s="1"/>
  <c r="BT161" i="7"/>
  <c r="BT42" i="8"/>
  <c r="BS81" i="8"/>
  <c r="BR81" i="8"/>
  <c r="BR348" i="7"/>
  <c r="BU348" i="7" s="1"/>
  <c r="BS348" i="7"/>
  <c r="BR803" i="7"/>
  <c r="BU803" i="7" s="1"/>
  <c r="BS803" i="7"/>
  <c r="BR212" i="7"/>
  <c r="BU212" i="7" s="1"/>
  <c r="BS212" i="7"/>
  <c r="BR842" i="7"/>
  <c r="BU842" i="7" s="1"/>
  <c r="BS842" i="7"/>
  <c r="BR2031" i="7"/>
  <c r="BU2031" i="7" s="1"/>
  <c r="BS2031" i="7"/>
  <c r="BS1137" i="7"/>
  <c r="BR1137" i="7"/>
  <c r="BU1137" i="7" s="1"/>
  <c r="BP5" i="8"/>
  <c r="BR359" i="7"/>
  <c r="BU359" i="7" s="1"/>
  <c r="BS359" i="7"/>
  <c r="BP34" i="8"/>
  <c r="BR821" i="7"/>
  <c r="BU821" i="7" s="1"/>
  <c r="BS821" i="7"/>
  <c r="BR620" i="7"/>
  <c r="BU620" i="7" s="1"/>
  <c r="BS620" i="7"/>
  <c r="BR1530" i="7"/>
  <c r="BU1530" i="7" s="1"/>
  <c r="BS1530" i="7"/>
  <c r="BR1195" i="7"/>
  <c r="BU1195" i="7" s="1"/>
  <c r="BS1195" i="7"/>
  <c r="BS1381" i="7"/>
  <c r="BR1381" i="7"/>
  <c r="BU1381" i="7" s="1"/>
  <c r="BR1723" i="7"/>
  <c r="BU1723" i="7" s="1"/>
  <c r="BS1723" i="7"/>
  <c r="BR1820" i="7"/>
  <c r="BU1820" i="7" s="1"/>
  <c r="BS1820" i="7"/>
  <c r="BS1248" i="7"/>
  <c r="BR1248" i="7"/>
  <c r="BU1248" i="7" s="1"/>
  <c r="BP26" i="7"/>
  <c r="BS1246" i="7"/>
  <c r="BR1246" i="7"/>
  <c r="BU1246" i="7" s="1"/>
  <c r="BS477" i="7"/>
  <c r="BR477" i="7"/>
  <c r="BU477" i="7" s="1"/>
  <c r="BS1243" i="7"/>
  <c r="BR1243" i="7"/>
  <c r="BU1243" i="7" s="1"/>
  <c r="BT222" i="7"/>
  <c r="BT94" i="8"/>
  <c r="BR1869" i="7"/>
  <c r="BU1869" i="7" s="1"/>
  <c r="BS1869" i="7"/>
  <c r="BS733" i="7"/>
  <c r="BR733" i="7"/>
  <c r="BU733" i="7" s="1"/>
  <c r="BR1471" i="7"/>
  <c r="BU1471" i="7" s="1"/>
  <c r="BS1471" i="7"/>
  <c r="BR1251" i="7"/>
  <c r="BU1251" i="7" s="1"/>
  <c r="BS1251" i="7"/>
  <c r="BR60" i="7"/>
  <c r="BU60" i="7" s="1"/>
  <c r="BS60" i="7"/>
  <c r="BR356" i="7"/>
  <c r="BU356" i="7" s="1"/>
  <c r="BS356" i="7"/>
  <c r="BS444" i="7"/>
  <c r="BR444" i="7"/>
  <c r="BU444" i="7" s="1"/>
  <c r="BS2265" i="7"/>
  <c r="BR2265" i="7"/>
  <c r="BU2265" i="7" s="1"/>
  <c r="BS1899" i="7"/>
  <c r="BR1899" i="7"/>
  <c r="BU1899" i="7" s="1"/>
  <c r="BR1433" i="7"/>
  <c r="BU1433" i="7" s="1"/>
  <c r="BS1433" i="7"/>
  <c r="BS561" i="7"/>
  <c r="BR561" i="7"/>
  <c r="BU561" i="7" s="1"/>
  <c r="BR68" i="7"/>
  <c r="BU68" i="7" s="1"/>
  <c r="BS68" i="7"/>
  <c r="BR1069" i="7"/>
  <c r="BU1069" i="7" s="1"/>
  <c r="BS1069" i="7"/>
  <c r="BS1571" i="7"/>
  <c r="BR1571" i="7"/>
  <c r="BU1571" i="7" s="1"/>
  <c r="BS851" i="7"/>
  <c r="BR851" i="7"/>
  <c r="BU851" i="7" s="1"/>
  <c r="BR15" i="7"/>
  <c r="BU15" i="7" s="1"/>
  <c r="BS15" i="7"/>
  <c r="BS887" i="7"/>
  <c r="BR887" i="7"/>
  <c r="BU887" i="7" s="1"/>
  <c r="BR1849" i="7"/>
  <c r="BU1849" i="7" s="1"/>
  <c r="BS1849" i="7"/>
  <c r="BR1412" i="7"/>
  <c r="BU1412" i="7" s="1"/>
  <c r="BS1412" i="7"/>
  <c r="BR807" i="7"/>
  <c r="BU807" i="7" s="1"/>
  <c r="BS807" i="7"/>
  <c r="BR414" i="7"/>
  <c r="BU414" i="7" s="1"/>
  <c r="BS414" i="7"/>
  <c r="BS392" i="7"/>
  <c r="BR392" i="7"/>
  <c r="BU392" i="7" s="1"/>
  <c r="BR2277" i="7"/>
  <c r="BU2277" i="7" s="1"/>
  <c r="BS2277" i="7"/>
  <c r="BR1119" i="7"/>
  <c r="BU1119" i="7" s="1"/>
  <c r="BS1119" i="7"/>
  <c r="BS345" i="7"/>
  <c r="BR345" i="7"/>
  <c r="BU345" i="7" s="1"/>
  <c r="BS1202" i="7"/>
  <c r="BR1202" i="7"/>
  <c r="BU1202" i="7" s="1"/>
  <c r="BR1768" i="7"/>
  <c r="BU1768" i="7" s="1"/>
  <c r="BS1768" i="7"/>
  <c r="BS597" i="7"/>
  <c r="BR597" i="7"/>
  <c r="BU597" i="7" s="1"/>
  <c r="BT215" i="7"/>
  <c r="BT92" i="8"/>
  <c r="BS786" i="7"/>
  <c r="BR786" i="7"/>
  <c r="BU786" i="7" s="1"/>
  <c r="BS1795" i="7"/>
  <c r="BR1795" i="7"/>
  <c r="BU1795" i="7" s="1"/>
  <c r="BR290" i="7"/>
  <c r="BU290" i="7" s="1"/>
  <c r="BS290" i="7"/>
  <c r="BR1930" i="7"/>
  <c r="BU1930" i="7" s="1"/>
  <c r="BS1930" i="7"/>
  <c r="BS126" i="7"/>
  <c r="BR126" i="7"/>
  <c r="BU126" i="7" s="1"/>
  <c r="BS709" i="7"/>
  <c r="BR709" i="7"/>
  <c r="BU709" i="7" s="1"/>
  <c r="BR1225" i="7"/>
  <c r="BU1225" i="7" s="1"/>
  <c r="BS1225" i="7"/>
  <c r="BS1663" i="7"/>
  <c r="BR1663" i="7"/>
  <c r="BU1663" i="7" s="1"/>
  <c r="BR567" i="7"/>
  <c r="BU567" i="7" s="1"/>
  <c r="BS567" i="7"/>
  <c r="BS794" i="7"/>
  <c r="BR794" i="7"/>
  <c r="BU794" i="7" s="1"/>
  <c r="BR827" i="7"/>
  <c r="BU827" i="7" s="1"/>
  <c r="BS827" i="7"/>
  <c r="BR1509" i="7"/>
  <c r="BU1509" i="7" s="1"/>
  <c r="BS1509" i="7"/>
  <c r="BP20" i="8"/>
  <c r="BS2071" i="7"/>
  <c r="BR2071" i="7"/>
  <c r="BU2071" i="7" s="1"/>
  <c r="BR1852" i="7"/>
  <c r="BU1852" i="7" s="1"/>
  <c r="BS1852" i="7"/>
  <c r="BR1524" i="7"/>
  <c r="BU1524" i="7" s="1"/>
  <c r="BS1524" i="7"/>
  <c r="BS262" i="7"/>
  <c r="BR262" i="7"/>
  <c r="BU262" i="7" s="1"/>
  <c r="BT165" i="7"/>
  <c r="BT40" i="8"/>
  <c r="BR1755" i="7"/>
  <c r="BU1755" i="7" s="1"/>
  <c r="BS1755" i="7"/>
  <c r="BR900" i="7"/>
  <c r="BU900" i="7" s="1"/>
  <c r="BS900" i="7"/>
  <c r="BR1474" i="7"/>
  <c r="BU1474" i="7" s="1"/>
  <c r="BS1474" i="7"/>
  <c r="BS1877" i="7"/>
  <c r="BR1877" i="7"/>
  <c r="BU1877" i="7" s="1"/>
  <c r="BP53" i="7"/>
  <c r="BS53" i="8" s="1"/>
  <c r="BS1750" i="7"/>
  <c r="BR1750" i="7"/>
  <c r="BU1750" i="7" s="1"/>
  <c r="BP54" i="7"/>
  <c r="BS458" i="7"/>
  <c r="BR458" i="7"/>
  <c r="BU458" i="7" s="1"/>
  <c r="BS1058" i="7"/>
  <c r="BR1058" i="7"/>
  <c r="BU1058" i="7" s="1"/>
  <c r="BR201" i="7"/>
  <c r="BU201" i="7" s="1"/>
  <c r="BS201" i="7"/>
  <c r="BR655" i="7"/>
  <c r="BU655" i="7" s="1"/>
  <c r="BS655" i="7"/>
  <c r="BR560" i="7"/>
  <c r="BU560" i="7" s="1"/>
  <c r="BS560" i="7"/>
  <c r="BS1531" i="7"/>
  <c r="BR1531" i="7"/>
  <c r="BU1531" i="7" s="1"/>
  <c r="BS13" i="7"/>
  <c r="BR13" i="7"/>
  <c r="BU13" i="7" s="1"/>
  <c r="BR1701" i="7"/>
  <c r="BU1701" i="7" s="1"/>
  <c r="BS1701" i="7"/>
  <c r="BS2137" i="7"/>
  <c r="BR2137" i="7"/>
  <c r="BU2137" i="7" s="1"/>
  <c r="BS1062" i="7"/>
  <c r="BR1062" i="7"/>
  <c r="BU1062" i="7" s="1"/>
  <c r="BR1906" i="7"/>
  <c r="BU1906" i="7" s="1"/>
  <c r="BS1906" i="7"/>
  <c r="BS1394" i="7"/>
  <c r="BR1394" i="7"/>
  <c r="BU1394" i="7" s="1"/>
  <c r="BS1153" i="7"/>
  <c r="BR1153" i="7"/>
  <c r="BU1153" i="7" s="1"/>
  <c r="BR888" i="7"/>
  <c r="BU888" i="7" s="1"/>
  <c r="BS888" i="7"/>
  <c r="BS1424" i="7"/>
  <c r="BR1424" i="7"/>
  <c r="BU1424" i="7" s="1"/>
  <c r="BR404" i="7"/>
  <c r="BU404" i="7" s="1"/>
  <c r="BS404" i="7"/>
  <c r="BR607" i="7"/>
  <c r="BU607" i="7" s="1"/>
  <c r="BS607" i="7"/>
  <c r="BR1401" i="7"/>
  <c r="BU1401" i="7" s="1"/>
  <c r="BS1401" i="7"/>
  <c r="BT1159" i="7"/>
  <c r="BT13" i="8"/>
  <c r="BR200" i="7"/>
  <c r="BU200" i="7" s="1"/>
  <c r="BS200" i="7"/>
  <c r="BS2200" i="7"/>
  <c r="BR2200" i="7"/>
  <c r="BU2200" i="7" s="1"/>
  <c r="BS1267" i="7"/>
  <c r="BR1267" i="7"/>
  <c r="BU1267" i="7" s="1"/>
  <c r="BR1398" i="7"/>
  <c r="BU1398" i="7" s="1"/>
  <c r="BS1398" i="7"/>
  <c r="BS2049" i="7"/>
  <c r="BR2049" i="7"/>
  <c r="BU2049" i="7" s="1"/>
  <c r="BR635" i="7"/>
  <c r="BU635" i="7" s="1"/>
  <c r="BS635" i="7"/>
  <c r="BS1013" i="7"/>
  <c r="BR1013" i="7"/>
  <c r="BU1013" i="7" s="1"/>
  <c r="BS675" i="7"/>
  <c r="BR675" i="7"/>
  <c r="BU675" i="7" s="1"/>
  <c r="BS1448" i="7"/>
  <c r="BR1448" i="7"/>
  <c r="BU1448" i="7" s="1"/>
  <c r="BS341" i="7"/>
  <c r="BR341" i="7"/>
  <c r="BU341" i="7" s="1"/>
  <c r="BS1391" i="7"/>
  <c r="BR1391" i="7"/>
  <c r="BU1391" i="7" s="1"/>
  <c r="BR1180" i="7"/>
  <c r="BU1180" i="7" s="1"/>
  <c r="BS1180" i="7"/>
  <c r="BP78" i="8"/>
  <c r="BR406" i="7"/>
  <c r="BU406" i="7" s="1"/>
  <c r="BS406" i="7"/>
  <c r="BR1922" i="7"/>
  <c r="BU1922" i="7" s="1"/>
  <c r="BS1922" i="7"/>
  <c r="BS1315" i="7"/>
  <c r="BR1315" i="7"/>
  <c r="BU1315" i="7" s="1"/>
  <c r="BS2129" i="7"/>
  <c r="BR2129" i="7"/>
  <c r="BU2129" i="7" s="1"/>
  <c r="BR241" i="7"/>
  <c r="BU241" i="7" s="1"/>
  <c r="BS241" i="7"/>
  <c r="BR1099" i="7"/>
  <c r="BU1099" i="7" s="1"/>
  <c r="BS1099" i="7"/>
  <c r="BR868" i="7"/>
  <c r="BU868" i="7" s="1"/>
  <c r="BS868" i="7"/>
  <c r="BR727" i="7"/>
  <c r="BU727" i="7" s="1"/>
  <c r="BS727" i="7"/>
  <c r="BR986" i="7"/>
  <c r="BU986" i="7" s="1"/>
  <c r="BS986" i="7"/>
  <c r="BP94" i="7"/>
  <c r="BS305" i="7"/>
  <c r="BR305" i="7"/>
  <c r="BU305" i="7" s="1"/>
  <c r="BR1375" i="7"/>
  <c r="BU1375" i="7" s="1"/>
  <c r="BS1375" i="7"/>
  <c r="BR611" i="7"/>
  <c r="BU611" i="7" s="1"/>
  <c r="BS611" i="7"/>
  <c r="BR1864" i="7"/>
  <c r="BU1864" i="7" s="1"/>
  <c r="BS1864" i="7"/>
  <c r="BR380" i="7"/>
  <c r="BU380" i="7" s="1"/>
  <c r="BS380" i="7"/>
  <c r="BR442" i="7"/>
  <c r="BU442" i="7" s="1"/>
  <c r="BS442" i="7"/>
  <c r="BR1231" i="7"/>
  <c r="BU1231" i="7" s="1"/>
  <c r="BS1231" i="7"/>
  <c r="BP170" i="7"/>
  <c r="BS2208" i="7"/>
  <c r="BR2208" i="7"/>
  <c r="BU2208" i="7" s="1"/>
  <c r="BR2086" i="7"/>
  <c r="BU2086" i="7" s="1"/>
  <c r="BS2086" i="7"/>
  <c r="BS1414" i="7"/>
  <c r="BR1414" i="7"/>
  <c r="BU1414" i="7" s="1"/>
  <c r="BR762" i="7"/>
  <c r="BU762" i="7" s="1"/>
  <c r="BS762" i="7"/>
  <c r="BR131" i="7"/>
  <c r="BU131" i="7" s="1"/>
  <c r="BS131" i="7"/>
  <c r="BR1117" i="7"/>
  <c r="BU1117" i="7" s="1"/>
  <c r="BS1117" i="7"/>
  <c r="BR1185" i="7"/>
  <c r="BU1185" i="7" s="1"/>
  <c r="BS1185" i="7"/>
  <c r="BS1432" i="7"/>
  <c r="BR1432" i="7"/>
  <c r="BU1432" i="7" s="1"/>
  <c r="BR1621" i="7"/>
  <c r="BU1621" i="7" s="1"/>
  <c r="BS1621" i="7"/>
  <c r="BR1572" i="7"/>
  <c r="BU1572" i="7" s="1"/>
  <c r="BS1572" i="7"/>
  <c r="BR2019" i="7"/>
  <c r="BU2019" i="7" s="1"/>
  <c r="BS2019" i="7"/>
  <c r="BS2016" i="7"/>
  <c r="BR2016" i="7"/>
  <c r="BU2016" i="7" s="1"/>
  <c r="BR780" i="7"/>
  <c r="BU780" i="7" s="1"/>
  <c r="BS780" i="7"/>
  <c r="BR2116" i="7"/>
  <c r="BU2116" i="7" s="1"/>
  <c r="BS2116" i="7"/>
  <c r="BS974" i="7"/>
  <c r="BR974" i="7"/>
  <c r="BU974" i="7" s="1"/>
  <c r="BS1344" i="7"/>
  <c r="BR1344" i="7"/>
  <c r="BU1344" i="7" s="1"/>
  <c r="BR402" i="7"/>
  <c r="BU402" i="7" s="1"/>
  <c r="BS402" i="7"/>
  <c r="BS599" i="7"/>
  <c r="BR599" i="7"/>
  <c r="BU599" i="7" s="1"/>
  <c r="BS764" i="7"/>
  <c r="BR764" i="7"/>
  <c r="BU764" i="7" s="1"/>
  <c r="BR2056" i="7"/>
  <c r="BU2056" i="7" s="1"/>
  <c r="BS2056" i="7"/>
  <c r="BS702" i="7"/>
  <c r="BR702" i="7"/>
  <c r="BU702" i="7" s="1"/>
  <c r="BR2187" i="7"/>
  <c r="BU2187" i="7" s="1"/>
  <c r="BS2187" i="7"/>
  <c r="BS1713" i="7"/>
  <c r="BR1713" i="7"/>
  <c r="BU1713" i="7" s="1"/>
  <c r="BS2271" i="7"/>
  <c r="BR2271" i="7"/>
  <c r="BU2271" i="7" s="1"/>
  <c r="BS1708" i="7"/>
  <c r="BR1708" i="7"/>
  <c r="BU1708" i="7" s="1"/>
  <c r="BS1331" i="7"/>
  <c r="BR1331" i="7"/>
  <c r="BU1331" i="7" s="1"/>
  <c r="BS568" i="7"/>
  <c r="BR568" i="7"/>
  <c r="BU568" i="7" s="1"/>
  <c r="BR358" i="7"/>
  <c r="BU358" i="7" s="1"/>
  <c r="BS358" i="7"/>
  <c r="BS545" i="7"/>
  <c r="BR545" i="7"/>
  <c r="BU545" i="7" s="1"/>
  <c r="BS1403" i="7"/>
  <c r="BR1403" i="7"/>
  <c r="BU1403" i="7" s="1"/>
  <c r="BR644" i="7"/>
  <c r="BU644" i="7" s="1"/>
  <c r="BS644" i="7"/>
  <c r="BR2170" i="7"/>
  <c r="BU2170" i="7" s="1"/>
  <c r="BS2170" i="7"/>
  <c r="BR609" i="7"/>
  <c r="BU609" i="7" s="1"/>
  <c r="BS609" i="7"/>
  <c r="BR2248" i="7"/>
  <c r="BU2248" i="7" s="1"/>
  <c r="BS2248" i="7"/>
  <c r="BR325" i="7"/>
  <c r="BU325" i="7" s="1"/>
  <c r="BS325" i="7"/>
  <c r="BR1909" i="7"/>
  <c r="BU1909" i="7" s="1"/>
  <c r="BS1909" i="7"/>
  <c r="BR496" i="7"/>
  <c r="BU496" i="7" s="1"/>
  <c r="BS496" i="7"/>
  <c r="BR1783" i="7"/>
  <c r="BU1783" i="7" s="1"/>
  <c r="BS1783" i="7"/>
  <c r="BR1276" i="7"/>
  <c r="BU1276" i="7" s="1"/>
  <c r="BS1276" i="7"/>
  <c r="BR566" i="7"/>
  <c r="BU566" i="7" s="1"/>
  <c r="BS566" i="7"/>
  <c r="BS2033" i="7"/>
  <c r="BR2033" i="7"/>
  <c r="BU2033" i="7" s="1"/>
  <c r="BR1760" i="7"/>
  <c r="BU1760" i="7" s="1"/>
  <c r="BS1760" i="7"/>
  <c r="BR1149" i="7"/>
  <c r="BU1149" i="7" s="1"/>
  <c r="BS1149" i="7"/>
  <c r="BR2121" i="7"/>
  <c r="BU2121" i="7" s="1"/>
  <c r="BS2121" i="7"/>
  <c r="BR1513" i="7"/>
  <c r="BU1513" i="7" s="1"/>
  <c r="BS1513" i="7"/>
  <c r="BR547" i="7"/>
  <c r="BU547" i="7" s="1"/>
  <c r="BS547" i="7"/>
  <c r="BR692" i="7"/>
  <c r="BU692" i="7" s="1"/>
  <c r="BS692" i="7"/>
  <c r="BS744" i="7"/>
  <c r="BR744" i="7"/>
  <c r="BU744" i="7" s="1"/>
  <c r="BR1445" i="7"/>
  <c r="BU1445" i="7" s="1"/>
  <c r="BS1445" i="7"/>
  <c r="BR1060" i="7"/>
  <c r="BU1060" i="7" s="1"/>
  <c r="BS1060" i="7"/>
  <c r="BR217" i="7"/>
  <c r="BS217" i="7"/>
  <c r="BS98" i="8"/>
  <c r="BR98" i="8"/>
  <c r="BR513" i="7"/>
  <c r="BU513" i="7" s="1"/>
  <c r="BS513" i="7"/>
  <c r="BR1145" i="7"/>
  <c r="BU1145" i="7" s="1"/>
  <c r="BS1145" i="7"/>
  <c r="BT382" i="7"/>
  <c r="BT7" i="8"/>
  <c r="BR840" i="7"/>
  <c r="BU840" i="7" s="1"/>
  <c r="BS840" i="7"/>
  <c r="BS1322" i="7"/>
  <c r="BR1322" i="7"/>
  <c r="BU1322" i="7" s="1"/>
  <c r="BS252" i="7"/>
  <c r="BR252" i="7"/>
  <c r="BU252" i="7" s="1"/>
  <c r="BR1022" i="7"/>
  <c r="BU1022" i="7" s="1"/>
  <c r="BS1022" i="7"/>
  <c r="BR1887" i="7"/>
  <c r="BU1887" i="7" s="1"/>
  <c r="BS1887" i="7"/>
  <c r="BR1704" i="7"/>
  <c r="BU1704" i="7" s="1"/>
  <c r="BS1704" i="7"/>
  <c r="BR2072" i="7"/>
  <c r="BU2072" i="7" s="1"/>
  <c r="BS2072" i="7"/>
  <c r="BS309" i="7"/>
  <c r="BR309" i="7"/>
  <c r="BU309" i="7" s="1"/>
  <c r="BR1291" i="7"/>
  <c r="BU1291" i="7" s="1"/>
  <c r="BS1291" i="7"/>
  <c r="BR1463" i="7"/>
  <c r="BU1463" i="7" s="1"/>
  <c r="BS1463" i="7"/>
  <c r="BR1128" i="7"/>
  <c r="BU1128" i="7" s="1"/>
  <c r="BS1128" i="7"/>
  <c r="BR1976" i="7"/>
  <c r="BU1976" i="7" s="1"/>
  <c r="BS1976" i="7"/>
  <c r="BR1300" i="7"/>
  <c r="BU1300" i="7" s="1"/>
  <c r="BS1300" i="7"/>
  <c r="BR1808" i="7"/>
  <c r="BU1808" i="7" s="1"/>
  <c r="BS1808" i="7"/>
  <c r="BS1767" i="7"/>
  <c r="BR1767" i="7"/>
  <c r="BU1767" i="7" s="1"/>
  <c r="BS2113" i="7"/>
  <c r="BR2113" i="7"/>
  <c r="BU2113" i="7" s="1"/>
  <c r="BR904" i="7"/>
  <c r="BU904" i="7" s="1"/>
  <c r="BS904" i="7"/>
  <c r="BP161" i="7"/>
  <c r="BR349" i="7"/>
  <c r="BU349" i="7" s="1"/>
  <c r="BS349" i="7"/>
  <c r="BR510" i="7"/>
  <c r="BU510" i="7" s="1"/>
  <c r="BS510" i="7"/>
  <c r="BS1671" i="7"/>
  <c r="BR1671" i="7"/>
  <c r="BU1671" i="7" s="1"/>
  <c r="BS1239" i="7"/>
  <c r="BR1239" i="7"/>
  <c r="BU1239" i="7" s="1"/>
  <c r="BS1139" i="7"/>
  <c r="BR1139" i="7"/>
  <c r="BU1139" i="7" s="1"/>
  <c r="BS130" i="7"/>
  <c r="BR130" i="7"/>
  <c r="BU130" i="7" s="1"/>
  <c r="BS1497" i="7"/>
  <c r="BR1497" i="7"/>
  <c r="BU1497" i="7" s="1"/>
  <c r="BR2032" i="7"/>
  <c r="BU2032" i="7" s="1"/>
  <c r="BS2032" i="7"/>
  <c r="BR1314" i="7"/>
  <c r="BU1314" i="7" s="1"/>
  <c r="BS1314" i="7"/>
  <c r="BR1743" i="7"/>
  <c r="BU1743" i="7" s="1"/>
  <c r="BS1743" i="7"/>
  <c r="BP89" i="8"/>
  <c r="BT168" i="7"/>
  <c r="BT28" i="8"/>
  <c r="BR2001" i="7"/>
  <c r="BU2001" i="7" s="1"/>
  <c r="BS2001" i="7"/>
  <c r="BS2140" i="7"/>
  <c r="BR2140" i="7"/>
  <c r="BU2140" i="7" s="1"/>
  <c r="BR924" i="7"/>
  <c r="BU924" i="7" s="1"/>
  <c r="BS924" i="7"/>
  <c r="BP105" i="8"/>
  <c r="BP110" i="7"/>
  <c r="BR1980" i="7"/>
  <c r="BU1980" i="7" s="1"/>
  <c r="BS1980" i="7"/>
  <c r="BS1442" i="7"/>
  <c r="BR1442" i="7"/>
  <c r="BU1442" i="7" s="1"/>
  <c r="BS336" i="7"/>
  <c r="BR336" i="7"/>
  <c r="BU336" i="7" s="1"/>
  <c r="BS1770" i="7"/>
  <c r="BR1770" i="7"/>
  <c r="BU1770" i="7" s="1"/>
  <c r="BP222" i="7"/>
  <c r="BS14" i="8" s="1"/>
  <c r="BR531" i="7"/>
  <c r="BU531" i="7" s="1"/>
  <c r="BS531" i="7"/>
  <c r="BR75" i="7"/>
  <c r="BU75" i="7" s="1"/>
  <c r="BS75" i="7"/>
  <c r="CZ54" i="1"/>
  <c r="DA54" i="1"/>
  <c r="BR269" i="7"/>
  <c r="BU269" i="7" s="1"/>
  <c r="BS269" i="7"/>
  <c r="BS1209" i="7"/>
  <c r="BR1209" i="7"/>
  <c r="BU1209" i="7" s="1"/>
  <c r="BR186" i="7"/>
  <c r="BS186" i="7"/>
  <c r="BR1472" i="7"/>
  <c r="BU1472" i="7" s="1"/>
  <c r="BS1472" i="7"/>
  <c r="BS89" i="8"/>
  <c r="BR89" i="8"/>
  <c r="BS156" i="7"/>
  <c r="BR156" i="7"/>
  <c r="BS454" i="7"/>
  <c r="BR454" i="7"/>
  <c r="BU454" i="7" s="1"/>
  <c r="BR1955" i="7"/>
  <c r="BU1955" i="7" s="1"/>
  <c r="BS1955" i="7"/>
  <c r="BR34" i="8"/>
  <c r="BS34" i="8"/>
  <c r="BR65" i="7"/>
  <c r="BU65" i="7" s="1"/>
  <c r="BS65" i="7"/>
  <c r="BS1532" i="7"/>
  <c r="BR1532" i="7"/>
  <c r="BU1532" i="7" s="1"/>
  <c r="BS605" i="7"/>
  <c r="BR605" i="7"/>
  <c r="BU605" i="7" s="1"/>
  <c r="BT47" i="7"/>
  <c r="BT83" i="8"/>
  <c r="BS1595" i="7"/>
  <c r="BR1595" i="7"/>
  <c r="BU1595" i="7" s="1"/>
  <c r="BS2190" i="7"/>
  <c r="BR2190" i="7"/>
  <c r="BU2190" i="7" s="1"/>
  <c r="BR1050" i="7"/>
  <c r="BU1050" i="7" s="1"/>
  <c r="BS1050" i="7"/>
  <c r="BR1190" i="7"/>
  <c r="BU1190" i="7" s="1"/>
  <c r="BS1190" i="7"/>
  <c r="BR2120" i="7"/>
  <c r="BU2120" i="7" s="1"/>
  <c r="BS2120" i="7"/>
  <c r="BP215" i="7"/>
  <c r="BR1154" i="7"/>
  <c r="BU1154" i="7" s="1"/>
  <c r="BS1154" i="7"/>
  <c r="BR2199" i="7"/>
  <c r="BU2199" i="7" s="1"/>
  <c r="BS2199" i="7"/>
  <c r="BP410" i="7"/>
  <c r="BR38" i="8" s="1"/>
  <c r="BR449" i="7"/>
  <c r="BU449" i="7" s="1"/>
  <c r="BS449" i="7"/>
  <c r="BR2257" i="7"/>
  <c r="BU2257" i="7" s="1"/>
  <c r="BS2257" i="7"/>
  <c r="BS540" i="7"/>
  <c r="BR540" i="7"/>
  <c r="BU540" i="7" s="1"/>
  <c r="BR1226" i="7"/>
  <c r="BU1226" i="7" s="1"/>
  <c r="BS1226" i="7"/>
  <c r="BR1754" i="7"/>
  <c r="BU1754" i="7" s="1"/>
  <c r="BS1754" i="7"/>
  <c r="BR1178" i="7"/>
  <c r="BU1178" i="7" s="1"/>
  <c r="BS1178" i="7"/>
  <c r="BP1682" i="7"/>
  <c r="BP16" i="8"/>
  <c r="BR1657" i="7"/>
  <c r="BU1657" i="7" s="1"/>
  <c r="BS1657" i="7"/>
  <c r="BS2166" i="7"/>
  <c r="BR2166" i="7"/>
  <c r="BU2166" i="7" s="1"/>
  <c r="BS376" i="7"/>
  <c r="BR376" i="7"/>
  <c r="BU376" i="7" s="1"/>
  <c r="BS654" i="7"/>
  <c r="BR654" i="7"/>
  <c r="BU654" i="7" s="1"/>
  <c r="BS249" i="7"/>
  <c r="BR249" i="7"/>
  <c r="BU249" i="7" s="1"/>
  <c r="BR1970" i="7"/>
  <c r="BU1970" i="7" s="1"/>
  <c r="BS1970" i="7"/>
  <c r="BP33" i="7"/>
  <c r="BR33" i="8" s="1"/>
  <c r="BP72" i="8"/>
  <c r="BP165" i="7"/>
  <c r="BR736" i="7"/>
  <c r="BU736" i="7" s="1"/>
  <c r="BS736" i="7"/>
  <c r="BR1935" i="7"/>
  <c r="BU1935" i="7" s="1"/>
  <c r="BS1935" i="7"/>
  <c r="BS1166" i="7"/>
  <c r="BR1166" i="7"/>
  <c r="BU1166" i="7" s="1"/>
  <c r="BR265" i="7"/>
  <c r="BU265" i="7" s="1"/>
  <c r="BS265" i="7"/>
  <c r="BT54" i="7"/>
  <c r="BT85" i="8"/>
  <c r="BR2262" i="7"/>
  <c r="BU2262" i="7" s="1"/>
  <c r="BS2262" i="7"/>
  <c r="BS1822" i="7"/>
  <c r="BR1822" i="7"/>
  <c r="BU1822" i="7" s="1"/>
  <c r="BR481" i="7"/>
  <c r="BU481" i="7" s="1"/>
  <c r="BS481" i="7"/>
  <c r="BR1658" i="7"/>
  <c r="BU1658" i="7" s="1"/>
  <c r="BS1658" i="7"/>
  <c r="BS100" i="7"/>
  <c r="BR100" i="7"/>
  <c r="BU100" i="7" s="1"/>
  <c r="BR1396" i="7"/>
  <c r="BU1396" i="7" s="1"/>
  <c r="BS1396" i="7"/>
  <c r="BS863" i="7"/>
  <c r="BR863" i="7"/>
  <c r="BU863" i="7" s="1"/>
  <c r="BR1662" i="7"/>
  <c r="BU1662" i="7" s="1"/>
  <c r="BS1662" i="7"/>
  <c r="BS1220" i="7"/>
  <c r="BR1220" i="7"/>
  <c r="BU1220" i="7" s="1"/>
  <c r="BS2165" i="7"/>
  <c r="BR2165" i="7"/>
  <c r="BU2165" i="7" s="1"/>
  <c r="BR687" i="7"/>
  <c r="BU687" i="7" s="1"/>
  <c r="BS687" i="7"/>
  <c r="BR2252" i="7"/>
  <c r="BU2252" i="7" s="1"/>
  <c r="BS2252" i="7"/>
  <c r="BS1752" i="7"/>
  <c r="BR1752" i="7"/>
  <c r="BU1752" i="7" s="1"/>
  <c r="BR752" i="7"/>
  <c r="BU752" i="7" s="1"/>
  <c r="BS752" i="7"/>
  <c r="BS1733" i="7"/>
  <c r="BR1733" i="7"/>
  <c r="BU1733" i="7" s="1"/>
  <c r="BR1161" i="7"/>
  <c r="BU1161" i="7" s="1"/>
  <c r="BS1161" i="7"/>
  <c r="BP1159" i="7"/>
  <c r="BS450" i="7"/>
  <c r="BR450" i="7"/>
  <c r="BU450" i="7" s="1"/>
  <c r="BS84" i="7"/>
  <c r="BR84" i="7"/>
  <c r="BU84" i="7" s="1"/>
  <c r="BR1080" i="7"/>
  <c r="BU1080" i="7" s="1"/>
  <c r="BS1080" i="7"/>
  <c r="BR457" i="7"/>
  <c r="BU457" i="7" s="1"/>
  <c r="BS457" i="7"/>
  <c r="BS1110" i="7"/>
  <c r="BR1110" i="7"/>
  <c r="BU1110" i="7" s="1"/>
  <c r="BS1319" i="7"/>
  <c r="BR1319" i="7"/>
  <c r="BU1319" i="7" s="1"/>
  <c r="BS1489" i="7"/>
  <c r="BR1489" i="7"/>
  <c r="BU1489" i="7" s="1"/>
  <c r="BS1666" i="7"/>
  <c r="BR1666" i="7"/>
  <c r="BU1666" i="7" s="1"/>
  <c r="BS1967" i="7"/>
  <c r="BR1967" i="7"/>
  <c r="BU1967" i="7" s="1"/>
  <c r="BR1919" i="7"/>
  <c r="BU1919" i="7" s="1"/>
  <c r="BS1919" i="7"/>
  <c r="BR1968" i="7"/>
  <c r="BU1968" i="7" s="1"/>
  <c r="BS1968" i="7"/>
  <c r="BS1003" i="7"/>
  <c r="BR1003" i="7"/>
  <c r="BU1003" i="7" s="1"/>
  <c r="BR1824" i="7"/>
  <c r="BU1824" i="7" s="1"/>
  <c r="BS1824" i="7"/>
  <c r="BS571" i="7"/>
  <c r="BR571" i="7"/>
  <c r="BU571" i="7" s="1"/>
  <c r="BS125" i="7"/>
  <c r="BR125" i="7"/>
  <c r="BU125" i="7" s="1"/>
  <c r="BS772" i="7"/>
  <c r="BR772" i="7"/>
  <c r="BU772" i="7" s="1"/>
  <c r="BR71" i="7"/>
  <c r="BU71" i="7" s="1"/>
  <c r="BS71" i="7"/>
  <c r="BR1241" i="7"/>
  <c r="BU1241" i="7" s="1"/>
  <c r="BS1241" i="7"/>
  <c r="BS980" i="7"/>
  <c r="BR980" i="7"/>
  <c r="BU980" i="7" s="1"/>
  <c r="BR151" i="7"/>
  <c r="BU151" i="7" s="1"/>
  <c r="BS151" i="7"/>
  <c r="BS464" i="7"/>
  <c r="BR464" i="7"/>
  <c r="BU464" i="7" s="1"/>
  <c r="BR1334" i="7"/>
  <c r="BU1334" i="7" s="1"/>
  <c r="BS1334" i="7"/>
  <c r="BR1796" i="7"/>
  <c r="BU1796" i="7" s="1"/>
  <c r="BS1796" i="7"/>
  <c r="BS1068" i="7"/>
  <c r="BR1068" i="7"/>
  <c r="BU1068" i="7" s="1"/>
  <c r="BS648" i="7"/>
  <c r="BR648" i="7"/>
  <c r="BU648" i="7" s="1"/>
  <c r="BS2035" i="7"/>
  <c r="BR2035" i="7"/>
  <c r="BU2035" i="7" s="1"/>
  <c r="BS2273" i="7"/>
  <c r="BR2273" i="7"/>
  <c r="BU2273" i="7" s="1"/>
  <c r="BS1937" i="7"/>
  <c r="BR1937" i="7"/>
  <c r="BU1937" i="7" s="1"/>
  <c r="BR656" i="7"/>
  <c r="BU656" i="7" s="1"/>
  <c r="BS656" i="7"/>
  <c r="BS1302" i="7"/>
  <c r="BR1302" i="7"/>
  <c r="BU1302" i="7" s="1"/>
  <c r="BR2260" i="7"/>
  <c r="BU2260" i="7" s="1"/>
  <c r="BS2260" i="7"/>
  <c r="BR1819" i="7"/>
  <c r="BU1819" i="7" s="1"/>
  <c r="BS1819" i="7"/>
  <c r="BS829" i="7"/>
  <c r="BR829" i="7"/>
  <c r="BU829" i="7" s="1"/>
  <c r="BS2213" i="7"/>
  <c r="BR2213" i="7"/>
  <c r="BU2213" i="7" s="1"/>
  <c r="BR1763" i="7"/>
  <c r="BU1763" i="7" s="1"/>
  <c r="BS1763" i="7"/>
  <c r="BT153" i="7"/>
  <c r="BT31" i="8"/>
  <c r="BR1407" i="7"/>
  <c r="BU1407" i="7" s="1"/>
  <c r="BS1407" i="7"/>
  <c r="BS1341" i="7"/>
  <c r="BR1341" i="7"/>
  <c r="BU1341" i="7" s="1"/>
  <c r="BP32" i="7"/>
  <c r="BS1861" i="7"/>
  <c r="BR1861" i="7"/>
  <c r="BU1861" i="7" s="1"/>
  <c r="BS121" i="7"/>
  <c r="BR121" i="7"/>
  <c r="BU121" i="7" s="1"/>
  <c r="BS1566" i="7"/>
  <c r="BR1566" i="7"/>
  <c r="BU1566" i="7" s="1"/>
  <c r="BR1175" i="7"/>
  <c r="BU1175" i="7" s="1"/>
  <c r="BS1175" i="7"/>
  <c r="BS1711" i="7"/>
  <c r="BR1711" i="7"/>
  <c r="BU1711" i="7" s="1"/>
  <c r="BR1362" i="7"/>
  <c r="BU1362" i="7" s="1"/>
  <c r="BS1362" i="7"/>
  <c r="BR1644" i="7"/>
  <c r="BU1644" i="7" s="1"/>
  <c r="BS1644" i="7"/>
  <c r="BR70" i="7"/>
  <c r="BU70" i="7" s="1"/>
  <c r="BS70" i="7"/>
  <c r="BR962" i="7"/>
  <c r="BU962" i="7" s="1"/>
  <c r="BS962" i="7"/>
  <c r="BR2240" i="7"/>
  <c r="BU2240" i="7" s="1"/>
  <c r="BS2240" i="7"/>
  <c r="BS338" i="7"/>
  <c r="BR338" i="7"/>
  <c r="BU338" i="7" s="1"/>
  <c r="BR2002" i="7"/>
  <c r="BU2002" i="7" s="1"/>
  <c r="BS2002" i="7"/>
  <c r="BR1641" i="7"/>
  <c r="BU1641" i="7" s="1"/>
  <c r="BS1641" i="7"/>
  <c r="BR623" i="7"/>
  <c r="BU623" i="7" s="1"/>
  <c r="BS623" i="7"/>
  <c r="BS1288" i="7"/>
  <c r="BR1288" i="7"/>
  <c r="BU1288" i="7" s="1"/>
  <c r="BR1456" i="7"/>
  <c r="BU1456" i="7" s="1"/>
  <c r="BS1456" i="7"/>
  <c r="BP14" i="8"/>
  <c r="BR1363" i="7"/>
  <c r="BU1363" i="7" s="1"/>
  <c r="BS1363" i="7"/>
  <c r="BR753" i="7"/>
  <c r="BU753" i="7" s="1"/>
  <c r="BS753" i="7"/>
  <c r="BR1416" i="7"/>
  <c r="BU1416" i="7" s="1"/>
  <c r="BS1416" i="7"/>
  <c r="BS919" i="7"/>
  <c r="BR919" i="7"/>
  <c r="BU919" i="7" s="1"/>
  <c r="BS340" i="7"/>
  <c r="BR340" i="7"/>
  <c r="BU340" i="7" s="1"/>
  <c r="BS1425" i="7"/>
  <c r="BR1425" i="7"/>
  <c r="BU1425" i="7" s="1"/>
  <c r="BS1473" i="7"/>
  <c r="BR1473" i="7"/>
  <c r="BU1473" i="7" s="1"/>
  <c r="BS1258" i="7"/>
  <c r="BR1258" i="7"/>
  <c r="BU1258" i="7" s="1"/>
  <c r="BR1816" i="7"/>
  <c r="BU1816" i="7" s="1"/>
  <c r="BS1816" i="7"/>
  <c r="BT30" i="7"/>
  <c r="BT69" i="8"/>
  <c r="BS1901" i="7"/>
  <c r="BR1901" i="7"/>
  <c r="BU1901" i="7" s="1"/>
  <c r="BR226" i="7"/>
  <c r="BU226" i="7" s="1"/>
  <c r="BS226" i="7"/>
  <c r="BS1696" i="7"/>
  <c r="BR1696" i="7"/>
  <c r="BU1696" i="7" s="1"/>
  <c r="BR590" i="7"/>
  <c r="BU590" i="7" s="1"/>
  <c r="BS590" i="7"/>
  <c r="BR1648" i="7"/>
  <c r="BU1648" i="7" s="1"/>
  <c r="BS1648" i="7"/>
  <c r="BS382" i="7"/>
  <c r="BR382" i="7"/>
  <c r="BS293" i="7"/>
  <c r="BR293" i="7"/>
  <c r="BU293" i="7" s="1"/>
  <c r="BR1837" i="7"/>
  <c r="BU1837" i="7" s="1"/>
  <c r="BS1837" i="7"/>
  <c r="BS1016" i="7"/>
  <c r="BR1016" i="7"/>
  <c r="BU1016" i="7" s="1"/>
  <c r="BR193" i="7"/>
  <c r="BU193" i="7" s="1"/>
  <c r="BS193" i="7"/>
  <c r="BS1125" i="7"/>
  <c r="BR1125" i="7"/>
  <c r="BU1125" i="7" s="1"/>
  <c r="BR1085" i="7"/>
  <c r="BU1085" i="7" s="1"/>
  <c r="BS1085" i="7"/>
  <c r="BS1847" i="7"/>
  <c r="BR1847" i="7"/>
  <c r="BU1847" i="7" s="1"/>
  <c r="BT178" i="7"/>
  <c r="BT26" i="8"/>
  <c r="BS1916" i="7"/>
  <c r="BR1916" i="7"/>
  <c r="BU1916" i="7" s="1"/>
  <c r="BR1609" i="7"/>
  <c r="BU1609" i="7" s="1"/>
  <c r="BS1609" i="7"/>
  <c r="BP184" i="7"/>
  <c r="BP54" i="8"/>
  <c r="BS373" i="7"/>
  <c r="BR373" i="7"/>
  <c r="BU373" i="7" s="1"/>
  <c r="BS1086" i="7"/>
  <c r="BR1086" i="7"/>
  <c r="BU1086" i="7" s="1"/>
  <c r="BP53" i="8"/>
  <c r="BR1900" i="7"/>
  <c r="BU1900" i="7" s="1"/>
  <c r="BS1900" i="7"/>
  <c r="BR1395" i="7"/>
  <c r="BU1395" i="7" s="1"/>
  <c r="BS1395" i="7"/>
  <c r="BS1079" i="7"/>
  <c r="BR1079" i="7"/>
  <c r="BU1079" i="7" s="1"/>
  <c r="BP46" i="7"/>
  <c r="BT112" i="7"/>
  <c r="BT50" i="8"/>
  <c r="BS1872" i="7"/>
  <c r="BR1872" i="7"/>
  <c r="BU1872" i="7" s="1"/>
  <c r="BR642" i="7"/>
  <c r="BU642" i="7" s="1"/>
  <c r="BS642" i="7"/>
  <c r="BS364" i="7"/>
  <c r="BR364" i="7"/>
  <c r="BU364" i="7" s="1"/>
  <c r="BR1985" i="7"/>
  <c r="BU1985" i="7" s="1"/>
  <c r="BS1985" i="7"/>
  <c r="BS981" i="7"/>
  <c r="BR981" i="7"/>
  <c r="BU981" i="7" s="1"/>
  <c r="BR694" i="7"/>
  <c r="BU694" i="7" s="1"/>
  <c r="BS694" i="7"/>
  <c r="BS2233" i="7"/>
  <c r="BR2233" i="7"/>
  <c r="BU2233" i="7" s="1"/>
  <c r="BT5" i="7"/>
  <c r="BT105" i="8"/>
  <c r="BR57" i="8"/>
  <c r="BS57" i="8"/>
  <c r="BR619" i="7"/>
  <c r="BU619" i="7" s="1"/>
  <c r="BS619" i="7"/>
  <c r="BR1387" i="7"/>
  <c r="BU1387" i="7" s="1"/>
  <c r="BS1387" i="7"/>
  <c r="BS2109" i="7"/>
  <c r="BR2109" i="7"/>
  <c r="BU2109" i="7" s="1"/>
  <c r="BR960" i="7"/>
  <c r="BU960" i="7" s="1"/>
  <c r="BS960" i="7"/>
  <c r="BR1596" i="7"/>
  <c r="BU1596" i="7" s="1"/>
  <c r="BS1596" i="7"/>
  <c r="BR1785" i="7"/>
  <c r="BU1785" i="7" s="1"/>
  <c r="BS1785" i="7"/>
  <c r="BT367" i="7"/>
  <c r="BT18" i="8"/>
  <c r="BS1309" i="7"/>
  <c r="BR1309" i="7"/>
  <c r="BU1309" i="7" s="1"/>
  <c r="BS2239" i="7"/>
  <c r="BR2239" i="7"/>
  <c r="BU2239" i="7" s="1"/>
  <c r="BR756" i="7"/>
  <c r="BU756" i="7" s="1"/>
  <c r="BS756" i="7"/>
  <c r="BR474" i="7"/>
  <c r="BU474" i="7" s="1"/>
  <c r="BS474" i="7"/>
  <c r="BR244" i="7"/>
  <c r="BU244" i="7" s="1"/>
  <c r="BS244" i="7"/>
  <c r="BS1774" i="7"/>
  <c r="BR1774" i="7"/>
  <c r="BU1774" i="7" s="1"/>
  <c r="BP168" i="7"/>
  <c r="BR1216" i="7"/>
  <c r="BU1216" i="7" s="1"/>
  <c r="BS1216" i="7"/>
  <c r="BS818" i="7"/>
  <c r="BR818" i="7"/>
  <c r="BU818" i="7" s="1"/>
  <c r="BR1499" i="7"/>
  <c r="BU1499" i="7" s="1"/>
  <c r="BS1499" i="7"/>
  <c r="BT110" i="7"/>
  <c r="BT51" i="8"/>
  <c r="BP57" i="8"/>
  <c r="BT171" i="7"/>
  <c r="BT32" i="8"/>
  <c r="BR1779" i="7"/>
  <c r="BU1779" i="7" s="1"/>
  <c r="BS1779" i="7"/>
  <c r="BP66" i="8"/>
  <c r="BR1084" i="7"/>
  <c r="BU1084" i="7" s="1"/>
  <c r="BS1084" i="7"/>
  <c r="BR1321" i="7"/>
  <c r="BU1321" i="7" s="1"/>
  <c r="BS1321" i="7"/>
  <c r="BR1995" i="7"/>
  <c r="BU1995" i="7" s="1"/>
  <c r="BS1995" i="7"/>
  <c r="BR939" i="7"/>
  <c r="BU939" i="7" s="1"/>
  <c r="BS939" i="7"/>
  <c r="BS1282" i="7"/>
  <c r="BR1282" i="7"/>
  <c r="BU1282" i="7" s="1"/>
  <c r="BR976" i="7"/>
  <c r="BU976" i="7" s="1"/>
  <c r="BS976" i="7"/>
  <c r="BS466" i="7"/>
  <c r="BR466" i="7"/>
  <c r="BU466" i="7" s="1"/>
  <c r="BS1076" i="7"/>
  <c r="BR1076" i="7"/>
  <c r="BU1076" i="7" s="1"/>
  <c r="BT156" i="7"/>
  <c r="BT89" i="8"/>
  <c r="BS911" i="7"/>
  <c r="BR911" i="7"/>
  <c r="BU911" i="7" s="1"/>
  <c r="BT163" i="7"/>
  <c r="BT34" i="8"/>
  <c r="BS576" i="7"/>
  <c r="BR576" i="7"/>
  <c r="BU576" i="7" s="1"/>
  <c r="BS577" i="7"/>
  <c r="BR577" i="7"/>
  <c r="BU577" i="7" s="1"/>
  <c r="BS706" i="7"/>
  <c r="BR706" i="7"/>
  <c r="BU706" i="7" s="1"/>
  <c r="BR1905" i="7"/>
  <c r="BU1905" i="7" s="1"/>
  <c r="BS1905" i="7"/>
  <c r="BR1458" i="7"/>
  <c r="BU1458" i="7" s="1"/>
  <c r="BS1458" i="7"/>
  <c r="BR1071" i="7"/>
  <c r="BU1071" i="7" s="1"/>
  <c r="BS1071" i="7"/>
  <c r="BS1182" i="7"/>
  <c r="BR1182" i="7"/>
  <c r="BU1182" i="7" s="1"/>
  <c r="BS285" i="7"/>
  <c r="BR285" i="7"/>
  <c r="BU285" i="7" s="1"/>
  <c r="BR2055" i="7"/>
  <c r="BU2055" i="7" s="1"/>
  <c r="BS2055" i="7"/>
  <c r="BS2132" i="7"/>
  <c r="BR2132" i="7"/>
  <c r="BU2132" i="7" s="1"/>
  <c r="BR1404" i="7"/>
  <c r="BU1404" i="7" s="1"/>
  <c r="BS1404" i="7"/>
  <c r="BR344" i="7"/>
  <c r="BU344" i="7" s="1"/>
  <c r="BS344" i="7"/>
  <c r="BS47" i="7"/>
  <c r="BS83" i="8"/>
  <c r="BR83" i="8"/>
  <c r="BR47" i="7"/>
  <c r="BS625" i="7"/>
  <c r="BR625" i="7"/>
  <c r="BU625" i="7" s="1"/>
  <c r="BR583" i="7"/>
  <c r="BU583" i="7" s="1"/>
  <c r="BS583" i="7"/>
  <c r="BS1776" i="7"/>
  <c r="BR1776" i="7"/>
  <c r="BU1776" i="7" s="1"/>
  <c r="BS1187" i="7"/>
  <c r="BR1187" i="7"/>
  <c r="BU1187" i="7" s="1"/>
  <c r="BT107" i="7"/>
  <c r="BT20" i="8"/>
  <c r="BR814" i="7"/>
  <c r="BU814" i="7" s="1"/>
  <c r="BS814" i="7"/>
  <c r="BR2155" i="7"/>
  <c r="BU2155" i="7" s="1"/>
  <c r="BS2155" i="7"/>
  <c r="BT31" i="7"/>
  <c r="BT70" i="8"/>
  <c r="BR1374" i="7"/>
  <c r="BU1374" i="7" s="1"/>
  <c r="BS1374" i="7"/>
  <c r="BS748" i="7"/>
  <c r="BR748" i="7"/>
  <c r="BU748" i="7" s="1"/>
  <c r="BS1840" i="7"/>
  <c r="BR1840" i="7"/>
  <c r="BU1840" i="7" s="1"/>
  <c r="BS2197" i="7"/>
  <c r="BR2197" i="7"/>
  <c r="BU2197" i="7" s="1"/>
  <c r="BT410" i="7"/>
  <c r="BT8" i="8"/>
  <c r="BR1219" i="7"/>
  <c r="BU1219" i="7" s="1"/>
  <c r="BS1219" i="7"/>
  <c r="BS941" i="7"/>
  <c r="BR941" i="7"/>
  <c r="BU941" i="7" s="1"/>
  <c r="BR595" i="7"/>
  <c r="BU595" i="7" s="1"/>
  <c r="BS595" i="7"/>
  <c r="BR1893" i="7"/>
  <c r="BU1893" i="7" s="1"/>
  <c r="BS1893" i="7"/>
  <c r="BR2115" i="7"/>
  <c r="BU2115" i="7" s="1"/>
  <c r="BS2115" i="7"/>
  <c r="BS1486" i="7"/>
  <c r="BR1486" i="7"/>
  <c r="BU1486" i="7" s="1"/>
  <c r="BR773" i="7"/>
  <c r="BU773" i="7" s="1"/>
  <c r="BS773" i="7"/>
  <c r="BS895" i="7"/>
  <c r="BR895" i="7"/>
  <c r="BU895" i="7" s="1"/>
  <c r="BR2108" i="7"/>
  <c r="BU2108" i="7" s="1"/>
  <c r="BS2108" i="7"/>
  <c r="BS968" i="7"/>
  <c r="BR968" i="7"/>
  <c r="BU968" i="7" s="1"/>
  <c r="BS732" i="7"/>
  <c r="BR732" i="7"/>
  <c r="BU732" i="7" s="1"/>
  <c r="BS828" i="7"/>
  <c r="BR828" i="7"/>
  <c r="BU828" i="7" s="1"/>
  <c r="BS1568" i="7"/>
  <c r="BR1568" i="7"/>
  <c r="BU1568" i="7" s="1"/>
  <c r="BS992" i="7"/>
  <c r="BR992" i="7"/>
  <c r="BU992" i="7" s="1"/>
  <c r="BS1620" i="7"/>
  <c r="BR1620" i="7"/>
  <c r="BU1620" i="7" s="1"/>
  <c r="BR1577" i="7"/>
  <c r="BU1577" i="7" s="1"/>
  <c r="BS1577" i="7"/>
  <c r="BR1710" i="7"/>
  <c r="BU1710" i="7" s="1"/>
  <c r="BS1710" i="7"/>
  <c r="BR1537" i="7"/>
  <c r="BU1537" i="7" s="1"/>
  <c r="BS1537" i="7"/>
  <c r="BR1809" i="7"/>
  <c r="BU1809" i="7" s="1"/>
  <c r="BS1809" i="7"/>
  <c r="BS1204" i="7"/>
  <c r="BR1204" i="7"/>
  <c r="BU1204" i="7" s="1"/>
  <c r="BT2237" i="7"/>
  <c r="BT17" i="8"/>
  <c r="BR893" i="7"/>
  <c r="BU893" i="7" s="1"/>
  <c r="BS893" i="7"/>
  <c r="BS1918" i="7"/>
  <c r="BR1918" i="7"/>
  <c r="BU1918" i="7" s="1"/>
  <c r="BR2275" i="7"/>
  <c r="BU2275" i="7" s="1"/>
  <c r="BS2275" i="7"/>
  <c r="BR2097" i="7"/>
  <c r="BU2097" i="7" s="1"/>
  <c r="BS2097" i="7"/>
  <c r="BR1224" i="7"/>
  <c r="BU1224" i="7" s="1"/>
  <c r="BS1224" i="7"/>
  <c r="BR1278" i="7"/>
  <c r="BU1278" i="7" s="1"/>
  <c r="BS1278" i="7"/>
  <c r="BR2131" i="7"/>
  <c r="BU2131" i="7" s="1"/>
  <c r="BS2131" i="7"/>
  <c r="BS703" i="7"/>
  <c r="BR703" i="7"/>
  <c r="BU703" i="7" s="1"/>
  <c r="BR2201" i="7"/>
  <c r="BU2201" i="7" s="1"/>
  <c r="BS2201" i="7"/>
  <c r="BS1693" i="7"/>
  <c r="BR1693" i="7"/>
  <c r="BU1693" i="7" s="1"/>
  <c r="BR781" i="7"/>
  <c r="BU781" i="7" s="1"/>
  <c r="BS781" i="7"/>
  <c r="BT39" i="7"/>
  <c r="BT78" i="8"/>
  <c r="BS1329" i="7"/>
  <c r="BR1329" i="7"/>
  <c r="BU1329" i="7" s="1"/>
  <c r="BR598" i="7"/>
  <c r="BU598" i="7" s="1"/>
  <c r="BS598" i="7"/>
  <c r="BR507" i="7"/>
  <c r="BU507" i="7" s="1"/>
  <c r="BS507" i="7"/>
  <c r="BS1590" i="7"/>
  <c r="BR1590" i="7"/>
  <c r="BU1590" i="7" s="1"/>
  <c r="BR1347" i="7"/>
  <c r="BU1347" i="7" s="1"/>
  <c r="BS1347" i="7"/>
  <c r="BS1035" i="7"/>
  <c r="BR1035" i="7"/>
  <c r="BU1035" i="7" s="1"/>
  <c r="BS2103" i="7"/>
  <c r="BR2103" i="7"/>
  <c r="BU2103" i="7" s="1"/>
  <c r="BR73" i="8"/>
  <c r="BS73" i="8"/>
  <c r="BS276" i="7"/>
  <c r="BR276" i="7"/>
  <c r="BU276" i="7" s="1"/>
  <c r="BS1203" i="7"/>
  <c r="BR1203" i="7"/>
  <c r="BU1203" i="7" s="1"/>
  <c r="BS2161" i="7"/>
  <c r="BR2161" i="7"/>
  <c r="BU2161" i="7" s="1"/>
  <c r="BR831" i="7"/>
  <c r="BU831" i="7" s="1"/>
  <c r="BS831" i="7"/>
  <c r="BR105" i="7"/>
  <c r="BU105" i="7" s="1"/>
  <c r="BS105" i="7"/>
  <c r="BS1815" i="7"/>
  <c r="BR1815" i="7"/>
  <c r="BU1815" i="7" s="1"/>
  <c r="BR665" i="7"/>
  <c r="BU665" i="7" s="1"/>
  <c r="BS665" i="7"/>
  <c r="BR274" i="7"/>
  <c r="BU274" i="7" s="1"/>
  <c r="BS274" i="7"/>
  <c r="BS1610" i="7"/>
  <c r="BR1610" i="7"/>
  <c r="BU1610" i="7" s="1"/>
  <c r="BT38" i="8"/>
  <c r="BT858" i="7"/>
  <c r="BS1332" i="7"/>
  <c r="BR1332" i="7"/>
  <c r="BU1332" i="7" s="1"/>
  <c r="BS1818" i="7"/>
  <c r="BR1818" i="7"/>
  <c r="BU1818" i="7" s="1"/>
  <c r="BP73" i="8"/>
  <c r="BR307" i="7"/>
  <c r="BU307" i="7" s="1"/>
  <c r="BS307" i="7"/>
  <c r="BR271" i="7"/>
  <c r="BU271" i="7" s="1"/>
  <c r="BS271" i="7"/>
  <c r="BR2203" i="7"/>
  <c r="BU2203" i="7" s="1"/>
  <c r="BS2203" i="7"/>
  <c r="BR999" i="7"/>
  <c r="BU999" i="7" s="1"/>
  <c r="BS999" i="7"/>
  <c r="BS1205" i="7"/>
  <c r="BR1205" i="7"/>
  <c r="BU1205" i="7" s="1"/>
  <c r="BR2107" i="7"/>
  <c r="BU2107" i="7" s="1"/>
  <c r="BS2107" i="7"/>
  <c r="BR920" i="7"/>
  <c r="BU920" i="7" s="1"/>
  <c r="BS920" i="7"/>
  <c r="BR1519" i="7"/>
  <c r="BU1519" i="7" s="1"/>
  <c r="BS1519" i="7"/>
  <c r="BR811" i="7"/>
  <c r="BU811" i="7" s="1"/>
  <c r="BS811" i="7"/>
  <c r="BR719" i="7"/>
  <c r="BU719" i="7" s="1"/>
  <c r="BS719" i="7"/>
  <c r="BS104" i="7"/>
  <c r="BR104" i="7"/>
  <c r="BU104" i="7" s="1"/>
  <c r="BR1896" i="7"/>
  <c r="BU1896" i="7" s="1"/>
  <c r="BS1896" i="7"/>
  <c r="BS1265" i="7"/>
  <c r="BR1265" i="7"/>
  <c r="BU1265" i="7" s="1"/>
  <c r="BR25" i="7"/>
  <c r="BU25" i="7" s="1"/>
  <c r="BS25" i="7"/>
  <c r="BS114" i="7"/>
  <c r="BR114" i="7"/>
  <c r="BU114" i="7" s="1"/>
  <c r="BR2204" i="7"/>
  <c r="BU2204" i="7" s="1"/>
  <c r="BS2204" i="7"/>
  <c r="BS994" i="7"/>
  <c r="BR994" i="7"/>
  <c r="BU994" i="7" s="1"/>
  <c r="BS425" i="7"/>
  <c r="BR425" i="7"/>
  <c r="BU425" i="7" s="1"/>
  <c r="BS682" i="7"/>
  <c r="BR682" i="7"/>
  <c r="BU682" i="7" s="1"/>
  <c r="BS1895" i="7"/>
  <c r="BR1895" i="7"/>
  <c r="BU1895" i="7" s="1"/>
  <c r="BR1812" i="7"/>
  <c r="BU1812" i="7" s="1"/>
  <c r="BS1812" i="7"/>
  <c r="BR1619" i="7"/>
  <c r="BU1619" i="7" s="1"/>
  <c r="BS1619" i="7"/>
  <c r="BS801" i="7"/>
  <c r="BR801" i="7"/>
  <c r="BU801" i="7" s="1"/>
  <c r="BR1831" i="7"/>
  <c r="BU1831" i="7" s="1"/>
  <c r="BS1831" i="7"/>
  <c r="BS1294" i="7"/>
  <c r="BR1294" i="7"/>
  <c r="BU1294" i="7" s="1"/>
  <c r="BR259" i="7"/>
  <c r="BU259" i="7" s="1"/>
  <c r="BS259" i="7"/>
  <c r="BR1134" i="7"/>
  <c r="BU1134" i="7" s="1"/>
  <c r="BS1134" i="7"/>
  <c r="BR746" i="7"/>
  <c r="BU746" i="7" s="1"/>
  <c r="BS746" i="7"/>
  <c r="BS2211" i="7"/>
  <c r="BR2211" i="7"/>
  <c r="BU2211" i="7" s="1"/>
  <c r="BS689" i="7"/>
  <c r="BR689" i="7"/>
  <c r="BU689" i="7" s="1"/>
  <c r="BS1884" i="7"/>
  <c r="BR1884" i="7"/>
  <c r="BU1884" i="7" s="1"/>
  <c r="BR362" i="7"/>
  <c r="BU362" i="7" s="1"/>
  <c r="BS362" i="7"/>
  <c r="BR1680" i="7"/>
  <c r="BU1680" i="7" s="1"/>
  <c r="BS1680" i="7"/>
  <c r="BS559" i="7"/>
  <c r="BR559" i="7"/>
  <c r="BU559" i="7" s="1"/>
  <c r="BS860" i="7"/>
  <c r="BR860" i="7"/>
  <c r="BU860" i="7" s="1"/>
  <c r="BS1317" i="7"/>
  <c r="BR1317" i="7"/>
  <c r="BU1317" i="7" s="1"/>
  <c r="BR951" i="7"/>
  <c r="BU951" i="7" s="1"/>
  <c r="BS951" i="7"/>
  <c r="BT101" i="8"/>
  <c r="BT188" i="7"/>
  <c r="BR159" i="7"/>
  <c r="BU159" i="7" s="1"/>
  <c r="BS159" i="7"/>
  <c r="BS1005" i="7"/>
  <c r="BR1005" i="7"/>
  <c r="BU1005" i="7" s="1"/>
  <c r="BR1599" i="7"/>
  <c r="BU1599" i="7" s="1"/>
  <c r="BS1599" i="7"/>
  <c r="BS1021" i="7"/>
  <c r="BR1021" i="7"/>
  <c r="BU1021" i="7" s="1"/>
  <c r="BS1364" i="7"/>
  <c r="BR1364" i="7"/>
  <c r="BU1364" i="7" s="1"/>
  <c r="BS553" i="7"/>
  <c r="BR553" i="7"/>
  <c r="BU553" i="7" s="1"/>
  <c r="BR1871" i="7"/>
  <c r="BU1871" i="7" s="1"/>
  <c r="BS1871" i="7"/>
  <c r="BR1746" i="7"/>
  <c r="BU1746" i="7" s="1"/>
  <c r="BS1746" i="7"/>
  <c r="BS1580" i="7"/>
  <c r="BR1580" i="7"/>
  <c r="BU1580" i="7" s="1"/>
  <c r="BR1736" i="7"/>
  <c r="BU1736" i="7" s="1"/>
  <c r="BS1736" i="7"/>
  <c r="BR1450" i="7"/>
  <c r="BU1450" i="7" s="1"/>
  <c r="BS1450" i="7"/>
  <c r="BR485" i="7"/>
  <c r="BU485" i="7" s="1"/>
  <c r="BS485" i="7"/>
  <c r="BR958" i="7"/>
  <c r="BU958" i="7" s="1"/>
  <c r="BS958" i="7"/>
  <c r="BR2028" i="7"/>
  <c r="BU2028" i="7" s="1"/>
  <c r="BS2028" i="7"/>
  <c r="BR1806" i="7"/>
  <c r="BU1806" i="7" s="1"/>
  <c r="BS1806" i="7"/>
  <c r="BS1830" i="7"/>
  <c r="BR1830" i="7"/>
  <c r="BU1830" i="7" s="1"/>
  <c r="BS1677" i="7"/>
  <c r="BR1677" i="7"/>
  <c r="BU1677" i="7" s="1"/>
  <c r="BR49" i="8"/>
  <c r="BS49" i="8"/>
  <c r="BS1989" i="7"/>
  <c r="BR1989" i="7"/>
  <c r="BU1989" i="7" s="1"/>
  <c r="BS1393" i="7"/>
  <c r="BR1393" i="7"/>
  <c r="BU1393" i="7" s="1"/>
  <c r="BS287" i="7"/>
  <c r="BR287" i="7"/>
  <c r="BU287" i="7" s="1"/>
  <c r="BR1070" i="7"/>
  <c r="BU1070" i="7" s="1"/>
  <c r="BS1070" i="7"/>
  <c r="BS789" i="7"/>
  <c r="BR789" i="7"/>
  <c r="BU789" i="7" s="1"/>
  <c r="BS2111" i="7"/>
  <c r="BR2111" i="7"/>
  <c r="BU2111" i="7" s="1"/>
  <c r="BR298" i="7"/>
  <c r="BU298" i="7" s="1"/>
  <c r="BS298" i="7"/>
  <c r="BS2234" i="7"/>
  <c r="BR2234" i="7"/>
  <c r="BU2234" i="7" s="1"/>
  <c r="BS873" i="7"/>
  <c r="BR873" i="7"/>
  <c r="BU873" i="7" s="1"/>
  <c r="BR646" i="7"/>
  <c r="BU646" i="7" s="1"/>
  <c r="BS646" i="7"/>
  <c r="BR1654" i="7"/>
  <c r="BU1654" i="7" s="1"/>
  <c r="BS1654" i="7"/>
  <c r="BS411" i="7"/>
  <c r="BR411" i="7"/>
  <c r="BU411" i="7" s="1"/>
  <c r="BR1990" i="7"/>
  <c r="BU1990" i="7" s="1"/>
  <c r="BS1990" i="7"/>
  <c r="BR1993" i="7"/>
  <c r="BU1993" i="7" s="1"/>
  <c r="BS1993" i="7"/>
  <c r="BR342" i="7"/>
  <c r="BU342" i="7" s="1"/>
  <c r="BS342" i="7"/>
  <c r="BS1380" i="7"/>
  <c r="BR1380" i="7"/>
  <c r="BU1380" i="7" s="1"/>
  <c r="BS1588" i="7"/>
  <c r="BR1588" i="7"/>
  <c r="BU1588" i="7" s="1"/>
  <c r="BR768" i="7"/>
  <c r="BU768" i="7" s="1"/>
  <c r="BS768" i="7"/>
  <c r="BS1017" i="7"/>
  <c r="BR1017" i="7"/>
  <c r="BU1017" i="7" s="1"/>
  <c r="BR2092" i="7"/>
  <c r="BU2092" i="7" s="1"/>
  <c r="BS2092" i="7"/>
  <c r="BS865" i="7"/>
  <c r="BR865" i="7"/>
  <c r="BU865" i="7" s="1"/>
  <c r="BS26" i="8"/>
  <c r="BS178" i="7"/>
  <c r="BR178" i="7"/>
  <c r="BS415" i="7"/>
  <c r="BR415" i="7"/>
  <c r="BU415" i="7" s="1"/>
  <c r="BR1335" i="7"/>
  <c r="BU1335" i="7" s="1"/>
  <c r="BS1335" i="7"/>
  <c r="BS2256" i="7"/>
  <c r="BR2256" i="7"/>
  <c r="BU2256" i="7" s="1"/>
  <c r="BR2068" i="7"/>
  <c r="BU2068" i="7" s="1"/>
  <c r="BS2068" i="7"/>
  <c r="BS451" i="7"/>
  <c r="BR451" i="7"/>
  <c r="BU451" i="7" s="1"/>
  <c r="BR1912" i="7"/>
  <c r="BU1912" i="7" s="1"/>
  <c r="BS1912" i="7"/>
  <c r="BR16" i="7"/>
  <c r="BU16" i="7" s="1"/>
  <c r="BS16" i="7"/>
  <c r="BR2142" i="7"/>
  <c r="BU2142" i="7" s="1"/>
  <c r="BS2142" i="7"/>
  <c r="BT46" i="7"/>
  <c r="BT84" i="8"/>
  <c r="BP112" i="7"/>
  <c r="BR1548" i="7"/>
  <c r="BU1548" i="7" s="1"/>
  <c r="BS1548" i="7"/>
  <c r="BS1561" i="7"/>
  <c r="BR1561" i="7"/>
  <c r="BU1561" i="7" s="1"/>
  <c r="BR688" i="7"/>
  <c r="BU688" i="7" s="1"/>
  <c r="BS688" i="7"/>
  <c r="BT181" i="7"/>
  <c r="BT57" i="8"/>
  <c r="BS1564" i="7"/>
  <c r="BR1564" i="7"/>
  <c r="BU1564" i="7" s="1"/>
  <c r="BS2039" i="7"/>
  <c r="BR2039" i="7"/>
  <c r="BU2039" i="7" s="1"/>
  <c r="BS535" i="7"/>
  <c r="BR535" i="7"/>
  <c r="BU535" i="7" s="1"/>
  <c r="BS1255" i="7"/>
  <c r="BR1255" i="7"/>
  <c r="BU1255" i="7" s="1"/>
  <c r="BR740" i="7"/>
  <c r="BU740" i="7" s="1"/>
  <c r="BS740" i="7"/>
  <c r="BS2270" i="7"/>
  <c r="BR2270" i="7"/>
  <c r="BU2270" i="7" s="1"/>
  <c r="BS953" i="7"/>
  <c r="BR953" i="7"/>
  <c r="BU953" i="7" s="1"/>
  <c r="BP367" i="7"/>
  <c r="BS983" i="7"/>
  <c r="BR983" i="7"/>
  <c r="BU983" i="7" s="1"/>
  <c r="BS1042" i="7"/>
  <c r="BR1042" i="7"/>
  <c r="BU1042" i="7" s="1"/>
  <c r="BR1033" i="7"/>
  <c r="BU1033" i="7" s="1"/>
  <c r="BS1033" i="7"/>
  <c r="BS1263" i="7"/>
  <c r="BR1263" i="7"/>
  <c r="BU1263" i="7" s="1"/>
  <c r="BR1452" i="7"/>
  <c r="BU1452" i="7" s="1"/>
  <c r="BS1452" i="7"/>
  <c r="BS551" i="7"/>
  <c r="BR551" i="7"/>
  <c r="BU551" i="7" s="1"/>
  <c r="BR997" i="7"/>
  <c r="BU997" i="7" s="1"/>
  <c r="BS997" i="7"/>
  <c r="BR1399" i="7"/>
  <c r="BU1399" i="7" s="1"/>
  <c r="BS1399" i="7"/>
  <c r="BS765" i="7"/>
  <c r="BR765" i="7"/>
  <c r="BU765" i="7" s="1"/>
  <c r="BP171" i="7"/>
  <c r="BT26" i="7"/>
  <c r="BT65" i="8"/>
  <c r="BS1635" i="7"/>
  <c r="BR1635" i="7"/>
  <c r="BU1635" i="7" s="1"/>
  <c r="BR1944" i="7"/>
  <c r="BU1944" i="7" s="1"/>
  <c r="BS1944" i="7"/>
  <c r="BS1249" i="7"/>
  <c r="BR1249" i="7"/>
  <c r="BU1249" i="7" s="1"/>
  <c r="BS1371" i="7"/>
  <c r="BR1371" i="7"/>
  <c r="BU1371" i="7" s="1"/>
  <c r="BR2186" i="7"/>
  <c r="BU2186" i="7" s="1"/>
  <c r="BS2186" i="7"/>
  <c r="CZ93" i="1"/>
  <c r="CZ279" i="1"/>
  <c r="DA57" i="1"/>
  <c r="DA231" i="1"/>
  <c r="CZ103" i="1"/>
  <c r="DA55" i="3"/>
  <c r="CZ55" i="3"/>
  <c r="DA103" i="1"/>
  <c r="CZ199" i="1"/>
  <c r="CZ94" i="1"/>
  <c r="DA214" i="1"/>
  <c r="DA117" i="1"/>
  <c r="CZ63" i="1"/>
  <c r="DA63" i="1"/>
  <c r="DA53" i="1"/>
  <c r="CZ276" i="1"/>
  <c r="DA276" i="1"/>
  <c r="CZ177" i="1"/>
  <c r="DA177" i="1"/>
  <c r="DA194" i="1"/>
  <c r="CZ6" i="1"/>
  <c r="DA6" i="1"/>
  <c r="CZ129" i="1"/>
  <c r="DA129" i="1"/>
  <c r="CZ238" i="1"/>
  <c r="DA238" i="1"/>
  <c r="CZ150" i="1"/>
  <c r="DA150" i="1"/>
  <c r="CZ130" i="1"/>
  <c r="DA130" i="1"/>
  <c r="CZ170" i="1"/>
  <c r="DA170" i="1"/>
  <c r="DA241" i="1"/>
  <c r="CZ241" i="1"/>
  <c r="CZ296" i="1"/>
  <c r="DA296" i="1"/>
  <c r="CZ174" i="1"/>
  <c r="DA174" i="1"/>
  <c r="CZ233" i="1"/>
  <c r="DA233" i="1"/>
  <c r="CZ200" i="1"/>
  <c r="DA200" i="1"/>
  <c r="CZ308" i="1"/>
  <c r="DA308" i="1"/>
  <c r="CZ175" i="1"/>
  <c r="DA175" i="1"/>
  <c r="CZ265" i="1"/>
  <c r="DA265" i="1"/>
  <c r="CZ181" i="1"/>
  <c r="DA181" i="1"/>
  <c r="CZ19" i="1"/>
  <c r="DA19" i="1"/>
  <c r="CZ79" i="1"/>
  <c r="DA79" i="1"/>
  <c r="CZ275" i="1"/>
  <c r="DA275" i="1"/>
  <c r="CZ37" i="1"/>
  <c r="DA37" i="1"/>
  <c r="CZ184" i="1"/>
  <c r="DA184" i="1"/>
  <c r="CZ58" i="1"/>
  <c r="DA58" i="1"/>
  <c r="CZ4" i="1"/>
  <c r="DA4" i="1"/>
  <c r="CZ237" i="1"/>
  <c r="DA237" i="1"/>
  <c r="CZ87" i="1"/>
  <c r="DA87" i="1"/>
  <c r="CZ3" i="1"/>
  <c r="DA3" i="1"/>
  <c r="CZ217" i="1"/>
  <c r="DA217" i="1"/>
  <c r="DA189" i="1"/>
  <c r="CZ189" i="1"/>
  <c r="CZ100" i="1"/>
  <c r="DA100" i="1"/>
  <c r="CZ119" i="1"/>
  <c r="DA119" i="1"/>
  <c r="BS221" i="7" l="1"/>
  <c r="BR52" i="8"/>
  <c r="BS2122" i="7"/>
  <c r="BS27" i="7"/>
  <c r="BS31" i="8"/>
  <c r="BS89" i="7"/>
  <c r="BR53" i="8"/>
  <c r="BR91" i="8"/>
  <c r="BS33" i="8"/>
  <c r="BR216" i="7"/>
  <c r="BU216" i="7" s="1"/>
  <c r="BS216" i="7"/>
  <c r="BR181" i="7"/>
  <c r="BU181" i="7" s="1"/>
  <c r="BS34" i="7"/>
  <c r="BS384" i="7"/>
  <c r="BS163" i="7"/>
  <c r="CZ257" i="1"/>
  <c r="DA257" i="1"/>
  <c r="BR150" i="7"/>
  <c r="BU150" i="7" s="1"/>
  <c r="BS150" i="7"/>
  <c r="BR124" i="7"/>
  <c r="BU124" i="7" s="1"/>
  <c r="BR90" i="7"/>
  <c r="BU90" i="7" s="1"/>
  <c r="CZ211" i="1"/>
  <c r="DA211" i="1"/>
  <c r="BS182" i="7"/>
  <c r="BS111" i="7"/>
  <c r="BS421" i="7"/>
  <c r="BR26" i="8"/>
  <c r="BR31" i="8"/>
  <c r="BS408" i="7"/>
  <c r="BS107" i="7"/>
  <c r="BR105" i="8"/>
  <c r="BS9" i="8"/>
  <c r="BR14" i="8"/>
  <c r="BR5" i="7"/>
  <c r="BU9" i="8" s="1"/>
  <c r="BR92" i="7"/>
  <c r="BU92" i="7" s="1"/>
  <c r="BS105" i="8"/>
  <c r="BS92" i="7"/>
  <c r="BR39" i="7"/>
  <c r="BU39" i="7" s="1"/>
  <c r="BR20" i="8"/>
  <c r="BS20" i="8"/>
  <c r="BS78" i="8"/>
  <c r="BS39" i="7"/>
  <c r="BU87" i="8"/>
  <c r="BR17" i="8"/>
  <c r="BS17" i="8"/>
  <c r="BR2237" i="7"/>
  <c r="BS2237" i="7"/>
  <c r="BS65" i="8"/>
  <c r="BR65" i="8"/>
  <c r="BR26" i="7"/>
  <c r="BU26" i="8" s="1"/>
  <c r="BS26" i="7"/>
  <c r="BR29" i="8"/>
  <c r="BS29" i="8"/>
  <c r="BS174" i="7"/>
  <c r="BR174" i="7"/>
  <c r="BS82" i="8"/>
  <c r="BR91" i="7"/>
  <c r="BU91" i="8" s="1"/>
  <c r="BR82" i="8"/>
  <c r="BS91" i="7"/>
  <c r="BS60" i="8"/>
  <c r="BR427" i="7"/>
  <c r="BS427" i="7"/>
  <c r="BR60" i="8"/>
  <c r="BU183" i="7"/>
  <c r="BU95" i="8"/>
  <c r="BR55" i="8"/>
  <c r="BS55" i="8"/>
  <c r="BS185" i="7"/>
  <c r="BR185" i="7"/>
  <c r="BR74" i="8"/>
  <c r="BS74" i="8"/>
  <c r="BS35" i="7"/>
  <c r="BR35" i="7"/>
  <c r="BR32" i="8"/>
  <c r="BS32" i="8"/>
  <c r="BS171" i="7"/>
  <c r="BR171" i="7"/>
  <c r="BU382" i="7"/>
  <c r="BU7" i="8"/>
  <c r="BR94" i="8"/>
  <c r="BS94" i="8"/>
  <c r="BS222" i="7"/>
  <c r="BR222" i="7"/>
  <c r="BU217" i="7"/>
  <c r="BU98" i="8"/>
  <c r="BU180" i="7"/>
  <c r="BU43" i="8"/>
  <c r="BU408" i="7"/>
  <c r="BS167" i="7"/>
  <c r="BR167" i="7"/>
  <c r="BS23" i="8"/>
  <c r="BR23" i="8"/>
  <c r="BR100" i="8"/>
  <c r="BS100" i="8"/>
  <c r="BS63" i="7"/>
  <c r="BR63" i="7"/>
  <c r="BU63" i="8" s="1"/>
  <c r="BS75" i="8"/>
  <c r="BR36" i="7"/>
  <c r="BR75" i="8"/>
  <c r="BS36" i="7"/>
  <c r="BR1159" i="7"/>
  <c r="BS1159" i="7"/>
  <c r="BR13" i="8"/>
  <c r="BU178" i="7"/>
  <c r="BR28" i="8"/>
  <c r="BS28" i="8"/>
  <c r="BR168" i="7"/>
  <c r="BS168" i="7"/>
  <c r="BU186" i="7"/>
  <c r="BU102" i="8"/>
  <c r="BR19" i="8"/>
  <c r="BS19" i="8"/>
  <c r="BR52" i="7"/>
  <c r="BU52" i="8" s="1"/>
  <c r="BS52" i="7"/>
  <c r="BR59" i="8"/>
  <c r="BS59" i="8"/>
  <c r="BR419" i="7"/>
  <c r="BS419" i="7"/>
  <c r="BS123" i="7"/>
  <c r="BR104" i="8"/>
  <c r="BS104" i="8"/>
  <c r="BR123" i="7"/>
  <c r="BU2122" i="7"/>
  <c r="BU15" i="8"/>
  <c r="BS67" i="8"/>
  <c r="BR67" i="8"/>
  <c r="BR28" i="7"/>
  <c r="BS28" i="7"/>
  <c r="BU107" i="7"/>
  <c r="BU20" i="8"/>
  <c r="BS188" i="7"/>
  <c r="BR101" i="8"/>
  <c r="BS101" i="8"/>
  <c r="BR188" i="7"/>
  <c r="BU111" i="7"/>
  <c r="BU49" i="8"/>
  <c r="BR46" i="7"/>
  <c r="BS46" i="7"/>
  <c r="BR84" i="8"/>
  <c r="BS84" i="8"/>
  <c r="BR44" i="8"/>
  <c r="BS44" i="8"/>
  <c r="BR158" i="7"/>
  <c r="BS158" i="7"/>
  <c r="BS80" i="8"/>
  <c r="BR80" i="8"/>
  <c r="BR41" i="7"/>
  <c r="BS41" i="7"/>
  <c r="BU385" i="7"/>
  <c r="BU384" i="7"/>
  <c r="BU4" i="8"/>
  <c r="BS2" i="8"/>
  <c r="BS823" i="7"/>
  <c r="BR823" i="7"/>
  <c r="BR2" i="8"/>
  <c r="BS99" i="8"/>
  <c r="BS64" i="7"/>
  <c r="BR64" i="7"/>
  <c r="BR99" i="8"/>
  <c r="BS157" i="7"/>
  <c r="BR24" i="8"/>
  <c r="BS24" i="8"/>
  <c r="BR157" i="7"/>
  <c r="BS8" i="8"/>
  <c r="BR8" i="8"/>
  <c r="BS410" i="7"/>
  <c r="BR410" i="7"/>
  <c r="BR54" i="8"/>
  <c r="BS54" i="8"/>
  <c r="BS184" i="7"/>
  <c r="BR184" i="7"/>
  <c r="BS92" i="8"/>
  <c r="BR92" i="8"/>
  <c r="BS215" i="7"/>
  <c r="BR215" i="7"/>
  <c r="BU153" i="7"/>
  <c r="BS30" i="8"/>
  <c r="BS172" i="7"/>
  <c r="BR172" i="7"/>
  <c r="BR30" i="8"/>
  <c r="BU221" i="7"/>
  <c r="BU97" i="8"/>
  <c r="BS173" i="7"/>
  <c r="BR173" i="7"/>
  <c r="BR36" i="8"/>
  <c r="BS36" i="8"/>
  <c r="BR25" i="8"/>
  <c r="BS25" i="8"/>
  <c r="BS179" i="7"/>
  <c r="BR179" i="7"/>
  <c r="BU89" i="7"/>
  <c r="BU22" i="8"/>
  <c r="BS219" i="7"/>
  <c r="BR93" i="8"/>
  <c r="BS93" i="8"/>
  <c r="BR219" i="7"/>
  <c r="BR46" i="8"/>
  <c r="BS46" i="8"/>
  <c r="BR93" i="7"/>
  <c r="BS93" i="7"/>
  <c r="BS12" i="8"/>
  <c r="BR12" i="8"/>
  <c r="BR1925" i="7"/>
  <c r="BS1925" i="7"/>
  <c r="BU163" i="7"/>
  <c r="BU34" i="8"/>
  <c r="BU57" i="8"/>
  <c r="BS42" i="8"/>
  <c r="BS161" i="7"/>
  <c r="BR161" i="7"/>
  <c r="BR42" i="8"/>
  <c r="BU421" i="7"/>
  <c r="BR3" i="8"/>
  <c r="BS3" i="8"/>
  <c r="BS381" i="7"/>
  <c r="BR381" i="7"/>
  <c r="BR90" i="8"/>
  <c r="BS90" i="8"/>
  <c r="BR155" i="7"/>
  <c r="BS155" i="7"/>
  <c r="BS108" i="7"/>
  <c r="BS47" i="8"/>
  <c r="BR108" i="7"/>
  <c r="BR47" i="8"/>
  <c r="BR41" i="8"/>
  <c r="BR162" i="7"/>
  <c r="BS162" i="7"/>
  <c r="BS41" i="8"/>
  <c r="BS176" i="7"/>
  <c r="BR56" i="8"/>
  <c r="BS56" i="8"/>
  <c r="BR176" i="7"/>
  <c r="BS30" i="7"/>
  <c r="BR30" i="7"/>
  <c r="BS69" i="8"/>
  <c r="BR69" i="8"/>
  <c r="BU154" i="7"/>
  <c r="BU88" i="8"/>
  <c r="BS71" i="8"/>
  <c r="BR32" i="7"/>
  <c r="BR71" i="8"/>
  <c r="BS32" i="7"/>
  <c r="BS40" i="8"/>
  <c r="BR40" i="8"/>
  <c r="BS165" i="7"/>
  <c r="BR165" i="7"/>
  <c r="BS35" i="8"/>
  <c r="BR35" i="8"/>
  <c r="BR170" i="7"/>
  <c r="BS170" i="7"/>
  <c r="BR27" i="8"/>
  <c r="BS27" i="8"/>
  <c r="BR152" i="7"/>
  <c r="BS152" i="7"/>
  <c r="BU166" i="7"/>
  <c r="BU218" i="7"/>
  <c r="BU182" i="7"/>
  <c r="BU103" i="8"/>
  <c r="BR112" i="7"/>
  <c r="BR50" i="8"/>
  <c r="BS50" i="8"/>
  <c r="BS112" i="7"/>
  <c r="BU156" i="7"/>
  <c r="BU89" i="8"/>
  <c r="BS85" i="8"/>
  <c r="BR54" i="7"/>
  <c r="BR85" i="8"/>
  <c r="BS54" i="7"/>
  <c r="BS62" i="8"/>
  <c r="BR62" i="8"/>
  <c r="BR429" i="7"/>
  <c r="BS429" i="7"/>
  <c r="BR37" i="8"/>
  <c r="BS37" i="8"/>
  <c r="BR175" i="7"/>
  <c r="BS175" i="7"/>
  <c r="BU78" i="8"/>
  <c r="BS2123" i="7"/>
  <c r="BR11" i="8"/>
  <c r="BS11" i="8"/>
  <c r="BR2123" i="7"/>
  <c r="BR18" i="8"/>
  <c r="BS18" i="8"/>
  <c r="BS367" i="7"/>
  <c r="BR367" i="7"/>
  <c r="BS13" i="8"/>
  <c r="BS33" i="7"/>
  <c r="BS72" i="8"/>
  <c r="BR72" i="8"/>
  <c r="BR33" i="7"/>
  <c r="BR48" i="8"/>
  <c r="BS48" i="8"/>
  <c r="BR109" i="7"/>
  <c r="BS109" i="7"/>
  <c r="BR10" i="8"/>
  <c r="BS10" i="8"/>
  <c r="BR409" i="7"/>
  <c r="BS409" i="7"/>
  <c r="BS76" i="8"/>
  <c r="BR76" i="8"/>
  <c r="BR37" i="7"/>
  <c r="BS37" i="7"/>
  <c r="BU1867" i="7"/>
  <c r="BU14" i="8"/>
  <c r="BS70" i="8"/>
  <c r="BR70" i="8"/>
  <c r="BR31" i="7"/>
  <c r="BU31" i="8" s="1"/>
  <c r="BS31" i="7"/>
  <c r="BS68" i="8"/>
  <c r="BR68" i="8"/>
  <c r="BS29" i="7"/>
  <c r="BR29" i="7"/>
  <c r="BU34" i="7"/>
  <c r="BU73" i="8"/>
  <c r="BR94" i="7"/>
  <c r="BR45" i="8"/>
  <c r="BS45" i="8"/>
  <c r="BS94" i="7"/>
  <c r="BU81" i="8"/>
  <c r="BR64" i="8"/>
  <c r="BS64" i="8"/>
  <c r="BR51" i="7"/>
  <c r="BS51" i="7"/>
  <c r="BS418" i="7"/>
  <c r="BR58" i="8"/>
  <c r="BS58" i="8"/>
  <c r="BR418" i="7"/>
  <c r="BR77" i="8"/>
  <c r="BS77" i="8"/>
  <c r="BR38" i="7"/>
  <c r="BS38" i="7"/>
  <c r="BS6" i="8"/>
  <c r="BR6" i="8"/>
  <c r="BR383" i="7"/>
  <c r="BS383" i="7"/>
  <c r="DA16" i="1"/>
  <c r="CZ16" i="1"/>
  <c r="BU47" i="7"/>
  <c r="BU83" i="8"/>
  <c r="BS16" i="8"/>
  <c r="BR16" i="8"/>
  <c r="BR1682" i="7"/>
  <c r="BS1682" i="7"/>
  <c r="BR51" i="8"/>
  <c r="BS51" i="8"/>
  <c r="BS110" i="7"/>
  <c r="BR110" i="7"/>
  <c r="BS86" i="8"/>
  <c r="BR86" i="8"/>
  <c r="BR53" i="7"/>
  <c r="BU53" i="8" s="1"/>
  <c r="BS53" i="7"/>
  <c r="BU220" i="7"/>
  <c r="BU96" i="8"/>
  <c r="BU105" i="8"/>
  <c r="BU164" i="7"/>
  <c r="BU21" i="8"/>
  <c r="BS61" i="8"/>
  <c r="BR61" i="8"/>
  <c r="BR424" i="7"/>
  <c r="BS424" i="7"/>
  <c r="BU177" i="7"/>
  <c r="BU33" i="8"/>
  <c r="BS79" i="8"/>
  <c r="BR79" i="8"/>
  <c r="BR40" i="7"/>
  <c r="BS40" i="7"/>
  <c r="BU27" i="7"/>
  <c r="BU66" i="8"/>
  <c r="BU38" i="8" l="1"/>
  <c r="BU39" i="8"/>
  <c r="BU5" i="8"/>
  <c r="BU429" i="7"/>
  <c r="BU62" i="8"/>
  <c r="BU112" i="7"/>
  <c r="BU50" i="8"/>
  <c r="BU41" i="7"/>
  <c r="BU80" i="8"/>
  <c r="BU109" i="7"/>
  <c r="BU48" i="8"/>
  <c r="BU2123" i="7"/>
  <c r="BU11" i="8"/>
  <c r="BU162" i="7"/>
  <c r="BU41" i="8"/>
  <c r="BU188" i="7"/>
  <c r="BU101" i="8"/>
  <c r="BU123" i="7"/>
  <c r="BU104" i="8"/>
  <c r="BU64" i="7"/>
  <c r="BU99" i="8"/>
  <c r="BU174" i="7"/>
  <c r="BU29" i="8"/>
  <c r="BU418" i="7"/>
  <c r="BU58" i="8"/>
  <c r="BU170" i="7"/>
  <c r="BU35" i="8"/>
  <c r="BU1925" i="7"/>
  <c r="BU12" i="8"/>
  <c r="BU172" i="7"/>
  <c r="BU30" i="8"/>
  <c r="BU36" i="7"/>
  <c r="BU75" i="8"/>
  <c r="BU171" i="7"/>
  <c r="BU32" i="8"/>
  <c r="BU424" i="7"/>
  <c r="BU61" i="8"/>
  <c r="BU53" i="7"/>
  <c r="BU86" i="8"/>
  <c r="BU94" i="7"/>
  <c r="BU45" i="8"/>
  <c r="BU179" i="7"/>
  <c r="BU25" i="8"/>
  <c r="BU410" i="7"/>
  <c r="BU8" i="8"/>
  <c r="BU33" i="7"/>
  <c r="BU72" i="8"/>
  <c r="BU35" i="7"/>
  <c r="BU74" i="8"/>
  <c r="BU37" i="7"/>
  <c r="BU76" i="8"/>
  <c r="BU54" i="7"/>
  <c r="BU85" i="8"/>
  <c r="BU26" i="7"/>
  <c r="BU65" i="8"/>
  <c r="BU158" i="7"/>
  <c r="BU44" i="8"/>
  <c r="BU110" i="7"/>
  <c r="BU51" i="8"/>
  <c r="BU29" i="7"/>
  <c r="BU68" i="8"/>
  <c r="BU161" i="7"/>
  <c r="BU42" i="8"/>
  <c r="BU93" i="7"/>
  <c r="BU46" i="8"/>
  <c r="BU419" i="7"/>
  <c r="BU59" i="8"/>
  <c r="BU222" i="7"/>
  <c r="BU94" i="8"/>
  <c r="BU427" i="7"/>
  <c r="BU60" i="8"/>
  <c r="BU63" i="7"/>
  <c r="BU100" i="8"/>
  <c r="BU165" i="7"/>
  <c r="BU40" i="8"/>
  <c r="BU383" i="7"/>
  <c r="BU6" i="8"/>
  <c r="BU51" i="7"/>
  <c r="BU64" i="8"/>
  <c r="BU176" i="7"/>
  <c r="BU56" i="8"/>
  <c r="BU215" i="7"/>
  <c r="BU92" i="8"/>
  <c r="BU157" i="7"/>
  <c r="BU24" i="8"/>
  <c r="BU108" i="7"/>
  <c r="BU47" i="8"/>
  <c r="BU823" i="7"/>
  <c r="BU2" i="8"/>
  <c r="BU168" i="7"/>
  <c r="BU28" i="8"/>
  <c r="BU30" i="7"/>
  <c r="BU69" i="8"/>
  <c r="BU175" i="7"/>
  <c r="BU37" i="8"/>
  <c r="BU155" i="7"/>
  <c r="BU90" i="8"/>
  <c r="BU28" i="7"/>
  <c r="BU67" i="8"/>
  <c r="BU185" i="7"/>
  <c r="BU55" i="8"/>
  <c r="BU40" i="7"/>
  <c r="BU79" i="8"/>
  <c r="BU409" i="7"/>
  <c r="BU10" i="8"/>
  <c r="BU367" i="7"/>
  <c r="BU18" i="8"/>
  <c r="BU219" i="7"/>
  <c r="BU93" i="8"/>
  <c r="BU173" i="7"/>
  <c r="BU36" i="8"/>
  <c r="BU2237" i="7"/>
  <c r="BU17" i="8"/>
  <c r="BU152" i="7"/>
  <c r="BU27" i="8"/>
  <c r="BU46" i="7"/>
  <c r="BU84" i="8"/>
  <c r="BU52" i="7"/>
  <c r="BU19" i="8"/>
  <c r="BU167" i="7"/>
  <c r="BU23" i="8"/>
  <c r="BU91" i="7"/>
  <c r="BU82" i="8"/>
  <c r="BU1682" i="7"/>
  <c r="BU16" i="8"/>
  <c r="BU38" i="7"/>
  <c r="BU77" i="8"/>
  <c r="BU31" i="7"/>
  <c r="BU70" i="8"/>
  <c r="BU32" i="7"/>
  <c r="BU71" i="8"/>
  <c r="BU381" i="7"/>
  <c r="BU3" i="8"/>
  <c r="BU184" i="7"/>
  <c r="BU54" i="8"/>
  <c r="BU1159" i="7"/>
  <c r="BU13" i="8"/>
</calcChain>
</file>

<file path=xl/sharedStrings.xml><?xml version="1.0" encoding="utf-8"?>
<sst xmlns="http://schemas.openxmlformats.org/spreadsheetml/2006/main" count="26971" uniqueCount="2966">
  <si>
    <t>Sqft</t>
  </si>
  <si>
    <t>UnfinBsmt</t>
  </si>
  <si>
    <t>Rcn</t>
  </si>
  <si>
    <t>Mult</t>
  </si>
  <si>
    <t>MS</t>
  </si>
  <si>
    <t>SE</t>
  </si>
  <si>
    <t>B</t>
  </si>
  <si>
    <t>E035823</t>
  </si>
  <si>
    <t>E038511</t>
  </si>
  <si>
    <t>E041360</t>
  </si>
  <si>
    <t>E041364</t>
  </si>
  <si>
    <t>E036172</t>
  </si>
  <si>
    <t>E035012</t>
  </si>
  <si>
    <t>E035034</t>
  </si>
  <si>
    <t>E036354</t>
  </si>
  <si>
    <t>E039133</t>
  </si>
  <si>
    <t>E032662</t>
  </si>
  <si>
    <t>E038002</t>
  </si>
  <si>
    <t>E041128</t>
  </si>
  <si>
    <t>E035932</t>
  </si>
  <si>
    <t>E032219</t>
  </si>
  <si>
    <t>Subtype</t>
  </si>
  <si>
    <t>#Stories</t>
  </si>
  <si>
    <t>Fuel</t>
  </si>
  <si>
    <t>Fixtures</t>
  </si>
  <si>
    <t>%Comp</t>
  </si>
  <si>
    <t>Days Prior</t>
  </si>
  <si>
    <t>SP-Det</t>
  </si>
  <si>
    <t>CON</t>
  </si>
  <si>
    <t>303N</t>
  </si>
  <si>
    <t>R1</t>
  </si>
  <si>
    <t>F</t>
  </si>
  <si>
    <t>VP</t>
  </si>
  <si>
    <t>PR</t>
  </si>
  <si>
    <t>E031240</t>
  </si>
  <si>
    <t>E031524</t>
  </si>
  <si>
    <t>E040571</t>
  </si>
  <si>
    <t>E031924</t>
  </si>
  <si>
    <t>E034107</t>
  </si>
  <si>
    <t>E038831</t>
  </si>
  <si>
    <t>E040055</t>
  </si>
  <si>
    <t>E040619</t>
  </si>
  <si>
    <t>E034423</t>
  </si>
  <si>
    <t>E035361</t>
  </si>
  <si>
    <t>E035565</t>
  </si>
  <si>
    <t>E039293</t>
  </si>
  <si>
    <t>E040557</t>
  </si>
  <si>
    <t>E035729</t>
  </si>
  <si>
    <t>E032477</t>
  </si>
  <si>
    <t>E032488</t>
  </si>
  <si>
    <t>E034234</t>
  </si>
  <si>
    <t>E034005</t>
  </si>
  <si>
    <t>E030600</t>
  </si>
  <si>
    <t>E034205</t>
  </si>
  <si>
    <t>E038242</t>
  </si>
  <si>
    <t>E029824</t>
  </si>
  <si>
    <t>E041099</t>
  </si>
  <si>
    <t>TNbhd</t>
  </si>
  <si>
    <t>Decade</t>
  </si>
  <si>
    <t>FnBsmt</t>
  </si>
  <si>
    <t>WdStove</t>
  </si>
  <si>
    <t>DP2</t>
  </si>
  <si>
    <t>24Final</t>
  </si>
  <si>
    <t>VT</t>
  </si>
  <si>
    <t>V</t>
  </si>
  <si>
    <t>N</t>
  </si>
  <si>
    <t>E029948</t>
  </si>
  <si>
    <t>E037028</t>
  </si>
  <si>
    <t>E034954</t>
  </si>
  <si>
    <t>E037308</t>
  </si>
  <si>
    <t>E031095</t>
  </si>
  <si>
    <t>E031586</t>
  </si>
  <si>
    <t>E038079</t>
  </si>
  <si>
    <t>E029973</t>
  </si>
  <si>
    <t>E030437</t>
  </si>
  <si>
    <t>E031775</t>
  </si>
  <si>
    <t>E033423</t>
  </si>
  <si>
    <t>E037133</t>
  </si>
  <si>
    <t>E037428</t>
  </si>
  <si>
    <t>E037642</t>
  </si>
  <si>
    <t>E038191</t>
  </si>
  <si>
    <t>E038366</t>
  </si>
  <si>
    <t>E030240</t>
  </si>
  <si>
    <t>E031459</t>
  </si>
  <si>
    <t>E037540</t>
  </si>
  <si>
    <t>E040688</t>
  </si>
  <si>
    <t>E038780</t>
  </si>
  <si>
    <t>E030517</t>
  </si>
  <si>
    <t>E035496</t>
  </si>
  <si>
    <t>E037115</t>
  </si>
  <si>
    <t>Nbhd</t>
  </si>
  <si>
    <t>Age</t>
  </si>
  <si>
    <t>Carport</t>
  </si>
  <si>
    <t>Bench</t>
  </si>
  <si>
    <t>24Lnd</t>
  </si>
  <si>
    <t>G+</t>
  </si>
  <si>
    <t>EX</t>
  </si>
  <si>
    <t>MH</t>
  </si>
  <si>
    <t>E032430</t>
  </si>
  <si>
    <t>E032005</t>
  </si>
  <si>
    <t>E042249</t>
  </si>
  <si>
    <t>E030284</t>
  </si>
  <si>
    <t>E033209</t>
  </si>
  <si>
    <t>E033827</t>
  </si>
  <si>
    <t>E036344</t>
  </si>
  <si>
    <t>E036733</t>
  </si>
  <si>
    <t>E037828</t>
  </si>
  <si>
    <t>E042409</t>
  </si>
  <si>
    <t>E033009</t>
  </si>
  <si>
    <t>E041623</t>
  </si>
  <si>
    <t>E030666</t>
  </si>
  <si>
    <t>E033263</t>
  </si>
  <si>
    <t>E036915</t>
  </si>
  <si>
    <t>E037686</t>
  </si>
  <si>
    <t>E034398</t>
  </si>
  <si>
    <t>E033129</t>
  </si>
  <si>
    <t>E033590</t>
  </si>
  <si>
    <t>E032023</t>
  </si>
  <si>
    <t>E032612</t>
  </si>
  <si>
    <t>E034994</t>
  </si>
  <si>
    <t>E033325</t>
  </si>
  <si>
    <t>Year</t>
  </si>
  <si>
    <t>Cycle</t>
  </si>
  <si>
    <t>Cnd</t>
  </si>
  <si>
    <t>Livign Area</t>
  </si>
  <si>
    <t>AttGar</t>
  </si>
  <si>
    <t>RES</t>
  </si>
  <si>
    <t>E035242</t>
  </si>
  <si>
    <t>E036482</t>
  </si>
  <si>
    <t>E039614</t>
  </si>
  <si>
    <t>E032543</t>
  </si>
  <si>
    <t>E035351</t>
  </si>
  <si>
    <t>E036519</t>
  </si>
  <si>
    <t>E036748</t>
  </si>
  <si>
    <t>E040812</t>
  </si>
  <si>
    <t>E041172</t>
  </si>
  <si>
    <t>E041990</t>
  </si>
  <si>
    <t>E032507</t>
  </si>
  <si>
    <t>E039654</t>
  </si>
  <si>
    <t>E032841</t>
  </si>
  <si>
    <t>E036468</t>
  </si>
  <si>
    <t>E041456</t>
  </si>
  <si>
    <t>E040710</t>
  </si>
  <si>
    <t>E036868</t>
  </si>
  <si>
    <t>PRD</t>
  </si>
  <si>
    <t>YrBlt</t>
  </si>
  <si>
    <t>R2</t>
  </si>
  <si>
    <t>CC</t>
  </si>
  <si>
    <t>G</t>
  </si>
  <si>
    <t>E032358</t>
  </si>
  <si>
    <t>E039094</t>
  </si>
  <si>
    <t>E035268</t>
  </si>
  <si>
    <t>E039858</t>
  </si>
  <si>
    <t>E034311</t>
  </si>
  <si>
    <t>E035195</t>
  </si>
  <si>
    <t>E040841</t>
  </si>
  <si>
    <t>E039087</t>
  </si>
  <si>
    <t>E031372</t>
  </si>
  <si>
    <t>E041994</t>
  </si>
  <si>
    <t>E035253</t>
  </si>
  <si>
    <t>E039676</t>
  </si>
  <si>
    <t>E040529</t>
  </si>
  <si>
    <t>E040718</t>
  </si>
  <si>
    <t>E034206</t>
  </si>
  <si>
    <t>E040049</t>
  </si>
  <si>
    <t>E038090</t>
  </si>
  <si>
    <t>E041794</t>
  </si>
  <si>
    <t>E041485</t>
  </si>
  <si>
    <t>Use</t>
  </si>
  <si>
    <t>Style</t>
  </si>
  <si>
    <t>GarSpace</t>
  </si>
  <si>
    <t>DP3</t>
  </si>
  <si>
    <t>25Det</t>
  </si>
  <si>
    <t>CO</t>
  </si>
  <si>
    <t>S</t>
  </si>
  <si>
    <t>O</t>
  </si>
  <si>
    <t>E034028</t>
  </si>
  <si>
    <t>E034766</t>
  </si>
  <si>
    <t>E042231</t>
  </si>
  <si>
    <t>E036010</t>
  </si>
  <si>
    <t>E038687</t>
  </si>
  <si>
    <t>E031696</t>
  </si>
  <si>
    <t>E040798</t>
  </si>
  <si>
    <t>E040998</t>
  </si>
  <si>
    <t>E042126</t>
  </si>
  <si>
    <t>E034926</t>
  </si>
  <si>
    <t>E031656</t>
  </si>
  <si>
    <t>E034191</t>
  </si>
  <si>
    <t>E034228</t>
  </si>
  <si>
    <t>E034835</t>
  </si>
  <si>
    <t>E037621</t>
  </si>
  <si>
    <t>E031383</t>
  </si>
  <si>
    <t>E038385</t>
  </si>
  <si>
    <t>E033311</t>
  </si>
  <si>
    <t>E037603</t>
  </si>
  <si>
    <t>E038247</t>
  </si>
  <si>
    <t>E038374</t>
  </si>
  <si>
    <t>E038978</t>
  </si>
  <si>
    <t>E042413</t>
  </si>
  <si>
    <t>E030812</t>
  </si>
  <si>
    <t>E029687</t>
  </si>
  <si>
    <t>BARGA</t>
  </si>
  <si>
    <t>UpprFn</t>
  </si>
  <si>
    <t>MsnryTrim</t>
  </si>
  <si>
    <t>Mdl Formula Total</t>
  </si>
  <si>
    <t>F+</t>
  </si>
  <si>
    <t>FR</t>
  </si>
  <si>
    <t>HT</t>
  </si>
  <si>
    <t>HP</t>
  </si>
  <si>
    <t>E036803</t>
  </si>
  <si>
    <t>E038989</t>
  </si>
  <si>
    <t>E033657</t>
  </si>
  <si>
    <t>E037065</t>
  </si>
  <si>
    <t>E041304</t>
  </si>
  <si>
    <t>E032802</t>
  </si>
  <si>
    <t>E042028</t>
  </si>
  <si>
    <t>E033228</t>
  </si>
  <si>
    <t>E036843</t>
  </si>
  <si>
    <t>E036407</t>
  </si>
  <si>
    <t>E037181</t>
  </si>
  <si>
    <t>E039800</t>
  </si>
  <si>
    <t>E042260</t>
  </si>
  <si>
    <t>E033155</t>
  </si>
  <si>
    <t>E036814</t>
  </si>
  <si>
    <t>E037985</t>
  </si>
  <si>
    <t>E030187</t>
  </si>
  <si>
    <t>E030285</t>
  </si>
  <si>
    <t>E033980</t>
  </si>
  <si>
    <t>E034799</t>
  </si>
  <si>
    <t>E036025</t>
  </si>
  <si>
    <t>E037563</t>
  </si>
  <si>
    <t>E036250</t>
  </si>
  <si>
    <t>E036243</t>
  </si>
  <si>
    <t>E033526</t>
  </si>
  <si>
    <t>E033108</t>
  </si>
  <si>
    <t>E030474</t>
  </si>
  <si>
    <t>MainFn</t>
  </si>
  <si>
    <t>Bsmt</t>
  </si>
  <si>
    <t>LivArea Range</t>
  </si>
  <si>
    <t>Ecn</t>
  </si>
  <si>
    <t>24Bldg</t>
  </si>
  <si>
    <t>RN</t>
  </si>
  <si>
    <t>TD</t>
  </si>
  <si>
    <t>E041282</t>
  </si>
  <si>
    <t>E039760</t>
  </si>
  <si>
    <t>E039637</t>
  </si>
  <si>
    <t>E032351</t>
  </si>
  <si>
    <t>E033086</t>
  </si>
  <si>
    <t>E035010</t>
  </si>
  <si>
    <t>E035923</t>
  </si>
  <si>
    <t>E041108</t>
  </si>
  <si>
    <t>E041257</t>
  </si>
  <si>
    <t>E032108</t>
  </si>
  <si>
    <t>E036636</t>
  </si>
  <si>
    <t>E039706</t>
  </si>
  <si>
    <t>E039808</t>
  </si>
  <si>
    <t>E039844</t>
  </si>
  <si>
    <t>E033599</t>
  </si>
  <si>
    <t>E033795</t>
  </si>
  <si>
    <t>E032908</t>
  </si>
  <si>
    <t>E039931</t>
  </si>
  <si>
    <t>E041428</t>
  </si>
  <si>
    <t>E036683</t>
  </si>
  <si>
    <t>E036065</t>
  </si>
  <si>
    <t>LnAcres</t>
  </si>
  <si>
    <t>Qlty</t>
  </si>
  <si>
    <t>CoverSf</t>
  </si>
  <si>
    <t>Ratio</t>
  </si>
  <si>
    <t>R3</t>
  </si>
  <si>
    <t>BG</t>
  </si>
  <si>
    <t>E032188</t>
  </si>
  <si>
    <t>E031824</t>
  </si>
  <si>
    <t>E031871</t>
  </si>
  <si>
    <t>E032268</t>
  </si>
  <si>
    <t>E034021</t>
  </si>
  <si>
    <t>E040773</t>
  </si>
  <si>
    <t>E032486</t>
  </si>
  <si>
    <t>E035738</t>
  </si>
  <si>
    <t>E036498</t>
  </si>
  <si>
    <t>E039448</t>
  </si>
  <si>
    <t>E040355</t>
  </si>
  <si>
    <t>E040442</t>
  </si>
  <si>
    <t>E039775</t>
  </si>
  <si>
    <t>E029815</t>
  </si>
  <si>
    <t>E035385</t>
  </si>
  <si>
    <t>E029702</t>
  </si>
  <si>
    <t>E037302</t>
  </si>
  <si>
    <t>E040962</t>
  </si>
  <si>
    <t>E035076</t>
  </si>
  <si>
    <t>E035247</t>
  </si>
  <si>
    <t>E039895</t>
  </si>
  <si>
    <t>E041686</t>
  </si>
  <si>
    <t>E031060</t>
  </si>
  <si>
    <t>E040035</t>
  </si>
  <si>
    <t>SWD</t>
  </si>
  <si>
    <t>MsnryFP</t>
  </si>
  <si>
    <t>1/2Bath</t>
  </si>
  <si>
    <t>SaleType</t>
  </si>
  <si>
    <t>Verify</t>
  </si>
  <si>
    <t>HE</t>
  </si>
  <si>
    <t>CP</t>
  </si>
  <si>
    <t>CL</t>
  </si>
  <si>
    <t>A+</t>
  </si>
  <si>
    <t>GD</t>
  </si>
  <si>
    <t>E031068</t>
  </si>
  <si>
    <t>E034374</t>
  </si>
  <si>
    <t>E031991</t>
  </si>
  <si>
    <t>E030108</t>
  </si>
  <si>
    <t>E037520</t>
  </si>
  <si>
    <t>E040795</t>
  </si>
  <si>
    <t>E034258</t>
  </si>
  <si>
    <t>E034349</t>
  </si>
  <si>
    <t>E037240</t>
  </si>
  <si>
    <t>E030035</t>
  </si>
  <si>
    <t>E034127</t>
  </si>
  <si>
    <t>E034672</t>
  </si>
  <si>
    <t>E033032</t>
  </si>
  <si>
    <t>E038397</t>
  </si>
  <si>
    <t>E030140</t>
  </si>
  <si>
    <t>E035498</t>
  </si>
  <si>
    <t>Type</t>
  </si>
  <si>
    <t>Zone</t>
  </si>
  <si>
    <t>3/4Bath</t>
  </si>
  <si>
    <t>AV</t>
  </si>
  <si>
    <t>E041010</t>
  </si>
  <si>
    <t>E033941</t>
  </si>
  <si>
    <t>E030486</t>
  </si>
  <si>
    <t>E037291</t>
  </si>
  <si>
    <t>E041123</t>
  </si>
  <si>
    <t>E030377</t>
  </si>
  <si>
    <t>E030686</t>
  </si>
  <si>
    <t>E032003</t>
  </si>
  <si>
    <t>E033352</t>
  </si>
  <si>
    <t>E036313</t>
  </si>
  <si>
    <t>E036520</t>
  </si>
  <si>
    <t>E036615</t>
  </si>
  <si>
    <t>E042338</t>
  </si>
  <si>
    <t>E031599</t>
  </si>
  <si>
    <t>E032730</t>
  </si>
  <si>
    <t>E033316</t>
  </si>
  <si>
    <t>E033752</t>
  </si>
  <si>
    <t>E037793</t>
  </si>
  <si>
    <t>E032130</t>
  </si>
  <si>
    <t>RC</t>
  </si>
  <si>
    <t>SPWD</t>
  </si>
  <si>
    <t>Acres</t>
  </si>
  <si>
    <t>AC</t>
  </si>
  <si>
    <t>Patio</t>
  </si>
  <si>
    <t>Mdl Formula DP</t>
  </si>
  <si>
    <t>YC2</t>
  </si>
  <si>
    <t>SL</t>
  </si>
  <si>
    <t>A</t>
  </si>
  <si>
    <t>VG</t>
  </si>
  <si>
    <t>E032316</t>
  </si>
  <si>
    <t>E032814</t>
  </si>
  <si>
    <t>E035233</t>
  </si>
  <si>
    <t>E032036</t>
  </si>
  <si>
    <t>E036659</t>
  </si>
  <si>
    <t>E034000</t>
  </si>
  <si>
    <t>E039318</t>
  </si>
  <si>
    <t>E038503</t>
  </si>
  <si>
    <t>E040312</t>
  </si>
  <si>
    <t>E040705</t>
  </si>
  <si>
    <t>E032290</t>
  </si>
  <si>
    <t>E033778</t>
  </si>
  <si>
    <t>E039245</t>
  </si>
  <si>
    <t>E040323</t>
  </si>
  <si>
    <t>E036877</t>
  </si>
  <si>
    <t>E032250</t>
  </si>
  <si>
    <t>E035542</t>
  </si>
  <si>
    <t>E041563</t>
  </si>
  <si>
    <t>E032138</t>
  </si>
  <si>
    <t>E035524</t>
  </si>
  <si>
    <t>E039390</t>
  </si>
  <si>
    <t>E031501</t>
  </si>
  <si>
    <t>E041738</t>
  </si>
  <si>
    <t>E032309</t>
  </si>
  <si>
    <t>EffYr</t>
  </si>
  <si>
    <t>AddFn</t>
  </si>
  <si>
    <t>BltinGar</t>
  </si>
  <si>
    <t>Date</t>
  </si>
  <si>
    <t>CE</t>
  </si>
  <si>
    <t>E</t>
  </si>
  <si>
    <t>FD</t>
  </si>
  <si>
    <t>BH</t>
  </si>
  <si>
    <t>E041887</t>
  </si>
  <si>
    <t>E034120</t>
  </si>
  <si>
    <t>E029670</t>
  </si>
  <si>
    <t>E032494</t>
  </si>
  <si>
    <t>E032956</t>
  </si>
  <si>
    <t>E035280</t>
  </si>
  <si>
    <t>E038703</t>
  </si>
  <si>
    <t>E031236</t>
  </si>
  <si>
    <t>E031243</t>
  </si>
  <si>
    <t>E032774</t>
  </si>
  <si>
    <t>E039965</t>
  </si>
  <si>
    <t>E040938</t>
  </si>
  <si>
    <t>E032498</t>
  </si>
  <si>
    <t>E034008</t>
  </si>
  <si>
    <t>E034131</t>
  </si>
  <si>
    <t>E035095</t>
  </si>
  <si>
    <t>E032585</t>
  </si>
  <si>
    <t>E040192</t>
  </si>
  <si>
    <t>E030410</t>
  </si>
  <si>
    <t>E038852</t>
  </si>
  <si>
    <t>E032076</t>
  </si>
  <si>
    <t>E040770</t>
  </si>
  <si>
    <t>Parcel</t>
  </si>
  <si>
    <t>EffAge</t>
  </si>
  <si>
    <t>PrefabFP</t>
  </si>
  <si>
    <t>WdDeck</t>
  </si>
  <si>
    <t>Rcnld</t>
  </si>
  <si>
    <t>DP1</t>
  </si>
  <si>
    <t>Excise</t>
  </si>
  <si>
    <t>Price</t>
  </si>
  <si>
    <t>CM</t>
  </si>
  <si>
    <t>FH</t>
  </si>
  <si>
    <t>TU</t>
  </si>
  <si>
    <t>E031665</t>
  </si>
  <si>
    <t>E038547</t>
  </si>
  <si>
    <t>E031578</t>
  </si>
  <si>
    <t>E038481</t>
  </si>
  <si>
    <t>E030236</t>
  </si>
  <si>
    <t>E033320</t>
  </si>
  <si>
    <t>E034553</t>
  </si>
  <si>
    <t>E037823</t>
  </si>
  <si>
    <t>E031774</t>
  </si>
  <si>
    <t>E037350</t>
  </si>
  <si>
    <t>E038863</t>
  </si>
  <si>
    <t>E033131</t>
  </si>
  <si>
    <t>E033302</t>
  </si>
  <si>
    <t>E033440</t>
  </si>
  <si>
    <t>E033702</t>
  </si>
  <si>
    <t>E034444</t>
  </si>
  <si>
    <t>E035099</t>
  </si>
  <si>
    <t>E040694</t>
  </si>
  <si>
    <t>E042040</t>
  </si>
  <si>
    <t>E037507</t>
  </si>
  <si>
    <t>E030116</t>
  </si>
  <si>
    <t>E031974</t>
  </si>
  <si>
    <t>E034139</t>
  </si>
  <si>
    <t>E038190</t>
  </si>
  <si>
    <t>E040287</t>
  </si>
  <si>
    <t>E042142</t>
  </si>
  <si>
    <t>E031883</t>
  </si>
  <si>
    <t>E034837</t>
  </si>
  <si>
    <t>E031683</t>
  </si>
  <si>
    <t>Heat</t>
  </si>
  <si>
    <t>CU</t>
  </si>
  <si>
    <t>F-</t>
  </si>
  <si>
    <t>Y</t>
  </si>
  <si>
    <t>E037467</t>
  </si>
  <si>
    <t>E037674</t>
  </si>
  <si>
    <t>E033451</t>
  </si>
  <si>
    <t>E041306</t>
  </si>
  <si>
    <t>E030476</t>
  </si>
  <si>
    <t>E032011</t>
  </si>
  <si>
    <t>E041731</t>
  </si>
  <si>
    <t>E030876</t>
  </si>
  <si>
    <t>E034997</t>
  </si>
  <si>
    <t>E037656</t>
  </si>
  <si>
    <t>E039020</t>
  </si>
  <si>
    <t>E033706</t>
  </si>
  <si>
    <t>E034477</t>
  </si>
  <si>
    <t>E036310</t>
  </si>
  <si>
    <t>E036318</t>
  </si>
  <si>
    <t>E037383</t>
  </si>
  <si>
    <t>E037492</t>
  </si>
  <si>
    <t>E036416</t>
  </si>
  <si>
    <t>E032131</t>
  </si>
  <si>
    <t>E032422</t>
  </si>
  <si>
    <t>E033346</t>
  </si>
  <si>
    <t>E042182</t>
  </si>
  <si>
    <t>E033175</t>
  </si>
  <si>
    <t>E034499</t>
  </si>
  <si>
    <t>E030381</t>
  </si>
  <si>
    <t>E037190</t>
  </si>
  <si>
    <t>Term</t>
  </si>
  <si>
    <t>Estimate</t>
  </si>
  <si>
    <t>Std Error</t>
  </si>
  <si>
    <t>T Ratio</t>
  </si>
  <si>
    <t>Prob&gt;ItI</t>
  </si>
  <si>
    <t>Intercept</t>
  </si>
  <si>
    <t xml:space="preserve">Quality </t>
  </si>
  <si>
    <t>L</t>
  </si>
  <si>
    <t>V+</t>
  </si>
  <si>
    <t>E+</t>
  </si>
  <si>
    <t>X</t>
  </si>
  <si>
    <t>Condition</t>
  </si>
  <si>
    <t>&lt;.0001*</t>
  </si>
  <si>
    <t>0.0308*</t>
  </si>
  <si>
    <t>0.0048*</t>
  </si>
  <si>
    <t>0.0471*</t>
  </si>
  <si>
    <t>Days Prior Total</t>
  </si>
  <si>
    <t>Mdl Res Intercept</t>
  </si>
  <si>
    <t>Mdl Land Intercept</t>
  </si>
  <si>
    <t>Mdl LnAcres</t>
  </si>
  <si>
    <t>Mdl Qlty</t>
  </si>
  <si>
    <t>Mdl Condition</t>
  </si>
  <si>
    <t>Mdl Age</t>
  </si>
  <si>
    <t>Mdl MainFn</t>
  </si>
  <si>
    <t>Mdl UpprFn</t>
  </si>
  <si>
    <t>Mdl AddFn</t>
  </si>
  <si>
    <t>Mdl Fixtures</t>
  </si>
  <si>
    <t>Match Mdl Value</t>
  </si>
  <si>
    <t>Unadj Det Value</t>
  </si>
  <si>
    <t>Unadj Res Value</t>
  </si>
  <si>
    <t>Unadj Land Value</t>
  </si>
  <si>
    <t>Unadj Total Value</t>
  </si>
  <si>
    <t xml:space="preserve">Unadj Ratio </t>
  </si>
  <si>
    <t>Unadj Diff</t>
  </si>
  <si>
    <t>Nbhd Adj</t>
  </si>
  <si>
    <t>Quality Adj</t>
  </si>
  <si>
    <t>Condition Adj</t>
  </si>
  <si>
    <t>Living Area Adj</t>
  </si>
  <si>
    <t>Decade Adj</t>
  </si>
  <si>
    <t>Det/Nbhd Adj</t>
  </si>
  <si>
    <t xml:space="preserve">Res Adj </t>
  </si>
  <si>
    <t>Adjusted Res</t>
  </si>
  <si>
    <t xml:space="preserve">Adj Det </t>
  </si>
  <si>
    <t>Adjusted Impr Total</t>
  </si>
  <si>
    <t>Adjusted Land Total</t>
  </si>
  <si>
    <t>Adjusted Total</t>
  </si>
  <si>
    <t>Adjusted Imp Diff</t>
  </si>
  <si>
    <t>Adjusted Lnd Diff</t>
  </si>
  <si>
    <t>Adjusted Total Difference</t>
  </si>
  <si>
    <t>Final Ratio</t>
  </si>
  <si>
    <t>Mdl Bsmt</t>
  </si>
  <si>
    <t>Mdl WdDeck</t>
  </si>
  <si>
    <t>Grand Total</t>
  </si>
  <si>
    <t>Count of Parcel</t>
  </si>
  <si>
    <t xml:space="preserve">Average of Unadj Ratio </t>
  </si>
  <si>
    <t>Sales</t>
  </si>
  <si>
    <t>Adj</t>
  </si>
  <si>
    <t>Average of Adjusted Total Difference</t>
  </si>
  <si>
    <t>Average of Final Ratio</t>
  </si>
  <si>
    <t xml:space="preserve">18131433005    </t>
  </si>
  <si>
    <t>6</t>
  </si>
  <si>
    <t>11</t>
  </si>
  <si>
    <t>259</t>
  </si>
  <si>
    <t xml:space="preserve">18131433401    </t>
  </si>
  <si>
    <t xml:space="preserve">18131433402    </t>
  </si>
  <si>
    <t xml:space="preserve">18131433403    </t>
  </si>
  <si>
    <t>2</t>
  </si>
  <si>
    <t>COM</t>
  </si>
  <si>
    <t>13</t>
  </si>
  <si>
    <t/>
  </si>
  <si>
    <t>ML</t>
  </si>
  <si>
    <t xml:space="preserve">18131433404    </t>
  </si>
  <si>
    <t>302</t>
  </si>
  <si>
    <t xml:space="preserve">18131543411    </t>
  </si>
  <si>
    <t>262</t>
  </si>
  <si>
    <t xml:space="preserve">18131543412    </t>
  </si>
  <si>
    <t xml:space="preserve">18131543413    </t>
  </si>
  <si>
    <t xml:space="preserve">18131543414    </t>
  </si>
  <si>
    <t xml:space="preserve">18131543415    </t>
  </si>
  <si>
    <t xml:space="preserve">18131543416    </t>
  </si>
  <si>
    <t xml:space="preserve">18131543417    </t>
  </si>
  <si>
    <t xml:space="preserve">18131543418    </t>
  </si>
  <si>
    <t xml:space="preserve">18131543419    </t>
  </si>
  <si>
    <t xml:space="preserve">18131543420    </t>
  </si>
  <si>
    <t xml:space="preserve">18131543421    </t>
  </si>
  <si>
    <t xml:space="preserve">18131543422    </t>
  </si>
  <si>
    <t xml:space="preserve">18131543424    </t>
  </si>
  <si>
    <t xml:space="preserve">18131543425    </t>
  </si>
  <si>
    <t xml:space="preserve">18131543426    </t>
  </si>
  <si>
    <t xml:space="preserve">18131543427    </t>
  </si>
  <si>
    <t xml:space="preserve">18131543428    </t>
  </si>
  <si>
    <t xml:space="preserve">18131543429    </t>
  </si>
  <si>
    <t xml:space="preserve">18131543430    </t>
  </si>
  <si>
    <t xml:space="preserve">18131543431    </t>
  </si>
  <si>
    <t xml:space="preserve">18131543432    </t>
  </si>
  <si>
    <t xml:space="preserve">18131543433    </t>
  </si>
  <si>
    <t xml:space="preserve">18131543434    </t>
  </si>
  <si>
    <t xml:space="preserve">18131543435    </t>
  </si>
  <si>
    <t xml:space="preserve">18131543436    </t>
  </si>
  <si>
    <t xml:space="preserve">18131543437    </t>
  </si>
  <si>
    <t xml:space="preserve">18131543438    </t>
  </si>
  <si>
    <t xml:space="preserve">18131543439    </t>
  </si>
  <si>
    <t xml:space="preserve">18131543440    </t>
  </si>
  <si>
    <t xml:space="preserve">18131543441    </t>
  </si>
  <si>
    <t xml:space="preserve">18131543442    </t>
  </si>
  <si>
    <t xml:space="preserve">18131543443    </t>
  </si>
  <si>
    <t xml:space="preserve">18131543444    </t>
  </si>
  <si>
    <t xml:space="preserve">18131543445    </t>
  </si>
  <si>
    <t xml:space="preserve">18131543446    </t>
  </si>
  <si>
    <t>325</t>
  </si>
  <si>
    <t>TE</t>
  </si>
  <si>
    <t xml:space="preserve">18131543447    </t>
  </si>
  <si>
    <t xml:space="preserve">18131543448    </t>
  </si>
  <si>
    <t xml:space="preserve">18131543449    </t>
  </si>
  <si>
    <t xml:space="preserve">18131543450    </t>
  </si>
  <si>
    <t>PE</t>
  </si>
  <si>
    <t xml:space="preserve">18131543451    </t>
  </si>
  <si>
    <t xml:space="preserve">18131543452    </t>
  </si>
  <si>
    <t xml:space="preserve">18131543453    </t>
  </si>
  <si>
    <t xml:space="preserve">18131543454    </t>
  </si>
  <si>
    <t xml:space="preserve">18131543455    </t>
  </si>
  <si>
    <t xml:space="preserve">18131543456    </t>
  </si>
  <si>
    <t xml:space="preserve">18131543457    </t>
  </si>
  <si>
    <t xml:space="preserve">18131543480    </t>
  </si>
  <si>
    <t>3</t>
  </si>
  <si>
    <t>58</t>
  </si>
  <si>
    <t>127</t>
  </si>
  <si>
    <t xml:space="preserve">18131544409    </t>
  </si>
  <si>
    <t>12</t>
  </si>
  <si>
    <t>351</t>
  </si>
  <si>
    <t xml:space="preserve">18131544411    </t>
  </si>
  <si>
    <t>223</t>
  </si>
  <si>
    <t xml:space="preserve">18131544413    </t>
  </si>
  <si>
    <t xml:space="preserve">18131544414    </t>
  </si>
  <si>
    <t xml:space="preserve">18131544415    </t>
  </si>
  <si>
    <t xml:space="preserve">18131544429    </t>
  </si>
  <si>
    <t>CA</t>
  </si>
  <si>
    <t xml:space="preserve">18131544431    </t>
  </si>
  <si>
    <t xml:space="preserve">18131544432    </t>
  </si>
  <si>
    <t>124</t>
  </si>
  <si>
    <t xml:space="preserve">18132212412    </t>
  </si>
  <si>
    <t xml:space="preserve">18132213009    </t>
  </si>
  <si>
    <t>310</t>
  </si>
  <si>
    <t xml:space="preserve">18132213016    </t>
  </si>
  <si>
    <t>102</t>
  </si>
  <si>
    <t xml:space="preserve">18132213023    </t>
  </si>
  <si>
    <t xml:space="preserve">18132213025    </t>
  </si>
  <si>
    <t>4</t>
  </si>
  <si>
    <t>65</t>
  </si>
  <si>
    <t>61</t>
  </si>
  <si>
    <t xml:space="preserve">18132213021    </t>
  </si>
  <si>
    <t xml:space="preserve">18132213022    </t>
  </si>
  <si>
    <t xml:space="preserve">18132213024    </t>
  </si>
  <si>
    <t xml:space="preserve">18132213044    </t>
  </si>
  <si>
    <t xml:space="preserve">18132213045    </t>
  </si>
  <si>
    <t xml:space="preserve">18132213046    </t>
  </si>
  <si>
    <t xml:space="preserve">18132213047    </t>
  </si>
  <si>
    <t xml:space="preserve">18132213048    </t>
  </si>
  <si>
    <t xml:space="preserve">18132213049    </t>
  </si>
  <si>
    <t xml:space="preserve">18132213050    </t>
  </si>
  <si>
    <t xml:space="preserve">18132213051    </t>
  </si>
  <si>
    <t>400</t>
  </si>
  <si>
    <t xml:space="preserve">18132213052    </t>
  </si>
  <si>
    <t xml:space="preserve">18132213053    </t>
  </si>
  <si>
    <t xml:space="preserve">18132213054    </t>
  </si>
  <si>
    <t xml:space="preserve">18132212448    </t>
  </si>
  <si>
    <t xml:space="preserve">18132212449    </t>
  </si>
  <si>
    <t xml:space="preserve">18132212450    </t>
  </si>
  <si>
    <t xml:space="preserve">18132212451    </t>
  </si>
  <si>
    <t xml:space="preserve">18132212453    </t>
  </si>
  <si>
    <t xml:space="preserve">18132212454    </t>
  </si>
  <si>
    <t xml:space="preserve">18132212455    </t>
  </si>
  <si>
    <t xml:space="preserve">18132212456    </t>
  </si>
  <si>
    <t xml:space="preserve">18132212457    </t>
  </si>
  <si>
    <t xml:space="preserve">18132212458    </t>
  </si>
  <si>
    <t xml:space="preserve">18132212461    </t>
  </si>
  <si>
    <t xml:space="preserve">18132212462    </t>
  </si>
  <si>
    <t xml:space="preserve">18132212463    </t>
  </si>
  <si>
    <t xml:space="preserve">18132212464    </t>
  </si>
  <si>
    <t xml:space="preserve">18132212465    </t>
  </si>
  <si>
    <t xml:space="preserve">18132212468    </t>
  </si>
  <si>
    <t xml:space="preserve">18132212469    </t>
  </si>
  <si>
    <t xml:space="preserve">18132212470    </t>
  </si>
  <si>
    <t xml:space="preserve">18132212472    </t>
  </si>
  <si>
    <t xml:space="preserve">18132212473    </t>
  </si>
  <si>
    <t xml:space="preserve">18132212474    </t>
  </si>
  <si>
    <t xml:space="preserve">18132212475    </t>
  </si>
  <si>
    <t xml:space="preserve">18132211423    </t>
  </si>
  <si>
    <t xml:space="preserve">18132211424    </t>
  </si>
  <si>
    <t xml:space="preserve">18132211425    </t>
  </si>
  <si>
    <t xml:space="preserve">18132211426    </t>
  </si>
  <si>
    <t xml:space="preserve">18132211427    </t>
  </si>
  <si>
    <t xml:space="preserve">18132211428    </t>
  </si>
  <si>
    <t xml:space="preserve">18132211429    </t>
  </si>
  <si>
    <t xml:space="preserve">18132211430    </t>
  </si>
  <si>
    <t xml:space="preserve">18132211431    </t>
  </si>
  <si>
    <t xml:space="preserve">18132211432    </t>
  </si>
  <si>
    <t xml:space="preserve">18132211433    </t>
  </si>
  <si>
    <t xml:space="preserve">18132213055    </t>
  </si>
  <si>
    <t xml:space="preserve">18132213056    </t>
  </si>
  <si>
    <t xml:space="preserve">18132213057    </t>
  </si>
  <si>
    <t xml:space="preserve">18131544442    </t>
  </si>
  <si>
    <t xml:space="preserve">18131544443    </t>
  </si>
  <si>
    <t xml:space="preserve">18131544444    </t>
  </si>
  <si>
    <t xml:space="preserve">18131544445    </t>
  </si>
  <si>
    <t xml:space="preserve">18131544446    </t>
  </si>
  <si>
    <t xml:space="preserve">18131544447    </t>
  </si>
  <si>
    <t xml:space="preserve">18131544448    </t>
  </si>
  <si>
    <t xml:space="preserve">18131544461    </t>
  </si>
  <si>
    <t xml:space="preserve">18131544462    </t>
  </si>
  <si>
    <t xml:space="preserve">18131544463    </t>
  </si>
  <si>
    <t xml:space="preserve">18131544464    </t>
  </si>
  <si>
    <t xml:space="preserve">18131544465    </t>
  </si>
  <si>
    <t xml:space="preserve">18131544466    </t>
  </si>
  <si>
    <t xml:space="preserve">18131544467    </t>
  </si>
  <si>
    <t xml:space="preserve">18131544468    </t>
  </si>
  <si>
    <t xml:space="preserve">18131544469    </t>
  </si>
  <si>
    <t xml:space="preserve">18131544470    </t>
  </si>
  <si>
    <t xml:space="preserve">18131544471    </t>
  </si>
  <si>
    <t xml:space="preserve">18131544472    </t>
  </si>
  <si>
    <t xml:space="preserve">18131544473    </t>
  </si>
  <si>
    <t xml:space="preserve">18131544474    </t>
  </si>
  <si>
    <t xml:space="preserve">18131544475    </t>
  </si>
  <si>
    <t xml:space="preserve">18131544476    </t>
  </si>
  <si>
    <t xml:space="preserve">18132212421    </t>
  </si>
  <si>
    <t xml:space="preserve">18132212423    </t>
  </si>
  <si>
    <t xml:space="preserve">18132212425    </t>
  </si>
  <si>
    <t xml:space="preserve">18132212426    </t>
  </si>
  <si>
    <t xml:space="preserve">18132212427    </t>
  </si>
  <si>
    <t xml:space="preserve">18132212428    </t>
  </si>
  <si>
    <t xml:space="preserve">18132212430    </t>
  </si>
  <si>
    <t xml:space="preserve">18132212431    </t>
  </si>
  <si>
    <t xml:space="preserve">18132212432    </t>
  </si>
  <si>
    <t xml:space="preserve">18132212433    </t>
  </si>
  <si>
    <t xml:space="preserve">18132212434    </t>
  </si>
  <si>
    <t xml:space="preserve">18132212435    </t>
  </si>
  <si>
    <t xml:space="preserve">18132212032    </t>
  </si>
  <si>
    <t xml:space="preserve">18132212033    </t>
  </si>
  <si>
    <t xml:space="preserve">18132212400    </t>
  </si>
  <si>
    <t xml:space="preserve">18132212408    </t>
  </si>
  <si>
    <t xml:space="preserve">18132212409    </t>
  </si>
  <si>
    <t xml:space="preserve">18132212410    </t>
  </si>
  <si>
    <t xml:space="preserve">18132212411    </t>
  </si>
  <si>
    <t xml:space="preserve">18132212414    </t>
  </si>
  <si>
    <t xml:space="preserve">18132211413    </t>
  </si>
  <si>
    <t xml:space="preserve">18132211414    </t>
  </si>
  <si>
    <t xml:space="preserve">18132211415    </t>
  </si>
  <si>
    <t xml:space="preserve">18132211416    </t>
  </si>
  <si>
    <t xml:space="preserve">18132211417    </t>
  </si>
  <si>
    <t xml:space="preserve">18132211418    </t>
  </si>
  <si>
    <t xml:space="preserve">18132211419    </t>
  </si>
  <si>
    <t xml:space="preserve">18132211420    </t>
  </si>
  <si>
    <t xml:space="preserve">18132211421    </t>
  </si>
  <si>
    <t xml:space="preserve">18132211422    </t>
  </si>
  <si>
    <t xml:space="preserve">18132212476    </t>
  </si>
  <si>
    <t xml:space="preserve">18132212477    </t>
  </si>
  <si>
    <t xml:space="preserve">18132212480    </t>
  </si>
  <si>
    <t xml:space="preserve">18132213001    </t>
  </si>
  <si>
    <t xml:space="preserve">18132213002    </t>
  </si>
  <si>
    <t xml:space="preserve">18132213003    </t>
  </si>
  <si>
    <t xml:space="preserve">18132213004    </t>
  </si>
  <si>
    <t xml:space="preserve">18132213005    </t>
  </si>
  <si>
    <t xml:space="preserve">18132213006    </t>
  </si>
  <si>
    <t xml:space="preserve">18132213007    </t>
  </si>
  <si>
    <t xml:space="preserve">18132213018    </t>
  </si>
  <si>
    <t xml:space="preserve">18132213019    </t>
  </si>
  <si>
    <t xml:space="preserve">18132212436    </t>
  </si>
  <si>
    <t xml:space="preserve">18132212437    </t>
  </si>
  <si>
    <t xml:space="preserve">18132212438    </t>
  </si>
  <si>
    <t xml:space="preserve">18132212439    </t>
  </si>
  <si>
    <t xml:space="preserve">18132212440    </t>
  </si>
  <si>
    <t xml:space="preserve">18132212441    </t>
  </si>
  <si>
    <t xml:space="preserve">18132212442    </t>
  </si>
  <si>
    <t xml:space="preserve">18132212443    </t>
  </si>
  <si>
    <t xml:space="preserve">18132212444    </t>
  </si>
  <si>
    <t xml:space="preserve">18132212445    </t>
  </si>
  <si>
    <t xml:space="preserve">18132212447    </t>
  </si>
  <si>
    <t xml:space="preserve">18131544441    </t>
  </si>
  <si>
    <t xml:space="preserve">18132212004    </t>
  </si>
  <si>
    <t xml:space="preserve">18132214465    </t>
  </si>
  <si>
    <t xml:space="preserve">18132214466    </t>
  </si>
  <si>
    <t xml:space="preserve">18132214467    </t>
  </si>
  <si>
    <t xml:space="preserve">18132214470    </t>
  </si>
  <si>
    <t xml:space="preserve">18132214471    </t>
  </si>
  <si>
    <t xml:space="preserve">18132214473    </t>
  </si>
  <si>
    <t xml:space="preserve">18132214474    </t>
  </si>
  <si>
    <t xml:space="preserve">18132214475    </t>
  </si>
  <si>
    <t xml:space="preserve">18132214476    </t>
  </si>
  <si>
    <t xml:space="preserve">18132214477    </t>
  </si>
  <si>
    <t xml:space="preserve">18132214478    </t>
  </si>
  <si>
    <t xml:space="preserve">18132214479    </t>
  </si>
  <si>
    <t xml:space="preserve">18132214480    </t>
  </si>
  <si>
    <t xml:space="preserve">18132214481    </t>
  </si>
  <si>
    <t xml:space="preserve">18132214482    </t>
  </si>
  <si>
    <t xml:space="preserve">18132214483    </t>
  </si>
  <si>
    <t xml:space="preserve">18132214484    </t>
  </si>
  <si>
    <t xml:space="preserve">18132214485    </t>
  </si>
  <si>
    <t xml:space="preserve">18132214486    </t>
  </si>
  <si>
    <t xml:space="preserve">18132214489    </t>
  </si>
  <si>
    <t xml:space="preserve">18132214490    </t>
  </si>
  <si>
    <t xml:space="preserve">18132214491    </t>
  </si>
  <si>
    <t xml:space="preserve">18132214492    </t>
  </si>
  <si>
    <t xml:space="preserve">18132241457    </t>
  </si>
  <si>
    <t xml:space="preserve">18132241458    </t>
  </si>
  <si>
    <t xml:space="preserve">18132241459    </t>
  </si>
  <si>
    <t xml:space="preserve">18132241460    </t>
  </si>
  <si>
    <t xml:space="preserve">18132241462    </t>
  </si>
  <si>
    <t xml:space="preserve">18132241463    </t>
  </si>
  <si>
    <t xml:space="preserve">18132241464    </t>
  </si>
  <si>
    <t xml:space="preserve">18132241465    </t>
  </si>
  <si>
    <t xml:space="preserve">18132241466    </t>
  </si>
  <si>
    <t xml:space="preserve">18132241467    </t>
  </si>
  <si>
    <t xml:space="preserve">18132241468    </t>
  </si>
  <si>
    <t xml:space="preserve">18132241481    </t>
  </si>
  <si>
    <t xml:space="preserve">18132241484    </t>
  </si>
  <si>
    <t xml:space="preserve">18132241485    </t>
  </si>
  <si>
    <t xml:space="preserve">18132214441    </t>
  </si>
  <si>
    <t xml:space="preserve">18132214442    </t>
  </si>
  <si>
    <t xml:space="preserve">18132214443    </t>
  </si>
  <si>
    <t xml:space="preserve">18132214444    </t>
  </si>
  <si>
    <t xml:space="preserve">18132214445    </t>
  </si>
  <si>
    <t xml:space="preserve">18132214446    </t>
  </si>
  <si>
    <t xml:space="preserve">18132214447    </t>
  </si>
  <si>
    <t xml:space="preserve">18132214448    </t>
  </si>
  <si>
    <t xml:space="preserve">18132214449    </t>
  </si>
  <si>
    <t xml:space="preserve">18132214450    </t>
  </si>
  <si>
    <t xml:space="preserve">18132214451    </t>
  </si>
  <si>
    <t xml:space="preserve">18132214452    </t>
  </si>
  <si>
    <t xml:space="preserve">18132214453    </t>
  </si>
  <si>
    <t xml:space="preserve">18132214454    </t>
  </si>
  <si>
    <t xml:space="preserve">18132214455    </t>
  </si>
  <si>
    <t xml:space="preserve">18132214456    </t>
  </si>
  <si>
    <t xml:space="preserve">18132214457    </t>
  </si>
  <si>
    <t xml:space="preserve">18132214458    </t>
  </si>
  <si>
    <t xml:space="preserve">18132214459    </t>
  </si>
  <si>
    <t xml:space="preserve">18132214460    </t>
  </si>
  <si>
    <t xml:space="preserve">18132214461    </t>
  </si>
  <si>
    <t xml:space="preserve">18132214462    </t>
  </si>
  <si>
    <t xml:space="preserve">18132214463    </t>
  </si>
  <si>
    <t xml:space="preserve">18132214464    </t>
  </si>
  <si>
    <t xml:space="preserve">18132214400    </t>
  </si>
  <si>
    <t xml:space="preserve">18132214401    </t>
  </si>
  <si>
    <t xml:space="preserve">18132214402    </t>
  </si>
  <si>
    <t xml:space="preserve">18132214403    </t>
  </si>
  <si>
    <t xml:space="preserve">18132214404    </t>
  </si>
  <si>
    <t xml:space="preserve">18132214406    </t>
  </si>
  <si>
    <t xml:space="preserve">18132214407    </t>
  </si>
  <si>
    <t xml:space="preserve">18132214408    </t>
  </si>
  <si>
    <t xml:space="preserve">18132214411    </t>
  </si>
  <si>
    <t xml:space="preserve">18132214412    </t>
  </si>
  <si>
    <t xml:space="preserve">18132214413    </t>
  </si>
  <si>
    <t xml:space="preserve">18132214414    </t>
  </si>
  <si>
    <t xml:space="preserve">18132241049    </t>
  </si>
  <si>
    <t xml:space="preserve">18132241050    </t>
  </si>
  <si>
    <t xml:space="preserve">18132241051    </t>
  </si>
  <si>
    <t xml:space="preserve">18132241054    </t>
  </si>
  <si>
    <t xml:space="preserve">18132241055    </t>
  </si>
  <si>
    <t xml:space="preserve">18132241058    </t>
  </si>
  <si>
    <t xml:space="preserve">18132241059    </t>
  </si>
  <si>
    <t xml:space="preserve">18132241062    </t>
  </si>
  <si>
    <t xml:space="preserve">18132241063    </t>
  </si>
  <si>
    <t xml:space="preserve">18132241064    </t>
  </si>
  <si>
    <t xml:space="preserve">18132241068    </t>
  </si>
  <si>
    <t xml:space="preserve">18132214427    </t>
  </si>
  <si>
    <t xml:space="preserve">18132214428    </t>
  </si>
  <si>
    <t xml:space="preserve">18132214429    </t>
  </si>
  <si>
    <t xml:space="preserve">18132214430    </t>
  </si>
  <si>
    <t xml:space="preserve">18132214431    </t>
  </si>
  <si>
    <t xml:space="preserve">18132214432    </t>
  </si>
  <si>
    <t xml:space="preserve">18132214433    </t>
  </si>
  <si>
    <t xml:space="preserve">18132214434    </t>
  </si>
  <si>
    <t xml:space="preserve">18132214435    </t>
  </si>
  <si>
    <t xml:space="preserve">18132214439    </t>
  </si>
  <si>
    <t xml:space="preserve">18132214440    </t>
  </si>
  <si>
    <t xml:space="preserve">18132213058    </t>
  </si>
  <si>
    <t xml:space="preserve">18132213059    </t>
  </si>
  <si>
    <t xml:space="preserve">18132213061    </t>
  </si>
  <si>
    <t xml:space="preserve">18132213409    </t>
  </si>
  <si>
    <t xml:space="preserve">18132213411    </t>
  </si>
  <si>
    <t xml:space="preserve">18132213439    </t>
  </si>
  <si>
    <t xml:space="preserve">18132213440    </t>
  </si>
  <si>
    <t xml:space="preserve">18132213441    </t>
  </si>
  <si>
    <t xml:space="preserve">18132213443    </t>
  </si>
  <si>
    <t xml:space="preserve">18132213447    </t>
  </si>
  <si>
    <t xml:space="preserve">18132213448    </t>
  </si>
  <si>
    <t xml:space="preserve">18132213449    </t>
  </si>
  <si>
    <t xml:space="preserve">18132213450    </t>
  </si>
  <si>
    <t xml:space="preserve">18132213451    </t>
  </si>
  <si>
    <t xml:space="preserve">18132213452    </t>
  </si>
  <si>
    <t xml:space="preserve">18132213453    </t>
  </si>
  <si>
    <t xml:space="preserve">18132213470    </t>
  </si>
  <si>
    <t xml:space="preserve">18132213471    </t>
  </si>
  <si>
    <t xml:space="preserve">18132213472    </t>
  </si>
  <si>
    <t xml:space="preserve">18132241005    </t>
  </si>
  <si>
    <t xml:space="preserve">18132241006    </t>
  </si>
  <si>
    <t xml:space="preserve">18132241007    </t>
  </si>
  <si>
    <t xml:space="preserve">18132241008    </t>
  </si>
  <si>
    <t xml:space="preserve">18132241009    </t>
  </si>
  <si>
    <t xml:space="preserve">18132241010    </t>
  </si>
  <si>
    <t xml:space="preserve">18132241011    </t>
  </si>
  <si>
    <t xml:space="preserve">18132241012    </t>
  </si>
  <si>
    <t xml:space="preserve">18132241013    </t>
  </si>
  <si>
    <t xml:space="preserve">18132241014    </t>
  </si>
  <si>
    <t xml:space="preserve">18132241015    </t>
  </si>
  <si>
    <t xml:space="preserve">18132241016    </t>
  </si>
  <si>
    <t xml:space="preserve">18132241017    </t>
  </si>
  <si>
    <t xml:space="preserve">18132241018    </t>
  </si>
  <si>
    <t xml:space="preserve">18132241019    </t>
  </si>
  <si>
    <t xml:space="preserve">18132241020    </t>
  </si>
  <si>
    <t xml:space="preserve">18132241024    </t>
  </si>
  <si>
    <t xml:space="preserve">18132241030    </t>
  </si>
  <si>
    <t xml:space="preserve">18132241031    </t>
  </si>
  <si>
    <t xml:space="preserve">18132241032    </t>
  </si>
  <si>
    <t xml:space="preserve">18132241033    </t>
  </si>
  <si>
    <t xml:space="preserve">18132241034    </t>
  </si>
  <si>
    <t xml:space="preserve">18132241035    </t>
  </si>
  <si>
    <t xml:space="preserve">18132241036    </t>
  </si>
  <si>
    <t xml:space="preserve">18132241444    </t>
  </si>
  <si>
    <t xml:space="preserve">18132241445    </t>
  </si>
  <si>
    <t xml:space="preserve">18132241446    </t>
  </si>
  <si>
    <t xml:space="preserve">18132241447    </t>
  </si>
  <si>
    <t xml:space="preserve">18132241448    </t>
  </si>
  <si>
    <t xml:space="preserve">18132241449    </t>
  </si>
  <si>
    <t xml:space="preserve">18132241450    </t>
  </si>
  <si>
    <t xml:space="preserve">18132241452    </t>
  </si>
  <si>
    <t xml:space="preserve">18132241453    </t>
  </si>
  <si>
    <t xml:space="preserve">18132241454    </t>
  </si>
  <si>
    <t xml:space="preserve">18132241455    </t>
  </si>
  <si>
    <t xml:space="preserve">18132241456    </t>
  </si>
  <si>
    <t xml:space="preserve">18132241486    </t>
  </si>
  <si>
    <t xml:space="preserve">18132241487    </t>
  </si>
  <si>
    <t xml:space="preserve">18132241488    </t>
  </si>
  <si>
    <t xml:space="preserve">18132241489    </t>
  </si>
  <si>
    <t xml:space="preserve">18132241491    </t>
  </si>
  <si>
    <t xml:space="preserve">18132242010    </t>
  </si>
  <si>
    <t xml:space="preserve">18132242014    </t>
  </si>
  <si>
    <t xml:space="preserve">18132242015    </t>
  </si>
  <si>
    <t xml:space="preserve">18132242018    </t>
  </si>
  <si>
    <t xml:space="preserve">18132242019    </t>
  </si>
  <si>
    <t xml:space="preserve">18132242020    </t>
  </si>
  <si>
    <t xml:space="preserve">18132242400    </t>
  </si>
  <si>
    <t xml:space="preserve">18132242403    </t>
  </si>
  <si>
    <t xml:space="preserve">18132242405    </t>
  </si>
  <si>
    <t xml:space="preserve">18132242406    </t>
  </si>
  <si>
    <t xml:space="preserve">18132242407    </t>
  </si>
  <si>
    <t xml:space="preserve">18132242408    </t>
  </si>
  <si>
    <t xml:space="preserve">18132242411    </t>
  </si>
  <si>
    <t xml:space="preserve">18132242412    </t>
  </si>
  <si>
    <t xml:space="preserve">18132242413    </t>
  </si>
  <si>
    <t xml:space="preserve">18132242415    </t>
  </si>
  <si>
    <t xml:space="preserve">18132242416    </t>
  </si>
  <si>
    <t xml:space="preserve">18132242417    </t>
  </si>
  <si>
    <t xml:space="preserve">18132242418    </t>
  </si>
  <si>
    <t xml:space="preserve">18132242419    </t>
  </si>
  <si>
    <t xml:space="preserve">18132242420    </t>
  </si>
  <si>
    <t xml:space="preserve">18132242421    </t>
  </si>
  <si>
    <t xml:space="preserve">18132242422    </t>
  </si>
  <si>
    <t xml:space="preserve">18132242423    </t>
  </si>
  <si>
    <t xml:space="preserve">18132242425    </t>
  </si>
  <si>
    <t xml:space="preserve">18132242426    </t>
  </si>
  <si>
    <t xml:space="preserve">18132242428    </t>
  </si>
  <si>
    <t xml:space="preserve">18132213074    </t>
  </si>
  <si>
    <t xml:space="preserve">18132213400    </t>
  </si>
  <si>
    <t xml:space="preserve">18132213410    </t>
  </si>
  <si>
    <t xml:space="preserve">18132213414    </t>
  </si>
  <si>
    <t xml:space="preserve">18132213420    </t>
  </si>
  <si>
    <t xml:space="preserve">18132241418    </t>
  </si>
  <si>
    <t xml:space="preserve">18132241419    </t>
  </si>
  <si>
    <t xml:space="preserve">18132241420    </t>
  </si>
  <si>
    <t xml:space="preserve">18132241421    </t>
  </si>
  <si>
    <t xml:space="preserve">18132241422    </t>
  </si>
  <si>
    <t xml:space="preserve">18132241423    </t>
  </si>
  <si>
    <t xml:space="preserve">18132241424    </t>
  </si>
  <si>
    <t xml:space="preserve">18132241427    </t>
  </si>
  <si>
    <t xml:space="preserve">18132241428    </t>
  </si>
  <si>
    <t xml:space="preserve">18132241429    </t>
  </si>
  <si>
    <t xml:space="preserve">18132241430    </t>
  </si>
  <si>
    <t xml:space="preserve">18132241431    </t>
  </si>
  <si>
    <t xml:space="preserve">18132241069    </t>
  </si>
  <si>
    <t xml:space="preserve">18132241070    </t>
  </si>
  <si>
    <t xml:space="preserve">18132241071    </t>
  </si>
  <si>
    <t xml:space="preserve">18132241072    </t>
  </si>
  <si>
    <t xml:space="preserve">18132241073    </t>
  </si>
  <si>
    <t xml:space="preserve">18132241074    </t>
  </si>
  <si>
    <t xml:space="preserve">18132241075    </t>
  </si>
  <si>
    <t xml:space="preserve">18132241076    </t>
  </si>
  <si>
    <t xml:space="preserve">18132241077    </t>
  </si>
  <si>
    <t xml:space="preserve">18132241400    </t>
  </si>
  <si>
    <t xml:space="preserve">18132241404    </t>
  </si>
  <si>
    <t xml:space="preserve">18132241405    </t>
  </si>
  <si>
    <t xml:space="preserve">18132241406    </t>
  </si>
  <si>
    <t xml:space="preserve">18132241407    </t>
  </si>
  <si>
    <t xml:space="preserve">18132212005    </t>
  </si>
  <si>
    <t xml:space="preserve">18132212007    </t>
  </si>
  <si>
    <t xml:space="preserve">18132212012    </t>
  </si>
  <si>
    <t xml:space="preserve">18132212013    </t>
  </si>
  <si>
    <t xml:space="preserve">18132212014    </t>
  </si>
  <si>
    <t>331</t>
  </si>
  <si>
    <t xml:space="preserve">18132212018    </t>
  </si>
  <si>
    <t xml:space="preserve">18132212019    </t>
  </si>
  <si>
    <t xml:space="preserve">18132212020    </t>
  </si>
  <si>
    <t xml:space="preserve">18132212021    </t>
  </si>
  <si>
    <t xml:space="preserve">18132212022    </t>
  </si>
  <si>
    <t xml:space="preserve">18132212023    </t>
  </si>
  <si>
    <t xml:space="preserve">18132212024    </t>
  </si>
  <si>
    <t xml:space="preserve">18132212025    </t>
  </si>
  <si>
    <t xml:space="preserve">18132212026    </t>
  </si>
  <si>
    <t xml:space="preserve">18132212030    </t>
  </si>
  <si>
    <t xml:space="preserve">18132211434    </t>
  </si>
  <si>
    <t xml:space="preserve">18132211435    </t>
  </si>
  <si>
    <t xml:space="preserve">18132211436    </t>
  </si>
  <si>
    <t xml:space="preserve">18132211437    </t>
  </si>
  <si>
    <t xml:space="preserve">18132211438    </t>
  </si>
  <si>
    <t xml:space="preserve">18132212478    </t>
  </si>
  <si>
    <t xml:space="preserve">18132212479    </t>
  </si>
  <si>
    <t xml:space="preserve">18132211002    </t>
  </si>
  <si>
    <t xml:space="preserve">18132211003    </t>
  </si>
  <si>
    <t xml:space="preserve">18132211006    </t>
  </si>
  <si>
    <t xml:space="preserve">18132211007    </t>
  </si>
  <si>
    <t xml:space="preserve">18132211010    </t>
  </si>
  <si>
    <t xml:space="preserve">18132211011    </t>
  </si>
  <si>
    <t xml:space="preserve">18132211012    </t>
  </si>
  <si>
    <t xml:space="preserve">18132211014    </t>
  </si>
  <si>
    <t xml:space="preserve">18132211018    </t>
  </si>
  <si>
    <t xml:space="preserve">18132211023    </t>
  </si>
  <si>
    <t xml:space="preserve">18132211025    </t>
  </si>
  <si>
    <t xml:space="preserve">18132211400    </t>
  </si>
  <si>
    <t xml:space="preserve">18132211401    </t>
  </si>
  <si>
    <t xml:space="preserve">18132211404    </t>
  </si>
  <si>
    <t xml:space="preserve">18132212415    </t>
  </si>
  <si>
    <t xml:space="preserve">18132212416    </t>
  </si>
  <si>
    <t xml:space="preserve">18132212417    </t>
  </si>
  <si>
    <t xml:space="preserve">18132212418    </t>
  </si>
  <si>
    <t xml:space="preserve">18132212419    </t>
  </si>
  <si>
    <t xml:space="preserve">18132212420    </t>
  </si>
  <si>
    <t xml:space="preserve">18132211405    </t>
  </si>
  <si>
    <t xml:space="preserve">18132211406    </t>
  </si>
  <si>
    <t xml:space="preserve">18132211407    </t>
  </si>
  <si>
    <t xml:space="preserve">18132211408    </t>
  </si>
  <si>
    <t xml:space="preserve">18132211409    </t>
  </si>
  <si>
    <t xml:space="preserve">18132211410    </t>
  </si>
  <si>
    <t xml:space="preserve">18132211411    </t>
  </si>
  <si>
    <t xml:space="preserve">18132211412    </t>
  </si>
  <si>
    <t xml:space="preserve">18132212002    </t>
  </si>
  <si>
    <t xml:space="preserve">18132212003    </t>
  </si>
  <si>
    <t xml:space="preserve">18132331495    </t>
  </si>
  <si>
    <t xml:space="preserve">18132331496    </t>
  </si>
  <si>
    <t xml:space="preserve">18132331497    </t>
  </si>
  <si>
    <t xml:space="preserve">18132331498    </t>
  </si>
  <si>
    <t xml:space="preserve">18132331499    </t>
  </si>
  <si>
    <t xml:space="preserve">18132331500    </t>
  </si>
  <si>
    <t xml:space="preserve">18132331502    </t>
  </si>
  <si>
    <t xml:space="preserve">18132331503    </t>
  </si>
  <si>
    <t xml:space="preserve">18132331504    </t>
  </si>
  <si>
    <t xml:space="preserve">18132331505    </t>
  </si>
  <si>
    <t xml:space="preserve">18132331506    </t>
  </si>
  <si>
    <t xml:space="preserve">18132331507    </t>
  </si>
  <si>
    <t xml:space="preserve">18132331508    </t>
  </si>
  <si>
    <t xml:space="preserve">18132331509    </t>
  </si>
  <si>
    <t xml:space="preserve">18132331510    </t>
  </si>
  <si>
    <t xml:space="preserve">18132331512    </t>
  </si>
  <si>
    <t xml:space="preserve">18132331513    </t>
  </si>
  <si>
    <t xml:space="preserve">18132331514    </t>
  </si>
  <si>
    <t xml:space="preserve">18132331515    </t>
  </si>
  <si>
    <t xml:space="preserve">18132331516    </t>
  </si>
  <si>
    <t xml:space="preserve">18132331517    </t>
  </si>
  <si>
    <t xml:space="preserve">18132331519    </t>
  </si>
  <si>
    <t xml:space="preserve">18132324465    </t>
  </si>
  <si>
    <t xml:space="preserve">18132324466    </t>
  </si>
  <si>
    <t xml:space="preserve">18132324467    </t>
  </si>
  <si>
    <t xml:space="preserve">18132324468    </t>
  </si>
  <si>
    <t xml:space="preserve">18132324469    </t>
  </si>
  <si>
    <t xml:space="preserve">18132324470    </t>
  </si>
  <si>
    <t xml:space="preserve">18132324471    </t>
  </si>
  <si>
    <t xml:space="preserve">18132324472    </t>
  </si>
  <si>
    <t xml:space="preserve">18132324473    </t>
  </si>
  <si>
    <t xml:space="preserve">18132324474    </t>
  </si>
  <si>
    <t xml:space="preserve">18132324475    </t>
  </si>
  <si>
    <t xml:space="preserve">18132324476    </t>
  </si>
  <si>
    <t xml:space="preserve">18132324477    </t>
  </si>
  <si>
    <t xml:space="preserve">18132324478    </t>
  </si>
  <si>
    <t xml:space="preserve">18132324479    </t>
  </si>
  <si>
    <t xml:space="preserve">18132324482    </t>
  </si>
  <si>
    <t xml:space="preserve">18132342499    </t>
  </si>
  <si>
    <t xml:space="preserve">18132342500    </t>
  </si>
  <si>
    <t xml:space="preserve">18132334471    </t>
  </si>
  <si>
    <t xml:space="preserve">18132334472    </t>
  </si>
  <si>
    <t xml:space="preserve">18132334473    </t>
  </si>
  <si>
    <t xml:space="preserve">18132342489    </t>
  </si>
  <si>
    <t xml:space="preserve">18132342490    </t>
  </si>
  <si>
    <t xml:space="preserve">18132342491    </t>
  </si>
  <si>
    <t xml:space="preserve">18132342492    </t>
  </si>
  <si>
    <t xml:space="preserve">18132342493    </t>
  </si>
  <si>
    <t xml:space="preserve">18132342494    </t>
  </si>
  <si>
    <t xml:space="preserve">18132342495    </t>
  </si>
  <si>
    <t xml:space="preserve">18132342496    </t>
  </si>
  <si>
    <t xml:space="preserve">18132342497    </t>
  </si>
  <si>
    <t xml:space="preserve">18132342498    </t>
  </si>
  <si>
    <t xml:space="preserve">18132243488    </t>
  </si>
  <si>
    <t xml:space="preserve">18132243489    </t>
  </si>
  <si>
    <t xml:space="preserve">18132334474    </t>
  </si>
  <si>
    <t xml:space="preserve">18132334475    </t>
  </si>
  <si>
    <t xml:space="preserve">18132334476    </t>
  </si>
  <si>
    <t xml:space="preserve">18132334477    </t>
  </si>
  <si>
    <t xml:space="preserve">18132334478    </t>
  </si>
  <si>
    <t xml:space="preserve">18132334479    </t>
  </si>
  <si>
    <t xml:space="preserve">18132334480    </t>
  </si>
  <si>
    <t xml:space="preserve">18132334481    </t>
  </si>
  <si>
    <t xml:space="preserve">18132334484    </t>
  </si>
  <si>
    <t xml:space="preserve">18132334485    </t>
  </si>
  <si>
    <t xml:space="preserve">18132334486    </t>
  </si>
  <si>
    <t xml:space="preserve">18132334487    </t>
  </si>
  <si>
    <t xml:space="preserve">18132344441    </t>
  </si>
  <si>
    <t xml:space="preserve">18132334001    </t>
  </si>
  <si>
    <t xml:space="preserve">18132334002    </t>
  </si>
  <si>
    <t xml:space="preserve">18132334003    </t>
  </si>
  <si>
    <t xml:space="preserve">18132334004    </t>
  </si>
  <si>
    <t xml:space="preserve">18132334005    </t>
  </si>
  <si>
    <t xml:space="preserve">18132334006    </t>
  </si>
  <si>
    <t xml:space="preserve">18132334007    </t>
  </si>
  <si>
    <t xml:space="preserve">18132334008    </t>
  </si>
  <si>
    <t xml:space="preserve">18132334009    </t>
  </si>
  <si>
    <t xml:space="preserve">18132334010    </t>
  </si>
  <si>
    <t xml:space="preserve">18132334011    </t>
  </si>
  <si>
    <t xml:space="preserve">18132334014    </t>
  </si>
  <si>
    <t xml:space="preserve">18132321501    </t>
  </si>
  <si>
    <t xml:space="preserve">18132321502    </t>
  </si>
  <si>
    <t xml:space="preserve">18132321503    </t>
  </si>
  <si>
    <t xml:space="preserve">18132321504    </t>
  </si>
  <si>
    <t xml:space="preserve">18132321505    </t>
  </si>
  <si>
    <t xml:space="preserve">18132321506    </t>
  </si>
  <si>
    <t xml:space="preserve">18132321507    </t>
  </si>
  <si>
    <t xml:space="preserve">18132342434    </t>
  </si>
  <si>
    <t xml:space="preserve">18132342435    </t>
  </si>
  <si>
    <t xml:space="preserve">18132342436    </t>
  </si>
  <si>
    <t xml:space="preserve">18132342437    </t>
  </si>
  <si>
    <t xml:space="preserve">18132342438    </t>
  </si>
  <si>
    <t xml:space="preserve">18132342439    </t>
  </si>
  <si>
    <t xml:space="preserve">18132342440    </t>
  </si>
  <si>
    <t xml:space="preserve">18132342442    </t>
  </si>
  <si>
    <t xml:space="preserve">18132342443    </t>
  </si>
  <si>
    <t xml:space="preserve">18132342444    </t>
  </si>
  <si>
    <t xml:space="preserve">18132342445    </t>
  </si>
  <si>
    <t xml:space="preserve">18132342446    </t>
  </si>
  <si>
    <t xml:space="preserve">18132344028    </t>
  </si>
  <si>
    <t xml:space="preserve">18132344032    </t>
  </si>
  <si>
    <t xml:space="preserve">18132344422    </t>
  </si>
  <si>
    <t xml:space="preserve">18132344431    </t>
  </si>
  <si>
    <t xml:space="preserve">18132321508    </t>
  </si>
  <si>
    <t xml:space="preserve">18132321509    </t>
  </si>
  <si>
    <t xml:space="preserve">18132321510    </t>
  </si>
  <si>
    <t xml:space="preserve">18132321511    </t>
  </si>
  <si>
    <t xml:space="preserve">18132321512    </t>
  </si>
  <si>
    <t xml:space="preserve">18132321513    </t>
  </si>
  <si>
    <t xml:space="preserve">18132321514    </t>
  </si>
  <si>
    <t xml:space="preserve">18132321515    </t>
  </si>
  <si>
    <t xml:space="preserve">18132321516    </t>
  </si>
  <si>
    <t xml:space="preserve">18132322452    </t>
  </si>
  <si>
    <t xml:space="preserve">18132322453    </t>
  </si>
  <si>
    <t xml:space="preserve">18132333437    </t>
  </si>
  <si>
    <t>330</t>
  </si>
  <si>
    <t xml:space="preserve">18132344478    </t>
  </si>
  <si>
    <t xml:space="preserve">18132344479    </t>
  </si>
  <si>
    <t xml:space="preserve">18132344481    </t>
  </si>
  <si>
    <t xml:space="preserve">18132344482    </t>
  </si>
  <si>
    <t xml:space="preserve">18132344483    </t>
  </si>
  <si>
    <t xml:space="preserve">18132344485    </t>
  </si>
  <si>
    <t xml:space="preserve">18132344486    </t>
  </si>
  <si>
    <t xml:space="preserve">18132344487    </t>
  </si>
  <si>
    <t xml:space="preserve">18132344488    </t>
  </si>
  <si>
    <t xml:space="preserve">18132344489    </t>
  </si>
  <si>
    <t xml:space="preserve">18132344490    </t>
  </si>
  <si>
    <t xml:space="preserve">18132344491    </t>
  </si>
  <si>
    <t xml:space="preserve">18132344492    </t>
  </si>
  <si>
    <t xml:space="preserve">18132344493    </t>
  </si>
  <si>
    <t xml:space="preserve">18132344494    </t>
  </si>
  <si>
    <t xml:space="preserve">18132344495    </t>
  </si>
  <si>
    <t xml:space="preserve">18132344496    </t>
  </si>
  <si>
    <t xml:space="preserve">18132344497    </t>
  </si>
  <si>
    <t xml:space="preserve">18132344498    </t>
  </si>
  <si>
    <t xml:space="preserve">18132322430    </t>
  </si>
  <si>
    <t xml:space="preserve">18132322431    </t>
  </si>
  <si>
    <t xml:space="preserve">18132322432    </t>
  </si>
  <si>
    <t xml:space="preserve">18132322433    </t>
  </si>
  <si>
    <t xml:space="preserve">18132322434    </t>
  </si>
  <si>
    <t xml:space="preserve">18132322435    </t>
  </si>
  <si>
    <t xml:space="preserve">18132322436    </t>
  </si>
  <si>
    <t xml:space="preserve">18132322437    </t>
  </si>
  <si>
    <t xml:space="preserve">18132322438    </t>
  </si>
  <si>
    <t xml:space="preserve">18132322439    </t>
  </si>
  <si>
    <t xml:space="preserve">18132322440    </t>
  </si>
  <si>
    <t xml:space="preserve">18132322441    </t>
  </si>
  <si>
    <t xml:space="preserve">18132322442    </t>
  </si>
  <si>
    <t xml:space="preserve">18132322443    </t>
  </si>
  <si>
    <t xml:space="preserve">18132322444    </t>
  </si>
  <si>
    <t xml:space="preserve">18132322445    </t>
  </si>
  <si>
    <t xml:space="preserve">18132322446    </t>
  </si>
  <si>
    <t xml:space="preserve">18132322447    </t>
  </si>
  <si>
    <t xml:space="preserve">18132322448    </t>
  </si>
  <si>
    <t xml:space="preserve">18132322449    </t>
  </si>
  <si>
    <t xml:space="preserve">18132322450    </t>
  </si>
  <si>
    <t xml:space="preserve">18132322451    </t>
  </si>
  <si>
    <t xml:space="preserve">18132322486    </t>
  </si>
  <si>
    <t xml:space="preserve">18132322487    </t>
  </si>
  <si>
    <t xml:space="preserve">18132334442    </t>
  </si>
  <si>
    <t xml:space="preserve">18132334443    </t>
  </si>
  <si>
    <t xml:space="preserve">18132334444    </t>
  </si>
  <si>
    <t xml:space="preserve">18132334445    </t>
  </si>
  <si>
    <t xml:space="preserve">18132334446    </t>
  </si>
  <si>
    <t xml:space="preserve">18132334448    </t>
  </si>
  <si>
    <t xml:space="preserve">18132334449    </t>
  </si>
  <si>
    <t xml:space="preserve">18132334450    </t>
  </si>
  <si>
    <t xml:space="preserve">18132331406    </t>
  </si>
  <si>
    <t xml:space="preserve">18132331407    </t>
  </si>
  <si>
    <t xml:space="preserve">18132331408    </t>
  </si>
  <si>
    <t xml:space="preserve">18132331409    </t>
  </si>
  <si>
    <t xml:space="preserve">18132331411    </t>
  </si>
  <si>
    <t xml:space="preserve">18132331413    </t>
  </si>
  <si>
    <t xml:space="preserve">18132244497    </t>
  </si>
  <si>
    <t xml:space="preserve">18132244498    </t>
  </si>
  <si>
    <t xml:space="preserve">18132244499    </t>
  </si>
  <si>
    <t xml:space="preserve">18132244500    </t>
  </si>
  <si>
    <t xml:space="preserve">18132244501    </t>
  </si>
  <si>
    <t xml:space="preserve">18132244502    </t>
  </si>
  <si>
    <t xml:space="preserve">18132244503    </t>
  </si>
  <si>
    <t xml:space="preserve">18132244504    </t>
  </si>
  <si>
    <t xml:space="preserve">18132244505    </t>
  </si>
  <si>
    <t xml:space="preserve">18132244506    </t>
  </si>
  <si>
    <t xml:space="preserve">18132244507    </t>
  </si>
  <si>
    <t xml:space="preserve">18132331479    </t>
  </si>
  <si>
    <t xml:space="preserve">18132331480    </t>
  </si>
  <si>
    <t xml:space="preserve">18132331482    </t>
  </si>
  <si>
    <t xml:space="preserve">18132331483    </t>
  </si>
  <si>
    <t xml:space="preserve">18132331486    </t>
  </si>
  <si>
    <t xml:space="preserve">18132331488    </t>
  </si>
  <si>
    <t xml:space="preserve">18132331490    </t>
  </si>
  <si>
    <t xml:space="preserve">18132331491    </t>
  </si>
  <si>
    <t xml:space="preserve">18132331492    </t>
  </si>
  <si>
    <t xml:space="preserve">18132331493    </t>
  </si>
  <si>
    <t xml:space="preserve">18132331494    </t>
  </si>
  <si>
    <t xml:space="preserve">18132334451    </t>
  </si>
  <si>
    <t xml:space="preserve">18132334452    </t>
  </si>
  <si>
    <t xml:space="preserve">18132334453    </t>
  </si>
  <si>
    <t xml:space="preserve">18132334454    </t>
  </si>
  <si>
    <t xml:space="preserve">18132334016    </t>
  </si>
  <si>
    <t xml:space="preserve">18132334017    </t>
  </si>
  <si>
    <t xml:space="preserve">18132334018    </t>
  </si>
  <si>
    <t xml:space="preserve">18132334020    </t>
  </si>
  <si>
    <t xml:space="preserve">18132334021    </t>
  </si>
  <si>
    <t xml:space="preserve">18132334022    </t>
  </si>
  <si>
    <t xml:space="preserve">18132334023    </t>
  </si>
  <si>
    <t xml:space="preserve">18132334024    </t>
  </si>
  <si>
    <t xml:space="preserve">18132334400    </t>
  </si>
  <si>
    <t xml:space="preserve">18132334401    </t>
  </si>
  <si>
    <t xml:space="preserve">18132334402    </t>
  </si>
  <si>
    <t xml:space="preserve">18132244416    </t>
  </si>
  <si>
    <t xml:space="preserve">18132244417    </t>
  </si>
  <si>
    <t xml:space="preserve">18132244418    </t>
  </si>
  <si>
    <t xml:space="preserve">18132244419    </t>
  </si>
  <si>
    <t xml:space="preserve">18132244420    </t>
  </si>
  <si>
    <t xml:space="preserve">18132244421    </t>
  </si>
  <si>
    <t xml:space="preserve">18132244422    </t>
  </si>
  <si>
    <t xml:space="preserve">18132244423    </t>
  </si>
  <si>
    <t xml:space="preserve">18132244426    </t>
  </si>
  <si>
    <t xml:space="preserve">18132244427    </t>
  </si>
  <si>
    <t xml:space="preserve">18132244429    </t>
  </si>
  <si>
    <t xml:space="preserve">18132243476    </t>
  </si>
  <si>
    <t xml:space="preserve">18132313406    </t>
  </si>
  <si>
    <t xml:space="preserve">18132313408    </t>
  </si>
  <si>
    <t xml:space="preserve">18132313409    </t>
  </si>
  <si>
    <t xml:space="preserve">18132313410    </t>
  </si>
  <si>
    <t xml:space="preserve">18132313411    </t>
  </si>
  <si>
    <t xml:space="preserve">18132313412    </t>
  </si>
  <si>
    <t xml:space="preserve">18132313413    </t>
  </si>
  <si>
    <t xml:space="preserve">18132313414    </t>
  </si>
  <si>
    <t xml:space="preserve">18132313416    </t>
  </si>
  <si>
    <t xml:space="preserve">18132313417    </t>
  </si>
  <si>
    <t xml:space="preserve">18132342526    </t>
  </si>
  <si>
    <t xml:space="preserve">18132343008    </t>
  </si>
  <si>
    <t xml:space="preserve">18132343009    </t>
  </si>
  <si>
    <t xml:space="preserve">18132343010    </t>
  </si>
  <si>
    <t xml:space="preserve">18132343011    </t>
  </si>
  <si>
    <t xml:space="preserve">18132343012    </t>
  </si>
  <si>
    <t xml:space="preserve">18132343013    </t>
  </si>
  <si>
    <t xml:space="preserve">18132343014    </t>
  </si>
  <si>
    <t xml:space="preserve">18132343406    </t>
  </si>
  <si>
    <t xml:space="preserve">18132343407    </t>
  </si>
  <si>
    <t xml:space="preserve">18132343409    </t>
  </si>
  <si>
    <t xml:space="preserve">18132343410    </t>
  </si>
  <si>
    <t xml:space="preserve">18132343411    </t>
  </si>
  <si>
    <t xml:space="preserve">18132343412    </t>
  </si>
  <si>
    <t xml:space="preserve">18132343413    </t>
  </si>
  <si>
    <t xml:space="preserve">18132343415    </t>
  </si>
  <si>
    <t xml:space="preserve">18132343416    </t>
  </si>
  <si>
    <t xml:space="preserve">18132343417    </t>
  </si>
  <si>
    <t xml:space="preserve">18132343418    </t>
  </si>
  <si>
    <t xml:space="preserve">18132343419    </t>
  </si>
  <si>
    <t xml:space="preserve">18132343421    </t>
  </si>
  <si>
    <t xml:space="preserve">18132343422    </t>
  </si>
  <si>
    <t xml:space="preserve">18132342501    </t>
  </si>
  <si>
    <t xml:space="preserve">18132342503    </t>
  </si>
  <si>
    <t xml:space="preserve">18132342504    </t>
  </si>
  <si>
    <t xml:space="preserve">18132342506    </t>
  </si>
  <si>
    <t xml:space="preserve">18132342507    </t>
  </si>
  <si>
    <t xml:space="preserve">18132342508    </t>
  </si>
  <si>
    <t xml:space="preserve">18132342509    </t>
  </si>
  <si>
    <t xml:space="preserve">18132342510    </t>
  </si>
  <si>
    <t xml:space="preserve">18132342511    </t>
  </si>
  <si>
    <t xml:space="preserve">18132342512    </t>
  </si>
  <si>
    <t xml:space="preserve">18132342513    </t>
  </si>
  <si>
    <t xml:space="preserve">18132342514    </t>
  </si>
  <si>
    <t xml:space="preserve">18132342515    </t>
  </si>
  <si>
    <t xml:space="preserve">18132342516    </t>
  </si>
  <si>
    <t xml:space="preserve">18132342517    </t>
  </si>
  <si>
    <t xml:space="preserve">18132342518    </t>
  </si>
  <si>
    <t xml:space="preserve">18132342519    </t>
  </si>
  <si>
    <t xml:space="preserve">18132342520    </t>
  </si>
  <si>
    <t xml:space="preserve">18132342521    </t>
  </si>
  <si>
    <t xml:space="preserve">18132342522    </t>
  </si>
  <si>
    <t xml:space="preserve">18132342523    </t>
  </si>
  <si>
    <t xml:space="preserve">18132342524    </t>
  </si>
  <si>
    <t xml:space="preserve">18132342525    </t>
  </si>
  <si>
    <t xml:space="preserve">18132244052    </t>
  </si>
  <si>
    <t xml:space="preserve">18132244053    </t>
  </si>
  <si>
    <t xml:space="preserve">18132244054    </t>
  </si>
  <si>
    <t xml:space="preserve">18132334405    </t>
  </si>
  <si>
    <t xml:space="preserve">18132334406    </t>
  </si>
  <si>
    <t xml:space="preserve">18132334407    </t>
  </si>
  <si>
    <t xml:space="preserve">18132334408    </t>
  </si>
  <si>
    <t xml:space="preserve">18132334409    </t>
  </si>
  <si>
    <t xml:space="preserve">18132334410    </t>
  </si>
  <si>
    <t xml:space="preserve">18132334411    </t>
  </si>
  <si>
    <t xml:space="preserve">18132334412    </t>
  </si>
  <si>
    <t xml:space="preserve">18132334413    </t>
  </si>
  <si>
    <t xml:space="preserve">18132334414    </t>
  </si>
  <si>
    <t xml:space="preserve">18132334415    </t>
  </si>
  <si>
    <t xml:space="preserve">18132334416    </t>
  </si>
  <si>
    <t xml:space="preserve">18132334515    </t>
  </si>
  <si>
    <t xml:space="preserve">18132334516    </t>
  </si>
  <si>
    <t xml:space="preserve">18132334517    </t>
  </si>
  <si>
    <t xml:space="preserve">18132334518    </t>
  </si>
  <si>
    <t xml:space="preserve">18132334519    </t>
  </si>
  <si>
    <t xml:space="preserve">18132334520    </t>
  </si>
  <si>
    <t xml:space="preserve">18132334521    </t>
  </si>
  <si>
    <t xml:space="preserve">18132334522    </t>
  </si>
  <si>
    <t xml:space="preserve">18132334523    </t>
  </si>
  <si>
    <t xml:space="preserve">18132334524    </t>
  </si>
  <si>
    <t xml:space="preserve">18132244016    </t>
  </si>
  <si>
    <t xml:space="preserve">18132244017    </t>
  </si>
  <si>
    <t xml:space="preserve">18132244023    </t>
  </si>
  <si>
    <t xml:space="preserve">18132244024    </t>
  </si>
  <si>
    <t xml:space="preserve">18132244025    </t>
  </si>
  <si>
    <t xml:space="preserve">18132244026    </t>
  </si>
  <si>
    <t xml:space="preserve">18132244027    </t>
  </si>
  <si>
    <t xml:space="preserve">18132244033    </t>
  </si>
  <si>
    <t xml:space="preserve">18132244034    </t>
  </si>
  <si>
    <t xml:space="preserve">18132244037    </t>
  </si>
  <si>
    <t xml:space="preserve">18132244038    </t>
  </si>
  <si>
    <t xml:space="preserve">18132244040    </t>
  </si>
  <si>
    <t xml:space="preserve">18132243044    </t>
  </si>
  <si>
    <t xml:space="preserve">18132243045    </t>
  </si>
  <si>
    <t xml:space="preserve">18132243046    </t>
  </si>
  <si>
    <t xml:space="preserve">18132243047    </t>
  </si>
  <si>
    <t xml:space="preserve">18132243049    </t>
  </si>
  <si>
    <t xml:space="preserve">18132243050    </t>
  </si>
  <si>
    <t xml:space="preserve">18132243054    </t>
  </si>
  <si>
    <t xml:space="preserve">18132243055    </t>
  </si>
  <si>
    <t xml:space="preserve">18132243056    </t>
  </si>
  <si>
    <t xml:space="preserve">18132243058    </t>
  </si>
  <si>
    <t xml:space="preserve">18132243400    </t>
  </si>
  <si>
    <t xml:space="preserve">18132244041    </t>
  </si>
  <si>
    <t xml:space="preserve">18132244047    </t>
  </si>
  <si>
    <t xml:space="preserve">18132244048    </t>
  </si>
  <si>
    <t xml:space="preserve">18132244050    </t>
  </si>
  <si>
    <t xml:space="preserve">18132244051    </t>
  </si>
  <si>
    <t xml:space="preserve">18132244400    </t>
  </si>
  <si>
    <t xml:space="preserve">18132244401    </t>
  </si>
  <si>
    <t xml:space="preserve">18132244402    </t>
  </si>
  <si>
    <t xml:space="preserve">18132244403    </t>
  </si>
  <si>
    <t xml:space="preserve">18132244404    </t>
  </si>
  <si>
    <t xml:space="preserve">18132244405    </t>
  </si>
  <si>
    <t xml:space="preserve">18132244406    </t>
  </si>
  <si>
    <t xml:space="preserve">18132244407    </t>
  </si>
  <si>
    <t xml:space="preserve">18132244408    </t>
  </si>
  <si>
    <t xml:space="preserve">18132244409    </t>
  </si>
  <si>
    <t xml:space="preserve">18132244410    </t>
  </si>
  <si>
    <t xml:space="preserve">18132244411    </t>
  </si>
  <si>
    <t xml:space="preserve">18132244412    </t>
  </si>
  <si>
    <t xml:space="preserve">18132244413    </t>
  </si>
  <si>
    <t xml:space="preserve">18132244414    </t>
  </si>
  <si>
    <t xml:space="preserve">18132244415    </t>
  </si>
  <si>
    <t xml:space="preserve">18132243401    </t>
  </si>
  <si>
    <t xml:space="preserve">18132243402    </t>
  </si>
  <si>
    <t xml:space="preserve">18132243403    </t>
  </si>
  <si>
    <t xml:space="preserve">18132243404    </t>
  </si>
  <si>
    <t xml:space="preserve">18132243405    </t>
  </si>
  <si>
    <t xml:space="preserve">18132243406    </t>
  </si>
  <si>
    <t xml:space="preserve">18132243431    </t>
  </si>
  <si>
    <t xml:space="preserve">18132243432    </t>
  </si>
  <si>
    <t xml:space="preserve">18132243434    </t>
  </si>
  <si>
    <t xml:space="preserve">18132243435    </t>
  </si>
  <si>
    <t xml:space="preserve">18132243436    </t>
  </si>
  <si>
    <t xml:space="preserve">18132243438    </t>
  </si>
  <si>
    <t xml:space="preserve">18132243441    </t>
  </si>
  <si>
    <t xml:space="preserve">18132243442    </t>
  </si>
  <si>
    <t xml:space="preserve">18132243445    </t>
  </si>
  <si>
    <t xml:space="preserve">18132243446    </t>
  </si>
  <si>
    <t xml:space="preserve">18132243447    </t>
  </si>
  <si>
    <t xml:space="preserve">18132241408    </t>
  </si>
  <si>
    <t xml:space="preserve">18132241409    </t>
  </si>
  <si>
    <t xml:space="preserve">18132241410    </t>
  </si>
  <si>
    <t xml:space="preserve">18132241411    </t>
  </si>
  <si>
    <t xml:space="preserve">18132241412    </t>
  </si>
  <si>
    <t xml:space="preserve">18132241413    </t>
  </si>
  <si>
    <t xml:space="preserve">18132241414    </t>
  </si>
  <si>
    <t xml:space="preserve">18132241415    </t>
  </si>
  <si>
    <t xml:space="preserve">18132241416    </t>
  </si>
  <si>
    <t xml:space="preserve">18132241417    </t>
  </si>
  <si>
    <t xml:space="preserve">18132241001    </t>
  </si>
  <si>
    <t xml:space="preserve">18132241002    </t>
  </si>
  <si>
    <t xml:space="preserve">18132241003    </t>
  </si>
  <si>
    <t xml:space="preserve">18132241004    </t>
  </si>
  <si>
    <t xml:space="preserve">18132213473    </t>
  </si>
  <si>
    <t xml:space="preserve">18132214003    </t>
  </si>
  <si>
    <t xml:space="preserve">18132214004    </t>
  </si>
  <si>
    <t xml:space="preserve">18132214005    </t>
  </si>
  <si>
    <t xml:space="preserve">18132214006    </t>
  </si>
  <si>
    <t xml:space="preserve">18132214007    </t>
  </si>
  <si>
    <t xml:space="preserve">18132214008    </t>
  </si>
  <si>
    <t xml:space="preserve">18132214009    </t>
  </si>
  <si>
    <t xml:space="preserve">18132214010    </t>
  </si>
  <si>
    <t xml:space="preserve">18132214011    </t>
  </si>
  <si>
    <t xml:space="preserve">18132214012    </t>
  </si>
  <si>
    <t xml:space="preserve">18132214013    </t>
  </si>
  <si>
    <t xml:space="preserve">18132214541    </t>
  </si>
  <si>
    <t xml:space="preserve">18132214040    </t>
  </si>
  <si>
    <t xml:space="preserve">18132214041    </t>
  </si>
  <si>
    <t xml:space="preserve">18132214042    </t>
  </si>
  <si>
    <t xml:space="preserve">18132214043    </t>
  </si>
  <si>
    <t xml:space="preserve">18132214044    </t>
  </si>
  <si>
    <t xml:space="preserve">18132214047    </t>
  </si>
  <si>
    <t xml:space="preserve">18132214050    </t>
  </si>
  <si>
    <t xml:space="preserve">18132214051    </t>
  </si>
  <si>
    <t xml:space="preserve">18132214052    </t>
  </si>
  <si>
    <t xml:space="preserve">18132214055    </t>
  </si>
  <si>
    <t xml:space="preserve">18132214056    </t>
  </si>
  <si>
    <t xml:space="preserve">18132241469    </t>
  </si>
  <si>
    <t xml:space="preserve">18132241470    </t>
  </si>
  <si>
    <t xml:space="preserve">18132241471    </t>
  </si>
  <si>
    <t xml:space="preserve">18132241472    </t>
  </si>
  <si>
    <t xml:space="preserve">18132241473    </t>
  </si>
  <si>
    <t xml:space="preserve">18132241474    </t>
  </si>
  <si>
    <t xml:space="preserve">18132241476    </t>
  </si>
  <si>
    <t xml:space="preserve">18132241477    </t>
  </si>
  <si>
    <t xml:space="preserve">18132241478    </t>
  </si>
  <si>
    <t xml:space="preserve">18132241479    </t>
  </si>
  <si>
    <t xml:space="preserve">18132241480    </t>
  </si>
  <si>
    <t xml:space="preserve">18132241037    </t>
  </si>
  <si>
    <t xml:space="preserve">18132241038    </t>
  </si>
  <si>
    <t xml:space="preserve">18132241039    </t>
  </si>
  <si>
    <t xml:space="preserve">18132241040    </t>
  </si>
  <si>
    <t xml:space="preserve">18132241041    </t>
  </si>
  <si>
    <t xml:space="preserve">18132241042    </t>
  </si>
  <si>
    <t xml:space="preserve">18132241043    </t>
  </si>
  <si>
    <t xml:space="preserve">18132241044    </t>
  </si>
  <si>
    <t xml:space="preserve">18132241045    </t>
  </si>
  <si>
    <t xml:space="preserve">18132241046    </t>
  </si>
  <si>
    <t xml:space="preserve">18132241047    </t>
  </si>
  <si>
    <t xml:space="preserve">18132241048    </t>
  </si>
  <si>
    <t xml:space="preserve">18132214014    </t>
  </si>
  <si>
    <t xml:space="preserve">18132214016    </t>
  </si>
  <si>
    <t xml:space="preserve">18132214017    </t>
  </si>
  <si>
    <t xml:space="preserve">18132214019    </t>
  </si>
  <si>
    <t xml:space="preserve">18132214020    </t>
  </si>
  <si>
    <t xml:space="preserve">18132214021    </t>
  </si>
  <si>
    <t xml:space="preserve">18132214022    </t>
  </si>
  <si>
    <t xml:space="preserve">18132214023    </t>
  </si>
  <si>
    <t xml:space="preserve">18132214024    </t>
  </si>
  <si>
    <t xml:space="preserve">18132214025    </t>
  </si>
  <si>
    <t xml:space="preserve">18132214026    </t>
  </si>
  <si>
    <t xml:space="preserve">18132214027    </t>
  </si>
  <si>
    <t xml:space="preserve">18132213438    </t>
  </si>
  <si>
    <t xml:space="preserve">18132213444    </t>
  </si>
  <si>
    <t xml:space="preserve">18132213454    </t>
  </si>
  <si>
    <t xml:space="preserve">18132213466    </t>
  </si>
  <si>
    <t xml:space="preserve">18132213468    </t>
  </si>
  <si>
    <t xml:space="preserve">18132242429    </t>
  </si>
  <si>
    <t xml:space="preserve">18132242430    </t>
  </si>
  <si>
    <t xml:space="preserve">18132242431    </t>
  </si>
  <si>
    <t xml:space="preserve">18132242432    </t>
  </si>
  <si>
    <t xml:space="preserve">18132242433    </t>
  </si>
  <si>
    <t xml:space="preserve">18132242434    </t>
  </si>
  <si>
    <t xml:space="preserve">18132242435    </t>
  </si>
  <si>
    <t xml:space="preserve">18132242436    </t>
  </si>
  <si>
    <t xml:space="preserve">18132242438    </t>
  </si>
  <si>
    <t xml:space="preserve">18132242439    </t>
  </si>
  <si>
    <t xml:space="preserve">18132242440    </t>
  </si>
  <si>
    <t xml:space="preserve">18132213446    </t>
  </si>
  <si>
    <t>GVT</t>
  </si>
  <si>
    <t xml:space="preserve">18132241061    </t>
  </si>
  <si>
    <t xml:space="preserve">18132214028    </t>
  </si>
  <si>
    <t xml:space="preserve">18132214029    </t>
  </si>
  <si>
    <t xml:space="preserve">18132214030    </t>
  </si>
  <si>
    <t xml:space="preserve">18132214031    </t>
  </si>
  <si>
    <t xml:space="preserve">18132214032    </t>
  </si>
  <si>
    <t xml:space="preserve">18132214033    </t>
  </si>
  <si>
    <t xml:space="preserve">18132214034    </t>
  </si>
  <si>
    <t xml:space="preserve">18132214035    </t>
  </si>
  <si>
    <t xml:space="preserve">18132214036    </t>
  </si>
  <si>
    <t xml:space="preserve">18132214037    </t>
  </si>
  <si>
    <t xml:space="preserve">18132214038    </t>
  </si>
  <si>
    <t xml:space="preserve">18132214039    </t>
  </si>
  <si>
    <t xml:space="preserve">18132214498    </t>
  </si>
  <si>
    <t xml:space="preserve">18132214499    </t>
  </si>
  <si>
    <t xml:space="preserve">18132214500    </t>
  </si>
  <si>
    <t xml:space="preserve">18132214501    </t>
  </si>
  <si>
    <t xml:space="preserve">18132214502    </t>
  </si>
  <si>
    <t xml:space="preserve">18132214503    </t>
  </si>
  <si>
    <t xml:space="preserve">18132214504    </t>
  </si>
  <si>
    <t xml:space="preserve">18132214505    </t>
  </si>
  <si>
    <t xml:space="preserve">18132214506    </t>
  </si>
  <si>
    <t xml:space="preserve">18132214507    </t>
  </si>
  <si>
    <t xml:space="preserve">18132214508    </t>
  </si>
  <si>
    <t xml:space="preserve">18132214509    </t>
  </si>
  <si>
    <t xml:space="preserve">18132214510    </t>
  </si>
  <si>
    <t xml:space="preserve">18132214511    </t>
  </si>
  <si>
    <t xml:space="preserve">18132214514    </t>
  </si>
  <si>
    <t xml:space="preserve">18132214532    </t>
  </si>
  <si>
    <t xml:space="preserve">18132214533    </t>
  </si>
  <si>
    <t xml:space="preserve">18132214534    </t>
  </si>
  <si>
    <t xml:space="preserve">18132214535    </t>
  </si>
  <si>
    <t xml:space="preserve">18132214536    </t>
  </si>
  <si>
    <t xml:space="preserve">18132214537    </t>
  </si>
  <si>
    <t xml:space="preserve">18132214538    </t>
  </si>
  <si>
    <t xml:space="preserve">18132214539    </t>
  </si>
  <si>
    <t xml:space="preserve">18132214540    </t>
  </si>
  <si>
    <t xml:space="preserve">18132214516    </t>
  </si>
  <si>
    <t xml:space="preserve">18132214517    </t>
  </si>
  <si>
    <t xml:space="preserve">18132214518    </t>
  </si>
  <si>
    <t xml:space="preserve">18132214519    </t>
  </si>
  <si>
    <t xml:space="preserve">18132214520    </t>
  </si>
  <si>
    <t xml:space="preserve">18132214521    </t>
  </si>
  <si>
    <t xml:space="preserve">18132213457    </t>
  </si>
  <si>
    <t xml:space="preserve">18132213458    </t>
  </si>
  <si>
    <t xml:space="preserve">18132213459    </t>
  </si>
  <si>
    <t xml:space="preserve">18132213460    </t>
  </si>
  <si>
    <t xml:space="preserve">18132213461    </t>
  </si>
  <si>
    <t xml:space="preserve">18132213462    </t>
  </si>
  <si>
    <t xml:space="preserve">18132214415    </t>
  </si>
  <si>
    <t xml:space="preserve">18132214416    </t>
  </si>
  <si>
    <t xml:space="preserve">18132214417    </t>
  </si>
  <si>
    <t xml:space="preserve">18132214418    </t>
  </si>
  <si>
    <t xml:space="preserve">18132214419    </t>
  </si>
  <si>
    <t xml:space="preserve">18132214420    </t>
  </si>
  <si>
    <t xml:space="preserve">18132214421    </t>
  </si>
  <si>
    <t xml:space="preserve">18132214422    </t>
  </si>
  <si>
    <t xml:space="preserve">18132214423    </t>
  </si>
  <si>
    <t xml:space="preserve">18132214424    </t>
  </si>
  <si>
    <t xml:space="preserve">18132214425    </t>
  </si>
  <si>
    <t xml:space="preserve">18132214426    </t>
  </si>
  <si>
    <t xml:space="preserve">18132242442    </t>
  </si>
  <si>
    <t xml:space="preserve">18132242445    </t>
  </si>
  <si>
    <t xml:space="preserve">18132242447    </t>
  </si>
  <si>
    <t xml:space="preserve">18132242448    </t>
  </si>
  <si>
    <t xml:space="preserve">18132242449    </t>
  </si>
  <si>
    <t xml:space="preserve">18132242450    </t>
  </si>
  <si>
    <t xml:space="preserve">18132241432    </t>
  </si>
  <si>
    <t xml:space="preserve">18132241433    </t>
  </si>
  <si>
    <t xml:space="preserve">18132241434    </t>
  </si>
  <si>
    <t xml:space="preserve">18132241435    </t>
  </si>
  <si>
    <t xml:space="preserve">18132241436    </t>
  </si>
  <si>
    <t xml:space="preserve">18132241437    </t>
  </si>
  <si>
    <t xml:space="preserve">18132241438    </t>
  </si>
  <si>
    <t xml:space="preserve">18132241439    </t>
  </si>
  <si>
    <t xml:space="preserve">18132241440    </t>
  </si>
  <si>
    <t xml:space="preserve">18132241441    </t>
  </si>
  <si>
    <t xml:space="preserve">18132241443    </t>
  </si>
  <si>
    <t xml:space="preserve">18132214522    </t>
  </si>
  <si>
    <t xml:space="preserve">18132214523    </t>
  </si>
  <si>
    <t xml:space="preserve">18132214524    </t>
  </si>
  <si>
    <t xml:space="preserve">18132214525    </t>
  </si>
  <si>
    <t xml:space="preserve">18132214526    </t>
  </si>
  <si>
    <t xml:space="preserve">18132214527    </t>
  </si>
  <si>
    <t xml:space="preserve">18132214528    </t>
  </si>
  <si>
    <t xml:space="preserve">18132214531    </t>
  </si>
  <si>
    <t xml:space="preserve">18132242401    </t>
  </si>
  <si>
    <t xml:space="preserve">18132242402    </t>
  </si>
  <si>
    <t xml:space="preserve">18132334525    </t>
  </si>
  <si>
    <t xml:space="preserve">18132334526    </t>
  </si>
  <si>
    <t xml:space="preserve">18132342015    </t>
  </si>
  <si>
    <t xml:space="preserve">18132342400    </t>
  </si>
  <si>
    <t xml:space="preserve">18132342401    </t>
  </si>
  <si>
    <t xml:space="preserve">18132342402    </t>
  </si>
  <si>
    <t xml:space="preserve">18132342403    </t>
  </si>
  <si>
    <t xml:space="preserve">18132342404    </t>
  </si>
  <si>
    <t xml:space="preserve">18132342405    </t>
  </si>
  <si>
    <t xml:space="preserve">18132342406    </t>
  </si>
  <si>
    <t xml:space="preserve">18132342407    </t>
  </si>
  <si>
    <t xml:space="preserve">18132342408    </t>
  </si>
  <si>
    <t xml:space="preserve">18132342409    </t>
  </si>
  <si>
    <t xml:space="preserve">18132342410    </t>
  </si>
  <si>
    <t xml:space="preserve">18132342411    </t>
  </si>
  <si>
    <t xml:space="preserve">18132342412    </t>
  </si>
  <si>
    <t xml:space="preserve">18132342413    </t>
  </si>
  <si>
    <t xml:space="preserve">18132342414    </t>
  </si>
  <si>
    <t xml:space="preserve">18132342416    </t>
  </si>
  <si>
    <t xml:space="preserve">18132342417    </t>
  </si>
  <si>
    <t xml:space="preserve">18132342419    </t>
  </si>
  <si>
    <t xml:space="preserve">18132342420    </t>
  </si>
  <si>
    <t xml:space="preserve">18132342421    </t>
  </si>
  <si>
    <t xml:space="preserve">18132331453    </t>
  </si>
  <si>
    <t xml:space="preserve">18132331454    </t>
  </si>
  <si>
    <t xml:space="preserve">18132331455    </t>
  </si>
  <si>
    <t xml:space="preserve">18132331456    </t>
  </si>
  <si>
    <t xml:space="preserve">18132331457    </t>
  </si>
  <si>
    <t xml:space="preserve">18132331458    </t>
  </si>
  <si>
    <t xml:space="preserve">18132331461    </t>
  </si>
  <si>
    <t xml:space="preserve">18132331462    </t>
  </si>
  <si>
    <t xml:space="preserve">18132331463    </t>
  </si>
  <si>
    <t xml:space="preserve">18132331464    </t>
  </si>
  <si>
    <t xml:space="preserve">18132331465    </t>
  </si>
  <si>
    <t xml:space="preserve">18132331466    </t>
  </si>
  <si>
    <t xml:space="preserve">18132324405    </t>
  </si>
  <si>
    <t xml:space="preserve">18132324406    </t>
  </si>
  <si>
    <t xml:space="preserve">18132324407    </t>
  </si>
  <si>
    <t xml:space="preserve">18132324408    </t>
  </si>
  <si>
    <t xml:space="preserve">18132324409    </t>
  </si>
  <si>
    <t xml:space="preserve">18132324410    </t>
  </si>
  <si>
    <t xml:space="preserve">18132324411    </t>
  </si>
  <si>
    <t xml:space="preserve">18132324412    </t>
  </si>
  <si>
    <t xml:space="preserve">18132324413    </t>
  </si>
  <si>
    <t xml:space="preserve">18132324414    </t>
  </si>
  <si>
    <t xml:space="preserve">18132324415    </t>
  </si>
  <si>
    <t xml:space="preserve">18132324416    </t>
  </si>
  <si>
    <t xml:space="preserve">18132324420    </t>
  </si>
  <si>
    <t xml:space="preserve">18132324421    </t>
  </si>
  <si>
    <t xml:space="preserve">18132324422    </t>
  </si>
  <si>
    <t xml:space="preserve">18132324423    </t>
  </si>
  <si>
    <t xml:space="preserve">18132324424    </t>
  </si>
  <si>
    <t xml:space="preserve">18132324425    </t>
  </si>
  <si>
    <t xml:space="preserve">18132324426    </t>
  </si>
  <si>
    <t xml:space="preserve">18132324427    </t>
  </si>
  <si>
    <t xml:space="preserve">18132324428    </t>
  </si>
  <si>
    <t xml:space="preserve">18132324429    </t>
  </si>
  <si>
    <t xml:space="preserve">18132324430    </t>
  </si>
  <si>
    <t xml:space="preserve">18132324431    </t>
  </si>
  <si>
    <t xml:space="preserve">18132243450    </t>
  </si>
  <si>
    <t xml:space="preserve">18132243451    </t>
  </si>
  <si>
    <t xml:space="preserve">18132243453    </t>
  </si>
  <si>
    <t xml:space="preserve">18132243454    </t>
  </si>
  <si>
    <t xml:space="preserve">18132243455    </t>
  </si>
  <si>
    <t xml:space="preserve">18132243456    </t>
  </si>
  <si>
    <t xml:space="preserve">18132243457    </t>
  </si>
  <si>
    <t xml:space="preserve">18132243458    </t>
  </si>
  <si>
    <t xml:space="preserve">18132243460    </t>
  </si>
  <si>
    <t xml:space="preserve">18132243461    </t>
  </si>
  <si>
    <t xml:space="preserve">18132243462    </t>
  </si>
  <si>
    <t xml:space="preserve">18132322002    </t>
  </si>
  <si>
    <t xml:space="preserve">18132322011    </t>
  </si>
  <si>
    <t xml:space="preserve">18132322012    </t>
  </si>
  <si>
    <t xml:space="preserve">18132322454    </t>
  </si>
  <si>
    <t xml:space="preserve">18132322455    </t>
  </si>
  <si>
    <t xml:space="preserve">18132322456    </t>
  </si>
  <si>
    <t xml:space="preserve">18132322457    </t>
  </si>
  <si>
    <t xml:space="preserve">18132322458    </t>
  </si>
  <si>
    <t xml:space="preserve">18132322459    </t>
  </si>
  <si>
    <t xml:space="preserve">18132322460    </t>
  </si>
  <si>
    <t xml:space="preserve">18132322461    </t>
  </si>
  <si>
    <t xml:space="preserve">18132322462    </t>
  </si>
  <si>
    <t xml:space="preserve">18132322463    </t>
  </si>
  <si>
    <t xml:space="preserve">18132322464    </t>
  </si>
  <si>
    <t>CN</t>
  </si>
  <si>
    <t xml:space="preserve">18132341012    </t>
  </si>
  <si>
    <t xml:space="preserve">18132341013    </t>
  </si>
  <si>
    <t xml:space="preserve">18132341014    </t>
  </si>
  <si>
    <t xml:space="preserve">18132341015    </t>
  </si>
  <si>
    <t xml:space="preserve">18132341017    </t>
  </si>
  <si>
    <t xml:space="preserve">18132341018    </t>
  </si>
  <si>
    <t xml:space="preserve">18132341020    </t>
  </si>
  <si>
    <t xml:space="preserve">18132341401    </t>
  </si>
  <si>
    <t xml:space="preserve">18132341402    </t>
  </si>
  <si>
    <t xml:space="preserve">18132341403    </t>
  </si>
  <si>
    <t xml:space="preserve">18132341407    </t>
  </si>
  <si>
    <t xml:space="preserve">18132341408    </t>
  </si>
  <si>
    <t xml:space="preserve">18132341412    </t>
  </si>
  <si>
    <t xml:space="preserve">18132341413    </t>
  </si>
  <si>
    <t xml:space="preserve">18132341417    </t>
  </si>
  <si>
    <t xml:space="preserve">18132341418    </t>
  </si>
  <si>
    <t xml:space="preserve">18132324531    </t>
  </si>
  <si>
    <t xml:space="preserve">18132324532    </t>
  </si>
  <si>
    <t xml:space="preserve">18132324533    </t>
  </si>
  <si>
    <t xml:space="preserve">18132324534    </t>
  </si>
  <si>
    <t xml:space="preserve">18132324535    </t>
  </si>
  <si>
    <t xml:space="preserve">18132324536    </t>
  </si>
  <si>
    <t xml:space="preserve">18132324537    </t>
  </si>
  <si>
    <t xml:space="preserve">18132324538    </t>
  </si>
  <si>
    <t xml:space="preserve">18132324539    </t>
  </si>
  <si>
    <t xml:space="preserve">18132324540    </t>
  </si>
  <si>
    <t xml:space="preserve">18132324541    </t>
  </si>
  <si>
    <t xml:space="preserve">18132324542    </t>
  </si>
  <si>
    <t xml:space="preserve">18132242469    </t>
  </si>
  <si>
    <t xml:space="preserve">18132242472    </t>
  </si>
  <si>
    <t xml:space="preserve">18132242508    </t>
  </si>
  <si>
    <t xml:space="preserve">18132342447    </t>
  </si>
  <si>
    <t xml:space="preserve">18132342450    </t>
  </si>
  <si>
    <t xml:space="preserve">18132342451    </t>
  </si>
  <si>
    <t xml:space="preserve">18132342453    </t>
  </si>
  <si>
    <t xml:space="preserve">18132342454    </t>
  </si>
  <si>
    <t xml:space="preserve">18132342456    </t>
  </si>
  <si>
    <t xml:space="preserve">18132342457    </t>
  </si>
  <si>
    <t xml:space="preserve">18132342458    </t>
  </si>
  <si>
    <t xml:space="preserve">18132342459    </t>
  </si>
  <si>
    <t xml:space="preserve">18132342460    </t>
  </si>
  <si>
    <t xml:space="preserve">18132342462    </t>
  </si>
  <si>
    <t xml:space="preserve">18132322465    </t>
  </si>
  <si>
    <t xml:space="preserve">18132322466    </t>
  </si>
  <si>
    <t xml:space="preserve">18132322467    </t>
  </si>
  <si>
    <t xml:space="preserve">18132322468    </t>
  </si>
  <si>
    <t xml:space="preserve">18132322469    </t>
  </si>
  <si>
    <t xml:space="preserve">18132322470    </t>
  </si>
  <si>
    <t xml:space="preserve">18132322471    </t>
  </si>
  <si>
    <t xml:space="preserve">18132322472    </t>
  </si>
  <si>
    <t xml:space="preserve">18132322473    </t>
  </si>
  <si>
    <t xml:space="preserve">18132322474    </t>
  </si>
  <si>
    <t xml:space="preserve">18132322475    </t>
  </si>
  <si>
    <t xml:space="preserve">18132344474    </t>
  </si>
  <si>
    <t xml:space="preserve">18132344484    </t>
  </si>
  <si>
    <t xml:space="preserve">18132244475    </t>
  </si>
  <si>
    <t xml:space="preserve">18132244476    </t>
  </si>
  <si>
    <t xml:space="preserve">18132244477    </t>
  </si>
  <si>
    <t xml:space="preserve">18132244478    </t>
  </si>
  <si>
    <t xml:space="preserve">18132244479    </t>
  </si>
  <si>
    <t xml:space="preserve">18132244480    </t>
  </si>
  <si>
    <t xml:space="preserve">18132244481    </t>
  </si>
  <si>
    <t xml:space="preserve">18132244482    </t>
  </si>
  <si>
    <t xml:space="preserve">18132244483    </t>
  </si>
  <si>
    <t xml:space="preserve">18132244484    </t>
  </si>
  <si>
    <t xml:space="preserve">18132244485    </t>
  </si>
  <si>
    <t xml:space="preserve">18132244486    </t>
  </si>
  <si>
    <t xml:space="preserve">18132244487    </t>
  </si>
  <si>
    <t xml:space="preserve">18132244488    </t>
  </si>
  <si>
    <t xml:space="preserve">18132244489    </t>
  </si>
  <si>
    <t xml:space="preserve">18132244490    </t>
  </si>
  <si>
    <t xml:space="preserve">18132244491    </t>
  </si>
  <si>
    <t xml:space="preserve">18132244492    </t>
  </si>
  <si>
    <t xml:space="preserve">18132244493    </t>
  </si>
  <si>
    <t xml:space="preserve">18132244494    </t>
  </si>
  <si>
    <t xml:space="preserve">18132244495    </t>
  </si>
  <si>
    <t xml:space="preserve">18132244496    </t>
  </si>
  <si>
    <t xml:space="preserve">18132323504    </t>
  </si>
  <si>
    <t xml:space="preserve">18132323505    </t>
  </si>
  <si>
    <t xml:space="preserve">18132323506    </t>
  </si>
  <si>
    <t xml:space="preserve">18132323507    </t>
  </si>
  <si>
    <t xml:space="preserve">18132323508    </t>
  </si>
  <si>
    <t xml:space="preserve">18132323509    </t>
  </si>
  <si>
    <t xml:space="preserve">18132323510    </t>
  </si>
  <si>
    <t xml:space="preserve">18132323481    </t>
  </si>
  <si>
    <t xml:space="preserve">18132323482    </t>
  </si>
  <si>
    <t xml:space="preserve">18132323483    </t>
  </si>
  <si>
    <t xml:space="preserve">18132323484    </t>
  </si>
  <si>
    <t xml:space="preserve">18132323485    </t>
  </si>
  <si>
    <t xml:space="preserve">18132323486    </t>
  </si>
  <si>
    <t xml:space="preserve">18132323487    </t>
  </si>
  <si>
    <t xml:space="preserve">18132323488    </t>
  </si>
  <si>
    <t xml:space="preserve">18132323489    </t>
  </si>
  <si>
    <t xml:space="preserve">18132323490    </t>
  </si>
  <si>
    <t xml:space="preserve">18132323491    </t>
  </si>
  <si>
    <t xml:space="preserve">18132323492    </t>
  </si>
  <si>
    <t xml:space="preserve">18132323493    </t>
  </si>
  <si>
    <t xml:space="preserve">18132323494    </t>
  </si>
  <si>
    <t xml:space="preserve">18132323495    </t>
  </si>
  <si>
    <t xml:space="preserve">18132323496    </t>
  </si>
  <si>
    <t xml:space="preserve">18132323497    </t>
  </si>
  <si>
    <t xml:space="preserve">18132323498    </t>
  </si>
  <si>
    <t xml:space="preserve">18132323499    </t>
  </si>
  <si>
    <t xml:space="preserve">18132323500    </t>
  </si>
  <si>
    <t xml:space="preserve">18132323501    </t>
  </si>
  <si>
    <t xml:space="preserve">18132323502    </t>
  </si>
  <si>
    <t xml:space="preserve">18132323503    </t>
  </si>
  <si>
    <t xml:space="preserve">18132323511    </t>
  </si>
  <si>
    <t xml:space="preserve">18132323512    </t>
  </si>
  <si>
    <t xml:space="preserve">18132323514    </t>
  </si>
  <si>
    <t xml:space="preserve">18132323515    </t>
  </si>
  <si>
    <t xml:space="preserve">18132323516    </t>
  </si>
  <si>
    <t xml:space="preserve">18132323517    </t>
  </si>
  <si>
    <t xml:space="preserve">18132323518    </t>
  </si>
  <si>
    <t xml:space="preserve">18132323519    </t>
  </si>
  <si>
    <t xml:space="preserve">18132323520    </t>
  </si>
  <si>
    <t xml:space="preserve">18132323521    </t>
  </si>
  <si>
    <t xml:space="preserve">18132323522    </t>
  </si>
  <si>
    <t xml:space="preserve">18132323525    </t>
  </si>
  <si>
    <t xml:space="preserve">18132323526    </t>
  </si>
  <si>
    <t xml:space="preserve">18132323527    </t>
  </si>
  <si>
    <t xml:space="preserve">18132323528    </t>
  </si>
  <si>
    <t xml:space="preserve">18132323529    </t>
  </si>
  <si>
    <t xml:space="preserve">18132323530    </t>
  </si>
  <si>
    <t xml:space="preserve">18132323531    </t>
  </si>
  <si>
    <t xml:space="preserve">18132323532    </t>
  </si>
  <si>
    <t xml:space="preserve">18132323533    </t>
  </si>
  <si>
    <t xml:space="preserve">18132323534    </t>
  </si>
  <si>
    <t xml:space="preserve">18132323535    </t>
  </si>
  <si>
    <t xml:space="preserve">18132323536    </t>
  </si>
  <si>
    <t xml:space="preserve">18132323537    </t>
  </si>
  <si>
    <t xml:space="preserve">18132323538    </t>
  </si>
  <si>
    <t xml:space="preserve">18132323539    </t>
  </si>
  <si>
    <t xml:space="preserve">18132323540    </t>
  </si>
  <si>
    <t xml:space="preserve">18132323541    </t>
  </si>
  <si>
    <t xml:space="preserve">18132323543    </t>
  </si>
  <si>
    <t xml:space="preserve">18132323544    </t>
  </si>
  <si>
    <t xml:space="preserve">18132323545    </t>
  </si>
  <si>
    <t xml:space="preserve">18132324002    </t>
  </si>
  <si>
    <t xml:space="preserve">18132324003    </t>
  </si>
  <si>
    <t xml:space="preserve">18132324004    </t>
  </si>
  <si>
    <t xml:space="preserve">18132324005    </t>
  </si>
  <si>
    <t xml:space="preserve">18132324006    </t>
  </si>
  <si>
    <t xml:space="preserve">18132324007    </t>
  </si>
  <si>
    <t xml:space="preserve">18132324008    </t>
  </si>
  <si>
    <t xml:space="preserve">18132324009    </t>
  </si>
  <si>
    <t xml:space="preserve">18132324010    </t>
  </si>
  <si>
    <t xml:space="preserve">18132324011    </t>
  </si>
  <si>
    <t xml:space="preserve">18132324012    </t>
  </si>
  <si>
    <t xml:space="preserve">18132324013    </t>
  </si>
  <si>
    <t xml:space="preserve">18132324014    </t>
  </si>
  <si>
    <t xml:space="preserve">18132324015    </t>
  </si>
  <si>
    <t xml:space="preserve">18132324017    </t>
  </si>
  <si>
    <t xml:space="preserve">18132324018    </t>
  </si>
  <si>
    <t xml:space="preserve">18132324019    </t>
  </si>
  <si>
    <t xml:space="preserve">18132324021    </t>
  </si>
  <si>
    <t xml:space="preserve">18132324022    </t>
  </si>
  <si>
    <t xml:space="preserve">18132324024    </t>
  </si>
  <si>
    <t xml:space="preserve">18132324400    </t>
  </si>
  <si>
    <t xml:space="preserve">18132324401    </t>
  </si>
  <si>
    <t xml:space="preserve">18132324402    </t>
  </si>
  <si>
    <t xml:space="preserve">18132244430    </t>
  </si>
  <si>
    <t xml:space="preserve">18132244431    </t>
  </si>
  <si>
    <t xml:space="preserve">18132244433    </t>
  </si>
  <si>
    <t xml:space="preserve">18132244434    </t>
  </si>
  <si>
    <t xml:space="preserve">18132244435    </t>
  </si>
  <si>
    <t xml:space="preserve">18132244436    </t>
  </si>
  <si>
    <t xml:space="preserve">18132244437    </t>
  </si>
  <si>
    <t xml:space="preserve">18132244438    </t>
  </si>
  <si>
    <t xml:space="preserve">18132244439    </t>
  </si>
  <si>
    <t xml:space="preserve">18132244440    </t>
  </si>
  <si>
    <t xml:space="preserve">18132244441    </t>
  </si>
  <si>
    <t xml:space="preserve">18132244442    </t>
  </si>
  <si>
    <t xml:space="preserve">18132244445    </t>
  </si>
  <si>
    <t xml:space="preserve">18132244446    </t>
  </si>
  <si>
    <t xml:space="preserve">18132244447    </t>
  </si>
  <si>
    <t xml:space="preserve">18132244448    </t>
  </si>
  <si>
    <t xml:space="preserve">18132244449    </t>
  </si>
  <si>
    <t xml:space="preserve">18132244450    </t>
  </si>
  <si>
    <t xml:space="preserve">18132244451    </t>
  </si>
  <si>
    <t xml:space="preserve">18132244452    </t>
  </si>
  <si>
    <t xml:space="preserve">18132244453    </t>
  </si>
  <si>
    <t xml:space="preserve">18132244454    </t>
  </si>
  <si>
    <t xml:space="preserve">18132244455    </t>
  </si>
  <si>
    <t xml:space="preserve">18132322015    </t>
  </si>
  <si>
    <t xml:space="preserve">18132322016    </t>
  </si>
  <si>
    <t xml:space="preserve">18132322017    </t>
  </si>
  <si>
    <t xml:space="preserve">18132322018    </t>
  </si>
  <si>
    <t xml:space="preserve">18132322019    </t>
  </si>
  <si>
    <t xml:space="preserve">18132322020    </t>
  </si>
  <si>
    <t xml:space="preserve">18132322021    </t>
  </si>
  <si>
    <t xml:space="preserve">18132322022    </t>
  </si>
  <si>
    <t xml:space="preserve">18132322026    </t>
  </si>
  <si>
    <t xml:space="preserve">18132322027    </t>
  </si>
  <si>
    <t xml:space="preserve">18132344434    </t>
  </si>
  <si>
    <t xml:space="preserve">18132344435    </t>
  </si>
  <si>
    <t xml:space="preserve">18132344439    </t>
  </si>
  <si>
    <t xml:space="preserve">18132344440    </t>
  </si>
  <si>
    <t xml:space="preserve">18132344442    </t>
  </si>
  <si>
    <t xml:space="preserve">18132344443    </t>
  </si>
  <si>
    <t xml:space="preserve">18132344444    </t>
  </si>
  <si>
    <t xml:space="preserve">18132344445    </t>
  </si>
  <si>
    <t xml:space="preserve">18132344446    </t>
  </si>
  <si>
    <t xml:space="preserve">18132344447    </t>
  </si>
  <si>
    <t xml:space="preserve">18132344448    </t>
  </si>
  <si>
    <t xml:space="preserve">18132324444    </t>
  </si>
  <si>
    <t xml:space="preserve">18132324445    </t>
  </si>
  <si>
    <t xml:space="preserve">18132324446    </t>
  </si>
  <si>
    <t xml:space="preserve">18132324447    </t>
  </si>
  <si>
    <t xml:space="preserve">18132334417    </t>
  </si>
  <si>
    <t xml:space="preserve">18132334418    </t>
  </si>
  <si>
    <t xml:space="preserve">18132334419    </t>
  </si>
  <si>
    <t xml:space="preserve">18132334420    </t>
  </si>
  <si>
    <t xml:space="preserve">18132334421    </t>
  </si>
  <si>
    <t xml:space="preserve">18132334422    </t>
  </si>
  <si>
    <t xml:space="preserve">18132334423    </t>
  </si>
  <si>
    <t xml:space="preserve">18132334424    </t>
  </si>
  <si>
    <t xml:space="preserve">18132334425    </t>
  </si>
  <si>
    <t xml:space="preserve">18132334426    </t>
  </si>
  <si>
    <t xml:space="preserve">18132334427    </t>
  </si>
  <si>
    <t xml:space="preserve">18132334428    </t>
  </si>
  <si>
    <t xml:space="preserve">18132334455    </t>
  </si>
  <si>
    <t xml:space="preserve">18132324512    </t>
  </si>
  <si>
    <t xml:space="preserve">18132324516    </t>
  </si>
  <si>
    <t xml:space="preserve">18132324517    </t>
  </si>
  <si>
    <t xml:space="preserve">18132324518    </t>
  </si>
  <si>
    <t xml:space="preserve">18132324519    </t>
  </si>
  <si>
    <t xml:space="preserve">18132324520    </t>
  </si>
  <si>
    <t xml:space="preserve">18132324521    </t>
  </si>
  <si>
    <t xml:space="preserve">18132324522    </t>
  </si>
  <si>
    <t xml:space="preserve">18132324523    </t>
  </si>
  <si>
    <t xml:space="preserve">18132324524    </t>
  </si>
  <si>
    <t xml:space="preserve">18132324525    </t>
  </si>
  <si>
    <t xml:space="preserve">18132324526    </t>
  </si>
  <si>
    <t xml:space="preserve">18132334429    </t>
  </si>
  <si>
    <t xml:space="preserve">18132334430    </t>
  </si>
  <si>
    <t xml:space="preserve">18132334431    </t>
  </si>
  <si>
    <t xml:space="preserve">18132334432    </t>
  </si>
  <si>
    <t xml:space="preserve">18132334433    </t>
  </si>
  <si>
    <t xml:space="preserve">18132334434    </t>
  </si>
  <si>
    <t xml:space="preserve">18132334435    </t>
  </si>
  <si>
    <t xml:space="preserve">18132334436    </t>
  </si>
  <si>
    <t xml:space="preserve">18132334437    </t>
  </si>
  <si>
    <t xml:space="preserve">18132334438    </t>
  </si>
  <si>
    <t xml:space="preserve">18132334439    </t>
  </si>
  <si>
    <t xml:space="preserve">18132334441    </t>
  </si>
  <si>
    <t xml:space="preserve">18132322476    </t>
  </si>
  <si>
    <t xml:space="preserve">18132322477    </t>
  </si>
  <si>
    <t xml:space="preserve">18132322478    </t>
  </si>
  <si>
    <t xml:space="preserve">18132322479    </t>
  </si>
  <si>
    <t xml:space="preserve">18132322480    </t>
  </si>
  <si>
    <t xml:space="preserve">18132322481    </t>
  </si>
  <si>
    <t xml:space="preserve">18132322482    </t>
  </si>
  <si>
    <t xml:space="preserve">18132322483    </t>
  </si>
  <si>
    <t xml:space="preserve">18132322484    </t>
  </si>
  <si>
    <t xml:space="preserve">18132322485    </t>
  </si>
  <si>
    <t xml:space="preserve">18132324558    </t>
  </si>
  <si>
    <t xml:space="preserve">18132331002    </t>
  </si>
  <si>
    <t xml:space="preserve">18132331003    </t>
  </si>
  <si>
    <t xml:space="preserve">18132331004    </t>
  </si>
  <si>
    <t xml:space="preserve">18132331006    </t>
  </si>
  <si>
    <t xml:space="preserve">18132331007    </t>
  </si>
  <si>
    <t xml:space="preserve">18132331008    </t>
  </si>
  <si>
    <t xml:space="preserve">18132331009    </t>
  </si>
  <si>
    <t xml:space="preserve">18132331010    </t>
  </si>
  <si>
    <t xml:space="preserve">18132331011    </t>
  </si>
  <si>
    <t xml:space="preserve">18132331012    </t>
  </si>
  <si>
    <t xml:space="preserve">18132331013    </t>
  </si>
  <si>
    <t xml:space="preserve">18132324483    </t>
  </si>
  <si>
    <t xml:space="preserve">18132324484    </t>
  </si>
  <si>
    <t xml:space="preserve">18132324485    </t>
  </si>
  <si>
    <t xml:space="preserve">18132324486    </t>
  </si>
  <si>
    <t xml:space="preserve">18132324487    </t>
  </si>
  <si>
    <t xml:space="preserve">18132324490    </t>
  </si>
  <si>
    <t xml:space="preserve">18132324491    </t>
  </si>
  <si>
    <t xml:space="preserve">18132324492    </t>
  </si>
  <si>
    <t xml:space="preserve">18132324493    </t>
  </si>
  <si>
    <t xml:space="preserve">18132324495    </t>
  </si>
  <si>
    <t xml:space="preserve">18132324496    </t>
  </si>
  <si>
    <t xml:space="preserve">18132324497    </t>
  </si>
  <si>
    <t xml:space="preserve">18132333460    </t>
  </si>
  <si>
    <t xml:space="preserve">18132333461    </t>
  </si>
  <si>
    <t xml:space="preserve">18132333462    </t>
  </si>
  <si>
    <t xml:space="preserve">18132333463    </t>
  </si>
  <si>
    <t xml:space="preserve">18132333464    </t>
  </si>
  <si>
    <t xml:space="preserve">18132333466    </t>
  </si>
  <si>
    <t xml:space="preserve">18132333468    </t>
  </si>
  <si>
    <t xml:space="preserve">18132333469    </t>
  </si>
  <si>
    <t xml:space="preserve">18132333470    </t>
  </si>
  <si>
    <t xml:space="preserve">18132333471    </t>
  </si>
  <si>
    <t xml:space="preserve">18132333472    </t>
  </si>
  <si>
    <t xml:space="preserve">18132333491    </t>
  </si>
  <si>
    <t xml:space="preserve">18132324403    </t>
  </si>
  <si>
    <t xml:space="preserve">18132324404    </t>
  </si>
  <si>
    <t xml:space="preserve">18132334488    </t>
  </si>
  <si>
    <t xml:space="preserve">18132334489    </t>
  </si>
  <si>
    <t xml:space="preserve">18132334490    </t>
  </si>
  <si>
    <t xml:space="preserve">18132334491    </t>
  </si>
  <si>
    <t xml:space="preserve">18132334492    </t>
  </si>
  <si>
    <t xml:space="preserve">18132334495    </t>
  </si>
  <si>
    <t xml:space="preserve">18132334496    </t>
  </si>
  <si>
    <t xml:space="preserve">18132334497    </t>
  </si>
  <si>
    <t xml:space="preserve">18132334498    </t>
  </si>
  <si>
    <t xml:space="preserve">18132334499    </t>
  </si>
  <si>
    <t xml:space="preserve">18132334501    </t>
  </si>
  <si>
    <t xml:space="preserve">18132324499    </t>
  </si>
  <si>
    <t xml:space="preserve">18132324500    </t>
  </si>
  <si>
    <t xml:space="preserve">18132324501    </t>
  </si>
  <si>
    <t xml:space="preserve">18132324503    </t>
  </si>
  <si>
    <t xml:space="preserve">18132324504    </t>
  </si>
  <si>
    <t xml:space="preserve">18132324505    </t>
  </si>
  <si>
    <t xml:space="preserve">18132324507    </t>
  </si>
  <si>
    <t xml:space="preserve">18132324508    </t>
  </si>
  <si>
    <t xml:space="preserve">18132324509    </t>
  </si>
  <si>
    <t xml:space="preserve">18132324510    </t>
  </si>
  <si>
    <t xml:space="preserve">18132324511    </t>
  </si>
  <si>
    <t xml:space="preserve">18132324543    </t>
  </si>
  <si>
    <t xml:space="preserve">18132324544    </t>
  </si>
  <si>
    <t xml:space="preserve">18132324545    </t>
  </si>
  <si>
    <t xml:space="preserve">18132324548    </t>
  </si>
  <si>
    <t xml:space="preserve">18132324549    </t>
  </si>
  <si>
    <t xml:space="preserve">18132324550    </t>
  </si>
  <si>
    <t xml:space="preserve">18132324552    </t>
  </si>
  <si>
    <t xml:space="preserve">18132324553    </t>
  </si>
  <si>
    <t xml:space="preserve">18132324554    </t>
  </si>
  <si>
    <t xml:space="preserve">18132324555    </t>
  </si>
  <si>
    <t xml:space="preserve">18132324556    </t>
  </si>
  <si>
    <t xml:space="preserve">18132324557    </t>
  </si>
  <si>
    <t xml:space="preserve">18132331417    </t>
  </si>
  <si>
    <t xml:space="preserve">18132331418    </t>
  </si>
  <si>
    <t xml:space="preserve">18132331419    </t>
  </si>
  <si>
    <t xml:space="preserve">18132331420    </t>
  </si>
  <si>
    <t xml:space="preserve">18132331421    </t>
  </si>
  <si>
    <t xml:space="preserve">18132331422    </t>
  </si>
  <si>
    <t xml:space="preserve">18132331423    </t>
  </si>
  <si>
    <t xml:space="preserve">18132331424    </t>
  </si>
  <si>
    <t xml:space="preserve">18132331425    </t>
  </si>
  <si>
    <t xml:space="preserve">18132331426    </t>
  </si>
  <si>
    <t xml:space="preserve">18132331427    </t>
  </si>
  <si>
    <t xml:space="preserve">18132331428    </t>
  </si>
  <si>
    <t xml:space="preserve">18132332546    </t>
  </si>
  <si>
    <t xml:space="preserve">18132332547    </t>
  </si>
  <si>
    <t xml:space="preserve">18132332549    </t>
  </si>
  <si>
    <t xml:space="preserve">18132332550    </t>
  </si>
  <si>
    <t xml:space="preserve">18132332551    </t>
  </si>
  <si>
    <t xml:space="preserve">18132332552    </t>
  </si>
  <si>
    <t xml:space="preserve">18132332553    </t>
  </si>
  <si>
    <t xml:space="preserve">18132332556    </t>
  </si>
  <si>
    <t xml:space="preserve">18132332558    </t>
  </si>
  <si>
    <t xml:space="preserve">18132332559    </t>
  </si>
  <si>
    <t xml:space="preserve">18132332560    </t>
  </si>
  <si>
    <t xml:space="preserve">18132332563    </t>
  </si>
  <si>
    <t xml:space="preserve">18132321029    </t>
  </si>
  <si>
    <t xml:space="preserve">18132321031    </t>
  </si>
  <si>
    <t xml:space="preserve">18132321032    </t>
  </si>
  <si>
    <t xml:space="preserve">18132321034    </t>
  </si>
  <si>
    <t xml:space="preserve">18132321035    </t>
  </si>
  <si>
    <t xml:space="preserve">18132321414    </t>
  </si>
  <si>
    <t xml:space="preserve">18132321415    </t>
  </si>
  <si>
    <t xml:space="preserve">18132321416    </t>
  </si>
  <si>
    <t xml:space="preserve">18132321417    </t>
  </si>
  <si>
    <t xml:space="preserve">18132322028    </t>
  </si>
  <si>
    <t xml:space="preserve">18132322400    </t>
  </si>
  <si>
    <t xml:space="preserve">18132322402    </t>
  </si>
  <si>
    <t xml:space="preserve">18132322403    </t>
  </si>
  <si>
    <t xml:space="preserve">18132322404    </t>
  </si>
  <si>
    <t xml:space="preserve">18132322405    </t>
  </si>
  <si>
    <t xml:space="preserve">18132322406    </t>
  </si>
  <si>
    <t xml:space="preserve">18132322407    </t>
  </si>
  <si>
    <t xml:space="preserve">18132322408    </t>
  </si>
  <si>
    <t xml:space="preserve">18132322409    </t>
  </si>
  <si>
    <t xml:space="preserve">18132322410    </t>
  </si>
  <si>
    <t xml:space="preserve">18132322411    </t>
  </si>
  <si>
    <t xml:space="preserve">18132322412    </t>
  </si>
  <si>
    <t xml:space="preserve">18132322413    </t>
  </si>
  <si>
    <t xml:space="preserve">18132322415    </t>
  </si>
  <si>
    <t xml:space="preserve">18132322416    </t>
  </si>
  <si>
    <t xml:space="preserve">18132322417    </t>
  </si>
  <si>
    <t xml:space="preserve">18132322418    </t>
  </si>
  <si>
    <t xml:space="preserve">18132322420    </t>
  </si>
  <si>
    <t xml:space="preserve">18132322421    </t>
  </si>
  <si>
    <t xml:space="preserve">18132322423    </t>
  </si>
  <si>
    <t xml:space="preserve">18132322426    </t>
  </si>
  <si>
    <t xml:space="preserve">18132322427    </t>
  </si>
  <si>
    <t xml:space="preserve">18132331014    </t>
  </si>
  <si>
    <t xml:space="preserve">18132331015    </t>
  </si>
  <si>
    <t xml:space="preserve">18132331016    </t>
  </si>
  <si>
    <t xml:space="preserve">18132331017    </t>
  </si>
  <si>
    <t xml:space="preserve">18132331018    </t>
  </si>
  <si>
    <t xml:space="preserve">18132331019    </t>
  </si>
  <si>
    <t xml:space="preserve">18132331020    </t>
  </si>
  <si>
    <t xml:space="preserve">18132331021    </t>
  </si>
  <si>
    <t xml:space="preserve">18132331023    </t>
  </si>
  <si>
    <t xml:space="preserve">18132314538    </t>
  </si>
  <si>
    <t xml:space="preserve">18132314542    </t>
  </si>
  <si>
    <t xml:space="preserve">18132314543    </t>
  </si>
  <si>
    <t xml:space="preserve">18132314545    </t>
  </si>
  <si>
    <t xml:space="preserve">18132314552    </t>
  </si>
  <si>
    <t xml:space="preserve">18132344499    </t>
  </si>
  <si>
    <t xml:space="preserve">18132332505    </t>
  </si>
  <si>
    <t xml:space="preserve">18132332506    </t>
  </si>
  <si>
    <t xml:space="preserve">18132332507    </t>
  </si>
  <si>
    <t xml:space="preserve">18132332511    </t>
  </si>
  <si>
    <t xml:space="preserve">18132332513    </t>
  </si>
  <si>
    <t xml:space="preserve">18132332514    </t>
  </si>
  <si>
    <t xml:space="preserve">18132332515    </t>
  </si>
  <si>
    <t xml:space="preserve">18132332516    </t>
  </si>
  <si>
    <t xml:space="preserve">18132332517    </t>
  </si>
  <si>
    <t xml:space="preserve">18132332518    </t>
  </si>
  <si>
    <t xml:space="preserve">18132332519    </t>
  </si>
  <si>
    <t xml:space="preserve">18132332520    </t>
  </si>
  <si>
    <t xml:space="preserve">18132332004    </t>
  </si>
  <si>
    <t xml:space="preserve">18132332400    </t>
  </si>
  <si>
    <t xml:space="preserve">18132332401    </t>
  </si>
  <si>
    <t xml:space="preserve">18132341485    </t>
  </si>
  <si>
    <t xml:space="preserve">18132341488    </t>
  </si>
  <si>
    <t xml:space="preserve">18132341489    </t>
  </si>
  <si>
    <t xml:space="preserve">18132341490    </t>
  </si>
  <si>
    <t xml:space="preserve">18132331429    </t>
  </si>
  <si>
    <t xml:space="preserve">18132331430    </t>
  </si>
  <si>
    <t xml:space="preserve">18132331431    </t>
  </si>
  <si>
    <t xml:space="preserve">18132331432    </t>
  </si>
  <si>
    <t xml:space="preserve">18132331433    </t>
  </si>
  <si>
    <t xml:space="preserve">18132331434    </t>
  </si>
  <si>
    <t xml:space="preserve">18132331435    </t>
  </si>
  <si>
    <t xml:space="preserve">18132331436    </t>
  </si>
  <si>
    <t xml:space="preserve">18132331437    </t>
  </si>
  <si>
    <t xml:space="preserve">18132331438    </t>
  </si>
  <si>
    <t xml:space="preserve">18132331439    </t>
  </si>
  <si>
    <t xml:space="preserve">18132331440    </t>
  </si>
  <si>
    <t xml:space="preserve">18132244456    </t>
  </si>
  <si>
    <t xml:space="preserve">18132244457    </t>
  </si>
  <si>
    <t xml:space="preserve">18132244458    </t>
  </si>
  <si>
    <t xml:space="preserve">18132244459    </t>
  </si>
  <si>
    <t xml:space="preserve">18132244460    </t>
  </si>
  <si>
    <t xml:space="preserve">18132242471    </t>
  </si>
  <si>
    <t xml:space="preserve">18132242476    </t>
  </si>
  <si>
    <t xml:space="preserve">18132242478    </t>
  </si>
  <si>
    <t xml:space="preserve">18132242479    </t>
  </si>
  <si>
    <t xml:space="preserve">18132242480    </t>
  </si>
  <si>
    <t xml:space="preserve">18132242481    </t>
  </si>
  <si>
    <t xml:space="preserve">18132242482    </t>
  </si>
  <si>
    <t xml:space="preserve">18132242483    </t>
  </si>
  <si>
    <t xml:space="preserve">18132242484    </t>
  </si>
  <si>
    <t xml:space="preserve">18132242485    </t>
  </si>
  <si>
    <t xml:space="preserve">18132242486    </t>
  </si>
  <si>
    <t xml:space="preserve">18132243407    </t>
  </si>
  <si>
    <t xml:space="preserve">18132243409    </t>
  </si>
  <si>
    <t xml:space="preserve">18132243410    </t>
  </si>
  <si>
    <t xml:space="preserve">18132243411    </t>
  </si>
  <si>
    <t xml:space="preserve">18132332523    </t>
  </si>
  <si>
    <t xml:space="preserve">18132332524    </t>
  </si>
  <si>
    <t xml:space="preserve">18132332525    </t>
  </si>
  <si>
    <t xml:space="preserve">18132332526    </t>
  </si>
  <si>
    <t xml:space="preserve">18132332527    </t>
  </si>
  <si>
    <t xml:space="preserve">18132332528    </t>
  </si>
  <si>
    <t xml:space="preserve">18132331520    </t>
  </si>
  <si>
    <t xml:space="preserve">18132331521    </t>
  </si>
  <si>
    <t xml:space="preserve">18132331522    </t>
  </si>
  <si>
    <t xml:space="preserve">18132331523    </t>
  </si>
  <si>
    <t xml:space="preserve">18132331524    </t>
  </si>
  <si>
    <t xml:space="preserve">18132244461    </t>
  </si>
  <si>
    <t xml:space="preserve">18132244462    </t>
  </si>
  <si>
    <t xml:space="preserve">18132244463    </t>
  </si>
  <si>
    <t xml:space="preserve">18132244464    </t>
  </si>
  <si>
    <t xml:space="preserve">18132244465    </t>
  </si>
  <si>
    <t xml:space="preserve">18132244466    </t>
  </si>
  <si>
    <t xml:space="preserve">18132244467    </t>
  </si>
  <si>
    <t xml:space="preserve">18132242505    </t>
  </si>
  <si>
    <t xml:space="preserve">18132242511    </t>
  </si>
  <si>
    <t xml:space="preserve">18132242512    </t>
  </si>
  <si>
    <t xml:space="preserve">18132242514    </t>
  </si>
  <si>
    <t xml:space="preserve">18132242515    </t>
  </si>
  <si>
    <t xml:space="preserve">18132243001    </t>
  </si>
  <si>
    <t xml:space="preserve">18132243002    </t>
  </si>
  <si>
    <t xml:space="preserve">18132243003    </t>
  </si>
  <si>
    <t xml:space="preserve">18132243004    </t>
  </si>
  <si>
    <t xml:space="preserve">18132243005    </t>
  </si>
  <si>
    <t xml:space="preserve">18132243006    </t>
  </si>
  <si>
    <t xml:space="preserve">18132243007    </t>
  </si>
  <si>
    <t xml:space="preserve">18132243008    </t>
  </si>
  <si>
    <t xml:space="preserve">18132243009    </t>
  </si>
  <si>
    <t xml:space="preserve">18132243010    </t>
  </si>
  <si>
    <t xml:space="preserve">18132243011    </t>
  </si>
  <si>
    <t xml:space="preserve">18132243013    </t>
  </si>
  <si>
    <t xml:space="preserve">18132243014    </t>
  </si>
  <si>
    <t xml:space="preserve">18132243023    </t>
  </si>
  <si>
    <t xml:space="preserve">18132243024    </t>
  </si>
  <si>
    <t xml:space="preserve">18132243025    </t>
  </si>
  <si>
    <t xml:space="preserve">18132243027    </t>
  </si>
  <si>
    <t xml:space="preserve">18132243028    </t>
  </si>
  <si>
    <t xml:space="preserve">18132243029    </t>
  </si>
  <si>
    <t xml:space="preserve">18132344020    </t>
  </si>
  <si>
    <t xml:space="preserve">18132344021    </t>
  </si>
  <si>
    <t xml:space="preserve">18132344022    </t>
  </si>
  <si>
    <t xml:space="preserve">18132344023    </t>
  </si>
  <si>
    <t xml:space="preserve">18132344024    </t>
  </si>
  <si>
    <t xml:space="preserve">18132344025    </t>
  </si>
  <si>
    <t xml:space="preserve">18132344026    </t>
  </si>
  <si>
    <t xml:space="preserve">18132344027    </t>
  </si>
  <si>
    <t xml:space="preserve">18132344029    </t>
  </si>
  <si>
    <t xml:space="preserve">18132344030    </t>
  </si>
  <si>
    <t xml:space="preserve">18132344031    </t>
  </si>
  <si>
    <t xml:space="preserve">18132344033    </t>
  </si>
  <si>
    <t xml:space="preserve">18132331441    </t>
  </si>
  <si>
    <t xml:space="preserve">18132331442    </t>
  </si>
  <si>
    <t xml:space="preserve">18132331443    </t>
  </si>
  <si>
    <t xml:space="preserve">18132331444    </t>
  </si>
  <si>
    <t xml:space="preserve">18132331445    </t>
  </si>
  <si>
    <t xml:space="preserve">18132331446    </t>
  </si>
  <si>
    <t xml:space="preserve">18132331447    </t>
  </si>
  <si>
    <t xml:space="preserve">18132331448    </t>
  </si>
  <si>
    <t xml:space="preserve">18132331449    </t>
  </si>
  <si>
    <t xml:space="preserve">18132331450    </t>
  </si>
  <si>
    <t xml:space="preserve">18132331451    </t>
  </si>
  <si>
    <t xml:space="preserve">18132331452    </t>
  </si>
  <si>
    <t xml:space="preserve">18132331044    </t>
  </si>
  <si>
    <t xml:space="preserve">18132331046    </t>
  </si>
  <si>
    <t xml:space="preserve">18132331049    </t>
  </si>
  <si>
    <t xml:space="preserve">18132331050    </t>
  </si>
  <si>
    <t xml:space="preserve">18132331051    </t>
  </si>
  <si>
    <t xml:space="preserve">18132331052    </t>
  </si>
  <si>
    <t xml:space="preserve">18132331053    </t>
  </si>
  <si>
    <t xml:space="preserve">18132331054    </t>
  </si>
  <si>
    <t xml:space="preserve">18132331401    </t>
  </si>
  <si>
    <t xml:space="preserve">18132331402    </t>
  </si>
  <si>
    <t xml:space="preserve">18132331403    </t>
  </si>
  <si>
    <t xml:space="preserve">18132331405    </t>
  </si>
  <si>
    <t xml:space="preserve">18132313479    </t>
  </si>
  <si>
    <t xml:space="preserve">18132313480    </t>
  </si>
  <si>
    <t xml:space="preserve">18132313481    </t>
  </si>
  <si>
    <t xml:space="preserve">18132313482    </t>
  </si>
  <si>
    <t xml:space="preserve">18132313483    </t>
  </si>
  <si>
    <t xml:space="preserve">18132313484    </t>
  </si>
  <si>
    <t xml:space="preserve">18132313485    </t>
  </si>
  <si>
    <t xml:space="preserve">18132313486    </t>
  </si>
  <si>
    <t xml:space="preserve">18132313488    </t>
  </si>
  <si>
    <t xml:space="preserve">18132313489    </t>
  </si>
  <si>
    <t xml:space="preserve">18132313490    </t>
  </si>
  <si>
    <t xml:space="preserve">18132313491    </t>
  </si>
  <si>
    <t xml:space="preserve">18132313418    </t>
  </si>
  <si>
    <t xml:space="preserve">18132313420    </t>
  </si>
  <si>
    <t xml:space="preserve">18132313422    </t>
  </si>
  <si>
    <t xml:space="preserve">18132313423    </t>
  </si>
  <si>
    <t xml:space="preserve">18132313424    </t>
  </si>
  <si>
    <t xml:space="preserve">18132313425    </t>
  </si>
  <si>
    <t xml:space="preserve">18132313426    </t>
  </si>
  <si>
    <t xml:space="preserve">18132313427    </t>
  </si>
  <si>
    <t xml:space="preserve">18132313428    </t>
  </si>
  <si>
    <t xml:space="preserve">18132313429    </t>
  </si>
  <si>
    <t xml:space="preserve">18132313430    </t>
  </si>
  <si>
    <t xml:space="preserve">18132313431    </t>
  </si>
  <si>
    <t xml:space="preserve">18132332405    </t>
  </si>
  <si>
    <t xml:space="preserve">18132332407    </t>
  </si>
  <si>
    <t xml:space="preserve">18132332409    </t>
  </si>
  <si>
    <t xml:space="preserve">18132313492    </t>
  </si>
  <si>
    <t xml:space="preserve">18132313493    </t>
  </si>
  <si>
    <t xml:space="preserve">18132313494    </t>
  </si>
  <si>
    <t xml:space="preserve">18132313495    </t>
  </si>
  <si>
    <t xml:space="preserve">18132313496    </t>
  </si>
  <si>
    <t xml:space="preserve">18132313497    </t>
  </si>
  <si>
    <t xml:space="preserve">18132313498    </t>
  </si>
  <si>
    <t xml:space="preserve">18132313499    </t>
  </si>
  <si>
    <t xml:space="preserve">18132313501    </t>
  </si>
  <si>
    <t xml:space="preserve">18132313502    </t>
  </si>
  <si>
    <t xml:space="preserve">18132313503    </t>
  </si>
  <si>
    <t xml:space="preserve">18132313504    </t>
  </si>
  <si>
    <t xml:space="preserve">18132342422    </t>
  </si>
  <si>
    <t xml:space="preserve">18132342423    </t>
  </si>
  <si>
    <t xml:space="preserve">18132342424    </t>
  </si>
  <si>
    <t xml:space="preserve">18132342425    </t>
  </si>
  <si>
    <t xml:space="preserve">18132342426    </t>
  </si>
  <si>
    <t xml:space="preserve">18132342427    </t>
  </si>
  <si>
    <t xml:space="preserve">18132342428    </t>
  </si>
  <si>
    <t xml:space="preserve">18132342429    </t>
  </si>
  <si>
    <t xml:space="preserve">18132342430    </t>
  </si>
  <si>
    <t xml:space="preserve">18132342431    </t>
  </si>
  <si>
    <t xml:space="preserve">18132342432    </t>
  </si>
  <si>
    <t xml:space="preserve">18132342433    </t>
  </si>
  <si>
    <t xml:space="preserve">18132332410    </t>
  </si>
  <si>
    <t xml:space="preserve">18132332412    </t>
  </si>
  <si>
    <t xml:space="preserve">18132332413    </t>
  </si>
  <si>
    <t xml:space="preserve">18132332416    </t>
  </si>
  <si>
    <t xml:space="preserve">18132332418    </t>
  </si>
  <si>
    <t xml:space="preserve">18132332419    </t>
  </si>
  <si>
    <t xml:space="preserve">18132332420    </t>
  </si>
  <si>
    <t xml:space="preserve">18132332421    </t>
  </si>
  <si>
    <t xml:space="preserve">18132332422    </t>
  </si>
  <si>
    <t xml:space="preserve">18132332423    </t>
  </si>
  <si>
    <t xml:space="preserve">18132332425    </t>
  </si>
  <si>
    <t xml:space="preserve">18132332427    </t>
  </si>
  <si>
    <t xml:space="preserve">18132323477    </t>
  </si>
  <si>
    <t xml:space="preserve">18132323478    </t>
  </si>
  <si>
    <t xml:space="preserve">18132323479    </t>
  </si>
  <si>
    <t xml:space="preserve">18132323480    </t>
  </si>
  <si>
    <t xml:space="preserve">18132313432    </t>
  </si>
  <si>
    <t xml:space="preserve">18132313434    </t>
  </si>
  <si>
    <t xml:space="preserve">18132313435    </t>
  </si>
  <si>
    <t xml:space="preserve">18132313440    </t>
  </si>
  <si>
    <t xml:space="preserve">18132313441    </t>
  </si>
  <si>
    <t xml:space="preserve">18132313442    </t>
  </si>
  <si>
    <t xml:space="preserve">18132313443    </t>
  </si>
  <si>
    <t xml:space="preserve">18132313444    </t>
  </si>
  <si>
    <t xml:space="preserve">18132313445    </t>
  </si>
  <si>
    <t xml:space="preserve">18132313446    </t>
  </si>
  <si>
    <t xml:space="preserve">18132313447    </t>
  </si>
  <si>
    <t xml:space="preserve">18132313448    </t>
  </si>
  <si>
    <t xml:space="preserve">18132313449    </t>
  </si>
  <si>
    <t xml:space="preserve">18132313450    </t>
  </si>
  <si>
    <t xml:space="preserve">18132313451    </t>
  </si>
  <si>
    <t xml:space="preserve">18132313452    </t>
  </si>
  <si>
    <t xml:space="preserve">18132313454    </t>
  </si>
  <si>
    <t xml:space="preserve">18132313455    </t>
  </si>
  <si>
    <t xml:space="preserve">18132313458    </t>
  </si>
  <si>
    <t xml:space="preserve">18132313460    </t>
  </si>
  <si>
    <t xml:space="preserve">18132313461    </t>
  </si>
  <si>
    <t xml:space="preserve">18132313462    </t>
  </si>
  <si>
    <t xml:space="preserve">18132313463    </t>
  </si>
  <si>
    <t xml:space="preserve">18132314442    </t>
  </si>
  <si>
    <t xml:space="preserve">18132314443    </t>
  </si>
  <si>
    <t xml:space="preserve">18132314444    </t>
  </si>
  <si>
    <t xml:space="preserve">18132314445    </t>
  </si>
  <si>
    <t xml:space="preserve">18132334527    </t>
  </si>
  <si>
    <t xml:space="preserve">18132334528    </t>
  </si>
  <si>
    <t xml:space="preserve">18132334529    </t>
  </si>
  <si>
    <t xml:space="preserve">18132334530    </t>
  </si>
  <si>
    <t xml:space="preserve">18132334531    </t>
  </si>
  <si>
    <t xml:space="preserve">18132334532    </t>
  </si>
  <si>
    <t xml:space="preserve">18132334533    </t>
  </si>
  <si>
    <t xml:space="preserve">18132334534    </t>
  </si>
  <si>
    <t xml:space="preserve">18132334541    </t>
  </si>
  <si>
    <t xml:space="preserve">18132334542    </t>
  </si>
  <si>
    <t xml:space="preserve">18132334549    </t>
  </si>
  <si>
    <t xml:space="preserve">18132334550    </t>
  </si>
  <si>
    <t xml:space="preserve">18132341005    </t>
  </si>
  <si>
    <t xml:space="preserve">18132341006    </t>
  </si>
  <si>
    <t xml:space="preserve">18132341007    </t>
  </si>
  <si>
    <t xml:space="preserve">18132341008    </t>
  </si>
  <si>
    <t xml:space="preserve">18132341009    </t>
  </si>
  <si>
    <t xml:space="preserve">18132341010    </t>
  </si>
  <si>
    <t xml:space="preserve">18132341011    </t>
  </si>
  <si>
    <t xml:space="preserve">18132242487    </t>
  </si>
  <si>
    <t xml:space="preserve">18132242488    </t>
  </si>
  <si>
    <t xml:space="preserve">18132242493    </t>
  </si>
  <si>
    <t xml:space="preserve">18132242494    </t>
  </si>
  <si>
    <t xml:space="preserve">18132242495    </t>
  </si>
  <si>
    <t xml:space="preserve">18132242496    </t>
  </si>
  <si>
    <t xml:space="preserve">18132242497    </t>
  </si>
  <si>
    <t xml:space="preserve">18132242498    </t>
  </si>
  <si>
    <t xml:space="preserve">18132242499    </t>
  </si>
  <si>
    <t xml:space="preserve">18132242500    </t>
  </si>
  <si>
    <t xml:space="preserve">18132242502    </t>
  </si>
  <si>
    <t xml:space="preserve">18132243412    </t>
  </si>
  <si>
    <t xml:space="preserve">18132243414    </t>
  </si>
  <si>
    <t xml:space="preserve">18132243416    </t>
  </si>
  <si>
    <t xml:space="preserve">18132243417    </t>
  </si>
  <si>
    <t xml:space="preserve">18132243418    </t>
  </si>
  <si>
    <t xml:space="preserve">18132243419    </t>
  </si>
  <si>
    <t xml:space="preserve">18132243420    </t>
  </si>
  <si>
    <t xml:space="preserve">18132243422    </t>
  </si>
  <si>
    <t xml:space="preserve">18132243423    </t>
  </si>
  <si>
    <t xml:space="preserve">18132243424    </t>
  </si>
  <si>
    <t xml:space="preserve">18132243430    </t>
  </si>
  <si>
    <t xml:space="preserve">18132244468    </t>
  </si>
  <si>
    <t xml:space="preserve">18132244469    </t>
  </si>
  <si>
    <t xml:space="preserve">18132244470    </t>
  </si>
  <si>
    <t xml:space="preserve">18132244471    </t>
  </si>
  <si>
    <t xml:space="preserve">18132244472    </t>
  </si>
  <si>
    <t xml:space="preserve">18132244473    </t>
  </si>
  <si>
    <t xml:space="preserve">18132244474    </t>
  </si>
  <si>
    <t xml:space="preserve">18132333422    </t>
  </si>
  <si>
    <t xml:space="preserve">18132333424    </t>
  </si>
  <si>
    <t xml:space="preserve">18132333425    </t>
  </si>
  <si>
    <t xml:space="preserve">18132333427    </t>
  </si>
  <si>
    <t xml:space="preserve">18132333428    </t>
  </si>
  <si>
    <t xml:space="preserve">18132333434    </t>
  </si>
  <si>
    <t xml:space="preserve">18132333436    </t>
  </si>
  <si>
    <t xml:space="preserve">18132333455    </t>
  </si>
  <si>
    <t xml:space="preserve">18132333456    </t>
  </si>
  <si>
    <t xml:space="preserve">18132333458    </t>
  </si>
  <si>
    <t xml:space="preserve">18132333459    </t>
  </si>
  <si>
    <t xml:space="preserve">18132332534    </t>
  </si>
  <si>
    <t xml:space="preserve">18132332535    </t>
  </si>
  <si>
    <t xml:space="preserve">18132332536    </t>
  </si>
  <si>
    <t xml:space="preserve">18132332537    </t>
  </si>
  <si>
    <t xml:space="preserve">18132332538    </t>
  </si>
  <si>
    <t xml:space="preserve">18132332539    </t>
  </si>
  <si>
    <t xml:space="preserve">18132332540    </t>
  </si>
  <si>
    <t xml:space="preserve">18132332541    </t>
  </si>
  <si>
    <t xml:space="preserve">18132332542    </t>
  </si>
  <si>
    <t xml:space="preserve">18132332543    </t>
  </si>
  <si>
    <t xml:space="preserve">18132332544    </t>
  </si>
  <si>
    <t xml:space="preserve">18132332545    </t>
  </si>
  <si>
    <t xml:space="preserve">18132324448    </t>
  </si>
  <si>
    <t xml:space="preserve">18132324449    </t>
  </si>
  <si>
    <t xml:space="preserve">18132324450    </t>
  </si>
  <si>
    <t xml:space="preserve">18132324451    </t>
  </si>
  <si>
    <t xml:space="preserve">18132324452    </t>
  </si>
  <si>
    <t xml:space="preserve">18132324453    </t>
  </si>
  <si>
    <t xml:space="preserve">18132324454    </t>
  </si>
  <si>
    <t xml:space="preserve">18132323014    </t>
  </si>
  <si>
    <t xml:space="preserve">18132323015    </t>
  </si>
  <si>
    <t xml:space="preserve">18132323016    </t>
  </si>
  <si>
    <t xml:space="preserve">18132323017    </t>
  </si>
  <si>
    <t xml:space="preserve">18132323018    </t>
  </si>
  <si>
    <t xml:space="preserve">18132323019    </t>
  </si>
  <si>
    <t xml:space="preserve">18132323020    </t>
  </si>
  <si>
    <t xml:space="preserve">18132323021    </t>
  </si>
  <si>
    <t xml:space="preserve">18132323022    </t>
  </si>
  <si>
    <t xml:space="preserve">18132323023    </t>
  </si>
  <si>
    <t xml:space="preserve">18132323024    </t>
  </si>
  <si>
    <t xml:space="preserve">18132323025    </t>
  </si>
  <si>
    <t xml:space="preserve">18132323028    </t>
  </si>
  <si>
    <t xml:space="preserve">18132323029    </t>
  </si>
  <si>
    <t xml:space="preserve">18132323030    </t>
  </si>
  <si>
    <t xml:space="preserve">18132323031    </t>
  </si>
  <si>
    <t xml:space="preserve">18132323032    </t>
  </si>
  <si>
    <t xml:space="preserve">18132323400    </t>
  </si>
  <si>
    <t xml:space="preserve">18132323401    </t>
  </si>
  <si>
    <t xml:space="preserve">18132323406    </t>
  </si>
  <si>
    <t xml:space="preserve">18132323407    </t>
  </si>
  <si>
    <t xml:space="preserve">18132323408    </t>
  </si>
  <si>
    <t xml:space="preserve">18132323409    </t>
  </si>
  <si>
    <t xml:space="preserve">18132323410    </t>
  </si>
  <si>
    <t xml:space="preserve">18132324456    </t>
  </si>
  <si>
    <t xml:space="preserve">18132324457    </t>
  </si>
  <si>
    <t xml:space="preserve">18132324458    </t>
  </si>
  <si>
    <t xml:space="preserve">18132324459    </t>
  </si>
  <si>
    <t xml:space="preserve">18132324463    </t>
  </si>
  <si>
    <t xml:space="preserve">18132332564    </t>
  </si>
  <si>
    <t xml:space="preserve">18132332565    </t>
  </si>
  <si>
    <t xml:space="preserve">18132332566    </t>
  </si>
  <si>
    <t xml:space="preserve">18132332567    </t>
  </si>
  <si>
    <t xml:space="preserve">18132332568    </t>
  </si>
  <si>
    <t xml:space="preserve">18132332569    </t>
  </si>
  <si>
    <t xml:space="preserve">18132332570    </t>
  </si>
  <si>
    <t xml:space="preserve">18132332571    </t>
  </si>
  <si>
    <t xml:space="preserve">18132332575    </t>
  </si>
  <si>
    <t xml:space="preserve">18132332576    </t>
  </si>
  <si>
    <t xml:space="preserve">18132332577    </t>
  </si>
  <si>
    <t xml:space="preserve">18132332529    </t>
  </si>
  <si>
    <t xml:space="preserve">18132332530    </t>
  </si>
  <si>
    <t xml:space="preserve">18132332531    </t>
  </si>
  <si>
    <t xml:space="preserve">18132332532    </t>
  </si>
  <si>
    <t xml:space="preserve">18132332533    </t>
  </si>
  <si>
    <t xml:space="preserve">18132313464    </t>
  </si>
  <si>
    <t xml:space="preserve">18132313465    </t>
  </si>
  <si>
    <t xml:space="preserve">18132313469    </t>
  </si>
  <si>
    <t xml:space="preserve">18132313470    </t>
  </si>
  <si>
    <t xml:space="preserve">18132313471    </t>
  </si>
  <si>
    <t xml:space="preserve">18132313472    </t>
  </si>
  <si>
    <t xml:space="preserve">18132313473    </t>
  </si>
  <si>
    <t xml:space="preserve">18132313474    </t>
  </si>
  <si>
    <t xml:space="preserve">18132313475    </t>
  </si>
  <si>
    <t xml:space="preserve">18132313476    </t>
  </si>
  <si>
    <t xml:space="preserve">18132313477    </t>
  </si>
  <si>
    <t xml:space="preserve">18132313478    </t>
  </si>
  <si>
    <t xml:space="preserve">18132324432    </t>
  </si>
  <si>
    <t xml:space="preserve">18132324433    </t>
  </si>
  <si>
    <t xml:space="preserve">18132324434    </t>
  </si>
  <si>
    <t xml:space="preserve">18132324435    </t>
  </si>
  <si>
    <t xml:space="preserve">18132324436    </t>
  </si>
  <si>
    <t xml:space="preserve">18132324437    </t>
  </si>
  <si>
    <t xml:space="preserve">18132324438    </t>
  </si>
  <si>
    <t xml:space="preserve">18132324439    </t>
  </si>
  <si>
    <t xml:space="preserve">18132324440    </t>
  </si>
  <si>
    <t xml:space="preserve">18132324441    </t>
  </si>
  <si>
    <t xml:space="preserve">18132324442    </t>
  </si>
  <si>
    <t xml:space="preserve">18132324443    </t>
  </si>
  <si>
    <t xml:space="preserve">18132344465    </t>
  </si>
  <si>
    <t xml:space="preserve">18132344466    </t>
  </si>
  <si>
    <t xml:space="preserve">18132344467    </t>
  </si>
  <si>
    <t xml:space="preserve">18132344468    </t>
  </si>
  <si>
    <t xml:space="preserve">18132344469    </t>
  </si>
  <si>
    <t xml:space="preserve">18132344470    </t>
  </si>
  <si>
    <t xml:space="preserve">18132344471    </t>
  </si>
  <si>
    <t xml:space="preserve">18132344472    </t>
  </si>
  <si>
    <t>332</t>
  </si>
  <si>
    <t xml:space="preserve">18132344473    </t>
  </si>
  <si>
    <t xml:space="preserve">18132344475    </t>
  </si>
  <si>
    <t xml:space="preserve">18132344476    </t>
  </si>
  <si>
    <t xml:space="preserve">18132344477    </t>
  </si>
  <si>
    <t xml:space="preserve">18132341493    </t>
  </si>
  <si>
    <t xml:space="preserve">18132341494    </t>
  </si>
  <si>
    <t xml:space="preserve">18132342003    </t>
  </si>
  <si>
    <t xml:space="preserve">18132342004    </t>
  </si>
  <si>
    <t xml:space="preserve">18132342006    </t>
  </si>
  <si>
    <t xml:space="preserve">18132342009    </t>
  </si>
  <si>
    <t xml:space="preserve">18132342010    </t>
  </si>
  <si>
    <t xml:space="preserve">18132342011    </t>
  </si>
  <si>
    <t xml:space="preserve">18132342012    </t>
  </si>
  <si>
    <t xml:space="preserve">18132342013    </t>
  </si>
  <si>
    <t xml:space="preserve">18132342014    </t>
  </si>
  <si>
    <t xml:space="preserve">18132322488    </t>
  </si>
  <si>
    <t xml:space="preserve">18132322489    </t>
  </si>
  <si>
    <t xml:space="preserve">18132322490    </t>
  </si>
  <si>
    <t xml:space="preserve">18132322491    </t>
  </si>
  <si>
    <t xml:space="preserve">18132322492    </t>
  </si>
  <si>
    <t xml:space="preserve">18132322493    </t>
  </si>
  <si>
    <t xml:space="preserve">18132322494    </t>
  </si>
  <si>
    <t xml:space="preserve">18132322495    </t>
  </si>
  <si>
    <t xml:space="preserve">18132322496    </t>
  </si>
  <si>
    <t xml:space="preserve">18132322497    </t>
  </si>
  <si>
    <t xml:space="preserve">18132322498    </t>
  </si>
  <si>
    <t xml:space="preserve">18132322499    </t>
  </si>
  <si>
    <t xml:space="preserve">18132331467    </t>
  </si>
  <si>
    <t xml:space="preserve">18132331468    </t>
  </si>
  <si>
    <t xml:space="preserve">18132331469    </t>
  </si>
  <si>
    <t xml:space="preserve">18132331470    </t>
  </si>
  <si>
    <t xml:space="preserve">18132331471    </t>
  </si>
  <si>
    <t xml:space="preserve">18132331472    </t>
  </si>
  <si>
    <t xml:space="preserve">18132331473    </t>
  </si>
  <si>
    <t xml:space="preserve">18132331474    </t>
  </si>
  <si>
    <t xml:space="preserve">18132331475    </t>
  </si>
  <si>
    <t xml:space="preserve">18132331476    </t>
  </si>
  <si>
    <t xml:space="preserve">18132331477    </t>
  </si>
  <si>
    <t xml:space="preserve">18132331478    </t>
  </si>
  <si>
    <t xml:space="preserve">18132322500    </t>
  </si>
  <si>
    <t xml:space="preserve">18132322501    </t>
  </si>
  <si>
    <t xml:space="preserve">18132322502    </t>
  </si>
  <si>
    <t xml:space="preserve">18132322503    </t>
  </si>
  <si>
    <t xml:space="preserve">18132322505    </t>
  </si>
  <si>
    <t xml:space="preserve">18132322506    </t>
  </si>
  <si>
    <t xml:space="preserve">18132322507    </t>
  </si>
  <si>
    <t xml:space="preserve">18132323003    </t>
  </si>
  <si>
    <t xml:space="preserve">18132323004    </t>
  </si>
  <si>
    <t xml:space="preserve">18132323005    </t>
  </si>
  <si>
    <t xml:space="preserve">18132323006    </t>
  </si>
  <si>
    <t xml:space="preserve">18132323007    </t>
  </si>
  <si>
    <t xml:space="preserve">18132243463    </t>
  </si>
  <si>
    <t xml:space="preserve">18132243464    </t>
  </si>
  <si>
    <t xml:space="preserve">18132243465    </t>
  </si>
  <si>
    <t xml:space="preserve">18132243466    </t>
  </si>
  <si>
    <t xml:space="preserve">18132243467    </t>
  </si>
  <si>
    <t xml:space="preserve">18132243468    </t>
  </si>
  <si>
    <t xml:space="preserve">18132243469    </t>
  </si>
  <si>
    <t xml:space="preserve">18132243470    </t>
  </si>
  <si>
    <t xml:space="preserve">18132243471    </t>
  </si>
  <si>
    <t xml:space="preserve">18132243472    </t>
  </si>
  <si>
    <t xml:space="preserve">18132243474    </t>
  </si>
  <si>
    <t xml:space="preserve">18132243475    </t>
  </si>
  <si>
    <t xml:space="preserve">18132243477    </t>
  </si>
  <si>
    <t xml:space="preserve">18132243480    </t>
  </si>
  <si>
    <t>172</t>
  </si>
  <si>
    <t xml:space="preserve">18132243481    </t>
  </si>
  <si>
    <t xml:space="preserve">18132243486    </t>
  </si>
  <si>
    <t xml:space="preserve">18132243487    </t>
  </si>
  <si>
    <t xml:space="preserve">18132244004    </t>
  </si>
  <si>
    <t xml:space="preserve">18132244010    </t>
  </si>
  <si>
    <t xml:space="preserve">18132244012    </t>
  </si>
  <si>
    <t xml:space="preserve">18132244014    </t>
  </si>
  <si>
    <t xml:space="preserve">18132244015    </t>
  </si>
  <si>
    <t>217</t>
  </si>
  <si>
    <t>MF</t>
  </si>
  <si>
    <t xml:space="preserve">18132243030    </t>
  </si>
  <si>
    <t xml:space="preserve">18132243031    </t>
  </si>
  <si>
    <t xml:space="preserve">18132243032    </t>
  </si>
  <si>
    <t xml:space="preserve">18132243033    </t>
  </si>
  <si>
    <t xml:space="preserve">18132243034    </t>
  </si>
  <si>
    <t xml:space="preserve">18132243036    </t>
  </si>
  <si>
    <t xml:space="preserve">18132243037    </t>
  </si>
  <si>
    <t xml:space="preserve">18132243039    </t>
  </si>
  <si>
    <t xml:space="preserve">18132243040    </t>
  </si>
  <si>
    <t xml:space="preserve">18132243041    </t>
  </si>
  <si>
    <t xml:space="preserve">18132243042    </t>
  </si>
  <si>
    <t xml:space="preserve">18132243043    </t>
  </si>
  <si>
    <t xml:space="preserve">18132321025    </t>
  </si>
  <si>
    <t xml:space="preserve">18132321028    </t>
  </si>
  <si>
    <t>69</t>
  </si>
  <si>
    <t>87</t>
  </si>
  <si>
    <t xml:space="preserve">18132344419    </t>
  </si>
  <si>
    <t xml:space="preserve">18132332499    </t>
  </si>
  <si>
    <t xml:space="preserve">18132332500    </t>
  </si>
  <si>
    <t xml:space="preserve">18132332501    </t>
  </si>
  <si>
    <t xml:space="preserve">18132332502    </t>
  </si>
  <si>
    <t xml:space="preserve">18132332504    </t>
  </si>
  <si>
    <t xml:space="preserve">18132323411    </t>
  </si>
  <si>
    <t xml:space="preserve">18132333014    </t>
  </si>
  <si>
    <t xml:space="preserve">18132333015    </t>
  </si>
  <si>
    <t xml:space="preserve">18132333016    </t>
  </si>
  <si>
    <t xml:space="preserve">18132333017    </t>
  </si>
  <si>
    <t xml:space="preserve">18132333018    </t>
  </si>
  <si>
    <t xml:space="preserve">18132333019    </t>
  </si>
  <si>
    <t xml:space="preserve">18132333020    </t>
  </si>
  <si>
    <t xml:space="preserve">18132333021    </t>
  </si>
  <si>
    <t xml:space="preserve">18132333022    </t>
  </si>
  <si>
    <t xml:space="preserve">18132333400    </t>
  </si>
  <si>
    <t xml:space="preserve">18132333401    </t>
  </si>
  <si>
    <t xml:space="preserve">18132333402    </t>
  </si>
  <si>
    <t xml:space="preserve">18132323412    </t>
  </si>
  <si>
    <t xml:space="preserve">18132323413    </t>
  </si>
  <si>
    <t xml:space="preserve">18132323414    </t>
  </si>
  <si>
    <t xml:space="preserve">18132323415    </t>
  </si>
  <si>
    <t xml:space="preserve">18132323416    </t>
  </si>
  <si>
    <t xml:space="preserve">18132323417    </t>
  </si>
  <si>
    <t xml:space="preserve">18132323419    </t>
  </si>
  <si>
    <t xml:space="preserve">18132323420    </t>
  </si>
  <si>
    <t xml:space="preserve">18132323424    </t>
  </si>
  <si>
    <t xml:space="preserve">18132323425    </t>
  </si>
  <si>
    <t xml:space="preserve">18132323426    </t>
  </si>
  <si>
    <t xml:space="preserve">18132344449    </t>
  </si>
  <si>
    <t xml:space="preserve">18132344450    </t>
  </si>
  <si>
    <t xml:space="preserve">18132344451    </t>
  </si>
  <si>
    <t xml:space="preserve">18132344452    </t>
  </si>
  <si>
    <t xml:space="preserve">18132344453    </t>
  </si>
  <si>
    <t xml:space="preserve">18132344454    </t>
  </si>
  <si>
    <t xml:space="preserve">18132344455    </t>
  </si>
  <si>
    <t xml:space="preserve">18132344456    </t>
  </si>
  <si>
    <t xml:space="preserve">18132344457    </t>
  </si>
  <si>
    <t xml:space="preserve">18132344458    </t>
  </si>
  <si>
    <t xml:space="preserve">18132344459    </t>
  </si>
  <si>
    <t xml:space="preserve">18132344464    </t>
  </si>
  <si>
    <t xml:space="preserve">18132323421    </t>
  </si>
  <si>
    <t xml:space="preserve">18132323431    </t>
  </si>
  <si>
    <t xml:space="preserve">18132331041    </t>
  </si>
  <si>
    <t xml:space="preserve">18132331047    </t>
  </si>
  <si>
    <t xml:space="preserve">18132331048    </t>
  </si>
  <si>
    <t xml:space="preserve">18132331400    </t>
  </si>
  <si>
    <t xml:space="preserve">18132331404    </t>
  </si>
  <si>
    <t xml:space="preserve">18132331410    </t>
  </si>
  <si>
    <t xml:space="preserve">18132332562    </t>
  </si>
  <si>
    <t xml:space="preserve">18132334502    </t>
  </si>
  <si>
    <t xml:space="preserve">18132334503    </t>
  </si>
  <si>
    <t xml:space="preserve">18132334504    </t>
  </si>
  <si>
    <t xml:space="preserve">18132334505    </t>
  </si>
  <si>
    <t xml:space="preserve">18132334506    </t>
  </si>
  <si>
    <t xml:space="preserve">18132334507    </t>
  </si>
  <si>
    <t xml:space="preserve">18132334508    </t>
  </si>
  <si>
    <t xml:space="preserve">18132334509    </t>
  </si>
  <si>
    <t xml:space="preserve">18132334510    </t>
  </si>
  <si>
    <t xml:space="preserve">18132314441    </t>
  </si>
  <si>
    <t xml:space="preserve">18132242470    </t>
  </si>
  <si>
    <t xml:space="preserve">18132242451    </t>
  </si>
  <si>
    <t xml:space="preserve">18132242453    </t>
  </si>
  <si>
    <t xml:space="preserve">18132242454    </t>
  </si>
  <si>
    <t xml:space="preserve">18132242455    </t>
  </si>
  <si>
    <t xml:space="preserve">18132242456    </t>
  </si>
  <si>
    <t xml:space="preserve">18132242457    </t>
  </si>
  <si>
    <t xml:space="preserve">18132313505    </t>
  </si>
  <si>
    <t xml:space="preserve">18132313506    </t>
  </si>
  <si>
    <t xml:space="preserve">18132313509    </t>
  </si>
  <si>
    <t xml:space="preserve">18132313510    </t>
  </si>
  <si>
    <t xml:space="preserve">18132313511    </t>
  </si>
  <si>
    <t xml:space="preserve">18132313512    </t>
  </si>
  <si>
    <t xml:space="preserve">18132313515    </t>
  </si>
  <si>
    <t xml:space="preserve">18132313516    </t>
  </si>
  <si>
    <t xml:space="preserve">18132313517    </t>
  </si>
  <si>
    <t xml:space="preserve">18132313518    </t>
  </si>
  <si>
    <t xml:space="preserve">18132313519    </t>
  </si>
  <si>
    <t xml:space="preserve">18132313521    </t>
  </si>
  <si>
    <t xml:space="preserve">18132313522    </t>
  </si>
  <si>
    <t xml:space="preserve">18132313523    </t>
  </si>
  <si>
    <t xml:space="preserve">18132313524    </t>
  </si>
  <si>
    <t xml:space="preserve">18132313525    </t>
  </si>
  <si>
    <t xml:space="preserve">18132313526    </t>
  </si>
  <si>
    <t xml:space="preserve">18132313527    </t>
  </si>
  <si>
    <t xml:space="preserve">18132313528    </t>
  </si>
  <si>
    <t xml:space="preserve">18132313529    </t>
  </si>
  <si>
    <t xml:space="preserve">18132313530    </t>
  </si>
  <si>
    <t xml:space="preserve">18132313531    </t>
  </si>
  <si>
    <t xml:space="preserve">18132313532    </t>
  </si>
  <si>
    <t xml:space="preserve">18132313533    </t>
  </si>
  <si>
    <t xml:space="preserve">18132313534    </t>
  </si>
  <si>
    <t xml:space="preserve">18132313535    </t>
  </si>
  <si>
    <t xml:space="preserve">18132313536    </t>
  </si>
  <si>
    <t xml:space="preserve">18132313538    </t>
  </si>
  <si>
    <t xml:space="preserve">18132313539    </t>
  </si>
  <si>
    <t xml:space="preserve">18132313540    </t>
  </si>
  <si>
    <t xml:space="preserve">18132313542    </t>
  </si>
  <si>
    <t xml:space="preserve">18132313543    </t>
  </si>
  <si>
    <t xml:space="preserve">18132313544    </t>
  </si>
  <si>
    <t xml:space="preserve">18132313545    </t>
  </si>
  <si>
    <t xml:space="preserve">18132313546    </t>
  </si>
  <si>
    <t xml:space="preserve">18132313549    </t>
  </si>
  <si>
    <t xml:space="preserve">18132313551    </t>
  </si>
  <si>
    <t xml:space="preserve">18132313552    </t>
  </si>
  <si>
    <t xml:space="preserve">18132313553    </t>
  </si>
  <si>
    <t xml:space="preserve">18132313554    </t>
  </si>
  <si>
    <t xml:space="preserve">18132313555    </t>
  </si>
  <si>
    <t xml:space="preserve">18132313556    </t>
  </si>
  <si>
    <t xml:space="preserve">18132314434    </t>
  </si>
  <si>
    <t xml:space="preserve">18132314437    </t>
  </si>
  <si>
    <t xml:space="preserve">18132314438    </t>
  </si>
  <si>
    <t xml:space="preserve">18132314439    </t>
  </si>
  <si>
    <t xml:space="preserve">18132314440    </t>
  </si>
  <si>
    <t xml:space="preserve">18132242458    </t>
  </si>
  <si>
    <t xml:space="preserve">18132242459    </t>
  </si>
  <si>
    <t xml:space="preserve">18132242460    </t>
  </si>
  <si>
    <t xml:space="preserve">18132242461    </t>
  </si>
  <si>
    <t xml:space="preserve">18132242462    </t>
  </si>
  <si>
    <t xml:space="preserve">18132242463    </t>
  </si>
  <si>
    <t xml:space="preserve">18132242464    </t>
  </si>
  <si>
    <t xml:space="preserve">18132242465    </t>
  </si>
  <si>
    <t xml:space="preserve">18132242466    </t>
  </si>
  <si>
    <t xml:space="preserve">18132242467    </t>
  </si>
  <si>
    <t xml:space="preserve">18132242468    </t>
  </si>
  <si>
    <t xml:space="preserve">18132322013    </t>
  </si>
  <si>
    <t xml:space="preserve">18132322014    </t>
  </si>
  <si>
    <t xml:space="preserve">18132334512    </t>
  </si>
  <si>
    <t xml:space="preserve">18132334513    </t>
  </si>
  <si>
    <t xml:space="preserve">18132334514    </t>
  </si>
  <si>
    <t xml:space="preserve">18132331025    </t>
  </si>
  <si>
    <t xml:space="preserve">18132331026    </t>
  </si>
  <si>
    <t xml:space="preserve">18132331027    </t>
  </si>
  <si>
    <t xml:space="preserve">18132331031    </t>
  </si>
  <si>
    <t xml:space="preserve">18132331032    </t>
  </si>
  <si>
    <t xml:space="preserve">18132331033    </t>
  </si>
  <si>
    <t xml:space="preserve">18132331034    </t>
  </si>
  <si>
    <t xml:space="preserve">18132331036    </t>
  </si>
  <si>
    <t xml:space="preserve">18132331037    </t>
  </si>
  <si>
    <t xml:space="preserve">18132331038    </t>
  </si>
  <si>
    <t xml:space="preserve">18132331039    </t>
  </si>
  <si>
    <t xml:space="preserve">18132331040    </t>
  </si>
  <si>
    <t xml:space="preserve">18132331042    </t>
  </si>
  <si>
    <t xml:space="preserve">18132331043    </t>
  </si>
  <si>
    <t xml:space="preserve">18132334456    </t>
  </si>
  <si>
    <t xml:space="preserve">18132334457    </t>
  </si>
  <si>
    <t xml:space="preserve">18132334458    </t>
  </si>
  <si>
    <t xml:space="preserve">18132334459    </t>
  </si>
  <si>
    <t xml:space="preserve">18132334460    </t>
  </si>
  <si>
    <t xml:space="preserve">18132334461    </t>
  </si>
  <si>
    <t xml:space="preserve">18132334462    </t>
  </si>
  <si>
    <t xml:space="preserve">18132334463    </t>
  </si>
  <si>
    <t xml:space="preserve">18132334464    </t>
  </si>
  <si>
    <t xml:space="preserve">18132334465    </t>
  </si>
  <si>
    <t xml:space="preserve">18132334466    </t>
  </si>
  <si>
    <t xml:space="preserve">18132334467    </t>
  </si>
  <si>
    <t xml:space="preserve">18132334468    </t>
  </si>
  <si>
    <t xml:space="preserve">18132334469    </t>
  </si>
  <si>
    <t xml:space="preserve">18132334470    </t>
  </si>
  <si>
    <t xml:space="preserve">18132344034    </t>
  </si>
  <si>
    <t xml:space="preserve">18132344035    </t>
  </si>
  <si>
    <t xml:space="preserve">18132344036    </t>
  </si>
  <si>
    <t xml:space="preserve">18132344037    </t>
  </si>
  <si>
    <t xml:space="preserve">18132344038    </t>
  </si>
  <si>
    <t xml:space="preserve">18132344039    </t>
  </si>
  <si>
    <t xml:space="preserve">18132344040    </t>
  </si>
  <si>
    <t xml:space="preserve">18132344041    </t>
  </si>
  <si>
    <t xml:space="preserve">18132344042    </t>
  </si>
  <si>
    <t xml:space="preserve">18132344043    </t>
  </si>
  <si>
    <t xml:space="preserve">18132344044    </t>
  </si>
  <si>
    <t xml:space="preserve">18132344045    </t>
  </si>
  <si>
    <t xml:space="preserve">18132344046    </t>
  </si>
  <si>
    <t xml:space="preserve">18132344047    </t>
  </si>
  <si>
    <t xml:space="preserve">18132344054    </t>
  </si>
  <si>
    <t xml:space="preserve">18132344055    </t>
  </si>
  <si>
    <t xml:space="preserve">18132344400    </t>
  </si>
  <si>
    <t xml:space="preserve">18132344401    </t>
  </si>
  <si>
    <t xml:space="preserve">18132344402    </t>
  </si>
  <si>
    <t xml:space="preserve">18132344403    </t>
  </si>
  <si>
    <t xml:space="preserve">18132344404    </t>
  </si>
  <si>
    <t xml:space="preserve">18132344405    </t>
  </si>
  <si>
    <t xml:space="preserve">18132344406    </t>
  </si>
  <si>
    <t xml:space="preserve">18132344407    </t>
  </si>
  <si>
    <t xml:space="preserve">18132344408    </t>
  </si>
  <si>
    <t xml:space="preserve">18132344409    </t>
  </si>
  <si>
    <t xml:space="preserve">18132344410    </t>
  </si>
  <si>
    <t xml:space="preserve">18132344411    </t>
  </si>
  <si>
    <t xml:space="preserve">18132344412    </t>
  </si>
  <si>
    <t xml:space="preserve">18132344413    </t>
  </si>
  <si>
    <t xml:space="preserve">18132344414    </t>
  </si>
  <si>
    <t xml:space="preserve">18132344415    </t>
  </si>
  <si>
    <t xml:space="preserve">18132344416    </t>
  </si>
  <si>
    <t xml:space="preserve">18132344417    </t>
  </si>
  <si>
    <t xml:space="preserve">18132344418    </t>
  </si>
  <si>
    <t xml:space="preserve">18132332428    </t>
  </si>
  <si>
    <t xml:space="preserve">18132332429    </t>
  </si>
  <si>
    <t xml:space="preserve">18132332430    </t>
  </si>
  <si>
    <t xml:space="preserve">18132332431    </t>
  </si>
  <si>
    <t xml:space="preserve">18132332432    </t>
  </si>
  <si>
    <t xml:space="preserve">18132332433    </t>
  </si>
  <si>
    <t xml:space="preserve">18132332434    </t>
  </si>
  <si>
    <t xml:space="preserve">18132332435    </t>
  </si>
  <si>
    <t xml:space="preserve">18132332436    </t>
  </si>
  <si>
    <t xml:space="preserve">18132332437    </t>
  </si>
  <si>
    <t xml:space="preserve">18132332438    </t>
  </si>
  <si>
    <t xml:space="preserve">18132332439    </t>
  </si>
  <si>
    <t xml:space="preserve">18132332465    </t>
  </si>
  <si>
    <t xml:space="preserve">18132332466    </t>
  </si>
  <si>
    <t xml:space="preserve">18132332467    </t>
  </si>
  <si>
    <t xml:space="preserve">18132332468    </t>
  </si>
  <si>
    <t xml:space="preserve">18132332469    </t>
  </si>
  <si>
    <t xml:space="preserve">18132332471    </t>
  </si>
  <si>
    <t xml:space="preserve">18132332472    </t>
  </si>
  <si>
    <t xml:space="preserve">18132332474    </t>
  </si>
  <si>
    <t xml:space="preserve">18132332475    </t>
  </si>
  <si>
    <t xml:space="preserve">18132332476    </t>
  </si>
  <si>
    <t xml:space="preserve">18132332477    </t>
  </si>
  <si>
    <t xml:space="preserve">18132332479    </t>
  </si>
  <si>
    <t xml:space="preserve">18132332480    </t>
  </si>
  <si>
    <t xml:space="preserve">18132332481    </t>
  </si>
  <si>
    <t xml:space="preserve">18132332482    </t>
  </si>
  <si>
    <t xml:space="preserve">18132332483    </t>
  </si>
  <si>
    <t xml:space="preserve">18132332484    </t>
  </si>
  <si>
    <t xml:space="preserve">18132332485    </t>
  </si>
  <si>
    <t xml:space="preserve">18132332486    </t>
  </si>
  <si>
    <t xml:space="preserve">18132332487    </t>
  </si>
  <si>
    <t xml:space="preserve">18132332488    </t>
  </si>
  <si>
    <t xml:space="preserve">18132332489    </t>
  </si>
  <si>
    <t xml:space="preserve">18132332490    </t>
  </si>
  <si>
    <t xml:space="preserve">18132332491    </t>
  </si>
  <si>
    <t xml:space="preserve">18132332440    </t>
  </si>
  <si>
    <t xml:space="preserve">18132332441    </t>
  </si>
  <si>
    <t xml:space="preserve">18132332442    </t>
  </si>
  <si>
    <t xml:space="preserve">18132332443    </t>
  </si>
  <si>
    <t xml:space="preserve">18132332444    </t>
  </si>
  <si>
    <t xml:space="preserve">18132332445    </t>
  </si>
  <si>
    <t xml:space="preserve">18132332446    </t>
  </si>
  <si>
    <t xml:space="preserve">18132332447    </t>
  </si>
  <si>
    <t xml:space="preserve">18132332448    </t>
  </si>
  <si>
    <t xml:space="preserve">18132332449    </t>
  </si>
  <si>
    <t xml:space="preserve">18132332450    </t>
  </si>
  <si>
    <t xml:space="preserve">18132332594    </t>
  </si>
  <si>
    <t xml:space="preserve">18132332595    </t>
  </si>
  <si>
    <t xml:space="preserve">18132332596    </t>
  </si>
  <si>
    <t xml:space="preserve">18132332597    </t>
  </si>
  <si>
    <t xml:space="preserve">18132333003    </t>
  </si>
  <si>
    <t xml:space="preserve">18132333007    </t>
  </si>
  <si>
    <t xml:space="preserve">18132333008    </t>
  </si>
  <si>
    <t xml:space="preserve">18132333009    </t>
  </si>
  <si>
    <t xml:space="preserve">18132333010    </t>
  </si>
  <si>
    <t xml:space="preserve">18132333011    </t>
  </si>
  <si>
    <t xml:space="preserve">18132333012    </t>
  </si>
  <si>
    <t xml:space="preserve">18132333013    </t>
  </si>
  <si>
    <t xml:space="preserve">18132332451    </t>
  </si>
  <si>
    <t xml:space="preserve">18132332452    </t>
  </si>
  <si>
    <t xml:space="preserve">18132332453    </t>
  </si>
  <si>
    <t xml:space="preserve">18132332454    </t>
  </si>
  <si>
    <t xml:space="preserve">18132332455    </t>
  </si>
  <si>
    <t xml:space="preserve">18132332456    </t>
  </si>
  <si>
    <t xml:space="preserve">18132332457    </t>
  </si>
  <si>
    <t xml:space="preserve">18132332458    </t>
  </si>
  <si>
    <t xml:space="preserve">18132332459    </t>
  </si>
  <si>
    <t xml:space="preserve">18132332460    </t>
  </si>
  <si>
    <t xml:space="preserve">18132332463    </t>
  </si>
  <si>
    <t xml:space="preserve">18132332464    </t>
  </si>
  <si>
    <t xml:space="preserve">18132333403    </t>
  </si>
  <si>
    <t xml:space="preserve">18132333404    </t>
  </si>
  <si>
    <t xml:space="preserve">18132333405    </t>
  </si>
  <si>
    <t xml:space="preserve">18132332492    </t>
  </si>
  <si>
    <t xml:space="preserve">18132332493    </t>
  </si>
  <si>
    <t xml:space="preserve">18132332494    </t>
  </si>
  <si>
    <t xml:space="preserve">18132332495    </t>
  </si>
  <si>
    <t xml:space="preserve">18132332496    </t>
  </si>
  <si>
    <t xml:space="preserve">18132332497    </t>
  </si>
  <si>
    <t xml:space="preserve">18132332498    </t>
  </si>
  <si>
    <t xml:space="preserve">18132323453    </t>
  </si>
  <si>
    <t xml:space="preserve">18132323454    </t>
  </si>
  <si>
    <t xml:space="preserve">18132323455    </t>
  </si>
  <si>
    <t xml:space="preserve">18132323456    </t>
  </si>
  <si>
    <t xml:space="preserve">18132323457    </t>
  </si>
  <si>
    <t xml:space="preserve">18132323458    </t>
  </si>
  <si>
    <t xml:space="preserve">18132323459    </t>
  </si>
  <si>
    <t xml:space="preserve">18132323460    </t>
  </si>
  <si>
    <t xml:space="preserve">18132323461    </t>
  </si>
  <si>
    <t xml:space="preserve">18132323462    </t>
  </si>
  <si>
    <t xml:space="preserve">18132323463    </t>
  </si>
  <si>
    <t xml:space="preserve">18132323464    </t>
  </si>
  <si>
    <t xml:space="preserve">18132323465    </t>
  </si>
  <si>
    <t xml:space="preserve">18132323466    </t>
  </si>
  <si>
    <t xml:space="preserve">18132323467    </t>
  </si>
  <si>
    <t xml:space="preserve">18132323468    </t>
  </si>
  <si>
    <t xml:space="preserve">18132323469    </t>
  </si>
  <si>
    <t xml:space="preserve">18132323470    </t>
  </si>
  <si>
    <t xml:space="preserve">18132323471    </t>
  </si>
  <si>
    <t xml:space="preserve">18132323472    </t>
  </si>
  <si>
    <t xml:space="preserve">18132323473    </t>
  </si>
  <si>
    <t xml:space="preserve">18132323474    </t>
  </si>
  <si>
    <t xml:space="preserve">18132323475    </t>
  </si>
  <si>
    <t xml:space="preserve">18132323476    </t>
  </si>
  <si>
    <t xml:space="preserve">18132332578    </t>
  </si>
  <si>
    <t xml:space="preserve">18132332579    </t>
  </si>
  <si>
    <t xml:space="preserve">18132332580    </t>
  </si>
  <si>
    <t xml:space="preserve">18132332581    </t>
  </si>
  <si>
    <t xml:space="preserve">18132332582    </t>
  </si>
  <si>
    <t xml:space="preserve">18132332584    </t>
  </si>
  <si>
    <t xml:space="preserve">18132332585    </t>
  </si>
  <si>
    <t xml:space="preserve">18132332586    </t>
  </si>
  <si>
    <t xml:space="preserve">18132332587    </t>
  </si>
  <si>
    <t xml:space="preserve">18132332590    </t>
  </si>
  <si>
    <t xml:space="preserve">18132332592    </t>
  </si>
  <si>
    <t xml:space="preserve">18132332593    </t>
  </si>
  <si>
    <t xml:space="preserve">18132333406    </t>
  </si>
  <si>
    <t xml:space="preserve">18132333407    </t>
  </si>
  <si>
    <t xml:space="preserve">18132333408    </t>
  </si>
  <si>
    <t xml:space="preserve">18132333409    </t>
  </si>
  <si>
    <t xml:space="preserve">18132333410    </t>
  </si>
  <si>
    <t xml:space="preserve">18132333411    </t>
  </si>
  <si>
    <t xml:space="preserve">18132333412    </t>
  </si>
  <si>
    <t xml:space="preserve">18132333419    </t>
  </si>
  <si>
    <t xml:space="preserve">18132333420    </t>
  </si>
  <si>
    <t xml:space="preserve">18132344008    </t>
  </si>
  <si>
    <t xml:space="preserve">18132344009    </t>
  </si>
  <si>
    <t xml:space="preserve">18132344010    </t>
  </si>
  <si>
    <t xml:space="preserve">18132344011    </t>
  </si>
  <si>
    <t xml:space="preserve">18132344012    </t>
  </si>
  <si>
    <t xml:space="preserve">18132344013    </t>
  </si>
  <si>
    <t xml:space="preserve">18132344014    </t>
  </si>
  <si>
    <t xml:space="preserve">18132344015    </t>
  </si>
  <si>
    <t xml:space="preserve">18132344016    </t>
  </si>
  <si>
    <t xml:space="preserve">18132344017    </t>
  </si>
  <si>
    <t xml:space="preserve">18132344018    </t>
  </si>
  <si>
    <t xml:space="preserve">18132344019    </t>
  </si>
  <si>
    <t xml:space="preserve">18132343428    </t>
  </si>
  <si>
    <t xml:space="preserve">18132343429    </t>
  </si>
  <si>
    <t xml:space="preserve">18132343430    </t>
  </si>
  <si>
    <t xml:space="preserve">18132343431    </t>
  </si>
  <si>
    <t xml:space="preserve">18132343433    </t>
  </si>
  <si>
    <t xml:space="preserve">18132343435    </t>
  </si>
  <si>
    <t xml:space="preserve">18132344005    </t>
  </si>
  <si>
    <t xml:space="preserve">18132344006    </t>
  </si>
  <si>
    <t xml:space="preserve">18132344007    </t>
  </si>
  <si>
    <t xml:space="preserve">18132323427    </t>
  </si>
  <si>
    <t xml:space="preserve">18132323428    </t>
  </si>
  <si>
    <t xml:space="preserve">18132323429    </t>
  </si>
  <si>
    <t xml:space="preserve">18132323430    </t>
  </si>
  <si>
    <t xml:space="preserve">18132323432    </t>
  </si>
  <si>
    <t xml:space="preserve">18132323433    </t>
  </si>
  <si>
    <t xml:space="preserve">18132323434    </t>
  </si>
  <si>
    <t xml:space="preserve">18132323435    </t>
  </si>
  <si>
    <t xml:space="preserve">18132323436    </t>
  </si>
  <si>
    <t xml:space="preserve">18132323437    </t>
  </si>
  <si>
    <t xml:space="preserve">18132323439    </t>
  </si>
  <si>
    <t xml:space="preserve">18132323440    </t>
  </si>
  <si>
    <t xml:space="preserve">18132323441    </t>
  </si>
  <si>
    <t xml:space="preserve">18132323442    </t>
  </si>
  <si>
    <t xml:space="preserve">18132323443    </t>
  </si>
  <si>
    <t xml:space="preserve">18132323444    </t>
  </si>
  <si>
    <t xml:space="preserve">18132323445    </t>
  </si>
  <si>
    <t xml:space="preserve">18132323446    </t>
  </si>
  <si>
    <t xml:space="preserve">18132323447    </t>
  </si>
  <si>
    <t xml:space="preserve">18132323448    </t>
  </si>
  <si>
    <t xml:space="preserve">18132323449    </t>
  </si>
  <si>
    <t xml:space="preserve">18132323450    </t>
  </si>
  <si>
    <t xml:space="preserve">18132323451    </t>
  </si>
  <si>
    <t xml:space="preserve">18132323452    </t>
  </si>
  <si>
    <t xml:space="preserve">18132344420    </t>
  </si>
  <si>
    <t>333</t>
  </si>
  <si>
    <t xml:space="preserve">18132344421    </t>
  </si>
  <si>
    <t xml:space="preserve">18132344423    </t>
  </si>
  <si>
    <t xml:space="preserve">18132344424    </t>
  </si>
  <si>
    <t xml:space="preserve">18132344426    </t>
  </si>
  <si>
    <t xml:space="preserve">18132344427    </t>
  </si>
  <si>
    <t xml:space="preserve">18132344428    </t>
  </si>
  <si>
    <t xml:space="preserve">18132344429    </t>
  </si>
  <si>
    <t xml:space="preserve">18132344430    </t>
  </si>
  <si>
    <t xml:space="preserve">18132344432    </t>
  </si>
  <si>
    <t xml:space="preserve">18132344433    </t>
  </si>
  <si>
    <t xml:space="preserve">18132343424    </t>
  </si>
  <si>
    <t xml:space="preserve">18132343425    </t>
  </si>
  <si>
    <t xml:space="preserve">18132333421    </t>
  </si>
  <si>
    <t xml:space="preserve">18132342463    </t>
  </si>
  <si>
    <t xml:space="preserve">18132342464    </t>
  </si>
  <si>
    <t xml:space="preserve">18132342465    </t>
  </si>
  <si>
    <t xml:space="preserve">18132342466    </t>
  </si>
  <si>
    <t xml:space="preserve">18132342467    </t>
  </si>
  <si>
    <t xml:space="preserve">18132342468    </t>
  </si>
  <si>
    <t xml:space="preserve">18132342469    </t>
  </si>
  <si>
    <t xml:space="preserve">18132342470    </t>
  </si>
  <si>
    <t xml:space="preserve">18132342471    </t>
  </si>
  <si>
    <t xml:space="preserve">18132342472    </t>
  </si>
  <si>
    <t xml:space="preserve">18132342473    </t>
  </si>
  <si>
    <t xml:space="preserve">18132342476    </t>
  </si>
  <si>
    <t xml:space="preserve">18132342477    </t>
  </si>
  <si>
    <t xml:space="preserve">18132342478    </t>
  </si>
  <si>
    <t xml:space="preserve">18132342479    </t>
  </si>
  <si>
    <t xml:space="preserve">18132342480    </t>
  </si>
  <si>
    <t xml:space="preserve">18132342481    </t>
  </si>
  <si>
    <t xml:space="preserve">18132342482    </t>
  </si>
  <si>
    <t xml:space="preserve">18132342483    </t>
  </si>
  <si>
    <t xml:space="preserve">18132342484    </t>
  </si>
  <si>
    <t xml:space="preserve">18132342485    </t>
  </si>
  <si>
    <t xml:space="preserve">18132342486    </t>
  </si>
  <si>
    <t xml:space="preserve">18132342487    </t>
  </si>
  <si>
    <t xml:space="preserve">18132342488    </t>
  </si>
  <si>
    <t>Phy</t>
  </si>
  <si>
    <t>Fun</t>
  </si>
  <si>
    <t>% Complete</t>
  </si>
  <si>
    <t>24Crop</t>
  </si>
  <si>
    <t>Living Area</t>
  </si>
  <si>
    <t>Mdl EffAge</t>
  </si>
  <si>
    <t>Average of Unadj Diff</t>
  </si>
  <si>
    <t>COUNT</t>
  </si>
  <si>
    <t>NUMBER IN SAMPLE</t>
  </si>
  <si>
    <t>MEDIAN</t>
  </si>
  <si>
    <t>.5(N)+.5</t>
  </si>
  <si>
    <t>TOTAL SALES PRICE</t>
  </si>
  <si>
    <t>MEAN</t>
  </si>
  <si>
    <t>SUM OF RATIOS / NUMBER OF SALES</t>
  </si>
  <si>
    <t>TOTAL ASSESSED VALUE</t>
  </si>
  <si>
    <t>WEIGHTED MEAN</t>
  </si>
  <si>
    <t>TOTAL A/V / TOTAL SALE PRICE</t>
  </si>
  <si>
    <t>SUM OF RATIOS</t>
  </si>
  <si>
    <t>MEAN SALE PRICE</t>
  </si>
  <si>
    <t>COD</t>
  </si>
  <si>
    <t>(sum of ABS(median-ratio) / NUMBER OF SALES / MEDIAN) * 100</t>
  </si>
  <si>
    <t>MEAN A/V</t>
  </si>
  <si>
    <t>COV</t>
  </si>
  <si>
    <t>(SQRT ((sum of (mean ratio-ratio)^2 )/ (NUMBER OF SALES-1) )/MEAN) * 100</t>
  </si>
  <si>
    <t>R^2</t>
  </si>
  <si>
    <t>mean/weighted mean</t>
  </si>
  <si>
    <t># of Inventory</t>
  </si>
  <si>
    <t>STD. DEVIATION</t>
  </si>
  <si>
    <t>SQRT ((sum of (mean ratio-ratio)^2 )/ (NUMBER OF SALES-1)) * 100</t>
  </si>
  <si>
    <t>% of Inventory Sold</t>
  </si>
  <si>
    <t xml:space="preserve">STANDARD ERROR </t>
  </si>
  <si>
    <t>Cnt</t>
  </si>
  <si>
    <t>NBHD</t>
  </si>
  <si>
    <t>2025 Final Value</t>
  </si>
  <si>
    <t>Error from Model</t>
  </si>
  <si>
    <t>Error^2</t>
  </si>
  <si>
    <t>Mean Sale Price</t>
  </si>
  <si>
    <t>Error from Mean SP</t>
  </si>
  <si>
    <t xml:space="preserve"> ABS(median minus ratio)</t>
  </si>
  <si>
    <t>mean ratio minus ratio</t>
  </si>
  <si>
    <t>(mean ratio minus ratio) ^2</t>
  </si>
  <si>
    <t>Override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</si>
</sst>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3" formatCode="_(* #,##0.00_);_(* \(#,##0.00\);_(* &quot;-&quot;??_);_(@_)"/>
    <numFmt numFmtId="164" formatCode="mm/dd/yyyy;@"/>
    <numFmt numFmtId="165" formatCode="0.000"/>
    <numFmt numFmtId="166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sz val="10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b/>
      <sz val="1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C91629"/>
        <bgColor indexed="64"/>
      </patternFill>
    </fill>
    <fill>
      <patternFill patternType="solid">
        <fgColor rgb="FFFF98A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4" tint="0.79998168889431442"/>
        <bgColor theme="4" tint="0.79998168889431442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8">
    <xf numFmtId="0" fontId="0" fillId="0" borderId="0"/>
    <xf numFmtId="9" fontId="3" fillId="0" borderId="0" applyFont="0" applyFill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</cellStyleXfs>
  <cellXfs count="90">
    <xf numFmtId="0" fontId="0" fillId="0" borderId="0" xfId="0"/>
    <xf numFmtId="0" fontId="0" fillId="2" borderId="0" xfId="0" applyFill="1"/>
    <xf numFmtId="0" fontId="0" fillId="3" borderId="0" xfId="0" applyFill="1"/>
    <xf numFmtId="164" fontId="0" fillId="0" borderId="0" xfId="0" applyNumberFormat="1"/>
    <xf numFmtId="0" fontId="1" fillId="0" borderId="1" xfId="0" applyFont="1" applyBorder="1"/>
    <xf numFmtId="0" fontId="0" fillId="0" borderId="1" xfId="0" applyBorder="1"/>
    <xf numFmtId="0" fontId="1" fillId="4" borderId="1" xfId="0" applyFont="1" applyFill="1" applyBorder="1"/>
    <xf numFmtId="0" fontId="2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0" fillId="4" borderId="0" xfId="0" applyFill="1" applyAlignment="1">
      <alignment horizontal="left" wrapText="1"/>
    </xf>
    <xf numFmtId="9" fontId="0" fillId="4" borderId="0" xfId="1" applyFont="1" applyFill="1" applyAlignment="1">
      <alignment horizontal="left" wrapText="1"/>
    </xf>
    <xf numFmtId="0" fontId="0" fillId="0" borderId="0" xfId="0" applyAlignment="1">
      <alignment horizontal="left"/>
    </xf>
    <xf numFmtId="9" fontId="0" fillId="0" borderId="0" xfId="0" applyNumberFormat="1" applyAlignment="1">
      <alignment horizontal="left"/>
    </xf>
    <xf numFmtId="9" fontId="0" fillId="0" borderId="0" xfId="1" applyFont="1" applyAlignment="1">
      <alignment horizontal="left"/>
    </xf>
    <xf numFmtId="9" fontId="0" fillId="0" borderId="0" xfId="0" applyNumberFormat="1"/>
    <xf numFmtId="0" fontId="0" fillId="0" borderId="0" xfId="0" pivotButton="1"/>
    <xf numFmtId="9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1" fillId="5" borderId="1" xfId="0" applyFont="1" applyFill="1" applyBorder="1"/>
    <xf numFmtId="0" fontId="1" fillId="5" borderId="1" xfId="0" applyFont="1" applyFill="1" applyBorder="1" applyAlignment="1">
      <alignment wrapText="1"/>
    </xf>
    <xf numFmtId="165" fontId="0" fillId="0" borderId="1" xfId="0" applyNumberFormat="1" applyBorder="1"/>
    <xf numFmtId="0" fontId="5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6" fillId="0" borderId="5" xfId="2" applyFont="1" applyBorder="1" applyAlignment="1">
      <alignment horizontal="right" wrapText="1"/>
    </xf>
    <xf numFmtId="0" fontId="6" fillId="0" borderId="5" xfId="2" applyFont="1" applyBorder="1" applyAlignment="1">
      <alignment wrapText="1"/>
    </xf>
    <xf numFmtId="0" fontId="7" fillId="0" borderId="0" xfId="2"/>
    <xf numFmtId="0" fontId="6" fillId="6" borderId="6" xfId="2" applyFont="1" applyFill="1" applyBorder="1" applyAlignment="1">
      <alignment horizontal="center" wrapText="1"/>
    </xf>
    <xf numFmtId="0" fontId="6" fillId="0" borderId="7" xfId="2" applyFont="1" applyBorder="1" applyAlignment="1">
      <alignment horizontal="right" wrapText="1"/>
    </xf>
    <xf numFmtId="0" fontId="6" fillId="0" borderId="8" xfId="2" applyFont="1" applyBorder="1" applyAlignment="1">
      <alignment horizontal="right" wrapText="1"/>
    </xf>
    <xf numFmtId="0" fontId="7" fillId="0" borderId="5" xfId="2" applyBorder="1"/>
    <xf numFmtId="0" fontId="6" fillId="0" borderId="0" xfId="2" applyFont="1" applyAlignment="1">
      <alignment horizontal="right" wrapText="1"/>
    </xf>
    <xf numFmtId="0" fontId="10" fillId="6" borderId="6" xfId="2" applyFont="1" applyFill="1" applyBorder="1" applyAlignment="1">
      <alignment horizontal="center" wrapText="1"/>
    </xf>
    <xf numFmtId="9" fontId="6" fillId="6" borderId="6" xfId="1" applyFont="1" applyFill="1" applyBorder="1" applyAlignment="1">
      <alignment horizontal="center" wrapText="1"/>
    </xf>
    <xf numFmtId="9" fontId="6" fillId="0" borderId="7" xfId="1" applyFont="1" applyFill="1" applyBorder="1" applyAlignment="1">
      <alignment horizontal="right" wrapText="1"/>
    </xf>
    <xf numFmtId="9" fontId="6" fillId="0" borderId="5" xfId="1" applyFont="1" applyFill="1" applyBorder="1" applyAlignment="1">
      <alignment horizontal="right" wrapText="1"/>
    </xf>
    <xf numFmtId="9" fontId="6" fillId="0" borderId="8" xfId="1" applyFont="1" applyFill="1" applyBorder="1" applyAlignment="1">
      <alignment horizontal="right" wrapText="1"/>
    </xf>
    <xf numFmtId="9" fontId="0" fillId="0" borderId="0" xfId="1" applyFont="1"/>
    <xf numFmtId="165" fontId="0" fillId="0" borderId="0" xfId="0" applyNumberFormat="1"/>
    <xf numFmtId="0" fontId="0" fillId="0" borderId="0" xfId="0" applyAlignment="1">
      <alignment horizontal="center"/>
    </xf>
    <xf numFmtId="0" fontId="11" fillId="0" borderId="0" xfId="0" applyFont="1"/>
    <xf numFmtId="1" fontId="12" fillId="0" borderId="0" xfId="0" applyNumberFormat="1" applyFont="1"/>
    <xf numFmtId="0" fontId="0" fillId="0" borderId="0" xfId="0" applyAlignment="1">
      <alignment horizontal="right"/>
    </xf>
    <xf numFmtId="2" fontId="0" fillId="0" borderId="0" xfId="1" applyNumberFormat="1" applyFont="1" applyAlignment="1">
      <alignment horizontal="center"/>
    </xf>
    <xf numFmtId="0" fontId="13" fillId="0" borderId="0" xfId="0" applyFont="1"/>
    <xf numFmtId="1" fontId="7" fillId="0" borderId="0" xfId="4" applyNumberFormat="1" applyAlignment="1">
      <alignment horizontal="right" wrapText="1"/>
    </xf>
    <xf numFmtId="166" fontId="12" fillId="0" borderId="0" xfId="3" applyNumberFormat="1" applyFont="1"/>
    <xf numFmtId="2" fontId="14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13" fillId="0" borderId="0" xfId="0" quotePrefix="1" applyFont="1"/>
    <xf numFmtId="0" fontId="12" fillId="0" borderId="0" xfId="0" applyFont="1"/>
    <xf numFmtId="0" fontId="7" fillId="0" borderId="0" xfId="4" applyAlignment="1">
      <alignment horizontal="left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" fillId="7" borderId="0" xfId="0" applyFont="1" applyFill="1"/>
    <xf numFmtId="0" fontId="16" fillId="6" borderId="9" xfId="5" applyFont="1" applyFill="1" applyBorder="1" applyAlignment="1">
      <alignment horizontal="center"/>
    </xf>
    <xf numFmtId="0" fontId="16" fillId="8" borderId="9" xfId="5" applyFont="1" applyFill="1" applyBorder="1" applyAlignment="1">
      <alignment horizontal="center"/>
    </xf>
    <xf numFmtId="2" fontId="16" fillId="6" borderId="9" xfId="5" applyNumberFormat="1" applyFont="1" applyFill="1" applyBorder="1" applyAlignment="1">
      <alignment horizontal="center"/>
    </xf>
    <xf numFmtId="0" fontId="16" fillId="6" borderId="10" xfId="5" applyFont="1" applyFill="1" applyBorder="1" applyAlignment="1">
      <alignment horizontal="center" wrapText="1"/>
    </xf>
    <xf numFmtId="6" fontId="17" fillId="7" borderId="11" xfId="0" applyNumberFormat="1" applyFont="1" applyFill="1" applyBorder="1" applyAlignment="1">
      <alignment horizontal="center" wrapText="1"/>
    </xf>
    <xf numFmtId="6" fontId="17" fillId="7" borderId="12" xfId="0" applyNumberFormat="1" applyFont="1" applyFill="1" applyBorder="1" applyAlignment="1">
      <alignment horizontal="center" wrapText="1"/>
    </xf>
    <xf numFmtId="6" fontId="17" fillId="7" borderId="13" xfId="0" applyNumberFormat="1" applyFont="1" applyFill="1" applyBorder="1" applyAlignment="1">
      <alignment horizontal="center" wrapText="1"/>
    </xf>
    <xf numFmtId="0" fontId="13" fillId="7" borderId="14" xfId="0" applyFont="1" applyFill="1" applyBorder="1" applyAlignment="1">
      <alignment horizontal="center" wrapText="1"/>
    </xf>
    <xf numFmtId="0" fontId="13" fillId="7" borderId="11" xfId="0" applyFont="1" applyFill="1" applyBorder="1" applyAlignment="1">
      <alignment horizontal="center" wrapText="1"/>
    </xf>
    <xf numFmtId="0" fontId="13" fillId="7" borderId="12" xfId="0" applyFont="1" applyFill="1" applyBorder="1" applyAlignment="1">
      <alignment horizontal="center" wrapText="1"/>
    </xf>
    <xf numFmtId="0" fontId="0" fillId="9" borderId="15" xfId="0" applyFill="1" applyBorder="1"/>
    <xf numFmtId="0" fontId="6" fillId="0" borderId="5" xfId="4" applyFont="1" applyBorder="1" applyAlignment="1">
      <alignment horizontal="center" wrapText="1"/>
    </xf>
    <xf numFmtId="9" fontId="0" fillId="9" borderId="15" xfId="1" applyFont="1" applyFill="1" applyBorder="1"/>
    <xf numFmtId="14" fontId="6" fillId="0" borderId="5" xfId="4" applyNumberFormat="1" applyFont="1" applyBorder="1" applyAlignment="1">
      <alignment horizontal="right" wrapText="1"/>
    </xf>
    <xf numFmtId="1" fontId="6" fillId="0" borderId="5" xfId="4" applyNumberFormat="1" applyFont="1" applyBorder="1" applyAlignment="1">
      <alignment horizontal="right" wrapText="1"/>
    </xf>
    <xf numFmtId="1" fontId="6" fillId="0" borderId="0" xfId="6" applyNumberFormat="1" applyFont="1" applyAlignment="1">
      <alignment horizontal="right" wrapText="1"/>
    </xf>
    <xf numFmtId="0" fontId="6" fillId="0" borderId="0" xfId="6" applyFont="1" applyAlignment="1">
      <alignment horizontal="right" wrapText="1"/>
    </xf>
    <xf numFmtId="2" fontId="0" fillId="0" borderId="5" xfId="0" applyNumberFormat="1" applyBorder="1"/>
    <xf numFmtId="2" fontId="0" fillId="0" borderId="0" xfId="0" applyNumberFormat="1"/>
    <xf numFmtId="0" fontId="0" fillId="0" borderId="15" xfId="0" applyBorder="1"/>
    <xf numFmtId="9" fontId="0" fillId="0" borderId="15" xfId="1" applyFont="1" applyBorder="1"/>
    <xf numFmtId="14" fontId="0" fillId="0" borderId="5" xfId="0" applyNumberFormat="1" applyBorder="1"/>
    <xf numFmtId="0" fontId="0" fillId="0" borderId="5" xfId="0" applyBorder="1"/>
    <xf numFmtId="1" fontId="6" fillId="0" borderId="5" xfId="7" applyNumberFormat="1" applyFont="1" applyBorder="1" applyAlignment="1">
      <alignment horizontal="right" wrapText="1"/>
    </xf>
    <xf numFmtId="14" fontId="0" fillId="0" borderId="0" xfId="0" applyNumberFormat="1"/>
    <xf numFmtId="14" fontId="6" fillId="0" borderId="0" xfId="4" applyNumberFormat="1" applyFont="1" applyAlignment="1">
      <alignment horizontal="right" wrapText="1"/>
    </xf>
    <xf numFmtId="1" fontId="6" fillId="0" borderId="0" xfId="7" applyNumberFormat="1" applyFont="1" applyAlignment="1">
      <alignment horizontal="right" wrapText="1"/>
    </xf>
    <xf numFmtId="0" fontId="6" fillId="0" borderId="7" xfId="4" applyFont="1" applyBorder="1" applyAlignment="1">
      <alignment horizontal="center" wrapText="1"/>
    </xf>
    <xf numFmtId="1" fontId="6" fillId="0" borderId="0" xfId="4" applyNumberFormat="1" applyFont="1" applyAlignment="1">
      <alignment horizontal="right" wrapText="1"/>
    </xf>
    <xf numFmtId="0" fontId="6" fillId="0" borderId="0" xfId="2" applyFont="1" applyAlignment="1">
      <alignment wrapText="1"/>
    </xf>
    <xf numFmtId="0" fontId="9" fillId="0" borderId="0" xfId="2" applyFont="1" applyAlignment="1">
      <alignment horizontal="right" wrapText="1"/>
    </xf>
    <xf numFmtId="0" fontId="1" fillId="4" borderId="2" xfId="0" applyFont="1" applyFill="1" applyBorder="1" applyAlignment="1">
      <alignment horizontal="left"/>
    </xf>
    <xf numFmtId="0" fontId="1" fillId="4" borderId="3" xfId="0" applyFont="1" applyFill="1" applyBorder="1" applyAlignment="1">
      <alignment horizontal="left"/>
    </xf>
    <xf numFmtId="0" fontId="1" fillId="4" borderId="4" xfId="0" applyFont="1" applyFill="1" applyBorder="1" applyAlignment="1">
      <alignment horizontal="left"/>
    </xf>
  </cellXfs>
  <cellStyles count="8">
    <cellStyle name="Comma" xfId="3" builtinId="3"/>
    <cellStyle name="Normal" xfId="0" builtinId="0"/>
    <cellStyle name="Normal_All Sales Cost no Adj" xfId="7" xr:uid="{A7313A43-4498-4398-A48A-F0671F18D926}"/>
    <cellStyle name="Normal_Inventory" xfId="2" xr:uid="{2F486813-0599-4DBC-BF9E-D501BFAF7C01}"/>
    <cellStyle name="Normal_Sheet1" xfId="4" xr:uid="{613A1D38-3226-4336-9E91-9B882D49AD23}"/>
    <cellStyle name="Normal_Sheet12" xfId="5" xr:uid="{86AC8CD9-3F0F-4B37-A0CE-2EEF3D93FBC9}"/>
    <cellStyle name="Normal_Sheet3" xfId="6" xr:uid="{ED587BB7-C35E-4228-9519-78DCD2993BD6}"/>
    <cellStyle name="Percent" xfId="1" builtinId="5"/>
  </cellStyles>
  <dxfs count="1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mm/dd/yyyy;@"/>
    </dxf>
    <dxf>
      <fill>
        <patternFill patternType="solid">
          <fgColor indexed="64"/>
          <bgColor rgb="FFFF98A6"/>
        </patternFill>
      </fill>
    </dxf>
    <dxf>
      <numFmt numFmtId="13" formatCode="0%"/>
    </dxf>
    <dxf>
      <numFmt numFmtId="13" formatCode="0%"/>
    </dxf>
    <dxf>
      <numFmt numFmtId="13" formatCode="0%"/>
    </dxf>
    <dxf>
      <alignment wrapText="1"/>
    </dxf>
    <dxf>
      <alignment wrapText="1"/>
    </dxf>
    <dxf>
      <numFmt numFmtId="13" formatCode="0%"/>
    </dxf>
    <dxf>
      <numFmt numFmtId="13" formatCode="0%"/>
    </dxf>
    <dxf>
      <alignment wrapText="1"/>
    </dxf>
    <dxf>
      <alignment wrapText="1"/>
    </dxf>
    <dxf>
      <alignment wrapText="1"/>
    </dxf>
    <dxf>
      <numFmt numFmtId="13" formatCode="0%"/>
    </dxf>
    <dxf>
      <numFmt numFmtId="13" formatCode="0%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6</xdr:col>
      <xdr:colOff>251205</xdr:colOff>
      <xdr:row>14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896A8E-7566-F1FC-4FA6-89E6CD50F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82881"/>
          <a:ext cx="3908804" cy="3108960"/>
        </a:xfrm>
        <a:prstGeom prst="rect">
          <a:avLst/>
        </a:prstGeom>
      </xdr:spPr>
    </xdr:pic>
    <xdr:clientData/>
  </xdr:twoCellAnchor>
  <xdr:twoCellAnchor editAs="oneCell">
    <xdr:from>
      <xdr:col>6</xdr:col>
      <xdr:colOff>559695</xdr:colOff>
      <xdr:row>0</xdr:row>
      <xdr:rowOff>167641</xdr:rowOff>
    </xdr:from>
    <xdr:to>
      <xdr:col>12</xdr:col>
      <xdr:colOff>541413</xdr:colOff>
      <xdr:row>11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69DA38-6AFE-ECB2-19C0-49F48578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7295" y="167641"/>
          <a:ext cx="3639318" cy="27279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27</xdr:row>
      <xdr:rowOff>30480</xdr:rowOff>
    </xdr:from>
    <xdr:to>
      <xdr:col>7</xdr:col>
      <xdr:colOff>317147</xdr:colOff>
      <xdr:row>36</xdr:row>
      <xdr:rowOff>137349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5E9FA8-5D15-86A3-700C-44E53552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" y="6065520"/>
          <a:ext cx="4576727" cy="17527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137160</xdr:rowOff>
    </xdr:from>
    <xdr:to>
      <xdr:col>7</xdr:col>
      <xdr:colOff>373677</xdr:colOff>
      <xdr:row>49</xdr:row>
      <xdr:rowOff>7850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A1CBEA5-0410-C67A-5AF3-3CB478F81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001000"/>
          <a:ext cx="4640877" cy="2065250"/>
        </a:xfrm>
        <a:prstGeom prst="rect">
          <a:avLst/>
        </a:prstGeom>
      </xdr:spPr>
    </xdr:pic>
    <xdr:clientData/>
  </xdr:twoCellAnchor>
  <xdr:twoCellAnchor editAs="oneCell">
    <xdr:from>
      <xdr:col>1</xdr:col>
      <xdr:colOff>403860</xdr:colOff>
      <xdr:row>15</xdr:row>
      <xdr:rowOff>22860</xdr:rowOff>
    </xdr:from>
    <xdr:to>
      <xdr:col>4</xdr:col>
      <xdr:colOff>442199</xdr:colOff>
      <xdr:row>19</xdr:row>
      <xdr:rowOff>178489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BEF8486-F9D1-092E-D724-1BA37FA79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3460" y="3497580"/>
          <a:ext cx="1867139" cy="887149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21</xdr:row>
      <xdr:rowOff>114301</xdr:rowOff>
    </xdr:from>
    <xdr:to>
      <xdr:col>6</xdr:col>
      <xdr:colOff>53672</xdr:colOff>
      <xdr:row>26</xdr:row>
      <xdr:rowOff>53949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F9DD2E-1429-1501-247D-870773A6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9100" y="4686301"/>
          <a:ext cx="3292172" cy="1219808"/>
        </a:xfrm>
        <a:prstGeom prst="rect">
          <a:avLst/>
        </a:prstGeom>
      </xdr:spPr>
    </xdr:pic>
    <xdr:clientData/>
  </xdr:twoCellAnchor>
  <xdr:twoCellAnchor editAs="oneCell">
    <xdr:from>
      <xdr:col>7</xdr:col>
      <xdr:colOff>541020</xdr:colOff>
      <xdr:row>15</xdr:row>
      <xdr:rowOff>160020</xdr:rowOff>
    </xdr:from>
    <xdr:to>
      <xdr:col>12</xdr:col>
      <xdr:colOff>221282</xdr:colOff>
      <xdr:row>32</xdr:row>
      <xdr:rowOff>80735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A838D0-D825-26CF-C40F-00C05E879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08220" y="2903220"/>
          <a:ext cx="2728262" cy="3395435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34</xdr:row>
      <xdr:rowOff>82213</xdr:rowOff>
    </xdr:from>
    <xdr:to>
      <xdr:col>12</xdr:col>
      <xdr:colOff>175260</xdr:colOff>
      <xdr:row>38</xdr:row>
      <xdr:rowOff>118867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12CF1E3-59E5-561A-9E5B-0A83F56B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37760" y="6300133"/>
          <a:ext cx="2552700" cy="768174"/>
        </a:xfrm>
        <a:prstGeom prst="rect">
          <a:avLst/>
        </a:prstGeom>
      </xdr:spPr>
    </xdr:pic>
    <xdr:clientData/>
  </xdr:twoCellAnchor>
  <xdr:twoCellAnchor editAs="oneCell">
    <xdr:from>
      <xdr:col>5</xdr:col>
      <xdr:colOff>264140</xdr:colOff>
      <xdr:row>53</xdr:row>
      <xdr:rowOff>22861</xdr:rowOff>
    </xdr:from>
    <xdr:to>
      <xdr:col>9</xdr:col>
      <xdr:colOff>11619</xdr:colOff>
      <xdr:row>82</xdr:row>
      <xdr:rowOff>137161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D494E70-F076-D229-0ACC-FD9571B92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12140" y="9715501"/>
          <a:ext cx="2185879" cy="5417820"/>
        </a:xfrm>
        <a:prstGeom prst="rect">
          <a:avLst/>
        </a:prstGeom>
      </xdr:spPr>
    </xdr:pic>
    <xdr:clientData/>
  </xdr:twoCellAnchor>
  <xdr:twoCellAnchor editAs="oneCell">
    <xdr:from>
      <xdr:col>5</xdr:col>
      <xdr:colOff>247118</xdr:colOff>
      <xdr:row>82</xdr:row>
      <xdr:rowOff>141184</xdr:rowOff>
    </xdr:from>
    <xdr:to>
      <xdr:col>9</xdr:col>
      <xdr:colOff>0</xdr:colOff>
      <xdr:row>91</xdr:row>
      <xdr:rowOff>175260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0400FE4-68D1-1EB6-B214-FB8833815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95118" y="15137344"/>
          <a:ext cx="2191282" cy="167999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a Halliday" refreshedDate="45511.421065509261" createdVersion="8" refreshedVersion="8" minRefreshableVersion="3" recordCount="307" xr:uid="{D8C7D416-25FC-45E3-AF5D-F43D1BC725E4}">
  <cacheSource type="worksheet">
    <worksheetSource name="Sales"/>
  </cacheSource>
  <cacheFields count="105">
    <cacheField name="Year" numFmtId="0">
      <sharedItems containsSemiMixedTypes="0" containsString="0" containsNumber="1" containsInteger="1" minValue="2025" maxValue="2025"/>
    </cacheField>
    <cacheField name="Parcel" numFmtId="0">
      <sharedItems containsSemiMixedTypes="0" containsString="0" containsNumber="1" containsInteger="1" minValue="18131543415" maxValue="18132344491"/>
    </cacheField>
    <cacheField name="LnAcres" numFmtId="0">
      <sharedItems containsSemiMixedTypes="0" containsString="0" containsNumber="1" minValue="-4.6051701859880909" maxValue="-2.0202707317519466E-2"/>
    </cacheField>
    <cacheField name="Acres" numFmtId="0">
      <sharedItems containsSemiMixedTypes="0" containsString="0" containsNumber="1" minValue="0.01" maxValue="0.98"/>
    </cacheField>
    <cacheField name="Sqft" numFmtId="0">
      <sharedItems containsSemiMixedTypes="0" containsString="0" containsNumber="1" containsInteger="1" minValue="0" maxValue="42478"/>
    </cacheField>
    <cacheField name="Cycle" numFmtId="0">
      <sharedItems containsSemiMixedTypes="0" containsString="0" containsNumber="1" containsInteger="1" minValue="6" maxValue="6"/>
    </cacheField>
    <cacheField name="Type" numFmtId="0">
      <sharedItems/>
    </cacheField>
    <cacheField name="Nbhd" numFmtId="0">
      <sharedItems containsMixedTypes="1" containsNumber="1" containsInteger="1" minValue="3031" maxValue="3093"/>
    </cacheField>
    <cacheField name="TNbhd" numFmtId="0">
      <sharedItems/>
    </cacheField>
    <cacheField name="Zone" numFmtId="0">
      <sharedItems/>
    </cacheField>
    <cacheField name="Use" numFmtId="0">
      <sharedItems containsSemiMixedTypes="0" containsString="0" containsNumber="1" containsInteger="1" minValue="11" maxValue="11"/>
    </cacheField>
    <cacheField name="Subtype" numFmtId="0">
      <sharedItems containsSemiMixedTypes="0" containsString="0" containsNumber="1" containsInteger="1" minValue="259" maxValue="400"/>
    </cacheField>
    <cacheField name="Style" numFmtId="0">
      <sharedItems/>
    </cacheField>
    <cacheField name="Qlty" numFmtId="0">
      <sharedItems count="5">
        <s v="A"/>
        <s v="G"/>
        <s v="A+"/>
        <s v="G+"/>
        <s v="F+"/>
      </sharedItems>
    </cacheField>
    <cacheField name="Cnd" numFmtId="0">
      <sharedItems/>
    </cacheField>
    <cacheField name="Decade" numFmtId="0">
      <sharedItems containsSemiMixedTypes="0" containsString="0" containsNumber="1" containsInteger="1" minValue="10" maxValue="150" count="13">
        <n v="10"/>
        <n v="30"/>
        <n v="40"/>
        <n v="50"/>
        <n v="60"/>
        <n v="70"/>
        <n v="80"/>
        <n v="90"/>
        <n v="100"/>
        <n v="110"/>
        <n v="120"/>
        <n v="130"/>
        <n v="150"/>
      </sharedItems>
    </cacheField>
    <cacheField name="YrBlt" numFmtId="0">
      <sharedItems containsSemiMixedTypes="0" containsString="0" containsNumber="1" containsInteger="1" minValue="1880" maxValue="2023"/>
    </cacheField>
    <cacheField name="EffYr" numFmtId="0">
      <sharedItems containsSemiMixedTypes="0" containsString="0" containsNumber="1" containsInteger="1" minValue="1935" maxValue="2023"/>
    </cacheField>
    <cacheField name="Age" numFmtId="0">
      <sharedItems containsSemiMixedTypes="0" containsString="0" containsNumber="1" containsInteger="1" minValue="1" maxValue="144"/>
    </cacheField>
    <cacheField name="EffAge" numFmtId="0">
      <sharedItems containsSemiMixedTypes="0" containsString="0" containsNumber="1" containsInteger="1" minValue="1" maxValue="89"/>
    </cacheField>
    <cacheField name="#Stories" numFmtId="0">
      <sharedItems containsSemiMixedTypes="0" containsString="0" containsNumber="1" containsInteger="1" minValue="1" maxValue="2"/>
    </cacheField>
    <cacheField name="MainFn" numFmtId="0">
      <sharedItems containsSemiMixedTypes="0" containsString="0" containsNumber="1" containsInteger="1" minValue="581" maxValue="3903"/>
    </cacheField>
    <cacheField name="UpprFn" numFmtId="0">
      <sharedItems containsSemiMixedTypes="0" containsString="0" containsNumber="1" containsInteger="1" minValue="0" maxValue="1614"/>
    </cacheField>
    <cacheField name="AddFn" numFmtId="0">
      <sharedItems containsSemiMixedTypes="0" containsString="0" containsNumber="1" containsInteger="1" minValue="0" maxValue="336"/>
    </cacheField>
    <cacheField name="Bsmt" numFmtId="0">
      <sharedItems containsSemiMixedTypes="0" containsString="0" containsNumber="1" containsInteger="1" minValue="0" maxValue="2187"/>
    </cacheField>
    <cacheField name="UnfinBsmt" numFmtId="0">
      <sharedItems containsSemiMixedTypes="0" containsString="0" containsNumber="1" containsInteger="1" minValue="0" maxValue="1525"/>
    </cacheField>
    <cacheField name="FnBsmt" numFmtId="0">
      <sharedItems containsSemiMixedTypes="0" containsString="0" containsNumber="1" containsInteger="1" minValue="0" maxValue="1668"/>
    </cacheField>
    <cacheField name="Livign Area" numFmtId="0">
      <sharedItems containsSemiMixedTypes="0" containsString="0" containsNumber="1" containsInteger="1" minValue="664" maxValue="5098"/>
    </cacheField>
    <cacheField name="LivArea Range" numFmtId="0">
      <sharedItems containsSemiMixedTypes="0" containsString="0" containsNumber="1" containsInteger="1" minValue="1000" maxValue="5500"/>
    </cacheField>
    <cacheField name="GarSpace" numFmtId="0">
      <sharedItems containsSemiMixedTypes="0" containsString="0" containsNumber="1" containsInteger="1" minValue="0" maxValue="2"/>
    </cacheField>
    <cacheField name="MsnryTrim" numFmtId="0">
      <sharedItems containsBlank="1"/>
    </cacheField>
    <cacheField name="Heat" numFmtId="0">
      <sharedItems/>
    </cacheField>
    <cacheField name="Fuel" numFmtId="0">
      <sharedItems/>
    </cacheField>
    <cacheField name="AC" numFmtId="0">
      <sharedItems containsBlank="1"/>
    </cacheField>
    <cacheField name="WdStove" numFmtId="0">
      <sharedItems containsSemiMixedTypes="0" containsString="0" containsNumber="1" containsInteger="1" minValue="0" maxValue="1"/>
    </cacheField>
    <cacheField name="MsnryFP" numFmtId="0">
      <sharedItems containsSemiMixedTypes="0" containsString="0" containsNumber="1" containsInteger="1" minValue="0" maxValue="3"/>
    </cacheField>
    <cacheField name="PrefabFP" numFmtId="0">
      <sharedItems containsSemiMixedTypes="0" containsString="0" containsNumber="1" containsInteger="1" minValue="0" maxValue="2"/>
    </cacheField>
    <cacheField name="3/4Bath" numFmtId="0">
      <sharedItems containsSemiMixedTypes="0" containsString="0" containsNumber="1" containsInteger="1" minValue="0" maxValue="3"/>
    </cacheField>
    <cacheField name="1/2Bath" numFmtId="0">
      <sharedItems containsSemiMixedTypes="0" containsString="0" containsNumber="1" containsInteger="1" minValue="0" maxValue="2"/>
    </cacheField>
    <cacheField name="Fixtures" numFmtId="0">
      <sharedItems containsSemiMixedTypes="0" containsString="0" containsNumber="1" containsInteger="1" minValue="5" maxValue="18"/>
    </cacheField>
    <cacheField name="AttGar" numFmtId="0">
      <sharedItems containsSemiMixedTypes="0" containsString="0" containsNumber="1" containsInteger="1" minValue="0" maxValue="809"/>
    </cacheField>
    <cacheField name="BltinGar" numFmtId="0">
      <sharedItems containsSemiMixedTypes="0" containsString="0" containsNumber="1" containsInteger="1" minValue="0" maxValue="1198"/>
    </cacheField>
    <cacheField name="Carport" numFmtId="0">
      <sharedItems containsSemiMixedTypes="0" containsString="0" containsNumber="1" containsInteger="1" minValue="0" maxValue="832"/>
    </cacheField>
    <cacheField name="WdDeck" numFmtId="0">
      <sharedItems containsSemiMixedTypes="0" containsString="0" containsNumber="1" containsInteger="1" minValue="0" maxValue="1059"/>
    </cacheField>
    <cacheField name="Patio" numFmtId="0">
      <sharedItems containsSemiMixedTypes="0" containsString="0" containsNumber="1" containsInteger="1" minValue="0" maxValue="1536"/>
    </cacheField>
    <cacheField name="CoverSf" numFmtId="0">
      <sharedItems containsSemiMixedTypes="0" containsString="0" containsNumber="1" containsInteger="1" minValue="0" maxValue="792"/>
    </cacheField>
    <cacheField name="%Comp" numFmtId="0">
      <sharedItems containsSemiMixedTypes="0" containsString="0" containsNumber="1" containsInteger="1" minValue="100" maxValue="100"/>
    </cacheField>
    <cacheField name="Ecn" numFmtId="0">
      <sharedItems containsSemiMixedTypes="0" containsString="0" containsNumber="1" containsInteger="1" minValue="100" maxValue="100"/>
    </cacheField>
    <cacheField name="Rcn" numFmtId="0">
      <sharedItems containsSemiMixedTypes="0" containsString="0" containsNumber="1" containsInteger="1" minValue="108787" maxValue="772296"/>
    </cacheField>
    <cacheField name="Rcnld" numFmtId="0">
      <sharedItems containsSemiMixedTypes="0" containsString="0" containsNumber="1" containsInteger="1" minValue="72887" maxValue="710975"/>
    </cacheField>
    <cacheField name="Days Prior" numFmtId="0">
      <sharedItems containsSemiMixedTypes="0" containsString="0" containsNumber="1" containsInteger="1" minValue="5" maxValue="1089"/>
    </cacheField>
    <cacheField name="DP1" numFmtId="0">
      <sharedItems containsSemiMixedTypes="0" containsString="0" containsNumber="1" containsInteger="1" minValue="5" maxValue="365"/>
    </cacheField>
    <cacheField name="DP2" numFmtId="0">
      <sharedItems containsSemiMixedTypes="0" containsString="0" containsNumber="1" containsInteger="1" minValue="0" maxValue="365"/>
    </cacheField>
    <cacheField name="DP3" numFmtId="0">
      <sharedItems containsSemiMixedTypes="0" containsString="0" containsNumber="1" containsInteger="1" minValue="0" maxValue="359"/>
    </cacheField>
    <cacheField name="Date" numFmtId="164">
      <sharedItems containsSemiMixedTypes="0" containsNonDate="0" containsDate="1" containsString="0" minDate="2021-01-07T00:00:00" maxDate="2023-12-28T00:00:00"/>
    </cacheField>
    <cacheField name="Excise" numFmtId="0">
      <sharedItems containsMixedTypes="1" containsNumber="1" containsInteger="1" minValue="458947" maxValue="464663"/>
    </cacheField>
    <cacheField name="Price" numFmtId="0">
      <sharedItems containsSemiMixedTypes="0" containsString="0" containsNumber="1" containsInteger="1" minValue="169999" maxValue="849000"/>
    </cacheField>
    <cacheField name="SP-Det" numFmtId="0">
      <sharedItems containsSemiMixedTypes="0" containsString="0" containsNumber="1" containsInteger="1" minValue="163372" maxValue="788151"/>
    </cacheField>
    <cacheField name="SaleType" numFmtId="0">
      <sharedItems/>
    </cacheField>
    <cacheField name="Verify" numFmtId="0">
      <sharedItems containsSemiMixedTypes="0" containsString="0" containsNumber="1" containsInteger="1" minValue="30" maxValue="30"/>
    </cacheField>
    <cacheField name="Mult" numFmtId="0">
      <sharedItems/>
    </cacheField>
    <cacheField name="Bench" numFmtId="0">
      <sharedItems/>
    </cacheField>
    <cacheField name="24Final" numFmtId="0">
      <sharedItems containsSemiMixedTypes="0" containsString="0" containsNumber="1" containsInteger="1" minValue="179500" maxValue="852100"/>
    </cacheField>
    <cacheField name="24Lnd" numFmtId="0">
      <sharedItems containsSemiMixedTypes="0" containsString="0" containsNumber="1" containsInteger="1" minValue="21800" maxValue="113800"/>
    </cacheField>
    <cacheField name="24Bldg" numFmtId="0">
      <sharedItems containsSemiMixedTypes="0" containsString="0" containsNumber="1" containsInteger="1" minValue="152600" maxValue="782100"/>
    </cacheField>
    <cacheField name="25Det" numFmtId="0">
      <sharedItems containsSemiMixedTypes="0" containsString="0" containsNumber="1" containsInteger="1" minValue="0" maxValue="70902"/>
    </cacheField>
    <cacheField name="Ratio" numFmtId="0">
      <sharedItems containsSemiMixedTypes="0" containsString="0" containsNumber="1" minValue="0.68256772673733801" maxValue="2.0535414914205377"/>
    </cacheField>
    <cacheField name="Mdl Formula DP" numFmtId="0">
      <sharedItems containsSemiMixedTypes="0" containsString="0" containsNumber="1" minValue="163371.99999999919" maxValue="659133.55951335095"/>
    </cacheField>
    <cacheField name="Mdl Formula Total" numFmtId="0">
      <sharedItems containsSemiMixedTypes="0" containsString="0" containsNumber="1" minValue="188344.88607415423" maxValue="713064.65488918766"/>
    </cacheField>
    <cacheField name="Days Prior Total" numFmtId="0">
      <sharedItems containsSemiMixedTypes="0" containsString="0" containsNumber="1" minValue="-69568.479026170011" maxValue="-352.79098285000003"/>
    </cacheField>
    <cacheField name="Mdl Res Intercept" numFmtId="0">
      <sharedItems containsSemiMixedTypes="0" containsString="0" containsNumber="1" containsInteger="1" minValue="0" maxValue="0"/>
    </cacheField>
    <cacheField name="Mdl Land Intercept" numFmtId="0">
      <sharedItems containsSemiMixedTypes="0" containsString="0" containsNumber="1" minValue="89850.625589999996" maxValue="89850.625589999996"/>
    </cacheField>
    <cacheField name="Mdl LnAcres" numFmtId="0">
      <sharedItems containsSemiMixedTypes="0" containsString="0" containsNumber="1" minValue="-145774.89265936252" maxValue="-639.50893706396755"/>
    </cacheField>
    <cacheField name="Mdl Qlty" numFmtId="0">
      <sharedItems containsSemiMixedTypes="0" containsString="0" containsNumber="1" minValue="0" maxValue="74268.409664999999"/>
    </cacheField>
    <cacheField name="Mdl Condition" numFmtId="0">
      <sharedItems containsSemiMixedTypes="0" containsString="0" containsNumber="1" minValue="0" maxValue="354070.39217000001"/>
    </cacheField>
    <cacheField name="Mdl Age" numFmtId="0">
      <sharedItems containsSemiMixedTypes="0" containsString="0" containsNumber="1" minValue="-19851.058444500002" maxValue="-223.04560050000001"/>
    </cacheField>
    <cacheField name="Mdl MainFn" numFmtId="0">
      <sharedItems containsSemiMixedTypes="0" containsString="0" containsNumber="1" minValue="28706.437198537002" maxValue="192842.03852993101"/>
    </cacheField>
    <cacheField name="Mdl UpprFn" numFmtId="0">
      <sharedItems containsSemiMixedTypes="0" containsString="0" containsNumber="1" minValue="0" maxValue="72285.286497654"/>
    </cacheField>
    <cacheField name="Mdl AddFn" numFmtId="0">
      <sharedItems containsSemiMixedTypes="0" containsString="0" containsNumber="1" minValue="0" maxValue="21871.809473136003"/>
    </cacheField>
    <cacheField name="Mdl Bsmt" numFmtId="0">
      <sharedItems containsSemiMixedTypes="0" containsString="0" containsNumber="1" minValue="0" maxValue="63602.104905188993"/>
    </cacheField>
    <cacheField name="Mdl Fixtures" numFmtId="0">
      <sharedItems containsSemiMixedTypes="0" containsString="0" containsNumber="1" minValue="18960.110526" maxValue="68256.397893600006"/>
    </cacheField>
    <cacheField name="Mdl WdDeck" numFmtId="0">
      <sharedItems containsSemiMixedTypes="0" containsString="0" containsNumber="1" minValue="0" maxValue="35259.950677284003"/>
    </cacheField>
    <cacheField name="Match Mdl Value" numFmtId="0">
      <sharedItems containsSemiMixedTypes="0" containsString="0" containsNumber="1" minValue="163371.99999651941" maxValue="659133.55950908107"/>
    </cacheField>
    <cacheField name="Unadj Det Value" numFmtId="0">
      <sharedItems containsSemiMixedTypes="0" containsString="0" containsNumber="1" containsInteger="1" minValue="0" maxValue="70900"/>
    </cacheField>
    <cacheField name="Unadj Res Value" numFmtId="0">
      <sharedItems containsSemiMixedTypes="0" containsString="0" containsNumber="1" containsInteger="1" minValue="126100" maxValue="603400"/>
    </cacheField>
    <cacheField name="Unadj Land Value" numFmtId="0">
      <sharedItems containsSemiMixedTypes="0" containsString="0" containsNumber="1" containsInteger="1" minValue="-55900" maxValue="89200"/>
    </cacheField>
    <cacheField name="Unadj Total Value" numFmtId="0">
      <sharedItems containsSemiMixedTypes="0" containsString="0" containsNumber="1" containsInteger="1" minValue="170000" maxValue="704900"/>
    </cacheField>
    <cacheField name="Unadj Ratio " numFmtId="9">
      <sharedItems containsSemiMixedTypes="0" containsString="0" containsNumber="1" minValue="0.69299999999999995" maxValue="1.6105084745762712"/>
    </cacheField>
    <cacheField name="Unadj Diff" numFmtId="9">
      <sharedItems containsSemiMixedTypes="0" containsString="0" containsNumber="1" minValue="-0.51303351475222003" maxValue="0.42544254425442546"/>
    </cacheField>
    <cacheField name="Nbhd Adj" numFmtId="0">
      <sharedItems containsSemiMixedTypes="0" containsString="0" containsNumber="1" minValue="0.99970000000000003" maxValue="0.99970000000000003"/>
    </cacheField>
    <cacheField name="Quality Adj" numFmtId="0">
      <sharedItems containsSemiMixedTypes="0" containsString="0" containsNumber="1" minValue="0.98050000000000004" maxValue="1.0088999999999999"/>
    </cacheField>
    <cacheField name="Condition Adj" numFmtId="0">
      <sharedItems containsSemiMixedTypes="0" containsString="0" containsNumber="1" minValue="0.99329999999999996" maxValue="1.1303000000000001"/>
    </cacheField>
    <cacheField name="Living Area Adj" numFmtId="0">
      <sharedItems containsSemiMixedTypes="0" containsString="0" containsNumber="1" minValue="0.94579999999999997" maxValue="1.1091"/>
    </cacheField>
    <cacheField name="Decade Adj" numFmtId="0">
      <sharedItems containsSemiMixedTypes="0" containsString="0" containsNumber="1" minValue="0.74960000000000004" maxValue="1.0606"/>
    </cacheField>
    <cacheField name="Det/Nbhd Adj" numFmtId="0">
      <sharedItems containsSemiMixedTypes="0" containsString="0" containsNumber="1" minValue="0.94971499999999998" maxValue="0.94971499999999998"/>
    </cacheField>
    <cacheField name="Res Adj " numFmtId="0">
      <sharedItems containsSemiMixedTypes="0" containsString="0" containsNumber="1" minValue="0.72088113164789325" maxValue="1.0977303818466639"/>
    </cacheField>
    <cacheField name="Adjusted Res" numFmtId="0">
      <sharedItems containsSemiMixedTypes="0" containsString="0" containsNumber="1" containsInteger="1" minValue="151100" maxValue="663500"/>
    </cacheField>
    <cacheField name="Adj Det " numFmtId="0">
      <sharedItems containsSemiMixedTypes="0" containsString="0" containsNumber="1" containsInteger="1" minValue="0" maxValue="67300"/>
    </cacheField>
    <cacheField name="Adjusted Impr Total" numFmtId="0">
      <sharedItems containsSemiMixedTypes="0" containsString="0" containsNumber="1" containsInteger="1" minValue="157400" maxValue="689000"/>
    </cacheField>
    <cacheField name="Adjusted Land Total" numFmtId="0">
      <sharedItems containsSemiMixedTypes="0" containsString="0" containsNumber="1" containsInteger="1" minValue="-53100" maxValue="84700"/>
    </cacheField>
    <cacheField name="Adjusted Total" numFmtId="0">
      <sharedItems containsSemiMixedTypes="0" containsString="0" containsNumber="1" containsInteger="1" minValue="192800" maxValue="736100"/>
    </cacheField>
    <cacheField name="Adjusted Imp Diff" numFmtId="9">
      <sharedItems containsSemiMixedTypes="0" containsString="0" containsNumber="1" minValue="-0.46188034188034188" maxValue="0.76391304347826083"/>
    </cacheField>
    <cacheField name="Adjusted Lnd Diff" numFmtId="9">
      <sharedItems containsSemiMixedTypes="0" containsString="0" containsNumber="1" minValue="-2.7818791946308723" maxValue="-0.25571177504393672"/>
    </cacheField>
    <cacheField name="Adjusted Total Difference" numFmtId="9">
      <sharedItems containsSemiMixedTypes="0" containsString="0" containsNumber="1" minValue="-0.44772271555428245" maxValue="0.48034803480348037"/>
    </cacheField>
    <cacheField name="Final Ratio" numFmtId="9">
      <sharedItems containsSemiMixedTypes="0" containsString="0" containsNumber="1" minValue="0.69053835912707495" maxValue="1.60605024187640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a Halliday" refreshedDate="45511.421093287034" createdVersion="8" refreshedVersion="8" minRefreshableVersion="3" recordCount="2282" xr:uid="{EADFB91F-D306-49AC-BB0D-4456D3C17E36}">
  <cacheSource type="worksheet">
    <worksheetSource name="Inventory"/>
  </cacheSource>
  <cacheFields count="73">
    <cacheField name="Year" numFmtId="0">
      <sharedItems containsSemiMixedTypes="0" containsString="0" containsNumber="1" containsInteger="1" minValue="2025" maxValue="2025"/>
    </cacheField>
    <cacheField name="Parcel" numFmtId="0">
      <sharedItems/>
    </cacheField>
    <cacheField name="LnAcres" numFmtId="0">
      <sharedItems containsSemiMixedTypes="0" containsString="0" containsNumber="1" minValue="-4.6051701859880909" maxValue="0.81977983149331135"/>
    </cacheField>
    <cacheField name="Acres" numFmtId="0">
      <sharedItems containsSemiMixedTypes="0" containsString="0" containsNumber="1" minValue="0.01" maxValue="2.27"/>
    </cacheField>
    <cacheField name="Sqft" numFmtId="0">
      <sharedItems containsString="0" containsBlank="1" containsNumber="1" containsInteger="1" minValue="540" maxValue="98800"/>
    </cacheField>
    <cacheField name="Cycle" numFmtId="0">
      <sharedItems/>
    </cacheField>
    <cacheField name="Type" numFmtId="0">
      <sharedItems/>
    </cacheField>
    <cacheField name="Nbhd" numFmtId="0">
      <sharedItems count="1">
        <s v="YC2"/>
      </sharedItems>
    </cacheField>
    <cacheField name="Use" numFmtId="0">
      <sharedItems/>
    </cacheField>
    <cacheField name="Subtype" numFmtId="0">
      <sharedItems/>
    </cacheField>
    <cacheField name="Style" numFmtId="0">
      <sharedItems/>
    </cacheField>
    <cacheField name="Qlty" numFmtId="0">
      <sharedItems/>
    </cacheField>
    <cacheField name="Cnd" numFmtId="0">
      <sharedItems/>
    </cacheField>
    <cacheField name="Decade" numFmtId="0">
      <sharedItems containsSemiMixedTypes="0" containsString="0" containsNumber="1" containsInteger="1" minValue="10" maxValue="150" count="15">
        <n v="10"/>
        <n v="20"/>
        <n v="30"/>
        <n v="40"/>
        <n v="50"/>
        <n v="60"/>
        <n v="70"/>
        <n v="80"/>
        <n v="90"/>
        <n v="100"/>
        <n v="110"/>
        <n v="120"/>
        <n v="130"/>
        <n v="140"/>
        <n v="150"/>
      </sharedItems>
    </cacheField>
    <cacheField name="Age" numFmtId="0">
      <sharedItems containsSemiMixedTypes="0" containsString="0" containsNumber="1" containsInteger="1" minValue="1" maxValue="146"/>
    </cacheField>
    <cacheField name="EffAge" numFmtId="0">
      <sharedItems containsSemiMixedTypes="0" containsString="0" containsNumber="1" containsInteger="1" minValue="1" maxValue="89"/>
    </cacheField>
    <cacheField name="YrBlt" numFmtId="0">
      <sharedItems containsSemiMixedTypes="0" containsString="0" containsNumber="1" containsInteger="1" minValue="1878" maxValue="2023"/>
    </cacheField>
    <cacheField name="EffYr" numFmtId="0">
      <sharedItems containsSemiMixedTypes="0" containsString="0" containsNumber="1" containsInteger="1" minValue="1935" maxValue="2023"/>
    </cacheField>
    <cacheField name="MainFn" numFmtId="0">
      <sharedItems containsSemiMixedTypes="0" containsString="0" containsNumber="1" containsInteger="1" minValue="360" maxValue="3991"/>
    </cacheField>
    <cacheField name="UpprFn" numFmtId="0">
      <sharedItems containsString="0" containsBlank="1" containsNumber="1" containsInteger="1" minValue="1" maxValue="2705"/>
    </cacheField>
    <cacheField name="Bsmt" numFmtId="0">
      <sharedItems containsString="0" containsBlank="1" containsNumber="1" containsInteger="1" minValue="60" maxValue="3545"/>
    </cacheField>
    <cacheField name="UnfinBsmt" numFmtId="0">
      <sharedItems containsSemiMixedTypes="0" containsString="0" containsNumber="1" containsInteger="1" minValue="0" maxValue="2647"/>
    </cacheField>
    <cacheField name="FnBsmt" numFmtId="0">
      <sharedItems containsString="0" containsBlank="1" containsNumber="1" containsInteger="1" minValue="0" maxValue="2655"/>
    </cacheField>
    <cacheField name="AddFn" numFmtId="0">
      <sharedItems containsString="0" containsBlank="1" containsNumber="1" containsInteger="1" minValue="120" maxValue="969"/>
    </cacheField>
    <cacheField name="Living Area" numFmtId="0">
      <sharedItems containsSemiMixedTypes="0" containsString="0" containsNumber="1" containsInteger="1" minValue="360" maxValue="5934"/>
    </cacheField>
    <cacheField name="LivArea Range" numFmtId="0">
      <sharedItems containsSemiMixedTypes="0" containsString="0" containsNumber="1" containsInteger="1" minValue="500" maxValue="5500"/>
    </cacheField>
    <cacheField name="Fixtures" numFmtId="0">
      <sharedItems containsSemiMixedTypes="0" containsString="0" containsNumber="1" containsInteger="1" minValue="5" maxValue="20"/>
    </cacheField>
    <cacheField name="AttGar" numFmtId="0">
      <sharedItems containsString="0" containsBlank="1" containsNumber="1" containsInteger="1" minValue="144" maxValue="1038"/>
    </cacheField>
    <cacheField name="BltinGar" numFmtId="0">
      <sharedItems containsString="0" containsBlank="1" containsNumber="1" containsInteger="1" minValue="100" maxValue="1216"/>
    </cacheField>
    <cacheField name="WdDeck" numFmtId="0">
      <sharedItems containsString="0" containsBlank="1" containsNumber="1" containsInteger="1" minValue="20" maxValue="1873"/>
    </cacheField>
    <cacheField name="Phy" numFmtId="0">
      <sharedItems containsString="0" containsBlank="1" containsNumber="1" containsInteger="1" minValue="90" maxValue="90"/>
    </cacheField>
    <cacheField name="Fun" numFmtId="0">
      <sharedItems containsNonDate="0" containsString="0" containsBlank="1"/>
    </cacheField>
    <cacheField name="Ecn" numFmtId="0">
      <sharedItems containsString="0" containsBlank="1" containsNumber="1" containsInteger="1" minValue="87" maxValue="200"/>
    </cacheField>
    <cacheField name="% Complete" numFmtId="0">
      <sharedItems containsString="0" containsBlank="1" containsNumber="1" containsInteger="1" minValue="40" maxValue="85"/>
    </cacheField>
    <cacheField name="Rcn" numFmtId="0">
      <sharedItems containsSemiMixedTypes="0" containsString="0" containsNumber="1" containsInteger="1" minValue="45959" maxValue="1592642"/>
    </cacheField>
    <cacheField name="Rcnld" numFmtId="0">
      <sharedItems containsSemiMixedTypes="0" containsString="0" containsNumber="1" containsInteger="1" minValue="27575" maxValue="1433378"/>
    </cacheField>
    <cacheField name="25Det" numFmtId="0">
      <sharedItems containsSemiMixedTypes="0" containsString="0" containsNumber="1" containsInteger="1" minValue="0" maxValue="175416"/>
    </cacheField>
    <cacheField name="24Final" numFmtId="0">
      <sharedItems containsSemiMixedTypes="0" containsString="0" containsNumber="1" containsInteger="1" minValue="74300" maxValue="1010300"/>
    </cacheField>
    <cacheField name="24Lnd" numFmtId="0">
      <sharedItems containsSemiMixedTypes="0" containsString="0" containsNumber="1" containsInteger="1" minValue="11100" maxValue="365950"/>
    </cacheField>
    <cacheField name="24Bldg" numFmtId="0">
      <sharedItems containsSemiMixedTypes="0" containsString="0" containsNumber="1" containsInteger="1" minValue="63200" maxValue="934400"/>
    </cacheField>
    <cacheField name="24Crop" numFmtId="0">
      <sharedItems containsSemiMixedTypes="0" containsString="0" containsNumber="1" containsInteger="1" minValue="0" maxValue="0"/>
    </cacheField>
    <cacheField name="Mdl Res Intercept" numFmtId="0">
      <sharedItems containsSemiMixedTypes="0" containsString="0" containsNumber="1" containsInteger="1" minValue="0" maxValue="0"/>
    </cacheField>
    <cacheField name="Mdl Land Intercept" numFmtId="0">
      <sharedItems containsSemiMixedTypes="0" containsString="0" containsNumber="1" minValue="89850.625589999996" maxValue="89850.625589999996"/>
    </cacheField>
    <cacheField name="Mdl LnAcres" numFmtId="0">
      <sharedItems containsSemiMixedTypes="0" containsString="0" containsNumber="1" minValue="-145774.89265936252" maxValue="25949.815558142502"/>
    </cacheField>
    <cacheField name="Mdl Qlty" numFmtId="0">
      <sharedItems containsSemiMixedTypes="0" containsString="0" containsNumber="1" minValue="-71917.896887580995" maxValue="395688.66519166698"/>
    </cacheField>
    <cacheField name="Mdl Condition" numFmtId="0">
      <sharedItems containsSemiMixedTypes="0" containsString="0" containsNumber="1" minValue="39013.223933000001" maxValue="354070.39217000001"/>
    </cacheField>
    <cacheField name="Mdl EffAge" numFmtId="0">
      <sharedItems containsSemiMixedTypes="0" containsString="0" containsNumber="1" minValue="-19851.058444500002" maxValue="-223.04560050000001"/>
    </cacheField>
    <cacheField name="Mdl MainFn" numFmtId="0">
      <sharedItems containsSemiMixedTypes="0" containsString="0" containsNumber="1" minValue="17787.12115572" maxValue="197190.00147910701"/>
    </cacheField>
    <cacheField name="Mdl UpprFn" numFmtId="0">
      <sharedItems containsSemiMixedTypes="0" containsString="0" containsNumber="1" minValue="0" maxValue="121147.27383900499"/>
    </cacheField>
    <cacheField name="Mdl AddFn" numFmtId="0">
      <sharedItems containsSemiMixedTypes="0" containsString="0" containsNumber="1" minValue="0" maxValue="63076.736248419009"/>
    </cacheField>
    <cacheField name="Mdl Bsmt" numFmtId="0">
      <sharedItems containsSemiMixedTypes="0" containsString="0" containsNumber="1" minValue="0" maxValue="103095.31865061499"/>
    </cacheField>
    <cacheField name="Mdl Fixtures" numFmtId="0">
      <sharedItems containsSemiMixedTypes="0" containsString="0" containsNumber="1" minValue="18960.110526" maxValue="75840.442104000002"/>
    </cacheField>
    <cacheField name="Mdl WdDeck" numFmtId="0">
      <sharedItems containsSemiMixedTypes="0" containsString="0" containsNumber="1" minValue="0" maxValue="62362.500111948008"/>
    </cacheField>
    <cacheField name="Unadj Det Value" numFmtId="0">
      <sharedItems containsSemiMixedTypes="0" containsString="0" containsNumber="1" containsInteger="1" minValue="0" maxValue="175400"/>
    </cacheField>
    <cacheField name="Unadj Res Value" numFmtId="0">
      <sharedItems containsSemiMixedTypes="0" containsString="0" containsNumber="1" containsInteger="1" minValue="66800" maxValue="955200"/>
    </cacheField>
    <cacheField name="Unadj Land Value" numFmtId="0">
      <sharedItems containsSemiMixedTypes="0" containsString="0" containsNumber="1" containsInteger="1" minValue="-55900" maxValue="115800"/>
    </cacheField>
    <cacheField name="Unadj Total Value" numFmtId="0">
      <sharedItems containsSemiMixedTypes="0" containsString="0" containsNumber="1" containsInteger="1" minValue="51600" maxValue="1010000"/>
    </cacheField>
    <cacheField name="Unadj Diff" numFmtId="9">
      <sharedItems containsSemiMixedTypes="0" containsString="0" containsNumber="1" minValue="-0.60238545788175923" maxValue="2.5298053527980535"/>
    </cacheField>
    <cacheField name="Nbhd Adj" numFmtId="0">
      <sharedItems containsSemiMixedTypes="0" containsString="0" containsNumber="1" minValue="0.99970000000000003" maxValue="0.99970000000000003"/>
    </cacheField>
    <cacheField name="Quality Adj" numFmtId="0">
      <sharedItems containsSemiMixedTypes="0" containsString="0" containsNumber="1" minValue="0.98050000000000004" maxValue="1.0088999999999999"/>
    </cacheField>
    <cacheField name="Condition Adj" numFmtId="0">
      <sharedItems containsSemiMixedTypes="0" containsString="0" containsNumber="1" minValue="0.99329999999999996" maxValue="1.1303000000000001"/>
    </cacheField>
    <cacheField name="Living Area Adj" numFmtId="0">
      <sharedItems containsSemiMixedTypes="0" containsString="0" containsNumber="1" minValue="0.94579999999999997" maxValue="1.1091"/>
    </cacheField>
    <cacheField name="Decade Adj" numFmtId="0">
      <sharedItems containsSemiMixedTypes="0" containsString="0" containsNumber="1" minValue="0.74960000000000004" maxValue="1.0606"/>
    </cacheField>
    <cacheField name="Det/Nbhd Adj" numFmtId="0">
      <sharedItems containsSemiMixedTypes="0" containsString="0" containsNumber="1" minValue="0.94971499999999998" maxValue="0.94971499999999998"/>
    </cacheField>
    <cacheField name="Res Adj " numFmtId="0">
      <sharedItems containsSemiMixedTypes="0" containsString="0" containsNumber="1" minValue="0.68894029883042252" maxValue="1.1118804794915296"/>
    </cacheField>
    <cacheField name="Adjusted Res" numFmtId="0">
      <sharedItems containsSemiMixedTypes="0" containsString="0" containsNumber="1" containsInteger="1" minValue="66800" maxValue="955200"/>
    </cacheField>
    <cacheField name="Adj Det " numFmtId="0">
      <sharedItems containsSemiMixedTypes="0" containsString="0" containsNumber="1" containsInteger="1" minValue="0" maxValue="166600"/>
    </cacheField>
    <cacheField name="Adjusted Impr Total" numFmtId="0">
      <sharedItems containsSemiMixedTypes="0" containsString="0" containsNumber="1" containsInteger="1" minValue="66800" maxValue="955200"/>
    </cacheField>
    <cacheField name="Adjusted Land Total" numFmtId="0">
      <sharedItems containsSemiMixedTypes="0" containsString="0" containsNumber="1" containsInteger="1" minValue="-53100" maxValue="110000"/>
    </cacheField>
    <cacheField name="Adjusted Total" numFmtId="0">
      <sharedItems containsSemiMixedTypes="0" containsString="0" containsNumber="1" containsInteger="1" minValue="53300" maxValue="1007200"/>
    </cacheField>
    <cacheField name="Adjusted Imp Diff" numFmtId="9">
      <sharedItems containsSemiMixedTypes="0" containsString="0" containsNumber="1" minValue="-0.62618914381645219" maxValue="3.8764547896150403"/>
    </cacheField>
    <cacheField name="Adjusted Lnd Diff" numFmtId="9">
      <sharedItems containsSemiMixedTypes="0" containsString="0" containsNumber="1" minValue="-5.7837837837837842" maxValue="-0.14492753623188406"/>
    </cacheField>
    <cacheField name="Adjusted Total Difference" numFmtId="9">
      <sharedItems containsSemiMixedTypes="0" containsString="0" containsNumber="1" minValue="-0.60972532828717241" maxValue="0.9853515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7">
  <r>
    <n v="2025"/>
    <n v="18132323018"/>
    <n v="-2.0402208285265546"/>
    <n v="0.13"/>
    <n v="5500"/>
    <n v="6"/>
    <s v="RES"/>
    <n v="3033"/>
    <s v="YC2"/>
    <s v="R1"/>
    <n v="11"/>
    <n v="259"/>
    <s v="TD"/>
    <x v="0"/>
    <s v="EX"/>
    <x v="0"/>
    <n v="2023"/>
    <n v="2023"/>
    <n v="1"/>
    <n v="1"/>
    <n v="1"/>
    <n v="1288"/>
    <n v="0"/>
    <n v="0"/>
    <n v="0"/>
    <n v="0"/>
    <n v="0"/>
    <n v="1288"/>
    <n v="1500"/>
    <n v="0"/>
    <m/>
    <s v="MH"/>
    <s v="E"/>
    <m/>
    <n v="0"/>
    <n v="0"/>
    <n v="0"/>
    <n v="1"/>
    <n v="0"/>
    <n v="8"/>
    <n v="0"/>
    <n v="0"/>
    <n v="0"/>
    <n v="0"/>
    <n v="0"/>
    <n v="0"/>
    <n v="100"/>
    <n v="100"/>
    <n v="176666"/>
    <n v="139566"/>
    <n v="278"/>
    <n v="278"/>
    <n v="0"/>
    <n v="0"/>
    <d v="2023-03-29T00:00:00"/>
    <s v="E039775"/>
    <n v="295000"/>
    <n v="295000"/>
    <s v="SWD"/>
    <n v="30"/>
    <s v="N"/>
    <s v="Y"/>
    <n v="333300"/>
    <n v="43400"/>
    <n v="289900"/>
    <n v="0"/>
    <n v="1.1298305084745763"/>
    <n v="475032.25985725992"/>
    <n v="494647.43850254582"/>
    <n v="-19615.178646460001"/>
    <n v="0"/>
    <n v="89850.625589999996"/>
    <n v="-64582.406353792743"/>
    <n v="21557.329055999999"/>
    <n v="354070.39217000001"/>
    <n v="-223.04560050000001"/>
    <n v="63638.366801576005"/>
    <n v="0"/>
    <n v="0"/>
    <n v="0"/>
    <n v="30336.176841600001"/>
    <n v="0"/>
    <n v="475032.2598584232"/>
    <n v="0"/>
    <n v="449800"/>
    <n v="25300"/>
    <n v="475100"/>
    <n v="1.6105084745762712"/>
    <n v="0.42544254425442546"/>
    <n v="0.99970000000000003"/>
    <n v="1.0067999999999999"/>
    <n v="1.1303000000000001"/>
    <n v="1.0157"/>
    <n v="1"/>
    <n v="0.94971499999999998"/>
    <n v="1.0977303818466639"/>
    <n v="469400"/>
    <n v="0"/>
    <n v="469400"/>
    <n v="24000"/>
    <n v="493400"/>
    <n v="0.61917902725077612"/>
    <n v="-0.44700460829493088"/>
    <n v="0.48034803480348037"/>
    <n v="1.6060502418764069"/>
  </r>
  <r>
    <n v="2025"/>
    <n v="18132244421"/>
    <n v="-1.7147984280919266"/>
    <n v="0.18"/>
    <n v="7800"/>
    <n v="6"/>
    <s v="RES"/>
    <n v="3092"/>
    <s v="YC2"/>
    <s v="R1"/>
    <n v="11"/>
    <n v="259"/>
    <s v="CO"/>
    <x v="1"/>
    <s v="EX"/>
    <x v="0"/>
    <n v="2019"/>
    <n v="2019"/>
    <n v="5"/>
    <n v="5"/>
    <n v="2"/>
    <n v="1544"/>
    <n v="304"/>
    <n v="0"/>
    <n v="512"/>
    <n v="0"/>
    <n v="512"/>
    <n v="2360"/>
    <n v="2500"/>
    <n v="0"/>
    <m/>
    <s v="FD"/>
    <s v="G"/>
    <s v="Y"/>
    <n v="0"/>
    <n v="0"/>
    <n v="1"/>
    <n v="0"/>
    <n v="1"/>
    <n v="12"/>
    <n v="0"/>
    <n v="0"/>
    <n v="0"/>
    <n v="0"/>
    <n v="289"/>
    <n v="289"/>
    <n v="100"/>
    <n v="100"/>
    <n v="407755"/>
    <n v="399600"/>
    <n v="935"/>
    <n v="365"/>
    <n v="365"/>
    <n v="205"/>
    <d v="2021-06-10T00:00:00"/>
    <s v="E031683"/>
    <n v="550000"/>
    <n v="539917"/>
    <s v="SWD"/>
    <n v="30"/>
    <s v="N"/>
    <s v="Y"/>
    <n v="442300"/>
    <n v="54700"/>
    <n v="387600"/>
    <n v="10083"/>
    <n v="0.80418181818181822"/>
    <n v="533966.46176708944"/>
    <n v="582941.79699986672"/>
    <n v="-48975.335239570006"/>
    <n v="0"/>
    <n v="89850.625589999996"/>
    <n v="-54281.285314520763"/>
    <n v="44121.038090000002"/>
    <n v="354070.39217000001"/>
    <n v="-1115.2280025"/>
    <n v="76286.986290087996"/>
    <n v="13615.072549744"/>
    <n v="0"/>
    <n v="14889.930366463999"/>
    <n v="45504.265262400004"/>
    <n v="0"/>
    <n v="533966.46176210523"/>
    <n v="10100"/>
    <n v="498400"/>
    <n v="35600"/>
    <n v="544100"/>
    <n v="0.9892727272727273"/>
    <n v="0.23016052453086142"/>
    <n v="0.99970000000000003"/>
    <n v="0.98050000000000004"/>
    <n v="1.1303000000000001"/>
    <n v="0.98919999999999997"/>
    <n v="1"/>
    <n v="0.94971499999999998"/>
    <n v="1.0411630109849137"/>
    <n v="547400"/>
    <n v="9600"/>
    <n v="557000"/>
    <n v="33800"/>
    <n v="590800"/>
    <n v="0.43704850361197112"/>
    <n v="-0.38208409506398539"/>
    <n v="0.33574496947773003"/>
    <n v="0.98513575410987275"/>
  </r>
  <r>
    <n v="2025"/>
    <n v="18131544476"/>
    <n v="-3.912023005428146"/>
    <n v="0.02"/>
    <n v="1015"/>
    <n v="6"/>
    <s v="CON"/>
    <n v="3032"/>
    <s v="YC2"/>
    <s v="R3"/>
    <n v="11"/>
    <n v="262"/>
    <s v="CE"/>
    <x v="2"/>
    <s v="GD"/>
    <x v="1"/>
    <n v="2001"/>
    <n v="2001"/>
    <n v="23"/>
    <n v="23"/>
    <n v="2"/>
    <n v="581"/>
    <n v="810"/>
    <n v="0"/>
    <n v="0"/>
    <n v="0"/>
    <n v="0"/>
    <n v="1391"/>
    <n v="1500"/>
    <n v="2"/>
    <m/>
    <s v="FD"/>
    <s v="G"/>
    <s v="Y"/>
    <n v="0"/>
    <n v="0"/>
    <n v="0"/>
    <n v="1"/>
    <n v="1"/>
    <n v="10"/>
    <n v="0"/>
    <n v="434"/>
    <n v="0"/>
    <n v="0"/>
    <n v="0"/>
    <n v="0"/>
    <n v="100"/>
    <n v="100"/>
    <n v="190155"/>
    <n v="176844"/>
    <n v="777"/>
    <n v="365"/>
    <n v="365"/>
    <n v="47"/>
    <d v="2021-11-15T00:00:00"/>
    <s v="E034127"/>
    <n v="269000"/>
    <n v="269000"/>
    <s v="SWD"/>
    <n v="30"/>
    <s v="N"/>
    <s v="Y"/>
    <n v="275600"/>
    <n v="41300"/>
    <n v="234300"/>
    <n v="0"/>
    <n v="1.02453531598513"/>
    <n v="263509.78831254382"/>
    <n v="291357.09291109635"/>
    <n v="-27847.304601370004"/>
    <n v="0"/>
    <n v="89850.625589999996"/>
    <n v="-123833.58500677992"/>
    <n v="29814.093161000001"/>
    <n v="197752.34721000001"/>
    <n v="-5130.0488114999998"/>
    <n v="28706.437198537002"/>
    <n v="36277.002517410001"/>
    <n v="0"/>
    <n v="0"/>
    <n v="37920.221052000001"/>
    <n v="0"/>
    <n v="263509.78830929706"/>
    <n v="0"/>
    <n v="297500"/>
    <n v="-34000"/>
    <n v="263500"/>
    <n v="0.9795539033457249"/>
    <n v="-4.3904208998548619E-2"/>
    <n v="0.99970000000000003"/>
    <n v="1.0088999999999999"/>
    <n v="0.99650000000000005"/>
    <n v="1.0157"/>
    <n v="0.97319999999999995"/>
    <n v="0.94971499999999998"/>
    <n v="0.94381369585181141"/>
    <n v="325300"/>
    <n v="0"/>
    <n v="325300"/>
    <n v="-32300"/>
    <n v="293000"/>
    <n v="0.38839095177123345"/>
    <n v="-1.7820823244552058"/>
    <n v="6.3134978229317851E-2"/>
    <n v="0.98569775241126389"/>
  </r>
  <r>
    <n v="2025"/>
    <n v="18131543430"/>
    <n v="-3.2188758248682006"/>
    <n v="0.04"/>
    <n v="1460"/>
    <n v="6"/>
    <s v="CON"/>
    <n v="3032"/>
    <s v="YC2"/>
    <s v="R3"/>
    <n v="11"/>
    <n v="262"/>
    <s v="CE"/>
    <x v="2"/>
    <s v="GD"/>
    <x v="1"/>
    <n v="1995"/>
    <n v="1995"/>
    <n v="29"/>
    <n v="29"/>
    <n v="1"/>
    <n v="1460"/>
    <n v="0"/>
    <n v="0"/>
    <n v="0"/>
    <n v="0"/>
    <n v="0"/>
    <n v="1460"/>
    <n v="1500"/>
    <n v="0"/>
    <m/>
    <s v="FD"/>
    <s v="E"/>
    <s v="Y"/>
    <n v="0"/>
    <n v="1"/>
    <n v="0"/>
    <n v="0"/>
    <n v="0"/>
    <n v="10"/>
    <n v="0"/>
    <n v="0"/>
    <n v="0"/>
    <n v="0"/>
    <n v="185"/>
    <n v="0"/>
    <n v="100"/>
    <n v="100"/>
    <n v="246360"/>
    <n v="221724"/>
    <n v="160"/>
    <n v="160"/>
    <n v="0"/>
    <n v="0"/>
    <d v="2023-07-25T00:00:00"/>
    <s v="E040962"/>
    <n v="325000"/>
    <n v="303432"/>
    <s v="SWD"/>
    <n v="30"/>
    <s v="N"/>
    <s v="Y"/>
    <n v="285400"/>
    <n v="42800"/>
    <n v="242600"/>
    <n v="21568"/>
    <n v="0.87815384615384617"/>
    <n v="307824.03381450876"/>
    <n v="319113.34526503301"/>
    <n v="-11289.311451200001"/>
    <n v="0"/>
    <n v="89850.625589999996"/>
    <n v="-101892.2773541973"/>
    <n v="29814.093161000001"/>
    <n v="197752.34721000001"/>
    <n v="-6468.3224145000004"/>
    <n v="72136.65802042"/>
    <n v="0"/>
    <n v="0"/>
    <n v="0"/>
    <n v="37920.221052000001"/>
    <n v="0"/>
    <n v="307824.03381352272"/>
    <n v="21600"/>
    <n v="319900"/>
    <n v="-12000"/>
    <n v="329500"/>
    <n v="1.0138461538461538"/>
    <n v="0.15451997196916609"/>
    <n v="0.99970000000000003"/>
    <n v="1.0088999999999999"/>
    <n v="0.99650000000000005"/>
    <n v="1.0157"/>
    <n v="0.97319999999999995"/>
    <n v="0.94971499999999998"/>
    <n v="0.94381369585181141"/>
    <n v="331200"/>
    <n v="20500"/>
    <n v="351700"/>
    <n v="-11400"/>
    <n v="340300"/>
    <n v="0.44971145919208572"/>
    <n v="-1.266355140186916"/>
    <n v="0.19236159775753328"/>
    <n v="1.0123405801501539"/>
  </r>
  <r>
    <n v="2025"/>
    <n v="18131543441"/>
    <n v="-3.5065578973199818"/>
    <n v="0.03"/>
    <n v="1464"/>
    <n v="6"/>
    <s v="CON"/>
    <n v="3032"/>
    <s v="YC2"/>
    <s v="R3"/>
    <n v="11"/>
    <n v="262"/>
    <s v="CE"/>
    <x v="0"/>
    <s v="GD"/>
    <x v="1"/>
    <n v="1995"/>
    <n v="1995"/>
    <n v="29"/>
    <n v="29"/>
    <n v="1"/>
    <n v="1464"/>
    <n v="0"/>
    <n v="0"/>
    <n v="0"/>
    <n v="0"/>
    <n v="0"/>
    <n v="1464"/>
    <n v="1500"/>
    <n v="0"/>
    <m/>
    <s v="HP"/>
    <s v="G"/>
    <m/>
    <n v="0"/>
    <n v="0"/>
    <n v="1"/>
    <n v="0"/>
    <n v="0"/>
    <n v="8"/>
    <n v="0"/>
    <n v="0"/>
    <n v="0"/>
    <n v="0"/>
    <n v="308"/>
    <n v="0"/>
    <n v="100"/>
    <n v="100"/>
    <n v="179444"/>
    <n v="161500"/>
    <n v="658"/>
    <n v="365"/>
    <n v="293"/>
    <n v="0"/>
    <d v="2022-03-14T00:00:00"/>
    <s v="E035565"/>
    <n v="280000"/>
    <n v="258432"/>
    <s v="SWD"/>
    <n v="30"/>
    <s v="N"/>
    <s v="Y"/>
    <n v="284300"/>
    <n v="42600"/>
    <n v="241700"/>
    <n v="21568"/>
    <n v="1.0153571428571428"/>
    <n v="271974.533717821"/>
    <n v="294363.70617021847"/>
    <n v="-22389.172454014002"/>
    <n v="0"/>
    <n v="89850.625589999996"/>
    <n v="-110998.74281323297"/>
    <n v="21557.329055999999"/>
    <n v="197752.34721000001"/>
    <n v="-6468.3224145000004"/>
    <n v="72334.292699928003"/>
    <n v="0"/>
    <n v="0"/>
    <n v="0"/>
    <n v="30336.176841600001"/>
    <n v="0"/>
    <n v="271974.533715781"/>
    <n v="21600"/>
    <n v="293100"/>
    <n v="-21100"/>
    <n v="293600"/>
    <n v="1.0485714285714285"/>
    <n v="3.2711924023918398E-2"/>
    <n v="0.99970000000000003"/>
    <n v="1.0067999999999999"/>
    <n v="0.99650000000000005"/>
    <n v="1.0157"/>
    <n v="0.97319999999999995"/>
    <n v="0.94971499999999998"/>
    <n v="0.94184917135851298"/>
    <n v="315500"/>
    <n v="20500"/>
    <n v="336000"/>
    <n v="-20100"/>
    <n v="315900"/>
    <n v="0.39015308233347124"/>
    <n v="-1.471830985915493"/>
    <n v="0.11115019345761519"/>
    <n v="1.0482529555213784"/>
  </r>
  <r>
    <n v="2025"/>
    <n v="18131543438"/>
    <n v="-3.5065578973199818"/>
    <n v="0.03"/>
    <n v="1446"/>
    <n v="6"/>
    <s v="CON"/>
    <n v="3032"/>
    <s v="YC2"/>
    <s v="R3"/>
    <n v="11"/>
    <n v="262"/>
    <s v="CE"/>
    <x v="1"/>
    <s v="AV"/>
    <x v="1"/>
    <n v="1995"/>
    <n v="1995"/>
    <n v="29"/>
    <n v="29"/>
    <n v="1"/>
    <n v="1446"/>
    <n v="0"/>
    <n v="0"/>
    <n v="0"/>
    <n v="0"/>
    <n v="0"/>
    <n v="1446"/>
    <n v="1500"/>
    <n v="0"/>
    <m/>
    <s v="FD"/>
    <s v="G"/>
    <s v="Y"/>
    <n v="0"/>
    <n v="1"/>
    <n v="0"/>
    <n v="0"/>
    <n v="1"/>
    <n v="12"/>
    <n v="0"/>
    <n v="0"/>
    <n v="0"/>
    <n v="0"/>
    <n v="243"/>
    <n v="0"/>
    <n v="100"/>
    <n v="100"/>
    <n v="233452"/>
    <n v="205438"/>
    <n v="770"/>
    <n v="365"/>
    <n v="365"/>
    <n v="40"/>
    <d v="2021-11-22T00:00:00"/>
    <s v="E034206"/>
    <n v="270000"/>
    <n v="248705"/>
    <s v="SWD"/>
    <n v="30"/>
    <s v="N"/>
    <s v="Y"/>
    <n v="283800"/>
    <n v="42600"/>
    <n v="241200"/>
    <n v="21295"/>
    <n v="1.0511111111111111"/>
    <n v="267014.75093692838"/>
    <n v="293926.00354535709"/>
    <n v="-26911.252611070006"/>
    <n v="0"/>
    <n v="89850.625589999996"/>
    <n v="-110998.74281323297"/>
    <n v="44121.038090000002"/>
    <n v="160472.20319"/>
    <n v="-6468.3224145000004"/>
    <n v="71444.936642141998"/>
    <n v="0"/>
    <n v="0"/>
    <n v="0"/>
    <n v="45504.265262400004"/>
    <n v="0"/>
    <n v="267014.75093573902"/>
    <n v="21300"/>
    <n v="288200"/>
    <n v="-21100"/>
    <n v="288400"/>
    <n v="1.0681481481481481"/>
    <n v="1.620859760394644E-2"/>
    <n v="0.99970000000000003"/>
    <n v="0.98050000000000004"/>
    <n v="0.99729999999999996"/>
    <n v="1.0157"/>
    <n v="0.97319999999999995"/>
    <n v="0.94971499999999998"/>
    <n v="0.91798221478115993"/>
    <n v="315100"/>
    <n v="20200"/>
    <n v="335300"/>
    <n v="-20100"/>
    <n v="315200"/>
    <n v="0.39013266998341622"/>
    <n v="-1.471830985915493"/>
    <n v="0.11064129668780831"/>
    <n v="1.0677361014404816"/>
  </r>
  <r>
    <n v="2025"/>
    <n v="18131543422"/>
    <n v="-3.5065578973199818"/>
    <n v="0.03"/>
    <n v="1382"/>
    <n v="6"/>
    <s v="CON"/>
    <n v="3032"/>
    <s v="YC2"/>
    <s v="R3"/>
    <n v="11"/>
    <n v="262"/>
    <s v="CE"/>
    <x v="0"/>
    <s v="AV"/>
    <x v="2"/>
    <n v="1992"/>
    <n v="1992"/>
    <n v="32"/>
    <n v="32"/>
    <n v="1"/>
    <n v="1471"/>
    <n v="0"/>
    <n v="0"/>
    <n v="0"/>
    <n v="0"/>
    <n v="0"/>
    <n v="1471"/>
    <n v="1500"/>
    <n v="0"/>
    <m/>
    <s v="FD"/>
    <s v="E"/>
    <s v="Y"/>
    <n v="0"/>
    <n v="0"/>
    <n v="0"/>
    <n v="0"/>
    <n v="0"/>
    <n v="11"/>
    <n v="0"/>
    <n v="0"/>
    <n v="0"/>
    <n v="0"/>
    <n v="394"/>
    <n v="0"/>
    <n v="100"/>
    <n v="100"/>
    <n v="171304"/>
    <n v="154174"/>
    <n v="854"/>
    <n v="365"/>
    <n v="365"/>
    <n v="124"/>
    <d v="2021-08-30T00:00:00"/>
    <s v="E032956"/>
    <n v="275000"/>
    <n v="254251"/>
    <s v="SWD"/>
    <n v="30"/>
    <s v="N"/>
    <s v="Y"/>
    <n v="285100"/>
    <n v="42800"/>
    <n v="242300"/>
    <n v="20749"/>
    <n v="1.0367272727272727"/>
    <n v="229992.47586149751"/>
    <n v="268136.35235141276"/>
    <n v="-38143.876494670003"/>
    <n v="0"/>
    <n v="89850.625589999996"/>
    <n v="-110998.74281323297"/>
    <n v="21557.329055999999"/>
    <n v="160472.20319"/>
    <n v="-7137.4592160000002"/>
    <n v="72680.153389066996"/>
    <n v="0"/>
    <n v="0"/>
    <n v="0"/>
    <n v="41712.243157199999"/>
    <n v="0"/>
    <n v="229992.47585836402"/>
    <n v="20700"/>
    <n v="251100"/>
    <n v="-21100"/>
    <n v="250700"/>
    <n v="0.91163636363636369"/>
    <n v="-0.12065941774815854"/>
    <n v="0.99970000000000003"/>
    <n v="1.0067999999999999"/>
    <n v="0.99729999999999996"/>
    <n v="1.0157"/>
    <n v="1.0157"/>
    <n v="0.94971499999999998"/>
    <n v="0.9837692152700912"/>
    <n v="289300"/>
    <n v="19700"/>
    <n v="309000"/>
    <n v="-20100"/>
    <n v="288900"/>
    <n v="0.27527858027238961"/>
    <n v="-1.469626168224299"/>
    <n v="1.3328656611715188E-2"/>
    <n v="0.91184044911029094"/>
  </r>
  <r>
    <n v="2025"/>
    <n v="18131543415"/>
    <n v="-3.5065578973199818"/>
    <n v="0.03"/>
    <n v="1469"/>
    <n v="6"/>
    <s v="CON"/>
    <n v="3032"/>
    <s v="YC2"/>
    <s v="R3"/>
    <n v="11"/>
    <n v="262"/>
    <s v="CE"/>
    <x v="0"/>
    <s v="GD"/>
    <x v="2"/>
    <n v="1992"/>
    <n v="1992"/>
    <n v="32"/>
    <n v="32"/>
    <n v="1"/>
    <n v="1288"/>
    <n v="0"/>
    <n v="0"/>
    <n v="0"/>
    <n v="0"/>
    <n v="0"/>
    <n v="1288"/>
    <n v="1500"/>
    <n v="0"/>
    <m/>
    <s v="FD"/>
    <s v="E"/>
    <s v="Y"/>
    <n v="0"/>
    <n v="0"/>
    <n v="0"/>
    <n v="0"/>
    <n v="0"/>
    <n v="8"/>
    <n v="0"/>
    <n v="0"/>
    <n v="0"/>
    <n v="0"/>
    <n v="344"/>
    <n v="0"/>
    <n v="100"/>
    <n v="100"/>
    <n v="149317"/>
    <n v="134385"/>
    <n v="1032"/>
    <n v="365"/>
    <n v="365"/>
    <n v="302"/>
    <d v="2021-03-05T00:00:00"/>
    <s v="E030377"/>
    <n v="240000"/>
    <n v="219251"/>
    <s v="SWD"/>
    <n v="30"/>
    <s v="N"/>
    <s v="Y"/>
    <n v="250500"/>
    <n v="37600"/>
    <n v="212900"/>
    <n v="20749"/>
    <n v="1.04375"/>
    <n v="223052.3020888184"/>
    <n v="284998.64347045531"/>
    <n v="-61946.341390870002"/>
    <n v="0"/>
    <n v="89850.625589999996"/>
    <n v="-110998.74281323297"/>
    <n v="21557.329055999999"/>
    <n v="197752.34721000001"/>
    <n v="-7137.4592160000002"/>
    <n v="63638.366801576005"/>
    <n v="0"/>
    <n v="0"/>
    <n v="0"/>
    <n v="30336.176841600001"/>
    <n v="0"/>
    <n v="223052.30207907307"/>
    <n v="20700"/>
    <n v="244200"/>
    <n v="-21100"/>
    <n v="243800"/>
    <n v="1.0158333333333334"/>
    <n v="-2.6746506986027943E-2"/>
    <n v="0.99970000000000003"/>
    <n v="1.0067999999999999"/>
    <n v="0.99650000000000005"/>
    <n v="1.0157"/>
    <n v="1.0157"/>
    <n v="0.94971499999999998"/>
    <n v="0.98298006920349545"/>
    <n v="306100"/>
    <n v="19700"/>
    <n v="325800"/>
    <n v="-20100"/>
    <n v="305700"/>
    <n v="0.53029591357444805"/>
    <n v="-1.5345744680851063"/>
    <n v="0.22035928143712574"/>
    <n v="1.0156402442047083"/>
  </r>
  <r>
    <n v="2025"/>
    <n v="18131543422"/>
    <n v="-3.5065578973199818"/>
    <n v="0.03"/>
    <n v="1382"/>
    <n v="6"/>
    <s v="CON"/>
    <n v="3032"/>
    <s v="YC2"/>
    <s v="R3"/>
    <n v="11"/>
    <n v="262"/>
    <s v="CE"/>
    <x v="0"/>
    <s v="GD"/>
    <x v="2"/>
    <n v="1992"/>
    <n v="1992"/>
    <n v="32"/>
    <n v="32"/>
    <n v="1"/>
    <n v="1471"/>
    <n v="0"/>
    <n v="0"/>
    <n v="0"/>
    <n v="0"/>
    <n v="0"/>
    <n v="1471"/>
    <n v="1500"/>
    <n v="0"/>
    <m/>
    <s v="FD"/>
    <s v="E"/>
    <s v="Y"/>
    <n v="0"/>
    <n v="0"/>
    <n v="0"/>
    <n v="0"/>
    <n v="0"/>
    <n v="11"/>
    <n v="0"/>
    <n v="0"/>
    <n v="0"/>
    <n v="0"/>
    <n v="394"/>
    <n v="0"/>
    <n v="100"/>
    <n v="100"/>
    <n v="181483"/>
    <n v="154261"/>
    <n v="734"/>
    <n v="365"/>
    <n v="365"/>
    <n v="4"/>
    <d v="2021-12-28T00:00:00"/>
    <s v="E034835"/>
    <n v="270000"/>
    <n v="249251"/>
    <s v="SWD"/>
    <n v="30"/>
    <s v="N"/>
    <s v="Y"/>
    <n v="285100"/>
    <n v="42800"/>
    <n v="242300"/>
    <n v="20749"/>
    <n v="1.0559259259259259"/>
    <n v="283319.22542866512"/>
    <n v="305416.49637359951"/>
    <n v="-22097.270946670003"/>
    <n v="0"/>
    <n v="89850.625589999996"/>
    <n v="-110998.74281323297"/>
    <n v="21557.329055999999"/>
    <n v="197752.34721000001"/>
    <n v="-7137.4592160000002"/>
    <n v="72680.153389066996"/>
    <n v="0"/>
    <n v="0"/>
    <n v="0"/>
    <n v="41712.243157199999"/>
    <n v="0"/>
    <n v="283319.22542636405"/>
    <n v="20700"/>
    <n v="304500"/>
    <n v="-21100"/>
    <n v="304100"/>
    <n v="1.1262962962962964"/>
    <n v="6.6643283058575933E-2"/>
    <n v="0.99970000000000003"/>
    <n v="1.0067999999999999"/>
    <n v="0.99650000000000005"/>
    <n v="1.0157"/>
    <n v="1.0157"/>
    <n v="0.94971499999999998"/>
    <n v="0.98298006920349545"/>
    <n v="326600"/>
    <n v="19700"/>
    <n v="346300"/>
    <n v="-20100"/>
    <n v="326200"/>
    <n v="0.42921997523730915"/>
    <n v="-1.469626168224299"/>
    <n v="0.14415994387934059"/>
    <n v="1.1263064039012223"/>
  </r>
  <r>
    <n v="2025"/>
    <n v="18132211438"/>
    <n v="-2.4079456086518722"/>
    <n v="0.09"/>
    <n v="3726"/>
    <n v="6"/>
    <s v="CON"/>
    <n v="3032"/>
    <s v="YC2"/>
    <s v="R1"/>
    <n v="11"/>
    <n v="262"/>
    <s v="CE"/>
    <x v="1"/>
    <s v="GD"/>
    <x v="2"/>
    <n v="1989"/>
    <n v="1989"/>
    <n v="35"/>
    <n v="35"/>
    <n v="1"/>
    <n v="1292"/>
    <n v="0"/>
    <n v="0"/>
    <n v="588"/>
    <n v="0"/>
    <n v="588"/>
    <n v="1880"/>
    <n v="2000"/>
    <n v="2"/>
    <s v="B"/>
    <s v="FD"/>
    <s v="E"/>
    <s v="Y"/>
    <n v="0"/>
    <n v="0"/>
    <n v="1"/>
    <n v="1"/>
    <n v="0"/>
    <n v="8"/>
    <n v="0"/>
    <n v="704"/>
    <n v="0"/>
    <n v="96"/>
    <n v="0"/>
    <n v="0"/>
    <n v="100"/>
    <n v="100"/>
    <n v="353912"/>
    <n v="311443"/>
    <n v="237"/>
    <n v="237"/>
    <n v="0"/>
    <n v="0"/>
    <d v="2023-05-09T00:00:00"/>
    <s v="E040192"/>
    <n v="390000"/>
    <n v="390000"/>
    <s v="SWD"/>
    <n v="30"/>
    <s v="N"/>
    <s v="Y"/>
    <n v="342600"/>
    <n v="51400"/>
    <n v="291200"/>
    <n v="0"/>
    <n v="0.87846153846153852"/>
    <n v="345441.23151460377"/>
    <n v="362163.52410069283"/>
    <n v="-16722.29258709"/>
    <n v="0"/>
    <n v="89850.625589999996"/>
    <n v="-76222.592967103381"/>
    <n v="44121.038090000002"/>
    <n v="197752.34721000001"/>
    <n v="-7806.5960175"/>
    <n v="63836.001481084"/>
    <n v="0"/>
    <n v="0"/>
    <n v="17100.154405236"/>
    <n v="30336.176841600001"/>
    <n v="3196.3694664960003"/>
    <n v="345441.23151272262"/>
    <n v="0"/>
    <n v="331800"/>
    <n v="13600"/>
    <n v="345400"/>
    <n v="0.88564102564102565"/>
    <n v="8.1727962638645651E-3"/>
    <n v="0.99970000000000003"/>
    <n v="0.98050000000000004"/>
    <n v="0.99650000000000005"/>
    <n v="1.0093000000000001"/>
    <n v="1.0157"/>
    <n v="0.94971499999999998"/>
    <n v="0.95127027036479783"/>
    <n v="348500"/>
    <n v="0"/>
    <n v="348500"/>
    <n v="12900"/>
    <n v="361400"/>
    <n v="0.19677197802197802"/>
    <n v="-0.74902723735408561"/>
    <n v="5.4874489200233509E-2"/>
    <n v="0.8837889933664359"/>
  </r>
  <r>
    <n v="2025"/>
    <n v="18132322498"/>
    <n v="-1.7719568419318752"/>
    <n v="0.17"/>
    <n v="7501"/>
    <n v="6"/>
    <s v="RES"/>
    <n v="3033"/>
    <s v="YC2"/>
    <s v="R1"/>
    <n v="11"/>
    <n v="259"/>
    <s v="CP"/>
    <x v="2"/>
    <s v="GD"/>
    <x v="2"/>
    <n v="1989"/>
    <n v="1989"/>
    <n v="35"/>
    <n v="35"/>
    <n v="1"/>
    <n v="1142"/>
    <n v="0"/>
    <n v="0"/>
    <n v="686"/>
    <n v="0"/>
    <n v="686"/>
    <n v="1828"/>
    <n v="2000"/>
    <n v="2"/>
    <m/>
    <s v="FD"/>
    <s v="G"/>
    <s v="Y"/>
    <n v="0"/>
    <n v="0"/>
    <n v="0"/>
    <n v="2"/>
    <n v="0"/>
    <n v="11"/>
    <n v="0"/>
    <n v="420"/>
    <n v="0"/>
    <n v="558"/>
    <n v="260"/>
    <n v="0"/>
    <n v="100"/>
    <n v="100"/>
    <n v="292137"/>
    <n v="257081"/>
    <n v="504"/>
    <n v="365"/>
    <n v="139"/>
    <n v="0"/>
    <d v="2022-08-15T00:00:00"/>
    <s v="E037686"/>
    <n v="350000"/>
    <n v="350000"/>
    <s v="SWD"/>
    <n v="30"/>
    <s v="N"/>
    <s v="Y"/>
    <n v="359100"/>
    <n v="52700"/>
    <n v="306400"/>
    <n v="0"/>
    <n v="1.026"/>
    <n v="366028.29793632287"/>
    <n v="390185.87882316776"/>
    <n v="-24157.580888422002"/>
    <n v="0"/>
    <n v="89850.625589999996"/>
    <n v="-56090.612940989391"/>
    <n v="29814.093161000001"/>
    <n v="197752.34721000001"/>
    <n v="-7806.5960175"/>
    <n v="56424.700999534005"/>
    <n v="0"/>
    <n v="0"/>
    <n v="19950.180139442"/>
    <n v="41712.243157199999"/>
    <n v="18578.897524008004"/>
    <n v="366028.29793427256"/>
    <n v="0"/>
    <n v="332300"/>
    <n v="33800"/>
    <n v="366100"/>
    <n v="1.046"/>
    <n v="1.9493177387914229E-2"/>
    <n v="0.99970000000000003"/>
    <n v="1.0088999999999999"/>
    <n v="0.99650000000000005"/>
    <n v="1.0093000000000001"/>
    <n v="1.0157"/>
    <n v="0.94971499999999998"/>
    <n v="0.97882363668642969"/>
    <n v="356400"/>
    <n v="0"/>
    <n v="356400"/>
    <n v="32100"/>
    <n v="388500"/>
    <n v="0.16318537859007834"/>
    <n v="-0.39089184060721061"/>
    <n v="8.1871345029239762E-2"/>
    <n v="1.0409783403187944"/>
  </r>
  <r>
    <n v="2025"/>
    <n v="18132211436"/>
    <n v="-3.912023005428146"/>
    <n v="0.02"/>
    <n v="1600"/>
    <n v="6"/>
    <s v="CON"/>
    <n v="3032"/>
    <s v="YC2"/>
    <s v="R2"/>
    <n v="11"/>
    <n v="262"/>
    <s v="CE"/>
    <x v="1"/>
    <s v="GD"/>
    <x v="2"/>
    <n v="1984"/>
    <n v="1984"/>
    <n v="40"/>
    <n v="40"/>
    <n v="1"/>
    <n v="1600"/>
    <n v="0"/>
    <n v="0"/>
    <n v="1180"/>
    <n v="370"/>
    <n v="810"/>
    <n v="2410"/>
    <n v="2500"/>
    <n v="2"/>
    <m/>
    <s v="FD"/>
    <s v="G"/>
    <s v="Y"/>
    <n v="0"/>
    <n v="1"/>
    <n v="0"/>
    <n v="1"/>
    <n v="0"/>
    <n v="11"/>
    <n v="0"/>
    <n v="596"/>
    <n v="0"/>
    <n v="482"/>
    <n v="0"/>
    <n v="266"/>
    <n v="100"/>
    <n v="100"/>
    <n v="382728"/>
    <n v="332973"/>
    <n v="474"/>
    <n v="365"/>
    <n v="109"/>
    <n v="0"/>
    <d v="2022-09-14T00:00:00"/>
    <s v="E038090"/>
    <n v="375000"/>
    <n v="375000"/>
    <s v="SWD"/>
    <n v="30"/>
    <s v="N"/>
    <s v="Y"/>
    <n v="293900"/>
    <n v="44100"/>
    <n v="249800"/>
    <n v="0"/>
    <n v="0.78373333333333328"/>
    <n v="345597.71554297523"/>
    <n v="370099.79157938773"/>
    <n v="-24502.076037982002"/>
    <n v="0"/>
    <n v="89850.625589999996"/>
    <n v="-123833.58500677992"/>
    <n v="44121.038090000002"/>
    <n v="197752.34721000001"/>
    <n v="-8921.82402"/>
    <n v="79053.871803200003"/>
    <n v="0"/>
    <n v="0"/>
    <n v="34316.636391460001"/>
    <n v="41712.243157199999"/>
    <n v="16048.438363032001"/>
    <n v="345597.7155401301"/>
    <n v="0"/>
    <n v="379600"/>
    <n v="-34000"/>
    <n v="345600"/>
    <n v="0.92159999999999997"/>
    <n v="0.17591017352841101"/>
    <n v="0.99970000000000003"/>
    <n v="0.98050000000000004"/>
    <n v="0.99650000000000005"/>
    <n v="0.98919999999999997"/>
    <n v="1.0157"/>
    <n v="0.94971499999999998"/>
    <n v="0.93232592038527484"/>
    <n v="404100"/>
    <n v="0"/>
    <n v="404100"/>
    <n v="-32300"/>
    <n v="371800"/>
    <n v="0.61769415532425942"/>
    <n v="-1.7324263038548753"/>
    <n v="0.26505614154474311"/>
    <n v="0.92612779723204797"/>
  </r>
  <r>
    <n v="2025"/>
    <n v="18132322477"/>
    <n v="-3.5065578973199818"/>
    <n v="0.03"/>
    <n v="1474"/>
    <n v="6"/>
    <s v="CON"/>
    <s v="303N"/>
    <s v="YC2"/>
    <s v="R2"/>
    <n v="11"/>
    <n v="262"/>
    <s v="CE"/>
    <x v="0"/>
    <s v="AV"/>
    <x v="3"/>
    <n v="1980"/>
    <n v="1980"/>
    <n v="44"/>
    <n v="44"/>
    <n v="1"/>
    <n v="1454"/>
    <n v="0"/>
    <n v="0"/>
    <n v="0"/>
    <n v="0"/>
    <n v="0"/>
    <n v="1454"/>
    <n v="1500"/>
    <n v="0"/>
    <s v="S"/>
    <s v="FD"/>
    <s v="E"/>
    <s v="Y"/>
    <n v="0"/>
    <n v="0"/>
    <n v="1"/>
    <n v="0"/>
    <n v="0"/>
    <n v="8"/>
    <n v="0"/>
    <n v="0"/>
    <n v="0"/>
    <n v="0"/>
    <n v="220"/>
    <n v="0"/>
    <n v="100"/>
    <n v="100"/>
    <n v="170574"/>
    <n v="144988"/>
    <n v="826"/>
    <n v="365"/>
    <n v="365"/>
    <n v="96"/>
    <d v="2021-09-27T00:00:00"/>
    <s v="E033320"/>
    <n v="245000"/>
    <n v="230427"/>
    <s v="SWD"/>
    <n v="30"/>
    <s v="N"/>
    <s v="Y"/>
    <n v="261500"/>
    <n v="39200"/>
    <n v="222300"/>
    <n v="14573"/>
    <n v="1.0673469387755101"/>
    <n v="218844.12291261688"/>
    <n v="253243.79144203663"/>
    <n v="-34399.668533470001"/>
    <n v="0"/>
    <n v="89850.625589999996"/>
    <n v="-110998.74281323297"/>
    <n v="21557.329055999999"/>
    <n v="160472.20319"/>
    <n v="-9814.0064220000004"/>
    <n v="71840.206001158003"/>
    <n v="0"/>
    <n v="0"/>
    <n v="0"/>
    <n v="30336.176841600001"/>
    <n v="0"/>
    <n v="218844.12291005504"/>
    <n v="14600"/>
    <n v="240000"/>
    <n v="-21100"/>
    <n v="233500"/>
    <n v="0.95306122448979591"/>
    <n v="-0.10707456978967496"/>
    <n v="0.99970000000000003"/>
    <n v="1.0067999999999999"/>
    <n v="0.99729999999999996"/>
    <n v="1.0157"/>
    <n v="0.96919999999999995"/>
    <n v="0.94971499999999998"/>
    <n v="0.93873104601730073"/>
    <n v="274400"/>
    <n v="13800"/>
    <n v="288200"/>
    <n v="-20100"/>
    <n v="268100"/>
    <n v="0.29644624381466489"/>
    <n v="-1.5127551020408163"/>
    <n v="2.5239005736137667E-2"/>
    <n v="0.9538789039450204"/>
  </r>
  <r>
    <n v="2025"/>
    <n v="18132322463"/>
    <n v="-3.5065578973199818"/>
    <n v="0.03"/>
    <n v="1348"/>
    <n v="6"/>
    <s v="CON"/>
    <s v="303N"/>
    <s v="YC2"/>
    <s v="R2"/>
    <n v="11"/>
    <n v="262"/>
    <s v="CE"/>
    <x v="2"/>
    <s v="GD"/>
    <x v="3"/>
    <n v="1980"/>
    <n v="1980"/>
    <n v="44"/>
    <n v="44"/>
    <n v="1"/>
    <n v="1348"/>
    <n v="0"/>
    <n v="0"/>
    <n v="0"/>
    <n v="0"/>
    <n v="0"/>
    <n v="1348"/>
    <n v="1500"/>
    <n v="0"/>
    <m/>
    <s v="FD"/>
    <s v="G"/>
    <s v="Y"/>
    <n v="0"/>
    <n v="0"/>
    <n v="1"/>
    <n v="1"/>
    <n v="0"/>
    <n v="9"/>
    <n v="0"/>
    <n v="0"/>
    <n v="0"/>
    <n v="0"/>
    <n v="120"/>
    <n v="0"/>
    <n v="100"/>
    <n v="100"/>
    <n v="156974"/>
    <n v="133428"/>
    <n v="1063"/>
    <n v="365"/>
    <n v="365"/>
    <n v="333"/>
    <d v="2021-02-02T00:00:00"/>
    <s v="E030035"/>
    <n v="255000"/>
    <n v="242170"/>
    <s v="SWD"/>
    <n v="30"/>
    <s v="N"/>
    <s v="Y"/>
    <n v="270600"/>
    <n v="40600"/>
    <n v="230000"/>
    <n v="12830"/>
    <n v="1.0611764705882354"/>
    <n v="231243.68818660997"/>
    <n v="297335.40266736696"/>
    <n v="-66091.714490770013"/>
    <n v="0"/>
    <n v="89850.625589999996"/>
    <n v="-110998.74281323297"/>
    <n v="29814.093161000001"/>
    <n v="197752.34721000001"/>
    <n v="-9814.0064220000004"/>
    <n v="66602.886994196"/>
    <n v="0"/>
    <n v="0"/>
    <n v="0"/>
    <n v="34128.198946800003"/>
    <n v="0"/>
    <n v="231243.68817599301"/>
    <n v="12800"/>
    <n v="252400"/>
    <n v="-21100"/>
    <n v="244100"/>
    <n v="0.95725490196078433"/>
    <n v="-9.7930524759793053E-2"/>
    <n v="0.99970000000000003"/>
    <n v="1.0088999999999999"/>
    <n v="0.99650000000000005"/>
    <n v="1.0157"/>
    <n v="0.96919999999999995"/>
    <n v="0.94971499999999998"/>
    <n v="0.9399344780308011"/>
    <n v="318500"/>
    <n v="12200"/>
    <n v="330700"/>
    <n v="-20100"/>
    <n v="310600"/>
    <n v="0.43782608695652175"/>
    <n v="-1.4950738916256157"/>
    <n v="0.14781966001478197"/>
    <n v="0.95885602160482353"/>
  </r>
  <r>
    <n v="2025"/>
    <n v="18132322478"/>
    <n v="-3.2188758248682006"/>
    <n v="0.04"/>
    <n v="2002"/>
    <n v="6"/>
    <s v="CON"/>
    <s v="303N"/>
    <s v="YC2"/>
    <s v="R2"/>
    <n v="11"/>
    <n v="262"/>
    <s v="CE"/>
    <x v="0"/>
    <s v="GD"/>
    <x v="3"/>
    <n v="1980"/>
    <n v="1980"/>
    <n v="44"/>
    <n v="44"/>
    <n v="1"/>
    <n v="1474"/>
    <n v="0"/>
    <n v="0"/>
    <n v="0"/>
    <n v="0"/>
    <n v="0"/>
    <n v="1474"/>
    <n v="1500"/>
    <n v="2"/>
    <m/>
    <s v="FD"/>
    <s v="G"/>
    <s v="Y"/>
    <n v="0"/>
    <n v="0"/>
    <n v="1"/>
    <n v="1"/>
    <n v="0"/>
    <n v="8"/>
    <n v="528"/>
    <n v="0"/>
    <n v="0"/>
    <n v="0"/>
    <n v="200"/>
    <n v="200"/>
    <n v="100"/>
    <n v="100"/>
    <n v="197515"/>
    <n v="165913"/>
    <n v="469"/>
    <n v="365"/>
    <n v="104"/>
    <n v="0"/>
    <d v="2022-09-19T00:00:00"/>
    <s v="E038191"/>
    <n v="288000"/>
    <n v="288000"/>
    <s v="SWD"/>
    <n v="30"/>
    <s v="N"/>
    <s v="Y"/>
    <n v="299100"/>
    <n v="44900"/>
    <n v="254200"/>
    <n v="0"/>
    <n v="1.0385416666666667"/>
    <n v="276059.08242609282"/>
    <n v="300618.57432076667"/>
    <n v="-24559.491896242002"/>
    <n v="0"/>
    <n v="89850.625589999996"/>
    <n v="-101892.2773541973"/>
    <n v="21557.329055999999"/>
    <n v="197752.34721000001"/>
    <n v="-9814.0064220000004"/>
    <n v="72828.379398698002"/>
    <n v="0"/>
    <n v="0"/>
    <n v="0"/>
    <n v="30336.176841600001"/>
    <n v="0"/>
    <n v="276059.08242385869"/>
    <n v="0"/>
    <n v="288100"/>
    <n v="-12000"/>
    <n v="276100"/>
    <n v="0.95868055555555554"/>
    <n v="-7.6897358742895355E-2"/>
    <n v="0.99970000000000003"/>
    <n v="1.0067999999999999"/>
    <n v="0.99650000000000005"/>
    <n v="1.0157"/>
    <n v="0.96919999999999995"/>
    <n v="0.94971499999999998"/>
    <n v="0.93797802803192643"/>
    <n v="312700"/>
    <n v="0"/>
    <n v="312700"/>
    <n v="-11400"/>
    <n v="301300"/>
    <n v="0.23013375295043273"/>
    <n v="-1.2538975501113585"/>
    <n v="7.3553995319291209E-3"/>
    <n v="0.96090454202693742"/>
  </r>
  <r>
    <n v="2025"/>
    <n v="18132322483"/>
    <n v="-3.912023005428146"/>
    <n v="0.02"/>
    <n v="840"/>
    <n v="6"/>
    <s v="CON"/>
    <s v="303N"/>
    <s v="YC2"/>
    <s v="R2"/>
    <n v="11"/>
    <n v="262"/>
    <s v="CE"/>
    <x v="2"/>
    <s v="AV"/>
    <x v="3"/>
    <n v="1980"/>
    <n v="1980"/>
    <n v="44"/>
    <n v="44"/>
    <n v="2"/>
    <n v="840"/>
    <n v="980"/>
    <n v="0"/>
    <n v="0"/>
    <n v="0"/>
    <n v="0"/>
    <n v="1820"/>
    <n v="2000"/>
    <n v="2"/>
    <m/>
    <s v="FD"/>
    <s v="E"/>
    <s v="Y"/>
    <n v="0"/>
    <n v="0"/>
    <n v="2"/>
    <n v="0"/>
    <n v="1"/>
    <n v="11"/>
    <n v="0"/>
    <n v="440"/>
    <n v="0"/>
    <n v="0"/>
    <n v="220"/>
    <n v="180"/>
    <n v="100"/>
    <n v="100"/>
    <n v="246127"/>
    <n v="196902"/>
    <n v="881"/>
    <n v="365"/>
    <n v="365"/>
    <n v="151"/>
    <d v="2021-08-03T00:00:00"/>
    <s v="E032507"/>
    <n v="240000"/>
    <n v="240000"/>
    <s v="SWD"/>
    <n v="30"/>
    <s v="N"/>
    <s v="Y"/>
    <n v="259500"/>
    <n v="38900"/>
    <n v="220600"/>
    <n v="0"/>
    <n v="1.08125"/>
    <n v="231841.1880309456"/>
    <n v="273595.55076848163"/>
    <n v="-41754.362742969999"/>
    <n v="0"/>
    <n v="89850.625589999996"/>
    <n v="-123833.58500677992"/>
    <n v="29814.093161000001"/>
    <n v="160472.20319"/>
    <n v="-9814.0064220000004"/>
    <n v="41503.282696679998"/>
    <n v="43890.694403779999"/>
    <n v="0"/>
    <n v="0"/>
    <n v="41712.243157199999"/>
    <n v="0"/>
    <n v="231841.18802691007"/>
    <n v="0"/>
    <n v="265800"/>
    <n v="-34000"/>
    <n v="231800"/>
    <n v="0.96583333333333332"/>
    <n v="-0.10674373795761079"/>
    <n v="0.99970000000000003"/>
    <n v="1.0088999999999999"/>
    <n v="0.99729999999999996"/>
    <n v="1.0093000000000001"/>
    <n v="0.96919999999999995"/>
    <n v="0.94971499999999998"/>
    <n v="0.93476171605152947"/>
    <n v="307600"/>
    <n v="0"/>
    <n v="307600"/>
    <n v="-32300"/>
    <n v="275300"/>
    <n v="0.39437896645512238"/>
    <n v="-1.8303341902313626"/>
    <n v="6.088631984585742E-2"/>
    <n v="0.97310682190429165"/>
  </r>
  <r>
    <n v="2025"/>
    <n v="18132322461"/>
    <n v="-3.2188758248682006"/>
    <n v="0.04"/>
    <n v="1348"/>
    <n v="6"/>
    <s v="CON"/>
    <s v="303N"/>
    <s v="YC2"/>
    <s v="R2"/>
    <n v="11"/>
    <n v="262"/>
    <s v="CE"/>
    <x v="0"/>
    <s v="GD"/>
    <x v="3"/>
    <n v="1980"/>
    <n v="1980"/>
    <n v="44"/>
    <n v="44"/>
    <n v="1"/>
    <n v="1348"/>
    <n v="0"/>
    <n v="0"/>
    <n v="0"/>
    <n v="0"/>
    <n v="0"/>
    <n v="1348"/>
    <n v="1500"/>
    <n v="0"/>
    <m/>
    <s v="HP"/>
    <s v="E"/>
    <m/>
    <n v="0"/>
    <n v="0"/>
    <n v="1"/>
    <n v="1"/>
    <n v="0"/>
    <n v="8"/>
    <n v="0"/>
    <n v="0"/>
    <n v="0"/>
    <n v="0"/>
    <n v="180"/>
    <n v="96"/>
    <n v="100"/>
    <n v="100"/>
    <n v="198766"/>
    <n v="166963"/>
    <n v="347"/>
    <n v="347"/>
    <n v="0"/>
    <n v="0"/>
    <d v="2023-01-19T00:00:00"/>
    <s v="E039293"/>
    <n v="290000"/>
    <n v="276736"/>
    <s v="SWD"/>
    <n v="30"/>
    <s v="N"/>
    <s v="Y"/>
    <n v="267000"/>
    <n v="40100"/>
    <n v="226900"/>
    <n v="13264"/>
    <n v="0.92068965517241375"/>
    <n v="269909.38770796475"/>
    <n v="294393.08191628917"/>
    <n v="-24483.694209790003"/>
    <n v="0"/>
    <n v="89850.625589999996"/>
    <n v="-101892.2773541973"/>
    <n v="21557.329055999999"/>
    <n v="197752.34721000001"/>
    <n v="-9814.0064220000004"/>
    <n v="66602.886994196"/>
    <n v="0"/>
    <n v="0"/>
    <n v="0"/>
    <n v="30336.176841600001"/>
    <n v="0"/>
    <n v="269909.38770580868"/>
    <n v="13300"/>
    <n v="282000"/>
    <n v="-12000"/>
    <n v="283300"/>
    <n v="0.97689655172413792"/>
    <n v="6.1048689138576778E-2"/>
    <n v="0.99970000000000003"/>
    <n v="1.0067999999999999"/>
    <n v="0.99650000000000005"/>
    <n v="1.0157"/>
    <n v="0.96919999999999995"/>
    <n v="0.94971499999999998"/>
    <n v="0.93797802803192643"/>
    <n v="306400"/>
    <n v="12600"/>
    <n v="319000"/>
    <n v="-11400"/>
    <n v="307600"/>
    <n v="0.40590568532393123"/>
    <n v="-1.2842892768079801"/>
    <n v="0.15205992509363295"/>
    <n v="0.97626312341451738"/>
  </r>
  <r>
    <n v="2025"/>
    <n v="18132322458"/>
    <n v="-3.5065578973199818"/>
    <n v="0.03"/>
    <n v="1348"/>
    <n v="6"/>
    <s v="CON"/>
    <s v="303N"/>
    <s v="YC2"/>
    <s v="R2"/>
    <n v="11"/>
    <n v="262"/>
    <s v="CE"/>
    <x v="0"/>
    <s v="GD"/>
    <x v="3"/>
    <n v="1980"/>
    <n v="1980"/>
    <n v="44"/>
    <n v="44"/>
    <n v="1"/>
    <n v="1348"/>
    <n v="0"/>
    <n v="0"/>
    <n v="0"/>
    <n v="0"/>
    <n v="0"/>
    <n v="1348"/>
    <n v="1500"/>
    <n v="0"/>
    <m/>
    <s v="FD"/>
    <s v="G"/>
    <s v="Y"/>
    <n v="0"/>
    <n v="0"/>
    <n v="1"/>
    <n v="1"/>
    <n v="0"/>
    <n v="10"/>
    <n v="0"/>
    <n v="0"/>
    <n v="0"/>
    <n v="70"/>
    <n v="120"/>
    <n v="120"/>
    <n v="100"/>
    <n v="100"/>
    <n v="164012"/>
    <n v="139410"/>
    <n v="917"/>
    <n v="365"/>
    <n v="365"/>
    <n v="187"/>
    <d v="2021-06-28T00:00:00"/>
    <s v="E032003"/>
    <n v="266000"/>
    <n v="252736"/>
    <s v="SWD"/>
    <n v="30"/>
    <s v="N"/>
    <s v="Y"/>
    <n v="274100"/>
    <n v="41100"/>
    <n v="233000"/>
    <n v="13264"/>
    <n v="1.030451127819549"/>
    <n v="248633.00233600478"/>
    <n v="295201.34673703497"/>
    <n v="-46568.344407370008"/>
    <n v="0"/>
    <n v="89850.625589999996"/>
    <n v="-110998.74281323297"/>
    <n v="21557.329055999999"/>
    <n v="197752.34721000001"/>
    <n v="-9814.0064220000004"/>
    <n v="66602.886994196"/>
    <n v="0"/>
    <n v="0"/>
    <n v="0"/>
    <n v="37920.221052000001"/>
    <n v="2330.6860693200001"/>
    <n v="248633.00232891302"/>
    <n v="13300"/>
    <n v="269800"/>
    <n v="-21100"/>
    <n v="262000"/>
    <n v="0.98496240601503759"/>
    <n v="-4.4144472820138635E-2"/>
    <n v="0.99970000000000003"/>
    <n v="1.0067999999999999"/>
    <n v="0.99650000000000005"/>
    <n v="1.0157"/>
    <n v="0.96919999999999995"/>
    <n v="0.94971499999999998"/>
    <n v="0.93797802803192643"/>
    <n v="316300"/>
    <n v="12600"/>
    <n v="328900"/>
    <n v="-20100"/>
    <n v="308800"/>
    <n v="0.41158798283261805"/>
    <n v="-1.4890510948905109"/>
    <n v="0.1265961327982488"/>
    <n v="0.98583329170161649"/>
  </r>
  <r>
    <n v="2025"/>
    <n v="18132322472"/>
    <n v="-3.2188758248682006"/>
    <n v="0.04"/>
    <n v="1348"/>
    <n v="6"/>
    <s v="CON"/>
    <s v="YC2"/>
    <s v="YC2"/>
    <s v="R2"/>
    <n v="11"/>
    <n v="262"/>
    <s v="CE"/>
    <x v="0"/>
    <s v="AV"/>
    <x v="3"/>
    <n v="1980"/>
    <n v="1980"/>
    <n v="44"/>
    <n v="44"/>
    <n v="1"/>
    <n v="1348"/>
    <n v="0"/>
    <n v="0"/>
    <n v="0"/>
    <n v="0"/>
    <n v="0"/>
    <n v="1348"/>
    <n v="1500"/>
    <n v="0"/>
    <m/>
    <s v="FD"/>
    <s v="G"/>
    <s v="Y"/>
    <n v="0"/>
    <n v="0"/>
    <n v="1"/>
    <n v="0"/>
    <n v="0"/>
    <n v="8"/>
    <n v="0"/>
    <n v="0"/>
    <n v="0"/>
    <n v="0"/>
    <n v="192"/>
    <n v="192"/>
    <n v="100"/>
    <n v="100"/>
    <n v="199309"/>
    <n v="167420"/>
    <n v="124"/>
    <n v="124"/>
    <n v="0"/>
    <n v="0"/>
    <d v="2023-08-30T00:00:00"/>
    <s v="E041360"/>
    <n v="255000"/>
    <n v="241736"/>
    <s v="SWD"/>
    <n v="30"/>
    <s v="N"/>
    <s v="Y"/>
    <n v="267700"/>
    <n v="40200"/>
    <n v="227500"/>
    <n v="13264"/>
    <n v="1.0498039215686275"/>
    <n v="248363.72151994612"/>
    <n v="257112.93789410242"/>
    <n v="-8749.2163746800015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248363.72152091868"/>
    <n v="13300"/>
    <n v="260400"/>
    <n v="-12000"/>
    <n v="261700"/>
    <n v="1.0262745098039217"/>
    <n v="-2.2413149047441166E-2"/>
    <n v="0.99970000000000003"/>
    <n v="1.0067999999999999"/>
    <n v="0.99729999999999996"/>
    <n v="1.0157"/>
    <n v="0.96919999999999995"/>
    <n v="0.94971499999999998"/>
    <n v="0.93873104601730073"/>
    <n v="269200"/>
    <n v="12600"/>
    <n v="281800"/>
    <n v="-11400"/>
    <n v="270400"/>
    <n v="0.23868131868131867"/>
    <n v="-1.2835820895522387"/>
    <n v="1.0085917071348524E-2"/>
    <n v="1.0260815044130196"/>
  </r>
  <r>
    <n v="2025"/>
    <n v="18132322467"/>
    <n v="-2.9957322735539909"/>
    <n v="0.05"/>
    <n v="1348"/>
    <n v="6"/>
    <s v="CON"/>
    <s v="303N"/>
    <s v="YC2"/>
    <s v="R2"/>
    <n v="11"/>
    <n v="262"/>
    <s v="CE"/>
    <x v="0"/>
    <s v="AV"/>
    <x v="3"/>
    <n v="1980"/>
    <n v="1980"/>
    <n v="44"/>
    <n v="44"/>
    <n v="1"/>
    <n v="1348"/>
    <n v="0"/>
    <n v="0"/>
    <n v="0"/>
    <n v="0"/>
    <n v="0"/>
    <n v="1348"/>
    <n v="1500"/>
    <n v="0"/>
    <m/>
    <s v="FD"/>
    <s v="G"/>
    <s v="Y"/>
    <n v="0"/>
    <n v="0"/>
    <n v="1"/>
    <n v="1"/>
    <n v="0"/>
    <n v="8"/>
    <n v="0"/>
    <n v="0"/>
    <n v="0"/>
    <n v="0"/>
    <n v="196"/>
    <n v="196"/>
    <n v="100"/>
    <n v="100"/>
    <n v="199407"/>
    <n v="167502"/>
    <n v="96"/>
    <n v="96"/>
    <n v="0"/>
    <n v="0"/>
    <d v="2023-09-27T00:00:00"/>
    <s v="E041731"/>
    <n v="255000"/>
    <n v="242170"/>
    <s v="SWD"/>
    <n v="30"/>
    <s v="N"/>
    <s v="Y"/>
    <n v="267400"/>
    <n v="40100"/>
    <n v="227300"/>
    <n v="12830"/>
    <n v="1.0486274509803921"/>
    <n v="257402.87439569924"/>
    <n v="264176.46126601379"/>
    <n v="-6773.5868707200007"/>
    <n v="0"/>
    <n v="89850.625589999996"/>
    <n v="-94828.753982263879"/>
    <n v="21557.329055999999"/>
    <n v="160472.20319"/>
    <n v="-9814.0064220000004"/>
    <n v="66602.886994196"/>
    <n v="0"/>
    <n v="0"/>
    <n v="0"/>
    <n v="30336.176841600001"/>
    <n v="0"/>
    <n v="257402.87439681214"/>
    <n v="12800"/>
    <n v="262400"/>
    <n v="-5000"/>
    <n v="270200"/>
    <n v="1.0596078431372549"/>
    <n v="1.0471204188481676E-2"/>
    <n v="0.99970000000000003"/>
    <n v="1.0067999999999999"/>
    <n v="0.99729999999999996"/>
    <n v="1.0157"/>
    <n v="0.96919999999999995"/>
    <n v="0.94971499999999998"/>
    <n v="0.93873104601730073"/>
    <n v="269200"/>
    <n v="12200"/>
    <n v="281400"/>
    <n v="-4700"/>
    <n v="276700"/>
    <n v="0.23801143862736471"/>
    <n v="-1.1172069825436408"/>
    <n v="3.4779356768885564E-2"/>
    <n v="1.0585349534481567"/>
  </r>
  <r>
    <n v="2025"/>
    <n v="18132322483"/>
    <n v="-3.912023005428146"/>
    <n v="0.02"/>
    <n v="840"/>
    <n v="6"/>
    <s v="CON"/>
    <s v="303N"/>
    <s v="YC2"/>
    <s v="R2"/>
    <n v="11"/>
    <n v="262"/>
    <s v="CE"/>
    <x v="2"/>
    <s v="GD"/>
    <x v="3"/>
    <n v="1980"/>
    <n v="1980"/>
    <n v="44"/>
    <n v="44"/>
    <n v="2"/>
    <n v="840"/>
    <n v="980"/>
    <n v="0"/>
    <n v="0"/>
    <n v="0"/>
    <n v="0"/>
    <n v="1820"/>
    <n v="2000"/>
    <n v="2"/>
    <m/>
    <s v="FD"/>
    <s v="E"/>
    <s v="Y"/>
    <n v="0"/>
    <n v="0"/>
    <n v="2"/>
    <n v="0"/>
    <n v="0"/>
    <n v="12"/>
    <n v="0"/>
    <n v="440"/>
    <n v="0"/>
    <n v="0"/>
    <n v="220"/>
    <n v="180"/>
    <n v="100"/>
    <n v="100"/>
    <n v="255330"/>
    <n v="201711"/>
    <n v="521"/>
    <n v="365"/>
    <n v="156"/>
    <n v="0"/>
    <d v="2022-07-29T00:00:00"/>
    <s v="E037492"/>
    <n v="256000"/>
    <n v="256000"/>
    <s v="SWD"/>
    <n v="30"/>
    <s v="N"/>
    <s v="Y"/>
    <n v="259500"/>
    <n v="38900"/>
    <n v="220600"/>
    <n v="0"/>
    <n v="1.013671875"/>
    <n v="290705.34992714145"/>
    <n v="314667.71689589799"/>
    <n v="-23962.366970338"/>
    <n v="0"/>
    <n v="89850.625589999996"/>
    <n v="-123833.58500677992"/>
    <n v="29814.093161000001"/>
    <n v="197752.34721000001"/>
    <n v="-9814.0064220000004"/>
    <n v="41503.282696679998"/>
    <n v="43890.694403779999"/>
    <n v="0"/>
    <n v="0"/>
    <n v="45504.265262400004"/>
    <n v="0"/>
    <n v="290705.34992474213"/>
    <n v="0"/>
    <n v="324700"/>
    <n v="-34000"/>
    <n v="290700"/>
    <n v="1.135546875"/>
    <n v="0.12023121387283237"/>
    <n v="0.99970000000000003"/>
    <n v="1.0088999999999999"/>
    <n v="0.99650000000000005"/>
    <n v="1.0093000000000001"/>
    <n v="0.96919999999999995"/>
    <n v="0.94971499999999998"/>
    <n v="0.93401188212709219"/>
    <n v="348700"/>
    <n v="0"/>
    <n v="348700"/>
    <n v="-32300"/>
    <n v="316400"/>
    <n v="0.58068902991840432"/>
    <n v="-1.8303341902313626"/>
    <n v="0.21926782273603082"/>
    <n v="1.1423345040221173"/>
  </r>
  <r>
    <n v="2025"/>
    <n v="18132322463"/>
    <n v="-3.2188758248682006"/>
    <n v="0.04"/>
    <n v="1348"/>
    <n v="6"/>
    <s v="CON"/>
    <s v="303N"/>
    <s v="YC2"/>
    <s v="R2"/>
    <n v="11"/>
    <n v="262"/>
    <s v="CE"/>
    <x v="0"/>
    <s v="VG"/>
    <x v="3"/>
    <n v="1980"/>
    <n v="1980"/>
    <n v="44"/>
    <n v="44"/>
    <n v="1"/>
    <n v="1348"/>
    <n v="0"/>
    <n v="0"/>
    <n v="0"/>
    <n v="0"/>
    <n v="0"/>
    <n v="1348"/>
    <n v="1500"/>
    <n v="0"/>
    <m/>
    <s v="FD"/>
    <s v="G"/>
    <s v="Y"/>
    <n v="0"/>
    <n v="0"/>
    <n v="1"/>
    <n v="2"/>
    <n v="0"/>
    <n v="8"/>
    <n v="0"/>
    <n v="0"/>
    <n v="0"/>
    <n v="0"/>
    <n v="120"/>
    <n v="0"/>
    <n v="100"/>
    <n v="100"/>
    <n v="166101"/>
    <n v="139525"/>
    <n v="454"/>
    <n v="365"/>
    <n v="89"/>
    <n v="0"/>
    <d v="2022-10-04T00:00:00"/>
    <s v="E038366"/>
    <n v="305000"/>
    <n v="292170"/>
    <s v="SWD"/>
    <n v="30"/>
    <s v="N"/>
    <s v="Y"/>
    <n v="270600"/>
    <n v="40600"/>
    <n v="230000"/>
    <n v="12830"/>
    <n v="0.88721311475409836"/>
    <n v="356719.60330096306"/>
    <n v="381451.34277042071"/>
    <n v="-24731.739471022"/>
    <n v="0"/>
    <n v="89850.625589999996"/>
    <n v="-101892.2773541973"/>
    <n v="21557.329055999999"/>
    <n v="284810.60806"/>
    <n v="-9814.0064220000004"/>
    <n v="66602.886994196"/>
    <n v="0"/>
    <n v="0"/>
    <n v="0"/>
    <n v="30336.176841600001"/>
    <n v="0"/>
    <n v="356719.60329457663"/>
    <n v="12800"/>
    <n v="368800"/>
    <n v="-12000"/>
    <n v="369600"/>
    <n v="1.2118032786885247"/>
    <n v="0.36585365853658536"/>
    <n v="0.99970000000000003"/>
    <n v="1.0067999999999999"/>
    <n v="1.0158"/>
    <n v="1.0157"/>
    <n v="0.96919999999999995"/>
    <n v="0.94971499999999998"/>
    <n v="0.95614458692908277"/>
    <n v="393500"/>
    <n v="12200"/>
    <n v="405700"/>
    <n v="-11400"/>
    <n v="394300"/>
    <n v="0.76391304347826083"/>
    <n v="-1.2807881773399015"/>
    <n v="0.45713229859571325"/>
    <n v="1.2116992148491084"/>
  </r>
  <r>
    <n v="2025"/>
    <n v="18132322473"/>
    <n v="-3.2188758248682006"/>
    <n v="0.04"/>
    <n v="1348"/>
    <n v="6"/>
    <s v="CON"/>
    <s v="303N"/>
    <s v="YC2"/>
    <s v="R2"/>
    <n v="11"/>
    <n v="262"/>
    <s v="CE"/>
    <x v="0"/>
    <s v="GD"/>
    <x v="3"/>
    <n v="1980"/>
    <n v="1980"/>
    <n v="44"/>
    <n v="44"/>
    <n v="1"/>
    <n v="1348"/>
    <n v="0"/>
    <n v="0"/>
    <n v="0"/>
    <n v="0"/>
    <n v="0"/>
    <n v="1348"/>
    <n v="1500"/>
    <n v="0"/>
    <m/>
    <s v="FD"/>
    <s v="G"/>
    <s v="Y"/>
    <n v="0"/>
    <n v="0"/>
    <n v="1"/>
    <n v="1"/>
    <n v="0"/>
    <n v="9"/>
    <n v="0"/>
    <n v="0"/>
    <n v="0"/>
    <n v="0"/>
    <n v="208"/>
    <n v="0"/>
    <n v="100"/>
    <n v="100"/>
    <n v="197807"/>
    <n v="166158"/>
    <n v="185"/>
    <n v="185"/>
    <n v="0"/>
    <n v="0"/>
    <d v="2023-06-30T00:00:00"/>
    <s v="E040705"/>
    <n v="240250"/>
    <n v="226986"/>
    <s v="SWD"/>
    <n v="30"/>
    <s v="N"/>
    <s v="Y"/>
    <n v="265800"/>
    <n v="39900"/>
    <n v="225900"/>
    <n v="13264"/>
    <n v="1.1063475546305932"/>
    <n v="285131.83765685011"/>
    <n v="298185.10402151878"/>
    <n v="-13053.266365450001"/>
    <n v="0"/>
    <n v="89850.625589999996"/>
    <n v="-101892.2773541973"/>
    <n v="21557.329055999999"/>
    <n v="197752.34721000001"/>
    <n v="-9814.0064220000004"/>
    <n v="66602.886994196"/>
    <n v="0"/>
    <n v="0"/>
    <n v="0"/>
    <n v="34128.198946800003"/>
    <n v="0"/>
    <n v="285131.8376553487"/>
    <n v="13300"/>
    <n v="297200"/>
    <n v="-12000"/>
    <n v="298500"/>
    <n v="1.2424557752341312"/>
    <n v="0.12302483069977427"/>
    <n v="0.99970000000000003"/>
    <n v="1.0067999999999999"/>
    <n v="0.99650000000000005"/>
    <n v="1.0157"/>
    <n v="0.96919999999999995"/>
    <n v="0.94971499999999998"/>
    <n v="0.93797802803192643"/>
    <n v="310200"/>
    <n v="12600"/>
    <n v="322800"/>
    <n v="-11400"/>
    <n v="311400"/>
    <n v="0.42895086321381143"/>
    <n v="-1.2857142857142858"/>
    <n v="0.17155756207674944"/>
    <n v="1.2418178299044746"/>
  </r>
  <r>
    <n v="2025"/>
    <n v="18132322454"/>
    <n v="-3.2188758248682006"/>
    <n v="0.04"/>
    <n v="1348"/>
    <n v="6"/>
    <s v="CON"/>
    <s v="303N"/>
    <s v="YC2"/>
    <s v="R2"/>
    <n v="11"/>
    <n v="262"/>
    <s v="CE"/>
    <x v="0"/>
    <s v="GD"/>
    <x v="3"/>
    <n v="1980"/>
    <n v="1980"/>
    <n v="44"/>
    <n v="44"/>
    <n v="1"/>
    <n v="1348"/>
    <n v="0"/>
    <n v="0"/>
    <n v="0"/>
    <n v="0"/>
    <n v="0"/>
    <n v="1348"/>
    <n v="1500"/>
    <n v="0"/>
    <m/>
    <s v="FD"/>
    <s v="G"/>
    <s v="Y"/>
    <n v="0"/>
    <n v="0"/>
    <n v="1"/>
    <n v="0"/>
    <n v="0"/>
    <n v="8"/>
    <n v="0"/>
    <n v="0"/>
    <n v="0"/>
    <n v="0"/>
    <n v="112"/>
    <n v="112"/>
    <n v="100"/>
    <n v="100"/>
    <n v="197159"/>
    <n v="165614"/>
    <n v="173"/>
    <n v="173"/>
    <n v="0"/>
    <n v="0"/>
    <d v="2023-07-12T00:00:00"/>
    <s v="E040812"/>
    <n v="230000"/>
    <n v="216736"/>
    <s v="SWD"/>
    <n v="30"/>
    <s v="N"/>
    <s v="Y"/>
    <n v="265000"/>
    <n v="39800"/>
    <n v="225200"/>
    <n v="13264"/>
    <n v="1.1521739130434783"/>
    <n v="282186.51391040982"/>
    <n v="294393.08191628917"/>
    <n v="-12206.568006610001"/>
    <n v="0"/>
    <n v="89850.625589999996"/>
    <n v="-101892.2773541973"/>
    <n v="21557.329055999999"/>
    <n v="197752.34721000001"/>
    <n v="-9814.0064220000004"/>
    <n v="66602.886994196"/>
    <n v="0"/>
    <n v="0"/>
    <n v="0"/>
    <n v="30336.176841600001"/>
    <n v="0"/>
    <n v="282186.51390898868"/>
    <n v="13300"/>
    <n v="294200"/>
    <n v="-12000"/>
    <n v="295500"/>
    <n v="1.2847826086956522"/>
    <n v="0.11509433962264151"/>
    <n v="0.99970000000000003"/>
    <n v="1.0067999999999999"/>
    <n v="0.99650000000000005"/>
    <n v="1.0157"/>
    <n v="0.96919999999999995"/>
    <n v="0.94971499999999998"/>
    <n v="0.93797802803192643"/>
    <n v="306400"/>
    <n v="12600"/>
    <n v="319000"/>
    <n v="-11400"/>
    <n v="307600"/>
    <n v="0.41651865008880995"/>
    <n v="-1.2864321608040201"/>
    <n v="0.16075471698113208"/>
    <n v="1.2843192695364785"/>
  </r>
  <r>
    <n v="2025"/>
    <n v="18132211433"/>
    <n v="-3.912023005428146"/>
    <n v="0.02"/>
    <n v="901"/>
    <n v="6"/>
    <s v="CON"/>
    <n v="3032"/>
    <s v="YC2"/>
    <s v="R2"/>
    <n v="11"/>
    <n v="262"/>
    <s v="CE"/>
    <x v="1"/>
    <s v="AV"/>
    <x v="3"/>
    <n v="1978"/>
    <n v="1980"/>
    <n v="46"/>
    <n v="44"/>
    <n v="2"/>
    <n v="901"/>
    <n v="896"/>
    <n v="0"/>
    <n v="544"/>
    <n v="66"/>
    <n v="478"/>
    <n v="2275"/>
    <n v="2500"/>
    <n v="2"/>
    <m/>
    <s v="FD"/>
    <s v="G"/>
    <s v="Y"/>
    <n v="0"/>
    <n v="2"/>
    <n v="0"/>
    <n v="1"/>
    <n v="1"/>
    <n v="11"/>
    <n v="0"/>
    <n v="528"/>
    <n v="0"/>
    <n v="400"/>
    <n v="0"/>
    <n v="176"/>
    <n v="100"/>
    <n v="100"/>
    <n v="427795"/>
    <n v="333680"/>
    <n v="101"/>
    <n v="101"/>
    <n v="0"/>
    <n v="0"/>
    <d v="2023-09-22T00:00:00"/>
    <s v="E041563"/>
    <n v="340000"/>
    <n v="340000"/>
    <s v="SWD"/>
    <n v="30"/>
    <s v="N"/>
    <s v="Y"/>
    <n v="273600"/>
    <n v="41000"/>
    <n v="232600"/>
    <n v="0"/>
    <n v="0.80470588235294116"/>
    <n v="309166.74431170209"/>
    <n v="316293.12216484552"/>
    <n v="-7126.3778535700003"/>
    <n v="0"/>
    <n v="89850.625589999996"/>
    <n v="-123833.58500677992"/>
    <n v="44121.038090000002"/>
    <n v="160472.20319"/>
    <n v="-9814.0064220000004"/>
    <n v="44517.211559176998"/>
    <n v="40128.634883455998"/>
    <n v="0"/>
    <n v="15820.551014367999"/>
    <n v="41712.243157199999"/>
    <n v="13318.206110400002"/>
    <n v="309166.7443122511"/>
    <n v="0"/>
    <n v="343100"/>
    <n v="-34000"/>
    <n v="309100"/>
    <n v="0.90911764705882347"/>
    <n v="0.12975146198830409"/>
    <n v="0.99970000000000003"/>
    <n v="0.98050000000000004"/>
    <n v="0.99729999999999996"/>
    <n v="0.98919999999999997"/>
    <n v="0.96919999999999995"/>
    <n v="0.94971499999999998"/>
    <n v="0.8903571027452114"/>
    <n v="350300"/>
    <n v="0"/>
    <n v="350300"/>
    <n v="-32300"/>
    <n v="318000"/>
    <n v="0.50601891659501286"/>
    <n v="-1.7878048780487805"/>
    <n v="0.16228070175438597"/>
    <n v="0.91433418278361767"/>
  </r>
  <r>
    <n v="2025"/>
    <n v="18132243056"/>
    <n v="-1.6094379124341003"/>
    <n v="0.2"/>
    <n v="8724"/>
    <n v="6"/>
    <s v="RES"/>
    <n v="3093"/>
    <s v="YC2"/>
    <s v="R1"/>
    <n v="11"/>
    <n v="259"/>
    <s v="CO"/>
    <x v="0"/>
    <s v="AV"/>
    <x v="3"/>
    <n v="1978"/>
    <n v="1980"/>
    <n v="46"/>
    <n v="44"/>
    <n v="2"/>
    <n v="864"/>
    <n v="864"/>
    <n v="0"/>
    <n v="0"/>
    <n v="0"/>
    <n v="0"/>
    <n v="1728"/>
    <n v="2000"/>
    <n v="2"/>
    <m/>
    <s v="BH"/>
    <s v="G"/>
    <s v="N"/>
    <n v="1"/>
    <n v="0"/>
    <n v="0"/>
    <n v="0"/>
    <n v="1"/>
    <n v="7"/>
    <n v="460"/>
    <n v="0"/>
    <n v="0"/>
    <n v="0"/>
    <n v="408"/>
    <n v="264"/>
    <n v="100"/>
    <n v="100"/>
    <n v="254741"/>
    <n v="198698"/>
    <n v="920"/>
    <n v="365"/>
    <n v="365"/>
    <n v="190"/>
    <d v="2021-06-25T00:00:00"/>
    <s v="E032005"/>
    <n v="295000"/>
    <n v="295000"/>
    <s v="SWD"/>
    <n v="30"/>
    <s v="N"/>
    <s v="Y"/>
    <n v="310500"/>
    <n v="58400"/>
    <n v="252100"/>
    <n v="0"/>
    <n v="1.0525423728813559"/>
    <n v="272079.21805767546"/>
    <n v="319048.72759733017"/>
    <n v="-46969.509546070003"/>
    <n v="0"/>
    <n v="89850.625589999996"/>
    <n v="-50946.13867709865"/>
    <n v="21557.329055999999"/>
    <n v="160472.20319"/>
    <n v="-9814.0064220000004"/>
    <n v="42689.090773727999"/>
    <n v="38695.469351904001"/>
    <n v="0"/>
    <n v="0"/>
    <n v="26544.1547364"/>
    <n v="0"/>
    <n v="272079.21805286338"/>
    <n v="0"/>
    <n v="233200"/>
    <n v="38900"/>
    <n v="272100"/>
    <n v="0.92237288135593221"/>
    <n v="-0.12367149758454106"/>
    <n v="0.99970000000000003"/>
    <n v="1.0067999999999999"/>
    <n v="0.99729999999999996"/>
    <n v="1.0093000000000001"/>
    <n v="0.96919999999999995"/>
    <n v="0.94971499999999998"/>
    <n v="0.93281603302674176"/>
    <n v="280100"/>
    <n v="0"/>
    <n v="280100"/>
    <n v="36900"/>
    <n v="317000"/>
    <n v="0.11106703689012297"/>
    <n v="-0.36815068493150682"/>
    <n v="2.0933977455716585E-2"/>
    <n v="0.91535759475908474"/>
  </r>
  <r>
    <n v="2025"/>
    <n v="18132244047"/>
    <n v="-1.3470736479666092"/>
    <n v="0.26"/>
    <n v="11489"/>
    <n v="6"/>
    <s v="RES"/>
    <n v="3093"/>
    <s v="YC2"/>
    <s v="R1"/>
    <n v="11"/>
    <n v="259"/>
    <s v="SE"/>
    <x v="2"/>
    <s v="GD"/>
    <x v="3"/>
    <n v="1978"/>
    <n v="1980"/>
    <n v="46"/>
    <n v="44"/>
    <n v="1"/>
    <n v="1291"/>
    <n v="0"/>
    <n v="0"/>
    <n v="575"/>
    <n v="0"/>
    <n v="575"/>
    <n v="1866"/>
    <n v="2000"/>
    <n v="2"/>
    <s v="S"/>
    <s v="FD"/>
    <s v="E"/>
    <s v="Y"/>
    <n v="0"/>
    <n v="0"/>
    <n v="1"/>
    <n v="1"/>
    <n v="1"/>
    <n v="11"/>
    <n v="0"/>
    <n v="550"/>
    <n v="0"/>
    <n v="280"/>
    <n v="0"/>
    <n v="0"/>
    <n v="100"/>
    <n v="100"/>
    <n v="302569"/>
    <n v="254158"/>
    <n v="545"/>
    <n v="365"/>
    <n v="180"/>
    <n v="0"/>
    <d v="2022-07-05T00:00:00"/>
    <s v="E037302"/>
    <n v="362500"/>
    <n v="362500"/>
    <s v="SWD"/>
    <n v="30"/>
    <s v="N"/>
    <s v="Y"/>
    <n v="367700"/>
    <n v="67600"/>
    <n v="300100"/>
    <n v="0"/>
    <n v="1.0143448275862068"/>
    <n v="372818.86000201851"/>
    <n v="396505.63085112092"/>
    <n v="-23686.770850690002"/>
    <n v="0"/>
    <n v="89850.625589999996"/>
    <n v="-42641.098701210125"/>
    <n v="29814.093161000001"/>
    <n v="197752.34721000001"/>
    <n v="-9814.0064220000004"/>
    <n v="63786.592811207003"/>
    <n v="0"/>
    <n v="0"/>
    <n v="16722.089767024998"/>
    <n v="41712.243157199999"/>
    <n v="9322.7442772800005"/>
    <n v="372818.85999981186"/>
    <n v="0"/>
    <n v="325600"/>
    <n v="47200"/>
    <n v="372800"/>
    <n v="1.0284137931034483"/>
    <n v="1.3870002719608376E-2"/>
    <n v="0.99970000000000003"/>
    <n v="1.0088999999999999"/>
    <n v="0.99650000000000005"/>
    <n v="1.0093000000000001"/>
    <n v="0.96919999999999995"/>
    <n v="0.94971499999999998"/>
    <n v="0.93401188212709219"/>
    <n v="349300"/>
    <n v="0"/>
    <n v="349300"/>
    <n v="44800"/>
    <n v="394100"/>
    <n v="0.1639453515494835"/>
    <n v="-0.33727810650887574"/>
    <n v="7.1797661136796295E-2"/>
    <n v="1.021829597653269"/>
  </r>
  <r>
    <n v="2025"/>
    <n v="18132211411"/>
    <n v="-1.7147984280919266"/>
    <n v="0.18"/>
    <n v="7874"/>
    <n v="6"/>
    <s v="RES"/>
    <n v="3032"/>
    <s v="YC2"/>
    <s v="R1"/>
    <n v="11"/>
    <n v="259"/>
    <s v="SL"/>
    <x v="1"/>
    <s v="AV"/>
    <x v="3"/>
    <n v="1977"/>
    <n v="1979"/>
    <n v="47"/>
    <n v="45"/>
    <n v="1"/>
    <n v="1628"/>
    <n v="0"/>
    <n v="0"/>
    <n v="308"/>
    <n v="0"/>
    <n v="308"/>
    <n v="1936"/>
    <n v="2000"/>
    <n v="2"/>
    <s v="B"/>
    <s v="FD"/>
    <s v="G"/>
    <s v="Y"/>
    <n v="0"/>
    <n v="1"/>
    <n v="0"/>
    <n v="1"/>
    <n v="0"/>
    <n v="12"/>
    <n v="0"/>
    <n v="440"/>
    <n v="0"/>
    <n v="66"/>
    <n v="590"/>
    <n v="240"/>
    <n v="100"/>
    <n v="100"/>
    <n v="384348"/>
    <n v="299791"/>
    <n v="885"/>
    <n v="365"/>
    <n v="365"/>
    <n v="155"/>
    <d v="2021-07-30T00:00:00"/>
    <s v="E032488"/>
    <n v="315000"/>
    <n v="315000"/>
    <s v="SWD"/>
    <n v="30"/>
    <s v="N"/>
    <s v="Y"/>
    <n v="360400"/>
    <n v="54700"/>
    <n v="305700"/>
    <n v="0"/>
    <n v="1.1441269841269841"/>
    <n v="324932.58750913473"/>
    <n v="367221.83709817013"/>
    <n v="-42289.249594570007"/>
    <n v="0"/>
    <n v="89850.625589999996"/>
    <n v="-54281.285314520763"/>
    <n v="44121.038090000002"/>
    <n v="160472.20319"/>
    <n v="-10037.0520225"/>
    <n v="80437.314559756007"/>
    <n v="0"/>
    <n v="0"/>
    <n v="8957.2237360759991"/>
    <n v="45504.265262400004"/>
    <n v="2197.5040082160003"/>
    <n v="324932.58750485728"/>
    <n v="0"/>
    <n v="289400"/>
    <n v="35600"/>
    <n v="325000"/>
    <n v="1.0317460317460319"/>
    <n v="-9.822419533851276E-2"/>
    <n v="0.99970000000000003"/>
    <n v="0.98050000000000004"/>
    <n v="0.99729999999999996"/>
    <n v="1.0093000000000001"/>
    <n v="0.96919999999999995"/>
    <n v="0.94971499999999998"/>
    <n v="0.90844866943059244"/>
    <n v="331700"/>
    <n v="0"/>
    <n v="331700"/>
    <n v="33800"/>
    <n v="365500"/>
    <n v="8.5050703303892708E-2"/>
    <n v="-0.38208409506398539"/>
    <n v="1.4150943396226415E-2"/>
    <n v="1.0260658743029523"/>
  </r>
  <r>
    <n v="2025"/>
    <n v="18132211410"/>
    <n v="-0.86750056770472306"/>
    <n v="0.42"/>
    <n v="18223"/>
    <n v="6"/>
    <s v="RES"/>
    <n v="3032"/>
    <s v="YC2"/>
    <s v="R1"/>
    <n v="11"/>
    <n v="259"/>
    <s v="RN"/>
    <x v="0"/>
    <s v="GD"/>
    <x v="3"/>
    <n v="1975"/>
    <n v="1979"/>
    <n v="49"/>
    <n v="45"/>
    <n v="1"/>
    <n v="1720"/>
    <n v="0"/>
    <n v="0"/>
    <n v="0"/>
    <n v="0"/>
    <n v="0"/>
    <n v="1720"/>
    <n v="2000"/>
    <n v="2"/>
    <m/>
    <s v="FD"/>
    <s v="G"/>
    <s v="Y"/>
    <n v="0"/>
    <n v="0"/>
    <n v="1"/>
    <n v="1"/>
    <n v="0"/>
    <n v="8"/>
    <n v="552"/>
    <n v="0"/>
    <n v="0"/>
    <n v="352"/>
    <n v="192"/>
    <n v="192"/>
    <n v="100"/>
    <n v="100"/>
    <n v="274241"/>
    <n v="230362"/>
    <n v="865"/>
    <n v="365"/>
    <n v="365"/>
    <n v="135"/>
    <d v="2021-08-19T00:00:00"/>
    <s v="E032774"/>
    <n v="397500"/>
    <n v="397500"/>
    <s v="SWD"/>
    <n v="30"/>
    <s v="N"/>
    <s v="Y"/>
    <n v="370100"/>
    <n v="84300"/>
    <n v="285800"/>
    <n v="0"/>
    <n v="0.93106918238993708"/>
    <n v="359087.14778363303"/>
    <n v="398701.96311517159"/>
    <n v="-39614.815336569998"/>
    <n v="0"/>
    <n v="89850.625589999996"/>
    <n v="-27460.397125792362"/>
    <n v="21557.329055999999"/>
    <n v="197752.34721000001"/>
    <n v="-10037.0520225"/>
    <n v="84982.912188440008"/>
    <n v="0"/>
    <n v="0"/>
    <n v="0"/>
    <n v="30336.176841600001"/>
    <n v="11720.021377152001"/>
    <n v="359087.14777832961"/>
    <n v="0"/>
    <n v="296700"/>
    <n v="62400"/>
    <n v="359100"/>
    <n v="0.90339622641509432"/>
    <n v="-2.9721696838692246E-2"/>
    <n v="0.99970000000000003"/>
    <n v="1.0067999999999999"/>
    <n v="0.99650000000000005"/>
    <n v="1.0093000000000001"/>
    <n v="0.96919999999999995"/>
    <n v="0.94971499999999998"/>
    <n v="0.93206775986277757"/>
    <n v="336300"/>
    <n v="0"/>
    <n v="336300"/>
    <n v="59300"/>
    <n v="395600"/>
    <n v="0.17669699090272917"/>
    <n v="-0.29655990510083036"/>
    <n v="6.8900297216968387E-2"/>
    <n v="0.89556021298976096"/>
  </r>
  <r>
    <n v="2025"/>
    <n v="18132321514"/>
    <n v="-3.912023005428146"/>
    <n v="0.02"/>
    <n v="612"/>
    <n v="6"/>
    <s v="CON"/>
    <s v="YC2"/>
    <s v="YC2"/>
    <s v="R2"/>
    <n v="11"/>
    <n v="262"/>
    <s v="CM"/>
    <x v="0"/>
    <s v="AV"/>
    <x v="3"/>
    <n v="1975"/>
    <n v="1979"/>
    <n v="49"/>
    <n v="45"/>
    <n v="2"/>
    <n v="612"/>
    <n v="612"/>
    <n v="0"/>
    <n v="0"/>
    <n v="0"/>
    <n v="0"/>
    <n v="1224"/>
    <n v="1500"/>
    <n v="0"/>
    <m/>
    <s v="MH"/>
    <s v="E"/>
    <m/>
    <n v="0"/>
    <n v="0"/>
    <n v="0"/>
    <n v="0"/>
    <n v="1"/>
    <n v="7"/>
    <n v="0"/>
    <n v="0"/>
    <n v="408"/>
    <n v="0"/>
    <n v="136"/>
    <n v="0"/>
    <n v="100"/>
    <n v="100"/>
    <n v="167975"/>
    <n v="131021"/>
    <n v="133"/>
    <n v="133"/>
    <n v="0"/>
    <n v="0"/>
    <d v="2023-08-21T00:00:00"/>
    <s v="E041257"/>
    <n v="220000"/>
    <n v="220000"/>
    <s v="SWD"/>
    <n v="30"/>
    <s v="N"/>
    <s v="Y"/>
    <n v="179500"/>
    <n v="26900"/>
    <n v="152600"/>
    <n v="0"/>
    <n v="0.81590909090909092"/>
    <n v="212816.8321542232"/>
    <n v="222201.07229747146"/>
    <n v="-9384.2401438100005"/>
    <n v="0"/>
    <n v="89850.625589999996"/>
    <n v="-123833.58500677992"/>
    <n v="21557.329055999999"/>
    <n v="160472.20319"/>
    <n v="-10037.0520225"/>
    <n v="30238.105964724"/>
    <n v="27409.290790931998"/>
    <n v="0"/>
    <n v="0"/>
    <n v="26544.1547364"/>
    <n v="0"/>
    <n v="212816.83215496608"/>
    <n v="0"/>
    <n v="246800"/>
    <n v="-34000"/>
    <n v="212800"/>
    <n v="0.96727272727272728"/>
    <n v="0.18551532033426185"/>
    <n v="0.99970000000000003"/>
    <n v="1.0067999999999999"/>
    <n v="0.99729999999999996"/>
    <n v="1.0157"/>
    <n v="0.96919999999999995"/>
    <n v="0.94971499999999998"/>
    <n v="0.93873104601730073"/>
    <n v="256200"/>
    <n v="0"/>
    <n v="256200"/>
    <n v="-32300"/>
    <n v="223900"/>
    <n v="0.67889908256880738"/>
    <n v="-2.2007434944237918"/>
    <n v="0.24735376044568244"/>
    <n v="0.97507163570995459"/>
  </r>
  <r>
    <n v="2025"/>
    <n v="18132321502"/>
    <n v="-4.6051701859880909"/>
    <n v="0.01"/>
    <n v="612"/>
    <n v="6"/>
    <s v="CON"/>
    <s v="303N"/>
    <s v="YC2"/>
    <s v="R2"/>
    <n v="11"/>
    <n v="262"/>
    <s v="CM"/>
    <x v="0"/>
    <s v="GD"/>
    <x v="3"/>
    <n v="1975"/>
    <n v="1979"/>
    <n v="49"/>
    <n v="45"/>
    <n v="2"/>
    <n v="612"/>
    <n v="612"/>
    <n v="0"/>
    <n v="0"/>
    <n v="0"/>
    <n v="0"/>
    <n v="1224"/>
    <n v="1500"/>
    <n v="0"/>
    <m/>
    <s v="FD"/>
    <s v="E"/>
    <s v="Y"/>
    <n v="0"/>
    <n v="0"/>
    <n v="0"/>
    <n v="0"/>
    <n v="1"/>
    <n v="7"/>
    <n v="0"/>
    <n v="0"/>
    <n v="408"/>
    <n v="0"/>
    <n v="136"/>
    <n v="0"/>
    <n v="100"/>
    <n v="100"/>
    <n v="145970"/>
    <n v="113857"/>
    <n v="615"/>
    <n v="365"/>
    <n v="250"/>
    <n v="0"/>
    <d v="2022-04-26T00:00:00"/>
    <s v="E036172"/>
    <n v="198000"/>
    <n v="198000"/>
    <s v="SWD"/>
    <n v="30"/>
    <s v="N"/>
    <s v="Y"/>
    <n v="198900"/>
    <n v="29800"/>
    <n v="169100"/>
    <n v="0"/>
    <n v="1.0045454545454546"/>
    <n v="214656.95983369974"/>
    <n v="237539.90866714425"/>
    <n v="-22882.94883505"/>
    <n v="0"/>
    <n v="89850.625589999996"/>
    <n v="-145774.89265936252"/>
    <n v="21557.329055999999"/>
    <n v="197752.34721000001"/>
    <n v="-10037.0520225"/>
    <n v="30238.105964724"/>
    <n v="27409.290790931998"/>
    <n v="0"/>
    <n v="0"/>
    <n v="26544.1547364"/>
    <n v="0"/>
    <n v="214656.95983114347"/>
    <n v="0"/>
    <n v="270600"/>
    <n v="-55900"/>
    <n v="214700"/>
    <n v="1.0843434343434344"/>
    <n v="7.9436902966314726E-2"/>
    <n v="0.99970000000000003"/>
    <n v="1.0067999999999999"/>
    <n v="0.99650000000000005"/>
    <n v="1.0157"/>
    <n v="0.96919999999999995"/>
    <n v="0.94971499999999998"/>
    <n v="0.93797802803192643"/>
    <n v="293500"/>
    <n v="0"/>
    <n v="293500"/>
    <n v="-53100"/>
    <n v="240400"/>
    <n v="0.73565937315198104"/>
    <n v="-2.7818791946308723"/>
    <n v="0.20864756158873807"/>
    <n v="1.0985709654795455"/>
  </r>
  <r>
    <n v="2025"/>
    <n v="18132322450"/>
    <n v="-1.4271163556401458"/>
    <n v="0.24"/>
    <n v="0"/>
    <n v="6"/>
    <s v="RES"/>
    <n v="3033"/>
    <s v="YC2"/>
    <s v="R1"/>
    <n v="11"/>
    <n v="259"/>
    <s v="RN"/>
    <x v="2"/>
    <s v="GD"/>
    <x v="4"/>
    <n v="1972"/>
    <n v="1978"/>
    <n v="52"/>
    <n v="46"/>
    <n v="1"/>
    <n v="2203"/>
    <n v="0"/>
    <n v="0"/>
    <n v="0"/>
    <n v="0"/>
    <n v="0"/>
    <n v="2203"/>
    <n v="2500"/>
    <n v="1"/>
    <s v="B"/>
    <s v="FD"/>
    <s v="G"/>
    <s v="Y"/>
    <n v="0"/>
    <n v="0"/>
    <n v="0"/>
    <n v="1"/>
    <n v="0"/>
    <n v="8"/>
    <n v="416"/>
    <n v="0"/>
    <n v="0"/>
    <n v="216"/>
    <n v="168"/>
    <n v="216"/>
    <n v="100"/>
    <n v="100"/>
    <n v="360637"/>
    <n v="299329"/>
    <n v="549"/>
    <n v="365"/>
    <n v="184"/>
    <n v="0"/>
    <d v="2022-07-01T00:00:00"/>
    <s v="E037540"/>
    <n v="408000"/>
    <n v="391586"/>
    <s v="SWD"/>
    <n v="30"/>
    <s v="N"/>
    <s v="Y"/>
    <n v="389400"/>
    <n v="64800"/>
    <n v="324600"/>
    <n v="16414"/>
    <n v="0.9544117647058824"/>
    <n v="384716.61820042651"/>
    <n v="408357.45636291982"/>
    <n v="-23640.838164082001"/>
    <n v="0"/>
    <n v="89850.625589999996"/>
    <n v="-45174.819855485119"/>
    <n v="29814.093161000001"/>
    <n v="197752.34721000001"/>
    <n v="-10260.097623"/>
    <n v="108847.299739031"/>
    <n v="0"/>
    <n v="0"/>
    <n v="0"/>
    <n v="30336.176841600001"/>
    <n v="7191.8312996160003"/>
    <n v="384716.61819867988"/>
    <n v="16400"/>
    <n v="340000"/>
    <n v="44700"/>
    <n v="401100"/>
    <n v="0.9830882352941176"/>
    <n v="3.0046224961479198E-2"/>
    <n v="0.99970000000000003"/>
    <n v="1.0088999999999999"/>
    <n v="0.99650000000000005"/>
    <n v="0.98919999999999997"/>
    <n v="0.98119999999999996"/>
    <n v="0.94971499999999998"/>
    <n v="0.92674525201703128"/>
    <n v="363700"/>
    <n v="15600"/>
    <n v="379300"/>
    <n v="42400"/>
    <n v="421700"/>
    <n v="0.16851509550215649"/>
    <n v="-0.34567901234567899"/>
    <n v="8.2948125321006677E-2"/>
    <n v="0.97563520057823028"/>
  </r>
  <r>
    <n v="2025"/>
    <n v="18132324553"/>
    <n v="-1.2378743560016174"/>
    <n v="0.28999999999999998"/>
    <n v="0"/>
    <n v="6"/>
    <s v="RES"/>
    <n v="3033"/>
    <s v="YC2"/>
    <s v="R1"/>
    <n v="11"/>
    <n v="259"/>
    <s v="RN"/>
    <x v="2"/>
    <s v="AV"/>
    <x v="4"/>
    <n v="1972"/>
    <n v="1978"/>
    <n v="52"/>
    <n v="46"/>
    <n v="1"/>
    <n v="1399"/>
    <n v="0"/>
    <n v="0"/>
    <n v="0"/>
    <n v="0"/>
    <n v="0"/>
    <n v="1399"/>
    <n v="1500"/>
    <n v="1"/>
    <s v="B"/>
    <s v="FD"/>
    <s v="G"/>
    <s v="Y"/>
    <n v="0"/>
    <n v="0"/>
    <n v="0"/>
    <n v="1"/>
    <n v="0"/>
    <n v="9"/>
    <n v="327"/>
    <n v="0"/>
    <n v="354"/>
    <n v="0"/>
    <n v="441"/>
    <n v="441"/>
    <n v="100"/>
    <n v="100"/>
    <n v="265834"/>
    <n v="204692"/>
    <n v="796"/>
    <n v="365"/>
    <n v="365"/>
    <n v="66"/>
    <d v="2021-10-27T00:00:00"/>
    <s v="E033795"/>
    <n v="295000"/>
    <n v="295000"/>
    <s v="SWD"/>
    <n v="30"/>
    <s v="N"/>
    <s v="Y"/>
    <n v="322100"/>
    <n v="71400"/>
    <n v="250700"/>
    <n v="0"/>
    <n v="1.091864406779661"/>
    <n v="303555.29820289859"/>
    <n v="333943.31534607313"/>
    <n v="-30388.017146470003"/>
    <n v="0"/>
    <n v="89850.625589999996"/>
    <n v="-39184.437074869042"/>
    <n v="29814.093161000001"/>
    <n v="160472.20319"/>
    <n v="-10260.097623"/>
    <n v="69122.729157923008"/>
    <n v="0"/>
    <n v="0"/>
    <n v="0"/>
    <n v="34128.198946800003"/>
    <n v="0"/>
    <n v="303555.29820138396"/>
    <n v="0"/>
    <n v="252900"/>
    <n v="50700"/>
    <n v="303600"/>
    <n v="1.0291525423728813"/>
    <n v="-5.7435579012728964E-2"/>
    <n v="0.99970000000000003"/>
    <n v="1.0088999999999999"/>
    <n v="0.99729999999999996"/>
    <n v="1.0157"/>
    <n v="0.98119999999999996"/>
    <n v="0.94971499999999998"/>
    <n v="0.95233606295915574"/>
    <n v="283300"/>
    <n v="0"/>
    <n v="283300"/>
    <n v="48100"/>
    <n v="331400"/>
    <n v="0.13003589948145194"/>
    <n v="-0.32633053221288516"/>
    <n v="2.8873020800993479E-2"/>
    <n v="1.0203796028933219"/>
  </r>
  <r>
    <n v="2025"/>
    <n v="18132344008"/>
    <n v="-2.5257286443082556"/>
    <n v="0.08"/>
    <n v="3679"/>
    <n v="6"/>
    <s v="RES"/>
    <s v="YC2"/>
    <s v="YC2"/>
    <s v="R1"/>
    <n v="11"/>
    <n v="259"/>
    <s v="RN"/>
    <x v="1"/>
    <s v="AV"/>
    <x v="4"/>
    <n v="1972"/>
    <n v="1978"/>
    <n v="52"/>
    <n v="46"/>
    <n v="1"/>
    <n v="1327"/>
    <n v="0"/>
    <n v="0"/>
    <n v="912"/>
    <n v="0"/>
    <n v="912"/>
    <n v="2239"/>
    <n v="2500"/>
    <n v="0"/>
    <m/>
    <s v="FD"/>
    <s v="G"/>
    <s v="N"/>
    <n v="1"/>
    <n v="0"/>
    <n v="0"/>
    <n v="1"/>
    <n v="0"/>
    <n v="15"/>
    <n v="0"/>
    <n v="0"/>
    <n v="0"/>
    <n v="0"/>
    <n v="843"/>
    <n v="68"/>
    <n v="100"/>
    <n v="100"/>
    <n v="317816"/>
    <n v="244718"/>
    <n v="41"/>
    <n v="41"/>
    <n v="0"/>
    <n v="0"/>
    <d v="2023-11-21T00:00:00"/>
    <s v="E042142"/>
    <n v="325000"/>
    <n v="325000"/>
    <s v="SWD"/>
    <n v="30"/>
    <s v="N"/>
    <s v="Y"/>
    <n v="326100"/>
    <n v="26500"/>
    <n v="299600"/>
    <n v="0"/>
    <n v="1.0033846153846153"/>
    <n v="350308.23845552141"/>
    <n v="353201.12451471825"/>
    <n v="-2892.8860593700001"/>
    <n v="0"/>
    <n v="89850.625589999996"/>
    <n v="-79950.969701614697"/>
    <n v="44121.038090000002"/>
    <n v="160472.20319"/>
    <n v="-10260.097623"/>
    <n v="65565.304926779005"/>
    <n v="0"/>
    <n v="0"/>
    <n v="26522.688465264"/>
    <n v="56880.331578000005"/>
    <n v="0"/>
    <n v="350308.23845605826"/>
    <n v="0"/>
    <n v="340400"/>
    <n v="9900"/>
    <n v="350300"/>
    <n v="1.0778461538461539"/>
    <n v="7.4210364918736588E-2"/>
    <n v="0.99970000000000003"/>
    <n v="0.98050000000000004"/>
    <n v="0.99729999999999996"/>
    <n v="0.98919999999999997"/>
    <n v="0.98119999999999996"/>
    <n v="0.94971499999999998"/>
    <n v="0.90138092159884586"/>
    <n v="343300"/>
    <n v="0"/>
    <n v="343300"/>
    <n v="9400"/>
    <n v="352700"/>
    <n v="0.1458611481975968"/>
    <n v="-0.6452830188679245"/>
    <n v="8.1570070530512115E-2"/>
    <n v="1.0763295813557845"/>
  </r>
  <r>
    <n v="2025"/>
    <n v="18132322027"/>
    <n v="-1.5606477482646683"/>
    <n v="0.21"/>
    <n v="9024"/>
    <n v="6"/>
    <s v="RES"/>
    <n v="3033"/>
    <s v="YC2"/>
    <s v="R1"/>
    <n v="11"/>
    <n v="259"/>
    <s v="RN"/>
    <x v="0"/>
    <s v="AV"/>
    <x v="4"/>
    <n v="1971"/>
    <n v="1978"/>
    <n v="53"/>
    <n v="46"/>
    <n v="1"/>
    <n v="1403"/>
    <n v="0"/>
    <n v="0"/>
    <n v="0"/>
    <n v="0"/>
    <n v="0"/>
    <n v="1403"/>
    <n v="1500"/>
    <n v="0"/>
    <s v="B"/>
    <s v="FD"/>
    <s v="G"/>
    <s v="Y"/>
    <n v="1"/>
    <n v="0"/>
    <n v="0"/>
    <n v="0"/>
    <n v="1"/>
    <n v="7"/>
    <n v="0"/>
    <n v="0"/>
    <n v="0"/>
    <n v="0"/>
    <n v="88"/>
    <n v="0"/>
    <n v="100"/>
    <n v="100"/>
    <n v="199116"/>
    <n v="153319"/>
    <n v="518"/>
    <n v="365"/>
    <n v="153"/>
    <n v="0"/>
    <d v="2022-08-01T00:00:00"/>
    <s v="E037520"/>
    <n v="330000"/>
    <n v="330000"/>
    <s v="SWD"/>
    <n v="30"/>
    <s v="N"/>
    <s v="Y"/>
    <n v="292700"/>
    <n v="60100"/>
    <n v="232600"/>
    <n v="0"/>
    <n v="0.88696969696969696"/>
    <n v="284086.0575230784"/>
    <n v="308082.87400679174"/>
    <n v="-23996.816485294003"/>
    <n v="0"/>
    <n v="89850.625589999996"/>
    <n v="-49401.70477837498"/>
    <n v="21557.329055999999"/>
    <n v="160472.20319"/>
    <n v="-10260.097623"/>
    <n v="69320.363837430996"/>
    <n v="0"/>
    <n v="0"/>
    <n v="0"/>
    <n v="26544.1547364"/>
    <n v="0"/>
    <n v="284086.05752316199"/>
    <n v="0"/>
    <n v="243600"/>
    <n v="40400"/>
    <n v="284000"/>
    <n v="0.8606060606060606"/>
    <n v="-2.9723266142808336E-2"/>
    <n v="0.99970000000000003"/>
    <n v="1.0067999999999999"/>
    <n v="0.99729999999999996"/>
    <n v="1.0157"/>
    <n v="0.98119999999999996"/>
    <n v="0.94971499999999998"/>
    <n v="0.95035379937285946"/>
    <n v="267600"/>
    <n v="0"/>
    <n v="267600"/>
    <n v="38400"/>
    <n v="306000"/>
    <n v="0.15047291487532244"/>
    <n v="-0.36106489184692181"/>
    <n v="4.5439016057396649E-2"/>
    <n v="0.85455510155971504"/>
  </r>
  <r>
    <n v="2025"/>
    <n v="18132323529"/>
    <n v="-2.2072749131897207"/>
    <n v="0.11"/>
    <n v="4657"/>
    <n v="6"/>
    <s v="RES"/>
    <n v="3033"/>
    <s v="YC2"/>
    <s v="R1"/>
    <n v="11"/>
    <n v="259"/>
    <s v="RN"/>
    <x v="0"/>
    <s v="GD"/>
    <x v="4"/>
    <n v="1971"/>
    <n v="1978"/>
    <n v="53"/>
    <n v="46"/>
    <n v="1"/>
    <n v="1334"/>
    <n v="0"/>
    <n v="0"/>
    <n v="0"/>
    <n v="0"/>
    <n v="0"/>
    <n v="1334"/>
    <n v="1500"/>
    <n v="0"/>
    <m/>
    <s v="HP"/>
    <s v="E"/>
    <m/>
    <n v="0"/>
    <n v="0"/>
    <n v="0"/>
    <n v="1"/>
    <n v="0"/>
    <n v="8"/>
    <n v="0"/>
    <n v="0"/>
    <n v="0"/>
    <n v="0"/>
    <n v="294"/>
    <n v="0"/>
    <n v="100"/>
    <n v="100"/>
    <n v="196898"/>
    <n v="163425"/>
    <n v="930"/>
    <n v="365"/>
    <n v="365"/>
    <n v="200"/>
    <d v="2021-06-15T00:00:00"/>
    <s v="E031775"/>
    <n v="310000"/>
    <n v="310000"/>
    <s v="SWD"/>
    <n v="30"/>
    <s v="N"/>
    <s v="Y"/>
    <n v="297100"/>
    <n v="37600"/>
    <n v="259500"/>
    <n v="0"/>
    <n v="0.95838709677419354"/>
    <n v="276970.38081097457"/>
    <n v="325277.10747937777"/>
    <n v="-48306.726675070007"/>
    <n v="0"/>
    <n v="89850.625589999996"/>
    <n v="-69870.439211769743"/>
    <n v="21557.329055999999"/>
    <n v="197752.34721000001"/>
    <n v="-10260.097623"/>
    <n v="65911.165615917998"/>
    <n v="0"/>
    <n v="0"/>
    <n v="0"/>
    <n v="30336.176841600001"/>
    <n v="0"/>
    <n v="276970.38080367824"/>
    <n v="0"/>
    <n v="257000"/>
    <n v="20000"/>
    <n v="277000"/>
    <n v="0.8935483870967742"/>
    <n v="-6.7653988556041739E-2"/>
    <n v="0.99970000000000003"/>
    <n v="1.0067999999999999"/>
    <n v="0.99650000000000005"/>
    <n v="1.0157"/>
    <n v="0.98119999999999996"/>
    <n v="0.94971499999999998"/>
    <n v="0.9495914580116861"/>
    <n v="305300"/>
    <n v="0"/>
    <n v="305300"/>
    <n v="19000"/>
    <n v="324300"/>
    <n v="0.1764932562620424"/>
    <n v="-0.49468085106382981"/>
    <n v="9.1551666105688323E-2"/>
    <n v="0.89030088169332255"/>
  </r>
  <r>
    <n v="2025"/>
    <n v="18132322026"/>
    <n v="-1.5606477482646683"/>
    <n v="0.21"/>
    <n v="0"/>
    <n v="6"/>
    <s v="RES"/>
    <n v="3033"/>
    <s v="YC2"/>
    <s v="R1"/>
    <n v="11"/>
    <n v="259"/>
    <s v="RN"/>
    <x v="0"/>
    <s v="AV"/>
    <x v="4"/>
    <n v="1971"/>
    <n v="1978"/>
    <n v="53"/>
    <n v="46"/>
    <n v="1"/>
    <n v="1032"/>
    <n v="0"/>
    <n v="0"/>
    <n v="0"/>
    <n v="0"/>
    <n v="0"/>
    <n v="1032"/>
    <n v="1500"/>
    <n v="1"/>
    <m/>
    <s v="FD"/>
    <s v="G"/>
    <m/>
    <n v="0"/>
    <n v="1"/>
    <n v="0"/>
    <n v="0"/>
    <n v="0"/>
    <n v="6"/>
    <n v="312"/>
    <n v="0"/>
    <n v="0"/>
    <n v="0"/>
    <n v="128"/>
    <n v="0"/>
    <n v="100"/>
    <n v="100"/>
    <n v="175376"/>
    <n v="135040"/>
    <n v="896"/>
    <n v="365"/>
    <n v="365"/>
    <n v="166"/>
    <d v="2021-07-19T00:00:00"/>
    <s v="E032268"/>
    <n v="260000"/>
    <n v="260000"/>
    <s v="SWD"/>
    <n v="30"/>
    <s v="N"/>
    <s v="Y"/>
    <n v="269800"/>
    <n v="60100"/>
    <n v="209700"/>
    <n v="0"/>
    <n v="1.0376923076923077"/>
    <n v="242200.04694660864"/>
    <n v="285960.23537726724"/>
    <n v="-43760.188436470002"/>
    <n v="0"/>
    <n v="89850.625589999996"/>
    <n v="-49401.70477837498"/>
    <n v="21557.329055999999"/>
    <n v="160472.20319"/>
    <n v="-10260.097623"/>
    <n v="50989.747313063999"/>
    <n v="0"/>
    <n v="0"/>
    <n v="0"/>
    <n v="22752.132631200002"/>
    <n v="0"/>
    <n v="242200.04694241902"/>
    <n v="0"/>
    <n v="201800"/>
    <n v="40400"/>
    <n v="242200"/>
    <n v="0.93153846153846154"/>
    <n v="-0.10229799851742032"/>
    <n v="0.99970000000000003"/>
    <n v="1.0067999999999999"/>
    <n v="0.99729999999999996"/>
    <n v="1.0157"/>
    <n v="0.98119999999999996"/>
    <n v="0.94971499999999998"/>
    <n v="0.95035379937285946"/>
    <n v="245500"/>
    <n v="0"/>
    <n v="245500"/>
    <n v="38400"/>
    <n v="283900"/>
    <n v="0.17072007629947544"/>
    <n v="-0.36106489184692181"/>
    <n v="5.2260934025203855E-2"/>
    <n v="0.92361465985973079"/>
  </r>
  <r>
    <n v="2025"/>
    <n v="18132212423"/>
    <n v="-1.1086626245216111"/>
    <n v="0.33"/>
    <n v="14470"/>
    <n v="6"/>
    <s v="RES"/>
    <n v="3032"/>
    <s v="YC2"/>
    <s v="R1"/>
    <n v="11"/>
    <n v="259"/>
    <s v="RN"/>
    <x v="1"/>
    <s v="GD"/>
    <x v="4"/>
    <n v="1968"/>
    <n v="1987"/>
    <n v="56"/>
    <n v="37"/>
    <n v="1"/>
    <n v="1575"/>
    <n v="0"/>
    <n v="0"/>
    <n v="1575"/>
    <n v="0"/>
    <n v="1575"/>
    <n v="3150"/>
    <n v="3500"/>
    <n v="0"/>
    <s v="S"/>
    <s v="FD"/>
    <s v="G"/>
    <s v="Y"/>
    <n v="0"/>
    <n v="1"/>
    <n v="0"/>
    <n v="1"/>
    <n v="0"/>
    <n v="14"/>
    <n v="0"/>
    <n v="0"/>
    <n v="0"/>
    <n v="294"/>
    <n v="288"/>
    <n v="72"/>
    <n v="100"/>
    <n v="100"/>
    <n v="484564"/>
    <n v="426416"/>
    <n v="668"/>
    <n v="365"/>
    <n v="303"/>
    <n v="0"/>
    <d v="2022-03-04T00:00:00"/>
    <s v="E035496"/>
    <n v="535000"/>
    <n v="511647"/>
    <s v="SWD"/>
    <n v="30"/>
    <s v="N"/>
    <s v="Y"/>
    <n v="478300"/>
    <n v="75900"/>
    <n v="402400"/>
    <n v="23353"/>
    <n v="0.894018691588785"/>
    <n v="452602.52460551751"/>
    <n v="474876.8653413924"/>
    <n v="-22274.340737494"/>
    <n v="0"/>
    <n v="89850.625589999996"/>
    <n v="-35094.289365640165"/>
    <n v="44121.038090000002"/>
    <n v="197752.34721000001"/>
    <n v="-8252.6872185000011"/>
    <n v="77818.655056275005"/>
    <n v="0"/>
    <n v="0"/>
    <n v="45803.985014024998"/>
    <n v="53088.3094728"/>
    <n v="9788.8814911440004"/>
    <n v="452602.52460260986"/>
    <n v="23400"/>
    <n v="397800"/>
    <n v="54800"/>
    <n v="476000"/>
    <n v="0.88971962616822431"/>
    <n v="-4.8086974702069834E-3"/>
    <n v="0.99970000000000003"/>
    <n v="0.98050000000000004"/>
    <n v="0.99650000000000005"/>
    <n v="1.0126999999999999"/>
    <n v="0.98119999999999996"/>
    <n v="0.94971499999999998"/>
    <n v="0.92205440708472342"/>
    <n v="420100"/>
    <n v="22200"/>
    <n v="442300"/>
    <n v="52000"/>
    <n v="494300"/>
    <n v="9.9155069582504973E-2"/>
    <n v="-0.31488801054018445"/>
    <n v="3.3451808488396406E-2"/>
    <n v="0.88229095189253459"/>
  </r>
  <r>
    <n v="2025"/>
    <n v="18132212419"/>
    <n v="-1.4271163556401458"/>
    <n v="0.24"/>
    <n v="10450"/>
    <n v="6"/>
    <s v="RES"/>
    <n v="3032"/>
    <s v="YC2"/>
    <s v="R1"/>
    <n v="11"/>
    <n v="259"/>
    <s v="SL"/>
    <x v="3"/>
    <s v="GD"/>
    <x v="4"/>
    <n v="1968"/>
    <n v="1977"/>
    <n v="56"/>
    <n v="47"/>
    <n v="1"/>
    <n v="1706"/>
    <n v="0"/>
    <n v="0"/>
    <n v="864"/>
    <n v="0"/>
    <n v="864"/>
    <n v="2570"/>
    <n v="3000"/>
    <n v="2"/>
    <s v="B"/>
    <s v="FD"/>
    <s v="G"/>
    <s v="Y"/>
    <n v="0"/>
    <n v="2"/>
    <n v="0"/>
    <n v="2"/>
    <n v="0"/>
    <n v="11"/>
    <n v="696"/>
    <n v="0"/>
    <n v="0"/>
    <n v="0"/>
    <n v="102"/>
    <n v="0"/>
    <n v="100"/>
    <n v="100"/>
    <n v="503875"/>
    <n v="418216"/>
    <n v="664"/>
    <n v="365"/>
    <n v="299"/>
    <n v="0"/>
    <d v="2022-03-08T00:00:00"/>
    <s v="E035498"/>
    <n v="448000"/>
    <n v="448000"/>
    <s v="SWD"/>
    <n v="30"/>
    <s v="N"/>
    <s v="Y"/>
    <n v="458900"/>
    <n v="64800"/>
    <n v="394100"/>
    <n v="0"/>
    <n v="1.0243303571428573"/>
    <n v="435023.33742502495"/>
    <n v="457343.61084750888"/>
    <n v="-22320.273424102001"/>
    <n v="0"/>
    <n v="89850.625589999996"/>
    <n v="-45174.819855485119"/>
    <n v="74268.409664999999"/>
    <n v="197752.34721000001"/>
    <n v="-10483.143223500001"/>
    <n v="84291.190810162007"/>
    <n v="0"/>
    <n v="0"/>
    <n v="25126.757493408"/>
    <n v="41712.243157199999"/>
    <n v="0"/>
    <n v="435023.33742268285"/>
    <n v="0"/>
    <n v="390300"/>
    <n v="44700"/>
    <n v="435000"/>
    <n v="0.9709821428571429"/>
    <n v="-5.208106341250817E-2"/>
    <n v="0.99970000000000003"/>
    <n v="0.98380000000000001"/>
    <n v="0.99650000000000005"/>
    <n v="0.96179999999999999"/>
    <n v="0.98119999999999996"/>
    <n v="0.94971499999999998"/>
    <n v="0.87865772359428407"/>
    <n v="412700"/>
    <n v="0"/>
    <n v="412700"/>
    <n v="42400"/>
    <n v="455100"/>
    <n v="4.7196143110885561E-2"/>
    <n v="-0.34567901234567899"/>
    <n v="-8.2806711701895845E-3"/>
    <n v="0.96602617539262947"/>
  </r>
  <r>
    <n v="2025"/>
    <n v="18132323534"/>
    <n v="-1.7719568419318752"/>
    <n v="0.17"/>
    <n v="7256"/>
    <n v="6"/>
    <s v="RES"/>
    <n v="3033"/>
    <s v="YC2"/>
    <s v="R1"/>
    <n v="11"/>
    <n v="259"/>
    <s v="RN"/>
    <x v="1"/>
    <s v="AV"/>
    <x v="4"/>
    <n v="1968"/>
    <n v="1977"/>
    <n v="56"/>
    <n v="47"/>
    <n v="1"/>
    <n v="918"/>
    <n v="0"/>
    <n v="0"/>
    <n v="0"/>
    <n v="0"/>
    <n v="0"/>
    <n v="918"/>
    <n v="1000"/>
    <n v="1"/>
    <m/>
    <s v="FD"/>
    <s v="G"/>
    <s v="Y"/>
    <n v="0"/>
    <n v="0"/>
    <n v="0"/>
    <n v="1"/>
    <n v="0"/>
    <n v="8"/>
    <n v="252"/>
    <n v="0"/>
    <n v="0"/>
    <n v="0"/>
    <n v="510"/>
    <n v="342"/>
    <n v="100"/>
    <n v="100"/>
    <n v="224484"/>
    <n v="170608"/>
    <n v="831"/>
    <n v="365"/>
    <n v="365"/>
    <n v="101"/>
    <d v="2021-09-22T00:00:00"/>
    <s v="E033346"/>
    <n v="276000"/>
    <n v="276000"/>
    <s v="SWD"/>
    <n v="30"/>
    <s v="N"/>
    <s v="Y"/>
    <n v="287100"/>
    <n v="52700"/>
    <n v="234400"/>
    <n v="0"/>
    <n v="1.0402173913043478"/>
    <n v="268495.16939909069"/>
    <n v="303563.44649288466"/>
    <n v="-35068.27709797"/>
    <n v="0"/>
    <n v="89850.625589999996"/>
    <n v="-56090.612940989391"/>
    <n v="44121.038090000002"/>
    <n v="160472.20319"/>
    <n v="-10483.143223500001"/>
    <n v="45357.158947085998"/>
    <n v="0"/>
    <n v="0"/>
    <n v="0"/>
    <n v="30336.176841600001"/>
    <n v="0"/>
    <n v="268495.16939622659"/>
    <n v="0"/>
    <n v="234700"/>
    <n v="33800"/>
    <n v="268500"/>
    <n v="0.97282608695652173"/>
    <n v="-6.4785788923719959E-2"/>
    <n v="0.99970000000000003"/>
    <n v="0.98050000000000004"/>
    <n v="0.99729999999999996"/>
    <n v="1.0148999999999999"/>
    <n v="0.98119999999999996"/>
    <n v="0.94971499999999998"/>
    <n v="0.92479933009570214"/>
    <n v="269800"/>
    <n v="0"/>
    <n v="269800"/>
    <n v="32100"/>
    <n v="301900"/>
    <n v="0.15102389078498293"/>
    <n v="-0.39089184060721061"/>
    <n v="5.1549982584465345E-2"/>
    <n v="0.96678160471749996"/>
  </r>
  <r>
    <n v="2025"/>
    <n v="18132323531"/>
    <n v="-2.0402208285265546"/>
    <n v="0.13"/>
    <n v="5475"/>
    <n v="6"/>
    <s v="RES"/>
    <n v="3033"/>
    <s v="YC2"/>
    <s v="R1"/>
    <n v="11"/>
    <n v="259"/>
    <s v="RN"/>
    <x v="0"/>
    <s v="AV"/>
    <x v="4"/>
    <n v="1967"/>
    <n v="1976"/>
    <n v="57"/>
    <n v="48"/>
    <n v="1"/>
    <n v="1472"/>
    <n v="0"/>
    <n v="0"/>
    <n v="0"/>
    <n v="0"/>
    <n v="0"/>
    <n v="1472"/>
    <n v="1500"/>
    <n v="1"/>
    <m/>
    <s v="FD"/>
    <s v="G"/>
    <m/>
    <n v="0"/>
    <n v="1"/>
    <n v="0"/>
    <n v="1"/>
    <n v="0"/>
    <n v="8"/>
    <n v="264"/>
    <n v="0"/>
    <n v="0"/>
    <n v="156"/>
    <n v="132"/>
    <n v="288"/>
    <n v="100"/>
    <n v="100"/>
    <n v="236417"/>
    <n v="174949"/>
    <n v="145"/>
    <n v="145"/>
    <n v="0"/>
    <n v="0"/>
    <d v="2023-08-09T00:00:00"/>
    <s v="E041123"/>
    <n v="325000"/>
    <n v="325000"/>
    <s v="SWD"/>
    <n v="30"/>
    <s v="N"/>
    <s v="Y"/>
    <n v="287900"/>
    <n v="43400"/>
    <n v="244500"/>
    <n v="0"/>
    <n v="0.88584615384615384"/>
    <n v="294620.46343814704"/>
    <n v="304851.40194018465"/>
    <n v="-10230.93850265"/>
    <n v="0"/>
    <n v="89850.625589999996"/>
    <n v="-64582.406353792743"/>
    <n v="21557.329055999999"/>
    <n v="160472.20319"/>
    <n v="-10706.188824000001"/>
    <n v="72729.562058944008"/>
    <n v="0"/>
    <n v="0"/>
    <n v="0"/>
    <n v="30336.176841600001"/>
    <n v="5194.1003830560003"/>
    <n v="294620.46343915723"/>
    <n v="0"/>
    <n v="269400"/>
    <n v="25300"/>
    <n v="294700"/>
    <n v="0.90676923076923077"/>
    <n v="2.3619312261201807E-2"/>
    <n v="0.99970000000000003"/>
    <n v="1.0067999999999999"/>
    <n v="0.99729999999999996"/>
    <n v="1.0157"/>
    <n v="0.98119999999999996"/>
    <n v="0.94971499999999998"/>
    <n v="0.95035379937285946"/>
    <n v="279600"/>
    <n v="0"/>
    <n v="279600"/>
    <n v="24000"/>
    <n v="303600"/>
    <n v="0.14355828220858896"/>
    <n v="-0.44700460829493088"/>
    <n v="5.4532823897186521E-2"/>
    <n v="0.90267403537646151"/>
  </r>
  <r>
    <n v="2025"/>
    <n v="18132323015"/>
    <n v="-2.0402208285265546"/>
    <n v="0.13"/>
    <n v="5507"/>
    <n v="6"/>
    <s v="RES"/>
    <n v="3033"/>
    <s v="YC2"/>
    <s v="R1"/>
    <n v="11"/>
    <n v="259"/>
    <s v="RN"/>
    <x v="0"/>
    <s v="AV"/>
    <x v="4"/>
    <n v="1966"/>
    <n v="1976"/>
    <n v="58"/>
    <n v="48"/>
    <n v="1"/>
    <n v="1267"/>
    <n v="0"/>
    <n v="0"/>
    <n v="0"/>
    <n v="0"/>
    <n v="0"/>
    <n v="1267"/>
    <n v="1500"/>
    <n v="1"/>
    <m/>
    <s v="FD"/>
    <s v="G"/>
    <s v="Y"/>
    <n v="0"/>
    <n v="0"/>
    <n v="0"/>
    <n v="1"/>
    <n v="0"/>
    <n v="8"/>
    <n v="308"/>
    <n v="0"/>
    <n v="0"/>
    <n v="160"/>
    <n v="286"/>
    <n v="286"/>
    <n v="100"/>
    <n v="100"/>
    <n v="207364"/>
    <n v="153449"/>
    <n v="493"/>
    <n v="365"/>
    <n v="128"/>
    <n v="0"/>
    <d v="2022-08-26T00:00:00"/>
    <s v="E037823"/>
    <n v="295000"/>
    <n v="295000"/>
    <s v="SWD"/>
    <n v="30"/>
    <s v="N"/>
    <s v="Y"/>
    <n v="274300"/>
    <n v="43400"/>
    <n v="230900"/>
    <n v="0"/>
    <n v="0.92983050847457627"/>
    <n v="270571.91090152226"/>
    <n v="294855.80667654198"/>
    <n v="-24283.895776593999"/>
    <n v="0"/>
    <n v="89850.625589999996"/>
    <n v="-64582.406353792743"/>
    <n v="21557.329055999999"/>
    <n v="160472.20319"/>
    <n v="-10706.188824000001"/>
    <n v="62600.784734159002"/>
    <n v="0"/>
    <n v="0"/>
    <n v="0"/>
    <n v="30336.176841600001"/>
    <n v="5327.2824441600005"/>
    <n v="270571.91090153228"/>
    <n v="0"/>
    <n v="245300"/>
    <n v="25300"/>
    <n v="270600"/>
    <n v="0.91728813559322031"/>
    <n v="-1.3488880787458987E-2"/>
    <n v="0.99970000000000003"/>
    <n v="1.0067999999999999"/>
    <n v="0.99729999999999996"/>
    <n v="1.0157"/>
    <n v="0.98119999999999996"/>
    <n v="0.94971499999999998"/>
    <n v="0.95035379937285946"/>
    <n v="269600"/>
    <n v="0"/>
    <n v="269600"/>
    <n v="24000"/>
    <n v="293600"/>
    <n v="0.16760502381983541"/>
    <n v="-0.44700460829493088"/>
    <n v="7.0360918702150929E-2"/>
    <n v="0.9129359465200203"/>
  </r>
  <r>
    <n v="2025"/>
    <n v="18132212442"/>
    <n v="-1.0216512475319814"/>
    <n v="0.36"/>
    <n v="15737"/>
    <n v="6"/>
    <s v="RES"/>
    <n v="3032"/>
    <s v="YC2"/>
    <s v="R1"/>
    <n v="11"/>
    <n v="259"/>
    <s v="RN"/>
    <x v="3"/>
    <s v="GD"/>
    <x v="4"/>
    <n v="1966"/>
    <n v="1976"/>
    <n v="58"/>
    <n v="48"/>
    <n v="1"/>
    <n v="1792"/>
    <n v="0"/>
    <n v="0"/>
    <n v="832"/>
    <n v="416"/>
    <n v="416"/>
    <n v="2208"/>
    <n v="2500"/>
    <n v="2"/>
    <m/>
    <s v="FD"/>
    <s v="G"/>
    <s v="Y"/>
    <n v="0"/>
    <n v="2"/>
    <n v="0"/>
    <n v="1"/>
    <n v="0"/>
    <n v="12"/>
    <n v="768"/>
    <n v="0"/>
    <n v="0"/>
    <n v="0"/>
    <n v="0"/>
    <n v="0"/>
    <n v="100"/>
    <n v="100"/>
    <n v="540524"/>
    <n v="443230"/>
    <n v="1035"/>
    <n v="365"/>
    <n v="365"/>
    <n v="305"/>
    <d v="2021-03-02T00:00:00"/>
    <s v="E030381"/>
    <n v="335000"/>
    <n v="335000"/>
    <s v="SWD"/>
    <n v="30"/>
    <s v="N"/>
    <s v="Y"/>
    <n v="487500"/>
    <n v="78900"/>
    <n v="408600"/>
    <n v="0"/>
    <n v="1.455223880597015"/>
    <n v="414718.44798698864"/>
    <n v="477065.95450725016"/>
    <n v="-62347.506529570004"/>
    <n v="0"/>
    <n v="89850.625589999996"/>
    <n v="-32339.977661938148"/>
    <n v="74268.409664999999"/>
    <n v="197752.34721000001"/>
    <n v="-10706.188824000001"/>
    <n v="88540.336419583997"/>
    <n v="0"/>
    <n v="0"/>
    <n v="24196.136845503999"/>
    <n v="45504.265262400004"/>
    <n v="0"/>
    <n v="414718.44797697989"/>
    <n v="0"/>
    <n v="357200"/>
    <n v="57500"/>
    <n v="414700"/>
    <n v="1.237910447761194"/>
    <n v="-0.14933333333333335"/>
    <n v="0.99970000000000003"/>
    <n v="0.98380000000000001"/>
    <n v="0.99650000000000005"/>
    <n v="0.98919999999999997"/>
    <n v="0.98119999999999996"/>
    <n v="0.94971499999999998"/>
    <n v="0.90368914553905788"/>
    <n v="419600"/>
    <n v="0"/>
    <n v="419600"/>
    <n v="54600"/>
    <n v="474200"/>
    <n v="2.6921194322075379E-2"/>
    <n v="-0.30798479087452474"/>
    <n v="-2.7282051282051283E-2"/>
    <n v="1.2294104282699403"/>
  </r>
  <r>
    <n v="2025"/>
    <n v="18132333010"/>
    <n v="-1.5606477482646683"/>
    <n v="0.21"/>
    <n v="0"/>
    <n v="6"/>
    <s v="RES"/>
    <n v="3093"/>
    <s v="YC2"/>
    <s v="R1"/>
    <n v="11"/>
    <n v="259"/>
    <s v="RN"/>
    <x v="1"/>
    <s v="GD"/>
    <x v="4"/>
    <n v="1965"/>
    <n v="1976"/>
    <n v="59"/>
    <n v="48"/>
    <n v="1"/>
    <n v="1580"/>
    <n v="0"/>
    <n v="0"/>
    <n v="968"/>
    <n v="0"/>
    <n v="968"/>
    <n v="2548"/>
    <n v="3000"/>
    <n v="1"/>
    <s v="B"/>
    <s v="FD"/>
    <s v="G"/>
    <s v="Y"/>
    <n v="0"/>
    <n v="1"/>
    <n v="0"/>
    <n v="1"/>
    <n v="0"/>
    <n v="8"/>
    <n v="336"/>
    <n v="0"/>
    <n v="0"/>
    <n v="0"/>
    <n v="420"/>
    <n v="420"/>
    <n v="100"/>
    <n v="100"/>
    <n v="425698"/>
    <n v="344815"/>
    <n v="514"/>
    <n v="365"/>
    <n v="149"/>
    <n v="0"/>
    <d v="2022-08-05T00:00:00"/>
    <s v="E037603"/>
    <n v="413500"/>
    <n v="390390"/>
    <s v="SWD"/>
    <n v="30"/>
    <s v="N"/>
    <s v="Y"/>
    <n v="411900"/>
    <n v="60100"/>
    <n v="351800"/>
    <n v="23110"/>
    <n v="0.99613059250302294"/>
    <n v="384126.51796484558"/>
    <n v="408169.2671351679"/>
    <n v="-24042.749171902"/>
    <n v="0"/>
    <n v="89850.625589999996"/>
    <n v="-49401.70477837498"/>
    <n v="44121.038090000002"/>
    <n v="197752.34721000001"/>
    <n v="-10706.188824000001"/>
    <n v="78065.698405660005"/>
    <n v="0"/>
    <n v="0"/>
    <n v="28151.274599095999"/>
    <n v="30336.176841600001"/>
    <n v="0"/>
    <n v="384126.51796207897"/>
    <n v="23100"/>
    <n v="343700"/>
    <n v="40400"/>
    <n v="407200"/>
    <n v="0.98476420798065301"/>
    <n v="-1.1410536537994658E-2"/>
    <n v="0.99970000000000003"/>
    <n v="0.98050000000000004"/>
    <n v="0.99650000000000005"/>
    <n v="0.96179999999999999"/>
    <n v="0.98119999999999996"/>
    <n v="0.94971499999999998"/>
    <n v="0.87571040657064003"/>
    <n v="367700"/>
    <n v="21900"/>
    <n v="389600"/>
    <n v="38400"/>
    <n v="428000"/>
    <n v="0.10744741330301308"/>
    <n v="-0.36106489184692181"/>
    <n v="3.9087157076960428E-2"/>
    <n v="0.97692200925779438"/>
  </r>
  <r>
    <n v="2025"/>
    <n v="18132323471"/>
    <n v="-1.4271163556401458"/>
    <n v="0.24"/>
    <n v="10298"/>
    <n v="6"/>
    <s v="RES"/>
    <n v="3033"/>
    <s v="YC2"/>
    <s v="R1"/>
    <n v="11"/>
    <n v="259"/>
    <s v="RN"/>
    <x v="0"/>
    <s v="AV"/>
    <x v="4"/>
    <n v="1965"/>
    <n v="1976"/>
    <n v="59"/>
    <n v="48"/>
    <n v="1"/>
    <n v="1206"/>
    <n v="0"/>
    <n v="0"/>
    <n v="0"/>
    <n v="0"/>
    <n v="0"/>
    <n v="1206"/>
    <n v="1500"/>
    <n v="0"/>
    <m/>
    <s v="FD"/>
    <s v="G"/>
    <m/>
    <n v="0"/>
    <n v="0"/>
    <n v="1"/>
    <n v="0"/>
    <n v="1"/>
    <n v="7"/>
    <n v="0"/>
    <n v="0"/>
    <n v="280"/>
    <n v="0"/>
    <n v="160"/>
    <n v="160"/>
    <n v="100"/>
    <n v="100"/>
    <n v="184733"/>
    <n v="136702"/>
    <n v="1042"/>
    <n v="365"/>
    <n v="365"/>
    <n v="312"/>
    <d v="2021-02-23T00:00:00"/>
    <s v="E030236"/>
    <n v="218000"/>
    <n v="218000"/>
    <s v="SWD"/>
    <n v="30"/>
    <s v="N"/>
    <s v="Y"/>
    <n v="289400"/>
    <n v="64800"/>
    <n v="224600"/>
    <n v="0"/>
    <n v="1.3275229357798166"/>
    <n v="238846.60125258871"/>
    <n v="302130.15976297401"/>
    <n v="-63283.558519870006"/>
    <n v="0"/>
    <n v="89850.625589999996"/>
    <n v="-45174.819855485119"/>
    <n v="21557.329055999999"/>
    <n v="160472.20319"/>
    <n v="-10706.188824000001"/>
    <n v="59586.855871662003"/>
    <n v="0"/>
    <n v="0"/>
    <n v="0"/>
    <n v="26544.1547364"/>
    <n v="0"/>
    <n v="238846.60124470686"/>
    <n v="0"/>
    <n v="194200"/>
    <n v="44700"/>
    <n v="238900"/>
    <n v="1.0958715596330275"/>
    <n v="-0.17449896337249482"/>
    <n v="0.99970000000000003"/>
    <n v="1.0067999999999999"/>
    <n v="0.99729999999999996"/>
    <n v="1.0157"/>
    <n v="0.98119999999999996"/>
    <n v="0.94971499999999998"/>
    <n v="0.95035379937285946"/>
    <n v="257500"/>
    <n v="0"/>
    <n v="257500"/>
    <n v="42400"/>
    <n v="299900"/>
    <n v="0.1464826357969724"/>
    <n v="-0.34567901234567899"/>
    <n v="3.6281962681409811E-2"/>
    <n v="1.085396520551055"/>
  </r>
  <r>
    <n v="2025"/>
    <n v="18132322446"/>
    <n v="-1.7147984280919266"/>
    <n v="0.18"/>
    <n v="0"/>
    <n v="6"/>
    <s v="RES"/>
    <n v="3033"/>
    <s v="YC2"/>
    <s v="R1"/>
    <n v="11"/>
    <n v="259"/>
    <s v="RN"/>
    <x v="1"/>
    <s v="GD"/>
    <x v="4"/>
    <n v="1965"/>
    <n v="1976"/>
    <n v="59"/>
    <n v="48"/>
    <n v="1"/>
    <n v="1050"/>
    <n v="0"/>
    <n v="0"/>
    <n v="0"/>
    <n v="0"/>
    <n v="0"/>
    <n v="1050"/>
    <n v="1500"/>
    <n v="1"/>
    <s v="B"/>
    <s v="FD"/>
    <s v="G"/>
    <s v="Y"/>
    <n v="0"/>
    <n v="1"/>
    <n v="0"/>
    <n v="0"/>
    <n v="1"/>
    <n v="7"/>
    <n v="308"/>
    <n v="0"/>
    <n v="150"/>
    <n v="0"/>
    <n v="280"/>
    <n v="280"/>
    <n v="100"/>
    <n v="100"/>
    <n v="243710"/>
    <n v="197405"/>
    <n v="843"/>
    <n v="365"/>
    <n v="365"/>
    <n v="113"/>
    <d v="2021-09-10T00:00:00"/>
    <s v="E033175"/>
    <n v="235000"/>
    <n v="235000"/>
    <s v="SWD"/>
    <n v="30"/>
    <s v="N"/>
    <s v="Y"/>
    <n v="316300"/>
    <n v="54700"/>
    <n v="261600"/>
    <n v="0"/>
    <n v="1.3459574468085107"/>
    <n v="308486.85721126926"/>
    <n v="345159.79485956131"/>
    <n v="-36672.937652770001"/>
    <n v="0"/>
    <n v="89850.625589999996"/>
    <n v="-54281.285314520763"/>
    <n v="44121.038090000002"/>
    <n v="197752.34721000001"/>
    <n v="-10706.188824000001"/>
    <n v="51879.103370850004"/>
    <n v="0"/>
    <n v="0"/>
    <n v="0"/>
    <n v="26544.1547364"/>
    <n v="0"/>
    <n v="308486.85720595927"/>
    <n v="0"/>
    <n v="272900"/>
    <n v="35600"/>
    <n v="308500"/>
    <n v="1.3127659574468085"/>
    <n v="-2.4660132785330382E-2"/>
    <n v="0.99970000000000003"/>
    <n v="0.98050000000000004"/>
    <n v="0.99650000000000005"/>
    <n v="1.0157"/>
    <n v="0.98119999999999996"/>
    <n v="0.94971499999999998"/>
    <n v="0.92478588059242983"/>
    <n v="309600"/>
    <n v="0"/>
    <n v="309600"/>
    <n v="33800"/>
    <n v="343400"/>
    <n v="0.1834862385321101"/>
    <n v="-0.38208409506398539"/>
    <n v="8.5678153651596589E-2"/>
    <n v="1.3052215419031064"/>
  </r>
  <r>
    <n v="2025"/>
    <n v="18132331469"/>
    <n v="-1.6607312068216509"/>
    <n v="0.19"/>
    <n v="0"/>
    <n v="6"/>
    <s v="RES"/>
    <n v="3032"/>
    <s v="YC2"/>
    <s v="R1"/>
    <n v="11"/>
    <n v="259"/>
    <s v="RN"/>
    <x v="0"/>
    <s v="GD"/>
    <x v="4"/>
    <n v="1964"/>
    <n v="1975"/>
    <n v="60"/>
    <n v="49"/>
    <n v="1"/>
    <n v="1262"/>
    <n v="0"/>
    <n v="0"/>
    <n v="0"/>
    <n v="0"/>
    <n v="0"/>
    <n v="1262"/>
    <n v="1500"/>
    <n v="2"/>
    <s v="B"/>
    <s v="FD"/>
    <s v="G"/>
    <s v="Y"/>
    <n v="0"/>
    <n v="1"/>
    <n v="0"/>
    <n v="1"/>
    <n v="0"/>
    <n v="8"/>
    <n v="572"/>
    <n v="0"/>
    <n v="0"/>
    <n v="0"/>
    <n v="170"/>
    <n v="0"/>
    <n v="100"/>
    <n v="100"/>
    <n v="208899"/>
    <n v="165030"/>
    <n v="258"/>
    <n v="258"/>
    <n v="0"/>
    <n v="0"/>
    <d v="2023-04-18T00:00:00"/>
    <s v="E039965"/>
    <n v="365000"/>
    <n v="365000"/>
    <s v="SWD"/>
    <n v="30"/>
    <s v="N"/>
    <s v="Y"/>
    <n v="308700"/>
    <n v="56600"/>
    <n v="252100"/>
    <n v="0"/>
    <n v="0.84575342465753423"/>
    <n v="320147.16274352104"/>
    <n v="338351.1774574914"/>
    <n v="-18204.014715060002"/>
    <n v="0"/>
    <n v="89850.625589999996"/>
    <n v="-52569.808201026557"/>
    <n v="21557.329055999999"/>
    <n v="197752.34721000001"/>
    <n v="-10929.2344245"/>
    <n v="62353.741384774003"/>
    <n v="0"/>
    <n v="0"/>
    <n v="0"/>
    <n v="30336.176841600001"/>
    <n v="0"/>
    <n v="320147.16274178744"/>
    <n v="0"/>
    <n v="282900"/>
    <n v="37300"/>
    <n v="320200"/>
    <n v="0.87726027397260276"/>
    <n v="3.7252996436669905E-2"/>
    <n v="0.99970000000000003"/>
    <n v="1.0067999999999999"/>
    <n v="0.99650000000000005"/>
    <n v="1.0157"/>
    <n v="0.98119999999999996"/>
    <n v="0.94971499999999998"/>
    <n v="0.9495914580116861"/>
    <n v="301100"/>
    <n v="0"/>
    <n v="301100"/>
    <n v="35400"/>
    <n v="336500"/>
    <n v="0.19436731455771519"/>
    <n v="-0.37455830388692579"/>
    <n v="9.0055069646906377E-2"/>
    <n v="0.87204379530120546"/>
  </r>
  <r>
    <n v="2025"/>
    <n v="18132324424"/>
    <n v="-1.7147984280919266"/>
    <n v="0.18"/>
    <n v="0"/>
    <n v="6"/>
    <s v="RES"/>
    <n v="3033"/>
    <s v="YC2"/>
    <s v="R1"/>
    <n v="11"/>
    <n v="259"/>
    <s v="RN"/>
    <x v="0"/>
    <s v="GD"/>
    <x v="4"/>
    <n v="1964"/>
    <n v="1975"/>
    <n v="60"/>
    <n v="49"/>
    <n v="1"/>
    <n v="1332"/>
    <n v="0"/>
    <n v="0"/>
    <n v="0"/>
    <n v="0"/>
    <n v="0"/>
    <n v="1332"/>
    <n v="1500"/>
    <n v="0"/>
    <s v="B"/>
    <s v="BH"/>
    <s v="E"/>
    <m/>
    <n v="0"/>
    <n v="0"/>
    <n v="0"/>
    <n v="0"/>
    <n v="1"/>
    <n v="8"/>
    <n v="0"/>
    <n v="0"/>
    <n v="252"/>
    <n v="0"/>
    <n v="253"/>
    <n v="253"/>
    <n v="100"/>
    <n v="100"/>
    <n v="195738"/>
    <n v="154633"/>
    <n v="165"/>
    <n v="165"/>
    <n v="0"/>
    <n v="0"/>
    <d v="2023-07-20T00:00:00"/>
    <s v="E040938"/>
    <n v="310000"/>
    <n v="310000"/>
    <s v="SWD"/>
    <n v="30"/>
    <s v="N"/>
    <s v="Y"/>
    <n v="311200"/>
    <n v="54700"/>
    <n v="256500"/>
    <n v="0"/>
    <n v="1.0038709677419355"/>
    <n v="328456.20480202581"/>
    <n v="340098.30723537895"/>
    <n v="-11642.102434050001"/>
    <n v="0"/>
    <n v="89850.625589999996"/>
    <n v="-54281.285314520763"/>
    <n v="21557.329055999999"/>
    <n v="197752.34721000001"/>
    <n v="-10929.2344245"/>
    <n v="65812.348276164004"/>
    <n v="0"/>
    <n v="0"/>
    <n v="0"/>
    <n v="30336.176841600001"/>
    <n v="0"/>
    <n v="328456.2048006932"/>
    <n v="0"/>
    <n v="292900"/>
    <n v="35600"/>
    <n v="328500"/>
    <n v="1.0596774193548386"/>
    <n v="5.5591259640102829E-2"/>
    <n v="0.99970000000000003"/>
    <n v="1.0067999999999999"/>
    <n v="0.99650000000000005"/>
    <n v="1.0157"/>
    <n v="0.98119999999999996"/>
    <n v="0.94971499999999998"/>
    <n v="0.9495914580116861"/>
    <n v="304500"/>
    <n v="0"/>
    <n v="304500"/>
    <n v="33800"/>
    <n v="338300"/>
    <n v="0.1871345029239766"/>
    <n v="-0.38208409506398539"/>
    <n v="8.7082262210796915E-2"/>
    <n v="1.0537351534385484"/>
  </r>
  <r>
    <n v="2025"/>
    <n v="18132212438"/>
    <n v="-0.94160853985844495"/>
    <n v="0.39"/>
    <n v="16875"/>
    <n v="6"/>
    <s v="RES"/>
    <n v="3032"/>
    <s v="YC2"/>
    <s v="R1"/>
    <n v="11"/>
    <n v="259"/>
    <s v="RN"/>
    <x v="3"/>
    <s v="GD"/>
    <x v="4"/>
    <n v="1964"/>
    <n v="1975"/>
    <n v="60"/>
    <n v="49"/>
    <n v="1"/>
    <n v="2598"/>
    <n v="0"/>
    <n v="0"/>
    <n v="1274"/>
    <n v="374"/>
    <n v="900"/>
    <n v="3498"/>
    <n v="3500"/>
    <n v="2"/>
    <m/>
    <s v="FD"/>
    <s v="G"/>
    <s v="Y"/>
    <n v="0"/>
    <n v="1"/>
    <n v="0"/>
    <n v="1"/>
    <n v="1"/>
    <n v="11"/>
    <n v="600"/>
    <n v="0"/>
    <n v="0"/>
    <n v="0"/>
    <n v="544"/>
    <n v="0"/>
    <n v="100"/>
    <n v="100"/>
    <n v="665659"/>
    <n v="532527"/>
    <n v="906"/>
    <n v="365"/>
    <n v="365"/>
    <n v="176"/>
    <d v="2021-07-09T00:00:00"/>
    <s v="E032219"/>
    <n v="439500"/>
    <n v="439500"/>
    <s v="SWD"/>
    <n v="30"/>
    <s v="N"/>
    <s v="Y"/>
    <n v="531100"/>
    <n v="81700"/>
    <n v="449400"/>
    <n v="0"/>
    <n v="1.2084186575654152"/>
    <n v="483164.78801648068"/>
    <n v="528262.19357588771"/>
    <n v="-45097.405565470006"/>
    <n v="0"/>
    <n v="89850.625589999996"/>
    <n v="-29806.256507663158"/>
    <n v="74268.409664999999"/>
    <n v="197752.34721000001"/>
    <n v="-10929.2344245"/>
    <n v="128363.724340446"/>
    <n v="0"/>
    <n v="0"/>
    <n v="37050.334544678"/>
    <n v="41712.243157199999"/>
    <n v="0"/>
    <n v="483164.78800969082"/>
    <n v="0"/>
    <n v="423100"/>
    <n v="60000"/>
    <n v="483100"/>
    <n v="1.0992036405005687"/>
    <n v="-9.0378459800414229E-2"/>
    <n v="0.99970000000000003"/>
    <n v="0.98380000000000001"/>
    <n v="0.99650000000000005"/>
    <n v="1.0126999999999999"/>
    <n v="0.98119999999999996"/>
    <n v="0.94971499999999998"/>
    <n v="0.92515770085665561"/>
    <n v="468200"/>
    <n v="0"/>
    <n v="468200"/>
    <n v="57000"/>
    <n v="525200"/>
    <n v="4.1833555852247441E-2"/>
    <n v="-0.30232558139534882"/>
    <n v="-1.110901901713425E-2"/>
    <n v="1.0923836050842548"/>
  </r>
  <r>
    <n v="2025"/>
    <n v="18132213024"/>
    <n v="-1.5606477482646683"/>
    <n v="0.21"/>
    <n v="9176"/>
    <n v="6"/>
    <s v="RES"/>
    <n v="3033"/>
    <s v="YC2"/>
    <s v="R2"/>
    <n v="11"/>
    <n v="259"/>
    <s v="RN"/>
    <x v="3"/>
    <s v="AV"/>
    <x v="4"/>
    <n v="1964"/>
    <n v="1975"/>
    <n v="60"/>
    <n v="49"/>
    <n v="1"/>
    <n v="1606"/>
    <n v="0"/>
    <n v="0"/>
    <n v="535"/>
    <n v="0"/>
    <n v="535"/>
    <n v="2141"/>
    <n v="2500"/>
    <n v="2"/>
    <m/>
    <s v="FD"/>
    <s v="E"/>
    <s v="Y"/>
    <n v="1"/>
    <n v="0"/>
    <n v="0"/>
    <n v="1"/>
    <n v="1"/>
    <n v="10"/>
    <n v="544"/>
    <n v="0"/>
    <n v="0"/>
    <n v="0"/>
    <n v="0"/>
    <n v="0"/>
    <n v="100"/>
    <n v="100"/>
    <n v="484083"/>
    <n v="358221"/>
    <n v="921"/>
    <n v="365"/>
    <n v="365"/>
    <n v="191"/>
    <d v="2021-06-24T00:00:00"/>
    <s v="E032076"/>
    <n v="277200"/>
    <n v="277200"/>
    <s v="SWD"/>
    <n v="30"/>
    <s v="N"/>
    <s v="Y"/>
    <n v="413400"/>
    <n v="60100"/>
    <n v="353300"/>
    <n v="0"/>
    <n v="1.4913419913419914"/>
    <n v="349986.4268196284"/>
    <n v="397089.65807215794"/>
    <n v="-47103.231258970001"/>
    <n v="0"/>
    <n v="89850.625589999996"/>
    <n v="-49401.70477837498"/>
    <n v="74268.409664999999"/>
    <n v="160472.20319"/>
    <n v="-10929.2344245"/>
    <n v="79350.323822462"/>
    <n v="0"/>
    <n v="0"/>
    <n v="15558.813957144999"/>
    <n v="37920.221052000001"/>
    <n v="0"/>
    <n v="349986.426814762"/>
    <n v="0"/>
    <n v="309500"/>
    <n v="40400"/>
    <n v="349900"/>
    <n v="1.2622655122655122"/>
    <n v="-0.15360425737784228"/>
    <n v="0.99970000000000003"/>
    <n v="0.98380000000000001"/>
    <n v="0.99729999999999996"/>
    <n v="0.98919999999999997"/>
    <n v="0.98119999999999996"/>
    <n v="0.94971499999999998"/>
    <n v="0.9044146360723555"/>
    <n v="356600"/>
    <n v="0"/>
    <n v="356600"/>
    <n v="38400"/>
    <n v="395000"/>
    <n v="9.3405038211152001E-3"/>
    <n v="-0.36106489184692181"/>
    <n v="-4.450895016932753E-2"/>
    <n v="1.255038848272114"/>
  </r>
  <r>
    <n v="2025"/>
    <n v="18132244025"/>
    <n v="-1.6094379124341003"/>
    <n v="0.2"/>
    <n v="8628"/>
    <n v="6"/>
    <s v="RES"/>
    <n v="3093"/>
    <s v="YC2"/>
    <s v="R1"/>
    <n v="11"/>
    <n v="259"/>
    <s v="RN"/>
    <x v="2"/>
    <s v="GD"/>
    <x v="5"/>
    <n v="1963"/>
    <n v="1975"/>
    <n v="61"/>
    <n v="49"/>
    <n v="1"/>
    <n v="1322"/>
    <n v="0"/>
    <n v="0"/>
    <n v="0"/>
    <n v="0"/>
    <n v="0"/>
    <n v="1322"/>
    <n v="1500"/>
    <n v="1"/>
    <s v="B"/>
    <s v="HP"/>
    <s v="G"/>
    <m/>
    <n v="0"/>
    <n v="0"/>
    <n v="0"/>
    <n v="1"/>
    <n v="1"/>
    <n v="7"/>
    <n v="350"/>
    <n v="0"/>
    <n v="0"/>
    <n v="0"/>
    <n v="290"/>
    <n v="290"/>
    <n v="100"/>
    <n v="100"/>
    <n v="239328"/>
    <n v="189069"/>
    <n v="612"/>
    <n v="365"/>
    <n v="247"/>
    <n v="0"/>
    <d v="2022-04-29T00:00:00"/>
    <s v="E036354"/>
    <n v="326000"/>
    <n v="326000"/>
    <s v="SWD"/>
    <n v="30"/>
    <s v="N"/>
    <s v="Y"/>
    <n v="317800"/>
    <n v="58400"/>
    <n v="259400"/>
    <n v="0"/>
    <n v="0.9748466257668712"/>
    <n v="324486.71082524711"/>
    <n v="347404.10917364835"/>
    <n v="-22917.398350006002"/>
    <n v="0"/>
    <n v="89850.625589999996"/>
    <n v="-50946.13867709865"/>
    <n v="29814.093161000001"/>
    <n v="197752.34721000001"/>
    <n v="-10929.2344245"/>
    <n v="65318.261577394005"/>
    <n v="0"/>
    <n v="0"/>
    <n v="0"/>
    <n v="26544.1547364"/>
    <n v="0"/>
    <n v="324486.71082318935"/>
    <n v="0"/>
    <n v="285600"/>
    <n v="38900"/>
    <n v="324500"/>
    <n v="0.995398773006135"/>
    <n v="2.1082441787287604E-2"/>
    <n v="0.99970000000000003"/>
    <n v="1.0088999999999999"/>
    <n v="0.99650000000000005"/>
    <n v="1.0157"/>
    <n v="1.0199"/>
    <n v="0.94971499999999998"/>
    <n v="0.98910356391210685"/>
    <n v="308500"/>
    <n v="0"/>
    <n v="308500"/>
    <n v="36900"/>
    <n v="345400"/>
    <n v="0.18928296067848882"/>
    <n v="-0.36815068493150682"/>
    <n v="8.6847073631214605E-2"/>
    <n v="0.989210434509184"/>
  </r>
  <r>
    <n v="2025"/>
    <n v="18132323414"/>
    <n v="-1.5606477482646683"/>
    <n v="0.21"/>
    <n v="0"/>
    <n v="6"/>
    <s v="RES"/>
    <n v="3033"/>
    <s v="YC2"/>
    <s v="R1"/>
    <n v="11"/>
    <n v="259"/>
    <s v="RN"/>
    <x v="2"/>
    <s v="AV"/>
    <x v="5"/>
    <n v="1962"/>
    <n v="1975"/>
    <n v="62"/>
    <n v="49"/>
    <n v="1"/>
    <n v="1250"/>
    <n v="0"/>
    <n v="0"/>
    <n v="1250"/>
    <n v="0"/>
    <n v="1250"/>
    <n v="2500"/>
    <n v="3000"/>
    <n v="0"/>
    <m/>
    <s v="FD"/>
    <s v="E"/>
    <s v="Y"/>
    <n v="0"/>
    <n v="2"/>
    <n v="0"/>
    <n v="0"/>
    <n v="0"/>
    <n v="8"/>
    <n v="0"/>
    <n v="0"/>
    <n v="0"/>
    <n v="132"/>
    <n v="0"/>
    <n v="0"/>
    <n v="100"/>
    <n v="100"/>
    <n v="325572"/>
    <n v="234412"/>
    <n v="803"/>
    <n v="365"/>
    <n v="365"/>
    <n v="73"/>
    <d v="2021-10-20T00:00:00"/>
    <s v="E033706"/>
    <n v="341000"/>
    <n v="334953"/>
    <s v="SWD"/>
    <n v="30"/>
    <s v="N"/>
    <s v="Y"/>
    <n v="352300"/>
    <n v="60100"/>
    <n v="292200"/>
    <n v="6047"/>
    <n v="1.0331378299120235"/>
    <n v="321326.30486668681"/>
    <n v="352650.37399998523"/>
    <n v="-31324.069136770006"/>
    <n v="0"/>
    <n v="89850.625589999996"/>
    <n v="-49401.70477837498"/>
    <n v="29814.093161000001"/>
    <n v="160472.20319"/>
    <n v="-10929.2344245"/>
    <n v="61760.837346250002"/>
    <n v="0"/>
    <n v="0"/>
    <n v="36352.369058749995"/>
    <n v="30336.176841600001"/>
    <n v="4395.0080164320007"/>
    <n v="321326.30486438697"/>
    <n v="6000"/>
    <n v="280900"/>
    <n v="40400"/>
    <n v="327300"/>
    <n v="0.95982404692082113"/>
    <n v="-7.0962248084019297E-2"/>
    <n v="0.99970000000000003"/>
    <n v="1.0088999999999999"/>
    <n v="0.99729999999999996"/>
    <n v="0.96179999999999999"/>
    <n v="1.0199"/>
    <n v="0.94971499999999998"/>
    <n v="0.93736687670377261"/>
    <n v="312200"/>
    <n v="5700"/>
    <n v="317900"/>
    <n v="38400"/>
    <n v="356300"/>
    <n v="8.7953456536618749E-2"/>
    <n v="-0.36106489184692181"/>
    <n v="1.1353959693443088E-2"/>
    <n v="0.95300859490683287"/>
  </r>
  <r>
    <n v="2025"/>
    <n v="18132212430"/>
    <n v="-0.9942522733438669"/>
    <n v="0.37"/>
    <n v="16006"/>
    <n v="6"/>
    <s v="RES"/>
    <n v="3032"/>
    <s v="YC2"/>
    <s v="R1"/>
    <n v="11"/>
    <n v="259"/>
    <s v="RN"/>
    <x v="3"/>
    <s v="AV"/>
    <x v="5"/>
    <n v="1962"/>
    <n v="1975"/>
    <n v="62"/>
    <n v="49"/>
    <n v="1"/>
    <n v="2187"/>
    <n v="0"/>
    <n v="0"/>
    <n v="2187"/>
    <n v="660"/>
    <n v="1527"/>
    <n v="3714"/>
    <n v="4000"/>
    <n v="2"/>
    <s v="B"/>
    <s v="HP"/>
    <s v="G"/>
    <m/>
    <n v="0"/>
    <n v="2"/>
    <n v="0"/>
    <n v="2"/>
    <n v="0"/>
    <n v="13"/>
    <n v="506"/>
    <n v="0"/>
    <n v="0"/>
    <n v="450"/>
    <n v="450"/>
    <n v="475"/>
    <n v="100"/>
    <n v="100"/>
    <n v="716174"/>
    <n v="529969"/>
    <n v="768"/>
    <n v="365"/>
    <n v="365"/>
    <n v="38"/>
    <d v="2021-11-24T00:00:00"/>
    <s v="E034205"/>
    <n v="479500"/>
    <n v="479500"/>
    <s v="SWD"/>
    <n v="30"/>
    <s v="N"/>
    <s v="Y"/>
    <n v="535400"/>
    <n v="79900"/>
    <n v="455500"/>
    <n v="0"/>
    <n v="1.1165797705943692"/>
    <n v="491483.65634242736"/>
    <n v="518127.46552510641"/>
    <n v="-26643.809185270002"/>
    <n v="0"/>
    <n v="89850.625589999996"/>
    <n v="-31472.673662315807"/>
    <n v="74268.409664999999"/>
    <n v="160472.20319"/>
    <n v="-10929.2344245"/>
    <n v="108056.76102099901"/>
    <n v="0"/>
    <n v="0"/>
    <n v="63602.104905188993"/>
    <n v="49296.287367600002"/>
    <n v="14982.981874200001"/>
    <n v="491483.65634090226"/>
    <n v="0"/>
    <n v="433100"/>
    <n v="58400"/>
    <n v="491500"/>
    <n v="1.0250260688216892"/>
    <n v="-8.1994770265222269E-2"/>
    <n v="0.99970000000000003"/>
    <n v="0.98380000000000001"/>
    <n v="0.99729999999999996"/>
    <n v="0.94579999999999997"/>
    <n v="1.0199"/>
    <n v="0.94971499999999998"/>
    <n v="0.89884092112146985"/>
    <n v="459700"/>
    <n v="0"/>
    <n v="459700"/>
    <n v="55400"/>
    <n v="515100"/>
    <n v="9.2206366630076843E-3"/>
    <n v="-0.30663329161451813"/>
    <n v="-3.7915577138587973E-2"/>
    <n v="1.0186781873091346"/>
  </r>
  <r>
    <n v="2025"/>
    <n v="18132241478"/>
    <n v="-1.6607312068216509"/>
    <n v="0.19"/>
    <n v="8400"/>
    <n v="6"/>
    <s v="RES"/>
    <n v="3033"/>
    <s v="YC2"/>
    <s v="R1"/>
    <n v="11"/>
    <n v="259"/>
    <s v="TD"/>
    <x v="2"/>
    <s v="AV"/>
    <x v="5"/>
    <n v="1962"/>
    <n v="1975"/>
    <n v="62"/>
    <n v="49"/>
    <n v="1"/>
    <n v="1116"/>
    <n v="0"/>
    <n v="0"/>
    <n v="1131"/>
    <n v="0"/>
    <n v="1131"/>
    <n v="2247"/>
    <n v="2500"/>
    <n v="2"/>
    <m/>
    <s v="BH"/>
    <s v="E"/>
    <s v="N"/>
    <n v="0"/>
    <n v="1"/>
    <n v="0"/>
    <n v="1"/>
    <n v="0"/>
    <n v="9"/>
    <n v="713"/>
    <n v="0"/>
    <n v="0"/>
    <n v="0"/>
    <n v="0"/>
    <n v="0"/>
    <n v="100"/>
    <n v="100"/>
    <n v="338059"/>
    <n v="243402"/>
    <n v="746"/>
    <n v="365"/>
    <n v="365"/>
    <n v="16"/>
    <d v="2021-12-16T00:00:00"/>
    <s v="E034477"/>
    <n v="289000"/>
    <n v="289000"/>
    <s v="SWD"/>
    <n v="30"/>
    <s v="N"/>
    <s v="Y"/>
    <n v="336700"/>
    <n v="56600"/>
    <n v="280100"/>
    <n v="0"/>
    <n v="1.1650519031141868"/>
    <n v="315095.84586881852"/>
    <n v="338797.777368251"/>
    <n v="-23701.931501470004"/>
    <n v="0"/>
    <n v="89850.625589999996"/>
    <n v="-52569.808201026557"/>
    <n v="29814.093161000001"/>
    <n v="160472.20319"/>
    <n v="-10929.2344245"/>
    <n v="55140.075582732003"/>
    <n v="0"/>
    <n v="0"/>
    <n v="32891.623524356997"/>
    <n v="34128.198946800003"/>
    <n v="0"/>
    <n v="315095.84586789249"/>
    <n v="0"/>
    <n v="277800"/>
    <n v="37300"/>
    <n v="315100"/>
    <n v="1.090311418685121"/>
    <n v="-6.4152064152064148E-2"/>
    <n v="0.99970000000000003"/>
    <n v="1.0088999999999999"/>
    <n v="0.99729999999999996"/>
    <n v="0.98919999999999997"/>
    <n v="1.0199"/>
    <n v="0.94971499999999998"/>
    <n v="0.96407081974981479"/>
    <n v="301500"/>
    <n v="0"/>
    <n v="301500"/>
    <n v="35400"/>
    <n v="336900"/>
    <n v="7.6401285255265974E-2"/>
    <n v="-0.37455830388692579"/>
    <n v="5.9400059400059396E-4"/>
    <n v="1.0837303408253633"/>
  </r>
  <r>
    <n v="2025"/>
    <n v="18132322444"/>
    <n v="-1.7719568419318752"/>
    <n v="0.17"/>
    <n v="0"/>
    <n v="6"/>
    <s v="RES"/>
    <s v="YC2"/>
    <s v="YC2"/>
    <s v="R1"/>
    <n v="11"/>
    <n v="259"/>
    <s v="RN"/>
    <x v="0"/>
    <s v="FR"/>
    <x v="5"/>
    <n v="1961"/>
    <n v="1975"/>
    <n v="63"/>
    <n v="49"/>
    <n v="1"/>
    <n v="1156"/>
    <n v="0"/>
    <n v="0"/>
    <n v="1056"/>
    <n v="556"/>
    <n v="500"/>
    <n v="1656"/>
    <n v="2000"/>
    <n v="1"/>
    <s v="B"/>
    <s v="FD"/>
    <s v="G"/>
    <m/>
    <n v="0"/>
    <n v="0"/>
    <n v="0"/>
    <n v="0"/>
    <n v="0"/>
    <n v="5"/>
    <n v="288"/>
    <n v="0"/>
    <n v="0"/>
    <n v="95"/>
    <n v="256"/>
    <n v="256"/>
    <n v="100"/>
    <n v="100"/>
    <n v="215222"/>
    <n v="154960"/>
    <n v="54"/>
    <n v="54"/>
    <n v="0"/>
    <n v="0"/>
    <d v="2023-11-08T00:00:00"/>
    <s v="E042028"/>
    <n v="289000"/>
    <n v="289000"/>
    <s v="SWD"/>
    <n v="30"/>
    <s v="N"/>
    <s v="Y"/>
    <n v="287600"/>
    <n v="52700"/>
    <n v="234900"/>
    <n v="0"/>
    <n v="0.99515570934256059"/>
    <n v="284242.59111390426"/>
    <n v="288052.73372845619"/>
    <n v="-3810.1426147800003"/>
    <n v="0"/>
    <n v="89850.625589999996"/>
    <n v="-56090.612940989391"/>
    <n v="21557.329055999999"/>
    <n v="133714.53821"/>
    <n v="-10929.2344245"/>
    <n v="57116.422377811999"/>
    <n v="0"/>
    <n v="0"/>
    <n v="30710.481380832"/>
    <n v="18960.110526"/>
    <n v="3163.0739512200003"/>
    <n v="284242.59111159464"/>
    <n v="0"/>
    <n v="250500"/>
    <n v="33800"/>
    <n v="284300"/>
    <n v="0.98373702422145326"/>
    <n v="-1.1474269819193325E-2"/>
    <n v="0.99970000000000003"/>
    <n v="1.0067999999999999"/>
    <n v="0.99329999999999996"/>
    <n v="1.0093000000000001"/>
    <n v="1.0199"/>
    <n v="0.94971499999999998"/>
    <n v="0.97767566352077906"/>
    <n v="254300"/>
    <n v="0"/>
    <n v="254300"/>
    <n v="32100"/>
    <n v="286400"/>
    <n v="8.2588335461898685E-2"/>
    <n v="-0.39089184060721061"/>
    <n v="-4.172461752433936E-3"/>
    <n v="0.97781957572740485"/>
  </r>
  <r>
    <n v="2025"/>
    <n v="18132322443"/>
    <n v="-1.7719568419318752"/>
    <n v="0.17"/>
    <n v="0"/>
    <n v="6"/>
    <s v="RES"/>
    <n v="3033"/>
    <s v="YC2"/>
    <s v="R1"/>
    <n v="11"/>
    <n v="259"/>
    <s v="RN"/>
    <x v="2"/>
    <s v="AV"/>
    <x v="5"/>
    <n v="1961"/>
    <n v="1975"/>
    <n v="63"/>
    <n v="49"/>
    <n v="1"/>
    <n v="1453"/>
    <n v="0"/>
    <n v="0"/>
    <n v="1153"/>
    <n v="0"/>
    <n v="1153"/>
    <n v="2606"/>
    <n v="3000"/>
    <n v="0"/>
    <s v="B"/>
    <s v="FD"/>
    <s v="G"/>
    <s v="N"/>
    <n v="0"/>
    <n v="1"/>
    <n v="0"/>
    <n v="2"/>
    <n v="1"/>
    <n v="10"/>
    <n v="0"/>
    <n v="0"/>
    <n v="0"/>
    <n v="0"/>
    <n v="399"/>
    <n v="0"/>
    <n v="100"/>
    <n v="100"/>
    <n v="339914"/>
    <n v="244738"/>
    <n v="802"/>
    <n v="365"/>
    <n v="365"/>
    <n v="72"/>
    <d v="2021-10-21T00:00:00"/>
    <s v="E033778"/>
    <n v="300000"/>
    <n v="300000"/>
    <s v="SWD"/>
    <n v="30"/>
    <s v="N"/>
    <s v="Y"/>
    <n v="357300"/>
    <n v="52700"/>
    <n v="304600"/>
    <n v="0"/>
    <n v="1.1910000000000001"/>
    <n v="325169.17075703276"/>
    <n v="356359.51817745634"/>
    <n v="-31190.347423870004"/>
    <n v="0"/>
    <n v="89850.625589999996"/>
    <n v="-56090.612940989391"/>
    <n v="29814.093161000001"/>
    <n v="160472.20319"/>
    <n v="-10929.2344245"/>
    <n v="71790.797331281006"/>
    <n v="0"/>
    <n v="0"/>
    <n v="33531.425219790995"/>
    <n v="37920.221052000001"/>
    <n v="0"/>
    <n v="325169.1707547126"/>
    <n v="0"/>
    <n v="291400"/>
    <n v="33800"/>
    <n v="325200"/>
    <n v="1.0840000000000001"/>
    <n v="-8.984047019311503E-2"/>
    <n v="0.99970000000000003"/>
    <n v="1.0088999999999999"/>
    <n v="0.99729999999999996"/>
    <n v="0.96179999999999999"/>
    <n v="1.0199"/>
    <n v="0.94971499999999998"/>
    <n v="0.93736687670377261"/>
    <n v="322600"/>
    <n v="0"/>
    <n v="322600"/>
    <n v="32100"/>
    <n v="354700"/>
    <n v="5.9093893630991462E-2"/>
    <n v="-0.39089184060721061"/>
    <n v="-7.2767982087881336E-3"/>
    <n v="1.0783655085871"/>
  </r>
  <r>
    <n v="2025"/>
    <n v="18132242488"/>
    <n v="-1.5141277326297755"/>
    <n v="0.22"/>
    <n v="9732"/>
    <n v="6"/>
    <s v="RES"/>
    <n v="3033"/>
    <s v="YC2"/>
    <s v="R1"/>
    <n v="11"/>
    <n v="259"/>
    <s v="RN"/>
    <x v="1"/>
    <s v="AV"/>
    <x v="5"/>
    <n v="1960"/>
    <n v="1975"/>
    <n v="64"/>
    <n v="49"/>
    <n v="1"/>
    <n v="1316"/>
    <n v="0"/>
    <n v="0"/>
    <n v="1316"/>
    <n v="78"/>
    <n v="1238"/>
    <n v="2554"/>
    <n v="3000"/>
    <n v="1"/>
    <m/>
    <s v="FD"/>
    <s v="O"/>
    <s v="N"/>
    <n v="0"/>
    <n v="2"/>
    <n v="0"/>
    <n v="0"/>
    <n v="1"/>
    <n v="10"/>
    <n v="360"/>
    <n v="0"/>
    <n v="0"/>
    <n v="0"/>
    <n v="40"/>
    <n v="40"/>
    <n v="100"/>
    <n v="100"/>
    <n v="445355"/>
    <n v="320656"/>
    <n v="412"/>
    <n v="365"/>
    <n v="47"/>
    <n v="0"/>
    <d v="2022-11-15T00:00:00"/>
    <s v="E038780"/>
    <n v="500000"/>
    <n v="500000"/>
    <s v="SWD"/>
    <n v="30"/>
    <s v="N"/>
    <s v="Y"/>
    <n v="373800"/>
    <n v="61700"/>
    <n v="312100"/>
    <n v="0"/>
    <n v="0.74760000000000004"/>
    <n v="351585.27296192804"/>
    <n v="376799.30564078048"/>
    <n v="-25214.032680406002"/>
    <n v="0"/>
    <n v="89850.625589999996"/>
    <n v="-47929.131559187132"/>
    <n v="44121.038090000002"/>
    <n v="160472.20319"/>
    <n v="-10929.2344245"/>
    <n v="65021.809558132001"/>
    <n v="0"/>
    <n v="0"/>
    <n v="38271.774145051997"/>
    <n v="37920.221052000001"/>
    <n v="0"/>
    <n v="351585.2729610909"/>
    <n v="0"/>
    <n v="309700"/>
    <n v="41900"/>
    <n v="351600"/>
    <n v="0.70320000000000005"/>
    <n v="-5.93900481540931E-2"/>
    <n v="0.99970000000000003"/>
    <n v="0.98050000000000004"/>
    <n v="0.99729999999999996"/>
    <n v="0.96179999999999999"/>
    <n v="1.0199"/>
    <n v="0.94971499999999998"/>
    <n v="0.91098049619194077"/>
    <n v="334900"/>
    <n v="0"/>
    <n v="334900"/>
    <n v="39800"/>
    <n v="374700"/>
    <n v="7.3053508490868307E-2"/>
    <n v="-0.35494327390599678"/>
    <n v="2.407704654895666E-3"/>
    <n v="0.69897193463918794"/>
  </r>
  <r>
    <n v="2025"/>
    <n v="18132323541"/>
    <n v="-1.9661128563728327"/>
    <n v="0.14000000000000001"/>
    <n v="0"/>
    <n v="6"/>
    <s v="RES"/>
    <n v="3033"/>
    <s v="YC2"/>
    <s v="R1"/>
    <n v="11"/>
    <n v="259"/>
    <s v="RN"/>
    <x v="0"/>
    <s v="AV"/>
    <x v="5"/>
    <n v="1960"/>
    <n v="1975"/>
    <n v="64"/>
    <n v="49"/>
    <n v="1"/>
    <n v="1128"/>
    <n v="0"/>
    <n v="0"/>
    <n v="0"/>
    <n v="0"/>
    <n v="0"/>
    <n v="1128"/>
    <n v="1500"/>
    <n v="1"/>
    <m/>
    <s v="FD"/>
    <s v="G"/>
    <s v="Y"/>
    <n v="0"/>
    <n v="1"/>
    <n v="0"/>
    <n v="0"/>
    <n v="1"/>
    <n v="7"/>
    <n v="408"/>
    <n v="0"/>
    <n v="0"/>
    <n v="0"/>
    <n v="153"/>
    <n v="345"/>
    <n v="100"/>
    <n v="100"/>
    <n v="197953"/>
    <n v="142526"/>
    <n v="487"/>
    <n v="365"/>
    <n v="122"/>
    <n v="0"/>
    <d v="2022-09-01T00:00:00"/>
    <s v="E038079"/>
    <n v="290000"/>
    <n v="290000"/>
    <s v="SWD"/>
    <n v="30"/>
    <s v="N"/>
    <s v="Y"/>
    <n v="270400"/>
    <n v="46000"/>
    <n v="224400"/>
    <n v="0"/>
    <n v="0.9324137931034483"/>
    <n v="256638.71599078469"/>
    <n v="280991.51079571788"/>
    <n v="-24352.794806506001"/>
    <n v="0"/>
    <n v="89850.625589999996"/>
    <n v="-62236.546971921947"/>
    <n v="21557.329055999999"/>
    <n v="160472.20319"/>
    <n v="-10929.2344245"/>
    <n v="55732.979621256003"/>
    <n v="0"/>
    <n v="0"/>
    <n v="0"/>
    <n v="26544.1547364"/>
    <n v="0"/>
    <n v="256638.71599072806"/>
    <n v="0"/>
    <n v="229000"/>
    <n v="27600"/>
    <n v="256600"/>
    <n v="0.8848275862068965"/>
    <n v="-5.1035502958579879E-2"/>
    <n v="0.99970000000000003"/>
    <n v="1.0067999999999999"/>
    <n v="0.99729999999999996"/>
    <n v="1.0157"/>
    <n v="1.0199"/>
    <n v="0.94971499999999998"/>
    <n v="0.98783717894453682"/>
    <n v="253400"/>
    <n v="0"/>
    <n v="253400"/>
    <n v="26200"/>
    <n v="279600"/>
    <n v="0.12923351158645277"/>
    <n v="-0.43043478260869567"/>
    <n v="3.4023668639053255E-2"/>
    <n v="0.88016277652928965"/>
  </r>
  <r>
    <n v="2025"/>
    <n v="18132242486"/>
    <n v="-0.916290731874155"/>
    <n v="0.4"/>
    <n v="17261"/>
    <n v="6"/>
    <s v="RES"/>
    <n v="3033"/>
    <s v="YC2"/>
    <s v="R1"/>
    <n v="11"/>
    <n v="259"/>
    <s v="RN"/>
    <x v="1"/>
    <s v="AV"/>
    <x v="5"/>
    <n v="1960"/>
    <n v="1975"/>
    <n v="64"/>
    <n v="49"/>
    <n v="1"/>
    <n v="1713"/>
    <n v="0"/>
    <n v="0"/>
    <n v="1713"/>
    <n v="435"/>
    <n v="1278"/>
    <n v="2991"/>
    <n v="3000"/>
    <n v="2"/>
    <m/>
    <s v="HP"/>
    <s v="E"/>
    <m/>
    <n v="0"/>
    <n v="2"/>
    <n v="0"/>
    <n v="1"/>
    <n v="0"/>
    <n v="11"/>
    <n v="552"/>
    <n v="0"/>
    <n v="0"/>
    <n v="0"/>
    <n v="336"/>
    <n v="336"/>
    <n v="100"/>
    <n v="100"/>
    <n v="535565"/>
    <n v="385607"/>
    <n v="893"/>
    <n v="365"/>
    <n v="365"/>
    <n v="163"/>
    <d v="2021-07-22T00:00:00"/>
    <s v="E032422"/>
    <n v="430000"/>
    <n v="430000"/>
    <s v="SWD"/>
    <n v="30"/>
    <s v="N"/>
    <s v="Y"/>
    <n v="430500"/>
    <n v="82600"/>
    <n v="347900"/>
    <n v="0"/>
    <n v="1.0011627906976743"/>
    <n v="387317.35934292059"/>
    <n v="430676.38263495464"/>
    <n v="-43359.023297770007"/>
    <n v="0"/>
    <n v="89850.625589999996"/>
    <n v="-29004.831024516039"/>
    <n v="44121.038090000002"/>
    <n v="160472.20319"/>
    <n v="-10929.2344245"/>
    <n v="84637.051499301"/>
    <n v="0"/>
    <n v="0"/>
    <n v="49817.286558110995"/>
    <n v="41712.243157199999"/>
    <n v="0"/>
    <n v="387317.35933782597"/>
    <n v="0"/>
    <n v="326500"/>
    <n v="60800"/>
    <n v="387300"/>
    <n v="0.9006976744186046"/>
    <n v="-0.10034843205574913"/>
    <n v="0.99970000000000003"/>
    <n v="0.98050000000000004"/>
    <n v="0.99729999999999996"/>
    <n v="0.96179999999999999"/>
    <n v="1.0199"/>
    <n v="0.94971499999999998"/>
    <n v="0.91098049619194077"/>
    <n v="369800"/>
    <n v="0"/>
    <n v="369800"/>
    <n v="57800"/>
    <n v="427600"/>
    <n v="6.2949123311296346E-2"/>
    <n v="-0.30024213075060535"/>
    <n v="-6.7363530778164924E-3"/>
    <n v="0.89358366674937206"/>
  </r>
  <r>
    <n v="2025"/>
    <n v="18132323024"/>
    <n v="-2.0402208285265546"/>
    <n v="0.13"/>
    <n v="5750"/>
    <n v="6"/>
    <s v="RES"/>
    <n v="3033"/>
    <s v="YC2"/>
    <s v="R1"/>
    <n v="11"/>
    <n v="259"/>
    <s v="RN"/>
    <x v="0"/>
    <s v="AV"/>
    <x v="5"/>
    <n v="1960"/>
    <n v="1975"/>
    <n v="64"/>
    <n v="49"/>
    <n v="1"/>
    <n v="1348"/>
    <n v="0"/>
    <n v="0"/>
    <n v="0"/>
    <n v="0"/>
    <n v="0"/>
    <n v="1348"/>
    <n v="1500"/>
    <n v="0"/>
    <s v="B"/>
    <s v="FD"/>
    <s v="E"/>
    <s v="Y"/>
    <n v="0"/>
    <n v="0"/>
    <n v="1"/>
    <n v="0"/>
    <n v="0"/>
    <n v="8"/>
    <n v="0"/>
    <n v="0"/>
    <n v="261"/>
    <n v="0"/>
    <n v="160"/>
    <n v="160"/>
    <n v="100"/>
    <n v="100"/>
    <n v="234353"/>
    <n v="168734"/>
    <n v="635"/>
    <n v="365"/>
    <n v="270"/>
    <n v="0"/>
    <d v="2022-04-06T00:00:00"/>
    <s v="E035923"/>
    <n v="301000"/>
    <n v="301000"/>
    <s v="SWD"/>
    <n v="30"/>
    <s v="N"/>
    <s v="Y"/>
    <n v="295600"/>
    <n v="43400"/>
    <n v="252200"/>
    <n v="0"/>
    <n v="0.98205980066445187"/>
    <n v="270654.29549158196"/>
    <n v="293307.58089198131"/>
    <n v="-22653.285402010002"/>
    <n v="0"/>
    <n v="89850.625589999996"/>
    <n v="-64582.406353792743"/>
    <n v="21557.329055999999"/>
    <n v="160472.20319"/>
    <n v="-10929.2344245"/>
    <n v="66602.886994196"/>
    <n v="0"/>
    <n v="0"/>
    <n v="0"/>
    <n v="30336.176841600001"/>
    <n v="0"/>
    <n v="270654.29549149325"/>
    <n v="0"/>
    <n v="245400"/>
    <n v="25300"/>
    <n v="270700"/>
    <n v="0.89933554817275752"/>
    <n v="-8.4235453315290934E-2"/>
    <n v="0.99970000000000003"/>
    <n v="1.0067999999999999"/>
    <n v="0.99729999999999996"/>
    <n v="1.0157"/>
    <n v="1.0199"/>
    <n v="0.94971499999999998"/>
    <n v="0.98783717894453682"/>
    <n v="268000"/>
    <n v="0"/>
    <n v="268000"/>
    <n v="24000"/>
    <n v="292000"/>
    <n v="6.2648691514670896E-2"/>
    <n v="-0.44700460829493088"/>
    <n v="-1.2178619756427604E-2"/>
    <n v="0.89483958338202652"/>
  </r>
  <r>
    <n v="2025"/>
    <n v="18132322445"/>
    <n v="-1.7719568419318752"/>
    <n v="0.17"/>
    <n v="0"/>
    <n v="6"/>
    <s v="RES"/>
    <n v="3033"/>
    <s v="YC2"/>
    <s v="R1"/>
    <n v="11"/>
    <n v="259"/>
    <s v="RN"/>
    <x v="4"/>
    <s v="GD"/>
    <x v="5"/>
    <n v="1960"/>
    <n v="1975"/>
    <n v="64"/>
    <n v="49"/>
    <n v="1"/>
    <n v="1026"/>
    <n v="0"/>
    <n v="0"/>
    <n v="1026"/>
    <n v="0"/>
    <n v="1026"/>
    <n v="2052"/>
    <n v="2500"/>
    <n v="0"/>
    <m/>
    <s v="BH"/>
    <s v="E"/>
    <m/>
    <n v="0"/>
    <n v="0"/>
    <n v="0"/>
    <n v="0"/>
    <n v="0"/>
    <n v="8"/>
    <n v="0"/>
    <n v="0"/>
    <n v="0"/>
    <n v="0"/>
    <n v="494"/>
    <n v="296"/>
    <n v="100"/>
    <n v="100"/>
    <n v="218449"/>
    <n v="172575"/>
    <n v="805"/>
    <n v="365"/>
    <n v="365"/>
    <n v="75"/>
    <d v="2021-10-18T00:00:00"/>
    <s v="E033657"/>
    <n v="340000"/>
    <n v="329132"/>
    <s v="SWD"/>
    <n v="30"/>
    <s v="N"/>
    <s v="Y"/>
    <n v="336200"/>
    <n v="52700"/>
    <n v="283500"/>
    <n v="10868"/>
    <n v="0.98882352941176466"/>
    <n v="299859.10953539168"/>
    <n v="331450.62209443975"/>
    <n v="-31591.512562570002"/>
    <n v="0"/>
    <n v="89850.625589999996"/>
    <n v="-56090.612940989391"/>
    <n v="0"/>
    <n v="197752.34721000001"/>
    <n v="-10929.2344245"/>
    <n v="50693.295293802003"/>
    <n v="0"/>
    <n v="0"/>
    <n v="29838.024523421998"/>
    <n v="30336.176841600001"/>
    <n v="0"/>
    <n v="299859.10953076463"/>
    <n v="10900"/>
    <n v="266100"/>
    <n v="33800"/>
    <n v="310800"/>
    <n v="0.91411764705882348"/>
    <n v="-7.5550267697798934E-2"/>
    <n v="0.99970000000000003"/>
    <n v="0.99180000000000001"/>
    <n v="0.99650000000000005"/>
    <n v="0.98919999999999997"/>
    <n v="1.0199"/>
    <n v="0.94971499999999998"/>
    <n v="0.94697039921483006"/>
    <n v="297700"/>
    <n v="10300"/>
    <n v="308000"/>
    <n v="32100"/>
    <n v="340100"/>
    <n v="8.6419753086419748E-2"/>
    <n v="-0.39089184060721061"/>
    <n v="1.1600237953599048E-2"/>
    <n v="0.90737790422773534"/>
  </r>
  <r>
    <n v="2025"/>
    <n v="18132212435"/>
    <n v="-1.1711829815029451"/>
    <n v="0.31"/>
    <n v="13471"/>
    <n v="6"/>
    <s v="RES"/>
    <s v="YC2"/>
    <s v="YC2"/>
    <s v="R1"/>
    <n v="11"/>
    <n v="259"/>
    <s v="RN"/>
    <x v="3"/>
    <s v="AV"/>
    <x v="5"/>
    <n v="1960"/>
    <n v="1975"/>
    <n v="64"/>
    <n v="49"/>
    <n v="1"/>
    <n v="2187"/>
    <n v="0"/>
    <n v="0"/>
    <n v="2187"/>
    <n v="1162"/>
    <n v="1025"/>
    <n v="3212"/>
    <n v="3500"/>
    <n v="2"/>
    <m/>
    <s v="FD"/>
    <s v="G"/>
    <s v="Y"/>
    <n v="0"/>
    <n v="2"/>
    <n v="0"/>
    <n v="2"/>
    <n v="1"/>
    <n v="14"/>
    <n v="728"/>
    <n v="0"/>
    <n v="0"/>
    <n v="360"/>
    <n v="330"/>
    <n v="0"/>
    <n v="100"/>
    <n v="100"/>
    <n v="690656"/>
    <n v="511085"/>
    <n v="9"/>
    <n v="9"/>
    <n v="0"/>
    <n v="0"/>
    <d v="2023-12-23T00:00:00"/>
    <s v="E042413"/>
    <n v="545000"/>
    <n v="545000"/>
    <s v="SWD"/>
    <n v="30"/>
    <s v="N"/>
    <s v="Y"/>
    <n v="527600"/>
    <n v="73700"/>
    <n v="453900"/>
    <n v="0"/>
    <n v="0.96807339449541285"/>
    <n v="512687.19390689651"/>
    <n v="513322.21767598845"/>
    <n v="-635.02376913000012"/>
    <n v="0"/>
    <n v="89850.625589999996"/>
    <n v="-37073.347241874442"/>
    <n v="74268.409664999999"/>
    <n v="160472.20319"/>
    <n v="-10929.2344245"/>
    <n v="108056.76102099901"/>
    <n v="0"/>
    <n v="0"/>
    <n v="63602.104905188993"/>
    <n v="53088.3094728"/>
    <n v="11986.385499360002"/>
    <n v="512687.19390784355"/>
    <n v="0"/>
    <n v="459900"/>
    <n v="52800"/>
    <n v="512700"/>
    <n v="0.94073394495412843"/>
    <n v="-2.8241091736163761E-2"/>
    <n v="0.99970000000000003"/>
    <n v="0.98380000000000001"/>
    <n v="0.99729999999999996"/>
    <n v="1.0126999999999999"/>
    <n v="1.0199"/>
    <n v="0.94971499999999998"/>
    <n v="0.96241932842008082"/>
    <n v="460500"/>
    <n v="0"/>
    <n v="460500"/>
    <n v="50100"/>
    <n v="510600"/>
    <n v="1.4540647719762063E-2"/>
    <n v="-0.32021709633649931"/>
    <n v="-3.2221379833206977E-2"/>
    <n v="0.93571555271719264"/>
  </r>
  <r>
    <n v="2025"/>
    <n v="18132213443"/>
    <n v="-1.8971199848858813"/>
    <n v="0.15"/>
    <n v="6728"/>
    <n v="6"/>
    <s v="RES"/>
    <n v="3033"/>
    <s v="YC2"/>
    <s v="R2"/>
    <n v="11"/>
    <n v="259"/>
    <s v="RN"/>
    <x v="1"/>
    <s v="AV"/>
    <x v="5"/>
    <n v="1960"/>
    <n v="1975"/>
    <n v="64"/>
    <n v="49"/>
    <n v="1"/>
    <n v="1387"/>
    <n v="0"/>
    <n v="0"/>
    <n v="0"/>
    <n v="0"/>
    <n v="0"/>
    <n v="1387"/>
    <n v="1500"/>
    <n v="1"/>
    <m/>
    <s v="FD"/>
    <s v="G"/>
    <s v="Y"/>
    <n v="0"/>
    <n v="1"/>
    <n v="0"/>
    <n v="1"/>
    <n v="0"/>
    <n v="8"/>
    <n v="308"/>
    <n v="0"/>
    <n v="154"/>
    <n v="0"/>
    <n v="0"/>
    <n v="0"/>
    <n v="100"/>
    <n v="100"/>
    <n v="324222"/>
    <n v="233440"/>
    <n v="886"/>
    <n v="365"/>
    <n v="365"/>
    <n v="156"/>
    <d v="2021-07-29T00:00:00"/>
    <s v="E032477"/>
    <n v="285000"/>
    <n v="285000"/>
    <s v="SWD"/>
    <n v="30"/>
    <s v="N"/>
    <s v="Y"/>
    <n v="304900"/>
    <n v="48400"/>
    <n v="256500"/>
    <n v="0"/>
    <n v="1.0698245614035087"/>
    <n v="279905.05896710022"/>
    <n v="322328.0302690104"/>
    <n v="-42422.971307470005"/>
    <n v="0"/>
    <n v="89850.625589999996"/>
    <n v="-60052.604136134301"/>
    <n v="44121.038090000002"/>
    <n v="160472.20319"/>
    <n v="-10929.2344245"/>
    <n v="68529.825119399"/>
    <n v="0"/>
    <n v="0"/>
    <n v="0"/>
    <n v="30336.176841600001"/>
    <n v="0"/>
    <n v="279905.05896289472"/>
    <n v="0"/>
    <n v="250100"/>
    <n v="29800"/>
    <n v="279900"/>
    <n v="0.9821052631578947"/>
    <n v="-8.1994096425057394E-2"/>
    <n v="0.99970000000000003"/>
    <n v="0.98050000000000004"/>
    <n v="0.99729999999999996"/>
    <n v="1.0157"/>
    <n v="1.0199"/>
    <n v="0.94971499999999998"/>
    <n v="0.96203253273253719"/>
    <n v="292500"/>
    <n v="0"/>
    <n v="292500"/>
    <n v="28300"/>
    <n v="320800"/>
    <n v="0.14035087719298245"/>
    <n v="-0.41528925619834711"/>
    <n v="5.2148245326336502E-2"/>
    <n v="0.97676150418431584"/>
  </r>
  <r>
    <n v="2025"/>
    <n v="18132324425"/>
    <n v="-1.7147984280919266"/>
    <n v="0.18"/>
    <n v="0"/>
    <n v="6"/>
    <s v="RES"/>
    <n v="3033"/>
    <s v="YC2"/>
    <s v="R1"/>
    <n v="11"/>
    <n v="259"/>
    <s v="RN"/>
    <x v="2"/>
    <s v="AV"/>
    <x v="5"/>
    <n v="1960"/>
    <n v="1975"/>
    <n v="64"/>
    <n v="49"/>
    <n v="1"/>
    <n v="1248"/>
    <n v="0"/>
    <n v="0"/>
    <n v="1248"/>
    <n v="624"/>
    <n v="624"/>
    <n v="1872"/>
    <n v="2000"/>
    <n v="1"/>
    <s v="B"/>
    <s v="FD"/>
    <s v="G"/>
    <s v="Y"/>
    <n v="0"/>
    <n v="1"/>
    <n v="0"/>
    <n v="0"/>
    <n v="1"/>
    <n v="8"/>
    <n v="300"/>
    <n v="0"/>
    <n v="0"/>
    <n v="0"/>
    <n v="126"/>
    <n v="282"/>
    <n v="100"/>
    <n v="100"/>
    <n v="308565"/>
    <n v="222167"/>
    <n v="797"/>
    <n v="365"/>
    <n v="365"/>
    <n v="67"/>
    <d v="2021-10-26T00:00:00"/>
    <s v="E033752"/>
    <n v="315000"/>
    <n v="315000"/>
    <s v="SWD"/>
    <n v="30"/>
    <s v="N"/>
    <s v="Y"/>
    <n v="328600"/>
    <n v="54700"/>
    <n v="273900"/>
    <n v="0"/>
    <n v="1.0431746031746032"/>
    <n v="312697.06546117412"/>
    <n v="343218.80431722349"/>
    <n v="-30521.738859370002"/>
    <n v="0"/>
    <n v="89850.625589999996"/>
    <n v="-54281.285314520763"/>
    <n v="29814.093161000001"/>
    <n v="160472.20319"/>
    <n v="-10929.2344245"/>
    <n v="61662.020006496001"/>
    <n v="0"/>
    <n v="0"/>
    <n v="36294.205268255995"/>
    <n v="30336.176841600001"/>
    <n v="0"/>
    <n v="312697.06545896118"/>
    <n v="0"/>
    <n v="277100"/>
    <n v="35600"/>
    <n v="312700"/>
    <n v="0.99269841269841275"/>
    <n v="-4.8387096774193547E-2"/>
    <n v="0.99970000000000003"/>
    <n v="1.0088999999999999"/>
    <n v="0.99729999999999996"/>
    <n v="1.0093000000000001"/>
    <n v="1.0199"/>
    <n v="0.94971499999999998"/>
    <n v="0.98366020862665582"/>
    <n v="307600"/>
    <n v="0"/>
    <n v="307600"/>
    <n v="33800"/>
    <n v="341400"/>
    <n v="0.12303760496531581"/>
    <n v="-0.38208409506398539"/>
    <n v="3.8953134510042606E-2"/>
    <n v="0.98691511473215876"/>
  </r>
  <r>
    <n v="2025"/>
    <n v="18132244017"/>
    <n v="-1.5141277326297755"/>
    <n v="0.22"/>
    <n v="9672"/>
    <n v="6"/>
    <s v="RES"/>
    <n v="3093"/>
    <s v="YC2"/>
    <s v="R1"/>
    <n v="11"/>
    <n v="259"/>
    <s v="RN"/>
    <x v="1"/>
    <s v="GD"/>
    <x v="5"/>
    <n v="1960"/>
    <n v="1975"/>
    <n v="64"/>
    <n v="49"/>
    <n v="1"/>
    <n v="1217"/>
    <n v="0"/>
    <n v="0"/>
    <n v="1100"/>
    <n v="100"/>
    <n v="1000"/>
    <n v="2217"/>
    <n v="2500"/>
    <n v="2"/>
    <m/>
    <s v="FD"/>
    <s v="G"/>
    <s v="Y"/>
    <n v="0"/>
    <n v="1"/>
    <n v="0"/>
    <n v="2"/>
    <n v="0"/>
    <n v="12"/>
    <n v="440"/>
    <n v="0"/>
    <n v="0"/>
    <n v="0"/>
    <n v="410"/>
    <n v="352"/>
    <n v="100"/>
    <n v="100"/>
    <n v="386530"/>
    <n v="305359"/>
    <n v="668"/>
    <n v="365"/>
    <n v="303"/>
    <n v="0"/>
    <d v="2022-03-04T00:00:00"/>
    <s v="E035524"/>
    <n v="391000"/>
    <n v="391000"/>
    <s v="SWD"/>
    <n v="30"/>
    <s v="N"/>
    <s v="Y"/>
    <n v="394100"/>
    <n v="61700"/>
    <n v="332400"/>
    <n v="0"/>
    <n v="1.0079283887468031"/>
    <n v="388216.00544629683"/>
    <n v="410490.34618217172"/>
    <n v="-22274.340737494"/>
    <n v="0"/>
    <n v="89850.625589999996"/>
    <n v="-47929.131559187132"/>
    <n v="44121.038090000002"/>
    <n v="197752.34721000001"/>
    <n v="-10929.2344245"/>
    <n v="60130.351240308999"/>
    <n v="0"/>
    <n v="0"/>
    <n v="31990.0847717"/>
    <n v="45504.265262400004"/>
    <n v="0"/>
    <n v="388216.00544322794"/>
    <n v="0"/>
    <n v="346300"/>
    <n v="41900"/>
    <n v="388200"/>
    <n v="0.99283887468030696"/>
    <n v="-1.4970819588936818E-2"/>
    <n v="0.99970000000000003"/>
    <n v="0.98050000000000004"/>
    <n v="0.99650000000000005"/>
    <n v="0.98919999999999997"/>
    <n v="1.0199"/>
    <n v="0.94971499999999998"/>
    <n v="0.936181161958198"/>
    <n v="368600"/>
    <n v="0"/>
    <n v="368600"/>
    <n v="39800"/>
    <n v="408400"/>
    <n v="0.10890493381468111"/>
    <n v="-0.35494327390599678"/>
    <n v="3.628520680030449E-2"/>
    <n v="0.98753365540282867"/>
  </r>
  <r>
    <n v="2025"/>
    <n v="18132332507"/>
    <n v="-1.7719568419318752"/>
    <n v="0.17"/>
    <n v="0"/>
    <n v="6"/>
    <s v="RES"/>
    <n v="3032"/>
    <s v="YC2"/>
    <s v="R1"/>
    <n v="11"/>
    <n v="259"/>
    <s v="CO"/>
    <x v="0"/>
    <s v="AV"/>
    <x v="5"/>
    <n v="1960"/>
    <n v="1975"/>
    <n v="64"/>
    <n v="49"/>
    <n v="2"/>
    <n v="1192"/>
    <n v="154"/>
    <n v="0"/>
    <n v="132"/>
    <n v="0"/>
    <n v="132"/>
    <n v="1478"/>
    <n v="1500"/>
    <n v="0"/>
    <m/>
    <s v="FD"/>
    <s v="G"/>
    <m/>
    <n v="1"/>
    <n v="0"/>
    <n v="0"/>
    <n v="0"/>
    <n v="0"/>
    <n v="5"/>
    <n v="0"/>
    <n v="0"/>
    <n v="0"/>
    <n v="320"/>
    <n v="0"/>
    <n v="320"/>
    <n v="100"/>
    <n v="100"/>
    <n v="200751"/>
    <n v="144541"/>
    <n v="922"/>
    <n v="365"/>
    <n v="365"/>
    <n v="192"/>
    <d v="2021-06-23T00:00:00"/>
    <s v="E031924"/>
    <n v="256470"/>
    <n v="256470"/>
    <s v="SWD"/>
    <n v="30"/>
    <s v="N"/>
    <s v="Y"/>
    <n v="279800"/>
    <n v="52700"/>
    <n v="227100"/>
    <n v="0"/>
    <n v="1.0909658049674427"/>
    <n v="256869.08670433977"/>
    <n v="304106.0396697442"/>
    <n v="-47236.952971870007"/>
    <n v="0"/>
    <n v="89850.625589999996"/>
    <n v="-56090.612940989391"/>
    <n v="21557.329055999999"/>
    <n v="160472.20319"/>
    <n v="-10929.2344245"/>
    <n v="58895.134493384001"/>
    <n v="6897.1091205940002"/>
    <n v="0"/>
    <n v="3838.8101726039999"/>
    <n v="18960.110526"/>
    <n v="10654.564888320001"/>
    <n v="256869.08669954256"/>
    <n v="0"/>
    <n v="223100"/>
    <n v="33800"/>
    <n v="256900"/>
    <n v="1.0016766093500213"/>
    <n v="-8.1844174410293069E-2"/>
    <n v="0.99970000000000003"/>
    <n v="1.0067999999999999"/>
    <n v="0.99729999999999996"/>
    <n v="1.0157"/>
    <n v="1.0199"/>
    <n v="0.94971499999999998"/>
    <n v="0.98783717894453682"/>
    <n v="270300"/>
    <n v="0"/>
    <n v="270300"/>
    <n v="32100"/>
    <n v="302400"/>
    <n v="0.19022457067371201"/>
    <n v="-0.39089184060721061"/>
    <n v="8.0771979985704068E-2"/>
    <n v="0.99490407076121956"/>
  </r>
  <r>
    <n v="2025"/>
    <n v="18132242465"/>
    <n v="-1.7719568419318752"/>
    <n v="0.17"/>
    <n v="7280"/>
    <n v="6"/>
    <s v="RES"/>
    <s v="YC2"/>
    <s v="YC2"/>
    <s v="R1"/>
    <n v="11"/>
    <n v="259"/>
    <s v="RN"/>
    <x v="2"/>
    <s v="GD"/>
    <x v="5"/>
    <n v="1960"/>
    <n v="1975"/>
    <n v="64"/>
    <n v="49"/>
    <n v="1"/>
    <n v="1398"/>
    <n v="0"/>
    <n v="0"/>
    <n v="725"/>
    <n v="0"/>
    <n v="725"/>
    <n v="2123"/>
    <n v="2500"/>
    <n v="1"/>
    <m/>
    <s v="FD"/>
    <s v="G"/>
    <s v="Y"/>
    <n v="0"/>
    <n v="1"/>
    <n v="0"/>
    <n v="0"/>
    <n v="1"/>
    <n v="7"/>
    <n v="448"/>
    <n v="0"/>
    <n v="0"/>
    <n v="0"/>
    <n v="792"/>
    <n v="792"/>
    <n v="100"/>
    <n v="100"/>
    <n v="340954"/>
    <n v="269354"/>
    <n v="54"/>
    <n v="54"/>
    <n v="0"/>
    <n v="0"/>
    <d v="2023-11-08T00:00:00"/>
    <s v="E042040"/>
    <n v="345000"/>
    <n v="345000"/>
    <s v="SWD"/>
    <n v="30"/>
    <s v="N"/>
    <s v="Y"/>
    <n v="352500"/>
    <n v="52700"/>
    <n v="299800"/>
    <n v="0"/>
    <n v="1.0217391304347827"/>
    <n v="363288.925260266"/>
    <n v="367099.06787481793"/>
    <n v="-3810.1426147800003"/>
    <n v="0"/>
    <n v="89850.625589999996"/>
    <n v="-56090.612940989391"/>
    <n v="29814.093161000001"/>
    <n v="197752.34721000001"/>
    <n v="-10929.2344245"/>
    <n v="69073.320488045996"/>
    <n v="0"/>
    <n v="0"/>
    <n v="21084.374054075"/>
    <n v="26544.1547364"/>
    <n v="0"/>
    <n v="363288.92525925161"/>
    <n v="0"/>
    <n v="329500"/>
    <n v="33800"/>
    <n v="363300"/>
    <n v="1.0530434782608695"/>
    <n v="3.0638297872340424E-2"/>
    <n v="0.99970000000000003"/>
    <n v="1.0088999999999999"/>
    <n v="0.99650000000000005"/>
    <n v="0.98919999999999997"/>
    <n v="1.0199"/>
    <n v="0.94971499999999998"/>
    <n v="0.9632974750633615"/>
    <n v="333300"/>
    <n v="0"/>
    <n v="333300"/>
    <n v="32100"/>
    <n v="365400"/>
    <n v="0.11174116077384923"/>
    <n v="-0.39089184060721061"/>
    <n v="3.6595744680851063E-2"/>
    <n v="1.0480865431455653"/>
  </r>
  <r>
    <n v="2025"/>
    <n v="18132323407"/>
    <n v="-1.5141277326297755"/>
    <n v="0.22"/>
    <n v="0"/>
    <n v="6"/>
    <s v="RES"/>
    <n v="3033"/>
    <s v="YC2"/>
    <s v="R1"/>
    <n v="11"/>
    <n v="400"/>
    <s v="RN"/>
    <x v="1"/>
    <s v="AV"/>
    <x v="5"/>
    <n v="1960"/>
    <n v="1975"/>
    <n v="64"/>
    <n v="49"/>
    <n v="1"/>
    <n v="1463"/>
    <n v="0"/>
    <n v="0"/>
    <n v="0"/>
    <n v="0"/>
    <n v="0"/>
    <n v="1463"/>
    <n v="1500"/>
    <n v="1"/>
    <m/>
    <s v="FD"/>
    <s v="G"/>
    <s v="Y"/>
    <n v="0"/>
    <n v="1"/>
    <n v="0"/>
    <n v="0"/>
    <n v="1"/>
    <n v="7"/>
    <n v="432"/>
    <n v="0"/>
    <n v="0"/>
    <n v="187"/>
    <n v="0"/>
    <n v="0"/>
    <n v="100"/>
    <n v="100"/>
    <n v="329919"/>
    <n v="237542"/>
    <n v="768"/>
    <n v="365"/>
    <n v="365"/>
    <n v="38"/>
    <d v="2021-11-24T00:00:00"/>
    <s v="E034234"/>
    <n v="289900"/>
    <n v="289900"/>
    <s v="SWD"/>
    <n v="30"/>
    <s v="N"/>
    <s v="Y"/>
    <n v="321500"/>
    <n v="61700"/>
    <n v="259800"/>
    <n v="0"/>
    <n v="1.1090031045187996"/>
    <n v="313996.99182519031"/>
    <n v="340640.80100786936"/>
    <n v="-26643.809185270002"/>
    <n v="0"/>
    <n v="89850.625589999996"/>
    <n v="-47929.131559187132"/>
    <n v="44121.038090000002"/>
    <n v="160472.20319"/>
    <n v="-10929.2344245"/>
    <n v="72284.884030051006"/>
    <n v="0"/>
    <n v="0"/>
    <n v="0"/>
    <n v="26544.1547364"/>
    <n v="6226.2613566120008"/>
    <n v="313996.99182410591"/>
    <n v="0"/>
    <n v="272100"/>
    <n v="41900"/>
    <n v="314000"/>
    <n v="1.083132114522249"/>
    <n v="-2.3328149300155521E-2"/>
    <n v="0.99970000000000003"/>
    <n v="0.98050000000000004"/>
    <n v="0.99729999999999996"/>
    <n v="1.0157"/>
    <n v="1.0199"/>
    <n v="0.94971499999999998"/>
    <n v="0.96203253273253719"/>
    <n v="298700"/>
    <n v="0"/>
    <n v="298700"/>
    <n v="39800"/>
    <n v="338500"/>
    <n v="0.14973056197074672"/>
    <n v="-0.35494327390599678"/>
    <n v="5.2877138413685847E-2"/>
    <n v="1.0757371190573646"/>
  </r>
  <r>
    <n v="2025"/>
    <n v="18132212411"/>
    <n v="-1.4271163556401458"/>
    <n v="0.24"/>
    <n v="10630"/>
    <n v="6"/>
    <s v="RES"/>
    <n v="3032"/>
    <s v="YC2"/>
    <s v="R2"/>
    <n v="11"/>
    <n v="259"/>
    <s v="RN"/>
    <x v="2"/>
    <s v="GD"/>
    <x v="5"/>
    <n v="1960"/>
    <n v="1975"/>
    <n v="64"/>
    <n v="49"/>
    <n v="1"/>
    <n v="1818"/>
    <n v="0"/>
    <n v="0"/>
    <n v="700"/>
    <n v="0"/>
    <n v="700"/>
    <n v="2518"/>
    <n v="3000"/>
    <n v="0"/>
    <s v="B"/>
    <s v="FD"/>
    <s v="G"/>
    <s v="Y"/>
    <n v="0"/>
    <n v="2"/>
    <n v="0"/>
    <n v="1"/>
    <n v="0"/>
    <n v="9"/>
    <n v="0"/>
    <n v="0"/>
    <n v="567"/>
    <n v="0"/>
    <n v="0"/>
    <n v="0"/>
    <n v="100"/>
    <n v="100"/>
    <n v="372711"/>
    <n v="294442"/>
    <n v="228"/>
    <n v="228"/>
    <n v="0"/>
    <n v="0"/>
    <d v="2023-05-18T00:00:00"/>
    <s v="E040323"/>
    <n v="340000"/>
    <n v="340000"/>
    <s v="SWD"/>
    <n v="30"/>
    <s v="N"/>
    <s v="Y"/>
    <n v="386000"/>
    <n v="64800"/>
    <n v="321200"/>
    <n v="0"/>
    <n v="1.1352941176470588"/>
    <n v="389536.23032082221"/>
    <n v="405623.49913781922"/>
    <n v="-16087.268817960001"/>
    <n v="0"/>
    <n v="89850.625589999996"/>
    <n v="-45174.819855485119"/>
    <n v="29814.093161000001"/>
    <n v="197752.34721000001"/>
    <n v="-10929.2344245"/>
    <n v="89824.961836386006"/>
    <n v="0"/>
    <n v="0"/>
    <n v="20357.326672899999"/>
    <n v="34128.198946800003"/>
    <n v="0"/>
    <n v="389536.23031914089"/>
    <n v="0"/>
    <n v="344900"/>
    <n v="44700"/>
    <n v="389600"/>
    <n v="1.1458823529411766"/>
    <n v="9.3264248704663204E-3"/>
    <n v="0.99970000000000003"/>
    <n v="1.0088999999999999"/>
    <n v="0.99650000000000005"/>
    <n v="0.96179999999999999"/>
    <n v="1.0199"/>
    <n v="0.94971499999999998"/>
    <n v="0.93661495300843212"/>
    <n v="360900"/>
    <n v="0"/>
    <n v="360900"/>
    <n v="42400"/>
    <n v="403300"/>
    <n v="0.12359900373599003"/>
    <n v="-0.34567901234567899"/>
    <n v="4.4818652849740931E-2"/>
    <n v="1.1388609740648235"/>
  </r>
  <r>
    <n v="2025"/>
    <n v="18132243465"/>
    <n v="-1.6094379124341003"/>
    <n v="0.2"/>
    <n v="8680"/>
    <n v="6"/>
    <s v="RES"/>
    <n v="3093"/>
    <s v="YC2"/>
    <s v="R1"/>
    <n v="11"/>
    <n v="259"/>
    <s v="RN"/>
    <x v="0"/>
    <s v="AV"/>
    <x v="5"/>
    <n v="1959"/>
    <n v="1974"/>
    <n v="65"/>
    <n v="50"/>
    <n v="1"/>
    <n v="1715"/>
    <n v="0"/>
    <n v="0"/>
    <n v="640"/>
    <n v="640"/>
    <n v="0"/>
    <n v="1715"/>
    <n v="2000"/>
    <n v="0"/>
    <m/>
    <s v="FD"/>
    <s v="G"/>
    <s v="Y"/>
    <n v="0"/>
    <n v="1"/>
    <n v="0"/>
    <n v="0"/>
    <n v="0"/>
    <n v="8"/>
    <n v="0"/>
    <n v="0"/>
    <n v="0"/>
    <n v="0"/>
    <n v="64"/>
    <n v="0"/>
    <n v="100"/>
    <n v="100"/>
    <n v="263786"/>
    <n v="187288"/>
    <n v="1006"/>
    <n v="365"/>
    <n v="365"/>
    <n v="276"/>
    <d v="2021-03-31T00:00:00"/>
    <n v="459036"/>
    <n v="247200"/>
    <n v="237071"/>
    <s v="SWD"/>
    <n v="30"/>
    <s v="N"/>
    <s v="Y"/>
    <n v="334700"/>
    <n v="58400"/>
    <n v="276300"/>
    <n v="10129"/>
    <n v="1.3539644012944985"/>
    <n v="284996.62092442071"/>
    <n v="343466.1977713118"/>
    <n v="-58469.576855470004"/>
    <n v="0"/>
    <n v="89850.625589999996"/>
    <n v="-50946.13867709865"/>
    <n v="21557.329055999999"/>
    <n v="160472.20319"/>
    <n v="-11152.280025"/>
    <n v="84735.868839055009"/>
    <n v="0"/>
    <n v="0"/>
    <n v="18612.41295808"/>
    <n v="30336.176841600001"/>
    <n v="0"/>
    <n v="284996.62091716635"/>
    <n v="10100"/>
    <n v="246100"/>
    <n v="38900"/>
    <n v="295100"/>
    <n v="1.1937702265372168"/>
    <n v="-0.11831490887361816"/>
    <n v="0.99970000000000003"/>
    <n v="1.0067999999999999"/>
    <n v="0.99729999999999996"/>
    <n v="1.0093000000000001"/>
    <n v="1.0199"/>
    <n v="0.94971499999999998"/>
    <n v="0.98161274461821502"/>
    <n v="304600"/>
    <n v="9600"/>
    <n v="314200"/>
    <n v="36900"/>
    <n v="351100"/>
    <n v="0.13716974303293522"/>
    <n v="-0.36815068493150682"/>
    <n v="4.8999103674932779E-2"/>
    <n v="1.1837800289018203"/>
  </r>
  <r>
    <n v="2025"/>
    <n v="18132211404"/>
    <n v="-1.1086626245216111"/>
    <n v="0.33"/>
    <n v="14412"/>
    <n v="6"/>
    <s v="RES"/>
    <n v="3032"/>
    <s v="YC2"/>
    <s v="R1"/>
    <n v="11"/>
    <n v="259"/>
    <s v="RN"/>
    <x v="1"/>
    <s v="GD"/>
    <x v="5"/>
    <n v="1958"/>
    <n v="1974"/>
    <n v="66"/>
    <n v="50"/>
    <n v="1"/>
    <n v="1825"/>
    <n v="0"/>
    <n v="0"/>
    <n v="0"/>
    <n v="0"/>
    <n v="0"/>
    <n v="1825"/>
    <n v="2000"/>
    <n v="2"/>
    <m/>
    <s v="HP"/>
    <s v="E"/>
    <m/>
    <n v="0"/>
    <n v="1"/>
    <n v="0"/>
    <n v="0"/>
    <n v="1"/>
    <n v="8"/>
    <n v="506"/>
    <n v="0"/>
    <n v="0"/>
    <n v="0"/>
    <n v="0"/>
    <n v="0"/>
    <n v="100"/>
    <n v="100"/>
    <n v="387459"/>
    <n v="302218"/>
    <n v="464"/>
    <n v="365"/>
    <n v="99"/>
    <n v="0"/>
    <d v="2022-09-24T00:00:00"/>
    <s v="E038247"/>
    <n v="399000"/>
    <n v="399000"/>
    <s v="SWD"/>
    <n v="30"/>
    <s v="N"/>
    <s v="Y"/>
    <n v="378800"/>
    <n v="75900"/>
    <n v="302900"/>
    <n v="0"/>
    <n v="0.94937343358395987"/>
    <n v="381367.53311423725"/>
    <n v="405984.44086717238"/>
    <n v="-24616.907754502001"/>
    <n v="0"/>
    <n v="89850.625589999996"/>
    <n v="-35094.289365640165"/>
    <n v="44121.038090000002"/>
    <n v="197752.34721000001"/>
    <n v="-11152.280025"/>
    <n v="90170.822525525"/>
    <n v="0"/>
    <n v="0"/>
    <n v="0"/>
    <n v="30336.176841600001"/>
    <n v="0"/>
    <n v="381367.53311198286"/>
    <n v="0"/>
    <n v="326600"/>
    <n v="54800"/>
    <n v="381400"/>
    <n v="0.9558897243107769"/>
    <n v="6.8637803590285108E-3"/>
    <n v="0.99970000000000003"/>
    <n v="0.98050000000000004"/>
    <n v="0.99650000000000005"/>
    <n v="1.0093000000000001"/>
    <n v="1.0199"/>
    <n v="0.94971499999999998"/>
    <n v="0.95520384832633376"/>
    <n v="351200"/>
    <n v="0"/>
    <n v="351200"/>
    <n v="52000"/>
    <n v="403200"/>
    <n v="0.15945856718388907"/>
    <n v="-0.31488801054018445"/>
    <n v="6.4413938753959871E-2"/>
    <n v="0.94882980512656134"/>
  </r>
  <r>
    <n v="2025"/>
    <n v="18132323454"/>
    <n v="-1.8971199848858813"/>
    <n v="0.15"/>
    <n v="0"/>
    <n v="6"/>
    <s v="RES"/>
    <n v="3033"/>
    <s v="YC2"/>
    <s v="R1"/>
    <n v="11"/>
    <n v="259"/>
    <s v="RN"/>
    <x v="1"/>
    <s v="GD"/>
    <x v="5"/>
    <n v="1958"/>
    <n v="1974"/>
    <n v="66"/>
    <n v="50"/>
    <n v="1"/>
    <n v="1865"/>
    <n v="0"/>
    <n v="0"/>
    <n v="0"/>
    <n v="0"/>
    <n v="0"/>
    <n v="1865"/>
    <n v="2000"/>
    <n v="1"/>
    <s v="B"/>
    <s v="FD"/>
    <s v="G"/>
    <s v="Y"/>
    <n v="0"/>
    <n v="1"/>
    <n v="1"/>
    <n v="1"/>
    <n v="0"/>
    <n v="8"/>
    <n v="384"/>
    <n v="0"/>
    <n v="0"/>
    <n v="0"/>
    <n v="576"/>
    <n v="0"/>
    <n v="100"/>
    <n v="100"/>
    <n v="367857"/>
    <n v="286928"/>
    <n v="487"/>
    <n v="365"/>
    <n v="122"/>
    <n v="0"/>
    <d v="2022-09-01T00:00:00"/>
    <s v="E038002"/>
    <n v="370000"/>
    <n v="370000"/>
    <s v="SWD"/>
    <n v="30"/>
    <s v="N"/>
    <s v="Y"/>
    <n v="360400"/>
    <n v="48400"/>
    <n v="312000"/>
    <n v="0"/>
    <n v="0.9740540540540541"/>
    <n v="358649.67808689532"/>
    <n v="383002.47289182851"/>
    <n v="-24352.794806506001"/>
    <n v="0"/>
    <n v="89850.625589999996"/>
    <n v="-60052.604136134301"/>
    <n v="44121.038090000002"/>
    <n v="197752.34721000001"/>
    <n v="-11152.280025"/>
    <n v="92147.169320604997"/>
    <n v="0"/>
    <n v="0"/>
    <n v="0"/>
    <n v="30336.176841600001"/>
    <n v="0"/>
    <n v="358649.67808456469"/>
    <n v="0"/>
    <n v="328900"/>
    <n v="29800"/>
    <n v="358700"/>
    <n v="0.96945945945945944"/>
    <n v="-4.7169811320754715E-3"/>
    <n v="0.99970000000000003"/>
    <n v="0.98050000000000004"/>
    <n v="0.99650000000000005"/>
    <n v="1.0093000000000001"/>
    <n v="1.0199"/>
    <n v="0.94971499999999998"/>
    <n v="0.95520384832633376"/>
    <n v="353200"/>
    <n v="0"/>
    <n v="353200"/>
    <n v="28300"/>
    <n v="381500"/>
    <n v="0.13205128205128205"/>
    <n v="-0.41528925619834711"/>
    <n v="5.8546059933407328E-2"/>
    <n v="0.96526271673917297"/>
  </r>
  <r>
    <n v="2025"/>
    <n v="18132242456"/>
    <n v="-1.6094379124341003"/>
    <n v="0.2"/>
    <n v="8501"/>
    <n v="6"/>
    <s v="RES"/>
    <n v="3033"/>
    <s v="YC2"/>
    <s v="R1"/>
    <n v="11"/>
    <n v="259"/>
    <s v="RN"/>
    <x v="2"/>
    <s v="AV"/>
    <x v="5"/>
    <n v="1957"/>
    <n v="1974"/>
    <n v="67"/>
    <n v="50"/>
    <n v="1"/>
    <n v="1328"/>
    <n v="0"/>
    <n v="0"/>
    <n v="0"/>
    <n v="0"/>
    <n v="0"/>
    <n v="1328"/>
    <n v="1500"/>
    <n v="1"/>
    <s v="B"/>
    <s v="FD"/>
    <s v="G"/>
    <s v="Y"/>
    <n v="0"/>
    <n v="1"/>
    <n v="0"/>
    <n v="0"/>
    <n v="0"/>
    <n v="5"/>
    <n v="240"/>
    <n v="0"/>
    <n v="0"/>
    <n v="0"/>
    <n v="423"/>
    <n v="55"/>
    <n v="100"/>
    <n v="100"/>
    <n v="232762"/>
    <n v="165261"/>
    <n v="938"/>
    <n v="365"/>
    <n v="365"/>
    <n v="208"/>
    <d v="2021-06-07T00:00:00"/>
    <s v="E031599"/>
    <n v="293000"/>
    <n v="293000"/>
    <s v="SWD"/>
    <n v="30"/>
    <s v="N"/>
    <s v="Y"/>
    <n v="291200"/>
    <n v="58400"/>
    <n v="232800"/>
    <n v="0"/>
    <n v="0.99385665529010236"/>
    <n v="253236.82698837953"/>
    <n v="302613.32735978143"/>
    <n v="-49376.500378270008"/>
    <n v="0"/>
    <n v="89850.625589999996"/>
    <n v="-50946.13867709865"/>
    <n v="29814.093161000001"/>
    <n v="160472.20319"/>
    <n v="-11152.280025"/>
    <n v="65614.713596656002"/>
    <n v="0"/>
    <n v="0"/>
    <n v="0"/>
    <n v="18960.110526"/>
    <n v="0"/>
    <n v="253236.82698328732"/>
    <n v="0"/>
    <n v="214300"/>
    <n v="38900"/>
    <n v="253200"/>
    <n v="0.86416382252559731"/>
    <n v="-0.1304945054945055"/>
    <n v="0.99970000000000003"/>
    <n v="1.0088999999999999"/>
    <n v="0.99729999999999996"/>
    <n v="1.0157"/>
    <n v="1.0199"/>
    <n v="0.94971499999999998"/>
    <n v="0.98989762598047604"/>
    <n v="263700"/>
    <n v="0"/>
    <n v="263700"/>
    <n v="36900"/>
    <n v="300600"/>
    <n v="0.1327319587628866"/>
    <n v="-0.36815068493150682"/>
    <n v="3.2280219780219783E-2"/>
    <n v="0.85741808744617753"/>
  </r>
  <r>
    <n v="2025"/>
    <n v="18132243036"/>
    <n v="-1.6607312068216509"/>
    <n v="0.19"/>
    <n v="8087"/>
    <n v="6"/>
    <s v="RES"/>
    <n v="3093"/>
    <s v="YC2"/>
    <s v="R1"/>
    <n v="11"/>
    <n v="259"/>
    <s v="CO"/>
    <x v="0"/>
    <s v="PR"/>
    <x v="5"/>
    <n v="1956"/>
    <n v="1974"/>
    <n v="68"/>
    <n v="50"/>
    <n v="2"/>
    <n v="1376"/>
    <n v="972"/>
    <n v="0"/>
    <n v="0"/>
    <n v="0"/>
    <n v="0"/>
    <n v="2348"/>
    <n v="2500"/>
    <n v="0"/>
    <m/>
    <s v="FD"/>
    <s v="O"/>
    <s v="N"/>
    <n v="0"/>
    <n v="1"/>
    <n v="0"/>
    <n v="1"/>
    <n v="0"/>
    <n v="8"/>
    <n v="0"/>
    <n v="0"/>
    <n v="400"/>
    <n v="0"/>
    <n v="792"/>
    <n v="0"/>
    <n v="100"/>
    <n v="100"/>
    <n v="319307"/>
    <n v="153267"/>
    <n v="901"/>
    <n v="365"/>
    <n v="365"/>
    <n v="171"/>
    <d v="2021-07-14T00:00:00"/>
    <s v="E032188"/>
    <n v="220000"/>
    <n v="189479"/>
    <s v="SWD"/>
    <n v="30"/>
    <s v="N"/>
    <s v="Y"/>
    <n v="374600"/>
    <n v="56600"/>
    <n v="318000"/>
    <n v="30521"/>
    <n v="1.7027272727272726"/>
    <n v="184125.20297257736"/>
    <n v="228553.99996761014"/>
    <n v="-44428.797000970008"/>
    <n v="0"/>
    <n v="89850.625589999996"/>
    <n v="-52569.808201026557"/>
    <n v="21557.329055999999"/>
    <n v="39013.223933000001"/>
    <n v="-11152.280025"/>
    <n v="67986.329750752004"/>
    <n v="43532.403020892001"/>
    <n v="0"/>
    <n v="0"/>
    <n v="30336.176841600001"/>
    <n v="0"/>
    <n v="184125.20296524744"/>
    <n v="30500"/>
    <n v="146800"/>
    <n v="37300"/>
    <n v="214600"/>
    <n v="0.97545454545454546"/>
    <n v="-0.42712226374799789"/>
    <n v="0.99970000000000003"/>
    <n v="1.0067999999999999"/>
    <n v="1.0021"/>
    <n v="0.98919999999999997"/>
    <n v="1.0199"/>
    <n v="0.94971499999999998"/>
    <n v="0.96669454049562931"/>
    <n v="191300"/>
    <n v="29000"/>
    <n v="220300"/>
    <n v="35400"/>
    <n v="255700"/>
    <n v="-0.30723270440251571"/>
    <n v="-0.37455830388692579"/>
    <n v="-0.31740523224773093"/>
    <n v="0.96032364999559094"/>
  </r>
  <r>
    <n v="2025"/>
    <n v="18132244413"/>
    <n v="-1.5141277326297755"/>
    <n v="0.22"/>
    <n v="9470"/>
    <n v="6"/>
    <s v="RES"/>
    <n v="3092"/>
    <s v="YC2"/>
    <s v="R1"/>
    <n v="11"/>
    <n v="259"/>
    <s v="RN"/>
    <x v="2"/>
    <s v="AV"/>
    <x v="5"/>
    <n v="1956"/>
    <n v="1974"/>
    <n v="68"/>
    <n v="50"/>
    <n v="1"/>
    <n v="1696"/>
    <n v="0"/>
    <n v="0"/>
    <n v="0"/>
    <n v="0"/>
    <n v="0"/>
    <n v="1696"/>
    <n v="2000"/>
    <n v="2"/>
    <s v="B"/>
    <s v="FD"/>
    <s v="G"/>
    <s v="Y"/>
    <n v="0"/>
    <n v="1"/>
    <n v="0"/>
    <n v="0"/>
    <n v="0"/>
    <n v="9"/>
    <n v="809"/>
    <n v="0"/>
    <n v="0"/>
    <n v="0"/>
    <n v="0"/>
    <n v="0"/>
    <n v="100"/>
    <n v="100"/>
    <n v="329383"/>
    <n v="233862"/>
    <n v="826"/>
    <n v="365"/>
    <n v="365"/>
    <n v="96"/>
    <d v="2021-09-27T00:00:00"/>
    <s v="E033302"/>
    <n v="309000"/>
    <n v="309000"/>
    <s v="SWD"/>
    <n v="30"/>
    <s v="N"/>
    <s v="Y"/>
    <n v="325700"/>
    <n v="61700"/>
    <n v="264000"/>
    <n v="0"/>
    <n v="1.0540453074433658"/>
    <n v="304581.14488384669"/>
    <n v="338980.81341326638"/>
    <n v="-34399.668533470001"/>
    <n v="0"/>
    <n v="89850.625589999996"/>
    <n v="-47929.131559187132"/>
    <n v="29814.093161000001"/>
    <n v="160472.20319"/>
    <n v="-11152.280025"/>
    <n v="83797.104111392007"/>
    <n v="0"/>
    <n v="0"/>
    <n v="0"/>
    <n v="34128.198946800003"/>
    <n v="0"/>
    <n v="304581.14488153491"/>
    <n v="0"/>
    <n v="262700"/>
    <n v="41900"/>
    <n v="304600"/>
    <n v="0.9857605177993527"/>
    <n v="-6.4783543137856919E-2"/>
    <n v="0.99970000000000003"/>
    <n v="1.0088999999999999"/>
    <n v="0.99729999999999996"/>
    <n v="1.0093000000000001"/>
    <n v="1.0199"/>
    <n v="0.94971499999999998"/>
    <n v="0.98366020862665582"/>
    <n v="297100"/>
    <n v="0"/>
    <n v="297100"/>
    <n v="39800"/>
    <n v="336900"/>
    <n v="0.12537878787878787"/>
    <n v="-0.35494327390599678"/>
    <n v="3.4387473134786614E-2"/>
    <n v="0.97896547400171519"/>
  </r>
  <r>
    <n v="2025"/>
    <n v="18132321032"/>
    <n v="-1.6607312068216509"/>
    <n v="0.19"/>
    <n v="8127"/>
    <n v="6"/>
    <s v="RES"/>
    <s v="303N"/>
    <s v="YC2"/>
    <s v="R1"/>
    <n v="11"/>
    <n v="259"/>
    <s v="RN"/>
    <x v="2"/>
    <s v="GD"/>
    <x v="5"/>
    <n v="1956"/>
    <n v="1974"/>
    <n v="68"/>
    <n v="50"/>
    <n v="1"/>
    <n v="1195"/>
    <n v="0"/>
    <n v="0"/>
    <n v="0"/>
    <n v="0"/>
    <n v="0"/>
    <n v="1195"/>
    <n v="1500"/>
    <n v="0"/>
    <m/>
    <s v="FD"/>
    <s v="O"/>
    <s v="Y"/>
    <n v="0"/>
    <n v="1"/>
    <n v="0"/>
    <n v="0"/>
    <n v="0"/>
    <n v="5"/>
    <n v="0"/>
    <n v="0"/>
    <n v="210"/>
    <n v="0"/>
    <n v="100"/>
    <n v="100"/>
    <n v="100"/>
    <n v="100"/>
    <n v="228096"/>
    <n v="177915"/>
    <n v="1042"/>
    <n v="365"/>
    <n v="365"/>
    <n v="312"/>
    <d v="2021-02-23T00:00:00"/>
    <s v="E030285"/>
    <n v="250000"/>
    <n v="250000"/>
    <s v="SWD"/>
    <n v="30"/>
    <s v="N"/>
    <s v="Y"/>
    <n v="305300"/>
    <n v="56600"/>
    <n v="248700"/>
    <n v="0"/>
    <n v="1.2212000000000001"/>
    <n v="268414.89025404485"/>
    <n v="331698.44876443018"/>
    <n v="-63283.558519870006"/>
    <n v="0"/>
    <n v="89850.625589999996"/>
    <n v="-52569.808201026557"/>
    <n v="29814.093161000001"/>
    <n v="197752.34721000001"/>
    <n v="-11152.280025"/>
    <n v="59043.360503014999"/>
    <n v="0"/>
    <n v="0"/>
    <n v="0"/>
    <n v="18960.110526"/>
    <n v="0"/>
    <n v="268414.8902441184"/>
    <n v="0"/>
    <n v="231100"/>
    <n v="37300"/>
    <n v="268400"/>
    <n v="1.0736000000000001"/>
    <n v="-0.12086472322305929"/>
    <n v="0.99970000000000003"/>
    <n v="1.0088999999999999"/>
    <n v="0.99650000000000005"/>
    <n v="1.0157"/>
    <n v="1.0199"/>
    <n v="0.94971499999999998"/>
    <n v="0.98910356391210685"/>
    <n v="294400"/>
    <n v="0"/>
    <n v="294400"/>
    <n v="35400"/>
    <n v="329800"/>
    <n v="0.18375552874949738"/>
    <n v="-0.37455830388692579"/>
    <n v="8.0248935473304944E-2"/>
    <n v="1.0660657659205202"/>
  </r>
  <r>
    <n v="2025"/>
    <n v="18132341006"/>
    <n v="-1.2729656758128873"/>
    <n v="0.28000000000000003"/>
    <n v="0"/>
    <n v="6"/>
    <s v="RES"/>
    <n v="3031"/>
    <s v="YC2"/>
    <s v="R1"/>
    <n v="11"/>
    <n v="259"/>
    <s v="RN"/>
    <x v="3"/>
    <s v="GD"/>
    <x v="5"/>
    <n v="1955"/>
    <n v="1974"/>
    <n v="69"/>
    <n v="50"/>
    <n v="1"/>
    <n v="1632"/>
    <n v="0"/>
    <n v="0"/>
    <n v="1632"/>
    <n v="1132"/>
    <n v="500"/>
    <n v="2132"/>
    <n v="2500"/>
    <n v="0"/>
    <m/>
    <s v="FD"/>
    <s v="G"/>
    <s v="Y"/>
    <n v="0"/>
    <n v="1"/>
    <n v="0"/>
    <n v="1"/>
    <n v="1"/>
    <n v="11"/>
    <n v="0"/>
    <n v="0"/>
    <n v="0"/>
    <n v="0"/>
    <n v="244"/>
    <n v="96"/>
    <n v="100"/>
    <n v="100"/>
    <n v="496620"/>
    <n v="397296"/>
    <n v="585"/>
    <n v="365"/>
    <n v="220"/>
    <n v="0"/>
    <d v="2022-05-26T00:00:00"/>
    <s v="E036683"/>
    <n v="580000"/>
    <n v="533434"/>
    <s v="SWD"/>
    <n v="30"/>
    <s v="N"/>
    <s v="Y"/>
    <n v="518200"/>
    <n v="70100"/>
    <n v="448100"/>
    <n v="46566"/>
    <n v="0.89344827586206899"/>
    <n v="457005.26457834599"/>
    <n v="480232.70856135816"/>
    <n v="-23227.443984609999"/>
    <n v="0"/>
    <n v="89850.625589999996"/>
    <n v="-40295.239319339329"/>
    <n v="74268.409664999999"/>
    <n v="197752.34721000001"/>
    <n v="-11152.280025"/>
    <n v="80634.949239263995"/>
    <n v="0"/>
    <n v="0"/>
    <n v="47461.653043104001"/>
    <n v="41712.243157199999"/>
    <n v="0"/>
    <n v="457005.26457561867"/>
    <n v="46600"/>
    <n v="407400"/>
    <n v="49600"/>
    <n v="503600"/>
    <n v="0.86827586206896556"/>
    <n v="-2.8174450019297567E-2"/>
    <n v="0.99970000000000003"/>
    <n v="0.98380000000000001"/>
    <n v="0.99650000000000005"/>
    <n v="0.98919999999999997"/>
    <n v="1.0199"/>
    <n v="0.94971499999999998"/>
    <n v="0.93933200115703741"/>
    <n v="430700"/>
    <n v="44200"/>
    <n v="474900"/>
    <n v="47100"/>
    <n v="522000"/>
    <n v="5.9808078553894223E-2"/>
    <n v="-0.32810271041369471"/>
    <n v="7.3330760324199148E-3"/>
    <n v="0.85995268278515513"/>
  </r>
  <r>
    <n v="2025"/>
    <n v="18132342494"/>
    <n v="-1.7147984280919266"/>
    <n v="0.18"/>
    <n v="7969"/>
    <n v="6"/>
    <s v="RES"/>
    <n v="3032"/>
    <s v="YC2"/>
    <s v="R1"/>
    <n v="11"/>
    <n v="259"/>
    <s v="TD"/>
    <x v="1"/>
    <s v="GD"/>
    <x v="5"/>
    <n v="1955"/>
    <n v="1974"/>
    <n v="69"/>
    <n v="50"/>
    <n v="1"/>
    <n v="1771"/>
    <n v="0"/>
    <n v="0"/>
    <n v="905"/>
    <n v="0"/>
    <n v="905"/>
    <n v="2676"/>
    <n v="3000"/>
    <n v="2"/>
    <m/>
    <s v="FD"/>
    <s v="G"/>
    <s v="Y"/>
    <n v="0"/>
    <n v="2"/>
    <n v="0"/>
    <n v="1"/>
    <n v="0"/>
    <n v="8"/>
    <n v="0"/>
    <n v="357"/>
    <n v="0"/>
    <n v="80"/>
    <n v="711"/>
    <n v="0"/>
    <n v="100"/>
    <n v="100"/>
    <n v="481227"/>
    <n v="375357"/>
    <n v="875"/>
    <n v="365"/>
    <n v="365"/>
    <n v="145"/>
    <d v="2021-08-09T00:00:00"/>
    <s v="E032612"/>
    <n v="420000"/>
    <n v="420000"/>
    <s v="SWD"/>
    <n v="30"/>
    <s v="N"/>
    <s v="Y"/>
    <n v="404300"/>
    <n v="54700"/>
    <n v="349600"/>
    <n v="0"/>
    <n v="0.9626190476190476"/>
    <n v="372160.10070571693"/>
    <n v="413112.13316600386"/>
    <n v="-40952.032465570002"/>
    <n v="0"/>
    <n v="89850.625589999996"/>
    <n v="-54281.285314520763"/>
    <n v="44121.038090000002"/>
    <n v="197752.34721000001"/>
    <n v="-11152.280025"/>
    <n v="87502.754352167001"/>
    <n v="0"/>
    <n v="0"/>
    <n v="26319.115198534997"/>
    <n v="30336.176841600001"/>
    <n v="2663.6412220800003"/>
    <n v="372160.10069929122"/>
    <n v="0"/>
    <n v="336600"/>
    <n v="35600"/>
    <n v="372200"/>
    <n v="0.8861904761904762"/>
    <n v="-7.9396487756616368E-2"/>
    <n v="0.99970000000000003"/>
    <n v="0.98050000000000004"/>
    <n v="0.99650000000000005"/>
    <n v="0.96179999999999999"/>
    <n v="1.0199"/>
    <n v="0.94971499999999998"/>
    <n v="0.91024973874989379"/>
    <n v="377500"/>
    <n v="0"/>
    <n v="377500"/>
    <n v="33800"/>
    <n v="411300"/>
    <n v="7.9805491990846689E-2"/>
    <n v="-0.38208409506398539"/>
    <n v="1.7313875834776157E-2"/>
    <n v="0.88178087508197611"/>
  </r>
  <r>
    <n v="2025"/>
    <n v="18132244456"/>
    <n v="-1.8325814637483102"/>
    <n v="0.16"/>
    <n v="7000"/>
    <n v="6"/>
    <s v="RES"/>
    <n v="3092"/>
    <s v="YC2"/>
    <s v="R1"/>
    <n v="11"/>
    <n v="259"/>
    <s v="RN"/>
    <x v="2"/>
    <s v="AV"/>
    <x v="5"/>
    <n v="1955"/>
    <n v="1974"/>
    <n v="69"/>
    <n v="50"/>
    <n v="1"/>
    <n v="950"/>
    <n v="0"/>
    <n v="0"/>
    <n v="956"/>
    <n v="0"/>
    <n v="956"/>
    <n v="1906"/>
    <n v="2000"/>
    <n v="1"/>
    <m/>
    <s v="BH"/>
    <s v="E"/>
    <s v="N"/>
    <n v="0"/>
    <n v="0"/>
    <n v="0"/>
    <n v="3"/>
    <n v="1"/>
    <n v="14"/>
    <n v="276"/>
    <n v="0"/>
    <n v="204"/>
    <n v="216"/>
    <n v="100"/>
    <n v="316"/>
    <n v="100"/>
    <n v="100"/>
    <n v="313823"/>
    <n v="222814"/>
    <n v="950"/>
    <n v="365"/>
    <n v="365"/>
    <n v="220"/>
    <d v="2021-05-26T00:00:00"/>
    <s v="E031459"/>
    <n v="329000"/>
    <n v="329000"/>
    <s v="SWD"/>
    <n v="30"/>
    <s v="N"/>
    <s v="Y"/>
    <n v="337300"/>
    <n v="50600"/>
    <n v="286700"/>
    <n v="0"/>
    <n v="1.0252279635258359"/>
    <n v="295014.4879517089"/>
    <n v="345995.64887760888"/>
    <n v="-50981.160933070001"/>
    <n v="0"/>
    <n v="89850.625589999996"/>
    <n v="-58009.662049032086"/>
    <n v="29814.093161000001"/>
    <n v="160472.20319"/>
    <n v="-11152.280025"/>
    <n v="46938.236383150004"/>
    <n v="0"/>
    <n v="0"/>
    <n v="27802.291856132"/>
    <n v="53088.3094728"/>
    <n v="7191.8312996160003"/>
    <n v="295014.48794559593"/>
    <n v="0"/>
    <n v="263200"/>
    <n v="31800"/>
    <n v="295000"/>
    <n v="0.89665653495440734"/>
    <n v="-0.12540764897717166"/>
    <n v="0.99970000000000003"/>
    <n v="1.0088999999999999"/>
    <n v="0.99729999999999996"/>
    <n v="1.0093000000000001"/>
    <n v="1.0199"/>
    <n v="0.94971499999999998"/>
    <n v="0.98366020862665582"/>
    <n v="314200"/>
    <n v="0"/>
    <n v="314200"/>
    <n v="30200"/>
    <n v="344400"/>
    <n v="9.5919079176839908E-2"/>
    <n v="-0.40316205533596838"/>
    <n v="2.1049510821227396E-2"/>
    <n v="0.89185057467151974"/>
  </r>
  <r>
    <n v="2025"/>
    <n v="18132323525"/>
    <n v="-1.6607312068216509"/>
    <n v="0.19"/>
    <n v="8400"/>
    <n v="6"/>
    <s v="RES"/>
    <s v="YC2"/>
    <s v="YC2"/>
    <s v="R1"/>
    <n v="11"/>
    <n v="259"/>
    <s v="TD"/>
    <x v="4"/>
    <s v="GD"/>
    <x v="5"/>
    <n v="1955"/>
    <n v="1974"/>
    <n v="69"/>
    <n v="50"/>
    <n v="1"/>
    <n v="1305"/>
    <n v="0"/>
    <n v="0"/>
    <n v="0"/>
    <n v="0"/>
    <n v="0"/>
    <n v="1305"/>
    <n v="1500"/>
    <n v="0"/>
    <m/>
    <s v="HP"/>
    <s v="E"/>
    <m/>
    <n v="1"/>
    <n v="0"/>
    <n v="0"/>
    <n v="0"/>
    <n v="0"/>
    <n v="5"/>
    <n v="0"/>
    <n v="0"/>
    <n v="432"/>
    <n v="0"/>
    <n v="0"/>
    <n v="0"/>
    <n v="100"/>
    <n v="100"/>
    <n v="200428"/>
    <n v="156334"/>
    <n v="129"/>
    <n v="129"/>
    <n v="0"/>
    <n v="0"/>
    <d v="2023-08-25T00:00:00"/>
    <s v="E041304"/>
    <n v="325000"/>
    <n v="325000"/>
    <s v="SWD"/>
    <n v="30"/>
    <s v="N"/>
    <s v="Y"/>
    <n v="308100"/>
    <n v="56600"/>
    <n v="251500"/>
    <n v="0"/>
    <n v="0.94799999999999995"/>
    <n v="298217.30193297268"/>
    <n v="307319.30928995786"/>
    <n v="-9102.0073575300012"/>
    <n v="0"/>
    <n v="89850.625589999996"/>
    <n v="-52569.808201026557"/>
    <n v="0"/>
    <n v="197752.34721000001"/>
    <n v="-11152.280025"/>
    <n v="64478.314189485005"/>
    <n v="0"/>
    <n v="0"/>
    <n v="0"/>
    <n v="18960.110526"/>
    <n v="0"/>
    <n v="298217.30193192838"/>
    <n v="0"/>
    <n v="260900"/>
    <n v="37300"/>
    <n v="298200"/>
    <n v="0.91753846153846153"/>
    <n v="-3.2132424537487832E-2"/>
    <n v="0.99970000000000003"/>
    <n v="0.99180000000000001"/>
    <n v="0.99650000000000005"/>
    <n v="1.0157"/>
    <n v="1.0199"/>
    <n v="0.94971499999999998"/>
    <n v="0.97233909672715635"/>
    <n v="270000"/>
    <n v="0"/>
    <n v="270000"/>
    <n v="35400"/>
    <n v="305400"/>
    <n v="7.3558648111332003E-2"/>
    <n v="-0.37455830388692579"/>
    <n v="-8.7633885102239538E-3"/>
    <n v="0.9116861312076"/>
  </r>
  <r>
    <n v="2025"/>
    <n v="18132213452"/>
    <n v="-1.8971199848858813"/>
    <n v="0.15"/>
    <n v="6682"/>
    <n v="6"/>
    <s v="RES"/>
    <s v="YC2"/>
    <s v="YC2"/>
    <s v="R1"/>
    <n v="11"/>
    <n v="259"/>
    <s v="RN"/>
    <x v="1"/>
    <s v="GD"/>
    <x v="5"/>
    <n v="1955"/>
    <n v="1974"/>
    <n v="69"/>
    <n v="50"/>
    <n v="1"/>
    <n v="1336"/>
    <n v="0"/>
    <n v="0"/>
    <n v="0"/>
    <n v="0"/>
    <n v="0"/>
    <n v="1336"/>
    <n v="1500"/>
    <n v="0"/>
    <m/>
    <s v="FD"/>
    <s v="E"/>
    <s v="Y"/>
    <n v="0"/>
    <n v="1"/>
    <n v="0"/>
    <n v="1"/>
    <n v="0"/>
    <n v="8"/>
    <n v="0"/>
    <n v="0"/>
    <n v="572"/>
    <n v="0"/>
    <n v="192"/>
    <n v="0"/>
    <n v="100"/>
    <n v="100"/>
    <n v="297650"/>
    <n v="232167"/>
    <n v="89"/>
    <n v="89"/>
    <n v="0"/>
    <n v="0"/>
    <d v="2023-10-04T00:00:00"/>
    <s v="E041686"/>
    <n v="380000"/>
    <n v="380000"/>
    <s v="SWD"/>
    <n v="30"/>
    <s v="N"/>
    <s v="Y"/>
    <n v="330200"/>
    <n v="48400"/>
    <n v="281800"/>
    <n v="0"/>
    <n v="0.86894736842105258"/>
    <n v="350585.60703264415"/>
    <n v="356865.28652699827"/>
    <n v="-6279.6794947300004"/>
    <n v="0"/>
    <n v="89850.625589999996"/>
    <n v="-60052.604136134301"/>
    <n v="44121.038090000002"/>
    <n v="197752.34721000001"/>
    <n v="-11152.280025"/>
    <n v="66009.982955672007"/>
    <n v="0"/>
    <n v="0"/>
    <n v="0"/>
    <n v="30336.176841600001"/>
    <n v="0"/>
    <n v="350585.60703140771"/>
    <n v="0"/>
    <n v="320800"/>
    <n v="29800"/>
    <n v="350600"/>
    <n v="0.92263157894736847"/>
    <n v="6.1780738946093275E-2"/>
    <n v="0.99970000000000003"/>
    <n v="0.98050000000000004"/>
    <n v="0.99650000000000005"/>
    <n v="1.0157"/>
    <n v="1.0199"/>
    <n v="0.94971499999999998"/>
    <n v="0.96126082309031724"/>
    <n v="327100"/>
    <n v="0"/>
    <n v="327100"/>
    <n v="28300"/>
    <n v="355400"/>
    <n v="0.16075230660042583"/>
    <n v="-0.41528925619834711"/>
    <n v="7.6317383403997574E-2"/>
    <n v="0.9187376855401842"/>
  </r>
  <r>
    <n v="2025"/>
    <n v="18132324495"/>
    <n v="-1.6094379124341003"/>
    <n v="0.2"/>
    <n v="0"/>
    <n v="6"/>
    <s v="RES"/>
    <n v="3033"/>
    <s v="YC2"/>
    <s v="R1"/>
    <n v="11"/>
    <n v="259"/>
    <s v="RN"/>
    <x v="2"/>
    <s v="GD"/>
    <x v="5"/>
    <n v="1955"/>
    <n v="1974"/>
    <n v="69"/>
    <n v="50"/>
    <n v="1"/>
    <n v="1181"/>
    <n v="0"/>
    <n v="0"/>
    <n v="810"/>
    <n v="0"/>
    <n v="810"/>
    <n v="1991"/>
    <n v="2000"/>
    <n v="1"/>
    <m/>
    <s v="FD"/>
    <s v="G"/>
    <s v="Y"/>
    <n v="0"/>
    <n v="2"/>
    <n v="0"/>
    <n v="1"/>
    <n v="0"/>
    <n v="10"/>
    <n v="0"/>
    <n v="351"/>
    <n v="0"/>
    <n v="160"/>
    <n v="672"/>
    <n v="160"/>
    <n v="100"/>
    <n v="100"/>
    <n v="333621"/>
    <n v="260224"/>
    <n v="1006"/>
    <n v="365"/>
    <n v="365"/>
    <n v="276"/>
    <d v="2021-03-31T00:00:00"/>
    <s v="E030666"/>
    <n v="355000"/>
    <n v="342483"/>
    <s v="SWD"/>
    <n v="30"/>
    <s v="N"/>
    <s v="Y"/>
    <n v="372400"/>
    <n v="58400"/>
    <n v="314000"/>
    <n v="12517"/>
    <n v="1.0490140845070421"/>
    <n v="322004.5481838758"/>
    <n v="380474.12503076688"/>
    <n v="-58469.576855470004"/>
    <n v="0"/>
    <n v="89850.625589999996"/>
    <n v="-50946.13867709865"/>
    <n v="29814.093161000001"/>
    <n v="197752.34721000001"/>
    <n v="-11152.280025"/>
    <n v="58351.639124737005"/>
    <n v="0"/>
    <n v="0"/>
    <n v="23556.335150069997"/>
    <n v="37920.221052000001"/>
    <n v="5327.2824441600005"/>
    <n v="322004.54817439843"/>
    <n v="12500"/>
    <n v="283100"/>
    <n v="38900"/>
    <n v="334500"/>
    <n v="0.94225352112676053"/>
    <n v="-0.10177228786251342"/>
    <n v="0.99970000000000003"/>
    <n v="1.0088999999999999"/>
    <n v="0.99650000000000005"/>
    <n v="1.0093000000000001"/>
    <n v="1.0199"/>
    <n v="0.94971499999999998"/>
    <n v="0.98287115000146663"/>
    <n v="341600"/>
    <n v="11900"/>
    <n v="353500"/>
    <n v="36900"/>
    <n v="390400"/>
    <n v="0.12579617834394904"/>
    <n v="-0.36815068493150682"/>
    <n v="4.8335123523093451E-2"/>
    <n v="0.93501527646346472"/>
  </r>
  <r>
    <n v="2025"/>
    <n v="18132322415"/>
    <n v="-1.4271163556401458"/>
    <n v="0.24"/>
    <n v="0"/>
    <n v="6"/>
    <s v="RES"/>
    <n v="3033"/>
    <s v="YC2"/>
    <s v="R1"/>
    <n v="11"/>
    <n v="259"/>
    <s v="TD"/>
    <x v="0"/>
    <s v="AV"/>
    <x v="5"/>
    <n v="1955"/>
    <n v="1974"/>
    <n v="69"/>
    <n v="50"/>
    <n v="1"/>
    <n v="1657"/>
    <n v="0"/>
    <n v="0"/>
    <n v="0"/>
    <n v="0"/>
    <n v="0"/>
    <n v="1657"/>
    <n v="2000"/>
    <n v="0"/>
    <m/>
    <s v="FD"/>
    <s v="G"/>
    <m/>
    <n v="1"/>
    <n v="0"/>
    <n v="0"/>
    <n v="1"/>
    <n v="0"/>
    <n v="8"/>
    <n v="0"/>
    <n v="0"/>
    <n v="520"/>
    <n v="540"/>
    <n v="352"/>
    <n v="422"/>
    <n v="100"/>
    <n v="100"/>
    <n v="254026"/>
    <n v="180358"/>
    <n v="851"/>
    <n v="365"/>
    <n v="365"/>
    <n v="121"/>
    <d v="2021-09-02T00:00:00"/>
    <n v="460333"/>
    <n v="340000"/>
    <n v="321805"/>
    <s v="SWD"/>
    <n v="30"/>
    <s v="N"/>
    <s v="Y"/>
    <n v="336400"/>
    <n v="64800"/>
    <n v="271600"/>
    <n v="18195"/>
    <n v="0.98941176470588232"/>
    <n v="307996.26767922658"/>
    <n v="345738.97903051734"/>
    <n v="-37742.711355970001"/>
    <n v="0"/>
    <n v="89850.625589999996"/>
    <n v="-45174.819855485119"/>
    <n v="21557.329055999999"/>
    <n v="160472.20319"/>
    <n v="-11152.280025"/>
    <n v="81870.165986189008"/>
    <n v="0"/>
    <n v="0"/>
    <n v="0"/>
    <n v="30336.176841600001"/>
    <n v="17979.578249040002"/>
    <n v="307996.26767637389"/>
    <n v="18200"/>
    <n v="263300"/>
    <n v="44700"/>
    <n v="326200"/>
    <n v="0.95941176470588241"/>
    <n v="-3.0321046373365041E-2"/>
    <n v="0.99970000000000003"/>
    <n v="1.0067999999999999"/>
    <n v="0.99729999999999996"/>
    <n v="1.0093000000000001"/>
    <n v="1.0199"/>
    <n v="0.94971499999999998"/>
    <n v="0.98161274461821502"/>
    <n v="301100"/>
    <n v="17300"/>
    <n v="318400"/>
    <n v="42400"/>
    <n v="360800"/>
    <n v="0.17231222385861561"/>
    <n v="-0.34567901234567899"/>
    <n v="7.2532699167657547E-2"/>
    <n v="0.95016849601185294"/>
  </r>
  <r>
    <n v="2025"/>
    <n v="18132313503"/>
    <n v="-1.8325814637483102"/>
    <n v="0.16"/>
    <n v="6981"/>
    <n v="6"/>
    <s v="RES"/>
    <n v="3033"/>
    <s v="YC2"/>
    <s v="R1"/>
    <n v="11"/>
    <n v="259"/>
    <s v="BG"/>
    <x v="2"/>
    <s v="GD"/>
    <x v="5"/>
    <n v="1955"/>
    <n v="1974"/>
    <n v="69"/>
    <n v="50"/>
    <n v="1"/>
    <n v="1406"/>
    <n v="0"/>
    <n v="0"/>
    <n v="722"/>
    <n v="0"/>
    <n v="722"/>
    <n v="2128"/>
    <n v="2500"/>
    <n v="0"/>
    <m/>
    <s v="FD"/>
    <s v="G"/>
    <s v="Y"/>
    <n v="0"/>
    <n v="1"/>
    <n v="0"/>
    <n v="1"/>
    <n v="0"/>
    <n v="9"/>
    <n v="0"/>
    <n v="0"/>
    <n v="0"/>
    <n v="0"/>
    <n v="115"/>
    <n v="15"/>
    <n v="100"/>
    <n v="100"/>
    <n v="302912"/>
    <n v="236271"/>
    <n v="809"/>
    <n v="365"/>
    <n v="365"/>
    <n v="79"/>
    <d v="2021-10-14T00:00:00"/>
    <s v="E033702"/>
    <n v="360000"/>
    <n v="354485"/>
    <s v="SWD"/>
    <n v="30"/>
    <s v="N"/>
    <s v="Y"/>
    <n v="357300"/>
    <n v="50600"/>
    <n v="306700"/>
    <n v="5515"/>
    <n v="0.99250000000000005"/>
    <n v="340722.64163948328"/>
    <n v="372849.04105003073"/>
    <n v="-32126.399414170002"/>
    <n v="0"/>
    <n v="89850.625589999996"/>
    <n v="-58009.662049032086"/>
    <n v="29814.093161000001"/>
    <n v="197752.34721000001"/>
    <n v="-11152.280025"/>
    <n v="69468.589847062001"/>
    <n v="0"/>
    <n v="0"/>
    <n v="20997.128368334001"/>
    <n v="34128.198946800003"/>
    <n v="0"/>
    <n v="340722.64163499401"/>
    <n v="5500"/>
    <n v="308900"/>
    <n v="31800"/>
    <n v="346200"/>
    <n v="0.96166666666666667"/>
    <n v="-3.1066330814441646E-2"/>
    <n v="0.99970000000000003"/>
    <n v="1.0088999999999999"/>
    <n v="0.99650000000000005"/>
    <n v="0.98919999999999997"/>
    <n v="1.0199"/>
    <n v="0.94971499999999998"/>
    <n v="0.9632974750633615"/>
    <n v="341000"/>
    <n v="5200"/>
    <n v="346200"/>
    <n v="30200"/>
    <n v="376400"/>
    <n v="0.12879034887512228"/>
    <n v="-0.40316205533596838"/>
    <n v="5.3456479149174362E-2"/>
    <n v="0.9563155571828611"/>
  </r>
  <r>
    <n v="2025"/>
    <n v="18132242502"/>
    <n v="-1.4696759700589417"/>
    <n v="0.23"/>
    <n v="10000"/>
    <n v="6"/>
    <s v="RES"/>
    <n v="3033"/>
    <s v="YC2"/>
    <s v="R1"/>
    <n v="11"/>
    <n v="259"/>
    <s v="RN"/>
    <x v="2"/>
    <s v="GD"/>
    <x v="5"/>
    <n v="1955"/>
    <n v="1974"/>
    <n v="69"/>
    <n v="50"/>
    <n v="1"/>
    <n v="1404"/>
    <n v="0"/>
    <n v="0"/>
    <n v="1404"/>
    <n v="0"/>
    <n v="1404"/>
    <n v="2808"/>
    <n v="3000"/>
    <n v="2"/>
    <s v="B"/>
    <s v="FD"/>
    <s v="G"/>
    <s v="Y"/>
    <n v="0"/>
    <n v="2"/>
    <n v="0"/>
    <n v="1"/>
    <n v="0"/>
    <n v="9"/>
    <n v="442"/>
    <n v="0"/>
    <n v="0"/>
    <n v="0"/>
    <n v="767"/>
    <n v="416"/>
    <n v="100"/>
    <n v="100"/>
    <n v="394279"/>
    <n v="307538"/>
    <n v="528"/>
    <n v="365"/>
    <n v="163"/>
    <n v="0"/>
    <d v="2022-07-22T00:00:00"/>
    <s v="E037383"/>
    <n v="385000"/>
    <n v="385000"/>
    <s v="SWD"/>
    <n v="30"/>
    <s v="N"/>
    <s v="Y"/>
    <n v="397000"/>
    <n v="63300"/>
    <n v="333700"/>
    <n v="0"/>
    <n v="1.0311688311688312"/>
    <n v="380189.72545485175"/>
    <n v="404071.71022204251"/>
    <n v="-23881.984768774"/>
    <n v="0"/>
    <n v="89850.625589999996"/>
    <n v="-46522.028095997222"/>
    <n v="29814.093161000001"/>
    <n v="197752.34721000001"/>
    <n v="-11152.280025"/>
    <n v="69369.772507308007"/>
    <n v="0"/>
    <n v="0"/>
    <n v="40830.980926787997"/>
    <n v="34128.198946800003"/>
    <n v="0"/>
    <n v="380189.72545212484"/>
    <n v="0"/>
    <n v="336900"/>
    <n v="43300"/>
    <n v="380200"/>
    <n v="0.98753246753246748"/>
    <n v="-4.2317380352644839E-2"/>
    <n v="0.99970000000000003"/>
    <n v="1.0088999999999999"/>
    <n v="0.99650000000000005"/>
    <n v="0.96179999999999999"/>
    <n v="1.0199"/>
    <n v="0.94971499999999998"/>
    <n v="0.93661495300843212"/>
    <n v="360700"/>
    <n v="0"/>
    <n v="360700"/>
    <n v="41100"/>
    <n v="401800"/>
    <n v="8.0910997902307463E-2"/>
    <n v="-0.35071090047393366"/>
    <n v="1.2090680100755667E-2"/>
    <n v="0.98160523436682079"/>
  </r>
  <r>
    <n v="2025"/>
    <n v="18132323525"/>
    <n v="-1.6607312068216509"/>
    <n v="0.19"/>
    <n v="8400"/>
    <n v="6"/>
    <s v="RES"/>
    <n v="3033"/>
    <s v="YC2"/>
    <s v="R1"/>
    <n v="11"/>
    <n v="259"/>
    <s v="TD"/>
    <x v="0"/>
    <s v="GD"/>
    <x v="5"/>
    <n v="1955"/>
    <n v="1974"/>
    <n v="69"/>
    <n v="50"/>
    <n v="1"/>
    <n v="1305"/>
    <n v="0"/>
    <n v="0"/>
    <n v="0"/>
    <n v="0"/>
    <n v="0"/>
    <n v="1305"/>
    <n v="1500"/>
    <n v="0"/>
    <m/>
    <s v="HP"/>
    <s v="E"/>
    <m/>
    <n v="1"/>
    <n v="0"/>
    <n v="0"/>
    <n v="0"/>
    <n v="1"/>
    <n v="7"/>
    <n v="0"/>
    <n v="0"/>
    <n v="432"/>
    <n v="0"/>
    <n v="0"/>
    <n v="0"/>
    <n v="100"/>
    <n v="100"/>
    <n v="200428"/>
    <n v="156334"/>
    <n v="936"/>
    <n v="365"/>
    <n v="365"/>
    <n v="206"/>
    <d v="2021-06-09T00:00:00"/>
    <s v="E031656"/>
    <n v="286000"/>
    <n v="286000"/>
    <s v="SWD"/>
    <n v="30"/>
    <s v="N"/>
    <s v="Y"/>
    <n v="308100"/>
    <n v="56600"/>
    <n v="251500"/>
    <n v="0"/>
    <n v="1.0772727272727274"/>
    <n v="287351.62561083038"/>
    <n v="336460.68255648261"/>
    <n v="-49109.056952470004"/>
    <n v="0"/>
    <n v="89850.625589999996"/>
    <n v="-52569.808201026557"/>
    <n v="21557.329055999999"/>
    <n v="197752.34721000001"/>
    <n v="-11152.280025"/>
    <n v="64478.314189485005"/>
    <n v="0"/>
    <n v="0"/>
    <n v="0"/>
    <n v="26544.1547364"/>
    <n v="0"/>
    <n v="287351.62560338841"/>
    <n v="0"/>
    <n v="250100"/>
    <n v="37300"/>
    <n v="287400"/>
    <n v="1.0048951048951049"/>
    <n v="-6.718597857838364E-2"/>
    <n v="0.99970000000000003"/>
    <n v="1.0067999999999999"/>
    <n v="0.99650000000000005"/>
    <n v="1.0157"/>
    <n v="1.0199"/>
    <n v="0.94971499999999998"/>
    <n v="0.98704476969641131"/>
    <n v="299200"/>
    <n v="0"/>
    <n v="299200"/>
    <n v="35400"/>
    <n v="334600"/>
    <n v="0.18966202783300198"/>
    <n v="-0.37455830388692579"/>
    <n v="8.601103537812399E-2"/>
    <n v="0.99822008058576928"/>
  </r>
  <r>
    <n v="2025"/>
    <n v="18132324421"/>
    <n v="-1.6607312068216509"/>
    <n v="0.19"/>
    <n v="0"/>
    <n v="6"/>
    <s v="RES"/>
    <n v="3033"/>
    <s v="YC2"/>
    <s v="R1"/>
    <n v="11"/>
    <n v="259"/>
    <s v="RN"/>
    <x v="2"/>
    <s v="PR"/>
    <x v="5"/>
    <n v="1955"/>
    <n v="1974"/>
    <n v="69"/>
    <n v="50"/>
    <n v="1"/>
    <n v="1471"/>
    <n v="0"/>
    <n v="0"/>
    <n v="0"/>
    <n v="0"/>
    <n v="0"/>
    <n v="1471"/>
    <n v="1500"/>
    <n v="0"/>
    <m/>
    <s v="FD"/>
    <s v="G"/>
    <m/>
    <n v="0"/>
    <n v="1"/>
    <n v="0"/>
    <n v="1"/>
    <n v="0"/>
    <n v="8"/>
    <n v="0"/>
    <n v="0"/>
    <n v="0"/>
    <n v="0"/>
    <n v="544"/>
    <n v="96"/>
    <n v="100"/>
    <n v="100"/>
    <n v="243312"/>
    <n v="138688"/>
    <n v="273"/>
    <n v="273"/>
    <n v="0"/>
    <n v="0"/>
    <d v="2023-04-03T00:00:00"/>
    <n v="464663"/>
    <n v="182000"/>
    <n v="173356"/>
    <s v="SWD"/>
    <n v="30"/>
    <s v="N"/>
    <s v="Y"/>
    <n v="236900"/>
    <n v="56600"/>
    <n v="180300"/>
    <n v="8644"/>
    <n v="1.3016483516483517"/>
    <n v="178709.7970274266"/>
    <n v="197972.18468988361"/>
    <n v="-19262.387663610003"/>
    <n v="0"/>
    <n v="89850.625589999996"/>
    <n v="-52569.808201026557"/>
    <n v="29814.093161000001"/>
    <n v="39013.223933000001"/>
    <n v="-11152.280025"/>
    <n v="72680.153389066996"/>
    <n v="0"/>
    <n v="0"/>
    <n v="0"/>
    <n v="30336.176841600001"/>
    <n v="0"/>
    <n v="178709.79702503045"/>
    <n v="8600"/>
    <n v="141400"/>
    <n v="37300"/>
    <n v="187300"/>
    <n v="1.029120879120879"/>
    <n v="-0.20937104263402279"/>
    <n v="0.99970000000000003"/>
    <n v="1.0088999999999999"/>
    <n v="1.0021"/>
    <n v="1.0157"/>
    <n v="1.0199"/>
    <n v="0.94971499999999998"/>
    <n v="0.99466199839068981"/>
    <n v="160700"/>
    <n v="8200"/>
    <n v="168900"/>
    <n v="35400"/>
    <n v="204300"/>
    <n v="-6.3227953410981697E-2"/>
    <n v="-0.37455830388692579"/>
    <n v="-0.13761080624736174"/>
    <n v="1.0166901776724726"/>
  </r>
  <r>
    <n v="2025"/>
    <n v="18132244480"/>
    <n v="-1.3470736479666092"/>
    <n v="0.26"/>
    <n v="11396"/>
    <n v="6"/>
    <s v="RES"/>
    <n v="3092"/>
    <s v="YC2"/>
    <s v="R1"/>
    <n v="11"/>
    <n v="259"/>
    <s v="RN"/>
    <x v="2"/>
    <s v="GD"/>
    <x v="5"/>
    <n v="1955"/>
    <n v="1974"/>
    <n v="69"/>
    <n v="50"/>
    <n v="1"/>
    <n v="1274"/>
    <n v="0"/>
    <n v="0"/>
    <n v="1274"/>
    <n v="0"/>
    <n v="1274"/>
    <n v="2548"/>
    <n v="3000"/>
    <n v="2"/>
    <s v="B"/>
    <s v="FD"/>
    <s v="G"/>
    <s v="Y"/>
    <n v="0"/>
    <n v="2"/>
    <n v="0"/>
    <n v="1"/>
    <n v="0"/>
    <n v="8"/>
    <n v="620"/>
    <n v="0"/>
    <n v="0"/>
    <n v="132"/>
    <n v="400"/>
    <n v="36"/>
    <n v="100"/>
    <n v="100"/>
    <n v="362725"/>
    <n v="282926"/>
    <n v="784"/>
    <n v="365"/>
    <n v="365"/>
    <n v="54"/>
    <d v="2021-11-08T00:00:00"/>
    <s v="E033980"/>
    <n v="350000"/>
    <n v="350000"/>
    <s v="SWD"/>
    <n v="30"/>
    <s v="N"/>
    <s v="Y"/>
    <n v="381900"/>
    <n v="67600"/>
    <n v="314300"/>
    <n v="0"/>
    <n v="1.0911428571428572"/>
    <n v="369568.49547313974"/>
    <n v="398351.8520618162"/>
    <n v="-28783.356591670003"/>
    <n v="0"/>
    <n v="89850.625589999996"/>
    <n v="-42641.098701210125"/>
    <n v="29814.093161000001"/>
    <n v="197752.34721000001"/>
    <n v="-11152.280025"/>
    <n v="62946.645423298003"/>
    <n v="0"/>
    <n v="0"/>
    <n v="37050.334544678"/>
    <n v="30336.176841600001"/>
    <n v="4395.0080164320007"/>
    <n v="369568.49546912784"/>
    <n v="0"/>
    <n v="322400"/>
    <n v="47200"/>
    <n v="369600"/>
    <n v="1.056"/>
    <n v="-3.2207384131971717E-2"/>
    <n v="0.99970000000000003"/>
    <n v="1.0088999999999999"/>
    <n v="0.99650000000000005"/>
    <n v="0.96179999999999999"/>
    <n v="1.0199"/>
    <n v="0.94971499999999998"/>
    <n v="0.93661495300843212"/>
    <n v="351100"/>
    <n v="0"/>
    <n v="351100"/>
    <n v="44800"/>
    <n v="395900"/>
    <n v="0.11708558701877188"/>
    <n v="-0.33727810650887574"/>
    <n v="3.6658811207122284E-2"/>
    <n v="1.0489046954523713"/>
  </r>
  <r>
    <n v="2025"/>
    <n v="18132242454"/>
    <n v="-1.6094379124341003"/>
    <n v="0.2"/>
    <n v="8525"/>
    <n v="6"/>
    <s v="RES"/>
    <s v="YC2"/>
    <s v="YC2"/>
    <s v="R1"/>
    <n v="11"/>
    <n v="259"/>
    <s v="RN"/>
    <x v="2"/>
    <s v="AV"/>
    <x v="5"/>
    <n v="1955"/>
    <n v="1974"/>
    <n v="69"/>
    <n v="50"/>
    <n v="1"/>
    <n v="1602"/>
    <n v="0"/>
    <n v="0"/>
    <n v="0"/>
    <n v="0"/>
    <n v="0"/>
    <n v="1602"/>
    <n v="2000"/>
    <n v="0"/>
    <m/>
    <s v="FD"/>
    <s v="G"/>
    <s v="Y"/>
    <n v="0"/>
    <n v="2"/>
    <n v="0"/>
    <n v="0"/>
    <n v="1"/>
    <n v="7"/>
    <n v="0"/>
    <n v="0"/>
    <n v="392"/>
    <n v="0"/>
    <n v="807"/>
    <n v="0"/>
    <n v="100"/>
    <n v="100"/>
    <n v="289967"/>
    <n v="205877"/>
    <n v="104"/>
    <n v="104"/>
    <n v="0"/>
    <n v="0"/>
    <d v="2023-09-19T00:00:00"/>
    <s v="E041623"/>
    <n v="310000"/>
    <n v="297694"/>
    <s v="SWD"/>
    <n v="30"/>
    <s v="N"/>
    <s v="Y"/>
    <n v="328100"/>
    <n v="58400"/>
    <n v="269700"/>
    <n v="12306"/>
    <n v="1.0583870967741935"/>
    <n v="316397.29467364459"/>
    <n v="323735.34711648535"/>
    <n v="-7338.0524432800012"/>
    <n v="0"/>
    <n v="89850.625589999996"/>
    <n v="-50946.13867709865"/>
    <n v="29814.093161000001"/>
    <n v="160472.20319"/>
    <n v="-11152.280025"/>
    <n v="79152.689142953997"/>
    <n v="0"/>
    <n v="0"/>
    <n v="0"/>
    <n v="26544.1547364"/>
    <n v="0"/>
    <n v="316397.29467497539"/>
    <n v="12300"/>
    <n v="277500"/>
    <n v="38900"/>
    <n v="328700"/>
    <n v="1.0603225806451613"/>
    <n v="1.828710758914965E-3"/>
    <n v="0.99970000000000003"/>
    <n v="1.0088999999999999"/>
    <n v="0.99729999999999996"/>
    <n v="1.0093000000000001"/>
    <n v="1.0199"/>
    <n v="0.94971499999999998"/>
    <n v="0.98366020862665582"/>
    <n v="284800"/>
    <n v="11700"/>
    <n v="296500"/>
    <n v="36900"/>
    <n v="333400"/>
    <n v="9.9369670003707819E-2"/>
    <n v="-0.36815068493150682"/>
    <n v="1.6153611703748856E-2"/>
    <n v="1.0518127340539354"/>
  </r>
  <r>
    <n v="2025"/>
    <n v="18132243450"/>
    <n v="-1.1086626245216111"/>
    <n v="0.33"/>
    <n v="14467"/>
    <n v="6"/>
    <s v="RES"/>
    <n v="3093"/>
    <s v="YC2"/>
    <s v="R1"/>
    <n v="11"/>
    <n v="259"/>
    <s v="RN"/>
    <x v="3"/>
    <s v="GD"/>
    <x v="5"/>
    <n v="1955"/>
    <n v="1974"/>
    <n v="69"/>
    <n v="50"/>
    <n v="1"/>
    <n v="1855"/>
    <n v="0"/>
    <n v="0"/>
    <n v="1277"/>
    <n v="638"/>
    <n v="639"/>
    <n v="2494"/>
    <n v="2500"/>
    <n v="0"/>
    <m/>
    <s v="HP"/>
    <s v="E"/>
    <m/>
    <n v="0"/>
    <n v="2"/>
    <n v="0"/>
    <n v="2"/>
    <n v="0"/>
    <n v="11"/>
    <n v="0"/>
    <n v="0"/>
    <n v="0"/>
    <n v="0"/>
    <n v="228"/>
    <n v="0"/>
    <n v="100"/>
    <n v="100"/>
    <n v="375125"/>
    <n v="292598"/>
    <n v="251"/>
    <n v="251"/>
    <n v="0"/>
    <n v="0"/>
    <d v="2023-04-25T00:00:00"/>
    <s v="E040035"/>
    <n v="428500"/>
    <n v="420752"/>
    <s v="SWD"/>
    <n v="30"/>
    <s v="N"/>
    <s v="Y"/>
    <n v="496900"/>
    <n v="75900"/>
    <n v="421000"/>
    <n v="7748"/>
    <n v="1.1596266044340724"/>
    <n v="468417.61174671119"/>
    <n v="486127.71908472112"/>
    <n v="-17710.10733907"/>
    <n v="0"/>
    <n v="89850.625589999996"/>
    <n v="-35094.289365640165"/>
    <n v="74268.409664999999"/>
    <n v="197752.34721000001"/>
    <n v="-11152.280025"/>
    <n v="91653.082621834998"/>
    <n v="0"/>
    <n v="0"/>
    <n v="37137.580230419"/>
    <n v="41712.243157199999"/>
    <n v="0"/>
    <n v="468417.61174474383"/>
    <n v="7700"/>
    <n v="413700"/>
    <n v="54800"/>
    <n v="476200"/>
    <n v="1.1113185530921821"/>
    <n v="-4.1658281344334878E-2"/>
    <n v="0.99970000000000003"/>
    <n v="0.98380000000000001"/>
    <n v="0.99650000000000005"/>
    <n v="0.98919999999999997"/>
    <n v="1.0199"/>
    <n v="0.94971499999999998"/>
    <n v="0.93933200115703741"/>
    <n v="431400"/>
    <n v="7400"/>
    <n v="438800"/>
    <n v="52000"/>
    <n v="490800"/>
    <n v="4.2280285035629452E-2"/>
    <n v="-0.31488801054018445"/>
    <n v="-1.2276111893741195E-2"/>
    <n v="1.1040604262798832"/>
  </r>
  <r>
    <n v="2025"/>
    <n v="18132324429"/>
    <n v="-1.5606477482646683"/>
    <n v="0.21"/>
    <n v="0"/>
    <n v="6"/>
    <s v="RES"/>
    <n v="3033"/>
    <s v="YC2"/>
    <s v="R1"/>
    <n v="11"/>
    <n v="259"/>
    <s v="TD"/>
    <x v="2"/>
    <s v="AV"/>
    <x v="5"/>
    <n v="1954"/>
    <n v="1974"/>
    <n v="70"/>
    <n v="50"/>
    <n v="1"/>
    <n v="1220"/>
    <n v="0"/>
    <n v="0"/>
    <n v="1220"/>
    <n v="305"/>
    <n v="915"/>
    <n v="2135"/>
    <n v="2500"/>
    <n v="0"/>
    <m/>
    <s v="FD"/>
    <s v="G"/>
    <s v="Y"/>
    <n v="0"/>
    <n v="2"/>
    <n v="0"/>
    <n v="1"/>
    <n v="0"/>
    <n v="9"/>
    <n v="0"/>
    <n v="0"/>
    <n v="0"/>
    <n v="320"/>
    <n v="320"/>
    <n v="0"/>
    <n v="100"/>
    <n v="100"/>
    <n v="330065"/>
    <n v="234346"/>
    <n v="882"/>
    <n v="365"/>
    <n v="365"/>
    <n v="152"/>
    <d v="2021-08-02T00:00:00"/>
    <s v="E032498"/>
    <n v="336350"/>
    <n v="336350"/>
    <s v="SWD"/>
    <n v="30"/>
    <s v="N"/>
    <s v="Y"/>
    <n v="343700"/>
    <n v="60100"/>
    <n v="283600"/>
    <n v="0"/>
    <n v="1.0218522372528616"/>
    <n v="318236.10597241193"/>
    <n v="360124.19042282272"/>
    <n v="-41888.084455870005"/>
    <n v="0"/>
    <n v="89850.625589999996"/>
    <n v="-49401.70477837498"/>
    <n v="29814.093161000001"/>
    <n v="160472.20319"/>
    <n v="-11152.280025"/>
    <n v="60278.577249940005"/>
    <n v="0"/>
    <n v="0"/>
    <n v="35479.912201339997"/>
    <n v="34128.198946800003"/>
    <n v="10654.564888320001"/>
    <n v="318236.10596815508"/>
    <n v="0"/>
    <n v="277800"/>
    <n v="40400"/>
    <n v="318200"/>
    <n v="0.94603835290619886"/>
    <n v="-7.4192609834157694E-2"/>
    <n v="0.99970000000000003"/>
    <n v="1.0088999999999999"/>
    <n v="0.99729999999999996"/>
    <n v="0.98919999999999997"/>
    <n v="1.0199"/>
    <n v="0.94971499999999998"/>
    <n v="0.96407081974981479"/>
    <n v="319700"/>
    <n v="0"/>
    <n v="319700"/>
    <n v="38400"/>
    <n v="358100"/>
    <n v="0.1272919605077574"/>
    <n v="-0.36106489184692181"/>
    <n v="4.1897003200465521E-2"/>
    <n v="0.94012759192546458"/>
  </r>
  <r>
    <n v="2025"/>
    <n v="18132244467"/>
    <n v="-1.7719568419318752"/>
    <n v="0.17"/>
    <n v="7479"/>
    <n v="6"/>
    <s v="RES"/>
    <n v="3092"/>
    <s v="YC2"/>
    <s v="R1"/>
    <n v="11"/>
    <n v="259"/>
    <s v="RN"/>
    <x v="1"/>
    <s v="AV"/>
    <x v="6"/>
    <n v="1953"/>
    <n v="1973"/>
    <n v="71"/>
    <n v="51"/>
    <n v="1"/>
    <n v="1202"/>
    <n v="0"/>
    <n v="0"/>
    <n v="0"/>
    <n v="0"/>
    <n v="0"/>
    <n v="1202"/>
    <n v="1500"/>
    <n v="1"/>
    <m/>
    <s v="FD"/>
    <s v="G"/>
    <s v="Y"/>
    <n v="0"/>
    <n v="1"/>
    <n v="0"/>
    <n v="0"/>
    <n v="1"/>
    <n v="7"/>
    <n v="242"/>
    <n v="0"/>
    <n v="0"/>
    <n v="0"/>
    <n v="95"/>
    <n v="95"/>
    <n v="100"/>
    <n v="100"/>
    <n v="272996"/>
    <n v="191097"/>
    <n v="231"/>
    <n v="231"/>
    <n v="0"/>
    <n v="0"/>
    <d v="2023-05-15T00:00:00"/>
    <s v="E040287"/>
    <n v="289000"/>
    <n v="289000"/>
    <s v="SWD"/>
    <n v="30"/>
    <s v="N"/>
    <s v="Y"/>
    <n v="297800"/>
    <n v="52700"/>
    <n v="245100"/>
    <n v="0"/>
    <n v="1.0304498269896194"/>
    <n v="296612.36082404631"/>
    <n v="312911.3042307407"/>
    <n v="-16298.943407670002"/>
    <n v="0"/>
    <n v="89850.625589999996"/>
    <n v="-56090.612940989391"/>
    <n v="44121.038090000002"/>
    <n v="160472.20319"/>
    <n v="-11375.3256255"/>
    <n v="59389.221192154"/>
    <n v="0"/>
    <n v="0"/>
    <n v="0"/>
    <n v="26544.1547364"/>
    <n v="0"/>
    <n v="296612.36082439462"/>
    <n v="0"/>
    <n v="262900"/>
    <n v="33800"/>
    <n v="296700"/>
    <n v="1.026643598615917"/>
    <n v="-3.6937541974479517E-3"/>
    <n v="0.99970000000000003"/>
    <n v="0.98050000000000004"/>
    <n v="0.99729999999999996"/>
    <n v="1.0157"/>
    <n v="0.995"/>
    <n v="0.94971499999999998"/>
    <n v="0.93854531823597842"/>
    <n v="279200"/>
    <n v="0"/>
    <n v="279200"/>
    <n v="32100"/>
    <n v="311300"/>
    <n v="0.13912688698490411"/>
    <n v="-0.39089184060721061"/>
    <n v="4.5332437877770318E-2"/>
    <n v="1.020764901703564"/>
  </r>
  <r>
    <n v="2025"/>
    <n v="18132333471"/>
    <n v="-1.5141277326297755"/>
    <n v="0.22"/>
    <n v="0"/>
    <n v="6"/>
    <s v="RES"/>
    <n v="3093"/>
    <s v="YC2"/>
    <s v="R1"/>
    <n v="11"/>
    <n v="259"/>
    <s v="RN"/>
    <x v="2"/>
    <s v="GD"/>
    <x v="6"/>
    <n v="1952"/>
    <n v="1973"/>
    <n v="72"/>
    <n v="51"/>
    <n v="1"/>
    <n v="1380"/>
    <n v="0"/>
    <n v="0"/>
    <n v="1380"/>
    <n v="345"/>
    <n v="1035"/>
    <n v="2415"/>
    <n v="2500"/>
    <n v="0"/>
    <m/>
    <s v="FD"/>
    <s v="G"/>
    <s v="Y"/>
    <n v="0"/>
    <n v="2"/>
    <n v="0"/>
    <n v="2"/>
    <n v="0"/>
    <n v="7"/>
    <n v="0"/>
    <n v="0"/>
    <n v="0"/>
    <n v="0"/>
    <n v="652"/>
    <n v="329"/>
    <n v="100"/>
    <n v="100"/>
    <n v="346918"/>
    <n v="270596"/>
    <n v="185"/>
    <n v="185"/>
    <n v="0"/>
    <n v="0"/>
    <d v="2023-06-30T00:00:00"/>
    <s v="E040718"/>
    <n v="475000"/>
    <n v="464080"/>
    <s v="SWD"/>
    <n v="30"/>
    <s v="N"/>
    <s v="Y"/>
    <n v="385900"/>
    <n v="61700"/>
    <n v="324200"/>
    <n v="10920"/>
    <n v="0.81242105263157893"/>
    <n v="379920.47702026495"/>
    <n v="392973.74338493362"/>
    <n v="-13053.266365450001"/>
    <n v="0"/>
    <n v="89850.625589999996"/>
    <n v="-47929.131559187132"/>
    <n v="29814.093161000001"/>
    <n v="197752.34721000001"/>
    <n v="-11375.3256255"/>
    <n v="68183.964430260006"/>
    <n v="0"/>
    <n v="0"/>
    <n v="40133.015440859999"/>
    <n v="26544.1547364"/>
    <n v="0"/>
    <n v="379920.47701838287"/>
    <n v="10900"/>
    <n v="338000"/>
    <n v="41900"/>
    <n v="390800"/>
    <n v="0.82273684210526321"/>
    <n v="1.2697590049235553E-2"/>
    <n v="0.99970000000000003"/>
    <n v="1.0088999999999999"/>
    <n v="0.99650000000000005"/>
    <n v="0.98919999999999997"/>
    <n v="0.995"/>
    <n v="0.94971499999999998"/>
    <n v="0.93977937806455991"/>
    <n v="351100"/>
    <n v="10400"/>
    <n v="361500"/>
    <n v="39800"/>
    <n v="401300"/>
    <n v="0.11505243676742752"/>
    <n v="-0.35494327390599678"/>
    <n v="3.9906711583311737E-2"/>
    <n v="0.8173615444937895"/>
  </r>
  <r>
    <n v="2025"/>
    <n v="18132214538"/>
    <n v="-1.6607312068216509"/>
    <n v="0.19"/>
    <n v="8138"/>
    <n v="6"/>
    <s v="RES"/>
    <n v="3033"/>
    <s v="YC2"/>
    <s v="R1"/>
    <n v="11"/>
    <n v="259"/>
    <s v="RN"/>
    <x v="0"/>
    <s v="AV"/>
    <x v="6"/>
    <n v="1952"/>
    <n v="1988"/>
    <n v="72"/>
    <n v="36"/>
    <n v="1"/>
    <n v="1025"/>
    <n v="0"/>
    <n v="0"/>
    <n v="1025"/>
    <n v="0"/>
    <n v="1025"/>
    <n v="2050"/>
    <n v="2500"/>
    <n v="0"/>
    <m/>
    <s v="FD"/>
    <s v="G"/>
    <s v="Y"/>
    <n v="0"/>
    <n v="0"/>
    <n v="0"/>
    <n v="1"/>
    <n v="0"/>
    <n v="9"/>
    <n v="0"/>
    <n v="0"/>
    <n v="0"/>
    <n v="0"/>
    <n v="0"/>
    <n v="0"/>
    <n v="100"/>
    <n v="100"/>
    <n v="228762"/>
    <n v="192160"/>
    <n v="777"/>
    <n v="365"/>
    <n v="365"/>
    <n v="47"/>
    <d v="2021-11-15T00:00:00"/>
    <s v="E034107"/>
    <n v="310000"/>
    <n v="310000"/>
    <s v="SWD"/>
    <n v="30"/>
    <s v="N"/>
    <s v="Y"/>
    <n v="316800"/>
    <n v="56600"/>
    <n v="260200"/>
    <n v="0"/>
    <n v="1.0219354838709678"/>
    <n v="298014.43161608669"/>
    <n v="325861.73621463933"/>
    <n v="-27847.304601370004"/>
    <n v="0"/>
    <n v="89850.625589999996"/>
    <n v="-52569.808201026557"/>
    <n v="21557.329055999999"/>
    <n v="160472.20319"/>
    <n v="-8029.6416180000006"/>
    <n v="50643.886623924998"/>
    <n v="0"/>
    <n v="0"/>
    <n v="29808.942628174998"/>
    <n v="34128.198946800003"/>
    <n v="0"/>
    <n v="298014.4316145035"/>
    <n v="0"/>
    <n v="260700"/>
    <n v="37300"/>
    <n v="298000"/>
    <n v="0.96129032258064517"/>
    <n v="-5.9343434343434344E-2"/>
    <n v="0.99970000000000003"/>
    <n v="1.0067999999999999"/>
    <n v="0.99729999999999996"/>
    <n v="0.98919999999999997"/>
    <n v="0.995"/>
    <n v="0.94971499999999998"/>
    <n v="0.93857614463114025"/>
    <n v="288600"/>
    <n v="0"/>
    <n v="288600"/>
    <n v="35400"/>
    <n v="324000"/>
    <n v="0.10914681014604151"/>
    <n v="-0.37455830388692579"/>
    <n v="2.2727272727272728E-2"/>
    <n v="0.95533127547945162"/>
  </r>
  <r>
    <n v="2025"/>
    <n v="18132324407"/>
    <n v="-1.4271163556401458"/>
    <n v="0.24"/>
    <n v="0"/>
    <n v="6"/>
    <s v="RES"/>
    <n v="3033"/>
    <s v="YC2"/>
    <s v="R1"/>
    <n v="11"/>
    <n v="259"/>
    <s v="TD"/>
    <x v="1"/>
    <s v="AV"/>
    <x v="6"/>
    <n v="1952"/>
    <n v="1973"/>
    <n v="72"/>
    <n v="51"/>
    <n v="1"/>
    <n v="1242"/>
    <n v="0"/>
    <n v="0"/>
    <n v="1242"/>
    <n v="0"/>
    <n v="1242"/>
    <n v="2484"/>
    <n v="2500"/>
    <n v="0"/>
    <s v="B"/>
    <s v="FD"/>
    <s v="O"/>
    <s v="Y"/>
    <n v="0"/>
    <n v="2"/>
    <n v="0"/>
    <n v="1"/>
    <n v="0"/>
    <n v="8"/>
    <n v="0"/>
    <n v="0"/>
    <n v="0"/>
    <n v="0"/>
    <n v="384"/>
    <n v="384"/>
    <n v="100"/>
    <n v="100"/>
    <n v="408690"/>
    <n v="286083"/>
    <n v="774"/>
    <n v="365"/>
    <n v="365"/>
    <n v="44"/>
    <d v="2021-11-18T00:00:00"/>
    <s v="E034139"/>
    <n v="348000"/>
    <n v="341524"/>
    <s v="SWD"/>
    <n v="30"/>
    <s v="N"/>
    <s v="Y"/>
    <n v="373900"/>
    <n v="64800"/>
    <n v="309100"/>
    <n v="6476"/>
    <n v="1.0744252873563218"/>
    <n v="338269.04065392754"/>
    <n v="365715.18011385557"/>
    <n v="-27446.139462670002"/>
    <n v="0"/>
    <n v="89850.625589999996"/>
    <n v="-45174.819855485119"/>
    <n v="44121.038090000002"/>
    <n v="160472.20319"/>
    <n v="-11375.3256255"/>
    <n v="61365.567987234004"/>
    <n v="0"/>
    <n v="0"/>
    <n v="36119.713896773996"/>
    <n v="30336.176841600001"/>
    <n v="0"/>
    <n v="338269.04065195285"/>
    <n v="6500"/>
    <n v="293600"/>
    <n v="44700"/>
    <n v="344800"/>
    <n v="0.99080459770114937"/>
    <n v="-7.7828296335918701E-2"/>
    <n v="0.99970000000000003"/>
    <n v="0.98050000000000004"/>
    <n v="0.99729999999999996"/>
    <n v="0.98919999999999997"/>
    <n v="0.995"/>
    <n v="0.94971499999999998"/>
    <n v="0.91405831328052556"/>
    <n v="321000"/>
    <n v="6200"/>
    <n v="327200"/>
    <n v="42400"/>
    <n v="369600"/>
    <n v="5.8557101261727598E-2"/>
    <n v="-0.34567901234567899"/>
    <n v="-1.1500401176785236E-2"/>
    <n v="0.98320074867048846"/>
  </r>
  <r>
    <n v="2025"/>
    <n v="18132214502"/>
    <n v="-1.4271163556401458"/>
    <n v="0.24"/>
    <n v="10426"/>
    <n v="6"/>
    <s v="RES"/>
    <n v="3033"/>
    <s v="YC2"/>
    <s v="R1"/>
    <n v="11"/>
    <n v="259"/>
    <s v="RN"/>
    <x v="1"/>
    <s v="GD"/>
    <x v="6"/>
    <n v="1952"/>
    <n v="1973"/>
    <n v="72"/>
    <n v="51"/>
    <n v="1"/>
    <n v="1562"/>
    <n v="0"/>
    <n v="0"/>
    <n v="1562"/>
    <n v="0"/>
    <n v="1562"/>
    <n v="3124"/>
    <n v="3500"/>
    <n v="1"/>
    <m/>
    <s v="FD"/>
    <s v="G"/>
    <s v="Y"/>
    <n v="0"/>
    <n v="1"/>
    <n v="0"/>
    <n v="1"/>
    <n v="0"/>
    <n v="9"/>
    <n v="336"/>
    <n v="0"/>
    <n v="0"/>
    <n v="0"/>
    <n v="144"/>
    <n v="144"/>
    <n v="100"/>
    <n v="100"/>
    <n v="488183"/>
    <n v="380783"/>
    <n v="718"/>
    <n v="365"/>
    <n v="353"/>
    <n v="0"/>
    <d v="2022-01-13T00:00:00"/>
    <s v="E034837"/>
    <n v="390000"/>
    <n v="374777"/>
    <s v="SWD"/>
    <n v="30"/>
    <s v="N"/>
    <s v="Y"/>
    <n v="428900"/>
    <n v="64800"/>
    <n v="364100"/>
    <n v="15223"/>
    <n v="1.0997435897435897"/>
    <n v="410204.14492777421"/>
    <n v="431904.32708103629"/>
    <n v="-21700.182154894002"/>
    <n v="0"/>
    <n v="89850.625589999996"/>
    <n v="-45174.819855485119"/>
    <n v="44121.038090000002"/>
    <n v="197752.34721000001"/>
    <n v="-11375.3256255"/>
    <n v="77176.342347874001"/>
    <n v="0"/>
    <n v="0"/>
    <n v="45425.920375813999"/>
    <n v="34128.198946800003"/>
    <n v="0"/>
    <n v="410204.14492460893"/>
    <n v="15200"/>
    <n v="365500"/>
    <n v="44700"/>
    <n v="425400"/>
    <n v="1.0907692307692307"/>
    <n v="-8.1604103520634182E-3"/>
    <n v="0.99970000000000003"/>
    <n v="0.98050000000000004"/>
    <n v="0.99650000000000005"/>
    <n v="1.0126999999999999"/>
    <n v="0.995"/>
    <n v="0.94971499999999998"/>
    <n v="0.93502255916153676"/>
    <n v="387200"/>
    <n v="14500"/>
    <n v="401700"/>
    <n v="42400"/>
    <n v="444100"/>
    <n v="0.10326833287558364"/>
    <n v="-0.34567901234567899"/>
    <n v="3.543949638610399E-2"/>
    <n v="1.0830764560130923"/>
  </r>
  <r>
    <n v="2025"/>
    <n v="18132214400"/>
    <n v="-1.8325814637483102"/>
    <n v="0.16"/>
    <n v="6906"/>
    <n v="6"/>
    <s v="RES"/>
    <n v="3033"/>
    <s v="YC2"/>
    <s v="R1"/>
    <n v="11"/>
    <n v="259"/>
    <s v="CP"/>
    <x v="0"/>
    <s v="GD"/>
    <x v="6"/>
    <n v="1952"/>
    <n v="1973"/>
    <n v="72"/>
    <n v="51"/>
    <n v="1"/>
    <n v="1146"/>
    <n v="0"/>
    <n v="0"/>
    <n v="0"/>
    <n v="0"/>
    <n v="0"/>
    <n v="1146"/>
    <n v="1500"/>
    <n v="0"/>
    <s v="B"/>
    <s v="FD"/>
    <s v="E"/>
    <s v="Y"/>
    <n v="0"/>
    <n v="0"/>
    <n v="0"/>
    <n v="1"/>
    <n v="1"/>
    <n v="7"/>
    <n v="0"/>
    <n v="0"/>
    <n v="782"/>
    <n v="0"/>
    <n v="958"/>
    <n v="0"/>
    <n v="100"/>
    <n v="100"/>
    <n v="188410"/>
    <n v="146960"/>
    <n v="591"/>
    <n v="365"/>
    <n v="226"/>
    <n v="0"/>
    <d v="2022-05-20T00:00:00"/>
    <s v="E036615"/>
    <n v="275000"/>
    <n v="265219"/>
    <s v="SWD"/>
    <n v="30"/>
    <s v="N"/>
    <s v="Y"/>
    <n v="310500"/>
    <n v="50600"/>
    <n v="259900"/>
    <n v="9781"/>
    <n v="1.1290909090909091"/>
    <n v="299783.25964450155"/>
    <n v="322941.80459760019"/>
    <n v="-23158.544954698002"/>
    <n v="0"/>
    <n v="89850.625589999996"/>
    <n v="-58009.662049032086"/>
    <n v="21557.329055999999"/>
    <n v="197752.34721000001"/>
    <n v="-11375.3256255"/>
    <n v="56622.335679042"/>
    <n v="0"/>
    <n v="0"/>
    <n v="0"/>
    <n v="26544.1547364"/>
    <n v="0"/>
    <n v="299783.25964221189"/>
    <n v="9800"/>
    <n v="267900"/>
    <n v="31800"/>
    <n v="309500"/>
    <n v="1.1254545454545455"/>
    <n v="-3.2206119162640902E-3"/>
    <n v="0.99970000000000003"/>
    <n v="1.0067999999999999"/>
    <n v="0.99650000000000005"/>
    <n v="1.0157"/>
    <n v="0.995"/>
    <n v="0.94971499999999998"/>
    <n v="0.96294690248840986"/>
    <n v="291100"/>
    <n v="9300"/>
    <n v="300400"/>
    <n v="30200"/>
    <n v="330600"/>
    <n v="0.15582916506348596"/>
    <n v="-0.40316205533596838"/>
    <n v="6.4734299516908206E-2"/>
    <n v="1.1179689274374618"/>
  </r>
  <r>
    <n v="2025"/>
    <n v="18132241460"/>
    <n v="-1.6607312068216509"/>
    <n v="0.19"/>
    <n v="8060"/>
    <n v="6"/>
    <s v="RES"/>
    <n v="3033"/>
    <s v="YC2"/>
    <s v="R1"/>
    <n v="11"/>
    <n v="259"/>
    <s v="RN"/>
    <x v="0"/>
    <s v="GD"/>
    <x v="6"/>
    <n v="1950"/>
    <n v="1973"/>
    <n v="74"/>
    <n v="51"/>
    <n v="1"/>
    <n v="1224"/>
    <n v="0"/>
    <n v="0"/>
    <n v="1009"/>
    <n v="202"/>
    <n v="807"/>
    <n v="2031"/>
    <n v="2500"/>
    <n v="1"/>
    <m/>
    <s v="HP"/>
    <s v="E"/>
    <m/>
    <n v="0"/>
    <n v="1"/>
    <n v="0"/>
    <n v="0"/>
    <n v="1"/>
    <n v="7"/>
    <n v="242"/>
    <n v="0"/>
    <n v="0"/>
    <n v="288"/>
    <n v="0"/>
    <n v="0"/>
    <n v="100"/>
    <n v="100"/>
    <n v="266753"/>
    <n v="208067"/>
    <n v="592"/>
    <n v="365"/>
    <n v="227"/>
    <n v="0"/>
    <d v="2022-05-19T00:00:00"/>
    <s v="E036520"/>
    <n v="420000"/>
    <n v="420000"/>
    <s v="SWD"/>
    <n v="30"/>
    <s v="N"/>
    <s v="Y"/>
    <n v="338800"/>
    <n v="56600"/>
    <n v="282200"/>
    <n v="0"/>
    <n v="0.80666666666666664"/>
    <n v="348021.21361859865"/>
    <n v="371168.27540004498"/>
    <n v="-23147.061783046"/>
    <n v="0"/>
    <n v="89850.625589999996"/>
    <n v="-52569.808201026557"/>
    <n v="21557.329055999999"/>
    <n v="197752.34721000001"/>
    <n v="-11375.3256255"/>
    <n v="60476.211929448"/>
    <n v="0"/>
    <n v="0"/>
    <n v="29343.632304223"/>
    <n v="26544.1547364"/>
    <n v="9589.1083994880009"/>
    <n v="348021.21361598646"/>
    <n v="0"/>
    <n v="310700"/>
    <n v="37300"/>
    <n v="348000"/>
    <n v="0.82857142857142863"/>
    <n v="2.7154663518299881E-2"/>
    <n v="0.99970000000000003"/>
    <n v="1.0067999999999999"/>
    <n v="0.99650000000000005"/>
    <n v="0.98919999999999997"/>
    <n v="0.995"/>
    <n v="0.94971499999999998"/>
    <n v="0.93782325090236773"/>
    <n v="333900"/>
    <n v="0"/>
    <n v="333900"/>
    <n v="35400"/>
    <n v="369300"/>
    <n v="0.18320340184266479"/>
    <n v="-0.37455830388692579"/>
    <n v="9.0023612750885482E-2"/>
    <n v="0.82417366242131906"/>
  </r>
  <r>
    <n v="2025"/>
    <n v="18132334004"/>
    <n v="-2.120263536200091"/>
    <n v="0.12"/>
    <n v="5160"/>
    <n v="6"/>
    <s v="RES"/>
    <n v="3093"/>
    <s v="YC2"/>
    <s v="R1"/>
    <n v="11"/>
    <n v="259"/>
    <s v="CC"/>
    <x v="4"/>
    <s v="AV"/>
    <x v="6"/>
    <n v="1950"/>
    <n v="1973"/>
    <n v="74"/>
    <n v="51"/>
    <n v="2"/>
    <n v="1364"/>
    <n v="176"/>
    <n v="0"/>
    <n v="0"/>
    <n v="0"/>
    <n v="0"/>
    <n v="1540"/>
    <n v="2000"/>
    <n v="0"/>
    <m/>
    <s v="BH"/>
    <s v="E"/>
    <m/>
    <n v="1"/>
    <n v="0"/>
    <n v="0"/>
    <n v="0"/>
    <n v="0"/>
    <n v="5"/>
    <n v="0"/>
    <n v="0"/>
    <n v="0"/>
    <n v="0"/>
    <n v="0"/>
    <n v="0"/>
    <n v="100"/>
    <n v="100"/>
    <n v="185757"/>
    <n v="130030"/>
    <n v="1068"/>
    <n v="365"/>
    <n v="365"/>
    <n v="338"/>
    <d v="2021-01-28T00:00:00"/>
    <s v="E029948"/>
    <n v="243000"/>
    <n v="237861"/>
    <s v="SWD"/>
    <n v="30"/>
    <s v="N"/>
    <s v="Y"/>
    <n v="263600"/>
    <n v="40600"/>
    <n v="223000"/>
    <n v="5139"/>
    <n v="1.0847736625514404"/>
    <n v="199306.99926142747"/>
    <n v="266067.32230655866"/>
    <n v="-66760.323055270012"/>
    <n v="0"/>
    <n v="89850.625589999996"/>
    <n v="-67116.12750806773"/>
    <n v="0"/>
    <n v="160472.20319"/>
    <n v="-11375.3256255"/>
    <n v="67393.425712227996"/>
    <n v="7882.4104235360001"/>
    <n v="0"/>
    <n v="0"/>
    <n v="18960.110526"/>
    <n v="0"/>
    <n v="199306.99925292627"/>
    <n v="5100"/>
    <n v="176600"/>
    <n v="22700"/>
    <n v="204400"/>
    <n v="0.84115226337448556"/>
    <n v="-0.22458270106221548"/>
    <n v="0.99970000000000003"/>
    <n v="0.99180000000000001"/>
    <n v="0.99729999999999996"/>
    <n v="1.0093000000000001"/>
    <n v="0.995"/>
    <n v="0.94971499999999998"/>
    <n v="0.94337980360062423"/>
    <n v="243300"/>
    <n v="4900"/>
    <n v="248200"/>
    <n v="21600"/>
    <n v="269800"/>
    <n v="0.11300448430493273"/>
    <n v="-0.46798029556650245"/>
    <n v="2.3520485584218515E-2"/>
    <n v="0.83555422610999996"/>
  </r>
  <r>
    <n v="2025"/>
    <n v="18132323448"/>
    <n v="-1.8325814637483102"/>
    <n v="0.16"/>
    <n v="0"/>
    <n v="6"/>
    <s v="RES"/>
    <n v="3033"/>
    <s v="YC2"/>
    <s v="R1"/>
    <n v="11"/>
    <n v="259"/>
    <s v="TD"/>
    <x v="0"/>
    <s v="GD"/>
    <x v="6"/>
    <n v="1950"/>
    <n v="1973"/>
    <n v="74"/>
    <n v="51"/>
    <n v="1"/>
    <n v="1320"/>
    <n v="0"/>
    <n v="0"/>
    <n v="0"/>
    <n v="0"/>
    <n v="0"/>
    <n v="1320"/>
    <n v="1500"/>
    <n v="0"/>
    <s v="S"/>
    <s v="HP"/>
    <s v="E"/>
    <m/>
    <n v="0"/>
    <n v="0"/>
    <n v="0"/>
    <n v="1"/>
    <n v="0"/>
    <n v="9"/>
    <n v="0"/>
    <n v="0"/>
    <n v="0"/>
    <n v="0"/>
    <n v="339"/>
    <n v="339"/>
    <n v="100"/>
    <n v="100"/>
    <n v="200089"/>
    <n v="156069"/>
    <n v="494"/>
    <n v="365"/>
    <n v="129"/>
    <n v="0"/>
    <d v="2022-08-25T00:00:00"/>
    <s v="E037828"/>
    <n v="365000"/>
    <n v="359579"/>
    <s v="SWD"/>
    <n v="30"/>
    <s v="N"/>
    <s v="Y"/>
    <n v="317400"/>
    <n v="50600"/>
    <n v="266800"/>
    <n v="5421"/>
    <n v="0.86958904109589041"/>
    <n v="314850.54476325621"/>
    <n v="339122.95736662362"/>
    <n v="-24272.412604942001"/>
    <n v="0"/>
    <n v="89850.625589999996"/>
    <n v="-58009.662049032086"/>
    <n v="21557.329055999999"/>
    <n v="197752.34721000001"/>
    <n v="-11375.3256255"/>
    <n v="65219.444237640004"/>
    <n v="0"/>
    <n v="0"/>
    <n v="0"/>
    <n v="34128.198946800003"/>
    <n v="0"/>
    <n v="314850.54476096592"/>
    <n v="5400"/>
    <n v="283000"/>
    <n v="31800"/>
    <n v="320200"/>
    <n v="0.87726027397260276"/>
    <n v="8.8216761184625077E-3"/>
    <n v="0.99970000000000003"/>
    <n v="1.0067999999999999"/>
    <n v="0.99650000000000005"/>
    <n v="1.0157"/>
    <n v="0.995"/>
    <n v="0.94971499999999998"/>
    <n v="0.96294690248840986"/>
    <n v="307300"/>
    <n v="5100"/>
    <n v="312400"/>
    <n v="30200"/>
    <n v="342600"/>
    <n v="0.17091454272863568"/>
    <n v="-0.40316205533596838"/>
    <n v="7.9395085066162566E-2"/>
    <n v="0.8721303764248165"/>
  </r>
  <r>
    <n v="2025"/>
    <n v="18132322430"/>
    <n v="-1.6094379124341003"/>
    <n v="0.2"/>
    <n v="0"/>
    <n v="6"/>
    <s v="RES"/>
    <n v="3033"/>
    <s v="YC2"/>
    <s v="R1"/>
    <n v="11"/>
    <n v="259"/>
    <s v="RN"/>
    <x v="4"/>
    <s v="AV"/>
    <x v="6"/>
    <n v="1950"/>
    <n v="1973"/>
    <n v="74"/>
    <n v="51"/>
    <n v="1"/>
    <n v="1286"/>
    <n v="0"/>
    <n v="0"/>
    <n v="0"/>
    <n v="0"/>
    <n v="0"/>
    <n v="1286"/>
    <n v="1500"/>
    <n v="1"/>
    <m/>
    <s v="FD"/>
    <s v="G"/>
    <m/>
    <n v="0"/>
    <n v="1"/>
    <n v="0"/>
    <n v="0"/>
    <n v="0"/>
    <n v="5"/>
    <n v="352"/>
    <n v="0"/>
    <n v="0"/>
    <n v="0"/>
    <n v="156"/>
    <n v="0"/>
    <n v="100"/>
    <n v="100"/>
    <n v="186010"/>
    <n v="130207"/>
    <n v="200"/>
    <n v="200"/>
    <n v="0"/>
    <n v="0"/>
    <d v="2023-06-15T00:00:00"/>
    <s v="E040571"/>
    <n v="285000"/>
    <n v="285000"/>
    <s v="SWD"/>
    <n v="30"/>
    <s v="N"/>
    <s v="Y"/>
    <n v="264200"/>
    <n v="58400"/>
    <n v="205800"/>
    <n v="0"/>
    <n v="0.92701754385964907"/>
    <n v="256389.38515039749"/>
    <n v="270501.02446355281"/>
    <n v="-14111.639314000002"/>
    <n v="0"/>
    <n v="89850.625589999996"/>
    <n v="-50946.13867709865"/>
    <n v="0"/>
    <n v="160472.20319"/>
    <n v="-11375.3256255"/>
    <n v="63539.549461822004"/>
    <n v="0"/>
    <n v="0"/>
    <n v="0"/>
    <n v="18960.110526"/>
    <n v="0"/>
    <n v="256389.38515122334"/>
    <n v="0"/>
    <n v="217500"/>
    <n v="38900"/>
    <n v="256400"/>
    <n v="0.89964912280701759"/>
    <n v="-2.9523088569265707E-2"/>
    <n v="0.99970000000000003"/>
    <n v="0.99180000000000001"/>
    <n v="0.99729999999999996"/>
    <n v="1.0157"/>
    <n v="0.995"/>
    <n v="0.94971499999999998"/>
    <n v="0.94936180176077878"/>
    <n v="231600"/>
    <n v="0"/>
    <n v="231600"/>
    <n v="36900"/>
    <n v="268500"/>
    <n v="0.12536443148688048"/>
    <n v="-0.36815068493150682"/>
    <n v="1.6275548826646481E-2"/>
    <n v="0.8925907392491228"/>
  </r>
  <r>
    <n v="2025"/>
    <n v="18132323520"/>
    <n v="-1.7147984280919266"/>
    <n v="0.18"/>
    <n v="0"/>
    <n v="6"/>
    <s v="RES"/>
    <n v="3033"/>
    <s v="YC2"/>
    <s v="R1"/>
    <n v="11"/>
    <n v="259"/>
    <s v="TD"/>
    <x v="1"/>
    <s v="AV"/>
    <x v="6"/>
    <n v="1950"/>
    <n v="1973"/>
    <n v="74"/>
    <n v="51"/>
    <n v="1"/>
    <n v="1135"/>
    <n v="0"/>
    <n v="0"/>
    <n v="1135"/>
    <n v="0"/>
    <n v="1135"/>
    <n v="2270"/>
    <n v="2500"/>
    <n v="1"/>
    <m/>
    <s v="FD"/>
    <s v="G"/>
    <s v="Y"/>
    <n v="0"/>
    <n v="1"/>
    <n v="0"/>
    <n v="1"/>
    <n v="0"/>
    <n v="8"/>
    <n v="252"/>
    <n v="0"/>
    <n v="0"/>
    <n v="143"/>
    <n v="256"/>
    <n v="256"/>
    <n v="100"/>
    <n v="100"/>
    <n v="382026"/>
    <n v="267418"/>
    <n v="902"/>
    <n v="365"/>
    <n v="365"/>
    <n v="172"/>
    <d v="2021-07-13T00:00:00"/>
    <s v="E032250"/>
    <n v="340000"/>
    <n v="340000"/>
    <s v="SWD"/>
    <n v="30"/>
    <s v="N"/>
    <s v="Y"/>
    <n v="342300"/>
    <n v="54700"/>
    <n v="287600"/>
    <n v="0"/>
    <n v="1.006764705882353"/>
    <n v="308408.96416305902"/>
    <n v="352971.48287096666"/>
    <n v="-44562.518713869998"/>
    <n v="0"/>
    <n v="89850.625589999996"/>
    <n v="-54281.285314520763"/>
    <n v="44121.038090000002"/>
    <n v="160472.20319"/>
    <n v="-11375.3256255"/>
    <n v="56078.840310395004"/>
    <n v="0"/>
    <n v="0"/>
    <n v="33007.951105344997"/>
    <n v="30336.176841600001"/>
    <n v="4761.2586844680009"/>
    <n v="308408.96415791719"/>
    <n v="0"/>
    <n v="272800"/>
    <n v="35600"/>
    <n v="308400"/>
    <n v="0.90705882352941181"/>
    <n v="-9.9035933391761616E-2"/>
    <n v="0.99970000000000003"/>
    <n v="0.98050000000000004"/>
    <n v="0.99729999999999996"/>
    <n v="0.98919999999999997"/>
    <n v="0.995"/>
    <n v="0.94971499999999998"/>
    <n v="0.91405831328052556"/>
    <n v="317400"/>
    <n v="0"/>
    <n v="317400"/>
    <n v="33800"/>
    <n v="351200"/>
    <n v="0.10361613351877608"/>
    <n v="-0.38208409506398539"/>
    <n v="2.6000584282792873E-2"/>
    <n v="0.90187494495920595"/>
  </r>
  <r>
    <n v="2025"/>
    <n v="18132334477"/>
    <n v="-1.7719568419318752"/>
    <n v="0.17"/>
    <n v="0"/>
    <n v="6"/>
    <s v="RES"/>
    <n v="3093"/>
    <s v="YC2"/>
    <s v="R1"/>
    <n v="11"/>
    <n v="259"/>
    <s v="TD"/>
    <x v="0"/>
    <s v="GD"/>
    <x v="6"/>
    <n v="1950"/>
    <n v="1973"/>
    <n v="74"/>
    <n v="51"/>
    <n v="1"/>
    <n v="1147"/>
    <n v="0"/>
    <n v="0"/>
    <n v="1147"/>
    <n v="397"/>
    <n v="750"/>
    <n v="1897"/>
    <n v="2000"/>
    <n v="0"/>
    <m/>
    <s v="HP"/>
    <s v="G"/>
    <m/>
    <n v="0"/>
    <n v="0"/>
    <n v="0"/>
    <n v="0"/>
    <n v="1"/>
    <n v="7"/>
    <n v="0"/>
    <n v="0"/>
    <n v="0"/>
    <n v="0"/>
    <n v="320"/>
    <n v="0"/>
    <n v="100"/>
    <n v="100"/>
    <n v="235675"/>
    <n v="183827"/>
    <n v="907"/>
    <n v="365"/>
    <n v="365"/>
    <n v="177"/>
    <d v="2021-07-08T00:00:00"/>
    <s v="E032108"/>
    <n v="350000"/>
    <n v="343763"/>
    <s v="SWD"/>
    <n v="30"/>
    <s v="N"/>
    <s v="Y"/>
    <n v="339300"/>
    <n v="52700"/>
    <n v="286600"/>
    <n v="6237"/>
    <n v="0.96942857142857142"/>
    <n v="313036.06895206618"/>
    <n v="358267.1962243481"/>
    <n v="-45231.127278370004"/>
    <n v="0"/>
    <n v="89850.625589999996"/>
    <n v="-56090.612940989391"/>
    <n v="21557.329055999999"/>
    <n v="197752.34721000001"/>
    <n v="-11375.3256255"/>
    <n v="56671.744348919005"/>
    <n v="0"/>
    <n v="0"/>
    <n v="33356.933848308996"/>
    <n v="26544.1547364"/>
    <n v="0"/>
    <n v="313036.06894476857"/>
    <n v="6200"/>
    <n v="279300"/>
    <n v="33800"/>
    <n v="319300"/>
    <n v="0.91228571428571426"/>
    <n v="-5.8944886531093428E-2"/>
    <n v="0.99970000000000003"/>
    <n v="1.0067999999999999"/>
    <n v="0.99650000000000005"/>
    <n v="1.0093000000000001"/>
    <n v="0.995"/>
    <n v="0.94971499999999998"/>
    <n v="0.95687930361479956"/>
    <n v="324500"/>
    <n v="5900"/>
    <n v="330400"/>
    <n v="32100"/>
    <n v="362500"/>
    <n v="0.15282623866015352"/>
    <n v="-0.39089184060721061"/>
    <n v="6.8376068376068383E-2"/>
    <n v="0.90648249349037135"/>
  </r>
  <r>
    <n v="2025"/>
    <n v="18132323517"/>
    <n v="-1.7147984280919266"/>
    <n v="0.18"/>
    <n v="0"/>
    <n v="6"/>
    <s v="RES"/>
    <n v="3033"/>
    <s v="YC2"/>
    <s v="R1"/>
    <n v="11"/>
    <n v="259"/>
    <s v="TD"/>
    <x v="0"/>
    <s v="AV"/>
    <x v="6"/>
    <n v="1950"/>
    <n v="1973"/>
    <n v="74"/>
    <n v="51"/>
    <n v="1"/>
    <n v="968"/>
    <n v="0"/>
    <n v="0"/>
    <n v="968"/>
    <n v="0"/>
    <n v="968"/>
    <n v="1936"/>
    <n v="2000"/>
    <n v="1"/>
    <m/>
    <s v="FD"/>
    <s v="G"/>
    <s v="Y"/>
    <n v="0"/>
    <n v="1"/>
    <n v="0"/>
    <n v="1"/>
    <n v="0"/>
    <n v="8"/>
    <n v="242"/>
    <n v="0"/>
    <n v="0"/>
    <n v="0"/>
    <n v="54"/>
    <n v="54"/>
    <n v="100"/>
    <n v="100"/>
    <n v="234902"/>
    <n v="164431"/>
    <n v="761"/>
    <n v="365"/>
    <n v="365"/>
    <n v="31"/>
    <d v="2021-12-01T00:00:00"/>
    <s v="E034311"/>
    <n v="310000"/>
    <n v="310000"/>
    <s v="SWD"/>
    <n v="30"/>
    <s v="N"/>
    <s v="Y"/>
    <n v="305800"/>
    <n v="54700"/>
    <n v="251100"/>
    <n v="0"/>
    <n v="0.98645161290322581"/>
    <n v="286830.8335840556"/>
    <n v="312538.59077661071"/>
    <n v="-25707.757194970003"/>
    <n v="0"/>
    <n v="89850.625589999996"/>
    <n v="-54281.285314520763"/>
    <n v="21557.329055999999"/>
    <n v="160472.20319"/>
    <n v="-11375.3256255"/>
    <n v="47827.592440936001"/>
    <n v="0"/>
    <n v="0"/>
    <n v="28151.274599095999"/>
    <n v="30336.176841600001"/>
    <n v="0"/>
    <n v="286830.83358264127"/>
    <n v="0"/>
    <n v="251300"/>
    <n v="35600"/>
    <n v="286900"/>
    <n v="0.92548387096774198"/>
    <n v="-6.1805101373446698E-2"/>
    <n v="0.99970000000000003"/>
    <n v="1.0067999999999999"/>
    <n v="0.99729999999999996"/>
    <n v="1.0093000000000001"/>
    <n v="0.995"/>
    <n v="0.94971499999999998"/>
    <n v="0.957647495730095"/>
    <n v="277000"/>
    <n v="0"/>
    <n v="277000"/>
    <n v="33800"/>
    <n v="310800"/>
    <n v="0.10314615690959777"/>
    <n v="-0.38208409506398539"/>
    <n v="1.6350555918901243E-2"/>
    <n v="0.91965239614525818"/>
  </r>
  <r>
    <n v="2025"/>
    <n v="18132241074"/>
    <n v="-1.7147984280919266"/>
    <n v="0.18"/>
    <n v="7746"/>
    <n v="6"/>
    <s v="RES"/>
    <n v="3093"/>
    <s v="YC2"/>
    <s v="R1"/>
    <n v="11"/>
    <n v="259"/>
    <s v="RN"/>
    <x v="1"/>
    <s v="AV"/>
    <x v="6"/>
    <n v="1950"/>
    <n v="1973"/>
    <n v="74"/>
    <n v="51"/>
    <n v="1"/>
    <n v="1613"/>
    <n v="0"/>
    <n v="0"/>
    <n v="0"/>
    <n v="0"/>
    <n v="0"/>
    <n v="1613"/>
    <n v="2000"/>
    <n v="0"/>
    <m/>
    <s v="HT"/>
    <s v="O"/>
    <s v="N"/>
    <n v="0"/>
    <n v="0"/>
    <n v="0"/>
    <n v="1"/>
    <n v="0"/>
    <n v="9"/>
    <n v="0"/>
    <n v="0"/>
    <n v="528"/>
    <n v="0"/>
    <n v="144"/>
    <n v="204"/>
    <n v="100"/>
    <n v="100"/>
    <n v="341355"/>
    <n v="238949"/>
    <n v="916"/>
    <n v="365"/>
    <n v="365"/>
    <n v="186"/>
    <d v="2021-06-29T00:00:00"/>
    <s v="E031974"/>
    <n v="325000"/>
    <n v="318306"/>
    <s v="SWD"/>
    <n v="30"/>
    <s v="N"/>
    <s v="Y"/>
    <n v="333500"/>
    <n v="54700"/>
    <n v="278800"/>
    <n v="6694"/>
    <n v="1.0261538461538462"/>
    <n v="296177.01669887459"/>
    <n v="342611.63938703004"/>
    <n v="-46434.622694470003"/>
    <n v="0"/>
    <n v="89850.625589999996"/>
    <n v="-54281.285314520763"/>
    <n v="44121.038090000002"/>
    <n v="160472.20319"/>
    <n v="-11375.3256255"/>
    <n v="79696.184511601008"/>
    <n v="0"/>
    <n v="0"/>
    <n v="0"/>
    <n v="34128.198946800003"/>
    <n v="0"/>
    <n v="296177.01669391023"/>
    <n v="6700"/>
    <n v="260600"/>
    <n v="35600"/>
    <n v="302900"/>
    <n v="0.93200000000000005"/>
    <n v="-9.1754122938530733E-2"/>
    <n v="0.99970000000000003"/>
    <n v="0.98050000000000004"/>
    <n v="0.99729999999999996"/>
    <n v="1.0093000000000001"/>
    <n v="0.995"/>
    <n v="0.94971499999999998"/>
    <n v="0.93263147552975589"/>
    <n v="307000"/>
    <n v="6400"/>
    <n v="313400"/>
    <n v="33800"/>
    <n v="347200"/>
    <n v="0.12410329985652797"/>
    <n v="-0.38208409506398539"/>
    <n v="4.1079460269865066E-2"/>
    <n v="0.92543193017086156"/>
  </r>
  <r>
    <n v="2025"/>
    <n v="18132343431"/>
    <n v="-0.75502258427803282"/>
    <n v="0.47"/>
    <n v="20473"/>
    <n v="6"/>
    <s v="RES"/>
    <s v="YC2"/>
    <s v="YC2"/>
    <s v="R1"/>
    <n v="11"/>
    <n v="259"/>
    <s v="CU"/>
    <x v="3"/>
    <s v="VG"/>
    <x v="6"/>
    <n v="1950"/>
    <n v="1973"/>
    <n v="74"/>
    <n v="51"/>
    <n v="1"/>
    <n v="3903"/>
    <n v="0"/>
    <n v="0"/>
    <n v="0"/>
    <n v="0"/>
    <n v="0"/>
    <n v="3903"/>
    <n v="4000"/>
    <n v="2"/>
    <s v="B"/>
    <s v="HT"/>
    <s v="G"/>
    <m/>
    <n v="0"/>
    <n v="1"/>
    <n v="1"/>
    <n v="1"/>
    <n v="1"/>
    <n v="12"/>
    <n v="676"/>
    <n v="0"/>
    <n v="0"/>
    <n v="388"/>
    <n v="74"/>
    <n v="462"/>
    <n v="100"/>
    <n v="100"/>
    <n v="772296"/>
    <n v="610114"/>
    <n v="82"/>
    <n v="82"/>
    <n v="0"/>
    <n v="0"/>
    <d v="2023-10-11T00:00:00"/>
    <s v="E041738"/>
    <n v="750000"/>
    <n v="704345"/>
    <s v="SWD"/>
    <n v="30"/>
    <s v="N"/>
    <s v="Y"/>
    <n v="603400"/>
    <n v="88200"/>
    <n v="515200"/>
    <n v="45655"/>
    <n v="0.80453333333333332"/>
    <n v="659133.55951335095"/>
    <n v="664919.33163174451"/>
    <n v="-5785.7721187400002"/>
    <n v="0"/>
    <n v="89850.625589999996"/>
    <n v="-23899.949781097919"/>
    <n v="74268.409664999999"/>
    <n v="284810.60806"/>
    <n v="-11375.3256255"/>
    <n v="192842.03852993101"/>
    <n v="0"/>
    <n v="0"/>
    <n v="0"/>
    <n v="45504.265262400004"/>
    <n v="12918.659927088001"/>
    <n v="659133.55950908107"/>
    <n v="45700"/>
    <n v="593200"/>
    <n v="66000"/>
    <n v="704900"/>
    <n v="0.93986666666666663"/>
    <n v="0.16821345707656613"/>
    <n v="0.99970000000000003"/>
    <n v="0.98380000000000001"/>
    <n v="1.0158"/>
    <n v="0.94579999999999997"/>
    <n v="0.995"/>
    <n v="0.94971499999999998"/>
    <n v="0.89316298101040392"/>
    <n v="599000"/>
    <n v="43400"/>
    <n v="642400"/>
    <n v="62600"/>
    <n v="705000"/>
    <n v="0.24689440993788819"/>
    <n v="-0.29024943310657597"/>
    <n v="0.16837918462048393"/>
    <n v="0.93228563717501334"/>
  </r>
  <r>
    <n v="2025"/>
    <n v="18132323506"/>
    <n v="-1.6094379124341003"/>
    <n v="0.2"/>
    <n v="0"/>
    <n v="6"/>
    <s v="RES"/>
    <n v="3033"/>
    <s v="YC2"/>
    <s v="R1"/>
    <n v="11"/>
    <n v="259"/>
    <s v="RN"/>
    <x v="0"/>
    <s v="GD"/>
    <x v="6"/>
    <n v="1950"/>
    <n v="1973"/>
    <n v="74"/>
    <n v="51"/>
    <n v="1"/>
    <n v="1257"/>
    <n v="0"/>
    <n v="0"/>
    <n v="306"/>
    <n v="1"/>
    <n v="305"/>
    <n v="1562"/>
    <n v="2000"/>
    <n v="0"/>
    <s v="B"/>
    <s v="FD"/>
    <s v="G"/>
    <s v="Y"/>
    <n v="0"/>
    <n v="1"/>
    <n v="0"/>
    <n v="1"/>
    <n v="0"/>
    <n v="8"/>
    <n v="0"/>
    <n v="0"/>
    <n v="240"/>
    <n v="0"/>
    <n v="0"/>
    <n v="0"/>
    <n v="100"/>
    <n v="100"/>
    <n v="220220"/>
    <n v="171772"/>
    <n v="615"/>
    <n v="365"/>
    <n v="250"/>
    <n v="0"/>
    <d v="2022-04-26T00:00:00"/>
    <s v="E036344"/>
    <n v="350000"/>
    <n v="344343"/>
    <s v="SWD"/>
    <n v="30"/>
    <s v="N"/>
    <s v="Y"/>
    <n v="326700"/>
    <n v="58400"/>
    <n v="268300"/>
    <n v="5657"/>
    <n v="0.93342857142857139"/>
    <n v="325297.82354334428"/>
    <n v="348180.77237678872"/>
    <n v="-22882.94883505"/>
    <n v="0"/>
    <n v="89850.625589999996"/>
    <n v="-50946.13867709865"/>
    <n v="21557.329055999999"/>
    <n v="197752.34721000001"/>
    <n v="-11375.3256255"/>
    <n v="62106.698035389003"/>
    <n v="0"/>
    <n v="0"/>
    <n v="8899.0599455819993"/>
    <n v="30336.176841600001"/>
    <n v="0"/>
    <n v="325297.82354092231"/>
    <n v="5700"/>
    <n v="286400"/>
    <n v="38900"/>
    <n v="331000"/>
    <n v="0.94571428571428573"/>
    <n v="1.3161922252831344E-2"/>
    <n v="0.99970000000000003"/>
    <n v="1.0067999999999999"/>
    <n v="0.99650000000000005"/>
    <n v="1.0093000000000001"/>
    <n v="0.995"/>
    <n v="0.94971499999999998"/>
    <n v="0.95687930361479956"/>
    <n v="309300"/>
    <n v="5400"/>
    <n v="314700"/>
    <n v="36900"/>
    <n v="351600"/>
    <n v="0.17294073797987328"/>
    <n v="-0.36815068493150682"/>
    <n v="7.6216712580348941E-2"/>
    <n v="0.93919157475699999"/>
  </r>
  <r>
    <n v="2025"/>
    <n v="18132244445"/>
    <n v="-1.4271163556401458"/>
    <n v="0.24"/>
    <n v="10500"/>
    <n v="6"/>
    <s v="RES"/>
    <n v="3092"/>
    <s v="YC2"/>
    <s v="R1"/>
    <n v="11"/>
    <n v="259"/>
    <s v="TD"/>
    <x v="0"/>
    <s v="AV"/>
    <x v="6"/>
    <n v="1950"/>
    <n v="1973"/>
    <n v="74"/>
    <n v="51"/>
    <n v="1"/>
    <n v="1260"/>
    <n v="0"/>
    <n v="0"/>
    <n v="1152"/>
    <n v="0"/>
    <n v="1152"/>
    <n v="2412"/>
    <n v="2500"/>
    <n v="1"/>
    <m/>
    <s v="FD"/>
    <s v="G"/>
    <s v="Y"/>
    <n v="1"/>
    <n v="1"/>
    <n v="0"/>
    <n v="0"/>
    <n v="0"/>
    <n v="10"/>
    <n v="273"/>
    <n v="0"/>
    <n v="0"/>
    <n v="0"/>
    <n v="0"/>
    <n v="0"/>
    <n v="100"/>
    <n v="100"/>
    <n v="287753"/>
    <n v="201427"/>
    <n v="537"/>
    <n v="365"/>
    <n v="172"/>
    <n v="0"/>
    <d v="2022-07-13T00:00:00"/>
    <s v="E037291"/>
    <n v="347000"/>
    <n v="342654"/>
    <s v="SWD"/>
    <n v="30"/>
    <s v="N"/>
    <s v="Y"/>
    <n v="350300"/>
    <n v="64800"/>
    <n v="285500"/>
    <n v="4346"/>
    <n v="1.0095100864553315"/>
    <n v="325228.86455331615"/>
    <n v="349007.50077563658"/>
    <n v="-23778.636223906"/>
    <n v="0"/>
    <n v="89850.625589999996"/>
    <n v="-45174.819855485119"/>
    <n v="21557.329055999999"/>
    <n v="160472.20319"/>
    <n v="-11375.3256255"/>
    <n v="62254.924045020001"/>
    <n v="0"/>
    <n v="0"/>
    <n v="33502.343324543996"/>
    <n v="37920.221052000001"/>
    <n v="0"/>
    <n v="325228.86455267289"/>
    <n v="4300"/>
    <n v="280600"/>
    <n v="44700"/>
    <n v="329600"/>
    <n v="0.94985590778097984"/>
    <n v="-5.9092206679988581E-2"/>
    <n v="0.99970000000000003"/>
    <n v="1.0067999999999999"/>
    <n v="0.99729999999999996"/>
    <n v="0.98919999999999997"/>
    <n v="0.995"/>
    <n v="0.94971499999999998"/>
    <n v="0.93857614463114025"/>
    <n v="304300"/>
    <n v="4100"/>
    <n v="308400"/>
    <n v="42400"/>
    <n v="350800"/>
    <n v="8.0210157618213665E-2"/>
    <n v="-0.34567901234567899"/>
    <n v="1.4273479874393378E-3"/>
    <n v="0.94242467947001152"/>
  </r>
  <r>
    <n v="2025"/>
    <n v="18132344400"/>
    <n v="-1.5141277326297755"/>
    <n v="0.22"/>
    <n v="9488"/>
    <n v="6"/>
    <s v="RES"/>
    <n v="3093"/>
    <s v="YC2"/>
    <s v="R1"/>
    <n v="11"/>
    <n v="259"/>
    <s v="RN"/>
    <x v="2"/>
    <s v="AV"/>
    <x v="6"/>
    <n v="1950"/>
    <n v="1973"/>
    <n v="74"/>
    <n v="51"/>
    <n v="1"/>
    <n v="1632"/>
    <n v="0"/>
    <n v="0"/>
    <n v="1632"/>
    <n v="0"/>
    <n v="1632"/>
    <n v="3264"/>
    <n v="3500"/>
    <n v="0"/>
    <s v="B"/>
    <s v="FD"/>
    <s v="G"/>
    <s v="Y"/>
    <n v="0"/>
    <n v="2"/>
    <n v="0"/>
    <n v="2"/>
    <n v="0"/>
    <n v="9"/>
    <n v="0"/>
    <n v="0"/>
    <n v="0"/>
    <n v="0"/>
    <n v="486"/>
    <n v="486"/>
    <n v="100"/>
    <n v="100"/>
    <n v="422116"/>
    <n v="295481"/>
    <n v="896"/>
    <n v="365"/>
    <n v="365"/>
    <n v="166"/>
    <d v="2021-07-19T00:00:00"/>
    <s v="E032290"/>
    <n v="365000"/>
    <n v="355120"/>
    <s v="SWD"/>
    <n v="30"/>
    <s v="N"/>
    <s v="Y"/>
    <n v="397500"/>
    <n v="61700"/>
    <n v="335800"/>
    <n v="9880"/>
    <n v="1.0890410958904109"/>
    <n v="339297.07755386201"/>
    <n v="383057.26598452061"/>
    <n v="-43760.188436470002"/>
    <n v="0"/>
    <n v="89850.625589999996"/>
    <n v="-47929.131559187132"/>
    <n v="29814.093161000001"/>
    <n v="160472.20319"/>
    <n v="-11375.3256255"/>
    <n v="80634.949239263995"/>
    <n v="0"/>
    <n v="0"/>
    <n v="47461.653043104001"/>
    <n v="34128.198946800003"/>
    <n v="0"/>
    <n v="339297.07754901086"/>
    <n v="9900"/>
    <n v="297400"/>
    <n v="41900"/>
    <n v="349200"/>
    <n v="0.95671232876712331"/>
    <n v="-0.12150943396226416"/>
    <n v="0.99970000000000003"/>
    <n v="1.0088999999999999"/>
    <n v="0.99729999999999996"/>
    <n v="1.0126999999999999"/>
    <n v="0.995"/>
    <n v="0.94971499999999998"/>
    <n v="0.96287770115981319"/>
    <n v="341100"/>
    <n v="9400"/>
    <n v="350500"/>
    <n v="39800"/>
    <n v="390300"/>
    <n v="4.3776057176891009E-2"/>
    <n v="-0.35494327390599678"/>
    <n v="-1.8113207547169812E-2"/>
    <n v="0.94942414126994523"/>
  </r>
  <r>
    <n v="2025"/>
    <n v="18132342479"/>
    <n v="-1.1394342831883648"/>
    <n v="0.32"/>
    <n v="13900"/>
    <n v="6"/>
    <s v="RES"/>
    <n v="3031"/>
    <s v="YC2"/>
    <s v="R1"/>
    <n v="11"/>
    <n v="259"/>
    <s v="SL"/>
    <x v="2"/>
    <s v="AV"/>
    <x v="6"/>
    <n v="1950"/>
    <n v="1973"/>
    <n v="74"/>
    <n v="51"/>
    <n v="1"/>
    <n v="1263"/>
    <n v="0"/>
    <n v="0"/>
    <n v="480"/>
    <n v="0"/>
    <n v="480"/>
    <n v="1743"/>
    <n v="2000"/>
    <n v="0"/>
    <s v="B"/>
    <s v="HP"/>
    <s v="E"/>
    <m/>
    <n v="0"/>
    <n v="2"/>
    <n v="0"/>
    <n v="1"/>
    <n v="0"/>
    <n v="8"/>
    <n v="0"/>
    <n v="0"/>
    <n v="0"/>
    <n v="0"/>
    <n v="694"/>
    <n v="484"/>
    <n v="100"/>
    <n v="100"/>
    <n v="291499"/>
    <n v="204049"/>
    <n v="577"/>
    <n v="365"/>
    <n v="212"/>
    <n v="0"/>
    <d v="2022-06-03T00:00:00"/>
    <s v="E036814"/>
    <n v="349000"/>
    <n v="329982"/>
    <s v="SWD"/>
    <n v="30"/>
    <s v="N"/>
    <s v="Y"/>
    <n v="353700"/>
    <n v="74800"/>
    <n v="278900"/>
    <n v="19018"/>
    <n v="1.0134670487106017"/>
    <n v="316072.56917614839"/>
    <n v="339391.87853237859"/>
    <n v="-23319.309357826001"/>
    <n v="0"/>
    <n v="89850.625589999996"/>
    <n v="-36068.354396449467"/>
    <n v="29814.093161000001"/>
    <n v="160472.20319"/>
    <n v="-11375.3256255"/>
    <n v="62403.150054651"/>
    <n v="0"/>
    <n v="0"/>
    <n v="13959.30971856"/>
    <n v="30336.176841600001"/>
    <n v="0"/>
    <n v="316072.56917603553"/>
    <n v="19000"/>
    <n v="262300"/>
    <n v="53800"/>
    <n v="335100"/>
    <n v="0.96017191977077365"/>
    <n v="-5.2586938083121287E-2"/>
    <n v="0.99970000000000003"/>
    <n v="1.0088999999999999"/>
    <n v="0.99729999999999996"/>
    <n v="1.0093000000000001"/>
    <n v="0.995"/>
    <n v="0.94971499999999998"/>
    <n v="0.9596449726282209"/>
    <n v="285600"/>
    <n v="18100"/>
    <n v="303700"/>
    <n v="51100"/>
    <n v="354800"/>
    <n v="8.8920760129078527E-2"/>
    <n v="-0.31684491978609625"/>
    <n v="3.1099802092168505E-3"/>
    <n v="0.94980140585150141"/>
  </r>
  <r>
    <n v="2025"/>
    <n v="18132244446"/>
    <n v="-1.1394342831883648"/>
    <n v="0.32"/>
    <n v="14000"/>
    <n v="6"/>
    <s v="RES"/>
    <n v="3092"/>
    <s v="YC2"/>
    <s v="R1"/>
    <n v="11"/>
    <n v="259"/>
    <s v="TD"/>
    <x v="0"/>
    <s v="AV"/>
    <x v="6"/>
    <n v="1950"/>
    <n v="1973"/>
    <n v="74"/>
    <n v="51"/>
    <n v="1"/>
    <n v="1137"/>
    <n v="0"/>
    <n v="0"/>
    <n v="1137"/>
    <n v="215"/>
    <n v="922"/>
    <n v="2059"/>
    <n v="2500"/>
    <n v="0"/>
    <s v="B"/>
    <s v="FD"/>
    <s v="E"/>
    <s v="N"/>
    <n v="0"/>
    <n v="1"/>
    <n v="0"/>
    <n v="1"/>
    <n v="0"/>
    <n v="9"/>
    <n v="0"/>
    <n v="0"/>
    <n v="522"/>
    <n v="0"/>
    <n v="0"/>
    <n v="0"/>
    <n v="100"/>
    <n v="100"/>
    <n v="252292"/>
    <n v="176604"/>
    <n v="783"/>
    <n v="365"/>
    <n v="365"/>
    <n v="53"/>
    <d v="2021-11-09T00:00:00"/>
    <s v="E034021"/>
    <n v="330000"/>
    <n v="323103"/>
    <s v="SWD"/>
    <n v="30"/>
    <s v="N"/>
    <s v="Y"/>
    <n v="347400"/>
    <n v="74800"/>
    <n v="272600"/>
    <n v="6897"/>
    <n v="1.0527272727272727"/>
    <n v="319158.81443005364"/>
    <n v="347808.4493058552"/>
    <n v="-28649.634878770004"/>
    <n v="0"/>
    <n v="89850.625589999996"/>
    <n v="-36068.354396449467"/>
    <n v="21557.329055999999"/>
    <n v="160472.20319"/>
    <n v="-11375.3256255"/>
    <n v="56177.657650148998"/>
    <n v="0"/>
    <n v="0"/>
    <n v="33066.114895838997"/>
    <n v="34128.198946800003"/>
    <n v="0"/>
    <n v="319158.81442806852"/>
    <n v="6900"/>
    <n v="265400"/>
    <n v="53800"/>
    <n v="326100"/>
    <n v="0.98818181818181816"/>
    <n v="-6.1312607944732297E-2"/>
    <n v="0.99970000000000003"/>
    <n v="1.0067999999999999"/>
    <n v="0.99729999999999996"/>
    <n v="0.98919999999999997"/>
    <n v="0.995"/>
    <n v="0.94971499999999998"/>
    <n v="0.93857614463114025"/>
    <n v="294000"/>
    <n v="6600"/>
    <n v="300600"/>
    <n v="51100"/>
    <n v="351700"/>
    <n v="0.10271460014673514"/>
    <n v="-0.31684491978609625"/>
    <n v="1.2377662636729994E-2"/>
    <n v="0.97894050036736369"/>
  </r>
  <r>
    <n v="2025"/>
    <n v="18132243462"/>
    <n v="-1.6094379124341003"/>
    <n v="0.2"/>
    <n v="8680"/>
    <n v="6"/>
    <s v="RES"/>
    <n v="3093"/>
    <s v="YC2"/>
    <s v="R1"/>
    <n v="11"/>
    <n v="259"/>
    <s v="TD"/>
    <x v="2"/>
    <s v="AV"/>
    <x v="6"/>
    <n v="1950"/>
    <n v="1973"/>
    <n v="74"/>
    <n v="51"/>
    <n v="1"/>
    <n v="1034"/>
    <n v="0"/>
    <n v="0"/>
    <n v="455"/>
    <n v="455"/>
    <n v="0"/>
    <n v="1034"/>
    <n v="1500"/>
    <n v="1"/>
    <m/>
    <s v="FD"/>
    <s v="G"/>
    <s v="Y"/>
    <n v="0"/>
    <n v="1"/>
    <n v="0"/>
    <n v="0"/>
    <n v="0"/>
    <n v="6"/>
    <n v="280"/>
    <n v="0"/>
    <n v="0"/>
    <n v="0"/>
    <n v="72"/>
    <n v="0"/>
    <n v="100"/>
    <n v="100"/>
    <n v="222836"/>
    <n v="155985"/>
    <n v="867"/>
    <n v="365"/>
    <n v="365"/>
    <n v="137"/>
    <d v="2021-08-17T00:00:00"/>
    <s v="E032730"/>
    <n v="268000"/>
    <n v="268000"/>
    <s v="SWD"/>
    <n v="30"/>
    <s v="N"/>
    <s v="Y"/>
    <n v="286700"/>
    <n v="58400"/>
    <n v="228300"/>
    <n v="0"/>
    <n v="1.0697761194029851"/>
    <n v="265006.15850105352"/>
    <n v="304888.41725834174"/>
    <n v="-39882.258762370002"/>
    <n v="0"/>
    <n v="89850.625589999996"/>
    <n v="-50946.13867709865"/>
    <n v="29814.093161000001"/>
    <n v="160472.20319"/>
    <n v="-11375.3256255"/>
    <n v="51088.564652818"/>
    <n v="0"/>
    <n v="0"/>
    <n v="13232.262337385"/>
    <n v="22752.132631200002"/>
    <n v="0"/>
    <n v="265006.15849743434"/>
    <n v="0"/>
    <n v="226100"/>
    <n v="38900"/>
    <n v="265000"/>
    <n v="0.98880597014925375"/>
    <n v="-7.5688873386815486E-2"/>
    <n v="0.99970000000000003"/>
    <n v="1.0088999999999999"/>
    <n v="0.99729999999999996"/>
    <n v="1.0157"/>
    <n v="0.995"/>
    <n v="0.94971499999999998"/>
    <n v="0.96573010868768849"/>
    <n v="266000"/>
    <n v="0"/>
    <n v="266000"/>
    <n v="36900"/>
    <n v="302900"/>
    <n v="0.1651335961454227"/>
    <n v="-0.36815068493150682"/>
    <n v="5.6505057551447503E-2"/>
    <n v="0.98140948222996272"/>
  </r>
  <r>
    <n v="2025"/>
    <n v="18132214471"/>
    <n v="-1.1711829815029451"/>
    <n v="0.31"/>
    <n v="13387"/>
    <n v="6"/>
    <s v="RES"/>
    <n v="3033"/>
    <s v="YC2"/>
    <s v="R1"/>
    <n v="11"/>
    <n v="259"/>
    <s v="TD"/>
    <x v="4"/>
    <s v="AV"/>
    <x v="6"/>
    <n v="1950"/>
    <n v="1973"/>
    <n v="74"/>
    <n v="51"/>
    <n v="1"/>
    <n v="861"/>
    <n v="0"/>
    <n v="0"/>
    <n v="0"/>
    <n v="0"/>
    <n v="0"/>
    <n v="861"/>
    <n v="1000"/>
    <n v="0"/>
    <m/>
    <s v="BH"/>
    <s v="E"/>
    <m/>
    <n v="0"/>
    <n v="1"/>
    <n v="0"/>
    <n v="0"/>
    <n v="0"/>
    <n v="5"/>
    <n v="0"/>
    <n v="0"/>
    <n v="0"/>
    <n v="72"/>
    <n v="0"/>
    <n v="0"/>
    <n v="100"/>
    <n v="100"/>
    <n v="128921"/>
    <n v="90245"/>
    <n v="557"/>
    <n v="365"/>
    <n v="192"/>
    <n v="0"/>
    <d v="2022-06-23T00:00:00"/>
    <s v="E037028"/>
    <n v="251000"/>
    <n v="242756"/>
    <s v="SWD"/>
    <n v="30"/>
    <s v="N"/>
    <s v="Y"/>
    <n v="265600"/>
    <n v="73700"/>
    <n v="191900"/>
    <n v="8244"/>
    <n v="1.0581673306772907"/>
    <n v="242223.43551166097"/>
    <n v="265772.40830093628"/>
    <n v="-23548.972790865999"/>
    <n v="0"/>
    <n v="89850.625589999996"/>
    <n v="-37073.347241874442"/>
    <n v="0"/>
    <n v="160472.20319"/>
    <n v="-11375.3256255"/>
    <n v="42540.864764097001"/>
    <n v="0"/>
    <n v="0"/>
    <n v="0"/>
    <n v="18960.110526"/>
    <n v="2397.2770998720002"/>
    <n v="242223.43551172857"/>
    <n v="8200"/>
    <n v="189400"/>
    <n v="52800"/>
    <n v="250400"/>
    <n v="0.99760956175298809"/>
    <n v="-5.7228915662650599E-2"/>
    <n v="0.99970000000000003"/>
    <n v="0.99180000000000001"/>
    <n v="0.99729999999999996"/>
    <n v="1.0148999999999999"/>
    <n v="0.995"/>
    <n v="0.94971499999999998"/>
    <n v="0.94861405199075932"/>
    <n v="213000"/>
    <n v="7800"/>
    <n v="220800"/>
    <n v="50100"/>
    <n v="270900"/>
    <n v="0.15059927045336113"/>
    <n v="-0.32021709633649931"/>
    <n v="1.9954819277108432E-2"/>
    <n v="0.9854622597973467"/>
  </r>
  <r>
    <n v="2025"/>
    <n v="18132324548"/>
    <n v="-1.5606477482646683"/>
    <n v="0.21"/>
    <n v="0"/>
    <n v="6"/>
    <s v="RES"/>
    <n v="3033"/>
    <s v="YC2"/>
    <s v="R1"/>
    <n v="11"/>
    <n v="259"/>
    <s v="RN"/>
    <x v="2"/>
    <s v="GD"/>
    <x v="6"/>
    <n v="1950"/>
    <n v="1973"/>
    <n v="74"/>
    <n v="51"/>
    <n v="1"/>
    <n v="1523"/>
    <n v="0"/>
    <n v="0"/>
    <n v="532"/>
    <n v="0"/>
    <n v="532"/>
    <n v="2055"/>
    <n v="2500"/>
    <n v="1"/>
    <m/>
    <s v="FD"/>
    <s v="G"/>
    <m/>
    <n v="0"/>
    <n v="1"/>
    <n v="0"/>
    <n v="1"/>
    <n v="0"/>
    <n v="10"/>
    <n v="286"/>
    <n v="0"/>
    <n v="0"/>
    <n v="0"/>
    <n v="0"/>
    <n v="0"/>
    <n v="100"/>
    <n v="100"/>
    <n v="330553"/>
    <n v="257831"/>
    <n v="833"/>
    <n v="365"/>
    <n v="365"/>
    <n v="103"/>
    <d v="2021-09-20T00:00:00"/>
    <s v="E033263"/>
    <n v="342000"/>
    <n v="342000"/>
    <s v="SWD"/>
    <n v="30"/>
    <s v="N"/>
    <s v="Y"/>
    <n v="366500"/>
    <n v="60100"/>
    <n v="306400"/>
    <n v="0"/>
    <n v="1.0716374269005848"/>
    <n v="349945.50858443434"/>
    <n v="385281.22910397791"/>
    <n v="-35335.720523770004"/>
    <n v="0"/>
    <n v="89850.625589999996"/>
    <n v="-49401.70477837498"/>
    <n v="29814.093161000001"/>
    <n v="197752.34721000001"/>
    <n v="-11375.3256255"/>
    <n v="75249.404222671001"/>
    <n v="0"/>
    <n v="0"/>
    <n v="15471.568271403999"/>
    <n v="37920.221052000001"/>
    <n v="0"/>
    <n v="349945.50857943005"/>
    <n v="0"/>
    <n v="309500"/>
    <n v="40400"/>
    <n v="349900"/>
    <n v="1.0230994152046784"/>
    <n v="-4.5293315143246929E-2"/>
    <n v="0.99970000000000003"/>
    <n v="1.0088999999999999"/>
    <n v="0.99650000000000005"/>
    <n v="0.98919999999999997"/>
    <n v="0.995"/>
    <n v="0.94971499999999998"/>
    <n v="0.93977937806455991"/>
    <n v="344800"/>
    <n v="0"/>
    <n v="344800"/>
    <n v="38400"/>
    <n v="383200"/>
    <n v="0.12532637075718014"/>
    <n v="-0.36106489184692181"/>
    <n v="4.5566166439290588E-2"/>
    <n v="1.0171470160123683"/>
  </r>
  <r>
    <n v="2025"/>
    <n v="18132322022"/>
    <n v="-1.6094379124341003"/>
    <n v="0.2"/>
    <n v="8734"/>
    <n v="6"/>
    <s v="RES"/>
    <s v="YC2"/>
    <s v="YC2"/>
    <s v="R1"/>
    <n v="11"/>
    <n v="259"/>
    <s v="TD"/>
    <x v="0"/>
    <s v="GD"/>
    <x v="6"/>
    <n v="1950"/>
    <n v="1973"/>
    <n v="74"/>
    <n v="51"/>
    <n v="2"/>
    <n v="1212"/>
    <n v="684"/>
    <n v="0"/>
    <n v="1212"/>
    <n v="0"/>
    <n v="1212"/>
    <n v="3108"/>
    <n v="3500"/>
    <n v="0"/>
    <m/>
    <s v="FD"/>
    <s v="G"/>
    <s v="Y"/>
    <n v="0"/>
    <n v="1"/>
    <n v="0"/>
    <n v="1"/>
    <n v="1"/>
    <n v="12"/>
    <n v="0"/>
    <n v="0"/>
    <n v="325"/>
    <n v="0"/>
    <n v="21"/>
    <n v="63"/>
    <n v="100"/>
    <n v="100"/>
    <n v="326727"/>
    <n v="254847"/>
    <n v="5"/>
    <n v="5"/>
    <n v="0"/>
    <n v="0"/>
    <d v="2023-12-27T00:00:00"/>
    <s v="E042409"/>
    <n v="406900"/>
    <n v="406900"/>
    <s v="SWD"/>
    <n v="30"/>
    <s v="N"/>
    <s v="Y"/>
    <n v="386300"/>
    <n v="58400"/>
    <n v="327900"/>
    <n v="0"/>
    <n v="0.94937331039567463"/>
    <n v="417754.79000153346"/>
    <n v="418107.58098436234"/>
    <n v="-352.79098285000003"/>
    <n v="0"/>
    <n v="89850.625589999996"/>
    <n v="-50946.13867709865"/>
    <n v="21557.329055999999"/>
    <n v="197752.34721000001"/>
    <n v="-11375.3256255"/>
    <n v="59883.307890923999"/>
    <n v="30633.913236924"/>
    <n v="0"/>
    <n v="35247.257039363998"/>
    <n v="45504.265262400004"/>
    <n v="0"/>
    <n v="417754.79000016337"/>
    <n v="0"/>
    <n v="378900"/>
    <n v="38900"/>
    <n v="417800"/>
    <n v="1.0267879085770459"/>
    <n v="8.1542842350504782E-2"/>
    <n v="0.99970000000000003"/>
    <n v="1.0067999999999999"/>
    <n v="0.99650000000000005"/>
    <n v="1.0126999999999999"/>
    <n v="0.995"/>
    <n v="0.94971499999999998"/>
    <n v="0.96010271551640491"/>
    <n v="379200"/>
    <n v="0"/>
    <n v="379200"/>
    <n v="36900"/>
    <n v="416100"/>
    <n v="0.15645013723696249"/>
    <n v="-0.36815068493150682"/>
    <n v="7.7142117525239445E-2"/>
    <n v="1.0217429565425165"/>
  </r>
  <r>
    <n v="2025"/>
    <n v="18132241448"/>
    <n v="-2.6592600369327779"/>
    <n v="7.0000000000000007E-2"/>
    <n v="3233"/>
    <n v="6"/>
    <s v="RES"/>
    <n v="3033"/>
    <s v="YC2"/>
    <s v="R1"/>
    <n v="11"/>
    <n v="259"/>
    <s v="TD"/>
    <x v="4"/>
    <s v="AV"/>
    <x v="6"/>
    <n v="1950"/>
    <n v="1973"/>
    <n v="74"/>
    <n v="51"/>
    <n v="1"/>
    <n v="905"/>
    <n v="0"/>
    <n v="0"/>
    <n v="0"/>
    <n v="0"/>
    <n v="0"/>
    <n v="905"/>
    <n v="1000"/>
    <n v="0"/>
    <m/>
    <s v="FD"/>
    <s v="G"/>
    <s v="Y"/>
    <n v="0"/>
    <n v="0"/>
    <n v="0"/>
    <n v="0"/>
    <n v="0"/>
    <n v="5"/>
    <n v="0"/>
    <n v="0"/>
    <n v="312"/>
    <n v="0"/>
    <n v="0"/>
    <n v="0"/>
    <n v="100"/>
    <n v="100"/>
    <n v="142941"/>
    <n v="100059"/>
    <n v="892"/>
    <n v="365"/>
    <n v="365"/>
    <n v="162"/>
    <d v="2021-07-23T00:00:00"/>
    <s v="E032316"/>
    <n v="171000"/>
    <n v="171000"/>
    <s v="SWD"/>
    <n v="30"/>
    <s v="N"/>
    <s v="Y"/>
    <n v="207200"/>
    <n v="21800"/>
    <n v="185400"/>
    <n v="0"/>
    <n v="1.2116959064327486"/>
    <n v="175219.30371402859"/>
    <n v="218444.60529318781"/>
    <n v="-43225.301584870002"/>
    <n v="0"/>
    <n v="89850.625589999996"/>
    <n v="-84177.854624504558"/>
    <n v="0"/>
    <n v="160472.20319"/>
    <n v="-11375.3256255"/>
    <n v="44714.846238685001"/>
    <n v="0"/>
    <n v="0"/>
    <n v="0"/>
    <n v="18960.110526"/>
    <n v="0"/>
    <n v="175219.30370981045"/>
    <n v="0"/>
    <n v="169500"/>
    <n v="5700"/>
    <n v="175200"/>
    <n v="1.024561403508772"/>
    <n v="-0.15444015444015444"/>
    <n v="0.99970000000000003"/>
    <n v="0.99180000000000001"/>
    <n v="0.99729999999999996"/>
    <n v="1.0148999999999999"/>
    <n v="0.995"/>
    <n v="0.94971499999999998"/>
    <n v="0.94861405199075932"/>
    <n v="212800"/>
    <n v="0"/>
    <n v="212800"/>
    <n v="5400"/>
    <n v="218200"/>
    <n v="0.14778856526429343"/>
    <n v="-0.75229357798165142"/>
    <n v="5.3088803088803087E-2"/>
    <n v="1.0232438503808772"/>
  </r>
  <r>
    <n v="2025"/>
    <n v="18132214501"/>
    <n v="-1.3862943611198906"/>
    <n v="0.25"/>
    <n v="10799"/>
    <n v="6"/>
    <s v="RES"/>
    <n v="3033"/>
    <s v="YC2"/>
    <s v="R1"/>
    <n v="11"/>
    <n v="259"/>
    <s v="RN"/>
    <x v="1"/>
    <s v="GD"/>
    <x v="6"/>
    <n v="1950"/>
    <n v="1973"/>
    <n v="74"/>
    <n v="51"/>
    <n v="1"/>
    <n v="1931"/>
    <n v="0"/>
    <n v="0"/>
    <n v="0"/>
    <n v="0"/>
    <n v="0"/>
    <n v="1931"/>
    <n v="2000"/>
    <n v="2"/>
    <m/>
    <s v="FD"/>
    <s v="G"/>
    <s v="Y"/>
    <n v="0"/>
    <n v="1"/>
    <n v="0"/>
    <n v="1"/>
    <n v="0"/>
    <n v="9"/>
    <n v="440"/>
    <n v="0"/>
    <n v="0"/>
    <n v="294"/>
    <n v="0"/>
    <n v="168"/>
    <n v="100"/>
    <n v="100"/>
    <n v="440849"/>
    <n v="343862"/>
    <n v="189"/>
    <n v="189"/>
    <n v="0"/>
    <n v="0"/>
    <d v="2023-06-26T00:00:00"/>
    <s v="E040710"/>
    <n v="390000"/>
    <n v="390000"/>
    <s v="SWD"/>
    <n v="30"/>
    <s v="N"/>
    <s v="Y"/>
    <n v="378300"/>
    <n v="66200"/>
    <n v="312100"/>
    <n v="0"/>
    <n v="0.97"/>
    <n v="402455.79277946625"/>
    <n v="415791.29193039797"/>
    <n v="-13335.49915173"/>
    <n v="0"/>
    <n v="89850.625589999996"/>
    <n v="-43882.615305165229"/>
    <n v="44121.038090000002"/>
    <n v="197752.34721000001"/>
    <n v="-11375.3256255"/>
    <n v="95408.141532487003"/>
    <n v="0"/>
    <n v="0"/>
    <n v="0"/>
    <n v="34128.198946800003"/>
    <n v="9788.8814911440004"/>
    <n v="402455.7927780358"/>
    <n v="0"/>
    <n v="356500"/>
    <n v="46000"/>
    <n v="402500"/>
    <n v="1.0320512820512822"/>
    <n v="6.3970393867301079E-2"/>
    <n v="0.99970000000000003"/>
    <n v="0.98050000000000004"/>
    <n v="0.99650000000000005"/>
    <n v="1.0093000000000001"/>
    <n v="0.995"/>
    <n v="0.94971499999999998"/>
    <n v="0.93188335041151293"/>
    <n v="369800"/>
    <n v="0"/>
    <n v="369800"/>
    <n v="43700"/>
    <n v="413500"/>
    <n v="0.18487664210189042"/>
    <n v="-0.33987915407854985"/>
    <n v="9.3047845625165215E-2"/>
    <n v="1.0260628226878719"/>
  </r>
  <r>
    <n v="2025"/>
    <n v="18132243447"/>
    <n v="-1.5141277326297755"/>
    <n v="0.22"/>
    <n v="9471"/>
    <n v="6"/>
    <s v="RES"/>
    <n v="3093"/>
    <s v="YC2"/>
    <s v="R1"/>
    <n v="11"/>
    <n v="259"/>
    <s v="CP"/>
    <x v="3"/>
    <s v="GD"/>
    <x v="6"/>
    <n v="1950"/>
    <n v="1973"/>
    <n v="74"/>
    <n v="51"/>
    <n v="1"/>
    <n v="1639"/>
    <n v="0"/>
    <n v="0"/>
    <n v="844"/>
    <n v="0"/>
    <n v="844"/>
    <n v="2483"/>
    <n v="2500"/>
    <n v="0"/>
    <m/>
    <s v="FD"/>
    <s v="E"/>
    <s v="Y"/>
    <n v="0"/>
    <n v="1"/>
    <n v="0"/>
    <n v="0"/>
    <n v="1"/>
    <n v="11"/>
    <n v="0"/>
    <n v="0"/>
    <n v="0"/>
    <n v="0"/>
    <n v="317"/>
    <n v="317"/>
    <n v="100"/>
    <n v="100"/>
    <n v="461283"/>
    <n v="364414"/>
    <n v="147"/>
    <n v="147"/>
    <n v="0"/>
    <n v="0"/>
    <d v="2023-08-07T00:00:00"/>
    <s v="E041099"/>
    <n v="435000"/>
    <n v="424990"/>
    <s v="SWD"/>
    <n v="30"/>
    <s v="N"/>
    <s v="Y"/>
    <n v="466800"/>
    <n v="61700"/>
    <n v="405100"/>
    <n v="10010"/>
    <n v="1.0731034482758621"/>
    <n v="439433.04306002398"/>
    <n v="449805.09795519314"/>
    <n v="-10372.054895790001"/>
    <n v="0"/>
    <n v="89850.625589999996"/>
    <n v="-47929.131559187132"/>
    <n v="74268.409664999999"/>
    <n v="197752.34721000001"/>
    <n v="-11375.3256255"/>
    <n v="80980.809928403003"/>
    <n v="0"/>
    <n v="0"/>
    <n v="24545.119588467998"/>
    <n v="41712.243157199999"/>
    <n v="0"/>
    <n v="439433.04305859387"/>
    <n v="10000"/>
    <n v="397500"/>
    <n v="41900"/>
    <n v="449400"/>
    <n v="1.0331034482758621"/>
    <n v="-3.7275064267352186E-2"/>
    <n v="0.99970000000000003"/>
    <n v="0.98380000000000001"/>
    <n v="0.99650000000000005"/>
    <n v="0.98919999999999997"/>
    <n v="0.995"/>
    <n v="0.94971499999999998"/>
    <n v="0.91639900103074046"/>
    <n v="407900"/>
    <n v="9500"/>
    <n v="417400"/>
    <n v="39800"/>
    <n v="457200"/>
    <n v="3.0362873364601334E-2"/>
    <n v="-0.35494327390599678"/>
    <n v="-2.056555269922879E-2"/>
    <n v="1.0271906784004827"/>
  </r>
  <r>
    <n v="2025"/>
    <n v="18132313486"/>
    <n v="-1.8971199848858813"/>
    <n v="0.15"/>
    <n v="6701"/>
    <n v="6"/>
    <s v="RES"/>
    <n v="3033"/>
    <s v="YC2"/>
    <s v="R1"/>
    <n v="11"/>
    <n v="259"/>
    <s v="BG"/>
    <x v="0"/>
    <s v="AV"/>
    <x v="6"/>
    <n v="1950"/>
    <n v="1973"/>
    <n v="74"/>
    <n v="51"/>
    <n v="1"/>
    <n v="972"/>
    <n v="0"/>
    <n v="0"/>
    <n v="775"/>
    <n v="775"/>
    <n v="0"/>
    <n v="972"/>
    <n v="1000"/>
    <n v="0"/>
    <m/>
    <s v="FD"/>
    <s v="G"/>
    <m/>
    <n v="0"/>
    <n v="1"/>
    <n v="0"/>
    <n v="0"/>
    <n v="1"/>
    <n v="7"/>
    <n v="0"/>
    <n v="0"/>
    <n v="192"/>
    <n v="0"/>
    <n v="550"/>
    <n v="0"/>
    <n v="100"/>
    <n v="100"/>
    <n v="182702"/>
    <n v="127891"/>
    <n v="833"/>
    <n v="365"/>
    <n v="365"/>
    <n v="103"/>
    <d v="2021-09-20T00:00:00"/>
    <s v="E033228"/>
    <n v="270000"/>
    <n v="244077"/>
    <s v="SWD"/>
    <n v="30"/>
    <s v="N"/>
    <s v="Y"/>
    <n v="302900"/>
    <n v="48400"/>
    <n v="254500"/>
    <n v="25923"/>
    <n v="1.1218518518518519"/>
    <n v="262224.3582269898"/>
    <n v="297560.07874653337"/>
    <n v="-35335.720523770004"/>
    <n v="0"/>
    <n v="89850.625589999996"/>
    <n v="-60052.604136134301"/>
    <n v="21557.329055999999"/>
    <n v="160472.20319"/>
    <n v="-11375.3256255"/>
    <n v="48025.227120444004"/>
    <n v="0"/>
    <n v="0"/>
    <n v="22538.468816425"/>
    <n v="26544.1547364"/>
    <n v="0"/>
    <n v="262224.35822386469"/>
    <n v="25900"/>
    <n v="232400"/>
    <n v="29800"/>
    <n v="288100"/>
    <n v="1.067037037037037"/>
    <n v="-4.8861010234400794E-2"/>
    <n v="0.99970000000000003"/>
    <n v="1.0067999999999999"/>
    <n v="0.99729999999999996"/>
    <n v="1.0148999999999999"/>
    <n v="0.995"/>
    <n v="0.94971499999999998"/>
    <n v="0.96296090698154491"/>
    <n v="267800"/>
    <n v="24600"/>
    <n v="292400"/>
    <n v="28300"/>
    <n v="320700"/>
    <n v="0.14891944990176817"/>
    <n v="-0.41528925619834711"/>
    <n v="5.8765269065698247E-2"/>
    <n v="1.0569047388008517"/>
  </r>
  <r>
    <n v="2025"/>
    <n v="18132213001"/>
    <n v="-1.7147984280919266"/>
    <n v="0.18"/>
    <n v="7968"/>
    <n v="6"/>
    <s v="RES"/>
    <n v="3033"/>
    <s v="YC2"/>
    <s v="R1"/>
    <n v="11"/>
    <n v="259"/>
    <s v="TD"/>
    <x v="0"/>
    <s v="GD"/>
    <x v="6"/>
    <n v="1950"/>
    <n v="1973"/>
    <n v="74"/>
    <n v="51"/>
    <n v="1"/>
    <n v="1016"/>
    <n v="0"/>
    <n v="0"/>
    <n v="0"/>
    <n v="0"/>
    <n v="0"/>
    <n v="1016"/>
    <n v="1500"/>
    <n v="1"/>
    <m/>
    <s v="FD"/>
    <s v="G"/>
    <s v="Y"/>
    <n v="0"/>
    <n v="1"/>
    <n v="0"/>
    <n v="0"/>
    <n v="0"/>
    <n v="5"/>
    <n v="200"/>
    <n v="0"/>
    <n v="0"/>
    <n v="0"/>
    <n v="200"/>
    <n v="0"/>
    <n v="100"/>
    <n v="100"/>
    <n v="161973"/>
    <n v="126339"/>
    <n v="595"/>
    <n v="365"/>
    <n v="230"/>
    <n v="0"/>
    <d v="2022-05-16T00:00:00"/>
    <s v="E036498"/>
    <n v="265000"/>
    <n v="265000"/>
    <s v="SWD"/>
    <n v="30"/>
    <s v="N"/>
    <s v="Y"/>
    <n v="283100"/>
    <n v="54700"/>
    <n v="228400"/>
    <n v="0"/>
    <n v="1.0683018867924527"/>
    <n v="289550.39777116635"/>
    <n v="312663.01003765594"/>
    <n v="-23112.612268090001"/>
    <n v="0"/>
    <n v="89850.625589999996"/>
    <n v="-54281.285314520763"/>
    <n v="21557.329055999999"/>
    <n v="197752.34721000001"/>
    <n v="-11375.3256255"/>
    <n v="50199.208595032003"/>
    <n v="0"/>
    <n v="0"/>
    <n v="0"/>
    <n v="18960.110526"/>
    <n v="0"/>
    <n v="289550.39776892122"/>
    <n v="0"/>
    <n v="254000"/>
    <n v="35600"/>
    <n v="289600"/>
    <n v="1.0928301886792453"/>
    <n v="2.2960084775697633E-2"/>
    <n v="0.99970000000000003"/>
    <n v="1.0067999999999999"/>
    <n v="0.99650000000000005"/>
    <n v="1.0157"/>
    <n v="0.995"/>
    <n v="0.94971499999999998"/>
    <n v="0.96294690248840986"/>
    <n v="277100"/>
    <n v="0"/>
    <n v="277100"/>
    <n v="33800"/>
    <n v="310900"/>
    <n v="0.21322241681260945"/>
    <n v="-0.38208409506398539"/>
    <n v="9.8198516425291413E-2"/>
    <n v="1.0859901423845659"/>
  </r>
  <r>
    <n v="2025"/>
    <n v="18132322410"/>
    <n v="-1.2378743560016174"/>
    <n v="0.28999999999999998"/>
    <n v="0"/>
    <n v="6"/>
    <s v="RES"/>
    <n v="3033"/>
    <s v="YC2"/>
    <s v="R1"/>
    <n v="11"/>
    <n v="259"/>
    <s v="CC"/>
    <x v="0"/>
    <s v="AV"/>
    <x v="6"/>
    <n v="1950"/>
    <n v="1973"/>
    <n v="74"/>
    <n v="51"/>
    <n v="2"/>
    <n v="952"/>
    <n v="474"/>
    <n v="0"/>
    <n v="280"/>
    <n v="280"/>
    <n v="0"/>
    <n v="1426"/>
    <n v="1500"/>
    <n v="1"/>
    <m/>
    <s v="FD"/>
    <s v="E"/>
    <m/>
    <n v="0"/>
    <n v="0"/>
    <n v="0"/>
    <n v="1"/>
    <n v="0"/>
    <n v="8"/>
    <n v="700"/>
    <n v="0"/>
    <n v="0"/>
    <n v="0"/>
    <n v="408"/>
    <n v="408"/>
    <n v="100"/>
    <n v="100"/>
    <n v="237377"/>
    <n v="166164"/>
    <n v="902"/>
    <n v="365"/>
    <n v="365"/>
    <n v="172"/>
    <d v="2021-07-13T00:00:00"/>
    <s v="E032351"/>
    <n v="257500"/>
    <n v="257500"/>
    <s v="SWD"/>
    <n v="30"/>
    <s v="N"/>
    <s v="Y"/>
    <n v="314300"/>
    <n v="71400"/>
    <n v="242900"/>
    <n v="0"/>
    <n v="1.2205825242718447"/>
    <n v="283502.80209613492"/>
    <n v="328065.32080404263"/>
    <n v="-44562.518713869998"/>
    <n v="0"/>
    <n v="89850.625589999996"/>
    <n v="-39184.437074869042"/>
    <n v="21557.329055999999"/>
    <n v="160472.20319"/>
    <n v="-11375.3256255"/>
    <n v="47037.053722903998"/>
    <n v="21228.764436114001"/>
    <n v="0"/>
    <n v="8142.9306691599995"/>
    <n v="30336.176841600001"/>
    <n v="0"/>
    <n v="283502.80209153896"/>
    <n v="0"/>
    <n v="232800"/>
    <n v="50700"/>
    <n v="283500"/>
    <n v="1.1009708737864077"/>
    <n v="-9.7995545657015584E-2"/>
    <n v="0.99970000000000003"/>
    <n v="1.0067999999999999"/>
    <n v="0.99729999999999996"/>
    <n v="1.0157"/>
    <n v="0.995"/>
    <n v="0.94971499999999998"/>
    <n v="0.96371996573175212"/>
    <n v="277400"/>
    <n v="0"/>
    <n v="277400"/>
    <n v="48100"/>
    <n v="325500"/>
    <n v="0.14203375874845617"/>
    <n v="-0.32633053221288516"/>
    <n v="3.5634743875278395E-2"/>
    <n v="1.091019344800505"/>
  </r>
  <r>
    <n v="2025"/>
    <n v="18132243446"/>
    <n v="-1.2039728043259361"/>
    <n v="0.3"/>
    <n v="13027"/>
    <n v="6"/>
    <s v="RES"/>
    <n v="3093"/>
    <s v="YC2"/>
    <s v="R1"/>
    <n v="11"/>
    <n v="259"/>
    <s v="RN"/>
    <x v="1"/>
    <s v="GD"/>
    <x v="6"/>
    <n v="1950"/>
    <n v="1973"/>
    <n v="74"/>
    <n v="51"/>
    <n v="1"/>
    <n v="1804"/>
    <n v="0"/>
    <n v="0"/>
    <n v="1668"/>
    <n v="0"/>
    <n v="1668"/>
    <n v="3472"/>
    <n v="3500"/>
    <n v="2"/>
    <m/>
    <s v="HP"/>
    <s v="E"/>
    <m/>
    <n v="0"/>
    <n v="1"/>
    <n v="0"/>
    <n v="1"/>
    <n v="0"/>
    <n v="14"/>
    <n v="420"/>
    <n v="0"/>
    <n v="0"/>
    <n v="272"/>
    <n v="240"/>
    <n v="0"/>
    <n v="100"/>
    <n v="100"/>
    <n v="531050"/>
    <n v="414219"/>
    <n v="329"/>
    <n v="329"/>
    <n v="0"/>
    <n v="0"/>
    <d v="2023-02-06T00:00:00"/>
    <s v="E039390"/>
    <n v="428000"/>
    <n v="407893"/>
    <s v="SWD"/>
    <n v="30"/>
    <s v="N"/>
    <s v="Y"/>
    <n v="478500"/>
    <n v="72500"/>
    <n v="406000"/>
    <n v="20107"/>
    <n v="1.1179906542056075"/>
    <n v="458810.27347034292"/>
    <n v="482023.92014048336"/>
    <n v="-23213.646671530001"/>
    <n v="0"/>
    <n v="89850.625589999996"/>
    <n v="-38111.29648355169"/>
    <n v="44121.038090000002"/>
    <n v="197752.34721000001"/>
    <n v="-11375.3256255"/>
    <n v="89133.240458108005"/>
    <n v="0"/>
    <n v="0"/>
    <n v="48508.601271995998"/>
    <n v="53088.3094728"/>
    <n v="9056.3801550720018"/>
    <n v="458810.27346739435"/>
    <n v="20100"/>
    <n v="407100"/>
    <n v="51700"/>
    <n v="478900"/>
    <n v="1.1189252336448599"/>
    <n v="8.3594566353187045E-4"/>
    <n v="0.99970000000000003"/>
    <n v="0.98050000000000004"/>
    <n v="0.99650000000000005"/>
    <n v="1.0126999999999999"/>
    <n v="0.995"/>
    <n v="0.94971499999999998"/>
    <n v="0.93502255916153676"/>
    <n v="430300"/>
    <n v="19100"/>
    <n v="449400"/>
    <n v="49100"/>
    <n v="498500"/>
    <n v="0.10689655172413794"/>
    <n v="-0.32275862068965516"/>
    <n v="4.1797283176593522E-2"/>
    <n v="1.1104821339450235"/>
  </r>
  <r>
    <n v="2025"/>
    <n v="18132344402"/>
    <n v="-1.5141277326297755"/>
    <n v="0.22"/>
    <n v="0"/>
    <n v="6"/>
    <s v="RES"/>
    <n v="3093"/>
    <s v="YC2"/>
    <s v="R1"/>
    <n v="11"/>
    <n v="259"/>
    <s v="RN"/>
    <x v="3"/>
    <s v="AV"/>
    <x v="6"/>
    <n v="1950"/>
    <n v="1973"/>
    <n v="74"/>
    <n v="51"/>
    <n v="1"/>
    <n v="1962"/>
    <n v="0"/>
    <n v="0"/>
    <n v="1962"/>
    <n v="1322"/>
    <n v="640"/>
    <n v="2602"/>
    <n v="3000"/>
    <n v="0"/>
    <m/>
    <s v="FD"/>
    <s v="G"/>
    <s v="Y"/>
    <n v="0"/>
    <n v="2"/>
    <n v="0"/>
    <n v="1"/>
    <n v="1"/>
    <n v="11"/>
    <n v="0"/>
    <n v="0"/>
    <n v="0"/>
    <n v="0"/>
    <n v="0"/>
    <n v="0"/>
    <n v="100"/>
    <n v="100"/>
    <n v="564095"/>
    <n v="400507"/>
    <n v="976"/>
    <n v="365"/>
    <n v="365"/>
    <n v="246"/>
    <d v="2021-04-30T00:00:00"/>
    <s v="E031060"/>
    <n v="370150"/>
    <n v="358351"/>
    <s v="SWD"/>
    <n v="30"/>
    <s v="N"/>
    <s v="Y"/>
    <n v="478900"/>
    <n v="61700"/>
    <n v="417200"/>
    <n v="11799"/>
    <n v="1.293799810887478"/>
    <n v="406539.5877292268"/>
    <n v="460997.51318987273"/>
    <n v="-54457.925468470006"/>
    <n v="0"/>
    <n v="89850.625589999996"/>
    <n v="-47929.131559187132"/>
    <n v="74268.409664999999"/>
    <n v="160472.20319"/>
    <n v="-11375.3256255"/>
    <n v="96939.810298673998"/>
    <n v="0"/>
    <n v="0"/>
    <n v="57058.678474613997"/>
    <n v="41712.243157199999"/>
    <n v="0"/>
    <n v="406539.58772233082"/>
    <n v="11800"/>
    <n v="364600"/>
    <n v="41900"/>
    <n v="418300"/>
    <n v="1.1300823990274214"/>
    <n v="-0.12653998747128836"/>
    <n v="0.99970000000000003"/>
    <n v="0.98380000000000001"/>
    <n v="0.99729999999999996"/>
    <n v="0.96179999999999999"/>
    <n v="0.995"/>
    <n v="0.94971499999999998"/>
    <n v="0.89173084290929039"/>
    <n v="419100"/>
    <n v="11200"/>
    <n v="430300"/>
    <n v="39800"/>
    <n v="470100"/>
    <n v="3.1399808245445832E-2"/>
    <n v="-0.35494327390599678"/>
    <n v="-1.837544372520359E-2"/>
    <n v="1.1229017277631499"/>
  </r>
  <r>
    <n v="2025"/>
    <n v="18132214480"/>
    <n v="-1.7147984280919266"/>
    <n v="0.18"/>
    <n v="7853"/>
    <n v="6"/>
    <s v="RES"/>
    <n v="3033"/>
    <s v="YC2"/>
    <s v="R1"/>
    <n v="11"/>
    <n v="259"/>
    <s v="TD"/>
    <x v="2"/>
    <s v="AV"/>
    <x v="6"/>
    <n v="1950"/>
    <n v="1973"/>
    <n v="74"/>
    <n v="51"/>
    <n v="1"/>
    <n v="1388"/>
    <n v="0"/>
    <n v="0"/>
    <n v="1388"/>
    <n v="694"/>
    <n v="694"/>
    <n v="2082"/>
    <n v="2500"/>
    <n v="2"/>
    <s v="B"/>
    <s v="FD"/>
    <s v="G"/>
    <s v="Y"/>
    <n v="0"/>
    <n v="1"/>
    <n v="0"/>
    <n v="0"/>
    <n v="1"/>
    <n v="7"/>
    <n v="704"/>
    <n v="0"/>
    <n v="0"/>
    <n v="0"/>
    <n v="559"/>
    <n v="559"/>
    <n v="100"/>
    <n v="100"/>
    <n v="359567"/>
    <n v="251697"/>
    <n v="1081"/>
    <n v="365"/>
    <n v="365"/>
    <n v="351"/>
    <d v="2021-01-15T00:00:00"/>
    <s v="E029815"/>
    <n v="248230"/>
    <n v="248230"/>
    <s v="SWD"/>
    <n v="30"/>
    <s v="N"/>
    <s v="Y"/>
    <n v="339700"/>
    <n v="54700"/>
    <n v="285000"/>
    <n v="0"/>
    <n v="1.3684889014220682"/>
    <n v="281470.66481592308"/>
    <n v="349969.37012842722"/>
    <n v="-68498.705322969996"/>
    <n v="0"/>
    <n v="89850.625589999996"/>
    <n v="-54281.285314520763"/>
    <n v="29814.093161000001"/>
    <n v="160472.20319"/>
    <n v="-11375.3256255"/>
    <n v="68579.233789275997"/>
    <n v="0"/>
    <n v="0"/>
    <n v="40365.670602835999"/>
    <n v="26544.1547364"/>
    <n v="0"/>
    <n v="281470.66480652126"/>
    <n v="0"/>
    <n v="245900"/>
    <n v="35600"/>
    <n v="281500"/>
    <n v="1.1340289247874955"/>
    <n v="-0.17132764203709155"/>
    <n v="0.99970000000000003"/>
    <n v="1.0088999999999999"/>
    <n v="0.99729999999999996"/>
    <n v="0.98919999999999997"/>
    <n v="0.995"/>
    <n v="0.94971499999999998"/>
    <n v="0.94053384219145564"/>
    <n v="314400"/>
    <n v="0"/>
    <n v="314400"/>
    <n v="33800"/>
    <n v="348200"/>
    <n v="0.1031578947368421"/>
    <n v="-0.38208409506398539"/>
    <n v="2.5022078304386224E-2"/>
    <n v="1.1267828009387666"/>
  </r>
  <r>
    <n v="2025"/>
    <n v="18132324427"/>
    <n v="-1.4696759700589417"/>
    <n v="0.23"/>
    <n v="9863"/>
    <n v="6"/>
    <s v="RES"/>
    <n v="3033"/>
    <s v="YC2"/>
    <s v="R1"/>
    <n v="11"/>
    <n v="259"/>
    <s v="RN"/>
    <x v="1"/>
    <s v="GD"/>
    <x v="6"/>
    <n v="1950"/>
    <n v="1973"/>
    <n v="74"/>
    <n v="51"/>
    <n v="1"/>
    <n v="1449"/>
    <n v="0"/>
    <n v="0"/>
    <n v="1089"/>
    <n v="327"/>
    <n v="762"/>
    <n v="2211"/>
    <n v="2500"/>
    <n v="1"/>
    <m/>
    <s v="FD"/>
    <s v="G"/>
    <s v="Y"/>
    <n v="0"/>
    <n v="2"/>
    <n v="0"/>
    <n v="1"/>
    <n v="1"/>
    <n v="12"/>
    <n v="0"/>
    <n v="360"/>
    <n v="0"/>
    <n v="0"/>
    <n v="352"/>
    <n v="352"/>
    <n v="100"/>
    <n v="100"/>
    <n v="431386"/>
    <n v="336481"/>
    <n v="385"/>
    <n v="365"/>
    <n v="20"/>
    <n v="0"/>
    <d v="2022-12-12T00:00:00"/>
    <s v="E038978"/>
    <n v="350000"/>
    <n v="350000"/>
    <s v="SWD"/>
    <n v="30"/>
    <s v="N"/>
    <s v="Y"/>
    <n v="398500"/>
    <n v="63300"/>
    <n v="335200"/>
    <n v="0"/>
    <n v="1.1385714285714286"/>
    <n v="397070.19069462718"/>
    <n v="422594.26900809049"/>
    <n v="-25524.07831501"/>
    <n v="0"/>
    <n v="89850.625589999996"/>
    <n v="-46522.028095997222"/>
    <n v="44121.038090000002"/>
    <n v="197752.34721000001"/>
    <n v="-11375.3256255"/>
    <n v="71593.162651773004"/>
    <n v="0"/>
    <n v="0"/>
    <n v="31670.183923982997"/>
    <n v="45504.265262400004"/>
    <n v="0"/>
    <n v="397070.19069164875"/>
    <n v="0"/>
    <n v="353700"/>
    <n v="43300"/>
    <n v="397000"/>
    <n v="1.1342857142857143"/>
    <n v="-3.7641154328732747E-3"/>
    <n v="0.99970000000000003"/>
    <n v="0.98050000000000004"/>
    <n v="0.99650000000000005"/>
    <n v="0.98919999999999997"/>
    <n v="0.995"/>
    <n v="0.94971499999999998"/>
    <n v="0.91332508691872449"/>
    <n v="379300"/>
    <n v="0"/>
    <n v="379300"/>
    <n v="41100"/>
    <n v="420400"/>
    <n v="0.13156324582338902"/>
    <n v="-0.35071090047393366"/>
    <n v="5.4956085319949811E-2"/>
    <n v="1.1282169190999713"/>
  </r>
  <r>
    <n v="2025"/>
    <n v="18132243047"/>
    <n v="-0.89159811928378363"/>
    <n v="0.41"/>
    <n v="17755"/>
    <n v="6"/>
    <s v="RES"/>
    <n v="3093"/>
    <s v="YC2"/>
    <s v="R1"/>
    <n v="11"/>
    <n v="259"/>
    <s v="RN"/>
    <x v="0"/>
    <s v="AV"/>
    <x v="6"/>
    <n v="1950"/>
    <n v="1973"/>
    <n v="74"/>
    <n v="51"/>
    <n v="1"/>
    <n v="1167"/>
    <n v="0"/>
    <n v="0"/>
    <n v="1167"/>
    <n v="1167"/>
    <n v="0"/>
    <n v="1167"/>
    <n v="1500"/>
    <n v="0"/>
    <m/>
    <s v="FD"/>
    <s v="G"/>
    <s v="Y"/>
    <n v="0"/>
    <n v="1"/>
    <n v="0"/>
    <n v="0"/>
    <n v="0"/>
    <n v="6"/>
    <n v="0"/>
    <n v="0"/>
    <n v="0"/>
    <n v="0"/>
    <n v="488"/>
    <n v="488"/>
    <n v="100"/>
    <n v="100"/>
    <n v="217686"/>
    <n v="152380"/>
    <n v="194"/>
    <n v="194"/>
    <n v="0"/>
    <n v="0"/>
    <d v="2023-06-21T00:00:00"/>
    <s v="E040619"/>
    <n v="290000"/>
    <n v="281302"/>
    <s v="SWD"/>
    <n v="30"/>
    <s v="N"/>
    <s v="Y"/>
    <n v="329200"/>
    <n v="83400"/>
    <n v="245800"/>
    <n v="8698"/>
    <n v="1.1351724137931034"/>
    <n v="332943.96834523213"/>
    <n v="346632.25847899279"/>
    <n v="-13688.290134580002"/>
    <n v="0"/>
    <n v="89850.625589999996"/>
    <n v="-28223.195861326454"/>
    <n v="21557.329055999999"/>
    <n v="160472.20319"/>
    <n v="-11375.3256255"/>
    <n v="57659.917746459003"/>
    <n v="0"/>
    <n v="0"/>
    <n v="33938.571753249002"/>
    <n v="22752.132631200002"/>
    <n v="0"/>
    <n v="332943.96834550152"/>
    <n v="8700"/>
    <n v="271300"/>
    <n v="61600"/>
    <n v="341600"/>
    <n v="1.1779310344827587"/>
    <n v="3.7667071688942892E-2"/>
    <n v="0.99970000000000003"/>
    <n v="1.0067999999999999"/>
    <n v="0.99729999999999996"/>
    <n v="1.0157"/>
    <n v="0.995"/>
    <n v="0.94971499999999998"/>
    <n v="0.96371996573175212"/>
    <n v="285000"/>
    <n v="8300"/>
    <n v="293300"/>
    <n v="58500"/>
    <n v="351800"/>
    <n v="0.19324654190398699"/>
    <n v="-0.29856115107913667"/>
    <n v="6.865127582017011E-2"/>
    <n v="1.1659024478117932"/>
  </r>
  <r>
    <n v="2025"/>
    <n v="18132244004"/>
    <n v="-1.5606477482646683"/>
    <n v="0.21"/>
    <n v="9101"/>
    <n v="6"/>
    <s v="RES"/>
    <n v="3092"/>
    <s v="YC2"/>
    <s v="R1"/>
    <n v="11"/>
    <n v="259"/>
    <s v="TD"/>
    <x v="1"/>
    <s v="GD"/>
    <x v="6"/>
    <n v="1949"/>
    <n v="1973"/>
    <n v="75"/>
    <n v="51"/>
    <n v="1"/>
    <n v="1624"/>
    <n v="0"/>
    <n v="0"/>
    <n v="744"/>
    <n v="0"/>
    <n v="744"/>
    <n v="2368"/>
    <n v="2500"/>
    <n v="2"/>
    <m/>
    <s v="FD"/>
    <s v="G"/>
    <s v="Y"/>
    <n v="0"/>
    <n v="0"/>
    <n v="1"/>
    <n v="0"/>
    <n v="0"/>
    <n v="13"/>
    <n v="500"/>
    <n v="0"/>
    <n v="0"/>
    <n v="380"/>
    <n v="0"/>
    <n v="0"/>
    <n v="100"/>
    <n v="100"/>
    <n v="421729"/>
    <n v="328949"/>
    <n v="782"/>
    <n v="365"/>
    <n v="365"/>
    <n v="52"/>
    <d v="2021-11-10T00:00:00"/>
    <s v="E034005"/>
    <n v="405000"/>
    <n v="405000"/>
    <s v="SWD"/>
    <n v="30"/>
    <s v="N"/>
    <s v="Y"/>
    <n v="398800"/>
    <n v="60100"/>
    <n v="338700"/>
    <n v="0"/>
    <n v="0.98469135802469132"/>
    <n v="406256.26044083043"/>
    <n v="434772.17360375717"/>
    <n v="-28515.913165870003"/>
    <n v="0"/>
    <n v="89850.625589999996"/>
    <n v="-49401.70477837498"/>
    <n v="44121.038090000002"/>
    <n v="197752.34721000001"/>
    <n v="-11375.3256255"/>
    <n v="80239.679880248004"/>
    <n v="0"/>
    <n v="0"/>
    <n v="21636.930063767999"/>
    <n v="49296.287367600002"/>
    <n v="12652.295804880001"/>
    <n v="406256.26043675101"/>
    <n v="0"/>
    <n v="365800"/>
    <n v="40400"/>
    <n v="406200"/>
    <n v="1.0029629629629631"/>
    <n v="1.8555667001003008E-2"/>
    <n v="0.99970000000000003"/>
    <n v="0.98050000000000004"/>
    <n v="0.99650000000000005"/>
    <n v="0.98919999999999997"/>
    <n v="0.995"/>
    <n v="0.94971499999999998"/>
    <n v="0.91332508691872449"/>
    <n v="394300"/>
    <n v="0"/>
    <n v="394300"/>
    <n v="38400"/>
    <n v="432700"/>
    <n v="0.16415707115441394"/>
    <n v="-0.36106489184692181"/>
    <n v="8.5005015045135413E-2"/>
    <n v="0.99798539959044441"/>
  </r>
  <r>
    <n v="2025"/>
    <n v="18132313532"/>
    <n v="-1.7719568419318752"/>
    <n v="0.17"/>
    <n v="7348"/>
    <n v="6"/>
    <s v="RES"/>
    <n v="3033"/>
    <s v="YC2"/>
    <s v="R1"/>
    <n v="11"/>
    <n v="259"/>
    <s v="CC"/>
    <x v="0"/>
    <s v="AV"/>
    <x v="6"/>
    <n v="1949"/>
    <n v="1973"/>
    <n v="75"/>
    <n v="51"/>
    <n v="2"/>
    <n v="951"/>
    <n v="713"/>
    <n v="0"/>
    <n v="951"/>
    <n v="951"/>
    <n v="0"/>
    <n v="1664"/>
    <n v="2000"/>
    <n v="0"/>
    <m/>
    <s v="FD"/>
    <s v="G"/>
    <s v="Y"/>
    <n v="0"/>
    <n v="1"/>
    <n v="0"/>
    <n v="0"/>
    <n v="1"/>
    <n v="8"/>
    <n v="0"/>
    <n v="0"/>
    <n v="0"/>
    <n v="0"/>
    <n v="25"/>
    <n v="0"/>
    <n v="100"/>
    <n v="100"/>
    <n v="250624"/>
    <n v="175437"/>
    <n v="300"/>
    <n v="300"/>
    <n v="0"/>
    <n v="0"/>
    <d v="2023-03-07T00:00:00"/>
    <s v="E039614"/>
    <n v="285000"/>
    <n v="279421"/>
    <s v="SWD"/>
    <n v="30"/>
    <s v="N"/>
    <s v="Y"/>
    <n v="320400"/>
    <n v="52700"/>
    <n v="267700"/>
    <n v="5579"/>
    <n v="1.1242105263157895"/>
    <n v="320160.18407318537"/>
    <n v="341327.64304291835"/>
    <n v="-21167.458971000004"/>
    <n v="0"/>
    <n v="89850.625589999996"/>
    <n v="-56090.612940989391"/>
    <n v="21557.329055999999"/>
    <n v="160472.20319"/>
    <n v="-11375.3256255"/>
    <n v="46987.645053027001"/>
    <n v="31932.719499892999"/>
    <n v="0"/>
    <n v="27656.882379896997"/>
    <n v="30336.176841600001"/>
    <n v="0"/>
    <n v="320160.18407292757"/>
    <n v="5600"/>
    <n v="286400"/>
    <n v="33800"/>
    <n v="325800"/>
    <n v="1.1431578947368422"/>
    <n v="1.6853932584269662E-2"/>
    <n v="0.99970000000000003"/>
    <n v="1.0067999999999999"/>
    <n v="0.99729999999999996"/>
    <n v="1.0093000000000001"/>
    <n v="0.995"/>
    <n v="0.94971499999999998"/>
    <n v="0.957647495730095"/>
    <n v="307600"/>
    <n v="5300"/>
    <n v="312900"/>
    <n v="32100"/>
    <n v="345000"/>
    <n v="0.16884572282405677"/>
    <n v="-0.39089184060721061"/>
    <n v="7.6779026217228458E-2"/>
    <n v="1.1362545299263158"/>
  </r>
  <r>
    <n v="2025"/>
    <n v="18132331462"/>
    <n v="-1.7147984280919266"/>
    <n v="0.18"/>
    <n v="0"/>
    <n v="6"/>
    <s v="RES"/>
    <n v="3032"/>
    <s v="YC2"/>
    <s v="R1"/>
    <n v="11"/>
    <n v="259"/>
    <s v="TD"/>
    <x v="0"/>
    <s v="AV"/>
    <x v="6"/>
    <n v="1948"/>
    <n v="1973"/>
    <n v="76"/>
    <n v="51"/>
    <n v="1"/>
    <n v="950"/>
    <n v="0"/>
    <n v="0"/>
    <n v="950"/>
    <n v="200"/>
    <n v="750"/>
    <n v="1700"/>
    <n v="2000"/>
    <n v="0"/>
    <m/>
    <s v="FD"/>
    <s v="E"/>
    <s v="Y"/>
    <n v="0"/>
    <n v="1"/>
    <n v="0"/>
    <n v="0"/>
    <n v="0"/>
    <n v="9"/>
    <n v="0"/>
    <n v="0"/>
    <n v="0"/>
    <n v="0"/>
    <n v="0"/>
    <n v="0"/>
    <n v="100"/>
    <n v="100"/>
    <n v="214371"/>
    <n v="150060"/>
    <n v="915"/>
    <n v="365"/>
    <n v="365"/>
    <n v="185"/>
    <d v="2021-06-30T00:00:00"/>
    <s v="E032011"/>
    <n v="318274"/>
    <n v="313560"/>
    <s v="SWD"/>
    <n v="30"/>
    <s v="N"/>
    <s v="Y"/>
    <n v="308600"/>
    <n v="54700"/>
    <n v="253900"/>
    <n v="4714"/>
    <n v="0.96960480592194143"/>
    <n v="268616.88173432293"/>
    <n v="314917.78270960361"/>
    <n v="-46300.900981570005"/>
    <n v="0"/>
    <n v="89850.625589999996"/>
    <n v="-54281.285314520763"/>
    <n v="21557.329055999999"/>
    <n v="160472.20319"/>
    <n v="-11375.3256255"/>
    <n v="46938.236383150004"/>
    <n v="0"/>
    <n v="0"/>
    <n v="27627.800484649997"/>
    <n v="34128.198946800003"/>
    <n v="0"/>
    <n v="268616.88172900927"/>
    <n v="4700"/>
    <n v="233000"/>
    <n v="35600"/>
    <n v="273300"/>
    <n v="0.85869408120047508"/>
    <n v="-0.11438755670771225"/>
    <n v="0.99970000000000003"/>
    <n v="1.0067999999999999"/>
    <n v="0.99729999999999996"/>
    <n v="1.0093000000000001"/>
    <n v="0.995"/>
    <n v="0.94971499999999998"/>
    <n v="0.957647495730095"/>
    <n v="279300"/>
    <n v="4500"/>
    <n v="283800"/>
    <n v="33800"/>
    <n v="317600"/>
    <n v="0.11776289877904687"/>
    <n v="-0.38208409506398539"/>
    <n v="2.916396629941672E-2"/>
    <n v="0.85240735661232148"/>
  </r>
  <r>
    <n v="2025"/>
    <n v="18132243470"/>
    <n v="-1.7147984280919266"/>
    <n v="0.18"/>
    <n v="7917"/>
    <n v="6"/>
    <s v="RES"/>
    <n v="3093"/>
    <s v="YC2"/>
    <s v="R1"/>
    <n v="11"/>
    <n v="259"/>
    <s v="RN"/>
    <x v="0"/>
    <s v="AV"/>
    <x v="6"/>
    <n v="1948"/>
    <n v="1973"/>
    <n v="76"/>
    <n v="51"/>
    <n v="1"/>
    <n v="1364"/>
    <n v="0"/>
    <n v="0"/>
    <n v="0"/>
    <n v="0"/>
    <n v="0"/>
    <n v="1364"/>
    <n v="1500"/>
    <n v="0"/>
    <s v="B"/>
    <s v="FD"/>
    <s v="G"/>
    <s v="N"/>
    <n v="0"/>
    <n v="0"/>
    <n v="0"/>
    <n v="0"/>
    <n v="0"/>
    <n v="5"/>
    <n v="0"/>
    <n v="0"/>
    <n v="276"/>
    <n v="0"/>
    <n v="648"/>
    <n v="0"/>
    <n v="100"/>
    <n v="100"/>
    <n v="200028"/>
    <n v="140020"/>
    <n v="950"/>
    <n v="365"/>
    <n v="365"/>
    <n v="220"/>
    <d v="2021-05-26T00:00:00"/>
    <s v="E031586"/>
    <n v="254000"/>
    <n v="254000"/>
    <s v="SWD"/>
    <n v="30"/>
    <s v="N"/>
    <s v="Y"/>
    <n v="284600"/>
    <n v="54700"/>
    <n v="229900"/>
    <n v="0"/>
    <n v="1.1204724409448819"/>
    <n v="241595.92220669755"/>
    <n v="292577.08313259762"/>
    <n v="-50981.160933070001"/>
    <n v="0"/>
    <n v="89850.625589999996"/>
    <n v="-54281.285314520763"/>
    <n v="21557.329055999999"/>
    <n v="160472.20319"/>
    <n v="-11375.3256255"/>
    <n v="67393.425712227996"/>
    <n v="0"/>
    <n v="0"/>
    <n v="0"/>
    <n v="18960.110526"/>
    <n v="0"/>
    <n v="241595.92220113723"/>
    <n v="0"/>
    <n v="206000"/>
    <n v="35600"/>
    <n v="241600"/>
    <n v="0.95118110236220477"/>
    <n v="-0.1510892480674631"/>
    <n v="0.99970000000000003"/>
    <n v="1.0067999999999999"/>
    <n v="0.99729999999999996"/>
    <n v="1.0157"/>
    <n v="0.995"/>
    <n v="0.94971499999999998"/>
    <n v="0.96371996573175212"/>
    <n v="257000"/>
    <n v="0"/>
    <n v="257000"/>
    <n v="33800"/>
    <n v="290800"/>
    <n v="0.11787733797303175"/>
    <n v="-0.38208409506398539"/>
    <n v="2.1784961349262121E-2"/>
    <n v="0.94416865774381886"/>
  </r>
  <r>
    <n v="2025"/>
    <n v="18132313511"/>
    <n v="-1.8325814637483102"/>
    <n v="0.16"/>
    <n v="7001"/>
    <n v="6"/>
    <s v="RES"/>
    <n v="3033"/>
    <s v="YC2"/>
    <s v="R1"/>
    <n v="11"/>
    <n v="400"/>
    <s v="BG"/>
    <x v="0"/>
    <s v="GD"/>
    <x v="6"/>
    <n v="1948"/>
    <n v="1973"/>
    <n v="76"/>
    <n v="51"/>
    <n v="1"/>
    <n v="1101"/>
    <n v="0"/>
    <n v="0"/>
    <n v="672"/>
    <n v="21"/>
    <n v="651"/>
    <n v="1752"/>
    <n v="2000"/>
    <n v="0"/>
    <m/>
    <s v="FD"/>
    <s v="G"/>
    <s v="Y"/>
    <n v="0"/>
    <n v="1"/>
    <n v="0"/>
    <n v="0"/>
    <n v="0"/>
    <n v="5"/>
    <n v="0"/>
    <n v="0"/>
    <n v="0"/>
    <n v="0"/>
    <n v="360"/>
    <n v="144"/>
    <n v="100"/>
    <n v="100"/>
    <n v="226894"/>
    <n v="176977"/>
    <n v="509"/>
    <n v="365"/>
    <n v="144"/>
    <n v="0"/>
    <d v="2022-08-10T00:00:00"/>
    <s v="E037642"/>
    <n v="330000"/>
    <n v="323076"/>
    <s v="SWD"/>
    <n v="30"/>
    <s v="N"/>
    <s v="Y"/>
    <n v="321300"/>
    <n v="50600"/>
    <n v="270700"/>
    <n v="6924"/>
    <n v="0.97363636363636363"/>
    <n v="308577.23882039299"/>
    <n v="332677.4038489766"/>
    <n v="-24100.165030161999"/>
    <n v="0"/>
    <n v="89850.625589999996"/>
    <n v="-58009.662049032086"/>
    <n v="21557.329055999999"/>
    <n v="197752.34721000001"/>
    <n v="-11375.3256255"/>
    <n v="54398.945534577004"/>
    <n v="0"/>
    <n v="0"/>
    <n v="19543.033605983997"/>
    <n v="18960.110526"/>
    <n v="0"/>
    <n v="308577.23881786689"/>
    <n v="6900"/>
    <n v="276700"/>
    <n v="31800"/>
    <n v="315400"/>
    <n v="0.95575757575757581"/>
    <n v="-1.8362900715841891E-2"/>
    <n v="0.99970000000000003"/>
    <n v="1.0067999999999999"/>
    <n v="0.99650000000000005"/>
    <n v="1.0093000000000001"/>
    <n v="0.995"/>
    <n v="0.94971499999999998"/>
    <n v="0.95687930361479956"/>
    <n v="300800"/>
    <n v="6600"/>
    <n v="307400"/>
    <n v="30200"/>
    <n v="337600"/>
    <n v="0.13557443664573329"/>
    <n v="-0.40316205533596838"/>
    <n v="5.0731403672580146E-2"/>
    <n v="0.94999949990859989"/>
  </r>
  <r>
    <n v="2025"/>
    <n v="18132241439"/>
    <n v="-1.6094379124341003"/>
    <n v="0.2"/>
    <n v="8680"/>
    <n v="6"/>
    <s v="RES"/>
    <n v="3093"/>
    <s v="YC2"/>
    <s v="R1"/>
    <n v="11"/>
    <n v="259"/>
    <s v="TD"/>
    <x v="2"/>
    <s v="AV"/>
    <x v="6"/>
    <n v="1948"/>
    <n v="1973"/>
    <n v="76"/>
    <n v="51"/>
    <n v="1"/>
    <n v="1269"/>
    <n v="0"/>
    <n v="0"/>
    <n v="1259"/>
    <n v="659"/>
    <n v="600"/>
    <n v="1869"/>
    <n v="2000"/>
    <n v="0"/>
    <m/>
    <s v="FD"/>
    <s v="G"/>
    <s v="Y"/>
    <n v="0"/>
    <n v="1"/>
    <n v="0"/>
    <n v="1"/>
    <n v="0"/>
    <n v="9"/>
    <n v="0"/>
    <n v="0"/>
    <n v="0"/>
    <n v="0"/>
    <n v="340"/>
    <n v="200"/>
    <n v="100"/>
    <n v="100"/>
    <n v="316731"/>
    <n v="221712"/>
    <n v="293"/>
    <n v="293"/>
    <n v="0"/>
    <n v="0"/>
    <d v="2023-03-14T00:00:00"/>
    <s v="E039654"/>
    <n v="330000"/>
    <n v="323976"/>
    <s v="SWD"/>
    <n v="30"/>
    <s v="N"/>
    <s v="Y"/>
    <n v="342400"/>
    <n v="58400"/>
    <n v="284000"/>
    <n v="6024"/>
    <n v="1.0375757575757576"/>
    <n v="330583.81318026368"/>
    <n v="351257.36477403616"/>
    <n v="-20673.551595010002"/>
    <n v="0"/>
    <n v="89850.625589999996"/>
    <n v="-50946.13867709865"/>
    <n v="29814.093161000001"/>
    <n v="160472.20319"/>
    <n v="-11375.3256255"/>
    <n v="62699.602073913004"/>
    <n v="0"/>
    <n v="0"/>
    <n v="36614.106115973002"/>
    <n v="34128.198946800003"/>
    <n v="0"/>
    <n v="330583.81318007741"/>
    <n v="6000"/>
    <n v="291700"/>
    <n v="38900"/>
    <n v="336600"/>
    <n v="1.02"/>
    <n v="-1.6939252336448597E-2"/>
    <n v="0.99970000000000003"/>
    <n v="1.0088999999999999"/>
    <n v="0.99729999999999996"/>
    <n v="1.0093000000000001"/>
    <n v="0.995"/>
    <n v="0.94971499999999998"/>
    <n v="0.9596449726282209"/>
    <n v="312400"/>
    <n v="5700"/>
    <n v="318100"/>
    <n v="36900"/>
    <n v="355000"/>
    <n v="0.12007042253521127"/>
    <n v="-0.36815068493150682"/>
    <n v="3.6799065420560745E-2"/>
    <n v="1.0131104497120911"/>
  </r>
  <r>
    <n v="2025"/>
    <n v="18132324012"/>
    <n v="-1.7147984280919266"/>
    <n v="0.18"/>
    <n v="0"/>
    <n v="6"/>
    <s v="RES"/>
    <n v="3033"/>
    <s v="YC2"/>
    <s v="R1"/>
    <n v="11"/>
    <n v="259"/>
    <s v="TD"/>
    <x v="2"/>
    <s v="GD"/>
    <x v="6"/>
    <n v="1948"/>
    <n v="1973"/>
    <n v="76"/>
    <n v="51"/>
    <n v="1"/>
    <n v="814"/>
    <n v="0"/>
    <n v="0"/>
    <n v="814"/>
    <n v="114"/>
    <n v="700"/>
    <n v="1514"/>
    <n v="2000"/>
    <n v="0"/>
    <m/>
    <s v="HP"/>
    <s v="E"/>
    <m/>
    <n v="0"/>
    <n v="1"/>
    <n v="0"/>
    <n v="1"/>
    <n v="0"/>
    <n v="8"/>
    <n v="0"/>
    <n v="0"/>
    <n v="0"/>
    <n v="0"/>
    <n v="220"/>
    <n v="0"/>
    <n v="100"/>
    <n v="100"/>
    <n v="219001"/>
    <n v="170821"/>
    <n v="187"/>
    <n v="187"/>
    <n v="0"/>
    <n v="0"/>
    <d v="2023-06-28T00:00:00"/>
    <s v="E040694"/>
    <n v="315000"/>
    <n v="309579"/>
    <s v="SWD"/>
    <n v="30"/>
    <s v="N"/>
    <s v="Y"/>
    <n v="326000"/>
    <n v="54700"/>
    <n v="271300"/>
    <n v="5421"/>
    <n v="1.034920634920635"/>
    <n v="332793.56911671598"/>
    <n v="345987.95187451621"/>
    <n v="-13194.382758590002"/>
    <n v="0"/>
    <n v="89850.625589999996"/>
    <n v="-54281.285314520763"/>
    <n v="29814.093161000001"/>
    <n v="197752.34721000001"/>
    <n v="-11375.3256255"/>
    <n v="40218.657279878003"/>
    <n v="0"/>
    <n v="0"/>
    <n v="23672.662731057997"/>
    <n v="30336.176841600001"/>
    <n v="0"/>
    <n v="332793.56911492522"/>
    <n v="5400"/>
    <n v="297200"/>
    <n v="35600"/>
    <n v="338200"/>
    <n v="1.0736507936507937"/>
    <n v="3.7423312883435582E-2"/>
    <n v="0.99970000000000003"/>
    <n v="1.0088999999999999"/>
    <n v="0.99650000000000005"/>
    <n v="1.0093000000000001"/>
    <n v="0.995"/>
    <n v="0.94971499999999998"/>
    <n v="0.9588751782051762"/>
    <n v="310400"/>
    <n v="5100"/>
    <n v="315500"/>
    <n v="33800"/>
    <n v="349300"/>
    <n v="0.16291927755252489"/>
    <n v="-0.38208409506398539"/>
    <n v="7.1472392638036814E-2"/>
    <n v="1.0670019594965396"/>
  </r>
  <r>
    <n v="2025"/>
    <n v="18132342525"/>
    <n v="-1.0498221244986778"/>
    <n v="0.35"/>
    <n v="15130"/>
    <n v="6"/>
    <s v="RES"/>
    <n v="3032"/>
    <s v="YC2"/>
    <s v="R1"/>
    <n v="11"/>
    <n v="259"/>
    <s v="RN"/>
    <x v="3"/>
    <s v="GD"/>
    <x v="6"/>
    <n v="1947"/>
    <n v="1973"/>
    <n v="77"/>
    <n v="51"/>
    <n v="1"/>
    <n v="1870"/>
    <n v="0"/>
    <n v="0"/>
    <n v="607"/>
    <n v="320"/>
    <n v="287"/>
    <n v="2157"/>
    <n v="2500"/>
    <n v="2"/>
    <m/>
    <s v="FD"/>
    <s v="G"/>
    <s v="Y"/>
    <n v="0"/>
    <n v="1"/>
    <n v="0"/>
    <n v="2"/>
    <n v="0"/>
    <n v="11"/>
    <n v="0"/>
    <n v="440"/>
    <n v="0"/>
    <n v="0"/>
    <n v="570"/>
    <n v="247"/>
    <n v="100"/>
    <n v="100"/>
    <n v="478980"/>
    <n v="378394"/>
    <n v="1081"/>
    <n v="365"/>
    <n v="365"/>
    <n v="351"/>
    <d v="2021-01-15T00:00:00"/>
    <s v="E029824"/>
    <n v="445000"/>
    <n v="445000"/>
    <s v="SWD"/>
    <n v="30"/>
    <s v="N"/>
    <s v="Y"/>
    <n v="470300"/>
    <n v="77900"/>
    <n v="392400"/>
    <n v="0"/>
    <n v="1.0568539325842696"/>
    <n v="400524.80182231881"/>
    <n v="469023.50713482295"/>
    <n v="-68498.705322969996"/>
    <n v="0"/>
    <n v="89850.625589999996"/>
    <n v="-33231.715947405908"/>
    <n v="74268.409664999999"/>
    <n v="197752.34721000001"/>
    <n v="-11375.3256255"/>
    <n v="92394.212669989996"/>
    <n v="0"/>
    <n v="0"/>
    <n v="17652.710414928999"/>
    <n v="41712.243157199999"/>
    <n v="0"/>
    <n v="400524.80181124312"/>
    <n v="0"/>
    <n v="343900"/>
    <n v="56600"/>
    <n v="400500"/>
    <n v="0.9"/>
    <n v="-0.14841590474165425"/>
    <n v="0.99970000000000003"/>
    <n v="0.98380000000000001"/>
    <n v="0.99650000000000005"/>
    <n v="0.98919999999999997"/>
    <n v="0.995"/>
    <n v="0.94971499999999998"/>
    <n v="0.91639900103074046"/>
    <n v="412400"/>
    <n v="0"/>
    <n v="412400"/>
    <n v="53800"/>
    <n v="466200"/>
    <n v="5.09683995922528E-2"/>
    <n v="-0.30937098844672656"/>
    <n v="-8.7178396768020413E-3"/>
    <n v="0.8937107745551236"/>
  </r>
  <r>
    <n v="2025"/>
    <n v="18132344407"/>
    <n v="-1.5141277326297755"/>
    <n v="0.22"/>
    <n v="0"/>
    <n v="6"/>
    <s v="RES"/>
    <n v="3093"/>
    <s v="YC2"/>
    <s v="R1"/>
    <n v="11"/>
    <n v="400"/>
    <s v="TD"/>
    <x v="2"/>
    <s v="AV"/>
    <x v="6"/>
    <n v="1947"/>
    <n v="1973"/>
    <n v="77"/>
    <n v="51"/>
    <n v="1"/>
    <n v="1184"/>
    <n v="0"/>
    <n v="0"/>
    <n v="1184"/>
    <n v="230"/>
    <n v="954"/>
    <n v="2138"/>
    <n v="2500"/>
    <n v="0"/>
    <m/>
    <s v="FD"/>
    <s v="E"/>
    <s v="Y"/>
    <n v="0"/>
    <n v="2"/>
    <n v="0"/>
    <n v="1"/>
    <n v="0"/>
    <n v="10"/>
    <n v="0"/>
    <n v="0"/>
    <n v="0"/>
    <n v="0"/>
    <n v="0"/>
    <n v="0"/>
    <n v="100"/>
    <n v="100"/>
    <n v="312431"/>
    <n v="218702"/>
    <n v="815"/>
    <n v="365"/>
    <n v="365"/>
    <n v="85"/>
    <d v="2021-10-08T00:00:00"/>
    <s v="E033599"/>
    <n v="330000"/>
    <n v="322745"/>
    <s v="SWD"/>
    <n v="30"/>
    <s v="N"/>
    <s v="Y"/>
    <n v="353200"/>
    <n v="61700"/>
    <n v="291500"/>
    <n v="7255"/>
    <n v="1.0703030303030303"/>
    <n v="318756.78522628342"/>
    <n v="351685.51491407998"/>
    <n v="-32928.729691569999"/>
    <n v="0"/>
    <n v="89850.625589999996"/>
    <n v="-47929.131559187132"/>
    <n v="29814.093161000001"/>
    <n v="160472.20319"/>
    <n v="-11375.3256255"/>
    <n v="58499.865134368003"/>
    <n v="0"/>
    <n v="0"/>
    <n v="34432.963972448"/>
    <n v="37920.221052000001"/>
    <n v="0"/>
    <n v="318756.78522355889"/>
    <n v="7300"/>
    <n v="276800"/>
    <n v="41900"/>
    <n v="326000"/>
    <n v="0.98787878787878791"/>
    <n v="-7.7010192525481316E-2"/>
    <n v="0.99970000000000003"/>
    <n v="1.0088999999999999"/>
    <n v="0.99729999999999996"/>
    <n v="0.98919999999999997"/>
    <n v="0.995"/>
    <n v="0.94971499999999998"/>
    <n v="0.94053384219145564"/>
    <n v="309800"/>
    <n v="6900"/>
    <n v="316700"/>
    <n v="39800"/>
    <n v="356500"/>
    <n v="8.6449399656946826E-2"/>
    <n v="-0.35494327390599678"/>
    <n v="9.3431483578708951E-3"/>
    <n v="0.9805190009346364"/>
  </r>
  <r>
    <n v="2025"/>
    <n v="18132243474"/>
    <n v="-1.1711829815029451"/>
    <n v="0.31"/>
    <n v="13650"/>
    <n v="6"/>
    <s v="RES"/>
    <n v="3093"/>
    <s v="YC2"/>
    <s v="R1"/>
    <n v="11"/>
    <n v="259"/>
    <s v="RN"/>
    <x v="1"/>
    <s v="GD"/>
    <x v="6"/>
    <n v="1947"/>
    <n v="1973"/>
    <n v="77"/>
    <n v="51"/>
    <n v="1"/>
    <n v="1719"/>
    <n v="0"/>
    <n v="0"/>
    <n v="1062"/>
    <n v="216"/>
    <n v="846"/>
    <n v="2565"/>
    <n v="3000"/>
    <n v="0"/>
    <m/>
    <s v="FD"/>
    <s v="G"/>
    <s v="Y"/>
    <n v="0"/>
    <n v="1"/>
    <n v="0"/>
    <n v="2"/>
    <n v="0"/>
    <n v="11"/>
    <n v="0"/>
    <n v="0"/>
    <n v="491"/>
    <n v="0"/>
    <n v="1290"/>
    <n v="0"/>
    <n v="100"/>
    <n v="100"/>
    <n v="445074"/>
    <n v="347158"/>
    <n v="1012"/>
    <n v="365"/>
    <n v="365"/>
    <n v="282"/>
    <d v="2021-03-25T00:00:00"/>
    <n v="458947"/>
    <n v="359000"/>
    <n v="359000"/>
    <s v="SWD"/>
    <n v="30"/>
    <s v="N"/>
    <s v="Y"/>
    <n v="428700"/>
    <n v="73700"/>
    <n v="355000"/>
    <n v="0"/>
    <n v="1.1941504178272981"/>
    <n v="381534.15032787021"/>
    <n v="440806.05745201034"/>
    <n v="-59271.907132870001"/>
    <n v="0"/>
    <n v="89850.625589999996"/>
    <n v="-37073.347241874442"/>
    <n v="44121.038090000002"/>
    <n v="197752.34721000001"/>
    <n v="-11375.3256255"/>
    <n v="84933.503518562997"/>
    <n v="0"/>
    <n v="0"/>
    <n v="30884.972752313999"/>
    <n v="41712.243157199999"/>
    <n v="0"/>
    <n v="381534.15031783254"/>
    <n v="0"/>
    <n v="328800"/>
    <n v="52800"/>
    <n v="381600"/>
    <n v="1.0629526462395542"/>
    <n v="-0.10986703988803359"/>
    <n v="0.99970000000000003"/>
    <n v="0.98050000000000004"/>
    <n v="0.99650000000000005"/>
    <n v="0.96179999999999999"/>
    <n v="0.995"/>
    <n v="0.94971499999999998"/>
    <n v="0.88802675758029637"/>
    <n v="388000"/>
    <n v="0"/>
    <n v="388000"/>
    <n v="50100"/>
    <n v="438100"/>
    <n v="9.295774647887324E-2"/>
    <n v="-0.32021709633649931"/>
    <n v="2.1926755306741312E-2"/>
    <n v="1.0552314564544012"/>
  </r>
  <r>
    <n v="2025"/>
    <n v="18132324457"/>
    <n v="-1.6094379124341003"/>
    <n v="0.2"/>
    <n v="0"/>
    <n v="6"/>
    <s v="RES"/>
    <n v="3033"/>
    <s v="YC2"/>
    <s v="R1"/>
    <n v="11"/>
    <n v="259"/>
    <s v="TD"/>
    <x v="1"/>
    <s v="AV"/>
    <x v="6"/>
    <n v="1947"/>
    <n v="1973"/>
    <n v="77"/>
    <n v="51"/>
    <n v="1"/>
    <n v="1510"/>
    <n v="0"/>
    <n v="0"/>
    <n v="504"/>
    <n v="504"/>
    <n v="0"/>
    <n v="1510"/>
    <n v="2000"/>
    <n v="0"/>
    <m/>
    <s v="FD"/>
    <s v="O"/>
    <s v="N"/>
    <n v="0"/>
    <n v="1"/>
    <n v="0"/>
    <n v="0"/>
    <n v="1"/>
    <n v="8"/>
    <n v="0"/>
    <n v="0"/>
    <n v="832"/>
    <n v="0"/>
    <n v="0"/>
    <n v="0"/>
    <n v="100"/>
    <n v="100"/>
    <n v="344818"/>
    <n v="241373"/>
    <n v="663"/>
    <n v="365"/>
    <n v="298"/>
    <n v="0"/>
    <d v="2022-03-09T00:00:00"/>
    <s v="E035542"/>
    <n v="235000"/>
    <n v="233527"/>
    <s v="SWD"/>
    <n v="30"/>
    <s v="N"/>
    <s v="Y"/>
    <n v="329200"/>
    <n v="58400"/>
    <n v="270800"/>
    <n v="1473"/>
    <n v="1.4008510638297873"/>
    <n v="329391.18953248381"/>
    <n v="351722.94612661999"/>
    <n v="-22331.756595753999"/>
    <n v="0"/>
    <n v="89850.625589999996"/>
    <n v="-50946.13867709865"/>
    <n v="44121.038090000002"/>
    <n v="160472.20319"/>
    <n v="-11375.3256255"/>
    <n v="74607.091514269996"/>
    <n v="0"/>
    <n v="0"/>
    <n v="14657.275204488"/>
    <n v="30336.176841600001"/>
    <n v="0"/>
    <n v="329391.18953200534"/>
    <n v="1500"/>
    <n v="290500"/>
    <n v="38900"/>
    <n v="330900"/>
    <n v="1.4080851063829787"/>
    <n v="5.1640340218712033E-3"/>
    <n v="0.99970000000000003"/>
    <n v="0.98050000000000004"/>
    <n v="0.99729999999999996"/>
    <n v="1.0093000000000001"/>
    <n v="0.995"/>
    <n v="0.94971499999999998"/>
    <n v="0.93263147552975589"/>
    <n v="312800"/>
    <n v="1400"/>
    <n v="314200"/>
    <n v="36900"/>
    <n v="351100"/>
    <n v="0.16026587887740029"/>
    <n v="-0.36815068493150682"/>
    <n v="6.6524908869987853E-2"/>
    <n v="1.3990138017201956"/>
  </r>
  <r>
    <n v="2025"/>
    <n v="18132331408"/>
    <n v="-1.6094379124341003"/>
    <n v="0.2"/>
    <n v="8583"/>
    <n v="6"/>
    <s v="RES"/>
    <n v="3032"/>
    <s v="YC2"/>
    <s v="R1"/>
    <n v="11"/>
    <n v="259"/>
    <s v="RN"/>
    <x v="4"/>
    <s v="GD"/>
    <x v="6"/>
    <n v="1946"/>
    <n v="1972"/>
    <n v="78"/>
    <n v="52"/>
    <n v="1"/>
    <n v="1152"/>
    <n v="0"/>
    <n v="0"/>
    <n v="0"/>
    <n v="0"/>
    <n v="0"/>
    <n v="1152"/>
    <n v="1500"/>
    <n v="0"/>
    <m/>
    <s v="FD"/>
    <s v="G"/>
    <s v="N"/>
    <n v="0"/>
    <n v="0"/>
    <n v="0"/>
    <n v="0"/>
    <n v="1"/>
    <n v="7"/>
    <n v="0"/>
    <n v="0"/>
    <n v="192"/>
    <n v="0"/>
    <n v="288"/>
    <n v="0"/>
    <n v="100"/>
    <n v="100"/>
    <n v="161335"/>
    <n v="124228"/>
    <n v="552"/>
    <n v="365"/>
    <n v="187"/>
    <n v="0"/>
    <d v="2022-06-28T00:00:00"/>
    <s v="E037065"/>
    <n v="325000"/>
    <n v="316908"/>
    <s v="SWD"/>
    <n v="30"/>
    <s v="N"/>
    <s v="Y"/>
    <n v="297800"/>
    <n v="58400"/>
    <n v="239400"/>
    <n v="8092"/>
    <n v="0.91630769230769227"/>
    <n v="284915.01668468839"/>
    <n v="308521.40533222497"/>
    <n v="-23606.388649126002"/>
    <n v="0"/>
    <n v="89850.625589999996"/>
    <n v="-50946.13867709865"/>
    <n v="0"/>
    <n v="197752.34721000001"/>
    <n v="-11598.371226000001"/>
    <n v="56918.787698304004"/>
    <n v="0"/>
    <n v="0"/>
    <n v="0"/>
    <n v="26544.1547364"/>
    <n v="0"/>
    <n v="284915.01668247936"/>
    <n v="8100"/>
    <n v="246000"/>
    <n v="38900"/>
    <n v="293000"/>
    <n v="0.90153846153846151"/>
    <n v="-1.6118200134318333E-2"/>
    <n v="0.99970000000000003"/>
    <n v="0.99180000000000001"/>
    <n v="0.99650000000000005"/>
    <n v="1.0157"/>
    <n v="0.995"/>
    <n v="0.94971499999999998"/>
    <n v="0.94860025614621091"/>
    <n v="269600"/>
    <n v="7700"/>
    <n v="277300"/>
    <n v="36900"/>
    <n v="314200"/>
    <n v="0.15831244778613199"/>
    <n v="-0.36815068493150682"/>
    <n v="5.5070517125587644E-2"/>
    <n v="0.89413418877192008"/>
  </r>
  <r>
    <n v="2025"/>
    <n v="18132344445"/>
    <n v="-1.8971199848858813"/>
    <n v="0.15"/>
    <n v="6500"/>
    <n v="6"/>
    <s v="RES"/>
    <n v="3093"/>
    <s v="YC2"/>
    <s v="R1"/>
    <n v="11"/>
    <n v="259"/>
    <s v="TD"/>
    <x v="4"/>
    <s v="AV"/>
    <x v="6"/>
    <n v="1945"/>
    <n v="1972"/>
    <n v="79"/>
    <n v="52"/>
    <n v="1"/>
    <n v="1092"/>
    <n v="0"/>
    <n v="0"/>
    <n v="110"/>
    <n v="0"/>
    <n v="110"/>
    <n v="1202"/>
    <n v="1500"/>
    <n v="0"/>
    <m/>
    <s v="FD"/>
    <s v="G"/>
    <m/>
    <n v="1"/>
    <n v="0"/>
    <n v="0"/>
    <n v="0"/>
    <n v="0"/>
    <n v="5"/>
    <n v="0"/>
    <n v="0"/>
    <n v="0"/>
    <n v="182"/>
    <n v="0"/>
    <n v="182"/>
    <n v="100"/>
    <n v="100"/>
    <n v="174928"/>
    <n v="120700"/>
    <n v="860"/>
    <n v="365"/>
    <n v="365"/>
    <n v="130"/>
    <d v="2021-08-24T00:00:00"/>
    <s v="E032814"/>
    <n v="285000"/>
    <n v="278566"/>
    <s v="SWD"/>
    <n v="30"/>
    <s v="N"/>
    <s v="Y"/>
    <n v="252700"/>
    <n v="48400"/>
    <n v="204300"/>
    <n v="6434"/>
    <n v="0.88666666666666671"/>
    <n v="221898.81693818345"/>
    <n v="260845.02370534782"/>
    <n v="-38946.20677207"/>
    <n v="0"/>
    <n v="89850.625589999996"/>
    <n v="-60052.604136134301"/>
    <n v="0"/>
    <n v="160472.20319"/>
    <n v="-11598.371226000001"/>
    <n v="53954.267505684002"/>
    <n v="0"/>
    <n v="0"/>
    <n v="3199.0084771699999"/>
    <n v="18960.110526"/>
    <n v="6059.7837802320009"/>
    <n v="221898.8169348817"/>
    <n v="6400"/>
    <n v="192100"/>
    <n v="29800"/>
    <n v="228300"/>
    <n v="0.80105263157894735"/>
    <n v="-9.6557182429758609E-2"/>
    <n v="0.99970000000000003"/>
    <n v="0.99180000000000001"/>
    <n v="0.99729999999999996"/>
    <n v="1.0157"/>
    <n v="0.995"/>
    <n v="0.94971499999999998"/>
    <n v="0.94936180176077878"/>
    <n v="231000"/>
    <n v="6100"/>
    <n v="237100"/>
    <n v="28300"/>
    <n v="265400"/>
    <n v="0.16054821341164954"/>
    <n v="-0.41528925619834711"/>
    <n v="5.0257222002374355E-2"/>
    <n v="0.79457471308045613"/>
  </r>
  <r>
    <n v="2025"/>
    <n v="18132214026"/>
    <n v="-1.8971199848858813"/>
    <n v="0.15"/>
    <n v="6641"/>
    <n v="6"/>
    <s v="RES"/>
    <n v="3033"/>
    <s v="YC2"/>
    <s v="R1"/>
    <n v="11"/>
    <n v="259"/>
    <s v="TD"/>
    <x v="2"/>
    <s v="AV"/>
    <x v="6"/>
    <n v="1945"/>
    <n v="1972"/>
    <n v="79"/>
    <n v="52"/>
    <n v="1"/>
    <n v="1068"/>
    <n v="0"/>
    <n v="0"/>
    <n v="1068"/>
    <n v="0"/>
    <n v="1068"/>
    <n v="2136"/>
    <n v="2500"/>
    <n v="0"/>
    <m/>
    <s v="FD"/>
    <s v="G"/>
    <s v="Y"/>
    <n v="0"/>
    <n v="1"/>
    <n v="0"/>
    <n v="0"/>
    <n v="0"/>
    <n v="10"/>
    <n v="0"/>
    <n v="0"/>
    <n v="0"/>
    <n v="0"/>
    <n v="280"/>
    <n v="0"/>
    <n v="100"/>
    <n v="100"/>
    <n v="285924"/>
    <n v="197288"/>
    <n v="783"/>
    <n v="365"/>
    <n v="365"/>
    <n v="53"/>
    <d v="2021-11-09T00:00:00"/>
    <s v="E034008"/>
    <n v="337000"/>
    <n v="332286"/>
    <s v="SWD"/>
    <n v="30"/>
    <s v="N"/>
    <s v="Y"/>
    <n v="330800"/>
    <n v="48400"/>
    <n v="282400"/>
    <n v="4714"/>
    <n v="0.98160237388724036"/>
    <n v="301584.45630647271"/>
    <n v="330234.09118227434"/>
    <n v="-28649.634878770004"/>
    <n v="0"/>
    <n v="89850.625589999996"/>
    <n v="-60052.604136134301"/>
    <n v="29814.093161000001"/>
    <n v="160472.20319"/>
    <n v="-11598.371226000001"/>
    <n v="52768.459428636001"/>
    <n v="0"/>
    <n v="0"/>
    <n v="31059.464123795999"/>
    <n v="37920.221052000001"/>
    <n v="0"/>
    <n v="301584.4563045277"/>
    <n v="4700"/>
    <n v="271800"/>
    <n v="29800"/>
    <n v="306300"/>
    <n v="0.90890207715133531"/>
    <n v="-7.4062877871825875E-2"/>
    <n v="0.99970000000000003"/>
    <n v="1.0088999999999999"/>
    <n v="0.99729999999999996"/>
    <n v="0.98919999999999997"/>
    <n v="0.995"/>
    <n v="0.94971499999999998"/>
    <n v="0.94053384219145564"/>
    <n v="300400"/>
    <n v="4500"/>
    <n v="304900"/>
    <n v="28300"/>
    <n v="333200"/>
    <n v="7.9674220963172809E-2"/>
    <n v="-0.41528925619834711"/>
    <n v="7.2551390568319227E-3"/>
    <n v="0.90371028225884276"/>
  </r>
  <r>
    <n v="2025"/>
    <n v="18132343422"/>
    <n v="-1.4696759700589417"/>
    <n v="0.23"/>
    <n v="10132"/>
    <n v="6"/>
    <s v="RES"/>
    <s v="YC2"/>
    <s v="YC2"/>
    <s v="R1"/>
    <n v="11"/>
    <n v="259"/>
    <s v="RN"/>
    <x v="1"/>
    <s v="GD"/>
    <x v="6"/>
    <n v="1945"/>
    <n v="1972"/>
    <n v="79"/>
    <n v="52"/>
    <n v="1"/>
    <n v="1474"/>
    <n v="0"/>
    <n v="0"/>
    <n v="1149"/>
    <n v="0"/>
    <n v="1149"/>
    <n v="2623"/>
    <n v="3000"/>
    <n v="1"/>
    <m/>
    <s v="FD"/>
    <s v="G"/>
    <s v="N"/>
    <n v="0"/>
    <n v="2"/>
    <n v="0"/>
    <n v="1"/>
    <n v="1"/>
    <n v="10"/>
    <n v="0"/>
    <n v="325"/>
    <n v="0"/>
    <n v="0"/>
    <n v="340"/>
    <n v="340"/>
    <n v="100"/>
    <n v="100"/>
    <n v="450823"/>
    <n v="347134"/>
    <n v="76"/>
    <n v="76"/>
    <n v="0"/>
    <n v="0"/>
    <d v="2023-10-17T00:00:00"/>
    <s v="E041794"/>
    <n v="435000"/>
    <n v="435000"/>
    <s v="SWD"/>
    <n v="30"/>
    <s v="N"/>
    <s v="Y"/>
    <n v="402300"/>
    <n v="63300"/>
    <n v="339000"/>
    <n v="0"/>
    <n v="0.92482758620689653"/>
    <n v="412404.88671991805"/>
    <n v="417767.30965891707"/>
    <n v="-5362.4229393200003"/>
    <n v="0"/>
    <n v="89850.625589999996"/>
    <n v="-46522.028095997222"/>
    <n v="44121.038090000002"/>
    <n v="197752.34721000001"/>
    <n v="-11598.371226000001"/>
    <n v="72828.379398698002"/>
    <n v="0"/>
    <n v="0"/>
    <n v="33415.097638802996"/>
    <n v="37920.221052000001"/>
    <n v="0"/>
    <n v="412404.88671818376"/>
    <n v="0"/>
    <n v="369100"/>
    <n v="43300"/>
    <n v="412400"/>
    <n v="0.94804597701149429"/>
    <n v="2.5105642555306985E-2"/>
    <n v="0.99970000000000003"/>
    <n v="0.98050000000000004"/>
    <n v="0.99650000000000005"/>
    <n v="0.96179999999999999"/>
    <n v="0.995"/>
    <n v="0.94971499999999998"/>
    <n v="0.88802675758029637"/>
    <n v="374400"/>
    <n v="0"/>
    <n v="374400"/>
    <n v="41100"/>
    <n v="415500"/>
    <n v="0.10442477876106195"/>
    <n v="-0.35071090047393366"/>
    <n v="3.2811334824757642E-2"/>
    <n v="0.94284500473719546"/>
  </r>
  <r>
    <n v="2025"/>
    <n v="18132214443"/>
    <n v="-1.6607312068216509"/>
    <n v="0.19"/>
    <n v="8328"/>
    <n v="6"/>
    <s v="RES"/>
    <n v="3033"/>
    <s v="YC2"/>
    <s v="R1"/>
    <n v="11"/>
    <n v="259"/>
    <s v="TD"/>
    <x v="0"/>
    <s v="GD"/>
    <x v="6"/>
    <n v="1945"/>
    <n v="1972"/>
    <n v="79"/>
    <n v="52"/>
    <n v="1"/>
    <n v="984"/>
    <n v="0"/>
    <n v="0"/>
    <n v="984"/>
    <n v="0"/>
    <n v="984"/>
    <n v="1968"/>
    <n v="2000"/>
    <n v="1"/>
    <m/>
    <s v="FD"/>
    <s v="G"/>
    <s v="Y"/>
    <n v="0"/>
    <n v="1"/>
    <n v="0"/>
    <n v="1"/>
    <n v="0"/>
    <n v="9"/>
    <n v="176"/>
    <n v="0"/>
    <n v="0"/>
    <n v="0"/>
    <n v="0"/>
    <n v="0"/>
    <n v="100"/>
    <n v="100"/>
    <n v="235353"/>
    <n v="181222"/>
    <n v="409"/>
    <n v="365"/>
    <n v="44"/>
    <n v="0"/>
    <d v="2022-11-18T00:00:00"/>
    <s v="E038863"/>
    <n v="340000"/>
    <n v="340000"/>
    <s v="SWD"/>
    <n v="30"/>
    <s v="N"/>
    <s v="Y"/>
    <n v="335100"/>
    <n v="56600"/>
    <n v="278500"/>
    <n v="0"/>
    <n v="0.98558823529411765"/>
    <n v="331106.55526521319"/>
    <n v="356355.03745902237"/>
    <n v="-25248.482195362001"/>
    <n v="0"/>
    <n v="89850.625589999996"/>
    <n v="-52569.808201026557"/>
    <n v="21557.329055999999"/>
    <n v="197752.34721000001"/>
    <n v="-11598.371226000001"/>
    <n v="48618.131158968004"/>
    <n v="0"/>
    <n v="0"/>
    <n v="28616.584923047998"/>
    <n v="34128.198946800003"/>
    <n v="0"/>
    <n v="331106.55526242749"/>
    <n v="0"/>
    <n v="293800"/>
    <n v="37300"/>
    <n v="331100"/>
    <n v="0.97382352941176475"/>
    <n v="-1.1936735302894658E-2"/>
    <n v="0.99970000000000003"/>
    <n v="1.0067999999999999"/>
    <n v="0.99650000000000005"/>
    <n v="1.0093000000000001"/>
    <n v="0.995"/>
    <n v="0.94971499999999998"/>
    <n v="0.95687930361479956"/>
    <n v="319100"/>
    <n v="0"/>
    <n v="319100"/>
    <n v="35400"/>
    <n v="354500"/>
    <n v="0.14578096947935368"/>
    <n v="-0.37455830388692579"/>
    <n v="5.7893166219039095E-2"/>
    <n v="0.96838681707246477"/>
  </r>
  <r>
    <n v="2025"/>
    <n v="18132241456"/>
    <n v="-1.6607312068216509"/>
    <n v="0.19"/>
    <n v="8060"/>
    <n v="6"/>
    <s v="RES"/>
    <n v="3033"/>
    <s v="YC2"/>
    <s v="R1"/>
    <n v="11"/>
    <n v="259"/>
    <s v="TD"/>
    <x v="0"/>
    <s v="AV"/>
    <x v="6"/>
    <n v="1945"/>
    <n v="1972"/>
    <n v="79"/>
    <n v="52"/>
    <n v="1"/>
    <n v="1248"/>
    <n v="0"/>
    <n v="0"/>
    <n v="0"/>
    <n v="0"/>
    <n v="0"/>
    <n v="1248"/>
    <n v="1500"/>
    <n v="0"/>
    <m/>
    <s v="HP"/>
    <s v="E"/>
    <m/>
    <n v="0"/>
    <n v="1"/>
    <n v="0"/>
    <n v="1"/>
    <n v="0"/>
    <n v="8"/>
    <n v="0"/>
    <n v="0"/>
    <n v="0"/>
    <n v="300"/>
    <n v="0"/>
    <n v="300"/>
    <n v="100"/>
    <n v="100"/>
    <n v="204221"/>
    <n v="140912"/>
    <n v="430"/>
    <n v="365"/>
    <n v="65"/>
    <n v="0"/>
    <d v="2022-10-28T00:00:00"/>
    <s v="E038703"/>
    <n v="295000"/>
    <n v="288566"/>
    <s v="SWD"/>
    <n v="30"/>
    <s v="N"/>
    <s v="Y"/>
    <n v="294800"/>
    <n v="56600"/>
    <n v="238200"/>
    <n v="6434"/>
    <n v="0.9993220338983051"/>
    <n v="284691.49424915994"/>
    <n v="309698.82983827172"/>
    <n v="-25007.335590670002"/>
    <n v="0"/>
    <n v="89850.625589999996"/>
    <n v="-52569.808201026557"/>
    <n v="21557.329055999999"/>
    <n v="160472.20319"/>
    <n v="-11598.371226000001"/>
    <n v="61662.020006496001"/>
    <n v="0"/>
    <n v="0"/>
    <n v="0"/>
    <n v="30336.176841600001"/>
    <n v="9988.6545828000017"/>
    <n v="284691.49424919946"/>
    <n v="6400"/>
    <n v="247400"/>
    <n v="37300"/>
    <n v="291100"/>
    <n v="0.98677966101694914"/>
    <n v="-1.2550881953867029E-2"/>
    <n v="0.99970000000000003"/>
    <n v="1.0067999999999999"/>
    <n v="0.99729999999999996"/>
    <n v="1.0157"/>
    <n v="0.995"/>
    <n v="0.94971499999999998"/>
    <n v="0.96371996573175212"/>
    <n v="272400"/>
    <n v="6100"/>
    <n v="278500"/>
    <n v="35400"/>
    <n v="313900"/>
    <n v="0.16918555835432408"/>
    <n v="-0.37455830388692579"/>
    <n v="6.4789687924016279E-2"/>
    <n v="0.97929716748925422"/>
  </r>
  <r>
    <n v="2025"/>
    <n v="18132241015"/>
    <n v="-1.9661128563728327"/>
    <n v="0.14000000000000001"/>
    <n v="5963"/>
    <n v="6"/>
    <s v="RES"/>
    <n v="3033"/>
    <s v="YC2"/>
    <s v="R1"/>
    <n v="11"/>
    <n v="259"/>
    <s v="BG"/>
    <x v="0"/>
    <s v="GD"/>
    <x v="6"/>
    <n v="1945"/>
    <n v="1972"/>
    <n v="79"/>
    <n v="52"/>
    <n v="1"/>
    <n v="1325"/>
    <n v="0"/>
    <n v="0"/>
    <n v="0"/>
    <n v="0"/>
    <n v="0"/>
    <n v="1325"/>
    <n v="1500"/>
    <n v="0"/>
    <m/>
    <s v="FD"/>
    <s v="O"/>
    <s v="Y"/>
    <n v="0"/>
    <n v="1"/>
    <n v="0"/>
    <n v="0"/>
    <n v="1"/>
    <n v="7"/>
    <n v="0"/>
    <n v="0"/>
    <n v="0"/>
    <n v="0"/>
    <n v="0"/>
    <n v="0"/>
    <n v="100"/>
    <n v="100"/>
    <n v="204826"/>
    <n v="141330"/>
    <n v="199"/>
    <n v="199"/>
    <n v="0"/>
    <n v="0"/>
    <d v="2023-06-16T00:00:00"/>
    <s v="E040557"/>
    <n v="320000"/>
    <n v="315130"/>
    <s v="SWD"/>
    <n v="30"/>
    <s v="N"/>
    <s v="Y"/>
    <n v="285400"/>
    <n v="46000"/>
    <n v="239400"/>
    <n v="4870"/>
    <n v="0.89187499999999997"/>
    <n v="313294.94486560044"/>
    <n v="327336.02598218998"/>
    <n v="-14041.081117430002"/>
    <n v="0"/>
    <n v="89850.625589999996"/>
    <n v="-62236.546971921947"/>
    <n v="21557.329055999999"/>
    <n v="197752.34721000001"/>
    <n v="-11598.371226000001"/>
    <n v="65466.487587025003"/>
    <n v="0"/>
    <n v="0"/>
    <n v="0"/>
    <n v="26544.1547364"/>
    <n v="0"/>
    <n v="313294.94486407307"/>
    <n v="4900"/>
    <n v="285700"/>
    <n v="27600"/>
    <n v="318200"/>
    <n v="0.99437500000000001"/>
    <n v="0.11492641906096707"/>
    <n v="0.99970000000000003"/>
    <n v="1.0067999999999999"/>
    <n v="0.99650000000000005"/>
    <n v="1.0157"/>
    <n v="0.995"/>
    <n v="0.94971499999999998"/>
    <n v="0.96294690248840986"/>
    <n v="299700"/>
    <n v="4600"/>
    <n v="304300"/>
    <n v="26200"/>
    <n v="330500"/>
    <n v="0.27109440267335005"/>
    <n v="-0.43043478260869567"/>
    <n v="0.15802382620882971"/>
    <n v="0.98893412150803128"/>
  </r>
  <r>
    <n v="2025"/>
    <n v="18132313452"/>
    <n v="-2.0402208285265546"/>
    <n v="0.13"/>
    <n v="0"/>
    <n v="6"/>
    <s v="RES"/>
    <n v="3033"/>
    <s v="YC2"/>
    <s v="R1"/>
    <n v="11"/>
    <n v="259"/>
    <s v="BG"/>
    <x v="2"/>
    <s v="GD"/>
    <x v="6"/>
    <n v="1945"/>
    <n v="1972"/>
    <n v="79"/>
    <n v="52"/>
    <n v="1"/>
    <n v="1563"/>
    <n v="0"/>
    <n v="0"/>
    <n v="663"/>
    <n v="0"/>
    <n v="663"/>
    <n v="2226"/>
    <n v="2500"/>
    <n v="0"/>
    <m/>
    <s v="FD"/>
    <s v="G"/>
    <s v="Y"/>
    <n v="0"/>
    <n v="0"/>
    <n v="1"/>
    <n v="0"/>
    <n v="1"/>
    <n v="8"/>
    <n v="0"/>
    <n v="0"/>
    <n v="0"/>
    <n v="240"/>
    <n v="0"/>
    <n v="0"/>
    <n v="100"/>
    <n v="100"/>
    <n v="327304"/>
    <n v="252024"/>
    <n v="685"/>
    <n v="365"/>
    <n v="320"/>
    <n v="0"/>
    <d v="2022-02-15T00:00:00"/>
    <s v="E035253"/>
    <n v="349900"/>
    <n v="345186"/>
    <s v="SWD"/>
    <n v="30"/>
    <s v="N"/>
    <s v="Y"/>
    <n v="350300"/>
    <n v="43400"/>
    <n v="306900"/>
    <n v="4714"/>
    <n v="1.0011431837667906"/>
    <n v="353991.30963851954"/>
    <n v="376070.43645630614"/>
    <n v="-22079.126819410001"/>
    <n v="0"/>
    <n v="89850.625589999996"/>
    <n v="-64582.406353792743"/>
    <n v="29814.093161000001"/>
    <n v="197752.34721000001"/>
    <n v="-11598.371226000001"/>
    <n v="77225.751017750998"/>
    <n v="0"/>
    <n v="0"/>
    <n v="19281.296548760998"/>
    <n v="30336.176841600001"/>
    <n v="7990.9236662400008"/>
    <n v="353991.30963614932"/>
    <n v="4700"/>
    <n v="328700"/>
    <n v="25300"/>
    <n v="358700"/>
    <n v="1.0251500428693912"/>
    <n v="2.3979446188980874E-2"/>
    <n v="0.99970000000000003"/>
    <n v="1.0088999999999999"/>
    <n v="0.99650000000000005"/>
    <n v="0.98919999999999997"/>
    <n v="0.995"/>
    <n v="0.94971499999999998"/>
    <n v="0.93977937806455991"/>
    <n v="350800"/>
    <n v="4500"/>
    <n v="355300"/>
    <n v="24000"/>
    <n v="379300"/>
    <n v="0.15770609318996415"/>
    <n v="-0.44700460829493088"/>
    <n v="8.2786183271481587E-2"/>
    <n v="1.0209227584469562"/>
  </r>
  <r>
    <n v="2025"/>
    <n v="18132323429"/>
    <n v="-1.7719568419318752"/>
    <n v="0.17"/>
    <n v="0"/>
    <n v="6"/>
    <s v="RES"/>
    <n v="3033"/>
    <s v="YC2"/>
    <s v="R1"/>
    <n v="11"/>
    <n v="259"/>
    <s v="TD"/>
    <x v="0"/>
    <s v="GD"/>
    <x v="6"/>
    <n v="1945"/>
    <n v="1995"/>
    <n v="79"/>
    <n v="29"/>
    <n v="1"/>
    <n v="860"/>
    <n v="0"/>
    <n v="0"/>
    <n v="860"/>
    <n v="0"/>
    <n v="860"/>
    <n v="1720"/>
    <n v="2000"/>
    <n v="0"/>
    <m/>
    <s v="FD"/>
    <s v="G"/>
    <s v="Y"/>
    <n v="0"/>
    <n v="0"/>
    <n v="0"/>
    <n v="1"/>
    <n v="0"/>
    <n v="8"/>
    <n v="0"/>
    <n v="0"/>
    <n v="0"/>
    <n v="192"/>
    <n v="0"/>
    <n v="0"/>
    <n v="100"/>
    <n v="100"/>
    <n v="200873"/>
    <n v="180786"/>
    <n v="882"/>
    <n v="365"/>
    <n v="365"/>
    <n v="152"/>
    <d v="2021-08-02T00:00:00"/>
    <s v="E032486"/>
    <n v="295000"/>
    <n v="295000"/>
    <s v="SWD"/>
    <n v="30"/>
    <s v="N"/>
    <s v="Y"/>
    <n v="315900"/>
    <n v="52700"/>
    <n v="263200"/>
    <n v="0"/>
    <n v="1.0708474576271187"/>
    <n v="308944.08383202303"/>
    <n v="350832.16828243388"/>
    <n v="-41888.084455870005"/>
    <n v="0"/>
    <n v="89850.625589999996"/>
    <n v="-56090.612940989391"/>
    <n v="21557.329055999999"/>
    <n v="197752.34721000001"/>
    <n v="-6468.3224145000004"/>
    <n v="42491.456094220004"/>
    <n v="0"/>
    <n v="0"/>
    <n v="25010.429912419997"/>
    <n v="30336.176841600001"/>
    <n v="6392.7389329920006"/>
    <n v="308944.08382587257"/>
    <n v="0"/>
    <n v="275200"/>
    <n v="33800"/>
    <n v="309000"/>
    <n v="1.047457627118644"/>
    <n v="-2.184235517568851E-2"/>
    <n v="0.99970000000000003"/>
    <n v="1.0067999999999999"/>
    <n v="0.99650000000000005"/>
    <n v="1.0093000000000001"/>
    <n v="0.995"/>
    <n v="0.94971499999999998"/>
    <n v="0.95687930361479956"/>
    <n v="317100"/>
    <n v="0"/>
    <n v="317100"/>
    <n v="32100"/>
    <n v="349200"/>
    <n v="0.2047872340425532"/>
    <n v="-0.39089184060721061"/>
    <n v="0.10541310541310542"/>
    <n v="1.0417353069292543"/>
  </r>
  <r>
    <n v="2025"/>
    <n v="18132334407"/>
    <n v="-1.7147984280919266"/>
    <n v="0.18"/>
    <n v="0"/>
    <n v="6"/>
    <s v="RES"/>
    <n v="3093"/>
    <s v="YC2"/>
    <s v="R1"/>
    <n v="11"/>
    <n v="259"/>
    <s v="TD"/>
    <x v="2"/>
    <s v="GD"/>
    <x v="6"/>
    <n v="1945"/>
    <n v="1972"/>
    <n v="79"/>
    <n v="52"/>
    <n v="1"/>
    <n v="1020"/>
    <n v="0"/>
    <n v="0"/>
    <n v="500"/>
    <n v="0"/>
    <n v="500"/>
    <n v="1520"/>
    <n v="2000"/>
    <n v="1"/>
    <m/>
    <s v="FD"/>
    <s v="G"/>
    <s v="Y"/>
    <n v="0"/>
    <n v="1"/>
    <n v="0"/>
    <n v="0"/>
    <n v="1"/>
    <n v="7"/>
    <n v="180"/>
    <n v="0"/>
    <n v="0"/>
    <n v="0"/>
    <n v="0"/>
    <n v="0"/>
    <n v="100"/>
    <n v="100"/>
    <n v="236562"/>
    <n v="182153"/>
    <n v="859"/>
    <n v="365"/>
    <n v="365"/>
    <n v="129"/>
    <d v="2021-08-25T00:00:00"/>
    <s v="E032841"/>
    <n v="280000"/>
    <n v="280000"/>
    <s v="SWD"/>
    <n v="30"/>
    <s v="N"/>
    <s v="Y"/>
    <n v="315400"/>
    <n v="54700"/>
    <n v="260700"/>
    <n v="0"/>
    <n v="1.1264285714285713"/>
    <n v="304206.87000143545"/>
    <n v="343019.35505572497"/>
    <n v="-38812.485059170001"/>
    <n v="0"/>
    <n v="89850.625589999996"/>
    <n v="-54281.285314520763"/>
    <n v="29814.093161000001"/>
    <n v="197752.34721000001"/>
    <n v="-11598.371226000001"/>
    <n v="50396.843274539999"/>
    <n v="0"/>
    <n v="0"/>
    <n v="14540.947623499998"/>
    <n v="26544.1547364"/>
    <n v="0"/>
    <n v="304206.86999574926"/>
    <n v="0"/>
    <n v="268600"/>
    <n v="35600"/>
    <n v="304200"/>
    <n v="1.0864285714285715"/>
    <n v="-3.5510462904248571E-2"/>
    <n v="0.99970000000000003"/>
    <n v="1.0088999999999999"/>
    <n v="0.99650000000000005"/>
    <n v="1.0093000000000001"/>
    <n v="0.995"/>
    <n v="0.94971499999999998"/>
    <n v="0.9588751782051762"/>
    <n v="307500"/>
    <n v="0"/>
    <n v="307500"/>
    <n v="33800"/>
    <n v="341300"/>
    <n v="0.17951668584579977"/>
    <n v="-0.38208409506398539"/>
    <n v="8.2117945466074829E-2"/>
    <n v="1.0803125533601072"/>
  </r>
  <r>
    <n v="2025"/>
    <n v="18132313450"/>
    <n v="-1.7147984280919266"/>
    <n v="0.18"/>
    <n v="7923"/>
    <n v="6"/>
    <s v="RES"/>
    <n v="3033"/>
    <s v="YC2"/>
    <s v="R1"/>
    <n v="11"/>
    <n v="259"/>
    <s v="BG"/>
    <x v="0"/>
    <s v="GD"/>
    <x v="6"/>
    <n v="1945"/>
    <n v="1972"/>
    <n v="79"/>
    <n v="52"/>
    <n v="1"/>
    <n v="1041"/>
    <n v="0"/>
    <n v="0"/>
    <n v="1041"/>
    <n v="1041"/>
    <n v="0"/>
    <n v="1041"/>
    <n v="1500"/>
    <n v="0"/>
    <s v="S"/>
    <s v="FD"/>
    <s v="O"/>
    <s v="N"/>
    <n v="0"/>
    <n v="1"/>
    <n v="0"/>
    <n v="0"/>
    <n v="0"/>
    <n v="6"/>
    <n v="0"/>
    <n v="0"/>
    <n v="0"/>
    <n v="266"/>
    <n v="0"/>
    <n v="0"/>
    <n v="100"/>
    <n v="100"/>
    <n v="198216"/>
    <n v="152626"/>
    <n v="558"/>
    <n v="365"/>
    <n v="193"/>
    <n v="0"/>
    <d v="2022-06-22T00:00:00"/>
    <s v="E037240"/>
    <n v="293000"/>
    <n v="293000"/>
    <s v="SWD"/>
    <n v="30"/>
    <s v="N"/>
    <s v="Y"/>
    <n v="308900"/>
    <n v="54700"/>
    <n v="254200"/>
    <n v="0"/>
    <n v="1.0542662116040955"/>
    <n v="333060.5736876211"/>
    <n v="356598.06330524414"/>
    <n v="-23537.489619214"/>
    <n v="0"/>
    <n v="89850.625589999996"/>
    <n v="-54281.285314520763"/>
    <n v="21557.329055999999"/>
    <n v="197752.34721000001"/>
    <n v="-11598.371226000001"/>
    <n v="51434.425341957001"/>
    <n v="0"/>
    <n v="0"/>
    <n v="30274.252952126997"/>
    <n v="22752.132631200002"/>
    <n v="8856.6070634160005"/>
    <n v="333060.57368496526"/>
    <n v="0"/>
    <n v="297500"/>
    <n v="35600"/>
    <n v="333100"/>
    <n v="1.1368600682593857"/>
    <n v="7.8342505665263837E-2"/>
    <n v="0.99970000000000003"/>
    <n v="1.0067999999999999"/>
    <n v="0.99650000000000005"/>
    <n v="1.0157"/>
    <n v="0.995"/>
    <n v="0.94971499999999998"/>
    <n v="0.96294690248840986"/>
    <n v="321000"/>
    <n v="0"/>
    <n v="321000"/>
    <n v="33800"/>
    <n v="354800"/>
    <n v="0.26278520849724624"/>
    <n v="-0.38208409506398539"/>
    <n v="0.14859177727419878"/>
    <n v="1.1305887726306691"/>
  </r>
  <r>
    <n v="2025"/>
    <n v="18132313442"/>
    <n v="-1.7147984280919266"/>
    <n v="0.18"/>
    <n v="0"/>
    <n v="6"/>
    <s v="RES"/>
    <n v="3033"/>
    <s v="YC2"/>
    <s v="R1"/>
    <n v="11"/>
    <n v="259"/>
    <s v="FH"/>
    <x v="0"/>
    <s v="GD"/>
    <x v="6"/>
    <n v="1945"/>
    <n v="1972"/>
    <n v="79"/>
    <n v="52"/>
    <n v="2"/>
    <n v="1344"/>
    <n v="924"/>
    <n v="0"/>
    <n v="528"/>
    <n v="398"/>
    <n v="130"/>
    <n v="2398"/>
    <n v="2500"/>
    <n v="0"/>
    <m/>
    <s v="FD"/>
    <s v="G"/>
    <s v="Y"/>
    <n v="0"/>
    <n v="1"/>
    <n v="0"/>
    <n v="1"/>
    <n v="0"/>
    <n v="9"/>
    <n v="0"/>
    <n v="0"/>
    <n v="0"/>
    <n v="180"/>
    <n v="0"/>
    <n v="0"/>
    <n v="100"/>
    <n v="100"/>
    <n v="315813"/>
    <n v="217911"/>
    <n v="277"/>
    <n v="277"/>
    <n v="0"/>
    <n v="0"/>
    <d v="2023-03-30T00:00:00"/>
    <s v="E039808"/>
    <n v="340000"/>
    <n v="335630"/>
    <s v="SWD"/>
    <n v="30"/>
    <s v="N"/>
    <s v="Y"/>
    <n v="375800"/>
    <n v="54700"/>
    <n v="321100"/>
    <n v="4370"/>
    <n v="1.1052941176470588"/>
    <n v="387000.56429278641"/>
    <n v="406545.18474150647"/>
    <n v="-19544.620449890001"/>
    <n v="0"/>
    <n v="89850.625589999996"/>
    <n v="-54281.285314520763"/>
    <n v="21557.329055999999"/>
    <n v="197752.34721000001"/>
    <n v="-11598.371226000001"/>
    <n v="66405.252314687998"/>
    <n v="41382.654723563996"/>
    <n v="0"/>
    <n v="15355.240690416"/>
    <n v="34128.198946800003"/>
    <n v="5993.1927496800008"/>
    <n v="387000.56429073733"/>
    <n v="4400"/>
    <n v="351400"/>
    <n v="35600"/>
    <n v="391400"/>
    <n v="1.1511764705882352"/>
    <n v="4.1511442256519426E-2"/>
    <n v="0.99970000000000003"/>
    <n v="1.0067999999999999"/>
    <n v="0.99650000000000005"/>
    <n v="0.98919999999999997"/>
    <n v="0.995"/>
    <n v="0.94971499999999998"/>
    <n v="0.93782325090236773"/>
    <n v="371000"/>
    <n v="4200"/>
    <n v="375200"/>
    <n v="33800"/>
    <n v="409000"/>
    <n v="0.16848333852382436"/>
    <n v="-0.38208409506398539"/>
    <n v="8.8344864289515698E-2"/>
    <n v="1.1454569986767942"/>
  </r>
  <r>
    <n v="2025"/>
    <n v="18132214427"/>
    <n v="-1.7147984280919266"/>
    <n v="0.18"/>
    <n v="7861"/>
    <n v="6"/>
    <s v="RES"/>
    <n v="3033"/>
    <s v="YC2"/>
    <s v="R1"/>
    <n v="11"/>
    <n v="400"/>
    <s v="TD"/>
    <x v="4"/>
    <s v="AV"/>
    <x v="7"/>
    <n v="1943"/>
    <n v="1972"/>
    <n v="81"/>
    <n v="52"/>
    <n v="1"/>
    <n v="1050"/>
    <n v="0"/>
    <n v="0"/>
    <n v="1050"/>
    <n v="0"/>
    <n v="1050"/>
    <n v="2100"/>
    <n v="2500"/>
    <n v="0"/>
    <m/>
    <s v="FD"/>
    <s v="O"/>
    <s v="N"/>
    <n v="0"/>
    <n v="0"/>
    <n v="0"/>
    <n v="0"/>
    <n v="0"/>
    <n v="5"/>
    <n v="0"/>
    <n v="0"/>
    <n v="0"/>
    <n v="0"/>
    <n v="140"/>
    <n v="140"/>
    <n v="100"/>
    <n v="100"/>
    <n v="213140"/>
    <n v="147067"/>
    <n v="690"/>
    <n v="365"/>
    <n v="325"/>
    <n v="0"/>
    <d v="2022-02-10T00:00:00"/>
    <s v="E035233"/>
    <n v="245000"/>
    <n v="245000"/>
    <s v="SWD"/>
    <n v="30"/>
    <s v="N"/>
    <s v="Y"/>
    <n v="288500"/>
    <n v="54700"/>
    <n v="233800"/>
    <n v="0"/>
    <n v="1.1775510204081632"/>
    <n v="263796.66518503882"/>
    <n v="285818.37614456413"/>
    <n v="-22021.710961150002"/>
    <n v="0"/>
    <n v="89850.625589999996"/>
    <n v="-54281.285314520763"/>
    <n v="0"/>
    <n v="160472.20319"/>
    <n v="-11598.371226000001"/>
    <n v="51879.103370850004"/>
    <n v="0"/>
    <n v="0"/>
    <n v="30535.99000935"/>
    <n v="18960.110526"/>
    <n v="0"/>
    <n v="263796.66518452921"/>
    <n v="0"/>
    <n v="228200"/>
    <n v="35600"/>
    <n v="263800"/>
    <n v="1.0767346938775511"/>
    <n v="-8.5615251299826695E-2"/>
    <n v="0.99970000000000003"/>
    <n v="0.99180000000000001"/>
    <n v="0.99729999999999996"/>
    <n v="0.98919999999999997"/>
    <n v="0.98909999999999998"/>
    <n v="0.94971499999999998"/>
    <n v="0.91911008180003395"/>
    <n v="250200"/>
    <n v="0"/>
    <n v="250200"/>
    <n v="33800"/>
    <n v="284000"/>
    <n v="7.0145423438836618E-2"/>
    <n v="-0.38208409506398539"/>
    <n v="-1.5597920277296361E-2"/>
    <n v="1.0692991389340816"/>
  </r>
  <r>
    <n v="2025"/>
    <n v="18132342424"/>
    <n v="-2.4079456086518722"/>
    <n v="0.09"/>
    <n v="3794"/>
    <n v="6"/>
    <s v="RES"/>
    <n v="3033"/>
    <s v="YC2"/>
    <s v="R1"/>
    <n v="11"/>
    <n v="259"/>
    <s v="TD"/>
    <x v="0"/>
    <s v="FR"/>
    <x v="7"/>
    <n v="1942"/>
    <n v="1972"/>
    <n v="82"/>
    <n v="52"/>
    <n v="1"/>
    <n v="960"/>
    <n v="0"/>
    <n v="0"/>
    <n v="624"/>
    <n v="624"/>
    <n v="0"/>
    <n v="960"/>
    <n v="1000"/>
    <n v="2"/>
    <m/>
    <s v="FD"/>
    <s v="E"/>
    <s v="N"/>
    <n v="0"/>
    <n v="1"/>
    <n v="0"/>
    <n v="0"/>
    <n v="0"/>
    <n v="5"/>
    <n v="234"/>
    <n v="0"/>
    <n v="0"/>
    <n v="0"/>
    <n v="0"/>
    <n v="0"/>
    <n v="100"/>
    <n v="100"/>
    <n v="184002"/>
    <n v="99361"/>
    <n v="860"/>
    <n v="365"/>
    <n v="365"/>
    <n v="130"/>
    <d v="2021-08-24T00:00:00"/>
    <s v="E032802"/>
    <n v="242000"/>
    <n v="242000"/>
    <s v="SWD"/>
    <n v="30"/>
    <s v="N"/>
    <s v="Y"/>
    <n v="211700"/>
    <n v="30600"/>
    <n v="181100"/>
    <n v="0"/>
    <n v="0.87479338842975207"/>
    <n v="202894.85813985515"/>
    <n v="241841.06490701943"/>
    <n v="-38946.20677207"/>
    <n v="0"/>
    <n v="89850.625589999996"/>
    <n v="-76222.592967103381"/>
    <n v="21557.329055999999"/>
    <n v="133714.53821"/>
    <n v="-11598.371226000001"/>
    <n v="47432.323081920003"/>
    <n v="0"/>
    <n v="0"/>
    <n v="18147.102634127998"/>
    <n v="18960.110526"/>
    <n v="0"/>
    <n v="202894.85813287462"/>
    <n v="0"/>
    <n v="189300"/>
    <n v="13600"/>
    <n v="202900"/>
    <n v="0.8384297520661157"/>
    <n v="-4.1568256967406708E-2"/>
    <n v="0.99970000000000003"/>
    <n v="1.0067999999999999"/>
    <n v="0.99329999999999996"/>
    <n v="1.0148999999999999"/>
    <n v="0.98909999999999998"/>
    <n v="0.94971499999999998"/>
    <n v="0.95341151768438748"/>
    <n v="228200"/>
    <n v="0"/>
    <n v="228200"/>
    <n v="12900"/>
    <n v="241100"/>
    <n v="0.26007730535615681"/>
    <n v="-0.57843137254901966"/>
    <n v="0.13887576759565423"/>
    <n v="0.83534625300797516"/>
  </r>
  <r>
    <n v="2025"/>
    <n v="18132243464"/>
    <n v="-1.6094379124341003"/>
    <n v="0.2"/>
    <n v="8680"/>
    <n v="6"/>
    <s v="RES"/>
    <n v="3093"/>
    <s v="YC2"/>
    <s v="R1"/>
    <n v="11"/>
    <n v="259"/>
    <s v="TD"/>
    <x v="2"/>
    <s v="GD"/>
    <x v="7"/>
    <n v="1941"/>
    <n v="1972"/>
    <n v="83"/>
    <n v="52"/>
    <n v="1"/>
    <n v="910"/>
    <n v="0"/>
    <n v="0"/>
    <n v="624"/>
    <n v="624"/>
    <n v="0"/>
    <n v="910"/>
    <n v="1000"/>
    <n v="1"/>
    <m/>
    <s v="FD"/>
    <s v="G"/>
    <s v="Y"/>
    <n v="0"/>
    <n v="1"/>
    <n v="0"/>
    <n v="0"/>
    <n v="0"/>
    <n v="6"/>
    <n v="291"/>
    <n v="0"/>
    <n v="0"/>
    <n v="0"/>
    <n v="170"/>
    <n v="170"/>
    <n v="100"/>
    <n v="100"/>
    <n v="205107"/>
    <n v="157932"/>
    <n v="734"/>
    <n v="365"/>
    <n v="365"/>
    <n v="4"/>
    <d v="2021-12-28T00:00:00"/>
    <s v="E034799"/>
    <n v="325000"/>
    <n v="322970"/>
    <s v="SWD"/>
    <n v="30"/>
    <s v="N"/>
    <s v="Y"/>
    <n v="304900"/>
    <n v="58400"/>
    <n v="246500"/>
    <n v="2030"/>
    <n v="0.93815384615384612"/>
    <n v="318636.40996720875"/>
    <n v="340733.6809121432"/>
    <n v="-22097.270946670003"/>
    <n v="0"/>
    <n v="89850.625589999996"/>
    <n v="-50946.13867709865"/>
    <n v="29814.093161000001"/>
    <n v="197752.34721000001"/>
    <n v="-11598.371226000001"/>
    <n v="44961.88958807"/>
    <n v="0"/>
    <n v="0"/>
    <n v="18147.102634127998"/>
    <n v="22752.132631200002"/>
    <n v="0"/>
    <n v="318636.40996462939"/>
    <n v="2000"/>
    <n v="279700"/>
    <n v="38900"/>
    <n v="320600"/>
    <n v="0.9864615384615385"/>
    <n v="5.1492292554936044E-2"/>
    <n v="0.99970000000000003"/>
    <n v="1.0088999999999999"/>
    <n v="0.99650000000000005"/>
    <n v="1.0148999999999999"/>
    <n v="0.98909999999999998"/>
    <n v="0.94971499999999998"/>
    <n v="0.9584780615654358"/>
    <n v="301800"/>
    <n v="1900"/>
    <n v="303700"/>
    <n v="36900"/>
    <n v="340600"/>
    <n v="0.23204868154158215"/>
    <n v="-0.36815068493150682"/>
    <n v="0.11708756969498196"/>
    <n v="0.98000839708716936"/>
  </r>
  <r>
    <n v="2025"/>
    <n v="18132343008"/>
    <n v="-1.4271163556401458"/>
    <n v="0.24"/>
    <n v="0"/>
    <n v="6"/>
    <s v="RES"/>
    <n v="3032"/>
    <s v="YC2"/>
    <s v="R1"/>
    <n v="11"/>
    <n v="259"/>
    <s v="TD"/>
    <x v="1"/>
    <s v="VG"/>
    <x v="7"/>
    <n v="1941"/>
    <n v="1972"/>
    <n v="83"/>
    <n v="52"/>
    <n v="1"/>
    <n v="2196"/>
    <n v="0"/>
    <n v="0"/>
    <n v="620"/>
    <n v="0"/>
    <n v="620"/>
    <n v="2816"/>
    <n v="3000"/>
    <n v="0"/>
    <m/>
    <s v="HP"/>
    <s v="E"/>
    <m/>
    <n v="0"/>
    <n v="1"/>
    <n v="0"/>
    <n v="1"/>
    <n v="0"/>
    <n v="12"/>
    <n v="0"/>
    <n v="0"/>
    <n v="0"/>
    <n v="0"/>
    <n v="0"/>
    <n v="0"/>
    <n v="100"/>
    <n v="100"/>
    <n v="524620"/>
    <n v="424942"/>
    <n v="567"/>
    <n v="365"/>
    <n v="202"/>
    <n v="0"/>
    <d v="2022-06-13T00:00:00"/>
    <s v="E036868"/>
    <n v="500000"/>
    <n v="488194"/>
    <s v="SWD"/>
    <n v="30"/>
    <s v="N"/>
    <s v="Y"/>
    <n v="475600"/>
    <n v="64800"/>
    <n v="410800"/>
    <n v="11806"/>
    <n v="0.95120000000000005"/>
    <n v="510611.41895641142"/>
    <n v="534045.56002916419"/>
    <n v="-23434.141074346"/>
    <n v="0"/>
    <n v="89850.625589999996"/>
    <n v="-45174.819855485119"/>
    <n v="44121.038090000002"/>
    <n v="284810.60806"/>
    <n v="-11598.371226000001"/>
    <n v="108501.439049892"/>
    <n v="0"/>
    <n v="0"/>
    <n v="18030.775053139998"/>
    <n v="45504.265262400004"/>
    <n v="0"/>
    <n v="510611.41894960089"/>
    <n v="11800"/>
    <n v="465900"/>
    <n v="44700"/>
    <n v="522400"/>
    <n v="1.0448"/>
    <n v="9.8402018502943653E-2"/>
    <n v="0.99970000000000003"/>
    <n v="0.98050000000000004"/>
    <n v="1.0158"/>
    <n v="0.96179999999999999"/>
    <n v="0.98909999999999998"/>
    <n v="0.94971499999999998"/>
    <n v="0.89985819990494287"/>
    <n v="489400"/>
    <n v="11200"/>
    <n v="500600"/>
    <n v="42400"/>
    <n v="543000"/>
    <n v="0.21859785783836416"/>
    <n v="-0.34567901234567899"/>
    <n v="0.1417157275021026"/>
    <n v="1.039131717851308"/>
  </r>
  <r>
    <n v="2025"/>
    <n v="18132214445"/>
    <n v="-1.6094379124341003"/>
    <n v="0.2"/>
    <n v="8781"/>
    <n v="6"/>
    <s v="RES"/>
    <n v="3033"/>
    <s v="YC2"/>
    <s v="R1"/>
    <n v="11"/>
    <n v="259"/>
    <s v="TD"/>
    <x v="0"/>
    <s v="AV"/>
    <x v="7"/>
    <n v="1940"/>
    <n v="1972"/>
    <n v="84"/>
    <n v="52"/>
    <n v="1"/>
    <n v="1130"/>
    <n v="0"/>
    <n v="0"/>
    <n v="0"/>
    <n v="0"/>
    <n v="0"/>
    <n v="1130"/>
    <n v="1500"/>
    <n v="0"/>
    <m/>
    <s v="FD"/>
    <s v="O"/>
    <m/>
    <n v="0"/>
    <n v="1"/>
    <n v="0"/>
    <n v="0"/>
    <n v="0"/>
    <n v="5"/>
    <n v="0"/>
    <n v="0"/>
    <n v="0"/>
    <n v="0"/>
    <n v="0"/>
    <n v="0"/>
    <n v="100"/>
    <n v="100"/>
    <n v="167591"/>
    <n v="115638"/>
    <n v="157"/>
    <n v="157"/>
    <n v="0"/>
    <n v="0"/>
    <d v="2023-07-28T00:00:00"/>
    <s v="E040998"/>
    <n v="332000"/>
    <n v="326776"/>
    <s v="SWD"/>
    <n v="30"/>
    <s v="N"/>
    <s v="Y"/>
    <n v="275600"/>
    <n v="58400"/>
    <n v="217200"/>
    <n v="5224"/>
    <n v="0.83012048192771082"/>
    <n v="273049.91855752806"/>
    <n v="284127.55541835492"/>
    <n v="-11077.63686149"/>
    <n v="0"/>
    <n v="89850.625589999996"/>
    <n v="-50946.13867709865"/>
    <n v="21557.329055999999"/>
    <n v="160472.20319"/>
    <n v="-11598.371226000001"/>
    <n v="55831.796961010004"/>
    <n v="0"/>
    <n v="0"/>
    <n v="0"/>
    <n v="18960.110526"/>
    <n v="0"/>
    <n v="273049.91855842131"/>
    <n v="5200"/>
    <n v="234100"/>
    <n v="38900"/>
    <n v="278200"/>
    <n v="0.83795180722891571"/>
    <n v="9.433962264150943E-3"/>
    <n v="0.99970000000000003"/>
    <n v="1.0067999999999999"/>
    <n v="0.99729999999999996"/>
    <n v="1.0157"/>
    <n v="0.98909999999999998"/>
    <n v="0.94971499999999998"/>
    <n v="0.95800544533193577"/>
    <n v="245200"/>
    <n v="5000"/>
    <n v="250200"/>
    <n v="36900"/>
    <n v="287100"/>
    <n v="0.15193370165745856"/>
    <n v="-0.36815068493150682"/>
    <n v="4.1727140783744558E-2"/>
    <n v="0.83139266005575296"/>
  </r>
  <r>
    <n v="2025"/>
    <n v="18132241405"/>
    <n v="-1.5141277326297755"/>
    <n v="0.22"/>
    <n v="9723"/>
    <n v="6"/>
    <s v="RES"/>
    <n v="3033"/>
    <s v="YC2"/>
    <s v="R1"/>
    <n v="11"/>
    <n v="259"/>
    <s v="RN"/>
    <x v="3"/>
    <s v="GD"/>
    <x v="7"/>
    <n v="1940"/>
    <n v="1972"/>
    <n v="84"/>
    <n v="52"/>
    <n v="1"/>
    <n v="1530"/>
    <n v="0"/>
    <n v="0"/>
    <n v="1012"/>
    <n v="0"/>
    <n v="1012"/>
    <n v="2542"/>
    <n v="3000"/>
    <n v="0"/>
    <m/>
    <s v="FD"/>
    <s v="G"/>
    <s v="Y"/>
    <n v="0"/>
    <n v="1"/>
    <n v="0"/>
    <n v="1"/>
    <n v="0"/>
    <n v="9"/>
    <n v="0"/>
    <n v="0"/>
    <n v="0"/>
    <n v="0"/>
    <n v="373"/>
    <n v="277"/>
    <n v="100"/>
    <n v="100"/>
    <n v="476478"/>
    <n v="371653"/>
    <n v="991"/>
    <n v="365"/>
    <n v="365"/>
    <n v="261"/>
    <d v="2021-04-15T00:00:00"/>
    <s v="E030812"/>
    <n v="445000"/>
    <n v="437693"/>
    <s v="SWD"/>
    <n v="30"/>
    <s v="N"/>
    <s v="Y"/>
    <n v="454800"/>
    <n v="61700"/>
    <n v="393100"/>
    <n v="7307"/>
    <n v="1.0220224719101123"/>
    <n v="385034.47037548485"/>
    <n v="441498.22152925329"/>
    <n v="-56463.751161970002"/>
    <n v="0"/>
    <n v="89850.625589999996"/>
    <n v="-47929.131559187132"/>
    <n v="74268.409664999999"/>
    <n v="197752.34721000001"/>
    <n v="-11598.371226000001"/>
    <n v="75595.264911810009"/>
    <n v="0"/>
    <n v="0"/>
    <n v="29430.877989963999"/>
    <n v="34128.198946800003"/>
    <n v="0"/>
    <n v="385034.47036641691"/>
    <n v="7300"/>
    <n v="343100"/>
    <n v="41900"/>
    <n v="392300"/>
    <n v="0.88157303370786522"/>
    <n v="-0.13742304309586631"/>
    <n v="0.99970000000000003"/>
    <n v="0.98380000000000001"/>
    <n v="0.99650000000000005"/>
    <n v="0.96179999999999999"/>
    <n v="0.98909999999999998"/>
    <n v="0.94971499999999998"/>
    <n v="0.88573211822982711"/>
    <n v="399600"/>
    <n v="6900"/>
    <n v="406500"/>
    <n v="39800"/>
    <n v="446300"/>
    <n v="3.4088018315950139E-2"/>
    <n v="-0.35494327390599678"/>
    <n v="-1.8689533861037819E-2"/>
    <n v="0.87603651424276396"/>
  </r>
  <r>
    <n v="2025"/>
    <n v="18132334476"/>
    <n v="-1.7719568419318752"/>
    <n v="0.17"/>
    <n v="0"/>
    <n v="6"/>
    <s v="RES"/>
    <n v="3093"/>
    <s v="YC2"/>
    <s v="R1"/>
    <n v="11"/>
    <n v="259"/>
    <s v="TD"/>
    <x v="0"/>
    <s v="GD"/>
    <x v="7"/>
    <n v="1940"/>
    <n v="1972"/>
    <n v="84"/>
    <n v="52"/>
    <n v="1"/>
    <n v="992"/>
    <n v="0"/>
    <n v="0"/>
    <n v="992"/>
    <n v="0"/>
    <n v="992"/>
    <n v="1984"/>
    <n v="2000"/>
    <n v="0"/>
    <m/>
    <s v="FD"/>
    <s v="G"/>
    <s v="Y"/>
    <n v="0"/>
    <n v="1"/>
    <n v="0"/>
    <n v="1"/>
    <n v="0"/>
    <n v="9"/>
    <n v="0"/>
    <n v="0"/>
    <n v="0"/>
    <n v="108"/>
    <n v="453"/>
    <n v="108"/>
    <n v="100"/>
    <n v="100"/>
    <n v="241108"/>
    <n v="185653"/>
    <n v="763"/>
    <n v="365"/>
    <n v="365"/>
    <n v="33"/>
    <d v="2021-11-29T00:00:00"/>
    <s v="E034258"/>
    <n v="380000"/>
    <n v="374579"/>
    <s v="SWD"/>
    <n v="30"/>
    <s v="N"/>
    <s v="Y"/>
    <n v="342400"/>
    <n v="52700"/>
    <n v="289700"/>
    <n v="5421"/>
    <n v="0.90105263157894733"/>
    <n v="331082.87227152748"/>
    <n v="357058.07288983226"/>
    <n v="-25975.200620770003"/>
    <n v="0"/>
    <n v="89850.625589999996"/>
    <n v="-56090.612940989391"/>
    <n v="21557.329055999999"/>
    <n v="197752.34721000001"/>
    <n v="-11598.371226000001"/>
    <n v="49013.400517984002"/>
    <n v="0"/>
    <n v="0"/>
    <n v="28849.240085023997"/>
    <n v="34128.198946800003"/>
    <n v="3595.9156498080001"/>
    <n v="331082.87226785661"/>
    <n v="5400"/>
    <n v="297300"/>
    <n v="33800"/>
    <n v="336500"/>
    <n v="0.88552631578947372"/>
    <n v="-1.7231308411214952E-2"/>
    <n v="0.99970000000000003"/>
    <n v="1.0067999999999999"/>
    <n v="0.99650000000000005"/>
    <n v="1.0093000000000001"/>
    <n v="0.98909999999999998"/>
    <n v="0.94971499999999998"/>
    <n v="0.95120534593507355"/>
    <n v="323300"/>
    <n v="5100"/>
    <n v="328400"/>
    <n v="32100"/>
    <n v="360500"/>
    <n v="0.13358646876078703"/>
    <n v="-0.39089184060721061"/>
    <n v="5.2862149532710283E-2"/>
    <n v="0.8803284194190264"/>
  </r>
  <r>
    <n v="2025"/>
    <n v="18132214445"/>
    <n v="-1.6094379124341003"/>
    <n v="0.2"/>
    <n v="8781"/>
    <n v="6"/>
    <s v="RES"/>
    <n v="3033"/>
    <s v="YC2"/>
    <s v="R1"/>
    <n v="11"/>
    <n v="259"/>
    <s v="TD"/>
    <x v="0"/>
    <s v="AV"/>
    <x v="7"/>
    <n v="1940"/>
    <n v="1972"/>
    <n v="84"/>
    <n v="52"/>
    <n v="1"/>
    <n v="1130"/>
    <n v="0"/>
    <n v="0"/>
    <n v="0"/>
    <n v="0"/>
    <n v="0"/>
    <n v="1130"/>
    <n v="1500"/>
    <n v="0"/>
    <m/>
    <s v="FD"/>
    <s v="O"/>
    <m/>
    <n v="0"/>
    <n v="1"/>
    <n v="0"/>
    <n v="0"/>
    <n v="0"/>
    <n v="5"/>
    <n v="0"/>
    <n v="0"/>
    <n v="0"/>
    <n v="0"/>
    <n v="0"/>
    <n v="0"/>
    <n v="100"/>
    <n v="100"/>
    <n v="167591"/>
    <n v="115638"/>
    <n v="972"/>
    <n v="365"/>
    <n v="365"/>
    <n v="242"/>
    <d v="2021-05-04T00:00:00"/>
    <s v="E031095"/>
    <n v="260000"/>
    <n v="254776"/>
    <s v="SWD"/>
    <n v="30"/>
    <s v="N"/>
    <s v="Y"/>
    <n v="275600"/>
    <n v="58400"/>
    <n v="217200"/>
    <n v="5224"/>
    <n v="1.06"/>
    <n v="230204.51680920838"/>
    <n v="284127.55541835492"/>
    <n v="-53923.038616870006"/>
    <n v="0"/>
    <n v="89850.625589999996"/>
    <n v="-50946.13867709865"/>
    <n v="21557.329055999999"/>
    <n v="160472.20319"/>
    <n v="-11598.371226000001"/>
    <n v="55831.796961010004"/>
    <n v="0"/>
    <n v="0"/>
    <n v="0"/>
    <n v="18960.110526"/>
    <n v="0"/>
    <n v="230204.51680304136"/>
    <n v="5200"/>
    <n v="191300"/>
    <n v="38900"/>
    <n v="235400"/>
    <n v="0.90538461538461534"/>
    <n v="-0.14586357039187228"/>
    <n v="0.99970000000000003"/>
    <n v="1.0067999999999999"/>
    <n v="0.99729999999999996"/>
    <n v="1.0157"/>
    <n v="0.98909999999999998"/>
    <n v="0.94971499999999998"/>
    <n v="0.95800544533193577"/>
    <n v="245200"/>
    <n v="5000"/>
    <n v="250200"/>
    <n v="36900"/>
    <n v="287100"/>
    <n v="0.15193370165745856"/>
    <n v="-0.36815068493150682"/>
    <n v="4.1727140783744558E-2"/>
    <n v="0.89683446685819224"/>
  </r>
  <r>
    <n v="2025"/>
    <n v="18132241411"/>
    <n v="-2.120263536200091"/>
    <n v="0.12"/>
    <n v="5444"/>
    <n v="6"/>
    <s v="RES"/>
    <n v="3093"/>
    <s v="YC2"/>
    <s v="R1"/>
    <n v="11"/>
    <n v="259"/>
    <s v="BG"/>
    <x v="0"/>
    <s v="AV"/>
    <x v="7"/>
    <n v="1940"/>
    <n v="1972"/>
    <n v="84"/>
    <n v="52"/>
    <n v="1"/>
    <n v="968"/>
    <n v="0"/>
    <n v="0"/>
    <n v="984"/>
    <n v="734"/>
    <n v="250"/>
    <n v="1218"/>
    <n v="1500"/>
    <n v="0"/>
    <m/>
    <s v="FD"/>
    <s v="G"/>
    <s v="Y"/>
    <n v="0"/>
    <n v="1"/>
    <n v="0"/>
    <n v="0"/>
    <n v="0"/>
    <n v="5"/>
    <n v="0"/>
    <n v="0"/>
    <n v="0"/>
    <n v="0"/>
    <n v="0"/>
    <n v="0"/>
    <n v="100"/>
    <n v="100"/>
    <n v="190787"/>
    <n v="131643"/>
    <n v="571"/>
    <n v="365"/>
    <n v="206"/>
    <n v="0"/>
    <d v="2022-06-09T00:00:00"/>
    <s v="E036843"/>
    <n v="295000"/>
    <n v="286934"/>
    <s v="SWD"/>
    <n v="30"/>
    <s v="N"/>
    <s v="Y"/>
    <n v="272400"/>
    <n v="40600"/>
    <n v="231800"/>
    <n v="8066"/>
    <n v="0.92338983050847456"/>
    <n v="265181.73860474885"/>
    <n v="288569.94699089258"/>
    <n v="-23388.208387737999"/>
    <n v="0"/>
    <n v="89850.625589999996"/>
    <n v="-67116.12750806773"/>
    <n v="21557.329055999999"/>
    <n v="160472.20319"/>
    <n v="-11598.371226000001"/>
    <n v="47827.592440936001"/>
    <n v="0"/>
    <n v="0"/>
    <n v="28616.584923047998"/>
    <n v="18960.110526"/>
    <n v="0"/>
    <n v="265181.7386041783"/>
    <n v="8100"/>
    <n v="242400"/>
    <n v="22700"/>
    <n v="273200"/>
    <n v="0.92610169491525429"/>
    <n v="2.936857562408223E-3"/>
    <n v="0.99970000000000003"/>
    <n v="1.0067999999999999"/>
    <n v="0.99729999999999996"/>
    <n v="1.0157"/>
    <n v="0.98909999999999998"/>
    <n v="0.94971499999999998"/>
    <n v="0.95800544533193577"/>
    <n v="265800"/>
    <n v="7700"/>
    <n v="273500"/>
    <n v="21600"/>
    <n v="295100"/>
    <n v="0.17989646246764451"/>
    <n v="-0.46798029556650245"/>
    <n v="8.3333333333333329E-2"/>
    <n v="0.92105692071953227"/>
  </r>
  <r>
    <n v="2025"/>
    <n v="18132334408"/>
    <n v="-1.8971199848858813"/>
    <n v="0.15"/>
    <n v="0"/>
    <n v="6"/>
    <s v="RES"/>
    <n v="3093"/>
    <s v="YC2"/>
    <s v="R1"/>
    <n v="11"/>
    <n v="259"/>
    <s v="CO"/>
    <x v="2"/>
    <s v="GD"/>
    <x v="7"/>
    <n v="1940"/>
    <n v="1972"/>
    <n v="84"/>
    <n v="52"/>
    <n v="1"/>
    <n v="1091"/>
    <n v="0"/>
    <n v="264"/>
    <n v="1125"/>
    <n v="0"/>
    <n v="1125"/>
    <n v="2480"/>
    <n v="2500"/>
    <n v="1"/>
    <m/>
    <s v="FD"/>
    <s v="G"/>
    <s v="Y"/>
    <n v="0"/>
    <n v="1"/>
    <n v="1"/>
    <n v="0"/>
    <n v="1"/>
    <n v="14"/>
    <n v="264"/>
    <n v="0"/>
    <n v="0"/>
    <n v="0"/>
    <n v="99"/>
    <n v="0"/>
    <n v="100"/>
    <n v="100"/>
    <n v="349652"/>
    <n v="269232"/>
    <n v="530"/>
    <n v="365"/>
    <n v="165"/>
    <n v="0"/>
    <d v="2022-07-20T00:00:00"/>
    <s v="E037563"/>
    <n v="435000"/>
    <n v="409736"/>
    <s v="SWD"/>
    <n v="30"/>
    <s v="N"/>
    <s v="Y"/>
    <n v="406900"/>
    <n v="48400"/>
    <n v="358500"/>
    <n v="25264"/>
    <n v="0.93540229885057469"/>
    <n v="378802.36579534406"/>
    <n v="402661.38421923027"/>
    <n v="-23859.01842547"/>
    <n v="0"/>
    <n v="89850.625589999996"/>
    <n v="-60052.604136134301"/>
    <n v="29814.093161000001"/>
    <n v="197752.34721000001"/>
    <n v="-11598.371226000001"/>
    <n v="53904.858835807005"/>
    <n v="0"/>
    <n v="17184.993157464003"/>
    <n v="32717.132152874998"/>
    <n v="53088.3094728"/>
    <n v="0"/>
    <n v="378802.36579234176"/>
    <n v="25300"/>
    <n v="349000"/>
    <n v="29800"/>
    <n v="404100"/>
    <n v="0.92896551724137932"/>
    <n v="-6.8812976161218972E-3"/>
    <n v="0.99970000000000003"/>
    <n v="1.0088999999999999"/>
    <n v="0.99650000000000005"/>
    <n v="0.98919999999999997"/>
    <n v="0.98909999999999998"/>
    <n v="0.94971499999999998"/>
    <n v="0.93420681692829766"/>
    <n v="372900"/>
    <n v="24000"/>
    <n v="396900"/>
    <n v="28300"/>
    <n v="425200"/>
    <n v="0.10711297071129706"/>
    <n v="-0.41528925619834711"/>
    <n v="4.4974195133939542E-2"/>
    <n v="0.92262294614834484"/>
  </r>
  <r>
    <n v="2025"/>
    <n v="18132334408"/>
    <n v="-1.8971199848858813"/>
    <n v="0.15"/>
    <n v="0"/>
    <n v="6"/>
    <s v="RES"/>
    <n v="3093"/>
    <s v="YC2"/>
    <s v="R1"/>
    <n v="11"/>
    <n v="259"/>
    <s v="CO"/>
    <x v="0"/>
    <s v="AV"/>
    <x v="7"/>
    <n v="1940"/>
    <n v="1972"/>
    <n v="84"/>
    <n v="52"/>
    <n v="1"/>
    <n v="1091"/>
    <n v="0"/>
    <n v="264"/>
    <n v="1125"/>
    <n v="0"/>
    <n v="1125"/>
    <n v="2480"/>
    <n v="2500"/>
    <n v="1"/>
    <m/>
    <s v="FD"/>
    <s v="G"/>
    <m/>
    <n v="0"/>
    <n v="1"/>
    <n v="1"/>
    <n v="2"/>
    <n v="0"/>
    <n v="11"/>
    <n v="264"/>
    <n v="0"/>
    <n v="0"/>
    <n v="0"/>
    <n v="99"/>
    <n v="0"/>
    <n v="100"/>
    <n v="100"/>
    <n v="300355"/>
    <n v="207245"/>
    <n v="938"/>
    <n v="365"/>
    <n v="365"/>
    <n v="208"/>
    <d v="2021-06-07T00:00:00"/>
    <s v="E031696"/>
    <n v="340000"/>
    <n v="314736"/>
    <s v="SWD"/>
    <n v="30"/>
    <s v="N"/>
    <s v="Y"/>
    <n v="406900"/>
    <n v="48400"/>
    <n v="358500"/>
    <n v="25264"/>
    <n v="1.196764705882353"/>
    <n v="296371.90940509742"/>
    <n v="345748.40977649932"/>
    <n v="-49376.500378270008"/>
    <n v="0"/>
    <n v="89850.625589999996"/>
    <n v="-60052.604136134301"/>
    <n v="21557.329055999999"/>
    <n v="160472.20319"/>
    <n v="-11598.371226000001"/>
    <n v="53904.858835807005"/>
    <n v="0"/>
    <n v="17184.993157464003"/>
    <n v="32717.132152874998"/>
    <n v="41712.243157199999"/>
    <n v="0"/>
    <n v="296371.90939894167"/>
    <n v="25300"/>
    <n v="266600"/>
    <n v="29800"/>
    <n v="321700"/>
    <n v="0.94617647058823529"/>
    <n v="-0.20938805603342345"/>
    <n v="0.99970000000000003"/>
    <n v="1.0067999999999999"/>
    <n v="0.99729999999999996"/>
    <n v="0.98919999999999997"/>
    <n v="0.98909999999999998"/>
    <n v="0.94971499999999998"/>
    <n v="0.93301071824589021"/>
    <n v="316000"/>
    <n v="24000"/>
    <n v="340000"/>
    <n v="28300"/>
    <n v="368300"/>
    <n v="-5.1603905160390519E-2"/>
    <n v="-0.41528925619834711"/>
    <n v="-9.4863602850823292E-2"/>
    <n v="0.9380102930050882"/>
  </r>
  <r>
    <n v="2025"/>
    <n v="18132324492"/>
    <n v="-1.8325814637483102"/>
    <n v="0.16"/>
    <n v="0"/>
    <n v="6"/>
    <s v="RES"/>
    <n v="3033"/>
    <s v="YC2"/>
    <s v="R1"/>
    <n v="11"/>
    <n v="259"/>
    <s v="CC"/>
    <x v="2"/>
    <s v="GD"/>
    <x v="7"/>
    <n v="1940"/>
    <n v="1972"/>
    <n v="84"/>
    <n v="52"/>
    <n v="2"/>
    <n v="832"/>
    <n v="544"/>
    <n v="0"/>
    <n v="832"/>
    <n v="0"/>
    <n v="832"/>
    <n v="2208"/>
    <n v="2500"/>
    <n v="0"/>
    <m/>
    <s v="FD"/>
    <s v="O"/>
    <s v="Y"/>
    <n v="0"/>
    <n v="1"/>
    <n v="0"/>
    <n v="1"/>
    <n v="0"/>
    <n v="12"/>
    <n v="0"/>
    <n v="0"/>
    <n v="440"/>
    <n v="160"/>
    <n v="0"/>
    <n v="0"/>
    <n v="100"/>
    <n v="100"/>
    <n v="325240"/>
    <n v="250435"/>
    <n v="706"/>
    <n v="365"/>
    <n v="341"/>
    <n v="0"/>
    <d v="2022-01-25T00:00:00"/>
    <s v="E035034"/>
    <n v="380000"/>
    <n v="373632"/>
    <s v="SWD"/>
    <n v="30"/>
    <s v="N"/>
    <s v="Y"/>
    <n v="365300"/>
    <n v="50600"/>
    <n v="314700"/>
    <n v="6368"/>
    <n v="0.96131578947368423"/>
    <n v="366470.56440007722"/>
    <n v="388308.54461316642"/>
    <n v="-21837.980214718002"/>
    <n v="0"/>
    <n v="89850.625589999996"/>
    <n v="-58009.662049032086"/>
    <n v="29814.093161000001"/>
    <n v="197752.34721000001"/>
    <n v="-11598.371226000001"/>
    <n v="41108.013337664001"/>
    <n v="24363.814036383999"/>
    <n v="0"/>
    <n v="24196.136845503999"/>
    <n v="45504.265262400004"/>
    <n v="5327.2824441600005"/>
    <n v="366470.56439736189"/>
    <n v="6400"/>
    <n v="334600"/>
    <n v="31800"/>
    <n v="372800"/>
    <n v="0.9810526315789474"/>
    <n v="2.0531070353134409E-2"/>
    <n v="0.99970000000000003"/>
    <n v="1.0088999999999999"/>
    <n v="0.99650000000000005"/>
    <n v="0.98919999999999997"/>
    <n v="0.98909999999999998"/>
    <n v="0.94971499999999998"/>
    <n v="0.93420681692829766"/>
    <n v="356500"/>
    <n v="6000"/>
    <n v="362500"/>
    <n v="30200"/>
    <n v="392700"/>
    <n v="0.15189068954559898"/>
    <n v="-0.40316205533596838"/>
    <n v="7.5006843690117717E-2"/>
    <n v="0.97595268364547882"/>
  </r>
  <r>
    <n v="2025"/>
    <n v="18132334509"/>
    <n v="-1.9661128563728327"/>
    <n v="0.14000000000000001"/>
    <n v="0"/>
    <n v="6"/>
    <s v="RES"/>
    <s v="YC2"/>
    <s v="YC2"/>
    <s v="R1"/>
    <n v="11"/>
    <n v="259"/>
    <s v="TD"/>
    <x v="0"/>
    <s v="GD"/>
    <x v="7"/>
    <n v="1940"/>
    <n v="1972"/>
    <n v="84"/>
    <n v="52"/>
    <n v="1"/>
    <n v="960"/>
    <n v="0"/>
    <n v="0"/>
    <n v="960"/>
    <n v="760"/>
    <n v="200"/>
    <n v="1160"/>
    <n v="1500"/>
    <n v="0"/>
    <m/>
    <s v="HP"/>
    <s v="G"/>
    <m/>
    <n v="0"/>
    <n v="0"/>
    <n v="0"/>
    <n v="0"/>
    <n v="0"/>
    <n v="9"/>
    <n v="0"/>
    <n v="0"/>
    <n v="0"/>
    <n v="256"/>
    <n v="256"/>
    <n v="0"/>
    <n v="100"/>
    <n v="100"/>
    <n v="170028"/>
    <n v="130922"/>
    <n v="28"/>
    <n v="28"/>
    <n v="0"/>
    <n v="0"/>
    <d v="2023-12-04T00:00:00"/>
    <s v="E042260"/>
    <n v="356000"/>
    <n v="356000"/>
    <s v="SWD"/>
    <n v="30"/>
    <s v="N"/>
    <s v="Y"/>
    <n v="277200"/>
    <n v="46000"/>
    <n v="231200"/>
    <n v="0"/>
    <n v="0.77865168539325846"/>
    <n v="351352.5475318933"/>
    <n v="353328.17703573505"/>
    <n v="-1975.6295039600002"/>
    <n v="0"/>
    <n v="89850.625589999996"/>
    <n v="-62236.546971921947"/>
    <n v="21557.329055999999"/>
    <n v="197752.34721000001"/>
    <n v="-11598.371226000001"/>
    <n v="47432.323081920003"/>
    <n v="0"/>
    <n v="0"/>
    <n v="27918.61943712"/>
    <n v="34128.198946800003"/>
    <n v="8523.6519106560008"/>
    <n v="351352.54753061407"/>
    <n v="0"/>
    <n v="323700"/>
    <n v="27600"/>
    <n v="351300"/>
    <n v="0.98679775280898874"/>
    <n v="0.26731601731601734"/>
    <n v="0.99970000000000003"/>
    <n v="1.0067999999999999"/>
    <n v="0.99650000000000005"/>
    <n v="1.0157"/>
    <n v="0.98909999999999998"/>
    <n v="0.94971499999999998"/>
    <n v="0.95723696608169473"/>
    <n v="325700"/>
    <n v="0"/>
    <n v="325700"/>
    <n v="26200"/>
    <n v="351900"/>
    <n v="0.4087370242214533"/>
    <n v="-0.43043478260869567"/>
    <n v="0.26948051948051949"/>
    <n v="0.98293362498887638"/>
  </r>
  <r>
    <n v="2025"/>
    <n v="18132213453"/>
    <n v="-1.6607312068216509"/>
    <n v="0.19"/>
    <n v="8486"/>
    <n v="6"/>
    <s v="RES"/>
    <n v="3033"/>
    <s v="YC2"/>
    <s v="R1"/>
    <n v="11"/>
    <n v="259"/>
    <s v="CO"/>
    <x v="2"/>
    <s v="GD"/>
    <x v="7"/>
    <n v="1940"/>
    <n v="1972"/>
    <n v="84"/>
    <n v="52"/>
    <n v="2"/>
    <n v="1326"/>
    <n v="692"/>
    <n v="0"/>
    <n v="0"/>
    <n v="0"/>
    <n v="0"/>
    <n v="2018"/>
    <n v="2500"/>
    <n v="0"/>
    <s v="S"/>
    <s v="HP"/>
    <s v="G"/>
    <m/>
    <n v="0"/>
    <n v="1"/>
    <n v="0"/>
    <n v="1"/>
    <n v="1"/>
    <n v="11"/>
    <n v="0"/>
    <n v="0"/>
    <n v="0"/>
    <n v="0"/>
    <n v="280"/>
    <n v="0"/>
    <n v="100"/>
    <n v="100"/>
    <n v="312800"/>
    <n v="240856"/>
    <n v="748"/>
    <n v="365"/>
    <n v="365"/>
    <n v="18"/>
    <d v="2021-12-14T00:00:00"/>
    <s v="E034444"/>
    <n v="371000"/>
    <n v="369390"/>
    <s v="SWD"/>
    <n v="30"/>
    <s v="N"/>
    <s v="Y"/>
    <n v="365400"/>
    <n v="56600"/>
    <n v="308800"/>
    <n v="1610"/>
    <n v="0.98490566037735849"/>
    <n v="367499.85564332589"/>
    <n v="391469.23056850809"/>
    <n v="-23969.374927270004"/>
    <n v="0"/>
    <n v="89850.625589999996"/>
    <n v="-52569.808201026557"/>
    <n v="29814.093161000001"/>
    <n v="197752.34721000001"/>
    <n v="-11598.371226000001"/>
    <n v="65515.896256902"/>
    <n v="30992.204619812001"/>
    <n v="0"/>
    <n v="0"/>
    <n v="41712.243157199999"/>
    <n v="0"/>
    <n v="367499.85564061749"/>
    <n v="1600"/>
    <n v="330200"/>
    <n v="37300"/>
    <n v="369100"/>
    <n v="0.99487870619946095"/>
    <n v="1.0125889436234263E-2"/>
    <n v="0.99970000000000003"/>
    <n v="1.0088999999999999"/>
    <n v="0.99650000000000005"/>
    <n v="0.98919999999999997"/>
    <n v="0.98909999999999998"/>
    <n v="0.94971499999999998"/>
    <n v="0.93420681692829766"/>
    <n v="354200"/>
    <n v="1500"/>
    <n v="355700"/>
    <n v="35400"/>
    <n v="391100"/>
    <n v="0.15187823834196892"/>
    <n v="-0.37455830388692579"/>
    <n v="7.0333880678708272E-2"/>
    <n v="0.98957041798579515"/>
  </r>
  <r>
    <n v="2025"/>
    <n v="18132244492"/>
    <n v="-1.5141277326297755"/>
    <n v="0.22"/>
    <n v="9441"/>
    <n v="6"/>
    <s v="RES"/>
    <s v="YC2"/>
    <s v="YC2"/>
    <s v="R1"/>
    <n v="11"/>
    <n v="259"/>
    <s v="TD"/>
    <x v="0"/>
    <s v="AV"/>
    <x v="7"/>
    <n v="1940"/>
    <n v="1972"/>
    <n v="84"/>
    <n v="52"/>
    <n v="1"/>
    <n v="922"/>
    <n v="0"/>
    <n v="0"/>
    <n v="922"/>
    <n v="222"/>
    <n v="700"/>
    <n v="1622"/>
    <n v="2000"/>
    <n v="0"/>
    <m/>
    <s v="FD"/>
    <s v="G"/>
    <s v="Y"/>
    <n v="0"/>
    <n v="1"/>
    <n v="0"/>
    <n v="1"/>
    <n v="0"/>
    <n v="9"/>
    <n v="0"/>
    <n v="0"/>
    <n v="0"/>
    <n v="150"/>
    <n v="0"/>
    <n v="150"/>
    <n v="100"/>
    <n v="100"/>
    <n v="226916"/>
    <n v="156572"/>
    <n v="41"/>
    <n v="41"/>
    <n v="0"/>
    <n v="0"/>
    <d v="2023-11-21T00:00:00"/>
    <s v="E042126"/>
    <n v="355000"/>
    <n v="320516"/>
    <s v="SWD"/>
    <n v="30"/>
    <s v="N"/>
    <s v="Y"/>
    <n v="339900"/>
    <n v="61700"/>
    <n v="278200"/>
    <n v="34484"/>
    <n v="0.95746478873239438"/>
    <n v="320950.59627310315"/>
    <n v="323843.48233229999"/>
    <n v="-2892.8860593700001"/>
    <n v="0"/>
    <n v="89850.625589999996"/>
    <n v="-47929.131559187132"/>
    <n v="21557.329055999999"/>
    <n v="160472.20319"/>
    <n v="-11598.371226000001"/>
    <n v="45554.793626594001"/>
    <n v="0"/>
    <n v="0"/>
    <n v="26813.507417733999"/>
    <n v="34128.198946800003"/>
    <n v="4994.3272914000008"/>
    <n v="320950.59627397091"/>
    <n v="34500"/>
    <n v="279000"/>
    <n v="41900"/>
    <n v="355400"/>
    <n v="1.0011267605633802"/>
    <n v="4.5601647543395116E-2"/>
    <n v="0.99970000000000003"/>
    <n v="1.0067999999999999"/>
    <n v="0.99729999999999996"/>
    <n v="1.0093000000000001"/>
    <n v="0.98909999999999998"/>
    <n v="0.94971499999999998"/>
    <n v="0.95196898294134369"/>
    <n v="281900"/>
    <n v="32700"/>
    <n v="314600"/>
    <n v="39800"/>
    <n v="354400"/>
    <n v="0.13084112149532709"/>
    <n v="-0.35494327390599678"/>
    <n v="4.2659605766401883E-2"/>
    <n v="0.99016088433980276"/>
  </r>
  <r>
    <n v="2025"/>
    <n v="18132333403"/>
    <n v="-1.6094379124341003"/>
    <n v="0.2"/>
    <n v="8845"/>
    <n v="6"/>
    <s v="RES"/>
    <n v="3093"/>
    <s v="YC2"/>
    <s v="R1"/>
    <n v="11"/>
    <n v="400"/>
    <s v="BG"/>
    <x v="0"/>
    <s v="AV"/>
    <x v="7"/>
    <n v="1940"/>
    <n v="1972"/>
    <n v="84"/>
    <n v="52"/>
    <n v="1"/>
    <n v="932"/>
    <n v="0"/>
    <n v="0"/>
    <n v="932"/>
    <n v="932"/>
    <n v="0"/>
    <n v="932"/>
    <n v="1000"/>
    <n v="0"/>
    <m/>
    <s v="FD"/>
    <s v="G"/>
    <m/>
    <n v="0"/>
    <n v="1"/>
    <n v="0"/>
    <n v="0"/>
    <n v="0"/>
    <n v="5"/>
    <n v="0"/>
    <n v="0"/>
    <n v="0"/>
    <n v="0"/>
    <n v="91"/>
    <n v="91"/>
    <n v="100"/>
    <n v="100"/>
    <n v="175682"/>
    <n v="121221"/>
    <n v="252"/>
    <n v="252"/>
    <n v="0"/>
    <n v="0"/>
    <d v="2023-04-24T00:00:00"/>
    <s v="E040055"/>
    <n v="285000"/>
    <n v="280630"/>
    <s v="SWD"/>
    <n v="30"/>
    <s v="N"/>
    <s v="Y"/>
    <n v="282200"/>
    <n v="58400"/>
    <n v="223800"/>
    <n v="4370"/>
    <n v="0.99017543859649126"/>
    <n v="283668.29961880262"/>
    <n v="301448.96515337826"/>
    <n v="-17780.665535640001"/>
    <n v="0"/>
    <n v="89850.625589999996"/>
    <n v="-50946.13867709865"/>
    <n v="21557.329055999999"/>
    <n v="160472.20319"/>
    <n v="-11598.371226000001"/>
    <n v="46048.880325364"/>
    <n v="0"/>
    <n v="0"/>
    <n v="27104.326370203999"/>
    <n v="18960.110526"/>
    <n v="0"/>
    <n v="283668.29961882933"/>
    <n v="4400"/>
    <n v="244800"/>
    <n v="38900"/>
    <n v="288100"/>
    <n v="1.010877192982456"/>
    <n v="2.0907158043940468E-2"/>
    <n v="0.99970000000000003"/>
    <n v="1.0067999999999999"/>
    <n v="0.99729999999999996"/>
    <n v="1.0148999999999999"/>
    <n v="0.98909999999999998"/>
    <n v="0.94971499999999998"/>
    <n v="0.95725088753311172"/>
    <n v="262500"/>
    <n v="4200"/>
    <n v="266700"/>
    <n v="36900"/>
    <n v="303600"/>
    <n v="0.19168900804289543"/>
    <n v="-0.36815068493150682"/>
    <n v="7.5832742735648481E-2"/>
    <n v="1.0028748577696842"/>
  </r>
  <r>
    <n v="2025"/>
    <n v="18132342522"/>
    <n v="-1.9661128563728327"/>
    <n v="0.14000000000000001"/>
    <n v="5986"/>
    <n v="6"/>
    <s v="RES"/>
    <n v="3032"/>
    <s v="YC2"/>
    <s v="R1"/>
    <n v="11"/>
    <n v="259"/>
    <s v="BG"/>
    <x v="1"/>
    <s v="GD"/>
    <x v="7"/>
    <n v="1940"/>
    <n v="1972"/>
    <n v="84"/>
    <n v="52"/>
    <n v="1"/>
    <n v="1218"/>
    <n v="0"/>
    <n v="0"/>
    <n v="662"/>
    <n v="0"/>
    <n v="662"/>
    <n v="1880"/>
    <n v="2000"/>
    <n v="0"/>
    <m/>
    <s v="FD"/>
    <s v="G"/>
    <s v="Y"/>
    <n v="0"/>
    <n v="2"/>
    <n v="0"/>
    <n v="0"/>
    <n v="0"/>
    <n v="8"/>
    <n v="0"/>
    <n v="0"/>
    <n v="0"/>
    <n v="0"/>
    <n v="0"/>
    <n v="0"/>
    <n v="100"/>
    <n v="100"/>
    <n v="338388"/>
    <n v="260559"/>
    <n v="704"/>
    <n v="365"/>
    <n v="339"/>
    <n v="0"/>
    <d v="2022-01-27T00:00:00"/>
    <s v="E034994"/>
    <n v="349900"/>
    <n v="339489"/>
    <s v="SWD"/>
    <n v="30"/>
    <s v="N"/>
    <s v="Y"/>
    <n v="351100"/>
    <n v="46000"/>
    <n v="305100"/>
    <n v="10411"/>
    <n v="1.0034295513003715"/>
    <n v="345796.29754221434"/>
    <n v="367657.24409860803"/>
    <n v="-21860.946558022002"/>
    <n v="0"/>
    <n v="89850.625589999996"/>
    <n v="-62236.546971921947"/>
    <n v="44121.038090000002"/>
    <n v="197752.34721000001"/>
    <n v="-11598.371226000001"/>
    <n v="60179.759910186003"/>
    <n v="0"/>
    <n v="0"/>
    <n v="19252.214653513998"/>
    <n v="30336.176841600001"/>
    <n v="0"/>
    <n v="345796.29753935605"/>
    <n v="10400"/>
    <n v="318200"/>
    <n v="27600"/>
    <n v="356200"/>
    <n v="1.0180051443269507"/>
    <n v="1.452577613215608E-2"/>
    <n v="0.99970000000000003"/>
    <n v="0.98050000000000004"/>
    <n v="0.99650000000000005"/>
    <n v="1.0093000000000001"/>
    <n v="0.98909999999999998"/>
    <n v="0.94971499999999998"/>
    <n v="0.92635760994173622"/>
    <n v="340000"/>
    <n v="9900"/>
    <n v="349900"/>
    <n v="26200"/>
    <n v="376100"/>
    <n v="0.14683710258931498"/>
    <n v="-0.43043478260869567"/>
    <n v="7.1204784961549417E-2"/>
    <n v="1.0124008386452643"/>
  </r>
  <r>
    <n v="2025"/>
    <n v="18132342466"/>
    <n v="-1.1394342831883648"/>
    <n v="0.32"/>
    <n v="13900"/>
    <n v="6"/>
    <s v="RES"/>
    <n v="3032"/>
    <s v="YC2"/>
    <s v="R1"/>
    <n v="11"/>
    <n v="259"/>
    <s v="RN"/>
    <x v="1"/>
    <s v="GD"/>
    <x v="7"/>
    <n v="1940"/>
    <n v="1972"/>
    <n v="84"/>
    <n v="52"/>
    <n v="1"/>
    <n v="1710"/>
    <n v="0"/>
    <n v="0"/>
    <n v="0"/>
    <n v="0"/>
    <n v="0"/>
    <n v="1710"/>
    <n v="2000"/>
    <n v="2"/>
    <m/>
    <s v="FD"/>
    <s v="E"/>
    <s v="Y"/>
    <n v="0"/>
    <n v="1"/>
    <n v="0"/>
    <n v="1"/>
    <n v="0"/>
    <n v="8"/>
    <n v="441"/>
    <n v="0"/>
    <n v="0"/>
    <n v="0"/>
    <n v="100"/>
    <n v="0"/>
    <n v="100"/>
    <n v="100"/>
    <n v="385914"/>
    <n v="297154"/>
    <n v="907"/>
    <n v="365"/>
    <n v="365"/>
    <n v="177"/>
    <d v="2021-07-08T00:00:00"/>
    <s v="E032138"/>
    <n v="345000"/>
    <n v="345000"/>
    <s v="SWD"/>
    <n v="30"/>
    <s v="N"/>
    <s v="Y"/>
    <n v="426500"/>
    <n v="74800"/>
    <n v="351700"/>
    <n v="0"/>
    <n v="1.2362318840579709"/>
    <n v="353651.16032728809"/>
    <n v="398882.28759956989"/>
    <n v="-45231.127278370004"/>
    <n v="0"/>
    <n v="89850.625589999996"/>
    <n v="-36068.354396449467"/>
    <n v="44121.038090000002"/>
    <n v="197752.34721000001"/>
    <n v="-11598.371226000001"/>
    <n v="84488.825489670009"/>
    <n v="0"/>
    <n v="0"/>
    <n v="0"/>
    <n v="30336.176841600001"/>
    <n v="0"/>
    <n v="353651.16032045055"/>
    <n v="0"/>
    <n v="299900"/>
    <n v="53800"/>
    <n v="353700"/>
    <n v="1.0252173913043479"/>
    <n v="-0.17069167643610786"/>
    <n v="0.99970000000000003"/>
    <n v="0.98050000000000004"/>
    <n v="0.99650000000000005"/>
    <n v="1.0093000000000001"/>
    <n v="0.98909999999999998"/>
    <n v="0.94971499999999998"/>
    <n v="0.92635760994173622"/>
    <n v="345100"/>
    <n v="0"/>
    <n v="345100"/>
    <n v="51100"/>
    <n v="396200"/>
    <n v="-1.8765993744668752E-2"/>
    <n v="-0.31684491978609625"/>
    <n v="-7.1043376318874557E-2"/>
    <n v="1.0173010803525506"/>
  </r>
  <r>
    <n v="2025"/>
    <n v="18132214017"/>
    <n v="-2.0402208285265546"/>
    <n v="0.13"/>
    <n v="5692"/>
    <n v="6"/>
    <s v="RES"/>
    <n v="3033"/>
    <s v="YC2"/>
    <s v="R1"/>
    <n v="11"/>
    <n v="259"/>
    <s v="TD"/>
    <x v="4"/>
    <s v="AV"/>
    <x v="7"/>
    <n v="1940"/>
    <n v="1972"/>
    <n v="84"/>
    <n v="52"/>
    <n v="1"/>
    <n v="706"/>
    <n v="0"/>
    <n v="0"/>
    <n v="706"/>
    <n v="356"/>
    <n v="350"/>
    <n v="1056"/>
    <n v="1500"/>
    <n v="0"/>
    <m/>
    <s v="FD"/>
    <s v="O"/>
    <s v="N"/>
    <n v="0"/>
    <n v="0"/>
    <n v="0"/>
    <n v="0"/>
    <n v="0"/>
    <n v="5"/>
    <n v="0"/>
    <n v="0"/>
    <n v="0"/>
    <n v="225"/>
    <n v="0"/>
    <n v="9"/>
    <n v="100"/>
    <n v="100"/>
    <n v="145992"/>
    <n v="100734"/>
    <n v="384"/>
    <n v="365"/>
    <n v="19"/>
    <n v="0"/>
    <d v="2022-12-13T00:00:00"/>
    <s v="E038989"/>
    <n v="227000"/>
    <n v="221579"/>
    <s v="SWD"/>
    <n v="30"/>
    <s v="N"/>
    <s v="Y"/>
    <n v="243400"/>
    <n v="43400"/>
    <n v="200000"/>
    <n v="5421"/>
    <n v="1.0722466960352424"/>
    <n v="230472.4301544778"/>
    <n v="256007.99163959335"/>
    <n v="-25535.561486662002"/>
    <n v="0"/>
    <n v="89850.625589999996"/>
    <n v="-64582.406353792743"/>
    <n v="0"/>
    <n v="160472.20319"/>
    <n v="-11598.371226000001"/>
    <n v="34882.520933161999"/>
    <n v="0"/>
    <n v="0"/>
    <n v="20531.818044381998"/>
    <n v="18960.110526"/>
    <n v="7491.4909371000003"/>
    <n v="230472.43015418926"/>
    <n v="5400"/>
    <n v="205200"/>
    <n v="25300"/>
    <n v="235900"/>
    <n v="1.0392070484581497"/>
    <n v="-3.0813475760065736E-2"/>
    <n v="0.99970000000000003"/>
    <n v="0.99180000000000001"/>
    <n v="0.99729999999999996"/>
    <n v="1.0157"/>
    <n v="0.98909999999999998"/>
    <n v="0.94971499999999998"/>
    <n v="0.94373242022269987"/>
    <n v="230700"/>
    <n v="5100"/>
    <n v="235800"/>
    <n v="24000"/>
    <n v="259800"/>
    <n v="0.17899999999999999"/>
    <n v="-0.44700460829493088"/>
    <n v="6.7378800328677074E-2"/>
    <n v="1.0320019317768192"/>
  </r>
  <r>
    <n v="2025"/>
    <n v="18132243050"/>
    <n v="-1.7147984280919266"/>
    <n v="0.18"/>
    <n v="7691"/>
    <n v="6"/>
    <s v="RES"/>
    <n v="3093"/>
    <s v="YC2"/>
    <s v="R1"/>
    <n v="11"/>
    <n v="259"/>
    <s v="TD"/>
    <x v="0"/>
    <s v="AV"/>
    <x v="7"/>
    <n v="1940"/>
    <n v="1972"/>
    <n v="84"/>
    <n v="52"/>
    <n v="1"/>
    <n v="1012"/>
    <n v="0"/>
    <n v="0"/>
    <n v="812"/>
    <n v="812"/>
    <n v="0"/>
    <n v="1012"/>
    <n v="1500"/>
    <n v="0"/>
    <m/>
    <s v="FD"/>
    <s v="G"/>
    <s v="Y"/>
    <n v="0"/>
    <n v="0"/>
    <n v="0"/>
    <n v="0"/>
    <n v="0"/>
    <n v="6"/>
    <n v="0"/>
    <n v="0"/>
    <n v="0"/>
    <n v="0"/>
    <n v="450"/>
    <n v="450"/>
    <n v="100"/>
    <n v="100"/>
    <n v="186368"/>
    <n v="128594"/>
    <n v="1054"/>
    <n v="365"/>
    <n v="365"/>
    <n v="324"/>
    <d v="2021-02-11T00:00:00"/>
    <s v="E030108"/>
    <n v="235000"/>
    <n v="226302"/>
    <s v="SWD"/>
    <n v="30"/>
    <s v="N"/>
    <s v="Y"/>
    <n v="288600"/>
    <n v="54700"/>
    <n v="233900"/>
    <n v="8698"/>
    <n v="1.2280851063829787"/>
    <n v="237480.48771676226"/>
    <n v="302368.70678164565"/>
    <n v="-64888.21907467"/>
    <n v="0"/>
    <n v="89850.625589999996"/>
    <n v="-54281.285314520763"/>
    <n v="21557.329055999999"/>
    <n v="160472.20319"/>
    <n v="-11598.371226000001"/>
    <n v="50001.573915524001"/>
    <n v="0"/>
    <n v="0"/>
    <n v="23614.498940563997"/>
    <n v="22752.132631200002"/>
    <n v="0"/>
    <n v="237480.48770809727"/>
    <n v="8700"/>
    <n v="201900"/>
    <n v="35600"/>
    <n v="246200"/>
    <n v="1.047659574468085"/>
    <n v="-0.14691614691614691"/>
    <n v="0.99970000000000003"/>
    <n v="1.0067999999999999"/>
    <n v="0.99729999999999996"/>
    <n v="1.0157"/>
    <n v="0.98909999999999998"/>
    <n v="0.94971499999999998"/>
    <n v="0.95800544533193577"/>
    <n v="266800"/>
    <n v="8300"/>
    <n v="275100"/>
    <n v="33800"/>
    <n v="308900"/>
    <n v="0.17614365113296279"/>
    <n v="-0.38208409506398539"/>
    <n v="7.0339570339570334E-2"/>
    <n v="1.0383480039375745"/>
  </r>
  <r>
    <n v="2025"/>
    <n v="18132334491"/>
    <n v="-1.9661128563728327"/>
    <n v="0.14000000000000001"/>
    <n v="6031"/>
    <n v="6"/>
    <s v="RES"/>
    <s v="YC2"/>
    <s v="YC2"/>
    <s v="R1"/>
    <n v="11"/>
    <n v="259"/>
    <s v="TD"/>
    <x v="1"/>
    <s v="AV"/>
    <x v="7"/>
    <n v="1940"/>
    <n v="1972"/>
    <n v="84"/>
    <n v="52"/>
    <n v="1"/>
    <n v="1009"/>
    <n v="0"/>
    <n v="0"/>
    <n v="1009"/>
    <n v="0"/>
    <n v="1009"/>
    <n v="2018"/>
    <n v="2500"/>
    <n v="0"/>
    <m/>
    <s v="FD"/>
    <s v="O"/>
    <m/>
    <n v="0"/>
    <n v="1"/>
    <n v="0"/>
    <n v="0"/>
    <n v="1"/>
    <n v="7"/>
    <n v="0"/>
    <n v="0"/>
    <n v="0"/>
    <n v="0"/>
    <n v="315"/>
    <n v="315"/>
    <n v="100"/>
    <n v="100"/>
    <n v="251788"/>
    <n v="193877"/>
    <n v="33"/>
    <n v="33"/>
    <n v="0"/>
    <n v="0"/>
    <d v="2023-11-29T00:00:00"/>
    <s v="E042182"/>
    <n v="317000"/>
    <n v="303414"/>
    <s v="SWD"/>
    <n v="30"/>
    <s v="N"/>
    <s v="Y"/>
    <n v="337300"/>
    <n v="46000"/>
    <n v="291300"/>
    <n v="13586"/>
    <n v="1.0640378548895899"/>
    <n v="324021.66313113662"/>
    <n v="326350.08361780725"/>
    <n v="-2328.4204868100001"/>
    <n v="0"/>
    <n v="89850.625589999996"/>
    <n v="-62236.546971921947"/>
    <n v="44121.038090000002"/>
    <n v="160472.20319"/>
    <n v="-11598.371226000001"/>
    <n v="49853.347905893002"/>
    <n v="0"/>
    <n v="0"/>
    <n v="29343.632304223"/>
    <n v="26544.1547364"/>
    <n v="0"/>
    <n v="324021.66313178407"/>
    <n v="13600"/>
    <n v="296400"/>
    <n v="27600"/>
    <n v="337600"/>
    <n v="1.0649842271293375"/>
    <n v="8.8941595019270681E-4"/>
    <n v="0.99970000000000003"/>
    <n v="0.98050000000000004"/>
    <n v="0.99729999999999996"/>
    <n v="0.98919999999999997"/>
    <n v="0.98909999999999998"/>
    <n v="0.94971499999999998"/>
    <n v="0.9086382690108219"/>
    <n v="298700"/>
    <n v="12900"/>
    <n v="311600"/>
    <n v="26200"/>
    <n v="337800"/>
    <n v="6.9687607277720567E-2"/>
    <n v="-0.43043478260869567"/>
    <n v="1.4823599169878447E-3"/>
    <n v="1.0582699669185804"/>
  </r>
  <r>
    <n v="2025"/>
    <n v="18132214449"/>
    <n v="-1.6607312068216509"/>
    <n v="0.19"/>
    <n v="8490"/>
    <n v="6"/>
    <s v="RES"/>
    <n v="3033"/>
    <s v="YC2"/>
    <s v="R1"/>
    <n v="11"/>
    <n v="259"/>
    <s v="TD"/>
    <x v="0"/>
    <s v="GD"/>
    <x v="7"/>
    <n v="1940"/>
    <n v="1972"/>
    <n v="84"/>
    <n v="52"/>
    <n v="1"/>
    <n v="1016"/>
    <n v="0"/>
    <n v="0"/>
    <n v="1016"/>
    <n v="266"/>
    <n v="750"/>
    <n v="1766"/>
    <n v="2000"/>
    <n v="0"/>
    <m/>
    <s v="HP"/>
    <s v="E"/>
    <m/>
    <n v="0"/>
    <n v="0"/>
    <n v="0"/>
    <n v="0"/>
    <n v="0"/>
    <n v="10"/>
    <n v="0"/>
    <n v="0"/>
    <n v="0"/>
    <n v="108"/>
    <n v="0"/>
    <n v="0"/>
    <n v="100"/>
    <n v="100"/>
    <n v="223401"/>
    <n v="172019"/>
    <n v="1064"/>
    <n v="365"/>
    <n v="365"/>
    <n v="334"/>
    <d v="2021-02-01T00:00:00"/>
    <s v="E029973"/>
    <n v="282000"/>
    <n v="277286"/>
    <s v="SWD"/>
    <n v="30"/>
    <s v="N"/>
    <s v="Y"/>
    <n v="340600"/>
    <n v="56600"/>
    <n v="284000"/>
    <n v="4714"/>
    <n v="1.2078014184397163"/>
    <n v="300029.23710436415"/>
    <n v="366254.67329799599"/>
    <n v="-66225.436203670004"/>
    <n v="0"/>
    <n v="89850.625589999996"/>
    <n v="-52569.808201026557"/>
    <n v="21557.329055999999"/>
    <n v="197752.34721000001"/>
    <n v="-11598.371226000001"/>
    <n v="50199.208595032003"/>
    <n v="0"/>
    <n v="0"/>
    <n v="29547.205570951999"/>
    <n v="37920.221052000001"/>
    <n v="3595.9156498080001"/>
    <n v="300029.23709309543"/>
    <n v="4700"/>
    <n v="262700"/>
    <n v="37300"/>
    <n v="304700"/>
    <n v="1.0804964539007091"/>
    <n v="-0.10540223135642983"/>
    <n v="0.99970000000000003"/>
    <n v="1.0067999999999999"/>
    <n v="0.99650000000000005"/>
    <n v="1.0093000000000001"/>
    <n v="0.98909999999999998"/>
    <n v="0.94971499999999998"/>
    <n v="0.95120534593507355"/>
    <n v="329000"/>
    <n v="4500"/>
    <n v="333500"/>
    <n v="35400"/>
    <n v="368900"/>
    <n v="0.17429577464788731"/>
    <n v="-0.37455830388692579"/>
    <n v="8.3088667058132712E-2"/>
    <n v="1.0733140560153547"/>
  </r>
  <r>
    <n v="2025"/>
    <n v="18132241434"/>
    <n v="-1.6094379124341003"/>
    <n v="0.2"/>
    <n v="8519"/>
    <n v="6"/>
    <s v="RES"/>
    <n v="3093"/>
    <s v="YC2"/>
    <s v="R1"/>
    <n v="11"/>
    <n v="259"/>
    <s v="TD"/>
    <x v="2"/>
    <s v="GD"/>
    <x v="7"/>
    <n v="1940"/>
    <n v="1972"/>
    <n v="84"/>
    <n v="52"/>
    <n v="1"/>
    <n v="962"/>
    <n v="0"/>
    <n v="0"/>
    <n v="995"/>
    <n v="0"/>
    <n v="995"/>
    <n v="1957"/>
    <n v="2000"/>
    <n v="1"/>
    <m/>
    <s v="FD"/>
    <s v="G"/>
    <s v="Y"/>
    <n v="0"/>
    <n v="1"/>
    <n v="0"/>
    <n v="1"/>
    <n v="0"/>
    <n v="9"/>
    <n v="360"/>
    <n v="0"/>
    <n v="0"/>
    <n v="0"/>
    <n v="282"/>
    <n v="30"/>
    <n v="100"/>
    <n v="100"/>
    <n v="290685"/>
    <n v="223827"/>
    <n v="564"/>
    <n v="365"/>
    <n v="199"/>
    <n v="0"/>
    <d v="2022-06-16T00:00:00"/>
    <s v="E036915"/>
    <n v="315000"/>
    <n v="315000"/>
    <s v="SWD"/>
    <n v="30"/>
    <s v="N"/>
    <s v="Y"/>
    <n v="345400"/>
    <n v="58400"/>
    <n v="287000"/>
    <n v="0"/>
    <n v="1.0965079365079364"/>
    <n v="341999.79061052331"/>
    <n v="365468.38119823288"/>
    <n v="-23468.590589302003"/>
    <n v="0"/>
    <n v="89850.625589999996"/>
    <n v="-50946.13867709865"/>
    <n v="29814.093161000001"/>
    <n v="197752.34721000001"/>
    <n v="-11598.371226000001"/>
    <n v="47531.140421674005"/>
    <n v="0"/>
    <n v="0"/>
    <n v="28936.485770764997"/>
    <n v="34128.198946800003"/>
    <n v="0"/>
    <n v="341999.79060783837"/>
    <n v="0"/>
    <n v="303100"/>
    <n v="38900"/>
    <n v="342000"/>
    <n v="1.0857142857142856"/>
    <n v="-9.8436595251881875E-3"/>
    <n v="0.99970000000000003"/>
    <n v="1.0088999999999999"/>
    <n v="0.99650000000000005"/>
    <n v="1.0093000000000001"/>
    <n v="0.98909999999999998"/>
    <n v="0.94971499999999998"/>
    <n v="0.95318938569119571"/>
    <n v="326600"/>
    <n v="0"/>
    <n v="326600"/>
    <n v="36900"/>
    <n v="363500"/>
    <n v="0.13797909407665504"/>
    <n v="-0.36815068493150682"/>
    <n v="5.2403011001737117E-2"/>
    <n v="1.0794647917799935"/>
  </r>
  <r>
    <n v="2025"/>
    <n v="18132211025"/>
    <n v="-2.0202707317519466E-2"/>
    <n v="0.98"/>
    <n v="42478"/>
    <n v="6"/>
    <s v="RES"/>
    <n v="3032"/>
    <s v="YC2"/>
    <s v="R1"/>
    <n v="11"/>
    <n v="259"/>
    <s v="CC"/>
    <x v="1"/>
    <s v="AV"/>
    <x v="7"/>
    <n v="1940"/>
    <n v="1972"/>
    <n v="84"/>
    <n v="52"/>
    <n v="2"/>
    <n v="2412"/>
    <n v="1191"/>
    <n v="0"/>
    <n v="2151"/>
    <n v="656"/>
    <n v="1495"/>
    <n v="5098"/>
    <n v="5500"/>
    <n v="0"/>
    <m/>
    <s v="FD"/>
    <s v="G"/>
    <s v="Y"/>
    <n v="0"/>
    <n v="3"/>
    <n v="0"/>
    <n v="2"/>
    <n v="1"/>
    <n v="15"/>
    <n v="0"/>
    <n v="0"/>
    <n v="486"/>
    <n v="0"/>
    <n v="1536"/>
    <n v="0"/>
    <n v="100"/>
    <n v="100"/>
    <n v="771056"/>
    <n v="532029"/>
    <n v="518"/>
    <n v="365"/>
    <n v="153"/>
    <n v="0"/>
    <d v="2022-08-01T00:00:00"/>
    <n v="462938"/>
    <n v="560000"/>
    <n v="489098"/>
    <s v="SWD"/>
    <n v="30"/>
    <s v="N"/>
    <s v="Y"/>
    <n v="655800"/>
    <n v="113800"/>
    <n v="542000"/>
    <n v="70902"/>
    <n v="1.1710714285714285"/>
    <n v="550158.99984778604"/>
    <n v="574155.81633149937"/>
    <n v="-23996.816485294003"/>
    <n v="0"/>
    <n v="89850.625589999996"/>
    <n v="-639.50893706396755"/>
    <n v="44121.038090000002"/>
    <n v="160472.20319"/>
    <n v="-11598.371226000001"/>
    <n v="119173.71174332401"/>
    <n v="53340.629627450995"/>
    <n v="0"/>
    <n v="62555.156676296996"/>
    <n v="56880.331578000005"/>
    <n v="0"/>
    <n v="550158.99984671408"/>
    <n v="70900"/>
    <n v="460900"/>
    <n v="89200"/>
    <n v="621000"/>
    <n v="1.1089285714285715"/>
    <n v="-5.3064958828911254E-2"/>
    <n v="0.99970000000000003"/>
    <n v="0.98050000000000004"/>
    <n v="0.99729999999999996"/>
    <n v="1.1091"/>
    <n v="0.98909999999999998"/>
    <n v="0.94971499999999998"/>
    <n v="1.0187734575009122"/>
    <n v="484900"/>
    <n v="67300"/>
    <n v="552200"/>
    <n v="84700"/>
    <n v="636900"/>
    <n v="1.8819188191881917E-2"/>
    <n v="-0.25571177504393672"/>
    <n v="-2.8819762122598354E-2"/>
    <n v="1.0944699705619749"/>
  </r>
  <r>
    <n v="2025"/>
    <n v="18132324542"/>
    <n v="-1.6094379124341003"/>
    <n v="0.2"/>
    <n v="0"/>
    <n v="6"/>
    <s v="RES"/>
    <n v="3033"/>
    <s v="YC2"/>
    <s v="R1"/>
    <n v="11"/>
    <n v="259"/>
    <s v="TD"/>
    <x v="2"/>
    <s v="GD"/>
    <x v="7"/>
    <n v="1940"/>
    <n v="1972"/>
    <n v="84"/>
    <n v="52"/>
    <n v="1"/>
    <n v="1148"/>
    <n v="0"/>
    <n v="0"/>
    <n v="1148"/>
    <n v="574"/>
    <n v="574"/>
    <n v="1722"/>
    <n v="2000"/>
    <n v="1"/>
    <m/>
    <s v="FD"/>
    <s v="G"/>
    <s v="Y"/>
    <n v="0"/>
    <n v="1"/>
    <n v="0"/>
    <n v="1"/>
    <n v="0"/>
    <n v="9"/>
    <n v="372"/>
    <n v="0"/>
    <n v="0"/>
    <n v="0"/>
    <n v="262"/>
    <n v="262"/>
    <n v="100"/>
    <n v="100"/>
    <n v="296006"/>
    <n v="227925"/>
    <n v="1089"/>
    <n v="365"/>
    <n v="365"/>
    <n v="359"/>
    <d v="2021-01-07T00:00:00"/>
    <s v="E029702"/>
    <n v="270000"/>
    <n v="270000"/>
    <s v="SWD"/>
    <n v="30"/>
    <s v="N"/>
    <s v="Y"/>
    <n v="349100"/>
    <n v="58400"/>
    <n v="290700"/>
    <n v="0"/>
    <n v="1.2929629629629629"/>
    <n v="309539.44475267694"/>
    <n v="379107.92376817978"/>
    <n v="-69568.479026170011"/>
    <n v="0"/>
    <n v="89850.625589999996"/>
    <n v="-50946.13867709865"/>
    <n v="29814.093161000001"/>
    <n v="197752.34721000001"/>
    <n v="-11598.371226000001"/>
    <n v="56721.153018796002"/>
    <n v="0"/>
    <n v="0"/>
    <n v="33386.015743555996"/>
    <n v="34128.198946800003"/>
    <n v="0"/>
    <n v="309539.44474088337"/>
    <n v="0"/>
    <n v="270600"/>
    <n v="38900"/>
    <n v="309500"/>
    <n v="1.1462962962962964"/>
    <n v="-0.11343454597536523"/>
    <n v="0.99970000000000003"/>
    <n v="1.0088999999999999"/>
    <n v="0.99650000000000005"/>
    <n v="1.0093000000000001"/>
    <n v="0.98909999999999998"/>
    <n v="0.94971499999999998"/>
    <n v="0.95318938569119571"/>
    <n v="340200"/>
    <n v="0"/>
    <n v="340200"/>
    <n v="36900"/>
    <n v="377100"/>
    <n v="0.17027863777089783"/>
    <n v="-0.36815068493150682"/>
    <n v="8.0206244629046117E-2"/>
    <n v="1.1390056332364076"/>
  </r>
  <r>
    <n v="2025"/>
    <n v="18132214429"/>
    <n v="-1.7147984280919266"/>
    <n v="0.18"/>
    <n v="7730"/>
    <n v="6"/>
    <s v="RES"/>
    <n v="3033"/>
    <s v="YC2"/>
    <s v="R1"/>
    <n v="11"/>
    <n v="259"/>
    <s v="RN"/>
    <x v="4"/>
    <s v="VG"/>
    <x v="7"/>
    <n v="1940"/>
    <n v="1987"/>
    <n v="84"/>
    <n v="37"/>
    <n v="1"/>
    <n v="1017"/>
    <n v="0"/>
    <n v="0"/>
    <n v="1017"/>
    <n v="0"/>
    <n v="1017"/>
    <n v="2034"/>
    <n v="2500"/>
    <n v="0"/>
    <m/>
    <s v="FD"/>
    <s v="E"/>
    <s v="N"/>
    <n v="1"/>
    <n v="0"/>
    <n v="0"/>
    <n v="1"/>
    <n v="0"/>
    <n v="8"/>
    <n v="0"/>
    <n v="0"/>
    <n v="0"/>
    <n v="0"/>
    <n v="0"/>
    <n v="0"/>
    <n v="100"/>
    <n v="100"/>
    <n v="210644"/>
    <n v="189580"/>
    <n v="914"/>
    <n v="365"/>
    <n v="365"/>
    <n v="184"/>
    <d v="2021-07-01T00:00:00"/>
    <s v="E032036"/>
    <n v="319900"/>
    <n v="319900"/>
    <s v="SWD"/>
    <n v="30"/>
    <s v="N"/>
    <s v="Y"/>
    <n v="352400"/>
    <n v="54700"/>
    <n v="297700"/>
    <n v="0"/>
    <n v="1.1015942482025634"/>
    <n v="376121.16343229188"/>
    <n v="422288.34269469761"/>
    <n v="-46167.179268670006"/>
    <n v="0"/>
    <n v="89850.625589999996"/>
    <n v="-54281.285314520763"/>
    <n v="0"/>
    <n v="284810.60806"/>
    <n v="-8252.6872185000011"/>
    <n v="50248.617264909"/>
    <n v="0"/>
    <n v="0"/>
    <n v="29576.287466198999"/>
    <n v="30336.176841600001"/>
    <n v="0"/>
    <n v="376121.16342101723"/>
    <n v="0"/>
    <n v="340600"/>
    <n v="35600"/>
    <n v="376200"/>
    <n v="1.1759924976555174"/>
    <n v="6.7536889897843358E-2"/>
    <n v="0.99970000000000003"/>
    <n v="0.99180000000000001"/>
    <n v="1.0158"/>
    <n v="0.98919999999999997"/>
    <n v="0.98909999999999998"/>
    <n v="0.94971499999999998"/>
    <n v="0.93615965215328845"/>
    <n v="386700"/>
    <n v="0"/>
    <n v="386700"/>
    <n v="33800"/>
    <n v="420500"/>
    <n v="0.29895868323815922"/>
    <n v="-0.38208409506398539"/>
    <n v="0.19324631101021567"/>
    <n v="1.1701557384536729"/>
  </r>
  <r>
    <n v="2025"/>
    <n v="18132322015"/>
    <n v="-1.7719568419318752"/>
    <n v="0.17"/>
    <n v="7313"/>
    <n v="6"/>
    <s v="RES"/>
    <n v="3033"/>
    <s v="YC2"/>
    <s v="R1"/>
    <n v="11"/>
    <n v="259"/>
    <s v="TD"/>
    <x v="0"/>
    <s v="FR"/>
    <x v="7"/>
    <n v="1940"/>
    <n v="1972"/>
    <n v="84"/>
    <n v="52"/>
    <n v="1"/>
    <n v="656"/>
    <n v="0"/>
    <n v="0"/>
    <n v="656"/>
    <n v="519"/>
    <n v="137"/>
    <n v="793"/>
    <n v="1000"/>
    <n v="0"/>
    <m/>
    <s v="FD"/>
    <s v="O"/>
    <m/>
    <n v="0"/>
    <n v="0"/>
    <n v="0"/>
    <n v="1"/>
    <n v="0"/>
    <n v="8"/>
    <n v="0"/>
    <n v="0"/>
    <n v="0"/>
    <n v="0"/>
    <n v="126"/>
    <n v="138"/>
    <n v="100"/>
    <n v="100"/>
    <n v="139390"/>
    <n v="75271"/>
    <n v="439"/>
    <n v="365"/>
    <n v="74"/>
    <n v="0"/>
    <d v="2022-10-19T00:00:00"/>
    <s v="E038511"/>
    <n v="190000"/>
    <n v="187098"/>
    <s v="SWD"/>
    <n v="30"/>
    <s v="N"/>
    <s v="Y"/>
    <n v="237100"/>
    <n v="52700"/>
    <n v="184400"/>
    <n v="2902"/>
    <n v="1.2478947368421052"/>
    <n v="234355.50920988753"/>
    <n v="259259.49625412902"/>
    <n v="-24903.987045802001"/>
    <n v="0"/>
    <n v="89850.625589999996"/>
    <n v="-56090.612940989391"/>
    <n v="21557.329055999999"/>
    <n v="133714.53821"/>
    <n v="-11598.371226000001"/>
    <n v="32412.087439311999"/>
    <n v="0"/>
    <n v="0"/>
    <n v="19077.723282031999"/>
    <n v="30336.176841600001"/>
    <n v="0"/>
    <n v="234355.50920615261"/>
    <n v="2900"/>
    <n v="200600"/>
    <n v="33800"/>
    <n v="237300"/>
    <n v="1.2489473684210526"/>
    <n v="8.4352593842260647E-4"/>
    <n v="0.99970000000000003"/>
    <n v="1.0067999999999999"/>
    <n v="0.99329999999999996"/>
    <n v="1.0148999999999999"/>
    <n v="0.98909999999999998"/>
    <n v="0.94971499999999998"/>
    <n v="0.95341151768438748"/>
    <n v="225500"/>
    <n v="2800"/>
    <n v="228300"/>
    <n v="32100"/>
    <n v="260400"/>
    <n v="0.23806941431670281"/>
    <n v="-0.39089184060721061"/>
    <n v="9.8270771826233658E-2"/>
    <n v="1.2394526997589368"/>
  </r>
  <r>
    <n v="2025"/>
    <n v="18132241032"/>
    <n v="-1.4696759700589417"/>
    <n v="0.23"/>
    <n v="9968"/>
    <n v="6"/>
    <s v="RES"/>
    <n v="3033"/>
    <s v="YC2"/>
    <s v="R1"/>
    <n v="11"/>
    <n v="259"/>
    <s v="CC"/>
    <x v="0"/>
    <s v="GD"/>
    <x v="7"/>
    <n v="1938"/>
    <n v="1971"/>
    <n v="86"/>
    <n v="53"/>
    <n v="2"/>
    <n v="1003"/>
    <n v="669"/>
    <n v="0"/>
    <n v="1003"/>
    <n v="0"/>
    <n v="1003"/>
    <n v="2675"/>
    <n v="3000"/>
    <n v="0"/>
    <m/>
    <s v="FD"/>
    <s v="G"/>
    <s v="Y"/>
    <n v="0"/>
    <n v="1"/>
    <n v="0"/>
    <n v="1"/>
    <n v="0"/>
    <n v="9"/>
    <n v="0"/>
    <n v="0"/>
    <n v="0"/>
    <n v="0"/>
    <n v="414"/>
    <n v="0"/>
    <n v="100"/>
    <n v="100"/>
    <n v="317121"/>
    <n v="241012"/>
    <n v="224"/>
    <n v="224"/>
    <n v="0"/>
    <n v="0"/>
    <d v="2023-05-22T00:00:00"/>
    <s v="E040312"/>
    <n v="435000"/>
    <n v="421533"/>
    <s v="SWD"/>
    <n v="30"/>
    <s v="N"/>
    <s v="Y"/>
    <n v="390400"/>
    <n v="63300"/>
    <n v="327100"/>
    <n v="13467"/>
    <n v="0.8974712643678161"/>
    <n v="377828.1735641777"/>
    <n v="393633.20959491166"/>
    <n v="-15805.036031680002"/>
    <n v="0"/>
    <n v="89850.625589999996"/>
    <n v="-46522.028095997222"/>
    <n v="21557.329055999999"/>
    <n v="197752.34721000001"/>
    <n v="-11821.416826500001"/>
    <n v="49556.895886630999"/>
    <n v="29962.116894008999"/>
    <n v="0"/>
    <n v="29169.140932741"/>
    <n v="34128.198946800003"/>
    <n v="0"/>
    <n v="377828.17356200377"/>
    <n v="13500"/>
    <n v="334500"/>
    <n v="43300"/>
    <n v="391300"/>
    <n v="0.89954022988505744"/>
    <n v="2.305327868852459E-3"/>
    <n v="0.99970000000000003"/>
    <n v="1.0067999999999999"/>
    <n v="0.99650000000000005"/>
    <n v="0.96179999999999999"/>
    <n v="0.98909999999999998"/>
    <n v="0.94971499999999998"/>
    <n v="0.90643941515937176"/>
    <n v="350300"/>
    <n v="12800"/>
    <n v="363100"/>
    <n v="41100"/>
    <n v="404200"/>
    <n v="0.11005808621216753"/>
    <n v="-0.35071090047393366"/>
    <n v="3.5348360655737703E-2"/>
    <n v="0.89286198613406897"/>
  </r>
  <r>
    <n v="2025"/>
    <n v="18132243046"/>
    <n v="-1.3862943611198906"/>
    <n v="0.25"/>
    <n v="10824"/>
    <n v="6"/>
    <s v="RES"/>
    <s v="YC2"/>
    <s v="YC2"/>
    <s v="R1"/>
    <n v="11"/>
    <n v="259"/>
    <s v="CO"/>
    <x v="0"/>
    <s v="FR"/>
    <x v="7"/>
    <n v="1938"/>
    <n v="1971"/>
    <n v="86"/>
    <n v="53"/>
    <n v="2"/>
    <n v="1105"/>
    <n v="724"/>
    <n v="0"/>
    <n v="400"/>
    <n v="200"/>
    <n v="200"/>
    <n v="2029"/>
    <n v="2500"/>
    <n v="0"/>
    <m/>
    <s v="FD"/>
    <s v="G"/>
    <s v="N"/>
    <n v="0"/>
    <n v="1"/>
    <n v="0"/>
    <n v="0"/>
    <n v="0"/>
    <n v="8"/>
    <n v="0"/>
    <n v="0"/>
    <n v="270"/>
    <n v="0"/>
    <n v="540"/>
    <n v="240"/>
    <n v="100"/>
    <n v="100"/>
    <n v="273921"/>
    <n v="142439"/>
    <n v="126"/>
    <n v="126"/>
    <n v="0"/>
    <n v="0"/>
    <d v="2023-08-28T00:00:00"/>
    <s v="E041306"/>
    <n v="305000"/>
    <n v="303729"/>
    <s v="SWD"/>
    <n v="30"/>
    <s v="N"/>
    <s v="Y"/>
    <n v="328700"/>
    <n v="66200"/>
    <n v="262500"/>
    <n v="1271"/>
    <n v="1.0777049180327869"/>
    <n v="309519.01326483581"/>
    <n v="318409.34603212366"/>
    <n v="-8890.3327678200003"/>
    <n v="0"/>
    <n v="89850.625589999996"/>
    <n v="-43882.615305165229"/>
    <n v="21557.329055999999"/>
    <n v="133714.53821"/>
    <n v="-11821.416826500001"/>
    <n v="54596.580214084999"/>
    <n v="32425.370151363997"/>
    <n v="0"/>
    <n v="11632.758098799999"/>
    <n v="30336.176841600001"/>
    <n v="0"/>
    <n v="309519.01326236373"/>
    <n v="1300"/>
    <n v="263600"/>
    <n v="46000"/>
    <n v="310900"/>
    <n v="1.0193442622950819"/>
    <n v="-5.415272284758138E-2"/>
    <n v="0.99970000000000003"/>
    <n v="1.0067999999999999"/>
    <n v="0.99329999999999996"/>
    <n v="0.98919999999999997"/>
    <n v="0.98909999999999998"/>
    <n v="0.94971499999999998"/>
    <n v="0.92926857157690035"/>
    <n v="272400"/>
    <n v="1200"/>
    <n v="273600"/>
    <n v="43700"/>
    <n v="317300"/>
    <n v="4.2285714285714288E-2"/>
    <n v="-0.33987915407854985"/>
    <n v="-3.4682080924855488E-2"/>
    <n v="1.0111792368268198"/>
  </r>
  <r>
    <n v="2025"/>
    <n v="18132342408"/>
    <n v="-1.7147984280919266"/>
    <n v="0.18"/>
    <n v="0"/>
    <n v="6"/>
    <s v="RES"/>
    <n v="3033"/>
    <s v="YC2"/>
    <s v="R1"/>
    <n v="11"/>
    <n v="259"/>
    <s v="CO"/>
    <x v="1"/>
    <s v="AV"/>
    <x v="7"/>
    <n v="1938"/>
    <n v="1971"/>
    <n v="86"/>
    <n v="53"/>
    <n v="2"/>
    <n v="1326"/>
    <n v="270"/>
    <n v="0"/>
    <n v="1018"/>
    <n v="418"/>
    <n v="600"/>
    <n v="2196"/>
    <n v="2500"/>
    <n v="1"/>
    <m/>
    <s v="FD"/>
    <s v="G"/>
    <s v="Y"/>
    <n v="0"/>
    <n v="1"/>
    <n v="0"/>
    <n v="1"/>
    <n v="1"/>
    <n v="10"/>
    <n v="0"/>
    <n v="238"/>
    <n v="0"/>
    <n v="0"/>
    <n v="0"/>
    <n v="0"/>
    <n v="100"/>
    <n v="100"/>
    <n v="379860"/>
    <n v="258305"/>
    <n v="250"/>
    <n v="250"/>
    <n v="0"/>
    <n v="0"/>
    <d v="2023-04-26T00:00:00"/>
    <s v="E040049"/>
    <n v="359500"/>
    <n v="339762"/>
    <s v="SWD"/>
    <n v="30"/>
    <s v="N"/>
    <s v="Y"/>
    <n v="376700"/>
    <n v="54700"/>
    <n v="322000"/>
    <n v="19738"/>
    <n v="1.0478442280945759"/>
    <n v="355835.43642958713"/>
    <n v="373474.98557103128"/>
    <n v="-17639.5491425"/>
    <n v="0"/>
    <n v="89850.625589999996"/>
    <n v="-54281.285314520763"/>
    <n v="44121.038090000002"/>
    <n v="160472.20319"/>
    <n v="-11821.416826500001"/>
    <n v="65515.896256902"/>
    <n v="12092.33417247"/>
    <n v="0"/>
    <n v="29605.369361445999"/>
    <n v="37920.221052000001"/>
    <n v="0"/>
    <n v="355835.43642929726"/>
    <n v="19700"/>
    <n v="320300"/>
    <n v="35600"/>
    <n v="375600"/>
    <n v="1.0447844228094576"/>
    <n v="-2.9200955667640031E-3"/>
    <n v="0.99970000000000003"/>
    <n v="0.98050000000000004"/>
    <n v="0.99729999999999996"/>
    <n v="0.98919999999999997"/>
    <n v="0.98909999999999998"/>
    <n v="0.94971499999999998"/>
    <n v="0.9086382690108219"/>
    <n v="337900"/>
    <n v="18700"/>
    <n v="356600"/>
    <n v="33800"/>
    <n v="390400"/>
    <n v="0.10745341614906832"/>
    <n v="-0.38208409506398539"/>
    <n v="3.6368462967878948E-2"/>
    <n v="1.0368858160152992"/>
  </r>
  <r>
    <n v="2025"/>
    <n v="18132331419"/>
    <n v="-1.8971199848858813"/>
    <n v="0.15"/>
    <n v="0"/>
    <n v="6"/>
    <s v="RES"/>
    <n v="3033"/>
    <s v="YC2"/>
    <s v="R1"/>
    <n v="11"/>
    <n v="259"/>
    <s v="TD"/>
    <x v="0"/>
    <s v="GD"/>
    <x v="7"/>
    <n v="1938"/>
    <n v="1971"/>
    <n v="86"/>
    <n v="53"/>
    <n v="1"/>
    <n v="1912"/>
    <n v="0"/>
    <n v="0"/>
    <n v="0"/>
    <n v="0"/>
    <n v="0"/>
    <n v="1912"/>
    <n v="2000"/>
    <n v="0"/>
    <m/>
    <s v="FD"/>
    <s v="G"/>
    <s v="Y"/>
    <n v="0"/>
    <n v="1"/>
    <n v="0"/>
    <n v="2"/>
    <n v="0"/>
    <n v="11"/>
    <n v="0"/>
    <n v="0"/>
    <n v="624"/>
    <n v="0"/>
    <n v="0"/>
    <n v="0"/>
    <n v="100"/>
    <n v="100"/>
    <n v="277123"/>
    <n v="210613"/>
    <n v="565"/>
    <n v="365"/>
    <n v="200"/>
    <n v="0"/>
    <d v="2022-06-15T00:00:00"/>
    <s v="E037133"/>
    <n v="335000"/>
    <n v="335000"/>
    <s v="SWD"/>
    <n v="30"/>
    <s v="N"/>
    <s v="Y"/>
    <n v="344400"/>
    <n v="48400"/>
    <n v="296000"/>
    <n v="0"/>
    <n v="1.0280597014925372"/>
    <n v="350010.79344003508"/>
    <n v="373467.90085609234"/>
    <n v="-23457.107417650001"/>
    <n v="0"/>
    <n v="89850.625589999996"/>
    <n v="-60052.604136134301"/>
    <n v="21557.329055999999"/>
    <n v="197752.34721000001"/>
    <n v="-11821.416826500001"/>
    <n v="94469.376804824002"/>
    <n v="0"/>
    <n v="0"/>
    <n v="0"/>
    <n v="41712.243157199999"/>
    <n v="0"/>
    <n v="350010.79343773972"/>
    <n v="0"/>
    <n v="320200"/>
    <n v="29800"/>
    <n v="350000"/>
    <n v="1.044776119402985"/>
    <n v="1.6260162601626018E-2"/>
    <n v="0.99970000000000003"/>
    <n v="1.0067999999999999"/>
    <n v="0.99650000000000005"/>
    <n v="1.0093000000000001"/>
    <n v="0.98909999999999998"/>
    <n v="0.94971499999999998"/>
    <n v="0.95120534593507355"/>
    <n v="343700"/>
    <n v="0"/>
    <n v="343700"/>
    <n v="28300"/>
    <n v="372000"/>
    <n v="0.16114864864864864"/>
    <n v="-0.41528925619834711"/>
    <n v="8.0139372822299645E-2"/>
    <n v="1.0404265450219403"/>
  </r>
  <r>
    <n v="2025"/>
    <n v="18132331488"/>
    <n v="-1.4696759700589417"/>
    <n v="0.23"/>
    <n v="9914"/>
    <n v="6"/>
    <s v="RES"/>
    <n v="3032"/>
    <s v="YC2"/>
    <s v="R1"/>
    <n v="11"/>
    <n v="259"/>
    <s v="RN"/>
    <x v="1"/>
    <s v="VG"/>
    <x v="7"/>
    <n v="1938"/>
    <n v="1971"/>
    <n v="86"/>
    <n v="53"/>
    <n v="1"/>
    <n v="1977"/>
    <n v="0"/>
    <n v="0"/>
    <n v="770"/>
    <n v="0"/>
    <n v="770"/>
    <n v="2747"/>
    <n v="3000"/>
    <n v="0"/>
    <m/>
    <s v="HP"/>
    <s v="E"/>
    <m/>
    <n v="0"/>
    <n v="1"/>
    <n v="0"/>
    <n v="1"/>
    <n v="0"/>
    <n v="10"/>
    <n v="0"/>
    <n v="0"/>
    <n v="0"/>
    <n v="0"/>
    <n v="0"/>
    <n v="0"/>
    <n v="100"/>
    <n v="100"/>
    <n v="451456"/>
    <n v="365679"/>
    <n v="818"/>
    <n v="365"/>
    <n v="365"/>
    <n v="88"/>
    <d v="2021-10-05T00:00:00"/>
    <s v="E033526"/>
    <n v="485000"/>
    <n v="442325"/>
    <s v="SWD"/>
    <n v="30"/>
    <s v="N"/>
    <s v="Y"/>
    <n v="490900"/>
    <n v="63300"/>
    <n v="427600"/>
    <n v="42675"/>
    <n v="1.0121649484536082"/>
    <n v="485103.15273539256"/>
    <n v="518433.0475618135"/>
    <n v="-33329.894830270001"/>
    <n v="0"/>
    <n v="89850.625589999996"/>
    <n v="-46522.028095997222"/>
    <n v="44121.038090000002"/>
    <n v="284810.60806"/>
    <n v="-11821.416826500001"/>
    <n v="97680.940346828997"/>
    <n v="0"/>
    <n v="0"/>
    <n v="22393.059340190001"/>
    <n v="37920.221052000001"/>
    <n v="0"/>
    <n v="485103.15272625186"/>
    <n v="42700"/>
    <n v="441800"/>
    <n v="43300"/>
    <n v="527800"/>
    <n v="1.0882474226804124"/>
    <n v="7.5168058667753113E-2"/>
    <n v="0.99970000000000003"/>
    <n v="0.98050000000000004"/>
    <n v="1.0158"/>
    <n v="0.96179999999999999"/>
    <n v="0.98909999999999998"/>
    <n v="0.94971499999999998"/>
    <n v="0.89985819990494287"/>
    <n v="475100"/>
    <n v="40500"/>
    <n v="515600"/>
    <n v="41100"/>
    <n v="556700"/>
    <n v="0.205799812909261"/>
    <n v="-0.35071090047393366"/>
    <n v="0.13403951925035648"/>
    <n v="1.0791136189066599"/>
  </r>
  <r>
    <n v="2025"/>
    <n v="18132213005"/>
    <n v="-1.7147984280919266"/>
    <n v="0.18"/>
    <n v="7750"/>
    <n v="6"/>
    <s v="RES"/>
    <n v="3033"/>
    <s v="YC2"/>
    <s v="R1"/>
    <n v="11"/>
    <n v="259"/>
    <s v="TD"/>
    <x v="0"/>
    <s v="GD"/>
    <x v="7"/>
    <n v="1938"/>
    <n v="1981"/>
    <n v="86"/>
    <n v="43"/>
    <n v="1"/>
    <n v="929"/>
    <n v="0"/>
    <n v="0"/>
    <n v="896"/>
    <n v="150"/>
    <n v="746"/>
    <n v="1675"/>
    <n v="2000"/>
    <n v="0"/>
    <m/>
    <s v="FD"/>
    <s v="G"/>
    <s v="Y"/>
    <n v="0"/>
    <n v="0"/>
    <n v="0"/>
    <n v="1"/>
    <n v="0"/>
    <n v="8"/>
    <n v="0"/>
    <n v="0"/>
    <n v="0"/>
    <n v="0"/>
    <n v="0"/>
    <n v="0"/>
    <n v="100"/>
    <n v="100"/>
    <n v="201188"/>
    <n v="168998"/>
    <n v="1026"/>
    <n v="365"/>
    <n v="365"/>
    <n v="296"/>
    <d v="2021-03-11T00:00:00"/>
    <s v="E030437"/>
    <n v="230000"/>
    <n v="225286"/>
    <s v="SWD"/>
    <n v="30"/>
    <s v="N"/>
    <s v="Y"/>
    <n v="323700"/>
    <n v="54700"/>
    <n v="269000"/>
    <n v="4714"/>
    <n v="1.4073913043478261"/>
    <n v="286438.25391525158"/>
    <n v="347582.26501963945"/>
    <n v="-61144.011113470006"/>
    <n v="0"/>
    <n v="89850.625589999996"/>
    <n v="-54281.285314520763"/>
    <n v="21557.329055999999"/>
    <n v="197752.34721000001"/>
    <n v="-9590.9608215000007"/>
    <n v="45900.654315733002"/>
    <n v="0"/>
    <n v="0"/>
    <n v="26057.378141311998"/>
    <n v="30336.176841600001"/>
    <n v="0"/>
    <n v="286438.25390515424"/>
    <n v="4700"/>
    <n v="250900"/>
    <n v="35600"/>
    <n v="291200"/>
    <n v="1.2660869565217392"/>
    <n v="-0.10040160642570281"/>
    <n v="0.99970000000000003"/>
    <n v="1.0067999999999999"/>
    <n v="0.99650000000000005"/>
    <n v="1.0093000000000001"/>
    <n v="0.98909999999999998"/>
    <n v="0.94971499999999998"/>
    <n v="0.95120534593507355"/>
    <n v="312000"/>
    <n v="4500"/>
    <n v="316500"/>
    <n v="33800"/>
    <n v="350300"/>
    <n v="0.17657992565055763"/>
    <n v="-0.38208409506398539"/>
    <n v="8.2174853259190606E-2"/>
    <n v="1.2571999516805652"/>
  </r>
  <r>
    <n v="2025"/>
    <n v="18132242019"/>
    <n v="-1.2039728043259361"/>
    <n v="0.3"/>
    <n v="12997"/>
    <n v="6"/>
    <s v="RES"/>
    <n v="3033"/>
    <s v="YC2"/>
    <s v="R1"/>
    <n v="11"/>
    <n v="259"/>
    <s v="BG"/>
    <x v="1"/>
    <s v="AV"/>
    <x v="7"/>
    <n v="1937"/>
    <n v="1971"/>
    <n v="87"/>
    <n v="53"/>
    <n v="1"/>
    <n v="1904"/>
    <n v="0"/>
    <n v="0"/>
    <n v="1904"/>
    <n v="563"/>
    <n v="1341"/>
    <n v="3245"/>
    <n v="3500"/>
    <n v="0"/>
    <m/>
    <s v="FD"/>
    <s v="O"/>
    <s v="Y"/>
    <n v="0"/>
    <n v="1"/>
    <n v="0"/>
    <n v="1"/>
    <n v="0"/>
    <n v="11"/>
    <n v="0"/>
    <n v="0"/>
    <n v="0"/>
    <n v="785"/>
    <n v="364"/>
    <n v="0"/>
    <n v="100"/>
    <n v="100"/>
    <n v="550619"/>
    <n v="374421"/>
    <n v="1055"/>
    <n v="365"/>
    <n v="365"/>
    <n v="325"/>
    <d v="2021-02-10T00:00:00"/>
    <s v="E030116"/>
    <n v="345000"/>
    <n v="333488"/>
    <s v="SWD"/>
    <n v="30"/>
    <s v="N"/>
    <s v="Y"/>
    <n v="441200"/>
    <n v="72500"/>
    <n v="368700"/>
    <n v="11512"/>
    <n v="1.278840579710145"/>
    <n v="396784.4714263627"/>
    <n v="461806.41220412095"/>
    <n v="-65021.940787570005"/>
    <n v="0"/>
    <n v="89850.625589999996"/>
    <n v="-38111.29648355169"/>
    <n v="44121.038090000002"/>
    <n v="160472.20319"/>
    <n v="-11821.416826500001"/>
    <n v="94074.107445807997"/>
    <n v="0"/>
    <n v="0"/>
    <n v="55371.928550287994"/>
    <n v="41712.243157199999"/>
    <n v="26136.979491660004"/>
    <n v="396784.47141733434"/>
    <n v="11500"/>
    <n v="345000"/>
    <n v="51700"/>
    <n v="408200"/>
    <n v="1.1831884057971014"/>
    <n v="-7.4796010879419769E-2"/>
    <n v="0.99970000000000003"/>
    <n v="0.98050000000000004"/>
    <n v="0.99729999999999996"/>
    <n v="1.0126999999999999"/>
    <n v="0.98909999999999998"/>
    <n v="0.94971499999999998"/>
    <n v="0.93022439853139849"/>
    <n v="410100"/>
    <n v="10900"/>
    <n v="421000"/>
    <n v="49100"/>
    <n v="470100"/>
    <n v="0.14184974233794412"/>
    <n v="-0.32275862068965516"/>
    <n v="6.5503173164097914E-2"/>
    <n v="1.1741393020650144"/>
  </r>
  <r>
    <n v="2025"/>
    <n v="18132332543"/>
    <n v="-1.6094379124341003"/>
    <n v="0.2"/>
    <n v="8580"/>
    <n v="6"/>
    <s v="RES"/>
    <n v="3032"/>
    <s v="YC2"/>
    <s v="R1"/>
    <n v="11"/>
    <n v="259"/>
    <s v="CO"/>
    <x v="0"/>
    <s v="GD"/>
    <x v="7"/>
    <n v="1936"/>
    <n v="1971"/>
    <n v="88"/>
    <n v="53"/>
    <n v="2"/>
    <n v="1007"/>
    <n v="493"/>
    <n v="0"/>
    <n v="1007"/>
    <n v="507"/>
    <n v="500"/>
    <n v="2000"/>
    <n v="2500"/>
    <n v="0"/>
    <m/>
    <s v="HP"/>
    <s v="E"/>
    <m/>
    <n v="0"/>
    <n v="1"/>
    <n v="0"/>
    <n v="1"/>
    <n v="0"/>
    <n v="9"/>
    <n v="0"/>
    <n v="0"/>
    <n v="0"/>
    <n v="126"/>
    <n v="0"/>
    <n v="0"/>
    <n v="100"/>
    <n v="100"/>
    <n v="264651"/>
    <n v="201135"/>
    <n v="222"/>
    <n v="222"/>
    <n v="0"/>
    <n v="0"/>
    <d v="2023-05-24T00:00:00"/>
    <s v="E040355"/>
    <n v="407500"/>
    <n v="401476"/>
    <s v="SWD"/>
    <n v="30"/>
    <s v="N"/>
    <s v="Y"/>
    <n v="356100"/>
    <n v="58400"/>
    <n v="297700"/>
    <n v="6024"/>
    <n v="0.87386503067484667"/>
    <n v="370171.96613791405"/>
    <n v="385835.88577551645"/>
    <n v="-15663.919638540001"/>
    <n v="0"/>
    <n v="89850.625589999996"/>
    <n v="-50946.13867709865"/>
    <n v="21557.329055999999"/>
    <n v="197752.34721000001"/>
    <n v="-11821.416826500001"/>
    <n v="49754.530566139001"/>
    <n v="22079.706470473"/>
    <n v="0"/>
    <n v="29285.468513729"/>
    <n v="34128.198946800003"/>
    <n v="4195.2349247760003"/>
    <n v="370171.96613577835"/>
    <n v="6000"/>
    <n v="331300"/>
    <n v="38900"/>
    <n v="376200"/>
    <n v="0.92319018404907971"/>
    <n v="5.6444818871103621E-2"/>
    <n v="0.99970000000000003"/>
    <n v="1.0067999999999999"/>
    <n v="0.99650000000000005"/>
    <n v="0.98919999999999997"/>
    <n v="0.98909999999999998"/>
    <n v="0.94971499999999998"/>
    <n v="0.9322622889120924"/>
    <n v="346900"/>
    <n v="5700"/>
    <n v="352600"/>
    <n v="36900"/>
    <n v="389500"/>
    <n v="0.18441383943567349"/>
    <n v="-0.36815068493150682"/>
    <n v="9.3793878124122432E-2"/>
    <n v="0.91738915426125145"/>
  </r>
  <r>
    <n v="2025"/>
    <n v="18132331413"/>
    <n v="-1.1086626245216111"/>
    <n v="0.33"/>
    <n v="14171"/>
    <n v="6"/>
    <s v="RES"/>
    <n v="3032"/>
    <s v="YC2"/>
    <s v="R1"/>
    <n v="11"/>
    <n v="259"/>
    <s v="CL"/>
    <x v="3"/>
    <s v="VG"/>
    <x v="7"/>
    <n v="1935"/>
    <n v="1971"/>
    <n v="89"/>
    <n v="53"/>
    <n v="2"/>
    <n v="1299"/>
    <n v="984"/>
    <n v="0"/>
    <n v="1038"/>
    <n v="726"/>
    <n v="312"/>
    <n v="2595"/>
    <n v="3000"/>
    <n v="0"/>
    <m/>
    <s v="FD"/>
    <s v="G"/>
    <s v="Y"/>
    <n v="0"/>
    <n v="2"/>
    <n v="0"/>
    <n v="1"/>
    <n v="2"/>
    <n v="16"/>
    <n v="0"/>
    <n v="0"/>
    <n v="0"/>
    <n v="0"/>
    <n v="146"/>
    <n v="80"/>
    <n v="100"/>
    <n v="100"/>
    <n v="524636"/>
    <n v="403970"/>
    <n v="180"/>
    <n v="180"/>
    <n v="0"/>
    <n v="0"/>
    <d v="2023-07-05T00:00:00"/>
    <s v="E040770"/>
    <n v="730000"/>
    <n v="722314"/>
    <s v="SWD"/>
    <n v="30"/>
    <s v="N"/>
    <s v="Y"/>
    <n v="546900"/>
    <n v="75900"/>
    <n v="471000"/>
    <n v="7686"/>
    <n v="0.74917808219178084"/>
    <n v="588424.52496127936"/>
    <n v="601125.00034311914"/>
    <n v="-12700.475382600001"/>
    <n v="0"/>
    <n v="89850.625589999996"/>
    <n v="-35094.289365640165"/>
    <n v="74268.409664999999"/>
    <n v="284810.60806"/>
    <n v="-11821.416826500001"/>
    <n v="64181.862170223001"/>
    <n v="44069.840095223997"/>
    <n v="0"/>
    <n v="30187.007266385997"/>
    <n v="60672.353683200003"/>
    <n v="0"/>
    <n v="588424.52495529281"/>
    <n v="7700"/>
    <n v="533700"/>
    <n v="54800"/>
    <n v="596200"/>
    <n v="0.8167123287671233"/>
    <n v="9.0144450539403911E-2"/>
    <n v="0.99970000000000003"/>
    <n v="0.98380000000000001"/>
    <n v="1.0158"/>
    <n v="0.96179999999999999"/>
    <n v="0.98909999999999998"/>
    <n v="0.94971499999999998"/>
    <n v="0.90288678946097178"/>
    <n v="546400"/>
    <n v="7300"/>
    <n v="553700"/>
    <n v="52000"/>
    <n v="605700"/>
    <n v="0.17558386411889595"/>
    <n v="-0.31488801054018445"/>
    <n v="0.10751508502468458"/>
    <n v="0.81232811591424658"/>
  </r>
  <r>
    <n v="2025"/>
    <n v="18132334005"/>
    <n v="-1.4271163556401458"/>
    <n v="0.24"/>
    <n v="10273"/>
    <n v="6"/>
    <s v="RES"/>
    <n v="3032"/>
    <s v="YC2"/>
    <s v="R1"/>
    <n v="11"/>
    <n v="259"/>
    <s v="RN"/>
    <x v="1"/>
    <s v="GD"/>
    <x v="7"/>
    <n v="1935"/>
    <n v="1971"/>
    <n v="89"/>
    <n v="53"/>
    <n v="1"/>
    <n v="1627"/>
    <n v="0"/>
    <n v="0"/>
    <n v="910"/>
    <n v="0"/>
    <n v="910"/>
    <n v="2537"/>
    <n v="3000"/>
    <n v="0"/>
    <m/>
    <s v="FD"/>
    <s v="G"/>
    <s v="Y"/>
    <n v="0"/>
    <n v="1"/>
    <n v="0"/>
    <n v="1"/>
    <n v="0"/>
    <n v="8"/>
    <n v="0"/>
    <n v="0"/>
    <n v="0"/>
    <n v="0"/>
    <n v="440"/>
    <n v="0"/>
    <n v="100"/>
    <n v="100"/>
    <n v="419097"/>
    <n v="318514"/>
    <n v="697"/>
    <n v="365"/>
    <n v="332"/>
    <n v="0"/>
    <d v="2022-02-03T00:00:00"/>
    <s v="E035247"/>
    <n v="468769"/>
    <n v="457372"/>
    <s v="SWD"/>
    <n v="30"/>
    <s v="N"/>
    <s v="Y"/>
    <n v="403000"/>
    <n v="64800"/>
    <n v="338200"/>
    <n v="11397"/>
    <n v="0.8596984868879981"/>
    <n v="389975.05285753345"/>
    <n v="411916.38161549286"/>
    <n v="-21941.328759586002"/>
    <n v="0"/>
    <n v="89850.625589999996"/>
    <n v="-45174.819855485119"/>
    <n v="44121.038090000002"/>
    <n v="197752.34721000001"/>
    <n v="-11821.416826500001"/>
    <n v="80387.905889878995"/>
    <n v="0"/>
    <n v="0"/>
    <n v="26464.52467477"/>
    <n v="30336.176841600001"/>
    <n v="0"/>
    <n v="389975.0528546779"/>
    <n v="11400"/>
    <n v="345300"/>
    <n v="44700"/>
    <n v="401400"/>
    <n v="0.85628529190283487"/>
    <n v="-3.9702233250620347E-3"/>
    <n v="0.99970000000000003"/>
    <n v="0.98050000000000004"/>
    <n v="0.99650000000000005"/>
    <n v="0.96179999999999999"/>
    <n v="0.98909999999999998"/>
    <n v="0.94971499999999998"/>
    <n v="0.88276107127906644"/>
    <n v="367200"/>
    <n v="10800"/>
    <n v="378000"/>
    <n v="42400"/>
    <n v="420400"/>
    <n v="0.11768184506209343"/>
    <n v="-0.34567901234567899"/>
    <n v="4.3176178660049629E-2"/>
    <n v="0.85001071154537533"/>
  </r>
  <r>
    <n v="2025"/>
    <n v="18132241003"/>
    <n v="-1.6094379124341003"/>
    <n v="0.2"/>
    <n v="8534"/>
    <n v="6"/>
    <s v="RES"/>
    <n v="3033"/>
    <s v="YC2"/>
    <s v="R1"/>
    <n v="11"/>
    <n v="259"/>
    <s v="CC"/>
    <x v="0"/>
    <s v="GD"/>
    <x v="7"/>
    <n v="1935"/>
    <n v="1971"/>
    <n v="89"/>
    <n v="53"/>
    <n v="2"/>
    <n v="975"/>
    <n v="510"/>
    <n v="0"/>
    <n v="978"/>
    <n v="489"/>
    <n v="489"/>
    <n v="1974"/>
    <n v="2000"/>
    <n v="0"/>
    <s v="S"/>
    <s v="FD"/>
    <s v="O"/>
    <s v="N"/>
    <n v="0"/>
    <n v="1"/>
    <n v="0"/>
    <n v="1"/>
    <n v="0"/>
    <n v="8"/>
    <n v="0"/>
    <n v="0"/>
    <n v="0"/>
    <n v="0"/>
    <n v="0"/>
    <n v="0"/>
    <n v="100"/>
    <n v="100"/>
    <n v="255103"/>
    <n v="193878"/>
    <n v="277"/>
    <n v="277"/>
    <n v="0"/>
    <n v="0"/>
    <d v="2023-03-30T00:00:00"/>
    <s v="E039800"/>
    <n v="415000"/>
    <n v="406901"/>
    <s v="SWD"/>
    <n v="30"/>
    <s v="N"/>
    <s v="Y"/>
    <n v="354400"/>
    <n v="58400"/>
    <n v="296000"/>
    <n v="8099"/>
    <n v="0.85397590361445785"/>
    <n v="356640.92508724052"/>
    <n v="376185.54553596064"/>
    <n v="-19544.620449890001"/>
    <n v="0"/>
    <n v="89850.625589999996"/>
    <n v="-50946.13867709865"/>
    <n v="21557.329055999999"/>
    <n v="197752.34721000001"/>
    <n v="-11821.416826500001"/>
    <n v="48173.453130075002"/>
    <n v="22841.07565911"/>
    <n v="0"/>
    <n v="28442.093551565998"/>
    <n v="30336.176841600001"/>
    <n v="0"/>
    <n v="356640.92508486228"/>
    <n v="8100"/>
    <n v="317700"/>
    <n v="38900"/>
    <n v="364700"/>
    <n v="0.87879518072289153"/>
    <n v="2.9063205417607225E-2"/>
    <n v="0.99970000000000003"/>
    <n v="1.0067999999999999"/>
    <n v="0.99650000000000005"/>
    <n v="1.0093000000000001"/>
    <n v="0.98909999999999998"/>
    <n v="0.94971499999999998"/>
    <n v="0.95120534593507355"/>
    <n v="337300"/>
    <n v="7700"/>
    <n v="345000"/>
    <n v="36900"/>
    <n v="381900"/>
    <n v="0.16554054054054054"/>
    <n v="-0.36815068493150682"/>
    <n v="7.759593679458239E-2"/>
    <n v="0.87314549289183141"/>
  </r>
  <r>
    <n v="2025"/>
    <n v="18132323028"/>
    <n v="-1.6094379124341003"/>
    <n v="0.2"/>
    <n v="8597"/>
    <n v="6"/>
    <s v="RES"/>
    <n v="3033"/>
    <s v="YC2"/>
    <s v="R1"/>
    <n v="11"/>
    <n v="259"/>
    <s v="CC"/>
    <x v="0"/>
    <s v="GD"/>
    <x v="7"/>
    <n v="1935"/>
    <n v="1973"/>
    <n v="89"/>
    <n v="51"/>
    <n v="2"/>
    <n v="1124"/>
    <n v="384"/>
    <n v="0"/>
    <n v="928"/>
    <n v="0"/>
    <n v="928"/>
    <n v="2436"/>
    <n v="2500"/>
    <n v="1"/>
    <m/>
    <s v="HP"/>
    <s v="E"/>
    <m/>
    <n v="0"/>
    <n v="0"/>
    <n v="2"/>
    <n v="1"/>
    <n v="1"/>
    <n v="11"/>
    <n v="448"/>
    <n v="0"/>
    <n v="0"/>
    <n v="0"/>
    <n v="720"/>
    <n v="320"/>
    <n v="100"/>
    <n v="100"/>
    <n v="310840"/>
    <n v="242455"/>
    <n v="606"/>
    <n v="365"/>
    <n v="241"/>
    <n v="0"/>
    <d v="2022-05-05T00:00:00"/>
    <s v="E036313"/>
    <n v="420000"/>
    <n v="413945"/>
    <s v="SWD"/>
    <n v="30"/>
    <s v="N"/>
    <s v="Y"/>
    <n v="379600"/>
    <n v="58400"/>
    <n v="321200"/>
    <n v="6055"/>
    <n v="0.90380952380952384"/>
    <n v="365286.11344308511"/>
    <n v="388272.41082139988"/>
    <n v="-22986.297379918"/>
    <n v="0"/>
    <n v="89850.625589999996"/>
    <n v="-50946.13867709865"/>
    <n v="21557.329055999999"/>
    <n v="197752.34721000001"/>
    <n v="-11375.3256255"/>
    <n v="55535.344941748001"/>
    <n v="17197.986378623998"/>
    <n v="0"/>
    <n v="26987.998789215999"/>
    <n v="41712.243157199999"/>
    <n v="0"/>
    <n v="365286.11344027129"/>
    <n v="6100"/>
    <n v="326400"/>
    <n v="38900"/>
    <n v="371400"/>
    <n v="0.88428571428571423"/>
    <n v="-2.1601685985247629E-2"/>
    <n v="0.99970000000000003"/>
    <n v="1.0067999999999999"/>
    <n v="0.99650000000000005"/>
    <n v="0.98919999999999997"/>
    <n v="0.98909999999999998"/>
    <n v="0.94971499999999998"/>
    <n v="0.9322622889120924"/>
    <n v="349400"/>
    <n v="5800"/>
    <n v="355200"/>
    <n v="36900"/>
    <n v="392100"/>
    <n v="0.10585305105853052"/>
    <n v="-0.36815068493150682"/>
    <n v="3.2929399367755532E-2"/>
    <n v="0.87884214909543334"/>
  </r>
  <r>
    <n v="2025"/>
    <n v="18132334520"/>
    <n v="-1.8971199848858813"/>
    <n v="0.15"/>
    <n v="0"/>
    <n v="6"/>
    <s v="RES"/>
    <n v="3093"/>
    <s v="YC2"/>
    <s v="R1"/>
    <n v="11"/>
    <n v="259"/>
    <s v="TD"/>
    <x v="0"/>
    <s v="GD"/>
    <x v="7"/>
    <n v="1935"/>
    <n v="1971"/>
    <n v="89"/>
    <n v="53"/>
    <n v="1"/>
    <n v="1380"/>
    <n v="0"/>
    <n v="0"/>
    <n v="672"/>
    <n v="0"/>
    <n v="672"/>
    <n v="2052"/>
    <n v="2500"/>
    <n v="1"/>
    <m/>
    <s v="FD"/>
    <s v="G"/>
    <s v="Y"/>
    <n v="0"/>
    <n v="1"/>
    <n v="0"/>
    <n v="1"/>
    <n v="0"/>
    <n v="9"/>
    <n v="276"/>
    <n v="0"/>
    <n v="0"/>
    <n v="0"/>
    <n v="108"/>
    <n v="108"/>
    <n v="100"/>
    <n v="100"/>
    <n v="272115"/>
    <n v="206807"/>
    <n v="887"/>
    <n v="365"/>
    <n v="365"/>
    <n v="157"/>
    <d v="2021-07-28T00:00:00"/>
    <s v="E032543"/>
    <n v="355000"/>
    <n v="355000"/>
    <s v="SWD"/>
    <n v="30"/>
    <s v="N"/>
    <s v="Y"/>
    <n v="335800"/>
    <n v="48400"/>
    <n v="287400"/>
    <n v="0"/>
    <n v="0.94591549295774646"/>
    <n v="316584.78486267931"/>
    <n v="359141.47787746432"/>
    <n v="-42556.693020370003"/>
    <n v="0"/>
    <n v="89850.625589999996"/>
    <n v="-60052.604136134301"/>
    <n v="21557.329055999999"/>
    <n v="197752.34721000001"/>
    <n v="-11821.416826500001"/>
    <n v="68183.964430260006"/>
    <n v="0"/>
    <n v="0"/>
    <n v="19543.033605983997"/>
    <n v="34128.198946800003"/>
    <n v="0"/>
    <n v="316584.78485603974"/>
    <n v="0"/>
    <n v="286800"/>
    <n v="29800"/>
    <n v="316600"/>
    <n v="0.89183098591549292"/>
    <n v="-5.7176891006551517E-2"/>
    <n v="0.99970000000000003"/>
    <n v="1.0067999999999999"/>
    <n v="0.99650000000000005"/>
    <n v="0.98919999999999997"/>
    <n v="0.98909999999999998"/>
    <n v="0.94971499999999998"/>
    <n v="0.9322622889120924"/>
    <n v="329300"/>
    <n v="0"/>
    <n v="329300"/>
    <n v="28300"/>
    <n v="357600"/>
    <n v="0.14578983994432845"/>
    <n v="-0.41528925619834711"/>
    <n v="6.4919594997022032E-2"/>
    <n v="0.88744593515388737"/>
  </r>
  <r>
    <n v="2025"/>
    <n v="18132334415"/>
    <n v="-1.8971199848858813"/>
    <n v="0.15"/>
    <n v="0"/>
    <n v="6"/>
    <s v="RES"/>
    <n v="3093"/>
    <s v="YC2"/>
    <s v="R1"/>
    <n v="11"/>
    <n v="259"/>
    <s v="TD"/>
    <x v="2"/>
    <s v="GD"/>
    <x v="7"/>
    <n v="1935"/>
    <n v="1971"/>
    <n v="89"/>
    <n v="53"/>
    <n v="1"/>
    <n v="1395"/>
    <n v="0"/>
    <n v="0"/>
    <n v="1395"/>
    <n v="0"/>
    <n v="1395"/>
    <n v="2790"/>
    <n v="3000"/>
    <n v="0"/>
    <m/>
    <s v="FD"/>
    <s v="G"/>
    <s v="Y"/>
    <n v="0"/>
    <n v="2"/>
    <n v="0"/>
    <n v="0"/>
    <n v="0"/>
    <n v="8"/>
    <n v="0"/>
    <n v="0"/>
    <n v="0"/>
    <n v="0"/>
    <n v="0"/>
    <n v="0"/>
    <n v="100"/>
    <n v="100"/>
    <n v="377671"/>
    <n v="287030"/>
    <n v="854"/>
    <n v="365"/>
    <n v="365"/>
    <n v="124"/>
    <d v="2021-08-30T00:00:00"/>
    <s v="E032908"/>
    <n v="401200"/>
    <n v="389401"/>
    <s v="SWD"/>
    <n v="30"/>
    <s v="N"/>
    <s v="Y"/>
    <n v="380600"/>
    <n v="48400"/>
    <n v="332200"/>
    <n v="11799"/>
    <n v="0.94865403788634095"/>
    <n v="347229.68369923905"/>
    <n v="385373.56018915435"/>
    <n v="-38143.876494670003"/>
    <n v="0"/>
    <n v="89850.625589999996"/>
    <n v="-60052.604136134301"/>
    <n v="29814.093161000001"/>
    <n v="197752.34721000001"/>
    <n v="-11821.416826500001"/>
    <n v="68925.094478415005"/>
    <n v="0"/>
    <n v="0"/>
    <n v="40569.243869564998"/>
    <n v="30336.176841600001"/>
    <n v="0"/>
    <n v="347229.68369327573"/>
    <n v="11800"/>
    <n v="317400"/>
    <n v="29800"/>
    <n v="359000"/>
    <n v="0.89481555333998009"/>
    <n v="-5.6752496058854442E-2"/>
    <n v="0.99970000000000003"/>
    <n v="1.0088999999999999"/>
    <n v="0.99650000000000005"/>
    <n v="0.96179999999999999"/>
    <n v="0.98909999999999998"/>
    <n v="0.94971499999999998"/>
    <n v="0.90833008140076499"/>
    <n v="355600"/>
    <n v="11200"/>
    <n v="366800"/>
    <n v="28300"/>
    <n v="395100"/>
    <n v="0.10415412402167369"/>
    <n v="-0.41528925619834711"/>
    <n v="3.8097740409879136E-2"/>
    <n v="0.88972114532734303"/>
  </r>
  <r>
    <n v="2025"/>
    <n v="18132331499"/>
    <n v="-1.8971199848858813"/>
    <n v="0.15"/>
    <n v="0"/>
    <n v="6"/>
    <s v="RES"/>
    <n v="3032"/>
    <s v="YC2"/>
    <s v="R1"/>
    <n v="11"/>
    <n v="259"/>
    <s v="TD"/>
    <x v="2"/>
    <s v="AV"/>
    <x v="7"/>
    <n v="1935"/>
    <n v="1971"/>
    <n v="89"/>
    <n v="53"/>
    <n v="1"/>
    <n v="1443"/>
    <n v="0"/>
    <n v="0"/>
    <n v="859"/>
    <n v="0"/>
    <n v="859"/>
    <n v="2302"/>
    <n v="2500"/>
    <n v="0"/>
    <m/>
    <s v="FD"/>
    <s v="G"/>
    <s v="Y"/>
    <n v="0"/>
    <n v="1"/>
    <n v="0"/>
    <n v="1"/>
    <n v="0"/>
    <n v="10"/>
    <n v="0"/>
    <n v="0"/>
    <n v="0"/>
    <n v="0"/>
    <n v="304"/>
    <n v="0"/>
    <n v="100"/>
    <n v="100"/>
    <n v="313452"/>
    <n v="213147"/>
    <n v="957"/>
    <n v="365"/>
    <n v="365"/>
    <n v="227"/>
    <d v="2021-05-19T00:00:00"/>
    <s v="E031372"/>
    <n v="329900"/>
    <n v="324606"/>
    <s v="SWD"/>
    <n v="30"/>
    <s v="N"/>
    <s v="Y"/>
    <n v="342900"/>
    <n v="48400"/>
    <n v="294500"/>
    <n v="5294"/>
    <n v="1.0394058805698696"/>
    <n v="290543.96776285209"/>
    <n v="342461.18067887594"/>
    <n v="-51917.212923370003"/>
    <n v="0"/>
    <n v="89850.625589999996"/>
    <n v="-60052.604136134301"/>
    <n v="29814.093161000001"/>
    <n v="160472.20319"/>
    <n v="-11821.416826500001"/>
    <n v="71296.710632511007"/>
    <n v="0"/>
    <n v="0"/>
    <n v="24981.348017172997"/>
    <n v="37920.221052000001"/>
    <n v="0"/>
    <n v="290543.96775667969"/>
    <n v="5300"/>
    <n v="260700"/>
    <n v="29800"/>
    <n v="295800"/>
    <n v="0.89663534404364964"/>
    <n v="-0.13735783027121609"/>
    <n v="0.99970000000000003"/>
    <n v="1.0088999999999999"/>
    <n v="0.99729999999999996"/>
    <n v="0.98919999999999997"/>
    <n v="0.98909999999999998"/>
    <n v="0.94971499999999998"/>
    <n v="0.93495680734831033"/>
    <n v="312700"/>
    <n v="5000"/>
    <n v="317700"/>
    <n v="28300"/>
    <n v="346000"/>
    <n v="7.8777589134125636E-2"/>
    <n v="-0.41528925619834711"/>
    <n v="9.0405365995917183E-3"/>
    <n v="0.89143009116892991"/>
  </r>
  <r>
    <n v="2025"/>
    <n v="18132331491"/>
    <n v="-1.8325814637483102"/>
    <n v="0.16"/>
    <n v="0"/>
    <n v="6"/>
    <s v="RES"/>
    <n v="3032"/>
    <s v="YC2"/>
    <s v="R1"/>
    <n v="11"/>
    <n v="259"/>
    <s v="CC"/>
    <x v="3"/>
    <s v="VG"/>
    <x v="7"/>
    <n v="1935"/>
    <n v="1971"/>
    <n v="89"/>
    <n v="53"/>
    <n v="2"/>
    <n v="1011"/>
    <n v="851"/>
    <n v="0"/>
    <n v="828"/>
    <n v="0"/>
    <n v="828"/>
    <n v="2690"/>
    <n v="3000"/>
    <n v="0"/>
    <s v="S"/>
    <s v="FD"/>
    <s v="G"/>
    <s v="Y"/>
    <n v="0"/>
    <n v="2"/>
    <n v="0"/>
    <n v="0"/>
    <n v="1"/>
    <n v="16"/>
    <n v="0"/>
    <n v="0"/>
    <n v="0"/>
    <n v="30"/>
    <n v="153"/>
    <n v="0"/>
    <n v="100"/>
    <n v="100"/>
    <n v="476526"/>
    <n v="385986"/>
    <n v="543"/>
    <n v="365"/>
    <n v="178"/>
    <n v="0"/>
    <d v="2022-07-07T00:00:00"/>
    <s v="E037190"/>
    <n v="631500"/>
    <n v="586126"/>
    <s v="SWD"/>
    <n v="30"/>
    <s v="N"/>
    <s v="Y"/>
    <n v="488100"/>
    <n v="50600"/>
    <n v="437500"/>
    <n v="45374"/>
    <n v="0.77292161520190028"/>
    <n v="529205.26675866335"/>
    <n v="552915.00395107025"/>
    <n v="-23709.737193994002"/>
    <n v="0"/>
    <n v="89850.625589999996"/>
    <n v="-58009.662049032086"/>
    <n v="74268.409664999999"/>
    <n v="284810.60806"/>
    <n v="-11821.416826500001"/>
    <n v="49952.165245647004"/>
    <n v="38113.245854711"/>
    <n v="0"/>
    <n v="24079.809264516"/>
    <n v="60672.353683200003"/>
    <n v="998.8654582800001"/>
    <n v="529205.2667518279"/>
    <n v="45400"/>
    <n v="497400"/>
    <n v="31800"/>
    <n v="574600"/>
    <n v="0.90989707046714174"/>
    <n v="0.1772177832411391"/>
    <n v="0.99970000000000003"/>
    <n v="0.98380000000000001"/>
    <n v="1.0158"/>
    <n v="0.96179999999999999"/>
    <n v="0.98909999999999998"/>
    <n v="0.94971499999999998"/>
    <n v="0.90288678946097178"/>
    <n v="521100"/>
    <n v="43100"/>
    <n v="564200"/>
    <n v="30200"/>
    <n v="594400"/>
    <n v="0.28960000000000002"/>
    <n v="-0.40316205533596838"/>
    <n v="0.21778324113911085"/>
    <n v="0.90370587934442759"/>
  </r>
  <r>
    <n v="2025"/>
    <n v="18132313491"/>
    <n v="-1.8971199848858813"/>
    <n v="0.15"/>
    <n v="6737"/>
    <n v="6"/>
    <s v="RES"/>
    <n v="3033"/>
    <s v="YC2"/>
    <s v="R1"/>
    <n v="11"/>
    <n v="259"/>
    <s v="BG"/>
    <x v="0"/>
    <s v="GD"/>
    <x v="7"/>
    <n v="1935"/>
    <n v="1986"/>
    <n v="89"/>
    <n v="38"/>
    <n v="1"/>
    <n v="1072"/>
    <n v="0"/>
    <n v="0"/>
    <n v="1072"/>
    <n v="0"/>
    <n v="1072"/>
    <n v="2144"/>
    <n v="2500"/>
    <n v="0"/>
    <m/>
    <s v="HP"/>
    <s v="S"/>
    <m/>
    <n v="0"/>
    <n v="1"/>
    <n v="0"/>
    <n v="0"/>
    <n v="0"/>
    <n v="9"/>
    <n v="0"/>
    <n v="0"/>
    <n v="0"/>
    <n v="0"/>
    <n v="0"/>
    <n v="190"/>
    <n v="100"/>
    <n v="100"/>
    <n v="248832"/>
    <n v="218972"/>
    <n v="959"/>
    <n v="365"/>
    <n v="365"/>
    <n v="229"/>
    <d v="2021-05-17T00:00:00"/>
    <s v="E031243"/>
    <n v="336000"/>
    <n v="330421"/>
    <s v="SWD"/>
    <n v="30"/>
    <s v="N"/>
    <s v="Y"/>
    <n v="340300"/>
    <n v="48400"/>
    <n v="291900"/>
    <n v="5579"/>
    <n v="1.0127976190476191"/>
    <n v="306717.39331984491"/>
    <n v="358902.04966161842"/>
    <n v="-52184.656349170007"/>
    <n v="0"/>
    <n v="89850.625589999996"/>
    <n v="-60052.604136134301"/>
    <n v="21557.329055999999"/>
    <n v="197752.34721000001"/>
    <n v="-8475.7328190000007"/>
    <n v="52966.094108144003"/>
    <n v="0"/>
    <n v="0"/>
    <n v="31175.791704783998"/>
    <n v="34128.198946800003"/>
    <n v="0"/>
    <n v="306717.39331142372"/>
    <n v="5600"/>
    <n v="276900"/>
    <n v="29800"/>
    <n v="312300"/>
    <n v="0.92946428571428574"/>
    <n v="-8.228034087569791E-2"/>
    <n v="0.99970000000000003"/>
    <n v="1.0067999999999999"/>
    <n v="0.99650000000000005"/>
    <n v="0.98919999999999997"/>
    <n v="0.98909999999999998"/>
    <n v="0.94971499999999998"/>
    <n v="0.9322622889120924"/>
    <n v="329100"/>
    <n v="5300"/>
    <n v="334400"/>
    <n v="28300"/>
    <n v="362700"/>
    <n v="0.14559780746831105"/>
    <n v="-0.41528925619834711"/>
    <n v="6.5824272700558337E-2"/>
    <n v="0.92415280848461301"/>
  </r>
  <r>
    <n v="2025"/>
    <n v="18132213002"/>
    <n v="-1.6607312068216509"/>
    <n v="0.19"/>
    <n v="8200"/>
    <n v="6"/>
    <s v="RES"/>
    <s v="YC2"/>
    <s v="YC2"/>
    <s v="R1"/>
    <n v="11"/>
    <n v="259"/>
    <s v="TD"/>
    <x v="0"/>
    <s v="AV"/>
    <x v="7"/>
    <n v="1935"/>
    <n v="1971"/>
    <n v="89"/>
    <n v="53"/>
    <n v="1"/>
    <n v="900"/>
    <n v="0"/>
    <n v="0"/>
    <n v="810"/>
    <n v="0"/>
    <n v="810"/>
    <n v="1710"/>
    <n v="2000"/>
    <n v="0"/>
    <m/>
    <s v="FD"/>
    <s v="G"/>
    <s v="Y"/>
    <n v="0"/>
    <n v="1"/>
    <n v="0"/>
    <n v="0"/>
    <n v="0"/>
    <n v="6"/>
    <n v="0"/>
    <n v="0"/>
    <n v="0"/>
    <n v="459"/>
    <n v="0"/>
    <n v="0"/>
    <n v="100"/>
    <n v="100"/>
    <n v="190755"/>
    <n v="144974"/>
    <n v="123"/>
    <n v="123"/>
    <n v="0"/>
    <n v="0"/>
    <d v="2023-08-31T00:00:00"/>
    <s v="E041364"/>
    <n v="325000"/>
    <n v="320876"/>
    <s v="SWD"/>
    <n v="30"/>
    <s v="N"/>
    <s v="Y"/>
    <n v="302900"/>
    <n v="56600"/>
    <n v="246300"/>
    <n v="4124"/>
    <n v="0.93200000000000005"/>
    <n v="304869.1868118773"/>
    <n v="313547.84498946782"/>
    <n v="-8678.6581781100012"/>
    <n v="0"/>
    <n v="89850.625589999996"/>
    <n v="-52569.808201026557"/>
    <n v="21557.329055999999"/>
    <n v="160472.20319"/>
    <n v="-11821.416826500001"/>
    <n v="44467.802889300001"/>
    <n v="0"/>
    <n v="0"/>
    <n v="23556.335150069997"/>
    <n v="22752.132631200002"/>
    <n v="15282.641511684002"/>
    <n v="304869.18681261747"/>
    <n v="4100"/>
    <n v="267600"/>
    <n v="37300"/>
    <n v="309000"/>
    <n v="0.95076923076923081"/>
    <n v="2.0138659623638165E-2"/>
    <n v="0.99970000000000003"/>
    <n v="1.0067999999999999"/>
    <n v="0.99729999999999996"/>
    <n v="1.0093000000000001"/>
    <n v="0.98909999999999998"/>
    <n v="0.94971499999999998"/>
    <n v="0.95196898294134369"/>
    <n v="276300"/>
    <n v="3900"/>
    <n v="280200"/>
    <n v="35400"/>
    <n v="315600"/>
    <n v="0.13763702801461633"/>
    <n v="-0.37455830388692579"/>
    <n v="4.1928029052492571E-2"/>
    <n v="0.94437335945196921"/>
  </r>
  <r>
    <n v="2025"/>
    <n v="18132241063"/>
    <n v="-1.6094379124341003"/>
    <n v="0.2"/>
    <n v="8618"/>
    <n v="6"/>
    <s v="RES"/>
    <n v="3033"/>
    <s v="YC2"/>
    <s v="R1"/>
    <n v="11"/>
    <n v="259"/>
    <s v="TD"/>
    <x v="0"/>
    <s v="AV"/>
    <x v="7"/>
    <n v="1935"/>
    <n v="1971"/>
    <n v="89"/>
    <n v="53"/>
    <n v="1"/>
    <n v="1297"/>
    <n v="0"/>
    <n v="0"/>
    <n v="815"/>
    <n v="815"/>
    <n v="0"/>
    <n v="1297"/>
    <n v="1500"/>
    <n v="0"/>
    <m/>
    <s v="FD"/>
    <s v="G"/>
    <s v="Y"/>
    <n v="0"/>
    <n v="1"/>
    <n v="0"/>
    <n v="1"/>
    <n v="0"/>
    <n v="8"/>
    <n v="0"/>
    <n v="0"/>
    <n v="0"/>
    <n v="0"/>
    <n v="96"/>
    <n v="96"/>
    <n v="100"/>
    <n v="100"/>
    <n v="223015"/>
    <n v="151650"/>
    <n v="840"/>
    <n v="365"/>
    <n v="365"/>
    <n v="110"/>
    <d v="2021-09-13T00:00:00"/>
    <s v="E033086"/>
    <n v="312000"/>
    <n v="302416"/>
    <s v="SWD"/>
    <n v="30"/>
    <s v="N"/>
    <s v="Y"/>
    <n v="313100"/>
    <n v="58400"/>
    <n v="254700"/>
    <n v="9584"/>
    <n v="1.003525641025641"/>
    <n v="290961.79611999926"/>
    <n v="327233.56862966676"/>
    <n v="-36271.772514070006"/>
    <n v="0"/>
    <n v="89850.625589999996"/>
    <n v="-50946.13867709865"/>
    <n v="21557.329055999999"/>
    <n v="160472.20319"/>
    <n v="-11821.416826500001"/>
    <n v="64083.044830469"/>
    <n v="0"/>
    <n v="0"/>
    <n v="23701.744626305001"/>
    <n v="30336.176841600001"/>
    <n v="0"/>
    <n v="290961.79611670534"/>
    <n v="9600"/>
    <n v="252100"/>
    <n v="38900"/>
    <n v="300600"/>
    <n v="0.96346153846153848"/>
    <n v="-3.9923347173427021E-2"/>
    <n v="0.99970000000000003"/>
    <n v="1.0067999999999999"/>
    <n v="0.99729999999999996"/>
    <n v="1.0157"/>
    <n v="0.98909999999999998"/>
    <n v="0.94971499999999998"/>
    <n v="0.95800544533193577"/>
    <n v="288300"/>
    <n v="9100"/>
    <n v="297400"/>
    <n v="36900"/>
    <n v="334300"/>
    <n v="0.16764821358460935"/>
    <n v="-0.36815068493150682"/>
    <n v="6.7709996806132225E-2"/>
    <n v="0.95521867783951908"/>
  </r>
  <r>
    <n v="2025"/>
    <n v="18132332484"/>
    <n v="-1.6094379124341003"/>
    <n v="0.2"/>
    <n v="0"/>
    <n v="6"/>
    <s v="RES"/>
    <n v="3032"/>
    <s v="YC2"/>
    <s v="R1"/>
    <n v="11"/>
    <n v="259"/>
    <s v="CC"/>
    <x v="1"/>
    <s v="GD"/>
    <x v="7"/>
    <n v="1935"/>
    <n v="1971"/>
    <n v="89"/>
    <n v="53"/>
    <n v="2"/>
    <n v="1080"/>
    <n v="432"/>
    <n v="0"/>
    <n v="0"/>
    <n v="0"/>
    <n v="0"/>
    <n v="1512"/>
    <n v="2000"/>
    <n v="0"/>
    <m/>
    <s v="FD"/>
    <s v="G"/>
    <s v="Y"/>
    <n v="0"/>
    <n v="1"/>
    <n v="0"/>
    <n v="0"/>
    <n v="1"/>
    <n v="8"/>
    <n v="0"/>
    <n v="0"/>
    <n v="0"/>
    <n v="171"/>
    <n v="188"/>
    <n v="0"/>
    <n v="100"/>
    <n v="100"/>
    <n v="297336"/>
    <n v="225975"/>
    <n v="266"/>
    <n v="266"/>
    <n v="0"/>
    <n v="0"/>
    <d v="2023-04-10T00:00:00"/>
    <s v="E039895"/>
    <n v="377000"/>
    <n v="368901"/>
    <s v="SWD"/>
    <n v="30"/>
    <s v="N"/>
    <s v="Y"/>
    <n v="347100"/>
    <n v="58400"/>
    <n v="288700"/>
    <n v="8099"/>
    <n v="0.92068965517241375"/>
    <n v="358926.78319767927"/>
    <n v="377695.26348417584"/>
    <n v="-18768.480287620001"/>
    <n v="0"/>
    <n v="89850.625589999996"/>
    <n v="-50946.13867709865"/>
    <n v="44121.038090000002"/>
    <n v="197752.34721000001"/>
    <n v="-11821.416826500001"/>
    <n v="53361.363467160001"/>
    <n v="19347.734675952001"/>
    <n v="0"/>
    <n v="0"/>
    <n v="30336.176841600001"/>
    <n v="5693.5331121960007"/>
    <n v="358926.78319568932"/>
    <n v="8100"/>
    <n v="320000"/>
    <n v="38900"/>
    <n v="367000"/>
    <n v="0.97347480106100792"/>
    <n v="5.7332180927686549E-2"/>
    <n v="0.99970000000000003"/>
    <n v="0.98050000000000004"/>
    <n v="0.99650000000000005"/>
    <n v="1.0093000000000001"/>
    <n v="0.98909999999999998"/>
    <n v="0.94971499999999998"/>
    <n v="0.92635760994173622"/>
    <n v="338800"/>
    <n v="7700"/>
    <n v="346500"/>
    <n v="36900"/>
    <n v="383400"/>
    <n v="0.20020782819535851"/>
    <n v="-0.36815068493150682"/>
    <n v="0.10458081244598098"/>
    <n v="0.96719235997978781"/>
  </r>
  <r>
    <n v="2025"/>
    <n v="18132331492"/>
    <n v="-1.8325814637483102"/>
    <n v="0.16"/>
    <n v="0"/>
    <n v="6"/>
    <s v="RES"/>
    <n v="3032"/>
    <s v="YC2"/>
    <s v="R1"/>
    <n v="11"/>
    <n v="259"/>
    <s v="TD"/>
    <x v="1"/>
    <s v="VG"/>
    <x v="7"/>
    <n v="1935"/>
    <n v="1971"/>
    <n v="89"/>
    <n v="53"/>
    <n v="1"/>
    <n v="1351"/>
    <n v="0"/>
    <n v="0"/>
    <n v="672"/>
    <n v="0"/>
    <n v="672"/>
    <n v="2023"/>
    <n v="2500"/>
    <n v="0"/>
    <m/>
    <s v="FD"/>
    <s v="G"/>
    <s v="Y"/>
    <n v="0"/>
    <n v="1"/>
    <n v="0"/>
    <n v="1"/>
    <n v="0"/>
    <n v="8"/>
    <n v="0"/>
    <n v="0"/>
    <n v="0"/>
    <n v="0"/>
    <n v="0"/>
    <n v="0"/>
    <n v="100"/>
    <n v="100"/>
    <n v="362755"/>
    <n v="293832"/>
    <n v="1028"/>
    <n v="365"/>
    <n v="365"/>
    <n v="298"/>
    <d v="2021-03-09T00:00:00"/>
    <s v="E030410"/>
    <n v="420000"/>
    <n v="412005"/>
    <s v="SWD"/>
    <n v="30"/>
    <s v="N"/>
    <s v="Y"/>
    <n v="399000"/>
    <n v="50600"/>
    <n v="348400"/>
    <n v="7995"/>
    <n v="0.95"/>
    <n v="404170.06179108663"/>
    <n v="465581.51632122422"/>
    <n v="-61411.454539270002"/>
    <n v="0"/>
    <n v="89850.625589999996"/>
    <n v="-58009.662049032086"/>
    <n v="44121.038090000002"/>
    <n v="284810.60806"/>
    <n v="-11821.416826500001"/>
    <n v="66751.113003827006"/>
    <n v="0"/>
    <n v="0"/>
    <n v="19543.033605983997"/>
    <n v="30336.176841600001"/>
    <n v="0"/>
    <n v="404170.06177660893"/>
    <n v="8000"/>
    <n v="372300"/>
    <n v="31800"/>
    <n v="412100"/>
    <n v="0.98119047619047617"/>
    <n v="3.2832080200501254E-2"/>
    <n v="0.99970000000000003"/>
    <n v="0.98050000000000004"/>
    <n v="1.0158"/>
    <n v="0.98919999999999997"/>
    <n v="0.98909999999999998"/>
    <n v="0.94971499999999998"/>
    <n v="0.92549358634432277"/>
    <n v="433700"/>
    <n v="7600"/>
    <n v="441300"/>
    <n v="30200"/>
    <n v="471500"/>
    <n v="0.26664753157290472"/>
    <n v="-0.40316205533596838"/>
    <n v="0.18170426065162906"/>
    <n v="0.97640129871602377"/>
  </r>
  <r>
    <n v="2025"/>
    <n v="18132331494"/>
    <n v="-1.7147984280919266"/>
    <n v="0.18"/>
    <n v="0"/>
    <n v="6"/>
    <s v="RES"/>
    <n v="3032"/>
    <s v="YC2"/>
    <s v="R1"/>
    <n v="11"/>
    <n v="259"/>
    <s v="CC"/>
    <x v="2"/>
    <s v="GD"/>
    <x v="7"/>
    <n v="1935"/>
    <n v="1971"/>
    <n v="89"/>
    <n v="53"/>
    <n v="2"/>
    <n v="1172"/>
    <n v="309"/>
    <n v="0"/>
    <n v="420"/>
    <n v="0"/>
    <n v="420"/>
    <n v="1901"/>
    <n v="2000"/>
    <n v="0"/>
    <m/>
    <s v="FD"/>
    <s v="G"/>
    <m/>
    <n v="0"/>
    <n v="1"/>
    <n v="0"/>
    <n v="0"/>
    <n v="1"/>
    <n v="8"/>
    <n v="0"/>
    <n v="0"/>
    <n v="0"/>
    <n v="0"/>
    <n v="346"/>
    <n v="346"/>
    <n v="100"/>
    <n v="100"/>
    <n v="281801"/>
    <n v="214169"/>
    <n v="630"/>
    <n v="365"/>
    <n v="265"/>
    <n v="0"/>
    <d v="2022-04-11T00:00:00"/>
    <s v="E036025"/>
    <n v="356200"/>
    <n v="348109"/>
    <s v="SWD"/>
    <n v="30"/>
    <s v="N"/>
    <s v="Y"/>
    <n v="348400"/>
    <n v="54700"/>
    <n v="293700"/>
    <n v="8091"/>
    <n v="0.97810218978102192"/>
    <n v="342900.20116733469"/>
    <n v="365610.90242599533"/>
    <n v="-22710.701260270002"/>
    <n v="0"/>
    <n v="89850.625589999996"/>
    <n v="-54281.285314520763"/>
    <n v="29814.093161000001"/>
    <n v="197752.34721000001"/>
    <n v="-11821.416826500001"/>
    <n v="57906.961095844003"/>
    <n v="13839.004664049"/>
    <n v="0"/>
    <n v="12214.396003739999"/>
    <n v="30336.176841600001"/>
    <n v="0"/>
    <n v="342900.20116494229"/>
    <n v="8100"/>
    <n v="307300"/>
    <n v="35600"/>
    <n v="351000"/>
    <n v="0.98540145985401462"/>
    <n v="7.462686567164179E-3"/>
    <n v="0.99970000000000003"/>
    <n v="1.0088999999999999"/>
    <n v="0.99650000000000005"/>
    <n v="1.0093000000000001"/>
    <n v="0.98909999999999998"/>
    <n v="0.94971499999999998"/>
    <n v="0.95318938569119571"/>
    <n v="330000"/>
    <n v="7700"/>
    <n v="337700"/>
    <n v="33800"/>
    <n v="371500"/>
    <n v="0.14981273408239701"/>
    <n v="-0.38208409506398539"/>
    <n v="6.630309988518944E-2"/>
    <n v="0.97919511156577754"/>
  </r>
  <r>
    <n v="2025"/>
    <n v="18132214408"/>
    <n v="-1.9661128563728327"/>
    <n v="0.14000000000000001"/>
    <n v="6298"/>
    <n v="6"/>
    <s v="RES"/>
    <n v="3033"/>
    <s v="YC2"/>
    <s v="R1"/>
    <n v="11"/>
    <n v="259"/>
    <s v="TD"/>
    <x v="2"/>
    <s v="GD"/>
    <x v="7"/>
    <n v="1935"/>
    <n v="1971"/>
    <n v="89"/>
    <n v="53"/>
    <n v="1"/>
    <n v="1357"/>
    <n v="0"/>
    <n v="0"/>
    <n v="1097"/>
    <n v="0"/>
    <n v="1097"/>
    <n v="2454"/>
    <n v="2500"/>
    <n v="0"/>
    <m/>
    <s v="FD"/>
    <s v="G"/>
    <s v="Y"/>
    <n v="0"/>
    <n v="1"/>
    <n v="0"/>
    <n v="0"/>
    <n v="0"/>
    <n v="10"/>
    <n v="0"/>
    <n v="0"/>
    <n v="0"/>
    <n v="0"/>
    <n v="0"/>
    <n v="0"/>
    <n v="100"/>
    <n v="100"/>
    <n v="325972"/>
    <n v="247739"/>
    <n v="203"/>
    <n v="203"/>
    <n v="0"/>
    <n v="0"/>
    <d v="2023-06-12T00:00:00"/>
    <s v="E040529"/>
    <n v="370000"/>
    <n v="369297"/>
    <s v="SWD"/>
    <n v="30"/>
    <s v="N"/>
    <s v="Y"/>
    <n v="360400"/>
    <n v="46000"/>
    <n v="314400"/>
    <n v="703"/>
    <n v="0.9740540540540541"/>
    <n v="365906.41342191893"/>
    <n v="380229.72732477158"/>
    <n v="-14323.313903710001"/>
    <n v="0"/>
    <n v="89850.625589999996"/>
    <n v="-62236.546971921947"/>
    <n v="29814.093161000001"/>
    <n v="197752.34721000001"/>
    <n v="-11821.416826500001"/>
    <n v="67047.565023089002"/>
    <n v="0"/>
    <n v="0"/>
    <n v="31902.839085959"/>
    <n v="37920.221052000001"/>
    <n v="0"/>
    <n v="365906.41341991612"/>
    <n v="700"/>
    <n v="338300"/>
    <n v="27600"/>
    <n v="366600"/>
    <n v="0.99081081081081079"/>
    <n v="1.7203107658157604E-2"/>
    <n v="0.99970000000000003"/>
    <n v="1.0088999999999999"/>
    <n v="0.99650000000000005"/>
    <n v="0.98919999999999997"/>
    <n v="0.98909999999999998"/>
    <n v="0.94971499999999998"/>
    <n v="0.93420681692829766"/>
    <n v="352600"/>
    <n v="700"/>
    <n v="353300"/>
    <n v="26200"/>
    <n v="379500"/>
    <n v="0.12372773536895675"/>
    <n v="-0.43043478260869567"/>
    <n v="5.2996670366259713E-2"/>
    <n v="0.98696401647645948"/>
  </r>
  <r>
    <n v="2025"/>
    <n v="18132331413"/>
    <n v="-1.1086626245216111"/>
    <n v="0.33"/>
    <n v="14171"/>
    <n v="6"/>
    <s v="RES"/>
    <n v="3032"/>
    <s v="YC2"/>
    <s v="R1"/>
    <n v="11"/>
    <n v="259"/>
    <s v="CL"/>
    <x v="3"/>
    <s v="GD"/>
    <x v="7"/>
    <n v="1935"/>
    <n v="1971"/>
    <n v="89"/>
    <n v="53"/>
    <n v="2"/>
    <n v="1299"/>
    <n v="984"/>
    <n v="0"/>
    <n v="1038"/>
    <n v="726"/>
    <n v="312"/>
    <n v="2595"/>
    <n v="3000"/>
    <n v="0"/>
    <m/>
    <s v="FD"/>
    <s v="G"/>
    <s v="Y"/>
    <n v="0"/>
    <n v="2"/>
    <n v="0"/>
    <n v="1"/>
    <n v="2"/>
    <n v="16"/>
    <n v="0"/>
    <n v="0"/>
    <n v="0"/>
    <n v="0"/>
    <n v="146"/>
    <n v="80"/>
    <n v="100"/>
    <n v="100"/>
    <n v="524636"/>
    <n v="403970"/>
    <n v="844"/>
    <n v="365"/>
    <n v="365"/>
    <n v="114"/>
    <d v="2021-09-09T00:00:00"/>
    <s v="E033108"/>
    <n v="480000"/>
    <n v="472314"/>
    <s v="SWD"/>
    <n v="30"/>
    <s v="N"/>
    <s v="Y"/>
    <n v="546900"/>
    <n v="75900"/>
    <n v="471000"/>
    <n v="7686"/>
    <n v="1.139375"/>
    <n v="477260.08012782066"/>
    <n v="514066.73948898748"/>
    <n v="-36806.659365669999"/>
    <n v="0"/>
    <n v="89850.625589999996"/>
    <n v="-35094.289365640165"/>
    <n v="74268.409664999999"/>
    <n v="197752.34721000001"/>
    <n v="-11821.416826500001"/>
    <n v="64181.862170223001"/>
    <n v="44069.840095223997"/>
    <n v="0"/>
    <n v="30187.007266385997"/>
    <n v="60672.353683200003"/>
    <n v="0"/>
    <n v="477260.08012222289"/>
    <n v="7700"/>
    <n v="422500"/>
    <n v="54800"/>
    <n v="485000"/>
    <n v="1.0104166666666667"/>
    <n v="-0.11318339733040775"/>
    <n v="0.99970000000000003"/>
    <n v="0.98380000000000001"/>
    <n v="0.99650000000000005"/>
    <n v="0.96179999999999999"/>
    <n v="0.98909999999999998"/>
    <n v="0.94971499999999998"/>
    <n v="0.88573211822982711"/>
    <n v="459300"/>
    <n v="7300"/>
    <n v="466600"/>
    <n v="52000"/>
    <n v="518600"/>
    <n v="-9.3418259023354561E-3"/>
    <n v="-0.31488801054018445"/>
    <n v="-5.1746205887730844E-2"/>
    <n v="1.0037361263215208"/>
  </r>
  <r>
    <n v="2025"/>
    <n v="18132331493"/>
    <n v="-1.8325814637483102"/>
    <n v="0.16"/>
    <n v="0"/>
    <n v="6"/>
    <s v="RES"/>
    <n v="3032"/>
    <s v="YC2"/>
    <s v="R1"/>
    <n v="11"/>
    <n v="259"/>
    <s v="CC"/>
    <x v="2"/>
    <s v="AV"/>
    <x v="7"/>
    <n v="1935"/>
    <n v="1971"/>
    <n v="89"/>
    <n v="53"/>
    <n v="2"/>
    <n v="818"/>
    <n v="368"/>
    <n v="0"/>
    <n v="818"/>
    <n v="518"/>
    <n v="300"/>
    <n v="1486"/>
    <n v="1500"/>
    <n v="0"/>
    <m/>
    <s v="HP"/>
    <s v="E"/>
    <m/>
    <n v="1"/>
    <n v="1"/>
    <n v="0"/>
    <n v="0"/>
    <n v="0"/>
    <n v="6"/>
    <n v="0"/>
    <n v="0"/>
    <n v="0"/>
    <n v="288"/>
    <n v="0"/>
    <n v="0"/>
    <n v="100"/>
    <n v="100"/>
    <n v="247319"/>
    <n v="168177"/>
    <n v="773"/>
    <n v="365"/>
    <n v="365"/>
    <n v="43"/>
    <d v="2021-11-19T00:00:00"/>
    <s v="E034131"/>
    <n v="298000"/>
    <n v="292421"/>
    <s v="SWD"/>
    <n v="30"/>
    <s v="N"/>
    <s v="Y"/>
    <n v="297000"/>
    <n v="50600"/>
    <n v="246400"/>
    <n v="5579"/>
    <n v="0.99664429530201337"/>
    <n v="296021.3522320739"/>
    <n v="323333.76997912716"/>
    <n v="-27312.417749770004"/>
    <n v="0"/>
    <n v="89850.625589999996"/>
    <n v="-58009.662049032086"/>
    <n v="29814.093161000001"/>
    <n v="160472.20319"/>
    <n v="-11821.416826500001"/>
    <n v="40416.291959385999"/>
    <n v="16481.403612848"/>
    <n v="0"/>
    <n v="23788.990312046"/>
    <n v="22752.132631200002"/>
    <n v="9589.1083994880009"/>
    <n v="296021.35223066591"/>
    <n v="5600"/>
    <n v="264200"/>
    <n v="31800"/>
    <n v="301600"/>
    <n v="1.0120805369127517"/>
    <n v="1.5488215488215488E-2"/>
    <n v="0.99970000000000003"/>
    <n v="1.0088999999999999"/>
    <n v="0.99729999999999996"/>
    <n v="1.0157"/>
    <n v="0.98909999999999998"/>
    <n v="0.94971499999999998"/>
    <n v="0.96000366884722899"/>
    <n v="291500"/>
    <n v="5300"/>
    <n v="296800"/>
    <n v="30200"/>
    <n v="327000"/>
    <n v="0.20454545454545456"/>
    <n v="-0.40316205533596838"/>
    <n v="0.10101010101010101"/>
    <n v="1.0056630276853356"/>
  </r>
  <r>
    <n v="2025"/>
    <n v="18132331406"/>
    <n v="-1.4696759700589417"/>
    <n v="0.23"/>
    <n v="0"/>
    <n v="6"/>
    <s v="RES"/>
    <n v="3032"/>
    <s v="YC2"/>
    <s v="R1"/>
    <n v="11"/>
    <n v="259"/>
    <s v="TD"/>
    <x v="1"/>
    <s v="GD"/>
    <x v="7"/>
    <n v="1935"/>
    <n v="1971"/>
    <n v="89"/>
    <n v="53"/>
    <n v="1"/>
    <n v="1380"/>
    <n v="0"/>
    <n v="0"/>
    <n v="1358"/>
    <n v="1358"/>
    <n v="0"/>
    <n v="1380"/>
    <n v="1500"/>
    <n v="0"/>
    <m/>
    <s v="HP"/>
    <s v="E"/>
    <m/>
    <n v="0"/>
    <n v="2"/>
    <n v="0"/>
    <n v="1"/>
    <n v="0"/>
    <n v="9"/>
    <n v="0"/>
    <n v="0"/>
    <n v="0"/>
    <n v="0"/>
    <n v="826"/>
    <n v="0"/>
    <n v="100"/>
    <n v="100"/>
    <n v="365807"/>
    <n v="278013"/>
    <n v="452"/>
    <n v="365"/>
    <n v="87"/>
    <n v="0"/>
    <d v="2022-10-06T00:00:00"/>
    <s v="E038397"/>
    <n v="390000"/>
    <n v="377362"/>
    <s v="SWD"/>
    <n v="30"/>
    <s v="N"/>
    <s v="Y"/>
    <n v="387200"/>
    <n v="63300"/>
    <n v="323900"/>
    <n v="12638"/>
    <n v="0.99282051282051287"/>
    <n v="390431.23727874266"/>
    <n v="415185.9430915048"/>
    <n v="-24754.705814326"/>
    <n v="0"/>
    <n v="89850.625589999996"/>
    <n v="-46522.028095997222"/>
    <n v="44121.038090000002"/>
    <n v="197752.34721000001"/>
    <n v="-11821.416826500001"/>
    <n v="68183.964430260006"/>
    <n v="0"/>
    <n v="0"/>
    <n v="39493.213745426001"/>
    <n v="34128.198946800003"/>
    <n v="0"/>
    <n v="390431.23727566283"/>
    <n v="12600"/>
    <n v="347100"/>
    <n v="43300"/>
    <n v="403000"/>
    <n v="1.0333333333333334"/>
    <n v="4.0805785123966945E-2"/>
    <n v="0.99970000000000003"/>
    <n v="0.98050000000000004"/>
    <n v="0.99650000000000005"/>
    <n v="1.0157"/>
    <n v="0.98909999999999998"/>
    <n v="0.94971499999999998"/>
    <n v="0.93223166988786421"/>
    <n v="371900"/>
    <n v="12000"/>
    <n v="383900"/>
    <n v="41100"/>
    <n v="425000"/>
    <n v="0.18524235875270145"/>
    <n v="-0.35071090047393366"/>
    <n v="9.7623966942148754E-2"/>
    <n v="1.0262699850914718"/>
  </r>
  <r>
    <n v="2025"/>
    <n v="18132331492"/>
    <n v="-1.8325814637483102"/>
    <n v="0.16"/>
    <n v="0"/>
    <n v="6"/>
    <s v="RES"/>
    <s v="YC2"/>
    <s v="YC2"/>
    <s v="R1"/>
    <n v="11"/>
    <n v="259"/>
    <s v="TD"/>
    <x v="1"/>
    <s v="VG"/>
    <x v="7"/>
    <n v="1935"/>
    <n v="1971"/>
    <n v="89"/>
    <n v="53"/>
    <n v="1"/>
    <n v="1351"/>
    <n v="0"/>
    <n v="0"/>
    <n v="672"/>
    <n v="0"/>
    <n v="672"/>
    <n v="2023"/>
    <n v="2500"/>
    <n v="0"/>
    <m/>
    <s v="FD"/>
    <s v="G"/>
    <s v="Y"/>
    <n v="0"/>
    <n v="1"/>
    <n v="0"/>
    <n v="2"/>
    <n v="0"/>
    <n v="13"/>
    <n v="0"/>
    <n v="0"/>
    <n v="0"/>
    <n v="0"/>
    <n v="0"/>
    <n v="0"/>
    <n v="100"/>
    <n v="100"/>
    <n v="362755"/>
    <n v="293832"/>
    <n v="118"/>
    <n v="118"/>
    <n v="0"/>
    <n v="0"/>
    <d v="2023-09-05T00:00:00"/>
    <s v="E041428"/>
    <n v="465000"/>
    <n v="457005"/>
    <s v="SWD"/>
    <n v="30"/>
    <s v="N"/>
    <s v="Y"/>
    <n v="399000"/>
    <n v="50600"/>
    <n v="348400"/>
    <n v="7995"/>
    <n v="0.85806451612903223"/>
    <n v="476215.75965261058"/>
    <n v="484541.62684737222"/>
    <n v="-8325.8671952600016"/>
    <n v="0"/>
    <n v="89850.625589999996"/>
    <n v="-58009.662049032086"/>
    <n v="44121.038090000002"/>
    <n v="284810.60806"/>
    <n v="-11821.416826500001"/>
    <n v="66751.113003827006"/>
    <n v="0"/>
    <n v="0"/>
    <n v="19543.033605983997"/>
    <n v="49296.287367600002"/>
    <n v="0"/>
    <n v="476215.75964661897"/>
    <n v="8000"/>
    <n v="444400"/>
    <n v="31800"/>
    <n v="484200"/>
    <n v="1.0412903225806451"/>
    <n v="0.21353383458646616"/>
    <n v="0.99970000000000003"/>
    <n v="0.98050000000000004"/>
    <n v="1.0158"/>
    <n v="0.98919999999999997"/>
    <n v="0.98909999999999998"/>
    <n v="0.94971499999999998"/>
    <n v="0.92549358634432277"/>
    <n v="452700"/>
    <n v="7600"/>
    <n v="460300"/>
    <n v="30200"/>
    <n v="490500"/>
    <n v="0.3211825487944891"/>
    <n v="-0.40316205533596838"/>
    <n v="0.22932330827067668"/>
    <n v="1.0369336189349248"/>
  </r>
  <r>
    <n v="2025"/>
    <n v="18132241016"/>
    <n v="-1.0216512475319814"/>
    <n v="0.36"/>
    <n v="15754"/>
    <n v="6"/>
    <s v="RES"/>
    <n v="3033"/>
    <s v="YC2"/>
    <s v="R1"/>
    <n v="11"/>
    <n v="259"/>
    <s v="CO"/>
    <x v="1"/>
    <s v="VG"/>
    <x v="7"/>
    <n v="1935"/>
    <n v="1971"/>
    <n v="89"/>
    <n v="53"/>
    <n v="2"/>
    <n v="1338"/>
    <n v="1144"/>
    <n v="0"/>
    <n v="634"/>
    <n v="0"/>
    <n v="634"/>
    <n v="3116"/>
    <n v="3500"/>
    <n v="0"/>
    <m/>
    <s v="FD"/>
    <s v="G"/>
    <s v="Y"/>
    <n v="0"/>
    <n v="2"/>
    <n v="0"/>
    <n v="1"/>
    <n v="0"/>
    <n v="13"/>
    <n v="0"/>
    <n v="0"/>
    <n v="0"/>
    <n v="0"/>
    <n v="156"/>
    <n v="0"/>
    <n v="100"/>
    <n v="100"/>
    <n v="508904"/>
    <n v="412212"/>
    <n v="633"/>
    <n v="365"/>
    <n v="268"/>
    <n v="0"/>
    <d v="2022-04-08T00:00:00"/>
    <s v="E035932"/>
    <n v="540000"/>
    <n v="508559"/>
    <s v="SWD"/>
    <n v="30"/>
    <s v="N"/>
    <s v="Y"/>
    <n v="519500"/>
    <n v="78900"/>
    <n v="440600"/>
    <n v="31441"/>
    <n v="0.96203703703703702"/>
    <n v="537023.30251584819"/>
    <n v="559699.55425955204"/>
    <n v="-22676.251745314003"/>
    <n v="0"/>
    <n v="89850.625589999996"/>
    <n v="-32339.977661938148"/>
    <n v="44121.038090000002"/>
    <n v="284810.60806"/>
    <n v="-11821.416826500001"/>
    <n v="66108.800295426001"/>
    <n v="51235.667752984002"/>
    <n v="0"/>
    <n v="18437.921586598"/>
    <n v="49296.287367600002"/>
    <n v="0"/>
    <n v="537023.30250885582"/>
    <n v="31400"/>
    <n v="479500"/>
    <n v="57500"/>
    <n v="568400"/>
    <n v="1.0525925925925925"/>
    <n v="9.4128970163618861E-2"/>
    <n v="0.99970000000000003"/>
    <n v="0.98050000000000004"/>
    <n v="1.0158"/>
    <n v="1.0126999999999999"/>
    <n v="0.98909999999999998"/>
    <n v="0.94971499999999998"/>
    <n v="0.94748014040729434"/>
    <n v="502200"/>
    <n v="29900"/>
    <n v="532100"/>
    <n v="54600"/>
    <n v="586700"/>
    <n v="0.20767135724012709"/>
    <n v="-0.30798479087452474"/>
    <n v="0.12935514918190569"/>
    <n v="1.0444884226938629"/>
  </r>
  <r>
    <n v="2025"/>
    <n v="18132243042"/>
    <n v="-1.6607312068216509"/>
    <n v="0.19"/>
    <n v="8335"/>
    <n v="6"/>
    <s v="RES"/>
    <n v="3093"/>
    <s v="YC2"/>
    <s v="R1"/>
    <n v="11"/>
    <n v="259"/>
    <s v="TD"/>
    <x v="0"/>
    <s v="AV"/>
    <x v="7"/>
    <n v="1935"/>
    <n v="1971"/>
    <n v="89"/>
    <n v="53"/>
    <n v="1"/>
    <n v="1176"/>
    <n v="0"/>
    <n v="0"/>
    <n v="951"/>
    <n v="951"/>
    <n v="0"/>
    <n v="1176"/>
    <n v="1500"/>
    <n v="0"/>
    <m/>
    <s v="FD"/>
    <s v="G"/>
    <s v="Y"/>
    <n v="0"/>
    <n v="0"/>
    <n v="1"/>
    <n v="0"/>
    <n v="0"/>
    <n v="5"/>
    <n v="0"/>
    <n v="0"/>
    <n v="0"/>
    <n v="0"/>
    <n v="660"/>
    <n v="732"/>
    <n v="100"/>
    <n v="100"/>
    <n v="208547"/>
    <n v="141812"/>
    <n v="147"/>
    <n v="147"/>
    <n v="0"/>
    <n v="0"/>
    <d v="2023-08-07T00:00:00"/>
    <s v="E041108"/>
    <n v="294500"/>
    <n v="285242"/>
    <s v="SWD"/>
    <n v="30"/>
    <s v="N"/>
    <s v="Y"/>
    <n v="289200"/>
    <n v="56600"/>
    <n v="232600"/>
    <n v="9258"/>
    <n v="0.98200339558573857"/>
    <n v="301838.46659344685"/>
    <n v="312210.52148861601"/>
    <n v="-10372.054895790001"/>
    <n v="0"/>
    <n v="89850.625589999996"/>
    <n v="-52569.808201026557"/>
    <n v="21557.329055999999"/>
    <n v="160472.20319"/>
    <n v="-11821.416826500001"/>
    <n v="58104.595775351998"/>
    <n v="0"/>
    <n v="0"/>
    <n v="27656.882379896997"/>
    <n v="18960.110526"/>
    <n v="0"/>
    <n v="301838.46659393242"/>
    <n v="9300"/>
    <n v="264600"/>
    <n v="37300"/>
    <n v="311200"/>
    <n v="1.0567062818336164"/>
    <n v="7.6071922544951584E-2"/>
    <n v="0.99970000000000003"/>
    <n v="1.0067999999999999"/>
    <n v="0.99729999999999996"/>
    <n v="1.0157"/>
    <n v="0.98909999999999998"/>
    <n v="0.94971499999999998"/>
    <n v="0.95800544533193577"/>
    <n v="274900"/>
    <n v="8800"/>
    <n v="283700"/>
    <n v="35400"/>
    <n v="319100"/>
    <n v="0.21969045571797077"/>
    <n v="-0.37455830388692579"/>
    <n v="0.10338865836791147"/>
    <n v="1.0483122074845841"/>
  </r>
  <r>
    <n v="2025"/>
    <n v="18132334463"/>
    <n v="-1.6094379124341003"/>
    <n v="0.2"/>
    <n v="0"/>
    <n v="6"/>
    <s v="RES"/>
    <n v="3093"/>
    <s v="YC2"/>
    <s v="R1"/>
    <n v="11"/>
    <n v="259"/>
    <s v="CC"/>
    <x v="2"/>
    <s v="VG"/>
    <x v="7"/>
    <n v="1935"/>
    <n v="1971"/>
    <n v="89"/>
    <n v="53"/>
    <n v="2"/>
    <n v="1230"/>
    <n v="500"/>
    <n v="0"/>
    <n v="1230"/>
    <n v="0"/>
    <n v="1230"/>
    <n v="2960"/>
    <n v="3000"/>
    <n v="0"/>
    <m/>
    <s v="FD"/>
    <s v="G"/>
    <s v="Y"/>
    <n v="0"/>
    <n v="2"/>
    <n v="0"/>
    <n v="1"/>
    <n v="1"/>
    <n v="10"/>
    <n v="0"/>
    <n v="0"/>
    <n v="200"/>
    <n v="0"/>
    <n v="0"/>
    <n v="0"/>
    <n v="100"/>
    <n v="100"/>
    <n v="382538"/>
    <n v="309856"/>
    <n v="598"/>
    <n v="365"/>
    <n v="233"/>
    <n v="0"/>
    <d v="2022-05-13T00:00:00"/>
    <s v="E036416"/>
    <n v="445000"/>
    <n v="445000"/>
    <s v="SWD"/>
    <n v="30"/>
    <s v="N"/>
    <s v="Y"/>
    <n v="425900"/>
    <n v="58400"/>
    <n v="367500"/>
    <n v="0"/>
    <n v="0.9570786516853933"/>
    <n v="475486.4361462089"/>
    <n v="498564.59889774176"/>
    <n v="-23078.162753134002"/>
    <n v="0"/>
    <n v="89850.625589999996"/>
    <n v="-50946.13867709865"/>
    <n v="29814.093161000001"/>
    <n v="284810.60806"/>
    <n v="-11821.416826500001"/>
    <n v="60772.663948710004"/>
    <n v="22393.2114305"/>
    <n v="0"/>
    <n v="35770.731153809997"/>
    <n v="37920.221052000001"/>
    <n v="0"/>
    <n v="475486.43613928743"/>
    <n v="0"/>
    <n v="436600"/>
    <n v="38900"/>
    <n v="475500"/>
    <n v="1.0685393258426967"/>
    <n v="0.11645926273773186"/>
    <n v="0.99970000000000003"/>
    <n v="1.0088999999999999"/>
    <n v="1.0158"/>
    <n v="0.96179999999999999"/>
    <n v="0.98909999999999998"/>
    <n v="0.94971499999999998"/>
    <n v="0.92592242517500944"/>
    <n v="459700"/>
    <n v="0"/>
    <n v="459700"/>
    <n v="36900"/>
    <n v="496600"/>
    <n v="0.25088435374149659"/>
    <n v="-0.36815068493150682"/>
    <n v="0.1660014087814041"/>
    <n v="1.0640940162850923"/>
  </r>
  <r>
    <n v="2025"/>
    <n v="18132332517"/>
    <n v="-1.7719568419318752"/>
    <n v="0.17"/>
    <n v="0"/>
    <n v="6"/>
    <s v="RES"/>
    <n v="3032"/>
    <s v="YC2"/>
    <s v="R1"/>
    <n v="11"/>
    <n v="259"/>
    <s v="TD"/>
    <x v="0"/>
    <s v="GD"/>
    <x v="7"/>
    <n v="1935"/>
    <n v="1971"/>
    <n v="89"/>
    <n v="53"/>
    <n v="1"/>
    <n v="1066"/>
    <n v="0"/>
    <n v="0"/>
    <n v="1066"/>
    <n v="0"/>
    <n v="1066"/>
    <n v="2132"/>
    <n v="2500"/>
    <n v="0"/>
    <m/>
    <s v="FD"/>
    <s v="G"/>
    <s v="Y"/>
    <n v="0"/>
    <n v="1"/>
    <n v="0"/>
    <n v="1"/>
    <n v="0"/>
    <n v="9"/>
    <n v="0"/>
    <n v="0"/>
    <n v="0"/>
    <n v="0"/>
    <n v="240"/>
    <n v="240"/>
    <n v="100"/>
    <n v="100"/>
    <n v="248435"/>
    <n v="188811"/>
    <n v="836"/>
    <n v="365"/>
    <n v="365"/>
    <n v="106"/>
    <d v="2021-09-17T00:00:00"/>
    <s v="E033352"/>
    <n v="300000"/>
    <n v="300000"/>
    <s v="SWD"/>
    <n v="30"/>
    <s v="N"/>
    <s v="Y"/>
    <n v="340300"/>
    <n v="52700"/>
    <n v="287600"/>
    <n v="0"/>
    <n v="1.1343333333333334"/>
    <n v="323310.52780061011"/>
    <n v="359047.41345877835"/>
    <n v="-35736.885662470006"/>
    <n v="0"/>
    <n v="89850.625589999996"/>
    <n v="-56090.612940989391"/>
    <n v="21557.329055999999"/>
    <n v="197752.34721000001"/>
    <n v="-11821.416826500001"/>
    <n v="52669.642088881999"/>
    <n v="0"/>
    <n v="0"/>
    <n v="31001.300333301999"/>
    <n v="34128.198946800003"/>
    <n v="0"/>
    <n v="323310.52779502462"/>
    <n v="0"/>
    <n v="289600"/>
    <n v="33800"/>
    <n v="323400"/>
    <n v="1.0780000000000001"/>
    <n v="-4.9662062885689098E-2"/>
    <n v="0.99970000000000003"/>
    <n v="1.0067999999999999"/>
    <n v="0.99650000000000005"/>
    <n v="0.98919999999999997"/>
    <n v="0.98909999999999998"/>
    <n v="0.94971499999999998"/>
    <n v="0.9322622889120924"/>
    <n v="325300"/>
    <n v="0"/>
    <n v="325300"/>
    <n v="32100"/>
    <n v="357400"/>
    <n v="0.13108484005563281"/>
    <n v="-0.39089184060721061"/>
    <n v="5.0249779606229797E-2"/>
    <n v="1.0722103811251"/>
  </r>
  <r>
    <n v="2025"/>
    <n v="18132214408"/>
    <n v="-1.9661128563728327"/>
    <n v="0.14000000000000001"/>
    <n v="6298"/>
    <n v="6"/>
    <s v="RES"/>
    <n v="3033"/>
    <s v="YC2"/>
    <s v="R1"/>
    <n v="11"/>
    <n v="259"/>
    <s v="TD"/>
    <x v="2"/>
    <s v="GD"/>
    <x v="7"/>
    <n v="1935"/>
    <n v="1971"/>
    <n v="89"/>
    <n v="53"/>
    <n v="1"/>
    <n v="1357"/>
    <n v="0"/>
    <n v="0"/>
    <n v="1097"/>
    <n v="0"/>
    <n v="1097"/>
    <n v="2454"/>
    <n v="2500"/>
    <n v="0"/>
    <m/>
    <s v="FD"/>
    <s v="G"/>
    <s v="Y"/>
    <n v="0"/>
    <n v="1"/>
    <n v="0"/>
    <n v="0"/>
    <n v="0"/>
    <n v="10"/>
    <n v="0"/>
    <n v="0"/>
    <n v="0"/>
    <n v="0"/>
    <n v="0"/>
    <n v="0"/>
    <n v="100"/>
    <n v="100"/>
    <n v="325972"/>
    <n v="247739"/>
    <n v="700"/>
    <n v="365"/>
    <n v="335"/>
    <n v="0"/>
    <d v="2022-01-31T00:00:00"/>
    <s v="E035099"/>
    <n v="328000"/>
    <n v="327297"/>
    <s v="SWD"/>
    <n v="30"/>
    <s v="N"/>
    <s v="Y"/>
    <n v="360400"/>
    <n v="46000"/>
    <n v="314400"/>
    <n v="703"/>
    <n v="1.0987804878048781"/>
    <n v="358322.84808176884"/>
    <n v="380229.72732477158"/>
    <n v="-21906.879244629999"/>
    <n v="0"/>
    <n v="89850.625589999996"/>
    <n v="-62236.546971921947"/>
    <n v="29814.093161000001"/>
    <n v="197752.34721000001"/>
    <n v="-11821.416826500001"/>
    <n v="67047.565023089002"/>
    <n v="0"/>
    <n v="0"/>
    <n v="31902.839085959"/>
    <n v="37920.221052000001"/>
    <n v="0"/>
    <n v="358322.84807899612"/>
    <n v="700"/>
    <n v="330700"/>
    <n v="27600"/>
    <n v="359000"/>
    <n v="1.0945121951219512"/>
    <n v="-3.8845726970033298E-3"/>
    <n v="0.99970000000000003"/>
    <n v="1.0088999999999999"/>
    <n v="0.99650000000000005"/>
    <n v="0.98919999999999997"/>
    <n v="0.98909999999999998"/>
    <n v="0.94971499999999998"/>
    <n v="0.93420681692829766"/>
    <n v="352600"/>
    <n v="700"/>
    <n v="353300"/>
    <n v="26200"/>
    <n v="379500"/>
    <n v="0.12372773536895675"/>
    <n v="-0.43043478260869567"/>
    <n v="5.2996670366259713E-2"/>
    <n v="1.0902229291322256"/>
  </r>
  <r>
    <n v="2025"/>
    <n v="18132334479"/>
    <n v="-1.7719568419318752"/>
    <n v="0.17"/>
    <n v="7439"/>
    <n v="6"/>
    <s v="RES"/>
    <n v="3093"/>
    <s v="YC2"/>
    <s v="R1"/>
    <n v="11"/>
    <n v="259"/>
    <s v="TD"/>
    <x v="0"/>
    <s v="AV"/>
    <x v="7"/>
    <n v="1935"/>
    <n v="1971"/>
    <n v="89"/>
    <n v="53"/>
    <n v="1"/>
    <n v="1140"/>
    <n v="0"/>
    <n v="0"/>
    <n v="1140"/>
    <n v="114"/>
    <n v="1026"/>
    <n v="2166"/>
    <n v="2500"/>
    <n v="0"/>
    <m/>
    <s v="FD"/>
    <s v="G"/>
    <m/>
    <n v="0"/>
    <n v="1"/>
    <n v="0"/>
    <n v="1"/>
    <n v="0"/>
    <n v="10"/>
    <n v="0"/>
    <n v="0"/>
    <n v="576"/>
    <n v="885"/>
    <n v="0"/>
    <n v="0"/>
    <n v="100"/>
    <n v="100"/>
    <n v="276416"/>
    <n v="187963"/>
    <n v="794"/>
    <n v="365"/>
    <n v="365"/>
    <n v="64"/>
    <d v="2021-10-29T00:00:00"/>
    <s v="E034000"/>
    <n v="295000"/>
    <n v="295000"/>
    <s v="SWD"/>
    <n v="30"/>
    <s v="N"/>
    <s v="Y"/>
    <n v="323500"/>
    <n v="52700"/>
    <n v="270800"/>
    <n v="0"/>
    <n v="1.0966101694915253"/>
    <n v="330713.55066252063"/>
    <n v="360834.12437994551"/>
    <n v="-30120.573720670003"/>
    <n v="0"/>
    <n v="89850.625589999996"/>
    <n v="-56090.612940989391"/>
    <n v="21557.329055999999"/>
    <n v="160472.20319"/>
    <n v="-11821.416826500001"/>
    <n v="56325.883659780004"/>
    <n v="0"/>
    <n v="0"/>
    <n v="33153.360581579997"/>
    <n v="37920.221052000001"/>
    <n v="29466.531019260005"/>
    <n v="330713.55066046061"/>
    <n v="0"/>
    <n v="297000"/>
    <n v="33800"/>
    <n v="330800"/>
    <n v="1.1213559322033899"/>
    <n v="2.2565687789799074E-2"/>
    <n v="0.99970000000000003"/>
    <n v="1.0067999999999999"/>
    <n v="0.99729999999999996"/>
    <n v="0.98919999999999997"/>
    <n v="0.98909999999999998"/>
    <n v="0.94971499999999998"/>
    <n v="0.93301071824589021"/>
    <n v="327100"/>
    <n v="0"/>
    <n v="327100"/>
    <n v="32100"/>
    <n v="359200"/>
    <n v="0.20790251107828656"/>
    <n v="-0.39089184060721061"/>
    <n v="0.11035548686244204"/>
    <n v="1.1155234789129831"/>
  </r>
  <r>
    <n v="2025"/>
    <n v="18132313470"/>
    <n v="-0.75502258427803282"/>
    <n v="0.47"/>
    <n v="0"/>
    <n v="6"/>
    <s v="RES"/>
    <n v="3033"/>
    <s v="YC2"/>
    <s v="R1"/>
    <n v="11"/>
    <n v="259"/>
    <s v="CC"/>
    <x v="2"/>
    <s v="AV"/>
    <x v="7"/>
    <n v="1935"/>
    <n v="1975"/>
    <n v="89"/>
    <n v="49"/>
    <n v="2"/>
    <n v="1341"/>
    <n v="421"/>
    <n v="0"/>
    <n v="845"/>
    <n v="13"/>
    <n v="832"/>
    <n v="2594"/>
    <n v="3000"/>
    <n v="0"/>
    <m/>
    <s v="FD"/>
    <s v="G"/>
    <m/>
    <n v="0"/>
    <n v="1"/>
    <n v="0"/>
    <n v="1"/>
    <n v="1"/>
    <n v="10"/>
    <n v="0"/>
    <n v="0"/>
    <n v="0"/>
    <n v="84"/>
    <n v="182"/>
    <n v="182"/>
    <n v="100"/>
    <n v="100"/>
    <n v="349819"/>
    <n v="251870"/>
    <n v="836"/>
    <n v="365"/>
    <n v="365"/>
    <n v="106"/>
    <d v="2021-09-17T00:00:00"/>
    <s v="E033155"/>
    <n v="325000"/>
    <n v="314576"/>
    <s v="SWD"/>
    <n v="30"/>
    <s v="N"/>
    <s v="Y"/>
    <n v="398000"/>
    <n v="88200"/>
    <n v="309800"/>
    <n v="10424"/>
    <n v="1.2246153846153847"/>
    <n v="359974.20822428743"/>
    <n v="395711.09388245561"/>
    <n v="-35736.885662470006"/>
    <n v="0"/>
    <n v="89850.625589999996"/>
    <n v="-23899.949781097919"/>
    <n v="29814.093161000001"/>
    <n v="160472.20319"/>
    <n v="-10929.2344245"/>
    <n v="66257.026305057007"/>
    <n v="18855.084024480999"/>
    <n v="0"/>
    <n v="24574.201483714998"/>
    <n v="37920.221052000001"/>
    <n v="2796.8232831840005"/>
    <n v="359974.20822136913"/>
    <n v="10400"/>
    <n v="294000"/>
    <n v="66000"/>
    <n v="370400"/>
    <n v="1.1396923076923078"/>
    <n v="-6.9346733668341709E-2"/>
    <n v="0.99970000000000003"/>
    <n v="1.0088999999999999"/>
    <n v="0.99729999999999996"/>
    <n v="0.96179999999999999"/>
    <n v="0.98909999999999998"/>
    <n v="0.94971499999999998"/>
    <n v="0.90905929772301342"/>
    <n v="329800"/>
    <n v="9900"/>
    <n v="339700"/>
    <n v="62600"/>
    <n v="402300"/>
    <n v="9.651387992253066E-2"/>
    <n v="-0.29024943310657597"/>
    <n v="1.0804020100502512E-2"/>
    <n v="1.1278865056539384"/>
  </r>
  <r>
    <n v="2025"/>
    <n v="18132322400"/>
    <n v="-2.0402208285265546"/>
    <n v="0.13"/>
    <n v="5701"/>
    <n v="6"/>
    <s v="RES"/>
    <n v="3033"/>
    <s v="YC2"/>
    <s v="R1"/>
    <n v="11"/>
    <n v="259"/>
    <s v="BG"/>
    <x v="0"/>
    <s v="GD"/>
    <x v="7"/>
    <n v="1935"/>
    <n v="1971"/>
    <n v="89"/>
    <n v="53"/>
    <n v="2"/>
    <n v="921"/>
    <n v="217"/>
    <n v="0"/>
    <n v="921"/>
    <n v="640"/>
    <n v="281"/>
    <n v="1419"/>
    <n v="1500"/>
    <n v="0"/>
    <m/>
    <s v="FD"/>
    <s v="E"/>
    <s v="N"/>
    <n v="0"/>
    <n v="1"/>
    <n v="0"/>
    <n v="1"/>
    <n v="0"/>
    <n v="8"/>
    <n v="0"/>
    <n v="0"/>
    <n v="0"/>
    <n v="636"/>
    <n v="90"/>
    <n v="0"/>
    <n v="100"/>
    <n v="100"/>
    <n v="219331"/>
    <n v="166692"/>
    <n v="703"/>
    <n v="365"/>
    <n v="338"/>
    <n v="0"/>
    <d v="2022-01-28T00:00:00"/>
    <s v="E035361"/>
    <n v="287500"/>
    <n v="287500"/>
    <s v="SWD"/>
    <n v="30"/>
    <s v="N"/>
    <s v="Y"/>
    <n v="309000"/>
    <n v="43400"/>
    <n v="265600"/>
    <n v="0"/>
    <n v="1.0747826086956522"/>
    <n v="344404.63774583972"/>
    <n v="366277.06747388566"/>
    <n v="-21872.429729674001"/>
    <n v="0"/>
    <n v="89850.625589999996"/>
    <n v="-64582.406353792743"/>
    <n v="21557.329055999999"/>
    <n v="197752.34721000001"/>
    <n v="-11821.416826500001"/>
    <n v="45505.384956717004"/>
    <n v="9718.6537608369999"/>
    <n v="0"/>
    <n v="26784.425522486999"/>
    <n v="30336.176841600001"/>
    <n v="21175.947715536004"/>
    <n v="344404.63774321019"/>
    <n v="0"/>
    <n v="319100"/>
    <n v="25300"/>
    <n v="344400"/>
    <n v="1.1979130434782608"/>
    <n v="0.1145631067961165"/>
    <n v="0.99970000000000003"/>
    <n v="1.0067999999999999"/>
    <n v="0.99650000000000005"/>
    <n v="1.0157"/>
    <n v="0.98909999999999998"/>
    <n v="0.94971499999999998"/>
    <n v="0.95723696608169473"/>
    <n v="341000"/>
    <n v="0"/>
    <n v="341000"/>
    <n v="24000"/>
    <n v="365000"/>
    <n v="0.28388554216867468"/>
    <n v="-0.44700460829493088"/>
    <n v="0.18122977346278318"/>
    <n v="1.1934872009402644"/>
  </r>
  <r>
    <n v="2025"/>
    <n v="18132344491"/>
    <n v="-1.8971199848858813"/>
    <n v="0.15"/>
    <n v="6500"/>
    <n v="6"/>
    <s v="RES"/>
    <n v="3093"/>
    <s v="YC2"/>
    <s v="R1"/>
    <n v="11"/>
    <n v="259"/>
    <s v="BG"/>
    <x v="0"/>
    <s v="GD"/>
    <x v="7"/>
    <n v="1935"/>
    <n v="1971"/>
    <n v="89"/>
    <n v="53"/>
    <n v="1"/>
    <n v="1014"/>
    <n v="0"/>
    <n v="0"/>
    <n v="507"/>
    <n v="507"/>
    <n v="0"/>
    <n v="1014"/>
    <n v="1500"/>
    <n v="0"/>
    <m/>
    <s v="FD"/>
    <s v="G"/>
    <s v="Y"/>
    <n v="0"/>
    <n v="1"/>
    <n v="0"/>
    <n v="0"/>
    <n v="0"/>
    <n v="6"/>
    <n v="0"/>
    <n v="0"/>
    <n v="0"/>
    <n v="0"/>
    <n v="0"/>
    <n v="0"/>
    <n v="100"/>
    <n v="100"/>
    <n v="174726"/>
    <n v="132792"/>
    <n v="1001"/>
    <n v="365"/>
    <n v="365"/>
    <n v="271"/>
    <d v="2021-04-05T00:00:00"/>
    <s v="E030686"/>
    <n v="220000"/>
    <n v="214421"/>
    <s v="SWD"/>
    <n v="30"/>
    <s v="N"/>
    <s v="Y"/>
    <n v="293100"/>
    <n v="48400"/>
    <n v="244700"/>
    <n v="5579"/>
    <n v="1.3322727272727273"/>
    <n v="267082.35738851718"/>
    <n v="324883.32567103399"/>
    <n v="-57800.968290970006"/>
    <n v="0"/>
    <n v="89850.625589999996"/>
    <n v="-60052.604136134301"/>
    <n v="21557.329055999999"/>
    <n v="197752.34721000001"/>
    <n v="-11821.416826500001"/>
    <n v="50100.391255278002"/>
    <n v="0"/>
    <n v="0"/>
    <n v="14744.520890229"/>
    <n v="22752.132631200002"/>
    <n v="0"/>
    <n v="267082.35737910267"/>
    <n v="5600"/>
    <n v="237300"/>
    <n v="29800"/>
    <n v="272700"/>
    <n v="1.2395454545454545"/>
    <n v="-6.9600818833162742E-2"/>
    <n v="0.99970000000000003"/>
    <n v="1.0067999999999999"/>
    <n v="0.99650000000000005"/>
    <n v="1.0157"/>
    <n v="0.98909999999999998"/>
    <n v="0.94971499999999998"/>
    <n v="0.95723696608169473"/>
    <n v="295100"/>
    <n v="5300"/>
    <n v="300400"/>
    <n v="28300"/>
    <n v="328700"/>
    <n v="0.22762566407846344"/>
    <n v="-0.41528925619834711"/>
    <n v="0.12146025247355852"/>
    <n v="1.2313592350410454"/>
  </r>
  <r>
    <n v="2025"/>
    <n v="18132332416"/>
    <n v="-1.7719568419318752"/>
    <n v="0.17"/>
    <n v="7280"/>
    <n v="6"/>
    <s v="RES"/>
    <n v="3032"/>
    <s v="YC2"/>
    <s v="R1"/>
    <n v="11"/>
    <n v="259"/>
    <s v="BG"/>
    <x v="1"/>
    <s v="AV"/>
    <x v="8"/>
    <n v="1932"/>
    <n v="1970"/>
    <n v="92"/>
    <n v="54"/>
    <n v="2"/>
    <n v="1125"/>
    <n v="378"/>
    <n v="0"/>
    <n v="486"/>
    <n v="3"/>
    <n v="483"/>
    <n v="1986"/>
    <n v="2000"/>
    <n v="0"/>
    <m/>
    <s v="FD"/>
    <s v="O"/>
    <s v="Y"/>
    <n v="0"/>
    <n v="1"/>
    <n v="0"/>
    <n v="1"/>
    <n v="1"/>
    <n v="11"/>
    <n v="0"/>
    <n v="0"/>
    <n v="144"/>
    <n v="160"/>
    <n v="216"/>
    <n v="160"/>
    <n v="100"/>
    <n v="100"/>
    <n v="385330"/>
    <n v="258171"/>
    <n v="465"/>
    <n v="365"/>
    <n v="100"/>
    <n v="0"/>
    <d v="2022-09-23T00:00:00"/>
    <s v="E038190"/>
    <n v="310000"/>
    <n v="294876"/>
    <s v="SWD"/>
    <n v="30"/>
    <s v="N"/>
    <s v="Y"/>
    <n v="360200"/>
    <n v="52700"/>
    <n v="307500"/>
    <n v="15124"/>
    <n v="1.1619354838709677"/>
    <n v="335390.71506423422"/>
    <n v="359996.13964551711"/>
    <n v="-24605.424582850002"/>
    <n v="0"/>
    <n v="89850.625589999996"/>
    <n v="-56090.612940989391"/>
    <n v="44121.038090000002"/>
    <n v="160472.20319"/>
    <n v="-12044.462427"/>
    <n v="55584.753611625005"/>
    <n v="16929.267841458"/>
    <n v="0"/>
    <n v="14133.801090041999"/>
    <n v="41712.243157199999"/>
    <n v="5327.2824441600005"/>
    <n v="335390.71506364562"/>
    <n v="15100"/>
    <n v="301600"/>
    <n v="33800"/>
    <n v="350500"/>
    <n v="1.1306451612903226"/>
    <n v="-2.6929483620210994E-2"/>
    <n v="0.99970000000000003"/>
    <n v="0.98050000000000004"/>
    <n v="0.99729999999999996"/>
    <n v="1.0093000000000001"/>
    <n v="1.0074000000000001"/>
    <n v="0.94971499999999998"/>
    <n v="0.9442542195464082"/>
    <n v="326200"/>
    <n v="14400"/>
    <n v="340600"/>
    <n v="32100"/>
    <n v="372700"/>
    <n v="0.10764227642276422"/>
    <n v="-0.39089184060721061"/>
    <n v="3.4702942809550247E-2"/>
    <n v="1.1228857271520967"/>
  </r>
  <r>
    <n v="2025"/>
    <n v="18132332552"/>
    <n v="-1.4696759700589417"/>
    <n v="0.23"/>
    <n v="10215"/>
    <n v="6"/>
    <s v="RES"/>
    <n v="3032"/>
    <s v="YC2"/>
    <s v="R1"/>
    <n v="11"/>
    <n v="259"/>
    <s v="TU"/>
    <x v="1"/>
    <s v="GD"/>
    <x v="8"/>
    <n v="1930"/>
    <n v="1970"/>
    <n v="94"/>
    <n v="54"/>
    <n v="2"/>
    <n v="1525"/>
    <n v="768"/>
    <n v="0"/>
    <n v="1525"/>
    <n v="1525"/>
    <n v="0"/>
    <n v="2293"/>
    <n v="2500"/>
    <n v="1"/>
    <m/>
    <s v="FD"/>
    <s v="O"/>
    <s v="Y"/>
    <n v="0"/>
    <n v="1"/>
    <n v="0"/>
    <n v="0"/>
    <n v="0"/>
    <n v="9"/>
    <n v="340"/>
    <n v="0"/>
    <n v="0"/>
    <n v="0"/>
    <n v="240"/>
    <n v="0"/>
    <n v="100"/>
    <n v="100"/>
    <n v="491823"/>
    <n v="368867"/>
    <n v="728"/>
    <n v="365"/>
    <n v="363"/>
    <n v="0"/>
    <d v="2022-01-03T00:00:00"/>
    <s v="E035076"/>
    <n v="580000"/>
    <n v="580000"/>
    <s v="SWD"/>
    <n v="30"/>
    <s v="N"/>
    <s v="Y"/>
    <n v="415900"/>
    <n v="63300"/>
    <n v="352600"/>
    <n v="0"/>
    <n v="0.71706896551724142"/>
    <n v="439794.45344998298"/>
    <n v="461379.80388672254"/>
    <n v="-21585.350438374"/>
    <n v="0"/>
    <n v="89850.625589999996"/>
    <n v="-46522.028095997222"/>
    <n v="44121.038090000002"/>
    <n v="197752.34721000001"/>
    <n v="-12044.462427"/>
    <n v="75348.221562424995"/>
    <n v="34395.972757247997"/>
    <n v="0"/>
    <n v="44349.890251674995"/>
    <n v="34128.198946800003"/>
    <n v="0"/>
    <n v="439794.45344677672"/>
    <n v="0"/>
    <n v="396500"/>
    <n v="43300"/>
    <n v="439800"/>
    <n v="0.75827586206896547"/>
    <n v="5.746573695599904E-2"/>
    <n v="0.99970000000000003"/>
    <n v="0.98050000000000004"/>
    <n v="0.99650000000000005"/>
    <n v="0.98919999999999997"/>
    <n v="1.0074000000000001"/>
    <n v="0.94971499999999998"/>
    <n v="0.9247072287054503"/>
    <n v="418100"/>
    <n v="0"/>
    <n v="418100"/>
    <n v="41100"/>
    <n v="459200"/>
    <n v="0.18576290414066932"/>
    <n v="-0.35071090047393366"/>
    <n v="0.10411156528011541"/>
    <n v="0.75450801648556209"/>
  </r>
  <r>
    <n v="2025"/>
    <n v="18132331512"/>
    <n v="-1.3470736479666092"/>
    <n v="0.26"/>
    <n v="0"/>
    <n v="6"/>
    <s v="RES"/>
    <n v="3032"/>
    <s v="YC2"/>
    <s v="R1"/>
    <n v="11"/>
    <n v="259"/>
    <s v="CC"/>
    <x v="1"/>
    <s v="GD"/>
    <x v="8"/>
    <n v="1930"/>
    <n v="1970"/>
    <n v="94"/>
    <n v="54"/>
    <n v="2"/>
    <n v="1428"/>
    <n v="710"/>
    <n v="0"/>
    <n v="1428"/>
    <n v="714"/>
    <n v="714"/>
    <n v="2852"/>
    <n v="3000"/>
    <n v="0"/>
    <m/>
    <s v="FD"/>
    <s v="G"/>
    <s v="Y"/>
    <n v="0"/>
    <n v="2"/>
    <n v="0"/>
    <n v="0"/>
    <n v="1"/>
    <n v="8"/>
    <n v="0"/>
    <n v="0"/>
    <n v="0"/>
    <n v="0"/>
    <n v="0"/>
    <n v="0"/>
    <n v="100"/>
    <n v="100"/>
    <n v="486283"/>
    <n v="364712"/>
    <n v="915"/>
    <n v="365"/>
    <n v="365"/>
    <n v="185"/>
    <d v="2021-06-30T00:00:00"/>
    <s v="E032023"/>
    <n v="525000"/>
    <n v="511666"/>
    <s v="SWD"/>
    <n v="30"/>
    <s v="N"/>
    <s v="Y"/>
    <n v="432800"/>
    <n v="67600"/>
    <n v="365200"/>
    <n v="13334"/>
    <n v="0.82438095238095244"/>
    <n v="404956.61285799654"/>
    <n v="451257.5138332771"/>
    <n v="-46300.900981570005"/>
    <n v="0"/>
    <n v="89850.625589999996"/>
    <n v="-42641.098701210125"/>
    <n v="44121.038090000002"/>
    <n v="197752.34721000001"/>
    <n v="-12044.462427"/>
    <n v="70555.580584356008"/>
    <n v="31798.360231309998"/>
    <n v="0"/>
    <n v="41528.946412715995"/>
    <n v="30336.176841600001"/>
    <n v="0"/>
    <n v="404956.6128502019"/>
    <n v="13300"/>
    <n v="357700"/>
    <n v="47200"/>
    <n v="418200"/>
    <n v="0.7965714285714286"/>
    <n v="-3.3733826247689461E-2"/>
    <n v="0.99970000000000003"/>
    <n v="0.98050000000000004"/>
    <n v="0.99650000000000005"/>
    <n v="0.96179999999999999"/>
    <n v="1.0074000000000001"/>
    <n v="0.94971499999999998"/>
    <n v="0.89909362370491519"/>
    <n v="404000"/>
    <n v="12700"/>
    <n v="416700"/>
    <n v="44800"/>
    <n v="461500"/>
    <n v="0.14101861993428258"/>
    <n v="-0.33727810650887574"/>
    <n v="6.6312384473197789E-2"/>
    <n v="0.79085542670177145"/>
  </r>
  <r>
    <n v="2025"/>
    <n v="18132342014"/>
    <n v="-1.5141277326297755"/>
    <n v="0.22"/>
    <n v="9755"/>
    <n v="6"/>
    <s v="RES"/>
    <n v="3092"/>
    <s v="YC2"/>
    <s v="R1"/>
    <n v="11"/>
    <n v="259"/>
    <s v="CL"/>
    <x v="1"/>
    <s v="GD"/>
    <x v="8"/>
    <n v="1930"/>
    <n v="1970"/>
    <n v="94"/>
    <n v="54"/>
    <n v="2"/>
    <n v="1356"/>
    <n v="952"/>
    <n v="0"/>
    <n v="996"/>
    <n v="0"/>
    <n v="996"/>
    <n v="3304"/>
    <n v="3500"/>
    <n v="2"/>
    <m/>
    <s v="FD"/>
    <s v="G"/>
    <s v="Y"/>
    <n v="0"/>
    <n v="1"/>
    <n v="0"/>
    <n v="0"/>
    <n v="1"/>
    <n v="10"/>
    <n v="0"/>
    <n v="360"/>
    <n v="0"/>
    <n v="0"/>
    <n v="171"/>
    <n v="171"/>
    <n v="100"/>
    <n v="100"/>
    <n v="538097"/>
    <n v="403573"/>
    <n v="873"/>
    <n v="365"/>
    <n v="365"/>
    <n v="143"/>
    <d v="2021-08-11T00:00:00"/>
    <s v="E032662"/>
    <n v="500000"/>
    <n v="500000"/>
    <s v="SWD"/>
    <n v="30"/>
    <s v="N"/>
    <s v="Y"/>
    <n v="425000"/>
    <n v="61700"/>
    <n v="363300"/>
    <n v="0"/>
    <n v="0.85"/>
    <n v="407586.44750556524"/>
    <n v="448271.03654010256"/>
    <n v="-40684.589039769999"/>
    <n v="0"/>
    <n v="89850.625589999996"/>
    <n v="-47929.131559187132"/>
    <n v="44121.038090000002"/>
    <n v="197752.34721000001"/>
    <n v="-12044.462427"/>
    <n v="66998.156353212005"/>
    <n v="42636.674563672001"/>
    <n v="0"/>
    <n v="28965.567666011997"/>
    <n v="37920.221052000001"/>
    <n v="0"/>
    <n v="407586.44749893888"/>
    <n v="0"/>
    <n v="365700"/>
    <n v="41900"/>
    <n v="407600"/>
    <n v="0.81520000000000004"/>
    <n v="-4.0941176470588238E-2"/>
    <n v="0.99970000000000003"/>
    <n v="0.98050000000000004"/>
    <n v="0.99650000000000005"/>
    <n v="1.0126999999999999"/>
    <n v="1.0074000000000001"/>
    <n v="0.94971499999999998"/>
    <n v="0.94667510160736901"/>
    <n v="406300"/>
    <n v="0"/>
    <n v="406300"/>
    <n v="39800"/>
    <n v="446100"/>
    <n v="0.11835948252133223"/>
    <n v="-0.35494327390599678"/>
    <n v="4.9647058823529412E-2"/>
    <n v="0.81083082192045997"/>
  </r>
  <r>
    <n v="2025"/>
    <n v="18132323003"/>
    <n v="-1.7147984280919266"/>
    <n v="0.18"/>
    <n v="7700"/>
    <n v="6"/>
    <s v="RES"/>
    <n v="3033"/>
    <s v="YC2"/>
    <s v="R1"/>
    <n v="11"/>
    <n v="259"/>
    <s v="TD"/>
    <x v="4"/>
    <s v="AV"/>
    <x v="8"/>
    <n v="1930"/>
    <n v="1970"/>
    <n v="94"/>
    <n v="54"/>
    <n v="1"/>
    <n v="788"/>
    <n v="0"/>
    <n v="0"/>
    <n v="0"/>
    <n v="0"/>
    <n v="0"/>
    <n v="788"/>
    <n v="1000"/>
    <n v="0"/>
    <m/>
    <s v="FD"/>
    <s v="E"/>
    <s v="Y"/>
    <n v="0"/>
    <n v="0"/>
    <n v="0"/>
    <n v="0"/>
    <n v="0"/>
    <n v="5"/>
    <n v="0"/>
    <n v="0"/>
    <n v="0"/>
    <n v="0"/>
    <n v="0"/>
    <n v="0"/>
    <n v="100"/>
    <n v="100"/>
    <n v="108787"/>
    <n v="72887"/>
    <n v="425"/>
    <n v="365"/>
    <n v="60"/>
    <n v="0"/>
    <d v="2022-11-02T00:00:00"/>
    <s v="E038687"/>
    <n v="249900"/>
    <n v="248511"/>
    <s v="SWD"/>
    <n v="30"/>
    <s v="N"/>
    <s v="Y"/>
    <n v="233300"/>
    <n v="54700"/>
    <n v="178600"/>
    <n v="1389"/>
    <n v="0.9335734293717487"/>
    <n v="216826.47197867336"/>
    <n v="241891.22342604643"/>
    <n v="-25064.751448930001"/>
    <n v="0"/>
    <n v="89850.625589999996"/>
    <n v="-54281.285314520763"/>
    <n v="0"/>
    <n v="160472.20319"/>
    <n v="-12044.462427"/>
    <n v="38934.031863076001"/>
    <n v="0"/>
    <n v="0"/>
    <n v="0"/>
    <n v="18960.110526"/>
    <n v="0"/>
    <n v="216826.47197862525"/>
    <n v="1400"/>
    <n v="181300"/>
    <n v="35600"/>
    <n v="218300"/>
    <n v="0.87354941976790712"/>
    <n v="-6.4294899271324479E-2"/>
    <n v="0.99970000000000003"/>
    <n v="0.99180000000000001"/>
    <n v="0.99729999999999996"/>
    <n v="1.0148999999999999"/>
    <n v="1.0074000000000001"/>
    <n v="0.94971499999999998"/>
    <n v="0.96043597585476481"/>
    <n v="206300"/>
    <n v="1300"/>
    <n v="207600"/>
    <n v="33800"/>
    <n v="241400"/>
    <n v="0.16237402015677491"/>
    <n v="-0.38208409506398539"/>
    <n v="3.4719245606515216E-2"/>
    <n v="0.86568726911192473"/>
  </r>
  <r>
    <n v="2025"/>
    <n v="18132334460"/>
    <n v="-1.7719568419318752"/>
    <n v="0.17"/>
    <n v="0"/>
    <n v="6"/>
    <s v="RES"/>
    <n v="3093"/>
    <s v="YC2"/>
    <s v="R1"/>
    <n v="11"/>
    <n v="259"/>
    <s v="BG"/>
    <x v="2"/>
    <s v="GD"/>
    <x v="8"/>
    <n v="1930"/>
    <n v="1970"/>
    <n v="94"/>
    <n v="54"/>
    <n v="2"/>
    <n v="870"/>
    <n v="200"/>
    <n v="0"/>
    <n v="870"/>
    <n v="0"/>
    <n v="870"/>
    <n v="1940"/>
    <n v="2000"/>
    <n v="0"/>
    <m/>
    <s v="FD"/>
    <s v="G"/>
    <m/>
    <n v="0"/>
    <n v="1"/>
    <n v="0"/>
    <n v="0"/>
    <n v="0"/>
    <n v="8"/>
    <n v="0"/>
    <n v="0"/>
    <n v="0"/>
    <n v="0"/>
    <n v="0"/>
    <n v="0"/>
    <n v="100"/>
    <n v="100"/>
    <n v="275149"/>
    <n v="206362"/>
    <n v="368"/>
    <n v="365"/>
    <n v="3"/>
    <n v="0"/>
    <d v="2022-12-29T00:00:00"/>
    <s v="E039133"/>
    <n v="389000"/>
    <n v="379439"/>
    <s v="SWD"/>
    <n v="30"/>
    <s v="N"/>
    <s v="Y"/>
    <n v="341700"/>
    <n v="52700"/>
    <n v="289000"/>
    <n v="9561"/>
    <n v="0.87840616966580976"/>
    <n v="331142.95143421215"/>
    <n v="356862.24366576382"/>
    <n v="-25719.292233094002"/>
    <n v="0"/>
    <n v="89850.625589999996"/>
    <n v="-56090.612940989391"/>
    <n v="29814.093161000001"/>
    <n v="197752.34721000001"/>
    <n v="-12044.462427"/>
    <n v="42985.542792990003"/>
    <n v="8957.2845722000002"/>
    <n v="0"/>
    <n v="25301.24886489"/>
    <n v="30336.176841600001"/>
    <n v="0"/>
    <n v="331142.95143159659"/>
    <n v="9600"/>
    <n v="297400"/>
    <n v="33800"/>
    <n v="340800"/>
    <n v="0.8760925449871465"/>
    <n v="-2.6338893766461808E-3"/>
    <n v="0.99970000000000003"/>
    <n v="1.0088999999999999"/>
    <n v="0.99650000000000005"/>
    <n v="1.0093000000000001"/>
    <n v="1.0074000000000001"/>
    <n v="0.94971499999999998"/>
    <n v="0.97082497942099955"/>
    <n v="323100"/>
    <n v="9100"/>
    <n v="332200"/>
    <n v="32100"/>
    <n v="364300"/>
    <n v="0.14948096885813147"/>
    <n v="-0.39089184060721061"/>
    <n v="6.6139888791337434E-2"/>
    <n v="0.87038742356531107"/>
  </r>
  <r>
    <n v="2025"/>
    <n v="18132242420"/>
    <n v="-1.4271163556401458"/>
    <n v="0.24"/>
    <n v="10582"/>
    <n v="6"/>
    <s v="RES"/>
    <n v="3033"/>
    <s v="YC2"/>
    <s v="R1"/>
    <n v="11"/>
    <n v="259"/>
    <s v="TD"/>
    <x v="4"/>
    <s v="GD"/>
    <x v="8"/>
    <n v="1930"/>
    <n v="1970"/>
    <n v="94"/>
    <n v="54"/>
    <n v="1"/>
    <n v="1066"/>
    <n v="0"/>
    <n v="0"/>
    <n v="771"/>
    <n v="0"/>
    <n v="771"/>
    <n v="1837"/>
    <n v="2000"/>
    <n v="0"/>
    <m/>
    <s v="FD"/>
    <s v="G"/>
    <s v="N"/>
    <n v="1"/>
    <n v="0"/>
    <n v="1"/>
    <n v="1"/>
    <n v="1"/>
    <n v="11"/>
    <n v="0"/>
    <n v="0"/>
    <n v="0"/>
    <n v="0"/>
    <n v="0"/>
    <n v="0"/>
    <n v="100"/>
    <n v="100"/>
    <n v="218284"/>
    <n v="163713"/>
    <n v="370"/>
    <n v="365"/>
    <n v="5"/>
    <n v="0"/>
    <d v="2022-12-27T00:00:00"/>
    <s v="E039094"/>
    <n v="359000"/>
    <n v="356907"/>
    <s v="SWD"/>
    <n v="30"/>
    <s v="N"/>
    <s v="Y"/>
    <n v="341300"/>
    <n v="64800"/>
    <n v="276500"/>
    <n v="2093"/>
    <n v="0.95069637883008351"/>
    <n v="321491.3911119129"/>
    <n v="347187.71700016008"/>
    <n v="-25696.325889790001"/>
    <n v="0"/>
    <n v="89850.625589999996"/>
    <n v="-45174.819855485119"/>
    <n v="0"/>
    <n v="197752.34721000001"/>
    <n v="-12044.462427"/>
    <n v="52669.642088881999"/>
    <n v="0"/>
    <n v="0"/>
    <n v="22422.141235437"/>
    <n v="41712.243157199999"/>
    <n v="0"/>
    <n v="321491.39110924391"/>
    <n v="2100"/>
    <n v="276800"/>
    <n v="44700"/>
    <n v="323600"/>
    <n v="0.90139275766016713"/>
    <n v="-5.1860533255200701E-2"/>
    <n v="0.99970000000000003"/>
    <n v="0.99180000000000001"/>
    <n v="0.99650000000000005"/>
    <n v="1.0093000000000001"/>
    <n v="1.0074000000000001"/>
    <n v="0.94971499999999998"/>
    <n v="0.95437031875284728"/>
    <n v="302500"/>
    <n v="2000"/>
    <n v="304500"/>
    <n v="42400"/>
    <n v="346900"/>
    <n v="0.10126582278481013"/>
    <n v="-0.34567901234567899"/>
    <n v="1.6407852329329037E-2"/>
    <n v="0.89471775518164343"/>
  </r>
  <r>
    <n v="2025"/>
    <n v="18132331452"/>
    <n v="-1.8971199848858813"/>
    <n v="0.15"/>
    <n v="0"/>
    <n v="6"/>
    <s v="RES"/>
    <n v="3032"/>
    <s v="YC2"/>
    <s v="R1"/>
    <n v="11"/>
    <n v="259"/>
    <s v="TD"/>
    <x v="0"/>
    <s v="AV"/>
    <x v="8"/>
    <n v="1930"/>
    <n v="1970"/>
    <n v="94"/>
    <n v="54"/>
    <n v="1"/>
    <n v="868"/>
    <n v="0"/>
    <n v="0"/>
    <n v="868"/>
    <n v="608"/>
    <n v="260"/>
    <n v="1128"/>
    <n v="1500"/>
    <n v="0"/>
    <m/>
    <s v="FD"/>
    <s v="O"/>
    <m/>
    <n v="0"/>
    <n v="0"/>
    <n v="0"/>
    <n v="0"/>
    <n v="0"/>
    <n v="5"/>
    <n v="0"/>
    <n v="0"/>
    <n v="0"/>
    <n v="0"/>
    <n v="0"/>
    <n v="0"/>
    <n v="100"/>
    <n v="100"/>
    <n v="166773"/>
    <n v="111738"/>
    <n v="1020"/>
    <n v="365"/>
    <n v="365"/>
    <n v="290"/>
    <d v="2021-03-17T00:00:00"/>
    <s v="E030476"/>
    <n v="255000"/>
    <n v="248847"/>
    <s v="SWD"/>
    <n v="30"/>
    <s v="N"/>
    <s v="Y"/>
    <n v="270200"/>
    <n v="48400"/>
    <n v="221800"/>
    <n v="6153"/>
    <n v="1.0596078431372549"/>
    <n v="226531.33149831576"/>
    <n v="286873.01232545462"/>
    <n v="-60341.680836070002"/>
    <n v="0"/>
    <n v="89850.625589999996"/>
    <n v="-60052.604136134301"/>
    <n v="21557.329055999999"/>
    <n v="160472.20319"/>
    <n v="-12044.462427"/>
    <n v="42886.725453236002"/>
    <n v="0"/>
    <n v="0"/>
    <n v="25243.085074396"/>
    <n v="18960.110526"/>
    <n v="0"/>
    <n v="226531.33149042769"/>
    <n v="6200"/>
    <n v="196700"/>
    <n v="29800"/>
    <n v="232700"/>
    <n v="0.91254901960784318"/>
    <n v="-0.13878608438193932"/>
    <n v="0.99970000000000003"/>
    <n v="1.0067999999999999"/>
    <n v="0.99729999999999996"/>
    <n v="1.0157"/>
    <n v="1.0074000000000001"/>
    <n v="0.94971499999999998"/>
    <n v="0.97573014419916293"/>
    <n v="257100"/>
    <n v="5800"/>
    <n v="262900"/>
    <n v="28300"/>
    <n v="291200"/>
    <n v="0.18530207394048692"/>
    <n v="-0.41528925619834711"/>
    <n v="7.7720207253886009E-2"/>
    <n v="0.90532674181933326"/>
  </r>
  <r>
    <n v="2025"/>
    <n v="18132332486"/>
    <n v="-1.7719568419318752"/>
    <n v="0.17"/>
    <n v="0"/>
    <n v="6"/>
    <s v="RES"/>
    <n v="3032"/>
    <s v="YC2"/>
    <s v="R1"/>
    <n v="11"/>
    <n v="259"/>
    <s v="CO"/>
    <x v="2"/>
    <s v="AV"/>
    <x v="8"/>
    <n v="1930"/>
    <n v="1970"/>
    <n v="94"/>
    <n v="54"/>
    <n v="2"/>
    <n v="928"/>
    <n v="468"/>
    <n v="0"/>
    <n v="928"/>
    <n v="0"/>
    <n v="928"/>
    <n v="2324"/>
    <n v="2500"/>
    <n v="0"/>
    <m/>
    <s v="FD"/>
    <s v="O"/>
    <s v="Y"/>
    <n v="0"/>
    <n v="2"/>
    <n v="0"/>
    <n v="1"/>
    <n v="1"/>
    <n v="10"/>
    <n v="0"/>
    <n v="0"/>
    <n v="0"/>
    <n v="0"/>
    <n v="147"/>
    <n v="147"/>
    <n v="100"/>
    <n v="100"/>
    <n v="332463"/>
    <n v="222750"/>
    <n v="850"/>
    <n v="365"/>
    <n v="365"/>
    <n v="120"/>
    <d v="2021-09-03T00:00:00"/>
    <s v="E033009"/>
    <n v="340000"/>
    <n v="332693"/>
    <s v="SWD"/>
    <n v="30"/>
    <s v="N"/>
    <s v="Y"/>
    <n v="350600"/>
    <n v="52700"/>
    <n v="297900"/>
    <n v="7307"/>
    <n v="1.0311764705882354"/>
    <n v="306112.36831957183"/>
    <n v="343721.3579579877"/>
    <n v="-37608.989643070003"/>
    <n v="0"/>
    <n v="89850.625589999996"/>
    <n v="-56090.612940989391"/>
    <n v="29814.093161000001"/>
    <n v="160472.20319"/>
    <n v="-12044.462427"/>
    <n v="45851.245645856005"/>
    <n v="20960.045898947999"/>
    <n v="0"/>
    <n v="26987.998789215999"/>
    <n v="37920.221052000001"/>
    <n v="0"/>
    <n v="306112.36831596063"/>
    <n v="7300"/>
    <n v="272400"/>
    <n v="33800"/>
    <n v="313500"/>
    <n v="0.92205882352941182"/>
    <n v="-0.1058185966913862"/>
    <n v="0.99970000000000003"/>
    <n v="1.0088999999999999"/>
    <n v="0.99729999999999996"/>
    <n v="0.98919999999999997"/>
    <n v="1.0074000000000001"/>
    <n v="0.94971499999999998"/>
    <n v="0.95225506796349002"/>
    <n v="310000"/>
    <n v="6900"/>
    <n v="316900"/>
    <n v="32100"/>
    <n v="349000"/>
    <n v="6.3779791876468608E-2"/>
    <n v="-0.39089184060721061"/>
    <n v="-4.5636052481460351E-3"/>
    <n v="0.91585591281449996"/>
  </r>
  <r>
    <n v="2025"/>
    <n v="18132214402"/>
    <n v="-1.6094379124341003"/>
    <n v="0.2"/>
    <n v="8773"/>
    <n v="6"/>
    <s v="RES"/>
    <n v="3033"/>
    <s v="YC2"/>
    <s v="R1"/>
    <n v="11"/>
    <n v="259"/>
    <s v="TD"/>
    <x v="4"/>
    <s v="AV"/>
    <x v="8"/>
    <n v="1930"/>
    <n v="1970"/>
    <n v="94"/>
    <n v="54"/>
    <n v="1"/>
    <n v="1284"/>
    <n v="0"/>
    <n v="0"/>
    <n v="642"/>
    <n v="642"/>
    <n v="0"/>
    <n v="1284"/>
    <n v="1500"/>
    <n v="0"/>
    <m/>
    <s v="FD"/>
    <s v="G"/>
    <s v="N"/>
    <n v="0"/>
    <n v="0"/>
    <n v="0"/>
    <n v="0"/>
    <n v="0"/>
    <n v="6"/>
    <n v="0"/>
    <n v="0"/>
    <n v="0"/>
    <n v="0"/>
    <n v="264"/>
    <n v="264"/>
    <n v="100"/>
    <n v="100"/>
    <n v="196837"/>
    <n v="131881"/>
    <n v="627"/>
    <n v="365"/>
    <n v="262"/>
    <n v="0"/>
    <d v="2022-04-14T00:00:00"/>
    <s v="E036010"/>
    <n v="291000"/>
    <n v="291000"/>
    <s v="SWD"/>
    <n v="30"/>
    <s v="N"/>
    <s v="Y"/>
    <n v="280200"/>
    <n v="58400"/>
    <n v="221800"/>
    <n v="0"/>
    <n v="0.96288659793814435"/>
    <n v="269450.51840283402"/>
    <n v="292195.66917645134"/>
    <n v="-22745.150775226"/>
    <n v="0"/>
    <n v="89850.625589999996"/>
    <n v="-50946.13867709865"/>
    <n v="0"/>
    <n v="160472.20319"/>
    <n v="-12044.462427"/>
    <n v="63440.732122068002"/>
    <n v="0"/>
    <n v="0"/>
    <n v="18670.576748574"/>
    <n v="22752.132631200002"/>
    <n v="0"/>
    <n v="269450.51840251737"/>
    <n v="0"/>
    <n v="230500"/>
    <n v="38900"/>
    <n v="269400"/>
    <n v="0.9257731958762887"/>
    <n v="-3.8543897216274089E-2"/>
    <n v="0.99970000000000003"/>
    <n v="0.99180000000000001"/>
    <n v="0.99729999999999996"/>
    <n v="1.0157"/>
    <n v="1.0074000000000001"/>
    <n v="0.94971499999999998"/>
    <n v="0.96119304431538555"/>
    <n v="253300"/>
    <n v="0"/>
    <n v="253300"/>
    <n v="36900"/>
    <n v="290200"/>
    <n v="0.14201983769161405"/>
    <n v="-0.36815068493150682"/>
    <n v="3.5688793718772309E-2"/>
    <n v="0.91908882895111332"/>
  </r>
  <r>
    <n v="2025"/>
    <n v="18132324468"/>
    <n v="-1.8325814637483102"/>
    <n v="0.16"/>
    <n v="0"/>
    <n v="6"/>
    <s v="RES"/>
    <n v="3033"/>
    <s v="YC2"/>
    <s v="R1"/>
    <n v="11"/>
    <n v="259"/>
    <s v="BG"/>
    <x v="2"/>
    <s v="GD"/>
    <x v="8"/>
    <n v="1930"/>
    <n v="1970"/>
    <n v="94"/>
    <n v="54"/>
    <n v="1"/>
    <n v="1288"/>
    <n v="0"/>
    <n v="0"/>
    <n v="676"/>
    <n v="0"/>
    <n v="676"/>
    <n v="1964"/>
    <n v="2000"/>
    <n v="0"/>
    <m/>
    <s v="FD"/>
    <s v="G"/>
    <s v="Y"/>
    <n v="0"/>
    <n v="1"/>
    <n v="0"/>
    <n v="0"/>
    <n v="0"/>
    <n v="6"/>
    <n v="0"/>
    <n v="0"/>
    <n v="0"/>
    <n v="0"/>
    <n v="0"/>
    <n v="0"/>
    <n v="100"/>
    <n v="100"/>
    <n v="273678"/>
    <n v="205259"/>
    <n v="1049"/>
    <n v="365"/>
    <n v="365"/>
    <n v="319"/>
    <d v="2021-02-16T00:00:00"/>
    <s v="E030187"/>
    <n v="315000"/>
    <n v="311494"/>
    <s v="SWD"/>
    <n v="30"/>
    <s v="N"/>
    <s v="Y"/>
    <n v="329600"/>
    <n v="50600"/>
    <n v="279000"/>
    <n v="3506"/>
    <n v="1.0463492063492064"/>
    <n v="289193.19160505937"/>
    <n v="353412.80210556852"/>
    <n v="-64219.610510170001"/>
    <n v="0"/>
    <n v="89850.625589999996"/>
    <n v="-58009.662049032086"/>
    <n v="29814.093161000001"/>
    <n v="197752.34721000001"/>
    <n v="-12044.462427"/>
    <n v="63638.366801576005"/>
    <n v="0"/>
    <n v="0"/>
    <n v="19659.361186972001"/>
    <n v="22752.132631200002"/>
    <n v="0"/>
    <n v="289193.19159454596"/>
    <n v="3500"/>
    <n v="257400"/>
    <n v="31800"/>
    <n v="292700"/>
    <n v="0.92920634920634926"/>
    <n v="-0.11195388349514564"/>
    <n v="0.99970000000000003"/>
    <n v="1.0088999999999999"/>
    <n v="0.99650000000000005"/>
    <n v="1.0093000000000001"/>
    <n v="1.0074000000000001"/>
    <n v="0.94971499999999998"/>
    <n v="0.97082497942099955"/>
    <n v="321600"/>
    <n v="3300"/>
    <n v="324900"/>
    <n v="30200"/>
    <n v="355100"/>
    <n v="0.16451612903225807"/>
    <n v="-0.40316205533596838"/>
    <n v="7.7366504854368925E-2"/>
    <n v="0.92342980790422224"/>
  </r>
  <r>
    <n v="2025"/>
    <n v="18132214412"/>
    <n v="-1.6094379124341003"/>
    <n v="0.2"/>
    <n v="8580"/>
    <n v="6"/>
    <s v="RES"/>
    <n v="3033"/>
    <s v="YC2"/>
    <s v="R1"/>
    <n v="11"/>
    <n v="259"/>
    <s v="BG"/>
    <x v="2"/>
    <s v="AV"/>
    <x v="8"/>
    <n v="1930"/>
    <n v="1970"/>
    <n v="94"/>
    <n v="54"/>
    <n v="1"/>
    <n v="1460"/>
    <n v="0"/>
    <n v="0"/>
    <n v="966"/>
    <n v="0"/>
    <n v="966"/>
    <n v="2426"/>
    <n v="2500"/>
    <n v="0"/>
    <m/>
    <s v="FD"/>
    <s v="G"/>
    <s v="Y"/>
    <n v="0"/>
    <n v="1"/>
    <n v="0"/>
    <n v="0"/>
    <n v="0"/>
    <n v="9"/>
    <n v="0"/>
    <n v="0"/>
    <n v="0"/>
    <n v="0"/>
    <n v="336"/>
    <n v="0"/>
    <n v="100"/>
    <n v="100"/>
    <n v="319501"/>
    <n v="214066"/>
    <n v="956"/>
    <n v="365"/>
    <n v="365"/>
    <n v="226"/>
    <d v="2021-05-20T00:00:00"/>
    <s v="E031383"/>
    <n v="325000"/>
    <n v="320286"/>
    <s v="SWD"/>
    <n v="30"/>
    <s v="N"/>
    <s v="Y"/>
    <n v="375700"/>
    <n v="58400"/>
    <n v="317300"/>
    <n v="4714"/>
    <n v="1.1559999999999999"/>
    <n v="299720.79740840633"/>
    <n v="351504.28861155536"/>
    <n v="-51783.491210470005"/>
    <n v="0"/>
    <n v="89850.625589999996"/>
    <n v="-50946.13867709865"/>
    <n v="29814.093161000001"/>
    <n v="160472.20319"/>
    <n v="-12044.462427"/>
    <n v="72136.65802042"/>
    <n v="0"/>
    <n v="0"/>
    <n v="28093.110808601999"/>
    <n v="34128.198946800003"/>
    <n v="0"/>
    <n v="299720.79740225337"/>
    <n v="4700"/>
    <n v="260800"/>
    <n v="38900"/>
    <n v="304400"/>
    <n v="0.93661538461538463"/>
    <n v="-0.18977907905243546"/>
    <n v="0.99970000000000003"/>
    <n v="1.0088999999999999"/>
    <n v="0.99729999999999996"/>
    <n v="0.98919999999999997"/>
    <n v="1.0074000000000001"/>
    <n v="0.94971499999999998"/>
    <n v="0.95225506796349002"/>
    <n v="312600"/>
    <n v="4500"/>
    <n v="317100"/>
    <n v="36900"/>
    <n v="354000"/>
    <n v="-6.3031831074692715E-4"/>
    <n v="-0.36815068493150682"/>
    <n v="-5.7758850146393398E-2"/>
    <n v="0.92989695012163087"/>
  </r>
  <r>
    <n v="2025"/>
    <n v="18132331052"/>
    <n v="-1.8325814637483102"/>
    <n v="0.16"/>
    <n v="6975"/>
    <n v="6"/>
    <s v="RES"/>
    <n v="3032"/>
    <s v="YC2"/>
    <s v="R1"/>
    <n v="11"/>
    <n v="259"/>
    <s v="BG"/>
    <x v="0"/>
    <s v="GD"/>
    <x v="8"/>
    <n v="1930"/>
    <n v="1970"/>
    <n v="94"/>
    <n v="54"/>
    <n v="1"/>
    <n v="982"/>
    <n v="0"/>
    <n v="0"/>
    <n v="648"/>
    <n v="0"/>
    <n v="648"/>
    <n v="1630"/>
    <n v="2000"/>
    <n v="1"/>
    <m/>
    <s v="FD"/>
    <s v="G"/>
    <m/>
    <n v="0"/>
    <n v="1"/>
    <n v="0"/>
    <n v="0"/>
    <n v="0"/>
    <n v="5"/>
    <n v="180"/>
    <n v="0"/>
    <n v="0"/>
    <n v="0"/>
    <n v="0"/>
    <n v="0"/>
    <n v="100"/>
    <n v="100"/>
    <n v="203927"/>
    <n v="152945"/>
    <n v="824"/>
    <n v="365"/>
    <n v="365"/>
    <n v="94"/>
    <d v="2021-09-29T00:00:00"/>
    <s v="E033423"/>
    <n v="310000"/>
    <n v="310000"/>
    <s v="SWD"/>
    <n v="30"/>
    <s v="N"/>
    <s v="Y"/>
    <n v="299200"/>
    <n v="50600"/>
    <n v="248600"/>
    <n v="0"/>
    <n v="0.96516129032258069"/>
    <n v="291298.44474258221"/>
    <n v="325430.66984625225"/>
    <n v="-34132.225107670005"/>
    <n v="0"/>
    <n v="89850.625589999996"/>
    <n v="-58009.662049032086"/>
    <n v="21557.329055999999"/>
    <n v="197752.34721000001"/>
    <n v="-12044.462427"/>
    <n v="48519.313819214003"/>
    <n v="0"/>
    <n v="0"/>
    <n v="18845.068120055999"/>
    <n v="18960.110526"/>
    <n v="0"/>
    <n v="291298.44473756792"/>
    <n v="0"/>
    <n v="259500"/>
    <n v="31800"/>
    <n v="291300"/>
    <n v="0.93967741935483873"/>
    <n v="-2.6403743315508023E-2"/>
    <n v="0.99970000000000003"/>
    <n v="1.0067999999999999"/>
    <n v="0.99650000000000005"/>
    <n v="1.0093000000000001"/>
    <n v="1.0074000000000001"/>
    <n v="0.94971499999999998"/>
    <n v="0.96880423161964746"/>
    <n v="293600"/>
    <n v="0"/>
    <n v="293600"/>
    <n v="30200"/>
    <n v="323800"/>
    <n v="0.18101367658889783"/>
    <n v="-0.40316205533596838"/>
    <n v="8.2219251336898391E-2"/>
    <n v="0.93441217707203228"/>
  </r>
  <r>
    <n v="2025"/>
    <n v="18132324473"/>
    <n v="-1.8325814637483102"/>
    <n v="0.16"/>
    <n v="0"/>
    <n v="6"/>
    <s v="RES"/>
    <n v="3033"/>
    <s v="YC2"/>
    <s v="R1"/>
    <n v="11"/>
    <n v="259"/>
    <s v="TD"/>
    <x v="0"/>
    <s v="FR"/>
    <x v="8"/>
    <n v="1930"/>
    <n v="1970"/>
    <n v="94"/>
    <n v="54"/>
    <n v="1"/>
    <n v="1130"/>
    <n v="0"/>
    <n v="0"/>
    <n v="560"/>
    <n v="560"/>
    <n v="0"/>
    <n v="1130"/>
    <n v="1500"/>
    <n v="0"/>
    <m/>
    <s v="FD"/>
    <s v="G"/>
    <s v="Y"/>
    <n v="0"/>
    <n v="1"/>
    <n v="0"/>
    <n v="0"/>
    <n v="0"/>
    <n v="5"/>
    <n v="0"/>
    <n v="0"/>
    <n v="0"/>
    <n v="0"/>
    <n v="0"/>
    <n v="0"/>
    <n v="100"/>
    <n v="100"/>
    <n v="190652"/>
    <n v="97233"/>
    <n v="943"/>
    <n v="365"/>
    <n v="365"/>
    <n v="213"/>
    <d v="2021-06-02T00:00:00"/>
    <s v="E031578"/>
    <n v="230000"/>
    <n v="225286"/>
    <s v="SWD"/>
    <n v="30"/>
    <s v="N"/>
    <s v="Y"/>
    <n v="245600"/>
    <n v="50600"/>
    <n v="195000"/>
    <n v="4714"/>
    <n v="1.0678260869565217"/>
    <n v="216101.02827151376"/>
    <n v="266146.13720728987"/>
    <n v="-50045.108942770006"/>
    <n v="0"/>
    <n v="89850.625589999996"/>
    <n v="-58009.662049032086"/>
    <n v="21557.329055999999"/>
    <n v="133714.53821"/>
    <n v="-12044.462427"/>
    <n v="55831.796961010004"/>
    <n v="0"/>
    <n v="0"/>
    <n v="16285.861338319999"/>
    <n v="18960.110526"/>
    <n v="0"/>
    <n v="216101.02826252792"/>
    <n v="4700"/>
    <n v="184300"/>
    <n v="31800"/>
    <n v="220800"/>
    <n v="0.96"/>
    <n v="-0.10097719869706841"/>
    <n v="0.99970000000000003"/>
    <n v="1.0067999999999999"/>
    <n v="0.99329999999999996"/>
    <n v="1.0157"/>
    <n v="1.0074000000000001"/>
    <n v="0.94971499999999998"/>
    <n v="0.971816657207489"/>
    <n v="234300"/>
    <n v="4500"/>
    <n v="238800"/>
    <n v="30200"/>
    <n v="269000"/>
    <n v="0.22461538461538461"/>
    <n v="-0.40316205533596838"/>
    <n v="9.5276872964169382E-2"/>
    <n v="0.95197778720534787"/>
  </r>
  <r>
    <n v="2025"/>
    <n v="18132332413"/>
    <n v="-1.6607312068216509"/>
    <n v="0.19"/>
    <n v="0"/>
    <n v="6"/>
    <s v="RES"/>
    <n v="3032"/>
    <s v="YC2"/>
    <s v="R1"/>
    <n v="11"/>
    <n v="259"/>
    <s v="TU"/>
    <x v="3"/>
    <s v="GD"/>
    <x v="8"/>
    <n v="1930"/>
    <n v="1970"/>
    <n v="94"/>
    <n v="54"/>
    <n v="2"/>
    <n v="1140"/>
    <n v="760"/>
    <n v="0"/>
    <n v="740"/>
    <n v="0"/>
    <n v="740"/>
    <n v="2640"/>
    <n v="3000"/>
    <n v="2"/>
    <m/>
    <s v="FD"/>
    <s v="G"/>
    <s v="Y"/>
    <n v="0"/>
    <n v="1"/>
    <n v="0"/>
    <n v="2"/>
    <n v="0"/>
    <n v="11"/>
    <n v="0"/>
    <n v="400"/>
    <n v="0"/>
    <n v="183"/>
    <n v="0"/>
    <n v="183"/>
    <n v="100"/>
    <n v="100"/>
    <n v="515928"/>
    <n v="392105"/>
    <n v="1049"/>
    <n v="365"/>
    <n v="365"/>
    <n v="319"/>
    <d v="2021-02-16T00:00:00"/>
    <s v="E030140"/>
    <n v="400000"/>
    <n v="400000"/>
    <s v="SWD"/>
    <n v="30"/>
    <s v="N"/>
    <s v="Y"/>
    <n v="451100"/>
    <n v="56600"/>
    <n v="394500"/>
    <n v="0"/>
    <n v="1.12775"/>
    <n v="392726.99130694073"/>
    <n v="456946.60180744994"/>
    <n v="-64219.610510170001"/>
    <n v="0"/>
    <n v="89850.625589999996"/>
    <n v="-52569.808201026557"/>
    <n v="74268.409664999999"/>
    <n v="197752.34721000001"/>
    <n v="-12044.462427"/>
    <n v="56325.883659780004"/>
    <n v="34037.68137436"/>
    <n v="0"/>
    <n v="21520.602482779999"/>
    <n v="41712.243157199999"/>
    <n v="6093.0792955080005"/>
    <n v="392726.99129643146"/>
    <n v="0"/>
    <n v="355400"/>
    <n v="37300"/>
    <n v="392700"/>
    <n v="0.98175000000000001"/>
    <n v="-0.12946131678120151"/>
    <n v="0.99970000000000003"/>
    <n v="0.98380000000000001"/>
    <n v="0.99650000000000005"/>
    <n v="0.96179999999999999"/>
    <n v="1.0074000000000001"/>
    <n v="0.94971499999999998"/>
    <n v="0.90211963998051559"/>
    <n v="419700"/>
    <n v="0"/>
    <n v="419700"/>
    <n v="35400"/>
    <n v="455100"/>
    <n v="6.3878326996197721E-2"/>
    <n v="-0.37455830388692579"/>
    <n v="8.867213478164486E-3"/>
    <n v="0.97720097372457504"/>
  </r>
  <r>
    <n v="2025"/>
    <n v="18132214412"/>
    <n v="-1.6094379124341003"/>
    <n v="0.2"/>
    <n v="8580"/>
    <n v="6"/>
    <s v="RES"/>
    <n v="3033"/>
    <s v="YC2"/>
    <s v="R1"/>
    <n v="11"/>
    <n v="259"/>
    <s v="BG"/>
    <x v="2"/>
    <s v="GD"/>
    <x v="8"/>
    <n v="1930"/>
    <n v="1970"/>
    <n v="94"/>
    <n v="54"/>
    <n v="1"/>
    <n v="1460"/>
    <n v="0"/>
    <n v="0"/>
    <n v="966"/>
    <n v="0"/>
    <n v="966"/>
    <n v="2426"/>
    <n v="2500"/>
    <n v="0"/>
    <m/>
    <s v="FD"/>
    <s v="G"/>
    <s v="Y"/>
    <n v="0"/>
    <n v="1"/>
    <n v="0"/>
    <n v="0"/>
    <n v="0"/>
    <n v="9"/>
    <n v="0"/>
    <n v="0"/>
    <n v="0"/>
    <n v="0"/>
    <n v="336"/>
    <n v="0"/>
    <n v="100"/>
    <n v="100"/>
    <n v="319501"/>
    <n v="239626"/>
    <n v="824"/>
    <n v="365"/>
    <n v="365"/>
    <n v="94"/>
    <d v="2021-09-29T00:00:00"/>
    <s v="E033440"/>
    <n v="361000"/>
    <n v="356286"/>
    <s v="SWD"/>
    <n v="30"/>
    <s v="N"/>
    <s v="Y"/>
    <n v="375700"/>
    <n v="58400"/>
    <n v="317300"/>
    <n v="4714"/>
    <n v="1.0407202216066482"/>
    <n v="354652.20753007208"/>
    <n v="388784.43263374211"/>
    <n v="-34132.225107670005"/>
    <n v="0"/>
    <n v="89850.625589999996"/>
    <n v="-50946.13867709865"/>
    <n v="29814.093161000001"/>
    <n v="197752.34721000001"/>
    <n v="-12044.462427"/>
    <n v="72136.65802042"/>
    <n v="0"/>
    <n v="0"/>
    <n v="28093.110808601999"/>
    <n v="34128.198946800003"/>
    <n v="0"/>
    <n v="354652.20752505341"/>
    <n v="4700"/>
    <n v="315700"/>
    <n v="38900"/>
    <n v="359300"/>
    <n v="0.99529085872576173"/>
    <n v="-4.3651849880223581E-2"/>
    <n v="0.99970000000000003"/>
    <n v="1.0088999999999999"/>
    <n v="0.99650000000000005"/>
    <n v="0.98919999999999997"/>
    <n v="1.0074000000000001"/>
    <n v="0.94971499999999998"/>
    <n v="0.95149120146958555"/>
    <n v="349900"/>
    <n v="4500"/>
    <n v="354400"/>
    <n v="36900"/>
    <n v="391300"/>
    <n v="0.11692404664355499"/>
    <n v="-0.36815068493150682"/>
    <n v="4.1522491349480967E-2"/>
    <n v="0.98938441798429366"/>
  </r>
  <r>
    <n v="2025"/>
    <n v="18132323006"/>
    <n v="-1.3470736479666092"/>
    <n v="0.26"/>
    <n v="0"/>
    <n v="6"/>
    <s v="RES"/>
    <n v="3033"/>
    <s v="YC2"/>
    <s v="R1"/>
    <n v="11"/>
    <n v="259"/>
    <s v="FH"/>
    <x v="0"/>
    <s v="GD"/>
    <x v="8"/>
    <n v="1930"/>
    <n v="1970"/>
    <n v="94"/>
    <n v="54"/>
    <n v="2"/>
    <n v="1034"/>
    <n v="1024"/>
    <n v="0"/>
    <n v="1024"/>
    <n v="0"/>
    <n v="1024"/>
    <n v="3082"/>
    <n v="3500"/>
    <n v="1"/>
    <m/>
    <s v="FD"/>
    <s v="G"/>
    <s v="Y"/>
    <n v="0"/>
    <n v="1"/>
    <n v="0"/>
    <n v="1"/>
    <n v="2"/>
    <n v="12"/>
    <n v="384"/>
    <n v="0"/>
    <n v="0"/>
    <n v="0"/>
    <n v="0"/>
    <n v="384"/>
    <n v="100"/>
    <n v="100"/>
    <n v="372521"/>
    <n v="279391"/>
    <n v="776"/>
    <n v="365"/>
    <n v="365"/>
    <n v="46"/>
    <d v="2021-11-16T00:00:00"/>
    <s v="E034191"/>
    <n v="420000"/>
    <n v="398846"/>
    <s v="SWD"/>
    <n v="30"/>
    <s v="N"/>
    <s v="Y"/>
    <n v="434000"/>
    <n v="67600"/>
    <n v="366400"/>
    <n v="21154"/>
    <n v="1.0333333333333334"/>
    <n v="398995.14550124347"/>
    <n v="426708.72838692117"/>
    <n v="-27713.582888470002"/>
    <n v="0"/>
    <n v="89850.625589999996"/>
    <n v="-42641.098701210125"/>
    <n v="21557.329055999999"/>
    <n v="197752.34721000001"/>
    <n v="-12044.462427"/>
    <n v="51088.564652818"/>
    <n v="45861.297009663998"/>
    <n v="0"/>
    <n v="29779.860732927998"/>
    <n v="45504.265262400004"/>
    <n v="0"/>
    <n v="398995.14549712988"/>
    <n v="21200"/>
    <n v="351800"/>
    <n v="47200"/>
    <n v="420200"/>
    <n v="1.0004761904761905"/>
    <n v="-3.1797235023041472E-2"/>
    <n v="0.99970000000000003"/>
    <n v="1.0067999999999999"/>
    <n v="0.99650000000000005"/>
    <n v="1.0126999999999999"/>
    <n v="1.0074000000000001"/>
    <n v="0.94971499999999998"/>
    <n v="0.97206781468464976"/>
    <n v="379500"/>
    <n v="20100"/>
    <n v="399600"/>
    <n v="44800"/>
    <n v="444400"/>
    <n v="9.0611353711790396E-2"/>
    <n v="-0.33727810650887574"/>
    <n v="2.3963133640552997E-2"/>
    <n v="0.99211051693221419"/>
  </r>
  <r>
    <n v="2025"/>
    <n v="18132342011"/>
    <n v="-1.3862943611198906"/>
    <n v="0.25"/>
    <n v="11106"/>
    <n v="6"/>
    <s v="RES"/>
    <n v="3092"/>
    <s v="YC2"/>
    <s v="R1"/>
    <n v="11"/>
    <n v="259"/>
    <s v="CO"/>
    <x v="3"/>
    <s v="AV"/>
    <x v="8"/>
    <n v="1930"/>
    <n v="1970"/>
    <n v="94"/>
    <n v="54"/>
    <n v="2"/>
    <n v="1291"/>
    <n v="967"/>
    <n v="336"/>
    <n v="1117"/>
    <n v="848"/>
    <n v="269"/>
    <n v="2863"/>
    <n v="3000"/>
    <n v="2"/>
    <m/>
    <s v="FD"/>
    <s v="G"/>
    <s v="Y"/>
    <n v="0"/>
    <n v="1"/>
    <n v="0"/>
    <n v="1"/>
    <n v="1"/>
    <n v="14"/>
    <n v="672"/>
    <n v="0"/>
    <n v="0"/>
    <n v="1059"/>
    <n v="0"/>
    <n v="0"/>
    <n v="100"/>
    <n v="100"/>
    <n v="620574"/>
    <n v="421990"/>
    <n v="1007"/>
    <n v="365"/>
    <n v="365"/>
    <n v="277"/>
    <d v="2021-03-30T00:00:00"/>
    <s v="E030600"/>
    <n v="455000"/>
    <n v="455000"/>
    <s v="SWD"/>
    <n v="30"/>
    <s v="N"/>
    <s v="Y"/>
    <n v="479800"/>
    <n v="66200"/>
    <n v="413600"/>
    <n v="0"/>
    <n v="1.0545054945054946"/>
    <n v="459860.47248366446"/>
    <n v="518463.77104343049"/>
    <n v="-58603.298568370003"/>
    <n v="0"/>
    <n v="89850.625589999996"/>
    <n v="-43882.615305165229"/>
    <n v="74268.409664999999"/>
    <n v="160472.20319"/>
    <n v="-12044.462427"/>
    <n v="63786.592811207003"/>
    <n v="43308.470906586997"/>
    <n v="21871.809473136003"/>
    <n v="32484.476990898998"/>
    <n v="53088.3094728"/>
    <n v="35259.950677284003"/>
    <n v="459860.47247637773"/>
    <n v="0"/>
    <n v="413900"/>
    <n v="46000"/>
    <n v="459900"/>
    <n v="1.0107692307692309"/>
    <n v="-4.1475614839516464E-2"/>
    <n v="0.99970000000000003"/>
    <n v="0.98380000000000001"/>
    <n v="0.99729999999999996"/>
    <n v="0.96179999999999999"/>
    <n v="1.0074000000000001"/>
    <n v="0.94971499999999998"/>
    <n v="0.90284387049931569"/>
    <n v="472500"/>
    <n v="0"/>
    <n v="472500"/>
    <n v="43700"/>
    <n v="516200"/>
    <n v="0.14240812379110251"/>
    <n v="-0.33987915407854985"/>
    <n v="7.5864943726552725E-2"/>
    <n v="1.0057070361134726"/>
  </r>
  <r>
    <n v="2025"/>
    <n v="18132332531"/>
    <n v="-1.3470736479666092"/>
    <n v="0.26"/>
    <n v="0"/>
    <n v="6"/>
    <s v="RES"/>
    <n v="3032"/>
    <s v="YC2"/>
    <s v="R1"/>
    <n v="11"/>
    <n v="259"/>
    <s v="BG"/>
    <x v="1"/>
    <s v="GD"/>
    <x v="8"/>
    <n v="1930"/>
    <n v="1970"/>
    <n v="94"/>
    <n v="54"/>
    <n v="1"/>
    <n v="1337"/>
    <n v="0"/>
    <n v="0"/>
    <n v="1205"/>
    <n v="604"/>
    <n v="601"/>
    <n v="1938"/>
    <n v="2000"/>
    <n v="0"/>
    <s v="B"/>
    <s v="FD"/>
    <s v="G"/>
    <s v="Y"/>
    <n v="0"/>
    <n v="1"/>
    <n v="0"/>
    <n v="0"/>
    <n v="1"/>
    <n v="7"/>
    <n v="0"/>
    <n v="0"/>
    <n v="0"/>
    <n v="0"/>
    <n v="0"/>
    <n v="0"/>
    <n v="100"/>
    <n v="100"/>
    <n v="329078"/>
    <n v="246809"/>
    <n v="568"/>
    <n v="365"/>
    <n v="203"/>
    <n v="0"/>
    <d v="2022-06-12T00:00:00"/>
    <s v="E037115"/>
    <n v="382000"/>
    <n v="375190"/>
    <s v="SWD"/>
    <n v="30"/>
    <s v="N"/>
    <s v="Y"/>
    <n v="377700"/>
    <n v="67600"/>
    <n v="310100"/>
    <n v="6810"/>
    <n v="0.98874345549738218"/>
    <n v="381263.02199667442"/>
    <n v="404685.67989777488"/>
    <n v="-23422.657902694002"/>
    <n v="0"/>
    <n v="89850.625589999996"/>
    <n v="-42641.098701210125"/>
    <n v="44121.038090000002"/>
    <n v="197752.34721000001"/>
    <n v="-12044.462427"/>
    <n v="66059.391625549004"/>
    <n v="0"/>
    <n v="0"/>
    <n v="35043.683772634999"/>
    <n v="26544.1547364"/>
    <n v="0"/>
    <n v="381263.02199367987"/>
    <n v="6800"/>
    <n v="334100"/>
    <n v="47200"/>
    <n v="388100"/>
    <n v="1.0159685863874346"/>
    <n v="2.7535080751919513E-2"/>
    <n v="0.99970000000000003"/>
    <n v="0.98050000000000004"/>
    <n v="0.99650000000000005"/>
    <n v="1.0093000000000001"/>
    <n v="1.0074000000000001"/>
    <n v="0.94971499999999998"/>
    <n v="0.94349677105985763"/>
    <n v="357500"/>
    <n v="6500"/>
    <n v="364000"/>
    <n v="44800"/>
    <n v="408800"/>
    <n v="0.17381489841986456"/>
    <n v="-0.33727810650887574"/>
    <n v="8.2340481863913156E-2"/>
    <n v="1.0088412096788115"/>
  </r>
  <r>
    <n v="2025"/>
    <n v="18132342003"/>
    <n v="-1.9661128563728327"/>
    <n v="0.14000000000000001"/>
    <n v="0"/>
    <n v="6"/>
    <s v="RES"/>
    <s v="YC2"/>
    <s v="YC2"/>
    <s v="R1"/>
    <n v="11"/>
    <n v="259"/>
    <s v="MS"/>
    <x v="2"/>
    <s v="AV"/>
    <x v="8"/>
    <n v="1930"/>
    <n v="1970"/>
    <n v="94"/>
    <n v="54"/>
    <n v="1"/>
    <n v="1249"/>
    <n v="0"/>
    <n v="0"/>
    <n v="694"/>
    <n v="174"/>
    <n v="520"/>
    <n v="1769"/>
    <n v="2000"/>
    <n v="0"/>
    <m/>
    <s v="FD"/>
    <s v="G"/>
    <s v="Y"/>
    <n v="0"/>
    <n v="1"/>
    <n v="0"/>
    <n v="0"/>
    <n v="0"/>
    <n v="6"/>
    <n v="0"/>
    <n v="0"/>
    <n v="0"/>
    <n v="120"/>
    <n v="0"/>
    <n v="0"/>
    <n v="100"/>
    <n v="100"/>
    <n v="268191"/>
    <n v="201143"/>
    <n v="62"/>
    <n v="62"/>
    <n v="0"/>
    <n v="0"/>
    <d v="2023-10-31T00:00:00"/>
    <s v="E041994"/>
    <n v="310000"/>
    <n v="304192"/>
    <s v="SWD"/>
    <n v="30"/>
    <s v="N"/>
    <s v="Y"/>
    <n v="301800"/>
    <n v="46000"/>
    <n v="255800"/>
    <n v="5808"/>
    <n v="0.97354838709677416"/>
    <n v="310123.16279576096"/>
    <n v="314497.77098283911"/>
    <n v="-4374.6081873400008"/>
    <n v="0"/>
    <n v="89850.625589999996"/>
    <n v="-62236.546971921947"/>
    <n v="29814.093161000001"/>
    <n v="160472.20319"/>
    <n v="-12044.462427"/>
    <n v="61711.428676373005"/>
    <n v="0"/>
    <n v="0"/>
    <n v="20182.835301417999"/>
    <n v="22752.132631200002"/>
    <n v="3995.4618331200004"/>
    <n v="310123.16279684904"/>
    <n v="5800"/>
    <n v="282500"/>
    <n v="27600"/>
    <n v="315900"/>
    <n v="1.0190322580645161"/>
    <n v="4.6719681908548708E-2"/>
    <n v="0.99970000000000003"/>
    <n v="1.0088999999999999"/>
    <n v="0.99729999999999996"/>
    <n v="1.0093000000000001"/>
    <n v="1.0074000000000001"/>
    <n v="0.94971499999999998"/>
    <n v="0.97160436726197974"/>
    <n v="286900"/>
    <n v="5500"/>
    <n v="292400"/>
    <n v="26200"/>
    <n v="318600"/>
    <n v="0.14308053166536355"/>
    <n v="-0.43043478260869567"/>
    <n v="5.5666003976143144E-2"/>
    <n v="1.0136302961698709"/>
  </r>
  <r>
    <n v="2025"/>
    <n v="18132333008"/>
    <n v="-1.6094379124341003"/>
    <n v="0.2"/>
    <n v="8505"/>
    <n v="6"/>
    <s v="RES"/>
    <n v="3093"/>
    <s v="YC2"/>
    <s v="R1"/>
    <n v="11"/>
    <n v="259"/>
    <s v="TD"/>
    <x v="2"/>
    <s v="AV"/>
    <x v="8"/>
    <n v="1930"/>
    <n v="1970"/>
    <n v="94"/>
    <n v="54"/>
    <n v="1"/>
    <n v="1280"/>
    <n v="0"/>
    <n v="0"/>
    <n v="1000"/>
    <n v="0"/>
    <n v="1000"/>
    <n v="2280"/>
    <n v="2500"/>
    <n v="0"/>
    <m/>
    <s v="FD"/>
    <s v="G"/>
    <s v="Y"/>
    <n v="0"/>
    <n v="0"/>
    <n v="0"/>
    <n v="1"/>
    <n v="0"/>
    <n v="9"/>
    <n v="0"/>
    <n v="0"/>
    <n v="0"/>
    <n v="0"/>
    <n v="448"/>
    <n v="0"/>
    <n v="100"/>
    <n v="100"/>
    <n v="301581"/>
    <n v="202059"/>
    <n v="481"/>
    <n v="365"/>
    <n v="116"/>
    <n v="0"/>
    <d v="2022-09-07T00:00:00"/>
    <s v="E037985"/>
    <n v="310000"/>
    <n v="310000"/>
    <s v="SWD"/>
    <n v="30"/>
    <s v="N"/>
    <s v="Y"/>
    <n v="341000"/>
    <n v="58400"/>
    <n v="282600"/>
    <n v="0"/>
    <n v="1.1000000000000001"/>
    <n v="319177.8186372972"/>
    <n v="343599.51247214398"/>
    <n v="-24421.693836418002"/>
    <n v="0"/>
    <n v="89850.625589999996"/>
    <n v="-50946.13867709865"/>
    <n v="29814.093161000001"/>
    <n v="160472.20319"/>
    <n v="-12044.462427"/>
    <n v="63243.09744256"/>
    <n v="0"/>
    <n v="0"/>
    <n v="29081.895246999997"/>
    <n v="34128.198946800003"/>
    <n v="0"/>
    <n v="319177.81863684335"/>
    <n v="0"/>
    <n v="280300"/>
    <n v="38900"/>
    <n v="319200"/>
    <n v="1.0296774193548388"/>
    <n v="-6.392961876832845E-2"/>
    <n v="0.99970000000000003"/>
    <n v="1.0088999999999999"/>
    <n v="0.99729999999999996"/>
    <n v="0.98919999999999997"/>
    <n v="1.0074000000000001"/>
    <n v="0.94971499999999998"/>
    <n v="0.95225506796349002"/>
    <n v="304700"/>
    <n v="0"/>
    <n v="304700"/>
    <n v="36900"/>
    <n v="341600"/>
    <n v="7.8202406227883936E-2"/>
    <n v="-0.36815068493150682"/>
    <n v="1.7595307917888563E-3"/>
    <n v="1.0231558263341356"/>
  </r>
  <r>
    <n v="2025"/>
    <n v="18132334454"/>
    <n v="-1.7719568419318752"/>
    <n v="0.17"/>
    <n v="0"/>
    <n v="6"/>
    <s v="RES"/>
    <n v="3093"/>
    <s v="YC2"/>
    <s v="R1"/>
    <n v="11"/>
    <n v="259"/>
    <s v="CC"/>
    <x v="0"/>
    <s v="AV"/>
    <x v="8"/>
    <n v="1930"/>
    <n v="1970"/>
    <n v="94"/>
    <n v="54"/>
    <n v="2"/>
    <n v="884"/>
    <n v="442"/>
    <n v="0"/>
    <n v="884"/>
    <n v="884"/>
    <n v="0"/>
    <n v="1326"/>
    <n v="1500"/>
    <n v="0"/>
    <m/>
    <s v="FD"/>
    <s v="G"/>
    <s v="Y"/>
    <n v="0"/>
    <n v="1"/>
    <n v="0"/>
    <n v="0"/>
    <n v="0"/>
    <n v="5"/>
    <n v="0"/>
    <n v="0"/>
    <n v="0"/>
    <n v="0"/>
    <n v="0"/>
    <n v="0"/>
    <n v="100"/>
    <n v="100"/>
    <n v="208964"/>
    <n v="140006"/>
    <n v="172"/>
    <n v="172"/>
    <n v="0"/>
    <n v="0"/>
    <d v="2023-07-13T00:00:00"/>
    <s v="E040841"/>
    <n v="295000"/>
    <n v="288976"/>
    <s v="SWD"/>
    <n v="30"/>
    <s v="N"/>
    <s v="Y"/>
    <n v="290400"/>
    <n v="52700"/>
    <n v="237700"/>
    <n v="6024"/>
    <n v="0.98440677966101697"/>
    <n v="299750.44165781763"/>
    <n v="311886.45146713121"/>
    <n v="-12136.009810040001"/>
    <n v="0"/>
    <n v="89850.625589999996"/>
    <n v="-56090.612940989391"/>
    <n v="21557.329055999999"/>
    <n v="160472.20319"/>
    <n v="-12044.462427"/>
    <n v="43677.264171267998"/>
    <n v="19795.598904562001"/>
    <n v="0"/>
    <n v="25708.395398347999"/>
    <n v="18960.110526"/>
    <n v="0"/>
    <n v="299750.4416581486"/>
    <n v="6000"/>
    <n v="266000"/>
    <n v="33800"/>
    <n v="305800"/>
    <n v="1.0366101694915255"/>
    <n v="5.3030303030303032E-2"/>
    <n v="0.99970000000000003"/>
    <n v="1.0067999999999999"/>
    <n v="0.99729999999999996"/>
    <n v="1.0157"/>
    <n v="1.0074000000000001"/>
    <n v="0.94971499999999998"/>
    <n v="0.97573014419916293"/>
    <n v="278100"/>
    <n v="5700"/>
    <n v="283800"/>
    <n v="32100"/>
    <n v="315900"/>
    <n v="0.19394194362641987"/>
    <n v="-0.39089184060721061"/>
    <n v="8.78099173553719E-2"/>
    <n v="1.0297084413218982"/>
  </r>
  <r>
    <n v="2025"/>
    <n v="18132213050"/>
    <n v="-1.6094379124341003"/>
    <n v="0.2"/>
    <n v="8851"/>
    <n v="6"/>
    <s v="RES"/>
    <n v="3033"/>
    <s v="YC2"/>
    <s v="R1"/>
    <n v="11"/>
    <n v="259"/>
    <s v="TD"/>
    <x v="0"/>
    <s v="GD"/>
    <x v="8"/>
    <n v="1930"/>
    <n v="1970"/>
    <n v="94"/>
    <n v="54"/>
    <n v="1"/>
    <n v="816"/>
    <n v="0"/>
    <n v="0"/>
    <n v="547"/>
    <n v="211"/>
    <n v="336"/>
    <n v="1152"/>
    <n v="1500"/>
    <n v="0"/>
    <m/>
    <s v="FD"/>
    <s v="G"/>
    <s v="Y"/>
    <n v="0"/>
    <n v="0"/>
    <n v="0"/>
    <n v="0"/>
    <n v="0"/>
    <n v="8"/>
    <n v="0"/>
    <n v="0"/>
    <n v="176"/>
    <n v="0"/>
    <n v="99"/>
    <n v="99"/>
    <n v="100"/>
    <n v="100"/>
    <n v="170146"/>
    <n v="127610"/>
    <n v="439"/>
    <n v="365"/>
    <n v="74"/>
    <n v="0"/>
    <d v="2022-10-19T00:00:00"/>
    <s v="E038503"/>
    <n v="300000"/>
    <n v="295630"/>
    <s v="SWD"/>
    <n v="30"/>
    <s v="N"/>
    <s v="Y"/>
    <n v="307500"/>
    <n v="58400"/>
    <n v="249100"/>
    <n v="4370"/>
    <n v="1.0249999999999999"/>
    <n v="307827.16187006788"/>
    <n v="332731.14891430939"/>
    <n v="-24903.987045802001"/>
    <n v="0"/>
    <n v="89850.625589999996"/>
    <n v="-50946.13867709865"/>
    <n v="21557.329055999999"/>
    <n v="197752.34721000001"/>
    <n v="-12044.462427"/>
    <n v="40317.474619631997"/>
    <n v="0"/>
    <n v="0"/>
    <n v="15907.796700109"/>
    <n v="30336.176841600001"/>
    <n v="0"/>
    <n v="307827.16186744033"/>
    <n v="4400"/>
    <n v="268900"/>
    <n v="38900"/>
    <n v="312200"/>
    <n v="1.0406666666666666"/>
    <n v="1.5284552845528456E-2"/>
    <n v="0.99970000000000003"/>
    <n v="1.0067999999999999"/>
    <n v="0.99650000000000005"/>
    <n v="1.0157"/>
    <n v="1.0074000000000001"/>
    <n v="0.94971499999999998"/>
    <n v="0.97494744680082823"/>
    <n v="293800"/>
    <n v="4200"/>
    <n v="298000"/>
    <n v="36900"/>
    <n v="334900"/>
    <n v="0.1963067041348856"/>
    <n v="-0.36815068493150682"/>
    <n v="8.9105691056910574E-2"/>
    <n v="1.03332004318066"/>
  </r>
  <r>
    <n v="2025"/>
    <n v="18132242015"/>
    <n v="-0.82098055206983023"/>
    <n v="0.44"/>
    <n v="18993"/>
    <n v="6"/>
    <s v="RES"/>
    <s v="YC2"/>
    <s v="YC2"/>
    <s v="R1"/>
    <n v="11"/>
    <n v="259"/>
    <s v="CO"/>
    <x v="1"/>
    <s v="EX"/>
    <x v="8"/>
    <n v="1930"/>
    <n v="1970"/>
    <n v="94"/>
    <n v="54"/>
    <n v="2"/>
    <n v="1326"/>
    <n v="1614"/>
    <n v="0"/>
    <n v="0"/>
    <n v="0"/>
    <n v="0"/>
    <n v="2940"/>
    <n v="3000"/>
    <n v="0"/>
    <m/>
    <s v="HP"/>
    <s v="E"/>
    <m/>
    <n v="0"/>
    <n v="0"/>
    <n v="0"/>
    <n v="1"/>
    <n v="0"/>
    <n v="14"/>
    <n v="0"/>
    <n v="0"/>
    <n v="0"/>
    <n v="160"/>
    <n v="0"/>
    <n v="0"/>
    <n v="100"/>
    <n v="100"/>
    <n v="404905"/>
    <n v="327973"/>
    <n v="110"/>
    <n v="110"/>
    <n v="0"/>
    <n v="0"/>
    <d v="2023-09-13T00:00:00"/>
    <s v="E041485"/>
    <n v="632000"/>
    <n v="608218"/>
    <s v="SWD"/>
    <n v="30"/>
    <s v="N"/>
    <s v="Y"/>
    <n v="494400"/>
    <n v="85900"/>
    <n v="408500"/>
    <n v="23782"/>
    <n v="0.78227848101265818"/>
    <n v="638465.14256445959"/>
    <n v="646226.54418669501"/>
    <n v="-7761.4016227000011"/>
    <n v="0"/>
    <n v="89850.625589999996"/>
    <n v="-25987.823906604521"/>
    <n v="44121.038090000002"/>
    <n v="354070.39217000001"/>
    <n v="-12044.462427"/>
    <n v="65515.896256902"/>
    <n v="72285.286497654"/>
    <n v="0"/>
    <n v="0"/>
    <n v="53088.3094728"/>
    <n v="5327.2824441600005"/>
    <n v="638465.14256521151"/>
    <n v="23800"/>
    <n v="574600"/>
    <n v="63900"/>
    <n v="662300"/>
    <n v="1.0479430379746835"/>
    <n v="0.33960355987055019"/>
    <n v="0.99970000000000003"/>
    <n v="0.98050000000000004"/>
    <n v="1.1303000000000001"/>
    <n v="0.96179999999999999"/>
    <n v="1.0074000000000001"/>
    <n v="0.94971499999999998"/>
    <n v="1.0198148749359415"/>
    <n v="582400"/>
    <n v="22600"/>
    <n v="605000"/>
    <n v="60700"/>
    <n v="665700"/>
    <n v="0.48102815177478581"/>
    <n v="-0.29336437718277064"/>
    <n v="0.34648058252427183"/>
    <n v="1.0410420860400316"/>
  </r>
  <r>
    <n v="2025"/>
    <n v="18132344013"/>
    <n v="-1.8971199848858813"/>
    <n v="0.15"/>
    <n v="6580"/>
    <n v="6"/>
    <s v="RES"/>
    <n v="3093"/>
    <s v="YC2"/>
    <s v="R1"/>
    <n v="11"/>
    <n v="259"/>
    <s v="TD"/>
    <x v="0"/>
    <s v="AV"/>
    <x v="8"/>
    <n v="1930"/>
    <n v="1970"/>
    <n v="94"/>
    <n v="54"/>
    <n v="1"/>
    <n v="930"/>
    <n v="0"/>
    <n v="0"/>
    <n v="930"/>
    <n v="0"/>
    <n v="930"/>
    <n v="1860"/>
    <n v="2000"/>
    <n v="0"/>
    <m/>
    <s v="FD"/>
    <s v="G"/>
    <m/>
    <n v="0"/>
    <n v="1"/>
    <n v="0"/>
    <n v="0"/>
    <n v="0"/>
    <n v="6"/>
    <n v="0"/>
    <n v="0"/>
    <n v="0"/>
    <n v="0"/>
    <n v="189"/>
    <n v="0"/>
    <n v="100"/>
    <n v="100"/>
    <n v="204276"/>
    <n v="136865"/>
    <n v="705"/>
    <n v="365"/>
    <n v="340"/>
    <n v="0"/>
    <d v="2022-01-26T00:00:00"/>
    <s v="E035010"/>
    <n v="269100"/>
    <n v="259842"/>
    <s v="SWD"/>
    <n v="30"/>
    <s v="N"/>
    <s v="Y"/>
    <n v="297000"/>
    <n v="48400"/>
    <n v="248600"/>
    <n v="9258"/>
    <n v="1.1036789297658862"/>
    <n v="273681.98608364706"/>
    <n v="295531.44946838851"/>
    <n v="-21849.46338637"/>
    <n v="0"/>
    <n v="89850.625589999996"/>
    <n v="-60052.604136134301"/>
    <n v="21557.329055999999"/>
    <n v="160472.20319"/>
    <n v="-12044.462427"/>
    <n v="45950.062985609999"/>
    <n v="0"/>
    <n v="0"/>
    <n v="27046.162579709999"/>
    <n v="22752.132631200002"/>
    <n v="0"/>
    <n v="273681.98608301574"/>
    <n v="9300"/>
    <n v="243900"/>
    <n v="29800"/>
    <n v="283000"/>
    <n v="1.0516536603493125"/>
    <n v="-4.7138047138047139E-2"/>
    <n v="0.99970000000000003"/>
    <n v="1.0067999999999999"/>
    <n v="0.99729999999999996"/>
    <n v="1.0093000000000001"/>
    <n v="1.0074000000000001"/>
    <n v="0.94971499999999998"/>
    <n v="0.96958199718441984"/>
    <n v="265700"/>
    <n v="8800"/>
    <n v="274500"/>
    <n v="28300"/>
    <n v="302800"/>
    <n v="0.10418342719227675"/>
    <n v="-0.41528925619834711"/>
    <n v="1.9528619528619527E-2"/>
    <n v="1.0440376685753623"/>
  </r>
  <r>
    <n v="2025"/>
    <n v="18132213048"/>
    <n v="-1.5606477482646683"/>
    <n v="0.21"/>
    <n v="9104"/>
    <n v="6"/>
    <s v="RES"/>
    <n v="3033"/>
    <s v="YC2"/>
    <s v="R1"/>
    <n v="11"/>
    <n v="259"/>
    <s v="MS"/>
    <x v="0"/>
    <s v="GD"/>
    <x v="8"/>
    <n v="1930"/>
    <n v="1970"/>
    <n v="94"/>
    <n v="54"/>
    <n v="1"/>
    <n v="752"/>
    <n v="0"/>
    <n v="0"/>
    <n v="672"/>
    <n v="0"/>
    <n v="672"/>
    <n v="1424"/>
    <n v="1500"/>
    <n v="0"/>
    <m/>
    <s v="FD"/>
    <s v="G"/>
    <m/>
    <n v="1"/>
    <n v="0"/>
    <n v="0"/>
    <n v="1"/>
    <n v="0"/>
    <n v="8"/>
    <n v="0"/>
    <n v="0"/>
    <n v="0"/>
    <n v="0"/>
    <n v="112"/>
    <n v="112"/>
    <n v="100"/>
    <n v="100"/>
    <n v="178007"/>
    <n v="133505"/>
    <n v="768"/>
    <n v="365"/>
    <n v="365"/>
    <n v="38"/>
    <d v="2021-11-24T00:00:00"/>
    <s v="E034228"/>
    <n v="295000"/>
    <n v="291701"/>
    <s v="SWD"/>
    <n v="30"/>
    <s v="N"/>
    <s v="Y"/>
    <n v="315100"/>
    <n v="60100"/>
    <n v="255000"/>
    <n v="3299"/>
    <n v="1.0681355932203389"/>
    <n v="308104.85566416592"/>
    <n v="334748.66484684491"/>
    <n v="-26643.809185270002"/>
    <n v="0"/>
    <n v="89850.625589999996"/>
    <n v="-49401.70477837498"/>
    <n v="21557.329055999999"/>
    <n v="197752.34721000001"/>
    <n v="-12044.462427"/>
    <n v="37155.319747504"/>
    <n v="0"/>
    <n v="0"/>
    <n v="19543.033605983997"/>
    <n v="30336.176841600001"/>
    <n v="0"/>
    <n v="308104.85566044296"/>
    <n v="3300"/>
    <n v="267700"/>
    <n v="40400"/>
    <n v="311400"/>
    <n v="1.0555932203389831"/>
    <n v="-1.1742304030466518E-2"/>
    <n v="0.99970000000000003"/>
    <n v="1.0067999999999999"/>
    <n v="0.99650000000000005"/>
    <n v="1.0157"/>
    <n v="1.0074000000000001"/>
    <n v="0.94971499999999998"/>
    <n v="0.97494744680082823"/>
    <n v="294300"/>
    <n v="3100"/>
    <n v="297400"/>
    <n v="38400"/>
    <n v="335800"/>
    <n v="0.16627450980392156"/>
    <n v="-0.36106489184692181"/>
    <n v="6.569343065693431E-2"/>
    <n v="1.0479870875075594"/>
  </r>
  <r>
    <n v="2025"/>
    <n v="18132344429"/>
    <n v="-1.8971199848858813"/>
    <n v="0.15"/>
    <n v="0"/>
    <n v="6"/>
    <s v="RES"/>
    <n v="3093"/>
    <s v="YC2"/>
    <s v="R1"/>
    <n v="11"/>
    <n v="259"/>
    <s v="CO"/>
    <x v="0"/>
    <s v="GD"/>
    <x v="8"/>
    <n v="1930"/>
    <n v="1970"/>
    <n v="94"/>
    <n v="54"/>
    <n v="2"/>
    <n v="1148"/>
    <n v="300"/>
    <n v="0"/>
    <n v="1148"/>
    <n v="0"/>
    <n v="1148"/>
    <n v="2596"/>
    <n v="3000"/>
    <n v="0"/>
    <m/>
    <s v="FD"/>
    <s v="G"/>
    <s v="Y"/>
    <n v="0"/>
    <n v="1"/>
    <n v="0"/>
    <n v="0"/>
    <n v="0"/>
    <n v="8"/>
    <n v="0"/>
    <n v="0"/>
    <n v="0"/>
    <n v="0"/>
    <n v="0"/>
    <n v="0"/>
    <n v="100"/>
    <n v="100"/>
    <n v="281849"/>
    <n v="211387"/>
    <n v="693"/>
    <n v="365"/>
    <n v="328"/>
    <n v="0"/>
    <d v="2022-02-07T00:00:00"/>
    <s v="E035351"/>
    <n v="339000"/>
    <n v="330302"/>
    <s v="SWD"/>
    <n v="30"/>
    <s v="N"/>
    <s v="Y"/>
    <n v="359300"/>
    <n v="48400"/>
    <n v="310900"/>
    <n v="8698"/>
    <n v="1.0598820058997049"/>
    <n v="348955.24631185125"/>
    <n v="370942.50775641977"/>
    <n v="-21987.261446194003"/>
    <n v="0"/>
    <n v="89850.625589999996"/>
    <n v="-60052.604136134301"/>
    <n v="21557.329055999999"/>
    <n v="197752.34721000001"/>
    <n v="-12044.462427"/>
    <n v="56721.153018796002"/>
    <n v="13435.926858299999"/>
    <n v="0"/>
    <n v="33386.015743555996"/>
    <n v="30336.176841600001"/>
    <n v="0"/>
    <n v="348955.2463089237"/>
    <n v="8700"/>
    <n v="319200"/>
    <n v="29800"/>
    <n v="357700"/>
    <n v="1.0551622418879056"/>
    <n v="-4.4531032563317561E-3"/>
    <n v="0.99970000000000003"/>
    <n v="1.0067999999999999"/>
    <n v="0.99650000000000005"/>
    <n v="0.96179999999999999"/>
    <n v="1.0074000000000001"/>
    <n v="0.94971499999999998"/>
    <n v="0.92321005644682153"/>
    <n v="341100"/>
    <n v="8300"/>
    <n v="349400"/>
    <n v="28300"/>
    <n v="377700"/>
    <n v="0.12383403023480219"/>
    <n v="-0.41528925619834711"/>
    <n v="5.1210687447815199E-2"/>
    <n v="1.0493001137280413"/>
  </r>
  <r>
    <n v="2025"/>
    <n v="18132344477"/>
    <n v="-1.8971199848858813"/>
    <n v="0.15"/>
    <n v="0"/>
    <n v="6"/>
    <s v="RES"/>
    <n v="3093"/>
    <s v="YC2"/>
    <s v="R1"/>
    <n v="11"/>
    <n v="400"/>
    <s v="CO"/>
    <x v="2"/>
    <s v="AV"/>
    <x v="8"/>
    <n v="1930"/>
    <n v="1970"/>
    <n v="94"/>
    <n v="54"/>
    <n v="2"/>
    <n v="1110"/>
    <n v="498"/>
    <n v="0"/>
    <n v="750"/>
    <n v="750"/>
    <n v="0"/>
    <n v="1608"/>
    <n v="2000"/>
    <n v="0"/>
    <m/>
    <s v="FD"/>
    <s v="E"/>
    <s v="Y"/>
    <n v="0"/>
    <n v="1"/>
    <n v="0"/>
    <n v="0"/>
    <n v="1"/>
    <n v="8"/>
    <n v="0"/>
    <n v="0"/>
    <n v="720"/>
    <n v="0"/>
    <n v="216"/>
    <n v="216"/>
    <n v="100"/>
    <n v="100"/>
    <n v="299089"/>
    <n v="200390"/>
    <n v="1041"/>
    <n v="365"/>
    <n v="365"/>
    <n v="311"/>
    <d v="2021-02-24T00:00:00"/>
    <s v="E030240"/>
    <n v="257500"/>
    <n v="257500"/>
    <s v="SWD"/>
    <n v="30"/>
    <s v="N"/>
    <s v="Y"/>
    <n v="313300"/>
    <n v="48400"/>
    <n v="264900"/>
    <n v="0"/>
    <n v="1.2166990291262136"/>
    <n v="274184.87900424626"/>
    <n v="337334.71580175671"/>
    <n v="-63149.836806970001"/>
    <n v="0"/>
    <n v="89850.625589999996"/>
    <n v="-60052.604136134301"/>
    <n v="29814.093161000001"/>
    <n v="160472.20319"/>
    <n v="-12044.462427"/>
    <n v="54843.623563469999"/>
    <n v="22303.638584778"/>
    <n v="0"/>
    <n v="21811.421435249998"/>
    <n v="30336.176841600001"/>
    <n v="0"/>
    <n v="274184.8789959937"/>
    <n v="0"/>
    <n v="244400"/>
    <n v="29800"/>
    <n v="274200"/>
    <n v="1.0648543689320389"/>
    <n v="-0.12480051069262688"/>
    <n v="0.99970000000000003"/>
    <n v="1.0088999999999999"/>
    <n v="0.99729999999999996"/>
    <n v="1.0093000000000001"/>
    <n v="1.0074000000000001"/>
    <n v="0.94971499999999998"/>
    <n v="0.97160436726197974"/>
    <n v="307500"/>
    <n v="0"/>
    <n v="307500"/>
    <n v="28300"/>
    <n v="335800"/>
    <n v="0.16081540203850508"/>
    <n v="-0.41528925619834711"/>
    <n v="7.1816150654324923E-2"/>
    <n v="1.0588355852156504"/>
  </r>
  <r>
    <n v="2025"/>
    <n v="18132214474"/>
    <n v="-1.5606477482646683"/>
    <n v="0.21"/>
    <n v="8989"/>
    <n v="6"/>
    <s v="RES"/>
    <n v="3033"/>
    <s v="YC2"/>
    <s v="R1"/>
    <n v="11"/>
    <n v="259"/>
    <s v="RN"/>
    <x v="0"/>
    <s v="GD"/>
    <x v="8"/>
    <n v="1930"/>
    <n v="1970"/>
    <n v="94"/>
    <n v="54"/>
    <n v="1"/>
    <n v="1490"/>
    <n v="0"/>
    <n v="0"/>
    <n v="0"/>
    <n v="0"/>
    <n v="0"/>
    <n v="1490"/>
    <n v="1500"/>
    <n v="0"/>
    <m/>
    <s v="FD"/>
    <s v="E"/>
    <s v="Y"/>
    <n v="0"/>
    <n v="0"/>
    <n v="0"/>
    <n v="1"/>
    <n v="0"/>
    <n v="9"/>
    <n v="0"/>
    <n v="0"/>
    <n v="0"/>
    <n v="0"/>
    <n v="0"/>
    <n v="0"/>
    <n v="100"/>
    <n v="100"/>
    <n v="216244"/>
    <n v="162183"/>
    <n v="644"/>
    <n v="365"/>
    <n v="279"/>
    <n v="0"/>
    <d v="2022-03-28T00:00:00"/>
    <s v="E035738"/>
    <n v="316000"/>
    <n v="311630"/>
    <s v="SWD"/>
    <n v="30"/>
    <s v="N"/>
    <s v="Y"/>
    <n v="334600"/>
    <n v="60100"/>
    <n v="274500"/>
    <n v="4370"/>
    <n v="1.058860759493671"/>
    <n v="332911.31485933624"/>
    <n v="355461.25171486533"/>
    <n v="-22549.936857142002"/>
    <n v="0"/>
    <n v="89850.625589999996"/>
    <n v="-49401.70477837498"/>
    <n v="21557.329055999999"/>
    <n v="197752.34721000001"/>
    <n v="-12044.462427"/>
    <n v="73618.918116729998"/>
    <n v="0"/>
    <n v="0"/>
    <n v="0"/>
    <n v="34128.198946800003"/>
    <n v="0"/>
    <n v="332911.31485701306"/>
    <n v="4400"/>
    <n v="292500"/>
    <n v="40400"/>
    <n v="337300"/>
    <n v="1.0674050632911392"/>
    <n v="8.0693365212193661E-3"/>
    <n v="0.99970000000000003"/>
    <n v="1.0067999999999999"/>
    <n v="0.99650000000000005"/>
    <n v="1.0157"/>
    <n v="1.0074000000000001"/>
    <n v="0.94971499999999998"/>
    <n v="0.97494744680082823"/>
    <n v="315000"/>
    <n v="4200"/>
    <n v="319200"/>
    <n v="38400"/>
    <n v="357600"/>
    <n v="0.1628415300546448"/>
    <n v="-0.36106489184692181"/>
    <n v="6.8738792588164968E-2"/>
    <n v="1.060285009945753"/>
  </r>
  <r>
    <n v="2025"/>
    <n v="18132323443"/>
    <n v="-1.5606477482646683"/>
    <n v="0.21"/>
    <n v="0"/>
    <n v="6"/>
    <s v="RES"/>
    <n v="3033"/>
    <s v="YC2"/>
    <s v="R1"/>
    <n v="11"/>
    <n v="259"/>
    <s v="RN"/>
    <x v="0"/>
    <s v="AV"/>
    <x v="8"/>
    <n v="1930"/>
    <n v="1970"/>
    <n v="94"/>
    <n v="54"/>
    <n v="1"/>
    <n v="1364"/>
    <n v="0"/>
    <n v="0"/>
    <n v="1364"/>
    <n v="1364"/>
    <n v="0"/>
    <n v="1364"/>
    <n v="1500"/>
    <n v="0"/>
    <m/>
    <s v="FD"/>
    <s v="G"/>
    <s v="Y"/>
    <n v="1"/>
    <n v="0"/>
    <n v="0"/>
    <n v="0"/>
    <n v="0"/>
    <n v="6"/>
    <n v="0"/>
    <n v="0"/>
    <n v="0"/>
    <n v="180"/>
    <n v="600"/>
    <n v="0"/>
    <n v="100"/>
    <n v="100"/>
    <n v="248624"/>
    <n v="166578"/>
    <n v="689"/>
    <n v="365"/>
    <n v="324"/>
    <n v="0"/>
    <d v="2022-02-11T00:00:00"/>
    <s v="E035280"/>
    <n v="285000"/>
    <n v="285000"/>
    <s v="SWD"/>
    <n v="30"/>
    <s v="N"/>
    <s v="Y"/>
    <n v="318900"/>
    <n v="60100"/>
    <n v="258800"/>
    <n v="0"/>
    <n v="1.1189473684210527"/>
    <n v="324207.25270848011"/>
    <n v="346240.44683965761"/>
    <n v="-22033.194132802"/>
    <n v="0"/>
    <n v="89850.625589999996"/>
    <n v="-49401.70477837498"/>
    <n v="21557.329055999999"/>
    <n v="160472.20319"/>
    <n v="-12044.462427"/>
    <n v="67393.425712227996"/>
    <n v="0"/>
    <n v="0"/>
    <n v="39667.705116908"/>
    <n v="22752.132631200002"/>
    <n v="5993.1927496800008"/>
    <n v="324207.25270783907"/>
    <n v="0"/>
    <n v="283800"/>
    <n v="40400"/>
    <n v="324200"/>
    <n v="1.1375438596491227"/>
    <n v="1.6619629978049544E-2"/>
    <n v="0.99970000000000003"/>
    <n v="1.0067999999999999"/>
    <n v="0.99729999999999996"/>
    <n v="1.0157"/>
    <n v="1.0074000000000001"/>
    <n v="0.94971499999999998"/>
    <n v="0.97573014419916293"/>
    <n v="305800"/>
    <n v="0"/>
    <n v="305800"/>
    <n v="38400"/>
    <n v="344200"/>
    <n v="0.18160741885625967"/>
    <n v="-0.36106489184692181"/>
    <n v="7.9335214800878018E-2"/>
    <n v="1.1304098451480631"/>
  </r>
  <r>
    <n v="2025"/>
    <n v="18132241033"/>
    <n v="-1.3470736479666092"/>
    <n v="0.26"/>
    <n v="11388"/>
    <n v="6"/>
    <s v="RES"/>
    <n v="3033"/>
    <s v="YC2"/>
    <s v="R1"/>
    <n v="11"/>
    <n v="259"/>
    <s v="BG"/>
    <x v="1"/>
    <s v="GD"/>
    <x v="8"/>
    <n v="1930"/>
    <n v="1970"/>
    <n v="94"/>
    <n v="54"/>
    <n v="2"/>
    <n v="1216"/>
    <n v="940"/>
    <n v="0"/>
    <n v="1176"/>
    <n v="176"/>
    <n v="1000"/>
    <n v="3156"/>
    <n v="3500"/>
    <n v="0"/>
    <s v="B"/>
    <s v="FD"/>
    <s v="G"/>
    <s v="Y"/>
    <n v="0"/>
    <n v="2"/>
    <n v="0"/>
    <n v="1"/>
    <n v="1"/>
    <n v="13"/>
    <n v="0"/>
    <n v="0"/>
    <n v="0"/>
    <n v="0"/>
    <n v="0"/>
    <n v="0"/>
    <n v="100"/>
    <n v="100"/>
    <n v="485186"/>
    <n v="363890"/>
    <n v="832"/>
    <n v="365"/>
    <n v="365"/>
    <n v="102"/>
    <d v="2021-09-21T00:00:00"/>
    <s v="E033311"/>
    <n v="385000"/>
    <n v="373037"/>
    <s v="SWD"/>
    <n v="30"/>
    <s v="N"/>
    <s v="Y"/>
    <n v="450300"/>
    <n v="67600"/>
    <n v="382700"/>
    <n v="11963"/>
    <n v="1.1696103896103895"/>
    <n v="427513.2271945409"/>
    <n v="462715.2260012097"/>
    <n v="-35201.998810870005"/>
    <n v="0"/>
    <n v="89850.625589999996"/>
    <n v="-42641.098701210125"/>
    <n v="44121.038090000002"/>
    <n v="197752.34721000001"/>
    <n v="-12044.462427"/>
    <n v="60080.942570432002"/>
    <n v="42099.237489339997"/>
    <n v="0"/>
    <n v="34200.308810472001"/>
    <n v="49296.287367600002"/>
    <n v="0"/>
    <n v="427513.22718876391"/>
    <n v="12000"/>
    <n v="380300"/>
    <n v="47200"/>
    <n v="439500"/>
    <n v="1.1415584415584417"/>
    <n v="-2.3984010659560292E-2"/>
    <n v="0.99970000000000003"/>
    <n v="0.98050000000000004"/>
    <n v="0.99650000000000005"/>
    <n v="1.0126999999999999"/>
    <n v="1.0074000000000001"/>
    <n v="0.94971499999999998"/>
    <n v="0.94667510160736901"/>
    <n v="415500"/>
    <n v="11400"/>
    <n v="426900"/>
    <n v="44800"/>
    <n v="471700"/>
    <n v="0.11549516592631304"/>
    <n v="-0.33727810650887574"/>
    <n v="4.7523872973573175E-2"/>
    <n v="1.1337610420496884"/>
  </r>
  <r>
    <n v="2025"/>
    <n v="18132243453"/>
    <n v="-1.5141277326297755"/>
    <n v="0.22"/>
    <n v="9779"/>
    <n v="6"/>
    <s v="RES"/>
    <n v="3093"/>
    <s v="YC2"/>
    <s v="R1"/>
    <n v="11"/>
    <n v="259"/>
    <s v="TD"/>
    <x v="0"/>
    <s v="GD"/>
    <x v="8"/>
    <n v="1930"/>
    <n v="1970"/>
    <n v="94"/>
    <n v="54"/>
    <n v="1"/>
    <n v="972"/>
    <n v="0"/>
    <n v="0"/>
    <n v="985"/>
    <n v="788"/>
    <n v="197"/>
    <n v="1169"/>
    <n v="1500"/>
    <n v="0"/>
    <m/>
    <s v="FD"/>
    <s v="G"/>
    <s v="Y"/>
    <n v="0"/>
    <n v="1"/>
    <n v="0"/>
    <n v="0"/>
    <n v="0"/>
    <n v="5"/>
    <n v="0"/>
    <n v="0"/>
    <n v="0"/>
    <n v="198"/>
    <n v="0"/>
    <n v="0"/>
    <n v="100"/>
    <n v="100"/>
    <n v="196374"/>
    <n v="147281"/>
    <n v="285"/>
    <n v="285"/>
    <n v="0"/>
    <n v="0"/>
    <d v="2023-03-22T00:00:00"/>
    <s v="E039706"/>
    <n v="282000"/>
    <n v="274039"/>
    <s v="SWD"/>
    <n v="30"/>
    <s v="N"/>
    <s v="Y"/>
    <n v="316800"/>
    <n v="61700"/>
    <n v="255100"/>
    <n v="7961"/>
    <n v="1.123404255319149"/>
    <n v="331301.13833901862"/>
    <n v="351410.2243602649"/>
    <n v="-20109.086022450003"/>
    <n v="0"/>
    <n v="89850.625589999996"/>
    <n v="-47929.131559187132"/>
    <n v="21557.329055999999"/>
    <n v="197752.34721000001"/>
    <n v="-12044.462427"/>
    <n v="48025.227120444004"/>
    <n v="0"/>
    <n v="0"/>
    <n v="28645.666818294998"/>
    <n v="18960.110526"/>
    <n v="6592.512024648001"/>
    <n v="331301.13833674992"/>
    <n v="8000"/>
    <n v="289400"/>
    <n v="41900"/>
    <n v="339300"/>
    <n v="1.2031914893617022"/>
    <n v="7.1022727272727279E-2"/>
    <n v="0.99970000000000003"/>
    <n v="1.0067999999999999"/>
    <n v="0.99650000000000005"/>
    <n v="1.0157"/>
    <n v="1.0074000000000001"/>
    <n v="0.94971499999999998"/>
    <n v="0.97494744680082823"/>
    <n v="309500"/>
    <n v="7600"/>
    <n v="317100"/>
    <n v="39800"/>
    <n v="356900"/>
    <n v="0.24304194433555468"/>
    <n v="-0.35494327390599678"/>
    <n v="0.12657828282828282"/>
    <n v="1.1942940211969857"/>
  </r>
  <r>
    <n v="2025"/>
    <n v="18132332449"/>
    <n v="-1.2378743560016174"/>
    <n v="0.28999999999999998"/>
    <n v="12529"/>
    <n v="6"/>
    <s v="RES"/>
    <n v="3033"/>
    <s v="YC2"/>
    <s v="R1"/>
    <n v="11"/>
    <n v="259"/>
    <s v="TD"/>
    <x v="4"/>
    <s v="GD"/>
    <x v="8"/>
    <n v="1930"/>
    <n v="1970"/>
    <n v="94"/>
    <n v="54"/>
    <n v="1"/>
    <n v="768"/>
    <n v="0"/>
    <n v="0"/>
    <n v="0"/>
    <n v="0"/>
    <n v="0"/>
    <n v="768"/>
    <n v="1000"/>
    <n v="0"/>
    <m/>
    <s v="FD"/>
    <s v="G"/>
    <m/>
    <n v="0"/>
    <n v="0"/>
    <n v="0"/>
    <n v="1"/>
    <n v="0"/>
    <n v="8"/>
    <n v="0"/>
    <n v="0"/>
    <n v="0"/>
    <n v="0"/>
    <n v="0"/>
    <n v="0"/>
    <n v="100"/>
    <n v="100"/>
    <n v="114607"/>
    <n v="85955"/>
    <n v="532"/>
    <n v="365"/>
    <n v="167"/>
    <n v="0"/>
    <d v="2022-07-18T00:00:00"/>
    <s v="E037308"/>
    <n v="215000"/>
    <n v="208990"/>
    <s v="SWD"/>
    <n v="30"/>
    <s v="N"/>
    <s v="Y"/>
    <n v="291700"/>
    <n v="71400"/>
    <n v="220300"/>
    <n v="6010"/>
    <n v="1.3567441860465117"/>
    <n v="280820.0565254087"/>
    <n v="304656.10860599036"/>
    <n v="-23836.052082165999"/>
    <n v="0"/>
    <n v="89850.625589999996"/>
    <n v="-39184.437074869042"/>
    <n v="0"/>
    <n v="197752.34721000001"/>
    <n v="-12044.462427"/>
    <n v="37945.858465536003"/>
    <n v="0"/>
    <n v="0"/>
    <n v="0"/>
    <n v="30336.176841600001"/>
    <n v="0"/>
    <n v="280820.056523101"/>
    <n v="6000"/>
    <n v="230200"/>
    <n v="50700"/>
    <n v="286900"/>
    <n v="1.3344186046511628"/>
    <n v="-1.64552622557422E-2"/>
    <n v="0.99970000000000003"/>
    <n v="0.99180000000000001"/>
    <n v="0.99650000000000005"/>
    <n v="1.0148999999999999"/>
    <n v="1.0074000000000001"/>
    <n v="0.94971499999999998"/>
    <n v="0.9596655469159463"/>
    <n v="254000"/>
    <n v="5700"/>
    <n v="259700"/>
    <n v="48100"/>
    <n v="307800"/>
    <n v="0.17884702678166137"/>
    <n v="-0.32633053221288516"/>
    <n v="5.5193692149468634E-2"/>
    <n v="1.3207625484550418"/>
  </r>
  <r>
    <n v="2025"/>
    <n v="18132244027"/>
    <n v="-1.1086626245216111"/>
    <n v="0.33"/>
    <n v="14496"/>
    <n v="6"/>
    <s v="RES"/>
    <n v="3093"/>
    <s v="YC2"/>
    <s v="R1"/>
    <n v="11"/>
    <n v="259"/>
    <s v="TD"/>
    <x v="0"/>
    <s v="VG"/>
    <x v="8"/>
    <n v="1930"/>
    <n v="2009"/>
    <n v="94"/>
    <n v="15"/>
    <n v="1"/>
    <n v="1050"/>
    <n v="0"/>
    <n v="0"/>
    <n v="1050"/>
    <n v="0"/>
    <n v="1050"/>
    <n v="2100"/>
    <n v="2500"/>
    <n v="0"/>
    <m/>
    <s v="MH"/>
    <s v="G"/>
    <s v="N"/>
    <n v="0"/>
    <n v="0"/>
    <n v="0"/>
    <n v="0"/>
    <n v="0"/>
    <n v="11"/>
    <n v="0"/>
    <n v="0"/>
    <n v="0"/>
    <n v="0"/>
    <n v="587"/>
    <n v="242"/>
    <n v="100"/>
    <n v="100"/>
    <n v="245600"/>
    <n v="235776"/>
    <n v="385"/>
    <n v="365"/>
    <n v="20"/>
    <n v="0"/>
    <d v="2022-12-12T00:00:00"/>
    <s v="E039020"/>
    <n v="340000"/>
    <n v="318706"/>
    <s v="SWD"/>
    <n v="30"/>
    <s v="N"/>
    <s v="Y"/>
    <n v="428900"/>
    <n v="75900"/>
    <n v="353000"/>
    <n v="21294"/>
    <n v="1.2614705882352941"/>
    <n v="456381.84756150976"/>
    <n v="481905.92587497312"/>
    <n v="-25524.07831501"/>
    <n v="0"/>
    <n v="89850.625589999996"/>
    <n v="-35094.289365640165"/>
    <n v="21557.329055999999"/>
    <n v="284810.60806"/>
    <n v="-3345.6840075"/>
    <n v="51879.103370850004"/>
    <n v="0"/>
    <n v="0"/>
    <n v="30535.99000935"/>
    <n v="41712.243157199999"/>
    <n v="0"/>
    <n v="456381.84755524987"/>
    <n v="21300"/>
    <n v="401600"/>
    <n v="54800"/>
    <n v="477700"/>
    <n v="1.405"/>
    <n v="0.1137794357659128"/>
    <n v="0.99970000000000003"/>
    <n v="1.0067999999999999"/>
    <n v="1.0158"/>
    <n v="0.98919999999999997"/>
    <n v="1.0074000000000001"/>
    <n v="0.94971499999999998"/>
    <n v="0.9679006176066467"/>
    <n v="427100"/>
    <n v="20200"/>
    <n v="447300"/>
    <n v="52000"/>
    <n v="499300"/>
    <n v="0.26713881019830027"/>
    <n v="-0.31488801054018445"/>
    <n v="0.16414082536721847"/>
    <n v="1.393458593191147"/>
  </r>
  <r>
    <n v="2025"/>
    <n v="18132332422"/>
    <n v="-1.8971199848858813"/>
    <n v="0.15"/>
    <n v="0"/>
    <n v="6"/>
    <s v="RES"/>
    <n v="3032"/>
    <s v="YC2"/>
    <s v="R1"/>
    <n v="11"/>
    <n v="259"/>
    <s v="BG"/>
    <x v="0"/>
    <s v="AV"/>
    <x v="8"/>
    <n v="1928"/>
    <n v="1969"/>
    <n v="96"/>
    <n v="55"/>
    <n v="1"/>
    <n v="1212"/>
    <n v="0"/>
    <n v="0"/>
    <n v="1212"/>
    <n v="0"/>
    <n v="1212"/>
    <n v="2424"/>
    <n v="2500"/>
    <n v="0"/>
    <m/>
    <s v="FD"/>
    <s v="G"/>
    <s v="Y"/>
    <n v="0"/>
    <n v="1"/>
    <n v="0"/>
    <n v="2"/>
    <n v="0"/>
    <n v="8"/>
    <n v="0"/>
    <n v="0"/>
    <n v="0"/>
    <n v="0"/>
    <n v="120"/>
    <n v="0"/>
    <n v="100"/>
    <n v="100"/>
    <n v="278185"/>
    <n v="183602"/>
    <n v="187"/>
    <n v="187"/>
    <n v="0"/>
    <n v="0"/>
    <d v="2023-06-28T00:00:00"/>
    <s v="E040773"/>
    <n v="395000"/>
    <n v="390286"/>
    <s v="SWD"/>
    <n v="30"/>
    <s v="N"/>
    <s v="Y"/>
    <n v="325900"/>
    <n v="48400"/>
    <n v="277500"/>
    <n v="4714"/>
    <n v="0.82506329113924048"/>
    <n v="311832.40468560811"/>
    <n v="325026.78744340828"/>
    <n v="-13194.382758590002"/>
    <n v="0"/>
    <n v="89850.625589999996"/>
    <n v="-60052.604136134301"/>
    <n v="21557.329055999999"/>
    <n v="160472.20319"/>
    <n v="-12267.5080275"/>
    <n v="59883.307890923999"/>
    <n v="0"/>
    <n v="0"/>
    <n v="35247.257039363998"/>
    <n v="30336.176841600001"/>
    <n v="0"/>
    <n v="311832.4046856637"/>
    <n v="4700"/>
    <n v="282000"/>
    <n v="29800"/>
    <n v="316500"/>
    <n v="0.80126582278481018"/>
    <n v="-2.8843203436637006E-2"/>
    <n v="0.99970000000000003"/>
    <n v="1.0067999999999999"/>
    <n v="0.99729999999999996"/>
    <n v="0.98919999999999997"/>
    <n v="1.0074000000000001"/>
    <n v="0.94971499999999998"/>
    <n v="0.95027297296624202"/>
    <n v="295200"/>
    <n v="4500"/>
    <n v="299700"/>
    <n v="28300"/>
    <n v="328000"/>
    <n v="0.08"/>
    <n v="-0.41528925619834711"/>
    <n v="6.4436943847806074E-3"/>
    <n v="0.79697624618078489"/>
  </r>
  <r>
    <n v="2025"/>
    <n v="18132331432"/>
    <n v="-1.8971199848858813"/>
    <n v="0.15"/>
    <n v="0"/>
    <n v="6"/>
    <s v="RES"/>
    <n v="3032"/>
    <s v="YC2"/>
    <s v="R1"/>
    <n v="11"/>
    <n v="259"/>
    <s v="TD"/>
    <x v="0"/>
    <s v="GD"/>
    <x v="8"/>
    <n v="1928"/>
    <n v="1984"/>
    <n v="96"/>
    <n v="40"/>
    <n v="1"/>
    <n v="1344"/>
    <n v="0"/>
    <n v="0"/>
    <n v="850"/>
    <n v="0"/>
    <n v="850"/>
    <n v="2194"/>
    <n v="2500"/>
    <n v="0"/>
    <m/>
    <s v="FD"/>
    <s v="G"/>
    <s v="Y"/>
    <n v="0"/>
    <n v="1"/>
    <n v="0"/>
    <n v="1"/>
    <n v="0"/>
    <n v="9"/>
    <n v="0"/>
    <n v="0"/>
    <n v="0"/>
    <n v="0"/>
    <n v="420"/>
    <n v="0"/>
    <n v="100"/>
    <n v="100"/>
    <n v="301503"/>
    <n v="256278"/>
    <n v="270"/>
    <n v="270"/>
    <n v="0"/>
    <n v="0"/>
    <d v="2023-04-06T00:00:00"/>
    <s v="E039844"/>
    <n v="430000"/>
    <n v="423976"/>
    <s v="SWD"/>
    <n v="30"/>
    <s v="N"/>
    <s v="Y"/>
    <n v="351400"/>
    <n v="48400"/>
    <n v="303000"/>
    <n v="6024"/>
    <n v="0.81720930232558142"/>
    <n v="346388.22284945066"/>
    <n v="365438.93592221028"/>
    <n v="-19050.713073900002"/>
    <n v="0"/>
    <n v="89850.625589999996"/>
    <n v="-60052.604136134301"/>
    <n v="21557.329055999999"/>
    <n v="197752.34721000001"/>
    <n v="-8921.82402"/>
    <n v="66405.252314687998"/>
    <n v="0"/>
    <n v="0"/>
    <n v="24719.610959949998"/>
    <n v="34128.198946800003"/>
    <n v="0"/>
    <n v="346388.22284740378"/>
    <n v="6000"/>
    <n v="316600"/>
    <n v="29800"/>
    <n v="352400"/>
    <n v="0.8195348837209302"/>
    <n v="2.8457598178713715E-3"/>
    <n v="0.99970000000000003"/>
    <n v="1.0067999999999999"/>
    <n v="0.99650000000000005"/>
    <n v="0.98919999999999997"/>
    <n v="1.0074000000000001"/>
    <n v="0.94971499999999998"/>
    <n v="0.94951069644125163"/>
    <n v="335600"/>
    <n v="5700"/>
    <n v="341300"/>
    <n v="28300"/>
    <n v="369600"/>
    <n v="0.12640264026402639"/>
    <n v="-0.41528925619834711"/>
    <n v="5.1792828685258967E-2"/>
    <n v="0.81523089982813945"/>
  </r>
  <r>
    <n v="2025"/>
    <n v="18132332434"/>
    <n v="-2.0402208285265546"/>
    <n v="0.13"/>
    <n v="0"/>
    <n v="6"/>
    <s v="RES"/>
    <n v="3032"/>
    <s v="YC2"/>
    <s v="R1"/>
    <n v="11"/>
    <n v="259"/>
    <s v="CC"/>
    <x v="1"/>
    <s v="GD"/>
    <x v="8"/>
    <n v="1928"/>
    <n v="1969"/>
    <n v="96"/>
    <n v="55"/>
    <n v="2"/>
    <n v="986"/>
    <n v="336"/>
    <n v="0"/>
    <n v="986"/>
    <n v="416"/>
    <n v="570"/>
    <n v="1892"/>
    <n v="2000"/>
    <n v="0"/>
    <m/>
    <s v="FD"/>
    <s v="G"/>
    <s v="Y"/>
    <n v="0"/>
    <n v="1"/>
    <n v="0"/>
    <n v="1"/>
    <n v="0"/>
    <n v="9"/>
    <n v="0"/>
    <n v="0"/>
    <n v="0"/>
    <n v="0"/>
    <n v="198"/>
    <n v="0"/>
    <n v="100"/>
    <n v="100"/>
    <n v="321321"/>
    <n v="240991"/>
    <n v="614"/>
    <n v="365"/>
    <n v="249"/>
    <n v="0"/>
    <d v="2022-04-27T00:00:00"/>
    <s v="E036243"/>
    <n v="395000"/>
    <n v="390009"/>
    <s v="SWD"/>
    <n v="30"/>
    <s v="N"/>
    <s v="Y"/>
    <n v="353800"/>
    <n v="43400"/>
    <n v="310400"/>
    <n v="4991"/>
    <n v="0.89569620253164561"/>
    <n v="358547.79874548083"/>
    <n v="381442.23075057758"/>
    <n v="-22894.432006702002"/>
    <n v="0"/>
    <n v="89850.625589999996"/>
    <n v="-64582.406353792743"/>
    <n v="44121.038090000002"/>
    <n v="197752.34721000001"/>
    <n v="-12267.5080275"/>
    <n v="48716.948498721998"/>
    <n v="15048.238081296"/>
    <n v="0"/>
    <n v="28674.748713541998"/>
    <n v="34128.198946800003"/>
    <n v="0"/>
    <n v="358547.79874236527"/>
    <n v="5000"/>
    <n v="333300"/>
    <n v="25300"/>
    <n v="363600"/>
    <n v="0.92050632911392405"/>
    <n v="2.7699265121537593E-2"/>
    <n v="0.99970000000000003"/>
    <n v="0.98050000000000004"/>
    <n v="0.99650000000000005"/>
    <n v="1.0093000000000001"/>
    <n v="1.0074000000000001"/>
    <n v="0.94971499999999998"/>
    <n v="0.94349677105985763"/>
    <n v="356200"/>
    <n v="4700"/>
    <n v="360900"/>
    <n v="24000"/>
    <n v="384900"/>
    <n v="0.16269329896907217"/>
    <n v="-0.44700460829493088"/>
    <n v="8.790276992651215E-2"/>
    <n v="0.91646979238809623"/>
  </r>
  <r>
    <n v="2025"/>
    <n v="18132332439"/>
    <n v="-1.7719568419318752"/>
    <n v="0.17"/>
    <n v="7368"/>
    <n v="6"/>
    <s v="RES"/>
    <n v="3032"/>
    <s v="YC2"/>
    <s v="R1"/>
    <n v="11"/>
    <n v="259"/>
    <s v="CO"/>
    <x v="2"/>
    <s v="GD"/>
    <x v="8"/>
    <n v="1928"/>
    <n v="1969"/>
    <n v="96"/>
    <n v="55"/>
    <n v="2"/>
    <n v="880"/>
    <n v="572"/>
    <n v="0"/>
    <n v="780"/>
    <n v="481"/>
    <n v="299"/>
    <n v="1751"/>
    <n v="2000"/>
    <n v="0"/>
    <m/>
    <s v="FD"/>
    <s v="G"/>
    <m/>
    <n v="0"/>
    <n v="1"/>
    <n v="0"/>
    <n v="0"/>
    <n v="1"/>
    <n v="11"/>
    <n v="0"/>
    <n v="0"/>
    <n v="492"/>
    <n v="300"/>
    <n v="0"/>
    <n v="0"/>
    <n v="100"/>
    <n v="100"/>
    <n v="311137"/>
    <n v="233353"/>
    <n v="195"/>
    <n v="195"/>
    <n v="0"/>
    <n v="0"/>
    <d v="2023-06-20T00:00:00"/>
    <s v="E040688"/>
    <n v="410000"/>
    <n v="410000"/>
    <s v="SWD"/>
    <n v="30"/>
    <s v="N"/>
    <s v="Y"/>
    <n v="350700"/>
    <n v="52700"/>
    <n v="298000"/>
    <n v="0"/>
    <n v="0.85536585365853657"/>
    <n v="378782.33606411575"/>
    <n v="392541.18439444213"/>
    <n v="-13758.848331150002"/>
    <n v="0"/>
    <n v="89850.625589999996"/>
    <n v="-56090.612940989391"/>
    <n v="29814.093161000001"/>
    <n v="197752.34721000001"/>
    <n v="-12267.5080275"/>
    <n v="43479.629491760003"/>
    <n v="25617.833876492001"/>
    <n v="0"/>
    <n v="22683.87829266"/>
    <n v="41712.243157199999"/>
    <n v="9988.6545828000017"/>
    <n v="378782.33606227254"/>
    <n v="0"/>
    <n v="345000"/>
    <n v="33800"/>
    <n v="378800"/>
    <n v="0.92390243902439029"/>
    <n v="8.0125463358996299E-2"/>
    <n v="0.99970000000000003"/>
    <n v="1.0088999999999999"/>
    <n v="0.99650000000000005"/>
    <n v="1.0093000000000001"/>
    <n v="1.0074000000000001"/>
    <n v="0.94971499999999998"/>
    <n v="0.97082497942099955"/>
    <n v="358800"/>
    <n v="0"/>
    <n v="358800"/>
    <n v="32100"/>
    <n v="390900"/>
    <n v="0.20402684563758389"/>
    <n v="-0.39089184060721061"/>
    <n v="0.1146278870829769"/>
    <n v="0.91985646748499994"/>
  </r>
  <r>
    <n v="2025"/>
    <n v="18132331441"/>
    <n v="-1.5141277326297755"/>
    <n v="0.22"/>
    <n v="9687"/>
    <n v="6"/>
    <s v="RES"/>
    <n v="3033"/>
    <s v="YC2"/>
    <s v="R1"/>
    <n v="11"/>
    <n v="259"/>
    <s v="BG"/>
    <x v="1"/>
    <s v="GD"/>
    <x v="8"/>
    <n v="1928"/>
    <n v="1969"/>
    <n v="96"/>
    <n v="55"/>
    <n v="2"/>
    <n v="1516"/>
    <n v="870"/>
    <n v="0"/>
    <n v="1516"/>
    <n v="0"/>
    <n v="1516"/>
    <n v="3902"/>
    <n v="4000"/>
    <n v="1"/>
    <m/>
    <s v="FD"/>
    <s v="G"/>
    <s v="Y"/>
    <n v="0"/>
    <n v="1"/>
    <n v="0"/>
    <n v="1"/>
    <n v="0"/>
    <n v="9"/>
    <n v="280"/>
    <n v="0"/>
    <n v="0"/>
    <n v="480"/>
    <n v="270"/>
    <n v="270"/>
    <n v="100"/>
    <n v="100"/>
    <n v="584139"/>
    <n v="438104"/>
    <n v="455"/>
    <n v="365"/>
    <n v="90"/>
    <n v="0"/>
    <d v="2022-10-03T00:00:00"/>
    <s v="E038374"/>
    <n v="430000"/>
    <n v="430000"/>
    <s v="SWD"/>
    <n v="30"/>
    <s v="N"/>
    <s v="Y"/>
    <n v="449600"/>
    <n v="61700"/>
    <n v="387900"/>
    <n v="0"/>
    <n v="1.0455813953488373"/>
    <n v="454873.0459032525"/>
    <n v="479593.30220105784"/>
    <n v="-24720.256299370001"/>
    <n v="0"/>
    <n v="89850.625589999996"/>
    <n v="-47929.131559187132"/>
    <n v="44121.038090000002"/>
    <n v="197752.34721000001"/>
    <n v="-12267.5080275"/>
    <n v="74903.543533532007"/>
    <n v="38964.187889069995"/>
    <n v="0"/>
    <n v="44088.153194451996"/>
    <n v="34128.198946800003"/>
    <n v="15981.847332480002"/>
    <n v="454873.04590027692"/>
    <n v="0"/>
    <n v="413000"/>
    <n v="41900"/>
    <n v="454900"/>
    <n v="1.057906976744186"/>
    <n v="1.1788256227758007E-2"/>
    <n v="0.99970000000000003"/>
    <n v="0.98050000000000004"/>
    <n v="0.99650000000000005"/>
    <n v="0.94579999999999997"/>
    <n v="1.0074000000000001"/>
    <n v="0.94971499999999998"/>
    <n v="0.88413677406956614"/>
    <n v="437700"/>
    <n v="0"/>
    <n v="437700"/>
    <n v="39800"/>
    <n v="477500"/>
    <n v="0.12838360402165508"/>
    <n v="-0.35494327390599678"/>
    <n v="6.2055160142348756E-2"/>
    <n v="1.052976148141"/>
  </r>
  <r>
    <n v="2025"/>
    <n v="18132313510"/>
    <n v="-1.8325814637483102"/>
    <n v="0.16"/>
    <n v="6999"/>
    <n v="6"/>
    <s v="RES"/>
    <n v="3033"/>
    <s v="YC2"/>
    <s v="R1"/>
    <n v="11"/>
    <n v="259"/>
    <s v="BG"/>
    <x v="2"/>
    <s v="GD"/>
    <x v="8"/>
    <n v="1928"/>
    <n v="1995"/>
    <n v="96"/>
    <n v="29"/>
    <n v="1"/>
    <n v="1104"/>
    <n v="0"/>
    <n v="0"/>
    <n v="1104"/>
    <n v="0"/>
    <n v="1104"/>
    <n v="2208"/>
    <n v="2500"/>
    <n v="0"/>
    <m/>
    <s v="FD"/>
    <s v="G"/>
    <s v="Y"/>
    <n v="0"/>
    <n v="1"/>
    <n v="0"/>
    <n v="0"/>
    <n v="0"/>
    <n v="6"/>
    <n v="0"/>
    <n v="0"/>
    <n v="0"/>
    <n v="0"/>
    <n v="275"/>
    <n v="149"/>
    <n v="100"/>
    <n v="100"/>
    <n v="299683"/>
    <n v="269715"/>
    <n v="607"/>
    <n v="365"/>
    <n v="242"/>
    <n v="0"/>
    <d v="2022-05-04T00:00:00"/>
    <s v="E036318"/>
    <n v="300000"/>
    <n v="295455"/>
    <s v="SWD"/>
    <n v="30"/>
    <s v="N"/>
    <s v="Y"/>
    <n v="343200"/>
    <n v="50600"/>
    <n v="292600"/>
    <n v="4545"/>
    <n v="1.1439999999999999"/>
    <n v="339369.98381953099"/>
    <n v="362344.79802619352"/>
    <n v="-22974.814208266002"/>
    <n v="0"/>
    <n v="89850.625589999996"/>
    <n v="-58009.662049032086"/>
    <n v="29814.093161000001"/>
    <n v="197752.34721000001"/>
    <n v="-6468.3224145000004"/>
    <n v="54547.171544208002"/>
    <n v="0"/>
    <n v="0"/>
    <n v="32106.412352687999"/>
    <n v="22752.132631200002"/>
    <n v="0"/>
    <n v="339369.98381729797"/>
    <n v="4500"/>
    <n v="307500"/>
    <n v="31800"/>
    <n v="343800"/>
    <n v="1.1459999999999999"/>
    <n v="1.7482517482517483E-3"/>
    <n v="0.99970000000000003"/>
    <n v="1.0088999999999999"/>
    <n v="0.99650000000000005"/>
    <n v="0.98919999999999997"/>
    <n v="1.0074000000000001"/>
    <n v="0.94971499999999998"/>
    <n v="0.95149120146958555"/>
    <n v="330500"/>
    <n v="4300"/>
    <n v="334800"/>
    <n v="30200"/>
    <n v="365000"/>
    <n v="0.14422419685577581"/>
    <n v="-0.40316205533596838"/>
    <n v="6.351981351981352E-2"/>
    <n v="1.1400839526391133"/>
  </r>
  <r>
    <n v="2025"/>
    <n v="18132332412"/>
    <n v="-1.6094379124341003"/>
    <n v="0.2"/>
    <n v="8552"/>
    <n v="6"/>
    <s v="RES"/>
    <n v="3032"/>
    <s v="YC2"/>
    <s v="R1"/>
    <n v="11"/>
    <n v="259"/>
    <s v="BG"/>
    <x v="0"/>
    <s v="AV"/>
    <x v="8"/>
    <n v="1926"/>
    <n v="1968"/>
    <n v="98"/>
    <n v="56"/>
    <n v="1"/>
    <n v="1232"/>
    <n v="0"/>
    <n v="0"/>
    <n v="784"/>
    <n v="0"/>
    <n v="784"/>
    <n v="2016"/>
    <n v="2500"/>
    <n v="0"/>
    <s v="S"/>
    <s v="HP"/>
    <s v="E"/>
    <m/>
    <n v="0"/>
    <n v="1"/>
    <n v="0"/>
    <n v="0"/>
    <n v="0"/>
    <n v="6"/>
    <n v="0"/>
    <n v="0"/>
    <n v="0"/>
    <n v="144"/>
    <n v="0"/>
    <n v="144"/>
    <n v="100"/>
    <n v="100"/>
    <n v="251739"/>
    <n v="163630"/>
    <n v="921"/>
    <n v="365"/>
    <n v="365"/>
    <n v="191"/>
    <d v="2021-06-24T00:00:00"/>
    <s v="E031871"/>
    <n v="380000"/>
    <n v="372745"/>
    <s v="SWD"/>
    <n v="30"/>
    <s v="N"/>
    <s v="Y"/>
    <n v="316700"/>
    <n v="58400"/>
    <n v="258300"/>
    <n v="7255"/>
    <n v="0.83342105263157895"/>
    <n v="272558.60827025905"/>
    <n v="319661.83952278859"/>
    <n v="-47103.231258970001"/>
    <n v="0"/>
    <n v="89850.625589999996"/>
    <n v="-50946.13867709865"/>
    <n v="21557.329055999999"/>
    <n v="160472.20319"/>
    <n v="-12490.553628"/>
    <n v="60871.481288464005"/>
    <n v="0"/>
    <n v="0"/>
    <n v="22800.205873647999"/>
    <n v="22752.132631200002"/>
    <n v="4794.5541997440005"/>
    <n v="272558.60826498736"/>
    <n v="7300"/>
    <n v="233700"/>
    <n v="38900"/>
    <n v="279900"/>
    <n v="0.736578947368421"/>
    <n v="-0.11619829491632459"/>
    <n v="0.99970000000000003"/>
    <n v="1.0067999999999999"/>
    <n v="0.99729999999999996"/>
    <n v="0.98919999999999997"/>
    <n v="1.0074000000000001"/>
    <n v="0.94971499999999998"/>
    <n v="0.95027297296624202"/>
    <n v="280800"/>
    <n v="6900"/>
    <n v="287700"/>
    <n v="36900"/>
    <n v="324600"/>
    <n v="0.11382113821138211"/>
    <n v="-0.36815068493150682"/>
    <n v="2.4944742658667508E-2"/>
    <n v="0.73025465458165795"/>
  </r>
  <r>
    <n v="2025"/>
    <n v="18132333422"/>
    <n v="-2.3025850929940455"/>
    <n v="0.1"/>
    <n v="0"/>
    <n v="6"/>
    <s v="RES"/>
    <n v="3032"/>
    <s v="YC2"/>
    <s v="R1"/>
    <n v="11"/>
    <n v="259"/>
    <s v="BG"/>
    <x v="0"/>
    <s v="GD"/>
    <x v="8"/>
    <n v="1925"/>
    <n v="1968"/>
    <n v="99"/>
    <n v="56"/>
    <n v="1"/>
    <n v="958"/>
    <n v="0"/>
    <n v="0"/>
    <n v="958"/>
    <n v="285"/>
    <n v="673"/>
    <n v="1631"/>
    <n v="2000"/>
    <n v="0"/>
    <m/>
    <s v="FD"/>
    <s v="E"/>
    <s v="Y"/>
    <n v="1"/>
    <n v="1"/>
    <n v="0"/>
    <n v="1"/>
    <n v="0"/>
    <n v="8"/>
    <n v="0"/>
    <n v="0"/>
    <n v="0"/>
    <n v="0"/>
    <n v="378"/>
    <n v="378"/>
    <n v="100"/>
    <n v="100"/>
    <n v="226559"/>
    <n v="167654"/>
    <n v="959"/>
    <n v="365"/>
    <n v="365"/>
    <n v="229"/>
    <d v="2021-05-17T00:00:00"/>
    <s v="E031236"/>
    <n v="400000"/>
    <n v="400000"/>
    <s v="SWD"/>
    <n v="30"/>
    <s v="N"/>
    <s v="Y"/>
    <n v="302800"/>
    <n v="34200"/>
    <n v="268600"/>
    <n v="0"/>
    <n v="0.75700000000000001"/>
    <n v="277127.78378826985"/>
    <n v="329312.44013004348"/>
    <n v="-52184.656349170007"/>
    <n v="0"/>
    <n v="89850.625589999996"/>
    <n v="-72887.446329681261"/>
    <n v="21557.329055999999"/>
    <n v="197752.34721000001"/>
    <n v="-12490.553628"/>
    <n v="47333.505742166002"/>
    <n v="0"/>
    <n v="0"/>
    <n v="27860.455646626"/>
    <n v="30336.176841600001"/>
    <n v="0"/>
    <n v="277127.78377954074"/>
    <n v="0"/>
    <n v="260200"/>
    <n v="17000"/>
    <n v="277200"/>
    <n v="0.69299999999999995"/>
    <n v="-8.4544253632760899E-2"/>
    <n v="0.99970000000000003"/>
    <n v="1.0067999999999999"/>
    <n v="0.99650000000000005"/>
    <n v="1.0093000000000001"/>
    <n v="1.0074000000000001"/>
    <n v="0.94971499999999998"/>
    <n v="0.96880423161964746"/>
    <n v="312300"/>
    <n v="0"/>
    <n v="312300"/>
    <n v="16100"/>
    <n v="328400"/>
    <n v="0.16269545793000745"/>
    <n v="-0.5292397660818714"/>
    <n v="8.4544253632760899E-2"/>
    <n v="0.69053835912707495"/>
  </r>
  <r>
    <n v="2025"/>
    <n v="18132334003"/>
    <n v="-1.6607312068216509"/>
    <n v="0.19"/>
    <n v="0"/>
    <n v="6"/>
    <s v="RES"/>
    <n v="3093"/>
    <s v="YC2"/>
    <s v="R1"/>
    <n v="11"/>
    <n v="259"/>
    <s v="CL"/>
    <x v="1"/>
    <s v="GD"/>
    <x v="8"/>
    <n v="1925"/>
    <n v="1968"/>
    <n v="99"/>
    <n v="56"/>
    <n v="2"/>
    <n v="1336"/>
    <n v="718"/>
    <n v="0"/>
    <n v="522"/>
    <n v="522"/>
    <n v="0"/>
    <n v="2054"/>
    <n v="2500"/>
    <n v="0"/>
    <m/>
    <s v="FD"/>
    <s v="G"/>
    <s v="Y"/>
    <n v="0"/>
    <n v="1"/>
    <n v="0"/>
    <n v="1"/>
    <n v="1"/>
    <n v="12"/>
    <n v="0"/>
    <n v="0"/>
    <n v="0"/>
    <n v="0"/>
    <n v="480"/>
    <n v="0"/>
    <n v="100"/>
    <n v="100"/>
    <n v="390187"/>
    <n v="288738"/>
    <n v="878"/>
    <n v="365"/>
    <n v="365"/>
    <n v="148"/>
    <d v="2021-08-06T00:00:00"/>
    <s v="E032585"/>
    <n v="490000"/>
    <n v="467463"/>
    <s v="SWD"/>
    <n v="30"/>
    <s v="N"/>
    <s v="Y"/>
    <n v="417700"/>
    <n v="56600"/>
    <n v="361100"/>
    <n v="22537"/>
    <n v="0.85244897959183674"/>
    <n v="384162.10061455978"/>
    <n v="425515.29821347125"/>
    <n v="-41353.197604270004"/>
    <n v="0"/>
    <n v="89850.625589999996"/>
    <n v="-52569.808201026557"/>
    <n v="44121.038090000002"/>
    <n v="197752.34721000001"/>
    <n v="-12490.553628"/>
    <n v="66009.982955672007"/>
    <n v="32156.651614197999"/>
    <n v="0"/>
    <n v="15180.749318933998"/>
    <n v="45504.265262400004"/>
    <n v="0"/>
    <n v="384162.1006079074"/>
    <n v="22500"/>
    <n v="346900"/>
    <n v="37300"/>
    <n v="406700"/>
    <n v="0.83"/>
    <n v="-2.6334689968877185E-2"/>
    <n v="0.99970000000000003"/>
    <n v="0.98050000000000004"/>
    <n v="0.99650000000000005"/>
    <n v="0.98919999999999997"/>
    <n v="1.0074000000000001"/>
    <n v="0.94971499999999998"/>
    <n v="0.9247072287054503"/>
    <n v="388200"/>
    <n v="21400"/>
    <n v="409600"/>
    <n v="35400"/>
    <n v="445000"/>
    <n v="0.13431182497923014"/>
    <n v="-0.37455830388692579"/>
    <n v="6.5357912377304289E-2"/>
    <n v="0.8237689844810816"/>
  </r>
  <r>
    <n v="2025"/>
    <n v="18132313431"/>
    <n v="-1.2729656758128873"/>
    <n v="0.28000000000000003"/>
    <n v="12046"/>
    <n v="6"/>
    <s v="RES"/>
    <s v="HE"/>
    <s v="YC2"/>
    <s v="R1"/>
    <n v="11"/>
    <n v="259"/>
    <s v="CL"/>
    <x v="3"/>
    <s v="EX"/>
    <x v="8"/>
    <n v="1925"/>
    <n v="1998"/>
    <n v="99"/>
    <n v="26"/>
    <n v="2"/>
    <n v="1716"/>
    <n v="1610"/>
    <n v="0"/>
    <n v="1196"/>
    <n v="954"/>
    <n v="242"/>
    <n v="3568"/>
    <n v="4000"/>
    <n v="1"/>
    <m/>
    <s v="FD"/>
    <s v="G"/>
    <s v="Y"/>
    <n v="0"/>
    <n v="3"/>
    <n v="0"/>
    <n v="1"/>
    <n v="1"/>
    <n v="13"/>
    <n v="209"/>
    <n v="0"/>
    <n v="0"/>
    <n v="0"/>
    <n v="735"/>
    <n v="0"/>
    <n v="100"/>
    <n v="100"/>
    <n v="748395"/>
    <n v="710975"/>
    <n v="1018"/>
    <n v="365"/>
    <n v="365"/>
    <n v="288"/>
    <d v="2021-03-19T00:00:00"/>
    <s v="E030474"/>
    <n v="815000"/>
    <n v="788151"/>
    <s v="SWD"/>
    <n v="30"/>
    <s v="N"/>
    <s v="Y"/>
    <n v="852100"/>
    <n v="70000"/>
    <n v="782100"/>
    <n v="26849"/>
    <n v="1.045521472392638"/>
    <n v="652990.41748779849"/>
    <n v="713064.65488918766"/>
    <n v="-60074.237410270005"/>
    <n v="0"/>
    <n v="89850.625589999996"/>
    <n v="-40295.239319339329"/>
    <n v="74268.409664999999"/>
    <n v="354070.39217000001"/>
    <n v="-5799.1856130000006"/>
    <n v="84785.277508932006"/>
    <n v="72106.140806209994"/>
    <n v="0"/>
    <n v="34781.946715411999"/>
    <n v="49296.287367600002"/>
    <n v="0"/>
    <n v="652990.41748054465"/>
    <n v="26800"/>
    <n v="603400"/>
    <n v="49600"/>
    <n v="679800"/>
    <n v="0.83411042944785274"/>
    <n v="-0.20220631381293275"/>
    <n v="0.99970000000000003"/>
    <n v="0.98380000000000001"/>
    <n v="1.1303000000000001"/>
    <n v="0.94579999999999997"/>
    <n v="1.0074000000000001"/>
    <n v="0.94971499999999998"/>
    <n v="1.0062249909768242"/>
    <n v="663500"/>
    <n v="25500"/>
    <n v="689000"/>
    <n v="47100"/>
    <n v="736100"/>
    <n v="-0.11903848612709372"/>
    <n v="-0.32714285714285712"/>
    <n v="-0.13613425654265932"/>
    <n v="0.82947946330028222"/>
  </r>
  <r>
    <n v="2025"/>
    <n v="18132332465"/>
    <n v="-1.8971199848858813"/>
    <n v="0.15"/>
    <n v="0"/>
    <n v="6"/>
    <s v="RES"/>
    <n v="3032"/>
    <s v="YC2"/>
    <s v="R1"/>
    <n v="11"/>
    <n v="259"/>
    <s v="BG"/>
    <x v="0"/>
    <s v="GD"/>
    <x v="8"/>
    <n v="1925"/>
    <n v="1968"/>
    <n v="99"/>
    <n v="56"/>
    <n v="1"/>
    <n v="936"/>
    <n v="0"/>
    <n v="0"/>
    <n v="936"/>
    <n v="233"/>
    <n v="703"/>
    <n v="1639"/>
    <n v="2000"/>
    <n v="0"/>
    <s v="S"/>
    <s v="FD"/>
    <s v="G"/>
    <s v="Y"/>
    <n v="0"/>
    <n v="1"/>
    <n v="0"/>
    <n v="1"/>
    <n v="0"/>
    <n v="8"/>
    <n v="0"/>
    <n v="0"/>
    <n v="0"/>
    <n v="0"/>
    <n v="452"/>
    <n v="0"/>
    <n v="100"/>
    <n v="100"/>
    <n v="223503"/>
    <n v="165392"/>
    <n v="986"/>
    <n v="365"/>
    <n v="365"/>
    <n v="256"/>
    <d v="2021-04-20T00:00:00"/>
    <s v="E030876"/>
    <n v="342000"/>
    <n v="336776"/>
    <s v="SWD"/>
    <n v="30"/>
    <s v="N"/>
    <s v="Y"/>
    <n v="327300"/>
    <n v="48400"/>
    <n v="278900"/>
    <n v="5224"/>
    <n v="0.9570175438596491"/>
    <n v="284625.34730142221"/>
    <n v="340420.48989081645"/>
    <n v="-55795.142597470003"/>
    <n v="0"/>
    <n v="89850.625589999996"/>
    <n v="-60052.604136134301"/>
    <n v="21557.329055999999"/>
    <n v="197752.34721000001"/>
    <n v="-12490.553628"/>
    <n v="46246.515004872002"/>
    <n v="0"/>
    <n v="0"/>
    <n v="27220.653951191998"/>
    <n v="30336.176841600001"/>
    <n v="0"/>
    <n v="284625.34729205968"/>
    <n v="5200"/>
    <n v="254800"/>
    <n v="29800"/>
    <n v="289800"/>
    <n v="0.84736842105263155"/>
    <n v="-0.11457378551787351"/>
    <n v="0.99970000000000003"/>
    <n v="1.0067999999999999"/>
    <n v="0.99650000000000005"/>
    <n v="1.0093000000000001"/>
    <n v="1.0074000000000001"/>
    <n v="0.94971499999999998"/>
    <n v="0.96880423161964746"/>
    <n v="310600"/>
    <n v="5000"/>
    <n v="315600"/>
    <n v="28300"/>
    <n v="343900"/>
    <n v="0.13158838293295089"/>
    <n v="-0.41528925619834711"/>
    <n v="5.0717995722578672E-2"/>
    <n v="0.8424118637500877"/>
  </r>
  <r>
    <n v="2025"/>
    <n v="18132332433"/>
    <n v="-2.0402208285265546"/>
    <n v="0.13"/>
    <n v="0"/>
    <n v="6"/>
    <s v="RES"/>
    <n v="3032"/>
    <s v="YC2"/>
    <s v="R1"/>
    <n v="11"/>
    <n v="259"/>
    <s v="BG"/>
    <x v="0"/>
    <s v="AV"/>
    <x v="8"/>
    <n v="1925"/>
    <n v="1968"/>
    <n v="99"/>
    <n v="56"/>
    <n v="1"/>
    <n v="1242"/>
    <n v="0"/>
    <n v="0"/>
    <n v="745"/>
    <n v="0"/>
    <n v="745"/>
    <n v="1987"/>
    <n v="2000"/>
    <n v="0"/>
    <m/>
    <s v="FD"/>
    <s v="G"/>
    <s v="Y"/>
    <n v="0"/>
    <n v="1"/>
    <n v="0"/>
    <n v="1"/>
    <n v="0"/>
    <n v="9"/>
    <n v="0"/>
    <n v="0"/>
    <n v="0"/>
    <n v="0"/>
    <n v="54"/>
    <n v="54"/>
    <n v="100"/>
    <n v="100"/>
    <n v="249570"/>
    <n v="162221"/>
    <n v="690"/>
    <n v="365"/>
    <n v="325"/>
    <n v="0"/>
    <d v="2022-02-10T00:00:00"/>
    <s v="E035195"/>
    <n v="324000"/>
    <n v="316451"/>
    <s v="SWD"/>
    <n v="30"/>
    <s v="N"/>
    <s v="Y"/>
    <n v="312200"/>
    <n v="43400"/>
    <n v="268800"/>
    <n v="7549"/>
    <n v="0.96358024691358024"/>
    <n v="289945.26578672783"/>
    <n v="311966.97674625309"/>
    <n v="-22021.710961150002"/>
    <n v="0"/>
    <n v="89850.625589999996"/>
    <n v="-64582.406353792743"/>
    <n v="21557.329055999999"/>
    <n v="160472.20319"/>
    <n v="-12490.553628"/>
    <n v="61365.567987234004"/>
    <n v="0"/>
    <n v="0"/>
    <n v="21666.011959014999"/>
    <n v="34128.198946800003"/>
    <n v="0"/>
    <n v="289945.26578610629"/>
    <n v="7500"/>
    <n v="264700"/>
    <n v="25300"/>
    <n v="297500"/>
    <n v="0.91820987654320985"/>
    <n v="-4.708520179372197E-2"/>
    <n v="0.99970000000000003"/>
    <n v="1.0067999999999999"/>
    <n v="0.99729999999999996"/>
    <n v="1.0093000000000001"/>
    <n v="1.0074000000000001"/>
    <n v="0.94971499999999998"/>
    <n v="0.96958199718441984"/>
    <n v="286700"/>
    <n v="7200"/>
    <n v="293900"/>
    <n v="24000"/>
    <n v="317900"/>
    <n v="9.3377976190476192E-2"/>
    <n v="-0.44700460829493088"/>
    <n v="1.8257527226137091E-2"/>
    <n v="0.91320459579891977"/>
  </r>
  <r>
    <n v="2025"/>
    <n v="18132313521"/>
    <n v="-1.5606477482646683"/>
    <n v="0.21"/>
    <n v="9135"/>
    <n v="6"/>
    <s v="RES"/>
    <n v="3033"/>
    <s v="YC2"/>
    <s v="R1"/>
    <n v="11"/>
    <n v="259"/>
    <s v="BG"/>
    <x v="0"/>
    <s v="GD"/>
    <x v="8"/>
    <n v="1925"/>
    <n v="1968"/>
    <n v="99"/>
    <n v="56"/>
    <n v="1"/>
    <n v="1314"/>
    <n v="0"/>
    <n v="0"/>
    <n v="390"/>
    <n v="0"/>
    <n v="390"/>
    <n v="1704"/>
    <n v="2000"/>
    <n v="0"/>
    <m/>
    <s v="FD"/>
    <s v="G"/>
    <s v="Y"/>
    <n v="0"/>
    <n v="1"/>
    <n v="0"/>
    <n v="0"/>
    <n v="1"/>
    <n v="12"/>
    <n v="0"/>
    <n v="0"/>
    <n v="0"/>
    <n v="0"/>
    <n v="0"/>
    <n v="0"/>
    <n v="100"/>
    <n v="100"/>
    <n v="246716"/>
    <n v="182570"/>
    <n v="518"/>
    <n v="365"/>
    <n v="153"/>
    <n v="0"/>
    <d v="2022-08-01T00:00:00"/>
    <s v="E037656"/>
    <n v="385000"/>
    <n v="372700"/>
    <s v="SWD"/>
    <n v="30"/>
    <s v="N"/>
    <s v="Y"/>
    <n v="357100"/>
    <n v="60100"/>
    <n v="297000"/>
    <n v="12300"/>
    <n v="0.92753246753246754"/>
    <n v="345040.42359406804"/>
    <n v="369037.24007778132"/>
    <n v="-23996.816485294003"/>
    <n v="0"/>
    <n v="89850.625589999996"/>
    <n v="-49401.70477837498"/>
    <n v="21557.329055999999"/>
    <n v="197752.34721000001"/>
    <n v="-12490.553628"/>
    <n v="64922.992218378"/>
    <n v="0"/>
    <n v="0"/>
    <n v="11341.93914633"/>
    <n v="45504.265262400004"/>
    <n v="0"/>
    <n v="345040.42359143903"/>
    <n v="12300"/>
    <n v="304600"/>
    <n v="40400"/>
    <n v="357300"/>
    <n v="0.92805194805194802"/>
    <n v="5.6006720806496785E-4"/>
    <n v="0.99970000000000003"/>
    <n v="1.0067999999999999"/>
    <n v="0.99650000000000005"/>
    <n v="1.0093000000000001"/>
    <n v="1.0074000000000001"/>
    <n v="0.94971499999999998"/>
    <n v="0.96880423161964746"/>
    <n v="328600"/>
    <n v="11700"/>
    <n v="340300"/>
    <n v="38400"/>
    <n v="378700"/>
    <n v="0.1457912457912458"/>
    <n v="-0.36106489184692181"/>
    <n v="6.048725847101652E-2"/>
    <n v="0.92130697016806751"/>
  </r>
  <r>
    <n v="2025"/>
    <n v="18132313481"/>
    <n v="-1.8971199848858813"/>
    <n v="0.15"/>
    <n v="6701"/>
    <n v="6"/>
    <s v="RES"/>
    <n v="3033"/>
    <s v="YC2"/>
    <s v="R1"/>
    <n v="11"/>
    <n v="259"/>
    <s v="TD"/>
    <x v="4"/>
    <s v="AV"/>
    <x v="8"/>
    <n v="1925"/>
    <n v="1968"/>
    <n v="99"/>
    <n v="56"/>
    <n v="1"/>
    <n v="870"/>
    <n v="0"/>
    <n v="0"/>
    <n v="406"/>
    <n v="0"/>
    <n v="406"/>
    <n v="1276"/>
    <n v="1500"/>
    <n v="0"/>
    <m/>
    <s v="FD"/>
    <s v="G"/>
    <s v="Y"/>
    <n v="0"/>
    <n v="0"/>
    <n v="1"/>
    <n v="0"/>
    <n v="0"/>
    <n v="5"/>
    <n v="0"/>
    <n v="0"/>
    <n v="0"/>
    <n v="234"/>
    <n v="0"/>
    <n v="0"/>
    <n v="100"/>
    <n v="100"/>
    <n v="160325"/>
    <n v="104211"/>
    <n v="775"/>
    <n v="365"/>
    <n v="365"/>
    <n v="45"/>
    <d v="2021-11-17T00:00:00"/>
    <s v="E034120"/>
    <n v="253500"/>
    <n v="247921"/>
    <s v="SWD"/>
    <n v="30"/>
    <s v="N"/>
    <s v="Y"/>
    <n v="250500"/>
    <n v="48400"/>
    <n v="202100"/>
    <n v="5579"/>
    <n v="0.98816568047337283"/>
    <n v="231743.86320554692"/>
    <n v="259323.72437834978"/>
    <n v="-27579.861175570004"/>
    <n v="0"/>
    <n v="89850.625589999996"/>
    <n v="-60052.604136134301"/>
    <n v="0"/>
    <n v="160472.20319"/>
    <n v="-12490.553628"/>
    <n v="42985.542792990003"/>
    <n v="0"/>
    <n v="0"/>
    <n v="11807.249470281999"/>
    <n v="18960.110526"/>
    <n v="7791.1505745840004"/>
    <n v="231743.86320415168"/>
    <n v="5600"/>
    <n v="201900"/>
    <n v="29800"/>
    <n v="237300"/>
    <n v="0.93609467455621298"/>
    <n v="-5.2694610778443111E-2"/>
    <n v="0.99970000000000003"/>
    <n v="0.99180000000000001"/>
    <n v="0.99729999999999996"/>
    <n v="1.0157"/>
    <n v="1.0074000000000001"/>
    <n v="0.94971499999999998"/>
    <n v="0.96119304431538555"/>
    <n v="229500"/>
    <n v="5300"/>
    <n v="234800"/>
    <n v="28300"/>
    <n v="263100"/>
    <n v="0.16180108857001485"/>
    <n v="-0.41528925619834711"/>
    <n v="5.0299401197604787E-2"/>
    <n v="0.9290735259346351"/>
  </r>
  <r>
    <n v="2025"/>
    <n v="18132244472"/>
    <n v="-1.6607312068216509"/>
    <n v="0.19"/>
    <n v="8266"/>
    <n v="6"/>
    <s v="RES"/>
    <n v="3092"/>
    <s v="YC2"/>
    <s v="R1"/>
    <n v="11"/>
    <n v="259"/>
    <s v="TD"/>
    <x v="2"/>
    <s v="GD"/>
    <x v="8"/>
    <n v="1925"/>
    <n v="1968"/>
    <n v="99"/>
    <n v="56"/>
    <n v="1"/>
    <n v="1048"/>
    <n v="0"/>
    <n v="0"/>
    <n v="1051"/>
    <n v="301"/>
    <n v="750"/>
    <n v="1798"/>
    <n v="2000"/>
    <n v="0"/>
    <m/>
    <s v="FD"/>
    <s v="G"/>
    <s v="Y"/>
    <n v="0"/>
    <n v="2"/>
    <n v="0"/>
    <n v="1"/>
    <n v="0"/>
    <n v="10"/>
    <n v="0"/>
    <n v="0"/>
    <n v="0"/>
    <n v="0"/>
    <n v="377"/>
    <n v="131"/>
    <n v="100"/>
    <n v="100"/>
    <n v="277124"/>
    <n v="205072"/>
    <n v="593"/>
    <n v="365"/>
    <n v="228"/>
    <n v="0"/>
    <d v="2022-05-18T00:00:00"/>
    <s v="E036468"/>
    <n v="379900"/>
    <n v="369914"/>
    <s v="SWD"/>
    <n v="30"/>
    <s v="N"/>
    <s v="Y"/>
    <n v="358100"/>
    <n v="56600"/>
    <n v="301500"/>
    <n v="9986"/>
    <n v="0.94261647802053172"/>
    <n v="349486.70451108122"/>
    <n v="372622.28312087531"/>
    <n v="-23135.578611394001"/>
    <n v="0"/>
    <n v="89850.625589999996"/>
    <n v="-52569.808201026557"/>
    <n v="29814.093161000001"/>
    <n v="197752.34721000001"/>
    <n v="-12490.553628"/>
    <n v="51780.286031096002"/>
    <n v="0"/>
    <n v="0"/>
    <n v="30565.071904597"/>
    <n v="37920.221052000001"/>
    <n v="0"/>
    <n v="349486.70450827247"/>
    <n v="10000"/>
    <n v="312200"/>
    <n v="37300"/>
    <n v="359500"/>
    <n v="0.94630165833113977"/>
    <n v="3.9095224797542584E-3"/>
    <n v="0.99970000000000003"/>
    <n v="1.0088999999999999"/>
    <n v="0.99650000000000005"/>
    <n v="1.0093000000000001"/>
    <n v="1.0074000000000001"/>
    <n v="0.94971499999999998"/>
    <n v="0.97082497942099955"/>
    <n v="335300"/>
    <n v="9500"/>
    <n v="344800"/>
    <n v="35400"/>
    <n v="380200"/>
    <n v="0.14361525704809286"/>
    <n v="-0.37455830388692579"/>
    <n v="6.1714604858977937E-2"/>
    <n v="0.93989055379996322"/>
  </r>
  <r>
    <n v="2025"/>
    <n v="18132333400"/>
    <n v="-2.5257286443082556"/>
    <n v="0.08"/>
    <n v="0"/>
    <n v="6"/>
    <s v="RES"/>
    <n v="3032"/>
    <s v="YC2"/>
    <s v="R1"/>
    <n v="11"/>
    <n v="259"/>
    <s v="BG"/>
    <x v="0"/>
    <s v="GD"/>
    <x v="8"/>
    <n v="1925"/>
    <n v="1968"/>
    <n v="99"/>
    <n v="56"/>
    <n v="1"/>
    <n v="1135"/>
    <n v="0"/>
    <n v="0"/>
    <n v="1135"/>
    <n v="0"/>
    <n v="1135"/>
    <n v="2270"/>
    <n v="2500"/>
    <n v="0"/>
    <m/>
    <s v="FD"/>
    <s v="G"/>
    <s v="Y"/>
    <n v="0"/>
    <n v="1"/>
    <n v="0"/>
    <n v="1"/>
    <n v="0"/>
    <n v="8"/>
    <n v="0"/>
    <n v="0"/>
    <n v="0"/>
    <n v="170"/>
    <n v="0"/>
    <n v="0"/>
    <n v="100"/>
    <n v="100"/>
    <n v="258927"/>
    <n v="191606"/>
    <n v="210"/>
    <n v="210"/>
    <n v="0"/>
    <n v="0"/>
    <d v="2023-06-05T00:00:00"/>
    <s v="E040442"/>
    <n v="340000"/>
    <n v="340000"/>
    <s v="SWD"/>
    <n v="30"/>
    <s v="N"/>
    <s v="Y"/>
    <n v="314000"/>
    <n v="26500"/>
    <n v="287500"/>
    <n v="0"/>
    <n v="0.92352941176470593"/>
    <n v="326984.76310317009"/>
    <n v="341801.98438198311"/>
    <n v="-14817.221279700001"/>
    <n v="0"/>
    <n v="89850.625589999996"/>
    <n v="-79950.969701614697"/>
    <n v="21557.329055999999"/>
    <n v="197752.34721000001"/>
    <n v="-12490.553628"/>
    <n v="56078.840310395004"/>
    <n v="0"/>
    <n v="0"/>
    <n v="33007.951105344997"/>
    <n v="30336.176841600001"/>
    <n v="5660.2375969200002"/>
    <n v="326984.76310094527"/>
    <n v="0"/>
    <n v="317100"/>
    <n v="9900"/>
    <n v="327000"/>
    <n v="0.96176470588235297"/>
    <n v="4.1401273885350316E-2"/>
    <n v="0.99970000000000003"/>
    <n v="1.0067999999999999"/>
    <n v="0.99650000000000005"/>
    <n v="0.98919999999999997"/>
    <n v="1.0074000000000001"/>
    <n v="0.94971499999999998"/>
    <n v="0.94951069644125163"/>
    <n v="331900"/>
    <n v="0"/>
    <n v="331900"/>
    <n v="9400"/>
    <n v="341300"/>
    <n v="0.15443478260869564"/>
    <n v="-0.6452830188679245"/>
    <n v="8.6942675159235663E-2"/>
    <n v="0.96024346682441175"/>
  </r>
  <r>
    <n v="2025"/>
    <n v="18132331445"/>
    <n v="-1.5141277326297755"/>
    <n v="0.22"/>
    <n v="0"/>
    <n v="6"/>
    <s v="RES"/>
    <n v="3032"/>
    <s v="YC2"/>
    <s v="R1"/>
    <n v="11"/>
    <n v="259"/>
    <s v="BG"/>
    <x v="1"/>
    <s v="VG"/>
    <x v="8"/>
    <n v="1925"/>
    <n v="1968"/>
    <n v="99"/>
    <n v="56"/>
    <n v="2"/>
    <n v="1902"/>
    <n v="496"/>
    <n v="0"/>
    <n v="840"/>
    <n v="0"/>
    <n v="840"/>
    <n v="3238"/>
    <n v="3500"/>
    <n v="0"/>
    <m/>
    <s v="FD"/>
    <s v="G"/>
    <s v="Y"/>
    <n v="0"/>
    <n v="1"/>
    <n v="2"/>
    <n v="1"/>
    <n v="1"/>
    <n v="12"/>
    <n v="0"/>
    <n v="0"/>
    <n v="0"/>
    <n v="0"/>
    <n v="0"/>
    <n v="0"/>
    <n v="100"/>
    <n v="100"/>
    <n v="541170"/>
    <n v="427524"/>
    <n v="399"/>
    <n v="365"/>
    <n v="34"/>
    <n v="0"/>
    <d v="2022-11-28T00:00:00"/>
    <s v="E038852"/>
    <n v="575000"/>
    <n v="536998"/>
    <s v="SWD"/>
    <n v="30"/>
    <s v="N"/>
    <s v="Y"/>
    <n v="519200"/>
    <n v="61700"/>
    <n v="457500"/>
    <n v="38002"/>
    <n v="0.90295652173913044"/>
    <n v="519121.68576292071"/>
    <n v="544484.99967325258"/>
    <n v="-25363.313911882"/>
    <n v="0"/>
    <n v="89850.625589999996"/>
    <n v="-47929.131559187132"/>
    <n v="44121.038090000002"/>
    <n v="284810.60806"/>
    <n v="-12490.553628"/>
    <n v="93975.290106054003"/>
    <n v="22214.065739056001"/>
    <n v="0"/>
    <n v="24428.792007479999"/>
    <n v="45504.265262400004"/>
    <n v="0"/>
    <n v="519121.68575592083"/>
    <n v="38000"/>
    <n v="477200"/>
    <n v="41900"/>
    <n v="557100"/>
    <n v="0.96886956521739132"/>
    <n v="7.2996918335901384E-2"/>
    <n v="0.99970000000000003"/>
    <n v="0.98050000000000004"/>
    <n v="1.0158"/>
    <n v="1.0126999999999999"/>
    <n v="1.0074000000000001"/>
    <n v="0.94971499999999998"/>
    <n v="0.96501010357527905"/>
    <n v="502600"/>
    <n v="36100"/>
    <n v="538700"/>
    <n v="39800"/>
    <n v="578500"/>
    <n v="0.1774863387978142"/>
    <n v="-0.35494327390599678"/>
    <n v="0.11421417565485362"/>
    <n v="0.96197684537063999"/>
  </r>
  <r>
    <n v="2025"/>
    <n v="18132342410"/>
    <n v="-1.6607312068216509"/>
    <n v="0.19"/>
    <n v="0"/>
    <n v="6"/>
    <s v="RES"/>
    <n v="3033"/>
    <s v="YC2"/>
    <s v="R1"/>
    <n v="11"/>
    <n v="259"/>
    <s v="TD"/>
    <x v="0"/>
    <s v="VP"/>
    <x v="8"/>
    <n v="1925"/>
    <n v="1968"/>
    <n v="99"/>
    <n v="56"/>
    <n v="1"/>
    <n v="1588"/>
    <n v="0"/>
    <n v="0"/>
    <n v="1272"/>
    <n v="320"/>
    <n v="952"/>
    <n v="2540"/>
    <n v="3000"/>
    <n v="0"/>
    <m/>
    <s v="FD"/>
    <s v="G"/>
    <s v="N"/>
    <n v="0"/>
    <n v="1"/>
    <n v="0"/>
    <n v="0"/>
    <n v="1"/>
    <n v="7"/>
    <n v="0"/>
    <n v="0"/>
    <n v="0"/>
    <n v="0"/>
    <n v="0"/>
    <n v="0"/>
    <n v="100"/>
    <n v="100"/>
    <n v="294860"/>
    <n v="100252"/>
    <n v="433"/>
    <n v="365"/>
    <n v="68"/>
    <n v="0"/>
    <d v="2022-10-25T00:00:00"/>
    <s v="E038547"/>
    <n v="169999"/>
    <n v="163372"/>
    <s v="SWD"/>
    <n v="30"/>
    <s v="N"/>
    <s v="Y"/>
    <n v="349100"/>
    <n v="56600"/>
    <n v="292500"/>
    <n v="6627"/>
    <n v="2.0535414914205377"/>
    <n v="163371.99999999919"/>
    <n v="188344.88607415423"/>
    <n v="-24972.886075713999"/>
    <n v="0"/>
    <n v="89850.625589999996"/>
    <n v="-52569.808201026557"/>
    <n v="21557.329055999999"/>
    <n v="0"/>
    <n v="-12490.553628"/>
    <n v="78460.967764675996"/>
    <n v="0"/>
    <n v="0"/>
    <n v="36992.170754184001"/>
    <n v="26544.1547364"/>
    <n v="0"/>
    <n v="163371.99999651941"/>
    <n v="6600"/>
    <n v="126100"/>
    <n v="37300"/>
    <n v="170000"/>
    <n v="1.0000058823875435"/>
    <n v="-0.51303351475222003"/>
    <n v="0.99970000000000003"/>
    <n v="1.0067999999999999"/>
    <n v="1"/>
    <n v="0.96179999999999999"/>
    <n v="1.0074000000000001"/>
    <n v="0.94971499999999998"/>
    <n v="0.92645264068923383"/>
    <n v="151100"/>
    <n v="6300"/>
    <n v="157400"/>
    <n v="35400"/>
    <n v="192800"/>
    <n v="-0.46188034188034188"/>
    <n v="-0.37455830388692579"/>
    <n v="-0.44772271555428245"/>
    <n v="0.98722412440241414"/>
  </r>
  <r>
    <n v="2025"/>
    <n v="18132342431"/>
    <n v="-1.9661128563728327"/>
    <n v="0.14000000000000001"/>
    <n v="0"/>
    <n v="6"/>
    <s v="RES"/>
    <n v="3032"/>
    <s v="YC2"/>
    <s v="R1"/>
    <n v="11"/>
    <n v="259"/>
    <s v="TD"/>
    <x v="0"/>
    <s v="GD"/>
    <x v="8"/>
    <n v="1925"/>
    <n v="1968"/>
    <n v="99"/>
    <n v="56"/>
    <n v="1"/>
    <n v="664"/>
    <n v="0"/>
    <n v="0"/>
    <n v="372"/>
    <n v="372"/>
    <n v="0"/>
    <n v="664"/>
    <n v="1000"/>
    <n v="1"/>
    <m/>
    <s v="HP"/>
    <s v="G"/>
    <m/>
    <n v="0"/>
    <n v="0"/>
    <n v="0"/>
    <n v="0"/>
    <n v="0"/>
    <n v="5"/>
    <n v="187"/>
    <n v="0"/>
    <n v="0"/>
    <n v="0"/>
    <n v="0"/>
    <n v="0"/>
    <n v="100"/>
    <n v="100"/>
    <n v="126515"/>
    <n v="93621"/>
    <n v="593"/>
    <n v="365"/>
    <n v="228"/>
    <n v="0"/>
    <d v="2022-05-18T00:00:00"/>
    <s v="E036519"/>
    <n v="275000"/>
    <n v="275000"/>
    <s v="SWD"/>
    <n v="30"/>
    <s v="N"/>
    <s v="Y"/>
    <n v="259500"/>
    <n v="46000"/>
    <n v="213500"/>
    <n v="0"/>
    <n v="0.94363636363636361"/>
    <n v="273883.55500349525"/>
    <n v="297019.13361328939"/>
    <n v="-23135.578611394001"/>
    <n v="0"/>
    <n v="89850.625589999996"/>
    <n v="-62236.546971921947"/>
    <n v="21557.329055999999"/>
    <n v="197752.34721000001"/>
    <n v="-12490.553628"/>
    <n v="32807.356798328001"/>
    <n v="0"/>
    <n v="0"/>
    <n v="10818.465031883999"/>
    <n v="18960.110526"/>
    <n v="0"/>
    <n v="273883.55500089604"/>
    <n v="0"/>
    <n v="246300"/>
    <n v="27600"/>
    <n v="273900"/>
    <n v="0.996"/>
    <n v="5.5491329479768786E-2"/>
    <n v="0.99970000000000003"/>
    <n v="1.0067999999999999"/>
    <n v="0.99650000000000005"/>
    <n v="1.0148999999999999"/>
    <n v="1.0074000000000001"/>
    <n v="0.94971499999999998"/>
    <n v="0.97417954490318037"/>
    <n v="269400"/>
    <n v="0"/>
    <n v="269400"/>
    <n v="26200"/>
    <n v="295600"/>
    <n v="0.26182669789227164"/>
    <n v="-0.43043478260869567"/>
    <n v="0.13911368015414258"/>
    <n v="0.99077971414038557"/>
  </r>
  <r>
    <n v="2025"/>
    <n v="18132313484"/>
    <n v="-1.8971199848858813"/>
    <n v="0.15"/>
    <n v="6737"/>
    <n v="6"/>
    <s v="RES"/>
    <n v="3033"/>
    <s v="YC2"/>
    <s v="R1"/>
    <n v="11"/>
    <n v="259"/>
    <s v="BG"/>
    <x v="0"/>
    <s v="GD"/>
    <x v="8"/>
    <n v="1925"/>
    <n v="1968"/>
    <n v="99"/>
    <n v="56"/>
    <n v="1"/>
    <n v="840"/>
    <n v="0"/>
    <n v="0"/>
    <n v="840"/>
    <n v="209"/>
    <n v="631"/>
    <n v="1471"/>
    <n v="1500"/>
    <n v="0"/>
    <m/>
    <s v="HP"/>
    <s v="G"/>
    <m/>
    <n v="0"/>
    <n v="1"/>
    <n v="0"/>
    <n v="1"/>
    <n v="0"/>
    <n v="8"/>
    <n v="0"/>
    <n v="0"/>
    <n v="0"/>
    <n v="0"/>
    <n v="0"/>
    <n v="16"/>
    <n v="100"/>
    <n v="100"/>
    <n v="192950"/>
    <n v="142783"/>
    <n v="376"/>
    <n v="365"/>
    <n v="11"/>
    <n v="0"/>
    <d v="2022-12-21T00:00:00"/>
    <s v="E039087"/>
    <n v="310000"/>
    <n v="304683"/>
    <s v="SWD"/>
    <n v="30"/>
    <s v="N"/>
    <s v="Y"/>
    <n v="310300"/>
    <n v="48400"/>
    <n v="261900"/>
    <n v="5317"/>
    <n v="1.0009677419354839"/>
    <n v="307257.96878055349"/>
    <n v="332885.39563888713"/>
    <n v="-25627.426859878"/>
    <n v="0"/>
    <n v="89850.625589999996"/>
    <n v="-60052.604136134301"/>
    <n v="21557.329055999999"/>
    <n v="197752.34721000001"/>
    <n v="-12490.553628"/>
    <n v="41503.282696679998"/>
    <n v="0"/>
    <n v="0"/>
    <n v="24428.792007479999"/>
    <n v="30336.176841600001"/>
    <n v="0"/>
    <n v="307257.96877774771"/>
    <n v="5300"/>
    <n v="277500"/>
    <n v="29800"/>
    <n v="312600"/>
    <n v="1.0083870967741935"/>
    <n v="7.4121817595874957E-3"/>
    <n v="0.99970000000000003"/>
    <n v="1.0067999999999999"/>
    <n v="0.99650000000000005"/>
    <n v="1.0157"/>
    <n v="1.0074000000000001"/>
    <n v="0.94971499999999998"/>
    <n v="0.97494744680082823"/>
    <n v="303100"/>
    <n v="5000"/>
    <n v="308100"/>
    <n v="28300"/>
    <n v="336400"/>
    <n v="0.17640320733104239"/>
    <n v="-0.41528925619834711"/>
    <n v="8.4112149532710276E-2"/>
    <n v="1.0024921714197483"/>
  </r>
  <r>
    <n v="2025"/>
    <n v="18132332580"/>
    <n v="-1.7719568419318752"/>
    <n v="0.17"/>
    <n v="7194"/>
    <n v="6"/>
    <s v="RES"/>
    <n v="3032"/>
    <s v="YC2"/>
    <s v="R1"/>
    <n v="11"/>
    <n v="259"/>
    <s v="CC"/>
    <x v="1"/>
    <s v="GD"/>
    <x v="8"/>
    <n v="1925"/>
    <n v="1968"/>
    <n v="99"/>
    <n v="56"/>
    <n v="2"/>
    <n v="1116"/>
    <n v="300"/>
    <n v="0"/>
    <n v="837"/>
    <n v="0"/>
    <n v="837"/>
    <n v="2253"/>
    <n v="2500"/>
    <n v="0"/>
    <m/>
    <s v="FD"/>
    <s v="G"/>
    <s v="Y"/>
    <n v="0"/>
    <n v="1"/>
    <n v="0"/>
    <n v="2"/>
    <n v="0"/>
    <n v="12"/>
    <n v="0"/>
    <n v="0"/>
    <n v="0"/>
    <n v="0"/>
    <n v="192"/>
    <n v="0"/>
    <n v="100"/>
    <n v="100"/>
    <n v="366837"/>
    <n v="271459"/>
    <n v="1013"/>
    <n v="365"/>
    <n v="365"/>
    <n v="283"/>
    <d v="2021-03-24T00:00:00"/>
    <s v="E030517"/>
    <n v="345000"/>
    <n v="338445"/>
    <s v="SWD"/>
    <n v="30"/>
    <s v="N"/>
    <s v="Y"/>
    <n v="384600"/>
    <n v="52700"/>
    <n v="331900"/>
    <n v="6555"/>
    <n v="1.1147826086956523"/>
    <n v="342159.02951066435"/>
    <n v="401564.6583476793"/>
    <n v="-59405.628845770007"/>
    <n v="0"/>
    <n v="89850.625589999996"/>
    <n v="-56090.612940989391"/>
    <n v="44121.038090000002"/>
    <n v="197752.34721000001"/>
    <n v="-12490.553628"/>
    <n v="55140.075582732003"/>
    <n v="13435.926858299999"/>
    <n v="0"/>
    <n v="24341.546321738999"/>
    <n v="45504.265262400004"/>
    <n v="0"/>
    <n v="342159.02950041159"/>
    <n v="6600"/>
    <n v="308400"/>
    <n v="33800"/>
    <n v="348800"/>
    <n v="1.0110144927536231"/>
    <n v="-9.3083723348933958E-2"/>
    <n v="0.99970000000000003"/>
    <n v="0.98050000000000004"/>
    <n v="0.99650000000000005"/>
    <n v="0.98919999999999997"/>
    <n v="1.0074000000000001"/>
    <n v="0.94971499999999998"/>
    <n v="0.9247072287054503"/>
    <n v="367800"/>
    <n v="6200"/>
    <n v="374000"/>
    <n v="32100"/>
    <n v="406100"/>
    <n v="0.12684543537210002"/>
    <n v="-0.39089184060721061"/>
    <n v="5.5902236089443579E-2"/>
    <n v="1.0049112207368984"/>
  </r>
  <r>
    <n v="2025"/>
    <n v="18132342419"/>
    <n v="-1.9661128563728327"/>
    <n v="0.14000000000000001"/>
    <n v="0"/>
    <n v="6"/>
    <s v="RES"/>
    <n v="3033"/>
    <s v="YC2"/>
    <s v="R1"/>
    <n v="11"/>
    <n v="259"/>
    <s v="BG"/>
    <x v="0"/>
    <s v="AV"/>
    <x v="8"/>
    <n v="1925"/>
    <n v="1968"/>
    <n v="99"/>
    <n v="56"/>
    <n v="2"/>
    <n v="1320"/>
    <n v="660"/>
    <n v="0"/>
    <n v="1320"/>
    <n v="0"/>
    <n v="1320"/>
    <n v="3300"/>
    <n v="3500"/>
    <n v="0"/>
    <m/>
    <s v="FD"/>
    <s v="G"/>
    <s v="Y"/>
    <n v="0"/>
    <n v="1"/>
    <n v="0"/>
    <n v="0"/>
    <n v="0"/>
    <n v="11"/>
    <n v="0"/>
    <n v="0"/>
    <n v="0"/>
    <n v="0"/>
    <n v="0"/>
    <n v="0"/>
    <n v="100"/>
    <n v="100"/>
    <n v="350778"/>
    <n v="259576"/>
    <n v="173"/>
    <n v="173"/>
    <n v="0"/>
    <n v="0"/>
    <d v="2023-07-12T00:00:00"/>
    <s v="E040798"/>
    <n v="356000"/>
    <n v="348274"/>
    <s v="SWD"/>
    <n v="30"/>
    <s v="N"/>
    <s v="Y"/>
    <n v="401300"/>
    <n v="46000"/>
    <n v="355300"/>
    <n v="7726"/>
    <n v="1.127247191011236"/>
    <n v="359825.31743862643"/>
    <n v="372031.88544450578"/>
    <n v="-12206.568006610001"/>
    <n v="0"/>
    <n v="89850.625589999996"/>
    <n v="-62236.546971921947"/>
    <n v="21557.329055999999"/>
    <n v="160472.20319"/>
    <n v="-12490.553628"/>
    <n v="65219.444237640004"/>
    <n v="29559.03908826"/>
    <n v="0"/>
    <n v="38388.101726039997"/>
    <n v="41712.243157199999"/>
    <n v="0"/>
    <n v="359825.31743860804"/>
    <n v="7700"/>
    <n v="332200"/>
    <n v="27600"/>
    <n v="367500"/>
    <n v="1.0323033707865168"/>
    <n v="-8.4226264639920265E-2"/>
    <n v="0.99970000000000003"/>
    <n v="1.0067999999999999"/>
    <n v="0.99729999999999996"/>
    <n v="1.0126999999999999"/>
    <n v="1.0074000000000001"/>
    <n v="0.94971499999999998"/>
    <n v="0.97284820028600216"/>
    <n v="344400"/>
    <n v="7300"/>
    <n v="351700"/>
    <n v="26200"/>
    <n v="377900"/>
    <n v="-1.0132282578103011E-2"/>
    <n v="-0.43043478260869567"/>
    <n v="-5.8310490904560176E-2"/>
    <n v="1.0272287415544663"/>
  </r>
  <r>
    <n v="2025"/>
    <n v="18132344042"/>
    <n v="-1.8325814637483102"/>
    <n v="0.16"/>
    <n v="6859"/>
    <n v="6"/>
    <s v="RES"/>
    <n v="3093"/>
    <s v="YC2"/>
    <s v="R1"/>
    <n v="11"/>
    <n v="259"/>
    <s v="BG"/>
    <x v="2"/>
    <s v="GD"/>
    <x v="8"/>
    <n v="1925"/>
    <n v="1968"/>
    <n v="99"/>
    <n v="56"/>
    <n v="2"/>
    <n v="1278"/>
    <n v="426"/>
    <n v="0"/>
    <n v="1278"/>
    <n v="0"/>
    <n v="1278"/>
    <n v="2982"/>
    <n v="3000"/>
    <n v="1"/>
    <m/>
    <s v="FD"/>
    <s v="G"/>
    <s v="Y"/>
    <n v="0"/>
    <n v="1"/>
    <n v="0"/>
    <n v="0"/>
    <n v="0"/>
    <n v="12"/>
    <n v="209"/>
    <n v="0"/>
    <n v="280"/>
    <n v="0"/>
    <n v="192"/>
    <n v="192"/>
    <n v="100"/>
    <n v="100"/>
    <n v="413793"/>
    <n v="306207"/>
    <n v="445"/>
    <n v="365"/>
    <n v="80"/>
    <n v="0"/>
    <d v="2022-10-13T00:00:00"/>
    <s v="E038385"/>
    <n v="375000"/>
    <n v="375000"/>
    <s v="SWD"/>
    <n v="30"/>
    <s v="N"/>
    <s v="Y"/>
    <n v="402200"/>
    <n v="50600"/>
    <n v="351600"/>
    <n v="0"/>
    <n v="1.0725333333333333"/>
    <n v="386975.98590063635"/>
    <n v="411811.07391496428"/>
    <n v="-24835.08801589"/>
    <n v="0"/>
    <n v="89850.625589999996"/>
    <n v="-58009.662049032086"/>
    <n v="29814.093161000001"/>
    <n v="197752.34721000001"/>
    <n v="-12490.553628"/>
    <n v="63144.280102805998"/>
    <n v="19079.016138785999"/>
    <n v="0"/>
    <n v="37166.662125666"/>
    <n v="45504.265262400004"/>
    <n v="0"/>
    <n v="386975.98589773593"/>
    <n v="0"/>
    <n v="355100"/>
    <n v="31800"/>
    <n v="386900"/>
    <n v="1.0317333333333334"/>
    <n v="-3.804077573346594E-2"/>
    <n v="0.99970000000000003"/>
    <n v="1.0088999999999999"/>
    <n v="0.99650000000000005"/>
    <n v="0.96179999999999999"/>
    <n v="1.0074000000000001"/>
    <n v="0.94971499999999998"/>
    <n v="0.92513570316765814"/>
    <n v="380000"/>
    <n v="0"/>
    <n v="380000"/>
    <n v="30200"/>
    <n v="410200"/>
    <n v="8.0773606370875994E-2"/>
    <n v="-0.40316205533596838"/>
    <n v="1.9890601690701143E-2"/>
    <n v="1.0276397652909601"/>
  </r>
  <r>
    <n v="2025"/>
    <n v="18132333402"/>
    <n v="-1.5141277326297755"/>
    <n v="0.22"/>
    <n v="0"/>
    <n v="6"/>
    <s v="RES"/>
    <n v="3093"/>
    <s v="YC2"/>
    <s v="R1"/>
    <n v="11"/>
    <n v="259"/>
    <s v="TD"/>
    <x v="2"/>
    <s v="AV"/>
    <x v="8"/>
    <n v="1925"/>
    <n v="2002"/>
    <n v="99"/>
    <n v="22"/>
    <n v="1"/>
    <n v="1205"/>
    <n v="0"/>
    <n v="0"/>
    <n v="1205"/>
    <n v="0"/>
    <n v="1205"/>
    <n v="2410"/>
    <n v="2500"/>
    <n v="0"/>
    <m/>
    <s v="FD"/>
    <s v="G"/>
    <s v="Y"/>
    <n v="0"/>
    <n v="1"/>
    <n v="1"/>
    <n v="0"/>
    <n v="0"/>
    <n v="9"/>
    <n v="0"/>
    <n v="0"/>
    <n v="0"/>
    <n v="0"/>
    <n v="220"/>
    <n v="220"/>
    <n v="100"/>
    <n v="100"/>
    <n v="324753"/>
    <n v="295525"/>
    <n v="829"/>
    <n v="365"/>
    <n v="365"/>
    <n v="99"/>
    <d v="2021-09-24T00:00:00"/>
    <s v="E033316"/>
    <n v="325000"/>
    <n v="306125"/>
    <s v="SWD"/>
    <n v="30"/>
    <s v="N"/>
    <s v="Y"/>
    <n v="367600"/>
    <n v="61700"/>
    <n v="305900"/>
    <n v="18875"/>
    <n v="1.1310769230769231"/>
    <n v="321209.28342238802"/>
    <n v="356010.11709043226"/>
    <n v="-34800.833672170003"/>
    <n v="0"/>
    <n v="89850.625589999996"/>
    <n v="-47929.131559187132"/>
    <n v="29814.093161000001"/>
    <n v="160472.20319"/>
    <n v="-4907.0032110000002"/>
    <n v="59537.447201784998"/>
    <n v="0"/>
    <n v="0"/>
    <n v="35043.683772634999"/>
    <n v="34128.198946800003"/>
    <n v="0"/>
    <n v="321209.28341986286"/>
    <n v="18900"/>
    <n v="279300"/>
    <n v="41900"/>
    <n v="340100"/>
    <n v="1.0464615384615386"/>
    <n v="-7.480957562568008E-2"/>
    <n v="0.99970000000000003"/>
    <n v="1.0088999999999999"/>
    <n v="0.99729999999999996"/>
    <n v="0.98919999999999997"/>
    <n v="1.0074000000000001"/>
    <n v="0.94971499999999998"/>
    <n v="0.95225506796349002"/>
    <n v="314100"/>
    <n v="17900"/>
    <n v="332000"/>
    <n v="39800"/>
    <n v="371800"/>
    <n v="8.5322000653808433E-2"/>
    <n v="-0.35494327390599678"/>
    <n v="1.1425462459194777E-2"/>
    <n v="1.0369205117779385"/>
  </r>
  <r>
    <n v="2025"/>
    <n v="18132344421"/>
    <n v="-1.8971199848858813"/>
    <n v="0.15"/>
    <n v="0"/>
    <n v="6"/>
    <s v="RES"/>
    <n v="3093"/>
    <s v="YC2"/>
    <s v="R1"/>
    <n v="11"/>
    <n v="400"/>
    <s v="MS"/>
    <x v="2"/>
    <s v="GD"/>
    <x v="8"/>
    <n v="1925"/>
    <n v="1968"/>
    <n v="99"/>
    <n v="56"/>
    <n v="1"/>
    <n v="934"/>
    <n v="0"/>
    <n v="0"/>
    <n v="934"/>
    <n v="0"/>
    <n v="934"/>
    <n v="1868"/>
    <n v="2000"/>
    <n v="0"/>
    <m/>
    <s v="FD"/>
    <s v="G"/>
    <s v="N"/>
    <n v="0"/>
    <n v="1"/>
    <n v="0"/>
    <n v="0"/>
    <n v="0"/>
    <n v="8"/>
    <n v="0"/>
    <n v="0"/>
    <n v="0"/>
    <n v="0"/>
    <n v="0"/>
    <n v="102"/>
    <n v="100"/>
    <n v="100"/>
    <n v="251319"/>
    <n v="185976"/>
    <n v="291"/>
    <n v="291"/>
    <n v="0"/>
    <n v="0"/>
    <d v="2023-03-16T00:00:00"/>
    <s v="E039676"/>
    <n v="315000"/>
    <n v="309421"/>
    <s v="SWD"/>
    <n v="30"/>
    <s v="N"/>
    <s v="Y"/>
    <n v="331700"/>
    <n v="48400"/>
    <n v="283300"/>
    <n v="5579"/>
    <n v="1.053015873015873"/>
    <n v="327987.83766478236"/>
    <n v="348520.27286542335"/>
    <n v="-20532.435201870001"/>
    <n v="0"/>
    <n v="89850.625589999996"/>
    <n v="-60052.604136134301"/>
    <n v="29814.093161000001"/>
    <n v="197752.34721000001"/>
    <n v="-12490.553628"/>
    <n v="46147.697665118001"/>
    <n v="0"/>
    <n v="0"/>
    <n v="27162.490160697998"/>
    <n v="30336.176841600001"/>
    <n v="0"/>
    <n v="327987.83766241168"/>
    <n v="5600"/>
    <n v="298200"/>
    <n v="29800"/>
    <n v="333600"/>
    <n v="1.059047619047619"/>
    <n v="5.7280675309014173E-3"/>
    <n v="0.99970000000000003"/>
    <n v="1.0088999999999999"/>
    <n v="0.99650000000000005"/>
    <n v="1.0093000000000001"/>
    <n v="1.0074000000000001"/>
    <n v="0.94971499999999998"/>
    <n v="0.97082497942099955"/>
    <n v="318700"/>
    <n v="5300"/>
    <n v="324000"/>
    <n v="28300"/>
    <n v="352300"/>
    <n v="0.14366396046593716"/>
    <n v="-0.41528925619834711"/>
    <n v="6.2104311124510099E-2"/>
    <n v="1.0532303644385079"/>
  </r>
  <r>
    <n v="2025"/>
    <n v="18132342442"/>
    <n v="-1.9661128563728327"/>
    <n v="0.14000000000000001"/>
    <n v="0"/>
    <n v="6"/>
    <s v="RES"/>
    <n v="3033"/>
    <s v="YC2"/>
    <s v="R1"/>
    <n v="11"/>
    <n v="259"/>
    <s v="BG"/>
    <x v="2"/>
    <s v="AV"/>
    <x v="8"/>
    <n v="1925"/>
    <n v="1968"/>
    <n v="99"/>
    <n v="56"/>
    <n v="1"/>
    <n v="984"/>
    <n v="0"/>
    <n v="0"/>
    <n v="780"/>
    <n v="0"/>
    <n v="780"/>
    <n v="1764"/>
    <n v="2000"/>
    <n v="1"/>
    <m/>
    <s v="FD"/>
    <s v="G"/>
    <s v="Y"/>
    <n v="0"/>
    <n v="1"/>
    <n v="0"/>
    <n v="1"/>
    <n v="0"/>
    <n v="8"/>
    <n v="0"/>
    <n v="204"/>
    <n v="0"/>
    <n v="0"/>
    <n v="0"/>
    <n v="0"/>
    <n v="100"/>
    <n v="100"/>
    <n v="255839"/>
    <n v="166295"/>
    <n v="703"/>
    <n v="365"/>
    <n v="338"/>
    <n v="0"/>
    <d v="2022-01-28T00:00:00"/>
    <s v="E035095"/>
    <n v="269000"/>
    <n v="269000"/>
    <s v="SWD"/>
    <n v="30"/>
    <s v="N"/>
    <s v="Y"/>
    <n v="296900"/>
    <n v="46000"/>
    <n v="250900"/>
    <n v="0"/>
    <n v="1.1037174721189591"/>
    <n v="285175.57790514152"/>
    <n v="307048.00763318752"/>
    <n v="-21872.429729674001"/>
    <n v="0"/>
    <n v="89850.625589999996"/>
    <n v="-62236.546971921947"/>
    <n v="29814.093161000001"/>
    <n v="160472.20319"/>
    <n v="-12490.553628"/>
    <n v="48618.131158968004"/>
    <n v="0"/>
    <n v="0"/>
    <n v="22683.87829266"/>
    <n v="30336.176841600001"/>
    <n v="0"/>
    <n v="285175.57790463202"/>
    <n v="0"/>
    <n v="257600"/>
    <n v="27600"/>
    <n v="285200"/>
    <n v="1.0602230483271375"/>
    <n v="-3.9407207814078811E-2"/>
    <n v="0.99970000000000003"/>
    <n v="1.0088999999999999"/>
    <n v="0.99729999999999996"/>
    <n v="1.0093000000000001"/>
    <n v="1.0074000000000001"/>
    <n v="0.94971499999999998"/>
    <n v="0.97160436726197974"/>
    <n v="279400"/>
    <n v="0"/>
    <n v="279400"/>
    <n v="26200"/>
    <n v="305600"/>
    <n v="0.11359107214029494"/>
    <n v="-0.43043478260869567"/>
    <n v="2.9302795554058604E-2"/>
    <n v="1.0547493318599479"/>
  </r>
  <r>
    <n v="2025"/>
    <n v="18132342417"/>
    <n v="-2.0402208285265546"/>
    <n v="0.13"/>
    <n v="0"/>
    <n v="6"/>
    <s v="RES"/>
    <n v="3032"/>
    <s v="YC2"/>
    <s v="R1"/>
    <n v="11"/>
    <n v="259"/>
    <s v="BG"/>
    <x v="0"/>
    <s v="GD"/>
    <x v="8"/>
    <n v="1925"/>
    <n v="1968"/>
    <n v="99"/>
    <n v="56"/>
    <n v="1"/>
    <n v="1192"/>
    <n v="0"/>
    <n v="0"/>
    <n v="648"/>
    <n v="648"/>
    <n v="0"/>
    <n v="1192"/>
    <n v="1500"/>
    <n v="0"/>
    <m/>
    <s v="FD"/>
    <s v="G"/>
    <m/>
    <n v="0"/>
    <n v="0"/>
    <n v="0"/>
    <n v="0"/>
    <n v="0"/>
    <n v="5"/>
    <n v="0"/>
    <n v="0"/>
    <n v="0"/>
    <n v="0"/>
    <n v="0"/>
    <n v="0"/>
    <n v="100"/>
    <n v="100"/>
    <n v="195932"/>
    <n v="144990"/>
    <n v="796"/>
    <n v="365"/>
    <n v="365"/>
    <n v="66"/>
    <d v="2021-10-27T00:00:00"/>
    <s v="E033827"/>
    <n v="285000"/>
    <n v="280630"/>
    <s v="SWD"/>
    <n v="30"/>
    <s v="N"/>
    <s v="Y"/>
    <n v="299600"/>
    <n v="43400"/>
    <n v="256200"/>
    <n v="4370"/>
    <n v="1.0512280701754386"/>
    <n v="298399.63787150319"/>
    <n v="328787.65501467773"/>
    <n v="-30388.017146470003"/>
    <n v="0"/>
    <n v="89850.625589999996"/>
    <n v="-64582.406353792743"/>
    <n v="21557.329055999999"/>
    <n v="197752.34721000001"/>
    <n v="-12490.553628"/>
    <n v="58895.134493384001"/>
    <n v="0"/>
    <n v="0"/>
    <n v="18845.068120055999"/>
    <n v="18960.110526"/>
    <n v="0"/>
    <n v="298399.63786717725"/>
    <n v="4400"/>
    <n v="273100"/>
    <n v="25300"/>
    <n v="302800"/>
    <n v="1.0624561403508772"/>
    <n v="1.0680907877169559E-2"/>
    <n v="0.99970000000000003"/>
    <n v="1.0067999999999999"/>
    <n v="0.99650000000000005"/>
    <n v="1.0157"/>
    <n v="1.0074000000000001"/>
    <n v="0.94971499999999998"/>
    <n v="0.97494744680082823"/>
    <n v="303500"/>
    <n v="4200"/>
    <n v="307700"/>
    <n v="24000"/>
    <n v="331700"/>
    <n v="0.20101483216237315"/>
    <n v="-0.44700460829493088"/>
    <n v="0.10714285714285714"/>
    <n v="1.0572350275562454"/>
  </r>
  <r>
    <n v="2025"/>
    <n v="18132344019"/>
    <n v="-1.8325814637483102"/>
    <n v="0.16"/>
    <n v="6758"/>
    <n v="6"/>
    <s v="RES"/>
    <n v="3093"/>
    <s v="YC2"/>
    <s v="R1"/>
    <n v="11"/>
    <n v="259"/>
    <s v="BG"/>
    <x v="0"/>
    <s v="GD"/>
    <x v="8"/>
    <n v="1925"/>
    <n v="1968"/>
    <n v="99"/>
    <n v="56"/>
    <n v="2"/>
    <n v="1010"/>
    <n v="270"/>
    <n v="0"/>
    <n v="520"/>
    <n v="0"/>
    <n v="520"/>
    <n v="1800"/>
    <n v="2000"/>
    <n v="0"/>
    <m/>
    <s v="FD"/>
    <s v="G"/>
    <s v="Y"/>
    <n v="0"/>
    <n v="1"/>
    <n v="0"/>
    <n v="0"/>
    <n v="0"/>
    <n v="6"/>
    <n v="0"/>
    <n v="0"/>
    <n v="0"/>
    <n v="0"/>
    <n v="0"/>
    <n v="0"/>
    <n v="100"/>
    <n v="100"/>
    <n v="226722"/>
    <n v="167774"/>
    <n v="525"/>
    <n v="365"/>
    <n v="160"/>
    <n v="0"/>
    <d v="2022-07-25T00:00:00"/>
    <s v="E037428"/>
    <n v="305000"/>
    <n v="290666"/>
    <s v="SWD"/>
    <n v="30"/>
    <s v="N"/>
    <s v="Y"/>
    <n v="327700"/>
    <n v="50600"/>
    <n v="277100"/>
    <n v="14334"/>
    <n v="1.0744262295081968"/>
    <n v="314613.46080571291"/>
    <n v="338529.89508786041"/>
    <n v="-23916.434283729999"/>
    <n v="0"/>
    <n v="89850.625589999996"/>
    <n v="-58009.662049032086"/>
    <n v="21557.329055999999"/>
    <n v="197752.34721000001"/>
    <n v="-12490.553628"/>
    <n v="49902.756575769999"/>
    <n v="12092.33417247"/>
    <n v="0"/>
    <n v="15122.585528439999"/>
    <n v="22752.132631200002"/>
    <n v="0"/>
    <n v="314613.46080311789"/>
    <n v="14300"/>
    <n v="282800"/>
    <n v="31800"/>
    <n v="328900"/>
    <n v="1.078360655737705"/>
    <n v="3.6618858712236801E-3"/>
    <n v="0.99970000000000003"/>
    <n v="1.0067999999999999"/>
    <n v="0.99650000000000005"/>
    <n v="1.0093000000000001"/>
    <n v="1.0074000000000001"/>
    <n v="0.94971499999999998"/>
    <n v="0.96880423161964746"/>
    <n v="306700"/>
    <n v="13600"/>
    <n v="320300"/>
    <n v="30200"/>
    <n v="350500"/>
    <n v="0.15590039696860339"/>
    <n v="-0.40316205533596838"/>
    <n v="6.9575831553249923E-2"/>
    <n v="1.0707657892336722"/>
  </r>
  <r>
    <n v="2025"/>
    <n v="18132242511"/>
    <n v="-0.9942522733438669"/>
    <n v="0.37"/>
    <n v="16120"/>
    <n v="6"/>
    <s v="RES"/>
    <s v="YC2"/>
    <s v="YC2"/>
    <s v="R1"/>
    <n v="11"/>
    <n v="259"/>
    <s v="BG"/>
    <x v="0"/>
    <s v="GD"/>
    <x v="8"/>
    <n v="1925"/>
    <n v="1968"/>
    <n v="99"/>
    <n v="56"/>
    <n v="2"/>
    <n v="1038"/>
    <n v="410"/>
    <n v="0"/>
    <n v="240"/>
    <n v="240"/>
    <n v="0"/>
    <n v="1448"/>
    <n v="1500"/>
    <n v="0"/>
    <m/>
    <s v="FD"/>
    <s v="G"/>
    <s v="Y"/>
    <n v="0"/>
    <n v="0"/>
    <n v="1"/>
    <n v="0"/>
    <n v="1"/>
    <n v="8"/>
    <n v="0"/>
    <n v="0"/>
    <n v="0"/>
    <n v="0"/>
    <n v="0"/>
    <n v="0"/>
    <n v="100"/>
    <n v="100"/>
    <n v="214678"/>
    <n v="158862"/>
    <n v="56"/>
    <n v="56"/>
    <n v="0"/>
    <n v="0"/>
    <d v="2023-11-06T00:00:00"/>
    <s v="E041990"/>
    <n v="349000"/>
    <n v="340073"/>
    <s v="SWD"/>
    <n v="30"/>
    <s v="N"/>
    <s v="Y"/>
    <n v="345500"/>
    <n v="79900"/>
    <n v="265600"/>
    <n v="8927"/>
    <n v="0.98997134670487108"/>
    <n v="368210.27996506984"/>
    <n v="372161.53897275333"/>
    <n v="-3951.2590079200004"/>
    <n v="0"/>
    <n v="89850.625589999996"/>
    <n v="-31472.673662315807"/>
    <n v="21557.329055999999"/>
    <n v="197752.34721000001"/>
    <n v="-12490.553628"/>
    <n v="51286.199332326003"/>
    <n v="18362.433373010001"/>
    <n v="0"/>
    <n v="6979.65485928"/>
    <n v="30336.176841600001"/>
    <n v="0"/>
    <n v="368210.2799639802"/>
    <n v="8900"/>
    <n v="309800"/>
    <n v="58400"/>
    <n v="377100"/>
    <n v="1.0805157593123209"/>
    <n v="9.1461649782923302E-2"/>
    <n v="0.99970000000000003"/>
    <n v="1.0067999999999999"/>
    <n v="0.99650000000000005"/>
    <n v="1.0157"/>
    <n v="1.0074000000000001"/>
    <n v="0.94971499999999998"/>
    <n v="0.97494744680082823"/>
    <n v="313800"/>
    <n v="8500"/>
    <n v="322300"/>
    <n v="55400"/>
    <n v="377700"/>
    <n v="0.21347891566265059"/>
    <n v="-0.30663329161451813"/>
    <n v="9.3198263386396529E-2"/>
    <n v="1.0709132979715759"/>
  </r>
  <r>
    <n v="2025"/>
    <n v="18132331008"/>
    <n v="-1.9661128563728327"/>
    <n v="0.14000000000000001"/>
    <n v="6185"/>
    <n v="6"/>
    <s v="RES"/>
    <n v="3032"/>
    <s v="YC2"/>
    <s v="R1"/>
    <n v="11"/>
    <n v="259"/>
    <s v="TD"/>
    <x v="0"/>
    <s v="GD"/>
    <x v="8"/>
    <n v="1925"/>
    <n v="1968"/>
    <n v="99"/>
    <n v="56"/>
    <n v="1"/>
    <n v="1220"/>
    <n v="0"/>
    <n v="0"/>
    <n v="1220"/>
    <n v="1220"/>
    <n v="0"/>
    <n v="1220"/>
    <n v="1500"/>
    <n v="0"/>
    <m/>
    <s v="FD"/>
    <s v="G"/>
    <s v="Y"/>
    <n v="0"/>
    <n v="1"/>
    <n v="0"/>
    <n v="1"/>
    <n v="0"/>
    <n v="8"/>
    <n v="0"/>
    <n v="0"/>
    <n v="0"/>
    <n v="0"/>
    <n v="0"/>
    <n v="0"/>
    <n v="100"/>
    <n v="100"/>
    <n v="218214"/>
    <n v="161478"/>
    <n v="510"/>
    <n v="365"/>
    <n v="145"/>
    <n v="0"/>
    <d v="2022-08-09T00:00:00"/>
    <s v="E037621"/>
    <n v="315000"/>
    <n v="306967"/>
    <s v="SWD"/>
    <n v="30"/>
    <s v="N"/>
    <s v="Y"/>
    <n v="323700"/>
    <n v="46000"/>
    <n v="277700"/>
    <n v="8033"/>
    <n v="1.0276190476190477"/>
    <n v="336439.18569339521"/>
    <n v="360527.86755032651"/>
    <n v="-24088.681858510001"/>
    <n v="0"/>
    <n v="89850.625589999996"/>
    <n v="-62236.546971921947"/>
    <n v="21557.329055999999"/>
    <n v="197752.34721000001"/>
    <n v="-12490.553628"/>
    <n v="60278.577249940005"/>
    <n v="0"/>
    <n v="0"/>
    <n v="35479.912201339997"/>
    <n v="30336.176841600001"/>
    <n v="0"/>
    <n v="336439.1856904481"/>
    <n v="8000"/>
    <n v="308800"/>
    <n v="27600"/>
    <n v="344400"/>
    <n v="1.0933333333333333"/>
    <n v="6.39481000926784E-2"/>
    <n v="0.99970000000000003"/>
    <n v="1.0067999999999999"/>
    <n v="0.99650000000000005"/>
    <n v="1.0157"/>
    <n v="1.0074000000000001"/>
    <n v="0.94971499999999998"/>
    <n v="0.97494744680082823"/>
    <n v="332900"/>
    <n v="7600"/>
    <n v="340500"/>
    <n v="26200"/>
    <n v="366700"/>
    <n v="0.22614332012963631"/>
    <n v="-0.43043478260869567"/>
    <n v="0.13283904850169911"/>
    <n v="1.0876549782269525"/>
  </r>
  <r>
    <n v="2025"/>
    <n v="18132344047"/>
    <n v="-1.9661128563728327"/>
    <n v="0.14000000000000001"/>
    <n v="6181"/>
    <n v="6"/>
    <s v="RES"/>
    <n v="3093"/>
    <s v="YC2"/>
    <s v="R1"/>
    <n v="11"/>
    <n v="259"/>
    <s v="BG"/>
    <x v="0"/>
    <s v="AV"/>
    <x v="8"/>
    <n v="1925"/>
    <n v="1968"/>
    <n v="99"/>
    <n v="56"/>
    <n v="1"/>
    <n v="1105"/>
    <n v="0"/>
    <n v="0"/>
    <n v="963"/>
    <n v="963"/>
    <n v="0"/>
    <n v="1105"/>
    <n v="1500"/>
    <n v="0"/>
    <m/>
    <s v="FD"/>
    <s v="E"/>
    <m/>
    <n v="0"/>
    <n v="0"/>
    <n v="0"/>
    <n v="0"/>
    <n v="0"/>
    <n v="8"/>
    <n v="0"/>
    <n v="0"/>
    <n v="0"/>
    <n v="171"/>
    <n v="0"/>
    <n v="0"/>
    <n v="100"/>
    <n v="100"/>
    <n v="199377"/>
    <n v="129595"/>
    <n v="927"/>
    <n v="365"/>
    <n v="365"/>
    <n v="197"/>
    <d v="2021-06-18T00:00:00"/>
    <s v="E031824"/>
    <n v="247000"/>
    <n v="240566"/>
    <s v="SWD"/>
    <n v="30"/>
    <s v="N"/>
    <s v="Y"/>
    <n v="291200"/>
    <n v="46000"/>
    <n v="245200"/>
    <n v="6434"/>
    <n v="1.1789473684210525"/>
    <n v="267879.65099606372"/>
    <n v="315785.21252584242"/>
    <n v="-47905.561536370005"/>
    <n v="0"/>
    <n v="89850.625589999996"/>
    <n v="-62236.546971921947"/>
    <n v="21557.329055999999"/>
    <n v="160472.20319"/>
    <n v="-12490.553628"/>
    <n v="54596.580214084999"/>
    <n v="0"/>
    <n v="0"/>
    <n v="28005.865122861"/>
    <n v="30336.176841600001"/>
    <n v="5693.5331121960007"/>
    <n v="267879.65099045006"/>
    <n v="6400"/>
    <n v="240300"/>
    <n v="27600"/>
    <n v="274300"/>
    <n v="1.1105263157894736"/>
    <n v="-5.8035714285714288E-2"/>
    <n v="0.99970000000000003"/>
    <n v="1.0067999999999999"/>
    <n v="0.99729999999999996"/>
    <n v="1.0157"/>
    <n v="1.0074000000000001"/>
    <n v="0.94971499999999998"/>
    <n v="0.97573014419916293"/>
    <n v="288200"/>
    <n v="6100"/>
    <n v="294300"/>
    <n v="26200"/>
    <n v="320500"/>
    <n v="0.2002446982055465"/>
    <n v="-0.43043478260869567"/>
    <n v="0.10061813186813187"/>
    <n v="1.1036212083547772"/>
  </r>
  <r>
    <n v="2025"/>
    <n v="18132344451"/>
    <n v="-1.8971199848858813"/>
    <n v="0.15"/>
    <n v="6500"/>
    <n v="6"/>
    <s v="RES"/>
    <n v="3093"/>
    <s v="YC2"/>
    <s v="R1"/>
    <n v="11"/>
    <n v="259"/>
    <s v="BG"/>
    <x v="4"/>
    <s v="GD"/>
    <x v="8"/>
    <n v="1925"/>
    <n v="1968"/>
    <n v="99"/>
    <n v="56"/>
    <n v="1"/>
    <n v="988"/>
    <n v="0"/>
    <n v="0"/>
    <n v="750"/>
    <n v="0"/>
    <n v="750"/>
    <n v="1738"/>
    <n v="2000"/>
    <n v="0"/>
    <m/>
    <s v="FD"/>
    <s v="G"/>
    <m/>
    <n v="0"/>
    <n v="0"/>
    <n v="0"/>
    <n v="0"/>
    <n v="1"/>
    <n v="7"/>
    <n v="0"/>
    <n v="0"/>
    <n v="0"/>
    <n v="160"/>
    <n v="0"/>
    <n v="0"/>
    <n v="100"/>
    <n v="100"/>
    <n v="195520"/>
    <n v="144685"/>
    <n v="889"/>
    <n v="365"/>
    <n v="365"/>
    <n v="159"/>
    <d v="2021-07-26T00:00:00"/>
    <s v="E032358"/>
    <n v="233000"/>
    <n v="227421"/>
    <s v="SWD"/>
    <n v="30"/>
    <s v="N"/>
    <s v="Y"/>
    <n v="303100"/>
    <n v="48400"/>
    <n v="254700"/>
    <n v="5579"/>
    <n v="1.3008583690987126"/>
    <n v="274734.30305065337"/>
    <n v="317558.43949118804"/>
    <n v="-42824.13644617"/>
    <n v="0"/>
    <n v="89850.625589999996"/>
    <n v="-60052.604136134301"/>
    <n v="0"/>
    <n v="197752.34721000001"/>
    <n v="-12490.553628"/>
    <n v="48815.765838476"/>
    <n v="0"/>
    <n v="0"/>
    <n v="21811.421435249998"/>
    <n v="26544.1547364"/>
    <n v="5327.2824441600005"/>
    <n v="274734.30304398172"/>
    <n v="5600"/>
    <n v="244900"/>
    <n v="29800"/>
    <n v="280300"/>
    <n v="1.2030042918454935"/>
    <n v="-7.5222698779280769E-2"/>
    <n v="0.99970000000000003"/>
    <n v="0.99180000000000001"/>
    <n v="0.99650000000000005"/>
    <n v="1.0093000000000001"/>
    <n v="1.0074000000000001"/>
    <n v="0.94971499999999998"/>
    <n v="0.95437031875284728"/>
    <n v="287800"/>
    <n v="5300"/>
    <n v="293100"/>
    <n v="28300"/>
    <n v="321400"/>
    <n v="0.15076560659599528"/>
    <n v="-0.41528925619834711"/>
    <n v="6.0376113493896405E-2"/>
    <n v="1.1956045646087126"/>
  </r>
  <r>
    <n v="2025"/>
    <n v="18132313498"/>
    <n v="-0.9942522733438669"/>
    <n v="0.37"/>
    <n v="16061"/>
    <n v="6"/>
    <s v="RES"/>
    <s v="YC2"/>
    <s v="YC2"/>
    <s v="R1"/>
    <n v="11"/>
    <n v="259"/>
    <s v="CL"/>
    <x v="1"/>
    <s v="GD"/>
    <x v="9"/>
    <n v="1921"/>
    <n v="1966"/>
    <n v="103"/>
    <n v="58"/>
    <n v="2"/>
    <n v="1932"/>
    <n v="1366"/>
    <n v="0"/>
    <n v="1289"/>
    <n v="999"/>
    <n v="290"/>
    <n v="3588"/>
    <n v="4000"/>
    <n v="0"/>
    <m/>
    <s v="FD"/>
    <s v="G"/>
    <s v="Y"/>
    <n v="0"/>
    <n v="1"/>
    <n v="1"/>
    <n v="2"/>
    <n v="1"/>
    <n v="18"/>
    <n v="0"/>
    <n v="0"/>
    <n v="0"/>
    <n v="361"/>
    <n v="320"/>
    <n v="0"/>
    <n v="100"/>
    <n v="100"/>
    <n v="621428"/>
    <n v="447428"/>
    <n v="150"/>
    <n v="150"/>
    <n v="0"/>
    <n v="0"/>
    <d v="2023-08-04T00:00:00"/>
    <s v="E041128"/>
    <n v="849000"/>
    <n v="781074"/>
    <s v="SWD"/>
    <n v="30"/>
    <s v="N"/>
    <s v="Y"/>
    <n v="579500"/>
    <n v="79900"/>
    <n v="499600"/>
    <n v="67926"/>
    <n v="0.68256772673733801"/>
    <n v="551129.4086274599"/>
    <n v="561713.13811232639"/>
    <n v="-10583.729485500002"/>
    <n v="0"/>
    <n v="89850.625589999996"/>
    <n v="-31472.673662315807"/>
    <n v="44121.038090000002"/>
    <n v="197752.34721000001"/>
    <n v="-12936.644829000001"/>
    <n v="95457.550202364"/>
    <n v="61178.253628125996"/>
    <n v="0"/>
    <n v="37486.562973382999"/>
    <n v="68256.397893600006"/>
    <n v="12019.681014636"/>
    <n v="551129.40862529317"/>
    <n v="67900"/>
    <n v="492800"/>
    <n v="58400"/>
    <n v="619100"/>
    <n v="0.72921083627797412"/>
    <n v="6.8334771354616047E-2"/>
    <n v="0.99970000000000003"/>
    <n v="0.98050000000000004"/>
    <n v="0.99650000000000005"/>
    <n v="0.94579999999999997"/>
    <n v="0.96040000000000003"/>
    <n v="0.94971499999999998"/>
    <n v="0.84288758965297927"/>
    <n v="503300"/>
    <n v="64500"/>
    <n v="567800"/>
    <n v="55400"/>
    <n v="623200"/>
    <n v="0.13650920736589273"/>
    <n v="-0.30663329161451813"/>
    <n v="7.5409836065573776E-2"/>
    <n v="0.72157393464605413"/>
  </r>
  <r>
    <n v="2025"/>
    <n v="18132241407"/>
    <n v="-1.3862943611198906"/>
    <n v="0.25"/>
    <n v="10943"/>
    <n v="6"/>
    <s v="RES"/>
    <n v="3093"/>
    <s v="YC2"/>
    <s v="R1"/>
    <n v="11"/>
    <n v="259"/>
    <s v="BG"/>
    <x v="2"/>
    <s v="GD"/>
    <x v="9"/>
    <n v="1921"/>
    <n v="1966"/>
    <n v="103"/>
    <n v="58"/>
    <n v="2"/>
    <n v="1348"/>
    <n v="504"/>
    <n v="0"/>
    <n v="1170"/>
    <n v="570"/>
    <n v="600"/>
    <n v="2452"/>
    <n v="2500"/>
    <n v="0"/>
    <m/>
    <s v="FD"/>
    <s v="G"/>
    <s v="N"/>
    <n v="0"/>
    <n v="2"/>
    <n v="0"/>
    <n v="1"/>
    <n v="1"/>
    <n v="10"/>
    <n v="0"/>
    <n v="0"/>
    <n v="0"/>
    <n v="0"/>
    <n v="444"/>
    <n v="286"/>
    <n v="100"/>
    <n v="100"/>
    <n v="375818"/>
    <n v="270589"/>
    <n v="650"/>
    <n v="365"/>
    <n v="285"/>
    <n v="0"/>
    <d v="2022-03-22T00:00:00"/>
    <s v="E035729"/>
    <n v="420000"/>
    <n v="411597"/>
    <s v="SWD"/>
    <n v="30"/>
    <s v="N"/>
    <s v="Y"/>
    <n v="404300"/>
    <n v="66200"/>
    <n v="338100"/>
    <n v="8403"/>
    <n v="0.9626190476190476"/>
    <n v="399238.05060955649"/>
    <n v="421719.08843517205"/>
    <n v="-22481.03782723"/>
    <n v="0"/>
    <n v="89850.625589999996"/>
    <n v="-43882.615305165229"/>
    <n v="29814.093161000001"/>
    <n v="197752.34721000001"/>
    <n v="-12936.644829000001"/>
    <n v="66602.886994196"/>
    <n v="22572.357121943998"/>
    <n v="0"/>
    <n v="34025.817438990001"/>
    <n v="37920.221052000001"/>
    <n v="0"/>
    <n v="399238.05060673482"/>
    <n v="8400"/>
    <n v="353300"/>
    <n v="46000"/>
    <n v="407700"/>
    <n v="0.97071428571428575"/>
    <n v="8.4095968340341335E-3"/>
    <n v="0.99970000000000003"/>
    <n v="1.0088999999999999"/>
    <n v="0.99650000000000005"/>
    <n v="0.98919999999999997"/>
    <n v="0.96040000000000003"/>
    <n v="0.94971499999999998"/>
    <n v="0.90709961275698836"/>
    <n v="375800"/>
    <n v="8000"/>
    <n v="383800"/>
    <n v="43700"/>
    <n v="427500"/>
    <n v="0.13516711032238982"/>
    <n v="-0.33987915407854985"/>
    <n v="5.7383131338115262E-2"/>
    <n v="0.96433086231611909"/>
  </r>
  <r>
    <n v="2025"/>
    <n v="18132341418"/>
    <n v="-0.96758402626170559"/>
    <n v="0.38"/>
    <n v="16400"/>
    <n v="6"/>
    <s v="RES"/>
    <n v="3031"/>
    <s v="YC2"/>
    <s v="R1"/>
    <n v="11"/>
    <n v="259"/>
    <s v="BG"/>
    <x v="0"/>
    <s v="GD"/>
    <x v="9"/>
    <n v="1920"/>
    <n v="1966"/>
    <n v="104"/>
    <n v="58"/>
    <n v="1"/>
    <n v="1680"/>
    <n v="0"/>
    <n v="0"/>
    <n v="1056"/>
    <n v="56"/>
    <n v="1000"/>
    <n v="2680"/>
    <n v="3000"/>
    <n v="0"/>
    <m/>
    <s v="FD"/>
    <s v="G"/>
    <s v="N"/>
    <n v="0"/>
    <n v="0"/>
    <n v="0"/>
    <n v="2"/>
    <n v="0"/>
    <n v="11"/>
    <n v="0"/>
    <n v="0"/>
    <n v="0"/>
    <n v="80"/>
    <n v="1102"/>
    <n v="0"/>
    <n v="100"/>
    <n v="100"/>
    <n v="316990"/>
    <n v="228233"/>
    <n v="580"/>
    <n v="365"/>
    <n v="215"/>
    <n v="0"/>
    <d v="2022-05-31T00:00:00"/>
    <s v="E036748"/>
    <n v="500000"/>
    <n v="491733"/>
    <s v="SWD"/>
    <n v="30"/>
    <s v="N"/>
    <s v="Y"/>
    <n v="421700"/>
    <n v="80800"/>
    <n v="340900"/>
    <n v="8267"/>
    <n v="0.84340000000000004"/>
    <n v="400403.227791955"/>
    <n v="423688.08763322851"/>
    <n v="-23284.859842870002"/>
    <n v="0"/>
    <n v="89850.625589999996"/>
    <n v="-30628.500548443946"/>
    <n v="21557.329055999999"/>
    <n v="197752.34721000001"/>
    <n v="-12936.644829000001"/>
    <n v="83006.565393359997"/>
    <n v="0"/>
    <n v="0"/>
    <n v="30710.481380832"/>
    <n v="41712.243157199999"/>
    <n v="2663.6412220800003"/>
    <n v="400403.227789158"/>
    <n v="8300"/>
    <n v="341200"/>
    <n v="59200"/>
    <n v="408700"/>
    <n v="0.81740000000000002"/>
    <n v="-3.0827602561062366E-2"/>
    <n v="0.99970000000000003"/>
    <n v="1.0067999999999999"/>
    <n v="0.99650000000000005"/>
    <n v="0.96179999999999999"/>
    <n v="0.96040000000000003"/>
    <n v="0.94971499999999998"/>
    <n v="0.88013791762113103"/>
    <n v="364500"/>
    <n v="7900"/>
    <n v="372400"/>
    <n v="56200"/>
    <n v="428600"/>
    <n v="9.2402464065708415E-2"/>
    <n v="-0.30445544554455445"/>
    <n v="1.6362342897794639E-2"/>
    <n v="0.8106302803142601"/>
  </r>
  <r>
    <n v="2025"/>
    <n v="18132331411"/>
    <n v="-1.4696759700589417"/>
    <n v="0.23"/>
    <n v="9861"/>
    <n v="6"/>
    <s v="RES"/>
    <n v="3032"/>
    <s v="YC2"/>
    <s v="R1"/>
    <n v="11"/>
    <n v="259"/>
    <s v="CO"/>
    <x v="2"/>
    <s v="VG"/>
    <x v="9"/>
    <n v="1920"/>
    <n v="1966"/>
    <n v="104"/>
    <n v="58"/>
    <n v="2"/>
    <n v="1070"/>
    <n v="644"/>
    <n v="0"/>
    <n v="1056"/>
    <n v="0"/>
    <n v="1056"/>
    <n v="2770"/>
    <n v="3000"/>
    <n v="0"/>
    <s v="S"/>
    <s v="FD"/>
    <s v="G"/>
    <s v="Y"/>
    <n v="0"/>
    <n v="0"/>
    <n v="1"/>
    <n v="2"/>
    <n v="1"/>
    <n v="10"/>
    <n v="0"/>
    <n v="0"/>
    <n v="0"/>
    <n v="324"/>
    <n v="0"/>
    <n v="0"/>
    <n v="100"/>
    <n v="100"/>
    <n v="376695"/>
    <n v="293822"/>
    <n v="265"/>
    <n v="265"/>
    <n v="0"/>
    <n v="0"/>
    <d v="2023-04-11T00:00:00"/>
    <s v="E039931"/>
    <n v="589900"/>
    <n v="589900"/>
    <s v="SWD"/>
    <n v="30"/>
    <s v="N"/>
    <s v="Y"/>
    <n v="426300"/>
    <n v="63300"/>
    <n v="363000"/>
    <n v="0"/>
    <n v="0.72266485845058481"/>
    <n v="487446.91427442769"/>
    <n v="506144.83636435849"/>
    <n v="-18697.922091050001"/>
    <n v="0"/>
    <n v="89850.625589999996"/>
    <n v="-46522.028095997222"/>
    <n v="29814.093161000001"/>
    <n v="284810.60806"/>
    <n v="-12936.644829000001"/>
    <n v="52867.276768390002"/>
    <n v="28842.456322483999"/>
    <n v="0"/>
    <n v="30710.481380832"/>
    <n v="37920.221052000001"/>
    <n v="10787.746949424001"/>
    <n v="487446.91426808271"/>
    <n v="0"/>
    <n v="444100"/>
    <n v="43300"/>
    <n v="487400"/>
    <n v="0.82624173588743854"/>
    <n v="0.14332629603565564"/>
    <n v="0.99970000000000003"/>
    <n v="1.0088999999999999"/>
    <n v="1.0158"/>
    <n v="0.96179999999999999"/>
    <n v="0.96040000000000003"/>
    <n v="0.94971499999999998"/>
    <n v="0.89905560321310196"/>
    <n v="462800"/>
    <n v="0"/>
    <n v="462800"/>
    <n v="41100"/>
    <n v="503900"/>
    <n v="0.27493112947658405"/>
    <n v="-0.35071090047393366"/>
    <n v="0.18203143326296037"/>
    <n v="0.82251581269528729"/>
  </r>
  <r>
    <n v="2025"/>
    <n v="18132331411"/>
    <n v="-1.4696759700589417"/>
    <n v="0.23"/>
    <n v="9861"/>
    <n v="6"/>
    <s v="RES"/>
    <n v="3032"/>
    <s v="YC2"/>
    <s v="R1"/>
    <n v="11"/>
    <n v="259"/>
    <s v="CO"/>
    <x v="2"/>
    <s v="VG"/>
    <x v="9"/>
    <n v="1920"/>
    <n v="1966"/>
    <n v="104"/>
    <n v="58"/>
    <n v="2"/>
    <n v="1070"/>
    <n v="644"/>
    <n v="0"/>
    <n v="1056"/>
    <n v="0"/>
    <n v="1056"/>
    <n v="2770"/>
    <n v="3000"/>
    <n v="0"/>
    <s v="S"/>
    <s v="FD"/>
    <s v="G"/>
    <s v="Y"/>
    <n v="0"/>
    <n v="0"/>
    <n v="1"/>
    <n v="2"/>
    <n v="1"/>
    <n v="10"/>
    <n v="0"/>
    <n v="0"/>
    <n v="0"/>
    <n v="324"/>
    <n v="0"/>
    <n v="0"/>
    <n v="100"/>
    <n v="100"/>
    <n v="376695"/>
    <n v="293822"/>
    <n v="522"/>
    <n v="365"/>
    <n v="157"/>
    <n v="0"/>
    <d v="2022-07-28T00:00:00"/>
    <s v="E037507"/>
    <n v="575000"/>
    <n v="575000"/>
    <s v="SWD"/>
    <n v="30"/>
    <s v="N"/>
    <s v="Y"/>
    <n v="426300"/>
    <n v="63300"/>
    <n v="363000"/>
    <n v="0"/>
    <n v="0.74139130434782607"/>
    <n v="482193.95256725419"/>
    <n v="506144.83636435849"/>
    <n v="-23950.883798686002"/>
    <n v="0"/>
    <n v="89850.625589999996"/>
    <n v="-46522.028095997222"/>
    <n v="29814.093161000001"/>
    <n v="284810.60806"/>
    <n v="-12936.644829000001"/>
    <n v="52867.276768390002"/>
    <n v="28842.456322483999"/>
    <n v="0"/>
    <n v="30710.481380832"/>
    <n v="37920.221052000001"/>
    <n v="10787.746949424001"/>
    <n v="482193.95256044669"/>
    <n v="0"/>
    <n v="438900"/>
    <n v="43300"/>
    <n v="482200"/>
    <n v="0.83860869565217389"/>
    <n v="0.13112831339432324"/>
    <n v="0.99970000000000003"/>
    <n v="1.0088999999999999"/>
    <n v="1.0158"/>
    <n v="0.96179999999999999"/>
    <n v="0.96040000000000003"/>
    <n v="0.94971499999999998"/>
    <n v="0.89905560321310196"/>
    <n v="462800"/>
    <n v="0"/>
    <n v="462800"/>
    <n v="41100"/>
    <n v="503900"/>
    <n v="0.27493112947658405"/>
    <n v="-0.35071090047393366"/>
    <n v="0.18203143326296037"/>
    <n v="0.83469411513272007"/>
  </r>
  <r>
    <n v="2025"/>
    <n v="18132331514"/>
    <n v="-1.8325814637483102"/>
    <n v="0.16"/>
    <n v="0"/>
    <n v="6"/>
    <s v="RES"/>
    <n v="3032"/>
    <s v="YC2"/>
    <s v="R1"/>
    <n v="11"/>
    <n v="259"/>
    <s v="CO"/>
    <x v="0"/>
    <s v="GD"/>
    <x v="9"/>
    <n v="1920"/>
    <n v="1985"/>
    <n v="104"/>
    <n v="39"/>
    <n v="2"/>
    <n v="1048"/>
    <n v="390"/>
    <n v="0"/>
    <n v="1048"/>
    <n v="0"/>
    <n v="1048"/>
    <n v="2486"/>
    <n v="2500"/>
    <n v="0"/>
    <m/>
    <s v="FD"/>
    <s v="G"/>
    <s v="Y"/>
    <n v="0"/>
    <n v="1"/>
    <n v="0"/>
    <n v="1"/>
    <n v="0"/>
    <n v="10"/>
    <n v="0"/>
    <n v="0"/>
    <n v="0"/>
    <n v="0"/>
    <n v="0"/>
    <n v="0"/>
    <n v="100"/>
    <n v="100"/>
    <n v="281471"/>
    <n v="244880"/>
    <n v="759"/>
    <n v="365"/>
    <n v="365"/>
    <n v="29"/>
    <d v="2021-12-03T00:00:00"/>
    <s v="E034349"/>
    <n v="388000"/>
    <n v="388000"/>
    <s v="SWD"/>
    <n v="30"/>
    <s v="N"/>
    <s v="Y"/>
    <n v="357900"/>
    <n v="50600"/>
    <n v="307300"/>
    <n v="0"/>
    <n v="0.92242268041237119"/>
    <n v="354656.58583945886"/>
    <n v="380096.89960626431"/>
    <n v="-25440.313769170003"/>
    <n v="0"/>
    <n v="89850.625589999996"/>
    <n v="-58009.662049032086"/>
    <n v="21557.329055999999"/>
    <n v="197752.34721000001"/>
    <n v="-8698.7784195000004"/>
    <n v="51780.286031096002"/>
    <n v="17466.70491579"/>
    <n v="0"/>
    <n v="30477.826218856"/>
    <n v="37920.221052000001"/>
    <n v="0"/>
    <n v="354656.58583603986"/>
    <n v="0"/>
    <n v="322800"/>
    <n v="31800"/>
    <n v="354600"/>
    <n v="0.91391752577319585"/>
    <n v="-9.2204526404023462E-3"/>
    <n v="0.99970000000000003"/>
    <n v="1.0067999999999999"/>
    <n v="0.99650000000000005"/>
    <n v="0.98919999999999997"/>
    <n v="0.96040000000000003"/>
    <n v="0.94971499999999998"/>
    <n v="0.90521150770515979"/>
    <n v="348300"/>
    <n v="0"/>
    <n v="348300"/>
    <n v="30200"/>
    <n v="378500"/>
    <n v="0.13342011064106737"/>
    <n v="-0.40316205533596838"/>
    <n v="5.7557977088572229E-2"/>
    <n v="0.9099476449248195"/>
  </r>
  <r>
    <n v="2025"/>
    <n v="18132331040"/>
    <n v="-1.8325814637483102"/>
    <n v="0.16"/>
    <n v="0"/>
    <n v="6"/>
    <s v="RES"/>
    <n v="3032"/>
    <s v="YC2"/>
    <s v="R1"/>
    <n v="11"/>
    <n v="259"/>
    <s v="BG"/>
    <x v="1"/>
    <s v="GD"/>
    <x v="9"/>
    <n v="1920"/>
    <n v="1966"/>
    <n v="104"/>
    <n v="58"/>
    <n v="1"/>
    <n v="1084"/>
    <n v="0"/>
    <n v="0"/>
    <n v="1064"/>
    <n v="0"/>
    <n v="1064"/>
    <n v="2148"/>
    <n v="2500"/>
    <n v="0"/>
    <m/>
    <s v="HP"/>
    <s v="E"/>
    <m/>
    <n v="0"/>
    <n v="1"/>
    <n v="0"/>
    <n v="1"/>
    <n v="0"/>
    <n v="9"/>
    <n v="0"/>
    <n v="0"/>
    <n v="0"/>
    <n v="0"/>
    <n v="252"/>
    <n v="252"/>
    <n v="100"/>
    <n v="100"/>
    <n v="344604"/>
    <n v="248115"/>
    <n v="745"/>
    <n v="365"/>
    <n v="365"/>
    <n v="15"/>
    <d v="2021-12-17T00:00:00"/>
    <s v="E034499"/>
    <n v="394500"/>
    <n v="388476"/>
    <s v="SWD"/>
    <n v="30"/>
    <s v="N"/>
    <s v="Y"/>
    <n v="364500"/>
    <n v="50600"/>
    <n v="313900"/>
    <n v="6024"/>
    <n v="0.92395437262357416"/>
    <n v="355839.82786325197"/>
    <n v="379408.03764980962"/>
    <n v="-23568.209788570002"/>
    <n v="0"/>
    <n v="89850.625589999996"/>
    <n v="-58009.662049032086"/>
    <n v="44121.038090000002"/>
    <n v="197752.34721000001"/>
    <n v="-12936.644829000001"/>
    <n v="53558.998146668004"/>
    <n v="0"/>
    <n v="0"/>
    <n v="30943.136542807999"/>
    <n v="34128.198946800003"/>
    <n v="0"/>
    <n v="355839.82785967394"/>
    <n v="6000"/>
    <n v="324000"/>
    <n v="31800"/>
    <n v="361800"/>
    <n v="0.91711026615969582"/>
    <n v="-7.4074074074074077E-3"/>
    <n v="0.99970000000000003"/>
    <n v="0.98050000000000004"/>
    <n v="0.99650000000000005"/>
    <n v="0.98919999999999997"/>
    <n v="0.96040000000000003"/>
    <n v="0.94971499999999998"/>
    <n v="0.88156523967511857"/>
    <n v="347600"/>
    <n v="5700"/>
    <n v="353300"/>
    <n v="30200"/>
    <n v="383500"/>
    <n v="0.12551768079006054"/>
    <n v="-0.40316205533596838"/>
    <n v="5.2126200274348423E-2"/>
    <n v="0.91237462664494295"/>
  </r>
  <r>
    <n v="2025"/>
    <n v="18132212013"/>
    <n v="-0.86750056770472306"/>
    <n v="0.42"/>
    <n v="18135"/>
    <n v="6"/>
    <s v="RES"/>
    <n v="3032"/>
    <s v="YC2"/>
    <s v="R1"/>
    <n v="11"/>
    <n v="259"/>
    <s v="RN"/>
    <x v="1"/>
    <s v="GD"/>
    <x v="9"/>
    <n v="1920"/>
    <n v="1966"/>
    <n v="104"/>
    <n v="58"/>
    <n v="1"/>
    <n v="1748"/>
    <n v="0"/>
    <n v="0"/>
    <n v="0"/>
    <n v="0"/>
    <n v="0"/>
    <n v="1748"/>
    <n v="2000"/>
    <n v="0"/>
    <m/>
    <s v="FD"/>
    <s v="G"/>
    <s v="Y"/>
    <n v="0"/>
    <n v="1"/>
    <n v="0"/>
    <n v="1"/>
    <n v="0"/>
    <n v="9"/>
    <n v="0"/>
    <n v="0"/>
    <n v="0"/>
    <n v="0"/>
    <n v="0"/>
    <n v="0"/>
    <n v="100"/>
    <n v="100"/>
    <n v="335762"/>
    <n v="241749"/>
    <n v="845"/>
    <n v="365"/>
    <n v="365"/>
    <n v="115"/>
    <d v="2021-09-08T00:00:00"/>
    <s v="E033032"/>
    <n v="415250"/>
    <n v="391458"/>
    <s v="SWD"/>
    <n v="30"/>
    <s v="N"/>
    <s v="Y"/>
    <n v="404700"/>
    <n v="84300"/>
    <n v="320400"/>
    <n v="23792"/>
    <n v="0.97459361830222757"/>
    <n v="374881.1417538157"/>
    <n v="411821.52282785747"/>
    <n v="-36940.381078570004"/>
    <n v="0"/>
    <n v="89850.625589999996"/>
    <n v="-27460.397125792362"/>
    <n v="44121.038090000002"/>
    <n v="197752.34721000001"/>
    <n v="-12936.644829000001"/>
    <n v="86366.354944995997"/>
    <n v="0"/>
    <n v="0"/>
    <n v="0"/>
    <n v="34128.198946800003"/>
    <n v="0"/>
    <n v="374881.1417484337"/>
    <n v="23800"/>
    <n v="312500"/>
    <n v="62400"/>
    <n v="398700"/>
    <n v="0.96014449127031909"/>
    <n v="-1.4825796886582653E-2"/>
    <n v="0.99970000000000003"/>
    <n v="0.98050000000000004"/>
    <n v="0.99650000000000005"/>
    <n v="1.0093000000000001"/>
    <n v="0.96040000000000003"/>
    <n v="0.94971499999999998"/>
    <n v="0.89947816053790663"/>
    <n v="349400"/>
    <n v="22600"/>
    <n v="372000"/>
    <n v="59300"/>
    <n v="431300"/>
    <n v="0.16104868913857678"/>
    <n v="-0.29655990510083036"/>
    <n v="6.5727699530516437E-2"/>
    <n v="0.94969203834179405"/>
  </r>
  <r>
    <n v="2025"/>
    <n v="18132214043"/>
    <n v="-1.1394342831883648"/>
    <n v="0.32"/>
    <n v="13772"/>
    <n v="6"/>
    <s v="RES"/>
    <n v="3033"/>
    <s v="YC2"/>
    <s v="R1"/>
    <n v="11"/>
    <n v="259"/>
    <s v="FH"/>
    <x v="0"/>
    <s v="AV"/>
    <x v="9"/>
    <n v="1920"/>
    <n v="1966"/>
    <n v="104"/>
    <n v="58"/>
    <n v="2"/>
    <n v="972"/>
    <n v="780"/>
    <n v="0"/>
    <n v="0"/>
    <n v="0"/>
    <n v="0"/>
    <n v="1752"/>
    <n v="2000"/>
    <n v="0"/>
    <m/>
    <s v="FD"/>
    <s v="E"/>
    <s v="Y"/>
    <n v="0"/>
    <n v="0"/>
    <n v="0"/>
    <n v="0"/>
    <n v="0"/>
    <n v="9"/>
    <n v="0"/>
    <n v="0"/>
    <n v="220"/>
    <n v="432"/>
    <n v="0"/>
    <n v="432"/>
    <n v="100"/>
    <n v="100"/>
    <n v="242038"/>
    <n v="152484"/>
    <n v="881"/>
    <n v="365"/>
    <n v="365"/>
    <n v="151"/>
    <d v="2021-08-03T00:00:00"/>
    <s v="E032494"/>
    <n v="325000"/>
    <n v="325000"/>
    <s v="SWD"/>
    <n v="30"/>
    <s v="N"/>
    <s v="Y"/>
    <n v="325300"/>
    <n v="74800"/>
    <n v="250500"/>
    <n v="0"/>
    <n v="1.000923076923077"/>
    <n v="312591.29436955333"/>
    <n v="354345.6571070893"/>
    <n v="-41754.362742969999"/>
    <n v="0"/>
    <n v="89850.625589999996"/>
    <n v="-36068.354396449467"/>
    <n v="21557.329055999999"/>
    <n v="160472.20319"/>
    <n v="-12936.644829000001"/>
    <n v="48025.227120444004"/>
    <n v="34933.40983158"/>
    <n v="0"/>
    <n v="0"/>
    <n v="34128.198946800003"/>
    <n v="14383.662599232001"/>
    <n v="312591.29436563654"/>
    <n v="0"/>
    <n v="258800"/>
    <n v="53800"/>
    <n v="312600"/>
    <n v="0.9618461538461538"/>
    <n v="-3.904088533661236E-2"/>
    <n v="0.99970000000000003"/>
    <n v="1.0067999999999999"/>
    <n v="0.99729999999999996"/>
    <n v="1.0093000000000001"/>
    <n v="0.96040000000000003"/>
    <n v="0.94971499999999998"/>
    <n v="0.92434638683335013"/>
    <n v="300600"/>
    <n v="0"/>
    <n v="300600"/>
    <n v="51100"/>
    <n v="351700"/>
    <n v="0.2"/>
    <n v="-0.31684491978609625"/>
    <n v="8.1155856132800491E-2"/>
    <n v="0.95367888386778465"/>
  </r>
  <r>
    <n v="2025"/>
    <n v="18132331405"/>
    <n v="-1.6607312068216509"/>
    <n v="0.19"/>
    <n v="8423"/>
    <n v="6"/>
    <s v="RES"/>
    <n v="3032"/>
    <s v="YC2"/>
    <s v="R1"/>
    <n v="11"/>
    <n v="259"/>
    <s v="FH"/>
    <x v="2"/>
    <s v="VG"/>
    <x v="9"/>
    <n v="1920"/>
    <n v="1966"/>
    <n v="104"/>
    <n v="58"/>
    <n v="2"/>
    <n v="1232"/>
    <n v="672"/>
    <n v="0"/>
    <n v="540"/>
    <n v="540"/>
    <n v="0"/>
    <n v="1904"/>
    <n v="2000"/>
    <n v="0"/>
    <m/>
    <s v="FD"/>
    <s v="G"/>
    <s v="Y"/>
    <n v="0"/>
    <n v="1"/>
    <n v="0"/>
    <n v="1"/>
    <n v="1"/>
    <n v="10"/>
    <n v="0"/>
    <n v="0"/>
    <n v="0"/>
    <n v="0"/>
    <n v="0"/>
    <n v="0"/>
    <n v="100"/>
    <n v="100"/>
    <n v="330475"/>
    <n v="257771"/>
    <n v="566"/>
    <n v="365"/>
    <n v="201"/>
    <n v="0"/>
    <d v="2022-06-14T00:00:00"/>
    <s v="E036877"/>
    <n v="501000"/>
    <n v="457604"/>
    <s v="SWD"/>
    <n v="30"/>
    <s v="N"/>
    <s v="Y"/>
    <n v="439400"/>
    <n v="56600"/>
    <n v="382800"/>
    <n v="43396"/>
    <n v="0.87704590818363271"/>
    <n v="460115.65147810202"/>
    <n v="483561.27572250704"/>
    <n v="-23445.624245998002"/>
    <n v="0"/>
    <n v="89850.625589999996"/>
    <n v="-52569.808201026557"/>
    <n v="29814.093161000001"/>
    <n v="284810.60806"/>
    <n v="-12936.644829000001"/>
    <n v="60871.481288464005"/>
    <n v="30096.476162592"/>
    <n v="0"/>
    <n v="15704.223433379999"/>
    <n v="37920.221052000001"/>
    <n v="0"/>
    <n v="460115.65147141146"/>
    <n v="43400"/>
    <n v="422800"/>
    <n v="37300"/>
    <n v="503500"/>
    <n v="1.0049900199600799"/>
    <n v="0.14588074647246244"/>
    <n v="0.99970000000000003"/>
    <n v="1.0088999999999999"/>
    <n v="1.0158"/>
    <n v="1.0093000000000001"/>
    <n v="0.96040000000000003"/>
    <n v="0.94971499999999998"/>
    <n v="0.94345687286648372"/>
    <n v="446300"/>
    <n v="41200"/>
    <n v="487500"/>
    <n v="35400"/>
    <n v="522900"/>
    <n v="0.27351097178683387"/>
    <n v="-0.37455830388692579"/>
    <n v="0.19003186162949476"/>
    <n v="0.99691492166467466"/>
  </r>
  <r>
    <n v="2025"/>
    <n v="18132331054"/>
    <n v="-1.2378743560016174"/>
    <n v="0.28999999999999998"/>
    <n v="12505"/>
    <n v="6"/>
    <s v="RES"/>
    <n v="3033"/>
    <s v="YC2"/>
    <s v="R1"/>
    <n v="11"/>
    <n v="259"/>
    <s v="BG"/>
    <x v="0"/>
    <s v="GD"/>
    <x v="9"/>
    <n v="1920"/>
    <n v="1966"/>
    <n v="104"/>
    <n v="58"/>
    <n v="2"/>
    <n v="1280"/>
    <n v="510"/>
    <n v="0"/>
    <n v="630"/>
    <n v="230"/>
    <n v="400"/>
    <n v="2190"/>
    <n v="2500"/>
    <n v="0"/>
    <m/>
    <s v="FD"/>
    <s v="G"/>
    <s v="Y"/>
    <n v="0"/>
    <n v="1"/>
    <n v="0"/>
    <n v="1"/>
    <n v="0"/>
    <n v="10"/>
    <n v="0"/>
    <n v="0"/>
    <n v="0"/>
    <n v="108"/>
    <n v="0"/>
    <n v="0"/>
    <n v="100"/>
    <n v="100"/>
    <n v="294590"/>
    <n v="212105"/>
    <n v="318"/>
    <n v="318"/>
    <n v="0"/>
    <n v="0"/>
    <d v="2023-02-17T00:00:00"/>
    <s v="E039448"/>
    <n v="370000"/>
    <n v="360298"/>
    <s v="SWD"/>
    <n v="30"/>
    <s v="N"/>
    <s v="Y"/>
    <n v="389100"/>
    <n v="71400"/>
    <n v="317700"/>
    <n v="9702"/>
    <n v="1.0516216216216216"/>
    <n v="380523.6172543646"/>
    <n v="402961.12376228155"/>
    <n v="-22437.506509260002"/>
    <n v="0"/>
    <n v="89850.625589999996"/>
    <n v="-39184.437074869042"/>
    <n v="21557.329055999999"/>
    <n v="197752.34721000001"/>
    <n v="-12936.644829000001"/>
    <n v="63243.09744256"/>
    <n v="22841.07565911"/>
    <n v="0"/>
    <n v="18321.594005610001"/>
    <n v="37920.221052000001"/>
    <n v="3595.9156498080001"/>
    <n v="380523.61725195893"/>
    <n v="9700"/>
    <n v="329900"/>
    <n v="50700"/>
    <n v="390300"/>
    <n v="1.0548648648648649"/>
    <n v="3.0840400925212026E-3"/>
    <n v="0.99970000000000003"/>
    <n v="1.0067999999999999"/>
    <n v="0.99650000000000005"/>
    <n v="0.98919999999999997"/>
    <n v="0.96040000000000003"/>
    <n v="0.94971499999999998"/>
    <n v="0.90521150770515979"/>
    <n v="352300"/>
    <n v="9200"/>
    <n v="361500"/>
    <n v="48100"/>
    <n v="409600"/>
    <n v="0.13786591123701605"/>
    <n v="-0.32633053221288516"/>
    <n v="5.268568491390388E-2"/>
    <n v="1.0463851175425405"/>
  </r>
  <r>
    <n v="2025"/>
    <n v="18132331436"/>
    <n v="-1.8971199848858813"/>
    <n v="0.15"/>
    <n v="0"/>
    <n v="6"/>
    <s v="RES"/>
    <n v="3032"/>
    <s v="YC2"/>
    <s v="R1"/>
    <n v="11"/>
    <n v="259"/>
    <s v="BG"/>
    <x v="0"/>
    <s v="GD"/>
    <x v="9"/>
    <n v="1920"/>
    <n v="1966"/>
    <n v="104"/>
    <n v="58"/>
    <n v="1"/>
    <n v="952"/>
    <n v="0"/>
    <n v="0"/>
    <n v="392"/>
    <n v="0"/>
    <n v="392"/>
    <n v="1344"/>
    <n v="1500"/>
    <n v="0"/>
    <m/>
    <s v="FD"/>
    <s v="G"/>
    <s v="Y"/>
    <n v="0"/>
    <n v="2"/>
    <n v="0"/>
    <n v="0"/>
    <n v="0"/>
    <n v="5"/>
    <n v="0"/>
    <n v="0"/>
    <n v="0"/>
    <n v="0"/>
    <n v="0"/>
    <n v="0"/>
    <n v="100"/>
    <n v="100"/>
    <n v="192824"/>
    <n v="138833"/>
    <n v="585"/>
    <n v="365"/>
    <n v="220"/>
    <n v="0"/>
    <d v="2022-05-26T00:00:00"/>
    <s v="E036733"/>
    <n v="267000"/>
    <n v="264616"/>
    <s v="SWD"/>
    <n v="30"/>
    <s v="N"/>
    <s v="Y"/>
    <n v="293300"/>
    <n v="48400"/>
    <n v="244900"/>
    <n v="2384"/>
    <n v="1.098501872659176"/>
    <n v="290340.87609456363"/>
    <n v="313568.3200775758"/>
    <n v="-23227.443984609999"/>
    <n v="0"/>
    <n v="89850.625589999996"/>
    <n v="-60052.604136134301"/>
    <n v="21557.329055999999"/>
    <n v="197752.34721000001"/>
    <n v="-12936.644829000001"/>
    <n v="47037.053722903998"/>
    <n v="0"/>
    <n v="0"/>
    <n v="11400.102936824"/>
    <n v="18960.110526"/>
    <n v="0"/>
    <n v="290340.87609198369"/>
    <n v="2400"/>
    <n v="260500"/>
    <n v="29800"/>
    <n v="292700"/>
    <n v="1.0962546816479402"/>
    <n v="-2.0456870098874871E-3"/>
    <n v="0.99970000000000003"/>
    <n v="1.0067999999999999"/>
    <n v="0.99650000000000005"/>
    <n v="1.0157"/>
    <n v="0.96040000000000003"/>
    <n v="0.94971499999999998"/>
    <n v="0.92946151271343602"/>
    <n v="283800"/>
    <n v="2300"/>
    <n v="286100"/>
    <n v="28300"/>
    <n v="314400"/>
    <n v="0.16823193140057166"/>
    <n v="-0.41528925619834711"/>
    <n v="7.1939993181043299E-2"/>
    <n v="1.0905339176606366"/>
  </r>
  <r>
    <n v="2025"/>
    <n v="18132331438"/>
    <n v="-1.8971199848858813"/>
    <n v="0.15"/>
    <n v="0"/>
    <n v="6"/>
    <s v="RES"/>
    <n v="3033"/>
    <s v="YC2"/>
    <s v="R1"/>
    <n v="11"/>
    <n v="259"/>
    <s v="BG"/>
    <x v="0"/>
    <s v="GD"/>
    <x v="9"/>
    <n v="1920"/>
    <n v="1966"/>
    <n v="104"/>
    <n v="58"/>
    <n v="1"/>
    <n v="1294"/>
    <n v="420"/>
    <n v="320"/>
    <n v="320"/>
    <n v="0"/>
    <n v="320"/>
    <n v="2354"/>
    <n v="2500"/>
    <n v="2"/>
    <m/>
    <s v="FD"/>
    <s v="G"/>
    <m/>
    <n v="0"/>
    <n v="1"/>
    <n v="1"/>
    <n v="1"/>
    <n v="0"/>
    <n v="8"/>
    <n v="404"/>
    <n v="0"/>
    <n v="0"/>
    <n v="0"/>
    <n v="112"/>
    <n v="112"/>
    <n v="100"/>
    <n v="100"/>
    <n v="321940"/>
    <n v="231797"/>
    <n v="833"/>
    <n v="365"/>
    <n v="365"/>
    <n v="103"/>
    <d v="2021-09-20T00:00:00"/>
    <s v="E033209"/>
    <n v="320000"/>
    <n v="308486"/>
    <s v="SWD"/>
    <n v="30"/>
    <s v="N"/>
    <s v="Y"/>
    <n v="362200"/>
    <n v="48400"/>
    <n v="313800"/>
    <n v="11514"/>
    <n v="1.131875"/>
    <n v="344053.12685184524"/>
    <n v="379388.84737138887"/>
    <n v="-35335.720523770004"/>
    <n v="0"/>
    <n v="89850.625589999996"/>
    <n v="-60052.604136134301"/>
    <n v="21557.329055999999"/>
    <n v="197752.34721000001"/>
    <n v="-12936.644829000001"/>
    <n v="63934.818820838002"/>
    <n v="18810.297601620001"/>
    <n v="20830.29473632"/>
    <n v="9306.20647904"/>
    <n v="30336.176841600001"/>
    <n v="0"/>
    <n v="344053.12684651365"/>
    <n v="11500"/>
    <n v="314300"/>
    <n v="29800"/>
    <n v="355600"/>
    <n v="1.1112500000000001"/>
    <n v="-1.8221976808393152E-2"/>
    <n v="0.99970000000000003"/>
    <n v="1.0067999999999999"/>
    <n v="0.99650000000000005"/>
    <n v="0.98919999999999997"/>
    <n v="0.96040000000000003"/>
    <n v="0.94971499999999998"/>
    <n v="0.90521150770515979"/>
    <n v="349600"/>
    <n v="10900"/>
    <n v="360500"/>
    <n v="28300"/>
    <n v="388800"/>
    <n v="0.14882090503505419"/>
    <n v="-0.41528925619834711"/>
    <n v="7.3440088348978472E-2"/>
    <n v="1.1045758733632187"/>
  </r>
  <r>
    <n v="2025"/>
    <n v="18132324485"/>
    <n v="-1.5141277326297755"/>
    <n v="0.22"/>
    <n v="0"/>
    <n v="6"/>
    <s v="RES"/>
    <n v="3033"/>
    <s v="YC2"/>
    <s v="R1"/>
    <n v="11"/>
    <n v="259"/>
    <s v="FH"/>
    <x v="0"/>
    <s v="AV"/>
    <x v="9"/>
    <n v="1920"/>
    <n v="1966"/>
    <n v="104"/>
    <n v="58"/>
    <n v="2"/>
    <n v="1349"/>
    <n v="500"/>
    <n v="0"/>
    <n v="485"/>
    <n v="485"/>
    <n v="0"/>
    <n v="1849"/>
    <n v="2000"/>
    <n v="0"/>
    <m/>
    <s v="FD"/>
    <s v="G"/>
    <m/>
    <n v="0"/>
    <n v="0"/>
    <n v="1"/>
    <n v="0"/>
    <n v="1"/>
    <n v="7"/>
    <n v="0"/>
    <n v="0"/>
    <n v="0"/>
    <n v="0"/>
    <n v="248"/>
    <n v="168"/>
    <n v="100"/>
    <n v="100"/>
    <n v="263670"/>
    <n v="166112"/>
    <n v="340"/>
    <n v="340"/>
    <n v="0"/>
    <n v="0"/>
    <d v="2023-01-26T00:00:00"/>
    <s v="E039318"/>
    <n v="290000"/>
    <n v="283214"/>
    <s v="SWD"/>
    <n v="30"/>
    <s v="N"/>
    <s v="Y"/>
    <n v="334700"/>
    <n v="61700"/>
    <n v="273000"/>
    <n v="6786"/>
    <n v="1.1541379310344828"/>
    <n v="316718.97563999193"/>
    <n v="340708.76247235597"/>
    <n v="-23989.786833800001"/>
    <n v="0"/>
    <n v="89850.625589999996"/>
    <n v="-47929.131559187132"/>
    <n v="21557.329055999999"/>
    <n v="160472.20319"/>
    <n v="-12936.644829000001"/>
    <n v="66652.295664072997"/>
    <n v="22393.2114305"/>
    <n v="0"/>
    <n v="14104.719194795"/>
    <n v="26544.1547364"/>
    <n v="0"/>
    <n v="316718.97563978087"/>
    <n v="6800"/>
    <n v="274800"/>
    <n v="41900"/>
    <n v="323500"/>
    <n v="1.1155172413793104"/>
    <n v="-3.3462802509710191E-2"/>
    <n v="0.99970000000000003"/>
    <n v="1.0067999999999999"/>
    <n v="0.99729999999999996"/>
    <n v="1.0093000000000001"/>
    <n v="0.96040000000000003"/>
    <n v="0.94971499999999998"/>
    <n v="0.92434638683335013"/>
    <n v="298800"/>
    <n v="6400"/>
    <n v="305200"/>
    <n v="39800"/>
    <n v="345000"/>
    <n v="0.11794871794871795"/>
    <n v="-0.35494327390599678"/>
    <n v="3.0773827308037047E-2"/>
    <n v="1.1069317695386205"/>
  </r>
  <r>
    <n v="2025"/>
    <n v="18132344473"/>
    <n v="-1.8971199848858813"/>
    <n v="0.15"/>
    <n v="0"/>
    <n v="6"/>
    <s v="RES"/>
    <s v="YC2"/>
    <s v="YC2"/>
    <s v="R1"/>
    <n v="11"/>
    <n v="259"/>
    <s v="CO"/>
    <x v="0"/>
    <s v="GD"/>
    <x v="9"/>
    <n v="1920"/>
    <n v="1966"/>
    <n v="104"/>
    <n v="58"/>
    <n v="1"/>
    <n v="1320"/>
    <n v="0"/>
    <n v="0"/>
    <n v="1320"/>
    <n v="330"/>
    <n v="990"/>
    <n v="2310"/>
    <n v="2500"/>
    <n v="0"/>
    <m/>
    <s v="HP"/>
    <s v="E"/>
    <m/>
    <n v="0"/>
    <n v="1"/>
    <n v="0"/>
    <n v="0"/>
    <n v="0"/>
    <n v="12"/>
    <n v="0"/>
    <n v="0"/>
    <n v="0"/>
    <n v="0"/>
    <n v="0"/>
    <n v="0"/>
    <n v="100"/>
    <n v="100"/>
    <n v="274926"/>
    <n v="173203"/>
    <n v="145"/>
    <n v="145"/>
    <n v="0"/>
    <n v="0"/>
    <d v="2023-08-09T00:00:00"/>
    <s v="E041172"/>
    <n v="345000"/>
    <n v="334973"/>
    <s v="SWD"/>
    <n v="30"/>
    <s v="N"/>
    <s v="Y"/>
    <n v="329400"/>
    <n v="48400"/>
    <n v="281000"/>
    <n v="10027"/>
    <n v="0.95478260869565212"/>
    <n v="375051.92561645096"/>
    <n v="385282.86411848851"/>
    <n v="-10230.93850265"/>
    <n v="0"/>
    <n v="89850.625589999996"/>
    <n v="-60052.604136134301"/>
    <n v="21557.329055999999"/>
    <n v="197752.34721000001"/>
    <n v="-12936.644829000001"/>
    <n v="65219.444237640004"/>
    <n v="0"/>
    <n v="0"/>
    <n v="38388.101726039997"/>
    <n v="45504.265262400004"/>
    <n v="0"/>
    <n v="375051.92561429576"/>
    <n v="10000"/>
    <n v="345300"/>
    <n v="29800"/>
    <n v="385100"/>
    <n v="1.116231884057971"/>
    <n v="0.16909532483302975"/>
    <n v="0.99970000000000003"/>
    <n v="1.0067999999999999"/>
    <n v="0.99650000000000005"/>
    <n v="0.98919999999999997"/>
    <n v="0.96040000000000003"/>
    <n v="0.94971499999999998"/>
    <n v="0.90521150770515979"/>
    <n v="355500"/>
    <n v="9500"/>
    <n v="365000"/>
    <n v="28300"/>
    <n v="393300"/>
    <n v="0.29893238434163699"/>
    <n v="-0.41528925619834711"/>
    <n v="0.19398907103825136"/>
    <n v="1.1103451057894203"/>
  </r>
  <r>
    <n v="2025"/>
    <n v="18132324476"/>
    <n v="-1.8325814637483102"/>
    <n v="0.16"/>
    <n v="0"/>
    <n v="6"/>
    <s v="RES"/>
    <n v="3033"/>
    <s v="YC2"/>
    <s v="R1"/>
    <n v="11"/>
    <n v="259"/>
    <s v="TD"/>
    <x v="2"/>
    <s v="AV"/>
    <x v="9"/>
    <n v="1920"/>
    <n v="1966"/>
    <n v="104"/>
    <n v="58"/>
    <n v="1"/>
    <n v="1194"/>
    <n v="0"/>
    <n v="0"/>
    <n v="1194"/>
    <n v="0"/>
    <n v="1194"/>
    <n v="2388"/>
    <n v="2500"/>
    <n v="1"/>
    <m/>
    <s v="FD"/>
    <s v="G"/>
    <s v="Y"/>
    <n v="0"/>
    <n v="1"/>
    <n v="0"/>
    <n v="1"/>
    <n v="0"/>
    <n v="8"/>
    <n v="240"/>
    <n v="0"/>
    <n v="0"/>
    <n v="0"/>
    <n v="302"/>
    <n v="0"/>
    <n v="100"/>
    <n v="100"/>
    <n v="319537"/>
    <n v="201308"/>
    <n v="355"/>
    <n v="355"/>
    <n v="0"/>
    <n v="0"/>
    <d v="2023-01-11T00:00:00"/>
    <s v="E039245"/>
    <n v="270000"/>
    <n v="270000"/>
    <s v="SWD"/>
    <n v="30"/>
    <s v="N"/>
    <s v="Y"/>
    <n v="329700"/>
    <n v="50600"/>
    <n v="279100"/>
    <n v="0"/>
    <n v="1.221111111111111"/>
    <n v="308196.36688082671"/>
    <n v="333244.52666167734"/>
    <n v="-25048.159782350001"/>
    <n v="0"/>
    <n v="89850.625589999996"/>
    <n v="-58009.662049032086"/>
    <n v="29814.093161000001"/>
    <n v="160472.20319"/>
    <n v="-12936.644829000001"/>
    <n v="58993.951833138002"/>
    <n v="0"/>
    <n v="0"/>
    <n v="34723.782924917999"/>
    <n v="30336.176841600001"/>
    <n v="0"/>
    <n v="308196.36688027391"/>
    <n v="0"/>
    <n v="276400"/>
    <n v="31800"/>
    <n v="308200"/>
    <n v="1.1414814814814815"/>
    <n v="-6.5210797694874131E-2"/>
    <n v="0.99970000000000003"/>
    <n v="1.0088999999999999"/>
    <n v="0.99729999999999996"/>
    <n v="0.98919999999999997"/>
    <n v="0.96040000000000003"/>
    <n v="0.94971499999999998"/>
    <n v="0.90782784124690863"/>
    <n v="301400"/>
    <n v="0"/>
    <n v="301400"/>
    <n v="30200"/>
    <n v="331600"/>
    <n v="7.9899677534933711E-2"/>
    <n v="-0.40316205533596838"/>
    <n v="5.7628146800121323E-3"/>
    <n v="1.1353771859912962"/>
  </r>
  <r>
    <n v="2025"/>
    <n v="18132243468"/>
    <n v="-1.0216512475319814"/>
    <n v="0.36"/>
    <n v="15772"/>
    <n v="6"/>
    <s v="RES"/>
    <n v="3093"/>
    <s v="YC2"/>
    <s v="R1"/>
    <n v="11"/>
    <n v="259"/>
    <s v="BG"/>
    <x v="0"/>
    <s v="AV"/>
    <x v="9"/>
    <n v="1920"/>
    <n v="1966"/>
    <n v="104"/>
    <n v="58"/>
    <n v="1"/>
    <n v="1567"/>
    <n v="0"/>
    <n v="0"/>
    <n v="160"/>
    <n v="160"/>
    <n v="0"/>
    <n v="1567"/>
    <n v="2000"/>
    <n v="0"/>
    <m/>
    <s v="FD"/>
    <s v="G"/>
    <s v="Y"/>
    <n v="0"/>
    <n v="1"/>
    <n v="0"/>
    <n v="0"/>
    <n v="0"/>
    <n v="6"/>
    <n v="0"/>
    <n v="0"/>
    <n v="0"/>
    <n v="180"/>
    <n v="240"/>
    <n v="0"/>
    <n v="100"/>
    <n v="100"/>
    <n v="247172"/>
    <n v="155718"/>
    <n v="399"/>
    <n v="365"/>
    <n v="34"/>
    <n v="0"/>
    <d v="2022-11-28T00:00:00"/>
    <s v="E038831"/>
    <n v="275000"/>
    <n v="269966"/>
    <s v="SWD"/>
    <n v="30"/>
    <s v="N"/>
    <s v="Y"/>
    <n v="332100"/>
    <n v="78900"/>
    <n v="253200"/>
    <n v="5034"/>
    <n v="1.2076363636363636"/>
    <n v="312062.03575083433"/>
    <n v="337425.34966116602"/>
    <n v="-25363.313911882"/>
    <n v="0"/>
    <n v="89850.625589999996"/>
    <n v="-32339.977661938148"/>
    <n v="21557.329055999999"/>
    <n v="160472.20319"/>
    <n v="-12936.644829000001"/>
    <n v="77423.385697259"/>
    <n v="0"/>
    <n v="0"/>
    <n v="4653.10323952"/>
    <n v="22752.132631200002"/>
    <n v="5993.1927496800008"/>
    <n v="312062.03575083887"/>
    <n v="5000"/>
    <n v="254600"/>
    <n v="57500"/>
    <n v="317100"/>
    <n v="1.1530909090909092"/>
    <n v="-4.5167118337850046E-2"/>
    <n v="0.99970000000000003"/>
    <n v="1.0067999999999999"/>
    <n v="0.99729999999999996"/>
    <n v="1.0093000000000001"/>
    <n v="0.96040000000000003"/>
    <n v="0.94971499999999998"/>
    <n v="0.92434638683335013"/>
    <n v="279900"/>
    <n v="4800"/>
    <n v="284700"/>
    <n v="54600"/>
    <n v="339300"/>
    <n v="0.12440758293838862"/>
    <n v="-0.30798479087452474"/>
    <n v="2.1680216802168022E-2"/>
    <n v="1.1415879494113381"/>
  </r>
  <r>
    <n v="2025"/>
    <n v="18132332469"/>
    <n v="-1.5141277326297755"/>
    <n v="0.22"/>
    <n v="9741"/>
    <n v="6"/>
    <s v="RES"/>
    <n v="3033"/>
    <s v="YC2"/>
    <s v="R1"/>
    <n v="11"/>
    <n v="259"/>
    <s v="BG"/>
    <x v="0"/>
    <s v="GD"/>
    <x v="9"/>
    <n v="1920"/>
    <n v="1966"/>
    <n v="104"/>
    <n v="58"/>
    <n v="1"/>
    <n v="1192"/>
    <n v="0"/>
    <n v="0"/>
    <n v="895"/>
    <n v="895"/>
    <n v="0"/>
    <n v="1192"/>
    <n v="1500"/>
    <n v="0"/>
    <m/>
    <s v="FD"/>
    <s v="G"/>
    <s v="Y"/>
    <n v="0"/>
    <n v="1"/>
    <n v="0"/>
    <n v="0"/>
    <n v="0"/>
    <n v="6"/>
    <n v="0"/>
    <n v="0"/>
    <n v="0"/>
    <n v="0"/>
    <n v="272"/>
    <n v="162"/>
    <n v="100"/>
    <n v="100"/>
    <n v="216655"/>
    <n v="155992"/>
    <n v="760"/>
    <n v="365"/>
    <n v="365"/>
    <n v="30"/>
    <d v="2021-12-02T00:00:00"/>
    <s v="E034423"/>
    <n v="283000"/>
    <n v="276976"/>
    <s v="SWD"/>
    <n v="30"/>
    <s v="N"/>
    <s v="Y"/>
    <n v="328200"/>
    <n v="61700"/>
    <n v="266500"/>
    <n v="6024"/>
    <n v="1.1597173144876325"/>
    <n v="330396.05335993913"/>
    <n v="355970.08883961936"/>
    <n v="-25574.035482070001"/>
    <n v="0"/>
    <n v="89850.625589999996"/>
    <n v="-47929.131559187132"/>
    <n v="21557.329055999999"/>
    <n v="197752.34721000001"/>
    <n v="-12936.644829000001"/>
    <n v="58895.134493384001"/>
    <n v="0"/>
    <n v="0"/>
    <n v="26028.296246064998"/>
    <n v="22752.132631200002"/>
    <n v="0"/>
    <n v="330396.0533563919"/>
    <n v="6000"/>
    <n v="288500"/>
    <n v="41900"/>
    <n v="336400"/>
    <n v="1.1886925795053003"/>
    <n v="2.4984765386959172E-2"/>
    <n v="0.99970000000000003"/>
    <n v="1.0067999999999999"/>
    <n v="0.99650000000000005"/>
    <n v="1.0157"/>
    <n v="0.96040000000000003"/>
    <n v="0.94971499999999998"/>
    <n v="0.92946151271343602"/>
    <n v="314000"/>
    <n v="5700"/>
    <n v="319700"/>
    <n v="39800"/>
    <n v="359500"/>
    <n v="0.199624765478424"/>
    <n v="-0.35494327390599678"/>
    <n v="9.5368677635588053E-2"/>
    <n v="1.1799504046569964"/>
  </r>
  <r>
    <n v="2025"/>
    <n v="18132344417"/>
    <n v="-1.8971199848858813"/>
    <n v="0.15"/>
    <n v="0"/>
    <n v="6"/>
    <s v="RES"/>
    <n v="3093"/>
    <s v="YC2"/>
    <s v="R1"/>
    <n v="11"/>
    <n v="400"/>
    <s v="BG"/>
    <x v="0"/>
    <s v="GD"/>
    <x v="9"/>
    <n v="1920"/>
    <n v="1966"/>
    <n v="104"/>
    <n v="58"/>
    <n v="1"/>
    <n v="1044"/>
    <n v="0"/>
    <n v="0"/>
    <n v="432"/>
    <n v="432"/>
    <n v="0"/>
    <n v="1044"/>
    <n v="1500"/>
    <n v="1"/>
    <m/>
    <s v="FD"/>
    <s v="G"/>
    <m/>
    <n v="0"/>
    <n v="1"/>
    <n v="0"/>
    <n v="0"/>
    <n v="0"/>
    <n v="5"/>
    <n v="198"/>
    <n v="0"/>
    <n v="0"/>
    <n v="0"/>
    <n v="0"/>
    <n v="0"/>
    <n v="100"/>
    <n v="100"/>
    <n v="200419"/>
    <n v="144302"/>
    <n v="703"/>
    <n v="365"/>
    <n v="338"/>
    <n v="0"/>
    <d v="2022-01-28T00:00:00"/>
    <s v="E034997"/>
    <n v="250000"/>
    <n v="250000"/>
    <s v="SWD"/>
    <n v="30"/>
    <s v="N"/>
    <s v="Y"/>
    <n v="282000"/>
    <n v="48400"/>
    <n v="233600"/>
    <n v="0"/>
    <n v="1.1279999999999999"/>
    <n v="297404.76378809428"/>
    <n v="319277.19351614022"/>
    <n v="-21872.429729674001"/>
    <n v="0"/>
    <n v="89850.625589999996"/>
    <n v="-60052.604136134301"/>
    <n v="21557.329055999999"/>
    <n v="197752.34721000001"/>
    <n v="-12936.644829000001"/>
    <n v="51582.651351588"/>
    <n v="0"/>
    <n v="0"/>
    <n v="12563.378746704"/>
    <n v="18960.110526"/>
    <n v="0"/>
    <n v="297404.76378548372"/>
    <n v="0"/>
    <n v="267600"/>
    <n v="29800"/>
    <n v="297400"/>
    <n v="1.1896"/>
    <n v="5.4609929078014187E-2"/>
    <n v="0.99970000000000003"/>
    <n v="1.0067999999999999"/>
    <n v="0.99650000000000005"/>
    <n v="1.0157"/>
    <n v="0.96040000000000003"/>
    <n v="0.94971499999999998"/>
    <n v="0.92946151271343602"/>
    <n v="289500"/>
    <n v="0"/>
    <n v="289500"/>
    <n v="28300"/>
    <n v="317800"/>
    <n v="0.23929794520547945"/>
    <n v="-0.41528925619834711"/>
    <n v="0.12695035460992907"/>
    <n v="1.183710281081304"/>
  </r>
  <r>
    <n v="2025"/>
    <n v="18132344044"/>
    <n v="-1.3862943611198906"/>
    <n v="0.25"/>
    <n v="10751"/>
    <n v="6"/>
    <s v="RES"/>
    <n v="3093"/>
    <s v="YC2"/>
    <s v="R1"/>
    <n v="11"/>
    <n v="259"/>
    <s v="CO"/>
    <x v="2"/>
    <s v="GD"/>
    <x v="9"/>
    <n v="1920"/>
    <n v="1966"/>
    <n v="104"/>
    <n v="58"/>
    <n v="2"/>
    <n v="770"/>
    <n v="792"/>
    <n v="0"/>
    <n v="770"/>
    <n v="539"/>
    <n v="231"/>
    <n v="1793"/>
    <n v="2000"/>
    <n v="0"/>
    <m/>
    <s v="FD"/>
    <s v="G"/>
    <s v="N"/>
    <n v="0"/>
    <n v="2"/>
    <n v="0"/>
    <n v="1"/>
    <n v="0"/>
    <n v="8"/>
    <n v="0"/>
    <n v="0"/>
    <n v="0"/>
    <n v="404"/>
    <n v="0"/>
    <n v="0"/>
    <n v="100"/>
    <n v="100"/>
    <n v="307188"/>
    <n v="221175"/>
    <n v="740"/>
    <n v="365"/>
    <n v="365"/>
    <n v="10"/>
    <d v="2021-12-22T00:00:00"/>
    <s v="E034672"/>
    <n v="299000"/>
    <n v="291039"/>
    <s v="SWD"/>
    <n v="30"/>
    <s v="N"/>
    <s v="Y"/>
    <n v="365900"/>
    <n v="66200"/>
    <n v="299700"/>
    <n v="7961"/>
    <n v="1.2237458193979933"/>
    <n v="377394.35167006939"/>
    <n v="400293.95289225283"/>
    <n v="-22899.601224070004"/>
    <n v="0"/>
    <n v="89850.625589999996"/>
    <n v="-43882.615305165229"/>
    <n v="29814.093161000001"/>
    <n v="197752.34721000001"/>
    <n v="-12936.644829000001"/>
    <n v="38044.675805290004"/>
    <n v="35470.846905911996"/>
    <n v="0"/>
    <n v="22393.059340190001"/>
    <n v="30336.176841600001"/>
    <n v="13451.388171504001"/>
    <n v="377394.35166726081"/>
    <n v="8000"/>
    <n v="331400"/>
    <n v="46000"/>
    <n v="385400"/>
    <n v="1.2889632107023412"/>
    <n v="5.3293249521727246E-2"/>
    <n v="0.99970000000000003"/>
    <n v="1.0088999999999999"/>
    <n v="0.99650000000000005"/>
    <n v="1.0093000000000001"/>
    <n v="0.96040000000000003"/>
    <n v="0.94971499999999998"/>
    <n v="0.92553137803844354"/>
    <n v="354300"/>
    <n v="7600"/>
    <n v="361900"/>
    <n v="43700"/>
    <n v="405600"/>
    <n v="0.20754087420754089"/>
    <n v="-0.33987915407854985"/>
    <n v="0.10849959005192676"/>
    <n v="1.2799344440666556"/>
  </r>
  <r>
    <n v="2025"/>
    <n v="18132242434"/>
    <n v="-0.9942522733438669"/>
    <n v="0.37"/>
    <n v="16259"/>
    <n v="6"/>
    <s v="RES"/>
    <n v="3033"/>
    <s v="YC2"/>
    <s v="R1"/>
    <n v="11"/>
    <n v="259"/>
    <s v="FH"/>
    <x v="0"/>
    <s v="GD"/>
    <x v="9"/>
    <n v="1919"/>
    <n v="1985"/>
    <n v="105"/>
    <n v="39"/>
    <n v="2"/>
    <n v="1482"/>
    <n v="480"/>
    <n v="0"/>
    <n v="800"/>
    <n v="0"/>
    <n v="800"/>
    <n v="2762"/>
    <n v="3000"/>
    <n v="0"/>
    <m/>
    <s v="FD"/>
    <s v="G"/>
    <s v="Y"/>
    <n v="1"/>
    <n v="1"/>
    <n v="0"/>
    <n v="0"/>
    <n v="0"/>
    <n v="9"/>
    <n v="0"/>
    <n v="0"/>
    <n v="0"/>
    <n v="0"/>
    <n v="0"/>
    <n v="0"/>
    <n v="100"/>
    <n v="100"/>
    <n v="328072"/>
    <n v="285423"/>
    <n v="1040"/>
    <n v="365"/>
    <n v="365"/>
    <n v="310"/>
    <d v="2021-02-25T00:00:00"/>
    <s v="E030284"/>
    <n v="335834"/>
    <n v="301700"/>
    <s v="SWD"/>
    <n v="30"/>
    <s v="N"/>
    <s v="Y"/>
    <n v="437600"/>
    <n v="79900"/>
    <n v="357700"/>
    <n v="34134"/>
    <n v="1.3030247086358142"/>
    <n v="358087.58156568522"/>
    <n v="421103.6966503209"/>
    <n v="-63016.115094070003"/>
    <n v="0"/>
    <n v="89850.625589999996"/>
    <n v="-31472.673662315807"/>
    <n v="21557.329055999999"/>
    <n v="197752.34721000001"/>
    <n v="-8698.7784195000004"/>
    <n v="73223.648757714007"/>
    <n v="21497.482973279999"/>
    <n v="0"/>
    <n v="23265.516197599998"/>
    <n v="34128.198946800003"/>
    <n v="0"/>
    <n v="358087.58155550819"/>
    <n v="34100"/>
    <n v="299700"/>
    <n v="58400"/>
    <n v="392200"/>
    <n v="1.1678388727764313"/>
    <n v="-0.10374771480804387"/>
    <n v="0.99970000000000003"/>
    <n v="1.0067999999999999"/>
    <n v="0.99650000000000005"/>
    <n v="0.96179999999999999"/>
    <n v="0.96040000000000003"/>
    <n v="0.94971499999999998"/>
    <n v="0.88013791762113103"/>
    <n v="362700"/>
    <n v="32400"/>
    <n v="395100"/>
    <n v="55400"/>
    <n v="450500"/>
    <n v="0.10455689124965055"/>
    <n v="-0.30663329161451813"/>
    <n v="2.9478976234003657E-2"/>
    <n v="1.1537958780407285"/>
  </r>
  <r>
    <n v="2025"/>
    <n v="18132341011"/>
    <n v="-1.5606477482646683"/>
    <n v="0.21"/>
    <n v="8970"/>
    <n v="6"/>
    <s v="RES"/>
    <n v="3031"/>
    <s v="YC2"/>
    <s v="R1"/>
    <n v="11"/>
    <n v="259"/>
    <s v="CL"/>
    <x v="2"/>
    <s v="VG"/>
    <x v="9"/>
    <n v="1918"/>
    <n v="1975"/>
    <n v="106"/>
    <n v="49"/>
    <n v="2"/>
    <n v="1264"/>
    <n v="1120"/>
    <n v="0"/>
    <n v="1264"/>
    <n v="0"/>
    <n v="1264"/>
    <n v="3648"/>
    <n v="4000"/>
    <n v="0"/>
    <s v="B"/>
    <s v="FD"/>
    <s v="G"/>
    <s v="Y"/>
    <n v="0"/>
    <n v="1"/>
    <n v="1"/>
    <n v="1"/>
    <n v="1"/>
    <n v="14"/>
    <n v="0"/>
    <n v="0"/>
    <n v="0"/>
    <n v="0"/>
    <n v="369"/>
    <n v="369"/>
    <n v="100"/>
    <n v="100"/>
    <n v="475591"/>
    <n v="394741"/>
    <n v="752"/>
    <n v="365"/>
    <n v="365"/>
    <n v="22"/>
    <d v="2021-12-10T00:00:00"/>
    <s v="E034398"/>
    <n v="460000"/>
    <n v="398959"/>
    <s v="SWD"/>
    <n v="30"/>
    <s v="N"/>
    <s v="Y"/>
    <n v="531500"/>
    <n v="60100"/>
    <n v="471400"/>
    <n v="61041"/>
    <n v="1.1554347826086957"/>
    <n v="522101.30323066097"/>
    <n v="546605.56500734249"/>
    <n v="-24504.261778870004"/>
    <n v="0"/>
    <n v="89850.625589999996"/>
    <n v="-49401.70477837498"/>
    <n v="29814.093161000001"/>
    <n v="284810.60806"/>
    <n v="-10929.2344245"/>
    <n v="62452.558724528004"/>
    <n v="50160.793604319995"/>
    <n v="0"/>
    <n v="36759.515592208001"/>
    <n v="53088.3094728"/>
    <n v="0"/>
    <n v="522101.30322311097"/>
    <n v="61000"/>
    <n v="481700"/>
    <n v="40400"/>
    <n v="583100"/>
    <n v="1.2676086956521739"/>
    <n v="9.7083725305738472E-2"/>
    <n v="0.99970000000000003"/>
    <n v="1.0088999999999999"/>
    <n v="1.0158"/>
    <n v="0.94579999999999997"/>
    <n v="0.96040000000000003"/>
    <n v="0.94971499999999998"/>
    <n v="0.8840993860666998"/>
    <n v="506200"/>
    <n v="58000"/>
    <n v="564200"/>
    <n v="38400"/>
    <n v="602600"/>
    <n v="0.19686041578277472"/>
    <n v="-0.36106489184692181"/>
    <n v="0.13377234242709313"/>
    <n v="1.2567298656981087"/>
  </r>
  <r>
    <n v="2025"/>
    <n v="18132333436"/>
    <n v="-1.3470736479666092"/>
    <n v="0.26"/>
    <n v="0"/>
    <n v="6"/>
    <s v="RES"/>
    <n v="3093"/>
    <s v="YC2"/>
    <s v="R1"/>
    <n v="11"/>
    <n v="259"/>
    <s v="BG"/>
    <x v="2"/>
    <s v="GD"/>
    <x v="9"/>
    <n v="1915"/>
    <n v="1963"/>
    <n v="109"/>
    <n v="61"/>
    <n v="2"/>
    <n v="1893"/>
    <n v="631"/>
    <n v="0"/>
    <n v="473"/>
    <n v="473"/>
    <n v="0"/>
    <n v="2524"/>
    <n v="3000"/>
    <n v="0"/>
    <s v="S"/>
    <s v="FD"/>
    <s v="G"/>
    <s v="Y"/>
    <n v="0"/>
    <n v="2"/>
    <n v="0"/>
    <n v="0"/>
    <n v="1"/>
    <n v="10"/>
    <n v="0"/>
    <n v="0"/>
    <n v="432"/>
    <n v="0"/>
    <n v="84"/>
    <n v="84"/>
    <n v="100"/>
    <n v="100"/>
    <n v="416336"/>
    <n v="291435"/>
    <n v="707"/>
    <n v="365"/>
    <n v="342"/>
    <n v="0"/>
    <d v="2022-01-24T00:00:00"/>
    <s v="E035012"/>
    <n v="370000"/>
    <n v="370000"/>
    <s v="SWD"/>
    <n v="30"/>
    <s v="N"/>
    <s v="Y"/>
    <n v="409700"/>
    <n v="67600"/>
    <n v="342100"/>
    <n v="0"/>
    <n v="1.1072972972972972"/>
    <n v="412810.49099496694"/>
    <n v="434636.9880364039"/>
    <n v="-21826.497043066"/>
    <n v="0"/>
    <n v="89850.625589999996"/>
    <n v="-42641.098701210125"/>
    <n v="29814.093161000001"/>
    <n v="197752.34721000001"/>
    <n v="-13605.7816305"/>
    <n v="93530.612077161"/>
    <n v="28260.232825290997"/>
    <n v="0"/>
    <n v="13755.736451830999"/>
    <n v="37920.221052000001"/>
    <n v="0"/>
    <n v="412810.49099250685"/>
    <n v="0"/>
    <n v="365600"/>
    <n v="47200"/>
    <n v="412800"/>
    <n v="1.1156756756756756"/>
    <n v="7.5665120820112277E-3"/>
    <n v="0.99970000000000003"/>
    <n v="1.0088999999999999"/>
    <n v="0.99650000000000005"/>
    <n v="0.96179999999999999"/>
    <n v="0.96040000000000003"/>
    <n v="0.94971499999999998"/>
    <n v="0.88197372376634775"/>
    <n v="387400"/>
    <n v="0"/>
    <n v="387400"/>
    <n v="44800"/>
    <n v="432200"/>
    <n v="0.13241742180648933"/>
    <n v="-0.33727810650887574"/>
    <n v="5.4918232853307297E-2"/>
    <n v="1.109117575559281"/>
  </r>
  <r>
    <n v="2025"/>
    <n v="18132332437"/>
    <n v="-1.1394342831883648"/>
    <n v="0.32"/>
    <n v="13730"/>
    <n v="6"/>
    <s v="RES"/>
    <n v="3032"/>
    <s v="YC2"/>
    <s v="R1"/>
    <n v="11"/>
    <n v="259"/>
    <s v="BG"/>
    <x v="0"/>
    <s v="GD"/>
    <x v="10"/>
    <n v="1910"/>
    <n v="1958"/>
    <n v="114"/>
    <n v="66"/>
    <n v="2"/>
    <n v="1248"/>
    <n v="384"/>
    <n v="0"/>
    <n v="546"/>
    <n v="0"/>
    <n v="546"/>
    <n v="2178"/>
    <n v="2500"/>
    <n v="0"/>
    <m/>
    <s v="BH"/>
    <s v="E"/>
    <m/>
    <n v="1"/>
    <n v="2"/>
    <n v="0"/>
    <n v="0"/>
    <n v="0"/>
    <n v="8"/>
    <n v="0"/>
    <n v="0"/>
    <n v="0"/>
    <n v="0"/>
    <n v="0"/>
    <n v="0"/>
    <n v="100"/>
    <n v="100"/>
    <n v="272151"/>
    <n v="179620"/>
    <n v="928"/>
    <n v="365"/>
    <n v="365"/>
    <n v="198"/>
    <d v="2021-06-17T00:00:00"/>
    <s v="E031774"/>
    <n v="355000"/>
    <n v="343219"/>
    <s v="SWD"/>
    <n v="30"/>
    <s v="N"/>
    <s v="Y"/>
    <n v="371300"/>
    <n v="74800"/>
    <n v="296500"/>
    <n v="11781"/>
    <n v="1.0459154929577466"/>
    <n v="335406.55261662812"/>
    <n v="383445.83585928159"/>
    <n v="-48039.283249270004"/>
    <n v="0"/>
    <n v="89850.625589999996"/>
    <n v="-36068.354396449467"/>
    <n v="21557.329055999999"/>
    <n v="197752.34721000001"/>
    <n v="-14721.009633"/>
    <n v="61662.020006496001"/>
    <n v="17197.986378623998"/>
    <n v="0"/>
    <n v="15878.714804861998"/>
    <n v="30336.176841600001"/>
    <n v="0"/>
    <n v="335406.55260886246"/>
    <n v="11800"/>
    <n v="281600"/>
    <n v="53800"/>
    <n v="347200"/>
    <n v="0.97802816901408451"/>
    <n v="-6.4907083221115006E-2"/>
    <n v="0.99970000000000003"/>
    <n v="1.0067999999999999"/>
    <n v="0.99650000000000005"/>
    <n v="0.98919999999999997"/>
    <n v="0.93389999999999995"/>
    <n v="0.94971499999999998"/>
    <n v="0.88023430554544835"/>
    <n v="329700"/>
    <n v="11200"/>
    <n v="340900"/>
    <n v="51100"/>
    <n v="392000"/>
    <n v="0.14974704890387858"/>
    <n v="-0.31684491978609625"/>
    <n v="5.5750067330999194E-2"/>
    <n v="0.9689034274668451"/>
  </r>
  <r>
    <n v="2025"/>
    <n v="18132241472"/>
    <n v="-1.7147984280919266"/>
    <n v="0.18"/>
    <n v="8058"/>
    <n v="6"/>
    <s v="RES"/>
    <n v="3033"/>
    <s v="YC2"/>
    <s v="R1"/>
    <n v="11"/>
    <n v="400"/>
    <s v="TD"/>
    <x v="4"/>
    <s v="GD"/>
    <x v="10"/>
    <n v="1910"/>
    <n v="1958"/>
    <n v="114"/>
    <n v="66"/>
    <n v="1"/>
    <n v="776"/>
    <n v="0"/>
    <n v="0"/>
    <n v="560"/>
    <n v="0"/>
    <n v="560"/>
    <n v="1336"/>
    <n v="1500"/>
    <n v="0"/>
    <m/>
    <s v="FD"/>
    <s v="G"/>
    <s v="N"/>
    <n v="0"/>
    <n v="0"/>
    <n v="0"/>
    <n v="2"/>
    <n v="0"/>
    <n v="9"/>
    <n v="0"/>
    <n v="0"/>
    <n v="0"/>
    <n v="0"/>
    <n v="0"/>
    <n v="0"/>
    <n v="100"/>
    <n v="100"/>
    <n v="167927"/>
    <n v="110832"/>
    <n v="706"/>
    <n v="365"/>
    <n v="341"/>
    <n v="0"/>
    <d v="2022-01-25T00:00:00"/>
    <s v="E034954"/>
    <n v="250000"/>
    <n v="248042"/>
    <s v="SWD"/>
    <n v="30"/>
    <s v="N"/>
    <s v="Y"/>
    <n v="294500"/>
    <n v="58400"/>
    <n v="236100"/>
    <n v="1958"/>
    <n v="1.1779999999999999"/>
    <n v="285517.88575033552"/>
    <n v="307355.86596342479"/>
    <n v="-21837.980214718002"/>
    <n v="0"/>
    <n v="89850.625589999996"/>
    <n v="-54281.285314520763"/>
    <n v="0"/>
    <n v="197752.34721000001"/>
    <n v="-14721.009633"/>
    <n v="38341.127824552001"/>
    <n v="0"/>
    <n v="0"/>
    <n v="16285.861338319999"/>
    <n v="34128.198946800003"/>
    <n v="0"/>
    <n v="285517.88574743329"/>
    <n v="2000"/>
    <n v="249900"/>
    <n v="35600"/>
    <n v="287500"/>
    <n v="1.1499999999999999"/>
    <n v="-2.3769100169779286E-2"/>
    <n v="0.99970000000000003"/>
    <n v="0.99180000000000001"/>
    <n v="0.99650000000000005"/>
    <n v="1.0157"/>
    <n v="0.93389999999999995"/>
    <n v="0.94971499999999998"/>
    <n v="0.89034952684919233"/>
    <n v="271800"/>
    <n v="1900"/>
    <n v="273700"/>
    <n v="33800"/>
    <n v="307500"/>
    <n v="0.1592545531554426"/>
    <n v="-0.42123287671232879"/>
    <n v="4.4142614601018676E-2"/>
    <n v="1.142648079141128"/>
  </r>
  <r>
    <n v="2025"/>
    <n v="18132241477"/>
    <n v="-1.3093333199837622"/>
    <n v="0.27"/>
    <n v="11760"/>
    <n v="6"/>
    <s v="RES"/>
    <s v="YC2"/>
    <s v="YC2"/>
    <s v="R1"/>
    <n v="11"/>
    <n v="259"/>
    <s v="FH"/>
    <x v="0"/>
    <s v="GD"/>
    <x v="10"/>
    <n v="1909"/>
    <n v="1957"/>
    <n v="115"/>
    <n v="67"/>
    <n v="2"/>
    <n v="1024"/>
    <n v="600"/>
    <n v="0"/>
    <n v="560"/>
    <n v="560"/>
    <n v="0"/>
    <n v="1624"/>
    <n v="2000"/>
    <n v="0"/>
    <m/>
    <s v="FD"/>
    <s v="G"/>
    <s v="Y"/>
    <n v="1"/>
    <n v="0"/>
    <n v="0"/>
    <n v="0"/>
    <n v="1"/>
    <n v="7"/>
    <n v="0"/>
    <n v="0"/>
    <n v="0"/>
    <n v="0"/>
    <n v="112"/>
    <n v="112"/>
    <n v="100"/>
    <n v="100"/>
    <n v="294349"/>
    <n v="194270"/>
    <n v="13"/>
    <n v="13"/>
    <n v="0"/>
    <n v="0"/>
    <d v="2023-12-19T00:00:00"/>
    <s v="E042338"/>
    <n v="346500"/>
    <n v="342947"/>
    <s v="SWD"/>
    <n v="30"/>
    <s v="N"/>
    <s v="Y"/>
    <n v="346800"/>
    <n v="68900"/>
    <n v="277900"/>
    <n v="3553"/>
    <n v="1.0008658008658009"/>
    <n v="372148.89469274052"/>
    <n v="373066.15124809556"/>
    <n v="-917.25655541000015"/>
    <n v="0"/>
    <n v="89850.625589999996"/>
    <n v="-41446.443120973789"/>
    <n v="21557.329055999999"/>
    <n v="197752.34721000001"/>
    <n v="-14944.055233500001"/>
    <n v="50594.477954048001"/>
    <n v="26871.853716599999"/>
    <n v="0"/>
    <n v="16285.861338319999"/>
    <n v="26544.1547364"/>
    <n v="0"/>
    <n v="372148.89469148422"/>
    <n v="3600"/>
    <n v="323700"/>
    <n v="48400"/>
    <n v="375700"/>
    <n v="1.0842712842712843"/>
    <n v="8.3333333333333329E-2"/>
    <n v="0.99970000000000003"/>
    <n v="1.0067999999999999"/>
    <n v="0.99650000000000005"/>
    <n v="1.0093000000000001"/>
    <n v="0.93389999999999995"/>
    <n v="0.94971499999999998"/>
    <n v="0.89812018255865456"/>
    <n v="324700"/>
    <n v="3400"/>
    <n v="328100"/>
    <n v="46000"/>
    <n v="374100"/>
    <n v="0.18064051817200433"/>
    <n v="-0.33236574746008707"/>
    <n v="7.8719723183391002E-2"/>
    <n v="1.0770064745875614"/>
  </r>
  <r>
    <n v="2025"/>
    <n v="18132341493"/>
    <n v="-1.2039728043259361"/>
    <n v="0.3"/>
    <n v="0"/>
    <n v="6"/>
    <s v="RES"/>
    <s v="HE"/>
    <s v="YC2"/>
    <s v="R1"/>
    <n v="11"/>
    <n v="259"/>
    <s v="TD"/>
    <x v="2"/>
    <s v="EX"/>
    <x v="11"/>
    <n v="1902"/>
    <n v="1960"/>
    <n v="122"/>
    <n v="64"/>
    <n v="2"/>
    <n v="1198"/>
    <n v="449"/>
    <n v="0"/>
    <n v="0"/>
    <n v="0"/>
    <n v="0"/>
    <n v="1647"/>
    <n v="2000"/>
    <n v="1"/>
    <m/>
    <s v="FD"/>
    <s v="G"/>
    <s v="N"/>
    <n v="1"/>
    <n v="0"/>
    <n v="0"/>
    <n v="1"/>
    <n v="0"/>
    <n v="8"/>
    <n v="0"/>
    <n v="1198"/>
    <n v="0"/>
    <n v="0"/>
    <n v="0"/>
    <n v="0"/>
    <n v="100"/>
    <n v="100"/>
    <n v="280870"/>
    <n v="210653"/>
    <n v="907"/>
    <n v="365"/>
    <n v="365"/>
    <n v="177"/>
    <d v="2021-07-08T00:00:00"/>
    <s v="E032131"/>
    <n v="310000"/>
    <n v="310000"/>
    <s v="SWD"/>
    <n v="30"/>
    <s v="N"/>
    <s v="Y"/>
    <n v="377800"/>
    <n v="72500"/>
    <n v="305300"/>
    <n v="0"/>
    <n v="1.2187096774193549"/>
    <n v="485754.63595059409"/>
    <n v="530985.76322287589"/>
    <n v="-45231.127278370004"/>
    <n v="0"/>
    <n v="89850.625589999996"/>
    <n v="-38111.29648355169"/>
    <n v="29814.093161000001"/>
    <n v="354070.39217000001"/>
    <n v="-14274.918432"/>
    <n v="59191.586512646005"/>
    <n v="20109.103864589"/>
    <n v="0"/>
    <n v="0"/>
    <n v="30336.176841600001"/>
    <n v="0"/>
    <n v="485754.63594591332"/>
    <n v="0"/>
    <n v="434000"/>
    <n v="51700"/>
    <n v="485700"/>
    <n v="1.5667741935483872"/>
    <n v="0.28560084700899946"/>
    <n v="0.99970000000000003"/>
    <n v="1.0088999999999999"/>
    <n v="1.1303000000000001"/>
    <n v="1.0093000000000001"/>
    <n v="0.74960000000000004"/>
    <n v="0.94971499999999998"/>
    <n v="0.81937931887073412"/>
    <n v="479200"/>
    <n v="0"/>
    <n v="479200"/>
    <n v="49100"/>
    <n v="528300"/>
    <n v="0.56960366852276445"/>
    <n v="-0.32275862068965516"/>
    <n v="0.39835892006352569"/>
    <n v="1.5582866861988063"/>
  </r>
  <r>
    <n v="2025"/>
    <n v="18132332004"/>
    <n v="-1.4271163556401458"/>
    <n v="0.24"/>
    <n v="0"/>
    <n v="6"/>
    <s v="RES"/>
    <n v="3033"/>
    <s v="YC2"/>
    <s v="R1"/>
    <n v="11"/>
    <n v="259"/>
    <s v="BG"/>
    <x v="0"/>
    <s v="GD"/>
    <x v="11"/>
    <n v="1896"/>
    <n v="1945"/>
    <n v="128"/>
    <n v="79"/>
    <n v="2"/>
    <n v="1244"/>
    <n v="600"/>
    <n v="0"/>
    <n v="648"/>
    <n v="648"/>
    <n v="0"/>
    <n v="1844"/>
    <n v="2000"/>
    <n v="0"/>
    <m/>
    <s v="FD"/>
    <s v="G"/>
    <m/>
    <n v="0"/>
    <n v="1"/>
    <n v="0"/>
    <n v="1"/>
    <n v="1"/>
    <n v="10"/>
    <n v="0"/>
    <n v="0"/>
    <n v="0"/>
    <n v="0"/>
    <n v="0"/>
    <n v="0"/>
    <n v="100"/>
    <n v="100"/>
    <n v="267482"/>
    <n v="176538"/>
    <n v="584"/>
    <n v="365"/>
    <n v="219"/>
    <n v="0"/>
    <d v="2022-05-27T00:00:00"/>
    <s v="E036636"/>
    <n v="340000"/>
    <n v="333815"/>
    <s v="SWD"/>
    <n v="30"/>
    <s v="N"/>
    <s v="Y"/>
    <n v="374900"/>
    <n v="64800"/>
    <n v="310100"/>
    <n v="6185"/>
    <n v="1.1026470588235293"/>
    <n v="368227.48062351224"/>
    <n v="391466.40777817665"/>
    <n v="-23238.927156262002"/>
    <n v="0"/>
    <n v="89850.625589999996"/>
    <n v="-45174.819855485119"/>
    <n v="21557.329055999999"/>
    <n v="197752.34721000001"/>
    <n v="-17620.602439500002"/>
    <n v="61464.385326987998"/>
    <n v="26871.853716599999"/>
    <n v="0"/>
    <n v="18845.068120055999"/>
    <n v="37920.221052000001"/>
    <n v="0"/>
    <n v="368227.48062039685"/>
    <n v="6200"/>
    <n v="323600"/>
    <n v="44700"/>
    <n v="374500"/>
    <n v="1.1014705882352942"/>
    <n v="-1.0669511869831954E-3"/>
    <n v="0.99970000000000003"/>
    <n v="1.0067999999999999"/>
    <n v="0.99650000000000005"/>
    <n v="1.0093000000000001"/>
    <n v="0.74960000000000004"/>
    <n v="0.94971499999999998"/>
    <n v="0.72088113164789325"/>
    <n v="346800"/>
    <n v="5900"/>
    <n v="352700"/>
    <n v="42400"/>
    <n v="395100"/>
    <n v="0.13737504030957756"/>
    <n v="-0.34567901234567899"/>
    <n v="5.3881034942651375E-2"/>
    <n v="1.0937090377756999"/>
  </r>
  <r>
    <n v="2025"/>
    <n v="18132241006"/>
    <n v="-1.8325814637483102"/>
    <n v="0.16"/>
    <n v="7118"/>
    <n v="6"/>
    <s v="RES"/>
    <n v="3033"/>
    <s v="YC2"/>
    <s v="R1"/>
    <n v="11"/>
    <n v="259"/>
    <s v="VT"/>
    <x v="0"/>
    <s v="GD"/>
    <x v="12"/>
    <n v="1880"/>
    <n v="1935"/>
    <n v="144"/>
    <n v="89"/>
    <n v="1"/>
    <n v="1047"/>
    <n v="0"/>
    <n v="0"/>
    <n v="0"/>
    <n v="0"/>
    <n v="0"/>
    <n v="1047"/>
    <n v="1500"/>
    <n v="1"/>
    <m/>
    <s v="MH"/>
    <s v="G"/>
    <s v="N"/>
    <n v="0"/>
    <n v="0"/>
    <n v="1"/>
    <n v="0"/>
    <n v="1"/>
    <n v="7"/>
    <n v="198"/>
    <n v="0"/>
    <n v="0"/>
    <n v="192"/>
    <n v="0"/>
    <n v="0"/>
    <n v="100"/>
    <n v="100"/>
    <n v="169879"/>
    <n v="112120"/>
    <n v="553"/>
    <n v="365"/>
    <n v="188"/>
    <n v="0"/>
    <d v="2022-06-27T00:00:00"/>
    <s v="E037350"/>
    <n v="310000"/>
    <n v="310000"/>
    <s v="SWD"/>
    <n v="30"/>
    <s v="N"/>
    <s v="Y"/>
    <n v="287600"/>
    <n v="50600"/>
    <n v="237000"/>
    <n v="0"/>
    <n v="0.92774193548387096"/>
    <n v="292372.44691852364"/>
    <n v="315967.35239440796"/>
    <n v="-23594.905477474"/>
    <n v="0"/>
    <n v="89850.625589999996"/>
    <n v="-58009.662049032086"/>
    <n v="21557.329055999999"/>
    <n v="197752.34721000001"/>
    <n v="-19851.058444500002"/>
    <n v="51730.877361218998"/>
    <n v="0"/>
    <n v="0"/>
    <n v="0"/>
    <n v="26544.1547364"/>
    <n v="6392.7389329920006"/>
    <n v="292372.44691560487"/>
    <n v="0"/>
    <n v="260500"/>
    <n v="31800"/>
    <n v="292300"/>
    <n v="0.94290322580645158"/>
    <n v="1.6342141863699582E-2"/>
    <n v="0.99970000000000003"/>
    <n v="1.0067999999999999"/>
    <n v="0.99650000000000005"/>
    <n v="1.0157"/>
    <n v="1.0606"/>
    <n v="0.94971499999999998"/>
    <n v="1.0264336530444296"/>
    <n v="284100"/>
    <n v="0"/>
    <n v="284100"/>
    <n v="30200"/>
    <n v="314300"/>
    <n v="0.19873417721518988"/>
    <n v="-0.40316205533596838"/>
    <n v="9.2837273991655075E-2"/>
    <n v="0.9377583694275033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2">
  <r>
    <n v="2025"/>
    <s v="18132344041    "/>
    <n v="-1.7719568419318752"/>
    <n v="0.17"/>
    <m/>
    <s v="6"/>
    <s v="RES"/>
    <x v="0"/>
    <s v="11"/>
    <s v="259"/>
    <s v="CO"/>
    <s v="A+"/>
    <s v="EX"/>
    <x v="0"/>
    <n v="1"/>
    <n v="1"/>
    <n v="2023"/>
    <n v="2023"/>
    <n v="1408"/>
    <n v="620"/>
    <m/>
    <n v="0"/>
    <m/>
    <m/>
    <n v="2028"/>
    <n v="2500"/>
    <n v="8"/>
    <m/>
    <m/>
    <m/>
    <m/>
    <m/>
    <m/>
    <n v="40"/>
    <n v="335103"/>
    <n v="328401"/>
    <n v="35210"/>
    <n v="164400"/>
    <n v="52700"/>
    <n v="111700"/>
    <n v="0"/>
    <n v="0"/>
    <n v="89850.625589999996"/>
    <n v="-56090.612940989391"/>
    <n v="29814.093161000001"/>
    <n v="354070.39217000001"/>
    <n v="-223.04560050000001"/>
    <n v="69567.407186815995"/>
    <n v="27767.582173819999"/>
    <n v="0"/>
    <n v="0"/>
    <n v="30336.176841600001"/>
    <n v="0"/>
    <n v="35200"/>
    <n v="511300"/>
    <n v="33800"/>
    <n v="580300"/>
    <n v="2.5298053527980535"/>
    <n v="0.99970000000000003"/>
    <n v="1.0088999999999999"/>
    <n v="1.1303000000000001"/>
    <n v="0.98919999999999997"/>
    <n v="1"/>
    <n v="0.94971499999999998"/>
    <n v="1.0713201038069142"/>
    <n v="511300"/>
    <n v="33400"/>
    <n v="544700"/>
    <n v="32100"/>
    <n v="576800"/>
    <n v="3.8764547896150403"/>
    <n v="-0.39089184060721061"/>
    <n v="0"/>
  </r>
  <r>
    <n v="2025"/>
    <s v="18132211413    "/>
    <n v="-3.5065578973199818"/>
    <n v="0.03"/>
    <n v="901"/>
    <s v="6"/>
    <s v="CON"/>
    <x v="0"/>
    <s v="11"/>
    <s v="262"/>
    <s v="CE"/>
    <s v="G"/>
    <s v="EX"/>
    <x v="0"/>
    <n v="1"/>
    <n v="1"/>
    <n v="2023"/>
    <n v="2023"/>
    <n v="901"/>
    <n v="896"/>
    <n v="544"/>
    <n v="66"/>
    <n v="478"/>
    <m/>
    <n v="2275"/>
    <n v="2500"/>
    <n v="15"/>
    <m/>
    <n v="528"/>
    <n v="400"/>
    <m/>
    <m/>
    <m/>
    <m/>
    <n v="475442"/>
    <n v="465933"/>
    <n v="0"/>
    <n v="243800"/>
    <n v="52700"/>
    <n v="191100"/>
    <n v="0"/>
    <n v="0"/>
    <n v="89850.625589999996"/>
    <n v="-110998.74281323297"/>
    <n v="44121.038090000002"/>
    <n v="354070.39217000001"/>
    <n v="-223.04560050000001"/>
    <n v="44517.211559176998"/>
    <n v="40128.634883455998"/>
    <n v="0"/>
    <n v="15820.551014367999"/>
    <n v="56880.331578000005"/>
    <n v="13318.206110400002"/>
    <n v="0"/>
    <n v="568600"/>
    <n v="-21100"/>
    <n v="547500"/>
    <n v="1.2456931911402789"/>
    <n v="0.99970000000000003"/>
    <n v="0.98050000000000004"/>
    <n v="1.1303000000000001"/>
    <n v="0.98919999999999997"/>
    <n v="1"/>
    <n v="0.94971499999999998"/>
    <n v="1.0411630109849137"/>
    <n v="568600"/>
    <n v="0"/>
    <n v="568600"/>
    <n v="-20100"/>
    <n v="548500"/>
    <n v="1.9754055468341183"/>
    <n v="-1.381404174573055"/>
    <n v="0"/>
  </r>
  <r>
    <n v="2025"/>
    <s v="18132211415    "/>
    <n v="-3.912023005428146"/>
    <n v="0.02"/>
    <n v="901"/>
    <s v="6"/>
    <s v="CON"/>
    <x v="0"/>
    <s v="11"/>
    <s v="262"/>
    <s v="CE"/>
    <s v="G"/>
    <s v="EX"/>
    <x v="0"/>
    <n v="1"/>
    <n v="1"/>
    <n v="2023"/>
    <n v="2023"/>
    <n v="901"/>
    <n v="896"/>
    <n v="544"/>
    <n v="0"/>
    <n v="544"/>
    <m/>
    <n v="2341"/>
    <n v="2500"/>
    <n v="14"/>
    <m/>
    <n v="528"/>
    <n v="400"/>
    <m/>
    <m/>
    <m/>
    <n v="83"/>
    <n v="476130"/>
    <n v="466607"/>
    <n v="0"/>
    <n v="244200"/>
    <n v="52800"/>
    <n v="191400"/>
    <n v="0"/>
    <n v="0"/>
    <n v="89850.625589999996"/>
    <n v="-123833.58500677992"/>
    <n v="44121.038090000002"/>
    <n v="354070.39217000001"/>
    <n v="-223.04560050000001"/>
    <n v="44517.211559176998"/>
    <n v="40128.634883455998"/>
    <n v="0"/>
    <n v="15820.551014367999"/>
    <n v="53088.3094728"/>
    <n v="13318.206110400002"/>
    <n v="0"/>
    <n v="564800"/>
    <n v="-34000"/>
    <n v="530800"/>
    <n v="1.1736281736281737"/>
    <n v="0.99970000000000003"/>
    <n v="0.98050000000000004"/>
    <n v="1.1303000000000001"/>
    <n v="0.98919999999999997"/>
    <n v="1"/>
    <n v="0.94971499999999998"/>
    <n v="1.0411630109849137"/>
    <n v="564800"/>
    <n v="0"/>
    <n v="564800"/>
    <n v="-32300"/>
    <n v="532500"/>
    <n v="1.9508881922675025"/>
    <n v="-1.6117424242424243"/>
    <n v="0"/>
  </r>
  <r>
    <n v="2025"/>
    <s v="18132211419    "/>
    <n v="-3.5065578973199818"/>
    <n v="0.03"/>
    <n v="1600"/>
    <s v="6"/>
    <s v="CON"/>
    <x v="0"/>
    <s v="11"/>
    <s v="262"/>
    <s v="CE"/>
    <s v="G"/>
    <s v="EX"/>
    <x v="0"/>
    <n v="1"/>
    <n v="1"/>
    <n v="2023"/>
    <n v="2023"/>
    <n v="1600"/>
    <m/>
    <n v="385"/>
    <n v="0"/>
    <n v="385"/>
    <m/>
    <n v="1985"/>
    <n v="2000"/>
    <n v="9"/>
    <m/>
    <n v="550"/>
    <n v="269"/>
    <m/>
    <m/>
    <m/>
    <m/>
    <n v="437147"/>
    <n v="428404"/>
    <n v="0"/>
    <n v="269900"/>
    <n v="45100"/>
    <n v="224800"/>
    <n v="0"/>
    <n v="0"/>
    <n v="89850.625589999996"/>
    <n v="-110998.74281323297"/>
    <n v="44121.038090000002"/>
    <n v="354070.39217000001"/>
    <n v="-223.04560050000001"/>
    <n v="79053.871803200003"/>
    <n v="0"/>
    <n v="0"/>
    <n v="11196.529670095"/>
    <n v="34128.198946800003"/>
    <n v="8956.4936092440003"/>
    <n v="0"/>
    <n v="531300"/>
    <n v="-21100"/>
    <n v="510200"/>
    <n v="0.89032975175991103"/>
    <n v="0.99970000000000003"/>
    <n v="0.98050000000000004"/>
    <n v="1.1303000000000001"/>
    <n v="1.0093000000000001"/>
    <n v="1"/>
    <n v="0.94971499999999998"/>
    <n v="1.0623188707916231"/>
    <n v="531300"/>
    <n v="0"/>
    <n v="531300"/>
    <n v="-20100"/>
    <n v="511200"/>
    <n v="1.3634341637010676"/>
    <n v="-1.4456762749445675"/>
    <n v="0"/>
  </r>
  <r>
    <n v="2025"/>
    <s v="18132211417    "/>
    <n v="-3.5065578973199818"/>
    <n v="0.03"/>
    <n v="2001"/>
    <s v="6"/>
    <s v="CON"/>
    <x v="0"/>
    <s v="11"/>
    <s v="262"/>
    <s v="CE"/>
    <s v="G"/>
    <s v="EX"/>
    <x v="0"/>
    <n v="1"/>
    <n v="1"/>
    <n v="2023"/>
    <n v="2023"/>
    <n v="2001"/>
    <m/>
    <n v="1216"/>
    <n v="0"/>
    <n v="1216"/>
    <m/>
    <n v="3217"/>
    <n v="3500"/>
    <n v="10"/>
    <m/>
    <n v="560"/>
    <n v="254"/>
    <m/>
    <m/>
    <m/>
    <m/>
    <n v="564399"/>
    <n v="553111"/>
    <n v="0"/>
    <n v="348400"/>
    <n v="58200"/>
    <n v="290200"/>
    <n v="0"/>
    <n v="0"/>
    <n v="89850.625589999996"/>
    <n v="-110998.74281323297"/>
    <n v="44121.038090000002"/>
    <n v="354070.39217000001"/>
    <n v="-223.04560050000001"/>
    <n v="98866.748423876998"/>
    <n v="0"/>
    <n v="0"/>
    <n v="35363.584620351998"/>
    <n v="37920.221052000001"/>
    <n v="8457.0608801040016"/>
    <n v="0"/>
    <n v="578600"/>
    <n v="-21100"/>
    <n v="557500"/>
    <n v="0.6001722158438576"/>
    <n v="0.99970000000000003"/>
    <n v="0.98050000000000004"/>
    <n v="1.1303000000000001"/>
    <n v="1.0126999999999999"/>
    <n v="1"/>
    <n v="0.94971499999999998"/>
    <n v="1.0658974739430065"/>
    <n v="578600"/>
    <n v="0"/>
    <n v="578600"/>
    <n v="-20100"/>
    <n v="558500"/>
    <n v="0.99379738111647142"/>
    <n v="-1.3453608247422681"/>
    <n v="0"/>
  </r>
  <r>
    <n v="2025"/>
    <s v="18132323018    "/>
    <n v="-2.0402208285265546"/>
    <n v="0.13"/>
    <n v="5500"/>
    <s v="6"/>
    <s v="RES"/>
    <x v="0"/>
    <s v="11"/>
    <s v="259"/>
    <s v="TD"/>
    <s v="A"/>
    <s v="EX"/>
    <x v="0"/>
    <n v="1"/>
    <n v="1"/>
    <n v="2023"/>
    <n v="2023"/>
    <n v="1288"/>
    <m/>
    <m/>
    <n v="0"/>
    <m/>
    <m/>
    <n v="1288"/>
    <n v="1500"/>
    <n v="8"/>
    <m/>
    <m/>
    <m/>
    <m/>
    <m/>
    <m/>
    <m/>
    <n v="199484"/>
    <n v="195494"/>
    <n v="0"/>
    <n v="333300"/>
    <n v="43400"/>
    <n v="289900"/>
    <n v="0"/>
    <n v="0"/>
    <n v="89850.625589999996"/>
    <n v="-64582.406353792743"/>
    <n v="21557.329055999999"/>
    <n v="354070.39217000001"/>
    <n v="-223.04560050000001"/>
    <n v="63638.366801576005"/>
    <n v="0"/>
    <n v="0"/>
    <n v="0"/>
    <n v="30336.176841600001"/>
    <n v="0"/>
    <n v="0"/>
    <n v="469400"/>
    <n v="25300"/>
    <n v="494700"/>
    <n v="0.48424842484248426"/>
    <n v="0.99970000000000003"/>
    <n v="1.0067999999999999"/>
    <n v="1.1303000000000001"/>
    <n v="1.0157"/>
    <n v="1"/>
    <n v="0.94971499999999998"/>
    <n v="1.0977303818466639"/>
    <n v="469400"/>
    <n v="0"/>
    <n v="469400"/>
    <n v="24000"/>
    <n v="493400"/>
    <n v="0.61917902725077612"/>
    <n v="-0.44700460829493088"/>
    <n v="0"/>
  </r>
  <r>
    <n v="2025"/>
    <s v="18132244052    "/>
    <n v="-0.69314718055994529"/>
    <n v="0.5"/>
    <m/>
    <s v="6"/>
    <s v="RES"/>
    <x v="0"/>
    <s v="11"/>
    <s v="259"/>
    <s v="CO"/>
    <s v="A+"/>
    <s v="EX"/>
    <x v="0"/>
    <n v="3"/>
    <n v="3"/>
    <n v="2021"/>
    <n v="2021"/>
    <n v="2949"/>
    <m/>
    <m/>
    <n v="0"/>
    <m/>
    <m/>
    <n v="2949"/>
    <n v="3000"/>
    <n v="13"/>
    <n v="1023"/>
    <m/>
    <m/>
    <m/>
    <m/>
    <m/>
    <m/>
    <n v="533490"/>
    <n v="517485"/>
    <n v="0"/>
    <n v="492600"/>
    <n v="90400"/>
    <n v="402200"/>
    <n v="0"/>
    <n v="0"/>
    <n v="89850.625589999996"/>
    <n v="-21941.307652582615"/>
    <n v="29814.093161000001"/>
    <n v="354070.39217000001"/>
    <n v="-669.13680150000005"/>
    <n v="145706.16746727302"/>
    <n v="0"/>
    <n v="0"/>
    <n v="0"/>
    <n v="49296.287367600002"/>
    <n v="0"/>
    <n v="0"/>
    <n v="578200"/>
    <n v="67900"/>
    <n v="646100"/>
    <n v="0.31161185546082015"/>
    <n v="0.99970000000000003"/>
    <n v="1.0088999999999999"/>
    <n v="1.1303000000000001"/>
    <n v="0.96179999999999999"/>
    <n v="1"/>
    <n v="0.94971499999999998"/>
    <n v="1.0416454466654774"/>
    <n v="578200"/>
    <n v="0"/>
    <n v="578200"/>
    <n v="64500"/>
    <n v="642700"/>
    <n v="0.43759323719542514"/>
    <n v="-0.28650442477876104"/>
    <n v="0.30470970361347949"/>
  </r>
  <r>
    <n v="2025"/>
    <s v="18132313536    "/>
    <n v="-1.7719568419318752"/>
    <n v="0.17"/>
    <n v="7348"/>
    <s v="6"/>
    <s v="RES"/>
    <x v="0"/>
    <s v="11"/>
    <s v="259"/>
    <s v="CP"/>
    <s v="A"/>
    <s v="EX"/>
    <x v="0"/>
    <n v="5"/>
    <n v="5"/>
    <n v="2019"/>
    <n v="2019"/>
    <n v="1680"/>
    <m/>
    <m/>
    <n v="0"/>
    <m/>
    <m/>
    <n v="1680"/>
    <n v="2000"/>
    <n v="9"/>
    <m/>
    <m/>
    <m/>
    <m/>
    <m/>
    <m/>
    <m/>
    <n v="284362"/>
    <n v="275831"/>
    <n v="23542"/>
    <n v="400300"/>
    <n v="52700"/>
    <n v="347600"/>
    <n v="0"/>
    <n v="0"/>
    <n v="89850.625589999996"/>
    <n v="-56090.612940989391"/>
    <n v="21557.329055999999"/>
    <n v="354070.39217000001"/>
    <n v="-1115.2280025"/>
    <n v="83006.565393359997"/>
    <n v="0"/>
    <n v="0"/>
    <n v="0"/>
    <n v="34128.198946800003"/>
    <n v="0"/>
    <n v="23500"/>
    <n v="491600"/>
    <n v="33800"/>
    <n v="548900"/>
    <n v="0.37122158381214088"/>
    <n v="0.99970000000000003"/>
    <n v="1.0067999999999999"/>
    <n v="1.1303000000000001"/>
    <n v="1.0093000000000001"/>
    <n v="1"/>
    <n v="0.94971499999999998"/>
    <n v="1.090813502410001"/>
    <n v="491600"/>
    <n v="22400"/>
    <n v="514000"/>
    <n v="32100"/>
    <n v="546100"/>
    <n v="0.47871116225546606"/>
    <n v="-0.39089184060721061"/>
    <n v="0.36422682987759181"/>
  </r>
  <r>
    <n v="2025"/>
    <s v="18132242480    "/>
    <n v="-1.6094379124341003"/>
    <n v="0.2"/>
    <n v="8580"/>
    <s v="6"/>
    <s v="RES"/>
    <x v="0"/>
    <s v="11"/>
    <s v="259"/>
    <s v="CP"/>
    <s v="A+"/>
    <s v="EX"/>
    <x v="0"/>
    <n v="7"/>
    <n v="7"/>
    <n v="2017"/>
    <n v="2017"/>
    <n v="1420"/>
    <m/>
    <m/>
    <n v="0"/>
    <m/>
    <m/>
    <n v="1420"/>
    <n v="1500"/>
    <n v="8"/>
    <n v="442"/>
    <m/>
    <m/>
    <m/>
    <m/>
    <m/>
    <m/>
    <n v="279778"/>
    <n v="268587"/>
    <n v="0"/>
    <n v="362900"/>
    <n v="58400"/>
    <n v="304500"/>
    <n v="0"/>
    <n v="0"/>
    <n v="89850.625589999996"/>
    <n v="-50946.13867709865"/>
    <n v="29814.093161000001"/>
    <n v="354070.39217000001"/>
    <n v="-1561.3192035"/>
    <n v="70160.311225340003"/>
    <n v="0"/>
    <n v="0"/>
    <n v="0"/>
    <n v="30336.176841600001"/>
    <n v="0"/>
    <n v="0"/>
    <n v="482800"/>
    <n v="38900"/>
    <n v="521700"/>
    <n v="0.43758611187655"/>
    <n v="0.99970000000000003"/>
    <n v="1.0088999999999999"/>
    <n v="1.1303000000000001"/>
    <n v="1.0157"/>
    <n v="1"/>
    <n v="0.94971499999999998"/>
    <n v="1.1000200459327567"/>
    <n v="482800"/>
    <n v="0"/>
    <n v="482800"/>
    <n v="36900"/>
    <n v="519700"/>
    <n v="0.58555008210180626"/>
    <n v="-0.36815068493150682"/>
    <n v="0.43207495177734911"/>
  </r>
  <r>
    <n v="2025"/>
    <s v="18132243488    "/>
    <n v="-1.8971199848858813"/>
    <n v="0.15"/>
    <n v="6627"/>
    <s v="6"/>
    <s v="RES"/>
    <x v="0"/>
    <s v="11"/>
    <s v="259"/>
    <s v="CP"/>
    <s v="G"/>
    <s v="EX"/>
    <x v="0"/>
    <n v="7"/>
    <n v="7"/>
    <n v="2017"/>
    <n v="2017"/>
    <n v="1248"/>
    <n v="1012"/>
    <m/>
    <n v="0"/>
    <m/>
    <m/>
    <n v="2260"/>
    <n v="2500"/>
    <n v="17"/>
    <n v="440"/>
    <m/>
    <m/>
    <m/>
    <m/>
    <m/>
    <m/>
    <n v="451949"/>
    <n v="433871"/>
    <n v="0"/>
    <n v="436000"/>
    <n v="48400"/>
    <n v="387600"/>
    <n v="0"/>
    <n v="0"/>
    <n v="89850.625589999996"/>
    <n v="-60052.604136134301"/>
    <n v="44121.038090000002"/>
    <n v="354070.39217000001"/>
    <n v="-1561.3192035"/>
    <n v="61662.020006496001"/>
    <n v="45323.859935331995"/>
    <n v="0"/>
    <n v="0"/>
    <n v="64464.375788400001"/>
    <n v="0"/>
    <n v="0"/>
    <n v="568100"/>
    <n v="29800"/>
    <n v="597900"/>
    <n v="0.3713302752293578"/>
    <n v="0.99970000000000003"/>
    <n v="0.98050000000000004"/>
    <n v="1.1303000000000001"/>
    <n v="0.98919999999999997"/>
    <n v="1"/>
    <n v="0.94971499999999998"/>
    <n v="1.0411630109849137"/>
    <n v="568100"/>
    <n v="0"/>
    <n v="568100"/>
    <n v="28300"/>
    <n v="596400"/>
    <n v="0.46568627450980393"/>
    <n v="-0.41528925619834711"/>
    <n v="0.36788990825688073"/>
  </r>
  <r>
    <n v="2025"/>
    <s v="18132214539    "/>
    <n v="-1.6607312068216509"/>
    <n v="0.19"/>
    <n v="8139"/>
    <s v="6"/>
    <s v="RES"/>
    <x v="0"/>
    <s v="11"/>
    <s v="259"/>
    <s v="RN"/>
    <s v="A+"/>
    <s v="EX"/>
    <x v="1"/>
    <n v="12"/>
    <n v="12"/>
    <n v="2012"/>
    <n v="2012"/>
    <n v="1528"/>
    <m/>
    <m/>
    <n v="0"/>
    <m/>
    <m/>
    <n v="1528"/>
    <n v="2000"/>
    <n v="8"/>
    <n v="400"/>
    <m/>
    <m/>
    <m/>
    <m/>
    <m/>
    <m/>
    <n v="295309"/>
    <n v="280544"/>
    <n v="0"/>
    <n v="368700"/>
    <n v="56600"/>
    <n v="312100"/>
    <n v="0"/>
    <n v="0"/>
    <n v="89850.625589999996"/>
    <n v="-52569.808201026557"/>
    <n v="29814.093161000001"/>
    <n v="354070.39217000001"/>
    <n v="-2676.5472060000002"/>
    <n v="75496.447572056"/>
    <n v="0"/>
    <n v="0"/>
    <n v="0"/>
    <n v="30336.176841600001"/>
    <n v="0"/>
    <n v="0"/>
    <n v="487000"/>
    <n v="37300"/>
    <n v="524300"/>
    <n v="0.42202332519663682"/>
    <n v="0.99970000000000003"/>
    <n v="1.0088999999999999"/>
    <n v="1.1303000000000001"/>
    <n v="1.0093000000000001"/>
    <n v="1"/>
    <n v="0.94971499999999998"/>
    <n v="1.0930887391551949"/>
    <n v="487000"/>
    <n v="0"/>
    <n v="487000"/>
    <n v="35400"/>
    <n v="522400"/>
    <n v="0.56039730855495029"/>
    <n v="-0.37455830388692579"/>
    <n v="0.41687008407919718"/>
  </r>
  <r>
    <n v="2025"/>
    <s v="18132242436    "/>
    <n v="-1.5141277326297755"/>
    <n v="0.22"/>
    <n v="9797"/>
    <s v="6"/>
    <s v="RES"/>
    <x v="0"/>
    <s v="11"/>
    <s v="259"/>
    <s v="RN"/>
    <s v="G"/>
    <s v="VG"/>
    <x v="1"/>
    <n v="12"/>
    <n v="12"/>
    <n v="2012"/>
    <n v="2012"/>
    <n v="1629"/>
    <m/>
    <m/>
    <n v="0"/>
    <m/>
    <n v="299"/>
    <n v="1928"/>
    <n v="2000"/>
    <n v="10"/>
    <n v="529"/>
    <m/>
    <m/>
    <m/>
    <m/>
    <m/>
    <m/>
    <n v="419877"/>
    <n v="398883"/>
    <n v="0"/>
    <n v="415400"/>
    <n v="61700"/>
    <n v="353700"/>
    <n v="0"/>
    <n v="0"/>
    <n v="89850.625589999996"/>
    <n v="-47929.131559187132"/>
    <n v="44121.038090000002"/>
    <n v="284810.60806"/>
    <n v="-2676.5472060000002"/>
    <n v="80486.723229633004"/>
    <n v="0"/>
    <n v="19463.306644249002"/>
    <n v="0"/>
    <n v="37920.221052000001"/>
    <n v="0"/>
    <n v="0"/>
    <n v="464100"/>
    <n v="41900"/>
    <n v="506000"/>
    <n v="0.21810303322099181"/>
    <n v="0.99970000000000003"/>
    <n v="0.98050000000000004"/>
    <n v="1.0158"/>
    <n v="1.0093000000000001"/>
    <n v="1"/>
    <n v="0.94971499999999998"/>
    <n v="0.95470539586846925"/>
    <n v="464100"/>
    <n v="0"/>
    <n v="464100"/>
    <n v="39800"/>
    <n v="503900"/>
    <n v="0.31212892281594573"/>
    <n v="-0.35494327390599678"/>
    <n v="0.21304766490129995"/>
  </r>
  <r>
    <n v="2025"/>
    <s v="18132213470    "/>
    <n v="-1.5141277326297755"/>
    <n v="0.22"/>
    <n v="9648"/>
    <s v="6"/>
    <s v="RES"/>
    <x v="0"/>
    <s v="11"/>
    <s v="259"/>
    <s v="CP"/>
    <s v="A+"/>
    <s v="VG"/>
    <x v="1"/>
    <n v="13"/>
    <n v="13"/>
    <n v="2011"/>
    <n v="2011"/>
    <n v="1195"/>
    <m/>
    <n v="598"/>
    <n v="0"/>
    <n v="598"/>
    <m/>
    <n v="1793"/>
    <n v="2000"/>
    <n v="11"/>
    <n v="572"/>
    <m/>
    <n v="192"/>
    <m/>
    <m/>
    <m/>
    <m/>
    <n v="330951"/>
    <n v="314403"/>
    <n v="38891"/>
    <n v="425100"/>
    <n v="61700"/>
    <n v="363400"/>
    <n v="0"/>
    <n v="0"/>
    <n v="89850.625589999996"/>
    <n v="-47929.131559187132"/>
    <n v="29814.093161000001"/>
    <n v="284810.60806"/>
    <n v="-2899.5928065000003"/>
    <n v="59043.360503014999"/>
    <n v="0"/>
    <n v="0"/>
    <n v="17390.973357706"/>
    <n v="41712.243157199999"/>
    <n v="6392.7389329920006"/>
    <n v="38900"/>
    <n v="436300"/>
    <n v="41900"/>
    <n v="517100"/>
    <n v="0.21641966596095036"/>
    <n v="0.99970000000000003"/>
    <n v="1.0088999999999999"/>
    <n v="1.0158"/>
    <n v="1.0093000000000001"/>
    <n v="1"/>
    <n v="0.94971499999999998"/>
    <n v="0.98235825996093673"/>
    <n v="436300"/>
    <n v="36900"/>
    <n v="473200"/>
    <n v="39800"/>
    <n v="513000"/>
    <n v="0.30214639515685193"/>
    <n v="-0.35494327390599678"/>
    <n v="0.20677487649964715"/>
  </r>
  <r>
    <n v="2025"/>
    <s v="18132242450    "/>
    <n v="-0.96758402626170559"/>
    <n v="0.38"/>
    <n v="16549"/>
    <s v="6"/>
    <s v="RES"/>
    <x v="0"/>
    <s v="11"/>
    <s v="259"/>
    <s v="RN"/>
    <s v="A"/>
    <s v="VG"/>
    <x v="1"/>
    <n v="13"/>
    <n v="13"/>
    <n v="2011"/>
    <n v="2011"/>
    <n v="1786"/>
    <m/>
    <m/>
    <n v="0"/>
    <m/>
    <m/>
    <n v="1786"/>
    <n v="2000"/>
    <n v="8"/>
    <n v="528"/>
    <m/>
    <m/>
    <m/>
    <m/>
    <m/>
    <m/>
    <n v="294888"/>
    <n v="280144"/>
    <n v="0"/>
    <n v="396400"/>
    <n v="80800"/>
    <n v="315600"/>
    <n v="0"/>
    <n v="0"/>
    <n v="89850.625589999996"/>
    <n v="-30628.500548443946"/>
    <n v="21557.329055999999"/>
    <n v="284810.60806"/>
    <n v="-2899.5928065000003"/>
    <n v="88243.884400322"/>
    <n v="0"/>
    <n v="0"/>
    <n v="0"/>
    <n v="30336.176841600001"/>
    <n v="0"/>
    <n v="0"/>
    <n v="422000"/>
    <n v="59200"/>
    <n v="481200"/>
    <n v="0.21392532795156408"/>
    <n v="0.99970000000000003"/>
    <n v="1.0067999999999999"/>
    <n v="1.0158"/>
    <n v="1.0093000000000001"/>
    <n v="1"/>
    <n v="0.94971499999999998"/>
    <n v="0.98031350592593025"/>
    <n v="422000"/>
    <n v="0"/>
    <n v="422000"/>
    <n v="56200"/>
    <n v="478200"/>
    <n v="0.33713561470215464"/>
    <n v="-0.30445544554455445"/>
    <n v="0.2063572149344097"/>
  </r>
  <r>
    <n v="2025"/>
    <s v="18132244506    "/>
    <n v="-1.5141277326297755"/>
    <n v="0.22"/>
    <n v="9765"/>
    <s v="6"/>
    <s v="RES"/>
    <x v="0"/>
    <s v="11"/>
    <s v="400"/>
    <s v="CO"/>
    <s v="G"/>
    <s v="EX"/>
    <x v="1"/>
    <n v="14"/>
    <n v="14"/>
    <n v="2010"/>
    <n v="2010"/>
    <n v="988"/>
    <n v="988"/>
    <m/>
    <n v="0"/>
    <m/>
    <m/>
    <n v="1976"/>
    <n v="2000"/>
    <n v="10"/>
    <n v="600"/>
    <m/>
    <m/>
    <m/>
    <m/>
    <m/>
    <m/>
    <n v="411968"/>
    <n v="387250"/>
    <n v="0"/>
    <n v="411000"/>
    <n v="61700"/>
    <n v="349300"/>
    <n v="0"/>
    <n v="0"/>
    <n v="89850.625589999996"/>
    <n v="-47929.131559187132"/>
    <n v="44121.038090000002"/>
    <n v="354070.39217000001"/>
    <n v="-3122.6384069999999"/>
    <n v="48815.765838476"/>
    <n v="44248.985786667996"/>
    <n v="0"/>
    <n v="0"/>
    <n v="37920.221052000001"/>
    <n v="0"/>
    <n v="0"/>
    <n v="526100"/>
    <n v="41900"/>
    <n v="568000"/>
    <n v="0.38199513381995132"/>
    <n v="0.99970000000000003"/>
    <n v="0.98050000000000004"/>
    <n v="1.1303000000000001"/>
    <n v="1.0093000000000001"/>
    <n v="1"/>
    <n v="0.94971499999999998"/>
    <n v="1.0623188707916231"/>
    <n v="526100"/>
    <n v="0"/>
    <n v="526100"/>
    <n v="39800"/>
    <n v="565900"/>
    <n v="0.50615516747781275"/>
    <n v="-0.35494327390599678"/>
    <n v="0.37688564476885644"/>
  </r>
  <r>
    <n v="2025"/>
    <s v="18132242440    "/>
    <n v="-1.0498221244986778"/>
    <n v="0.35"/>
    <n v="15379"/>
    <s v="6"/>
    <s v="RES"/>
    <x v="0"/>
    <s v="11"/>
    <s v="259"/>
    <s v="RN"/>
    <s v="A+"/>
    <s v="VG"/>
    <x v="1"/>
    <n v="16"/>
    <n v="16"/>
    <n v="2008"/>
    <n v="2008"/>
    <n v="1380"/>
    <m/>
    <m/>
    <n v="0"/>
    <m/>
    <m/>
    <n v="1380"/>
    <n v="1500"/>
    <n v="8"/>
    <m/>
    <m/>
    <n v="327"/>
    <m/>
    <m/>
    <m/>
    <m/>
    <n v="257502"/>
    <n v="239477"/>
    <n v="46259"/>
    <n v="420500"/>
    <n v="77900"/>
    <n v="342600"/>
    <n v="0"/>
    <n v="0"/>
    <n v="89850.625589999996"/>
    <n v="-33231.715947405908"/>
    <n v="29814.093161000001"/>
    <n v="284810.60806"/>
    <n v="-3568.7296080000001"/>
    <n v="68183.964430260006"/>
    <n v="0"/>
    <n v="0"/>
    <n v="0"/>
    <n v="30336.176841600001"/>
    <n v="10887.633495252001"/>
    <n v="46300"/>
    <n v="420500"/>
    <n v="56600"/>
    <n v="523400"/>
    <n v="0.24470868014268729"/>
    <n v="0.99970000000000003"/>
    <n v="1.0088999999999999"/>
    <n v="1.0158"/>
    <n v="1.0157"/>
    <n v="1"/>
    <n v="0.94971499999999998"/>
    <n v="0.9885874216212458"/>
    <n v="420500"/>
    <n v="43900"/>
    <n v="464400"/>
    <n v="53800"/>
    <n v="518200"/>
    <n v="0.35551663747810858"/>
    <n v="-0.30937098844672656"/>
    <n v="0.23234244946492272"/>
  </r>
  <r>
    <n v="2025"/>
    <s v="18132244507    "/>
    <n v="-1.5141277326297755"/>
    <n v="0.22"/>
    <n v="9452"/>
    <s v="6"/>
    <s v="RES"/>
    <x v="0"/>
    <s v="11"/>
    <s v="259"/>
    <s v="RN"/>
    <s v="A"/>
    <s v="VG"/>
    <x v="1"/>
    <n v="18"/>
    <n v="18"/>
    <n v="2006"/>
    <n v="2006"/>
    <n v="2048"/>
    <m/>
    <m/>
    <n v="0"/>
    <m/>
    <m/>
    <n v="2048"/>
    <n v="2500"/>
    <n v="10"/>
    <m/>
    <m/>
    <m/>
    <m/>
    <m/>
    <m/>
    <m/>
    <n v="306819"/>
    <n v="282273"/>
    <n v="0"/>
    <n v="398800"/>
    <n v="61700"/>
    <n v="337100"/>
    <n v="0"/>
    <n v="0"/>
    <n v="89850.625589999996"/>
    <n v="-47929.131559187132"/>
    <n v="21557.329055999999"/>
    <n v="284810.60806"/>
    <n v="-4014.8208090000003"/>
    <n v="101188.955908096"/>
    <n v="0"/>
    <n v="0"/>
    <n v="0"/>
    <n v="37920.221052000001"/>
    <n v="0"/>
    <n v="0"/>
    <n v="441500"/>
    <n v="41900"/>
    <n v="483400"/>
    <n v="0.21213640922768304"/>
    <n v="0.99970000000000003"/>
    <n v="1.0067999999999999"/>
    <n v="1.0158"/>
    <n v="0.98919999999999997"/>
    <n v="1"/>
    <n v="0.94971499999999998"/>
    <n v="0.96079076593870016"/>
    <n v="441500"/>
    <n v="0"/>
    <n v="441500"/>
    <n v="39800"/>
    <n v="481300"/>
    <n v="0.30970038564224267"/>
    <n v="-0.35494327390599678"/>
    <n v="0.20687061183550651"/>
  </r>
  <r>
    <n v="2025"/>
    <s v="18132313538    "/>
    <n v="-1.7719568419318752"/>
    <n v="0.17"/>
    <n v="7348"/>
    <s v="6"/>
    <s v="RES"/>
    <x v="0"/>
    <s v="11"/>
    <s v="259"/>
    <s v="TD"/>
    <s v="A"/>
    <s v="VG"/>
    <x v="1"/>
    <n v="18"/>
    <n v="18"/>
    <n v="2006"/>
    <n v="2006"/>
    <n v="1536"/>
    <n v="480"/>
    <m/>
    <n v="0"/>
    <m/>
    <m/>
    <n v="2016"/>
    <n v="2500"/>
    <n v="9"/>
    <m/>
    <m/>
    <m/>
    <m/>
    <m/>
    <m/>
    <m/>
    <n v="295731"/>
    <n v="272073"/>
    <n v="0"/>
    <n v="389600"/>
    <n v="52700"/>
    <n v="336900"/>
    <n v="0"/>
    <n v="0"/>
    <n v="89850.625589999996"/>
    <n v="-56090.612940989391"/>
    <n v="21557.329055999999"/>
    <n v="284810.60806"/>
    <n v="-4014.8208090000003"/>
    <n v="75891.716931072006"/>
    <n v="21497.482973279999"/>
    <n v="0"/>
    <n v="0"/>
    <n v="34128.198946800003"/>
    <n v="0"/>
    <n v="0"/>
    <n v="433900"/>
    <n v="33800"/>
    <n v="467700"/>
    <n v="0.20046201232032854"/>
    <n v="0.99970000000000003"/>
    <n v="1.0067999999999999"/>
    <n v="1.0158"/>
    <n v="0.98919999999999997"/>
    <n v="1"/>
    <n v="0.94971499999999998"/>
    <n v="0.96079076593870016"/>
    <n v="433900"/>
    <n v="0"/>
    <n v="433900"/>
    <n v="32100"/>
    <n v="466000"/>
    <n v="0.28791926387652123"/>
    <n v="-0.39089184060721061"/>
    <n v="0.19609856262833675"/>
  </r>
  <r>
    <n v="2025"/>
    <s v="18132214532    "/>
    <n v="-2.120263536200091"/>
    <n v="0.12"/>
    <n v="5162"/>
    <s v="6"/>
    <s v="RES"/>
    <x v="0"/>
    <s v="11"/>
    <s v="325"/>
    <s v="PE"/>
    <s v="A+"/>
    <s v="GD"/>
    <x v="1"/>
    <n v="19"/>
    <n v="19"/>
    <n v="2005"/>
    <n v="2005"/>
    <n v="1555"/>
    <m/>
    <m/>
    <n v="0"/>
    <m/>
    <m/>
    <n v="1555"/>
    <n v="2000"/>
    <n v="8"/>
    <n v="412"/>
    <m/>
    <m/>
    <m/>
    <m/>
    <m/>
    <m/>
    <n v="301427"/>
    <n v="274299"/>
    <n v="0"/>
    <n v="271100"/>
    <n v="39900"/>
    <n v="231200"/>
    <n v="0"/>
    <n v="0"/>
    <n v="89850.625589999996"/>
    <n v="-67116.12750806773"/>
    <n v="29814.093161000001"/>
    <n v="197752.34721000001"/>
    <n v="-4237.8664095000004"/>
    <n v="76830.481658735007"/>
    <n v="0"/>
    <n v="0"/>
    <n v="0"/>
    <n v="30336.176841600001"/>
    <n v="0"/>
    <n v="0"/>
    <n v="330500"/>
    <n v="22700"/>
    <n v="353200"/>
    <n v="0.30284028033935817"/>
    <n v="0.99970000000000003"/>
    <n v="1.0088999999999999"/>
    <n v="0.99650000000000005"/>
    <n v="1.0093000000000001"/>
    <n v="1"/>
    <n v="0.94971499999999998"/>
    <n v="0.96369364643736299"/>
    <n v="330500"/>
    <n v="0"/>
    <n v="330500"/>
    <n v="21600"/>
    <n v="352100"/>
    <n v="0.42949826989619377"/>
    <n v="-0.45864661654135336"/>
    <n v="0.29878273699741792"/>
  </r>
  <r>
    <n v="2025"/>
    <s v="18132214533    "/>
    <n v="-2.120263536200091"/>
    <n v="0.12"/>
    <n v="5221"/>
    <s v="6"/>
    <s v="RES"/>
    <x v="0"/>
    <s v="11"/>
    <s v="325"/>
    <s v="PE"/>
    <s v="A+"/>
    <s v="GD"/>
    <x v="1"/>
    <n v="19"/>
    <n v="19"/>
    <n v="2005"/>
    <n v="2005"/>
    <n v="1557"/>
    <m/>
    <m/>
    <n v="0"/>
    <m/>
    <m/>
    <n v="1557"/>
    <n v="2000"/>
    <n v="8"/>
    <n v="450"/>
    <m/>
    <m/>
    <m/>
    <m/>
    <m/>
    <m/>
    <n v="303289"/>
    <n v="275993"/>
    <n v="0"/>
    <n v="272600"/>
    <n v="40000"/>
    <n v="232600"/>
    <n v="0"/>
    <n v="0"/>
    <n v="89850.625589999996"/>
    <n v="-67116.12750806773"/>
    <n v="29814.093161000001"/>
    <n v="197752.34721000001"/>
    <n v="-4237.8664095000004"/>
    <n v="76929.298998489001"/>
    <n v="0"/>
    <n v="0"/>
    <n v="0"/>
    <n v="30336.176841600001"/>
    <n v="0"/>
    <n v="0"/>
    <n v="330600"/>
    <n v="22700"/>
    <n v="353300"/>
    <n v="0.29603815113719734"/>
    <n v="0.99970000000000003"/>
    <n v="1.0088999999999999"/>
    <n v="0.99650000000000005"/>
    <n v="1.0093000000000001"/>
    <n v="1"/>
    <n v="0.94971499999999998"/>
    <n v="0.96369364643736299"/>
    <n v="330600"/>
    <n v="0"/>
    <n v="330600"/>
    <n v="21600"/>
    <n v="352200"/>
    <n v="0.42132416165090286"/>
    <n v="-0.46"/>
    <n v="0.29200293470286132"/>
  </r>
  <r>
    <n v="2025"/>
    <s v="18132214535    "/>
    <n v="-2.0402208285265546"/>
    <n v="0.13"/>
    <n v="5568"/>
    <s v="6"/>
    <s v="RES"/>
    <x v="0"/>
    <s v="11"/>
    <s v="325"/>
    <s v="PE"/>
    <s v="A+"/>
    <s v="GD"/>
    <x v="1"/>
    <n v="19"/>
    <n v="19"/>
    <n v="2005"/>
    <n v="2005"/>
    <n v="1612"/>
    <m/>
    <m/>
    <n v="0"/>
    <m/>
    <m/>
    <n v="1612"/>
    <n v="2000"/>
    <n v="10"/>
    <n v="572"/>
    <m/>
    <m/>
    <m/>
    <m/>
    <m/>
    <m/>
    <n v="324218"/>
    <n v="295038"/>
    <n v="0"/>
    <n v="288800"/>
    <n v="40200"/>
    <n v="248600"/>
    <n v="0"/>
    <n v="0"/>
    <n v="89850.625589999996"/>
    <n v="-64582.406353792743"/>
    <n v="29814.093161000001"/>
    <n v="197752.34721000001"/>
    <n v="-4237.8664095000004"/>
    <n v="79646.775841723997"/>
    <n v="0"/>
    <n v="0"/>
    <n v="0"/>
    <n v="37920.221052000001"/>
    <n v="0"/>
    <n v="0"/>
    <n v="340900"/>
    <n v="25300"/>
    <n v="366200"/>
    <n v="0.26800554016620498"/>
    <n v="0.99970000000000003"/>
    <n v="1.0088999999999999"/>
    <n v="0.99650000000000005"/>
    <n v="1.0093000000000001"/>
    <n v="1"/>
    <n v="0.94971499999999998"/>
    <n v="0.96369364643736299"/>
    <n v="340900"/>
    <n v="0"/>
    <n v="340900"/>
    <n v="24000"/>
    <n v="364900"/>
    <n v="0.37127916331456157"/>
    <n v="-0.40298507462686567"/>
    <n v="0.26350415512465375"/>
  </r>
  <r>
    <n v="2025"/>
    <s v="18132214534    "/>
    <n v="-2.120263536200091"/>
    <n v="0.12"/>
    <n v="5115"/>
    <s v="6"/>
    <s v="RES"/>
    <x v="0"/>
    <s v="11"/>
    <s v="325"/>
    <s v="PE"/>
    <s v="A+"/>
    <s v="GD"/>
    <x v="1"/>
    <n v="19"/>
    <n v="19"/>
    <n v="2005"/>
    <n v="2005"/>
    <n v="1612"/>
    <m/>
    <m/>
    <n v="0"/>
    <m/>
    <m/>
    <n v="1612"/>
    <n v="2000"/>
    <n v="10"/>
    <n v="572"/>
    <m/>
    <m/>
    <m/>
    <m/>
    <m/>
    <m/>
    <n v="324218"/>
    <n v="295038"/>
    <n v="0"/>
    <n v="288400"/>
    <n v="39800"/>
    <n v="248600"/>
    <n v="0"/>
    <n v="0"/>
    <n v="89850.625589999996"/>
    <n v="-67116.12750806773"/>
    <n v="29814.093161000001"/>
    <n v="197752.34721000001"/>
    <n v="-4237.8664095000004"/>
    <n v="79646.775841723997"/>
    <n v="0"/>
    <n v="0"/>
    <n v="0"/>
    <n v="37920.221052000001"/>
    <n v="0"/>
    <n v="0"/>
    <n v="340900"/>
    <n v="22700"/>
    <n v="363600"/>
    <n v="0.26074895977808599"/>
    <n v="0.99970000000000003"/>
    <n v="1.0088999999999999"/>
    <n v="0.99650000000000005"/>
    <n v="1.0093000000000001"/>
    <n v="1"/>
    <n v="0.94971499999999998"/>
    <n v="0.96369364643736299"/>
    <n v="340900"/>
    <n v="0"/>
    <n v="340900"/>
    <n v="21600"/>
    <n v="362500"/>
    <n v="0.37127916331456157"/>
    <n v="-0.457286432160804"/>
    <n v="0.25693481276005548"/>
  </r>
  <r>
    <n v="2025"/>
    <s v="18131543450    "/>
    <n v="-2.2072749131897207"/>
    <n v="0.11"/>
    <n v="4584"/>
    <s v="6"/>
    <s v="RES"/>
    <x v="0"/>
    <s v="11"/>
    <s v="325"/>
    <s v="PE"/>
    <s v="G"/>
    <s v="GD"/>
    <x v="2"/>
    <n v="22"/>
    <n v="22"/>
    <n v="2002"/>
    <n v="2002"/>
    <n v="1274"/>
    <m/>
    <m/>
    <n v="0"/>
    <m/>
    <m/>
    <n v="1274"/>
    <n v="1500"/>
    <n v="8"/>
    <n v="483"/>
    <m/>
    <n v="181"/>
    <m/>
    <m/>
    <m/>
    <m/>
    <n v="321599"/>
    <n v="292655"/>
    <n v="0"/>
    <n v="369000"/>
    <n v="42900"/>
    <n v="326100"/>
    <n v="0"/>
    <n v="0"/>
    <n v="89850.625589999996"/>
    <n v="-69870.439211769743"/>
    <n v="44121.038090000002"/>
    <n v="197752.34721000001"/>
    <n v="-4907.0032110000002"/>
    <n v="62946.645423298003"/>
    <n v="0"/>
    <n v="0"/>
    <n v="0"/>
    <n v="30336.176841600001"/>
    <n v="6026.4882649560004"/>
    <n v="0"/>
    <n v="336300"/>
    <n v="20000"/>
    <n v="356300"/>
    <n v="-3.4417344173441736E-2"/>
    <n v="0.99970000000000003"/>
    <n v="0.98050000000000004"/>
    <n v="0.99650000000000005"/>
    <n v="1.0157"/>
    <n v="0.97319999999999995"/>
    <n v="0.94971499999999998"/>
    <n v="0.91724584079958493"/>
    <n v="336300"/>
    <n v="0"/>
    <n v="336300"/>
    <n v="19000"/>
    <n v="355300"/>
    <n v="3.1278748850046001E-2"/>
    <n v="-0.55710955710955712"/>
    <n v="-3.7127371273712739E-2"/>
  </r>
  <r>
    <n v="2025"/>
    <s v="18131543451    "/>
    <n v="-2.2072749131897207"/>
    <n v="0.11"/>
    <n v="4977"/>
    <s v="6"/>
    <s v="RES"/>
    <x v="0"/>
    <s v="11"/>
    <s v="325"/>
    <s v="PE"/>
    <s v="G"/>
    <s v="GD"/>
    <x v="2"/>
    <n v="22"/>
    <n v="22"/>
    <n v="2002"/>
    <n v="2002"/>
    <n v="1444"/>
    <m/>
    <m/>
    <n v="0"/>
    <m/>
    <m/>
    <n v="1444"/>
    <n v="1500"/>
    <n v="10"/>
    <n v="550"/>
    <m/>
    <n v="167"/>
    <m/>
    <m/>
    <m/>
    <m/>
    <n v="377392"/>
    <n v="343427"/>
    <n v="0"/>
    <n v="426100"/>
    <n v="43600"/>
    <n v="382500"/>
    <n v="0"/>
    <n v="0"/>
    <n v="89850.625589999996"/>
    <n v="-69870.439211769743"/>
    <n v="44121.038090000002"/>
    <n v="197752.34721000001"/>
    <n v="-4907.0032110000002"/>
    <n v="71346.119302388004"/>
    <n v="0"/>
    <n v="0"/>
    <n v="0"/>
    <n v="37920.221052000001"/>
    <n v="5560.3510510920005"/>
    <n v="0"/>
    <n v="351800"/>
    <n v="20000"/>
    <n v="371800"/>
    <n v="-0.12743487444261911"/>
    <n v="0.99970000000000003"/>
    <n v="0.98050000000000004"/>
    <n v="0.99650000000000005"/>
    <n v="1.0157"/>
    <n v="0.97319999999999995"/>
    <n v="0.94971499999999998"/>
    <n v="0.91724584079958493"/>
    <n v="351800"/>
    <n v="0"/>
    <n v="351800"/>
    <n v="19000"/>
    <n v="370800"/>
    <n v="-8.0261437908496727E-2"/>
    <n v="-0.56422018348623848"/>
    <n v="-0.12978174137526402"/>
  </r>
  <r>
    <n v="2025"/>
    <s v="18131544461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36800"/>
    <n v="35500"/>
    <n v="201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0.12753378378378377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43119721808246397"/>
    <n v="-1.5661971830985915"/>
    <n v="0.13175675675675674"/>
  </r>
  <r>
    <n v="2025"/>
    <s v="18131544462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63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64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65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66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67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68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69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70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71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72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73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74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75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1544476    "/>
    <n v="-3.5065578973199818"/>
    <n v="0.03"/>
    <n v="1015"/>
    <s v="6"/>
    <s v="CON"/>
    <x v="0"/>
    <s v="11"/>
    <s v="262"/>
    <s v="CE"/>
    <s v="A+"/>
    <s v="AV"/>
    <x v="2"/>
    <n v="23"/>
    <n v="23"/>
    <n v="2001"/>
    <n v="2001"/>
    <n v="581"/>
    <n v="810"/>
    <m/>
    <n v="0"/>
    <m/>
    <m/>
    <n v="1391"/>
    <n v="1500"/>
    <n v="10"/>
    <m/>
    <n v="434"/>
    <m/>
    <m/>
    <m/>
    <m/>
    <m/>
    <n v="257300"/>
    <n v="231570"/>
    <n v="0"/>
    <n v="275600"/>
    <n v="41300"/>
    <n v="234300"/>
    <n v="0"/>
    <n v="0"/>
    <n v="89850.625589999996"/>
    <n v="-110998.74281323297"/>
    <n v="29814.093161000001"/>
    <n v="160472.20319"/>
    <n v="-5130.0488114999998"/>
    <n v="28706.437198537002"/>
    <n v="36277.002517410001"/>
    <n v="0"/>
    <n v="0"/>
    <n v="37920.221052000001"/>
    <n v="0"/>
    <n v="0"/>
    <n v="288100"/>
    <n v="-21100"/>
    <n v="267000"/>
    <n v="-3.1204644412191583E-2"/>
    <n v="0.99970000000000003"/>
    <n v="1.0088999999999999"/>
    <n v="0.99729999999999996"/>
    <n v="1.0157"/>
    <n v="0.97319999999999995"/>
    <n v="0.94971499999999998"/>
    <n v="0.944571398768702"/>
    <n v="288100"/>
    <n v="0"/>
    <n v="288100"/>
    <n v="-20100"/>
    <n v="268000"/>
    <n v="0.22962014511310286"/>
    <n v="-1.486682808716707"/>
    <n v="-2.7576197387518143E-2"/>
  </r>
  <r>
    <n v="2025"/>
    <s v="18132322493    "/>
    <n v="-1.5141277326297755"/>
    <n v="0.22"/>
    <n v="9690"/>
    <s v="6"/>
    <s v="RES"/>
    <x v="0"/>
    <s v="11"/>
    <s v="259"/>
    <s v="RN"/>
    <s v="G"/>
    <s v="GD"/>
    <x v="2"/>
    <n v="24"/>
    <n v="24"/>
    <n v="2000"/>
    <n v="2000"/>
    <n v="1912"/>
    <m/>
    <m/>
    <n v="0"/>
    <m/>
    <m/>
    <n v="1912"/>
    <n v="2000"/>
    <n v="9"/>
    <m/>
    <m/>
    <n v="384"/>
    <m/>
    <m/>
    <m/>
    <m/>
    <n v="415051"/>
    <n v="373546"/>
    <n v="0"/>
    <n v="386800"/>
    <n v="61700"/>
    <n v="325100"/>
    <n v="0"/>
    <n v="0"/>
    <n v="89850.625589999996"/>
    <n v="-47929.131559187132"/>
    <n v="44121.038090000002"/>
    <n v="197752.34721000001"/>
    <n v="-5353.0944120000004"/>
    <n v="94469.376804824002"/>
    <n v="0"/>
    <n v="0"/>
    <n v="0"/>
    <n v="34128.198946800003"/>
    <n v="12785.477865984001"/>
    <n v="0"/>
    <n v="377900"/>
    <n v="41900"/>
    <n v="419800"/>
    <n v="8.5315408479834542E-2"/>
    <n v="0.99970000000000003"/>
    <n v="0.98050000000000004"/>
    <n v="0.99650000000000005"/>
    <n v="1.0093000000000001"/>
    <n v="0.97319999999999995"/>
    <n v="0.94971499999999998"/>
    <n v="0.91146620765877828"/>
    <n v="377900"/>
    <n v="0"/>
    <n v="377900"/>
    <n v="39800"/>
    <n v="417700"/>
    <n v="0.16241156567210088"/>
    <n v="-0.35494327390599678"/>
    <n v="7.9886246122026883E-2"/>
  </r>
  <r>
    <n v="2025"/>
    <s v="18132243034    "/>
    <n v="-0.61618613942381695"/>
    <n v="0.54"/>
    <n v="23708"/>
    <s v="6"/>
    <s v="RES"/>
    <x v="0"/>
    <s v="11"/>
    <s v="259"/>
    <s v="CP"/>
    <s v="G"/>
    <s v="AV"/>
    <x v="2"/>
    <n v="24"/>
    <n v="24"/>
    <n v="2000"/>
    <n v="2000"/>
    <n v="1886"/>
    <m/>
    <m/>
    <n v="0"/>
    <m/>
    <m/>
    <n v="1886"/>
    <n v="2000"/>
    <n v="8"/>
    <m/>
    <m/>
    <m/>
    <m/>
    <m/>
    <m/>
    <m/>
    <n v="386436"/>
    <n v="343928"/>
    <n v="9708"/>
    <n v="398700"/>
    <n v="93000"/>
    <n v="305700"/>
    <n v="0"/>
    <n v="0"/>
    <n v="89850.625589999996"/>
    <n v="-19505.135468391178"/>
    <n v="44121.038090000002"/>
    <n v="160472.20319"/>
    <n v="-5353.0944120000004"/>
    <n v="93184.751388022007"/>
    <n v="0"/>
    <n v="0"/>
    <n v="0"/>
    <n v="30336.176841600001"/>
    <n v="0"/>
    <n v="9700"/>
    <n v="322800"/>
    <n v="70300"/>
    <n v="402800"/>
    <n v="1.0283421118635566E-2"/>
    <n v="0.99970000000000003"/>
    <n v="0.98050000000000004"/>
    <n v="0.99729999999999996"/>
    <n v="1.0093000000000001"/>
    <n v="0.97319999999999995"/>
    <n v="0.94971499999999998"/>
    <n v="0.91219794169402857"/>
    <n v="322800"/>
    <n v="9200"/>
    <n v="332000"/>
    <n v="66800"/>
    <n v="398800"/>
    <n v="8.6032057572783774E-2"/>
    <n v="-0.2817204301075269"/>
    <n v="2.5081514923501377E-4"/>
  </r>
  <r>
    <n v="2025"/>
    <s v="18131543455    "/>
    <n v="-2.120263536200091"/>
    <n v="0.12"/>
    <n v="5135"/>
    <s v="6"/>
    <s v="RES"/>
    <x v="0"/>
    <s v="11"/>
    <s v="325"/>
    <s v="TE"/>
    <s v="G"/>
    <s v="GD"/>
    <x v="2"/>
    <n v="25"/>
    <n v="25"/>
    <n v="1999"/>
    <n v="1999"/>
    <n v="1068"/>
    <n v="478"/>
    <m/>
    <n v="0"/>
    <m/>
    <m/>
    <n v="1546"/>
    <n v="2000"/>
    <n v="12"/>
    <n v="478"/>
    <m/>
    <n v="144"/>
    <m/>
    <m/>
    <m/>
    <m/>
    <n v="353952"/>
    <n v="318557"/>
    <n v="0"/>
    <n v="373800"/>
    <n v="43900"/>
    <n v="329900"/>
    <n v="0"/>
    <n v="0"/>
    <n v="89850.625589999996"/>
    <n v="-67116.12750806773"/>
    <n v="44121.038090000002"/>
    <n v="197752.34721000001"/>
    <n v="-5576.1400125"/>
    <n v="52768.459428636001"/>
    <n v="21407.910127558"/>
    <n v="0"/>
    <n v="0"/>
    <n v="45504.265262400004"/>
    <n v="4794.5541997440005"/>
    <n v="0"/>
    <n v="360800"/>
    <n v="22700"/>
    <n v="383500"/>
    <n v="2.5949705724986623E-2"/>
    <n v="0.99970000000000003"/>
    <n v="0.98050000000000004"/>
    <n v="0.99650000000000005"/>
    <n v="1.0093000000000001"/>
    <n v="0.97319999999999995"/>
    <n v="0.94971499999999998"/>
    <n v="0.91146620765877828"/>
    <n v="360800"/>
    <n v="0"/>
    <n v="360800"/>
    <n v="21600"/>
    <n v="382400"/>
    <n v="9.3664746892997877E-2"/>
    <n v="-0.50797266514806383"/>
    <n v="2.3006955591225255E-2"/>
  </r>
  <r>
    <n v="2025"/>
    <s v="18131543454    "/>
    <n v="-2.2072749131897207"/>
    <n v="0.11"/>
    <n v="4780"/>
    <s v="6"/>
    <s v="RES"/>
    <x v="0"/>
    <s v="11"/>
    <s v="325"/>
    <s v="TE"/>
    <s v="G"/>
    <s v="GD"/>
    <x v="2"/>
    <n v="25"/>
    <n v="25"/>
    <n v="1999"/>
    <n v="1999"/>
    <n v="1260"/>
    <n v="537"/>
    <m/>
    <n v="0"/>
    <m/>
    <m/>
    <n v="1797"/>
    <n v="2000"/>
    <n v="10"/>
    <n v="515"/>
    <m/>
    <n v="264"/>
    <m/>
    <m/>
    <m/>
    <m/>
    <n v="389268"/>
    <n v="350341"/>
    <n v="0"/>
    <n v="404900"/>
    <n v="43300"/>
    <n v="361600"/>
    <n v="0"/>
    <n v="0"/>
    <n v="89850.625589999996"/>
    <n v="-69870.439211769743"/>
    <n v="44121.038090000002"/>
    <n v="197752.34721000001"/>
    <n v="-5576.1400125"/>
    <n v="62254.924045020001"/>
    <n v="24050.309076357"/>
    <n v="0"/>
    <n v="0"/>
    <n v="37920.221052000001"/>
    <n v="8790.0160328640013"/>
    <n v="0"/>
    <n v="369300"/>
    <n v="20000"/>
    <n v="389300"/>
    <n v="-3.8528031612743888E-2"/>
    <n v="0.99970000000000003"/>
    <n v="0.98050000000000004"/>
    <n v="0.99650000000000005"/>
    <n v="1.0093000000000001"/>
    <n v="0.97319999999999995"/>
    <n v="0.94971499999999998"/>
    <n v="0.91146620765877828"/>
    <n v="369300"/>
    <n v="0"/>
    <n v="369300"/>
    <n v="19000"/>
    <n v="388300"/>
    <n v="2.1294247787610618E-2"/>
    <n v="-0.56120092378752884"/>
    <n v="-4.0997777228945417E-2"/>
  </r>
  <r>
    <n v="2025"/>
    <s v="18131543443    "/>
    <n v="-3.2188758248682006"/>
    <n v="0.04"/>
    <n v="2044"/>
    <s v="6"/>
    <s v="CON"/>
    <x v="0"/>
    <s v="11"/>
    <s v="262"/>
    <s v="CE"/>
    <s v="A+"/>
    <s v="AV"/>
    <x v="2"/>
    <n v="25"/>
    <n v="25"/>
    <n v="1999"/>
    <n v="1999"/>
    <n v="1560"/>
    <m/>
    <m/>
    <n v="0"/>
    <m/>
    <m/>
    <n v="1560"/>
    <n v="2000"/>
    <n v="8"/>
    <n v="484"/>
    <m/>
    <m/>
    <m/>
    <m/>
    <m/>
    <m/>
    <n v="312414"/>
    <n v="278048"/>
    <n v="0"/>
    <n v="308500"/>
    <n v="46300"/>
    <n v="262200"/>
    <n v="0"/>
    <n v="0"/>
    <n v="89850.625589999996"/>
    <n v="-101892.2773541973"/>
    <n v="29814.093161000001"/>
    <n v="160472.20319"/>
    <n v="-5576.1400125"/>
    <n v="77077.525008120007"/>
    <n v="0"/>
    <n v="0"/>
    <n v="0"/>
    <n v="30336.176841600001"/>
    <n v="0"/>
    <n v="0"/>
    <n v="292100"/>
    <n v="-12000"/>
    <n v="280100"/>
    <n v="-9.2058346839546196E-2"/>
    <n v="0.99970000000000003"/>
    <n v="1.0088999999999999"/>
    <n v="0.99729999999999996"/>
    <n v="1.0093000000000001"/>
    <n v="0.97319999999999995"/>
    <n v="0.94971499999999998"/>
    <n v="0.93861958528822576"/>
    <n v="292100"/>
    <n v="0"/>
    <n v="292100"/>
    <n v="-11400"/>
    <n v="280700"/>
    <n v="0.11403508771929824"/>
    <n v="-1.2462203023758098"/>
    <n v="-9.0113452188006482E-2"/>
  </r>
  <r>
    <n v="2025"/>
    <s v="18131543442    "/>
    <n v="-3.5065578973199818"/>
    <n v="0.03"/>
    <n v="2044"/>
    <s v="6"/>
    <s v="CON"/>
    <x v="0"/>
    <s v="11"/>
    <s v="262"/>
    <s v="CE"/>
    <s v="A+"/>
    <s v="AV"/>
    <x v="2"/>
    <n v="25"/>
    <n v="25"/>
    <n v="1999"/>
    <n v="1999"/>
    <n v="1560"/>
    <m/>
    <m/>
    <n v="0"/>
    <m/>
    <m/>
    <n v="1560"/>
    <n v="2000"/>
    <n v="8"/>
    <n v="484"/>
    <m/>
    <m/>
    <m/>
    <m/>
    <m/>
    <m/>
    <n v="312414"/>
    <n v="278048"/>
    <n v="0"/>
    <n v="308500"/>
    <n v="46300"/>
    <n v="262200"/>
    <n v="0"/>
    <n v="0"/>
    <n v="89850.625589999996"/>
    <n v="-110998.74281323297"/>
    <n v="29814.093161000001"/>
    <n v="160472.20319"/>
    <n v="-5576.1400125"/>
    <n v="77077.525008120007"/>
    <n v="0"/>
    <n v="0"/>
    <n v="0"/>
    <n v="30336.176841600001"/>
    <n v="0"/>
    <n v="0"/>
    <n v="292100"/>
    <n v="-21100"/>
    <n v="271000"/>
    <n v="-0.12155591572123177"/>
    <n v="0.99970000000000003"/>
    <n v="1.0088999999999999"/>
    <n v="0.99729999999999996"/>
    <n v="1.0093000000000001"/>
    <n v="0.97319999999999995"/>
    <n v="0.94971499999999998"/>
    <n v="0.93861958528822576"/>
    <n v="292100"/>
    <n v="0"/>
    <n v="292100"/>
    <n v="-20100"/>
    <n v="272000"/>
    <n v="0.11403508771929824"/>
    <n v="-1.4341252699784017"/>
    <n v="-0.11831442463533225"/>
  </r>
  <r>
    <n v="2025"/>
    <s v="18131543436    "/>
    <n v="-3.2188758248682006"/>
    <n v="0.04"/>
    <n v="1726"/>
    <s v="6"/>
    <s v="CON"/>
    <x v="0"/>
    <s v="11"/>
    <s v="262"/>
    <s v="CM"/>
    <s v="A+"/>
    <s v="AV"/>
    <x v="2"/>
    <n v="26"/>
    <n v="26"/>
    <n v="1998"/>
    <n v="1998"/>
    <n v="1198"/>
    <m/>
    <m/>
    <n v="0"/>
    <m/>
    <m/>
    <n v="1198"/>
    <n v="1500"/>
    <n v="9"/>
    <n v="528"/>
    <m/>
    <m/>
    <m/>
    <m/>
    <m/>
    <m/>
    <n v="251419"/>
    <n v="221249"/>
    <n v="0"/>
    <n v="248200"/>
    <n v="37200"/>
    <n v="211000"/>
    <n v="0"/>
    <n v="0"/>
    <n v="89850.625589999996"/>
    <n v="-101892.2773541973"/>
    <n v="29814.093161000001"/>
    <n v="160472.20319"/>
    <n v="-5799.1856130000006"/>
    <n v="59191.586512646005"/>
    <n v="0"/>
    <n v="0"/>
    <n v="0"/>
    <n v="34128.198946800003"/>
    <n v="0"/>
    <n v="0"/>
    <n v="277800"/>
    <n v="-12000"/>
    <n v="265800"/>
    <n v="7.0910556003223213E-2"/>
    <n v="0.99970000000000003"/>
    <n v="1.0088999999999999"/>
    <n v="0.99729999999999996"/>
    <n v="1.0157"/>
    <n v="0.97319999999999995"/>
    <n v="0.94971499999999998"/>
    <n v="0.944571398768702"/>
    <n v="277800"/>
    <n v="0"/>
    <n v="277800"/>
    <n v="-11400"/>
    <n v="266400"/>
    <n v="0.31658767772511848"/>
    <n v="-1.3064516129032258"/>
    <n v="7.3327961321514909E-2"/>
  </r>
  <r>
    <n v="2025"/>
    <s v="18132241485    "/>
    <n v="-1.8325814637483102"/>
    <n v="0.16"/>
    <n v="6826"/>
    <s v="6"/>
    <s v="RES"/>
    <x v="0"/>
    <s v="11"/>
    <s v="259"/>
    <s v="CP"/>
    <s v="A+"/>
    <s v="GD"/>
    <x v="2"/>
    <n v="26"/>
    <n v="26"/>
    <n v="1998"/>
    <n v="1998"/>
    <n v="1407"/>
    <n v="706"/>
    <m/>
    <n v="0"/>
    <m/>
    <n v="319"/>
    <n v="2432"/>
    <n v="2500"/>
    <n v="11"/>
    <n v="609"/>
    <m/>
    <m/>
    <m/>
    <m/>
    <m/>
    <m/>
    <n v="404886"/>
    <n v="360349"/>
    <n v="0"/>
    <n v="389400"/>
    <n v="50600"/>
    <n v="338800"/>
    <n v="0"/>
    <n v="0"/>
    <n v="89850.625589999996"/>
    <n v="-58009.662049032086"/>
    <n v="29814.093161000001"/>
    <n v="197752.34721000001"/>
    <n v="-5799.1856130000006"/>
    <n v="69517.998516938998"/>
    <n v="31619.214539866"/>
    <n v="20765.200065269"/>
    <n v="0"/>
    <n v="41712.243157199999"/>
    <n v="0"/>
    <n v="0"/>
    <n v="385400"/>
    <n v="31800"/>
    <n v="417200"/>
    <n v="7.1391884951206991E-2"/>
    <n v="0.99970000000000003"/>
    <n v="1.0088999999999999"/>
    <n v="0.99650000000000005"/>
    <n v="0.98919999999999997"/>
    <n v="0.97319999999999995"/>
    <n v="0.94971499999999998"/>
    <n v="0.91918923691701471"/>
    <n v="385400"/>
    <n v="0"/>
    <n v="385400"/>
    <n v="30200"/>
    <n v="415600"/>
    <n v="0.13754427390791027"/>
    <n v="-0.40316205533596838"/>
    <n v="6.7282999486389314E-2"/>
  </r>
  <r>
    <n v="2025"/>
    <s v="18131543435    "/>
    <n v="-3.2188758248682006"/>
    <n v="0.04"/>
    <n v="1851"/>
    <s v="6"/>
    <s v="CON"/>
    <x v="0"/>
    <s v="11"/>
    <s v="262"/>
    <s v="CM"/>
    <s v="A+"/>
    <s v="AV"/>
    <x v="2"/>
    <n v="26"/>
    <n v="26"/>
    <n v="1998"/>
    <n v="1998"/>
    <n v="1275"/>
    <m/>
    <m/>
    <n v="0"/>
    <m/>
    <m/>
    <n v="1275"/>
    <n v="1500"/>
    <n v="9"/>
    <n v="576"/>
    <m/>
    <m/>
    <m/>
    <m/>
    <m/>
    <m/>
    <n v="267110"/>
    <n v="235057"/>
    <n v="0"/>
    <n v="255100"/>
    <n v="38300"/>
    <n v="216800"/>
    <n v="0"/>
    <n v="0"/>
    <n v="89850.625589999996"/>
    <n v="-101892.2773541973"/>
    <n v="29814.093161000001"/>
    <n v="160472.20319"/>
    <n v="-5799.1856130000006"/>
    <n v="62996.054093175"/>
    <n v="0"/>
    <n v="0"/>
    <n v="0"/>
    <n v="34128.198946800003"/>
    <n v="0"/>
    <n v="0"/>
    <n v="281600"/>
    <n v="-12000"/>
    <n v="269600"/>
    <n v="5.6840454723637787E-2"/>
    <n v="0.99970000000000003"/>
    <n v="1.0088999999999999"/>
    <n v="0.99729999999999996"/>
    <n v="1.0157"/>
    <n v="0.97319999999999995"/>
    <n v="0.94971499999999998"/>
    <n v="0.944571398768702"/>
    <n v="281600"/>
    <n v="0"/>
    <n v="281600"/>
    <n v="-11400"/>
    <n v="270200"/>
    <n v="0.2988929889298893"/>
    <n v="-1.2976501305483028"/>
    <n v="5.9192473539788321E-2"/>
  </r>
  <r>
    <n v="2025"/>
    <s v="18131543437    "/>
    <n v="-3.2188758248682006"/>
    <n v="0.04"/>
    <n v="1838"/>
    <s v="6"/>
    <s v="CON"/>
    <x v="0"/>
    <s v="11"/>
    <s v="262"/>
    <s v="CE"/>
    <s v="A+"/>
    <s v="AV"/>
    <x v="2"/>
    <n v="26"/>
    <n v="26"/>
    <n v="1998"/>
    <n v="1998"/>
    <n v="1310"/>
    <m/>
    <m/>
    <n v="0"/>
    <m/>
    <m/>
    <n v="1310"/>
    <n v="1500"/>
    <n v="11"/>
    <n v="528"/>
    <m/>
    <m/>
    <m/>
    <m/>
    <m/>
    <m/>
    <n v="275356"/>
    <n v="242313"/>
    <n v="0"/>
    <n v="271800"/>
    <n v="40800"/>
    <n v="231000"/>
    <n v="0"/>
    <n v="0"/>
    <n v="89850.625589999996"/>
    <n v="-101892.2773541973"/>
    <n v="29814.093161000001"/>
    <n v="160472.20319"/>
    <n v="-5799.1856130000006"/>
    <n v="64725.357538870005"/>
    <n v="0"/>
    <n v="0"/>
    <n v="0"/>
    <n v="41712.243157199999"/>
    <n v="0"/>
    <n v="0"/>
    <n v="290900"/>
    <n v="-12000"/>
    <n v="278900"/>
    <n v="2.6122148638704931E-2"/>
    <n v="0.99970000000000003"/>
    <n v="1.0088999999999999"/>
    <n v="0.99729999999999996"/>
    <n v="1.0157"/>
    <n v="0.97319999999999995"/>
    <n v="0.94971499999999998"/>
    <n v="0.944571398768702"/>
    <n v="290900"/>
    <n v="0"/>
    <n v="290900"/>
    <n v="-11400"/>
    <n v="279500"/>
    <n v="0.25930735930735932"/>
    <n v="-1.2794117647058822"/>
    <n v="2.8329654157468728E-2"/>
  </r>
  <r>
    <n v="2025"/>
    <s v="18131543434    "/>
    <n v="-3.2188758248682006"/>
    <n v="0.04"/>
    <n v="1894"/>
    <s v="6"/>
    <s v="CON"/>
    <x v="0"/>
    <s v="11"/>
    <s v="262"/>
    <s v="CE"/>
    <s v="A"/>
    <s v="AV"/>
    <x v="2"/>
    <n v="26"/>
    <n v="26"/>
    <n v="1998"/>
    <n v="1998"/>
    <n v="1258"/>
    <m/>
    <m/>
    <n v="0"/>
    <m/>
    <m/>
    <n v="1258"/>
    <n v="1500"/>
    <n v="9"/>
    <n v="636"/>
    <m/>
    <m/>
    <m/>
    <m/>
    <m/>
    <m/>
    <n v="234352"/>
    <n v="206230"/>
    <n v="0"/>
    <n v="266600"/>
    <n v="40000"/>
    <n v="226600"/>
    <n v="0"/>
    <n v="0"/>
    <n v="89850.625589999996"/>
    <n v="-101892.2773541973"/>
    <n v="21557.329055999999"/>
    <n v="160472.20319"/>
    <n v="-5799.1856130000006"/>
    <n v="62156.106705266"/>
    <n v="0"/>
    <n v="0"/>
    <n v="0"/>
    <n v="34128.198946800003"/>
    <n v="0"/>
    <n v="0"/>
    <n v="272500"/>
    <n v="-12000"/>
    <n v="260500"/>
    <n v="-2.288072018004501E-2"/>
    <n v="0.99970000000000003"/>
    <n v="1.0067999999999999"/>
    <n v="0.99729999999999996"/>
    <n v="1.0157"/>
    <n v="0.97319999999999995"/>
    <n v="0.94971499999999998"/>
    <n v="0.9426052971358202"/>
    <n v="272500"/>
    <n v="0"/>
    <n v="272500"/>
    <n v="-11400"/>
    <n v="261100"/>
    <n v="0.20255957634598412"/>
    <n v="-1.2849999999999999"/>
    <n v="-2.0630157539384845E-2"/>
  </r>
  <r>
    <n v="2025"/>
    <s v="18131543445    "/>
    <n v="-3.2188758248682006"/>
    <n v="0.04"/>
    <n v="2044"/>
    <s v="6"/>
    <s v="CON"/>
    <x v="0"/>
    <s v="11"/>
    <s v="262"/>
    <s v="CE"/>
    <s v="A+"/>
    <s v="AV"/>
    <x v="2"/>
    <n v="26"/>
    <n v="26"/>
    <n v="1998"/>
    <n v="1998"/>
    <n v="1560"/>
    <m/>
    <m/>
    <n v="0"/>
    <m/>
    <m/>
    <n v="1560"/>
    <n v="2000"/>
    <n v="8"/>
    <n v="484"/>
    <m/>
    <m/>
    <m/>
    <m/>
    <m/>
    <m/>
    <n v="312414"/>
    <n v="274924"/>
    <n v="0"/>
    <n v="308500"/>
    <n v="46300"/>
    <n v="262200"/>
    <n v="0"/>
    <n v="0"/>
    <n v="89850.625589999996"/>
    <n v="-101892.2773541973"/>
    <n v="29814.093161000001"/>
    <n v="160472.20319"/>
    <n v="-5799.1856130000006"/>
    <n v="77077.525008120007"/>
    <n v="0"/>
    <n v="0"/>
    <n v="0"/>
    <n v="30336.176841600001"/>
    <n v="0"/>
    <n v="0"/>
    <n v="291900"/>
    <n v="-12000"/>
    <n v="279900"/>
    <n v="-9.27066450567261E-2"/>
    <n v="0.99970000000000003"/>
    <n v="1.0088999999999999"/>
    <n v="0.99729999999999996"/>
    <n v="1.0093000000000001"/>
    <n v="0.97319999999999995"/>
    <n v="0.94971499999999998"/>
    <n v="0.93861958528822576"/>
    <n v="291900"/>
    <n v="0"/>
    <n v="291900"/>
    <n v="-11400"/>
    <n v="280500"/>
    <n v="0.11327231121281464"/>
    <n v="-1.2462203023758098"/>
    <n v="-9.0761750405186387E-2"/>
  </r>
  <r>
    <n v="2025"/>
    <s v="18131543444    "/>
    <n v="-3.5065578973199818"/>
    <n v="0.03"/>
    <n v="2044"/>
    <s v="6"/>
    <s v="CON"/>
    <x v="0"/>
    <s v="11"/>
    <s v="262"/>
    <s v="CE"/>
    <s v="A+"/>
    <s v="AV"/>
    <x v="2"/>
    <n v="26"/>
    <n v="26"/>
    <n v="1998"/>
    <n v="1998"/>
    <n v="1560"/>
    <m/>
    <m/>
    <n v="0"/>
    <m/>
    <m/>
    <n v="1560"/>
    <n v="2000"/>
    <n v="8"/>
    <n v="484"/>
    <m/>
    <m/>
    <m/>
    <m/>
    <m/>
    <m/>
    <n v="312414"/>
    <n v="274924"/>
    <n v="0"/>
    <n v="308500"/>
    <n v="46300"/>
    <n v="262200"/>
    <n v="0"/>
    <n v="0"/>
    <n v="89850.625589999996"/>
    <n v="-110998.74281323297"/>
    <n v="29814.093161000001"/>
    <n v="160472.20319"/>
    <n v="-5799.1856130000006"/>
    <n v="77077.525008120007"/>
    <n v="0"/>
    <n v="0"/>
    <n v="0"/>
    <n v="30336.176841600001"/>
    <n v="0"/>
    <n v="0"/>
    <n v="291900"/>
    <n v="-21100"/>
    <n v="270800"/>
    <n v="-0.12220421393841167"/>
    <n v="0.99970000000000003"/>
    <n v="1.0088999999999999"/>
    <n v="0.99729999999999996"/>
    <n v="1.0093000000000001"/>
    <n v="0.97319999999999995"/>
    <n v="0.94971499999999998"/>
    <n v="0.93861958528822576"/>
    <n v="291900"/>
    <n v="0"/>
    <n v="291900"/>
    <n v="-20100"/>
    <n v="271800"/>
    <n v="0.11327231121281464"/>
    <n v="-1.4341252699784017"/>
    <n v="-0.11896272285251215"/>
  </r>
  <r>
    <n v="2025"/>
    <s v="18132322501    "/>
    <n v="-1.5606477482646683"/>
    <n v="0.21"/>
    <n v="9167"/>
    <s v="6"/>
    <s v="RES"/>
    <x v="0"/>
    <s v="11"/>
    <s v="259"/>
    <s v="RN"/>
    <s v="A"/>
    <s v="GD"/>
    <x v="2"/>
    <n v="27"/>
    <n v="27"/>
    <n v="1997"/>
    <n v="1997"/>
    <n v="1092"/>
    <m/>
    <m/>
    <n v="0"/>
    <m/>
    <m/>
    <n v="1092"/>
    <n v="1500"/>
    <n v="8"/>
    <n v="440"/>
    <m/>
    <n v="100"/>
    <m/>
    <m/>
    <m/>
    <m/>
    <n v="207082"/>
    <n v="182232"/>
    <n v="0"/>
    <n v="312200"/>
    <n v="60100"/>
    <n v="252100"/>
    <n v="0"/>
    <n v="0"/>
    <n v="89850.625589999996"/>
    <n v="-49401.70477837498"/>
    <n v="21557.329055999999"/>
    <n v="197752.34721000001"/>
    <n v="-6022.2312135000002"/>
    <n v="53954.267505684002"/>
    <n v="0"/>
    <n v="0"/>
    <n v="0"/>
    <n v="30336.176841600001"/>
    <n v="3329.5515276000006"/>
    <n v="0"/>
    <n v="300900"/>
    <n v="40400"/>
    <n v="341300"/>
    <n v="9.3209481101857783E-2"/>
    <n v="0.99970000000000003"/>
    <n v="1.0067999999999999"/>
    <n v="0.99650000000000005"/>
    <n v="1.0157"/>
    <n v="0.97319999999999995"/>
    <n v="0.94971499999999998"/>
    <n v="0.94184917135851298"/>
    <n v="300900"/>
    <n v="0"/>
    <n v="300900"/>
    <n v="38400"/>
    <n v="339300"/>
    <n v="0.19357397857992861"/>
    <n v="-0.36106489184692181"/>
    <n v="8.6803331197950029E-2"/>
  </r>
  <r>
    <n v="2025"/>
    <s v="18131543457    "/>
    <n v="-2.2072749131897207"/>
    <n v="0.11"/>
    <n v="4972"/>
    <s v="6"/>
    <s v="RES"/>
    <x v="0"/>
    <s v="11"/>
    <s v="325"/>
    <s v="TE"/>
    <s v="G"/>
    <s v="GD"/>
    <x v="2"/>
    <n v="27"/>
    <n v="27"/>
    <n v="1997"/>
    <n v="1997"/>
    <n v="1058"/>
    <n v="523"/>
    <m/>
    <n v="0"/>
    <m/>
    <m/>
    <n v="1581"/>
    <n v="2000"/>
    <n v="12"/>
    <n v="480"/>
    <m/>
    <n v="102"/>
    <m/>
    <m/>
    <m/>
    <m/>
    <n v="359790"/>
    <n v="316615"/>
    <n v="0"/>
    <n v="376000"/>
    <n v="43600"/>
    <n v="332400"/>
    <n v="0"/>
    <n v="0"/>
    <n v="89850.625589999996"/>
    <n v="-69870.439211769743"/>
    <n v="44121.038090000002"/>
    <n v="197752.34721000001"/>
    <n v="-6022.2312135000002"/>
    <n v="52274.372729866001"/>
    <n v="23423.299156303001"/>
    <n v="0"/>
    <n v="0"/>
    <n v="45504.265262400004"/>
    <n v="3396.1425581520002"/>
    <n v="0"/>
    <n v="360400"/>
    <n v="20000"/>
    <n v="380400"/>
    <n v="1.1702127659574468E-2"/>
    <n v="0.99970000000000003"/>
    <n v="0.98050000000000004"/>
    <n v="0.99650000000000005"/>
    <n v="1.0093000000000001"/>
    <n v="0.97319999999999995"/>
    <n v="0.94971499999999998"/>
    <n v="0.91146620765877828"/>
    <n v="360400"/>
    <n v="0"/>
    <n v="360400"/>
    <n v="19000"/>
    <n v="379400"/>
    <n v="8.4235860409145602E-2"/>
    <n v="-0.56422018348623848"/>
    <n v="9.0425531914893609E-3"/>
  </r>
  <r>
    <n v="2025"/>
    <s v="18131543452    "/>
    <n v="-2.2072749131897207"/>
    <n v="0.11"/>
    <n v="4736"/>
    <s v="6"/>
    <s v="RES"/>
    <x v="0"/>
    <s v="11"/>
    <s v="325"/>
    <s v="TE"/>
    <s v="G"/>
    <s v="GD"/>
    <x v="2"/>
    <n v="27"/>
    <n v="27"/>
    <n v="1997"/>
    <n v="1997"/>
    <n v="1279"/>
    <n v="536"/>
    <m/>
    <n v="0"/>
    <m/>
    <m/>
    <n v="1815"/>
    <n v="2000"/>
    <n v="10"/>
    <n v="560"/>
    <m/>
    <n v="86"/>
    <m/>
    <m/>
    <m/>
    <m/>
    <n v="392276"/>
    <n v="345203"/>
    <n v="0"/>
    <n v="404400"/>
    <n v="43200"/>
    <n v="361200"/>
    <n v="0"/>
    <n v="0"/>
    <n v="89850.625589999996"/>
    <n v="-69870.439211769743"/>
    <n v="44121.038090000002"/>
    <n v="197752.34721000001"/>
    <n v="-6022.2312135000002"/>
    <n v="63193.688772683003"/>
    <n v="24005.522653495998"/>
    <n v="0"/>
    <n v="0"/>
    <n v="37920.221052000001"/>
    <n v="2863.4143137360002"/>
    <n v="0"/>
    <n v="363800"/>
    <n v="20000"/>
    <n v="383800"/>
    <n v="-5.0939663699307615E-2"/>
    <n v="0.99970000000000003"/>
    <n v="0.98050000000000004"/>
    <n v="0.99650000000000005"/>
    <n v="1.0093000000000001"/>
    <n v="0.97319999999999995"/>
    <n v="0.94971499999999998"/>
    <n v="0.91146620765877828"/>
    <n v="363800"/>
    <n v="0"/>
    <n v="363800"/>
    <n v="19000"/>
    <n v="382800"/>
    <n v="7.1982281284606866E-3"/>
    <n v="-0.56018518518518523"/>
    <n v="-5.3412462908011868E-2"/>
  </r>
  <r>
    <n v="2025"/>
    <s v="18131543456    "/>
    <n v="-2.2072749131897207"/>
    <n v="0.11"/>
    <n v="4710"/>
    <s v="6"/>
    <s v="RES"/>
    <x v="0"/>
    <s v="11"/>
    <s v="325"/>
    <s v="TE"/>
    <s v="G"/>
    <s v="GD"/>
    <x v="2"/>
    <n v="27"/>
    <n v="27"/>
    <n v="1997"/>
    <n v="1997"/>
    <n v="1279"/>
    <n v="536"/>
    <m/>
    <n v="0"/>
    <m/>
    <m/>
    <n v="1815"/>
    <n v="2000"/>
    <n v="10"/>
    <n v="560"/>
    <m/>
    <n v="86"/>
    <m/>
    <m/>
    <m/>
    <m/>
    <n v="393213"/>
    <n v="346027"/>
    <n v="0"/>
    <n v="405300"/>
    <n v="43200"/>
    <n v="362100"/>
    <n v="0"/>
    <n v="0"/>
    <n v="89850.625589999996"/>
    <n v="-69870.439211769743"/>
    <n v="44121.038090000002"/>
    <n v="197752.34721000001"/>
    <n v="-6022.2312135000002"/>
    <n v="63193.688772683003"/>
    <n v="24005.522653495998"/>
    <n v="0"/>
    <n v="0"/>
    <n v="37920.221052000001"/>
    <n v="2863.4143137360002"/>
    <n v="0"/>
    <n v="363800"/>
    <n v="20000"/>
    <n v="383800"/>
    <n v="-5.3047125585985691E-2"/>
    <n v="0.99970000000000003"/>
    <n v="0.98050000000000004"/>
    <n v="0.99650000000000005"/>
    <n v="1.0093000000000001"/>
    <n v="0.97319999999999995"/>
    <n v="0.94971499999999998"/>
    <n v="0.91146620765877828"/>
    <n v="363800"/>
    <n v="0"/>
    <n v="363800"/>
    <n v="19000"/>
    <n v="382800"/>
    <n v="4.6948356807511738E-3"/>
    <n v="-0.56018518518518523"/>
    <n v="-5.5514433752775719E-2"/>
  </r>
  <r>
    <n v="2025"/>
    <s v="18131543453    "/>
    <n v="-2.2072749131897207"/>
    <n v="0.11"/>
    <n v="4704"/>
    <s v="6"/>
    <s v="RES"/>
    <x v="0"/>
    <s v="11"/>
    <s v="325"/>
    <s v="TE"/>
    <s v="G"/>
    <s v="AV"/>
    <x v="2"/>
    <n v="27"/>
    <n v="27"/>
    <n v="1997"/>
    <n v="1997"/>
    <n v="1279"/>
    <n v="522"/>
    <m/>
    <n v="0"/>
    <m/>
    <m/>
    <n v="1801"/>
    <n v="2000"/>
    <n v="12"/>
    <n v="560"/>
    <m/>
    <n v="100"/>
    <m/>
    <m/>
    <m/>
    <m/>
    <n v="397085"/>
    <n v="345464"/>
    <n v="0"/>
    <n v="398600"/>
    <n v="43200"/>
    <n v="355400"/>
    <n v="0"/>
    <n v="0"/>
    <n v="89850.625589999996"/>
    <n v="-69870.439211769743"/>
    <n v="44121.038090000002"/>
    <n v="160472.20319"/>
    <n v="-6022.2312135000002"/>
    <n v="63193.688772683003"/>
    <n v="23378.512733441999"/>
    <n v="0"/>
    <n v="0"/>
    <n v="45504.265262400004"/>
    <n v="3329.5515276000006"/>
    <n v="0"/>
    <n v="334000"/>
    <n v="20000"/>
    <n v="354000"/>
    <n v="-0.11189162067235324"/>
    <n v="0.99970000000000003"/>
    <n v="0.98050000000000004"/>
    <n v="0.99729999999999996"/>
    <n v="1.0093000000000001"/>
    <n v="0.97319999999999995"/>
    <n v="0.94971499999999998"/>
    <n v="0.91219794169402857"/>
    <n v="334000"/>
    <n v="0"/>
    <n v="334000"/>
    <n v="19000"/>
    <n v="353000"/>
    <n v="-6.0213843556555992E-2"/>
    <n v="-0.56018518518518523"/>
    <n v="-0.11440040140491721"/>
  </r>
  <r>
    <n v="2025"/>
    <s v="18132331428    "/>
    <n v="-1.8971199848858813"/>
    <n v="0.15"/>
    <m/>
    <s v="6"/>
    <s v="RES"/>
    <x v="0"/>
    <s v="11"/>
    <s v="400"/>
    <s v="RN"/>
    <s v="A"/>
    <s v="GD"/>
    <x v="2"/>
    <n v="28"/>
    <n v="28"/>
    <n v="1996"/>
    <n v="1996"/>
    <n v="1160"/>
    <m/>
    <m/>
    <n v="0"/>
    <m/>
    <m/>
    <n v="1160"/>
    <n v="1500"/>
    <n v="5"/>
    <m/>
    <m/>
    <n v="1873"/>
    <m/>
    <m/>
    <m/>
    <m/>
    <n v="235974"/>
    <n v="207657"/>
    <n v="4167"/>
    <n v="294700"/>
    <n v="48400"/>
    <n v="246300"/>
    <n v="0"/>
    <n v="0"/>
    <n v="89850.625589999996"/>
    <n v="-60052.604136134301"/>
    <n v="21557.329055999999"/>
    <n v="197752.34721000001"/>
    <n v="-6245.2768139999998"/>
    <n v="57314.057057320002"/>
    <n v="0"/>
    <n v="0"/>
    <n v="0"/>
    <n v="18960.110526"/>
    <n v="62362.500111948008"/>
    <n v="4200"/>
    <n v="351700"/>
    <n v="29800"/>
    <n v="385700"/>
    <n v="0.30878859857482183"/>
    <n v="0.99970000000000003"/>
    <n v="1.0067999999999999"/>
    <n v="0.99650000000000005"/>
    <n v="1.0157"/>
    <n v="0.97319999999999995"/>
    <n v="0.94971499999999998"/>
    <n v="0.94184917135851298"/>
    <n v="351700"/>
    <n v="4000"/>
    <n v="355700"/>
    <n v="28300"/>
    <n v="384000"/>
    <n v="0.44417377182298012"/>
    <n v="-0.41528925619834711"/>
    <n v="0.30302002035968784"/>
  </r>
  <r>
    <n v="2025"/>
    <s v="18132333013    "/>
    <n v="-2.3025850929940455"/>
    <n v="0.1"/>
    <m/>
    <s v="6"/>
    <s v="RES"/>
    <x v="0"/>
    <s v="11"/>
    <s v="259"/>
    <s v="CO"/>
    <s v="G"/>
    <s v="VG"/>
    <x v="2"/>
    <n v="28"/>
    <n v="28"/>
    <n v="1996"/>
    <n v="1996"/>
    <n v="752"/>
    <n v="932"/>
    <m/>
    <n v="0"/>
    <m/>
    <m/>
    <n v="1684"/>
    <n v="2000"/>
    <n v="10"/>
    <m/>
    <n v="432"/>
    <n v="80"/>
    <m/>
    <m/>
    <m/>
    <m/>
    <n v="339383"/>
    <n v="298657"/>
    <n v="0"/>
    <n v="369900"/>
    <n v="34200"/>
    <n v="335700"/>
    <n v="0"/>
    <n v="0"/>
    <n v="89850.625589999996"/>
    <n v="-72887.446329681261"/>
    <n v="44121.038090000002"/>
    <n v="284810.60806"/>
    <n v="-6245.2768139999998"/>
    <n v="37155.319747504"/>
    <n v="41740.946106452"/>
    <n v="0"/>
    <n v="0"/>
    <n v="37920.221052000001"/>
    <n v="2663.6412220800003"/>
    <n v="0"/>
    <n v="442200"/>
    <n v="17000"/>
    <n v="459200"/>
    <n v="0.24141659908083266"/>
    <n v="0.99970000000000003"/>
    <n v="0.98050000000000004"/>
    <n v="1.0158"/>
    <n v="1.0093000000000001"/>
    <n v="0.97319999999999995"/>
    <n v="0.94971499999999998"/>
    <n v="0.92911929125919412"/>
    <n v="442200"/>
    <n v="0"/>
    <n v="442200"/>
    <n v="16100"/>
    <n v="458300"/>
    <n v="0.31724754244861486"/>
    <n v="-0.5292397660818714"/>
    <n v="0.23898350905650176"/>
  </r>
  <r>
    <n v="2025"/>
    <s v="18132333012    "/>
    <n v="-2.3025850929940455"/>
    <n v="0.1"/>
    <m/>
    <s v="6"/>
    <s v="RES"/>
    <x v="0"/>
    <s v="11"/>
    <s v="259"/>
    <s v="CO"/>
    <s v="A+"/>
    <s v="VG"/>
    <x v="2"/>
    <n v="28"/>
    <n v="28"/>
    <n v="1996"/>
    <n v="1996"/>
    <n v="1085"/>
    <n v="1489"/>
    <m/>
    <n v="0"/>
    <m/>
    <m/>
    <n v="2574"/>
    <n v="3000"/>
    <n v="11"/>
    <m/>
    <n v="504"/>
    <m/>
    <m/>
    <m/>
    <m/>
    <m/>
    <n v="420568"/>
    <n v="370100"/>
    <n v="0"/>
    <n v="405200"/>
    <n v="34200"/>
    <n v="371000"/>
    <n v="0"/>
    <n v="0"/>
    <n v="89850.625589999996"/>
    <n v="-72887.446329681261"/>
    <n v="29814.093161000001"/>
    <n v="284810.60806"/>
    <n v="-6245.2768139999998"/>
    <n v="53608.406816545001"/>
    <n v="66686.983640028993"/>
    <n v="0"/>
    <n v="0"/>
    <n v="41712.243157199999"/>
    <n v="0"/>
    <n v="0"/>
    <n v="470400"/>
    <n v="17000"/>
    <n v="487400"/>
    <n v="0.20286278381046396"/>
    <n v="0.99970000000000003"/>
    <n v="1.0088999999999999"/>
    <n v="1.0158"/>
    <n v="0.96179999999999999"/>
    <n v="0.97319999999999995"/>
    <n v="0.94971499999999998"/>
    <n v="0.91103801858287259"/>
    <n v="470400"/>
    <n v="0"/>
    <n v="470400"/>
    <n v="16100"/>
    <n v="486500"/>
    <n v="0.26792452830188679"/>
    <n v="-0.5292397660818714"/>
    <n v="0.2006416584402764"/>
  </r>
  <r>
    <n v="2025"/>
    <s v="18132212479    "/>
    <n v="-3.5065578973199818"/>
    <n v="0.03"/>
    <n v="1325"/>
    <s v="6"/>
    <s v="CON"/>
    <x v="0"/>
    <s v="11"/>
    <s v="262"/>
    <s v="CE"/>
    <s v="G"/>
    <s v="AV"/>
    <x v="2"/>
    <n v="28"/>
    <n v="28"/>
    <n v="1996"/>
    <n v="1996"/>
    <n v="1350"/>
    <m/>
    <n v="85"/>
    <n v="0"/>
    <n v="85"/>
    <m/>
    <n v="1435"/>
    <n v="1500"/>
    <n v="8"/>
    <m/>
    <n v="440"/>
    <n v="116"/>
    <m/>
    <m/>
    <m/>
    <m/>
    <n v="309119"/>
    <n v="268934"/>
    <n v="0"/>
    <n v="239800"/>
    <n v="36000"/>
    <n v="203800"/>
    <n v="0"/>
    <n v="0"/>
    <n v="89850.625589999996"/>
    <n v="-110998.74281323297"/>
    <n v="44121.038090000002"/>
    <n v="160472.20319"/>
    <n v="-6245.2768139999998"/>
    <n v="66701.704333950009"/>
    <n v="0"/>
    <n v="0"/>
    <n v="2471.9610959950001"/>
    <n v="30336.176841600001"/>
    <n v="3862.2797720160006"/>
    <n v="0"/>
    <n v="301700"/>
    <n v="-21100"/>
    <n v="280600"/>
    <n v="0.1701417848206839"/>
    <n v="0.99970000000000003"/>
    <n v="0.98050000000000004"/>
    <n v="0.99729999999999996"/>
    <n v="1.0157"/>
    <n v="0.97319999999999995"/>
    <n v="0.94971499999999998"/>
    <n v="0.91798221478115993"/>
    <n v="301700"/>
    <n v="0"/>
    <n v="301700"/>
    <n v="-20100"/>
    <n v="281600"/>
    <n v="0.48037291462217863"/>
    <n v="-1.5583333333333333"/>
    <n v="0.1743119266055046"/>
  </r>
  <r>
    <n v="2025"/>
    <s v="18132212478    "/>
    <n v="-3.5065578973199818"/>
    <n v="0.03"/>
    <n v="1325"/>
    <s v="6"/>
    <s v="CON"/>
    <x v="0"/>
    <s v="11"/>
    <s v="262"/>
    <s v="CE"/>
    <s v="G"/>
    <s v="AV"/>
    <x v="2"/>
    <n v="28"/>
    <n v="28"/>
    <n v="1996"/>
    <n v="1996"/>
    <n v="1350"/>
    <m/>
    <n v="85"/>
    <n v="0"/>
    <n v="85"/>
    <m/>
    <n v="1435"/>
    <n v="1500"/>
    <n v="8"/>
    <m/>
    <n v="440"/>
    <n v="116"/>
    <m/>
    <m/>
    <m/>
    <m/>
    <n v="313439"/>
    <n v="272692"/>
    <n v="0"/>
    <n v="243100"/>
    <n v="36500"/>
    <n v="206600"/>
    <n v="0"/>
    <n v="0"/>
    <n v="89850.625589999996"/>
    <n v="-110998.74281323297"/>
    <n v="44121.038090000002"/>
    <n v="160472.20319"/>
    <n v="-6245.2768139999998"/>
    <n v="66701.704333950009"/>
    <n v="0"/>
    <n v="0"/>
    <n v="2471.9610959950001"/>
    <n v="30336.176841600001"/>
    <n v="3862.2797720160006"/>
    <n v="0"/>
    <n v="301700"/>
    <n v="-21100"/>
    <n v="280600"/>
    <n v="0.15425750719868367"/>
    <n v="0.99970000000000003"/>
    <n v="0.98050000000000004"/>
    <n v="0.99729999999999996"/>
    <n v="1.0157"/>
    <n v="0.97319999999999995"/>
    <n v="0.94971499999999998"/>
    <n v="0.91798221478115993"/>
    <n v="301700"/>
    <n v="0"/>
    <n v="301700"/>
    <n v="-20100"/>
    <n v="281600"/>
    <n v="0.46030977734753148"/>
    <n v="-1.5506849315068494"/>
    <n v="0.15837104072398189"/>
  </r>
  <r>
    <n v="2025"/>
    <s v="18132211420    "/>
    <n v="-3.5065578973199818"/>
    <n v="0.03"/>
    <n v="896"/>
    <s v="6"/>
    <s v="CON"/>
    <x v="0"/>
    <s v="11"/>
    <s v="262"/>
    <s v="CE"/>
    <s v="G"/>
    <s v="AV"/>
    <x v="2"/>
    <n v="28"/>
    <n v="28"/>
    <n v="1996"/>
    <n v="1996"/>
    <n v="896"/>
    <n v="896"/>
    <n v="502"/>
    <n v="0"/>
    <n v="502"/>
    <m/>
    <n v="2294"/>
    <n v="2500"/>
    <n v="14"/>
    <m/>
    <n v="570"/>
    <n v="400"/>
    <m/>
    <m/>
    <m/>
    <m/>
    <n v="475544"/>
    <n v="413723"/>
    <n v="0"/>
    <n v="305600"/>
    <n v="45800"/>
    <n v="259800"/>
    <n v="0"/>
    <n v="0"/>
    <n v="89850.625589999996"/>
    <n v="-110998.74281323297"/>
    <n v="44121.038090000002"/>
    <n v="160472.20319"/>
    <n v="-6245.2768139999998"/>
    <n v="44270.168209791998"/>
    <n v="40128.634883455998"/>
    <n v="0"/>
    <n v="14599.111413994"/>
    <n v="53088.3094728"/>
    <n v="13318.206110400002"/>
    <n v="0"/>
    <n v="363800"/>
    <n v="-21100"/>
    <n v="342700"/>
    <n v="0.12140052356020943"/>
    <n v="0.99970000000000003"/>
    <n v="0.98050000000000004"/>
    <n v="0.99729999999999996"/>
    <n v="0.98919999999999997"/>
    <n v="0.97319999999999995"/>
    <n v="0.94971499999999998"/>
    <n v="0.89403170902975626"/>
    <n v="363800"/>
    <n v="0"/>
    <n v="363800"/>
    <n v="-20100"/>
    <n v="343700"/>
    <n v="0.40030792917628943"/>
    <n v="-1.4388646288209608"/>
    <n v="0.12467277486910995"/>
  </r>
  <r>
    <n v="2025"/>
    <s v="18132211418    "/>
    <n v="-3.5065578973199818"/>
    <n v="0.03"/>
    <n v="896"/>
    <s v="6"/>
    <s v="CON"/>
    <x v="0"/>
    <s v="11"/>
    <s v="262"/>
    <s v="CE"/>
    <s v="G"/>
    <s v="AV"/>
    <x v="2"/>
    <n v="28"/>
    <n v="28"/>
    <n v="1996"/>
    <n v="1996"/>
    <n v="896"/>
    <n v="896"/>
    <n v="544"/>
    <n v="20"/>
    <n v="524"/>
    <m/>
    <n v="2316"/>
    <n v="2500"/>
    <n v="14"/>
    <m/>
    <n v="548"/>
    <n v="480"/>
    <m/>
    <m/>
    <m/>
    <m/>
    <n v="489957"/>
    <n v="426263"/>
    <n v="0"/>
    <n v="314900"/>
    <n v="47200"/>
    <n v="267700"/>
    <n v="0"/>
    <n v="0"/>
    <n v="89850.625589999996"/>
    <n v="-110998.74281323297"/>
    <n v="44121.038090000002"/>
    <n v="160472.20319"/>
    <n v="-6245.2768139999998"/>
    <n v="44270.168209791998"/>
    <n v="40128.634883455998"/>
    <n v="0"/>
    <n v="15820.551014367999"/>
    <n v="53088.3094728"/>
    <n v="15981.847332480002"/>
    <n v="0"/>
    <n v="367600"/>
    <n v="-21100"/>
    <n v="346500"/>
    <n v="0.10034931724356938"/>
    <n v="0.99970000000000003"/>
    <n v="0.98050000000000004"/>
    <n v="0.99729999999999996"/>
    <n v="0.98919999999999997"/>
    <n v="0.97319999999999995"/>
    <n v="0.94971499999999998"/>
    <n v="0.89403170902975626"/>
    <n v="367600"/>
    <n v="0"/>
    <n v="367600"/>
    <n v="-20100"/>
    <n v="347500"/>
    <n v="0.37317893163989541"/>
    <n v="-1.4258474576271187"/>
    <n v="0.10352492854874563"/>
  </r>
  <r>
    <n v="2025"/>
    <s v="18132244041    "/>
    <n v="-1.5141277326297755"/>
    <n v="0.22"/>
    <n v="9784"/>
    <s v="6"/>
    <s v="RES"/>
    <x v="0"/>
    <s v="11"/>
    <s v="259"/>
    <s v="CP"/>
    <s v="G"/>
    <s v="GD"/>
    <x v="2"/>
    <n v="28"/>
    <n v="28"/>
    <n v="1996"/>
    <n v="1996"/>
    <n v="2225"/>
    <m/>
    <m/>
    <n v="0"/>
    <m/>
    <m/>
    <n v="2225"/>
    <n v="2500"/>
    <n v="11"/>
    <n v="624"/>
    <m/>
    <n v="264"/>
    <m/>
    <m/>
    <m/>
    <m/>
    <n v="523450"/>
    <n v="460636"/>
    <n v="0"/>
    <n v="404000"/>
    <n v="61700"/>
    <n v="342300"/>
    <n v="0"/>
    <n v="0"/>
    <n v="89850.625589999996"/>
    <n v="-47929.131559187132"/>
    <n v="44121.038090000002"/>
    <n v="197752.34721000001"/>
    <n v="-6245.2768139999998"/>
    <n v="109934.290476325"/>
    <n v="0"/>
    <n v="0"/>
    <n v="0"/>
    <n v="41712.243157199999"/>
    <n v="8790.0160328640013"/>
    <n v="0"/>
    <n v="396100"/>
    <n v="41900"/>
    <n v="438000"/>
    <n v="8.4158415841584164E-2"/>
    <n v="0.99970000000000003"/>
    <n v="0.98050000000000004"/>
    <n v="0.99650000000000005"/>
    <n v="0.98919999999999997"/>
    <n v="0.97319999999999995"/>
    <n v="0.94971499999999998"/>
    <n v="0.89331454732593218"/>
    <n v="396100"/>
    <n v="0"/>
    <n v="396100"/>
    <n v="39800"/>
    <n v="435900"/>
    <n v="0.15717207128250074"/>
    <n v="-0.35494327390599678"/>
    <n v="7.8960396039603961E-2"/>
  </r>
  <r>
    <n v="2025"/>
    <s v="18132341490    "/>
    <n v="-1.0788096613719298"/>
    <n v="0.34"/>
    <n v="14989"/>
    <s v="6"/>
    <s v="RES"/>
    <x v="0"/>
    <s v="11"/>
    <s v="259"/>
    <s v="CP"/>
    <s v="V"/>
    <s v="VG"/>
    <x v="2"/>
    <n v="28"/>
    <n v="28"/>
    <n v="1996"/>
    <n v="1996"/>
    <n v="1865"/>
    <m/>
    <n v="1375"/>
    <n v="0"/>
    <n v="1375"/>
    <m/>
    <n v="3240"/>
    <n v="3500"/>
    <n v="15"/>
    <n v="812"/>
    <m/>
    <n v="180"/>
    <m/>
    <m/>
    <m/>
    <m/>
    <n v="712940"/>
    <n v="648775"/>
    <n v="0"/>
    <n v="649400"/>
    <n v="76900"/>
    <n v="572500"/>
    <n v="0"/>
    <n v="0"/>
    <n v="89850.625589999996"/>
    <n v="-34149.305288406773"/>
    <n v="163885.03753"/>
    <n v="284810.60806"/>
    <n v="-6245.2768139999998"/>
    <n v="92147.169320604997"/>
    <n v="0"/>
    <n v="0"/>
    <n v="39987.605964625"/>
    <n v="56880.331578000005"/>
    <n v="5993.1927496800008"/>
    <n v="0"/>
    <n v="637500"/>
    <n v="55700"/>
    <n v="693200"/>
    <n v="6.7446874037573143E-2"/>
    <n v="0.99970000000000003"/>
    <n v="1"/>
    <n v="1.0158"/>
    <n v="1.0126999999999999"/>
    <n v="0.97319999999999995"/>
    <n v="0.94971499999999998"/>
    <n v="0.95078958572394112"/>
    <n v="637500"/>
    <n v="0"/>
    <n v="637500"/>
    <n v="52900"/>
    <n v="690400"/>
    <n v="0.11353711790393013"/>
    <n v="-0.31209362808842656"/>
    <n v="6.3135201724668924E-2"/>
  </r>
  <r>
    <n v="2025"/>
    <s v="18132214433    "/>
    <n v="-1.7147984280919266"/>
    <n v="0.18"/>
    <n v="7919"/>
    <s v="6"/>
    <s v="RES"/>
    <x v="0"/>
    <s v="11"/>
    <s v="259"/>
    <s v="CP"/>
    <s v="G"/>
    <s v="GD"/>
    <x v="2"/>
    <n v="28"/>
    <n v="28"/>
    <n v="1996"/>
    <n v="1996"/>
    <n v="1568"/>
    <m/>
    <n v="728"/>
    <n v="0"/>
    <n v="728"/>
    <m/>
    <n v="2296"/>
    <n v="2500"/>
    <n v="8"/>
    <m/>
    <n v="840"/>
    <n v="120"/>
    <m/>
    <m/>
    <m/>
    <m/>
    <n v="449564"/>
    <n v="395616"/>
    <n v="0"/>
    <n v="378900"/>
    <n v="54700"/>
    <n v="324200"/>
    <n v="0"/>
    <n v="0"/>
    <n v="89850.625589999996"/>
    <n v="-54281.285314520763"/>
    <n v="44121.038090000002"/>
    <n v="197752.34721000001"/>
    <n v="-6245.2768139999998"/>
    <n v="77472.794367135997"/>
    <n v="0"/>
    <n v="0"/>
    <n v="21171.619739816"/>
    <n v="30336.176841600001"/>
    <n v="3995.4618331200004"/>
    <n v="0"/>
    <n v="368600"/>
    <n v="35600"/>
    <n v="404200"/>
    <n v="6.6772235418316173E-2"/>
    <n v="0.99970000000000003"/>
    <n v="0.98050000000000004"/>
    <n v="0.99650000000000005"/>
    <n v="0.98919999999999997"/>
    <n v="0.97319999999999995"/>
    <n v="0.94971499999999998"/>
    <n v="0.89331454732593218"/>
    <n v="368600"/>
    <n v="0"/>
    <n v="368600"/>
    <n v="33800"/>
    <n v="402400"/>
    <n v="0.13695249845774213"/>
    <n v="-0.38208409506398539"/>
    <n v="6.2021641594088149E-2"/>
  </r>
  <r>
    <n v="2025"/>
    <s v="18132322412    "/>
    <n v="-1.6094379124341003"/>
    <n v="0.2"/>
    <m/>
    <s v="6"/>
    <s v="RES"/>
    <x v="0"/>
    <s v="11"/>
    <s v="259"/>
    <s v="CP"/>
    <s v="A+"/>
    <s v="AV"/>
    <x v="2"/>
    <n v="28"/>
    <n v="28"/>
    <n v="1996"/>
    <n v="1996"/>
    <n v="1224"/>
    <n v="777"/>
    <m/>
    <n v="0"/>
    <m/>
    <m/>
    <n v="2001"/>
    <n v="2500"/>
    <n v="11"/>
    <n v="480"/>
    <m/>
    <n v="212"/>
    <m/>
    <m/>
    <m/>
    <m/>
    <n v="362348"/>
    <n v="315243"/>
    <n v="0"/>
    <n v="359300"/>
    <n v="58400"/>
    <n v="300900"/>
    <n v="0"/>
    <n v="0"/>
    <n v="89850.625589999996"/>
    <n v="-50946.13867709865"/>
    <n v="29814.093161000001"/>
    <n v="160472.20319"/>
    <n v="-6245.2768139999998"/>
    <n v="60476.211929448"/>
    <n v="34799.050562996999"/>
    <n v="0"/>
    <n v="0"/>
    <n v="41712.243157199999"/>
    <n v="7058.6492385120009"/>
    <n v="0"/>
    <n v="328100"/>
    <n v="38900"/>
    <n v="367000"/>
    <n v="2.1430559421096576E-2"/>
    <n v="0.99970000000000003"/>
    <n v="1.0088999999999999"/>
    <n v="0.99729999999999996"/>
    <n v="0.98919999999999997"/>
    <n v="0.97319999999999995"/>
    <n v="0.94971499999999998"/>
    <n v="0.91992717107610511"/>
    <n v="328100"/>
    <n v="0"/>
    <n v="328100"/>
    <n v="36900"/>
    <n v="365000"/>
    <n v="9.03954802259887E-2"/>
    <n v="-0.36815068493150682"/>
    <n v="1.5864180350681881E-2"/>
  </r>
  <r>
    <n v="2025"/>
    <s v="18131544447    "/>
    <n v="-1.6607312068216509"/>
    <n v="0.19"/>
    <n v="8390"/>
    <s v="6"/>
    <s v="RES"/>
    <x v="0"/>
    <s v="11"/>
    <s v="325"/>
    <s v="PE"/>
    <s v="G"/>
    <s v="GD"/>
    <x v="2"/>
    <n v="29"/>
    <n v="29"/>
    <n v="1995"/>
    <n v="1995"/>
    <n v="1513"/>
    <m/>
    <m/>
    <n v="0"/>
    <m/>
    <m/>
    <n v="1513"/>
    <n v="2000"/>
    <n v="10"/>
    <n v="462"/>
    <m/>
    <m/>
    <m/>
    <m/>
    <m/>
    <m/>
    <n v="344306"/>
    <n v="299546"/>
    <n v="0"/>
    <n v="288100"/>
    <n v="41500"/>
    <n v="246600"/>
    <n v="0"/>
    <n v="0"/>
    <n v="89850.625589999996"/>
    <n v="-52569.808201026557"/>
    <n v="44121.038090000002"/>
    <n v="197752.34721000001"/>
    <n v="-6468.3224145000004"/>
    <n v="74755.317523901002"/>
    <n v="0"/>
    <n v="0"/>
    <n v="0"/>
    <n v="37920.221052000001"/>
    <n v="0"/>
    <n v="0"/>
    <n v="348100"/>
    <n v="37300"/>
    <n v="385400"/>
    <n v="0.33772995487677887"/>
    <n v="0.99970000000000003"/>
    <n v="0.98050000000000004"/>
    <n v="0.99650000000000005"/>
    <n v="1.0093000000000001"/>
    <n v="0.97319999999999995"/>
    <n v="0.94971499999999998"/>
    <n v="0.91146620765877828"/>
    <n v="348100"/>
    <n v="0"/>
    <n v="348100"/>
    <n v="35400"/>
    <n v="383500"/>
    <n v="0.41159772911597731"/>
    <n v="-0.14698795180722893"/>
    <n v="0.33113502256161054"/>
  </r>
  <r>
    <n v="2025"/>
    <s v="18131544446    "/>
    <n v="-1.6607312068216509"/>
    <n v="0.19"/>
    <n v="8353"/>
    <s v="6"/>
    <s v="RES"/>
    <x v="0"/>
    <s v="11"/>
    <s v="325"/>
    <s v="PE"/>
    <s v="G"/>
    <s v="GD"/>
    <x v="2"/>
    <n v="29"/>
    <n v="29"/>
    <n v="1995"/>
    <n v="1995"/>
    <n v="1513"/>
    <m/>
    <m/>
    <n v="0"/>
    <m/>
    <m/>
    <n v="1513"/>
    <n v="2000"/>
    <n v="10"/>
    <n v="462"/>
    <m/>
    <m/>
    <m/>
    <m/>
    <m/>
    <m/>
    <n v="344562"/>
    <n v="299769"/>
    <n v="0"/>
    <n v="288300"/>
    <n v="41500"/>
    <n v="246800"/>
    <n v="0"/>
    <n v="0"/>
    <n v="89850.625589999996"/>
    <n v="-52569.808201026557"/>
    <n v="44121.038090000002"/>
    <n v="197752.34721000001"/>
    <n v="-6468.3224145000004"/>
    <n v="74755.317523901002"/>
    <n v="0"/>
    <n v="0"/>
    <n v="0"/>
    <n v="37920.221052000001"/>
    <n v="0"/>
    <n v="0"/>
    <n v="348100"/>
    <n v="37300"/>
    <n v="385400"/>
    <n v="0.33680194242108913"/>
    <n v="0.99970000000000003"/>
    <n v="0.98050000000000004"/>
    <n v="0.99650000000000005"/>
    <n v="1.0093000000000001"/>
    <n v="0.97319999999999995"/>
    <n v="0.94971499999999998"/>
    <n v="0.91146620765877828"/>
    <n v="348100"/>
    <n v="0"/>
    <n v="348100"/>
    <n v="35400"/>
    <n v="383500"/>
    <n v="0.41045380875202592"/>
    <n v="-0.14698795180722893"/>
    <n v="0.33021158515435312"/>
  </r>
  <r>
    <n v="2025"/>
    <s v="18131544445    "/>
    <n v="-1.8325814637483102"/>
    <n v="0.16"/>
    <n v="7129"/>
    <s v="6"/>
    <s v="RES"/>
    <x v="0"/>
    <s v="11"/>
    <s v="325"/>
    <s v="PE"/>
    <s v="G"/>
    <s v="GD"/>
    <x v="2"/>
    <n v="29"/>
    <n v="29"/>
    <n v="1995"/>
    <n v="1995"/>
    <n v="1513"/>
    <m/>
    <m/>
    <n v="0"/>
    <m/>
    <m/>
    <n v="1513"/>
    <n v="2000"/>
    <n v="10"/>
    <n v="462"/>
    <m/>
    <m/>
    <m/>
    <m/>
    <m/>
    <m/>
    <n v="344306"/>
    <n v="299546"/>
    <n v="0"/>
    <n v="287600"/>
    <n v="41000"/>
    <n v="246600"/>
    <n v="0"/>
    <n v="0"/>
    <n v="89850.625589999996"/>
    <n v="-58009.662049032086"/>
    <n v="44121.038090000002"/>
    <n v="197752.34721000001"/>
    <n v="-6468.3224145000004"/>
    <n v="74755.317523901002"/>
    <n v="0"/>
    <n v="0"/>
    <n v="0"/>
    <n v="37920.221052000001"/>
    <n v="0"/>
    <n v="0"/>
    <n v="348100"/>
    <n v="31800"/>
    <n v="379900"/>
    <n v="0.3209318497913769"/>
    <n v="0.99970000000000003"/>
    <n v="0.98050000000000004"/>
    <n v="0.99650000000000005"/>
    <n v="1.0093000000000001"/>
    <n v="0.97319999999999995"/>
    <n v="0.94971499999999998"/>
    <n v="0.91146620765877828"/>
    <n v="348100"/>
    <n v="0"/>
    <n v="348100"/>
    <n v="30200"/>
    <n v="378300"/>
    <n v="0.41159772911597731"/>
    <n v="-0.26341463414634148"/>
    <n v="0.31536856745479835"/>
  </r>
  <r>
    <n v="2025"/>
    <s v="18131544442    "/>
    <n v="-1.6607312068216509"/>
    <n v="0.19"/>
    <n v="8216"/>
    <s v="6"/>
    <s v="RES"/>
    <x v="0"/>
    <s v="11"/>
    <s v="325"/>
    <s v="PE"/>
    <s v="G"/>
    <s v="GD"/>
    <x v="2"/>
    <n v="29"/>
    <n v="29"/>
    <n v="1995"/>
    <n v="1995"/>
    <n v="1580"/>
    <m/>
    <m/>
    <n v="0"/>
    <m/>
    <m/>
    <n v="1580"/>
    <n v="2000"/>
    <n v="10"/>
    <n v="441"/>
    <m/>
    <m/>
    <m/>
    <m/>
    <m/>
    <m/>
    <n v="353025"/>
    <n v="307132"/>
    <n v="0"/>
    <n v="294300"/>
    <n v="41400"/>
    <n v="252900"/>
    <n v="0"/>
    <n v="0"/>
    <n v="89850.625589999996"/>
    <n v="-52569.808201026557"/>
    <n v="44121.038090000002"/>
    <n v="197752.34721000001"/>
    <n v="-6468.3224145000004"/>
    <n v="78065.698405660005"/>
    <n v="0"/>
    <n v="0"/>
    <n v="0"/>
    <n v="37920.221052000001"/>
    <n v="0"/>
    <n v="0"/>
    <n v="351400"/>
    <n v="37300"/>
    <n v="388700"/>
    <n v="0.32076112810057766"/>
    <n v="0.99970000000000003"/>
    <n v="0.98050000000000004"/>
    <n v="0.99650000000000005"/>
    <n v="1.0093000000000001"/>
    <n v="0.97319999999999995"/>
    <n v="0.94971499999999998"/>
    <n v="0.91146620765877828"/>
    <n v="351400"/>
    <n v="0"/>
    <n v="351400"/>
    <n v="35400"/>
    <n v="386800"/>
    <n v="0.38948200869909055"/>
    <n v="-0.14492753623188406"/>
    <n v="0.31430513081889228"/>
  </r>
  <r>
    <n v="2025"/>
    <s v="18131544443    "/>
    <n v="-1.6607312068216509"/>
    <n v="0.19"/>
    <n v="8208"/>
    <s v="6"/>
    <s v="RES"/>
    <x v="0"/>
    <s v="11"/>
    <s v="325"/>
    <s v="PE"/>
    <s v="G"/>
    <s v="GD"/>
    <x v="2"/>
    <n v="29"/>
    <n v="29"/>
    <n v="1995"/>
    <n v="1995"/>
    <n v="1580"/>
    <m/>
    <m/>
    <n v="0"/>
    <m/>
    <m/>
    <n v="1580"/>
    <n v="2000"/>
    <n v="10"/>
    <n v="441"/>
    <m/>
    <m/>
    <m/>
    <m/>
    <m/>
    <m/>
    <n v="353025"/>
    <n v="307132"/>
    <n v="0"/>
    <n v="294400"/>
    <n v="41500"/>
    <n v="252900"/>
    <n v="0"/>
    <n v="0"/>
    <n v="89850.625589999996"/>
    <n v="-52569.808201026557"/>
    <n v="44121.038090000002"/>
    <n v="197752.34721000001"/>
    <n v="-6468.3224145000004"/>
    <n v="78065.698405660005"/>
    <n v="0"/>
    <n v="0"/>
    <n v="0"/>
    <n v="37920.221052000001"/>
    <n v="0"/>
    <n v="0"/>
    <n v="351400"/>
    <n v="37300"/>
    <n v="388700"/>
    <n v="0.3203125"/>
    <n v="0.99970000000000003"/>
    <n v="0.98050000000000004"/>
    <n v="0.99650000000000005"/>
    <n v="1.0093000000000001"/>
    <n v="0.97319999999999995"/>
    <n v="0.94971499999999998"/>
    <n v="0.91146620765877828"/>
    <n v="351400"/>
    <n v="0"/>
    <n v="351400"/>
    <n v="35400"/>
    <n v="386800"/>
    <n v="0.38948200869909055"/>
    <n v="-0.14698795180722893"/>
    <n v="0.31385869565217389"/>
  </r>
  <r>
    <n v="2025"/>
    <s v="18131544448    "/>
    <n v="-1.8971199848858813"/>
    <n v="0.15"/>
    <n v="6663"/>
    <s v="6"/>
    <s v="RES"/>
    <x v="0"/>
    <s v="11"/>
    <s v="325"/>
    <s v="PE"/>
    <s v="G"/>
    <s v="GD"/>
    <x v="2"/>
    <n v="29"/>
    <n v="29"/>
    <n v="1995"/>
    <n v="1995"/>
    <n v="1513"/>
    <m/>
    <m/>
    <n v="0"/>
    <m/>
    <m/>
    <n v="1513"/>
    <n v="2000"/>
    <n v="10"/>
    <n v="462"/>
    <m/>
    <m/>
    <m/>
    <m/>
    <m/>
    <m/>
    <n v="344562"/>
    <n v="299769"/>
    <n v="0"/>
    <n v="287500"/>
    <n v="40700"/>
    <n v="246800"/>
    <n v="0"/>
    <n v="0"/>
    <n v="89850.625589999996"/>
    <n v="-60052.604136134301"/>
    <n v="44121.038090000002"/>
    <n v="197752.34721000001"/>
    <n v="-6468.3224145000004"/>
    <n v="74755.317523901002"/>
    <n v="0"/>
    <n v="0"/>
    <n v="0"/>
    <n v="37920.221052000001"/>
    <n v="0"/>
    <n v="0"/>
    <n v="348100"/>
    <n v="29800"/>
    <n v="377900"/>
    <n v="0.31443478260869567"/>
    <n v="0.99970000000000003"/>
    <n v="0.98050000000000004"/>
    <n v="0.99650000000000005"/>
    <n v="1.0093000000000001"/>
    <n v="0.97319999999999995"/>
    <n v="0.94971499999999998"/>
    <n v="0.91146620765877828"/>
    <n v="348100"/>
    <n v="0"/>
    <n v="348100"/>
    <n v="28300"/>
    <n v="376400"/>
    <n v="0.41045380875202592"/>
    <n v="-0.30466830466830469"/>
    <n v="0.30921739130434783"/>
  </r>
  <r>
    <n v="2025"/>
    <s v="18131544444    "/>
    <n v="-1.8325814637483102"/>
    <n v="0.16"/>
    <n v="7045"/>
    <s v="6"/>
    <s v="RES"/>
    <x v="0"/>
    <s v="11"/>
    <s v="325"/>
    <s v="PE"/>
    <s v="G"/>
    <s v="GD"/>
    <x v="2"/>
    <n v="29"/>
    <n v="29"/>
    <n v="1995"/>
    <n v="1995"/>
    <n v="1580"/>
    <m/>
    <m/>
    <n v="0"/>
    <m/>
    <m/>
    <n v="1580"/>
    <n v="2000"/>
    <n v="10"/>
    <n v="441"/>
    <m/>
    <m/>
    <m/>
    <m/>
    <m/>
    <m/>
    <n v="353025"/>
    <n v="307132"/>
    <n v="0"/>
    <n v="293800"/>
    <n v="40900"/>
    <n v="252900"/>
    <n v="0"/>
    <n v="0"/>
    <n v="89850.625589999996"/>
    <n v="-58009.662049032086"/>
    <n v="44121.038090000002"/>
    <n v="197752.34721000001"/>
    <n v="-6468.3224145000004"/>
    <n v="78065.698405660005"/>
    <n v="0"/>
    <n v="0"/>
    <n v="0"/>
    <n v="37920.221052000001"/>
    <n v="0"/>
    <n v="0"/>
    <n v="351400"/>
    <n v="31800"/>
    <n v="383200"/>
    <n v="0.30428863172226006"/>
    <n v="0.99970000000000003"/>
    <n v="0.98050000000000004"/>
    <n v="0.99650000000000005"/>
    <n v="1.0093000000000001"/>
    <n v="0.97319999999999995"/>
    <n v="0.94971499999999998"/>
    <n v="0.91146620765877828"/>
    <n v="351400"/>
    <n v="0"/>
    <n v="351400"/>
    <n v="30200"/>
    <n v="381600"/>
    <n v="0.38948200869909055"/>
    <n v="-0.26161369193154033"/>
    <n v="0.2988427501701838"/>
  </r>
  <r>
    <n v="2025"/>
    <s v="18131544441    "/>
    <n v="-1.8971199848858813"/>
    <n v="0.15"/>
    <n v="6562"/>
    <s v="6"/>
    <s v="RES"/>
    <x v="0"/>
    <s v="11"/>
    <s v="325"/>
    <s v="PE"/>
    <s v="G"/>
    <s v="GD"/>
    <x v="2"/>
    <n v="29"/>
    <n v="29"/>
    <n v="1995"/>
    <n v="1995"/>
    <n v="1580"/>
    <m/>
    <m/>
    <n v="0"/>
    <m/>
    <m/>
    <n v="1580"/>
    <n v="2000"/>
    <n v="10"/>
    <n v="441"/>
    <m/>
    <m/>
    <m/>
    <m/>
    <m/>
    <m/>
    <n v="353025"/>
    <n v="307132"/>
    <n v="0"/>
    <n v="293500"/>
    <n v="40600"/>
    <n v="252900"/>
    <n v="0"/>
    <n v="0"/>
    <n v="89850.625589999996"/>
    <n v="-60052.604136134301"/>
    <n v="44121.038090000002"/>
    <n v="197752.34721000001"/>
    <n v="-6468.3224145000004"/>
    <n v="78065.698405660005"/>
    <n v="0"/>
    <n v="0"/>
    <n v="0"/>
    <n v="37920.221052000001"/>
    <n v="0"/>
    <n v="0"/>
    <n v="351400"/>
    <n v="29800"/>
    <n v="381200"/>
    <n v="0.29880749574105619"/>
    <n v="0.99970000000000003"/>
    <n v="0.98050000000000004"/>
    <n v="0.99650000000000005"/>
    <n v="1.0093000000000001"/>
    <n v="0.97319999999999995"/>
    <n v="0.94971499999999998"/>
    <n v="0.91146620765877828"/>
    <n v="351400"/>
    <n v="0"/>
    <n v="351400"/>
    <n v="28300"/>
    <n v="379700"/>
    <n v="0.38948200869909055"/>
    <n v="-0.30295566502463056"/>
    <n v="0.2936967632027257"/>
  </r>
  <r>
    <n v="2025"/>
    <s v="18131543439    "/>
    <n v="-3.2188758248682006"/>
    <n v="0.04"/>
    <n v="1018"/>
    <s v="6"/>
    <s v="CON"/>
    <x v="0"/>
    <s v="11"/>
    <s v="262"/>
    <s v="CM"/>
    <s v="A"/>
    <s v="AV"/>
    <x v="2"/>
    <n v="29"/>
    <n v="29"/>
    <n v="1995"/>
    <n v="1995"/>
    <n v="1018"/>
    <m/>
    <m/>
    <n v="0"/>
    <m/>
    <m/>
    <n v="1018"/>
    <n v="1500"/>
    <n v="8"/>
    <m/>
    <m/>
    <m/>
    <m/>
    <m/>
    <m/>
    <m/>
    <n v="170323"/>
    <n v="146478"/>
    <n v="15244"/>
    <n v="203600"/>
    <n v="30500"/>
    <n v="173100"/>
    <n v="0"/>
    <n v="0"/>
    <n v="89850.625589999996"/>
    <n v="-101892.2773541973"/>
    <n v="21557.329055999999"/>
    <n v="160472.20319"/>
    <n v="-6468.3224145000004"/>
    <n v="50298.025934786005"/>
    <n v="0"/>
    <n v="0"/>
    <n v="0"/>
    <n v="30336.176841600001"/>
    <n v="0"/>
    <n v="15200"/>
    <n v="256200"/>
    <n v="-12000"/>
    <n v="259400"/>
    <n v="0.27406679764243613"/>
    <n v="0.99970000000000003"/>
    <n v="1.0067999999999999"/>
    <n v="0.99729999999999996"/>
    <n v="1.0157"/>
    <n v="0.97319999999999995"/>
    <n v="0.94971499999999998"/>
    <n v="0.9426052971358202"/>
    <n v="256200"/>
    <n v="14500"/>
    <n v="270700"/>
    <n v="-11400"/>
    <n v="259300"/>
    <n v="0.56383593298671286"/>
    <n v="-1.3737704918032787"/>
    <n v="0.27357563850687622"/>
  </r>
  <r>
    <n v="2025"/>
    <s v="18131543431    "/>
    <n v="-3.2188758248682006"/>
    <n v="0.04"/>
    <n v="1022"/>
    <s v="6"/>
    <s v="CON"/>
    <x v="0"/>
    <s v="11"/>
    <s v="262"/>
    <s v="CM"/>
    <s v="A+"/>
    <s v="AV"/>
    <x v="2"/>
    <n v="29"/>
    <n v="29"/>
    <n v="1995"/>
    <n v="1995"/>
    <n v="1022"/>
    <m/>
    <m/>
    <n v="0"/>
    <m/>
    <m/>
    <n v="1022"/>
    <n v="1500"/>
    <n v="8"/>
    <m/>
    <m/>
    <m/>
    <m/>
    <m/>
    <m/>
    <m/>
    <n v="199555"/>
    <n v="171617"/>
    <n v="15244"/>
    <n v="210900"/>
    <n v="31600"/>
    <n v="179300"/>
    <n v="0"/>
    <n v="0"/>
    <n v="89850.625589999996"/>
    <n v="-101892.2773541973"/>
    <n v="29814.093161000001"/>
    <n v="160472.20319"/>
    <n v="-6468.3224145000004"/>
    <n v="50495.660614294"/>
    <n v="0"/>
    <n v="0"/>
    <n v="0"/>
    <n v="30336.176841600001"/>
    <n v="0"/>
    <n v="15200"/>
    <n v="264600"/>
    <n v="-12000"/>
    <n v="267800"/>
    <n v="0.26979611190137504"/>
    <n v="0.99970000000000003"/>
    <n v="1.0088999999999999"/>
    <n v="0.99729999999999996"/>
    <n v="1.0157"/>
    <n v="0.97319999999999995"/>
    <n v="0.94971499999999998"/>
    <n v="0.944571398768702"/>
    <n v="264600"/>
    <n v="14500"/>
    <n v="279100"/>
    <n v="-11400"/>
    <n v="267700"/>
    <n v="0.5566090351366425"/>
    <n v="-1.360759493670886"/>
    <n v="0.26932195353247984"/>
  </r>
  <r>
    <n v="2025"/>
    <s v="18131543440    "/>
    <n v="-3.2188758248682006"/>
    <n v="0.04"/>
    <n v="1022"/>
    <s v="6"/>
    <s v="CON"/>
    <x v="0"/>
    <s v="11"/>
    <s v="262"/>
    <s v="CM"/>
    <s v="A"/>
    <s v="AV"/>
    <x v="2"/>
    <n v="29"/>
    <n v="29"/>
    <n v="1995"/>
    <n v="1995"/>
    <n v="1022"/>
    <m/>
    <m/>
    <n v="0"/>
    <m/>
    <m/>
    <n v="1022"/>
    <n v="1500"/>
    <n v="8"/>
    <m/>
    <m/>
    <m/>
    <m/>
    <m/>
    <m/>
    <m/>
    <n v="171762"/>
    <n v="147715"/>
    <n v="15244"/>
    <n v="205200"/>
    <n v="30800"/>
    <n v="174400"/>
    <n v="0"/>
    <n v="0"/>
    <n v="89850.625589999996"/>
    <n v="-101892.2773541973"/>
    <n v="21557.329055999999"/>
    <n v="160472.20319"/>
    <n v="-6468.3224145000004"/>
    <n v="50495.660614294"/>
    <n v="0"/>
    <n v="0"/>
    <n v="0"/>
    <n v="30336.176841600001"/>
    <n v="0"/>
    <n v="15200"/>
    <n v="256400"/>
    <n v="-12000"/>
    <n v="259600"/>
    <n v="0.26510721247563351"/>
    <n v="0.99970000000000003"/>
    <n v="1.0067999999999999"/>
    <n v="0.99729999999999996"/>
    <n v="1.0157"/>
    <n v="0.97319999999999995"/>
    <n v="0.94971499999999998"/>
    <n v="0.9426052971358202"/>
    <n v="256400"/>
    <n v="14500"/>
    <n v="270900"/>
    <n v="-11400"/>
    <n v="259500"/>
    <n v="0.55332568807339455"/>
    <n v="-1.3701298701298701"/>
    <n v="0.2646198830409357"/>
  </r>
  <r>
    <n v="2025"/>
    <s v="18131543432    "/>
    <n v="-3.2188758248682006"/>
    <n v="0.04"/>
    <n v="1022"/>
    <s v="6"/>
    <s v="CON"/>
    <x v="0"/>
    <s v="11"/>
    <s v="262"/>
    <s v="CM"/>
    <s v="A"/>
    <s v="AV"/>
    <x v="2"/>
    <n v="29"/>
    <n v="29"/>
    <n v="1995"/>
    <n v="1995"/>
    <n v="1022"/>
    <m/>
    <m/>
    <n v="0"/>
    <m/>
    <m/>
    <n v="1022"/>
    <n v="1500"/>
    <n v="8"/>
    <m/>
    <m/>
    <m/>
    <m/>
    <m/>
    <m/>
    <m/>
    <n v="174291"/>
    <n v="149890"/>
    <n v="23465"/>
    <n v="215500"/>
    <n v="32300"/>
    <n v="183200"/>
    <n v="0"/>
    <n v="0"/>
    <n v="89850.625589999996"/>
    <n v="-101892.2773541973"/>
    <n v="21557.329055999999"/>
    <n v="160472.20319"/>
    <n v="-6468.3224145000004"/>
    <n v="50495.660614294"/>
    <n v="0"/>
    <n v="0"/>
    <n v="0"/>
    <n v="30336.176841600001"/>
    <n v="0"/>
    <n v="23500"/>
    <n v="256400"/>
    <n v="-12000"/>
    <n v="267900"/>
    <n v="0.24315545243619491"/>
    <n v="0.99970000000000003"/>
    <n v="1.0067999999999999"/>
    <n v="0.99729999999999996"/>
    <n v="1.0157"/>
    <n v="0.97319999999999995"/>
    <n v="0.94971499999999998"/>
    <n v="0.9426052971358202"/>
    <n v="256400"/>
    <n v="22300"/>
    <n v="278700"/>
    <n v="-11400"/>
    <n v="267300"/>
    <n v="0.52128820960698685"/>
    <n v="-1.3529411764705883"/>
    <n v="0.24037122969837588"/>
  </r>
  <r>
    <n v="2025"/>
    <s v="18131543447    "/>
    <n v="-2.2072749131897207"/>
    <n v="0.11"/>
    <n v="4780"/>
    <s v="6"/>
    <s v="RES"/>
    <x v="0"/>
    <s v="11"/>
    <s v="325"/>
    <s v="TE"/>
    <s v="G"/>
    <s v="GD"/>
    <x v="2"/>
    <n v="29"/>
    <n v="29"/>
    <n v="1995"/>
    <n v="1995"/>
    <n v="874"/>
    <n v="346"/>
    <m/>
    <n v="0"/>
    <m/>
    <m/>
    <n v="1220"/>
    <n v="1500"/>
    <n v="10"/>
    <n v="420"/>
    <m/>
    <n v="96"/>
    <m/>
    <m/>
    <m/>
    <m/>
    <n v="291075"/>
    <n v="253235"/>
    <n v="0"/>
    <n v="307700"/>
    <n v="43300"/>
    <n v="264400"/>
    <n v="0"/>
    <n v="0"/>
    <n v="89850.625589999996"/>
    <n v="-69870.439211769743"/>
    <n v="44121.038090000002"/>
    <n v="197752.34721000001"/>
    <n v="-6468.3224145000004"/>
    <n v="43183.177472497999"/>
    <n v="15496.102309906"/>
    <n v="0"/>
    <n v="0"/>
    <n v="37920.221052000001"/>
    <n v="3196.3694664960003"/>
    <n v="0"/>
    <n v="335200"/>
    <n v="20000"/>
    <n v="355200"/>
    <n v="0.15437114072148198"/>
    <n v="0.99970000000000003"/>
    <n v="0.98050000000000004"/>
    <n v="0.99650000000000005"/>
    <n v="1.0157"/>
    <n v="0.97319999999999995"/>
    <n v="0.94971499999999998"/>
    <n v="0.91724584079958493"/>
    <n v="335200"/>
    <n v="0"/>
    <n v="335200"/>
    <n v="19000"/>
    <n v="354200"/>
    <n v="0.26777609682299547"/>
    <n v="-0.56120092378752884"/>
    <n v="0.15112122196945077"/>
  </r>
  <r>
    <n v="2025"/>
    <s v="18131543448    "/>
    <n v="-2.2072749131897207"/>
    <n v="0.11"/>
    <n v="4776"/>
    <s v="6"/>
    <s v="RES"/>
    <x v="0"/>
    <s v="11"/>
    <s v="325"/>
    <s v="TE"/>
    <s v="G"/>
    <s v="GD"/>
    <x v="2"/>
    <n v="29"/>
    <n v="29"/>
    <n v="1995"/>
    <n v="1995"/>
    <n v="874"/>
    <n v="346"/>
    <m/>
    <n v="0"/>
    <m/>
    <m/>
    <n v="1220"/>
    <n v="1500"/>
    <n v="10"/>
    <n v="420"/>
    <m/>
    <n v="96"/>
    <m/>
    <m/>
    <m/>
    <m/>
    <n v="291075"/>
    <n v="253235"/>
    <n v="0"/>
    <n v="307700"/>
    <n v="43300"/>
    <n v="264400"/>
    <n v="0"/>
    <n v="0"/>
    <n v="89850.625589999996"/>
    <n v="-69870.439211769743"/>
    <n v="44121.038090000002"/>
    <n v="197752.34721000001"/>
    <n v="-6468.3224145000004"/>
    <n v="43183.177472497999"/>
    <n v="15496.102309906"/>
    <n v="0"/>
    <n v="0"/>
    <n v="37920.221052000001"/>
    <n v="3196.3694664960003"/>
    <n v="0"/>
    <n v="335200"/>
    <n v="20000"/>
    <n v="355200"/>
    <n v="0.15437114072148198"/>
    <n v="0.99970000000000003"/>
    <n v="0.98050000000000004"/>
    <n v="0.99650000000000005"/>
    <n v="1.0157"/>
    <n v="0.97319999999999995"/>
    <n v="0.94971499999999998"/>
    <n v="0.91724584079958493"/>
    <n v="335200"/>
    <n v="0"/>
    <n v="335200"/>
    <n v="19000"/>
    <n v="354200"/>
    <n v="0.26777609682299547"/>
    <n v="-0.56120092378752884"/>
    <n v="0.15112122196945077"/>
  </r>
  <r>
    <n v="2025"/>
    <s v="18131543446    "/>
    <n v="-2.2072749131897207"/>
    <n v="0.11"/>
    <n v="4780"/>
    <s v="6"/>
    <s v="RES"/>
    <x v="0"/>
    <s v="11"/>
    <s v="325"/>
    <s v="TE"/>
    <s v="G"/>
    <s v="GD"/>
    <x v="2"/>
    <n v="29"/>
    <n v="29"/>
    <n v="1995"/>
    <n v="1995"/>
    <n v="874"/>
    <n v="358"/>
    <m/>
    <n v="0"/>
    <m/>
    <m/>
    <n v="1232"/>
    <n v="1500"/>
    <n v="11"/>
    <n v="440"/>
    <m/>
    <n v="99"/>
    <m/>
    <m/>
    <m/>
    <m/>
    <n v="295622"/>
    <n v="257191"/>
    <n v="0"/>
    <n v="312000"/>
    <n v="43300"/>
    <n v="268700"/>
    <n v="0"/>
    <n v="0"/>
    <n v="89850.625589999996"/>
    <n v="-69870.439211769743"/>
    <n v="44121.038090000002"/>
    <n v="197752.34721000001"/>
    <n v="-6468.3224145000004"/>
    <n v="43183.177472497999"/>
    <n v="16033.539384238"/>
    <n v="0"/>
    <n v="0"/>
    <n v="41712.243157199999"/>
    <n v="3296.2560123240005"/>
    <n v="0"/>
    <n v="339600"/>
    <n v="20000"/>
    <n v="359600"/>
    <n v="0.15256410256410258"/>
    <n v="0.99970000000000003"/>
    <n v="0.98050000000000004"/>
    <n v="0.99650000000000005"/>
    <n v="1.0157"/>
    <n v="0.97319999999999995"/>
    <n v="0.94971499999999998"/>
    <n v="0.91724584079958493"/>
    <n v="339600"/>
    <n v="0"/>
    <n v="339600"/>
    <n v="19000"/>
    <n v="358600"/>
    <n v="0.26386304428730928"/>
    <n v="-0.56120092378752884"/>
    <n v="0.14935897435897436"/>
  </r>
  <r>
    <n v="2025"/>
    <s v="18131543449    "/>
    <n v="-2.2072749131897207"/>
    <n v="0.11"/>
    <n v="4764"/>
    <s v="6"/>
    <s v="RES"/>
    <x v="0"/>
    <s v="11"/>
    <s v="325"/>
    <s v="TE"/>
    <s v="G"/>
    <s v="GD"/>
    <x v="2"/>
    <n v="29"/>
    <n v="29"/>
    <n v="1995"/>
    <n v="1995"/>
    <n v="874"/>
    <n v="358"/>
    <m/>
    <n v="0"/>
    <m/>
    <m/>
    <n v="1232"/>
    <n v="1500"/>
    <n v="11"/>
    <n v="440"/>
    <m/>
    <n v="99"/>
    <m/>
    <m/>
    <m/>
    <m/>
    <n v="297088"/>
    <n v="258467"/>
    <n v="0"/>
    <n v="313300"/>
    <n v="43300"/>
    <n v="270000"/>
    <n v="0"/>
    <n v="0"/>
    <n v="89850.625589999996"/>
    <n v="-69870.439211769743"/>
    <n v="44121.038090000002"/>
    <n v="197752.34721000001"/>
    <n v="-6468.3224145000004"/>
    <n v="43183.177472497999"/>
    <n v="16033.539384238"/>
    <n v="0"/>
    <n v="0"/>
    <n v="41712.243157199999"/>
    <n v="3296.2560123240005"/>
    <n v="0"/>
    <n v="339600"/>
    <n v="20000"/>
    <n v="359600"/>
    <n v="0.14778167890201085"/>
    <n v="0.99970000000000003"/>
    <n v="0.98050000000000004"/>
    <n v="0.99650000000000005"/>
    <n v="1.0157"/>
    <n v="0.97319999999999995"/>
    <n v="0.94971499999999998"/>
    <n v="0.91724584079958493"/>
    <n v="339600"/>
    <n v="0"/>
    <n v="339600"/>
    <n v="19000"/>
    <n v="358600"/>
    <n v="0.25777777777777777"/>
    <n v="-0.56120092378752884"/>
    <n v="0.14458984998404087"/>
  </r>
  <r>
    <n v="2025"/>
    <s v="18131543428    "/>
    <n v="-3.2188758248682006"/>
    <n v="0.04"/>
    <n v="1234"/>
    <s v="6"/>
    <s v="CON"/>
    <x v="0"/>
    <s v="11"/>
    <s v="262"/>
    <s v="CM"/>
    <s v="A"/>
    <s v="AV"/>
    <x v="2"/>
    <n v="29"/>
    <n v="29"/>
    <n v="1995"/>
    <n v="1995"/>
    <n v="1234"/>
    <m/>
    <m/>
    <n v="0"/>
    <m/>
    <m/>
    <n v="1234"/>
    <n v="1500"/>
    <n v="8"/>
    <m/>
    <m/>
    <m/>
    <m/>
    <m/>
    <m/>
    <m/>
    <n v="200012"/>
    <n v="172010"/>
    <n v="22348"/>
    <n v="243100"/>
    <n v="36500"/>
    <n v="206600"/>
    <n v="0"/>
    <n v="0"/>
    <n v="89850.625589999996"/>
    <n v="-101892.2773541973"/>
    <n v="21557.329055999999"/>
    <n v="160472.20319"/>
    <n v="-6468.3224145000004"/>
    <n v="60970.298628217999"/>
    <n v="0"/>
    <n v="0"/>
    <n v="0"/>
    <n v="30336.176841600001"/>
    <n v="0"/>
    <n v="22300"/>
    <n v="266900"/>
    <n v="-12000"/>
    <n v="277200"/>
    <n v="0.14027149321266968"/>
    <n v="0.99970000000000003"/>
    <n v="1.0067999999999999"/>
    <n v="0.99729999999999996"/>
    <n v="1.0157"/>
    <n v="0.97319999999999995"/>
    <n v="0.94971499999999998"/>
    <n v="0.9426052971358202"/>
    <n v="266900"/>
    <n v="21200"/>
    <n v="288100"/>
    <n v="-11400"/>
    <n v="276700"/>
    <n v="0.39448209099709586"/>
    <n v="-1.3123287671232877"/>
    <n v="0.13821472645002056"/>
  </r>
  <r>
    <n v="2025"/>
    <s v="18131543427    "/>
    <n v="-3.2188758248682006"/>
    <n v="0.04"/>
    <n v="1246"/>
    <s v="6"/>
    <s v="CON"/>
    <x v="0"/>
    <s v="11"/>
    <s v="262"/>
    <s v="CM"/>
    <s v="A"/>
    <s v="AV"/>
    <x v="2"/>
    <n v="29"/>
    <n v="29"/>
    <n v="1995"/>
    <n v="1995"/>
    <n v="1246"/>
    <m/>
    <m/>
    <n v="0"/>
    <m/>
    <m/>
    <n v="1246"/>
    <n v="1500"/>
    <n v="8"/>
    <m/>
    <m/>
    <m/>
    <m/>
    <m/>
    <m/>
    <m/>
    <n v="202110"/>
    <n v="173815"/>
    <n v="22348"/>
    <n v="245700"/>
    <n v="36900"/>
    <n v="208800"/>
    <n v="0"/>
    <n v="0"/>
    <n v="89850.625589999996"/>
    <n v="-101892.2773541973"/>
    <n v="21557.329055999999"/>
    <n v="160472.20319"/>
    <n v="-6468.3224145000004"/>
    <n v="61563.202666742"/>
    <n v="0"/>
    <n v="0"/>
    <n v="0"/>
    <n v="30336.176841600001"/>
    <n v="0"/>
    <n v="22300"/>
    <n v="267500"/>
    <n v="-12000"/>
    <n v="277800"/>
    <n v="0.13064713064713065"/>
    <n v="0.99970000000000003"/>
    <n v="1.0067999999999999"/>
    <n v="0.99729999999999996"/>
    <n v="1.0157"/>
    <n v="0.97319999999999995"/>
    <n v="0.94971499999999998"/>
    <n v="0.9426052971358202"/>
    <n v="267500"/>
    <n v="21200"/>
    <n v="288700"/>
    <n v="-11400"/>
    <n v="277300"/>
    <n v="0.38266283524904215"/>
    <n v="-1.3089430894308942"/>
    <n v="0.12861212861212862"/>
  </r>
  <r>
    <n v="2025"/>
    <s v="18131543429    "/>
    <n v="-3.2188758248682006"/>
    <n v="0.04"/>
    <n v="1309"/>
    <s v="6"/>
    <s v="CON"/>
    <x v="0"/>
    <s v="11"/>
    <s v="262"/>
    <s v="CE"/>
    <s v="A"/>
    <s v="AV"/>
    <x v="2"/>
    <n v="29"/>
    <n v="29"/>
    <n v="1995"/>
    <n v="1995"/>
    <n v="1309"/>
    <m/>
    <m/>
    <n v="0"/>
    <m/>
    <m/>
    <n v="1309"/>
    <n v="1500"/>
    <n v="8"/>
    <m/>
    <m/>
    <m/>
    <m/>
    <m/>
    <m/>
    <m/>
    <n v="210891"/>
    <n v="181366"/>
    <n v="20269"/>
    <n v="253300"/>
    <n v="38000"/>
    <n v="215300"/>
    <n v="0"/>
    <n v="0"/>
    <n v="89850.625589999996"/>
    <n v="-101892.2773541973"/>
    <n v="21557.329055999999"/>
    <n v="160472.20319"/>
    <n v="-6468.3224145000004"/>
    <n v="64675.948868993"/>
    <n v="0"/>
    <n v="0"/>
    <n v="0"/>
    <n v="30336.176841600001"/>
    <n v="0"/>
    <n v="20300"/>
    <n v="270600"/>
    <n v="-12000"/>
    <n v="278900"/>
    <n v="0.10106592972759573"/>
    <n v="0.99970000000000003"/>
    <n v="1.0067999999999999"/>
    <n v="0.99729999999999996"/>
    <n v="1.0157"/>
    <n v="0.97319999999999995"/>
    <n v="0.94971499999999998"/>
    <n v="0.9426052971358202"/>
    <n v="270600"/>
    <n v="19200"/>
    <n v="289800"/>
    <n v="-11400"/>
    <n v="278400"/>
    <n v="0.34602879702740363"/>
    <n v="-1.3"/>
    <n v="9.9091985787603629E-2"/>
  </r>
  <r>
    <n v="2025"/>
    <s v="18131543438    "/>
    <n v="-3.2188758248682006"/>
    <n v="0.04"/>
    <n v="1446"/>
    <s v="6"/>
    <s v="CON"/>
    <x v="0"/>
    <s v="11"/>
    <s v="262"/>
    <s v="CE"/>
    <s v="A+"/>
    <s v="AV"/>
    <x v="2"/>
    <n v="29"/>
    <n v="29"/>
    <n v="1995"/>
    <n v="1995"/>
    <n v="1446"/>
    <m/>
    <m/>
    <n v="0"/>
    <m/>
    <m/>
    <n v="1446"/>
    <n v="1500"/>
    <n v="12"/>
    <m/>
    <m/>
    <m/>
    <m/>
    <m/>
    <m/>
    <m/>
    <n v="281048"/>
    <n v="241701"/>
    <n v="23465"/>
    <n v="283800"/>
    <n v="42600"/>
    <n v="241200"/>
    <n v="0"/>
    <n v="0"/>
    <n v="89850.625589999996"/>
    <n v="-101892.2773541973"/>
    <n v="29814.093161000001"/>
    <n v="160472.20319"/>
    <n v="-6468.3224145000004"/>
    <n v="71444.936642141998"/>
    <n v="0"/>
    <n v="0"/>
    <n v="0"/>
    <n v="45504.265262400004"/>
    <n v="0"/>
    <n v="23500"/>
    <n v="300800"/>
    <n v="-12000"/>
    <n v="312300"/>
    <n v="0.10042283298097252"/>
    <n v="0.99970000000000003"/>
    <n v="1.0088999999999999"/>
    <n v="0.99729999999999996"/>
    <n v="1.0157"/>
    <n v="0.97319999999999995"/>
    <n v="0.94971499999999998"/>
    <n v="0.944571398768702"/>
    <n v="300800"/>
    <n v="22300"/>
    <n v="323100"/>
    <n v="-11400"/>
    <n v="311700"/>
    <n v="0.33955223880597013"/>
    <n v="-1.267605633802817"/>
    <n v="9.830866807610994E-2"/>
  </r>
  <r>
    <n v="2025"/>
    <s v="18131543430    "/>
    <n v="-3.2188758248682006"/>
    <n v="0.04"/>
    <n v="1460"/>
    <s v="6"/>
    <s v="CON"/>
    <x v="0"/>
    <s v="11"/>
    <s v="262"/>
    <s v="CE"/>
    <s v="A+"/>
    <s v="AV"/>
    <x v="2"/>
    <n v="29"/>
    <n v="29"/>
    <n v="1995"/>
    <n v="1995"/>
    <n v="1460"/>
    <m/>
    <m/>
    <n v="0"/>
    <m/>
    <m/>
    <n v="1460"/>
    <n v="1500"/>
    <n v="10"/>
    <m/>
    <m/>
    <m/>
    <m/>
    <m/>
    <m/>
    <m/>
    <n v="272996"/>
    <n v="234777"/>
    <n v="23465"/>
    <n v="285400"/>
    <n v="42800"/>
    <n v="242600"/>
    <n v="0"/>
    <n v="0"/>
    <n v="89850.625589999996"/>
    <n v="-101892.2773541973"/>
    <n v="29814.093161000001"/>
    <n v="160472.20319"/>
    <n v="-6468.3224145000004"/>
    <n v="72136.65802042"/>
    <n v="0"/>
    <n v="0"/>
    <n v="0"/>
    <n v="37920.221052000001"/>
    <n v="0"/>
    <n v="23500"/>
    <n v="293900"/>
    <n v="-12000"/>
    <n v="305400"/>
    <n v="7.0077084793272598E-2"/>
    <n v="0.99970000000000003"/>
    <n v="1.0088999999999999"/>
    <n v="0.99729999999999996"/>
    <n v="1.0157"/>
    <n v="0.97319999999999995"/>
    <n v="0.94971499999999998"/>
    <n v="0.944571398768702"/>
    <n v="293900"/>
    <n v="22300"/>
    <n v="316200"/>
    <n v="-11400"/>
    <n v="304800"/>
    <n v="0.30338004946413849"/>
    <n v="-1.266355140186916"/>
    <n v="6.7974772249474416E-2"/>
  </r>
  <r>
    <n v="2025"/>
    <s v="18131543426    "/>
    <n v="-3.2188758248682006"/>
    <n v="0.04"/>
    <n v="1298"/>
    <s v="6"/>
    <s v="CON"/>
    <x v="0"/>
    <s v="11"/>
    <s v="262"/>
    <s v="CE"/>
    <s v="A"/>
    <s v="AV"/>
    <x v="2"/>
    <n v="29"/>
    <n v="29"/>
    <n v="1995"/>
    <n v="1995"/>
    <n v="1298"/>
    <m/>
    <m/>
    <n v="0"/>
    <m/>
    <m/>
    <n v="1298"/>
    <n v="1500"/>
    <n v="10"/>
    <m/>
    <m/>
    <m/>
    <m/>
    <m/>
    <m/>
    <m/>
    <n v="225020"/>
    <n v="193517"/>
    <n v="21227"/>
    <n v="269900"/>
    <n v="40500"/>
    <n v="229400"/>
    <n v="0"/>
    <n v="0"/>
    <n v="89850.625589999996"/>
    <n v="-101892.2773541973"/>
    <n v="21557.329055999999"/>
    <n v="160472.20319"/>
    <n v="-6468.3224145000004"/>
    <n v="64132.453500346004"/>
    <n v="0"/>
    <n v="0"/>
    <n v="0"/>
    <n v="37920.221052000001"/>
    <n v="0"/>
    <n v="21200"/>
    <n v="277600"/>
    <n v="-12000"/>
    <n v="286800"/>
    <n v="6.2615783623564278E-2"/>
    <n v="0.99970000000000003"/>
    <n v="1.0067999999999999"/>
    <n v="0.99729999999999996"/>
    <n v="1.0157"/>
    <n v="0.97319999999999995"/>
    <n v="0.94971499999999998"/>
    <n v="0.9426052971358202"/>
    <n v="277600"/>
    <n v="20200"/>
    <n v="297800"/>
    <n v="-11400"/>
    <n v="286400"/>
    <n v="0.2981691368788143"/>
    <n v="-1.2814814814814814"/>
    <n v="6.1133753241941459E-2"/>
  </r>
  <r>
    <n v="2025"/>
    <s v="18131543441    "/>
    <n v="-3.2188758248682006"/>
    <n v="0.04"/>
    <n v="1464"/>
    <s v="6"/>
    <s v="CON"/>
    <x v="0"/>
    <s v="11"/>
    <s v="262"/>
    <s v="CE"/>
    <s v="A"/>
    <s v="AV"/>
    <x v="2"/>
    <n v="29"/>
    <n v="29"/>
    <n v="1995"/>
    <n v="1995"/>
    <n v="1464"/>
    <m/>
    <m/>
    <n v="0"/>
    <m/>
    <m/>
    <n v="1464"/>
    <n v="1500"/>
    <n v="8"/>
    <m/>
    <m/>
    <m/>
    <m/>
    <m/>
    <m/>
    <m/>
    <n v="236125"/>
    <n v="203068"/>
    <n v="23465"/>
    <n v="284300"/>
    <n v="42600"/>
    <n v="241700"/>
    <n v="0"/>
    <n v="0"/>
    <n v="89850.625589999996"/>
    <n v="-101892.2773541973"/>
    <n v="21557.329055999999"/>
    <n v="160472.20319"/>
    <n v="-6468.3224145000004"/>
    <n v="72334.292699928003"/>
    <n v="0"/>
    <n v="0"/>
    <n v="0"/>
    <n v="30336.176841600001"/>
    <n v="0"/>
    <n v="23500"/>
    <n v="278200"/>
    <n v="-12000"/>
    <n v="289700"/>
    <n v="1.8994020400984874E-2"/>
    <n v="0.99970000000000003"/>
    <n v="1.0067999999999999"/>
    <n v="0.99729999999999996"/>
    <n v="1.0157"/>
    <n v="0.97319999999999995"/>
    <n v="0.94971499999999998"/>
    <n v="0.9426052971358202"/>
    <n v="278200"/>
    <n v="22300"/>
    <n v="300500"/>
    <n v="-11400"/>
    <n v="289100"/>
    <n v="0.24327678940835748"/>
    <n v="-1.267605633802817"/>
    <n v="1.6883573689764335E-2"/>
  </r>
  <r>
    <n v="2025"/>
    <s v="18131543433    "/>
    <n v="-3.2188758248682006"/>
    <n v="0.04"/>
    <n v="1464"/>
    <s v="6"/>
    <s v="CON"/>
    <x v="0"/>
    <s v="11"/>
    <s v="262"/>
    <s v="CE"/>
    <s v="A"/>
    <s v="AV"/>
    <x v="2"/>
    <n v="29"/>
    <n v="29"/>
    <n v="1995"/>
    <n v="1995"/>
    <n v="1464"/>
    <m/>
    <m/>
    <n v="0"/>
    <m/>
    <m/>
    <n v="1464"/>
    <n v="1500"/>
    <n v="9"/>
    <m/>
    <m/>
    <m/>
    <m/>
    <m/>
    <m/>
    <m/>
    <n v="240884"/>
    <n v="207160"/>
    <n v="23465"/>
    <n v="289600"/>
    <n v="43400"/>
    <n v="246200"/>
    <n v="0"/>
    <n v="0"/>
    <n v="89850.625589999996"/>
    <n v="-101892.2773541973"/>
    <n v="21557.329055999999"/>
    <n v="160472.20319"/>
    <n v="-6468.3224145000004"/>
    <n v="72334.292699928003"/>
    <n v="0"/>
    <n v="0"/>
    <n v="0"/>
    <n v="34128.198946800003"/>
    <n v="0"/>
    <n v="23500"/>
    <n v="282000"/>
    <n v="-12000"/>
    <n v="293500"/>
    <n v="1.3466850828729282E-2"/>
    <n v="0.99970000000000003"/>
    <n v="1.0067999999999999"/>
    <n v="0.99729999999999996"/>
    <n v="1.0157"/>
    <n v="0.97319999999999995"/>
    <n v="0.94971499999999998"/>
    <n v="0.9426052971358202"/>
    <n v="282000"/>
    <n v="22300"/>
    <n v="304300"/>
    <n v="-11400"/>
    <n v="292900"/>
    <n v="0.23598700243704304"/>
    <n v="-1.2626728110599079"/>
    <n v="1.1395027624309393E-2"/>
  </r>
  <r>
    <n v="2025"/>
    <s v="18132313449    "/>
    <n v="-1.7719568419318752"/>
    <n v="0.17"/>
    <n v="7400"/>
    <s v="6"/>
    <s v="RES"/>
    <x v="0"/>
    <s v="11"/>
    <s v="259"/>
    <s v="RN"/>
    <s v="A+"/>
    <s v="VG"/>
    <x v="2"/>
    <n v="30"/>
    <n v="30"/>
    <n v="1994"/>
    <n v="1994"/>
    <n v="1252"/>
    <m/>
    <n v="1252"/>
    <n v="0"/>
    <n v="1252"/>
    <m/>
    <n v="2504"/>
    <n v="3000"/>
    <n v="8"/>
    <n v="576"/>
    <m/>
    <n v="120"/>
    <m/>
    <m/>
    <m/>
    <m/>
    <n v="384059"/>
    <n v="334131"/>
    <n v="0"/>
    <n v="404100"/>
    <n v="52700"/>
    <n v="351400"/>
    <n v="0"/>
    <n v="0"/>
    <n v="89850.625589999996"/>
    <n v="-56090.612940989391"/>
    <n v="29814.093161000001"/>
    <n v="284810.60806"/>
    <n v="-6691.368015"/>
    <n v="61859.654686004003"/>
    <n v="0"/>
    <n v="0"/>
    <n v="36410.532849243995"/>
    <n v="30336.176841600001"/>
    <n v="3995.4618331200004"/>
    <n v="0"/>
    <n v="440500"/>
    <n v="33800"/>
    <n v="474300"/>
    <n v="0.17371937639198218"/>
    <n v="0.99970000000000003"/>
    <n v="1.0088999999999999"/>
    <n v="1.0158"/>
    <n v="0.96179999999999999"/>
    <n v="0.97319999999999995"/>
    <n v="0.94971499999999998"/>
    <n v="0.91103801858287259"/>
    <n v="440500"/>
    <n v="0"/>
    <n v="440500"/>
    <n v="32100"/>
    <n v="472600"/>
    <n v="0.2535571997723392"/>
    <n v="-0.39089184060721061"/>
    <n v="0.16951249690670625"/>
  </r>
  <r>
    <n v="2025"/>
    <s v="18131543424    "/>
    <n v="-3.5065578973199818"/>
    <n v="0.03"/>
    <n v="2069"/>
    <s v="6"/>
    <s v="CON"/>
    <x v="0"/>
    <s v="11"/>
    <s v="262"/>
    <s v="CE"/>
    <s v="G+"/>
    <s v="AV"/>
    <x v="2"/>
    <n v="30"/>
    <n v="30"/>
    <n v="1994"/>
    <n v="1994"/>
    <n v="1541"/>
    <m/>
    <m/>
    <n v="0"/>
    <m/>
    <m/>
    <n v="1541"/>
    <n v="2000"/>
    <n v="10"/>
    <n v="528"/>
    <m/>
    <n v="144"/>
    <m/>
    <m/>
    <m/>
    <m/>
    <n v="398079"/>
    <n v="346329"/>
    <n v="0"/>
    <n v="290300"/>
    <n v="43500"/>
    <n v="246800"/>
    <n v="0"/>
    <n v="0"/>
    <n v="89850.625589999996"/>
    <n v="-110998.74281323297"/>
    <n v="74268.409664999999"/>
    <n v="160472.20319"/>
    <n v="-6691.368015"/>
    <n v="76138.760280457005"/>
    <n v="0"/>
    <n v="0"/>
    <n v="0"/>
    <n v="37920.221052000001"/>
    <n v="4794.5541997440005"/>
    <n v="0"/>
    <n v="346900"/>
    <n v="-21100"/>
    <n v="325800"/>
    <n v="0.12228728901136755"/>
    <n v="0.99970000000000003"/>
    <n v="0.98380000000000001"/>
    <n v="0.99729999999999996"/>
    <n v="1.0093000000000001"/>
    <n v="0.97319999999999995"/>
    <n v="0.94971499999999998"/>
    <n v="0.91526806225250934"/>
    <n v="346900"/>
    <n v="0"/>
    <n v="346900"/>
    <n v="-20100"/>
    <n v="326800"/>
    <n v="0.40559157212317665"/>
    <n v="-1.4620689655172414"/>
    <n v="0.12573200137788496"/>
  </r>
  <r>
    <n v="2025"/>
    <s v="18131543425    "/>
    <n v="-3.2188758248682006"/>
    <n v="0.04"/>
    <n v="2313"/>
    <s v="6"/>
    <s v="CON"/>
    <x v="0"/>
    <s v="11"/>
    <s v="262"/>
    <s v="CE"/>
    <s v="G+"/>
    <s v="AV"/>
    <x v="2"/>
    <n v="30"/>
    <n v="30"/>
    <n v="1994"/>
    <n v="1994"/>
    <n v="1785"/>
    <m/>
    <m/>
    <n v="0"/>
    <m/>
    <m/>
    <n v="1785"/>
    <n v="2000"/>
    <n v="12"/>
    <n v="528"/>
    <m/>
    <n v="168"/>
    <m/>
    <m/>
    <m/>
    <m/>
    <n v="447502"/>
    <n v="389327"/>
    <n v="0"/>
    <n v="326300"/>
    <n v="48900"/>
    <n v="277400"/>
    <n v="0"/>
    <n v="0"/>
    <n v="89850.625589999996"/>
    <n v="-101892.2773541973"/>
    <n v="74268.409664999999"/>
    <n v="160472.20319"/>
    <n v="-6691.368015"/>
    <n v="88194.475730445003"/>
    <n v="0"/>
    <n v="0"/>
    <n v="0"/>
    <n v="45504.265262400004"/>
    <n v="5593.646566368001"/>
    <n v="0"/>
    <n v="367300"/>
    <n v="-12000"/>
    <n v="355300"/>
    <n v="8.8875268158136678E-2"/>
    <n v="0.99970000000000003"/>
    <n v="0.98380000000000001"/>
    <n v="0.99729999999999996"/>
    <n v="1.0093000000000001"/>
    <n v="0.97319999999999995"/>
    <n v="0.94971499999999998"/>
    <n v="0.91526806225250934"/>
    <n v="367300"/>
    <n v="0"/>
    <n v="367300"/>
    <n v="-11400"/>
    <n v="355900"/>
    <n v="0.32408074981975488"/>
    <n v="-1.2331288343558282"/>
    <n v="9.0714066809684343E-2"/>
  </r>
  <r>
    <n v="2025"/>
    <s v="18132322500    "/>
    <n v="-1.7147984280919266"/>
    <n v="0.18"/>
    <n v="7708"/>
    <s v="6"/>
    <s v="RES"/>
    <x v="0"/>
    <s v="11"/>
    <s v="259"/>
    <s v="RN"/>
    <s v="A"/>
    <s v="GD"/>
    <x v="2"/>
    <n v="30"/>
    <n v="30"/>
    <n v="1994"/>
    <n v="1994"/>
    <n v="912"/>
    <m/>
    <n v="912"/>
    <n v="0"/>
    <n v="912"/>
    <m/>
    <n v="1824"/>
    <n v="2000"/>
    <n v="10"/>
    <n v="576"/>
    <m/>
    <n v="64"/>
    <m/>
    <m/>
    <m/>
    <m/>
    <n v="262371"/>
    <n v="225639"/>
    <n v="0"/>
    <n v="339600"/>
    <n v="54700"/>
    <n v="284900"/>
    <n v="0"/>
    <n v="0"/>
    <n v="89850.625589999996"/>
    <n v="-54281.285314520763"/>
    <n v="21557.329055999999"/>
    <n v="197752.34721000001"/>
    <n v="-6691.368015"/>
    <n v="45060.706927824001"/>
    <n v="0"/>
    <n v="0"/>
    <n v="26522.688465264"/>
    <n v="37920.221052000001"/>
    <n v="2130.9129776640002"/>
    <n v="0"/>
    <n v="324300"/>
    <n v="35600"/>
    <n v="359900"/>
    <n v="5.9776207302709071E-2"/>
    <n v="0.99970000000000003"/>
    <n v="1.0067999999999999"/>
    <n v="0.99650000000000005"/>
    <n v="1.0093000000000001"/>
    <n v="0.97319999999999995"/>
    <n v="0.94971499999999998"/>
    <n v="0.93591451083208332"/>
    <n v="324300"/>
    <n v="0"/>
    <n v="324300"/>
    <n v="33800"/>
    <n v="358100"/>
    <n v="0.13829413829413831"/>
    <n v="-0.38208409506398539"/>
    <n v="5.4475853945818609E-2"/>
  </r>
  <r>
    <n v="2025"/>
    <s v="18132243002    "/>
    <n v="-1.1086626245216111"/>
    <n v="0.33"/>
    <m/>
    <s v="6"/>
    <s v="RES"/>
    <x v="0"/>
    <s v="11"/>
    <s v="259"/>
    <s v="TD"/>
    <s v="A+"/>
    <s v="GD"/>
    <x v="2"/>
    <n v="30"/>
    <n v="30"/>
    <n v="1994"/>
    <n v="1994"/>
    <n v="1796"/>
    <m/>
    <n v="1796"/>
    <n v="0"/>
    <n v="1796"/>
    <m/>
    <n v="3592"/>
    <n v="4000"/>
    <n v="13"/>
    <n v="624"/>
    <m/>
    <n v="340"/>
    <m/>
    <m/>
    <m/>
    <m/>
    <n v="523064"/>
    <n v="449835"/>
    <n v="0"/>
    <n v="456100"/>
    <n v="75900"/>
    <n v="380200"/>
    <n v="0"/>
    <n v="0"/>
    <n v="89850.625589999996"/>
    <n v="-35094.289365640165"/>
    <n v="29814.093161000001"/>
    <n v="197752.34721000001"/>
    <n v="-6691.368015"/>
    <n v="88737.971099091999"/>
    <n v="0"/>
    <n v="0"/>
    <n v="52231.083863611995"/>
    <n v="49296.287367600002"/>
    <n v="11320.47519384"/>
    <n v="0"/>
    <n v="422500"/>
    <n v="54800"/>
    <n v="477300"/>
    <n v="4.6481034860776142E-2"/>
    <n v="0.99970000000000003"/>
    <n v="1.0088999999999999"/>
    <n v="0.99650000000000005"/>
    <n v="0.94579999999999997"/>
    <n v="0.97319999999999995"/>
    <n v="0.94971499999999998"/>
    <n v="0.87886087775587596"/>
    <n v="422500"/>
    <n v="0"/>
    <n v="422500"/>
    <n v="52000"/>
    <n v="474500"/>
    <n v="0.11125723303524461"/>
    <n v="-0.31488801054018445"/>
    <n v="4.0342030256522693E-2"/>
  </r>
  <r>
    <n v="2025"/>
    <s v="18131543412    "/>
    <n v="-3.912023005428146"/>
    <n v="0.02"/>
    <n v="1022"/>
    <s v="6"/>
    <s v="CON"/>
    <x v="0"/>
    <s v="11"/>
    <s v="262"/>
    <s v="CM"/>
    <s v="A"/>
    <s v="AV"/>
    <x v="3"/>
    <n v="32"/>
    <n v="32"/>
    <n v="1992"/>
    <n v="1992"/>
    <n v="1022"/>
    <m/>
    <m/>
    <n v="0"/>
    <m/>
    <m/>
    <n v="1022"/>
    <n v="1500"/>
    <n v="8"/>
    <m/>
    <m/>
    <m/>
    <m/>
    <m/>
    <m/>
    <m/>
    <n v="170723"/>
    <n v="145115"/>
    <n v="14651"/>
    <n v="201400"/>
    <n v="30200"/>
    <n v="171200"/>
    <n v="0"/>
    <n v="0"/>
    <n v="89850.625589999996"/>
    <n v="-123833.58500677992"/>
    <n v="21557.329055999999"/>
    <n v="160472.20319"/>
    <n v="-7137.4592160000002"/>
    <n v="50495.660614294"/>
    <n v="0"/>
    <n v="0"/>
    <n v="0"/>
    <n v="30336.176841600001"/>
    <n v="0"/>
    <n v="14700"/>
    <n v="255700"/>
    <n v="-34000"/>
    <n v="236400"/>
    <n v="0.17378351539225423"/>
    <n v="0.99970000000000003"/>
    <n v="1.0067999999999999"/>
    <n v="0.99729999999999996"/>
    <n v="1.0157"/>
    <n v="1.0157"/>
    <n v="0.94971499999999998"/>
    <n v="0.9837692152700912"/>
    <n v="255700"/>
    <n v="13900"/>
    <n v="269600"/>
    <n v="-32300"/>
    <n v="237300"/>
    <n v="0.57476635514018692"/>
    <n v="-2.0695364238410594"/>
    <n v="0.17825223435948362"/>
  </r>
  <r>
    <n v="2025"/>
    <s v="18131543421    "/>
    <n v="-3.912023005428146"/>
    <n v="0.02"/>
    <n v="1018"/>
    <s v="6"/>
    <s v="CON"/>
    <x v="0"/>
    <s v="11"/>
    <s v="262"/>
    <s v="CM"/>
    <s v="A"/>
    <s v="AV"/>
    <x v="3"/>
    <n v="32"/>
    <n v="32"/>
    <n v="1992"/>
    <n v="1992"/>
    <n v="1018"/>
    <m/>
    <m/>
    <n v="0"/>
    <m/>
    <m/>
    <n v="1018"/>
    <n v="1500"/>
    <n v="8"/>
    <m/>
    <m/>
    <m/>
    <m/>
    <m/>
    <m/>
    <m/>
    <n v="171667"/>
    <n v="145917"/>
    <n v="14651"/>
    <n v="202400"/>
    <n v="30400"/>
    <n v="172000"/>
    <n v="0"/>
    <n v="0"/>
    <n v="89850.625589999996"/>
    <n v="-123833.58500677992"/>
    <n v="21557.329055999999"/>
    <n v="160472.20319"/>
    <n v="-7137.4592160000002"/>
    <n v="50298.025934786005"/>
    <n v="0"/>
    <n v="0"/>
    <n v="0"/>
    <n v="30336.176841600001"/>
    <n v="0"/>
    <n v="14700"/>
    <n v="255500"/>
    <n v="-34000"/>
    <n v="236200"/>
    <n v="0.16699604743083005"/>
    <n v="0.99970000000000003"/>
    <n v="1.0067999999999999"/>
    <n v="0.99729999999999996"/>
    <n v="1.0157"/>
    <n v="1.0157"/>
    <n v="0.94971499999999998"/>
    <n v="0.9837692152700912"/>
    <n v="255500"/>
    <n v="13900"/>
    <n v="269400"/>
    <n v="-32300"/>
    <n v="237100"/>
    <n v="0.56627906976744191"/>
    <n v="-2.0625"/>
    <n v="0.17144268774703558"/>
  </r>
  <r>
    <n v="2025"/>
    <s v="18131543413    "/>
    <n v="-3.912023005428146"/>
    <n v="0.02"/>
    <n v="1018"/>
    <s v="6"/>
    <s v="CON"/>
    <x v="0"/>
    <s v="11"/>
    <s v="262"/>
    <s v="CM"/>
    <s v="A"/>
    <s v="AV"/>
    <x v="3"/>
    <n v="32"/>
    <n v="32"/>
    <n v="1992"/>
    <n v="1992"/>
    <n v="1018"/>
    <m/>
    <m/>
    <n v="0"/>
    <m/>
    <m/>
    <n v="1018"/>
    <n v="1500"/>
    <n v="5"/>
    <m/>
    <m/>
    <m/>
    <m/>
    <m/>
    <m/>
    <m/>
    <n v="163281"/>
    <n v="138789"/>
    <n v="14651"/>
    <n v="193200"/>
    <n v="29000"/>
    <n v="164200"/>
    <n v="0"/>
    <n v="0"/>
    <n v="89850.625589999996"/>
    <n v="-123833.58500677992"/>
    <n v="21557.329055999999"/>
    <n v="160472.20319"/>
    <n v="-7137.4592160000002"/>
    <n v="50298.025934786005"/>
    <n v="0"/>
    <n v="0"/>
    <n v="0"/>
    <n v="18960.110526"/>
    <n v="0"/>
    <n v="14700"/>
    <n v="244200"/>
    <n v="-34000"/>
    <n v="224900"/>
    <n v="0.16407867494824016"/>
    <n v="0.99970000000000003"/>
    <n v="1.0067999999999999"/>
    <n v="0.99729999999999996"/>
    <n v="1.0157"/>
    <n v="1.0157"/>
    <n v="0.94971499999999998"/>
    <n v="0.9837692152700912"/>
    <n v="244200"/>
    <n v="13900"/>
    <n v="258100"/>
    <n v="-32300"/>
    <n v="225800"/>
    <n v="0.57186358099878198"/>
    <n v="-2.113793103448276"/>
    <n v="0.16873706004140787"/>
  </r>
  <r>
    <n v="2025"/>
    <s v="18131543420    "/>
    <n v="-3.912023005428146"/>
    <n v="0.02"/>
    <n v="1022"/>
    <s v="6"/>
    <s v="CON"/>
    <x v="0"/>
    <s v="11"/>
    <s v="262"/>
    <s v="CM"/>
    <s v="A"/>
    <s v="AV"/>
    <x v="3"/>
    <n v="32"/>
    <n v="32"/>
    <n v="1992"/>
    <n v="1992"/>
    <n v="1022"/>
    <m/>
    <m/>
    <n v="0"/>
    <m/>
    <m/>
    <n v="1022"/>
    <n v="1500"/>
    <n v="8"/>
    <m/>
    <m/>
    <m/>
    <m/>
    <m/>
    <m/>
    <m/>
    <n v="172539"/>
    <n v="146658"/>
    <n v="14651"/>
    <n v="203400"/>
    <n v="30500"/>
    <n v="172900"/>
    <n v="0"/>
    <n v="0"/>
    <n v="89850.625589999996"/>
    <n v="-123833.58500677992"/>
    <n v="21557.329055999999"/>
    <n v="160472.20319"/>
    <n v="-7137.4592160000002"/>
    <n v="50495.660614294"/>
    <n v="0"/>
    <n v="0"/>
    <n v="0"/>
    <n v="30336.176841600001"/>
    <n v="0"/>
    <n v="14700"/>
    <n v="255700"/>
    <n v="-34000"/>
    <n v="236400"/>
    <n v="0.16224188790560473"/>
    <n v="0.99970000000000003"/>
    <n v="1.0067999999999999"/>
    <n v="0.99729999999999996"/>
    <n v="1.0157"/>
    <n v="1.0157"/>
    <n v="0.94971499999999998"/>
    <n v="0.9837692152700912"/>
    <n v="255700"/>
    <n v="13900"/>
    <n v="269600"/>
    <n v="-32300"/>
    <n v="237300"/>
    <n v="0.55928282244071714"/>
    <n v="-2.0590163934426231"/>
    <n v="0.16666666666666666"/>
  </r>
  <r>
    <n v="2025"/>
    <s v="18131543417    "/>
    <n v="-3.912023005428146"/>
    <n v="0.02"/>
    <n v="1021"/>
    <s v="6"/>
    <s v="CON"/>
    <x v="0"/>
    <s v="11"/>
    <s v="262"/>
    <s v="CM"/>
    <s v="A+"/>
    <s v="AV"/>
    <x v="3"/>
    <n v="32"/>
    <n v="32"/>
    <n v="1992"/>
    <n v="1992"/>
    <n v="1340"/>
    <m/>
    <m/>
    <n v="0"/>
    <m/>
    <m/>
    <n v="1340"/>
    <n v="1500"/>
    <n v="11"/>
    <m/>
    <m/>
    <m/>
    <m/>
    <m/>
    <m/>
    <m/>
    <n v="251782"/>
    <n v="214015"/>
    <n v="17291"/>
    <n v="245500"/>
    <n v="36800"/>
    <n v="208700"/>
    <n v="0"/>
    <n v="0"/>
    <n v="89850.625589999996"/>
    <n v="-123833.58500677992"/>
    <n v="29814.093161000001"/>
    <n v="160472.20319"/>
    <n v="-7137.4592160000002"/>
    <n v="66207.617635179995"/>
    <n v="0"/>
    <n v="0"/>
    <n v="0"/>
    <n v="41712.243157199999"/>
    <n v="0"/>
    <n v="17300"/>
    <n v="291100"/>
    <n v="-34000"/>
    <n v="274400"/>
    <n v="0.11771894093686354"/>
    <n v="0.99970000000000003"/>
    <n v="1.0088999999999999"/>
    <n v="0.99729999999999996"/>
    <n v="1.0157"/>
    <n v="1.0157"/>
    <n v="0.94971499999999998"/>
    <n v="0.98582117728048768"/>
    <n v="291100"/>
    <n v="16400"/>
    <n v="307500"/>
    <n v="-32300"/>
    <n v="275200"/>
    <n v="0.47340680402491614"/>
    <n v="-1.8777173913043479"/>
    <n v="0.1209775967413442"/>
  </r>
  <r>
    <n v="2025"/>
    <s v="18131543416    "/>
    <n v="-3.912023005428146"/>
    <n v="0.02"/>
    <n v="1148"/>
    <s v="6"/>
    <s v="CON"/>
    <x v="0"/>
    <s v="11"/>
    <s v="262"/>
    <s v="CM"/>
    <s v="A"/>
    <s v="AV"/>
    <x v="3"/>
    <n v="32"/>
    <n v="32"/>
    <n v="1992"/>
    <n v="1992"/>
    <n v="1148"/>
    <m/>
    <m/>
    <n v="0"/>
    <m/>
    <m/>
    <n v="1148"/>
    <n v="1500"/>
    <n v="8"/>
    <m/>
    <m/>
    <m/>
    <m/>
    <m/>
    <m/>
    <m/>
    <n v="187685"/>
    <n v="159532"/>
    <n v="14651"/>
    <n v="220000"/>
    <n v="33000"/>
    <n v="187000"/>
    <n v="0"/>
    <n v="0"/>
    <n v="89850.625589999996"/>
    <n v="-123833.58500677992"/>
    <n v="21557.329055999999"/>
    <n v="160472.20319"/>
    <n v="-7137.4592160000002"/>
    <n v="56721.153018796002"/>
    <n v="0"/>
    <n v="0"/>
    <n v="0"/>
    <n v="30336.176841600001"/>
    <n v="0"/>
    <n v="14700"/>
    <n v="261900"/>
    <n v="-34000"/>
    <n v="242600"/>
    <n v="0.10272727272727272"/>
    <n v="0.99970000000000003"/>
    <n v="1.0067999999999999"/>
    <n v="0.99729999999999996"/>
    <n v="1.0157"/>
    <n v="1.0157"/>
    <n v="0.94971499999999998"/>
    <n v="0.9837692152700912"/>
    <n v="261900"/>
    <n v="13900"/>
    <n v="275800"/>
    <n v="-32300"/>
    <n v="243500"/>
    <n v="0.4748663101604278"/>
    <n v="-1.9787878787878788"/>
    <n v="0.10681818181818181"/>
  </r>
  <r>
    <n v="2025"/>
    <s v="18132322492    "/>
    <n v="-1.5606477482646683"/>
    <n v="0.21"/>
    <n v="9082"/>
    <s v="6"/>
    <s v="RES"/>
    <x v="0"/>
    <s v="11"/>
    <s v="259"/>
    <s v="RN"/>
    <s v="A+"/>
    <s v="GD"/>
    <x v="3"/>
    <n v="32"/>
    <n v="32"/>
    <n v="1992"/>
    <n v="1992"/>
    <n v="1396"/>
    <m/>
    <m/>
    <n v="0"/>
    <m/>
    <m/>
    <n v="1396"/>
    <n v="1500"/>
    <n v="8"/>
    <n v="400"/>
    <m/>
    <n v="284"/>
    <m/>
    <m/>
    <m/>
    <m/>
    <n v="283951"/>
    <n v="244198"/>
    <n v="0"/>
    <n v="339700"/>
    <n v="60100"/>
    <n v="279600"/>
    <n v="0"/>
    <n v="0"/>
    <n v="89850.625589999996"/>
    <n v="-49401.70477837498"/>
    <n v="29814.093161000001"/>
    <n v="197752.34721000001"/>
    <n v="-7137.4592160000002"/>
    <n v="68974.503148292002"/>
    <n v="0"/>
    <n v="0"/>
    <n v="0"/>
    <n v="30336.176841600001"/>
    <n v="9455.9263383840007"/>
    <n v="0"/>
    <n v="329200"/>
    <n v="40400"/>
    <n v="369600"/>
    <n v="8.8018840153076247E-2"/>
    <n v="0.99970000000000003"/>
    <n v="1.0088999999999999"/>
    <n v="0.99650000000000005"/>
    <n v="1.0157"/>
    <n v="1.0157"/>
    <n v="0.94971499999999998"/>
    <n v="0.98503038520004615"/>
    <n v="329200"/>
    <n v="0"/>
    <n v="329200"/>
    <n v="38400"/>
    <n v="367600"/>
    <n v="0.17739628040057226"/>
    <n v="-0.36106489184692181"/>
    <n v="8.2131292316750079E-2"/>
  </r>
  <r>
    <n v="2025"/>
    <s v="18131543415    "/>
    <n v="-3.5065578973199818"/>
    <n v="0.03"/>
    <n v="1469"/>
    <s v="6"/>
    <s v="CON"/>
    <x v="0"/>
    <s v="11"/>
    <s v="262"/>
    <s v="CE"/>
    <s v="A"/>
    <s v="AV"/>
    <x v="3"/>
    <n v="32"/>
    <n v="32"/>
    <n v="1992"/>
    <n v="1992"/>
    <n v="1288"/>
    <m/>
    <m/>
    <n v="0"/>
    <m/>
    <m/>
    <n v="1288"/>
    <n v="1500"/>
    <n v="8"/>
    <m/>
    <m/>
    <m/>
    <m/>
    <m/>
    <m/>
    <m/>
    <n v="208756"/>
    <n v="177443"/>
    <n v="22551"/>
    <n v="250500"/>
    <n v="37600"/>
    <n v="212900"/>
    <n v="0"/>
    <n v="0"/>
    <n v="89850.625589999996"/>
    <n v="-110998.74281323297"/>
    <n v="21557.329055999999"/>
    <n v="160472.20319"/>
    <n v="-7137.4592160000002"/>
    <n v="63638.366801576005"/>
    <n v="0"/>
    <n v="0"/>
    <n v="0"/>
    <n v="30336.176841600001"/>
    <n v="0"/>
    <n v="22600"/>
    <n v="268900"/>
    <n v="-21100"/>
    <n v="270400"/>
    <n v="7.9441117764471061E-2"/>
    <n v="0.99970000000000003"/>
    <n v="1.0067999999999999"/>
    <n v="0.99729999999999996"/>
    <n v="1.0157"/>
    <n v="1.0157"/>
    <n v="0.94971499999999998"/>
    <n v="0.9837692152700912"/>
    <n v="268900"/>
    <n v="21400"/>
    <n v="290300"/>
    <n v="-20100"/>
    <n v="270200"/>
    <n v="0.36355096289337718"/>
    <n v="-1.5345744680851063"/>
    <n v="7.864271457085828E-2"/>
  </r>
  <r>
    <n v="2025"/>
    <s v="18131543411    "/>
    <n v="-3.5065578973199818"/>
    <n v="0.03"/>
    <n v="1464"/>
    <s v="6"/>
    <s v="CON"/>
    <x v="0"/>
    <s v="11"/>
    <s v="262"/>
    <s v="CE"/>
    <s v="A"/>
    <s v="AV"/>
    <x v="3"/>
    <n v="32"/>
    <n v="32"/>
    <n v="1992"/>
    <n v="1992"/>
    <n v="1464"/>
    <m/>
    <m/>
    <n v="0"/>
    <m/>
    <m/>
    <n v="1464"/>
    <n v="1500"/>
    <n v="8"/>
    <m/>
    <m/>
    <m/>
    <m/>
    <m/>
    <m/>
    <m/>
    <n v="231645"/>
    <n v="196898"/>
    <n v="37815"/>
    <n v="278400"/>
    <n v="41800"/>
    <n v="236600"/>
    <n v="0"/>
    <n v="0"/>
    <n v="89850.625589999996"/>
    <n v="-110998.74281323297"/>
    <n v="21557.329055999999"/>
    <n v="160472.20319"/>
    <n v="-7137.4592160000002"/>
    <n v="72334.292699928003"/>
    <n v="0"/>
    <n v="0"/>
    <n v="0"/>
    <n v="30336.176841600001"/>
    <n v="0"/>
    <n v="37800"/>
    <n v="277600"/>
    <n v="-21100"/>
    <n v="294300"/>
    <n v="5.7112068965517244E-2"/>
    <n v="0.99970000000000003"/>
    <n v="1.0067999999999999"/>
    <n v="0.99729999999999996"/>
    <n v="1.0157"/>
    <n v="1.0157"/>
    <n v="0.94971499999999998"/>
    <n v="0.9837692152700912"/>
    <n v="277600"/>
    <n v="35900"/>
    <n v="313500"/>
    <n v="-20100"/>
    <n v="293400"/>
    <n v="0.32502113271344041"/>
    <n v="-1.4808612440191387"/>
    <n v="5.3879310344827583E-2"/>
  </r>
  <r>
    <n v="2025"/>
    <s v="18131543414    "/>
    <n v="-3.5065578973199818"/>
    <n v="0.03"/>
    <n v="1382"/>
    <s v="6"/>
    <s v="CON"/>
    <x v="0"/>
    <s v="11"/>
    <s v="262"/>
    <s v="CE"/>
    <s v="A"/>
    <s v="AV"/>
    <x v="3"/>
    <n v="32"/>
    <n v="32"/>
    <n v="1992"/>
    <n v="1992"/>
    <n v="1464"/>
    <m/>
    <m/>
    <n v="0"/>
    <m/>
    <m/>
    <n v="1464"/>
    <n v="1500"/>
    <n v="8"/>
    <m/>
    <m/>
    <m/>
    <m/>
    <m/>
    <m/>
    <m/>
    <n v="229423"/>
    <n v="195010"/>
    <n v="22551"/>
    <n v="273200"/>
    <n v="41000"/>
    <n v="232200"/>
    <n v="0"/>
    <n v="0"/>
    <n v="89850.625589999996"/>
    <n v="-110998.74281323297"/>
    <n v="21557.329055999999"/>
    <n v="160472.20319"/>
    <n v="-7137.4592160000002"/>
    <n v="72334.292699928003"/>
    <n v="0"/>
    <n v="0"/>
    <n v="0"/>
    <n v="30336.176841600001"/>
    <n v="0"/>
    <n v="22600"/>
    <n v="277600"/>
    <n v="-21100"/>
    <n v="279100"/>
    <n v="2.1595900439238654E-2"/>
    <n v="0.99970000000000003"/>
    <n v="1.0067999999999999"/>
    <n v="0.99729999999999996"/>
    <n v="1.0157"/>
    <n v="1.0157"/>
    <n v="0.94971499999999998"/>
    <n v="0.9837692152700912"/>
    <n v="277600"/>
    <n v="21400"/>
    <n v="299000"/>
    <n v="-20100"/>
    <n v="278900"/>
    <n v="0.2876830318690784"/>
    <n v="-1.4902439024390244"/>
    <n v="2.0863836017569547E-2"/>
  </r>
  <r>
    <n v="2025"/>
    <s v="18131543422    "/>
    <n v="-3.5065578973199818"/>
    <n v="0.03"/>
    <n v="1382"/>
    <s v="6"/>
    <s v="CON"/>
    <x v="0"/>
    <s v="11"/>
    <s v="262"/>
    <s v="CE"/>
    <s v="A"/>
    <s v="AV"/>
    <x v="3"/>
    <n v="32"/>
    <n v="32"/>
    <n v="1992"/>
    <n v="1992"/>
    <n v="1471"/>
    <m/>
    <m/>
    <n v="0"/>
    <m/>
    <m/>
    <n v="1471"/>
    <n v="1500"/>
    <n v="11"/>
    <m/>
    <m/>
    <m/>
    <m/>
    <m/>
    <m/>
    <m/>
    <n v="240209"/>
    <n v="204178"/>
    <n v="22551"/>
    <n v="285100"/>
    <n v="42800"/>
    <n v="242300"/>
    <n v="0"/>
    <n v="0"/>
    <n v="89850.625589999996"/>
    <n v="-110998.74281323297"/>
    <n v="21557.329055999999"/>
    <n v="160472.20319"/>
    <n v="-7137.4592160000002"/>
    <n v="72680.153389066996"/>
    <n v="0"/>
    <n v="0"/>
    <n v="0"/>
    <n v="41712.243157199999"/>
    <n v="0"/>
    <n v="22600"/>
    <n v="289300"/>
    <n v="-21100"/>
    <n v="290800"/>
    <n v="1.999298491757278E-2"/>
    <n v="0.99970000000000003"/>
    <n v="1.0067999999999999"/>
    <n v="0.99729999999999996"/>
    <n v="1.0157"/>
    <n v="1.0157"/>
    <n v="0.94971499999999998"/>
    <n v="0.9837692152700912"/>
    <n v="289300"/>
    <n v="21400"/>
    <n v="310700"/>
    <n v="-20100"/>
    <n v="290600"/>
    <n v="0.28229467602146102"/>
    <n v="-1.469626168224299"/>
    <n v="1.929147667485093E-2"/>
  </r>
  <r>
    <n v="2025"/>
    <s v="18131543418    "/>
    <n v="-3.5065578973199818"/>
    <n v="0.03"/>
    <n v="1382"/>
    <s v="6"/>
    <s v="CON"/>
    <x v="0"/>
    <s v="11"/>
    <s v="262"/>
    <s v="CE"/>
    <s v="A"/>
    <s v="AV"/>
    <x v="3"/>
    <n v="32"/>
    <n v="32"/>
    <n v="1992"/>
    <n v="1992"/>
    <n v="1464"/>
    <m/>
    <m/>
    <n v="0"/>
    <m/>
    <m/>
    <n v="1464"/>
    <n v="1500"/>
    <n v="8"/>
    <m/>
    <m/>
    <m/>
    <m/>
    <m/>
    <m/>
    <m/>
    <n v="230810"/>
    <n v="196189"/>
    <n v="22551"/>
    <n v="274700"/>
    <n v="41200"/>
    <n v="233500"/>
    <n v="0"/>
    <n v="0"/>
    <n v="89850.625589999996"/>
    <n v="-110998.74281323297"/>
    <n v="21557.329055999999"/>
    <n v="160472.20319"/>
    <n v="-7137.4592160000002"/>
    <n v="72334.292699928003"/>
    <n v="0"/>
    <n v="0"/>
    <n v="0"/>
    <n v="30336.176841600001"/>
    <n v="0"/>
    <n v="22600"/>
    <n v="277600"/>
    <n v="-21100"/>
    <n v="279100"/>
    <n v="1.6017473607571896E-2"/>
    <n v="0.99970000000000003"/>
    <n v="1.0067999999999999"/>
    <n v="0.99729999999999996"/>
    <n v="1.0157"/>
    <n v="1.0157"/>
    <n v="0.94971499999999998"/>
    <n v="0.9837692152700912"/>
    <n v="277600"/>
    <n v="21400"/>
    <n v="299000"/>
    <n v="-20100"/>
    <n v="278900"/>
    <n v="0.28051391862955033"/>
    <n v="-1.4878640776699028"/>
    <n v="1.5289406625409537E-2"/>
  </r>
  <r>
    <n v="2025"/>
    <s v="18131543419    "/>
    <n v="-3.5065578973199818"/>
    <n v="0.03"/>
    <n v="1469"/>
    <s v="6"/>
    <s v="CON"/>
    <x v="0"/>
    <s v="11"/>
    <s v="262"/>
    <s v="CE"/>
    <s v="A"/>
    <s v="AV"/>
    <x v="3"/>
    <n v="32"/>
    <n v="32"/>
    <n v="1992"/>
    <n v="1992"/>
    <n v="1464"/>
    <m/>
    <m/>
    <n v="0"/>
    <m/>
    <m/>
    <n v="1464"/>
    <n v="1500"/>
    <n v="8"/>
    <m/>
    <m/>
    <m/>
    <m/>
    <m/>
    <m/>
    <m/>
    <n v="232211"/>
    <n v="197379"/>
    <n v="22551"/>
    <n v="276300"/>
    <n v="41400"/>
    <n v="234900"/>
    <n v="0"/>
    <n v="0"/>
    <n v="89850.625589999996"/>
    <n v="-110998.74281323297"/>
    <n v="21557.329055999999"/>
    <n v="160472.20319"/>
    <n v="-7137.4592160000002"/>
    <n v="72334.292699928003"/>
    <n v="0"/>
    <n v="0"/>
    <n v="0"/>
    <n v="30336.176841600001"/>
    <n v="0"/>
    <n v="22600"/>
    <n v="277600"/>
    <n v="-21100"/>
    <n v="279100"/>
    <n v="1.0133912414042706E-2"/>
    <n v="0.99970000000000003"/>
    <n v="1.0067999999999999"/>
    <n v="0.99729999999999996"/>
    <n v="1.0157"/>
    <n v="1.0157"/>
    <n v="0.94971499999999998"/>
    <n v="0.9837692152700912"/>
    <n v="277600"/>
    <n v="21400"/>
    <n v="299000"/>
    <n v="-20100"/>
    <n v="278900"/>
    <n v="0.27288207747977861"/>
    <n v="-1.4855072463768115"/>
    <n v="9.4100615273253717E-3"/>
  </r>
  <r>
    <n v="2025"/>
    <s v="18132243055    "/>
    <n v="-1.5606477482646683"/>
    <n v="0.21"/>
    <n v="9111"/>
    <s v="6"/>
    <s v="RES"/>
    <x v="0"/>
    <s v="11"/>
    <s v="259"/>
    <s v="RN"/>
    <s v="G"/>
    <s v="GD"/>
    <x v="3"/>
    <n v="33"/>
    <n v="33"/>
    <n v="1991"/>
    <n v="1991"/>
    <n v="1476"/>
    <m/>
    <m/>
    <n v="0"/>
    <m/>
    <m/>
    <n v="1476"/>
    <n v="1500"/>
    <n v="8"/>
    <n v="484"/>
    <m/>
    <n v="210"/>
    <m/>
    <m/>
    <m/>
    <m/>
    <n v="326378"/>
    <n v="277421"/>
    <n v="0"/>
    <n v="354800"/>
    <n v="60100"/>
    <n v="294700"/>
    <n v="0"/>
    <n v="0"/>
    <n v="89850.625589999996"/>
    <n v="-49401.70477837498"/>
    <n v="44121.038090000002"/>
    <n v="197752.34721000001"/>
    <n v="-7360.5048164999998"/>
    <n v="72927.196738451996"/>
    <n v="0"/>
    <n v="0"/>
    <n v="0"/>
    <n v="30336.176841600001"/>
    <n v="6992.0582079600008"/>
    <n v="0"/>
    <n v="344800"/>
    <n v="40400"/>
    <n v="385200"/>
    <n v="8.5682074408117245E-2"/>
    <n v="0.99970000000000003"/>
    <n v="0.98050000000000004"/>
    <n v="0.99650000000000005"/>
    <n v="1.0157"/>
    <n v="1.0157"/>
    <n v="0.94971499999999998"/>
    <n v="0.95730230219907364"/>
    <n v="344800"/>
    <n v="0"/>
    <n v="344800"/>
    <n v="38400"/>
    <n v="383200"/>
    <n v="0.17000339328130301"/>
    <n v="-0.36106489184692181"/>
    <n v="8.0045095828635851E-2"/>
  </r>
  <r>
    <n v="2025"/>
    <s v="18132212425    "/>
    <n v="-1.6094379124341003"/>
    <n v="0.2"/>
    <n v="8528"/>
    <s v="6"/>
    <s v="RES"/>
    <x v="0"/>
    <s v="11"/>
    <s v="259"/>
    <s v="CP"/>
    <s v="G"/>
    <s v="GD"/>
    <x v="3"/>
    <n v="33"/>
    <n v="33"/>
    <n v="1991"/>
    <n v="1991"/>
    <n v="1904"/>
    <m/>
    <n v="176"/>
    <n v="176"/>
    <m/>
    <m/>
    <n v="1904"/>
    <n v="2000"/>
    <n v="11"/>
    <n v="864"/>
    <m/>
    <n v="348"/>
    <m/>
    <m/>
    <m/>
    <m/>
    <n v="486432"/>
    <n v="413467"/>
    <n v="0"/>
    <n v="392800"/>
    <n v="58400"/>
    <n v="334400"/>
    <n v="0"/>
    <n v="0"/>
    <n v="89850.625589999996"/>
    <n v="-50946.13867709865"/>
    <n v="44121.038090000002"/>
    <n v="197752.34721000001"/>
    <n v="-7360.5048164999998"/>
    <n v="94074.107445807997"/>
    <n v="0"/>
    <n v="0"/>
    <n v="5118.4135634719996"/>
    <n v="41712.243157199999"/>
    <n v="11586.839316048001"/>
    <n v="0"/>
    <n v="387000"/>
    <n v="38900"/>
    <n v="425900"/>
    <n v="8.4266802443991859E-2"/>
    <n v="0.99970000000000003"/>
    <n v="0.98050000000000004"/>
    <n v="0.99650000000000005"/>
    <n v="1.0093000000000001"/>
    <n v="1.0157"/>
    <n v="0.94971499999999998"/>
    <n v="0.95127027036479783"/>
    <n v="387000"/>
    <n v="0"/>
    <n v="387000"/>
    <n v="36900"/>
    <n v="423900"/>
    <n v="0.15729665071770335"/>
    <n v="-0.36815068493150682"/>
    <n v="7.9175152749490829E-2"/>
  </r>
  <r>
    <n v="2025"/>
    <s v="18132242512    "/>
    <n v="-1.3470736479666092"/>
    <n v="0.26"/>
    <n v="11375"/>
    <s v="6"/>
    <s v="RES"/>
    <x v="0"/>
    <s v="11"/>
    <s v="259"/>
    <s v="CP"/>
    <s v="G"/>
    <s v="GD"/>
    <x v="3"/>
    <n v="33"/>
    <n v="33"/>
    <n v="1991"/>
    <n v="1991"/>
    <n v="1641"/>
    <m/>
    <m/>
    <n v="0"/>
    <m/>
    <m/>
    <n v="1641"/>
    <n v="2000"/>
    <n v="9"/>
    <n v="720"/>
    <m/>
    <n v="432"/>
    <m/>
    <m/>
    <m/>
    <m/>
    <n v="385098"/>
    <n v="327333"/>
    <n v="0"/>
    <n v="380000"/>
    <n v="67600"/>
    <n v="312400"/>
    <n v="0"/>
    <n v="0"/>
    <n v="89850.625589999996"/>
    <n v="-42641.098701210125"/>
    <n v="44121.038090000002"/>
    <n v="197752.34721000001"/>
    <n v="-7360.5048164999998"/>
    <n v="81079.627268156997"/>
    <n v="0"/>
    <n v="0"/>
    <n v="0"/>
    <n v="34128.198946800003"/>
    <n v="14383.662599232001"/>
    <n v="0"/>
    <n v="364100"/>
    <n v="47200"/>
    <n v="411300"/>
    <n v="8.2368421052631577E-2"/>
    <n v="0.99970000000000003"/>
    <n v="0.98050000000000004"/>
    <n v="0.99650000000000005"/>
    <n v="1.0093000000000001"/>
    <n v="1.0157"/>
    <n v="0.94971499999999998"/>
    <n v="0.95127027036479783"/>
    <n v="364100"/>
    <n v="0"/>
    <n v="364100"/>
    <n v="44800"/>
    <n v="408900"/>
    <n v="0.16549295774647887"/>
    <n v="-0.33727810650887574"/>
    <n v="7.6052631578947372E-2"/>
  </r>
  <r>
    <n v="2025"/>
    <s v="18132322499    "/>
    <n v="-1.7719568419318752"/>
    <n v="0.17"/>
    <n v="7504"/>
    <s v="6"/>
    <s v="RES"/>
    <x v="0"/>
    <s v="11"/>
    <s v="259"/>
    <s v="RN"/>
    <s v="A+"/>
    <s v="GD"/>
    <x v="3"/>
    <n v="33"/>
    <n v="33"/>
    <n v="1991"/>
    <n v="1991"/>
    <n v="1384"/>
    <m/>
    <m/>
    <n v="0"/>
    <m/>
    <m/>
    <n v="1384"/>
    <n v="1500"/>
    <n v="8"/>
    <n v="528"/>
    <m/>
    <n v="115"/>
    <m/>
    <m/>
    <m/>
    <m/>
    <n v="294252"/>
    <n v="250114"/>
    <n v="0"/>
    <n v="332000"/>
    <n v="52700"/>
    <n v="279300"/>
    <n v="0"/>
    <n v="0"/>
    <n v="89850.625589999996"/>
    <n v="-56090.612940989391"/>
    <n v="29814.093161000001"/>
    <n v="197752.34721000001"/>
    <n v="-7360.5048164999998"/>
    <n v="68381.599109768009"/>
    <n v="0"/>
    <n v="0"/>
    <n v="0"/>
    <n v="30336.176841600001"/>
    <n v="3828.9842567400005"/>
    <n v="0"/>
    <n v="322800"/>
    <n v="33800"/>
    <n v="356600"/>
    <n v="7.4096385542168672E-2"/>
    <n v="0.99970000000000003"/>
    <n v="1.0088999999999999"/>
    <n v="0.99650000000000005"/>
    <n v="1.0157"/>
    <n v="1.0157"/>
    <n v="0.94971499999999998"/>
    <n v="0.98503038520004615"/>
    <n v="322800"/>
    <n v="0"/>
    <n v="322800"/>
    <n v="32100"/>
    <n v="354900"/>
    <n v="0.15574650912996776"/>
    <n v="-0.39089184060721061"/>
    <n v="6.8975903614457837E-2"/>
  </r>
  <r>
    <n v="2025"/>
    <s v="18132342478    "/>
    <n v="-1.1086626245216111"/>
    <n v="0.33"/>
    <n v="14471"/>
    <s v="6"/>
    <s v="RES"/>
    <x v="0"/>
    <s v="11"/>
    <s v="331"/>
    <s v="CU"/>
    <s v="E+"/>
    <s v="VG"/>
    <x v="3"/>
    <n v="33"/>
    <n v="33"/>
    <n v="1991"/>
    <n v="1991"/>
    <n v="2865"/>
    <n v="1362"/>
    <n v="500"/>
    <n v="0"/>
    <n v="500"/>
    <m/>
    <n v="4727"/>
    <n v="4500"/>
    <n v="16"/>
    <n v="816"/>
    <m/>
    <n v="128"/>
    <m/>
    <m/>
    <m/>
    <m/>
    <n v="1592642"/>
    <n v="1433378"/>
    <n v="0"/>
    <n v="1010300"/>
    <n v="75900"/>
    <n v="934400"/>
    <n v="0"/>
    <n v="0"/>
    <n v="89850.625589999996"/>
    <n v="-35094.289365640165"/>
    <n v="395688.66519166698"/>
    <n v="284810.60806"/>
    <n v="-7360.5048164999998"/>
    <n v="141555.839197605"/>
    <n v="60999.107936681998"/>
    <n v="0"/>
    <n v="14540.947623499998"/>
    <n v="60672.353683200003"/>
    <n v="4261.8259553280004"/>
    <n v="0"/>
    <n v="955200"/>
    <n v="54800"/>
    <n v="1010000"/>
    <n v="-2.9694150252400277E-4"/>
    <n v="0.99970000000000003"/>
    <n v="1"/>
    <n v="1.0158"/>
    <n v="1"/>
    <n v="1.0157"/>
    <n v="0.94971499999999998"/>
    <n v="0.97986660880290011"/>
    <n v="955200"/>
    <n v="0"/>
    <n v="955200"/>
    <n v="52000"/>
    <n v="1007200"/>
    <n v="2.2260273972602738E-2"/>
    <n v="-0.31488801054018445"/>
    <n v="-3.0683955260813619E-3"/>
  </r>
  <r>
    <n v="2025"/>
    <s v="18132322495    "/>
    <n v="-1.7147984280919266"/>
    <n v="0.18"/>
    <n v="7728"/>
    <s v="6"/>
    <s v="RES"/>
    <x v="0"/>
    <s v="11"/>
    <s v="259"/>
    <s v="RN"/>
    <s v="A"/>
    <s v="GD"/>
    <x v="3"/>
    <n v="34"/>
    <n v="34"/>
    <n v="1990"/>
    <n v="1990"/>
    <n v="1116"/>
    <m/>
    <n v="775"/>
    <n v="775"/>
    <m/>
    <m/>
    <n v="1116"/>
    <n v="1500"/>
    <n v="10"/>
    <m/>
    <n v="325"/>
    <n v="120"/>
    <m/>
    <m/>
    <m/>
    <m/>
    <n v="240402"/>
    <n v="204342"/>
    <n v="0"/>
    <n v="333100"/>
    <n v="54700"/>
    <n v="278400"/>
    <n v="0"/>
    <n v="0"/>
    <n v="89850.625589999996"/>
    <n v="-54281.285314520763"/>
    <n v="21557.329055999999"/>
    <n v="197752.34721000001"/>
    <n v="-7583.5504170000004"/>
    <n v="55140.075582732003"/>
    <n v="0"/>
    <n v="0"/>
    <n v="22538.468816425"/>
    <n v="37920.221052000001"/>
    <n v="3995.4618331200004"/>
    <n v="0"/>
    <n v="331300"/>
    <n v="35600"/>
    <n v="366900"/>
    <n v="0.10147102972080456"/>
    <n v="0.99970000000000003"/>
    <n v="1.0067999999999999"/>
    <n v="0.99650000000000005"/>
    <n v="1.0157"/>
    <n v="1.0157"/>
    <n v="0.94971499999999998"/>
    <n v="0.98298006920349545"/>
    <n v="331300"/>
    <n v="0"/>
    <n v="331300"/>
    <n v="33800"/>
    <n v="365100"/>
    <n v="0.19001436781609196"/>
    <n v="-0.38208409506398539"/>
    <n v="9.606724707295107E-2"/>
  </r>
  <r>
    <n v="2025"/>
    <s v="18132322496    "/>
    <n v="-1.7719568419318752"/>
    <n v="0.17"/>
    <n v="7528"/>
    <s v="6"/>
    <s v="RES"/>
    <x v="0"/>
    <s v="11"/>
    <s v="259"/>
    <s v="RN"/>
    <s v="A"/>
    <s v="FR"/>
    <x v="3"/>
    <n v="34"/>
    <n v="34"/>
    <n v="1990"/>
    <n v="1990"/>
    <n v="1324"/>
    <m/>
    <m/>
    <n v="0"/>
    <m/>
    <m/>
    <n v="1324"/>
    <n v="1500"/>
    <n v="8"/>
    <n v="480"/>
    <m/>
    <m/>
    <m/>
    <m/>
    <m/>
    <m/>
    <n v="233451"/>
    <n v="193764"/>
    <n v="0"/>
    <n v="265500"/>
    <n v="52700"/>
    <n v="212800"/>
    <n v="0"/>
    <n v="0"/>
    <n v="89850.625589999996"/>
    <n v="-56090.612940989391"/>
    <n v="21557.329055999999"/>
    <n v="133714.53821"/>
    <n v="-7583.5504170000004"/>
    <n v="65417.078917147999"/>
    <n v="0"/>
    <n v="0"/>
    <n v="0"/>
    <n v="30336.176841600001"/>
    <n v="0"/>
    <n v="0"/>
    <n v="243400"/>
    <n v="33800"/>
    <n v="277200"/>
    <n v="4.4067796610169491E-2"/>
    <n v="0.99970000000000003"/>
    <n v="1.0067999999999999"/>
    <n v="0.99329999999999996"/>
    <n v="1.0157"/>
    <n v="1.0157"/>
    <n v="0.94971499999999998"/>
    <n v="0.97982348493711191"/>
    <n v="243400"/>
    <n v="0"/>
    <n v="243400"/>
    <n v="32100"/>
    <n v="275500"/>
    <n v="0.14379699248120301"/>
    <n v="-0.39089184060721061"/>
    <n v="3.7664783427495289E-2"/>
  </r>
  <r>
    <n v="2025"/>
    <s v="18132322497    "/>
    <n v="-1.7719568419318752"/>
    <n v="0.17"/>
    <n v="7516"/>
    <s v="6"/>
    <s v="RES"/>
    <x v="0"/>
    <s v="11"/>
    <s v="259"/>
    <s v="RN"/>
    <s v="A"/>
    <s v="AV"/>
    <x v="3"/>
    <n v="34"/>
    <n v="34"/>
    <n v="1990"/>
    <n v="1990"/>
    <n v="1324"/>
    <m/>
    <m/>
    <n v="0"/>
    <m/>
    <m/>
    <n v="1324"/>
    <n v="1500"/>
    <n v="8"/>
    <n v="480"/>
    <m/>
    <m/>
    <m/>
    <m/>
    <m/>
    <m/>
    <n v="236925"/>
    <n v="199017"/>
    <n v="0"/>
    <n v="299700"/>
    <n v="52700"/>
    <n v="247000"/>
    <n v="0"/>
    <n v="0"/>
    <n v="89850.625589999996"/>
    <n v="-56090.612940989391"/>
    <n v="21557.329055999999"/>
    <n v="160472.20319"/>
    <n v="-7583.5504170000004"/>
    <n v="65417.078917147999"/>
    <n v="0"/>
    <n v="0"/>
    <n v="0"/>
    <n v="30336.176841600001"/>
    <n v="0"/>
    <n v="0"/>
    <n v="270200"/>
    <n v="33800"/>
    <n v="304000"/>
    <n v="1.434768101434768E-2"/>
    <n v="0.99970000000000003"/>
    <n v="1.0067999999999999"/>
    <n v="0.99729999999999996"/>
    <n v="1.0157"/>
    <n v="1.0157"/>
    <n v="0.94971499999999998"/>
    <n v="0.9837692152700912"/>
    <n v="270200"/>
    <n v="0"/>
    <n v="270200"/>
    <n v="32100"/>
    <n v="302300"/>
    <n v="9.3927125506072878E-2"/>
    <n v="-0.39089184060721061"/>
    <n v="8.6753420086753425E-3"/>
  </r>
  <r>
    <n v="2025"/>
    <s v="18132322498    "/>
    <n v="-1.7719568419318752"/>
    <n v="0.17"/>
    <n v="7501"/>
    <s v="6"/>
    <s v="RES"/>
    <x v="0"/>
    <s v="11"/>
    <s v="259"/>
    <s v="CP"/>
    <s v="A+"/>
    <s v="GD"/>
    <x v="3"/>
    <n v="35"/>
    <n v="35"/>
    <n v="1989"/>
    <n v="1989"/>
    <n v="1142"/>
    <m/>
    <n v="686"/>
    <n v="0"/>
    <n v="686"/>
    <m/>
    <n v="1828"/>
    <n v="2000"/>
    <n v="11"/>
    <m/>
    <n v="420"/>
    <n v="558"/>
    <m/>
    <m/>
    <m/>
    <m/>
    <n v="324507"/>
    <n v="275831"/>
    <n v="0"/>
    <n v="359100"/>
    <n v="52700"/>
    <n v="306400"/>
    <n v="0"/>
    <n v="0"/>
    <n v="89850.625589999996"/>
    <n v="-56090.612940989391"/>
    <n v="29814.093161000001"/>
    <n v="197752.34721000001"/>
    <n v="-7806.5960175"/>
    <n v="56424.700999534005"/>
    <n v="0"/>
    <n v="0"/>
    <n v="19950.180139442"/>
    <n v="41712.243157199999"/>
    <n v="18578.897524008004"/>
    <n v="0"/>
    <n v="356400"/>
    <n v="33800"/>
    <n v="390200"/>
    <n v="8.6605402394876074E-2"/>
    <n v="0.99970000000000003"/>
    <n v="1.0088999999999999"/>
    <n v="0.99650000000000005"/>
    <n v="1.0093000000000001"/>
    <n v="1.0157"/>
    <n v="0.94971499999999998"/>
    <n v="0.97882363668642969"/>
    <n v="356400"/>
    <n v="0"/>
    <n v="356400"/>
    <n v="32100"/>
    <n v="388500"/>
    <n v="0.16318537859007834"/>
    <n v="-0.39089184060721061"/>
    <n v="8.1871345029239762E-2"/>
  </r>
  <r>
    <n v="2025"/>
    <s v="18132242428    "/>
    <n v="-1.6094379124341003"/>
    <n v="0.2"/>
    <n v="8724"/>
    <s v="6"/>
    <s v="RES"/>
    <x v="0"/>
    <s v="11"/>
    <s v="259"/>
    <s v="RN"/>
    <s v="A+"/>
    <s v="AV"/>
    <x v="3"/>
    <n v="35"/>
    <n v="35"/>
    <n v="1989"/>
    <n v="1989"/>
    <n v="1400"/>
    <m/>
    <m/>
    <n v="0"/>
    <m/>
    <m/>
    <n v="1400"/>
    <n v="1500"/>
    <n v="8"/>
    <n v="400"/>
    <m/>
    <m/>
    <m/>
    <m/>
    <m/>
    <m/>
    <n v="287794"/>
    <n v="241747"/>
    <n v="0"/>
    <n v="312700"/>
    <n v="58400"/>
    <n v="254300"/>
    <n v="0"/>
    <n v="0"/>
    <n v="89850.625589999996"/>
    <n v="-50946.13867709865"/>
    <n v="29814.093161000001"/>
    <n v="160472.20319"/>
    <n v="-7806.5960175"/>
    <n v="69172.137827800005"/>
    <n v="0"/>
    <n v="0"/>
    <n v="0"/>
    <n v="30336.176841600001"/>
    <n v="0"/>
    <n v="0"/>
    <n v="282000"/>
    <n v="38900"/>
    <n v="320900"/>
    <n v="2.622321714102974E-2"/>
    <n v="0.99970000000000003"/>
    <n v="1.0088999999999999"/>
    <n v="0.99729999999999996"/>
    <n v="1.0157"/>
    <n v="1.0157"/>
    <n v="0.94971499999999998"/>
    <n v="0.98582117728048768"/>
    <n v="282000"/>
    <n v="0"/>
    <n v="282000"/>
    <n v="36900"/>
    <n v="318900"/>
    <n v="0.10892646480534801"/>
    <n v="-0.36815068493150682"/>
    <n v="1.9827310521266388E-2"/>
  </r>
  <r>
    <n v="2025"/>
    <s v="18132211438    "/>
    <n v="-2.4079456086518722"/>
    <n v="0.09"/>
    <n v="3726"/>
    <s v="6"/>
    <s v="CON"/>
    <x v="0"/>
    <s v="11"/>
    <s v="262"/>
    <s v="CE"/>
    <s v="G"/>
    <s v="AV"/>
    <x v="3"/>
    <n v="35"/>
    <n v="35"/>
    <n v="1989"/>
    <n v="1989"/>
    <n v="1292"/>
    <m/>
    <n v="588"/>
    <n v="0"/>
    <n v="588"/>
    <m/>
    <n v="1880"/>
    <n v="2000"/>
    <n v="8"/>
    <m/>
    <n v="704"/>
    <n v="96"/>
    <m/>
    <m/>
    <m/>
    <m/>
    <n v="391558"/>
    <n v="328909"/>
    <n v="0"/>
    <n v="342600"/>
    <n v="51400"/>
    <n v="291200"/>
    <n v="0"/>
    <n v="0"/>
    <n v="89850.625589999996"/>
    <n v="-76222.592967103381"/>
    <n v="44121.038090000002"/>
    <n v="160472.20319"/>
    <n v="-7806.5960175"/>
    <n v="63836.001481084"/>
    <n v="0"/>
    <n v="0"/>
    <n v="17100.154405236"/>
    <n v="30336.176841600001"/>
    <n v="3196.3694664960003"/>
    <n v="0"/>
    <n v="311300"/>
    <n v="13600"/>
    <n v="324900"/>
    <n v="-5.166374781085814E-2"/>
    <n v="0.99970000000000003"/>
    <n v="0.98050000000000004"/>
    <n v="0.99729999999999996"/>
    <n v="1.0093000000000001"/>
    <n v="1.0157"/>
    <n v="0.94971499999999998"/>
    <n v="0.95203395949303837"/>
    <n v="311300"/>
    <n v="0"/>
    <n v="311300"/>
    <n v="12900"/>
    <n v="324200"/>
    <n v="6.9024725274725279E-2"/>
    <n v="-0.74902723735408561"/>
    <n v="-5.3706946876824285E-2"/>
  </r>
  <r>
    <n v="2025"/>
    <s v="18132211437    "/>
    <n v="-3.5065578973199818"/>
    <n v="0.03"/>
    <n v="1292"/>
    <s v="6"/>
    <s v="CON"/>
    <x v="0"/>
    <s v="11"/>
    <s v="262"/>
    <s v="CE"/>
    <s v="G"/>
    <s v="AV"/>
    <x v="3"/>
    <n v="35"/>
    <n v="35"/>
    <n v="1989"/>
    <n v="1989"/>
    <n v="1292"/>
    <m/>
    <n v="588"/>
    <n v="0"/>
    <n v="588"/>
    <m/>
    <n v="1880"/>
    <n v="2000"/>
    <n v="8"/>
    <m/>
    <n v="672"/>
    <n v="400"/>
    <m/>
    <m/>
    <m/>
    <m/>
    <n v="400797"/>
    <n v="336669"/>
    <n v="0"/>
    <n v="350600"/>
    <n v="52600"/>
    <n v="298000"/>
    <n v="0"/>
    <n v="0"/>
    <n v="89850.625589999996"/>
    <n v="-110998.74281323297"/>
    <n v="44121.038090000002"/>
    <n v="160472.20319"/>
    <n v="-7806.5960175"/>
    <n v="63836.001481084"/>
    <n v="0"/>
    <n v="0"/>
    <n v="17100.154405236"/>
    <n v="30336.176841600001"/>
    <n v="13318.206110400002"/>
    <n v="0"/>
    <n v="321400"/>
    <n v="-21100"/>
    <n v="300300"/>
    <n v="-0.14346833998859099"/>
    <n v="0.99970000000000003"/>
    <n v="0.98050000000000004"/>
    <n v="0.99729999999999996"/>
    <n v="1.0093000000000001"/>
    <n v="1.0157"/>
    <n v="0.94971499999999998"/>
    <n v="0.95203395949303837"/>
    <n v="321400"/>
    <n v="0"/>
    <n v="321400"/>
    <n v="-20100"/>
    <n v="301300"/>
    <n v="7.8523489932885909E-2"/>
    <n v="-1.3821292775665399"/>
    <n v="-0.1406160867084997"/>
  </r>
  <r>
    <n v="2025"/>
    <s v="18132211432    "/>
    <n v="-3.5065578973199818"/>
    <n v="0.03"/>
    <n v="901"/>
    <s v="6"/>
    <s v="CON"/>
    <x v="0"/>
    <s v="11"/>
    <s v="262"/>
    <s v="CE"/>
    <s v="G"/>
    <s v="AV"/>
    <x v="3"/>
    <n v="36"/>
    <n v="36"/>
    <n v="1988"/>
    <n v="1988"/>
    <n v="901"/>
    <n v="896"/>
    <n v="544"/>
    <n v="66"/>
    <n v="478"/>
    <m/>
    <n v="2275"/>
    <n v="2500"/>
    <n v="12"/>
    <m/>
    <n v="528"/>
    <n v="400"/>
    <m/>
    <m/>
    <m/>
    <m/>
    <n v="467243"/>
    <n v="392484"/>
    <n v="0"/>
    <n v="303800"/>
    <n v="45600"/>
    <n v="258200"/>
    <n v="0"/>
    <n v="0"/>
    <n v="89850.625589999996"/>
    <n v="-110998.74281323297"/>
    <n v="44121.038090000002"/>
    <n v="160472.20319"/>
    <n v="-8029.6416180000006"/>
    <n v="44517.211559176998"/>
    <n v="40128.634883455998"/>
    <n v="0"/>
    <n v="15820.551014367999"/>
    <n v="45504.265262400004"/>
    <n v="13318.206110400002"/>
    <n v="0"/>
    <n v="355900"/>
    <n v="-21100"/>
    <n v="334800"/>
    <n v="0.10204081632653061"/>
    <n v="0.99970000000000003"/>
    <n v="0.98050000000000004"/>
    <n v="0.99729999999999996"/>
    <n v="0.98919999999999997"/>
    <n v="1.0157"/>
    <n v="0.94971499999999998"/>
    <n v="0.93307440080304516"/>
    <n v="355900"/>
    <n v="0"/>
    <n v="355900"/>
    <n v="-20100"/>
    <n v="335800"/>
    <n v="0.37838884585592564"/>
    <n v="-1.4407894736842106"/>
    <n v="0.10533245556287031"/>
  </r>
  <r>
    <n v="2025"/>
    <s v="18132211430    "/>
    <n v="-3.5065578973199818"/>
    <n v="0.03"/>
    <n v="901"/>
    <s v="6"/>
    <s v="CON"/>
    <x v="0"/>
    <s v="11"/>
    <s v="262"/>
    <s v="CE"/>
    <s v="G"/>
    <s v="AV"/>
    <x v="3"/>
    <n v="36"/>
    <n v="36"/>
    <n v="1988"/>
    <n v="1988"/>
    <n v="901"/>
    <n v="896"/>
    <n v="544"/>
    <n v="66"/>
    <n v="478"/>
    <m/>
    <n v="2275"/>
    <n v="2500"/>
    <n v="12"/>
    <m/>
    <n v="528"/>
    <n v="400"/>
    <m/>
    <m/>
    <m/>
    <m/>
    <n v="468356"/>
    <n v="393419"/>
    <n v="0"/>
    <n v="304500"/>
    <n v="45700"/>
    <n v="258800"/>
    <n v="0"/>
    <n v="0"/>
    <n v="89850.625589999996"/>
    <n v="-110998.74281323297"/>
    <n v="44121.038090000002"/>
    <n v="160472.20319"/>
    <n v="-8029.6416180000006"/>
    <n v="44517.211559176998"/>
    <n v="40128.634883455998"/>
    <n v="0"/>
    <n v="15820.551014367999"/>
    <n v="45504.265262400004"/>
    <n v="13318.206110400002"/>
    <n v="0"/>
    <n v="355900"/>
    <n v="-21100"/>
    <n v="334800"/>
    <n v="9.9507389162561577E-2"/>
    <n v="0.99970000000000003"/>
    <n v="0.98050000000000004"/>
    <n v="0.99729999999999996"/>
    <n v="0.98919999999999997"/>
    <n v="1.0157"/>
    <n v="0.94971499999999998"/>
    <n v="0.93307440080304516"/>
    <n v="355900"/>
    <n v="0"/>
    <n v="355900"/>
    <n v="-20100"/>
    <n v="335800"/>
    <n v="0.37519319938176199"/>
    <n v="-1.4398249452954048"/>
    <n v="0.10279146141215106"/>
  </r>
  <r>
    <n v="2025"/>
    <s v="18132213471    "/>
    <n v="-1.6094379124341003"/>
    <n v="0.2"/>
    <n v="8551"/>
    <s v="6"/>
    <s v="RES"/>
    <x v="0"/>
    <s v="11"/>
    <s v="259"/>
    <s v="CP"/>
    <s v="G"/>
    <s v="GD"/>
    <x v="3"/>
    <n v="36"/>
    <n v="36"/>
    <n v="1988"/>
    <n v="1988"/>
    <n v="2056"/>
    <m/>
    <m/>
    <n v="0"/>
    <m/>
    <m/>
    <n v="2056"/>
    <n v="2500"/>
    <n v="8"/>
    <n v="484"/>
    <m/>
    <n v="154"/>
    <m/>
    <m/>
    <m/>
    <m/>
    <n v="433474"/>
    <n v="368453"/>
    <n v="0"/>
    <n v="387700"/>
    <n v="58400"/>
    <n v="329300"/>
    <n v="0"/>
    <n v="0"/>
    <n v="89850.625589999996"/>
    <n v="-50946.13867709865"/>
    <n v="44121.038090000002"/>
    <n v="197752.34721000001"/>
    <n v="-8029.6416180000006"/>
    <n v="101584.22526711201"/>
    <n v="0"/>
    <n v="0"/>
    <n v="0"/>
    <n v="30336.176841600001"/>
    <n v="5127.5093525040002"/>
    <n v="0"/>
    <n v="370900"/>
    <n v="38900"/>
    <n v="409800"/>
    <n v="5.7002837245292752E-2"/>
    <n v="0.99970000000000003"/>
    <n v="0.98050000000000004"/>
    <n v="0.99650000000000005"/>
    <n v="0.98919999999999997"/>
    <n v="1.0157"/>
    <n v="0.94971499999999998"/>
    <n v="0.93232592038527484"/>
    <n v="370900"/>
    <n v="0"/>
    <n v="370900"/>
    <n v="36900"/>
    <n v="407800"/>
    <n v="0.126328575766778"/>
    <n v="-0.36815068493150682"/>
    <n v="5.1844209440288884E-2"/>
  </r>
  <r>
    <n v="2025"/>
    <s v="18132211409    "/>
    <n v="-1.2039728043259361"/>
    <n v="0.3"/>
    <n v="13180"/>
    <s v="6"/>
    <s v="RES"/>
    <x v="0"/>
    <s v="11"/>
    <s v="259"/>
    <s v="SL"/>
    <s v="A+"/>
    <s v="AV"/>
    <x v="3"/>
    <n v="36"/>
    <n v="36"/>
    <n v="1988"/>
    <n v="1988"/>
    <n v="1608"/>
    <m/>
    <n v="1108"/>
    <n v="0"/>
    <n v="1108"/>
    <m/>
    <n v="2716"/>
    <n v="3000"/>
    <n v="8"/>
    <m/>
    <n v="576"/>
    <n v="284"/>
    <m/>
    <m/>
    <m/>
    <m/>
    <n v="446663"/>
    <n v="375197"/>
    <n v="0"/>
    <n v="386000"/>
    <n v="72500"/>
    <n v="313500"/>
    <n v="0"/>
    <n v="0"/>
    <n v="89850.625589999996"/>
    <n v="-38111.29648355169"/>
    <n v="29814.093161000001"/>
    <n v="160472.20319"/>
    <n v="-8029.6416180000006"/>
    <n v="79449.141162216009"/>
    <n v="0"/>
    <n v="0"/>
    <n v="32222.739933675999"/>
    <n v="30336.176841600001"/>
    <n v="9455.9263383840007"/>
    <n v="0"/>
    <n v="333700"/>
    <n v="51700"/>
    <n v="385400"/>
    <n v="-1.5544041450777201E-3"/>
    <n v="0.99970000000000003"/>
    <n v="1.0088999999999999"/>
    <n v="0.99729999999999996"/>
    <n v="0.96179999999999999"/>
    <n v="1.0157"/>
    <n v="0.94971499999999998"/>
    <n v="0.9335067522973054"/>
    <n v="333700"/>
    <n v="0"/>
    <n v="333700"/>
    <n v="49100"/>
    <n v="382800"/>
    <n v="6.4433811802232857E-2"/>
    <n v="-0.32275862068965516"/>
    <n v="-8.2901554404145074E-3"/>
  </r>
  <r>
    <n v="2025"/>
    <s v="18132213473    "/>
    <n v="-1.6094379124341003"/>
    <n v="0.2"/>
    <n v="8571"/>
    <s v="6"/>
    <s v="RES"/>
    <x v="0"/>
    <s v="11"/>
    <s v="259"/>
    <s v="CP"/>
    <s v="G"/>
    <s v="GD"/>
    <x v="3"/>
    <n v="37"/>
    <n v="37"/>
    <n v="1987"/>
    <n v="1987"/>
    <n v="1470"/>
    <m/>
    <m/>
    <n v="0"/>
    <m/>
    <m/>
    <n v="1470"/>
    <n v="1500"/>
    <n v="8"/>
    <n v="400"/>
    <m/>
    <n v="201"/>
    <m/>
    <m/>
    <m/>
    <m/>
    <n v="325100"/>
    <n v="276335"/>
    <n v="0"/>
    <n v="354700"/>
    <n v="58400"/>
    <n v="296300"/>
    <n v="0"/>
    <n v="0"/>
    <n v="89850.625589999996"/>
    <n v="-50946.13867709865"/>
    <n v="44121.038090000002"/>
    <n v="197752.34721000001"/>
    <n v="-8252.6872185000011"/>
    <n v="72630.744719189999"/>
    <n v="0"/>
    <n v="0"/>
    <n v="0"/>
    <n v="30336.176841600001"/>
    <n v="6692.3985704760007"/>
    <n v="0"/>
    <n v="343300"/>
    <n v="38900"/>
    <n v="382200"/>
    <n v="7.7530307301945309E-2"/>
    <n v="0.99970000000000003"/>
    <n v="0.98050000000000004"/>
    <n v="0.99650000000000005"/>
    <n v="1.0157"/>
    <n v="1.0157"/>
    <n v="0.94971499999999998"/>
    <n v="0.95730230219907364"/>
    <n v="343300"/>
    <n v="0"/>
    <n v="343300"/>
    <n v="36900"/>
    <n v="380200"/>
    <n v="0.15862301721228483"/>
    <n v="-0.36815068493150682"/>
    <n v="7.1891739498167462E-2"/>
  </r>
  <r>
    <n v="2025"/>
    <s v="18132322502    "/>
    <n v="-1.6094379124341003"/>
    <n v="0.2"/>
    <n v="8686"/>
    <s v="6"/>
    <s v="RES"/>
    <x v="0"/>
    <s v="11"/>
    <s v="259"/>
    <s v="RN"/>
    <s v="A"/>
    <s v="GD"/>
    <x v="3"/>
    <n v="37"/>
    <n v="37"/>
    <n v="1987"/>
    <n v="1987"/>
    <n v="1712"/>
    <m/>
    <m/>
    <n v="0"/>
    <m/>
    <m/>
    <n v="1712"/>
    <n v="2000"/>
    <n v="8"/>
    <n v="705"/>
    <m/>
    <n v="208"/>
    <m/>
    <m/>
    <m/>
    <m/>
    <n v="293225"/>
    <n v="249241"/>
    <n v="0"/>
    <n v="347900"/>
    <n v="58400"/>
    <n v="289500"/>
    <n v="0"/>
    <n v="0"/>
    <n v="89850.625589999996"/>
    <n v="-50946.13867709865"/>
    <n v="21557.329055999999"/>
    <n v="197752.34721000001"/>
    <n v="-8252.6872185000011"/>
    <n v="84587.642829424003"/>
    <n v="0"/>
    <n v="0"/>
    <n v="0"/>
    <n v="30336.176841600001"/>
    <n v="6925.4671774080007"/>
    <n v="0"/>
    <n v="332900"/>
    <n v="38900"/>
    <n v="371800"/>
    <n v="6.8697901695889629E-2"/>
    <n v="0.99970000000000003"/>
    <n v="1.0067999999999999"/>
    <n v="0.99650000000000005"/>
    <n v="1.0093000000000001"/>
    <n v="1.0157"/>
    <n v="0.94971499999999998"/>
    <n v="0.9767862398809567"/>
    <n v="332900"/>
    <n v="0"/>
    <n v="332900"/>
    <n v="36900"/>
    <n v="369800"/>
    <n v="0.14991364421416234"/>
    <n v="-0.36815068493150682"/>
    <n v="6.2949123311296346E-2"/>
  </r>
  <r>
    <n v="2025"/>
    <s v="18132341489    "/>
    <n v="-1.4696759700589417"/>
    <n v="0.23"/>
    <n v="10021"/>
    <s v="6"/>
    <s v="RES"/>
    <x v="0"/>
    <s v="11"/>
    <s v="400"/>
    <s v="CC"/>
    <s v="A+"/>
    <s v="GD"/>
    <x v="3"/>
    <n v="37"/>
    <n v="37"/>
    <n v="1987"/>
    <n v="1987"/>
    <n v="1174"/>
    <n v="764"/>
    <n v="150"/>
    <n v="150"/>
    <m/>
    <n v="288"/>
    <n v="2226"/>
    <n v="2500"/>
    <n v="11"/>
    <n v="576"/>
    <m/>
    <n v="160"/>
    <m/>
    <m/>
    <m/>
    <m/>
    <n v="404503"/>
    <n v="343828"/>
    <n v="0"/>
    <n v="398400"/>
    <n v="63300"/>
    <n v="335100"/>
    <n v="0"/>
    <n v="0"/>
    <n v="89850.625589999996"/>
    <n v="-46522.028095997222"/>
    <n v="29814.093161000001"/>
    <n v="197752.34721000001"/>
    <n v="-8252.6872185000011"/>
    <n v="58005.778435598004"/>
    <n v="34216.827065803998"/>
    <n v="18747.265262688001"/>
    <n v="4362.2842870499999"/>
    <n v="41712.243157199999"/>
    <n v="5327.2824441600005"/>
    <n v="0"/>
    <n v="381700"/>
    <n v="43300"/>
    <n v="425000"/>
    <n v="6.6767068273092367E-2"/>
    <n v="0.99970000000000003"/>
    <n v="1.0088999999999999"/>
    <n v="0.99650000000000005"/>
    <n v="0.98919999999999997"/>
    <n v="1.0157"/>
    <n v="0.94971499999999998"/>
    <n v="0.95933056713585274"/>
    <n v="381700"/>
    <n v="0"/>
    <n v="381700"/>
    <n v="41100"/>
    <n v="422800"/>
    <n v="0.13906296627872278"/>
    <n v="-0.35071090047393366"/>
    <n v="6.1244979919678713E-2"/>
  </r>
  <r>
    <n v="2025"/>
    <s v="18132243463    "/>
    <n v="-1.6094379124341003"/>
    <n v="0.2"/>
    <n v="8680"/>
    <s v="6"/>
    <s v="RES"/>
    <x v="0"/>
    <s v="11"/>
    <s v="259"/>
    <s v="CP"/>
    <s v="A+"/>
    <s v="AV"/>
    <x v="3"/>
    <n v="38"/>
    <n v="38"/>
    <n v="1986"/>
    <n v="1986"/>
    <n v="1352"/>
    <m/>
    <m/>
    <n v="0"/>
    <m/>
    <m/>
    <n v="1352"/>
    <n v="1500"/>
    <n v="8"/>
    <n v="528"/>
    <m/>
    <n v="168"/>
    <m/>
    <m/>
    <m/>
    <m/>
    <n v="287312"/>
    <n v="238469"/>
    <n v="0"/>
    <n v="317500"/>
    <n v="58400"/>
    <n v="259100"/>
    <n v="0"/>
    <n v="0"/>
    <n v="89850.625589999996"/>
    <n v="-50946.13867709865"/>
    <n v="29814.093161000001"/>
    <n v="160472.20319"/>
    <n v="-8475.7328190000007"/>
    <n v="66800.521673704003"/>
    <n v="0"/>
    <n v="0"/>
    <n v="0"/>
    <n v="30336.176841600001"/>
    <n v="5593.646566368001"/>
    <n v="0"/>
    <n v="284500"/>
    <n v="38900"/>
    <n v="323400"/>
    <n v="1.858267716535433E-2"/>
    <n v="0.99970000000000003"/>
    <n v="1.0088999999999999"/>
    <n v="0.99729999999999996"/>
    <n v="1.0157"/>
    <n v="1.0157"/>
    <n v="0.94971499999999998"/>
    <n v="0.98582117728048768"/>
    <n v="284500"/>
    <n v="0"/>
    <n v="284500"/>
    <n v="36900"/>
    <n v="321400"/>
    <n v="9.8031648012350439E-2"/>
    <n v="-0.36815068493150682"/>
    <n v="1.2283464566929133E-2"/>
  </r>
  <r>
    <n v="2025"/>
    <s v="18132242429    "/>
    <n v="-1.7147984280919266"/>
    <n v="0.18"/>
    <n v="7982"/>
    <s v="6"/>
    <s v="RES"/>
    <x v="0"/>
    <s v="11"/>
    <s v="259"/>
    <s v="RN"/>
    <s v="G"/>
    <s v="GD"/>
    <x v="3"/>
    <n v="39"/>
    <n v="39"/>
    <n v="1985"/>
    <n v="1985"/>
    <n v="1872"/>
    <m/>
    <m/>
    <n v="0"/>
    <m/>
    <m/>
    <n v="1872"/>
    <n v="2000"/>
    <n v="8"/>
    <n v="462"/>
    <m/>
    <n v="374"/>
    <m/>
    <m/>
    <m/>
    <m/>
    <n v="424086"/>
    <n v="343510"/>
    <n v="0"/>
    <n v="371000"/>
    <n v="54700"/>
    <n v="316300"/>
    <n v="0"/>
    <n v="0"/>
    <n v="89850.625589999996"/>
    <n v="-54281.285314520763"/>
    <n v="44121.038090000002"/>
    <n v="197752.34721000001"/>
    <n v="-8698.7784195000004"/>
    <n v="92493.030009744005"/>
    <n v="0"/>
    <n v="0"/>
    <n v="0"/>
    <n v="30336.176841600001"/>
    <n v="12452.522713224002"/>
    <n v="0"/>
    <n v="368500"/>
    <n v="35600"/>
    <n v="404100"/>
    <n v="8.9218328840970348E-2"/>
    <n v="0.99970000000000003"/>
    <n v="0.98050000000000004"/>
    <n v="0.99650000000000005"/>
    <n v="1.0093000000000001"/>
    <n v="1.0157"/>
    <n v="0.94971499999999998"/>
    <n v="0.95127027036479783"/>
    <n v="368500"/>
    <n v="0"/>
    <n v="368500"/>
    <n v="33800"/>
    <n v="402300"/>
    <n v="0.16503319633259564"/>
    <n v="-0.38208409506398539"/>
    <n v="8.4366576819407013E-2"/>
  </r>
  <r>
    <n v="2025"/>
    <s v="18132213472    "/>
    <n v="-1.6607312068216509"/>
    <n v="0.19"/>
    <n v="8429"/>
    <s v="6"/>
    <s v="RES"/>
    <x v="0"/>
    <s v="11"/>
    <s v="259"/>
    <s v="RN"/>
    <s v="G"/>
    <s v="GD"/>
    <x v="3"/>
    <n v="39"/>
    <n v="39"/>
    <n v="1985"/>
    <n v="1985"/>
    <n v="1552"/>
    <m/>
    <m/>
    <n v="0"/>
    <m/>
    <m/>
    <n v="1552"/>
    <n v="2000"/>
    <n v="8"/>
    <n v="528"/>
    <m/>
    <n v="216"/>
    <m/>
    <m/>
    <m/>
    <m/>
    <n v="356866"/>
    <n v="289061"/>
    <n v="0"/>
    <n v="357500"/>
    <n v="56600"/>
    <n v="300900"/>
    <n v="0"/>
    <n v="0"/>
    <n v="89850.625589999996"/>
    <n v="-52569.808201026557"/>
    <n v="44121.038090000002"/>
    <n v="197752.34721000001"/>
    <n v="-8698.7784195000004"/>
    <n v="76682.255649104001"/>
    <n v="0"/>
    <n v="0"/>
    <n v="0"/>
    <n v="30336.176841600001"/>
    <n v="7191.8312996160003"/>
    <n v="0"/>
    <n v="347400"/>
    <n v="37300"/>
    <n v="384700"/>
    <n v="7.6083916083916084E-2"/>
    <n v="0.99970000000000003"/>
    <n v="0.98050000000000004"/>
    <n v="0.99650000000000005"/>
    <n v="1.0093000000000001"/>
    <n v="1.0157"/>
    <n v="0.94971499999999998"/>
    <n v="0.95127027036479783"/>
    <n v="347400"/>
    <n v="0"/>
    <n v="347400"/>
    <n v="35400"/>
    <n v="382800"/>
    <n v="0.15453639082751744"/>
    <n v="-0.37455830388692579"/>
    <n v="7.0769230769230765E-2"/>
  </r>
  <r>
    <n v="2025"/>
    <s v="18132322494    "/>
    <n v="-1.7719568419318752"/>
    <n v="0.17"/>
    <n v="7550"/>
    <s v="6"/>
    <s v="RES"/>
    <x v="0"/>
    <s v="11"/>
    <s v="259"/>
    <s v="RN"/>
    <s v="A"/>
    <s v="FR"/>
    <x v="3"/>
    <n v="39"/>
    <n v="39"/>
    <n v="1985"/>
    <n v="1985"/>
    <n v="1472"/>
    <m/>
    <m/>
    <n v="0"/>
    <m/>
    <m/>
    <n v="1472"/>
    <n v="1500"/>
    <n v="8"/>
    <n v="528"/>
    <m/>
    <m/>
    <m/>
    <m/>
    <m/>
    <m/>
    <n v="246319"/>
    <n v="194592"/>
    <n v="0"/>
    <n v="271800"/>
    <n v="52700"/>
    <n v="219100"/>
    <n v="0"/>
    <n v="0"/>
    <n v="89850.625589999996"/>
    <n v="-56090.612940989391"/>
    <n v="21557.329055999999"/>
    <n v="133714.53821"/>
    <n v="-8698.7784195000004"/>
    <n v="72729.562058944008"/>
    <n v="0"/>
    <n v="0"/>
    <n v="0"/>
    <n v="30336.176841600001"/>
    <n v="0"/>
    <n v="0"/>
    <n v="249600"/>
    <n v="33800"/>
    <n v="283400"/>
    <n v="4.2678440029433405E-2"/>
    <n v="0.99970000000000003"/>
    <n v="1.0067999999999999"/>
    <n v="0.99329999999999996"/>
    <n v="1.0157"/>
    <n v="1.0157"/>
    <n v="0.94971499999999998"/>
    <n v="0.97982348493711191"/>
    <n v="249600"/>
    <n v="0"/>
    <n v="249600"/>
    <n v="32100"/>
    <n v="281700"/>
    <n v="0.13920584208124145"/>
    <n v="-0.39089184060721061"/>
    <n v="3.6423841059602648E-2"/>
  </r>
  <r>
    <n v="2025"/>
    <s v="18132211436    "/>
    <n v="-3.912023005428146"/>
    <n v="0.02"/>
    <n v="1600"/>
    <s v="6"/>
    <s v="CON"/>
    <x v="0"/>
    <s v="11"/>
    <s v="262"/>
    <s v="CE"/>
    <s v="G"/>
    <s v="AV"/>
    <x v="3"/>
    <n v="40"/>
    <n v="40"/>
    <n v="1984"/>
    <n v="1984"/>
    <n v="1600"/>
    <m/>
    <n v="1180"/>
    <n v="370"/>
    <n v="810"/>
    <m/>
    <n v="2410"/>
    <n v="2500"/>
    <n v="11"/>
    <m/>
    <n v="596"/>
    <n v="482"/>
    <m/>
    <m/>
    <m/>
    <m/>
    <n v="503570"/>
    <n v="402856"/>
    <n v="0"/>
    <n v="293900"/>
    <n v="44100"/>
    <n v="249800"/>
    <n v="0"/>
    <n v="0"/>
    <n v="89850.625589999996"/>
    <n v="-123833.58500677992"/>
    <n v="44121.038090000002"/>
    <n v="160472.20319"/>
    <n v="-8921.82402"/>
    <n v="79053.871803200003"/>
    <n v="0"/>
    <n v="0"/>
    <n v="34316.636391460001"/>
    <n v="41712.243157199999"/>
    <n v="16048.438363032001"/>
    <n v="0"/>
    <n v="366800"/>
    <n v="-34000"/>
    <n v="332800"/>
    <n v="0.13235794487921063"/>
    <n v="0.99970000000000003"/>
    <n v="0.98050000000000004"/>
    <n v="0.99729999999999996"/>
    <n v="0.98919999999999997"/>
    <n v="1.0157"/>
    <n v="0.94971499999999998"/>
    <n v="0.93307440080304516"/>
    <n v="366800"/>
    <n v="0"/>
    <n v="366800"/>
    <n v="-32300"/>
    <n v="334500"/>
    <n v="0.46837469975980783"/>
    <n v="-1.7324263038548753"/>
    <n v="0.13814222524668254"/>
  </r>
  <r>
    <n v="2025"/>
    <s v="18132211414    "/>
    <n v="-3.912023005428146"/>
    <n v="0.02"/>
    <n v="1600"/>
    <s v="6"/>
    <s v="CON"/>
    <x v="0"/>
    <s v="11"/>
    <s v="262"/>
    <s v="CE"/>
    <s v="G"/>
    <s v="AV"/>
    <x v="3"/>
    <n v="40"/>
    <n v="40"/>
    <n v="1984"/>
    <n v="1984"/>
    <n v="1600"/>
    <m/>
    <n v="1184"/>
    <n v="338"/>
    <n v="846"/>
    <m/>
    <n v="2446"/>
    <n v="2500"/>
    <n v="12"/>
    <m/>
    <n v="592"/>
    <n v="474"/>
    <m/>
    <m/>
    <m/>
    <m/>
    <n v="514222"/>
    <n v="411378"/>
    <n v="0"/>
    <n v="300100"/>
    <n v="45000"/>
    <n v="255100"/>
    <n v="0"/>
    <n v="0"/>
    <n v="89850.625589999996"/>
    <n v="-123833.58500677992"/>
    <n v="44121.038090000002"/>
    <n v="160472.20319"/>
    <n v="-8921.82402"/>
    <n v="79053.871803200003"/>
    <n v="0"/>
    <n v="0"/>
    <n v="34432.963972448"/>
    <n v="45504.265262400004"/>
    <n v="15782.074240824002"/>
    <n v="0"/>
    <n v="370400"/>
    <n v="-34000"/>
    <n v="336400"/>
    <n v="0.12095968010663112"/>
    <n v="0.99970000000000003"/>
    <n v="0.98050000000000004"/>
    <n v="0.99729999999999996"/>
    <n v="0.98919999999999997"/>
    <n v="1.0157"/>
    <n v="0.94971499999999998"/>
    <n v="0.93307440080304516"/>
    <n v="370400"/>
    <n v="0"/>
    <n v="370400"/>
    <n v="-32300"/>
    <n v="338100"/>
    <n v="0.4519796158369267"/>
    <n v="-1.7177777777777778"/>
    <n v="0.12662445851382872"/>
  </r>
  <r>
    <n v="2025"/>
    <s v="18132211434    "/>
    <n v="-3.912023005428146"/>
    <n v="0.02"/>
    <n v="1600"/>
    <s v="6"/>
    <s v="CON"/>
    <x v="0"/>
    <s v="11"/>
    <s v="262"/>
    <s v="CE"/>
    <s v="G"/>
    <s v="AV"/>
    <x v="3"/>
    <n v="40"/>
    <n v="40"/>
    <n v="1984"/>
    <n v="1984"/>
    <n v="1600"/>
    <m/>
    <n v="1180"/>
    <n v="0"/>
    <n v="1180"/>
    <m/>
    <n v="2780"/>
    <n v="3000"/>
    <n v="12"/>
    <m/>
    <n v="596"/>
    <n v="563"/>
    <m/>
    <m/>
    <m/>
    <m/>
    <n v="534705"/>
    <n v="427764"/>
    <n v="0"/>
    <n v="311900"/>
    <n v="46800"/>
    <n v="265100"/>
    <n v="0"/>
    <n v="0"/>
    <n v="89850.625589999996"/>
    <n v="-123833.58500677992"/>
    <n v="44121.038090000002"/>
    <n v="160472.20319"/>
    <n v="-8921.82402"/>
    <n v="79053.871803200003"/>
    <n v="0"/>
    <n v="0"/>
    <n v="34316.636391460001"/>
    <n v="45504.265262400004"/>
    <n v="18745.375100388002"/>
    <n v="0"/>
    <n v="373300"/>
    <n v="-34000"/>
    <n v="339300"/>
    <n v="8.7848669445335037E-2"/>
    <n v="0.99970000000000003"/>
    <n v="0.98050000000000004"/>
    <n v="0.99729999999999996"/>
    <n v="0.96179999999999999"/>
    <n v="1.0157"/>
    <n v="0.94971499999999998"/>
    <n v="0.90722903224056695"/>
    <n v="373300"/>
    <n v="0"/>
    <n v="373300"/>
    <n v="-32300"/>
    <n v="341000"/>
    <n v="0.40814786872878162"/>
    <n v="-1.6901709401709402"/>
    <n v="9.329913433792883E-2"/>
  </r>
  <r>
    <n v="2025"/>
    <s v="18132211416    "/>
    <n v="-3.912023005428146"/>
    <n v="0.02"/>
    <n v="1600"/>
    <s v="6"/>
    <s v="CON"/>
    <x v="0"/>
    <s v="11"/>
    <s v="262"/>
    <s v="CE"/>
    <s v="G"/>
    <s v="AV"/>
    <x v="3"/>
    <n v="40"/>
    <n v="40"/>
    <n v="1984"/>
    <n v="1984"/>
    <n v="1600"/>
    <m/>
    <n v="1180"/>
    <n v="0"/>
    <n v="1180"/>
    <m/>
    <n v="2780"/>
    <n v="3000"/>
    <n v="11"/>
    <m/>
    <n v="596"/>
    <n v="362"/>
    <m/>
    <m/>
    <m/>
    <m/>
    <n v="525341"/>
    <n v="420273"/>
    <n v="0"/>
    <n v="306500"/>
    <n v="46000"/>
    <n v="260500"/>
    <n v="0"/>
    <n v="0"/>
    <n v="89850.625589999996"/>
    <n v="-123833.58500677992"/>
    <n v="44121.038090000002"/>
    <n v="160472.20319"/>
    <n v="-8921.82402"/>
    <n v="79053.871803200003"/>
    <n v="0"/>
    <n v="0"/>
    <n v="34316.636391460001"/>
    <n v="41712.243157199999"/>
    <n v="12052.976529912001"/>
    <n v="0"/>
    <n v="362800"/>
    <n v="-34000"/>
    <n v="328800"/>
    <n v="7.2756933115823819E-2"/>
    <n v="0.99970000000000003"/>
    <n v="0.98050000000000004"/>
    <n v="0.99729999999999996"/>
    <n v="0.96179999999999999"/>
    <n v="1.0157"/>
    <n v="0.94971499999999998"/>
    <n v="0.90722903224056695"/>
    <n v="362800"/>
    <n v="0"/>
    <n v="362800"/>
    <n v="-32300"/>
    <n v="330500"/>
    <n v="0.3927063339731286"/>
    <n v="-1.7021739130434783"/>
    <n v="7.8303425774877644E-2"/>
  </r>
  <r>
    <n v="2025"/>
    <s v="18132322489    "/>
    <n v="-1.7719568419318752"/>
    <n v="0.17"/>
    <n v="7520"/>
    <s v="6"/>
    <s v="RES"/>
    <x v="0"/>
    <s v="11"/>
    <s v="259"/>
    <s v="RN"/>
    <s v="A"/>
    <s v="AV"/>
    <x v="3"/>
    <n v="40"/>
    <n v="40"/>
    <n v="1984"/>
    <n v="1984"/>
    <n v="1116"/>
    <m/>
    <m/>
    <n v="0"/>
    <m/>
    <m/>
    <n v="1116"/>
    <n v="1500"/>
    <n v="6"/>
    <n v="504"/>
    <m/>
    <n v="324"/>
    <m/>
    <m/>
    <m/>
    <m/>
    <n v="211597"/>
    <n v="169278"/>
    <n v="0"/>
    <n v="278500"/>
    <n v="52700"/>
    <n v="225800"/>
    <n v="0"/>
    <n v="0"/>
    <n v="89850.625589999996"/>
    <n v="-56090.612940989391"/>
    <n v="21557.329055999999"/>
    <n v="160472.20319"/>
    <n v="-8921.82402"/>
    <n v="55140.075582732003"/>
    <n v="0"/>
    <n v="0"/>
    <n v="0"/>
    <n v="22752.132631200002"/>
    <n v="10787.746949424001"/>
    <n v="0"/>
    <n v="261800"/>
    <n v="33800"/>
    <n v="295600"/>
    <n v="6.1400359066427289E-2"/>
    <n v="0.99970000000000003"/>
    <n v="1.0067999999999999"/>
    <n v="0.99729999999999996"/>
    <n v="1.0157"/>
    <n v="1.0157"/>
    <n v="0.94971499999999998"/>
    <n v="0.9837692152700912"/>
    <n v="261800"/>
    <n v="0"/>
    <n v="261800"/>
    <n v="32100"/>
    <n v="293900"/>
    <n v="0.15943312666076173"/>
    <n v="-0.39089184060721061"/>
    <n v="5.5296229802513468E-2"/>
  </r>
  <r>
    <n v="2025"/>
    <s v="18132322488    "/>
    <n v="-1.7719568419318752"/>
    <n v="0.17"/>
    <n v="7200"/>
    <s v="6"/>
    <s v="RES"/>
    <x v="0"/>
    <s v="11"/>
    <s v="259"/>
    <s v="RN"/>
    <s v="A"/>
    <s v="FR"/>
    <x v="3"/>
    <n v="40"/>
    <n v="40"/>
    <n v="1984"/>
    <n v="1984"/>
    <n v="1074"/>
    <m/>
    <m/>
    <n v="0"/>
    <m/>
    <m/>
    <n v="1074"/>
    <n v="1500"/>
    <n v="7"/>
    <n v="324"/>
    <m/>
    <m/>
    <m/>
    <m/>
    <m/>
    <m/>
    <n v="189634"/>
    <n v="149811"/>
    <n v="0"/>
    <n v="248000"/>
    <n v="52700"/>
    <n v="195300"/>
    <n v="0"/>
    <n v="0"/>
    <n v="89850.625589999996"/>
    <n v="-56090.612940989391"/>
    <n v="21557.329055999999"/>
    <n v="133714.53821"/>
    <n v="-8921.82402"/>
    <n v="53064.911447898005"/>
    <n v="0"/>
    <n v="0"/>
    <n v="0"/>
    <n v="26544.1547364"/>
    <n v="0"/>
    <n v="0"/>
    <n v="226000"/>
    <n v="33800"/>
    <n v="259800"/>
    <n v="4.7580645161290319E-2"/>
    <n v="0.99970000000000003"/>
    <n v="1.0067999999999999"/>
    <n v="0.99329999999999996"/>
    <n v="1.0157"/>
    <n v="1.0157"/>
    <n v="0.94971499999999998"/>
    <n v="0.97982348493711191"/>
    <n v="226000"/>
    <n v="0"/>
    <n v="226000"/>
    <n v="32100"/>
    <n v="258100"/>
    <n v="0.15719406041986686"/>
    <n v="-0.39089184060721061"/>
    <n v="4.0725806451612903E-2"/>
  </r>
  <r>
    <n v="2025"/>
    <s v="18132242498    "/>
    <n v="-1.3470736479666092"/>
    <n v="0.26"/>
    <n v="11383"/>
    <s v="6"/>
    <s v="RES"/>
    <x v="0"/>
    <s v="11"/>
    <s v="259"/>
    <s v="RN"/>
    <s v="G"/>
    <s v="AV"/>
    <x v="3"/>
    <n v="40"/>
    <n v="40"/>
    <n v="1984"/>
    <n v="1984"/>
    <n v="1608"/>
    <m/>
    <n v="900"/>
    <n v="0"/>
    <n v="900"/>
    <m/>
    <n v="2508"/>
    <n v="3000"/>
    <n v="12"/>
    <n v="484"/>
    <m/>
    <n v="498"/>
    <m/>
    <m/>
    <m/>
    <m/>
    <n v="480121"/>
    <n v="384097"/>
    <n v="0"/>
    <n v="397500"/>
    <n v="67600"/>
    <n v="329900"/>
    <n v="0"/>
    <n v="0"/>
    <n v="89850.625589999996"/>
    <n v="-42641.098701210125"/>
    <n v="44121.038090000002"/>
    <n v="160472.20319"/>
    <n v="-8921.82402"/>
    <n v="79449.141162216009"/>
    <n v="0"/>
    <n v="0"/>
    <n v="26173.705722299997"/>
    <n v="45504.265262400004"/>
    <n v="16581.166607448002"/>
    <n v="0"/>
    <n v="363400"/>
    <n v="47200"/>
    <n v="410600"/>
    <n v="3.2955974842767292E-2"/>
    <n v="0.99970000000000003"/>
    <n v="0.98050000000000004"/>
    <n v="0.99729999999999996"/>
    <n v="0.96179999999999999"/>
    <n v="1.0157"/>
    <n v="0.94971499999999998"/>
    <n v="0.90722903224056695"/>
    <n v="363400"/>
    <n v="0"/>
    <n v="363400"/>
    <n v="44800"/>
    <n v="408200"/>
    <n v="0.10154592300697181"/>
    <n v="-0.33727810650887574"/>
    <n v="2.6918238993710691E-2"/>
  </r>
  <r>
    <n v="2025"/>
    <s v="18132322491    "/>
    <n v="-1.7147984280919266"/>
    <n v="0.18"/>
    <n v="7854"/>
    <s v="6"/>
    <s v="RES"/>
    <x v="0"/>
    <s v="11"/>
    <s v="259"/>
    <s v="CO"/>
    <s v="A"/>
    <s v="FR"/>
    <x v="3"/>
    <n v="40"/>
    <n v="40"/>
    <n v="1984"/>
    <n v="1984"/>
    <n v="768"/>
    <n v="768"/>
    <m/>
    <n v="0"/>
    <m/>
    <m/>
    <n v="1536"/>
    <n v="2000"/>
    <n v="7"/>
    <n v="440"/>
    <m/>
    <m/>
    <m/>
    <m/>
    <m/>
    <m/>
    <n v="243431"/>
    <n v="192310"/>
    <n v="0"/>
    <n v="271800"/>
    <n v="54700"/>
    <n v="217100"/>
    <n v="0"/>
    <n v="0"/>
    <n v="89850.625589999996"/>
    <n v="-54281.285314520763"/>
    <n v="21557.329055999999"/>
    <n v="133714.53821"/>
    <n v="-8921.82402"/>
    <n v="37945.858465536003"/>
    <n v="34395.972757247997"/>
    <n v="0"/>
    <n v="0"/>
    <n v="26544.1547364"/>
    <n v="0"/>
    <n v="0"/>
    <n v="245200"/>
    <n v="35600"/>
    <n v="280800"/>
    <n v="3.3112582781456956E-2"/>
    <n v="0.99970000000000003"/>
    <n v="1.0067999999999999"/>
    <n v="0.99329999999999996"/>
    <n v="1.0093000000000001"/>
    <n v="1.0157"/>
    <n v="0.94971499999999998"/>
    <n v="0.97364954548294469"/>
    <n v="245200"/>
    <n v="0"/>
    <n v="245200"/>
    <n v="33800"/>
    <n v="279000"/>
    <n v="0.12943344081068631"/>
    <n v="-0.38208409506398539"/>
    <n v="2.6490066225165563E-2"/>
  </r>
  <r>
    <n v="2025"/>
    <s v="18132243487    "/>
    <n v="-1.8325814637483102"/>
    <n v="0.16"/>
    <n v="6913"/>
    <s v="6"/>
    <s v="RES"/>
    <x v="0"/>
    <s v="11"/>
    <s v="259"/>
    <s v="RN"/>
    <s v="A"/>
    <s v="AV"/>
    <x v="3"/>
    <n v="40"/>
    <n v="40"/>
    <n v="1984"/>
    <n v="1984"/>
    <n v="1080"/>
    <m/>
    <m/>
    <n v="0"/>
    <m/>
    <m/>
    <n v="1080"/>
    <n v="1500"/>
    <n v="5"/>
    <n v="594"/>
    <m/>
    <m/>
    <m/>
    <m/>
    <m/>
    <m/>
    <n v="210223"/>
    <n v="168178"/>
    <n v="3072"/>
    <n v="272200"/>
    <n v="50600"/>
    <n v="221600"/>
    <n v="0"/>
    <n v="0"/>
    <n v="89850.625589999996"/>
    <n v="-58009.662049032086"/>
    <n v="21557.329055999999"/>
    <n v="160472.20319"/>
    <n v="-8921.82402"/>
    <n v="53361.363467160001"/>
    <n v="0"/>
    <n v="0"/>
    <n v="0"/>
    <n v="18960.110526"/>
    <n v="0"/>
    <n v="3100"/>
    <n v="245400"/>
    <n v="31800"/>
    <n v="280300"/>
    <n v="2.9757531227038943E-2"/>
    <n v="0.99970000000000003"/>
    <n v="1.0067999999999999"/>
    <n v="0.99729999999999996"/>
    <n v="1.0157"/>
    <n v="1.0157"/>
    <n v="0.94971499999999998"/>
    <n v="0.9837692152700912"/>
    <n v="245400"/>
    <n v="2900"/>
    <n v="248300"/>
    <n v="30200"/>
    <n v="278500"/>
    <n v="0.12048736462093863"/>
    <n v="-0.40316205533596838"/>
    <n v="2.3144746509919177E-2"/>
  </r>
  <r>
    <n v="2025"/>
    <s v="18132322490    "/>
    <n v="-1.7147984280919266"/>
    <n v="0.18"/>
    <n v="7677"/>
    <s v="6"/>
    <s v="RES"/>
    <x v="0"/>
    <s v="11"/>
    <s v="259"/>
    <s v="RN"/>
    <s v="A"/>
    <s v="AV"/>
    <x v="3"/>
    <n v="40"/>
    <n v="40"/>
    <n v="1984"/>
    <n v="1984"/>
    <n v="1744"/>
    <m/>
    <m/>
    <n v="0"/>
    <m/>
    <m/>
    <n v="1744"/>
    <n v="2000"/>
    <n v="8"/>
    <n v="576"/>
    <m/>
    <m/>
    <m/>
    <m/>
    <m/>
    <m/>
    <n v="321219"/>
    <n v="256975"/>
    <n v="0"/>
    <n v="319600"/>
    <n v="54700"/>
    <n v="264900"/>
    <n v="0"/>
    <n v="0"/>
    <n v="89850.625589999996"/>
    <n v="-54281.285314520763"/>
    <n v="21557.329055999999"/>
    <n v="160472.20319"/>
    <n v="-8921.82402"/>
    <n v="86168.720265488009"/>
    <n v="0"/>
    <n v="0"/>
    <n v="0"/>
    <n v="30336.176841600001"/>
    <n v="0"/>
    <n v="0"/>
    <n v="289600"/>
    <n v="35600"/>
    <n v="325200"/>
    <n v="1.7521902377972465E-2"/>
    <n v="0.99970000000000003"/>
    <n v="1.0067999999999999"/>
    <n v="0.99729999999999996"/>
    <n v="1.0093000000000001"/>
    <n v="1.0157"/>
    <n v="0.94971499999999998"/>
    <n v="0.97757041348045992"/>
    <n v="289600"/>
    <n v="0"/>
    <n v="289600"/>
    <n v="33800"/>
    <n v="323400"/>
    <n v="9.3242733106832773E-2"/>
    <n v="-0.38208409506398539"/>
    <n v="1.1889862327909888E-2"/>
  </r>
  <r>
    <n v="2025"/>
    <s v="18132322503    "/>
    <n v="-1.8325814637483102"/>
    <n v="0.16"/>
    <n v="7101"/>
    <s v="6"/>
    <s v="RES"/>
    <x v="0"/>
    <s v="11"/>
    <s v="259"/>
    <s v="RN"/>
    <s v="A"/>
    <s v="GD"/>
    <x v="4"/>
    <n v="43"/>
    <n v="43"/>
    <n v="1981"/>
    <n v="1981"/>
    <n v="1640"/>
    <m/>
    <m/>
    <n v="0"/>
    <m/>
    <m/>
    <n v="1640"/>
    <n v="2000"/>
    <n v="8"/>
    <n v="528"/>
    <m/>
    <n v="140"/>
    <m/>
    <m/>
    <m/>
    <m/>
    <n v="288432"/>
    <n v="227861"/>
    <n v="0"/>
    <n v="328900"/>
    <n v="50600"/>
    <n v="278300"/>
    <n v="0"/>
    <n v="0"/>
    <n v="89850.625589999996"/>
    <n v="-58009.662049032086"/>
    <n v="21557.329055999999"/>
    <n v="197752.34721000001"/>
    <n v="-9590.9608215000007"/>
    <n v="81030.21859828"/>
    <n v="0"/>
    <n v="0"/>
    <n v="0"/>
    <n v="30336.176841600001"/>
    <n v="4661.3721386400002"/>
    <n v="0"/>
    <n v="325700"/>
    <n v="31800"/>
    <n v="357500"/>
    <n v="8.6956521739130432E-2"/>
    <n v="0.99970000000000003"/>
    <n v="1.0067999999999999"/>
    <n v="0.99650000000000005"/>
    <n v="1.0093000000000001"/>
    <n v="0.96919999999999995"/>
    <n v="0.94971499999999998"/>
    <n v="0.93206775986277757"/>
    <n v="325700"/>
    <n v="0"/>
    <n v="325700"/>
    <n v="30200"/>
    <n v="355900"/>
    <n v="0.17031979877829681"/>
    <n v="-0.40316205533596838"/>
    <n v="8.2091821222256001E-2"/>
  </r>
  <r>
    <n v="2025"/>
    <s v="18132322487    "/>
    <n v="-1.8325814637483102"/>
    <n v="0.16"/>
    <n v="7100"/>
    <s v="6"/>
    <s v="RES"/>
    <x v="0"/>
    <s v="11"/>
    <s v="259"/>
    <s v="RN"/>
    <s v="A+"/>
    <s v="GD"/>
    <x v="4"/>
    <n v="43"/>
    <n v="43"/>
    <n v="1981"/>
    <n v="1981"/>
    <n v="1516"/>
    <m/>
    <m/>
    <n v="0"/>
    <m/>
    <m/>
    <n v="1516"/>
    <n v="2000"/>
    <n v="8"/>
    <n v="474"/>
    <m/>
    <m/>
    <m/>
    <m/>
    <m/>
    <m/>
    <n v="301987"/>
    <n v="238570"/>
    <n v="0"/>
    <n v="330100"/>
    <n v="50600"/>
    <n v="279500"/>
    <n v="0"/>
    <n v="0"/>
    <n v="89850.625589999996"/>
    <n v="-58009.662049032086"/>
    <n v="29814.093161000001"/>
    <n v="197752.34721000001"/>
    <n v="-9590.9608215000007"/>
    <n v="74903.543533532007"/>
    <n v="0"/>
    <n v="0"/>
    <n v="0"/>
    <n v="30336.176841600001"/>
    <n v="0"/>
    <n v="0"/>
    <n v="323200"/>
    <n v="31800"/>
    <n v="355000"/>
    <n v="7.5431687367464403E-2"/>
    <n v="0.99970000000000003"/>
    <n v="1.0088999999999999"/>
    <n v="0.99650000000000005"/>
    <n v="1.0093000000000001"/>
    <n v="0.96919999999999995"/>
    <n v="0.94971499999999998"/>
    <n v="0.93401188212709219"/>
    <n v="323200"/>
    <n v="0"/>
    <n v="323200"/>
    <n v="30200"/>
    <n v="353400"/>
    <n v="0.15635062611806799"/>
    <n v="-0.40316205533596838"/>
    <n v="7.0584671311723718E-2"/>
  </r>
  <r>
    <n v="2025"/>
    <s v="18132322486    "/>
    <n v="-1.6094379124341003"/>
    <n v="0.2"/>
    <n v="8829"/>
    <s v="6"/>
    <s v="RES"/>
    <x v="0"/>
    <s v="11"/>
    <s v="259"/>
    <s v="SL"/>
    <s v="A+"/>
    <s v="AV"/>
    <x v="4"/>
    <n v="43"/>
    <n v="43"/>
    <n v="1981"/>
    <n v="1981"/>
    <n v="1224"/>
    <m/>
    <n v="576"/>
    <n v="0"/>
    <n v="576"/>
    <m/>
    <n v="1800"/>
    <n v="2000"/>
    <n v="10"/>
    <n v="462"/>
    <m/>
    <m/>
    <m/>
    <m/>
    <m/>
    <m/>
    <n v="333396"/>
    <n v="260049"/>
    <n v="0"/>
    <n v="329100"/>
    <n v="58400"/>
    <n v="270700"/>
    <n v="0"/>
    <n v="0"/>
    <n v="89850.625589999996"/>
    <n v="-50946.13867709865"/>
    <n v="29814.093161000001"/>
    <n v="160472.20319"/>
    <n v="-9590.9608215000007"/>
    <n v="60476.211929448"/>
    <n v="0"/>
    <n v="0"/>
    <n v="16751.171662271998"/>
    <n v="37920.221052000001"/>
    <n v="0"/>
    <n v="0"/>
    <n v="295800"/>
    <n v="38900"/>
    <n v="334700"/>
    <n v="1.7016104527499239E-2"/>
    <n v="0.99970000000000003"/>
    <n v="1.0088999999999999"/>
    <n v="0.99729999999999996"/>
    <n v="1.0093000000000001"/>
    <n v="0.96919999999999995"/>
    <n v="0.94971499999999998"/>
    <n v="0.93476171605152947"/>
    <n v="295800"/>
    <n v="0"/>
    <n v="295800"/>
    <n v="36900"/>
    <n v="332700"/>
    <n v="9.2722571111932023E-2"/>
    <n v="-0.36815068493150682"/>
    <n v="1.0938924339106655E-2"/>
  </r>
  <r>
    <n v="2025"/>
    <s v="18132322465    "/>
    <n v="-2.9957322735539909"/>
    <n v="0.05"/>
    <n v="2225"/>
    <s v="6"/>
    <s v="CON"/>
    <x v="0"/>
    <s v="11"/>
    <s v="262"/>
    <s v="CN"/>
    <s v="A+"/>
    <s v="AV"/>
    <x v="4"/>
    <n v="44"/>
    <n v="44"/>
    <n v="1980"/>
    <n v="1980"/>
    <n v="1697"/>
    <m/>
    <m/>
    <n v="0"/>
    <m/>
    <m/>
    <n v="1697"/>
    <n v="2000"/>
    <n v="8"/>
    <n v="528"/>
    <m/>
    <n v="96"/>
    <m/>
    <m/>
    <m/>
    <m/>
    <n v="327038"/>
    <n v="255090"/>
    <n v="0"/>
    <n v="232500"/>
    <n v="34900"/>
    <n v="197600"/>
    <n v="0"/>
    <n v="0"/>
    <n v="89850.625589999996"/>
    <n v="-94828.753982263879"/>
    <n v="29814.093161000001"/>
    <n v="160472.20319"/>
    <n v="-9814.0064220000004"/>
    <n v="83846.512781269004"/>
    <n v="0"/>
    <n v="0"/>
    <n v="0"/>
    <n v="30336.176841600001"/>
    <n v="3196.3694664960003"/>
    <n v="0"/>
    <n v="297900"/>
    <n v="-5000"/>
    <n v="292900"/>
    <n v="0.25978494623655912"/>
    <n v="0.99970000000000003"/>
    <n v="1.0088999999999999"/>
    <n v="0.99729999999999996"/>
    <n v="1.0093000000000001"/>
    <n v="0.96919999999999995"/>
    <n v="0.94971499999999998"/>
    <n v="0.93476171605152947"/>
    <n v="297900"/>
    <n v="0"/>
    <n v="297900"/>
    <n v="-4700"/>
    <n v="293200"/>
    <n v="0.50759109311740891"/>
    <n v="-1.1346704871060171"/>
    <n v="0.26107526881720428"/>
  </r>
  <r>
    <n v="2025"/>
    <s v="18132322482    "/>
    <n v="-3.5065578973199818"/>
    <n v="0.03"/>
    <n v="840"/>
    <s v="6"/>
    <s v="CON"/>
    <x v="0"/>
    <s v="11"/>
    <s v="262"/>
    <s v="CE"/>
    <s v="A+"/>
    <s v="AV"/>
    <x v="4"/>
    <n v="44"/>
    <n v="44"/>
    <n v="1980"/>
    <n v="1980"/>
    <n v="840"/>
    <n v="980"/>
    <m/>
    <n v="0"/>
    <m/>
    <m/>
    <n v="1820"/>
    <n v="2000"/>
    <n v="10"/>
    <m/>
    <n v="440"/>
    <m/>
    <m/>
    <m/>
    <m/>
    <m/>
    <n v="336638"/>
    <n v="262578"/>
    <n v="0"/>
    <n v="238600"/>
    <n v="35800"/>
    <n v="202800"/>
    <n v="0"/>
    <n v="0"/>
    <n v="89850.625589999996"/>
    <n v="-110998.74281323297"/>
    <n v="29814.093161000001"/>
    <n v="160472.20319"/>
    <n v="-9814.0064220000004"/>
    <n v="41503.282696679998"/>
    <n v="43890.694403779999"/>
    <n v="0"/>
    <n v="0"/>
    <n v="37920.221052000001"/>
    <n v="0"/>
    <n v="0"/>
    <n v="303800"/>
    <n v="-21100"/>
    <n v="282700"/>
    <n v="0.1848281642917016"/>
    <n v="0.99970000000000003"/>
    <n v="1.0088999999999999"/>
    <n v="0.99729999999999996"/>
    <n v="1.0093000000000001"/>
    <n v="0.96919999999999995"/>
    <n v="0.94971499999999998"/>
    <n v="0.93476171605152947"/>
    <n v="303800"/>
    <n v="0"/>
    <n v="303800"/>
    <n v="-20100"/>
    <n v="283700"/>
    <n v="0.49802761341222879"/>
    <n v="-1.5614525139664805"/>
    <n v="0.18901927912824812"/>
  </r>
  <r>
    <n v="2025"/>
    <s v="18132322464    "/>
    <n v="-2.9957322735539909"/>
    <n v="0.05"/>
    <n v="2225"/>
    <s v="6"/>
    <s v="CON"/>
    <x v="0"/>
    <s v="11"/>
    <s v="262"/>
    <s v="CN"/>
    <s v="A+"/>
    <s v="AV"/>
    <x v="4"/>
    <n v="44"/>
    <n v="44"/>
    <n v="1980"/>
    <n v="1980"/>
    <n v="1697"/>
    <m/>
    <m/>
    <n v="0"/>
    <m/>
    <m/>
    <n v="1697"/>
    <n v="2000"/>
    <n v="9"/>
    <n v="528"/>
    <m/>
    <m/>
    <m/>
    <m/>
    <m/>
    <m/>
    <n v="326073"/>
    <n v="254337"/>
    <n v="0"/>
    <n v="249600"/>
    <n v="37400"/>
    <n v="212200"/>
    <n v="0"/>
    <n v="0"/>
    <n v="89850.625589999996"/>
    <n v="-94828.753982263879"/>
    <n v="29814.093161000001"/>
    <n v="160472.20319"/>
    <n v="-9814.0064220000004"/>
    <n v="83846.512781269004"/>
    <n v="0"/>
    <n v="0"/>
    <n v="0"/>
    <n v="34128.198946800003"/>
    <n v="0"/>
    <n v="0"/>
    <n v="298400"/>
    <n v="-5000"/>
    <n v="293400"/>
    <n v="0.17548076923076922"/>
    <n v="0.99970000000000003"/>
    <n v="1.0088999999999999"/>
    <n v="0.99729999999999996"/>
    <n v="1.0093000000000001"/>
    <n v="0.96919999999999995"/>
    <n v="0.94971499999999998"/>
    <n v="0.93476171605152947"/>
    <n v="298400"/>
    <n v="0"/>
    <n v="298400"/>
    <n v="-4700"/>
    <n v="293700"/>
    <n v="0.4062205466540999"/>
    <n v="-1.125668449197861"/>
    <n v="0.17668269230769232"/>
  </r>
  <r>
    <n v="2025"/>
    <s v="18132322458    "/>
    <n v="-3.2188758248682006"/>
    <n v="0.04"/>
    <n v="1348"/>
    <s v="6"/>
    <s v="CON"/>
    <x v="0"/>
    <s v="11"/>
    <s v="262"/>
    <s v="CE"/>
    <s v="A"/>
    <s v="GD"/>
    <x v="4"/>
    <n v="44"/>
    <n v="44"/>
    <n v="1980"/>
    <n v="1980"/>
    <n v="1348"/>
    <m/>
    <m/>
    <n v="0"/>
    <m/>
    <m/>
    <n v="1348"/>
    <n v="1500"/>
    <n v="10"/>
    <m/>
    <m/>
    <n v="70"/>
    <m/>
    <m/>
    <m/>
    <m/>
    <n v="228046"/>
    <n v="180156"/>
    <n v="14562"/>
    <n v="274100"/>
    <n v="41100"/>
    <n v="233000"/>
    <n v="0"/>
    <n v="0"/>
    <n v="89850.625589999996"/>
    <n v="-101892.2773541973"/>
    <n v="21557.329055999999"/>
    <n v="197752.34721000001"/>
    <n v="-9814.0064220000004"/>
    <n v="66602.886994196"/>
    <n v="0"/>
    <n v="0"/>
    <n v="0"/>
    <n v="37920.221052000001"/>
    <n v="2330.6860693200001"/>
    <n v="14600"/>
    <n v="316300"/>
    <n v="-12000"/>
    <n v="318900"/>
    <n v="0.16344399854067859"/>
    <n v="0.99970000000000003"/>
    <n v="1.0067999999999999"/>
    <n v="0.99650000000000005"/>
    <n v="1.0157"/>
    <n v="0.96919999999999995"/>
    <n v="0.94971499999999998"/>
    <n v="0.93797802803192643"/>
    <n v="316300"/>
    <n v="13800"/>
    <n v="330100"/>
    <n v="-11400"/>
    <n v="318700"/>
    <n v="0.41673819742489271"/>
    <n v="-1.2773722627737227"/>
    <n v="0.1627143378329077"/>
  </r>
  <r>
    <n v="2025"/>
    <s v="18132322463    "/>
    <n v="-3.2188758248682006"/>
    <n v="0.04"/>
    <n v="1348"/>
    <s v="6"/>
    <s v="CON"/>
    <x v="0"/>
    <s v="11"/>
    <s v="262"/>
    <s v="CE"/>
    <s v="A"/>
    <s v="GD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17585"/>
    <n v="171892"/>
    <n v="14077"/>
    <n v="270600"/>
    <n v="40600"/>
    <n v="230000"/>
    <n v="0"/>
    <n v="0"/>
    <n v="89850.625589999996"/>
    <n v="-101892.2773541973"/>
    <n v="21557.329055999999"/>
    <n v="197752.34721000001"/>
    <n v="-9814.0064220000004"/>
    <n v="66602.886994196"/>
    <n v="0"/>
    <n v="0"/>
    <n v="0"/>
    <n v="30336.176841600001"/>
    <n v="0"/>
    <n v="14100"/>
    <n v="306400"/>
    <n v="-12000"/>
    <n v="308500"/>
    <n v="0.1400591278640059"/>
    <n v="0.99970000000000003"/>
    <n v="1.0067999999999999"/>
    <n v="0.99650000000000005"/>
    <n v="1.0157"/>
    <n v="0.96919999999999995"/>
    <n v="0.94971499999999998"/>
    <n v="0.93797802803192643"/>
    <n v="306400"/>
    <n v="13400"/>
    <n v="319800"/>
    <n v="-11400"/>
    <n v="308400"/>
    <n v="0.39043478260869563"/>
    <n v="-1.2807881773399015"/>
    <n v="0.13968957871396895"/>
  </r>
  <r>
    <n v="2025"/>
    <s v="18132322483    "/>
    <n v="-3.5065578973199818"/>
    <n v="0.03"/>
    <n v="840"/>
    <s v="6"/>
    <s v="CON"/>
    <x v="0"/>
    <s v="11"/>
    <s v="262"/>
    <s v="CE"/>
    <s v="A+"/>
    <s v="AV"/>
    <x v="4"/>
    <n v="44"/>
    <n v="44"/>
    <n v="1980"/>
    <n v="1980"/>
    <n v="840"/>
    <n v="980"/>
    <m/>
    <n v="0"/>
    <m/>
    <m/>
    <n v="1820"/>
    <n v="2000"/>
    <n v="12"/>
    <m/>
    <n v="440"/>
    <m/>
    <m/>
    <m/>
    <m/>
    <m/>
    <n v="340025"/>
    <n v="265220"/>
    <n v="0"/>
    <n v="259500"/>
    <n v="38900"/>
    <n v="220600"/>
    <n v="0"/>
    <n v="0"/>
    <n v="89850.625589999996"/>
    <n v="-110998.74281323297"/>
    <n v="29814.093161000001"/>
    <n v="160472.20319"/>
    <n v="-9814.0064220000004"/>
    <n v="41503.282696679998"/>
    <n v="43890.694403779999"/>
    <n v="0"/>
    <n v="0"/>
    <n v="45504.265262400004"/>
    <n v="0"/>
    <n v="0"/>
    <n v="311400"/>
    <n v="-21100"/>
    <n v="290300"/>
    <n v="0.1186897880539499"/>
    <n v="0.99970000000000003"/>
    <n v="1.0088999999999999"/>
    <n v="0.99729999999999996"/>
    <n v="1.0093000000000001"/>
    <n v="0.96919999999999995"/>
    <n v="0.94971499999999998"/>
    <n v="0.93476171605152947"/>
    <n v="311400"/>
    <n v="0"/>
    <n v="311400"/>
    <n v="-20100"/>
    <n v="291300"/>
    <n v="0.41160471441523117"/>
    <n v="-1.5167095115681235"/>
    <n v="0.12254335260115606"/>
  </r>
  <r>
    <n v="2025"/>
    <s v="18132322485    "/>
    <n v="-3.5065578973199818"/>
    <n v="0.03"/>
    <n v="840"/>
    <s v="6"/>
    <s v="CON"/>
    <x v="0"/>
    <s v="11"/>
    <s v="262"/>
    <s v="CE"/>
    <s v="A+"/>
    <s v="AV"/>
    <x v="4"/>
    <n v="44"/>
    <n v="44"/>
    <n v="1980"/>
    <n v="1980"/>
    <n v="840"/>
    <n v="980"/>
    <m/>
    <n v="0"/>
    <m/>
    <m/>
    <n v="1820"/>
    <n v="2000"/>
    <n v="10"/>
    <m/>
    <n v="440"/>
    <m/>
    <m/>
    <m/>
    <m/>
    <m/>
    <n v="331377"/>
    <n v="258474"/>
    <n v="0"/>
    <n v="253000"/>
    <n v="38000"/>
    <n v="215000"/>
    <n v="0"/>
    <n v="0"/>
    <n v="89850.625589999996"/>
    <n v="-110998.74281323297"/>
    <n v="29814.093161000001"/>
    <n v="160472.20319"/>
    <n v="-9814.0064220000004"/>
    <n v="41503.282696679998"/>
    <n v="43890.694403779999"/>
    <n v="0"/>
    <n v="0"/>
    <n v="37920.221052000001"/>
    <n v="0"/>
    <n v="0"/>
    <n v="303800"/>
    <n v="-21100"/>
    <n v="282700"/>
    <n v="0.11739130434782609"/>
    <n v="0.99970000000000003"/>
    <n v="1.0088999999999999"/>
    <n v="0.99729999999999996"/>
    <n v="1.0093000000000001"/>
    <n v="0.96919999999999995"/>
    <n v="0.94971499999999998"/>
    <n v="0.93476171605152947"/>
    <n v="303800"/>
    <n v="0"/>
    <n v="303800"/>
    <n v="-20100"/>
    <n v="283700"/>
    <n v="0.41302325581395349"/>
    <n v="-1.5289473684210526"/>
    <n v="0.12134387351778655"/>
  </r>
  <r>
    <n v="2025"/>
    <s v="18132322484    "/>
    <n v="-3.5065578973199818"/>
    <n v="0.03"/>
    <n v="840"/>
    <s v="6"/>
    <s v="CON"/>
    <x v="0"/>
    <s v="11"/>
    <s v="262"/>
    <s v="CE"/>
    <s v="A+"/>
    <s v="AV"/>
    <x v="4"/>
    <n v="44"/>
    <n v="44"/>
    <n v="1980"/>
    <n v="1980"/>
    <n v="840"/>
    <n v="980"/>
    <m/>
    <n v="0"/>
    <m/>
    <m/>
    <n v="1820"/>
    <n v="2000"/>
    <n v="10"/>
    <m/>
    <n v="440"/>
    <m/>
    <m/>
    <m/>
    <m/>
    <m/>
    <n v="332797"/>
    <n v="259582"/>
    <n v="0"/>
    <n v="254000"/>
    <n v="38100"/>
    <n v="215900"/>
    <n v="0"/>
    <n v="0"/>
    <n v="89850.625589999996"/>
    <n v="-110998.74281323297"/>
    <n v="29814.093161000001"/>
    <n v="160472.20319"/>
    <n v="-9814.0064220000004"/>
    <n v="41503.282696679998"/>
    <n v="43890.694403779999"/>
    <n v="0"/>
    <n v="0"/>
    <n v="37920.221052000001"/>
    <n v="0"/>
    <n v="0"/>
    <n v="303800"/>
    <n v="-21100"/>
    <n v="282700"/>
    <n v="0.11299212598425197"/>
    <n v="0.99970000000000003"/>
    <n v="1.0088999999999999"/>
    <n v="0.99729999999999996"/>
    <n v="1.0093000000000001"/>
    <n v="0.96919999999999995"/>
    <n v="0.94971499999999998"/>
    <n v="0.93476171605152947"/>
    <n v="303800"/>
    <n v="0"/>
    <n v="303800"/>
    <n v="-20100"/>
    <n v="283700"/>
    <n v="0.40713293191292266"/>
    <n v="-1.5275590551181102"/>
    <n v="0.11692913385826771"/>
  </r>
  <r>
    <n v="2025"/>
    <s v="18132322455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22128"/>
    <n v="173260"/>
    <n v="14562"/>
    <n v="249200"/>
    <n v="37400"/>
    <n v="2118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600"/>
    <n v="269200"/>
    <n v="-12000"/>
    <n v="271800"/>
    <n v="9.0690208667736763E-2"/>
    <n v="0.99970000000000003"/>
    <n v="1.0067999999999999"/>
    <n v="0.99729999999999996"/>
    <n v="1.0157"/>
    <n v="0.96919999999999995"/>
    <n v="0.94971499999999998"/>
    <n v="0.93873104601730073"/>
    <n v="269200"/>
    <n v="13800"/>
    <n v="283000"/>
    <n v="-11400"/>
    <n v="271600"/>
    <n v="0.33616619452313501"/>
    <n v="-1.304812834224599"/>
    <n v="8.98876404494382E-2"/>
  </r>
  <r>
    <n v="2025"/>
    <s v="18132322477    "/>
    <n v="-2.9957322735539909"/>
    <n v="0.05"/>
    <n v="1474"/>
    <s v="6"/>
    <s v="CON"/>
    <x v="0"/>
    <s v="11"/>
    <s v="262"/>
    <s v="CE"/>
    <s v="A"/>
    <s v="AV"/>
    <x v="4"/>
    <n v="44"/>
    <n v="44"/>
    <n v="1980"/>
    <n v="1980"/>
    <n v="1454"/>
    <m/>
    <m/>
    <n v="0"/>
    <m/>
    <m/>
    <n v="1454"/>
    <n v="1500"/>
    <n v="8"/>
    <m/>
    <m/>
    <m/>
    <m/>
    <m/>
    <m/>
    <m/>
    <n v="232454"/>
    <n v="181314"/>
    <n v="15989"/>
    <n v="261500"/>
    <n v="39200"/>
    <n v="222300"/>
    <n v="0"/>
    <n v="0"/>
    <n v="89850.625589999996"/>
    <n v="-94828.753982263879"/>
    <n v="21557.329055999999"/>
    <n v="160472.20319"/>
    <n v="-9814.0064220000004"/>
    <n v="71840.206001158003"/>
    <n v="0"/>
    <n v="0"/>
    <n v="0"/>
    <n v="30336.176841600001"/>
    <n v="0"/>
    <n v="16000"/>
    <n v="274400"/>
    <n v="-5000"/>
    <n v="285400"/>
    <n v="9.1395793499043976E-2"/>
    <n v="0.99970000000000003"/>
    <n v="1.0067999999999999"/>
    <n v="0.99729999999999996"/>
    <n v="1.0157"/>
    <n v="0.96919999999999995"/>
    <n v="0.94971499999999998"/>
    <n v="0.93873104601730073"/>
    <n v="274400"/>
    <n v="15200"/>
    <n v="289600"/>
    <n v="-4700"/>
    <n v="284900"/>
    <n v="0.30274403958614488"/>
    <n v="-1.1198979591836735"/>
    <n v="8.948374760994264E-2"/>
  </r>
  <r>
    <n v="2025"/>
    <s v="18132212474    "/>
    <n v="-1.8325814637483102"/>
    <n v="0.16"/>
    <n v="7035"/>
    <s v="6"/>
    <s v="RES"/>
    <x v="0"/>
    <s v="11"/>
    <s v="325"/>
    <s v="PE"/>
    <s v="G"/>
    <s v="AV"/>
    <x v="4"/>
    <n v="44"/>
    <n v="44"/>
    <n v="1980"/>
    <n v="1980"/>
    <n v="2092"/>
    <m/>
    <m/>
    <n v="0"/>
    <m/>
    <m/>
    <n v="2092"/>
    <n v="2500"/>
    <n v="8"/>
    <n v="504"/>
    <m/>
    <m/>
    <m/>
    <m/>
    <m/>
    <m/>
    <n v="486333"/>
    <n v="379340"/>
    <n v="0"/>
    <n v="333100"/>
    <n v="46600"/>
    <n v="286500"/>
    <n v="0"/>
    <n v="0"/>
    <n v="89850.625589999996"/>
    <n v="-58009.662049032086"/>
    <n v="44121.038090000002"/>
    <n v="160472.20319"/>
    <n v="-9814.0064220000004"/>
    <n v="103362.937382684"/>
    <n v="0"/>
    <n v="0"/>
    <n v="0"/>
    <n v="30336.176841600001"/>
    <n v="0"/>
    <n v="0"/>
    <n v="328500"/>
    <n v="31800"/>
    <n v="360300"/>
    <n v="8.1657160012008401E-2"/>
    <n v="0.99970000000000003"/>
    <n v="0.98050000000000004"/>
    <n v="0.99729999999999996"/>
    <n v="0.98919999999999997"/>
    <n v="0.96919999999999995"/>
    <n v="0.94971499999999998"/>
    <n v="0.8903571027452114"/>
    <n v="328500"/>
    <n v="0"/>
    <n v="328500"/>
    <n v="30200"/>
    <n v="358700"/>
    <n v="0.14659685863874344"/>
    <n v="-0.35193133047210301"/>
    <n v="7.6853797658360853E-2"/>
  </r>
  <r>
    <n v="2025"/>
    <s v="18132212475    "/>
    <n v="-1.8325814637483102"/>
    <n v="0.16"/>
    <n v="7086"/>
    <s v="6"/>
    <s v="RES"/>
    <x v="0"/>
    <s v="11"/>
    <s v="325"/>
    <s v="PE"/>
    <s v="G"/>
    <s v="AV"/>
    <x v="4"/>
    <n v="44"/>
    <n v="44"/>
    <n v="1980"/>
    <n v="1980"/>
    <n v="2204"/>
    <m/>
    <m/>
    <n v="0"/>
    <m/>
    <m/>
    <n v="2204"/>
    <n v="2500"/>
    <n v="8"/>
    <n v="508"/>
    <m/>
    <m/>
    <m/>
    <m/>
    <m/>
    <m/>
    <n v="503369"/>
    <n v="392628"/>
    <n v="0"/>
    <n v="343300"/>
    <n v="46700"/>
    <n v="296600"/>
    <n v="0"/>
    <n v="0"/>
    <n v="89850.625589999996"/>
    <n v="-58009.662049032086"/>
    <n v="44121.038090000002"/>
    <n v="160472.20319"/>
    <n v="-9814.0064220000004"/>
    <n v="108896.708408908"/>
    <n v="0"/>
    <n v="0"/>
    <n v="0"/>
    <n v="30336.176841600001"/>
    <n v="0"/>
    <n v="0"/>
    <n v="334000"/>
    <n v="31800"/>
    <n v="365800"/>
    <n v="6.5540343722691519E-2"/>
    <n v="0.99970000000000003"/>
    <n v="0.98050000000000004"/>
    <n v="0.99729999999999996"/>
    <n v="0.98919999999999997"/>
    <n v="0.96919999999999995"/>
    <n v="0.94971499999999998"/>
    <n v="0.8903571027452114"/>
    <n v="334000"/>
    <n v="0"/>
    <n v="334000"/>
    <n v="30200"/>
    <n v="364200"/>
    <n v="0.12609575185434929"/>
    <n v="-0.35331905781584583"/>
    <n v="6.0879697057966795E-2"/>
  </r>
  <r>
    <n v="2025"/>
    <s v="18132322467    "/>
    <n v="-2.9957322735539909"/>
    <n v="0.05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22582"/>
    <n v="173614"/>
    <n v="14077"/>
    <n v="267400"/>
    <n v="40100"/>
    <n v="227300"/>
    <n v="0"/>
    <n v="0"/>
    <n v="89850.625589999996"/>
    <n v="-94828.753982263879"/>
    <n v="21557.329055999999"/>
    <n v="160472.20319"/>
    <n v="-9814.0064220000004"/>
    <n v="66602.886994196"/>
    <n v="0"/>
    <n v="0"/>
    <n v="0"/>
    <n v="30336.176841600001"/>
    <n v="0"/>
    <n v="14100"/>
    <n v="269200"/>
    <n v="-5000"/>
    <n v="278300"/>
    <n v="4.0762902019446524E-2"/>
    <n v="0.99970000000000003"/>
    <n v="1.0067999999999999"/>
    <n v="0.99729999999999996"/>
    <n v="1.0157"/>
    <n v="0.96919999999999995"/>
    <n v="0.94971499999999998"/>
    <n v="0.93873104601730073"/>
    <n v="269200"/>
    <n v="13400"/>
    <n v="282600"/>
    <n v="-4700"/>
    <n v="277900"/>
    <n v="0.2432908051033876"/>
    <n v="-1.1172069825436408"/>
    <n v="3.9267015706806283E-2"/>
  </r>
  <r>
    <n v="2025"/>
    <s v="18132322462    "/>
    <n v="-2.9957322735539909"/>
    <n v="0.05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n v="170"/>
    <m/>
    <m/>
    <m/>
    <m/>
    <n v="227851"/>
    <n v="177724"/>
    <n v="14562"/>
    <n v="273900"/>
    <n v="41100"/>
    <n v="232800"/>
    <n v="0"/>
    <n v="0"/>
    <n v="89850.625589999996"/>
    <n v="-94828.753982263879"/>
    <n v="21557.329055999999"/>
    <n v="160472.20319"/>
    <n v="-9814.0064220000004"/>
    <n v="66602.886994196"/>
    <n v="0"/>
    <n v="0"/>
    <n v="0"/>
    <n v="30336.176841600001"/>
    <n v="5660.2375969200002"/>
    <n v="14600"/>
    <n v="274800"/>
    <n v="-5000"/>
    <n v="284400"/>
    <n v="3.8335158817086525E-2"/>
    <n v="0.99970000000000003"/>
    <n v="1.0067999999999999"/>
    <n v="0.99729999999999996"/>
    <n v="1.0157"/>
    <n v="0.96919999999999995"/>
    <n v="0.94971499999999998"/>
    <n v="0.93873104601730073"/>
    <n v="274800"/>
    <n v="13800"/>
    <n v="288600"/>
    <n v="-4700"/>
    <n v="283900"/>
    <n v="0.23969072164948454"/>
    <n v="-1.1143552311435523"/>
    <n v="3.6509675063891932E-2"/>
  </r>
  <r>
    <n v="2025"/>
    <s v="18132322469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17585"/>
    <n v="169716"/>
    <n v="14077"/>
    <n v="261700"/>
    <n v="39300"/>
    <n v="2224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100"/>
    <n v="269200"/>
    <n v="-12000"/>
    <n v="271300"/>
    <n v="3.668322506687046E-2"/>
    <n v="0.99970000000000003"/>
    <n v="1.0067999999999999"/>
    <n v="0.99729999999999996"/>
    <n v="1.0157"/>
    <n v="0.96919999999999995"/>
    <n v="0.94971499999999998"/>
    <n v="0.93873104601730073"/>
    <n v="269200"/>
    <n v="13400"/>
    <n v="282600"/>
    <n v="-11400"/>
    <n v="271200"/>
    <n v="0.27068345323741005"/>
    <n v="-1.2900763358778626"/>
    <n v="3.6301108139090564E-2"/>
  </r>
  <r>
    <n v="2025"/>
    <s v="18132322473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9"/>
    <m/>
    <m/>
    <m/>
    <m/>
    <m/>
    <m/>
    <m/>
    <n v="220795"/>
    <n v="172220"/>
    <n v="14077"/>
    <n v="265800"/>
    <n v="39900"/>
    <n v="225900"/>
    <n v="0"/>
    <n v="0"/>
    <n v="89850.625589999996"/>
    <n v="-101892.2773541973"/>
    <n v="21557.329055999999"/>
    <n v="160472.20319"/>
    <n v="-9814.0064220000004"/>
    <n v="66602.886994196"/>
    <n v="0"/>
    <n v="0"/>
    <n v="0"/>
    <n v="34128.198946800003"/>
    <n v="0"/>
    <n v="14100"/>
    <n v="272900"/>
    <n v="-12000"/>
    <n v="275000"/>
    <n v="3.4612490594431902E-2"/>
    <n v="0.99970000000000003"/>
    <n v="1.0067999999999999"/>
    <n v="0.99729999999999996"/>
    <n v="1.0157"/>
    <n v="0.96919999999999995"/>
    <n v="0.94971499999999998"/>
    <n v="0.93873104601730073"/>
    <n v="272900"/>
    <n v="13400"/>
    <n v="286300"/>
    <n v="-11400"/>
    <n v="274900"/>
    <n v="0.26737494466578132"/>
    <n v="-1.2857142857142858"/>
    <n v="3.423626787057938E-2"/>
  </r>
  <r>
    <n v="2025"/>
    <s v="18132322475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18657"/>
    <n v="170552"/>
    <n v="14077"/>
    <n v="263400"/>
    <n v="39500"/>
    <n v="2239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100"/>
    <n v="269200"/>
    <n v="-12000"/>
    <n v="271300"/>
    <n v="2.9992406985573272E-2"/>
    <n v="0.99970000000000003"/>
    <n v="1.0067999999999999"/>
    <n v="0.99729999999999996"/>
    <n v="1.0157"/>
    <n v="0.96919999999999995"/>
    <n v="0.94971499999999998"/>
    <n v="0.93873104601730073"/>
    <n v="269200"/>
    <n v="13400"/>
    <n v="282600"/>
    <n v="-11400"/>
    <n v="271200"/>
    <n v="0.26217061188030372"/>
    <n v="-1.2886075949367088"/>
    <n v="2.9612756264236904E-2"/>
  </r>
  <r>
    <n v="2025"/>
    <s v="18132322474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9"/>
    <m/>
    <m/>
    <m/>
    <m/>
    <m/>
    <m/>
    <m/>
    <n v="224768"/>
    <n v="175319"/>
    <n v="14077"/>
    <n v="267700"/>
    <n v="40200"/>
    <n v="227500"/>
    <n v="0"/>
    <n v="0"/>
    <n v="89850.625589999996"/>
    <n v="-101892.2773541973"/>
    <n v="21557.329055999999"/>
    <n v="160472.20319"/>
    <n v="-9814.0064220000004"/>
    <n v="66602.886994196"/>
    <n v="0"/>
    <n v="0"/>
    <n v="0"/>
    <n v="34128.198946800003"/>
    <n v="0"/>
    <n v="14100"/>
    <n v="272900"/>
    <n v="-12000"/>
    <n v="275000"/>
    <n v="2.7269331341053419E-2"/>
    <n v="0.99970000000000003"/>
    <n v="1.0067999999999999"/>
    <n v="0.99729999999999996"/>
    <n v="1.0157"/>
    <n v="0.96919999999999995"/>
    <n v="0.94971499999999998"/>
    <n v="0.93873104601730073"/>
    <n v="272900"/>
    <n v="13400"/>
    <n v="286300"/>
    <n v="-11400"/>
    <n v="274900"/>
    <n v="0.25846153846153846"/>
    <n v="-1.2835820895522387"/>
    <n v="2.6895778856929398E-2"/>
  </r>
  <r>
    <n v="2025"/>
    <s v="18132322454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20071"/>
    <n v="171655"/>
    <n v="14077"/>
    <n v="265000"/>
    <n v="39800"/>
    <n v="2252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100"/>
    <n v="269200"/>
    <n v="-12000"/>
    <n v="271300"/>
    <n v="2.3773584905660377E-2"/>
    <n v="0.99970000000000003"/>
    <n v="1.0067999999999999"/>
    <n v="0.99729999999999996"/>
    <n v="1.0157"/>
    <n v="0.96919999999999995"/>
    <n v="0.94971499999999998"/>
    <n v="0.93873104601730073"/>
    <n v="269200"/>
    <n v="13400"/>
    <n v="282600"/>
    <n v="-11400"/>
    <n v="271200"/>
    <n v="0.25488454706927177"/>
    <n v="-1.2864321608040201"/>
    <n v="2.339622641509434E-2"/>
  </r>
  <r>
    <n v="2025"/>
    <s v="18132322459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20322"/>
    <n v="171851"/>
    <n v="14077"/>
    <n v="265300"/>
    <n v="39800"/>
    <n v="2255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100"/>
    <n v="269200"/>
    <n v="-12000"/>
    <n v="271300"/>
    <n v="2.2615906520919715E-2"/>
    <n v="0.99970000000000003"/>
    <n v="1.0067999999999999"/>
    <n v="0.99729999999999996"/>
    <n v="1.0157"/>
    <n v="0.96919999999999995"/>
    <n v="0.94971499999999998"/>
    <n v="0.93873104601730073"/>
    <n v="269200"/>
    <n v="13400"/>
    <n v="282600"/>
    <n v="-11400"/>
    <n v="271200"/>
    <n v="0.25321507760532153"/>
    <n v="-1.2864321608040201"/>
    <n v="2.2238974745571051E-2"/>
  </r>
  <r>
    <n v="2025"/>
    <s v="18132332594    "/>
    <n v="-1.6607312068216509"/>
    <n v="0.19"/>
    <n v="8269"/>
    <s v="6"/>
    <s v="RES"/>
    <x v="0"/>
    <s v="11"/>
    <s v="259"/>
    <s v="SE"/>
    <s v="G"/>
    <s v="AV"/>
    <x v="4"/>
    <n v="44"/>
    <n v="44"/>
    <n v="1980"/>
    <n v="1980"/>
    <n v="1572"/>
    <m/>
    <n v="860"/>
    <n v="0"/>
    <n v="860"/>
    <m/>
    <n v="2432"/>
    <n v="2500"/>
    <n v="8"/>
    <m/>
    <n v="624"/>
    <n v="216"/>
    <m/>
    <m/>
    <m/>
    <m/>
    <n v="480862"/>
    <n v="375072"/>
    <n v="0"/>
    <n v="362600"/>
    <n v="56600"/>
    <n v="306000"/>
    <n v="0"/>
    <n v="0"/>
    <n v="89850.625589999996"/>
    <n v="-52569.808201026557"/>
    <n v="44121.038090000002"/>
    <n v="160472.20319"/>
    <n v="-9814.0064220000004"/>
    <n v="77670.429046644"/>
    <n v="0"/>
    <n v="0"/>
    <n v="25010.429912419997"/>
    <n v="30336.176841600001"/>
    <n v="7191.8312996160003"/>
    <n v="0"/>
    <n v="335000"/>
    <n v="37300"/>
    <n v="372300"/>
    <n v="2.6751241036955323E-2"/>
    <n v="0.99970000000000003"/>
    <n v="0.98050000000000004"/>
    <n v="0.99729999999999996"/>
    <n v="0.98919999999999997"/>
    <n v="0.96919999999999995"/>
    <n v="0.94971499999999998"/>
    <n v="0.8903571027452114"/>
    <n v="335000"/>
    <n v="0"/>
    <n v="335000"/>
    <n v="35400"/>
    <n v="370400"/>
    <n v="9.4771241830065356E-2"/>
    <n v="-0.37455830388692579"/>
    <n v="2.1511307225592941E-2"/>
  </r>
  <r>
    <n v="2025"/>
    <s v="18132322470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20941"/>
    <n v="172334"/>
    <n v="14077"/>
    <n v="265600"/>
    <n v="39800"/>
    <n v="2258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100"/>
    <n v="269200"/>
    <n v="-12000"/>
    <n v="271300"/>
    <n v="2.1460843373493976E-2"/>
    <n v="0.99970000000000003"/>
    <n v="1.0067999999999999"/>
    <n v="0.99729999999999996"/>
    <n v="1.0157"/>
    <n v="0.96919999999999995"/>
    <n v="0.94971499999999998"/>
    <n v="0.93873104601730073"/>
    <n v="269200"/>
    <n v="13400"/>
    <n v="282600"/>
    <n v="-11400"/>
    <n v="271200"/>
    <n v="0.25155004428697963"/>
    <n v="-1.2864321608040201"/>
    <n v="2.1084337349397589E-2"/>
  </r>
  <r>
    <n v="2025"/>
    <s v="18132322466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22128"/>
    <n v="173260"/>
    <n v="14077"/>
    <n v="266900"/>
    <n v="40000"/>
    <n v="2269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100"/>
    <n v="269200"/>
    <n v="-12000"/>
    <n v="271300"/>
    <n v="1.6485575121768452E-2"/>
    <n v="0.99970000000000003"/>
    <n v="1.0067999999999999"/>
    <n v="0.99729999999999996"/>
    <n v="1.0157"/>
    <n v="0.96919999999999995"/>
    <n v="0.94971499999999998"/>
    <n v="0.93873104601730073"/>
    <n v="269200"/>
    <n v="13400"/>
    <n v="282600"/>
    <n v="-11400"/>
    <n v="271200"/>
    <n v="0.24548259144997797"/>
    <n v="-1.2849999999999999"/>
    <n v="1.6110902959910078E-2"/>
  </r>
  <r>
    <n v="2025"/>
    <s v="18132322461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21867"/>
    <n v="173056"/>
    <n v="14077"/>
    <n v="267000"/>
    <n v="40100"/>
    <n v="2269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100"/>
    <n v="269200"/>
    <n v="-12000"/>
    <n v="271300"/>
    <n v="1.6104868913857678E-2"/>
    <n v="0.99970000000000003"/>
    <n v="1.0067999999999999"/>
    <n v="0.99729999999999996"/>
    <n v="1.0157"/>
    <n v="0.96919999999999995"/>
    <n v="0.94971499999999998"/>
    <n v="0.93873104601730073"/>
    <n v="269200"/>
    <n v="13400"/>
    <n v="282600"/>
    <n v="-11400"/>
    <n v="271200"/>
    <n v="0.24548259144997797"/>
    <n v="-1.2842892768079801"/>
    <n v="1.5730337078651686E-2"/>
  </r>
  <r>
    <n v="2025"/>
    <s v="18132322471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22357"/>
    <n v="173438"/>
    <n v="14077"/>
    <n v="267200"/>
    <n v="40100"/>
    <n v="2271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100"/>
    <n v="269200"/>
    <n v="-12000"/>
    <n v="271300"/>
    <n v="1.5344311377245509E-2"/>
    <n v="0.99970000000000003"/>
    <n v="1.0067999999999999"/>
    <n v="0.99729999999999996"/>
    <n v="1.0157"/>
    <n v="0.96919999999999995"/>
    <n v="0.94971499999999998"/>
    <n v="0.93873104601730073"/>
    <n v="269200"/>
    <n v="13400"/>
    <n v="282600"/>
    <n v="-11400"/>
    <n v="271200"/>
    <n v="0.24438573315719947"/>
    <n v="-1.2842892768079801"/>
    <n v="1.4970059880239521E-2"/>
  </r>
  <r>
    <n v="2025"/>
    <s v="18132322460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22128"/>
    <n v="173260"/>
    <n v="14077"/>
    <n v="267300"/>
    <n v="40100"/>
    <n v="2272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100"/>
    <n v="269200"/>
    <n v="-12000"/>
    <n v="271300"/>
    <n v="1.4964459408903853E-2"/>
    <n v="0.99970000000000003"/>
    <n v="1.0067999999999999"/>
    <n v="0.99729999999999996"/>
    <n v="1.0157"/>
    <n v="0.96919999999999995"/>
    <n v="0.94971499999999998"/>
    <n v="0.93873104601730073"/>
    <n v="269200"/>
    <n v="13400"/>
    <n v="282600"/>
    <n v="-11400"/>
    <n v="271200"/>
    <n v="0.24383802816901409"/>
    <n v="-1.2842892768079801"/>
    <n v="1.4590347923681257E-2"/>
  </r>
  <r>
    <n v="2025"/>
    <s v="18132322472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22470"/>
    <n v="173527"/>
    <n v="14562"/>
    <n v="267700"/>
    <n v="40200"/>
    <n v="2275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600"/>
    <n v="269200"/>
    <n v="-12000"/>
    <n v="271800"/>
    <n v="1.5315651849084797E-2"/>
    <n v="0.99970000000000003"/>
    <n v="1.0067999999999999"/>
    <n v="0.99729999999999996"/>
    <n v="1.0157"/>
    <n v="0.96919999999999995"/>
    <n v="0.94971499999999998"/>
    <n v="0.93873104601730073"/>
    <n v="269200"/>
    <n v="13800"/>
    <n v="283000"/>
    <n v="-11400"/>
    <n v="271600"/>
    <n v="0.24395604395604395"/>
    <n v="-1.2835820895522387"/>
    <n v="1.4568546880836758E-2"/>
  </r>
  <r>
    <n v="2025"/>
    <s v="18132322476    "/>
    <n v="-2.9957322735539909"/>
    <n v="0.05"/>
    <n v="1474"/>
    <s v="6"/>
    <s v="CON"/>
    <x v="0"/>
    <s v="11"/>
    <s v="262"/>
    <s v="CE"/>
    <s v="A"/>
    <s v="AV"/>
    <x v="4"/>
    <n v="44"/>
    <n v="44"/>
    <n v="1980"/>
    <n v="1980"/>
    <n v="1474"/>
    <m/>
    <m/>
    <n v="0"/>
    <m/>
    <m/>
    <n v="1474"/>
    <n v="1500"/>
    <n v="8"/>
    <m/>
    <m/>
    <m/>
    <m/>
    <m/>
    <m/>
    <m/>
    <n v="235950"/>
    <n v="184041"/>
    <n v="15989"/>
    <n v="284500"/>
    <n v="42700"/>
    <n v="241800"/>
    <n v="0"/>
    <n v="0"/>
    <n v="89850.625589999996"/>
    <n v="-94828.753982263879"/>
    <n v="21557.329055999999"/>
    <n v="160472.20319"/>
    <n v="-9814.0064220000004"/>
    <n v="72828.379398698002"/>
    <n v="0"/>
    <n v="0"/>
    <n v="0"/>
    <n v="30336.176841600001"/>
    <n v="0"/>
    <n v="16000"/>
    <n v="275400"/>
    <n v="-5000"/>
    <n v="286400"/>
    <n v="6.678383128295255E-3"/>
    <n v="0.99970000000000003"/>
    <n v="1.0067999999999999"/>
    <n v="0.99729999999999996"/>
    <n v="1.0157"/>
    <n v="0.96919999999999995"/>
    <n v="0.94971499999999998"/>
    <n v="0.93873104601730073"/>
    <n v="275400"/>
    <n v="15200"/>
    <n v="290600"/>
    <n v="-4700"/>
    <n v="285900"/>
    <n v="0.20181968569065342"/>
    <n v="-1.1100702576112411"/>
    <n v="4.9209138840070298E-3"/>
  </r>
  <r>
    <n v="2025"/>
    <s v="18132322468    "/>
    <n v="-3.2188758248682006"/>
    <n v="0.04"/>
    <n v="134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m/>
    <m/>
    <m/>
    <m/>
    <m/>
    <m/>
    <m/>
    <n v="225935"/>
    <n v="176229"/>
    <n v="14077"/>
    <n v="271300"/>
    <n v="40700"/>
    <n v="2306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14100"/>
    <n v="269200"/>
    <n v="-12000"/>
    <n v="271300"/>
    <n v="0"/>
    <n v="0.99970000000000003"/>
    <n v="1.0067999999999999"/>
    <n v="0.99729999999999996"/>
    <n v="1.0157"/>
    <n v="0.96919999999999995"/>
    <n v="0.94971499999999998"/>
    <n v="0.93873104601730073"/>
    <n v="269200"/>
    <n v="13400"/>
    <n v="282600"/>
    <n v="-11400"/>
    <n v="271200"/>
    <n v="0.22549869904596703"/>
    <n v="-1.2800982800982801"/>
    <n v="-3.6859565057132326E-4"/>
  </r>
  <r>
    <n v="2025"/>
    <s v="18132322457    "/>
    <n v="-3.2188758248682006"/>
    <n v="0.04"/>
    <n v="178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n v="440"/>
    <m/>
    <m/>
    <m/>
    <m/>
    <m/>
    <m/>
    <n v="240372"/>
    <n v="187490"/>
    <n v="0"/>
    <n v="275000"/>
    <n v="41300"/>
    <n v="2337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0"/>
    <n v="269200"/>
    <n v="-12000"/>
    <n v="257200"/>
    <n v="-6.4727272727272731E-2"/>
    <n v="0.99970000000000003"/>
    <n v="1.0067999999999999"/>
    <n v="0.99729999999999996"/>
    <n v="1.0157"/>
    <n v="0.96919999999999995"/>
    <n v="0.94971499999999998"/>
    <n v="0.93873104601730073"/>
    <n v="269200"/>
    <n v="0"/>
    <n v="269200"/>
    <n v="-11400"/>
    <n v="257800"/>
    <n v="0.15190415062045357"/>
    <n v="-1.2760290556900726"/>
    <n v="-6.2545454545454543E-2"/>
  </r>
  <r>
    <n v="2025"/>
    <s v="18132322456    "/>
    <n v="-3.2188758248682006"/>
    <n v="0.04"/>
    <n v="1788"/>
    <s v="6"/>
    <s v="CON"/>
    <x v="0"/>
    <s v="11"/>
    <s v="262"/>
    <s v="CE"/>
    <s v="A"/>
    <s v="AV"/>
    <x v="4"/>
    <n v="44"/>
    <n v="44"/>
    <n v="1980"/>
    <n v="1980"/>
    <n v="1348"/>
    <m/>
    <m/>
    <n v="0"/>
    <m/>
    <m/>
    <n v="1348"/>
    <n v="1500"/>
    <n v="8"/>
    <n v="440"/>
    <m/>
    <m/>
    <m/>
    <m/>
    <m/>
    <m/>
    <n v="243991"/>
    <n v="190313"/>
    <n v="0"/>
    <n v="279100"/>
    <n v="41900"/>
    <n v="237200"/>
    <n v="0"/>
    <n v="0"/>
    <n v="89850.625589999996"/>
    <n v="-101892.2773541973"/>
    <n v="21557.329055999999"/>
    <n v="160472.20319"/>
    <n v="-9814.0064220000004"/>
    <n v="66602.886994196"/>
    <n v="0"/>
    <n v="0"/>
    <n v="0"/>
    <n v="30336.176841600001"/>
    <n v="0"/>
    <n v="0"/>
    <n v="269200"/>
    <n v="-12000"/>
    <n v="257200"/>
    <n v="-7.8466499462558223E-2"/>
    <n v="0.99970000000000003"/>
    <n v="1.0067999999999999"/>
    <n v="0.99729999999999996"/>
    <n v="1.0157"/>
    <n v="0.96919999999999995"/>
    <n v="0.94971499999999998"/>
    <n v="0.93873104601730073"/>
    <n v="269200"/>
    <n v="0"/>
    <n v="269200"/>
    <n v="-11400"/>
    <n v="257800"/>
    <n v="0.13490725126475547"/>
    <n v="-1.2720763723150359"/>
    <n v="-7.6316732353994984E-2"/>
  </r>
  <r>
    <n v="2025"/>
    <s v="18132322480    "/>
    <n v="-3.2188758248682006"/>
    <n v="0.04"/>
    <n v="1884"/>
    <s v="6"/>
    <s v="CON"/>
    <x v="0"/>
    <s v="11"/>
    <s v="262"/>
    <s v="CE"/>
    <s v="A"/>
    <s v="AV"/>
    <x v="4"/>
    <n v="44"/>
    <n v="44"/>
    <n v="1980"/>
    <n v="1980"/>
    <n v="1444"/>
    <m/>
    <m/>
    <n v="0"/>
    <m/>
    <m/>
    <n v="1444"/>
    <n v="1500"/>
    <n v="8"/>
    <n v="440"/>
    <m/>
    <m/>
    <m/>
    <m/>
    <m/>
    <m/>
    <n v="252769"/>
    <n v="197160"/>
    <n v="0"/>
    <n v="289100"/>
    <n v="43400"/>
    <n v="245700"/>
    <n v="0"/>
    <n v="0"/>
    <n v="89850.625589999996"/>
    <n v="-101892.2773541973"/>
    <n v="21557.329055999999"/>
    <n v="160472.20319"/>
    <n v="-9814.0064220000004"/>
    <n v="71346.119302388004"/>
    <n v="0"/>
    <n v="0"/>
    <n v="0"/>
    <n v="30336.176841600001"/>
    <n v="0"/>
    <n v="0"/>
    <n v="273900"/>
    <n v="-12000"/>
    <n v="261900"/>
    <n v="-9.4085091663784162E-2"/>
    <n v="0.99970000000000003"/>
    <n v="1.0067999999999999"/>
    <n v="0.99729999999999996"/>
    <n v="1.0157"/>
    <n v="0.96919999999999995"/>
    <n v="0.94971499999999998"/>
    <n v="0.93873104601730073"/>
    <n v="273900"/>
    <n v="0"/>
    <n v="273900"/>
    <n v="-11400"/>
    <n v="262500"/>
    <n v="0.11477411477411477"/>
    <n v="-1.2626728110599079"/>
    <n v="-9.2009685230024216E-2"/>
  </r>
  <r>
    <n v="2025"/>
    <s v="18132322479    "/>
    <n v="-2.9957322735539909"/>
    <n v="0.05"/>
    <n v="2002"/>
    <s v="6"/>
    <s v="CON"/>
    <x v="0"/>
    <s v="11"/>
    <s v="262"/>
    <s v="CE"/>
    <s v="A"/>
    <s v="AV"/>
    <x v="4"/>
    <n v="44"/>
    <n v="44"/>
    <n v="1980"/>
    <n v="1980"/>
    <n v="1474"/>
    <m/>
    <m/>
    <n v="0"/>
    <m/>
    <m/>
    <n v="1474"/>
    <n v="1500"/>
    <n v="8"/>
    <n v="528"/>
    <m/>
    <m/>
    <m/>
    <m/>
    <m/>
    <m/>
    <n v="262004"/>
    <n v="204363"/>
    <n v="0"/>
    <n v="299700"/>
    <n v="45000"/>
    <n v="254700"/>
    <n v="0"/>
    <n v="0"/>
    <n v="89850.625589999996"/>
    <n v="-94828.753982263879"/>
    <n v="21557.329055999999"/>
    <n v="160472.20319"/>
    <n v="-9814.0064220000004"/>
    <n v="72828.379398698002"/>
    <n v="0"/>
    <n v="0"/>
    <n v="0"/>
    <n v="30336.176841600001"/>
    <n v="0"/>
    <n v="0"/>
    <n v="275400"/>
    <n v="-5000"/>
    <n v="270400"/>
    <n v="-9.7764431097764434E-2"/>
    <n v="0.99970000000000003"/>
    <n v="1.0067999999999999"/>
    <n v="0.99729999999999996"/>
    <n v="1.0157"/>
    <n v="0.96919999999999995"/>
    <n v="0.94971499999999998"/>
    <n v="0.93873104601730073"/>
    <n v="275400"/>
    <n v="0"/>
    <n v="275400"/>
    <n v="-4700"/>
    <n v="270700"/>
    <n v="8.1272084805653705E-2"/>
    <n v="-1.1044444444444443"/>
    <n v="-9.6763430096763428E-2"/>
  </r>
  <r>
    <n v="2025"/>
    <s v="18132322453    "/>
    <n v="-3.2188758248682006"/>
    <n v="0.04"/>
    <n v="2002"/>
    <s v="6"/>
    <s v="CON"/>
    <x v="0"/>
    <s v="11"/>
    <s v="262"/>
    <s v="CE"/>
    <s v="A"/>
    <s v="AV"/>
    <x v="4"/>
    <n v="44"/>
    <n v="44"/>
    <n v="1980"/>
    <n v="1980"/>
    <n v="1474"/>
    <m/>
    <m/>
    <n v="0"/>
    <m/>
    <m/>
    <n v="1474"/>
    <n v="1500"/>
    <n v="8"/>
    <n v="528"/>
    <m/>
    <m/>
    <m/>
    <m/>
    <m/>
    <m/>
    <n v="259081"/>
    <n v="202083"/>
    <n v="0"/>
    <n v="296400"/>
    <n v="44500"/>
    <n v="251900"/>
    <n v="0"/>
    <n v="0"/>
    <n v="89850.625589999996"/>
    <n v="-101892.2773541973"/>
    <n v="21557.329055999999"/>
    <n v="160472.20319"/>
    <n v="-9814.0064220000004"/>
    <n v="72828.379398698002"/>
    <n v="0"/>
    <n v="0"/>
    <n v="0"/>
    <n v="30336.176841600001"/>
    <n v="0"/>
    <n v="0"/>
    <n v="275400"/>
    <n v="-12000"/>
    <n v="263400"/>
    <n v="-0.11133603238866396"/>
    <n v="0.99970000000000003"/>
    <n v="1.0067999999999999"/>
    <n v="0.99729999999999996"/>
    <n v="1.0157"/>
    <n v="0.96919999999999995"/>
    <n v="0.94971499999999998"/>
    <n v="0.93873104601730073"/>
    <n v="275400"/>
    <n v="0"/>
    <n v="275400"/>
    <n v="-11400"/>
    <n v="264000"/>
    <n v="9.3290988487495036E-2"/>
    <n v="-1.256179775280899"/>
    <n v="-0.10931174089068826"/>
  </r>
  <r>
    <n v="2025"/>
    <s v="18132322452    "/>
    <n v="-3.2188758248682006"/>
    <n v="0.04"/>
    <n v="2002"/>
    <s v="6"/>
    <s v="CON"/>
    <x v="0"/>
    <s v="11"/>
    <s v="262"/>
    <s v="CE"/>
    <s v="A"/>
    <s v="AV"/>
    <x v="4"/>
    <n v="44"/>
    <n v="44"/>
    <n v="1980"/>
    <n v="1980"/>
    <n v="1474"/>
    <m/>
    <m/>
    <n v="0"/>
    <m/>
    <m/>
    <n v="1474"/>
    <n v="1500"/>
    <n v="8"/>
    <n v="528"/>
    <m/>
    <m/>
    <m/>
    <m/>
    <m/>
    <m/>
    <n v="260301"/>
    <n v="203035"/>
    <n v="0"/>
    <n v="297800"/>
    <n v="44700"/>
    <n v="253100"/>
    <n v="0"/>
    <n v="0"/>
    <n v="89850.625589999996"/>
    <n v="-101892.2773541973"/>
    <n v="21557.329055999999"/>
    <n v="160472.20319"/>
    <n v="-9814.0064220000004"/>
    <n v="72828.379398698002"/>
    <n v="0"/>
    <n v="0"/>
    <n v="0"/>
    <n v="30336.176841600001"/>
    <n v="0"/>
    <n v="0"/>
    <n v="275400"/>
    <n v="-12000"/>
    <n v="263400"/>
    <n v="-0.11551376762928139"/>
    <n v="0.99970000000000003"/>
    <n v="1.0067999999999999"/>
    <n v="0.99729999999999996"/>
    <n v="1.0157"/>
    <n v="0.96919999999999995"/>
    <n v="0.94971499999999998"/>
    <n v="0.93873104601730073"/>
    <n v="275400"/>
    <n v="0"/>
    <n v="275400"/>
    <n v="-11400"/>
    <n v="264000"/>
    <n v="8.8107467404188067E-2"/>
    <n v="-1.2550335570469799"/>
    <n v="-0.11349899261249161"/>
  </r>
  <r>
    <n v="2025"/>
    <s v="18132322478    "/>
    <n v="-3.2188758248682006"/>
    <n v="0.04"/>
    <n v="2002"/>
    <s v="6"/>
    <s v="CON"/>
    <x v="0"/>
    <s v="11"/>
    <s v="262"/>
    <s v="CE"/>
    <s v="A"/>
    <s v="AV"/>
    <x v="4"/>
    <n v="44"/>
    <n v="44"/>
    <n v="1980"/>
    <n v="1980"/>
    <n v="1474"/>
    <m/>
    <m/>
    <n v="0"/>
    <m/>
    <m/>
    <n v="1474"/>
    <n v="1500"/>
    <n v="8"/>
    <n v="528"/>
    <m/>
    <m/>
    <m/>
    <m/>
    <m/>
    <m/>
    <n v="261454"/>
    <n v="203934"/>
    <n v="0"/>
    <n v="299100"/>
    <n v="44900"/>
    <n v="254200"/>
    <n v="0"/>
    <n v="0"/>
    <n v="89850.625589999996"/>
    <n v="-101892.2773541973"/>
    <n v="21557.329055999999"/>
    <n v="160472.20319"/>
    <n v="-9814.0064220000004"/>
    <n v="72828.379398698002"/>
    <n v="0"/>
    <n v="0"/>
    <n v="0"/>
    <n v="30336.176841600001"/>
    <n v="0"/>
    <n v="0"/>
    <n v="275400"/>
    <n v="-12000"/>
    <n v="263400"/>
    <n v="-0.119358074222668"/>
    <n v="0.99970000000000003"/>
    <n v="1.0067999999999999"/>
    <n v="0.99729999999999996"/>
    <n v="1.0157"/>
    <n v="0.96919999999999995"/>
    <n v="0.94971499999999998"/>
    <n v="0.93873104601730073"/>
    <n v="275400"/>
    <n v="0"/>
    <n v="275400"/>
    <n v="-11400"/>
    <n v="264000"/>
    <n v="8.3398898505114089E-2"/>
    <n v="-1.2538975501113585"/>
    <n v="-0.11735205616850551"/>
  </r>
  <r>
    <n v="2025"/>
    <s v="18132322481    "/>
    <n v="-3.2188758248682006"/>
    <n v="0.04"/>
    <n v="2002"/>
    <s v="6"/>
    <s v="CON"/>
    <x v="0"/>
    <s v="11"/>
    <s v="262"/>
    <s v="CE"/>
    <s v="A"/>
    <s v="AV"/>
    <x v="4"/>
    <n v="44"/>
    <n v="44"/>
    <n v="1980"/>
    <n v="1980"/>
    <n v="1474"/>
    <m/>
    <m/>
    <n v="0"/>
    <m/>
    <m/>
    <n v="1474"/>
    <n v="1500"/>
    <n v="8"/>
    <n v="528"/>
    <m/>
    <m/>
    <m/>
    <m/>
    <m/>
    <m/>
    <n v="263551"/>
    <n v="205570"/>
    <n v="0"/>
    <n v="301500"/>
    <n v="45200"/>
    <n v="256300"/>
    <n v="0"/>
    <n v="0"/>
    <n v="89850.625589999996"/>
    <n v="-101892.2773541973"/>
    <n v="21557.329055999999"/>
    <n v="160472.20319"/>
    <n v="-9814.0064220000004"/>
    <n v="72828.379398698002"/>
    <n v="0"/>
    <n v="0"/>
    <n v="0"/>
    <n v="30336.176841600001"/>
    <n v="0"/>
    <n v="0"/>
    <n v="275400"/>
    <n v="-12000"/>
    <n v="263400"/>
    <n v="-0.12636815920398009"/>
    <n v="0.99970000000000003"/>
    <n v="1.0067999999999999"/>
    <n v="0.99729999999999996"/>
    <n v="1.0157"/>
    <n v="0.96919999999999995"/>
    <n v="0.94971499999999998"/>
    <n v="0.93873104601730073"/>
    <n v="275400"/>
    <n v="0"/>
    <n v="275400"/>
    <n v="-11400"/>
    <n v="264000"/>
    <n v="7.4522044479126026E-2"/>
    <n v="-1.252212389380531"/>
    <n v="-0.12437810945273632"/>
  </r>
  <r>
    <n v="2025"/>
    <s v="18132211427    "/>
    <n v="-3.5065578973199818"/>
    <n v="0.03"/>
    <n v="901"/>
    <s v="6"/>
    <s v="CON"/>
    <x v="0"/>
    <s v="11"/>
    <s v="262"/>
    <s v="CE"/>
    <s v="G"/>
    <s v="AV"/>
    <x v="4"/>
    <n v="46"/>
    <n v="44"/>
    <n v="1978"/>
    <n v="1980"/>
    <n v="901"/>
    <n v="836"/>
    <n v="544"/>
    <n v="423"/>
    <n v="121"/>
    <m/>
    <n v="1858"/>
    <n v="2000"/>
    <n v="14"/>
    <m/>
    <n v="528"/>
    <n v="424"/>
    <m/>
    <m/>
    <m/>
    <m/>
    <n v="449875"/>
    <n v="350903"/>
    <n v="0"/>
    <n v="259300"/>
    <n v="38900"/>
    <n v="220400"/>
    <n v="0"/>
    <n v="0"/>
    <n v="89850.625589999996"/>
    <n v="-110998.74281323297"/>
    <n v="44121.038090000002"/>
    <n v="160472.20319"/>
    <n v="-9814.0064220000004"/>
    <n v="44517.211559176998"/>
    <n v="37441.449511795996"/>
    <n v="0"/>
    <n v="15820.551014367999"/>
    <n v="53088.3094728"/>
    <n v="14117.298477024002"/>
    <n v="0"/>
    <n v="359800"/>
    <n v="-21100"/>
    <n v="338700"/>
    <n v="0.30620902429618202"/>
    <n v="0.99970000000000003"/>
    <n v="0.98050000000000004"/>
    <n v="0.99729999999999996"/>
    <n v="1.0093000000000001"/>
    <n v="0.96919999999999995"/>
    <n v="0.94971499999999998"/>
    <n v="0.90844866943059244"/>
    <n v="359800"/>
    <n v="0"/>
    <n v="359800"/>
    <n v="-20100"/>
    <n v="339700"/>
    <n v="0.63248638838475502"/>
    <n v="-1.5167095115681235"/>
    <n v="0.31006556112610878"/>
  </r>
  <r>
    <n v="2025"/>
    <s v="18132211425    "/>
    <n v="-3.5065578973199818"/>
    <n v="0.03"/>
    <n v="901"/>
    <s v="6"/>
    <s v="CON"/>
    <x v="0"/>
    <s v="11"/>
    <s v="262"/>
    <s v="CE"/>
    <s v="G"/>
    <s v="AV"/>
    <x v="4"/>
    <n v="46"/>
    <n v="44"/>
    <n v="1978"/>
    <n v="1980"/>
    <n v="901"/>
    <n v="896"/>
    <n v="544"/>
    <n v="60"/>
    <n v="484"/>
    <m/>
    <n v="2281"/>
    <n v="2500"/>
    <n v="12"/>
    <m/>
    <n v="528"/>
    <n v="400"/>
    <m/>
    <m/>
    <m/>
    <m/>
    <n v="464316"/>
    <n v="362166"/>
    <n v="0"/>
    <n v="267600"/>
    <n v="40100"/>
    <n v="227500"/>
    <n v="0"/>
    <n v="0"/>
    <n v="89850.625589999996"/>
    <n v="-110998.74281323297"/>
    <n v="44121.038090000002"/>
    <n v="160472.20319"/>
    <n v="-9814.0064220000004"/>
    <n v="44517.211559176998"/>
    <n v="40128.634883455998"/>
    <n v="0"/>
    <n v="15820.551014367999"/>
    <n v="45504.265262400004"/>
    <n v="13318.206110400002"/>
    <n v="0"/>
    <n v="354100"/>
    <n v="-21100"/>
    <n v="333000"/>
    <n v="0.24439461883408073"/>
    <n v="0.99970000000000003"/>
    <n v="0.98050000000000004"/>
    <n v="0.99729999999999996"/>
    <n v="0.98919999999999997"/>
    <n v="0.96919999999999995"/>
    <n v="0.94971499999999998"/>
    <n v="0.8903571027452114"/>
    <n v="354100"/>
    <n v="0"/>
    <n v="354100"/>
    <n v="-20100"/>
    <n v="334000"/>
    <n v="0.55648351648351646"/>
    <n v="-1.5012468827930174"/>
    <n v="0.24813153961136025"/>
  </r>
  <r>
    <n v="2025"/>
    <s v="18132211435    "/>
    <n v="-3.5065578973199818"/>
    <n v="0.03"/>
    <n v="901"/>
    <s v="6"/>
    <s v="CON"/>
    <x v="0"/>
    <s v="11"/>
    <s v="262"/>
    <s v="CE"/>
    <s v="G"/>
    <s v="AV"/>
    <x v="4"/>
    <n v="46"/>
    <n v="44"/>
    <n v="1978"/>
    <n v="1980"/>
    <n v="901"/>
    <n v="896"/>
    <n v="544"/>
    <n v="544"/>
    <m/>
    <m/>
    <n v="1797"/>
    <n v="2000"/>
    <n v="11"/>
    <m/>
    <n v="528"/>
    <n v="448"/>
    <m/>
    <m/>
    <m/>
    <m/>
    <n v="437525"/>
    <n v="341270"/>
    <n v="0"/>
    <n v="271600"/>
    <n v="40700"/>
    <n v="230900"/>
    <n v="0"/>
    <n v="0"/>
    <n v="89850.625589999996"/>
    <n v="-110998.74281323297"/>
    <n v="44121.038090000002"/>
    <n v="160472.20319"/>
    <n v="-9814.0064220000004"/>
    <n v="44517.211559176998"/>
    <n v="40128.634883455998"/>
    <n v="0"/>
    <n v="15820.551014367999"/>
    <n v="41712.243157199999"/>
    <n v="14916.390843648001"/>
    <n v="0"/>
    <n v="351900"/>
    <n v="-21100"/>
    <n v="330800"/>
    <n v="0.21796759941089838"/>
    <n v="0.99970000000000003"/>
    <n v="0.98050000000000004"/>
    <n v="0.99729999999999996"/>
    <n v="1.0093000000000001"/>
    <n v="0.96919999999999995"/>
    <n v="0.94971499999999998"/>
    <n v="0.90844866943059244"/>
    <n v="351900"/>
    <n v="0"/>
    <n v="351900"/>
    <n v="-20100"/>
    <n v="331800"/>
    <n v="0.52403637938501513"/>
    <n v="-1.4938574938574938"/>
    <n v="0.22164948453608246"/>
  </r>
  <r>
    <n v="2025"/>
    <s v="18132211424    "/>
    <n v="-3.912023005428146"/>
    <n v="0.02"/>
    <n v="1600"/>
    <s v="6"/>
    <s v="CON"/>
    <x v="0"/>
    <s v="11"/>
    <s v="262"/>
    <s v="CE"/>
    <s v="G"/>
    <s v="AV"/>
    <x v="4"/>
    <n v="46"/>
    <n v="44"/>
    <n v="1978"/>
    <n v="1980"/>
    <n v="1600"/>
    <m/>
    <n v="1204"/>
    <n v="0"/>
    <n v="1204"/>
    <m/>
    <n v="2804"/>
    <n v="3000"/>
    <n v="11"/>
    <m/>
    <n v="572"/>
    <n v="406"/>
    <m/>
    <m/>
    <m/>
    <m/>
    <n v="526131"/>
    <n v="410382"/>
    <n v="0"/>
    <n v="281700"/>
    <n v="42300"/>
    <n v="239400"/>
    <n v="0"/>
    <n v="0"/>
    <n v="89850.625589999996"/>
    <n v="-123833.58500677992"/>
    <n v="44121.038090000002"/>
    <n v="160472.20319"/>
    <n v="-9814.0064220000004"/>
    <n v="79053.871803200003"/>
    <n v="0"/>
    <n v="0"/>
    <n v="35014.601877387999"/>
    <n v="41712.243157199999"/>
    <n v="13517.979202056002"/>
    <n v="0"/>
    <n v="364100"/>
    <n v="-34000"/>
    <n v="330100"/>
    <n v="0.17181398651047214"/>
    <n v="0.99970000000000003"/>
    <n v="0.98050000000000004"/>
    <n v="0.99729999999999996"/>
    <n v="0.96179999999999999"/>
    <n v="0.96919999999999995"/>
    <n v="0.94971499999999998"/>
    <n v="0.86569496706464244"/>
    <n v="364100"/>
    <n v="0"/>
    <n v="364100"/>
    <n v="-32300"/>
    <n v="331800"/>
    <n v="0.52088554720133673"/>
    <n v="-1.7635933806146573"/>
    <n v="0.17784877529286475"/>
  </r>
  <r>
    <n v="2025"/>
    <s v="18132211422    "/>
    <n v="-3.912023005428146"/>
    <n v="0.02"/>
    <n v="1600"/>
    <s v="6"/>
    <s v="CON"/>
    <x v="0"/>
    <s v="11"/>
    <s v="262"/>
    <s v="CE"/>
    <s v="G"/>
    <s v="AV"/>
    <x v="4"/>
    <n v="46"/>
    <n v="44"/>
    <n v="1978"/>
    <n v="1980"/>
    <n v="1600"/>
    <m/>
    <n v="1204"/>
    <n v="632"/>
    <n v="572"/>
    <m/>
    <n v="2172"/>
    <n v="2500"/>
    <n v="10"/>
    <m/>
    <n v="572"/>
    <n v="260"/>
    <m/>
    <m/>
    <m/>
    <m/>
    <n v="479720"/>
    <n v="374182"/>
    <n v="0"/>
    <n v="276800"/>
    <n v="41500"/>
    <n v="235300"/>
    <n v="0"/>
    <n v="0"/>
    <n v="89850.625589999996"/>
    <n v="-123833.58500677992"/>
    <n v="44121.038090000002"/>
    <n v="160472.20319"/>
    <n v="-9814.0064220000004"/>
    <n v="79053.871803200003"/>
    <n v="0"/>
    <n v="0"/>
    <n v="35014.601877387999"/>
    <n v="37920.221052000001"/>
    <n v="8656.8339717600011"/>
    <n v="0"/>
    <n v="355400"/>
    <n v="-34000"/>
    <n v="321400"/>
    <n v="0.1611271676300578"/>
    <n v="0.99970000000000003"/>
    <n v="0.98050000000000004"/>
    <n v="0.99729999999999996"/>
    <n v="0.98919999999999997"/>
    <n v="0.96919999999999995"/>
    <n v="0.94971499999999998"/>
    <n v="0.8903571027452114"/>
    <n v="355400"/>
    <n v="0"/>
    <n v="355400"/>
    <n v="-32300"/>
    <n v="323100"/>
    <n v="0.51041223969400762"/>
    <n v="-1.7783132530120482"/>
    <n v="0.16726878612716764"/>
  </r>
  <r>
    <n v="2025"/>
    <s v="18132211421    "/>
    <n v="-3.5065578973199818"/>
    <n v="0.03"/>
    <n v="901"/>
    <s v="6"/>
    <s v="CON"/>
    <x v="0"/>
    <s v="11"/>
    <s v="262"/>
    <s v="CE"/>
    <s v="G"/>
    <s v="AV"/>
    <x v="4"/>
    <n v="46"/>
    <n v="44"/>
    <n v="1978"/>
    <n v="1980"/>
    <n v="901"/>
    <n v="896"/>
    <n v="544"/>
    <n v="60"/>
    <n v="484"/>
    <m/>
    <n v="2281"/>
    <n v="2500"/>
    <n v="13"/>
    <m/>
    <n v="528"/>
    <n v="400"/>
    <m/>
    <m/>
    <m/>
    <m/>
    <n v="467987"/>
    <n v="365030"/>
    <n v="0"/>
    <n v="290500"/>
    <n v="43600"/>
    <n v="246900"/>
    <n v="0"/>
    <n v="0"/>
    <n v="89850.625589999996"/>
    <n v="-110998.74281323297"/>
    <n v="44121.038090000002"/>
    <n v="160472.20319"/>
    <n v="-9814.0064220000004"/>
    <n v="44517.211559176998"/>
    <n v="40128.634883455998"/>
    <n v="0"/>
    <n v="15820.551014367999"/>
    <n v="49296.287367600002"/>
    <n v="13318.206110400002"/>
    <n v="0"/>
    <n v="357900"/>
    <n v="-21100"/>
    <n v="336800"/>
    <n v="0.15938037865748708"/>
    <n v="0.99970000000000003"/>
    <n v="0.98050000000000004"/>
    <n v="0.99729999999999996"/>
    <n v="0.98919999999999997"/>
    <n v="0.96919999999999995"/>
    <n v="0.94971499999999998"/>
    <n v="0.8903571027452114"/>
    <n v="357900"/>
    <n v="0"/>
    <n v="357900"/>
    <n v="-20100"/>
    <n v="337800"/>
    <n v="0.44957472660996356"/>
    <n v="-1.4610091743119267"/>
    <n v="0.16282271944922547"/>
  </r>
  <r>
    <n v="2025"/>
    <s v="18132211433    "/>
    <n v="-3.912023005428146"/>
    <n v="0.02"/>
    <n v="901"/>
    <s v="6"/>
    <s v="CON"/>
    <x v="0"/>
    <s v="11"/>
    <s v="262"/>
    <s v="CE"/>
    <s v="G"/>
    <s v="AV"/>
    <x v="4"/>
    <n v="46"/>
    <n v="44"/>
    <n v="1978"/>
    <n v="1980"/>
    <n v="901"/>
    <n v="896"/>
    <n v="544"/>
    <n v="66"/>
    <n v="478"/>
    <m/>
    <n v="2275"/>
    <n v="2500"/>
    <n v="11"/>
    <m/>
    <n v="528"/>
    <n v="400"/>
    <m/>
    <m/>
    <m/>
    <m/>
    <n v="471161"/>
    <n v="367506"/>
    <n v="0"/>
    <n v="273600"/>
    <n v="41000"/>
    <n v="232600"/>
    <n v="0"/>
    <n v="0"/>
    <n v="89850.625589999996"/>
    <n v="-123833.58500677992"/>
    <n v="44121.038090000002"/>
    <n v="160472.20319"/>
    <n v="-9814.0064220000004"/>
    <n v="44517.211559176998"/>
    <n v="40128.634883455998"/>
    <n v="0"/>
    <n v="15820.551014367999"/>
    <n v="41712.243157199999"/>
    <n v="13318.206110400002"/>
    <n v="0"/>
    <n v="350300"/>
    <n v="-34000"/>
    <n v="316300"/>
    <n v="0.1560672514619883"/>
    <n v="0.99970000000000003"/>
    <n v="0.98050000000000004"/>
    <n v="0.99729999999999996"/>
    <n v="0.98919999999999997"/>
    <n v="0.96919999999999995"/>
    <n v="0.94971499999999998"/>
    <n v="0.8903571027452114"/>
    <n v="350300"/>
    <n v="0"/>
    <n v="350300"/>
    <n v="-32300"/>
    <n v="318000"/>
    <n v="0.50601891659501286"/>
    <n v="-1.7878048780487805"/>
    <n v="0.16228070175438597"/>
  </r>
  <r>
    <n v="2025"/>
    <s v="18132211423    "/>
    <n v="-3.5065578973199818"/>
    <n v="0.03"/>
    <n v="901"/>
    <s v="6"/>
    <s v="CON"/>
    <x v="0"/>
    <s v="11"/>
    <s v="262"/>
    <s v="CE"/>
    <s v="G"/>
    <s v="AV"/>
    <x v="4"/>
    <n v="46"/>
    <n v="44"/>
    <n v="1978"/>
    <n v="1980"/>
    <n v="901"/>
    <n v="896"/>
    <n v="544"/>
    <n v="60"/>
    <n v="484"/>
    <m/>
    <n v="2281"/>
    <n v="2500"/>
    <n v="10"/>
    <m/>
    <n v="528"/>
    <n v="400"/>
    <m/>
    <m/>
    <m/>
    <m/>
    <n v="456974"/>
    <n v="356440"/>
    <n v="0"/>
    <n v="283700"/>
    <n v="42600"/>
    <n v="241100"/>
    <n v="0"/>
    <n v="0"/>
    <n v="89850.625589999996"/>
    <n v="-110998.74281323297"/>
    <n v="44121.038090000002"/>
    <n v="160472.20319"/>
    <n v="-9814.0064220000004"/>
    <n v="44517.211559176998"/>
    <n v="40128.634883455998"/>
    <n v="0"/>
    <n v="15820.551014367999"/>
    <n v="37920.221052000001"/>
    <n v="13318.206110400002"/>
    <n v="0"/>
    <n v="346500"/>
    <n v="-21100"/>
    <n v="325400"/>
    <n v="0.14698625308424393"/>
    <n v="0.99970000000000003"/>
    <n v="0.98050000000000004"/>
    <n v="0.99729999999999996"/>
    <n v="0.98919999999999997"/>
    <n v="0.96919999999999995"/>
    <n v="0.94971499999999998"/>
    <n v="0.8903571027452114"/>
    <n v="346500"/>
    <n v="0"/>
    <n v="346500"/>
    <n v="-20100"/>
    <n v="326400"/>
    <n v="0.43716300290335958"/>
    <n v="-1.471830985915493"/>
    <n v="0.15051110327811068"/>
  </r>
  <r>
    <n v="2025"/>
    <s v="18132211431    "/>
    <n v="-3.912023005428146"/>
    <n v="0.02"/>
    <n v="1600"/>
    <s v="6"/>
    <s v="CON"/>
    <x v="0"/>
    <s v="11"/>
    <s v="262"/>
    <s v="CE"/>
    <s v="G"/>
    <s v="AV"/>
    <x v="4"/>
    <n v="46"/>
    <n v="44"/>
    <n v="1978"/>
    <n v="1980"/>
    <n v="1600"/>
    <m/>
    <n v="1188"/>
    <n v="384"/>
    <n v="804"/>
    <m/>
    <n v="2404"/>
    <n v="2500"/>
    <n v="12"/>
    <m/>
    <n v="588"/>
    <n v="266"/>
    <m/>
    <m/>
    <m/>
    <m/>
    <n v="501734"/>
    <n v="391353"/>
    <n v="0"/>
    <n v="289400"/>
    <n v="43400"/>
    <n v="246000"/>
    <n v="0"/>
    <n v="0"/>
    <n v="89850.625589999996"/>
    <n v="-123833.58500677992"/>
    <n v="44121.038090000002"/>
    <n v="160472.20319"/>
    <n v="-9814.0064220000004"/>
    <n v="79053.871803200003"/>
    <n v="0"/>
    <n v="0"/>
    <n v="34549.291553436"/>
    <n v="45504.265262400004"/>
    <n v="8856.6070634160005"/>
    <n v="0"/>
    <n v="362700"/>
    <n v="-34000"/>
    <n v="328700"/>
    <n v="0.13579820317899102"/>
    <n v="0.99970000000000003"/>
    <n v="0.98050000000000004"/>
    <n v="0.99729999999999996"/>
    <n v="0.98919999999999997"/>
    <n v="0.96919999999999995"/>
    <n v="0.94971499999999998"/>
    <n v="0.8903571027452114"/>
    <n v="362700"/>
    <n v="0"/>
    <n v="362700"/>
    <n v="-32300"/>
    <n v="330400"/>
    <n v="0.474390243902439"/>
    <n v="-1.7442396313364055"/>
    <n v="0.14167242570836214"/>
  </r>
  <r>
    <n v="2025"/>
    <s v="18132211428    "/>
    <n v="-3.5065578973199818"/>
    <n v="0.03"/>
    <n v="1600"/>
    <s v="6"/>
    <s v="CON"/>
    <x v="0"/>
    <s v="11"/>
    <s v="262"/>
    <s v="CE"/>
    <s v="G"/>
    <s v="AV"/>
    <x v="4"/>
    <n v="46"/>
    <n v="44"/>
    <n v="1978"/>
    <n v="1980"/>
    <n v="1600"/>
    <m/>
    <n v="1204"/>
    <n v="24"/>
    <n v="1180"/>
    <m/>
    <n v="2780"/>
    <n v="3000"/>
    <n v="12"/>
    <m/>
    <n v="572"/>
    <n v="376"/>
    <m/>
    <m/>
    <m/>
    <m/>
    <n v="531839"/>
    <n v="414834"/>
    <n v="0"/>
    <n v="306600"/>
    <n v="46000"/>
    <n v="260600"/>
    <n v="0"/>
    <n v="0"/>
    <n v="89850.625589999996"/>
    <n v="-110998.74281323297"/>
    <n v="44121.038090000002"/>
    <n v="160472.20319"/>
    <n v="-9814.0064220000004"/>
    <n v="79053.871803200003"/>
    <n v="0"/>
    <n v="0"/>
    <n v="35014.601877387999"/>
    <n v="45504.265262400004"/>
    <n v="12519.113743776001"/>
    <n v="0"/>
    <n v="366900"/>
    <n v="-21100"/>
    <n v="345800"/>
    <n v="0.12785388127853881"/>
    <n v="0.99970000000000003"/>
    <n v="0.98050000000000004"/>
    <n v="0.99729999999999996"/>
    <n v="0.96179999999999999"/>
    <n v="0.96919999999999995"/>
    <n v="0.94971499999999998"/>
    <n v="0.86569496706464244"/>
    <n v="366900"/>
    <n v="0"/>
    <n v="366900"/>
    <n v="-20100"/>
    <n v="346800"/>
    <n v="0.4079048349961627"/>
    <n v="-1.4369565217391305"/>
    <n v="0.13111545988258316"/>
  </r>
  <r>
    <n v="2025"/>
    <s v="18132211426    "/>
    <n v="-3.912023005428146"/>
    <n v="0.02"/>
    <n v="1600"/>
    <s v="6"/>
    <s v="CON"/>
    <x v="0"/>
    <s v="11"/>
    <s v="262"/>
    <s v="CE"/>
    <s v="G"/>
    <s v="AV"/>
    <x v="4"/>
    <n v="46"/>
    <n v="44"/>
    <n v="1978"/>
    <n v="1980"/>
    <n v="1600"/>
    <m/>
    <n v="1204"/>
    <n v="24"/>
    <n v="1180"/>
    <m/>
    <n v="2780"/>
    <n v="3000"/>
    <n v="13"/>
    <m/>
    <n v="572"/>
    <n v="376"/>
    <m/>
    <m/>
    <m/>
    <m/>
    <n v="531190"/>
    <n v="414328"/>
    <n v="0"/>
    <n v="306300"/>
    <n v="45900"/>
    <n v="260400"/>
    <n v="0"/>
    <n v="0"/>
    <n v="89850.625589999996"/>
    <n v="-123833.58500677992"/>
    <n v="44121.038090000002"/>
    <n v="160472.20319"/>
    <n v="-9814.0064220000004"/>
    <n v="79053.871803200003"/>
    <n v="0"/>
    <n v="0"/>
    <n v="35014.601877387999"/>
    <n v="49296.287367600002"/>
    <n v="12519.113743776001"/>
    <n v="0"/>
    <n v="370700"/>
    <n v="-34000"/>
    <n v="336700"/>
    <n v="9.9249102187397978E-2"/>
    <n v="0.99970000000000003"/>
    <n v="0.98050000000000004"/>
    <n v="0.99729999999999996"/>
    <n v="0.96179999999999999"/>
    <n v="0.96919999999999995"/>
    <n v="0.94971499999999998"/>
    <n v="0.86569496706464244"/>
    <n v="370700"/>
    <n v="0"/>
    <n v="370700"/>
    <n v="-32300"/>
    <n v="338400"/>
    <n v="0.42357910906298002"/>
    <n v="-1.7037037037037037"/>
    <n v="0.10479921645445642"/>
  </r>
  <r>
    <n v="2025"/>
    <s v="18132211429    "/>
    <n v="-3.912023005428146"/>
    <n v="0.02"/>
    <n v="1600"/>
    <s v="6"/>
    <s v="CON"/>
    <x v="0"/>
    <s v="11"/>
    <s v="262"/>
    <s v="CE"/>
    <s v="G"/>
    <s v="AV"/>
    <x v="4"/>
    <n v="46"/>
    <n v="44"/>
    <n v="1978"/>
    <n v="1980"/>
    <n v="1600"/>
    <m/>
    <n v="1188"/>
    <n v="8"/>
    <n v="1180"/>
    <m/>
    <n v="2780"/>
    <n v="3000"/>
    <n v="12"/>
    <m/>
    <n v="588"/>
    <n v="266"/>
    <m/>
    <m/>
    <m/>
    <m/>
    <n v="525527"/>
    <n v="409911"/>
    <n v="0"/>
    <n v="303000"/>
    <n v="45500"/>
    <n v="257500"/>
    <n v="0"/>
    <n v="0"/>
    <n v="89850.625589999996"/>
    <n v="-123833.58500677992"/>
    <n v="44121.038090000002"/>
    <n v="160472.20319"/>
    <n v="-9814.0064220000004"/>
    <n v="79053.871803200003"/>
    <n v="0"/>
    <n v="0"/>
    <n v="34549.291553436"/>
    <n v="45504.265262400004"/>
    <n v="8856.6070634160005"/>
    <n v="0"/>
    <n v="362700"/>
    <n v="-34000"/>
    <n v="328700"/>
    <n v="8.4818481848184815E-2"/>
    <n v="0.99970000000000003"/>
    <n v="0.98050000000000004"/>
    <n v="0.99729999999999996"/>
    <n v="0.96179999999999999"/>
    <n v="0.96919999999999995"/>
    <n v="0.94971499999999998"/>
    <n v="0.86569496706464244"/>
    <n v="362700"/>
    <n v="0"/>
    <n v="362700"/>
    <n v="-32300"/>
    <n v="330400"/>
    <n v="0.40854368932038837"/>
    <n v="-1.7098901098901098"/>
    <n v="9.0429042904290435E-2"/>
  </r>
  <r>
    <n v="2025"/>
    <s v="18132244047    "/>
    <n v="-1.3470736479666092"/>
    <n v="0.26"/>
    <n v="11489"/>
    <s v="6"/>
    <s v="RES"/>
    <x v="0"/>
    <s v="11"/>
    <s v="259"/>
    <s v="SE"/>
    <s v="A+"/>
    <s v="GD"/>
    <x v="4"/>
    <n v="46"/>
    <n v="44"/>
    <n v="1978"/>
    <n v="1980"/>
    <n v="1291"/>
    <m/>
    <n v="575"/>
    <n v="0"/>
    <n v="575"/>
    <m/>
    <n v="1866"/>
    <n v="2000"/>
    <n v="11"/>
    <m/>
    <n v="550"/>
    <n v="280"/>
    <m/>
    <m/>
    <m/>
    <m/>
    <n v="336276"/>
    <n v="265658"/>
    <n v="0"/>
    <n v="367700"/>
    <n v="67600"/>
    <n v="300100"/>
    <n v="0"/>
    <n v="0"/>
    <n v="89850.625589999996"/>
    <n v="-42641.098701210125"/>
    <n v="29814.093161000001"/>
    <n v="197752.34721000001"/>
    <n v="-9814.0064220000004"/>
    <n v="63786.592811207003"/>
    <n v="0"/>
    <n v="0"/>
    <n v="16722.089767024998"/>
    <n v="41712.243157199999"/>
    <n v="9322.7442772800005"/>
    <n v="0"/>
    <n v="349300"/>
    <n v="47200"/>
    <n v="396500"/>
    <n v="7.8324721240141421E-2"/>
    <n v="0.99970000000000003"/>
    <n v="1.0088999999999999"/>
    <n v="0.99650000000000005"/>
    <n v="1.0093000000000001"/>
    <n v="0.96919999999999995"/>
    <n v="0.94971499999999998"/>
    <n v="0.93401188212709219"/>
    <n v="349300"/>
    <n v="0"/>
    <n v="349300"/>
    <n v="44800"/>
    <n v="394100"/>
    <n v="0.1639453515494835"/>
    <n v="-0.33727810650887574"/>
    <n v="7.1797661136796295E-2"/>
  </r>
  <r>
    <n v="2025"/>
    <s v="18132243056    "/>
    <n v="-1.6094379124341003"/>
    <n v="0.2"/>
    <n v="8724"/>
    <s v="6"/>
    <s v="RES"/>
    <x v="0"/>
    <s v="11"/>
    <s v="259"/>
    <s v="CO"/>
    <s v="A"/>
    <s v="AV"/>
    <x v="4"/>
    <n v="46"/>
    <n v="44"/>
    <n v="1978"/>
    <n v="1980"/>
    <n v="864"/>
    <n v="864"/>
    <m/>
    <n v="0"/>
    <m/>
    <m/>
    <n v="1728"/>
    <n v="2000"/>
    <n v="7"/>
    <n v="460"/>
    <m/>
    <m/>
    <m/>
    <m/>
    <m/>
    <m/>
    <n v="284325"/>
    <n v="221774"/>
    <n v="0"/>
    <n v="310500"/>
    <n v="58400"/>
    <n v="252100"/>
    <n v="0"/>
    <n v="0"/>
    <n v="89850.625589999996"/>
    <n v="-50946.13867709865"/>
    <n v="21557.329055999999"/>
    <n v="160472.20319"/>
    <n v="-9814.0064220000004"/>
    <n v="42689.090773727999"/>
    <n v="38695.469351904001"/>
    <n v="0"/>
    <n v="0"/>
    <n v="26544.1547364"/>
    <n v="0"/>
    <n v="0"/>
    <n v="280100"/>
    <n v="38900"/>
    <n v="319000"/>
    <n v="2.7375201288244767E-2"/>
    <n v="0.99970000000000003"/>
    <n v="1.0067999999999999"/>
    <n v="0.99729999999999996"/>
    <n v="1.0093000000000001"/>
    <n v="0.96919999999999995"/>
    <n v="0.94971499999999998"/>
    <n v="0.93281603302674176"/>
    <n v="280100"/>
    <n v="0"/>
    <n v="280100"/>
    <n v="36900"/>
    <n v="317000"/>
    <n v="0.11106703689012297"/>
    <n v="-0.36815068493150682"/>
    <n v="2.0933977455716585E-2"/>
  </r>
  <r>
    <n v="2025"/>
    <s v="18132212472    "/>
    <n v="-1.9661128563728327"/>
    <n v="0.14000000000000001"/>
    <n v="6027"/>
    <s v="6"/>
    <s v="RES"/>
    <x v="0"/>
    <s v="11"/>
    <s v="325"/>
    <s v="PE"/>
    <s v="A+"/>
    <s v="GD"/>
    <x v="4"/>
    <n v="47"/>
    <n v="45"/>
    <n v="1977"/>
    <n v="1979"/>
    <n v="1808"/>
    <m/>
    <m/>
    <n v="0"/>
    <m/>
    <m/>
    <n v="1808"/>
    <n v="2000"/>
    <n v="9"/>
    <n v="572"/>
    <m/>
    <n v="192"/>
    <m/>
    <m/>
    <m/>
    <m/>
    <n v="369735"/>
    <n v="288393"/>
    <n v="0"/>
    <n v="298600"/>
    <n v="45200"/>
    <n v="253400"/>
    <n v="0"/>
    <n v="0"/>
    <n v="89850.625589999996"/>
    <n v="-62236.546971921947"/>
    <n v="29814.093161000001"/>
    <n v="197752.34721000001"/>
    <n v="-10037.0520225"/>
    <n v="89330.875137616007"/>
    <n v="0"/>
    <n v="0"/>
    <n v="0"/>
    <n v="34128.198946800003"/>
    <n v="6392.7389329920006"/>
    <n v="0"/>
    <n v="347400"/>
    <n v="27600"/>
    <n v="375000"/>
    <n v="0.25586068318821165"/>
    <n v="0.99970000000000003"/>
    <n v="1.0088999999999999"/>
    <n v="0.99650000000000005"/>
    <n v="1.0093000000000001"/>
    <n v="0.96919999999999995"/>
    <n v="0.94971499999999998"/>
    <n v="0.93401188212709219"/>
    <n v="347400"/>
    <n v="0"/>
    <n v="347400"/>
    <n v="26200"/>
    <n v="373600"/>
    <n v="0.37095501183898971"/>
    <n v="-0.42035398230088494"/>
    <n v="0.25117213663764232"/>
  </r>
  <r>
    <n v="2025"/>
    <s v="18132212469    "/>
    <n v="-2.0402208285265546"/>
    <n v="0.13"/>
    <n v="5608"/>
    <s v="6"/>
    <s v="RES"/>
    <x v="0"/>
    <s v="11"/>
    <s v="325"/>
    <s v="PE"/>
    <s v="A+"/>
    <s v="GD"/>
    <x v="4"/>
    <n v="47"/>
    <n v="45"/>
    <n v="1977"/>
    <n v="1979"/>
    <n v="1917"/>
    <m/>
    <n v="1000"/>
    <n v="1000"/>
    <m/>
    <m/>
    <n v="1917"/>
    <n v="2000"/>
    <n v="8"/>
    <n v="542"/>
    <m/>
    <m/>
    <m/>
    <m/>
    <m/>
    <m/>
    <n v="410891"/>
    <n v="320495"/>
    <n v="0"/>
    <n v="326200"/>
    <n v="44600"/>
    <n v="281600"/>
    <n v="0"/>
    <n v="0"/>
    <n v="89850.625589999996"/>
    <n v="-64582.406353792743"/>
    <n v="29814.093161000001"/>
    <n v="197752.34721000001"/>
    <n v="-10037.0520225"/>
    <n v="94716.420154209001"/>
    <n v="0"/>
    <n v="0"/>
    <n v="29081.895246999997"/>
    <n v="30336.176841600001"/>
    <n v="0"/>
    <n v="0"/>
    <n v="371700"/>
    <n v="25300"/>
    <n v="397000"/>
    <n v="0.21704475781729002"/>
    <n v="0.99970000000000003"/>
    <n v="1.0088999999999999"/>
    <n v="0.99650000000000005"/>
    <n v="1.0093000000000001"/>
    <n v="0.96919999999999995"/>
    <n v="0.94971499999999998"/>
    <n v="0.93401188212709219"/>
    <n v="371700"/>
    <n v="0"/>
    <n v="371700"/>
    <n v="24000"/>
    <n v="395700"/>
    <n v="0.31995738636363635"/>
    <n v="-0.46188340807174888"/>
    <n v="0.21305947271612508"/>
  </r>
  <r>
    <n v="2025"/>
    <s v="18132323019    "/>
    <n v="-2.0402208285265546"/>
    <n v="0.13"/>
    <n v="5500"/>
    <s v="6"/>
    <s v="RES"/>
    <x v="0"/>
    <s v="11"/>
    <s v="259"/>
    <s v="RN"/>
    <s v="A"/>
    <s v="GD"/>
    <x v="4"/>
    <n v="47"/>
    <n v="45"/>
    <n v="1977"/>
    <n v="1979"/>
    <n v="1464"/>
    <m/>
    <m/>
    <n v="0"/>
    <m/>
    <m/>
    <n v="1464"/>
    <n v="1500"/>
    <n v="8"/>
    <m/>
    <m/>
    <m/>
    <m/>
    <m/>
    <m/>
    <m/>
    <n v="236524"/>
    <n v="184489"/>
    <n v="24301"/>
    <n v="338200"/>
    <n v="43400"/>
    <n v="294800"/>
    <n v="0"/>
    <n v="0"/>
    <n v="89850.625589999996"/>
    <n v="-64582.406353792743"/>
    <n v="21557.329055999999"/>
    <n v="197752.34721000001"/>
    <n v="-10037.0520225"/>
    <n v="72334.292699928003"/>
    <n v="0"/>
    <n v="0"/>
    <n v="0"/>
    <n v="30336.176841600001"/>
    <n v="0"/>
    <n v="24300"/>
    <n v="311900"/>
    <n v="25300"/>
    <n v="361500"/>
    <n v="6.8894145476049676E-2"/>
    <n v="0.99970000000000003"/>
    <n v="1.0067999999999999"/>
    <n v="0.99650000000000005"/>
    <n v="1.0157"/>
    <n v="0.96919999999999995"/>
    <n v="0.94971499999999998"/>
    <n v="0.93797802803192643"/>
    <n v="311900"/>
    <n v="23100"/>
    <n v="335000"/>
    <n v="24000"/>
    <n v="359000"/>
    <n v="0.13636363636363635"/>
    <n v="-0.44700460829493088"/>
    <n v="6.150206978119456E-2"/>
  </r>
  <r>
    <n v="2025"/>
    <s v="18132322018    "/>
    <n v="-1.5606477482646683"/>
    <n v="0.21"/>
    <m/>
    <s v="6"/>
    <s v="RES"/>
    <x v="0"/>
    <s v="11"/>
    <s v="259"/>
    <s v="RN"/>
    <s v="A+"/>
    <s v="AV"/>
    <x v="4"/>
    <n v="47"/>
    <n v="45"/>
    <n v="1977"/>
    <n v="1979"/>
    <n v="1546"/>
    <m/>
    <m/>
    <n v="0"/>
    <m/>
    <m/>
    <n v="1546"/>
    <n v="2000"/>
    <n v="8"/>
    <n v="576"/>
    <m/>
    <n v="196"/>
    <m/>
    <m/>
    <m/>
    <m/>
    <n v="322653"/>
    <n v="248443"/>
    <n v="0"/>
    <n v="319800"/>
    <n v="60100"/>
    <n v="259700"/>
    <n v="0"/>
    <n v="0"/>
    <n v="89850.625589999996"/>
    <n v="-49401.70477837498"/>
    <n v="29814.093161000001"/>
    <n v="160472.20319"/>
    <n v="-10037.0520225"/>
    <n v="76385.803629842005"/>
    <n v="0"/>
    <n v="0"/>
    <n v="0"/>
    <n v="30336.176841600001"/>
    <n v="6525.9209940960009"/>
    <n v="0"/>
    <n v="293500"/>
    <n v="40400"/>
    <n v="333900"/>
    <n v="4.4090056285178238E-2"/>
    <n v="0.99970000000000003"/>
    <n v="1.0088999999999999"/>
    <n v="0.99729999999999996"/>
    <n v="1.0093000000000001"/>
    <n v="0.96919999999999995"/>
    <n v="0.94971499999999998"/>
    <n v="0.93476171605152947"/>
    <n v="293500"/>
    <n v="0"/>
    <n v="293500"/>
    <n v="38400"/>
    <n v="331900"/>
    <n v="0.13015017327685791"/>
    <n v="-0.36106489184692181"/>
    <n v="3.7836147592245156E-2"/>
  </r>
  <r>
    <n v="2025"/>
    <s v="18131433402    "/>
    <n v="-0.89159811928378363"/>
    <n v="0.41"/>
    <n v="17837"/>
    <s v="6"/>
    <s v="RES"/>
    <x v="0"/>
    <s v="11"/>
    <s v="259"/>
    <s v="SL"/>
    <s v="G"/>
    <s v="AV"/>
    <x v="4"/>
    <n v="47"/>
    <n v="45"/>
    <n v="1977"/>
    <n v="1979"/>
    <n v="1440"/>
    <m/>
    <n v="456"/>
    <n v="0"/>
    <n v="456"/>
    <m/>
    <n v="1896"/>
    <n v="2000"/>
    <n v="11"/>
    <n v="576"/>
    <m/>
    <n v="300"/>
    <m/>
    <m/>
    <m/>
    <m/>
    <n v="417604"/>
    <n v="321555"/>
    <n v="0"/>
    <n v="375500"/>
    <n v="83400"/>
    <n v="292100"/>
    <n v="0"/>
    <n v="0"/>
    <n v="89850.625589999996"/>
    <n v="-28223.195861326454"/>
    <n v="44121.038090000002"/>
    <n v="160472.20319"/>
    <n v="-10037.0520225"/>
    <n v="71148.484622880002"/>
    <n v="0"/>
    <n v="0"/>
    <n v="13261.344232632"/>
    <n v="41712.243157199999"/>
    <n v="9988.6545828000017"/>
    <n v="0"/>
    <n v="330700"/>
    <n v="61600"/>
    <n v="392300"/>
    <n v="4.4740346205059921E-2"/>
    <n v="0.99970000000000003"/>
    <n v="0.98050000000000004"/>
    <n v="0.99729999999999996"/>
    <n v="1.0093000000000001"/>
    <n v="0.96919999999999995"/>
    <n v="0.94971499999999998"/>
    <n v="0.90844866943059244"/>
    <n v="330700"/>
    <n v="0"/>
    <n v="330700"/>
    <n v="58500"/>
    <n v="389200"/>
    <n v="0.13214652516261555"/>
    <n v="-0.29856115107913667"/>
    <n v="3.6484687083888148E-2"/>
  </r>
  <r>
    <n v="2025"/>
    <s v="18132314542    "/>
    <n v="-1.8325814637483102"/>
    <n v="0.16"/>
    <n v="7048"/>
    <s v="6"/>
    <s v="RES"/>
    <x v="0"/>
    <s v="11"/>
    <s v="259"/>
    <s v="RN"/>
    <s v="A"/>
    <s v="AV"/>
    <x v="4"/>
    <n v="47"/>
    <n v="45"/>
    <n v="1977"/>
    <n v="1979"/>
    <n v="1176"/>
    <m/>
    <m/>
    <n v="0"/>
    <m/>
    <m/>
    <n v="1176"/>
    <n v="1500"/>
    <n v="7"/>
    <n v="400"/>
    <m/>
    <m/>
    <m/>
    <m/>
    <m/>
    <m/>
    <n v="216588"/>
    <n v="166773"/>
    <n v="0"/>
    <n v="277700"/>
    <n v="50600"/>
    <n v="227100"/>
    <n v="0"/>
    <n v="0"/>
    <n v="89850.625589999996"/>
    <n v="-58009.662049032086"/>
    <n v="21557.329055999999"/>
    <n v="160472.20319"/>
    <n v="-10037.0520225"/>
    <n v="58104.595775351998"/>
    <n v="0"/>
    <n v="0"/>
    <n v="0"/>
    <n v="26544.1547364"/>
    <n v="0"/>
    <n v="0"/>
    <n v="256600"/>
    <n v="31800"/>
    <n v="288400"/>
    <n v="3.8530788620813827E-2"/>
    <n v="0.99970000000000003"/>
    <n v="1.0067999999999999"/>
    <n v="0.99729999999999996"/>
    <n v="1.0157"/>
    <n v="0.96919999999999995"/>
    <n v="0.94971499999999998"/>
    <n v="0.93873104601730073"/>
    <n v="256600"/>
    <n v="0"/>
    <n v="256600"/>
    <n v="30200"/>
    <n v="286800"/>
    <n v="0.12989872302950242"/>
    <n v="-0.40316205533596838"/>
    <n v="3.276917536910335E-2"/>
  </r>
  <r>
    <n v="2025"/>
    <s v="18132314543    "/>
    <n v="-1.8325814637483102"/>
    <n v="0.16"/>
    <n v="7020"/>
    <s v="6"/>
    <s v="RES"/>
    <x v="0"/>
    <s v="11"/>
    <s v="259"/>
    <s v="SE"/>
    <s v="A+"/>
    <s v="FR"/>
    <x v="4"/>
    <n v="47"/>
    <n v="45"/>
    <n v="1977"/>
    <n v="1979"/>
    <n v="740"/>
    <m/>
    <n v="726"/>
    <n v="0"/>
    <n v="726"/>
    <m/>
    <n v="1466"/>
    <n v="1500"/>
    <n v="9"/>
    <n v="480"/>
    <m/>
    <m/>
    <m/>
    <m/>
    <m/>
    <m/>
    <n v="271432"/>
    <n v="206288"/>
    <n v="0"/>
    <n v="267100"/>
    <n v="50600"/>
    <n v="216500"/>
    <n v="0"/>
    <n v="0"/>
    <n v="89850.625589999996"/>
    <n v="-58009.662049032086"/>
    <n v="29814.093161000001"/>
    <n v="133714.53821"/>
    <n v="-10037.0520225"/>
    <n v="36562.415708979999"/>
    <n v="0"/>
    <n v="0"/>
    <n v="21113.455949322"/>
    <n v="34128.198946800003"/>
    <n v="0"/>
    <n v="0"/>
    <n v="245300"/>
    <n v="31800"/>
    <n v="277100"/>
    <n v="3.7439161362785474E-2"/>
    <n v="0.99970000000000003"/>
    <n v="1.0088999999999999"/>
    <n v="0.99329999999999996"/>
    <n v="1.0157"/>
    <n v="0.96919999999999995"/>
    <n v="0.94971499999999998"/>
    <n v="0.936916123460105"/>
    <n v="245300"/>
    <n v="0"/>
    <n v="245300"/>
    <n v="30200"/>
    <n v="275500"/>
    <n v="0.13302540415704389"/>
    <n v="-0.40316205533596838"/>
    <n v="3.1448895544739799E-2"/>
  </r>
  <r>
    <n v="2025"/>
    <s v="18132314545    "/>
    <n v="-1.8325814637483102"/>
    <n v="0.16"/>
    <n v="7092"/>
    <s v="6"/>
    <s v="RES"/>
    <x v="0"/>
    <s v="11"/>
    <s v="259"/>
    <s v="SE"/>
    <s v="A+"/>
    <s v="AV"/>
    <x v="4"/>
    <n v="47"/>
    <n v="45"/>
    <n v="1977"/>
    <n v="1979"/>
    <n v="740"/>
    <m/>
    <n v="726"/>
    <n v="0"/>
    <n v="726"/>
    <m/>
    <n v="1466"/>
    <n v="1500"/>
    <n v="9"/>
    <n v="480"/>
    <m/>
    <m/>
    <m/>
    <m/>
    <m/>
    <m/>
    <n v="267743"/>
    <n v="206162"/>
    <n v="9339"/>
    <n v="305500"/>
    <n v="50600"/>
    <n v="254900"/>
    <n v="0"/>
    <n v="0"/>
    <n v="89850.625589999996"/>
    <n v="-58009.662049032086"/>
    <n v="29814.093161000001"/>
    <n v="160472.20319"/>
    <n v="-10037.0520225"/>
    <n v="36562.415708979999"/>
    <n v="0"/>
    <n v="0"/>
    <n v="21113.455949322"/>
    <n v="34128.198946800003"/>
    <n v="0"/>
    <n v="9300"/>
    <n v="272100"/>
    <n v="31800"/>
    <n v="313200"/>
    <n v="2.5204582651391163E-2"/>
    <n v="0.99970000000000003"/>
    <n v="1.0088999999999999"/>
    <n v="0.99729999999999996"/>
    <n v="1.0157"/>
    <n v="0.96919999999999995"/>
    <n v="0.94971499999999998"/>
    <n v="0.94068906667347507"/>
    <n v="272100"/>
    <n v="8900"/>
    <n v="281000"/>
    <n v="30200"/>
    <n v="311200"/>
    <n v="0.10239309533150255"/>
    <n v="-0.40316205533596838"/>
    <n v="1.8657937806873977E-2"/>
  </r>
  <r>
    <n v="2025"/>
    <s v="18132211411    "/>
    <n v="-1.7147984280919266"/>
    <n v="0.18"/>
    <n v="7874"/>
    <s v="6"/>
    <s v="RES"/>
    <x v="0"/>
    <s v="11"/>
    <s v="259"/>
    <s v="SL"/>
    <s v="G"/>
    <s v="AV"/>
    <x v="4"/>
    <n v="47"/>
    <n v="45"/>
    <n v="1977"/>
    <n v="1979"/>
    <n v="1628"/>
    <m/>
    <n v="308"/>
    <n v="0"/>
    <n v="308"/>
    <m/>
    <n v="1936"/>
    <n v="2000"/>
    <n v="12"/>
    <m/>
    <n v="440"/>
    <n v="66"/>
    <m/>
    <m/>
    <m/>
    <m/>
    <n v="425559"/>
    <n v="327680"/>
    <n v="0"/>
    <n v="360400"/>
    <n v="54700"/>
    <n v="305700"/>
    <n v="0"/>
    <n v="0"/>
    <n v="89850.625589999996"/>
    <n v="-54281.285314520763"/>
    <n v="44121.038090000002"/>
    <n v="160472.20319"/>
    <n v="-10037.0520225"/>
    <n v="80437.314559756007"/>
    <n v="0"/>
    <n v="0"/>
    <n v="8957.2237360759991"/>
    <n v="45504.265262400004"/>
    <n v="2197.5040082160003"/>
    <n v="0"/>
    <n v="331700"/>
    <n v="35600"/>
    <n v="367300"/>
    <n v="1.9145394006659266E-2"/>
    <n v="0.99970000000000003"/>
    <n v="0.98050000000000004"/>
    <n v="0.99729999999999996"/>
    <n v="1.0093000000000001"/>
    <n v="0.96919999999999995"/>
    <n v="0.94971499999999998"/>
    <n v="0.90844866943059244"/>
    <n v="331700"/>
    <n v="0"/>
    <n v="331700"/>
    <n v="33800"/>
    <n v="365500"/>
    <n v="8.5050703303892708E-2"/>
    <n v="-0.38208409506398539"/>
    <n v="1.4150943396226415E-2"/>
  </r>
  <r>
    <n v="2025"/>
    <s v="18132212470    "/>
    <n v="-1.9661128563728327"/>
    <n v="0.14000000000000001"/>
    <n v="6081"/>
    <s v="6"/>
    <s v="RES"/>
    <x v="0"/>
    <s v="11"/>
    <s v="325"/>
    <s v="PE"/>
    <s v="A+"/>
    <s v="GD"/>
    <x v="4"/>
    <n v="48"/>
    <n v="45"/>
    <n v="1976"/>
    <n v="1979"/>
    <n v="1236"/>
    <m/>
    <m/>
    <n v="0"/>
    <m/>
    <m/>
    <n v="1236"/>
    <n v="1500"/>
    <n v="8"/>
    <n v="637"/>
    <m/>
    <m/>
    <m/>
    <m/>
    <m/>
    <m/>
    <n v="262206"/>
    <n v="204521"/>
    <n v="0"/>
    <n v="225000"/>
    <n v="45300"/>
    <n v="179700"/>
    <n v="0"/>
    <n v="0"/>
    <n v="89850.625589999996"/>
    <n v="-62236.546971921947"/>
    <n v="29814.093161000001"/>
    <n v="197752.34721000001"/>
    <n v="-10037.0520225"/>
    <n v="61069.115967972"/>
    <n v="0"/>
    <n v="0"/>
    <n v="0"/>
    <n v="30336.176841600001"/>
    <n v="0"/>
    <n v="0"/>
    <n v="308900"/>
    <n v="27600"/>
    <n v="336500"/>
    <n v="0.49555555555555558"/>
    <n v="0.99970000000000003"/>
    <n v="1.0088999999999999"/>
    <n v="0.99650000000000005"/>
    <n v="1.0157"/>
    <n v="0.96919999999999995"/>
    <n v="0.94971499999999998"/>
    <n v="0.9399344780308011"/>
    <n v="308900"/>
    <n v="0"/>
    <n v="308900"/>
    <n v="26200"/>
    <n v="335100"/>
    <n v="0.71897607122982754"/>
    <n v="-0.4216335540838852"/>
    <n v="0.48933333333333334"/>
  </r>
  <r>
    <n v="2025"/>
    <s v="18132212468    "/>
    <n v="-2.0402208285265546"/>
    <n v="0.13"/>
    <n v="5865"/>
    <s v="6"/>
    <s v="RES"/>
    <x v="0"/>
    <s v="11"/>
    <s v="325"/>
    <s v="PE"/>
    <s v="A+"/>
    <s v="GD"/>
    <x v="4"/>
    <n v="48"/>
    <n v="45"/>
    <n v="1976"/>
    <n v="1979"/>
    <n v="1685"/>
    <m/>
    <n v="300"/>
    <n v="0"/>
    <n v="300"/>
    <m/>
    <n v="1985"/>
    <n v="2000"/>
    <n v="8"/>
    <m/>
    <n v="480"/>
    <n v="140"/>
    <m/>
    <m/>
    <m/>
    <m/>
    <n v="378048"/>
    <n v="294877"/>
    <n v="0"/>
    <n v="304100"/>
    <n v="45100"/>
    <n v="259000"/>
    <n v="0"/>
    <n v="0"/>
    <n v="89850.625589999996"/>
    <n v="-64582.406353792743"/>
    <n v="29814.093161000001"/>
    <n v="197752.34721000001"/>
    <n v="-10037.0520225"/>
    <n v="83253.608742744997"/>
    <n v="0"/>
    <n v="0"/>
    <n v="8724.5685740999998"/>
    <n v="30336.176841600001"/>
    <n v="4661.3721386400002"/>
    <n v="0"/>
    <n v="344500"/>
    <n v="25300"/>
    <n v="369800"/>
    <n v="0.21604735284445906"/>
    <n v="0.99970000000000003"/>
    <n v="1.0088999999999999"/>
    <n v="0.99650000000000005"/>
    <n v="1.0093000000000001"/>
    <n v="0.96919999999999995"/>
    <n v="0.94971499999999998"/>
    <n v="0.93401188212709219"/>
    <n v="344500"/>
    <n v="0"/>
    <n v="344500"/>
    <n v="24000"/>
    <n v="368500"/>
    <n v="0.33011583011583012"/>
    <n v="-0.46784922394678491"/>
    <n v="0.21177244327523842"/>
  </r>
  <r>
    <n v="2025"/>
    <s v="18132211400    "/>
    <n v="-1.5606477482646683"/>
    <n v="0.21"/>
    <n v="8950"/>
    <s v="6"/>
    <s v="RES"/>
    <x v="0"/>
    <s v="11"/>
    <s v="259"/>
    <s v="SE"/>
    <s v="A+"/>
    <s v="GD"/>
    <x v="4"/>
    <n v="48"/>
    <n v="45"/>
    <n v="1976"/>
    <n v="1979"/>
    <n v="1196"/>
    <m/>
    <n v="1196"/>
    <n v="0"/>
    <n v="1196"/>
    <m/>
    <n v="2392"/>
    <n v="2500"/>
    <n v="11"/>
    <n v="572"/>
    <m/>
    <n v="180"/>
    <m/>
    <m/>
    <m/>
    <m/>
    <n v="396110"/>
    <n v="308966"/>
    <n v="0"/>
    <n v="380300"/>
    <n v="60100"/>
    <n v="320200"/>
    <n v="0"/>
    <n v="0"/>
    <n v="89850.625589999996"/>
    <n v="-49401.70477837498"/>
    <n v="29814.093161000001"/>
    <n v="197752.34721000001"/>
    <n v="-10037.0520225"/>
    <n v="59092.769172892004"/>
    <n v="0"/>
    <n v="0"/>
    <n v="34781.946715411999"/>
    <n v="41712.243157199999"/>
    <n v="5993.1927496800008"/>
    <n v="0"/>
    <n v="359100"/>
    <n v="40400"/>
    <n v="399500"/>
    <n v="5.0486458059426767E-2"/>
    <n v="0.99970000000000003"/>
    <n v="1.0088999999999999"/>
    <n v="0.99650000000000005"/>
    <n v="0.98919999999999997"/>
    <n v="0.96919999999999995"/>
    <n v="0.94971499999999998"/>
    <n v="0.91541122936700636"/>
    <n v="359100"/>
    <n v="0"/>
    <n v="359100"/>
    <n v="38400"/>
    <n v="397500"/>
    <n v="0.12148657089319176"/>
    <n v="-0.36106489184692181"/>
    <n v="4.5227452011569816E-2"/>
  </r>
  <r>
    <n v="2025"/>
    <s v="18132244427    "/>
    <n v="-1.7719568419318752"/>
    <n v="0.17"/>
    <n v="7560"/>
    <s v="6"/>
    <s v="RES"/>
    <x v="0"/>
    <s v="11"/>
    <s v="259"/>
    <s v="RN"/>
    <s v="A+"/>
    <s v="GD"/>
    <x v="4"/>
    <n v="48"/>
    <n v="45"/>
    <n v="1976"/>
    <n v="1979"/>
    <n v="1728"/>
    <m/>
    <m/>
    <n v="0"/>
    <m/>
    <m/>
    <n v="1728"/>
    <n v="2000"/>
    <n v="9"/>
    <m/>
    <m/>
    <m/>
    <m/>
    <m/>
    <m/>
    <m/>
    <n v="327067"/>
    <n v="255112"/>
    <n v="14611"/>
    <n v="367000"/>
    <n v="52700"/>
    <n v="314300"/>
    <n v="0"/>
    <n v="0"/>
    <n v="89850.625589999996"/>
    <n v="-56090.612940989391"/>
    <n v="29814.093161000001"/>
    <n v="197752.34721000001"/>
    <n v="-10037.0520225"/>
    <n v="85378.181547455999"/>
    <n v="0"/>
    <n v="0"/>
    <n v="0"/>
    <n v="34128.198946800003"/>
    <n v="0"/>
    <n v="14600"/>
    <n v="337000"/>
    <n v="33800"/>
    <n v="385400"/>
    <n v="5.0136239782016347E-2"/>
    <n v="0.99970000000000003"/>
    <n v="1.0088999999999999"/>
    <n v="0.99650000000000005"/>
    <n v="1.0093000000000001"/>
    <n v="0.96919999999999995"/>
    <n v="0.94971499999999998"/>
    <n v="0.93401188212709219"/>
    <n v="337000"/>
    <n v="13900"/>
    <n v="350900"/>
    <n v="32100"/>
    <n v="383000"/>
    <n v="0.11644925230671332"/>
    <n v="-0.39089184060721061"/>
    <n v="4.3596730245231606E-2"/>
  </r>
  <r>
    <n v="2025"/>
    <s v="18132322019    "/>
    <n v="-1.5606477482646683"/>
    <n v="0.21"/>
    <m/>
    <s v="6"/>
    <s v="RES"/>
    <x v="0"/>
    <s v="11"/>
    <s v="259"/>
    <s v="RN"/>
    <s v="A"/>
    <s v="AV"/>
    <x v="4"/>
    <n v="48"/>
    <n v="45"/>
    <n v="1976"/>
    <n v="1979"/>
    <n v="1074"/>
    <m/>
    <m/>
    <n v="0"/>
    <m/>
    <m/>
    <n v="1074"/>
    <n v="1500"/>
    <n v="7"/>
    <m/>
    <m/>
    <m/>
    <m/>
    <m/>
    <m/>
    <m/>
    <n v="184765"/>
    <n v="142269"/>
    <n v="13692"/>
    <n v="294100"/>
    <n v="60100"/>
    <n v="234000"/>
    <n v="0"/>
    <n v="0"/>
    <n v="89850.625589999996"/>
    <n v="-49401.70477837498"/>
    <n v="21557.329055999999"/>
    <n v="160472.20319"/>
    <n v="-10037.0520225"/>
    <n v="53064.911447898005"/>
    <n v="0"/>
    <n v="0"/>
    <n v="0"/>
    <n v="26544.1547364"/>
    <n v="0"/>
    <n v="13700"/>
    <n v="251600"/>
    <n v="40400"/>
    <n v="305700"/>
    <n v="3.944236654199252E-2"/>
    <n v="0.99970000000000003"/>
    <n v="1.0067999999999999"/>
    <n v="0.99729999999999996"/>
    <n v="1.0157"/>
    <n v="0.96919999999999995"/>
    <n v="0.94971499999999998"/>
    <n v="0.93873104601730073"/>
    <n v="251600"/>
    <n v="13000"/>
    <n v="264600"/>
    <n v="38400"/>
    <n v="303000"/>
    <n v="0.13076923076923078"/>
    <n v="-0.36106489184692181"/>
    <n v="3.0261815708942538E-2"/>
  </r>
  <r>
    <n v="2025"/>
    <s v="18132244451    "/>
    <n v="-1.3093333199837622"/>
    <n v="0.27"/>
    <n v="11900"/>
    <s v="6"/>
    <s v="RES"/>
    <x v="0"/>
    <s v="11"/>
    <s v="259"/>
    <s v="CP"/>
    <s v="G"/>
    <s v="FR"/>
    <x v="4"/>
    <n v="48"/>
    <n v="45"/>
    <n v="1976"/>
    <n v="1979"/>
    <n v="1696"/>
    <m/>
    <n v="1696"/>
    <n v="0"/>
    <n v="1696"/>
    <m/>
    <n v="3392"/>
    <n v="3500"/>
    <n v="13"/>
    <m/>
    <m/>
    <n v="496"/>
    <m/>
    <m/>
    <m/>
    <m/>
    <n v="551878"/>
    <n v="419427"/>
    <n v="15447"/>
    <n v="416500"/>
    <n v="68900"/>
    <n v="347600"/>
    <n v="0"/>
    <n v="0"/>
    <n v="89850.625589999996"/>
    <n v="-41446.443120973789"/>
    <n v="44121.038090000002"/>
    <n v="133714.53821"/>
    <n v="-10037.0520225"/>
    <n v="83797.104111392007"/>
    <n v="0"/>
    <n v="0"/>
    <n v="49322.894338911996"/>
    <n v="49296.287367600002"/>
    <n v="16514.575576896001"/>
    <n v="15400"/>
    <n v="366700"/>
    <n v="48400"/>
    <n v="430500"/>
    <n v="3.3613445378151259E-2"/>
    <n v="0.99970000000000003"/>
    <n v="0.98050000000000004"/>
    <n v="0.99329999999999996"/>
    <n v="1.0126999999999999"/>
    <n v="0.96919999999999995"/>
    <n v="0.94971499999999998"/>
    <n v="0.90785302775622978"/>
    <n v="366700"/>
    <n v="14700"/>
    <n v="381400"/>
    <n v="46000"/>
    <n v="427400"/>
    <n v="9.7238204833141537E-2"/>
    <n v="-0.33236574746008707"/>
    <n v="2.617046818727491E-2"/>
  </r>
  <r>
    <n v="2025"/>
    <s v="18132321504    "/>
    <n v="-4.6051701859880909"/>
    <n v="0.01"/>
    <n v="540"/>
    <s v="6"/>
    <s v="CON"/>
    <x v="0"/>
    <s v="11"/>
    <s v="262"/>
    <s v="CE"/>
    <s v="F+"/>
    <s v="AV"/>
    <x v="4"/>
    <n v="49"/>
    <n v="45"/>
    <n v="1975"/>
    <n v="1979"/>
    <n v="540"/>
    <m/>
    <m/>
    <n v="0"/>
    <m/>
    <m/>
    <n v="540"/>
    <n v="1000"/>
    <n v="5"/>
    <m/>
    <m/>
    <m/>
    <m/>
    <m/>
    <m/>
    <m/>
    <n v="94110"/>
    <n v="72465"/>
    <n v="0"/>
    <n v="74300"/>
    <n v="11100"/>
    <n v="63200"/>
    <n v="0"/>
    <n v="0"/>
    <n v="89850.625589999996"/>
    <n v="-145774.89265936252"/>
    <n v="0"/>
    <n v="160472.20319"/>
    <n v="-10037.0520225"/>
    <n v="26680.681733580001"/>
    <n v="0"/>
    <n v="0"/>
    <n v="0"/>
    <n v="18960.110526"/>
    <n v="0"/>
    <n v="0"/>
    <n v="196100"/>
    <n v="-55900"/>
    <n v="140200"/>
    <n v="0.88694481830417227"/>
    <n v="0.99970000000000003"/>
    <n v="0.99180000000000001"/>
    <n v="0.99729999999999996"/>
    <n v="1.0148999999999999"/>
    <n v="0.96919999999999995"/>
    <n v="0.94971499999999998"/>
    <n v="0.92401682330597379"/>
    <n v="196100"/>
    <n v="0"/>
    <n v="196100"/>
    <n v="-53100"/>
    <n v="143000"/>
    <n v="2.1028481012658227"/>
    <n v="-5.7837837837837842"/>
    <n v="0.92462987886944814"/>
  </r>
  <r>
    <n v="2025"/>
    <s v="18132321509    "/>
    <n v="-4.6051701859880909"/>
    <n v="0.01"/>
    <n v="540"/>
    <s v="6"/>
    <s v="CON"/>
    <x v="0"/>
    <s v="11"/>
    <s v="262"/>
    <s v="CE"/>
    <s v="F+"/>
    <s v="AV"/>
    <x v="4"/>
    <n v="49"/>
    <n v="45"/>
    <n v="1975"/>
    <n v="1979"/>
    <n v="540"/>
    <m/>
    <m/>
    <n v="0"/>
    <m/>
    <m/>
    <n v="540"/>
    <n v="1000"/>
    <n v="5"/>
    <m/>
    <m/>
    <m/>
    <m/>
    <m/>
    <m/>
    <m/>
    <n v="94110"/>
    <n v="72465"/>
    <n v="0"/>
    <n v="74300"/>
    <n v="11100"/>
    <n v="63200"/>
    <n v="0"/>
    <n v="0"/>
    <n v="89850.625589999996"/>
    <n v="-145774.89265936252"/>
    <n v="0"/>
    <n v="160472.20319"/>
    <n v="-10037.0520225"/>
    <n v="26680.681733580001"/>
    <n v="0"/>
    <n v="0"/>
    <n v="0"/>
    <n v="18960.110526"/>
    <n v="0"/>
    <n v="0"/>
    <n v="196100"/>
    <n v="-55900"/>
    <n v="140200"/>
    <n v="0.88694481830417227"/>
    <n v="0.99970000000000003"/>
    <n v="0.99180000000000001"/>
    <n v="0.99729999999999996"/>
    <n v="1.0148999999999999"/>
    <n v="0.96919999999999995"/>
    <n v="0.94971499999999998"/>
    <n v="0.92401682330597379"/>
    <n v="196100"/>
    <n v="0"/>
    <n v="196100"/>
    <n v="-53100"/>
    <n v="143000"/>
    <n v="2.1028481012658227"/>
    <n v="-5.7837837837837842"/>
    <n v="0.92462987886944814"/>
  </r>
  <r>
    <n v="2025"/>
    <s v="18132321516    "/>
    <n v="-4.6051701859880909"/>
    <n v="0.01"/>
    <n v="540"/>
    <s v="6"/>
    <s v="CON"/>
    <x v="0"/>
    <s v="11"/>
    <s v="262"/>
    <s v="CE"/>
    <s v="F+"/>
    <s v="AV"/>
    <x v="4"/>
    <n v="49"/>
    <n v="45"/>
    <n v="1975"/>
    <n v="1979"/>
    <n v="540"/>
    <m/>
    <m/>
    <n v="0"/>
    <m/>
    <m/>
    <n v="540"/>
    <n v="1000"/>
    <n v="5"/>
    <m/>
    <m/>
    <m/>
    <m/>
    <m/>
    <m/>
    <m/>
    <n v="94110"/>
    <n v="72465"/>
    <n v="0"/>
    <n v="74300"/>
    <n v="11100"/>
    <n v="63200"/>
    <n v="0"/>
    <n v="0"/>
    <n v="89850.625589999996"/>
    <n v="-145774.89265936252"/>
    <n v="0"/>
    <n v="160472.20319"/>
    <n v="-10037.0520225"/>
    <n v="26680.681733580001"/>
    <n v="0"/>
    <n v="0"/>
    <n v="0"/>
    <n v="18960.110526"/>
    <n v="0"/>
    <n v="0"/>
    <n v="196100"/>
    <n v="-55900"/>
    <n v="140200"/>
    <n v="0.88694481830417227"/>
    <n v="0.99970000000000003"/>
    <n v="0.99180000000000001"/>
    <n v="0.99729999999999996"/>
    <n v="1.0148999999999999"/>
    <n v="0.96919999999999995"/>
    <n v="0.94971499999999998"/>
    <n v="0.92401682330597379"/>
    <n v="196100"/>
    <n v="0"/>
    <n v="196100"/>
    <n v="-53100"/>
    <n v="143000"/>
    <n v="2.1028481012658227"/>
    <n v="-5.7837837837837842"/>
    <n v="0.92462987886944814"/>
  </r>
  <r>
    <n v="2025"/>
    <s v="18132321501    "/>
    <n v="-4.6051701859880909"/>
    <n v="0.01"/>
    <n v="540"/>
    <s v="6"/>
    <s v="CON"/>
    <x v="0"/>
    <s v="11"/>
    <s v="262"/>
    <s v="CE"/>
    <s v="F+"/>
    <s v="AV"/>
    <x v="4"/>
    <n v="49"/>
    <n v="45"/>
    <n v="1975"/>
    <n v="1979"/>
    <n v="540"/>
    <m/>
    <m/>
    <n v="0"/>
    <m/>
    <m/>
    <n v="540"/>
    <n v="1000"/>
    <n v="5"/>
    <m/>
    <m/>
    <m/>
    <m/>
    <m/>
    <m/>
    <m/>
    <n v="96427"/>
    <n v="74249"/>
    <n v="0"/>
    <n v="76100"/>
    <n v="11400"/>
    <n v="64700"/>
    <n v="0"/>
    <n v="0"/>
    <n v="89850.625589999996"/>
    <n v="-145774.89265936252"/>
    <n v="0"/>
    <n v="160472.20319"/>
    <n v="-10037.0520225"/>
    <n v="26680.681733580001"/>
    <n v="0"/>
    <n v="0"/>
    <n v="0"/>
    <n v="18960.110526"/>
    <n v="0"/>
    <n v="0"/>
    <n v="196100"/>
    <n v="-55900"/>
    <n v="140200"/>
    <n v="0.8423127463863338"/>
    <n v="0.99970000000000003"/>
    <n v="0.99180000000000001"/>
    <n v="0.99729999999999996"/>
    <n v="1.0148999999999999"/>
    <n v="0.96919999999999995"/>
    <n v="0.94971499999999998"/>
    <n v="0.92401682330597379"/>
    <n v="196100"/>
    <n v="0"/>
    <n v="196100"/>
    <n v="-53100"/>
    <n v="143000"/>
    <n v="2.0309119010819163"/>
    <n v="-5.6578947368421053"/>
    <n v="0.87910643889618922"/>
  </r>
  <r>
    <n v="2025"/>
    <s v="18132321505    "/>
    <n v="-4.6051701859880909"/>
    <n v="0.01"/>
    <n v="540"/>
    <s v="6"/>
    <s v="CON"/>
    <x v="0"/>
    <s v="11"/>
    <s v="262"/>
    <s v="CE"/>
    <s v="F+"/>
    <s v="AV"/>
    <x v="4"/>
    <n v="49"/>
    <n v="45"/>
    <n v="1975"/>
    <n v="1979"/>
    <n v="540"/>
    <m/>
    <m/>
    <n v="0"/>
    <m/>
    <m/>
    <n v="540"/>
    <n v="1000"/>
    <n v="5"/>
    <m/>
    <m/>
    <m/>
    <m/>
    <m/>
    <m/>
    <m/>
    <n v="96427"/>
    <n v="74249"/>
    <n v="0"/>
    <n v="76100"/>
    <n v="11400"/>
    <n v="64700"/>
    <n v="0"/>
    <n v="0"/>
    <n v="89850.625589999996"/>
    <n v="-145774.89265936252"/>
    <n v="0"/>
    <n v="160472.20319"/>
    <n v="-10037.0520225"/>
    <n v="26680.681733580001"/>
    <n v="0"/>
    <n v="0"/>
    <n v="0"/>
    <n v="18960.110526"/>
    <n v="0"/>
    <n v="0"/>
    <n v="196100"/>
    <n v="-55900"/>
    <n v="140200"/>
    <n v="0.8423127463863338"/>
    <n v="0.99970000000000003"/>
    <n v="0.99180000000000001"/>
    <n v="0.99729999999999996"/>
    <n v="1.0148999999999999"/>
    <n v="0.96919999999999995"/>
    <n v="0.94971499999999998"/>
    <n v="0.92401682330597379"/>
    <n v="196100"/>
    <n v="0"/>
    <n v="196100"/>
    <n v="-53100"/>
    <n v="143000"/>
    <n v="2.0309119010819163"/>
    <n v="-5.6578947368421053"/>
    <n v="0.87910643889618922"/>
  </r>
  <r>
    <n v="2025"/>
    <s v="18132321512    "/>
    <n v="-4.6051701859880909"/>
    <n v="0.01"/>
    <n v="540"/>
    <s v="6"/>
    <s v="CON"/>
    <x v="0"/>
    <s v="11"/>
    <s v="262"/>
    <s v="CE"/>
    <s v="F+"/>
    <s v="AV"/>
    <x v="4"/>
    <n v="49"/>
    <n v="45"/>
    <n v="1975"/>
    <n v="1979"/>
    <n v="540"/>
    <m/>
    <m/>
    <n v="0"/>
    <m/>
    <m/>
    <n v="540"/>
    <n v="1000"/>
    <n v="5"/>
    <m/>
    <m/>
    <m/>
    <m/>
    <m/>
    <m/>
    <m/>
    <n v="96427"/>
    <n v="74249"/>
    <n v="0"/>
    <n v="76100"/>
    <n v="11400"/>
    <n v="64700"/>
    <n v="0"/>
    <n v="0"/>
    <n v="89850.625589999996"/>
    <n v="-145774.89265936252"/>
    <n v="0"/>
    <n v="160472.20319"/>
    <n v="-10037.0520225"/>
    <n v="26680.681733580001"/>
    <n v="0"/>
    <n v="0"/>
    <n v="0"/>
    <n v="18960.110526"/>
    <n v="0"/>
    <n v="0"/>
    <n v="196100"/>
    <n v="-55900"/>
    <n v="140200"/>
    <n v="0.8423127463863338"/>
    <n v="0.99970000000000003"/>
    <n v="0.99180000000000001"/>
    <n v="0.99729999999999996"/>
    <n v="1.0148999999999999"/>
    <n v="0.96919999999999995"/>
    <n v="0.94971499999999998"/>
    <n v="0.92401682330597379"/>
    <n v="196100"/>
    <n v="0"/>
    <n v="196100"/>
    <n v="-53100"/>
    <n v="143000"/>
    <n v="2.0309119010819163"/>
    <n v="-5.6578947368421053"/>
    <n v="0.87910643889618922"/>
  </r>
  <r>
    <n v="2025"/>
    <s v="18132321513    "/>
    <n v="-4.6051701859880909"/>
    <n v="0.01"/>
    <n v="540"/>
    <s v="6"/>
    <s v="CON"/>
    <x v="0"/>
    <s v="11"/>
    <s v="262"/>
    <s v="CE"/>
    <s v="F+"/>
    <s v="AV"/>
    <x v="4"/>
    <n v="49"/>
    <n v="45"/>
    <n v="1975"/>
    <n v="1979"/>
    <n v="540"/>
    <m/>
    <m/>
    <n v="0"/>
    <m/>
    <m/>
    <n v="540"/>
    <n v="1000"/>
    <n v="5"/>
    <m/>
    <m/>
    <m/>
    <m/>
    <m/>
    <m/>
    <m/>
    <n v="96972"/>
    <n v="74668"/>
    <n v="0"/>
    <n v="76600"/>
    <n v="11500"/>
    <n v="65100"/>
    <n v="0"/>
    <n v="0"/>
    <n v="89850.625589999996"/>
    <n v="-145774.89265936252"/>
    <n v="0"/>
    <n v="160472.20319"/>
    <n v="-10037.0520225"/>
    <n v="26680.681733580001"/>
    <n v="0"/>
    <n v="0"/>
    <n v="0"/>
    <n v="18960.110526"/>
    <n v="0"/>
    <n v="0"/>
    <n v="196100"/>
    <n v="-55900"/>
    <n v="140200"/>
    <n v="0.83028720626631858"/>
    <n v="0.99970000000000003"/>
    <n v="0.99180000000000001"/>
    <n v="0.99729999999999996"/>
    <n v="1.0148999999999999"/>
    <n v="0.96919999999999995"/>
    <n v="0.94971499999999998"/>
    <n v="0.92401682330597379"/>
    <n v="196100"/>
    <n v="0"/>
    <n v="196100"/>
    <n v="-53100"/>
    <n v="143000"/>
    <n v="2.0122887864823347"/>
    <n v="-5.6173913043478265"/>
    <n v="0.86684073107049608"/>
  </r>
  <r>
    <n v="2025"/>
    <s v="18132321508    "/>
    <n v="-4.6051701859880909"/>
    <n v="0.01"/>
    <n v="540"/>
    <s v="6"/>
    <s v="CON"/>
    <x v="0"/>
    <s v="11"/>
    <s v="262"/>
    <s v="CE"/>
    <s v="F+"/>
    <s v="AV"/>
    <x v="4"/>
    <n v="49"/>
    <n v="45"/>
    <n v="1975"/>
    <n v="1979"/>
    <n v="540"/>
    <m/>
    <m/>
    <n v="0"/>
    <m/>
    <m/>
    <n v="540"/>
    <n v="1000"/>
    <n v="5"/>
    <m/>
    <m/>
    <m/>
    <m/>
    <m/>
    <m/>
    <m/>
    <n v="97944"/>
    <n v="75417"/>
    <n v="0"/>
    <n v="77300"/>
    <n v="11600"/>
    <n v="65700"/>
    <n v="0"/>
    <n v="0"/>
    <n v="89850.625589999996"/>
    <n v="-145774.89265936252"/>
    <n v="0"/>
    <n v="160472.20319"/>
    <n v="-10037.0520225"/>
    <n v="26680.681733580001"/>
    <n v="0"/>
    <n v="0"/>
    <n v="0"/>
    <n v="18960.110526"/>
    <n v="0"/>
    <n v="0"/>
    <n v="196100"/>
    <n v="-55900"/>
    <n v="140200"/>
    <n v="0.8137128072445019"/>
    <n v="0.99970000000000003"/>
    <n v="0.99180000000000001"/>
    <n v="0.99729999999999996"/>
    <n v="1.0148999999999999"/>
    <n v="0.96919999999999995"/>
    <n v="0.94971499999999998"/>
    <n v="0.92401682330597379"/>
    <n v="196100"/>
    <n v="0"/>
    <n v="196100"/>
    <n v="-53100"/>
    <n v="143000"/>
    <n v="1.9847792998477929"/>
    <n v="-5.5775862068965516"/>
    <n v="0.8499353169469599"/>
  </r>
  <r>
    <n v="2025"/>
    <s v="18132212473    "/>
    <n v="-1.9661128563728327"/>
    <n v="0.14000000000000001"/>
    <n v="6041"/>
    <s v="6"/>
    <s v="RES"/>
    <x v="0"/>
    <s v="11"/>
    <s v="325"/>
    <s v="PE"/>
    <s v="G"/>
    <s v="GD"/>
    <x v="4"/>
    <n v="49"/>
    <n v="45"/>
    <n v="1975"/>
    <n v="1979"/>
    <n v="1507"/>
    <m/>
    <m/>
    <n v="0"/>
    <m/>
    <m/>
    <n v="1507"/>
    <n v="2000"/>
    <n v="8"/>
    <n v="648"/>
    <m/>
    <m/>
    <m/>
    <m/>
    <m/>
    <m/>
    <n v="362975"/>
    <n v="283121"/>
    <n v="0"/>
    <n v="275500"/>
    <n v="45300"/>
    <n v="230200"/>
    <n v="0"/>
    <n v="0"/>
    <n v="89850.625589999996"/>
    <n v="-62236.546971921947"/>
    <n v="44121.038090000002"/>
    <n v="197752.34721000001"/>
    <n v="-10037.0520225"/>
    <n v="74458.865504639005"/>
    <n v="0"/>
    <n v="0"/>
    <n v="0"/>
    <n v="30336.176841600001"/>
    <n v="0"/>
    <n v="0"/>
    <n v="336600"/>
    <n v="27600"/>
    <n v="364200"/>
    <n v="0.32196007259528131"/>
    <n v="0.99970000000000003"/>
    <n v="0.98050000000000004"/>
    <n v="0.99650000000000005"/>
    <n v="1.0093000000000001"/>
    <n v="0.96919999999999995"/>
    <n v="0.94971499999999998"/>
    <n v="0.90771994293350589"/>
    <n v="336600"/>
    <n v="0"/>
    <n v="336600"/>
    <n v="26200"/>
    <n v="362800"/>
    <n v="0.46220677671589921"/>
    <n v="-0.4216335540838852"/>
    <n v="0.31687840290381125"/>
  </r>
  <r>
    <n v="2025"/>
    <s v="18132321511    "/>
    <n v="-3.912023005428146"/>
    <n v="0.02"/>
    <n v="612"/>
    <s v="6"/>
    <s v="CON"/>
    <x v="0"/>
    <s v="11"/>
    <s v="262"/>
    <s v="CM"/>
    <s v="A"/>
    <s v="AV"/>
    <x v="4"/>
    <n v="49"/>
    <n v="45"/>
    <n v="1975"/>
    <n v="1979"/>
    <n v="612"/>
    <n v="612"/>
    <m/>
    <n v="0"/>
    <m/>
    <m/>
    <n v="1224"/>
    <n v="1500"/>
    <n v="7"/>
    <m/>
    <m/>
    <m/>
    <m/>
    <m/>
    <m/>
    <m/>
    <n v="187477"/>
    <n v="144357"/>
    <n v="0"/>
    <n v="179500"/>
    <n v="26900"/>
    <n v="152600"/>
    <n v="0"/>
    <n v="0"/>
    <n v="89850.625589999996"/>
    <n v="-123833.58500677992"/>
    <n v="21557.329055999999"/>
    <n v="160472.20319"/>
    <n v="-10037.0520225"/>
    <n v="30238.105964724"/>
    <n v="27409.290790931998"/>
    <n v="0"/>
    <n v="0"/>
    <n v="26544.1547364"/>
    <n v="0"/>
    <n v="0"/>
    <n v="256200"/>
    <n v="-34000"/>
    <n v="222200"/>
    <n v="0.23788300835654597"/>
    <n v="0.99970000000000003"/>
    <n v="1.0067999999999999"/>
    <n v="0.99729999999999996"/>
    <n v="1.0157"/>
    <n v="0.96919999999999995"/>
    <n v="0.94971499999999998"/>
    <n v="0.93873104601730073"/>
    <n v="256200"/>
    <n v="0"/>
    <n v="256200"/>
    <n v="-32300"/>
    <n v="223900"/>
    <n v="0.67889908256880738"/>
    <n v="-2.2007434944237918"/>
    <n v="0.24735376044568244"/>
  </r>
  <r>
    <n v="2025"/>
    <s v="18132321514    "/>
    <n v="-3.912023005428146"/>
    <n v="0.02"/>
    <n v="612"/>
    <s v="6"/>
    <s v="CON"/>
    <x v="0"/>
    <s v="11"/>
    <s v="262"/>
    <s v="CM"/>
    <s v="A"/>
    <s v="AV"/>
    <x v="4"/>
    <n v="49"/>
    <n v="45"/>
    <n v="1975"/>
    <n v="1979"/>
    <n v="612"/>
    <n v="612"/>
    <m/>
    <n v="0"/>
    <m/>
    <m/>
    <n v="1224"/>
    <n v="1500"/>
    <n v="7"/>
    <m/>
    <m/>
    <m/>
    <m/>
    <m/>
    <m/>
    <m/>
    <n v="187477"/>
    <n v="144357"/>
    <n v="0"/>
    <n v="179500"/>
    <n v="26900"/>
    <n v="152600"/>
    <n v="0"/>
    <n v="0"/>
    <n v="89850.625589999996"/>
    <n v="-123833.58500677992"/>
    <n v="21557.329055999999"/>
    <n v="160472.20319"/>
    <n v="-10037.0520225"/>
    <n v="30238.105964724"/>
    <n v="27409.290790931998"/>
    <n v="0"/>
    <n v="0"/>
    <n v="26544.1547364"/>
    <n v="0"/>
    <n v="0"/>
    <n v="256200"/>
    <n v="-34000"/>
    <n v="222200"/>
    <n v="0.23788300835654597"/>
    <n v="0.99970000000000003"/>
    <n v="1.0067999999999999"/>
    <n v="0.99729999999999996"/>
    <n v="1.0157"/>
    <n v="0.96919999999999995"/>
    <n v="0.94971499999999998"/>
    <n v="0.93873104601730073"/>
    <n v="256200"/>
    <n v="0"/>
    <n v="256200"/>
    <n v="-32300"/>
    <n v="223900"/>
    <n v="0.67889908256880738"/>
    <n v="-2.2007434944237918"/>
    <n v="0.24735376044568244"/>
  </r>
  <r>
    <n v="2025"/>
    <s v="18132321515    "/>
    <n v="-3.912023005428146"/>
    <n v="0.02"/>
    <n v="612"/>
    <s v="6"/>
    <s v="CON"/>
    <x v="0"/>
    <s v="11"/>
    <s v="262"/>
    <s v="CM"/>
    <s v="A"/>
    <s v="AV"/>
    <x v="4"/>
    <n v="49"/>
    <n v="45"/>
    <n v="1975"/>
    <n v="1979"/>
    <n v="612"/>
    <n v="612"/>
    <m/>
    <n v="0"/>
    <m/>
    <m/>
    <n v="1224"/>
    <n v="1500"/>
    <n v="7"/>
    <m/>
    <m/>
    <m/>
    <m/>
    <m/>
    <m/>
    <m/>
    <n v="192863"/>
    <n v="148505"/>
    <n v="0"/>
    <n v="184700"/>
    <n v="27700"/>
    <n v="157000"/>
    <n v="0"/>
    <n v="0"/>
    <n v="89850.625589999996"/>
    <n v="-123833.58500677992"/>
    <n v="21557.329055999999"/>
    <n v="160472.20319"/>
    <n v="-10037.0520225"/>
    <n v="30238.105964724"/>
    <n v="27409.290790931998"/>
    <n v="0"/>
    <n v="0"/>
    <n v="26544.1547364"/>
    <n v="0"/>
    <n v="0"/>
    <n v="256200"/>
    <n v="-34000"/>
    <n v="222200"/>
    <n v="0.20303194369247429"/>
    <n v="0.99970000000000003"/>
    <n v="1.0067999999999999"/>
    <n v="0.99729999999999996"/>
    <n v="1.0157"/>
    <n v="0.96919999999999995"/>
    <n v="0.94971499999999998"/>
    <n v="0.93873104601730073"/>
    <n v="256200"/>
    <n v="0"/>
    <n v="256200"/>
    <n v="-32300"/>
    <n v="223900"/>
    <n v="0.63184713375796175"/>
    <n v="-2.1660649819494586"/>
    <n v="0.21223605847319979"/>
  </r>
  <r>
    <n v="2025"/>
    <s v="18132321510    "/>
    <n v="-3.912023005428146"/>
    <n v="0.02"/>
    <n v="612"/>
    <s v="6"/>
    <s v="CON"/>
    <x v="0"/>
    <s v="11"/>
    <s v="262"/>
    <s v="CM"/>
    <s v="A"/>
    <s v="AV"/>
    <x v="4"/>
    <n v="49"/>
    <n v="45"/>
    <n v="1975"/>
    <n v="1979"/>
    <n v="612"/>
    <n v="612"/>
    <m/>
    <n v="0"/>
    <m/>
    <m/>
    <n v="1224"/>
    <n v="1500"/>
    <n v="7"/>
    <m/>
    <m/>
    <m/>
    <m/>
    <m/>
    <m/>
    <m/>
    <n v="194148"/>
    <n v="149494"/>
    <n v="0"/>
    <n v="185900"/>
    <n v="27900"/>
    <n v="158000"/>
    <n v="0"/>
    <n v="0"/>
    <n v="89850.625589999996"/>
    <n v="-123833.58500677992"/>
    <n v="21557.329055999999"/>
    <n v="160472.20319"/>
    <n v="-10037.0520225"/>
    <n v="30238.105964724"/>
    <n v="27409.290790931998"/>
    <n v="0"/>
    <n v="0"/>
    <n v="26544.1547364"/>
    <n v="0"/>
    <n v="0"/>
    <n v="256200"/>
    <n v="-34000"/>
    <n v="222200"/>
    <n v="0.19526627218934911"/>
    <n v="0.99970000000000003"/>
    <n v="1.0067999999999999"/>
    <n v="0.99729999999999996"/>
    <n v="1.0157"/>
    <n v="0.96919999999999995"/>
    <n v="0.94971499999999998"/>
    <n v="0.93873104601730073"/>
    <n v="256200"/>
    <n v="0"/>
    <n v="256200"/>
    <n v="-32300"/>
    <n v="223900"/>
    <n v="0.62151898734177213"/>
    <n v="-2.1577060931899643"/>
    <n v="0.20441097364174288"/>
  </r>
  <r>
    <n v="2025"/>
    <s v="18132321506    "/>
    <n v="-4.6051701859880909"/>
    <n v="0.01"/>
    <n v="612"/>
    <s v="6"/>
    <s v="CON"/>
    <x v="0"/>
    <s v="11"/>
    <s v="262"/>
    <s v="CM"/>
    <s v="A"/>
    <s v="AV"/>
    <x v="4"/>
    <n v="49"/>
    <n v="45"/>
    <n v="1975"/>
    <n v="1979"/>
    <n v="612"/>
    <n v="612"/>
    <m/>
    <n v="0"/>
    <m/>
    <m/>
    <n v="1224"/>
    <n v="1500"/>
    <n v="7"/>
    <m/>
    <m/>
    <m/>
    <m/>
    <m/>
    <m/>
    <m/>
    <n v="187477"/>
    <n v="144357"/>
    <n v="0"/>
    <n v="179500"/>
    <n v="26900"/>
    <n v="152600"/>
    <n v="0"/>
    <n v="0"/>
    <n v="89850.625589999996"/>
    <n v="-145774.89265936252"/>
    <n v="21557.329055999999"/>
    <n v="160472.20319"/>
    <n v="-10037.0520225"/>
    <n v="30238.105964724"/>
    <n v="27409.290790931998"/>
    <n v="0"/>
    <n v="0"/>
    <n v="26544.1547364"/>
    <n v="0"/>
    <n v="0"/>
    <n v="256200"/>
    <n v="-55900"/>
    <n v="200300"/>
    <n v="0.11587743732590529"/>
    <n v="0.99970000000000003"/>
    <n v="1.0067999999999999"/>
    <n v="0.99729999999999996"/>
    <n v="1.0157"/>
    <n v="0.96919999999999995"/>
    <n v="0.94971499999999998"/>
    <n v="0.93873104601730073"/>
    <n v="256200"/>
    <n v="0"/>
    <n v="256200"/>
    <n v="-53100"/>
    <n v="203100"/>
    <n v="0.67889908256880738"/>
    <n v="-2.9739776951672861"/>
    <n v="0.13147632311977717"/>
  </r>
  <r>
    <n v="2025"/>
    <s v="18132212465    "/>
    <n v="-1.9661128563728327"/>
    <n v="0.14000000000000001"/>
    <n v="6174"/>
    <s v="6"/>
    <s v="RES"/>
    <x v="0"/>
    <s v="11"/>
    <s v="325"/>
    <s v="PE"/>
    <s v="G"/>
    <s v="GD"/>
    <x v="4"/>
    <n v="49"/>
    <n v="45"/>
    <n v="1975"/>
    <n v="1979"/>
    <n v="2155"/>
    <m/>
    <m/>
    <n v="0"/>
    <m/>
    <m/>
    <n v="2155"/>
    <n v="2500"/>
    <n v="8"/>
    <n v="618"/>
    <m/>
    <n v="100"/>
    <m/>
    <m/>
    <m/>
    <m/>
    <n v="486048"/>
    <n v="379117"/>
    <n v="0"/>
    <n v="353900"/>
    <n v="45500"/>
    <n v="308400"/>
    <n v="0"/>
    <n v="0"/>
    <n v="89850.625589999996"/>
    <n v="-62236.546971921947"/>
    <n v="44121.038090000002"/>
    <n v="197752.34721000001"/>
    <n v="-10037.0520225"/>
    <n v="106475.683584935"/>
    <n v="0"/>
    <n v="0"/>
    <n v="0"/>
    <n v="30336.176841600001"/>
    <n v="3329.5515276000006"/>
    <n v="0"/>
    <n v="372000"/>
    <n v="27600"/>
    <n v="399600"/>
    <n v="0.12913252331166997"/>
    <n v="0.99970000000000003"/>
    <n v="0.98050000000000004"/>
    <n v="0.99650000000000005"/>
    <n v="0.98919999999999997"/>
    <n v="0.96919999999999995"/>
    <n v="0.94971499999999998"/>
    <n v="0.88964288868505292"/>
    <n v="372000"/>
    <n v="0"/>
    <n v="372000"/>
    <n v="26200"/>
    <n v="398200"/>
    <n v="0.20622568093385213"/>
    <n v="-0.42417582417582417"/>
    <n v="0.12517660356032778"/>
  </r>
  <r>
    <n v="2025"/>
    <s v="18132321503    "/>
    <n v="-4.6051701859880909"/>
    <n v="0.01"/>
    <n v="612"/>
    <s v="6"/>
    <s v="CON"/>
    <x v="0"/>
    <s v="11"/>
    <s v="262"/>
    <s v="CM"/>
    <s v="A"/>
    <s v="AV"/>
    <x v="4"/>
    <n v="49"/>
    <n v="45"/>
    <n v="1975"/>
    <n v="1979"/>
    <n v="612"/>
    <n v="612"/>
    <m/>
    <n v="0"/>
    <m/>
    <m/>
    <n v="1224"/>
    <n v="1500"/>
    <n v="7"/>
    <m/>
    <m/>
    <m/>
    <m/>
    <m/>
    <m/>
    <m/>
    <n v="192863"/>
    <n v="148505"/>
    <n v="0"/>
    <n v="184700"/>
    <n v="27700"/>
    <n v="157000"/>
    <n v="0"/>
    <n v="0"/>
    <n v="89850.625589999996"/>
    <n v="-145774.89265936252"/>
    <n v="21557.329055999999"/>
    <n v="160472.20319"/>
    <n v="-10037.0520225"/>
    <n v="30238.105964724"/>
    <n v="27409.290790931998"/>
    <n v="0"/>
    <n v="0"/>
    <n v="26544.1547364"/>
    <n v="0"/>
    <n v="0"/>
    <n v="256200"/>
    <n v="-55900"/>
    <n v="200300"/>
    <n v="8.4461288576069299E-2"/>
    <n v="0.99970000000000003"/>
    <n v="1.0067999999999999"/>
    <n v="0.99729999999999996"/>
    <n v="1.0157"/>
    <n v="0.96919999999999995"/>
    <n v="0.94971499999999998"/>
    <n v="0.93873104601730073"/>
    <n v="256200"/>
    <n v="0"/>
    <n v="256200"/>
    <n v="-53100"/>
    <n v="203100"/>
    <n v="0.63184713375796175"/>
    <n v="-2.9169675090252709"/>
    <n v="9.962100703844072E-2"/>
  </r>
  <r>
    <n v="2025"/>
    <s v="18132321507    "/>
    <n v="-4.6051701859880909"/>
    <n v="0.01"/>
    <n v="612"/>
    <s v="6"/>
    <s v="CON"/>
    <x v="0"/>
    <s v="11"/>
    <s v="262"/>
    <s v="CM"/>
    <s v="A"/>
    <s v="AV"/>
    <x v="4"/>
    <n v="49"/>
    <n v="45"/>
    <n v="1975"/>
    <n v="1979"/>
    <n v="612"/>
    <n v="612"/>
    <m/>
    <n v="0"/>
    <m/>
    <m/>
    <n v="1224"/>
    <n v="1500"/>
    <n v="7"/>
    <m/>
    <m/>
    <m/>
    <m/>
    <m/>
    <m/>
    <m/>
    <n v="192863"/>
    <n v="148505"/>
    <n v="0"/>
    <n v="184700"/>
    <n v="27700"/>
    <n v="157000"/>
    <n v="0"/>
    <n v="0"/>
    <n v="89850.625589999996"/>
    <n v="-145774.89265936252"/>
    <n v="21557.329055999999"/>
    <n v="160472.20319"/>
    <n v="-10037.0520225"/>
    <n v="30238.105964724"/>
    <n v="27409.290790931998"/>
    <n v="0"/>
    <n v="0"/>
    <n v="26544.1547364"/>
    <n v="0"/>
    <n v="0"/>
    <n v="256200"/>
    <n v="-55900"/>
    <n v="200300"/>
    <n v="8.4461288576069299E-2"/>
    <n v="0.99970000000000003"/>
    <n v="1.0067999999999999"/>
    <n v="0.99729999999999996"/>
    <n v="1.0157"/>
    <n v="0.96919999999999995"/>
    <n v="0.94971499999999998"/>
    <n v="0.93873104601730073"/>
    <n v="256200"/>
    <n v="0"/>
    <n v="256200"/>
    <n v="-53100"/>
    <n v="203100"/>
    <n v="0.63184713375796175"/>
    <n v="-2.9169675090252709"/>
    <n v="9.962100703844072E-2"/>
  </r>
  <r>
    <n v="2025"/>
    <s v="18132211410    "/>
    <n v="-0.86750056770472306"/>
    <n v="0.42"/>
    <n v="18223"/>
    <s v="6"/>
    <s v="RES"/>
    <x v="0"/>
    <s v="11"/>
    <s v="259"/>
    <s v="RN"/>
    <s v="A"/>
    <s v="GD"/>
    <x v="4"/>
    <n v="49"/>
    <n v="45"/>
    <n v="1975"/>
    <n v="1979"/>
    <n v="1720"/>
    <m/>
    <m/>
    <n v="0"/>
    <m/>
    <m/>
    <n v="1720"/>
    <n v="2000"/>
    <n v="8"/>
    <n v="552"/>
    <m/>
    <n v="352"/>
    <m/>
    <m/>
    <m/>
    <m/>
    <n v="306098"/>
    <n v="238756"/>
    <n v="0"/>
    <n v="370100"/>
    <n v="84300"/>
    <n v="285800"/>
    <n v="0"/>
    <n v="0"/>
    <n v="89850.625589999996"/>
    <n v="-27460.397125792362"/>
    <n v="21557.329055999999"/>
    <n v="197752.34721000001"/>
    <n v="-10037.0520225"/>
    <n v="84982.912188440008"/>
    <n v="0"/>
    <n v="0"/>
    <n v="0"/>
    <n v="30336.176841600001"/>
    <n v="11720.021377152001"/>
    <n v="0"/>
    <n v="336300"/>
    <n v="62400"/>
    <n v="398700"/>
    <n v="7.7276411780599838E-2"/>
    <n v="0.99970000000000003"/>
    <n v="1.0067999999999999"/>
    <n v="0.99650000000000005"/>
    <n v="1.0093000000000001"/>
    <n v="0.96919999999999995"/>
    <n v="0.94971499999999998"/>
    <n v="0.93206775986277757"/>
    <n v="336300"/>
    <n v="0"/>
    <n v="336300"/>
    <n v="59300"/>
    <n v="395600"/>
    <n v="0.17669699090272917"/>
    <n v="-0.29655990510083036"/>
    <n v="6.8900297216968387E-2"/>
  </r>
  <r>
    <n v="2025"/>
    <s v="18132243424    "/>
    <n v="-1.7147984280919266"/>
    <n v="0.18"/>
    <n v="8010"/>
    <s v="6"/>
    <s v="RES"/>
    <x v="0"/>
    <s v="11"/>
    <s v="259"/>
    <s v="SE"/>
    <s v="G"/>
    <s v="AV"/>
    <x v="4"/>
    <n v="49"/>
    <n v="45"/>
    <n v="1975"/>
    <n v="1979"/>
    <n v="1352"/>
    <m/>
    <n v="624"/>
    <n v="0"/>
    <n v="624"/>
    <m/>
    <n v="1976"/>
    <n v="2000"/>
    <n v="10"/>
    <m/>
    <n v="624"/>
    <n v="192"/>
    <m/>
    <m/>
    <m/>
    <m/>
    <n v="408256"/>
    <n v="314357"/>
    <n v="0"/>
    <n v="344500"/>
    <n v="54700"/>
    <n v="289800"/>
    <n v="0"/>
    <n v="0"/>
    <n v="89850.625589999996"/>
    <n v="-54281.285314520763"/>
    <n v="44121.038090000002"/>
    <n v="160472.20319"/>
    <n v="-10037.0520225"/>
    <n v="66800.521673704003"/>
    <n v="0"/>
    <n v="0"/>
    <n v="18147.102634127998"/>
    <n v="37920.221052000001"/>
    <n v="6392.7389329920006"/>
    <n v="0"/>
    <n v="323800"/>
    <n v="35600"/>
    <n v="359400"/>
    <n v="4.3251088534107404E-2"/>
    <n v="0.99970000000000003"/>
    <n v="0.98050000000000004"/>
    <n v="0.99729999999999996"/>
    <n v="1.0093000000000001"/>
    <n v="0.96919999999999995"/>
    <n v="0.94971499999999998"/>
    <n v="0.90844866943059244"/>
    <n v="323800"/>
    <n v="0"/>
    <n v="323800"/>
    <n v="33800"/>
    <n v="357600"/>
    <n v="0.11732229123533472"/>
    <n v="-0.38208409506398539"/>
    <n v="3.8026124818577652E-2"/>
  </r>
  <r>
    <n v="2025"/>
    <s v="18132211408    "/>
    <n v="-1.3862943611198906"/>
    <n v="0.25"/>
    <n v="10856"/>
    <s v="6"/>
    <s v="RES"/>
    <x v="0"/>
    <s v="11"/>
    <s v="259"/>
    <s v="RN"/>
    <s v="A"/>
    <s v="AV"/>
    <x v="4"/>
    <n v="49"/>
    <n v="45"/>
    <n v="1975"/>
    <n v="1979"/>
    <n v="1152"/>
    <m/>
    <m/>
    <n v="0"/>
    <m/>
    <m/>
    <n v="1152"/>
    <n v="1500"/>
    <n v="7"/>
    <n v="480"/>
    <m/>
    <m/>
    <m/>
    <m/>
    <m/>
    <m/>
    <n v="209433"/>
    <n v="161263"/>
    <n v="0"/>
    <n v="290300"/>
    <n v="66200"/>
    <n v="224100"/>
    <n v="0"/>
    <n v="0"/>
    <n v="89850.625589999996"/>
    <n v="-43882.615305165229"/>
    <n v="21557.329055999999"/>
    <n v="160472.20319"/>
    <n v="-10037.0520225"/>
    <n v="56918.787698304004"/>
    <n v="0"/>
    <n v="0"/>
    <n v="0"/>
    <n v="26544.1547364"/>
    <n v="0"/>
    <n v="0"/>
    <n v="255500"/>
    <n v="46000"/>
    <n v="301500"/>
    <n v="3.8580778504994834E-2"/>
    <n v="0.99970000000000003"/>
    <n v="1.0067999999999999"/>
    <n v="0.99729999999999996"/>
    <n v="1.0157"/>
    <n v="0.96919999999999995"/>
    <n v="0.94971499999999998"/>
    <n v="0.93873104601730073"/>
    <n v="255500"/>
    <n v="0"/>
    <n v="255500"/>
    <n v="43700"/>
    <n v="299200"/>
    <n v="0.14011601963409193"/>
    <n v="-0.33987915407854985"/>
    <n v="3.0657940062004823E-2"/>
  </r>
  <r>
    <n v="2025"/>
    <s v="18132211407    "/>
    <n v="-1.3862943611198906"/>
    <n v="0.25"/>
    <n v="10884"/>
    <s v="6"/>
    <s v="RES"/>
    <x v="0"/>
    <s v="11"/>
    <s v="259"/>
    <s v="SE"/>
    <s v="A+"/>
    <s v="AV"/>
    <x v="4"/>
    <n v="49"/>
    <n v="45"/>
    <n v="1975"/>
    <n v="1979"/>
    <n v="1348"/>
    <m/>
    <n v="676"/>
    <n v="0"/>
    <n v="676"/>
    <m/>
    <n v="2024"/>
    <n v="2500"/>
    <n v="8"/>
    <n v="676"/>
    <n v="572"/>
    <n v="160"/>
    <m/>
    <m/>
    <m/>
    <m/>
    <n v="381089"/>
    <n v="293439"/>
    <n v="0"/>
    <n v="338000"/>
    <n v="66200"/>
    <n v="271800"/>
    <n v="0"/>
    <n v="0"/>
    <n v="89850.625589999996"/>
    <n v="-43882.615305165229"/>
    <n v="29814.093161000001"/>
    <n v="160472.20319"/>
    <n v="-10037.0520225"/>
    <n v="66602.886994196"/>
    <n v="0"/>
    <n v="0"/>
    <n v="19659.361186972001"/>
    <n v="30336.176841600001"/>
    <n v="5327.2824441600005"/>
    <n v="0"/>
    <n v="302200"/>
    <n v="46000"/>
    <n v="348200"/>
    <n v="3.0177514792899408E-2"/>
    <n v="0.99970000000000003"/>
    <n v="1.0088999999999999"/>
    <n v="0.99729999999999996"/>
    <n v="0.98919999999999997"/>
    <n v="0.96919999999999995"/>
    <n v="0.94971499999999998"/>
    <n v="0.91614613050448113"/>
    <n v="302200"/>
    <n v="0"/>
    <n v="302200"/>
    <n v="43700"/>
    <n v="345900"/>
    <n v="0.11184694628403238"/>
    <n v="-0.33987915407854985"/>
    <n v="2.3372781065088756E-2"/>
  </r>
  <r>
    <n v="2025"/>
    <s v="18132321502    "/>
    <n v="-4.6051701859880909"/>
    <n v="0.01"/>
    <n v="612"/>
    <s v="6"/>
    <s v="CON"/>
    <x v="0"/>
    <s v="11"/>
    <s v="262"/>
    <s v="CM"/>
    <s v="A"/>
    <s v="AV"/>
    <x v="4"/>
    <n v="49"/>
    <n v="45"/>
    <n v="1975"/>
    <n v="1979"/>
    <n v="612"/>
    <n v="612"/>
    <m/>
    <n v="0"/>
    <m/>
    <m/>
    <n v="1224"/>
    <n v="1500"/>
    <n v="7"/>
    <m/>
    <m/>
    <m/>
    <m/>
    <m/>
    <m/>
    <m/>
    <n v="192863"/>
    <n v="148505"/>
    <n v="0"/>
    <n v="198900"/>
    <n v="29800"/>
    <n v="169100"/>
    <n v="0"/>
    <n v="0"/>
    <n v="89850.625589999996"/>
    <n v="-145774.89265936252"/>
    <n v="21557.329055999999"/>
    <n v="160472.20319"/>
    <n v="-10037.0520225"/>
    <n v="30238.105964724"/>
    <n v="27409.290790931998"/>
    <n v="0"/>
    <n v="0"/>
    <n v="26544.1547364"/>
    <n v="0"/>
    <n v="0"/>
    <n v="256200"/>
    <n v="-55900"/>
    <n v="200300"/>
    <n v="7.0387129210658624E-3"/>
    <n v="0.99970000000000003"/>
    <n v="1.0067999999999999"/>
    <n v="0.99729999999999996"/>
    <n v="1.0157"/>
    <n v="0.96919999999999995"/>
    <n v="0.94971499999999998"/>
    <n v="0.93873104601730073"/>
    <n v="256200"/>
    <n v="0"/>
    <n v="256200"/>
    <n v="-53100"/>
    <n v="203100"/>
    <n v="0.51507983441750449"/>
    <n v="-2.7818791946308723"/>
    <n v="2.1116138763197588E-2"/>
  </r>
  <r>
    <n v="2025"/>
    <s v="18132322403    "/>
    <n v="-1.8971199848858813"/>
    <n v="0.15"/>
    <n v="6474"/>
    <s v="6"/>
    <s v="RES"/>
    <x v="0"/>
    <s v="11"/>
    <s v="259"/>
    <s v="RN"/>
    <s v="F+"/>
    <s v="AV"/>
    <x v="4"/>
    <n v="49"/>
    <n v="45"/>
    <n v="1975"/>
    <n v="1979"/>
    <n v="1303"/>
    <m/>
    <m/>
    <n v="0"/>
    <m/>
    <m/>
    <n v="1303"/>
    <n v="1500"/>
    <n v="7"/>
    <m/>
    <m/>
    <m/>
    <m/>
    <m/>
    <m/>
    <m/>
    <n v="190209"/>
    <n v="146461"/>
    <n v="0"/>
    <n v="268200"/>
    <n v="48400"/>
    <n v="219800"/>
    <n v="0"/>
    <n v="0"/>
    <n v="89850.625589999996"/>
    <n v="-60052.604136134301"/>
    <n v="0"/>
    <n v="160472.20319"/>
    <n v="-10037.0520225"/>
    <n v="64379.496849731004"/>
    <n v="0"/>
    <n v="0"/>
    <n v="0"/>
    <n v="26544.1547364"/>
    <n v="0"/>
    <n v="0"/>
    <n v="241400"/>
    <n v="29800"/>
    <n v="271200"/>
    <n v="1.1185682326621925E-2"/>
    <n v="0.99970000000000003"/>
    <n v="0.99180000000000001"/>
    <n v="0.99729999999999996"/>
    <n v="1.0157"/>
    <n v="0.96919999999999995"/>
    <n v="0.94971499999999998"/>
    <n v="0.92474518418748419"/>
    <n v="241400"/>
    <n v="0"/>
    <n v="241400"/>
    <n v="28300"/>
    <n v="269700"/>
    <n v="9.8271155595996362E-2"/>
    <n v="-0.41528925619834711"/>
    <n v="5.5928411633109623E-3"/>
  </r>
  <r>
    <n v="2025"/>
    <s v="18132243471    "/>
    <n v="-1.0788096613719298"/>
    <n v="0.34"/>
    <n v="14808"/>
    <s v="6"/>
    <s v="RES"/>
    <x v="0"/>
    <s v="11"/>
    <s v="259"/>
    <s v="SE"/>
    <s v="G+"/>
    <s v="AV"/>
    <x v="4"/>
    <n v="49"/>
    <n v="45"/>
    <n v="1975"/>
    <n v="1979"/>
    <n v="1444"/>
    <m/>
    <n v="864"/>
    <n v="0"/>
    <n v="864"/>
    <m/>
    <n v="2308"/>
    <n v="2500"/>
    <n v="11"/>
    <m/>
    <n v="555"/>
    <n v="492"/>
    <m/>
    <m/>
    <m/>
    <m/>
    <n v="526588"/>
    <n v="410739"/>
    <n v="0"/>
    <n v="445700"/>
    <n v="76900"/>
    <n v="368800"/>
    <n v="0"/>
    <n v="0"/>
    <n v="89850.625589999996"/>
    <n v="-34149.305288406773"/>
    <n v="74268.409664999999"/>
    <n v="160472.20319"/>
    <n v="-10037.0520225"/>
    <n v="71346.119302388004"/>
    <n v="0"/>
    <n v="0"/>
    <n v="25126.757493408"/>
    <n v="41712.243157199999"/>
    <n v="16381.393515792002"/>
    <n v="0"/>
    <n v="379300"/>
    <n v="55700"/>
    <n v="435000"/>
    <n v="-2.400717971729863E-2"/>
    <n v="0.99970000000000003"/>
    <n v="0.98380000000000001"/>
    <n v="0.99729999999999996"/>
    <n v="0.98919999999999997"/>
    <n v="0.96919999999999995"/>
    <n v="0.94971499999999998"/>
    <n v="0.89335371512568995"/>
    <n v="379300"/>
    <n v="0"/>
    <n v="379300"/>
    <n v="52900"/>
    <n v="432200"/>
    <n v="2.8470715835140999E-2"/>
    <n v="-0.31209362808842656"/>
    <n v="-3.0289432353601077E-2"/>
  </r>
  <r>
    <n v="2025"/>
    <s v="18132243480    "/>
    <n v="-1.4271163556401458"/>
    <n v="0.24"/>
    <n v="10552"/>
    <s v="6"/>
    <s v="RES"/>
    <x v="0"/>
    <s v="11"/>
    <s v="172"/>
    <s v="RN"/>
    <s v="A+"/>
    <s v="GD"/>
    <x v="4"/>
    <n v="50"/>
    <n v="45"/>
    <n v="1974"/>
    <n v="1979"/>
    <n v="3024"/>
    <m/>
    <m/>
    <n v="0"/>
    <m/>
    <m/>
    <n v="3024"/>
    <n v="3500"/>
    <n v="14"/>
    <m/>
    <m/>
    <m/>
    <m/>
    <m/>
    <m/>
    <m/>
    <n v="502566"/>
    <n v="392001"/>
    <n v="0"/>
    <n v="446300"/>
    <n v="64800"/>
    <n v="381500"/>
    <n v="0"/>
    <n v="0"/>
    <n v="89850.625589999996"/>
    <n v="-45174.819855485119"/>
    <n v="29814.093161000001"/>
    <n v="197752.34721000001"/>
    <n v="-10037.0520225"/>
    <n v="149411.81770804801"/>
    <n v="0"/>
    <n v="0"/>
    <n v="0"/>
    <n v="53088.3094728"/>
    <n v="0"/>
    <n v="0"/>
    <n v="420000"/>
    <n v="44700"/>
    <n v="464700"/>
    <n v="4.1227873627604751E-2"/>
    <n v="0.99970000000000003"/>
    <n v="1.0088999999999999"/>
    <n v="0.99650000000000005"/>
    <n v="1.0126999999999999"/>
    <n v="0.96919999999999995"/>
    <n v="0.94971499999999998"/>
    <n v="0.93715826120093748"/>
    <n v="420000"/>
    <n v="0"/>
    <n v="420000"/>
    <n v="42400"/>
    <n v="462400"/>
    <n v="0.10091743119266056"/>
    <n v="-0.34567901234567899"/>
    <n v="3.6074389424154155E-2"/>
  </r>
  <r>
    <n v="2025"/>
    <s v="18132322409    "/>
    <n v="-1.5141277326297755"/>
    <n v="0.22"/>
    <m/>
    <s v="6"/>
    <s v="RES"/>
    <x v="0"/>
    <s v="11"/>
    <s v="259"/>
    <s v="RN"/>
    <s v="F+"/>
    <s v="AV"/>
    <x v="4"/>
    <n v="50"/>
    <n v="45"/>
    <n v="1974"/>
    <n v="1979"/>
    <n v="1228"/>
    <m/>
    <m/>
    <n v="0"/>
    <m/>
    <m/>
    <n v="1228"/>
    <n v="1500"/>
    <n v="5"/>
    <n v="440"/>
    <m/>
    <m/>
    <m/>
    <m/>
    <m/>
    <m/>
    <n v="194452"/>
    <n v="149728"/>
    <n v="0"/>
    <n v="268600"/>
    <n v="61700"/>
    <n v="206900"/>
    <n v="0"/>
    <n v="0"/>
    <n v="89850.625589999996"/>
    <n v="-47929.131559187132"/>
    <n v="0"/>
    <n v="160472.20319"/>
    <n v="-10037.0520225"/>
    <n v="60673.846608956002"/>
    <n v="0"/>
    <n v="0"/>
    <n v="0"/>
    <n v="18960.110526"/>
    <n v="0"/>
    <n v="0"/>
    <n v="230100"/>
    <n v="41900"/>
    <n v="272000"/>
    <n v="1.2658227848101266E-2"/>
    <n v="0.99970000000000003"/>
    <n v="0.99180000000000001"/>
    <n v="0.99729999999999996"/>
    <n v="1.0157"/>
    <n v="0.96919999999999995"/>
    <n v="0.94971499999999998"/>
    <n v="0.92474518418748419"/>
    <n v="230100"/>
    <n v="0"/>
    <n v="230100"/>
    <n v="39800"/>
    <n v="269900"/>
    <n v="0.11213146447559208"/>
    <n v="-0.35494327390599678"/>
    <n v="4.8399106478034248E-3"/>
  </r>
  <r>
    <n v="2025"/>
    <s v="18132342457    "/>
    <n v="-1.3470736479666092"/>
    <n v="0.26"/>
    <n v="11457"/>
    <s v="6"/>
    <s v="RES"/>
    <x v="0"/>
    <s v="11"/>
    <s v="259"/>
    <s v="CO"/>
    <s v="G"/>
    <s v="AV"/>
    <x v="5"/>
    <n v="51"/>
    <n v="46"/>
    <n v="1973"/>
    <n v="1978"/>
    <n v="1260"/>
    <n v="1215"/>
    <n v="1215"/>
    <n v="1215"/>
    <m/>
    <m/>
    <n v="2475"/>
    <n v="2500"/>
    <n v="10"/>
    <n v="598"/>
    <m/>
    <n v="540"/>
    <m/>
    <m/>
    <m/>
    <m/>
    <n v="597279"/>
    <n v="453932"/>
    <n v="0"/>
    <n v="413900"/>
    <n v="67600"/>
    <n v="346300"/>
    <n v="0"/>
    <n v="0"/>
    <n v="89850.625589999996"/>
    <n v="-42641.098701210125"/>
    <n v="44121.038090000002"/>
    <n v="160472.20319"/>
    <n v="-10260.097623"/>
    <n v="62254.924045020001"/>
    <n v="54415.503776115002"/>
    <n v="0"/>
    <n v="35334.502725104998"/>
    <n v="37920.221052000001"/>
    <n v="17979.578249040002"/>
    <n v="0"/>
    <n v="402200"/>
    <n v="47200"/>
    <n v="449400"/>
    <n v="8.5769509543367969E-2"/>
    <n v="0.99970000000000003"/>
    <n v="0.98050000000000004"/>
    <n v="0.99729999999999996"/>
    <n v="0.98919999999999997"/>
    <n v="0.98119999999999996"/>
    <n v="0.94971499999999998"/>
    <n v="0.90138092159884586"/>
    <n v="402200"/>
    <n v="0"/>
    <n v="402200"/>
    <n v="44800"/>
    <n v="447000"/>
    <n v="0.16142073346809124"/>
    <n v="-0.33727810650887574"/>
    <n v="7.9971007489731821E-2"/>
  </r>
  <r>
    <n v="2025"/>
    <s v="18132313526    "/>
    <n v="-1.7719568419318752"/>
    <n v="0.17"/>
    <n v="7348"/>
    <s v="6"/>
    <s v="RES"/>
    <x v="0"/>
    <s v="11"/>
    <s v="259"/>
    <s v="RN"/>
    <s v="A"/>
    <s v="GD"/>
    <x v="5"/>
    <n v="51"/>
    <n v="46"/>
    <n v="1973"/>
    <n v="1978"/>
    <n v="1680"/>
    <m/>
    <m/>
    <n v="0"/>
    <m/>
    <m/>
    <n v="1680"/>
    <n v="2000"/>
    <n v="8"/>
    <n v="616"/>
    <m/>
    <m/>
    <m/>
    <m/>
    <m/>
    <m/>
    <n v="290857"/>
    <n v="223960"/>
    <n v="0"/>
    <n v="337600"/>
    <n v="52700"/>
    <n v="284900"/>
    <n v="0"/>
    <n v="0"/>
    <n v="89850.625589999996"/>
    <n v="-56090.612940989391"/>
    <n v="21557.329055999999"/>
    <n v="197752.34721000001"/>
    <n v="-10260.097623"/>
    <n v="83006.565393359997"/>
    <n v="0"/>
    <n v="0"/>
    <n v="0"/>
    <n v="30336.176841600001"/>
    <n v="0"/>
    <n v="0"/>
    <n v="322400"/>
    <n v="33800"/>
    <n v="356200"/>
    <n v="5.509478672985782E-2"/>
    <n v="0.99970000000000003"/>
    <n v="1.0067999999999999"/>
    <n v="0.99650000000000005"/>
    <n v="1.0093000000000001"/>
    <n v="0.98119999999999996"/>
    <n v="0.94971499999999998"/>
    <n v="0.94360801277069484"/>
    <n v="322400"/>
    <n v="0"/>
    <n v="322400"/>
    <n v="32100"/>
    <n v="354500"/>
    <n v="0.13162513162513162"/>
    <n v="-0.39089184060721061"/>
    <n v="5.0059241706161141E-2"/>
  </r>
  <r>
    <n v="2025"/>
    <s v="18132212434    "/>
    <n v="-1.1394342831883648"/>
    <n v="0.32"/>
    <n v="13736"/>
    <s v="6"/>
    <s v="RES"/>
    <x v="0"/>
    <s v="11"/>
    <s v="259"/>
    <s v="SE"/>
    <s v="G"/>
    <s v="GD"/>
    <x v="5"/>
    <n v="51"/>
    <n v="46"/>
    <n v="1973"/>
    <n v="1978"/>
    <n v="1332"/>
    <m/>
    <n v="1028"/>
    <n v="0"/>
    <n v="1028"/>
    <m/>
    <n v="2360"/>
    <n v="2500"/>
    <n v="11"/>
    <m/>
    <n v="484"/>
    <n v="140"/>
    <m/>
    <m/>
    <m/>
    <m/>
    <n v="451382"/>
    <n v="347564"/>
    <n v="0"/>
    <n v="407300"/>
    <n v="74800"/>
    <n v="332500"/>
    <n v="0"/>
    <n v="0"/>
    <n v="89850.625589999996"/>
    <n v="-36068.354396449467"/>
    <n v="44121.038090000002"/>
    <n v="197752.34721000001"/>
    <n v="-10260.097623"/>
    <n v="65812.348276164004"/>
    <n v="0"/>
    <n v="0"/>
    <n v="29896.188313915998"/>
    <n v="41712.243157199999"/>
    <n v="4661.3721386400002"/>
    <n v="0"/>
    <n v="373700"/>
    <n v="53800"/>
    <n v="427500"/>
    <n v="4.9594893199116127E-2"/>
    <n v="0.99970000000000003"/>
    <n v="0.98050000000000004"/>
    <n v="0.99650000000000005"/>
    <n v="0.98919999999999997"/>
    <n v="0.98119999999999996"/>
    <n v="0.94971499999999998"/>
    <n v="0.90065786460769082"/>
    <n v="373700"/>
    <n v="0"/>
    <n v="373700"/>
    <n v="51100"/>
    <n v="424800"/>
    <n v="0.12390977443609022"/>
    <n v="-0.31684491978609625"/>
    <n v="4.2965872821016451E-2"/>
  </r>
  <r>
    <n v="2025"/>
    <s v="18132212463    "/>
    <n v="-1.6094379124341003"/>
    <n v="0.2"/>
    <n v="8915"/>
    <s v="6"/>
    <s v="RES"/>
    <x v="0"/>
    <s v="11"/>
    <s v="259"/>
    <s v="CP"/>
    <s v="A+"/>
    <s v="AV"/>
    <x v="5"/>
    <n v="51"/>
    <n v="46"/>
    <n v="1973"/>
    <n v="1978"/>
    <n v="1765"/>
    <m/>
    <m/>
    <n v="0"/>
    <m/>
    <m/>
    <n v="1765"/>
    <n v="2000"/>
    <n v="7"/>
    <n v="650"/>
    <m/>
    <m/>
    <m/>
    <m/>
    <m/>
    <m/>
    <n v="348516"/>
    <n v="264872"/>
    <n v="0"/>
    <n v="324300"/>
    <n v="58400"/>
    <n v="265900"/>
    <n v="0"/>
    <n v="0"/>
    <n v="89850.625589999996"/>
    <n v="-50946.13867709865"/>
    <n v="29814.093161000001"/>
    <n v="160472.20319"/>
    <n v="-10260.097623"/>
    <n v="87206.302332905005"/>
    <n v="0"/>
    <n v="0"/>
    <n v="0"/>
    <n v="26544.1547364"/>
    <n v="0"/>
    <n v="0"/>
    <n v="293800"/>
    <n v="38900"/>
    <n v="332700"/>
    <n v="2.5901942645698426E-2"/>
    <n v="0.99970000000000003"/>
    <n v="1.0088999999999999"/>
    <n v="0.99729999999999996"/>
    <n v="1.0093000000000001"/>
    <n v="0.98119999999999996"/>
    <n v="0.94971499999999998"/>
    <n v="0.94633532376161855"/>
    <n v="293800"/>
    <n v="0"/>
    <n v="293800"/>
    <n v="36900"/>
    <n v="330700"/>
    <n v="0.10492666415945845"/>
    <n v="-0.36815068493150682"/>
    <n v="1.9734813444341658E-2"/>
  </r>
  <r>
    <n v="2025"/>
    <s v="18132321035    "/>
    <n v="-2.0402208285265546"/>
    <n v="0.13"/>
    <n v="5774"/>
    <s v="6"/>
    <s v="RES"/>
    <x v="0"/>
    <s v="11"/>
    <s v="259"/>
    <s v="RN"/>
    <s v="F"/>
    <s v="AV"/>
    <x v="5"/>
    <n v="51"/>
    <n v="46"/>
    <n v="1973"/>
    <n v="1978"/>
    <n v="1056"/>
    <m/>
    <m/>
    <n v="0"/>
    <m/>
    <m/>
    <n v="1056"/>
    <n v="1500"/>
    <n v="5"/>
    <m/>
    <m/>
    <m/>
    <m/>
    <m/>
    <m/>
    <m/>
    <n v="159443"/>
    <n v="121177"/>
    <n v="0"/>
    <n v="234300"/>
    <n v="43400"/>
    <n v="190900"/>
    <n v="0"/>
    <n v="0"/>
    <n v="89850.625589999996"/>
    <n v="-64582.406353792743"/>
    <n v="-43578.886190266698"/>
    <n v="160472.20319"/>
    <n v="-10260.097623"/>
    <n v="52175.555390112"/>
    <n v="0"/>
    <n v="0"/>
    <n v="0"/>
    <n v="18960.110526"/>
    <n v="0"/>
    <n v="0"/>
    <n v="177800"/>
    <n v="25300"/>
    <n v="203100"/>
    <n v="-0.13316261203585147"/>
    <n v="0.99970000000000003"/>
    <n v="1"/>
    <n v="0.99729999999999996"/>
    <n v="1.0157"/>
    <n v="0.98119999999999996"/>
    <n v="0.94971499999999998"/>
    <n v="0.9439350410934243"/>
    <n v="177800"/>
    <n v="0"/>
    <n v="177800"/>
    <n v="24000"/>
    <n v="201800"/>
    <n v="-6.8622315348349922E-2"/>
    <n v="-0.44700460829493088"/>
    <n v="-0.13871105420401195"/>
  </r>
  <r>
    <n v="2025"/>
    <s v="18132214466    "/>
    <n v="-1.6607312068216509"/>
    <n v="0.19"/>
    <n v="8246"/>
    <s v="6"/>
    <s v="RES"/>
    <x v="0"/>
    <s v="11"/>
    <s v="259"/>
    <s v="RN"/>
    <s v="A+"/>
    <s v="GD"/>
    <x v="5"/>
    <n v="52"/>
    <n v="46"/>
    <n v="1972"/>
    <n v="1978"/>
    <n v="1470"/>
    <m/>
    <m/>
    <n v="0"/>
    <m/>
    <m/>
    <n v="1470"/>
    <n v="1500"/>
    <n v="8"/>
    <n v="506"/>
    <m/>
    <m/>
    <m/>
    <m/>
    <m/>
    <m/>
    <n v="299668"/>
    <n v="230744"/>
    <n v="0"/>
    <n v="327600"/>
    <n v="56600"/>
    <n v="271000"/>
    <n v="0"/>
    <n v="0"/>
    <n v="89850.625589999996"/>
    <n v="-52569.808201026557"/>
    <n v="29814.093161000001"/>
    <n v="197752.34721000001"/>
    <n v="-10260.097623"/>
    <n v="72630.744719189999"/>
    <n v="0"/>
    <n v="0"/>
    <n v="0"/>
    <n v="30336.176841600001"/>
    <n v="0"/>
    <n v="0"/>
    <n v="320300"/>
    <n v="37300"/>
    <n v="357600"/>
    <n v="9.1575091575091569E-2"/>
    <n v="0.99970000000000003"/>
    <n v="1.0088999999999999"/>
    <n v="0.99650000000000005"/>
    <n v="1.0157"/>
    <n v="0.98119999999999996"/>
    <n v="0.94971499999999998"/>
    <n v="0.95157213149383213"/>
    <n v="320300"/>
    <n v="0"/>
    <n v="320300"/>
    <n v="35400"/>
    <n v="355700"/>
    <n v="0.18191881918819189"/>
    <n v="-0.37455830388692579"/>
    <n v="8.5775335775335776E-2"/>
  </r>
  <r>
    <n v="2025"/>
    <s v="18132344008    "/>
    <n v="-2.5257286443082556"/>
    <n v="0.08"/>
    <n v="3679"/>
    <s v="6"/>
    <s v="RES"/>
    <x v="0"/>
    <s v="11"/>
    <s v="259"/>
    <s v="RN"/>
    <s v="G"/>
    <s v="AV"/>
    <x v="5"/>
    <n v="52"/>
    <n v="46"/>
    <n v="1972"/>
    <n v="1978"/>
    <n v="1327"/>
    <m/>
    <n v="912"/>
    <n v="0"/>
    <n v="912"/>
    <m/>
    <n v="2239"/>
    <n v="2500"/>
    <n v="15"/>
    <m/>
    <m/>
    <m/>
    <m/>
    <m/>
    <m/>
    <m/>
    <n v="409753"/>
    <n v="311412"/>
    <n v="0"/>
    <n v="326100"/>
    <n v="26500"/>
    <n v="299600"/>
    <n v="0"/>
    <n v="0"/>
    <n v="89850.625589999996"/>
    <n v="-79950.969701614697"/>
    <n v="44121.038090000002"/>
    <n v="160472.20319"/>
    <n v="-10260.097623"/>
    <n v="65565.304926779005"/>
    <n v="0"/>
    <n v="0"/>
    <n v="26522.688465264"/>
    <n v="56880.331578000005"/>
    <n v="0"/>
    <n v="0"/>
    <n v="343300"/>
    <n v="9900"/>
    <n v="353200"/>
    <n v="8.3103342532965349E-2"/>
    <n v="0.99970000000000003"/>
    <n v="0.98050000000000004"/>
    <n v="0.99729999999999996"/>
    <n v="0.98919999999999997"/>
    <n v="0.98119999999999996"/>
    <n v="0.94971499999999998"/>
    <n v="0.90138092159884586"/>
    <n v="343300"/>
    <n v="0"/>
    <n v="343300"/>
    <n v="9400"/>
    <n v="352700"/>
    <n v="0.1458611481975968"/>
    <n v="-0.6452830188679245"/>
    <n v="8.1570070530512115E-2"/>
  </r>
  <r>
    <n v="2025"/>
    <s v="18132212416    "/>
    <n v="-1.3862943611198906"/>
    <n v="0.25"/>
    <n v="10922"/>
    <s v="6"/>
    <s v="RES"/>
    <x v="0"/>
    <s v="11"/>
    <s v="259"/>
    <s v="RN"/>
    <s v="A"/>
    <s v="GD"/>
    <x v="5"/>
    <n v="52"/>
    <n v="46"/>
    <n v="1972"/>
    <n v="1978"/>
    <n v="1305"/>
    <m/>
    <m/>
    <n v="0"/>
    <m/>
    <m/>
    <n v="1305"/>
    <n v="1500"/>
    <n v="9"/>
    <n v="638"/>
    <m/>
    <m/>
    <m/>
    <m/>
    <m/>
    <m/>
    <n v="250889"/>
    <n v="193185"/>
    <n v="0"/>
    <n v="330100"/>
    <n v="66200"/>
    <n v="263900"/>
    <n v="0"/>
    <n v="0"/>
    <n v="89850.625589999996"/>
    <n v="-43882.615305165229"/>
    <n v="21557.329055999999"/>
    <n v="197752.34721000001"/>
    <n v="-10260.097623"/>
    <n v="64478.314189485005"/>
    <n v="0"/>
    <n v="0"/>
    <n v="0"/>
    <n v="34128.198946800003"/>
    <n v="0"/>
    <n v="0"/>
    <n v="307700"/>
    <n v="46000"/>
    <n v="353700"/>
    <n v="7.1493486822175101E-2"/>
    <n v="0.99970000000000003"/>
    <n v="1.0067999999999999"/>
    <n v="0.99650000000000005"/>
    <n v="1.0157"/>
    <n v="0.98119999999999996"/>
    <n v="0.94971499999999998"/>
    <n v="0.9495914580116861"/>
    <n v="307700"/>
    <n v="0"/>
    <n v="307700"/>
    <n v="43700"/>
    <n v="351400"/>
    <n v="0.16597195907540735"/>
    <n v="-0.33987915407854985"/>
    <n v="6.4525901242047864E-2"/>
  </r>
  <r>
    <n v="2025"/>
    <s v="18132323527    "/>
    <n v="-2.0402208285265546"/>
    <n v="0.13"/>
    <n v="5552"/>
    <s v="6"/>
    <s v="RES"/>
    <x v="0"/>
    <s v="11"/>
    <s v="259"/>
    <s v="RN"/>
    <s v="A"/>
    <s v="AV"/>
    <x v="5"/>
    <n v="52"/>
    <n v="46"/>
    <n v="1972"/>
    <n v="1978"/>
    <n v="1050"/>
    <m/>
    <m/>
    <n v="0"/>
    <m/>
    <m/>
    <n v="1050"/>
    <n v="1500"/>
    <n v="9"/>
    <m/>
    <m/>
    <m/>
    <m/>
    <m/>
    <m/>
    <m/>
    <n v="172933"/>
    <n v="131429"/>
    <n v="19450"/>
    <n v="283700"/>
    <n v="43400"/>
    <n v="240300"/>
    <n v="0"/>
    <n v="0"/>
    <n v="89850.625589999996"/>
    <n v="-64582.406353792743"/>
    <n v="21557.329055999999"/>
    <n v="160472.20319"/>
    <n v="-10260.097623"/>
    <n v="51879.103370850004"/>
    <n v="0"/>
    <n v="0"/>
    <n v="0"/>
    <n v="34128.198946800003"/>
    <n v="0"/>
    <n v="19500"/>
    <n v="257800"/>
    <n v="25300"/>
    <n v="302600"/>
    <n v="6.6619668664081783E-2"/>
    <n v="0.99970000000000003"/>
    <n v="1.0067999999999999"/>
    <n v="0.99729999999999996"/>
    <n v="1.0157"/>
    <n v="0.98119999999999996"/>
    <n v="0.94971499999999998"/>
    <n v="0.95035379937285946"/>
    <n v="257800"/>
    <n v="18500"/>
    <n v="276300"/>
    <n v="24000"/>
    <n v="300300"/>
    <n v="0.14981273408239701"/>
    <n v="-0.44700460829493088"/>
    <n v="5.8512513218188227E-2"/>
  </r>
  <r>
    <n v="2025"/>
    <s v="18132214467    "/>
    <n v="-1.7147984280919266"/>
    <n v="0.18"/>
    <n v="7884"/>
    <s v="6"/>
    <s v="RES"/>
    <x v="0"/>
    <s v="11"/>
    <s v="259"/>
    <s v="RN"/>
    <s v="A+"/>
    <s v="AV"/>
    <x v="5"/>
    <n v="52"/>
    <n v="46"/>
    <n v="1972"/>
    <n v="1978"/>
    <n v="1418"/>
    <m/>
    <m/>
    <n v="0"/>
    <m/>
    <m/>
    <n v="1418"/>
    <n v="1500"/>
    <n v="8"/>
    <n v="528"/>
    <m/>
    <m/>
    <m/>
    <m/>
    <m/>
    <m/>
    <n v="279721"/>
    <n v="212588"/>
    <n v="0"/>
    <n v="298400"/>
    <n v="54700"/>
    <n v="243700"/>
    <n v="0"/>
    <n v="0"/>
    <n v="89850.625589999996"/>
    <n v="-54281.285314520763"/>
    <n v="29814.093161000001"/>
    <n v="160472.20319"/>
    <n v="-10260.097623"/>
    <n v="70061.493885585995"/>
    <n v="0"/>
    <n v="0"/>
    <n v="0"/>
    <n v="30336.176841600001"/>
    <n v="0"/>
    <n v="0"/>
    <n v="280400"/>
    <n v="35600"/>
    <n v="316000"/>
    <n v="5.8981233243967826E-2"/>
    <n v="0.99970000000000003"/>
    <n v="1.0088999999999999"/>
    <n v="0.99729999999999996"/>
    <n v="1.0157"/>
    <n v="0.98119999999999996"/>
    <n v="0.94971499999999998"/>
    <n v="0.95233606295915574"/>
    <n v="280400"/>
    <n v="0"/>
    <n v="280400"/>
    <n v="33800"/>
    <n v="314200"/>
    <n v="0.15059499384489125"/>
    <n v="-0.38208409506398539"/>
    <n v="5.2949061662198392E-2"/>
  </r>
  <r>
    <n v="2025"/>
    <s v="18132322404    "/>
    <n v="-1.8971199848858813"/>
    <n v="0.15"/>
    <n v="6515"/>
    <s v="6"/>
    <s v="RES"/>
    <x v="0"/>
    <s v="11"/>
    <s v="259"/>
    <s v="RN"/>
    <s v="F+"/>
    <s v="FR"/>
    <x v="5"/>
    <n v="52"/>
    <n v="46"/>
    <n v="1972"/>
    <n v="1978"/>
    <n v="966"/>
    <m/>
    <m/>
    <n v="0"/>
    <m/>
    <m/>
    <n v="966"/>
    <n v="1000"/>
    <n v="5"/>
    <n v="299"/>
    <m/>
    <m/>
    <m/>
    <m/>
    <m/>
    <m/>
    <n v="160041"/>
    <n v="120031"/>
    <n v="0"/>
    <n v="207900"/>
    <n v="48400"/>
    <n v="159500"/>
    <n v="0"/>
    <n v="0"/>
    <n v="89850.625589999996"/>
    <n v="-60052.604136134301"/>
    <n v="0"/>
    <n v="133714.53821"/>
    <n v="-10260.097623"/>
    <n v="47728.775101182"/>
    <n v="0"/>
    <n v="0"/>
    <n v="0"/>
    <n v="18960.110526"/>
    <n v="0"/>
    <n v="0"/>
    <n v="190100"/>
    <n v="29800"/>
    <n v="219900"/>
    <n v="5.772005772005772E-2"/>
    <n v="0.99970000000000003"/>
    <n v="0.99180000000000001"/>
    <n v="0.99329999999999996"/>
    <n v="1.0148999999999999"/>
    <n v="0.98119999999999996"/>
    <n v="0.94971499999999998"/>
    <n v="0.93170543491646907"/>
    <n v="190100"/>
    <n v="0"/>
    <n v="190100"/>
    <n v="28300"/>
    <n v="218400"/>
    <n v="0.19184952978056427"/>
    <n v="-0.41528925619834711"/>
    <n v="5.0505050505050504E-2"/>
  </r>
  <r>
    <n v="2025"/>
    <s v="18132214051    "/>
    <n v="-2.4079456086518722"/>
    <n v="0.09"/>
    <n v="3991"/>
    <s v="6"/>
    <s v="RES"/>
    <x v="0"/>
    <s v="11"/>
    <s v="400"/>
    <s v="RN"/>
    <s v="F+"/>
    <s v="AV"/>
    <x v="5"/>
    <n v="52"/>
    <n v="46"/>
    <n v="1972"/>
    <n v="1978"/>
    <n v="864"/>
    <m/>
    <m/>
    <n v="0"/>
    <m/>
    <m/>
    <n v="864"/>
    <n v="1000"/>
    <n v="5"/>
    <n v="432"/>
    <m/>
    <m/>
    <m/>
    <m/>
    <m/>
    <m/>
    <n v="150629"/>
    <n v="114478"/>
    <n v="0"/>
    <n v="214900"/>
    <n v="30600"/>
    <n v="184300"/>
    <n v="0"/>
    <n v="0"/>
    <n v="89850.625589999996"/>
    <n v="-76222.592967103381"/>
    <n v="0"/>
    <n v="160472.20319"/>
    <n v="-10260.097623"/>
    <n v="42689.090773727999"/>
    <n v="0"/>
    <n v="0"/>
    <n v="0"/>
    <n v="18960.110526"/>
    <n v="0"/>
    <n v="0"/>
    <n v="211900"/>
    <n v="13600"/>
    <n v="225500"/>
    <n v="4.9325267566309915E-2"/>
    <n v="0.99970000000000003"/>
    <n v="0.99180000000000001"/>
    <n v="0.99729999999999996"/>
    <n v="1.0148999999999999"/>
    <n v="0.98119999999999996"/>
    <n v="0.94971499999999998"/>
    <n v="0.9354573947872693"/>
    <n v="211900"/>
    <n v="0"/>
    <n v="211900"/>
    <n v="12900"/>
    <n v="224800"/>
    <n v="0.149755832881172"/>
    <n v="-0.57843137254901966"/>
    <n v="4.60679385760819E-2"/>
  </r>
  <r>
    <n v="2025"/>
    <s v="18132244037    "/>
    <n v="-1.2039728043259361"/>
    <n v="0.3"/>
    <n v="12926"/>
    <s v="6"/>
    <s v="RES"/>
    <x v="0"/>
    <s v="11"/>
    <s v="259"/>
    <s v="RN"/>
    <s v="A"/>
    <s v="AV"/>
    <x v="5"/>
    <n v="52"/>
    <n v="46"/>
    <n v="1972"/>
    <n v="1978"/>
    <n v="988"/>
    <m/>
    <m/>
    <n v="0"/>
    <m/>
    <m/>
    <n v="988"/>
    <n v="1000"/>
    <n v="6"/>
    <n v="312"/>
    <m/>
    <m/>
    <m/>
    <m/>
    <m/>
    <m/>
    <n v="180181"/>
    <n v="136938"/>
    <n v="0"/>
    <n v="280400"/>
    <n v="72500"/>
    <n v="207900"/>
    <n v="0"/>
    <n v="0"/>
    <n v="89850.625589999996"/>
    <n v="-38111.29648355169"/>
    <n v="21557.329055999999"/>
    <n v="160472.20319"/>
    <n v="-10260.097623"/>
    <n v="48815.765838476"/>
    <n v="0"/>
    <n v="0"/>
    <n v="0"/>
    <n v="22752.132631200002"/>
    <n v="0"/>
    <n v="0"/>
    <n v="243300"/>
    <n v="51700"/>
    <n v="295000"/>
    <n v="5.2068473609129813E-2"/>
    <n v="0.99970000000000003"/>
    <n v="1.0067999999999999"/>
    <n v="0.99729999999999996"/>
    <n v="1.0148999999999999"/>
    <n v="0.98119999999999996"/>
    <n v="0.94971499999999998"/>
    <n v="0.94960526827165015"/>
    <n v="243300"/>
    <n v="0"/>
    <n v="243300"/>
    <n v="49100"/>
    <n v="292400"/>
    <n v="0.17027417027417027"/>
    <n v="-0.32275862068965516"/>
    <n v="4.2796005706134094E-2"/>
  </r>
  <r>
    <n v="2025"/>
    <s v="18132324553    "/>
    <n v="-1.2378743560016174"/>
    <n v="0.28999999999999998"/>
    <m/>
    <s v="6"/>
    <s v="RES"/>
    <x v="0"/>
    <s v="11"/>
    <s v="259"/>
    <s v="RN"/>
    <s v="A+"/>
    <s v="AV"/>
    <x v="5"/>
    <n v="52"/>
    <n v="46"/>
    <n v="1972"/>
    <n v="1978"/>
    <n v="1399"/>
    <m/>
    <m/>
    <n v="0"/>
    <m/>
    <m/>
    <n v="1399"/>
    <n v="1500"/>
    <n v="9"/>
    <n v="327"/>
    <m/>
    <m/>
    <m/>
    <m/>
    <m/>
    <m/>
    <n v="294803"/>
    <n v="224050"/>
    <n v="0"/>
    <n v="322100"/>
    <n v="71400"/>
    <n v="250700"/>
    <n v="0"/>
    <n v="0"/>
    <n v="89850.625589999996"/>
    <n v="-39184.437074869042"/>
    <n v="29814.093161000001"/>
    <n v="160472.20319"/>
    <n v="-10260.097623"/>
    <n v="69122.729157923008"/>
    <n v="0"/>
    <n v="0"/>
    <n v="0"/>
    <n v="34128.198946800003"/>
    <n v="0"/>
    <n v="0"/>
    <n v="283300"/>
    <n v="50700"/>
    <n v="334000"/>
    <n v="3.6945048121701338E-2"/>
    <n v="0.99970000000000003"/>
    <n v="1.0088999999999999"/>
    <n v="0.99729999999999996"/>
    <n v="1.0157"/>
    <n v="0.98119999999999996"/>
    <n v="0.94971499999999998"/>
    <n v="0.95233606295915574"/>
    <n v="283300"/>
    <n v="0"/>
    <n v="283300"/>
    <n v="48100"/>
    <n v="331400"/>
    <n v="0.13003589948145194"/>
    <n v="-0.32633053221288516"/>
    <n v="2.8873020800993479E-2"/>
  </r>
  <r>
    <n v="2025"/>
    <s v="18132322405    "/>
    <n v="-1.7147984280919266"/>
    <n v="0.18"/>
    <m/>
    <s v="6"/>
    <s v="RES"/>
    <x v="0"/>
    <s v="11"/>
    <s v="259"/>
    <s v="RN"/>
    <s v="F+"/>
    <s v="AV"/>
    <x v="5"/>
    <n v="52"/>
    <n v="46"/>
    <n v="1972"/>
    <n v="1978"/>
    <n v="1508"/>
    <m/>
    <m/>
    <n v="0"/>
    <m/>
    <m/>
    <n v="1508"/>
    <n v="2000"/>
    <n v="8"/>
    <m/>
    <m/>
    <n v="36"/>
    <m/>
    <m/>
    <m/>
    <m/>
    <n v="220345"/>
    <n v="167462"/>
    <n v="0"/>
    <n v="286200"/>
    <n v="54700"/>
    <n v="231500"/>
    <n v="0"/>
    <n v="0"/>
    <n v="89850.625589999996"/>
    <n v="-54281.285314520763"/>
    <n v="0"/>
    <n v="160472.20319"/>
    <n v="-10260.097623"/>
    <n v="74508.274174516002"/>
    <n v="0"/>
    <n v="0"/>
    <n v="0"/>
    <n v="30336.176841600001"/>
    <n v="1198.6385499360001"/>
    <n v="0"/>
    <n v="256300"/>
    <n v="35600"/>
    <n v="291900"/>
    <n v="1.9916142557651992E-2"/>
    <n v="0.99970000000000003"/>
    <n v="0.99180000000000001"/>
    <n v="0.99729999999999996"/>
    <n v="1.0093000000000001"/>
    <n v="0.98119999999999996"/>
    <n v="0.94971499999999998"/>
    <n v="0.93029574200294729"/>
    <n v="256300"/>
    <n v="0"/>
    <n v="256300"/>
    <n v="33800"/>
    <n v="290100"/>
    <n v="0.10712742980561556"/>
    <n v="-0.38208409506398539"/>
    <n v="1.3626834381551363E-2"/>
  </r>
  <r>
    <n v="2025"/>
    <s v="18132342523    "/>
    <n v="-1.3470736479666092"/>
    <n v="0.26"/>
    <n v="11372"/>
    <s v="6"/>
    <s v="RES"/>
    <x v="0"/>
    <s v="11"/>
    <s v="259"/>
    <s v="RN"/>
    <s v="V"/>
    <s v="GD"/>
    <x v="5"/>
    <n v="52"/>
    <n v="46"/>
    <n v="1972"/>
    <n v="1978"/>
    <n v="3694"/>
    <m/>
    <n v="3140"/>
    <n v="1304"/>
    <n v="1836"/>
    <m/>
    <n v="5530"/>
    <n v="5500"/>
    <n v="18"/>
    <n v="736"/>
    <m/>
    <m/>
    <m/>
    <m/>
    <m/>
    <m/>
    <n v="1237082"/>
    <n v="989666"/>
    <n v="32089"/>
    <n v="794800"/>
    <n v="67600"/>
    <n v="727200"/>
    <n v="0"/>
    <n v="0"/>
    <n v="89850.625589999996"/>
    <n v="-42641.098701210125"/>
    <n v="163885.03753"/>
    <n v="197752.34721000001"/>
    <n v="-10260.097623"/>
    <n v="182515.62652563801"/>
    <n v="0"/>
    <n v="0"/>
    <n v="91317.151075579997"/>
    <n v="68256.397893600006"/>
    <n v="0"/>
    <n v="32100"/>
    <n v="693500"/>
    <n v="47200"/>
    <n v="772800"/>
    <n v="-2.7679919476597887E-2"/>
    <n v="0.99970000000000003"/>
    <n v="1"/>
    <n v="0.99650000000000005"/>
    <n v="1.1091"/>
    <n v="0.98119999999999996"/>
    <n v="0.94971499999999998"/>
    <n v="1.0299089809270976"/>
    <n v="693500"/>
    <n v="30500"/>
    <n v="724000"/>
    <n v="44800"/>
    <n v="768800"/>
    <n v="-4.4004400440044002E-3"/>
    <n v="-0.33727810650887574"/>
    <n v="-3.2712632108706591E-2"/>
  </r>
  <r>
    <n v="2025"/>
    <s v="18132324552    "/>
    <n v="-1.2378743560016174"/>
    <n v="0.28999999999999998"/>
    <m/>
    <s v="6"/>
    <s v="RES"/>
    <x v="0"/>
    <s v="11"/>
    <s v="259"/>
    <s v="RN"/>
    <s v="G+"/>
    <s v="AV"/>
    <x v="5"/>
    <n v="52"/>
    <n v="46"/>
    <n v="1972"/>
    <n v="1978"/>
    <n v="1240"/>
    <m/>
    <n v="568"/>
    <n v="0"/>
    <n v="568"/>
    <m/>
    <n v="1808"/>
    <n v="2000"/>
    <n v="9"/>
    <n v="552"/>
    <m/>
    <m/>
    <m/>
    <m/>
    <m/>
    <m/>
    <n v="451904"/>
    <n v="352485"/>
    <n v="0"/>
    <n v="403700"/>
    <n v="71400"/>
    <n v="332300"/>
    <n v="0"/>
    <n v="0"/>
    <n v="89850.625589999996"/>
    <n v="-39184.437074869042"/>
    <n v="74268.409664999999"/>
    <n v="160472.20319"/>
    <n v="-10260.097623"/>
    <n v="61266.750647480003"/>
    <n v="0"/>
    <n v="0"/>
    <n v="16518.516500295998"/>
    <n v="34128.198946800003"/>
    <n v="0"/>
    <n v="0"/>
    <n v="336400"/>
    <n v="50700"/>
    <n v="387100"/>
    <n v="-4.1119643299479813E-2"/>
    <n v="0.99970000000000003"/>
    <n v="0.98380000000000001"/>
    <n v="0.99729999999999996"/>
    <n v="1.0093000000000001"/>
    <n v="0.98119999999999996"/>
    <n v="0.94971499999999998"/>
    <n v="0.92279184410415338"/>
    <n v="336400"/>
    <n v="0"/>
    <n v="336400"/>
    <n v="48100"/>
    <n v="384500"/>
    <n v="1.2338248570568764E-2"/>
    <n v="-0.32633053221288516"/>
    <n v="-4.756006935843448E-2"/>
  </r>
  <r>
    <n v="2025"/>
    <s v="18132322450    "/>
    <n v="-1.4271163556401458"/>
    <n v="0.24"/>
    <m/>
    <s v="6"/>
    <s v="RES"/>
    <x v="0"/>
    <s v="11"/>
    <s v="259"/>
    <s v="RN"/>
    <s v="A"/>
    <s v="AV"/>
    <x v="5"/>
    <n v="52"/>
    <n v="46"/>
    <n v="1972"/>
    <n v="1978"/>
    <n v="1885"/>
    <m/>
    <m/>
    <n v="0"/>
    <m/>
    <m/>
    <n v="1885"/>
    <n v="2000"/>
    <n v="8"/>
    <n v="416"/>
    <m/>
    <n v="316"/>
    <m/>
    <m/>
    <m/>
    <m/>
    <n v="315963"/>
    <n v="240132"/>
    <n v="18847"/>
    <n v="389400"/>
    <n v="64800"/>
    <n v="324600"/>
    <n v="0"/>
    <n v="0"/>
    <n v="89850.625589999996"/>
    <n v="-45174.819855485119"/>
    <n v="21557.329055999999"/>
    <n v="160472.20319"/>
    <n v="-10260.097623"/>
    <n v="93135.342718144995"/>
    <n v="0"/>
    <n v="0"/>
    <n v="0"/>
    <n v="30336.176841600001"/>
    <n v="10521.382827216001"/>
    <n v="18800"/>
    <n v="305800"/>
    <n v="44700"/>
    <n v="369300"/>
    <n v="-5.1617873651771957E-2"/>
    <n v="0.99970000000000003"/>
    <n v="1.0067999999999999"/>
    <n v="0.99729999999999996"/>
    <n v="1.0093000000000001"/>
    <n v="0.98119999999999996"/>
    <n v="0.94971499999999998"/>
    <n v="0.94436555056318516"/>
    <n v="305800"/>
    <n v="17900"/>
    <n v="323700"/>
    <n v="42400"/>
    <n v="366100"/>
    <n v="-2.7726432532347504E-3"/>
    <n v="-0.34567901234567899"/>
    <n v="-5.9835644581407291E-2"/>
  </r>
  <r>
    <n v="2025"/>
    <s v="18132212457    "/>
    <n v="-1.8971199848858813"/>
    <n v="0.15"/>
    <n v="6439"/>
    <s v="6"/>
    <s v="RES"/>
    <x v="0"/>
    <s v="11"/>
    <s v="325"/>
    <s v="PE"/>
    <s v="G"/>
    <s v="GD"/>
    <x v="5"/>
    <n v="53"/>
    <n v="46"/>
    <n v="1971"/>
    <n v="1978"/>
    <n v="1381"/>
    <m/>
    <n v="704"/>
    <n v="0"/>
    <n v="704"/>
    <m/>
    <n v="2085"/>
    <n v="2500"/>
    <n v="11"/>
    <n v="384"/>
    <m/>
    <n v="126"/>
    <m/>
    <m/>
    <m/>
    <m/>
    <n v="441504"/>
    <n v="339958"/>
    <n v="0"/>
    <n v="321100"/>
    <n v="45900"/>
    <n v="275200"/>
    <n v="0"/>
    <n v="0"/>
    <n v="89850.625589999996"/>
    <n v="-60052.604136134301"/>
    <n v="44121.038090000002"/>
    <n v="197752.34721000001"/>
    <n v="-10260.097623"/>
    <n v="68233.373100137003"/>
    <n v="0"/>
    <n v="0"/>
    <n v="20473.654253887998"/>
    <n v="41712.243157199999"/>
    <n v="4195.2349247760003"/>
    <n v="0"/>
    <n v="366200"/>
    <n v="29800"/>
    <n v="396000"/>
    <n v="0.23326066645904703"/>
    <n v="0.99970000000000003"/>
    <n v="0.98050000000000004"/>
    <n v="0.99650000000000005"/>
    <n v="0.98919999999999997"/>
    <n v="0.98119999999999996"/>
    <n v="0.94971499999999998"/>
    <n v="0.90065786460769082"/>
    <n v="366200"/>
    <n v="0"/>
    <n v="366200"/>
    <n v="28300"/>
    <n v="394500"/>
    <n v="0.33066860465116277"/>
    <n v="-0.38344226579520696"/>
    <n v="0.22858922454064154"/>
  </r>
  <r>
    <n v="2025"/>
    <s v="18132212464    "/>
    <n v="-2.0402208285265546"/>
    <n v="0.13"/>
    <n v="5837"/>
    <s v="6"/>
    <s v="RES"/>
    <x v="0"/>
    <s v="11"/>
    <s v="325"/>
    <s v="PE"/>
    <s v="G"/>
    <s v="GD"/>
    <x v="5"/>
    <n v="53"/>
    <n v="46"/>
    <n v="1971"/>
    <n v="1978"/>
    <n v="1495"/>
    <m/>
    <n v="704"/>
    <n v="0"/>
    <n v="704"/>
    <m/>
    <n v="2199"/>
    <n v="2500"/>
    <n v="8"/>
    <n v="384"/>
    <m/>
    <n v="126"/>
    <m/>
    <m/>
    <m/>
    <m/>
    <n v="443288"/>
    <n v="341332"/>
    <n v="0"/>
    <n v="321500"/>
    <n v="45000"/>
    <n v="276500"/>
    <n v="0"/>
    <n v="0"/>
    <n v="89850.625589999996"/>
    <n v="-64582.406353792743"/>
    <n v="44121.038090000002"/>
    <n v="197752.34721000001"/>
    <n v="-10260.097623"/>
    <n v="73865.961466114997"/>
    <n v="0"/>
    <n v="0"/>
    <n v="20473.654253887998"/>
    <n v="30336.176841600001"/>
    <n v="4195.2349247760003"/>
    <n v="0"/>
    <n v="360500"/>
    <n v="25300"/>
    <n v="385800"/>
    <n v="0.2"/>
    <n v="0.99970000000000003"/>
    <n v="0.98050000000000004"/>
    <n v="0.99650000000000005"/>
    <n v="0.98919999999999997"/>
    <n v="0.98119999999999996"/>
    <n v="0.94971499999999998"/>
    <n v="0.90065786460769082"/>
    <n v="360500"/>
    <n v="0"/>
    <n v="360500"/>
    <n v="24000"/>
    <n v="384500"/>
    <n v="0.30379746835443039"/>
    <n v="-0.46666666666666667"/>
    <n v="0.19595645412130638"/>
  </r>
  <r>
    <n v="2025"/>
    <s v="18132243010    "/>
    <n v="-2.120263536200091"/>
    <n v="0.12"/>
    <m/>
    <s v="6"/>
    <s v="RES"/>
    <x v="0"/>
    <s v="11"/>
    <s v="259"/>
    <s v="RN"/>
    <s v="A"/>
    <s v="FR"/>
    <x v="5"/>
    <n v="53"/>
    <n v="46"/>
    <n v="1971"/>
    <n v="1978"/>
    <n v="1152"/>
    <m/>
    <n v="1152"/>
    <n v="564"/>
    <n v="588"/>
    <m/>
    <n v="1740"/>
    <n v="2000"/>
    <n v="9"/>
    <n v="506"/>
    <m/>
    <n v="240"/>
    <m/>
    <m/>
    <m/>
    <m/>
    <n v="297114"/>
    <n v="222836"/>
    <n v="0"/>
    <n v="272100"/>
    <n v="40600"/>
    <n v="231500"/>
    <n v="0"/>
    <n v="0"/>
    <n v="89850.625589999996"/>
    <n v="-67116.12750806773"/>
    <n v="21557.329055999999"/>
    <n v="133714.53821"/>
    <n v="-10260.097623"/>
    <n v="56918.787698304004"/>
    <n v="0"/>
    <n v="0"/>
    <n v="33502.343324543996"/>
    <n v="34128.198946800003"/>
    <n v="7990.9236662400008"/>
    <n v="0"/>
    <n v="277600"/>
    <n v="22700"/>
    <n v="300300"/>
    <n v="0.10363836824696802"/>
    <n v="0.99970000000000003"/>
    <n v="1.0067999999999999"/>
    <n v="0.99329999999999996"/>
    <n v="1.0093000000000001"/>
    <n v="0.98119999999999996"/>
    <n v="0.94971499999999998"/>
    <n v="0.94057786160073364"/>
    <n v="277600"/>
    <n v="0"/>
    <n v="277600"/>
    <n v="21600"/>
    <n v="299200"/>
    <n v="0.19913606911447085"/>
    <n v="-0.46798029556650245"/>
    <n v="9.9595736861448E-2"/>
  </r>
  <r>
    <n v="2025"/>
    <s v="18132323529    "/>
    <n v="-2.2072749131897207"/>
    <n v="0.11"/>
    <n v="4657"/>
    <s v="6"/>
    <s v="RES"/>
    <x v="0"/>
    <s v="11"/>
    <s v="259"/>
    <s v="RN"/>
    <s v="A"/>
    <s v="GD"/>
    <x v="5"/>
    <n v="53"/>
    <n v="46"/>
    <n v="1971"/>
    <n v="1978"/>
    <n v="1334"/>
    <m/>
    <m/>
    <n v="0"/>
    <m/>
    <m/>
    <n v="1334"/>
    <n v="1500"/>
    <n v="8"/>
    <m/>
    <m/>
    <m/>
    <m/>
    <m/>
    <m/>
    <m/>
    <n v="219757"/>
    <n v="169213"/>
    <n v="0"/>
    <n v="297100"/>
    <n v="37600"/>
    <n v="259500"/>
    <n v="0"/>
    <n v="0"/>
    <n v="89850.625589999996"/>
    <n v="-69870.439211769743"/>
    <n v="21557.329055999999"/>
    <n v="197752.34721000001"/>
    <n v="-10260.097623"/>
    <n v="65911.165615917998"/>
    <n v="0"/>
    <n v="0"/>
    <n v="0"/>
    <n v="30336.176841600001"/>
    <n v="0"/>
    <n v="0"/>
    <n v="305300"/>
    <n v="20000"/>
    <n v="325300"/>
    <n v="9.4917536183103335E-2"/>
    <n v="0.99970000000000003"/>
    <n v="1.0067999999999999"/>
    <n v="0.99650000000000005"/>
    <n v="1.0157"/>
    <n v="0.98119999999999996"/>
    <n v="0.94971499999999998"/>
    <n v="0.9495914580116861"/>
    <n v="305300"/>
    <n v="0"/>
    <n v="305300"/>
    <n v="19000"/>
    <n v="324300"/>
    <n v="0.1764932562620424"/>
    <n v="-0.49468085106382981"/>
    <n v="9.1551666105688323E-2"/>
  </r>
  <r>
    <n v="2025"/>
    <s v="18132244406    "/>
    <n v="-1.4696759700589417"/>
    <n v="0.23"/>
    <n v="10044"/>
    <s v="6"/>
    <s v="RES"/>
    <x v="0"/>
    <s v="11"/>
    <s v="259"/>
    <s v="RN"/>
    <s v="A+"/>
    <s v="GD"/>
    <x v="5"/>
    <n v="53"/>
    <n v="46"/>
    <n v="1971"/>
    <n v="1978"/>
    <n v="1626"/>
    <m/>
    <n v="988"/>
    <n v="322"/>
    <n v="666"/>
    <m/>
    <n v="2292"/>
    <n v="2500"/>
    <n v="11"/>
    <n v="484"/>
    <m/>
    <n v="168"/>
    <m/>
    <m/>
    <m/>
    <m/>
    <n v="414945"/>
    <n v="319508"/>
    <n v="0"/>
    <n v="387200"/>
    <n v="63300"/>
    <n v="323900"/>
    <n v="0"/>
    <n v="0"/>
    <n v="89850.625589999996"/>
    <n v="-46522.028095997222"/>
    <n v="29814.093161000001"/>
    <n v="197752.34721000001"/>
    <n v="-10260.097623"/>
    <n v="80338.497220001998"/>
    <n v="0"/>
    <n v="0"/>
    <n v="28732.912504035998"/>
    <n v="41712.243157199999"/>
    <n v="5593.646566368001"/>
    <n v="0"/>
    <n v="373700"/>
    <n v="43300"/>
    <n v="417000"/>
    <n v="7.6962809917355365E-2"/>
    <n v="0.99970000000000003"/>
    <n v="1.0088999999999999"/>
    <n v="0.99650000000000005"/>
    <n v="0.98919999999999997"/>
    <n v="0.98119999999999996"/>
    <n v="0.94971499999999998"/>
    <n v="0.92674525201703128"/>
    <n v="373700"/>
    <n v="0"/>
    <n v="373700"/>
    <n v="41100"/>
    <n v="414800"/>
    <n v="0.15375115776474221"/>
    <n v="-0.35071090047393366"/>
    <n v="7.1280991735537189E-2"/>
  </r>
  <r>
    <n v="2025"/>
    <s v="18132331475    "/>
    <n v="-1.7719568419318752"/>
    <n v="0.17"/>
    <m/>
    <s v="6"/>
    <s v="RES"/>
    <x v="0"/>
    <s v="11"/>
    <s v="259"/>
    <s v="RN"/>
    <s v="A"/>
    <s v="GD"/>
    <x v="5"/>
    <n v="53"/>
    <n v="46"/>
    <n v="1971"/>
    <n v="1978"/>
    <n v="1640"/>
    <m/>
    <m/>
    <n v="0"/>
    <m/>
    <m/>
    <n v="1640"/>
    <n v="2000"/>
    <n v="8"/>
    <n v="160"/>
    <m/>
    <m/>
    <m/>
    <m/>
    <m/>
    <m/>
    <n v="286910"/>
    <n v="220921"/>
    <n v="0"/>
    <n v="331300"/>
    <n v="52700"/>
    <n v="278600"/>
    <n v="0"/>
    <n v="0"/>
    <n v="89850.625589999996"/>
    <n v="-56090.612940989391"/>
    <n v="21557.329055999999"/>
    <n v="197752.34721000001"/>
    <n v="-10260.097623"/>
    <n v="81030.21859828"/>
    <n v="0"/>
    <n v="0"/>
    <n v="0"/>
    <n v="30336.176841600001"/>
    <n v="0"/>
    <n v="0"/>
    <n v="320400"/>
    <n v="33800"/>
    <n v="354200"/>
    <n v="6.9121642016299431E-2"/>
    <n v="0.99970000000000003"/>
    <n v="1.0067999999999999"/>
    <n v="0.99650000000000005"/>
    <n v="1.0093000000000001"/>
    <n v="0.98119999999999996"/>
    <n v="0.94971499999999998"/>
    <n v="0.94360801277069484"/>
    <n v="320400"/>
    <n v="0"/>
    <n v="320400"/>
    <n v="32100"/>
    <n v="352500"/>
    <n v="0.15003589375448673"/>
    <n v="-0.39089184060721061"/>
    <n v="6.3990341080591609E-2"/>
  </r>
  <r>
    <n v="2025"/>
    <s v="18132322026    "/>
    <n v="-1.5606477482646683"/>
    <n v="0.21"/>
    <m/>
    <s v="6"/>
    <s v="RES"/>
    <x v="0"/>
    <s v="11"/>
    <s v="259"/>
    <s v="RN"/>
    <s v="A"/>
    <s v="AV"/>
    <x v="5"/>
    <n v="53"/>
    <n v="46"/>
    <n v="1971"/>
    <n v="1978"/>
    <n v="1032"/>
    <m/>
    <m/>
    <n v="0"/>
    <m/>
    <m/>
    <n v="1032"/>
    <n v="1500"/>
    <n v="6"/>
    <n v="312"/>
    <m/>
    <m/>
    <m/>
    <m/>
    <m/>
    <m/>
    <n v="195738"/>
    <n v="148761"/>
    <n v="0"/>
    <n v="269800"/>
    <n v="60100"/>
    <n v="209700"/>
    <n v="0"/>
    <n v="0"/>
    <n v="89850.625589999996"/>
    <n v="-49401.70477837498"/>
    <n v="21557.329055999999"/>
    <n v="160472.20319"/>
    <n v="-10260.097623"/>
    <n v="50989.747313063999"/>
    <n v="0"/>
    <n v="0"/>
    <n v="0"/>
    <n v="22752.132631200002"/>
    <n v="0"/>
    <n v="0"/>
    <n v="245500"/>
    <n v="40400"/>
    <n v="285900"/>
    <n v="5.9673832468495183E-2"/>
    <n v="0.99970000000000003"/>
    <n v="1.0067999999999999"/>
    <n v="0.99729999999999996"/>
    <n v="1.0157"/>
    <n v="0.98119999999999996"/>
    <n v="0.94971499999999998"/>
    <n v="0.95035379937285946"/>
    <n v="245500"/>
    <n v="0"/>
    <n v="245500"/>
    <n v="38400"/>
    <n v="283900"/>
    <n v="0.17072007629947544"/>
    <n v="-0.36106489184692181"/>
    <n v="5.2260934025203855E-2"/>
  </r>
  <r>
    <n v="2025"/>
    <s v="18132322027    "/>
    <n v="-1.5606477482646683"/>
    <n v="0.21"/>
    <n v="9024"/>
    <s v="6"/>
    <s v="RES"/>
    <x v="0"/>
    <s v="11"/>
    <s v="259"/>
    <s v="RN"/>
    <s v="A"/>
    <s v="AV"/>
    <x v="5"/>
    <n v="53"/>
    <n v="46"/>
    <n v="1971"/>
    <n v="1978"/>
    <n v="1403"/>
    <m/>
    <m/>
    <n v="0"/>
    <m/>
    <m/>
    <n v="1403"/>
    <n v="1500"/>
    <n v="7"/>
    <m/>
    <m/>
    <m/>
    <m/>
    <m/>
    <m/>
    <m/>
    <n v="222253"/>
    <n v="168912"/>
    <n v="0"/>
    <n v="292700"/>
    <n v="60100"/>
    <n v="232600"/>
    <n v="0"/>
    <n v="0"/>
    <n v="89850.625589999996"/>
    <n v="-49401.70477837498"/>
    <n v="21557.329055999999"/>
    <n v="160472.20319"/>
    <n v="-10260.097623"/>
    <n v="69320.363837430996"/>
    <n v="0"/>
    <n v="0"/>
    <n v="0"/>
    <n v="26544.1547364"/>
    <n v="0"/>
    <n v="0"/>
    <n v="267600"/>
    <n v="40400"/>
    <n v="308000"/>
    <n v="5.2271950802869831E-2"/>
    <n v="0.99970000000000003"/>
    <n v="1.0067999999999999"/>
    <n v="0.99729999999999996"/>
    <n v="1.0157"/>
    <n v="0.98119999999999996"/>
    <n v="0.94971499999999998"/>
    <n v="0.95035379937285946"/>
    <n v="267600"/>
    <n v="0"/>
    <n v="267600"/>
    <n v="38400"/>
    <n v="306000"/>
    <n v="0.15047291487532244"/>
    <n v="-0.36106489184692181"/>
    <n v="4.5439016057396649E-2"/>
  </r>
  <r>
    <n v="2025"/>
    <s v="18132241432    "/>
    <n v="-1.6094379124341003"/>
    <n v="0.2"/>
    <n v="8519"/>
    <s v="6"/>
    <s v="RES"/>
    <x v="0"/>
    <s v="11"/>
    <s v="259"/>
    <s v="BG"/>
    <s v="A+"/>
    <s v="AV"/>
    <x v="5"/>
    <n v="53"/>
    <n v="46"/>
    <n v="1971"/>
    <n v="1978"/>
    <n v="1144"/>
    <m/>
    <n v="1036"/>
    <n v="0"/>
    <n v="1036"/>
    <m/>
    <n v="2180"/>
    <n v="2500"/>
    <n v="8"/>
    <m/>
    <m/>
    <m/>
    <m/>
    <m/>
    <m/>
    <m/>
    <n v="334890"/>
    <n v="254516"/>
    <n v="9004"/>
    <n v="338300"/>
    <n v="58400"/>
    <n v="279900"/>
    <n v="0"/>
    <n v="0"/>
    <n v="89850.625589999996"/>
    <n v="-50946.13867709865"/>
    <n v="29814.093161000001"/>
    <n v="160472.20319"/>
    <n v="-10260.097623"/>
    <n v="56523.518339287999"/>
    <n v="0"/>
    <n v="0"/>
    <n v="30128.843475891998"/>
    <n v="30336.176841600001"/>
    <n v="0"/>
    <n v="9000"/>
    <n v="297000"/>
    <n v="38900"/>
    <n v="344900"/>
    <n v="1.9509311262193321E-2"/>
    <n v="0.99970000000000003"/>
    <n v="1.0088999999999999"/>
    <n v="0.99729999999999996"/>
    <n v="0.98919999999999997"/>
    <n v="0.98119999999999996"/>
    <n v="0.94971499999999998"/>
    <n v="0.92748925221935308"/>
    <n v="297000"/>
    <n v="8600"/>
    <n v="305600"/>
    <n v="36900"/>
    <n v="342500"/>
    <n v="9.18185066095034E-2"/>
    <n v="-0.36815068493150682"/>
    <n v="1.2415016257759386E-2"/>
  </r>
  <r>
    <n v="2025"/>
    <s v="18132322028    "/>
    <n v="-1.6607312068216509"/>
    <n v="0.19"/>
    <n v="8437"/>
    <s v="6"/>
    <s v="RES"/>
    <x v="0"/>
    <s v="11"/>
    <s v="259"/>
    <s v="RN"/>
    <s v="A"/>
    <s v="AV"/>
    <x v="5"/>
    <n v="53"/>
    <n v="46"/>
    <n v="1971"/>
    <n v="1978"/>
    <n v="1536"/>
    <m/>
    <m/>
    <n v="0"/>
    <m/>
    <m/>
    <n v="1536"/>
    <n v="2000"/>
    <n v="9"/>
    <m/>
    <m/>
    <m/>
    <m/>
    <m/>
    <m/>
    <m/>
    <n v="252515"/>
    <n v="191911"/>
    <n v="0"/>
    <n v="327000"/>
    <n v="56600"/>
    <n v="270400"/>
    <n v="0"/>
    <n v="0"/>
    <n v="89850.625589999996"/>
    <n v="-52569.808201026557"/>
    <n v="21557.329055999999"/>
    <n v="160472.20319"/>
    <n v="-10260.097623"/>
    <n v="75891.716931072006"/>
    <n v="0"/>
    <n v="0"/>
    <n v="0"/>
    <n v="34128.198946800003"/>
    <n v="0"/>
    <n v="0"/>
    <n v="281800"/>
    <n v="37300"/>
    <n v="319100"/>
    <n v="-2.4159021406727828E-2"/>
    <n v="0.99970000000000003"/>
    <n v="1.0067999999999999"/>
    <n v="0.99729999999999996"/>
    <n v="1.0093000000000001"/>
    <n v="0.98119999999999996"/>
    <n v="0.94971499999999998"/>
    <n v="0.94436555056318516"/>
    <n v="281800"/>
    <n v="0"/>
    <n v="281800"/>
    <n v="35400"/>
    <n v="317200"/>
    <n v="4.2159763313609468E-2"/>
    <n v="-0.37455830388692579"/>
    <n v="-2.9969418960244649E-2"/>
  </r>
  <r>
    <n v="2025"/>
    <s v="18132212458    "/>
    <n v="-2.3025850929940455"/>
    <n v="0.1"/>
    <n v="4467"/>
    <s v="6"/>
    <s v="RES"/>
    <x v="0"/>
    <s v="11"/>
    <s v="325"/>
    <s v="TE"/>
    <s v="A"/>
    <s v="AV"/>
    <x v="5"/>
    <n v="54"/>
    <n v="47"/>
    <n v="1970"/>
    <n v="1977"/>
    <n v="904"/>
    <n v="943"/>
    <m/>
    <n v="0"/>
    <m/>
    <m/>
    <n v="1847"/>
    <n v="2000"/>
    <n v="11"/>
    <m/>
    <m/>
    <m/>
    <m/>
    <m/>
    <m/>
    <m/>
    <n v="254115"/>
    <n v="188045"/>
    <n v="0"/>
    <n v="207600"/>
    <n v="42700"/>
    <n v="164900"/>
    <n v="0"/>
    <n v="0"/>
    <n v="89850.625589999996"/>
    <n v="-72887.446329681261"/>
    <n v="21557.329055999999"/>
    <n v="160472.20319"/>
    <n v="-10483.143223500001"/>
    <n v="44665.437568808004"/>
    <n v="42233.596757922998"/>
    <n v="0"/>
    <n v="0"/>
    <n v="41712.243157199999"/>
    <n v="0"/>
    <n v="0"/>
    <n v="300200"/>
    <n v="17000"/>
    <n v="317200"/>
    <n v="0.52793834296724473"/>
    <n v="0.99970000000000003"/>
    <n v="1.0067999999999999"/>
    <n v="0.99729999999999996"/>
    <n v="1.0093000000000001"/>
    <n v="0.98119999999999996"/>
    <n v="0.94971499999999998"/>
    <n v="0.94436555056318516"/>
    <n v="300200"/>
    <n v="0"/>
    <n v="300200"/>
    <n v="16100"/>
    <n v="316300"/>
    <n v="0.82049727107337778"/>
    <n v="-0.62295081967213117"/>
    <n v="0.52360308285163781"/>
  </r>
  <r>
    <n v="2025"/>
    <s v="18132212455    "/>
    <n v="-1.9661128563728327"/>
    <n v="0.14000000000000001"/>
    <n v="6276"/>
    <s v="6"/>
    <s v="RES"/>
    <x v="0"/>
    <s v="11"/>
    <s v="325"/>
    <s v="PE"/>
    <s v="G"/>
    <s v="GD"/>
    <x v="5"/>
    <n v="54"/>
    <n v="47"/>
    <n v="1970"/>
    <n v="1977"/>
    <n v="1824"/>
    <m/>
    <m/>
    <n v="0"/>
    <m/>
    <m/>
    <n v="1824"/>
    <n v="2000"/>
    <n v="8"/>
    <n v="400"/>
    <m/>
    <m/>
    <m/>
    <m/>
    <m/>
    <m/>
    <n v="416731"/>
    <n v="312548"/>
    <n v="0"/>
    <n v="302600"/>
    <n v="45700"/>
    <n v="256900"/>
    <n v="0"/>
    <n v="0"/>
    <n v="89850.625589999996"/>
    <n v="-62236.546971921947"/>
    <n v="44121.038090000002"/>
    <n v="197752.34721000001"/>
    <n v="-10483.143223500001"/>
    <n v="90121.413855648003"/>
    <n v="0"/>
    <n v="0"/>
    <n v="0"/>
    <n v="30336.176841600001"/>
    <n v="0"/>
    <n v="0"/>
    <n v="351800"/>
    <n v="27600"/>
    <n v="379400"/>
    <n v="0.25380039656311965"/>
    <n v="0.99970000000000003"/>
    <n v="0.98050000000000004"/>
    <n v="0.99650000000000005"/>
    <n v="1.0093000000000001"/>
    <n v="0.98119999999999996"/>
    <n v="0.94971499999999998"/>
    <n v="0.91895873710932319"/>
    <n v="351800"/>
    <n v="0"/>
    <n v="351800"/>
    <n v="26200"/>
    <n v="378000"/>
    <n v="0.36940443752432855"/>
    <n v="-0.42669584245076586"/>
    <n v="0.24917382683410444"/>
  </r>
  <r>
    <n v="2025"/>
    <s v="18132212410    "/>
    <n v="-2.120263536200091"/>
    <n v="0.12"/>
    <n v="5211"/>
    <s v="6"/>
    <s v="RES"/>
    <x v="0"/>
    <s v="11"/>
    <s v="325"/>
    <s v="PE"/>
    <s v="G"/>
    <s v="GD"/>
    <x v="5"/>
    <n v="54"/>
    <n v="47"/>
    <n v="1970"/>
    <n v="1977"/>
    <n v="1814"/>
    <m/>
    <m/>
    <n v="0"/>
    <m/>
    <m/>
    <n v="1814"/>
    <n v="2000"/>
    <n v="8"/>
    <n v="600"/>
    <m/>
    <m/>
    <m/>
    <m/>
    <m/>
    <m/>
    <n v="430938"/>
    <n v="323204"/>
    <n v="0"/>
    <n v="309500"/>
    <n v="44000"/>
    <n v="265500"/>
    <n v="0"/>
    <n v="0"/>
    <n v="89850.625589999996"/>
    <n v="-67116.12750806773"/>
    <n v="44121.038090000002"/>
    <n v="197752.34721000001"/>
    <n v="-10483.143223500001"/>
    <n v="89627.327156878004"/>
    <n v="0"/>
    <n v="0"/>
    <n v="0"/>
    <n v="30336.176841600001"/>
    <n v="0"/>
    <n v="0"/>
    <n v="351400"/>
    <n v="22700"/>
    <n v="374100"/>
    <n v="0.20872374798061388"/>
    <n v="0.99970000000000003"/>
    <n v="0.98050000000000004"/>
    <n v="0.99650000000000005"/>
    <n v="1.0093000000000001"/>
    <n v="0.98119999999999996"/>
    <n v="0.94971499999999998"/>
    <n v="0.91895873710932319"/>
    <n v="351400"/>
    <n v="0"/>
    <n v="351400"/>
    <n v="21600"/>
    <n v="373000"/>
    <n v="0.32354048964218457"/>
    <n v="-0.50909090909090904"/>
    <n v="0.20516962843295639"/>
  </r>
  <r>
    <n v="2025"/>
    <s v="18132242476    "/>
    <n v="-1.9661128563728327"/>
    <n v="0.14000000000000001"/>
    <n v="5944"/>
    <s v="6"/>
    <s v="RES"/>
    <x v="0"/>
    <s v="11"/>
    <s v="259"/>
    <s v="RN"/>
    <s v="G"/>
    <s v="FR"/>
    <x v="5"/>
    <n v="54"/>
    <n v="47"/>
    <n v="1970"/>
    <n v="1977"/>
    <n v="1593"/>
    <m/>
    <m/>
    <n v="0"/>
    <m/>
    <m/>
    <n v="1593"/>
    <n v="2000"/>
    <n v="10"/>
    <n v="484"/>
    <m/>
    <m/>
    <m/>
    <m/>
    <m/>
    <m/>
    <n v="392716"/>
    <n v="286683"/>
    <n v="0"/>
    <n v="294600"/>
    <n v="46000"/>
    <n v="248600"/>
    <n v="0"/>
    <n v="0"/>
    <n v="89850.625589999996"/>
    <n v="-62236.546971921947"/>
    <n v="44121.038090000002"/>
    <n v="133714.53821"/>
    <n v="-10483.143223500001"/>
    <n v="78708.011114060995"/>
    <n v="0"/>
    <n v="0"/>
    <n v="0"/>
    <n v="37920.221052000001"/>
    <n v="0"/>
    <n v="0"/>
    <n v="284000"/>
    <n v="27600"/>
    <n v="311600"/>
    <n v="5.7705363204344877E-2"/>
    <n v="0.99970000000000003"/>
    <n v="0.98050000000000004"/>
    <n v="0.99329999999999996"/>
    <n v="1.0093000000000001"/>
    <n v="0.98119999999999996"/>
    <n v="0.94971499999999998"/>
    <n v="0.91600774066301105"/>
    <n v="284000"/>
    <n v="0"/>
    <n v="284000"/>
    <n v="26200"/>
    <n v="310200"/>
    <n v="0.14239742558326629"/>
    <n v="-0.43043478260869567"/>
    <n v="5.2953156822810592E-2"/>
  </r>
  <r>
    <n v="2025"/>
    <s v="18132241447    "/>
    <n v="-1.7147984280919266"/>
    <n v="0.18"/>
    <n v="7908"/>
    <s v="6"/>
    <s v="RES"/>
    <x v="0"/>
    <s v="11"/>
    <s v="259"/>
    <s v="RN"/>
    <s v="A"/>
    <s v="AV"/>
    <x v="5"/>
    <n v="54"/>
    <n v="47"/>
    <n v="1970"/>
    <n v="1977"/>
    <n v="1228"/>
    <m/>
    <m/>
    <n v="0"/>
    <m/>
    <m/>
    <n v="1228"/>
    <n v="1500"/>
    <n v="8"/>
    <n v="308"/>
    <m/>
    <m/>
    <m/>
    <m/>
    <m/>
    <m/>
    <n v="216901"/>
    <n v="160507"/>
    <n v="0"/>
    <n v="282500"/>
    <n v="54700"/>
    <n v="227800"/>
    <n v="0"/>
    <n v="0"/>
    <n v="89850.625589999996"/>
    <n v="-54281.285314520763"/>
    <n v="21557.329055999999"/>
    <n v="160472.20319"/>
    <n v="-10483.143223500001"/>
    <n v="60673.846608956002"/>
    <n v="0"/>
    <n v="0"/>
    <n v="0"/>
    <n v="30336.176841600001"/>
    <n v="0"/>
    <n v="0"/>
    <n v="262600"/>
    <n v="35600"/>
    <n v="298200"/>
    <n v="5.5575221238938051E-2"/>
    <n v="0.99970000000000003"/>
    <n v="1.0067999999999999"/>
    <n v="0.99729999999999996"/>
    <n v="1.0157"/>
    <n v="0.98119999999999996"/>
    <n v="0.94971499999999998"/>
    <n v="0.95035379937285946"/>
    <n v="262600"/>
    <n v="0"/>
    <n v="262600"/>
    <n v="33800"/>
    <n v="296400"/>
    <n v="0.1527655838454785"/>
    <n v="-0.38208409506398539"/>
    <n v="4.9203539823008846E-2"/>
  </r>
  <r>
    <n v="2025"/>
    <s v="18132342500    "/>
    <n v="-1.2378743560016174"/>
    <n v="0.28999999999999998"/>
    <n v="12720"/>
    <s v="6"/>
    <s v="RES"/>
    <x v="0"/>
    <s v="11"/>
    <s v="259"/>
    <s v="RN"/>
    <s v="G"/>
    <s v="GD"/>
    <x v="5"/>
    <n v="54"/>
    <n v="47"/>
    <n v="1970"/>
    <n v="1977"/>
    <n v="2472"/>
    <m/>
    <m/>
    <n v="0"/>
    <m/>
    <m/>
    <n v="2472"/>
    <n v="2500"/>
    <n v="11"/>
    <n v="600"/>
    <m/>
    <m/>
    <m/>
    <m/>
    <m/>
    <m/>
    <n v="577291"/>
    <n v="432968"/>
    <n v="0"/>
    <n v="427400"/>
    <n v="71400"/>
    <n v="356000"/>
    <n v="0"/>
    <n v="0"/>
    <n v="89850.625589999996"/>
    <n v="-39184.437074869042"/>
    <n v="44121.038090000002"/>
    <n v="197752.34721000001"/>
    <n v="-10483.143223500001"/>
    <n v="122138.231935944"/>
    <n v="0"/>
    <n v="0"/>
    <n v="0"/>
    <n v="41712.243157199999"/>
    <n v="0"/>
    <n v="0"/>
    <n v="395200"/>
    <n v="50700"/>
    <n v="445900"/>
    <n v="4.3284978942442674E-2"/>
    <n v="0.99970000000000003"/>
    <n v="0.98050000000000004"/>
    <n v="0.99650000000000005"/>
    <n v="0.98919999999999997"/>
    <n v="0.98119999999999996"/>
    <n v="0.94971499999999998"/>
    <n v="0.90065786460769082"/>
    <n v="395200"/>
    <n v="0"/>
    <n v="395200"/>
    <n v="48100"/>
    <n v="443300"/>
    <n v="0.1101123595505618"/>
    <n v="-0.32633053221288516"/>
    <n v="3.7201684604585866E-2"/>
  </r>
  <r>
    <n v="2025"/>
    <s v="18132244458    "/>
    <n v="-1.3093333199837622"/>
    <n v="0.27"/>
    <n v="11900"/>
    <s v="6"/>
    <s v="RES"/>
    <x v="0"/>
    <s v="11"/>
    <s v="259"/>
    <s v="RN"/>
    <s v="A+"/>
    <s v="AV"/>
    <x v="5"/>
    <n v="54"/>
    <n v="47"/>
    <n v="1970"/>
    <n v="1977"/>
    <n v="1855"/>
    <m/>
    <m/>
    <n v="0"/>
    <m/>
    <m/>
    <n v="1855"/>
    <n v="2000"/>
    <n v="8"/>
    <n v="441"/>
    <m/>
    <m/>
    <m/>
    <m/>
    <m/>
    <m/>
    <n v="353239"/>
    <n v="261397"/>
    <n v="0"/>
    <n v="339700"/>
    <n v="68900"/>
    <n v="270800"/>
    <n v="0"/>
    <n v="0"/>
    <n v="89850.625589999996"/>
    <n v="-41446.443120973789"/>
    <n v="29814.093161000001"/>
    <n v="160472.20319"/>
    <n v="-10483.143223500001"/>
    <n v="91653.082621834998"/>
    <n v="0"/>
    <n v="0"/>
    <n v="0"/>
    <n v="30336.176841600001"/>
    <n v="0"/>
    <n v="0"/>
    <n v="301800"/>
    <n v="48400"/>
    <n v="350200"/>
    <n v="3.0909626140712392E-2"/>
    <n v="0.99970000000000003"/>
    <n v="1.0088999999999999"/>
    <n v="0.99729999999999996"/>
    <n v="1.0093000000000001"/>
    <n v="0.98119999999999996"/>
    <n v="0.94971499999999998"/>
    <n v="0.94633532376161855"/>
    <n v="301800"/>
    <n v="0"/>
    <n v="301800"/>
    <n v="46000"/>
    <n v="347800"/>
    <n v="0.11447562776957164"/>
    <n v="-0.33236574746008707"/>
    <n v="2.3844568737120989E-2"/>
  </r>
  <r>
    <n v="2025"/>
    <s v="18132243058    "/>
    <n v="-1.3862943611198906"/>
    <n v="0.25"/>
    <m/>
    <s v="6"/>
    <s v="RES"/>
    <x v="0"/>
    <s v="11"/>
    <s v="259"/>
    <s v="RN"/>
    <s v="G"/>
    <s v="AV"/>
    <x v="5"/>
    <n v="54"/>
    <n v="47"/>
    <n v="1970"/>
    <n v="1977"/>
    <n v="1712"/>
    <m/>
    <n v="1730"/>
    <n v="86"/>
    <n v="1644"/>
    <m/>
    <n v="3356"/>
    <n v="3500"/>
    <n v="14"/>
    <m/>
    <m/>
    <m/>
    <m/>
    <m/>
    <m/>
    <m/>
    <n v="597848"/>
    <n v="442408"/>
    <n v="0"/>
    <n v="427600"/>
    <n v="66200"/>
    <n v="361400"/>
    <n v="0"/>
    <n v="0"/>
    <n v="89850.625589999996"/>
    <n v="-43882.615305165229"/>
    <n v="44121.038090000002"/>
    <n v="160472.20319"/>
    <n v="-10483.143223500001"/>
    <n v="84587.642829424003"/>
    <n v="0"/>
    <n v="0"/>
    <n v="50311.67877731"/>
    <n v="53088.3094728"/>
    <n v="0"/>
    <n v="0"/>
    <n v="382100"/>
    <n v="46000"/>
    <n v="428100"/>
    <n v="1.1693171188026192E-3"/>
    <n v="0.99970000000000003"/>
    <n v="0.98050000000000004"/>
    <n v="0.99729999999999996"/>
    <n v="1.0126999999999999"/>
    <n v="0.98119999999999996"/>
    <n v="0.94971499999999998"/>
    <n v="0.92279464143060164"/>
    <n v="382100"/>
    <n v="0"/>
    <n v="382100"/>
    <n v="43700"/>
    <n v="425800"/>
    <n v="5.727725511898174E-2"/>
    <n v="-0.33987915407854985"/>
    <n v="-4.2095416276894298E-3"/>
  </r>
  <r>
    <n v="2025"/>
    <s v="18132243434    "/>
    <n v="-1.5141277326297755"/>
    <n v="0.22"/>
    <n v="9630"/>
    <s v="6"/>
    <s v="RES"/>
    <x v="0"/>
    <s v="11"/>
    <s v="259"/>
    <s v="RN"/>
    <s v="G+"/>
    <s v="AV"/>
    <x v="5"/>
    <n v="54"/>
    <n v="47"/>
    <n v="1970"/>
    <n v="1977"/>
    <n v="1530"/>
    <m/>
    <n v="1530"/>
    <n v="224"/>
    <n v="1306"/>
    <m/>
    <n v="2836"/>
    <n v="3000"/>
    <n v="11"/>
    <n v="520"/>
    <m/>
    <m/>
    <m/>
    <m/>
    <m/>
    <m/>
    <n v="570788"/>
    <n v="433799"/>
    <n v="0"/>
    <n v="445300"/>
    <n v="61700"/>
    <n v="383600"/>
    <n v="0"/>
    <n v="0"/>
    <n v="89850.625589999996"/>
    <n v="-47929.131559187132"/>
    <n v="74268.409664999999"/>
    <n v="160472.20319"/>
    <n v="-10483.143223500001"/>
    <n v="75595.264911810009"/>
    <n v="0"/>
    <n v="0"/>
    <n v="44495.299727909995"/>
    <n v="41712.243157199999"/>
    <n v="0"/>
    <n v="0"/>
    <n v="386100"/>
    <n v="41900"/>
    <n v="428000"/>
    <n v="-3.8850213339321808E-2"/>
    <n v="0.99970000000000003"/>
    <n v="0.98380000000000001"/>
    <n v="0.99729999999999996"/>
    <n v="0.96179999999999999"/>
    <n v="0.98119999999999996"/>
    <n v="0.94971499999999998"/>
    <n v="0.87936311865587502"/>
    <n v="386100"/>
    <n v="0"/>
    <n v="386100"/>
    <n v="39800"/>
    <n v="425900"/>
    <n v="6.5172054223149112E-3"/>
    <n v="-0.35494327390599678"/>
    <n v="-4.3566135189759714E-2"/>
  </r>
  <r>
    <n v="2025"/>
    <s v="18132212477    "/>
    <n v="-1.7147984280919266"/>
    <n v="0.18"/>
    <n v="7899"/>
    <s v="6"/>
    <s v="RES"/>
    <x v="0"/>
    <s v="11"/>
    <s v="325"/>
    <s v="TE"/>
    <s v="A"/>
    <s v="AV"/>
    <x v="5"/>
    <n v="55"/>
    <n v="47"/>
    <n v="1969"/>
    <n v="1977"/>
    <n v="861"/>
    <n v="896"/>
    <m/>
    <n v="0"/>
    <m/>
    <m/>
    <n v="1757"/>
    <n v="2000"/>
    <n v="10"/>
    <m/>
    <m/>
    <m/>
    <m/>
    <m/>
    <m/>
    <m/>
    <n v="246838"/>
    <n v="182660"/>
    <n v="0"/>
    <n v="208000"/>
    <n v="47800"/>
    <n v="160200"/>
    <n v="0"/>
    <n v="0"/>
    <n v="89850.625589999996"/>
    <n v="-54281.285314520763"/>
    <n v="21557.329055999999"/>
    <n v="160472.20319"/>
    <n v="-10483.143223500001"/>
    <n v="42540.864764097001"/>
    <n v="40128.634883455998"/>
    <n v="0"/>
    <n v="0"/>
    <n v="37920.221052000001"/>
    <n v="0"/>
    <n v="0"/>
    <n v="292100"/>
    <n v="35600"/>
    <n v="327700"/>
    <n v="0.57548076923076918"/>
    <n v="0.99970000000000003"/>
    <n v="1.0067999999999999"/>
    <n v="0.99729999999999996"/>
    <n v="1.0093000000000001"/>
    <n v="0.98119999999999996"/>
    <n v="0.94971499999999998"/>
    <n v="0.94436555056318516"/>
    <n v="292100"/>
    <n v="0"/>
    <n v="292100"/>
    <n v="33800"/>
    <n v="325900"/>
    <n v="0.82334581772784021"/>
    <n v="-0.29288702928870292"/>
    <n v="0.56682692307692306"/>
  </r>
  <r>
    <n v="2025"/>
    <s v="18132212421    "/>
    <n v="-1.1711829815029451"/>
    <n v="0.31"/>
    <n v="13408"/>
    <s v="6"/>
    <s v="RES"/>
    <x v="0"/>
    <s v="11"/>
    <s v="259"/>
    <s v="RN"/>
    <s v="V"/>
    <s v="VG"/>
    <x v="5"/>
    <n v="55"/>
    <n v="47"/>
    <n v="1969"/>
    <n v="1977"/>
    <n v="2318"/>
    <m/>
    <n v="1971"/>
    <n v="0"/>
    <n v="1971"/>
    <m/>
    <n v="4289"/>
    <n v="4500"/>
    <n v="15"/>
    <n v="713"/>
    <m/>
    <n v="394"/>
    <m/>
    <m/>
    <m/>
    <m/>
    <n v="916935"/>
    <n v="724379"/>
    <n v="30942"/>
    <n v="705800"/>
    <n v="73700"/>
    <n v="632100"/>
    <n v="0"/>
    <n v="0"/>
    <n v="89850.625589999996"/>
    <n v="-37073.347241874442"/>
    <n v="163885.03753"/>
    <n v="284810.60806"/>
    <n v="-10483.143223500001"/>
    <n v="114529.29677488601"/>
    <n v="0"/>
    <n v="0"/>
    <n v="57320.415531836996"/>
    <n v="56880.331578000005"/>
    <n v="13118.433018744001"/>
    <n v="30900"/>
    <n v="680100"/>
    <n v="52800"/>
    <n v="763800"/>
    <n v="8.2176253896287896E-2"/>
    <n v="0.99970000000000003"/>
    <n v="1"/>
    <n v="1.0158"/>
    <n v="1"/>
    <n v="0.98119999999999996"/>
    <n v="0.94971499999999998"/>
    <n v="0.94658375165639985"/>
    <n v="680100"/>
    <n v="29400"/>
    <n v="709500"/>
    <n v="50100"/>
    <n v="759600"/>
    <n v="0.12244897959183673"/>
    <n v="-0.32021709633649931"/>
    <n v="7.6225559648625679E-2"/>
  </r>
  <r>
    <n v="2025"/>
    <s v="18132212427    "/>
    <n v="-1.1394342831883648"/>
    <n v="0.32"/>
    <n v="13829"/>
    <s v="6"/>
    <s v="RES"/>
    <x v="0"/>
    <s v="11"/>
    <s v="259"/>
    <s v="RN"/>
    <s v="A+"/>
    <s v="GD"/>
    <x v="5"/>
    <n v="55"/>
    <n v="37"/>
    <n v="1969"/>
    <n v="1987"/>
    <n v="1884"/>
    <m/>
    <m/>
    <n v="0"/>
    <m/>
    <m/>
    <n v="1884"/>
    <n v="2000"/>
    <n v="8"/>
    <n v="600"/>
    <m/>
    <m/>
    <m/>
    <m/>
    <m/>
    <m/>
    <n v="364155"/>
    <n v="309532"/>
    <n v="0"/>
    <n v="369300"/>
    <n v="74800"/>
    <n v="294500"/>
    <n v="0"/>
    <n v="0"/>
    <n v="89850.625589999996"/>
    <n v="-36068.354396449467"/>
    <n v="29814.093161000001"/>
    <n v="197752.34721000001"/>
    <n v="-8252.6872185000011"/>
    <n v="93085.934048267998"/>
    <n v="0"/>
    <n v="0"/>
    <n v="0"/>
    <n v="30336.176841600001"/>
    <n v="0"/>
    <n v="0"/>
    <n v="342700"/>
    <n v="53800"/>
    <n v="396500"/>
    <n v="7.3652856756024912E-2"/>
    <n v="0.99970000000000003"/>
    <n v="1.0088999999999999"/>
    <n v="0.99650000000000005"/>
    <n v="1.0093000000000001"/>
    <n v="0.98119999999999996"/>
    <n v="0.94971499999999998"/>
    <n v="0.94557620588434055"/>
    <n v="342700"/>
    <n v="0"/>
    <n v="342700"/>
    <n v="51100"/>
    <n v="393800"/>
    <n v="0.16366723259762309"/>
    <n v="-0.31684491978609625"/>
    <n v="6.6341727592743024E-2"/>
  </r>
  <r>
    <n v="2025"/>
    <s v="18132214440    "/>
    <n v="-1.7147984280919266"/>
    <n v="0.18"/>
    <n v="8027"/>
    <s v="6"/>
    <s v="RES"/>
    <x v="0"/>
    <s v="11"/>
    <s v="259"/>
    <s v="RN"/>
    <s v="G"/>
    <s v="FR"/>
    <x v="5"/>
    <n v="55"/>
    <n v="47"/>
    <n v="1969"/>
    <n v="1977"/>
    <n v="1720"/>
    <m/>
    <n v="1320"/>
    <n v="450"/>
    <n v="870"/>
    <m/>
    <n v="2590"/>
    <n v="3000"/>
    <n v="8"/>
    <m/>
    <m/>
    <m/>
    <m/>
    <m/>
    <m/>
    <m/>
    <n v="497002"/>
    <n v="362811"/>
    <n v="0"/>
    <n v="337100"/>
    <n v="54700"/>
    <n v="282400"/>
    <n v="0"/>
    <n v="0"/>
    <n v="89850.625589999996"/>
    <n v="-54281.285314520763"/>
    <n v="44121.038090000002"/>
    <n v="133714.53821"/>
    <n v="-10483.143223500001"/>
    <n v="84982.912188440008"/>
    <n v="0"/>
    <n v="0"/>
    <n v="38388.101726039997"/>
    <n v="30336.176841600001"/>
    <n v="0"/>
    <n v="0"/>
    <n v="321100"/>
    <n v="35600"/>
    <n v="356700"/>
    <n v="5.8142984277662416E-2"/>
    <n v="0.99970000000000003"/>
    <n v="0.98050000000000004"/>
    <n v="0.99329999999999996"/>
    <n v="0.96179999999999999"/>
    <n v="0.98119999999999996"/>
    <n v="0.94971499999999998"/>
    <n v="0.87289829086464277"/>
    <n v="321100"/>
    <n v="0"/>
    <n v="321100"/>
    <n v="33800"/>
    <n v="354900"/>
    <n v="0.13703966005665721"/>
    <n v="-0.38208409506398539"/>
    <n v="5.2803322456244438E-2"/>
  </r>
  <r>
    <n v="2025"/>
    <s v="18132212408    "/>
    <n v="-2.3025850929940455"/>
    <n v="0.1"/>
    <n v="4407"/>
    <s v="6"/>
    <s v="RES"/>
    <x v="0"/>
    <s v="11"/>
    <s v="325"/>
    <s v="PE"/>
    <s v="A"/>
    <s v="GD"/>
    <x v="5"/>
    <n v="56"/>
    <n v="47"/>
    <n v="1968"/>
    <n v="1977"/>
    <n v="1252"/>
    <m/>
    <m/>
    <n v="0"/>
    <m/>
    <m/>
    <n v="1252"/>
    <n v="1500"/>
    <n v="5"/>
    <m/>
    <m/>
    <m/>
    <m/>
    <m/>
    <m/>
    <m/>
    <n v="211997"/>
    <n v="158998"/>
    <n v="0"/>
    <n v="202200"/>
    <n v="42600"/>
    <n v="159600"/>
    <n v="0"/>
    <n v="0"/>
    <n v="89850.625589999996"/>
    <n v="-72887.446329681261"/>
    <n v="21557.329055999999"/>
    <n v="197752.34721000001"/>
    <n v="-10483.143223500001"/>
    <n v="61859.654686004003"/>
    <n v="0"/>
    <n v="0"/>
    <n v="0"/>
    <n v="18960.110526"/>
    <n v="0"/>
    <n v="0"/>
    <n v="289600"/>
    <n v="17000"/>
    <n v="306600"/>
    <n v="0.51632047477744802"/>
    <n v="0.99970000000000003"/>
    <n v="1.0067999999999999"/>
    <n v="0.99650000000000005"/>
    <n v="1.0157"/>
    <n v="0.98119999999999996"/>
    <n v="0.94971499999999998"/>
    <n v="0.9495914580116861"/>
    <n v="289600"/>
    <n v="0"/>
    <n v="289600"/>
    <n v="16100"/>
    <n v="305700"/>
    <n v="0.81453634085213034"/>
    <n v="-0.6220657276995305"/>
    <n v="0.51186943620178038"/>
  </r>
  <r>
    <n v="2025"/>
    <s v="18132212409    "/>
    <n v="-2.5257286443082556"/>
    <n v="0.08"/>
    <n v="3651"/>
    <s v="6"/>
    <s v="RES"/>
    <x v="0"/>
    <s v="11"/>
    <s v="325"/>
    <s v="PE"/>
    <s v="A"/>
    <s v="GD"/>
    <x v="5"/>
    <n v="56"/>
    <n v="47"/>
    <n v="1968"/>
    <n v="1977"/>
    <n v="1354"/>
    <m/>
    <m/>
    <n v="0"/>
    <m/>
    <m/>
    <n v="1354"/>
    <n v="1500"/>
    <n v="7"/>
    <m/>
    <m/>
    <m/>
    <m/>
    <m/>
    <m/>
    <m/>
    <n v="223779"/>
    <n v="167834"/>
    <n v="0"/>
    <n v="209600"/>
    <n v="41200"/>
    <n v="168400"/>
    <n v="0"/>
    <n v="0"/>
    <n v="89850.625589999996"/>
    <n v="-79950.969701614697"/>
    <n v="21557.329055999999"/>
    <n v="197752.34721000001"/>
    <n v="-10483.143223500001"/>
    <n v="66899.339013457997"/>
    <n v="0"/>
    <n v="0"/>
    <n v="0"/>
    <n v="26544.1547364"/>
    <n v="0"/>
    <n v="0"/>
    <n v="302300"/>
    <n v="9900"/>
    <n v="312200"/>
    <n v="0.48950381679389315"/>
    <n v="0.99970000000000003"/>
    <n v="1.0067999999999999"/>
    <n v="0.99650000000000005"/>
    <n v="1.0157"/>
    <n v="0.98119999999999996"/>
    <n v="0.94971499999999998"/>
    <n v="0.9495914580116861"/>
    <n v="302300"/>
    <n v="0"/>
    <n v="302300"/>
    <n v="9400"/>
    <n v="311700"/>
    <n v="0.79513064133016631"/>
    <n v="-0.77184466019417475"/>
    <n v="0.48711832061068705"/>
  </r>
  <r>
    <n v="2025"/>
    <s v="18132212456    "/>
    <n v="-1.7147984280919266"/>
    <n v="0.18"/>
    <n v="7898"/>
    <s v="6"/>
    <s v="RES"/>
    <x v="0"/>
    <s v="11"/>
    <s v="325"/>
    <s v="PE"/>
    <s v="G"/>
    <s v="AV"/>
    <x v="5"/>
    <n v="56"/>
    <n v="47"/>
    <n v="1968"/>
    <n v="1977"/>
    <n v="1656"/>
    <m/>
    <m/>
    <n v="0"/>
    <m/>
    <m/>
    <n v="1656"/>
    <n v="2000"/>
    <n v="8"/>
    <n v="600"/>
    <m/>
    <m/>
    <m/>
    <m/>
    <m/>
    <m/>
    <n v="407501"/>
    <n v="301551"/>
    <n v="0"/>
    <n v="280200"/>
    <n v="47700"/>
    <n v="232500"/>
    <n v="0"/>
    <n v="0"/>
    <n v="89850.625589999996"/>
    <n v="-54281.285314520763"/>
    <n v="44121.038090000002"/>
    <n v="160472.20319"/>
    <n v="-10483.143223500001"/>
    <n v="81820.757316311996"/>
    <n v="0"/>
    <n v="0"/>
    <n v="0"/>
    <n v="30336.176841600001"/>
    <n v="0"/>
    <n v="0"/>
    <n v="306300"/>
    <n v="35600"/>
    <n v="341900"/>
    <n v="0.22019985724482513"/>
    <n v="0.99970000000000003"/>
    <n v="0.98050000000000004"/>
    <n v="0.99729999999999996"/>
    <n v="1.0093000000000001"/>
    <n v="0.98119999999999996"/>
    <n v="0.94971499999999998"/>
    <n v="0.91969648622090105"/>
    <n v="306300"/>
    <n v="0"/>
    <n v="306300"/>
    <n v="33800"/>
    <n v="340100"/>
    <n v="0.3174193548387097"/>
    <n v="-0.29140461215932911"/>
    <n v="0.21377587437544612"/>
  </r>
  <r>
    <n v="2025"/>
    <s v="18132212400    "/>
    <n v="-1.6607312068216509"/>
    <n v="0.19"/>
    <n v="8314"/>
    <s v="6"/>
    <s v="RES"/>
    <x v="0"/>
    <s v="11"/>
    <s v="325"/>
    <s v="PE"/>
    <s v="G"/>
    <s v="AV"/>
    <x v="5"/>
    <n v="56"/>
    <n v="47"/>
    <n v="1968"/>
    <n v="1977"/>
    <n v="1574"/>
    <m/>
    <m/>
    <n v="0"/>
    <m/>
    <m/>
    <n v="1574"/>
    <n v="2000"/>
    <n v="8"/>
    <n v="600"/>
    <m/>
    <m/>
    <m/>
    <m/>
    <m/>
    <m/>
    <n v="397666"/>
    <n v="294273"/>
    <n v="0"/>
    <n v="293100"/>
    <n v="48300"/>
    <n v="244800"/>
    <n v="0"/>
    <n v="0"/>
    <n v="89850.625589999996"/>
    <n v="-52569.808201026557"/>
    <n v="44121.038090000002"/>
    <n v="160472.20319"/>
    <n v="-10483.143223500001"/>
    <n v="77769.246386398008"/>
    <n v="0"/>
    <n v="0"/>
    <n v="0"/>
    <n v="30336.176841600001"/>
    <n v="0"/>
    <n v="0"/>
    <n v="302200"/>
    <n v="37300"/>
    <n v="339500"/>
    <n v="0.15830774479699761"/>
    <n v="0.99970000000000003"/>
    <n v="0.98050000000000004"/>
    <n v="0.99729999999999996"/>
    <n v="1.0093000000000001"/>
    <n v="0.98119999999999996"/>
    <n v="0.94971499999999998"/>
    <n v="0.91969648622090105"/>
    <n v="302200"/>
    <n v="0"/>
    <n v="302200"/>
    <n v="35400"/>
    <n v="337600"/>
    <n v="0.23447712418300654"/>
    <n v="-0.26708074534161491"/>
    <n v="0.15182531559194815"/>
  </r>
  <r>
    <n v="2025"/>
    <s v="18132212002    "/>
    <n v="-0.94160853985844495"/>
    <n v="0.39"/>
    <n v="16864"/>
    <s v="6"/>
    <s v="RES"/>
    <x v="0"/>
    <s v="11"/>
    <s v="259"/>
    <s v="RN"/>
    <s v="G"/>
    <s v="AV"/>
    <x v="5"/>
    <n v="56"/>
    <n v="47"/>
    <n v="1968"/>
    <n v="1977"/>
    <n v="2419"/>
    <m/>
    <n v="1866"/>
    <n v="1866"/>
    <m/>
    <m/>
    <n v="2419"/>
    <n v="2500"/>
    <n v="10"/>
    <n v="552"/>
    <m/>
    <n v="400"/>
    <m/>
    <m/>
    <m/>
    <m/>
    <n v="581682"/>
    <n v="430445"/>
    <n v="0"/>
    <n v="433600"/>
    <n v="81700"/>
    <n v="351900"/>
    <n v="0"/>
    <n v="0"/>
    <n v="89850.625589999996"/>
    <n v="-29806.256507663158"/>
    <n v="44121.038090000002"/>
    <n v="160472.20319"/>
    <n v="-10483.143223500001"/>
    <n v="119519.572432463"/>
    <n v="0"/>
    <n v="0"/>
    <n v="54266.816530901997"/>
    <n v="37920.221052000001"/>
    <n v="13318.206110400002"/>
    <n v="0"/>
    <n v="419100"/>
    <n v="60000"/>
    <n v="479100"/>
    <n v="0.10493542435424354"/>
    <n v="0.99970000000000003"/>
    <n v="0.98050000000000004"/>
    <n v="0.99729999999999996"/>
    <n v="0.98919999999999997"/>
    <n v="0.98119999999999996"/>
    <n v="0.94971499999999998"/>
    <n v="0.90138092159884586"/>
    <n v="419100"/>
    <n v="0"/>
    <n v="419100"/>
    <n v="57000"/>
    <n v="476100"/>
    <n v="0.19096334185848252"/>
    <n v="-0.30232558139534882"/>
    <n v="9.8016605166051665E-2"/>
  </r>
  <r>
    <n v="2025"/>
    <s v="18132243405    "/>
    <n v="-1.5606477482646683"/>
    <n v="0.21"/>
    <n v="9300"/>
    <s v="6"/>
    <s v="RES"/>
    <x v="0"/>
    <s v="11"/>
    <s v="259"/>
    <s v="RN"/>
    <s v="G"/>
    <s v="GD"/>
    <x v="5"/>
    <n v="56"/>
    <n v="47"/>
    <n v="1968"/>
    <n v="1977"/>
    <n v="1545"/>
    <m/>
    <m/>
    <n v="0"/>
    <m/>
    <m/>
    <n v="1545"/>
    <n v="2000"/>
    <n v="7"/>
    <n v="420"/>
    <m/>
    <m/>
    <m/>
    <m/>
    <m/>
    <m/>
    <n v="344238"/>
    <n v="258179"/>
    <n v="0"/>
    <n v="343100"/>
    <n v="60100"/>
    <n v="283000"/>
    <n v="0"/>
    <n v="0"/>
    <n v="89850.625589999996"/>
    <n v="-49401.70477837498"/>
    <n v="44121.038090000002"/>
    <n v="197752.34721000001"/>
    <n v="-10483.143223500001"/>
    <n v="76336.394959965008"/>
    <n v="0"/>
    <n v="0"/>
    <n v="0"/>
    <n v="26544.1547364"/>
    <n v="0"/>
    <n v="0"/>
    <n v="334300"/>
    <n v="40400"/>
    <n v="374700"/>
    <n v="9.2101428155056841E-2"/>
    <n v="0.99970000000000003"/>
    <n v="0.98050000000000004"/>
    <n v="0.99650000000000005"/>
    <n v="1.0093000000000001"/>
    <n v="0.98119999999999996"/>
    <n v="0.94971499999999998"/>
    <n v="0.91895873710932319"/>
    <n v="334300"/>
    <n v="0"/>
    <n v="334300"/>
    <n v="38400"/>
    <n v="372700"/>
    <n v="0.18127208480565371"/>
    <n v="-0.36106489184692181"/>
    <n v="8.6272223841445644E-2"/>
  </r>
  <r>
    <n v="2025"/>
    <s v="18132322408    "/>
    <n v="-1.5141277326297755"/>
    <n v="0.22"/>
    <m/>
    <s v="6"/>
    <s v="RES"/>
    <x v="0"/>
    <s v="11"/>
    <s v="259"/>
    <s v="SE"/>
    <s v="A+"/>
    <s v="GD"/>
    <x v="5"/>
    <n v="56"/>
    <n v="47"/>
    <n v="1968"/>
    <n v="1977"/>
    <n v="1428"/>
    <m/>
    <n v="898"/>
    <n v="30"/>
    <n v="868"/>
    <m/>
    <n v="2296"/>
    <n v="2500"/>
    <n v="8"/>
    <m/>
    <n v="560"/>
    <n v="56"/>
    <m/>
    <m/>
    <m/>
    <m/>
    <n v="379691"/>
    <n v="284768"/>
    <n v="0"/>
    <n v="363000"/>
    <n v="61700"/>
    <n v="301300"/>
    <n v="0"/>
    <n v="0"/>
    <n v="89850.625589999996"/>
    <n v="-47929.131559187132"/>
    <n v="29814.093161000001"/>
    <n v="197752.34721000001"/>
    <n v="-10483.143223500001"/>
    <n v="70555.580584356008"/>
    <n v="0"/>
    <n v="0"/>
    <n v="26115.541931805998"/>
    <n v="30336.176841600001"/>
    <n v="1864.5488554560002"/>
    <n v="0"/>
    <n v="346000"/>
    <n v="41900"/>
    <n v="387900"/>
    <n v="6.8595041322314046E-2"/>
    <n v="0.99970000000000003"/>
    <n v="1.0088999999999999"/>
    <n v="0.99650000000000005"/>
    <n v="0.98919999999999997"/>
    <n v="0.98119999999999996"/>
    <n v="0.94971499999999998"/>
    <n v="0.92674525201703128"/>
    <n v="346000"/>
    <n v="0"/>
    <n v="346000"/>
    <n v="39800"/>
    <n v="385800"/>
    <n v="0.14835711915034849"/>
    <n v="-0.35494327390599678"/>
    <n v="6.2809917355371905E-2"/>
  </r>
  <r>
    <n v="2025"/>
    <s v="18132323534    "/>
    <n v="-1.7719568419318752"/>
    <n v="0.17"/>
    <n v="7256"/>
    <s v="6"/>
    <s v="RES"/>
    <x v="0"/>
    <s v="11"/>
    <s v="259"/>
    <s v="RN"/>
    <s v="G"/>
    <s v="AV"/>
    <x v="5"/>
    <n v="56"/>
    <n v="47"/>
    <n v="1968"/>
    <n v="1977"/>
    <n v="918"/>
    <m/>
    <m/>
    <n v="0"/>
    <m/>
    <m/>
    <n v="918"/>
    <n v="1000"/>
    <n v="8"/>
    <n v="252"/>
    <m/>
    <m/>
    <m/>
    <m/>
    <m/>
    <m/>
    <n v="248079"/>
    <n v="183578"/>
    <n v="0"/>
    <n v="287100"/>
    <n v="52700"/>
    <n v="234400"/>
    <n v="0"/>
    <n v="0"/>
    <n v="89850.625589999996"/>
    <n v="-56090.612940989391"/>
    <n v="44121.038090000002"/>
    <n v="160472.20319"/>
    <n v="-10483.143223500001"/>
    <n v="45357.158947085998"/>
    <n v="0"/>
    <n v="0"/>
    <n v="0"/>
    <n v="30336.176841600001"/>
    <n v="0"/>
    <n v="0"/>
    <n v="269800"/>
    <n v="33800"/>
    <n v="303600"/>
    <n v="5.7471264367816091E-2"/>
    <n v="0.99970000000000003"/>
    <n v="0.98050000000000004"/>
    <n v="0.99729999999999996"/>
    <n v="1.0148999999999999"/>
    <n v="0.98119999999999996"/>
    <n v="0.94971499999999998"/>
    <n v="0.92479933009570214"/>
    <n v="269800"/>
    <n v="0"/>
    <n v="269800"/>
    <n v="32100"/>
    <n v="301900"/>
    <n v="0.15102389078498293"/>
    <n v="-0.39089184060721061"/>
    <n v="5.1549982584465345E-2"/>
  </r>
  <r>
    <n v="2025"/>
    <s v="18132332419    "/>
    <n v="-1.7719568419318752"/>
    <n v="0.17"/>
    <n v="7588"/>
    <s v="6"/>
    <s v="RES"/>
    <x v="0"/>
    <s v="11"/>
    <s v="259"/>
    <s v="RN"/>
    <s v="A+"/>
    <s v="AV"/>
    <x v="5"/>
    <n v="56"/>
    <n v="47"/>
    <n v="1968"/>
    <n v="1977"/>
    <n v="1344"/>
    <m/>
    <m/>
    <n v="0"/>
    <m/>
    <m/>
    <n v="1344"/>
    <n v="1500"/>
    <n v="9"/>
    <n v="528"/>
    <m/>
    <m/>
    <m/>
    <m/>
    <m/>
    <m/>
    <n v="286384"/>
    <n v="211924"/>
    <n v="0"/>
    <n v="298100"/>
    <n v="52700"/>
    <n v="245400"/>
    <n v="0"/>
    <n v="0"/>
    <n v="89850.625589999996"/>
    <n v="-56090.612940989391"/>
    <n v="29814.093161000001"/>
    <n v="160472.20319"/>
    <n v="-10483.143223500001"/>
    <n v="66405.252314687998"/>
    <n v="0"/>
    <n v="0"/>
    <n v="0"/>
    <n v="34128.198946800003"/>
    <n v="0"/>
    <n v="0"/>
    <n v="280300"/>
    <n v="33800"/>
    <n v="314100"/>
    <n v="5.3673264005367323E-2"/>
    <n v="0.99970000000000003"/>
    <n v="1.0088999999999999"/>
    <n v="0.99729999999999996"/>
    <n v="1.0157"/>
    <n v="0.98119999999999996"/>
    <n v="0.94971499999999998"/>
    <n v="0.95233606295915574"/>
    <n v="280300"/>
    <n v="0"/>
    <n v="280300"/>
    <n v="32100"/>
    <n v="312400"/>
    <n v="0.14221678891605541"/>
    <n v="-0.39089184060721061"/>
    <n v="4.797047970479705E-2"/>
  </r>
  <r>
    <n v="2025"/>
    <s v="18132212423    "/>
    <n v="-1.1086626245216111"/>
    <n v="0.33"/>
    <n v="14470"/>
    <s v="6"/>
    <s v="RES"/>
    <x v="0"/>
    <s v="11"/>
    <s v="259"/>
    <s v="RN"/>
    <s v="G"/>
    <s v="GD"/>
    <x v="5"/>
    <n v="56"/>
    <n v="37"/>
    <n v="1968"/>
    <n v="1987"/>
    <n v="1575"/>
    <m/>
    <n v="1575"/>
    <n v="0"/>
    <n v="1575"/>
    <m/>
    <n v="3150"/>
    <n v="3500"/>
    <n v="14"/>
    <m/>
    <m/>
    <n v="294"/>
    <m/>
    <m/>
    <m/>
    <m/>
    <n v="536612"/>
    <n v="456120"/>
    <n v="25776"/>
    <n v="478300"/>
    <n v="75900"/>
    <n v="402400"/>
    <n v="0"/>
    <n v="0"/>
    <n v="89850.625589999996"/>
    <n v="-35094.289365640165"/>
    <n v="44121.038090000002"/>
    <n v="197752.34721000001"/>
    <n v="-8252.6872185000011"/>
    <n v="77818.655056275005"/>
    <n v="0"/>
    <n v="0"/>
    <n v="45803.985014024998"/>
    <n v="53088.3094728"/>
    <n v="9788.8814911440004"/>
    <n v="25800"/>
    <n v="420100"/>
    <n v="54800"/>
    <n v="500700"/>
    <n v="4.6832531883754969E-2"/>
    <n v="0.99970000000000003"/>
    <n v="0.98050000000000004"/>
    <n v="0.99650000000000005"/>
    <n v="1.0126999999999999"/>
    <n v="0.98119999999999996"/>
    <n v="0.94971499999999998"/>
    <n v="0.92205440708472342"/>
    <n v="420100"/>
    <n v="24500"/>
    <n v="444600"/>
    <n v="52000"/>
    <n v="496600"/>
    <n v="0.10487077534791253"/>
    <n v="-0.31488801054018445"/>
    <n v="3.8260505958603384E-2"/>
  </r>
  <r>
    <n v="2025"/>
    <s v="18132212032    "/>
    <n v="-0.75502258427803282"/>
    <n v="0.47"/>
    <n v="20583"/>
    <s v="6"/>
    <s v="RES"/>
    <x v="0"/>
    <s v="11"/>
    <s v="259"/>
    <s v="SL"/>
    <s v="A+"/>
    <s v="GD"/>
    <x v="5"/>
    <n v="56"/>
    <n v="47"/>
    <n v="1968"/>
    <n v="1977"/>
    <n v="1676"/>
    <m/>
    <n v="775"/>
    <n v="0"/>
    <n v="775"/>
    <m/>
    <n v="2451"/>
    <n v="2500"/>
    <n v="12"/>
    <n v="672"/>
    <m/>
    <m/>
    <m/>
    <m/>
    <m/>
    <m/>
    <n v="450903"/>
    <n v="338177"/>
    <n v="0"/>
    <n v="419200"/>
    <n v="88200"/>
    <n v="331000"/>
    <n v="0"/>
    <n v="0"/>
    <n v="89850.625589999996"/>
    <n v="-23899.949781097919"/>
    <n v="29814.093161000001"/>
    <n v="197752.34721000001"/>
    <n v="-10483.143223500001"/>
    <n v="82808.930713852009"/>
    <n v="0"/>
    <n v="0"/>
    <n v="22538.468816425"/>
    <n v="45504.265262400004"/>
    <n v="0"/>
    <n v="0"/>
    <n v="367900"/>
    <n v="66000"/>
    <n v="433900"/>
    <n v="3.506679389312977E-2"/>
    <n v="0.99970000000000003"/>
    <n v="1.0088999999999999"/>
    <n v="0.99650000000000005"/>
    <n v="0.98919999999999997"/>
    <n v="0.98119999999999996"/>
    <n v="0.94971499999999998"/>
    <n v="0.92674525201703128"/>
    <n v="367900"/>
    <n v="0"/>
    <n v="367900"/>
    <n v="62600"/>
    <n v="430500"/>
    <n v="0.11148036253776435"/>
    <n v="-0.29024943310657597"/>
    <n v="2.6956106870229007E-2"/>
  </r>
  <r>
    <n v="2025"/>
    <s v="18132212419    "/>
    <n v="-1.4271163556401458"/>
    <n v="0.24"/>
    <n v="10450"/>
    <s v="6"/>
    <s v="RES"/>
    <x v="0"/>
    <s v="11"/>
    <s v="259"/>
    <s v="SL"/>
    <s v="G+"/>
    <s v="GD"/>
    <x v="5"/>
    <n v="56"/>
    <n v="47"/>
    <n v="1968"/>
    <n v="1977"/>
    <n v="1706"/>
    <m/>
    <n v="864"/>
    <n v="0"/>
    <n v="864"/>
    <m/>
    <n v="2570"/>
    <n v="3000"/>
    <n v="11"/>
    <n v="696"/>
    <m/>
    <m/>
    <m/>
    <m/>
    <m/>
    <m/>
    <n v="560126"/>
    <n v="431297"/>
    <n v="0"/>
    <n v="458900"/>
    <n v="64800"/>
    <n v="394100"/>
    <n v="0"/>
    <n v="0"/>
    <n v="89850.625589999996"/>
    <n v="-45174.819855485119"/>
    <n v="74268.409664999999"/>
    <n v="197752.34721000001"/>
    <n v="-10483.143223500001"/>
    <n v="84291.190810162007"/>
    <n v="0"/>
    <n v="0"/>
    <n v="25126.757493408"/>
    <n v="41712.243157199999"/>
    <n v="0"/>
    <n v="0"/>
    <n v="412700"/>
    <n v="44700"/>
    <n v="457400"/>
    <n v="-3.2686859882327304E-3"/>
    <n v="0.99970000000000003"/>
    <n v="0.98380000000000001"/>
    <n v="0.99650000000000005"/>
    <n v="0.96179999999999999"/>
    <n v="0.98119999999999996"/>
    <n v="0.94971499999999998"/>
    <n v="0.87865772359428407"/>
    <n v="412700"/>
    <n v="0"/>
    <n v="412700"/>
    <n v="42400"/>
    <n v="455100"/>
    <n v="4.7196143110885561E-2"/>
    <n v="-0.34567901234567899"/>
    <n v="-8.2806711701895845E-3"/>
  </r>
  <r>
    <n v="2025"/>
    <s v="18132331007    "/>
    <n v="-2.120263536200091"/>
    <n v="0.12"/>
    <m/>
    <s v="6"/>
    <s v="RES"/>
    <x v="0"/>
    <s v="11"/>
    <s v="259"/>
    <s v="RN"/>
    <s v="F"/>
    <s v="GD"/>
    <x v="5"/>
    <n v="56"/>
    <n v="47"/>
    <n v="1968"/>
    <n v="1977"/>
    <n v="984"/>
    <m/>
    <m/>
    <n v="0"/>
    <m/>
    <m/>
    <n v="984"/>
    <n v="1000"/>
    <n v="5"/>
    <m/>
    <m/>
    <m/>
    <m/>
    <m/>
    <m/>
    <m/>
    <n v="140374"/>
    <n v="105281"/>
    <n v="0"/>
    <n v="243500"/>
    <n v="40600"/>
    <n v="202900"/>
    <n v="0"/>
    <n v="0"/>
    <n v="89850.625589999996"/>
    <n v="-67116.12750806773"/>
    <n v="-43578.886190266698"/>
    <n v="197752.34721000001"/>
    <n v="-10483.143223500001"/>
    <n v="48618.131158968004"/>
    <n v="0"/>
    <n v="0"/>
    <n v="0"/>
    <n v="18960.110526"/>
    <n v="0"/>
    <n v="0"/>
    <n v="211300"/>
    <n v="22700"/>
    <n v="234000"/>
    <n v="-3.9014373716632446E-2"/>
    <n v="0.99970000000000003"/>
    <n v="1"/>
    <n v="0.99650000000000005"/>
    <n v="1.0148999999999999"/>
    <n v="0.98119999999999996"/>
    <n v="0.94971499999999998"/>
    <n v="0.94243496956353012"/>
    <n v="211300"/>
    <n v="0"/>
    <n v="211300"/>
    <n v="21600"/>
    <n v="232900"/>
    <n v="4.1399704287826515E-2"/>
    <n v="-0.46798029556650245"/>
    <n v="-4.3531827515400412E-2"/>
  </r>
  <r>
    <n v="2025"/>
    <s v="18132331470    "/>
    <n v="-1.6607312068216509"/>
    <n v="0.19"/>
    <m/>
    <s v="6"/>
    <s v="RES"/>
    <x v="0"/>
    <s v="11"/>
    <s v="259"/>
    <s v="RN"/>
    <s v="A+"/>
    <s v="GD"/>
    <x v="5"/>
    <n v="57"/>
    <n v="48"/>
    <n v="1967"/>
    <n v="1976"/>
    <n v="1789"/>
    <m/>
    <m/>
    <n v="0"/>
    <m/>
    <m/>
    <n v="1789"/>
    <n v="2000"/>
    <n v="8"/>
    <n v="576"/>
    <m/>
    <m/>
    <m/>
    <m/>
    <m/>
    <m/>
    <n v="354879"/>
    <n v="259062"/>
    <n v="0"/>
    <n v="347000"/>
    <n v="56600"/>
    <n v="290400"/>
    <n v="0"/>
    <n v="0"/>
    <n v="89850.625589999996"/>
    <n v="-52569.808201026557"/>
    <n v="29814.093161000001"/>
    <n v="197752.34721000001"/>
    <n v="-10706.188824000001"/>
    <n v="88392.110409953006"/>
    <n v="0"/>
    <n v="0"/>
    <n v="0"/>
    <n v="30336.176841600001"/>
    <n v="0"/>
    <n v="0"/>
    <n v="335600"/>
    <n v="37300"/>
    <n v="372900"/>
    <n v="7.4639769452449573E-2"/>
    <n v="0.99970000000000003"/>
    <n v="1.0088999999999999"/>
    <n v="0.99650000000000005"/>
    <n v="1.0093000000000001"/>
    <n v="0.98119999999999996"/>
    <n v="0.94971499999999998"/>
    <n v="0.94557620588434055"/>
    <n v="335600"/>
    <n v="0"/>
    <n v="335600"/>
    <n v="35400"/>
    <n v="371000"/>
    <n v="0.15564738292011018"/>
    <n v="-0.37455830388692579"/>
    <n v="6.9164265129683003E-2"/>
  </r>
  <r>
    <n v="2025"/>
    <s v="18132323533    "/>
    <n v="-1.8971199848858813"/>
    <n v="0.15"/>
    <n v="6404"/>
    <s v="6"/>
    <s v="RES"/>
    <x v="0"/>
    <s v="11"/>
    <s v="259"/>
    <s v="RN"/>
    <s v="A+"/>
    <s v="GD"/>
    <x v="5"/>
    <n v="57"/>
    <n v="48"/>
    <n v="1967"/>
    <n v="1976"/>
    <n v="1062"/>
    <m/>
    <n v="1062"/>
    <n v="0"/>
    <n v="1062"/>
    <m/>
    <n v="2124"/>
    <n v="2500"/>
    <n v="8"/>
    <m/>
    <m/>
    <n v="130"/>
    <m/>
    <m/>
    <m/>
    <m/>
    <n v="318752"/>
    <n v="232689"/>
    <n v="12142"/>
    <n v="351500"/>
    <n v="48400"/>
    <n v="303100"/>
    <n v="0"/>
    <n v="0"/>
    <n v="89850.625589999996"/>
    <n v="-60052.604136134301"/>
    <n v="29814.093161000001"/>
    <n v="197752.34721000001"/>
    <n v="-10706.188824000001"/>
    <n v="52472.007409374004"/>
    <n v="0"/>
    <n v="0"/>
    <n v="30884.972752313999"/>
    <n v="30336.176841600001"/>
    <n v="4328.4169858800005"/>
    <n v="12100"/>
    <n v="334900"/>
    <n v="29800"/>
    <n v="376800"/>
    <n v="7.1977240398293035E-2"/>
    <n v="0.99970000000000003"/>
    <n v="1.0088999999999999"/>
    <n v="0.99650000000000005"/>
    <n v="0.98919999999999997"/>
    <n v="0.98119999999999996"/>
    <n v="0.94971499999999998"/>
    <n v="0.92674525201703128"/>
    <n v="334900"/>
    <n v="11500"/>
    <n v="346400"/>
    <n v="28300"/>
    <n v="374700"/>
    <n v="0.14285714285714285"/>
    <n v="-0.41528925619834711"/>
    <n v="6.6002844950213371E-2"/>
  </r>
  <r>
    <n v="2025"/>
    <s v="18132243422    "/>
    <n v="-1.7147984280919266"/>
    <n v="0.18"/>
    <n v="8025"/>
    <s v="6"/>
    <s v="RES"/>
    <x v="0"/>
    <s v="11"/>
    <s v="259"/>
    <s v="RN"/>
    <s v="A+"/>
    <s v="AV"/>
    <x v="5"/>
    <n v="57"/>
    <n v="48"/>
    <n v="1967"/>
    <n v="1976"/>
    <n v="1502"/>
    <m/>
    <m/>
    <n v="0"/>
    <m/>
    <m/>
    <n v="1502"/>
    <n v="2000"/>
    <n v="8"/>
    <n v="418"/>
    <m/>
    <n v="208"/>
    <m/>
    <m/>
    <m/>
    <m/>
    <n v="311549"/>
    <n v="224315"/>
    <n v="0"/>
    <n v="305600"/>
    <n v="54700"/>
    <n v="250900"/>
    <n v="0"/>
    <n v="0"/>
    <n v="89850.625589999996"/>
    <n v="-54281.285314520763"/>
    <n v="29814.093161000001"/>
    <n v="160472.20319"/>
    <n v="-10706.188824000001"/>
    <n v="74211.822155254005"/>
    <n v="0"/>
    <n v="0"/>
    <n v="0"/>
    <n v="30336.176841600001"/>
    <n v="6925.4671774080007"/>
    <n v="0"/>
    <n v="291100"/>
    <n v="35600"/>
    <n v="326700"/>
    <n v="6.9044502617801054E-2"/>
    <n v="0.99970000000000003"/>
    <n v="1.0088999999999999"/>
    <n v="0.99729999999999996"/>
    <n v="1.0093000000000001"/>
    <n v="0.98119999999999996"/>
    <n v="0.94971499999999998"/>
    <n v="0.94633532376161855"/>
    <n v="291100"/>
    <n v="0"/>
    <n v="291100"/>
    <n v="33800"/>
    <n v="324900"/>
    <n v="0.16022319649262654"/>
    <n v="-0.38208409506398539"/>
    <n v="6.3154450261780098E-2"/>
  </r>
  <r>
    <n v="2025"/>
    <s v="18132331467    "/>
    <n v="-1.6607312068216509"/>
    <n v="0.19"/>
    <m/>
    <s v="6"/>
    <s v="RES"/>
    <x v="0"/>
    <s v="11"/>
    <s v="259"/>
    <s v="RN"/>
    <s v="G"/>
    <s v="GD"/>
    <x v="5"/>
    <n v="57"/>
    <n v="48"/>
    <n v="1967"/>
    <n v="1976"/>
    <n v="2076"/>
    <m/>
    <m/>
    <n v="0"/>
    <m/>
    <m/>
    <n v="2076"/>
    <n v="2500"/>
    <n v="8"/>
    <m/>
    <m/>
    <m/>
    <m/>
    <m/>
    <m/>
    <m/>
    <n v="409588"/>
    <n v="298999"/>
    <n v="0"/>
    <n v="376400"/>
    <n v="56600"/>
    <n v="319800"/>
    <n v="0"/>
    <n v="0"/>
    <n v="89850.625589999996"/>
    <n v="-52569.808201026557"/>
    <n v="44121.038090000002"/>
    <n v="197752.34721000001"/>
    <n v="-10706.188824000001"/>
    <n v="102572.39866465201"/>
    <n v="0"/>
    <n v="0"/>
    <n v="0"/>
    <n v="30336.176841600001"/>
    <n v="0"/>
    <n v="0"/>
    <n v="364100"/>
    <n v="37300"/>
    <n v="401400"/>
    <n v="6.6418703506907539E-2"/>
    <n v="0.99970000000000003"/>
    <n v="0.98050000000000004"/>
    <n v="0.99650000000000005"/>
    <n v="0.98919999999999997"/>
    <n v="0.98119999999999996"/>
    <n v="0.94971499999999998"/>
    <n v="0.90065786460769082"/>
    <n v="364100"/>
    <n v="0"/>
    <n v="364100"/>
    <n v="35400"/>
    <n v="399500"/>
    <n v="0.13852407754846779"/>
    <n v="-0.37455830388692579"/>
    <n v="6.1370882040382574E-2"/>
  </r>
  <r>
    <n v="2025"/>
    <s v="18132242500    "/>
    <n v="-1.3093333199837622"/>
    <n v="0.27"/>
    <n v="11882"/>
    <s v="6"/>
    <s v="RES"/>
    <x v="0"/>
    <s v="11"/>
    <s v="259"/>
    <s v="RN"/>
    <s v="A"/>
    <s v="AV"/>
    <x v="5"/>
    <n v="57"/>
    <n v="48"/>
    <n v="1967"/>
    <n v="1976"/>
    <n v="1450"/>
    <m/>
    <n v="1450"/>
    <n v="417"/>
    <n v="1033"/>
    <m/>
    <n v="2483"/>
    <n v="2500"/>
    <n v="10"/>
    <m/>
    <m/>
    <n v="464"/>
    <m/>
    <m/>
    <m/>
    <m/>
    <n v="368704"/>
    <n v="265467"/>
    <n v="13446"/>
    <n v="375200"/>
    <n v="68900"/>
    <n v="306300"/>
    <n v="0"/>
    <n v="0"/>
    <n v="89850.625589999996"/>
    <n v="-41446.443120973789"/>
    <n v="21557.329055999999"/>
    <n v="160472.20319"/>
    <n v="-10706.188824000001"/>
    <n v="71642.571321650001"/>
    <n v="0"/>
    <n v="0"/>
    <n v="42168.748108150001"/>
    <n v="37920.221052000001"/>
    <n v="15449.119088064002"/>
    <n v="13400"/>
    <n v="338500"/>
    <n v="48400"/>
    <n v="400300"/>
    <n v="6.6897654584221755E-2"/>
    <n v="0.99970000000000003"/>
    <n v="1.0067999999999999"/>
    <n v="0.99729999999999996"/>
    <n v="0.98919999999999997"/>
    <n v="0.98119999999999996"/>
    <n v="0.94971499999999998"/>
    <n v="0.92555870664530138"/>
    <n v="338500"/>
    <n v="12800"/>
    <n v="351300"/>
    <n v="46000"/>
    <n v="397300"/>
    <n v="0.14691478942213515"/>
    <n v="-0.33236574746008707"/>
    <n v="5.8901918976545842E-2"/>
  </r>
  <r>
    <n v="2025"/>
    <s v="18132323531    "/>
    <n v="-2.0402208285265546"/>
    <n v="0.13"/>
    <n v="5475"/>
    <s v="6"/>
    <s v="RES"/>
    <x v="0"/>
    <s v="11"/>
    <s v="259"/>
    <s v="RN"/>
    <s v="A"/>
    <s v="AV"/>
    <x v="5"/>
    <n v="57"/>
    <n v="48"/>
    <n v="1967"/>
    <n v="1976"/>
    <n v="1472"/>
    <m/>
    <m/>
    <n v="0"/>
    <m/>
    <m/>
    <n v="1472"/>
    <n v="1500"/>
    <n v="8"/>
    <n v="264"/>
    <m/>
    <n v="156"/>
    <m/>
    <m/>
    <m/>
    <m/>
    <n v="263891"/>
    <n v="190002"/>
    <n v="0"/>
    <n v="287900"/>
    <n v="43400"/>
    <n v="244500"/>
    <n v="0"/>
    <n v="0"/>
    <n v="89850.625589999996"/>
    <n v="-64582.406353792743"/>
    <n v="21557.329055999999"/>
    <n v="160472.20319"/>
    <n v="-10706.188824000001"/>
    <n v="72729.562058944008"/>
    <n v="0"/>
    <n v="0"/>
    <n v="0"/>
    <n v="30336.176841600001"/>
    <n v="5194.1003830560003"/>
    <n v="0"/>
    <n v="279600"/>
    <n v="25300"/>
    <n v="304900"/>
    <n v="5.9048280653004513E-2"/>
    <n v="0.99970000000000003"/>
    <n v="1.0067999999999999"/>
    <n v="0.99729999999999996"/>
    <n v="1.0157"/>
    <n v="0.98119999999999996"/>
    <n v="0.94971499999999998"/>
    <n v="0.95035379937285946"/>
    <n v="279600"/>
    <n v="0"/>
    <n v="279600"/>
    <n v="24000"/>
    <n v="303600"/>
    <n v="0.14355828220858896"/>
    <n v="-0.44700460829493088"/>
    <n v="5.4532823897186521E-2"/>
  </r>
  <r>
    <n v="2025"/>
    <s v="18132212004    "/>
    <n v="-0.54472717544167215"/>
    <n v="0.57999999999999996"/>
    <n v="25366"/>
    <s v="6"/>
    <s v="RES"/>
    <x v="0"/>
    <s v="11"/>
    <s v="259"/>
    <s v="RN"/>
    <s v="G"/>
    <s v="AV"/>
    <x v="5"/>
    <n v="57"/>
    <n v="48"/>
    <n v="1967"/>
    <n v="1976"/>
    <n v="2298"/>
    <m/>
    <n v="600"/>
    <n v="600"/>
    <m/>
    <m/>
    <n v="2298"/>
    <n v="2500"/>
    <n v="11"/>
    <n v="528"/>
    <m/>
    <m/>
    <m/>
    <m/>
    <m/>
    <m/>
    <n v="546020"/>
    <n v="393134"/>
    <n v="0"/>
    <n v="435900"/>
    <n v="95500"/>
    <n v="340400"/>
    <n v="0"/>
    <n v="0"/>
    <n v="89850.625589999996"/>
    <n v="-17243.129422286424"/>
    <n v="44121.038090000002"/>
    <n v="160472.20319"/>
    <n v="-10706.188824000001"/>
    <n v="113541.123377346"/>
    <n v="0"/>
    <n v="0"/>
    <n v="17449.1371482"/>
    <n v="41712.243157199999"/>
    <n v="0"/>
    <n v="0"/>
    <n v="366600"/>
    <n v="72600"/>
    <n v="439200"/>
    <n v="7.5705437026841018E-3"/>
    <n v="0.99970000000000003"/>
    <n v="0.98050000000000004"/>
    <n v="0.99729999999999996"/>
    <n v="0.98919999999999997"/>
    <n v="0.98119999999999996"/>
    <n v="0.94971499999999998"/>
    <n v="0.90138092159884586"/>
    <n v="366600"/>
    <n v="0"/>
    <n v="366600"/>
    <n v="69000"/>
    <n v="435600"/>
    <n v="7.6968272620446532E-2"/>
    <n v="-0.27748691099476441"/>
    <n v="-6.8823124569855469E-4"/>
  </r>
  <r>
    <n v="2025"/>
    <s v="18132212428    "/>
    <n v="-1.1394342831883648"/>
    <n v="0.32"/>
    <n v="13937"/>
    <s v="6"/>
    <s v="RES"/>
    <x v="0"/>
    <s v="11"/>
    <s v="259"/>
    <s v="RN"/>
    <s v="G+"/>
    <s v="GD"/>
    <x v="5"/>
    <n v="57"/>
    <n v="48"/>
    <n v="1967"/>
    <n v="1976"/>
    <n v="1952"/>
    <m/>
    <n v="1169"/>
    <n v="255"/>
    <n v="914"/>
    <m/>
    <n v="2866"/>
    <n v="3000"/>
    <n v="11"/>
    <m/>
    <n v="783"/>
    <m/>
    <m/>
    <m/>
    <m/>
    <m/>
    <n v="617428"/>
    <n v="463071"/>
    <n v="0"/>
    <n v="488700"/>
    <n v="74800"/>
    <n v="413900"/>
    <n v="0"/>
    <n v="0"/>
    <n v="89850.625589999996"/>
    <n v="-36068.354396449467"/>
    <n v="74268.409664999999"/>
    <n v="197752.34721000001"/>
    <n v="-10706.188824000001"/>
    <n v="96445.723599903999"/>
    <n v="0"/>
    <n v="0"/>
    <n v="33996.735543743001"/>
    <n v="41712.243157199999"/>
    <n v="0"/>
    <n v="0"/>
    <n v="433500"/>
    <n v="53800"/>
    <n v="487300"/>
    <n v="-2.8647431962349089E-3"/>
    <n v="0.99970000000000003"/>
    <n v="0.98380000000000001"/>
    <n v="0.99650000000000005"/>
    <n v="0.96179999999999999"/>
    <n v="0.98119999999999996"/>
    <n v="0.94971499999999998"/>
    <n v="0.87865772359428407"/>
    <n v="433500"/>
    <n v="0"/>
    <n v="433500"/>
    <n v="51100"/>
    <n v="484600"/>
    <n v="4.7354433438028511E-2"/>
    <n v="-0.31684491978609625"/>
    <n v="-8.3896050746879482E-3"/>
  </r>
  <r>
    <n v="2025"/>
    <s v="18132323015    "/>
    <n v="-2.0402208285265546"/>
    <n v="0.13"/>
    <n v="5507"/>
    <s v="6"/>
    <s v="RES"/>
    <x v="0"/>
    <s v="11"/>
    <s v="259"/>
    <s v="RN"/>
    <s v="A"/>
    <s v="AV"/>
    <x v="5"/>
    <n v="58"/>
    <n v="48"/>
    <n v="1966"/>
    <n v="1976"/>
    <n v="1267"/>
    <m/>
    <m/>
    <n v="0"/>
    <m/>
    <m/>
    <n v="1267"/>
    <n v="1500"/>
    <n v="8"/>
    <n v="308"/>
    <m/>
    <n v="160"/>
    <m/>
    <m/>
    <m/>
    <m/>
    <n v="231444"/>
    <n v="166640"/>
    <n v="0"/>
    <n v="274300"/>
    <n v="43400"/>
    <n v="230900"/>
    <n v="0"/>
    <n v="0"/>
    <n v="89850.625589999996"/>
    <n v="-64582.406353792743"/>
    <n v="21557.329055999999"/>
    <n v="160472.20319"/>
    <n v="-10706.188824000001"/>
    <n v="62600.784734159002"/>
    <n v="0"/>
    <n v="0"/>
    <n v="0"/>
    <n v="30336.176841600001"/>
    <n v="5327.2824441600005"/>
    <n v="0"/>
    <n v="269600"/>
    <n v="25300"/>
    <n v="294900"/>
    <n v="7.5100255195041932E-2"/>
    <n v="0.99970000000000003"/>
    <n v="1.0067999999999999"/>
    <n v="0.99729999999999996"/>
    <n v="1.0157"/>
    <n v="0.98119999999999996"/>
    <n v="0.94971499999999998"/>
    <n v="0.95035379937285946"/>
    <n v="269600"/>
    <n v="0"/>
    <n v="269600"/>
    <n v="24000"/>
    <n v="293600"/>
    <n v="0.16760502381983541"/>
    <n v="-0.44700460829493088"/>
    <n v="7.0360918702150929E-2"/>
  </r>
  <r>
    <n v="2025"/>
    <s v="18132242487    "/>
    <n v="-1.5141277326297755"/>
    <n v="0.22"/>
    <n v="9732"/>
    <s v="6"/>
    <s v="RES"/>
    <x v="0"/>
    <s v="11"/>
    <s v="259"/>
    <s v="RN"/>
    <s v="A+"/>
    <s v="AV"/>
    <x v="5"/>
    <n v="58"/>
    <n v="48"/>
    <n v="1966"/>
    <n v="1976"/>
    <n v="1474"/>
    <m/>
    <m/>
    <n v="0"/>
    <m/>
    <m/>
    <n v="1474"/>
    <n v="1500"/>
    <n v="8"/>
    <n v="322"/>
    <m/>
    <m/>
    <m/>
    <m/>
    <m/>
    <m/>
    <n v="300326"/>
    <n v="216235"/>
    <n v="0"/>
    <n v="312800"/>
    <n v="61700"/>
    <n v="251100"/>
    <n v="0"/>
    <n v="0"/>
    <n v="89850.625589999996"/>
    <n v="-47929.131559187132"/>
    <n v="29814.093161000001"/>
    <n v="160472.20319"/>
    <n v="-10706.188824000001"/>
    <n v="72828.379398698002"/>
    <n v="0"/>
    <n v="0"/>
    <n v="0"/>
    <n v="30336.176841600001"/>
    <n v="0"/>
    <n v="0"/>
    <n v="282700"/>
    <n v="41900"/>
    <n v="324600"/>
    <n v="3.7723785166240406E-2"/>
    <n v="0.99970000000000003"/>
    <n v="1.0088999999999999"/>
    <n v="0.99729999999999996"/>
    <n v="1.0157"/>
    <n v="0.98119999999999996"/>
    <n v="0.94971499999999998"/>
    <n v="0.95233606295915574"/>
    <n v="282700"/>
    <n v="0"/>
    <n v="282700"/>
    <n v="39800"/>
    <n v="322500"/>
    <n v="0.1258462763839108"/>
    <n v="-0.35494327390599678"/>
    <n v="3.1010230179028132E-2"/>
  </r>
  <r>
    <n v="2025"/>
    <s v="18132244050    "/>
    <n v="-0.61618613942381695"/>
    <n v="0.54"/>
    <n v="23416"/>
    <s v="6"/>
    <s v="RES"/>
    <x v="0"/>
    <s v="11"/>
    <s v="259"/>
    <s v="RN"/>
    <s v="A"/>
    <s v="AV"/>
    <x v="5"/>
    <n v="58"/>
    <n v="48"/>
    <n v="1966"/>
    <n v="1976"/>
    <n v="1632"/>
    <m/>
    <n v="1632"/>
    <n v="310"/>
    <n v="1322"/>
    <m/>
    <n v="2954"/>
    <n v="3000"/>
    <n v="9"/>
    <m/>
    <m/>
    <n v="235"/>
    <m/>
    <m/>
    <m/>
    <m/>
    <n v="378579"/>
    <n v="272577"/>
    <n v="13468"/>
    <n v="412500"/>
    <n v="93000"/>
    <n v="319500"/>
    <n v="0"/>
    <n v="0"/>
    <n v="89850.625589999996"/>
    <n v="-19505.135468391178"/>
    <n v="21557.329055999999"/>
    <n v="160472.20319"/>
    <n v="-10706.188824000001"/>
    <n v="80634.949239263995"/>
    <n v="0"/>
    <n v="0"/>
    <n v="47461.653043104001"/>
    <n v="34128.198946800003"/>
    <n v="7824.4460898600009"/>
    <n v="13500"/>
    <n v="341400"/>
    <n v="70300"/>
    <n v="425200"/>
    <n v="3.0787878787878788E-2"/>
    <n v="0.99970000000000003"/>
    <n v="1.0067999999999999"/>
    <n v="0.99729999999999996"/>
    <n v="0.96179999999999999"/>
    <n v="0.98119999999999996"/>
    <n v="0.94971499999999998"/>
    <n v="0.89992151642888285"/>
    <n v="341400"/>
    <n v="12800"/>
    <n v="354200"/>
    <n v="66800"/>
    <n v="421000"/>
    <n v="0.10860719874804382"/>
    <n v="-0.2817204301075269"/>
    <n v="2.0606060606060607E-2"/>
  </r>
  <r>
    <n v="2025"/>
    <s v="18132212433    "/>
    <n v="-1.2039728043259361"/>
    <n v="0.3"/>
    <n v="13230"/>
    <s v="6"/>
    <s v="RES"/>
    <x v="0"/>
    <s v="11"/>
    <s v="259"/>
    <s v="RN"/>
    <s v="G"/>
    <s v="FR"/>
    <x v="5"/>
    <n v="58"/>
    <n v="48"/>
    <n v="1966"/>
    <n v="1976"/>
    <n v="1710"/>
    <m/>
    <m/>
    <n v="0"/>
    <m/>
    <m/>
    <n v="1710"/>
    <n v="2000"/>
    <n v="8"/>
    <n v="552"/>
    <m/>
    <m/>
    <m/>
    <m/>
    <m/>
    <m/>
    <n v="411490"/>
    <n v="292158"/>
    <n v="24612"/>
    <n v="348900"/>
    <n v="72500"/>
    <n v="276400"/>
    <n v="0"/>
    <n v="0"/>
    <n v="89850.625589999996"/>
    <n v="-38111.29648355169"/>
    <n v="44121.038090000002"/>
    <n v="133714.53821"/>
    <n v="-10706.188824000001"/>
    <n v="84488.825489670009"/>
    <n v="0"/>
    <n v="0"/>
    <n v="0"/>
    <n v="30336.176841600001"/>
    <n v="0"/>
    <n v="24600"/>
    <n v="282000"/>
    <n v="51700"/>
    <n v="358300"/>
    <n v="2.6941817139581541E-2"/>
    <n v="0.99970000000000003"/>
    <n v="0.98050000000000004"/>
    <n v="0.99329999999999996"/>
    <n v="1.0093000000000001"/>
    <n v="0.98119999999999996"/>
    <n v="0.94971499999999998"/>
    <n v="0.91600774066301105"/>
    <n v="282000"/>
    <n v="23400"/>
    <n v="305400"/>
    <n v="49100"/>
    <n v="354500"/>
    <n v="0.10492040520984081"/>
    <n v="-0.32275862068965516"/>
    <n v="1.6050444253367727E-2"/>
  </r>
  <r>
    <n v="2025"/>
    <s v="18132212461    "/>
    <n v="-0.71334988787746478"/>
    <n v="0.49"/>
    <n v="21182"/>
    <s v="6"/>
    <s v="RES"/>
    <x v="0"/>
    <s v="11"/>
    <s v="259"/>
    <s v="RN"/>
    <s v="G"/>
    <s v="AV"/>
    <x v="5"/>
    <n v="58"/>
    <n v="48"/>
    <n v="1966"/>
    <n v="1976"/>
    <n v="1728"/>
    <m/>
    <n v="1728"/>
    <n v="513"/>
    <n v="1215"/>
    <m/>
    <n v="2943"/>
    <n v="3000"/>
    <n v="11"/>
    <n v="576"/>
    <m/>
    <n v="179"/>
    <m/>
    <m/>
    <m/>
    <m/>
    <n v="580652"/>
    <n v="418069"/>
    <n v="0"/>
    <n v="438200"/>
    <n v="89700"/>
    <n v="348500"/>
    <n v="0"/>
    <n v="0"/>
    <n v="89850.625589999996"/>
    <n v="-22580.816589646583"/>
    <n v="44121.038090000002"/>
    <n v="160472.20319"/>
    <n v="-10706.188824000001"/>
    <n v="85378.181547455999"/>
    <n v="0"/>
    <n v="0"/>
    <n v="50253.514986816001"/>
    <n v="41712.243157199999"/>
    <n v="5959.8972344040003"/>
    <n v="0"/>
    <n v="377200"/>
    <n v="67300"/>
    <n v="444500"/>
    <n v="1.437699680511182E-2"/>
    <n v="0.99970000000000003"/>
    <n v="0.98050000000000004"/>
    <n v="0.99729999999999996"/>
    <n v="0.96179999999999999"/>
    <n v="0.98119999999999996"/>
    <n v="0.94971499999999998"/>
    <n v="0.87641343549713913"/>
    <n v="377200"/>
    <n v="0"/>
    <n v="377200"/>
    <n v="63900"/>
    <n v="441100"/>
    <n v="8.2352941176470587E-2"/>
    <n v="-0.28762541806020064"/>
    <n v="6.6179826563213147E-3"/>
  </r>
  <r>
    <n v="2025"/>
    <s v="18132243011    "/>
    <n v="-1.3470736479666092"/>
    <n v="0.26"/>
    <m/>
    <s v="6"/>
    <s v="RES"/>
    <x v="0"/>
    <s v="11"/>
    <s v="259"/>
    <s v="RN"/>
    <s v="G"/>
    <s v="AV"/>
    <x v="5"/>
    <n v="58"/>
    <n v="48"/>
    <n v="1966"/>
    <n v="1976"/>
    <n v="1518"/>
    <m/>
    <n v="1518"/>
    <n v="718"/>
    <n v="800"/>
    <m/>
    <n v="2318"/>
    <n v="2500"/>
    <n v="14"/>
    <n v="552"/>
    <m/>
    <m/>
    <m/>
    <m/>
    <m/>
    <m/>
    <n v="513693"/>
    <n v="369859"/>
    <n v="0"/>
    <n v="410900"/>
    <n v="67600"/>
    <n v="343300"/>
    <n v="0"/>
    <n v="0"/>
    <n v="89850.625589999996"/>
    <n v="-42641.098701210125"/>
    <n v="44121.038090000002"/>
    <n v="160472.20319"/>
    <n v="-10706.188824000001"/>
    <n v="75002.360873286001"/>
    <n v="0"/>
    <n v="0"/>
    <n v="44146.316984945996"/>
    <n v="53088.3094728"/>
    <n v="0"/>
    <n v="0"/>
    <n v="366100"/>
    <n v="47200"/>
    <n v="413300"/>
    <n v="5.8408371866634215E-3"/>
    <n v="0.99970000000000003"/>
    <n v="0.98050000000000004"/>
    <n v="0.99729999999999996"/>
    <n v="0.98919999999999997"/>
    <n v="0.98119999999999996"/>
    <n v="0.94971499999999998"/>
    <n v="0.90138092159884586"/>
    <n v="366100"/>
    <n v="0"/>
    <n v="366100"/>
    <n v="44800"/>
    <n v="410900"/>
    <n v="6.6414214972327412E-2"/>
    <n v="-0.33727810650887574"/>
    <n v="0"/>
  </r>
  <r>
    <n v="2025"/>
    <s v="18132212442    "/>
    <n v="-1.0216512475319814"/>
    <n v="0.36"/>
    <n v="15737"/>
    <s v="6"/>
    <s v="RES"/>
    <x v="0"/>
    <s v="11"/>
    <s v="259"/>
    <s v="RN"/>
    <s v="G+"/>
    <s v="GD"/>
    <x v="5"/>
    <n v="58"/>
    <n v="48"/>
    <n v="1966"/>
    <n v="1976"/>
    <n v="1792"/>
    <m/>
    <n v="832"/>
    <n v="0"/>
    <n v="832"/>
    <m/>
    <n v="2624"/>
    <n v="3000"/>
    <n v="12"/>
    <n v="768"/>
    <m/>
    <m/>
    <m/>
    <m/>
    <m/>
    <m/>
    <n v="629050"/>
    <n v="471788"/>
    <n v="0"/>
    <n v="487500"/>
    <n v="78900"/>
    <n v="408600"/>
    <n v="0"/>
    <n v="0"/>
    <n v="89850.625589999996"/>
    <n v="-32339.977661938148"/>
    <n v="74268.409664999999"/>
    <n v="197752.34721000001"/>
    <n v="-10706.188824000001"/>
    <n v="88540.336419583997"/>
    <n v="0"/>
    <n v="0"/>
    <n v="24196.136845503999"/>
    <n v="45504.265262400004"/>
    <n v="0"/>
    <n v="0"/>
    <n v="419600"/>
    <n v="57500"/>
    <n v="477100"/>
    <n v="-2.1333333333333333E-2"/>
    <n v="0.99970000000000003"/>
    <n v="0.98380000000000001"/>
    <n v="0.99650000000000005"/>
    <n v="0.96179999999999999"/>
    <n v="0.98119999999999996"/>
    <n v="0.94971499999999998"/>
    <n v="0.87865772359428407"/>
    <n v="419600"/>
    <n v="0"/>
    <n v="419600"/>
    <n v="54600"/>
    <n v="474200"/>
    <n v="2.6921194322075379E-2"/>
    <n v="-0.30798479087452474"/>
    <n v="-2.7282051282051283E-2"/>
  </r>
  <r>
    <n v="2025"/>
    <s v="18132212014    "/>
    <n v="0.51879379341516751"/>
    <n v="1.68"/>
    <m/>
    <s v="6"/>
    <s v="RES"/>
    <x v="0"/>
    <s v="11"/>
    <s v="331"/>
    <s v="CP"/>
    <s v="V"/>
    <s v="GD"/>
    <x v="5"/>
    <n v="58"/>
    <n v="48"/>
    <n v="1966"/>
    <n v="1976"/>
    <n v="3768"/>
    <n v="882"/>
    <n v="1014"/>
    <n v="0"/>
    <n v="1014"/>
    <m/>
    <n v="5664"/>
    <n v="5500"/>
    <n v="15"/>
    <n v="516"/>
    <m/>
    <n v="238"/>
    <m/>
    <m/>
    <m/>
    <m/>
    <n v="1221165"/>
    <n v="928085"/>
    <n v="24508"/>
    <n v="827200"/>
    <n v="132600"/>
    <n v="694600"/>
    <n v="0"/>
    <n v="0"/>
    <n v="89850.625589999996"/>
    <n v="16422.218179372863"/>
    <n v="163885.03753"/>
    <n v="197752.34721000001"/>
    <n v="-10706.188824000001"/>
    <n v="186171.868096536"/>
    <n v="39501.624963401999"/>
    <n v="0"/>
    <n v="29489.041780457999"/>
    <n v="56880.331578000005"/>
    <n v="7924.3326356880007"/>
    <n v="24500"/>
    <n v="670900"/>
    <n v="106300"/>
    <n v="801700"/>
    <n v="-3.082688588007737E-2"/>
    <n v="0.99970000000000003"/>
    <n v="1"/>
    <n v="0.99650000000000005"/>
    <n v="1.1091"/>
    <n v="0.98119999999999996"/>
    <n v="0.94971499999999998"/>
    <n v="1.0299089809270976"/>
    <n v="670900"/>
    <n v="23300"/>
    <n v="694200"/>
    <n v="100900"/>
    <n v="795100"/>
    <n v="-5.7587100489490354E-4"/>
    <n v="-0.23906485671191555"/>
    <n v="-3.8805609284332687E-2"/>
  </r>
  <r>
    <n v="2025"/>
    <s v="18132213019    "/>
    <n v="-2.3025850929940455"/>
    <n v="0.1"/>
    <n v="4430"/>
    <s v="6"/>
    <s v="RES"/>
    <x v="0"/>
    <s v="11"/>
    <s v="325"/>
    <s v="PE"/>
    <s v="G"/>
    <s v="AV"/>
    <x v="5"/>
    <n v="59"/>
    <n v="48"/>
    <n v="1965"/>
    <n v="1976"/>
    <n v="1388"/>
    <m/>
    <m/>
    <n v="0"/>
    <m/>
    <m/>
    <n v="1388"/>
    <n v="1500"/>
    <n v="8"/>
    <n v="450"/>
    <m/>
    <m/>
    <m/>
    <m/>
    <m/>
    <m/>
    <n v="350419"/>
    <n v="252302"/>
    <n v="0"/>
    <n v="232900"/>
    <n v="39300"/>
    <n v="193600"/>
    <n v="0"/>
    <n v="0"/>
    <n v="89850.625589999996"/>
    <n v="-72887.446329681261"/>
    <n v="44121.038090000002"/>
    <n v="160472.20319"/>
    <n v="-10706.188824000001"/>
    <n v="68579.233789275997"/>
    <n v="0"/>
    <n v="0"/>
    <n v="0"/>
    <n v="30336.176841600001"/>
    <n v="0"/>
    <n v="0"/>
    <n v="292800"/>
    <n v="17000"/>
    <n v="309800"/>
    <n v="0.33018462859596392"/>
    <n v="0.99970000000000003"/>
    <n v="0.98050000000000004"/>
    <n v="0.99729999999999996"/>
    <n v="1.0157"/>
    <n v="0.98119999999999996"/>
    <n v="0.94971499999999998"/>
    <n v="0.92552830779210249"/>
    <n v="292800"/>
    <n v="0"/>
    <n v="292800"/>
    <n v="16100"/>
    <n v="308900"/>
    <n v="0.51239669421487599"/>
    <n v="-0.59033078880407119"/>
    <n v="0.32632030914555604"/>
  </r>
  <r>
    <n v="2025"/>
    <s v="18132213018    "/>
    <n v="-1.9661128563728327"/>
    <n v="0.14000000000000001"/>
    <n v="6296"/>
    <s v="6"/>
    <s v="RES"/>
    <x v="0"/>
    <s v="11"/>
    <s v="325"/>
    <s v="PE"/>
    <s v="G"/>
    <s v="AV"/>
    <x v="5"/>
    <n v="59"/>
    <n v="48"/>
    <n v="1965"/>
    <n v="1976"/>
    <n v="1487"/>
    <m/>
    <m/>
    <n v="0"/>
    <m/>
    <m/>
    <n v="1487"/>
    <n v="1500"/>
    <n v="8"/>
    <n v="540"/>
    <m/>
    <m/>
    <m/>
    <m/>
    <m/>
    <m/>
    <n v="370149"/>
    <n v="266507"/>
    <n v="0"/>
    <n v="245000"/>
    <n v="40500"/>
    <n v="204500"/>
    <n v="0"/>
    <n v="0"/>
    <n v="89850.625589999996"/>
    <n v="-62236.546971921947"/>
    <n v="44121.038090000002"/>
    <n v="160472.20319"/>
    <n v="-10706.188824000001"/>
    <n v="73470.692107099007"/>
    <n v="0"/>
    <n v="0"/>
    <n v="0"/>
    <n v="30336.176841600001"/>
    <n v="0"/>
    <n v="0"/>
    <n v="297700"/>
    <n v="27600"/>
    <n v="325300"/>
    <n v="0.32775510204081632"/>
    <n v="0.99970000000000003"/>
    <n v="0.98050000000000004"/>
    <n v="0.99729999999999996"/>
    <n v="1.0157"/>
    <n v="0.98119999999999996"/>
    <n v="0.94971499999999998"/>
    <n v="0.92552830779210249"/>
    <n v="297700"/>
    <n v="0"/>
    <n v="297700"/>
    <n v="26200"/>
    <n v="323900"/>
    <n v="0.45574572127139362"/>
    <n v="-0.35308641975308641"/>
    <n v="0.32204081632653059"/>
  </r>
  <r>
    <n v="2025"/>
    <s v="18132213022    "/>
    <n v="-2.120263536200091"/>
    <n v="0.12"/>
    <n v="5099"/>
    <s v="6"/>
    <s v="RES"/>
    <x v="0"/>
    <s v="11"/>
    <s v="325"/>
    <s v="PE"/>
    <s v="G"/>
    <s v="GD"/>
    <x v="5"/>
    <n v="59"/>
    <n v="48"/>
    <n v="1965"/>
    <n v="1976"/>
    <n v="1742"/>
    <m/>
    <m/>
    <n v="0"/>
    <m/>
    <m/>
    <n v="1742"/>
    <n v="2000"/>
    <n v="8"/>
    <n v="462"/>
    <m/>
    <m/>
    <m/>
    <m/>
    <m/>
    <m/>
    <n v="421467"/>
    <n v="307671"/>
    <n v="0"/>
    <n v="295600"/>
    <n v="39800"/>
    <n v="255800"/>
    <n v="0"/>
    <n v="0"/>
    <n v="89850.625589999996"/>
    <n v="-67116.12750806773"/>
    <n v="44121.038090000002"/>
    <n v="197752.34721000001"/>
    <n v="-10706.188824000001"/>
    <n v="86069.902925734001"/>
    <n v="0"/>
    <n v="0"/>
    <n v="0"/>
    <n v="30336.176841600001"/>
    <n v="0"/>
    <n v="0"/>
    <n v="347600"/>
    <n v="22700"/>
    <n v="370300"/>
    <n v="0.25270635994587282"/>
    <n v="0.99970000000000003"/>
    <n v="0.98050000000000004"/>
    <n v="0.99650000000000005"/>
    <n v="1.0093000000000001"/>
    <n v="0.98119999999999996"/>
    <n v="0.94971499999999998"/>
    <n v="0.91895873710932319"/>
    <n v="347600"/>
    <n v="0"/>
    <n v="347600"/>
    <n v="21600"/>
    <n v="369200"/>
    <n v="0.35887412040656763"/>
    <n v="-0.457286432160804"/>
    <n v="0.24898511502029769"/>
  </r>
  <r>
    <n v="2025"/>
    <s v="18132213021    "/>
    <n v="-2.120263536200091"/>
    <n v="0.12"/>
    <n v="5352"/>
    <s v="6"/>
    <s v="RES"/>
    <x v="0"/>
    <s v="11"/>
    <s v="325"/>
    <s v="PE"/>
    <s v="G"/>
    <s v="GD"/>
    <x v="5"/>
    <n v="59"/>
    <n v="48"/>
    <n v="1965"/>
    <n v="1976"/>
    <n v="1755"/>
    <m/>
    <m/>
    <n v="0"/>
    <m/>
    <m/>
    <n v="1755"/>
    <n v="2000"/>
    <n v="9"/>
    <n v="462"/>
    <m/>
    <m/>
    <m/>
    <m/>
    <m/>
    <m/>
    <n v="437049"/>
    <n v="319046"/>
    <n v="0"/>
    <n v="305200"/>
    <n v="40000"/>
    <n v="265200"/>
    <n v="0"/>
    <n v="0"/>
    <n v="89850.625589999996"/>
    <n v="-67116.12750806773"/>
    <n v="44121.038090000002"/>
    <n v="197752.34721000001"/>
    <n v="-10706.188824000001"/>
    <n v="86712.215634135006"/>
    <n v="0"/>
    <n v="0"/>
    <n v="0"/>
    <n v="34128.198946800003"/>
    <n v="0"/>
    <n v="0"/>
    <n v="352000"/>
    <n v="22700"/>
    <n v="374700"/>
    <n v="0.22771952817824379"/>
    <n v="0.99970000000000003"/>
    <n v="0.98050000000000004"/>
    <n v="0.99650000000000005"/>
    <n v="1.0093000000000001"/>
    <n v="0.98119999999999996"/>
    <n v="0.94971499999999998"/>
    <n v="0.91895873710932319"/>
    <n v="352000"/>
    <n v="0"/>
    <n v="352000"/>
    <n v="21600"/>
    <n v="373600"/>
    <n v="0.3273001508295626"/>
    <n v="-0.46"/>
    <n v="0.22411533420707733"/>
  </r>
  <r>
    <n v="2025"/>
    <s v="18132242478    "/>
    <n v="-1.4271163556401458"/>
    <n v="0.24"/>
    <n v="11297"/>
    <s v="6"/>
    <s v="RES"/>
    <x v="0"/>
    <s v="11"/>
    <s v="259"/>
    <s v="RN"/>
    <s v="A"/>
    <s v="GD"/>
    <x v="5"/>
    <n v="59"/>
    <n v="48"/>
    <n v="1965"/>
    <n v="1976"/>
    <n v="1570"/>
    <m/>
    <n v="1570"/>
    <n v="1570"/>
    <m/>
    <m/>
    <n v="1570"/>
    <n v="2000"/>
    <n v="8"/>
    <n v="550"/>
    <m/>
    <n v="165"/>
    <m/>
    <m/>
    <m/>
    <m/>
    <n v="341473"/>
    <n v="249275"/>
    <n v="0"/>
    <n v="364800"/>
    <n v="64800"/>
    <n v="300000"/>
    <n v="0"/>
    <n v="0"/>
    <n v="89850.625589999996"/>
    <n v="-45174.819855485119"/>
    <n v="21557.329055999999"/>
    <n v="197752.34721000001"/>
    <n v="-10706.188824000001"/>
    <n v="77571.611706890006"/>
    <n v="0"/>
    <n v="0"/>
    <n v="45658.575537789999"/>
    <n v="30336.176841600001"/>
    <n v="5493.7600205400004"/>
    <n v="0"/>
    <n v="367700"/>
    <n v="44700"/>
    <n v="412400"/>
    <n v="0.13048245614035087"/>
    <n v="0.99970000000000003"/>
    <n v="1.0067999999999999"/>
    <n v="0.99650000000000005"/>
    <n v="1.0093000000000001"/>
    <n v="0.98119999999999996"/>
    <n v="0.94971499999999998"/>
    <n v="0.94360801277069484"/>
    <n v="367700"/>
    <n v="0"/>
    <n v="367700"/>
    <n v="42400"/>
    <n v="410100"/>
    <n v="0.22566666666666665"/>
    <n v="-0.34567901234567899"/>
    <n v="0.12417763157894737"/>
  </r>
  <r>
    <n v="2025"/>
    <s v="18132322446    "/>
    <n v="-1.7147984280919266"/>
    <n v="0.18"/>
    <m/>
    <s v="6"/>
    <s v="RES"/>
    <x v="0"/>
    <s v="11"/>
    <s v="259"/>
    <s v="RN"/>
    <s v="G"/>
    <s v="GD"/>
    <x v="5"/>
    <n v="59"/>
    <n v="48"/>
    <n v="1965"/>
    <n v="1976"/>
    <n v="1050"/>
    <m/>
    <m/>
    <n v="0"/>
    <m/>
    <m/>
    <n v="1050"/>
    <n v="1500"/>
    <n v="7"/>
    <n v="308"/>
    <m/>
    <m/>
    <m/>
    <m/>
    <m/>
    <m/>
    <n v="269217"/>
    <n v="196528"/>
    <n v="0"/>
    <n v="316300"/>
    <n v="54700"/>
    <n v="261600"/>
    <n v="0"/>
    <n v="0"/>
    <n v="89850.625589999996"/>
    <n v="-54281.285314520763"/>
    <n v="44121.038090000002"/>
    <n v="197752.34721000001"/>
    <n v="-10706.188824000001"/>
    <n v="51879.103370850004"/>
    <n v="0"/>
    <n v="0"/>
    <n v="0"/>
    <n v="26544.1547364"/>
    <n v="0"/>
    <n v="0"/>
    <n v="309600"/>
    <n v="35600"/>
    <n v="345200"/>
    <n v="9.1368953525134369E-2"/>
    <n v="0.99970000000000003"/>
    <n v="0.98050000000000004"/>
    <n v="0.99650000000000005"/>
    <n v="1.0157"/>
    <n v="0.98119999999999996"/>
    <n v="0.94971499999999998"/>
    <n v="0.92478588059242983"/>
    <n v="309600"/>
    <n v="0"/>
    <n v="309600"/>
    <n v="33800"/>
    <n v="343400"/>
    <n v="0.1834862385321101"/>
    <n v="-0.38208409506398539"/>
    <n v="8.5678153651596589E-2"/>
  </r>
  <r>
    <n v="2025"/>
    <s v="18132332453    "/>
    <n v="-1.7719568419318752"/>
    <n v="0.17"/>
    <n v="7212"/>
    <s v="6"/>
    <s v="RES"/>
    <x v="0"/>
    <s v="11"/>
    <s v="259"/>
    <s v="RN"/>
    <s v="A+"/>
    <s v="GD"/>
    <x v="5"/>
    <n v="59"/>
    <n v="48"/>
    <n v="1965"/>
    <n v="1976"/>
    <n v="1805"/>
    <m/>
    <m/>
    <n v="0"/>
    <m/>
    <m/>
    <n v="1805"/>
    <n v="2000"/>
    <n v="8"/>
    <n v="420"/>
    <m/>
    <m/>
    <m/>
    <m/>
    <m/>
    <m/>
    <n v="342806"/>
    <n v="250248"/>
    <n v="0"/>
    <n v="339800"/>
    <n v="52700"/>
    <n v="287100"/>
    <n v="0"/>
    <n v="0"/>
    <n v="89850.625589999996"/>
    <n v="-56090.612940989391"/>
    <n v="29814.093161000001"/>
    <n v="197752.34721000001"/>
    <n v="-10706.188824000001"/>
    <n v="89182.649127985002"/>
    <n v="0"/>
    <n v="0"/>
    <n v="0"/>
    <n v="30336.176841600001"/>
    <n v="0"/>
    <n v="0"/>
    <n v="336400"/>
    <n v="33800"/>
    <n v="370200"/>
    <n v="8.9464390818128306E-2"/>
    <n v="0.99970000000000003"/>
    <n v="1.0088999999999999"/>
    <n v="0.99650000000000005"/>
    <n v="1.0093000000000001"/>
    <n v="0.98119999999999996"/>
    <n v="0.94971499999999998"/>
    <n v="0.94557620588434055"/>
    <n v="336400"/>
    <n v="0"/>
    <n v="336400"/>
    <n v="32100"/>
    <n v="368500"/>
    <n v="0.17171717171717171"/>
    <n v="-0.39089184060721061"/>
    <n v="8.4461447910535614E-2"/>
  </r>
  <r>
    <n v="2025"/>
    <s v="18132334467    "/>
    <n v="-1.7719568419318752"/>
    <n v="0.17"/>
    <m/>
    <s v="6"/>
    <s v="RES"/>
    <x v="0"/>
    <s v="11"/>
    <s v="259"/>
    <s v="RN"/>
    <s v="A"/>
    <s v="GD"/>
    <x v="5"/>
    <n v="59"/>
    <n v="48"/>
    <n v="1965"/>
    <n v="1976"/>
    <n v="1136"/>
    <m/>
    <m/>
    <n v="0"/>
    <m/>
    <m/>
    <n v="1136"/>
    <n v="1500"/>
    <n v="7"/>
    <n v="399"/>
    <m/>
    <m/>
    <m/>
    <m/>
    <m/>
    <m/>
    <n v="218929"/>
    <n v="159818"/>
    <n v="0"/>
    <n v="299400"/>
    <n v="52700"/>
    <n v="246700"/>
    <n v="0"/>
    <n v="0"/>
    <n v="89850.625589999996"/>
    <n v="-56090.612940989391"/>
    <n v="21557.329055999999"/>
    <n v="197752.34721000001"/>
    <n v="-10706.188824000001"/>
    <n v="56128.248980272001"/>
    <n v="0"/>
    <n v="0"/>
    <n v="0"/>
    <n v="26544.1547364"/>
    <n v="0"/>
    <n v="0"/>
    <n v="291300"/>
    <n v="33800"/>
    <n v="325100"/>
    <n v="8.5838343353373411E-2"/>
    <n v="0.99970000000000003"/>
    <n v="1.0067999999999999"/>
    <n v="0.99650000000000005"/>
    <n v="1.0157"/>
    <n v="0.98119999999999996"/>
    <n v="0.94971499999999998"/>
    <n v="0.9495914580116861"/>
    <n v="291300"/>
    <n v="0"/>
    <n v="291300"/>
    <n v="32100"/>
    <n v="323400"/>
    <n v="0.18078638021888935"/>
    <n v="-0.39089184060721061"/>
    <n v="8.0160320641282562E-2"/>
  </r>
  <r>
    <n v="2025"/>
    <s v="18132323538    "/>
    <n v="-1.9661128563728327"/>
    <n v="0.14000000000000001"/>
    <m/>
    <s v="6"/>
    <s v="RES"/>
    <x v="0"/>
    <s v="11"/>
    <s v="259"/>
    <s v="CO"/>
    <s v="A"/>
    <s v="GD"/>
    <x v="5"/>
    <n v="59"/>
    <n v="48"/>
    <n v="1965"/>
    <n v="1976"/>
    <n v="990"/>
    <m/>
    <m/>
    <n v="0"/>
    <m/>
    <m/>
    <n v="990"/>
    <n v="1000"/>
    <n v="8"/>
    <n v="330"/>
    <m/>
    <m/>
    <m/>
    <m/>
    <m/>
    <m/>
    <n v="193495"/>
    <n v="141251"/>
    <n v="0"/>
    <n v="290800"/>
    <n v="46000"/>
    <n v="244800"/>
    <n v="0"/>
    <n v="0"/>
    <n v="89850.625589999996"/>
    <n v="-62236.546971921947"/>
    <n v="21557.329055999999"/>
    <n v="197752.34721000001"/>
    <n v="-10706.188824000001"/>
    <n v="48914.583178230001"/>
    <n v="0"/>
    <n v="0"/>
    <n v="0"/>
    <n v="30336.176841600001"/>
    <n v="0"/>
    <n v="0"/>
    <n v="287900"/>
    <n v="27600"/>
    <n v="315500"/>
    <n v="8.4938101788170559E-2"/>
    <n v="0.99970000000000003"/>
    <n v="1.0067999999999999"/>
    <n v="0.99650000000000005"/>
    <n v="1.0148999999999999"/>
    <n v="0.98119999999999996"/>
    <n v="0.94971499999999998"/>
    <n v="0.94884352735656197"/>
    <n v="287900"/>
    <n v="0"/>
    <n v="287900"/>
    <n v="26200"/>
    <n v="314100"/>
    <n v="0.17606209150326799"/>
    <n v="-0.43043478260869567"/>
    <n v="8.0123796423658869E-2"/>
  </r>
  <r>
    <n v="2025"/>
    <s v="18132322427    "/>
    <n v="-1.6094379124341003"/>
    <n v="0.2"/>
    <m/>
    <s v="6"/>
    <s v="RES"/>
    <x v="0"/>
    <s v="11"/>
    <s v="259"/>
    <s v="RN"/>
    <s v="A"/>
    <s v="GD"/>
    <x v="5"/>
    <n v="59"/>
    <n v="48"/>
    <n v="1965"/>
    <n v="1976"/>
    <n v="1544"/>
    <m/>
    <m/>
    <n v="0"/>
    <m/>
    <m/>
    <n v="1544"/>
    <n v="2000"/>
    <n v="8"/>
    <m/>
    <m/>
    <m/>
    <m/>
    <m/>
    <m/>
    <m/>
    <n v="256176"/>
    <n v="187008"/>
    <n v="0"/>
    <n v="326800"/>
    <n v="58400"/>
    <n v="268400"/>
    <n v="0"/>
    <n v="0"/>
    <n v="89850.625589999996"/>
    <n v="-50946.13867709865"/>
    <n v="21557.329055999999"/>
    <n v="197752.34721000001"/>
    <n v="-10706.188824000001"/>
    <n v="76286.986290087996"/>
    <n v="0"/>
    <n v="0"/>
    <n v="0"/>
    <n v="30336.176841600001"/>
    <n v="0"/>
    <n v="0"/>
    <n v="315200"/>
    <n v="38900"/>
    <n v="354100"/>
    <n v="8.353733170134639E-2"/>
    <n v="0.99970000000000003"/>
    <n v="1.0067999999999999"/>
    <n v="0.99650000000000005"/>
    <n v="1.0093000000000001"/>
    <n v="0.98119999999999996"/>
    <n v="0.94971499999999998"/>
    <n v="0.94360801277069484"/>
    <n v="315200"/>
    <n v="0"/>
    <n v="315200"/>
    <n v="36900"/>
    <n v="352100"/>
    <n v="0.17436661698956782"/>
    <n v="-0.36815068493150682"/>
    <n v="7.7417380660954715E-2"/>
  </r>
  <r>
    <n v="2025"/>
    <s v="18132242431    "/>
    <n v="-1.3862943611198906"/>
    <n v="0.25"/>
    <n v="11074"/>
    <s v="6"/>
    <s v="RES"/>
    <x v="0"/>
    <s v="11"/>
    <s v="259"/>
    <s v="RN"/>
    <s v="G"/>
    <s v="GD"/>
    <x v="5"/>
    <n v="59"/>
    <n v="48"/>
    <n v="1965"/>
    <n v="1976"/>
    <n v="1508"/>
    <m/>
    <m/>
    <n v="0"/>
    <m/>
    <m/>
    <n v="1508"/>
    <n v="2000"/>
    <n v="8"/>
    <n v="564"/>
    <m/>
    <m/>
    <m/>
    <m/>
    <m/>
    <m/>
    <n v="367014"/>
    <n v="267920"/>
    <n v="0"/>
    <n v="352900"/>
    <n v="66200"/>
    <n v="286700"/>
    <n v="0"/>
    <n v="0"/>
    <n v="89850.625589999996"/>
    <n v="-43882.615305165229"/>
    <n v="44121.038090000002"/>
    <n v="197752.34721000001"/>
    <n v="-10706.188824000001"/>
    <n v="74508.274174516002"/>
    <n v="0"/>
    <n v="0"/>
    <n v="0"/>
    <n v="30336.176841600001"/>
    <n v="0"/>
    <n v="0"/>
    <n v="336000"/>
    <n v="46000"/>
    <n v="382000"/>
    <n v="8.2459620289033725E-2"/>
    <n v="0.99970000000000003"/>
    <n v="0.98050000000000004"/>
    <n v="0.99650000000000005"/>
    <n v="1.0093000000000001"/>
    <n v="0.98119999999999996"/>
    <n v="0.94971499999999998"/>
    <n v="0.91895873710932319"/>
    <n v="336000"/>
    <n v="0"/>
    <n v="336000"/>
    <n v="43700"/>
    <n v="379700"/>
    <n v="0.17195674921520754"/>
    <n v="-0.33987915407854985"/>
    <n v="7.594219325587985E-2"/>
  </r>
  <r>
    <n v="2025"/>
    <s v="18132243423    "/>
    <n v="-1.7147984280919266"/>
    <n v="0.18"/>
    <n v="8025"/>
    <s v="6"/>
    <s v="RES"/>
    <x v="0"/>
    <s v="11"/>
    <s v="259"/>
    <s v="RN"/>
    <s v="A+"/>
    <s v="AV"/>
    <x v="5"/>
    <n v="59"/>
    <n v="48"/>
    <n v="1965"/>
    <n v="1976"/>
    <n v="1688"/>
    <m/>
    <n v="1688"/>
    <n v="1283"/>
    <n v="405"/>
    <m/>
    <n v="2093"/>
    <n v="2500"/>
    <n v="7"/>
    <n v="286"/>
    <m/>
    <n v="100"/>
    <m/>
    <m/>
    <m/>
    <m/>
    <n v="409488"/>
    <n v="294831"/>
    <n v="0"/>
    <n v="349900"/>
    <n v="54700"/>
    <n v="295200"/>
    <n v="0"/>
    <n v="0"/>
    <n v="89850.625589999996"/>
    <n v="-54281.285314520763"/>
    <n v="29814.093161000001"/>
    <n v="160472.20319"/>
    <n v="-10706.188824000001"/>
    <n v="83401.834752376002"/>
    <n v="0"/>
    <n v="0"/>
    <n v="49090.239176935997"/>
    <n v="26544.1547364"/>
    <n v="3329.5515276000006"/>
    <n v="0"/>
    <n v="341900"/>
    <n v="35600"/>
    <n v="377500"/>
    <n v="7.8879679908545303E-2"/>
    <n v="0.99970000000000003"/>
    <n v="1.0088999999999999"/>
    <n v="0.99729999999999996"/>
    <n v="0.98919999999999997"/>
    <n v="0.98119999999999996"/>
    <n v="0.94971499999999998"/>
    <n v="0.92748925221935308"/>
    <n v="341900"/>
    <n v="0"/>
    <n v="341900"/>
    <n v="33800"/>
    <n v="375700"/>
    <n v="0.15819783197831977"/>
    <n v="-0.38208409506398539"/>
    <n v="7.3735352957987998E-2"/>
  </r>
  <r>
    <n v="2025"/>
    <s v="18132242482    "/>
    <n v="-1.2378743560016174"/>
    <n v="0.28999999999999998"/>
    <n v="12641"/>
    <s v="6"/>
    <s v="RES"/>
    <x v="0"/>
    <s v="11"/>
    <s v="259"/>
    <s v="RN"/>
    <s v="G"/>
    <s v="GD"/>
    <x v="5"/>
    <n v="59"/>
    <n v="48"/>
    <n v="1965"/>
    <n v="1976"/>
    <n v="1854"/>
    <m/>
    <n v="120"/>
    <n v="120"/>
    <m/>
    <m/>
    <n v="1854"/>
    <n v="2000"/>
    <n v="7"/>
    <n v="528"/>
    <m/>
    <m/>
    <m/>
    <m/>
    <m/>
    <m/>
    <n v="425132"/>
    <n v="310346"/>
    <n v="0"/>
    <n v="374900"/>
    <n v="71400"/>
    <n v="303500"/>
    <n v="0"/>
    <n v="0"/>
    <n v="89850.625589999996"/>
    <n v="-39184.437074869042"/>
    <n v="44121.038090000002"/>
    <n v="197752.34721000001"/>
    <n v="-10706.188824000001"/>
    <n v="91603.673951958001"/>
    <n v="0"/>
    <n v="0"/>
    <n v="3489.82742964"/>
    <n v="26544.1547364"/>
    <n v="0"/>
    <n v="0"/>
    <n v="352800"/>
    <n v="50700"/>
    <n v="403500"/>
    <n v="7.6287009869298483E-2"/>
    <n v="0.99970000000000003"/>
    <n v="0.98050000000000004"/>
    <n v="0.99650000000000005"/>
    <n v="1.0093000000000001"/>
    <n v="0.98119999999999996"/>
    <n v="0.94971499999999998"/>
    <n v="0.91895873710932319"/>
    <n v="352800"/>
    <n v="0"/>
    <n v="352800"/>
    <n v="48100"/>
    <n v="400900"/>
    <n v="0.16243822075782538"/>
    <n v="-0.32633053221288516"/>
    <n v="6.9351827153907711E-2"/>
  </r>
  <r>
    <n v="2025"/>
    <s v="18132323532    "/>
    <n v="-1.9661128563728327"/>
    <n v="0.14000000000000001"/>
    <n v="5994"/>
    <s v="6"/>
    <s v="RES"/>
    <x v="0"/>
    <s v="11"/>
    <s v="259"/>
    <s v="RN"/>
    <s v="A"/>
    <s v="FR"/>
    <x v="5"/>
    <n v="59"/>
    <n v="48"/>
    <n v="1965"/>
    <n v="1976"/>
    <n v="1472"/>
    <m/>
    <m/>
    <n v="0"/>
    <m/>
    <m/>
    <n v="1472"/>
    <n v="1500"/>
    <n v="8"/>
    <n v="264"/>
    <m/>
    <m/>
    <m/>
    <m/>
    <m/>
    <m/>
    <n v="251544"/>
    <n v="178596"/>
    <n v="0"/>
    <n v="257600"/>
    <n v="46000"/>
    <n v="211600"/>
    <n v="0"/>
    <n v="0"/>
    <n v="89850.625589999996"/>
    <n v="-62236.546971921947"/>
    <n v="21557.329055999999"/>
    <n v="133714.53821"/>
    <n v="-10706.188824000001"/>
    <n v="72729.562058944008"/>
    <n v="0"/>
    <n v="0"/>
    <n v="0"/>
    <n v="30336.176841600001"/>
    <n v="0"/>
    <n v="0"/>
    <n v="247600"/>
    <n v="27600"/>
    <n v="275200"/>
    <n v="6.8322981366459631E-2"/>
    <n v="0.99970000000000003"/>
    <n v="1.0067999999999999"/>
    <n v="0.99329999999999996"/>
    <n v="1.0157"/>
    <n v="0.98119999999999996"/>
    <n v="0.94971499999999998"/>
    <n v="0.94654209256699229"/>
    <n v="247600"/>
    <n v="0"/>
    <n v="247600"/>
    <n v="26200"/>
    <n v="273800"/>
    <n v="0.17013232514177692"/>
    <n v="-0.43043478260869567"/>
    <n v="6.2888198757763969E-2"/>
  </r>
  <r>
    <n v="2025"/>
    <s v="18132322447    "/>
    <n v="-1.7147984280919266"/>
    <n v="0.18"/>
    <m/>
    <s v="6"/>
    <s v="RES"/>
    <x v="0"/>
    <s v="11"/>
    <s v="259"/>
    <s v="SL"/>
    <s v="A+"/>
    <s v="GD"/>
    <x v="5"/>
    <n v="59"/>
    <n v="48"/>
    <n v="1965"/>
    <n v="1976"/>
    <n v="1152"/>
    <m/>
    <n v="624"/>
    <n v="0"/>
    <n v="624"/>
    <m/>
    <n v="1776"/>
    <n v="2000"/>
    <n v="9"/>
    <n v="528"/>
    <m/>
    <m/>
    <m/>
    <m/>
    <m/>
    <m/>
    <n v="345902"/>
    <n v="252508"/>
    <n v="0"/>
    <n v="340800"/>
    <n v="54700"/>
    <n v="286100"/>
    <n v="0"/>
    <n v="0"/>
    <n v="89850.625589999996"/>
    <n v="-54281.285314520763"/>
    <n v="29814.093161000001"/>
    <n v="197752.34721000001"/>
    <n v="-10706.188824000001"/>
    <n v="56918.787698304004"/>
    <n v="0"/>
    <n v="0"/>
    <n v="18147.102634127998"/>
    <n v="34128.198946800003"/>
    <n v="0"/>
    <n v="0"/>
    <n v="326100"/>
    <n v="35600"/>
    <n v="361700"/>
    <n v="6.1326291079812204E-2"/>
    <n v="0.99970000000000003"/>
    <n v="1.0088999999999999"/>
    <n v="0.99650000000000005"/>
    <n v="1.0093000000000001"/>
    <n v="0.98119999999999996"/>
    <n v="0.94971499999999998"/>
    <n v="0.94557620588434055"/>
    <n v="326100"/>
    <n v="0"/>
    <n v="326100"/>
    <n v="33800"/>
    <n v="359900"/>
    <n v="0.13981125480601189"/>
    <n v="-0.38208409506398539"/>
    <n v="5.6044600938967133E-2"/>
  </r>
  <r>
    <n v="2025"/>
    <s v="18132212420    "/>
    <n v="-1.3470736479666092"/>
    <n v="0.26"/>
    <n v="11294"/>
    <s v="6"/>
    <s v="RES"/>
    <x v="0"/>
    <s v="11"/>
    <s v="259"/>
    <s v="RN"/>
    <s v="G"/>
    <s v="GD"/>
    <x v="5"/>
    <n v="59"/>
    <n v="48"/>
    <n v="1965"/>
    <n v="1976"/>
    <n v="2088"/>
    <m/>
    <m/>
    <n v="0"/>
    <m/>
    <m/>
    <n v="2088"/>
    <n v="2500"/>
    <n v="8"/>
    <n v="528"/>
    <m/>
    <m/>
    <m/>
    <m/>
    <m/>
    <m/>
    <n v="447259"/>
    <n v="326499"/>
    <n v="0"/>
    <n v="388000"/>
    <n v="67600"/>
    <n v="320400"/>
    <n v="0"/>
    <n v="0"/>
    <n v="89850.625589999996"/>
    <n v="-42641.098701210125"/>
    <n v="44121.038090000002"/>
    <n v="197752.34721000001"/>
    <n v="-10706.188824000001"/>
    <n v="103165.302703176"/>
    <n v="0"/>
    <n v="0"/>
    <n v="0"/>
    <n v="30336.176841600001"/>
    <n v="0"/>
    <n v="0"/>
    <n v="364700"/>
    <n v="47200"/>
    <n v="411900"/>
    <n v="6.15979381443299E-2"/>
    <n v="0.99970000000000003"/>
    <n v="0.98050000000000004"/>
    <n v="0.99650000000000005"/>
    <n v="0.98919999999999997"/>
    <n v="0.98119999999999996"/>
    <n v="0.94971499999999998"/>
    <n v="0.90065786460769082"/>
    <n v="364700"/>
    <n v="0"/>
    <n v="364700"/>
    <n v="44800"/>
    <n v="409500"/>
    <n v="0.13826466916354557"/>
    <n v="-0.33727810650887574"/>
    <n v="5.5412371134020616E-2"/>
  </r>
  <r>
    <n v="2025"/>
    <s v="18132333010    "/>
    <n v="-1.5606477482646683"/>
    <n v="0.21"/>
    <m/>
    <s v="6"/>
    <s v="RES"/>
    <x v="0"/>
    <s v="11"/>
    <s v="259"/>
    <s v="RN"/>
    <s v="G"/>
    <s v="GD"/>
    <x v="5"/>
    <n v="59"/>
    <n v="48"/>
    <n v="1965"/>
    <n v="1976"/>
    <n v="1580"/>
    <m/>
    <n v="968"/>
    <n v="0"/>
    <n v="968"/>
    <m/>
    <n v="2548"/>
    <n v="3000"/>
    <n v="8"/>
    <n v="336"/>
    <m/>
    <m/>
    <m/>
    <m/>
    <m/>
    <m/>
    <n v="470886"/>
    <n v="343747"/>
    <n v="28238"/>
    <n v="411900"/>
    <n v="60100"/>
    <n v="351800"/>
    <n v="0"/>
    <n v="0"/>
    <n v="89850.625589999996"/>
    <n v="-49401.70477837498"/>
    <n v="44121.038090000002"/>
    <n v="197752.34721000001"/>
    <n v="-10706.188824000001"/>
    <n v="78065.698405660005"/>
    <n v="0"/>
    <n v="0"/>
    <n v="28151.274599095999"/>
    <n v="30336.176841600001"/>
    <n v="0"/>
    <n v="28200"/>
    <n v="367700"/>
    <n v="40400"/>
    <n v="436300"/>
    <n v="5.9237679048312696E-2"/>
    <n v="0.99970000000000003"/>
    <n v="0.98050000000000004"/>
    <n v="0.99650000000000005"/>
    <n v="0.96179999999999999"/>
    <n v="0.98119999999999996"/>
    <n v="0.94971499999999998"/>
    <n v="0.87571040657064003"/>
    <n v="367700"/>
    <n v="26800"/>
    <n v="394500"/>
    <n v="38400"/>
    <n v="432900"/>
    <n v="0.1213757816941444"/>
    <n v="-0.36106489184692181"/>
    <n v="5.0983248361252731E-2"/>
  </r>
  <r>
    <n v="2025"/>
    <s v="18132244400    "/>
    <n v="-1.5141277326297755"/>
    <n v="0.22"/>
    <n v="9459"/>
    <s v="6"/>
    <s v="RES"/>
    <x v="0"/>
    <s v="11"/>
    <s v="259"/>
    <s v="SL"/>
    <s v="A+"/>
    <s v="GD"/>
    <x v="5"/>
    <n v="59"/>
    <n v="48"/>
    <n v="1965"/>
    <n v="1976"/>
    <n v="1488"/>
    <m/>
    <n v="912"/>
    <n v="0"/>
    <n v="912"/>
    <m/>
    <n v="2400"/>
    <n v="2500"/>
    <n v="8"/>
    <m/>
    <m/>
    <m/>
    <m/>
    <m/>
    <m/>
    <m/>
    <n v="387560"/>
    <n v="282919"/>
    <n v="18746"/>
    <n v="385400"/>
    <n v="61700"/>
    <n v="323700"/>
    <n v="0"/>
    <n v="0"/>
    <n v="89850.625589999996"/>
    <n v="-47929.131559187132"/>
    <n v="29814.093161000001"/>
    <n v="197752.34721000001"/>
    <n v="-10706.188824000001"/>
    <n v="73520.100776976004"/>
    <n v="0"/>
    <n v="0"/>
    <n v="26522.688465264"/>
    <n v="30336.176841600001"/>
    <n v="0"/>
    <n v="18700"/>
    <n v="347200"/>
    <n v="41900"/>
    <n v="407800"/>
    <n v="5.8121432278152571E-2"/>
    <n v="0.99970000000000003"/>
    <n v="1.0088999999999999"/>
    <n v="0.99650000000000005"/>
    <n v="0.98919999999999997"/>
    <n v="0.98119999999999996"/>
    <n v="0.94971499999999998"/>
    <n v="0.92674525201703128"/>
    <n v="347200"/>
    <n v="17800"/>
    <n v="365000"/>
    <n v="39800"/>
    <n v="404800"/>
    <n v="0.12758727216558541"/>
    <n v="-0.35494327390599678"/>
    <n v="5.0337311883757133E-2"/>
  </r>
  <r>
    <n v="2025"/>
    <s v="18132212026    "/>
    <n v="-1.3862943611198906"/>
    <n v="0.25"/>
    <n v="10771"/>
    <s v="6"/>
    <s v="RES"/>
    <x v="0"/>
    <s v="11"/>
    <s v="259"/>
    <s v="RN"/>
    <s v="G"/>
    <s v="GD"/>
    <x v="5"/>
    <n v="59"/>
    <n v="48"/>
    <n v="1965"/>
    <n v="1976"/>
    <n v="2053"/>
    <m/>
    <n v="837"/>
    <n v="0"/>
    <n v="837"/>
    <m/>
    <n v="2890"/>
    <n v="3000"/>
    <n v="13"/>
    <n v="575"/>
    <m/>
    <n v="120"/>
    <m/>
    <m/>
    <m/>
    <m/>
    <n v="561051"/>
    <n v="409567"/>
    <n v="0"/>
    <n v="432200"/>
    <n v="66200"/>
    <n v="366000"/>
    <n v="0"/>
    <n v="0"/>
    <n v="89850.625589999996"/>
    <n v="-43882.615305165229"/>
    <n v="44121.038090000002"/>
    <n v="197752.34721000001"/>
    <n v="-10706.188824000001"/>
    <n v="101435.999257481"/>
    <n v="0"/>
    <n v="0"/>
    <n v="24341.546321738999"/>
    <n v="49296.287367600002"/>
    <n v="3995.4618331200004"/>
    <n v="0"/>
    <n v="410200"/>
    <n v="46000"/>
    <n v="456200"/>
    <n v="5.5529847292919945E-2"/>
    <n v="0.99970000000000003"/>
    <n v="0.98050000000000004"/>
    <n v="0.99650000000000005"/>
    <n v="0.96179999999999999"/>
    <n v="0.98119999999999996"/>
    <n v="0.94971499999999998"/>
    <n v="0.87571040657064003"/>
    <n v="410200"/>
    <n v="0"/>
    <n v="410200"/>
    <n v="43700"/>
    <n v="453900"/>
    <n v="0.12076502732240438"/>
    <n v="-0.33987915407854985"/>
    <n v="5.0208236927348451E-2"/>
  </r>
  <r>
    <n v="2025"/>
    <s v="18132323530    "/>
    <n v="-2.120263536200091"/>
    <n v="0.12"/>
    <n v="5314"/>
    <s v="6"/>
    <s v="RES"/>
    <x v="0"/>
    <s v="11"/>
    <s v="259"/>
    <s v="RN"/>
    <s v="A"/>
    <s v="AV"/>
    <x v="5"/>
    <n v="59"/>
    <n v="48"/>
    <n v="1965"/>
    <n v="1976"/>
    <n v="1326"/>
    <m/>
    <m/>
    <n v="0"/>
    <m/>
    <m/>
    <n v="1326"/>
    <n v="1500"/>
    <n v="8"/>
    <n v="338"/>
    <m/>
    <m/>
    <m/>
    <m/>
    <m/>
    <m/>
    <n v="235465"/>
    <n v="169535"/>
    <n v="0"/>
    <n v="275300"/>
    <n v="40600"/>
    <n v="234700"/>
    <n v="0"/>
    <n v="0"/>
    <n v="89850.625589999996"/>
    <n v="-67116.12750806773"/>
    <n v="21557.329055999999"/>
    <n v="160472.20319"/>
    <n v="-10706.188824000001"/>
    <n v="65515.896256902"/>
    <n v="0"/>
    <n v="0"/>
    <n v="0"/>
    <n v="30336.176841600001"/>
    <n v="0"/>
    <n v="0"/>
    <n v="267200"/>
    <n v="22700"/>
    <n v="289900"/>
    <n v="5.3033054849255357E-2"/>
    <n v="0.99970000000000003"/>
    <n v="1.0067999999999999"/>
    <n v="0.99729999999999996"/>
    <n v="1.0157"/>
    <n v="0.98119999999999996"/>
    <n v="0.94971499999999998"/>
    <n v="0.95035379937285946"/>
    <n v="267200"/>
    <n v="0"/>
    <n v="267200"/>
    <n v="21600"/>
    <n v="288800"/>
    <n v="0.13847464848743077"/>
    <n v="-0.46798029556650245"/>
    <n v="4.9037413730475841E-2"/>
  </r>
  <r>
    <n v="2025"/>
    <s v="18132323528    "/>
    <n v="-2.120263536200091"/>
    <n v="0.12"/>
    <n v="5234"/>
    <s v="6"/>
    <s v="RES"/>
    <x v="0"/>
    <s v="11"/>
    <s v="259"/>
    <s v="RN"/>
    <s v="A"/>
    <s v="AV"/>
    <x v="5"/>
    <n v="59"/>
    <n v="48"/>
    <n v="1965"/>
    <n v="1976"/>
    <n v="1041"/>
    <m/>
    <m/>
    <n v="0"/>
    <m/>
    <m/>
    <n v="1041"/>
    <n v="1500"/>
    <n v="5"/>
    <n v="340"/>
    <m/>
    <m/>
    <m/>
    <m/>
    <m/>
    <m/>
    <n v="193744"/>
    <n v="139496"/>
    <n v="0"/>
    <n v="251200"/>
    <n v="40600"/>
    <n v="210600"/>
    <n v="0"/>
    <n v="0"/>
    <n v="89850.625589999996"/>
    <n v="-67116.12750806773"/>
    <n v="21557.329055999999"/>
    <n v="160472.20319"/>
    <n v="-10706.188824000001"/>
    <n v="51434.425341957001"/>
    <n v="0"/>
    <n v="0"/>
    <n v="0"/>
    <n v="18960.110526"/>
    <n v="0"/>
    <n v="0"/>
    <n v="241700"/>
    <n v="22700"/>
    <n v="264400"/>
    <n v="5.2547770700636945E-2"/>
    <n v="0.99970000000000003"/>
    <n v="1.0067999999999999"/>
    <n v="0.99729999999999996"/>
    <n v="1.0157"/>
    <n v="0.98119999999999996"/>
    <n v="0.94971499999999998"/>
    <n v="0.95035379937285946"/>
    <n v="241700"/>
    <n v="0"/>
    <n v="241700"/>
    <n v="21600"/>
    <n v="263300"/>
    <n v="0.14767331433998102"/>
    <n v="-0.46798029556650245"/>
    <n v="4.8168789808917201E-2"/>
  </r>
  <r>
    <n v="2025"/>
    <s v="18132322011    "/>
    <n v="-1.6094379124341003"/>
    <n v="0.2"/>
    <m/>
    <s v="6"/>
    <s v="RES"/>
    <x v="0"/>
    <s v="11"/>
    <s v="259"/>
    <s v="RN"/>
    <s v="A"/>
    <s v="AV"/>
    <x v="5"/>
    <n v="59"/>
    <n v="48"/>
    <n v="1965"/>
    <n v="1976"/>
    <n v="1261"/>
    <m/>
    <m/>
    <n v="0"/>
    <m/>
    <m/>
    <n v="1261"/>
    <n v="1500"/>
    <n v="8"/>
    <n v="440"/>
    <m/>
    <m/>
    <m/>
    <m/>
    <m/>
    <m/>
    <n v="228125"/>
    <n v="164250"/>
    <n v="0"/>
    <n v="287300"/>
    <n v="58400"/>
    <n v="228900"/>
    <n v="0"/>
    <n v="0"/>
    <n v="89850.625589999996"/>
    <n v="-50946.13867709865"/>
    <n v="21557.329055999999"/>
    <n v="160472.20319"/>
    <n v="-10706.188824000001"/>
    <n v="62304.332714896998"/>
    <n v="0"/>
    <n v="0"/>
    <n v="0"/>
    <n v="30336.176841600001"/>
    <n v="0"/>
    <n v="0"/>
    <n v="264000"/>
    <n v="38900"/>
    <n v="302900"/>
    <n v="5.4298642533936653E-2"/>
    <n v="0.99970000000000003"/>
    <n v="1.0067999999999999"/>
    <n v="0.99729999999999996"/>
    <n v="1.0157"/>
    <n v="0.98119999999999996"/>
    <n v="0.94971499999999998"/>
    <n v="0.95035379937285946"/>
    <n v="264000"/>
    <n v="0"/>
    <n v="264000"/>
    <n v="36900"/>
    <n v="300900"/>
    <n v="0.15334207077326342"/>
    <n v="-0.36815068493150682"/>
    <n v="4.7337278106508875E-2"/>
  </r>
  <r>
    <n v="2025"/>
    <s v="18132241473    "/>
    <n v="-1.7147984280919266"/>
    <n v="0.18"/>
    <n v="8609"/>
    <s v="6"/>
    <s v="RES"/>
    <x v="0"/>
    <s v="11"/>
    <s v="259"/>
    <s v="RN"/>
    <s v="A"/>
    <s v="AV"/>
    <x v="5"/>
    <n v="59"/>
    <n v="48"/>
    <n v="1965"/>
    <n v="1976"/>
    <n v="1456"/>
    <m/>
    <m/>
    <n v="0"/>
    <m/>
    <m/>
    <n v="1456"/>
    <n v="1500"/>
    <n v="8"/>
    <n v="440"/>
    <m/>
    <m/>
    <m/>
    <m/>
    <m/>
    <m/>
    <n v="246300"/>
    <n v="177336"/>
    <n v="0"/>
    <n v="293900"/>
    <n v="54700"/>
    <n v="239200"/>
    <n v="0"/>
    <n v="0"/>
    <n v="89850.625589999996"/>
    <n v="-54281.285314520763"/>
    <n v="21557.329055999999"/>
    <n v="160472.20319"/>
    <n v="-10706.188824000001"/>
    <n v="71939.023340911997"/>
    <n v="0"/>
    <n v="0"/>
    <n v="0"/>
    <n v="30336.176841600001"/>
    <n v="0"/>
    <n v="0"/>
    <n v="273600"/>
    <n v="35600"/>
    <n v="309200"/>
    <n v="5.2058523307247362E-2"/>
    <n v="0.99970000000000003"/>
    <n v="1.0067999999999999"/>
    <n v="0.99729999999999996"/>
    <n v="1.0157"/>
    <n v="0.98119999999999996"/>
    <n v="0.94971499999999998"/>
    <n v="0.95035379937285946"/>
    <n v="273600"/>
    <n v="0"/>
    <n v="273600"/>
    <n v="33800"/>
    <n v="307400"/>
    <n v="0.14381270903010032"/>
    <n v="-0.38208409506398539"/>
    <n v="4.5933991153453556E-2"/>
  </r>
  <r>
    <n v="2025"/>
    <s v="18132244401    "/>
    <n v="-1.3470736479666092"/>
    <n v="0.26"/>
    <n v="11206"/>
    <s v="6"/>
    <s v="RES"/>
    <x v="0"/>
    <s v="11"/>
    <s v="259"/>
    <s v="RN"/>
    <s v="G"/>
    <s v="AV"/>
    <x v="5"/>
    <n v="59"/>
    <n v="48"/>
    <n v="1965"/>
    <n v="1976"/>
    <n v="1596"/>
    <m/>
    <m/>
    <n v="0"/>
    <m/>
    <m/>
    <n v="1596"/>
    <n v="2000"/>
    <n v="9"/>
    <n v="462"/>
    <m/>
    <m/>
    <m/>
    <m/>
    <m/>
    <m/>
    <n v="380835"/>
    <n v="274201"/>
    <n v="0"/>
    <n v="337800"/>
    <n v="67600"/>
    <n v="270200"/>
    <n v="0"/>
    <n v="0"/>
    <n v="89850.625589999996"/>
    <n v="-42641.098701210125"/>
    <n v="44121.038090000002"/>
    <n v="160472.20319"/>
    <n v="-10706.188824000001"/>
    <n v="78856.237123692001"/>
    <n v="0"/>
    <n v="0"/>
    <n v="0"/>
    <n v="34128.198946800003"/>
    <n v="0"/>
    <n v="0"/>
    <n v="306900"/>
    <n v="47200"/>
    <n v="354100"/>
    <n v="4.8253404381290707E-2"/>
    <n v="0.99970000000000003"/>
    <n v="0.98050000000000004"/>
    <n v="0.99729999999999996"/>
    <n v="1.0093000000000001"/>
    <n v="0.98119999999999996"/>
    <n v="0.94971499999999998"/>
    <n v="0.91969648622090105"/>
    <n v="306900"/>
    <n v="0"/>
    <n v="306900"/>
    <n v="44800"/>
    <n v="351700"/>
    <n v="0.13582531458179126"/>
    <n v="-0.33727810650887574"/>
    <n v="4.1148608644168146E-2"/>
  </r>
  <r>
    <n v="2025"/>
    <s v="18132342512    "/>
    <n v="-1.5141277326297755"/>
    <n v="0.22"/>
    <m/>
    <s v="6"/>
    <s v="RES"/>
    <x v="0"/>
    <s v="11"/>
    <s v="259"/>
    <s v="RN"/>
    <s v="A+"/>
    <s v="AV"/>
    <x v="5"/>
    <n v="59"/>
    <n v="48"/>
    <n v="1965"/>
    <n v="1976"/>
    <n v="1479"/>
    <m/>
    <n v="841"/>
    <n v="0"/>
    <n v="841"/>
    <m/>
    <n v="2320"/>
    <n v="2500"/>
    <n v="10"/>
    <m/>
    <n v="638"/>
    <n v="205"/>
    <m/>
    <m/>
    <m/>
    <m/>
    <n v="437111"/>
    <n v="314720"/>
    <n v="0"/>
    <n v="348400"/>
    <n v="61700"/>
    <n v="286700"/>
    <n v="0"/>
    <n v="0"/>
    <n v="89850.625589999996"/>
    <n v="-47929.131559187132"/>
    <n v="29814.093161000001"/>
    <n v="160472.20319"/>
    <n v="-10706.188824000001"/>
    <n v="73075.422748083001"/>
    <n v="0"/>
    <n v="0"/>
    <n v="24457.873902726998"/>
    <n v="37920.221052000001"/>
    <n v="6825.580631580001"/>
    <n v="0"/>
    <n v="321900"/>
    <n v="41900"/>
    <n v="363800"/>
    <n v="4.4202066590126293E-2"/>
    <n v="0.99970000000000003"/>
    <n v="1.0088999999999999"/>
    <n v="0.99729999999999996"/>
    <n v="0.98919999999999997"/>
    <n v="0.98119999999999996"/>
    <n v="0.94971499999999998"/>
    <n v="0.92748925221935308"/>
    <n v="321900"/>
    <n v="0"/>
    <n v="321900"/>
    <n v="39800"/>
    <n v="361700"/>
    <n v="0.12277642134635508"/>
    <n v="-0.35494327390599678"/>
    <n v="3.8174512055109071E-2"/>
  </r>
  <r>
    <n v="2025"/>
    <s v="18132323471    "/>
    <n v="-1.4271163556401458"/>
    <n v="0.24"/>
    <n v="10298"/>
    <s v="6"/>
    <s v="RES"/>
    <x v="0"/>
    <s v="11"/>
    <s v="259"/>
    <s v="RN"/>
    <s v="A"/>
    <s v="AV"/>
    <x v="5"/>
    <n v="59"/>
    <n v="48"/>
    <n v="1965"/>
    <n v="1976"/>
    <n v="1206"/>
    <m/>
    <m/>
    <n v="0"/>
    <m/>
    <m/>
    <n v="1206"/>
    <n v="1500"/>
    <n v="7"/>
    <m/>
    <m/>
    <m/>
    <m/>
    <m/>
    <m/>
    <m/>
    <n v="206176"/>
    <n v="148447"/>
    <n v="0"/>
    <n v="289400"/>
    <n v="64800"/>
    <n v="224600"/>
    <n v="0"/>
    <n v="0"/>
    <n v="89850.625589999996"/>
    <n v="-45174.819855485119"/>
    <n v="21557.329055999999"/>
    <n v="160472.20319"/>
    <n v="-10706.188824000001"/>
    <n v="59586.855871662003"/>
    <n v="0"/>
    <n v="0"/>
    <n v="0"/>
    <n v="26544.1547364"/>
    <n v="0"/>
    <n v="0"/>
    <n v="257500"/>
    <n v="44700"/>
    <n v="302200"/>
    <n v="4.42294402211472E-2"/>
    <n v="0.99970000000000003"/>
    <n v="1.0067999999999999"/>
    <n v="0.99729999999999996"/>
    <n v="1.0157"/>
    <n v="0.98119999999999996"/>
    <n v="0.94971499999999998"/>
    <n v="0.95035379937285946"/>
    <n v="257500"/>
    <n v="0"/>
    <n v="257500"/>
    <n v="42400"/>
    <n v="299900"/>
    <n v="0.1464826357969724"/>
    <n v="-0.34567901234567899"/>
    <n v="3.6281962681409811E-2"/>
  </r>
  <r>
    <n v="2025"/>
    <s v="18132322448    "/>
    <n v="-1.7147984280919266"/>
    <n v="0.18"/>
    <m/>
    <s v="6"/>
    <s v="RES"/>
    <x v="0"/>
    <s v="11"/>
    <s v="259"/>
    <s v="RN"/>
    <s v="A"/>
    <s v="AV"/>
    <x v="5"/>
    <n v="59"/>
    <n v="48"/>
    <n v="1965"/>
    <n v="1976"/>
    <n v="1168"/>
    <m/>
    <n v="1168"/>
    <n v="584"/>
    <n v="584"/>
    <m/>
    <n v="1752"/>
    <n v="2000"/>
    <n v="7"/>
    <m/>
    <m/>
    <m/>
    <m/>
    <m/>
    <m/>
    <m/>
    <n v="269765"/>
    <n v="194231"/>
    <n v="0"/>
    <n v="312400"/>
    <n v="54700"/>
    <n v="257700"/>
    <n v="0"/>
    <n v="0"/>
    <n v="89850.625589999996"/>
    <n v="-54281.285314520763"/>
    <n v="21557.329055999999"/>
    <n v="160472.20319"/>
    <n v="-10706.188824000001"/>
    <n v="57709.326416336"/>
    <n v="0"/>
    <n v="0"/>
    <n v="33967.653648496002"/>
    <n v="26544.1547364"/>
    <n v="0"/>
    <n v="0"/>
    <n v="289500"/>
    <n v="35600"/>
    <n v="325100"/>
    <n v="4.0653008962868116E-2"/>
    <n v="0.99970000000000003"/>
    <n v="1.0067999999999999"/>
    <n v="0.99729999999999996"/>
    <n v="1.0093000000000001"/>
    <n v="0.98119999999999996"/>
    <n v="0.94971499999999998"/>
    <n v="0.94436555056318516"/>
    <n v="289500"/>
    <n v="0"/>
    <n v="289500"/>
    <n v="33800"/>
    <n v="323300"/>
    <n v="0.12339930151338765"/>
    <n v="-0.38208409506398539"/>
    <n v="3.4891165172855315E-2"/>
  </r>
  <r>
    <n v="2025"/>
    <s v="18132244464    "/>
    <n v="-1.7147984280919266"/>
    <n v="0.18"/>
    <n v="7807"/>
    <s v="6"/>
    <s v="RES"/>
    <x v="0"/>
    <s v="11"/>
    <s v="259"/>
    <s v="RN"/>
    <s v="G"/>
    <s v="AV"/>
    <x v="5"/>
    <n v="59"/>
    <n v="48"/>
    <n v="1965"/>
    <n v="1976"/>
    <n v="1606"/>
    <m/>
    <m/>
    <n v="0"/>
    <m/>
    <m/>
    <n v="1606"/>
    <n v="2000"/>
    <n v="10"/>
    <n v="308"/>
    <m/>
    <m/>
    <m/>
    <m/>
    <m/>
    <m/>
    <n v="355679"/>
    <n v="256089"/>
    <n v="0"/>
    <n v="333500"/>
    <n v="54700"/>
    <n v="278800"/>
    <n v="0"/>
    <n v="0"/>
    <n v="89850.625589999996"/>
    <n v="-54281.285314520763"/>
    <n v="44121.038090000002"/>
    <n v="160472.20319"/>
    <n v="-10706.188824000001"/>
    <n v="79350.323822462"/>
    <n v="0"/>
    <n v="0"/>
    <n v="0"/>
    <n v="37920.221052000001"/>
    <n v="0"/>
    <n v="0"/>
    <n v="311200"/>
    <n v="35600"/>
    <n v="346800"/>
    <n v="3.9880059970014994E-2"/>
    <n v="0.99970000000000003"/>
    <n v="0.98050000000000004"/>
    <n v="0.99729999999999996"/>
    <n v="1.0093000000000001"/>
    <n v="0.98119999999999996"/>
    <n v="0.94971499999999998"/>
    <n v="0.91969648622090105"/>
    <n v="311200"/>
    <n v="0"/>
    <n v="311200"/>
    <n v="33800"/>
    <n v="345000"/>
    <n v="0.11621233859397417"/>
    <n v="-0.38208409506398539"/>
    <n v="3.4482758620689655E-2"/>
  </r>
  <r>
    <n v="2025"/>
    <s v="18132243006    "/>
    <n v="-1.5606477482646683"/>
    <n v="0.21"/>
    <n v="9104"/>
    <s v="6"/>
    <s v="RES"/>
    <x v="0"/>
    <s v="11"/>
    <s v="259"/>
    <s v="RN"/>
    <s v="A+"/>
    <s v="GD"/>
    <x v="5"/>
    <n v="59"/>
    <n v="48"/>
    <n v="1965"/>
    <n v="1976"/>
    <n v="1424"/>
    <m/>
    <n v="1248"/>
    <n v="0"/>
    <n v="1248"/>
    <m/>
    <n v="2672"/>
    <n v="3000"/>
    <n v="10"/>
    <n v="484"/>
    <m/>
    <m/>
    <m/>
    <m/>
    <m/>
    <m/>
    <n v="422859"/>
    <n v="308687"/>
    <n v="0"/>
    <n v="387800"/>
    <n v="60100"/>
    <n v="327700"/>
    <n v="0"/>
    <n v="0"/>
    <n v="89850.625589999996"/>
    <n v="-49401.70477837498"/>
    <n v="29814.093161000001"/>
    <n v="197752.34721000001"/>
    <n v="-10706.188824000001"/>
    <n v="70357.945904848006"/>
    <n v="0"/>
    <n v="0"/>
    <n v="36294.205268255995"/>
    <n v="37920.221052000001"/>
    <n v="0"/>
    <n v="0"/>
    <n v="361400"/>
    <n v="40400"/>
    <n v="401800"/>
    <n v="3.6101083032490974E-2"/>
    <n v="0.99970000000000003"/>
    <n v="1.0088999999999999"/>
    <n v="0.99650000000000005"/>
    <n v="0.96179999999999999"/>
    <n v="0.98119999999999996"/>
    <n v="0.94971499999999998"/>
    <n v="0.9010751955013957"/>
    <n v="361400"/>
    <n v="0"/>
    <n v="361400"/>
    <n v="38400"/>
    <n v="399800"/>
    <n v="0.10283796155019835"/>
    <n v="-0.36106489184692181"/>
    <n v="3.0943785456420837E-2"/>
  </r>
  <r>
    <n v="2025"/>
    <s v="18132323540    "/>
    <n v="-1.9661128563728327"/>
    <n v="0.14000000000000001"/>
    <m/>
    <s v="6"/>
    <s v="RES"/>
    <x v="0"/>
    <s v="11"/>
    <s v="259"/>
    <s v="SL"/>
    <s v="A"/>
    <s v="AV"/>
    <x v="5"/>
    <n v="59"/>
    <n v="48"/>
    <n v="1965"/>
    <n v="1976"/>
    <n v="1198"/>
    <m/>
    <n v="500"/>
    <n v="0"/>
    <n v="500"/>
    <m/>
    <n v="1698"/>
    <n v="2000"/>
    <n v="8"/>
    <m/>
    <n v="100"/>
    <m/>
    <m/>
    <m/>
    <m/>
    <m/>
    <n v="250130"/>
    <n v="180094"/>
    <n v="0"/>
    <n v="292800"/>
    <n v="46000"/>
    <n v="246800"/>
    <n v="0"/>
    <n v="0"/>
    <n v="89850.625589999996"/>
    <n v="-62236.546971921947"/>
    <n v="21557.329055999999"/>
    <n v="160472.20319"/>
    <n v="-10706.188824000001"/>
    <n v="59191.586512646005"/>
    <n v="0"/>
    <n v="0"/>
    <n v="14540.947623499998"/>
    <n v="30336.176841600001"/>
    <n v="0"/>
    <n v="0"/>
    <n v="275400"/>
    <n v="27600"/>
    <n v="303000"/>
    <n v="3.4836065573770489E-2"/>
    <n v="0.99970000000000003"/>
    <n v="1.0067999999999999"/>
    <n v="0.99729999999999996"/>
    <n v="1.0093000000000001"/>
    <n v="0.98119999999999996"/>
    <n v="0.94971499999999998"/>
    <n v="0.94436555056318516"/>
    <n v="275400"/>
    <n v="0"/>
    <n v="275400"/>
    <n v="26200"/>
    <n v="301600"/>
    <n v="0.11588330632090761"/>
    <n v="-0.43043478260869567"/>
    <n v="3.0054644808743168E-2"/>
  </r>
  <r>
    <n v="2025"/>
    <s v="18132244404    "/>
    <n v="-1.2729656758128873"/>
    <n v="0.28000000000000003"/>
    <n v="12363"/>
    <s v="6"/>
    <s v="RES"/>
    <x v="0"/>
    <s v="11"/>
    <s v="259"/>
    <s v="RN"/>
    <s v="A+"/>
    <s v="AV"/>
    <x v="5"/>
    <n v="59"/>
    <n v="48"/>
    <n v="1965"/>
    <n v="1976"/>
    <n v="1871"/>
    <m/>
    <n v="1506"/>
    <n v="0"/>
    <n v="1506"/>
    <m/>
    <n v="3377"/>
    <n v="3500"/>
    <n v="16"/>
    <n v="483"/>
    <m/>
    <n v="378"/>
    <m/>
    <m/>
    <m/>
    <m/>
    <n v="534696"/>
    <n v="384981"/>
    <n v="0"/>
    <n v="427900"/>
    <n v="70100"/>
    <n v="357800"/>
    <n v="0"/>
    <n v="0"/>
    <n v="89850.625589999996"/>
    <n v="-40295.239319339329"/>
    <n v="29814.093161000001"/>
    <n v="160472.20319"/>
    <n v="-10706.188824000001"/>
    <n v="92443.621339867008"/>
    <n v="0"/>
    <n v="0"/>
    <n v="43797.334241981996"/>
    <n v="60672.353683200003"/>
    <n v="12585.704774328002"/>
    <n v="0"/>
    <n v="389100"/>
    <n v="49600"/>
    <n v="438700"/>
    <n v="2.5239541949053517E-2"/>
    <n v="0.99970000000000003"/>
    <n v="1.0088999999999999"/>
    <n v="0.99729999999999996"/>
    <n v="1.0126999999999999"/>
    <n v="0.98119999999999996"/>
    <n v="0.94971499999999998"/>
    <n v="0.94952321646031024"/>
    <n v="389100"/>
    <n v="0"/>
    <n v="389100"/>
    <n v="47100"/>
    <n v="436200"/>
    <n v="8.7479038569032982E-2"/>
    <n v="-0.32810271041369471"/>
    <n v="1.939705538677261E-2"/>
  </r>
  <r>
    <n v="2025"/>
    <s v="18132322002    "/>
    <n v="-0.73396917508020043"/>
    <n v="0.48"/>
    <n v="20913"/>
    <s v="6"/>
    <s v="RES"/>
    <x v="0"/>
    <s v="11"/>
    <s v="259"/>
    <s v="RN"/>
    <s v="A"/>
    <s v="AV"/>
    <x v="5"/>
    <n v="59"/>
    <n v="48"/>
    <n v="1965"/>
    <n v="1976"/>
    <n v="2024"/>
    <m/>
    <m/>
    <n v="0"/>
    <m/>
    <m/>
    <n v="2024"/>
    <n v="2500"/>
    <n v="11"/>
    <m/>
    <m/>
    <n v="240"/>
    <m/>
    <m/>
    <m/>
    <m/>
    <n v="309598"/>
    <n v="222911"/>
    <n v="56832"/>
    <n v="431700"/>
    <n v="88900"/>
    <n v="342800"/>
    <n v="0"/>
    <n v="0"/>
    <n v="89850.625589999996"/>
    <n v="-23233.512202902497"/>
    <n v="21557.329055999999"/>
    <n v="160472.20319"/>
    <n v="-10706.188824000001"/>
    <n v="100003.147831048"/>
    <n v="0"/>
    <n v="0"/>
    <n v="0"/>
    <n v="41712.243157199999"/>
    <n v="7990.9236662400008"/>
    <n v="56800"/>
    <n v="321000"/>
    <n v="66600"/>
    <n v="444400"/>
    <n v="2.9418577716006485E-2"/>
    <n v="0.99970000000000003"/>
    <n v="1.0067999999999999"/>
    <n v="0.99729999999999996"/>
    <n v="0.98919999999999997"/>
    <n v="0.98119999999999996"/>
    <n v="0.94971499999999998"/>
    <n v="0.92555870664530138"/>
    <n v="321000"/>
    <n v="54000"/>
    <n v="375000"/>
    <n v="63300"/>
    <n v="438300"/>
    <n v="9.3932322053675618E-2"/>
    <n v="-0.2879640044994376"/>
    <n v="1.5288394718554551E-2"/>
  </r>
  <r>
    <n v="2025"/>
    <s v="18132243013    "/>
    <n v="-1.4271163556401458"/>
    <n v="0.24"/>
    <n v="10437"/>
    <s v="6"/>
    <s v="RES"/>
    <x v="0"/>
    <s v="11"/>
    <s v="259"/>
    <s v="SL"/>
    <s v="A+"/>
    <s v="AV"/>
    <x v="5"/>
    <n v="59"/>
    <n v="48"/>
    <n v="1965"/>
    <n v="1976"/>
    <n v="1652"/>
    <m/>
    <n v="480"/>
    <n v="0"/>
    <n v="480"/>
    <m/>
    <n v="2132"/>
    <n v="2500"/>
    <n v="11"/>
    <m/>
    <n v="462"/>
    <m/>
    <m/>
    <m/>
    <m/>
    <m/>
    <n v="369911"/>
    <n v="266336"/>
    <n v="0"/>
    <n v="355600"/>
    <n v="64800"/>
    <n v="290800"/>
    <n v="0"/>
    <n v="0"/>
    <n v="89850.625589999996"/>
    <n v="-45174.819855485119"/>
    <n v="29814.093161000001"/>
    <n v="160472.20319"/>
    <n v="-10706.188824000001"/>
    <n v="81623.122636804008"/>
    <n v="0"/>
    <n v="0"/>
    <n v="13959.30971856"/>
    <n v="41712.243157199999"/>
    <n v="0"/>
    <n v="0"/>
    <n v="316900"/>
    <n v="44700"/>
    <n v="361600"/>
    <n v="1.6872890888638921E-2"/>
    <n v="0.99970000000000003"/>
    <n v="1.0088999999999999"/>
    <n v="0.99729999999999996"/>
    <n v="0.98919999999999997"/>
    <n v="0.98119999999999996"/>
    <n v="0.94971499999999998"/>
    <n v="0.92748925221935308"/>
    <n v="316900"/>
    <n v="0"/>
    <n v="316900"/>
    <n v="42400"/>
    <n v="359300"/>
    <n v="8.9752407152682262E-2"/>
    <n v="-0.34567901234567899"/>
    <n v="1.0404949381327334E-2"/>
  </r>
  <r>
    <n v="2025"/>
    <s v="18132244402    "/>
    <n v="-1.3470736479666092"/>
    <n v="0.26"/>
    <n v="11206"/>
    <s v="6"/>
    <s v="RES"/>
    <x v="0"/>
    <s v="11"/>
    <s v="259"/>
    <s v="RN"/>
    <s v="G"/>
    <s v="AV"/>
    <x v="5"/>
    <n v="59"/>
    <n v="48"/>
    <n v="1965"/>
    <n v="1976"/>
    <n v="2196"/>
    <m/>
    <m/>
    <n v="0"/>
    <m/>
    <m/>
    <n v="2196"/>
    <n v="2500"/>
    <n v="12"/>
    <m/>
    <m/>
    <m/>
    <m/>
    <m/>
    <m/>
    <m/>
    <n v="506327"/>
    <n v="364555"/>
    <n v="0"/>
    <n v="391600"/>
    <n v="67600"/>
    <n v="324000"/>
    <n v="0"/>
    <n v="0"/>
    <n v="89850.625589999996"/>
    <n v="-42641.098701210125"/>
    <n v="44121.038090000002"/>
    <n v="160472.20319"/>
    <n v="-10706.188824000001"/>
    <n v="108501.439049892"/>
    <n v="0"/>
    <n v="0"/>
    <n v="0"/>
    <n v="45504.265262400004"/>
    <n v="0"/>
    <n v="0"/>
    <n v="347900"/>
    <n v="47200"/>
    <n v="395100"/>
    <n v="8.9376915219611854E-3"/>
    <n v="0.99970000000000003"/>
    <n v="0.98050000000000004"/>
    <n v="0.99729999999999996"/>
    <n v="0.98919999999999997"/>
    <n v="0.98119999999999996"/>
    <n v="0.94971499999999998"/>
    <n v="0.90138092159884586"/>
    <n v="347900"/>
    <n v="0"/>
    <n v="347900"/>
    <n v="44800"/>
    <n v="392700"/>
    <n v="7.3765432098765432E-2"/>
    <n v="-0.33727810650887574"/>
    <n v="2.8089887640449437E-3"/>
  </r>
  <r>
    <n v="2025"/>
    <s v="18132244403    "/>
    <n v="-1.3093333199837622"/>
    <n v="0.27"/>
    <n v="11907"/>
    <s v="6"/>
    <s v="RES"/>
    <x v="0"/>
    <s v="11"/>
    <s v="259"/>
    <s v="RN"/>
    <s v="G+"/>
    <s v="AV"/>
    <x v="5"/>
    <n v="59"/>
    <n v="48"/>
    <n v="1965"/>
    <n v="1976"/>
    <n v="1992"/>
    <m/>
    <n v="1992"/>
    <n v="0"/>
    <n v="1992"/>
    <m/>
    <n v="3984"/>
    <n v="4000"/>
    <n v="13"/>
    <n v="552"/>
    <m/>
    <n v="580"/>
    <m/>
    <m/>
    <m/>
    <m/>
    <n v="763568"/>
    <n v="565040"/>
    <n v="27800"/>
    <n v="521500"/>
    <n v="68900"/>
    <n v="452600"/>
    <n v="0"/>
    <n v="0"/>
    <n v="89850.625589999996"/>
    <n v="-41446.443120973789"/>
    <n v="74268.409664999999"/>
    <n v="160472.20319"/>
    <n v="-10706.188824000001"/>
    <n v="98422.070394983995"/>
    <n v="0"/>
    <n v="0"/>
    <n v="57931.135332023994"/>
    <n v="49296.287367600002"/>
    <n v="19311.39886008"/>
    <n v="27800"/>
    <n v="449000"/>
    <n v="48400"/>
    <n v="525200"/>
    <n v="7.0949185043144777E-3"/>
    <n v="0.99970000000000003"/>
    <n v="0.98380000000000001"/>
    <n v="0.99729999999999996"/>
    <n v="0.94579999999999997"/>
    <n v="0.98119999999999996"/>
    <n v="0.94971499999999998"/>
    <n v="0.86473449534698132"/>
    <n v="449000"/>
    <n v="26400"/>
    <n v="475400"/>
    <n v="46000"/>
    <n v="521400"/>
    <n v="5.0375607600530267E-2"/>
    <n v="-0.33236574746008707"/>
    <n v="-1.9175455417066154E-4"/>
  </r>
  <r>
    <n v="2025"/>
    <s v="18132323537    "/>
    <n v="-1.8971199848858813"/>
    <n v="0.15"/>
    <m/>
    <s v="6"/>
    <s v="RES"/>
    <x v="0"/>
    <s v="11"/>
    <s v="259"/>
    <s v="RN"/>
    <s v="F"/>
    <s v="GD"/>
    <x v="5"/>
    <n v="59"/>
    <n v="48"/>
    <n v="1965"/>
    <n v="1976"/>
    <n v="1630"/>
    <m/>
    <m/>
    <n v="0"/>
    <m/>
    <m/>
    <n v="1630"/>
    <n v="2000"/>
    <n v="8"/>
    <m/>
    <m/>
    <m/>
    <m/>
    <m/>
    <m/>
    <m/>
    <n v="216243"/>
    <n v="157857"/>
    <n v="8211"/>
    <n v="303200"/>
    <n v="48400"/>
    <n v="254800"/>
    <n v="0"/>
    <n v="0"/>
    <n v="89850.625589999996"/>
    <n v="-60052.604136134301"/>
    <n v="-43578.886190266698"/>
    <n v="197752.34721000001"/>
    <n v="-10706.188824000001"/>
    <n v="80536.131899510001"/>
    <n v="0"/>
    <n v="0"/>
    <n v="0"/>
    <n v="30336.176841600001"/>
    <n v="0"/>
    <n v="8200"/>
    <n v="254300"/>
    <n v="29800"/>
    <n v="292300"/>
    <n v="-3.5949868073878628E-2"/>
    <n v="0.99970000000000003"/>
    <n v="1"/>
    <n v="0.99650000000000005"/>
    <n v="1.0093000000000001"/>
    <n v="0.98119999999999996"/>
    <n v="0.94971499999999998"/>
    <n v="0.93723481602174707"/>
    <n v="254300"/>
    <n v="7800"/>
    <n v="262100"/>
    <n v="28300"/>
    <n v="290400"/>
    <n v="2.8649921507064365E-2"/>
    <n v="-0.41528925619834711"/>
    <n v="-4.221635883905013E-2"/>
  </r>
  <r>
    <n v="2025"/>
    <s v="18132331468    "/>
    <n v="-1.6607312068216509"/>
    <n v="0.19"/>
    <m/>
    <s v="6"/>
    <s v="RES"/>
    <x v="0"/>
    <s v="11"/>
    <s v="400"/>
    <s v="RN"/>
    <s v="G"/>
    <s v="GD"/>
    <x v="5"/>
    <n v="60"/>
    <n v="49"/>
    <n v="1964"/>
    <n v="1975"/>
    <n v="1356"/>
    <m/>
    <m/>
    <n v="0"/>
    <m/>
    <m/>
    <n v="1356"/>
    <n v="1500"/>
    <n v="8"/>
    <n v="728"/>
    <m/>
    <m/>
    <m/>
    <m/>
    <m/>
    <m/>
    <n v="347029"/>
    <n v="249861"/>
    <n v="0"/>
    <n v="333600"/>
    <n v="56600"/>
    <n v="277000"/>
    <n v="0"/>
    <n v="0"/>
    <n v="89850.625589999996"/>
    <n v="-52569.808201026557"/>
    <n v="44121.038090000002"/>
    <n v="197752.34721000001"/>
    <n v="-10929.2344245"/>
    <n v="66998.156353212005"/>
    <n v="0"/>
    <n v="0"/>
    <n v="0"/>
    <n v="30336.176841600001"/>
    <n v="0"/>
    <n v="0"/>
    <n v="328300"/>
    <n v="37300"/>
    <n v="365600"/>
    <n v="9.5923261390887291E-2"/>
    <n v="0.99970000000000003"/>
    <n v="0.98050000000000004"/>
    <n v="0.99650000000000005"/>
    <n v="1.0157"/>
    <n v="0.98119999999999996"/>
    <n v="0.94971499999999998"/>
    <n v="0.92478588059242983"/>
    <n v="328300"/>
    <n v="0"/>
    <n v="328300"/>
    <n v="35400"/>
    <n v="363700"/>
    <n v="0.1851985559566787"/>
    <n v="-0.37455830388692579"/>
    <n v="9.0227817745803351E-2"/>
  </r>
  <r>
    <n v="2025"/>
    <s v="18132331469    "/>
    <n v="-1.6607312068216509"/>
    <n v="0.19"/>
    <m/>
    <s v="6"/>
    <s v="RES"/>
    <x v="0"/>
    <s v="11"/>
    <s v="259"/>
    <s v="RN"/>
    <s v="A"/>
    <s v="GD"/>
    <x v="5"/>
    <n v="60"/>
    <n v="49"/>
    <n v="1964"/>
    <n v="1975"/>
    <n v="1262"/>
    <m/>
    <m/>
    <n v="0"/>
    <m/>
    <m/>
    <n v="1262"/>
    <n v="1500"/>
    <n v="8"/>
    <n v="572"/>
    <m/>
    <m/>
    <m/>
    <m/>
    <m/>
    <m/>
    <n v="233170"/>
    <n v="167882"/>
    <n v="0"/>
    <n v="308700"/>
    <n v="56600"/>
    <n v="252100"/>
    <n v="0"/>
    <n v="0"/>
    <n v="89850.625589999996"/>
    <n v="-52569.808201026557"/>
    <n v="21557.329055999999"/>
    <n v="197752.34721000001"/>
    <n v="-10929.2344245"/>
    <n v="62353.741384774003"/>
    <n v="0"/>
    <n v="0"/>
    <n v="0"/>
    <n v="30336.176841600001"/>
    <n v="0"/>
    <n v="0"/>
    <n v="301100"/>
    <n v="37300"/>
    <n v="338400"/>
    <n v="9.6209912536443148E-2"/>
    <n v="0.99970000000000003"/>
    <n v="1.0067999999999999"/>
    <n v="0.99650000000000005"/>
    <n v="1.0157"/>
    <n v="0.98119999999999996"/>
    <n v="0.94971499999999998"/>
    <n v="0.9495914580116861"/>
    <n v="301100"/>
    <n v="0"/>
    <n v="301100"/>
    <n v="35400"/>
    <n v="336500"/>
    <n v="0.19436731455771519"/>
    <n v="-0.37455830388692579"/>
    <n v="9.0055069646906377E-2"/>
  </r>
  <r>
    <n v="2025"/>
    <s v="18132324424    "/>
    <n v="-1.7147984280919266"/>
    <n v="0.18"/>
    <m/>
    <s v="6"/>
    <s v="RES"/>
    <x v="0"/>
    <s v="11"/>
    <s v="259"/>
    <s v="RN"/>
    <s v="A"/>
    <s v="GD"/>
    <x v="5"/>
    <n v="60"/>
    <n v="49"/>
    <n v="1964"/>
    <n v="1975"/>
    <n v="1332"/>
    <m/>
    <m/>
    <n v="0"/>
    <m/>
    <m/>
    <n v="1332"/>
    <n v="1500"/>
    <n v="8"/>
    <m/>
    <m/>
    <m/>
    <m/>
    <m/>
    <m/>
    <m/>
    <n v="218474"/>
    <n v="157301"/>
    <n v="0"/>
    <n v="311200"/>
    <n v="54700"/>
    <n v="256500"/>
    <n v="0"/>
    <n v="0"/>
    <n v="89850.625589999996"/>
    <n v="-54281.285314520763"/>
    <n v="21557.329055999999"/>
    <n v="197752.34721000001"/>
    <n v="-10929.2344245"/>
    <n v="65812.348276164004"/>
    <n v="0"/>
    <n v="0"/>
    <n v="0"/>
    <n v="30336.176841600001"/>
    <n v="0"/>
    <n v="0"/>
    <n v="304500"/>
    <n v="35600"/>
    <n v="340100"/>
    <n v="9.2866323907455015E-2"/>
    <n v="0.99970000000000003"/>
    <n v="1.0067999999999999"/>
    <n v="0.99650000000000005"/>
    <n v="1.0157"/>
    <n v="0.98119999999999996"/>
    <n v="0.94971499999999998"/>
    <n v="0.9495914580116861"/>
    <n v="304500"/>
    <n v="0"/>
    <n v="304500"/>
    <n v="33800"/>
    <n v="338300"/>
    <n v="0.1871345029239766"/>
    <n v="-0.38208409506398539"/>
    <n v="8.7082262210796915E-2"/>
  </r>
  <r>
    <n v="2025"/>
    <s v="18132323536    "/>
    <n v="-1.8971199848858813"/>
    <n v="0.15"/>
    <m/>
    <s v="6"/>
    <s v="RES"/>
    <x v="0"/>
    <s v="11"/>
    <s v="259"/>
    <s v="RN"/>
    <s v="A"/>
    <s v="GD"/>
    <x v="5"/>
    <n v="60"/>
    <n v="49"/>
    <n v="1964"/>
    <n v="1975"/>
    <n v="1144"/>
    <m/>
    <m/>
    <n v="0"/>
    <m/>
    <m/>
    <n v="1144"/>
    <n v="1500"/>
    <n v="7"/>
    <n v="364"/>
    <m/>
    <m/>
    <m/>
    <m/>
    <m/>
    <m/>
    <n v="241903"/>
    <n v="174170"/>
    <n v="0"/>
    <n v="294500"/>
    <n v="48400"/>
    <n v="246100"/>
    <n v="0"/>
    <n v="0"/>
    <n v="89850.625589999996"/>
    <n v="-60052.604136134301"/>
    <n v="21557.329055999999"/>
    <n v="197752.34721000001"/>
    <n v="-10929.2344245"/>
    <n v="56523.518339287999"/>
    <n v="0"/>
    <n v="0"/>
    <n v="0"/>
    <n v="26544.1547364"/>
    <n v="0"/>
    <n v="0"/>
    <n v="291400"/>
    <n v="29800"/>
    <n v="321200"/>
    <n v="9.0662139219015281E-2"/>
    <n v="0.99970000000000003"/>
    <n v="1.0067999999999999"/>
    <n v="0.99650000000000005"/>
    <n v="1.0157"/>
    <n v="0.98119999999999996"/>
    <n v="0.94971499999999998"/>
    <n v="0.9495914580116861"/>
    <n v="291400"/>
    <n v="0"/>
    <n v="291400"/>
    <n v="28300"/>
    <n v="319700"/>
    <n v="0.18407151564404714"/>
    <n v="-0.41528925619834711"/>
    <n v="8.5568760611205427E-2"/>
  </r>
  <r>
    <n v="2025"/>
    <s v="18132323539    "/>
    <n v="-1.9661128563728327"/>
    <n v="0.14000000000000001"/>
    <m/>
    <s v="6"/>
    <s v="RES"/>
    <x v="0"/>
    <s v="11"/>
    <s v="259"/>
    <s v="RN"/>
    <s v="A"/>
    <s v="GD"/>
    <x v="5"/>
    <n v="60"/>
    <n v="49"/>
    <n v="1964"/>
    <n v="1975"/>
    <n v="1605"/>
    <m/>
    <m/>
    <n v="0"/>
    <m/>
    <m/>
    <n v="1605"/>
    <n v="2000"/>
    <n v="8"/>
    <m/>
    <m/>
    <m/>
    <m/>
    <m/>
    <m/>
    <m/>
    <n v="255167"/>
    <n v="183720"/>
    <n v="0"/>
    <n v="317900"/>
    <n v="46000"/>
    <n v="271900"/>
    <n v="0"/>
    <n v="0"/>
    <n v="89850.625589999996"/>
    <n v="-62236.546971921947"/>
    <n v="21557.329055999999"/>
    <n v="197752.34721000001"/>
    <n v="-10929.2344245"/>
    <n v="79300.915152585003"/>
    <n v="0"/>
    <n v="0"/>
    <n v="0"/>
    <n v="30336.176841600001"/>
    <n v="0"/>
    <n v="0"/>
    <n v="318000"/>
    <n v="27600"/>
    <n v="345600"/>
    <n v="8.7134318968228999E-2"/>
    <n v="0.99970000000000003"/>
    <n v="1.0067999999999999"/>
    <n v="0.99650000000000005"/>
    <n v="1.0093000000000001"/>
    <n v="0.98119999999999996"/>
    <n v="0.94971499999999998"/>
    <n v="0.94360801277069484"/>
    <n v="318000"/>
    <n v="0"/>
    <n v="318000"/>
    <n v="26200"/>
    <n v="344200"/>
    <n v="0.16954762780433982"/>
    <n v="-0.43043478260869567"/>
    <n v="8.273041837055678E-2"/>
  </r>
  <r>
    <n v="2025"/>
    <s v="18132212030    "/>
    <n v="-1.6094379124341003"/>
    <n v="0.2"/>
    <n v="8789"/>
    <s v="6"/>
    <s v="RES"/>
    <x v="0"/>
    <s v="11"/>
    <s v="259"/>
    <s v="RN"/>
    <s v="A"/>
    <s v="GD"/>
    <x v="5"/>
    <n v="60"/>
    <n v="49"/>
    <n v="1964"/>
    <n v="1975"/>
    <n v="1708"/>
    <m/>
    <m/>
    <n v="0"/>
    <m/>
    <m/>
    <n v="1708"/>
    <n v="2000"/>
    <n v="8"/>
    <n v="330"/>
    <m/>
    <m/>
    <m/>
    <m/>
    <m/>
    <m/>
    <n v="282739"/>
    <n v="203572"/>
    <n v="0"/>
    <n v="333600"/>
    <n v="58400"/>
    <n v="275200"/>
    <n v="0"/>
    <n v="0"/>
    <n v="89850.625589999996"/>
    <n v="-50946.13867709865"/>
    <n v="21557.329055999999"/>
    <n v="197752.34721000001"/>
    <n v="-10929.2344245"/>
    <n v="84390.008149916001"/>
    <n v="0"/>
    <n v="0"/>
    <n v="0"/>
    <n v="30336.176841600001"/>
    <n v="0"/>
    <n v="0"/>
    <n v="323100"/>
    <n v="38900"/>
    <n v="362000"/>
    <n v="8.5131894484412468E-2"/>
    <n v="0.99970000000000003"/>
    <n v="1.0067999999999999"/>
    <n v="0.99650000000000005"/>
    <n v="1.0093000000000001"/>
    <n v="0.98119999999999996"/>
    <n v="0.94971499999999998"/>
    <n v="0.94360801277069484"/>
    <n v="323100"/>
    <n v="0"/>
    <n v="323100"/>
    <n v="36900"/>
    <n v="360000"/>
    <n v="0.17405523255813954"/>
    <n v="-0.36815068493150682"/>
    <n v="7.9136690647482008E-2"/>
  </r>
  <r>
    <n v="2025"/>
    <s v="18132212426    "/>
    <n v="-1.2378743560016174"/>
    <n v="0.28999999999999998"/>
    <n v="12676"/>
    <s v="6"/>
    <s v="RES"/>
    <x v="0"/>
    <s v="11"/>
    <s v="259"/>
    <s v="RN"/>
    <s v="A"/>
    <s v="GD"/>
    <x v="5"/>
    <n v="60"/>
    <n v="49"/>
    <n v="1964"/>
    <n v="1975"/>
    <n v="1791"/>
    <m/>
    <m/>
    <n v="0"/>
    <m/>
    <m/>
    <n v="1791"/>
    <n v="2000"/>
    <n v="8"/>
    <n v="552"/>
    <m/>
    <m/>
    <m/>
    <m/>
    <m/>
    <m/>
    <n v="304796"/>
    <n v="219453"/>
    <n v="0"/>
    <n v="351400"/>
    <n v="71400"/>
    <n v="280000"/>
    <n v="0"/>
    <n v="0"/>
    <n v="89850.625589999996"/>
    <n v="-39184.437074869042"/>
    <n v="21557.329055999999"/>
    <n v="197752.34721000001"/>
    <n v="-10929.2344245"/>
    <n v="88490.927749707"/>
    <n v="0"/>
    <n v="0"/>
    <n v="0"/>
    <n v="30336.176841600001"/>
    <n v="0"/>
    <n v="0"/>
    <n v="327200"/>
    <n v="50700"/>
    <n v="377900"/>
    <n v="7.5412635173591355E-2"/>
    <n v="0.99970000000000003"/>
    <n v="1.0067999999999999"/>
    <n v="0.99650000000000005"/>
    <n v="1.0093000000000001"/>
    <n v="0.98119999999999996"/>
    <n v="0.94971499999999998"/>
    <n v="0.94360801277069484"/>
    <n v="327200"/>
    <n v="0"/>
    <n v="327200"/>
    <n v="48100"/>
    <n v="375300"/>
    <n v="0.16857142857142857"/>
    <n v="-0.32633053221288516"/>
    <n v="6.8013659647125788E-2"/>
  </r>
  <r>
    <n v="2025"/>
    <s v="18132243007    "/>
    <n v="-1.5141277326297755"/>
    <n v="0.22"/>
    <n v="9667"/>
    <s v="6"/>
    <s v="RES"/>
    <x v="0"/>
    <s v="11"/>
    <s v="259"/>
    <s v="RN"/>
    <s v="A"/>
    <s v="GD"/>
    <x v="5"/>
    <n v="60"/>
    <n v="49"/>
    <n v="1964"/>
    <n v="1975"/>
    <n v="1564"/>
    <m/>
    <m/>
    <n v="0"/>
    <m/>
    <m/>
    <n v="1564"/>
    <n v="2000"/>
    <n v="8"/>
    <n v="440"/>
    <m/>
    <m/>
    <m/>
    <m/>
    <m/>
    <m/>
    <n v="286297"/>
    <n v="206134"/>
    <n v="0"/>
    <n v="335300"/>
    <n v="61700"/>
    <n v="273600"/>
    <n v="0"/>
    <n v="0"/>
    <n v="89850.625589999996"/>
    <n v="-47929.131559187132"/>
    <n v="21557.329055999999"/>
    <n v="197752.34721000001"/>
    <n v="-10929.2344245"/>
    <n v="77275.159687628009"/>
    <n v="0"/>
    <n v="0"/>
    <n v="0"/>
    <n v="30336.176841600001"/>
    <n v="0"/>
    <n v="0"/>
    <n v="316000"/>
    <n v="41900"/>
    <n v="357900"/>
    <n v="6.7402326274977636E-2"/>
    <n v="0.99970000000000003"/>
    <n v="1.0067999999999999"/>
    <n v="0.99650000000000005"/>
    <n v="1.0093000000000001"/>
    <n v="0.98119999999999996"/>
    <n v="0.94971499999999998"/>
    <n v="0.94360801277069484"/>
    <n v="316000"/>
    <n v="0"/>
    <n v="316000"/>
    <n v="39800"/>
    <n v="355800"/>
    <n v="0.15497076023391812"/>
    <n v="-0.35494327390599678"/>
    <n v="6.113927825827617E-2"/>
  </r>
  <r>
    <n v="2025"/>
    <s v="18132323535    "/>
    <n v="-1.8971199848858813"/>
    <n v="0.15"/>
    <n v="6732"/>
    <s v="6"/>
    <s v="RES"/>
    <x v="0"/>
    <s v="11"/>
    <s v="259"/>
    <s v="RN"/>
    <s v="A"/>
    <s v="AV"/>
    <x v="5"/>
    <n v="60"/>
    <n v="49"/>
    <n v="1964"/>
    <n v="1975"/>
    <n v="1262"/>
    <m/>
    <m/>
    <n v="0"/>
    <m/>
    <m/>
    <n v="1262"/>
    <n v="1500"/>
    <n v="8"/>
    <n v="338"/>
    <m/>
    <m/>
    <m/>
    <m/>
    <m/>
    <m/>
    <n v="223287"/>
    <n v="158534"/>
    <n v="0"/>
    <n v="278100"/>
    <n v="48400"/>
    <n v="229700"/>
    <n v="0"/>
    <n v="0"/>
    <n v="89850.625589999996"/>
    <n v="-60052.604136134301"/>
    <n v="21557.329055999999"/>
    <n v="160472.20319"/>
    <n v="-10929.2344245"/>
    <n v="62353.741384774003"/>
    <n v="0"/>
    <n v="0"/>
    <n v="0"/>
    <n v="30336.176841600001"/>
    <n v="0"/>
    <n v="0"/>
    <n v="263800"/>
    <n v="29800"/>
    <n v="293600"/>
    <n v="5.5735346997482921E-2"/>
    <n v="0.99970000000000003"/>
    <n v="1.0067999999999999"/>
    <n v="0.99729999999999996"/>
    <n v="1.0157"/>
    <n v="0.98119999999999996"/>
    <n v="0.94971499999999998"/>
    <n v="0.95035379937285946"/>
    <n v="263800"/>
    <n v="0"/>
    <n v="263800"/>
    <n v="28300"/>
    <n v="292100"/>
    <n v="0.14845450587723116"/>
    <n v="-0.41528925619834711"/>
    <n v="5.034160373966199E-2"/>
  </r>
  <r>
    <n v="2025"/>
    <s v="18132322407    "/>
    <n v="-1.5141277326297755"/>
    <n v="0.22"/>
    <m/>
    <s v="6"/>
    <s v="RES"/>
    <x v="0"/>
    <s v="11"/>
    <s v="259"/>
    <s v="RN"/>
    <s v="A+"/>
    <s v="AV"/>
    <x v="5"/>
    <n v="60"/>
    <n v="49"/>
    <n v="1964"/>
    <n v="1975"/>
    <n v="1365"/>
    <m/>
    <m/>
    <n v="0"/>
    <m/>
    <m/>
    <n v="1365"/>
    <n v="1500"/>
    <n v="8"/>
    <n v="441"/>
    <m/>
    <m/>
    <m/>
    <m/>
    <m/>
    <m/>
    <n v="283468"/>
    <n v="201262"/>
    <n v="0"/>
    <n v="304500"/>
    <n v="61700"/>
    <n v="242800"/>
    <n v="0"/>
    <n v="0"/>
    <n v="89850.625589999996"/>
    <n v="-47929.131559187132"/>
    <n v="29814.093161000001"/>
    <n v="160472.20319"/>
    <n v="-10929.2344245"/>
    <n v="67442.834382105008"/>
    <n v="0"/>
    <n v="0"/>
    <n v="0"/>
    <n v="30336.176841600001"/>
    <n v="0"/>
    <n v="0"/>
    <n v="277100"/>
    <n v="41900"/>
    <n v="319000"/>
    <n v="4.7619047619047616E-2"/>
    <n v="0.99970000000000003"/>
    <n v="1.0088999999999999"/>
    <n v="0.99729999999999996"/>
    <n v="1.0157"/>
    <n v="0.98119999999999996"/>
    <n v="0.94971499999999998"/>
    <n v="0.95233606295915574"/>
    <n v="277100"/>
    <n v="0"/>
    <n v="277100"/>
    <n v="39800"/>
    <n v="316900"/>
    <n v="0.14126853377265239"/>
    <n v="-0.35494327390599678"/>
    <n v="4.0722495894909685E-2"/>
  </r>
  <r>
    <n v="2025"/>
    <s v="18132212432    "/>
    <n v="-1.2039728043259361"/>
    <n v="0.3"/>
    <n v="13155"/>
    <s v="6"/>
    <s v="RES"/>
    <x v="0"/>
    <s v="11"/>
    <s v="259"/>
    <s v="CC"/>
    <s v="G"/>
    <s v="GD"/>
    <x v="5"/>
    <n v="60"/>
    <n v="49"/>
    <n v="1964"/>
    <n v="1975"/>
    <n v="1316"/>
    <n v="1044"/>
    <n v="1316"/>
    <n v="0"/>
    <n v="1316"/>
    <m/>
    <n v="3676"/>
    <n v="4000"/>
    <n v="9"/>
    <n v="575"/>
    <m/>
    <m/>
    <m/>
    <m/>
    <m/>
    <m/>
    <n v="636117"/>
    <n v="458004"/>
    <n v="0"/>
    <n v="446400"/>
    <n v="72500"/>
    <n v="373900"/>
    <n v="0"/>
    <n v="0"/>
    <n v="89850.625589999996"/>
    <n v="-38111.29648355169"/>
    <n v="44121.038090000002"/>
    <n v="197752.34721000001"/>
    <n v="-10929.2344245"/>
    <n v="65021.809558132001"/>
    <n v="46757.025466883999"/>
    <n v="0"/>
    <n v="38271.774145051997"/>
    <n v="34128.198946800003"/>
    <n v="0"/>
    <n v="0"/>
    <n v="415100"/>
    <n v="51700"/>
    <n v="466800"/>
    <n v="4.5698924731182797E-2"/>
    <n v="0.99970000000000003"/>
    <n v="0.98050000000000004"/>
    <n v="0.99650000000000005"/>
    <n v="0.94579999999999997"/>
    <n v="0.98119999999999996"/>
    <n v="0.94971499999999998"/>
    <n v="0.86114254786287303"/>
    <n v="415100"/>
    <n v="0"/>
    <n v="415100"/>
    <n v="49100"/>
    <n v="464200"/>
    <n v="0.11018989034501203"/>
    <n v="-0.32275862068965516"/>
    <n v="3.9874551971326166E-2"/>
  </r>
  <r>
    <n v="2025"/>
    <s v="18132211405    "/>
    <n v="-1.3093333199837622"/>
    <n v="0.27"/>
    <n v="11578"/>
    <s v="6"/>
    <s v="RES"/>
    <x v="0"/>
    <s v="11"/>
    <s v="259"/>
    <s v="RN"/>
    <s v="A+"/>
    <s v="AV"/>
    <x v="5"/>
    <n v="60"/>
    <n v="49"/>
    <n v="1964"/>
    <n v="1975"/>
    <n v="1701"/>
    <m/>
    <m/>
    <n v="0"/>
    <m/>
    <m/>
    <n v="1701"/>
    <n v="2000"/>
    <n v="5"/>
    <m/>
    <n v="783"/>
    <m/>
    <m/>
    <m/>
    <m/>
    <m/>
    <n v="343318"/>
    <n v="243756"/>
    <n v="0"/>
    <n v="316100"/>
    <n v="68900"/>
    <n v="247200"/>
    <n v="0"/>
    <n v="0"/>
    <n v="89850.625589999996"/>
    <n v="-41446.443120973789"/>
    <n v="29814.093161000001"/>
    <n v="160472.20319"/>
    <n v="-10929.2344245"/>
    <n v="84044.147460777007"/>
    <n v="0"/>
    <n v="0"/>
    <n v="0"/>
    <n v="18960.110526"/>
    <n v="0"/>
    <n v="0"/>
    <n v="282400"/>
    <n v="48400"/>
    <n v="330800"/>
    <n v="4.6504270800379624E-2"/>
    <n v="0.99970000000000003"/>
    <n v="1.0088999999999999"/>
    <n v="0.99729999999999996"/>
    <n v="1.0093000000000001"/>
    <n v="0.98119999999999996"/>
    <n v="0.94971499999999998"/>
    <n v="0.94633532376161855"/>
    <n v="282400"/>
    <n v="0"/>
    <n v="282400"/>
    <n v="46000"/>
    <n v="328400"/>
    <n v="0.14239482200647249"/>
    <n v="-0.33236574746008707"/>
    <n v="3.8911736792154379E-2"/>
  </r>
  <r>
    <n v="2025"/>
    <s v="18132243486    "/>
    <n v="-1.2378743560016174"/>
    <n v="0.28999999999999998"/>
    <n v="12583"/>
    <s v="6"/>
    <s v="RES"/>
    <x v="0"/>
    <s v="11"/>
    <s v="259"/>
    <s v="RN"/>
    <s v="A+"/>
    <s v="GD"/>
    <x v="5"/>
    <n v="60"/>
    <n v="49"/>
    <n v="1964"/>
    <n v="1975"/>
    <n v="1502"/>
    <m/>
    <n v="1502"/>
    <n v="0"/>
    <n v="1502"/>
    <m/>
    <n v="3004"/>
    <n v="3500"/>
    <n v="10"/>
    <m/>
    <m/>
    <m/>
    <m/>
    <m/>
    <m/>
    <m/>
    <n v="453757"/>
    <n v="326705"/>
    <n v="44409"/>
    <n v="445600"/>
    <n v="71400"/>
    <n v="374200"/>
    <n v="0"/>
    <n v="0"/>
    <n v="89850.625589999996"/>
    <n v="-39184.437074869042"/>
    <n v="29814.093161000001"/>
    <n v="197752.34721000001"/>
    <n v="-10929.2344245"/>
    <n v="74211.822155254005"/>
    <n v="0"/>
    <n v="0"/>
    <n v="43681.006660993997"/>
    <n v="37920.221052000001"/>
    <n v="0"/>
    <n v="44400"/>
    <n v="372500"/>
    <n v="50700"/>
    <n v="467600"/>
    <n v="4.9371633752244168E-2"/>
    <n v="0.99970000000000003"/>
    <n v="1.0088999999999999"/>
    <n v="0.99650000000000005"/>
    <n v="1.0126999999999999"/>
    <n v="0.98119999999999996"/>
    <n v="0.94971499999999998"/>
    <n v="0.94876154136438273"/>
    <n v="372500"/>
    <n v="42200"/>
    <n v="414700"/>
    <n v="48100"/>
    <n v="462800"/>
    <n v="0.10823089257081775"/>
    <n v="-0.32633053221288516"/>
    <n v="3.859964093357271E-2"/>
  </r>
  <r>
    <n v="2025"/>
    <s v="18132323023    "/>
    <n v="-1.8325814637483102"/>
    <n v="0.16"/>
    <n v="7000"/>
    <s v="6"/>
    <s v="RES"/>
    <x v="0"/>
    <s v="11"/>
    <s v="259"/>
    <s v="RN"/>
    <s v="A"/>
    <s v="AV"/>
    <x v="5"/>
    <n v="60"/>
    <n v="49"/>
    <n v="1964"/>
    <n v="1975"/>
    <n v="1364"/>
    <m/>
    <m/>
    <n v="0"/>
    <m/>
    <m/>
    <n v="1364"/>
    <n v="1500"/>
    <n v="5"/>
    <n v="280"/>
    <m/>
    <m/>
    <m/>
    <m/>
    <m/>
    <m/>
    <n v="241856"/>
    <n v="171718"/>
    <n v="0"/>
    <n v="278300"/>
    <n v="50600"/>
    <n v="227700"/>
    <n v="0"/>
    <n v="0"/>
    <n v="89850.625589999996"/>
    <n v="-58009.662049032086"/>
    <n v="21557.329055999999"/>
    <n v="160472.20319"/>
    <n v="-10929.2344245"/>
    <n v="67393.425712227996"/>
    <n v="0"/>
    <n v="0"/>
    <n v="0"/>
    <n v="18960.110526"/>
    <n v="0"/>
    <n v="0"/>
    <n v="257500"/>
    <n v="31800"/>
    <n v="289300"/>
    <n v="3.9525691699604744E-2"/>
    <n v="0.99970000000000003"/>
    <n v="1.0067999999999999"/>
    <n v="0.99729999999999996"/>
    <n v="1.0157"/>
    <n v="0.98119999999999996"/>
    <n v="0.94971499999999998"/>
    <n v="0.95035379937285946"/>
    <n v="257500"/>
    <n v="0"/>
    <n v="257500"/>
    <n v="30200"/>
    <n v="287700"/>
    <n v="0.13087395696091347"/>
    <n v="-0.40316205533596838"/>
    <n v="3.3776500179662237E-2"/>
  </r>
  <r>
    <n v="2025"/>
    <s v="18132332514    "/>
    <n v="-1.6607312068216509"/>
    <n v="0.19"/>
    <m/>
    <s v="6"/>
    <s v="RES"/>
    <x v="0"/>
    <s v="11"/>
    <s v="259"/>
    <s v="RN"/>
    <s v="A"/>
    <s v="AV"/>
    <x v="5"/>
    <n v="60"/>
    <n v="49"/>
    <n v="1964"/>
    <n v="1975"/>
    <n v="1008"/>
    <m/>
    <m/>
    <n v="0"/>
    <m/>
    <m/>
    <n v="1008"/>
    <n v="1500"/>
    <n v="5"/>
    <n v="336"/>
    <m/>
    <m/>
    <m/>
    <m/>
    <m/>
    <m/>
    <n v="213153"/>
    <n v="151339"/>
    <n v="0"/>
    <n v="267900"/>
    <n v="56600"/>
    <n v="211300"/>
    <n v="0"/>
    <n v="0"/>
    <n v="89850.625589999996"/>
    <n v="-52569.808201026557"/>
    <n v="21557.329055999999"/>
    <n v="160472.20319"/>
    <n v="-10929.2344245"/>
    <n v="49803.939236015998"/>
    <n v="0"/>
    <n v="0"/>
    <n v="0"/>
    <n v="18960.110526"/>
    <n v="0"/>
    <n v="0"/>
    <n v="239900"/>
    <n v="37300"/>
    <n v="277200"/>
    <n v="3.471444568868981E-2"/>
    <n v="0.99970000000000003"/>
    <n v="1.0067999999999999"/>
    <n v="0.99729999999999996"/>
    <n v="1.0157"/>
    <n v="0.98119999999999996"/>
    <n v="0.94971499999999998"/>
    <n v="0.95035379937285946"/>
    <n v="239900"/>
    <n v="0"/>
    <n v="239900"/>
    <n v="35400"/>
    <n v="275300"/>
    <n v="0.13535257927117841"/>
    <n v="-0.37455830388692579"/>
    <n v="2.7622247107129527E-2"/>
  </r>
  <r>
    <n v="2025"/>
    <s v="18132342009    "/>
    <n v="-1.5141277326297755"/>
    <n v="0.22"/>
    <n v="9800"/>
    <s v="6"/>
    <s v="RES"/>
    <x v="0"/>
    <s v="11"/>
    <s v="259"/>
    <s v="RN"/>
    <s v="G"/>
    <s v="AV"/>
    <x v="5"/>
    <n v="60"/>
    <n v="49"/>
    <n v="1964"/>
    <n v="1975"/>
    <n v="1340"/>
    <m/>
    <n v="1340"/>
    <n v="0"/>
    <n v="1340"/>
    <m/>
    <n v="2680"/>
    <n v="3000"/>
    <n v="11"/>
    <n v="520"/>
    <m/>
    <m/>
    <m/>
    <m/>
    <m/>
    <m/>
    <n v="495757"/>
    <n v="351987"/>
    <n v="0"/>
    <n v="377600"/>
    <n v="61700"/>
    <n v="315900"/>
    <n v="0"/>
    <n v="0"/>
    <n v="89850.625589999996"/>
    <n v="-47929.131559187132"/>
    <n v="44121.038090000002"/>
    <n v="160472.20319"/>
    <n v="-10929.2344245"/>
    <n v="66207.617635179995"/>
    <n v="0"/>
    <n v="0"/>
    <n v="38969.739630979995"/>
    <n v="41712.243157199999"/>
    <n v="0"/>
    <n v="0"/>
    <n v="340600"/>
    <n v="41900"/>
    <n v="382500"/>
    <n v="1.2976694915254237E-2"/>
    <n v="0.99970000000000003"/>
    <n v="0.98050000000000004"/>
    <n v="0.99729999999999996"/>
    <n v="0.96179999999999999"/>
    <n v="0.98119999999999996"/>
    <n v="0.94971499999999998"/>
    <n v="0.87641343549713913"/>
    <n v="340600"/>
    <n v="0"/>
    <n v="340600"/>
    <n v="39800"/>
    <n v="380400"/>
    <n v="7.8189300411522639E-2"/>
    <n v="-0.35494327390599678"/>
    <n v="7.4152542372881358E-3"/>
  </r>
  <r>
    <n v="2025"/>
    <s v="18132333437    "/>
    <n v="-1.6094379124341003"/>
    <n v="0.2"/>
    <m/>
    <s v="6"/>
    <s v="RES"/>
    <x v="0"/>
    <s v="11"/>
    <s v="330"/>
    <s v="RN"/>
    <s v="G"/>
    <s v="AV"/>
    <x v="5"/>
    <n v="60"/>
    <n v="59"/>
    <n v="1964"/>
    <n v="1965"/>
    <n v="1760"/>
    <m/>
    <n v="1760"/>
    <n v="0"/>
    <n v="1760"/>
    <m/>
    <n v="3520"/>
    <n v="4000"/>
    <n v="13"/>
    <n v="504"/>
    <m/>
    <m/>
    <m/>
    <m/>
    <m/>
    <m/>
    <n v="581567"/>
    <n v="354756"/>
    <n v="0"/>
    <n v="414000"/>
    <n v="58400"/>
    <n v="355600"/>
    <n v="0"/>
    <n v="0"/>
    <n v="89850.625589999996"/>
    <n v="-50946.13867709865"/>
    <n v="44121.038090000002"/>
    <n v="160472.20319"/>
    <n v="-13159.6904295"/>
    <n v="86959.258983520005"/>
    <n v="0"/>
    <n v="0"/>
    <n v="51184.135634719998"/>
    <n v="49296.287367600002"/>
    <n v="0"/>
    <n v="0"/>
    <n v="378900"/>
    <n v="38900"/>
    <n v="417800"/>
    <n v="9.1787439613526568E-3"/>
    <n v="0.99970000000000003"/>
    <n v="0.98050000000000004"/>
    <n v="0.99729999999999996"/>
    <n v="0.94579999999999997"/>
    <n v="0.98119999999999996"/>
    <n v="0.94971499999999998"/>
    <n v="0.8618338815691351"/>
    <n v="378900"/>
    <n v="0"/>
    <n v="378900"/>
    <n v="36900"/>
    <n v="415800"/>
    <n v="6.5523059617547813E-2"/>
    <n v="-0.36815068493150682"/>
    <n v="4.3478260869565218E-3"/>
  </r>
  <r>
    <n v="2025"/>
    <s v="18132212438    "/>
    <n v="-0.94160853985844495"/>
    <n v="0.39"/>
    <n v="16875"/>
    <s v="6"/>
    <s v="RES"/>
    <x v="0"/>
    <s v="11"/>
    <s v="259"/>
    <s v="RN"/>
    <s v="G+"/>
    <s v="GD"/>
    <x v="5"/>
    <n v="60"/>
    <n v="49"/>
    <n v="1964"/>
    <n v="1975"/>
    <n v="2598"/>
    <m/>
    <n v="1274"/>
    <n v="374"/>
    <n v="900"/>
    <m/>
    <n v="3498"/>
    <n v="3500"/>
    <n v="11"/>
    <n v="600"/>
    <m/>
    <m/>
    <m/>
    <m/>
    <m/>
    <m/>
    <n v="715400"/>
    <n v="529396"/>
    <n v="0"/>
    <n v="531100"/>
    <n v="81700"/>
    <n v="449400"/>
    <n v="0"/>
    <n v="0"/>
    <n v="89850.625589999996"/>
    <n v="-29806.256507663158"/>
    <n v="74268.409664999999"/>
    <n v="197752.34721000001"/>
    <n v="-10929.2344245"/>
    <n v="128363.724340446"/>
    <n v="0"/>
    <n v="0"/>
    <n v="37050.334544678"/>
    <n v="41712.243157199999"/>
    <n v="0"/>
    <n v="0"/>
    <n v="468200"/>
    <n v="60000"/>
    <n v="528200"/>
    <n v="-5.4603652796083599E-3"/>
    <n v="0.99970000000000003"/>
    <n v="0.98380000000000001"/>
    <n v="0.99650000000000005"/>
    <n v="1.0126999999999999"/>
    <n v="0.98119999999999996"/>
    <n v="0.94971499999999998"/>
    <n v="0.92515770085665561"/>
    <n v="468200"/>
    <n v="0"/>
    <n v="468200"/>
    <n v="57000"/>
    <n v="525200"/>
    <n v="4.1833555852247441E-2"/>
    <n v="-0.30232558139534882"/>
    <n v="-1.110901901713425E-2"/>
  </r>
  <r>
    <n v="2025"/>
    <s v="18132212414    "/>
    <n v="-0.94160853985844495"/>
    <n v="0.39"/>
    <n v="16785"/>
    <s v="6"/>
    <s v="RES"/>
    <x v="0"/>
    <s v="11"/>
    <s v="259"/>
    <s v="RN"/>
    <s v="G+"/>
    <s v="GD"/>
    <x v="5"/>
    <n v="60"/>
    <n v="49"/>
    <n v="1964"/>
    <n v="1975"/>
    <n v="1948"/>
    <m/>
    <m/>
    <n v="0"/>
    <m/>
    <m/>
    <n v="1948"/>
    <n v="2000"/>
    <n v="11"/>
    <n v="320"/>
    <m/>
    <m/>
    <m/>
    <m/>
    <m/>
    <m/>
    <n v="504485"/>
    <n v="373319"/>
    <n v="41773"/>
    <n v="505400"/>
    <n v="81700"/>
    <n v="423700"/>
    <n v="0"/>
    <n v="0"/>
    <n v="89850.625589999996"/>
    <n v="-29806.256507663158"/>
    <n v="74268.409664999999"/>
    <n v="197752.34721000001"/>
    <n v="-10929.2344245"/>
    <n v="96248.088920395996"/>
    <n v="0"/>
    <n v="0"/>
    <n v="0"/>
    <n v="41712.243157199999"/>
    <n v="0"/>
    <n v="41800"/>
    <n v="399100"/>
    <n v="60000"/>
    <n v="500900"/>
    <n v="-8.9038385437277406E-3"/>
    <n v="0.99970000000000003"/>
    <n v="0.98380000000000001"/>
    <n v="0.99650000000000005"/>
    <n v="1.0093000000000001"/>
    <n v="0.98119999999999996"/>
    <n v="0.94971499999999998"/>
    <n v="0.92205161200219488"/>
    <n v="399100"/>
    <n v="39700"/>
    <n v="438800"/>
    <n v="57000"/>
    <n v="495800"/>
    <n v="3.5638423412792067E-2"/>
    <n v="-0.30232558139534882"/>
    <n v="-1.8994855559952513E-2"/>
  </r>
  <r>
    <n v="2025"/>
    <s v="18132213024    "/>
    <n v="-1.5606477482646683"/>
    <n v="0.21"/>
    <n v="9176"/>
    <s v="6"/>
    <s v="RES"/>
    <x v="0"/>
    <s v="11"/>
    <s v="259"/>
    <s v="RN"/>
    <s v="G+"/>
    <s v="AV"/>
    <x v="5"/>
    <n v="60"/>
    <n v="49"/>
    <n v="1964"/>
    <n v="1975"/>
    <n v="1606"/>
    <m/>
    <n v="535"/>
    <n v="0"/>
    <n v="535"/>
    <m/>
    <n v="2141"/>
    <n v="2500"/>
    <n v="10"/>
    <n v="544"/>
    <m/>
    <m/>
    <m/>
    <m/>
    <m/>
    <m/>
    <n v="538211"/>
    <n v="392894"/>
    <n v="0"/>
    <n v="413400"/>
    <n v="60100"/>
    <n v="353300"/>
    <n v="0"/>
    <n v="0"/>
    <n v="89850.625589999996"/>
    <n v="-49401.70477837498"/>
    <n v="74268.409664999999"/>
    <n v="160472.20319"/>
    <n v="-10929.2344245"/>
    <n v="79350.323822462"/>
    <n v="0"/>
    <n v="0"/>
    <n v="15558.813957144999"/>
    <n v="37920.221052000001"/>
    <n v="0"/>
    <n v="0"/>
    <n v="356600"/>
    <n v="40400"/>
    <n v="397000"/>
    <n v="-3.9671020803096278E-2"/>
    <n v="0.99970000000000003"/>
    <n v="0.98380000000000001"/>
    <n v="0.99729999999999996"/>
    <n v="0.98919999999999997"/>
    <n v="0.98119999999999996"/>
    <n v="0.94971499999999998"/>
    <n v="0.9044146360723555"/>
    <n v="356600"/>
    <n v="0"/>
    <n v="356600"/>
    <n v="38400"/>
    <n v="395000"/>
    <n v="9.3405038211152001E-3"/>
    <n v="-0.36106489184692181"/>
    <n v="-4.450895016932753E-2"/>
  </r>
  <r>
    <n v="2025"/>
    <s v="18132321028    "/>
    <n v="0.76546784213957142"/>
    <n v="2.15"/>
    <n v="93841"/>
    <s v="6"/>
    <s v="COM"/>
    <x v="0"/>
    <s v="69"/>
    <s v="87"/>
    <s v="RN"/>
    <s v="F"/>
    <s v="AV"/>
    <x v="5"/>
    <n v="60"/>
    <n v="49"/>
    <n v="1964"/>
    <n v="1975"/>
    <n v="1708"/>
    <m/>
    <m/>
    <n v="0"/>
    <m/>
    <m/>
    <n v="1708"/>
    <n v="2000"/>
    <n v="8"/>
    <m/>
    <m/>
    <m/>
    <m/>
    <m/>
    <m/>
    <m/>
    <n v="239694"/>
    <n v="170183"/>
    <n v="11876"/>
    <n v="871950"/>
    <n v="365950"/>
    <n v="506000"/>
    <n v="0"/>
    <n v="0"/>
    <n v="89850.625589999996"/>
    <n v="24230.590405020583"/>
    <n v="-43578.886190266698"/>
    <n v="160472.20319"/>
    <n v="-10929.2344245"/>
    <n v="84390.008149916001"/>
    <n v="0"/>
    <n v="0"/>
    <n v="0"/>
    <n v="30336.176841600001"/>
    <n v="0"/>
    <n v="11900"/>
    <n v="220700"/>
    <n v="114100"/>
    <n v="346700"/>
    <n v="-0.60238545788175923"/>
    <n v="0.99970000000000003"/>
    <n v="1"/>
    <n v="0.99729999999999996"/>
    <n v="1.0093000000000001"/>
    <n v="0.98119999999999996"/>
    <n v="0.94971499999999998"/>
    <n v="0.93798723734921063"/>
    <n v="220700"/>
    <n v="11300"/>
    <n v="232000"/>
    <n v="108300"/>
    <n v="340300"/>
    <n v="-0.54150197628458496"/>
    <n v="-0.70405793141139494"/>
    <n v="-0.60972532828717241"/>
  </r>
  <r>
    <n v="2025"/>
    <s v="18132313525    "/>
    <n v="-1.5141277326297755"/>
    <n v="0.22"/>
    <n v="9653"/>
    <s v="6"/>
    <s v="RES"/>
    <x v="0"/>
    <s v="11"/>
    <s v="259"/>
    <s v="RN"/>
    <s v="G"/>
    <s v="GD"/>
    <x v="6"/>
    <n v="61"/>
    <n v="49"/>
    <n v="1963"/>
    <n v="1975"/>
    <n v="1415"/>
    <m/>
    <n v="648"/>
    <n v="648"/>
    <m/>
    <m/>
    <n v="1415"/>
    <n v="1500"/>
    <n v="11"/>
    <n v="325"/>
    <m/>
    <m/>
    <m/>
    <m/>
    <m/>
    <m/>
    <n v="366958"/>
    <n v="264210"/>
    <n v="0"/>
    <n v="364900"/>
    <n v="61700"/>
    <n v="303200"/>
    <n v="0"/>
    <n v="0"/>
    <n v="89850.625589999996"/>
    <n v="-47929.131559187132"/>
    <n v="44121.038090000002"/>
    <n v="197752.34721000001"/>
    <n v="-10929.2344245"/>
    <n v="69913.267875955004"/>
    <n v="0"/>
    <n v="0"/>
    <n v="18845.068120055999"/>
    <n v="41712.243157199999"/>
    <n v="0"/>
    <n v="0"/>
    <n v="361400"/>
    <n v="41900"/>
    <n v="403300"/>
    <n v="0.10523431077007399"/>
    <n v="0.99970000000000003"/>
    <n v="0.98050000000000004"/>
    <n v="0.99650000000000005"/>
    <n v="1.0157"/>
    <n v="1.0199"/>
    <n v="0.94971499999999998"/>
    <n v="0.96126082309031724"/>
    <n v="361400"/>
    <n v="0"/>
    <n v="361400"/>
    <n v="39800"/>
    <n v="401200"/>
    <n v="0.19195250659630606"/>
    <n v="-0.35494327390599678"/>
    <n v="9.9479309399835569E-2"/>
  </r>
  <r>
    <n v="2025"/>
    <s v="18132244025    "/>
    <n v="-1.6094379124341003"/>
    <n v="0.2"/>
    <n v="8628"/>
    <s v="6"/>
    <s v="RES"/>
    <x v="0"/>
    <s v="11"/>
    <s v="259"/>
    <s v="RN"/>
    <s v="A+"/>
    <s v="GD"/>
    <x v="6"/>
    <n v="61"/>
    <n v="49"/>
    <n v="1963"/>
    <n v="1975"/>
    <n v="1322"/>
    <m/>
    <m/>
    <n v="0"/>
    <m/>
    <m/>
    <n v="1322"/>
    <n v="1500"/>
    <n v="7"/>
    <n v="350"/>
    <m/>
    <m/>
    <m/>
    <m/>
    <m/>
    <m/>
    <n v="265324"/>
    <n v="191033"/>
    <n v="0"/>
    <n v="317800"/>
    <n v="58400"/>
    <n v="259400"/>
    <n v="0"/>
    <n v="0"/>
    <n v="89850.625589999996"/>
    <n v="-50946.13867709865"/>
    <n v="29814.093161000001"/>
    <n v="197752.34721000001"/>
    <n v="-10929.2344245"/>
    <n v="65318.261577394005"/>
    <n v="0"/>
    <n v="0"/>
    <n v="0"/>
    <n v="26544.1547364"/>
    <n v="0"/>
    <n v="0"/>
    <n v="308500"/>
    <n v="38900"/>
    <n v="347400"/>
    <n v="9.3140339836375083E-2"/>
    <n v="0.99970000000000003"/>
    <n v="1.0088999999999999"/>
    <n v="0.99650000000000005"/>
    <n v="1.0157"/>
    <n v="1.0199"/>
    <n v="0.94971499999999998"/>
    <n v="0.98910356391210685"/>
    <n v="308500"/>
    <n v="0"/>
    <n v="308500"/>
    <n v="36900"/>
    <n v="345400"/>
    <n v="0.18928296067848882"/>
    <n v="-0.36815068493150682"/>
    <n v="8.6847073631214605E-2"/>
  </r>
  <r>
    <n v="2025"/>
    <s v="18132323545    "/>
    <n v="-0.86750056770472306"/>
    <n v="0.42"/>
    <m/>
    <s v="6"/>
    <s v="RES"/>
    <x v="0"/>
    <s v="11"/>
    <s v="259"/>
    <s v="RN"/>
    <s v="A"/>
    <s v="GD"/>
    <x v="6"/>
    <n v="61"/>
    <n v="49"/>
    <n v="1963"/>
    <n v="1975"/>
    <n v="972"/>
    <m/>
    <n v="972"/>
    <n v="680"/>
    <n v="292"/>
    <m/>
    <n v="1264"/>
    <n v="1500"/>
    <n v="8"/>
    <m/>
    <m/>
    <m/>
    <m/>
    <m/>
    <m/>
    <m/>
    <n v="228052"/>
    <n v="164197"/>
    <n v="44954"/>
    <n v="383800"/>
    <n v="84300"/>
    <n v="299500"/>
    <n v="0"/>
    <n v="0"/>
    <n v="89850.625589999996"/>
    <n v="-27460.397125792362"/>
    <n v="21557.329055999999"/>
    <n v="197752.34721000001"/>
    <n v="-10929.2344245"/>
    <n v="48025.227120444004"/>
    <n v="0"/>
    <n v="0"/>
    <n v="28267.602180083999"/>
    <n v="30336.176841600001"/>
    <n v="0"/>
    <n v="45000"/>
    <n v="315000"/>
    <n v="62400"/>
    <n v="422400"/>
    <n v="0.10057321521625846"/>
    <n v="0.99970000000000003"/>
    <n v="1.0067999999999999"/>
    <n v="0.99650000000000005"/>
    <n v="1.0157"/>
    <n v="1.0199"/>
    <n v="0.94971499999999998"/>
    <n v="0.98704476969641131"/>
    <n v="315000"/>
    <n v="42700"/>
    <n v="357700"/>
    <n v="59300"/>
    <n v="417000"/>
    <n v="0.19432387312186977"/>
    <n v="-0.29655990510083036"/>
    <n v="8.6503387180823343E-2"/>
  </r>
  <r>
    <n v="2025"/>
    <s v="18132243031    "/>
    <n v="-1.9661128563728327"/>
    <n v="0.14000000000000001"/>
    <n v="6246"/>
    <s v="6"/>
    <s v="RES"/>
    <x v="0"/>
    <s v="11"/>
    <s v="259"/>
    <s v="RN"/>
    <s v="A"/>
    <s v="GD"/>
    <x v="6"/>
    <n v="61"/>
    <n v="49"/>
    <n v="1963"/>
    <n v="1975"/>
    <n v="1412"/>
    <m/>
    <m/>
    <n v="0"/>
    <m/>
    <m/>
    <n v="1412"/>
    <n v="1500"/>
    <n v="8"/>
    <m/>
    <m/>
    <m/>
    <m/>
    <m/>
    <m/>
    <m/>
    <n v="241392"/>
    <n v="173802"/>
    <n v="1881"/>
    <n v="310100"/>
    <n v="46000"/>
    <n v="264100"/>
    <n v="0"/>
    <n v="0"/>
    <n v="89850.625589999996"/>
    <n v="-62236.546971921947"/>
    <n v="21557.329055999999"/>
    <n v="197752.34721000001"/>
    <n v="-10929.2344245"/>
    <n v="69765.041866323998"/>
    <n v="0"/>
    <n v="0"/>
    <n v="0"/>
    <n v="30336.176841600001"/>
    <n v="0"/>
    <n v="1900"/>
    <n v="308500"/>
    <n v="27600"/>
    <n v="338000"/>
    <n v="8.9970977104159952E-2"/>
    <n v="0.99970000000000003"/>
    <n v="1.0067999999999999"/>
    <n v="0.99650000000000005"/>
    <n v="1.0157"/>
    <n v="1.0199"/>
    <n v="0.94971499999999998"/>
    <n v="0.98704476969641131"/>
    <n v="308500"/>
    <n v="1800"/>
    <n v="310300"/>
    <n v="26200"/>
    <n v="336500"/>
    <n v="0.17493373722074973"/>
    <n v="-0.43043478260869567"/>
    <n v="8.5133827797484685E-2"/>
  </r>
  <r>
    <n v="2025"/>
    <s v="18132244414    "/>
    <n v="-1.5141277326297755"/>
    <n v="0.22"/>
    <n v="9639"/>
    <s v="6"/>
    <s v="RES"/>
    <x v="0"/>
    <s v="11"/>
    <s v="259"/>
    <s v="RN"/>
    <s v="G"/>
    <s v="GD"/>
    <x v="6"/>
    <n v="61"/>
    <n v="49"/>
    <n v="1963"/>
    <n v="1975"/>
    <n v="2283"/>
    <m/>
    <m/>
    <n v="0"/>
    <m/>
    <m/>
    <n v="2283"/>
    <n v="2500"/>
    <n v="11"/>
    <n v="440"/>
    <m/>
    <n v="289"/>
    <m/>
    <m/>
    <m/>
    <m/>
    <n v="505369"/>
    <n v="363866"/>
    <n v="0"/>
    <n v="400900"/>
    <n v="61700"/>
    <n v="339200"/>
    <n v="0"/>
    <n v="0"/>
    <n v="89850.625589999996"/>
    <n v="-47929.131559187132"/>
    <n v="44121.038090000002"/>
    <n v="197752.34721000001"/>
    <n v="-10929.2344245"/>
    <n v="112799.993329191"/>
    <n v="0"/>
    <n v="0"/>
    <n v="0"/>
    <n v="41712.243157199999"/>
    <n v="9622.4039147640015"/>
    <n v="0"/>
    <n v="395100"/>
    <n v="41900"/>
    <n v="437000"/>
    <n v="9.004739336492891E-2"/>
    <n v="0.99970000000000003"/>
    <n v="0.98050000000000004"/>
    <n v="0.99650000000000005"/>
    <n v="0.98919999999999997"/>
    <n v="1.0199"/>
    <n v="0.94971499999999998"/>
    <n v="0.936181161958198"/>
    <n v="395100"/>
    <n v="0"/>
    <n v="395100"/>
    <n v="39800"/>
    <n v="434900"/>
    <n v="0.16479952830188679"/>
    <n v="-0.35494327390599678"/>
    <n v="8.4809179346470448E-2"/>
  </r>
  <r>
    <n v="2025"/>
    <s v="18132244460    "/>
    <n v="-1.3093333199837622"/>
    <n v="0.27"/>
    <n v="11900"/>
    <s v="6"/>
    <s v="RES"/>
    <x v="0"/>
    <s v="11"/>
    <s v="259"/>
    <s v="RN"/>
    <s v="G"/>
    <s v="AV"/>
    <x v="6"/>
    <n v="61"/>
    <n v="49"/>
    <n v="1963"/>
    <n v="1975"/>
    <n v="1543"/>
    <m/>
    <n v="1543"/>
    <n v="1117"/>
    <n v="426"/>
    <m/>
    <n v="1969"/>
    <n v="2000"/>
    <n v="7"/>
    <m/>
    <m/>
    <m/>
    <m/>
    <m/>
    <m/>
    <m/>
    <n v="431270"/>
    <n v="306202"/>
    <n v="21743"/>
    <n v="382800"/>
    <n v="68900"/>
    <n v="313900"/>
    <n v="0"/>
    <n v="0"/>
    <n v="89850.625589999996"/>
    <n v="-41446.443120973789"/>
    <n v="44121.038090000002"/>
    <n v="160472.20319"/>
    <n v="-10929.2344245"/>
    <n v="76237.577620210999"/>
    <n v="0"/>
    <n v="0"/>
    <n v="44873.364366121001"/>
    <n v="26544.1547364"/>
    <n v="0"/>
    <n v="21700"/>
    <n v="341300"/>
    <n v="48400"/>
    <n v="411400"/>
    <n v="7.4712643678160925E-2"/>
    <n v="0.99970000000000003"/>
    <n v="0.98050000000000004"/>
    <n v="0.99729999999999996"/>
    <n v="1.0093000000000001"/>
    <n v="1.0199"/>
    <n v="0.94971499999999998"/>
    <n v="0.95597069536964641"/>
    <n v="341300"/>
    <n v="20600"/>
    <n v="361900"/>
    <n v="46000"/>
    <n v="407900"/>
    <n v="0.15291494106403314"/>
    <n v="-0.33236574746008707"/>
    <n v="6.5569487983281091E-2"/>
  </r>
  <r>
    <n v="2025"/>
    <s v="18132244409    "/>
    <n v="-1.3862943611198906"/>
    <n v="0.25"/>
    <n v="11081"/>
    <s v="6"/>
    <s v="RES"/>
    <x v="0"/>
    <s v="11"/>
    <s v="259"/>
    <s v="RN"/>
    <s v="G"/>
    <s v="AV"/>
    <x v="6"/>
    <n v="61"/>
    <n v="49"/>
    <n v="1963"/>
    <n v="1975"/>
    <n v="1370"/>
    <m/>
    <m/>
    <n v="0"/>
    <m/>
    <m/>
    <n v="1370"/>
    <n v="1500"/>
    <n v="6"/>
    <m/>
    <m/>
    <m/>
    <m/>
    <m/>
    <m/>
    <m/>
    <n v="307075"/>
    <n v="218023"/>
    <n v="14889"/>
    <n v="324000"/>
    <n v="66200"/>
    <n v="257800"/>
    <n v="0"/>
    <n v="0"/>
    <n v="89850.625589999996"/>
    <n v="-43882.615305165229"/>
    <n v="44121.038090000002"/>
    <n v="160472.20319"/>
    <n v="-10929.2344245"/>
    <n v="67689.877731490007"/>
    <n v="0"/>
    <n v="0"/>
    <n v="0"/>
    <n v="22752.132631200002"/>
    <n v="0"/>
    <n v="14900"/>
    <n v="284100"/>
    <n v="46000"/>
    <n v="345000"/>
    <n v="6.4814814814814811E-2"/>
    <n v="0.99970000000000003"/>
    <n v="0.98050000000000004"/>
    <n v="0.99729999999999996"/>
    <n v="1.0157"/>
    <n v="1.0199"/>
    <n v="0.94971499999999998"/>
    <n v="0.96203253273253719"/>
    <n v="284100"/>
    <n v="14100"/>
    <n v="298200"/>
    <n v="43700"/>
    <n v="341900"/>
    <n v="0.15671062839410396"/>
    <n v="-0.33987915407854985"/>
    <n v="5.5246913580246915E-2"/>
  </r>
  <r>
    <n v="2025"/>
    <s v="18132342456    "/>
    <n v="-1.2729656758128873"/>
    <n v="0.28000000000000003"/>
    <n v="12319"/>
    <s v="6"/>
    <s v="RES"/>
    <x v="0"/>
    <s v="11"/>
    <s v="259"/>
    <s v="RN"/>
    <s v="G"/>
    <s v="GD"/>
    <x v="6"/>
    <n v="61"/>
    <n v="49"/>
    <n v="1963"/>
    <n v="1975"/>
    <n v="2172"/>
    <m/>
    <n v="2172"/>
    <n v="0"/>
    <n v="2172"/>
    <m/>
    <n v="4344"/>
    <n v="4500"/>
    <n v="8"/>
    <n v="528"/>
    <m/>
    <n v="195"/>
    <m/>
    <m/>
    <m/>
    <m/>
    <n v="730967"/>
    <n v="526296"/>
    <n v="0"/>
    <n v="464000"/>
    <n v="70100"/>
    <n v="393900"/>
    <n v="0"/>
    <n v="0"/>
    <n v="89850.625589999996"/>
    <n v="-40295.239319339329"/>
    <n v="44121.038090000002"/>
    <n v="197752.34721000001"/>
    <n v="-10929.2344245"/>
    <n v="107315.630972844"/>
    <n v="0"/>
    <n v="0"/>
    <n v="63165.876476483994"/>
    <n v="30336.176841600001"/>
    <n v="6492.6254788200004"/>
    <n v="0"/>
    <n v="438300"/>
    <n v="49600"/>
    <n v="487900"/>
    <n v="5.1508620689655171E-2"/>
    <n v="0.99970000000000003"/>
    <n v="0.98050000000000004"/>
    <n v="0.99650000000000005"/>
    <n v="1"/>
    <n v="1.0199"/>
    <n v="0.94971499999999998"/>
    <n v="0.94640230687242022"/>
    <n v="438300"/>
    <n v="0"/>
    <n v="438300"/>
    <n v="47100"/>
    <n v="485400"/>
    <n v="0.11271896420411272"/>
    <n v="-0.32810271041369471"/>
    <n v="4.6120689655172416E-2"/>
  </r>
  <r>
    <n v="2025"/>
    <s v="18132243030    "/>
    <n v="-1.7147984280919266"/>
    <n v="0.18"/>
    <n v="7638"/>
    <s v="6"/>
    <s v="RES"/>
    <x v="0"/>
    <s v="11"/>
    <s v="259"/>
    <s v="RN"/>
    <s v="A"/>
    <s v="AV"/>
    <x v="6"/>
    <n v="61"/>
    <n v="49"/>
    <n v="1963"/>
    <n v="1975"/>
    <n v="1410"/>
    <m/>
    <m/>
    <n v="0"/>
    <m/>
    <m/>
    <n v="1410"/>
    <n v="1500"/>
    <n v="9"/>
    <n v="440"/>
    <m/>
    <m/>
    <m/>
    <m/>
    <m/>
    <m/>
    <n v="254078"/>
    <n v="180395"/>
    <n v="0"/>
    <n v="295300"/>
    <n v="54700"/>
    <n v="240600"/>
    <n v="0"/>
    <n v="0"/>
    <n v="89850.625589999996"/>
    <n v="-54281.285314520763"/>
    <n v="21557.329055999999"/>
    <n v="160472.20319"/>
    <n v="-10929.2344245"/>
    <n v="69666.224526570004"/>
    <n v="0"/>
    <n v="0"/>
    <n v="0"/>
    <n v="34128.198946800003"/>
    <n v="0"/>
    <n v="0"/>
    <n v="274900"/>
    <n v="35600"/>
    <n v="310500"/>
    <n v="5.1473078225533354E-2"/>
    <n v="0.99970000000000003"/>
    <n v="1.0067999999999999"/>
    <n v="0.99729999999999996"/>
    <n v="1.0157"/>
    <n v="1.0199"/>
    <n v="0.94971499999999998"/>
    <n v="0.98783717894453682"/>
    <n v="274900"/>
    <n v="0"/>
    <n v="274900"/>
    <n v="33800"/>
    <n v="308700"/>
    <n v="0.14256026600166252"/>
    <n v="-0.38208409506398539"/>
    <n v="4.5377582119878093E-2"/>
  </r>
  <r>
    <n v="2025"/>
    <s v="18132242483    "/>
    <n v="-1.3862943611198906"/>
    <n v="0.25"/>
    <n v="11023"/>
    <s v="6"/>
    <s v="RES"/>
    <x v="0"/>
    <s v="11"/>
    <s v="259"/>
    <s v="RN"/>
    <s v="G"/>
    <s v="AV"/>
    <x v="6"/>
    <n v="61"/>
    <n v="49"/>
    <n v="1963"/>
    <n v="1975"/>
    <n v="1716"/>
    <m/>
    <m/>
    <n v="0"/>
    <m/>
    <m/>
    <n v="1716"/>
    <n v="2000"/>
    <n v="8"/>
    <n v="324"/>
    <m/>
    <m/>
    <m/>
    <m/>
    <m/>
    <m/>
    <n v="384751"/>
    <n v="273173"/>
    <n v="0"/>
    <n v="339500"/>
    <n v="66200"/>
    <n v="273300"/>
    <n v="0"/>
    <n v="0"/>
    <n v="89850.625589999996"/>
    <n v="-43882.615305165229"/>
    <n v="44121.038090000002"/>
    <n v="160472.20319"/>
    <n v="-10929.2344245"/>
    <n v="84785.277508932006"/>
    <n v="0"/>
    <n v="0"/>
    <n v="0"/>
    <n v="30336.176841600001"/>
    <n v="0"/>
    <n v="0"/>
    <n v="308800"/>
    <n v="46000"/>
    <n v="354800"/>
    <n v="4.5066273932253313E-2"/>
    <n v="0.99970000000000003"/>
    <n v="0.98050000000000004"/>
    <n v="0.99729999999999996"/>
    <n v="1.0093000000000001"/>
    <n v="1.0199"/>
    <n v="0.94971499999999998"/>
    <n v="0.95597069536964641"/>
    <n v="308800"/>
    <n v="0"/>
    <n v="308800"/>
    <n v="43700"/>
    <n v="352500"/>
    <n v="0.12989388949871936"/>
    <n v="-0.33987915407854985"/>
    <n v="3.8291605301914583E-2"/>
  </r>
  <r>
    <n v="2025"/>
    <s v="18132242405    "/>
    <n v="-0.9942522733438669"/>
    <n v="0.37"/>
    <n v="16008"/>
    <s v="6"/>
    <s v="RES"/>
    <x v="0"/>
    <s v="11"/>
    <s v="259"/>
    <s v="RN"/>
    <s v="A"/>
    <s v="GD"/>
    <x v="6"/>
    <n v="61"/>
    <n v="49"/>
    <n v="1963"/>
    <n v="1975"/>
    <n v="1320"/>
    <m/>
    <n v="1320"/>
    <n v="0"/>
    <n v="1320"/>
    <m/>
    <n v="2640"/>
    <n v="3000"/>
    <n v="8"/>
    <m/>
    <m/>
    <m/>
    <m/>
    <m/>
    <m/>
    <m/>
    <n v="341397"/>
    <n v="245806"/>
    <n v="44467"/>
    <n v="425100"/>
    <n v="79900"/>
    <n v="345200"/>
    <n v="0"/>
    <n v="0"/>
    <n v="89850.625589999996"/>
    <n v="-31472.673662315807"/>
    <n v="21557.329055999999"/>
    <n v="197752.34721000001"/>
    <n v="-10929.2344245"/>
    <n v="65219.444237640004"/>
    <n v="0"/>
    <n v="0"/>
    <n v="38388.101726039997"/>
    <n v="30336.176841600001"/>
    <n v="0"/>
    <n v="44500"/>
    <n v="342300"/>
    <n v="58400"/>
    <n v="445200"/>
    <n v="4.728299223712068E-2"/>
    <n v="0.99970000000000003"/>
    <n v="1.0067999999999999"/>
    <n v="0.99650000000000005"/>
    <n v="0.96179999999999999"/>
    <n v="1.0199"/>
    <n v="0.94971499999999998"/>
    <n v="0.9346654125174837"/>
    <n v="342300"/>
    <n v="42200"/>
    <n v="384500"/>
    <n v="55400"/>
    <n v="439900"/>
    <n v="0.11384704519119351"/>
    <n v="-0.30663329161451813"/>
    <n v="3.4815337567631145E-2"/>
  </r>
  <r>
    <n v="2025"/>
    <s v="18132242484    "/>
    <n v="-1.3470736479666092"/>
    <n v="0.26"/>
    <n v="11451"/>
    <s v="6"/>
    <s v="RES"/>
    <x v="0"/>
    <s v="11"/>
    <s v="259"/>
    <s v="RN"/>
    <s v="A+"/>
    <s v="AV"/>
    <x v="6"/>
    <n v="61"/>
    <n v="49"/>
    <n v="1963"/>
    <n v="1975"/>
    <n v="1811"/>
    <m/>
    <m/>
    <n v="0"/>
    <m/>
    <m/>
    <n v="1811"/>
    <n v="2000"/>
    <n v="8"/>
    <m/>
    <m/>
    <m/>
    <m/>
    <m/>
    <m/>
    <m/>
    <n v="358526"/>
    <n v="254553"/>
    <n v="13692"/>
    <n v="349300"/>
    <n v="67600"/>
    <n v="281700"/>
    <n v="0"/>
    <n v="0"/>
    <n v="89850.625589999996"/>
    <n v="-42641.098701210125"/>
    <n v="29814.093161000001"/>
    <n v="160472.20319"/>
    <n v="-10929.2344245"/>
    <n v="89479.101147246998"/>
    <n v="0"/>
    <n v="0"/>
    <n v="0"/>
    <n v="30336.176841600001"/>
    <n v="0"/>
    <n v="13700"/>
    <n v="299200"/>
    <n v="47200"/>
    <n v="360100"/>
    <n v="3.0918980818780417E-2"/>
    <n v="0.99970000000000003"/>
    <n v="1.0088999999999999"/>
    <n v="0.99729999999999996"/>
    <n v="1.0093000000000001"/>
    <n v="1.0199"/>
    <n v="0.94971499999999998"/>
    <n v="0.98366020862665582"/>
    <n v="299200"/>
    <n v="13000"/>
    <n v="312200"/>
    <n v="44800"/>
    <n v="357000"/>
    <n v="0.10827121050763223"/>
    <n v="-0.33727810650887574"/>
    <n v="2.2044088176352707E-2"/>
  </r>
  <r>
    <n v="2025"/>
    <s v="18132242479    "/>
    <n v="-1.4271163556401458"/>
    <n v="0.24"/>
    <m/>
    <s v="6"/>
    <s v="RES"/>
    <x v="0"/>
    <s v="11"/>
    <s v="259"/>
    <s v="RN"/>
    <s v="G"/>
    <s v="AV"/>
    <x v="6"/>
    <n v="61"/>
    <n v="49"/>
    <n v="1963"/>
    <n v="1975"/>
    <n v="1348"/>
    <m/>
    <n v="1348"/>
    <n v="0"/>
    <n v="1348"/>
    <m/>
    <n v="2696"/>
    <n v="3000"/>
    <n v="8"/>
    <n v="651"/>
    <m/>
    <m/>
    <m/>
    <m/>
    <m/>
    <m/>
    <n v="509538"/>
    <n v="361772"/>
    <n v="0"/>
    <n v="371900"/>
    <n v="64800"/>
    <n v="307100"/>
    <n v="0"/>
    <n v="0"/>
    <n v="89850.625589999996"/>
    <n v="-45174.819855485119"/>
    <n v="44121.038090000002"/>
    <n v="160472.20319"/>
    <n v="-10929.2344245"/>
    <n v="66602.886994196"/>
    <n v="0"/>
    <n v="0"/>
    <n v="39202.394792955994"/>
    <n v="30336.176841600001"/>
    <n v="0"/>
    <n v="0"/>
    <n v="329800"/>
    <n v="44700"/>
    <n v="374500"/>
    <n v="6.9911266469481047E-3"/>
    <n v="0.99970000000000003"/>
    <n v="0.98050000000000004"/>
    <n v="0.99729999999999996"/>
    <n v="0.96179999999999999"/>
    <n v="1.0199"/>
    <n v="0.94971499999999998"/>
    <n v="0.91098049619194077"/>
    <n v="329800"/>
    <n v="0"/>
    <n v="329800"/>
    <n v="42400"/>
    <n v="372200"/>
    <n v="7.391729078476067E-2"/>
    <n v="-0.34567901234567899"/>
    <n v="8.0666845926324286E-4"/>
  </r>
  <r>
    <n v="2025"/>
    <s v="18132212451    "/>
    <n v="-1.9661128563728327"/>
    <n v="0.14000000000000001"/>
    <n v="6075"/>
    <s v="2"/>
    <s v="COM"/>
    <x v="0"/>
    <s v="11"/>
    <s v="102"/>
    <s v="CE"/>
    <s v="A+"/>
    <s v="GD"/>
    <x v="6"/>
    <n v="62"/>
    <n v="49"/>
    <n v="1962"/>
    <n v="1975"/>
    <n v="1026"/>
    <m/>
    <m/>
    <n v="0"/>
    <m/>
    <m/>
    <n v="1026"/>
    <n v="1500"/>
    <n v="5"/>
    <n v="324"/>
    <m/>
    <m/>
    <m/>
    <m/>
    <m/>
    <m/>
    <n v="224411"/>
    <n v="161576"/>
    <n v="0"/>
    <n v="214150"/>
    <n v="54350"/>
    <n v="159800"/>
    <n v="0"/>
    <n v="0"/>
    <n v="89850.625589999996"/>
    <n v="-62236.546971921947"/>
    <n v="29814.093161000001"/>
    <n v="197752.34721000001"/>
    <n v="-10929.2344245"/>
    <n v="50693.295293802003"/>
    <n v="0"/>
    <n v="0"/>
    <n v="0"/>
    <n v="18960.110526"/>
    <n v="0"/>
    <n v="0"/>
    <n v="286300"/>
    <n v="27600"/>
    <n v="313900"/>
    <n v="0.46579500350221809"/>
    <n v="0.99970000000000003"/>
    <n v="1.0088999999999999"/>
    <n v="0.99650000000000005"/>
    <n v="1.0157"/>
    <n v="1.0199"/>
    <n v="0.94971499999999998"/>
    <n v="0.98910356391210685"/>
    <n v="286300"/>
    <n v="0"/>
    <n v="286300"/>
    <n v="26200"/>
    <n v="312500"/>
    <n v="0.79161451814768458"/>
    <n v="-0.51793928242870291"/>
    <n v="0.45925752976885359"/>
  </r>
  <r>
    <n v="2025"/>
    <s v="18132212450    "/>
    <n v="-1.8971199848858813"/>
    <n v="0.15"/>
    <n v="6395"/>
    <s v="2"/>
    <s v="COM"/>
    <x v="0"/>
    <s v="11"/>
    <s v="102"/>
    <s v="PE"/>
    <s v="A+"/>
    <s v="GD"/>
    <x v="6"/>
    <n v="62"/>
    <n v="49"/>
    <n v="1962"/>
    <n v="1975"/>
    <n v="1008"/>
    <m/>
    <m/>
    <n v="0"/>
    <m/>
    <m/>
    <n v="1008"/>
    <n v="1500"/>
    <n v="8"/>
    <n v="336"/>
    <m/>
    <m/>
    <m/>
    <m/>
    <m/>
    <m/>
    <n v="237190"/>
    <n v="170777"/>
    <n v="0"/>
    <n v="223750"/>
    <n v="54950"/>
    <n v="168800"/>
    <n v="0"/>
    <n v="0"/>
    <n v="89850.625589999996"/>
    <n v="-60052.604136134301"/>
    <n v="29814.093161000001"/>
    <n v="197752.34721000001"/>
    <n v="-10929.2344245"/>
    <n v="49803.939236015998"/>
    <n v="0"/>
    <n v="0"/>
    <n v="0"/>
    <n v="30336.176841600001"/>
    <n v="0"/>
    <n v="0"/>
    <n v="296800"/>
    <n v="29800"/>
    <n v="326600"/>
    <n v="0.45966480446927377"/>
    <n v="0.99970000000000003"/>
    <n v="1.0088999999999999"/>
    <n v="0.99650000000000005"/>
    <n v="1.0157"/>
    <n v="1.0199"/>
    <n v="0.94971499999999998"/>
    <n v="0.98910356391210685"/>
    <n v="296800"/>
    <n v="0"/>
    <n v="296800"/>
    <n v="28300"/>
    <n v="325100"/>
    <n v="0.75829383886255919"/>
    <n v="-0.48498635122838946"/>
    <n v="0.45296089385474858"/>
  </r>
  <r>
    <n v="2025"/>
    <s v="18132212447    "/>
    <n v="-2.2072749131897207"/>
    <n v="0.11"/>
    <n v="4950"/>
    <s v="2"/>
    <s v="COM"/>
    <x v="0"/>
    <s v="11"/>
    <s v="102"/>
    <s v="PE"/>
    <s v="A+"/>
    <s v="GD"/>
    <x v="6"/>
    <n v="62"/>
    <n v="49"/>
    <n v="1962"/>
    <n v="1975"/>
    <n v="1008"/>
    <m/>
    <m/>
    <n v="0"/>
    <m/>
    <m/>
    <n v="1008"/>
    <n v="1500"/>
    <n v="5"/>
    <n v="336"/>
    <m/>
    <m/>
    <m/>
    <m/>
    <m/>
    <m/>
    <n v="221041"/>
    <n v="159150"/>
    <n v="0"/>
    <n v="209700"/>
    <n v="52300"/>
    <n v="157400"/>
    <n v="0"/>
    <n v="0"/>
    <n v="89850.625589999996"/>
    <n v="-69870.439211769743"/>
    <n v="29814.093161000001"/>
    <n v="197752.34721000001"/>
    <n v="-10929.2344245"/>
    <n v="49803.939236015998"/>
    <n v="0"/>
    <n v="0"/>
    <n v="0"/>
    <n v="18960.110526"/>
    <n v="0"/>
    <n v="0"/>
    <n v="285400"/>
    <n v="20000"/>
    <n v="305400"/>
    <n v="0.4563662374821173"/>
    <n v="0.99970000000000003"/>
    <n v="1.0088999999999999"/>
    <n v="0.99650000000000005"/>
    <n v="1.0157"/>
    <n v="1.0199"/>
    <n v="0.94971499999999998"/>
    <n v="0.98910356391210685"/>
    <n v="285400"/>
    <n v="0"/>
    <n v="285400"/>
    <n v="19000"/>
    <n v="304400"/>
    <n v="0.81321473951715373"/>
    <n v="-0.6367112810707457"/>
    <n v="0.45159752026704819"/>
  </r>
  <r>
    <n v="2025"/>
    <s v="18132212448    "/>
    <n v="-2.3025850929940455"/>
    <n v="0.1"/>
    <n v="4508"/>
    <s v="2"/>
    <s v="COM"/>
    <x v="0"/>
    <s v="11"/>
    <s v="102"/>
    <s v="PE"/>
    <s v="A+"/>
    <s v="GD"/>
    <x v="6"/>
    <n v="62"/>
    <n v="49"/>
    <n v="1962"/>
    <n v="1975"/>
    <n v="1008"/>
    <m/>
    <m/>
    <n v="0"/>
    <m/>
    <m/>
    <n v="1008"/>
    <n v="1500"/>
    <n v="5"/>
    <n v="336"/>
    <m/>
    <m/>
    <m/>
    <m/>
    <m/>
    <m/>
    <n v="222170"/>
    <n v="159962"/>
    <n v="0"/>
    <n v="209450"/>
    <n v="51250"/>
    <n v="158200"/>
    <n v="0"/>
    <n v="0"/>
    <n v="89850.625589999996"/>
    <n v="-72887.446329681261"/>
    <n v="29814.093161000001"/>
    <n v="197752.34721000001"/>
    <n v="-10929.2344245"/>
    <n v="49803.939236015998"/>
    <n v="0"/>
    <n v="0"/>
    <n v="0"/>
    <n v="18960.110526"/>
    <n v="0"/>
    <n v="0"/>
    <n v="285400"/>
    <n v="17000"/>
    <n v="302400"/>
    <n v="0.44378133206015757"/>
    <n v="0.99970000000000003"/>
    <n v="1.0088999999999999"/>
    <n v="0.99650000000000005"/>
    <n v="1.0157"/>
    <n v="1.0199"/>
    <n v="0.94971499999999998"/>
    <n v="0.98910356391210685"/>
    <n v="285400"/>
    <n v="0"/>
    <n v="285400"/>
    <n v="16100"/>
    <n v="301500"/>
    <n v="0.80404551201011376"/>
    <n v="-0.68585365853658542"/>
    <n v="0.43948436380997852"/>
  </r>
  <r>
    <n v="2025"/>
    <s v="18132212449    "/>
    <n v="-2.2072749131897207"/>
    <n v="0.11"/>
    <n v="4655"/>
    <s v="2"/>
    <s v="COM"/>
    <x v="0"/>
    <s v="11"/>
    <s v="102"/>
    <s v="PE"/>
    <s v="A+"/>
    <s v="GD"/>
    <x v="6"/>
    <n v="62"/>
    <n v="49"/>
    <n v="1962"/>
    <n v="1975"/>
    <n v="1008"/>
    <m/>
    <m/>
    <n v="0"/>
    <m/>
    <m/>
    <n v="1008"/>
    <n v="1500"/>
    <n v="8"/>
    <n v="336"/>
    <m/>
    <m/>
    <m/>
    <m/>
    <m/>
    <m/>
    <n v="242541"/>
    <n v="174630"/>
    <n v="0"/>
    <n v="224300"/>
    <n v="51700"/>
    <n v="172600"/>
    <n v="0"/>
    <n v="0"/>
    <n v="89850.625589999996"/>
    <n v="-69870.439211769743"/>
    <n v="29814.093161000001"/>
    <n v="197752.34721000001"/>
    <n v="-10929.2344245"/>
    <n v="49803.939236015998"/>
    <n v="0"/>
    <n v="0"/>
    <n v="0"/>
    <n v="30336.176841600001"/>
    <n v="0"/>
    <n v="0"/>
    <n v="296800"/>
    <n v="20000"/>
    <n v="316800"/>
    <n v="0.41239411502452072"/>
    <n v="0.99970000000000003"/>
    <n v="1.0088999999999999"/>
    <n v="0.99650000000000005"/>
    <n v="1.0157"/>
    <n v="1.0199"/>
    <n v="0.94971499999999998"/>
    <n v="0.98910356391210685"/>
    <n v="296800"/>
    <n v="0"/>
    <n v="296800"/>
    <n v="19000"/>
    <n v="315800"/>
    <n v="0.71958285052143689"/>
    <n v="-0.63249516441005804"/>
    <n v="0.40793580026749887"/>
  </r>
  <r>
    <n v="2025"/>
    <s v="18132342454    "/>
    <n v="-1.2378743560016174"/>
    <n v="0.28999999999999998"/>
    <n v="12607"/>
    <s v="6"/>
    <s v="RES"/>
    <x v="0"/>
    <s v="11"/>
    <s v="259"/>
    <s v="RN"/>
    <s v="G"/>
    <s v="GD"/>
    <x v="6"/>
    <n v="62"/>
    <n v="39"/>
    <n v="1962"/>
    <n v="1985"/>
    <n v="2062"/>
    <m/>
    <n v="2062"/>
    <n v="612"/>
    <n v="1450"/>
    <m/>
    <n v="3512"/>
    <n v="4000"/>
    <n v="12"/>
    <n v="624"/>
    <m/>
    <n v="545"/>
    <m/>
    <m/>
    <m/>
    <m/>
    <n v="668054"/>
    <n v="541124"/>
    <n v="33005"/>
    <n v="501800"/>
    <n v="71400"/>
    <n v="430400"/>
    <n v="0"/>
    <n v="0"/>
    <n v="89850.625589999996"/>
    <n v="-39184.437074869042"/>
    <n v="44121.038090000002"/>
    <n v="197752.34721000001"/>
    <n v="-8698.7784195000004"/>
    <n v="101880.677286374"/>
    <n v="0"/>
    <n v="0"/>
    <n v="59966.867999313996"/>
    <n v="45504.265262400004"/>
    <n v="18146.05582542"/>
    <n v="33000"/>
    <n v="458700"/>
    <n v="50700"/>
    <n v="542400"/>
    <n v="8.0908728577122363E-2"/>
    <n v="0.99970000000000003"/>
    <n v="0.98050000000000004"/>
    <n v="0.99650000000000005"/>
    <n v="0.94579999999999997"/>
    <n v="1.0199"/>
    <n v="0.94971499999999998"/>
    <n v="0.89510730183993503"/>
    <n v="458700"/>
    <n v="31300"/>
    <n v="490000"/>
    <n v="48100"/>
    <n v="538100"/>
    <n v="0.13847583643122677"/>
    <n v="-0.32633053221288516"/>
    <n v="7.2339577520924667E-2"/>
  </r>
  <r>
    <n v="2025"/>
    <s v="18132243028    "/>
    <n v="-1.5141277326297755"/>
    <n v="0.22"/>
    <n v="9366"/>
    <s v="6"/>
    <s v="RES"/>
    <x v="0"/>
    <s v="11"/>
    <s v="259"/>
    <s v="RN"/>
    <s v="A"/>
    <s v="GD"/>
    <x v="6"/>
    <n v="62"/>
    <n v="49"/>
    <n v="1962"/>
    <n v="1975"/>
    <n v="1182"/>
    <m/>
    <m/>
    <n v="0"/>
    <m/>
    <m/>
    <n v="1182"/>
    <n v="1500"/>
    <n v="6"/>
    <n v="492"/>
    <m/>
    <m/>
    <m/>
    <m/>
    <m/>
    <m/>
    <n v="224869"/>
    <n v="161906"/>
    <n v="0"/>
    <n v="307800"/>
    <n v="61700"/>
    <n v="246100"/>
    <n v="0"/>
    <n v="0"/>
    <n v="89850.625589999996"/>
    <n v="-47929.131559187132"/>
    <n v="21557.329055999999"/>
    <n v="197752.34721000001"/>
    <n v="-10929.2344245"/>
    <n v="58401.047794614002"/>
    <n v="0"/>
    <n v="0"/>
    <n v="0"/>
    <n v="22752.132631200002"/>
    <n v="0"/>
    <n v="0"/>
    <n v="289500"/>
    <n v="41900"/>
    <n v="331400"/>
    <n v="7.6673164392462634E-2"/>
    <n v="0.99970000000000003"/>
    <n v="1.0067999999999999"/>
    <n v="0.99650000000000005"/>
    <n v="1.0157"/>
    <n v="1.0199"/>
    <n v="0.94971499999999998"/>
    <n v="0.98704476969641131"/>
    <n v="289500"/>
    <n v="0"/>
    <n v="289500"/>
    <n v="39800"/>
    <n v="329300"/>
    <n v="0.17635107679804957"/>
    <n v="-0.35494327390599678"/>
    <n v="6.9850552306692654E-2"/>
  </r>
  <r>
    <n v="2025"/>
    <s v="18132243032    "/>
    <n v="-1.5141277326297755"/>
    <n v="0.22"/>
    <n v="9664"/>
    <s v="6"/>
    <s v="RES"/>
    <x v="0"/>
    <s v="11"/>
    <s v="259"/>
    <s v="RN"/>
    <s v="A+"/>
    <s v="GD"/>
    <x v="6"/>
    <n v="62"/>
    <n v="49"/>
    <n v="1962"/>
    <n v="1975"/>
    <n v="1140"/>
    <m/>
    <m/>
    <n v="0"/>
    <m/>
    <m/>
    <n v="1140"/>
    <n v="1500"/>
    <n v="8"/>
    <n v="400"/>
    <m/>
    <m/>
    <m/>
    <m/>
    <m/>
    <m/>
    <n v="253403"/>
    <n v="182450"/>
    <n v="0"/>
    <n v="322200"/>
    <n v="61700"/>
    <n v="260500"/>
    <n v="0"/>
    <n v="0"/>
    <n v="89850.625589999996"/>
    <n v="-47929.131559187132"/>
    <n v="29814.093161000001"/>
    <n v="197752.34721000001"/>
    <n v="-10929.2344245"/>
    <n v="56325.883659780004"/>
    <n v="0"/>
    <n v="0"/>
    <n v="0"/>
    <n v="30336.176841600001"/>
    <n v="0"/>
    <n v="0"/>
    <n v="303300"/>
    <n v="41900"/>
    <n v="345200"/>
    <n v="7.1384233395406574E-2"/>
    <n v="0.99970000000000003"/>
    <n v="1.0088999999999999"/>
    <n v="0.99650000000000005"/>
    <n v="1.0157"/>
    <n v="1.0199"/>
    <n v="0.94971499999999998"/>
    <n v="0.98910356391210685"/>
    <n v="303300"/>
    <n v="0"/>
    <n v="303300"/>
    <n v="39800"/>
    <n v="343100"/>
    <n v="0.16429942418426105"/>
    <n v="-0.35494327390599678"/>
    <n v="6.4866542520173806E-2"/>
  </r>
  <r>
    <n v="2025"/>
    <s v="18132333015    "/>
    <n v="-1.5606477482646683"/>
    <n v="0.21"/>
    <m/>
    <s v="6"/>
    <s v="RES"/>
    <x v="0"/>
    <s v="11"/>
    <s v="259"/>
    <s v="RN"/>
    <s v="A"/>
    <s v="GD"/>
    <x v="6"/>
    <n v="62"/>
    <n v="49"/>
    <n v="1962"/>
    <n v="1975"/>
    <n v="1677"/>
    <m/>
    <m/>
    <n v="0"/>
    <m/>
    <m/>
    <n v="1677"/>
    <n v="2000"/>
    <n v="8"/>
    <m/>
    <m/>
    <m/>
    <m/>
    <m/>
    <m/>
    <m/>
    <n v="273189"/>
    <n v="196696"/>
    <n v="24251"/>
    <n v="362300"/>
    <n v="60100"/>
    <n v="302200"/>
    <n v="0"/>
    <n v="0"/>
    <n v="89850.625589999996"/>
    <n v="-49401.70477837498"/>
    <n v="21557.329055999999"/>
    <n v="197752.34721000001"/>
    <n v="-10929.2344245"/>
    <n v="82858.339383729006"/>
    <n v="0"/>
    <n v="0"/>
    <n v="0"/>
    <n v="30336.176841600001"/>
    <n v="0"/>
    <n v="24300"/>
    <n v="321600"/>
    <n v="40400"/>
    <n v="386300"/>
    <n v="6.6243444659122269E-2"/>
    <n v="0.99970000000000003"/>
    <n v="1.0067999999999999"/>
    <n v="0.99650000000000005"/>
    <n v="1.0093000000000001"/>
    <n v="1.0199"/>
    <n v="0.94971499999999998"/>
    <n v="0.98082532839872782"/>
    <n v="321600"/>
    <n v="23000"/>
    <n v="344600"/>
    <n v="38400"/>
    <n v="383000"/>
    <n v="0.14030443414956983"/>
    <n v="-0.36106489184692181"/>
    <n v="5.7134971018492964E-2"/>
  </r>
  <r>
    <n v="2025"/>
    <s v="18132212445    "/>
    <n v="-1.0498221244986778"/>
    <n v="0.35"/>
    <n v="15414"/>
    <s v="6"/>
    <s v="RES"/>
    <x v="0"/>
    <s v="11"/>
    <s v="259"/>
    <s v="RN"/>
    <s v="A+"/>
    <s v="GD"/>
    <x v="6"/>
    <n v="62"/>
    <n v="49"/>
    <n v="1962"/>
    <n v="1975"/>
    <n v="1944"/>
    <m/>
    <m/>
    <n v="0"/>
    <m/>
    <m/>
    <n v="1944"/>
    <n v="2000"/>
    <n v="7"/>
    <n v="506"/>
    <m/>
    <m/>
    <m/>
    <m/>
    <m/>
    <m/>
    <n v="376787"/>
    <n v="271287"/>
    <n v="0"/>
    <n v="373800"/>
    <n v="77900"/>
    <n v="295900"/>
    <n v="0"/>
    <n v="0"/>
    <n v="89850.625589999996"/>
    <n v="-33231.715947405908"/>
    <n v="29814.093161000001"/>
    <n v="197752.34721000001"/>
    <n v="-10929.2344245"/>
    <n v="96050.454240888008"/>
    <n v="0"/>
    <n v="0"/>
    <n v="0"/>
    <n v="26544.1547364"/>
    <n v="0"/>
    <n v="0"/>
    <n v="339200"/>
    <n v="56600"/>
    <n v="395800"/>
    <n v="5.8855002675227391E-2"/>
    <n v="0.99970000000000003"/>
    <n v="1.0088999999999999"/>
    <n v="0.99650000000000005"/>
    <n v="1.0093000000000001"/>
    <n v="1.0199"/>
    <n v="0.94971499999999998"/>
    <n v="0.98287115000146663"/>
    <n v="339200"/>
    <n v="0"/>
    <n v="339200"/>
    <n v="53800"/>
    <n v="393000"/>
    <n v="0.14633322068266305"/>
    <n v="-0.30937098844672656"/>
    <n v="5.1364365971107544E-2"/>
  </r>
  <r>
    <n v="2025"/>
    <s v="18132212431    "/>
    <n v="-1.1711829815029451"/>
    <n v="0.31"/>
    <n v="13576"/>
    <s v="6"/>
    <s v="RES"/>
    <x v="0"/>
    <s v="11"/>
    <s v="259"/>
    <s v="RN"/>
    <s v="G"/>
    <s v="GD"/>
    <x v="6"/>
    <n v="62"/>
    <n v="49"/>
    <n v="1962"/>
    <n v="1975"/>
    <n v="1650"/>
    <m/>
    <n v="784"/>
    <n v="100"/>
    <n v="684"/>
    <m/>
    <n v="2334"/>
    <n v="2500"/>
    <n v="11"/>
    <n v="575"/>
    <m/>
    <m/>
    <m/>
    <m/>
    <m/>
    <m/>
    <n v="522180"/>
    <n v="375970"/>
    <n v="0"/>
    <n v="410400"/>
    <n v="73700"/>
    <n v="336700"/>
    <n v="0"/>
    <n v="0"/>
    <n v="89850.625589999996"/>
    <n v="-37073.347241874442"/>
    <n v="44121.038090000002"/>
    <n v="197752.34721000001"/>
    <n v="-10929.2344245"/>
    <n v="81524.305297049999"/>
    <n v="0"/>
    <n v="0"/>
    <n v="22800.205873647999"/>
    <n v="41712.243157199999"/>
    <n v="0"/>
    <n v="0"/>
    <n v="377000"/>
    <n v="52800"/>
    <n v="429800"/>
    <n v="4.7270955165692005E-2"/>
    <n v="0.99970000000000003"/>
    <n v="0.98050000000000004"/>
    <n v="0.99650000000000005"/>
    <n v="0.98919999999999997"/>
    <n v="1.0199"/>
    <n v="0.94971499999999998"/>
    <n v="0.936181161958198"/>
    <n v="377000"/>
    <n v="0"/>
    <n v="377000"/>
    <n v="50100"/>
    <n v="427100"/>
    <n v="0.11969111969111969"/>
    <n v="-0.32021709633649931"/>
    <n v="4.0692007797270953E-2"/>
  </r>
  <r>
    <n v="2025"/>
    <s v="18132212444    "/>
    <n v="-1.0788096613719298"/>
    <n v="0.34"/>
    <n v="14730"/>
    <s v="6"/>
    <s v="RES"/>
    <x v="0"/>
    <s v="11"/>
    <s v="259"/>
    <s v="RN"/>
    <s v="G"/>
    <s v="GD"/>
    <x v="6"/>
    <n v="62"/>
    <n v="49"/>
    <n v="1962"/>
    <n v="1975"/>
    <n v="2052"/>
    <m/>
    <n v="1018"/>
    <n v="300"/>
    <n v="718"/>
    <m/>
    <n v="2770"/>
    <n v="3000"/>
    <n v="12"/>
    <n v="540"/>
    <m/>
    <m/>
    <m/>
    <m/>
    <m/>
    <m/>
    <n v="540050"/>
    <n v="388836"/>
    <n v="0"/>
    <n v="445300"/>
    <n v="76900"/>
    <n v="368400"/>
    <n v="0"/>
    <n v="0"/>
    <n v="89850.625589999996"/>
    <n v="-34149.305288406773"/>
    <n v="44121.038090000002"/>
    <n v="197752.34721000001"/>
    <n v="-10929.2344245"/>
    <n v="101386.59058760401"/>
    <n v="0"/>
    <n v="0"/>
    <n v="29605.369361445999"/>
    <n v="45504.265262400004"/>
    <n v="0"/>
    <n v="0"/>
    <n v="407400"/>
    <n v="55700"/>
    <n v="463100"/>
    <n v="3.9973051875140352E-2"/>
    <n v="0.99970000000000003"/>
    <n v="0.98050000000000004"/>
    <n v="0.99650000000000005"/>
    <n v="0.96179999999999999"/>
    <n v="1.0199"/>
    <n v="0.94971499999999998"/>
    <n v="0.91024973874989379"/>
    <n v="407400"/>
    <n v="0"/>
    <n v="407400"/>
    <n v="52900"/>
    <n v="460300"/>
    <n v="0.10586319218241043"/>
    <n v="-0.31209362808842656"/>
    <n v="3.368515607455648E-2"/>
  </r>
  <r>
    <n v="2025"/>
    <s v="18132323491    "/>
    <n v="-1.3093333199837622"/>
    <n v="0.27"/>
    <m/>
    <s v="6"/>
    <s v="RES"/>
    <x v="0"/>
    <s v="11"/>
    <s v="259"/>
    <s v="RN"/>
    <s v="A"/>
    <s v="AV"/>
    <x v="6"/>
    <n v="62"/>
    <n v="49"/>
    <n v="1962"/>
    <n v="1975"/>
    <n v="1287"/>
    <m/>
    <m/>
    <n v="0"/>
    <m/>
    <m/>
    <n v="1287"/>
    <n v="1500"/>
    <n v="5"/>
    <n v="400"/>
    <m/>
    <m/>
    <m/>
    <m/>
    <m/>
    <m/>
    <n v="230124"/>
    <n v="163388"/>
    <n v="0"/>
    <n v="290900"/>
    <n v="68900"/>
    <n v="222000"/>
    <n v="0"/>
    <n v="0"/>
    <n v="89850.625589999996"/>
    <n v="-41446.443120973789"/>
    <n v="21557.329055999999"/>
    <n v="160472.20319"/>
    <n v="-10929.2344245"/>
    <n v="63588.958131699001"/>
    <n v="0"/>
    <n v="0"/>
    <n v="0"/>
    <n v="18960.110526"/>
    <n v="0"/>
    <n v="0"/>
    <n v="253600"/>
    <n v="48400"/>
    <n v="302000"/>
    <n v="3.8157442420075627E-2"/>
    <n v="0.99970000000000003"/>
    <n v="1.0067999999999999"/>
    <n v="0.99729999999999996"/>
    <n v="1.0157"/>
    <n v="1.0199"/>
    <n v="0.94971499999999998"/>
    <n v="0.98783717894453682"/>
    <n v="253600"/>
    <n v="0"/>
    <n v="253600"/>
    <n v="46000"/>
    <n v="299600"/>
    <n v="0.14234234234234233"/>
    <n v="-0.33236574746008707"/>
    <n v="2.9907184599518737E-2"/>
  </r>
  <r>
    <n v="2025"/>
    <s v="18132333011    "/>
    <n v="-1.5606477482646683"/>
    <n v="0.21"/>
    <m/>
    <s v="6"/>
    <s v="RES"/>
    <x v="0"/>
    <s v="11"/>
    <s v="259"/>
    <s v="RN"/>
    <s v="A"/>
    <s v="AV"/>
    <x v="6"/>
    <n v="62"/>
    <n v="49"/>
    <n v="1962"/>
    <n v="1975"/>
    <n v="1664"/>
    <m/>
    <m/>
    <n v="0"/>
    <m/>
    <m/>
    <n v="1664"/>
    <n v="2000"/>
    <n v="8"/>
    <m/>
    <m/>
    <m/>
    <m/>
    <m/>
    <m/>
    <m/>
    <n v="278030"/>
    <n v="197401"/>
    <n v="0"/>
    <n v="315200"/>
    <n v="60100"/>
    <n v="255100"/>
    <n v="0"/>
    <n v="0"/>
    <n v="89850.625589999996"/>
    <n v="-49401.70477837498"/>
    <n v="21557.329055999999"/>
    <n v="160472.20319"/>
    <n v="-10929.2344245"/>
    <n v="82216.026675328001"/>
    <n v="0"/>
    <n v="0"/>
    <n v="0"/>
    <n v="30336.176841600001"/>
    <n v="0"/>
    <n v="0"/>
    <n v="283700"/>
    <n v="40400"/>
    <n v="324100"/>
    <n v="2.8236040609137057E-2"/>
    <n v="0.99970000000000003"/>
    <n v="1.0067999999999999"/>
    <n v="0.99729999999999996"/>
    <n v="1.0093000000000001"/>
    <n v="1.0199"/>
    <n v="0.94971499999999998"/>
    <n v="0.98161274461821502"/>
    <n v="283700"/>
    <n v="0"/>
    <n v="283700"/>
    <n v="38400"/>
    <n v="322100"/>
    <n v="0.11211289690317522"/>
    <n v="-0.36106489184692181"/>
    <n v="2.1890862944162436E-2"/>
  </r>
  <r>
    <n v="2025"/>
    <s v="18132243014    "/>
    <n v="-1.3093333199837622"/>
    <n v="0.27"/>
    <n v="11636"/>
    <s v="6"/>
    <s v="RES"/>
    <x v="0"/>
    <s v="11"/>
    <s v="259"/>
    <s v="RN"/>
    <s v="A+"/>
    <s v="AV"/>
    <x v="6"/>
    <n v="62"/>
    <n v="49"/>
    <n v="1962"/>
    <n v="1975"/>
    <n v="1272"/>
    <m/>
    <m/>
    <n v="0"/>
    <m/>
    <m/>
    <n v="1272"/>
    <n v="1500"/>
    <n v="7"/>
    <n v="420"/>
    <m/>
    <m/>
    <m/>
    <m/>
    <m/>
    <m/>
    <n v="266854"/>
    <n v="189466"/>
    <n v="25501"/>
    <n v="331800"/>
    <n v="68900"/>
    <n v="262900"/>
    <n v="0"/>
    <n v="0"/>
    <n v="89850.625589999996"/>
    <n v="-41446.443120973789"/>
    <n v="29814.093161000001"/>
    <n v="160472.20319"/>
    <n v="-10929.2344245"/>
    <n v="62847.828083544002"/>
    <n v="0"/>
    <n v="0"/>
    <n v="0"/>
    <n v="26544.1547364"/>
    <n v="0"/>
    <n v="25500"/>
    <n v="268700"/>
    <n v="48400"/>
    <n v="342600"/>
    <n v="3.25497287522604E-2"/>
    <n v="0.99970000000000003"/>
    <n v="1.0088999999999999"/>
    <n v="0.99729999999999996"/>
    <n v="1.0157"/>
    <n v="1.0199"/>
    <n v="0.94971499999999998"/>
    <n v="0.98989762598047604"/>
    <n v="268700"/>
    <n v="24200"/>
    <n v="292900"/>
    <n v="46000"/>
    <n v="338900"/>
    <n v="0.11411182959300115"/>
    <n v="-0.33236574746008707"/>
    <n v="2.1398432790837855E-2"/>
  </r>
  <r>
    <n v="2025"/>
    <s v="18132243400    "/>
    <n v="-1.6607312068216509"/>
    <n v="0.19"/>
    <n v="8263"/>
    <s v="6"/>
    <s v="RES"/>
    <x v="0"/>
    <s v="11"/>
    <s v="259"/>
    <s v="SL"/>
    <s v="A+"/>
    <s v="AV"/>
    <x v="6"/>
    <n v="62"/>
    <n v="49"/>
    <n v="1962"/>
    <n v="1975"/>
    <n v="1296"/>
    <m/>
    <n v="567"/>
    <n v="0"/>
    <n v="567"/>
    <m/>
    <n v="1863"/>
    <n v="2000"/>
    <n v="11"/>
    <m/>
    <n v="351"/>
    <m/>
    <m/>
    <m/>
    <m/>
    <m/>
    <n v="332241"/>
    <n v="235891"/>
    <n v="0"/>
    <n v="330400"/>
    <n v="56600"/>
    <n v="273800"/>
    <n v="0"/>
    <n v="0"/>
    <n v="89850.625589999996"/>
    <n v="-52569.808201026557"/>
    <n v="29814.093161000001"/>
    <n v="160472.20319"/>
    <n v="-10929.2344245"/>
    <n v="64033.636160592003"/>
    <n v="0"/>
    <n v="0"/>
    <n v="16489.434605048998"/>
    <n v="41712.243157199999"/>
    <n v="0"/>
    <n v="0"/>
    <n v="301600"/>
    <n v="37300"/>
    <n v="338900"/>
    <n v="2.5726392251815982E-2"/>
    <n v="0.99970000000000003"/>
    <n v="1.0088999999999999"/>
    <n v="0.99729999999999996"/>
    <n v="1.0093000000000001"/>
    <n v="1.0199"/>
    <n v="0.94971499999999998"/>
    <n v="0.98366020862665582"/>
    <n v="301600"/>
    <n v="0"/>
    <n v="301600"/>
    <n v="35400"/>
    <n v="337000"/>
    <n v="0.10153396639883126"/>
    <n v="-0.37455830388692579"/>
    <n v="1.9975786924939468E-2"/>
  </r>
  <r>
    <n v="2025"/>
    <s v="18132212443    "/>
    <n v="-0.9942522733438669"/>
    <n v="0.37"/>
    <n v="16112"/>
    <s v="6"/>
    <s v="RES"/>
    <x v="0"/>
    <s v="11"/>
    <s v="259"/>
    <s v="RN"/>
    <s v="G"/>
    <s v="AV"/>
    <x v="6"/>
    <n v="62"/>
    <n v="49"/>
    <n v="1962"/>
    <n v="1975"/>
    <n v="2197"/>
    <m/>
    <n v="200"/>
    <n v="200"/>
    <m/>
    <m/>
    <n v="2197"/>
    <n v="2500"/>
    <n v="10"/>
    <n v="580"/>
    <m/>
    <m/>
    <m/>
    <m/>
    <m/>
    <m/>
    <n v="485819"/>
    <n v="344931"/>
    <n v="0"/>
    <n v="393800"/>
    <n v="79900"/>
    <n v="313900"/>
    <n v="0"/>
    <n v="0"/>
    <n v="89850.625589999996"/>
    <n v="-31472.673662315807"/>
    <n v="44121.038090000002"/>
    <n v="160472.20319"/>
    <n v="-10929.2344245"/>
    <n v="108550.84771976901"/>
    <n v="0"/>
    <n v="0"/>
    <n v="5816.3790493999995"/>
    <n v="37920.221052000001"/>
    <n v="0"/>
    <n v="0"/>
    <n v="346000"/>
    <n v="58400"/>
    <n v="404400"/>
    <n v="2.6917216861350939E-2"/>
    <n v="0.99970000000000003"/>
    <n v="0.98050000000000004"/>
    <n v="0.99729999999999996"/>
    <n v="0.98919999999999997"/>
    <n v="1.0199"/>
    <n v="0.94971499999999998"/>
    <n v="0.93693273740181715"/>
    <n v="346000"/>
    <n v="0"/>
    <n v="346000"/>
    <n v="55400"/>
    <n v="401400"/>
    <n v="0.10226186683657215"/>
    <n v="-0.30663329161451813"/>
    <n v="1.9299136617572373E-2"/>
  </r>
  <r>
    <n v="2025"/>
    <s v="18132322406    "/>
    <n v="-1.1711829815029451"/>
    <n v="0.31"/>
    <m/>
    <s v="6"/>
    <s v="RES"/>
    <x v="0"/>
    <s v="11"/>
    <s v="259"/>
    <s v="RN"/>
    <s v="G"/>
    <s v="GD"/>
    <x v="6"/>
    <n v="62"/>
    <n v="49"/>
    <n v="1962"/>
    <n v="1975"/>
    <n v="1938"/>
    <m/>
    <n v="1228"/>
    <n v="0"/>
    <n v="1228"/>
    <m/>
    <n v="3166"/>
    <n v="3500"/>
    <n v="13"/>
    <n v="696"/>
    <m/>
    <m/>
    <m/>
    <m/>
    <m/>
    <m/>
    <n v="604127"/>
    <n v="434971"/>
    <n v="23410"/>
    <n v="475300"/>
    <n v="73700"/>
    <n v="401600"/>
    <n v="0"/>
    <n v="0"/>
    <n v="89850.625589999996"/>
    <n v="-37073.347241874442"/>
    <n v="44121.038090000002"/>
    <n v="197752.34721000001"/>
    <n v="-10929.2344245"/>
    <n v="95754.002221625997"/>
    <n v="0"/>
    <n v="0"/>
    <n v="35712.567363315997"/>
    <n v="49296.287367600002"/>
    <n v="0"/>
    <n v="23400"/>
    <n v="411700"/>
    <n v="52800"/>
    <n v="487900"/>
    <n v="2.6509572901325478E-2"/>
    <n v="0.99970000000000003"/>
    <n v="0.98050000000000004"/>
    <n v="0.99650000000000005"/>
    <n v="1.0126999999999999"/>
    <n v="1.0199"/>
    <n v="0.94971499999999998"/>
    <n v="0.95842161616969979"/>
    <n v="411700"/>
    <n v="22200"/>
    <n v="433900"/>
    <n v="50100"/>
    <n v="484000"/>
    <n v="8.0428286852589639E-2"/>
    <n v="-0.32021709633649931"/>
    <n v="1.8304228908058068E-2"/>
  </r>
  <r>
    <n v="2025"/>
    <s v="18132323414    "/>
    <n v="-1.5606477482646683"/>
    <n v="0.21"/>
    <m/>
    <s v="6"/>
    <s v="RES"/>
    <x v="0"/>
    <s v="11"/>
    <s v="259"/>
    <s v="RN"/>
    <s v="A+"/>
    <s v="AV"/>
    <x v="6"/>
    <n v="62"/>
    <n v="49"/>
    <n v="1962"/>
    <n v="1975"/>
    <n v="1250"/>
    <m/>
    <n v="1250"/>
    <n v="0"/>
    <n v="1250"/>
    <m/>
    <n v="2500"/>
    <n v="3000"/>
    <n v="8"/>
    <m/>
    <m/>
    <n v="132"/>
    <m/>
    <m/>
    <m/>
    <m/>
    <n v="361706"/>
    <n v="256811"/>
    <n v="6750"/>
    <n v="352300"/>
    <n v="60100"/>
    <n v="292200"/>
    <n v="0"/>
    <n v="0"/>
    <n v="89850.625589999996"/>
    <n v="-49401.70477837498"/>
    <n v="29814.093161000001"/>
    <n v="160472.20319"/>
    <n v="-10929.2344245"/>
    <n v="61760.837346250002"/>
    <n v="0"/>
    <n v="0"/>
    <n v="36352.369058749995"/>
    <n v="30336.176841600001"/>
    <n v="4395.0080164320007"/>
    <n v="6800"/>
    <n v="312200"/>
    <n v="40400"/>
    <n v="359400"/>
    <n v="2.0153278455861481E-2"/>
    <n v="0.99970000000000003"/>
    <n v="1.0088999999999999"/>
    <n v="0.99729999999999996"/>
    <n v="0.96179999999999999"/>
    <n v="1.0199"/>
    <n v="0.94971499999999998"/>
    <n v="0.93736687670377261"/>
    <n v="312200"/>
    <n v="6400"/>
    <n v="318600"/>
    <n v="38400"/>
    <n v="357000"/>
    <n v="9.034907597535935E-2"/>
    <n v="-0.36106489184692181"/>
    <n v="1.3340902639795628E-2"/>
  </r>
  <r>
    <n v="2025"/>
    <s v="18132332520    "/>
    <n v="-1.3862943611198906"/>
    <n v="0.25"/>
    <n v="10842"/>
    <s v="6"/>
    <s v="RES"/>
    <x v="0"/>
    <s v="11"/>
    <s v="259"/>
    <s v="RN"/>
    <s v="A"/>
    <s v="AV"/>
    <x v="6"/>
    <n v="62"/>
    <n v="49"/>
    <n v="1962"/>
    <n v="1975"/>
    <n v="1796"/>
    <m/>
    <m/>
    <n v="0"/>
    <m/>
    <m/>
    <n v="1796"/>
    <n v="2000"/>
    <n v="8"/>
    <n v="592"/>
    <m/>
    <m/>
    <m/>
    <m/>
    <m/>
    <m/>
    <n v="311366"/>
    <n v="221070"/>
    <n v="0"/>
    <n v="331500"/>
    <n v="66200"/>
    <n v="265300"/>
    <n v="0"/>
    <n v="0"/>
    <n v="89850.625589999996"/>
    <n v="-43882.615305165229"/>
    <n v="21557.329055999999"/>
    <n v="160472.20319"/>
    <n v="-10929.2344245"/>
    <n v="88737.971099091999"/>
    <n v="0"/>
    <n v="0"/>
    <n v="0"/>
    <n v="30336.176841600001"/>
    <n v="0"/>
    <n v="0"/>
    <n v="290200"/>
    <n v="46000"/>
    <n v="336200"/>
    <n v="1.4177978883861237E-2"/>
    <n v="0.99970000000000003"/>
    <n v="1.0067999999999999"/>
    <n v="0.99729999999999996"/>
    <n v="1.0093000000000001"/>
    <n v="1.0199"/>
    <n v="0.94971499999999998"/>
    <n v="0.98161274461821502"/>
    <n v="290200"/>
    <n v="0"/>
    <n v="290200"/>
    <n v="43700"/>
    <n v="333900"/>
    <n v="9.3856012061816804E-2"/>
    <n v="-0.33987915407854985"/>
    <n v="7.2398190045248872E-3"/>
  </r>
  <r>
    <n v="2025"/>
    <s v="18132241478    "/>
    <n v="-1.6607312068216509"/>
    <n v="0.19"/>
    <n v="8400"/>
    <s v="6"/>
    <s v="RES"/>
    <x v="0"/>
    <s v="11"/>
    <s v="259"/>
    <s v="TD"/>
    <s v="A+"/>
    <s v="AV"/>
    <x v="6"/>
    <n v="62"/>
    <n v="49"/>
    <n v="1962"/>
    <n v="1975"/>
    <n v="1116"/>
    <m/>
    <n v="1131"/>
    <n v="0"/>
    <n v="1131"/>
    <m/>
    <n v="2247"/>
    <n v="2500"/>
    <n v="9"/>
    <n v="713"/>
    <m/>
    <m/>
    <m/>
    <m/>
    <m/>
    <m/>
    <n v="375806"/>
    <n v="266822"/>
    <n v="0"/>
    <n v="336700"/>
    <n v="56600"/>
    <n v="280100"/>
    <n v="0"/>
    <n v="0"/>
    <n v="89850.625589999996"/>
    <n v="-52569.808201026557"/>
    <n v="29814.093161000001"/>
    <n v="160472.20319"/>
    <n v="-10929.2344245"/>
    <n v="55140.075582732003"/>
    <n v="0"/>
    <n v="0"/>
    <n v="32891.623524356997"/>
    <n v="34128.198946800003"/>
    <n v="0"/>
    <n v="0"/>
    <n v="301500"/>
    <n v="37300"/>
    <n v="338800"/>
    <n v="6.2370062370062374E-3"/>
    <n v="0.99970000000000003"/>
    <n v="1.0088999999999999"/>
    <n v="0.99729999999999996"/>
    <n v="0.98919999999999997"/>
    <n v="1.0199"/>
    <n v="0.94971499999999998"/>
    <n v="0.96407081974981479"/>
    <n v="301500"/>
    <n v="0"/>
    <n v="301500"/>
    <n v="35400"/>
    <n v="336900"/>
    <n v="7.6401285255265974E-2"/>
    <n v="-0.37455830388692579"/>
    <n v="5.9400059400059396E-4"/>
  </r>
  <r>
    <n v="2025"/>
    <s v="18132212025    "/>
    <n v="-1.3862943611198906"/>
    <n v="0.25"/>
    <n v="10744"/>
    <s v="6"/>
    <s v="RES"/>
    <x v="0"/>
    <s v="11"/>
    <s v="259"/>
    <s v="RN"/>
    <s v="G+"/>
    <s v="GD"/>
    <x v="6"/>
    <n v="62"/>
    <n v="49"/>
    <n v="1962"/>
    <n v="1975"/>
    <n v="2400"/>
    <m/>
    <m/>
    <n v="0"/>
    <m/>
    <m/>
    <n v="2400"/>
    <n v="2500"/>
    <n v="10"/>
    <n v="504"/>
    <m/>
    <m/>
    <m/>
    <m/>
    <m/>
    <m/>
    <n v="540098"/>
    <n v="399673"/>
    <n v="22122"/>
    <n v="487000"/>
    <n v="66200"/>
    <n v="420800"/>
    <n v="0"/>
    <n v="0"/>
    <n v="89850.625589999996"/>
    <n v="-43882.615305165229"/>
    <n v="74268.409664999999"/>
    <n v="197752.34721000001"/>
    <n v="-10929.2344245"/>
    <n v="118580.8077048"/>
    <n v="0"/>
    <n v="0"/>
    <n v="0"/>
    <n v="37920.221052000001"/>
    <n v="0"/>
    <n v="22100"/>
    <n v="417600"/>
    <n v="46000"/>
    <n v="485700"/>
    <n v="-2.6694045174537988E-3"/>
    <n v="0.99970000000000003"/>
    <n v="0.98380000000000001"/>
    <n v="0.99650000000000005"/>
    <n v="0.98919999999999997"/>
    <n v="1.0199"/>
    <n v="0.94971499999999998"/>
    <n v="0.93933200115703741"/>
    <n v="417600"/>
    <n v="21000"/>
    <n v="438600"/>
    <n v="43700"/>
    <n v="482300"/>
    <n v="4.2300380228136883E-2"/>
    <n v="-0.33987915407854985"/>
    <n v="-9.6509240246406575E-3"/>
  </r>
  <r>
    <n v="2025"/>
    <s v="18132241017    "/>
    <n v="-1.5141277326297755"/>
    <n v="0.22"/>
    <n v="9460"/>
    <s v="6"/>
    <s v="RES"/>
    <x v="0"/>
    <s v="11"/>
    <s v="259"/>
    <s v="RN"/>
    <s v="A+"/>
    <s v="AV"/>
    <x v="6"/>
    <n v="62"/>
    <n v="49"/>
    <n v="1962"/>
    <n v="1975"/>
    <n v="1310"/>
    <m/>
    <n v="1310"/>
    <n v="0"/>
    <n v="1310"/>
    <m/>
    <n v="2620"/>
    <n v="3000"/>
    <n v="8"/>
    <m/>
    <m/>
    <m/>
    <m/>
    <m/>
    <m/>
    <m/>
    <n v="382515"/>
    <n v="271586"/>
    <n v="0"/>
    <n v="356600"/>
    <n v="61700"/>
    <n v="294900"/>
    <n v="0"/>
    <n v="0"/>
    <n v="89850.625589999996"/>
    <n v="-47929.131559187132"/>
    <n v="29814.093161000001"/>
    <n v="160472.20319"/>
    <n v="-10929.2344245"/>
    <n v="64725.357538870005"/>
    <n v="0"/>
    <n v="0"/>
    <n v="38097.282773569998"/>
    <n v="30336.176841600001"/>
    <n v="0"/>
    <n v="0"/>
    <n v="312500"/>
    <n v="41900"/>
    <n v="354400"/>
    <n v="-6.1693774537296695E-3"/>
    <n v="0.99970000000000003"/>
    <n v="1.0088999999999999"/>
    <n v="0.99729999999999996"/>
    <n v="0.96179999999999999"/>
    <n v="1.0199"/>
    <n v="0.94971499999999998"/>
    <n v="0.93736687670377261"/>
    <n v="312500"/>
    <n v="0"/>
    <n v="312500"/>
    <n v="39800"/>
    <n v="352300"/>
    <n v="5.9681247880637507E-2"/>
    <n v="-0.35494327390599678"/>
    <n v="-1.2058328659562535E-2"/>
  </r>
  <r>
    <n v="2025"/>
    <s v="18132212480    "/>
    <n v="-1.1711829815029451"/>
    <n v="0.31"/>
    <n v="13663"/>
    <s v="6"/>
    <s v="RES"/>
    <x v="0"/>
    <s v="11"/>
    <s v="259"/>
    <s v="RN"/>
    <s v="G+"/>
    <s v="FR"/>
    <x v="6"/>
    <n v="62"/>
    <n v="49"/>
    <n v="1962"/>
    <n v="1975"/>
    <n v="1610"/>
    <m/>
    <n v="800"/>
    <n v="561"/>
    <n v="239"/>
    <m/>
    <n v="1849"/>
    <n v="2000"/>
    <n v="7"/>
    <n v="575"/>
    <m/>
    <m/>
    <m/>
    <m/>
    <m/>
    <m/>
    <n v="510566"/>
    <n v="367608"/>
    <n v="0"/>
    <n v="386100"/>
    <n v="73700"/>
    <n v="312400"/>
    <n v="0"/>
    <n v="0"/>
    <n v="89850.625589999996"/>
    <n v="-37073.347241874442"/>
    <n v="74268.409664999999"/>
    <n v="133714.53821"/>
    <n v="-10929.2344245"/>
    <n v="79547.958501970003"/>
    <n v="0"/>
    <n v="0"/>
    <n v="23265.516197599998"/>
    <n v="26544.1547364"/>
    <n v="0"/>
    <n v="0"/>
    <n v="326400"/>
    <n v="52800"/>
    <n v="379200"/>
    <n v="-1.7871017871017872E-2"/>
    <n v="0.99970000000000003"/>
    <n v="0.98380000000000001"/>
    <n v="0.99329999999999996"/>
    <n v="1.0093000000000001"/>
    <n v="1.0199"/>
    <n v="0.94971499999999998"/>
    <n v="0.95534099897868752"/>
    <n v="326400"/>
    <n v="0"/>
    <n v="326400"/>
    <n v="50100"/>
    <n v="376500"/>
    <n v="4.4814340588988477E-2"/>
    <n v="-0.32021709633649931"/>
    <n v="-2.4864024864024864E-2"/>
  </r>
  <r>
    <n v="2025"/>
    <s v="18132212462    "/>
    <n v="-0.89159811928378363"/>
    <n v="0.41"/>
    <n v="17948"/>
    <s v="6"/>
    <s v="RES"/>
    <x v="0"/>
    <s v="11"/>
    <s v="259"/>
    <s v="RN"/>
    <s v="V"/>
    <s v="GD"/>
    <x v="6"/>
    <n v="62"/>
    <n v="49"/>
    <n v="1962"/>
    <n v="1975"/>
    <n v="2358"/>
    <m/>
    <n v="1793"/>
    <n v="0"/>
    <n v="1793"/>
    <m/>
    <n v="4151"/>
    <n v="4500"/>
    <n v="12"/>
    <n v="1008"/>
    <m/>
    <m/>
    <m/>
    <m/>
    <m/>
    <m/>
    <n v="892383"/>
    <n v="669287"/>
    <n v="0"/>
    <n v="645700"/>
    <n v="83400"/>
    <n v="562300"/>
    <n v="0"/>
    <n v="0"/>
    <n v="89850.625589999996"/>
    <n v="-28223.195861326454"/>
    <n v="163885.03753"/>
    <n v="197752.34721000001"/>
    <n v="-10929.2344245"/>
    <n v="116505.64356996601"/>
    <n v="0"/>
    <n v="0"/>
    <n v="52143.838177870995"/>
    <n v="45504.265262400004"/>
    <n v="0"/>
    <n v="0"/>
    <n v="564900"/>
    <n v="61600"/>
    <n v="626500"/>
    <n v="-2.9735171132104693E-2"/>
    <n v="0.99970000000000003"/>
    <n v="1"/>
    <n v="0.99650000000000005"/>
    <n v="1"/>
    <n v="1.0199"/>
    <n v="0.94971499999999998"/>
    <n v="0.96522417835024987"/>
    <n v="564900"/>
    <n v="0"/>
    <n v="564900"/>
    <n v="58500"/>
    <n v="623400"/>
    <n v="4.6238662635603774E-3"/>
    <n v="-0.29856115107913667"/>
    <n v="-3.4536162304475759E-2"/>
  </r>
  <r>
    <n v="2025"/>
    <s v="18132212440    "/>
    <n v="-1.1394342831883648"/>
    <n v="0.32"/>
    <n v="14098"/>
    <s v="6"/>
    <s v="RES"/>
    <x v="0"/>
    <s v="11"/>
    <s v="259"/>
    <s v="RN"/>
    <s v="G+"/>
    <s v="GD"/>
    <x v="6"/>
    <n v="62"/>
    <n v="49"/>
    <n v="1962"/>
    <n v="1975"/>
    <n v="1726"/>
    <m/>
    <n v="1641"/>
    <n v="105"/>
    <n v="1536"/>
    <m/>
    <n v="3262"/>
    <n v="3500"/>
    <n v="10"/>
    <n v="500"/>
    <m/>
    <m/>
    <m/>
    <m/>
    <m/>
    <m/>
    <n v="614662"/>
    <n v="454850"/>
    <n v="0"/>
    <n v="500600"/>
    <n v="74800"/>
    <n v="425800"/>
    <n v="0"/>
    <n v="0"/>
    <n v="89850.625589999996"/>
    <n v="-36068.354396449467"/>
    <n v="74268.409664999999"/>
    <n v="197752.34721000001"/>
    <n v="-10929.2344245"/>
    <n v="85279.364207702005"/>
    <n v="0"/>
    <n v="0"/>
    <n v="47723.390100327"/>
    <n v="37920.221052000001"/>
    <n v="0"/>
    <n v="0"/>
    <n v="432000"/>
    <n v="53800"/>
    <n v="485800"/>
    <n v="-2.9564522572912505E-2"/>
    <n v="0.99970000000000003"/>
    <n v="0.98380000000000001"/>
    <n v="0.99650000000000005"/>
    <n v="1.0126999999999999"/>
    <n v="1.0199"/>
    <n v="0.94971499999999998"/>
    <n v="0.96164730850357028"/>
    <n v="432000"/>
    <n v="0"/>
    <n v="432000"/>
    <n v="51100"/>
    <n v="483100"/>
    <n v="1.4560826679192109E-2"/>
    <n v="-0.31684491978609625"/>
    <n v="-3.495805033959249E-2"/>
  </r>
  <r>
    <n v="2025"/>
    <s v="18132212430    "/>
    <n v="-0.9942522733438669"/>
    <n v="0.37"/>
    <n v="16006"/>
    <s v="6"/>
    <s v="RES"/>
    <x v="0"/>
    <s v="11"/>
    <s v="259"/>
    <s v="RN"/>
    <s v="G+"/>
    <s v="AV"/>
    <x v="6"/>
    <n v="62"/>
    <n v="49"/>
    <n v="1962"/>
    <n v="1975"/>
    <n v="2187"/>
    <m/>
    <n v="2187"/>
    <n v="660"/>
    <n v="1527"/>
    <m/>
    <n v="3714"/>
    <n v="4000"/>
    <n v="13"/>
    <n v="506"/>
    <m/>
    <n v="450"/>
    <m/>
    <m/>
    <m/>
    <m/>
    <n v="796478"/>
    <n v="581429"/>
    <n v="0"/>
    <n v="535400"/>
    <n v="79900"/>
    <n v="455500"/>
    <n v="0"/>
    <n v="0"/>
    <n v="89850.625589999996"/>
    <n v="-31472.673662315807"/>
    <n v="74268.409664999999"/>
    <n v="160472.20319"/>
    <n v="-10929.2344245"/>
    <n v="108056.76102099901"/>
    <n v="0"/>
    <n v="0"/>
    <n v="63602.104905188993"/>
    <n v="49296.287367600002"/>
    <n v="14982.981874200001"/>
    <n v="0"/>
    <n v="459700"/>
    <n v="58400"/>
    <n v="518100"/>
    <n v="-3.2312289876727678E-2"/>
    <n v="0.99970000000000003"/>
    <n v="0.98380000000000001"/>
    <n v="0.99729999999999996"/>
    <n v="0.94579999999999997"/>
    <n v="1.0199"/>
    <n v="0.94971499999999998"/>
    <n v="0.89884092112146985"/>
    <n v="459700"/>
    <n v="0"/>
    <n v="459700"/>
    <n v="55400"/>
    <n v="515100"/>
    <n v="9.2206366630076843E-3"/>
    <n v="-0.30663329161451813"/>
    <n v="-3.7915577138587973E-2"/>
  </r>
  <r>
    <n v="2025"/>
    <s v="18132212454    "/>
    <n v="-2.120263536200091"/>
    <n v="0.12"/>
    <n v="5153"/>
    <s v="2"/>
    <s v="COM"/>
    <x v="0"/>
    <s v="11"/>
    <s v="102"/>
    <s v="PE"/>
    <s v="A+"/>
    <s v="GD"/>
    <x v="6"/>
    <n v="63"/>
    <n v="49"/>
    <n v="1961"/>
    <n v="1975"/>
    <n v="1008"/>
    <m/>
    <m/>
    <n v="0"/>
    <m/>
    <m/>
    <n v="1008"/>
    <n v="1500"/>
    <n v="5"/>
    <n v="336"/>
    <m/>
    <m/>
    <m/>
    <m/>
    <m/>
    <m/>
    <n v="219817"/>
    <n v="158268"/>
    <n v="0"/>
    <n v="209300"/>
    <n v="52700"/>
    <n v="156600"/>
    <n v="0"/>
    <n v="0"/>
    <n v="89850.625589999996"/>
    <n v="-67116.12750806773"/>
    <n v="29814.093161000001"/>
    <n v="197752.34721000001"/>
    <n v="-10929.2344245"/>
    <n v="49803.939236015998"/>
    <n v="0"/>
    <n v="0"/>
    <n v="0"/>
    <n v="18960.110526"/>
    <n v="0"/>
    <n v="0"/>
    <n v="285400"/>
    <n v="22700"/>
    <n v="308100"/>
    <n v="0.47204968944099379"/>
    <n v="0.99970000000000003"/>
    <n v="1.0088999999999999"/>
    <n v="0.99650000000000005"/>
    <n v="1.0157"/>
    <n v="1.0199"/>
    <n v="0.94971499999999998"/>
    <n v="0.98910356391210685"/>
    <n v="285400"/>
    <n v="0"/>
    <n v="285400"/>
    <n v="21600"/>
    <n v="307000"/>
    <n v="0.82247765006385698"/>
    <n v="-0.59013282732447814"/>
    <n v="0.46679407548972768"/>
  </r>
  <r>
    <n v="2025"/>
    <s v="18132212476    "/>
    <n v="-2.0402208285265546"/>
    <n v="0.13"/>
    <n v="5714"/>
    <s v="2"/>
    <s v="COM"/>
    <x v="0"/>
    <s v="11"/>
    <s v="102"/>
    <s v="PE"/>
    <s v="A+"/>
    <s v="GD"/>
    <x v="6"/>
    <n v="63"/>
    <n v="49"/>
    <n v="1961"/>
    <n v="1975"/>
    <n v="1064"/>
    <m/>
    <m/>
    <n v="0"/>
    <m/>
    <m/>
    <n v="1064"/>
    <n v="1500"/>
    <n v="5"/>
    <n v="336"/>
    <m/>
    <n v="50"/>
    <m/>
    <m/>
    <m/>
    <m/>
    <n v="232019"/>
    <n v="167054"/>
    <n v="0"/>
    <n v="218950"/>
    <n v="53750"/>
    <n v="165200"/>
    <n v="0"/>
    <n v="0"/>
    <n v="89850.625589999996"/>
    <n v="-64582.406353792743"/>
    <n v="29814.093161000001"/>
    <n v="197752.34721000001"/>
    <n v="-10929.2344245"/>
    <n v="52570.824749127998"/>
    <n v="0"/>
    <n v="0"/>
    <n v="0"/>
    <n v="18960.110526"/>
    <n v="1664.7757638000003"/>
    <n v="0"/>
    <n v="289800"/>
    <n v="25300"/>
    <n v="315100"/>
    <n v="0.43914135647408081"/>
    <n v="0.99970000000000003"/>
    <n v="1.0088999999999999"/>
    <n v="0.99650000000000005"/>
    <n v="1.0157"/>
    <n v="1.0199"/>
    <n v="0.94971499999999998"/>
    <n v="0.98910356391210685"/>
    <n v="289800"/>
    <n v="0"/>
    <n v="289800"/>
    <n v="24000"/>
    <n v="313800"/>
    <n v="0.75423728813559321"/>
    <n v="-0.55348837209302326"/>
    <n v="0.4332039278374058"/>
  </r>
  <r>
    <n v="2025"/>
    <s v="18132212453    "/>
    <n v="-2.8134107167600364"/>
    <n v="0.06"/>
    <n v="4031"/>
    <s v="2"/>
    <s v="COM"/>
    <x v="0"/>
    <s v="11"/>
    <s v="102"/>
    <s v="PE"/>
    <s v="A+"/>
    <s v="GD"/>
    <x v="6"/>
    <n v="63"/>
    <n v="49"/>
    <n v="1961"/>
    <n v="1975"/>
    <n v="1008"/>
    <m/>
    <m/>
    <n v="0"/>
    <m/>
    <m/>
    <n v="1008"/>
    <n v="1500"/>
    <n v="5"/>
    <n v="336"/>
    <m/>
    <m/>
    <m/>
    <m/>
    <m/>
    <m/>
    <n v="221057"/>
    <n v="159161"/>
    <n v="0"/>
    <n v="207550"/>
    <n v="50150"/>
    <n v="157400"/>
    <n v="0"/>
    <n v="0"/>
    <n v="89850.625589999996"/>
    <n v="-89057.435160650348"/>
    <n v="29814.093161000001"/>
    <n v="197752.34721000001"/>
    <n v="-10929.2344245"/>
    <n v="49803.939236015998"/>
    <n v="0"/>
    <n v="0"/>
    <n v="0"/>
    <n v="18960.110526"/>
    <n v="0"/>
    <n v="0"/>
    <n v="285400"/>
    <n v="800"/>
    <n v="286200"/>
    <n v="0.37894483257046496"/>
    <n v="0.99970000000000003"/>
    <n v="1.0088999999999999"/>
    <n v="0.99650000000000005"/>
    <n v="1.0157"/>
    <n v="1.0199"/>
    <n v="0.94971499999999998"/>
    <n v="0.98910356391210685"/>
    <n v="285400"/>
    <n v="0"/>
    <n v="285400"/>
    <n v="800"/>
    <n v="286200"/>
    <n v="0.81321473951715373"/>
    <n v="-0.98404785643070791"/>
    <n v="0.37894483257046496"/>
  </r>
  <r>
    <n v="2025"/>
    <s v="18132244416    "/>
    <n v="-1.7147984280919266"/>
    <n v="0.18"/>
    <n v="7800"/>
    <s v="6"/>
    <s v="RES"/>
    <x v="0"/>
    <s v="11"/>
    <s v="259"/>
    <s v="RN"/>
    <s v="A"/>
    <s v="VG"/>
    <x v="6"/>
    <n v="63"/>
    <n v="49"/>
    <n v="1961"/>
    <n v="1975"/>
    <n v="1324"/>
    <m/>
    <m/>
    <n v="0"/>
    <m/>
    <m/>
    <n v="1324"/>
    <n v="1500"/>
    <n v="8"/>
    <n v="336"/>
    <m/>
    <m/>
    <m/>
    <m/>
    <m/>
    <m/>
    <n v="247872"/>
    <n v="183425"/>
    <n v="0"/>
    <n v="355200"/>
    <n v="54700"/>
    <n v="300500"/>
    <n v="0"/>
    <n v="0"/>
    <n v="89850.625589999996"/>
    <n v="-54281.285314520763"/>
    <n v="21557.329055999999"/>
    <n v="284810.60806"/>
    <n v="-10929.2344245"/>
    <n v="65417.078917147999"/>
    <n v="0"/>
    <n v="0"/>
    <n v="0"/>
    <n v="30336.176841600001"/>
    <n v="0"/>
    <n v="0"/>
    <n v="391200"/>
    <n v="35600"/>
    <n v="426800"/>
    <n v="0.20157657657657657"/>
    <n v="0.99970000000000003"/>
    <n v="1.0067999999999999"/>
    <n v="1.0158"/>
    <n v="1.0157"/>
    <n v="1.0199"/>
    <n v="0.94971499999999998"/>
    <n v="1.0061616428074407"/>
    <n v="391200"/>
    <n v="0"/>
    <n v="391200"/>
    <n v="33800"/>
    <n v="425000"/>
    <n v="0.30183028286189684"/>
    <n v="-0.38208409506398539"/>
    <n v="0.196509009009009"/>
  </r>
  <r>
    <n v="2025"/>
    <s v="18132323463    "/>
    <n v="-1.8971199848858813"/>
    <n v="0.15"/>
    <m/>
    <s v="6"/>
    <s v="RES"/>
    <x v="0"/>
    <s v="11"/>
    <s v="259"/>
    <s v="SL"/>
    <s v="A+"/>
    <s v="AV"/>
    <x v="6"/>
    <n v="63"/>
    <n v="49"/>
    <n v="1961"/>
    <n v="1975"/>
    <n v="1260"/>
    <m/>
    <n v="672"/>
    <n v="0"/>
    <n v="672"/>
    <m/>
    <n v="1932"/>
    <n v="2000"/>
    <n v="8"/>
    <n v="480"/>
    <m/>
    <n v="208"/>
    <m/>
    <m/>
    <m/>
    <m/>
    <n v="355461"/>
    <n v="252377"/>
    <n v="0"/>
    <n v="312300"/>
    <n v="48400"/>
    <n v="263900"/>
    <n v="0"/>
    <n v="0"/>
    <n v="89850.625589999996"/>
    <n v="-60052.604136134301"/>
    <n v="29814.093161000001"/>
    <n v="160472.20319"/>
    <n v="-10929.2344245"/>
    <n v="62254.924045020001"/>
    <n v="0"/>
    <n v="0"/>
    <n v="19543.033605983997"/>
    <n v="30336.176841600001"/>
    <n v="6925.4671774080007"/>
    <n v="0"/>
    <n v="298400"/>
    <n v="29800"/>
    <n v="328200"/>
    <n v="5.0912584053794431E-2"/>
    <n v="0.99970000000000003"/>
    <n v="1.0088999999999999"/>
    <n v="0.99729999999999996"/>
    <n v="1.0093000000000001"/>
    <n v="1.0199"/>
    <n v="0.94971499999999998"/>
    <n v="0.98366020862665582"/>
    <n v="298400"/>
    <n v="0"/>
    <n v="298400"/>
    <n v="28300"/>
    <n v="326700"/>
    <n v="0.13073133762788935"/>
    <n v="-0.41528925619834711"/>
    <n v="4.6109510086455328E-2"/>
  </r>
  <r>
    <n v="2025"/>
    <s v="18132241484    "/>
    <n v="-1.4271163556401458"/>
    <n v="0.24"/>
    <n v="10529"/>
    <s v="6"/>
    <s v="RES"/>
    <x v="0"/>
    <s v="11"/>
    <s v="259"/>
    <s v="RN"/>
    <s v="G"/>
    <s v="GD"/>
    <x v="6"/>
    <n v="63"/>
    <n v="49"/>
    <n v="1961"/>
    <n v="1975"/>
    <n v="1200"/>
    <m/>
    <m/>
    <n v="0"/>
    <m/>
    <m/>
    <n v="1200"/>
    <n v="1500"/>
    <n v="7"/>
    <m/>
    <m/>
    <m/>
    <m/>
    <m/>
    <m/>
    <m/>
    <n v="346888"/>
    <n v="249759"/>
    <n v="0"/>
    <n v="344000"/>
    <n v="64800"/>
    <n v="279200"/>
    <n v="0"/>
    <n v="0"/>
    <n v="89850.625589999996"/>
    <n v="-45174.819855485119"/>
    <n v="44121.038090000002"/>
    <n v="197752.34721000001"/>
    <n v="-10929.2344245"/>
    <n v="59290.403852399999"/>
    <n v="0"/>
    <n v="0"/>
    <n v="0"/>
    <n v="26544.1547364"/>
    <n v="0"/>
    <n v="0"/>
    <n v="316800"/>
    <n v="44700"/>
    <n v="361500"/>
    <n v="5.0872093023255814E-2"/>
    <n v="0.99970000000000003"/>
    <n v="0.98050000000000004"/>
    <n v="0.99650000000000005"/>
    <n v="1.0157"/>
    <n v="1.0199"/>
    <n v="0.94971499999999998"/>
    <n v="0.96126082309031724"/>
    <n v="316800"/>
    <n v="0"/>
    <n v="316800"/>
    <n v="42400"/>
    <n v="359200"/>
    <n v="0.1346704871060172"/>
    <n v="-0.34567901234567899"/>
    <n v="4.4186046511627906E-2"/>
  </r>
  <r>
    <n v="2025"/>
    <s v="18132322444    "/>
    <n v="-1.7719568419318752"/>
    <n v="0.17"/>
    <m/>
    <s v="6"/>
    <s v="RES"/>
    <x v="0"/>
    <s v="11"/>
    <s v="259"/>
    <s v="RN"/>
    <s v="A"/>
    <s v="FR"/>
    <x v="6"/>
    <n v="63"/>
    <n v="49"/>
    <n v="1961"/>
    <n v="1975"/>
    <n v="1156"/>
    <m/>
    <n v="1056"/>
    <n v="556"/>
    <n v="500"/>
    <m/>
    <n v="1656"/>
    <n v="2000"/>
    <n v="5"/>
    <n v="288"/>
    <m/>
    <n v="95"/>
    <m/>
    <m/>
    <m/>
    <m/>
    <n v="265191"/>
    <n v="185634"/>
    <n v="0"/>
    <n v="287600"/>
    <n v="52700"/>
    <n v="234900"/>
    <n v="0"/>
    <n v="0"/>
    <n v="89850.625589999996"/>
    <n v="-56090.612940989391"/>
    <n v="21557.329055999999"/>
    <n v="133714.53821"/>
    <n v="-10929.2344245"/>
    <n v="57116.422377811999"/>
    <n v="0"/>
    <n v="0"/>
    <n v="30710.481380832"/>
    <n v="18960.110526"/>
    <n v="3163.0739512200003"/>
    <n v="0"/>
    <n v="254300"/>
    <n v="33800"/>
    <n v="288100"/>
    <n v="1.7385257301808068E-3"/>
    <n v="0.99970000000000003"/>
    <n v="1.0067999999999999"/>
    <n v="0.99329999999999996"/>
    <n v="1.0093000000000001"/>
    <n v="1.0199"/>
    <n v="0.94971499999999998"/>
    <n v="0.97767566352077906"/>
    <n v="254300"/>
    <n v="0"/>
    <n v="254300"/>
    <n v="32100"/>
    <n v="286400"/>
    <n v="8.2588335461898685E-2"/>
    <n v="-0.39089184060721061"/>
    <n v="-4.172461752433936E-3"/>
  </r>
  <r>
    <n v="2025"/>
    <s v="18132322443    "/>
    <n v="-1.7719568419318752"/>
    <n v="0.17"/>
    <m/>
    <s v="6"/>
    <s v="RES"/>
    <x v="0"/>
    <s v="11"/>
    <s v="259"/>
    <s v="RN"/>
    <s v="A+"/>
    <s v="AV"/>
    <x v="6"/>
    <n v="63"/>
    <n v="49"/>
    <n v="1961"/>
    <n v="1975"/>
    <n v="1453"/>
    <m/>
    <n v="1153"/>
    <n v="0"/>
    <n v="1153"/>
    <m/>
    <n v="2606"/>
    <n v="3000"/>
    <n v="10"/>
    <m/>
    <m/>
    <m/>
    <m/>
    <m/>
    <m/>
    <m/>
    <n v="377451"/>
    <n v="267990"/>
    <n v="0"/>
    <n v="357300"/>
    <n v="52700"/>
    <n v="304600"/>
    <n v="0"/>
    <n v="0"/>
    <n v="89850.625589999996"/>
    <n v="-56090.612940989391"/>
    <n v="29814.093161000001"/>
    <n v="160472.20319"/>
    <n v="-10929.2344245"/>
    <n v="71790.797331281006"/>
    <n v="0"/>
    <n v="0"/>
    <n v="33531.425219790995"/>
    <n v="37920.221052000001"/>
    <n v="0"/>
    <n v="0"/>
    <n v="322600"/>
    <n v="33800"/>
    <n v="356400"/>
    <n v="-2.5188916876574307E-3"/>
    <n v="0.99970000000000003"/>
    <n v="1.0088999999999999"/>
    <n v="0.99729999999999996"/>
    <n v="0.96179999999999999"/>
    <n v="1.0199"/>
    <n v="0.94971499999999998"/>
    <n v="0.93736687670377261"/>
    <n v="322600"/>
    <n v="0"/>
    <n v="322600"/>
    <n v="32100"/>
    <n v="354700"/>
    <n v="5.9093893630991462E-2"/>
    <n v="-0.39089184060721061"/>
    <n v="-7.2767982087881336E-3"/>
  </r>
  <r>
    <n v="2025"/>
    <s v="18132212441    "/>
    <n v="-1.0788096613719298"/>
    <n v="0.34"/>
    <n v="14720"/>
    <s v="6"/>
    <s v="RES"/>
    <x v="0"/>
    <s v="11"/>
    <s v="259"/>
    <s v="RN"/>
    <s v="G+"/>
    <s v="GD"/>
    <x v="6"/>
    <n v="63"/>
    <n v="49"/>
    <n v="1961"/>
    <n v="1975"/>
    <n v="1870"/>
    <m/>
    <n v="758"/>
    <n v="258"/>
    <n v="500"/>
    <m/>
    <n v="2370"/>
    <n v="2500"/>
    <n v="10"/>
    <n v="494"/>
    <m/>
    <m/>
    <m/>
    <m/>
    <m/>
    <m/>
    <n v="558810"/>
    <n v="413519"/>
    <n v="0"/>
    <n v="474000"/>
    <n v="76900"/>
    <n v="397100"/>
    <n v="0"/>
    <n v="0"/>
    <n v="89850.625589999996"/>
    <n v="-34149.305288406773"/>
    <n v="74268.409664999999"/>
    <n v="197752.34721000001"/>
    <n v="-10929.2344245"/>
    <n v="92394.212669989996"/>
    <n v="0"/>
    <n v="0"/>
    <n v="22044.076597225998"/>
    <n v="37920.221052000001"/>
    <n v="0"/>
    <n v="0"/>
    <n v="413500"/>
    <n v="55700"/>
    <n v="469200"/>
    <n v="-1.0126582278481013E-2"/>
    <n v="0.99970000000000003"/>
    <n v="0.98380000000000001"/>
    <n v="0.99650000000000005"/>
    <n v="0.98919999999999997"/>
    <n v="1.0199"/>
    <n v="0.94971499999999998"/>
    <n v="0.93933200115703741"/>
    <n v="413500"/>
    <n v="0"/>
    <n v="413500"/>
    <n v="52900"/>
    <n v="466400"/>
    <n v="4.1299420800805842E-2"/>
    <n v="-0.31209362808842656"/>
    <n v="-1.6033755274261603E-2"/>
  </r>
  <r>
    <n v="2025"/>
    <s v="18132242470    "/>
    <n v="-1.2729656758128873"/>
    <n v="0.28000000000000003"/>
    <n v="12070"/>
    <s v="6"/>
    <s v="RES"/>
    <x v="0"/>
    <s v="11"/>
    <s v="259"/>
    <s v="RN"/>
    <s v="A+"/>
    <s v="VG"/>
    <x v="6"/>
    <n v="64"/>
    <n v="49"/>
    <n v="1960"/>
    <n v="1975"/>
    <n v="1537"/>
    <m/>
    <m/>
    <n v="0"/>
    <m/>
    <m/>
    <n v="1537"/>
    <n v="2000"/>
    <n v="8"/>
    <n v="520"/>
    <m/>
    <m/>
    <m/>
    <m/>
    <m/>
    <m/>
    <n v="329177"/>
    <n v="243591"/>
    <n v="0"/>
    <n v="378900"/>
    <n v="70100"/>
    <n v="308800"/>
    <n v="0"/>
    <n v="0"/>
    <n v="89850.625589999996"/>
    <n v="-40295.239319339329"/>
    <n v="29814.093161000001"/>
    <n v="284810.60806"/>
    <n v="-10929.2344245"/>
    <n v="75941.125600949003"/>
    <n v="0"/>
    <n v="0"/>
    <n v="0"/>
    <n v="30336.176841600001"/>
    <n v="0"/>
    <n v="0"/>
    <n v="410000"/>
    <n v="49600"/>
    <n v="459600"/>
    <n v="0.21298495645288995"/>
    <n v="0.99970000000000003"/>
    <n v="1.0088999999999999"/>
    <n v="1.0158"/>
    <n v="1.0093000000000001"/>
    <n v="1.0199"/>
    <n v="0.94971499999999998"/>
    <n v="1.0019071893341593"/>
    <n v="410000"/>
    <n v="0"/>
    <n v="410000"/>
    <n v="47100"/>
    <n v="457100"/>
    <n v="0.32772020725388601"/>
    <n v="-0.32810271041369471"/>
    <n v="0.20638690947479546"/>
  </r>
  <r>
    <n v="2025"/>
    <s v="18132213459    "/>
    <n v="-3.2188758248682006"/>
    <n v="0.04"/>
    <n v="1344"/>
    <s v="6"/>
    <s v="CON"/>
    <x v="0"/>
    <s v="11"/>
    <s v="262"/>
    <s v="CE"/>
    <s v="A+"/>
    <s v="AV"/>
    <x v="6"/>
    <n v="64"/>
    <n v="49"/>
    <n v="1960"/>
    <n v="1975"/>
    <n v="1008"/>
    <m/>
    <m/>
    <n v="0"/>
    <m/>
    <m/>
    <n v="1008"/>
    <n v="1500"/>
    <n v="5"/>
    <n v="336"/>
    <m/>
    <m/>
    <m/>
    <m/>
    <m/>
    <m/>
    <n v="219068"/>
    <n v="155538"/>
    <n v="0"/>
    <n v="209000"/>
    <n v="31400"/>
    <n v="177600"/>
    <n v="0"/>
    <n v="0"/>
    <n v="89850.625589999996"/>
    <n v="-101892.2773541973"/>
    <n v="29814.093161000001"/>
    <n v="160472.20319"/>
    <n v="-10929.2344245"/>
    <n v="49803.939236015998"/>
    <n v="0"/>
    <n v="0"/>
    <n v="0"/>
    <n v="18960.110526"/>
    <n v="0"/>
    <n v="0"/>
    <n v="248100"/>
    <n v="-12000"/>
    <n v="236100"/>
    <n v="0.12966507177033493"/>
    <n v="0.99970000000000003"/>
    <n v="1.0088999999999999"/>
    <n v="0.99729999999999996"/>
    <n v="1.0157"/>
    <n v="1.0199"/>
    <n v="0.94971499999999998"/>
    <n v="0.98989762598047604"/>
    <n v="248100"/>
    <n v="0"/>
    <n v="248100"/>
    <n v="-11400"/>
    <n v="236700"/>
    <n v="0.39695945945945948"/>
    <n v="-1.3630573248407643"/>
    <n v="0.13253588516746412"/>
  </r>
  <r>
    <n v="2025"/>
    <s v="18132213460    "/>
    <n v="-3.2188758248682006"/>
    <n v="0.04"/>
    <n v="1344"/>
    <s v="6"/>
    <s v="CON"/>
    <x v="0"/>
    <s v="11"/>
    <s v="262"/>
    <s v="CE"/>
    <s v="A+"/>
    <s v="AV"/>
    <x v="6"/>
    <n v="64"/>
    <n v="49"/>
    <n v="1960"/>
    <n v="1975"/>
    <n v="1008"/>
    <m/>
    <m/>
    <n v="0"/>
    <m/>
    <m/>
    <n v="1008"/>
    <n v="1500"/>
    <n v="5"/>
    <n v="336"/>
    <m/>
    <m/>
    <m/>
    <m/>
    <m/>
    <m/>
    <n v="219068"/>
    <n v="155538"/>
    <n v="0"/>
    <n v="209000"/>
    <n v="31400"/>
    <n v="177600"/>
    <n v="0"/>
    <n v="0"/>
    <n v="89850.625589999996"/>
    <n v="-101892.2773541973"/>
    <n v="29814.093161000001"/>
    <n v="160472.20319"/>
    <n v="-10929.2344245"/>
    <n v="49803.939236015998"/>
    <n v="0"/>
    <n v="0"/>
    <n v="0"/>
    <n v="18960.110526"/>
    <n v="0"/>
    <n v="0"/>
    <n v="248100"/>
    <n v="-12000"/>
    <n v="236100"/>
    <n v="0.12966507177033493"/>
    <n v="0.99970000000000003"/>
    <n v="1.0088999999999999"/>
    <n v="0.99729999999999996"/>
    <n v="1.0157"/>
    <n v="1.0199"/>
    <n v="0.94971499999999998"/>
    <n v="0.98989762598047604"/>
    <n v="248100"/>
    <n v="0"/>
    <n v="248100"/>
    <n v="-11400"/>
    <n v="236700"/>
    <n v="0.39695945945945948"/>
    <n v="-1.3630573248407643"/>
    <n v="0.13253588516746412"/>
  </r>
  <r>
    <n v="2025"/>
    <s v="18132243431    "/>
    <n v="-1.5141277326297755"/>
    <n v="0.22"/>
    <n v="9630"/>
    <s v="6"/>
    <s v="RES"/>
    <x v="0"/>
    <s v="11"/>
    <s v="259"/>
    <s v="RN"/>
    <s v="A"/>
    <s v="GD"/>
    <x v="6"/>
    <n v="64"/>
    <n v="49"/>
    <n v="1960"/>
    <n v="1975"/>
    <n v="1296"/>
    <m/>
    <n v="1296"/>
    <n v="796"/>
    <n v="500"/>
    <m/>
    <n v="1796"/>
    <n v="2000"/>
    <n v="8"/>
    <n v="540"/>
    <m/>
    <n v="466"/>
    <m/>
    <m/>
    <m/>
    <m/>
    <n v="321213"/>
    <n v="231273"/>
    <n v="0"/>
    <n v="355500"/>
    <n v="61700"/>
    <n v="293800"/>
    <n v="0"/>
    <n v="0"/>
    <n v="89850.625589999996"/>
    <n v="-47929.131559187132"/>
    <n v="21557.329055999999"/>
    <n v="197752.34721000001"/>
    <n v="-10929.2344245"/>
    <n v="64033.636160592003"/>
    <n v="0"/>
    <n v="0"/>
    <n v="37690.136240111999"/>
    <n v="30336.176841600001"/>
    <n v="15515.710118616002"/>
    <n v="0"/>
    <n v="356000"/>
    <n v="41900"/>
    <n v="397900"/>
    <n v="0.11926863572433193"/>
    <n v="0.99970000000000003"/>
    <n v="1.0067999999999999"/>
    <n v="0.99650000000000005"/>
    <n v="1.0093000000000001"/>
    <n v="1.0199"/>
    <n v="0.94971499999999998"/>
    <n v="0.98082532839872782"/>
    <n v="356000"/>
    <n v="0"/>
    <n v="356000"/>
    <n v="39800"/>
    <n v="395800"/>
    <n v="0.21170864533696393"/>
    <n v="-0.35494327390599678"/>
    <n v="0.11336146272855134"/>
  </r>
  <r>
    <n v="2025"/>
    <s v="18132213457    "/>
    <n v="-2.9957322735539909"/>
    <n v="0.05"/>
    <n v="1400"/>
    <s v="6"/>
    <s v="CON"/>
    <x v="0"/>
    <s v="11"/>
    <s v="262"/>
    <s v="CE"/>
    <s v="A+"/>
    <s v="AV"/>
    <x v="6"/>
    <n v="64"/>
    <n v="49"/>
    <n v="1960"/>
    <n v="1975"/>
    <n v="1064"/>
    <m/>
    <m/>
    <n v="0"/>
    <m/>
    <m/>
    <n v="1064"/>
    <n v="1500"/>
    <n v="7"/>
    <n v="336"/>
    <m/>
    <m/>
    <m/>
    <m/>
    <m/>
    <m/>
    <n v="240094"/>
    <n v="170467"/>
    <n v="0"/>
    <n v="229000"/>
    <n v="34400"/>
    <n v="194600"/>
    <n v="0"/>
    <n v="0"/>
    <n v="89850.625589999996"/>
    <n v="-94828.753982263879"/>
    <n v="29814.093161000001"/>
    <n v="160472.20319"/>
    <n v="-10929.2344245"/>
    <n v="52570.824749127998"/>
    <n v="0"/>
    <n v="0"/>
    <n v="0"/>
    <n v="26544.1547364"/>
    <n v="0"/>
    <n v="0"/>
    <n v="258500"/>
    <n v="-5000"/>
    <n v="253500"/>
    <n v="0.10698689956331878"/>
    <n v="0.99970000000000003"/>
    <n v="1.0088999999999999"/>
    <n v="0.99729999999999996"/>
    <n v="1.0157"/>
    <n v="1.0199"/>
    <n v="0.94971499999999998"/>
    <n v="0.98989762598047604"/>
    <n v="258500"/>
    <n v="0"/>
    <n v="258500"/>
    <n v="-4700"/>
    <n v="253800"/>
    <n v="0.32836587872559098"/>
    <n v="-1.1366279069767442"/>
    <n v="0.10829694323144105"/>
  </r>
  <r>
    <n v="2025"/>
    <s v="18132212415    "/>
    <n v="-1.3470736479666092"/>
    <n v="0.26"/>
    <n v="11472"/>
    <s v="6"/>
    <s v="RES"/>
    <x v="0"/>
    <s v="11"/>
    <s v="259"/>
    <s v="RN"/>
    <s v="A"/>
    <s v="GD"/>
    <x v="6"/>
    <n v="64"/>
    <n v="49"/>
    <n v="1960"/>
    <n v="1975"/>
    <n v="1608"/>
    <m/>
    <n v="840"/>
    <n v="840"/>
    <m/>
    <m/>
    <n v="1608"/>
    <n v="2000"/>
    <n v="8"/>
    <n v="572"/>
    <m/>
    <n v="240"/>
    <m/>
    <m/>
    <m/>
    <m/>
    <n v="322657"/>
    <n v="232313"/>
    <n v="0"/>
    <n v="357300"/>
    <n v="67600"/>
    <n v="289700"/>
    <n v="0"/>
    <n v="0"/>
    <n v="89850.625589999996"/>
    <n v="-42641.098701210125"/>
    <n v="21557.329055999999"/>
    <n v="197752.34721000001"/>
    <n v="-10929.2344245"/>
    <n v="79449.141162216009"/>
    <n v="0"/>
    <n v="0"/>
    <n v="24428.792007479999"/>
    <n v="30336.176841600001"/>
    <n v="7990.9236662400008"/>
    <n v="0"/>
    <n v="350600"/>
    <n v="47200"/>
    <n v="397800"/>
    <n v="0.11335012594458438"/>
    <n v="0.99970000000000003"/>
    <n v="1.0067999999999999"/>
    <n v="0.99650000000000005"/>
    <n v="1.0093000000000001"/>
    <n v="1.0199"/>
    <n v="0.94971499999999998"/>
    <n v="0.98082532839872782"/>
    <n v="350600"/>
    <n v="0"/>
    <n v="350600"/>
    <n v="44800"/>
    <n v="395400"/>
    <n v="0.21021746634449431"/>
    <n v="-0.33727810650887574"/>
    <n v="0.10663308144416457"/>
  </r>
  <r>
    <n v="2025"/>
    <s v="18132323410    "/>
    <n v="-1.5141277326297755"/>
    <n v="0.22"/>
    <m/>
    <s v="6"/>
    <s v="RES"/>
    <x v="0"/>
    <s v="11"/>
    <s v="259"/>
    <s v="RN"/>
    <s v="G"/>
    <s v="AV"/>
    <x v="6"/>
    <n v="64"/>
    <n v="49"/>
    <n v="1960"/>
    <n v="1975"/>
    <n v="1464"/>
    <m/>
    <n v="1464"/>
    <n v="732"/>
    <n v="732"/>
    <m/>
    <n v="2196"/>
    <n v="2500"/>
    <n v="10"/>
    <m/>
    <m/>
    <n v="766"/>
    <m/>
    <m/>
    <m/>
    <m/>
    <n v="459794"/>
    <n v="326454"/>
    <n v="0"/>
    <n v="372400"/>
    <n v="61700"/>
    <n v="310700"/>
    <n v="0"/>
    <n v="0"/>
    <n v="89850.625589999996"/>
    <n v="-47929.131559187132"/>
    <n v="44121.038090000002"/>
    <n v="160472.20319"/>
    <n v="-10929.2344245"/>
    <n v="72334.292699928003"/>
    <n v="0"/>
    <n v="0"/>
    <n v="42575.894641608"/>
    <n v="37920.221052000001"/>
    <n v="25504.364701416001"/>
    <n v="0"/>
    <n v="372000"/>
    <n v="41900"/>
    <n v="413900"/>
    <n v="0.11143931256713212"/>
    <n v="0.99970000000000003"/>
    <n v="0.98050000000000004"/>
    <n v="0.99729999999999996"/>
    <n v="0.98919999999999997"/>
    <n v="1.0199"/>
    <n v="0.94971499999999998"/>
    <n v="0.93693273740181715"/>
    <n v="372000"/>
    <n v="0"/>
    <n v="372000"/>
    <n v="39800"/>
    <n v="411800"/>
    <n v="0.19729642742195044"/>
    <n v="-0.35494327390599678"/>
    <n v="0.10580021482277122"/>
  </r>
  <r>
    <n v="2025"/>
    <s v="18132213461    "/>
    <n v="-3.2188758248682006"/>
    <n v="0.04"/>
    <n v="1400"/>
    <s v="6"/>
    <s v="CON"/>
    <x v="0"/>
    <s v="11"/>
    <s v="262"/>
    <s v="CE"/>
    <s v="A+"/>
    <s v="AV"/>
    <x v="6"/>
    <n v="64"/>
    <n v="49"/>
    <n v="1960"/>
    <n v="1975"/>
    <n v="1064"/>
    <m/>
    <m/>
    <n v="0"/>
    <m/>
    <m/>
    <n v="1064"/>
    <n v="1500"/>
    <n v="5"/>
    <n v="336"/>
    <m/>
    <n v="120"/>
    <m/>
    <m/>
    <m/>
    <m/>
    <n v="232084"/>
    <n v="164780"/>
    <n v="0"/>
    <n v="221500"/>
    <n v="33200"/>
    <n v="188300"/>
    <n v="0"/>
    <n v="0"/>
    <n v="89850.625589999996"/>
    <n v="-101892.2773541973"/>
    <n v="29814.093161000001"/>
    <n v="160472.20319"/>
    <n v="-10929.2344245"/>
    <n v="52570.824749127998"/>
    <n v="0"/>
    <n v="0"/>
    <n v="0"/>
    <n v="18960.110526"/>
    <n v="3995.4618331200004"/>
    <n v="0"/>
    <n v="254900"/>
    <n v="-12000"/>
    <n v="242900"/>
    <n v="9.6613995485327314E-2"/>
    <n v="0.99970000000000003"/>
    <n v="1.0088999999999999"/>
    <n v="0.99729999999999996"/>
    <n v="1.0157"/>
    <n v="1.0199"/>
    <n v="0.94971499999999998"/>
    <n v="0.98989762598047604"/>
    <n v="254900"/>
    <n v="0"/>
    <n v="254900"/>
    <n v="-11400"/>
    <n v="243500"/>
    <n v="0.35369091874668085"/>
    <n v="-1.3433734939759037"/>
    <n v="9.9322799097065456E-2"/>
  </r>
  <r>
    <n v="2025"/>
    <s v="18132324415    "/>
    <n v="-1.5606477482646683"/>
    <n v="0.21"/>
    <m/>
    <s v="6"/>
    <s v="RES"/>
    <x v="0"/>
    <s v="11"/>
    <s v=""/>
    <s v="RN"/>
    <s v="A+"/>
    <s v="AV"/>
    <x v="6"/>
    <n v="64"/>
    <n v="49"/>
    <n v="1960"/>
    <n v="1975"/>
    <n v="1208"/>
    <m/>
    <n v="948"/>
    <n v="379"/>
    <n v="569"/>
    <m/>
    <n v="1777"/>
    <n v="2000"/>
    <n v="6"/>
    <m/>
    <n v="260"/>
    <n v="588"/>
    <m/>
    <m/>
    <m/>
    <m/>
    <n v="315715"/>
    <n v="224158"/>
    <n v="0"/>
    <n v="316000"/>
    <n v="60100"/>
    <n v="255900"/>
    <n v="0"/>
    <n v="0"/>
    <n v="89850.625589999996"/>
    <n v="-49401.70477837498"/>
    <n v="29814.093161000001"/>
    <n v="160472.20319"/>
    <n v="-10929.2344245"/>
    <n v="59685.673211416004"/>
    <n v="0"/>
    <n v="0"/>
    <n v="27569.636694155997"/>
    <n v="22752.132631200002"/>
    <n v="19577.762982288001"/>
    <n v="0"/>
    <n v="308900"/>
    <n v="40400"/>
    <n v="349300"/>
    <n v="0.10537974683544304"/>
    <n v="0.99970000000000003"/>
    <n v="1.0088999999999999"/>
    <n v="0.99729999999999996"/>
    <n v="1.0093000000000001"/>
    <n v="1.0199"/>
    <n v="0.94971499999999998"/>
    <n v="0.98366020862665582"/>
    <n v="308900"/>
    <n v="0"/>
    <n v="308900"/>
    <n v="38400"/>
    <n v="347300"/>
    <n v="0.20711215318483783"/>
    <n v="-0.36106489184692181"/>
    <n v="9.9050632911392406E-2"/>
  </r>
  <r>
    <n v="2025"/>
    <s v="18132242467    "/>
    <n v="-1.7719568419318752"/>
    <n v="0.17"/>
    <n v="7226"/>
    <s v="6"/>
    <s v="RES"/>
    <x v="0"/>
    <s v="11"/>
    <s v="259"/>
    <s v="RN"/>
    <s v="G"/>
    <s v="AV"/>
    <x v="6"/>
    <n v="64"/>
    <n v="49"/>
    <n v="1960"/>
    <n v="1975"/>
    <n v="1976"/>
    <m/>
    <n v="1049"/>
    <n v="521"/>
    <n v="528"/>
    <m/>
    <n v="2504"/>
    <n v="3000"/>
    <n v="8"/>
    <m/>
    <m/>
    <n v="655"/>
    <m/>
    <m/>
    <m/>
    <m/>
    <n v="495002"/>
    <n v="351451"/>
    <n v="21526"/>
    <n v="389200"/>
    <n v="52700"/>
    <n v="336500"/>
    <n v="0"/>
    <n v="0"/>
    <n v="89850.625589999996"/>
    <n v="-56090.612940989391"/>
    <n v="44121.038090000002"/>
    <n v="160472.20319"/>
    <n v="-10929.2344245"/>
    <n v="97631.531676952"/>
    <n v="0"/>
    <n v="0"/>
    <n v="30506.908114103"/>
    <n v="30336.176841600001"/>
    <n v="21808.562505780003"/>
    <n v="21500"/>
    <n v="373900"/>
    <n v="33800"/>
    <n v="429200"/>
    <n v="0.10277492291880781"/>
    <n v="0.99970000000000003"/>
    <n v="0.98050000000000004"/>
    <n v="0.99729999999999996"/>
    <n v="0.96179999999999999"/>
    <n v="1.0199"/>
    <n v="0.94971499999999998"/>
    <n v="0.91098049619194077"/>
    <n v="373900"/>
    <n v="20400"/>
    <n v="394300"/>
    <n v="32100"/>
    <n v="426400"/>
    <n v="0.17176820208023774"/>
    <n v="-0.39089184060721061"/>
    <n v="9.5580678314491269E-2"/>
  </r>
  <r>
    <n v="2025"/>
    <s v="18132213458    "/>
    <n v="-3.2188758248682006"/>
    <n v="0.04"/>
    <n v="1400"/>
    <s v="6"/>
    <s v="CON"/>
    <x v="0"/>
    <s v="11"/>
    <s v="262"/>
    <s v="CE"/>
    <s v="A+"/>
    <s v="AV"/>
    <x v="6"/>
    <n v="64"/>
    <n v="49"/>
    <n v="1960"/>
    <n v="1975"/>
    <n v="1064"/>
    <m/>
    <m/>
    <n v="0"/>
    <m/>
    <m/>
    <n v="1064"/>
    <n v="1500"/>
    <n v="5"/>
    <n v="336"/>
    <m/>
    <m/>
    <m/>
    <m/>
    <m/>
    <m/>
    <n v="229356"/>
    <n v="162843"/>
    <n v="0"/>
    <n v="218900"/>
    <n v="32800"/>
    <n v="186100"/>
    <n v="0"/>
    <n v="0"/>
    <n v="89850.625589999996"/>
    <n v="-101892.2773541973"/>
    <n v="29814.093161000001"/>
    <n v="160472.20319"/>
    <n v="-10929.2344245"/>
    <n v="52570.824749127998"/>
    <n v="0"/>
    <n v="0"/>
    <n v="0"/>
    <n v="18960.110526"/>
    <n v="0"/>
    <n v="0"/>
    <n v="250900"/>
    <n v="-12000"/>
    <n v="238900"/>
    <n v="9.1365920511649157E-2"/>
    <n v="0.99970000000000003"/>
    <n v="1.0088999999999999"/>
    <n v="0.99729999999999996"/>
    <n v="1.0157"/>
    <n v="1.0199"/>
    <n v="0.94971499999999998"/>
    <n v="0.98989762598047604"/>
    <n v="250900"/>
    <n v="0"/>
    <n v="250900"/>
    <n v="-11400"/>
    <n v="239500"/>
    <n v="0.34819989253089739"/>
    <n v="-1.3475609756097562"/>
    <n v="9.4106898126998628E-2"/>
  </r>
  <r>
    <n v="2025"/>
    <s v="18131544414    "/>
    <n v="-1.2378743560016174"/>
    <n v="0.28999999999999998"/>
    <n v="12444"/>
    <s v="6"/>
    <s v="RES"/>
    <x v="0"/>
    <s v="11"/>
    <s v="259"/>
    <s v="RN"/>
    <s v="A"/>
    <s v="GD"/>
    <x v="6"/>
    <n v="64"/>
    <n v="49"/>
    <n v="1960"/>
    <n v="1975"/>
    <n v="1196"/>
    <m/>
    <m/>
    <n v="0"/>
    <m/>
    <m/>
    <n v="1196"/>
    <n v="1500"/>
    <n v="6"/>
    <m/>
    <m/>
    <n v="153"/>
    <m/>
    <m/>
    <m/>
    <m/>
    <n v="200166"/>
    <n v="144120"/>
    <n v="23058"/>
    <n v="334300"/>
    <n v="71400"/>
    <n v="262900"/>
    <n v="0"/>
    <n v="0"/>
    <n v="89850.625589999996"/>
    <n v="-39184.437074869042"/>
    <n v="21557.329055999999"/>
    <n v="197752.34721000001"/>
    <n v="-10929.2344245"/>
    <n v="59092.769172892004"/>
    <n v="0"/>
    <n v="0"/>
    <n v="0"/>
    <n v="22752.132631200002"/>
    <n v="5094.2138372280006"/>
    <n v="23100"/>
    <n v="295300"/>
    <n v="50700"/>
    <n v="369100"/>
    <n v="0.10409811546515106"/>
    <n v="0.99970000000000003"/>
    <n v="1.0067999999999999"/>
    <n v="0.99650000000000005"/>
    <n v="1.0157"/>
    <n v="1.0199"/>
    <n v="0.94971499999999998"/>
    <n v="0.98704476969641131"/>
    <n v="295300"/>
    <n v="21900"/>
    <n v="317200"/>
    <n v="48100"/>
    <n v="365300"/>
    <n v="0.20654241156333206"/>
    <n v="-0.32633053221288516"/>
    <n v="9.2731079868381694E-2"/>
  </r>
  <r>
    <n v="2025"/>
    <s v="18132213462    "/>
    <n v="-3.2188758248682006"/>
    <n v="0.04"/>
    <n v="1400"/>
    <s v="6"/>
    <s v="CON"/>
    <x v="0"/>
    <s v="11"/>
    <s v="262"/>
    <s v="CE"/>
    <s v="A+"/>
    <s v="AV"/>
    <x v="6"/>
    <n v="64"/>
    <n v="49"/>
    <n v="1960"/>
    <n v="1975"/>
    <n v="1064"/>
    <m/>
    <m/>
    <n v="0"/>
    <m/>
    <m/>
    <n v="1064"/>
    <n v="1500"/>
    <n v="5"/>
    <n v="336"/>
    <m/>
    <n v="50"/>
    <m/>
    <m/>
    <m/>
    <m/>
    <n v="233012"/>
    <n v="165439"/>
    <n v="0"/>
    <n v="222300"/>
    <n v="33300"/>
    <n v="189000"/>
    <n v="0"/>
    <n v="0"/>
    <n v="89850.625589999996"/>
    <n v="-101892.2773541973"/>
    <n v="29814.093161000001"/>
    <n v="160472.20319"/>
    <n v="-10929.2344245"/>
    <n v="52570.824749127998"/>
    <n v="0"/>
    <n v="0"/>
    <n v="0"/>
    <n v="18960.110526"/>
    <n v="1664.7757638000003"/>
    <n v="0"/>
    <n v="252600"/>
    <n v="-12000"/>
    <n v="240600"/>
    <n v="8.2321187584345479E-2"/>
    <n v="0.99970000000000003"/>
    <n v="1.0088999999999999"/>
    <n v="0.99729999999999996"/>
    <n v="1.0157"/>
    <n v="1.0199"/>
    <n v="0.94971499999999998"/>
    <n v="0.98989762598047604"/>
    <n v="252600"/>
    <n v="0"/>
    <n v="252600"/>
    <n v="-11400"/>
    <n v="241200"/>
    <n v="0.33650793650793653"/>
    <n v="-1.3423423423423424"/>
    <n v="8.5020242914979755E-2"/>
  </r>
  <r>
    <n v="2025"/>
    <s v="18132334501    "/>
    <n v="-1.9661128563728327"/>
    <n v="0.14000000000000001"/>
    <n v="6114"/>
    <s v="6"/>
    <s v="RES"/>
    <x v="0"/>
    <s v="11"/>
    <s v="259"/>
    <s v="RN"/>
    <s v="A"/>
    <s v="GD"/>
    <x v="6"/>
    <n v="64"/>
    <n v="49"/>
    <n v="1960"/>
    <n v="1975"/>
    <n v="1458"/>
    <m/>
    <n v="1458"/>
    <n v="729"/>
    <n v="729"/>
    <m/>
    <n v="2187"/>
    <n v="2500"/>
    <n v="7"/>
    <m/>
    <m/>
    <n v="88"/>
    <m/>
    <m/>
    <m/>
    <m/>
    <n v="333913"/>
    <n v="240417"/>
    <n v="0"/>
    <n v="349800"/>
    <n v="46000"/>
    <n v="303800"/>
    <n v="0"/>
    <n v="0"/>
    <n v="89850.625589999996"/>
    <n v="-62236.546971921947"/>
    <n v="21557.329055999999"/>
    <n v="197752.34721000001"/>
    <n v="-10929.2344245"/>
    <n v="72037.840680666006"/>
    <n v="0"/>
    <n v="0"/>
    <n v="42401.403270126"/>
    <n v="26544.1547364"/>
    <n v="2930.0053442880003"/>
    <n v="0"/>
    <n v="352300"/>
    <n v="27600"/>
    <n v="379900"/>
    <n v="8.6049170954831333E-2"/>
    <n v="0.99970000000000003"/>
    <n v="1.0067999999999999"/>
    <n v="0.99650000000000005"/>
    <n v="0.98919999999999997"/>
    <n v="1.0199"/>
    <n v="0.94971499999999998"/>
    <n v="0.96129239557319079"/>
    <n v="352300"/>
    <n v="0"/>
    <n v="352300"/>
    <n v="26200"/>
    <n v="378500"/>
    <n v="0.15964450296247532"/>
    <n v="-0.43043478260869567"/>
    <n v="8.2046883933676387E-2"/>
  </r>
  <r>
    <n v="2025"/>
    <s v="18132332507    "/>
    <n v="-1.7719568419318752"/>
    <n v="0.17"/>
    <m/>
    <s v="6"/>
    <s v="RES"/>
    <x v="0"/>
    <s v="11"/>
    <s v="259"/>
    <s v="CO"/>
    <s v="A"/>
    <s v="AV"/>
    <x v="6"/>
    <n v="64"/>
    <n v="49"/>
    <n v="1960"/>
    <n v="1975"/>
    <n v="1192"/>
    <n v="154"/>
    <n v="132"/>
    <n v="0"/>
    <n v="132"/>
    <m/>
    <n v="1478"/>
    <n v="1500"/>
    <n v="5"/>
    <m/>
    <m/>
    <n v="320"/>
    <m/>
    <m/>
    <m/>
    <m/>
    <n v="224083"/>
    <n v="159099"/>
    <n v="0"/>
    <n v="279800"/>
    <n v="52700"/>
    <n v="227100"/>
    <n v="0"/>
    <n v="0"/>
    <n v="89850.625589999996"/>
    <n v="-56090.612940989391"/>
    <n v="21557.329055999999"/>
    <n v="160472.20319"/>
    <n v="-10929.2344245"/>
    <n v="58895.134493384001"/>
    <n v="6897.1091205940002"/>
    <n v="0"/>
    <n v="3838.8101726039999"/>
    <n v="18960.110526"/>
    <n v="10654.564888320001"/>
    <n v="0"/>
    <n v="270300"/>
    <n v="33800"/>
    <n v="304100"/>
    <n v="8.6847748391708363E-2"/>
    <n v="0.99970000000000003"/>
    <n v="1.0067999999999999"/>
    <n v="0.99729999999999996"/>
    <n v="1.0157"/>
    <n v="1.0199"/>
    <n v="0.94971499999999998"/>
    <n v="0.98783717894453682"/>
    <n v="270300"/>
    <n v="0"/>
    <n v="270300"/>
    <n v="32100"/>
    <n v="302400"/>
    <n v="0.19022457067371201"/>
    <n v="-0.39089184060721061"/>
    <n v="8.0771979985704068E-2"/>
  </r>
  <r>
    <n v="2025"/>
    <s v="18132342476    "/>
    <n v="-1.1711829815029451"/>
    <n v="0.31"/>
    <n v="13466"/>
    <s v="6"/>
    <s v="RES"/>
    <x v="0"/>
    <s v="11"/>
    <s v="259"/>
    <s v="RN"/>
    <s v="V"/>
    <s v="VG"/>
    <x v="6"/>
    <n v="64"/>
    <n v="49"/>
    <n v="1960"/>
    <n v="1975"/>
    <n v="2519"/>
    <m/>
    <n v="1727"/>
    <n v="1157"/>
    <n v="570"/>
    <m/>
    <n v="3089"/>
    <n v="3500"/>
    <n v="10"/>
    <n v="720"/>
    <m/>
    <m/>
    <m/>
    <m/>
    <m/>
    <m/>
    <n v="744147"/>
    <n v="572993"/>
    <n v="0"/>
    <n v="648500"/>
    <n v="73700"/>
    <n v="574800"/>
    <n v="0"/>
    <n v="0"/>
    <n v="89850.625589999996"/>
    <n v="-37073.347241874442"/>
    <n v="163885.03753"/>
    <n v="284810.60806"/>
    <n v="-10929.2344245"/>
    <n v="124460.43942016301"/>
    <n v="0"/>
    <n v="0"/>
    <n v="50224.433091569001"/>
    <n v="37920.221052000001"/>
    <n v="0"/>
    <n v="0"/>
    <n v="650400"/>
    <n v="52800"/>
    <n v="703200"/>
    <n v="8.4348496530454897E-2"/>
    <n v="0.99970000000000003"/>
    <n v="1"/>
    <n v="1.0158"/>
    <n v="1.0126999999999999"/>
    <n v="1.0199"/>
    <n v="0.94971499999999998"/>
    <n v="0.99641419901340689"/>
    <n v="650400"/>
    <n v="0"/>
    <n v="650400"/>
    <n v="50100"/>
    <n v="700500"/>
    <n v="0.13152400835073069"/>
    <n v="-0.32021709633649931"/>
    <n v="8.0185042405551271E-2"/>
  </r>
  <r>
    <n v="2025"/>
    <s v="18132323450    "/>
    <n v="-1.8971199848858813"/>
    <n v="0.15"/>
    <m/>
    <s v="6"/>
    <s v="RES"/>
    <x v="0"/>
    <s v="11"/>
    <s v="259"/>
    <s v="RN"/>
    <s v="A"/>
    <s v="GD"/>
    <x v="6"/>
    <n v="64"/>
    <n v="49"/>
    <n v="1960"/>
    <n v="1975"/>
    <n v="1575"/>
    <m/>
    <m/>
    <n v="0"/>
    <m/>
    <m/>
    <n v="1575"/>
    <n v="2000"/>
    <n v="8"/>
    <m/>
    <m/>
    <m/>
    <m/>
    <m/>
    <m/>
    <m/>
    <n v="259756"/>
    <n v="187024"/>
    <n v="0"/>
    <n v="319800"/>
    <n v="48400"/>
    <n v="271400"/>
    <n v="0"/>
    <n v="0"/>
    <n v="89850.625589999996"/>
    <n v="-60052.604136134301"/>
    <n v="21557.329055999999"/>
    <n v="197752.34721000001"/>
    <n v="-10929.2344245"/>
    <n v="77818.655056275005"/>
    <n v="0"/>
    <n v="0"/>
    <n v="0"/>
    <n v="30336.176841600001"/>
    <n v="0"/>
    <n v="0"/>
    <n v="316500"/>
    <n v="29800"/>
    <n v="346300"/>
    <n v="8.2864290181363348E-2"/>
    <n v="0.99970000000000003"/>
    <n v="1.0067999999999999"/>
    <n v="0.99650000000000005"/>
    <n v="1.0093000000000001"/>
    <n v="1.0199"/>
    <n v="0.94971499999999998"/>
    <n v="0.98082532839872782"/>
    <n v="316500"/>
    <n v="0"/>
    <n v="316500"/>
    <n v="28300"/>
    <n v="344800"/>
    <n v="0.16617538688282976"/>
    <n v="-0.41528925619834711"/>
    <n v="7.8173858661663542E-2"/>
  </r>
  <r>
    <n v="2025"/>
    <s v="18132323406    "/>
    <n v="-1.5141277326297755"/>
    <n v="0.22"/>
    <m/>
    <s v="6"/>
    <s v="RES"/>
    <x v="0"/>
    <s v="11"/>
    <s v="259"/>
    <s v="RN"/>
    <s v="A"/>
    <s v="GD"/>
    <x v="6"/>
    <n v="64"/>
    <n v="49"/>
    <n v="1960"/>
    <n v="1975"/>
    <n v="1605"/>
    <m/>
    <m/>
    <n v="0"/>
    <m/>
    <m/>
    <n v="1605"/>
    <n v="2000"/>
    <n v="8"/>
    <n v="288"/>
    <m/>
    <m/>
    <m/>
    <m/>
    <m/>
    <m/>
    <n v="260976"/>
    <n v="187903"/>
    <n v="0"/>
    <n v="333200"/>
    <n v="61700"/>
    <n v="271500"/>
    <n v="0"/>
    <n v="0"/>
    <n v="89850.625589999996"/>
    <n v="-47929.131559187132"/>
    <n v="21557.329055999999"/>
    <n v="197752.34721000001"/>
    <n v="-10929.2344245"/>
    <n v="79300.915152585003"/>
    <n v="0"/>
    <n v="0"/>
    <n v="0"/>
    <n v="30336.176841600001"/>
    <n v="0"/>
    <n v="0"/>
    <n v="318000"/>
    <n v="41900"/>
    <n v="359900"/>
    <n v="8.0132052821128452E-2"/>
    <n v="0.99970000000000003"/>
    <n v="1.0067999999999999"/>
    <n v="0.99650000000000005"/>
    <n v="1.0093000000000001"/>
    <n v="1.0199"/>
    <n v="0.94971499999999998"/>
    <n v="0.98082532839872782"/>
    <n v="318000"/>
    <n v="0"/>
    <n v="318000"/>
    <n v="39800"/>
    <n v="357800"/>
    <n v="0.17127071823204421"/>
    <n v="-0.35494327390599678"/>
    <n v="7.3829531812725085E-2"/>
  </r>
  <r>
    <n v="2025"/>
    <s v="18132323449    "/>
    <n v="-1.5141277326297755"/>
    <n v="0.22"/>
    <m/>
    <s v="6"/>
    <s v="RES"/>
    <x v="0"/>
    <s v="11"/>
    <s v="259"/>
    <s v="SL"/>
    <s v="A+"/>
    <s v="AV"/>
    <x v="6"/>
    <n v="64"/>
    <n v="49"/>
    <n v="1960"/>
    <n v="1975"/>
    <n v="1054"/>
    <m/>
    <n v="966"/>
    <n v="460"/>
    <n v="506"/>
    <m/>
    <n v="1560"/>
    <n v="2000"/>
    <n v="8"/>
    <m/>
    <n v="460"/>
    <n v="304"/>
    <m/>
    <m/>
    <m/>
    <m/>
    <n v="330588"/>
    <n v="234717"/>
    <n v="0"/>
    <n v="316600"/>
    <n v="61700"/>
    <n v="254900"/>
    <n v="0"/>
    <n v="0"/>
    <n v="89850.625589999996"/>
    <n v="-47929.131559187132"/>
    <n v="29814.093161000001"/>
    <n v="160472.20319"/>
    <n v="-10929.2344245"/>
    <n v="52076.738050357999"/>
    <n v="0"/>
    <n v="0"/>
    <n v="28093.110808601999"/>
    <n v="30336.176841600001"/>
    <n v="10121.836643904"/>
    <n v="0"/>
    <n v="300000"/>
    <n v="41900"/>
    <n v="341900"/>
    <n v="7.9911560328490214E-2"/>
    <n v="0.99970000000000003"/>
    <n v="1.0088999999999999"/>
    <n v="0.99729999999999996"/>
    <n v="1.0093000000000001"/>
    <n v="1.0199"/>
    <n v="0.94971499999999998"/>
    <n v="0.98366020862665582"/>
    <n v="300000"/>
    <n v="0"/>
    <n v="300000"/>
    <n v="39800"/>
    <n v="339800"/>
    <n v="0.17693213024715576"/>
    <n v="-0.35494327390599678"/>
    <n v="7.3278584965255841E-2"/>
  </r>
  <r>
    <n v="2025"/>
    <s v="18132243445    "/>
    <n v="-1.6094379124341003"/>
    <n v="0.2"/>
    <n v="8829"/>
    <s v="6"/>
    <s v="RES"/>
    <x v="0"/>
    <s v="11"/>
    <s v="259"/>
    <s v="SL"/>
    <s v="G"/>
    <s v="GD"/>
    <x v="6"/>
    <n v="64"/>
    <n v="49"/>
    <n v="1960"/>
    <n v="1975"/>
    <n v="1494"/>
    <m/>
    <n v="995"/>
    <n v="0"/>
    <n v="995"/>
    <m/>
    <n v="2489"/>
    <n v="2500"/>
    <n v="10"/>
    <m/>
    <n v="475"/>
    <n v="336"/>
    <m/>
    <m/>
    <m/>
    <m/>
    <n v="513671"/>
    <n v="369843"/>
    <n v="0"/>
    <n v="393600"/>
    <n v="58400"/>
    <n v="335200"/>
    <n v="0"/>
    <n v="0"/>
    <n v="89850.625589999996"/>
    <n v="-50946.13867709865"/>
    <n v="44121.038090000002"/>
    <n v="197752.34721000001"/>
    <n v="-10929.2344245"/>
    <n v="73816.552796238"/>
    <n v="0"/>
    <n v="0"/>
    <n v="28936.485770764997"/>
    <n v="37920.221052000001"/>
    <n v="11187.293132736002"/>
    <n v="0"/>
    <n v="382800"/>
    <n v="38900"/>
    <n v="421700"/>
    <n v="7.1392276422764231E-2"/>
    <n v="0.99970000000000003"/>
    <n v="0.98050000000000004"/>
    <n v="0.99650000000000005"/>
    <n v="0.98919999999999997"/>
    <n v="1.0199"/>
    <n v="0.94971499999999998"/>
    <n v="0.936181161958198"/>
    <n v="382800"/>
    <n v="0"/>
    <n v="382800"/>
    <n v="36900"/>
    <n v="419700"/>
    <n v="0.14200477326968974"/>
    <n v="-0.36815068493150682"/>
    <n v="6.6310975609756101E-2"/>
  </r>
  <r>
    <n v="2025"/>
    <s v="18132323460    "/>
    <n v="-1.8971199848858813"/>
    <n v="0.15"/>
    <m/>
    <s v="6"/>
    <s v="RES"/>
    <x v="0"/>
    <s v="11"/>
    <s v="259"/>
    <s v="RN"/>
    <s v="A+"/>
    <s v="FR"/>
    <x v="6"/>
    <n v="64"/>
    <n v="49"/>
    <n v="1960"/>
    <n v="1975"/>
    <n v="1145"/>
    <m/>
    <n v="1145"/>
    <n v="572"/>
    <n v="573"/>
    <m/>
    <n v="1718"/>
    <n v="2000"/>
    <n v="8"/>
    <n v="420"/>
    <m/>
    <n v="105"/>
    <m/>
    <m/>
    <m/>
    <m/>
    <n v="333658"/>
    <n v="233561"/>
    <n v="0"/>
    <n v="285700"/>
    <n v="48400"/>
    <n v="237300"/>
    <n v="0"/>
    <n v="0"/>
    <n v="89850.625589999996"/>
    <n v="-60052.604136134301"/>
    <n v="29814.093161000001"/>
    <n v="133714.53821"/>
    <n v="-10929.2344245"/>
    <n v="56572.927009165003"/>
    <n v="0"/>
    <n v="0"/>
    <n v="33298.770057814996"/>
    <n v="30336.176841600001"/>
    <n v="3496.0291039800004"/>
    <n v="0"/>
    <n v="276300"/>
    <n v="29800"/>
    <n v="306100"/>
    <n v="7.1403570178508929E-2"/>
    <n v="0.99970000000000003"/>
    <n v="1.0088999999999999"/>
    <n v="0.99329999999999996"/>
    <n v="1.0093000000000001"/>
    <n v="1.0199"/>
    <n v="0.94971499999999998"/>
    <n v="0.97971491550070933"/>
    <n v="276300"/>
    <n v="0"/>
    <n v="276300"/>
    <n v="28300"/>
    <n v="304600"/>
    <n v="0.16434892541087232"/>
    <n v="-0.41528925619834711"/>
    <n v="6.6153307665383271E-2"/>
  </r>
  <r>
    <n v="2025"/>
    <s v="18132242494    "/>
    <n v="-1.3470736479666092"/>
    <n v="0.26"/>
    <n v="11347"/>
    <s v="6"/>
    <s v="RES"/>
    <x v="0"/>
    <s v="11"/>
    <s v="259"/>
    <s v="RN"/>
    <s v="A+"/>
    <s v="GD"/>
    <x v="6"/>
    <n v="64"/>
    <n v="49"/>
    <n v="1960"/>
    <n v="1975"/>
    <n v="1624"/>
    <m/>
    <m/>
    <n v="0"/>
    <m/>
    <m/>
    <n v="1624"/>
    <n v="2000"/>
    <n v="9"/>
    <n v="480"/>
    <m/>
    <m/>
    <m/>
    <m/>
    <m/>
    <m/>
    <n v="325980"/>
    <n v="234706"/>
    <n v="0"/>
    <n v="353700"/>
    <n v="67600"/>
    <n v="286100"/>
    <n v="0"/>
    <n v="0"/>
    <n v="89850.625589999996"/>
    <n v="-42641.098701210125"/>
    <n v="29814.093161000001"/>
    <n v="197752.34721000001"/>
    <n v="-10929.2344245"/>
    <n v="80239.679880248004"/>
    <n v="0"/>
    <n v="0"/>
    <n v="0"/>
    <n v="34128.198946800003"/>
    <n v="0"/>
    <n v="0"/>
    <n v="331000"/>
    <n v="47200"/>
    <n v="378200"/>
    <n v="6.9267741023466209E-2"/>
    <n v="0.99970000000000003"/>
    <n v="1.0088999999999999"/>
    <n v="0.99650000000000005"/>
    <n v="1.0093000000000001"/>
    <n v="1.0199"/>
    <n v="0.94971499999999998"/>
    <n v="0.98287115000146663"/>
    <n v="331000"/>
    <n v="0"/>
    <n v="331000"/>
    <n v="44800"/>
    <n v="375800"/>
    <n v="0.15693813351974834"/>
    <n v="-0.33727810650887574"/>
    <n v="6.248232965790218E-2"/>
  </r>
  <r>
    <n v="2025"/>
    <s v="18132322442    "/>
    <n v="-1.7719568419318752"/>
    <n v="0.17"/>
    <m/>
    <s v="6"/>
    <s v="RES"/>
    <x v="0"/>
    <s v="11"/>
    <s v="259"/>
    <s v="RN"/>
    <s v="A"/>
    <s v="AV"/>
    <x v="6"/>
    <n v="64"/>
    <n v="49"/>
    <n v="1960"/>
    <n v="1975"/>
    <n v="1124"/>
    <m/>
    <n v="1100"/>
    <n v="550"/>
    <n v="550"/>
    <m/>
    <n v="1674"/>
    <n v="2000"/>
    <n v="9"/>
    <m/>
    <m/>
    <n v="192"/>
    <m/>
    <m/>
    <m/>
    <m/>
    <n v="270271"/>
    <n v="191892"/>
    <n v="0"/>
    <n v="311800"/>
    <n v="52700"/>
    <n v="259100"/>
    <n v="0"/>
    <n v="0"/>
    <n v="89850.625589999996"/>
    <n v="-56090.612940989391"/>
    <n v="21557.329055999999"/>
    <n v="160472.20319"/>
    <n v="-10929.2344245"/>
    <n v="55535.344941748001"/>
    <n v="0"/>
    <n v="0"/>
    <n v="31990.0847717"/>
    <n v="34128.198946800003"/>
    <n v="6392.7389329920006"/>
    <n v="0"/>
    <n v="299100"/>
    <n v="33800"/>
    <n v="332900"/>
    <n v="6.7671584348941632E-2"/>
    <n v="0.99970000000000003"/>
    <n v="1.0067999999999999"/>
    <n v="0.99729999999999996"/>
    <n v="1.0093000000000001"/>
    <n v="1.0199"/>
    <n v="0.94971499999999998"/>
    <n v="0.98161274461821502"/>
    <n v="299100"/>
    <n v="0"/>
    <n v="299100"/>
    <n v="32100"/>
    <n v="331200"/>
    <n v="0.15438054805094559"/>
    <n v="-0.39089184060721061"/>
    <n v="6.2219371391917896E-2"/>
  </r>
  <r>
    <n v="2025"/>
    <s v="18132324411    "/>
    <n v="-1.5606477482646683"/>
    <n v="0.21"/>
    <m/>
    <s v="6"/>
    <s v="RES"/>
    <x v="0"/>
    <s v="11"/>
    <s v="259"/>
    <s v="RN"/>
    <s v="A"/>
    <s v="GD"/>
    <x v="6"/>
    <n v="64"/>
    <n v="49"/>
    <n v="1960"/>
    <n v="1975"/>
    <n v="1666"/>
    <m/>
    <n v="1022"/>
    <n v="406"/>
    <n v="616"/>
    <m/>
    <n v="2282"/>
    <n v="2500"/>
    <n v="9"/>
    <m/>
    <n v="266"/>
    <m/>
    <m/>
    <m/>
    <m/>
    <m/>
    <n v="328885"/>
    <n v="236797"/>
    <n v="6068"/>
    <n v="376000"/>
    <n v="60100"/>
    <n v="315900"/>
    <n v="0"/>
    <n v="0"/>
    <n v="89850.625589999996"/>
    <n v="-49401.70477837498"/>
    <n v="21557.329055999999"/>
    <n v="197752.34721000001"/>
    <n v="-10929.2344245"/>
    <n v="82314.844015081995"/>
    <n v="0"/>
    <n v="0"/>
    <n v="29721.696942433999"/>
    <n v="34128.198946800003"/>
    <n v="0"/>
    <n v="6100"/>
    <n v="354500"/>
    <n v="40400"/>
    <n v="401000"/>
    <n v="6.6489361702127658E-2"/>
    <n v="0.99970000000000003"/>
    <n v="1.0067999999999999"/>
    <n v="0.99650000000000005"/>
    <n v="0.98919999999999997"/>
    <n v="1.0199"/>
    <n v="0.94971499999999998"/>
    <n v="0.96129239557319079"/>
    <n v="354500"/>
    <n v="5800"/>
    <n v="360300"/>
    <n v="38400"/>
    <n v="398700"/>
    <n v="0.14055080721747387"/>
    <n v="-0.36106489184692181"/>
    <n v="6.0372340425531912E-2"/>
  </r>
  <r>
    <n v="2025"/>
    <s v="18132323518    "/>
    <n v="-1.7147984280919266"/>
    <n v="0.18"/>
    <m/>
    <s v="6"/>
    <s v="RES"/>
    <x v="0"/>
    <s v="11"/>
    <s v="259"/>
    <s v="RN"/>
    <s v="A+"/>
    <s v="AV"/>
    <x v="6"/>
    <n v="64"/>
    <n v="49"/>
    <n v="1960"/>
    <n v="1975"/>
    <n v="1717"/>
    <m/>
    <m/>
    <n v="0"/>
    <m/>
    <m/>
    <n v="1717"/>
    <n v="2000"/>
    <n v="8"/>
    <m/>
    <m/>
    <n v="400"/>
    <m/>
    <m/>
    <m/>
    <m/>
    <n v="325599"/>
    <n v="231175"/>
    <n v="0"/>
    <n v="322400"/>
    <n v="54700"/>
    <n v="267700"/>
    <n v="0"/>
    <n v="0"/>
    <n v="89850.625589999996"/>
    <n v="-54281.285314520763"/>
    <n v="29814.093161000001"/>
    <n v="160472.20319"/>
    <n v="-10929.2344245"/>
    <n v="84834.686178809003"/>
    <n v="0"/>
    <n v="0"/>
    <n v="0"/>
    <n v="30336.176841600001"/>
    <n v="13318.206110400002"/>
    <n v="0"/>
    <n v="307800"/>
    <n v="35600"/>
    <n v="343400"/>
    <n v="6.5136476426799012E-2"/>
    <n v="0.99970000000000003"/>
    <n v="1.0088999999999999"/>
    <n v="0.99729999999999996"/>
    <n v="1.0093000000000001"/>
    <n v="1.0199"/>
    <n v="0.94971499999999998"/>
    <n v="0.98366020862665582"/>
    <n v="307800"/>
    <n v="0"/>
    <n v="307800"/>
    <n v="33800"/>
    <n v="341600"/>
    <n v="0.14979454613373178"/>
    <n v="-0.38208409506398539"/>
    <n v="5.9553349875930521E-2"/>
  </r>
  <r>
    <n v="2025"/>
    <s v="18132322413    "/>
    <n v="-1.5141277326297755"/>
    <n v="0.22"/>
    <m/>
    <s v="6"/>
    <s v="RES"/>
    <x v="0"/>
    <s v="11"/>
    <s v="259"/>
    <s v="RN"/>
    <s v="A"/>
    <s v="AV"/>
    <x v="6"/>
    <n v="64"/>
    <n v="49"/>
    <n v="1960"/>
    <n v="1975"/>
    <n v="1364"/>
    <m/>
    <n v="1129"/>
    <n v="799"/>
    <n v="330"/>
    <m/>
    <n v="1694"/>
    <n v="2000"/>
    <n v="8"/>
    <m/>
    <n v="237"/>
    <n v="60"/>
    <m/>
    <m/>
    <m/>
    <m/>
    <n v="289545"/>
    <n v="205577"/>
    <n v="0"/>
    <n v="325100"/>
    <n v="61700"/>
    <n v="263400"/>
    <n v="0"/>
    <n v="0"/>
    <n v="89850.625589999996"/>
    <n v="-47929.131559187132"/>
    <n v="21557.329055999999"/>
    <n v="160472.20319"/>
    <n v="-10929.2344245"/>
    <n v="67393.425712227996"/>
    <n v="0"/>
    <n v="0"/>
    <n v="32833.459733862997"/>
    <n v="30336.176841600001"/>
    <n v="1997.7309165600002"/>
    <n v="0"/>
    <n v="303700"/>
    <n v="41900"/>
    <n v="345600"/>
    <n v="6.3057520762842198E-2"/>
    <n v="0.99970000000000003"/>
    <n v="1.0067999999999999"/>
    <n v="0.99729999999999996"/>
    <n v="1.0093000000000001"/>
    <n v="1.0199"/>
    <n v="0.94971499999999998"/>
    <n v="0.98161274461821502"/>
    <n v="303700"/>
    <n v="0"/>
    <n v="303700"/>
    <n v="39800"/>
    <n v="343500"/>
    <n v="0.15299924069855733"/>
    <n v="-0.35494327390599678"/>
    <n v="5.6597969855429101E-2"/>
  </r>
  <r>
    <n v="2025"/>
    <s v="18132242496    "/>
    <n v="-1.2729656758128873"/>
    <n v="0.28000000000000003"/>
    <n v="12219"/>
    <s v="6"/>
    <s v="RES"/>
    <x v="0"/>
    <s v="11"/>
    <s v="259"/>
    <s v="RN"/>
    <s v="G"/>
    <s v="GD"/>
    <x v="6"/>
    <n v="64"/>
    <n v="49"/>
    <n v="1960"/>
    <n v="1975"/>
    <n v="1516"/>
    <m/>
    <m/>
    <n v="0"/>
    <m/>
    <m/>
    <n v="1516"/>
    <n v="2000"/>
    <n v="8"/>
    <n v="325"/>
    <m/>
    <m/>
    <m/>
    <m/>
    <m/>
    <m/>
    <n v="348291"/>
    <n v="250770"/>
    <n v="0"/>
    <n v="363100"/>
    <n v="70100"/>
    <n v="293000"/>
    <n v="0"/>
    <n v="0"/>
    <n v="89850.625589999996"/>
    <n v="-40295.239319339329"/>
    <n v="44121.038090000002"/>
    <n v="197752.34721000001"/>
    <n v="-10929.2344245"/>
    <n v="74903.543533532007"/>
    <n v="0"/>
    <n v="0"/>
    <n v="0"/>
    <n v="30336.176841600001"/>
    <n v="0"/>
    <n v="0"/>
    <n v="336200"/>
    <n v="49600"/>
    <n v="385800"/>
    <n v="6.2517212889011298E-2"/>
    <n v="0.99970000000000003"/>
    <n v="0.98050000000000004"/>
    <n v="0.99650000000000005"/>
    <n v="1.0093000000000001"/>
    <n v="1.0199"/>
    <n v="0.94971499999999998"/>
    <n v="0.95520384832633376"/>
    <n v="336200"/>
    <n v="0"/>
    <n v="336200"/>
    <n v="47100"/>
    <n v="383300"/>
    <n v="0.14744027303754267"/>
    <n v="-0.32810271041369471"/>
    <n v="5.5632057284494628E-2"/>
  </r>
  <r>
    <n v="2025"/>
    <s v="18132332466    "/>
    <n v="-1.6094379124341003"/>
    <n v="0.2"/>
    <n v="8681"/>
    <s v="6"/>
    <s v="RES"/>
    <x v="0"/>
    <s v="11"/>
    <s v="259"/>
    <s v="RN"/>
    <s v="A+"/>
    <s v="AV"/>
    <x v="6"/>
    <n v="64"/>
    <n v="49"/>
    <n v="1960"/>
    <n v="1975"/>
    <n v="1612"/>
    <m/>
    <n v="510"/>
    <n v="0"/>
    <n v="510"/>
    <m/>
    <n v="2122"/>
    <n v="2500"/>
    <n v="8"/>
    <n v="308"/>
    <m/>
    <n v="412"/>
    <m/>
    <m/>
    <m/>
    <m/>
    <n v="379176"/>
    <n v="269215"/>
    <n v="0"/>
    <n v="336700"/>
    <n v="58400"/>
    <n v="278300"/>
    <n v="0"/>
    <n v="0"/>
    <n v="89850.625589999996"/>
    <n v="-50946.13867709865"/>
    <n v="29814.093161000001"/>
    <n v="160472.20319"/>
    <n v="-10929.2344245"/>
    <n v="79646.775841723997"/>
    <n v="0"/>
    <n v="0"/>
    <n v="14831.766575969999"/>
    <n v="30336.176841600001"/>
    <n v="13717.752293712001"/>
    <n v="0"/>
    <n v="317900"/>
    <n v="38900"/>
    <n v="356800"/>
    <n v="5.9697059697059698E-2"/>
    <n v="0.99970000000000003"/>
    <n v="1.0088999999999999"/>
    <n v="0.99729999999999996"/>
    <n v="0.98919999999999997"/>
    <n v="1.0199"/>
    <n v="0.94971499999999998"/>
    <n v="0.96407081974981479"/>
    <n v="317900"/>
    <n v="0"/>
    <n v="317900"/>
    <n v="36900"/>
    <n v="354800"/>
    <n v="0.14229249011857709"/>
    <n v="-0.36815068493150682"/>
    <n v="5.3757053757053759E-2"/>
  </r>
  <r>
    <n v="2025"/>
    <s v="18132323407    "/>
    <n v="-1.5141277326297755"/>
    <n v="0.22"/>
    <m/>
    <s v="6"/>
    <s v="RES"/>
    <x v="0"/>
    <s v="11"/>
    <s v="400"/>
    <s v="RN"/>
    <s v="G"/>
    <s v="AV"/>
    <x v="6"/>
    <n v="64"/>
    <n v="49"/>
    <n v="1960"/>
    <n v="1975"/>
    <n v="1463"/>
    <m/>
    <m/>
    <n v="0"/>
    <m/>
    <m/>
    <n v="1463"/>
    <n v="1500"/>
    <n v="7"/>
    <n v="432"/>
    <m/>
    <n v="187"/>
    <m/>
    <m/>
    <m/>
    <m/>
    <n v="364308"/>
    <n v="258659"/>
    <n v="0"/>
    <n v="321500"/>
    <n v="61700"/>
    <n v="259800"/>
    <n v="0"/>
    <n v="0"/>
    <n v="89850.625589999996"/>
    <n v="-47929.131559187132"/>
    <n v="44121.038090000002"/>
    <n v="160472.20319"/>
    <n v="-10929.2344245"/>
    <n v="72284.884030051006"/>
    <n v="0"/>
    <n v="0"/>
    <n v="0"/>
    <n v="26544.1547364"/>
    <n v="6226.2613566120008"/>
    <n v="0"/>
    <n v="298700"/>
    <n v="41900"/>
    <n v="340600"/>
    <n v="5.9409020217729397E-2"/>
    <n v="0.99970000000000003"/>
    <n v="0.98050000000000004"/>
    <n v="0.99729999999999996"/>
    <n v="1.0157"/>
    <n v="1.0199"/>
    <n v="0.94971499999999998"/>
    <n v="0.96203253273253719"/>
    <n v="298700"/>
    <n v="0"/>
    <n v="298700"/>
    <n v="39800"/>
    <n v="338500"/>
    <n v="0.14973056197074672"/>
    <n v="-0.35494327390599678"/>
    <n v="5.2877138413685847E-2"/>
  </r>
  <r>
    <n v="2025"/>
    <s v="18132213443    "/>
    <n v="-1.8971199848858813"/>
    <n v="0.15"/>
    <n v="6728"/>
    <s v="6"/>
    <s v="RES"/>
    <x v="0"/>
    <s v="11"/>
    <s v="259"/>
    <s v="RN"/>
    <s v="G"/>
    <s v="AV"/>
    <x v="6"/>
    <n v="64"/>
    <n v="49"/>
    <n v="1960"/>
    <n v="1975"/>
    <n v="1387"/>
    <m/>
    <m/>
    <n v="0"/>
    <m/>
    <m/>
    <n v="1387"/>
    <n v="1500"/>
    <n v="8"/>
    <n v="308"/>
    <m/>
    <m/>
    <m/>
    <m/>
    <m/>
    <m/>
    <n v="358161"/>
    <n v="254294"/>
    <n v="0"/>
    <n v="304900"/>
    <n v="48400"/>
    <n v="256500"/>
    <n v="0"/>
    <n v="0"/>
    <n v="89850.625589999996"/>
    <n v="-60052.604136134301"/>
    <n v="44121.038090000002"/>
    <n v="160472.20319"/>
    <n v="-10929.2344245"/>
    <n v="68529.825119399"/>
    <n v="0"/>
    <n v="0"/>
    <n v="0"/>
    <n v="30336.176841600001"/>
    <n v="0"/>
    <n v="0"/>
    <n v="292500"/>
    <n v="29800"/>
    <n v="322300"/>
    <n v="5.706789111183995E-2"/>
    <n v="0.99970000000000003"/>
    <n v="0.98050000000000004"/>
    <n v="0.99729999999999996"/>
    <n v="1.0157"/>
    <n v="1.0199"/>
    <n v="0.94971499999999998"/>
    <n v="0.96203253273253719"/>
    <n v="292500"/>
    <n v="0"/>
    <n v="292500"/>
    <n v="28300"/>
    <n v="320800"/>
    <n v="0.14035087719298245"/>
    <n v="-0.41528925619834711"/>
    <n v="5.2148245326336502E-2"/>
  </r>
  <r>
    <n v="2025"/>
    <s v="18132214406    "/>
    <n v="-2.120263536200091"/>
    <n v="0.12"/>
    <n v="5134"/>
    <s v="6"/>
    <s v="RES"/>
    <x v="0"/>
    <s v="11"/>
    <s v="259"/>
    <s v="RN"/>
    <s v="A"/>
    <s v="AV"/>
    <x v="6"/>
    <n v="64"/>
    <n v="49"/>
    <n v="1960"/>
    <n v="1975"/>
    <n v="864"/>
    <m/>
    <n v="864"/>
    <n v="264"/>
    <n v="600"/>
    <m/>
    <n v="1464"/>
    <n v="1500"/>
    <n v="8"/>
    <n v="264"/>
    <m/>
    <n v="60"/>
    <m/>
    <m/>
    <m/>
    <m/>
    <n v="232149"/>
    <n v="164826"/>
    <n v="0"/>
    <n v="278600"/>
    <n v="40600"/>
    <n v="238000"/>
    <n v="0"/>
    <n v="0"/>
    <n v="89850.625589999996"/>
    <n v="-67116.12750806773"/>
    <n v="21557.329055999999"/>
    <n v="160472.20319"/>
    <n v="-10929.2344245"/>
    <n v="42689.090773727999"/>
    <n v="0"/>
    <n v="0"/>
    <n v="25126.757493408"/>
    <n v="30336.176841600001"/>
    <n v="1997.7309165600002"/>
    <n v="0"/>
    <n v="271300"/>
    <n v="22700"/>
    <n v="294000"/>
    <n v="5.5276381909547742E-2"/>
    <n v="0.99970000000000003"/>
    <n v="1.0067999999999999"/>
    <n v="0.99729999999999996"/>
    <n v="1.0157"/>
    <n v="1.0199"/>
    <n v="0.94971499999999998"/>
    <n v="0.98783717894453682"/>
    <n v="271300"/>
    <n v="0"/>
    <n v="271300"/>
    <n v="21600"/>
    <n v="292900"/>
    <n v="0.13991596638655462"/>
    <n v="-0.46798029556650245"/>
    <n v="5.1328068916008614E-2"/>
  </r>
  <r>
    <n v="2025"/>
    <s v="18132244471    "/>
    <n v="-1.6607312068216509"/>
    <n v="0.19"/>
    <n v="8266"/>
    <s v="6"/>
    <s v="RES"/>
    <x v="0"/>
    <s v="11"/>
    <s v="259"/>
    <s v="RN"/>
    <s v="A"/>
    <s v="AV"/>
    <x v="6"/>
    <n v="64"/>
    <n v="49"/>
    <n v="1960"/>
    <n v="1975"/>
    <n v="1205"/>
    <m/>
    <m/>
    <n v="0"/>
    <m/>
    <n v="120"/>
    <n v="1325"/>
    <n v="1500"/>
    <n v="8"/>
    <n v="264"/>
    <m/>
    <m/>
    <m/>
    <m/>
    <m/>
    <m/>
    <n v="226605"/>
    <n v="160890"/>
    <n v="0"/>
    <n v="290900"/>
    <n v="56600"/>
    <n v="234300"/>
    <n v="0"/>
    <n v="0"/>
    <n v="89850.625589999996"/>
    <n v="-52569.808201026557"/>
    <n v="21557.329055999999"/>
    <n v="160472.20319"/>
    <n v="-10929.2344245"/>
    <n v="59537.447201784998"/>
    <n v="0"/>
    <n v="7811.3605261200009"/>
    <n v="0"/>
    <n v="30336.176841600001"/>
    <n v="0"/>
    <n v="0"/>
    <n v="268800"/>
    <n v="37300"/>
    <n v="306100"/>
    <n v="5.2251632863526985E-2"/>
    <n v="0.99970000000000003"/>
    <n v="1.0067999999999999"/>
    <n v="0.99729999999999996"/>
    <n v="1.0157"/>
    <n v="1.0199"/>
    <n v="0.94971499999999998"/>
    <n v="0.98783717894453682"/>
    <n v="268800"/>
    <n v="0"/>
    <n v="268800"/>
    <n v="35400"/>
    <n v="304200"/>
    <n v="0.147247119078105"/>
    <n v="-0.37455830388692579"/>
    <n v="4.5720178755586115E-2"/>
  </r>
  <r>
    <n v="2025"/>
    <s v="18132214404    "/>
    <n v="-1.7147984280919266"/>
    <n v="0.18"/>
    <n v="7634"/>
    <s v="6"/>
    <s v="RES"/>
    <x v="0"/>
    <s v="11"/>
    <s v="259"/>
    <s v="RN"/>
    <s v="A"/>
    <s v="AV"/>
    <x v="6"/>
    <n v="64"/>
    <n v="49"/>
    <n v="1960"/>
    <n v="1975"/>
    <n v="1134"/>
    <m/>
    <m/>
    <n v="0"/>
    <m/>
    <m/>
    <n v="1134"/>
    <n v="1500"/>
    <n v="5"/>
    <m/>
    <m/>
    <m/>
    <m/>
    <m/>
    <m/>
    <m/>
    <n v="189498"/>
    <n v="134544"/>
    <n v="18539"/>
    <n v="284500"/>
    <n v="54700"/>
    <n v="229800"/>
    <n v="0"/>
    <n v="0"/>
    <n v="89850.625589999996"/>
    <n v="-54281.285314520763"/>
    <n v="21557.329055999999"/>
    <n v="160472.20319"/>
    <n v="-10929.2344245"/>
    <n v="56029.431640518"/>
    <n v="0"/>
    <n v="0"/>
    <n v="0"/>
    <n v="18960.110526"/>
    <n v="0"/>
    <n v="18500"/>
    <n v="246100"/>
    <n v="35600"/>
    <n v="300200"/>
    <n v="5.5184534270650266E-2"/>
    <n v="0.99970000000000003"/>
    <n v="1.0067999999999999"/>
    <n v="0.99729999999999996"/>
    <n v="1.0157"/>
    <n v="1.0199"/>
    <n v="0.94971499999999998"/>
    <n v="0.98783717894453682"/>
    <n v="246100"/>
    <n v="17600"/>
    <n v="263700"/>
    <n v="33800"/>
    <n v="297500"/>
    <n v="0.1475195822454308"/>
    <n v="-0.38208409506398539"/>
    <n v="4.5694200351493852E-2"/>
  </r>
  <r>
    <n v="2025"/>
    <s v="18132333022    "/>
    <n v="-1.2729656758128873"/>
    <n v="0.28000000000000003"/>
    <n v="12355"/>
    <s v="6"/>
    <s v="RES"/>
    <x v="0"/>
    <s v="11"/>
    <s v="259"/>
    <s v="RN"/>
    <s v="G"/>
    <s v="GD"/>
    <x v="6"/>
    <n v="64"/>
    <n v="49"/>
    <n v="1960"/>
    <n v="1975"/>
    <n v="1552"/>
    <m/>
    <n v="696"/>
    <n v="0"/>
    <n v="696"/>
    <m/>
    <n v="2248"/>
    <n v="2500"/>
    <n v="7"/>
    <m/>
    <m/>
    <m/>
    <m/>
    <m/>
    <m/>
    <m/>
    <n v="442403"/>
    <n v="318530"/>
    <n v="14022"/>
    <n v="396800"/>
    <n v="70100"/>
    <n v="326700"/>
    <n v="0"/>
    <n v="0"/>
    <n v="89850.625589999996"/>
    <n v="-40295.239319339329"/>
    <n v="44121.038090000002"/>
    <n v="197752.34721000001"/>
    <n v="-10929.2344245"/>
    <n v="76682.255649104001"/>
    <n v="0"/>
    <n v="0"/>
    <n v="20240.999091911999"/>
    <n v="26544.1547364"/>
    <n v="0"/>
    <n v="14000"/>
    <n v="354400"/>
    <n v="49600"/>
    <n v="418000"/>
    <n v="5.3427419354838711E-2"/>
    <n v="0.99970000000000003"/>
    <n v="0.98050000000000004"/>
    <n v="0.99650000000000005"/>
    <n v="0.98919999999999997"/>
    <n v="1.0199"/>
    <n v="0.94971499999999998"/>
    <n v="0.936181161958198"/>
    <n v="354400"/>
    <n v="13300"/>
    <n v="367700"/>
    <n v="47100"/>
    <n v="414800"/>
    <n v="0.12549739822467096"/>
    <n v="-0.32810271041369471"/>
    <n v="4.5362903225806453E-2"/>
  </r>
  <r>
    <n v="2025"/>
    <s v="18132212411    "/>
    <n v="-1.4271163556401458"/>
    <n v="0.24"/>
    <n v="10630"/>
    <s v="6"/>
    <s v="RES"/>
    <x v="0"/>
    <s v="11"/>
    <s v="259"/>
    <s v="RN"/>
    <s v="A+"/>
    <s v="GD"/>
    <x v="6"/>
    <n v="64"/>
    <n v="49"/>
    <n v="1960"/>
    <n v="1975"/>
    <n v="1818"/>
    <m/>
    <n v="700"/>
    <n v="0"/>
    <n v="700"/>
    <m/>
    <n v="2518"/>
    <n v="3000"/>
    <n v="9"/>
    <m/>
    <m/>
    <m/>
    <m/>
    <m/>
    <m/>
    <m/>
    <n v="413537"/>
    <n v="297747"/>
    <n v="0"/>
    <n v="386000"/>
    <n v="64800"/>
    <n v="321200"/>
    <n v="0"/>
    <n v="0"/>
    <n v="89850.625589999996"/>
    <n v="-45174.819855485119"/>
    <n v="29814.093161000001"/>
    <n v="197752.34721000001"/>
    <n v="-10929.2344245"/>
    <n v="89824.961836386006"/>
    <n v="0"/>
    <n v="0"/>
    <n v="20357.326672899999"/>
    <n v="34128.198946800003"/>
    <n v="0"/>
    <n v="0"/>
    <n v="360900"/>
    <n v="44700"/>
    <n v="405600"/>
    <n v="5.0777202072538857E-2"/>
    <n v="0.99970000000000003"/>
    <n v="1.0088999999999999"/>
    <n v="0.99650000000000005"/>
    <n v="0.96179999999999999"/>
    <n v="1.0199"/>
    <n v="0.94971499999999998"/>
    <n v="0.93661495300843212"/>
    <n v="360900"/>
    <n v="0"/>
    <n v="360900"/>
    <n v="42400"/>
    <n v="403300"/>
    <n v="0.12359900373599003"/>
    <n v="-0.34567901234567899"/>
    <n v="4.4818652849740931E-2"/>
  </r>
  <r>
    <n v="2025"/>
    <s v="18132323466    "/>
    <n v="-1.6094379124341003"/>
    <n v="0.2"/>
    <n v="8554"/>
    <s v="6"/>
    <s v="RES"/>
    <x v="0"/>
    <s v="11"/>
    <s v="259"/>
    <s v="RN"/>
    <s v="A"/>
    <s v="AV"/>
    <x v="6"/>
    <n v="64"/>
    <n v="49"/>
    <n v="1960"/>
    <n v="1975"/>
    <n v="1203"/>
    <m/>
    <m/>
    <n v="0"/>
    <m/>
    <m/>
    <n v="1203"/>
    <n v="1500"/>
    <n v="8"/>
    <m/>
    <m/>
    <m/>
    <m/>
    <m/>
    <m/>
    <m/>
    <n v="191882"/>
    <n v="136236"/>
    <n v="26229"/>
    <n v="308900"/>
    <n v="58400"/>
    <n v="250500"/>
    <n v="0"/>
    <n v="0"/>
    <n v="89850.625589999996"/>
    <n v="-50946.13867709865"/>
    <n v="21557.329055999999"/>
    <n v="160472.20319"/>
    <n v="-10929.2344245"/>
    <n v="59438.629862031004"/>
    <n v="0"/>
    <n v="0"/>
    <n v="0"/>
    <n v="30336.176841600001"/>
    <n v="0"/>
    <n v="26200"/>
    <n v="260900"/>
    <n v="38900"/>
    <n v="326000"/>
    <n v="5.5357720945289735E-2"/>
    <n v="0.99970000000000003"/>
    <n v="1.0067999999999999"/>
    <n v="0.99729999999999996"/>
    <n v="1.0157"/>
    <n v="1.0199"/>
    <n v="0.94971499999999998"/>
    <n v="0.98783717894453682"/>
    <n v="260900"/>
    <n v="24900"/>
    <n v="285800"/>
    <n v="36900"/>
    <n v="322700"/>
    <n v="0.14091816367265469"/>
    <n v="-0.36815068493150682"/>
    <n v="4.4674651990935579E-2"/>
  </r>
  <r>
    <n v="2025"/>
    <s v="18132324416    "/>
    <n v="-1.5606477482646683"/>
    <n v="0.21"/>
    <m/>
    <s v="6"/>
    <s v="RES"/>
    <x v="0"/>
    <s v="11"/>
    <s v="259"/>
    <s v="SE"/>
    <s v="A+"/>
    <s v="GD"/>
    <x v="6"/>
    <n v="64"/>
    <n v="49"/>
    <n v="1960"/>
    <n v="1975"/>
    <n v="1410"/>
    <m/>
    <n v="834"/>
    <n v="0"/>
    <n v="834"/>
    <m/>
    <n v="2244"/>
    <n v="2500"/>
    <n v="8"/>
    <m/>
    <n v="504"/>
    <n v="98"/>
    <m/>
    <m/>
    <m/>
    <m/>
    <n v="385438"/>
    <n v="277515"/>
    <n v="0"/>
    <n v="367000"/>
    <n v="60100"/>
    <n v="306900"/>
    <n v="0"/>
    <n v="0"/>
    <n v="89850.625589999996"/>
    <n v="-49401.70477837498"/>
    <n v="29814.093161000001"/>
    <n v="197752.34721000001"/>
    <n v="-10929.2344245"/>
    <n v="69666.224526570004"/>
    <n v="0"/>
    <n v="0"/>
    <n v="24254.300635997999"/>
    <n v="30336.176841600001"/>
    <n v="3262.9604970480004"/>
    <n v="0"/>
    <n v="344200"/>
    <n v="40400"/>
    <n v="384600"/>
    <n v="4.7956403269754769E-2"/>
    <n v="0.99970000000000003"/>
    <n v="1.0088999999999999"/>
    <n v="0.99650000000000005"/>
    <n v="0.98919999999999997"/>
    <n v="1.0199"/>
    <n v="0.94971499999999998"/>
    <n v="0.9632974750633615"/>
    <n v="344200"/>
    <n v="0"/>
    <n v="344200"/>
    <n v="38400"/>
    <n v="382600"/>
    <n v="0.12153796024763766"/>
    <n v="-0.36106489184692181"/>
    <n v="4.2506811989100821E-2"/>
  </r>
  <r>
    <n v="2025"/>
    <s v="18132242468    "/>
    <n v="-1.7719568419318752"/>
    <n v="0.17"/>
    <n v="7257"/>
    <s v="6"/>
    <s v="RES"/>
    <x v="0"/>
    <s v="11"/>
    <s v="259"/>
    <s v="SE"/>
    <s v="A"/>
    <s v="GD"/>
    <x v="6"/>
    <n v="64"/>
    <n v="49"/>
    <n v="1960"/>
    <n v="1975"/>
    <n v="1300"/>
    <m/>
    <n v="1300"/>
    <n v="0"/>
    <n v="1300"/>
    <m/>
    <n v="2600"/>
    <n v="3000"/>
    <n v="9"/>
    <m/>
    <m/>
    <m/>
    <m/>
    <m/>
    <m/>
    <m/>
    <n v="358617"/>
    <n v="258204"/>
    <n v="29011"/>
    <n v="388200"/>
    <n v="52700"/>
    <n v="335500"/>
    <n v="0"/>
    <n v="0"/>
    <n v="89850.625589999996"/>
    <n v="-56090.612940989391"/>
    <n v="21557.329055999999"/>
    <n v="197752.34721000001"/>
    <n v="-10929.2344245"/>
    <n v="64231.270840099998"/>
    <n v="0"/>
    <n v="0"/>
    <n v="37806.463821099998"/>
    <n v="34128.198946800003"/>
    <n v="0"/>
    <n v="29000"/>
    <n v="344500"/>
    <n v="33800"/>
    <n v="407300"/>
    <n v="4.920144255538382E-2"/>
    <n v="0.99970000000000003"/>
    <n v="1.0067999999999999"/>
    <n v="0.99650000000000005"/>
    <n v="0.96179999999999999"/>
    <n v="1.0199"/>
    <n v="0.94971499999999998"/>
    <n v="0.9346654125174837"/>
    <n v="344500"/>
    <n v="27600"/>
    <n v="372100"/>
    <n v="32100"/>
    <n v="404200"/>
    <n v="0.10909090909090909"/>
    <n v="-0.39089184060721061"/>
    <n v="4.1215868109222051E-2"/>
  </r>
  <r>
    <n v="2025"/>
    <s v="18132323401    "/>
    <n v="-2.0402208285265546"/>
    <n v="0.13"/>
    <m/>
    <s v="6"/>
    <s v="RES"/>
    <x v="0"/>
    <s v="11"/>
    <s v="259"/>
    <s v="RN"/>
    <s v="A"/>
    <s v="AV"/>
    <x v="6"/>
    <n v="64"/>
    <n v="49"/>
    <n v="1960"/>
    <n v="1975"/>
    <n v="1325"/>
    <m/>
    <m/>
    <n v="0"/>
    <m/>
    <m/>
    <n v="1325"/>
    <n v="1500"/>
    <n v="8"/>
    <m/>
    <m/>
    <m/>
    <m/>
    <m/>
    <m/>
    <m/>
    <n v="219692"/>
    <n v="155981"/>
    <n v="0"/>
    <n v="279700"/>
    <n v="43400"/>
    <n v="236300"/>
    <n v="0"/>
    <n v="0"/>
    <n v="89850.625589999996"/>
    <n v="-64582.406353792743"/>
    <n v="21557.329055999999"/>
    <n v="160472.20319"/>
    <n v="-10929.2344245"/>
    <n v="65466.487587025003"/>
    <n v="0"/>
    <n v="0"/>
    <n v="0"/>
    <n v="30336.176841600001"/>
    <n v="0"/>
    <n v="0"/>
    <n v="266900"/>
    <n v="25300"/>
    <n v="292200"/>
    <n v="4.46907400786557E-2"/>
    <n v="0.99970000000000003"/>
    <n v="1.0067999999999999"/>
    <n v="0.99729999999999996"/>
    <n v="1.0157"/>
    <n v="1.0199"/>
    <n v="0.94971499999999998"/>
    <n v="0.98783717894453682"/>
    <n v="266900"/>
    <n v="0"/>
    <n v="266900"/>
    <n v="24000"/>
    <n v="290900"/>
    <n v="0.12949640287769784"/>
    <n v="-0.44700460829493088"/>
    <n v="4.0042903110475508E-2"/>
  </r>
  <r>
    <n v="2025"/>
    <s v="18132324425    "/>
    <n v="-1.7147984280919266"/>
    <n v="0.18"/>
    <m/>
    <s v="6"/>
    <s v="RES"/>
    <x v="0"/>
    <s v="11"/>
    <s v="259"/>
    <s v="RN"/>
    <s v="A+"/>
    <s v="AV"/>
    <x v="6"/>
    <n v="64"/>
    <n v="49"/>
    <n v="1960"/>
    <n v="1975"/>
    <n v="1248"/>
    <m/>
    <n v="1248"/>
    <n v="624"/>
    <n v="624"/>
    <m/>
    <n v="1872"/>
    <n v="2000"/>
    <n v="8"/>
    <n v="300"/>
    <m/>
    <m/>
    <m/>
    <m/>
    <m/>
    <m/>
    <n v="342719"/>
    <n v="243330"/>
    <n v="0"/>
    <n v="328600"/>
    <n v="54700"/>
    <n v="273900"/>
    <n v="0"/>
    <n v="0"/>
    <n v="89850.625589999996"/>
    <n v="-54281.285314520763"/>
    <n v="29814.093161000001"/>
    <n v="160472.20319"/>
    <n v="-10929.2344245"/>
    <n v="61662.020006496001"/>
    <n v="0"/>
    <n v="0"/>
    <n v="36294.205268255995"/>
    <n v="30336.176841600001"/>
    <n v="0"/>
    <n v="0"/>
    <n v="307600"/>
    <n v="35600"/>
    <n v="343200"/>
    <n v="4.4430919050517347E-2"/>
    <n v="0.99970000000000003"/>
    <n v="1.0088999999999999"/>
    <n v="0.99729999999999996"/>
    <n v="1.0093000000000001"/>
    <n v="1.0199"/>
    <n v="0.94971499999999998"/>
    <n v="0.98366020862665582"/>
    <n v="307600"/>
    <n v="0"/>
    <n v="307600"/>
    <n v="33800"/>
    <n v="341400"/>
    <n v="0.12303760496531581"/>
    <n v="-0.38208409506398539"/>
    <n v="3.8953134510042606E-2"/>
  </r>
  <r>
    <n v="2025"/>
    <s v="18132243004    "/>
    <n v="-1.6094379124341003"/>
    <n v="0.2"/>
    <n v="8829"/>
    <s v="6"/>
    <s v="RES"/>
    <x v="0"/>
    <s v="11"/>
    <s v="259"/>
    <s v="RN"/>
    <s v="A+"/>
    <s v="GD"/>
    <x v="6"/>
    <n v="64"/>
    <n v="49"/>
    <n v="1960"/>
    <n v="1975"/>
    <n v="1392"/>
    <m/>
    <n v="1392"/>
    <n v="0"/>
    <n v="1392"/>
    <m/>
    <n v="2784"/>
    <n v="3000"/>
    <n v="7"/>
    <n v="525"/>
    <m/>
    <n v="128"/>
    <m/>
    <m/>
    <m/>
    <m/>
    <n v="418049"/>
    <n v="300995"/>
    <n v="0"/>
    <n v="379300"/>
    <n v="58400"/>
    <n v="320900"/>
    <n v="0"/>
    <n v="0"/>
    <n v="89850.625589999996"/>
    <n v="-50946.13867709865"/>
    <n v="29814.093161000001"/>
    <n v="197752.34721000001"/>
    <n v="-10929.2344245"/>
    <n v="68776.868468784"/>
    <n v="0"/>
    <n v="0"/>
    <n v="40481.998183823998"/>
    <n v="26544.1547364"/>
    <n v="4261.8259553280004"/>
    <n v="0"/>
    <n v="356700"/>
    <n v="38900"/>
    <n v="395600"/>
    <n v="4.2973899288162407E-2"/>
    <n v="0.99970000000000003"/>
    <n v="1.0088999999999999"/>
    <n v="0.99650000000000005"/>
    <n v="0.96179999999999999"/>
    <n v="1.0199"/>
    <n v="0.94971499999999998"/>
    <n v="0.93661495300843212"/>
    <n v="356700"/>
    <n v="0"/>
    <n v="356700"/>
    <n v="36900"/>
    <n v="393600"/>
    <n v="0.11156123402929262"/>
    <n v="-0.36815068493150682"/>
    <n v="3.7701028209860266E-2"/>
  </r>
  <r>
    <n v="2025"/>
    <s v="18132214407    "/>
    <n v="-1.3093333199837622"/>
    <n v="0.27"/>
    <n v="11721"/>
    <s v="6"/>
    <s v="RES"/>
    <x v="0"/>
    <s v="11"/>
    <s v="259"/>
    <s v="RN"/>
    <s v="A+"/>
    <s v="FR"/>
    <x v="6"/>
    <n v="64"/>
    <n v="49"/>
    <n v="1960"/>
    <n v="1975"/>
    <n v="1286"/>
    <m/>
    <n v="1286"/>
    <n v="286"/>
    <n v="1000"/>
    <m/>
    <n v="2286"/>
    <n v="2500"/>
    <n v="8"/>
    <m/>
    <m/>
    <n v="168"/>
    <m/>
    <m/>
    <m/>
    <m/>
    <n v="391598"/>
    <n v="274119"/>
    <n v="13322"/>
    <n v="335700"/>
    <n v="68900"/>
    <n v="266800"/>
    <n v="0"/>
    <n v="0"/>
    <n v="89850.625589999996"/>
    <n v="-41446.443120973789"/>
    <n v="29814.093161000001"/>
    <n v="133714.53821"/>
    <n v="-10929.2344245"/>
    <n v="63539.549461822004"/>
    <n v="0"/>
    <n v="0"/>
    <n v="37399.317287641999"/>
    <n v="30336.176841600001"/>
    <n v="5593.646566368001"/>
    <n v="13300"/>
    <n v="289500"/>
    <n v="48400"/>
    <n v="351200"/>
    <n v="4.6172177539469762E-2"/>
    <n v="0.99970000000000003"/>
    <n v="1.0088999999999999"/>
    <n v="0.99329999999999996"/>
    <n v="0.98919999999999997"/>
    <n v="1.0199"/>
    <n v="0.94971499999999998"/>
    <n v="0.96020409631754822"/>
    <n v="289500"/>
    <n v="12700"/>
    <n v="302200"/>
    <n v="46000"/>
    <n v="348200"/>
    <n v="0.13268365817091454"/>
    <n v="-0.33236574746008707"/>
    <n v="3.7235627047959491E-2"/>
  </r>
  <r>
    <n v="2025"/>
    <s v="18132242465    "/>
    <n v="-1.7719568419318752"/>
    <n v="0.17"/>
    <n v="7280"/>
    <s v="6"/>
    <s v="RES"/>
    <x v="0"/>
    <s v="11"/>
    <s v="259"/>
    <s v="RN"/>
    <s v="A+"/>
    <s v="GD"/>
    <x v="6"/>
    <n v="64"/>
    <n v="49"/>
    <n v="1960"/>
    <n v="1975"/>
    <n v="1398"/>
    <m/>
    <n v="725"/>
    <n v="0"/>
    <n v="725"/>
    <m/>
    <n v="2123"/>
    <n v="2500"/>
    <n v="7"/>
    <n v="448"/>
    <m/>
    <m/>
    <m/>
    <m/>
    <m/>
    <m/>
    <n v="378672"/>
    <n v="272644"/>
    <n v="0"/>
    <n v="352500"/>
    <n v="52700"/>
    <n v="299800"/>
    <n v="0"/>
    <n v="0"/>
    <n v="89850.625589999996"/>
    <n v="-56090.612940989391"/>
    <n v="29814.093161000001"/>
    <n v="197752.34721000001"/>
    <n v="-10929.2344245"/>
    <n v="69073.320488045996"/>
    <n v="0"/>
    <n v="0"/>
    <n v="21084.374054075"/>
    <n v="26544.1547364"/>
    <n v="0"/>
    <n v="0"/>
    <n v="333300"/>
    <n v="33800"/>
    <n v="367100"/>
    <n v="4.141843971631206E-2"/>
    <n v="0.99970000000000003"/>
    <n v="1.0088999999999999"/>
    <n v="0.99650000000000005"/>
    <n v="0.98919999999999997"/>
    <n v="1.0199"/>
    <n v="0.94971499999999998"/>
    <n v="0.9632974750633615"/>
    <n v="333300"/>
    <n v="0"/>
    <n v="333300"/>
    <n v="32100"/>
    <n v="365400"/>
    <n v="0.11174116077384923"/>
    <n v="-0.39089184060721061"/>
    <n v="3.6595744680851063E-2"/>
  </r>
  <r>
    <n v="2025"/>
    <s v="18132244017    "/>
    <n v="-1.5141277326297755"/>
    <n v="0.22"/>
    <n v="9672"/>
    <s v="6"/>
    <s v="RES"/>
    <x v="0"/>
    <s v="11"/>
    <s v="259"/>
    <s v="RN"/>
    <s v="G"/>
    <s v="GD"/>
    <x v="6"/>
    <n v="64"/>
    <n v="49"/>
    <n v="1960"/>
    <n v="1975"/>
    <n v="1217"/>
    <m/>
    <n v="1100"/>
    <n v="100"/>
    <n v="1000"/>
    <m/>
    <n v="2217"/>
    <n v="2500"/>
    <n v="12"/>
    <n v="440"/>
    <m/>
    <m/>
    <m/>
    <m/>
    <m/>
    <m/>
    <n v="428151"/>
    <n v="308269"/>
    <n v="0"/>
    <n v="394100"/>
    <n v="61700"/>
    <n v="332400"/>
    <n v="0"/>
    <n v="0"/>
    <n v="89850.625589999996"/>
    <n v="-47929.131559187132"/>
    <n v="44121.038090000002"/>
    <n v="197752.34721000001"/>
    <n v="-10929.2344245"/>
    <n v="60130.351240308999"/>
    <n v="0"/>
    <n v="0"/>
    <n v="31990.0847717"/>
    <n v="45504.265262400004"/>
    <n v="0"/>
    <n v="0"/>
    <n v="368600"/>
    <n v="41900"/>
    <n v="410500"/>
    <n v="4.1613803603146413E-2"/>
    <n v="0.99970000000000003"/>
    <n v="0.98050000000000004"/>
    <n v="0.99650000000000005"/>
    <n v="0.98919999999999997"/>
    <n v="1.0199"/>
    <n v="0.94971499999999998"/>
    <n v="0.936181161958198"/>
    <n v="368600"/>
    <n v="0"/>
    <n v="368600"/>
    <n v="39800"/>
    <n v="408400"/>
    <n v="0.10890493381468111"/>
    <n v="-0.35494327390599678"/>
    <n v="3.628520680030449E-2"/>
  </r>
  <r>
    <n v="2025"/>
    <s v="18132243005    "/>
    <n v="-1.4271163556401458"/>
    <n v="0.24"/>
    <n v="10332"/>
    <s v="6"/>
    <s v="RES"/>
    <x v="0"/>
    <s v="11"/>
    <s v="259"/>
    <s v="RN"/>
    <s v="G"/>
    <s v="GD"/>
    <x v="6"/>
    <n v="64"/>
    <n v="49"/>
    <n v="1960"/>
    <n v="1975"/>
    <n v="1543"/>
    <m/>
    <n v="1144"/>
    <n v="0"/>
    <n v="1144"/>
    <m/>
    <n v="2687"/>
    <n v="3000"/>
    <n v="13"/>
    <n v="441"/>
    <m/>
    <n v="120"/>
    <m/>
    <m/>
    <m/>
    <m/>
    <n v="497991"/>
    <n v="358554"/>
    <n v="23659"/>
    <n v="442800"/>
    <n v="64800"/>
    <n v="378000"/>
    <n v="0"/>
    <n v="0"/>
    <n v="89850.625589999996"/>
    <n v="-45174.819855485119"/>
    <n v="44121.038090000002"/>
    <n v="197752.34721000001"/>
    <n v="-10929.2344245"/>
    <n v="76237.577620210999"/>
    <n v="0"/>
    <n v="0"/>
    <n v="33269.688162567996"/>
    <n v="49296.287367600002"/>
    <n v="3995.4618331200004"/>
    <n v="23700"/>
    <n v="393700"/>
    <n v="44700"/>
    <n v="462100"/>
    <n v="4.358626919602529E-2"/>
    <n v="0.99970000000000003"/>
    <n v="0.98050000000000004"/>
    <n v="0.99650000000000005"/>
    <n v="0.96179999999999999"/>
    <n v="1.0199"/>
    <n v="0.94971499999999998"/>
    <n v="0.91024973874989379"/>
    <n v="393700"/>
    <n v="22500"/>
    <n v="416200"/>
    <n v="42400"/>
    <n v="458600"/>
    <n v="0.10105820105820106"/>
    <n v="-0.34567901234567899"/>
    <n v="3.5682023486901533E-2"/>
  </r>
  <r>
    <n v="2025"/>
    <s v="18132332528    "/>
    <n v="-1.8325814637483102"/>
    <n v="0.16"/>
    <m/>
    <s v="6"/>
    <s v="RES"/>
    <x v="0"/>
    <s v="11"/>
    <s v="259"/>
    <s v="MS"/>
    <s v="A+"/>
    <s v="AV"/>
    <x v="6"/>
    <n v="64"/>
    <n v="49"/>
    <n v="1960"/>
    <n v="1975"/>
    <n v="991"/>
    <m/>
    <n v="504"/>
    <n v="0"/>
    <n v="504"/>
    <m/>
    <n v="1495"/>
    <n v="1500"/>
    <n v="5"/>
    <m/>
    <m/>
    <m/>
    <m/>
    <m/>
    <m/>
    <m/>
    <n v="255306"/>
    <n v="181267"/>
    <n v="7107"/>
    <n v="288900"/>
    <n v="50600"/>
    <n v="238300"/>
    <n v="0"/>
    <n v="0"/>
    <n v="89850.625589999996"/>
    <n v="-58009.662049032086"/>
    <n v="29814.093161000001"/>
    <n v="160472.20319"/>
    <n v="-10929.2344245"/>
    <n v="48963.991848106998"/>
    <n v="0"/>
    <n v="0"/>
    <n v="14657.275204488"/>
    <n v="18960.110526"/>
    <n v="0"/>
    <n v="7100"/>
    <n v="261900"/>
    <n v="31800"/>
    <n v="300800"/>
    <n v="4.1190723433714091E-2"/>
    <n v="0.99970000000000003"/>
    <n v="1.0088999999999999"/>
    <n v="0.99729999999999996"/>
    <n v="1.0157"/>
    <n v="1.0199"/>
    <n v="0.94971499999999998"/>
    <n v="0.98989762598047604"/>
    <n v="261900"/>
    <n v="6700"/>
    <n v="268600"/>
    <n v="30200"/>
    <n v="298800"/>
    <n v="0.12715065044062107"/>
    <n v="-0.40316205533596838"/>
    <n v="3.4267912772585667E-2"/>
  </r>
  <r>
    <n v="2025"/>
    <s v="18132321031    "/>
    <n v="-2.3025850929940455"/>
    <n v="0.1"/>
    <n v="4511"/>
    <s v="6"/>
    <s v="RES"/>
    <x v="0"/>
    <s v="11"/>
    <s v="259"/>
    <s v="RN"/>
    <s v="F+"/>
    <s v="AV"/>
    <x v="6"/>
    <n v="64"/>
    <n v="49"/>
    <n v="1960"/>
    <n v="1975"/>
    <n v="1161"/>
    <m/>
    <m/>
    <n v="0"/>
    <m/>
    <m/>
    <n v="1161"/>
    <n v="1500"/>
    <n v="5"/>
    <m/>
    <m/>
    <m/>
    <m/>
    <m/>
    <m/>
    <m/>
    <n v="182017"/>
    <n v="129232"/>
    <n v="0"/>
    <n v="234000"/>
    <n v="34200"/>
    <n v="199800"/>
    <n v="0"/>
    <n v="0"/>
    <n v="89850.625589999996"/>
    <n v="-72887.446329681261"/>
    <n v="0"/>
    <n v="160472.20319"/>
    <n v="-10929.2344245"/>
    <n v="57363.465727196999"/>
    <n v="0"/>
    <n v="0"/>
    <n v="0"/>
    <n v="18960.110526"/>
    <n v="0"/>
    <n v="0"/>
    <n v="225900"/>
    <n v="17000"/>
    <n v="242900"/>
    <n v="3.8034188034188031E-2"/>
    <n v="0.99970000000000003"/>
    <n v="0.99180000000000001"/>
    <n v="0.99729999999999996"/>
    <n v="1.0157"/>
    <n v="1.0199"/>
    <n v="0.94971499999999998"/>
    <n v="0.97311970011640037"/>
    <n v="225900"/>
    <n v="0"/>
    <n v="225900"/>
    <n v="16100"/>
    <n v="242000"/>
    <n v="0.13063063063063063"/>
    <n v="-0.5292397660818714"/>
    <n v="3.4188034188034191E-2"/>
  </r>
  <r>
    <n v="2025"/>
    <s v="18132323541    "/>
    <n v="-1.9661128563728327"/>
    <n v="0.14000000000000001"/>
    <m/>
    <s v="6"/>
    <s v="RES"/>
    <x v="0"/>
    <s v="11"/>
    <s v="259"/>
    <s v="RN"/>
    <s v="A"/>
    <s v="AV"/>
    <x v="6"/>
    <n v="64"/>
    <n v="49"/>
    <n v="1960"/>
    <n v="1975"/>
    <n v="1128"/>
    <m/>
    <m/>
    <n v="0"/>
    <m/>
    <m/>
    <n v="1128"/>
    <n v="1500"/>
    <n v="7"/>
    <n v="408"/>
    <m/>
    <m/>
    <m/>
    <m/>
    <m/>
    <m/>
    <n v="220940"/>
    <n v="156867"/>
    <n v="0"/>
    <n v="270400"/>
    <n v="46000"/>
    <n v="224400"/>
    <n v="0"/>
    <n v="0"/>
    <n v="89850.625589999996"/>
    <n v="-62236.546971921947"/>
    <n v="21557.329055999999"/>
    <n v="160472.20319"/>
    <n v="-10929.2344245"/>
    <n v="55732.979621256003"/>
    <n v="0"/>
    <n v="0"/>
    <n v="0"/>
    <n v="26544.1547364"/>
    <n v="0"/>
    <n v="0"/>
    <n v="253400"/>
    <n v="27600"/>
    <n v="281000"/>
    <n v="3.9201183431952662E-2"/>
    <n v="0.99970000000000003"/>
    <n v="1.0067999999999999"/>
    <n v="0.99729999999999996"/>
    <n v="1.0157"/>
    <n v="1.0199"/>
    <n v="0.94971499999999998"/>
    <n v="0.98783717894453682"/>
    <n v="253400"/>
    <n v="0"/>
    <n v="253400"/>
    <n v="26200"/>
    <n v="279600"/>
    <n v="0.12923351158645277"/>
    <n v="-0.43043478260869567"/>
    <n v="3.4023668639053255E-2"/>
  </r>
  <r>
    <n v="2025"/>
    <s v="18132324423    "/>
    <n v="-1.6607312068216509"/>
    <n v="0.19"/>
    <m/>
    <s v="6"/>
    <s v="RES"/>
    <x v="0"/>
    <s v="11"/>
    <s v="259"/>
    <s v="RN"/>
    <s v="A"/>
    <s v="AV"/>
    <x v="6"/>
    <n v="64"/>
    <n v="49"/>
    <n v="1960"/>
    <n v="1975"/>
    <n v="1008"/>
    <m/>
    <m/>
    <n v="0"/>
    <m/>
    <m/>
    <n v="1008"/>
    <n v="1500"/>
    <n v="7"/>
    <n v="240"/>
    <m/>
    <m/>
    <m/>
    <m/>
    <m/>
    <m/>
    <n v="191416"/>
    <n v="135905"/>
    <n v="0"/>
    <n v="273500"/>
    <n v="56600"/>
    <n v="216900"/>
    <n v="0"/>
    <n v="0"/>
    <n v="89850.625589999996"/>
    <n v="-52569.808201026557"/>
    <n v="21557.329055999999"/>
    <n v="160472.20319"/>
    <n v="-10929.2344245"/>
    <n v="49803.939236015998"/>
    <n v="0"/>
    <n v="0"/>
    <n v="0"/>
    <n v="26544.1547364"/>
    <n v="0"/>
    <n v="0"/>
    <n v="247400"/>
    <n v="37300"/>
    <n v="284700"/>
    <n v="4.0950639853747715E-2"/>
    <n v="0.99970000000000003"/>
    <n v="1.0067999999999999"/>
    <n v="0.99729999999999996"/>
    <n v="1.0157"/>
    <n v="1.0199"/>
    <n v="0.94971499999999998"/>
    <n v="0.98783717894453682"/>
    <n v="247400"/>
    <n v="0"/>
    <n v="247400"/>
    <n v="35400"/>
    <n v="282800"/>
    <n v="0.14061779621945597"/>
    <n v="-0.37455830388692579"/>
    <n v="3.4003656307129801E-2"/>
  </r>
  <r>
    <n v="2025"/>
    <s v="18132313458    "/>
    <n v="-1.0788096613719298"/>
    <n v="0.34"/>
    <n v="15000"/>
    <s v="6"/>
    <s v="RES"/>
    <x v="0"/>
    <s v="11"/>
    <s v="259"/>
    <s v="RN"/>
    <s v="G"/>
    <s v="GD"/>
    <x v="6"/>
    <n v="64"/>
    <n v="49"/>
    <n v="1960"/>
    <n v="1975"/>
    <n v="1469"/>
    <m/>
    <n v="759"/>
    <n v="23"/>
    <n v="736"/>
    <m/>
    <n v="2205"/>
    <n v="2500"/>
    <n v="7"/>
    <m/>
    <m/>
    <m/>
    <m/>
    <m/>
    <m/>
    <m/>
    <n v="444247"/>
    <n v="319858"/>
    <n v="30954"/>
    <n v="420700"/>
    <n v="76900"/>
    <n v="343800"/>
    <n v="0"/>
    <n v="0"/>
    <n v="89850.625589999996"/>
    <n v="-34149.305288406773"/>
    <n v="44121.038090000002"/>
    <n v="197752.34721000001"/>
    <n v="-10929.2344245"/>
    <n v="72581.336049313002"/>
    <n v="0"/>
    <n v="0"/>
    <n v="22073.158492472998"/>
    <n v="26544.1547364"/>
    <n v="0"/>
    <n v="31000"/>
    <n v="352100"/>
    <n v="55700"/>
    <n v="438800"/>
    <n v="4.3023532208224385E-2"/>
    <n v="0.99970000000000003"/>
    <n v="0.98050000000000004"/>
    <n v="0.99650000000000005"/>
    <n v="0.98919999999999997"/>
    <n v="1.0199"/>
    <n v="0.94971499999999998"/>
    <n v="0.936181161958198"/>
    <n v="352100"/>
    <n v="29400"/>
    <n v="381500"/>
    <n v="52900"/>
    <n v="434400"/>
    <n v="0.10965677719604421"/>
    <n v="-0.31209362808842656"/>
    <n v="3.2564772997385312E-2"/>
  </r>
  <r>
    <n v="2025"/>
    <s v="18132243044    "/>
    <n v="-1.7147984280919266"/>
    <n v="0.18"/>
    <n v="7957"/>
    <s v="6"/>
    <s v="RES"/>
    <x v="0"/>
    <s v="11"/>
    <s v="259"/>
    <s v="RN"/>
    <s v="A+"/>
    <s v="AV"/>
    <x v="6"/>
    <n v="64"/>
    <n v="49"/>
    <n v="1960"/>
    <n v="1975"/>
    <n v="1324"/>
    <m/>
    <m/>
    <n v="0"/>
    <m/>
    <m/>
    <n v="1324"/>
    <n v="1500"/>
    <n v="6"/>
    <n v="312"/>
    <m/>
    <m/>
    <m/>
    <m/>
    <m/>
    <m/>
    <n v="271840"/>
    <n v="193006"/>
    <n v="0"/>
    <n v="292000"/>
    <n v="54700"/>
    <n v="237300"/>
    <n v="0"/>
    <n v="0"/>
    <n v="89850.625589999996"/>
    <n v="-54281.285314520763"/>
    <n v="29814.093161000001"/>
    <n v="160472.20319"/>
    <n v="-10929.2344245"/>
    <n v="65417.078917147999"/>
    <n v="0"/>
    <n v="0"/>
    <n v="0"/>
    <n v="22752.132631200002"/>
    <n v="0"/>
    <n v="0"/>
    <n v="267500"/>
    <n v="35600"/>
    <n v="303100"/>
    <n v="3.801369863013699E-2"/>
    <n v="0.99970000000000003"/>
    <n v="1.0088999999999999"/>
    <n v="0.99729999999999996"/>
    <n v="1.0157"/>
    <n v="1.0199"/>
    <n v="0.94971499999999998"/>
    <n v="0.98989762598047604"/>
    <n v="267500"/>
    <n v="0"/>
    <n v="267500"/>
    <n v="33800"/>
    <n v="301300"/>
    <n v="0.12726506531816267"/>
    <n v="-0.38208409506398539"/>
    <n v="3.1849315068493152E-2"/>
  </r>
  <r>
    <n v="2025"/>
    <s v="18132323400    "/>
    <n v="-2.0402208285265546"/>
    <n v="0.13"/>
    <m/>
    <s v="6"/>
    <s v="RES"/>
    <x v="0"/>
    <s v="11"/>
    <s v="259"/>
    <s v="SE"/>
    <s v="A"/>
    <s v="AV"/>
    <x v="6"/>
    <n v="64"/>
    <n v="49"/>
    <n v="1960"/>
    <n v="1975"/>
    <n v="1044"/>
    <m/>
    <n v="1008"/>
    <n v="0"/>
    <n v="1008"/>
    <m/>
    <n v="2052"/>
    <n v="2500"/>
    <n v="8"/>
    <m/>
    <m/>
    <n v="160"/>
    <m/>
    <m/>
    <m/>
    <m/>
    <n v="281270"/>
    <n v="199702"/>
    <n v="0"/>
    <n v="302100"/>
    <n v="43400"/>
    <n v="258700"/>
    <n v="0"/>
    <n v="0"/>
    <n v="89850.625589999996"/>
    <n v="-64582.406353792743"/>
    <n v="21557.329055999999"/>
    <n v="160472.20319"/>
    <n v="-10929.2344245"/>
    <n v="51582.651351588"/>
    <n v="0"/>
    <n v="0"/>
    <n v="29314.550408976"/>
    <n v="30336.176841600001"/>
    <n v="5327.2824441600005"/>
    <n v="0"/>
    <n v="287700"/>
    <n v="25300"/>
    <n v="313000"/>
    <n v="3.6080767957629926E-2"/>
    <n v="0.99970000000000003"/>
    <n v="1.0067999999999999"/>
    <n v="0.99729999999999996"/>
    <n v="0.98919999999999997"/>
    <n v="1.0199"/>
    <n v="0.94971499999999998"/>
    <n v="0.9620641305621106"/>
    <n v="287700"/>
    <n v="0"/>
    <n v="287700"/>
    <n v="24000"/>
    <n v="311700"/>
    <n v="0.11209895632006185"/>
    <n v="-0.44700460829493088"/>
    <n v="3.1777557100297914E-2"/>
  </r>
  <r>
    <n v="2025"/>
    <s v="18132244482    "/>
    <n v="-1.7147984280919266"/>
    <n v="0.18"/>
    <n v="7718"/>
    <s v="6"/>
    <s v="RES"/>
    <x v="0"/>
    <s v="11"/>
    <s v="259"/>
    <s v="RN"/>
    <s v="G"/>
    <s v="AV"/>
    <x v="6"/>
    <n v="64"/>
    <n v="49"/>
    <n v="1960"/>
    <n v="1975"/>
    <n v="1548"/>
    <m/>
    <m/>
    <n v="0"/>
    <m/>
    <m/>
    <n v="1548"/>
    <n v="2000"/>
    <n v="8"/>
    <n v="288"/>
    <m/>
    <m/>
    <m/>
    <m/>
    <m/>
    <m/>
    <n v="398892"/>
    <n v="283213"/>
    <n v="0"/>
    <n v="324100"/>
    <n v="54700"/>
    <n v="269400"/>
    <n v="0"/>
    <n v="0"/>
    <n v="89850.625589999996"/>
    <n v="-54281.285314520763"/>
    <n v="44121.038090000002"/>
    <n v="160472.20319"/>
    <n v="-10929.2344245"/>
    <n v="76484.620969595999"/>
    <n v="0"/>
    <n v="0"/>
    <n v="0"/>
    <n v="30336.176841600001"/>
    <n v="0"/>
    <n v="0"/>
    <n v="300500"/>
    <n v="35600"/>
    <n v="336100"/>
    <n v="3.7025609379821044E-2"/>
    <n v="0.99970000000000003"/>
    <n v="0.98050000000000004"/>
    <n v="0.99729999999999996"/>
    <n v="1.0093000000000001"/>
    <n v="1.0199"/>
    <n v="0.94971499999999998"/>
    <n v="0.95597069536964641"/>
    <n v="300500"/>
    <n v="0"/>
    <n v="300500"/>
    <n v="33800"/>
    <n v="334300"/>
    <n v="0.11544172234595397"/>
    <n v="-0.38208409506398539"/>
    <n v="3.1471767972847883E-2"/>
  </r>
  <r>
    <n v="2025"/>
    <s v="18132324422    "/>
    <n v="-1.6607312068216509"/>
    <n v="0.19"/>
    <m/>
    <s v="6"/>
    <s v="RES"/>
    <x v="0"/>
    <s v="11"/>
    <s v="259"/>
    <s v="RN"/>
    <s v="G"/>
    <s v="AV"/>
    <x v="6"/>
    <n v="64"/>
    <n v="49"/>
    <n v="1960"/>
    <n v="1975"/>
    <n v="1961"/>
    <m/>
    <m/>
    <n v="0"/>
    <m/>
    <m/>
    <n v="1961"/>
    <n v="2000"/>
    <n v="10"/>
    <n v="252"/>
    <m/>
    <m/>
    <m/>
    <m/>
    <m/>
    <m/>
    <n v="425406"/>
    <n v="302038"/>
    <n v="22839"/>
    <n v="374000"/>
    <n v="56600"/>
    <n v="317400"/>
    <n v="0"/>
    <n v="0"/>
    <n v="89850.625589999996"/>
    <n v="-52569.808201026557"/>
    <n v="44121.038090000002"/>
    <n v="160472.20319"/>
    <n v="-10929.2344245"/>
    <n v="96890.401628797001"/>
    <n v="0"/>
    <n v="0"/>
    <n v="0"/>
    <n v="37920.221052000001"/>
    <n v="0"/>
    <n v="22800"/>
    <n v="328500"/>
    <n v="37300"/>
    <n v="388600"/>
    <n v="3.9037433155080216E-2"/>
    <n v="0.99970000000000003"/>
    <n v="0.98050000000000004"/>
    <n v="0.99729999999999996"/>
    <n v="1.0093000000000001"/>
    <n v="1.0199"/>
    <n v="0.94971499999999998"/>
    <n v="0.95597069536964641"/>
    <n v="328500"/>
    <n v="21700"/>
    <n v="350200"/>
    <n v="35400"/>
    <n v="385600"/>
    <n v="0.1033396345305608"/>
    <n v="-0.37455830388692579"/>
    <n v="3.1016042780748664E-2"/>
  </r>
  <r>
    <n v="2025"/>
    <s v="18132323416    "/>
    <n v="-1.5606477482646683"/>
    <n v="0.21"/>
    <m/>
    <s v="6"/>
    <s v="RES"/>
    <x v="0"/>
    <s v="11"/>
    <s v="259"/>
    <s v="RN"/>
    <s v="A"/>
    <s v="AV"/>
    <x v="6"/>
    <n v="64"/>
    <n v="49"/>
    <n v="1960"/>
    <n v="1975"/>
    <n v="1099"/>
    <m/>
    <m/>
    <n v="0"/>
    <m/>
    <m/>
    <n v="1099"/>
    <n v="1500"/>
    <n v="7"/>
    <n v="300"/>
    <m/>
    <m/>
    <m/>
    <m/>
    <m/>
    <m/>
    <n v="199985"/>
    <n v="141989"/>
    <n v="0"/>
    <n v="281600"/>
    <n v="60100"/>
    <n v="221500"/>
    <n v="0"/>
    <n v="0"/>
    <n v="89850.625589999996"/>
    <n v="-49401.70477837498"/>
    <n v="21557.329055999999"/>
    <n v="160472.20319"/>
    <n v="-10929.2344245"/>
    <n v="54300.128194823003"/>
    <n v="0"/>
    <n v="0"/>
    <n v="0"/>
    <n v="26544.1547364"/>
    <n v="0"/>
    <n v="0"/>
    <n v="251900"/>
    <n v="40400"/>
    <n v="292300"/>
    <n v="3.7997159090909088E-2"/>
    <n v="0.99970000000000003"/>
    <n v="1.0067999999999999"/>
    <n v="0.99729999999999996"/>
    <n v="1.0157"/>
    <n v="1.0199"/>
    <n v="0.94971499999999998"/>
    <n v="0.98783717894453682"/>
    <n v="251900"/>
    <n v="0"/>
    <n v="251900"/>
    <n v="38400"/>
    <n v="290300"/>
    <n v="0.13724604966139956"/>
    <n v="-0.36106489184692181"/>
    <n v="3.0894886363636364E-2"/>
  </r>
  <r>
    <n v="2025"/>
    <s v="18132243045    "/>
    <n v="-1.5606477482646683"/>
    <n v="0.21"/>
    <n v="9264"/>
    <s v="6"/>
    <s v="RES"/>
    <x v="0"/>
    <s v="11"/>
    <s v="259"/>
    <s v="RN"/>
    <s v="A"/>
    <s v="AV"/>
    <x v="6"/>
    <n v="64"/>
    <n v="49"/>
    <n v="1960"/>
    <n v="1975"/>
    <n v="1624"/>
    <m/>
    <m/>
    <n v="0"/>
    <m/>
    <m/>
    <n v="1624"/>
    <n v="2000"/>
    <n v="7"/>
    <m/>
    <m/>
    <m/>
    <m/>
    <m/>
    <m/>
    <m/>
    <n v="262484"/>
    <n v="186364"/>
    <n v="0"/>
    <n v="307700"/>
    <n v="60100"/>
    <n v="247600"/>
    <n v="0"/>
    <n v="0"/>
    <n v="89850.625589999996"/>
    <n v="-49401.70477837498"/>
    <n v="21557.329055999999"/>
    <n v="160472.20319"/>
    <n v="-10929.2344245"/>
    <n v="80239.679880248004"/>
    <n v="0"/>
    <n v="0"/>
    <n v="0"/>
    <n v="26544.1547364"/>
    <n v="0"/>
    <n v="0"/>
    <n v="277900"/>
    <n v="40400"/>
    <n v="318300"/>
    <n v="3.4449138771530712E-2"/>
    <n v="0.99970000000000003"/>
    <n v="1.0067999999999999"/>
    <n v="0.99729999999999996"/>
    <n v="1.0093000000000001"/>
    <n v="1.0199"/>
    <n v="0.94971499999999998"/>
    <n v="0.98161274461821502"/>
    <n v="277900"/>
    <n v="0"/>
    <n v="277900"/>
    <n v="38400"/>
    <n v="316300"/>
    <n v="0.12237479806138933"/>
    <n v="-0.36106489184692181"/>
    <n v="2.7949301267468314E-2"/>
  </r>
  <r>
    <n v="2025"/>
    <s v="18132323461    "/>
    <n v="-1.8325814637483102"/>
    <n v="0.16"/>
    <m/>
    <s v="6"/>
    <s v="RES"/>
    <x v="0"/>
    <s v="11"/>
    <s v="259"/>
    <s v="RN"/>
    <s v="A+"/>
    <s v="AV"/>
    <x v="6"/>
    <n v="64"/>
    <n v="49"/>
    <n v="1960"/>
    <n v="1975"/>
    <n v="1106"/>
    <m/>
    <n v="1106"/>
    <n v="553"/>
    <n v="553"/>
    <m/>
    <n v="1659"/>
    <n v="2000"/>
    <n v="7"/>
    <n v="441"/>
    <m/>
    <m/>
    <m/>
    <m/>
    <m/>
    <m/>
    <n v="319671"/>
    <n v="226966"/>
    <n v="0"/>
    <n v="314200"/>
    <n v="50600"/>
    <n v="263600"/>
    <n v="0"/>
    <n v="0"/>
    <n v="89850.625589999996"/>
    <n v="-58009.662049032086"/>
    <n v="29814.093161000001"/>
    <n v="160472.20319"/>
    <n v="-10929.2344245"/>
    <n v="54645.988883962003"/>
    <n v="0"/>
    <n v="0"/>
    <n v="32164.576143181999"/>
    <n v="26544.1547364"/>
    <n v="0"/>
    <n v="0"/>
    <n v="292700"/>
    <n v="31800"/>
    <n v="324500"/>
    <n v="3.278166772756206E-2"/>
    <n v="0.99970000000000003"/>
    <n v="1.0088999999999999"/>
    <n v="0.99729999999999996"/>
    <n v="1.0093000000000001"/>
    <n v="1.0199"/>
    <n v="0.94971499999999998"/>
    <n v="0.98366020862665582"/>
    <n v="292700"/>
    <n v="0"/>
    <n v="292700"/>
    <n v="30200"/>
    <n v="322900"/>
    <n v="0.11039453717754173"/>
    <n v="-0.40316205533596838"/>
    <n v="2.7689369828134944E-2"/>
  </r>
  <r>
    <n v="2025"/>
    <s v="18132323543    "/>
    <n v="-1.5141277326297755"/>
    <n v="0.22"/>
    <m/>
    <s v="6"/>
    <s v="RES"/>
    <x v="0"/>
    <s v="11"/>
    <s v="259"/>
    <s v="RN"/>
    <s v="A"/>
    <s v="AV"/>
    <x v="6"/>
    <n v="64"/>
    <n v="49"/>
    <n v="1960"/>
    <n v="1975"/>
    <n v="1325"/>
    <m/>
    <m/>
    <n v="0"/>
    <m/>
    <m/>
    <n v="1325"/>
    <n v="1500"/>
    <n v="7"/>
    <m/>
    <m/>
    <m/>
    <m/>
    <m/>
    <m/>
    <m/>
    <n v="225704"/>
    <n v="160250"/>
    <n v="0"/>
    <n v="295200"/>
    <n v="61700"/>
    <n v="233500"/>
    <n v="0"/>
    <n v="0"/>
    <n v="89850.625589999996"/>
    <n v="-47929.131559187132"/>
    <n v="21557.329055999999"/>
    <n v="160472.20319"/>
    <n v="-10929.2344245"/>
    <n v="65466.487587025003"/>
    <n v="0"/>
    <n v="0"/>
    <n v="0"/>
    <n v="26544.1547364"/>
    <n v="0"/>
    <n v="0"/>
    <n v="263100"/>
    <n v="41900"/>
    <n v="305000"/>
    <n v="3.3197831978319783E-2"/>
    <n v="0.99970000000000003"/>
    <n v="1.0067999999999999"/>
    <n v="0.99729999999999996"/>
    <n v="1.0157"/>
    <n v="1.0199"/>
    <n v="0.94971499999999998"/>
    <n v="0.98783717894453682"/>
    <n v="263100"/>
    <n v="0"/>
    <n v="263100"/>
    <n v="39800"/>
    <n v="302900"/>
    <n v="0.12676659528907924"/>
    <n v="-0.35494327390599678"/>
    <n v="2.6084010840108401E-2"/>
  </r>
  <r>
    <n v="2025"/>
    <s v="18132243027    "/>
    <n v="-1.7147984280919266"/>
    <n v="0.18"/>
    <n v="7873"/>
    <s v="6"/>
    <s v="RES"/>
    <x v="0"/>
    <s v="11"/>
    <s v="259"/>
    <s v="RN"/>
    <s v="A+"/>
    <s v="AV"/>
    <x v="6"/>
    <n v="64"/>
    <n v="49"/>
    <n v="1960"/>
    <n v="1975"/>
    <n v="1607"/>
    <m/>
    <m/>
    <n v="0"/>
    <m/>
    <m/>
    <n v="1607"/>
    <n v="2000"/>
    <n v="8"/>
    <n v="462"/>
    <m/>
    <m/>
    <m/>
    <m/>
    <m/>
    <m/>
    <n v="323868"/>
    <n v="229946"/>
    <n v="0"/>
    <n v="314900"/>
    <n v="54700"/>
    <n v="260200"/>
    <n v="0"/>
    <n v="0"/>
    <n v="89850.625589999996"/>
    <n v="-54281.285314520763"/>
    <n v="29814.093161000001"/>
    <n v="160472.20319"/>
    <n v="-10929.2344245"/>
    <n v="79399.732492338997"/>
    <n v="0"/>
    <n v="0"/>
    <n v="0"/>
    <n v="30336.176841600001"/>
    <n v="0"/>
    <n v="0"/>
    <n v="289100"/>
    <n v="35600"/>
    <n v="324700"/>
    <n v="3.1120990790727214E-2"/>
    <n v="0.99970000000000003"/>
    <n v="1.0088999999999999"/>
    <n v="0.99729999999999996"/>
    <n v="1.0093000000000001"/>
    <n v="1.0199"/>
    <n v="0.94971499999999998"/>
    <n v="0.98366020862665582"/>
    <n v="289100"/>
    <n v="0"/>
    <n v="289100"/>
    <n v="33800"/>
    <n v="322900"/>
    <n v="0.11106840891621829"/>
    <n v="-0.38208409506398539"/>
    <n v="2.540489044140997E-2"/>
  </r>
  <r>
    <n v="2025"/>
    <s v="18132212436    "/>
    <n v="-0.82098055206983023"/>
    <n v="0.44"/>
    <n v="19006"/>
    <s v="6"/>
    <s v="RES"/>
    <x v="0"/>
    <s v="11"/>
    <s v="259"/>
    <s v="RN"/>
    <s v="G"/>
    <s v="GD"/>
    <x v="6"/>
    <n v="64"/>
    <n v="49"/>
    <n v="1960"/>
    <n v="1975"/>
    <n v="2424"/>
    <m/>
    <m/>
    <n v="0"/>
    <m/>
    <m/>
    <n v="2424"/>
    <n v="2500"/>
    <n v="10"/>
    <n v="695"/>
    <m/>
    <m/>
    <m/>
    <m/>
    <m/>
    <m/>
    <n v="568114"/>
    <n v="409042"/>
    <n v="0"/>
    <n v="438200"/>
    <n v="85900"/>
    <n v="352300"/>
    <n v="0"/>
    <n v="0"/>
    <n v="89850.625589999996"/>
    <n v="-25987.823906604521"/>
    <n v="44121.038090000002"/>
    <n v="197752.34721000001"/>
    <n v="-10929.2344245"/>
    <n v="119766.615781848"/>
    <n v="0"/>
    <n v="0"/>
    <n v="0"/>
    <n v="37920.221052000001"/>
    <n v="0"/>
    <n v="0"/>
    <n v="388600"/>
    <n v="63900"/>
    <n v="452500"/>
    <n v="3.2633500684618892E-2"/>
    <n v="0.99970000000000003"/>
    <n v="0.98050000000000004"/>
    <n v="0.99650000000000005"/>
    <n v="0.98919999999999997"/>
    <n v="1.0199"/>
    <n v="0.94971499999999998"/>
    <n v="0.936181161958198"/>
    <n v="388600"/>
    <n v="0"/>
    <n v="388600"/>
    <n v="60700"/>
    <n v="449300"/>
    <n v="0.10303718421799603"/>
    <n v="-0.29336437718277064"/>
    <n v="2.5330899132816064E-2"/>
  </r>
  <r>
    <n v="2025"/>
    <s v="18132242493    "/>
    <n v="-1.1711829815029451"/>
    <n v="0.31"/>
    <n v="13469"/>
    <s v="6"/>
    <s v="RES"/>
    <x v="0"/>
    <s v="11"/>
    <s v="259"/>
    <s v="RN"/>
    <s v="A+"/>
    <s v="AV"/>
    <x v="6"/>
    <n v="64"/>
    <n v="49"/>
    <n v="1960"/>
    <n v="1975"/>
    <n v="1468"/>
    <m/>
    <m/>
    <n v="0"/>
    <m/>
    <m/>
    <n v="1468"/>
    <n v="1500"/>
    <n v="8"/>
    <m/>
    <m/>
    <m/>
    <m/>
    <m/>
    <m/>
    <m/>
    <n v="295494"/>
    <n v="209801"/>
    <n v="15282"/>
    <n v="338300"/>
    <n v="73700"/>
    <n v="264600"/>
    <n v="0"/>
    <n v="0"/>
    <n v="89850.625589999996"/>
    <n v="-37073.347241874442"/>
    <n v="29814.093161000001"/>
    <n v="160472.20319"/>
    <n v="-10929.2344245"/>
    <n v="72531.927379436005"/>
    <n v="0"/>
    <n v="0"/>
    <n v="0"/>
    <n v="30336.176841600001"/>
    <n v="0"/>
    <n v="15300"/>
    <n v="282200"/>
    <n v="52800"/>
    <n v="350300"/>
    <n v="3.5471475022169671E-2"/>
    <n v="0.99970000000000003"/>
    <n v="1.0088999999999999"/>
    <n v="0.99729999999999996"/>
    <n v="1.0157"/>
    <n v="1.0199"/>
    <n v="0.94971499999999998"/>
    <n v="0.98989762598047604"/>
    <n v="282200"/>
    <n v="14500"/>
    <n v="296700"/>
    <n v="50100"/>
    <n v="346800"/>
    <n v="0.12131519274376418"/>
    <n v="-0.32021709633649931"/>
    <n v="2.5125628140703519E-2"/>
  </r>
  <r>
    <n v="2025"/>
    <s v="18132242497    "/>
    <n v="-1.3862943611198906"/>
    <n v="0.25"/>
    <n v="10829"/>
    <s v="6"/>
    <s v="RES"/>
    <x v="0"/>
    <s v="11"/>
    <s v="259"/>
    <s v="RN"/>
    <s v="G"/>
    <s v="GD"/>
    <x v="6"/>
    <n v="64"/>
    <n v="49"/>
    <n v="1960"/>
    <n v="1975"/>
    <n v="1835"/>
    <m/>
    <n v="1485"/>
    <n v="0"/>
    <n v="1485"/>
    <m/>
    <n v="3320"/>
    <n v="3500"/>
    <n v="12"/>
    <m/>
    <m/>
    <m/>
    <m/>
    <m/>
    <m/>
    <m/>
    <n v="573949"/>
    <n v="413243"/>
    <n v="0"/>
    <n v="443300"/>
    <n v="66200"/>
    <n v="377100"/>
    <n v="0"/>
    <n v="0"/>
    <n v="89850.625589999996"/>
    <n v="-43882.615305165229"/>
    <n v="44121.038090000002"/>
    <n v="197752.34721000001"/>
    <n v="-10929.2344245"/>
    <n v="90664.909224294999"/>
    <n v="0"/>
    <n v="0"/>
    <n v="43186.614441794998"/>
    <n v="45504.265262400004"/>
    <n v="0"/>
    <n v="0"/>
    <n v="410300"/>
    <n v="46000"/>
    <n v="456300"/>
    <n v="2.932551319648094E-2"/>
    <n v="0.99970000000000003"/>
    <n v="0.98050000000000004"/>
    <n v="0.99650000000000005"/>
    <n v="1.0126999999999999"/>
    <n v="1.0199"/>
    <n v="0.94971499999999998"/>
    <n v="0.95842161616969979"/>
    <n v="410300"/>
    <n v="0"/>
    <n v="410300"/>
    <n v="43700"/>
    <n v="454000"/>
    <n v="8.8040307610713339E-2"/>
    <n v="-0.33987915407854985"/>
    <n v="2.4137153169411233E-2"/>
  </r>
  <r>
    <n v="2025"/>
    <s v="18132242495    "/>
    <n v="-1.5141277326297755"/>
    <n v="0.22"/>
    <n v="9522"/>
    <s v="6"/>
    <s v="RES"/>
    <x v="0"/>
    <s v="11"/>
    <s v="259"/>
    <s v="RN"/>
    <s v="G"/>
    <s v="AV"/>
    <x v="6"/>
    <n v="64"/>
    <n v="49"/>
    <n v="1960"/>
    <n v="1975"/>
    <n v="1363"/>
    <m/>
    <m/>
    <n v="0"/>
    <m/>
    <m/>
    <n v="1363"/>
    <n v="1500"/>
    <n v="8"/>
    <m/>
    <m/>
    <m/>
    <m/>
    <m/>
    <m/>
    <m/>
    <n v="353672"/>
    <n v="251107"/>
    <n v="0"/>
    <n v="323500"/>
    <n v="61700"/>
    <n v="261800"/>
    <n v="0"/>
    <n v="0"/>
    <n v="89850.625589999996"/>
    <n v="-47929.131559187132"/>
    <n v="44121.038090000002"/>
    <n v="160472.20319"/>
    <n v="-10929.2344245"/>
    <n v="67344.017042350999"/>
    <n v="0"/>
    <n v="0"/>
    <n v="0"/>
    <n v="30336.176841600001"/>
    <n v="0"/>
    <n v="0"/>
    <n v="291300"/>
    <n v="41900"/>
    <n v="333200"/>
    <n v="2.9984544049459043E-2"/>
    <n v="0.99970000000000003"/>
    <n v="0.98050000000000004"/>
    <n v="0.99729999999999996"/>
    <n v="1.0157"/>
    <n v="1.0199"/>
    <n v="0.94971499999999998"/>
    <n v="0.96203253273253719"/>
    <n v="291300"/>
    <n v="0"/>
    <n v="291300"/>
    <n v="39800"/>
    <n v="331100"/>
    <n v="0.11268143621084797"/>
    <n v="-0.35494327390599678"/>
    <n v="2.349304482225657E-2"/>
  </r>
  <r>
    <n v="2025"/>
    <s v="18132323495    "/>
    <n v="-1.5141277326297755"/>
    <n v="0.22"/>
    <m/>
    <s v="6"/>
    <s v="RES"/>
    <x v="0"/>
    <s v="11"/>
    <s v="259"/>
    <s v="RN"/>
    <s v="A"/>
    <s v="AV"/>
    <x v="6"/>
    <n v="64"/>
    <n v="49"/>
    <n v="1960"/>
    <n v="1975"/>
    <n v="1625"/>
    <m/>
    <m/>
    <n v="0"/>
    <m/>
    <m/>
    <n v="1625"/>
    <n v="2000"/>
    <n v="5"/>
    <m/>
    <m/>
    <m/>
    <m/>
    <m/>
    <m/>
    <m/>
    <n v="252353"/>
    <n v="179171"/>
    <n v="0"/>
    <n v="303600"/>
    <n v="61700"/>
    <n v="241900"/>
    <n v="0"/>
    <n v="0"/>
    <n v="89850.625589999996"/>
    <n v="-47929.131559187132"/>
    <n v="21557.329055999999"/>
    <n v="160472.20319"/>
    <n v="-10929.2344245"/>
    <n v="80289.088550125001"/>
    <n v="0"/>
    <n v="0"/>
    <n v="0"/>
    <n v="18960.110526"/>
    <n v="0"/>
    <n v="0"/>
    <n v="270300"/>
    <n v="41900"/>
    <n v="312200"/>
    <n v="2.8326745718050064E-2"/>
    <n v="0.99970000000000003"/>
    <n v="1.0067999999999999"/>
    <n v="0.99729999999999996"/>
    <n v="1.0093000000000001"/>
    <n v="1.0199"/>
    <n v="0.94971499999999998"/>
    <n v="0.98161274461821502"/>
    <n v="270300"/>
    <n v="0"/>
    <n v="270300"/>
    <n v="39800"/>
    <n v="310100"/>
    <n v="0.11740388590326581"/>
    <n v="-0.35494327390599678"/>
    <n v="2.1409749670619236E-2"/>
  </r>
  <r>
    <n v="2025"/>
    <s v="18132321415    "/>
    <n v="-0.71334988787746478"/>
    <n v="0.49"/>
    <n v="21253"/>
    <s v="6"/>
    <s v="RES"/>
    <x v="0"/>
    <s v="11"/>
    <s v="259"/>
    <s v="RN"/>
    <s v="A"/>
    <s v="FR"/>
    <x v="6"/>
    <n v="64"/>
    <n v="49"/>
    <n v="1960"/>
    <n v="1975"/>
    <n v="1514"/>
    <m/>
    <m/>
    <n v="0"/>
    <m/>
    <m/>
    <n v="1514"/>
    <n v="2000"/>
    <n v="8"/>
    <m/>
    <m/>
    <m/>
    <m/>
    <m/>
    <m/>
    <m/>
    <n v="260014"/>
    <n v="182010"/>
    <n v="0"/>
    <n v="307100"/>
    <n v="89700"/>
    <n v="217400"/>
    <n v="0"/>
    <n v="0"/>
    <n v="89850.625589999996"/>
    <n v="-22580.816589646583"/>
    <n v="21557.329055999999"/>
    <n v="133714.53821"/>
    <n v="-10929.2344245"/>
    <n v="74804.726193777999"/>
    <n v="0"/>
    <n v="0"/>
    <n v="0"/>
    <n v="30336.176841600001"/>
    <n v="0"/>
    <n v="0"/>
    <n v="249500"/>
    <n v="67300"/>
    <n v="316800"/>
    <n v="3.1585802670140023E-2"/>
    <n v="0.99970000000000003"/>
    <n v="1.0067999999999999"/>
    <n v="0.99329999999999996"/>
    <n v="1.0093000000000001"/>
    <n v="1.0199"/>
    <n v="0.94971499999999998"/>
    <n v="0.97767566352077906"/>
    <n v="249500"/>
    <n v="0"/>
    <n v="249500"/>
    <n v="63900"/>
    <n v="313400"/>
    <n v="0.14765409383624656"/>
    <n v="-0.28762541806020064"/>
    <n v="2.0514490394008468E-2"/>
  </r>
  <r>
    <n v="2025"/>
    <s v="18132323492    "/>
    <n v="-1.5606477482646683"/>
    <n v="0.21"/>
    <m/>
    <s v="6"/>
    <s v="RES"/>
    <x v="0"/>
    <s v="11"/>
    <s v="259"/>
    <s v="RN"/>
    <s v="A"/>
    <s v="AV"/>
    <x v="6"/>
    <n v="64"/>
    <n v="49"/>
    <n v="1960"/>
    <n v="1975"/>
    <n v="1169"/>
    <m/>
    <n v="594"/>
    <n v="10"/>
    <n v="584"/>
    <m/>
    <n v="1753"/>
    <n v="2000"/>
    <n v="9"/>
    <m/>
    <n v="372"/>
    <m/>
    <m/>
    <m/>
    <m/>
    <m/>
    <n v="259565"/>
    <n v="184291"/>
    <n v="0"/>
    <n v="312700"/>
    <n v="60100"/>
    <n v="252600"/>
    <n v="0"/>
    <n v="0"/>
    <n v="89850.625589999996"/>
    <n v="-49401.70477837498"/>
    <n v="21557.329055999999"/>
    <n v="160472.20319"/>
    <n v="-10929.2344245"/>
    <n v="57758.735086213004"/>
    <n v="0"/>
    <n v="0"/>
    <n v="17274.645776718"/>
    <n v="34128.198946800003"/>
    <n v="0"/>
    <n v="0"/>
    <n v="280300"/>
    <n v="40400"/>
    <n v="320700"/>
    <n v="2.5583626479053406E-2"/>
    <n v="0.99970000000000003"/>
    <n v="1.0067999999999999"/>
    <n v="0.99729999999999996"/>
    <n v="1.0093000000000001"/>
    <n v="1.0199"/>
    <n v="0.94971499999999998"/>
    <n v="0.98161274461821502"/>
    <n v="280300"/>
    <n v="0"/>
    <n v="280300"/>
    <n v="38400"/>
    <n v="318700"/>
    <n v="0.10965954077593032"/>
    <n v="-0.36106489184692181"/>
    <n v="1.9187719859290055E-2"/>
  </r>
  <r>
    <n v="2025"/>
    <s v="18132323428    "/>
    <n v="-1.7719568419318752"/>
    <n v="0.17"/>
    <n v="7504"/>
    <s v="6"/>
    <s v="RES"/>
    <x v="0"/>
    <s v="11"/>
    <s v="259"/>
    <s v="RN"/>
    <s v="G"/>
    <s v="AV"/>
    <x v="6"/>
    <n v="64"/>
    <n v="49"/>
    <n v="1960"/>
    <n v="1975"/>
    <n v="1315"/>
    <m/>
    <n v="876"/>
    <n v="84"/>
    <n v="792"/>
    <m/>
    <n v="2107"/>
    <n v="2500"/>
    <n v="8"/>
    <n v="364"/>
    <m/>
    <m/>
    <m/>
    <m/>
    <m/>
    <m/>
    <n v="413649"/>
    <n v="293691"/>
    <n v="21462"/>
    <n v="360300"/>
    <n v="52700"/>
    <n v="307600"/>
    <n v="0"/>
    <n v="0"/>
    <n v="89850.625589999996"/>
    <n v="-56090.612940989391"/>
    <n v="44121.038090000002"/>
    <n v="160472.20319"/>
    <n v="-10929.2344245"/>
    <n v="64972.400888255004"/>
    <n v="0"/>
    <n v="0"/>
    <n v="25475.740236371999"/>
    <n v="30336.176841600001"/>
    <n v="0"/>
    <n v="21500"/>
    <n v="314400"/>
    <n v="33800"/>
    <n v="369700"/>
    <n v="2.6089369969469887E-2"/>
    <n v="0.99970000000000003"/>
    <n v="0.98050000000000004"/>
    <n v="0.99729999999999996"/>
    <n v="0.98919999999999997"/>
    <n v="1.0199"/>
    <n v="0.94971499999999998"/>
    <n v="0.93693273740181715"/>
    <n v="314400"/>
    <n v="20400"/>
    <n v="334800"/>
    <n v="32100"/>
    <n v="366900"/>
    <n v="8.8426527958387513E-2"/>
    <n v="-0.39089184060721061"/>
    <n v="1.8318068276436304E-2"/>
  </r>
  <r>
    <n v="2025"/>
    <s v="18132323526    "/>
    <n v="-1.5141277326297755"/>
    <n v="0.22"/>
    <n v="9728"/>
    <s v="6"/>
    <s v="RES"/>
    <x v="0"/>
    <s v="11"/>
    <s v="259"/>
    <s v="SE"/>
    <s v="A"/>
    <s v="FR"/>
    <x v="6"/>
    <n v="64"/>
    <n v="49"/>
    <n v="1960"/>
    <n v="1975"/>
    <n v="1200"/>
    <m/>
    <n v="1200"/>
    <n v="0"/>
    <n v="1200"/>
    <m/>
    <n v="2400"/>
    <n v="2500"/>
    <n v="8"/>
    <m/>
    <m/>
    <n v="60"/>
    <m/>
    <m/>
    <m/>
    <m/>
    <n v="307784"/>
    <n v="215449"/>
    <n v="9346"/>
    <n v="313900"/>
    <n v="61700"/>
    <n v="252200"/>
    <n v="0"/>
    <n v="0"/>
    <n v="89850.625589999996"/>
    <n v="-47929.131559187132"/>
    <n v="21557.329055999999"/>
    <n v="133714.53821"/>
    <n v="-10929.2344245"/>
    <n v="59290.403852399999"/>
    <n v="0"/>
    <n v="0"/>
    <n v="34898.274296399999"/>
    <n v="30336.176841600001"/>
    <n v="1997.7309165600002"/>
    <n v="9300"/>
    <n v="270900"/>
    <n v="41900"/>
    <n v="322100"/>
    <n v="2.6122969098438992E-2"/>
    <n v="0.99970000000000003"/>
    <n v="1.0067999999999999"/>
    <n v="0.99329999999999996"/>
    <n v="0.98919999999999997"/>
    <n v="1.0199"/>
    <n v="0.94971499999999998"/>
    <n v="0.95820545561751158"/>
    <n v="270900"/>
    <n v="8900"/>
    <n v="279800"/>
    <n v="39800"/>
    <n v="319600"/>
    <n v="0.10943695479777954"/>
    <n v="-0.35494327390599678"/>
    <n v="1.8158649251353933E-2"/>
  </r>
  <r>
    <n v="2025"/>
    <s v="18132322445    "/>
    <n v="-1.7719568419318752"/>
    <n v="0.17"/>
    <m/>
    <s v="6"/>
    <s v="RES"/>
    <x v="0"/>
    <s v="11"/>
    <s v="259"/>
    <s v="RN"/>
    <s v="F+"/>
    <s v="GD"/>
    <x v="6"/>
    <n v="64"/>
    <n v="49"/>
    <n v="1960"/>
    <n v="1975"/>
    <n v="1026"/>
    <m/>
    <n v="1026"/>
    <n v="0"/>
    <n v="1026"/>
    <m/>
    <n v="2052"/>
    <n v="2500"/>
    <n v="8"/>
    <m/>
    <m/>
    <m/>
    <m/>
    <m/>
    <m/>
    <m/>
    <n v="243793"/>
    <n v="175531"/>
    <n v="11854"/>
    <n v="336200"/>
    <n v="52700"/>
    <n v="283500"/>
    <n v="0"/>
    <n v="0"/>
    <n v="89850.625589999996"/>
    <n v="-56090.612940989391"/>
    <n v="0"/>
    <n v="197752.34721000001"/>
    <n v="-10929.2344245"/>
    <n v="50693.295293802003"/>
    <n v="0"/>
    <n v="0"/>
    <n v="29838.024523421998"/>
    <n v="30336.176841600001"/>
    <n v="0"/>
    <n v="11900"/>
    <n v="297700"/>
    <n v="33800"/>
    <n v="343400"/>
    <n v="2.1415823914336704E-2"/>
    <n v="0.99970000000000003"/>
    <n v="0.99180000000000001"/>
    <n v="0.99650000000000005"/>
    <n v="0.98919999999999997"/>
    <n v="1.0199"/>
    <n v="0.94971499999999998"/>
    <n v="0.94697039921483006"/>
    <n v="297700"/>
    <n v="11300"/>
    <n v="309000"/>
    <n v="32100"/>
    <n v="341100"/>
    <n v="8.9947089947089942E-2"/>
    <n v="-0.39089184060721061"/>
    <n v="1.4574657941701367E-2"/>
  </r>
  <r>
    <n v="2025"/>
    <s v="18132322451    "/>
    <n v="-1.4696759700589417"/>
    <n v="0.23"/>
    <n v="10480"/>
    <s v="6"/>
    <s v="RES"/>
    <x v="0"/>
    <s v="11"/>
    <s v="259"/>
    <s v="RN"/>
    <s v="A"/>
    <s v="AV"/>
    <x v="6"/>
    <n v="64"/>
    <n v="49"/>
    <n v="1960"/>
    <n v="1975"/>
    <n v="1358"/>
    <m/>
    <n v="506"/>
    <n v="0"/>
    <n v="506"/>
    <m/>
    <n v="1864"/>
    <n v="2000"/>
    <n v="5"/>
    <m/>
    <m/>
    <m/>
    <m/>
    <m/>
    <m/>
    <m/>
    <n v="278292"/>
    <n v="197587"/>
    <n v="0"/>
    <n v="309700"/>
    <n v="63300"/>
    <n v="246400"/>
    <n v="0"/>
    <n v="0"/>
    <n v="89850.625589999996"/>
    <n v="-46522.028095997222"/>
    <n v="21557.329055999999"/>
    <n v="160472.20319"/>
    <n v="-10929.2344245"/>
    <n v="67096.973692965999"/>
    <n v="0"/>
    <n v="0"/>
    <n v="14715.438994982"/>
    <n v="18960.110526"/>
    <n v="0"/>
    <n v="0"/>
    <n v="271900"/>
    <n v="43300"/>
    <n v="315200"/>
    <n v="1.7759121730707136E-2"/>
    <n v="0.99970000000000003"/>
    <n v="1.0067999999999999"/>
    <n v="0.99729999999999996"/>
    <n v="1.0093000000000001"/>
    <n v="1.0199"/>
    <n v="0.94971499999999998"/>
    <n v="0.98161274461821502"/>
    <n v="271900"/>
    <n v="0"/>
    <n v="271900"/>
    <n v="41100"/>
    <n v="313000"/>
    <n v="0.10349025974025974"/>
    <n v="-0.35071090047393366"/>
    <n v="1.0655473038424281E-2"/>
  </r>
  <r>
    <n v="2025"/>
    <s v="18132333016    "/>
    <n v="-1.5606477482646683"/>
    <n v="0.21"/>
    <n v="8990"/>
    <s v="6"/>
    <s v="RES"/>
    <x v="0"/>
    <s v="11"/>
    <s v="259"/>
    <s v="RN"/>
    <s v="A"/>
    <s v="AV"/>
    <x v="6"/>
    <n v="64"/>
    <n v="49"/>
    <n v="1960"/>
    <n v="1975"/>
    <n v="1134"/>
    <m/>
    <m/>
    <n v="0"/>
    <m/>
    <m/>
    <n v="1134"/>
    <n v="1500"/>
    <n v="7"/>
    <n v="420"/>
    <m/>
    <m/>
    <m/>
    <m/>
    <m/>
    <m/>
    <n v="225934"/>
    <n v="160413"/>
    <n v="0"/>
    <n v="289500"/>
    <n v="60100"/>
    <n v="229400"/>
    <n v="0"/>
    <n v="0"/>
    <n v="89850.625589999996"/>
    <n v="-49401.70477837498"/>
    <n v="21557.329055999999"/>
    <n v="160472.20319"/>
    <n v="-10929.2344245"/>
    <n v="56029.431640518"/>
    <n v="0"/>
    <n v="0"/>
    <n v="0"/>
    <n v="26544.1547364"/>
    <n v="0"/>
    <n v="0"/>
    <n v="253700"/>
    <n v="40400"/>
    <n v="294100"/>
    <n v="1.5889464594127805E-2"/>
    <n v="0.99970000000000003"/>
    <n v="1.0067999999999999"/>
    <n v="0.99729999999999996"/>
    <n v="1.0157"/>
    <n v="1.0199"/>
    <n v="0.94971499999999998"/>
    <n v="0.98783717894453682"/>
    <n v="253700"/>
    <n v="0"/>
    <n v="253700"/>
    <n v="38400"/>
    <n v="292100"/>
    <n v="0.10592850915431561"/>
    <n v="-0.36106489184692181"/>
    <n v="8.9810017271157172E-3"/>
  </r>
  <r>
    <n v="2025"/>
    <s v="18132323004    "/>
    <n v="-1.3470736479666092"/>
    <n v="0.26"/>
    <n v="11250"/>
    <s v="6"/>
    <s v="RES"/>
    <x v="0"/>
    <s v="11"/>
    <s v="259"/>
    <s v="RN"/>
    <s v="A"/>
    <s v="AV"/>
    <x v="6"/>
    <n v="64"/>
    <n v="49"/>
    <n v="1960"/>
    <n v="1975"/>
    <n v="1152"/>
    <m/>
    <n v="1152"/>
    <n v="392"/>
    <n v="760"/>
    <m/>
    <n v="1912"/>
    <n v="2000"/>
    <n v="9"/>
    <m/>
    <m/>
    <n v="120"/>
    <m/>
    <m/>
    <m/>
    <m/>
    <n v="293314"/>
    <n v="208253"/>
    <n v="11854"/>
    <n v="352900"/>
    <n v="67600"/>
    <n v="285300"/>
    <n v="0"/>
    <n v="0"/>
    <n v="89850.625589999996"/>
    <n v="-42641.098701210125"/>
    <n v="21557.329055999999"/>
    <n v="160472.20319"/>
    <n v="-10929.2344245"/>
    <n v="56918.787698304004"/>
    <n v="0"/>
    <n v="0"/>
    <n v="33502.343324543996"/>
    <n v="34128.198946800003"/>
    <n v="3995.4618331200004"/>
    <n v="11900"/>
    <n v="299600"/>
    <n v="47200"/>
    <n v="358700"/>
    <n v="1.6435250779257581E-2"/>
    <n v="0.99970000000000003"/>
    <n v="1.0067999999999999"/>
    <n v="0.99729999999999996"/>
    <n v="1.0093000000000001"/>
    <n v="1.0199"/>
    <n v="0.94971499999999998"/>
    <n v="0.98161274461821502"/>
    <n v="299600"/>
    <n v="11300"/>
    <n v="310900"/>
    <n v="44800"/>
    <n v="355700"/>
    <n v="8.9730108657553459E-2"/>
    <n v="-0.33727810650887574"/>
    <n v="7.9342589968829699E-3"/>
  </r>
  <r>
    <n v="2025"/>
    <s v="18132241400    "/>
    <n v="-0.71334988787746478"/>
    <n v="0.49"/>
    <n v="21205"/>
    <s v="6"/>
    <s v="RES"/>
    <x v="0"/>
    <s v="11"/>
    <s v="259"/>
    <s v="RN"/>
    <s v="A"/>
    <s v="AV"/>
    <x v="6"/>
    <n v="64"/>
    <n v="49"/>
    <n v="1960"/>
    <n v="1975"/>
    <n v="1537"/>
    <m/>
    <n v="686"/>
    <n v="0"/>
    <n v="686"/>
    <m/>
    <n v="2223"/>
    <n v="2500"/>
    <n v="9"/>
    <m/>
    <m/>
    <n v="139"/>
    <m/>
    <m/>
    <m/>
    <m/>
    <n v="323631"/>
    <n v="229778"/>
    <n v="4886"/>
    <n v="372500"/>
    <n v="89700"/>
    <n v="282800"/>
    <n v="0"/>
    <n v="0"/>
    <n v="89850.625589999996"/>
    <n v="-22580.816589646583"/>
    <n v="21557.329055999999"/>
    <n v="160472.20319"/>
    <n v="-10929.2344245"/>
    <n v="75941.125600949003"/>
    <n v="0"/>
    <n v="0"/>
    <n v="19950.180139442"/>
    <n v="34128.198946800003"/>
    <n v="4628.0766233640006"/>
    <n v="4900"/>
    <n v="305700"/>
    <n v="67300"/>
    <n v="377900"/>
    <n v="1.4496644295302013E-2"/>
    <n v="0.99970000000000003"/>
    <n v="1.0067999999999999"/>
    <n v="0.99729999999999996"/>
    <n v="0.98919999999999997"/>
    <n v="1.0199"/>
    <n v="0.94971499999999998"/>
    <n v="0.9620641305621106"/>
    <n v="305700"/>
    <n v="4600"/>
    <n v="310300"/>
    <n v="63900"/>
    <n v="374200"/>
    <n v="9.7241867043847241E-2"/>
    <n v="-0.28762541806020064"/>
    <n v="4.5637583892617446E-3"/>
  </r>
  <r>
    <n v="2025"/>
    <s v="18132212418    "/>
    <n v="-1.4271163556401458"/>
    <n v="0.24"/>
    <n v="10288"/>
    <s v="6"/>
    <s v="RES"/>
    <x v="0"/>
    <s v="11"/>
    <s v="259"/>
    <s v="RN"/>
    <s v="G+"/>
    <s v="GD"/>
    <x v="6"/>
    <n v="64"/>
    <n v="49"/>
    <n v="1960"/>
    <n v="1975"/>
    <n v="1721"/>
    <m/>
    <m/>
    <n v="0"/>
    <m/>
    <m/>
    <n v="1721"/>
    <n v="2000"/>
    <n v="9"/>
    <n v="686"/>
    <m/>
    <n v="98"/>
    <m/>
    <m/>
    <m/>
    <m/>
    <n v="462071"/>
    <n v="341933"/>
    <n v="0"/>
    <n v="424300"/>
    <n v="64800"/>
    <n v="359500"/>
    <n v="0"/>
    <n v="0"/>
    <n v="89850.625589999996"/>
    <n v="-45174.819855485119"/>
    <n v="74268.409664999999"/>
    <n v="197752.34721000001"/>
    <n v="-10929.2344245"/>
    <n v="85032.320858317005"/>
    <n v="0"/>
    <n v="0"/>
    <n v="0"/>
    <n v="34128.198946800003"/>
    <n v="3262.9604970480004"/>
    <n v="0"/>
    <n v="383500"/>
    <n v="44700"/>
    <n v="428200"/>
    <n v="9.1916097101107704E-3"/>
    <n v="0.99970000000000003"/>
    <n v="0.98380000000000001"/>
    <n v="0.99650000000000005"/>
    <n v="1.0093000000000001"/>
    <n v="1.0199"/>
    <n v="0.94971499999999998"/>
    <n v="0.95841871084492314"/>
    <n v="383500"/>
    <n v="0"/>
    <n v="383500"/>
    <n v="42400"/>
    <n v="425900"/>
    <n v="6.6759388038942977E-2"/>
    <n v="-0.34567901234567899"/>
    <n v="3.7709168041480086E-3"/>
  </r>
  <r>
    <n v="2025"/>
    <s v="18132323457    "/>
    <n v="-1.8325814637483102"/>
    <n v="0.16"/>
    <n v="7156"/>
    <s v="6"/>
    <s v="RES"/>
    <x v="0"/>
    <s v="11"/>
    <s v="259"/>
    <s v="RN"/>
    <s v="A"/>
    <s v="FR"/>
    <x v="6"/>
    <n v="64"/>
    <n v="49"/>
    <n v="1960"/>
    <n v="1975"/>
    <n v="1250"/>
    <m/>
    <n v="1022"/>
    <n v="0"/>
    <n v="1022"/>
    <m/>
    <n v="2272"/>
    <n v="2500"/>
    <n v="11"/>
    <n v="288"/>
    <m/>
    <m/>
    <m/>
    <m/>
    <m/>
    <m/>
    <n v="317693"/>
    <n v="222385"/>
    <n v="0"/>
    <n v="306900"/>
    <n v="50600"/>
    <n v="256300"/>
    <n v="0"/>
    <n v="0"/>
    <n v="89850.625589999996"/>
    <n v="-58009.662049032086"/>
    <n v="21557.329055999999"/>
    <n v="133714.53821"/>
    <n v="-10929.2344245"/>
    <n v="61760.837346250002"/>
    <n v="0"/>
    <n v="0"/>
    <n v="29721.696942433999"/>
    <n v="41712.243157199999"/>
    <n v="0"/>
    <n v="0"/>
    <n v="277500"/>
    <n v="31800"/>
    <n v="309300"/>
    <n v="7.8201368523949169E-3"/>
    <n v="0.99970000000000003"/>
    <n v="1.0067999999999999"/>
    <n v="0.99329999999999996"/>
    <n v="0.98919999999999997"/>
    <n v="1.0199"/>
    <n v="0.94971499999999998"/>
    <n v="0.95820545561751158"/>
    <n v="277500"/>
    <n v="0"/>
    <n v="277500"/>
    <n v="30200"/>
    <n v="307700"/>
    <n v="8.2715567694108469E-2"/>
    <n v="-0.40316205533596838"/>
    <n v="2.606712284131639E-3"/>
  </r>
  <r>
    <n v="2025"/>
    <s v="18132242488    "/>
    <n v="-1.5141277326297755"/>
    <n v="0.22"/>
    <n v="9732"/>
    <s v="6"/>
    <s v="RES"/>
    <x v="0"/>
    <s v="11"/>
    <s v="259"/>
    <s v="RN"/>
    <s v="G"/>
    <s v="AV"/>
    <x v="6"/>
    <n v="64"/>
    <n v="49"/>
    <n v="1960"/>
    <n v="1975"/>
    <n v="1316"/>
    <m/>
    <n v="1316"/>
    <n v="78"/>
    <n v="1238"/>
    <m/>
    <n v="2554"/>
    <n v="3000"/>
    <n v="10"/>
    <n v="360"/>
    <m/>
    <m/>
    <m/>
    <m/>
    <m/>
    <m/>
    <n v="493616"/>
    <n v="350467"/>
    <n v="0"/>
    <n v="373800"/>
    <n v="61700"/>
    <n v="312100"/>
    <n v="0"/>
    <n v="0"/>
    <n v="89850.625589999996"/>
    <n v="-47929.131559187132"/>
    <n v="44121.038090000002"/>
    <n v="160472.20319"/>
    <n v="-10929.2344245"/>
    <n v="65021.809558132001"/>
    <n v="0"/>
    <n v="0"/>
    <n v="38271.774145051997"/>
    <n v="37920.221052000001"/>
    <n v="0"/>
    <n v="0"/>
    <n v="334900"/>
    <n v="41900"/>
    <n v="376800"/>
    <n v="8.0256821829855531E-3"/>
    <n v="0.99970000000000003"/>
    <n v="0.98050000000000004"/>
    <n v="0.99729999999999996"/>
    <n v="0.96179999999999999"/>
    <n v="1.0199"/>
    <n v="0.94971499999999998"/>
    <n v="0.91098049619194077"/>
    <n v="334900"/>
    <n v="0"/>
    <n v="334900"/>
    <n v="39800"/>
    <n v="374700"/>
    <n v="7.3053508490868307E-2"/>
    <n v="-0.35494327390599678"/>
    <n v="2.407704654895666E-3"/>
  </r>
  <r>
    <n v="2025"/>
    <s v="18132342508    "/>
    <n v="-1.7147984280919266"/>
    <n v="0.18"/>
    <m/>
    <s v="6"/>
    <s v="RES"/>
    <x v="0"/>
    <s v="11"/>
    <s v="259"/>
    <s v="RN"/>
    <s v="G"/>
    <s v="AV"/>
    <x v="6"/>
    <n v="64"/>
    <n v="49"/>
    <n v="1960"/>
    <n v="1975"/>
    <n v="1547"/>
    <m/>
    <n v="1188"/>
    <n v="0"/>
    <n v="1188"/>
    <m/>
    <n v="2735"/>
    <n v="3000"/>
    <n v="8"/>
    <m/>
    <m/>
    <m/>
    <m/>
    <m/>
    <m/>
    <m/>
    <n v="531357"/>
    <n v="377263"/>
    <n v="27696"/>
    <n v="395400"/>
    <n v="54700"/>
    <n v="340700"/>
    <n v="0"/>
    <n v="0"/>
    <n v="89850.625589999996"/>
    <n v="-54281.285314520763"/>
    <n v="44121.038090000002"/>
    <n v="160472.20319"/>
    <n v="-10929.2344245"/>
    <n v="76435.212299719002"/>
    <n v="0"/>
    <n v="0"/>
    <n v="34549.291553436"/>
    <n v="30336.176841600001"/>
    <n v="0"/>
    <n v="27700"/>
    <n v="335000"/>
    <n v="35600"/>
    <n v="398300"/>
    <n v="7.3343449671219021E-3"/>
    <n v="0.99970000000000003"/>
    <n v="0.98050000000000004"/>
    <n v="0.99729999999999996"/>
    <n v="0.96179999999999999"/>
    <n v="1.0199"/>
    <n v="0.94971499999999998"/>
    <n v="0.91098049619194077"/>
    <n v="335000"/>
    <n v="26300"/>
    <n v="361300"/>
    <n v="33800"/>
    <n v="395100"/>
    <n v="6.0463751100675082E-2"/>
    <n v="-0.38208409506398539"/>
    <n v="-7.5872534142640367E-4"/>
  </r>
  <r>
    <n v="2025"/>
    <s v="18132243403    "/>
    <n v="-1.3470736479666092"/>
    <n v="0.26"/>
    <n v="11213"/>
    <s v="6"/>
    <s v="RES"/>
    <x v="0"/>
    <s v="11"/>
    <s v="259"/>
    <s v="RN"/>
    <s v="A+"/>
    <s v="AV"/>
    <x v="6"/>
    <n v="64"/>
    <n v="49"/>
    <n v="1960"/>
    <n v="1975"/>
    <n v="1311"/>
    <m/>
    <n v="1311"/>
    <n v="249"/>
    <n v="1062"/>
    <m/>
    <n v="2373"/>
    <n v="2500"/>
    <n v="8"/>
    <m/>
    <m/>
    <m/>
    <m/>
    <m/>
    <m/>
    <m/>
    <n v="372916"/>
    <n v="264770"/>
    <n v="0"/>
    <n v="358100"/>
    <n v="67600"/>
    <n v="290500"/>
    <n v="0"/>
    <n v="0"/>
    <n v="89850.625589999996"/>
    <n v="-42641.098701210125"/>
    <n v="29814.093161000001"/>
    <n v="160472.20319"/>
    <n v="-10929.2344245"/>
    <n v="64774.766208747002"/>
    <n v="0"/>
    <n v="0"/>
    <n v="38126.364668816997"/>
    <n v="30336.176841600001"/>
    <n v="0"/>
    <n v="0"/>
    <n v="312600"/>
    <n v="47200"/>
    <n v="359800"/>
    <n v="4.7472772968444573E-3"/>
    <n v="0.99970000000000003"/>
    <n v="1.0088999999999999"/>
    <n v="0.99729999999999996"/>
    <n v="0.98919999999999997"/>
    <n v="1.0199"/>
    <n v="0.94971499999999998"/>
    <n v="0.96407081974981479"/>
    <n v="312600"/>
    <n v="0"/>
    <n v="312600"/>
    <n v="44800"/>
    <n v="357400"/>
    <n v="7.6075731497418239E-2"/>
    <n v="-0.33727810650887574"/>
    <n v="-1.9547612398771292E-3"/>
  </r>
  <r>
    <n v="2025"/>
    <s v="18132322449    "/>
    <n v="-1.7719568419318752"/>
    <n v="0.17"/>
    <n v="7620"/>
    <s v="6"/>
    <s v="RES"/>
    <x v="0"/>
    <s v="11"/>
    <s v="259"/>
    <s v="RN"/>
    <s v="A+"/>
    <s v="AV"/>
    <x v="6"/>
    <n v="64"/>
    <n v="49"/>
    <n v="1960"/>
    <n v="1975"/>
    <n v="1100"/>
    <m/>
    <n v="1100"/>
    <n v="0"/>
    <n v="1100"/>
    <m/>
    <n v="2200"/>
    <n v="2500"/>
    <n v="10"/>
    <n v="910"/>
    <m/>
    <m/>
    <m/>
    <m/>
    <m/>
    <m/>
    <n v="368346"/>
    <n v="261526"/>
    <n v="0"/>
    <n v="337200"/>
    <n v="52700"/>
    <n v="284500"/>
    <n v="0"/>
    <n v="0"/>
    <n v="89850.625589999996"/>
    <n v="-56090.612940989391"/>
    <n v="29814.093161000001"/>
    <n v="160472.20319"/>
    <n v="-10929.2344245"/>
    <n v="54349.5368647"/>
    <n v="0"/>
    <n v="0"/>
    <n v="31990.0847717"/>
    <n v="37920.221052000001"/>
    <n v="0"/>
    <n v="0"/>
    <n v="303600"/>
    <n v="33800"/>
    <n v="337400"/>
    <n v="5.9311981020166078E-4"/>
    <n v="0.99970000000000003"/>
    <n v="1.0088999999999999"/>
    <n v="0.99729999999999996"/>
    <n v="0.98919999999999997"/>
    <n v="1.0199"/>
    <n v="0.94971499999999998"/>
    <n v="0.96407081974981479"/>
    <n v="303600"/>
    <n v="0"/>
    <n v="303600"/>
    <n v="32100"/>
    <n v="335700"/>
    <n v="6.7135325131810197E-2"/>
    <n v="-0.39089184060721061"/>
    <n v="-4.4483985765124559E-3"/>
  </r>
  <r>
    <n v="2025"/>
    <s v="18132242486    "/>
    <n v="-0.916290731874155"/>
    <n v="0.4"/>
    <n v="17261"/>
    <s v="6"/>
    <s v="RES"/>
    <x v="0"/>
    <s v="11"/>
    <s v="259"/>
    <s v="RN"/>
    <s v="G"/>
    <s v="AV"/>
    <x v="6"/>
    <n v="64"/>
    <n v="49"/>
    <n v="1960"/>
    <n v="1975"/>
    <n v="1713"/>
    <m/>
    <n v="1713"/>
    <n v="435"/>
    <n v="1278"/>
    <m/>
    <n v="2991"/>
    <n v="3000"/>
    <n v="11"/>
    <n v="552"/>
    <m/>
    <m/>
    <m/>
    <m/>
    <m/>
    <m/>
    <n v="593196"/>
    <n v="421169"/>
    <n v="0"/>
    <n v="430500"/>
    <n v="82600"/>
    <n v="347900"/>
    <n v="0"/>
    <n v="0"/>
    <n v="89850.625589999996"/>
    <n v="-29004.831024516039"/>
    <n v="44121.038090000002"/>
    <n v="160472.20319"/>
    <n v="-10929.2344245"/>
    <n v="84637.051499301"/>
    <n v="0"/>
    <n v="0"/>
    <n v="49817.286558110995"/>
    <n v="41712.243157199999"/>
    <n v="0"/>
    <n v="0"/>
    <n v="369800"/>
    <n v="60800"/>
    <n v="430600"/>
    <n v="2.3228803716608595E-4"/>
    <n v="0.99970000000000003"/>
    <n v="0.98050000000000004"/>
    <n v="0.99729999999999996"/>
    <n v="0.96179999999999999"/>
    <n v="1.0199"/>
    <n v="0.94971499999999998"/>
    <n v="0.91098049619194077"/>
    <n v="369800"/>
    <n v="0"/>
    <n v="369800"/>
    <n v="57800"/>
    <n v="427600"/>
    <n v="6.2949123311296346E-2"/>
    <n v="-0.30024213075060535"/>
    <n v="-6.7363530778164924E-3"/>
  </r>
  <r>
    <n v="2025"/>
    <s v="18132242466    "/>
    <n v="-1.7719568419318752"/>
    <n v="0.17"/>
    <n v="7281"/>
    <s v="6"/>
    <s v="RES"/>
    <x v="0"/>
    <s v="11"/>
    <s v="259"/>
    <s v="SE"/>
    <s v="A"/>
    <s v="AV"/>
    <x v="6"/>
    <n v="64"/>
    <n v="49"/>
    <n v="1960"/>
    <n v="1975"/>
    <n v="1300"/>
    <m/>
    <n v="1300"/>
    <n v="0"/>
    <n v="1300"/>
    <m/>
    <n v="2600"/>
    <n v="3000"/>
    <n v="8"/>
    <m/>
    <m/>
    <m/>
    <m/>
    <m/>
    <m/>
    <m/>
    <n v="342512"/>
    <n v="243184"/>
    <n v="0"/>
    <n v="338700"/>
    <n v="52700"/>
    <n v="286000"/>
    <n v="0"/>
    <n v="0"/>
    <n v="89850.625589999996"/>
    <n v="-56090.612940989391"/>
    <n v="21557.329055999999"/>
    <n v="160472.20319"/>
    <n v="-10929.2344245"/>
    <n v="64231.270840099998"/>
    <n v="0"/>
    <n v="0"/>
    <n v="37806.463821099998"/>
    <n v="30336.176841600001"/>
    <n v="0"/>
    <n v="0"/>
    <n v="303500"/>
    <n v="33800"/>
    <n v="337300"/>
    <n v="-4.1334514319456743E-3"/>
    <n v="0.99970000000000003"/>
    <n v="1.0067999999999999"/>
    <n v="0.99729999999999996"/>
    <n v="0.96179999999999999"/>
    <n v="1.0199"/>
    <n v="0.94971499999999998"/>
    <n v="0.93541577110254559"/>
    <n v="303500"/>
    <n v="0"/>
    <n v="303500"/>
    <n v="32100"/>
    <n v="335600"/>
    <n v="6.1188811188811192E-2"/>
    <n v="-0.39089184060721061"/>
    <n v="-9.1526424564511363E-3"/>
  </r>
  <r>
    <n v="2025"/>
    <s v="18132323024    "/>
    <n v="-2.0402208285265546"/>
    <n v="0.13"/>
    <n v="5750"/>
    <s v="6"/>
    <s v="RES"/>
    <x v="0"/>
    <s v="11"/>
    <s v="259"/>
    <s v="RN"/>
    <s v="A"/>
    <s v="AV"/>
    <x v="6"/>
    <n v="64"/>
    <n v="49"/>
    <n v="1960"/>
    <n v="1975"/>
    <n v="1348"/>
    <m/>
    <m/>
    <n v="0"/>
    <m/>
    <m/>
    <n v="1348"/>
    <n v="1500"/>
    <n v="8"/>
    <m/>
    <m/>
    <m/>
    <m/>
    <m/>
    <m/>
    <m/>
    <n v="261584"/>
    <n v="185725"/>
    <n v="0"/>
    <n v="295600"/>
    <n v="43400"/>
    <n v="252200"/>
    <n v="0"/>
    <n v="0"/>
    <n v="89850.625589999996"/>
    <n v="-64582.406353792743"/>
    <n v="21557.329055999999"/>
    <n v="160472.20319"/>
    <n v="-10929.2344245"/>
    <n v="66602.886994196"/>
    <n v="0"/>
    <n v="0"/>
    <n v="0"/>
    <n v="30336.176841600001"/>
    <n v="0"/>
    <n v="0"/>
    <n v="268000"/>
    <n v="25300"/>
    <n v="293300"/>
    <n v="-7.7807848443843027E-3"/>
    <n v="0.99970000000000003"/>
    <n v="1.0067999999999999"/>
    <n v="0.99729999999999996"/>
    <n v="1.0157"/>
    <n v="1.0199"/>
    <n v="0.94971499999999998"/>
    <n v="0.98783717894453682"/>
    <n v="268000"/>
    <n v="0"/>
    <n v="268000"/>
    <n v="24000"/>
    <n v="292000"/>
    <n v="6.2648691514670896E-2"/>
    <n v="-0.44700460829493088"/>
    <n v="-1.2178619756427604E-2"/>
  </r>
  <r>
    <n v="2025"/>
    <s v="18132324414    "/>
    <n v="-1.5606477482646683"/>
    <n v="0.21"/>
    <m/>
    <s v="6"/>
    <s v="RES"/>
    <x v="0"/>
    <s v="11"/>
    <s v="259"/>
    <s v="RN"/>
    <s v="A+"/>
    <s v="AV"/>
    <x v="6"/>
    <n v="64"/>
    <n v="49"/>
    <n v="1960"/>
    <n v="1975"/>
    <n v="1412"/>
    <m/>
    <n v="1412"/>
    <n v="0"/>
    <n v="1412"/>
    <m/>
    <n v="2824"/>
    <n v="3000"/>
    <n v="10"/>
    <n v="264"/>
    <m/>
    <m/>
    <m/>
    <m/>
    <m/>
    <m/>
    <n v="413961"/>
    <n v="293912"/>
    <n v="0"/>
    <n v="371800"/>
    <n v="60100"/>
    <n v="311700"/>
    <n v="0"/>
    <n v="0"/>
    <n v="89850.625589999996"/>
    <n v="-49401.70477837498"/>
    <n v="29814.093161000001"/>
    <n v="160472.20319"/>
    <n v="-10929.2344245"/>
    <n v="69765.041866323998"/>
    <n v="0"/>
    <n v="0"/>
    <n v="41063.636088763997"/>
    <n v="37920.221052000001"/>
    <n v="0"/>
    <n v="0"/>
    <n v="328100"/>
    <n v="40400"/>
    <n v="368500"/>
    <n v="-8.8757396449704144E-3"/>
    <n v="0.99970000000000003"/>
    <n v="1.0088999999999999"/>
    <n v="0.99729999999999996"/>
    <n v="0.96179999999999999"/>
    <n v="1.0199"/>
    <n v="0.94971499999999998"/>
    <n v="0.93736687670377261"/>
    <n v="328100"/>
    <n v="0"/>
    <n v="328100"/>
    <n v="38400"/>
    <n v="366500"/>
    <n v="5.2614693615656079E-2"/>
    <n v="-0.36106489184692181"/>
    <n v="-1.4254975793437331E-2"/>
  </r>
  <r>
    <n v="2025"/>
    <s v="18132324405    "/>
    <n v="-1.5606477482646683"/>
    <n v="0.21"/>
    <m/>
    <s v="6"/>
    <s v="RES"/>
    <x v="0"/>
    <s v="11"/>
    <s v="259"/>
    <s v="RN"/>
    <s v="A+"/>
    <s v="AV"/>
    <x v="6"/>
    <n v="64"/>
    <n v="49"/>
    <n v="1960"/>
    <n v="1975"/>
    <n v="1440"/>
    <m/>
    <n v="1440"/>
    <n v="150"/>
    <n v="1290"/>
    <m/>
    <n v="2730"/>
    <n v="3000"/>
    <n v="10"/>
    <m/>
    <m/>
    <m/>
    <m/>
    <m/>
    <m/>
    <m/>
    <n v="413640"/>
    <n v="293684"/>
    <n v="9413"/>
    <n v="383400"/>
    <n v="60100"/>
    <n v="323300"/>
    <n v="0"/>
    <n v="0"/>
    <n v="89850.625589999996"/>
    <n v="-49401.70477837498"/>
    <n v="29814.093161000001"/>
    <n v="160472.20319"/>
    <n v="-10929.2344245"/>
    <n v="71148.484622880002"/>
    <n v="0"/>
    <n v="0"/>
    <n v="41877.929155679994"/>
    <n v="37920.221052000001"/>
    <n v="0"/>
    <n v="9400"/>
    <n v="330300"/>
    <n v="40400"/>
    <n v="380100"/>
    <n v="-8.6071987480438178E-3"/>
    <n v="0.99970000000000003"/>
    <n v="1.0088999999999999"/>
    <n v="0.99729999999999996"/>
    <n v="0.96179999999999999"/>
    <n v="1.0199"/>
    <n v="0.94971499999999998"/>
    <n v="0.93736687670377261"/>
    <n v="330300"/>
    <n v="8900"/>
    <n v="339200"/>
    <n v="38400"/>
    <n v="377600"/>
    <n v="4.9180327868852458E-2"/>
    <n v="-0.36106489184692181"/>
    <n v="-1.5127803860198226E-2"/>
  </r>
  <r>
    <n v="2025"/>
    <s v="18132212439    "/>
    <n v="-1.0498221244986778"/>
    <n v="0.35"/>
    <n v="15096"/>
    <s v="6"/>
    <s v="RES"/>
    <x v="0"/>
    <s v="11"/>
    <s v="259"/>
    <s v="RN"/>
    <s v="G+"/>
    <s v="GD"/>
    <x v="6"/>
    <n v="64"/>
    <n v="49"/>
    <n v="1960"/>
    <n v="1975"/>
    <n v="2208"/>
    <m/>
    <m/>
    <n v="0"/>
    <m/>
    <m/>
    <n v="2208"/>
    <n v="2500"/>
    <n v="10"/>
    <n v="480"/>
    <m/>
    <m/>
    <m/>
    <m/>
    <m/>
    <m/>
    <n v="557094"/>
    <n v="412250"/>
    <n v="0"/>
    <n v="475000"/>
    <n v="77900"/>
    <n v="397100"/>
    <n v="0"/>
    <n v="0"/>
    <n v="89850.625589999996"/>
    <n v="-33231.715947405908"/>
    <n v="74268.409664999999"/>
    <n v="197752.34721000001"/>
    <n v="-10929.2344245"/>
    <n v="109094.343088416"/>
    <n v="0"/>
    <n v="0"/>
    <n v="0"/>
    <n v="37920.221052000001"/>
    <n v="0"/>
    <n v="0"/>
    <n v="408100"/>
    <n v="56600"/>
    <n v="464700"/>
    <n v="-2.1684210526315788E-2"/>
    <n v="0.99970000000000003"/>
    <n v="0.98380000000000001"/>
    <n v="0.99650000000000005"/>
    <n v="0.98919999999999997"/>
    <n v="1.0199"/>
    <n v="0.94971499999999998"/>
    <n v="0.93933200115703741"/>
    <n v="408100"/>
    <n v="0"/>
    <n v="408100"/>
    <n v="53800"/>
    <n v="461900"/>
    <n v="2.7700831024930747E-2"/>
    <n v="-0.30937098844672656"/>
    <n v="-2.7578947368421054E-2"/>
  </r>
  <r>
    <n v="2025"/>
    <s v="18132334470    "/>
    <n v="-1.2729656758128873"/>
    <n v="0.28000000000000003"/>
    <n v="12389"/>
    <s v="6"/>
    <s v="RES"/>
    <x v="0"/>
    <s v="11"/>
    <s v="259"/>
    <s v="RN"/>
    <s v="G+"/>
    <s v="AV"/>
    <x v="6"/>
    <n v="64"/>
    <n v="49"/>
    <n v="1960"/>
    <n v="1975"/>
    <n v="2093"/>
    <m/>
    <n v="1796"/>
    <n v="0"/>
    <n v="1796"/>
    <m/>
    <n v="3889"/>
    <n v="4000"/>
    <n v="13"/>
    <m/>
    <m/>
    <n v="387"/>
    <m/>
    <m/>
    <m/>
    <m/>
    <n v="900035"/>
    <n v="657026"/>
    <n v="10379"/>
    <n v="514900"/>
    <n v="70100"/>
    <n v="444800"/>
    <n v="0"/>
    <n v="0"/>
    <n v="89850.625589999996"/>
    <n v="-40295.239319339329"/>
    <n v="74268.409664999999"/>
    <n v="160472.20319"/>
    <n v="-10929.2344245"/>
    <n v="103412.346052561"/>
    <n v="0"/>
    <n v="0"/>
    <n v="52231.083863611995"/>
    <n v="49296.287367600002"/>
    <n v="12885.364411812001"/>
    <n v="10400"/>
    <n v="441600"/>
    <n v="49600"/>
    <n v="501600"/>
    <n v="-2.5830258302583026E-2"/>
    <n v="0.99970000000000003"/>
    <n v="0.98380000000000001"/>
    <n v="0.99729999999999996"/>
    <n v="0.94579999999999997"/>
    <n v="1.0199"/>
    <n v="0.94971499999999998"/>
    <n v="0.89884092112146985"/>
    <n v="441600"/>
    <n v="9900"/>
    <n v="451500"/>
    <n v="47100"/>
    <n v="498600"/>
    <n v="1.506294964028777E-2"/>
    <n v="-0.32810271041369471"/>
    <n v="-3.1656632355797243E-2"/>
  </r>
  <r>
    <n v="2025"/>
    <s v="18132212435    "/>
    <n v="-1.1711829815029451"/>
    <n v="0.31"/>
    <n v="13471"/>
    <s v="6"/>
    <s v="RES"/>
    <x v="0"/>
    <s v="11"/>
    <s v="259"/>
    <s v="RN"/>
    <s v="G+"/>
    <s v="AV"/>
    <x v="6"/>
    <n v="64"/>
    <n v="49"/>
    <n v="1960"/>
    <n v="1975"/>
    <n v="2187"/>
    <m/>
    <n v="2187"/>
    <n v="1162"/>
    <n v="1025"/>
    <m/>
    <n v="3212"/>
    <n v="3500"/>
    <n v="14"/>
    <n v="728"/>
    <m/>
    <n v="360"/>
    <m/>
    <m/>
    <m/>
    <m/>
    <n v="767931"/>
    <n v="560590"/>
    <n v="0"/>
    <n v="527600"/>
    <n v="73700"/>
    <n v="453900"/>
    <n v="0"/>
    <n v="0"/>
    <n v="89850.625589999996"/>
    <n v="-37073.347241874442"/>
    <n v="74268.409664999999"/>
    <n v="160472.20319"/>
    <n v="-10929.2344245"/>
    <n v="108056.76102099901"/>
    <n v="0"/>
    <n v="0"/>
    <n v="63602.104905188993"/>
    <n v="53088.3094728"/>
    <n v="11986.385499360002"/>
    <n v="0"/>
    <n v="460500"/>
    <n v="52800"/>
    <n v="513300"/>
    <n v="-2.7103866565579986E-2"/>
    <n v="0.99970000000000003"/>
    <n v="0.98380000000000001"/>
    <n v="0.99729999999999996"/>
    <n v="1.0126999999999999"/>
    <n v="1.0199"/>
    <n v="0.94971499999999998"/>
    <n v="0.96241932842008082"/>
    <n v="460500"/>
    <n v="0"/>
    <n v="460500"/>
    <n v="50100"/>
    <n v="510600"/>
    <n v="1.4540647719762063E-2"/>
    <n v="-0.32021709633649931"/>
    <n v="-3.2221379833206977E-2"/>
  </r>
  <r>
    <n v="2025"/>
    <s v="18132242499    "/>
    <n v="-1.3470736479666092"/>
    <n v="0.26"/>
    <n v="11303"/>
    <s v="6"/>
    <s v="RES"/>
    <x v="0"/>
    <s v="11"/>
    <s v="259"/>
    <s v="RN"/>
    <s v="G+"/>
    <s v="AV"/>
    <x v="6"/>
    <n v="64"/>
    <n v="49"/>
    <n v="1960"/>
    <n v="1975"/>
    <n v="1449"/>
    <m/>
    <n v="1449"/>
    <n v="446"/>
    <n v="1003"/>
    <m/>
    <n v="2452"/>
    <n v="2500"/>
    <n v="13"/>
    <n v="440"/>
    <m/>
    <n v="268"/>
    <m/>
    <m/>
    <m/>
    <m/>
    <n v="567342"/>
    <n v="414160"/>
    <n v="0"/>
    <n v="457700"/>
    <n v="67600"/>
    <n v="390100"/>
    <n v="0"/>
    <n v="0"/>
    <n v="89850.625589999996"/>
    <n v="-42641.098701210125"/>
    <n v="74268.409664999999"/>
    <n v="160472.20319"/>
    <n v="-10929.2344245"/>
    <n v="71593.162651773004"/>
    <n v="0"/>
    <n v="0"/>
    <n v="42139.666212903001"/>
    <n v="49296.287367600002"/>
    <n v="8923.1980939680016"/>
    <n v="0"/>
    <n v="395800"/>
    <n v="47200"/>
    <n v="443000"/>
    <n v="-3.2117107275507976E-2"/>
    <n v="0.99970000000000003"/>
    <n v="0.98380000000000001"/>
    <n v="0.99729999999999996"/>
    <n v="0.98919999999999997"/>
    <n v="1.0199"/>
    <n v="0.94971499999999998"/>
    <n v="0.94008610612535215"/>
    <n v="395800"/>
    <n v="0"/>
    <n v="395800"/>
    <n v="44800"/>
    <n v="440600"/>
    <n v="1.4611638041527814E-2"/>
    <n v="-0.33727810650887574"/>
    <n v="-3.7360716626611321E-2"/>
  </r>
  <r>
    <n v="2025"/>
    <s v="18132244459    "/>
    <n v="-1.3093333199837622"/>
    <n v="0.27"/>
    <n v="11900"/>
    <s v="6"/>
    <s v="RES"/>
    <x v="0"/>
    <s v="11"/>
    <s v="259"/>
    <s v="CP"/>
    <s v="G"/>
    <s v="VG"/>
    <x v="6"/>
    <n v="65"/>
    <n v="50"/>
    <n v="1959"/>
    <n v="1974"/>
    <n v="2656"/>
    <m/>
    <m/>
    <n v="0"/>
    <m/>
    <m/>
    <n v="2656"/>
    <n v="3000"/>
    <n v="6"/>
    <n v="766"/>
    <m/>
    <m/>
    <m/>
    <m/>
    <m/>
    <m/>
    <n v="521545"/>
    <n v="380728"/>
    <n v="0"/>
    <n v="441000"/>
    <n v="68900"/>
    <n v="372100"/>
    <n v="0"/>
    <n v="0"/>
    <n v="89850.625589999996"/>
    <n v="-41446.443120973789"/>
    <n v="44121.038090000002"/>
    <n v="284810.60806"/>
    <n v="-11152.280025"/>
    <n v="131229.427193312"/>
    <n v="0"/>
    <n v="0"/>
    <n v="0"/>
    <n v="22752.132631200002"/>
    <n v="0"/>
    <n v="0"/>
    <n v="471800"/>
    <n v="48400"/>
    <n v="520200"/>
    <n v="0.17959183673469387"/>
    <n v="0.99970000000000003"/>
    <n v="0.98050000000000004"/>
    <n v="1.0158"/>
    <n v="0.96179999999999999"/>
    <n v="1.0199"/>
    <n v="0.94971499999999998"/>
    <n v="0.92787926203927951"/>
    <n v="471800"/>
    <n v="0"/>
    <n v="471800"/>
    <n v="46000"/>
    <n v="517800"/>
    <n v="0.2679387261488847"/>
    <n v="-0.33236574746008707"/>
    <n v="0.17414965986394557"/>
  </r>
  <r>
    <n v="2025"/>
    <s v="18132243407    "/>
    <n v="-1.5606477482646683"/>
    <n v="0.21"/>
    <n v="9300"/>
    <s v="6"/>
    <s v="RES"/>
    <x v="0"/>
    <s v="11"/>
    <s v="259"/>
    <s v="SL"/>
    <s v="G"/>
    <s v="GD"/>
    <x v="6"/>
    <n v="65"/>
    <n v="50"/>
    <n v="1959"/>
    <n v="1974"/>
    <n v="1448"/>
    <m/>
    <n v="1005"/>
    <n v="813"/>
    <n v="192"/>
    <m/>
    <n v="1640"/>
    <n v="2000"/>
    <n v="10"/>
    <m/>
    <n v="260"/>
    <m/>
    <m/>
    <m/>
    <m/>
    <m/>
    <n v="421774"/>
    <n v="303677"/>
    <n v="0"/>
    <n v="373800"/>
    <n v="60100"/>
    <n v="313700"/>
    <n v="0"/>
    <n v="0"/>
    <n v="89850.625589999996"/>
    <n v="-49401.70477837498"/>
    <n v="44121.038090000002"/>
    <n v="197752.34721000001"/>
    <n v="-11152.280025"/>
    <n v="71543.753981896007"/>
    <n v="0"/>
    <n v="0"/>
    <n v="29227.304723235"/>
    <n v="37920.221052000001"/>
    <n v="0"/>
    <n v="0"/>
    <n v="369400"/>
    <n v="40400"/>
    <n v="409800"/>
    <n v="9.6308186195826651E-2"/>
    <n v="0.99970000000000003"/>
    <n v="0.98050000000000004"/>
    <n v="0.99650000000000005"/>
    <n v="1.0093000000000001"/>
    <n v="1.0199"/>
    <n v="0.94971499999999998"/>
    <n v="0.95520384832633376"/>
    <n v="369400"/>
    <n v="0"/>
    <n v="369400"/>
    <n v="38400"/>
    <n v="407800"/>
    <n v="0.17755817660184889"/>
    <n v="-0.36106489184692181"/>
    <n v="9.0957731407169604E-2"/>
  </r>
  <r>
    <n v="2025"/>
    <s v="18132243465    "/>
    <n v="-1.6094379124341003"/>
    <n v="0.2"/>
    <n v="8680"/>
    <s v="6"/>
    <s v="RES"/>
    <x v="0"/>
    <s v="11"/>
    <s v="259"/>
    <s v="RN"/>
    <s v="A"/>
    <s v="AV"/>
    <x v="6"/>
    <n v="65"/>
    <n v="50"/>
    <n v="1959"/>
    <n v="1974"/>
    <n v="1715"/>
    <m/>
    <n v="640"/>
    <n v="640"/>
    <m/>
    <m/>
    <n v="1715"/>
    <n v="2000"/>
    <n v="8"/>
    <m/>
    <m/>
    <m/>
    <m/>
    <m/>
    <m/>
    <m/>
    <n v="294414"/>
    <n v="206090"/>
    <n v="10950"/>
    <n v="334700"/>
    <n v="58400"/>
    <n v="276300"/>
    <n v="0"/>
    <n v="0"/>
    <n v="89850.625589999996"/>
    <n v="-50946.13867709865"/>
    <n v="21557.329055999999"/>
    <n v="160472.20319"/>
    <n v="-11152.280025"/>
    <n v="84735.868839055009"/>
    <n v="0"/>
    <n v="0"/>
    <n v="18612.41295808"/>
    <n v="30336.176841600001"/>
    <n v="0"/>
    <n v="11000"/>
    <n v="304600"/>
    <n v="38900"/>
    <n v="354500"/>
    <n v="5.915745443680908E-2"/>
    <n v="0.99970000000000003"/>
    <n v="1.0067999999999999"/>
    <n v="0.99729999999999996"/>
    <n v="1.0093000000000001"/>
    <n v="1.0199"/>
    <n v="0.94971499999999998"/>
    <n v="0.98161274461821502"/>
    <n v="304600"/>
    <n v="10400"/>
    <n v="315000"/>
    <n v="36900"/>
    <n v="351900"/>
    <n v="0.14006514657980457"/>
    <n v="-0.36815068493150682"/>
    <n v="5.1389303854197786E-2"/>
  </r>
  <r>
    <n v="2025"/>
    <s v="18132333020    "/>
    <n v="-1.5606477482646683"/>
    <n v="0.21"/>
    <m/>
    <s v="6"/>
    <s v="RES"/>
    <x v="0"/>
    <s v="11"/>
    <s v="259"/>
    <s v="CP"/>
    <s v="A+"/>
    <s v="GD"/>
    <x v="6"/>
    <n v="65"/>
    <n v="50"/>
    <n v="1959"/>
    <n v="1974"/>
    <n v="1572"/>
    <m/>
    <m/>
    <n v="0"/>
    <m/>
    <m/>
    <n v="1572"/>
    <n v="2000"/>
    <n v="8"/>
    <m/>
    <m/>
    <m/>
    <m/>
    <m/>
    <m/>
    <m/>
    <n v="316741"/>
    <n v="228054"/>
    <n v="0"/>
    <n v="345200"/>
    <n v="60100"/>
    <n v="285100"/>
    <n v="0"/>
    <n v="0"/>
    <n v="89850.625589999996"/>
    <n v="-49401.70477837498"/>
    <n v="29814.093161000001"/>
    <n v="197752.34721000001"/>
    <n v="-11152.280025"/>
    <n v="77670.429046644"/>
    <n v="0"/>
    <n v="0"/>
    <n v="0"/>
    <n v="30336.176841600001"/>
    <n v="0"/>
    <n v="0"/>
    <n v="324400"/>
    <n v="40400"/>
    <n v="364800"/>
    <n v="5.6778679026651215E-2"/>
    <n v="0.99970000000000003"/>
    <n v="1.0088999999999999"/>
    <n v="0.99650000000000005"/>
    <n v="1.0093000000000001"/>
    <n v="1.0199"/>
    <n v="0.94971499999999998"/>
    <n v="0.98287115000146663"/>
    <n v="324400"/>
    <n v="0"/>
    <n v="324400"/>
    <n v="38400"/>
    <n v="362800"/>
    <n v="0.1378463696948439"/>
    <n v="-0.36106489184692181"/>
    <n v="5.0984936268829661E-2"/>
  </r>
  <r>
    <n v="2025"/>
    <s v="18132244407    "/>
    <n v="-1.4696759700589417"/>
    <n v="0.23"/>
    <n v="10158"/>
    <s v="6"/>
    <s v="RES"/>
    <x v="0"/>
    <s v="11"/>
    <s v="259"/>
    <s v="RN"/>
    <s v="A+"/>
    <s v="AV"/>
    <x v="6"/>
    <n v="65"/>
    <n v="50"/>
    <n v="1959"/>
    <n v="1974"/>
    <n v="1956"/>
    <m/>
    <m/>
    <n v="0"/>
    <m/>
    <m/>
    <n v="1956"/>
    <n v="2000"/>
    <n v="9"/>
    <m/>
    <m/>
    <m/>
    <m/>
    <m/>
    <m/>
    <m/>
    <n v="392307"/>
    <n v="274615"/>
    <n v="21608"/>
    <n v="363200"/>
    <n v="63300"/>
    <n v="299900"/>
    <n v="0"/>
    <n v="0"/>
    <n v="89850.625589999996"/>
    <n v="-46522.028095997222"/>
    <n v="29814.093161000001"/>
    <n v="160472.20319"/>
    <n v="-11152.280025"/>
    <n v="96643.358279412001"/>
    <n v="0"/>
    <n v="0"/>
    <n v="0"/>
    <n v="34128.198946800003"/>
    <n v="0"/>
    <n v="21600"/>
    <n v="309900"/>
    <n v="43300"/>
    <n v="374800"/>
    <n v="3.1938325991189426E-2"/>
    <n v="0.99970000000000003"/>
    <n v="1.0088999999999999"/>
    <n v="0.99729999999999996"/>
    <n v="1.0093000000000001"/>
    <n v="1.0199"/>
    <n v="0.94971499999999998"/>
    <n v="0.98366020862665582"/>
    <n v="309900"/>
    <n v="20500"/>
    <n v="330400"/>
    <n v="41100"/>
    <n v="371500"/>
    <n v="0.10170056685561854"/>
    <n v="-0.35071090047393366"/>
    <n v="2.2852422907488987E-2"/>
  </r>
  <r>
    <n v="2025"/>
    <s v="18132342520    "/>
    <n v="-1.3470736479666092"/>
    <n v="0.26"/>
    <n v="11322"/>
    <s v="6"/>
    <s v="RES"/>
    <x v="0"/>
    <s v="11"/>
    <s v="259"/>
    <s v="SL"/>
    <s v="G+"/>
    <s v="GD"/>
    <x v="6"/>
    <n v="65"/>
    <n v="50"/>
    <n v="1959"/>
    <n v="1974"/>
    <n v="1447"/>
    <m/>
    <n v="720"/>
    <n v="0"/>
    <n v="720"/>
    <m/>
    <n v="2167"/>
    <n v="2500"/>
    <n v="8"/>
    <n v="630"/>
    <m/>
    <m/>
    <m/>
    <m/>
    <m/>
    <m/>
    <n v="503078"/>
    <n v="367247"/>
    <n v="0"/>
    <n v="437500"/>
    <n v="67600"/>
    <n v="369900"/>
    <n v="0"/>
    <n v="0"/>
    <n v="89850.625589999996"/>
    <n v="-42641.098701210125"/>
    <n v="74268.409664999999"/>
    <n v="197752.34721000001"/>
    <n v="-11152.280025"/>
    <n v="71494.345312018995"/>
    <n v="0"/>
    <n v="0"/>
    <n v="20938.964577839997"/>
    <n v="30336.176841600001"/>
    <n v="0"/>
    <n v="0"/>
    <n v="383600"/>
    <n v="47200"/>
    <n v="430800"/>
    <n v="-1.5314285714285714E-2"/>
    <n v="0.99970000000000003"/>
    <n v="0.98380000000000001"/>
    <n v="0.99650000000000005"/>
    <n v="0.98919999999999997"/>
    <n v="1.0199"/>
    <n v="0.94971499999999998"/>
    <n v="0.93933200115703741"/>
    <n v="383600"/>
    <n v="0"/>
    <n v="383600"/>
    <n v="44800"/>
    <n v="428400"/>
    <n v="3.7037037037037035E-2"/>
    <n v="-0.33727810650887574"/>
    <n v="-2.0799999999999999E-2"/>
  </r>
  <r>
    <n v="2025"/>
    <s v="18132324497    "/>
    <n v="-1.6607312068216509"/>
    <n v="0.19"/>
    <m/>
    <s v="6"/>
    <s v="RES"/>
    <x v="0"/>
    <s v="11"/>
    <s v="259"/>
    <s v="TD"/>
    <s v="A+"/>
    <s v="GD"/>
    <x v="6"/>
    <n v="66"/>
    <n v="50"/>
    <n v="1958"/>
    <n v="1974"/>
    <n v="1107"/>
    <m/>
    <n v="1107"/>
    <n v="553"/>
    <n v="554"/>
    <m/>
    <n v="1661"/>
    <n v="2000"/>
    <n v="8"/>
    <m/>
    <m/>
    <m/>
    <m/>
    <m/>
    <m/>
    <m/>
    <n v="304124"/>
    <n v="218969"/>
    <n v="0"/>
    <n v="342100"/>
    <n v="56600"/>
    <n v="285500"/>
    <n v="0"/>
    <n v="0"/>
    <n v="89850.625589999996"/>
    <n v="-52569.808201026557"/>
    <n v="29814.093161000001"/>
    <n v="197752.34721000001"/>
    <n v="-11152.280025"/>
    <n v="54695.397553839"/>
    <n v="0"/>
    <n v="0"/>
    <n v="32193.658038428999"/>
    <n v="30336.176841600001"/>
    <n v="0"/>
    <n v="0"/>
    <n v="333600"/>
    <n v="37300"/>
    <n v="370900"/>
    <n v="8.4185910552470045E-2"/>
    <n v="0.99970000000000003"/>
    <n v="1.0088999999999999"/>
    <n v="0.99650000000000005"/>
    <n v="1.0093000000000001"/>
    <n v="1.0199"/>
    <n v="0.94971499999999998"/>
    <n v="0.98287115000146663"/>
    <n v="333600"/>
    <n v="0"/>
    <n v="333600"/>
    <n v="35400"/>
    <n v="369000"/>
    <n v="0.16847635726795096"/>
    <n v="-0.37455830388692579"/>
    <n v="7.8631978953522363E-2"/>
  </r>
  <r>
    <n v="2025"/>
    <s v="18132333017    "/>
    <n v="-1.5606477482646683"/>
    <n v="0.21"/>
    <n v="8990"/>
    <s v="6"/>
    <s v="RES"/>
    <x v="0"/>
    <s v="11"/>
    <s v="259"/>
    <s v="RN"/>
    <s v="A"/>
    <s v="GD"/>
    <x v="6"/>
    <n v="66"/>
    <n v="50"/>
    <n v="1958"/>
    <n v="1974"/>
    <n v="1215"/>
    <m/>
    <m/>
    <n v="0"/>
    <m/>
    <m/>
    <n v="1215"/>
    <n v="1500"/>
    <n v="8"/>
    <m/>
    <m/>
    <m/>
    <m/>
    <m/>
    <m/>
    <m/>
    <n v="203368"/>
    <n v="146425"/>
    <n v="10057"/>
    <n v="321700"/>
    <n v="60100"/>
    <n v="261600"/>
    <n v="0"/>
    <n v="0"/>
    <n v="89850.625589999996"/>
    <n v="-49401.70477837498"/>
    <n v="21557.329055999999"/>
    <n v="197752.34721000001"/>
    <n v="-11152.280025"/>
    <n v="60031.533900555005"/>
    <n v="0"/>
    <n v="0"/>
    <n v="0"/>
    <n v="30336.176841600001"/>
    <n v="0"/>
    <n v="10100"/>
    <n v="298500"/>
    <n v="40400"/>
    <n v="349000"/>
    <n v="8.4861672365557972E-2"/>
    <n v="0.99970000000000003"/>
    <n v="1.0067999999999999"/>
    <n v="0.99650000000000005"/>
    <n v="1.0157"/>
    <n v="1.0199"/>
    <n v="0.94971499999999998"/>
    <n v="0.98704476969641131"/>
    <n v="298500"/>
    <n v="9600"/>
    <n v="308100"/>
    <n v="38400"/>
    <n v="346500"/>
    <n v="0.17775229357798164"/>
    <n v="-0.36106489184692181"/>
    <n v="7.7090456947466579E-2"/>
  </r>
  <r>
    <n v="2025"/>
    <s v="18132323462    "/>
    <n v="-1.8325814637483102"/>
    <n v="0.16"/>
    <m/>
    <s v="6"/>
    <s v="RES"/>
    <x v="0"/>
    <s v="11"/>
    <s v="259"/>
    <s v="RN"/>
    <s v="A"/>
    <s v="AV"/>
    <x v="6"/>
    <n v="66"/>
    <n v="50"/>
    <n v="1958"/>
    <n v="1974"/>
    <n v="1155"/>
    <m/>
    <m/>
    <n v="0"/>
    <m/>
    <m/>
    <n v="1155"/>
    <n v="1500"/>
    <n v="5"/>
    <n v="546"/>
    <m/>
    <n v="135"/>
    <m/>
    <m/>
    <m/>
    <m/>
    <n v="227416"/>
    <n v="159191"/>
    <n v="0"/>
    <n v="263300"/>
    <n v="50600"/>
    <n v="212700"/>
    <n v="0"/>
    <n v="0"/>
    <n v="89850.625589999996"/>
    <n v="-58009.662049032086"/>
    <n v="21557.329055999999"/>
    <n v="160472.20319"/>
    <n v="-11152.280025"/>
    <n v="57067.013707935002"/>
    <n v="0"/>
    <n v="0"/>
    <n v="0"/>
    <n v="18960.110526"/>
    <n v="4494.8945622600004"/>
    <n v="0"/>
    <n v="251400"/>
    <n v="31800"/>
    <n v="283200"/>
    <n v="7.5579187238890996E-2"/>
    <n v="0.99970000000000003"/>
    <n v="1.0067999999999999"/>
    <n v="0.99729999999999996"/>
    <n v="1.0157"/>
    <n v="1.0199"/>
    <n v="0.94971499999999998"/>
    <n v="0.98783717894453682"/>
    <n v="251400"/>
    <n v="0"/>
    <n v="251400"/>
    <n v="30200"/>
    <n v="281600"/>
    <n v="0.18194640338504936"/>
    <n v="-0.40316205533596838"/>
    <n v="6.9502468666919864E-2"/>
  </r>
  <r>
    <n v="2025"/>
    <s v="18131544431    "/>
    <n v="-0.9942522733438669"/>
    <n v="0.37"/>
    <n v="16134"/>
    <s v="6"/>
    <s v="RES"/>
    <x v="0"/>
    <s v="11"/>
    <s v="259"/>
    <s v="RN"/>
    <s v="A"/>
    <s v="GD"/>
    <x v="6"/>
    <n v="66"/>
    <n v="50"/>
    <n v="1958"/>
    <n v="1974"/>
    <n v="1190"/>
    <m/>
    <m/>
    <n v="0"/>
    <m/>
    <m/>
    <n v="1190"/>
    <n v="1500"/>
    <n v="5"/>
    <m/>
    <m/>
    <m/>
    <m/>
    <m/>
    <m/>
    <m/>
    <n v="190071"/>
    <n v="136851"/>
    <n v="49227"/>
    <n v="363900"/>
    <n v="79900"/>
    <n v="284000"/>
    <n v="0"/>
    <n v="0"/>
    <n v="89850.625589999996"/>
    <n v="-31472.673662315807"/>
    <n v="21557.329055999999"/>
    <n v="197752.34721000001"/>
    <n v="-11152.280025"/>
    <n v="58796.31715363"/>
    <n v="0"/>
    <n v="0"/>
    <n v="0"/>
    <n v="18960.110526"/>
    <n v="0"/>
    <n v="49200"/>
    <n v="285900"/>
    <n v="58400"/>
    <n v="393500"/>
    <n v="8.1341027754877712E-2"/>
    <n v="0.99970000000000003"/>
    <n v="1.0067999999999999"/>
    <n v="0.99650000000000005"/>
    <n v="1.0157"/>
    <n v="1.0199"/>
    <n v="0.94971499999999998"/>
    <n v="0.98704476969641131"/>
    <n v="285900"/>
    <n v="46800"/>
    <n v="332700"/>
    <n v="55400"/>
    <n v="388100"/>
    <n v="0.17147887323943661"/>
    <n v="-0.30663329161451813"/>
    <n v="6.650178620500137E-2"/>
  </r>
  <r>
    <n v="2025"/>
    <s v="18132211404    "/>
    <n v="-1.1086626245216111"/>
    <n v="0.33"/>
    <n v="14412"/>
    <s v="6"/>
    <s v="RES"/>
    <x v="0"/>
    <s v="11"/>
    <s v="259"/>
    <s v="RN"/>
    <s v="G"/>
    <s v="GD"/>
    <x v="6"/>
    <n v="66"/>
    <n v="50"/>
    <n v="1958"/>
    <n v="1974"/>
    <n v="1825"/>
    <m/>
    <m/>
    <n v="0"/>
    <m/>
    <m/>
    <n v="1825"/>
    <n v="2000"/>
    <n v="8"/>
    <n v="506"/>
    <m/>
    <m/>
    <m/>
    <m/>
    <m/>
    <m/>
    <n v="427566"/>
    <n v="307848"/>
    <n v="0"/>
    <n v="378800"/>
    <n v="75900"/>
    <n v="302900"/>
    <n v="0"/>
    <n v="0"/>
    <n v="89850.625589999996"/>
    <n v="-35094.289365640165"/>
    <n v="44121.038090000002"/>
    <n v="197752.34721000001"/>
    <n v="-11152.280025"/>
    <n v="90170.822525525"/>
    <n v="0"/>
    <n v="0"/>
    <n v="0"/>
    <n v="30336.176841600001"/>
    <n v="0"/>
    <n v="0"/>
    <n v="351200"/>
    <n v="54800"/>
    <n v="406000"/>
    <n v="7.1805702217529035E-2"/>
    <n v="0.99970000000000003"/>
    <n v="0.98050000000000004"/>
    <n v="0.99650000000000005"/>
    <n v="1.0093000000000001"/>
    <n v="1.0199"/>
    <n v="0.94971499999999998"/>
    <n v="0.95520384832633376"/>
    <n v="351200"/>
    <n v="0"/>
    <n v="351200"/>
    <n v="52000"/>
    <n v="403200"/>
    <n v="0.15945856718388907"/>
    <n v="-0.31488801054018445"/>
    <n v="6.4413938753959871E-2"/>
  </r>
  <r>
    <n v="2025"/>
    <s v="18132323454    "/>
    <n v="-1.8971199848858813"/>
    <n v="0.15"/>
    <m/>
    <s v="6"/>
    <s v="RES"/>
    <x v="0"/>
    <s v="11"/>
    <s v="259"/>
    <s v="RN"/>
    <s v="G"/>
    <s v="GD"/>
    <x v="6"/>
    <n v="66"/>
    <n v="50"/>
    <n v="1958"/>
    <n v="1974"/>
    <n v="1865"/>
    <m/>
    <m/>
    <n v="0"/>
    <m/>
    <m/>
    <n v="1865"/>
    <n v="2000"/>
    <n v="8"/>
    <n v="384"/>
    <m/>
    <m/>
    <m/>
    <m/>
    <m/>
    <m/>
    <n v="405562"/>
    <n v="292005"/>
    <n v="0"/>
    <n v="360400"/>
    <n v="48400"/>
    <n v="312000"/>
    <n v="0"/>
    <n v="0"/>
    <n v="89850.625589999996"/>
    <n v="-60052.604136134301"/>
    <n v="44121.038090000002"/>
    <n v="197752.34721000001"/>
    <n v="-11152.280025"/>
    <n v="92147.169320604997"/>
    <n v="0"/>
    <n v="0"/>
    <n v="0"/>
    <n v="30336.176841600001"/>
    <n v="0"/>
    <n v="0"/>
    <n v="353200"/>
    <n v="29800"/>
    <n v="383000"/>
    <n v="6.2708102108768038E-2"/>
    <n v="0.99970000000000003"/>
    <n v="0.98050000000000004"/>
    <n v="0.99650000000000005"/>
    <n v="1.0093000000000001"/>
    <n v="1.0199"/>
    <n v="0.94971499999999998"/>
    <n v="0.95520384832633376"/>
    <n v="353200"/>
    <n v="0"/>
    <n v="353200"/>
    <n v="28300"/>
    <n v="381500"/>
    <n v="0.13205128205128205"/>
    <n v="-0.41528925619834711"/>
    <n v="5.8546059933407328E-2"/>
  </r>
  <r>
    <n v="2025"/>
    <s v="18132323430    "/>
    <n v="-1.6607312068216509"/>
    <n v="0.19"/>
    <m/>
    <s v="6"/>
    <s v="RES"/>
    <x v="0"/>
    <s v="11"/>
    <s v="259"/>
    <s v="RN"/>
    <s v="A+"/>
    <s v="GD"/>
    <x v="6"/>
    <n v="66"/>
    <n v="50"/>
    <n v="1958"/>
    <n v="1974"/>
    <n v="934"/>
    <m/>
    <n v="934"/>
    <n v="0"/>
    <n v="934"/>
    <m/>
    <n v="1868"/>
    <n v="2000"/>
    <n v="8"/>
    <n v="242"/>
    <m/>
    <m/>
    <m/>
    <m/>
    <m/>
    <m/>
    <n v="298163"/>
    <n v="214677"/>
    <n v="0"/>
    <n v="336400"/>
    <n v="56600"/>
    <n v="279800"/>
    <n v="0"/>
    <n v="0"/>
    <n v="89850.625589999996"/>
    <n v="-52569.808201026557"/>
    <n v="29814.093161000001"/>
    <n v="197752.34721000001"/>
    <n v="-11152.280025"/>
    <n v="46147.697665118001"/>
    <n v="0"/>
    <n v="0"/>
    <n v="27162.490160697998"/>
    <n v="30336.176841600001"/>
    <n v="0"/>
    <n v="0"/>
    <n v="320100"/>
    <n v="37300"/>
    <n v="357400"/>
    <n v="6.2425683709869201E-2"/>
    <n v="0.99970000000000003"/>
    <n v="1.0088999999999999"/>
    <n v="0.99650000000000005"/>
    <n v="1.0093000000000001"/>
    <n v="1.0199"/>
    <n v="0.94971499999999998"/>
    <n v="0.98287115000146663"/>
    <n v="320100"/>
    <n v="0"/>
    <n v="320100"/>
    <n v="35400"/>
    <n v="355500"/>
    <n v="0.14403145103645462"/>
    <n v="-0.37455830388692579"/>
    <n v="5.6777645659928655E-2"/>
  </r>
  <r>
    <n v="2025"/>
    <s v="18132212417    "/>
    <n v="-1.3862943611198906"/>
    <n v="0.25"/>
    <n v="10876"/>
    <s v="6"/>
    <s v="RES"/>
    <x v="0"/>
    <s v="11"/>
    <s v="259"/>
    <s v="RN"/>
    <s v="G"/>
    <s v="GD"/>
    <x v="6"/>
    <n v="66"/>
    <n v="50"/>
    <n v="1958"/>
    <n v="1974"/>
    <n v="1776"/>
    <m/>
    <m/>
    <n v="0"/>
    <m/>
    <m/>
    <n v="1776"/>
    <n v="2000"/>
    <n v="11"/>
    <n v="608"/>
    <m/>
    <m/>
    <m/>
    <m/>
    <m/>
    <m/>
    <n v="404732"/>
    <n v="291407"/>
    <n v="0"/>
    <n v="383900"/>
    <n v="66200"/>
    <n v="317700"/>
    <n v="0"/>
    <n v="0"/>
    <n v="89850.625589999996"/>
    <n v="-43882.615305165229"/>
    <n v="44121.038090000002"/>
    <n v="197752.34721000001"/>
    <n v="-11152.280025"/>
    <n v="87749.797701552001"/>
    <n v="0"/>
    <n v="0"/>
    <n v="0"/>
    <n v="41712.243157199999"/>
    <n v="0"/>
    <n v="0"/>
    <n v="360200"/>
    <n v="46000"/>
    <n v="406200"/>
    <n v="5.8088043761396195E-2"/>
    <n v="0.99970000000000003"/>
    <n v="0.98050000000000004"/>
    <n v="0.99650000000000005"/>
    <n v="1.0093000000000001"/>
    <n v="1.0199"/>
    <n v="0.94971499999999998"/>
    <n v="0.95520384832633376"/>
    <n v="360200"/>
    <n v="0"/>
    <n v="360200"/>
    <n v="43700"/>
    <n v="403900"/>
    <n v="0.13377400062952471"/>
    <n v="-0.33987915407854985"/>
    <n v="5.2096900234436049E-2"/>
  </r>
  <r>
    <n v="2025"/>
    <s v="18132323409    "/>
    <n v="-1.5141277326297755"/>
    <n v="0.22"/>
    <m/>
    <s v="6"/>
    <s v="RES"/>
    <x v="0"/>
    <s v="11"/>
    <s v="259"/>
    <s v="RN"/>
    <s v="A+"/>
    <s v="AV"/>
    <x v="6"/>
    <n v="66"/>
    <n v="50"/>
    <n v="1958"/>
    <n v="1974"/>
    <n v="1593"/>
    <m/>
    <m/>
    <n v="0"/>
    <m/>
    <m/>
    <n v="1593"/>
    <n v="2000"/>
    <n v="8"/>
    <n v="315"/>
    <m/>
    <n v="219"/>
    <m/>
    <m/>
    <m/>
    <m/>
    <n v="310015"/>
    <n v="217011"/>
    <n v="0"/>
    <n v="319400"/>
    <n v="61700"/>
    <n v="257700"/>
    <n v="0"/>
    <n v="0"/>
    <n v="89850.625589999996"/>
    <n v="-47929.131559187132"/>
    <n v="29814.093161000001"/>
    <n v="160472.20319"/>
    <n v="-11152.280025"/>
    <n v="78708.011114060995"/>
    <n v="0"/>
    <n v="0"/>
    <n v="0"/>
    <n v="30336.176841600001"/>
    <n v="7291.7178454440009"/>
    <n v="0"/>
    <n v="295500"/>
    <n v="41900"/>
    <n v="337400"/>
    <n v="5.6355666875391355E-2"/>
    <n v="0.99970000000000003"/>
    <n v="1.0088999999999999"/>
    <n v="0.99729999999999996"/>
    <n v="1.0093000000000001"/>
    <n v="1.0199"/>
    <n v="0.94971499999999998"/>
    <n v="0.98366020862665582"/>
    <n v="295500"/>
    <n v="0"/>
    <n v="295500"/>
    <n v="39800"/>
    <n v="335300"/>
    <n v="0.14668218859138532"/>
    <n v="-0.35494327390599678"/>
    <n v="4.9780839073262369E-2"/>
  </r>
  <r>
    <n v="2025"/>
    <s v="18132323494    "/>
    <n v="-1.5606477482646683"/>
    <n v="0.21"/>
    <m/>
    <s v="6"/>
    <s v="RES"/>
    <x v="0"/>
    <s v="11"/>
    <s v="259"/>
    <s v="RN"/>
    <s v="A+"/>
    <s v="GD"/>
    <x v="6"/>
    <n v="66"/>
    <n v="50"/>
    <n v="1958"/>
    <n v="1974"/>
    <n v="1996"/>
    <m/>
    <m/>
    <n v="0"/>
    <m/>
    <m/>
    <n v="1996"/>
    <n v="2000"/>
    <n v="7"/>
    <m/>
    <m/>
    <m/>
    <m/>
    <m/>
    <m/>
    <m/>
    <n v="347299"/>
    <n v="250055"/>
    <n v="5831"/>
    <n v="367300"/>
    <n v="60100"/>
    <n v="307200"/>
    <n v="0"/>
    <n v="0"/>
    <n v="89850.625589999996"/>
    <n v="-49401.70477837498"/>
    <n v="29814.093161000001"/>
    <n v="197752.34721000001"/>
    <n v="-11152.280025"/>
    <n v="98619.705074491998"/>
    <n v="0"/>
    <n v="0"/>
    <n v="0"/>
    <n v="26544.1547364"/>
    <n v="0"/>
    <n v="5800"/>
    <n v="341600"/>
    <n v="40400"/>
    <n v="387800"/>
    <n v="5.5812687176694797E-2"/>
    <n v="0.99970000000000003"/>
    <n v="1.0088999999999999"/>
    <n v="0.99650000000000005"/>
    <n v="1.0093000000000001"/>
    <n v="1.0199"/>
    <n v="0.94971499999999998"/>
    <n v="0.98287115000146663"/>
    <n v="341600"/>
    <n v="5500"/>
    <n v="347100"/>
    <n v="38400"/>
    <n v="385500"/>
    <n v="0.1298828125"/>
    <n v="-0.36106489184692181"/>
    <n v="4.9550775932480258E-2"/>
  </r>
  <r>
    <n v="2025"/>
    <s v="18132242463    "/>
    <n v="-1.6607312068216509"/>
    <n v="0.19"/>
    <n v="8424"/>
    <s v="6"/>
    <s v="RES"/>
    <x v="0"/>
    <s v="11"/>
    <s v="259"/>
    <s v="RN"/>
    <s v="A"/>
    <s v="GD"/>
    <x v="6"/>
    <n v="66"/>
    <n v="50"/>
    <n v="1958"/>
    <n v="1974"/>
    <n v="1505"/>
    <m/>
    <m/>
    <n v="0"/>
    <m/>
    <m/>
    <n v="1505"/>
    <n v="2000"/>
    <n v="8"/>
    <m/>
    <m/>
    <m/>
    <m/>
    <m/>
    <m/>
    <m/>
    <n v="257689"/>
    <n v="185536"/>
    <n v="0"/>
    <n v="331900"/>
    <n v="56600"/>
    <n v="275300"/>
    <n v="0"/>
    <n v="0"/>
    <n v="89850.625589999996"/>
    <n v="-52569.808201026557"/>
    <n v="21557.329055999999"/>
    <n v="197752.34721000001"/>
    <n v="-11152.280025"/>
    <n v="74360.048164884996"/>
    <n v="0"/>
    <n v="0"/>
    <n v="0"/>
    <n v="30336.176841600001"/>
    <n v="0"/>
    <n v="0"/>
    <n v="312900"/>
    <n v="37300"/>
    <n v="350200"/>
    <n v="5.5137089484784574E-2"/>
    <n v="0.99970000000000003"/>
    <n v="1.0067999999999999"/>
    <n v="0.99650000000000005"/>
    <n v="1.0093000000000001"/>
    <n v="1.0199"/>
    <n v="0.94971499999999998"/>
    <n v="0.98082532839872782"/>
    <n v="312900"/>
    <n v="0"/>
    <n v="312900"/>
    <n v="35400"/>
    <n v="348300"/>
    <n v="0.1365782782419179"/>
    <n v="-0.37455830388692579"/>
    <n v="4.941247363663754E-2"/>
  </r>
  <r>
    <n v="2025"/>
    <s v="18132323469    "/>
    <n v="-1.4271163556401458"/>
    <n v="0.24"/>
    <n v="10244"/>
    <s v="6"/>
    <s v="RES"/>
    <x v="0"/>
    <s v="11"/>
    <s v="259"/>
    <s v="RN"/>
    <s v="A"/>
    <s v="GD"/>
    <x v="6"/>
    <n v="66"/>
    <n v="50"/>
    <n v="1958"/>
    <n v="1974"/>
    <n v="1985"/>
    <m/>
    <m/>
    <n v="0"/>
    <m/>
    <m/>
    <n v="1985"/>
    <n v="2000"/>
    <n v="8"/>
    <m/>
    <m/>
    <m/>
    <m/>
    <m/>
    <m/>
    <m/>
    <n v="311880"/>
    <n v="224554"/>
    <n v="0"/>
    <n v="361400"/>
    <n v="64800"/>
    <n v="296600"/>
    <n v="0"/>
    <n v="0"/>
    <n v="89850.625589999996"/>
    <n v="-45174.819855485119"/>
    <n v="21557.329055999999"/>
    <n v="197752.34721000001"/>
    <n v="-11152.280025"/>
    <n v="98076.209705845002"/>
    <n v="0"/>
    <n v="0"/>
    <n v="0"/>
    <n v="30336.176841600001"/>
    <n v="0"/>
    <n v="0"/>
    <n v="336600"/>
    <n v="44700"/>
    <n v="381300"/>
    <n v="5.5063641394576646E-2"/>
    <n v="0.99970000000000003"/>
    <n v="1.0067999999999999"/>
    <n v="0.99650000000000005"/>
    <n v="1.0093000000000001"/>
    <n v="1.0199"/>
    <n v="0.94971499999999998"/>
    <n v="0.98082532839872782"/>
    <n v="336600"/>
    <n v="0"/>
    <n v="336600"/>
    <n v="42400"/>
    <n v="379000"/>
    <n v="0.13486176668914363"/>
    <n v="-0.34567901234567899"/>
    <n v="4.8699501936912006E-2"/>
  </r>
  <r>
    <n v="2025"/>
    <s v="18132244457    "/>
    <n v="-1.3093333199837622"/>
    <n v="0.27"/>
    <n v="11900"/>
    <s v="6"/>
    <s v="RES"/>
    <x v="0"/>
    <s v="11"/>
    <s v="259"/>
    <s v="RN"/>
    <s v="F+"/>
    <s v="GD"/>
    <x v="6"/>
    <n v="66"/>
    <n v="50"/>
    <n v="1958"/>
    <n v="1974"/>
    <n v="1440"/>
    <m/>
    <m/>
    <n v="0"/>
    <m/>
    <m/>
    <n v="1440"/>
    <n v="1500"/>
    <n v="5"/>
    <m/>
    <m/>
    <m/>
    <m/>
    <m/>
    <m/>
    <m/>
    <n v="211403"/>
    <n v="152210"/>
    <n v="5597"/>
    <n v="314700"/>
    <n v="68900"/>
    <n v="245800"/>
    <n v="0"/>
    <n v="0"/>
    <n v="89850.625589999996"/>
    <n v="-41446.443120973789"/>
    <n v="0"/>
    <n v="197752.34721000001"/>
    <n v="-11152.280025"/>
    <n v="71148.484622880002"/>
    <n v="0"/>
    <n v="0"/>
    <n v="0"/>
    <n v="18960.110526"/>
    <n v="0"/>
    <n v="5600"/>
    <n v="276700"/>
    <n v="48400"/>
    <n v="330700"/>
    <n v="5.0842071814426439E-2"/>
    <n v="0.99970000000000003"/>
    <n v="0.99180000000000001"/>
    <n v="0.99650000000000005"/>
    <n v="1.0157"/>
    <n v="1.0199"/>
    <n v="0.94971499999999998"/>
    <n v="0.97233909672715635"/>
    <n v="276700"/>
    <n v="5300"/>
    <n v="282000"/>
    <n v="46000"/>
    <n v="328000"/>
    <n v="0.14727420667209112"/>
    <n v="-0.33236574746008707"/>
    <n v="4.2262472195741974E-2"/>
  </r>
  <r>
    <n v="2025"/>
    <s v="18132323458    "/>
    <n v="-1.8971199848858813"/>
    <n v="0.15"/>
    <m/>
    <s v="6"/>
    <s v="RES"/>
    <x v="0"/>
    <s v="11"/>
    <s v="259"/>
    <s v="RN"/>
    <s v="A"/>
    <s v="AV"/>
    <x v="6"/>
    <n v="66"/>
    <n v="50"/>
    <n v="1958"/>
    <n v="1974"/>
    <n v="1444"/>
    <m/>
    <m/>
    <n v="0"/>
    <m/>
    <m/>
    <n v="1444"/>
    <n v="1500"/>
    <n v="7"/>
    <n v="264"/>
    <m/>
    <m/>
    <m/>
    <m/>
    <m/>
    <m/>
    <n v="243465"/>
    <n v="170426"/>
    <n v="0"/>
    <n v="286300"/>
    <n v="48400"/>
    <n v="237900"/>
    <n v="0"/>
    <n v="0"/>
    <n v="89850.625589999996"/>
    <n v="-60052.604136134301"/>
    <n v="21557.329055999999"/>
    <n v="160472.20319"/>
    <n v="-11152.280025"/>
    <n v="71346.119302388004"/>
    <n v="0"/>
    <n v="0"/>
    <n v="0"/>
    <n v="26544.1547364"/>
    <n v="0"/>
    <n v="0"/>
    <n v="268800"/>
    <n v="29800"/>
    <n v="298600"/>
    <n v="4.2961928047502616E-2"/>
    <n v="0.99970000000000003"/>
    <n v="1.0067999999999999"/>
    <n v="0.99729999999999996"/>
    <n v="1.0157"/>
    <n v="1.0199"/>
    <n v="0.94971499999999998"/>
    <n v="0.98783717894453682"/>
    <n v="268800"/>
    <n v="0"/>
    <n v="268800"/>
    <n v="28300"/>
    <n v="297100"/>
    <n v="0.12988650693568726"/>
    <n v="-0.41528925619834711"/>
    <n v="3.7722668529514496E-2"/>
  </r>
  <r>
    <n v="2025"/>
    <s v="18132323453    "/>
    <n v="-1.6607312068216509"/>
    <n v="0.19"/>
    <n v="8317"/>
    <s v="6"/>
    <s v="RES"/>
    <x v="0"/>
    <s v="11"/>
    <s v="259"/>
    <s v="RN"/>
    <s v="A"/>
    <s v="GD"/>
    <x v="6"/>
    <n v="66"/>
    <n v="50"/>
    <n v="1958"/>
    <n v="1974"/>
    <n v="1378"/>
    <m/>
    <n v="1036"/>
    <n v="0"/>
    <n v="1036"/>
    <m/>
    <n v="2414"/>
    <n v="2500"/>
    <n v="9"/>
    <n v="252"/>
    <m/>
    <m/>
    <m/>
    <m/>
    <m/>
    <m/>
    <n v="325650"/>
    <n v="234468"/>
    <n v="0"/>
    <n v="362500"/>
    <n v="56600"/>
    <n v="305900"/>
    <n v="0"/>
    <n v="0"/>
    <n v="89850.625589999996"/>
    <n v="-52569.808201026557"/>
    <n v="21557.329055999999"/>
    <n v="197752.34721000001"/>
    <n v="-11152.280025"/>
    <n v="68085.147090505998"/>
    <n v="0"/>
    <n v="0"/>
    <n v="30128.843475891998"/>
    <n v="34128.198946800003"/>
    <n v="0"/>
    <n v="0"/>
    <n v="340500"/>
    <n v="37300"/>
    <n v="377800"/>
    <n v="4.2206896551724139E-2"/>
    <n v="0.99970000000000003"/>
    <n v="1.0067999999999999"/>
    <n v="0.99650000000000005"/>
    <n v="0.98919999999999997"/>
    <n v="1.0199"/>
    <n v="0.94971499999999998"/>
    <n v="0.96129239557319079"/>
    <n v="340500"/>
    <n v="0"/>
    <n v="340500"/>
    <n v="35400"/>
    <n v="375900"/>
    <n v="0.11310885910428245"/>
    <n v="-0.37455830388692579"/>
    <n v="3.6965517241379309E-2"/>
  </r>
  <r>
    <n v="2025"/>
    <s v="18132243041    "/>
    <n v="-1.5141277326297755"/>
    <n v="0.22"/>
    <n v="9380"/>
    <s v="6"/>
    <s v="RES"/>
    <x v="0"/>
    <s v="11"/>
    <s v="259"/>
    <s v="RN"/>
    <s v="A"/>
    <s v="GD"/>
    <x v="6"/>
    <n v="66"/>
    <n v="50"/>
    <n v="1958"/>
    <n v="1974"/>
    <n v="1092"/>
    <m/>
    <n v="1092"/>
    <n v="0"/>
    <n v="1092"/>
    <m/>
    <n v="2184"/>
    <n v="2500"/>
    <n v="7"/>
    <m/>
    <m/>
    <m/>
    <m/>
    <m/>
    <m/>
    <m/>
    <n v="288526"/>
    <n v="207739"/>
    <n v="0"/>
    <n v="348300"/>
    <n v="61700"/>
    <n v="286600"/>
    <n v="0"/>
    <n v="0"/>
    <n v="89850.625589999996"/>
    <n v="-47929.131559187132"/>
    <n v="21557.329055999999"/>
    <n v="197752.34721000001"/>
    <n v="-11152.280025"/>
    <n v="53954.267505684002"/>
    <n v="0"/>
    <n v="0"/>
    <n v="31757.429609723997"/>
    <n v="26544.1547364"/>
    <n v="0"/>
    <n v="0"/>
    <n v="320400"/>
    <n v="41900"/>
    <n v="362300"/>
    <n v="4.0195233993683605E-2"/>
    <n v="0.99970000000000003"/>
    <n v="1.0067999999999999"/>
    <n v="0.99650000000000005"/>
    <n v="0.98919999999999997"/>
    <n v="1.0199"/>
    <n v="0.94971499999999998"/>
    <n v="0.96129239557319079"/>
    <n v="320400"/>
    <n v="0"/>
    <n v="320400"/>
    <n v="39800"/>
    <n v="360200"/>
    <n v="0.11793440334961619"/>
    <n v="-0.35494327390599678"/>
    <n v="3.4165948894631065E-2"/>
  </r>
  <r>
    <n v="2025"/>
    <s v="18132323408    "/>
    <n v="-1.5141277326297755"/>
    <n v="0.22"/>
    <m/>
    <s v="6"/>
    <s v="RES"/>
    <x v="0"/>
    <s v="11"/>
    <s v="259"/>
    <s v="RN"/>
    <s v="G"/>
    <s v="AV"/>
    <x v="6"/>
    <n v="66"/>
    <n v="50"/>
    <n v="1958"/>
    <n v="1974"/>
    <n v="1450"/>
    <m/>
    <m/>
    <n v="0"/>
    <m/>
    <m/>
    <n v="1450"/>
    <n v="1500"/>
    <n v="10"/>
    <n v="264"/>
    <m/>
    <m/>
    <m/>
    <m/>
    <m/>
    <m/>
    <n v="359404"/>
    <n v="251583"/>
    <n v="0"/>
    <n v="332200"/>
    <n v="61700"/>
    <n v="270500"/>
    <n v="0"/>
    <n v="0"/>
    <n v="89850.625589999996"/>
    <n v="-47929.131559187132"/>
    <n v="44121.038090000002"/>
    <n v="160472.20319"/>
    <n v="-11152.280025"/>
    <n v="71642.571321650001"/>
    <n v="0"/>
    <n v="0"/>
    <n v="0"/>
    <n v="37920.221052000001"/>
    <n v="0"/>
    <n v="0"/>
    <n v="303000"/>
    <n v="41900"/>
    <n v="344900"/>
    <n v="3.8229981938591208E-2"/>
    <n v="0.99970000000000003"/>
    <n v="0.98050000000000004"/>
    <n v="0.99729999999999996"/>
    <n v="1.0157"/>
    <n v="1.0199"/>
    <n v="0.94971499999999998"/>
    <n v="0.96203253273253719"/>
    <n v="303000"/>
    <n v="0"/>
    <n v="303000"/>
    <n v="39800"/>
    <n v="342800"/>
    <n v="0.12014787430683918"/>
    <n v="-0.35494327390599678"/>
    <n v="3.1908488862131247E-2"/>
  </r>
  <r>
    <n v="2025"/>
    <s v="18132331037    "/>
    <n v="-1.6607312068216509"/>
    <n v="0.19"/>
    <n v="8140"/>
    <s v="6"/>
    <s v="RES"/>
    <x v="0"/>
    <s v="11"/>
    <s v="259"/>
    <s v="RN"/>
    <s v="G"/>
    <s v="GD"/>
    <x v="6"/>
    <n v="66"/>
    <n v="50"/>
    <n v="1958"/>
    <n v="1974"/>
    <n v="1056"/>
    <m/>
    <n v="1056"/>
    <n v="0"/>
    <n v="1056"/>
    <m/>
    <n v="2112"/>
    <n v="2500"/>
    <n v="8"/>
    <n v="384"/>
    <m/>
    <m/>
    <m/>
    <m/>
    <m/>
    <m/>
    <n v="414193"/>
    <n v="298219"/>
    <n v="0"/>
    <n v="367800"/>
    <n v="56600"/>
    <n v="311200"/>
    <n v="0"/>
    <n v="0"/>
    <n v="89850.625589999996"/>
    <n v="-52569.808201026557"/>
    <n v="44121.038090000002"/>
    <n v="197752.34721000001"/>
    <n v="-11152.280025"/>
    <n v="52175.555390112"/>
    <n v="0"/>
    <n v="0"/>
    <n v="30710.481380832"/>
    <n v="30336.176841600001"/>
    <n v="0"/>
    <n v="0"/>
    <n v="343900"/>
    <n v="37300"/>
    <n v="381200"/>
    <n v="3.6432843936922241E-2"/>
    <n v="0.99970000000000003"/>
    <n v="0.98050000000000004"/>
    <n v="0.99650000000000005"/>
    <n v="0.98919999999999997"/>
    <n v="1.0199"/>
    <n v="0.94971499999999998"/>
    <n v="0.936181161958198"/>
    <n v="343900"/>
    <n v="0"/>
    <n v="343900"/>
    <n v="35400"/>
    <n v="379300"/>
    <n v="0.10507712082262211"/>
    <n v="-0.37455830388692579"/>
    <n v="3.1266992930940728E-2"/>
  </r>
  <r>
    <n v="2025"/>
    <s v="18132213439    "/>
    <n v="-1.8325814637483102"/>
    <n v="0.16"/>
    <n v="6848"/>
    <s v="6"/>
    <s v="RES"/>
    <x v="0"/>
    <s v="11"/>
    <s v="259"/>
    <s v="RN"/>
    <s v="A+"/>
    <s v="AV"/>
    <x v="6"/>
    <n v="66"/>
    <n v="50"/>
    <n v="1958"/>
    <n v="1974"/>
    <n v="1547"/>
    <m/>
    <m/>
    <n v="0"/>
    <m/>
    <m/>
    <n v="1547"/>
    <n v="2000"/>
    <n v="8"/>
    <m/>
    <m/>
    <m/>
    <m/>
    <m/>
    <m/>
    <m/>
    <n v="305917"/>
    <n v="214142"/>
    <n v="0"/>
    <n v="306900"/>
    <n v="50600"/>
    <n v="256300"/>
    <n v="0"/>
    <n v="0"/>
    <n v="89850.625589999996"/>
    <n v="-58009.662049032086"/>
    <n v="29814.093161000001"/>
    <n v="160472.20319"/>
    <n v="-11152.280025"/>
    <n v="76435.212299719002"/>
    <n v="0"/>
    <n v="0"/>
    <n v="0"/>
    <n v="30336.176841600001"/>
    <n v="0"/>
    <n v="0"/>
    <n v="285900"/>
    <n v="31800"/>
    <n v="317700"/>
    <n v="3.519061583577713E-2"/>
    <n v="0.99970000000000003"/>
    <n v="1.0088999999999999"/>
    <n v="0.99729999999999996"/>
    <n v="1.0093000000000001"/>
    <n v="1.0199"/>
    <n v="0.94971499999999998"/>
    <n v="0.98366020862665582"/>
    <n v="285900"/>
    <n v="0"/>
    <n v="285900"/>
    <n v="30200"/>
    <n v="316100"/>
    <n v="0.11548966055403824"/>
    <n v="-0.40316205533596838"/>
    <n v="2.9977191267513848E-2"/>
  </r>
  <r>
    <n v="2025"/>
    <s v="18132324550    "/>
    <n v="-1.5606477482646683"/>
    <n v="0.21"/>
    <m/>
    <s v="6"/>
    <s v="RES"/>
    <x v="0"/>
    <s v="11"/>
    <s v="259"/>
    <s v="RN"/>
    <s v="A+"/>
    <s v="AV"/>
    <x v="6"/>
    <n v="66"/>
    <n v="50"/>
    <n v="1958"/>
    <n v="1974"/>
    <n v="1190"/>
    <m/>
    <n v="1190"/>
    <n v="10"/>
    <n v="1180"/>
    <m/>
    <n v="2370"/>
    <n v="2500"/>
    <n v="9"/>
    <m/>
    <m/>
    <n v="272"/>
    <m/>
    <m/>
    <m/>
    <m/>
    <n v="352230"/>
    <n v="246561"/>
    <n v="7182"/>
    <n v="352400"/>
    <n v="60100"/>
    <n v="292300"/>
    <n v="0"/>
    <n v="0"/>
    <n v="89850.625589999996"/>
    <n v="-49401.70477837498"/>
    <n v="29814.093161000001"/>
    <n v="160472.20319"/>
    <n v="-11152.280025"/>
    <n v="58796.31715363"/>
    <n v="0"/>
    <n v="0"/>
    <n v="34607.45534393"/>
    <n v="34128.198946800003"/>
    <n v="9056.3801550720018"/>
    <n v="7200"/>
    <n v="315700"/>
    <n v="40400"/>
    <n v="363300"/>
    <n v="3.0930760499432462E-2"/>
    <n v="0.99970000000000003"/>
    <n v="1.0088999999999999"/>
    <n v="0.99729999999999996"/>
    <n v="0.98919999999999997"/>
    <n v="1.0199"/>
    <n v="0.94971499999999998"/>
    <n v="0.96407081974981479"/>
    <n v="315700"/>
    <n v="6800"/>
    <n v="322500"/>
    <n v="38400"/>
    <n v="360900"/>
    <n v="0.10331850838179953"/>
    <n v="-0.36106489184692181"/>
    <n v="2.4120317820658342E-2"/>
  </r>
  <r>
    <n v="2025"/>
    <s v="18132243040    "/>
    <n v="-1.6607312068216509"/>
    <n v="0.19"/>
    <n v="8269"/>
    <s v="6"/>
    <s v="RES"/>
    <x v="0"/>
    <s v="11"/>
    <s v="259"/>
    <s v="RN"/>
    <s v="A+"/>
    <s v="AV"/>
    <x v="6"/>
    <n v="66"/>
    <n v="50"/>
    <n v="1958"/>
    <n v="1974"/>
    <n v="1637"/>
    <m/>
    <m/>
    <n v="0"/>
    <m/>
    <m/>
    <n v="1637"/>
    <n v="2000"/>
    <n v="8"/>
    <n v="312"/>
    <m/>
    <m/>
    <m/>
    <m/>
    <m/>
    <m/>
    <n v="310478"/>
    <n v="217335"/>
    <n v="0"/>
    <n v="318200"/>
    <n v="56600"/>
    <n v="261600"/>
    <n v="0"/>
    <n v="0"/>
    <n v="89850.625589999996"/>
    <n v="-52569.808201026557"/>
    <n v="29814.093161000001"/>
    <n v="160472.20319"/>
    <n v="-11152.280025"/>
    <n v="80881.992588649009"/>
    <n v="0"/>
    <n v="0"/>
    <n v="0"/>
    <n v="30336.176841600001"/>
    <n v="0"/>
    <n v="0"/>
    <n v="290400"/>
    <n v="37300"/>
    <n v="327700"/>
    <n v="2.9855436832181018E-2"/>
    <n v="0.99970000000000003"/>
    <n v="1.0088999999999999"/>
    <n v="0.99729999999999996"/>
    <n v="1.0093000000000001"/>
    <n v="1.0199"/>
    <n v="0.94971499999999998"/>
    <n v="0.98366020862665582"/>
    <n v="290400"/>
    <n v="0"/>
    <n v="290400"/>
    <n v="35400"/>
    <n v="325800"/>
    <n v="0.11009174311926606"/>
    <n v="-0.37455830388692579"/>
    <n v="2.3884349465744813E-2"/>
  </r>
  <r>
    <n v="2025"/>
    <s v="18132333021    "/>
    <n v="-1.5606477482646683"/>
    <n v="0.21"/>
    <n v="8990"/>
    <s v="6"/>
    <s v="RES"/>
    <x v="0"/>
    <s v="11"/>
    <s v="259"/>
    <s v="RN"/>
    <s v="A"/>
    <s v="AV"/>
    <x v="6"/>
    <n v="66"/>
    <n v="50"/>
    <n v="1958"/>
    <n v="1974"/>
    <n v="1426"/>
    <m/>
    <m/>
    <n v="0"/>
    <m/>
    <m/>
    <n v="1426"/>
    <n v="1500"/>
    <n v="7"/>
    <n v="536"/>
    <m/>
    <m/>
    <m/>
    <m/>
    <m/>
    <m/>
    <n v="265274"/>
    <n v="185692"/>
    <n v="0"/>
    <n v="301600"/>
    <n v="60100"/>
    <n v="241500"/>
    <n v="0"/>
    <n v="0"/>
    <n v="89850.625589999996"/>
    <n v="-49401.70477837498"/>
    <n v="21557.329055999999"/>
    <n v="160472.20319"/>
    <n v="-11152.280025"/>
    <n v="70456.763244602"/>
    <n v="0"/>
    <n v="0"/>
    <n v="0"/>
    <n v="26544.1547364"/>
    <n v="0"/>
    <n v="0"/>
    <n v="267900"/>
    <n v="40400"/>
    <n v="308300"/>
    <n v="2.2214854111405835E-2"/>
    <n v="0.99970000000000003"/>
    <n v="1.0067999999999999"/>
    <n v="0.99729999999999996"/>
    <n v="1.0157"/>
    <n v="1.0199"/>
    <n v="0.94971499999999998"/>
    <n v="0.98783717894453682"/>
    <n v="267900"/>
    <n v="0"/>
    <n v="267900"/>
    <n v="38400"/>
    <n v="306300"/>
    <n v="0.1093167701863354"/>
    <n v="-0.36106489184692181"/>
    <n v="1.5583554376657824E-2"/>
  </r>
  <r>
    <n v="2025"/>
    <s v="18132343435    "/>
    <n v="-1.3093333199837622"/>
    <n v="0.27"/>
    <n v="11901"/>
    <s v="6"/>
    <s v="RES"/>
    <x v="0"/>
    <s v="11"/>
    <s v="259"/>
    <s v="RN"/>
    <s v="G"/>
    <s v="AV"/>
    <x v="6"/>
    <n v="66"/>
    <n v="50"/>
    <n v="1958"/>
    <n v="1974"/>
    <n v="2211"/>
    <m/>
    <n v="1228"/>
    <n v="0"/>
    <n v="1228"/>
    <m/>
    <n v="3439"/>
    <n v="3500"/>
    <n v="15"/>
    <m/>
    <n v="504"/>
    <n v="237"/>
    <m/>
    <m/>
    <m/>
    <m/>
    <n v="655765"/>
    <n v="459036"/>
    <n v="0"/>
    <n v="442900"/>
    <n v="68900"/>
    <n v="374000"/>
    <n v="0"/>
    <n v="0"/>
    <n v="89850.625589999996"/>
    <n v="-41446.443120973789"/>
    <n v="44121.038090000002"/>
    <n v="160472.20319"/>
    <n v="-11152.280025"/>
    <n v="109242.56909804701"/>
    <n v="0"/>
    <n v="0"/>
    <n v="35712.567363315997"/>
    <n v="56880.331578000005"/>
    <n v="7891.0371204120011"/>
    <n v="0"/>
    <n v="403200"/>
    <n v="48400"/>
    <n v="451600"/>
    <n v="1.9643260329645518E-2"/>
    <n v="0.99970000000000003"/>
    <n v="0.98050000000000004"/>
    <n v="0.99729999999999996"/>
    <n v="1.0126999999999999"/>
    <n v="1.0199"/>
    <n v="0.94971499999999998"/>
    <n v="0.95919104646868192"/>
    <n v="403200"/>
    <n v="0"/>
    <n v="403200"/>
    <n v="46000"/>
    <n v="449200"/>
    <n v="7.8074866310160432E-2"/>
    <n v="-0.33236574746008707"/>
    <n v="1.4224429893881237E-2"/>
  </r>
  <r>
    <n v="2025"/>
    <s v="18132323452    "/>
    <n v="-1.6607312068216509"/>
    <n v="0.19"/>
    <n v="8317"/>
    <s v="6"/>
    <s v="RES"/>
    <x v="0"/>
    <s v="11"/>
    <s v="259"/>
    <s v="RN"/>
    <s v="G"/>
    <s v="GD"/>
    <x v="6"/>
    <n v="66"/>
    <n v="50"/>
    <n v="1958"/>
    <n v="1974"/>
    <n v="1325"/>
    <m/>
    <n v="1197"/>
    <n v="0"/>
    <n v="1197"/>
    <m/>
    <n v="2522"/>
    <n v="3000"/>
    <n v="12"/>
    <n v="550"/>
    <m/>
    <m/>
    <m/>
    <m/>
    <m/>
    <m/>
    <n v="472096"/>
    <n v="339909"/>
    <n v="0"/>
    <n v="406900"/>
    <n v="56600"/>
    <n v="350300"/>
    <n v="0"/>
    <n v="0"/>
    <n v="89850.625589999996"/>
    <n v="-52569.808201026557"/>
    <n v="44121.038090000002"/>
    <n v="197752.34721000001"/>
    <n v="-11152.280025"/>
    <n v="65466.487587025003"/>
    <n v="0"/>
    <n v="0"/>
    <n v="34811.028610658999"/>
    <n v="45504.265262400004"/>
    <n v="0"/>
    <n v="0"/>
    <n v="376500"/>
    <n v="37300"/>
    <n v="413800"/>
    <n v="1.6957483411157534E-2"/>
    <n v="0.99970000000000003"/>
    <n v="0.98050000000000004"/>
    <n v="0.99650000000000005"/>
    <n v="0.96179999999999999"/>
    <n v="1.0199"/>
    <n v="0.94971499999999998"/>
    <n v="0.91024973874989379"/>
    <n v="376500"/>
    <n v="0"/>
    <n v="376500"/>
    <n v="35400"/>
    <n v="411900"/>
    <n v="7.4793034541821291E-2"/>
    <n v="-0.37455830388692579"/>
    <n v="1.2288031457360531E-2"/>
  </r>
  <r>
    <n v="2025"/>
    <s v="18132324493    "/>
    <n v="-1.4696759700589417"/>
    <n v="0.23"/>
    <m/>
    <s v="6"/>
    <s v="RES"/>
    <x v="0"/>
    <s v="11"/>
    <s v="259"/>
    <s v="RN"/>
    <s v="A"/>
    <s v="AV"/>
    <x v="6"/>
    <n v="66"/>
    <n v="50"/>
    <n v="1958"/>
    <n v="1974"/>
    <n v="1066"/>
    <m/>
    <n v="1066"/>
    <n v="0"/>
    <n v="1066"/>
    <m/>
    <n v="2132"/>
    <n v="2500"/>
    <n v="8"/>
    <m/>
    <m/>
    <m/>
    <m/>
    <m/>
    <m/>
    <m/>
    <n v="277279"/>
    <n v="194095"/>
    <n v="0"/>
    <n v="325300"/>
    <n v="63300"/>
    <n v="262000"/>
    <n v="0"/>
    <n v="0"/>
    <n v="89850.625589999996"/>
    <n v="-46522.028095997222"/>
    <n v="21557.329055999999"/>
    <n v="160472.20319"/>
    <n v="-11152.280025"/>
    <n v="52669.642088881999"/>
    <n v="0"/>
    <n v="0"/>
    <n v="31001.300333301999"/>
    <n v="30336.176841600001"/>
    <n v="0"/>
    <n v="0"/>
    <n v="284900"/>
    <n v="43300"/>
    <n v="328200"/>
    <n v="8.9148478327697508E-3"/>
    <n v="0.99970000000000003"/>
    <n v="1.0067999999999999"/>
    <n v="0.99729999999999996"/>
    <n v="0.98919999999999997"/>
    <n v="1.0199"/>
    <n v="0.94971499999999998"/>
    <n v="0.9620641305621106"/>
    <n v="284900"/>
    <n v="0"/>
    <n v="284900"/>
    <n v="41100"/>
    <n v="326000"/>
    <n v="8.740458015267176E-2"/>
    <n v="-0.35071090047393366"/>
    <n v="2.1518598217030432E-3"/>
  </r>
  <r>
    <n v="2025"/>
    <s v="18132322426    "/>
    <n v="-1.6094379124341003"/>
    <n v="0.2"/>
    <m/>
    <s v="6"/>
    <s v="RES"/>
    <x v="0"/>
    <s v="11"/>
    <s v="259"/>
    <s v="RN"/>
    <s v="G"/>
    <s v="AV"/>
    <x v="6"/>
    <n v="66"/>
    <n v="50"/>
    <n v="1958"/>
    <n v="1974"/>
    <n v="1230"/>
    <m/>
    <n v="1230"/>
    <n v="0"/>
    <n v="1230"/>
    <m/>
    <n v="2460"/>
    <n v="2500"/>
    <n v="7"/>
    <m/>
    <m/>
    <n v="144"/>
    <m/>
    <m/>
    <m/>
    <m/>
    <n v="425891"/>
    <n v="298124"/>
    <n v="0"/>
    <n v="359800"/>
    <n v="58400"/>
    <n v="301400"/>
    <n v="0"/>
    <n v="0"/>
    <n v="89850.625589999996"/>
    <n v="-50946.13867709865"/>
    <n v="44121.038090000002"/>
    <n v="160472.20319"/>
    <n v="-11152.280025"/>
    <n v="60772.663948710004"/>
    <n v="0"/>
    <n v="0"/>
    <n v="35770.731153809997"/>
    <n v="26544.1547364"/>
    <n v="4794.5541997440005"/>
    <n v="0"/>
    <n v="321300"/>
    <n v="38900"/>
    <n v="360200"/>
    <n v="1.1117287381878821E-3"/>
    <n v="0.99970000000000003"/>
    <n v="0.98050000000000004"/>
    <n v="0.99729999999999996"/>
    <n v="0.98919999999999997"/>
    <n v="1.0199"/>
    <n v="0.94971499999999998"/>
    <n v="0.93693273740181715"/>
    <n v="321300"/>
    <n v="0"/>
    <n v="321300"/>
    <n v="36900"/>
    <n v="358200"/>
    <n v="6.6025215660252157E-2"/>
    <n v="-0.36815068493150682"/>
    <n v="-4.4469149527515284E-3"/>
  </r>
  <r>
    <n v="2025"/>
    <s v="18132241487    "/>
    <n v="-0.73396917508020043"/>
    <n v="0.48"/>
    <n v="20835"/>
    <s v="6"/>
    <s v="RES"/>
    <x v="0"/>
    <s v="11"/>
    <s v="259"/>
    <s v="RN"/>
    <s v="G+"/>
    <s v="GD"/>
    <x v="6"/>
    <n v="66"/>
    <n v="50"/>
    <n v="1958"/>
    <n v="1974"/>
    <n v="2914"/>
    <m/>
    <n v="720"/>
    <n v="0"/>
    <n v="720"/>
    <m/>
    <n v="3634"/>
    <n v="4000"/>
    <n v="14"/>
    <m/>
    <m/>
    <m/>
    <m/>
    <m/>
    <m/>
    <m/>
    <n v="755563"/>
    <n v="551561"/>
    <n v="60288"/>
    <n v="602400"/>
    <n v="88900"/>
    <n v="513500"/>
    <n v="0"/>
    <n v="0"/>
    <n v="89850.625589999996"/>
    <n v="-23233.512202902497"/>
    <n v="74268.409664999999"/>
    <n v="197752.34721000001"/>
    <n v="-11152.280025"/>
    <n v="143976.86402157802"/>
    <n v="0"/>
    <n v="0"/>
    <n v="20938.964577839997"/>
    <n v="53088.3094728"/>
    <n v="0"/>
    <n v="60300"/>
    <n v="478900"/>
    <n v="66600"/>
    <n v="605800"/>
    <n v="5.6440903054448873E-3"/>
    <n v="0.99970000000000003"/>
    <n v="0.98380000000000001"/>
    <n v="0.99650000000000005"/>
    <n v="0.94579999999999997"/>
    <n v="1.0199"/>
    <n v="0.94971499999999998"/>
    <n v="0.8981199016319511"/>
    <n v="478900"/>
    <n v="57300"/>
    <n v="536200"/>
    <n v="63300"/>
    <n v="599500"/>
    <n v="4.4206426484907496E-2"/>
    <n v="-0.2879640044994376"/>
    <n v="-4.8140770252324038E-3"/>
  </r>
  <r>
    <n v="2025"/>
    <s v="18132211406    "/>
    <n v="-1.2729656758128873"/>
    <n v="0.28000000000000003"/>
    <n v="12377"/>
    <s v="6"/>
    <s v="RES"/>
    <x v="0"/>
    <s v="11"/>
    <s v="259"/>
    <s v="TD"/>
    <s v="G"/>
    <s v="AV"/>
    <x v="6"/>
    <n v="66"/>
    <n v="50"/>
    <n v="1958"/>
    <n v="1974"/>
    <n v="1917"/>
    <m/>
    <n v="1388"/>
    <n v="0"/>
    <n v="1388"/>
    <m/>
    <n v="3305"/>
    <n v="3500"/>
    <n v="11"/>
    <m/>
    <n v="529"/>
    <m/>
    <m/>
    <m/>
    <m/>
    <m/>
    <n v="573820"/>
    <n v="401674"/>
    <n v="0"/>
    <n v="419900"/>
    <n v="70100"/>
    <n v="349800"/>
    <n v="0"/>
    <n v="0"/>
    <n v="89850.625589999996"/>
    <n v="-40295.239319339329"/>
    <n v="44121.038090000002"/>
    <n v="160472.20319"/>
    <n v="-11152.280025"/>
    <n v="94716.420154209001"/>
    <n v="0"/>
    <n v="0"/>
    <n v="40365.670602835999"/>
    <n v="41712.243157199999"/>
    <n v="0"/>
    <n v="0"/>
    <n v="370200"/>
    <n v="49600"/>
    <n v="419800"/>
    <n v="-2.3815194093831864E-4"/>
    <n v="0.99970000000000003"/>
    <n v="0.98050000000000004"/>
    <n v="0.99729999999999996"/>
    <n v="1.0126999999999999"/>
    <n v="1.0199"/>
    <n v="0.94971499999999998"/>
    <n v="0.95919104646868192"/>
    <n v="370200"/>
    <n v="0"/>
    <n v="370200"/>
    <n v="47100"/>
    <n v="417300"/>
    <n v="5.8319039451114926E-2"/>
    <n v="-0.32810271041369471"/>
    <n v="-6.1919504643962852E-3"/>
  </r>
  <r>
    <n v="2025"/>
    <s v="18132212437    "/>
    <n v="-0.96758402626170559"/>
    <n v="0.38"/>
    <n v="16388"/>
    <s v="6"/>
    <s v="RES"/>
    <x v="0"/>
    <s v="11"/>
    <s v="259"/>
    <s v="RN"/>
    <s v="G"/>
    <s v="AV"/>
    <x v="6"/>
    <n v="66"/>
    <n v="50"/>
    <n v="1958"/>
    <n v="1974"/>
    <n v="1784"/>
    <m/>
    <m/>
    <n v="0"/>
    <m/>
    <m/>
    <n v="1784"/>
    <n v="2000"/>
    <n v="10"/>
    <n v="620"/>
    <m/>
    <m/>
    <m/>
    <m/>
    <m/>
    <m/>
    <n v="421755"/>
    <n v="295229"/>
    <n v="26353"/>
    <n v="404600"/>
    <n v="80800"/>
    <n v="323800"/>
    <n v="0"/>
    <n v="0"/>
    <n v="89850.625589999996"/>
    <n v="-30628.500548443946"/>
    <n v="44121.038090000002"/>
    <n v="160472.20319"/>
    <n v="-11152.280025"/>
    <n v="88145.067060568006"/>
    <n v="0"/>
    <n v="0"/>
    <n v="0"/>
    <n v="37920.221052000001"/>
    <n v="0"/>
    <n v="26400"/>
    <n v="319500"/>
    <n v="59200"/>
    <n v="405100"/>
    <n v="1.235788433020267E-3"/>
    <n v="0.99970000000000003"/>
    <n v="0.98050000000000004"/>
    <n v="0.99729999999999996"/>
    <n v="1.0093000000000001"/>
    <n v="1.0199"/>
    <n v="0.94971499999999998"/>
    <n v="0.95597069536964641"/>
    <n v="319500"/>
    <n v="25000"/>
    <n v="344500"/>
    <n v="56200"/>
    <n v="400700"/>
    <n v="6.3928350833848055E-2"/>
    <n v="-0.30445544554455445"/>
    <n v="-9.6391497775580818E-3"/>
  </r>
  <r>
    <n v="2025"/>
    <s v="18132214498    "/>
    <n v="-1.4696759700589417"/>
    <n v="0.23"/>
    <n v="10175"/>
    <s v="6"/>
    <s v="RES"/>
    <x v="0"/>
    <s v="11"/>
    <s v="259"/>
    <s v="RN"/>
    <s v="G+"/>
    <s v="GD"/>
    <x v="6"/>
    <n v="66"/>
    <n v="50"/>
    <n v="1958"/>
    <n v="1974"/>
    <n v="1194"/>
    <m/>
    <n v="1194"/>
    <n v="0"/>
    <n v="1194"/>
    <m/>
    <n v="2388"/>
    <n v="2500"/>
    <n v="8"/>
    <n v="300"/>
    <m/>
    <n v="180"/>
    <m/>
    <m/>
    <m/>
    <m/>
    <n v="469375"/>
    <n v="342644"/>
    <n v="0"/>
    <n v="438000"/>
    <n v="63300"/>
    <n v="374700"/>
    <n v="0"/>
    <n v="0"/>
    <n v="89850.625589999996"/>
    <n v="-46522.028095997222"/>
    <n v="74268.409664999999"/>
    <n v="197752.34721000001"/>
    <n v="-11152.280025"/>
    <n v="58993.951833138002"/>
    <n v="0"/>
    <n v="0"/>
    <n v="34723.782924917999"/>
    <n v="30336.176841600001"/>
    <n v="5993.1927496800008"/>
    <n v="0"/>
    <n v="390900"/>
    <n v="43300"/>
    <n v="434200"/>
    <n v="-8.6757990867579911E-3"/>
    <n v="0.99970000000000003"/>
    <n v="0.98380000000000001"/>
    <n v="0.99650000000000005"/>
    <n v="0.98919999999999997"/>
    <n v="1.0199"/>
    <n v="0.94971499999999998"/>
    <n v="0.93933200115703741"/>
    <n v="390900"/>
    <n v="0"/>
    <n v="390900"/>
    <n v="41100"/>
    <n v="432000"/>
    <n v="4.3234587670136111E-2"/>
    <n v="-0.35071090047393366"/>
    <n v="-1.3698630136986301E-2"/>
  </r>
  <r>
    <n v="2025"/>
    <s v="18132323459    "/>
    <n v="-1.8971199848858813"/>
    <n v="0.15"/>
    <m/>
    <s v="6"/>
    <s v="RES"/>
    <x v="0"/>
    <s v="11"/>
    <s v="259"/>
    <s v="RN"/>
    <s v="A"/>
    <s v="AV"/>
    <x v="6"/>
    <n v="66"/>
    <n v="50"/>
    <n v="1958"/>
    <n v="1974"/>
    <n v="1220"/>
    <m/>
    <n v="1220"/>
    <n v="0"/>
    <n v="1220"/>
    <m/>
    <n v="2440"/>
    <n v="2500"/>
    <n v="8"/>
    <n v="378"/>
    <m/>
    <m/>
    <m/>
    <m/>
    <m/>
    <m/>
    <n v="326163"/>
    <n v="228314"/>
    <n v="0"/>
    <n v="330700"/>
    <n v="48400"/>
    <n v="282300"/>
    <n v="0"/>
    <n v="0"/>
    <n v="89850.625589999996"/>
    <n v="-60052.604136134301"/>
    <n v="21557.329055999999"/>
    <n v="160472.20319"/>
    <n v="-11152.280025"/>
    <n v="60278.577249940005"/>
    <n v="0"/>
    <n v="0"/>
    <n v="35479.912201339997"/>
    <n v="30336.176841600001"/>
    <n v="0"/>
    <n v="0"/>
    <n v="297000"/>
    <n v="29800"/>
    <n v="326800"/>
    <n v="-1.1793166011490778E-2"/>
    <n v="0.99970000000000003"/>
    <n v="1.0067999999999999"/>
    <n v="0.99729999999999996"/>
    <n v="0.98919999999999997"/>
    <n v="1.0199"/>
    <n v="0.94971499999999998"/>
    <n v="0.9620641305621106"/>
    <n v="297000"/>
    <n v="0"/>
    <n v="297000"/>
    <n v="28300"/>
    <n v="325300"/>
    <n v="5.2072263549415514E-2"/>
    <n v="-0.41528925619834711"/>
    <n v="-1.6328999092833384E-2"/>
  </r>
  <r>
    <n v="2025"/>
    <s v="18132323490    "/>
    <n v="-1.0788096613719298"/>
    <n v="0.34"/>
    <m/>
    <s v="6"/>
    <s v="RES"/>
    <x v="0"/>
    <s v="11"/>
    <s v="259"/>
    <s v="SE"/>
    <s v="F+"/>
    <s v="FR"/>
    <x v="6"/>
    <n v="66"/>
    <n v="50"/>
    <n v="1958"/>
    <n v="1974"/>
    <n v="1456"/>
    <m/>
    <n v="1064"/>
    <n v="0"/>
    <n v="1064"/>
    <m/>
    <n v="2520"/>
    <n v="3000"/>
    <n v="10"/>
    <m/>
    <n v="392"/>
    <m/>
    <m/>
    <m/>
    <m/>
    <m/>
    <n v="320708"/>
    <n v="221289"/>
    <n v="0"/>
    <n v="325000"/>
    <n v="76900"/>
    <n v="248100"/>
    <n v="0"/>
    <n v="0"/>
    <n v="89850.625589999996"/>
    <n v="-34149.305288406773"/>
    <n v="0"/>
    <n v="133714.53821"/>
    <n v="-11152.280025"/>
    <n v="71939.023340911997"/>
    <n v="0"/>
    <n v="0"/>
    <n v="30943.136542807999"/>
    <n v="37920.221052000001"/>
    <n v="0"/>
    <n v="0"/>
    <n v="263400"/>
    <n v="55700"/>
    <n v="319100"/>
    <n v="-1.8153846153846152E-2"/>
    <n v="0.99970000000000003"/>
    <n v="0.99180000000000001"/>
    <n v="0.99329999999999996"/>
    <n v="0.96179999999999999"/>
    <n v="1.0199"/>
    <n v="0.94971499999999998"/>
    <n v="0.91778340639271327"/>
    <n v="263400"/>
    <n v="0"/>
    <n v="263400"/>
    <n v="52900"/>
    <n v="316300"/>
    <n v="6.1668681983071343E-2"/>
    <n v="-0.31209362808842656"/>
    <n v="-2.6769230769230771E-2"/>
  </r>
  <r>
    <n v="2025"/>
    <s v="18132212007    "/>
    <n v="-2.120263536200091"/>
    <n v="0.12"/>
    <n v="5360"/>
    <s v="6"/>
    <s v="RES"/>
    <x v="0"/>
    <s v="11"/>
    <s v="259"/>
    <s v="TD"/>
    <s v="F"/>
    <s v="AV"/>
    <x v="6"/>
    <n v="66"/>
    <n v="50"/>
    <n v="1958"/>
    <n v="1974"/>
    <n v="1280"/>
    <m/>
    <m/>
    <n v="0"/>
    <m/>
    <m/>
    <n v="1280"/>
    <n v="1500"/>
    <n v="5"/>
    <m/>
    <m/>
    <m/>
    <m/>
    <m/>
    <m/>
    <m/>
    <n v="166578"/>
    <n v="116605"/>
    <n v="0"/>
    <n v="237500"/>
    <n v="40600"/>
    <n v="196900"/>
    <n v="0"/>
    <n v="0"/>
    <n v="89850.625589999996"/>
    <n v="-67116.12750806773"/>
    <n v="-43578.886190266698"/>
    <n v="160472.20319"/>
    <n v="-11152.280025"/>
    <n v="63243.09744256"/>
    <n v="0"/>
    <n v="0"/>
    <n v="0"/>
    <n v="18960.110526"/>
    <n v="0"/>
    <n v="0"/>
    <n v="187900"/>
    <n v="22700"/>
    <n v="210600"/>
    <n v="-0.11326315789473684"/>
    <n v="0.99970000000000003"/>
    <n v="1"/>
    <n v="0.99729999999999996"/>
    <n v="1.0157"/>
    <n v="1.0199"/>
    <n v="0.94971499999999998"/>
    <n v="0.98116525520911479"/>
    <n v="187900"/>
    <n v="0"/>
    <n v="187900"/>
    <n v="21600"/>
    <n v="209500"/>
    <n v="-4.5708481462671403E-2"/>
    <n v="-0.46798029556650245"/>
    <n v="-0.11789473684210526"/>
  </r>
  <r>
    <n v="2025"/>
    <s v="18132333018    "/>
    <n v="-1.5606477482646683"/>
    <n v="0.21"/>
    <m/>
    <s v="6"/>
    <s v="RES"/>
    <x v="0"/>
    <s v="11"/>
    <s v="259"/>
    <s v="RN"/>
    <s v="A"/>
    <s v="GD"/>
    <x v="6"/>
    <n v="67"/>
    <n v="50"/>
    <n v="1957"/>
    <n v="1974"/>
    <n v="1784"/>
    <m/>
    <m/>
    <n v="0"/>
    <m/>
    <m/>
    <n v="1784"/>
    <n v="2000"/>
    <n v="5"/>
    <m/>
    <m/>
    <m/>
    <m/>
    <m/>
    <m/>
    <m/>
    <n v="287000"/>
    <n v="206640"/>
    <n v="10026"/>
    <n v="337400"/>
    <n v="60100"/>
    <n v="277300"/>
    <n v="0"/>
    <n v="0"/>
    <n v="89850.625589999996"/>
    <n v="-49401.70477837498"/>
    <n v="21557.329055999999"/>
    <n v="197752.34721000001"/>
    <n v="-11152.280025"/>
    <n v="88145.067060568006"/>
    <n v="0"/>
    <n v="0"/>
    <n v="0"/>
    <n v="18960.110526"/>
    <n v="0"/>
    <n v="10000"/>
    <n v="315300"/>
    <n v="40400"/>
    <n v="365700"/>
    <n v="8.387670420865441E-2"/>
    <n v="0.99970000000000003"/>
    <n v="1.0067999999999999"/>
    <n v="0.99650000000000005"/>
    <n v="1.0093000000000001"/>
    <n v="1.0199"/>
    <n v="0.94971499999999998"/>
    <n v="0.98082532839872782"/>
    <n v="315300"/>
    <n v="9500"/>
    <n v="324800"/>
    <n v="38400"/>
    <n v="363200"/>
    <n v="0.17129462675802379"/>
    <n v="-0.36106489184692181"/>
    <n v="7.6467101363366929E-2"/>
  </r>
  <r>
    <n v="2025"/>
    <s v="18132244436    "/>
    <n v="-1.1394342831883648"/>
    <n v="0.32"/>
    <n v="14000"/>
    <s v="6"/>
    <s v="RES"/>
    <x v="0"/>
    <s v="11"/>
    <s v="259"/>
    <s v="RN"/>
    <s v="G"/>
    <s v="GD"/>
    <x v="6"/>
    <n v="67"/>
    <n v="50"/>
    <n v="1957"/>
    <n v="1974"/>
    <n v="1300"/>
    <m/>
    <m/>
    <n v="0"/>
    <m/>
    <m/>
    <n v="1300"/>
    <n v="1500"/>
    <n v="7"/>
    <n v="672"/>
    <m/>
    <m/>
    <m/>
    <m/>
    <m/>
    <m/>
    <n v="346751"/>
    <n v="249661"/>
    <n v="0"/>
    <n v="349300"/>
    <n v="74800"/>
    <n v="274500"/>
    <n v="0"/>
    <n v="0"/>
    <n v="89850.625589999996"/>
    <n v="-36068.354396449467"/>
    <n v="44121.038090000002"/>
    <n v="197752.34721000001"/>
    <n v="-11152.280025"/>
    <n v="64231.270840099998"/>
    <n v="0"/>
    <n v="0"/>
    <n v="0"/>
    <n v="26544.1547364"/>
    <n v="0"/>
    <n v="0"/>
    <n v="321500"/>
    <n v="53800"/>
    <n v="375300"/>
    <n v="7.4434583452619524E-2"/>
    <n v="0.99970000000000003"/>
    <n v="0.98050000000000004"/>
    <n v="0.99650000000000005"/>
    <n v="1.0157"/>
    <n v="1.0199"/>
    <n v="0.94971499999999998"/>
    <n v="0.96126082309031724"/>
    <n v="321500"/>
    <n v="0"/>
    <n v="321500"/>
    <n v="51100"/>
    <n v="372600"/>
    <n v="0.17122040072859745"/>
    <n v="-0.31684491978609625"/>
    <n v="6.670483824792442E-2"/>
  </r>
  <r>
    <n v="2025"/>
    <s v="18132244412    "/>
    <n v="-1.3862943611198906"/>
    <n v="0.25"/>
    <n v="11081"/>
    <s v="6"/>
    <s v="RES"/>
    <x v="0"/>
    <s v="11"/>
    <s v="259"/>
    <s v="RN"/>
    <s v="A"/>
    <s v="GD"/>
    <x v="6"/>
    <n v="67"/>
    <n v="50"/>
    <n v="1957"/>
    <n v="1974"/>
    <n v="1607"/>
    <m/>
    <n v="795"/>
    <n v="645"/>
    <n v="150"/>
    <m/>
    <n v="1757"/>
    <n v="2000"/>
    <n v="11"/>
    <m/>
    <m/>
    <m/>
    <m/>
    <m/>
    <m/>
    <m/>
    <n v="314418"/>
    <n v="226381"/>
    <n v="0"/>
    <n v="371500"/>
    <n v="66200"/>
    <n v="305300"/>
    <n v="0"/>
    <n v="0"/>
    <n v="89850.625589999996"/>
    <n v="-43882.615305165229"/>
    <n v="21557.329055999999"/>
    <n v="197752.34721000001"/>
    <n v="-11152.280025"/>
    <n v="79399.732492338997"/>
    <n v="0"/>
    <n v="0"/>
    <n v="23120.106721364999"/>
    <n v="41712.243157199999"/>
    <n v="0"/>
    <n v="0"/>
    <n v="352400"/>
    <n v="46000"/>
    <n v="398400"/>
    <n v="7.2409152086137282E-2"/>
    <n v="0.99970000000000003"/>
    <n v="1.0067999999999999"/>
    <n v="0.99650000000000005"/>
    <n v="1.0093000000000001"/>
    <n v="1.0199"/>
    <n v="0.94971499999999998"/>
    <n v="0.98082532839872782"/>
    <n v="352400"/>
    <n v="0"/>
    <n v="352400"/>
    <n v="43700"/>
    <n v="396100"/>
    <n v="0.15427448411398625"/>
    <n v="-0.33987915407854985"/>
    <n v="6.621803499327053E-2"/>
  </r>
  <r>
    <n v="2025"/>
    <s v="18132242462    "/>
    <n v="-1.6607312068216509"/>
    <n v="0.19"/>
    <n v="8328"/>
    <s v="6"/>
    <s v="RES"/>
    <x v="0"/>
    <s v="11"/>
    <s v="259"/>
    <s v="RN"/>
    <s v="A"/>
    <s v="AV"/>
    <x v="6"/>
    <n v="67"/>
    <n v="50"/>
    <n v="1957"/>
    <n v="1974"/>
    <n v="1144"/>
    <m/>
    <n v="1144"/>
    <n v="0"/>
    <n v="1144"/>
    <m/>
    <n v="2288"/>
    <n v="2500"/>
    <n v="8"/>
    <m/>
    <m/>
    <n v="572"/>
    <m/>
    <m/>
    <m/>
    <m/>
    <n v="310805"/>
    <n v="217564"/>
    <n v="0"/>
    <n v="326600"/>
    <n v="56600"/>
    <n v="270000"/>
    <n v="0"/>
    <n v="0"/>
    <n v="89850.625589999996"/>
    <n v="-52569.808201026557"/>
    <n v="21557.329055999999"/>
    <n v="160472.20319"/>
    <n v="-11152.280025"/>
    <n v="56523.518339287999"/>
    <n v="0"/>
    <n v="0"/>
    <n v="33269.688162567996"/>
    <n v="30336.176841600001"/>
    <n v="19045.034737872003"/>
    <n v="0"/>
    <n v="310100"/>
    <n v="37300"/>
    <n v="347400"/>
    <n v="6.3686466625842014E-2"/>
    <n v="0.99970000000000003"/>
    <n v="1.0067999999999999"/>
    <n v="0.99729999999999996"/>
    <n v="0.98919999999999997"/>
    <n v="1.0199"/>
    <n v="0.94971499999999998"/>
    <n v="0.9620641305621106"/>
    <n v="310100"/>
    <n v="0"/>
    <n v="310100"/>
    <n v="35400"/>
    <n v="345500"/>
    <n v="0.14851851851851852"/>
    <n v="-0.37455830388692579"/>
    <n v="5.7868952847519903E-2"/>
  </r>
  <r>
    <n v="2025"/>
    <s v="18132242485    "/>
    <n v="-1.7719568419318752"/>
    <n v="0.17"/>
    <n v="7341"/>
    <s v="6"/>
    <s v="RES"/>
    <x v="0"/>
    <s v="11"/>
    <s v="259"/>
    <s v="RN"/>
    <s v="A"/>
    <s v="FR"/>
    <x v="6"/>
    <n v="67"/>
    <n v="50"/>
    <n v="1957"/>
    <n v="1974"/>
    <n v="1475"/>
    <m/>
    <m/>
    <n v="0"/>
    <m/>
    <m/>
    <n v="1475"/>
    <n v="1500"/>
    <n v="7"/>
    <m/>
    <m/>
    <m/>
    <m/>
    <m/>
    <m/>
    <m/>
    <n v="250171"/>
    <n v="172618"/>
    <n v="0"/>
    <n v="260800"/>
    <n v="52700"/>
    <n v="208100"/>
    <n v="0"/>
    <n v="0"/>
    <n v="89850.625589999996"/>
    <n v="-56090.612940989391"/>
    <n v="21557.329055999999"/>
    <n v="133714.53821"/>
    <n v="-11152.280025"/>
    <n v="72877.788068574999"/>
    <n v="0"/>
    <n v="0"/>
    <n v="0"/>
    <n v="26544.1547364"/>
    <n v="0"/>
    <n v="0"/>
    <n v="243500"/>
    <n v="33800"/>
    <n v="277300"/>
    <n v="6.3266871165644167E-2"/>
    <n v="0.99970000000000003"/>
    <n v="1.0067999999999999"/>
    <n v="0.99329999999999996"/>
    <n v="1.0157"/>
    <n v="1.0199"/>
    <n v="0.94971499999999998"/>
    <n v="0.98387513270390892"/>
    <n v="243500"/>
    <n v="0"/>
    <n v="243500"/>
    <n v="32100"/>
    <n v="275600"/>
    <n v="0.17011052378664104"/>
    <n v="-0.39089184060721061"/>
    <n v="5.674846625766871E-2"/>
  </r>
  <r>
    <n v="2025"/>
    <s v="18132332551    "/>
    <n v="-1.8325814637483102"/>
    <n v="0.16"/>
    <n v="6776"/>
    <s v="6"/>
    <s v="RES"/>
    <x v="0"/>
    <s v="11"/>
    <s v="259"/>
    <s v="RN"/>
    <s v="G"/>
    <s v="AV"/>
    <x v="6"/>
    <n v="67"/>
    <n v="50"/>
    <n v="1957"/>
    <n v="1974"/>
    <n v="1440"/>
    <m/>
    <m/>
    <n v="0"/>
    <m/>
    <m/>
    <n v="1440"/>
    <n v="1500"/>
    <n v="5"/>
    <n v="360"/>
    <m/>
    <m/>
    <m/>
    <m/>
    <m/>
    <m/>
    <n v="345616"/>
    <n v="241931"/>
    <n v="0"/>
    <n v="301400"/>
    <n v="50600"/>
    <n v="250800"/>
    <n v="0"/>
    <n v="0"/>
    <n v="89850.625589999996"/>
    <n v="-58009.662049032086"/>
    <n v="44121.038090000002"/>
    <n v="160472.20319"/>
    <n v="-11152.280025"/>
    <n v="71148.484622880002"/>
    <n v="0"/>
    <n v="0"/>
    <n v="0"/>
    <n v="18960.110526"/>
    <n v="0"/>
    <n v="0"/>
    <n v="283500"/>
    <n v="31800"/>
    <n v="315300"/>
    <n v="4.6118115461181157E-2"/>
    <n v="0.99970000000000003"/>
    <n v="0.98050000000000004"/>
    <n v="0.99729999999999996"/>
    <n v="1.0157"/>
    <n v="1.0199"/>
    <n v="0.94971499999999998"/>
    <n v="0.96203253273253719"/>
    <n v="283500"/>
    <n v="0"/>
    <n v="283500"/>
    <n v="30200"/>
    <n v="313700"/>
    <n v="0.13038277511961721"/>
    <n v="-0.40316205533596838"/>
    <n v="4.0809555408095555E-2"/>
  </r>
  <r>
    <n v="2025"/>
    <s v="18132242456    "/>
    <n v="-1.6094379124341003"/>
    <n v="0.2"/>
    <n v="8501"/>
    <s v="6"/>
    <s v="RES"/>
    <x v="0"/>
    <s v="11"/>
    <s v="259"/>
    <s v="RN"/>
    <s v="A+"/>
    <s v="AV"/>
    <x v="6"/>
    <n v="67"/>
    <n v="50"/>
    <n v="1957"/>
    <n v="1974"/>
    <n v="1328"/>
    <m/>
    <m/>
    <n v="0"/>
    <m/>
    <m/>
    <n v="1328"/>
    <n v="1500"/>
    <n v="5"/>
    <n v="240"/>
    <m/>
    <m/>
    <m/>
    <m/>
    <m/>
    <m/>
    <n v="258010"/>
    <n v="180607"/>
    <n v="0"/>
    <n v="291200"/>
    <n v="58400"/>
    <n v="232800"/>
    <n v="0"/>
    <n v="0"/>
    <n v="89850.625589999996"/>
    <n v="-50946.13867709865"/>
    <n v="29814.093161000001"/>
    <n v="160472.20319"/>
    <n v="-11152.280025"/>
    <n v="65614.713596656002"/>
    <n v="0"/>
    <n v="0"/>
    <n v="0"/>
    <n v="18960.110526"/>
    <n v="0"/>
    <n v="0"/>
    <n v="263700"/>
    <n v="38900"/>
    <n v="302600"/>
    <n v="3.9148351648351648E-2"/>
    <n v="0.99970000000000003"/>
    <n v="1.0088999999999999"/>
    <n v="0.99729999999999996"/>
    <n v="1.0157"/>
    <n v="1.0199"/>
    <n v="0.94971499999999998"/>
    <n v="0.98989762598047604"/>
    <n v="263700"/>
    <n v="0"/>
    <n v="263700"/>
    <n v="36900"/>
    <n v="300600"/>
    <n v="0.1327319587628866"/>
    <n v="-0.36815068493150682"/>
    <n v="3.2280219780219783E-2"/>
  </r>
  <r>
    <n v="2025"/>
    <s v="18132244411    "/>
    <n v="-1.5141277326297755"/>
    <n v="0.22"/>
    <n v="9779"/>
    <s v="6"/>
    <s v="RES"/>
    <x v="0"/>
    <s v="11"/>
    <s v="259"/>
    <s v="RN"/>
    <s v="G"/>
    <s v="AV"/>
    <x v="6"/>
    <n v="67"/>
    <n v="50"/>
    <n v="1957"/>
    <n v="1974"/>
    <n v="1874"/>
    <m/>
    <m/>
    <n v="0"/>
    <m/>
    <m/>
    <n v="1874"/>
    <n v="2000"/>
    <n v="9"/>
    <n v="242"/>
    <m/>
    <m/>
    <m/>
    <m/>
    <m/>
    <m/>
    <n v="442473"/>
    <n v="309731"/>
    <n v="0"/>
    <n v="348800"/>
    <n v="61700"/>
    <n v="287100"/>
    <n v="0"/>
    <n v="0"/>
    <n v="89850.625589999996"/>
    <n v="-47929.131559187132"/>
    <n v="44121.038090000002"/>
    <n v="160472.20319"/>
    <n v="-11152.280025"/>
    <n v="92591.847349497999"/>
    <n v="0"/>
    <n v="0"/>
    <n v="0"/>
    <n v="34128.198946800003"/>
    <n v="0"/>
    <n v="0"/>
    <n v="320200"/>
    <n v="41900"/>
    <n v="362100"/>
    <n v="3.8130733944954129E-2"/>
    <n v="0.99970000000000003"/>
    <n v="0.98050000000000004"/>
    <n v="0.99729999999999996"/>
    <n v="1.0093000000000001"/>
    <n v="1.0199"/>
    <n v="0.94971499999999998"/>
    <n v="0.95597069536964641"/>
    <n v="320200"/>
    <n v="0"/>
    <n v="320200"/>
    <n v="39800"/>
    <n v="360000"/>
    <n v="0.11529083942877047"/>
    <n v="-0.35494327390599678"/>
    <n v="3.2110091743119268E-2"/>
  </r>
  <r>
    <n v="2025"/>
    <s v="18132313444    "/>
    <n v="-1.7147984280919266"/>
    <n v="0.18"/>
    <n v="7875"/>
    <s v="6"/>
    <s v="RES"/>
    <x v="0"/>
    <s v="11"/>
    <s v="259"/>
    <s v="TD"/>
    <s v="A"/>
    <s v="AV"/>
    <x v="6"/>
    <n v="67"/>
    <n v="50"/>
    <n v="1957"/>
    <n v="1974"/>
    <n v="1094"/>
    <m/>
    <n v="1094"/>
    <n v="540"/>
    <n v="554"/>
    <m/>
    <n v="1648"/>
    <n v="2000"/>
    <n v="7"/>
    <m/>
    <m/>
    <m/>
    <m/>
    <m/>
    <m/>
    <m/>
    <n v="258687"/>
    <n v="181081"/>
    <n v="5613"/>
    <n v="312400"/>
    <n v="54700"/>
    <n v="257700"/>
    <n v="0"/>
    <n v="0"/>
    <n v="89850.625589999996"/>
    <n v="-54281.285314520763"/>
    <n v="21557.329055999999"/>
    <n v="160472.20319"/>
    <n v="-11152.280025"/>
    <n v="54053.084845438003"/>
    <n v="0"/>
    <n v="0"/>
    <n v="31815.593400218"/>
    <n v="26544.1547364"/>
    <n v="0"/>
    <n v="5600"/>
    <n v="283300"/>
    <n v="35600"/>
    <n v="324500"/>
    <n v="3.873239436619718E-2"/>
    <n v="0.99970000000000003"/>
    <n v="1.0067999999999999"/>
    <n v="0.99729999999999996"/>
    <n v="1.0093000000000001"/>
    <n v="1.0199"/>
    <n v="0.94971499999999998"/>
    <n v="0.98161274461821502"/>
    <n v="283300"/>
    <n v="5300"/>
    <n v="288600"/>
    <n v="33800"/>
    <n v="322400"/>
    <n v="0.11990686845168801"/>
    <n v="-0.38208409506398539"/>
    <n v="3.2010243277848911E-2"/>
  </r>
  <r>
    <n v="2025"/>
    <s v="18132244408    "/>
    <n v="-1.3862943611198906"/>
    <n v="0.25"/>
    <n v="10967"/>
    <s v="6"/>
    <s v="RES"/>
    <x v="0"/>
    <s v="11"/>
    <s v="259"/>
    <s v="RN"/>
    <s v="G"/>
    <s v="GD"/>
    <x v="6"/>
    <n v="67"/>
    <n v="50"/>
    <n v="1957"/>
    <n v="1974"/>
    <n v="1494"/>
    <m/>
    <n v="1494"/>
    <n v="95"/>
    <n v="1399"/>
    <m/>
    <n v="2893"/>
    <n v="3000"/>
    <n v="11"/>
    <n v="276"/>
    <m/>
    <m/>
    <m/>
    <m/>
    <m/>
    <m/>
    <n v="504058"/>
    <n v="362922"/>
    <n v="22268"/>
    <n v="442700"/>
    <n v="66200"/>
    <n v="376500"/>
    <n v="0"/>
    <n v="0"/>
    <n v="89850.625589999996"/>
    <n v="-43882.615305165229"/>
    <n v="44121.038090000002"/>
    <n v="197752.34721000001"/>
    <n v="-11152.280025"/>
    <n v="73816.552796238"/>
    <n v="0"/>
    <n v="0"/>
    <n v="43448.351499017997"/>
    <n v="41712.243157199999"/>
    <n v="0"/>
    <n v="22300"/>
    <n v="389700"/>
    <n v="46000"/>
    <n v="458000"/>
    <n v="3.4560650553422181E-2"/>
    <n v="0.99970000000000003"/>
    <n v="0.98050000000000004"/>
    <n v="0.99650000000000005"/>
    <n v="0.96179999999999999"/>
    <n v="1.0199"/>
    <n v="0.94971499999999998"/>
    <n v="0.91024973874989379"/>
    <n v="389700"/>
    <n v="21100"/>
    <n v="410800"/>
    <n v="43700"/>
    <n v="454500"/>
    <n v="9.1102257636122175E-2"/>
    <n v="-0.33987915407854985"/>
    <n v="2.6654619381070704E-2"/>
  </r>
  <r>
    <n v="2025"/>
    <s v="18132243475    "/>
    <n v="-1.2039728043259361"/>
    <n v="0.3"/>
    <n v="13020"/>
    <s v="6"/>
    <s v="RES"/>
    <x v="0"/>
    <s v="11"/>
    <s v="259"/>
    <s v="SL"/>
    <s v="G"/>
    <s v="AV"/>
    <x v="6"/>
    <n v="67"/>
    <n v="50"/>
    <n v="1957"/>
    <n v="1974"/>
    <n v="1452"/>
    <m/>
    <n v="696"/>
    <n v="0"/>
    <n v="696"/>
    <m/>
    <n v="2148"/>
    <n v="2500"/>
    <n v="9"/>
    <n v="500"/>
    <m/>
    <m/>
    <m/>
    <m/>
    <m/>
    <m/>
    <n v="458727"/>
    <n v="321109"/>
    <n v="45212"/>
    <n v="402800"/>
    <n v="72500"/>
    <n v="330300"/>
    <n v="0"/>
    <n v="0"/>
    <n v="89850.625589999996"/>
    <n v="-38111.29648355169"/>
    <n v="44121.038090000002"/>
    <n v="160472.20319"/>
    <n v="-11152.280025"/>
    <n v="71741.388661403995"/>
    <n v="0"/>
    <n v="0"/>
    <n v="20240.999091911999"/>
    <n v="34128.198946800003"/>
    <n v="0"/>
    <n v="45200"/>
    <n v="319600"/>
    <n v="51700"/>
    <n v="416500"/>
    <n v="3.4011916583912609E-2"/>
    <n v="0.99970000000000003"/>
    <n v="0.98050000000000004"/>
    <n v="0.99729999999999996"/>
    <n v="0.98919999999999997"/>
    <n v="1.0199"/>
    <n v="0.94971499999999998"/>
    <n v="0.93693273740181715"/>
    <n v="319600"/>
    <n v="42900"/>
    <n v="362500"/>
    <n v="49100"/>
    <n v="411600"/>
    <n v="9.7487132909476235E-2"/>
    <n v="-0.32275862068965516"/>
    <n v="2.1847070506454815E-2"/>
  </r>
  <r>
    <n v="2025"/>
    <s v="18132244405    "/>
    <n v="-1.4696759700589417"/>
    <n v="0.23"/>
    <n v="10044"/>
    <s v="6"/>
    <s v="RES"/>
    <x v="0"/>
    <s v="11"/>
    <s v="259"/>
    <s v="RN"/>
    <s v="A+"/>
    <s v="GD"/>
    <x v="6"/>
    <n v="67"/>
    <n v="50"/>
    <n v="1957"/>
    <n v="1974"/>
    <n v="1680"/>
    <m/>
    <n v="1723"/>
    <n v="517"/>
    <n v="1206"/>
    <m/>
    <n v="2886"/>
    <n v="3000"/>
    <n v="11"/>
    <n v="540"/>
    <m/>
    <m/>
    <m/>
    <m/>
    <m/>
    <m/>
    <n v="496981"/>
    <n v="357826"/>
    <n v="0"/>
    <n v="426900"/>
    <n v="63300"/>
    <n v="363600"/>
    <n v="0"/>
    <n v="0"/>
    <n v="89850.625589999996"/>
    <n v="-46522.028095997222"/>
    <n v="29814.093161000001"/>
    <n v="197752.34721000001"/>
    <n v="-11152.280025"/>
    <n v="83006.565393359997"/>
    <n v="0"/>
    <n v="0"/>
    <n v="50108.105510581001"/>
    <n v="41712.243157199999"/>
    <n v="0"/>
    <n v="0"/>
    <n v="391200"/>
    <n v="43300"/>
    <n v="434500"/>
    <n v="1.7802764113375499E-2"/>
    <n v="0.99970000000000003"/>
    <n v="1.0088999999999999"/>
    <n v="0.99650000000000005"/>
    <n v="0.96179999999999999"/>
    <n v="1.0199"/>
    <n v="0.94971499999999998"/>
    <n v="0.93661495300843212"/>
    <n v="391200"/>
    <n v="0"/>
    <n v="391200"/>
    <n v="41100"/>
    <n v="432300"/>
    <n v="7.590759075907591E-2"/>
    <n v="-0.35071090047393366"/>
    <n v="1.2649332396345749E-2"/>
  </r>
  <r>
    <n v="2025"/>
    <s v="18132244476    "/>
    <n v="-1.3470736479666092"/>
    <n v="0.26"/>
    <n v="11466"/>
    <s v="6"/>
    <s v="RES"/>
    <x v="0"/>
    <s v="11"/>
    <s v="259"/>
    <s v="TD"/>
    <s v="G"/>
    <s v="AV"/>
    <x v="6"/>
    <n v="67"/>
    <n v="50"/>
    <n v="1957"/>
    <n v="1974"/>
    <n v="1617"/>
    <m/>
    <n v="1613"/>
    <n v="484"/>
    <n v="1129"/>
    <m/>
    <n v="2746"/>
    <n v="3000"/>
    <n v="12"/>
    <m/>
    <m/>
    <m/>
    <m/>
    <m/>
    <m/>
    <m/>
    <n v="524087"/>
    <n v="366861"/>
    <n v="38200"/>
    <n v="442100"/>
    <n v="67600"/>
    <n v="374500"/>
    <n v="0"/>
    <n v="0"/>
    <n v="89850.625589999996"/>
    <n v="-42641.098701210125"/>
    <n v="44121.038090000002"/>
    <n v="160472.20319"/>
    <n v="-11152.280025"/>
    <n v="79893.819191108996"/>
    <n v="0"/>
    <n v="0"/>
    <n v="46909.097033410995"/>
    <n v="45504.265262400004"/>
    <n v="0"/>
    <n v="38200"/>
    <n v="365700"/>
    <n v="47200"/>
    <n v="451100"/>
    <n v="2.0357385206966748E-2"/>
    <n v="0.99970000000000003"/>
    <n v="0.98050000000000004"/>
    <n v="0.99729999999999996"/>
    <n v="0.96179999999999999"/>
    <n v="1.0199"/>
    <n v="0.94971499999999998"/>
    <n v="0.91098049619194077"/>
    <n v="365700"/>
    <n v="36300"/>
    <n v="402000"/>
    <n v="44800"/>
    <n v="446800"/>
    <n v="7.3431241655540727E-2"/>
    <n v="-0.33727810650887574"/>
    <n v="1.063107894141597E-2"/>
  </r>
  <r>
    <n v="2025"/>
    <s v="18132334014    "/>
    <n v="-1.5141277326297755"/>
    <n v="0.22"/>
    <m/>
    <s v="6"/>
    <s v="RES"/>
    <x v="0"/>
    <s v="11"/>
    <s v="259"/>
    <s v="RN"/>
    <s v="A"/>
    <s v="FR"/>
    <x v="6"/>
    <n v="67"/>
    <n v="50"/>
    <n v="1957"/>
    <n v="1974"/>
    <n v="1441"/>
    <m/>
    <n v="985"/>
    <n v="0"/>
    <n v="985"/>
    <m/>
    <n v="2426"/>
    <n v="2500"/>
    <n v="7"/>
    <m/>
    <n v="456"/>
    <n v="133"/>
    <m/>
    <m/>
    <m/>
    <m/>
    <n v="348962"/>
    <n v="240784"/>
    <n v="0"/>
    <n v="312200"/>
    <n v="61700"/>
    <n v="250500"/>
    <n v="0"/>
    <n v="0"/>
    <n v="89850.625589999996"/>
    <n v="-47929.131559187132"/>
    <n v="21557.329055999999"/>
    <n v="133714.53821"/>
    <n v="-11152.280025"/>
    <n v="71197.893292756999"/>
    <n v="0"/>
    <n v="0"/>
    <n v="28645.666818294998"/>
    <n v="26544.1547364"/>
    <n v="4428.3035317080003"/>
    <n v="0"/>
    <n v="274900"/>
    <n v="41900"/>
    <n v="316800"/>
    <n v="1.4734144778987828E-2"/>
    <n v="0.99970000000000003"/>
    <n v="1.0067999999999999"/>
    <n v="0.99329999999999996"/>
    <n v="0.98919999999999997"/>
    <n v="1.0199"/>
    <n v="0.94971499999999998"/>
    <n v="0.95820545561751158"/>
    <n v="274900"/>
    <n v="0"/>
    <n v="274900"/>
    <n v="39800"/>
    <n v="314700"/>
    <n v="9.7405189620758489E-2"/>
    <n v="-0.35494327390599678"/>
    <n v="8.0076873798846891E-3"/>
  </r>
  <r>
    <n v="2025"/>
    <s v="18132341009    "/>
    <n v="-1.0788096613719298"/>
    <n v="0.34"/>
    <n v="14800"/>
    <s v="6"/>
    <s v="RES"/>
    <x v="0"/>
    <s v="11"/>
    <s v="259"/>
    <s v="CP"/>
    <s v="G+"/>
    <s v="GD"/>
    <x v="6"/>
    <n v="67"/>
    <n v="50"/>
    <n v="1957"/>
    <n v="1974"/>
    <n v="3991"/>
    <m/>
    <m/>
    <n v="0"/>
    <m/>
    <m/>
    <n v="3991"/>
    <n v="4000"/>
    <n v="11"/>
    <n v="269"/>
    <m/>
    <m/>
    <m/>
    <m/>
    <m/>
    <m/>
    <n v="812255"/>
    <n v="592946"/>
    <n v="0"/>
    <n v="565800"/>
    <n v="76900"/>
    <n v="488900"/>
    <n v="0"/>
    <n v="0"/>
    <n v="89850.625589999996"/>
    <n v="-34149.305288406773"/>
    <n v="74268.409664999999"/>
    <n v="197752.34721000001"/>
    <n v="-11152.280025"/>
    <n v="197190.00147910701"/>
    <n v="0"/>
    <n v="0"/>
    <n v="0"/>
    <n v="41712.243157199999"/>
    <n v="0"/>
    <n v="0"/>
    <n v="499800"/>
    <n v="55700"/>
    <n v="555500"/>
    <n v="-1.8204312477907388E-2"/>
    <n v="0.99970000000000003"/>
    <n v="0.98380000000000001"/>
    <n v="0.99650000000000005"/>
    <n v="0.94579999999999997"/>
    <n v="1.0199"/>
    <n v="0.94971499999999998"/>
    <n v="0.8981199016319511"/>
    <n v="499800"/>
    <n v="0"/>
    <n v="499800"/>
    <n v="52900"/>
    <n v="552700"/>
    <n v="2.2294947842094497E-2"/>
    <n v="-0.31209362808842656"/>
    <n v="-2.3153057617532696E-2"/>
  </r>
  <r>
    <n v="2025"/>
    <s v="18132344483    "/>
    <n v="-2.3025850929940455"/>
    <n v="0.1"/>
    <m/>
    <s v="6"/>
    <s v="RES"/>
    <x v="0"/>
    <s v="11"/>
    <s v="259"/>
    <s v="RN"/>
    <s v="A"/>
    <s v="AV"/>
    <x v="6"/>
    <n v="68"/>
    <n v="50"/>
    <n v="1956"/>
    <n v="1974"/>
    <n v="946"/>
    <m/>
    <n v="704"/>
    <n v="704"/>
    <m/>
    <m/>
    <n v="946"/>
    <n v="1000"/>
    <n v="5"/>
    <m/>
    <m/>
    <m/>
    <m/>
    <m/>
    <m/>
    <m/>
    <n v="186521"/>
    <n v="130565"/>
    <n v="0"/>
    <n v="249500"/>
    <n v="34200"/>
    <n v="215300"/>
    <n v="0"/>
    <n v="0"/>
    <n v="89850.625589999996"/>
    <n v="-72887.446329681261"/>
    <n v="21557.329055999999"/>
    <n v="160472.20319"/>
    <n v="-11152.280025"/>
    <n v="46740.601703642002"/>
    <n v="0"/>
    <n v="0"/>
    <n v="20473.654253887998"/>
    <n v="18960.110526"/>
    <n v="0"/>
    <n v="0"/>
    <n v="257100"/>
    <n v="17000"/>
    <n v="274100"/>
    <n v="9.8597194388777551E-2"/>
    <n v="0.99970000000000003"/>
    <n v="1.0067999999999999"/>
    <n v="0.99729999999999996"/>
    <n v="1.0148999999999999"/>
    <n v="1.0199"/>
    <n v="0.94971499999999998"/>
    <n v="0.98705912465374646"/>
    <n v="257100"/>
    <n v="0"/>
    <n v="257100"/>
    <n v="16100"/>
    <n v="273200"/>
    <n v="0.19414770088248956"/>
    <n v="-0.5292397660818714"/>
    <n v="9.498997995991984E-2"/>
  </r>
  <r>
    <n v="2025"/>
    <s v="18132334523    "/>
    <n v="-1.9661128563728327"/>
    <n v="0.14000000000000001"/>
    <n v="6084"/>
    <s v="6"/>
    <s v="RES"/>
    <x v="0"/>
    <s v="11"/>
    <s v="259"/>
    <s v="RN"/>
    <s v="A"/>
    <s v="GD"/>
    <x v="6"/>
    <n v="68"/>
    <n v="50"/>
    <n v="1956"/>
    <n v="1974"/>
    <n v="1204"/>
    <m/>
    <m/>
    <n v="0"/>
    <m/>
    <m/>
    <n v="1204"/>
    <n v="1500"/>
    <n v="5"/>
    <n v="312"/>
    <m/>
    <m/>
    <m/>
    <m/>
    <m/>
    <m/>
    <n v="213272"/>
    <n v="153556"/>
    <n v="0"/>
    <n v="287300"/>
    <n v="46000"/>
    <n v="241300"/>
    <n v="0"/>
    <n v="0"/>
    <n v="89850.625589999996"/>
    <n v="-62236.546971921947"/>
    <n v="21557.329055999999"/>
    <n v="197752.34721000001"/>
    <n v="-11152.280025"/>
    <n v="59488.038531908001"/>
    <n v="0"/>
    <n v="0"/>
    <n v="0"/>
    <n v="18960.110526"/>
    <n v="0"/>
    <n v="0"/>
    <n v="286600"/>
    <n v="27600"/>
    <n v="314200"/>
    <n v="9.363035154890359E-2"/>
    <n v="0.99970000000000003"/>
    <n v="1.0067999999999999"/>
    <n v="0.99650000000000005"/>
    <n v="1.0157"/>
    <n v="1.0199"/>
    <n v="0.94971499999999998"/>
    <n v="0.98704476969641131"/>
    <n v="286600"/>
    <n v="0"/>
    <n v="286600"/>
    <n v="26200"/>
    <n v="312800"/>
    <n v="0.18773311230832987"/>
    <n v="-0.43043478260869567"/>
    <n v="8.8757396449704137E-2"/>
  </r>
  <r>
    <n v="2025"/>
    <s v="18132324426    "/>
    <n v="-1.6607312068216509"/>
    <n v="0.19"/>
    <m/>
    <s v="6"/>
    <s v="RES"/>
    <x v="0"/>
    <s v="11"/>
    <s v="259"/>
    <s v="TD"/>
    <s v="A"/>
    <s v="AV"/>
    <x v="6"/>
    <n v="68"/>
    <n v="50"/>
    <n v="1956"/>
    <n v="1974"/>
    <n v="1063"/>
    <m/>
    <n v="1063"/>
    <n v="1063"/>
    <m/>
    <m/>
    <n v="1063"/>
    <n v="1500"/>
    <n v="5"/>
    <m/>
    <m/>
    <m/>
    <m/>
    <m/>
    <m/>
    <m/>
    <n v="217959"/>
    <n v="152571"/>
    <n v="0"/>
    <n v="283900"/>
    <n v="56600"/>
    <n v="227300"/>
    <n v="0"/>
    <n v="0"/>
    <n v="89850.625589999996"/>
    <n v="-52569.808201026557"/>
    <n v="21557.329055999999"/>
    <n v="160472.20319"/>
    <n v="-11152.280025"/>
    <n v="52521.416079251001"/>
    <n v="0"/>
    <n v="0"/>
    <n v="30914.054647560999"/>
    <n v="18960.110526"/>
    <n v="0"/>
    <n v="0"/>
    <n v="273300"/>
    <n v="37300"/>
    <n v="310600"/>
    <n v="9.4047199718210642E-2"/>
    <n v="0.99970000000000003"/>
    <n v="1.0067999999999999"/>
    <n v="0.99729999999999996"/>
    <n v="1.0157"/>
    <n v="1.0199"/>
    <n v="0.94971499999999998"/>
    <n v="0.98783717894453682"/>
    <n v="273300"/>
    <n v="0"/>
    <n v="273300"/>
    <n v="35400"/>
    <n v="308700"/>
    <n v="0.2023757149142103"/>
    <n v="-0.37455830388692579"/>
    <n v="8.7354702359985908E-2"/>
  </r>
  <r>
    <n v="2025"/>
    <s v="18132214439    "/>
    <n v="-1.6607312068216509"/>
    <n v="0.19"/>
    <n v="8073"/>
    <s v="6"/>
    <s v="RES"/>
    <x v="0"/>
    <s v="11"/>
    <s v="259"/>
    <s v="RN"/>
    <s v="A"/>
    <s v="AV"/>
    <x v="6"/>
    <n v="68"/>
    <n v="50"/>
    <n v="1956"/>
    <n v="1974"/>
    <n v="950"/>
    <m/>
    <n v="950"/>
    <n v="950"/>
    <n v="0"/>
    <m/>
    <n v="950"/>
    <n v="1000"/>
    <n v="7"/>
    <m/>
    <m/>
    <m/>
    <m/>
    <m/>
    <m/>
    <m/>
    <n v="191985"/>
    <n v="134390"/>
    <n v="0"/>
    <n v="284200"/>
    <n v="56600"/>
    <n v="227600"/>
    <n v="0"/>
    <n v="0"/>
    <n v="89850.625589999996"/>
    <n v="-52569.808201026557"/>
    <n v="21557.329055999999"/>
    <n v="160472.20319"/>
    <n v="-11152.280025"/>
    <n v="46938.236383150004"/>
    <n v="0"/>
    <n v="0"/>
    <n v="27627.800484649997"/>
    <n v="26544.1547364"/>
    <n v="0"/>
    <n v="0"/>
    <n v="272000"/>
    <n v="37300"/>
    <n v="309300"/>
    <n v="8.8318085855031661E-2"/>
    <n v="0.99970000000000003"/>
    <n v="1.0067999999999999"/>
    <n v="0.99729999999999996"/>
    <n v="1.0148999999999999"/>
    <n v="1.0199"/>
    <n v="0.94971499999999998"/>
    <n v="0.98705912465374646"/>
    <n v="272000"/>
    <n v="0"/>
    <n v="272000"/>
    <n v="35400"/>
    <n v="307400"/>
    <n v="0.19507908611599298"/>
    <n v="-0.37455830388692579"/>
    <n v="8.1632653061224483E-2"/>
  </r>
  <r>
    <n v="2025"/>
    <s v="18132321032    "/>
    <n v="-1.6607312068216509"/>
    <n v="0.19"/>
    <n v="8127"/>
    <s v="6"/>
    <s v="RES"/>
    <x v="0"/>
    <s v="11"/>
    <s v="259"/>
    <s v="RN"/>
    <s v="A+"/>
    <s v="GD"/>
    <x v="6"/>
    <n v="68"/>
    <n v="50"/>
    <n v="1956"/>
    <n v="1974"/>
    <n v="1195"/>
    <m/>
    <m/>
    <n v="0"/>
    <m/>
    <m/>
    <n v="1195"/>
    <n v="1500"/>
    <n v="5"/>
    <m/>
    <m/>
    <m/>
    <m/>
    <m/>
    <m/>
    <m/>
    <n v="252993"/>
    <n v="182155"/>
    <n v="0"/>
    <n v="305300"/>
    <n v="56600"/>
    <n v="248700"/>
    <n v="0"/>
    <n v="0"/>
    <n v="89850.625589999996"/>
    <n v="-52569.808201026557"/>
    <n v="29814.093161000001"/>
    <n v="197752.34721000001"/>
    <n v="-11152.280025"/>
    <n v="59043.360503014999"/>
    <n v="0"/>
    <n v="0"/>
    <n v="0"/>
    <n v="18960.110526"/>
    <n v="0"/>
    <n v="0"/>
    <n v="294400"/>
    <n v="37300"/>
    <n v="331700"/>
    <n v="8.6472322305928592E-2"/>
    <n v="0.99970000000000003"/>
    <n v="1.0088999999999999"/>
    <n v="0.99650000000000005"/>
    <n v="1.0157"/>
    <n v="1.0199"/>
    <n v="0.94971499999999998"/>
    <n v="0.98910356391210685"/>
    <n v="294400"/>
    <n v="0"/>
    <n v="294400"/>
    <n v="35400"/>
    <n v="329800"/>
    <n v="0.18375552874949738"/>
    <n v="-0.37455830388692579"/>
    <n v="8.0248935473304944E-2"/>
  </r>
  <r>
    <n v="2025"/>
    <s v="18132244461    "/>
    <n v="-1.3093333199837622"/>
    <n v="0.27"/>
    <n v="11900"/>
    <s v="6"/>
    <s v="RES"/>
    <x v="0"/>
    <s v="11"/>
    <s v="259"/>
    <s v="RN"/>
    <s v="G"/>
    <s v="GD"/>
    <x v="6"/>
    <n v="68"/>
    <n v="50"/>
    <n v="1956"/>
    <n v="1974"/>
    <n v="1787"/>
    <m/>
    <m/>
    <n v="0"/>
    <m/>
    <m/>
    <n v="1787"/>
    <n v="2000"/>
    <n v="8"/>
    <n v="380"/>
    <m/>
    <m/>
    <m/>
    <m/>
    <m/>
    <m/>
    <n v="412357"/>
    <n v="296897"/>
    <n v="0"/>
    <n v="374300"/>
    <n v="68900"/>
    <n v="305400"/>
    <n v="0"/>
    <n v="0"/>
    <n v="89850.625589999996"/>
    <n v="-41446.443120973789"/>
    <n v="44121.038090000002"/>
    <n v="197752.34721000001"/>
    <n v="-11152.280025"/>
    <n v="88293.293070198997"/>
    <n v="0"/>
    <n v="0"/>
    <n v="0"/>
    <n v="30336.176841600001"/>
    <n v="0"/>
    <n v="0"/>
    <n v="349400"/>
    <n v="48400"/>
    <n v="397800"/>
    <n v="6.2783863211327812E-2"/>
    <n v="0.99970000000000003"/>
    <n v="0.98050000000000004"/>
    <n v="0.99650000000000005"/>
    <n v="1.0093000000000001"/>
    <n v="1.0199"/>
    <n v="0.94971499999999998"/>
    <n v="0.95520384832633376"/>
    <n v="349400"/>
    <n v="0"/>
    <n v="349400"/>
    <n v="46000"/>
    <n v="395400"/>
    <n v="0.14407334643091027"/>
    <n v="-0.33236574746008707"/>
    <n v="5.6371894202511354E-2"/>
  </r>
  <r>
    <n v="2025"/>
    <s v="18132333014    "/>
    <n v="-1.5606477482646683"/>
    <n v="0.21"/>
    <m/>
    <s v="6"/>
    <s v="RES"/>
    <x v="0"/>
    <s v="11"/>
    <s v="259"/>
    <s v="RN"/>
    <s v="G"/>
    <s v="AV"/>
    <x v="6"/>
    <n v="68"/>
    <n v="50"/>
    <n v="1956"/>
    <n v="1974"/>
    <n v="1400"/>
    <m/>
    <m/>
    <n v="0"/>
    <m/>
    <m/>
    <n v="1400"/>
    <n v="1500"/>
    <n v="8"/>
    <m/>
    <m/>
    <m/>
    <m/>
    <m/>
    <m/>
    <m/>
    <n v="295874"/>
    <n v="207112"/>
    <n v="16031"/>
    <n v="334600"/>
    <n v="60100"/>
    <n v="274500"/>
    <n v="0"/>
    <n v="0"/>
    <n v="89850.625589999996"/>
    <n v="-49401.70477837498"/>
    <n v="44121.038090000002"/>
    <n v="160472.20319"/>
    <n v="-11152.280025"/>
    <n v="69172.137827800005"/>
    <n v="0"/>
    <n v="0"/>
    <n v="0"/>
    <n v="30336.176841600001"/>
    <n v="0"/>
    <n v="16000"/>
    <n v="292900"/>
    <n v="40400"/>
    <n v="349300"/>
    <n v="4.3933054393305436E-2"/>
    <n v="0.99970000000000003"/>
    <n v="0.98050000000000004"/>
    <n v="0.99729999999999996"/>
    <n v="1.0157"/>
    <n v="1.0199"/>
    <n v="0.94971499999999998"/>
    <n v="0.96203253273253719"/>
    <n v="292900"/>
    <n v="15200"/>
    <n v="308100"/>
    <n v="38400"/>
    <n v="346500"/>
    <n v="0.12240437158469945"/>
    <n v="-0.36106489184692181"/>
    <n v="3.5564853556485358E-2"/>
  </r>
  <r>
    <n v="2025"/>
    <s v="18132244413    "/>
    <n v="-1.5141277326297755"/>
    <n v="0.22"/>
    <n v="9470"/>
    <s v="6"/>
    <s v="RES"/>
    <x v="0"/>
    <s v="11"/>
    <s v="259"/>
    <s v="RN"/>
    <s v="A+"/>
    <s v="AV"/>
    <x v="6"/>
    <n v="68"/>
    <n v="50"/>
    <n v="1956"/>
    <n v="1974"/>
    <n v="1696"/>
    <m/>
    <m/>
    <n v="0"/>
    <m/>
    <m/>
    <n v="1696"/>
    <n v="2000"/>
    <n v="9"/>
    <n v="809"/>
    <m/>
    <m/>
    <m/>
    <m/>
    <m/>
    <m/>
    <n v="365340"/>
    <n v="255738"/>
    <n v="0"/>
    <n v="325700"/>
    <n v="61700"/>
    <n v="264000"/>
    <n v="0"/>
    <n v="0"/>
    <n v="89850.625589999996"/>
    <n v="-47929.131559187132"/>
    <n v="29814.093161000001"/>
    <n v="160472.20319"/>
    <n v="-11152.280025"/>
    <n v="83797.104111392007"/>
    <n v="0"/>
    <n v="0"/>
    <n v="0"/>
    <n v="34128.198946800003"/>
    <n v="0"/>
    <n v="0"/>
    <n v="297100"/>
    <n v="41900"/>
    <n v="339000"/>
    <n v="4.0835124347559107E-2"/>
    <n v="0.99970000000000003"/>
    <n v="1.0088999999999999"/>
    <n v="0.99729999999999996"/>
    <n v="1.0093000000000001"/>
    <n v="1.0199"/>
    <n v="0.94971499999999998"/>
    <n v="0.98366020862665582"/>
    <n v="297100"/>
    <n v="0"/>
    <n v="297100"/>
    <n v="39800"/>
    <n v="336900"/>
    <n v="0.12537878787878787"/>
    <n v="-0.35494327390599678"/>
    <n v="3.4387473134786614E-2"/>
  </r>
  <r>
    <n v="2025"/>
    <s v="18132323474    "/>
    <n v="-1.6607312068216509"/>
    <n v="0.19"/>
    <m/>
    <s v="6"/>
    <s v="RES"/>
    <x v="0"/>
    <s v="11"/>
    <s v="259"/>
    <s v="RN"/>
    <s v="A"/>
    <s v="AV"/>
    <x v="6"/>
    <n v="68"/>
    <n v="50"/>
    <n v="1956"/>
    <n v="1974"/>
    <n v="1106"/>
    <m/>
    <m/>
    <n v="0"/>
    <m/>
    <m/>
    <n v="1106"/>
    <n v="1500"/>
    <n v="6"/>
    <n v="240"/>
    <m/>
    <m/>
    <m/>
    <m/>
    <m/>
    <m/>
    <n v="215254"/>
    <n v="150678"/>
    <n v="0"/>
    <n v="275100"/>
    <n v="56600"/>
    <n v="218500"/>
    <n v="0"/>
    <n v="0"/>
    <n v="89850.625589999996"/>
    <n v="-52569.808201026557"/>
    <n v="21557.329055999999"/>
    <n v="160472.20319"/>
    <n v="-11152.280025"/>
    <n v="54645.988883962003"/>
    <n v="0"/>
    <n v="0"/>
    <n v="0"/>
    <n v="22752.132631200002"/>
    <n v="0"/>
    <n v="0"/>
    <n v="248300"/>
    <n v="37300"/>
    <n v="285600"/>
    <n v="3.8167938931297711E-2"/>
    <n v="0.99970000000000003"/>
    <n v="1.0067999999999999"/>
    <n v="0.99729999999999996"/>
    <n v="1.0157"/>
    <n v="1.0199"/>
    <n v="0.94971499999999998"/>
    <n v="0.98783717894453682"/>
    <n v="248300"/>
    <n v="0"/>
    <n v="248300"/>
    <n v="35400"/>
    <n v="283700"/>
    <n v="0.13638443935926772"/>
    <n v="-0.37455830388692579"/>
    <n v="3.1261359505634315E-2"/>
  </r>
  <r>
    <n v="2025"/>
    <s v="18132241071    "/>
    <n v="-1.2039728043259361"/>
    <n v="0.3"/>
    <n v="12973"/>
    <s v="6"/>
    <s v="RES"/>
    <x v="0"/>
    <s v="11"/>
    <s v="259"/>
    <s v="TD"/>
    <s v="G"/>
    <s v="AV"/>
    <x v="6"/>
    <n v="68"/>
    <n v="50"/>
    <n v="1956"/>
    <n v="1974"/>
    <n v="1542"/>
    <m/>
    <n v="1544"/>
    <n v="772"/>
    <n v="772"/>
    <m/>
    <n v="2314"/>
    <n v="2500"/>
    <n v="8"/>
    <m/>
    <m/>
    <m/>
    <m/>
    <m/>
    <m/>
    <m/>
    <n v="471005"/>
    <n v="329704"/>
    <n v="16241"/>
    <n v="397900"/>
    <n v="72500"/>
    <n v="325400"/>
    <n v="0"/>
    <n v="0"/>
    <n v="89850.625589999996"/>
    <n v="-38111.29648355169"/>
    <n v="44121.038090000002"/>
    <n v="160472.20319"/>
    <n v="-11152.280025"/>
    <n v="76188.168950334002"/>
    <n v="0"/>
    <n v="0"/>
    <n v="44902.446261368001"/>
    <n v="30336.176841600001"/>
    <n v="0"/>
    <n v="16200"/>
    <n v="344900"/>
    <n v="51700"/>
    <n v="412800"/>
    <n v="3.7446594621764265E-2"/>
    <n v="0.99970000000000003"/>
    <n v="0.98050000000000004"/>
    <n v="0.99729999999999996"/>
    <n v="0.98919999999999997"/>
    <n v="1.0199"/>
    <n v="0.94971499999999998"/>
    <n v="0.93693273740181715"/>
    <n v="344900"/>
    <n v="15400"/>
    <n v="360300"/>
    <n v="49100"/>
    <n v="409400"/>
    <n v="0.10725261216963737"/>
    <n v="-0.32275862068965516"/>
    <n v="2.8901734104046242E-2"/>
  </r>
  <r>
    <n v="2025"/>
    <s v="18132243036    "/>
    <n v="-1.6607312068216509"/>
    <n v="0.19"/>
    <n v="8087"/>
    <s v="6"/>
    <s v="RES"/>
    <x v="0"/>
    <s v="11"/>
    <s v="259"/>
    <s v="CO"/>
    <s v="A"/>
    <s v="AV"/>
    <x v="6"/>
    <n v="68"/>
    <n v="50"/>
    <n v="1956"/>
    <n v="1974"/>
    <n v="1376"/>
    <n v="972"/>
    <m/>
    <n v="0"/>
    <m/>
    <m/>
    <n v="2348"/>
    <n v="2500"/>
    <n v="8"/>
    <m/>
    <m/>
    <m/>
    <m/>
    <m/>
    <m/>
    <m/>
    <n v="333911"/>
    <n v="233738"/>
    <n v="33722"/>
    <n v="374600"/>
    <n v="56600"/>
    <n v="318000"/>
    <n v="0"/>
    <n v="0"/>
    <n v="89850.625589999996"/>
    <n v="-52569.808201026557"/>
    <n v="21557.329055999999"/>
    <n v="160472.20319"/>
    <n v="-11152.280025"/>
    <n v="67986.329750752004"/>
    <n v="43532.403020892001"/>
    <n v="0"/>
    <n v="0"/>
    <n v="30336.176841600001"/>
    <n v="0"/>
    <n v="33700"/>
    <n v="312700"/>
    <n v="37300"/>
    <n v="383700"/>
    <n v="2.4292578750667378E-2"/>
    <n v="0.99970000000000003"/>
    <n v="1.0067999999999999"/>
    <n v="0.99729999999999996"/>
    <n v="0.98919999999999997"/>
    <n v="1.0199"/>
    <n v="0.94971499999999998"/>
    <n v="0.9620641305621106"/>
    <n v="312700"/>
    <n v="32000"/>
    <n v="344700"/>
    <n v="35400"/>
    <n v="380100"/>
    <n v="8.3962264150943391E-2"/>
    <n v="-0.37455830388692579"/>
    <n v="1.4682327816337427E-2"/>
  </r>
  <r>
    <n v="2025"/>
    <s v="18132342503    "/>
    <n v="-1.3093333199837622"/>
    <n v="0.27"/>
    <n v="11951"/>
    <s v="6"/>
    <s v="RES"/>
    <x v="0"/>
    <s v="11"/>
    <s v="259"/>
    <s v="RN"/>
    <s v="V"/>
    <s v="GD"/>
    <x v="6"/>
    <n v="68"/>
    <n v="50"/>
    <n v="1956"/>
    <n v="1974"/>
    <n v="1653"/>
    <m/>
    <m/>
    <n v="0"/>
    <m/>
    <m/>
    <n v="1653"/>
    <n v="2000"/>
    <n v="10"/>
    <n v="575"/>
    <m/>
    <m/>
    <m/>
    <m/>
    <m/>
    <m/>
    <n v="497714"/>
    <n v="363331"/>
    <n v="29572"/>
    <n v="543300"/>
    <n v="68900"/>
    <n v="474400"/>
    <n v="0"/>
    <n v="0"/>
    <n v="89850.625589999996"/>
    <n v="-41446.443120973789"/>
    <n v="163885.03753"/>
    <n v="197752.34721000001"/>
    <n v="-11152.280025"/>
    <n v="81672.531306681005"/>
    <n v="0"/>
    <n v="0"/>
    <n v="0"/>
    <n v="37920.221052000001"/>
    <n v="0"/>
    <n v="29600"/>
    <n v="470100"/>
    <n v="48400"/>
    <n v="548100"/>
    <n v="8.8348978464936508E-3"/>
    <n v="0.99970000000000003"/>
    <n v="1"/>
    <n v="0.99650000000000005"/>
    <n v="1.0093000000000001"/>
    <n v="1.0199"/>
    <n v="0.94971499999999998"/>
    <n v="0.97420076320890747"/>
    <n v="470100"/>
    <n v="28100"/>
    <n v="498200"/>
    <n v="46000"/>
    <n v="544200"/>
    <n v="5.0168634064080946E-2"/>
    <n v="-0.33236574746008707"/>
    <n v="1.6565433462175593E-3"/>
  </r>
  <r>
    <n v="2025"/>
    <s v="18132242464    "/>
    <n v="-1.6094379124341003"/>
    <n v="0.2"/>
    <n v="8528"/>
    <s v="6"/>
    <s v="RES"/>
    <x v="0"/>
    <s v="11"/>
    <s v="259"/>
    <s v="RN"/>
    <s v="A+"/>
    <s v="AV"/>
    <x v="6"/>
    <n v="68"/>
    <n v="50"/>
    <n v="1956"/>
    <n v="1974"/>
    <n v="1260"/>
    <m/>
    <n v="1260"/>
    <n v="235"/>
    <n v="1025"/>
    <m/>
    <n v="2285"/>
    <n v="2500"/>
    <n v="8"/>
    <m/>
    <m/>
    <m/>
    <m/>
    <m/>
    <m/>
    <m/>
    <n v="389008"/>
    <n v="272306"/>
    <n v="0"/>
    <n v="345400"/>
    <n v="58400"/>
    <n v="287000"/>
    <n v="0"/>
    <n v="0"/>
    <n v="89850.625589999996"/>
    <n v="-50946.13867709865"/>
    <n v="29814.093161000001"/>
    <n v="160472.20319"/>
    <n v="-11152.280025"/>
    <n v="62254.924045020001"/>
    <n v="0"/>
    <n v="0"/>
    <n v="36643.188011220001"/>
    <n v="30336.176841600001"/>
    <n v="0"/>
    <n v="0"/>
    <n v="308400"/>
    <n v="38900"/>
    <n v="347300"/>
    <n v="5.5008685581933985E-3"/>
    <n v="0.99970000000000003"/>
    <n v="1.0088999999999999"/>
    <n v="0.99729999999999996"/>
    <n v="0.98919999999999997"/>
    <n v="1.0199"/>
    <n v="0.94971499999999998"/>
    <n v="0.96407081974981479"/>
    <n v="308400"/>
    <n v="0"/>
    <n v="308400"/>
    <n v="36900"/>
    <n v="345300"/>
    <n v="7.456445993031359E-2"/>
    <n v="-0.36815068493150682"/>
    <n v="-2.8951939779965256E-4"/>
  </r>
  <r>
    <n v="2025"/>
    <s v="18132244023    "/>
    <n v="-1.7719568419318752"/>
    <n v="0.17"/>
    <n v="7488"/>
    <s v="6"/>
    <s v="RES"/>
    <x v="0"/>
    <s v="11"/>
    <s v="259"/>
    <s v="RN"/>
    <s v="A"/>
    <s v="AV"/>
    <x v="6"/>
    <n v="68"/>
    <n v="50"/>
    <n v="1956"/>
    <n v="1974"/>
    <n v="1138"/>
    <m/>
    <n v="1138"/>
    <n v="0"/>
    <n v="1138"/>
    <m/>
    <n v="2276"/>
    <n v="2500"/>
    <n v="9"/>
    <n v="504"/>
    <m/>
    <m/>
    <m/>
    <m/>
    <m/>
    <m/>
    <n v="309689"/>
    <n v="216782"/>
    <n v="0"/>
    <n v="326700"/>
    <n v="52700"/>
    <n v="274000"/>
    <n v="0"/>
    <n v="0"/>
    <n v="89850.625589999996"/>
    <n v="-56090.612940989391"/>
    <n v="21557.329055999999"/>
    <n v="160472.20319"/>
    <n v="-11152.280025"/>
    <n v="56227.066320026002"/>
    <n v="0"/>
    <n v="0"/>
    <n v="33095.196791085997"/>
    <n v="34128.198946800003"/>
    <n v="0"/>
    <n v="0"/>
    <n v="294300"/>
    <n v="33800"/>
    <n v="328100"/>
    <n v="4.2852770125497396E-3"/>
    <n v="0.99970000000000003"/>
    <n v="1.0067999999999999"/>
    <n v="0.99729999999999996"/>
    <n v="0.98919999999999997"/>
    <n v="1.0199"/>
    <n v="0.94971499999999998"/>
    <n v="0.9620641305621106"/>
    <n v="294300"/>
    <n v="0"/>
    <n v="294300"/>
    <n v="32100"/>
    <n v="326400"/>
    <n v="7.4087591240875911E-2"/>
    <n v="-0.39089184060721061"/>
    <n v="-9.1827364554637281E-4"/>
  </r>
  <r>
    <n v="2025"/>
    <s v="18132323512    "/>
    <n v="-1.3862943611198906"/>
    <n v="0.25"/>
    <m/>
    <s v="6"/>
    <s v="RES"/>
    <x v="0"/>
    <s v="11"/>
    <s v="259"/>
    <s v="RN"/>
    <s v="A"/>
    <s v="AV"/>
    <x v="6"/>
    <n v="68"/>
    <n v="50"/>
    <n v="1956"/>
    <n v="1974"/>
    <n v="1120"/>
    <m/>
    <n v="1120"/>
    <n v="0"/>
    <n v="1120"/>
    <m/>
    <n v="2240"/>
    <n v="2500"/>
    <n v="8"/>
    <n v="325"/>
    <m/>
    <m/>
    <m/>
    <m/>
    <m/>
    <m/>
    <n v="304591"/>
    <n v="213214"/>
    <n v="0"/>
    <n v="341800"/>
    <n v="66200"/>
    <n v="275600"/>
    <n v="0"/>
    <n v="0"/>
    <n v="89850.625589999996"/>
    <n v="-43882.615305165229"/>
    <n v="21557.329055999999"/>
    <n v="160472.20319"/>
    <n v="-11152.280025"/>
    <n v="55337.710262239998"/>
    <n v="0"/>
    <n v="0"/>
    <n v="32571.722676639998"/>
    <n v="30336.176841600001"/>
    <n v="0"/>
    <n v="0"/>
    <n v="289100"/>
    <n v="46000"/>
    <n v="335100"/>
    <n v="-1.960210649502633E-2"/>
    <n v="0.99970000000000003"/>
    <n v="1.0067999999999999"/>
    <n v="0.99729999999999996"/>
    <n v="0.98919999999999997"/>
    <n v="1.0199"/>
    <n v="0.94971499999999998"/>
    <n v="0.9620641305621106"/>
    <n v="289100"/>
    <n v="0"/>
    <n v="289100"/>
    <n v="43700"/>
    <n v="332800"/>
    <n v="4.8984034833091439E-2"/>
    <n v="-0.33987915407854985"/>
    <n v="-2.6331187829139849E-2"/>
  </r>
  <r>
    <n v="2025"/>
    <s v="18132324421    "/>
    <n v="-1.6607312068216509"/>
    <n v="0.19"/>
    <m/>
    <s v="6"/>
    <s v="RES"/>
    <x v="0"/>
    <s v="11"/>
    <s v="259"/>
    <s v="RN"/>
    <s v="A"/>
    <s v="GD"/>
    <x v="6"/>
    <n v="69"/>
    <n v="50"/>
    <n v="1955"/>
    <n v="1974"/>
    <n v="1471"/>
    <m/>
    <m/>
    <n v="0"/>
    <m/>
    <m/>
    <n v="1471"/>
    <n v="1500"/>
    <n v="8"/>
    <m/>
    <m/>
    <m/>
    <m/>
    <m/>
    <m/>
    <m/>
    <n v="236817"/>
    <n v="170508"/>
    <n v="9413"/>
    <n v="236900"/>
    <n v="56600"/>
    <n v="180300"/>
    <n v="0"/>
    <n v="0"/>
    <n v="89850.625589999996"/>
    <n v="-52569.808201026557"/>
    <n v="21557.329055999999"/>
    <n v="197752.34721000001"/>
    <n v="-11152.280025"/>
    <n v="72680.153389066996"/>
    <n v="0"/>
    <n v="0"/>
    <n v="0"/>
    <n v="30336.176841600001"/>
    <n v="0"/>
    <n v="9400"/>
    <n v="311200"/>
    <n v="37300"/>
    <n v="357900"/>
    <n v="0.5107640354579992"/>
    <n v="0.99970000000000003"/>
    <n v="1.0067999999999999"/>
    <n v="0.99650000000000005"/>
    <n v="1.0157"/>
    <n v="1.0199"/>
    <n v="0.94971499999999998"/>
    <n v="0.98704476969641131"/>
    <n v="311200"/>
    <n v="8900"/>
    <n v="320100"/>
    <n v="35400"/>
    <n v="355500"/>
    <n v="0.77537437603993342"/>
    <n v="-0.37455830388692579"/>
    <n v="0.50063317855635292"/>
  </r>
  <r>
    <n v="2025"/>
    <s v="18132322020    "/>
    <n v="-1.4696759700589417"/>
    <n v="0.23"/>
    <m/>
    <s v="6"/>
    <s v="RES"/>
    <x v="0"/>
    <s v="11"/>
    <s v="259"/>
    <s v="RN"/>
    <s v="G"/>
    <s v="GD"/>
    <x v="6"/>
    <n v="69"/>
    <n v="41"/>
    <n v="1955"/>
    <n v="1983"/>
    <n v="1776"/>
    <m/>
    <n v="1158"/>
    <n v="0"/>
    <n v="1158"/>
    <m/>
    <n v="2934"/>
    <n v="3000"/>
    <n v="14"/>
    <m/>
    <m/>
    <n v="230"/>
    <m/>
    <m/>
    <m/>
    <m/>
    <n v="342163"/>
    <n v="239514"/>
    <n v="0"/>
    <n v="346700"/>
    <n v="63300"/>
    <n v="283400"/>
    <n v="0"/>
    <n v="0"/>
    <n v="89850.625589999996"/>
    <n v="-46522.028095997222"/>
    <n v="44121.038090000002"/>
    <n v="197752.34721000001"/>
    <n v="-9144.8696204999997"/>
    <n v="87749.797701552001"/>
    <n v="0"/>
    <n v="0"/>
    <n v="33676.834696025995"/>
    <n v="53088.3094728"/>
    <n v="7657.9685134800011"/>
    <n v="0"/>
    <n v="414900"/>
    <n v="43300"/>
    <n v="458200"/>
    <n v="0.32160369195269684"/>
    <n v="0.99970000000000003"/>
    <n v="0.98050000000000004"/>
    <n v="0.99650000000000005"/>
    <n v="0.96179999999999999"/>
    <n v="1.0199"/>
    <n v="0.94971499999999998"/>
    <n v="0.91024973874989379"/>
    <n v="414900"/>
    <n v="0"/>
    <n v="414900"/>
    <n v="41100"/>
    <n v="456000"/>
    <n v="0.46400846859562456"/>
    <n v="-0.35071090047393366"/>
    <n v="0.3152581482549755"/>
  </r>
  <r>
    <n v="2025"/>
    <s v="18132214459    "/>
    <n v="-1.6094379124341003"/>
    <n v="0.2"/>
    <n v="8620"/>
    <s v="6"/>
    <s v="RES"/>
    <x v="0"/>
    <s v="11"/>
    <s v="259"/>
    <s v="TD"/>
    <s v="A"/>
    <s v="GD"/>
    <x v="6"/>
    <n v="69"/>
    <n v="50"/>
    <n v="1955"/>
    <n v="1974"/>
    <n v="1342"/>
    <m/>
    <n v="1268"/>
    <n v="1268"/>
    <n v="0"/>
    <m/>
    <n v="1342"/>
    <n v="1500"/>
    <n v="7"/>
    <n v="240"/>
    <m/>
    <n v="285"/>
    <m/>
    <m/>
    <m/>
    <m/>
    <n v="283389"/>
    <n v="204040"/>
    <n v="0"/>
    <n v="337000"/>
    <n v="58400"/>
    <n v="278600"/>
    <n v="0"/>
    <n v="0"/>
    <n v="89850.625589999996"/>
    <n v="-50946.13867709865"/>
    <n v="21557.329055999999"/>
    <n v="197752.34721000001"/>
    <n v="-11152.280025"/>
    <n v="66306.434974934004"/>
    <n v="0"/>
    <n v="0"/>
    <n v="36875.843173196001"/>
    <n v="26544.1547364"/>
    <n v="9489.2218536600012"/>
    <n v="0"/>
    <n v="347400"/>
    <n v="38900"/>
    <n v="386300"/>
    <n v="0.14629080118694363"/>
    <n v="0.99970000000000003"/>
    <n v="1.0067999999999999"/>
    <n v="0.99650000000000005"/>
    <n v="1.0157"/>
    <n v="1.0199"/>
    <n v="0.94971499999999998"/>
    <n v="0.98704476969641131"/>
    <n v="347400"/>
    <n v="0"/>
    <n v="347400"/>
    <n v="36900"/>
    <n v="384300"/>
    <n v="0.24694903086862885"/>
    <n v="-0.36815068493150682"/>
    <n v="0.14035608308605341"/>
  </r>
  <r>
    <n v="2025"/>
    <s v="18132324412    "/>
    <n v="-1.6607312068216509"/>
    <n v="0.19"/>
    <m/>
    <s v="6"/>
    <s v="RES"/>
    <x v="0"/>
    <s v="11"/>
    <s v="259"/>
    <s v="RN"/>
    <s v="A"/>
    <s v="GD"/>
    <x v="6"/>
    <n v="69"/>
    <n v="50"/>
    <n v="1955"/>
    <n v="1974"/>
    <n v="1164"/>
    <m/>
    <n v="624"/>
    <n v="624"/>
    <m/>
    <m/>
    <n v="1164"/>
    <n v="1500"/>
    <n v="8"/>
    <m/>
    <n v="540"/>
    <n v="516"/>
    <m/>
    <m/>
    <m/>
    <m/>
    <n v="264554"/>
    <n v="190479"/>
    <n v="0"/>
    <n v="322900"/>
    <n v="56600"/>
    <n v="266300"/>
    <n v="0"/>
    <n v="0"/>
    <n v="89850.625589999996"/>
    <n v="-52569.808201026557"/>
    <n v="21557.329055999999"/>
    <n v="197752.34721000001"/>
    <n v="-11152.280025"/>
    <n v="57511.691736828005"/>
    <n v="0"/>
    <n v="0"/>
    <n v="18147.102634127998"/>
    <n v="30336.176841600001"/>
    <n v="17180.485882416"/>
    <n v="0"/>
    <n v="331300"/>
    <n v="37300"/>
    <n v="368600"/>
    <n v="0.14152988541344069"/>
    <n v="0.99970000000000003"/>
    <n v="1.0067999999999999"/>
    <n v="0.99650000000000005"/>
    <n v="1.0157"/>
    <n v="1.0199"/>
    <n v="0.94971499999999998"/>
    <n v="0.98704476969641131"/>
    <n v="331300"/>
    <n v="0"/>
    <n v="331300"/>
    <n v="35400"/>
    <n v="366700"/>
    <n v="0.24408561772437101"/>
    <n v="-0.37455830388692579"/>
    <n v="0.13564571074636111"/>
  </r>
  <r>
    <n v="2025"/>
    <s v="18132241479    "/>
    <n v="-1.5141277326297755"/>
    <n v="0.22"/>
    <n v="9733"/>
    <s v="6"/>
    <s v="RES"/>
    <x v="0"/>
    <s v="11"/>
    <s v="259"/>
    <s v="RN"/>
    <s v="G"/>
    <s v="GD"/>
    <x v="6"/>
    <n v="69"/>
    <n v="50"/>
    <n v="1955"/>
    <n v="1974"/>
    <n v="1261"/>
    <m/>
    <n v="1282"/>
    <n v="1282"/>
    <m/>
    <m/>
    <n v="1261"/>
    <n v="1500"/>
    <n v="5"/>
    <n v="308"/>
    <m/>
    <m/>
    <m/>
    <m/>
    <m/>
    <m/>
    <n v="349908"/>
    <n v="251934"/>
    <n v="0"/>
    <n v="346500"/>
    <n v="61700"/>
    <n v="284800"/>
    <n v="0"/>
    <n v="0"/>
    <n v="89850.625589999996"/>
    <n v="-47929.131559187132"/>
    <n v="44121.038090000002"/>
    <n v="197752.34721000001"/>
    <n v="-11152.280025"/>
    <n v="62304.332714896998"/>
    <n v="0"/>
    <n v="0"/>
    <n v="37282.989706654"/>
    <n v="18960.110526"/>
    <n v="0"/>
    <n v="0"/>
    <n v="349300"/>
    <n v="41900"/>
    <n v="391200"/>
    <n v="0.12900432900432901"/>
    <n v="0.99970000000000003"/>
    <n v="0.98050000000000004"/>
    <n v="0.99650000000000005"/>
    <n v="1.0157"/>
    <n v="1.0199"/>
    <n v="0.94971499999999998"/>
    <n v="0.96126082309031724"/>
    <n v="349300"/>
    <n v="0"/>
    <n v="349300"/>
    <n v="39800"/>
    <n v="389100"/>
    <n v="0.2264747191011236"/>
    <n v="-0.35494327390599678"/>
    <n v="0.12294372294372294"/>
  </r>
  <r>
    <n v="2025"/>
    <s v="18132214056    "/>
    <n v="-1.7147984280919266"/>
    <n v="0.18"/>
    <n v="7665"/>
    <s v="6"/>
    <s v="RES"/>
    <x v="0"/>
    <s v="11"/>
    <s v="259"/>
    <s v="RN"/>
    <s v="A+"/>
    <s v="GD"/>
    <x v="6"/>
    <n v="69"/>
    <n v="50"/>
    <n v="1955"/>
    <n v="1974"/>
    <n v="1422"/>
    <m/>
    <n v="1422"/>
    <n v="0"/>
    <n v="1422"/>
    <m/>
    <n v="2844"/>
    <n v="3000"/>
    <n v="8"/>
    <m/>
    <m/>
    <n v="913"/>
    <m/>
    <m/>
    <m/>
    <m/>
    <n v="432597"/>
    <n v="311470"/>
    <n v="0"/>
    <n v="378900"/>
    <n v="54700"/>
    <n v="324200"/>
    <n v="0"/>
    <n v="0"/>
    <n v="89850.625589999996"/>
    <n v="-54281.285314520763"/>
    <n v="29814.093161000001"/>
    <n v="197752.34721000001"/>
    <n v="-11152.280025"/>
    <n v="70259.128565093997"/>
    <n v="0"/>
    <n v="0"/>
    <n v="41354.455041233996"/>
    <n v="30336.176841600001"/>
    <n v="30398.805446988004"/>
    <n v="0"/>
    <n v="388800"/>
    <n v="35600"/>
    <n v="424400"/>
    <n v="0.1200844550013196"/>
    <n v="0.99970000000000003"/>
    <n v="1.0088999999999999"/>
    <n v="0.99650000000000005"/>
    <n v="0.96179999999999999"/>
    <n v="1.0199"/>
    <n v="0.94971499999999998"/>
    <n v="0.93661495300843212"/>
    <n v="388800"/>
    <n v="0"/>
    <n v="388800"/>
    <n v="33800"/>
    <n v="422600"/>
    <n v="0.19925971622455274"/>
    <n v="-0.38208409506398539"/>
    <n v="0.11533386117709159"/>
  </r>
  <r>
    <n v="2025"/>
    <s v="18132241048    "/>
    <n v="-1.9661128563728327"/>
    <n v="0.14000000000000001"/>
    <n v="5889"/>
    <s v="6"/>
    <s v="RES"/>
    <x v="0"/>
    <s v="11"/>
    <s v="259"/>
    <s v="TD"/>
    <s v="A"/>
    <s v="GD"/>
    <x v="6"/>
    <n v="69"/>
    <n v="50"/>
    <n v="1955"/>
    <n v="1974"/>
    <n v="928"/>
    <m/>
    <m/>
    <n v="0"/>
    <m/>
    <m/>
    <n v="928"/>
    <n v="1000"/>
    <n v="5"/>
    <m/>
    <m/>
    <m/>
    <m/>
    <m/>
    <m/>
    <m/>
    <n v="165539"/>
    <n v="119188"/>
    <n v="7779"/>
    <n v="276700"/>
    <n v="46000"/>
    <n v="230700"/>
    <n v="0"/>
    <n v="0"/>
    <n v="89850.625589999996"/>
    <n v="-62236.546971921947"/>
    <n v="21557.329055999999"/>
    <n v="197752.34721000001"/>
    <n v="-11152.280025"/>
    <n v="45851.245645856005"/>
    <n v="0"/>
    <n v="0"/>
    <n v="0"/>
    <n v="18960.110526"/>
    <n v="0"/>
    <n v="7800"/>
    <n v="273000"/>
    <n v="27600"/>
    <n v="308400"/>
    <n v="0.11456451029996385"/>
    <n v="0.99970000000000003"/>
    <n v="1.0067999999999999"/>
    <n v="0.99650000000000005"/>
    <n v="1.0148999999999999"/>
    <n v="1.0199"/>
    <n v="0.94971499999999998"/>
    <n v="0.98626733953420054"/>
    <n v="273000"/>
    <n v="7400"/>
    <n v="280400"/>
    <n v="26200"/>
    <n v="306600"/>
    <n v="0.21543129605548331"/>
    <n v="-0.43043478260869567"/>
    <n v="0.10805926996747379"/>
  </r>
  <r>
    <n v="2025"/>
    <s v="18132342472    "/>
    <n v="-1.6607312068216509"/>
    <n v="0.19"/>
    <n v="8417"/>
    <s v="6"/>
    <s v="RES"/>
    <x v="0"/>
    <s v="11"/>
    <s v="259"/>
    <s v="TD"/>
    <s v="G"/>
    <s v="GD"/>
    <x v="6"/>
    <n v="69"/>
    <n v="50"/>
    <n v="1955"/>
    <n v="1974"/>
    <n v="1548"/>
    <m/>
    <n v="1548"/>
    <n v="1084"/>
    <n v="464"/>
    <m/>
    <n v="2012"/>
    <n v="2500"/>
    <n v="8"/>
    <m/>
    <m/>
    <n v="112"/>
    <m/>
    <m/>
    <m/>
    <m/>
    <n v="458513"/>
    <n v="330129"/>
    <n v="11490"/>
    <n v="392200"/>
    <n v="56600"/>
    <n v="335600"/>
    <n v="0"/>
    <n v="0"/>
    <n v="89850.625589999996"/>
    <n v="-52569.808201026557"/>
    <n v="44121.038090000002"/>
    <n v="197752.34721000001"/>
    <n v="-11152.280025"/>
    <n v="76484.620969595999"/>
    <n v="0"/>
    <n v="0"/>
    <n v="45018.773842356"/>
    <n v="30336.176841600001"/>
    <n v="3729.0977109120004"/>
    <n v="11500"/>
    <n v="386300"/>
    <n v="37300"/>
    <n v="435100"/>
    <n v="0.10938296787353391"/>
    <n v="0.99970000000000003"/>
    <n v="0.98050000000000004"/>
    <n v="0.99650000000000005"/>
    <n v="0.98919999999999997"/>
    <n v="1.0199"/>
    <n v="0.94971499999999998"/>
    <n v="0.936181161958198"/>
    <n v="386300"/>
    <n v="10900"/>
    <n v="397200"/>
    <n v="35400"/>
    <n v="432600"/>
    <n v="0.1835518474374255"/>
    <n v="-0.37455830388692579"/>
    <n v="0.10300866904640489"/>
  </r>
  <r>
    <n v="2025"/>
    <s v="18132324008    "/>
    <n v="-1.7719568419318752"/>
    <n v="0.17"/>
    <m/>
    <s v="6"/>
    <s v="RES"/>
    <x v="0"/>
    <s v="11"/>
    <s v="259"/>
    <s v="RN"/>
    <s v="A"/>
    <s v="GD"/>
    <x v="6"/>
    <n v="69"/>
    <n v="50"/>
    <n v="1955"/>
    <n v="1974"/>
    <n v="1167"/>
    <m/>
    <n v="782"/>
    <n v="782"/>
    <m/>
    <m/>
    <n v="1167"/>
    <n v="1500"/>
    <n v="5"/>
    <n v="288"/>
    <m/>
    <m/>
    <m/>
    <m/>
    <m/>
    <m/>
    <n v="243078"/>
    <n v="175016"/>
    <n v="0"/>
    <n v="308700"/>
    <n v="52700"/>
    <n v="256000"/>
    <n v="0"/>
    <n v="0"/>
    <n v="89850.625589999996"/>
    <n v="-56090.612940989391"/>
    <n v="21557.329055999999"/>
    <n v="197752.34721000001"/>
    <n v="-11152.280025"/>
    <n v="57659.917746459003"/>
    <n v="0"/>
    <n v="0"/>
    <n v="22742.042083154"/>
    <n v="18960.110526"/>
    <n v="0"/>
    <n v="0"/>
    <n v="307500"/>
    <n v="33800"/>
    <n v="341300"/>
    <n v="0.10560414642047296"/>
    <n v="0.99970000000000003"/>
    <n v="1.0067999999999999"/>
    <n v="0.99650000000000005"/>
    <n v="1.0157"/>
    <n v="1.0199"/>
    <n v="0.94971499999999998"/>
    <n v="0.98704476969641131"/>
    <n v="307500"/>
    <n v="0"/>
    <n v="307500"/>
    <n v="32100"/>
    <n v="339600"/>
    <n v="0.201171875"/>
    <n v="-0.39089184060721061"/>
    <n v="0.1000971817298348"/>
  </r>
  <r>
    <n v="2025"/>
    <s v="18132321414    "/>
    <n v="-0.59783700075562041"/>
    <n v="0.55000000000000004"/>
    <n v="23951"/>
    <s v="6"/>
    <s v="RES"/>
    <x v="0"/>
    <s v="11"/>
    <s v="259"/>
    <s v="RN"/>
    <s v="G"/>
    <s v="GD"/>
    <x v="6"/>
    <n v="69"/>
    <n v="50"/>
    <n v="1955"/>
    <n v="1974"/>
    <n v="1536"/>
    <m/>
    <n v="1536"/>
    <n v="1536"/>
    <m/>
    <m/>
    <n v="1536"/>
    <n v="2000"/>
    <n v="8"/>
    <m/>
    <m/>
    <n v="120"/>
    <m/>
    <m/>
    <m/>
    <m/>
    <n v="423557"/>
    <n v="304961"/>
    <n v="13364"/>
    <n v="426600"/>
    <n v="93700"/>
    <n v="332900"/>
    <n v="0"/>
    <n v="0"/>
    <n v="89850.625589999996"/>
    <n v="-18924.300534671092"/>
    <n v="44121.038090000002"/>
    <n v="197752.34721000001"/>
    <n v="-11152.280025"/>
    <n v="75891.716931072006"/>
    <n v="0"/>
    <n v="0"/>
    <n v="44669.791099391994"/>
    <n v="30336.176841600001"/>
    <n v="3995.4618331200004"/>
    <n v="13400"/>
    <n v="385600"/>
    <n v="70900"/>
    <n v="469900"/>
    <n v="0.10150023441162681"/>
    <n v="0.99970000000000003"/>
    <n v="0.98050000000000004"/>
    <n v="0.99650000000000005"/>
    <n v="1.0093000000000001"/>
    <n v="1.0199"/>
    <n v="0.94971499999999998"/>
    <n v="0.95520384832633376"/>
    <n v="385600"/>
    <n v="12700"/>
    <n v="398300"/>
    <n v="67400"/>
    <n v="465700"/>
    <n v="0.19645539200961248"/>
    <n v="-0.28068303094983993"/>
    <n v="9.1654946085325831E-2"/>
  </r>
  <r>
    <n v="2025"/>
    <s v="18132213449    "/>
    <n v="-1.8971199848858813"/>
    <n v="0.15"/>
    <n v="6636"/>
    <s v="6"/>
    <s v="RES"/>
    <x v="0"/>
    <s v="11"/>
    <s v="259"/>
    <s v="RN"/>
    <s v="A"/>
    <s v="GD"/>
    <x v="6"/>
    <n v="69"/>
    <n v="50"/>
    <n v="1955"/>
    <n v="1974"/>
    <n v="1200"/>
    <m/>
    <m/>
    <n v="0"/>
    <m/>
    <m/>
    <n v="1200"/>
    <n v="1500"/>
    <n v="5"/>
    <m/>
    <m/>
    <m/>
    <m/>
    <m/>
    <m/>
    <m/>
    <n v="192581"/>
    <n v="138658"/>
    <n v="6050"/>
    <n v="293700"/>
    <n v="48400"/>
    <n v="245300"/>
    <n v="0"/>
    <n v="0"/>
    <n v="89850.625589999996"/>
    <n v="-60052.604136134301"/>
    <n v="21557.329055999999"/>
    <n v="197752.34721000001"/>
    <n v="-11152.280025"/>
    <n v="59290.403852399999"/>
    <n v="0"/>
    <n v="0"/>
    <n v="0"/>
    <n v="18960.110526"/>
    <n v="0"/>
    <n v="6100"/>
    <n v="286400"/>
    <n v="29800"/>
    <n v="322300"/>
    <n v="9.7378277153558054E-2"/>
    <n v="0.99970000000000003"/>
    <n v="1.0067999999999999"/>
    <n v="0.99650000000000005"/>
    <n v="1.0157"/>
    <n v="1.0199"/>
    <n v="0.94971499999999998"/>
    <n v="0.98704476969641131"/>
    <n v="286400"/>
    <n v="5700"/>
    <n v="292100"/>
    <n v="28300"/>
    <n v="320400"/>
    <n v="0.19078679168365267"/>
    <n v="-0.41528925619834711"/>
    <n v="9.0909090909090912E-2"/>
  </r>
  <r>
    <n v="2025"/>
    <s v="18132213451    "/>
    <n v="-1.8971199848858813"/>
    <n v="0.15"/>
    <n v="6532"/>
    <s v="6"/>
    <s v="RES"/>
    <x v="0"/>
    <s v="11"/>
    <s v="259"/>
    <s v="RN"/>
    <s v="A"/>
    <s v="GD"/>
    <x v="6"/>
    <n v="69"/>
    <n v="50"/>
    <n v="1955"/>
    <n v="1974"/>
    <n v="1064"/>
    <m/>
    <m/>
    <n v="0"/>
    <m/>
    <m/>
    <n v="1064"/>
    <n v="1500"/>
    <n v="5"/>
    <m/>
    <m/>
    <m/>
    <m/>
    <m/>
    <m/>
    <m/>
    <n v="180312"/>
    <n v="129825"/>
    <n v="5261"/>
    <n v="287500"/>
    <n v="48400"/>
    <n v="239100"/>
    <n v="0"/>
    <n v="0"/>
    <n v="89850.625589999996"/>
    <n v="-60052.604136134301"/>
    <n v="21557.329055999999"/>
    <n v="197752.34721000001"/>
    <n v="-11152.280025"/>
    <n v="52570.824749127998"/>
    <n v="0"/>
    <n v="0"/>
    <n v="0"/>
    <n v="18960.110526"/>
    <n v="0"/>
    <n v="5300"/>
    <n v="279700"/>
    <n v="29800"/>
    <n v="314800"/>
    <n v="9.4956521739130439E-2"/>
    <n v="0.99970000000000003"/>
    <n v="1.0067999999999999"/>
    <n v="0.99650000000000005"/>
    <n v="1.0157"/>
    <n v="1.0199"/>
    <n v="0.94971499999999998"/>
    <n v="0.98704476969641131"/>
    <n v="279700"/>
    <n v="5000"/>
    <n v="284700"/>
    <n v="28300"/>
    <n v="313000"/>
    <n v="0.19071518193224593"/>
    <n v="-0.41528925619834711"/>
    <n v="8.8695652173913037E-2"/>
  </r>
  <r>
    <n v="2025"/>
    <s v="18132244437    "/>
    <n v="-1.1394342831883648"/>
    <n v="0.32"/>
    <n v="14000"/>
    <s v="6"/>
    <s v="RES"/>
    <x v="0"/>
    <s v="11"/>
    <s v="259"/>
    <s v="CP"/>
    <s v="G"/>
    <s v="GD"/>
    <x v="6"/>
    <n v="69"/>
    <n v="50"/>
    <n v="1955"/>
    <n v="1974"/>
    <n v="1985"/>
    <m/>
    <n v="1055"/>
    <n v="1055"/>
    <m/>
    <m/>
    <n v="1985"/>
    <n v="2000"/>
    <n v="7"/>
    <n v="500"/>
    <m/>
    <m/>
    <m/>
    <m/>
    <m/>
    <m/>
    <n v="460058"/>
    <n v="331242"/>
    <n v="1012"/>
    <n v="402600"/>
    <n v="74800"/>
    <n v="327800"/>
    <n v="0"/>
    <n v="0"/>
    <n v="89850.625589999996"/>
    <n v="-36068.354396449467"/>
    <n v="44121.038090000002"/>
    <n v="197752.34721000001"/>
    <n v="-11152.280025"/>
    <n v="98076.209705845002"/>
    <n v="0"/>
    <n v="0"/>
    <n v="30681.399485585"/>
    <n v="26544.1547364"/>
    <n v="0"/>
    <n v="1000"/>
    <n v="386000"/>
    <n v="53800"/>
    <n v="440800"/>
    <n v="9.4883258817685043E-2"/>
    <n v="0.99970000000000003"/>
    <n v="0.98050000000000004"/>
    <n v="0.99650000000000005"/>
    <n v="1.0093000000000001"/>
    <n v="1.0199"/>
    <n v="0.94971499999999998"/>
    <n v="0.95520384832633376"/>
    <n v="386000"/>
    <n v="1000"/>
    <n v="387000"/>
    <n v="51100"/>
    <n v="438100"/>
    <n v="0.18059792556436852"/>
    <n v="-0.31684491978609625"/>
    <n v="8.8176850471932439E-2"/>
  </r>
  <r>
    <n v="2025"/>
    <s v="18132241043    "/>
    <n v="-1.8971199848858813"/>
    <n v="0.15"/>
    <n v="6350"/>
    <s v="6"/>
    <s v="RES"/>
    <x v="0"/>
    <s v="11"/>
    <s v="259"/>
    <s v="RN"/>
    <s v="A+"/>
    <s v="GD"/>
    <x v="6"/>
    <n v="69"/>
    <n v="50"/>
    <n v="1955"/>
    <n v="1974"/>
    <n v="1048"/>
    <m/>
    <n v="550"/>
    <n v="275"/>
    <n v="275"/>
    <m/>
    <n v="1323"/>
    <n v="1500"/>
    <n v="5"/>
    <n v="299"/>
    <m/>
    <m/>
    <m/>
    <m/>
    <m/>
    <m/>
    <n v="287097"/>
    <n v="206710"/>
    <n v="0"/>
    <n v="305000"/>
    <n v="48400"/>
    <n v="256600"/>
    <n v="0"/>
    <n v="0"/>
    <n v="89850.625589999996"/>
    <n v="-60052.604136134301"/>
    <n v="29814.093161000001"/>
    <n v="197752.34721000001"/>
    <n v="-11152.280025"/>
    <n v="51780.286031096002"/>
    <n v="0"/>
    <n v="0"/>
    <n v="15995.04238585"/>
    <n v="18960.110526"/>
    <n v="0"/>
    <n v="0"/>
    <n v="303100"/>
    <n v="29800"/>
    <n v="332900"/>
    <n v="9.1475409836065572E-2"/>
    <n v="0.99970000000000003"/>
    <n v="1.0088999999999999"/>
    <n v="0.99650000000000005"/>
    <n v="1.0157"/>
    <n v="1.0199"/>
    <n v="0.94971499999999998"/>
    <n v="0.98910356391210685"/>
    <n v="303100"/>
    <n v="0"/>
    <n v="303100"/>
    <n v="28300"/>
    <n v="331400"/>
    <n v="0.18121590023382697"/>
    <n v="-0.41528925619834711"/>
    <n v="8.6557377049180331E-2"/>
  </r>
  <r>
    <n v="2025"/>
    <s v="18132324403    "/>
    <n v="-1.6607312068216509"/>
    <n v="0.19"/>
    <m/>
    <s v="6"/>
    <s v="RES"/>
    <x v="0"/>
    <s v="11"/>
    <s v="259"/>
    <s v="RN"/>
    <s v="G"/>
    <s v="GD"/>
    <x v="6"/>
    <n v="69"/>
    <n v="50"/>
    <n v="1955"/>
    <n v="1974"/>
    <n v="1141"/>
    <m/>
    <m/>
    <n v="0"/>
    <m/>
    <m/>
    <n v="1141"/>
    <n v="1500"/>
    <n v="8"/>
    <n v="252"/>
    <m/>
    <m/>
    <m/>
    <m/>
    <m/>
    <m/>
    <n v="269158"/>
    <n v="193794"/>
    <n v="0"/>
    <n v="324800"/>
    <n v="56600"/>
    <n v="268200"/>
    <n v="0"/>
    <n v="0"/>
    <n v="89850.625589999996"/>
    <n v="-52569.808201026557"/>
    <n v="44121.038090000002"/>
    <n v="197752.34721000001"/>
    <n v="-11152.280025"/>
    <n v="56375.292329657001"/>
    <n v="0"/>
    <n v="0"/>
    <n v="0"/>
    <n v="30336.176841600001"/>
    <n v="0"/>
    <n v="0"/>
    <n v="317400"/>
    <n v="37300"/>
    <n v="354700"/>
    <n v="9.2056650246305424E-2"/>
    <n v="0.99970000000000003"/>
    <n v="0.98050000000000004"/>
    <n v="0.99650000000000005"/>
    <n v="1.0157"/>
    <n v="1.0199"/>
    <n v="0.94971499999999998"/>
    <n v="0.96126082309031724"/>
    <n v="317400"/>
    <n v="0"/>
    <n v="317400"/>
    <n v="35400"/>
    <n v="352800"/>
    <n v="0.18344519015659955"/>
    <n v="-0.37455830388692579"/>
    <n v="8.6206896551724144E-2"/>
  </r>
  <r>
    <n v="2025"/>
    <s v="18132313504    "/>
    <n v="-1.8325814637483102"/>
    <n v="0.16"/>
    <n v="6999"/>
    <s v="6"/>
    <s v="RES"/>
    <x v="0"/>
    <s v="11"/>
    <s v="259"/>
    <s v="BG"/>
    <s v="A"/>
    <s v="GD"/>
    <x v="6"/>
    <n v="69"/>
    <n v="50"/>
    <n v="1955"/>
    <n v="1974"/>
    <n v="1322"/>
    <m/>
    <n v="644"/>
    <n v="0"/>
    <n v="644"/>
    <m/>
    <n v="1966"/>
    <n v="2000"/>
    <n v="5"/>
    <m/>
    <m/>
    <n v="162"/>
    <m/>
    <m/>
    <m/>
    <m/>
    <n v="278342"/>
    <n v="200406"/>
    <n v="7229"/>
    <n v="326200"/>
    <n v="50600"/>
    <n v="275600"/>
    <n v="0"/>
    <n v="0"/>
    <n v="89850.625589999996"/>
    <n v="-58009.662049032086"/>
    <n v="21557.329055999999"/>
    <n v="197752.34721000001"/>
    <n v="-11152.280025"/>
    <n v="65318.261577394005"/>
    <n v="0"/>
    <n v="0"/>
    <n v="18728.740539068"/>
    <n v="18960.110526"/>
    <n v="5393.8734747120006"/>
    <n v="7200"/>
    <n v="316600"/>
    <n v="31800"/>
    <n v="355600"/>
    <n v="9.012875536480687E-2"/>
    <n v="0.99970000000000003"/>
    <n v="1.0067999999999999"/>
    <n v="0.99650000000000005"/>
    <n v="1.0093000000000001"/>
    <n v="1.0199"/>
    <n v="0.94971499999999998"/>
    <n v="0.98082532839872782"/>
    <n v="316600"/>
    <n v="6900"/>
    <n v="323500"/>
    <n v="30200"/>
    <n v="353700"/>
    <n v="0.17380261248185777"/>
    <n v="-0.40316205533596838"/>
    <n v="8.430410790925813E-2"/>
  </r>
  <r>
    <n v="2025"/>
    <s v="18132323472    "/>
    <n v="-1.3862943611198906"/>
    <n v="0.25"/>
    <n v="10685"/>
    <s v="6"/>
    <s v="RES"/>
    <x v="0"/>
    <s v="11"/>
    <s v="259"/>
    <s v="RN"/>
    <s v="A"/>
    <s v="AV"/>
    <x v="6"/>
    <n v="69"/>
    <n v="50"/>
    <n v="1955"/>
    <n v="1974"/>
    <n v="1638"/>
    <m/>
    <m/>
    <n v="0"/>
    <m/>
    <m/>
    <n v="1638"/>
    <n v="2000"/>
    <n v="6"/>
    <n v="855"/>
    <m/>
    <n v="570"/>
    <m/>
    <m/>
    <m/>
    <m/>
    <n v="299710"/>
    <n v="209797"/>
    <n v="0"/>
    <n v="311200"/>
    <n v="66200"/>
    <n v="245000"/>
    <n v="0"/>
    <n v="0"/>
    <n v="89850.625589999996"/>
    <n v="-43882.615305165229"/>
    <n v="21557.329055999999"/>
    <n v="160472.20319"/>
    <n v="-11152.280025"/>
    <n v="80931.401258526006"/>
    <n v="0"/>
    <n v="0"/>
    <n v="0"/>
    <n v="22752.132631200002"/>
    <n v="18978.443707320002"/>
    <n v="0"/>
    <n v="293500"/>
    <n v="46000"/>
    <n v="339500"/>
    <n v="9.093830334190231E-2"/>
    <n v="0.99970000000000003"/>
    <n v="1.0067999999999999"/>
    <n v="0.99729999999999996"/>
    <n v="1.0093000000000001"/>
    <n v="1.0199"/>
    <n v="0.94971499999999998"/>
    <n v="0.98161274461821502"/>
    <n v="293500"/>
    <n v="0"/>
    <n v="293500"/>
    <n v="43700"/>
    <n v="337200"/>
    <n v="0.19795918367346937"/>
    <n v="-0.33987915407854985"/>
    <n v="8.3547557840616973E-2"/>
  </r>
  <r>
    <n v="2025"/>
    <s v="18132214457    "/>
    <n v="-1.6094379124341003"/>
    <n v="0.2"/>
    <n v="8754"/>
    <s v="6"/>
    <s v="RES"/>
    <x v="0"/>
    <s v="11"/>
    <s v="259"/>
    <s v="TD"/>
    <s v="A+"/>
    <s v="AV"/>
    <x v="6"/>
    <n v="69"/>
    <n v="50"/>
    <n v="1955"/>
    <n v="1974"/>
    <n v="1185"/>
    <m/>
    <n v="660"/>
    <n v="0"/>
    <n v="660"/>
    <m/>
    <n v="1845"/>
    <n v="2000"/>
    <n v="9"/>
    <m/>
    <n v="525"/>
    <n v="666"/>
    <m/>
    <m/>
    <m/>
    <m/>
    <n v="367055"/>
    <n v="256939"/>
    <n v="0"/>
    <n v="323300"/>
    <n v="58400"/>
    <n v="264900"/>
    <n v="0"/>
    <n v="0"/>
    <n v="89850.625589999996"/>
    <n v="-50946.13867709865"/>
    <n v="29814.093161000001"/>
    <n v="160472.20319"/>
    <n v="-11152.280025"/>
    <n v="58549.273804245"/>
    <n v="0"/>
    <n v="0"/>
    <n v="19194.050863019998"/>
    <n v="34128.198946800003"/>
    <n v="22174.813173816001"/>
    <n v="0"/>
    <n v="313200"/>
    <n v="38900"/>
    <n v="352100"/>
    <n v="8.9081348592638415E-2"/>
    <n v="0.99970000000000003"/>
    <n v="1.0088999999999999"/>
    <n v="0.99729999999999996"/>
    <n v="1.0093000000000001"/>
    <n v="1.0199"/>
    <n v="0.94971499999999998"/>
    <n v="0.98366020862665582"/>
    <n v="313200"/>
    <n v="0"/>
    <n v="313200"/>
    <n v="36900"/>
    <n v="350100"/>
    <n v="0.18233295583238959"/>
    <n v="-0.36815068493150682"/>
    <n v="8.2895143829260748E-2"/>
  </r>
  <r>
    <n v="2025"/>
    <s v="18132322415    "/>
    <n v="-1.4271163556401458"/>
    <n v="0.24"/>
    <m/>
    <s v="6"/>
    <s v="RES"/>
    <x v="0"/>
    <s v="11"/>
    <s v="259"/>
    <s v="TD"/>
    <s v="A"/>
    <s v="AV"/>
    <x v="6"/>
    <n v="69"/>
    <n v="50"/>
    <n v="1955"/>
    <n v="1974"/>
    <n v="1657"/>
    <m/>
    <m/>
    <n v="0"/>
    <m/>
    <m/>
    <n v="1657"/>
    <n v="2000"/>
    <n v="8"/>
    <m/>
    <m/>
    <n v="540"/>
    <m/>
    <m/>
    <m/>
    <m/>
    <n v="283529"/>
    <n v="198470"/>
    <n v="21225"/>
    <n v="336400"/>
    <n v="64800"/>
    <n v="271600"/>
    <n v="0"/>
    <n v="0"/>
    <n v="89850.625589999996"/>
    <n v="-45174.819855485119"/>
    <n v="21557.329055999999"/>
    <n v="160472.20319"/>
    <n v="-11152.280025"/>
    <n v="81870.165986189008"/>
    <n v="0"/>
    <n v="0"/>
    <n v="0"/>
    <n v="30336.176841600001"/>
    <n v="17979.578249040002"/>
    <n v="21200"/>
    <n v="301100"/>
    <n v="44700"/>
    <n v="367000"/>
    <n v="9.0963139120095127E-2"/>
    <n v="0.99970000000000003"/>
    <n v="1.0067999999999999"/>
    <n v="0.99729999999999996"/>
    <n v="1.0093000000000001"/>
    <n v="1.0199"/>
    <n v="0.94971499999999998"/>
    <n v="0.98161274461821502"/>
    <n v="301100"/>
    <n v="20200"/>
    <n v="321300"/>
    <n v="42400"/>
    <n v="363700"/>
    <n v="0.18298969072164947"/>
    <n v="-0.34567901234567899"/>
    <n v="8.1153388822829964E-2"/>
  </r>
  <r>
    <n v="2025"/>
    <s v="18132214465    "/>
    <n v="-1.5141277326297755"/>
    <n v="0.22"/>
    <n v="9496"/>
    <s v="6"/>
    <s v="RES"/>
    <x v="0"/>
    <s v="11"/>
    <s v="259"/>
    <s v="RN"/>
    <s v="A+"/>
    <s v="AV"/>
    <x v="6"/>
    <n v="69"/>
    <n v="50"/>
    <n v="1955"/>
    <n v="1974"/>
    <n v="1225"/>
    <m/>
    <n v="985"/>
    <n v="985"/>
    <m/>
    <m/>
    <n v="1225"/>
    <n v="1500"/>
    <n v="5"/>
    <m/>
    <n v="240"/>
    <m/>
    <m/>
    <m/>
    <m/>
    <m/>
    <n v="293683"/>
    <n v="205578"/>
    <n v="0"/>
    <n v="303900"/>
    <n v="61700"/>
    <n v="242200"/>
    <n v="0"/>
    <n v="0"/>
    <n v="89850.625589999996"/>
    <n v="-47929.131559187132"/>
    <n v="29814.093161000001"/>
    <n v="160472.20319"/>
    <n v="-11152.280025"/>
    <n v="60525.620599325004"/>
    <n v="0"/>
    <n v="0"/>
    <n v="28645.666818294998"/>
    <n v="18960.110526"/>
    <n v="0"/>
    <n v="0"/>
    <n v="287300"/>
    <n v="41900"/>
    <n v="329200"/>
    <n v="8.3251069430733793E-2"/>
    <n v="0.99970000000000003"/>
    <n v="1.0088999999999999"/>
    <n v="0.99729999999999996"/>
    <n v="1.0157"/>
    <n v="1.0199"/>
    <n v="0.94971499999999998"/>
    <n v="0.98989762598047604"/>
    <n v="287300"/>
    <n v="0"/>
    <n v="287300"/>
    <n v="39800"/>
    <n v="327100"/>
    <n v="0.18620974401321222"/>
    <n v="-0.35494327390599678"/>
    <n v="7.6340901612372489E-2"/>
  </r>
  <r>
    <n v="2025"/>
    <s v="18132213452    "/>
    <n v="-1.8971199848858813"/>
    <n v="0.15"/>
    <n v="6682"/>
    <s v="6"/>
    <s v="RES"/>
    <x v="0"/>
    <s v="11"/>
    <s v="259"/>
    <s v="RN"/>
    <s v="G"/>
    <s v="GD"/>
    <x v="6"/>
    <n v="69"/>
    <n v="50"/>
    <n v="1955"/>
    <n v="1974"/>
    <n v="1336"/>
    <m/>
    <m/>
    <n v="0"/>
    <m/>
    <m/>
    <n v="1336"/>
    <n v="1500"/>
    <n v="8"/>
    <m/>
    <m/>
    <m/>
    <m/>
    <m/>
    <m/>
    <m/>
    <n v="328656"/>
    <n v="236632"/>
    <n v="0"/>
    <n v="330200"/>
    <n v="48400"/>
    <n v="281800"/>
    <n v="0"/>
    <n v="0"/>
    <n v="89850.625589999996"/>
    <n v="-60052.604136134301"/>
    <n v="44121.038090000002"/>
    <n v="197752.34721000001"/>
    <n v="-11152.280025"/>
    <n v="66009.982955672007"/>
    <n v="0"/>
    <n v="0"/>
    <n v="0"/>
    <n v="30336.176841600001"/>
    <n v="0"/>
    <n v="0"/>
    <n v="327100"/>
    <n v="29800"/>
    <n v="356900"/>
    <n v="8.0860084797092668E-2"/>
    <n v="0.99970000000000003"/>
    <n v="0.98050000000000004"/>
    <n v="0.99650000000000005"/>
    <n v="1.0157"/>
    <n v="1.0199"/>
    <n v="0.94971499999999998"/>
    <n v="0.96126082309031724"/>
    <n v="327100"/>
    <n v="0"/>
    <n v="327100"/>
    <n v="28300"/>
    <n v="355400"/>
    <n v="0.16075230660042583"/>
    <n v="-0.41528925619834711"/>
    <n v="7.6317383403997574E-2"/>
  </r>
  <r>
    <n v="2025"/>
    <s v="18132214483    "/>
    <n v="-1.6607312068216509"/>
    <n v="0.19"/>
    <n v="8454"/>
    <s v="6"/>
    <s v="RES"/>
    <x v="0"/>
    <s v="11"/>
    <s v="259"/>
    <s v="RN"/>
    <s v="A"/>
    <s v="AV"/>
    <x v="6"/>
    <n v="69"/>
    <n v="50"/>
    <n v="1955"/>
    <n v="1974"/>
    <n v="1029"/>
    <m/>
    <n v="1029"/>
    <n v="1029"/>
    <m/>
    <m/>
    <n v="1029"/>
    <n v="1500"/>
    <n v="5"/>
    <m/>
    <m/>
    <m/>
    <m/>
    <m/>
    <m/>
    <m/>
    <n v="214497"/>
    <n v="150148"/>
    <n v="5261"/>
    <n v="289000"/>
    <n v="56600"/>
    <n v="232400"/>
    <n v="0"/>
    <n v="0"/>
    <n v="89850.625589999996"/>
    <n v="-52569.808201026557"/>
    <n v="21557.329055999999"/>
    <n v="160472.20319"/>
    <n v="-11152.280025"/>
    <n v="50841.521303433001"/>
    <n v="0"/>
    <n v="0"/>
    <n v="29925.270209162998"/>
    <n v="18960.110526"/>
    <n v="0"/>
    <n v="5300"/>
    <n v="270600"/>
    <n v="37300"/>
    <n v="313200"/>
    <n v="8.3737024221453293E-2"/>
    <n v="0.99970000000000003"/>
    <n v="1.0067999999999999"/>
    <n v="0.99729999999999996"/>
    <n v="1.0157"/>
    <n v="1.0199"/>
    <n v="0.94971499999999998"/>
    <n v="0.98783717894453682"/>
    <n v="270600"/>
    <n v="5000"/>
    <n v="275600"/>
    <n v="35400"/>
    <n v="311000"/>
    <n v="0.18588640275387264"/>
    <n v="-0.37455830388692579"/>
    <n v="7.6124567474048443E-2"/>
  </r>
  <r>
    <n v="2025"/>
    <s v="18132214460    "/>
    <n v="-1.6094379124341003"/>
    <n v="0.2"/>
    <n v="8871"/>
    <s v="6"/>
    <s v="RES"/>
    <x v="0"/>
    <s v="11"/>
    <s v="259"/>
    <s v="RN"/>
    <s v="A"/>
    <s v="AV"/>
    <x v="6"/>
    <n v="69"/>
    <n v="50"/>
    <n v="1955"/>
    <n v="1974"/>
    <n v="1011"/>
    <m/>
    <n v="1004"/>
    <n v="1004"/>
    <n v="0"/>
    <m/>
    <n v="1011"/>
    <n v="1500"/>
    <n v="5"/>
    <n v="264"/>
    <m/>
    <m/>
    <m/>
    <m/>
    <m/>
    <m/>
    <n v="222682"/>
    <n v="155877"/>
    <n v="0"/>
    <n v="284900"/>
    <n v="58400"/>
    <n v="226500"/>
    <n v="0"/>
    <n v="0"/>
    <n v="89850.625589999996"/>
    <n v="-50946.13867709865"/>
    <n v="21557.329055999999"/>
    <n v="160472.20319"/>
    <n v="-11152.280025"/>
    <n v="49952.165245647004"/>
    <n v="0"/>
    <n v="0"/>
    <n v="29198.222827988"/>
    <n v="18960.110526"/>
    <n v="0"/>
    <n v="0"/>
    <n v="269000"/>
    <n v="38900"/>
    <n v="307900"/>
    <n v="8.0730080730080728E-2"/>
    <n v="0.99970000000000003"/>
    <n v="1.0067999999999999"/>
    <n v="0.99729999999999996"/>
    <n v="1.0157"/>
    <n v="1.0199"/>
    <n v="0.94971499999999998"/>
    <n v="0.98783717894453682"/>
    <n v="269000"/>
    <n v="0"/>
    <n v="269000"/>
    <n v="36900"/>
    <n v="305900"/>
    <n v="0.18763796909492272"/>
    <n v="-0.36815068493150682"/>
    <n v="7.3710073710073709E-2"/>
  </r>
  <r>
    <n v="2025"/>
    <s v="18132213440    "/>
    <n v="-1.8971199848858813"/>
    <n v="0.15"/>
    <n v="6747"/>
    <s v="6"/>
    <s v="RES"/>
    <x v="0"/>
    <s v="11"/>
    <s v="259"/>
    <s v="RN"/>
    <s v="G"/>
    <s v="AV"/>
    <x v="6"/>
    <n v="69"/>
    <n v="50"/>
    <n v="1955"/>
    <n v="1974"/>
    <n v="1282"/>
    <m/>
    <n v="1270"/>
    <n v="635"/>
    <n v="635"/>
    <m/>
    <n v="1917"/>
    <n v="2000"/>
    <n v="8"/>
    <n v="406"/>
    <m/>
    <n v="288"/>
    <m/>
    <m/>
    <m/>
    <m/>
    <n v="428263"/>
    <n v="299784"/>
    <n v="0"/>
    <n v="337500"/>
    <n v="48400"/>
    <n v="289100"/>
    <n v="0"/>
    <n v="0"/>
    <n v="89850.625589999996"/>
    <n v="-60052.604136134301"/>
    <n v="44121.038090000002"/>
    <n v="160472.20319"/>
    <n v="-11152.280025"/>
    <n v="63341.914782314001"/>
    <n v="0"/>
    <n v="0"/>
    <n v="36934.006963690001"/>
    <n v="30336.176841600001"/>
    <n v="9589.1083994880009"/>
    <n v="0"/>
    <n v="333600"/>
    <n v="29800"/>
    <n v="363400"/>
    <n v="7.6740740740740734E-2"/>
    <n v="0.99970000000000003"/>
    <n v="0.98050000000000004"/>
    <n v="0.99729999999999996"/>
    <n v="1.0093000000000001"/>
    <n v="1.0199"/>
    <n v="0.94971499999999998"/>
    <n v="0.95597069536964641"/>
    <n v="333600"/>
    <n v="0"/>
    <n v="333600"/>
    <n v="28300"/>
    <n v="361900"/>
    <n v="0.15392597717052922"/>
    <n v="-0.41528925619834711"/>
    <n v="7.2296296296296303E-2"/>
  </r>
  <r>
    <n v="2025"/>
    <s v="18132323470    "/>
    <n v="-1.4271163556401458"/>
    <n v="0.24"/>
    <n v="10271"/>
    <s v="6"/>
    <s v="RES"/>
    <x v="0"/>
    <s v="11"/>
    <s v="259"/>
    <s v="RN"/>
    <s v="A"/>
    <s v="GD"/>
    <x v="6"/>
    <n v="69"/>
    <n v="50"/>
    <n v="1955"/>
    <n v="1974"/>
    <n v="1145"/>
    <m/>
    <m/>
    <n v="0"/>
    <m/>
    <m/>
    <n v="1145"/>
    <n v="1500"/>
    <n v="7"/>
    <m/>
    <m/>
    <m/>
    <m/>
    <m/>
    <m/>
    <m/>
    <n v="204030"/>
    <n v="146902"/>
    <n v="6843"/>
    <n v="318400"/>
    <n v="64800"/>
    <n v="253600"/>
    <n v="0"/>
    <n v="0"/>
    <n v="89850.625589999996"/>
    <n v="-45174.819855485119"/>
    <n v="21557.329055999999"/>
    <n v="197752.34721000001"/>
    <n v="-11152.280025"/>
    <n v="56572.927009165003"/>
    <n v="0"/>
    <n v="0"/>
    <n v="0"/>
    <n v="26544.1547364"/>
    <n v="0"/>
    <n v="6800"/>
    <n v="291300"/>
    <n v="44700"/>
    <n v="342800"/>
    <n v="7.6633165829145727E-2"/>
    <n v="0.99970000000000003"/>
    <n v="1.0067999999999999"/>
    <n v="0.99650000000000005"/>
    <n v="1.0157"/>
    <n v="1.0199"/>
    <n v="0.94971499999999998"/>
    <n v="0.98704476969641131"/>
    <n v="291300"/>
    <n v="6500"/>
    <n v="297800"/>
    <n v="42400"/>
    <n v="340200"/>
    <n v="0.17429022082018927"/>
    <n v="-0.34567901234567899"/>
    <n v="6.846733668341709E-2"/>
  </r>
  <r>
    <n v="2025"/>
    <s v="18132323412    "/>
    <n v="-1.5141277326297755"/>
    <n v="0.22"/>
    <m/>
    <s v="6"/>
    <s v="RES"/>
    <x v="0"/>
    <s v="11"/>
    <s v="259"/>
    <s v="RN"/>
    <s v="G"/>
    <s v="AV"/>
    <x v="6"/>
    <n v="69"/>
    <n v="50"/>
    <n v="1955"/>
    <n v="1974"/>
    <n v="1581"/>
    <m/>
    <m/>
    <n v="0"/>
    <m/>
    <m/>
    <n v="1581"/>
    <n v="2000"/>
    <n v="12"/>
    <n v="308"/>
    <m/>
    <n v="387"/>
    <m/>
    <m/>
    <m/>
    <m/>
    <n v="371966"/>
    <n v="260376"/>
    <n v="0"/>
    <n v="347500"/>
    <n v="61700"/>
    <n v="285800"/>
    <n v="0"/>
    <n v="0"/>
    <n v="89850.625589999996"/>
    <n v="-47929.131559187132"/>
    <n v="44121.038090000002"/>
    <n v="160472.20319"/>
    <n v="-11152.280025"/>
    <n v="78115.107075537002"/>
    <n v="0"/>
    <n v="0"/>
    <n v="0"/>
    <n v="45504.265262400004"/>
    <n v="12885.364411812001"/>
    <n v="0"/>
    <n v="329900"/>
    <n v="41900"/>
    <n v="371800"/>
    <n v="6.9928057553956841E-2"/>
    <n v="0.99970000000000003"/>
    <n v="0.98050000000000004"/>
    <n v="0.99729999999999996"/>
    <n v="1.0093000000000001"/>
    <n v="1.0199"/>
    <n v="0.94971499999999998"/>
    <n v="0.95597069536964641"/>
    <n v="329900"/>
    <n v="0"/>
    <n v="329900"/>
    <n v="39800"/>
    <n v="369700"/>
    <n v="0.1543037088873338"/>
    <n v="-0.35494327390599678"/>
    <n v="6.3884892086330941E-2"/>
  </r>
  <r>
    <n v="2025"/>
    <s v="18132213450    "/>
    <n v="-1.8971199848858813"/>
    <n v="0.15"/>
    <n v="6559"/>
    <s v="6"/>
    <s v="RES"/>
    <x v="0"/>
    <s v="11"/>
    <s v="259"/>
    <s v="RN"/>
    <s v="A"/>
    <s v="AV"/>
    <x v="6"/>
    <n v="69"/>
    <n v="50"/>
    <n v="1955"/>
    <n v="1974"/>
    <n v="1244"/>
    <m/>
    <m/>
    <n v="0"/>
    <m/>
    <m/>
    <n v="1244"/>
    <n v="1500"/>
    <n v="5"/>
    <n v="288"/>
    <m/>
    <n v="84"/>
    <m/>
    <m/>
    <m/>
    <m/>
    <n v="213971"/>
    <n v="149780"/>
    <n v="0"/>
    <n v="265500"/>
    <n v="48400"/>
    <n v="217100"/>
    <n v="0"/>
    <n v="0"/>
    <n v="89850.625589999996"/>
    <n v="-60052.604136134301"/>
    <n v="21557.329055999999"/>
    <n v="160472.20319"/>
    <n v="-11152.280025"/>
    <n v="61464.385326987998"/>
    <n v="0"/>
    <n v="0"/>
    <n v="0"/>
    <n v="18960.110526"/>
    <n v="2796.8232831840005"/>
    <n v="0"/>
    <n v="254100"/>
    <n v="29800"/>
    <n v="283900"/>
    <n v="6.9303201506591333E-2"/>
    <n v="0.99970000000000003"/>
    <n v="1.0067999999999999"/>
    <n v="0.99729999999999996"/>
    <n v="1.0157"/>
    <n v="1.0199"/>
    <n v="0.94971499999999998"/>
    <n v="0.98783717894453682"/>
    <n v="254100"/>
    <n v="0"/>
    <n v="254100"/>
    <n v="28300"/>
    <n v="282400"/>
    <n v="0.17042837402118841"/>
    <n v="-0.41528925619834711"/>
    <n v="6.365348399246705E-2"/>
  </r>
  <r>
    <n v="2025"/>
    <s v="18132243442    "/>
    <n v="-1.5606477482646683"/>
    <n v="0.21"/>
    <n v="9057"/>
    <s v="6"/>
    <s v="RES"/>
    <x v="0"/>
    <s v="11"/>
    <s v="259"/>
    <s v="RN"/>
    <s v="G"/>
    <s v="GD"/>
    <x v="6"/>
    <n v="69"/>
    <n v="50"/>
    <n v="1955"/>
    <n v="1974"/>
    <n v="1260"/>
    <m/>
    <n v="1260"/>
    <n v="0"/>
    <n v="1260"/>
    <m/>
    <n v="2520"/>
    <n v="3000"/>
    <n v="8"/>
    <m/>
    <m/>
    <n v="168"/>
    <m/>
    <m/>
    <m/>
    <m/>
    <n v="455290"/>
    <n v="327809"/>
    <n v="19957"/>
    <n v="397700"/>
    <n v="60100"/>
    <n v="337600"/>
    <n v="0"/>
    <n v="0"/>
    <n v="89850.625589999996"/>
    <n v="-49401.70477837498"/>
    <n v="44121.038090000002"/>
    <n v="197752.34721000001"/>
    <n v="-11152.280025"/>
    <n v="62254.924045020001"/>
    <n v="0"/>
    <n v="0"/>
    <n v="36643.188011220001"/>
    <n v="30336.176841600001"/>
    <n v="5593.646566368001"/>
    <n v="20000"/>
    <n v="365500"/>
    <n v="40400"/>
    <n v="425900"/>
    <n v="7.0907719386472209E-2"/>
    <n v="0.99970000000000003"/>
    <n v="0.98050000000000004"/>
    <n v="0.99650000000000005"/>
    <n v="0.96179999999999999"/>
    <n v="1.0199"/>
    <n v="0.94971499999999998"/>
    <n v="0.91024973874989379"/>
    <n v="365500"/>
    <n v="19000"/>
    <n v="384500"/>
    <n v="38400"/>
    <n v="422900"/>
    <n v="0.1389218009478673"/>
    <n v="-0.36106489184692181"/>
    <n v="6.3364344983656021E-2"/>
  </r>
  <r>
    <n v="2025"/>
    <s v="18132334462    "/>
    <n v="-1.7719568419318752"/>
    <n v="0.17"/>
    <m/>
    <s v="6"/>
    <s v="RES"/>
    <x v="0"/>
    <s v="11"/>
    <s v="259"/>
    <s v="RN"/>
    <s v="A"/>
    <s v="FR"/>
    <x v="6"/>
    <n v="69"/>
    <n v="50"/>
    <n v="1955"/>
    <n v="1974"/>
    <n v="1192"/>
    <m/>
    <n v="850"/>
    <n v="0"/>
    <n v="850"/>
    <m/>
    <n v="2042"/>
    <n v="2500"/>
    <n v="5"/>
    <m/>
    <m/>
    <n v="246"/>
    <m/>
    <m/>
    <m/>
    <m/>
    <n v="282447"/>
    <n v="194888"/>
    <n v="0"/>
    <n v="269900"/>
    <n v="52700"/>
    <n v="217200"/>
    <n v="0"/>
    <n v="0"/>
    <n v="89850.625589999996"/>
    <n v="-56090.612940989391"/>
    <n v="21557.329055999999"/>
    <n v="133714.53821"/>
    <n v="-11152.280025"/>
    <n v="58895.134493384001"/>
    <n v="0"/>
    <n v="0"/>
    <n v="24719.610959949998"/>
    <n v="18960.110526"/>
    <n v="8190.6967578960011"/>
    <n v="0"/>
    <n v="254900"/>
    <n v="33800"/>
    <n v="288700"/>
    <n v="6.965542793627269E-2"/>
    <n v="0.99970000000000003"/>
    <n v="1.0067999999999999"/>
    <n v="0.99329999999999996"/>
    <n v="0.98919999999999997"/>
    <n v="1.0199"/>
    <n v="0.94971499999999998"/>
    <n v="0.95820545561751158"/>
    <n v="254900"/>
    <n v="0"/>
    <n v="254900"/>
    <n v="32100"/>
    <n v="287000"/>
    <n v="0.17357274401473297"/>
    <n v="-0.39089184060721061"/>
    <n v="6.3356798814375698E-2"/>
  </r>
  <r>
    <n v="2025"/>
    <s v="18132324406    "/>
    <n v="-1.5606477482646683"/>
    <n v="0.21"/>
    <m/>
    <s v="6"/>
    <s v="RES"/>
    <x v="0"/>
    <s v="11"/>
    <s v="259"/>
    <s v="RN"/>
    <s v="A+"/>
    <s v="GD"/>
    <x v="6"/>
    <n v="69"/>
    <n v="50"/>
    <n v="1955"/>
    <n v="1974"/>
    <n v="1706"/>
    <m/>
    <n v="832"/>
    <n v="0"/>
    <n v="832"/>
    <m/>
    <n v="2538"/>
    <n v="3000"/>
    <n v="5"/>
    <m/>
    <n v="874"/>
    <n v="130"/>
    <m/>
    <m/>
    <m/>
    <m/>
    <n v="412487"/>
    <n v="296991"/>
    <n v="0"/>
    <n v="364000"/>
    <n v="60100"/>
    <n v="303900"/>
    <n v="0"/>
    <n v="0"/>
    <n v="89850.625589999996"/>
    <n v="-49401.70477837498"/>
    <n v="29814.093161000001"/>
    <n v="197752.34721000001"/>
    <n v="-11152.280025"/>
    <n v="84291.190810162007"/>
    <n v="0"/>
    <n v="0"/>
    <n v="24196.136845503999"/>
    <n v="18960.110526"/>
    <n v="4328.4169858800005"/>
    <n v="0"/>
    <n v="348200"/>
    <n v="40400"/>
    <n v="388600"/>
    <n v="6.7582417582417578E-2"/>
    <n v="0.99970000000000003"/>
    <n v="1.0088999999999999"/>
    <n v="0.99650000000000005"/>
    <n v="0.96179999999999999"/>
    <n v="1.0199"/>
    <n v="0.94971499999999998"/>
    <n v="0.93661495300843212"/>
    <n v="348200"/>
    <n v="0"/>
    <n v="348200"/>
    <n v="38400"/>
    <n v="386600"/>
    <n v="0.14577163540638369"/>
    <n v="-0.36106489184692181"/>
    <n v="6.2087912087912089E-2"/>
  </r>
  <r>
    <n v="2025"/>
    <s v="18132324420    "/>
    <n v="-1.6607312068216509"/>
    <n v="0.19"/>
    <m/>
    <s v="6"/>
    <s v="RES"/>
    <x v="0"/>
    <s v="11"/>
    <s v="259"/>
    <s v="TD"/>
    <s v="A+"/>
    <s v="GD"/>
    <x v="6"/>
    <n v="69"/>
    <n v="50"/>
    <n v="1955"/>
    <n v="1974"/>
    <n v="1492"/>
    <m/>
    <m/>
    <n v="0"/>
    <m/>
    <m/>
    <n v="1492"/>
    <n v="1500"/>
    <n v="8"/>
    <m/>
    <m/>
    <m/>
    <m/>
    <m/>
    <m/>
    <m/>
    <n v="300150"/>
    <n v="216108"/>
    <n v="0"/>
    <n v="335800"/>
    <n v="56600"/>
    <n v="279200"/>
    <n v="0"/>
    <n v="0"/>
    <n v="89850.625589999996"/>
    <n v="-52569.808201026557"/>
    <n v="29814.093161000001"/>
    <n v="197752.34721000001"/>
    <n v="-11152.280025"/>
    <n v="73717.735456484006"/>
    <n v="0"/>
    <n v="0"/>
    <n v="0"/>
    <n v="30336.176841600001"/>
    <n v="0"/>
    <n v="0"/>
    <n v="320500"/>
    <n v="37300"/>
    <n v="357800"/>
    <n v="6.5515187611673617E-2"/>
    <n v="0.99970000000000003"/>
    <n v="1.0088999999999999"/>
    <n v="0.99650000000000005"/>
    <n v="1.0157"/>
    <n v="1.0199"/>
    <n v="0.94971499999999998"/>
    <n v="0.98910356391210685"/>
    <n v="320500"/>
    <n v="0"/>
    <n v="320500"/>
    <n v="35400"/>
    <n v="355900"/>
    <n v="0.14792263610315187"/>
    <n v="-0.37455830388692579"/>
    <n v="5.9857057772483624E-2"/>
  </r>
  <r>
    <n v="2025"/>
    <s v="18132323479    "/>
    <n v="-1.5606477482646683"/>
    <n v="0.21"/>
    <n v="8955"/>
    <s v="6"/>
    <s v="RES"/>
    <x v="0"/>
    <s v="11"/>
    <s v="259"/>
    <s v="RN"/>
    <s v="A"/>
    <s v="GD"/>
    <x v="6"/>
    <n v="69"/>
    <n v="50"/>
    <n v="1955"/>
    <n v="1974"/>
    <n v="1168"/>
    <m/>
    <n v="1168"/>
    <n v="0"/>
    <n v="1168"/>
    <m/>
    <n v="2336"/>
    <n v="2500"/>
    <n v="8"/>
    <n v="360"/>
    <m/>
    <n v="198"/>
    <m/>
    <m/>
    <m/>
    <m/>
    <n v="328484"/>
    <n v="236508"/>
    <n v="0"/>
    <n v="354200"/>
    <n v="60100"/>
    <n v="294100"/>
    <n v="0"/>
    <n v="0"/>
    <n v="89850.625589999996"/>
    <n v="-49401.70477837498"/>
    <n v="21557.329055999999"/>
    <n v="197752.34721000001"/>
    <n v="-11152.280025"/>
    <n v="57709.326416336"/>
    <n v="0"/>
    <n v="0"/>
    <n v="33967.653648496002"/>
    <n v="30336.176841600001"/>
    <n v="6592.512024648001"/>
    <n v="0"/>
    <n v="336800"/>
    <n v="40400"/>
    <n v="377200"/>
    <n v="6.4935064935064929E-2"/>
    <n v="0.99970000000000003"/>
    <n v="1.0067999999999999"/>
    <n v="0.99650000000000005"/>
    <n v="0.98919999999999997"/>
    <n v="1.0199"/>
    <n v="0.94971499999999998"/>
    <n v="0.96129239557319079"/>
    <n v="336800"/>
    <n v="0"/>
    <n v="336800"/>
    <n v="38400"/>
    <n v="375200"/>
    <n v="0.14518871132267935"/>
    <n v="-0.36106489184692181"/>
    <n v="5.9288537549407112E-2"/>
  </r>
  <r>
    <n v="2025"/>
    <s v="18132333407    "/>
    <n v="-1.6607312068216509"/>
    <n v="0.19"/>
    <m/>
    <s v="6"/>
    <s v="RES"/>
    <x v="0"/>
    <s v="11"/>
    <s v="259"/>
    <s v="RN"/>
    <s v="G"/>
    <s v="AV"/>
    <x v="6"/>
    <n v="69"/>
    <n v="50"/>
    <n v="1955"/>
    <n v="1974"/>
    <n v="1362"/>
    <m/>
    <n v="1362"/>
    <n v="951"/>
    <n v="411"/>
    <m/>
    <n v="1773"/>
    <n v="2000"/>
    <n v="8"/>
    <m/>
    <m/>
    <m/>
    <m/>
    <m/>
    <m/>
    <m/>
    <n v="401340"/>
    <n v="280938"/>
    <n v="10394"/>
    <n v="355700"/>
    <n v="56600"/>
    <n v="299100"/>
    <n v="0"/>
    <n v="0"/>
    <n v="89850.625589999996"/>
    <n v="-52569.808201026557"/>
    <n v="44121.038090000002"/>
    <n v="160472.20319"/>
    <n v="-11152.280025"/>
    <n v="67294.608372474002"/>
    <n v="0"/>
    <n v="0"/>
    <n v="39609.541326414001"/>
    <n v="30336.176841600001"/>
    <n v="0"/>
    <n v="10400"/>
    <n v="330700"/>
    <n v="37300"/>
    <n v="378400"/>
    <n v="6.3817824008996341E-2"/>
    <n v="0.99970000000000003"/>
    <n v="0.98050000000000004"/>
    <n v="0.99729999999999996"/>
    <n v="1.0093000000000001"/>
    <n v="1.0199"/>
    <n v="0.94971499999999998"/>
    <n v="0.95597069536964641"/>
    <n v="330700"/>
    <n v="9900"/>
    <n v="340600"/>
    <n v="35400"/>
    <n v="376000"/>
    <n v="0.13874958207957205"/>
    <n v="-0.37455830388692579"/>
    <n v="5.7070565082935058E-2"/>
  </r>
  <r>
    <n v="2025"/>
    <s v="18132324413    "/>
    <n v="-1.5606477482646683"/>
    <n v="0.21"/>
    <m/>
    <s v="6"/>
    <s v="RES"/>
    <x v="0"/>
    <s v="11"/>
    <s v="259"/>
    <s v="RN"/>
    <s v="A"/>
    <s v="AV"/>
    <x v="6"/>
    <n v="69"/>
    <n v="50"/>
    <n v="1955"/>
    <n v="1974"/>
    <n v="1344"/>
    <m/>
    <n v="1036"/>
    <n v="1036"/>
    <m/>
    <m/>
    <n v="1344"/>
    <n v="1500"/>
    <n v="8"/>
    <m/>
    <n v="308"/>
    <m/>
    <m/>
    <m/>
    <m/>
    <m/>
    <n v="284994"/>
    <n v="199496"/>
    <n v="0"/>
    <n v="318200"/>
    <n v="60100"/>
    <n v="258100"/>
    <n v="0"/>
    <n v="0"/>
    <n v="89850.625589999996"/>
    <n v="-49401.70477837498"/>
    <n v="21557.329055999999"/>
    <n v="160472.20319"/>
    <n v="-11152.280025"/>
    <n v="66405.252314687998"/>
    <n v="0"/>
    <n v="0"/>
    <n v="30128.843475891998"/>
    <n v="30336.176841600001"/>
    <n v="0"/>
    <n v="0"/>
    <n v="297700"/>
    <n v="40400"/>
    <n v="338100"/>
    <n v="6.2539283469516024E-2"/>
    <n v="0.99970000000000003"/>
    <n v="1.0067999999999999"/>
    <n v="0.99729999999999996"/>
    <n v="1.0157"/>
    <n v="1.0199"/>
    <n v="0.94971499999999998"/>
    <n v="0.98783717894453682"/>
    <n v="297700"/>
    <n v="0"/>
    <n v="297700"/>
    <n v="38400"/>
    <n v="336100"/>
    <n v="0.15342890352576521"/>
    <n v="-0.36106489184692181"/>
    <n v="5.6253928346951601E-2"/>
  </r>
  <r>
    <n v="2025"/>
    <s v="18132241481    "/>
    <n v="-1.5141277326297755"/>
    <n v="0.22"/>
    <n v="9487"/>
    <s v="6"/>
    <s v="RES"/>
    <x v="0"/>
    <s v="11"/>
    <s v="259"/>
    <s v="RN"/>
    <s v="A+"/>
    <s v="AV"/>
    <x v="6"/>
    <n v="69"/>
    <n v="50"/>
    <n v="1955"/>
    <n v="1974"/>
    <n v="1260"/>
    <m/>
    <n v="1300"/>
    <n v="1100"/>
    <n v="200"/>
    <m/>
    <n v="1460"/>
    <n v="1500"/>
    <n v="7"/>
    <m/>
    <m/>
    <m/>
    <m/>
    <m/>
    <m/>
    <m/>
    <n v="302328"/>
    <n v="211630"/>
    <n v="2105"/>
    <n v="329000"/>
    <n v="61700"/>
    <n v="267300"/>
    <n v="0"/>
    <n v="0"/>
    <n v="89850.625589999996"/>
    <n v="-47929.131559187132"/>
    <n v="29814.093161000001"/>
    <n v="160472.20319"/>
    <n v="-11152.280025"/>
    <n v="62254.924045020001"/>
    <n v="0"/>
    <n v="0"/>
    <n v="37806.463821099998"/>
    <n v="26544.1547364"/>
    <n v="0"/>
    <n v="2100"/>
    <n v="305700"/>
    <n v="41900"/>
    <n v="349700"/>
    <n v="6.2917933130699086E-2"/>
    <n v="0.99970000000000003"/>
    <n v="1.0088999999999999"/>
    <n v="0.99729999999999996"/>
    <n v="1.0157"/>
    <n v="1.0199"/>
    <n v="0.94971499999999998"/>
    <n v="0.98989762598047604"/>
    <n v="305700"/>
    <n v="2000"/>
    <n v="307700"/>
    <n v="39800"/>
    <n v="347500"/>
    <n v="0.15114104002992892"/>
    <n v="-0.35494327390599678"/>
    <n v="5.6231003039513679E-2"/>
  </r>
  <r>
    <n v="2025"/>
    <s v="18132214506    "/>
    <n v="-1.4271163556401458"/>
    <n v="0.24"/>
    <n v="10577"/>
    <s v="6"/>
    <s v="RES"/>
    <x v="0"/>
    <s v="11"/>
    <s v="259"/>
    <s v="RN"/>
    <s v="A"/>
    <s v="GD"/>
    <x v="6"/>
    <n v="69"/>
    <n v="50"/>
    <n v="1955"/>
    <n v="1974"/>
    <n v="1301"/>
    <m/>
    <n v="1053"/>
    <n v="526"/>
    <n v="527"/>
    <m/>
    <n v="1828"/>
    <n v="2000"/>
    <n v="5"/>
    <n v="440"/>
    <m/>
    <m/>
    <m/>
    <m/>
    <m/>
    <m/>
    <n v="314519"/>
    <n v="226454"/>
    <n v="22051"/>
    <n v="364800"/>
    <n v="64800"/>
    <n v="300000"/>
    <n v="0"/>
    <n v="0"/>
    <n v="89850.625589999996"/>
    <n v="-45174.819855485119"/>
    <n v="21557.329055999999"/>
    <n v="197752.34721000001"/>
    <n v="-11152.280025"/>
    <n v="64280.679509977002"/>
    <n v="0"/>
    <n v="0"/>
    <n v="30623.235695091"/>
    <n v="18960.110526"/>
    <n v="0"/>
    <n v="22100"/>
    <n v="322000"/>
    <n v="44700"/>
    <n v="388800"/>
    <n v="6.5789473684210523E-2"/>
    <n v="0.99970000000000003"/>
    <n v="1.0067999999999999"/>
    <n v="0.99650000000000005"/>
    <n v="1.0093000000000001"/>
    <n v="1.0199"/>
    <n v="0.94971499999999998"/>
    <n v="0.98082532839872782"/>
    <n v="322000"/>
    <n v="20900"/>
    <n v="342900"/>
    <n v="42400"/>
    <n v="385300"/>
    <n v="0.14299999999999999"/>
    <n v="-0.34567901234567899"/>
    <n v="5.6195175438596492E-2"/>
  </r>
  <r>
    <n v="2025"/>
    <s v="18132313503    "/>
    <n v="-1.8325814637483102"/>
    <n v="0.16"/>
    <n v="6981"/>
    <s v="6"/>
    <s v="RES"/>
    <x v="0"/>
    <s v="11"/>
    <s v="259"/>
    <s v="BG"/>
    <s v="A+"/>
    <s v="GD"/>
    <x v="6"/>
    <n v="69"/>
    <n v="50"/>
    <n v="1955"/>
    <n v="1974"/>
    <n v="1406"/>
    <m/>
    <n v="722"/>
    <n v="0"/>
    <n v="722"/>
    <m/>
    <n v="2128"/>
    <n v="2500"/>
    <n v="9"/>
    <m/>
    <m/>
    <m/>
    <m/>
    <m/>
    <m/>
    <m/>
    <n v="336197"/>
    <n v="242062"/>
    <n v="6155"/>
    <n v="357300"/>
    <n v="50600"/>
    <n v="306700"/>
    <n v="0"/>
    <n v="0"/>
    <n v="89850.625589999996"/>
    <n v="-58009.662049032086"/>
    <n v="29814.093161000001"/>
    <n v="197752.34721000001"/>
    <n v="-11152.280025"/>
    <n v="69468.589847062001"/>
    <n v="0"/>
    <n v="0"/>
    <n v="20997.128368334001"/>
    <n v="34128.198946800003"/>
    <n v="0"/>
    <n v="6200"/>
    <n v="341000"/>
    <n v="31800"/>
    <n v="379000"/>
    <n v="6.0733277357962495E-2"/>
    <n v="0.99970000000000003"/>
    <n v="1.0088999999999999"/>
    <n v="0.99650000000000005"/>
    <n v="0.98919999999999997"/>
    <n v="1.0199"/>
    <n v="0.94971499999999998"/>
    <n v="0.9632974750633615"/>
    <n v="341000"/>
    <n v="5800"/>
    <n v="346800"/>
    <n v="30200"/>
    <n v="377000"/>
    <n v="0.13074665797195956"/>
    <n v="-0.40316205533596838"/>
    <n v="5.5135740274279317E-2"/>
  </r>
  <r>
    <n v="2025"/>
    <s v="18132324495    "/>
    <n v="-1.6094379124341003"/>
    <n v="0.2"/>
    <m/>
    <s v="6"/>
    <s v="RES"/>
    <x v="0"/>
    <s v="11"/>
    <s v="259"/>
    <s v="RN"/>
    <s v="A+"/>
    <s v="GD"/>
    <x v="6"/>
    <n v="69"/>
    <n v="50"/>
    <n v="1955"/>
    <n v="1974"/>
    <n v="1181"/>
    <m/>
    <n v="810"/>
    <n v="0"/>
    <n v="810"/>
    <m/>
    <n v="1991"/>
    <n v="2000"/>
    <n v="10"/>
    <m/>
    <n v="351"/>
    <n v="160"/>
    <m/>
    <m/>
    <m/>
    <m/>
    <n v="370793"/>
    <n v="266971"/>
    <n v="14846"/>
    <n v="372400"/>
    <n v="58400"/>
    <n v="314000"/>
    <n v="0"/>
    <n v="0"/>
    <n v="89850.625589999996"/>
    <n v="-50946.13867709865"/>
    <n v="29814.093161000001"/>
    <n v="197752.34721000001"/>
    <n v="-11152.280025"/>
    <n v="58351.639124737005"/>
    <n v="0"/>
    <n v="0"/>
    <n v="23556.335150069997"/>
    <n v="37920.221052000001"/>
    <n v="5327.2824441600005"/>
    <n v="14800"/>
    <n v="341600"/>
    <n v="38900"/>
    <n v="395300"/>
    <n v="6.1493018259935556E-2"/>
    <n v="0.99970000000000003"/>
    <n v="1.0088999999999999"/>
    <n v="0.99650000000000005"/>
    <n v="1.0093000000000001"/>
    <n v="1.0199"/>
    <n v="0.94971499999999998"/>
    <n v="0.98287115000146663"/>
    <n v="341600"/>
    <n v="14100"/>
    <n v="355700"/>
    <n v="36900"/>
    <n v="392600"/>
    <n v="0.13280254777070064"/>
    <n v="-0.36815068493150682"/>
    <n v="5.4242749731471536E-2"/>
  </r>
  <r>
    <n v="2025"/>
    <s v="18132214479    "/>
    <n v="-1.7147984280919266"/>
    <n v="0.18"/>
    <n v="7950"/>
    <s v="6"/>
    <s v="RES"/>
    <x v="0"/>
    <s v="11"/>
    <s v="259"/>
    <s v="TD"/>
    <s v="A"/>
    <s v="FR"/>
    <x v="6"/>
    <n v="69"/>
    <n v="50"/>
    <n v="1955"/>
    <n v="1974"/>
    <n v="1040"/>
    <m/>
    <n v="1040"/>
    <n v="0"/>
    <n v="1040"/>
    <m/>
    <n v="2080"/>
    <n v="2500"/>
    <n v="12"/>
    <n v="264"/>
    <m/>
    <n v="324"/>
    <m/>
    <m/>
    <m/>
    <m/>
    <n v="308521"/>
    <n v="212879"/>
    <n v="0"/>
    <n v="299600"/>
    <n v="54700"/>
    <n v="244900"/>
    <n v="0"/>
    <n v="0"/>
    <n v="89850.625589999996"/>
    <n v="-54281.285314520763"/>
    <n v="21557.329055999999"/>
    <n v="133714.53821"/>
    <n v="-11152.280025"/>
    <n v="51385.016672080004"/>
    <n v="0"/>
    <n v="0"/>
    <n v="30245.171056879997"/>
    <n v="45504.265262400004"/>
    <n v="10787.746949424001"/>
    <n v="0"/>
    <n v="282000"/>
    <n v="35600"/>
    <n v="317600"/>
    <n v="6.008010680907877E-2"/>
    <n v="0.99970000000000003"/>
    <n v="1.0067999999999999"/>
    <n v="0.99329999999999996"/>
    <n v="0.98919999999999997"/>
    <n v="1.0199"/>
    <n v="0.94971499999999998"/>
    <n v="0.95820545561751158"/>
    <n v="282000"/>
    <n v="0"/>
    <n v="282000"/>
    <n v="33800"/>
    <n v="315800"/>
    <n v="0.15149040424663127"/>
    <n v="-0.38208409506398539"/>
    <n v="5.4072096128170898E-2"/>
  </r>
  <r>
    <n v="2025"/>
    <s v="18132332524    "/>
    <n v="-1.3862943611198906"/>
    <n v="0.25"/>
    <n v="10802"/>
    <s v="6"/>
    <s v="RES"/>
    <x v="0"/>
    <s v="11"/>
    <s v="259"/>
    <s v="RN"/>
    <s v="G"/>
    <s v="GD"/>
    <x v="6"/>
    <n v="69"/>
    <n v="50"/>
    <n v="1955"/>
    <n v="1974"/>
    <n v="2103"/>
    <m/>
    <m/>
    <n v="0"/>
    <m/>
    <m/>
    <n v="2103"/>
    <n v="2500"/>
    <n v="10"/>
    <m/>
    <m/>
    <m/>
    <m/>
    <m/>
    <m/>
    <m/>
    <n v="421163"/>
    <n v="303237"/>
    <n v="0"/>
    <n v="395000"/>
    <n v="66200"/>
    <n v="328800"/>
    <n v="0"/>
    <n v="0"/>
    <n v="89850.625589999996"/>
    <n v="-43882.615305165229"/>
    <n v="44121.038090000002"/>
    <n v="197752.34721000001"/>
    <n v="-11152.280025"/>
    <n v="103906.432751331"/>
    <n v="0"/>
    <n v="0"/>
    <n v="0"/>
    <n v="37920.221052000001"/>
    <n v="0"/>
    <n v="0"/>
    <n v="372500"/>
    <n v="46000"/>
    <n v="418500"/>
    <n v="5.9493670886075947E-2"/>
    <n v="0.99970000000000003"/>
    <n v="0.98050000000000004"/>
    <n v="0.99650000000000005"/>
    <n v="0.98919999999999997"/>
    <n v="1.0199"/>
    <n v="0.94971499999999998"/>
    <n v="0.936181161958198"/>
    <n v="372500"/>
    <n v="0"/>
    <n v="372500"/>
    <n v="43700"/>
    <n v="416200"/>
    <n v="0.13290754257907542"/>
    <n v="-0.33987915407854985"/>
    <n v="5.3670886075949366E-2"/>
  </r>
  <r>
    <n v="2025"/>
    <s v="18132242458    "/>
    <n v="-1.5141277326297755"/>
    <n v="0.22"/>
    <n v="9564"/>
    <s v="6"/>
    <s v="RES"/>
    <x v="0"/>
    <s v="11"/>
    <s v="259"/>
    <s v="RN"/>
    <s v="G"/>
    <s v="GD"/>
    <x v="6"/>
    <n v="69"/>
    <n v="50"/>
    <n v="1955"/>
    <n v="1974"/>
    <n v="2362"/>
    <m/>
    <m/>
    <n v="0"/>
    <m/>
    <m/>
    <n v="2362"/>
    <n v="2500"/>
    <n v="13"/>
    <n v="552"/>
    <m/>
    <m/>
    <m/>
    <m/>
    <m/>
    <m/>
    <n v="510444"/>
    <n v="367520"/>
    <n v="31274"/>
    <n v="443700"/>
    <n v="61700"/>
    <n v="382000"/>
    <n v="0"/>
    <n v="0"/>
    <n v="89850.625589999996"/>
    <n v="-47929.131559187132"/>
    <n v="44121.038090000002"/>
    <n v="197752.34721000001"/>
    <n v="-11152.280025"/>
    <n v="116703.27824947401"/>
    <n v="0"/>
    <n v="0"/>
    <n v="0"/>
    <n v="49296.287367600002"/>
    <n v="0"/>
    <n v="31300"/>
    <n v="396700"/>
    <n v="41900"/>
    <n v="469900"/>
    <n v="5.9048906919089476E-2"/>
    <n v="0.99970000000000003"/>
    <n v="0.98050000000000004"/>
    <n v="0.99650000000000005"/>
    <n v="0.98919999999999997"/>
    <n v="1.0199"/>
    <n v="0.94971499999999998"/>
    <n v="0.936181161958198"/>
    <n v="396700"/>
    <n v="29700"/>
    <n v="426400"/>
    <n v="39800"/>
    <n v="466200"/>
    <n v="0.1162303664921466"/>
    <n v="-0.35494327390599678"/>
    <n v="5.0709939148073022E-2"/>
  </r>
  <r>
    <n v="2025"/>
    <s v="18132314538    "/>
    <n v="-1.6607312068216509"/>
    <n v="0.19"/>
    <n v="8450"/>
    <s v="6"/>
    <s v="RES"/>
    <x v="0"/>
    <s v="11"/>
    <s v="259"/>
    <s v="TD"/>
    <s v="A"/>
    <s v="GD"/>
    <x v="6"/>
    <n v="69"/>
    <n v="50"/>
    <n v="1955"/>
    <n v="1974"/>
    <n v="884"/>
    <m/>
    <n v="884"/>
    <n v="0"/>
    <n v="884"/>
    <m/>
    <n v="1768"/>
    <n v="2000"/>
    <n v="8"/>
    <m/>
    <m/>
    <m/>
    <m/>
    <m/>
    <m/>
    <m/>
    <n v="235098"/>
    <n v="169271"/>
    <n v="0"/>
    <n v="326800"/>
    <n v="56600"/>
    <n v="270200"/>
    <n v="0"/>
    <n v="0"/>
    <n v="89850.625589999996"/>
    <n v="-52569.808201026557"/>
    <n v="21557.329055999999"/>
    <n v="197752.34721000001"/>
    <n v="-11152.280025"/>
    <n v="43677.264171267998"/>
    <n v="0"/>
    <n v="0"/>
    <n v="25708.395398347999"/>
    <n v="30336.176841600001"/>
    <n v="0"/>
    <n v="0"/>
    <n v="307900"/>
    <n v="37300"/>
    <n v="345200"/>
    <n v="5.6303549571603426E-2"/>
    <n v="0.99970000000000003"/>
    <n v="1.0067999999999999"/>
    <n v="0.99650000000000005"/>
    <n v="1.0093000000000001"/>
    <n v="1.0199"/>
    <n v="0.94971499999999998"/>
    <n v="0.98082532839872782"/>
    <n v="307900"/>
    <n v="0"/>
    <n v="307900"/>
    <n v="35400"/>
    <n v="343300"/>
    <n v="0.13952627683197633"/>
    <n v="-0.37455830388692579"/>
    <n v="5.0489596083231336E-2"/>
  </r>
  <r>
    <n v="2025"/>
    <s v="18132244454    "/>
    <n v="-1.5141277326297755"/>
    <n v="0.22"/>
    <n v="9800"/>
    <s v="6"/>
    <s v="RES"/>
    <x v="0"/>
    <s v="11"/>
    <s v="259"/>
    <s v="SE"/>
    <s v="A"/>
    <s v="GD"/>
    <x v="6"/>
    <n v="69"/>
    <n v="50"/>
    <n v="1955"/>
    <n v="1974"/>
    <n v="1421"/>
    <m/>
    <n v="1073"/>
    <n v="150"/>
    <n v="923"/>
    <m/>
    <n v="2344"/>
    <n v="2500"/>
    <n v="9"/>
    <m/>
    <n v="348"/>
    <n v="72"/>
    <m/>
    <m/>
    <m/>
    <m/>
    <n v="348306"/>
    <n v="250780"/>
    <n v="0"/>
    <n v="368200"/>
    <n v="61700"/>
    <n v="306500"/>
    <n v="0"/>
    <n v="0"/>
    <n v="89850.625589999996"/>
    <n v="-47929.131559187132"/>
    <n v="21557.329055999999"/>
    <n v="197752.34721000001"/>
    <n v="-11152.280025"/>
    <n v="70209.719895217"/>
    <n v="0"/>
    <n v="0"/>
    <n v="31204.873600030998"/>
    <n v="34128.198946800003"/>
    <n v="2397.2770998720002"/>
    <n v="0"/>
    <n v="346100"/>
    <n v="41900"/>
    <n v="388000"/>
    <n v="5.3775122216186855E-2"/>
    <n v="0.99970000000000003"/>
    <n v="1.0067999999999999"/>
    <n v="0.99650000000000005"/>
    <n v="0.98919999999999997"/>
    <n v="1.0199"/>
    <n v="0.94971499999999998"/>
    <n v="0.96129239557319079"/>
    <n v="346100"/>
    <n v="0"/>
    <n v="346100"/>
    <n v="39800"/>
    <n v="385900"/>
    <n v="0.12920065252854812"/>
    <n v="-0.35494327390599678"/>
    <n v="4.8071700162954915E-2"/>
  </r>
  <r>
    <n v="2025"/>
    <s v="18132214505    "/>
    <n v="-1.3862943611198906"/>
    <n v="0.25"/>
    <n v="10695"/>
    <s v="6"/>
    <s v="RES"/>
    <x v="0"/>
    <s v="11"/>
    <s v="259"/>
    <s v="RN"/>
    <s v="G"/>
    <s v="GD"/>
    <x v="6"/>
    <n v="69"/>
    <n v="50"/>
    <n v="1955"/>
    <n v="1974"/>
    <n v="1268"/>
    <m/>
    <n v="1268"/>
    <n v="254"/>
    <n v="1014"/>
    <m/>
    <n v="2282"/>
    <n v="2500"/>
    <n v="8"/>
    <m/>
    <m/>
    <m/>
    <m/>
    <m/>
    <m/>
    <m/>
    <n v="436516"/>
    <n v="314292"/>
    <n v="9040"/>
    <n v="394300"/>
    <n v="66200"/>
    <n v="328100"/>
    <n v="0"/>
    <n v="0"/>
    <n v="89850.625589999996"/>
    <n v="-43882.615305165229"/>
    <n v="44121.038090000002"/>
    <n v="197752.34721000001"/>
    <n v="-11152.280025"/>
    <n v="62650.193404035999"/>
    <n v="0"/>
    <n v="0"/>
    <n v="36875.843173196001"/>
    <n v="30336.176841600001"/>
    <n v="0"/>
    <n v="9000"/>
    <n v="360600"/>
    <n v="46000"/>
    <n v="415600"/>
    <n v="5.4019781891960439E-2"/>
    <n v="0.99970000000000003"/>
    <n v="0.98050000000000004"/>
    <n v="0.99650000000000005"/>
    <n v="0.98919999999999997"/>
    <n v="1.0199"/>
    <n v="0.94971499999999998"/>
    <n v="0.936181161958198"/>
    <n v="360600"/>
    <n v="8600"/>
    <n v="369200"/>
    <n v="43700"/>
    <n v="412900"/>
    <n v="0.12526668698567509"/>
    <n v="-0.33987915407854985"/>
    <n v="4.7172203905655595E-2"/>
  </r>
  <r>
    <n v="2025"/>
    <s v="18132332537    "/>
    <n v="-1.8325814637483102"/>
    <n v="0.16"/>
    <m/>
    <s v="6"/>
    <s v="RES"/>
    <x v="0"/>
    <s v="11"/>
    <s v="259"/>
    <s v="RN"/>
    <s v="G"/>
    <s v="GD"/>
    <x v="6"/>
    <n v="69"/>
    <n v="50"/>
    <n v="1955"/>
    <n v="1974"/>
    <n v="1480"/>
    <m/>
    <n v="1224"/>
    <n v="0"/>
    <n v="1224"/>
    <m/>
    <n v="2704"/>
    <n v="3000"/>
    <n v="8"/>
    <n v="288"/>
    <m/>
    <m/>
    <m/>
    <m/>
    <m/>
    <m/>
    <n v="481721"/>
    <n v="346839"/>
    <n v="0"/>
    <n v="382000"/>
    <n v="50600"/>
    <n v="331400"/>
    <n v="0"/>
    <n v="0"/>
    <n v="89850.625589999996"/>
    <n v="-58009.662049032086"/>
    <n v="44121.038090000002"/>
    <n v="197752.34721000001"/>
    <n v="-11152.280025"/>
    <n v="73124.831417959998"/>
    <n v="0"/>
    <n v="0"/>
    <n v="35596.239782327997"/>
    <n v="30336.176841600001"/>
    <n v="0"/>
    <n v="0"/>
    <n v="369800"/>
    <n v="31800"/>
    <n v="401600"/>
    <n v="5.1308900523560207E-2"/>
    <n v="0.99970000000000003"/>
    <n v="0.98050000000000004"/>
    <n v="0.99650000000000005"/>
    <n v="0.96179999999999999"/>
    <n v="1.0199"/>
    <n v="0.94971499999999998"/>
    <n v="0.91024973874989379"/>
    <n v="369800"/>
    <n v="0"/>
    <n v="369800"/>
    <n v="30200"/>
    <n v="400000"/>
    <n v="0.11587205793602896"/>
    <n v="-0.40316205533596838"/>
    <n v="4.712041884816754E-2"/>
  </r>
  <r>
    <n v="2025"/>
    <s v="18132214036    "/>
    <n v="-1.8971199848858813"/>
    <n v="0.15"/>
    <n v="6568"/>
    <s v="6"/>
    <s v="RES"/>
    <x v="0"/>
    <s v="11"/>
    <s v="259"/>
    <s v="TD"/>
    <s v="G"/>
    <s v="AV"/>
    <x v="6"/>
    <n v="69"/>
    <n v="50"/>
    <n v="1955"/>
    <n v="1974"/>
    <n v="1512"/>
    <m/>
    <m/>
    <n v="0"/>
    <m/>
    <m/>
    <n v="1512"/>
    <n v="2000"/>
    <n v="8"/>
    <n v="572"/>
    <m/>
    <m/>
    <m/>
    <m/>
    <m/>
    <m/>
    <n v="344259"/>
    <n v="240981"/>
    <n v="0"/>
    <n v="312200"/>
    <n v="48400"/>
    <n v="263800"/>
    <n v="0"/>
    <n v="0"/>
    <n v="89850.625589999996"/>
    <n v="-60052.604136134301"/>
    <n v="44121.038090000002"/>
    <n v="160472.20319"/>
    <n v="-11152.280025"/>
    <n v="74705.908854024005"/>
    <n v="0"/>
    <n v="0"/>
    <n v="0"/>
    <n v="30336.176841600001"/>
    <n v="0"/>
    <n v="0"/>
    <n v="298500"/>
    <n v="29800"/>
    <n v="328300"/>
    <n v="5.1569506726457402E-2"/>
    <n v="0.99970000000000003"/>
    <n v="0.98050000000000004"/>
    <n v="0.99729999999999996"/>
    <n v="1.0093000000000001"/>
    <n v="1.0199"/>
    <n v="0.94971499999999998"/>
    <n v="0.95597069536964641"/>
    <n v="298500"/>
    <n v="0"/>
    <n v="298500"/>
    <n v="28300"/>
    <n v="326800"/>
    <n v="0.1315390447308567"/>
    <n v="-0.41528925619834711"/>
    <n v="4.6764894298526587E-2"/>
  </r>
  <r>
    <n v="2025"/>
    <s v="18132313462    "/>
    <n v="-0.73396917508020043"/>
    <n v="0.48"/>
    <m/>
    <s v="6"/>
    <s v="RES"/>
    <x v="0"/>
    <s v="11"/>
    <s v="259"/>
    <s v="RN"/>
    <s v="G"/>
    <s v="GD"/>
    <x v="6"/>
    <n v="69"/>
    <n v="50"/>
    <n v="1955"/>
    <n v="1974"/>
    <n v="1784"/>
    <m/>
    <m/>
    <n v="0"/>
    <m/>
    <m/>
    <n v="1784"/>
    <n v="2000"/>
    <n v="8"/>
    <m/>
    <m/>
    <m/>
    <m/>
    <m/>
    <m/>
    <m/>
    <n v="372015"/>
    <n v="267851"/>
    <n v="13031"/>
    <n v="406000"/>
    <n v="88900"/>
    <n v="317100"/>
    <n v="0"/>
    <n v="0"/>
    <n v="89850.625589999996"/>
    <n v="-23233.512202902497"/>
    <n v="44121.038090000002"/>
    <n v="197752.34721000001"/>
    <n v="-11152.280025"/>
    <n v="88145.067060568006"/>
    <n v="0"/>
    <n v="0"/>
    <n v="0"/>
    <n v="30336.176841600001"/>
    <n v="0"/>
    <n v="13000"/>
    <n v="349200"/>
    <n v="66600"/>
    <n v="428800"/>
    <n v="5.6157635467980298E-2"/>
    <n v="0.99970000000000003"/>
    <n v="0.98050000000000004"/>
    <n v="0.99650000000000005"/>
    <n v="1.0093000000000001"/>
    <n v="1.0199"/>
    <n v="0.94971499999999998"/>
    <n v="0.95520384832633376"/>
    <n v="349200"/>
    <n v="12400"/>
    <n v="361600"/>
    <n v="63300"/>
    <n v="424900"/>
    <n v="0.14033427940712709"/>
    <n v="-0.2879640044994376"/>
    <n v="4.6551724137931037E-2"/>
  </r>
  <r>
    <n v="2025"/>
    <s v="18132323434    "/>
    <n v="-1.6607312068216509"/>
    <n v="0.19"/>
    <m/>
    <s v="6"/>
    <s v="RES"/>
    <x v="0"/>
    <s v="11"/>
    <s v="259"/>
    <s v="TD"/>
    <s v="A"/>
    <s v="AV"/>
    <x v="6"/>
    <n v="69"/>
    <n v="50"/>
    <n v="1955"/>
    <n v="1974"/>
    <n v="984"/>
    <m/>
    <m/>
    <n v="0"/>
    <m/>
    <m/>
    <n v="984"/>
    <n v="1000"/>
    <n v="5"/>
    <m/>
    <m/>
    <m/>
    <m/>
    <m/>
    <m/>
    <m/>
    <n v="176180"/>
    <n v="123326"/>
    <n v="7015"/>
    <n v="268300"/>
    <n v="56600"/>
    <n v="211700"/>
    <n v="0"/>
    <n v="0"/>
    <n v="89850.625589999996"/>
    <n v="-52569.808201026557"/>
    <n v="21557.329055999999"/>
    <n v="160472.20319"/>
    <n v="-11152.280025"/>
    <n v="48618.131158968004"/>
    <n v="0"/>
    <n v="0"/>
    <n v="0"/>
    <n v="18960.110526"/>
    <n v="0"/>
    <n v="7000"/>
    <n v="238500"/>
    <n v="37300"/>
    <n v="282800"/>
    <n v="5.4043980618710401E-2"/>
    <n v="0.99970000000000003"/>
    <n v="1.0067999999999999"/>
    <n v="0.99729999999999996"/>
    <n v="1.0148999999999999"/>
    <n v="1.0199"/>
    <n v="0.94971499999999998"/>
    <n v="0.98705912465374646"/>
    <n v="238500"/>
    <n v="6700"/>
    <n v="245200"/>
    <n v="35400"/>
    <n v="280600"/>
    <n v="0.15824279641001418"/>
    <n v="-0.37455830388692579"/>
    <n v="4.5844204248975028E-2"/>
  </r>
  <r>
    <n v="2025"/>
    <s v="18132323468    "/>
    <n v="-1.4696759700589417"/>
    <n v="0.23"/>
    <m/>
    <s v="6"/>
    <s v="RES"/>
    <x v="0"/>
    <s v="11"/>
    <s v="259"/>
    <s v="RN"/>
    <s v="A"/>
    <s v="AV"/>
    <x v="6"/>
    <n v="69"/>
    <n v="50"/>
    <n v="1955"/>
    <n v="1974"/>
    <n v="1025"/>
    <m/>
    <m/>
    <n v="0"/>
    <m/>
    <m/>
    <n v="1025"/>
    <n v="1500"/>
    <n v="5"/>
    <m/>
    <m/>
    <m/>
    <m/>
    <m/>
    <m/>
    <m/>
    <n v="165174"/>
    <n v="115622"/>
    <n v="45841"/>
    <n v="310900"/>
    <n v="63300"/>
    <n v="247600"/>
    <n v="0"/>
    <n v="0"/>
    <n v="89850.625589999996"/>
    <n v="-46522.028095997222"/>
    <n v="21557.329055999999"/>
    <n v="160472.20319"/>
    <n v="-11152.280025"/>
    <n v="50643.886623924998"/>
    <n v="0"/>
    <n v="0"/>
    <n v="0"/>
    <n v="18960.110526"/>
    <n v="0"/>
    <n v="45800"/>
    <n v="240500"/>
    <n v="43300"/>
    <n v="329600"/>
    <n v="6.0147957542618202E-2"/>
    <n v="0.99970000000000003"/>
    <n v="1.0067999999999999"/>
    <n v="0.99729999999999996"/>
    <n v="1.0157"/>
    <n v="1.0199"/>
    <n v="0.94971499999999998"/>
    <n v="0.98783717894453682"/>
    <n v="240500"/>
    <n v="43500"/>
    <n v="284000"/>
    <n v="41100"/>
    <n v="325100"/>
    <n v="0.1470113085621971"/>
    <n v="-0.35071090047393366"/>
    <n v="4.5673850112576388E-2"/>
  </r>
  <r>
    <n v="2025"/>
    <s v="18132322436    "/>
    <n v="-1.6094379124341003"/>
    <n v="0.2"/>
    <m/>
    <s v="6"/>
    <s v="RES"/>
    <x v="0"/>
    <s v="11"/>
    <s v="259"/>
    <s v="RN"/>
    <s v="A+"/>
    <s v="AV"/>
    <x v="6"/>
    <n v="69"/>
    <n v="50"/>
    <n v="1955"/>
    <n v="1974"/>
    <n v="1086"/>
    <m/>
    <n v="1086"/>
    <n v="0"/>
    <n v="1086"/>
    <m/>
    <n v="2172"/>
    <n v="2500"/>
    <n v="8"/>
    <m/>
    <m/>
    <n v="406"/>
    <m/>
    <m/>
    <m/>
    <m/>
    <n v="336015"/>
    <n v="235211"/>
    <n v="7496"/>
    <n v="337500"/>
    <n v="58400"/>
    <n v="279100"/>
    <n v="0"/>
    <n v="0"/>
    <n v="89850.625589999996"/>
    <n v="-50946.13867709865"/>
    <n v="29814.093161000001"/>
    <n v="160472.20319"/>
    <n v="-11152.280025"/>
    <n v="53657.815486421998"/>
    <n v="0"/>
    <n v="0"/>
    <n v="31582.938238241997"/>
    <n v="30336.176841600001"/>
    <n v="13517.979202056002"/>
    <n v="7500"/>
    <n v="308200"/>
    <n v="38900"/>
    <n v="354600"/>
    <n v="5.0666666666666665E-2"/>
    <n v="0.99970000000000003"/>
    <n v="1.0088999999999999"/>
    <n v="0.99729999999999996"/>
    <n v="0.98919999999999997"/>
    <n v="1.0199"/>
    <n v="0.94971499999999998"/>
    <n v="0.96407081974981479"/>
    <n v="308200"/>
    <n v="7100"/>
    <n v="315300"/>
    <n v="36900"/>
    <n v="352200"/>
    <n v="0.12970261554998208"/>
    <n v="-0.36815068493150682"/>
    <n v="4.3555555555555556E-2"/>
  </r>
  <r>
    <n v="2025"/>
    <s v="18132324409    "/>
    <n v="-1.5606477482646683"/>
    <n v="0.21"/>
    <m/>
    <s v="6"/>
    <s v="RES"/>
    <x v="0"/>
    <s v="11"/>
    <s v="259"/>
    <s v="RN"/>
    <s v="A"/>
    <s v="GD"/>
    <x v="6"/>
    <n v="69"/>
    <n v="50"/>
    <n v="1955"/>
    <n v="1974"/>
    <n v="1152"/>
    <m/>
    <n v="864"/>
    <n v="0"/>
    <n v="864"/>
    <m/>
    <n v="2016"/>
    <n v="2500"/>
    <n v="6"/>
    <m/>
    <n v="288"/>
    <m/>
    <m/>
    <m/>
    <m/>
    <m/>
    <n v="295883"/>
    <n v="213036"/>
    <n v="0"/>
    <n v="336800"/>
    <n v="60100"/>
    <n v="276700"/>
    <n v="0"/>
    <n v="0"/>
    <n v="89850.625589999996"/>
    <n v="-49401.70477837498"/>
    <n v="21557.329055999999"/>
    <n v="197752.34721000001"/>
    <n v="-11152.280025"/>
    <n v="56918.787698304004"/>
    <n v="0"/>
    <n v="0"/>
    <n v="25126.757493408"/>
    <n v="22752.132631200002"/>
    <n v="0"/>
    <n v="0"/>
    <n v="313000"/>
    <n v="40400"/>
    <n v="353400"/>
    <n v="4.9287410926365793E-2"/>
    <n v="0.99970000000000003"/>
    <n v="1.0067999999999999"/>
    <n v="0.99650000000000005"/>
    <n v="0.98919999999999997"/>
    <n v="1.0199"/>
    <n v="0.94971499999999998"/>
    <n v="0.96129239557319079"/>
    <n v="313000"/>
    <n v="0"/>
    <n v="313000"/>
    <n v="38400"/>
    <n v="351400"/>
    <n v="0.13118901337188291"/>
    <n v="-0.36106489184692181"/>
    <n v="4.3349168646080759E-2"/>
  </r>
  <r>
    <n v="2025"/>
    <s v="18132214481    "/>
    <n v="-1.6607312068216509"/>
    <n v="0.19"/>
    <n v="8122"/>
    <s v="6"/>
    <s v="RES"/>
    <x v="0"/>
    <s v="11"/>
    <s v="259"/>
    <s v="RN"/>
    <s v="A"/>
    <s v="AV"/>
    <x v="6"/>
    <n v="69"/>
    <n v="50"/>
    <n v="1955"/>
    <n v="1974"/>
    <n v="987"/>
    <m/>
    <m/>
    <n v="0"/>
    <m/>
    <m/>
    <n v="987"/>
    <n v="1000"/>
    <n v="5"/>
    <m/>
    <m/>
    <m/>
    <m/>
    <m/>
    <m/>
    <m/>
    <n v="176423"/>
    <n v="123496"/>
    <n v="20256"/>
    <n v="281100"/>
    <n v="56600"/>
    <n v="224500"/>
    <n v="0"/>
    <n v="0"/>
    <n v="89850.625589999996"/>
    <n v="-52569.808201026557"/>
    <n v="21557.329055999999"/>
    <n v="160472.20319"/>
    <n v="-11152.280025"/>
    <n v="48766.357168599003"/>
    <n v="0"/>
    <n v="0"/>
    <n v="0"/>
    <n v="18960.110526"/>
    <n v="0"/>
    <n v="20300"/>
    <n v="238600"/>
    <n v="37300"/>
    <n v="296200"/>
    <n v="5.3717538242618289E-2"/>
    <n v="0.99970000000000003"/>
    <n v="1.0067999999999999"/>
    <n v="0.99729999999999996"/>
    <n v="1.0148999999999999"/>
    <n v="1.0199"/>
    <n v="0.94971499999999998"/>
    <n v="0.98705912465374646"/>
    <n v="238600"/>
    <n v="19200"/>
    <n v="257800"/>
    <n v="35400"/>
    <n v="293200"/>
    <n v="0.14832962138084632"/>
    <n v="-0.37455830388692579"/>
    <n v="4.3045179651369621E-2"/>
  </r>
  <r>
    <n v="2025"/>
    <s v="18132243469    "/>
    <n v="-1.7147984280919266"/>
    <n v="0.18"/>
    <n v="7926"/>
    <s v="6"/>
    <s v="RES"/>
    <x v="0"/>
    <s v="11"/>
    <s v="259"/>
    <s v="RN"/>
    <s v="G"/>
    <s v="AV"/>
    <x v="6"/>
    <n v="69"/>
    <n v="50"/>
    <n v="1955"/>
    <n v="1974"/>
    <n v="1380"/>
    <m/>
    <m/>
    <n v="0"/>
    <m/>
    <m/>
    <n v="1380"/>
    <n v="1500"/>
    <n v="7"/>
    <n v="240"/>
    <m/>
    <m/>
    <m/>
    <m/>
    <m/>
    <m/>
    <n v="329979"/>
    <n v="230985"/>
    <n v="0"/>
    <n v="308800"/>
    <n v="54700"/>
    <n v="254100"/>
    <n v="0"/>
    <n v="0"/>
    <n v="89850.625589999996"/>
    <n v="-54281.285314520763"/>
    <n v="44121.038090000002"/>
    <n v="160472.20319"/>
    <n v="-11152.280025"/>
    <n v="68183.964430260006"/>
    <n v="0"/>
    <n v="0"/>
    <n v="0"/>
    <n v="26544.1547364"/>
    <n v="0"/>
    <n v="0"/>
    <n v="288200"/>
    <n v="35600"/>
    <n v="323800"/>
    <n v="4.8575129533678756E-2"/>
    <n v="0.99970000000000003"/>
    <n v="0.98050000000000004"/>
    <n v="0.99729999999999996"/>
    <n v="1.0157"/>
    <n v="1.0199"/>
    <n v="0.94971499999999998"/>
    <n v="0.96203253273253719"/>
    <n v="288200"/>
    <n v="0"/>
    <n v="288200"/>
    <n v="33800"/>
    <n v="322000"/>
    <n v="0.13419913419913421"/>
    <n v="-0.38208409506398539"/>
    <n v="4.2746113989637305E-2"/>
  </r>
  <r>
    <n v="2025"/>
    <s v="18132331036    "/>
    <n v="-1.7719568419318752"/>
    <n v="0.17"/>
    <n v="7480"/>
    <s v="6"/>
    <s v="RES"/>
    <x v="0"/>
    <s v="11"/>
    <s v="259"/>
    <s v="RN"/>
    <s v="G"/>
    <s v="GD"/>
    <x v="6"/>
    <n v="69"/>
    <n v="50"/>
    <n v="1955"/>
    <n v="1974"/>
    <n v="1436"/>
    <m/>
    <n v="1436"/>
    <n v="0"/>
    <n v="1436"/>
    <m/>
    <n v="2872"/>
    <n v="3000"/>
    <n v="8"/>
    <m/>
    <m/>
    <m/>
    <m/>
    <m/>
    <m/>
    <m/>
    <n v="482340"/>
    <n v="347285"/>
    <n v="15510"/>
    <n v="403500"/>
    <n v="52700"/>
    <n v="350800"/>
    <n v="0"/>
    <n v="0"/>
    <n v="89850.625589999996"/>
    <n v="-56090.612940989391"/>
    <n v="44121.038090000002"/>
    <n v="197752.34721000001"/>
    <n v="-11152.280025"/>
    <n v="70950.849943371999"/>
    <n v="0"/>
    <n v="0"/>
    <n v="41761.601574691995"/>
    <n v="30336.176841600001"/>
    <n v="0"/>
    <n v="15500"/>
    <n v="373800"/>
    <n v="33800"/>
    <n v="423100"/>
    <n v="4.8574969021065673E-2"/>
    <n v="0.99970000000000003"/>
    <n v="0.98050000000000004"/>
    <n v="0.99650000000000005"/>
    <n v="0.96179999999999999"/>
    <n v="1.0199"/>
    <n v="0.94971499999999998"/>
    <n v="0.91024973874989379"/>
    <n v="373800"/>
    <n v="14700"/>
    <n v="388500"/>
    <n v="32100"/>
    <n v="420600"/>
    <n v="0.10746864310148233"/>
    <n v="-0.39089184060721061"/>
    <n v="4.2379182156133829E-2"/>
  </r>
  <r>
    <n v="2025"/>
    <s v="18132214461    "/>
    <n v="-1.6094379124341003"/>
    <n v="0.2"/>
    <n v="8519"/>
    <s v="6"/>
    <s v="RES"/>
    <x v="0"/>
    <s v="11"/>
    <s v="259"/>
    <s v="TD"/>
    <s v="A"/>
    <s v="AV"/>
    <x v="6"/>
    <n v="69"/>
    <n v="50"/>
    <n v="1955"/>
    <n v="1974"/>
    <n v="1069"/>
    <m/>
    <n v="1069"/>
    <n v="716"/>
    <n v="353"/>
    <m/>
    <n v="1422"/>
    <n v="1500"/>
    <n v="8"/>
    <n v="240"/>
    <m/>
    <m/>
    <m/>
    <m/>
    <m/>
    <m/>
    <n v="257354"/>
    <n v="180148"/>
    <n v="0"/>
    <n v="309100"/>
    <n v="58400"/>
    <n v="250700"/>
    <n v="0"/>
    <n v="0"/>
    <n v="89850.625589999996"/>
    <n v="-50946.13867709865"/>
    <n v="21557.329055999999"/>
    <n v="160472.20319"/>
    <n v="-11152.280025"/>
    <n v="52817.868098513005"/>
    <n v="0"/>
    <n v="0"/>
    <n v="31088.546019042999"/>
    <n v="30336.176841600001"/>
    <n v="0"/>
    <n v="0"/>
    <n v="285100"/>
    <n v="38900"/>
    <n v="324000"/>
    <n v="4.8204464574571337E-2"/>
    <n v="0.99970000000000003"/>
    <n v="1.0067999999999999"/>
    <n v="0.99729999999999996"/>
    <n v="1.0157"/>
    <n v="1.0199"/>
    <n v="0.94971499999999998"/>
    <n v="0.98783717894453682"/>
    <n v="285100"/>
    <n v="0"/>
    <n v="285100"/>
    <n v="36900"/>
    <n v="322000"/>
    <n v="0.13721579577183884"/>
    <n v="-0.36815068493150682"/>
    <n v="4.1734066645098676E-2"/>
  </r>
  <r>
    <n v="2025"/>
    <s v="18132211401    "/>
    <n v="-0.916290731874155"/>
    <n v="0.4"/>
    <n v="17474"/>
    <s v="6"/>
    <s v="RES"/>
    <x v="0"/>
    <s v="11"/>
    <s v="259"/>
    <s v="RN"/>
    <s v="G"/>
    <s v="GD"/>
    <x v="6"/>
    <n v="69"/>
    <n v="50"/>
    <n v="1955"/>
    <n v="1974"/>
    <n v="1900"/>
    <m/>
    <n v="1846"/>
    <n v="554"/>
    <n v="1292"/>
    <m/>
    <n v="3192"/>
    <n v="3500"/>
    <n v="11"/>
    <n v="552"/>
    <m/>
    <n v="233"/>
    <m/>
    <m/>
    <m/>
    <m/>
    <n v="627719"/>
    <n v="451958"/>
    <n v="0"/>
    <n v="466300"/>
    <n v="82600"/>
    <n v="383700"/>
    <n v="0"/>
    <n v="0"/>
    <n v="89850.625589999996"/>
    <n v="-29004.831024516039"/>
    <n v="44121.038090000002"/>
    <n v="197752.34721000001"/>
    <n v="-11152.280025"/>
    <n v="93876.472766300009"/>
    <n v="0"/>
    <n v="0"/>
    <n v="53685.178625961998"/>
    <n v="41712.243157199999"/>
    <n v="7757.8550593080008"/>
    <n v="0"/>
    <n v="427800"/>
    <n v="60800"/>
    <n v="488600"/>
    <n v="4.7823289727643145E-2"/>
    <n v="0.99970000000000003"/>
    <n v="0.98050000000000004"/>
    <n v="0.99650000000000005"/>
    <n v="1.0126999999999999"/>
    <n v="1.0199"/>
    <n v="0.94971499999999998"/>
    <n v="0.95842161616969979"/>
    <n v="427800"/>
    <n v="0"/>
    <n v="427800"/>
    <n v="57800"/>
    <n v="485600"/>
    <n v="0.11493354182955434"/>
    <n v="-0.30024213075060535"/>
    <n v="4.1389663306883984E-2"/>
  </r>
  <r>
    <n v="2025"/>
    <s v="18132323486    "/>
    <n v="-1.5606477482646683"/>
    <n v="0.21"/>
    <m/>
    <s v="6"/>
    <s v="RES"/>
    <x v="0"/>
    <s v="11"/>
    <s v="259"/>
    <s v="RN"/>
    <s v="A"/>
    <s v="AV"/>
    <x v="6"/>
    <n v="69"/>
    <n v="50"/>
    <n v="1955"/>
    <n v="1974"/>
    <n v="1025"/>
    <m/>
    <m/>
    <n v="0"/>
    <m/>
    <m/>
    <n v="1025"/>
    <n v="1500"/>
    <n v="5"/>
    <m/>
    <m/>
    <n v="138"/>
    <m/>
    <m/>
    <m/>
    <m/>
    <n v="183715"/>
    <n v="128601"/>
    <n v="11609"/>
    <n v="282800"/>
    <n v="60100"/>
    <n v="222700"/>
    <n v="0"/>
    <n v="0"/>
    <n v="89850.625589999996"/>
    <n v="-49401.70477837498"/>
    <n v="21557.329055999999"/>
    <n v="160472.20319"/>
    <n v="-11152.280025"/>
    <n v="50643.886623924998"/>
    <n v="0"/>
    <n v="0"/>
    <n v="0"/>
    <n v="18960.110526"/>
    <n v="4594.7811080880001"/>
    <n v="11600"/>
    <n v="245100"/>
    <n v="40400"/>
    <n v="297100"/>
    <n v="5.0565770862800563E-2"/>
    <n v="0.99970000000000003"/>
    <n v="1.0067999999999999"/>
    <n v="0.99729999999999996"/>
    <n v="1.0157"/>
    <n v="1.0199"/>
    <n v="0.94971499999999998"/>
    <n v="0.98783717894453682"/>
    <n v="245100"/>
    <n v="11000"/>
    <n v="256100"/>
    <n v="38400"/>
    <n v="294500"/>
    <n v="0.14997754827121687"/>
    <n v="-0.36106489184692181"/>
    <n v="4.1371994342291371E-2"/>
  </r>
  <r>
    <n v="2025"/>
    <s v="18132213447    "/>
    <n v="-1.8971199848858813"/>
    <n v="0.15"/>
    <n v="6749"/>
    <s v="6"/>
    <s v="RES"/>
    <x v="0"/>
    <s v="11"/>
    <s v="259"/>
    <s v="RN"/>
    <s v="A+"/>
    <s v="AV"/>
    <x v="6"/>
    <n v="69"/>
    <n v="50"/>
    <n v="1955"/>
    <n v="1974"/>
    <n v="1152"/>
    <m/>
    <m/>
    <n v="0"/>
    <m/>
    <m/>
    <n v="1152"/>
    <n v="1500"/>
    <n v="9"/>
    <m/>
    <m/>
    <n v="80"/>
    <m/>
    <m/>
    <m/>
    <m/>
    <n v="232737"/>
    <n v="162916"/>
    <n v="7795"/>
    <n v="296300"/>
    <n v="48400"/>
    <n v="247900"/>
    <n v="0"/>
    <n v="0"/>
    <n v="89850.625589999996"/>
    <n v="-60052.604136134301"/>
    <n v="29814.093161000001"/>
    <n v="160472.20319"/>
    <n v="-11152.280025"/>
    <n v="56918.787698304004"/>
    <n v="0"/>
    <n v="0"/>
    <n v="0"/>
    <n v="34128.198946800003"/>
    <n v="2663.6412220800003"/>
    <n v="7800"/>
    <n v="272800"/>
    <n v="29800"/>
    <n v="310400"/>
    <n v="4.7586905163685453E-2"/>
    <n v="0.99970000000000003"/>
    <n v="1.0088999999999999"/>
    <n v="0.99729999999999996"/>
    <n v="1.0157"/>
    <n v="1.0199"/>
    <n v="0.94971499999999998"/>
    <n v="0.98989762598047604"/>
    <n v="272800"/>
    <n v="7400"/>
    <n v="280200"/>
    <n v="28300"/>
    <n v="308500"/>
    <n v="0.13029447357805568"/>
    <n v="-0.41528925619834711"/>
    <n v="4.1174485318933515E-2"/>
  </r>
  <r>
    <n v="2025"/>
    <s v="18132241480    "/>
    <n v="-1.5141277326297755"/>
    <n v="0.22"/>
    <n v="9372"/>
    <s v="6"/>
    <s v="RES"/>
    <x v="0"/>
    <s v="11"/>
    <s v="259"/>
    <s v="RN"/>
    <s v="A+"/>
    <s v="GD"/>
    <x v="6"/>
    <n v="69"/>
    <n v="50"/>
    <n v="1955"/>
    <n v="1974"/>
    <n v="1284"/>
    <m/>
    <n v="1284"/>
    <n v="258"/>
    <n v="1026"/>
    <m/>
    <n v="2310"/>
    <n v="2500"/>
    <n v="10"/>
    <m/>
    <m/>
    <m/>
    <m/>
    <m/>
    <m/>
    <m/>
    <n v="357151"/>
    <n v="257149"/>
    <n v="7116"/>
    <n v="386000"/>
    <n v="61700"/>
    <n v="324300"/>
    <n v="0"/>
    <n v="0"/>
    <n v="89850.625589999996"/>
    <n v="-47929.131559187132"/>
    <n v="29814.093161000001"/>
    <n v="197752.34721000001"/>
    <n v="-11152.280025"/>
    <n v="63440.732122068002"/>
    <n v="0"/>
    <n v="0"/>
    <n v="37341.153497148"/>
    <n v="37920.221052000001"/>
    <n v="0"/>
    <n v="7100"/>
    <n v="355100"/>
    <n v="41900"/>
    <n v="404100"/>
    <n v="4.6891191709844557E-2"/>
    <n v="0.99970000000000003"/>
    <n v="1.0088999999999999"/>
    <n v="0.99650000000000005"/>
    <n v="0.98919999999999997"/>
    <n v="1.0199"/>
    <n v="0.94971499999999998"/>
    <n v="0.9632974750633615"/>
    <n v="355100"/>
    <n v="6800"/>
    <n v="361900"/>
    <n v="39800"/>
    <n v="401700"/>
    <n v="0.11594202898550725"/>
    <n v="-0.35494327390599678"/>
    <n v="4.0673575129533679E-2"/>
  </r>
  <r>
    <n v="2025"/>
    <s v="18132313463    "/>
    <n v="-0.73396917508020043"/>
    <n v="0.48"/>
    <n v="21000"/>
    <s v="6"/>
    <s v="RES"/>
    <x v="0"/>
    <s v="11"/>
    <s v="259"/>
    <s v="TD"/>
    <s v="G"/>
    <s v="GD"/>
    <x v="6"/>
    <n v="69"/>
    <n v="50"/>
    <n v="1955"/>
    <n v="1974"/>
    <n v="2521"/>
    <m/>
    <m/>
    <n v="0"/>
    <m/>
    <m/>
    <n v="2521"/>
    <n v="3000"/>
    <n v="5"/>
    <m/>
    <m/>
    <m/>
    <m/>
    <m/>
    <m/>
    <m/>
    <n v="480521"/>
    <n v="345975"/>
    <n v="0"/>
    <n v="420500"/>
    <n v="88900"/>
    <n v="331600"/>
    <n v="0"/>
    <n v="0"/>
    <n v="89850.625589999996"/>
    <n v="-23233.512202902497"/>
    <n v="44121.038090000002"/>
    <n v="197752.34721000001"/>
    <n v="-11152.280025"/>
    <n v="124559.256759917"/>
    <n v="0"/>
    <n v="0"/>
    <n v="0"/>
    <n v="18960.110526"/>
    <n v="0"/>
    <n v="0"/>
    <n v="374200"/>
    <n v="66600"/>
    <n v="440800"/>
    <n v="4.8275862068965517E-2"/>
    <n v="0.99970000000000003"/>
    <n v="0.98050000000000004"/>
    <n v="0.99650000000000005"/>
    <n v="0.96179999999999999"/>
    <n v="1.0199"/>
    <n v="0.94971499999999998"/>
    <n v="0.91024973874989379"/>
    <n v="374200"/>
    <n v="0"/>
    <n v="374200"/>
    <n v="63300"/>
    <n v="437500"/>
    <n v="0.12846803377563329"/>
    <n v="-0.2879640044994376"/>
    <n v="4.042806183115339E-2"/>
  </r>
  <r>
    <n v="2025"/>
    <s v="18132243441    "/>
    <n v="-1.1711829815029451"/>
    <n v="0.31"/>
    <n v="13650"/>
    <s v="6"/>
    <s v="RES"/>
    <x v="0"/>
    <s v="11"/>
    <s v="259"/>
    <s v="CP"/>
    <s v="G"/>
    <s v="GD"/>
    <x v="6"/>
    <n v="69"/>
    <n v="50"/>
    <n v="1955"/>
    <n v="1974"/>
    <n v="2456"/>
    <m/>
    <n v="724"/>
    <n v="224"/>
    <n v="500"/>
    <m/>
    <n v="2956"/>
    <n v="3000"/>
    <n v="12"/>
    <n v="600"/>
    <m/>
    <m/>
    <m/>
    <m/>
    <m/>
    <m/>
    <n v="648741"/>
    <n v="467094"/>
    <n v="17444"/>
    <n v="466800"/>
    <n v="73700"/>
    <n v="393100"/>
    <n v="0"/>
    <n v="0"/>
    <n v="89850.625589999996"/>
    <n v="-37073.347241874442"/>
    <n v="44121.038090000002"/>
    <n v="197752.34721000001"/>
    <n v="-11152.280025"/>
    <n v="121347.693217912"/>
    <n v="0"/>
    <n v="0"/>
    <n v="21055.292158828001"/>
    <n v="45504.265262400004"/>
    <n v="0"/>
    <n v="17400"/>
    <n v="418600"/>
    <n v="52800"/>
    <n v="488800"/>
    <n v="4.7129391602399318E-2"/>
    <n v="0.99970000000000003"/>
    <n v="0.98050000000000004"/>
    <n v="0.99650000000000005"/>
    <n v="0.96179999999999999"/>
    <n v="1.0199"/>
    <n v="0.94971499999999998"/>
    <n v="0.91024973874989379"/>
    <n v="418600"/>
    <n v="16600"/>
    <n v="435200"/>
    <n v="50100"/>
    <n v="485300"/>
    <n v="0.10709743067921648"/>
    <n v="-0.32021709633649931"/>
    <n v="3.9631533847472152E-2"/>
  </r>
  <r>
    <n v="2025"/>
    <s v="18132242471    "/>
    <n v="-1.3470736479666092"/>
    <n v="0.26"/>
    <n v="11519"/>
    <s v="6"/>
    <s v="RES"/>
    <x v="0"/>
    <s v="11"/>
    <s v="259"/>
    <s v="SE"/>
    <s v="A+"/>
    <s v="GD"/>
    <x v="6"/>
    <n v="69"/>
    <n v="50"/>
    <n v="1955"/>
    <n v="1974"/>
    <n v="1100"/>
    <m/>
    <n v="1100"/>
    <n v="0"/>
    <n v="1100"/>
    <m/>
    <n v="2200"/>
    <n v="2500"/>
    <n v="10"/>
    <m/>
    <m/>
    <m/>
    <m/>
    <m/>
    <m/>
    <m/>
    <n v="357529"/>
    <n v="257421"/>
    <n v="0"/>
    <n v="371100"/>
    <n v="67600"/>
    <n v="303500"/>
    <n v="0"/>
    <n v="0"/>
    <n v="89850.625589999996"/>
    <n v="-42641.098701210125"/>
    <n v="29814.093161000001"/>
    <n v="197752.34721000001"/>
    <n v="-11152.280025"/>
    <n v="54349.5368647"/>
    <n v="0"/>
    <n v="0"/>
    <n v="31990.0847717"/>
    <n v="37920.221052000001"/>
    <n v="0"/>
    <n v="0"/>
    <n v="340700"/>
    <n v="47200"/>
    <n v="387900"/>
    <n v="4.5270816491511719E-2"/>
    <n v="0.99970000000000003"/>
    <n v="1.0088999999999999"/>
    <n v="0.99650000000000005"/>
    <n v="0.98919999999999997"/>
    <n v="1.0199"/>
    <n v="0.94971499999999998"/>
    <n v="0.9632974750633615"/>
    <n v="340700"/>
    <n v="0"/>
    <n v="340700"/>
    <n v="44800"/>
    <n v="385500"/>
    <n v="0.12257001647446458"/>
    <n v="-0.33727810650887574"/>
    <n v="3.8803556992724336E-2"/>
  </r>
  <r>
    <n v="2025"/>
    <s v="18132213441    "/>
    <n v="-1.8971199848858813"/>
    <n v="0.15"/>
    <n v="6613"/>
    <s v="6"/>
    <s v="RES"/>
    <x v="0"/>
    <s v="11"/>
    <s v="400"/>
    <s v="RN"/>
    <s v="A"/>
    <s v="AV"/>
    <x v="6"/>
    <n v="69"/>
    <n v="50"/>
    <n v="1955"/>
    <n v="1974"/>
    <n v="1467"/>
    <m/>
    <m/>
    <n v="0"/>
    <m/>
    <m/>
    <n v="1467"/>
    <n v="1500"/>
    <n v="7"/>
    <n v="336"/>
    <m/>
    <m/>
    <m/>
    <m/>
    <m/>
    <m/>
    <n v="249803"/>
    <n v="174862"/>
    <n v="0"/>
    <n v="287100"/>
    <n v="48400"/>
    <n v="238700"/>
    <n v="0"/>
    <n v="0"/>
    <n v="89850.625589999996"/>
    <n v="-60052.604136134301"/>
    <n v="21557.329055999999"/>
    <n v="160472.20319"/>
    <n v="-11152.280025"/>
    <n v="72482.518709559008"/>
    <n v="0"/>
    <n v="0"/>
    <n v="0"/>
    <n v="26544.1547364"/>
    <n v="0"/>
    <n v="0"/>
    <n v="269900"/>
    <n v="29800"/>
    <n v="299700"/>
    <n v="4.3887147335423198E-2"/>
    <n v="0.99970000000000003"/>
    <n v="1.0067999999999999"/>
    <n v="0.99729999999999996"/>
    <n v="1.0157"/>
    <n v="1.0199"/>
    <n v="0.94971499999999998"/>
    <n v="0.98783717894453682"/>
    <n v="269900"/>
    <n v="0"/>
    <n v="269900"/>
    <n v="28300"/>
    <n v="298200"/>
    <n v="0.13070800167574362"/>
    <n v="-0.41528925619834711"/>
    <n v="3.8662486938349006E-2"/>
  </r>
  <r>
    <n v="2025"/>
    <s v="18132242432    "/>
    <n v="-1.3862943611198906"/>
    <n v="0.25"/>
    <n v="10902"/>
    <s v="6"/>
    <s v="RES"/>
    <x v="0"/>
    <s v="11"/>
    <s v="259"/>
    <s v="RN"/>
    <s v="A"/>
    <s v="AV"/>
    <x v="6"/>
    <n v="69"/>
    <n v="50"/>
    <n v="1955"/>
    <n v="1974"/>
    <n v="1271"/>
    <m/>
    <m/>
    <n v="0"/>
    <m/>
    <m/>
    <n v="1271"/>
    <n v="1500"/>
    <n v="5"/>
    <m/>
    <m/>
    <m/>
    <m/>
    <m/>
    <m/>
    <m/>
    <n v="231108"/>
    <n v="161776"/>
    <n v="15295"/>
    <n v="299300"/>
    <n v="66200"/>
    <n v="233100"/>
    <n v="0"/>
    <n v="0"/>
    <n v="89850.625589999996"/>
    <n v="-43882.615305165229"/>
    <n v="21557.329055999999"/>
    <n v="160472.20319"/>
    <n v="-11152.280025"/>
    <n v="62798.419413667005"/>
    <n v="0"/>
    <n v="0"/>
    <n v="0"/>
    <n v="18960.110526"/>
    <n v="0"/>
    <n v="15300"/>
    <n v="252600"/>
    <n v="46000"/>
    <n v="313900"/>
    <n v="4.878048780487805E-2"/>
    <n v="0.99970000000000003"/>
    <n v="1.0067999999999999"/>
    <n v="0.99729999999999996"/>
    <n v="1.0157"/>
    <n v="1.0199"/>
    <n v="0.94971499999999998"/>
    <n v="0.98783717894453682"/>
    <n v="252600"/>
    <n v="14500"/>
    <n v="267100"/>
    <n v="43700"/>
    <n v="310800"/>
    <n v="0.14586014586014587"/>
    <n v="-0.33987915407854985"/>
    <n v="3.8422986969595722E-2"/>
  </r>
  <r>
    <n v="2025"/>
    <s v="18132323473    "/>
    <n v="-1.5141277326297755"/>
    <n v="0.22"/>
    <m/>
    <s v="6"/>
    <s v="RES"/>
    <x v="0"/>
    <s v="11"/>
    <s v="259"/>
    <s v="RN"/>
    <s v="A"/>
    <s v="AV"/>
    <x v="6"/>
    <n v="69"/>
    <n v="50"/>
    <n v="1955"/>
    <n v="1974"/>
    <n v="1494"/>
    <m/>
    <n v="1272"/>
    <n v="636"/>
    <n v="636"/>
    <m/>
    <n v="2130"/>
    <n v="2500"/>
    <n v="8"/>
    <m/>
    <m/>
    <n v="110"/>
    <m/>
    <m/>
    <m/>
    <m/>
    <n v="336748"/>
    <n v="235724"/>
    <n v="0"/>
    <n v="342600"/>
    <n v="61700"/>
    <n v="280900"/>
    <n v="0"/>
    <n v="0"/>
    <n v="89850.625589999996"/>
    <n v="-47929.131559187132"/>
    <n v="21557.329055999999"/>
    <n v="160472.20319"/>
    <n v="-11152.280025"/>
    <n v="73816.552796238"/>
    <n v="0"/>
    <n v="0"/>
    <n v="36992.170754184001"/>
    <n v="30336.176841600001"/>
    <n v="3662.5066803600002"/>
    <n v="0"/>
    <n v="315700"/>
    <n v="41900"/>
    <n v="357600"/>
    <n v="4.3782837127845885E-2"/>
    <n v="0.99970000000000003"/>
    <n v="1.0067999999999999"/>
    <n v="0.99729999999999996"/>
    <n v="0.98919999999999997"/>
    <n v="1.0199"/>
    <n v="0.94971499999999998"/>
    <n v="0.9620641305621106"/>
    <n v="315700"/>
    <n v="0"/>
    <n v="315700"/>
    <n v="39800"/>
    <n v="355500"/>
    <n v="0.1238875044499822"/>
    <n v="-0.35494327390599678"/>
    <n v="3.7653239929947457E-2"/>
  </r>
  <r>
    <n v="2025"/>
    <s v="18132334473    "/>
    <n v="-1.7719568419318752"/>
    <n v="0.17"/>
    <n v="7419"/>
    <s v="6"/>
    <s v="RES"/>
    <x v="0"/>
    <s v="11"/>
    <s v="400"/>
    <s v="TD"/>
    <s v="A"/>
    <s v="AV"/>
    <x v="6"/>
    <n v="69"/>
    <n v="50"/>
    <n v="1955"/>
    <n v="1974"/>
    <n v="1140"/>
    <m/>
    <n v="1140"/>
    <n v="574"/>
    <n v="566"/>
    <m/>
    <n v="1706"/>
    <n v="2000"/>
    <n v="8"/>
    <m/>
    <m/>
    <m/>
    <m/>
    <m/>
    <m/>
    <m/>
    <n v="266436"/>
    <n v="186505"/>
    <n v="0"/>
    <n v="311100"/>
    <n v="52700"/>
    <n v="258400"/>
    <n v="0"/>
    <n v="0"/>
    <n v="89850.625589999996"/>
    <n v="-56090.612940989391"/>
    <n v="21557.329055999999"/>
    <n v="160472.20319"/>
    <n v="-11152.280025"/>
    <n v="56325.883659780004"/>
    <n v="0"/>
    <n v="0"/>
    <n v="33153.360581579997"/>
    <n v="30336.176841600001"/>
    <n v="0"/>
    <n v="0"/>
    <n v="290700"/>
    <n v="33800"/>
    <n v="324500"/>
    <n v="4.3072966891674704E-2"/>
    <n v="0.99970000000000003"/>
    <n v="1.0067999999999999"/>
    <n v="0.99729999999999996"/>
    <n v="1.0093000000000001"/>
    <n v="1.0199"/>
    <n v="0.94971499999999998"/>
    <n v="0.98161274461821502"/>
    <n v="290700"/>
    <n v="0"/>
    <n v="290700"/>
    <n v="32100"/>
    <n v="322800"/>
    <n v="0.125"/>
    <n v="-0.39089184060721061"/>
    <n v="3.7608486017357765E-2"/>
  </r>
  <r>
    <n v="2025"/>
    <s v="18132323496    "/>
    <n v="-1.5141277326297755"/>
    <n v="0.22"/>
    <m/>
    <s v="6"/>
    <s v="RES"/>
    <x v="0"/>
    <s v="11"/>
    <s v="259"/>
    <s v="RN"/>
    <s v="A"/>
    <s v="AV"/>
    <x v="6"/>
    <n v="69"/>
    <n v="50"/>
    <n v="1955"/>
    <n v="1974"/>
    <n v="1050"/>
    <m/>
    <m/>
    <n v="0"/>
    <m/>
    <m/>
    <n v="1050"/>
    <n v="1500"/>
    <n v="8"/>
    <m/>
    <m/>
    <m/>
    <m/>
    <m/>
    <m/>
    <m/>
    <n v="185290"/>
    <n v="129703"/>
    <n v="2900"/>
    <n v="285100"/>
    <n v="61700"/>
    <n v="223400"/>
    <n v="0"/>
    <n v="0"/>
    <n v="89850.625589999996"/>
    <n v="-47929.131559187132"/>
    <n v="21557.329055999999"/>
    <n v="160472.20319"/>
    <n v="-11152.280025"/>
    <n v="51879.103370850004"/>
    <n v="0"/>
    <n v="0"/>
    <n v="0"/>
    <n v="30336.176841600001"/>
    <n v="0"/>
    <n v="2900"/>
    <n v="253100"/>
    <n v="41900"/>
    <n v="297900"/>
    <n v="4.4896527534198524E-2"/>
    <n v="0.99970000000000003"/>
    <n v="1.0067999999999999"/>
    <n v="0.99729999999999996"/>
    <n v="1.0157"/>
    <n v="1.0199"/>
    <n v="0.94971499999999998"/>
    <n v="0.98783717894453682"/>
    <n v="253100"/>
    <n v="2800"/>
    <n v="255900"/>
    <n v="39800"/>
    <n v="295700"/>
    <n v="0.14547896150402864"/>
    <n v="-0.35494327390599678"/>
    <n v="3.7179936864258155E-2"/>
  </r>
  <r>
    <n v="2025"/>
    <s v="18132244480    "/>
    <n v="-1.3470736479666092"/>
    <n v="0.26"/>
    <n v="11396"/>
    <s v="6"/>
    <s v="RES"/>
    <x v="0"/>
    <s v="11"/>
    <s v="259"/>
    <s v="RN"/>
    <s v="A+"/>
    <s v="GD"/>
    <x v="6"/>
    <n v="69"/>
    <n v="50"/>
    <n v="1955"/>
    <n v="1974"/>
    <n v="1274"/>
    <m/>
    <n v="1274"/>
    <n v="0"/>
    <n v="1274"/>
    <m/>
    <n v="2548"/>
    <n v="3000"/>
    <n v="8"/>
    <n v="620"/>
    <m/>
    <n v="132"/>
    <m/>
    <m/>
    <m/>
    <m/>
    <n v="403145"/>
    <n v="290264"/>
    <n v="0"/>
    <n v="381900"/>
    <n v="67600"/>
    <n v="314300"/>
    <n v="0"/>
    <n v="0"/>
    <n v="89850.625589999996"/>
    <n v="-42641.098701210125"/>
    <n v="29814.093161000001"/>
    <n v="197752.34721000001"/>
    <n v="-11152.280025"/>
    <n v="62946.645423298003"/>
    <n v="0"/>
    <n v="0"/>
    <n v="37050.334544678"/>
    <n v="30336.176841600001"/>
    <n v="4395.0080164320007"/>
    <n v="0"/>
    <n v="351100"/>
    <n v="47200"/>
    <n v="398300"/>
    <n v="4.2943178842628958E-2"/>
    <n v="0.99970000000000003"/>
    <n v="1.0088999999999999"/>
    <n v="0.99650000000000005"/>
    <n v="0.96179999999999999"/>
    <n v="1.0199"/>
    <n v="0.94971499999999998"/>
    <n v="0.93661495300843212"/>
    <n v="351100"/>
    <n v="0"/>
    <n v="351100"/>
    <n v="44800"/>
    <n v="395900"/>
    <n v="0.11708558701877188"/>
    <n v="-0.33727810650887574"/>
    <n v="3.6658811207122284E-2"/>
  </r>
  <r>
    <n v="2025"/>
    <s v="18132324463    "/>
    <n v="-1.6094379124341003"/>
    <n v="0.2"/>
    <m/>
    <s v="6"/>
    <s v="RES"/>
    <x v="0"/>
    <s v="11"/>
    <s v="259"/>
    <s v="RN"/>
    <s v="G"/>
    <s v="GD"/>
    <x v="6"/>
    <n v="69"/>
    <n v="50"/>
    <n v="1955"/>
    <n v="1974"/>
    <n v="1293"/>
    <m/>
    <n v="1293"/>
    <n v="0"/>
    <n v="1293"/>
    <m/>
    <n v="2586"/>
    <n v="3000"/>
    <n v="8"/>
    <m/>
    <m/>
    <m/>
    <m/>
    <m/>
    <m/>
    <m/>
    <n v="455393"/>
    <n v="327883"/>
    <n v="40915"/>
    <n v="423200"/>
    <n v="58400"/>
    <n v="364800"/>
    <n v="0"/>
    <n v="0"/>
    <n v="89850.625589999996"/>
    <n v="-50946.13867709865"/>
    <n v="44121.038090000002"/>
    <n v="197752.34721000001"/>
    <n v="-11152.280025"/>
    <n v="63885.410150961005"/>
    <n v="0"/>
    <n v="0"/>
    <n v="37602.890554370999"/>
    <n v="30336.176841600001"/>
    <n v="0"/>
    <n v="40900"/>
    <n v="362500"/>
    <n v="38900"/>
    <n v="442300"/>
    <n v="4.5132325141776938E-2"/>
    <n v="0.99970000000000003"/>
    <n v="0.98050000000000004"/>
    <n v="0.99650000000000005"/>
    <n v="0.96179999999999999"/>
    <n v="1.0199"/>
    <n v="0.94971499999999998"/>
    <n v="0.91024973874989379"/>
    <n v="362500"/>
    <n v="38900"/>
    <n v="401400"/>
    <n v="36900"/>
    <n v="438300"/>
    <n v="0.10032894736842106"/>
    <n v="-0.36815068493150682"/>
    <n v="3.5680529300567108E-2"/>
  </r>
  <r>
    <n v="2025"/>
    <s v="18132244462    "/>
    <n v="-1.2378743560016174"/>
    <n v="0.28999999999999998"/>
    <n v="12600"/>
    <s v="6"/>
    <s v="RES"/>
    <x v="0"/>
    <s v="11"/>
    <s v="259"/>
    <s v="RN"/>
    <s v="G"/>
    <s v="AV"/>
    <x v="6"/>
    <n v="69"/>
    <n v="50"/>
    <n v="1955"/>
    <n v="1974"/>
    <n v="1645"/>
    <m/>
    <n v="195"/>
    <n v="195"/>
    <m/>
    <m/>
    <n v="1645"/>
    <n v="2000"/>
    <n v="8"/>
    <m/>
    <n v="578"/>
    <m/>
    <m/>
    <m/>
    <m/>
    <m/>
    <n v="406140"/>
    <n v="284298"/>
    <n v="0"/>
    <n v="347100"/>
    <n v="71400"/>
    <n v="275700"/>
    <n v="0"/>
    <n v="0"/>
    <n v="89850.625589999996"/>
    <n v="-39184.437074869042"/>
    <n v="44121.038090000002"/>
    <n v="160472.20319"/>
    <n v="-11152.280025"/>
    <n v="81277.261947665"/>
    <n v="0"/>
    <n v="0"/>
    <n v="5670.9695731649999"/>
    <n v="30336.176841600001"/>
    <n v="0"/>
    <n v="0"/>
    <n v="310700"/>
    <n v="50700"/>
    <n v="361400"/>
    <n v="4.1198501872659173E-2"/>
    <n v="0.99970000000000003"/>
    <n v="0.98050000000000004"/>
    <n v="0.99729999999999996"/>
    <n v="1.0093000000000001"/>
    <n v="1.0199"/>
    <n v="0.94971499999999998"/>
    <n v="0.95597069536964641"/>
    <n v="310700"/>
    <n v="0"/>
    <n v="310700"/>
    <n v="48100"/>
    <n v="358800"/>
    <n v="0.12694958287994196"/>
    <n v="-0.32633053221288516"/>
    <n v="3.3707865168539325E-2"/>
  </r>
  <r>
    <n v="2025"/>
    <s v="18132243438    "/>
    <n v="-1.4271163556401458"/>
    <n v="0.24"/>
    <n v="10359"/>
    <s v="6"/>
    <s v="RES"/>
    <x v="0"/>
    <s v="11"/>
    <s v="259"/>
    <s v="RN"/>
    <s v="G"/>
    <s v="GD"/>
    <x v="6"/>
    <n v="69"/>
    <n v="50"/>
    <n v="1955"/>
    <n v="1974"/>
    <n v="1449"/>
    <m/>
    <n v="1449"/>
    <n v="0"/>
    <n v="1449"/>
    <m/>
    <n v="2898"/>
    <n v="3000"/>
    <n v="8"/>
    <m/>
    <m/>
    <m/>
    <m/>
    <m/>
    <m/>
    <m/>
    <n v="478358"/>
    <n v="344418"/>
    <n v="13168"/>
    <n v="416900"/>
    <n v="64800"/>
    <n v="352100"/>
    <n v="0"/>
    <n v="0"/>
    <n v="89850.625589999996"/>
    <n v="-45174.819855485119"/>
    <n v="44121.038090000002"/>
    <n v="197752.34721000001"/>
    <n v="-11152.280025"/>
    <n v="71593.162651773004"/>
    <n v="0"/>
    <n v="0"/>
    <n v="42139.666212903001"/>
    <n v="30336.176841600001"/>
    <n v="0"/>
    <n v="13200"/>
    <n v="374800"/>
    <n v="44700"/>
    <n v="432700"/>
    <n v="3.7898776685056368E-2"/>
    <n v="0.99970000000000003"/>
    <n v="0.98050000000000004"/>
    <n v="0.99650000000000005"/>
    <n v="0.96179999999999999"/>
    <n v="1.0199"/>
    <n v="0.94971499999999998"/>
    <n v="0.91024973874989379"/>
    <n v="374800"/>
    <n v="12500"/>
    <n v="387300"/>
    <n v="42400"/>
    <n v="429700"/>
    <n v="9.9971598977563192E-2"/>
    <n v="-0.34567901234567899"/>
    <n v="3.0702806428400096E-2"/>
  </r>
  <r>
    <n v="2025"/>
    <s v="18132323465    "/>
    <n v="-1.6607312068216509"/>
    <n v="0.19"/>
    <m/>
    <s v="6"/>
    <s v="RES"/>
    <x v="0"/>
    <s v="11"/>
    <s v="259"/>
    <s v="RN"/>
    <s v="A"/>
    <s v="FR"/>
    <x v="6"/>
    <n v="69"/>
    <n v="50"/>
    <n v="1955"/>
    <n v="1974"/>
    <n v="1440"/>
    <m/>
    <m/>
    <n v="0"/>
    <m/>
    <m/>
    <n v="1440"/>
    <n v="1500"/>
    <n v="7"/>
    <n v="600"/>
    <m/>
    <m/>
    <m/>
    <m/>
    <m/>
    <m/>
    <n v="262369"/>
    <n v="181035"/>
    <n v="0"/>
    <n v="269000"/>
    <n v="56600"/>
    <n v="212400"/>
    <n v="0"/>
    <n v="0"/>
    <n v="89850.625589999996"/>
    <n v="-52569.808201026557"/>
    <n v="21557.329055999999"/>
    <n v="133714.53821"/>
    <n v="-11152.280025"/>
    <n v="71148.484622880002"/>
    <n v="0"/>
    <n v="0"/>
    <n v="0"/>
    <n v="26544.1547364"/>
    <n v="0"/>
    <n v="0"/>
    <n v="241800"/>
    <n v="37300"/>
    <n v="279100"/>
    <n v="3.7546468401486989E-2"/>
    <n v="0.99970000000000003"/>
    <n v="1.0067999999999999"/>
    <n v="0.99329999999999996"/>
    <n v="1.0157"/>
    <n v="1.0199"/>
    <n v="0.94971499999999998"/>
    <n v="0.98387513270390892"/>
    <n v="241800"/>
    <n v="0"/>
    <n v="241800"/>
    <n v="35400"/>
    <n v="277200"/>
    <n v="0.1384180790960452"/>
    <n v="-0.37455830388692579"/>
    <n v="3.0483271375464683E-2"/>
  </r>
  <r>
    <n v="2025"/>
    <s v="18132244494    "/>
    <n v="-1.9661128563728327"/>
    <n v="0.14000000000000001"/>
    <n v="5941"/>
    <s v="6"/>
    <s v="RES"/>
    <x v="0"/>
    <s v="11"/>
    <s v="259"/>
    <s v="TD"/>
    <s v="F+"/>
    <s v="AV"/>
    <x v="6"/>
    <n v="69"/>
    <n v="50"/>
    <n v="1955"/>
    <n v="1974"/>
    <n v="734"/>
    <m/>
    <m/>
    <n v="0"/>
    <m/>
    <m/>
    <n v="734"/>
    <n v="1000"/>
    <n v="5"/>
    <m/>
    <m/>
    <m/>
    <m/>
    <m/>
    <m/>
    <m/>
    <n v="114758"/>
    <n v="80331"/>
    <n v="8623"/>
    <n v="231900"/>
    <n v="46000"/>
    <n v="185900"/>
    <n v="0"/>
    <n v="0"/>
    <n v="89850.625589999996"/>
    <n v="-62236.546971921947"/>
    <n v="0"/>
    <n v="160472.20319"/>
    <n v="-11152.280025"/>
    <n v="36265.963689718003"/>
    <n v="0"/>
    <n v="0"/>
    <n v="0"/>
    <n v="18960.110526"/>
    <n v="0"/>
    <n v="8600"/>
    <n v="204500"/>
    <n v="27600"/>
    <n v="240700"/>
    <n v="3.7947391116860713E-2"/>
    <n v="0.99970000000000003"/>
    <n v="0.99180000000000001"/>
    <n v="0.99729999999999996"/>
    <n v="1.0148999999999999"/>
    <n v="1.0199"/>
    <n v="0.94971499999999998"/>
    <n v="0.97235323781444771"/>
    <n v="204500"/>
    <n v="8200"/>
    <n v="212700"/>
    <n v="26200"/>
    <n v="238900"/>
    <n v="0.14416352877891339"/>
    <n v="-0.43043478260869567"/>
    <n v="3.0185424752048298E-2"/>
  </r>
  <r>
    <n v="2025"/>
    <s v="18132323481    "/>
    <n v="-1.6607312068216509"/>
    <n v="0.19"/>
    <m/>
    <s v="6"/>
    <s v="RES"/>
    <x v="0"/>
    <s v="11"/>
    <s v="259"/>
    <s v="TD"/>
    <s v="A"/>
    <s v="AV"/>
    <x v="6"/>
    <n v="69"/>
    <n v="50"/>
    <n v="1955"/>
    <n v="1974"/>
    <n v="1439"/>
    <m/>
    <n v="1439"/>
    <n v="719"/>
    <n v="720"/>
    <m/>
    <n v="2159"/>
    <n v="2500"/>
    <n v="8"/>
    <m/>
    <m/>
    <m/>
    <m/>
    <m/>
    <m/>
    <m/>
    <n v="311892"/>
    <n v="218324"/>
    <n v="0"/>
    <n v="339500"/>
    <n v="56600"/>
    <n v="282900"/>
    <n v="0"/>
    <n v="0"/>
    <n v="89850.625589999996"/>
    <n v="-52569.808201026557"/>
    <n v="21557.329055999999"/>
    <n v="160472.20319"/>
    <n v="-11152.280025"/>
    <n v="71099.075953003005"/>
    <n v="0"/>
    <n v="0"/>
    <n v="41848.847260432995"/>
    <n v="30336.176841600001"/>
    <n v="0"/>
    <n v="0"/>
    <n v="314200"/>
    <n v="37300"/>
    <n v="351500"/>
    <n v="3.5346097201767304E-2"/>
    <n v="0.99970000000000003"/>
    <n v="1.0067999999999999"/>
    <n v="0.99729999999999996"/>
    <n v="0.98919999999999997"/>
    <n v="1.0199"/>
    <n v="0.94971499999999998"/>
    <n v="0.9620641305621106"/>
    <n v="314200"/>
    <n v="0"/>
    <n v="314200"/>
    <n v="35400"/>
    <n v="349600"/>
    <n v="0.11063980205019441"/>
    <n v="-0.37455830388692579"/>
    <n v="2.974963181148748E-2"/>
  </r>
  <r>
    <n v="2025"/>
    <s v="18132323488    "/>
    <n v="-1.5606477482646683"/>
    <n v="0.21"/>
    <m/>
    <s v="6"/>
    <s v="RES"/>
    <x v="0"/>
    <s v="11"/>
    <s v="259"/>
    <s v="RN"/>
    <s v="G"/>
    <s v="FR"/>
    <x v="6"/>
    <n v="69"/>
    <n v="50"/>
    <n v="1955"/>
    <n v="1974"/>
    <n v="1497"/>
    <m/>
    <n v="701"/>
    <n v="0"/>
    <n v="701"/>
    <m/>
    <n v="2198"/>
    <n v="2500"/>
    <n v="8"/>
    <m/>
    <n v="708"/>
    <n v="169"/>
    <m/>
    <m/>
    <m/>
    <m/>
    <n v="485192"/>
    <n v="334782"/>
    <n v="0"/>
    <n v="325800"/>
    <n v="60100"/>
    <n v="265700"/>
    <n v="0"/>
    <n v="0"/>
    <n v="89850.625589999996"/>
    <n v="-49401.70477837498"/>
    <n v="44121.038090000002"/>
    <n v="133714.53821"/>
    <n v="-11152.280025"/>
    <n v="73964.778805869006"/>
    <n v="0"/>
    <n v="0"/>
    <n v="20386.408568146999"/>
    <n v="30336.176841600001"/>
    <n v="5626.9420816440006"/>
    <n v="0"/>
    <n v="297000"/>
    <n v="40400"/>
    <n v="337400"/>
    <n v="3.5604665438919582E-2"/>
    <n v="0.99970000000000003"/>
    <n v="0.98050000000000004"/>
    <n v="0.99329999999999996"/>
    <n v="0.98919999999999997"/>
    <n v="1.0199"/>
    <n v="0.94971499999999998"/>
    <n v="0.93317486018372109"/>
    <n v="297000"/>
    <n v="0"/>
    <n v="297000"/>
    <n v="38400"/>
    <n v="335400"/>
    <n v="0.11780203236733158"/>
    <n v="-0.36106489184692181"/>
    <n v="2.9465930018416207E-2"/>
  </r>
  <r>
    <n v="2025"/>
    <s v="18132244468    "/>
    <n v="-1.6607312068216509"/>
    <n v="0.19"/>
    <n v="8090"/>
    <s v="6"/>
    <s v="RES"/>
    <x v="0"/>
    <s v="11"/>
    <s v="259"/>
    <s v="RN"/>
    <s v="A"/>
    <s v="AV"/>
    <x v="6"/>
    <n v="69"/>
    <n v="50"/>
    <n v="1955"/>
    <n v="1974"/>
    <n v="1420"/>
    <m/>
    <m/>
    <n v="0"/>
    <m/>
    <m/>
    <n v="1420"/>
    <n v="1500"/>
    <n v="5"/>
    <n v="228"/>
    <m/>
    <m/>
    <m/>
    <m/>
    <m/>
    <m/>
    <n v="241227"/>
    <n v="168859"/>
    <n v="0"/>
    <n v="287000"/>
    <n v="56600"/>
    <n v="230400"/>
    <n v="0"/>
    <n v="0"/>
    <n v="89850.625589999996"/>
    <n v="-52569.808201026557"/>
    <n v="21557.329055999999"/>
    <n v="160472.20319"/>
    <n v="-11152.280025"/>
    <n v="70160.311225340003"/>
    <n v="0"/>
    <n v="0"/>
    <n v="0"/>
    <n v="18960.110526"/>
    <n v="0"/>
    <n v="0"/>
    <n v="260000"/>
    <n v="37300"/>
    <n v="297300"/>
    <n v="3.5888501742160281E-2"/>
    <n v="0.99970000000000003"/>
    <n v="1.0067999999999999"/>
    <n v="0.99729999999999996"/>
    <n v="1.0157"/>
    <n v="1.0199"/>
    <n v="0.94971499999999998"/>
    <n v="0.98783717894453682"/>
    <n v="260000"/>
    <n v="0"/>
    <n v="260000"/>
    <n v="35400"/>
    <n v="295400"/>
    <n v="0.12847222222222221"/>
    <n v="-0.37455830388692579"/>
    <n v="2.9268292682926831E-2"/>
  </r>
  <r>
    <n v="2025"/>
    <s v="18132213411    "/>
    <n v="-1.4271163556401458"/>
    <n v="0.24"/>
    <n v="10242"/>
    <s v="6"/>
    <s v="RES"/>
    <x v="0"/>
    <s v="11"/>
    <s v="259"/>
    <s v="RN"/>
    <s v="A"/>
    <s v="AV"/>
    <x v="6"/>
    <n v="69"/>
    <n v="50"/>
    <n v="1955"/>
    <n v="1974"/>
    <n v="1426"/>
    <m/>
    <m/>
    <n v="0"/>
    <m/>
    <m/>
    <n v="1426"/>
    <n v="1500"/>
    <n v="5"/>
    <n v="484"/>
    <m/>
    <m/>
    <m/>
    <m/>
    <m/>
    <m/>
    <n v="246618"/>
    <n v="172633"/>
    <n v="0"/>
    <n v="294100"/>
    <n v="64800"/>
    <n v="229300"/>
    <n v="0"/>
    <n v="0"/>
    <n v="89850.625589999996"/>
    <n v="-45174.819855485119"/>
    <n v="21557.329055999999"/>
    <n v="160472.20319"/>
    <n v="-11152.280025"/>
    <n v="70456.763244602"/>
    <n v="0"/>
    <n v="0"/>
    <n v="0"/>
    <n v="18960.110526"/>
    <n v="0"/>
    <n v="0"/>
    <n v="260300"/>
    <n v="44700"/>
    <n v="305000"/>
    <n v="3.7062223733424007E-2"/>
    <n v="0.99970000000000003"/>
    <n v="1.0067999999999999"/>
    <n v="0.99729999999999996"/>
    <n v="1.0157"/>
    <n v="1.0199"/>
    <n v="0.94971499999999998"/>
    <n v="0.98783717894453682"/>
    <n v="260300"/>
    <n v="0"/>
    <n v="260300"/>
    <n v="42400"/>
    <n v="302700"/>
    <n v="0.13519406890536415"/>
    <n v="-0.34567901234567899"/>
    <n v="2.9241754505270317E-2"/>
  </r>
  <r>
    <n v="2025"/>
    <s v="18132242453    "/>
    <n v="-1.4271163556401458"/>
    <n v="0.24"/>
    <n v="10422"/>
    <s v="6"/>
    <s v="RES"/>
    <x v="0"/>
    <s v="11"/>
    <s v="259"/>
    <s v="RN"/>
    <s v="A"/>
    <s v="AV"/>
    <x v="6"/>
    <n v="69"/>
    <n v="50"/>
    <n v="1955"/>
    <n v="1974"/>
    <n v="1164"/>
    <m/>
    <m/>
    <n v="0"/>
    <m/>
    <m/>
    <n v="1164"/>
    <n v="1500"/>
    <n v="5"/>
    <n v="336"/>
    <m/>
    <m/>
    <m/>
    <m/>
    <m/>
    <m/>
    <n v="224803"/>
    <n v="157362"/>
    <n v="0"/>
    <n v="281600"/>
    <n v="64800"/>
    <n v="216800"/>
    <n v="0"/>
    <n v="0"/>
    <n v="89850.625589999996"/>
    <n v="-45174.819855485119"/>
    <n v="21557.329055999999"/>
    <n v="160472.20319"/>
    <n v="-11152.280025"/>
    <n v="57511.691736828005"/>
    <n v="0"/>
    <n v="0"/>
    <n v="0"/>
    <n v="18960.110526"/>
    <n v="0"/>
    <n v="0"/>
    <n v="247300"/>
    <n v="44700"/>
    <n v="292000"/>
    <n v="3.6931818181818184E-2"/>
    <n v="0.99970000000000003"/>
    <n v="1.0067999999999999"/>
    <n v="0.99729999999999996"/>
    <n v="1.0157"/>
    <n v="1.0199"/>
    <n v="0.94971499999999998"/>
    <n v="0.98783717894453682"/>
    <n v="247300"/>
    <n v="0"/>
    <n v="247300"/>
    <n v="42400"/>
    <n v="289700"/>
    <n v="0.14068265682656828"/>
    <n v="-0.34567901234567899"/>
    <n v="2.8764204545454544E-2"/>
  </r>
  <r>
    <n v="2025"/>
    <s v="18132244478    "/>
    <n v="-1.4271163556401458"/>
    <n v="0.24"/>
    <n v="10548"/>
    <s v="6"/>
    <s v="RES"/>
    <x v="0"/>
    <s v="11"/>
    <s v="259"/>
    <s v="RN"/>
    <s v="A+"/>
    <s v="GD"/>
    <x v="6"/>
    <n v="69"/>
    <n v="50"/>
    <n v="1955"/>
    <n v="1974"/>
    <n v="1326"/>
    <m/>
    <n v="1141"/>
    <n v="0"/>
    <n v="1141"/>
    <m/>
    <n v="2467"/>
    <n v="2500"/>
    <n v="7"/>
    <m/>
    <m/>
    <m/>
    <m/>
    <m/>
    <m/>
    <m/>
    <n v="360725"/>
    <n v="259722"/>
    <n v="6724"/>
    <n v="379600"/>
    <n v="64800"/>
    <n v="314800"/>
    <n v="0"/>
    <n v="0"/>
    <n v="89850.625589999996"/>
    <n v="-45174.819855485119"/>
    <n v="29814.093161000001"/>
    <n v="197752.34721000001"/>
    <n v="-11152.280025"/>
    <n v="65515.896256902"/>
    <n v="0"/>
    <n v="0"/>
    <n v="33182.442476826996"/>
    <n v="26544.1547364"/>
    <n v="0"/>
    <n v="6700"/>
    <n v="341700"/>
    <n v="44700"/>
    <n v="393100"/>
    <n v="3.5563751317175978E-2"/>
    <n v="0.99970000000000003"/>
    <n v="1.0088999999999999"/>
    <n v="0.99650000000000005"/>
    <n v="0.98919999999999997"/>
    <n v="1.0199"/>
    <n v="0.94971499999999998"/>
    <n v="0.9632974750633615"/>
    <n v="341700"/>
    <n v="6400"/>
    <n v="348100"/>
    <n v="42400"/>
    <n v="390500"/>
    <n v="0.10578144853875476"/>
    <n v="-0.34567901234567899"/>
    <n v="2.8714436248682824E-2"/>
  </r>
  <r>
    <n v="2025"/>
    <s v="18132323493    "/>
    <n v="-1.5141277326297755"/>
    <n v="0.22"/>
    <m/>
    <s v="6"/>
    <s v="RES"/>
    <x v="0"/>
    <s v="11"/>
    <s v="259"/>
    <s v="RN"/>
    <s v="A"/>
    <s v="AV"/>
    <x v="6"/>
    <n v="69"/>
    <n v="50"/>
    <n v="1955"/>
    <n v="1974"/>
    <n v="1205"/>
    <m/>
    <m/>
    <n v="0"/>
    <m/>
    <m/>
    <n v="1205"/>
    <n v="1500"/>
    <n v="5"/>
    <m/>
    <m/>
    <m/>
    <m/>
    <m/>
    <m/>
    <m/>
    <n v="216141"/>
    <n v="151299"/>
    <n v="0"/>
    <n v="281200"/>
    <n v="61700"/>
    <n v="219500"/>
    <n v="0"/>
    <n v="0"/>
    <n v="89850.625589999996"/>
    <n v="-47929.131559187132"/>
    <n v="21557.329055999999"/>
    <n v="160472.20319"/>
    <n v="-11152.280025"/>
    <n v="59537.447201784998"/>
    <n v="0"/>
    <n v="0"/>
    <n v="0"/>
    <n v="18960.110526"/>
    <n v="0"/>
    <n v="0"/>
    <n v="249400"/>
    <n v="41900"/>
    <n v="291300"/>
    <n v="3.591749644381223E-2"/>
    <n v="0.99970000000000003"/>
    <n v="1.0067999999999999"/>
    <n v="0.99729999999999996"/>
    <n v="1.0157"/>
    <n v="1.0199"/>
    <n v="0.94971499999999998"/>
    <n v="0.98783717894453682"/>
    <n v="249400"/>
    <n v="0"/>
    <n v="249400"/>
    <n v="39800"/>
    <n v="289200"/>
    <n v="0.13621867881548974"/>
    <n v="-0.35494327390599678"/>
    <n v="2.8449502133712661E-2"/>
  </r>
  <r>
    <n v="2025"/>
    <s v="18132241019    "/>
    <n v="-1.3093333199837622"/>
    <n v="0.27"/>
    <n v="11926"/>
    <s v="6"/>
    <s v="RES"/>
    <x v="0"/>
    <s v="11"/>
    <s v="259"/>
    <s v="RN"/>
    <s v="A+"/>
    <s v="AV"/>
    <x v="6"/>
    <n v="69"/>
    <n v="50"/>
    <n v="1955"/>
    <n v="1974"/>
    <n v="1421"/>
    <m/>
    <m/>
    <n v="0"/>
    <m/>
    <m/>
    <n v="1421"/>
    <n v="1500"/>
    <n v="8"/>
    <m/>
    <m/>
    <m/>
    <m/>
    <m/>
    <m/>
    <m/>
    <n v="284473"/>
    <n v="199131"/>
    <n v="0"/>
    <n v="317100"/>
    <n v="68900"/>
    <n v="248200"/>
    <n v="0"/>
    <n v="0"/>
    <n v="89850.625589999996"/>
    <n v="-41446.443120973789"/>
    <n v="29814.093161000001"/>
    <n v="160472.20319"/>
    <n v="-11152.280025"/>
    <n v="70209.719895217"/>
    <n v="0"/>
    <n v="0"/>
    <n v="0"/>
    <n v="30336.176841600001"/>
    <n v="0"/>
    <n v="0"/>
    <n v="279700"/>
    <n v="48400"/>
    <n v="328100"/>
    <n v="3.468937243771681E-2"/>
    <n v="0.99970000000000003"/>
    <n v="1.0088999999999999"/>
    <n v="0.99729999999999996"/>
    <n v="1.0157"/>
    <n v="1.0199"/>
    <n v="0.94971499999999998"/>
    <n v="0.98989762598047604"/>
    <n v="279700"/>
    <n v="0"/>
    <n v="279700"/>
    <n v="46000"/>
    <n v="325700"/>
    <n v="0.12691377921031427"/>
    <n v="-0.33236574746008707"/>
    <n v="2.7120782087669507E-2"/>
  </r>
  <r>
    <n v="2025"/>
    <s v="18132244453    "/>
    <n v="-1.3093333199837622"/>
    <n v="0.27"/>
    <n v="11900"/>
    <s v="6"/>
    <s v="RES"/>
    <x v="0"/>
    <s v="11"/>
    <s v="259"/>
    <s v="RN"/>
    <s v="A"/>
    <s v="GD"/>
    <x v="6"/>
    <n v="69"/>
    <n v="50"/>
    <n v="1955"/>
    <n v="1974"/>
    <n v="1849"/>
    <m/>
    <n v="850"/>
    <n v="0"/>
    <n v="850"/>
    <m/>
    <n v="2699"/>
    <n v="3000"/>
    <n v="10"/>
    <m/>
    <n v="598"/>
    <m/>
    <m/>
    <m/>
    <m/>
    <m/>
    <n v="391630"/>
    <n v="281974"/>
    <n v="0"/>
    <n v="398100"/>
    <n v="68900"/>
    <n v="329200"/>
    <n v="0"/>
    <n v="0"/>
    <n v="89850.625589999996"/>
    <n v="-41446.443120973789"/>
    <n v="21557.329055999999"/>
    <n v="197752.34721000001"/>
    <n v="-11152.280025"/>
    <n v="91356.630602573001"/>
    <n v="0"/>
    <n v="0"/>
    <n v="24719.610959949998"/>
    <n v="37920.221052000001"/>
    <n v="0"/>
    <n v="0"/>
    <n v="362200"/>
    <n v="48400"/>
    <n v="410600"/>
    <n v="3.1399145943230344E-2"/>
    <n v="0.99970000000000003"/>
    <n v="1.0067999999999999"/>
    <n v="0.99650000000000005"/>
    <n v="0.96179999999999999"/>
    <n v="1.0199"/>
    <n v="0.94971499999999998"/>
    <n v="0.9346654125174837"/>
    <n v="362200"/>
    <n v="0"/>
    <n v="362200"/>
    <n v="46000"/>
    <n v="408200"/>
    <n v="0.10024301336573511"/>
    <n v="-0.33236574746008707"/>
    <n v="2.5370509922130118E-2"/>
  </r>
  <r>
    <n v="2025"/>
    <s v="18132322411    "/>
    <n v="-1.4271163556401458"/>
    <n v="0.24"/>
    <m/>
    <s v="6"/>
    <s v="RES"/>
    <x v="0"/>
    <s v="11"/>
    <s v="259"/>
    <s v="TD"/>
    <s v="A"/>
    <s v="GD"/>
    <x v="6"/>
    <n v="69"/>
    <n v="50"/>
    <n v="1955"/>
    <n v="1974"/>
    <n v="1225"/>
    <m/>
    <n v="1225"/>
    <n v="0"/>
    <n v="1225"/>
    <m/>
    <n v="2450"/>
    <n v="2500"/>
    <n v="8"/>
    <m/>
    <m/>
    <m/>
    <m/>
    <m/>
    <m/>
    <m/>
    <n v="315229"/>
    <n v="226965"/>
    <n v="0"/>
    <n v="367700"/>
    <n v="64800"/>
    <n v="302900"/>
    <n v="0"/>
    <n v="0"/>
    <n v="89850.625589999996"/>
    <n v="-45174.819855485119"/>
    <n v="21557.329055999999"/>
    <n v="197752.34721000001"/>
    <n v="-11152.280025"/>
    <n v="60525.620599325004"/>
    <n v="0"/>
    <n v="0"/>
    <n v="35625.321677574997"/>
    <n v="30336.176841600001"/>
    <n v="0"/>
    <n v="0"/>
    <n v="334600"/>
    <n v="44700"/>
    <n v="379300"/>
    <n v="3.1547457166168073E-2"/>
    <n v="0.99970000000000003"/>
    <n v="1.0067999999999999"/>
    <n v="0.99650000000000005"/>
    <n v="0.98919999999999997"/>
    <n v="1.0199"/>
    <n v="0.94971499999999998"/>
    <n v="0.96129239557319079"/>
    <n v="334600"/>
    <n v="0"/>
    <n v="334600"/>
    <n v="42400"/>
    <n v="377000"/>
    <n v="0.1046550016507098"/>
    <n v="-0.34567901234567899"/>
    <n v="2.5292357900462335E-2"/>
  </r>
  <r>
    <n v="2025"/>
    <s v="18132242460    "/>
    <n v="-1.7719568419318752"/>
    <n v="0.17"/>
    <n v="7500"/>
    <s v="6"/>
    <s v="RES"/>
    <x v="0"/>
    <s v="11"/>
    <s v="259"/>
    <s v="RN"/>
    <s v="A+"/>
    <s v="AV"/>
    <x v="6"/>
    <n v="69"/>
    <n v="50"/>
    <n v="1955"/>
    <n v="1974"/>
    <n v="1762"/>
    <m/>
    <m/>
    <n v="0"/>
    <m/>
    <m/>
    <n v="1762"/>
    <n v="2000"/>
    <n v="11"/>
    <n v="308"/>
    <m/>
    <m/>
    <m/>
    <m/>
    <m/>
    <m/>
    <n v="349221"/>
    <n v="244455"/>
    <n v="0"/>
    <n v="331800"/>
    <n v="52700"/>
    <n v="279100"/>
    <n v="0"/>
    <n v="0"/>
    <n v="89850.625589999996"/>
    <n v="-56090.612940989391"/>
    <n v="29814.093161000001"/>
    <n v="160472.20319"/>
    <n v="-11152.280025"/>
    <n v="87058.076323273999"/>
    <n v="0"/>
    <n v="0"/>
    <n v="0"/>
    <n v="41712.243157199999"/>
    <n v="0"/>
    <n v="0"/>
    <n v="307900"/>
    <n v="33800"/>
    <n v="341700"/>
    <n v="2.9837251356238697E-2"/>
    <n v="0.99970000000000003"/>
    <n v="1.0088999999999999"/>
    <n v="0.99729999999999996"/>
    <n v="1.0093000000000001"/>
    <n v="1.0199"/>
    <n v="0.94971499999999998"/>
    <n v="0.98366020862665582"/>
    <n v="307900"/>
    <n v="0"/>
    <n v="307900"/>
    <n v="32100"/>
    <n v="340000"/>
    <n v="0.10318882121103547"/>
    <n v="-0.39089184060721061"/>
    <n v="2.4713682941531041E-2"/>
  </r>
  <r>
    <n v="2025"/>
    <s v="18132242455    "/>
    <n v="-1.6094379124341003"/>
    <n v="0.2"/>
    <n v="8518"/>
    <s v="6"/>
    <s v="RES"/>
    <x v="0"/>
    <s v="11"/>
    <s v="259"/>
    <s v="RN"/>
    <s v="A"/>
    <s v="AV"/>
    <x v="6"/>
    <n v="69"/>
    <n v="50"/>
    <n v="1955"/>
    <n v="1974"/>
    <n v="1640"/>
    <m/>
    <m/>
    <n v="0"/>
    <m/>
    <m/>
    <n v="1640"/>
    <n v="2000"/>
    <n v="9"/>
    <n v="336"/>
    <m/>
    <m/>
    <m/>
    <m/>
    <m/>
    <m/>
    <n v="279896"/>
    <n v="195927"/>
    <n v="0"/>
    <n v="315200"/>
    <n v="58400"/>
    <n v="256800"/>
    <n v="0"/>
    <n v="0"/>
    <n v="89850.625589999996"/>
    <n v="-50946.13867709865"/>
    <n v="21557.329055999999"/>
    <n v="160472.20319"/>
    <n v="-11152.280025"/>
    <n v="81030.21859828"/>
    <n v="0"/>
    <n v="0"/>
    <n v="0"/>
    <n v="34128.198946800003"/>
    <n v="0"/>
    <n v="0"/>
    <n v="286000"/>
    <n v="38900"/>
    <n v="324900"/>
    <n v="3.0774111675126902E-2"/>
    <n v="0.99970000000000003"/>
    <n v="1.0067999999999999"/>
    <n v="0.99729999999999996"/>
    <n v="1.0093000000000001"/>
    <n v="1.0199"/>
    <n v="0.94971499999999998"/>
    <n v="0.98161274461821502"/>
    <n v="286000"/>
    <n v="0"/>
    <n v="286000"/>
    <n v="36900"/>
    <n v="322900"/>
    <n v="0.11370716510903427"/>
    <n v="-0.36815068493150682"/>
    <n v="2.4428934010152285E-2"/>
  </r>
  <r>
    <n v="2025"/>
    <s v="18132322439    "/>
    <n v="-1.4696759700589417"/>
    <n v="0.23"/>
    <n v="9981"/>
    <s v="6"/>
    <s v="RES"/>
    <x v="0"/>
    <s v="11"/>
    <s v="259"/>
    <s v="RN"/>
    <s v="A"/>
    <s v="AV"/>
    <x v="6"/>
    <n v="69"/>
    <n v="50"/>
    <n v="1955"/>
    <n v="1974"/>
    <n v="1392"/>
    <m/>
    <m/>
    <n v="0"/>
    <m/>
    <m/>
    <n v="1392"/>
    <n v="1500"/>
    <n v="8"/>
    <n v="252"/>
    <m/>
    <m/>
    <m/>
    <m/>
    <m/>
    <m/>
    <n v="251168"/>
    <n v="175818"/>
    <n v="0"/>
    <n v="303700"/>
    <n v="63300"/>
    <n v="240400"/>
    <n v="0"/>
    <n v="0"/>
    <n v="89850.625589999996"/>
    <n v="-46522.028095997222"/>
    <n v="21557.329055999999"/>
    <n v="160472.20319"/>
    <n v="-11152.280025"/>
    <n v="68776.868468784"/>
    <n v="0"/>
    <n v="0"/>
    <n v="0"/>
    <n v="30336.176841600001"/>
    <n v="0"/>
    <n v="0"/>
    <n v="270000"/>
    <n v="43300"/>
    <n v="313300"/>
    <n v="3.1610141587092529E-2"/>
    <n v="0.99970000000000003"/>
    <n v="1.0067999999999999"/>
    <n v="0.99729999999999996"/>
    <n v="1.0157"/>
    <n v="1.0199"/>
    <n v="0.94971499999999998"/>
    <n v="0.98783717894453682"/>
    <n v="270000"/>
    <n v="0"/>
    <n v="270000"/>
    <n v="41100"/>
    <n v="311100"/>
    <n v="0.12312811980033278"/>
    <n v="-0.35071090047393366"/>
    <n v="2.4366150806717154E-2"/>
  </r>
  <r>
    <n v="2025"/>
    <s v="18132323487    "/>
    <n v="-1.5606477482646683"/>
    <n v="0.21"/>
    <m/>
    <s v="6"/>
    <s v="RES"/>
    <x v="0"/>
    <s v="11"/>
    <s v="259"/>
    <s v="RN"/>
    <s v="A"/>
    <s v="AV"/>
    <x v="6"/>
    <n v="69"/>
    <n v="50"/>
    <n v="1955"/>
    <n v="1974"/>
    <n v="1119"/>
    <m/>
    <m/>
    <n v="0"/>
    <m/>
    <m/>
    <n v="1119"/>
    <n v="1500"/>
    <n v="7"/>
    <n v="170"/>
    <m/>
    <m/>
    <m/>
    <m/>
    <m/>
    <m/>
    <n v="206546"/>
    <n v="144582"/>
    <n v="0"/>
    <n v="284300"/>
    <n v="60100"/>
    <n v="224200"/>
    <n v="0"/>
    <n v="0"/>
    <n v="89850.625589999996"/>
    <n v="-49401.70477837498"/>
    <n v="21557.329055999999"/>
    <n v="160472.20319"/>
    <n v="-11152.280025"/>
    <n v="55288.301592363001"/>
    <n v="0"/>
    <n v="0"/>
    <n v="0"/>
    <n v="26544.1547364"/>
    <n v="0"/>
    <n v="0"/>
    <n v="252700"/>
    <n v="40400"/>
    <n v="293100"/>
    <n v="3.0953218431234612E-2"/>
    <n v="0.99970000000000003"/>
    <n v="1.0067999999999999"/>
    <n v="0.99729999999999996"/>
    <n v="1.0157"/>
    <n v="1.0199"/>
    <n v="0.94971499999999998"/>
    <n v="0.98783717894453682"/>
    <n v="252700"/>
    <n v="0"/>
    <n v="252700"/>
    <n v="38400"/>
    <n v="291100"/>
    <n v="0.1271186440677966"/>
    <n v="-0.36106489184692181"/>
    <n v="2.3918396060499472E-2"/>
  </r>
  <r>
    <n v="2025"/>
    <s v="18132322417    "/>
    <n v="-1.6094379124341003"/>
    <n v="0.2"/>
    <m/>
    <s v="6"/>
    <s v="RES"/>
    <x v="0"/>
    <s v="11"/>
    <s v="259"/>
    <s v="TD"/>
    <s v="A+"/>
    <s v="AV"/>
    <x v="6"/>
    <n v="69"/>
    <n v="50"/>
    <n v="1955"/>
    <n v="1974"/>
    <n v="1135"/>
    <m/>
    <m/>
    <n v="0"/>
    <m/>
    <m/>
    <n v="1135"/>
    <n v="1500"/>
    <n v="5"/>
    <m/>
    <m/>
    <m/>
    <m/>
    <m/>
    <m/>
    <m/>
    <n v="241908"/>
    <n v="169336"/>
    <n v="0"/>
    <n v="284300"/>
    <n v="58400"/>
    <n v="225900"/>
    <n v="0"/>
    <n v="0"/>
    <n v="89850.625589999996"/>
    <n v="-50946.13867709865"/>
    <n v="29814.093161000001"/>
    <n v="160472.20319"/>
    <n v="-11152.280025"/>
    <n v="56078.840310395004"/>
    <n v="0"/>
    <n v="0"/>
    <n v="0"/>
    <n v="18960.110526"/>
    <n v="0"/>
    <n v="0"/>
    <n v="254200"/>
    <n v="38900"/>
    <n v="293100"/>
    <n v="3.0953218431234612E-2"/>
    <n v="0.99970000000000003"/>
    <n v="1.0088999999999999"/>
    <n v="0.99729999999999996"/>
    <n v="1.0157"/>
    <n v="1.0199"/>
    <n v="0.94971499999999998"/>
    <n v="0.98989762598047604"/>
    <n v="254200"/>
    <n v="0"/>
    <n v="254200"/>
    <n v="36900"/>
    <n v="291100"/>
    <n v="0.12527667109340415"/>
    <n v="-0.36815068493150682"/>
    <n v="2.3918396060499472E-2"/>
  </r>
  <r>
    <n v="2025"/>
    <s v="18132324002    "/>
    <n v="-1.8325814637483102"/>
    <n v="0.16"/>
    <n v="7041"/>
    <s v="6"/>
    <s v="RES"/>
    <x v="0"/>
    <s v="11"/>
    <s v="259"/>
    <s v="TD"/>
    <s v="A"/>
    <s v="AV"/>
    <x v="6"/>
    <n v="69"/>
    <n v="50"/>
    <n v="1955"/>
    <n v="1974"/>
    <n v="1062"/>
    <m/>
    <n v="532"/>
    <n v="65"/>
    <n v="467"/>
    <m/>
    <n v="1529"/>
    <n v="2000"/>
    <n v="8"/>
    <m/>
    <n v="527"/>
    <m/>
    <m/>
    <m/>
    <m/>
    <m/>
    <n v="255146"/>
    <n v="178602"/>
    <n v="0"/>
    <n v="293000"/>
    <n v="50600"/>
    <n v="242400"/>
    <n v="0"/>
    <n v="0"/>
    <n v="89850.625589999996"/>
    <n v="-58009.662049032086"/>
    <n v="21557.329055999999"/>
    <n v="160472.20319"/>
    <n v="-11152.280025"/>
    <n v="52472.007409374004"/>
    <n v="0"/>
    <n v="0"/>
    <n v="15471.568271403999"/>
    <n v="30336.176841600001"/>
    <n v="0"/>
    <n v="0"/>
    <n v="269200"/>
    <n v="31800"/>
    <n v="301000"/>
    <n v="2.7303754266211604E-2"/>
    <n v="0.99970000000000003"/>
    <n v="1.0067999999999999"/>
    <n v="0.99729999999999996"/>
    <n v="1.0093000000000001"/>
    <n v="1.0199"/>
    <n v="0.94971499999999998"/>
    <n v="0.98161274461821502"/>
    <n v="269200"/>
    <n v="0"/>
    <n v="269200"/>
    <n v="30200"/>
    <n v="299400"/>
    <n v="0.11056105610561057"/>
    <n v="-0.40316205533596838"/>
    <n v="2.1843003412969283E-2"/>
  </r>
  <r>
    <n v="2025"/>
    <s v="18132244456    "/>
    <n v="-1.8325814637483102"/>
    <n v="0.16"/>
    <n v="7000"/>
    <s v="6"/>
    <s v="RES"/>
    <x v="0"/>
    <s v="11"/>
    <s v="259"/>
    <s v="RN"/>
    <s v="A+"/>
    <s v="AV"/>
    <x v="6"/>
    <n v="69"/>
    <n v="50"/>
    <n v="1955"/>
    <n v="1974"/>
    <n v="950"/>
    <m/>
    <n v="956"/>
    <n v="0"/>
    <n v="956"/>
    <m/>
    <n v="1906"/>
    <n v="2000"/>
    <n v="14"/>
    <n v="276"/>
    <m/>
    <n v="216"/>
    <m/>
    <m/>
    <m/>
    <m/>
    <n v="348965"/>
    <n v="244276"/>
    <n v="0"/>
    <n v="337300"/>
    <n v="50600"/>
    <n v="286700"/>
    <n v="0"/>
    <n v="0"/>
    <n v="89850.625589999996"/>
    <n v="-58009.662049032086"/>
    <n v="29814.093161000001"/>
    <n v="160472.20319"/>
    <n v="-11152.280025"/>
    <n v="46938.236383150004"/>
    <n v="0"/>
    <n v="0"/>
    <n v="27802.291856132"/>
    <n v="53088.3094728"/>
    <n v="7191.8312996160003"/>
    <n v="0"/>
    <n v="314200"/>
    <n v="31800"/>
    <n v="346000"/>
    <n v="2.5793062555588497E-2"/>
    <n v="0.99970000000000003"/>
    <n v="1.0088999999999999"/>
    <n v="0.99729999999999996"/>
    <n v="1.0093000000000001"/>
    <n v="1.0199"/>
    <n v="0.94971499999999998"/>
    <n v="0.98366020862665582"/>
    <n v="314200"/>
    <n v="0"/>
    <n v="314200"/>
    <n v="30200"/>
    <n v="344400"/>
    <n v="9.5919079176839908E-2"/>
    <n v="-0.40316205533596838"/>
    <n v="2.1049510821227396E-2"/>
  </r>
  <r>
    <n v="2025"/>
    <s v="18132242454    "/>
    <n v="-1.6094379124341003"/>
    <n v="0.2"/>
    <n v="8525"/>
    <s v="6"/>
    <s v="RES"/>
    <x v="0"/>
    <s v="11"/>
    <s v="259"/>
    <s v="RN"/>
    <s v="A+"/>
    <s v="AV"/>
    <x v="6"/>
    <n v="69"/>
    <n v="50"/>
    <n v="1955"/>
    <n v="1974"/>
    <n v="1602"/>
    <m/>
    <m/>
    <n v="0"/>
    <m/>
    <m/>
    <n v="1602"/>
    <n v="2000"/>
    <n v="7"/>
    <m/>
    <m/>
    <m/>
    <m/>
    <m/>
    <m/>
    <m/>
    <n v="330761"/>
    <n v="231533"/>
    <n v="13956"/>
    <n v="328100"/>
    <n v="58400"/>
    <n v="269700"/>
    <n v="0"/>
    <n v="0"/>
    <n v="89850.625589999996"/>
    <n v="-50946.13867709865"/>
    <n v="29814.093161000001"/>
    <n v="160472.20319"/>
    <n v="-11152.280025"/>
    <n v="79152.689142953997"/>
    <n v="0"/>
    <n v="0"/>
    <n v="0"/>
    <n v="26544.1547364"/>
    <n v="0"/>
    <n v="14000"/>
    <n v="284800"/>
    <n v="38900"/>
    <n v="337700"/>
    <n v="2.9259372142639441E-2"/>
    <n v="0.99970000000000003"/>
    <n v="1.0088999999999999"/>
    <n v="0.99729999999999996"/>
    <n v="1.0093000000000001"/>
    <n v="1.0199"/>
    <n v="0.94971499999999998"/>
    <n v="0.98366020862665582"/>
    <n v="284800"/>
    <n v="13300"/>
    <n v="298100"/>
    <n v="36900"/>
    <n v="335000"/>
    <n v="0.10530218761586949"/>
    <n v="-0.36815068493150682"/>
    <n v="2.1030173727522097E-2"/>
  </r>
  <r>
    <n v="2025"/>
    <s v="18132324410    "/>
    <n v="-1.4696759700589417"/>
    <n v="0.23"/>
    <m/>
    <s v="6"/>
    <s v="RES"/>
    <x v="0"/>
    <s v="11"/>
    <s v="259"/>
    <s v="RN"/>
    <s v="A+"/>
    <s v="AV"/>
    <x v="6"/>
    <n v="69"/>
    <n v="50"/>
    <n v="1955"/>
    <n v="1974"/>
    <n v="1565"/>
    <m/>
    <n v="782"/>
    <n v="0"/>
    <n v="782"/>
    <m/>
    <n v="2347"/>
    <n v="2500"/>
    <n v="8"/>
    <m/>
    <n v="783"/>
    <n v="100"/>
    <m/>
    <m/>
    <m/>
    <m/>
    <n v="441231"/>
    <n v="308862"/>
    <n v="0"/>
    <n v="347300"/>
    <n v="63300"/>
    <n v="284000"/>
    <n v="0"/>
    <n v="0"/>
    <n v="89850.625589999996"/>
    <n v="-46522.028095997222"/>
    <n v="29814.093161000001"/>
    <n v="160472.20319"/>
    <n v="-11152.280025"/>
    <n v="77324.568357505006"/>
    <n v="0"/>
    <n v="0"/>
    <n v="22742.042083154"/>
    <n v="30336.176841600001"/>
    <n v="3329.5515276000006"/>
    <n v="0"/>
    <n v="312900"/>
    <n v="43300"/>
    <n v="356200"/>
    <n v="2.5626259717823209E-2"/>
    <n v="0.99970000000000003"/>
    <n v="1.0088999999999999"/>
    <n v="0.99729999999999996"/>
    <n v="0.98919999999999997"/>
    <n v="1.0199"/>
    <n v="0.94971499999999998"/>
    <n v="0.96407081974981479"/>
    <n v="312900"/>
    <n v="0"/>
    <n v="312900"/>
    <n v="41100"/>
    <n v="354000"/>
    <n v="0.10176056338028169"/>
    <n v="-0.35071090047393366"/>
    <n v="1.9291678663979267E-2"/>
  </r>
  <r>
    <n v="2025"/>
    <s v="18132341006    "/>
    <n v="-1.2729656758128873"/>
    <n v="0.28000000000000003"/>
    <m/>
    <s v="6"/>
    <s v="RES"/>
    <x v="0"/>
    <s v="11"/>
    <s v="259"/>
    <s v="RN"/>
    <s v="G+"/>
    <s v="GD"/>
    <x v="6"/>
    <n v="69"/>
    <n v="50"/>
    <n v="1955"/>
    <n v="1974"/>
    <n v="1632"/>
    <m/>
    <n v="1632"/>
    <n v="1132"/>
    <n v="500"/>
    <m/>
    <n v="2132"/>
    <n v="2500"/>
    <n v="11"/>
    <m/>
    <m/>
    <m/>
    <m/>
    <m/>
    <m/>
    <m/>
    <n v="552140"/>
    <n v="403062"/>
    <n v="52668"/>
    <n v="518200"/>
    <n v="70100"/>
    <n v="448100"/>
    <n v="0"/>
    <n v="0"/>
    <n v="89850.625589999996"/>
    <n v="-40295.239319339329"/>
    <n v="74268.409664999999"/>
    <n v="197752.34721000001"/>
    <n v="-11152.280025"/>
    <n v="80634.949239263995"/>
    <n v="0"/>
    <n v="0"/>
    <n v="47461.653043104001"/>
    <n v="41712.243157199999"/>
    <n v="0"/>
    <n v="52700"/>
    <n v="430700"/>
    <n v="49600"/>
    <n v="533000"/>
    <n v="2.8560401389424932E-2"/>
    <n v="0.99970000000000003"/>
    <n v="0.98380000000000001"/>
    <n v="0.99650000000000005"/>
    <n v="0.98919999999999997"/>
    <n v="1.0199"/>
    <n v="0.94971499999999998"/>
    <n v="0.93933200115703741"/>
    <n v="430700"/>
    <n v="50000"/>
    <n v="480700"/>
    <n v="47100"/>
    <n v="527800"/>
    <n v="7.275161794242356E-2"/>
    <n v="-0.32810271041369471"/>
    <n v="1.8525665766113468E-2"/>
  </r>
  <r>
    <n v="2025"/>
    <s v="18132242457    "/>
    <n v="-1.3862943611198906"/>
    <n v="0.25"/>
    <n v="10681"/>
    <s v="6"/>
    <s v="RES"/>
    <x v="0"/>
    <s v="11"/>
    <s v="259"/>
    <s v="RN"/>
    <s v="A"/>
    <s v="AV"/>
    <x v="6"/>
    <n v="69"/>
    <n v="50"/>
    <n v="1955"/>
    <n v="1974"/>
    <n v="1764"/>
    <m/>
    <m/>
    <n v="0"/>
    <m/>
    <m/>
    <n v="1764"/>
    <n v="2000"/>
    <n v="8"/>
    <n v="800"/>
    <m/>
    <m/>
    <m/>
    <m/>
    <m/>
    <m/>
    <n v="310135"/>
    <n v="217095"/>
    <n v="0"/>
    <n v="326200"/>
    <n v="66200"/>
    <n v="260000"/>
    <n v="0"/>
    <n v="0"/>
    <n v="89850.625589999996"/>
    <n v="-43882.615305165229"/>
    <n v="21557.329055999999"/>
    <n v="160472.20319"/>
    <n v="-11152.280025"/>
    <n v="87156.893663028008"/>
    <n v="0"/>
    <n v="0"/>
    <n v="0"/>
    <n v="30336.176841600001"/>
    <n v="0"/>
    <n v="0"/>
    <n v="288400"/>
    <n v="46000"/>
    <n v="334400"/>
    <n v="2.5137952176578784E-2"/>
    <n v="0.99970000000000003"/>
    <n v="1.0067999999999999"/>
    <n v="0.99729999999999996"/>
    <n v="1.0093000000000001"/>
    <n v="1.0199"/>
    <n v="0.94971499999999998"/>
    <n v="0.98161274461821502"/>
    <n v="288400"/>
    <n v="0"/>
    <n v="288400"/>
    <n v="43700"/>
    <n v="332100"/>
    <n v="0.10923076923076923"/>
    <n v="-0.33987915407854985"/>
    <n v="1.8087063151440833E-2"/>
  </r>
  <r>
    <n v="2025"/>
    <s v="18132342494    "/>
    <n v="-1.7147984280919266"/>
    <n v="0.18"/>
    <n v="7969"/>
    <s v="6"/>
    <s v="RES"/>
    <x v="0"/>
    <s v="11"/>
    <s v="259"/>
    <s v="TD"/>
    <s v="G"/>
    <s v="GD"/>
    <x v="6"/>
    <n v="69"/>
    <n v="50"/>
    <n v="1955"/>
    <n v="1974"/>
    <n v="1771"/>
    <m/>
    <n v="905"/>
    <n v="0"/>
    <n v="905"/>
    <m/>
    <n v="2676"/>
    <n v="3000"/>
    <n v="8"/>
    <m/>
    <n v="357"/>
    <n v="80"/>
    <m/>
    <m/>
    <m/>
    <m/>
    <n v="532430"/>
    <n v="383350"/>
    <n v="0"/>
    <n v="404300"/>
    <n v="54700"/>
    <n v="349600"/>
    <n v="0"/>
    <n v="0"/>
    <n v="89850.625589999996"/>
    <n v="-54281.285314520763"/>
    <n v="44121.038090000002"/>
    <n v="197752.34721000001"/>
    <n v="-11152.280025"/>
    <n v="87502.754352167001"/>
    <n v="0"/>
    <n v="0"/>
    <n v="26319.115198534997"/>
    <n v="30336.176841600001"/>
    <n v="2663.6412220800003"/>
    <n v="0"/>
    <n v="377500"/>
    <n v="35600"/>
    <n v="413100"/>
    <n v="2.1766015335147167E-2"/>
    <n v="0.99970000000000003"/>
    <n v="0.98050000000000004"/>
    <n v="0.99650000000000005"/>
    <n v="0.96179999999999999"/>
    <n v="1.0199"/>
    <n v="0.94971499999999998"/>
    <n v="0.91024973874989379"/>
    <n v="377500"/>
    <n v="0"/>
    <n v="377500"/>
    <n v="33800"/>
    <n v="411300"/>
    <n v="7.9805491990846689E-2"/>
    <n v="-0.38208409506398539"/>
    <n v="1.7313875834776157E-2"/>
  </r>
  <r>
    <n v="2025"/>
    <s v="18132323467    "/>
    <n v="-1.4696759700589417"/>
    <n v="0.23"/>
    <m/>
    <s v="6"/>
    <s v="RES"/>
    <x v="0"/>
    <s v="11"/>
    <s v="259"/>
    <s v="TD"/>
    <s v="F+"/>
    <s v="FR"/>
    <x v="6"/>
    <n v="69"/>
    <n v="50"/>
    <n v="1955"/>
    <n v="1974"/>
    <n v="1955"/>
    <m/>
    <m/>
    <n v="0"/>
    <m/>
    <m/>
    <n v="1955"/>
    <n v="2000"/>
    <n v="8"/>
    <n v="420"/>
    <m/>
    <m/>
    <m/>
    <m/>
    <m/>
    <m/>
    <n v="279451"/>
    <n v="192821"/>
    <n v="0"/>
    <n v="285800"/>
    <n v="63300"/>
    <n v="222500"/>
    <n v="0"/>
    <n v="0"/>
    <n v="89850.625589999996"/>
    <n v="-46522.028095997222"/>
    <n v="0"/>
    <n v="133714.53821"/>
    <n v="-11152.280025"/>
    <n v="96593.949609535004"/>
    <n v="0"/>
    <n v="0"/>
    <n v="0"/>
    <n v="30336.176841600001"/>
    <n v="0"/>
    <n v="0"/>
    <n v="249500"/>
    <n v="43300"/>
    <n v="292800"/>
    <n v="2.4492652204338699E-2"/>
    <n v="0.99970000000000003"/>
    <n v="0.99180000000000001"/>
    <n v="0.99329999999999996"/>
    <n v="1.0093000000000001"/>
    <n v="1.0199"/>
    <n v="0.94971499999999998"/>
    <n v="0.96310957794984986"/>
    <n v="249500"/>
    <n v="0"/>
    <n v="249500"/>
    <n v="41100"/>
    <n v="290600"/>
    <n v="0.12134831460674157"/>
    <n v="-0.35071090047393366"/>
    <n v="1.6794961511546535E-2"/>
  </r>
  <r>
    <n v="2025"/>
    <s v="18132242461    "/>
    <n v="-1.6094379124341003"/>
    <n v="0.2"/>
    <n v="8528"/>
    <s v="6"/>
    <s v="RES"/>
    <x v="0"/>
    <s v="11"/>
    <s v="259"/>
    <s v="SL"/>
    <s v="A+"/>
    <s v="AV"/>
    <x v="6"/>
    <n v="69"/>
    <n v="50"/>
    <n v="1955"/>
    <n v="1974"/>
    <n v="1221"/>
    <m/>
    <n v="525"/>
    <n v="0"/>
    <n v="525"/>
    <m/>
    <n v="1746"/>
    <n v="2000"/>
    <n v="8"/>
    <m/>
    <m/>
    <m/>
    <m/>
    <m/>
    <m/>
    <m/>
    <n v="311746"/>
    <n v="218222"/>
    <n v="0"/>
    <n v="317100"/>
    <n v="58400"/>
    <n v="258700"/>
    <n v="0"/>
    <n v="0"/>
    <n v="89850.625589999996"/>
    <n v="-50946.13867709865"/>
    <n v="29814.093161000001"/>
    <n v="160472.20319"/>
    <n v="-11152.280025"/>
    <n v="60327.985919817002"/>
    <n v="0"/>
    <n v="0"/>
    <n v="15267.995004675"/>
    <n v="30336.176841600001"/>
    <n v="0"/>
    <n v="0"/>
    <n v="285100"/>
    <n v="38900"/>
    <n v="324000"/>
    <n v="2.1759697256385997E-2"/>
    <n v="0.99970000000000003"/>
    <n v="1.0088999999999999"/>
    <n v="0.99729999999999996"/>
    <n v="1.0093000000000001"/>
    <n v="1.0199"/>
    <n v="0.94971499999999998"/>
    <n v="0.98366020862665582"/>
    <n v="285100"/>
    <n v="0"/>
    <n v="285100"/>
    <n v="36900"/>
    <n v="322000"/>
    <n v="0.10204870506378044"/>
    <n v="-0.36815068493150682"/>
    <n v="1.5452538631346579E-2"/>
  </r>
  <r>
    <n v="2025"/>
    <s v="18132344486    "/>
    <n v="-1.8971199848858813"/>
    <n v="0.15"/>
    <m/>
    <s v="6"/>
    <s v="RES"/>
    <x v="0"/>
    <s v="11"/>
    <s v="400"/>
    <s v="RN"/>
    <s v="G"/>
    <s v="FR"/>
    <x v="6"/>
    <n v="69"/>
    <n v="50"/>
    <n v="1955"/>
    <n v="1974"/>
    <n v="1240"/>
    <m/>
    <n v="818"/>
    <n v="0"/>
    <n v="818"/>
    <m/>
    <n v="2058"/>
    <n v="2500"/>
    <n v="7"/>
    <m/>
    <m/>
    <m/>
    <m/>
    <m/>
    <m/>
    <m/>
    <n v="408839"/>
    <n v="282099"/>
    <n v="0"/>
    <n v="302200"/>
    <n v="48400"/>
    <n v="253800"/>
    <n v="0"/>
    <n v="0"/>
    <n v="89850.625589999996"/>
    <n v="-60052.604136134301"/>
    <n v="44121.038090000002"/>
    <n v="133714.53821"/>
    <n v="-11152.280025"/>
    <n v="61266.750647480003"/>
    <n v="0"/>
    <n v="0"/>
    <n v="23788.990312046"/>
    <n v="26544.1547364"/>
    <n v="0"/>
    <n v="0"/>
    <n v="278300"/>
    <n v="29800"/>
    <n v="308100"/>
    <n v="1.9523494374586368E-2"/>
    <n v="0.99970000000000003"/>
    <n v="0.98050000000000004"/>
    <n v="0.99329999999999996"/>
    <n v="0.98919999999999997"/>
    <n v="1.0199"/>
    <n v="0.94971499999999998"/>
    <n v="0.93317486018372109"/>
    <n v="278300"/>
    <n v="0"/>
    <n v="278300"/>
    <n v="28300"/>
    <n v="306600"/>
    <n v="9.653270291568164E-2"/>
    <n v="-0.41528925619834711"/>
    <n v="1.455989410986102E-2"/>
  </r>
  <r>
    <n v="2025"/>
    <s v="18132244447    "/>
    <n v="-1.1394342831883648"/>
    <n v="0.32"/>
    <n v="14000"/>
    <s v="6"/>
    <s v="RES"/>
    <x v="0"/>
    <s v="11"/>
    <s v="259"/>
    <s v="RN"/>
    <s v="A+"/>
    <s v="AV"/>
    <x v="6"/>
    <n v="69"/>
    <n v="50"/>
    <n v="1955"/>
    <n v="1974"/>
    <n v="1232"/>
    <m/>
    <n v="1232"/>
    <n v="370"/>
    <n v="862"/>
    <m/>
    <n v="2094"/>
    <n v="2500"/>
    <n v="8"/>
    <n v="338"/>
    <m/>
    <m/>
    <m/>
    <m/>
    <m/>
    <m/>
    <n v="370785"/>
    <n v="259550"/>
    <n v="0"/>
    <n v="352900"/>
    <n v="74800"/>
    <n v="278100"/>
    <n v="0"/>
    <n v="0"/>
    <n v="89850.625589999996"/>
    <n v="-36068.354396449467"/>
    <n v="29814.093161000001"/>
    <n v="160472.20319"/>
    <n v="-11152.280025"/>
    <n v="60871.481288464005"/>
    <n v="0"/>
    <n v="0"/>
    <n v="35828.894944303996"/>
    <n v="30336.176841600001"/>
    <n v="0"/>
    <n v="0"/>
    <n v="306200"/>
    <n v="53800"/>
    <n v="360000"/>
    <n v="2.0119013884953244E-2"/>
    <n v="0.99970000000000003"/>
    <n v="1.0088999999999999"/>
    <n v="0.99729999999999996"/>
    <n v="0.98919999999999997"/>
    <n v="1.0199"/>
    <n v="0.94971499999999998"/>
    <n v="0.96407081974981479"/>
    <n v="306200"/>
    <n v="0"/>
    <n v="306200"/>
    <n v="51100"/>
    <n v="357300"/>
    <n v="0.10104279036317872"/>
    <n v="-0.31684491978609625"/>
    <n v="1.2468121280816095E-2"/>
  </r>
  <r>
    <n v="2025"/>
    <s v="18132242502    "/>
    <n v="-1.4696759700589417"/>
    <n v="0.23"/>
    <n v="10000"/>
    <s v="6"/>
    <s v="RES"/>
    <x v="0"/>
    <s v="11"/>
    <s v="259"/>
    <s v="RN"/>
    <s v="A+"/>
    <s v="GD"/>
    <x v="6"/>
    <n v="69"/>
    <n v="50"/>
    <n v="1955"/>
    <n v="1974"/>
    <n v="1404"/>
    <m/>
    <n v="1404"/>
    <n v="0"/>
    <n v="1404"/>
    <m/>
    <n v="2808"/>
    <n v="3000"/>
    <n v="9"/>
    <n v="442"/>
    <m/>
    <m/>
    <m/>
    <m/>
    <m/>
    <m/>
    <n v="438205"/>
    <n v="315508"/>
    <n v="0"/>
    <n v="397000"/>
    <n v="63300"/>
    <n v="333700"/>
    <n v="0"/>
    <n v="0"/>
    <n v="89850.625589999996"/>
    <n v="-46522.028095997222"/>
    <n v="29814.093161000001"/>
    <n v="197752.34721000001"/>
    <n v="-11152.280025"/>
    <n v="69369.772507308007"/>
    <n v="0"/>
    <n v="0"/>
    <n v="40830.980926787997"/>
    <n v="34128.198946800003"/>
    <n v="0"/>
    <n v="0"/>
    <n v="360700"/>
    <n v="43300"/>
    <n v="404000"/>
    <n v="1.7632241813602016E-2"/>
    <n v="0.99970000000000003"/>
    <n v="1.0088999999999999"/>
    <n v="0.99650000000000005"/>
    <n v="0.96179999999999999"/>
    <n v="1.0199"/>
    <n v="0.94971499999999998"/>
    <n v="0.93661495300843212"/>
    <n v="360700"/>
    <n v="0"/>
    <n v="360700"/>
    <n v="41100"/>
    <n v="401800"/>
    <n v="8.0910997902307463E-2"/>
    <n v="-0.35071090047393366"/>
    <n v="1.2090680100755667E-2"/>
  </r>
  <r>
    <n v="2025"/>
    <s v="18132214441    "/>
    <n v="-1.6607312068216509"/>
    <n v="0.19"/>
    <n v="8165"/>
    <s v="6"/>
    <s v="RES"/>
    <x v="0"/>
    <s v="11"/>
    <s v="259"/>
    <s v="RN"/>
    <s v="G"/>
    <s v="AV"/>
    <x v="6"/>
    <n v="69"/>
    <n v="50"/>
    <n v="1955"/>
    <n v="1974"/>
    <n v="1160"/>
    <m/>
    <n v="1160"/>
    <n v="0"/>
    <n v="1160"/>
    <m/>
    <n v="2320"/>
    <n v="2500"/>
    <n v="9"/>
    <n v="832"/>
    <m/>
    <m/>
    <m/>
    <m/>
    <m/>
    <m/>
    <n v="453236"/>
    <n v="317265"/>
    <n v="0"/>
    <n v="350200"/>
    <n v="56600"/>
    <n v="293600"/>
    <n v="0"/>
    <n v="0"/>
    <n v="89850.625589999996"/>
    <n v="-52569.808201026557"/>
    <n v="44121.038090000002"/>
    <n v="160472.20319"/>
    <n v="-11152.280025"/>
    <n v="57314.057057320002"/>
    <n v="0"/>
    <n v="0"/>
    <n v="33734.998486519995"/>
    <n v="34128.198946800003"/>
    <n v="0"/>
    <n v="0"/>
    <n v="318600"/>
    <n v="37300"/>
    <n v="355900"/>
    <n v="1.6276413478012564E-2"/>
    <n v="0.99970000000000003"/>
    <n v="0.98050000000000004"/>
    <n v="0.99729999999999996"/>
    <n v="0.98919999999999997"/>
    <n v="1.0199"/>
    <n v="0.94971499999999998"/>
    <n v="0.93693273740181715"/>
    <n v="318600"/>
    <n v="0"/>
    <n v="318600"/>
    <n v="35400"/>
    <n v="354000"/>
    <n v="8.5149863760217978E-2"/>
    <n v="-0.37455830388692579"/>
    <n v="1.0850942318675044E-2"/>
  </r>
  <r>
    <n v="2025"/>
    <s v="18132213409    "/>
    <n v="-3.2188758248682006"/>
    <n v="0.04"/>
    <n v="1733"/>
    <s v="6"/>
    <s v="RES"/>
    <x v="0"/>
    <s v="11"/>
    <s v="259"/>
    <s v="TD"/>
    <s v="G"/>
    <s v="AV"/>
    <x v="6"/>
    <n v="69"/>
    <n v="50"/>
    <n v="1955"/>
    <n v="1974"/>
    <n v="874"/>
    <m/>
    <n v="874"/>
    <n v="0"/>
    <n v="874"/>
    <m/>
    <n v="1748"/>
    <n v="2000"/>
    <n v="8"/>
    <m/>
    <m/>
    <m/>
    <m/>
    <m/>
    <m/>
    <m/>
    <n v="320236"/>
    <n v="224165"/>
    <n v="0"/>
    <n v="278100"/>
    <n v="15000"/>
    <n v="263100"/>
    <n v="0"/>
    <n v="0"/>
    <n v="89850.625589999996"/>
    <n v="-101892.2773541973"/>
    <n v="44121.038090000002"/>
    <n v="160472.20319"/>
    <n v="-11152.280025"/>
    <n v="43183.177472497999"/>
    <n v="0"/>
    <n v="0"/>
    <n v="25417.576445878"/>
    <n v="30336.176841600001"/>
    <n v="0"/>
    <n v="0"/>
    <n v="292400"/>
    <n v="-12000"/>
    <n v="280400"/>
    <n v="8.2704063286587557E-3"/>
    <n v="0.99970000000000003"/>
    <n v="0.98050000000000004"/>
    <n v="0.99729999999999996"/>
    <n v="1.0093000000000001"/>
    <n v="1.0199"/>
    <n v="0.94971499999999998"/>
    <n v="0.95597069536964641"/>
    <n v="292400"/>
    <n v="0"/>
    <n v="292400"/>
    <n v="-11400"/>
    <n v="281000"/>
    <n v="0.11136450019004181"/>
    <n v="-1.76"/>
    <n v="1.0427903631787127E-2"/>
  </r>
  <r>
    <n v="2025"/>
    <s v="18132211412    "/>
    <n v="-1.5141277326297755"/>
    <n v="0.22"/>
    <n v="9768"/>
    <s v="6"/>
    <s v="RES"/>
    <x v="0"/>
    <s v="11"/>
    <s v="259"/>
    <s v="RN"/>
    <s v="A"/>
    <s v="AV"/>
    <x v="6"/>
    <n v="69"/>
    <n v="50"/>
    <n v="1955"/>
    <n v="1974"/>
    <n v="1542"/>
    <m/>
    <n v="870"/>
    <n v="0"/>
    <n v="870"/>
    <m/>
    <n v="2412"/>
    <n v="2500"/>
    <n v="8"/>
    <m/>
    <n v="672"/>
    <n v="60"/>
    <m/>
    <m/>
    <m/>
    <m/>
    <n v="351712"/>
    <n v="246198"/>
    <n v="21713"/>
    <n v="362500"/>
    <n v="61700"/>
    <n v="300800"/>
    <n v="0"/>
    <n v="0"/>
    <n v="89850.625589999996"/>
    <n v="-47929.131559187132"/>
    <n v="21557.329055999999"/>
    <n v="160472.20319"/>
    <n v="-11152.280025"/>
    <n v="76188.168950334002"/>
    <n v="0"/>
    <n v="0"/>
    <n v="25301.24886489"/>
    <n v="30336.176841600001"/>
    <n v="1997.7309165600002"/>
    <n v="21700"/>
    <n v="304700"/>
    <n v="41900"/>
    <n v="368300"/>
    <n v="1.6E-2"/>
    <n v="0.99970000000000003"/>
    <n v="1.0067999999999999"/>
    <n v="0.99729999999999996"/>
    <n v="0.98919999999999997"/>
    <n v="1.0199"/>
    <n v="0.94971499999999998"/>
    <n v="0.9620641305621106"/>
    <n v="304700"/>
    <n v="20600"/>
    <n v="325300"/>
    <n v="39800"/>
    <n v="365100"/>
    <n v="8.1449468085106377E-2"/>
    <n v="-0.35494327390599678"/>
    <n v="7.1724137931034482E-3"/>
  </r>
  <r>
    <n v="2025"/>
    <s v="18132323510    "/>
    <n v="-1.6094379124341003"/>
    <n v="0.2"/>
    <m/>
    <s v="6"/>
    <s v="RES"/>
    <x v="0"/>
    <s v="11"/>
    <s v="259"/>
    <s v="RN"/>
    <s v="A"/>
    <s v="AV"/>
    <x v="6"/>
    <n v="69"/>
    <n v="50"/>
    <n v="1955"/>
    <n v="1974"/>
    <n v="1054"/>
    <m/>
    <n v="1054"/>
    <n v="0"/>
    <n v="1054"/>
    <m/>
    <n v="2108"/>
    <n v="2500"/>
    <n v="7"/>
    <n v="322"/>
    <m/>
    <m/>
    <m/>
    <m/>
    <m/>
    <m/>
    <n v="276753"/>
    <n v="193727"/>
    <n v="0"/>
    <n v="315000"/>
    <n v="58400"/>
    <n v="256600"/>
    <n v="0"/>
    <n v="0"/>
    <n v="89850.625589999996"/>
    <n v="-50946.13867709865"/>
    <n v="21557.329055999999"/>
    <n v="160472.20319"/>
    <n v="-11152.280025"/>
    <n v="52076.738050357999"/>
    <n v="0"/>
    <n v="0"/>
    <n v="30652.317590338"/>
    <n v="26544.1547364"/>
    <n v="0"/>
    <n v="0"/>
    <n v="280200"/>
    <n v="38900"/>
    <n v="319100"/>
    <n v="1.3015873015873015E-2"/>
    <n v="0.99970000000000003"/>
    <n v="1.0067999999999999"/>
    <n v="0.99729999999999996"/>
    <n v="0.98919999999999997"/>
    <n v="1.0199"/>
    <n v="0.94971499999999998"/>
    <n v="0.9620641305621106"/>
    <n v="280200"/>
    <n v="0"/>
    <n v="280200"/>
    <n v="36900"/>
    <n v="317100"/>
    <n v="9.1971940763834761E-2"/>
    <n v="-0.36815068493150682"/>
    <n v="6.6666666666666671E-3"/>
  </r>
  <r>
    <n v="2025"/>
    <s v="18132242459    "/>
    <n v="-1.6094379124341003"/>
    <n v="0.2"/>
    <n v="8505"/>
    <s v="6"/>
    <s v="RES"/>
    <x v="0"/>
    <s v="11"/>
    <s v="259"/>
    <s v="RN"/>
    <s v="G"/>
    <s v="AV"/>
    <x v="6"/>
    <n v="69"/>
    <n v="50"/>
    <n v="1955"/>
    <n v="1974"/>
    <n v="1888"/>
    <m/>
    <n v="1144"/>
    <n v="0"/>
    <n v="1144"/>
    <m/>
    <n v="3032"/>
    <n v="3500"/>
    <n v="8"/>
    <m/>
    <n v="364"/>
    <m/>
    <m/>
    <m/>
    <m/>
    <m/>
    <n v="544868"/>
    <n v="381408"/>
    <n v="0"/>
    <n v="385100"/>
    <n v="58400"/>
    <n v="326700"/>
    <n v="0"/>
    <n v="0"/>
    <n v="89850.625589999996"/>
    <n v="-50946.13867709865"/>
    <n v="44121.038090000002"/>
    <n v="160472.20319"/>
    <n v="-11152.280025"/>
    <n v="93283.568727776001"/>
    <n v="0"/>
    <n v="0"/>
    <n v="33269.688162567996"/>
    <n v="30336.176841600001"/>
    <n v="0"/>
    <n v="0"/>
    <n v="350300"/>
    <n v="38900"/>
    <n v="389200"/>
    <n v="1.0646585302518826E-2"/>
    <n v="0.99970000000000003"/>
    <n v="0.98050000000000004"/>
    <n v="0.99729999999999996"/>
    <n v="1.0126999999999999"/>
    <n v="1.0199"/>
    <n v="0.94971499999999998"/>
    <n v="0.95919104646868192"/>
    <n v="350300"/>
    <n v="0"/>
    <n v="350300"/>
    <n v="36900"/>
    <n v="387200"/>
    <n v="7.2237526782981329E-2"/>
    <n v="-0.36815068493150682"/>
    <n v="5.4531290573876911E-3"/>
  </r>
  <r>
    <n v="2025"/>
    <s v="18132244463    "/>
    <n v="-1.3093333199837622"/>
    <n v="0.27"/>
    <n v="11915"/>
    <s v="6"/>
    <s v="RES"/>
    <x v="0"/>
    <s v="11"/>
    <s v="259"/>
    <s v="RN"/>
    <s v="A+"/>
    <s v="AV"/>
    <x v="6"/>
    <n v="69"/>
    <n v="50"/>
    <n v="1955"/>
    <n v="1974"/>
    <n v="1603"/>
    <m/>
    <n v="1323"/>
    <n v="245"/>
    <n v="1078"/>
    <m/>
    <n v="2681"/>
    <n v="3000"/>
    <n v="8"/>
    <n v="440"/>
    <m/>
    <m/>
    <m/>
    <m/>
    <m/>
    <m/>
    <n v="439781"/>
    <n v="307847"/>
    <n v="22839"/>
    <n v="393100"/>
    <n v="68900"/>
    <n v="324200"/>
    <n v="0"/>
    <n v="0"/>
    <n v="89850.625589999996"/>
    <n v="-41446.443120973789"/>
    <n v="29814.093161000001"/>
    <n v="160472.20319"/>
    <n v="-11152.280025"/>
    <n v="79202.097812831009"/>
    <n v="0"/>
    <n v="0"/>
    <n v="38475.347411780996"/>
    <n v="30336.176841600001"/>
    <n v="0"/>
    <n v="22800"/>
    <n v="327100"/>
    <n v="48400"/>
    <n v="398300"/>
    <n v="1.3228186212159756E-2"/>
    <n v="0.99970000000000003"/>
    <n v="1.0088999999999999"/>
    <n v="0.99729999999999996"/>
    <n v="0.96179999999999999"/>
    <n v="1.0199"/>
    <n v="0.94971499999999998"/>
    <n v="0.93736687670377261"/>
    <n v="327100"/>
    <n v="21700"/>
    <n v="348800"/>
    <n v="46000"/>
    <n v="394800"/>
    <n v="7.5879086983343613E-2"/>
    <n v="-0.33236574746008707"/>
    <n v="4.3245993385906895E-3"/>
  </r>
  <r>
    <n v="2025"/>
    <s v="18132323484    "/>
    <n v="-1.5606477482646683"/>
    <n v="0.21"/>
    <m/>
    <s v="6"/>
    <s v="RES"/>
    <x v="0"/>
    <s v="11"/>
    <s v="259"/>
    <s v="RN"/>
    <s v="F+"/>
    <s v="AV"/>
    <x v="6"/>
    <n v="69"/>
    <n v="50"/>
    <n v="1955"/>
    <n v="1974"/>
    <n v="865"/>
    <m/>
    <m/>
    <n v="0"/>
    <m/>
    <m/>
    <n v="865"/>
    <n v="1000"/>
    <n v="5"/>
    <n v="299"/>
    <m/>
    <m/>
    <m/>
    <m/>
    <m/>
    <m/>
    <n v="155316"/>
    <n v="108721"/>
    <n v="0"/>
    <n v="249500"/>
    <n v="60100"/>
    <n v="189400"/>
    <n v="0"/>
    <n v="0"/>
    <n v="89850.625589999996"/>
    <n v="-49401.70477837498"/>
    <n v="0"/>
    <n v="160472.20319"/>
    <n v="-11152.280025"/>
    <n v="42738.499443605004"/>
    <n v="0"/>
    <n v="0"/>
    <n v="0"/>
    <n v="18960.110526"/>
    <n v="0"/>
    <n v="0"/>
    <n v="211000"/>
    <n v="40400"/>
    <n v="251400"/>
    <n v="7.6152304609218438E-3"/>
    <n v="0.99970000000000003"/>
    <n v="0.99180000000000001"/>
    <n v="0.99729999999999996"/>
    <n v="1.0148999999999999"/>
    <n v="1.0199"/>
    <n v="0.94971499999999998"/>
    <n v="0.97235323781444771"/>
    <n v="211000"/>
    <n v="0"/>
    <n v="211000"/>
    <n v="38400"/>
    <n v="249400"/>
    <n v="0.11404435058078141"/>
    <n v="-0.36106489184692181"/>
    <n v="-4.0080160320641282E-4"/>
  </r>
  <r>
    <n v="2025"/>
    <s v="18132211023    "/>
    <n v="-0.11653381625595151"/>
    <n v="0.89"/>
    <n v="38692"/>
    <s v="6"/>
    <s v="RES"/>
    <x v="0"/>
    <s v="11"/>
    <s v="259"/>
    <s v="CP"/>
    <s v="A+"/>
    <s v="AV"/>
    <x v="6"/>
    <n v="69"/>
    <n v="50"/>
    <n v="1955"/>
    <n v="1974"/>
    <n v="3046"/>
    <m/>
    <n v="200"/>
    <n v="200"/>
    <m/>
    <m/>
    <n v="3046"/>
    <n v="3500"/>
    <n v="9"/>
    <n v="783"/>
    <m/>
    <m/>
    <m/>
    <m/>
    <m/>
    <m/>
    <n v="541100"/>
    <n v="378770"/>
    <n v="0"/>
    <n v="451600"/>
    <n v="110500"/>
    <n v="341100"/>
    <n v="0"/>
    <n v="0"/>
    <n v="89850.625589999996"/>
    <n v="-3688.8331744144443"/>
    <n v="29814.093161000001"/>
    <n v="160472.20319"/>
    <n v="-11152.280025"/>
    <n v="150498.808445342"/>
    <n v="0"/>
    <n v="0"/>
    <n v="5816.3790493999995"/>
    <n v="34128.198946800003"/>
    <n v="0"/>
    <n v="0"/>
    <n v="369600"/>
    <n v="86200"/>
    <n v="455800"/>
    <n v="9.3002657218777679E-3"/>
    <n v="0.99970000000000003"/>
    <n v="1.0088999999999999"/>
    <n v="0.99729999999999996"/>
    <n v="1.0126999999999999"/>
    <n v="1.0199"/>
    <n v="0.94971499999999998"/>
    <n v="0.9869738365958729"/>
    <n v="369600"/>
    <n v="0"/>
    <n v="369600"/>
    <n v="81800"/>
    <n v="451400"/>
    <n v="8.3553210202286718E-2"/>
    <n v="-0.25972850678733034"/>
    <n v="-4.4286979627989372E-4"/>
  </r>
  <r>
    <n v="2025"/>
    <s v="18132241489    "/>
    <n v="-1.4271163556401458"/>
    <n v="0.24"/>
    <n v="10413"/>
    <s v="6"/>
    <s v="RES"/>
    <x v="0"/>
    <s v="11"/>
    <s v="259"/>
    <s v="RN"/>
    <s v="A+"/>
    <s v="AV"/>
    <x v="6"/>
    <n v="69"/>
    <n v="50"/>
    <n v="1955"/>
    <n v="1974"/>
    <n v="1225"/>
    <m/>
    <n v="1225"/>
    <n v="0"/>
    <n v="1225"/>
    <m/>
    <n v="2450"/>
    <n v="2500"/>
    <n v="8"/>
    <m/>
    <m/>
    <m/>
    <m/>
    <m/>
    <m/>
    <m/>
    <n v="352493"/>
    <n v="246745"/>
    <n v="0"/>
    <n v="348300"/>
    <n v="64800"/>
    <n v="283500"/>
    <n v="0"/>
    <n v="0"/>
    <n v="89850.625589999996"/>
    <n v="-45174.819855485119"/>
    <n v="29814.093161000001"/>
    <n v="160472.20319"/>
    <n v="-11152.280025"/>
    <n v="60525.620599325004"/>
    <n v="0"/>
    <n v="0"/>
    <n v="35625.321677574997"/>
    <n v="30336.176841600001"/>
    <n v="0"/>
    <n v="0"/>
    <n v="305600"/>
    <n v="44700"/>
    <n v="350300"/>
    <n v="5.7421762848119439E-3"/>
    <n v="0.99970000000000003"/>
    <n v="1.0088999999999999"/>
    <n v="0.99729999999999996"/>
    <n v="0.98919999999999997"/>
    <n v="1.0199"/>
    <n v="0.94971499999999998"/>
    <n v="0.96407081974981479"/>
    <n v="305600"/>
    <n v="0"/>
    <n v="305600"/>
    <n v="42400"/>
    <n v="348000"/>
    <n v="7.7954144620811294E-2"/>
    <n v="-0.34567901234567899"/>
    <n v="-8.6132644272179156E-4"/>
  </r>
  <r>
    <n v="2025"/>
    <s v="18132322435    "/>
    <n v="-1.6094379124341003"/>
    <n v="0.2"/>
    <m/>
    <s v="6"/>
    <s v="RES"/>
    <x v="0"/>
    <s v="11"/>
    <s v="259"/>
    <s v="TD"/>
    <s v="A+"/>
    <s v="AV"/>
    <x v="6"/>
    <n v="69"/>
    <n v="50"/>
    <n v="1955"/>
    <n v="1974"/>
    <n v="1027"/>
    <m/>
    <n v="1027"/>
    <n v="0"/>
    <n v="1027"/>
    <m/>
    <n v="2054"/>
    <n v="2500"/>
    <n v="8"/>
    <m/>
    <m/>
    <m/>
    <m/>
    <m/>
    <m/>
    <m/>
    <n v="318489"/>
    <n v="222942"/>
    <n v="0"/>
    <n v="328300"/>
    <n v="58400"/>
    <n v="269900"/>
    <n v="0"/>
    <n v="0"/>
    <n v="89850.625589999996"/>
    <n v="-50946.13867709865"/>
    <n v="29814.093161000001"/>
    <n v="160472.20319"/>
    <n v="-11152.280025"/>
    <n v="50742.703963679"/>
    <n v="0"/>
    <n v="0"/>
    <n v="29867.106418668998"/>
    <n v="30336.176841600001"/>
    <n v="0"/>
    <n v="0"/>
    <n v="290100"/>
    <n v="38900"/>
    <n v="329000"/>
    <n v="2.1321961620469083E-3"/>
    <n v="0.99970000000000003"/>
    <n v="1.0088999999999999"/>
    <n v="0.99729999999999996"/>
    <n v="0.98919999999999997"/>
    <n v="1.0199"/>
    <n v="0.94971499999999998"/>
    <n v="0.96407081974981479"/>
    <n v="290100"/>
    <n v="0"/>
    <n v="290100"/>
    <n v="36900"/>
    <n v="327000"/>
    <n v="7.4842534271952574E-2"/>
    <n v="-0.36815068493150682"/>
    <n v="-3.9597928723728295E-3"/>
  </r>
  <r>
    <n v="2025"/>
    <s v="18132323525    "/>
    <n v="-1.6607312068216509"/>
    <n v="0.19"/>
    <n v="8400"/>
    <s v="6"/>
    <s v="RES"/>
    <x v="0"/>
    <s v="11"/>
    <s v="259"/>
    <s v="TD"/>
    <s v="F+"/>
    <s v="GD"/>
    <x v="6"/>
    <n v="69"/>
    <n v="50"/>
    <n v="1955"/>
    <n v="1974"/>
    <n v="1305"/>
    <m/>
    <m/>
    <n v="0"/>
    <m/>
    <m/>
    <n v="1305"/>
    <n v="1500"/>
    <n v="5"/>
    <m/>
    <m/>
    <m/>
    <m/>
    <m/>
    <m/>
    <m/>
    <n v="204597"/>
    <n v="147310"/>
    <n v="0"/>
    <n v="308100"/>
    <n v="56600"/>
    <n v="251500"/>
    <n v="0"/>
    <n v="0"/>
    <n v="89850.625589999996"/>
    <n v="-52569.808201026557"/>
    <n v="0"/>
    <n v="197752.34721000001"/>
    <n v="-11152.280025"/>
    <n v="64478.314189485005"/>
    <n v="0"/>
    <n v="0"/>
    <n v="0"/>
    <n v="18960.110526"/>
    <n v="0"/>
    <n v="0"/>
    <n v="270000"/>
    <n v="37300"/>
    <n v="307300"/>
    <n v="-2.596559558584875E-3"/>
    <n v="0.99970000000000003"/>
    <n v="0.99180000000000001"/>
    <n v="0.99650000000000005"/>
    <n v="1.0157"/>
    <n v="1.0199"/>
    <n v="0.94971499999999998"/>
    <n v="0.97233909672715635"/>
    <n v="270000"/>
    <n v="0"/>
    <n v="270000"/>
    <n v="35400"/>
    <n v="305400"/>
    <n v="7.3558648111332003E-2"/>
    <n v="-0.37455830388692579"/>
    <n v="-8.7633885102239538E-3"/>
  </r>
  <r>
    <n v="2025"/>
    <s v="18132243450    "/>
    <n v="-1.1086626245216111"/>
    <n v="0.33"/>
    <n v="14467"/>
    <s v="6"/>
    <s v="RES"/>
    <x v="0"/>
    <s v="11"/>
    <s v="259"/>
    <s v="RN"/>
    <s v="G+"/>
    <s v="GD"/>
    <x v="6"/>
    <n v="69"/>
    <n v="50"/>
    <n v="1955"/>
    <n v="1974"/>
    <n v="1855"/>
    <m/>
    <n v="1277"/>
    <n v="638"/>
    <n v="639"/>
    <m/>
    <n v="2494"/>
    <n v="2500"/>
    <n v="11"/>
    <m/>
    <m/>
    <m/>
    <m/>
    <m/>
    <m/>
    <m/>
    <n v="591615"/>
    <n v="431879"/>
    <n v="8649"/>
    <n v="496900"/>
    <n v="75900"/>
    <n v="421000"/>
    <n v="0"/>
    <n v="0"/>
    <n v="89850.625589999996"/>
    <n v="-35094.289365640165"/>
    <n v="74268.409664999999"/>
    <n v="197752.34721000001"/>
    <n v="-11152.280025"/>
    <n v="91653.082621834998"/>
    <n v="0"/>
    <n v="0"/>
    <n v="37137.580230419"/>
    <n v="41712.243157199999"/>
    <n v="0"/>
    <n v="8600"/>
    <n v="431400"/>
    <n v="54800"/>
    <n v="494800"/>
    <n v="-4.226202455222379E-3"/>
    <n v="0.99970000000000003"/>
    <n v="0.98380000000000001"/>
    <n v="0.99650000000000005"/>
    <n v="0.98919999999999997"/>
    <n v="1.0199"/>
    <n v="0.94971499999999998"/>
    <n v="0.93933200115703741"/>
    <n v="431400"/>
    <n v="8200"/>
    <n v="439600"/>
    <n v="52000"/>
    <n v="491600"/>
    <n v="4.4180522565320665E-2"/>
    <n v="-0.31488801054018445"/>
    <n v="-1.0666130006037432E-2"/>
  </r>
  <r>
    <n v="2025"/>
    <s v="18132244423    "/>
    <n v="-1.7147984280919266"/>
    <n v="0.18"/>
    <n v="7800"/>
    <s v="6"/>
    <s v="RES"/>
    <x v="0"/>
    <s v="11"/>
    <s v="259"/>
    <s v="TD"/>
    <s v="A"/>
    <s v="AV"/>
    <x v="6"/>
    <n v="69"/>
    <n v="50"/>
    <n v="1955"/>
    <n v="1974"/>
    <n v="1400"/>
    <m/>
    <n v="1425"/>
    <n v="285"/>
    <n v="1140"/>
    <m/>
    <n v="2540"/>
    <n v="3000"/>
    <n v="7"/>
    <m/>
    <m/>
    <m/>
    <m/>
    <m/>
    <m/>
    <m/>
    <n v="356929"/>
    <n v="249850"/>
    <n v="0"/>
    <n v="345600"/>
    <n v="54700"/>
    <n v="290900"/>
    <n v="0"/>
    <n v="0"/>
    <n v="89850.625589999996"/>
    <n v="-54281.285314520763"/>
    <n v="21557.329055999999"/>
    <n v="160472.20319"/>
    <n v="-11152.280025"/>
    <n v="69172.137827800005"/>
    <n v="0"/>
    <n v="0"/>
    <n v="41441.700726974996"/>
    <n v="26544.1547364"/>
    <n v="0"/>
    <n v="0"/>
    <n v="308000"/>
    <n v="35600"/>
    <n v="343600"/>
    <n v="-5.7870370370370367E-3"/>
    <n v="0.99970000000000003"/>
    <n v="1.0067999999999999"/>
    <n v="0.99729999999999996"/>
    <n v="0.96179999999999999"/>
    <n v="1.0199"/>
    <n v="0.94971499999999998"/>
    <n v="0.93541577110254559"/>
    <n v="308000"/>
    <n v="0"/>
    <n v="308000"/>
    <n v="33800"/>
    <n v="341800"/>
    <n v="5.8783086971467856E-2"/>
    <n v="-0.38208409506398539"/>
    <n v="-1.0995370370370371E-2"/>
  </r>
  <r>
    <n v="2025"/>
    <s v="18132324408    "/>
    <n v="-1.2378743560016174"/>
    <n v="0.28999999999999998"/>
    <m/>
    <s v="6"/>
    <s v="RES"/>
    <x v="0"/>
    <s v="11"/>
    <s v="259"/>
    <s v="RN"/>
    <s v="G"/>
    <s v="AV"/>
    <x v="6"/>
    <n v="69"/>
    <n v="50"/>
    <n v="1955"/>
    <n v="1974"/>
    <n v="1605"/>
    <m/>
    <n v="1233"/>
    <n v="0"/>
    <n v="1233"/>
    <m/>
    <n v="2838"/>
    <n v="3000"/>
    <n v="10"/>
    <m/>
    <n v="372"/>
    <m/>
    <m/>
    <m/>
    <m/>
    <m/>
    <n v="528242"/>
    <n v="369769"/>
    <n v="0"/>
    <n v="399900"/>
    <n v="71400"/>
    <n v="328500"/>
    <n v="0"/>
    <n v="0"/>
    <n v="89850.625589999996"/>
    <n v="-39184.437074869042"/>
    <n v="44121.038090000002"/>
    <n v="160472.20319"/>
    <n v="-11152.280025"/>
    <n v="79300.915152585003"/>
    <n v="0"/>
    <n v="0"/>
    <n v="35857.976839550996"/>
    <n v="37920.221052000001"/>
    <n v="0"/>
    <n v="0"/>
    <n v="346500"/>
    <n v="50700"/>
    <n v="397200"/>
    <n v="-6.7516879219804947E-3"/>
    <n v="0.99970000000000003"/>
    <n v="0.98050000000000004"/>
    <n v="0.99729999999999996"/>
    <n v="0.96179999999999999"/>
    <n v="1.0199"/>
    <n v="0.94971499999999998"/>
    <n v="0.91098049619194077"/>
    <n v="346500"/>
    <n v="0"/>
    <n v="346500"/>
    <n v="48100"/>
    <n v="394600"/>
    <n v="5.4794520547945202E-2"/>
    <n v="-0.32633053221288516"/>
    <n v="-1.3253313328332083E-2"/>
  </r>
  <r>
    <n v="2025"/>
    <s v="18132244410    "/>
    <n v="-1.3862943611198906"/>
    <n v="0.25"/>
    <n v="11081"/>
    <s v="6"/>
    <s v="RES"/>
    <x v="0"/>
    <s v="11"/>
    <s v="259"/>
    <s v="SL"/>
    <s v="A"/>
    <s v="AV"/>
    <x v="6"/>
    <n v="69"/>
    <n v="50"/>
    <n v="1955"/>
    <n v="1974"/>
    <n v="1454"/>
    <m/>
    <n v="734"/>
    <n v="0"/>
    <n v="734"/>
    <m/>
    <n v="2188"/>
    <n v="2500"/>
    <n v="9"/>
    <m/>
    <m/>
    <m/>
    <m/>
    <m/>
    <m/>
    <m/>
    <n v="323789"/>
    <n v="226652"/>
    <n v="0"/>
    <n v="347600"/>
    <n v="66200"/>
    <n v="281400"/>
    <n v="0"/>
    <n v="0"/>
    <n v="89850.625589999996"/>
    <n v="-43882.615305165229"/>
    <n v="21557.329055999999"/>
    <n v="160472.20319"/>
    <n v="-11152.280025"/>
    <n v="71840.206001158003"/>
    <n v="0"/>
    <n v="0"/>
    <n v="21346.111111298"/>
    <n v="34128.198946800003"/>
    <n v="0"/>
    <n v="0"/>
    <n v="298200"/>
    <n v="46000"/>
    <n v="344200"/>
    <n v="-9.781357882623706E-3"/>
    <n v="0.99970000000000003"/>
    <n v="1.0067999999999999"/>
    <n v="0.99729999999999996"/>
    <n v="0.98919999999999997"/>
    <n v="1.0199"/>
    <n v="0.94971499999999998"/>
    <n v="0.9620641305621106"/>
    <n v="298200"/>
    <n v="0"/>
    <n v="298200"/>
    <n v="43700"/>
    <n v="341900"/>
    <n v="5.9701492537313432E-2"/>
    <n v="-0.33987915407854985"/>
    <n v="-1.6398158803222096E-2"/>
  </r>
  <r>
    <n v="2025"/>
    <s v="18132324496    "/>
    <n v="-1.6094379124341003"/>
    <n v="0.2"/>
    <m/>
    <s v="6"/>
    <s v="RES"/>
    <x v="0"/>
    <s v="11"/>
    <s v="259"/>
    <s v="RN"/>
    <s v="G+"/>
    <s v="GD"/>
    <x v="6"/>
    <n v="69"/>
    <n v="50"/>
    <n v="1955"/>
    <n v="1974"/>
    <n v="1410"/>
    <m/>
    <n v="864"/>
    <n v="0"/>
    <n v="864"/>
    <m/>
    <n v="2274"/>
    <n v="2500"/>
    <n v="8"/>
    <m/>
    <n v="270"/>
    <m/>
    <m/>
    <m/>
    <m/>
    <m/>
    <n v="472713"/>
    <n v="345080"/>
    <n v="0"/>
    <n v="433100"/>
    <n v="58400"/>
    <n v="374700"/>
    <n v="0"/>
    <n v="0"/>
    <n v="89850.625589999996"/>
    <n v="-50946.13867709865"/>
    <n v="74268.409664999999"/>
    <n v="197752.34721000001"/>
    <n v="-11152.280025"/>
    <n v="69666.224526570004"/>
    <n v="0"/>
    <n v="0"/>
    <n v="25126.757493408"/>
    <n v="30336.176841600001"/>
    <n v="0"/>
    <n v="0"/>
    <n v="386000"/>
    <n v="38900"/>
    <n v="424900"/>
    <n v="-1.8933271761717847E-2"/>
    <n v="0.99970000000000003"/>
    <n v="0.98380000000000001"/>
    <n v="0.99650000000000005"/>
    <n v="0.98919999999999997"/>
    <n v="1.0199"/>
    <n v="0.94971499999999998"/>
    <n v="0.93933200115703741"/>
    <n v="386000"/>
    <n v="0"/>
    <n v="386000"/>
    <n v="36900"/>
    <n v="422900"/>
    <n v="3.0157459300773952E-2"/>
    <n v="-0.36815068493150682"/>
    <n v="-2.3551142923112445E-2"/>
  </r>
  <r>
    <n v="2025"/>
    <s v="18132323480    "/>
    <n v="-1.5606477482646683"/>
    <n v="0.21"/>
    <m/>
    <s v="6"/>
    <s v="RES"/>
    <x v="0"/>
    <s v="11"/>
    <s v="259"/>
    <s v="TD"/>
    <s v="F+"/>
    <s v="AV"/>
    <x v="6"/>
    <n v="69"/>
    <n v="50"/>
    <n v="1955"/>
    <n v="1974"/>
    <n v="960"/>
    <m/>
    <n v="960"/>
    <n v="0"/>
    <n v="960"/>
    <m/>
    <n v="1920"/>
    <n v="2000"/>
    <n v="8"/>
    <m/>
    <m/>
    <m/>
    <m/>
    <m/>
    <m/>
    <m/>
    <n v="239613"/>
    <n v="167729"/>
    <n v="0"/>
    <n v="301700"/>
    <n v="60100"/>
    <n v="241600"/>
    <n v="0"/>
    <n v="0"/>
    <n v="89850.625589999996"/>
    <n v="-49401.70477837498"/>
    <n v="0"/>
    <n v="160472.20319"/>
    <n v="-11152.280025"/>
    <n v="47432.323081920003"/>
    <n v="0"/>
    <n v="0"/>
    <n v="27918.61943712"/>
    <n v="30336.176841600001"/>
    <n v="0"/>
    <n v="0"/>
    <n v="255000"/>
    <n v="40400"/>
    <n v="295400"/>
    <n v="-2.0881670533642691E-2"/>
    <n v="0.99970000000000003"/>
    <n v="0.99180000000000001"/>
    <n v="0.99729999999999996"/>
    <n v="1.0093000000000001"/>
    <n v="1.0199"/>
    <n v="0.94971499999999998"/>
    <n v="0.9669880017007807"/>
    <n v="255000"/>
    <n v="0"/>
    <n v="255000"/>
    <n v="38400"/>
    <n v="293400"/>
    <n v="5.5463576158940396E-2"/>
    <n v="-0.36106489184692181"/>
    <n v="-2.7510772290354656E-2"/>
  </r>
  <r>
    <n v="2025"/>
    <s v="18132342498    "/>
    <n v="-1.4271163556401458"/>
    <n v="0.24"/>
    <n v="10281"/>
    <s v="6"/>
    <s v="RES"/>
    <x v="0"/>
    <s v="11"/>
    <s v="259"/>
    <s v="RN"/>
    <s v="G+"/>
    <s v="GD"/>
    <x v="6"/>
    <n v="69"/>
    <n v="50"/>
    <n v="1955"/>
    <n v="1974"/>
    <n v="1781"/>
    <m/>
    <n v="901"/>
    <n v="0"/>
    <n v="901"/>
    <m/>
    <n v="2682"/>
    <n v="3000"/>
    <n v="13"/>
    <m/>
    <n v="594"/>
    <m/>
    <m/>
    <m/>
    <m/>
    <m/>
    <n v="595762"/>
    <n v="434906"/>
    <n v="0"/>
    <n v="482100"/>
    <n v="64800"/>
    <n v="417300"/>
    <n v="0"/>
    <n v="0"/>
    <n v="89850.625589999996"/>
    <n v="-45174.819855485119"/>
    <n v="74268.409664999999"/>
    <n v="197752.34721000001"/>
    <n v="-11152.280025"/>
    <n v="87996.841050937001"/>
    <n v="0"/>
    <n v="0"/>
    <n v="26202.787617546997"/>
    <n v="49296.287367600002"/>
    <n v="0"/>
    <n v="0"/>
    <n v="424400"/>
    <n v="44700"/>
    <n v="469100"/>
    <n v="-2.6965359883841526E-2"/>
    <n v="0.99970000000000003"/>
    <n v="0.98380000000000001"/>
    <n v="0.99650000000000005"/>
    <n v="0.96179999999999999"/>
    <n v="1.0199"/>
    <n v="0.94971499999999998"/>
    <n v="0.9133133023785267"/>
    <n v="424400"/>
    <n v="0"/>
    <n v="424400"/>
    <n v="42400"/>
    <n v="466800"/>
    <n v="1.7014138509465614E-2"/>
    <n v="-0.34567901234567899"/>
    <n v="-3.1736154324828875E-2"/>
  </r>
  <r>
    <n v="2025"/>
    <s v="18132241070    "/>
    <n v="-1.2039728043259361"/>
    <n v="0.3"/>
    <n v="12981"/>
    <s v="6"/>
    <s v="RES"/>
    <x v="0"/>
    <s v="11"/>
    <s v="259"/>
    <s v="RN"/>
    <s v="G+"/>
    <s v="GD"/>
    <x v="6"/>
    <n v="69"/>
    <n v="50"/>
    <n v="1955"/>
    <n v="1974"/>
    <n v="1362"/>
    <m/>
    <n v="1340"/>
    <n v="0"/>
    <n v="1340"/>
    <m/>
    <n v="2702"/>
    <n v="3000"/>
    <n v="10"/>
    <n v="360"/>
    <m/>
    <m/>
    <m/>
    <m/>
    <m/>
    <m/>
    <n v="538178"/>
    <n v="392870"/>
    <n v="0"/>
    <n v="470500"/>
    <n v="72500"/>
    <n v="398000"/>
    <n v="0"/>
    <n v="0"/>
    <n v="89850.625589999996"/>
    <n v="-38111.29648355169"/>
    <n v="74268.409664999999"/>
    <n v="197752.34721000001"/>
    <n v="-11152.280025"/>
    <n v="67294.608372474002"/>
    <n v="0"/>
    <n v="0"/>
    <n v="38969.739630979995"/>
    <n v="37920.221052000001"/>
    <n v="0"/>
    <n v="0"/>
    <n v="405100"/>
    <n v="51700"/>
    <n v="456800"/>
    <n v="-2.9117959617428267E-2"/>
    <n v="0.99970000000000003"/>
    <n v="0.98380000000000001"/>
    <n v="0.99650000000000005"/>
    <n v="0.96179999999999999"/>
    <n v="1.0199"/>
    <n v="0.94971499999999998"/>
    <n v="0.9133133023785267"/>
    <n v="405100"/>
    <n v="0"/>
    <n v="405100"/>
    <n v="49100"/>
    <n v="454200"/>
    <n v="1.7839195979899497E-2"/>
    <n v="-0.32275862068965516"/>
    <n v="-3.4643995749202974E-2"/>
  </r>
  <r>
    <n v="2025"/>
    <s v="18132324436    "/>
    <n v="-1.5606477482646683"/>
    <n v="0.21"/>
    <m/>
    <s v="6"/>
    <s v="RES"/>
    <x v="0"/>
    <s v="11"/>
    <s v="259"/>
    <s v="TD"/>
    <s v="A+"/>
    <s v="AV"/>
    <x v="6"/>
    <n v="69"/>
    <n v="50"/>
    <n v="1955"/>
    <n v="1974"/>
    <n v="1307"/>
    <m/>
    <n v="1152"/>
    <n v="0"/>
    <n v="1152"/>
    <m/>
    <n v="2459"/>
    <n v="2500"/>
    <n v="9"/>
    <m/>
    <m/>
    <m/>
    <m/>
    <m/>
    <m/>
    <m/>
    <n v="383856"/>
    <n v="268699"/>
    <n v="14833"/>
    <n v="377800"/>
    <n v="60100"/>
    <n v="317700"/>
    <n v="0"/>
    <n v="0"/>
    <n v="89850.625589999996"/>
    <n v="-49401.70477837498"/>
    <n v="29814.093161000001"/>
    <n v="160472.20319"/>
    <n v="-11152.280025"/>
    <n v="64577.131529238999"/>
    <n v="0"/>
    <n v="0"/>
    <n v="33502.343324543996"/>
    <n v="34128.198946800003"/>
    <n v="0"/>
    <n v="14800"/>
    <n v="311300"/>
    <n v="40400"/>
    <n v="366500"/>
    <n v="-2.9910005293806247E-2"/>
    <n v="0.99970000000000003"/>
    <n v="1.0088999999999999"/>
    <n v="0.99729999999999996"/>
    <n v="0.98919999999999997"/>
    <n v="1.0199"/>
    <n v="0.94971499999999998"/>
    <n v="0.96407081974981479"/>
    <n v="311300"/>
    <n v="14100"/>
    <n v="325400"/>
    <n v="38400"/>
    <n v="363800"/>
    <n v="2.4236701290525652E-2"/>
    <n v="-0.36106489184692181"/>
    <n v="-3.7056643726839596E-2"/>
  </r>
  <r>
    <n v="2025"/>
    <s v="18132243003    "/>
    <n v="-1.1711829815029451"/>
    <n v="0.31"/>
    <m/>
    <s v="6"/>
    <s v="RES"/>
    <x v="0"/>
    <s v="11"/>
    <s v="259"/>
    <s v="RN"/>
    <s v="G+"/>
    <s v="AV"/>
    <x v="6"/>
    <n v="69"/>
    <n v="50"/>
    <n v="1955"/>
    <n v="1974"/>
    <n v="1500"/>
    <m/>
    <n v="1500"/>
    <n v="0"/>
    <n v="1500"/>
    <m/>
    <n v="3000"/>
    <n v="3500"/>
    <n v="11"/>
    <n v="460"/>
    <m/>
    <n v="112"/>
    <m/>
    <m/>
    <m/>
    <m/>
    <n v="586979"/>
    <n v="416755"/>
    <n v="18070"/>
    <n v="481800"/>
    <n v="73700"/>
    <n v="408100"/>
    <n v="0"/>
    <n v="0"/>
    <n v="89850.625589999996"/>
    <n v="-37073.347241874442"/>
    <n v="74268.409664999999"/>
    <n v="160472.20319"/>
    <n v="-11152.280025"/>
    <n v="74113.004815499997"/>
    <n v="0"/>
    <n v="0"/>
    <n v="43622.842870499997"/>
    <n v="41712.243157199999"/>
    <n v="3729.0977109120004"/>
    <n v="18100"/>
    <n v="386800"/>
    <n v="52800"/>
    <n v="457700"/>
    <n v="-5.0020755500207556E-2"/>
    <n v="0.99970000000000003"/>
    <n v="0.98380000000000001"/>
    <n v="0.99729999999999996"/>
    <n v="1.0126999999999999"/>
    <n v="1.0199"/>
    <n v="0.94971499999999998"/>
    <n v="0.96241932842008082"/>
    <n v="386800"/>
    <n v="17200"/>
    <n v="404000"/>
    <n v="50100"/>
    <n v="454100"/>
    <n v="-1.0046557216368537E-2"/>
    <n v="-0.32021709633649931"/>
    <n v="-5.7492735574927359E-2"/>
  </r>
  <r>
    <n v="2025"/>
    <s v="18132334469    "/>
    <n v="-1.6094379124341003"/>
    <n v="0.2"/>
    <m/>
    <s v="6"/>
    <s v="RES"/>
    <x v="0"/>
    <s v="11"/>
    <s v="259"/>
    <s v="RN"/>
    <s v="G+"/>
    <s v="AV"/>
    <x v="6"/>
    <n v="69"/>
    <n v="50"/>
    <n v="1955"/>
    <n v="1974"/>
    <n v="1230"/>
    <m/>
    <n v="1422"/>
    <n v="0"/>
    <n v="1422"/>
    <m/>
    <n v="2652"/>
    <n v="3000"/>
    <n v="9"/>
    <m/>
    <m/>
    <m/>
    <m/>
    <m/>
    <m/>
    <m/>
    <n v="500697"/>
    <n v="355495"/>
    <n v="0"/>
    <n v="427400"/>
    <n v="58400"/>
    <n v="369000"/>
    <n v="0"/>
    <n v="0"/>
    <n v="89850.625589999996"/>
    <n v="-50946.13867709865"/>
    <n v="74268.409664999999"/>
    <n v="160472.20319"/>
    <n v="-11152.280025"/>
    <n v="60772.663948710004"/>
    <n v="0"/>
    <n v="0"/>
    <n v="41354.455041233996"/>
    <n v="34128.198946800003"/>
    <n v="0"/>
    <n v="0"/>
    <n v="359800"/>
    <n v="38900"/>
    <n v="398700"/>
    <n v="-6.715021057557323E-2"/>
    <n v="0.99970000000000003"/>
    <n v="0.98380000000000001"/>
    <n v="0.99729999999999996"/>
    <n v="0.96179999999999999"/>
    <n v="1.0199"/>
    <n v="0.94971499999999998"/>
    <n v="0.91404651927958314"/>
    <n v="359800"/>
    <n v="0"/>
    <n v="359800"/>
    <n v="36900"/>
    <n v="396700"/>
    <n v="-2.4932249322493227E-2"/>
    <n v="-0.36815068493150682"/>
    <n v="-7.1829667758540008E-2"/>
  </r>
  <r>
    <n v="2025"/>
    <s v="18131433005    "/>
    <n v="-0.9942522733438669"/>
    <n v="0.37"/>
    <n v="16120"/>
    <s v="6"/>
    <s v="RES"/>
    <x v="0"/>
    <s v="11"/>
    <s v="259"/>
    <s v="RN"/>
    <s v="F"/>
    <s v="AV"/>
    <x v="6"/>
    <n v="69"/>
    <n v="50"/>
    <n v="1955"/>
    <n v="1974"/>
    <n v="1144"/>
    <m/>
    <n v="1144"/>
    <n v="572"/>
    <n v="572"/>
    <m/>
    <n v="1716"/>
    <n v="2000"/>
    <n v="5"/>
    <n v="396"/>
    <m/>
    <n v="174"/>
    <m/>
    <m/>
    <m/>
    <m/>
    <n v="254594"/>
    <n v="178216"/>
    <n v="0"/>
    <n v="302200"/>
    <n v="79900"/>
    <n v="222300"/>
    <n v="0"/>
    <n v="0"/>
    <n v="89850.625589999996"/>
    <n v="-31472.673662315807"/>
    <n v="-43578.886190266698"/>
    <n v="160472.20319"/>
    <n v="-11152.280025"/>
    <n v="56523.518339287999"/>
    <n v="0"/>
    <n v="0"/>
    <n v="33269.688162567996"/>
    <n v="18960.110526"/>
    <n v="5793.4196580240005"/>
    <n v="0"/>
    <n v="220300"/>
    <n v="58400"/>
    <n v="278700"/>
    <n v="-7.7763070814030444E-2"/>
    <n v="0.99970000000000003"/>
    <n v="1"/>
    <n v="0.99729999999999996"/>
    <n v="1.0093000000000001"/>
    <n v="1.0199"/>
    <n v="0.94971499999999998"/>
    <n v="0.97498286116231136"/>
    <n v="220300"/>
    <n v="0"/>
    <n v="220300"/>
    <n v="55400"/>
    <n v="275700"/>
    <n v="-8.9968511021142599E-3"/>
    <n v="-0.30663329161451813"/>
    <n v="-8.7690271343481133E-2"/>
  </r>
  <r>
    <n v="2025"/>
    <s v="18132323478    "/>
    <n v="-1.7719568419318752"/>
    <n v="0.17"/>
    <m/>
    <s v="6"/>
    <s v="RES"/>
    <x v="0"/>
    <s v="11"/>
    <s v="259"/>
    <s v="TD"/>
    <s v="F"/>
    <s v="AV"/>
    <x v="6"/>
    <n v="69"/>
    <n v="50"/>
    <n v="1955"/>
    <n v="1974"/>
    <n v="942"/>
    <m/>
    <m/>
    <n v="0"/>
    <m/>
    <m/>
    <n v="942"/>
    <n v="1000"/>
    <n v="5"/>
    <m/>
    <m/>
    <m/>
    <m/>
    <m/>
    <m/>
    <m/>
    <n v="138597"/>
    <n v="97018"/>
    <n v="0"/>
    <n v="234700"/>
    <n v="52700"/>
    <n v="182000"/>
    <n v="0"/>
    <n v="0"/>
    <n v="89850.625589999996"/>
    <n v="-56090.612940989391"/>
    <n v="-43578.886190266698"/>
    <n v="160472.20319"/>
    <n v="-11152.280025"/>
    <n v="46542.967024133999"/>
    <n v="0"/>
    <n v="0"/>
    <n v="0"/>
    <n v="18960.110526"/>
    <n v="0"/>
    <n v="0"/>
    <n v="171200"/>
    <n v="33800"/>
    <n v="205000"/>
    <n v="-0.12654452492543672"/>
    <n v="0.99970000000000003"/>
    <n v="1"/>
    <n v="0.99729999999999996"/>
    <n v="1.0148999999999999"/>
    <n v="1.0199"/>
    <n v="0.94971499999999998"/>
    <n v="0.9803924559532643"/>
    <n v="171200"/>
    <n v="0"/>
    <n v="171200"/>
    <n v="32100"/>
    <n v="203300"/>
    <n v="-5.9340659340659338E-2"/>
    <n v="-0.39089184060721061"/>
    <n v="-0.13378781423093311"/>
  </r>
  <r>
    <n v="2025"/>
    <s v="18132324504    "/>
    <n v="-1.3470736479666092"/>
    <n v="0.26"/>
    <m/>
    <s v="6"/>
    <s v="RES"/>
    <x v="0"/>
    <s v="11"/>
    <s v="259"/>
    <s v="RN"/>
    <s v="A+"/>
    <s v="GD"/>
    <x v="6"/>
    <n v="70"/>
    <n v="50"/>
    <n v="1954"/>
    <n v="1974"/>
    <n v="1624"/>
    <m/>
    <n v="1232"/>
    <n v="0"/>
    <n v="1232"/>
    <m/>
    <n v="2856"/>
    <n v="3000"/>
    <n v="8"/>
    <m/>
    <m/>
    <n v="480"/>
    <m/>
    <m/>
    <m/>
    <m/>
    <n v="420497"/>
    <n v="302758"/>
    <n v="4868"/>
    <n v="400600"/>
    <n v="67600"/>
    <n v="333000"/>
    <n v="0"/>
    <n v="0"/>
    <n v="89850.625589999996"/>
    <n v="-42641.098701210125"/>
    <n v="29814.093161000001"/>
    <n v="197752.34721000001"/>
    <n v="-11152.280025"/>
    <n v="80239.679880248004"/>
    <n v="0"/>
    <n v="0"/>
    <n v="35828.894944303996"/>
    <n v="30336.176841600001"/>
    <n v="15981.847332480002"/>
    <n v="4900"/>
    <n v="378800"/>
    <n v="47200"/>
    <n v="430900"/>
    <n v="7.5636545182226664E-2"/>
    <n v="0.99970000000000003"/>
    <n v="1.0088999999999999"/>
    <n v="0.99650000000000005"/>
    <n v="0.96179999999999999"/>
    <n v="1.0199"/>
    <n v="0.94971499999999998"/>
    <n v="0.93661495300843212"/>
    <n v="378800"/>
    <n v="4600"/>
    <n v="383400"/>
    <n v="44800"/>
    <n v="428200"/>
    <n v="0.15135135135135136"/>
    <n v="-0.33727810650887574"/>
    <n v="6.8896655017473787E-2"/>
  </r>
  <r>
    <n v="2025"/>
    <s v="18132322440    "/>
    <n v="-1.4696759700589417"/>
    <n v="0.23"/>
    <n v="10074"/>
    <s v="6"/>
    <s v="RES"/>
    <x v="0"/>
    <s v="11"/>
    <s v="259"/>
    <s v="RN"/>
    <s v="A"/>
    <s v="GD"/>
    <x v="6"/>
    <n v="70"/>
    <n v="44"/>
    <n v="1954"/>
    <n v="1980"/>
    <n v="1520"/>
    <m/>
    <m/>
    <n v="0"/>
    <m/>
    <m/>
    <n v="1520"/>
    <n v="2000"/>
    <n v="9"/>
    <m/>
    <m/>
    <m/>
    <m/>
    <m/>
    <m/>
    <m/>
    <n v="251957"/>
    <n v="199046"/>
    <n v="21119"/>
    <n v="356200"/>
    <n v="63300"/>
    <n v="292900"/>
    <n v="0"/>
    <n v="0"/>
    <n v="89850.625589999996"/>
    <n v="-46522.028095997222"/>
    <n v="21557.329055999999"/>
    <n v="197752.34721000001"/>
    <n v="-9814.0064220000004"/>
    <n v="75101.178213039995"/>
    <n v="0"/>
    <n v="0"/>
    <n v="0"/>
    <n v="34128.198946800003"/>
    <n v="0"/>
    <n v="21100"/>
    <n v="318700"/>
    <n v="43300"/>
    <n v="383100"/>
    <n v="7.5519371139809097E-2"/>
    <n v="0.99970000000000003"/>
    <n v="1.0067999999999999"/>
    <n v="0.99650000000000005"/>
    <n v="1.0093000000000001"/>
    <n v="1.0199"/>
    <n v="0.94971499999999998"/>
    <n v="0.98082532839872782"/>
    <n v="318700"/>
    <n v="20100"/>
    <n v="338800"/>
    <n v="41100"/>
    <n v="379900"/>
    <n v="0.15670877432570843"/>
    <n v="-0.35071090047393366"/>
    <n v="6.6535654126895008E-2"/>
  </r>
  <r>
    <n v="2025"/>
    <s v="18132323451    "/>
    <n v="-1.8971199848858813"/>
    <n v="0.15"/>
    <m/>
    <s v="6"/>
    <s v="RES"/>
    <x v="0"/>
    <s v="11"/>
    <s v="259"/>
    <s v="RN"/>
    <s v="A"/>
    <s v="GD"/>
    <x v="6"/>
    <n v="70"/>
    <n v="50"/>
    <n v="1954"/>
    <n v="1974"/>
    <n v="1644"/>
    <m/>
    <n v="1276"/>
    <n v="638"/>
    <n v="638"/>
    <m/>
    <n v="2282"/>
    <n v="2500"/>
    <n v="10"/>
    <m/>
    <m/>
    <m/>
    <m/>
    <m/>
    <m/>
    <m/>
    <n v="346546"/>
    <n v="249513"/>
    <n v="0"/>
    <n v="369900"/>
    <n v="48400"/>
    <n v="321500"/>
    <n v="0"/>
    <n v="0"/>
    <n v="89850.625589999996"/>
    <n v="-60052.604136134301"/>
    <n v="21557.329055999999"/>
    <n v="197752.34721000001"/>
    <n v="-11152.280025"/>
    <n v="81227.853277788003"/>
    <n v="0"/>
    <n v="0"/>
    <n v="37108.498335172"/>
    <n v="37920.221052000001"/>
    <n v="0"/>
    <n v="0"/>
    <n v="364400"/>
    <n v="29800"/>
    <n v="394200"/>
    <n v="6.569343065693431E-2"/>
    <n v="0.99970000000000003"/>
    <n v="1.0067999999999999"/>
    <n v="0.99650000000000005"/>
    <n v="0.98919999999999997"/>
    <n v="1.0199"/>
    <n v="0.94971499999999998"/>
    <n v="0.96129239557319079"/>
    <n v="364400"/>
    <n v="0"/>
    <n v="364400"/>
    <n v="28300"/>
    <n v="392700"/>
    <n v="0.13343701399688959"/>
    <n v="-0.41528925619834711"/>
    <n v="6.163828061638281E-2"/>
  </r>
  <r>
    <n v="2025"/>
    <s v="18132243489    "/>
    <n v="-1.7719568419318752"/>
    <n v="0.17"/>
    <n v="7550"/>
    <s v="6"/>
    <s v="RES"/>
    <x v="0"/>
    <s v="11"/>
    <s v="259"/>
    <s v="RN"/>
    <s v="A+"/>
    <s v="AV"/>
    <x v="6"/>
    <n v="70"/>
    <n v="50"/>
    <n v="1954"/>
    <n v="1974"/>
    <n v="1136"/>
    <n v="759"/>
    <m/>
    <n v="0"/>
    <m/>
    <m/>
    <n v="1895"/>
    <n v="2000"/>
    <n v="8"/>
    <m/>
    <m/>
    <n v="322"/>
    <m/>
    <m/>
    <m/>
    <m/>
    <n v="338462"/>
    <n v="236923"/>
    <n v="18180"/>
    <n v="339900"/>
    <n v="52700"/>
    <n v="287200"/>
    <n v="0"/>
    <n v="0"/>
    <n v="89850.625589999996"/>
    <n v="-56090.612940989391"/>
    <n v="29814.093161000001"/>
    <n v="160472.20319"/>
    <n v="-11152.280025"/>
    <n v="56128.248980272001"/>
    <n v="33992.894951499002"/>
    <n v="0"/>
    <n v="0"/>
    <n v="30336.176841600001"/>
    <n v="10721.155918872"/>
    <n v="18200"/>
    <n v="310300"/>
    <n v="33800"/>
    <n v="362300"/>
    <n v="6.590173580464842E-2"/>
    <n v="0.99970000000000003"/>
    <n v="1.0088999999999999"/>
    <n v="0.99729999999999996"/>
    <n v="1.0093000000000001"/>
    <n v="1.0199"/>
    <n v="0.94971499999999998"/>
    <n v="0.98366020862665582"/>
    <n v="310300"/>
    <n v="17300"/>
    <n v="327600"/>
    <n v="32100"/>
    <n v="359700"/>
    <n v="0.14066852367688024"/>
    <n v="-0.39089184060721061"/>
    <n v="5.8252427184466021E-2"/>
  </r>
  <r>
    <n v="2025"/>
    <s v="18132343425    "/>
    <n v="-1.2378743560016174"/>
    <n v="0.28999999999999998"/>
    <n v="12468"/>
    <s v="6"/>
    <s v="RES"/>
    <x v="0"/>
    <s v="11"/>
    <s v="259"/>
    <s v="RN"/>
    <s v="G"/>
    <s v="GD"/>
    <x v="6"/>
    <n v="70"/>
    <n v="50"/>
    <n v="1954"/>
    <n v="1974"/>
    <n v="2330"/>
    <m/>
    <n v="918"/>
    <n v="273"/>
    <n v="645"/>
    <m/>
    <n v="2975"/>
    <n v="3000"/>
    <n v="10"/>
    <m/>
    <n v="285"/>
    <n v="248"/>
    <m/>
    <m/>
    <m/>
    <m/>
    <n v="576792"/>
    <n v="415290"/>
    <n v="0"/>
    <n v="442300"/>
    <n v="71400"/>
    <n v="370900"/>
    <n v="0"/>
    <n v="0"/>
    <n v="89850.625589999996"/>
    <n v="-39184.437074869042"/>
    <n v="44121.038090000002"/>
    <n v="197752.34721000001"/>
    <n v="-11152.280025"/>
    <n v="115122.20081341"/>
    <n v="0"/>
    <n v="0"/>
    <n v="26697.179836746"/>
    <n v="37920.221052000001"/>
    <n v="8257.2877884480004"/>
    <n v="0"/>
    <n v="418700"/>
    <n v="50700"/>
    <n v="469400"/>
    <n v="6.1270630793579021E-2"/>
    <n v="0.99970000000000003"/>
    <n v="0.98050000000000004"/>
    <n v="0.99650000000000005"/>
    <n v="0.96179999999999999"/>
    <n v="1.0199"/>
    <n v="0.94971499999999998"/>
    <n v="0.91024973874989379"/>
    <n v="418700"/>
    <n v="0"/>
    <n v="418700"/>
    <n v="48100"/>
    <n v="466800"/>
    <n v="0.12887570773793475"/>
    <n v="-0.32633053221288516"/>
    <n v="5.5392267691612027E-2"/>
  </r>
  <r>
    <n v="2025"/>
    <s v="18132324429    "/>
    <n v="-1.5606477482646683"/>
    <n v="0.21"/>
    <m/>
    <s v="6"/>
    <s v="RES"/>
    <x v="0"/>
    <s v="11"/>
    <s v="259"/>
    <s v="TD"/>
    <s v="A+"/>
    <s v="AV"/>
    <x v="6"/>
    <n v="70"/>
    <n v="50"/>
    <n v="1954"/>
    <n v="1974"/>
    <n v="1220"/>
    <m/>
    <n v="1220"/>
    <n v="305"/>
    <n v="915"/>
    <m/>
    <n v="2135"/>
    <n v="2500"/>
    <n v="9"/>
    <m/>
    <m/>
    <n v="320"/>
    <m/>
    <m/>
    <m/>
    <m/>
    <n v="366773"/>
    <n v="256741"/>
    <n v="0"/>
    <n v="343700"/>
    <n v="60100"/>
    <n v="283600"/>
    <n v="0"/>
    <n v="0"/>
    <n v="89850.625589999996"/>
    <n v="-49401.70477837498"/>
    <n v="29814.093161000001"/>
    <n v="160472.20319"/>
    <n v="-11152.280025"/>
    <n v="60278.577249940005"/>
    <n v="0"/>
    <n v="0"/>
    <n v="35479.912201339997"/>
    <n v="34128.198946800003"/>
    <n v="10654.564888320001"/>
    <n v="0"/>
    <n v="319700"/>
    <n v="40400"/>
    <n v="360100"/>
    <n v="4.7716031422752402E-2"/>
    <n v="0.99970000000000003"/>
    <n v="1.0088999999999999"/>
    <n v="0.99729999999999996"/>
    <n v="0.98919999999999997"/>
    <n v="1.0199"/>
    <n v="0.94971499999999998"/>
    <n v="0.96407081974981479"/>
    <n v="319700"/>
    <n v="0"/>
    <n v="319700"/>
    <n v="38400"/>
    <n v="358100"/>
    <n v="0.1272919605077574"/>
    <n v="-0.36106489184692181"/>
    <n v="4.1897003200465521E-2"/>
  </r>
  <r>
    <n v="2025"/>
    <s v="18132323514    "/>
    <n v="-1.3862943611198906"/>
    <n v="0.25"/>
    <m/>
    <s v="6"/>
    <s v="RES"/>
    <x v="0"/>
    <s v="11"/>
    <s v="259"/>
    <s v="RN"/>
    <s v="A+"/>
    <s v="AV"/>
    <x v="6"/>
    <n v="70"/>
    <n v="50"/>
    <n v="1954"/>
    <n v="1974"/>
    <n v="1381"/>
    <m/>
    <n v="1381"/>
    <n v="558"/>
    <n v="823"/>
    <m/>
    <n v="2204"/>
    <n v="2500"/>
    <n v="8"/>
    <n v="504"/>
    <m/>
    <n v="220"/>
    <m/>
    <m/>
    <m/>
    <m/>
    <n v="385289"/>
    <n v="269702"/>
    <n v="0"/>
    <n v="355100"/>
    <n v="66200"/>
    <n v="288900"/>
    <n v="0"/>
    <n v="0"/>
    <n v="89850.625589999996"/>
    <n v="-43882.615305165229"/>
    <n v="29814.093161000001"/>
    <n v="160472.20319"/>
    <n v="-11152.280025"/>
    <n v="68233.373100137003"/>
    <n v="0"/>
    <n v="0"/>
    <n v="40162.097336106999"/>
    <n v="30336.176841600001"/>
    <n v="7325.0133607200005"/>
    <n v="0"/>
    <n v="325200"/>
    <n v="46000"/>
    <n v="371200"/>
    <n v="4.5339341030695576E-2"/>
    <n v="0.99970000000000003"/>
    <n v="1.0088999999999999"/>
    <n v="0.99729999999999996"/>
    <n v="0.98919999999999997"/>
    <n v="1.0199"/>
    <n v="0.94971499999999998"/>
    <n v="0.96407081974981479"/>
    <n v="325200"/>
    <n v="0"/>
    <n v="325200"/>
    <n v="43700"/>
    <n v="368900"/>
    <n v="0.12564901349948079"/>
    <n v="-0.33987915407854985"/>
    <n v="3.8862292312024781E-2"/>
  </r>
  <r>
    <n v="2025"/>
    <s v="18132241073    "/>
    <n v="-1.2729656758128873"/>
    <n v="0.28000000000000003"/>
    <n v="12220"/>
    <s v="6"/>
    <s v="RES"/>
    <x v="0"/>
    <s v="11"/>
    <s v="259"/>
    <s v="RN"/>
    <s v="A"/>
    <s v="AV"/>
    <x v="6"/>
    <n v="70"/>
    <n v="50"/>
    <n v="1954"/>
    <n v="1974"/>
    <n v="1351"/>
    <m/>
    <n v="292"/>
    <n v="292"/>
    <m/>
    <m/>
    <n v="1351"/>
    <n v="1500"/>
    <n v="5"/>
    <m/>
    <m/>
    <m/>
    <m/>
    <m/>
    <m/>
    <m/>
    <n v="237703"/>
    <n v="166392"/>
    <n v="10057"/>
    <n v="311500"/>
    <n v="70100"/>
    <n v="241400"/>
    <n v="0"/>
    <n v="0"/>
    <n v="89850.625589999996"/>
    <n v="-40295.239319339329"/>
    <n v="21557.329055999999"/>
    <n v="160472.20319"/>
    <n v="-11152.280025"/>
    <n v="66751.113003827006"/>
    <n v="0"/>
    <n v="0"/>
    <n v="8491.9134121240004"/>
    <n v="18960.110526"/>
    <n v="0"/>
    <n v="10100"/>
    <n v="265100"/>
    <n v="49600"/>
    <n v="324800"/>
    <n v="4.2696629213483148E-2"/>
    <n v="0.99970000000000003"/>
    <n v="1.0067999999999999"/>
    <n v="0.99729999999999996"/>
    <n v="1.0157"/>
    <n v="1.0199"/>
    <n v="0.94971499999999998"/>
    <n v="0.98783717894453682"/>
    <n v="265100"/>
    <n v="9600"/>
    <n v="274700"/>
    <n v="47100"/>
    <n v="321800"/>
    <n v="0.13794531897265949"/>
    <n v="-0.32810271041369471"/>
    <n v="3.3065810593900478E-2"/>
  </r>
  <r>
    <n v="2025"/>
    <s v="18132322437    "/>
    <n v="-1.6094379124341003"/>
    <n v="0.2"/>
    <m/>
    <s v="6"/>
    <s v="RES"/>
    <x v="0"/>
    <s v="11"/>
    <s v="259"/>
    <s v="RN"/>
    <s v="A+"/>
    <s v="AV"/>
    <x v="6"/>
    <n v="70"/>
    <n v="50"/>
    <n v="1954"/>
    <n v="1974"/>
    <n v="2293"/>
    <m/>
    <m/>
    <n v="0"/>
    <m/>
    <m/>
    <n v="2293"/>
    <n v="2500"/>
    <n v="16"/>
    <m/>
    <m/>
    <m/>
    <m/>
    <m/>
    <m/>
    <m/>
    <n v="407362"/>
    <n v="285153"/>
    <n v="7540"/>
    <n v="391000"/>
    <n v="58400"/>
    <n v="332600"/>
    <n v="0"/>
    <n v="0"/>
    <n v="89850.625589999996"/>
    <n v="-50946.13867709865"/>
    <n v="29814.093161000001"/>
    <n v="160472.20319"/>
    <n v="-11152.280025"/>
    <n v="113294.080027961"/>
    <n v="0"/>
    <n v="0"/>
    <n v="0"/>
    <n v="60672.353683200003"/>
    <n v="0"/>
    <n v="7500"/>
    <n v="353100"/>
    <n v="38900"/>
    <n v="399500"/>
    <n v="2.1739130434782608E-2"/>
    <n v="0.99970000000000003"/>
    <n v="1.0088999999999999"/>
    <n v="0.99729999999999996"/>
    <n v="0.98919999999999997"/>
    <n v="1.0199"/>
    <n v="0.94971499999999998"/>
    <n v="0.96407081974981479"/>
    <n v="353100"/>
    <n v="7200"/>
    <n v="360300"/>
    <n v="36900"/>
    <n v="397200"/>
    <n v="8.328322309079976E-2"/>
    <n v="-0.36815068493150682"/>
    <n v="1.5856777493606138E-2"/>
  </r>
  <r>
    <n v="2025"/>
    <s v="18132322441    "/>
    <n v="-1.4696759700589417"/>
    <n v="0.23"/>
    <n v="9998"/>
    <s v="6"/>
    <s v="RES"/>
    <x v="0"/>
    <s v="11"/>
    <s v="259"/>
    <s v="RN"/>
    <s v="F+"/>
    <s v="AV"/>
    <x v="6"/>
    <n v="70"/>
    <n v="50"/>
    <n v="1954"/>
    <n v="1974"/>
    <n v="1300"/>
    <m/>
    <m/>
    <n v="0"/>
    <m/>
    <m/>
    <n v="1300"/>
    <n v="1500"/>
    <n v="5"/>
    <m/>
    <m/>
    <m/>
    <m/>
    <m/>
    <m/>
    <m/>
    <n v="193489"/>
    <n v="135442"/>
    <n v="14419"/>
    <n v="285200"/>
    <n v="63300"/>
    <n v="221900"/>
    <n v="0"/>
    <n v="0"/>
    <n v="89850.625589999996"/>
    <n v="-46522.028095997222"/>
    <n v="0"/>
    <n v="160472.20319"/>
    <n v="-11152.280025"/>
    <n v="64231.270840099998"/>
    <n v="0"/>
    <n v="0"/>
    <n v="0"/>
    <n v="18960.110526"/>
    <n v="0"/>
    <n v="14400"/>
    <n v="232500"/>
    <n v="43300"/>
    <n v="290200"/>
    <n v="1.7531556802244039E-2"/>
    <n v="0.99970000000000003"/>
    <n v="0.99180000000000001"/>
    <n v="0.99729999999999996"/>
    <n v="1.0157"/>
    <n v="1.0199"/>
    <n v="0.94971499999999998"/>
    <n v="0.97311970011640037"/>
    <n v="232500"/>
    <n v="13700"/>
    <n v="246200"/>
    <n v="41100"/>
    <n v="287300"/>
    <n v="0.10950878774222622"/>
    <n v="-0.35071090047393366"/>
    <n v="7.3632538569424963E-3"/>
  </r>
  <r>
    <n v="2025"/>
    <s v="18132343421    "/>
    <n v="-1.6607312068216509"/>
    <n v="0.19"/>
    <n v="8125"/>
    <s v="6"/>
    <s v="RES"/>
    <x v="0"/>
    <s v="11"/>
    <s v="259"/>
    <s v="RN"/>
    <s v="A+"/>
    <s v="AV"/>
    <x v="6"/>
    <n v="70"/>
    <n v="50"/>
    <n v="1954"/>
    <n v="1974"/>
    <n v="1796"/>
    <m/>
    <n v="795"/>
    <n v="15"/>
    <n v="780"/>
    <m/>
    <n v="2576"/>
    <n v="3000"/>
    <n v="10"/>
    <m/>
    <n v="600"/>
    <m/>
    <m/>
    <m/>
    <m/>
    <m/>
    <n v="452080"/>
    <n v="316456"/>
    <n v="0"/>
    <n v="364500"/>
    <n v="56600"/>
    <n v="307900"/>
    <n v="0"/>
    <n v="0"/>
    <n v="89850.625589999996"/>
    <n v="-52569.808201026557"/>
    <n v="29814.093161000001"/>
    <n v="160472.20319"/>
    <n v="-11152.280025"/>
    <n v="88737.971099091999"/>
    <n v="0"/>
    <n v="0"/>
    <n v="23120.106721364999"/>
    <n v="37920.221052000001"/>
    <n v="0"/>
    <n v="0"/>
    <n v="328900"/>
    <n v="37300"/>
    <n v="366200"/>
    <n v="4.663923182441701E-3"/>
    <n v="0.99970000000000003"/>
    <n v="1.0088999999999999"/>
    <n v="0.99729999999999996"/>
    <n v="0.96179999999999999"/>
    <n v="1.0199"/>
    <n v="0.94971499999999998"/>
    <n v="0.93736687670377261"/>
    <n v="328900"/>
    <n v="0"/>
    <n v="328900"/>
    <n v="35400"/>
    <n v="364300"/>
    <n v="6.8203962325430328E-2"/>
    <n v="-0.37455830388692579"/>
    <n v="-5.4869684499314131E-4"/>
  </r>
  <r>
    <n v="2025"/>
    <s v="18131544413    "/>
    <n v="-1.0216512475319814"/>
    <n v="0.36"/>
    <n v="15523"/>
    <s v="6"/>
    <s v="RES"/>
    <x v="0"/>
    <s v="11"/>
    <s v="259"/>
    <s v="TD"/>
    <s v="F+"/>
    <s v="AV"/>
    <x v="6"/>
    <n v="70"/>
    <n v="50"/>
    <n v="1954"/>
    <n v="1974"/>
    <n v="1238"/>
    <n v="500"/>
    <m/>
    <n v="0"/>
    <m/>
    <m/>
    <n v="1738"/>
    <n v="2000"/>
    <n v="5"/>
    <m/>
    <m/>
    <m/>
    <m/>
    <m/>
    <m/>
    <m/>
    <n v="228011"/>
    <n v="159608"/>
    <n v="5261"/>
    <n v="312700"/>
    <n v="78900"/>
    <n v="233800"/>
    <n v="0"/>
    <n v="0"/>
    <n v="89850.625589999996"/>
    <n v="-32339.977661938148"/>
    <n v="0"/>
    <n v="160472.20319"/>
    <n v="-11152.280025"/>
    <n v="61167.933307726002"/>
    <n v="22393.2114305"/>
    <n v="0"/>
    <n v="0"/>
    <n v="18960.110526"/>
    <n v="0"/>
    <n v="5300"/>
    <n v="251800"/>
    <n v="57500"/>
    <n v="314600"/>
    <n v="6.0761112887751838E-3"/>
    <n v="0.99970000000000003"/>
    <n v="0.99180000000000001"/>
    <n v="0.99729999999999996"/>
    <n v="1.0093000000000001"/>
    <n v="1.0199"/>
    <n v="0.94971499999999998"/>
    <n v="0.9669880017007807"/>
    <n v="251800"/>
    <n v="5000"/>
    <n v="256800"/>
    <n v="54600"/>
    <n v="311400"/>
    <n v="9.8374679213002567E-2"/>
    <n v="-0.30798479087452474"/>
    <n v="-4.1573393028461782E-3"/>
  </r>
  <r>
    <n v="2025"/>
    <s v="18132324518    "/>
    <n v="-1.8325814637483102"/>
    <n v="0.16"/>
    <m/>
    <s v="6"/>
    <s v="RES"/>
    <x v="0"/>
    <s v="11"/>
    <s v="259"/>
    <s v="RN"/>
    <s v="G+"/>
    <s v="AV"/>
    <x v="6"/>
    <n v="70"/>
    <n v="50"/>
    <n v="1954"/>
    <n v="1974"/>
    <n v="998"/>
    <m/>
    <n v="716"/>
    <n v="716"/>
    <m/>
    <m/>
    <n v="998"/>
    <n v="1000"/>
    <n v="8"/>
    <m/>
    <n v="378"/>
    <m/>
    <m/>
    <m/>
    <m/>
    <m/>
    <n v="326500"/>
    <n v="231815"/>
    <n v="0"/>
    <n v="357600"/>
    <n v="50600"/>
    <n v="307000"/>
    <n v="0"/>
    <n v="0"/>
    <n v="89850.625589999996"/>
    <n v="-58009.662049032086"/>
    <n v="74268.409664999999"/>
    <n v="160472.20319"/>
    <n v="-11152.280025"/>
    <n v="49309.852537245999"/>
    <n v="0"/>
    <n v="0"/>
    <n v="20822.636996851998"/>
    <n v="30336.176841600001"/>
    <n v="0"/>
    <n v="0"/>
    <n v="324100"/>
    <n v="31800"/>
    <n v="355900"/>
    <n v="-4.7539149888143175E-3"/>
    <n v="0.99970000000000003"/>
    <n v="0.98380000000000001"/>
    <n v="0.99729999999999996"/>
    <n v="1.0148999999999999"/>
    <n v="1.0199"/>
    <n v="0.94971499999999998"/>
    <n v="0.96451009816682132"/>
    <n v="324100"/>
    <n v="0"/>
    <n v="324100"/>
    <n v="30200"/>
    <n v="354300"/>
    <n v="5.5700325732899021E-2"/>
    <n v="-0.40316205533596838"/>
    <n v="-9.2281879194630878E-3"/>
  </r>
  <r>
    <n v="2025"/>
    <s v="18132324404    "/>
    <n v="-1.4696759700589417"/>
    <n v="0.23"/>
    <m/>
    <s v="6"/>
    <s v="RES"/>
    <x v="0"/>
    <s v="11"/>
    <s v="259"/>
    <s v="RN"/>
    <s v="G+"/>
    <s v="AV"/>
    <x v="6"/>
    <n v="70"/>
    <n v="50"/>
    <n v="1954"/>
    <n v="1974"/>
    <n v="1470"/>
    <m/>
    <n v="1470"/>
    <n v="0"/>
    <n v="1470"/>
    <m/>
    <n v="2940"/>
    <n v="3000"/>
    <n v="13"/>
    <n v="322"/>
    <m/>
    <m/>
    <m/>
    <m/>
    <m/>
    <m/>
    <n v="580873"/>
    <n v="412420"/>
    <n v="0"/>
    <n v="460000"/>
    <n v="63300"/>
    <n v="396700"/>
    <n v="0"/>
    <n v="0"/>
    <n v="89850.625589999996"/>
    <n v="-46522.028095997222"/>
    <n v="74268.409664999999"/>
    <n v="160472.20319"/>
    <n v="-11152.280025"/>
    <n v="72630.744719189999"/>
    <n v="0"/>
    <n v="0"/>
    <n v="42750.386013089999"/>
    <n v="49296.287367600002"/>
    <n v="0"/>
    <n v="0"/>
    <n v="388300"/>
    <n v="43300"/>
    <n v="431600"/>
    <n v="-6.1739130434782609E-2"/>
    <n v="0.99970000000000003"/>
    <n v="0.98380000000000001"/>
    <n v="0.99729999999999996"/>
    <n v="0.96179999999999999"/>
    <n v="1.0199"/>
    <n v="0.94971499999999998"/>
    <n v="0.91404651927958314"/>
    <n v="388300"/>
    <n v="0"/>
    <n v="388300"/>
    <n v="41100"/>
    <n v="429400"/>
    <n v="-2.1174691202419965E-2"/>
    <n v="-0.35071090047393366"/>
    <n v="-6.6521739130434784E-2"/>
  </r>
  <r>
    <n v="2025"/>
    <s v="18132244448    "/>
    <n v="-1.1394342831883648"/>
    <n v="0.32"/>
    <n v="14000"/>
    <s v="6"/>
    <s v="RES"/>
    <x v="0"/>
    <s v="11"/>
    <s v="259"/>
    <s v="TD"/>
    <s v="A+"/>
    <s v="GD"/>
    <x v="7"/>
    <n v="71"/>
    <n v="51"/>
    <n v="1953"/>
    <n v="1973"/>
    <n v="1454"/>
    <m/>
    <n v="991"/>
    <n v="991"/>
    <m/>
    <m/>
    <n v="1454"/>
    <n v="1500"/>
    <n v="9"/>
    <m/>
    <m/>
    <m/>
    <m/>
    <m/>
    <m/>
    <m/>
    <n v="308540"/>
    <n v="219063"/>
    <n v="6768"/>
    <n v="373300"/>
    <n v="74800"/>
    <n v="298500"/>
    <n v="0"/>
    <n v="0"/>
    <n v="89850.625589999996"/>
    <n v="-36068.354396449467"/>
    <n v="29814.093161000001"/>
    <n v="197752.34721000001"/>
    <n v="-11375.3256255"/>
    <n v="71840.206001158003"/>
    <n v="0"/>
    <n v="0"/>
    <n v="28820.158189776997"/>
    <n v="34128.198946800003"/>
    <n v="0"/>
    <n v="6800"/>
    <n v="351000"/>
    <n v="53800"/>
    <n v="411600"/>
    <n v="0.10259844628984731"/>
    <n v="0.99970000000000003"/>
    <n v="1.0088999999999999"/>
    <n v="0.99650000000000005"/>
    <n v="1.0157"/>
    <n v="0.995"/>
    <n v="0.94971499999999998"/>
    <n v="0.9649554329763177"/>
    <n v="351000"/>
    <n v="6400"/>
    <n v="357400"/>
    <n v="51100"/>
    <n v="408500"/>
    <n v="0.19731993299832495"/>
    <n v="-0.31684491978609625"/>
    <n v="9.4294133404768277E-2"/>
  </r>
  <r>
    <n v="2025"/>
    <s v="18132332482    "/>
    <n v="-1.5606477482646683"/>
    <n v="0.21"/>
    <m/>
    <s v="6"/>
    <s v="RES"/>
    <x v="0"/>
    <s v="11"/>
    <s v="259"/>
    <s v="RN"/>
    <s v="G"/>
    <s v="GD"/>
    <x v="7"/>
    <n v="71"/>
    <n v="51"/>
    <n v="1953"/>
    <n v="1973"/>
    <n v="1815"/>
    <m/>
    <m/>
    <n v="0"/>
    <m/>
    <m/>
    <n v="1815"/>
    <n v="2000"/>
    <n v="8"/>
    <m/>
    <m/>
    <m/>
    <m/>
    <m/>
    <m/>
    <m/>
    <n v="399413"/>
    <n v="283583"/>
    <n v="24981"/>
    <n v="386000"/>
    <n v="60100"/>
    <n v="325900"/>
    <n v="0"/>
    <n v="0"/>
    <n v="89850.625589999996"/>
    <n v="-49401.70477837498"/>
    <n v="44121.038090000002"/>
    <n v="197752.34721000001"/>
    <n v="-11375.3256255"/>
    <n v="89676.735826755001"/>
    <n v="0"/>
    <n v="0"/>
    <n v="0"/>
    <n v="30336.176841600001"/>
    <n v="0"/>
    <n v="25000"/>
    <n v="350500"/>
    <n v="40400"/>
    <n v="415900"/>
    <n v="7.7461139896373057E-2"/>
    <n v="0.99970000000000003"/>
    <n v="0.98050000000000004"/>
    <n v="0.99650000000000005"/>
    <n v="1.0093000000000001"/>
    <n v="0.995"/>
    <n v="0.94971499999999998"/>
    <n v="0.93188335041151293"/>
    <n v="350500"/>
    <n v="23700"/>
    <n v="374200"/>
    <n v="38400"/>
    <n v="412600"/>
    <n v="0.14820497084995396"/>
    <n v="-0.36106489184692181"/>
    <n v="6.8911917098445602E-2"/>
  </r>
  <r>
    <n v="2025"/>
    <s v="18132242018    "/>
    <n v="-1.1394342831883648"/>
    <n v="0.32"/>
    <n v="13767"/>
    <s v="6"/>
    <s v="RES"/>
    <x v="0"/>
    <s v="11"/>
    <s v="259"/>
    <s v="RN"/>
    <s v="A+"/>
    <s v="GD"/>
    <x v="7"/>
    <n v="71"/>
    <n v="51"/>
    <n v="1953"/>
    <n v="1973"/>
    <n v="1299"/>
    <m/>
    <m/>
    <n v="0"/>
    <m/>
    <m/>
    <n v="1299"/>
    <n v="1500"/>
    <n v="5"/>
    <n v="273"/>
    <m/>
    <m/>
    <m/>
    <m/>
    <m/>
    <m/>
    <n v="264729"/>
    <n v="187958"/>
    <n v="0"/>
    <n v="331300"/>
    <n v="74800"/>
    <n v="256500"/>
    <n v="0"/>
    <n v="0"/>
    <n v="89850.625589999996"/>
    <n v="-36068.354396449467"/>
    <n v="29814.093161000001"/>
    <n v="197752.34721000001"/>
    <n v="-11375.3256255"/>
    <n v="64181.862170223001"/>
    <n v="0"/>
    <n v="0"/>
    <n v="0"/>
    <n v="18960.110526"/>
    <n v="0"/>
    <n v="0"/>
    <n v="299300"/>
    <n v="53800"/>
    <n v="353100"/>
    <n v="6.5801388469664962E-2"/>
    <n v="0.99970000000000003"/>
    <n v="1.0088999999999999"/>
    <n v="0.99650000000000005"/>
    <n v="1.0157"/>
    <n v="0.995"/>
    <n v="0.94971499999999998"/>
    <n v="0.9649554329763177"/>
    <n v="299300"/>
    <n v="0"/>
    <n v="299300"/>
    <n v="51100"/>
    <n v="350400"/>
    <n v="0.16686159844054582"/>
    <n v="-0.31684491978609625"/>
    <n v="5.7651675218834894E-2"/>
  </r>
  <r>
    <n v="2025"/>
    <s v="18132334021    "/>
    <n v="-0.69314718055994529"/>
    <n v="0.5"/>
    <n v="21758"/>
    <s v="6"/>
    <s v="RES"/>
    <x v="0"/>
    <s v="11"/>
    <s v="259"/>
    <s v="RN"/>
    <s v="G"/>
    <s v="GD"/>
    <x v="7"/>
    <n v="71"/>
    <n v="51"/>
    <n v="1953"/>
    <n v="1973"/>
    <n v="1851"/>
    <m/>
    <n v="1178"/>
    <n v="178"/>
    <n v="1000"/>
    <m/>
    <n v="2851"/>
    <n v="3000"/>
    <n v="11"/>
    <n v="506"/>
    <m/>
    <n v="190"/>
    <m/>
    <m/>
    <m/>
    <m/>
    <n v="569084"/>
    <n v="404050"/>
    <n v="0"/>
    <n v="447600"/>
    <n v="90400"/>
    <n v="357200"/>
    <n v="0"/>
    <n v="0"/>
    <n v="89850.625589999996"/>
    <n v="-21941.307652582615"/>
    <n v="44121.038090000002"/>
    <n v="197752.34721000001"/>
    <n v="-11375.3256255"/>
    <n v="91455.44794232701"/>
    <n v="0"/>
    <n v="0"/>
    <n v="34258.472600966001"/>
    <n v="41712.243157199999"/>
    <n v="6326.1479024400005"/>
    <n v="0"/>
    <n v="404300"/>
    <n v="67900"/>
    <n v="472200"/>
    <n v="5.4959785522788206E-2"/>
    <n v="0.99970000000000003"/>
    <n v="0.98050000000000004"/>
    <n v="0.99650000000000005"/>
    <n v="0.96179999999999999"/>
    <n v="0.995"/>
    <n v="0.94971499999999998"/>
    <n v="0.88802675758029637"/>
    <n v="404300"/>
    <n v="0"/>
    <n v="404300"/>
    <n v="64500"/>
    <n v="468800"/>
    <n v="0.13185890257558791"/>
    <n v="-0.28650442477876104"/>
    <n v="4.736371760500447E-2"/>
  </r>
  <r>
    <n v="2025"/>
    <s v="18132244467    "/>
    <n v="-1.7719568419318752"/>
    <n v="0.17"/>
    <n v="7479"/>
    <s v="6"/>
    <s v="RES"/>
    <x v="0"/>
    <s v="11"/>
    <s v="259"/>
    <s v="RN"/>
    <s v="G"/>
    <s v="AV"/>
    <x v="7"/>
    <n v="71"/>
    <n v="51"/>
    <n v="1953"/>
    <n v="1973"/>
    <n v="1202"/>
    <m/>
    <m/>
    <n v="0"/>
    <m/>
    <m/>
    <n v="1202"/>
    <n v="1500"/>
    <n v="7"/>
    <n v="242"/>
    <m/>
    <m/>
    <m/>
    <m/>
    <m/>
    <m/>
    <n v="301480"/>
    <n v="208021"/>
    <n v="0"/>
    <n v="297800"/>
    <n v="52700"/>
    <n v="245100"/>
    <n v="0"/>
    <n v="0"/>
    <n v="89850.625589999996"/>
    <n v="-56090.612940989391"/>
    <n v="44121.038090000002"/>
    <n v="160472.20319"/>
    <n v="-11375.3256255"/>
    <n v="59389.221192154"/>
    <n v="0"/>
    <n v="0"/>
    <n v="0"/>
    <n v="26544.1547364"/>
    <n v="0"/>
    <n v="0"/>
    <n v="279200"/>
    <n v="33800"/>
    <n v="313000"/>
    <n v="5.104096709200806E-2"/>
    <n v="0.99970000000000003"/>
    <n v="0.98050000000000004"/>
    <n v="0.99729999999999996"/>
    <n v="1.0157"/>
    <n v="0.995"/>
    <n v="0.94971499999999998"/>
    <n v="0.93854531823597842"/>
    <n v="279200"/>
    <n v="0"/>
    <n v="279200"/>
    <n v="32100"/>
    <n v="311300"/>
    <n v="0.13912688698490411"/>
    <n v="-0.39089184060721061"/>
    <n v="4.5332437877770318E-2"/>
  </r>
  <r>
    <n v="2025"/>
    <s v="18132244505    "/>
    <n v="-1.4271163556401458"/>
    <n v="0.24"/>
    <n v="10500"/>
    <s v="6"/>
    <s v="RES"/>
    <x v="0"/>
    <s v="11"/>
    <s v="259"/>
    <s v="TD"/>
    <s v="A"/>
    <s v="AV"/>
    <x v="7"/>
    <n v="71"/>
    <n v="51"/>
    <n v="1953"/>
    <n v="1973"/>
    <n v="1072"/>
    <m/>
    <n v="988"/>
    <n v="188"/>
    <n v="800"/>
    <m/>
    <n v="1872"/>
    <n v="2000"/>
    <n v="9"/>
    <m/>
    <m/>
    <m/>
    <m/>
    <m/>
    <m/>
    <m/>
    <n v="280342"/>
    <n v="193436"/>
    <n v="8896"/>
    <n v="334400"/>
    <n v="64800"/>
    <n v="269600"/>
    <n v="0"/>
    <n v="0"/>
    <n v="89850.625589999996"/>
    <n v="-45174.819855485119"/>
    <n v="21557.329055999999"/>
    <n v="160472.20319"/>
    <n v="-11375.3256255"/>
    <n v="52966.094108144003"/>
    <n v="0"/>
    <n v="0"/>
    <n v="28732.912504035998"/>
    <n v="34128.198946800003"/>
    <n v="0"/>
    <n v="8900"/>
    <n v="286500"/>
    <n v="44700"/>
    <n v="340100"/>
    <n v="1.7045454545454544E-2"/>
    <n v="0.99970000000000003"/>
    <n v="1.0067999999999999"/>
    <n v="0.99729999999999996"/>
    <n v="1.0093000000000001"/>
    <n v="0.995"/>
    <n v="0.94971499999999998"/>
    <n v="0.957647495730095"/>
    <n v="286500"/>
    <n v="8400"/>
    <n v="294900"/>
    <n v="42400"/>
    <n v="337300"/>
    <n v="9.3842729970326416E-2"/>
    <n v="-0.34567901234567899"/>
    <n v="8.6722488038277513E-3"/>
  </r>
  <r>
    <n v="2025"/>
    <s v="18132214503    "/>
    <n v="-1.2039728043259361"/>
    <n v="0.3"/>
    <n v="13120"/>
    <s v="6"/>
    <s v="RES"/>
    <x v="0"/>
    <s v="11"/>
    <s v="259"/>
    <s v="RN"/>
    <s v="A"/>
    <s v="AV"/>
    <x v="7"/>
    <n v="71"/>
    <n v="51"/>
    <n v="1953"/>
    <n v="1973"/>
    <n v="1606"/>
    <m/>
    <n v="1606"/>
    <n v="406"/>
    <n v="1200"/>
    <m/>
    <n v="2806"/>
    <n v="3000"/>
    <n v="10"/>
    <m/>
    <m/>
    <m/>
    <m/>
    <m/>
    <m/>
    <m/>
    <n v="386860"/>
    <n v="266933"/>
    <n v="10934"/>
    <n v="394200"/>
    <n v="72500"/>
    <n v="321700"/>
    <n v="0"/>
    <n v="0"/>
    <n v="89850.625589999996"/>
    <n v="-38111.29648355169"/>
    <n v="21557.329055999999"/>
    <n v="160472.20319"/>
    <n v="-11375.3256255"/>
    <n v="79350.323822462"/>
    <n v="0"/>
    <n v="0"/>
    <n v="46705.523766681996"/>
    <n v="37920.221052000001"/>
    <n v="0"/>
    <n v="10900"/>
    <n v="334600"/>
    <n v="51700"/>
    <n v="397200"/>
    <n v="7.6103500761035003E-3"/>
    <n v="0.99970000000000003"/>
    <n v="1.0067999999999999"/>
    <n v="0.99729999999999996"/>
    <n v="0.96179999999999999"/>
    <n v="0.995"/>
    <n v="0.94971499999999998"/>
    <n v="0.91257838243654554"/>
    <n v="334600"/>
    <n v="10400"/>
    <n v="345000"/>
    <n v="49100"/>
    <n v="394100"/>
    <n v="7.2427727696611752E-2"/>
    <n v="-0.32275862068965516"/>
    <n v="-2.5367833587011668E-4"/>
  </r>
  <r>
    <n v="2025"/>
    <s v="18132344403    "/>
    <n v="-1.5141277326297755"/>
    <n v="0.22"/>
    <m/>
    <s v="6"/>
    <s v="RES"/>
    <x v="0"/>
    <s v="11"/>
    <s v="259"/>
    <s v="RN"/>
    <s v="G"/>
    <s v="AV"/>
    <x v="7"/>
    <n v="71"/>
    <n v="51"/>
    <n v="1953"/>
    <n v="1973"/>
    <n v="1155"/>
    <m/>
    <n v="1155"/>
    <n v="0"/>
    <n v="1155"/>
    <m/>
    <n v="2310"/>
    <n v="2500"/>
    <n v="9"/>
    <m/>
    <m/>
    <m/>
    <m/>
    <m/>
    <m/>
    <m/>
    <n v="414234"/>
    <n v="285821"/>
    <n v="11658"/>
    <n v="372000"/>
    <n v="61700"/>
    <n v="310300"/>
    <n v="0"/>
    <n v="0"/>
    <n v="89850.625589999996"/>
    <n v="-47929.131559187132"/>
    <n v="44121.038090000002"/>
    <n v="160472.20319"/>
    <n v="-11375.3256255"/>
    <n v="57067.013707935002"/>
    <n v="0"/>
    <n v="0"/>
    <n v="33589.589010284995"/>
    <n v="34128.198946800003"/>
    <n v="0"/>
    <n v="11700"/>
    <n v="318000"/>
    <n v="41900"/>
    <n v="371600"/>
    <n v="-1.0752688172043011E-3"/>
    <n v="0.99970000000000003"/>
    <n v="0.98050000000000004"/>
    <n v="0.99729999999999996"/>
    <n v="0.98919999999999997"/>
    <n v="0.995"/>
    <n v="0.94971499999999998"/>
    <n v="0.91405831328052556"/>
    <n v="318000"/>
    <n v="11100"/>
    <n v="329100"/>
    <n v="39800"/>
    <n v="368900"/>
    <n v="6.058652916532388E-2"/>
    <n v="-0.35494327390599678"/>
    <n v="-8.3333333333333332E-3"/>
  </r>
  <r>
    <n v="2025"/>
    <s v="18132343424    "/>
    <n v="-1.3862943611198906"/>
    <n v="0.25"/>
    <n v="10759"/>
    <s v="6"/>
    <s v="RES"/>
    <x v="0"/>
    <s v="11"/>
    <s v="259"/>
    <s v="RN"/>
    <s v="G+"/>
    <s v="GD"/>
    <x v="7"/>
    <n v="71"/>
    <n v="51"/>
    <n v="1953"/>
    <n v="1973"/>
    <n v="1482"/>
    <m/>
    <n v="1092"/>
    <n v="0"/>
    <n v="1092"/>
    <m/>
    <n v="2574"/>
    <n v="3000"/>
    <n v="8"/>
    <m/>
    <n v="390"/>
    <m/>
    <m/>
    <m/>
    <m/>
    <m/>
    <n v="536566"/>
    <n v="386328"/>
    <n v="0"/>
    <n v="450100"/>
    <n v="66200"/>
    <n v="383900"/>
    <n v="0"/>
    <n v="0"/>
    <n v="89850.625589999996"/>
    <n v="-43882.615305165229"/>
    <n v="74268.409664999999"/>
    <n v="197752.34721000001"/>
    <n v="-11375.3256255"/>
    <n v="73223.648757714007"/>
    <n v="0"/>
    <n v="0"/>
    <n v="31757.429609723997"/>
    <n v="30336.176841600001"/>
    <n v="0"/>
    <n v="0"/>
    <n v="396000"/>
    <n v="46000"/>
    <n v="442000"/>
    <n v="-1.7996000888691403E-2"/>
    <n v="0.99970000000000003"/>
    <n v="0.98380000000000001"/>
    <n v="0.99650000000000005"/>
    <n v="0.96179999999999999"/>
    <n v="0.995"/>
    <n v="0.94971499999999998"/>
    <n v="0.8910155268816885"/>
    <n v="396000"/>
    <n v="0"/>
    <n v="396000"/>
    <n v="43700"/>
    <n v="439700"/>
    <n v="3.151862464183381E-2"/>
    <n v="-0.33987915407854985"/>
    <n v="-2.3105976449677851E-2"/>
  </r>
  <r>
    <n v="2025"/>
    <s v="18132214485    "/>
    <n v="-1.6607312068216509"/>
    <n v="0.19"/>
    <n v="8158"/>
    <s v="6"/>
    <s v="RES"/>
    <x v="0"/>
    <s v="11"/>
    <s v="259"/>
    <s v="CP"/>
    <s v="A"/>
    <s v="AV"/>
    <x v="7"/>
    <n v="72"/>
    <n v="51"/>
    <n v="1952"/>
    <n v="1973"/>
    <n v="792"/>
    <m/>
    <n v="792"/>
    <n v="0"/>
    <n v="792"/>
    <m/>
    <n v="1584"/>
    <n v="2000"/>
    <n v="9"/>
    <m/>
    <m/>
    <n v="595"/>
    <m/>
    <m/>
    <m/>
    <m/>
    <n v="240975"/>
    <n v="166273"/>
    <n v="5261"/>
    <n v="299900"/>
    <n v="56600"/>
    <n v="243300"/>
    <n v="0"/>
    <n v="0"/>
    <n v="89850.625589999996"/>
    <n v="-52569.808201026557"/>
    <n v="21557.329055999999"/>
    <n v="160472.20319"/>
    <n v="-11375.3256255"/>
    <n v="39131.666542584004"/>
    <n v="0"/>
    <n v="0"/>
    <n v="23032.861035623999"/>
    <n v="34128.198946800003"/>
    <n v="19810.831589220001"/>
    <n v="5300"/>
    <n v="286800"/>
    <n v="37300"/>
    <n v="329400"/>
    <n v="9.8366122040680223E-2"/>
    <n v="0.99970000000000003"/>
    <n v="1.0067999999999999"/>
    <n v="0.99729999999999996"/>
    <n v="1.0093000000000001"/>
    <n v="0.995"/>
    <n v="0.94971499999999998"/>
    <n v="0.957647495730095"/>
    <n v="286800"/>
    <n v="5000"/>
    <n v="291800"/>
    <n v="35400"/>
    <n v="327200"/>
    <n v="0.19934237566789972"/>
    <n v="-0.37455830388692579"/>
    <n v="9.1030343447815937E-2"/>
  </r>
  <r>
    <n v="2025"/>
    <s v="18132332502    "/>
    <n v="-1.3470736479666092"/>
    <n v="0.26"/>
    <m/>
    <s v="6"/>
    <s v="RES"/>
    <x v="0"/>
    <s v="11"/>
    <s v="259"/>
    <s v="TD"/>
    <s v="G"/>
    <s v="GD"/>
    <x v="7"/>
    <n v="72"/>
    <n v="51"/>
    <n v="1952"/>
    <n v="1973"/>
    <n v="1489"/>
    <m/>
    <n v="790"/>
    <n v="593"/>
    <n v="197"/>
    <m/>
    <n v="1686"/>
    <n v="2000"/>
    <n v="7"/>
    <n v="575"/>
    <m/>
    <m/>
    <m/>
    <m/>
    <m/>
    <m/>
    <n v="383676"/>
    <n v="272410"/>
    <n v="35858"/>
    <n v="399100"/>
    <n v="67600"/>
    <n v="331500"/>
    <n v="0"/>
    <n v="0"/>
    <n v="89850.625589999996"/>
    <n v="-42641.098701210125"/>
    <n v="44121.038090000002"/>
    <n v="197752.34721000001"/>
    <n v="-11375.3256255"/>
    <n v="73569.509446853001"/>
    <n v="0"/>
    <n v="0"/>
    <n v="22974.697245129999"/>
    <n v="26544.1547364"/>
    <n v="0"/>
    <n v="35900"/>
    <n v="353600"/>
    <n v="47200"/>
    <n v="436700"/>
    <n v="9.4211976948133297E-2"/>
    <n v="0.99970000000000003"/>
    <n v="0.98050000000000004"/>
    <n v="0.99650000000000005"/>
    <n v="1.0093000000000001"/>
    <n v="0.995"/>
    <n v="0.94971499999999998"/>
    <n v="0.93188335041151293"/>
    <n v="353600"/>
    <n v="34100"/>
    <n v="387700"/>
    <n v="44800"/>
    <n v="432500"/>
    <n v="0.16953242835595778"/>
    <n v="-0.33727810650887574"/>
    <n v="8.3688298672012024E-2"/>
  </r>
  <r>
    <n v="2025"/>
    <s v="18132324440    "/>
    <n v="-1.8325814637483102"/>
    <n v="0.16"/>
    <m/>
    <s v="6"/>
    <s v="RES"/>
    <x v="0"/>
    <s v="11"/>
    <s v="259"/>
    <s v="CP"/>
    <s v="A"/>
    <s v="GD"/>
    <x v="7"/>
    <n v="72"/>
    <n v="51"/>
    <n v="1952"/>
    <n v="1973"/>
    <n v="1584"/>
    <n v="864"/>
    <m/>
    <n v="0"/>
    <m/>
    <m/>
    <n v="2448"/>
    <n v="2500"/>
    <n v="10"/>
    <m/>
    <m/>
    <m/>
    <m/>
    <m/>
    <m/>
    <m/>
    <n v="327754"/>
    <n v="232705"/>
    <n v="16905"/>
    <n v="381600"/>
    <n v="50600"/>
    <n v="331000"/>
    <n v="0"/>
    <n v="0"/>
    <n v="89850.625589999996"/>
    <n v="-58009.662049032086"/>
    <n v="21557.329055999999"/>
    <n v="197752.34721000001"/>
    <n v="-11375.3256255"/>
    <n v="78263.333085168008"/>
    <n v="38695.469351904001"/>
    <n v="0"/>
    <n v="0"/>
    <n v="37920.221052000001"/>
    <n v="0"/>
    <n v="16900"/>
    <n v="362800"/>
    <n v="31800"/>
    <n v="411500"/>
    <n v="7.8354297693920341E-2"/>
    <n v="0.99970000000000003"/>
    <n v="1.0067999999999999"/>
    <n v="0.99650000000000005"/>
    <n v="0.98919999999999997"/>
    <n v="0.995"/>
    <n v="0.94971499999999998"/>
    <n v="0.93782325090236773"/>
    <n v="362800"/>
    <n v="16100"/>
    <n v="378900"/>
    <n v="30200"/>
    <n v="409100"/>
    <n v="0.1447129909365559"/>
    <n v="-0.40316205533596838"/>
    <n v="7.20649895178197E-2"/>
  </r>
  <r>
    <n v="2025"/>
    <s v="18132214400    "/>
    <n v="-1.8325814637483102"/>
    <n v="0.16"/>
    <n v="6906"/>
    <s v="6"/>
    <s v="RES"/>
    <x v="0"/>
    <s v="11"/>
    <s v="259"/>
    <s v="CP"/>
    <s v="A"/>
    <s v="GD"/>
    <x v="7"/>
    <n v="72"/>
    <n v="51"/>
    <n v="1952"/>
    <n v="1973"/>
    <n v="1146"/>
    <m/>
    <m/>
    <n v="0"/>
    <m/>
    <m/>
    <n v="1146"/>
    <n v="1500"/>
    <n v="7"/>
    <m/>
    <m/>
    <m/>
    <m/>
    <m/>
    <m/>
    <m/>
    <n v="210282"/>
    <n v="149300"/>
    <n v="11585"/>
    <n v="310500"/>
    <n v="50600"/>
    <n v="259900"/>
    <n v="0"/>
    <n v="0"/>
    <n v="89850.625589999996"/>
    <n v="-58009.662049032086"/>
    <n v="21557.329055999999"/>
    <n v="197752.34721000001"/>
    <n v="-11375.3256255"/>
    <n v="56622.335679042"/>
    <n v="0"/>
    <n v="0"/>
    <n v="0"/>
    <n v="26544.1547364"/>
    <n v="0"/>
    <n v="11600"/>
    <n v="291100"/>
    <n v="31800"/>
    <n v="334500"/>
    <n v="7.7294685990338161E-2"/>
    <n v="0.99970000000000003"/>
    <n v="1.0067999999999999"/>
    <n v="0.99650000000000005"/>
    <n v="1.0157"/>
    <n v="0.995"/>
    <n v="0.94971499999999998"/>
    <n v="0.96294690248840986"/>
    <n v="291100"/>
    <n v="11000"/>
    <n v="302100"/>
    <n v="30200"/>
    <n v="332300"/>
    <n v="0.1623701423624471"/>
    <n v="-0.40316205533596838"/>
    <n v="7.0209339774557164E-2"/>
  </r>
  <r>
    <n v="2025"/>
    <s v="18132244449    "/>
    <n v="-1.3093333199837622"/>
    <n v="0.27"/>
    <n v="11882"/>
    <s v="6"/>
    <s v="RES"/>
    <x v="0"/>
    <s v="11"/>
    <s v="259"/>
    <s v="CP"/>
    <s v="G"/>
    <s v="GD"/>
    <x v="7"/>
    <n v="72"/>
    <n v="51"/>
    <n v="1952"/>
    <n v="1973"/>
    <n v="2336"/>
    <m/>
    <n v="2296"/>
    <n v="1020"/>
    <n v="1276"/>
    <m/>
    <n v="3612"/>
    <n v="4000"/>
    <n v="10"/>
    <m/>
    <m/>
    <m/>
    <m/>
    <m/>
    <m/>
    <m/>
    <n v="674011"/>
    <n v="478548"/>
    <n v="0"/>
    <n v="467900"/>
    <n v="68900"/>
    <n v="399000"/>
    <n v="0"/>
    <n v="0"/>
    <n v="89850.625589999996"/>
    <n v="-41446.443120973789"/>
    <n v="44121.038090000002"/>
    <n v="197752.34721000001"/>
    <n v="-11375.3256255"/>
    <n v="115418.652832672"/>
    <n v="0"/>
    <n v="0"/>
    <n v="66772.031487111992"/>
    <n v="37920.221052000001"/>
    <n v="0"/>
    <n v="0"/>
    <n v="450600"/>
    <n v="48400"/>
    <n v="499000"/>
    <n v="6.6467193844838637E-2"/>
    <n v="0.99970000000000003"/>
    <n v="0.98050000000000004"/>
    <n v="0.99650000000000005"/>
    <n v="0.94579999999999997"/>
    <n v="0.995"/>
    <n v="0.94971499999999998"/>
    <n v="0.8732540105213602"/>
    <n v="450600"/>
    <n v="0"/>
    <n v="450600"/>
    <n v="46000"/>
    <n v="496600"/>
    <n v="0.1293233082706767"/>
    <n v="-0.33236574746008707"/>
    <n v="6.1337892712117974E-2"/>
  </r>
  <r>
    <n v="2025"/>
    <s v="18132214458    "/>
    <n v="-1.6094379124341003"/>
    <n v="0.2"/>
    <n v="8687"/>
    <s v="6"/>
    <s v="RES"/>
    <x v="0"/>
    <s v="11"/>
    <s v="259"/>
    <s v="RN"/>
    <s v="A+"/>
    <s v="GD"/>
    <x v="7"/>
    <n v="72"/>
    <n v="51"/>
    <n v="1952"/>
    <n v="1973"/>
    <n v="962"/>
    <m/>
    <n v="962"/>
    <n v="0"/>
    <n v="962"/>
    <m/>
    <n v="1924"/>
    <n v="2000"/>
    <n v="8"/>
    <n v="351"/>
    <m/>
    <m/>
    <m/>
    <m/>
    <m/>
    <m/>
    <n v="316607"/>
    <n v="224791"/>
    <n v="0"/>
    <n v="342600"/>
    <n v="58400"/>
    <n v="284200"/>
    <n v="0"/>
    <n v="0"/>
    <n v="89850.625589999996"/>
    <n v="-50946.13867709865"/>
    <n v="29814.093161000001"/>
    <n v="197752.34721000001"/>
    <n v="-11375.3256255"/>
    <n v="47531.140421674005"/>
    <n v="0"/>
    <n v="0"/>
    <n v="27976.783227614"/>
    <n v="30336.176841600001"/>
    <n v="0"/>
    <n v="0"/>
    <n v="322000"/>
    <n v="38900"/>
    <n v="360900"/>
    <n v="5.3415061295971976E-2"/>
    <n v="0.99970000000000003"/>
    <n v="1.0088999999999999"/>
    <n v="0.99650000000000005"/>
    <n v="1.0093000000000001"/>
    <n v="0.995"/>
    <n v="0.94971499999999998"/>
    <n v="0.9588751782051762"/>
    <n v="322000"/>
    <n v="0"/>
    <n v="322000"/>
    <n v="36900"/>
    <n v="358900"/>
    <n v="0.13300492610837439"/>
    <n v="-0.36815068493150682"/>
    <n v="4.7577349678925858E-2"/>
  </r>
  <r>
    <n v="2025"/>
    <s v="18132333471    "/>
    <n v="-1.5141277326297755"/>
    <n v="0.22"/>
    <m/>
    <s v="6"/>
    <s v="RES"/>
    <x v="0"/>
    <s v="11"/>
    <s v="259"/>
    <s v="RN"/>
    <s v="A+"/>
    <s v="GD"/>
    <x v="7"/>
    <n v="72"/>
    <n v="51"/>
    <n v="1952"/>
    <n v="1973"/>
    <n v="1380"/>
    <m/>
    <n v="1380"/>
    <n v="345"/>
    <n v="1035"/>
    <m/>
    <n v="2415"/>
    <n v="2500"/>
    <n v="7"/>
    <m/>
    <m/>
    <m/>
    <m/>
    <m/>
    <m/>
    <m/>
    <n v="382470"/>
    <n v="271554"/>
    <n v="12190"/>
    <n v="385900"/>
    <n v="61700"/>
    <n v="324200"/>
    <n v="0"/>
    <n v="0"/>
    <n v="89850.625589999996"/>
    <n v="-47929.131559187132"/>
    <n v="29814.093161000001"/>
    <n v="197752.34721000001"/>
    <n v="-11375.3256255"/>
    <n v="68183.964430260006"/>
    <n v="0"/>
    <n v="0"/>
    <n v="40133.015440859999"/>
    <n v="26544.1547364"/>
    <n v="0"/>
    <n v="12200"/>
    <n v="351100"/>
    <n v="41900"/>
    <n v="405200"/>
    <n v="5.0012956724540036E-2"/>
    <n v="0.99970000000000003"/>
    <n v="1.0088999999999999"/>
    <n v="0.99650000000000005"/>
    <n v="0.98919999999999997"/>
    <n v="0.995"/>
    <n v="0.94971499999999998"/>
    <n v="0.93977937806455991"/>
    <n v="351100"/>
    <n v="11600"/>
    <n v="362700"/>
    <n v="39800"/>
    <n v="402500"/>
    <n v="0.11875385564466379"/>
    <n v="-0.35494327390599678"/>
    <n v="4.3016325472920447E-2"/>
  </r>
  <r>
    <n v="2025"/>
    <s v="18132214502    "/>
    <n v="-1.4271163556401458"/>
    <n v="0.24"/>
    <n v="10426"/>
    <s v="6"/>
    <s v="RES"/>
    <x v="0"/>
    <s v="11"/>
    <s v="259"/>
    <s v="RN"/>
    <s v="G"/>
    <s v="GD"/>
    <x v="7"/>
    <n v="72"/>
    <n v="51"/>
    <n v="1952"/>
    <n v="1973"/>
    <n v="1562"/>
    <m/>
    <n v="1562"/>
    <n v="0"/>
    <n v="1562"/>
    <m/>
    <n v="3124"/>
    <n v="3500"/>
    <n v="9"/>
    <n v="336"/>
    <m/>
    <m/>
    <m/>
    <m/>
    <m/>
    <m/>
    <n v="540692"/>
    <n v="383891"/>
    <n v="18070"/>
    <n v="428900"/>
    <n v="64800"/>
    <n v="364100"/>
    <n v="0"/>
    <n v="0"/>
    <n v="89850.625589999996"/>
    <n v="-45174.819855485119"/>
    <n v="44121.038090000002"/>
    <n v="197752.34721000001"/>
    <n v="-11375.3256255"/>
    <n v="77176.342347874001"/>
    <n v="0"/>
    <n v="0"/>
    <n v="45425.920375813999"/>
    <n v="34128.198946800003"/>
    <n v="0"/>
    <n v="18100"/>
    <n v="387200"/>
    <n v="44700"/>
    <n v="450000"/>
    <n v="4.9195616693868037E-2"/>
    <n v="0.99970000000000003"/>
    <n v="0.98050000000000004"/>
    <n v="0.99650000000000005"/>
    <n v="1.0126999999999999"/>
    <n v="0.995"/>
    <n v="0.94971499999999998"/>
    <n v="0.93502255916153676"/>
    <n v="387200"/>
    <n v="17200"/>
    <n v="404400"/>
    <n v="42400"/>
    <n v="446800"/>
    <n v="0.11068387805547926"/>
    <n v="-0.34567901234567899"/>
    <n v="4.1734670086267196E-2"/>
  </r>
  <r>
    <n v="2025"/>
    <s v="18132243435    "/>
    <n v="-1.3093333199837622"/>
    <n v="0.27"/>
    <n v="11808"/>
    <s v="6"/>
    <s v="RES"/>
    <x v="0"/>
    <s v="11"/>
    <s v="259"/>
    <s v="CP"/>
    <s v="G"/>
    <s v="GD"/>
    <x v="7"/>
    <n v="72"/>
    <n v="51"/>
    <n v="1952"/>
    <n v="1973"/>
    <n v="2215"/>
    <m/>
    <n v="1195"/>
    <n v="0"/>
    <n v="1195"/>
    <m/>
    <n v="3410"/>
    <n v="3500"/>
    <n v="12"/>
    <m/>
    <m/>
    <m/>
    <m/>
    <m/>
    <m/>
    <m/>
    <n v="590991"/>
    <n v="419604"/>
    <n v="0"/>
    <n v="451400"/>
    <n v="68900"/>
    <n v="382500"/>
    <n v="0"/>
    <n v="0"/>
    <n v="89850.625589999996"/>
    <n v="-41446.443120973789"/>
    <n v="44121.038090000002"/>
    <n v="197752.34721000001"/>
    <n v="-11375.3256255"/>
    <n v="109440.203777555"/>
    <n v="0"/>
    <n v="0"/>
    <n v="34752.864820164999"/>
    <n v="45504.265262400004"/>
    <n v="0"/>
    <n v="0"/>
    <n v="420200"/>
    <n v="48400"/>
    <n v="468600"/>
    <n v="3.8103677447939743E-2"/>
    <n v="0.99970000000000003"/>
    <n v="0.98050000000000004"/>
    <n v="0.99650000000000005"/>
    <n v="1.0126999999999999"/>
    <n v="0.995"/>
    <n v="0.94971499999999998"/>
    <n v="0.93502255916153676"/>
    <n v="420200"/>
    <n v="0"/>
    <n v="420200"/>
    <n v="46000"/>
    <n v="466200"/>
    <n v="9.8562091503267973E-2"/>
    <n v="-0.33236574746008707"/>
    <n v="3.2786885245901641E-2"/>
  </r>
  <r>
    <n v="2025"/>
    <s v="18132241076    "/>
    <n v="-1.5606477482646683"/>
    <n v="0.21"/>
    <n v="9304"/>
    <s v="6"/>
    <s v="RES"/>
    <x v="0"/>
    <s v="11"/>
    <s v="259"/>
    <s v="RN"/>
    <s v="G"/>
    <s v="AV"/>
    <x v="7"/>
    <n v="72"/>
    <n v="51"/>
    <n v="1952"/>
    <n v="1973"/>
    <n v="1444"/>
    <m/>
    <n v="1060"/>
    <n v="212"/>
    <n v="848"/>
    <m/>
    <n v="2292"/>
    <n v="2500"/>
    <n v="9"/>
    <m/>
    <m/>
    <m/>
    <m/>
    <m/>
    <m/>
    <m/>
    <n v="448133"/>
    <n v="309212"/>
    <n v="8240"/>
    <n v="367000"/>
    <n v="60100"/>
    <n v="306900"/>
    <n v="0"/>
    <n v="0"/>
    <n v="89850.625589999996"/>
    <n v="-49401.70477837498"/>
    <n v="44121.038090000002"/>
    <n v="160472.20319"/>
    <n v="-11375.3256255"/>
    <n v="71346.119302388004"/>
    <n v="0"/>
    <n v="0"/>
    <n v="30826.808961819999"/>
    <n v="34128.198946800003"/>
    <n v="0"/>
    <n v="8200"/>
    <n v="329500"/>
    <n v="40400"/>
    <n v="378100"/>
    <n v="3.0245231607629427E-2"/>
    <n v="0.99970000000000003"/>
    <n v="0.98050000000000004"/>
    <n v="0.99729999999999996"/>
    <n v="0.98919999999999997"/>
    <n v="0.995"/>
    <n v="0.94971499999999998"/>
    <n v="0.91405831328052556"/>
    <n v="329500"/>
    <n v="7800"/>
    <n v="337300"/>
    <n v="38400"/>
    <n v="375700"/>
    <n v="9.9055066797002281E-2"/>
    <n v="-0.36106489184692181"/>
    <n v="2.3705722070844686E-2"/>
  </r>
  <r>
    <n v="2025"/>
    <s v="18132214538    "/>
    <n v="-1.6607312068216509"/>
    <n v="0.19"/>
    <n v="8138"/>
    <s v="6"/>
    <s v="RES"/>
    <x v="0"/>
    <s v="11"/>
    <s v="259"/>
    <s v="RN"/>
    <s v="A"/>
    <s v="AV"/>
    <x v="7"/>
    <n v="72"/>
    <n v="36"/>
    <n v="1952"/>
    <n v="1988"/>
    <n v="1025"/>
    <m/>
    <n v="1025"/>
    <n v="0"/>
    <n v="1025"/>
    <m/>
    <n v="2050"/>
    <n v="2500"/>
    <n v="9"/>
    <m/>
    <m/>
    <m/>
    <m/>
    <m/>
    <m/>
    <m/>
    <n v="255321"/>
    <n v="214470"/>
    <n v="0"/>
    <n v="316800"/>
    <n v="56600"/>
    <n v="260200"/>
    <n v="0"/>
    <n v="0"/>
    <n v="89850.625589999996"/>
    <n v="-52569.808201026557"/>
    <n v="21557.329055999999"/>
    <n v="160472.20319"/>
    <n v="-8029.6416180000006"/>
    <n v="50643.886623924998"/>
    <n v="0"/>
    <n v="0"/>
    <n v="29808.942628174998"/>
    <n v="34128.198946800003"/>
    <n v="0"/>
    <n v="0"/>
    <n v="288600"/>
    <n v="37300"/>
    <n v="325900"/>
    <n v="2.8724747474747476E-2"/>
    <n v="0.99970000000000003"/>
    <n v="1.0067999999999999"/>
    <n v="0.99729999999999996"/>
    <n v="0.98919999999999997"/>
    <n v="0.995"/>
    <n v="0.94971499999999998"/>
    <n v="0.93857614463114025"/>
    <n v="288600"/>
    <n v="0"/>
    <n v="288600"/>
    <n v="35400"/>
    <n v="324000"/>
    <n v="0.10914681014604151"/>
    <n v="-0.37455830388692579"/>
    <n v="2.2727272727272728E-2"/>
  </r>
  <r>
    <n v="2025"/>
    <s v="18132214541    "/>
    <n v="-1.7719568419318752"/>
    <n v="0.17"/>
    <n v="7340"/>
    <s v="6"/>
    <s v="RES"/>
    <x v="0"/>
    <s v="11"/>
    <s v="259"/>
    <s v="RN"/>
    <s v="A+"/>
    <s v="AV"/>
    <x v="7"/>
    <n v="72"/>
    <n v="51"/>
    <n v="1952"/>
    <n v="1973"/>
    <n v="1291"/>
    <m/>
    <n v="1291"/>
    <n v="0"/>
    <n v="1291"/>
    <m/>
    <n v="2582"/>
    <n v="3000"/>
    <n v="8"/>
    <n v="260"/>
    <m/>
    <n v="100"/>
    <m/>
    <m/>
    <m/>
    <m/>
    <n v="404518"/>
    <n v="279117"/>
    <n v="0"/>
    <n v="341800"/>
    <n v="52700"/>
    <n v="289100"/>
    <n v="0"/>
    <n v="0"/>
    <n v="89850.625589999996"/>
    <n v="-56090.612940989391"/>
    <n v="29814.093161000001"/>
    <n v="160472.20319"/>
    <n v="-11375.3256255"/>
    <n v="63786.592811207003"/>
    <n v="0"/>
    <n v="0"/>
    <n v="37544.726763876999"/>
    <n v="30336.176841600001"/>
    <n v="3329.5515276000006"/>
    <n v="0"/>
    <n v="313900"/>
    <n v="33800"/>
    <n v="347700"/>
    <n v="1.7261556465769455E-2"/>
    <n v="0.99970000000000003"/>
    <n v="1.0088999999999999"/>
    <n v="0.99729999999999996"/>
    <n v="0.96179999999999999"/>
    <n v="0.995"/>
    <n v="0.94971499999999998"/>
    <n v="0.91448185343686017"/>
    <n v="313900"/>
    <n v="0"/>
    <n v="313900"/>
    <n v="32100"/>
    <n v="346000"/>
    <n v="8.5783465928744376E-2"/>
    <n v="-0.39089184060721061"/>
    <n v="1.2287887653598596E-2"/>
  </r>
  <r>
    <n v="2025"/>
    <s v="18132332529    "/>
    <n v="-1.4696759700589417"/>
    <n v="0.23"/>
    <n v="10010"/>
    <s v="6"/>
    <s v="RES"/>
    <x v="0"/>
    <s v="11"/>
    <s v="259"/>
    <s v="RN"/>
    <s v="G"/>
    <s v="AV"/>
    <x v="7"/>
    <n v="72"/>
    <n v="51"/>
    <n v="1952"/>
    <n v="1973"/>
    <n v="1446"/>
    <m/>
    <n v="1040"/>
    <n v="40"/>
    <n v="1000"/>
    <m/>
    <n v="2446"/>
    <n v="2500"/>
    <n v="8"/>
    <m/>
    <m/>
    <m/>
    <m/>
    <m/>
    <m/>
    <m/>
    <n v="448775"/>
    <n v="309655"/>
    <n v="0"/>
    <n v="362100"/>
    <n v="63300"/>
    <n v="298800"/>
    <n v="0"/>
    <n v="0"/>
    <n v="89850.625589999996"/>
    <n v="-46522.028095997222"/>
    <n v="44121.038090000002"/>
    <n v="160472.20319"/>
    <n v="-11375.3256255"/>
    <n v="71444.936642141998"/>
    <n v="0"/>
    <n v="0"/>
    <n v="30245.171056879997"/>
    <n v="30336.176841600001"/>
    <n v="0"/>
    <n v="0"/>
    <n v="325200"/>
    <n v="43300"/>
    <n v="368500"/>
    <n v="1.7674675504004419E-2"/>
    <n v="0.99970000000000003"/>
    <n v="0.98050000000000004"/>
    <n v="0.99729999999999996"/>
    <n v="0.98919999999999997"/>
    <n v="0.995"/>
    <n v="0.94971499999999998"/>
    <n v="0.91405831328052556"/>
    <n v="325200"/>
    <n v="0"/>
    <n v="325200"/>
    <n v="41100"/>
    <n v="366300"/>
    <n v="8.8353413654618476E-2"/>
    <n v="-0.35071090047393366"/>
    <n v="1.15990057995029E-2"/>
  </r>
  <r>
    <n v="2025"/>
    <s v="18132241424    "/>
    <n v="-1.6094379124341003"/>
    <n v="0.2"/>
    <n v="8616"/>
    <s v="6"/>
    <s v="RES"/>
    <x v="0"/>
    <s v="11"/>
    <s v="259"/>
    <s v="RN"/>
    <s v="A+"/>
    <s v="AV"/>
    <x v="7"/>
    <n v="72"/>
    <n v="51"/>
    <n v="1952"/>
    <n v="1973"/>
    <n v="1484"/>
    <m/>
    <n v="1218"/>
    <n v="226"/>
    <n v="992"/>
    <m/>
    <n v="2476"/>
    <n v="2500"/>
    <n v="8"/>
    <m/>
    <m/>
    <m/>
    <m/>
    <m/>
    <m/>
    <m/>
    <n v="402285"/>
    <n v="277577"/>
    <n v="0"/>
    <n v="352200"/>
    <n v="58400"/>
    <n v="293800"/>
    <n v="0"/>
    <n v="0"/>
    <n v="89850.625589999996"/>
    <n v="-50946.13867709865"/>
    <n v="29814.093161000001"/>
    <n v="160472.20319"/>
    <n v="-11375.3256255"/>
    <n v="73322.466097468001"/>
    <n v="0"/>
    <n v="0"/>
    <n v="35421.748410845998"/>
    <n v="30336.176841600001"/>
    <n v="0"/>
    <n v="0"/>
    <n v="318000"/>
    <n v="38900"/>
    <n v="356900"/>
    <n v="1.3344690516751846E-2"/>
    <n v="0.99970000000000003"/>
    <n v="1.0088999999999999"/>
    <n v="0.99729999999999996"/>
    <n v="0.98919999999999997"/>
    <n v="0.995"/>
    <n v="0.94971499999999998"/>
    <n v="0.94053384219145564"/>
    <n v="318000"/>
    <n v="0"/>
    <n v="318000"/>
    <n v="36900"/>
    <n v="354900"/>
    <n v="8.2368958475153159E-2"/>
    <n v="-0.36815068493150682"/>
    <n v="7.6660988074957409E-3"/>
  </r>
  <r>
    <n v="2025"/>
    <s v="18132324407    "/>
    <n v="-1.4271163556401458"/>
    <n v="0.24"/>
    <m/>
    <s v="6"/>
    <s v="RES"/>
    <x v="0"/>
    <s v="11"/>
    <s v="259"/>
    <s v="TD"/>
    <s v="G"/>
    <s v="AV"/>
    <x v="7"/>
    <n v="72"/>
    <n v="51"/>
    <n v="1952"/>
    <n v="1973"/>
    <n v="1242"/>
    <m/>
    <n v="1242"/>
    <n v="0"/>
    <n v="1242"/>
    <m/>
    <n v="2484"/>
    <n v="2500"/>
    <n v="8"/>
    <m/>
    <m/>
    <m/>
    <m/>
    <m/>
    <m/>
    <m/>
    <n v="452863"/>
    <n v="312475"/>
    <n v="7228"/>
    <n v="373900"/>
    <n v="64800"/>
    <n v="309100"/>
    <n v="0"/>
    <n v="0"/>
    <n v="89850.625589999996"/>
    <n v="-45174.819855485119"/>
    <n v="44121.038090000002"/>
    <n v="160472.20319"/>
    <n v="-11375.3256255"/>
    <n v="61365.567987234004"/>
    <n v="0"/>
    <n v="0"/>
    <n v="36119.713896773996"/>
    <n v="30336.176841600001"/>
    <n v="0"/>
    <n v="7200"/>
    <n v="321000"/>
    <n v="44700"/>
    <n v="372900"/>
    <n v="-2.6745119015779621E-3"/>
    <n v="0.99970000000000003"/>
    <n v="0.98050000000000004"/>
    <n v="0.99729999999999996"/>
    <n v="0.98919999999999997"/>
    <n v="0.995"/>
    <n v="0.94971499999999998"/>
    <n v="0.91405831328052556"/>
    <n v="321000"/>
    <n v="6900"/>
    <n v="327900"/>
    <n v="42400"/>
    <n v="370300"/>
    <n v="6.0821740537043027E-2"/>
    <n v="-0.34567901234567899"/>
    <n v="-9.628242845680663E-3"/>
  </r>
  <r>
    <n v="2025"/>
    <s v="18132323482    "/>
    <n v="-1.5606477482646683"/>
    <n v="0.21"/>
    <n v="9310"/>
    <s v="6"/>
    <s v="RES"/>
    <x v="0"/>
    <s v="11"/>
    <s v="259"/>
    <s v="RN"/>
    <s v="A"/>
    <s v="AV"/>
    <x v="7"/>
    <n v="72"/>
    <n v="51"/>
    <n v="1952"/>
    <n v="1973"/>
    <n v="1022"/>
    <m/>
    <n v="1022"/>
    <n v="0"/>
    <n v="1022"/>
    <m/>
    <n v="2044"/>
    <n v="2500"/>
    <n v="8"/>
    <m/>
    <m/>
    <m/>
    <m/>
    <m/>
    <m/>
    <m/>
    <n v="271869"/>
    <n v="187590"/>
    <n v="6178"/>
    <n v="329300"/>
    <n v="60100"/>
    <n v="269200"/>
    <n v="0"/>
    <n v="0"/>
    <n v="89850.625589999996"/>
    <n v="-49401.70477837498"/>
    <n v="21557.329055999999"/>
    <n v="160472.20319"/>
    <n v="-11375.3256255"/>
    <n v="50495.660614294"/>
    <n v="0"/>
    <n v="0"/>
    <n v="29721.696942433999"/>
    <n v="30336.176841600001"/>
    <n v="0"/>
    <n v="6200"/>
    <n v="281200"/>
    <n v="40400"/>
    <n v="327800"/>
    <n v="-4.5551169146674769E-3"/>
    <n v="0.99970000000000003"/>
    <n v="1.0067999999999999"/>
    <n v="0.99729999999999996"/>
    <n v="0.98919999999999997"/>
    <n v="0.995"/>
    <n v="0.94971499999999998"/>
    <n v="0.93857614463114025"/>
    <n v="281200"/>
    <n v="5900"/>
    <n v="287100"/>
    <n v="38400"/>
    <n v="325500"/>
    <n v="6.6493313521545319E-2"/>
    <n v="-0.36106489184692181"/>
    <n v="-1.1539629517157608E-2"/>
  </r>
  <r>
    <n v="2025"/>
    <s v="18132241427    "/>
    <n v="-1.3470736479666092"/>
    <n v="0.26"/>
    <n v="11325"/>
    <s v="6"/>
    <s v="RES"/>
    <x v="0"/>
    <s v="11"/>
    <s v="259"/>
    <s v="RN"/>
    <s v="G+"/>
    <s v="GD"/>
    <x v="7"/>
    <n v="72"/>
    <n v="51"/>
    <n v="1952"/>
    <n v="1973"/>
    <n v="2199"/>
    <m/>
    <n v="616"/>
    <n v="0"/>
    <n v="616"/>
    <m/>
    <n v="2815"/>
    <n v="3000"/>
    <n v="12"/>
    <m/>
    <m/>
    <m/>
    <m/>
    <m/>
    <m/>
    <m/>
    <n v="598204"/>
    <n v="430707"/>
    <n v="13727"/>
    <n v="499400"/>
    <n v="67600"/>
    <n v="431800"/>
    <n v="0"/>
    <n v="0"/>
    <n v="89850.625589999996"/>
    <n v="-42641.098701210125"/>
    <n v="74268.409664999999"/>
    <n v="197752.34721000001"/>
    <n v="-11375.3256255"/>
    <n v="108649.665059523"/>
    <n v="0"/>
    <n v="0"/>
    <n v="17914.447472151998"/>
    <n v="45504.265262400004"/>
    <n v="0"/>
    <n v="13700"/>
    <n v="432700"/>
    <n v="47200"/>
    <n v="493600"/>
    <n v="-1.1613936724068883E-2"/>
    <n v="0.99970000000000003"/>
    <n v="0.98380000000000001"/>
    <n v="0.99650000000000005"/>
    <n v="0.96179999999999999"/>
    <n v="0.995"/>
    <n v="0.94971499999999998"/>
    <n v="0.8910155268816885"/>
    <n v="432700"/>
    <n v="13000"/>
    <n v="445700"/>
    <n v="44800"/>
    <n v="490500"/>
    <n v="3.2190829087540528E-2"/>
    <n v="-0.33727810650887574"/>
    <n v="-1.7821385662795355E-2"/>
  </r>
  <r>
    <n v="2025"/>
    <s v="18132323440    "/>
    <n v="-1.5606477482646683"/>
    <n v="0.21"/>
    <m/>
    <s v="6"/>
    <s v="RES"/>
    <x v="0"/>
    <s v="11"/>
    <s v="259"/>
    <s v="RN"/>
    <s v="A"/>
    <s v="AV"/>
    <x v="7"/>
    <n v="73"/>
    <n v="51"/>
    <n v="1951"/>
    <n v="1973"/>
    <n v="744"/>
    <m/>
    <n v="144"/>
    <n v="144"/>
    <m/>
    <n v="192"/>
    <n v="936"/>
    <n v="1000"/>
    <n v="5"/>
    <n v="448"/>
    <m/>
    <m/>
    <m/>
    <m/>
    <m/>
    <m/>
    <n v="185942"/>
    <n v="128300"/>
    <n v="0"/>
    <n v="263500"/>
    <n v="60100"/>
    <n v="203400"/>
    <n v="0"/>
    <n v="0"/>
    <n v="89850.625589999996"/>
    <n v="-49401.70477837498"/>
    <n v="21557.329055999999"/>
    <n v="160472.20319"/>
    <n v="-11375.3256255"/>
    <n v="36760.050388488002"/>
    <n v="0"/>
    <n v="12498.176841792001"/>
    <n v="4187.7929155679994"/>
    <n v="18960.110526"/>
    <n v="0"/>
    <n v="0"/>
    <n v="243100"/>
    <n v="40400"/>
    <n v="283500"/>
    <n v="7.5901328273244778E-2"/>
    <n v="0.99970000000000003"/>
    <n v="1.0067999999999999"/>
    <n v="0.99729999999999996"/>
    <n v="1.0148999999999999"/>
    <n v="0.995"/>
    <n v="0.94971499999999998"/>
    <n v="0.96296090698154491"/>
    <n v="243100"/>
    <n v="0"/>
    <n v="243100"/>
    <n v="38400"/>
    <n v="281500"/>
    <n v="0.19518190757128812"/>
    <n v="-0.36106489184692181"/>
    <n v="6.8311195445920306E-2"/>
  </r>
  <r>
    <n v="2025"/>
    <s v="18132242014    "/>
    <n v="-1.5606477482646683"/>
    <n v="0.21"/>
    <n v="9225"/>
    <s v="6"/>
    <s v="RES"/>
    <x v="0"/>
    <s v="11"/>
    <s v="259"/>
    <s v="RN"/>
    <s v="A"/>
    <s v="AV"/>
    <x v="7"/>
    <n v="73"/>
    <n v="51"/>
    <n v="1951"/>
    <n v="1973"/>
    <n v="1650"/>
    <m/>
    <n v="844"/>
    <n v="844"/>
    <m/>
    <m/>
    <n v="1650"/>
    <n v="2000"/>
    <n v="8"/>
    <n v="273"/>
    <m/>
    <m/>
    <m/>
    <m/>
    <m/>
    <m/>
    <n v="298359"/>
    <n v="205868"/>
    <n v="0"/>
    <n v="326000"/>
    <n v="60100"/>
    <n v="265900"/>
    <n v="0"/>
    <n v="0"/>
    <n v="89850.625589999996"/>
    <n v="-49401.70477837498"/>
    <n v="21557.329055999999"/>
    <n v="160472.20319"/>
    <n v="-11375.3256255"/>
    <n v="81524.305297049999"/>
    <n v="0"/>
    <n v="0"/>
    <n v="24545.119588467998"/>
    <n v="30336.176841600001"/>
    <n v="0"/>
    <n v="0"/>
    <n v="307100"/>
    <n v="40400"/>
    <n v="347500"/>
    <n v="6.5950920245398767E-2"/>
    <n v="0.99970000000000003"/>
    <n v="1.0067999999999999"/>
    <n v="0.99729999999999996"/>
    <n v="1.0093000000000001"/>
    <n v="0.995"/>
    <n v="0.94971499999999998"/>
    <n v="0.957647495730095"/>
    <n v="307100"/>
    <n v="0"/>
    <n v="307100"/>
    <n v="38400"/>
    <n v="345500"/>
    <n v="0.15494546822113575"/>
    <n v="-0.36106489184692181"/>
    <n v="5.98159509202454E-2"/>
  </r>
  <r>
    <n v="2025"/>
    <s v="18132323489    "/>
    <n v="-1.5606477482646683"/>
    <n v="0.21"/>
    <m/>
    <s v="6"/>
    <s v="RES"/>
    <x v="0"/>
    <s v="11"/>
    <s v="400"/>
    <s v="RN"/>
    <s v="A"/>
    <s v="AV"/>
    <x v="7"/>
    <n v="73"/>
    <n v="51"/>
    <n v="1951"/>
    <n v="1973"/>
    <n v="1247"/>
    <m/>
    <m/>
    <n v="0"/>
    <m/>
    <m/>
    <n v="1247"/>
    <n v="1500"/>
    <n v="5"/>
    <n v="220"/>
    <m/>
    <m/>
    <m/>
    <m/>
    <m/>
    <m/>
    <n v="209159"/>
    <n v="144320"/>
    <n v="0"/>
    <n v="279300"/>
    <n v="60100"/>
    <n v="219200"/>
    <n v="0"/>
    <n v="0"/>
    <n v="89850.625589999996"/>
    <n v="-49401.70477837498"/>
    <n v="21557.329055999999"/>
    <n v="160472.20319"/>
    <n v="-11375.3256255"/>
    <n v="61612.611336619004"/>
    <n v="0"/>
    <n v="0"/>
    <n v="0"/>
    <n v="18960.110526"/>
    <n v="0"/>
    <n v="0"/>
    <n v="251200"/>
    <n v="40400"/>
    <n v="291600"/>
    <n v="4.4038668098818477E-2"/>
    <n v="0.99970000000000003"/>
    <n v="1.0067999999999999"/>
    <n v="0.99729999999999996"/>
    <n v="1.0157"/>
    <n v="0.995"/>
    <n v="0.94971499999999998"/>
    <n v="0.96371996573175212"/>
    <n v="251200"/>
    <n v="0"/>
    <n v="251200"/>
    <n v="38400"/>
    <n v="289600"/>
    <n v="0.145985401459854"/>
    <n v="-0.36106489184692181"/>
    <n v="3.6877909058360185E-2"/>
  </r>
  <r>
    <n v="2025"/>
    <s v="18132323509    "/>
    <n v="-1.6094379124341003"/>
    <n v="0.2"/>
    <m/>
    <s v="6"/>
    <s v="RES"/>
    <x v="0"/>
    <s v="11"/>
    <s v="259"/>
    <s v="CC"/>
    <s v="G"/>
    <s v="AV"/>
    <x v="7"/>
    <n v="73"/>
    <n v="51"/>
    <n v="1951"/>
    <n v="1973"/>
    <n v="1357"/>
    <n v="544"/>
    <n v="1358"/>
    <n v="0"/>
    <n v="1358"/>
    <m/>
    <n v="3259"/>
    <n v="3500"/>
    <n v="8"/>
    <n v="506"/>
    <m/>
    <n v="157"/>
    <m/>
    <m/>
    <m/>
    <m/>
    <n v="544673"/>
    <n v="375824"/>
    <n v="0"/>
    <n v="388700"/>
    <n v="58400"/>
    <n v="330300"/>
    <n v="0"/>
    <n v="0"/>
    <n v="89850.625589999996"/>
    <n v="-50946.13867709865"/>
    <n v="44121.038090000002"/>
    <n v="160472.20319"/>
    <n v="-11375.3256255"/>
    <n v="67047.565023089002"/>
    <n v="24363.814036383999"/>
    <n v="0"/>
    <n v="39493.213745426001"/>
    <n v="30336.176841600001"/>
    <n v="5227.3958983320008"/>
    <n v="0"/>
    <n v="359700"/>
    <n v="38900"/>
    <n v="398600"/>
    <n v="2.5469513763828146E-2"/>
    <n v="0.99970000000000003"/>
    <n v="0.98050000000000004"/>
    <n v="0.99729999999999996"/>
    <n v="1.0126999999999999"/>
    <n v="0.995"/>
    <n v="0.94971499999999998"/>
    <n v="0.9357732044674365"/>
    <n v="359700"/>
    <n v="0"/>
    <n v="359700"/>
    <n v="36900"/>
    <n v="396600"/>
    <n v="8.9009990917347862E-2"/>
    <n v="-0.36815068493150682"/>
    <n v="2.0324157447903269E-2"/>
  </r>
  <r>
    <n v="2025"/>
    <s v="18132324507    "/>
    <n v="-1.4696759700589417"/>
    <n v="0.23"/>
    <m/>
    <s v="6"/>
    <s v="RES"/>
    <x v="0"/>
    <s v="11"/>
    <s v="259"/>
    <s v="TD"/>
    <s v="G+"/>
    <s v="AV"/>
    <x v="7"/>
    <n v="73"/>
    <n v="51"/>
    <n v="1951"/>
    <n v="1973"/>
    <n v="1843"/>
    <m/>
    <n v="1101"/>
    <n v="550"/>
    <n v="551"/>
    <m/>
    <n v="2394"/>
    <n v="2500"/>
    <n v="14"/>
    <n v="405"/>
    <m/>
    <m/>
    <m/>
    <m/>
    <m/>
    <m/>
    <n v="549079"/>
    <n v="384355"/>
    <n v="0"/>
    <n v="457000"/>
    <n v="63300"/>
    <n v="393700"/>
    <n v="0"/>
    <n v="0"/>
    <n v="89850.625589999996"/>
    <n v="-46522.028095997222"/>
    <n v="74268.409664999999"/>
    <n v="160472.20319"/>
    <n v="-11375.3256255"/>
    <n v="91060.178583311004"/>
    <n v="0"/>
    <n v="0"/>
    <n v="32019.166666947"/>
    <n v="53088.3094728"/>
    <n v="0"/>
    <n v="0"/>
    <n v="399500"/>
    <n v="43300"/>
    <n v="442800"/>
    <n v="-3.1072210065645513E-2"/>
    <n v="0.99970000000000003"/>
    <n v="0.98380000000000001"/>
    <n v="0.99729999999999996"/>
    <n v="0.98919999999999997"/>
    <n v="0.995"/>
    <n v="0.94971499999999998"/>
    <n v="0.91713469516102109"/>
    <n v="399500"/>
    <n v="0"/>
    <n v="399500"/>
    <n v="41100"/>
    <n v="440600"/>
    <n v="1.4732029464058927E-2"/>
    <n v="-0.35071090047393366"/>
    <n v="-3.5886214442013127E-2"/>
  </r>
  <r>
    <n v="2025"/>
    <s v="18132343013    "/>
    <n v="-1.2729656758128873"/>
    <n v="0.28000000000000003"/>
    <n v="12010"/>
    <s v="6"/>
    <s v="RES"/>
    <x v="0"/>
    <s v="11"/>
    <s v="259"/>
    <s v="RN"/>
    <s v="G+"/>
    <s v="GD"/>
    <x v="7"/>
    <n v="73"/>
    <n v="51"/>
    <n v="1951"/>
    <n v="1973"/>
    <n v="1762"/>
    <m/>
    <n v="1040"/>
    <n v="32"/>
    <n v="1008"/>
    <m/>
    <n v="2770"/>
    <n v="3000"/>
    <n v="11"/>
    <m/>
    <m/>
    <m/>
    <m/>
    <m/>
    <m/>
    <m/>
    <n v="564530"/>
    <n v="406462"/>
    <n v="8098"/>
    <n v="493100"/>
    <n v="70100"/>
    <n v="423000"/>
    <n v="0"/>
    <n v="0"/>
    <n v="89850.625589999996"/>
    <n v="-40295.239319339329"/>
    <n v="74268.409664999999"/>
    <n v="197752.34721000001"/>
    <n v="-11375.3256255"/>
    <n v="87058.076323273999"/>
    <n v="0"/>
    <n v="0"/>
    <n v="30245.171056879997"/>
    <n v="41712.243157199999"/>
    <n v="0"/>
    <n v="8100"/>
    <n v="419700"/>
    <n v="49600"/>
    <n v="477400"/>
    <n v="-3.1839383492192251E-2"/>
    <n v="0.99970000000000003"/>
    <n v="0.98380000000000001"/>
    <n v="0.99650000000000005"/>
    <n v="0.96179999999999999"/>
    <n v="0.995"/>
    <n v="0.94971499999999998"/>
    <n v="0.8910155268816885"/>
    <n v="419700"/>
    <n v="7700"/>
    <n v="427400"/>
    <n v="47100"/>
    <n v="474500"/>
    <n v="1.0401891252955082E-2"/>
    <n v="-0.32810271041369471"/>
    <n v="-3.7720543500304196E-2"/>
  </r>
  <r>
    <n v="2025"/>
    <s v="18132241421    "/>
    <n v="-1.6094379124341003"/>
    <n v="0.2"/>
    <n v="8616"/>
    <s v="6"/>
    <s v="RES"/>
    <x v="0"/>
    <s v="11"/>
    <s v="259"/>
    <s v="RN"/>
    <s v="A"/>
    <s v="AV"/>
    <x v="7"/>
    <n v="74"/>
    <n v="51"/>
    <n v="1950"/>
    <n v="1973"/>
    <n v="968"/>
    <m/>
    <m/>
    <n v="0"/>
    <m/>
    <m/>
    <n v="968"/>
    <n v="1000"/>
    <n v="5"/>
    <m/>
    <m/>
    <m/>
    <m/>
    <m/>
    <m/>
    <m/>
    <n v="162214"/>
    <n v="108683"/>
    <n v="0"/>
    <n v="233300"/>
    <n v="58400"/>
    <n v="174900"/>
    <n v="0"/>
    <n v="0"/>
    <n v="89850.625589999996"/>
    <n v="-50946.13867709865"/>
    <n v="21557.329055999999"/>
    <n v="160472.20319"/>
    <n v="-11375.3256255"/>
    <n v="47827.592440936001"/>
    <n v="0"/>
    <n v="0"/>
    <n v="0"/>
    <n v="18960.110526"/>
    <n v="0"/>
    <n v="0"/>
    <n v="237400"/>
    <n v="38900"/>
    <n v="276300"/>
    <n v="0.18431204457779682"/>
    <n v="0.99970000000000003"/>
    <n v="1.0067999999999999"/>
    <n v="0.99729999999999996"/>
    <n v="1.0148999999999999"/>
    <n v="0.995"/>
    <n v="0.94971499999999998"/>
    <n v="0.96296090698154491"/>
    <n v="237400"/>
    <n v="0"/>
    <n v="237400"/>
    <n v="36900"/>
    <n v="274300"/>
    <n v="0.35734705546026302"/>
    <n v="-0.36815068493150682"/>
    <n v="0.17573939134162023"/>
  </r>
  <r>
    <n v="2025"/>
    <s v="18132343431    "/>
    <n v="-0.75502258427803282"/>
    <n v="0.47"/>
    <n v="20473"/>
    <s v="6"/>
    <s v="RES"/>
    <x v="0"/>
    <s v="11"/>
    <s v="259"/>
    <s v="CU"/>
    <s v="G+"/>
    <s v="VG"/>
    <x v="7"/>
    <n v="74"/>
    <n v="51"/>
    <n v="1950"/>
    <n v="1973"/>
    <n v="3903"/>
    <m/>
    <m/>
    <n v="0"/>
    <m/>
    <m/>
    <n v="3903"/>
    <n v="4000"/>
    <n v="12"/>
    <n v="676"/>
    <m/>
    <n v="388"/>
    <m/>
    <m/>
    <m/>
    <m/>
    <n v="861564"/>
    <n v="628942"/>
    <n v="49627"/>
    <n v="603400"/>
    <n v="88200"/>
    <n v="515200"/>
    <n v="0"/>
    <n v="0"/>
    <n v="89850.625589999996"/>
    <n v="-23899.949781097919"/>
    <n v="74268.409664999999"/>
    <n v="284810.60806"/>
    <n v="-11375.3256255"/>
    <n v="192842.03852993101"/>
    <n v="0"/>
    <n v="0"/>
    <n v="0"/>
    <n v="45504.265262400004"/>
    <n v="12918.659927088001"/>
    <n v="49600"/>
    <n v="599000"/>
    <n v="66000"/>
    <n v="714600"/>
    <n v="0.18428902883659265"/>
    <n v="0.99970000000000003"/>
    <n v="0.98380000000000001"/>
    <n v="1.0158"/>
    <n v="0.94579999999999997"/>
    <n v="0.995"/>
    <n v="0.94971499999999998"/>
    <n v="0.89316298101040392"/>
    <n v="599000"/>
    <n v="47100"/>
    <n v="646100"/>
    <n v="62600"/>
    <n v="708700"/>
    <n v="0.25407608695652173"/>
    <n v="-0.29024943310657597"/>
    <n v="0.17451110374544249"/>
  </r>
  <r>
    <n v="2025"/>
    <s v="18132342465    "/>
    <n v="-1.1711829815029451"/>
    <n v="0.31"/>
    <n v="13344"/>
    <s v="6"/>
    <s v="RES"/>
    <x v="0"/>
    <s v="11"/>
    <s v="259"/>
    <s v="TD"/>
    <s v="G"/>
    <s v="VG"/>
    <x v="7"/>
    <n v="74"/>
    <n v="51"/>
    <n v="1950"/>
    <n v="1973"/>
    <n v="2754"/>
    <m/>
    <m/>
    <n v="0"/>
    <m/>
    <m/>
    <n v="2754"/>
    <n v="3000"/>
    <n v="11"/>
    <m/>
    <m/>
    <m/>
    <m/>
    <m/>
    <m/>
    <m/>
    <n v="543484"/>
    <n v="391308"/>
    <n v="39554"/>
    <n v="501900"/>
    <n v="73700"/>
    <n v="428200"/>
    <n v="0"/>
    <n v="0"/>
    <n v="89850.625589999996"/>
    <n v="-37073.347241874442"/>
    <n v="44121.038090000002"/>
    <n v="284810.60806"/>
    <n v="-11375.3256255"/>
    <n v="136071.476841258"/>
    <n v="0"/>
    <n v="0"/>
    <n v="0"/>
    <n v="41712.243157199999"/>
    <n v="0"/>
    <n v="39600"/>
    <n v="495300"/>
    <n v="52800"/>
    <n v="587700"/>
    <n v="0.17095038852361027"/>
    <n v="0.99970000000000003"/>
    <n v="0.98050000000000004"/>
    <n v="1.0158"/>
    <n v="0.96179999999999999"/>
    <n v="0.995"/>
    <n v="0.94971499999999998"/>
    <n v="0.90522587089820872"/>
    <n v="495300"/>
    <n v="37600"/>
    <n v="532900"/>
    <n v="50100"/>
    <n v="583000"/>
    <n v="0.24451191032227931"/>
    <n v="-0.32021709633649931"/>
    <n v="0.16158597330145447"/>
  </r>
  <r>
    <n v="2025"/>
    <s v="18132241072    "/>
    <n v="-1.2729656758128873"/>
    <n v="0.28000000000000003"/>
    <n v="12041"/>
    <s v="6"/>
    <s v="RES"/>
    <x v="0"/>
    <s v="11"/>
    <s v="259"/>
    <s v="RN"/>
    <s v="A"/>
    <s v="VG"/>
    <x v="7"/>
    <n v="74"/>
    <n v="51"/>
    <n v="1950"/>
    <n v="1973"/>
    <n v="1992"/>
    <m/>
    <m/>
    <n v="0"/>
    <m/>
    <m/>
    <n v="1992"/>
    <n v="2000"/>
    <n v="9"/>
    <m/>
    <m/>
    <m/>
    <m/>
    <m/>
    <m/>
    <m/>
    <n v="322271"/>
    <n v="232035"/>
    <n v="15951"/>
    <n v="423800"/>
    <n v="70100"/>
    <n v="353700"/>
    <n v="0"/>
    <n v="0"/>
    <n v="89850.625589999996"/>
    <n v="-40295.239319339329"/>
    <n v="21557.329055999999"/>
    <n v="284810.60806"/>
    <n v="-11375.3256255"/>
    <n v="98422.070394983995"/>
    <n v="0"/>
    <n v="0"/>
    <n v="0"/>
    <n v="34128.198946800003"/>
    <n v="0"/>
    <n v="16000"/>
    <n v="427500"/>
    <n v="49600"/>
    <n v="493100"/>
    <n v="0.16352052855120339"/>
    <n v="0.99970000000000003"/>
    <n v="1.0067999999999999"/>
    <n v="1.0158"/>
    <n v="1.0093000000000001"/>
    <n v="0.995"/>
    <n v="0.94971499999999998"/>
    <n v="0.97541193839630058"/>
    <n v="427500"/>
    <n v="15100"/>
    <n v="442600"/>
    <n v="47100"/>
    <n v="489700"/>
    <n v="0.25134294599943457"/>
    <n v="-0.32810271041369471"/>
    <n v="0.15549787635677206"/>
  </r>
  <r>
    <n v="2025"/>
    <s v="18132323477    "/>
    <n v="-1.6094379124341003"/>
    <n v="0.2"/>
    <n v="8915"/>
    <s v="6"/>
    <s v="RES"/>
    <x v="0"/>
    <s v="11"/>
    <s v="259"/>
    <s v="TD"/>
    <s v="F+"/>
    <s v="FR"/>
    <x v="7"/>
    <n v="74"/>
    <n v="51"/>
    <n v="1950"/>
    <n v="1973"/>
    <n v="782"/>
    <m/>
    <n v="782"/>
    <n v="782"/>
    <m/>
    <m/>
    <n v="782"/>
    <n v="1000"/>
    <n v="5"/>
    <m/>
    <m/>
    <n v="108"/>
    <m/>
    <m/>
    <m/>
    <m/>
    <n v="150937"/>
    <n v="101128"/>
    <n v="33229"/>
    <n v="241000"/>
    <n v="58400"/>
    <n v="182600"/>
    <n v="0"/>
    <n v="0"/>
    <n v="89850.625589999996"/>
    <n v="-50946.13867709865"/>
    <n v="0"/>
    <n v="133714.53821"/>
    <n v="-11375.3256255"/>
    <n v="38637.579843814005"/>
    <n v="0"/>
    <n v="0"/>
    <n v="22742.042083154"/>
    <n v="18960.110526"/>
    <n v="3595.9156498080001"/>
    <n v="33200"/>
    <n v="206300"/>
    <n v="38900"/>
    <n v="278400"/>
    <n v="0.15518672199170125"/>
    <n v="0.99970000000000003"/>
    <n v="0.99180000000000001"/>
    <n v="0.99329999999999996"/>
    <n v="1.0148999999999999"/>
    <n v="0.995"/>
    <n v="0.94971499999999998"/>
    <n v="0.94480932301456044"/>
    <n v="206300"/>
    <n v="31600"/>
    <n v="237900"/>
    <n v="36900"/>
    <n v="274800"/>
    <n v="0.30284775465498359"/>
    <n v="-0.36815068493150682"/>
    <n v="0.14024896265560166"/>
  </r>
  <r>
    <n v="2025"/>
    <s v="18132313490    "/>
    <n v="-1.8971199848858813"/>
    <n v="0.15"/>
    <n v="6719"/>
    <s v="6"/>
    <s v="RES"/>
    <x v="0"/>
    <s v="11"/>
    <s v="259"/>
    <s v="BG"/>
    <s v="A"/>
    <s v="GD"/>
    <x v="7"/>
    <n v="74"/>
    <n v="51"/>
    <n v="1950"/>
    <n v="1973"/>
    <n v="1092"/>
    <n v="394"/>
    <n v="1092"/>
    <n v="545"/>
    <n v="547"/>
    <m/>
    <n v="2033"/>
    <n v="2500"/>
    <n v="8"/>
    <m/>
    <m/>
    <n v="283"/>
    <m/>
    <m/>
    <m/>
    <m/>
    <n v="297105"/>
    <n v="210945"/>
    <n v="8767"/>
    <n v="347900"/>
    <n v="48400"/>
    <n v="299500"/>
    <n v="0"/>
    <n v="0"/>
    <n v="89850.625589999996"/>
    <n v="-60052.604136134301"/>
    <n v="21557.329055999999"/>
    <n v="197752.34721000001"/>
    <n v="-11375.3256255"/>
    <n v="53954.267505684002"/>
    <n v="17645.850607233999"/>
    <n v="0"/>
    <n v="31757.429609723997"/>
    <n v="30336.176841600001"/>
    <n v="9422.6308231080002"/>
    <n v="8800"/>
    <n v="351100"/>
    <n v="29800"/>
    <n v="389700"/>
    <n v="0.12014946823799942"/>
    <n v="0.99970000000000003"/>
    <n v="1.0067999999999999"/>
    <n v="0.99650000000000005"/>
    <n v="0.98919999999999997"/>
    <n v="0.995"/>
    <n v="0.94971499999999998"/>
    <n v="0.93782325090236773"/>
    <n v="351100"/>
    <n v="8300"/>
    <n v="359400"/>
    <n v="28300"/>
    <n v="387700"/>
    <n v="0.2"/>
    <n v="-0.41528925619834711"/>
    <n v="0.11440068985340615"/>
  </r>
  <r>
    <n v="2025"/>
    <s v="18132244435    "/>
    <n v="-1.1394342831883648"/>
    <n v="0.32"/>
    <n v="14000"/>
    <s v="6"/>
    <s v="RES"/>
    <x v="0"/>
    <s v="11"/>
    <s v="259"/>
    <s v="RN"/>
    <s v="A"/>
    <s v="AV"/>
    <x v="7"/>
    <n v="74"/>
    <n v="51"/>
    <n v="1950"/>
    <n v="1973"/>
    <n v="2000"/>
    <m/>
    <m/>
    <n v="0"/>
    <m/>
    <m/>
    <n v="2000"/>
    <n v="2500"/>
    <n v="5"/>
    <m/>
    <m/>
    <n v="881"/>
    <m/>
    <m/>
    <m/>
    <m/>
    <n v="319003"/>
    <n v="220112"/>
    <n v="0"/>
    <n v="331600"/>
    <n v="74800"/>
    <n v="256800"/>
    <n v="0"/>
    <n v="0"/>
    <n v="89850.625589999996"/>
    <n v="-36068.354396449467"/>
    <n v="21557.329055999999"/>
    <n v="160472.20319"/>
    <n v="-11375.3256255"/>
    <n v="98817.339754000001"/>
    <n v="0"/>
    <n v="0"/>
    <n v="0"/>
    <n v="18960.110526"/>
    <n v="29333.348958156002"/>
    <n v="0"/>
    <n v="317800"/>
    <n v="53800"/>
    <n v="371600"/>
    <n v="0.12062726176115803"/>
    <n v="0.99970000000000003"/>
    <n v="1.0067999999999999"/>
    <n v="0.99729999999999996"/>
    <n v="0.98919999999999997"/>
    <n v="0.995"/>
    <n v="0.94971499999999998"/>
    <n v="0.93857614463114025"/>
    <n v="317800"/>
    <n v="0"/>
    <n v="317800"/>
    <n v="51100"/>
    <n v="368900"/>
    <n v="0.23753894080996885"/>
    <n v="-0.31684491978609625"/>
    <n v="0.11248492159227985"/>
  </r>
  <r>
    <n v="2025"/>
    <s v="18132244441    "/>
    <n v="-1.4271163556401458"/>
    <n v="0.24"/>
    <n v="10500"/>
    <s v="6"/>
    <s v="RES"/>
    <x v="0"/>
    <s v="11"/>
    <s v="259"/>
    <s v="RN"/>
    <s v="A+"/>
    <s v="GD"/>
    <x v="7"/>
    <n v="74"/>
    <n v="51"/>
    <n v="1950"/>
    <n v="1973"/>
    <n v="1667"/>
    <m/>
    <n v="1662"/>
    <n v="1662"/>
    <m/>
    <m/>
    <n v="1667"/>
    <n v="2000"/>
    <n v="9"/>
    <m/>
    <m/>
    <m/>
    <m/>
    <m/>
    <m/>
    <m/>
    <n v="404629"/>
    <n v="287287"/>
    <n v="10513"/>
    <n v="389600"/>
    <n v="64800"/>
    <n v="324800"/>
    <n v="0"/>
    <n v="0"/>
    <n v="89850.625589999996"/>
    <n v="-45174.819855485119"/>
    <n v="29814.093161000001"/>
    <n v="197752.34721000001"/>
    <n v="-11375.3256255"/>
    <n v="82364.252684959007"/>
    <n v="0"/>
    <n v="0"/>
    <n v="48334.109900513999"/>
    <n v="34128.198946800003"/>
    <n v="0"/>
    <n v="10500"/>
    <n v="381000"/>
    <n v="44700"/>
    <n v="436200"/>
    <n v="0.11960985626283367"/>
    <n v="0.99970000000000003"/>
    <n v="1.0088999999999999"/>
    <n v="0.99650000000000005"/>
    <n v="1.0093000000000001"/>
    <n v="0.995"/>
    <n v="0.94971499999999998"/>
    <n v="0.9588751782051762"/>
    <n v="381000"/>
    <n v="10000"/>
    <n v="391000"/>
    <n v="42400"/>
    <n v="433400"/>
    <n v="0.20381773399014777"/>
    <n v="-0.34567901234567899"/>
    <n v="0.11242299794661191"/>
  </r>
  <r>
    <n v="2025"/>
    <s v="18132334459    "/>
    <n v="-1.7719568419318752"/>
    <n v="0.17"/>
    <m/>
    <s v="6"/>
    <s v="RES"/>
    <x v="0"/>
    <s v="11"/>
    <s v="259"/>
    <s v="TD"/>
    <s v="A"/>
    <s v="GD"/>
    <x v="7"/>
    <n v="74"/>
    <n v="51"/>
    <n v="1950"/>
    <n v="1973"/>
    <n v="1348"/>
    <m/>
    <n v="638"/>
    <n v="638"/>
    <m/>
    <m/>
    <n v="1348"/>
    <n v="1500"/>
    <n v="7"/>
    <n v="209"/>
    <m/>
    <m/>
    <m/>
    <m/>
    <m/>
    <m/>
    <n v="250663"/>
    <n v="177971"/>
    <n v="0"/>
    <n v="316300"/>
    <n v="52700"/>
    <n v="263600"/>
    <n v="0"/>
    <n v="0"/>
    <n v="89850.625589999996"/>
    <n v="-56090.612940989391"/>
    <n v="21557.329055999999"/>
    <n v="197752.34721000001"/>
    <n v="-11375.3256255"/>
    <n v="66602.886994196"/>
    <n v="0"/>
    <n v="0"/>
    <n v="18554.249167586"/>
    <n v="26544.1547364"/>
    <n v="0"/>
    <n v="0"/>
    <n v="319600"/>
    <n v="33800"/>
    <n v="353400"/>
    <n v="0.11729370850458426"/>
    <n v="0.99970000000000003"/>
    <n v="1.0067999999999999"/>
    <n v="0.99650000000000005"/>
    <n v="1.0157"/>
    <n v="0.995"/>
    <n v="0.94971499999999998"/>
    <n v="0.96294690248840986"/>
    <n v="319600"/>
    <n v="0"/>
    <n v="319600"/>
    <n v="32100"/>
    <n v="351700"/>
    <n v="0.21244309559939301"/>
    <n v="-0.39089184060721061"/>
    <n v="0.11191906417957635"/>
  </r>
  <r>
    <n v="2025"/>
    <s v="18132323505    "/>
    <n v="-1.6094379124341003"/>
    <n v="0.2"/>
    <m/>
    <s v="6"/>
    <s v="RES"/>
    <x v="0"/>
    <s v="11"/>
    <s v="400"/>
    <s v="RN"/>
    <s v="A+"/>
    <s v="GD"/>
    <x v="7"/>
    <n v="74"/>
    <n v="51"/>
    <n v="1950"/>
    <n v="1973"/>
    <n v="1452"/>
    <m/>
    <m/>
    <n v="0"/>
    <m/>
    <m/>
    <n v="1452"/>
    <n v="1500"/>
    <n v="8"/>
    <n v="231"/>
    <m/>
    <n v="299"/>
    <m/>
    <m/>
    <m/>
    <m/>
    <n v="288841"/>
    <n v="205077"/>
    <n v="0"/>
    <n v="329900"/>
    <n v="58400"/>
    <n v="271500"/>
    <n v="0"/>
    <n v="0"/>
    <n v="89850.625589999996"/>
    <n v="-50946.13867709865"/>
    <n v="29814.093161000001"/>
    <n v="197752.34721000001"/>
    <n v="-11375.3256255"/>
    <n v="71741.388661403995"/>
    <n v="0"/>
    <n v="0"/>
    <n v="0"/>
    <n v="30336.176841600001"/>
    <n v="9955.3590675240011"/>
    <n v="0"/>
    <n v="328200"/>
    <n v="38900"/>
    <n v="367100"/>
    <n v="0.11276144286147317"/>
    <n v="0.99970000000000003"/>
    <n v="1.0088999999999999"/>
    <n v="0.99650000000000005"/>
    <n v="1.0157"/>
    <n v="0.995"/>
    <n v="0.94971499999999998"/>
    <n v="0.9649554329763177"/>
    <n v="328200"/>
    <n v="0"/>
    <n v="328200"/>
    <n v="36900"/>
    <n v="365100"/>
    <n v="0.20883977900552486"/>
    <n v="-0.36815068493150682"/>
    <n v="0.10669899969687784"/>
  </r>
  <r>
    <n v="2025"/>
    <s v="18132241455    "/>
    <n v="-1.6607312068216509"/>
    <n v="0.19"/>
    <n v="8060"/>
    <s v="6"/>
    <s v="RES"/>
    <x v="0"/>
    <s v="11"/>
    <s v="259"/>
    <s v="TD"/>
    <s v="A"/>
    <s v="GD"/>
    <x v="7"/>
    <n v="74"/>
    <n v="51"/>
    <n v="1950"/>
    <n v="1973"/>
    <n v="1148"/>
    <m/>
    <n v="1198"/>
    <n v="1118"/>
    <n v="80"/>
    <m/>
    <n v="1228"/>
    <n v="1500"/>
    <n v="5"/>
    <m/>
    <m/>
    <m/>
    <m/>
    <m/>
    <m/>
    <m/>
    <n v="239914"/>
    <n v="170339"/>
    <n v="25778"/>
    <n v="342600"/>
    <n v="56600"/>
    <n v="286000"/>
    <n v="0"/>
    <n v="0"/>
    <n v="89850.625589999996"/>
    <n v="-52569.808201026557"/>
    <n v="21557.329055999999"/>
    <n v="197752.34721000001"/>
    <n v="-11375.3256255"/>
    <n v="56721.153018796002"/>
    <n v="0"/>
    <n v="0"/>
    <n v="34840.110505905999"/>
    <n v="18960.110526"/>
    <n v="0"/>
    <n v="25800"/>
    <n v="318500"/>
    <n v="37300"/>
    <n v="381600"/>
    <n v="0.11383537653239929"/>
    <n v="0.99970000000000003"/>
    <n v="1.0067999999999999"/>
    <n v="0.99650000000000005"/>
    <n v="1.0157"/>
    <n v="0.995"/>
    <n v="0.94971499999999998"/>
    <n v="0.96294690248840986"/>
    <n v="318500"/>
    <n v="24500"/>
    <n v="343000"/>
    <n v="35400"/>
    <n v="378400"/>
    <n v="0.1993006993006993"/>
    <n v="-0.37455830388692579"/>
    <n v="0.1044950379451255"/>
  </r>
  <r>
    <n v="2025"/>
    <s v="18132323485    "/>
    <n v="-1.5606477482646683"/>
    <n v="0.21"/>
    <m/>
    <s v="6"/>
    <s v="RES"/>
    <x v="0"/>
    <s v="11"/>
    <s v="259"/>
    <s v="TD"/>
    <s v="A"/>
    <s v="AV"/>
    <x v="7"/>
    <n v="74"/>
    <n v="51"/>
    <n v="1950"/>
    <n v="1973"/>
    <n v="1189"/>
    <m/>
    <n v="1145"/>
    <n v="1145"/>
    <m/>
    <m/>
    <n v="1189"/>
    <n v="1500"/>
    <n v="5"/>
    <m/>
    <m/>
    <n v="302"/>
    <m/>
    <m/>
    <m/>
    <m/>
    <n v="241774"/>
    <n v="166824"/>
    <n v="6050"/>
    <n v="304300"/>
    <n v="60100"/>
    <n v="244200"/>
    <n v="0"/>
    <n v="0"/>
    <n v="89850.625589999996"/>
    <n v="-49401.70477837498"/>
    <n v="21557.329055999999"/>
    <n v="160472.20319"/>
    <n v="-11375.3256255"/>
    <n v="58746.908483753003"/>
    <n v="0"/>
    <n v="0"/>
    <n v="33298.770057814996"/>
    <n v="18960.110526"/>
    <n v="10055.245613352001"/>
    <n v="6100"/>
    <n v="291700"/>
    <n v="40400"/>
    <n v="338200"/>
    <n v="0.11140322050607952"/>
    <n v="0.99970000000000003"/>
    <n v="1.0067999999999999"/>
    <n v="0.99729999999999996"/>
    <n v="1.0157"/>
    <n v="0.995"/>
    <n v="0.94971499999999998"/>
    <n v="0.96371996573175212"/>
    <n v="291700"/>
    <n v="5700"/>
    <n v="297400"/>
    <n v="38400"/>
    <n v="335800"/>
    <n v="0.21785421785421785"/>
    <n v="-0.36106489184692181"/>
    <n v="0.1035162668419323"/>
  </r>
  <r>
    <n v="2025"/>
    <s v="18132323415    "/>
    <n v="-1.8325814637483102"/>
    <n v="0.16"/>
    <m/>
    <s v="6"/>
    <s v="RES"/>
    <x v="0"/>
    <s v="11"/>
    <s v="259"/>
    <s v="TD"/>
    <s v="A"/>
    <s v="AV"/>
    <x v="7"/>
    <n v="74"/>
    <n v="51"/>
    <n v="1950"/>
    <n v="1973"/>
    <n v="979"/>
    <m/>
    <n v="979"/>
    <n v="489"/>
    <n v="490"/>
    <m/>
    <n v="1469"/>
    <n v="1500"/>
    <n v="7"/>
    <m/>
    <m/>
    <n v="388"/>
    <m/>
    <m/>
    <m/>
    <m/>
    <n v="240098"/>
    <n v="165668"/>
    <n v="0"/>
    <n v="288300"/>
    <n v="50600"/>
    <n v="237700"/>
    <n v="0"/>
    <n v="0"/>
    <n v="89850.625589999996"/>
    <n v="-58009.662049032086"/>
    <n v="21557.329055999999"/>
    <n v="160472.20319"/>
    <n v="-11375.3256255"/>
    <n v="48371.087809582998"/>
    <n v="0"/>
    <n v="0"/>
    <n v="28471.175446812998"/>
    <n v="26544.1547364"/>
    <n v="12918.659927088001"/>
    <n v="0"/>
    <n v="287000"/>
    <n v="31800"/>
    <n v="318800"/>
    <n v="0.1057925771765522"/>
    <n v="0.99970000000000003"/>
    <n v="1.0067999999999999"/>
    <n v="0.99729999999999996"/>
    <n v="1.0157"/>
    <n v="0.995"/>
    <n v="0.94971499999999998"/>
    <n v="0.96371996573175212"/>
    <n v="287000"/>
    <n v="0"/>
    <n v="287000"/>
    <n v="30200"/>
    <n v="317200"/>
    <n v="0.20740429112326461"/>
    <n v="-0.40316205533596838"/>
    <n v="0.10024280263614291"/>
  </r>
  <r>
    <n v="2025"/>
    <s v="18132213001    "/>
    <n v="-1.7147984280919266"/>
    <n v="0.18"/>
    <n v="7968"/>
    <s v="6"/>
    <s v="RES"/>
    <x v="0"/>
    <s v="11"/>
    <s v="259"/>
    <s v="TD"/>
    <s v="A"/>
    <s v="GD"/>
    <x v="7"/>
    <n v="74"/>
    <n v="51"/>
    <n v="1950"/>
    <n v="1973"/>
    <n v="1016"/>
    <m/>
    <m/>
    <n v="0"/>
    <m/>
    <m/>
    <n v="1016"/>
    <n v="1500"/>
    <n v="5"/>
    <n v="200"/>
    <m/>
    <m/>
    <m/>
    <m/>
    <m/>
    <m/>
    <n v="180794"/>
    <n v="128364"/>
    <n v="0"/>
    <n v="283100"/>
    <n v="54700"/>
    <n v="228400"/>
    <n v="0"/>
    <n v="0"/>
    <n v="89850.625589999996"/>
    <n v="-54281.285314520763"/>
    <n v="21557.329055999999"/>
    <n v="197752.34721000001"/>
    <n v="-11375.3256255"/>
    <n v="50199.208595032003"/>
    <n v="0"/>
    <n v="0"/>
    <n v="0"/>
    <n v="18960.110526"/>
    <n v="0"/>
    <n v="0"/>
    <n v="277100"/>
    <n v="35600"/>
    <n v="312700"/>
    <n v="0.10455669374779231"/>
    <n v="0.99970000000000003"/>
    <n v="1.0067999999999999"/>
    <n v="0.99650000000000005"/>
    <n v="1.0157"/>
    <n v="0.995"/>
    <n v="0.94971499999999998"/>
    <n v="0.96294690248840986"/>
    <n v="277100"/>
    <n v="0"/>
    <n v="277100"/>
    <n v="33800"/>
    <n v="310900"/>
    <n v="0.21322241681260945"/>
    <n v="-0.38208409506398539"/>
    <n v="9.8198516425291413E-2"/>
  </r>
  <r>
    <n v="2025"/>
    <s v="18132324435    "/>
    <n v="-1.5606477482646683"/>
    <n v="0.21"/>
    <m/>
    <s v="6"/>
    <s v="RES"/>
    <x v="0"/>
    <s v="11"/>
    <s v="259"/>
    <s v="RN"/>
    <s v="G"/>
    <s v="GD"/>
    <x v="7"/>
    <n v="74"/>
    <n v="51"/>
    <n v="1950"/>
    <n v="1973"/>
    <n v="2140"/>
    <m/>
    <m/>
    <n v="0"/>
    <m/>
    <m/>
    <n v="2140"/>
    <n v="2500"/>
    <n v="8"/>
    <m/>
    <m/>
    <n v="261"/>
    <m/>
    <m/>
    <m/>
    <m/>
    <n v="456948"/>
    <n v="324433"/>
    <n v="35992"/>
    <n v="408600"/>
    <n v="60100"/>
    <n v="348500"/>
    <n v="0"/>
    <n v="0"/>
    <n v="89850.625589999996"/>
    <n v="-49401.70477837498"/>
    <n v="44121.038090000002"/>
    <n v="197752.34721000001"/>
    <n v="-11375.3256255"/>
    <n v="105734.55353678"/>
    <n v="0"/>
    <n v="0"/>
    <n v="0"/>
    <n v="30336.176841600001"/>
    <n v="8690.1294870360016"/>
    <n v="36000"/>
    <n v="375300"/>
    <n v="40400"/>
    <n v="451700"/>
    <n v="0.10548213411649535"/>
    <n v="0.99970000000000003"/>
    <n v="0.98050000000000004"/>
    <n v="0.99650000000000005"/>
    <n v="0.98919999999999997"/>
    <n v="0.995"/>
    <n v="0.94971499999999998"/>
    <n v="0.91332508691872449"/>
    <n v="375300"/>
    <n v="34200"/>
    <n v="409500"/>
    <n v="38400"/>
    <n v="447900"/>
    <n v="0.17503586800573889"/>
    <n v="-0.36106489184692181"/>
    <n v="9.6182085168869308E-2"/>
  </r>
  <r>
    <n v="2025"/>
    <s v="18132244455    "/>
    <n v="-1.8325814637483102"/>
    <n v="0.16"/>
    <n v="7000"/>
    <s v="6"/>
    <s v="RES"/>
    <x v="0"/>
    <s v="11"/>
    <s v="259"/>
    <s v="TD"/>
    <s v="A"/>
    <s v="FR"/>
    <x v="7"/>
    <n v="74"/>
    <n v="51"/>
    <n v="1950"/>
    <n v="1973"/>
    <n v="864"/>
    <m/>
    <n v="336"/>
    <n v="336"/>
    <m/>
    <m/>
    <n v="864"/>
    <n v="1000"/>
    <n v="5"/>
    <n v="308"/>
    <m/>
    <m/>
    <m/>
    <m/>
    <m/>
    <m/>
    <n v="187210"/>
    <n v="125431"/>
    <n v="0"/>
    <n v="224200"/>
    <n v="50600"/>
    <n v="173600"/>
    <n v="0"/>
    <n v="0"/>
    <n v="89850.625589999996"/>
    <n v="-58009.662049032086"/>
    <n v="21557.329055999999"/>
    <n v="133714.53821"/>
    <n v="-11375.3256255"/>
    <n v="42689.090773727999"/>
    <n v="0"/>
    <n v="0"/>
    <n v="9771.5168029919987"/>
    <n v="18960.110526"/>
    <n v="0"/>
    <n v="0"/>
    <n v="215300"/>
    <n v="31800"/>
    <n v="247100"/>
    <n v="0.10214094558429973"/>
    <n v="0.99970000000000003"/>
    <n v="1.0067999999999999"/>
    <n v="0.99329999999999996"/>
    <n v="1.0148999999999999"/>
    <n v="0.995"/>
    <n v="0.94971499999999998"/>
    <n v="0.95909863521986205"/>
    <n v="215300"/>
    <n v="0"/>
    <n v="215300"/>
    <n v="30200"/>
    <n v="245500"/>
    <n v="0.2402073732718894"/>
    <n v="-0.40316205533596838"/>
    <n v="9.500446030330062E-2"/>
  </r>
  <r>
    <n v="2025"/>
    <s v="18132244038    "/>
    <n v="-1.6607312068216509"/>
    <n v="0.19"/>
    <n v="8100"/>
    <s v="6"/>
    <s v="RES"/>
    <x v="0"/>
    <s v="11"/>
    <s v="259"/>
    <s v="RN"/>
    <s v="A+"/>
    <s v="GD"/>
    <x v="7"/>
    <n v="74"/>
    <n v="51"/>
    <n v="1950"/>
    <n v="1973"/>
    <n v="1915"/>
    <m/>
    <m/>
    <n v="0"/>
    <m/>
    <m/>
    <n v="1915"/>
    <n v="2000"/>
    <n v="10"/>
    <n v="264"/>
    <m/>
    <n v="287"/>
    <m/>
    <m/>
    <m/>
    <m/>
    <n v="368822"/>
    <n v="261864"/>
    <n v="0"/>
    <n v="359800"/>
    <n v="56600"/>
    <n v="303200"/>
    <n v="0"/>
    <n v="0"/>
    <n v="89850.625589999996"/>
    <n v="-52569.808201026557"/>
    <n v="29814.093161000001"/>
    <n v="197752.34721000001"/>
    <n v="-11375.3256255"/>
    <n v="94617.602814455007"/>
    <n v="0"/>
    <n v="0"/>
    <n v="0"/>
    <n v="37920.221052000001"/>
    <n v="9555.8128842120004"/>
    <n v="0"/>
    <n v="358300"/>
    <n v="37300"/>
    <n v="395600"/>
    <n v="9.9499722067815446E-2"/>
    <n v="0.99970000000000003"/>
    <n v="1.0088999999999999"/>
    <n v="0.99650000000000005"/>
    <n v="1.0093000000000001"/>
    <n v="0.995"/>
    <n v="0.94971499999999998"/>
    <n v="0.9588751782051762"/>
    <n v="358300"/>
    <n v="0"/>
    <n v="358300"/>
    <n v="35400"/>
    <n v="393700"/>
    <n v="0.18172823218997361"/>
    <n v="-0.37455830388692579"/>
    <n v="9.4219010561423011E-2"/>
  </r>
  <r>
    <n v="2025"/>
    <s v="18132214501    "/>
    <n v="-1.3862943611198906"/>
    <n v="0.25"/>
    <n v="10799"/>
    <s v="6"/>
    <s v="RES"/>
    <x v="0"/>
    <s v="11"/>
    <s v="259"/>
    <s v="RN"/>
    <s v="G"/>
    <s v="GD"/>
    <x v="7"/>
    <n v="74"/>
    <n v="51"/>
    <n v="1950"/>
    <n v="1973"/>
    <n v="1931"/>
    <m/>
    <m/>
    <n v="0"/>
    <m/>
    <m/>
    <n v="1931"/>
    <n v="2000"/>
    <n v="9"/>
    <n v="440"/>
    <m/>
    <n v="294"/>
    <m/>
    <m/>
    <m/>
    <m/>
    <n v="486874"/>
    <n v="345681"/>
    <n v="0"/>
    <n v="378300"/>
    <n v="66200"/>
    <n v="312100"/>
    <n v="0"/>
    <n v="0"/>
    <n v="89850.625589999996"/>
    <n v="-43882.615305165229"/>
    <n v="44121.038090000002"/>
    <n v="197752.34721000001"/>
    <n v="-11375.3256255"/>
    <n v="95408.141532487003"/>
    <n v="0"/>
    <n v="0"/>
    <n v="0"/>
    <n v="34128.198946800003"/>
    <n v="9788.8814911440004"/>
    <n v="0"/>
    <n v="369800"/>
    <n v="46000"/>
    <n v="415800"/>
    <n v="9.9127676447264071E-2"/>
    <n v="0.99970000000000003"/>
    <n v="0.98050000000000004"/>
    <n v="0.99650000000000005"/>
    <n v="1.0093000000000001"/>
    <n v="0.995"/>
    <n v="0.94971499999999998"/>
    <n v="0.93188335041151293"/>
    <n v="369800"/>
    <n v="0"/>
    <n v="369800"/>
    <n v="43700"/>
    <n v="413500"/>
    <n v="0.18487664210189042"/>
    <n v="-0.33987915407854985"/>
    <n v="9.3047845625165215E-2"/>
  </r>
  <r>
    <n v="2025"/>
    <s v="18132241460    "/>
    <n v="-1.6607312068216509"/>
    <n v="0.19"/>
    <n v="8060"/>
    <s v="6"/>
    <s v="RES"/>
    <x v="0"/>
    <s v="11"/>
    <s v="259"/>
    <s v="RN"/>
    <s v="A"/>
    <s v="GD"/>
    <x v="7"/>
    <n v="74"/>
    <n v="51"/>
    <n v="1950"/>
    <n v="1973"/>
    <n v="1224"/>
    <m/>
    <n v="1009"/>
    <n v="202"/>
    <n v="807"/>
    <m/>
    <n v="2031"/>
    <n v="2500"/>
    <n v="7"/>
    <n v="242"/>
    <m/>
    <n v="288"/>
    <m/>
    <m/>
    <m/>
    <m/>
    <n v="297733"/>
    <n v="211390"/>
    <n v="0"/>
    <n v="338800"/>
    <n v="56600"/>
    <n v="282200"/>
    <n v="0"/>
    <n v="0"/>
    <n v="89850.625589999996"/>
    <n v="-52569.808201026557"/>
    <n v="21557.329055999999"/>
    <n v="197752.34721000001"/>
    <n v="-11375.3256255"/>
    <n v="60476.211929448"/>
    <n v="0"/>
    <n v="0"/>
    <n v="29343.632304223"/>
    <n v="26544.1547364"/>
    <n v="9589.1083994880009"/>
    <n v="0"/>
    <n v="333900"/>
    <n v="37300"/>
    <n v="371200"/>
    <n v="9.5631641086186547E-2"/>
    <n v="0.99970000000000003"/>
    <n v="1.0067999999999999"/>
    <n v="0.99650000000000005"/>
    <n v="0.98919999999999997"/>
    <n v="0.995"/>
    <n v="0.94971499999999998"/>
    <n v="0.93782325090236773"/>
    <n v="333900"/>
    <n v="0"/>
    <n v="333900"/>
    <n v="35400"/>
    <n v="369300"/>
    <n v="0.18320340184266479"/>
    <n v="-0.37455830388692579"/>
    <n v="9.0023612750885482E-2"/>
  </r>
  <r>
    <n v="2025"/>
    <s v="18132323411    "/>
    <n v="-1.5141277326297755"/>
    <n v="0.22"/>
    <m/>
    <s v="6"/>
    <s v="RES"/>
    <x v="0"/>
    <s v="11"/>
    <s v="259"/>
    <s v="RN"/>
    <s v="G"/>
    <s v="GD"/>
    <x v="7"/>
    <n v="74"/>
    <n v="51"/>
    <n v="1950"/>
    <n v="1973"/>
    <n v="1520"/>
    <m/>
    <n v="1455"/>
    <n v="409"/>
    <n v="1046"/>
    <m/>
    <n v="2566"/>
    <n v="3000"/>
    <n v="8"/>
    <m/>
    <m/>
    <n v="312"/>
    <m/>
    <m/>
    <m/>
    <m/>
    <n v="495498"/>
    <n v="351804"/>
    <n v="0"/>
    <n v="393400"/>
    <n v="61700"/>
    <n v="331700"/>
    <n v="0"/>
    <n v="0"/>
    <n v="89850.625589999996"/>
    <n v="-47929.131559187132"/>
    <n v="44121.038090000002"/>
    <n v="197752.34721000001"/>
    <n v="-11375.3256255"/>
    <n v="75101.178213039995"/>
    <n v="0"/>
    <n v="0"/>
    <n v="42314.157584385001"/>
    <n v="30336.176841600001"/>
    <n v="10388.200766112001"/>
    <n v="0"/>
    <n v="388600"/>
    <n v="41900"/>
    <n v="430500"/>
    <n v="9.4306049822064059E-2"/>
    <n v="0.99970000000000003"/>
    <n v="0.98050000000000004"/>
    <n v="0.99650000000000005"/>
    <n v="0.96179999999999999"/>
    <n v="0.995"/>
    <n v="0.94971499999999998"/>
    <n v="0.88802675758029637"/>
    <n v="388600"/>
    <n v="0"/>
    <n v="388600"/>
    <n v="39800"/>
    <n v="428400"/>
    <n v="0.17154054868857402"/>
    <n v="-0.35494327390599678"/>
    <n v="8.8967971530249115E-2"/>
  </r>
  <r>
    <n v="2025"/>
    <s v="18132323521    "/>
    <n v="-1.7147984280919266"/>
    <n v="0.18"/>
    <m/>
    <s v="6"/>
    <s v="RES"/>
    <x v="0"/>
    <s v="11"/>
    <s v="259"/>
    <s v="RN"/>
    <s v="A"/>
    <s v="AV"/>
    <x v="7"/>
    <n v="74"/>
    <n v="51"/>
    <n v="1950"/>
    <n v="1973"/>
    <n v="966"/>
    <m/>
    <n v="966"/>
    <n v="676"/>
    <n v="290"/>
    <m/>
    <n v="1256"/>
    <n v="1500"/>
    <n v="7"/>
    <n v="264"/>
    <m/>
    <n v="168"/>
    <m/>
    <m/>
    <m/>
    <m/>
    <n v="236480"/>
    <n v="163171"/>
    <n v="0"/>
    <n v="287300"/>
    <n v="54700"/>
    <n v="232600"/>
    <n v="0"/>
    <n v="0"/>
    <n v="89850.625589999996"/>
    <n v="-54281.285314520763"/>
    <n v="21557.329055999999"/>
    <n v="160472.20319"/>
    <n v="-11375.3256255"/>
    <n v="47728.775101182"/>
    <n v="0"/>
    <n v="0"/>
    <n v="28093.110808601999"/>
    <n v="26544.1547364"/>
    <n v="5593.646566368001"/>
    <n v="0"/>
    <n v="278600"/>
    <n v="35600"/>
    <n v="314200"/>
    <n v="9.363035154890359E-2"/>
    <n v="0.99970000000000003"/>
    <n v="1.0067999999999999"/>
    <n v="0.99729999999999996"/>
    <n v="1.0157"/>
    <n v="0.995"/>
    <n v="0.94971499999999998"/>
    <n v="0.96371996573175212"/>
    <n v="278600"/>
    <n v="0"/>
    <n v="278600"/>
    <n v="33800"/>
    <n v="312400"/>
    <n v="0.19776440240756663"/>
    <n v="-0.38208409506398539"/>
    <n v="8.7365123564218591E-2"/>
  </r>
  <r>
    <n v="2025"/>
    <s v="18132313474    "/>
    <n v="-1.7719568419318752"/>
    <n v="0.17"/>
    <n v="7370"/>
    <s v="6"/>
    <s v="RES"/>
    <x v="0"/>
    <s v="11"/>
    <s v="259"/>
    <s v="RN"/>
    <s v="G"/>
    <s v="AV"/>
    <x v="7"/>
    <n v="74"/>
    <n v="51"/>
    <n v="1950"/>
    <n v="1973"/>
    <n v="1053"/>
    <m/>
    <n v="819"/>
    <n v="819"/>
    <m/>
    <m/>
    <n v="1053"/>
    <n v="1500"/>
    <n v="5"/>
    <n v="231"/>
    <m/>
    <m/>
    <m/>
    <m/>
    <m/>
    <m/>
    <n v="321514"/>
    <n v="221845"/>
    <n v="0"/>
    <n v="294500"/>
    <n v="52700"/>
    <n v="241800"/>
    <n v="0"/>
    <n v="0"/>
    <n v="89850.625589999996"/>
    <n v="-56090.612940989391"/>
    <n v="44121.038090000002"/>
    <n v="160472.20319"/>
    <n v="-11375.3256255"/>
    <n v="52027.329380481002"/>
    <n v="0"/>
    <n v="0"/>
    <n v="23818.072207293"/>
    <n v="18960.110526"/>
    <n v="0"/>
    <n v="0"/>
    <n v="288000"/>
    <n v="33800"/>
    <n v="321800"/>
    <n v="9.2699490662139214E-2"/>
    <n v="0.99970000000000003"/>
    <n v="0.98050000000000004"/>
    <n v="0.99729999999999996"/>
    <n v="1.0157"/>
    <n v="0.995"/>
    <n v="0.94971499999999998"/>
    <n v="0.93854531823597842"/>
    <n v="288000"/>
    <n v="0"/>
    <n v="288000"/>
    <n v="32100"/>
    <n v="320100"/>
    <n v="0.19106699751861042"/>
    <n v="-0.39089184060721061"/>
    <n v="8.6926994906621396E-2"/>
  </r>
  <r>
    <n v="2025"/>
    <s v="18132322418    "/>
    <n v="-1.4271163556401458"/>
    <n v="0.24"/>
    <m/>
    <s v="6"/>
    <s v="RES"/>
    <x v="0"/>
    <s v="11"/>
    <s v="259"/>
    <s v="RN"/>
    <s v="A"/>
    <s v="GD"/>
    <x v="7"/>
    <n v="74"/>
    <n v="51"/>
    <n v="1950"/>
    <n v="1973"/>
    <n v="1826"/>
    <m/>
    <m/>
    <n v="0"/>
    <m/>
    <m/>
    <n v="1826"/>
    <n v="2000"/>
    <n v="8"/>
    <n v="380"/>
    <m/>
    <n v="162"/>
    <m/>
    <m/>
    <m/>
    <m/>
    <n v="292448"/>
    <n v="207638"/>
    <n v="0"/>
    <n v="346300"/>
    <n v="64800"/>
    <n v="281500"/>
    <n v="0"/>
    <n v="0"/>
    <n v="89850.625589999996"/>
    <n v="-45174.819855485119"/>
    <n v="21557.329055999999"/>
    <n v="197752.34721000001"/>
    <n v="-11375.3256255"/>
    <n v="90220.231195401997"/>
    <n v="0"/>
    <n v="0"/>
    <n v="0"/>
    <n v="30336.176841600001"/>
    <n v="5393.8734747120006"/>
    <n v="0"/>
    <n v="333900"/>
    <n v="44700"/>
    <n v="378600"/>
    <n v="9.3271729714120705E-2"/>
    <n v="0.99970000000000003"/>
    <n v="1.0067999999999999"/>
    <n v="0.99650000000000005"/>
    <n v="1.0093000000000001"/>
    <n v="0.995"/>
    <n v="0.94971499999999998"/>
    <n v="0.95687930361479956"/>
    <n v="333900"/>
    <n v="0"/>
    <n v="333900"/>
    <n v="42400"/>
    <n v="376300"/>
    <n v="0.18614564831261102"/>
    <n v="-0.34567901234567899"/>
    <n v="8.6630089517759162E-2"/>
  </r>
  <r>
    <n v="2025"/>
    <s v="18132323413    "/>
    <n v="-1.5141277326297755"/>
    <n v="0.22"/>
    <m/>
    <s v="6"/>
    <s v="RES"/>
    <x v="0"/>
    <s v="11"/>
    <s v="259"/>
    <s v="RN"/>
    <s v="A"/>
    <s v="GD"/>
    <x v="7"/>
    <n v="74"/>
    <n v="51"/>
    <n v="1950"/>
    <n v="1973"/>
    <n v="1301"/>
    <m/>
    <n v="898"/>
    <n v="0"/>
    <n v="898"/>
    <m/>
    <n v="2199"/>
    <n v="2500"/>
    <n v="5"/>
    <m/>
    <n v="403"/>
    <n v="360"/>
    <m/>
    <m/>
    <m/>
    <m/>
    <n v="307139"/>
    <n v="218069"/>
    <n v="0"/>
    <n v="340400"/>
    <n v="61700"/>
    <n v="278700"/>
    <n v="0"/>
    <n v="0"/>
    <n v="89850.625589999996"/>
    <n v="-47929.131559187132"/>
    <n v="21557.329055999999"/>
    <n v="197752.34721000001"/>
    <n v="-11375.3256255"/>
    <n v="64280.679509977002"/>
    <n v="0"/>
    <n v="0"/>
    <n v="26115.541931805998"/>
    <n v="18960.110526"/>
    <n v="11986.385499360002"/>
    <n v="0"/>
    <n v="329300"/>
    <n v="41900"/>
    <n v="371200"/>
    <n v="9.0481786133960046E-2"/>
    <n v="0.99970000000000003"/>
    <n v="1.0067999999999999"/>
    <n v="0.99650000000000005"/>
    <n v="0.98919999999999997"/>
    <n v="0.995"/>
    <n v="0.94971499999999998"/>
    <n v="0.93782325090236773"/>
    <n v="329300"/>
    <n v="0"/>
    <n v="329300"/>
    <n v="39800"/>
    <n v="369100"/>
    <n v="0.18155722999641191"/>
    <n v="-0.35494327390599678"/>
    <n v="8.4312573443008229E-2"/>
  </r>
  <r>
    <n v="2025"/>
    <s v="18132334451    "/>
    <n v="-1.5606477482646683"/>
    <n v="0.21"/>
    <m/>
    <s v="6"/>
    <s v="RES"/>
    <x v="0"/>
    <s v="11"/>
    <s v="259"/>
    <s v="RN"/>
    <s v="A+"/>
    <s v="GD"/>
    <x v="7"/>
    <n v="74"/>
    <n v="51"/>
    <n v="1950"/>
    <n v="1973"/>
    <n v="1557"/>
    <m/>
    <m/>
    <n v="0"/>
    <m/>
    <m/>
    <n v="1557"/>
    <n v="2000"/>
    <n v="5"/>
    <m/>
    <m/>
    <m/>
    <m/>
    <m/>
    <m/>
    <m/>
    <n v="272006"/>
    <n v="193124"/>
    <n v="0"/>
    <n v="323400"/>
    <n v="60100"/>
    <n v="263300"/>
    <n v="0"/>
    <n v="0"/>
    <n v="89850.625589999996"/>
    <n v="-49401.70477837498"/>
    <n v="29814.093161000001"/>
    <n v="197752.34721000001"/>
    <n v="-11375.3256255"/>
    <n v="76929.298998489001"/>
    <n v="0"/>
    <n v="0"/>
    <n v="0"/>
    <n v="18960.110526"/>
    <n v="0"/>
    <n v="0"/>
    <n v="312100"/>
    <n v="40400"/>
    <n v="352500"/>
    <n v="8.9981447124304267E-2"/>
    <n v="0.99970000000000003"/>
    <n v="1.0088999999999999"/>
    <n v="0.99650000000000005"/>
    <n v="1.0093000000000001"/>
    <n v="0.995"/>
    <n v="0.94971499999999998"/>
    <n v="0.9588751782051762"/>
    <n v="312100"/>
    <n v="0"/>
    <n v="312100"/>
    <n v="38400"/>
    <n v="350500"/>
    <n v="0.18533991644511963"/>
    <n v="-0.36106489184692181"/>
    <n v="8.3797155225726658E-2"/>
  </r>
  <r>
    <n v="2025"/>
    <s v="18132324509    "/>
    <n v="-1.5606477482646683"/>
    <n v="0.21"/>
    <n v="9310"/>
    <s v="6"/>
    <s v="RES"/>
    <x v="0"/>
    <s v="11"/>
    <s v="259"/>
    <s v="RN"/>
    <s v="G"/>
    <s v="GD"/>
    <x v="7"/>
    <n v="74"/>
    <n v="51"/>
    <n v="1950"/>
    <n v="1973"/>
    <n v="1363"/>
    <m/>
    <n v="1363"/>
    <n v="681"/>
    <n v="682"/>
    <m/>
    <n v="2045"/>
    <n v="2500"/>
    <n v="8"/>
    <n v="312"/>
    <m/>
    <m/>
    <m/>
    <m/>
    <m/>
    <m/>
    <n v="431551"/>
    <n v="306401"/>
    <n v="0"/>
    <n v="374900"/>
    <n v="60100"/>
    <n v="314800"/>
    <n v="0"/>
    <n v="0"/>
    <n v="89850.625589999996"/>
    <n v="-49401.70477837498"/>
    <n v="44121.038090000002"/>
    <n v="197752.34721000001"/>
    <n v="-11375.3256255"/>
    <n v="67344.017042350999"/>
    <n v="0"/>
    <n v="0"/>
    <n v="39638.623221661001"/>
    <n v="30336.176841600001"/>
    <n v="0"/>
    <n v="0"/>
    <n v="367800"/>
    <n v="40400"/>
    <n v="408200"/>
    <n v="8.8823686316351028E-2"/>
    <n v="0.99970000000000003"/>
    <n v="0.98050000000000004"/>
    <n v="0.99650000000000005"/>
    <n v="0.98919999999999997"/>
    <n v="0.995"/>
    <n v="0.94971499999999998"/>
    <n v="0.91332508691872449"/>
    <n v="367800"/>
    <n v="0"/>
    <n v="367800"/>
    <n v="38400"/>
    <n v="406200"/>
    <n v="0.16836086404066072"/>
    <n v="-0.36106489184692181"/>
    <n v="8.3488930381435053E-2"/>
  </r>
  <r>
    <n v="2025"/>
    <s v="18132323448    "/>
    <n v="-1.8325814637483102"/>
    <n v="0.16"/>
    <m/>
    <s v="6"/>
    <s v="RES"/>
    <x v="0"/>
    <s v="11"/>
    <s v="259"/>
    <s v="TD"/>
    <s v="A"/>
    <s v="GD"/>
    <x v="7"/>
    <n v="74"/>
    <n v="51"/>
    <n v="1950"/>
    <n v="1973"/>
    <n v="1320"/>
    <m/>
    <m/>
    <n v="0"/>
    <m/>
    <m/>
    <n v="1320"/>
    <n v="1500"/>
    <n v="9"/>
    <m/>
    <m/>
    <m/>
    <m/>
    <m/>
    <m/>
    <m/>
    <n v="223330"/>
    <n v="158564"/>
    <n v="6050"/>
    <n v="317400"/>
    <n v="50600"/>
    <n v="266800"/>
    <n v="0"/>
    <n v="0"/>
    <n v="89850.625589999996"/>
    <n v="-58009.662049032086"/>
    <n v="21557.329055999999"/>
    <n v="197752.34721000001"/>
    <n v="-11375.3256255"/>
    <n v="65219.444237640004"/>
    <n v="0"/>
    <n v="0"/>
    <n v="0"/>
    <n v="34128.198946800003"/>
    <n v="0"/>
    <n v="6100"/>
    <n v="307300"/>
    <n v="31800"/>
    <n v="345200"/>
    <n v="8.7586641461877751E-2"/>
    <n v="0.99970000000000003"/>
    <n v="1.0067999999999999"/>
    <n v="0.99650000000000005"/>
    <n v="1.0157"/>
    <n v="0.995"/>
    <n v="0.94971499999999998"/>
    <n v="0.96294690248840986"/>
    <n v="307300"/>
    <n v="5700"/>
    <n v="313000"/>
    <n v="30200"/>
    <n v="343200"/>
    <n v="0.17316341829085458"/>
    <n v="-0.40316205533596838"/>
    <n v="8.1285444234404536E-2"/>
  </r>
  <r>
    <n v="2025"/>
    <s v="18132332455    "/>
    <n v="-1.8325814637483102"/>
    <n v="0.16"/>
    <n v="6825"/>
    <s v="6"/>
    <s v="RES"/>
    <x v="0"/>
    <s v="11"/>
    <s v="259"/>
    <s v="RN"/>
    <s v="A"/>
    <s v="GD"/>
    <x v="7"/>
    <n v="74"/>
    <n v="51"/>
    <n v="1950"/>
    <n v="1973"/>
    <n v="1417"/>
    <m/>
    <m/>
    <n v="0"/>
    <m/>
    <m/>
    <n v="1417"/>
    <n v="1500"/>
    <n v="8"/>
    <n v="336"/>
    <m/>
    <m/>
    <m/>
    <m/>
    <m/>
    <m/>
    <n v="253023"/>
    <n v="179646"/>
    <n v="0"/>
    <n v="313100"/>
    <n v="50600"/>
    <n v="262500"/>
    <n v="0"/>
    <n v="0"/>
    <n v="89850.625589999996"/>
    <n v="-58009.662049032086"/>
    <n v="21557.329055999999"/>
    <n v="197752.34721000001"/>
    <n v="-11375.3256255"/>
    <n v="70012.085215708998"/>
    <n v="0"/>
    <n v="0"/>
    <n v="0"/>
    <n v="30336.176841600001"/>
    <n v="0"/>
    <n v="0"/>
    <n v="308300"/>
    <n v="31800"/>
    <n v="340100"/>
    <n v="8.6234429894602366E-2"/>
    <n v="0.99970000000000003"/>
    <n v="1.0067999999999999"/>
    <n v="0.99650000000000005"/>
    <n v="1.0157"/>
    <n v="0.995"/>
    <n v="0.94971499999999998"/>
    <n v="0.96294690248840986"/>
    <n v="308300"/>
    <n v="0"/>
    <n v="308300"/>
    <n v="30200"/>
    <n v="338500"/>
    <n v="0.17447619047619048"/>
    <n v="-0.40316205533596838"/>
    <n v="8.1124241456403706E-2"/>
  </r>
  <r>
    <n v="2025"/>
    <s v="18132241058    "/>
    <n v="-1.8325814637483102"/>
    <n v="0.16"/>
    <n v="6921"/>
    <s v="6"/>
    <s v="RES"/>
    <x v="0"/>
    <s v="11"/>
    <s v="259"/>
    <s v="BG"/>
    <s v="A"/>
    <s v="GD"/>
    <x v="7"/>
    <n v="74"/>
    <n v="51"/>
    <n v="1950"/>
    <n v="1973"/>
    <n v="981"/>
    <m/>
    <n v="306"/>
    <n v="0"/>
    <n v="306"/>
    <m/>
    <n v="1287"/>
    <n v="1500"/>
    <n v="8"/>
    <n v="228"/>
    <m/>
    <m/>
    <m/>
    <m/>
    <m/>
    <m/>
    <n v="223596"/>
    <n v="158753"/>
    <n v="0"/>
    <n v="301600"/>
    <n v="50600"/>
    <n v="251000"/>
    <n v="0"/>
    <n v="0"/>
    <n v="89850.625589999996"/>
    <n v="-58009.662049032086"/>
    <n v="21557.329055999999"/>
    <n v="197752.34721000001"/>
    <n v="-11375.3256255"/>
    <n v="48469.905149336999"/>
    <n v="0"/>
    <n v="0"/>
    <n v="8899.0599455819993"/>
    <n v="30336.176841600001"/>
    <n v="0"/>
    <n v="0"/>
    <n v="295600"/>
    <n v="31800"/>
    <n v="327400"/>
    <n v="8.5543766578249331E-2"/>
    <n v="0.99970000000000003"/>
    <n v="1.0067999999999999"/>
    <n v="0.99650000000000005"/>
    <n v="1.0157"/>
    <n v="0.995"/>
    <n v="0.94971499999999998"/>
    <n v="0.96294690248840986"/>
    <n v="295600"/>
    <n v="0"/>
    <n v="295600"/>
    <n v="30200"/>
    <n v="325800"/>
    <n v="0.17768924302788844"/>
    <n v="-0.40316205533596838"/>
    <n v="8.0238726790450923E-2"/>
  </r>
  <r>
    <n v="2025"/>
    <s v="18132241034    "/>
    <n v="-1.5141277326297755"/>
    <n v="0.22"/>
    <n v="9522"/>
    <s v="6"/>
    <s v="RES"/>
    <x v="0"/>
    <s v="11"/>
    <s v="259"/>
    <s v="BG"/>
    <s v="A+"/>
    <s v="GD"/>
    <x v="7"/>
    <n v="74"/>
    <n v="51"/>
    <n v="1950"/>
    <n v="1973"/>
    <n v="1720"/>
    <m/>
    <n v="645"/>
    <n v="0"/>
    <n v="645"/>
    <m/>
    <n v="2365"/>
    <n v="2500"/>
    <n v="8"/>
    <m/>
    <n v="400"/>
    <n v="288"/>
    <m/>
    <m/>
    <m/>
    <m/>
    <n v="397990"/>
    <n v="282573"/>
    <n v="0"/>
    <n v="370100"/>
    <n v="61700"/>
    <n v="308400"/>
    <n v="0"/>
    <n v="0"/>
    <n v="89850.625589999996"/>
    <n v="-47929.131559187132"/>
    <n v="29814.093161000001"/>
    <n v="197752.34721000001"/>
    <n v="-11375.3256255"/>
    <n v="84982.912188440008"/>
    <n v="0"/>
    <n v="0"/>
    <n v="18757.822434315"/>
    <n v="30336.176841600001"/>
    <n v="9589.1083994880009"/>
    <n v="0"/>
    <n v="359900"/>
    <n v="41900"/>
    <n v="401800"/>
    <n v="8.5652526344231289E-2"/>
    <n v="0.99970000000000003"/>
    <n v="1.0088999999999999"/>
    <n v="0.99650000000000005"/>
    <n v="0.98919999999999997"/>
    <n v="0.995"/>
    <n v="0.94971499999999998"/>
    <n v="0.93977937806455991"/>
    <n v="359900"/>
    <n v="0"/>
    <n v="359900"/>
    <n v="39800"/>
    <n v="399700"/>
    <n v="0.16699092088197146"/>
    <n v="-0.35494327390599678"/>
    <n v="7.9978384220480953E-2"/>
  </r>
  <r>
    <n v="2025"/>
    <s v="18132323502    "/>
    <n v="-1.7147984280919266"/>
    <n v="0.18"/>
    <n v="8047"/>
    <s v="6"/>
    <s v="RES"/>
    <x v="0"/>
    <s v="11"/>
    <s v="259"/>
    <s v="TD"/>
    <s v="F+"/>
    <s v="FR"/>
    <x v="7"/>
    <n v="74"/>
    <n v="51"/>
    <n v="1950"/>
    <n v="1973"/>
    <n v="1030"/>
    <m/>
    <n v="1030"/>
    <n v="430"/>
    <n v="600"/>
    <m/>
    <n v="1630"/>
    <n v="2000"/>
    <n v="5"/>
    <m/>
    <m/>
    <n v="308"/>
    <m/>
    <m/>
    <m/>
    <m/>
    <n v="228691"/>
    <n v="153223"/>
    <n v="6712"/>
    <n v="252600"/>
    <n v="54700"/>
    <n v="197900"/>
    <n v="0"/>
    <n v="0"/>
    <n v="89850.625589999996"/>
    <n v="-54281.285314520763"/>
    <n v="0"/>
    <n v="133714.53821"/>
    <n v="-11375.3256255"/>
    <n v="50890.929973309998"/>
    <n v="0"/>
    <n v="0"/>
    <n v="29954.352104409998"/>
    <n v="18960.110526"/>
    <n v="10255.018705008"/>
    <n v="6700"/>
    <n v="232400"/>
    <n v="35600"/>
    <n v="274700"/>
    <n v="8.7490102929532854E-2"/>
    <n v="0.99970000000000003"/>
    <n v="0.99180000000000001"/>
    <n v="0.99329999999999996"/>
    <n v="1.0093000000000001"/>
    <n v="0.995"/>
    <n v="0.94971499999999998"/>
    <n v="0.93959606830091247"/>
    <n v="232400"/>
    <n v="6400"/>
    <n v="238800"/>
    <n v="33800"/>
    <n v="272600"/>
    <n v="0.20667003537139969"/>
    <n v="-0.38208409506398539"/>
    <n v="7.9176563737133804E-2"/>
  </r>
  <r>
    <n v="2025"/>
    <s v="18132334468    "/>
    <n v="-1.8325814637483102"/>
    <n v="0.16"/>
    <m/>
    <s v="6"/>
    <s v="RES"/>
    <x v="0"/>
    <s v="11"/>
    <s v="259"/>
    <s v="RN"/>
    <s v="A"/>
    <s v="GD"/>
    <x v="7"/>
    <n v="74"/>
    <n v="51"/>
    <n v="1950"/>
    <n v="1973"/>
    <n v="1570"/>
    <m/>
    <m/>
    <n v="0"/>
    <m/>
    <m/>
    <n v="1570"/>
    <n v="2000"/>
    <n v="5"/>
    <n v="286"/>
    <m/>
    <m/>
    <m/>
    <m/>
    <m/>
    <m/>
    <n v="260428"/>
    <n v="184904"/>
    <n v="0"/>
    <n v="310300"/>
    <n v="50600"/>
    <n v="259700"/>
    <n v="0"/>
    <n v="0"/>
    <n v="89850.625589999996"/>
    <n v="-58009.662049032086"/>
    <n v="21557.329055999999"/>
    <n v="197752.34721000001"/>
    <n v="-11375.3256255"/>
    <n v="77571.611706890006"/>
    <n v="0"/>
    <n v="0"/>
    <n v="0"/>
    <n v="18960.110526"/>
    <n v="0"/>
    <n v="0"/>
    <n v="304500"/>
    <n v="31800"/>
    <n v="336300"/>
    <n v="8.3789880760554297E-2"/>
    <n v="0.99970000000000003"/>
    <n v="1.0067999999999999"/>
    <n v="0.99650000000000005"/>
    <n v="1.0093000000000001"/>
    <n v="0.995"/>
    <n v="0.94971499999999998"/>
    <n v="0.95687930361479956"/>
    <n v="304500"/>
    <n v="0"/>
    <n v="304500"/>
    <n v="30200"/>
    <n v="334700"/>
    <n v="0.1725067385444744"/>
    <n v="-0.40316205533596838"/>
    <n v="7.8633580406058654E-2"/>
  </r>
  <r>
    <n v="2025"/>
    <s v="18132323506    "/>
    <n v="-1.6094379124341003"/>
    <n v="0.2"/>
    <m/>
    <s v="6"/>
    <s v="RES"/>
    <x v="0"/>
    <s v="11"/>
    <s v="259"/>
    <s v="RN"/>
    <s v="A"/>
    <s v="GD"/>
    <x v="7"/>
    <n v="74"/>
    <n v="51"/>
    <n v="1950"/>
    <n v="1973"/>
    <n v="1257"/>
    <m/>
    <n v="306"/>
    <n v="1"/>
    <n v="305"/>
    <m/>
    <n v="1562"/>
    <n v="2000"/>
    <n v="8"/>
    <m/>
    <m/>
    <m/>
    <m/>
    <m/>
    <m/>
    <m/>
    <n v="245791"/>
    <n v="174512"/>
    <n v="6313"/>
    <n v="326700"/>
    <n v="58400"/>
    <n v="268300"/>
    <n v="0"/>
    <n v="0"/>
    <n v="89850.625589999996"/>
    <n v="-50946.13867709865"/>
    <n v="21557.329055999999"/>
    <n v="197752.34721000001"/>
    <n v="-11375.3256255"/>
    <n v="62106.698035389003"/>
    <n v="0"/>
    <n v="0"/>
    <n v="8899.0599455819993"/>
    <n v="30336.176841600001"/>
    <n v="0"/>
    <n v="6300"/>
    <n v="309300"/>
    <n v="38900"/>
    <n v="354500"/>
    <n v="8.5093357820630544E-2"/>
    <n v="0.99970000000000003"/>
    <n v="1.0067999999999999"/>
    <n v="0.99650000000000005"/>
    <n v="1.0093000000000001"/>
    <n v="0.995"/>
    <n v="0.94971499999999998"/>
    <n v="0.95687930361479956"/>
    <n v="309300"/>
    <n v="6000"/>
    <n v="315300"/>
    <n v="36900"/>
    <n v="352200"/>
    <n v="0.17517704062616474"/>
    <n v="-0.36815068493150682"/>
    <n v="7.8053259871441696E-2"/>
  </r>
  <r>
    <n v="2025"/>
    <s v="18132334423    "/>
    <n v="-1.4696759700589417"/>
    <n v="0.23"/>
    <m/>
    <s v="6"/>
    <s v="RES"/>
    <x v="0"/>
    <s v="11"/>
    <s v="259"/>
    <s v="TD"/>
    <s v="A"/>
    <s v="GD"/>
    <x v="7"/>
    <n v="74"/>
    <n v="51"/>
    <n v="1950"/>
    <n v="1973"/>
    <n v="1575"/>
    <m/>
    <m/>
    <n v="0"/>
    <m/>
    <m/>
    <n v="1575"/>
    <n v="2000"/>
    <n v="5"/>
    <n v="240"/>
    <m/>
    <m/>
    <m/>
    <m/>
    <m/>
    <m/>
    <n v="256992"/>
    <n v="182464"/>
    <n v="0"/>
    <n v="321000"/>
    <n v="63300"/>
    <n v="257700"/>
    <n v="0"/>
    <n v="0"/>
    <n v="89850.625589999996"/>
    <n v="-46522.028095997222"/>
    <n v="21557.329055999999"/>
    <n v="197752.34721000001"/>
    <n v="-11375.3256255"/>
    <n v="77818.655056275005"/>
    <n v="0"/>
    <n v="0"/>
    <n v="0"/>
    <n v="18960.110526"/>
    <n v="0"/>
    <n v="0"/>
    <n v="304700"/>
    <n v="43300"/>
    <n v="348000"/>
    <n v="8.4112149532710276E-2"/>
    <n v="0.99970000000000003"/>
    <n v="1.0067999999999999"/>
    <n v="0.99650000000000005"/>
    <n v="1.0093000000000001"/>
    <n v="0.995"/>
    <n v="0.94971499999999998"/>
    <n v="0.95687930361479956"/>
    <n v="304700"/>
    <n v="0"/>
    <n v="304700"/>
    <n v="41100"/>
    <n v="345800"/>
    <n v="0.18238261544431508"/>
    <n v="-0.35071090047393366"/>
    <n v="7.7258566978193152E-2"/>
  </r>
  <r>
    <n v="2025"/>
    <s v="18132322022    "/>
    <n v="-1.6094379124341003"/>
    <n v="0.2"/>
    <n v="8734"/>
    <s v="6"/>
    <s v="RES"/>
    <x v="0"/>
    <s v="11"/>
    <s v="259"/>
    <s v="TD"/>
    <s v="A"/>
    <s v="GD"/>
    <x v="7"/>
    <n v="74"/>
    <n v="51"/>
    <n v="1950"/>
    <n v="1973"/>
    <n v="1212"/>
    <n v="684"/>
    <n v="1212"/>
    <n v="0"/>
    <n v="1212"/>
    <m/>
    <n v="3108"/>
    <n v="3500"/>
    <n v="12"/>
    <m/>
    <m/>
    <m/>
    <m/>
    <m/>
    <m/>
    <m/>
    <n v="394109"/>
    <n v="279817"/>
    <n v="0"/>
    <n v="386300"/>
    <n v="58400"/>
    <n v="327900"/>
    <n v="0"/>
    <n v="0"/>
    <n v="89850.625589999996"/>
    <n v="-50946.13867709865"/>
    <n v="21557.329055999999"/>
    <n v="197752.34721000001"/>
    <n v="-11375.3256255"/>
    <n v="59883.307890923999"/>
    <n v="30633.913236924"/>
    <n v="0"/>
    <n v="35247.257039363998"/>
    <n v="45504.265262400004"/>
    <n v="0"/>
    <n v="0"/>
    <n v="379200"/>
    <n v="38900"/>
    <n v="418100"/>
    <n v="8.2319440849081021E-2"/>
    <n v="0.99970000000000003"/>
    <n v="1.0067999999999999"/>
    <n v="0.99650000000000005"/>
    <n v="1.0126999999999999"/>
    <n v="0.995"/>
    <n v="0.94971499999999998"/>
    <n v="0.96010271551640491"/>
    <n v="379200"/>
    <n v="0"/>
    <n v="379200"/>
    <n v="36900"/>
    <n v="416100"/>
    <n v="0.15645013723696249"/>
    <n v="-0.36815068493150682"/>
    <n v="7.7142117525239445E-2"/>
  </r>
  <r>
    <n v="2025"/>
    <s v="18132334464    "/>
    <n v="-1.6094379124341003"/>
    <n v="0.2"/>
    <m/>
    <s v="6"/>
    <s v="RES"/>
    <x v="0"/>
    <s v="11"/>
    <s v="259"/>
    <s v="TD"/>
    <s v="A"/>
    <s v="GD"/>
    <x v="7"/>
    <n v="74"/>
    <n v="51"/>
    <n v="1950"/>
    <n v="1973"/>
    <n v="1340"/>
    <m/>
    <n v="700"/>
    <n v="350"/>
    <n v="350"/>
    <m/>
    <n v="1690"/>
    <n v="2000"/>
    <n v="8"/>
    <m/>
    <m/>
    <m/>
    <m/>
    <m/>
    <m/>
    <m/>
    <n v="266481"/>
    <n v="189202"/>
    <n v="7980"/>
    <n v="343000"/>
    <n v="58400"/>
    <n v="284600"/>
    <n v="0"/>
    <n v="0"/>
    <n v="89850.625589999996"/>
    <n v="-50946.13867709865"/>
    <n v="21557.329055999999"/>
    <n v="197752.34721000001"/>
    <n v="-11375.3256255"/>
    <n v="66207.617635179995"/>
    <n v="0"/>
    <n v="0"/>
    <n v="20357.326672899999"/>
    <n v="30336.176841600001"/>
    <n v="0"/>
    <n v="8000"/>
    <n v="324800"/>
    <n v="38900"/>
    <n v="371700"/>
    <n v="8.3673469387755106E-2"/>
    <n v="0.99970000000000003"/>
    <n v="1.0067999999999999"/>
    <n v="0.99650000000000005"/>
    <n v="1.0093000000000001"/>
    <n v="0.995"/>
    <n v="0.94971499999999998"/>
    <n v="0.95687930361479956"/>
    <n v="324800"/>
    <n v="7600"/>
    <n v="332400"/>
    <n v="36900"/>
    <n v="369300"/>
    <n v="0.1679550245959241"/>
    <n v="-0.36815068493150682"/>
    <n v="7.6676384839650141E-2"/>
  </r>
  <r>
    <n v="2025"/>
    <s v="18132323501    "/>
    <n v="-1.6094379124341003"/>
    <n v="0.2"/>
    <m/>
    <s v="6"/>
    <s v="RES"/>
    <x v="0"/>
    <s v="11"/>
    <s v="259"/>
    <s v="RN"/>
    <s v="A"/>
    <s v="AV"/>
    <x v="7"/>
    <n v="74"/>
    <n v="51"/>
    <n v="1950"/>
    <n v="1973"/>
    <n v="1028"/>
    <m/>
    <m/>
    <n v="0"/>
    <m/>
    <m/>
    <n v="1028"/>
    <n v="1500"/>
    <n v="5"/>
    <m/>
    <m/>
    <n v="225"/>
    <m/>
    <m/>
    <m/>
    <m/>
    <n v="174895"/>
    <n v="120678"/>
    <n v="0"/>
    <n v="265000"/>
    <n v="58400"/>
    <n v="206600"/>
    <n v="0"/>
    <n v="0"/>
    <n v="89850.625589999996"/>
    <n v="-50946.13867709865"/>
    <n v="21557.329055999999"/>
    <n v="160472.20319"/>
    <n v="-11375.3256255"/>
    <n v="50792.112633556004"/>
    <n v="0"/>
    <n v="0"/>
    <n v="0"/>
    <n v="18960.110526"/>
    <n v="7491.4909371000003"/>
    <n v="0"/>
    <n v="247900"/>
    <n v="38900"/>
    <n v="286800"/>
    <n v="8.226415094339623E-2"/>
    <n v="0.99970000000000003"/>
    <n v="1.0067999999999999"/>
    <n v="0.99729999999999996"/>
    <n v="1.0157"/>
    <n v="0.995"/>
    <n v="0.94971499999999998"/>
    <n v="0.96371996573175212"/>
    <n v="247900"/>
    <n v="0"/>
    <n v="247900"/>
    <n v="36900"/>
    <n v="284800"/>
    <n v="0.19990319457889641"/>
    <n v="-0.36815068493150682"/>
    <n v="7.4716981132075477E-2"/>
  </r>
  <r>
    <n v="2025"/>
    <s v="18132331465    "/>
    <n v="-1.6607312068216509"/>
    <n v="0.19"/>
    <m/>
    <s v="6"/>
    <s v="RES"/>
    <x v="0"/>
    <s v="11"/>
    <s v="259"/>
    <s v="TD"/>
    <s v="A"/>
    <s v="GD"/>
    <x v="7"/>
    <n v="74"/>
    <n v="51"/>
    <n v="1950"/>
    <n v="1973"/>
    <n v="1450"/>
    <m/>
    <n v="1003"/>
    <n v="725"/>
    <n v="278"/>
    <m/>
    <n v="1728"/>
    <n v="2000"/>
    <n v="8"/>
    <m/>
    <m/>
    <m/>
    <m/>
    <m/>
    <m/>
    <m/>
    <n v="299475"/>
    <n v="212627"/>
    <n v="40949"/>
    <n v="384800"/>
    <n v="56600"/>
    <n v="328200"/>
    <n v="0"/>
    <n v="0"/>
    <n v="89850.625589999996"/>
    <n v="-52569.808201026557"/>
    <n v="21557.329055999999"/>
    <n v="197752.34721000001"/>
    <n v="-11375.3256255"/>
    <n v="71642.571321650001"/>
    <n v="0"/>
    <n v="0"/>
    <n v="29169.140932741"/>
    <n v="30336.176841600001"/>
    <n v="0"/>
    <n v="40900"/>
    <n v="339100"/>
    <n v="37300"/>
    <n v="417300"/>
    <n v="8.4459459459459457E-2"/>
    <n v="0.99970000000000003"/>
    <n v="1.0067999999999999"/>
    <n v="0.99650000000000005"/>
    <n v="1.0093000000000001"/>
    <n v="0.995"/>
    <n v="0.94971499999999998"/>
    <n v="0.95687930361479956"/>
    <n v="339100"/>
    <n v="38900"/>
    <n v="378000"/>
    <n v="35400"/>
    <n v="413400"/>
    <n v="0.15173674588665448"/>
    <n v="-0.37455830388692579"/>
    <n v="7.4324324324324328E-2"/>
  </r>
  <r>
    <n v="2025"/>
    <s v="18132323483    "/>
    <n v="-1.5606477482646683"/>
    <n v="0.21"/>
    <m/>
    <s v="6"/>
    <s v="RES"/>
    <x v="0"/>
    <s v="11"/>
    <s v="259"/>
    <s v="RN"/>
    <s v="A"/>
    <s v="GD"/>
    <x v="7"/>
    <n v="74"/>
    <n v="51"/>
    <n v="1950"/>
    <n v="1973"/>
    <n v="1125"/>
    <m/>
    <n v="1125"/>
    <n v="562"/>
    <n v="563"/>
    <m/>
    <n v="1688"/>
    <n v="2000"/>
    <n v="8"/>
    <m/>
    <m/>
    <m/>
    <m/>
    <m/>
    <m/>
    <m/>
    <n v="253315"/>
    <n v="179854"/>
    <n v="5261"/>
    <n v="344600"/>
    <n v="60100"/>
    <n v="284500"/>
    <n v="0"/>
    <n v="0"/>
    <n v="89850.625589999996"/>
    <n v="-49401.70477837498"/>
    <n v="21557.329055999999"/>
    <n v="197752.34721000001"/>
    <n v="-11375.3256255"/>
    <n v="55584.753611625005"/>
    <n v="0"/>
    <n v="0"/>
    <n v="32717.132152874998"/>
    <n v="30336.176841600001"/>
    <n v="0"/>
    <n v="5300"/>
    <n v="326600"/>
    <n v="40400"/>
    <n v="372300"/>
    <n v="8.0383052814857803E-2"/>
    <n v="0.99970000000000003"/>
    <n v="1.0067999999999999"/>
    <n v="0.99650000000000005"/>
    <n v="1.0093000000000001"/>
    <n v="0.995"/>
    <n v="0.94971499999999998"/>
    <n v="0.95687930361479956"/>
    <n v="326600"/>
    <n v="5000"/>
    <n v="331600"/>
    <n v="38400"/>
    <n v="370000"/>
    <n v="0.16555360281195078"/>
    <n v="-0.36106489184692181"/>
    <n v="7.3708647707486946E-2"/>
  </r>
  <r>
    <n v="2025"/>
    <s v="18132313486    "/>
    <n v="-1.8971199848858813"/>
    <n v="0.15"/>
    <n v="6701"/>
    <s v="6"/>
    <s v="RES"/>
    <x v="0"/>
    <s v="11"/>
    <s v="259"/>
    <s v="BG"/>
    <s v="A"/>
    <s v="AV"/>
    <x v="7"/>
    <n v="74"/>
    <n v="51"/>
    <n v="1950"/>
    <n v="1973"/>
    <n v="972"/>
    <m/>
    <n v="775"/>
    <n v="775"/>
    <m/>
    <m/>
    <n v="972"/>
    <n v="1000"/>
    <n v="7"/>
    <m/>
    <m/>
    <m/>
    <m/>
    <m/>
    <m/>
    <m/>
    <n v="203917"/>
    <n v="140703"/>
    <n v="30451"/>
    <n v="302900"/>
    <n v="48400"/>
    <n v="254500"/>
    <n v="0"/>
    <n v="0"/>
    <n v="89850.625589999996"/>
    <n v="-60052.604136134301"/>
    <n v="21557.329055999999"/>
    <n v="160472.20319"/>
    <n v="-11375.3256255"/>
    <n v="48025.227120444004"/>
    <n v="0"/>
    <n v="0"/>
    <n v="22538.468816425"/>
    <n v="26544.1547364"/>
    <n v="0"/>
    <n v="30500"/>
    <n v="267800"/>
    <n v="29800"/>
    <n v="328100"/>
    <n v="8.3195774182898641E-2"/>
    <n v="0.99970000000000003"/>
    <n v="1.0067999999999999"/>
    <n v="0.99729999999999996"/>
    <n v="1.0148999999999999"/>
    <n v="0.995"/>
    <n v="0.94971499999999998"/>
    <n v="0.96296090698154491"/>
    <n v="267800"/>
    <n v="28900"/>
    <n v="296700"/>
    <n v="28300"/>
    <n v="325000"/>
    <n v="0.16581532416502948"/>
    <n v="-0.41528925619834711"/>
    <n v="7.2961373390557943E-2"/>
  </r>
  <r>
    <n v="2025"/>
    <s v="18132324505    "/>
    <n v="-1.3470736479666092"/>
    <n v="0.26"/>
    <m/>
    <s v="6"/>
    <s v="RES"/>
    <x v="0"/>
    <s v="11"/>
    <s v="259"/>
    <s v="RN"/>
    <s v="A+"/>
    <s v="GD"/>
    <x v="7"/>
    <n v="74"/>
    <n v="51"/>
    <n v="1950"/>
    <n v="1973"/>
    <n v="1345"/>
    <m/>
    <m/>
    <n v="0"/>
    <m/>
    <m/>
    <n v="1345"/>
    <n v="1500"/>
    <n v="8"/>
    <n v="308"/>
    <m/>
    <m/>
    <m/>
    <m/>
    <m/>
    <m/>
    <n v="279358"/>
    <n v="198344"/>
    <n v="3010"/>
    <n v="336200"/>
    <n v="67600"/>
    <n v="268600"/>
    <n v="0"/>
    <n v="0"/>
    <n v="89850.625589999996"/>
    <n v="-42641.098701210125"/>
    <n v="29814.093161000001"/>
    <n v="197752.34721000001"/>
    <n v="-11375.3256255"/>
    <n v="66454.660984564995"/>
    <n v="0"/>
    <n v="0"/>
    <n v="0"/>
    <n v="30336.176841600001"/>
    <n v="0"/>
    <n v="3000"/>
    <n v="313000"/>
    <n v="47200"/>
    <n v="363200"/>
    <n v="8.0309339678762637E-2"/>
    <n v="0.99970000000000003"/>
    <n v="1.0088999999999999"/>
    <n v="0.99650000000000005"/>
    <n v="1.0157"/>
    <n v="0.995"/>
    <n v="0.94971499999999998"/>
    <n v="0.9649554329763177"/>
    <n v="313000"/>
    <n v="2900"/>
    <n v="315900"/>
    <n v="44800"/>
    <n v="360700"/>
    <n v="0.17609828741623232"/>
    <n v="-0.33727810650887574"/>
    <n v="7.2873289708506844E-2"/>
  </r>
  <r>
    <n v="2025"/>
    <s v="18132243047    "/>
    <n v="-0.89159811928378363"/>
    <n v="0.41"/>
    <n v="17755"/>
    <s v="6"/>
    <s v="RES"/>
    <x v="0"/>
    <s v="11"/>
    <s v="259"/>
    <s v="RN"/>
    <s v="A"/>
    <s v="AV"/>
    <x v="7"/>
    <n v="74"/>
    <n v="51"/>
    <n v="1950"/>
    <n v="1973"/>
    <n v="1167"/>
    <m/>
    <n v="1167"/>
    <n v="1167"/>
    <m/>
    <m/>
    <n v="1167"/>
    <n v="1500"/>
    <n v="6"/>
    <m/>
    <m/>
    <m/>
    <m/>
    <m/>
    <m/>
    <m/>
    <n v="245273"/>
    <n v="169238"/>
    <n v="9708"/>
    <n v="329200"/>
    <n v="83400"/>
    <n v="245800"/>
    <n v="0"/>
    <n v="0"/>
    <n v="89850.625589999996"/>
    <n v="-28223.195861326454"/>
    <n v="21557.329055999999"/>
    <n v="160472.20319"/>
    <n v="-11375.3256255"/>
    <n v="57659.917746459003"/>
    <n v="0"/>
    <n v="0"/>
    <n v="33938.571753249002"/>
    <n v="22752.132631200002"/>
    <n v="0"/>
    <n v="9700"/>
    <n v="285000"/>
    <n v="61600"/>
    <n v="356300"/>
    <n v="8.2320777642770349E-2"/>
    <n v="0.99970000000000003"/>
    <n v="1.0067999999999999"/>
    <n v="0.99729999999999996"/>
    <n v="1.0157"/>
    <n v="0.995"/>
    <n v="0.94971499999999998"/>
    <n v="0.96371996573175212"/>
    <n v="285000"/>
    <n v="9200"/>
    <n v="294200"/>
    <n v="58500"/>
    <n v="352700"/>
    <n v="0.1969080553295362"/>
    <n v="-0.29856115107913667"/>
    <n v="7.1385176184690161E-2"/>
  </r>
  <r>
    <n v="2025"/>
    <s v="18132242439    "/>
    <n v="-1.0498221244986778"/>
    <n v="0.35"/>
    <n v="15257"/>
    <s v="6"/>
    <s v="RES"/>
    <x v="0"/>
    <s v="11"/>
    <s v="259"/>
    <s v="RN"/>
    <s v="A"/>
    <s v="GD"/>
    <x v="7"/>
    <n v="74"/>
    <n v="51"/>
    <n v="1950"/>
    <n v="1973"/>
    <n v="1349"/>
    <m/>
    <m/>
    <n v="0"/>
    <m/>
    <m/>
    <n v="1349"/>
    <n v="1500"/>
    <n v="5"/>
    <m/>
    <m/>
    <m/>
    <m/>
    <m/>
    <m/>
    <m/>
    <n v="229401"/>
    <n v="162875"/>
    <n v="9099"/>
    <n v="332200"/>
    <n v="77900"/>
    <n v="254300"/>
    <n v="0"/>
    <n v="0"/>
    <n v="89850.625589999996"/>
    <n v="-33231.715947405908"/>
    <n v="21557.329055999999"/>
    <n v="197752.34721000001"/>
    <n v="-11375.3256255"/>
    <n v="66652.295664072997"/>
    <n v="0"/>
    <n v="0"/>
    <n v="0"/>
    <n v="18960.110526"/>
    <n v="0"/>
    <n v="9100"/>
    <n v="293500"/>
    <n v="56600"/>
    <n v="359200"/>
    <n v="8.1276339554485252E-2"/>
    <n v="0.99970000000000003"/>
    <n v="1.0067999999999999"/>
    <n v="0.99650000000000005"/>
    <n v="1.0157"/>
    <n v="0.995"/>
    <n v="0.94971499999999998"/>
    <n v="0.96294690248840986"/>
    <n v="293500"/>
    <n v="8600"/>
    <n v="302100"/>
    <n v="53800"/>
    <n v="355900"/>
    <n v="0.18796696814785685"/>
    <n v="-0.30937098844672656"/>
    <n v="7.1342564720048157E-2"/>
  </r>
  <r>
    <n v="2025"/>
    <s v="18132214031    "/>
    <n v="-1.6607312068216509"/>
    <n v="0.19"/>
    <n v="8372"/>
    <s v="6"/>
    <s v="RES"/>
    <x v="0"/>
    <s v="11"/>
    <s v="259"/>
    <s v="RN"/>
    <s v="A+"/>
    <s v="AV"/>
    <x v="7"/>
    <n v="74"/>
    <n v="51"/>
    <n v="1950"/>
    <n v="1973"/>
    <n v="1284"/>
    <m/>
    <n v="1284"/>
    <n v="1284"/>
    <m/>
    <m/>
    <n v="1284"/>
    <n v="1500"/>
    <n v="7"/>
    <m/>
    <m/>
    <m/>
    <m/>
    <m/>
    <m/>
    <m/>
    <n v="300253"/>
    <n v="207175"/>
    <n v="7573"/>
    <n v="325600"/>
    <n v="56600"/>
    <n v="269000"/>
    <n v="0"/>
    <n v="0"/>
    <n v="89850.625589999996"/>
    <n v="-52569.808201026557"/>
    <n v="29814.093161000001"/>
    <n v="160472.20319"/>
    <n v="-11375.3256255"/>
    <n v="63440.732122068002"/>
    <n v="0"/>
    <n v="0"/>
    <n v="37341.153497148"/>
    <n v="26544.1547364"/>
    <n v="0"/>
    <n v="7600"/>
    <n v="306200"/>
    <n v="37300"/>
    <n v="351100"/>
    <n v="7.8316953316953319E-2"/>
    <n v="0.99970000000000003"/>
    <n v="1.0088999999999999"/>
    <n v="0.99729999999999996"/>
    <n v="1.0157"/>
    <n v="0.995"/>
    <n v="0.94971499999999998"/>
    <n v="0.96573010868768849"/>
    <n v="306200"/>
    <n v="7200"/>
    <n v="313400"/>
    <n v="35400"/>
    <n v="348800"/>
    <n v="0.16505576208178438"/>
    <n v="-0.37455830388692579"/>
    <n v="7.125307125307126E-2"/>
  </r>
  <r>
    <n v="2025"/>
    <s v="18132342515    "/>
    <n v="-1.8971199848858813"/>
    <n v="0.15"/>
    <n v="6480"/>
    <s v="6"/>
    <s v="RES"/>
    <x v="0"/>
    <s v="11"/>
    <s v="259"/>
    <s v="BG"/>
    <s v="G+"/>
    <s v="GD"/>
    <x v="7"/>
    <n v="74"/>
    <n v="51"/>
    <n v="1950"/>
    <n v="1973"/>
    <n v="1338"/>
    <n v="736"/>
    <n v="978"/>
    <n v="0"/>
    <n v="978"/>
    <m/>
    <n v="3052"/>
    <n v="3500"/>
    <n v="12"/>
    <m/>
    <n v="360"/>
    <n v="1120"/>
    <m/>
    <m/>
    <m/>
    <m/>
    <n v="667679"/>
    <n v="480729"/>
    <n v="0"/>
    <n v="466100"/>
    <n v="48400"/>
    <n v="417700"/>
    <n v="0"/>
    <n v="0"/>
    <n v="89850.625589999996"/>
    <n v="-60052.604136134301"/>
    <n v="74268.409664999999"/>
    <n v="197752.34721000001"/>
    <n v="-11375.3256255"/>
    <n v="66108.800295426001"/>
    <n v="32962.807225696"/>
    <n v="0"/>
    <n v="28442.093551565998"/>
    <n v="45504.265262400004"/>
    <n v="37290.977109120002"/>
    <n v="0"/>
    <n v="471000"/>
    <n v="29800"/>
    <n v="500800"/>
    <n v="7.4447543445612524E-2"/>
    <n v="0.99970000000000003"/>
    <n v="0.98380000000000001"/>
    <n v="0.99650000000000005"/>
    <n v="1.0126999999999999"/>
    <n v="0.995"/>
    <n v="0.94971499999999998"/>
    <n v="0.93816949893229973"/>
    <n v="471000"/>
    <n v="0"/>
    <n v="471000"/>
    <n v="28300"/>
    <n v="499300"/>
    <n v="0.12760354321283218"/>
    <n v="-0.41528925619834711"/>
    <n v="7.1229349924908814E-2"/>
  </r>
  <r>
    <n v="2025"/>
    <s v="18132241458    "/>
    <n v="-1.6607312068216509"/>
    <n v="0.19"/>
    <n v="8060"/>
    <s v="6"/>
    <s v="RES"/>
    <x v="0"/>
    <s v="11"/>
    <s v="259"/>
    <s v="RN"/>
    <s v="A"/>
    <s v="GD"/>
    <x v="7"/>
    <n v="74"/>
    <n v="51"/>
    <n v="1950"/>
    <n v="1973"/>
    <n v="1436"/>
    <m/>
    <n v="952"/>
    <n v="468"/>
    <n v="484"/>
    <m/>
    <n v="1920"/>
    <n v="2000"/>
    <n v="5"/>
    <m/>
    <m/>
    <m/>
    <m/>
    <m/>
    <m/>
    <m/>
    <n v="301672"/>
    <n v="214187"/>
    <n v="0"/>
    <n v="337000"/>
    <n v="56600"/>
    <n v="280400"/>
    <n v="0"/>
    <n v="0"/>
    <n v="89850.625589999996"/>
    <n v="-52569.808201026557"/>
    <n v="21557.329055999999"/>
    <n v="197752.34721000001"/>
    <n v="-11375.3256255"/>
    <n v="70950.849943371999"/>
    <n v="0"/>
    <n v="0"/>
    <n v="27685.964275143997"/>
    <n v="18960.110526"/>
    <n v="0"/>
    <n v="0"/>
    <n v="325500"/>
    <n v="37300"/>
    <n v="362800"/>
    <n v="7.6557863501483678E-2"/>
    <n v="0.99970000000000003"/>
    <n v="1.0067999999999999"/>
    <n v="0.99650000000000005"/>
    <n v="1.0093000000000001"/>
    <n v="0.995"/>
    <n v="0.94971499999999998"/>
    <n v="0.95687930361479956"/>
    <n v="325500"/>
    <n v="0"/>
    <n v="325500"/>
    <n v="35400"/>
    <n v="360900"/>
    <n v="0.16084165477888732"/>
    <n v="-0.37455830388692579"/>
    <n v="7.0919881305637977E-2"/>
  </r>
  <r>
    <n v="2025"/>
    <s v="18132243430    "/>
    <n v="-1.6607312068216509"/>
    <n v="0.19"/>
    <n v="8149"/>
    <s v="6"/>
    <s v="RES"/>
    <x v="0"/>
    <s v="11"/>
    <s v="259"/>
    <s v="RN"/>
    <s v="A+"/>
    <s v="GD"/>
    <x v="7"/>
    <n v="74"/>
    <n v="51"/>
    <n v="1950"/>
    <n v="1973"/>
    <n v="1225"/>
    <m/>
    <n v="1278"/>
    <n v="0"/>
    <n v="1278"/>
    <m/>
    <n v="2503"/>
    <n v="3000"/>
    <n v="8"/>
    <m/>
    <n v="256"/>
    <n v="440"/>
    <m/>
    <m/>
    <m/>
    <m/>
    <n v="381595"/>
    <n v="270932"/>
    <n v="0"/>
    <n v="368300"/>
    <n v="56600"/>
    <n v="311700"/>
    <n v="0"/>
    <n v="0"/>
    <n v="89850.625589999996"/>
    <n v="-52569.808201026557"/>
    <n v="29814.093161000001"/>
    <n v="197752.34721000001"/>
    <n v="-11375.3256255"/>
    <n v="60525.620599325004"/>
    <n v="0"/>
    <n v="0"/>
    <n v="37166.662125666"/>
    <n v="30336.176841600001"/>
    <n v="14650.026721440001"/>
    <n v="0"/>
    <n v="358900"/>
    <n v="37300"/>
    <n v="396200"/>
    <n v="7.5753461851751289E-2"/>
    <n v="0.99970000000000003"/>
    <n v="1.0088999999999999"/>
    <n v="0.99650000000000005"/>
    <n v="0.96179999999999999"/>
    <n v="0.995"/>
    <n v="0.94971499999999998"/>
    <n v="0.9137482873256102"/>
    <n v="358900"/>
    <n v="0"/>
    <n v="358900"/>
    <n v="35400"/>
    <n v="394300"/>
    <n v="0.15142765479627848"/>
    <n v="-0.37455830388692579"/>
    <n v="7.0594623947868584E-2"/>
  </r>
  <r>
    <n v="2025"/>
    <s v="18132334477    "/>
    <n v="-1.7719568419318752"/>
    <n v="0.17"/>
    <m/>
    <s v="6"/>
    <s v="RES"/>
    <x v="0"/>
    <s v="11"/>
    <s v="259"/>
    <s v="TD"/>
    <s v="A"/>
    <s v="GD"/>
    <x v="7"/>
    <n v="74"/>
    <n v="51"/>
    <n v="1950"/>
    <n v="1973"/>
    <n v="1147"/>
    <m/>
    <n v="1147"/>
    <n v="397"/>
    <n v="750"/>
    <m/>
    <n v="1897"/>
    <n v="2000"/>
    <n v="7"/>
    <m/>
    <m/>
    <m/>
    <m/>
    <m/>
    <m/>
    <m/>
    <n v="263037"/>
    <n v="186756"/>
    <n v="6962"/>
    <n v="339300"/>
    <n v="52700"/>
    <n v="286600"/>
    <n v="0"/>
    <n v="0"/>
    <n v="89850.625589999996"/>
    <n v="-56090.612940989391"/>
    <n v="21557.329055999999"/>
    <n v="197752.34721000001"/>
    <n v="-11375.3256255"/>
    <n v="56671.744348919005"/>
    <n v="0"/>
    <n v="0"/>
    <n v="33356.933848308996"/>
    <n v="26544.1547364"/>
    <n v="0"/>
    <n v="7000"/>
    <n v="324500"/>
    <n v="33800"/>
    <n v="365300"/>
    <n v="7.662835249042145E-2"/>
    <n v="0.99970000000000003"/>
    <n v="1.0067999999999999"/>
    <n v="0.99650000000000005"/>
    <n v="1.0093000000000001"/>
    <n v="0.995"/>
    <n v="0.94971499999999998"/>
    <n v="0.95687930361479956"/>
    <n v="324500"/>
    <n v="6600"/>
    <n v="331100"/>
    <n v="32100"/>
    <n v="363200"/>
    <n v="0.15526866713189114"/>
    <n v="-0.39089184060721061"/>
    <n v="7.0439139404656639E-2"/>
  </r>
  <r>
    <n v="2025"/>
    <s v="18132244442    "/>
    <n v="-1.4271163556401458"/>
    <n v="0.24"/>
    <n v="10500"/>
    <s v="6"/>
    <s v="RES"/>
    <x v="0"/>
    <s v="11"/>
    <s v="259"/>
    <s v="RN"/>
    <s v="F+"/>
    <s v="GD"/>
    <x v="7"/>
    <n v="74"/>
    <n v="51"/>
    <n v="1950"/>
    <n v="1973"/>
    <n v="1072"/>
    <m/>
    <m/>
    <n v="0"/>
    <m/>
    <m/>
    <n v="1072"/>
    <n v="1500"/>
    <n v="5"/>
    <n v="273"/>
    <m/>
    <m/>
    <m/>
    <m/>
    <m/>
    <m/>
    <n v="168625"/>
    <n v="119724"/>
    <n v="0"/>
    <n v="281000"/>
    <n v="64800"/>
    <n v="216200"/>
    <n v="0"/>
    <n v="0"/>
    <n v="89850.625589999996"/>
    <n v="-45174.819855485119"/>
    <n v="0"/>
    <n v="197752.34721000001"/>
    <n v="-11375.3256255"/>
    <n v="52966.094108144003"/>
    <n v="0"/>
    <n v="0"/>
    <n v="0"/>
    <n v="18960.110526"/>
    <n v="0"/>
    <n v="0"/>
    <n v="258300"/>
    <n v="44700"/>
    <n v="303000"/>
    <n v="7.8291814946619215E-2"/>
    <n v="0.99970000000000003"/>
    <n v="0.99180000000000001"/>
    <n v="0.99650000000000005"/>
    <n v="1.0157"/>
    <n v="0.995"/>
    <n v="0.94971499999999998"/>
    <n v="0.94860025614621091"/>
    <n v="258300"/>
    <n v="0"/>
    <n v="258300"/>
    <n v="42400"/>
    <n v="300700"/>
    <n v="0.19472710453283995"/>
    <n v="-0.34567901234567899"/>
    <n v="7.0106761565836298E-2"/>
  </r>
  <r>
    <n v="2025"/>
    <s v="18132344404    "/>
    <n v="-1.5141277326297755"/>
    <n v="0.22"/>
    <m/>
    <s v="6"/>
    <s v="RES"/>
    <x v="0"/>
    <s v="11"/>
    <s v="259"/>
    <s v="RN"/>
    <s v="A"/>
    <s v="GD"/>
    <x v="7"/>
    <n v="74"/>
    <n v="51"/>
    <n v="1950"/>
    <n v="1973"/>
    <n v="1715"/>
    <m/>
    <m/>
    <n v="0"/>
    <m/>
    <m/>
    <n v="1715"/>
    <n v="2000"/>
    <n v="7"/>
    <m/>
    <m/>
    <m/>
    <m/>
    <m/>
    <m/>
    <m/>
    <n v="263780"/>
    <n v="187284"/>
    <n v="10026"/>
    <n v="344700"/>
    <n v="61700"/>
    <n v="283000"/>
    <n v="0"/>
    <n v="0"/>
    <n v="89850.625589999996"/>
    <n v="-47929.131559187132"/>
    <n v="21557.329055999999"/>
    <n v="197752.34721000001"/>
    <n v="-11375.3256255"/>
    <n v="84735.868839055009"/>
    <n v="0"/>
    <n v="0"/>
    <n v="0"/>
    <n v="26544.1547364"/>
    <n v="0"/>
    <n v="10000"/>
    <n v="319200"/>
    <n v="41900"/>
    <n v="371100"/>
    <n v="7.6588337684943428E-2"/>
    <n v="0.99970000000000003"/>
    <n v="1.0067999999999999"/>
    <n v="0.99650000000000005"/>
    <n v="1.0093000000000001"/>
    <n v="0.995"/>
    <n v="0.94971499999999998"/>
    <n v="0.95687930361479956"/>
    <n v="319200"/>
    <n v="9500"/>
    <n v="328700"/>
    <n v="39800"/>
    <n v="368500"/>
    <n v="0.16148409893992932"/>
    <n v="-0.35494327390599678"/>
    <n v="6.9045546852335368E-2"/>
  </r>
  <r>
    <n v="2025"/>
    <s v="18132324499    "/>
    <n v="-1.6094379124341003"/>
    <n v="0.2"/>
    <n v="8508"/>
    <s v="6"/>
    <s v="RES"/>
    <x v="0"/>
    <s v="11"/>
    <s v="259"/>
    <s v="RN"/>
    <s v="A"/>
    <s v="FR"/>
    <x v="7"/>
    <n v="74"/>
    <n v="51"/>
    <n v="1950"/>
    <n v="1973"/>
    <n v="1107"/>
    <m/>
    <n v="1107"/>
    <n v="557"/>
    <n v="550"/>
    <m/>
    <n v="1657"/>
    <n v="2000"/>
    <n v="6"/>
    <m/>
    <m/>
    <m/>
    <m/>
    <m/>
    <m/>
    <m/>
    <n v="255645"/>
    <n v="171282"/>
    <n v="0"/>
    <n v="271800"/>
    <n v="58400"/>
    <n v="213400"/>
    <n v="0"/>
    <n v="0"/>
    <n v="89850.625589999996"/>
    <n v="-50946.13867709865"/>
    <n v="21557.329055999999"/>
    <n v="133714.53821"/>
    <n v="-11375.3256255"/>
    <n v="54695.397553839"/>
    <n v="0"/>
    <n v="0"/>
    <n v="32193.658038428999"/>
    <n v="22752.132631200002"/>
    <n v="0"/>
    <n v="0"/>
    <n v="253500"/>
    <n v="38900"/>
    <n v="292400"/>
    <n v="7.5791022810890354E-2"/>
    <n v="0.99970000000000003"/>
    <n v="1.0067999999999999"/>
    <n v="0.99329999999999996"/>
    <n v="1.0093000000000001"/>
    <n v="0.995"/>
    <n v="0.94971499999999998"/>
    <n v="0.95380653515361813"/>
    <n v="253500"/>
    <n v="0"/>
    <n v="253500"/>
    <n v="36900"/>
    <n v="290400"/>
    <n v="0.18791002811621368"/>
    <n v="-0.36815068493150682"/>
    <n v="6.8432671081677707E-2"/>
  </r>
  <r>
    <n v="2025"/>
    <s v="18132214491    "/>
    <n v="-1.3470736479666092"/>
    <n v="0.26"/>
    <n v="11129"/>
    <s v="6"/>
    <s v="RES"/>
    <x v="0"/>
    <s v="11"/>
    <s v="259"/>
    <s v="RN"/>
    <s v="G"/>
    <s v="AV"/>
    <x v="7"/>
    <n v="74"/>
    <n v="51"/>
    <n v="1950"/>
    <n v="1973"/>
    <n v="1418"/>
    <m/>
    <n v="1418"/>
    <n v="488"/>
    <n v="930"/>
    <m/>
    <n v="2348"/>
    <n v="2500"/>
    <n v="8"/>
    <n v="294"/>
    <m/>
    <n v="426"/>
    <m/>
    <m/>
    <m/>
    <m/>
    <n v="469453"/>
    <n v="323923"/>
    <n v="0"/>
    <n v="368600"/>
    <n v="67600"/>
    <n v="301000"/>
    <n v="0"/>
    <n v="0"/>
    <n v="89850.625589999996"/>
    <n v="-42641.098701210125"/>
    <n v="44121.038090000002"/>
    <n v="160472.20319"/>
    <n v="-11375.3256255"/>
    <n v="70061.493885585995"/>
    <n v="0"/>
    <n v="0"/>
    <n v="41238.127460245996"/>
    <n v="30336.176841600001"/>
    <n v="14183.889507576001"/>
    <n v="0"/>
    <n v="349000"/>
    <n v="47200"/>
    <n v="396200"/>
    <n v="7.4877916440586001E-2"/>
    <n v="0.99970000000000003"/>
    <n v="0.98050000000000004"/>
    <n v="0.99729999999999996"/>
    <n v="0.98919999999999997"/>
    <n v="0.995"/>
    <n v="0.94971499999999998"/>
    <n v="0.91405831328052556"/>
    <n v="349000"/>
    <n v="0"/>
    <n v="349000"/>
    <n v="44800"/>
    <n v="393800"/>
    <n v="0.15946843853820597"/>
    <n v="-0.33727810650887574"/>
    <n v="6.8366793271839393E-2"/>
  </r>
  <r>
    <n v="2025"/>
    <s v="18132313516    "/>
    <n v="-1.8325814637483102"/>
    <n v="0.16"/>
    <n v="7000"/>
    <s v="6"/>
    <s v="RES"/>
    <x v="0"/>
    <s v="11"/>
    <s v="259"/>
    <s v="TD"/>
    <s v="F+"/>
    <s v="GD"/>
    <x v="7"/>
    <n v="74"/>
    <n v="51"/>
    <n v="1950"/>
    <n v="1973"/>
    <n v="900"/>
    <m/>
    <n v="610"/>
    <n v="130"/>
    <n v="480"/>
    <m/>
    <n v="1380"/>
    <n v="1500"/>
    <n v="5"/>
    <m/>
    <m/>
    <m/>
    <m/>
    <m/>
    <m/>
    <m/>
    <n v="187669"/>
    <n v="133245"/>
    <n v="5697"/>
    <n v="283800"/>
    <n v="50600"/>
    <n v="233200"/>
    <n v="0"/>
    <n v="0"/>
    <n v="89850.625589999996"/>
    <n v="-58009.662049032086"/>
    <n v="0"/>
    <n v="197752.34721000001"/>
    <n v="-11375.3256255"/>
    <n v="44467.802889300001"/>
    <n v="0"/>
    <n v="0"/>
    <n v="17739.956100669999"/>
    <n v="18960.110526"/>
    <n v="0"/>
    <n v="5700"/>
    <n v="267500"/>
    <n v="31800"/>
    <n v="305000"/>
    <n v="7.4700493305144472E-2"/>
    <n v="0.99970000000000003"/>
    <n v="0.99180000000000001"/>
    <n v="0.99650000000000005"/>
    <n v="1.0157"/>
    <n v="0.995"/>
    <n v="0.94971499999999998"/>
    <n v="0.94860025614621091"/>
    <n v="267500"/>
    <n v="5400"/>
    <n v="272900"/>
    <n v="30200"/>
    <n v="303100"/>
    <n v="0.17024013722126929"/>
    <n v="-0.40316205533596838"/>
    <n v="6.8005637773079636E-2"/>
  </r>
  <r>
    <n v="2025"/>
    <s v="18132324004    "/>
    <n v="-1.2378743560016174"/>
    <n v="0.28999999999999998"/>
    <n v="12586"/>
    <s v="6"/>
    <s v="RES"/>
    <x v="0"/>
    <s v="11"/>
    <s v="259"/>
    <s v="TD"/>
    <s v="A"/>
    <s v="GD"/>
    <x v="7"/>
    <n v="74"/>
    <n v="51"/>
    <n v="1950"/>
    <n v="1973"/>
    <n v="1438"/>
    <m/>
    <m/>
    <n v="0"/>
    <m/>
    <m/>
    <n v="1438"/>
    <n v="1500"/>
    <n v="5"/>
    <n v="276"/>
    <m/>
    <m/>
    <m/>
    <m/>
    <m/>
    <m/>
    <n v="249323"/>
    <n v="177019"/>
    <n v="0"/>
    <n v="324500"/>
    <n v="71400"/>
    <n v="253100"/>
    <n v="0"/>
    <n v="0"/>
    <n v="89850.625589999996"/>
    <n v="-39184.437074869042"/>
    <n v="21557.329055999999"/>
    <n v="197752.34721000001"/>
    <n v="-11375.3256255"/>
    <n v="71049.667283126008"/>
    <n v="0"/>
    <n v="0"/>
    <n v="0"/>
    <n v="18960.110526"/>
    <n v="0"/>
    <n v="0"/>
    <n v="297900"/>
    <n v="50700"/>
    <n v="348600"/>
    <n v="7.4268104776579358E-2"/>
    <n v="0.99970000000000003"/>
    <n v="1.0067999999999999"/>
    <n v="0.99650000000000005"/>
    <n v="1.0157"/>
    <n v="0.995"/>
    <n v="0.94971499999999998"/>
    <n v="0.96294690248840986"/>
    <n v="297900"/>
    <n v="0"/>
    <n v="297900"/>
    <n v="48100"/>
    <n v="346000"/>
    <n v="0.17700513630975898"/>
    <n v="-0.32633053221288516"/>
    <n v="6.6255778120184905E-2"/>
  </r>
  <r>
    <n v="2025"/>
    <s v="18132344408    "/>
    <n v="-1.5141277326297755"/>
    <n v="0.22"/>
    <n v="9380"/>
    <s v="6"/>
    <s v="RES"/>
    <x v="0"/>
    <s v="11"/>
    <s v="259"/>
    <s v="RN"/>
    <s v="A+"/>
    <s v="AV"/>
    <x v="7"/>
    <n v="74"/>
    <n v="51"/>
    <n v="1950"/>
    <n v="1973"/>
    <n v="1278"/>
    <m/>
    <n v="1278"/>
    <n v="639"/>
    <n v="639"/>
    <m/>
    <n v="1917"/>
    <n v="2000"/>
    <n v="8"/>
    <n v="240"/>
    <m/>
    <n v="264"/>
    <m/>
    <m/>
    <m/>
    <m/>
    <n v="367900"/>
    <n v="253851"/>
    <n v="0"/>
    <n v="336600"/>
    <n v="61700"/>
    <n v="274900"/>
    <n v="0"/>
    <n v="0"/>
    <n v="89850.625589999996"/>
    <n v="-47929.131559187132"/>
    <n v="29814.093161000001"/>
    <n v="160472.20319"/>
    <n v="-11375.3256255"/>
    <n v="63144.280102805998"/>
    <n v="0"/>
    <n v="0"/>
    <n v="37166.662125666"/>
    <n v="30336.176841600001"/>
    <n v="8790.0160328640013"/>
    <n v="0"/>
    <n v="318300"/>
    <n v="41900"/>
    <n v="360200"/>
    <n v="7.0112893642305413E-2"/>
    <n v="0.99970000000000003"/>
    <n v="1.0088999999999999"/>
    <n v="0.99729999999999996"/>
    <n v="1.0093000000000001"/>
    <n v="0.995"/>
    <n v="0.94971499999999998"/>
    <n v="0.9596449726282209"/>
    <n v="318300"/>
    <n v="0"/>
    <n v="318300"/>
    <n v="39800"/>
    <n v="358100"/>
    <n v="0.15787559112404512"/>
    <n v="-0.35494327390599678"/>
    <n v="6.387403446226976E-2"/>
  </r>
  <r>
    <n v="2025"/>
    <s v="18132244450    "/>
    <n v="-1.2378743560016174"/>
    <n v="0.28999999999999998"/>
    <n v="12600"/>
    <s v="6"/>
    <s v="RES"/>
    <x v="0"/>
    <s v="11"/>
    <s v="259"/>
    <s v="TD"/>
    <s v="A"/>
    <s v="AV"/>
    <x v="7"/>
    <n v="74"/>
    <n v="51"/>
    <n v="1950"/>
    <n v="1973"/>
    <n v="1656"/>
    <m/>
    <n v="893"/>
    <n v="893"/>
    <m/>
    <m/>
    <n v="1656"/>
    <n v="2000"/>
    <n v="8"/>
    <m/>
    <m/>
    <n v="135"/>
    <m/>
    <m/>
    <m/>
    <m/>
    <n v="310923"/>
    <n v="214537"/>
    <n v="0"/>
    <n v="339800"/>
    <n v="71400"/>
    <n v="268400"/>
    <n v="0"/>
    <n v="0"/>
    <n v="89850.625589999996"/>
    <n v="-39184.437074869042"/>
    <n v="21557.329055999999"/>
    <n v="160472.20319"/>
    <n v="-11375.3256255"/>
    <n v="81820.757316311996"/>
    <n v="0"/>
    <n v="0"/>
    <n v="25970.132455570998"/>
    <n v="30336.176841600001"/>
    <n v="4494.8945622600004"/>
    <n v="0"/>
    <n v="313300"/>
    <n v="50700"/>
    <n v="364000"/>
    <n v="7.1218363743378463E-2"/>
    <n v="0.99970000000000003"/>
    <n v="1.0067999999999999"/>
    <n v="0.99729999999999996"/>
    <n v="1.0093000000000001"/>
    <n v="0.995"/>
    <n v="0.94971499999999998"/>
    <n v="0.957647495730095"/>
    <n v="313300"/>
    <n v="0"/>
    <n v="313300"/>
    <n v="48100"/>
    <n v="361400"/>
    <n v="0.16728763040238451"/>
    <n v="-0.32633053221288516"/>
    <n v="6.356680400235433E-2"/>
  </r>
  <r>
    <n v="2025"/>
    <s v="18132241423    "/>
    <n v="-1.6094379124341003"/>
    <n v="0.2"/>
    <n v="8616"/>
    <s v="6"/>
    <s v="RES"/>
    <x v="0"/>
    <s v="11"/>
    <s v="259"/>
    <s v="RN"/>
    <s v="A"/>
    <s v="AV"/>
    <x v="7"/>
    <n v="74"/>
    <n v="51"/>
    <n v="1950"/>
    <n v="1973"/>
    <n v="1120"/>
    <m/>
    <n v="939"/>
    <n v="739"/>
    <n v="200"/>
    <m/>
    <n v="1320"/>
    <n v="1500"/>
    <n v="5"/>
    <n v="384"/>
    <m/>
    <m/>
    <m/>
    <m/>
    <m/>
    <m/>
    <n v="250391"/>
    <n v="172770"/>
    <n v="1247"/>
    <n v="292100"/>
    <n v="58400"/>
    <n v="233700"/>
    <n v="0"/>
    <n v="0"/>
    <n v="89850.625589999996"/>
    <n v="-50946.13867709865"/>
    <n v="21557.329055999999"/>
    <n v="160472.20319"/>
    <n v="-11375.3256255"/>
    <n v="55337.710262239998"/>
    <n v="0"/>
    <n v="0"/>
    <n v="27307.899636932998"/>
    <n v="18960.110526"/>
    <n v="0"/>
    <n v="1200"/>
    <n v="272300"/>
    <n v="38900"/>
    <n v="312400"/>
    <n v="6.9496747689147556E-2"/>
    <n v="0.99970000000000003"/>
    <n v="1.0067999999999999"/>
    <n v="0.99729999999999996"/>
    <n v="1.0157"/>
    <n v="0.995"/>
    <n v="0.94971499999999998"/>
    <n v="0.96371996573175212"/>
    <n v="272300"/>
    <n v="1200"/>
    <n v="273500"/>
    <n v="36900"/>
    <n v="310400"/>
    <n v="0.17030380830124089"/>
    <n v="-0.36815068493150682"/>
    <n v="6.2649777473467991E-2"/>
  </r>
  <r>
    <n v="2025"/>
    <s v="18132214475    "/>
    <n v="-1.6094379124341003"/>
    <n v="0.2"/>
    <n v="8670"/>
    <s v="6"/>
    <s v="RES"/>
    <x v="0"/>
    <s v="11"/>
    <s v="400"/>
    <s v="RN"/>
    <s v="A"/>
    <s v="AV"/>
    <x v="7"/>
    <n v="74"/>
    <n v="51"/>
    <n v="1950"/>
    <n v="1973"/>
    <n v="1132"/>
    <m/>
    <n v="1132"/>
    <n v="632"/>
    <n v="500"/>
    <m/>
    <n v="1632"/>
    <n v="2000"/>
    <n v="5"/>
    <n v="240"/>
    <m/>
    <n v="140"/>
    <m/>
    <m/>
    <m/>
    <m/>
    <n v="267296"/>
    <n v="184434"/>
    <n v="0"/>
    <n v="301300"/>
    <n v="58400"/>
    <n v="242900"/>
    <n v="0"/>
    <n v="0"/>
    <n v="89850.625589999996"/>
    <n v="-50946.13867709865"/>
    <n v="21557.329055999999"/>
    <n v="160472.20319"/>
    <n v="-11375.3256255"/>
    <n v="55930.614300763998"/>
    <n v="0"/>
    <n v="0"/>
    <n v="32920.705419603997"/>
    <n v="18960.110526"/>
    <n v="4661.3721386400002"/>
    <n v="0"/>
    <n v="283100"/>
    <n v="38900"/>
    <n v="322000"/>
    <n v="6.8702290076335881E-2"/>
    <n v="0.99970000000000003"/>
    <n v="1.0067999999999999"/>
    <n v="0.99729999999999996"/>
    <n v="1.0093000000000001"/>
    <n v="0.995"/>
    <n v="0.94971499999999998"/>
    <n v="0.957647495730095"/>
    <n v="283100"/>
    <n v="0"/>
    <n v="283100"/>
    <n v="36900"/>
    <n v="320000"/>
    <n v="0.16550020584602718"/>
    <n v="-0.36815068493150682"/>
    <n v="6.2064387653501495E-2"/>
  </r>
  <r>
    <n v="2025"/>
    <s v="18132214511    "/>
    <n v="-1.3862943611198906"/>
    <n v="0.25"/>
    <n v="10817"/>
    <s v="6"/>
    <s v="RES"/>
    <x v="0"/>
    <s v="11"/>
    <s v="259"/>
    <s v="TD"/>
    <s v="G"/>
    <s v="AV"/>
    <x v="7"/>
    <n v="74"/>
    <n v="51"/>
    <n v="1950"/>
    <n v="1973"/>
    <n v="1164"/>
    <m/>
    <n v="1164"/>
    <n v="582"/>
    <n v="582"/>
    <m/>
    <n v="1746"/>
    <n v="2000"/>
    <n v="7"/>
    <n v="242"/>
    <m/>
    <n v="160"/>
    <m/>
    <m/>
    <m/>
    <m/>
    <n v="379619"/>
    <n v="261937"/>
    <n v="0"/>
    <n v="339300"/>
    <n v="66200"/>
    <n v="273100"/>
    <n v="0"/>
    <n v="0"/>
    <n v="89850.625589999996"/>
    <n v="-43882.615305165229"/>
    <n v="44121.038090000002"/>
    <n v="160472.20319"/>
    <n v="-11375.3256255"/>
    <n v="57511.691736828005"/>
    <n v="0"/>
    <n v="0"/>
    <n v="33851.326067508002"/>
    <n v="26544.1547364"/>
    <n v="5327.2824441600005"/>
    <n v="0"/>
    <n v="316500"/>
    <n v="46000"/>
    <n v="362500"/>
    <n v="6.8376068376068383E-2"/>
    <n v="0.99970000000000003"/>
    <n v="0.98050000000000004"/>
    <n v="0.99729999999999996"/>
    <n v="1.0093000000000001"/>
    <n v="0.995"/>
    <n v="0.94971499999999998"/>
    <n v="0.93263147552975589"/>
    <n v="316500"/>
    <n v="0"/>
    <n v="316500"/>
    <n v="43700"/>
    <n v="360200"/>
    <n v="0.15891614793116074"/>
    <n v="-0.33987915407854985"/>
    <n v="6.1597406424992632E-2"/>
  </r>
  <r>
    <n v="2025"/>
    <s v="18132241457    "/>
    <n v="-1.6607312068216509"/>
    <n v="0.19"/>
    <n v="8060"/>
    <s v="6"/>
    <s v="RES"/>
    <x v="0"/>
    <s v="11"/>
    <s v="259"/>
    <s v="TD"/>
    <s v="A"/>
    <s v="GD"/>
    <x v="7"/>
    <n v="74"/>
    <n v="51"/>
    <n v="1950"/>
    <n v="1973"/>
    <n v="832"/>
    <m/>
    <n v="832"/>
    <n v="0"/>
    <n v="832"/>
    <m/>
    <n v="1664"/>
    <n v="2000"/>
    <n v="7"/>
    <m/>
    <m/>
    <m/>
    <m/>
    <m/>
    <m/>
    <m/>
    <n v="239832"/>
    <n v="170281"/>
    <n v="6050"/>
    <n v="321400"/>
    <n v="56600"/>
    <n v="264800"/>
    <n v="0"/>
    <n v="0"/>
    <n v="89850.625589999996"/>
    <n v="-52569.808201026557"/>
    <n v="21557.329055999999"/>
    <n v="197752.34721000001"/>
    <n v="-11375.3256255"/>
    <n v="41108.013337664001"/>
    <n v="0"/>
    <n v="0"/>
    <n v="24196.136845503999"/>
    <n v="26544.1547364"/>
    <n v="0"/>
    <n v="6100"/>
    <n v="299800"/>
    <n v="37300"/>
    <n v="343200"/>
    <n v="6.7828251400124454E-2"/>
    <n v="0.99970000000000003"/>
    <n v="1.0067999999999999"/>
    <n v="0.99650000000000005"/>
    <n v="1.0093000000000001"/>
    <n v="0.995"/>
    <n v="0.94971499999999998"/>
    <n v="0.95687930361479956"/>
    <n v="299800"/>
    <n v="5700"/>
    <n v="305500"/>
    <n v="35400"/>
    <n v="340900"/>
    <n v="0.15370090634441089"/>
    <n v="-0.37455830388692579"/>
    <n v="6.0672059738643432E-2"/>
  </r>
  <r>
    <n v="2025"/>
    <s v="18132241412    "/>
    <n v="-2.0402208285265546"/>
    <n v="0.13"/>
    <n v="5512"/>
    <s v="6"/>
    <s v="RES"/>
    <x v="0"/>
    <s v="11"/>
    <s v="259"/>
    <s v="BG"/>
    <s v="F+"/>
    <s v="FR"/>
    <x v="7"/>
    <n v="74"/>
    <n v="51"/>
    <n v="1950"/>
    <n v="1973"/>
    <n v="1120"/>
    <m/>
    <n v="1129"/>
    <n v="629"/>
    <n v="500"/>
    <m/>
    <n v="1620"/>
    <n v="2000"/>
    <n v="5"/>
    <m/>
    <m/>
    <m/>
    <m/>
    <m/>
    <m/>
    <m/>
    <n v="226772"/>
    <n v="151937"/>
    <n v="15153"/>
    <n v="252900"/>
    <n v="43400"/>
    <n v="209500"/>
    <n v="0"/>
    <n v="0"/>
    <n v="89850.625589999996"/>
    <n v="-64582.406353792743"/>
    <n v="0"/>
    <n v="133714.53821"/>
    <n v="-11375.3256255"/>
    <n v="55337.710262239998"/>
    <n v="0"/>
    <n v="0"/>
    <n v="32833.459733862997"/>
    <n v="18960.110526"/>
    <n v="0"/>
    <n v="15200"/>
    <n v="229500"/>
    <n v="25300"/>
    <n v="270000"/>
    <n v="6.7615658362989328E-2"/>
    <n v="0.99970000000000003"/>
    <n v="0.99180000000000001"/>
    <n v="0.99329999999999996"/>
    <n v="1.0093000000000001"/>
    <n v="0.995"/>
    <n v="0.94971499999999998"/>
    <n v="0.93959606830091247"/>
    <n v="229500"/>
    <n v="14400"/>
    <n v="243900"/>
    <n v="24000"/>
    <n v="267900"/>
    <n v="0.16420047732696896"/>
    <n v="-0.44700460829493088"/>
    <n v="5.9311981020166077E-2"/>
  </r>
  <r>
    <n v="2025"/>
    <s v="18132334420    "/>
    <n v="-1.7719568419318752"/>
    <n v="0.17"/>
    <m/>
    <s v="6"/>
    <s v="RES"/>
    <x v="0"/>
    <s v="11"/>
    <s v="259"/>
    <s v="TD"/>
    <s v="A+"/>
    <s v="GD"/>
    <x v="7"/>
    <n v="74"/>
    <n v="51"/>
    <n v="1950"/>
    <n v="1973"/>
    <n v="1486"/>
    <m/>
    <m/>
    <n v="0"/>
    <m/>
    <m/>
    <n v="1486"/>
    <n v="1500"/>
    <n v="9"/>
    <n v="378"/>
    <m/>
    <m/>
    <m/>
    <m/>
    <m/>
    <m/>
    <n v="309500"/>
    <n v="219745"/>
    <n v="0"/>
    <n v="336100"/>
    <n v="52700"/>
    <n v="283400"/>
    <n v="0"/>
    <n v="0"/>
    <n v="89850.625589999996"/>
    <n v="-56090.612940989391"/>
    <n v="29814.093161000001"/>
    <n v="197752.34721000001"/>
    <n v="-11375.3256255"/>
    <n v="73421.283437221995"/>
    <n v="0"/>
    <n v="0"/>
    <n v="0"/>
    <n v="34128.198946800003"/>
    <n v="0"/>
    <n v="0"/>
    <n v="323700"/>
    <n v="33800"/>
    <n v="357500"/>
    <n v="6.3671526331448972E-2"/>
    <n v="0.99970000000000003"/>
    <n v="1.0088999999999999"/>
    <n v="0.99650000000000005"/>
    <n v="1.0157"/>
    <n v="0.995"/>
    <n v="0.94971499999999998"/>
    <n v="0.9649554329763177"/>
    <n v="323700"/>
    <n v="0"/>
    <n v="323700"/>
    <n v="32100"/>
    <n v="355800"/>
    <n v="0.14220183486238533"/>
    <n v="-0.39089184060721061"/>
    <n v="5.8613507884558165E-2"/>
  </r>
  <r>
    <n v="2025"/>
    <s v="18132331474    "/>
    <n v="-1.5141277326297755"/>
    <n v="0.22"/>
    <m/>
    <s v="6"/>
    <s v="RES"/>
    <x v="0"/>
    <s v="11"/>
    <s v="259"/>
    <s v="RN"/>
    <s v="A+"/>
    <s v="GD"/>
    <x v="7"/>
    <n v="74"/>
    <n v="51"/>
    <n v="1950"/>
    <n v="1973"/>
    <n v="2044"/>
    <m/>
    <m/>
    <n v="0"/>
    <m/>
    <m/>
    <n v="2044"/>
    <n v="2500"/>
    <n v="7"/>
    <n v="330"/>
    <m/>
    <m/>
    <m/>
    <m/>
    <m/>
    <m/>
    <n v="373482"/>
    <n v="265172"/>
    <n v="0"/>
    <n v="362600"/>
    <n v="61700"/>
    <n v="300900"/>
    <n v="0"/>
    <n v="0"/>
    <n v="89850.625589999996"/>
    <n v="-47929.131559187132"/>
    <n v="29814.093161000001"/>
    <n v="197752.34721000001"/>
    <n v="-11375.3256255"/>
    <n v="100991.321228588"/>
    <n v="0"/>
    <n v="0"/>
    <n v="0"/>
    <n v="26544.1547364"/>
    <n v="0"/>
    <n v="0"/>
    <n v="343700"/>
    <n v="41900"/>
    <n v="385600"/>
    <n v="6.3430777716491998E-2"/>
    <n v="0.99970000000000003"/>
    <n v="1.0088999999999999"/>
    <n v="0.99650000000000005"/>
    <n v="0.98919999999999997"/>
    <n v="0.995"/>
    <n v="0.94971499999999998"/>
    <n v="0.93977937806455991"/>
    <n v="343700"/>
    <n v="0"/>
    <n v="343700"/>
    <n v="39800"/>
    <n v="383500"/>
    <n v="0.1422399468261881"/>
    <n v="-0.35494327390599678"/>
    <n v="5.7639271924986211E-2"/>
  </r>
  <r>
    <n v="2025"/>
    <s v="18132324519    "/>
    <n v="-1.8325814637483102"/>
    <n v="0.16"/>
    <m/>
    <s v="6"/>
    <s v="RES"/>
    <x v="0"/>
    <s v="11"/>
    <s v="259"/>
    <s v="TD"/>
    <s v="A"/>
    <s v="AV"/>
    <x v="7"/>
    <n v="74"/>
    <n v="51"/>
    <n v="1950"/>
    <n v="1973"/>
    <n v="895"/>
    <m/>
    <n v="895"/>
    <n v="447"/>
    <n v="448"/>
    <m/>
    <n v="1343"/>
    <n v="1500"/>
    <n v="7"/>
    <m/>
    <m/>
    <m/>
    <m/>
    <m/>
    <m/>
    <m/>
    <n v="211213"/>
    <n v="145737"/>
    <n v="3406"/>
    <n v="284500"/>
    <n v="50600"/>
    <n v="233900"/>
    <n v="0"/>
    <n v="0"/>
    <n v="89850.625589999996"/>
    <n v="-58009.662049032086"/>
    <n v="21557.329055999999"/>
    <n v="160472.20319"/>
    <n v="-11375.3256255"/>
    <n v="44220.759539915001"/>
    <n v="0"/>
    <n v="0"/>
    <n v="26028.296246064998"/>
    <n v="26544.1547364"/>
    <n v="0"/>
    <n v="3400"/>
    <n v="267400"/>
    <n v="31800"/>
    <n v="302600"/>
    <n v="6.3620386643233745E-2"/>
    <n v="0.99970000000000003"/>
    <n v="1.0067999999999999"/>
    <n v="0.99729999999999996"/>
    <n v="1.0157"/>
    <n v="0.995"/>
    <n v="0.94971499999999998"/>
    <n v="0.96371996573175212"/>
    <n v="267400"/>
    <n v="3200"/>
    <n v="270600"/>
    <n v="30200"/>
    <n v="300800"/>
    <n v="0.15690466011115861"/>
    <n v="-0.40316205533596838"/>
    <n v="5.7293497363796131E-2"/>
  </r>
  <r>
    <n v="2025"/>
    <s v="18132214510    "/>
    <n v="-1.4271163556401458"/>
    <n v="0.24"/>
    <n v="10308"/>
    <s v="6"/>
    <s v="RES"/>
    <x v="0"/>
    <s v="11"/>
    <s v="259"/>
    <s v="RN"/>
    <s v="A"/>
    <s v="FR"/>
    <x v="7"/>
    <n v="74"/>
    <n v="51"/>
    <n v="1950"/>
    <n v="1973"/>
    <n v="1336"/>
    <m/>
    <n v="1336"/>
    <n v="658"/>
    <n v="678"/>
    <m/>
    <n v="2014"/>
    <n v="2500"/>
    <n v="9"/>
    <n v="240"/>
    <m/>
    <m/>
    <m/>
    <m/>
    <m/>
    <m/>
    <n v="327150"/>
    <n v="219191"/>
    <n v="28784"/>
    <n v="333500"/>
    <n v="64800"/>
    <n v="268700"/>
    <n v="0"/>
    <n v="0"/>
    <n v="89850.625589999996"/>
    <n v="-45174.819855485119"/>
    <n v="21557.329055999999"/>
    <n v="133714.53821"/>
    <n v="-11375.3256255"/>
    <n v="66009.982955672007"/>
    <n v="0"/>
    <n v="0"/>
    <n v="38853.412049991995"/>
    <n v="34128.198946800003"/>
    <n v="0"/>
    <n v="28800"/>
    <n v="282900"/>
    <n v="44700"/>
    <n v="356400"/>
    <n v="6.8665667166416797E-2"/>
    <n v="0.99970000000000003"/>
    <n v="1.0067999999999999"/>
    <n v="0.99329999999999996"/>
    <n v="0.98919999999999997"/>
    <n v="0.995"/>
    <n v="0.94971499999999998"/>
    <n v="0.93481167598727721"/>
    <n v="282900"/>
    <n v="27300"/>
    <n v="310200"/>
    <n v="42400"/>
    <n v="352600"/>
    <n v="0.15444733903982136"/>
    <n v="-0.34567901234567899"/>
    <n v="5.7271364317841078E-2"/>
  </r>
  <r>
    <n v="2025"/>
    <s v="18132332400    "/>
    <n v="-2.120263536200091"/>
    <n v="0.12"/>
    <m/>
    <s v="6"/>
    <s v="RES"/>
    <x v="0"/>
    <s v="11"/>
    <s v="259"/>
    <s v="RN"/>
    <s v="A"/>
    <s v="AV"/>
    <x v="7"/>
    <n v="74"/>
    <n v="51"/>
    <n v="1950"/>
    <n v="1973"/>
    <n v="1209"/>
    <m/>
    <m/>
    <n v="0"/>
    <m/>
    <m/>
    <n v="1209"/>
    <n v="1500"/>
    <n v="5"/>
    <n v="216"/>
    <m/>
    <m/>
    <m/>
    <m/>
    <m/>
    <m/>
    <n v="203029"/>
    <n v="140090"/>
    <n v="0"/>
    <n v="256300"/>
    <n v="40600"/>
    <n v="215700"/>
    <n v="0"/>
    <n v="0"/>
    <n v="89850.625589999996"/>
    <n v="-67116.12750806773"/>
    <n v="21557.329055999999"/>
    <n v="160472.20319"/>
    <n v="-11375.3256255"/>
    <n v="59735.081881293001"/>
    <n v="0"/>
    <n v="0"/>
    <n v="0"/>
    <n v="18960.110526"/>
    <n v="0"/>
    <n v="0"/>
    <n v="249300"/>
    <n v="22700"/>
    <n v="272000"/>
    <n v="6.1256340226297307E-2"/>
    <n v="0.99970000000000003"/>
    <n v="1.0067999999999999"/>
    <n v="0.99729999999999996"/>
    <n v="1.0157"/>
    <n v="0.995"/>
    <n v="0.94971499999999998"/>
    <n v="0.96371996573175212"/>
    <n v="249300"/>
    <n v="0"/>
    <n v="249300"/>
    <n v="21600"/>
    <n v="270900"/>
    <n v="0.15577190542420027"/>
    <n v="-0.46798029556650245"/>
    <n v="5.6964494732735078E-2"/>
  </r>
  <r>
    <n v="2025"/>
    <s v="18132214504    "/>
    <n v="-1.3470736479666092"/>
    <n v="0.26"/>
    <n v="11466"/>
    <s v="6"/>
    <s v="RES"/>
    <x v="0"/>
    <s v="11"/>
    <s v="259"/>
    <s v="RN"/>
    <s v="A"/>
    <s v="AV"/>
    <x v="7"/>
    <n v="74"/>
    <n v="51"/>
    <n v="1950"/>
    <n v="1973"/>
    <n v="2248"/>
    <m/>
    <n v="1349"/>
    <n v="1349"/>
    <m/>
    <m/>
    <n v="2248"/>
    <n v="2500"/>
    <n v="9"/>
    <m/>
    <m/>
    <m/>
    <m/>
    <m/>
    <m/>
    <m/>
    <n v="406173"/>
    <n v="280259"/>
    <n v="11807"/>
    <n v="389000"/>
    <n v="67600"/>
    <n v="321400"/>
    <n v="0"/>
    <n v="0"/>
    <n v="89850.625589999996"/>
    <n v="-42641.098701210125"/>
    <n v="21557.329055999999"/>
    <n v="160472.20319"/>
    <n v="-11375.3256255"/>
    <n v="111070.689883496"/>
    <n v="0"/>
    <n v="0"/>
    <n v="39231.476688202994"/>
    <n v="34128.198946800003"/>
    <n v="0"/>
    <n v="11800"/>
    <n v="355100"/>
    <n v="47200"/>
    <n v="414100"/>
    <n v="6.4524421593830331E-2"/>
    <n v="0.99970000000000003"/>
    <n v="1.0067999999999999"/>
    <n v="0.99729999999999996"/>
    <n v="0.98919999999999997"/>
    <n v="0.995"/>
    <n v="0.94971499999999998"/>
    <n v="0.93857614463114025"/>
    <n v="355100"/>
    <n v="11200"/>
    <n v="366300"/>
    <n v="44800"/>
    <n v="411100"/>
    <n v="0.13970130678282514"/>
    <n v="-0.33727810650887574"/>
    <n v="5.6812339331619534E-2"/>
  </r>
  <r>
    <n v="2025"/>
    <s v="18132243462    "/>
    <n v="-1.6094379124341003"/>
    <n v="0.2"/>
    <n v="8680"/>
    <s v="6"/>
    <s v="RES"/>
    <x v="0"/>
    <s v="11"/>
    <s v="259"/>
    <s v="TD"/>
    <s v="A+"/>
    <s v="AV"/>
    <x v="7"/>
    <n v="74"/>
    <n v="51"/>
    <n v="1950"/>
    <n v="1973"/>
    <n v="1034"/>
    <m/>
    <n v="455"/>
    <n v="455"/>
    <m/>
    <m/>
    <n v="1034"/>
    <n v="1500"/>
    <n v="6"/>
    <n v="280"/>
    <m/>
    <m/>
    <m/>
    <m/>
    <m/>
    <m/>
    <n v="247320"/>
    <n v="170651"/>
    <n v="0"/>
    <n v="286700"/>
    <n v="58400"/>
    <n v="228300"/>
    <n v="0"/>
    <n v="0"/>
    <n v="89850.625589999996"/>
    <n v="-50946.13867709865"/>
    <n v="29814.093161000001"/>
    <n v="160472.20319"/>
    <n v="-11375.3256255"/>
    <n v="51088.564652818"/>
    <n v="0"/>
    <n v="0"/>
    <n v="13232.262337385"/>
    <n v="22752.132631200002"/>
    <n v="0"/>
    <n v="0"/>
    <n v="266000"/>
    <n v="38900"/>
    <n v="304900"/>
    <n v="6.3480990582490404E-2"/>
    <n v="0.99970000000000003"/>
    <n v="1.0088999999999999"/>
    <n v="0.99729999999999996"/>
    <n v="1.0157"/>
    <n v="0.995"/>
    <n v="0.94971499999999998"/>
    <n v="0.96573010868768849"/>
    <n v="266000"/>
    <n v="0"/>
    <n v="266000"/>
    <n v="36900"/>
    <n v="302900"/>
    <n v="0.1651335961454227"/>
    <n v="-0.36815068493150682"/>
    <n v="5.6505057551447503E-2"/>
  </r>
  <r>
    <n v="2025"/>
    <s v="18132321416    "/>
    <n v="-0.6348782724359695"/>
    <n v="0.53"/>
    <n v="23117"/>
    <s v="6"/>
    <s v="RES"/>
    <x v="0"/>
    <s v="11"/>
    <s v="259"/>
    <s v="CO"/>
    <s v="A"/>
    <s v="GD"/>
    <x v="7"/>
    <n v="74"/>
    <n v="51"/>
    <n v="1950"/>
    <n v="1973"/>
    <n v="1320"/>
    <n v="1160"/>
    <n v="1160"/>
    <n v="229"/>
    <n v="931"/>
    <m/>
    <n v="3411"/>
    <n v="3500"/>
    <n v="11"/>
    <n v="441"/>
    <m/>
    <n v="200"/>
    <m/>
    <m/>
    <m/>
    <m/>
    <n v="460295"/>
    <n v="326809"/>
    <n v="51170"/>
    <n v="494100"/>
    <n v="92400"/>
    <n v="401700"/>
    <n v="0"/>
    <n v="0"/>
    <n v="89850.625589999996"/>
    <n v="-20096.827756270526"/>
    <n v="21557.329055999999"/>
    <n v="197752.34721000001"/>
    <n v="-11375.3256255"/>
    <n v="65219.444237640004"/>
    <n v="51952.250518759996"/>
    <n v="0"/>
    <n v="33734.998486519995"/>
    <n v="41712.243157199999"/>
    <n v="6659.1030552000011"/>
    <n v="51200"/>
    <n v="407200"/>
    <n v="69800"/>
    <n v="528200"/>
    <n v="6.9014369560817648E-2"/>
    <n v="0.99970000000000003"/>
    <n v="1.0067999999999999"/>
    <n v="0.99650000000000005"/>
    <n v="1.0126999999999999"/>
    <n v="0.995"/>
    <n v="0.94971499999999998"/>
    <n v="0.96010271551640491"/>
    <n v="407200"/>
    <n v="48600"/>
    <n v="455800"/>
    <n v="66200"/>
    <n v="522000"/>
    <n v="0.13467762011451331"/>
    <n v="-0.28354978354978355"/>
    <n v="5.6466302367941715E-2"/>
  </r>
  <r>
    <n v="2025"/>
    <s v="18132324522    "/>
    <n v="-1.3470736479666092"/>
    <n v="0.26"/>
    <n v="11200"/>
    <s v="6"/>
    <s v="RES"/>
    <x v="0"/>
    <s v="11"/>
    <s v="259"/>
    <s v="TD"/>
    <s v="G"/>
    <s v="GD"/>
    <x v="7"/>
    <n v="74"/>
    <n v="51"/>
    <n v="1950"/>
    <n v="1973"/>
    <n v="2006"/>
    <m/>
    <n v="240"/>
    <n v="0"/>
    <n v="240"/>
    <m/>
    <n v="2246"/>
    <n v="2500"/>
    <n v="8"/>
    <m/>
    <m/>
    <m/>
    <m/>
    <m/>
    <m/>
    <m/>
    <n v="496334"/>
    <n v="352397"/>
    <n v="8098"/>
    <n v="397100"/>
    <n v="67600"/>
    <n v="329500"/>
    <n v="0"/>
    <n v="0"/>
    <n v="89850.625589999996"/>
    <n v="-42641.098701210125"/>
    <n v="44121.038090000002"/>
    <n v="197752.34721000001"/>
    <n v="-11375.3256255"/>
    <n v="99113.791773261997"/>
    <n v="0"/>
    <n v="0"/>
    <n v="6979.65485928"/>
    <n v="30336.176841600001"/>
    <n v="0"/>
    <n v="8100"/>
    <n v="366900"/>
    <n v="47200"/>
    <n v="422200"/>
    <n v="6.3208259884160164E-2"/>
    <n v="0.99970000000000003"/>
    <n v="0.98050000000000004"/>
    <n v="0.99650000000000005"/>
    <n v="0.98919999999999997"/>
    <n v="0.995"/>
    <n v="0.94971499999999998"/>
    <n v="0.91332508691872449"/>
    <n v="366900"/>
    <n v="7700"/>
    <n v="374600"/>
    <n v="44800"/>
    <n v="419400"/>
    <n v="0.13687405159332322"/>
    <n v="-0.33727810650887574"/>
    <n v="5.6157139259632331E-2"/>
  </r>
  <r>
    <n v="2025"/>
    <s v="18132323498    "/>
    <n v="-1.6094379124341003"/>
    <n v="0.2"/>
    <m/>
    <s v="6"/>
    <s v="RES"/>
    <x v="0"/>
    <s v="11"/>
    <s v="259"/>
    <s v="TD"/>
    <s v="A"/>
    <s v="AV"/>
    <x v="7"/>
    <n v="74"/>
    <n v="51"/>
    <n v="1950"/>
    <n v="1973"/>
    <n v="1093"/>
    <m/>
    <m/>
    <n v="0"/>
    <m/>
    <m/>
    <n v="1093"/>
    <n v="1500"/>
    <n v="5"/>
    <m/>
    <m/>
    <m/>
    <m/>
    <m/>
    <m/>
    <m/>
    <n v="188408"/>
    <n v="130002"/>
    <n v="8527"/>
    <n v="273400"/>
    <n v="58400"/>
    <n v="215000"/>
    <n v="0"/>
    <n v="0"/>
    <n v="89850.625589999996"/>
    <n v="-50946.13867709865"/>
    <n v="21557.329055999999"/>
    <n v="160472.20319"/>
    <n v="-11375.3256255"/>
    <n v="54003.676175560999"/>
    <n v="0"/>
    <n v="0"/>
    <n v="0"/>
    <n v="18960.110526"/>
    <n v="0"/>
    <n v="8500"/>
    <n v="243600"/>
    <n v="38900"/>
    <n v="291000"/>
    <n v="6.4374542794440381E-2"/>
    <n v="0.99970000000000003"/>
    <n v="1.0067999999999999"/>
    <n v="0.99729999999999996"/>
    <n v="1.0157"/>
    <n v="0.995"/>
    <n v="0.94971499999999998"/>
    <n v="0.96371996573175212"/>
    <n v="243600"/>
    <n v="8100"/>
    <n v="251700"/>
    <n v="36900"/>
    <n v="288600"/>
    <n v="0.17069767441860464"/>
    <n v="-0.36815068493150682"/>
    <n v="5.5596196049743966E-2"/>
  </r>
  <r>
    <n v="2025"/>
    <s v="18132244469    "/>
    <n v="-1.6607312068216509"/>
    <n v="0.19"/>
    <n v="8406"/>
    <s v="6"/>
    <s v="RES"/>
    <x v="0"/>
    <s v="11"/>
    <s v="259"/>
    <s v="TD"/>
    <s v="A"/>
    <s v="AV"/>
    <x v="7"/>
    <n v="74"/>
    <n v="51"/>
    <n v="1950"/>
    <n v="1973"/>
    <n v="1015"/>
    <m/>
    <n v="1015"/>
    <n v="507"/>
    <n v="508"/>
    <m/>
    <n v="1523"/>
    <n v="2000"/>
    <n v="5"/>
    <m/>
    <m/>
    <m/>
    <m/>
    <m/>
    <m/>
    <m/>
    <n v="241217"/>
    <n v="166440"/>
    <n v="6603"/>
    <n v="294700"/>
    <n v="56600"/>
    <n v="238100"/>
    <n v="0"/>
    <n v="0"/>
    <n v="89850.625589999996"/>
    <n v="-52569.808201026557"/>
    <n v="21557.329055999999"/>
    <n v="160472.20319"/>
    <n v="-11375.3256255"/>
    <n v="50149.799925154999"/>
    <n v="0"/>
    <n v="0"/>
    <n v="29518.123675704999"/>
    <n v="18960.110526"/>
    <n v="0"/>
    <n v="6600"/>
    <n v="269300"/>
    <n v="37300"/>
    <n v="313200"/>
    <n v="6.2775704105870384E-2"/>
    <n v="0.99970000000000003"/>
    <n v="1.0067999999999999"/>
    <n v="0.99729999999999996"/>
    <n v="1.0093000000000001"/>
    <n v="0.995"/>
    <n v="0.94971499999999998"/>
    <n v="0.957647495730095"/>
    <n v="269300"/>
    <n v="6300"/>
    <n v="275600"/>
    <n v="35400"/>
    <n v="311000"/>
    <n v="0.15749685006299874"/>
    <n v="-0.37455830388692579"/>
    <n v="5.5310485239226333E-2"/>
  </r>
  <r>
    <n v="2025"/>
    <s v="18132214508    "/>
    <n v="-1.7719568419318752"/>
    <n v="0.17"/>
    <n v="7254"/>
    <s v="6"/>
    <s v="RES"/>
    <x v="0"/>
    <s v="11"/>
    <s v="259"/>
    <s v="TD"/>
    <s v="A"/>
    <s v="AV"/>
    <x v="7"/>
    <n v="74"/>
    <n v="51"/>
    <n v="1950"/>
    <n v="1973"/>
    <n v="1218"/>
    <m/>
    <n v="1398"/>
    <n v="811"/>
    <n v="587"/>
    <m/>
    <n v="1805"/>
    <n v="2000"/>
    <n v="8"/>
    <n v="408"/>
    <m/>
    <m/>
    <m/>
    <m/>
    <m/>
    <m/>
    <n v="312883"/>
    <n v="215889"/>
    <n v="0"/>
    <n v="316400"/>
    <n v="52700"/>
    <n v="263700"/>
    <n v="0"/>
    <n v="0"/>
    <n v="89850.625589999996"/>
    <n v="-56090.612940989391"/>
    <n v="21557.329055999999"/>
    <n v="160472.20319"/>
    <n v="-11375.3256255"/>
    <n v="60179.759910186003"/>
    <n v="0"/>
    <n v="0"/>
    <n v="40656.489555305998"/>
    <n v="30336.176841600001"/>
    <n v="0"/>
    <n v="0"/>
    <n v="301800"/>
    <n v="33800"/>
    <n v="335600"/>
    <n v="6.0682680151706699E-2"/>
    <n v="0.99970000000000003"/>
    <n v="1.0067999999999999"/>
    <n v="0.99729999999999996"/>
    <n v="1.0093000000000001"/>
    <n v="0.995"/>
    <n v="0.94971499999999998"/>
    <n v="0.957647495730095"/>
    <n v="301800"/>
    <n v="0"/>
    <n v="301800"/>
    <n v="32100"/>
    <n v="333900"/>
    <n v="0.14448236632536973"/>
    <n v="-0.39089184060721061"/>
    <n v="5.5309734513274339E-2"/>
  </r>
  <r>
    <n v="2025"/>
    <s v="18132324427    "/>
    <n v="-1.4696759700589417"/>
    <n v="0.23"/>
    <n v="9863"/>
    <s v="6"/>
    <s v="RES"/>
    <x v="0"/>
    <s v="11"/>
    <s v="259"/>
    <s v="RN"/>
    <s v="G"/>
    <s v="GD"/>
    <x v="7"/>
    <n v="74"/>
    <n v="51"/>
    <n v="1950"/>
    <n v="1973"/>
    <n v="1449"/>
    <m/>
    <n v="1089"/>
    <n v="327"/>
    <n v="762"/>
    <m/>
    <n v="2211"/>
    <n v="2500"/>
    <n v="12"/>
    <m/>
    <n v="360"/>
    <m/>
    <m/>
    <m/>
    <m/>
    <m/>
    <n v="477609"/>
    <n v="339102"/>
    <n v="0"/>
    <n v="398500"/>
    <n v="63300"/>
    <n v="335200"/>
    <n v="0"/>
    <n v="0"/>
    <n v="89850.625589999996"/>
    <n v="-46522.028095997222"/>
    <n v="44121.038090000002"/>
    <n v="197752.34721000001"/>
    <n v="-11375.3256255"/>
    <n v="71593.162651773004"/>
    <n v="0"/>
    <n v="0"/>
    <n v="31670.183923982997"/>
    <n v="45504.265262400004"/>
    <n v="0"/>
    <n v="0"/>
    <n v="379300"/>
    <n v="43300"/>
    <n v="422600"/>
    <n v="6.0476787954830614E-2"/>
    <n v="0.99970000000000003"/>
    <n v="0.98050000000000004"/>
    <n v="0.99650000000000005"/>
    <n v="0.98919999999999997"/>
    <n v="0.995"/>
    <n v="0.94971499999999998"/>
    <n v="0.91332508691872449"/>
    <n v="379300"/>
    <n v="0"/>
    <n v="379300"/>
    <n v="41100"/>
    <n v="420400"/>
    <n v="0.13156324582338902"/>
    <n v="-0.35071090047393366"/>
    <n v="5.4956085319949811E-2"/>
  </r>
  <r>
    <n v="2025"/>
    <s v="18132323503    "/>
    <n v="-1.7719568419318752"/>
    <n v="0.17"/>
    <n v="7216"/>
    <s v="6"/>
    <s v="RES"/>
    <x v="0"/>
    <s v="11"/>
    <s v="259"/>
    <s v="TD"/>
    <s v="A"/>
    <s v="AV"/>
    <x v="7"/>
    <n v="74"/>
    <n v="51"/>
    <n v="1950"/>
    <n v="1973"/>
    <n v="1048"/>
    <m/>
    <n v="1048"/>
    <n v="524"/>
    <n v="524"/>
    <m/>
    <n v="1572"/>
    <n v="2000"/>
    <n v="7"/>
    <m/>
    <m/>
    <m/>
    <m/>
    <m/>
    <m/>
    <m/>
    <n v="249443"/>
    <n v="172116"/>
    <n v="6388"/>
    <n v="301300"/>
    <n v="52700"/>
    <n v="248600"/>
    <n v="0"/>
    <n v="0"/>
    <n v="89850.625589999996"/>
    <n v="-56090.612940989391"/>
    <n v="21557.329055999999"/>
    <n v="160472.20319"/>
    <n v="-11375.3256255"/>
    <n v="51780.286031096002"/>
    <n v="0"/>
    <n v="0"/>
    <n v="30477.826218856"/>
    <n v="26544.1547364"/>
    <n v="0"/>
    <n v="6400"/>
    <n v="279500"/>
    <n v="33800"/>
    <n v="319700"/>
    <n v="6.1068702290076333E-2"/>
    <n v="0.99970000000000003"/>
    <n v="1.0067999999999999"/>
    <n v="0.99729999999999996"/>
    <n v="1.0093000000000001"/>
    <n v="0.995"/>
    <n v="0.94971499999999998"/>
    <n v="0.957647495730095"/>
    <n v="279500"/>
    <n v="6100"/>
    <n v="285600"/>
    <n v="32100"/>
    <n v="317700"/>
    <n v="0.14883346741753822"/>
    <n v="-0.39089184060721061"/>
    <n v="5.4430799867241954E-2"/>
  </r>
  <r>
    <n v="2025"/>
    <s v="18132323441    "/>
    <n v="-1.5141277326297755"/>
    <n v="0.22"/>
    <m/>
    <s v="6"/>
    <s v="RES"/>
    <x v="0"/>
    <s v="11"/>
    <s v="259"/>
    <s v="RN"/>
    <s v="A"/>
    <s v="GD"/>
    <x v="7"/>
    <n v="74"/>
    <n v="51"/>
    <n v="1950"/>
    <n v="1973"/>
    <n v="1619"/>
    <n v="260"/>
    <m/>
    <n v="0"/>
    <m/>
    <m/>
    <n v="1879"/>
    <n v="2000"/>
    <n v="8"/>
    <m/>
    <m/>
    <m/>
    <m/>
    <m/>
    <m/>
    <m/>
    <n v="274242"/>
    <n v="194712"/>
    <n v="0"/>
    <n v="351000"/>
    <n v="61700"/>
    <n v="289300"/>
    <n v="0"/>
    <n v="0"/>
    <n v="89850.625589999996"/>
    <n v="-47929.131559187132"/>
    <n v="21557.329055999999"/>
    <n v="197752.34721000001"/>
    <n v="-11375.3256255"/>
    <n v="79992.636530863005"/>
    <n v="11644.46994386"/>
    <n v="0"/>
    <n v="0"/>
    <n v="30336.176841600001"/>
    <n v="0"/>
    <n v="0"/>
    <n v="329900"/>
    <n v="41900"/>
    <n v="371800"/>
    <n v="5.9259259259259262E-2"/>
    <n v="0.99970000000000003"/>
    <n v="1.0067999999999999"/>
    <n v="0.99650000000000005"/>
    <n v="1.0093000000000001"/>
    <n v="0.995"/>
    <n v="0.94971499999999998"/>
    <n v="0.95687930361479956"/>
    <n v="329900"/>
    <n v="0"/>
    <n v="329900"/>
    <n v="39800"/>
    <n v="369700"/>
    <n v="0.14033874870376772"/>
    <n v="-0.35494327390599678"/>
    <n v="5.3276353276353279E-2"/>
  </r>
  <r>
    <n v="2025"/>
    <s v="18132214453    "/>
    <n v="-1.5606477482646683"/>
    <n v="0.21"/>
    <n v="9172"/>
    <s v="6"/>
    <s v="RES"/>
    <x v="0"/>
    <s v="11"/>
    <s v="259"/>
    <s v="RN"/>
    <s v="A"/>
    <s v="AV"/>
    <x v="7"/>
    <n v="74"/>
    <n v="51"/>
    <n v="1950"/>
    <n v="1973"/>
    <n v="960"/>
    <m/>
    <m/>
    <n v="0"/>
    <m/>
    <m/>
    <n v="960"/>
    <n v="1000"/>
    <n v="5"/>
    <n v="280"/>
    <m/>
    <m/>
    <m/>
    <m/>
    <m/>
    <m/>
    <n v="188628"/>
    <n v="130153"/>
    <n v="0"/>
    <n v="261500"/>
    <n v="60100"/>
    <n v="201400"/>
    <n v="0"/>
    <n v="0"/>
    <n v="89850.625589999996"/>
    <n v="-49401.70477837498"/>
    <n v="21557.329055999999"/>
    <n v="160472.20319"/>
    <n v="-11375.3256255"/>
    <n v="47432.323081920003"/>
    <n v="0"/>
    <n v="0"/>
    <n v="0"/>
    <n v="18960.110526"/>
    <n v="0"/>
    <n v="0"/>
    <n v="237000"/>
    <n v="40400"/>
    <n v="277400"/>
    <n v="6.0803059273422562E-2"/>
    <n v="0.99970000000000003"/>
    <n v="1.0067999999999999"/>
    <n v="0.99729999999999996"/>
    <n v="1.0148999999999999"/>
    <n v="0.995"/>
    <n v="0.94971499999999998"/>
    <n v="0.96296090698154491"/>
    <n v="237000"/>
    <n v="0"/>
    <n v="237000"/>
    <n v="38400"/>
    <n v="275400"/>
    <n v="0.17676266137040714"/>
    <n v="-0.36106489184692181"/>
    <n v="5.3154875717017207E-2"/>
  </r>
  <r>
    <n v="2025"/>
    <s v="18132241448    "/>
    <n v="-2.6592600369327779"/>
    <n v="7.0000000000000007E-2"/>
    <n v="3233"/>
    <s v="6"/>
    <s v="RES"/>
    <x v="0"/>
    <s v="11"/>
    <s v="259"/>
    <s v="TD"/>
    <s v="F+"/>
    <s v="AV"/>
    <x v="7"/>
    <n v="74"/>
    <n v="51"/>
    <n v="1950"/>
    <n v="1973"/>
    <n v="905"/>
    <m/>
    <m/>
    <n v="0"/>
    <m/>
    <m/>
    <n v="905"/>
    <n v="1000"/>
    <n v="5"/>
    <m/>
    <m/>
    <m/>
    <m/>
    <m/>
    <m/>
    <m/>
    <n v="157851"/>
    <n v="108917"/>
    <n v="0"/>
    <n v="207200"/>
    <n v="21800"/>
    <n v="185400"/>
    <n v="0"/>
    <n v="0"/>
    <n v="89850.625589999996"/>
    <n v="-84177.854624504558"/>
    <n v="0"/>
    <n v="160472.20319"/>
    <n v="-11375.3256255"/>
    <n v="44714.846238685001"/>
    <n v="0"/>
    <n v="0"/>
    <n v="0"/>
    <n v="18960.110526"/>
    <n v="0"/>
    <n v="0"/>
    <n v="212800"/>
    <n v="5700"/>
    <n v="218500"/>
    <n v="5.4536679536679539E-2"/>
    <n v="0.99970000000000003"/>
    <n v="0.99180000000000001"/>
    <n v="0.99729999999999996"/>
    <n v="1.0148999999999999"/>
    <n v="0.995"/>
    <n v="0.94971499999999998"/>
    <n v="0.94861405199075932"/>
    <n v="212800"/>
    <n v="0"/>
    <n v="212800"/>
    <n v="5400"/>
    <n v="218200"/>
    <n v="0.14778856526429343"/>
    <n v="-0.75229357798165142"/>
    <n v="5.3088803088803087E-2"/>
  </r>
  <r>
    <n v="2025"/>
    <s v="18132244473    "/>
    <n v="-1.6607312068216509"/>
    <n v="0.19"/>
    <n v="8231"/>
    <s v="6"/>
    <s v="RES"/>
    <x v="0"/>
    <s v="11"/>
    <s v="259"/>
    <s v="TD"/>
    <s v="A"/>
    <s v="AV"/>
    <x v="7"/>
    <n v="74"/>
    <n v="51"/>
    <n v="1950"/>
    <n v="1973"/>
    <n v="1092"/>
    <m/>
    <n v="1092"/>
    <n v="292"/>
    <n v="800"/>
    <m/>
    <n v="1892"/>
    <n v="2000"/>
    <n v="8"/>
    <m/>
    <m/>
    <n v="310"/>
    <m/>
    <m/>
    <m/>
    <m/>
    <n v="289718"/>
    <n v="199905"/>
    <n v="11645"/>
    <n v="326300"/>
    <n v="56600"/>
    <n v="269700"/>
    <n v="0"/>
    <n v="0"/>
    <n v="89850.625589999996"/>
    <n v="-52569.808201026557"/>
    <n v="21557.329055999999"/>
    <n v="160472.20319"/>
    <n v="-11375.3256255"/>
    <n v="53954.267505684002"/>
    <n v="0"/>
    <n v="0"/>
    <n v="31757.429609723997"/>
    <n v="30336.176841600001"/>
    <n v="10321.609735560001"/>
    <n v="11600"/>
    <n v="297000"/>
    <n v="37300"/>
    <n v="345900"/>
    <n v="6.0067422617223414E-2"/>
    <n v="0.99970000000000003"/>
    <n v="1.0067999999999999"/>
    <n v="0.99729999999999996"/>
    <n v="1.0093000000000001"/>
    <n v="0.995"/>
    <n v="0.94971499999999998"/>
    <n v="0.957647495730095"/>
    <n v="297000"/>
    <n v="11100"/>
    <n v="308100"/>
    <n v="35400"/>
    <n v="343500"/>
    <n v="0.14238042269187987"/>
    <n v="-0.37455830388692579"/>
    <n v="5.2712228011032793E-2"/>
  </r>
  <r>
    <n v="2025"/>
    <s v="18132213400    "/>
    <n v="-1.3470736479666092"/>
    <n v="0.26"/>
    <n v="11326"/>
    <s v="4"/>
    <s v="COM"/>
    <x v="0"/>
    <s v="65"/>
    <s v=""/>
    <s v="TD"/>
    <s v="A"/>
    <s v="AV"/>
    <x v="7"/>
    <n v="74"/>
    <n v="51"/>
    <n v="1950"/>
    <n v="1973"/>
    <n v="1444"/>
    <m/>
    <n v="1444"/>
    <n v="694"/>
    <n v="750"/>
    <m/>
    <n v="2194"/>
    <n v="2500"/>
    <n v="7"/>
    <m/>
    <m/>
    <m/>
    <m/>
    <m/>
    <m/>
    <m/>
    <n v="344375"/>
    <n v="237619"/>
    <n v="21781"/>
    <n v="357200"/>
    <n v="122300"/>
    <n v="234900"/>
    <n v="0"/>
    <n v="0"/>
    <n v="89850.625589999996"/>
    <n v="-42641.098701210125"/>
    <n v="21557.329055999999"/>
    <n v="160472.20319"/>
    <n v="-11375.3256255"/>
    <n v="71346.119302388004"/>
    <n v="0"/>
    <n v="0"/>
    <n v="41994.256736668001"/>
    <n v="26544.1547364"/>
    <n v="0"/>
    <n v="21800"/>
    <n v="310500"/>
    <n v="47200"/>
    <n v="379500"/>
    <n v="6.2430011198208284E-2"/>
    <n v="0.99970000000000003"/>
    <n v="1.0067999999999999"/>
    <n v="0.99729999999999996"/>
    <n v="0.98919999999999997"/>
    <n v="0.995"/>
    <n v="0.94971499999999998"/>
    <n v="0.93857614463114025"/>
    <n v="310500"/>
    <n v="20700"/>
    <n v="331200"/>
    <n v="44800"/>
    <n v="376000"/>
    <n v="0.40996168582375481"/>
    <n v="-0.63368765331152899"/>
    <n v="5.2631578947368418E-2"/>
  </r>
  <r>
    <n v="2025"/>
    <s v="18132322433    "/>
    <n v="-1.5606477482646683"/>
    <n v="0.21"/>
    <n v="9236"/>
    <s v="6"/>
    <s v="RES"/>
    <x v="0"/>
    <s v="11"/>
    <s v="259"/>
    <s v="TD"/>
    <s v="A"/>
    <s v="AV"/>
    <x v="7"/>
    <n v="74"/>
    <n v="51"/>
    <n v="1950"/>
    <n v="1973"/>
    <n v="1660"/>
    <m/>
    <n v="1202"/>
    <n v="588"/>
    <n v="614"/>
    <m/>
    <n v="2274"/>
    <n v="2500"/>
    <n v="8"/>
    <m/>
    <m/>
    <n v="176"/>
    <m/>
    <m/>
    <m/>
    <m/>
    <n v="349597"/>
    <n v="241222"/>
    <n v="0"/>
    <n v="344200"/>
    <n v="60100"/>
    <n v="284100"/>
    <n v="0"/>
    <n v="0"/>
    <n v="89850.625589999996"/>
    <n v="-49401.70477837498"/>
    <n v="21557.329055999999"/>
    <n v="160472.20319"/>
    <n v="-11375.3256255"/>
    <n v="82018.391995819999"/>
    <n v="0"/>
    <n v="0"/>
    <n v="34956.438086893999"/>
    <n v="30336.176841600001"/>
    <n v="5860.0106885760006"/>
    <n v="0"/>
    <n v="323800"/>
    <n v="40400"/>
    <n v="364200"/>
    <n v="5.8105752469494482E-2"/>
    <n v="0.99970000000000003"/>
    <n v="1.0067999999999999"/>
    <n v="0.99729999999999996"/>
    <n v="0.98919999999999997"/>
    <n v="0.995"/>
    <n v="0.94971499999999998"/>
    <n v="0.93857614463114025"/>
    <n v="323800"/>
    <n v="0"/>
    <n v="323800"/>
    <n v="38400"/>
    <n v="362200"/>
    <n v="0.13973952833509329"/>
    <n v="-0.36106489184692181"/>
    <n v="5.2295177222545029E-2"/>
  </r>
  <r>
    <n v="2025"/>
    <s v="18132324532    "/>
    <n v="-1.6607312068216509"/>
    <n v="0.19"/>
    <n v="8163"/>
    <s v="6"/>
    <s v="RES"/>
    <x v="0"/>
    <s v="11"/>
    <s v="259"/>
    <s v="TD"/>
    <s v="A"/>
    <s v="AV"/>
    <x v="7"/>
    <n v="74"/>
    <n v="51"/>
    <n v="1950"/>
    <n v="1973"/>
    <n v="904"/>
    <m/>
    <n v="904"/>
    <n v="452"/>
    <n v="452"/>
    <m/>
    <n v="1356"/>
    <n v="1500"/>
    <n v="8"/>
    <m/>
    <m/>
    <m/>
    <m/>
    <m/>
    <m/>
    <m/>
    <n v="222521"/>
    <n v="153539"/>
    <n v="5261"/>
    <n v="296800"/>
    <n v="56600"/>
    <n v="240200"/>
    <n v="0"/>
    <n v="0"/>
    <n v="89850.625589999996"/>
    <n v="-52569.808201026557"/>
    <n v="21557.329055999999"/>
    <n v="160472.20319"/>
    <n v="-11375.3256255"/>
    <n v="44665.437568808004"/>
    <n v="0"/>
    <n v="0"/>
    <n v="26290.033303287997"/>
    <n v="30336.176841600001"/>
    <n v="0"/>
    <n v="5300"/>
    <n v="271900"/>
    <n v="37300"/>
    <n v="314500"/>
    <n v="5.9636118598382748E-2"/>
    <n v="0.99970000000000003"/>
    <n v="1.0067999999999999"/>
    <n v="0.99729999999999996"/>
    <n v="1.0157"/>
    <n v="0.995"/>
    <n v="0.94971499999999998"/>
    <n v="0.96371996573175212"/>
    <n v="271900"/>
    <n v="5000"/>
    <n v="276900"/>
    <n v="35400"/>
    <n v="312300"/>
    <n v="0.15278934221482099"/>
    <n v="-0.37455830388692579"/>
    <n v="5.2223719676549867E-2"/>
  </r>
  <r>
    <n v="2025"/>
    <s v="18132241010    "/>
    <n v="-1.7147984280919266"/>
    <n v="0.18"/>
    <n v="7973"/>
    <s v="6"/>
    <s v="RES"/>
    <x v="0"/>
    <s v="11"/>
    <s v="259"/>
    <s v="RN"/>
    <s v="A+"/>
    <s v="AV"/>
    <x v="7"/>
    <n v="74"/>
    <n v="51"/>
    <n v="1950"/>
    <n v="1973"/>
    <n v="1079"/>
    <m/>
    <m/>
    <n v="0"/>
    <m/>
    <m/>
    <n v="1079"/>
    <n v="1500"/>
    <n v="5"/>
    <n v="260"/>
    <m/>
    <m/>
    <m/>
    <m/>
    <m/>
    <m/>
    <n v="240544"/>
    <n v="165975"/>
    <n v="0"/>
    <n v="270900"/>
    <n v="54700"/>
    <n v="216200"/>
    <n v="0"/>
    <n v="0"/>
    <n v="89850.625589999996"/>
    <n v="-54281.285314520763"/>
    <n v="29814.093161000001"/>
    <n v="160472.20319"/>
    <n v="-11375.3256255"/>
    <n v="53311.954797283004"/>
    <n v="0"/>
    <n v="0"/>
    <n v="0"/>
    <n v="18960.110526"/>
    <n v="0"/>
    <n v="0"/>
    <n v="251200"/>
    <n v="35600"/>
    <n v="286800"/>
    <n v="5.8693244739756366E-2"/>
    <n v="0.99970000000000003"/>
    <n v="1.0088999999999999"/>
    <n v="0.99729999999999996"/>
    <n v="1.0157"/>
    <n v="0.995"/>
    <n v="0.94971499999999998"/>
    <n v="0.96573010868768849"/>
    <n v="251200"/>
    <n v="0"/>
    <n v="251200"/>
    <n v="33800"/>
    <n v="285000"/>
    <n v="0.16188714153561518"/>
    <n v="-0.38208409506398539"/>
    <n v="5.2048726467331122E-2"/>
  </r>
  <r>
    <n v="2025"/>
    <s v="18132342499    "/>
    <n v="-1.3470736479666092"/>
    <n v="0.26"/>
    <n v="11347"/>
    <s v="6"/>
    <s v="RES"/>
    <x v="0"/>
    <s v="11"/>
    <s v="259"/>
    <s v="RN"/>
    <s v="G"/>
    <s v="GD"/>
    <x v="7"/>
    <n v="74"/>
    <n v="51"/>
    <n v="1950"/>
    <n v="1973"/>
    <n v="2365"/>
    <m/>
    <n v="60"/>
    <n v="60"/>
    <m/>
    <m/>
    <n v="2365"/>
    <n v="2500"/>
    <n v="8"/>
    <n v="414"/>
    <m/>
    <m/>
    <m/>
    <m/>
    <m/>
    <m/>
    <n v="528012"/>
    <n v="374889"/>
    <n v="0"/>
    <n v="403400"/>
    <n v="67600"/>
    <n v="335800"/>
    <n v="0"/>
    <n v="0"/>
    <n v="89850.625589999996"/>
    <n v="-42641.098701210125"/>
    <n v="44121.038090000002"/>
    <n v="197752.34721000001"/>
    <n v="-11375.3256255"/>
    <n v="116851.504259105"/>
    <n v="0"/>
    <n v="0"/>
    <n v="1744.91371482"/>
    <n v="30336.176841600001"/>
    <n v="0"/>
    <n v="0"/>
    <n v="379400"/>
    <n v="47200"/>
    <n v="426600"/>
    <n v="5.7511155180961823E-2"/>
    <n v="0.99970000000000003"/>
    <n v="0.98050000000000004"/>
    <n v="0.99650000000000005"/>
    <n v="0.98919999999999997"/>
    <n v="0.995"/>
    <n v="0.94971499999999998"/>
    <n v="0.91332508691872449"/>
    <n v="379400"/>
    <n v="0"/>
    <n v="379400"/>
    <n v="44800"/>
    <n v="424200"/>
    <n v="0.12983918999404406"/>
    <n v="-0.33727810650887574"/>
    <n v="5.1561725334655431E-2"/>
  </r>
  <r>
    <n v="2025"/>
    <s v="18132214464    "/>
    <n v="-1.5606477482646683"/>
    <n v="0.21"/>
    <n v="8958"/>
    <s v="6"/>
    <s v="RES"/>
    <x v="0"/>
    <s v="11"/>
    <s v="259"/>
    <s v="RN"/>
    <s v="G"/>
    <s v="AV"/>
    <x v="7"/>
    <n v="74"/>
    <n v="51"/>
    <n v="1950"/>
    <n v="1973"/>
    <n v="1240"/>
    <m/>
    <n v="1240"/>
    <n v="620"/>
    <n v="620"/>
    <m/>
    <n v="1860"/>
    <n v="2000"/>
    <n v="8"/>
    <m/>
    <m/>
    <n v="40"/>
    <m/>
    <m/>
    <m/>
    <m/>
    <n v="389176"/>
    <n v="268531"/>
    <n v="17014"/>
    <n v="358400"/>
    <n v="60100"/>
    <n v="298300"/>
    <n v="0"/>
    <n v="0"/>
    <n v="89850.625589999996"/>
    <n v="-49401.70477837498"/>
    <n v="44121.038090000002"/>
    <n v="160472.20319"/>
    <n v="-11375.3256255"/>
    <n v="61266.750647480003"/>
    <n v="0"/>
    <n v="0"/>
    <n v="36061.550106279996"/>
    <n v="30336.176841600001"/>
    <n v="1331.8206110400001"/>
    <n v="17000"/>
    <n v="322200"/>
    <n v="40400"/>
    <n v="379600"/>
    <n v="5.9151785714285712E-2"/>
    <n v="0.99970000000000003"/>
    <n v="0.98050000000000004"/>
    <n v="0.99729999999999996"/>
    <n v="1.0093000000000001"/>
    <n v="0.995"/>
    <n v="0.94971499999999998"/>
    <n v="0.93263147552975589"/>
    <n v="322200"/>
    <n v="16200"/>
    <n v="338400"/>
    <n v="38400"/>
    <n v="376800"/>
    <n v="0.13442842775729133"/>
    <n v="-0.36106489184692181"/>
    <n v="5.1339285714285712E-2"/>
  </r>
  <r>
    <n v="2025"/>
    <s v="18132342490    "/>
    <n v="-1.4696759700589417"/>
    <n v="0.23"/>
    <n v="9980"/>
    <s v="6"/>
    <s v="RES"/>
    <x v="0"/>
    <s v="11"/>
    <s v="259"/>
    <s v="RN"/>
    <s v="G"/>
    <s v="GD"/>
    <x v="7"/>
    <n v="74"/>
    <n v="51"/>
    <n v="1950"/>
    <n v="1973"/>
    <n v="2727"/>
    <m/>
    <n v="723"/>
    <n v="723"/>
    <m/>
    <m/>
    <n v="2727"/>
    <n v="3000"/>
    <n v="11"/>
    <n v="572"/>
    <m/>
    <m/>
    <m/>
    <m/>
    <m/>
    <m/>
    <n v="690429"/>
    <n v="490205"/>
    <n v="0"/>
    <n v="446700"/>
    <n v="63300"/>
    <n v="383400"/>
    <n v="0"/>
    <n v="0"/>
    <n v="89850.625589999996"/>
    <n v="-46522.028095997222"/>
    <n v="44121.038090000002"/>
    <n v="197752.34721000001"/>
    <n v="-11375.3256255"/>
    <n v="134737.44275457901"/>
    <n v="0"/>
    <n v="0"/>
    <n v="21026.210263581001"/>
    <n v="41712.243157199999"/>
    <n v="0"/>
    <n v="0"/>
    <n v="428000"/>
    <n v="43300"/>
    <n v="471300"/>
    <n v="5.5070517125587644E-2"/>
    <n v="0.99970000000000003"/>
    <n v="0.98050000000000004"/>
    <n v="0.99650000000000005"/>
    <n v="0.96179999999999999"/>
    <n v="0.995"/>
    <n v="0.94971499999999998"/>
    <n v="0.88802675758029637"/>
    <n v="428000"/>
    <n v="0"/>
    <n v="428000"/>
    <n v="41100"/>
    <n v="469100"/>
    <n v="0.11632759520083463"/>
    <n v="-0.35071090047393366"/>
    <n v="5.0145511528990376E-2"/>
  </r>
  <r>
    <n v="2025"/>
    <s v="18132332506    "/>
    <n v="-1.7719568419318752"/>
    <n v="0.17"/>
    <m/>
    <s v="6"/>
    <s v="RES"/>
    <x v="0"/>
    <s v="11"/>
    <s v="259"/>
    <s v="CO"/>
    <s v="A"/>
    <s v="AV"/>
    <x v="7"/>
    <n v="74"/>
    <n v="51"/>
    <n v="1950"/>
    <n v="1973"/>
    <n v="1214"/>
    <n v="380"/>
    <n v="616"/>
    <n v="0"/>
    <n v="616"/>
    <m/>
    <n v="2210"/>
    <n v="2500"/>
    <n v="8"/>
    <m/>
    <m/>
    <n v="235"/>
    <m/>
    <m/>
    <m/>
    <m/>
    <n v="309315"/>
    <n v="213427"/>
    <n v="0"/>
    <n v="320100"/>
    <n v="52700"/>
    <n v="267400"/>
    <n v="0"/>
    <n v="0"/>
    <n v="89850.625589999996"/>
    <n v="-56090.612940989391"/>
    <n v="21557.329055999999"/>
    <n v="160472.20319"/>
    <n v="-11375.3256255"/>
    <n v="59982.125230678001"/>
    <n v="17018.84068718"/>
    <n v="0"/>
    <n v="17914.447472151998"/>
    <n v="30336.176841600001"/>
    <n v="7824.4460898600009"/>
    <n v="0"/>
    <n v="303700"/>
    <n v="33800"/>
    <n v="337500"/>
    <n v="5.4358013120899717E-2"/>
    <n v="0.99970000000000003"/>
    <n v="1.0067999999999999"/>
    <n v="0.99729999999999996"/>
    <n v="0.98919999999999997"/>
    <n v="0.995"/>
    <n v="0.94971499999999998"/>
    <n v="0.93857614463114025"/>
    <n v="303700"/>
    <n v="0"/>
    <n v="303700"/>
    <n v="32100"/>
    <n v="335800"/>
    <n v="0.13575168287210171"/>
    <n v="-0.39089184060721061"/>
    <n v="4.9047172758512968E-2"/>
  </r>
  <r>
    <n v="2025"/>
    <s v="18132243446    "/>
    <n v="-1.2039728043259361"/>
    <n v="0.3"/>
    <n v="13027"/>
    <s v="6"/>
    <s v="RES"/>
    <x v="0"/>
    <s v="11"/>
    <s v="259"/>
    <s v="RN"/>
    <s v="G"/>
    <s v="GD"/>
    <x v="7"/>
    <n v="74"/>
    <n v="51"/>
    <n v="1950"/>
    <n v="1973"/>
    <n v="1804"/>
    <m/>
    <n v="1668"/>
    <n v="0"/>
    <n v="1668"/>
    <m/>
    <n v="3472"/>
    <n v="3500"/>
    <n v="14"/>
    <n v="420"/>
    <m/>
    <n v="272"/>
    <m/>
    <m/>
    <m/>
    <m/>
    <n v="587864"/>
    <n v="417383"/>
    <n v="23511"/>
    <n v="478500"/>
    <n v="72500"/>
    <n v="406000"/>
    <n v="0"/>
    <n v="0"/>
    <n v="89850.625589999996"/>
    <n v="-38111.29648355169"/>
    <n v="44121.038090000002"/>
    <n v="197752.34721000001"/>
    <n v="-11375.3256255"/>
    <n v="89133.240458108005"/>
    <n v="0"/>
    <n v="0"/>
    <n v="48508.601271995998"/>
    <n v="53088.3094728"/>
    <n v="9056.3801550720018"/>
    <n v="23500"/>
    <n v="430300"/>
    <n v="51700"/>
    <n v="505500"/>
    <n v="5.6426332288401257E-2"/>
    <n v="0.99970000000000003"/>
    <n v="0.98050000000000004"/>
    <n v="0.99650000000000005"/>
    <n v="1.0126999999999999"/>
    <n v="0.995"/>
    <n v="0.94971499999999998"/>
    <n v="0.93502255916153676"/>
    <n v="430300"/>
    <n v="22300"/>
    <n v="452600"/>
    <n v="49100"/>
    <n v="501700"/>
    <n v="0.11477832512315271"/>
    <n v="-0.32275862068965516"/>
    <n v="4.8484848484848485E-2"/>
  </r>
  <r>
    <n v="2025"/>
    <s v="18132324549    "/>
    <n v="-1.5606477482646683"/>
    <n v="0.21"/>
    <m/>
    <s v="6"/>
    <s v="RES"/>
    <x v="0"/>
    <s v="11"/>
    <s v="259"/>
    <s v="TD"/>
    <s v="A+"/>
    <s v="AV"/>
    <x v="7"/>
    <n v="74"/>
    <n v="51"/>
    <n v="1950"/>
    <n v="1973"/>
    <n v="1104"/>
    <m/>
    <n v="828"/>
    <n v="414"/>
    <n v="414"/>
    <m/>
    <n v="1518"/>
    <n v="2000"/>
    <n v="5"/>
    <n v="264"/>
    <m/>
    <m/>
    <m/>
    <m/>
    <m/>
    <m/>
    <n v="285789"/>
    <n v="197194"/>
    <n v="0"/>
    <n v="300600"/>
    <n v="60100"/>
    <n v="240500"/>
    <n v="0"/>
    <n v="0"/>
    <n v="89850.625589999996"/>
    <n v="-49401.70477837498"/>
    <n v="29814.093161000001"/>
    <n v="160472.20319"/>
    <n v="-11375.3256255"/>
    <n v="54547.171544208002"/>
    <n v="0"/>
    <n v="0"/>
    <n v="24079.809264516"/>
    <n v="18960.110526"/>
    <n v="0"/>
    <n v="0"/>
    <n v="276500"/>
    <n v="40400"/>
    <n v="316900"/>
    <n v="5.4224883566200935E-2"/>
    <n v="0.99970000000000003"/>
    <n v="1.0088999999999999"/>
    <n v="0.99729999999999996"/>
    <n v="1.0093000000000001"/>
    <n v="0.995"/>
    <n v="0.94971499999999998"/>
    <n v="0.9596449726282209"/>
    <n v="276500"/>
    <n v="0"/>
    <n v="276500"/>
    <n v="38400"/>
    <n v="314900"/>
    <n v="0.1496881496881497"/>
    <n v="-0.36106489184692181"/>
    <n v="4.7571523619427812E-2"/>
  </r>
  <r>
    <n v="2025"/>
    <s v="18132243025    "/>
    <n v="-0.77652878949899629"/>
    <n v="0.46"/>
    <n v="19944"/>
    <s v="6"/>
    <s v="RES"/>
    <x v="0"/>
    <s v="11"/>
    <s v="259"/>
    <s v="TD"/>
    <s v="A+"/>
    <s v="FR"/>
    <x v="7"/>
    <n v="74"/>
    <n v="51"/>
    <n v="1950"/>
    <n v="1973"/>
    <n v="1188"/>
    <n v="417"/>
    <m/>
    <n v="0"/>
    <m/>
    <m/>
    <n v="1605"/>
    <n v="2000"/>
    <n v="7"/>
    <m/>
    <m/>
    <m/>
    <m/>
    <m/>
    <m/>
    <m/>
    <n v="267796"/>
    <n v="179423"/>
    <n v="10334"/>
    <n v="313300"/>
    <n v="87500"/>
    <n v="225800"/>
    <n v="0"/>
    <n v="0"/>
    <n v="89850.625589999996"/>
    <n v="-24580.720443414604"/>
    <n v="29814.093161000001"/>
    <n v="133714.53821"/>
    <n v="-11375.3256255"/>
    <n v="58697.499813875998"/>
    <n v="18675.938333037"/>
    <n v="0"/>
    <n v="0"/>
    <n v="26544.1547364"/>
    <n v="0"/>
    <n v="10300"/>
    <n v="256100"/>
    <n v="65300"/>
    <n v="331700"/>
    <n v="5.8729652090647941E-2"/>
    <n v="0.99970000000000003"/>
    <n v="1.0088999999999999"/>
    <n v="0.99329999999999996"/>
    <n v="1.0093000000000001"/>
    <n v="0.995"/>
    <n v="0.94971499999999998"/>
    <n v="0.95579600051299707"/>
    <n v="256100"/>
    <n v="9800"/>
    <n v="265900"/>
    <n v="62000"/>
    <n v="327900"/>
    <n v="0.17759078830823738"/>
    <n v="-0.29142857142857143"/>
    <n v="4.6600702202361954E-2"/>
  </r>
  <r>
    <n v="2025"/>
    <s v="18132324548    "/>
    <n v="-1.5606477482646683"/>
    <n v="0.21"/>
    <m/>
    <s v="6"/>
    <s v="RES"/>
    <x v="0"/>
    <s v="11"/>
    <s v="259"/>
    <s v="RN"/>
    <s v="A+"/>
    <s v="GD"/>
    <x v="7"/>
    <n v="74"/>
    <n v="51"/>
    <n v="1950"/>
    <n v="1973"/>
    <n v="1523"/>
    <m/>
    <n v="532"/>
    <n v="0"/>
    <n v="532"/>
    <m/>
    <n v="2055"/>
    <n v="2500"/>
    <n v="10"/>
    <n v="286"/>
    <m/>
    <m/>
    <m/>
    <m/>
    <m/>
    <m/>
    <n v="363715"/>
    <n v="258238"/>
    <n v="0"/>
    <n v="366500"/>
    <n v="60100"/>
    <n v="306400"/>
    <n v="0"/>
    <n v="0"/>
    <n v="89850.625589999996"/>
    <n v="-49401.70477837498"/>
    <n v="29814.093161000001"/>
    <n v="197752.34721000001"/>
    <n v="-11375.3256255"/>
    <n v="75249.404222671001"/>
    <n v="0"/>
    <n v="0"/>
    <n v="15471.568271403999"/>
    <n v="37920.221052000001"/>
    <n v="0"/>
    <n v="0"/>
    <n v="344800"/>
    <n v="40400"/>
    <n v="385200"/>
    <n v="5.1023192360163713E-2"/>
    <n v="0.99970000000000003"/>
    <n v="1.0088999999999999"/>
    <n v="0.99650000000000005"/>
    <n v="0.98919999999999997"/>
    <n v="0.995"/>
    <n v="0.94971499999999998"/>
    <n v="0.93977937806455991"/>
    <n v="344800"/>
    <n v="0"/>
    <n v="344800"/>
    <n v="38400"/>
    <n v="383200"/>
    <n v="0.12532637075718014"/>
    <n v="-0.36106489184692181"/>
    <n v="4.5566166439290588E-2"/>
  </r>
  <r>
    <n v="2025"/>
    <s v="18132334446    "/>
    <n v="-1.2378743560016174"/>
    <n v="0.28999999999999998"/>
    <n v="12503"/>
    <s v="6"/>
    <s v="RES"/>
    <x v="0"/>
    <s v="11"/>
    <s v="259"/>
    <s v="RN"/>
    <s v="G"/>
    <s v="GD"/>
    <x v="7"/>
    <n v="74"/>
    <n v="51"/>
    <n v="1950"/>
    <n v="1973"/>
    <n v="1681"/>
    <m/>
    <n v="1141"/>
    <n v="0"/>
    <n v="1141"/>
    <m/>
    <n v="2822"/>
    <n v="3000"/>
    <n v="11"/>
    <m/>
    <n v="621"/>
    <n v="56"/>
    <m/>
    <m/>
    <m/>
    <m/>
    <n v="502598"/>
    <n v="356845"/>
    <n v="0"/>
    <n v="419700"/>
    <n v="71400"/>
    <n v="348300"/>
    <n v="0"/>
    <n v="0"/>
    <n v="89850.625589999996"/>
    <n v="-39184.437074869042"/>
    <n v="44121.038090000002"/>
    <n v="197752.34721000001"/>
    <n v="-11375.3256255"/>
    <n v="83055.974063237009"/>
    <n v="0"/>
    <n v="0"/>
    <n v="33182.442476826996"/>
    <n v="41712.243157199999"/>
    <n v="1864.5488554560002"/>
    <n v="0"/>
    <n v="390300"/>
    <n v="50700"/>
    <n v="441000"/>
    <n v="5.0750536097212293E-2"/>
    <n v="0.99970000000000003"/>
    <n v="0.98050000000000004"/>
    <n v="0.99650000000000005"/>
    <n v="0.96179999999999999"/>
    <n v="0.995"/>
    <n v="0.94971499999999998"/>
    <n v="0.88802675758029637"/>
    <n v="390300"/>
    <n v="0"/>
    <n v="390300"/>
    <n v="48100"/>
    <n v="438400"/>
    <n v="0.12058570198105081"/>
    <n v="-0.32633053221288516"/>
    <n v="4.4555634977364783E-2"/>
  </r>
  <r>
    <n v="2025"/>
    <s v="18132244466    "/>
    <n v="-1.5141277326297755"/>
    <n v="0.22"/>
    <n v="9649"/>
    <s v="6"/>
    <s v="RES"/>
    <x v="0"/>
    <s v="11"/>
    <s v="259"/>
    <s v="RN"/>
    <s v="A"/>
    <s v="AV"/>
    <x v="7"/>
    <n v="74"/>
    <n v="51"/>
    <n v="1950"/>
    <n v="1973"/>
    <n v="948"/>
    <m/>
    <m/>
    <n v="0"/>
    <m/>
    <m/>
    <n v="948"/>
    <n v="1000"/>
    <n v="6"/>
    <n v="300"/>
    <m/>
    <m/>
    <m/>
    <m/>
    <m/>
    <m/>
    <n v="179979"/>
    <n v="124186"/>
    <n v="0"/>
    <n v="268100"/>
    <n v="61700"/>
    <n v="206400"/>
    <n v="0"/>
    <n v="0"/>
    <n v="89850.625589999996"/>
    <n v="-47929.131559187132"/>
    <n v="21557.329055999999"/>
    <n v="160472.20319"/>
    <n v="-11375.3256255"/>
    <n v="46839.419043396003"/>
    <n v="0"/>
    <n v="0"/>
    <n v="0"/>
    <n v="22752.132631200002"/>
    <n v="0"/>
    <n v="0"/>
    <n v="240200"/>
    <n v="41900"/>
    <n v="282100"/>
    <n v="5.2219321148825062E-2"/>
    <n v="0.99970000000000003"/>
    <n v="1.0067999999999999"/>
    <n v="0.99729999999999996"/>
    <n v="1.0148999999999999"/>
    <n v="0.995"/>
    <n v="0.94971499999999998"/>
    <n v="0.96296090698154491"/>
    <n v="240200"/>
    <n v="0"/>
    <n v="240200"/>
    <n v="39800"/>
    <n v="280000"/>
    <n v="0.16375968992248063"/>
    <n v="-0.35494327390599678"/>
    <n v="4.4386422976501305E-2"/>
  </r>
  <r>
    <n v="2025"/>
    <s v="18132323516    "/>
    <n v="-1.7147984280919266"/>
    <n v="0.18"/>
    <m/>
    <s v="6"/>
    <s v="RES"/>
    <x v="0"/>
    <s v="11"/>
    <s v="259"/>
    <s v="RN"/>
    <s v="G"/>
    <s v="AV"/>
    <x v="7"/>
    <n v="74"/>
    <n v="51"/>
    <n v="1950"/>
    <n v="1973"/>
    <n v="1376"/>
    <m/>
    <m/>
    <n v="0"/>
    <m/>
    <m/>
    <n v="1376"/>
    <n v="1500"/>
    <n v="7"/>
    <m/>
    <m/>
    <m/>
    <m/>
    <m/>
    <m/>
    <m/>
    <n v="313005"/>
    <n v="215973"/>
    <n v="0"/>
    <n v="307900"/>
    <n v="54700"/>
    <n v="253200"/>
    <n v="0"/>
    <n v="0"/>
    <n v="89850.625589999996"/>
    <n v="-54281.285314520763"/>
    <n v="44121.038090000002"/>
    <n v="160472.20319"/>
    <n v="-11375.3256255"/>
    <n v="67986.329750752004"/>
    <n v="0"/>
    <n v="0"/>
    <n v="0"/>
    <n v="26544.1547364"/>
    <n v="0"/>
    <n v="0"/>
    <n v="287700"/>
    <n v="35600"/>
    <n v="323300"/>
    <n v="5.0016239038648914E-2"/>
    <n v="0.99970000000000003"/>
    <n v="0.98050000000000004"/>
    <n v="0.99729999999999996"/>
    <n v="1.0157"/>
    <n v="0.995"/>
    <n v="0.94971499999999998"/>
    <n v="0.93854531823597842"/>
    <n v="287700"/>
    <n v="0"/>
    <n v="287700"/>
    <n v="33800"/>
    <n v="321500"/>
    <n v="0.13625592417061611"/>
    <n v="-0.38208409506398539"/>
    <n v="4.4170185125040597E-2"/>
  </r>
  <r>
    <n v="2025"/>
    <s v="18132214477    "/>
    <n v="-1.6094379124341003"/>
    <n v="0.2"/>
    <n v="8860"/>
    <s v="6"/>
    <s v="RES"/>
    <x v="0"/>
    <s v="11"/>
    <s v="259"/>
    <s v="TD"/>
    <s v="G"/>
    <s v="AV"/>
    <x v="7"/>
    <n v="74"/>
    <n v="51"/>
    <n v="1950"/>
    <n v="1973"/>
    <n v="1155"/>
    <m/>
    <n v="1155"/>
    <n v="557"/>
    <n v="598"/>
    <m/>
    <n v="1753"/>
    <n v="2000"/>
    <n v="9"/>
    <n v="408"/>
    <m/>
    <m/>
    <m/>
    <m/>
    <m/>
    <m/>
    <n v="405732"/>
    <n v="279955"/>
    <n v="0"/>
    <n v="339900"/>
    <n v="58400"/>
    <n v="281500"/>
    <n v="0"/>
    <n v="0"/>
    <n v="89850.625589999996"/>
    <n v="-50946.13867709865"/>
    <n v="44121.038090000002"/>
    <n v="160472.20319"/>
    <n v="-11375.3256255"/>
    <n v="57067.013707935002"/>
    <n v="0"/>
    <n v="0"/>
    <n v="33589.589010284995"/>
    <n v="34128.198946800003"/>
    <n v="0"/>
    <n v="0"/>
    <n v="318000"/>
    <n v="38900"/>
    <n v="356900"/>
    <n v="5.0014710208884969E-2"/>
    <n v="0.99970000000000003"/>
    <n v="0.98050000000000004"/>
    <n v="0.99729999999999996"/>
    <n v="1.0093000000000001"/>
    <n v="0.995"/>
    <n v="0.94971499999999998"/>
    <n v="0.93263147552975589"/>
    <n v="318000"/>
    <n v="0"/>
    <n v="318000"/>
    <n v="36900"/>
    <n v="354900"/>
    <n v="0.12966252220248667"/>
    <n v="-0.36815068493150682"/>
    <n v="4.4130626654898503E-2"/>
  </r>
  <r>
    <n v="2025"/>
    <s v="18132241459    "/>
    <n v="-1.6607312068216509"/>
    <n v="0.19"/>
    <n v="8060"/>
    <s v="6"/>
    <s v="RES"/>
    <x v="0"/>
    <s v="11"/>
    <s v="259"/>
    <s v="RN"/>
    <s v="A"/>
    <s v="AV"/>
    <x v="7"/>
    <n v="74"/>
    <n v="51"/>
    <n v="1950"/>
    <n v="1973"/>
    <n v="954"/>
    <m/>
    <m/>
    <n v="0"/>
    <m/>
    <m/>
    <n v="954"/>
    <n v="1000"/>
    <n v="5"/>
    <n v="220"/>
    <m/>
    <m/>
    <m/>
    <m/>
    <m/>
    <m/>
    <n v="178512"/>
    <n v="123173"/>
    <n v="0"/>
    <n v="260700"/>
    <n v="56600"/>
    <n v="204100"/>
    <n v="0"/>
    <n v="0"/>
    <n v="89850.625589999996"/>
    <n v="-52569.808201026557"/>
    <n v="21557.329055999999"/>
    <n v="160472.20319"/>
    <n v="-11375.3256255"/>
    <n v="47135.871062658"/>
    <n v="0"/>
    <n v="0"/>
    <n v="0"/>
    <n v="18960.110526"/>
    <n v="0"/>
    <n v="0"/>
    <n v="236800"/>
    <n v="37300"/>
    <n v="274100"/>
    <n v="5.1400076716532413E-2"/>
    <n v="0.99970000000000003"/>
    <n v="1.0067999999999999"/>
    <n v="0.99729999999999996"/>
    <n v="1.0148999999999999"/>
    <n v="0.995"/>
    <n v="0.94971499999999998"/>
    <n v="0.96296090698154491"/>
    <n v="236800"/>
    <n v="0"/>
    <n v="236800"/>
    <n v="35400"/>
    <n v="272200"/>
    <n v="0.16021558059774621"/>
    <n v="-0.37455830388692579"/>
    <n v="4.4112006137322593E-2"/>
  </r>
  <r>
    <n v="2025"/>
    <s v="18132214482    "/>
    <n v="-1.6607312068216509"/>
    <n v="0.19"/>
    <n v="8289"/>
    <s v="6"/>
    <s v="RES"/>
    <x v="0"/>
    <s v="11"/>
    <s v="259"/>
    <s v="RN"/>
    <s v="G"/>
    <s v="AV"/>
    <x v="7"/>
    <n v="74"/>
    <n v="51"/>
    <n v="1950"/>
    <n v="1973"/>
    <n v="1228"/>
    <m/>
    <n v="850"/>
    <n v="0"/>
    <n v="850"/>
    <m/>
    <n v="2078"/>
    <n v="2500"/>
    <n v="7"/>
    <m/>
    <m/>
    <n v="168"/>
    <m/>
    <m/>
    <m/>
    <m/>
    <n v="389835"/>
    <n v="268986"/>
    <n v="0"/>
    <n v="331600"/>
    <n v="56600"/>
    <n v="275000"/>
    <n v="0"/>
    <n v="0"/>
    <n v="89850.625589999996"/>
    <n v="-52569.808201026557"/>
    <n v="44121.038090000002"/>
    <n v="160472.20319"/>
    <n v="-11375.3256255"/>
    <n v="60673.846608956002"/>
    <n v="0"/>
    <n v="0"/>
    <n v="24719.610959949998"/>
    <n v="26544.1547364"/>
    <n v="5593.646566368001"/>
    <n v="0"/>
    <n v="310700"/>
    <n v="37300"/>
    <n v="348000"/>
    <n v="4.9457177322074788E-2"/>
    <n v="0.99970000000000003"/>
    <n v="0.98050000000000004"/>
    <n v="0.99729999999999996"/>
    <n v="0.98919999999999997"/>
    <n v="0.995"/>
    <n v="0.94971499999999998"/>
    <n v="0.91405831328052556"/>
    <n v="310700"/>
    <n v="0"/>
    <n v="310700"/>
    <n v="35400"/>
    <n v="346100"/>
    <n v="0.1298181818181818"/>
    <n v="-0.37455830388692579"/>
    <n v="4.3727382388419785E-2"/>
  </r>
  <r>
    <n v="2025"/>
    <s v="18132241074    "/>
    <n v="-1.7147984280919266"/>
    <n v="0.18"/>
    <n v="7746"/>
    <s v="6"/>
    <s v="RES"/>
    <x v="0"/>
    <s v="11"/>
    <s v="259"/>
    <s v="RN"/>
    <s v="G"/>
    <s v="AV"/>
    <x v="7"/>
    <n v="74"/>
    <n v="51"/>
    <n v="1950"/>
    <n v="1973"/>
    <n v="1613"/>
    <m/>
    <m/>
    <n v="0"/>
    <m/>
    <m/>
    <n v="1613"/>
    <n v="2000"/>
    <n v="9"/>
    <m/>
    <m/>
    <m/>
    <m/>
    <m/>
    <m/>
    <m/>
    <n v="376629"/>
    <n v="259874"/>
    <n v="7472"/>
    <n v="333500"/>
    <n v="54700"/>
    <n v="278800"/>
    <n v="0"/>
    <n v="0"/>
    <n v="89850.625589999996"/>
    <n v="-54281.285314520763"/>
    <n v="44121.038090000002"/>
    <n v="160472.20319"/>
    <n v="-11375.3256255"/>
    <n v="79696.184511601008"/>
    <n v="0"/>
    <n v="0"/>
    <n v="0"/>
    <n v="34128.198946800003"/>
    <n v="0"/>
    <n v="7500"/>
    <n v="307000"/>
    <n v="35600"/>
    <n v="350100"/>
    <n v="4.9775112443778108E-2"/>
    <n v="0.99970000000000003"/>
    <n v="0.98050000000000004"/>
    <n v="0.99729999999999996"/>
    <n v="1.0093000000000001"/>
    <n v="0.995"/>
    <n v="0.94971499999999998"/>
    <n v="0.93263147552975589"/>
    <n v="307000"/>
    <n v="7100"/>
    <n v="314100"/>
    <n v="33800"/>
    <n v="347900"/>
    <n v="0.12661406025824964"/>
    <n v="-0.38208409506398539"/>
    <n v="4.3178410794602697E-2"/>
  </r>
  <r>
    <n v="2025"/>
    <s v="18132214050    "/>
    <n v="-2.2072749131897207"/>
    <n v="0.11"/>
    <n v="4732"/>
    <s v="6"/>
    <s v="RES"/>
    <x v="0"/>
    <s v="11"/>
    <s v="400"/>
    <s v="CO"/>
    <s v="A"/>
    <s v="AV"/>
    <x v="7"/>
    <n v="74"/>
    <n v="51"/>
    <n v="1950"/>
    <n v="1973"/>
    <n v="910"/>
    <n v="455"/>
    <n v="910"/>
    <n v="210"/>
    <n v="700"/>
    <m/>
    <n v="2065"/>
    <n v="2500"/>
    <n v="8"/>
    <m/>
    <m/>
    <m/>
    <m/>
    <m/>
    <m/>
    <m/>
    <n v="272783"/>
    <n v="188220"/>
    <n v="18574"/>
    <n v="315800"/>
    <n v="37600"/>
    <n v="278200"/>
    <n v="0"/>
    <n v="0"/>
    <n v="89850.625589999996"/>
    <n v="-69870.439211769743"/>
    <n v="21557.329055999999"/>
    <n v="160472.20319"/>
    <n v="-11375.3256255"/>
    <n v="44961.88958807"/>
    <n v="20377.822401754998"/>
    <n v="0"/>
    <n v="26464.52467477"/>
    <n v="30336.176841600001"/>
    <n v="0"/>
    <n v="18600"/>
    <n v="292800"/>
    <n v="20000"/>
    <n v="331400"/>
    <n v="4.9398353388220392E-2"/>
    <n v="0.99970000000000003"/>
    <n v="1.0067999999999999"/>
    <n v="0.99729999999999996"/>
    <n v="0.98919999999999997"/>
    <n v="0.995"/>
    <n v="0.94971499999999998"/>
    <n v="0.93857614463114025"/>
    <n v="292800"/>
    <n v="17600"/>
    <n v="310400"/>
    <n v="19000"/>
    <n v="329400"/>
    <n v="0.11574406901509705"/>
    <n v="-0.49468085106382981"/>
    <n v="4.3065231158961367E-2"/>
  </r>
  <r>
    <n v="2025"/>
    <s v="18132324508    "/>
    <n v="-1.4696759700589417"/>
    <n v="0.23"/>
    <m/>
    <s v="6"/>
    <s v="RES"/>
    <x v="0"/>
    <s v="11"/>
    <s v="259"/>
    <s v="RN"/>
    <s v="G"/>
    <s v="AV"/>
    <x v="7"/>
    <n v="74"/>
    <n v="51"/>
    <n v="1950"/>
    <n v="1973"/>
    <n v="1169"/>
    <m/>
    <n v="1169"/>
    <n v="713"/>
    <n v="456"/>
    <m/>
    <n v="1625"/>
    <n v="2000"/>
    <n v="5"/>
    <n v="288"/>
    <m/>
    <m/>
    <m/>
    <m/>
    <m/>
    <m/>
    <n v="378675"/>
    <n v="261286"/>
    <n v="0"/>
    <n v="330900"/>
    <n v="63300"/>
    <n v="267600"/>
    <n v="0"/>
    <n v="0"/>
    <n v="89850.625589999996"/>
    <n v="-46522.028095997222"/>
    <n v="44121.038090000002"/>
    <n v="160472.20319"/>
    <n v="-11375.3256255"/>
    <n v="57758.735086213004"/>
    <n v="0"/>
    <n v="0"/>
    <n v="33996.735543743001"/>
    <n v="18960.110526"/>
    <n v="0"/>
    <n v="0"/>
    <n v="303900"/>
    <n v="43300"/>
    <n v="347200"/>
    <n v="4.9259595043819888E-2"/>
    <n v="0.99970000000000003"/>
    <n v="0.98050000000000004"/>
    <n v="0.99729999999999996"/>
    <n v="1.0093000000000001"/>
    <n v="0.995"/>
    <n v="0.94971499999999998"/>
    <n v="0.93263147552975589"/>
    <n v="303900"/>
    <n v="0"/>
    <n v="303900"/>
    <n v="41100"/>
    <n v="345000"/>
    <n v="0.13565022421524664"/>
    <n v="-0.35071090047393366"/>
    <n v="4.2611060743427021E-2"/>
  </r>
  <r>
    <n v="2025"/>
    <s v="18132214484    "/>
    <n v="-1.6094379124341003"/>
    <n v="0.2"/>
    <n v="8534"/>
    <s v="6"/>
    <s v="RES"/>
    <x v="0"/>
    <s v="11"/>
    <s v="259"/>
    <s v="TD"/>
    <s v="A"/>
    <s v="GD"/>
    <x v="7"/>
    <n v="74"/>
    <n v="51"/>
    <n v="1950"/>
    <n v="1973"/>
    <n v="1786"/>
    <m/>
    <n v="978"/>
    <n v="0"/>
    <n v="978"/>
    <m/>
    <n v="2764"/>
    <n v="3000"/>
    <n v="8"/>
    <m/>
    <m/>
    <m/>
    <m/>
    <m/>
    <m/>
    <m/>
    <n v="358506"/>
    <n v="254539"/>
    <n v="21956"/>
    <n v="396000"/>
    <n v="58400"/>
    <n v="337600"/>
    <n v="0"/>
    <n v="0"/>
    <n v="89850.625589999996"/>
    <n v="-50946.13867709865"/>
    <n v="21557.329055999999"/>
    <n v="197752.34721000001"/>
    <n v="-11375.3256255"/>
    <n v="88243.884400322"/>
    <n v="0"/>
    <n v="0"/>
    <n v="28442.093551565998"/>
    <n v="30336.176841600001"/>
    <n v="0"/>
    <n v="22000"/>
    <n v="355000"/>
    <n v="38900"/>
    <n v="415900"/>
    <n v="5.025252525252525E-2"/>
    <n v="0.99970000000000003"/>
    <n v="1.0067999999999999"/>
    <n v="0.99650000000000005"/>
    <n v="0.96179999999999999"/>
    <n v="0.995"/>
    <n v="0.94971499999999998"/>
    <n v="0.91184634322472435"/>
    <n v="355000"/>
    <n v="20900"/>
    <n v="375900"/>
    <n v="36900"/>
    <n v="412800"/>
    <n v="0.1134478672985782"/>
    <n v="-0.36815068493150682"/>
    <n v="4.2424242424242427E-2"/>
  </r>
  <r>
    <n v="2025"/>
    <s v="18132323497    "/>
    <n v="-1.6094379124341003"/>
    <n v="0.2"/>
    <m/>
    <s v="6"/>
    <s v="RES"/>
    <x v="0"/>
    <s v="11"/>
    <s v="400"/>
    <s v="RN"/>
    <s v="A"/>
    <s v="GD"/>
    <x v="7"/>
    <n v="74"/>
    <n v="51"/>
    <n v="1950"/>
    <n v="1973"/>
    <n v="1182"/>
    <m/>
    <n v="885"/>
    <n v="0"/>
    <n v="885"/>
    <m/>
    <n v="2067"/>
    <n v="2500"/>
    <n v="8"/>
    <n v="297"/>
    <m/>
    <m/>
    <m/>
    <m/>
    <m/>
    <m/>
    <n v="299704"/>
    <n v="212790"/>
    <n v="0"/>
    <n v="345200"/>
    <n v="58400"/>
    <n v="286800"/>
    <n v="0"/>
    <n v="0"/>
    <n v="89850.625589999996"/>
    <n v="-50946.13867709865"/>
    <n v="21557.329055999999"/>
    <n v="197752.34721000001"/>
    <n v="-11375.3256255"/>
    <n v="58401.047794614002"/>
    <n v="0"/>
    <n v="0"/>
    <n v="25737.477293594999"/>
    <n v="30336.176841600001"/>
    <n v="0"/>
    <n v="0"/>
    <n v="322400"/>
    <n v="38900"/>
    <n v="361300"/>
    <n v="4.6639629200463502E-2"/>
    <n v="0.99970000000000003"/>
    <n v="1.0067999999999999"/>
    <n v="0.99650000000000005"/>
    <n v="0.98919999999999997"/>
    <n v="0.995"/>
    <n v="0.94971499999999998"/>
    <n v="0.93782325090236773"/>
    <n v="322400"/>
    <n v="0"/>
    <n v="322400"/>
    <n v="36900"/>
    <n v="359300"/>
    <n v="0.12412831241283125"/>
    <n v="-0.36815068493150682"/>
    <n v="4.0845886442641949E-2"/>
  </r>
  <r>
    <n v="2025"/>
    <s v="18132323544    "/>
    <n v="-1.5606477482646683"/>
    <n v="0.21"/>
    <m/>
    <s v="6"/>
    <s v="RES"/>
    <x v="0"/>
    <s v="11"/>
    <s v="259"/>
    <s v="RN"/>
    <s v="A"/>
    <s v="AV"/>
    <x v="7"/>
    <n v="74"/>
    <n v="51"/>
    <n v="1950"/>
    <n v="1973"/>
    <n v="1120"/>
    <m/>
    <m/>
    <n v="0"/>
    <m/>
    <m/>
    <n v="1120"/>
    <n v="1500"/>
    <n v="5"/>
    <m/>
    <m/>
    <m/>
    <m/>
    <m/>
    <m/>
    <m/>
    <n v="193616"/>
    <n v="133595"/>
    <n v="7465"/>
    <n v="279200"/>
    <n v="60100"/>
    <n v="219100"/>
    <n v="0"/>
    <n v="0"/>
    <n v="89850.625589999996"/>
    <n v="-49401.70477837498"/>
    <n v="21557.329055999999"/>
    <n v="160472.20319"/>
    <n v="-11375.3256255"/>
    <n v="55337.710262239998"/>
    <n v="0"/>
    <n v="0"/>
    <n v="0"/>
    <n v="18960.110526"/>
    <n v="0"/>
    <n v="7500"/>
    <n v="245000"/>
    <n v="40400"/>
    <n v="292900"/>
    <n v="4.9068767908309455E-2"/>
    <n v="0.99970000000000003"/>
    <n v="1.0067999999999999"/>
    <n v="0.99729999999999996"/>
    <n v="1.0157"/>
    <n v="0.995"/>
    <n v="0.94971499999999998"/>
    <n v="0.96371996573175212"/>
    <n v="245000"/>
    <n v="7100"/>
    <n v="252100"/>
    <n v="38400"/>
    <n v="290500"/>
    <n v="0.15061615700593337"/>
    <n v="-0.36106489184692181"/>
    <n v="4.047277936962751E-2"/>
  </r>
  <r>
    <n v="2025"/>
    <s v="18132244440    "/>
    <n v="-1.1394342831883648"/>
    <n v="0.32"/>
    <n v="14000"/>
    <s v="6"/>
    <s v="RES"/>
    <x v="0"/>
    <s v="11"/>
    <s v="259"/>
    <s v="RN"/>
    <s v="A+"/>
    <s v="AV"/>
    <x v="7"/>
    <n v="74"/>
    <n v="51"/>
    <n v="1950"/>
    <n v="1973"/>
    <n v="2658"/>
    <m/>
    <n v="1431"/>
    <n v="1031"/>
    <n v="400"/>
    <m/>
    <n v="3058"/>
    <n v="3500"/>
    <n v="8"/>
    <m/>
    <m/>
    <m/>
    <m/>
    <m/>
    <m/>
    <m/>
    <n v="512809"/>
    <n v="353838"/>
    <n v="0"/>
    <n v="416600"/>
    <n v="74800"/>
    <n v="341800"/>
    <n v="0"/>
    <n v="0"/>
    <n v="89850.625589999996"/>
    <n v="-36068.354396449467"/>
    <n v="29814.093161000001"/>
    <n v="160472.20319"/>
    <n v="-11375.3256255"/>
    <n v="131328.244533066"/>
    <n v="0"/>
    <n v="0"/>
    <n v="41616.192098456995"/>
    <n v="30336.176841600001"/>
    <n v="0"/>
    <n v="0"/>
    <n v="382200"/>
    <n v="53800"/>
    <n v="436000"/>
    <n v="4.6567450792126742E-2"/>
    <n v="0.99970000000000003"/>
    <n v="1.0088999999999999"/>
    <n v="0.99729999999999996"/>
    <n v="1.0126999999999999"/>
    <n v="0.995"/>
    <n v="0.94971499999999998"/>
    <n v="0.96287770115981319"/>
    <n v="382200"/>
    <n v="0"/>
    <n v="382200"/>
    <n v="51100"/>
    <n v="433300"/>
    <n v="0.11819777647747221"/>
    <n v="-0.31684491978609625"/>
    <n v="4.0086413826212197E-2"/>
  </r>
  <r>
    <n v="2025"/>
    <s v="18132324009    "/>
    <n v="-1.6607312068216509"/>
    <n v="0.19"/>
    <n v="8430"/>
    <s v="6"/>
    <s v="RES"/>
    <x v="0"/>
    <s v="11"/>
    <s v="259"/>
    <s v="TD"/>
    <s v="A"/>
    <s v="AV"/>
    <x v="7"/>
    <n v="74"/>
    <n v="51"/>
    <n v="1950"/>
    <n v="1973"/>
    <n v="1192"/>
    <m/>
    <m/>
    <n v="0"/>
    <m/>
    <m/>
    <n v="1192"/>
    <n v="1500"/>
    <n v="5"/>
    <m/>
    <m/>
    <m/>
    <m/>
    <m/>
    <m/>
    <m/>
    <n v="196256"/>
    <n v="135417"/>
    <n v="8623"/>
    <n v="281200"/>
    <n v="56600"/>
    <n v="224600"/>
    <n v="0"/>
    <n v="0"/>
    <n v="89850.625589999996"/>
    <n v="-52569.808201026557"/>
    <n v="21557.329055999999"/>
    <n v="160472.20319"/>
    <n v="-11375.3256255"/>
    <n v="58895.134493384001"/>
    <n v="0"/>
    <n v="0"/>
    <n v="0"/>
    <n v="18960.110526"/>
    <n v="0"/>
    <n v="8600"/>
    <n v="248500"/>
    <n v="37300"/>
    <n v="294400"/>
    <n v="4.694167852062589E-2"/>
    <n v="0.99970000000000003"/>
    <n v="1.0067999999999999"/>
    <n v="0.99729999999999996"/>
    <n v="1.0157"/>
    <n v="0.995"/>
    <n v="0.94971499999999998"/>
    <n v="0.96371996573175212"/>
    <n v="248500"/>
    <n v="8200"/>
    <n v="256700"/>
    <n v="35400"/>
    <n v="292100"/>
    <n v="0.14292074799643811"/>
    <n v="-0.37455830388692579"/>
    <n v="3.8762446657183501E-2"/>
  </r>
  <r>
    <n v="2025"/>
    <s v="18132324439    "/>
    <n v="-1.3862943611198906"/>
    <n v="0.25"/>
    <m/>
    <s v="6"/>
    <s v="RES"/>
    <x v="0"/>
    <s v="11"/>
    <s v="259"/>
    <s v="TD"/>
    <s v="G"/>
    <s v="AV"/>
    <x v="7"/>
    <n v="74"/>
    <n v="51"/>
    <n v="1950"/>
    <n v="1973"/>
    <n v="1392"/>
    <m/>
    <n v="1392"/>
    <n v="696"/>
    <n v="696"/>
    <m/>
    <n v="2088"/>
    <n v="2500"/>
    <n v="8"/>
    <m/>
    <m/>
    <m/>
    <m/>
    <m/>
    <m/>
    <m/>
    <n v="429202"/>
    <n v="296149"/>
    <n v="13168"/>
    <n v="374600"/>
    <n v="66200"/>
    <n v="308400"/>
    <n v="0"/>
    <n v="0"/>
    <n v="89850.625589999996"/>
    <n v="-43882.615305165229"/>
    <n v="44121.038090000002"/>
    <n v="160472.20319"/>
    <n v="-11375.3256255"/>
    <n v="68776.868468784"/>
    <n v="0"/>
    <n v="0"/>
    <n v="40481.998183823998"/>
    <n v="30336.176841600001"/>
    <n v="0"/>
    <n v="13200"/>
    <n v="332800"/>
    <n v="46000"/>
    <n v="392000"/>
    <n v="4.6449546182594767E-2"/>
    <n v="0.99970000000000003"/>
    <n v="0.98050000000000004"/>
    <n v="0.99729999999999996"/>
    <n v="0.98919999999999997"/>
    <n v="0.995"/>
    <n v="0.94971499999999998"/>
    <n v="0.91405831328052556"/>
    <n v="332800"/>
    <n v="12500"/>
    <n v="345300"/>
    <n v="43700"/>
    <n v="389000"/>
    <n v="0.11964980544747082"/>
    <n v="-0.33987915407854985"/>
    <n v="3.8441003737319811E-2"/>
  </r>
  <r>
    <n v="2025"/>
    <s v="18132323515    "/>
    <n v="-1.6607312068216509"/>
    <n v="0.19"/>
    <n v="8308"/>
    <s v="6"/>
    <s v="RES"/>
    <x v="0"/>
    <s v="11"/>
    <s v="259"/>
    <s v="RN"/>
    <s v="A"/>
    <s v="AV"/>
    <x v="7"/>
    <n v="74"/>
    <n v="51"/>
    <n v="1950"/>
    <n v="1973"/>
    <n v="1519"/>
    <m/>
    <m/>
    <n v="0"/>
    <m/>
    <m/>
    <n v="1519"/>
    <n v="2000"/>
    <n v="7"/>
    <n v="260"/>
    <m/>
    <m/>
    <m/>
    <m/>
    <m/>
    <m/>
    <n v="255363"/>
    <n v="176200"/>
    <n v="6724"/>
    <n v="303000"/>
    <n v="56600"/>
    <n v="246400"/>
    <n v="0"/>
    <n v="0"/>
    <n v="89850.625589999996"/>
    <n v="-52569.808201026557"/>
    <n v="21557.329055999999"/>
    <n v="160472.20319"/>
    <n v="-11375.3256255"/>
    <n v="75051.769543162998"/>
    <n v="0"/>
    <n v="0"/>
    <n v="0"/>
    <n v="26544.1547364"/>
    <n v="0"/>
    <n v="6700"/>
    <n v="272300"/>
    <n v="37300"/>
    <n v="316300"/>
    <n v="4.3894389438943894E-2"/>
    <n v="0.99970000000000003"/>
    <n v="1.0067999999999999"/>
    <n v="0.99729999999999996"/>
    <n v="1.0093000000000001"/>
    <n v="0.995"/>
    <n v="0.94971499999999998"/>
    <n v="0.957647495730095"/>
    <n v="272300"/>
    <n v="6400"/>
    <n v="278700"/>
    <n v="35400"/>
    <n v="314100"/>
    <n v="0.13108766233766234"/>
    <n v="-0.37455830388692579"/>
    <n v="3.6633663366336632E-2"/>
  </r>
  <r>
    <n v="2025"/>
    <s v="18132322423    "/>
    <n v="-1.7719568419318752"/>
    <n v="0.17"/>
    <n v="7498"/>
    <s v="6"/>
    <s v="RES"/>
    <x v="0"/>
    <s v="11"/>
    <s v="259"/>
    <s v="RN"/>
    <s v="A"/>
    <s v="AV"/>
    <x v="7"/>
    <n v="74"/>
    <n v="51"/>
    <n v="1950"/>
    <n v="1973"/>
    <n v="1893"/>
    <m/>
    <m/>
    <n v="0"/>
    <m/>
    <m/>
    <n v="1893"/>
    <n v="2000"/>
    <n v="5"/>
    <m/>
    <m/>
    <m/>
    <m/>
    <m/>
    <m/>
    <m/>
    <n v="300640"/>
    <n v="207442"/>
    <n v="2066"/>
    <n v="306000"/>
    <n v="52700"/>
    <n v="253300"/>
    <n v="0"/>
    <n v="0"/>
    <n v="89850.625589999996"/>
    <n v="-56090.612940989391"/>
    <n v="21557.329055999999"/>
    <n v="160472.20319"/>
    <n v="-11375.3256255"/>
    <n v="93530.612077161"/>
    <n v="0"/>
    <n v="0"/>
    <n v="0"/>
    <n v="18960.110526"/>
    <n v="0"/>
    <n v="2100"/>
    <n v="283100"/>
    <n v="33800"/>
    <n v="319000"/>
    <n v="4.2483660130718956E-2"/>
    <n v="0.99970000000000003"/>
    <n v="1.0067999999999999"/>
    <n v="0.99729999999999996"/>
    <n v="1.0093000000000001"/>
    <n v="0.995"/>
    <n v="0.94971499999999998"/>
    <n v="0.957647495730095"/>
    <n v="283100"/>
    <n v="2000"/>
    <n v="285100"/>
    <n v="32100"/>
    <n v="317200"/>
    <n v="0.12554283458349783"/>
    <n v="-0.39089184060721061"/>
    <n v="3.6601307189542485E-2"/>
  </r>
  <r>
    <n v="2025"/>
    <s v="18132211018    "/>
    <n v="0.81977983149331135"/>
    <n v="2.27"/>
    <n v="98800"/>
    <s v="6"/>
    <s v="RES"/>
    <x v="0"/>
    <s v="11"/>
    <s v="259"/>
    <s v="TD"/>
    <s v="G"/>
    <s v="VG"/>
    <x v="7"/>
    <n v="74"/>
    <n v="51"/>
    <n v="1950"/>
    <n v="1973"/>
    <n v="2309"/>
    <m/>
    <n v="1801"/>
    <n v="294"/>
    <n v="1507"/>
    <m/>
    <n v="3816"/>
    <n v="4000"/>
    <n v="10"/>
    <m/>
    <m/>
    <m/>
    <m/>
    <m/>
    <m/>
    <m/>
    <n v="745713"/>
    <n v="536913"/>
    <n v="27886"/>
    <n v="635200"/>
    <n v="143100"/>
    <n v="492100"/>
    <n v="0"/>
    <n v="0"/>
    <n v="89850.625589999996"/>
    <n v="25949.815558142502"/>
    <n v="44121.038090000002"/>
    <n v="284810.60806"/>
    <n v="-11375.3256255"/>
    <n v="114084.61874599301"/>
    <n v="0"/>
    <n v="0"/>
    <n v="52376.493339846995"/>
    <n v="37920.221052000001"/>
    <n v="0"/>
    <n v="27900"/>
    <n v="521900"/>
    <n v="115800"/>
    <n v="665600"/>
    <n v="4.7858942065491183E-2"/>
    <n v="0.99970000000000003"/>
    <n v="0.98050000000000004"/>
    <n v="1.0158"/>
    <n v="0.94579999999999997"/>
    <n v="0.995"/>
    <n v="0.94971499999999998"/>
    <n v="0.89016700841705743"/>
    <n v="521900"/>
    <n v="26500"/>
    <n v="548400"/>
    <n v="110000"/>
    <n v="658400"/>
    <n v="0.1144076407234302"/>
    <n v="-0.23130677847658979"/>
    <n v="3.6523929471032744E-2"/>
  </r>
  <r>
    <n v="2025"/>
    <s v="18132313460    "/>
    <n v="-1.0788096613719298"/>
    <n v="0.34"/>
    <n v="15000"/>
    <s v="6"/>
    <s v="RES"/>
    <x v="0"/>
    <s v="11"/>
    <s v="259"/>
    <s v="RN"/>
    <s v="A+"/>
    <s v="AV"/>
    <x v="7"/>
    <n v="74"/>
    <n v="51"/>
    <n v="1950"/>
    <n v="1973"/>
    <n v="2173"/>
    <m/>
    <m/>
    <n v="0"/>
    <m/>
    <m/>
    <n v="2173"/>
    <n v="2500"/>
    <n v="9"/>
    <n v="273"/>
    <m/>
    <n v="224"/>
    <m/>
    <m/>
    <m/>
    <m/>
    <n v="412165"/>
    <n v="284394"/>
    <n v="0"/>
    <n v="367400"/>
    <n v="76900"/>
    <n v="290500"/>
    <n v="0"/>
    <n v="0"/>
    <n v="89850.625589999996"/>
    <n v="-34149.305288406773"/>
    <n v="29814.093161000001"/>
    <n v="160472.20319"/>
    <n v="-11375.3256255"/>
    <n v="107365.03964272101"/>
    <n v="0"/>
    <n v="0"/>
    <n v="0"/>
    <n v="34128.198946800003"/>
    <n v="7458.1954218240007"/>
    <n v="0"/>
    <n v="327900"/>
    <n v="55700"/>
    <n v="383600"/>
    <n v="4.4093630919978227E-2"/>
    <n v="0.99970000000000003"/>
    <n v="1.0088999999999999"/>
    <n v="0.99729999999999996"/>
    <n v="0.98919999999999997"/>
    <n v="0.995"/>
    <n v="0.94971499999999998"/>
    <n v="0.94053384219145564"/>
    <n v="327900"/>
    <n v="0"/>
    <n v="327900"/>
    <n v="52900"/>
    <n v="380800"/>
    <n v="0.1287435456110155"/>
    <n v="-0.31209362808842656"/>
    <n v="3.6472509526401742E-2"/>
  </r>
  <r>
    <n v="2025"/>
    <s v="18132323442    "/>
    <n v="-1.5606477482646683"/>
    <n v="0.21"/>
    <m/>
    <s v="6"/>
    <s v="RES"/>
    <x v="0"/>
    <s v="11"/>
    <s v="259"/>
    <s v="RN"/>
    <s v="A"/>
    <s v="AV"/>
    <x v="7"/>
    <n v="74"/>
    <n v="51"/>
    <n v="1950"/>
    <n v="1973"/>
    <n v="1609"/>
    <m/>
    <m/>
    <n v="0"/>
    <m/>
    <m/>
    <n v="1609"/>
    <n v="2000"/>
    <n v="5"/>
    <n v="242"/>
    <m/>
    <m/>
    <m/>
    <m/>
    <m/>
    <m/>
    <n v="252006"/>
    <n v="173884"/>
    <n v="0"/>
    <n v="296700"/>
    <n v="60100"/>
    <n v="236600"/>
    <n v="0"/>
    <n v="0"/>
    <n v="89850.625589999996"/>
    <n v="-49401.70477837498"/>
    <n v="21557.329055999999"/>
    <n v="160472.20319"/>
    <n v="-11375.3256255"/>
    <n v="79498.549832093006"/>
    <n v="0"/>
    <n v="0"/>
    <n v="0"/>
    <n v="18960.110526"/>
    <n v="0"/>
    <n v="0"/>
    <n v="269100"/>
    <n v="40400"/>
    <n v="309500"/>
    <n v="4.3141220087630605E-2"/>
    <n v="0.99970000000000003"/>
    <n v="1.0067999999999999"/>
    <n v="0.99729999999999996"/>
    <n v="1.0093000000000001"/>
    <n v="0.995"/>
    <n v="0.94971499999999998"/>
    <n v="0.957647495730095"/>
    <n v="269100"/>
    <n v="0"/>
    <n v="269100"/>
    <n v="38400"/>
    <n v="307500"/>
    <n v="0.13736263736263737"/>
    <n v="-0.36106489184692181"/>
    <n v="3.6400404448938321E-2"/>
  </r>
  <r>
    <n v="2025"/>
    <s v="18132324520    "/>
    <n v="-1.1394342831883648"/>
    <n v="0.32"/>
    <m/>
    <s v="6"/>
    <s v="RES"/>
    <x v="0"/>
    <s v="11"/>
    <s v="400"/>
    <s v="RN"/>
    <s v="A+"/>
    <s v="AV"/>
    <x v="7"/>
    <n v="74"/>
    <n v="51"/>
    <n v="1950"/>
    <n v="1973"/>
    <n v="1686"/>
    <m/>
    <m/>
    <n v="0"/>
    <m/>
    <n v="240"/>
    <n v="1926"/>
    <n v="2000"/>
    <n v="9"/>
    <n v="484"/>
    <m/>
    <m/>
    <m/>
    <m/>
    <m/>
    <m/>
    <n v="369322"/>
    <n v="254832"/>
    <n v="43810"/>
    <n v="390700"/>
    <n v="74800"/>
    <n v="315900"/>
    <n v="0"/>
    <n v="0"/>
    <n v="89850.625589999996"/>
    <n v="-36068.354396449467"/>
    <n v="29814.093161000001"/>
    <n v="160472.20319"/>
    <n v="-11375.3256255"/>
    <n v="83303.017412622008"/>
    <n v="0"/>
    <n v="15622.721052240002"/>
    <n v="0"/>
    <n v="34128.198946800003"/>
    <n v="0"/>
    <n v="43800"/>
    <n v="312000"/>
    <n v="53800"/>
    <n v="409600"/>
    <n v="4.8374712055285388E-2"/>
    <n v="0.99970000000000003"/>
    <n v="1.0088999999999999"/>
    <n v="0.99729999999999996"/>
    <n v="1.0093000000000001"/>
    <n v="0.995"/>
    <n v="0.94971499999999998"/>
    <n v="0.9596449726282209"/>
    <n v="312000"/>
    <n v="41600"/>
    <n v="353600"/>
    <n v="51100"/>
    <n v="404700"/>
    <n v="0.11934156378600823"/>
    <n v="-0.31684491978609625"/>
    <n v="3.5833120040952141E-2"/>
  </r>
  <r>
    <n v="2025"/>
    <s v="18132322410    "/>
    <n v="-1.2378743560016174"/>
    <n v="0.28999999999999998"/>
    <m/>
    <s v="6"/>
    <s v="RES"/>
    <x v="0"/>
    <s v="11"/>
    <s v="259"/>
    <s v="CC"/>
    <s v="A"/>
    <s v="AV"/>
    <x v="7"/>
    <n v="74"/>
    <n v="51"/>
    <n v="1950"/>
    <n v="1973"/>
    <n v="952"/>
    <n v="474"/>
    <n v="280"/>
    <n v="280"/>
    <m/>
    <m/>
    <n v="1426"/>
    <n v="1500"/>
    <n v="8"/>
    <n v="700"/>
    <m/>
    <m/>
    <m/>
    <m/>
    <m/>
    <m/>
    <n v="262345"/>
    <n v="181018"/>
    <n v="0"/>
    <n v="314300"/>
    <n v="71400"/>
    <n v="242900"/>
    <n v="0"/>
    <n v="0"/>
    <n v="89850.625589999996"/>
    <n v="-39184.437074869042"/>
    <n v="21557.329055999999"/>
    <n v="160472.20319"/>
    <n v="-11375.3256255"/>
    <n v="47037.053722903998"/>
    <n v="21228.764436114001"/>
    <n v="0"/>
    <n v="8142.9306691599995"/>
    <n v="30336.176841600001"/>
    <n v="0"/>
    <n v="0"/>
    <n v="277400"/>
    <n v="50700"/>
    <n v="328100"/>
    <n v="4.3907095132039456E-2"/>
    <n v="0.99970000000000003"/>
    <n v="1.0067999999999999"/>
    <n v="0.99729999999999996"/>
    <n v="1.0157"/>
    <n v="0.995"/>
    <n v="0.94971499999999998"/>
    <n v="0.96371996573175212"/>
    <n v="277400"/>
    <n v="0"/>
    <n v="277400"/>
    <n v="48100"/>
    <n v="325500"/>
    <n v="0.14203375874845617"/>
    <n v="-0.32633053221288516"/>
    <n v="3.5634743875278395E-2"/>
  </r>
  <r>
    <n v="2025"/>
    <s v="18132332456    "/>
    <n v="-1.8325814637483102"/>
    <n v="0.16"/>
    <m/>
    <s v="6"/>
    <s v="RES"/>
    <x v="0"/>
    <s v="11"/>
    <s v="259"/>
    <s v="RN"/>
    <s v="A"/>
    <s v="AV"/>
    <x v="7"/>
    <n v="74"/>
    <n v="51"/>
    <n v="1950"/>
    <n v="1973"/>
    <n v="1808"/>
    <m/>
    <m/>
    <n v="0"/>
    <m/>
    <m/>
    <n v="1808"/>
    <n v="2000"/>
    <n v="8"/>
    <m/>
    <m/>
    <m/>
    <m/>
    <m/>
    <m/>
    <m/>
    <n v="286545"/>
    <n v="197716"/>
    <n v="0"/>
    <n v="309700"/>
    <n v="50600"/>
    <n v="259100"/>
    <n v="0"/>
    <n v="0"/>
    <n v="89850.625589999996"/>
    <n v="-58009.662049032086"/>
    <n v="21557.329055999999"/>
    <n v="160472.20319"/>
    <n v="-11375.3256255"/>
    <n v="89330.875137616007"/>
    <n v="0"/>
    <n v="0"/>
    <n v="0"/>
    <n v="30336.176841600001"/>
    <n v="0"/>
    <n v="0"/>
    <n v="290300"/>
    <n v="31800"/>
    <n v="322100"/>
    <n v="4.0038747174685183E-2"/>
    <n v="0.99970000000000003"/>
    <n v="1.0067999999999999"/>
    <n v="0.99729999999999996"/>
    <n v="1.0093000000000001"/>
    <n v="0.995"/>
    <n v="0.94971499999999998"/>
    <n v="0.957647495730095"/>
    <n v="290300"/>
    <n v="0"/>
    <n v="290300"/>
    <n v="30200"/>
    <n v="320500"/>
    <n v="0.12041682747973756"/>
    <n v="-0.40316205533596838"/>
    <n v="3.4872457216661282E-2"/>
  </r>
  <r>
    <n v="2025"/>
    <s v="18132323504    "/>
    <n v="-1.6094379124341003"/>
    <n v="0.2"/>
    <m/>
    <s v="6"/>
    <s v="RES"/>
    <x v="0"/>
    <s v="11"/>
    <s v="259"/>
    <s v="RN"/>
    <s v="A"/>
    <s v="AV"/>
    <x v="7"/>
    <n v="74"/>
    <n v="51"/>
    <n v="1950"/>
    <n v="1973"/>
    <n v="961"/>
    <m/>
    <m/>
    <n v="0"/>
    <m/>
    <m/>
    <n v="961"/>
    <n v="1000"/>
    <n v="5"/>
    <n v="231"/>
    <m/>
    <m/>
    <m/>
    <m/>
    <m/>
    <m/>
    <n v="180874"/>
    <n v="124803"/>
    <n v="0"/>
    <n v="264800"/>
    <n v="58400"/>
    <n v="206400"/>
    <n v="0"/>
    <n v="0"/>
    <n v="89850.625589999996"/>
    <n v="-50946.13867709865"/>
    <n v="21557.329055999999"/>
    <n v="160472.20319"/>
    <n v="-11375.3256255"/>
    <n v="47481.731751797"/>
    <n v="0"/>
    <n v="0"/>
    <n v="0"/>
    <n v="18960.110526"/>
    <n v="0"/>
    <n v="0"/>
    <n v="237100"/>
    <n v="38900"/>
    <n v="276000"/>
    <n v="4.2296072507552872E-2"/>
    <n v="0.99970000000000003"/>
    <n v="1.0067999999999999"/>
    <n v="0.99729999999999996"/>
    <n v="1.0148999999999999"/>
    <n v="0.995"/>
    <n v="0.94971499999999998"/>
    <n v="0.96296090698154491"/>
    <n v="237100"/>
    <n v="0"/>
    <n v="237100"/>
    <n v="36900"/>
    <n v="274000"/>
    <n v="0.14874031007751937"/>
    <n v="-0.36815068493150682"/>
    <n v="3.4743202416918431E-2"/>
  </r>
  <r>
    <n v="2025"/>
    <s v="18132344405    "/>
    <n v="-1.5141277326297755"/>
    <n v="0.22"/>
    <n v="9380"/>
    <s v="6"/>
    <s v="RES"/>
    <x v="0"/>
    <s v="11"/>
    <s v="259"/>
    <s v="TD"/>
    <s v="A"/>
    <s v="AV"/>
    <x v="7"/>
    <n v="74"/>
    <n v="51"/>
    <n v="1950"/>
    <n v="1973"/>
    <n v="1580"/>
    <m/>
    <n v="1580"/>
    <n v="800"/>
    <n v="780"/>
    <m/>
    <n v="2360"/>
    <n v="2500"/>
    <n v="8"/>
    <m/>
    <m/>
    <m/>
    <m/>
    <m/>
    <m/>
    <m/>
    <n v="362885"/>
    <n v="250391"/>
    <n v="9040"/>
    <n v="361100"/>
    <n v="61700"/>
    <n v="299400"/>
    <n v="0"/>
    <n v="0"/>
    <n v="89850.625589999996"/>
    <n v="-47929.131559187132"/>
    <n v="21557.329055999999"/>
    <n v="160472.20319"/>
    <n v="-11375.3256255"/>
    <n v="78065.698405660005"/>
    <n v="0"/>
    <n v="0"/>
    <n v="45949.394490259998"/>
    <n v="30336.176841600001"/>
    <n v="0"/>
    <n v="9000"/>
    <n v="325000"/>
    <n v="41900"/>
    <n v="375900"/>
    <n v="4.0985876488507336E-2"/>
    <n v="0.99970000000000003"/>
    <n v="1.0067999999999999"/>
    <n v="0.99729999999999996"/>
    <n v="0.98919999999999997"/>
    <n v="0.995"/>
    <n v="0.94971499999999998"/>
    <n v="0.93857614463114025"/>
    <n v="325000"/>
    <n v="8600"/>
    <n v="333600"/>
    <n v="39800"/>
    <n v="373400"/>
    <n v="0.11422845691382766"/>
    <n v="-0.35494327390599678"/>
    <n v="3.4062586541124346E-2"/>
  </r>
  <r>
    <n v="2025"/>
    <s v="18132334017    "/>
    <n v="-1.1711829815029451"/>
    <n v="0.31"/>
    <n v="13300"/>
    <s v="6"/>
    <s v="RES"/>
    <x v="0"/>
    <s v="11"/>
    <s v="259"/>
    <s v="RN"/>
    <s v="G"/>
    <s v="GD"/>
    <x v="7"/>
    <n v="74"/>
    <n v="51"/>
    <n v="1950"/>
    <n v="1973"/>
    <n v="1843"/>
    <m/>
    <n v="1668"/>
    <n v="0"/>
    <n v="1668"/>
    <m/>
    <n v="3511"/>
    <n v="4000"/>
    <n v="8"/>
    <m/>
    <m/>
    <m/>
    <m/>
    <m/>
    <m/>
    <m/>
    <n v="564546"/>
    <n v="400828"/>
    <n v="15252"/>
    <n v="450000"/>
    <n v="73700"/>
    <n v="376300"/>
    <n v="0"/>
    <n v="0"/>
    <n v="89850.625589999996"/>
    <n v="-37073.347241874442"/>
    <n v="44121.038090000002"/>
    <n v="197752.34721000001"/>
    <n v="-11375.3256255"/>
    <n v="91060.178583311004"/>
    <n v="0"/>
    <n v="0"/>
    <n v="48508.601271995998"/>
    <n v="30336.176841600001"/>
    <n v="0"/>
    <n v="15300"/>
    <n v="400400"/>
    <n v="52800"/>
    <n v="468500"/>
    <n v="4.1111111111111112E-2"/>
    <n v="0.99970000000000003"/>
    <n v="0.98050000000000004"/>
    <n v="0.99650000000000005"/>
    <n v="0.94579999999999997"/>
    <n v="0.995"/>
    <n v="0.94971499999999998"/>
    <n v="0.8732540105213602"/>
    <n v="400400"/>
    <n v="14500"/>
    <n v="414900"/>
    <n v="50100"/>
    <n v="465000"/>
    <n v="0.10257773053414829"/>
    <n v="-0.32021709633649931"/>
    <n v="3.3333333333333333E-2"/>
  </r>
  <r>
    <n v="2025"/>
    <s v="18132322438    "/>
    <n v="-1.2378743560016174"/>
    <n v="0.28999999999999998"/>
    <n v="12595"/>
    <s v="6"/>
    <s v="RES"/>
    <x v="0"/>
    <s v="11"/>
    <s v="259"/>
    <s v="RN"/>
    <s v="A+"/>
    <s v="AV"/>
    <x v="7"/>
    <n v="74"/>
    <n v="51"/>
    <n v="1950"/>
    <n v="1973"/>
    <n v="1464"/>
    <m/>
    <n v="1288"/>
    <n v="669"/>
    <n v="619"/>
    <m/>
    <n v="2083"/>
    <n v="2500"/>
    <n v="5"/>
    <n v="441"/>
    <m/>
    <m/>
    <m/>
    <m/>
    <m/>
    <m/>
    <n v="373412"/>
    <n v="257654"/>
    <n v="25252"/>
    <n v="367800"/>
    <n v="71400"/>
    <n v="296400"/>
    <n v="0"/>
    <n v="0"/>
    <n v="89850.625589999996"/>
    <n v="-39184.437074869042"/>
    <n v="29814.093161000001"/>
    <n v="160472.20319"/>
    <n v="-11375.3256255"/>
    <n v="72334.292699928003"/>
    <n v="0"/>
    <n v="0"/>
    <n v="37457.481078135999"/>
    <n v="18960.110526"/>
    <n v="0"/>
    <n v="25300"/>
    <n v="307700"/>
    <n v="50700"/>
    <n v="383700"/>
    <n v="4.3230016313213701E-2"/>
    <n v="0.99970000000000003"/>
    <n v="1.0088999999999999"/>
    <n v="0.99729999999999996"/>
    <n v="0.98919999999999997"/>
    <n v="0.995"/>
    <n v="0.94971499999999998"/>
    <n v="0.94053384219145564"/>
    <n v="307700"/>
    <n v="24000"/>
    <n v="331700"/>
    <n v="48100"/>
    <n v="379800"/>
    <n v="0.11909581646423752"/>
    <n v="-0.32633053221288516"/>
    <n v="3.2626427406199018E-2"/>
  </r>
  <r>
    <n v="2025"/>
    <s v="18132322434    "/>
    <n v="-1.7147984280919266"/>
    <n v="0.18"/>
    <n v="7843"/>
    <s v="6"/>
    <s v="RES"/>
    <x v="0"/>
    <s v="11"/>
    <s v="259"/>
    <s v="TD"/>
    <s v="A"/>
    <s v="AV"/>
    <x v="7"/>
    <n v="74"/>
    <n v="51"/>
    <n v="1950"/>
    <n v="1973"/>
    <n v="1340"/>
    <m/>
    <n v="1340"/>
    <n v="640"/>
    <n v="700"/>
    <m/>
    <n v="2040"/>
    <n v="2500"/>
    <n v="7"/>
    <m/>
    <m/>
    <m/>
    <m/>
    <m/>
    <m/>
    <m/>
    <n v="302391"/>
    <n v="208650"/>
    <n v="0"/>
    <n v="325900"/>
    <n v="54700"/>
    <n v="271200"/>
    <n v="0"/>
    <n v="0"/>
    <n v="89850.625589999996"/>
    <n v="-54281.285314520763"/>
    <n v="21557.329055999999"/>
    <n v="160472.20319"/>
    <n v="-11375.3256255"/>
    <n v="66207.617635179995"/>
    <n v="0"/>
    <n v="0"/>
    <n v="38969.739630979995"/>
    <n v="26544.1547364"/>
    <n v="0"/>
    <n v="0"/>
    <n v="302400"/>
    <n v="35600"/>
    <n v="338000"/>
    <n v="3.7127953359926358E-2"/>
    <n v="0.99970000000000003"/>
    <n v="1.0067999999999999"/>
    <n v="0.99729999999999996"/>
    <n v="0.98919999999999997"/>
    <n v="0.995"/>
    <n v="0.94971499999999998"/>
    <n v="0.93857614463114025"/>
    <n v="302400"/>
    <n v="0"/>
    <n v="302400"/>
    <n v="33800"/>
    <n v="336200"/>
    <n v="0.11504424778761062"/>
    <n v="-0.38208409506398539"/>
    <n v="3.1604786744400121E-2"/>
  </r>
  <r>
    <n v="2025"/>
    <s v="18132334541    "/>
    <n v="-1.1394342831883648"/>
    <n v="0.32"/>
    <n v="13733"/>
    <s v="6"/>
    <s v="RES"/>
    <x v="0"/>
    <s v="11"/>
    <s v="259"/>
    <s v="CP"/>
    <s v="G"/>
    <s v="AV"/>
    <x v="7"/>
    <n v="74"/>
    <n v="51"/>
    <n v="1950"/>
    <n v="1973"/>
    <n v="1780"/>
    <m/>
    <n v="792"/>
    <n v="792"/>
    <m/>
    <m/>
    <n v="1780"/>
    <n v="2000"/>
    <n v="8"/>
    <n v="700"/>
    <m/>
    <m/>
    <m/>
    <m/>
    <m/>
    <m/>
    <n v="494956"/>
    <n v="341520"/>
    <n v="0"/>
    <n v="373800"/>
    <n v="74800"/>
    <n v="299000"/>
    <n v="0"/>
    <n v="0"/>
    <n v="89850.625589999996"/>
    <n v="-36068.354396449467"/>
    <n v="44121.038090000002"/>
    <n v="160472.20319"/>
    <n v="-11375.3256255"/>
    <n v="87947.432381060004"/>
    <n v="0"/>
    <n v="0"/>
    <n v="23032.861035623999"/>
    <n v="30336.176841600001"/>
    <n v="0"/>
    <n v="0"/>
    <n v="334500"/>
    <n v="53800"/>
    <n v="388300"/>
    <n v="3.879079721776351E-2"/>
    <n v="0.99970000000000003"/>
    <n v="0.98050000000000004"/>
    <n v="0.99729999999999996"/>
    <n v="1.0093000000000001"/>
    <n v="0.995"/>
    <n v="0.94971499999999998"/>
    <n v="0.93263147552975589"/>
    <n v="334500"/>
    <n v="0"/>
    <n v="334500"/>
    <n v="51100"/>
    <n v="385600"/>
    <n v="0.11872909698996656"/>
    <n v="-0.31684491978609625"/>
    <n v="3.156768325307651E-2"/>
  </r>
  <r>
    <n v="2025"/>
    <s v="18132323507    "/>
    <n v="-1.6607312068216509"/>
    <n v="0.19"/>
    <n v="8068"/>
    <s v="6"/>
    <s v="RES"/>
    <x v="0"/>
    <s v="11"/>
    <s v="400"/>
    <s v="TD"/>
    <s v="A"/>
    <s v="AV"/>
    <x v="7"/>
    <n v="74"/>
    <n v="51"/>
    <n v="1950"/>
    <n v="1973"/>
    <n v="1736"/>
    <m/>
    <m/>
    <n v="0"/>
    <m/>
    <m/>
    <n v="1736"/>
    <n v="2000"/>
    <n v="8"/>
    <n v="200"/>
    <m/>
    <m/>
    <m/>
    <m/>
    <m/>
    <m/>
    <n v="283768"/>
    <n v="195800"/>
    <n v="6396"/>
    <n v="318500"/>
    <n v="56600"/>
    <n v="261900"/>
    <n v="0"/>
    <n v="0"/>
    <n v="89850.625589999996"/>
    <n v="-52569.808201026557"/>
    <n v="21557.329055999999"/>
    <n v="160472.20319"/>
    <n v="-11375.3256255"/>
    <n v="85773.450906472004"/>
    <n v="0"/>
    <n v="0"/>
    <n v="0"/>
    <n v="30336.176841600001"/>
    <n v="0"/>
    <n v="6400"/>
    <n v="286800"/>
    <n v="37300"/>
    <n v="330500"/>
    <n v="3.7676609105180531E-2"/>
    <n v="0.99970000000000003"/>
    <n v="1.0067999999999999"/>
    <n v="0.99729999999999996"/>
    <n v="1.0093000000000001"/>
    <n v="0.995"/>
    <n v="0.94971499999999998"/>
    <n v="0.957647495730095"/>
    <n v="286800"/>
    <n v="6100"/>
    <n v="292900"/>
    <n v="35400"/>
    <n v="328300"/>
    <n v="0.11836578846888125"/>
    <n v="-0.37455830388692579"/>
    <n v="3.0769230769230771E-2"/>
  </r>
  <r>
    <n v="2025"/>
    <s v="18132323476    "/>
    <n v="-1.6094379124341003"/>
    <n v="0.2"/>
    <n v="8892"/>
    <s v="6"/>
    <s v="RES"/>
    <x v="0"/>
    <s v="11"/>
    <s v="259"/>
    <s v="RN"/>
    <s v="F+"/>
    <s v="AV"/>
    <x v="7"/>
    <n v="74"/>
    <n v="51"/>
    <n v="1950"/>
    <n v="1973"/>
    <n v="960"/>
    <m/>
    <m/>
    <n v="0"/>
    <m/>
    <m/>
    <n v="960"/>
    <n v="1000"/>
    <n v="5"/>
    <m/>
    <m/>
    <n v="64"/>
    <m/>
    <m/>
    <m/>
    <m/>
    <n v="147870"/>
    <n v="102030"/>
    <n v="8623"/>
    <n v="255000"/>
    <n v="58400"/>
    <n v="196600"/>
    <n v="0"/>
    <n v="0"/>
    <n v="89850.625589999996"/>
    <n v="-50946.13867709865"/>
    <n v="0"/>
    <n v="160472.20319"/>
    <n v="-11375.3256255"/>
    <n v="47432.323081920003"/>
    <n v="0"/>
    <n v="0"/>
    <n v="0"/>
    <n v="18960.110526"/>
    <n v="2130.9129776640002"/>
    <n v="8600"/>
    <n v="217600"/>
    <n v="38900"/>
    <n v="265100"/>
    <n v="3.9607843137254899E-2"/>
    <n v="0.99970000000000003"/>
    <n v="0.99180000000000001"/>
    <n v="0.99729999999999996"/>
    <n v="1.0148999999999999"/>
    <n v="0.995"/>
    <n v="0.94971499999999998"/>
    <n v="0.94861405199075932"/>
    <n v="217600"/>
    <n v="8200"/>
    <n v="225800"/>
    <n v="36900"/>
    <n v="262700"/>
    <n v="0.14852492370295015"/>
    <n v="-0.36815068493150682"/>
    <n v="3.019607843137255E-2"/>
  </r>
  <r>
    <n v="2025"/>
    <s v="18132214463    "/>
    <n v="-1.5606477482646683"/>
    <n v="0.21"/>
    <n v="8933"/>
    <s v="6"/>
    <s v="RES"/>
    <x v="0"/>
    <s v="11"/>
    <s v="259"/>
    <s v="TD"/>
    <s v="A"/>
    <s v="AV"/>
    <x v="7"/>
    <n v="74"/>
    <n v="51"/>
    <n v="1950"/>
    <n v="1973"/>
    <n v="1261"/>
    <m/>
    <n v="1261"/>
    <n v="504"/>
    <n v="757"/>
    <m/>
    <n v="2018"/>
    <n v="2500"/>
    <n v="8"/>
    <m/>
    <m/>
    <m/>
    <m/>
    <m/>
    <m/>
    <m/>
    <n v="303724"/>
    <n v="209570"/>
    <n v="6724"/>
    <n v="334800"/>
    <n v="60100"/>
    <n v="274700"/>
    <n v="0"/>
    <n v="0"/>
    <n v="89850.625589999996"/>
    <n v="-49401.70477837498"/>
    <n v="21557.329055999999"/>
    <n v="160472.20319"/>
    <n v="-11375.3256255"/>
    <n v="62304.332714896998"/>
    <n v="0"/>
    <n v="0"/>
    <n v="36672.269906467001"/>
    <n v="30336.176841600001"/>
    <n v="0"/>
    <n v="6700"/>
    <n v="300000"/>
    <n v="40400"/>
    <n v="347100"/>
    <n v="3.6738351254480286E-2"/>
    <n v="0.99970000000000003"/>
    <n v="1.0067999999999999"/>
    <n v="0.99729999999999996"/>
    <n v="0.98919999999999997"/>
    <n v="0.995"/>
    <n v="0.94971499999999998"/>
    <n v="0.93857614463114025"/>
    <n v="300000"/>
    <n v="6400"/>
    <n v="306400"/>
    <n v="38400"/>
    <n v="344800"/>
    <n v="0.11539861667273389"/>
    <n v="-0.36106489184692181"/>
    <n v="2.986857825567503E-2"/>
  </r>
  <r>
    <n v="2025"/>
    <s v="18132243454    "/>
    <n v="-1.4696759700589417"/>
    <n v="0.23"/>
    <n v="9835"/>
    <s v="6"/>
    <s v="RES"/>
    <x v="0"/>
    <s v="11"/>
    <s v="259"/>
    <s v="RN"/>
    <s v="A+"/>
    <s v="AV"/>
    <x v="7"/>
    <n v="74"/>
    <n v="51"/>
    <n v="1950"/>
    <n v="1973"/>
    <n v="1349"/>
    <m/>
    <m/>
    <n v="0"/>
    <m/>
    <m/>
    <n v="1349"/>
    <n v="1500"/>
    <n v="6"/>
    <m/>
    <m/>
    <m/>
    <m/>
    <m/>
    <m/>
    <m/>
    <n v="255170"/>
    <n v="176067"/>
    <n v="10689"/>
    <n v="310500"/>
    <n v="63300"/>
    <n v="247200"/>
    <n v="0"/>
    <n v="0"/>
    <n v="89850.625589999996"/>
    <n v="-46522.028095997222"/>
    <n v="29814.093161000001"/>
    <n v="160472.20319"/>
    <n v="-11375.3256255"/>
    <n v="66652.295664072997"/>
    <n v="0"/>
    <n v="0"/>
    <n v="0"/>
    <n v="22752.132631200002"/>
    <n v="0"/>
    <n v="10700"/>
    <n v="268300"/>
    <n v="43300"/>
    <n v="322300"/>
    <n v="3.8003220611916265E-2"/>
    <n v="0.99970000000000003"/>
    <n v="1.0088999999999999"/>
    <n v="0.99729999999999996"/>
    <n v="1.0157"/>
    <n v="0.995"/>
    <n v="0.94971499999999998"/>
    <n v="0.96573010868768849"/>
    <n v="268300"/>
    <n v="10200"/>
    <n v="278500"/>
    <n v="41100"/>
    <n v="319600"/>
    <n v="0.12661812297734629"/>
    <n v="-0.35071090047393366"/>
    <n v="2.930756843800322E-2"/>
  </r>
  <r>
    <n v="2025"/>
    <s v="18132323030    "/>
    <n v="-1.3862943611198906"/>
    <n v="0.25"/>
    <n v="10686"/>
    <s v="6"/>
    <s v="RES"/>
    <x v="0"/>
    <s v="11"/>
    <s v="259"/>
    <s v="TD"/>
    <s v="A"/>
    <s v="GD"/>
    <x v="7"/>
    <n v="74"/>
    <n v="51"/>
    <n v="1950"/>
    <n v="1973"/>
    <n v="1050"/>
    <m/>
    <n v="1050"/>
    <n v="0"/>
    <n v="1050"/>
    <m/>
    <n v="2100"/>
    <n v="2500"/>
    <n v="8"/>
    <m/>
    <m/>
    <m/>
    <m/>
    <m/>
    <m/>
    <m/>
    <n v="277475"/>
    <n v="197007"/>
    <n v="17105"/>
    <n v="369800"/>
    <n v="66200"/>
    <n v="303600"/>
    <n v="0"/>
    <n v="0"/>
    <n v="89850.625589999996"/>
    <n v="-43882.615305165229"/>
    <n v="21557.329055999999"/>
    <n v="197752.34721000001"/>
    <n v="-11375.3256255"/>
    <n v="51879.103370850004"/>
    <n v="0"/>
    <n v="0"/>
    <n v="30535.99000935"/>
    <n v="30336.176841600001"/>
    <n v="0"/>
    <n v="17100"/>
    <n v="320700"/>
    <n v="46000"/>
    <n v="383800"/>
    <n v="3.7858301784748513E-2"/>
    <n v="0.99970000000000003"/>
    <n v="1.0067999999999999"/>
    <n v="0.99650000000000005"/>
    <n v="0.98919999999999997"/>
    <n v="0.995"/>
    <n v="0.94971499999999998"/>
    <n v="0.93782325090236773"/>
    <n v="320700"/>
    <n v="16200"/>
    <n v="336900"/>
    <n v="43700"/>
    <n v="380600"/>
    <n v="0.10968379446640317"/>
    <n v="-0.33987915407854985"/>
    <n v="2.9204975662520283E-2"/>
  </r>
  <r>
    <n v="2025"/>
    <s v="18132324517    "/>
    <n v="-1.1394342831883648"/>
    <n v="0.32"/>
    <m/>
    <s v="6"/>
    <s v="RES"/>
    <x v="0"/>
    <s v="11"/>
    <s v="259"/>
    <s v="TD"/>
    <s v="A"/>
    <s v="AV"/>
    <x v="7"/>
    <n v="74"/>
    <n v="51"/>
    <n v="1950"/>
    <n v="1973"/>
    <n v="1812"/>
    <m/>
    <n v="1812"/>
    <n v="906"/>
    <n v="906"/>
    <m/>
    <n v="2718"/>
    <n v="3000"/>
    <n v="9"/>
    <m/>
    <m/>
    <n v="216"/>
    <m/>
    <m/>
    <m/>
    <m/>
    <n v="413635"/>
    <n v="285408"/>
    <n v="14914"/>
    <n v="407700"/>
    <n v="74800"/>
    <n v="332900"/>
    <n v="0"/>
    <n v="0"/>
    <n v="89850.625589999996"/>
    <n v="-36068.354396449467"/>
    <n v="21557.329055999999"/>
    <n v="160472.20319"/>
    <n v="-11375.3256255"/>
    <n v="89528.509817123995"/>
    <n v="0"/>
    <n v="0"/>
    <n v="52696.394187563994"/>
    <n v="34128.198946800003"/>
    <n v="7191.8312996160003"/>
    <n v="14900"/>
    <n v="354200"/>
    <n v="53800"/>
    <n v="422900"/>
    <n v="3.728231542801079E-2"/>
    <n v="0.99970000000000003"/>
    <n v="1.0067999999999999"/>
    <n v="0.99729999999999996"/>
    <n v="0.96179999999999999"/>
    <n v="0.995"/>
    <n v="0.94971499999999998"/>
    <n v="0.91257838243654554"/>
    <n v="354200"/>
    <n v="14200"/>
    <n v="368400"/>
    <n v="51100"/>
    <n v="419500"/>
    <n v="0.10663863021928507"/>
    <n v="-0.31684491978609625"/>
    <n v="2.8942850134903116E-2"/>
  </r>
  <r>
    <n v="2025"/>
    <s v="18132243477    "/>
    <n v="-1.1394342831883648"/>
    <n v="0.32"/>
    <n v="13851"/>
    <s v="6"/>
    <s v="RES"/>
    <x v="0"/>
    <s v="11"/>
    <s v="259"/>
    <s v="RN"/>
    <s v="A+"/>
    <s v="GD"/>
    <x v="7"/>
    <n v="74"/>
    <n v="51"/>
    <n v="1950"/>
    <n v="1973"/>
    <n v="1439"/>
    <m/>
    <n v="1439"/>
    <n v="0"/>
    <n v="1439"/>
    <m/>
    <n v="2878"/>
    <n v="3000"/>
    <n v="9"/>
    <m/>
    <m/>
    <m/>
    <m/>
    <m/>
    <m/>
    <m/>
    <n v="411587"/>
    <n v="292227"/>
    <n v="37974"/>
    <n v="438200"/>
    <n v="74800"/>
    <n v="363400"/>
    <n v="0"/>
    <n v="0"/>
    <n v="89850.625589999996"/>
    <n v="-36068.354396449467"/>
    <n v="29814.093161000001"/>
    <n v="197752.34721000001"/>
    <n v="-11375.3256255"/>
    <n v="71099.075953003005"/>
    <n v="0"/>
    <n v="0"/>
    <n v="41848.847260432995"/>
    <n v="34128.198946800003"/>
    <n v="0"/>
    <n v="38000"/>
    <n v="363300"/>
    <n v="53800"/>
    <n v="455100"/>
    <n v="3.8566864445458697E-2"/>
    <n v="0.99970000000000003"/>
    <n v="1.0088999999999999"/>
    <n v="0.99650000000000005"/>
    <n v="0.96179999999999999"/>
    <n v="0.995"/>
    <n v="0.94971499999999998"/>
    <n v="0.9137482873256102"/>
    <n v="363300"/>
    <n v="36100"/>
    <n v="399400"/>
    <n v="51100"/>
    <n v="450500"/>
    <n v="9.9064391854705558E-2"/>
    <n v="-0.31684491978609625"/>
    <n v="2.8069374714742128E-2"/>
  </r>
  <r>
    <n v="2025"/>
    <s v="18132241452    "/>
    <n v="-1.9661128563728327"/>
    <n v="0.14000000000000001"/>
    <n v="5956"/>
    <s v="6"/>
    <s v="RES"/>
    <x v="0"/>
    <s v="11"/>
    <s v="259"/>
    <s v="RN"/>
    <s v="F+"/>
    <s v="AV"/>
    <x v="7"/>
    <n v="74"/>
    <n v="51"/>
    <n v="1950"/>
    <n v="1973"/>
    <n v="888"/>
    <m/>
    <m/>
    <n v="0"/>
    <m/>
    <m/>
    <n v="888"/>
    <n v="1000"/>
    <n v="5"/>
    <m/>
    <m/>
    <m/>
    <m/>
    <m/>
    <m/>
    <m/>
    <n v="152618"/>
    <n v="105306"/>
    <n v="0"/>
    <n v="231700"/>
    <n v="46000"/>
    <n v="185700"/>
    <n v="0"/>
    <n v="0"/>
    <n v="89850.625589999996"/>
    <n v="-62236.546971921947"/>
    <n v="0"/>
    <n v="160472.20319"/>
    <n v="-11375.3256255"/>
    <n v="43874.898850776"/>
    <n v="0"/>
    <n v="0"/>
    <n v="0"/>
    <n v="18960.110526"/>
    <n v="0"/>
    <n v="0"/>
    <n v="211900"/>
    <n v="27600"/>
    <n v="239500"/>
    <n v="3.3664220975399221E-2"/>
    <n v="0.99970000000000003"/>
    <n v="0.99180000000000001"/>
    <n v="0.99729999999999996"/>
    <n v="1.0148999999999999"/>
    <n v="0.995"/>
    <n v="0.94971499999999998"/>
    <n v="0.94861405199075932"/>
    <n v="211900"/>
    <n v="0"/>
    <n v="211900"/>
    <n v="26200"/>
    <n v="238100"/>
    <n v="0.14108777598276789"/>
    <n v="-0.43043478260869567"/>
    <n v="2.762192490289167E-2"/>
  </r>
  <r>
    <n v="2025"/>
    <s v="18132214500    "/>
    <n v="-1.4696759700589417"/>
    <n v="0.23"/>
    <n v="10119"/>
    <s v="6"/>
    <s v="RES"/>
    <x v="0"/>
    <s v="11"/>
    <s v="259"/>
    <s v="RN"/>
    <s v="A"/>
    <s v="GD"/>
    <x v="7"/>
    <n v="74"/>
    <n v="51"/>
    <n v="1950"/>
    <n v="1973"/>
    <n v="1223"/>
    <m/>
    <n v="1223"/>
    <n v="0"/>
    <n v="1223"/>
    <m/>
    <n v="2446"/>
    <n v="2500"/>
    <n v="8"/>
    <n v="572"/>
    <m/>
    <m/>
    <m/>
    <m/>
    <m/>
    <m/>
    <n v="357624"/>
    <n v="253913"/>
    <n v="0"/>
    <n v="365400"/>
    <n v="63300"/>
    <n v="302100"/>
    <n v="0"/>
    <n v="0"/>
    <n v="89850.625589999996"/>
    <n v="-46522.028095997222"/>
    <n v="21557.329055999999"/>
    <n v="197752.34721000001"/>
    <n v="-11375.3256255"/>
    <n v="60426.803259571003"/>
    <n v="0"/>
    <n v="0"/>
    <n v="35567.157887080997"/>
    <n v="30336.176841600001"/>
    <n v="0"/>
    <n v="0"/>
    <n v="334300"/>
    <n v="43300"/>
    <n v="377600"/>
    <n v="3.3388067870826495E-2"/>
    <n v="0.99970000000000003"/>
    <n v="1.0067999999999999"/>
    <n v="0.99650000000000005"/>
    <n v="0.98919999999999997"/>
    <n v="0.995"/>
    <n v="0.94971499999999998"/>
    <n v="0.93782325090236773"/>
    <n v="334300"/>
    <n v="0"/>
    <n v="334300"/>
    <n v="41100"/>
    <n v="375400"/>
    <n v="0.10658722277391593"/>
    <n v="-0.35071090047393366"/>
    <n v="2.736726874657909E-2"/>
  </r>
  <r>
    <n v="2025"/>
    <s v="18132324524    "/>
    <n v="-1.4271163556401458"/>
    <n v="0.24"/>
    <m/>
    <s v="6"/>
    <s v="RES"/>
    <x v="0"/>
    <s v="11"/>
    <s v="400"/>
    <s v="RN"/>
    <s v="G"/>
    <s v="GD"/>
    <x v="7"/>
    <n v="74"/>
    <n v="51"/>
    <n v="1950"/>
    <n v="1973"/>
    <n v="1194"/>
    <m/>
    <n v="1194"/>
    <n v="0"/>
    <n v="1194"/>
    <m/>
    <n v="2388"/>
    <n v="2500"/>
    <n v="8"/>
    <n v="330"/>
    <m/>
    <m/>
    <m/>
    <m/>
    <m/>
    <m/>
    <n v="451181"/>
    <n v="320339"/>
    <n v="0"/>
    <n v="386700"/>
    <n v="64800"/>
    <n v="321900"/>
    <n v="0"/>
    <n v="0"/>
    <n v="89850.625589999996"/>
    <n v="-45174.819855485119"/>
    <n v="44121.038090000002"/>
    <n v="197752.34721000001"/>
    <n v="-11375.3256255"/>
    <n v="58993.951833138002"/>
    <n v="0"/>
    <n v="0"/>
    <n v="34723.782924917999"/>
    <n v="30336.176841600001"/>
    <n v="0"/>
    <n v="0"/>
    <n v="354600"/>
    <n v="44700"/>
    <n v="399300"/>
    <n v="3.2583397982932506E-2"/>
    <n v="0.99970000000000003"/>
    <n v="0.98050000000000004"/>
    <n v="0.99650000000000005"/>
    <n v="0.98919999999999997"/>
    <n v="0.995"/>
    <n v="0.94971499999999998"/>
    <n v="0.91332508691872449"/>
    <n v="354600"/>
    <n v="0"/>
    <n v="354600"/>
    <n v="42400"/>
    <n v="397000"/>
    <n v="0.1015843429636533"/>
    <n v="-0.34567901234567899"/>
    <n v="2.6635634859063874E-2"/>
  </r>
  <r>
    <n v="2025"/>
    <s v="18132323520    "/>
    <n v="-1.7147984280919266"/>
    <n v="0.18"/>
    <m/>
    <s v="6"/>
    <s v="RES"/>
    <x v="0"/>
    <s v="11"/>
    <s v="259"/>
    <s v="TD"/>
    <s v="G"/>
    <s v="AV"/>
    <x v="7"/>
    <n v="74"/>
    <n v="51"/>
    <n v="1950"/>
    <n v="1973"/>
    <n v="1135"/>
    <m/>
    <n v="1135"/>
    <n v="0"/>
    <n v="1135"/>
    <m/>
    <n v="2270"/>
    <n v="2500"/>
    <n v="8"/>
    <n v="252"/>
    <m/>
    <n v="143"/>
    <m/>
    <m/>
    <m/>
    <m/>
    <n v="423342"/>
    <n v="292106"/>
    <n v="0"/>
    <n v="342300"/>
    <n v="54700"/>
    <n v="287600"/>
    <n v="0"/>
    <n v="0"/>
    <n v="89850.625589999996"/>
    <n v="-54281.285314520763"/>
    <n v="44121.038090000002"/>
    <n v="160472.20319"/>
    <n v="-11375.3256255"/>
    <n v="56078.840310395004"/>
    <n v="0"/>
    <n v="0"/>
    <n v="33007.951105344997"/>
    <n v="30336.176841600001"/>
    <n v="4761.2586844680009"/>
    <n v="0"/>
    <n v="317400"/>
    <n v="35600"/>
    <n v="353000"/>
    <n v="3.125912941863862E-2"/>
    <n v="0.99970000000000003"/>
    <n v="0.98050000000000004"/>
    <n v="0.99729999999999996"/>
    <n v="0.98919999999999997"/>
    <n v="0.995"/>
    <n v="0.94971499999999998"/>
    <n v="0.91405831328052556"/>
    <n v="317400"/>
    <n v="0"/>
    <n v="317400"/>
    <n v="33800"/>
    <n v="351200"/>
    <n v="0.10361613351877608"/>
    <n v="-0.38208409506398539"/>
    <n v="2.6000584282792873E-2"/>
  </r>
  <r>
    <n v="2025"/>
    <s v="18132334004    "/>
    <n v="-2.120263536200091"/>
    <n v="0.12"/>
    <n v="5160"/>
    <s v="6"/>
    <s v="RES"/>
    <x v="0"/>
    <s v="11"/>
    <s v="259"/>
    <s v="CC"/>
    <s v="F+"/>
    <s v="AV"/>
    <x v="7"/>
    <n v="74"/>
    <n v="51"/>
    <n v="1950"/>
    <n v="1973"/>
    <n v="1364"/>
    <n v="176"/>
    <m/>
    <n v="0"/>
    <m/>
    <m/>
    <n v="1540"/>
    <n v="2000"/>
    <n v="5"/>
    <m/>
    <m/>
    <m/>
    <m/>
    <m/>
    <m/>
    <m/>
    <n v="207349"/>
    <n v="143071"/>
    <n v="5736"/>
    <n v="263600"/>
    <n v="40600"/>
    <n v="223000"/>
    <n v="0"/>
    <n v="0"/>
    <n v="89850.625589999996"/>
    <n v="-67116.12750806773"/>
    <n v="0"/>
    <n v="160472.20319"/>
    <n v="-11375.3256255"/>
    <n v="67393.425712227996"/>
    <n v="7882.4104235360001"/>
    <n v="0"/>
    <n v="0"/>
    <n v="18960.110526"/>
    <n v="0"/>
    <n v="5700"/>
    <n v="243300"/>
    <n v="22700"/>
    <n v="271700"/>
    <n v="3.0728376327769348E-2"/>
    <n v="0.99970000000000003"/>
    <n v="0.99180000000000001"/>
    <n v="0.99729999999999996"/>
    <n v="1.0093000000000001"/>
    <n v="0.995"/>
    <n v="0.94971499999999998"/>
    <n v="0.94337980360062423"/>
    <n v="243300"/>
    <n v="5400"/>
    <n v="248700"/>
    <n v="21600"/>
    <n v="270300"/>
    <n v="0.11524663677130045"/>
    <n v="-0.46798029556650245"/>
    <n v="2.5417298937784522E-2"/>
  </r>
  <r>
    <n v="2025"/>
    <s v="18132333472    "/>
    <n v="-1.4696759700589417"/>
    <n v="0.23"/>
    <n v="9844"/>
    <s v="6"/>
    <s v="RES"/>
    <x v="0"/>
    <s v="11"/>
    <s v="259"/>
    <s v="RN"/>
    <s v="A+"/>
    <s v="AV"/>
    <x v="7"/>
    <n v="74"/>
    <n v="51"/>
    <n v="1950"/>
    <n v="1973"/>
    <n v="1364"/>
    <m/>
    <n v="1020"/>
    <n v="237"/>
    <n v="783"/>
    <m/>
    <n v="2147"/>
    <n v="2500"/>
    <n v="8"/>
    <m/>
    <m/>
    <m/>
    <m/>
    <m/>
    <m/>
    <m/>
    <n v="379411"/>
    <n v="261794"/>
    <n v="29690"/>
    <n v="366400"/>
    <n v="63300"/>
    <n v="303100"/>
    <n v="0"/>
    <n v="0"/>
    <n v="89850.625589999996"/>
    <n v="-46522.028095997222"/>
    <n v="29814.093161000001"/>
    <n v="160472.20319"/>
    <n v="-11375.3256255"/>
    <n v="67393.425712227996"/>
    <n v="0"/>
    <n v="0"/>
    <n v="29663.533151939999"/>
    <n v="30336.176841600001"/>
    <n v="0"/>
    <n v="29700"/>
    <n v="306300"/>
    <n v="43300"/>
    <n v="379300"/>
    <n v="3.5207423580786025E-2"/>
    <n v="0.99970000000000003"/>
    <n v="1.0088999999999999"/>
    <n v="0.99729999999999996"/>
    <n v="0.98919999999999997"/>
    <n v="0.995"/>
    <n v="0.94971499999999998"/>
    <n v="0.94053384219145564"/>
    <n v="306300"/>
    <n v="28200"/>
    <n v="334500"/>
    <n v="41100"/>
    <n v="375600"/>
    <n v="0.10359617288023755"/>
    <n v="-0.35071090047393366"/>
    <n v="2.5109170305676855E-2"/>
  </r>
  <r>
    <n v="2025"/>
    <s v="18132214480    "/>
    <n v="-1.7147984280919266"/>
    <n v="0.18"/>
    <n v="7853"/>
    <s v="6"/>
    <s v="RES"/>
    <x v="0"/>
    <s v="11"/>
    <s v="259"/>
    <s v="TD"/>
    <s v="A+"/>
    <s v="AV"/>
    <x v="7"/>
    <n v="74"/>
    <n v="51"/>
    <n v="1950"/>
    <n v="1973"/>
    <n v="1388"/>
    <m/>
    <n v="1388"/>
    <n v="694"/>
    <n v="694"/>
    <m/>
    <n v="2082"/>
    <n v="2500"/>
    <n v="7"/>
    <n v="704"/>
    <m/>
    <m/>
    <m/>
    <m/>
    <m/>
    <m/>
    <n v="399452"/>
    <n v="275622"/>
    <n v="0"/>
    <n v="339700"/>
    <n v="54700"/>
    <n v="285000"/>
    <n v="0"/>
    <n v="0"/>
    <n v="89850.625589999996"/>
    <n v="-54281.285314520763"/>
    <n v="29814.093161000001"/>
    <n v="160472.20319"/>
    <n v="-11375.3256255"/>
    <n v="68579.233789275997"/>
    <n v="0"/>
    <n v="0"/>
    <n v="40365.670602835999"/>
    <n v="26544.1547364"/>
    <n v="0"/>
    <n v="0"/>
    <n v="314400"/>
    <n v="35600"/>
    <n v="350000"/>
    <n v="3.0320871357079775E-2"/>
    <n v="0.99970000000000003"/>
    <n v="1.0088999999999999"/>
    <n v="0.99729999999999996"/>
    <n v="0.98919999999999997"/>
    <n v="0.995"/>
    <n v="0.94971499999999998"/>
    <n v="0.94053384219145564"/>
    <n v="314400"/>
    <n v="0"/>
    <n v="314400"/>
    <n v="33800"/>
    <n v="348200"/>
    <n v="0.1031578947368421"/>
    <n v="-0.38208409506398539"/>
    <n v="2.5022078304386224E-2"/>
  </r>
  <r>
    <n v="2025"/>
    <s v="18132323444    "/>
    <n v="-1.5606477482646683"/>
    <n v="0.21"/>
    <m/>
    <s v="6"/>
    <s v="RES"/>
    <x v="0"/>
    <s v="11"/>
    <s v="259"/>
    <s v="TD"/>
    <s v="A"/>
    <s v="GD"/>
    <x v="7"/>
    <n v="74"/>
    <n v="51"/>
    <n v="1950"/>
    <n v="1973"/>
    <n v="1244"/>
    <m/>
    <n v="1250"/>
    <n v="0"/>
    <n v="1250"/>
    <m/>
    <n v="2494"/>
    <n v="2500"/>
    <n v="7"/>
    <m/>
    <m/>
    <m/>
    <m/>
    <m/>
    <m/>
    <m/>
    <n v="304560"/>
    <n v="216238"/>
    <n v="0"/>
    <n v="361700"/>
    <n v="60100"/>
    <n v="301600"/>
    <n v="0"/>
    <n v="0"/>
    <n v="89850.625589999996"/>
    <n v="-49401.70477837498"/>
    <n v="21557.329055999999"/>
    <n v="197752.34721000001"/>
    <n v="-11375.3256255"/>
    <n v="61464.385326987998"/>
    <n v="0"/>
    <n v="0"/>
    <n v="36352.369058749995"/>
    <n v="26544.1547364"/>
    <n v="0"/>
    <n v="0"/>
    <n v="332300"/>
    <n v="40400"/>
    <n v="372700"/>
    <n v="3.0411943599668232E-2"/>
    <n v="0.99970000000000003"/>
    <n v="1.0067999999999999"/>
    <n v="0.99650000000000005"/>
    <n v="0.98919999999999997"/>
    <n v="0.995"/>
    <n v="0.94971499999999998"/>
    <n v="0.93782325090236773"/>
    <n v="332300"/>
    <n v="0"/>
    <n v="332300"/>
    <n v="38400"/>
    <n v="370700"/>
    <n v="0.10179045092838196"/>
    <n v="-0.36106489184692181"/>
    <n v="2.4882499308819462E-2"/>
  </r>
  <r>
    <n v="2025"/>
    <s v="18132324534    "/>
    <n v="-1.5606477482646683"/>
    <n v="0.21"/>
    <n v="9234"/>
    <s v="6"/>
    <s v="RES"/>
    <x v="0"/>
    <s v="11"/>
    <s v="259"/>
    <s v="TD"/>
    <s v="F+"/>
    <s v="AV"/>
    <x v="7"/>
    <n v="74"/>
    <n v="51"/>
    <n v="1950"/>
    <n v="1973"/>
    <n v="1143"/>
    <m/>
    <m/>
    <n v="0"/>
    <m/>
    <m/>
    <n v="1143"/>
    <n v="1500"/>
    <n v="5"/>
    <m/>
    <m/>
    <m/>
    <m/>
    <m/>
    <m/>
    <m/>
    <n v="168237"/>
    <n v="116084"/>
    <n v="6050"/>
    <n v="262200"/>
    <n v="60100"/>
    <n v="202100"/>
    <n v="0"/>
    <n v="0"/>
    <n v="89850.625589999996"/>
    <n v="-49401.70477837498"/>
    <n v="0"/>
    <n v="160472.20319"/>
    <n v="-11375.3256255"/>
    <n v="56474.109669411002"/>
    <n v="0"/>
    <n v="0"/>
    <n v="0"/>
    <n v="18960.110526"/>
    <n v="0"/>
    <n v="6100"/>
    <n v="224500"/>
    <n v="40400"/>
    <n v="271000"/>
    <n v="3.3562166285278416E-2"/>
    <n v="0.99970000000000003"/>
    <n v="0.99180000000000001"/>
    <n v="0.99729999999999996"/>
    <n v="1.0157"/>
    <n v="0.995"/>
    <n v="0.94971499999999998"/>
    <n v="0.94936180176077878"/>
    <n v="224500"/>
    <n v="5700"/>
    <n v="230200"/>
    <n v="38400"/>
    <n v="268600"/>
    <n v="0.13904007916872835"/>
    <n v="-0.36106489184692181"/>
    <n v="2.4408848207475211E-2"/>
  </r>
  <r>
    <n v="2025"/>
    <s v="18132342412    "/>
    <n v="-1.9661128563728327"/>
    <n v="0.14000000000000001"/>
    <m/>
    <s v="6"/>
    <s v="RES"/>
    <x v="0"/>
    <s v="11"/>
    <s v="259"/>
    <s v="TD"/>
    <s v="A"/>
    <s v="AV"/>
    <x v="7"/>
    <n v="74"/>
    <n v="51"/>
    <n v="1950"/>
    <n v="1973"/>
    <n v="1016"/>
    <m/>
    <n v="1016"/>
    <n v="216"/>
    <n v="800"/>
    <m/>
    <n v="1816"/>
    <n v="2000"/>
    <n v="8"/>
    <m/>
    <m/>
    <m/>
    <m/>
    <m/>
    <m/>
    <m/>
    <n v="249210"/>
    <n v="171955"/>
    <n v="9708"/>
    <n v="308600"/>
    <n v="46000"/>
    <n v="262600"/>
    <n v="0"/>
    <n v="0"/>
    <n v="89850.625589999996"/>
    <n v="-62236.546971921947"/>
    <n v="21557.329055999999"/>
    <n v="160472.20319"/>
    <n v="-11375.3256255"/>
    <n v="50199.208595032003"/>
    <n v="0"/>
    <n v="0"/>
    <n v="29547.205570951999"/>
    <n v="30336.176841600001"/>
    <n v="0"/>
    <n v="9700"/>
    <n v="280700"/>
    <n v="27600"/>
    <n v="318000"/>
    <n v="3.0460142579390798E-2"/>
    <n v="0.99970000000000003"/>
    <n v="1.0067999999999999"/>
    <n v="0.99729999999999996"/>
    <n v="1.0093000000000001"/>
    <n v="0.995"/>
    <n v="0.94971499999999998"/>
    <n v="0.957647495730095"/>
    <n v="280700"/>
    <n v="9200"/>
    <n v="289900"/>
    <n v="26200"/>
    <n v="316100"/>
    <n v="0.10396039603960396"/>
    <n v="-0.43043478260869567"/>
    <n v="2.4303305249513935E-2"/>
  </r>
  <r>
    <n v="2025"/>
    <s v="18132214471    "/>
    <n v="-1.1711829815029451"/>
    <n v="0.31"/>
    <n v="13387"/>
    <s v="6"/>
    <s v="RES"/>
    <x v="0"/>
    <s v="11"/>
    <s v="259"/>
    <s v="TD"/>
    <s v="F+"/>
    <s v="AV"/>
    <x v="7"/>
    <n v="74"/>
    <n v="51"/>
    <n v="1950"/>
    <n v="1973"/>
    <n v="861"/>
    <m/>
    <m/>
    <n v="0"/>
    <m/>
    <m/>
    <n v="861"/>
    <n v="1000"/>
    <n v="5"/>
    <m/>
    <m/>
    <n v="72"/>
    <m/>
    <m/>
    <m/>
    <m/>
    <n v="143895"/>
    <n v="99288"/>
    <n v="9201"/>
    <n v="265600"/>
    <n v="73700"/>
    <n v="191900"/>
    <n v="0"/>
    <n v="0"/>
    <n v="89850.625589999996"/>
    <n v="-37073.347241874442"/>
    <n v="0"/>
    <n v="160472.20319"/>
    <n v="-11375.3256255"/>
    <n v="42540.864764097001"/>
    <n v="0"/>
    <n v="0"/>
    <n v="0"/>
    <n v="18960.110526"/>
    <n v="2397.2770998720002"/>
    <n v="9200"/>
    <n v="213000"/>
    <n v="52800"/>
    <n v="275000"/>
    <n v="3.5391566265060244E-2"/>
    <n v="0.99970000000000003"/>
    <n v="0.99180000000000001"/>
    <n v="0.99729999999999996"/>
    <n v="1.0148999999999999"/>
    <n v="0.995"/>
    <n v="0.94971499999999998"/>
    <n v="0.94861405199075932"/>
    <n v="213000"/>
    <n v="8700"/>
    <n v="221700"/>
    <n v="50100"/>
    <n v="271800"/>
    <n v="0.15528921313183949"/>
    <n v="-0.32021709633649931"/>
    <n v="2.3343373493975902E-2"/>
  </r>
  <r>
    <n v="2025"/>
    <s v="18132323447    "/>
    <n v="-1.7719568419318752"/>
    <n v="0.17"/>
    <m/>
    <s v="6"/>
    <s v="RES"/>
    <x v="0"/>
    <s v="11"/>
    <s v="259"/>
    <s v="TD"/>
    <s v="F+"/>
    <s v="AV"/>
    <x v="7"/>
    <n v="74"/>
    <n v="51"/>
    <n v="1950"/>
    <n v="1973"/>
    <n v="889"/>
    <m/>
    <m/>
    <n v="0"/>
    <m/>
    <m/>
    <n v="889"/>
    <n v="1000"/>
    <n v="5"/>
    <m/>
    <m/>
    <m/>
    <m/>
    <m/>
    <m/>
    <m/>
    <n v="141798"/>
    <n v="97841"/>
    <n v="5103"/>
    <n v="243300"/>
    <n v="52700"/>
    <n v="190600"/>
    <n v="0"/>
    <n v="0"/>
    <n v="89850.625589999996"/>
    <n v="-56090.612940989391"/>
    <n v="0"/>
    <n v="160472.20319"/>
    <n v="-11375.3256255"/>
    <n v="43924.307520652997"/>
    <n v="0"/>
    <n v="0"/>
    <n v="0"/>
    <n v="18960.110526"/>
    <n v="0"/>
    <n v="5100"/>
    <n v="212000"/>
    <n v="33800"/>
    <n v="250900"/>
    <n v="3.1237155774763666E-2"/>
    <n v="0.99970000000000003"/>
    <n v="0.99180000000000001"/>
    <n v="0.99729999999999996"/>
    <n v="1.0148999999999999"/>
    <n v="0.995"/>
    <n v="0.94971499999999998"/>
    <n v="0.94861405199075932"/>
    <n v="212000"/>
    <n v="4800"/>
    <n v="216800"/>
    <n v="32100"/>
    <n v="248900"/>
    <n v="0.13746065057712487"/>
    <n v="-0.39089184060721061"/>
    <n v="2.3016851623510071E-2"/>
  </r>
  <r>
    <n v="2025"/>
    <s v="18132214492    "/>
    <n v="-1.3470736479666092"/>
    <n v="0.26"/>
    <n v="11259"/>
    <s v="6"/>
    <s v="RES"/>
    <x v="0"/>
    <s v="11"/>
    <s v="259"/>
    <s v="RN"/>
    <s v="G"/>
    <s v="AV"/>
    <x v="7"/>
    <n v="74"/>
    <n v="51"/>
    <n v="1950"/>
    <n v="1973"/>
    <n v="1515"/>
    <m/>
    <n v="1010"/>
    <n v="510"/>
    <n v="500"/>
    <m/>
    <n v="2015"/>
    <n v="2500"/>
    <n v="5"/>
    <n v="440"/>
    <m/>
    <m/>
    <m/>
    <m/>
    <m/>
    <m/>
    <n v="454936"/>
    <n v="313906"/>
    <n v="0"/>
    <n v="353100"/>
    <n v="67600"/>
    <n v="285500"/>
    <n v="0"/>
    <n v="0"/>
    <n v="89850.625589999996"/>
    <n v="-42641.098701210125"/>
    <n v="44121.038090000002"/>
    <n v="160472.20319"/>
    <n v="-11375.3256255"/>
    <n v="74854.134863654996"/>
    <n v="0"/>
    <n v="0"/>
    <n v="29372.71419947"/>
    <n v="18960.110526"/>
    <n v="0"/>
    <n v="0"/>
    <n v="316400"/>
    <n v="47200"/>
    <n v="363600"/>
    <n v="2.9736618521665252E-2"/>
    <n v="0.99970000000000003"/>
    <n v="0.98050000000000004"/>
    <n v="0.99729999999999996"/>
    <n v="0.98919999999999997"/>
    <n v="0.995"/>
    <n v="0.94971499999999998"/>
    <n v="0.91405831328052556"/>
    <n v="316400"/>
    <n v="0"/>
    <n v="316400"/>
    <n v="44800"/>
    <n v="361200"/>
    <n v="0.10823117338003503"/>
    <n v="-0.33727810650887574"/>
    <n v="2.2939677145284623E-2"/>
  </r>
  <r>
    <n v="2025"/>
    <s v="18132313420    "/>
    <n v="-1.8325814637483102"/>
    <n v="0.16"/>
    <n v="7070"/>
    <s v="6"/>
    <s v="RES"/>
    <x v="0"/>
    <s v="11"/>
    <s v="259"/>
    <s v="CO"/>
    <s v="G"/>
    <s v="FR"/>
    <x v="7"/>
    <n v="74"/>
    <n v="51"/>
    <n v="1950"/>
    <n v="1973"/>
    <n v="884"/>
    <n v="768"/>
    <n v="777"/>
    <n v="0"/>
    <n v="777"/>
    <m/>
    <n v="2429"/>
    <n v="2500"/>
    <n v="10"/>
    <m/>
    <m/>
    <m/>
    <m/>
    <m/>
    <m/>
    <m/>
    <n v="396733"/>
    <n v="265811"/>
    <n v="5008"/>
    <n v="332500"/>
    <n v="50600"/>
    <n v="281900"/>
    <n v="0"/>
    <n v="0"/>
    <n v="89850.625589999996"/>
    <n v="-58009.662049032086"/>
    <n v="44121.038090000002"/>
    <n v="133714.53821"/>
    <n v="-11375.3256255"/>
    <n v="43677.264171267998"/>
    <n v="34395.972757247997"/>
    <n v="0"/>
    <n v="22596.632606919"/>
    <n v="37920.221052000001"/>
    <n v="0"/>
    <n v="5000"/>
    <n v="305100"/>
    <n v="31800"/>
    <n v="341900"/>
    <n v="2.8270676691729325E-2"/>
    <n v="0.99970000000000003"/>
    <n v="0.98050000000000004"/>
    <n v="0.99329999999999996"/>
    <n v="0.98919999999999997"/>
    <n v="0.995"/>
    <n v="0.94971499999999998"/>
    <n v="0.91039218147151924"/>
    <n v="305100"/>
    <n v="4800"/>
    <n v="309900"/>
    <n v="30200"/>
    <n v="340100"/>
    <n v="9.9326002128414331E-2"/>
    <n v="-0.40316205533596838"/>
    <n v="2.2857142857142857E-2"/>
  </r>
  <r>
    <n v="2025"/>
    <s v="18132214489    "/>
    <n v="-1.7719568419318752"/>
    <n v="0.17"/>
    <n v="7617"/>
    <s v="6"/>
    <s v="RES"/>
    <x v="0"/>
    <s v="11"/>
    <s v="259"/>
    <s v="RN"/>
    <s v="A"/>
    <s v="AV"/>
    <x v="7"/>
    <n v="74"/>
    <n v="51"/>
    <n v="1950"/>
    <n v="1973"/>
    <n v="1206"/>
    <m/>
    <n v="1206"/>
    <n v="0"/>
    <n v="1206"/>
    <m/>
    <n v="2412"/>
    <n v="2500"/>
    <n v="7"/>
    <n v="231"/>
    <m/>
    <n v="224"/>
    <m/>
    <m/>
    <m/>
    <m/>
    <n v="322353"/>
    <n v="222424"/>
    <n v="0"/>
    <n v="324200"/>
    <n v="52700"/>
    <n v="271500"/>
    <n v="0"/>
    <n v="0"/>
    <n v="89850.625589999996"/>
    <n v="-56090.612940989391"/>
    <n v="21557.329055999999"/>
    <n v="160472.20319"/>
    <n v="-11375.3256255"/>
    <n v="59586.855871662003"/>
    <n v="0"/>
    <n v="0"/>
    <n v="35072.765667881999"/>
    <n v="26544.1547364"/>
    <n v="7458.1954218240007"/>
    <n v="0"/>
    <n v="299300"/>
    <n v="33800"/>
    <n v="333100"/>
    <n v="2.7452190006169032E-2"/>
    <n v="0.99970000000000003"/>
    <n v="1.0067999999999999"/>
    <n v="0.99729999999999996"/>
    <n v="0.98919999999999997"/>
    <n v="0.995"/>
    <n v="0.94971499999999998"/>
    <n v="0.93857614463114025"/>
    <n v="299300"/>
    <n v="0"/>
    <n v="299300"/>
    <n v="32100"/>
    <n v="331400"/>
    <n v="0.10239410681399631"/>
    <n v="-0.39089184060721061"/>
    <n v="2.2208513263417645E-2"/>
  </r>
  <r>
    <n v="2025"/>
    <s v="18132322420    "/>
    <n v="-1.3862943611198906"/>
    <n v="0.25"/>
    <m/>
    <s v="6"/>
    <s v="RES"/>
    <x v="0"/>
    <s v="11"/>
    <s v="259"/>
    <s v="RN"/>
    <s v="A+"/>
    <s v="AV"/>
    <x v="7"/>
    <n v="74"/>
    <n v="51"/>
    <n v="1950"/>
    <n v="1973"/>
    <n v="1369"/>
    <m/>
    <m/>
    <n v="0"/>
    <m/>
    <m/>
    <n v="1369"/>
    <n v="1500"/>
    <n v="8"/>
    <m/>
    <m/>
    <m/>
    <m/>
    <m/>
    <m/>
    <m/>
    <n v="265199"/>
    <n v="182987"/>
    <n v="7565"/>
    <n v="320800"/>
    <n v="66200"/>
    <n v="254600"/>
    <n v="0"/>
    <n v="0"/>
    <n v="89850.625589999996"/>
    <n v="-43882.615305165229"/>
    <n v="29814.093161000001"/>
    <n v="160472.20319"/>
    <n v="-11375.3256255"/>
    <n v="67640.469061612996"/>
    <n v="0"/>
    <n v="0"/>
    <n v="0"/>
    <n v="30336.176841600001"/>
    <n v="0"/>
    <n v="7600"/>
    <n v="276900"/>
    <n v="46000"/>
    <n v="330500"/>
    <n v="3.0236907730673317E-2"/>
    <n v="0.99970000000000003"/>
    <n v="1.0088999999999999"/>
    <n v="0.99729999999999996"/>
    <n v="1.0157"/>
    <n v="0.995"/>
    <n v="0.94971499999999998"/>
    <n v="0.96573010868768849"/>
    <n v="276900"/>
    <n v="7200"/>
    <n v="284100"/>
    <n v="43700"/>
    <n v="327800"/>
    <n v="0.11586802827965435"/>
    <n v="-0.33987915407854985"/>
    <n v="2.1820448877805487E-2"/>
  </r>
  <r>
    <n v="2025"/>
    <s v="18132323499    "/>
    <n v="-1.6094379124341003"/>
    <n v="0.2"/>
    <m/>
    <s v="6"/>
    <s v="RES"/>
    <x v="0"/>
    <s v="11"/>
    <s v="259"/>
    <s v="RN"/>
    <s v="F+"/>
    <s v="AV"/>
    <x v="7"/>
    <n v="74"/>
    <n v="51"/>
    <n v="1950"/>
    <n v="1973"/>
    <n v="1142"/>
    <m/>
    <n v="1148"/>
    <n v="574"/>
    <n v="574"/>
    <m/>
    <n v="1716"/>
    <n v="2000"/>
    <n v="8"/>
    <m/>
    <m/>
    <m/>
    <m/>
    <m/>
    <m/>
    <m/>
    <n v="241514"/>
    <n v="166645"/>
    <n v="5831"/>
    <n v="305000"/>
    <n v="58400"/>
    <n v="246600"/>
    <n v="0"/>
    <n v="0"/>
    <n v="89850.625589999996"/>
    <n v="-50946.13867709865"/>
    <n v="0"/>
    <n v="160472.20319"/>
    <n v="-11375.3256255"/>
    <n v="56424.700999534005"/>
    <n v="0"/>
    <n v="0"/>
    <n v="33386.015743555996"/>
    <n v="30336.176841600001"/>
    <n v="0"/>
    <n v="5800"/>
    <n v="269200"/>
    <n v="38900"/>
    <n v="313900"/>
    <n v="2.9180327868852458E-2"/>
    <n v="0.99970000000000003"/>
    <n v="0.99180000000000001"/>
    <n v="0.99729999999999996"/>
    <n v="1.0093000000000001"/>
    <n v="0.995"/>
    <n v="0.94971499999999998"/>
    <n v="0.94337980360062423"/>
    <n v="269200"/>
    <n v="5500"/>
    <n v="274700"/>
    <n v="36900"/>
    <n v="311600"/>
    <n v="0.11394971613949716"/>
    <n v="-0.36815068493150682"/>
    <n v="2.1639344262295083E-2"/>
  </r>
  <r>
    <n v="2025"/>
    <s v="18132241491    "/>
    <n v="-1.7719568419318752"/>
    <n v="0.17"/>
    <n v="7255"/>
    <s v="6"/>
    <s v="RES"/>
    <x v="0"/>
    <s v="11"/>
    <s v="259"/>
    <s v="RN"/>
    <s v="F+"/>
    <s v="AV"/>
    <x v="7"/>
    <n v="74"/>
    <n v="51"/>
    <n v="1950"/>
    <n v="1973"/>
    <n v="925"/>
    <m/>
    <m/>
    <n v="0"/>
    <m/>
    <m/>
    <n v="925"/>
    <n v="1000"/>
    <n v="5"/>
    <n v="300"/>
    <m/>
    <m/>
    <m/>
    <m/>
    <m/>
    <m/>
    <n v="164144"/>
    <n v="113259"/>
    <n v="0"/>
    <n v="241000"/>
    <n v="52700"/>
    <n v="188300"/>
    <n v="0"/>
    <n v="0"/>
    <n v="89850.625589999996"/>
    <n v="-56090.612940989391"/>
    <n v="0"/>
    <n v="160472.20319"/>
    <n v="-11375.3256255"/>
    <n v="45703.019636224999"/>
    <n v="0"/>
    <n v="0"/>
    <n v="0"/>
    <n v="18960.110526"/>
    <n v="0"/>
    <n v="0"/>
    <n v="213800"/>
    <n v="33800"/>
    <n v="247600"/>
    <n v="2.7385892116182572E-2"/>
    <n v="0.99970000000000003"/>
    <n v="0.99180000000000001"/>
    <n v="0.99729999999999996"/>
    <n v="1.0148999999999999"/>
    <n v="0.995"/>
    <n v="0.94971499999999998"/>
    <n v="0.94861405199075932"/>
    <n v="213800"/>
    <n v="0"/>
    <n v="213800"/>
    <n v="32100"/>
    <n v="245900"/>
    <n v="0.13542219861922464"/>
    <n v="-0.39089184060721061"/>
    <n v="2.033195020746888E-2"/>
  </r>
  <r>
    <n v="2025"/>
    <s v="18132324523    "/>
    <n v="-1.3093333199837622"/>
    <n v="0.27"/>
    <n v="11900"/>
    <s v="6"/>
    <s v="RES"/>
    <x v="0"/>
    <s v="11"/>
    <s v="259"/>
    <s v="RN"/>
    <s v="A+"/>
    <s v="AV"/>
    <x v="7"/>
    <n v="74"/>
    <n v="51"/>
    <n v="1950"/>
    <n v="1973"/>
    <n v="2578"/>
    <m/>
    <m/>
    <n v="0"/>
    <m/>
    <m/>
    <n v="2578"/>
    <n v="3000"/>
    <n v="9"/>
    <n v="660"/>
    <m/>
    <m/>
    <m/>
    <m/>
    <m/>
    <m/>
    <n v="459708"/>
    <n v="317199"/>
    <n v="13625"/>
    <n v="391600"/>
    <n v="68900"/>
    <n v="322700"/>
    <n v="0"/>
    <n v="0"/>
    <n v="89850.625589999996"/>
    <n v="-41446.443120973789"/>
    <n v="29814.093161000001"/>
    <n v="160472.20319"/>
    <n v="-11375.3256255"/>
    <n v="127375.550942906"/>
    <n v="0"/>
    <n v="0"/>
    <n v="0"/>
    <n v="34128.198946800003"/>
    <n v="0"/>
    <n v="13600"/>
    <n v="340400"/>
    <n v="48400"/>
    <n v="402400"/>
    <n v="2.7579162410623085E-2"/>
    <n v="0.99970000000000003"/>
    <n v="1.0088999999999999"/>
    <n v="0.99729999999999996"/>
    <n v="0.96179999999999999"/>
    <n v="0.995"/>
    <n v="0.94971499999999998"/>
    <n v="0.91448185343686017"/>
    <n v="340400"/>
    <n v="12900"/>
    <n v="353300"/>
    <n v="46000"/>
    <n v="399300"/>
    <n v="9.4824914781530836E-2"/>
    <n v="-0.33236574746008707"/>
    <n v="1.9662921348314606E-2"/>
  </r>
  <r>
    <n v="2025"/>
    <s v="18132322507    "/>
    <n v="-1.3470736479666092"/>
    <n v="0.26"/>
    <n v="11326"/>
    <s v="6"/>
    <s v="RES"/>
    <x v="0"/>
    <s v="11"/>
    <s v="259"/>
    <s v="TD"/>
    <s v="A+"/>
    <s v="AV"/>
    <x v="7"/>
    <n v="74"/>
    <n v="51"/>
    <n v="1950"/>
    <n v="1973"/>
    <n v="1456"/>
    <m/>
    <m/>
    <n v="0"/>
    <m/>
    <m/>
    <n v="1456"/>
    <n v="1500"/>
    <n v="9"/>
    <n v="420"/>
    <m/>
    <m/>
    <m/>
    <m/>
    <m/>
    <m/>
    <n v="295999"/>
    <n v="204239"/>
    <n v="0"/>
    <n v="323500"/>
    <n v="67600"/>
    <n v="255900"/>
    <n v="0"/>
    <n v="0"/>
    <n v="89850.625589999996"/>
    <n v="-42641.098701210125"/>
    <n v="29814.093161000001"/>
    <n v="160472.20319"/>
    <n v="-11375.3256255"/>
    <n v="71939.023340911997"/>
    <n v="0"/>
    <n v="0"/>
    <n v="0"/>
    <n v="34128.198946800003"/>
    <n v="0"/>
    <n v="0"/>
    <n v="285000"/>
    <n v="47200"/>
    <n v="332200"/>
    <n v="2.6893353941267389E-2"/>
    <n v="0.99970000000000003"/>
    <n v="1.0088999999999999"/>
    <n v="0.99729999999999996"/>
    <n v="1.0157"/>
    <n v="0.995"/>
    <n v="0.94971499999999998"/>
    <n v="0.96573010868768849"/>
    <n v="285000"/>
    <n v="0"/>
    <n v="285000"/>
    <n v="44800"/>
    <n v="329800"/>
    <n v="0.11371629542790153"/>
    <n v="-0.33727810650887574"/>
    <n v="1.947449768160742E-2"/>
  </r>
  <r>
    <n v="2025"/>
    <s v="18132243467    "/>
    <n v="-1.6094379124341003"/>
    <n v="0.2"/>
    <n v="8593"/>
    <s v="6"/>
    <s v="RES"/>
    <x v="0"/>
    <s v="11"/>
    <s v="259"/>
    <s v="RN"/>
    <s v="F+"/>
    <s v="AV"/>
    <x v="7"/>
    <n v="74"/>
    <n v="51"/>
    <n v="1950"/>
    <n v="1973"/>
    <n v="1227"/>
    <m/>
    <m/>
    <n v="0"/>
    <m/>
    <m/>
    <n v="1227"/>
    <n v="1500"/>
    <n v="5"/>
    <m/>
    <m/>
    <m/>
    <m/>
    <m/>
    <m/>
    <m/>
    <n v="181086"/>
    <n v="124949"/>
    <n v="7465"/>
    <n v="267500"/>
    <n v="58400"/>
    <n v="209100"/>
    <n v="0"/>
    <n v="0"/>
    <n v="89850.625589999996"/>
    <n v="-50946.13867709865"/>
    <n v="0"/>
    <n v="160472.20319"/>
    <n v="-11375.3256255"/>
    <n v="60624.437939078998"/>
    <n v="0"/>
    <n v="0"/>
    <n v="0"/>
    <n v="18960.110526"/>
    <n v="0"/>
    <n v="7500"/>
    <n v="228700"/>
    <n v="38900"/>
    <n v="275100"/>
    <n v="2.8411214953271029E-2"/>
    <n v="0.99970000000000003"/>
    <n v="0.99180000000000001"/>
    <n v="0.99729999999999996"/>
    <n v="1.0157"/>
    <n v="0.995"/>
    <n v="0.94971499999999998"/>
    <n v="0.94936180176077878"/>
    <n v="228700"/>
    <n v="7100"/>
    <n v="235800"/>
    <n v="36900"/>
    <n v="272700"/>
    <n v="0.12769010043041606"/>
    <n v="-0.36815068493150682"/>
    <n v="1.9439252336448599E-2"/>
  </r>
  <r>
    <n v="2025"/>
    <s v="18132244452    "/>
    <n v="-1.3093333199837622"/>
    <n v="0.27"/>
    <n v="11900"/>
    <s v="6"/>
    <s v="RES"/>
    <x v="0"/>
    <s v="11"/>
    <s v="259"/>
    <s v="CP"/>
    <s v="G"/>
    <s v="AV"/>
    <x v="7"/>
    <n v="74"/>
    <n v="51"/>
    <n v="1950"/>
    <n v="1973"/>
    <n v="1987"/>
    <m/>
    <n v="784"/>
    <n v="0"/>
    <n v="784"/>
    <m/>
    <n v="2771"/>
    <n v="3000"/>
    <n v="13"/>
    <m/>
    <m/>
    <n v="216"/>
    <m/>
    <m/>
    <m/>
    <m/>
    <n v="521568"/>
    <n v="359882"/>
    <n v="4666"/>
    <n v="413100"/>
    <n v="68900"/>
    <n v="344200"/>
    <n v="0"/>
    <n v="0"/>
    <n v="89850.625589999996"/>
    <n v="-41446.443120973789"/>
    <n v="44121.038090000002"/>
    <n v="160472.20319"/>
    <n v="-11375.3256255"/>
    <n v="98175.027045598996"/>
    <n v="0"/>
    <n v="0"/>
    <n v="22800.205873647999"/>
    <n v="49296.287367600002"/>
    <n v="7191.8312996160003"/>
    <n v="4700"/>
    <n v="370700"/>
    <n v="48400"/>
    <n v="423800"/>
    <n v="2.5901718712176228E-2"/>
    <n v="0.99970000000000003"/>
    <n v="0.98050000000000004"/>
    <n v="0.99729999999999996"/>
    <n v="0.96179999999999999"/>
    <n v="0.995"/>
    <n v="0.94971499999999998"/>
    <n v="0.88873967419451028"/>
    <n v="370700"/>
    <n v="4400"/>
    <n v="375100"/>
    <n v="46000"/>
    <n v="421100"/>
    <n v="8.977338756536897E-2"/>
    <n v="-0.33236574746008707"/>
    <n v="1.9365770999757927E-2"/>
  </r>
  <r>
    <n v="2025"/>
    <s v="18131433401    "/>
    <n v="-0.77652878949899629"/>
    <n v="0.46"/>
    <n v="19838"/>
    <s v="6"/>
    <s v="RES"/>
    <x v="0"/>
    <s v="11"/>
    <s v="259"/>
    <s v="RN"/>
    <s v="G"/>
    <s v="AV"/>
    <x v="7"/>
    <n v="74"/>
    <n v="51"/>
    <n v="1950"/>
    <n v="1973"/>
    <n v="1878"/>
    <m/>
    <m/>
    <n v="0"/>
    <m/>
    <m/>
    <n v="1878"/>
    <n v="2000"/>
    <n v="8"/>
    <n v="360"/>
    <m/>
    <m/>
    <m/>
    <m/>
    <m/>
    <m/>
    <n v="413174"/>
    <n v="285090"/>
    <n v="0"/>
    <n v="371200"/>
    <n v="87500"/>
    <n v="283700"/>
    <n v="0"/>
    <n v="0"/>
    <n v="89850.625589999996"/>
    <n v="-24580.720443414604"/>
    <n v="44121.038090000002"/>
    <n v="160472.20319"/>
    <n v="-11375.3256255"/>
    <n v="92789.482029006002"/>
    <n v="0"/>
    <n v="0"/>
    <n v="0"/>
    <n v="30336.176841600001"/>
    <n v="0"/>
    <n v="0"/>
    <n v="316300"/>
    <n v="65300"/>
    <n v="381600"/>
    <n v="2.8017241379310345E-2"/>
    <n v="0.99970000000000003"/>
    <n v="0.98050000000000004"/>
    <n v="0.99729999999999996"/>
    <n v="1.0093000000000001"/>
    <n v="0.995"/>
    <n v="0.94971499999999998"/>
    <n v="0.93263147552975589"/>
    <n v="316300"/>
    <n v="0"/>
    <n v="316300"/>
    <n v="62000"/>
    <n v="378300"/>
    <n v="0.11491011632005639"/>
    <n v="-0.29142857142857143"/>
    <n v="1.9127155172413791E-2"/>
  </r>
  <r>
    <n v="2025"/>
    <s v="18132323456    "/>
    <n v="-1.7719568419318752"/>
    <n v="0.17"/>
    <n v="7504"/>
    <s v="6"/>
    <s v="RES"/>
    <x v="0"/>
    <s v="11"/>
    <s v="259"/>
    <s v="RN"/>
    <s v="F+"/>
    <s v="AV"/>
    <x v="7"/>
    <n v="74"/>
    <n v="51"/>
    <n v="1950"/>
    <n v="1973"/>
    <n v="1176"/>
    <m/>
    <n v="1176"/>
    <n v="588"/>
    <n v="588"/>
    <m/>
    <n v="1764"/>
    <n v="2000"/>
    <n v="9"/>
    <m/>
    <m/>
    <m/>
    <m/>
    <m/>
    <m/>
    <m/>
    <n v="261279"/>
    <n v="180283"/>
    <n v="20740"/>
    <n v="321200"/>
    <n v="52700"/>
    <n v="268500"/>
    <n v="0"/>
    <n v="0"/>
    <n v="89850.625589999996"/>
    <n v="-56090.612940989391"/>
    <n v="0"/>
    <n v="160472.20319"/>
    <n v="-11375.3256255"/>
    <n v="58104.595775351998"/>
    <n v="0"/>
    <n v="0"/>
    <n v="34200.308810472001"/>
    <n v="34128.198946800003"/>
    <n v="0"/>
    <n v="20700"/>
    <n v="275500"/>
    <n v="33800"/>
    <n v="330000"/>
    <n v="2.7397260273972601E-2"/>
    <n v="0.99970000000000003"/>
    <n v="0.99180000000000001"/>
    <n v="0.99729999999999996"/>
    <n v="1.0093000000000001"/>
    <n v="0.995"/>
    <n v="0.94971499999999998"/>
    <n v="0.94337980360062423"/>
    <n v="275500"/>
    <n v="19700"/>
    <n v="295200"/>
    <n v="32100"/>
    <n v="327300"/>
    <n v="9.9441340782122911E-2"/>
    <n v="-0.39089184060721061"/>
    <n v="1.8991282689912826E-2"/>
  </r>
  <r>
    <n v="2025"/>
    <s v="18132334443    "/>
    <n v="-1.5141277326297755"/>
    <n v="0.22"/>
    <m/>
    <s v="6"/>
    <s v="RES"/>
    <x v="0"/>
    <s v="11"/>
    <s v="259"/>
    <s v="RN"/>
    <s v="A"/>
    <s v="AV"/>
    <x v="7"/>
    <n v="74"/>
    <n v="51"/>
    <n v="1950"/>
    <n v="1973"/>
    <n v="1152"/>
    <m/>
    <n v="288"/>
    <n v="0"/>
    <n v="288"/>
    <m/>
    <n v="1440"/>
    <n v="1500"/>
    <n v="8"/>
    <n v="624"/>
    <m/>
    <m/>
    <m/>
    <m/>
    <m/>
    <m/>
    <n v="254735"/>
    <n v="175767"/>
    <n v="0"/>
    <n v="300400"/>
    <n v="61700"/>
    <n v="238700"/>
    <n v="0"/>
    <n v="0"/>
    <n v="89850.625589999996"/>
    <n v="-47929.131559187132"/>
    <n v="21557.329055999999"/>
    <n v="160472.20319"/>
    <n v="-11375.3256255"/>
    <n v="56918.787698304004"/>
    <n v="0"/>
    <n v="0"/>
    <n v="8375.5858311359989"/>
    <n v="30336.176841600001"/>
    <n v="0"/>
    <n v="0"/>
    <n v="266300"/>
    <n v="41900"/>
    <n v="308200"/>
    <n v="2.5965379494007991E-2"/>
    <n v="0.99970000000000003"/>
    <n v="1.0067999999999999"/>
    <n v="0.99729999999999996"/>
    <n v="1.0157"/>
    <n v="0.995"/>
    <n v="0.94971499999999998"/>
    <n v="0.96371996573175212"/>
    <n v="266300"/>
    <n v="0"/>
    <n v="266300"/>
    <n v="39800"/>
    <n v="306100"/>
    <n v="0.11562630917469627"/>
    <n v="-0.35494327390599678"/>
    <n v="1.8974700399467376E-2"/>
  </r>
  <r>
    <n v="2025"/>
    <s v="18132244500    "/>
    <n v="-1.5141277326297755"/>
    <n v="0.22"/>
    <n v="9578"/>
    <s v="6"/>
    <s v="RES"/>
    <x v="0"/>
    <s v="11"/>
    <s v="259"/>
    <s v="CO"/>
    <s v="G"/>
    <s v="AV"/>
    <x v="7"/>
    <n v="74"/>
    <n v="51"/>
    <n v="1950"/>
    <n v="1973"/>
    <n v="1818"/>
    <n v="632"/>
    <n v="1186"/>
    <n v="0"/>
    <n v="1186"/>
    <m/>
    <n v="3636"/>
    <n v="4000"/>
    <n v="14"/>
    <m/>
    <m/>
    <n v="144"/>
    <m/>
    <m/>
    <m/>
    <m/>
    <n v="608454"/>
    <n v="419833"/>
    <n v="14084"/>
    <n v="448500"/>
    <n v="61700"/>
    <n v="386800"/>
    <n v="0"/>
    <n v="0"/>
    <n v="89850.625589999996"/>
    <n v="-47929.131559187132"/>
    <n v="44121.038090000002"/>
    <n v="160472.20319"/>
    <n v="-11375.3256255"/>
    <n v="89824.961836386006"/>
    <n v="28305.019248151999"/>
    <n v="0"/>
    <n v="34491.127762942"/>
    <n v="53088.3094728"/>
    <n v="4794.5541997440005"/>
    <n v="14100"/>
    <n v="403700"/>
    <n v="41900"/>
    <n v="459700"/>
    <n v="2.4972129319955409E-2"/>
    <n v="0.99970000000000003"/>
    <n v="0.98050000000000004"/>
    <n v="0.99729999999999996"/>
    <n v="0.94579999999999997"/>
    <n v="0.995"/>
    <n v="0.94971499999999998"/>
    <n v="0.87395506742895379"/>
    <n v="403700"/>
    <n v="13400"/>
    <n v="417100"/>
    <n v="39800"/>
    <n v="456900"/>
    <n v="7.833505687693898E-2"/>
    <n v="-0.35494327390599678"/>
    <n v="1.8729096989966554E-2"/>
  </r>
  <r>
    <n v="2025"/>
    <s v="18132324516    "/>
    <n v="-1.4271163556401458"/>
    <n v="0.24"/>
    <m/>
    <s v="6"/>
    <s v="RES"/>
    <x v="0"/>
    <s v="11"/>
    <s v="259"/>
    <s v="RN"/>
    <s v="A+"/>
    <s v="AV"/>
    <x v="7"/>
    <n v="74"/>
    <n v="51"/>
    <n v="1950"/>
    <n v="1973"/>
    <n v="1627"/>
    <m/>
    <n v="1483"/>
    <n v="0"/>
    <n v="1483"/>
    <m/>
    <n v="3110"/>
    <n v="3500"/>
    <n v="8"/>
    <n v="330"/>
    <m/>
    <n v="220"/>
    <m/>
    <m/>
    <m/>
    <m/>
    <n v="467161"/>
    <n v="322341"/>
    <n v="0"/>
    <n v="375700"/>
    <n v="64800"/>
    <n v="310900"/>
    <n v="0"/>
    <n v="0"/>
    <n v="89850.625589999996"/>
    <n v="-45174.819855485119"/>
    <n v="29814.093161000001"/>
    <n v="160472.20319"/>
    <n v="-11375.3256255"/>
    <n v="80387.905889878995"/>
    <n v="0"/>
    <n v="0"/>
    <n v="43128.450651300998"/>
    <n v="30336.176841600001"/>
    <n v="7325.0133607200005"/>
    <n v="0"/>
    <n v="340100"/>
    <n v="44700"/>
    <n v="384800"/>
    <n v="2.4221453287197232E-2"/>
    <n v="0.99970000000000003"/>
    <n v="1.0088999999999999"/>
    <n v="0.99729999999999996"/>
    <n v="1.0126999999999999"/>
    <n v="0.995"/>
    <n v="0.94971499999999998"/>
    <n v="0.96287770115981319"/>
    <n v="340100"/>
    <n v="0"/>
    <n v="340100"/>
    <n v="42400"/>
    <n v="382500"/>
    <n v="9.3920874879382443E-2"/>
    <n v="-0.34567901234567899"/>
    <n v="1.8099547511312219E-2"/>
  </r>
  <r>
    <n v="2025"/>
    <s v="18132323446    "/>
    <n v="-1.7719568419318752"/>
    <n v="0.17"/>
    <n v="7194"/>
    <s v="6"/>
    <s v="RES"/>
    <x v="0"/>
    <s v="11"/>
    <s v="259"/>
    <s v="TD"/>
    <s v="F+"/>
    <s v="AV"/>
    <x v="7"/>
    <n v="74"/>
    <n v="51"/>
    <n v="1950"/>
    <n v="1973"/>
    <n v="914"/>
    <m/>
    <n v="914"/>
    <n v="457"/>
    <n v="457"/>
    <m/>
    <n v="1371"/>
    <n v="1500"/>
    <n v="8"/>
    <m/>
    <m/>
    <m/>
    <m/>
    <m/>
    <m/>
    <m/>
    <n v="203876"/>
    <n v="140674"/>
    <n v="4960"/>
    <n v="283000"/>
    <n v="52700"/>
    <n v="230300"/>
    <n v="0"/>
    <n v="0"/>
    <n v="89850.625589999996"/>
    <n v="-56090.612940989391"/>
    <n v="0"/>
    <n v="160472.20319"/>
    <n v="-11375.3256255"/>
    <n v="45159.524267578003"/>
    <n v="0"/>
    <n v="0"/>
    <n v="26580.852255758"/>
    <n v="30336.176841600001"/>
    <n v="0"/>
    <n v="5000"/>
    <n v="251200"/>
    <n v="33800"/>
    <n v="290000"/>
    <n v="2.4734982332155476E-2"/>
    <n v="0.99970000000000003"/>
    <n v="0.99180000000000001"/>
    <n v="0.99729999999999996"/>
    <n v="1.0157"/>
    <n v="0.995"/>
    <n v="0.94971499999999998"/>
    <n v="0.94936180176077878"/>
    <n v="251200"/>
    <n v="4700"/>
    <n v="255900"/>
    <n v="32100"/>
    <n v="288000"/>
    <n v="0.11115935735996527"/>
    <n v="-0.39089184060721061"/>
    <n v="1.7667844522968199E-2"/>
  </r>
  <r>
    <n v="2025"/>
    <s v="18132214462    "/>
    <n v="-1.6094379124341003"/>
    <n v="0.2"/>
    <n v="8919"/>
    <s v="6"/>
    <s v="RES"/>
    <x v="0"/>
    <s v="11"/>
    <s v="259"/>
    <s v="TD"/>
    <s v="F+"/>
    <s v="AV"/>
    <x v="7"/>
    <n v="74"/>
    <n v="51"/>
    <n v="1950"/>
    <n v="1973"/>
    <n v="1084"/>
    <m/>
    <n v="1084"/>
    <n v="542"/>
    <n v="542"/>
    <m/>
    <n v="1626"/>
    <n v="2000"/>
    <n v="5"/>
    <m/>
    <m/>
    <m/>
    <m/>
    <m/>
    <m/>
    <m/>
    <n v="231963"/>
    <n v="160054"/>
    <n v="5261"/>
    <n v="290100"/>
    <n v="58400"/>
    <n v="231700"/>
    <n v="0"/>
    <n v="0"/>
    <n v="89850.625589999996"/>
    <n v="-50946.13867709865"/>
    <n v="0"/>
    <n v="160472.20319"/>
    <n v="-11375.3256255"/>
    <n v="53558.998146668004"/>
    <n v="0"/>
    <n v="0"/>
    <n v="31524.774447747997"/>
    <n v="18960.110526"/>
    <n v="0"/>
    <n v="5300"/>
    <n v="253100"/>
    <n v="38900"/>
    <n v="297300"/>
    <n v="2.481902792140641E-2"/>
    <n v="0.99970000000000003"/>
    <n v="0.99180000000000001"/>
    <n v="0.99729999999999996"/>
    <n v="1.0093000000000001"/>
    <n v="0.995"/>
    <n v="0.94971499999999998"/>
    <n v="0.94337980360062423"/>
    <n v="253100"/>
    <n v="5000"/>
    <n v="258100"/>
    <n v="36900"/>
    <n v="295000"/>
    <n v="0.11394044022442815"/>
    <n v="-0.36815068493150682"/>
    <n v="1.6890727335401586E-2"/>
  </r>
  <r>
    <n v="2025"/>
    <s v="18132323517    "/>
    <n v="-1.7147984280919266"/>
    <n v="0.18"/>
    <m/>
    <s v="6"/>
    <s v="RES"/>
    <x v="0"/>
    <s v="11"/>
    <s v="259"/>
    <s v="TD"/>
    <s v="A"/>
    <s v="AV"/>
    <x v="7"/>
    <n v="74"/>
    <n v="51"/>
    <n v="1950"/>
    <n v="1973"/>
    <n v="968"/>
    <m/>
    <n v="968"/>
    <n v="0"/>
    <n v="968"/>
    <m/>
    <n v="1936"/>
    <n v="2000"/>
    <n v="8"/>
    <n v="242"/>
    <m/>
    <m/>
    <m/>
    <m/>
    <m/>
    <m/>
    <n v="262167"/>
    <n v="180895"/>
    <n v="0"/>
    <n v="305800"/>
    <n v="54700"/>
    <n v="251100"/>
    <n v="0"/>
    <n v="0"/>
    <n v="89850.625589999996"/>
    <n v="-54281.285314520763"/>
    <n v="21557.329055999999"/>
    <n v="160472.20319"/>
    <n v="-11375.3256255"/>
    <n v="47827.592440936001"/>
    <n v="0"/>
    <n v="0"/>
    <n v="28151.274599095999"/>
    <n v="30336.176841600001"/>
    <n v="0"/>
    <n v="0"/>
    <n v="277000"/>
    <n v="35600"/>
    <n v="312600"/>
    <n v="2.2236756049705691E-2"/>
    <n v="0.99970000000000003"/>
    <n v="1.0067999999999999"/>
    <n v="0.99729999999999996"/>
    <n v="1.0093000000000001"/>
    <n v="0.995"/>
    <n v="0.94971499999999998"/>
    <n v="0.957647495730095"/>
    <n v="277000"/>
    <n v="0"/>
    <n v="277000"/>
    <n v="33800"/>
    <n v="310800"/>
    <n v="0.10314615690959777"/>
    <n v="-0.38208409506398539"/>
    <n v="1.6350555918901243E-2"/>
  </r>
  <r>
    <n v="2025"/>
    <s v="18132322430    "/>
    <n v="-1.6094379124341003"/>
    <n v="0.2"/>
    <m/>
    <s v="6"/>
    <s v="RES"/>
    <x v="0"/>
    <s v="11"/>
    <s v="259"/>
    <s v="RN"/>
    <s v="F+"/>
    <s v="AV"/>
    <x v="7"/>
    <n v="74"/>
    <n v="51"/>
    <n v="1950"/>
    <n v="1973"/>
    <n v="1286"/>
    <m/>
    <m/>
    <n v="0"/>
    <m/>
    <m/>
    <n v="1286"/>
    <n v="1500"/>
    <n v="5"/>
    <n v="352"/>
    <m/>
    <m/>
    <m/>
    <m/>
    <m/>
    <m/>
    <n v="203882"/>
    <n v="140679"/>
    <n v="0"/>
    <n v="264200"/>
    <n v="58400"/>
    <n v="205800"/>
    <n v="0"/>
    <n v="0"/>
    <n v="89850.625589999996"/>
    <n v="-50946.13867709865"/>
    <n v="0"/>
    <n v="160472.20319"/>
    <n v="-11375.3256255"/>
    <n v="63539.549461822004"/>
    <n v="0"/>
    <n v="0"/>
    <n v="0"/>
    <n v="18960.110526"/>
    <n v="0"/>
    <n v="0"/>
    <n v="231600"/>
    <n v="38900"/>
    <n v="270500"/>
    <n v="2.384557153671461E-2"/>
    <n v="0.99970000000000003"/>
    <n v="0.99180000000000001"/>
    <n v="0.99729999999999996"/>
    <n v="1.0157"/>
    <n v="0.995"/>
    <n v="0.94971499999999998"/>
    <n v="0.94936180176077878"/>
    <n v="231600"/>
    <n v="0"/>
    <n v="231600"/>
    <n v="36900"/>
    <n v="268500"/>
    <n v="0.12536443148688048"/>
    <n v="-0.36815068493150682"/>
    <n v="1.6275548826646481E-2"/>
  </r>
  <r>
    <n v="2025"/>
    <s v="18132214478    "/>
    <n v="-1.5606477482646683"/>
    <n v="0.21"/>
    <n v="9154"/>
    <s v="6"/>
    <s v="RES"/>
    <x v="0"/>
    <s v="11"/>
    <s v="259"/>
    <s v="RN"/>
    <s v="G"/>
    <s v="AV"/>
    <x v="7"/>
    <n v="74"/>
    <n v="51"/>
    <n v="1950"/>
    <n v="1973"/>
    <n v="1094"/>
    <m/>
    <n v="1094"/>
    <n v="0"/>
    <n v="1094"/>
    <m/>
    <n v="2188"/>
    <n v="2500"/>
    <n v="7"/>
    <m/>
    <m/>
    <m/>
    <m/>
    <m/>
    <m/>
    <m/>
    <n v="388695"/>
    <n v="268200"/>
    <n v="7343"/>
    <n v="345700"/>
    <n v="60100"/>
    <n v="285600"/>
    <n v="0"/>
    <n v="0"/>
    <n v="89850.625589999996"/>
    <n v="-49401.70477837498"/>
    <n v="44121.038090000002"/>
    <n v="160472.20319"/>
    <n v="-11375.3256255"/>
    <n v="54053.084845438003"/>
    <n v="0"/>
    <n v="0"/>
    <n v="31815.593400218"/>
    <n v="26544.1547364"/>
    <n v="0"/>
    <n v="7300"/>
    <n v="305600"/>
    <n v="40400"/>
    <n v="353300"/>
    <n v="2.198437951981487E-2"/>
    <n v="0.99970000000000003"/>
    <n v="0.98050000000000004"/>
    <n v="0.99729999999999996"/>
    <n v="0.98919999999999997"/>
    <n v="0.995"/>
    <n v="0.94971499999999998"/>
    <n v="0.91405831328052556"/>
    <n v="305600"/>
    <n v="7000"/>
    <n v="312600"/>
    <n v="38400"/>
    <n v="351000"/>
    <n v="9.4537815126050417E-2"/>
    <n v="-0.36106489184692181"/>
    <n v="1.5331212033555105E-2"/>
  </r>
  <r>
    <n v="2025"/>
    <s v="18132323522    "/>
    <n v="-1.6607312068216509"/>
    <n v="0.19"/>
    <m/>
    <s v="6"/>
    <s v="RES"/>
    <x v="0"/>
    <s v="11"/>
    <s v="259"/>
    <s v="RN"/>
    <s v="A"/>
    <s v="AV"/>
    <x v="7"/>
    <n v="74"/>
    <n v="51"/>
    <n v="1950"/>
    <n v="1973"/>
    <n v="1006"/>
    <m/>
    <n v="1006"/>
    <n v="0"/>
    <n v="1006"/>
    <m/>
    <n v="2012"/>
    <n v="2500"/>
    <n v="7"/>
    <m/>
    <m/>
    <m/>
    <m/>
    <m/>
    <m/>
    <m/>
    <n v="267226"/>
    <n v="184386"/>
    <n v="5261"/>
    <n v="312100"/>
    <n v="56600"/>
    <n v="255500"/>
    <n v="0"/>
    <n v="0"/>
    <n v="89850.625589999996"/>
    <n v="-52569.808201026557"/>
    <n v="21557.329055999999"/>
    <n v="160472.20319"/>
    <n v="-11375.3256255"/>
    <n v="49705.121896262004"/>
    <n v="0"/>
    <n v="0"/>
    <n v="29256.386618482"/>
    <n v="26544.1547364"/>
    <n v="0"/>
    <n v="5300"/>
    <n v="276200"/>
    <n v="37300"/>
    <n v="318800"/>
    <n v="2.1467478372316565E-2"/>
    <n v="0.99970000000000003"/>
    <n v="1.0067999999999999"/>
    <n v="0.99729999999999996"/>
    <n v="0.98919999999999997"/>
    <n v="0.995"/>
    <n v="0.94971499999999998"/>
    <n v="0.93857614463114025"/>
    <n v="276200"/>
    <n v="5000"/>
    <n v="281200"/>
    <n v="35400"/>
    <n v="316600"/>
    <n v="0.10058708414872798"/>
    <n v="-0.37455830388692579"/>
    <n v="1.4418455623197693E-2"/>
  </r>
  <r>
    <n v="2025"/>
    <s v="18132244446    "/>
    <n v="-1.1394342831883648"/>
    <n v="0.32"/>
    <n v="14000"/>
    <s v="6"/>
    <s v="RES"/>
    <x v="0"/>
    <s v="11"/>
    <s v="259"/>
    <s v="TD"/>
    <s v="A"/>
    <s v="AV"/>
    <x v="7"/>
    <n v="74"/>
    <n v="51"/>
    <n v="1950"/>
    <n v="1973"/>
    <n v="1137"/>
    <m/>
    <n v="1137"/>
    <n v="215"/>
    <n v="922"/>
    <m/>
    <n v="2059"/>
    <n v="2500"/>
    <n v="9"/>
    <m/>
    <m/>
    <m/>
    <m/>
    <m/>
    <m/>
    <m/>
    <n v="281570"/>
    <n v="194283"/>
    <n v="7699"/>
    <n v="347400"/>
    <n v="74800"/>
    <n v="272600"/>
    <n v="0"/>
    <n v="0"/>
    <n v="89850.625589999996"/>
    <n v="-36068.354396449467"/>
    <n v="21557.329055999999"/>
    <n v="160472.20319"/>
    <n v="-11375.3256255"/>
    <n v="56177.657650148998"/>
    <n v="0"/>
    <n v="0"/>
    <n v="33066.114895838997"/>
    <n v="34128.198946800003"/>
    <n v="0"/>
    <n v="7700"/>
    <n v="294000"/>
    <n v="53800"/>
    <n v="355500"/>
    <n v="2.3316062176165803E-2"/>
    <n v="0.99970000000000003"/>
    <n v="1.0067999999999999"/>
    <n v="0.99729999999999996"/>
    <n v="0.98919999999999997"/>
    <n v="0.995"/>
    <n v="0.94971499999999998"/>
    <n v="0.93857614463114025"/>
    <n v="294000"/>
    <n v="7300"/>
    <n v="301300"/>
    <n v="51100"/>
    <n v="352400"/>
    <n v="0.10528246515040351"/>
    <n v="-0.31684491978609625"/>
    <n v="1.4392630972941854E-2"/>
  </r>
  <r>
    <n v="2025"/>
    <s v="18132241069    "/>
    <n v="-1.2729656758128873"/>
    <n v="0.28000000000000003"/>
    <n v="12054"/>
    <s v="6"/>
    <s v="RES"/>
    <x v="0"/>
    <s v="11"/>
    <s v="259"/>
    <s v="TD"/>
    <s v="A+"/>
    <s v="AV"/>
    <x v="7"/>
    <n v="74"/>
    <n v="51"/>
    <n v="1950"/>
    <n v="1973"/>
    <n v="1361"/>
    <m/>
    <n v="680"/>
    <n v="0"/>
    <n v="680"/>
    <m/>
    <n v="2041"/>
    <n v="2500"/>
    <n v="5"/>
    <m/>
    <m/>
    <m/>
    <m/>
    <m/>
    <m/>
    <m/>
    <n v="352626"/>
    <n v="243312"/>
    <n v="7182"/>
    <n v="334000"/>
    <n v="70100"/>
    <n v="263900"/>
    <n v="0"/>
    <n v="0"/>
    <n v="89850.625589999996"/>
    <n v="-40295.239319339329"/>
    <n v="29814.093161000001"/>
    <n v="160472.20319"/>
    <n v="-11375.3256255"/>
    <n v="67245.199702597005"/>
    <n v="0"/>
    <n v="0"/>
    <n v="19775.68876796"/>
    <n v="18960.110526"/>
    <n v="0"/>
    <n v="7200"/>
    <n v="284900"/>
    <n v="49600"/>
    <n v="341700"/>
    <n v="2.3053892215568861E-2"/>
    <n v="0.99970000000000003"/>
    <n v="1.0088999999999999"/>
    <n v="0.99729999999999996"/>
    <n v="0.98919999999999997"/>
    <n v="0.995"/>
    <n v="0.94971499999999998"/>
    <n v="0.94053384219145564"/>
    <n v="284900"/>
    <n v="6800"/>
    <n v="291700"/>
    <n v="47100"/>
    <n v="338800"/>
    <n v="0.10534293292913982"/>
    <n v="-0.32810271041369471"/>
    <n v="1.437125748502994E-2"/>
  </r>
  <r>
    <n v="2025"/>
    <s v="18132323500    "/>
    <n v="-1.6094379124341003"/>
    <n v="0.2"/>
    <m/>
    <s v="6"/>
    <s v="RES"/>
    <x v="0"/>
    <s v="11"/>
    <s v="259"/>
    <s v="RN"/>
    <s v="F+"/>
    <s v="AV"/>
    <x v="7"/>
    <n v="74"/>
    <n v="51"/>
    <n v="1950"/>
    <n v="1973"/>
    <n v="1144"/>
    <m/>
    <n v="1144"/>
    <n v="572"/>
    <n v="572"/>
    <m/>
    <n v="1716"/>
    <n v="2000"/>
    <n v="7"/>
    <m/>
    <m/>
    <m/>
    <m/>
    <m/>
    <m/>
    <m/>
    <n v="243742"/>
    <n v="168182"/>
    <n v="0"/>
    <n v="298700"/>
    <n v="58400"/>
    <n v="240300"/>
    <n v="0"/>
    <n v="0"/>
    <n v="89850.625589999996"/>
    <n v="-50946.13867709865"/>
    <n v="0"/>
    <n v="160472.20319"/>
    <n v="-11375.3256255"/>
    <n v="56523.518339287999"/>
    <n v="0"/>
    <n v="0"/>
    <n v="33269.688162567996"/>
    <n v="26544.1547364"/>
    <n v="0"/>
    <n v="0"/>
    <n v="265400"/>
    <n v="38900"/>
    <n v="304300"/>
    <n v="1.8747907599598258E-2"/>
    <n v="0.99970000000000003"/>
    <n v="0.99180000000000001"/>
    <n v="0.99729999999999996"/>
    <n v="1.0093000000000001"/>
    <n v="0.995"/>
    <n v="0.94971499999999998"/>
    <n v="0.94337980360062423"/>
    <n v="265400"/>
    <n v="0"/>
    <n v="265400"/>
    <n v="36900"/>
    <n v="302300"/>
    <n v="0.10445276737411568"/>
    <n v="-0.36815068493150682"/>
    <n v="1.2052226314027453E-2"/>
  </r>
  <r>
    <n v="2025"/>
    <s v="18132241422    "/>
    <n v="-1.6094379124341003"/>
    <n v="0.2"/>
    <n v="8616"/>
    <s v="6"/>
    <s v="RES"/>
    <x v="0"/>
    <s v="11"/>
    <s v="259"/>
    <s v="RN"/>
    <s v="F+"/>
    <s v="AV"/>
    <x v="7"/>
    <n v="74"/>
    <n v="51"/>
    <n v="1950"/>
    <n v="1973"/>
    <n v="1008"/>
    <m/>
    <m/>
    <n v="0"/>
    <m/>
    <m/>
    <n v="1008"/>
    <n v="1500"/>
    <n v="5"/>
    <m/>
    <m/>
    <m/>
    <m/>
    <m/>
    <m/>
    <m/>
    <n v="169683"/>
    <n v="117081"/>
    <n v="0"/>
    <n v="251800"/>
    <n v="58400"/>
    <n v="193400"/>
    <n v="0"/>
    <n v="0"/>
    <n v="89850.625589999996"/>
    <n v="-50946.13867709865"/>
    <n v="0"/>
    <n v="160472.20319"/>
    <n v="-11375.3256255"/>
    <n v="49803.939236015998"/>
    <n v="0"/>
    <n v="0"/>
    <n v="0"/>
    <n v="18960.110526"/>
    <n v="0"/>
    <n v="0"/>
    <n v="217900"/>
    <n v="38900"/>
    <n v="256800"/>
    <n v="1.9857029388403495E-2"/>
    <n v="0.99970000000000003"/>
    <n v="0.99180000000000001"/>
    <n v="0.99729999999999996"/>
    <n v="1.0157"/>
    <n v="0.995"/>
    <n v="0.94971499999999998"/>
    <n v="0.94936180176077878"/>
    <n v="217900"/>
    <n v="0"/>
    <n v="217900"/>
    <n v="36900"/>
    <n v="254800"/>
    <n v="0.12668045501551189"/>
    <n v="-0.36815068493150682"/>
    <n v="1.1914217633042097E-2"/>
  </r>
  <r>
    <n v="2025"/>
    <s v="18132214507    "/>
    <n v="-1.3470736479666092"/>
    <n v="0.26"/>
    <n v="11249"/>
    <s v="6"/>
    <s v="RES"/>
    <x v="0"/>
    <s v="11"/>
    <s v="259"/>
    <s v="RN"/>
    <s v="G"/>
    <s v="AV"/>
    <x v="7"/>
    <n v="74"/>
    <n v="51"/>
    <n v="1950"/>
    <n v="1973"/>
    <n v="1150"/>
    <m/>
    <n v="1150"/>
    <n v="0"/>
    <n v="1150"/>
    <m/>
    <n v="2300"/>
    <n v="2500"/>
    <n v="7"/>
    <m/>
    <m/>
    <m/>
    <m/>
    <m/>
    <m/>
    <m/>
    <n v="391073"/>
    <n v="269840"/>
    <n v="12258"/>
    <n v="362600"/>
    <n v="67600"/>
    <n v="295000"/>
    <n v="0"/>
    <n v="0"/>
    <n v="89850.625589999996"/>
    <n v="-42641.098701210125"/>
    <n v="44121.038090000002"/>
    <n v="160472.20319"/>
    <n v="-11375.3256255"/>
    <n v="56819.970358550003"/>
    <n v="0"/>
    <n v="0"/>
    <n v="33444.179534049996"/>
    <n v="26544.1547364"/>
    <n v="0"/>
    <n v="12300"/>
    <n v="310000"/>
    <n v="47200"/>
    <n v="369500"/>
    <n v="1.9029233314947602E-2"/>
    <n v="0.99970000000000003"/>
    <n v="0.98050000000000004"/>
    <n v="0.99729999999999996"/>
    <n v="0.98919999999999997"/>
    <n v="0.995"/>
    <n v="0.94971499999999998"/>
    <n v="0.91405831328052556"/>
    <n v="310000"/>
    <n v="11600"/>
    <n v="321600"/>
    <n v="44800"/>
    <n v="366400"/>
    <n v="9.0169491525423723E-2"/>
    <n v="-0.33727810650887574"/>
    <n v="1.0479867622724766E-2"/>
  </r>
  <r>
    <n v="2025"/>
    <s v="18132243001    "/>
    <n v="7.6961041136128394E-2"/>
    <n v="1.08"/>
    <n v="47024"/>
    <s v="6"/>
    <s v="RES"/>
    <x v="0"/>
    <s v="11"/>
    <s v="259"/>
    <s v="CP"/>
    <s v="G+"/>
    <s v="GD"/>
    <x v="7"/>
    <n v="74"/>
    <n v="51"/>
    <n v="1950"/>
    <n v="1973"/>
    <n v="2969"/>
    <n v="992"/>
    <n v="1071"/>
    <n v="1071"/>
    <m/>
    <m/>
    <n v="3961"/>
    <n v="4000"/>
    <n v="17"/>
    <m/>
    <m/>
    <m/>
    <m/>
    <m/>
    <m/>
    <m/>
    <n v="857729"/>
    <n v="617565"/>
    <n v="67081"/>
    <n v="693000"/>
    <n v="117200"/>
    <n v="575800"/>
    <n v="0"/>
    <n v="0"/>
    <n v="89850.625589999996"/>
    <n v="2436.1721841914386"/>
    <n v="74268.409664999999"/>
    <n v="197752.34721000001"/>
    <n v="-11375.3256255"/>
    <n v="146694.34086481301"/>
    <n v="44428.131478112002"/>
    <n v="0"/>
    <n v="31146.709809536998"/>
    <n v="64464.375788400001"/>
    <n v="0"/>
    <n v="67100"/>
    <n v="547400"/>
    <n v="92300"/>
    <n v="706800"/>
    <n v="1.9913419913419914E-2"/>
    <n v="0.99970000000000003"/>
    <n v="0.98380000000000001"/>
    <n v="0.99650000000000005"/>
    <n v="0.94579999999999997"/>
    <n v="0.995"/>
    <n v="0.94971499999999998"/>
    <n v="0.87619306022530763"/>
    <n v="547400"/>
    <n v="63700"/>
    <n v="611100"/>
    <n v="87600"/>
    <n v="698700"/>
    <n v="6.1306009030913509E-2"/>
    <n v="-0.25255972696245732"/>
    <n v="8.2251082251082255E-3"/>
  </r>
  <r>
    <n v="2025"/>
    <s v="18132342479    "/>
    <n v="-1.1394342831883648"/>
    <n v="0.32"/>
    <n v="13900"/>
    <s v="6"/>
    <s v="RES"/>
    <x v="0"/>
    <s v="11"/>
    <s v="259"/>
    <s v="SL"/>
    <s v="A+"/>
    <s v="AV"/>
    <x v="7"/>
    <n v="74"/>
    <n v="51"/>
    <n v="1950"/>
    <n v="1973"/>
    <n v="1263"/>
    <m/>
    <n v="480"/>
    <n v="0"/>
    <n v="480"/>
    <m/>
    <n v="1743"/>
    <n v="2000"/>
    <n v="8"/>
    <m/>
    <m/>
    <m/>
    <m/>
    <m/>
    <m/>
    <m/>
    <n v="323823"/>
    <n v="223438"/>
    <n v="20919"/>
    <n v="353700"/>
    <n v="74800"/>
    <n v="278900"/>
    <n v="0"/>
    <n v="0"/>
    <n v="89850.625589999996"/>
    <n v="-36068.354396449467"/>
    <n v="29814.093161000001"/>
    <n v="160472.20319"/>
    <n v="-11375.3256255"/>
    <n v="62403.150054651"/>
    <n v="0"/>
    <n v="0"/>
    <n v="13959.30971856"/>
    <n v="30336.176841600001"/>
    <n v="0"/>
    <n v="20900"/>
    <n v="285600"/>
    <n v="53800"/>
    <n v="360300"/>
    <n v="1.8659881255301103E-2"/>
    <n v="0.99970000000000003"/>
    <n v="1.0088999999999999"/>
    <n v="0.99729999999999996"/>
    <n v="1.0093000000000001"/>
    <n v="0.995"/>
    <n v="0.94971499999999998"/>
    <n v="0.9596449726282209"/>
    <n v="285600"/>
    <n v="19900"/>
    <n v="305500"/>
    <n v="51100"/>
    <n v="356600"/>
    <n v="9.5374686267479386E-2"/>
    <n v="-0.31684491978609625"/>
    <n v="8.1990387333898788E-3"/>
  </r>
  <r>
    <n v="2025"/>
    <s v="18132323508    "/>
    <n v="-1.6607312068216509"/>
    <n v="0.19"/>
    <m/>
    <s v="6"/>
    <s v="RES"/>
    <x v="0"/>
    <s v="11"/>
    <s v="259"/>
    <s v="RN"/>
    <s v="A"/>
    <s v="AV"/>
    <x v="7"/>
    <n v="74"/>
    <n v="51"/>
    <n v="1950"/>
    <n v="1973"/>
    <n v="1174"/>
    <m/>
    <n v="1174"/>
    <n v="0"/>
    <n v="1174"/>
    <m/>
    <n v="2348"/>
    <n v="2500"/>
    <n v="8"/>
    <m/>
    <m/>
    <m/>
    <m/>
    <m/>
    <m/>
    <m/>
    <n v="291741"/>
    <n v="201301"/>
    <n v="0"/>
    <n v="326300"/>
    <n v="56600"/>
    <n v="269700"/>
    <n v="0"/>
    <n v="0"/>
    <n v="89850.625589999996"/>
    <n v="-52569.808201026557"/>
    <n v="21557.329055999999"/>
    <n v="160472.20319"/>
    <n v="-11375.3256255"/>
    <n v="58005.778435598004"/>
    <n v="0"/>
    <n v="0"/>
    <n v="34142.145019978001"/>
    <n v="30336.176841600001"/>
    <n v="0"/>
    <n v="0"/>
    <n v="293100"/>
    <n v="37300"/>
    <n v="330400"/>
    <n v="1.256512411890898E-2"/>
    <n v="0.99970000000000003"/>
    <n v="1.0067999999999999"/>
    <n v="0.99729999999999996"/>
    <n v="0.98919999999999997"/>
    <n v="0.995"/>
    <n v="0.94971499999999998"/>
    <n v="0.93857614463114025"/>
    <n v="293100"/>
    <n v="0"/>
    <n v="293100"/>
    <n v="35400"/>
    <n v="328500"/>
    <n v="8.6763070077864296E-2"/>
    <n v="-0.37455830388692579"/>
    <n v="6.742261722341404E-3"/>
  </r>
  <r>
    <n v="2025"/>
    <s v="18132323427    "/>
    <n v="-1.7719568419318752"/>
    <n v="0.17"/>
    <m/>
    <s v="6"/>
    <s v="RES"/>
    <x v="0"/>
    <s v="11"/>
    <s v="259"/>
    <s v="TD"/>
    <s v="F+"/>
    <s v="AV"/>
    <x v="7"/>
    <n v="74"/>
    <n v="51"/>
    <n v="1950"/>
    <n v="1973"/>
    <n v="1072"/>
    <m/>
    <m/>
    <n v="0"/>
    <m/>
    <m/>
    <n v="1072"/>
    <n v="1500"/>
    <n v="6"/>
    <m/>
    <m/>
    <m/>
    <m/>
    <m/>
    <m/>
    <m/>
    <n v="166838"/>
    <n v="115118"/>
    <n v="6832"/>
    <n v="261800"/>
    <n v="52700"/>
    <n v="209100"/>
    <n v="0"/>
    <n v="0"/>
    <n v="89850.625589999996"/>
    <n v="-56090.612940989391"/>
    <n v="0"/>
    <n v="160472.20319"/>
    <n v="-11375.3256255"/>
    <n v="52966.094108144003"/>
    <n v="0"/>
    <n v="0"/>
    <n v="0"/>
    <n v="22752.132631200002"/>
    <n v="0"/>
    <n v="6800"/>
    <n v="224800"/>
    <n v="33800"/>
    <n v="265400"/>
    <n v="1.3750954927425516E-2"/>
    <n v="0.99970000000000003"/>
    <n v="0.99180000000000001"/>
    <n v="0.99729999999999996"/>
    <n v="1.0157"/>
    <n v="0.995"/>
    <n v="0.94971499999999998"/>
    <n v="0.94936180176077878"/>
    <n v="224800"/>
    <n v="6500"/>
    <n v="231300"/>
    <n v="32100"/>
    <n v="263400"/>
    <n v="0.10616929698708752"/>
    <n v="-0.39089184060721061"/>
    <n v="6.1115355233002291E-3"/>
  </r>
  <r>
    <n v="2025"/>
    <s v="18132244024    "/>
    <n v="-1.7719568419318752"/>
    <n v="0.17"/>
    <n v="7488"/>
    <s v="6"/>
    <s v="RES"/>
    <x v="0"/>
    <s v="11"/>
    <s v="259"/>
    <s v="RN"/>
    <s v="A"/>
    <s v="AV"/>
    <x v="7"/>
    <n v="74"/>
    <n v="51"/>
    <n v="1950"/>
    <n v="1973"/>
    <n v="1180"/>
    <m/>
    <n v="1180"/>
    <n v="0"/>
    <n v="1180"/>
    <m/>
    <n v="2360"/>
    <n v="2500"/>
    <n v="9"/>
    <m/>
    <m/>
    <m/>
    <m/>
    <m/>
    <m/>
    <m/>
    <n v="305859"/>
    <n v="211043"/>
    <n v="11027"/>
    <n v="338100"/>
    <n v="52700"/>
    <n v="285400"/>
    <n v="0"/>
    <n v="0"/>
    <n v="89850.625589999996"/>
    <n v="-56090.612940989391"/>
    <n v="21557.329055999999"/>
    <n v="160472.20319"/>
    <n v="-11375.3256255"/>
    <n v="58302.23045486"/>
    <n v="0"/>
    <n v="0"/>
    <n v="34316.636391460001"/>
    <n v="34128.198946800003"/>
    <n v="0"/>
    <n v="11000"/>
    <n v="297400"/>
    <n v="33800"/>
    <n v="342200"/>
    <n v="1.2126589766341319E-2"/>
    <n v="0.99970000000000003"/>
    <n v="1.0067999999999999"/>
    <n v="0.99729999999999996"/>
    <n v="0.98919999999999997"/>
    <n v="0.995"/>
    <n v="0.94971499999999998"/>
    <n v="0.93857614463114025"/>
    <n v="297400"/>
    <n v="10500"/>
    <n v="307900"/>
    <n v="32100"/>
    <n v="340000"/>
    <n v="7.883672039243167E-2"/>
    <n v="-0.39089184060721061"/>
    <n v="5.6196391600118311E-3"/>
  </r>
  <r>
    <n v="2025"/>
    <s v="18132244445    "/>
    <n v="-1.4271163556401458"/>
    <n v="0.24"/>
    <n v="10500"/>
    <s v="6"/>
    <s v="RES"/>
    <x v="0"/>
    <s v="11"/>
    <s v="259"/>
    <s v="TD"/>
    <s v="A"/>
    <s v="AV"/>
    <x v="7"/>
    <n v="74"/>
    <n v="51"/>
    <n v="1950"/>
    <n v="1973"/>
    <n v="1260"/>
    <m/>
    <n v="1152"/>
    <n v="0"/>
    <n v="1152"/>
    <m/>
    <n v="2412"/>
    <n v="2500"/>
    <n v="10"/>
    <n v="273"/>
    <m/>
    <m/>
    <m/>
    <m/>
    <m/>
    <m/>
    <n v="321180"/>
    <n v="221614"/>
    <n v="4733"/>
    <n v="350300"/>
    <n v="64800"/>
    <n v="285500"/>
    <n v="0"/>
    <n v="0"/>
    <n v="89850.625589999996"/>
    <n v="-45174.819855485119"/>
    <n v="21557.329055999999"/>
    <n v="160472.20319"/>
    <n v="-11375.3256255"/>
    <n v="62254.924045020001"/>
    <n v="0"/>
    <n v="0"/>
    <n v="33502.343324543996"/>
    <n v="37920.221052000001"/>
    <n v="0"/>
    <n v="4700"/>
    <n v="304300"/>
    <n v="44700"/>
    <n v="353700"/>
    <n v="9.7059663145874966E-3"/>
    <n v="0.99970000000000003"/>
    <n v="1.0067999999999999"/>
    <n v="0.99729999999999996"/>
    <n v="0.98919999999999997"/>
    <n v="0.995"/>
    <n v="0.94971499999999998"/>
    <n v="0.93857614463114025"/>
    <n v="304300"/>
    <n v="4500"/>
    <n v="308800"/>
    <n v="42400"/>
    <n v="351200"/>
    <n v="8.1611208406304731E-2"/>
    <n v="-0.34567901234567899"/>
    <n v="2.5692263773908078E-3"/>
  </r>
  <r>
    <n v="2025"/>
    <s v="18132243023    "/>
    <n v="-1.4696759700589417"/>
    <n v="0.23"/>
    <n v="10130"/>
    <s v="6"/>
    <s v="RES"/>
    <x v="0"/>
    <s v="11"/>
    <s v="259"/>
    <s v="TD"/>
    <s v="F+"/>
    <s v="AV"/>
    <x v="7"/>
    <n v="74"/>
    <n v="51"/>
    <n v="1950"/>
    <n v="1973"/>
    <n v="1009"/>
    <n v="500"/>
    <m/>
    <n v="0"/>
    <m/>
    <m/>
    <n v="1509"/>
    <n v="2000"/>
    <n v="5"/>
    <m/>
    <m/>
    <m/>
    <m/>
    <m/>
    <m/>
    <m/>
    <n v="204472"/>
    <n v="141086"/>
    <n v="0"/>
    <n v="280700"/>
    <n v="63300"/>
    <n v="217400"/>
    <n v="0"/>
    <n v="0"/>
    <n v="89850.625589999996"/>
    <n v="-46522.028095997222"/>
    <n v="0"/>
    <n v="160472.20319"/>
    <n v="-11375.3256255"/>
    <n v="49853.347905893002"/>
    <n v="22393.2114305"/>
    <n v="0"/>
    <n v="0"/>
    <n v="18960.110526"/>
    <n v="0"/>
    <n v="0"/>
    <n v="240300"/>
    <n v="43300"/>
    <n v="283600"/>
    <n v="1.0331314570716068E-2"/>
    <n v="0.99970000000000003"/>
    <n v="0.99180000000000001"/>
    <n v="0.99729999999999996"/>
    <n v="1.0093000000000001"/>
    <n v="0.995"/>
    <n v="0.94971499999999998"/>
    <n v="0.94337980360062423"/>
    <n v="240300"/>
    <n v="0"/>
    <n v="240300"/>
    <n v="41100"/>
    <n v="281400"/>
    <n v="0.10533578656853726"/>
    <n v="-0.35071090047393366"/>
    <n v="2.4937655860349127E-3"/>
  </r>
  <r>
    <n v="2025"/>
    <s v="18132244470    "/>
    <n v="-1.6607312068216509"/>
    <n v="0.19"/>
    <n v="8266"/>
    <s v="6"/>
    <s v="RES"/>
    <x v="0"/>
    <s v="11"/>
    <s v="259"/>
    <s v="RN"/>
    <s v="G"/>
    <s v="AV"/>
    <x v="7"/>
    <n v="74"/>
    <n v="51"/>
    <n v="1950"/>
    <n v="1973"/>
    <n v="1007"/>
    <m/>
    <n v="1007"/>
    <n v="0"/>
    <n v="1007"/>
    <m/>
    <n v="2014"/>
    <n v="2500"/>
    <n v="9"/>
    <n v="300"/>
    <m/>
    <m/>
    <m/>
    <m/>
    <m/>
    <m/>
    <n v="416227"/>
    <n v="287197"/>
    <n v="0"/>
    <n v="341900"/>
    <n v="56600"/>
    <n v="285300"/>
    <n v="0"/>
    <n v="0"/>
    <n v="89850.625589999996"/>
    <n v="-52569.808201026557"/>
    <n v="44121.038090000002"/>
    <n v="160472.20319"/>
    <n v="-11375.3256255"/>
    <n v="49754.530566139001"/>
    <n v="0"/>
    <n v="0"/>
    <n v="29285.468513729"/>
    <n v="34128.198946800003"/>
    <n v="0"/>
    <n v="0"/>
    <n v="306400"/>
    <n v="37300"/>
    <n v="343700"/>
    <n v="5.264697279906405E-3"/>
    <n v="0.99970000000000003"/>
    <n v="0.98050000000000004"/>
    <n v="0.99729999999999996"/>
    <n v="0.98919999999999997"/>
    <n v="0.995"/>
    <n v="0.94971499999999998"/>
    <n v="0.91405831328052556"/>
    <n v="306400"/>
    <n v="0"/>
    <n v="306400"/>
    <n v="35400"/>
    <n v="341800"/>
    <n v="7.3957237995092878E-2"/>
    <n v="-0.37455830388692579"/>
    <n v="-2.9248318221702252E-4"/>
  </r>
  <r>
    <n v="2025"/>
    <s v="18132344406    "/>
    <n v="-1.5141277326297755"/>
    <n v="0.22"/>
    <n v="9380"/>
    <s v="6"/>
    <s v="RES"/>
    <x v="0"/>
    <s v="11"/>
    <s v="259"/>
    <s v="RN"/>
    <s v="A+"/>
    <s v="AV"/>
    <x v="7"/>
    <n v="74"/>
    <n v="51"/>
    <n v="1950"/>
    <n v="1973"/>
    <n v="1140"/>
    <m/>
    <n v="1140"/>
    <n v="0"/>
    <n v="1140"/>
    <m/>
    <n v="2280"/>
    <n v="2500"/>
    <n v="9"/>
    <n v="276"/>
    <m/>
    <m/>
    <m/>
    <m/>
    <m/>
    <m/>
    <n v="385540"/>
    <n v="266023"/>
    <n v="10334"/>
    <n v="352300"/>
    <n v="61700"/>
    <n v="290600"/>
    <n v="0"/>
    <n v="0"/>
    <n v="89850.625589999996"/>
    <n v="-47929.131559187132"/>
    <n v="29814.093161000001"/>
    <n v="160472.20319"/>
    <n v="-11375.3256255"/>
    <n v="56325.883659780004"/>
    <n v="0"/>
    <n v="0"/>
    <n v="33153.360581579997"/>
    <n v="34128.198946800003"/>
    <n v="0"/>
    <n v="10300"/>
    <n v="302500"/>
    <n v="41900"/>
    <n v="354700"/>
    <n v="6.8123758160658528E-3"/>
    <n v="0.99970000000000003"/>
    <n v="1.0088999999999999"/>
    <n v="0.99729999999999996"/>
    <n v="0.98919999999999997"/>
    <n v="0.995"/>
    <n v="0.94971499999999998"/>
    <n v="0.94053384219145564"/>
    <n v="302500"/>
    <n v="9800"/>
    <n v="312300"/>
    <n v="39800"/>
    <n v="352100"/>
    <n v="7.4673090158293182E-2"/>
    <n v="-0.35494327390599678"/>
    <n v="-5.676979846721544E-4"/>
  </r>
  <r>
    <n v="2025"/>
    <s v="18132323519    "/>
    <n v="-1.7147984280919266"/>
    <n v="0.18"/>
    <m/>
    <s v="6"/>
    <s v="RES"/>
    <x v="0"/>
    <s v="11"/>
    <s v="259"/>
    <s v="RN"/>
    <s v="A"/>
    <s v="AV"/>
    <x v="7"/>
    <n v="74"/>
    <n v="51"/>
    <n v="1950"/>
    <n v="1973"/>
    <n v="1168"/>
    <m/>
    <n v="1168"/>
    <n v="0"/>
    <n v="1168"/>
    <m/>
    <n v="2336"/>
    <n v="2500"/>
    <n v="8"/>
    <n v="264"/>
    <m/>
    <m/>
    <m/>
    <m/>
    <m/>
    <m/>
    <n v="300811"/>
    <n v="207560"/>
    <n v="0"/>
    <n v="326700"/>
    <n v="54700"/>
    <n v="272000"/>
    <n v="0"/>
    <n v="0"/>
    <n v="89850.625589999996"/>
    <n v="-54281.285314520763"/>
    <n v="21557.329055999999"/>
    <n v="160472.20319"/>
    <n v="-11375.3256255"/>
    <n v="57709.326416336"/>
    <n v="0"/>
    <n v="0"/>
    <n v="33967.653648496002"/>
    <n v="30336.176841600001"/>
    <n v="0"/>
    <n v="0"/>
    <n v="292700"/>
    <n v="35600"/>
    <n v="328300"/>
    <n v="4.8974594429139883E-3"/>
    <n v="0.99970000000000003"/>
    <n v="1.0067999999999999"/>
    <n v="0.99729999999999996"/>
    <n v="0.98919999999999997"/>
    <n v="0.995"/>
    <n v="0.94971499999999998"/>
    <n v="0.93857614463114025"/>
    <n v="292700"/>
    <n v="0"/>
    <n v="292700"/>
    <n v="33800"/>
    <n v="326500"/>
    <n v="7.6102941176470582E-2"/>
    <n v="-0.38208409506398539"/>
    <n v="-6.1218243036424854E-4"/>
  </r>
  <r>
    <n v="2025"/>
    <s v="18132241007    "/>
    <n v="-1.5606477482646683"/>
    <n v="0.21"/>
    <n v="9245"/>
    <s v="6"/>
    <s v="RES"/>
    <x v="0"/>
    <s v="11"/>
    <s v="259"/>
    <s v="RN"/>
    <s v="F+"/>
    <s v="AV"/>
    <x v="7"/>
    <n v="74"/>
    <n v="51"/>
    <n v="1950"/>
    <n v="1973"/>
    <n v="1297"/>
    <m/>
    <m/>
    <n v="0"/>
    <m/>
    <m/>
    <n v="1297"/>
    <n v="1500"/>
    <n v="7"/>
    <m/>
    <m/>
    <m/>
    <m/>
    <m/>
    <m/>
    <m/>
    <n v="214049"/>
    <n v="147694"/>
    <n v="2639"/>
    <n v="281600"/>
    <n v="60100"/>
    <n v="221500"/>
    <n v="0"/>
    <n v="0"/>
    <n v="89850.625589999996"/>
    <n v="-49401.70477837498"/>
    <n v="0"/>
    <n v="160472.20319"/>
    <n v="-11375.3256255"/>
    <n v="64083.044830469"/>
    <n v="0"/>
    <n v="0"/>
    <n v="0"/>
    <n v="26544.1547364"/>
    <n v="0"/>
    <n v="2600"/>
    <n v="239700"/>
    <n v="40400"/>
    <n v="282700"/>
    <n v="3.90625E-3"/>
    <n v="0.99970000000000003"/>
    <n v="0.99180000000000001"/>
    <n v="0.99729999999999996"/>
    <n v="1.0157"/>
    <n v="0.995"/>
    <n v="0.94971499999999998"/>
    <n v="0.94936180176077878"/>
    <n v="239700"/>
    <n v="2500"/>
    <n v="242200"/>
    <n v="38400"/>
    <n v="280600"/>
    <n v="9.3453724604966135E-2"/>
    <n v="-0.36106489184692181"/>
    <n v="-3.5511363636363635E-3"/>
  </r>
  <r>
    <n v="2025"/>
    <s v="18132343413    "/>
    <n v="-0.94160853985844495"/>
    <n v="0.39"/>
    <n v="17115"/>
    <s v="6"/>
    <s v="RES"/>
    <x v="0"/>
    <s v="11"/>
    <s v="259"/>
    <s v="RN"/>
    <s v="G"/>
    <s v="AV"/>
    <x v="7"/>
    <n v="74"/>
    <n v="51"/>
    <n v="1950"/>
    <n v="1973"/>
    <n v="3016"/>
    <m/>
    <n v="2266"/>
    <n v="566"/>
    <n v="1700"/>
    <m/>
    <n v="4716"/>
    <n v="4500"/>
    <n v="15"/>
    <n v="624"/>
    <m/>
    <m/>
    <m/>
    <m/>
    <m/>
    <m/>
    <n v="838068"/>
    <n v="578267"/>
    <n v="70620"/>
    <n v="592800"/>
    <n v="81700"/>
    <n v="511100"/>
    <n v="0"/>
    <n v="0"/>
    <n v="89850.625589999996"/>
    <n v="-29806.256507663158"/>
    <n v="44121.038090000002"/>
    <n v="160472.20319"/>
    <n v="-11375.3256255"/>
    <n v="149016.548349032"/>
    <n v="0"/>
    <n v="0"/>
    <n v="65899.574629701994"/>
    <n v="56880.331578000005"/>
    <n v="0"/>
    <n v="70600"/>
    <n v="465000"/>
    <n v="60000"/>
    <n v="595600"/>
    <n v="4.7233468286099868E-3"/>
    <n v="0.99970000000000003"/>
    <n v="0.98050000000000004"/>
    <n v="0.99729999999999996"/>
    <n v="1"/>
    <n v="0.995"/>
    <n v="0.94971499999999998"/>
    <n v="0.92403792284727615"/>
    <n v="465000"/>
    <n v="67100"/>
    <n v="532100"/>
    <n v="57000"/>
    <n v="589100"/>
    <n v="4.1087849735863824E-2"/>
    <n v="-0.30232558139534882"/>
    <n v="-6.2415654520917678E-3"/>
  </r>
  <r>
    <n v="2025"/>
    <s v="18132214055    "/>
    <n v="-1.7719568419318752"/>
    <n v="0.17"/>
    <n v="7595"/>
    <s v="6"/>
    <s v="RES"/>
    <x v="0"/>
    <s v="11"/>
    <s v="259"/>
    <s v="TD"/>
    <s v="F+"/>
    <s v="AV"/>
    <x v="7"/>
    <n v="74"/>
    <n v="51"/>
    <n v="1950"/>
    <n v="1973"/>
    <n v="871"/>
    <m/>
    <n v="871"/>
    <n v="0"/>
    <n v="871"/>
    <m/>
    <n v="1742"/>
    <n v="2000"/>
    <n v="8"/>
    <m/>
    <m/>
    <m/>
    <m/>
    <m/>
    <m/>
    <m/>
    <n v="222114"/>
    <n v="153259"/>
    <n v="0"/>
    <n v="282200"/>
    <n v="52700"/>
    <n v="229500"/>
    <n v="0"/>
    <n v="0"/>
    <n v="89850.625589999996"/>
    <n v="-56090.612940989391"/>
    <n v="0"/>
    <n v="160472.20319"/>
    <n v="-11375.3256255"/>
    <n v="43034.951462867"/>
    <n v="0"/>
    <n v="0"/>
    <n v="25330.330760137"/>
    <n v="30336.176841600001"/>
    <n v="0"/>
    <n v="0"/>
    <n v="247800"/>
    <n v="33800"/>
    <n v="281600"/>
    <n v="-2.1261516654854712E-3"/>
    <n v="0.99970000000000003"/>
    <n v="0.99180000000000001"/>
    <n v="0.99729999999999996"/>
    <n v="1.0093000000000001"/>
    <n v="0.995"/>
    <n v="0.94971499999999998"/>
    <n v="0.94337980360062423"/>
    <n v="247800"/>
    <n v="0"/>
    <n v="247800"/>
    <n v="32100"/>
    <n v="279900"/>
    <n v="7.9738562091503262E-2"/>
    <n v="-0.39089184060721061"/>
    <n v="-8.1502480510276393E-3"/>
  </r>
  <r>
    <n v="2025"/>
    <s v="18132343014    "/>
    <n v="-1.2378743560016174"/>
    <n v="0.28999999999999998"/>
    <m/>
    <s v="6"/>
    <s v="RES"/>
    <x v="0"/>
    <s v="11"/>
    <s v="259"/>
    <s v="TD"/>
    <s v="G"/>
    <s v="AV"/>
    <x v="7"/>
    <n v="74"/>
    <n v="51"/>
    <n v="1950"/>
    <n v="1973"/>
    <n v="2480"/>
    <m/>
    <n v="626"/>
    <n v="63"/>
    <n v="563"/>
    <m/>
    <n v="3043"/>
    <n v="3500"/>
    <n v="12"/>
    <n v="420"/>
    <m/>
    <m/>
    <m/>
    <m/>
    <m/>
    <m/>
    <n v="633541"/>
    <n v="437143"/>
    <n v="27435"/>
    <n v="457500"/>
    <n v="71400"/>
    <n v="386100"/>
    <n v="0"/>
    <n v="0"/>
    <n v="89850.625589999996"/>
    <n v="-39184.437074869042"/>
    <n v="44121.038090000002"/>
    <n v="160472.20319"/>
    <n v="-11375.3256255"/>
    <n v="122533.50129496001"/>
    <n v="0"/>
    <n v="0"/>
    <n v="18205.266424621997"/>
    <n v="45504.265262400004"/>
    <n v="0"/>
    <n v="27400"/>
    <n v="379500"/>
    <n v="50700"/>
    <n v="457600"/>
    <n v="2.185792349726776E-4"/>
    <n v="0.99970000000000003"/>
    <n v="0.98050000000000004"/>
    <n v="0.99729999999999996"/>
    <n v="1.0126999999999999"/>
    <n v="0.995"/>
    <n v="0.94971499999999998"/>
    <n v="0.9357732044674365"/>
    <n v="379500"/>
    <n v="26100"/>
    <n v="405600"/>
    <n v="48100"/>
    <n v="453700"/>
    <n v="5.0505050505050504E-2"/>
    <n v="-0.32633053221288516"/>
    <n v="-8.3060109289617486E-3"/>
  </r>
  <r>
    <n v="2025"/>
    <s v="18132342509    "/>
    <n v="-1.5141277326297755"/>
    <n v="0.22"/>
    <m/>
    <s v="6"/>
    <s v="RES"/>
    <x v="0"/>
    <s v="11"/>
    <s v="259"/>
    <s v="TD"/>
    <s v="A"/>
    <s v="AV"/>
    <x v="7"/>
    <n v="74"/>
    <n v="51"/>
    <n v="1950"/>
    <n v="1973"/>
    <n v="1590"/>
    <m/>
    <n v="1193"/>
    <n v="0"/>
    <n v="1193"/>
    <m/>
    <n v="2783"/>
    <n v="3000"/>
    <n v="7"/>
    <n v="286"/>
    <m/>
    <m/>
    <m/>
    <m/>
    <m/>
    <m/>
    <n v="365240"/>
    <n v="252016"/>
    <n v="0"/>
    <n v="354600"/>
    <n v="61700"/>
    <n v="292900"/>
    <n v="0"/>
    <n v="0"/>
    <n v="89850.625589999996"/>
    <n v="-47929.131559187132"/>
    <n v="21557.329055999999"/>
    <n v="160472.20319"/>
    <n v="-11375.3256255"/>
    <n v="78559.785104430004"/>
    <n v="0"/>
    <n v="0"/>
    <n v="34694.701029671"/>
    <n v="26544.1547364"/>
    <n v="0"/>
    <n v="0"/>
    <n v="310500"/>
    <n v="41900"/>
    <n v="352400"/>
    <n v="-6.2041737168640719E-3"/>
    <n v="0.99970000000000003"/>
    <n v="1.0067999999999999"/>
    <n v="0.99729999999999996"/>
    <n v="0.96179999999999999"/>
    <n v="0.995"/>
    <n v="0.94971499999999998"/>
    <n v="0.91257838243654554"/>
    <n v="310500"/>
    <n v="0"/>
    <n v="310500"/>
    <n v="39800"/>
    <n v="350300"/>
    <n v="6.0088767497439396E-2"/>
    <n v="-0.35494327390599678"/>
    <n v="-1.2126339537507051E-2"/>
  </r>
  <r>
    <n v="2025"/>
    <s v="18132241004    "/>
    <n v="-0.69314718055994529"/>
    <n v="0.5"/>
    <n v="21701"/>
    <s v="6"/>
    <s v="RES"/>
    <x v="0"/>
    <s v="11"/>
    <s v="259"/>
    <s v="RN"/>
    <s v="G"/>
    <s v="AV"/>
    <x v="7"/>
    <n v="74"/>
    <n v="51"/>
    <n v="1950"/>
    <n v="1973"/>
    <n v="1408"/>
    <m/>
    <n v="1408"/>
    <n v="0"/>
    <n v="1408"/>
    <m/>
    <n v="2816"/>
    <n v="3000"/>
    <n v="8"/>
    <m/>
    <m/>
    <m/>
    <m/>
    <m/>
    <m/>
    <m/>
    <n v="491542"/>
    <n v="339164"/>
    <n v="0"/>
    <n v="404300"/>
    <n v="90400"/>
    <n v="313900"/>
    <n v="0"/>
    <n v="0"/>
    <n v="89850.625589999996"/>
    <n v="-21941.307652582615"/>
    <n v="44121.038090000002"/>
    <n v="160472.20319"/>
    <n v="-11375.3256255"/>
    <n v="69567.407186815995"/>
    <n v="0"/>
    <n v="0"/>
    <n v="40947.308507775997"/>
    <n v="30336.176841600001"/>
    <n v="0"/>
    <n v="0"/>
    <n v="334100"/>
    <n v="67900"/>
    <n v="402000"/>
    <n v="-5.6888449171407368E-3"/>
    <n v="0.99970000000000003"/>
    <n v="0.98050000000000004"/>
    <n v="0.99729999999999996"/>
    <n v="0.96179999999999999"/>
    <n v="0.995"/>
    <n v="0.94971499999999998"/>
    <n v="0.88873967419451028"/>
    <n v="334100"/>
    <n v="0"/>
    <n v="334100"/>
    <n v="64500"/>
    <n v="398600"/>
    <n v="6.4351704364447274E-2"/>
    <n v="-0.28650442477876104"/>
    <n v="-1.409844175117487E-2"/>
  </r>
  <r>
    <n v="2025"/>
    <s v="18132344400    "/>
    <n v="-1.5141277326297755"/>
    <n v="0.22"/>
    <n v="9488"/>
    <s v="6"/>
    <s v="RES"/>
    <x v="0"/>
    <s v="11"/>
    <s v="259"/>
    <s v="RN"/>
    <s v="A+"/>
    <s v="AV"/>
    <x v="7"/>
    <n v="74"/>
    <n v="51"/>
    <n v="1950"/>
    <n v="1973"/>
    <n v="1632"/>
    <m/>
    <n v="1632"/>
    <n v="0"/>
    <n v="1632"/>
    <m/>
    <n v="3264"/>
    <n v="3500"/>
    <n v="9"/>
    <m/>
    <m/>
    <m/>
    <m/>
    <m/>
    <m/>
    <m/>
    <n v="468952"/>
    <n v="323577"/>
    <n v="11027"/>
    <n v="397500"/>
    <n v="61700"/>
    <n v="335800"/>
    <n v="0"/>
    <n v="0"/>
    <n v="89850.625589999996"/>
    <n v="-47929.131559187132"/>
    <n v="29814.093161000001"/>
    <n v="160472.20319"/>
    <n v="-11375.3256255"/>
    <n v="80634.949239263995"/>
    <n v="0"/>
    <n v="0"/>
    <n v="47461.653043104001"/>
    <n v="34128.198946800003"/>
    <n v="0"/>
    <n v="11000"/>
    <n v="341100"/>
    <n v="41900"/>
    <n v="394000"/>
    <n v="-8.8050314465408803E-3"/>
    <n v="0.99970000000000003"/>
    <n v="1.0088999999999999"/>
    <n v="0.99729999999999996"/>
    <n v="1.0126999999999999"/>
    <n v="0.995"/>
    <n v="0.94971499999999998"/>
    <n v="0.96287770115981319"/>
    <n v="341100"/>
    <n v="10500"/>
    <n v="351600"/>
    <n v="39800"/>
    <n v="391400"/>
    <n v="4.7051816557474688E-2"/>
    <n v="-0.35494327390599678"/>
    <n v="-1.5345911949685535E-2"/>
  </r>
  <r>
    <n v="2025"/>
    <s v="18132344402    "/>
    <n v="-1.5141277326297755"/>
    <n v="0.22"/>
    <m/>
    <s v="6"/>
    <s v="RES"/>
    <x v="0"/>
    <s v="11"/>
    <s v="259"/>
    <s v="RN"/>
    <s v="G+"/>
    <s v="AV"/>
    <x v="7"/>
    <n v="74"/>
    <n v="51"/>
    <n v="1950"/>
    <n v="1973"/>
    <n v="1962"/>
    <m/>
    <n v="1962"/>
    <n v="1322"/>
    <n v="640"/>
    <m/>
    <n v="2602"/>
    <n v="3000"/>
    <n v="11"/>
    <m/>
    <m/>
    <m/>
    <m/>
    <m/>
    <m/>
    <m/>
    <n v="627042"/>
    <n v="438929"/>
    <n v="13168"/>
    <n v="478900"/>
    <n v="61700"/>
    <n v="417200"/>
    <n v="0"/>
    <n v="0"/>
    <n v="89850.625589999996"/>
    <n v="-47929.131559187132"/>
    <n v="74268.409664999999"/>
    <n v="160472.20319"/>
    <n v="-11375.3256255"/>
    <n v="96939.810298673998"/>
    <n v="0"/>
    <n v="0"/>
    <n v="57058.678474613997"/>
    <n v="41712.243157199999"/>
    <n v="0"/>
    <n v="13200"/>
    <n v="419100"/>
    <n v="41900"/>
    <n v="474200"/>
    <n v="-9.8141574441428271E-3"/>
    <n v="0.99970000000000003"/>
    <n v="0.98380000000000001"/>
    <n v="0.99729999999999996"/>
    <n v="0.96179999999999999"/>
    <n v="0.995"/>
    <n v="0.94971499999999998"/>
    <n v="0.89173084290929039"/>
    <n v="419100"/>
    <n v="12500"/>
    <n v="431600"/>
    <n v="39800"/>
    <n v="471400"/>
    <n v="3.451581975071908E-2"/>
    <n v="-0.35494327390599678"/>
    <n v="-1.5660889538525787E-2"/>
  </r>
  <r>
    <n v="2025"/>
    <s v="18132343010    "/>
    <n v="-1.4696759700589417"/>
    <n v="0.23"/>
    <n v="10055"/>
    <s v="6"/>
    <s v="RES"/>
    <x v="0"/>
    <s v="11"/>
    <s v="259"/>
    <s v="RN"/>
    <s v="V"/>
    <s v="GD"/>
    <x v="7"/>
    <n v="74"/>
    <n v="51"/>
    <n v="1950"/>
    <n v="1973"/>
    <n v="2601"/>
    <m/>
    <m/>
    <n v="0"/>
    <m/>
    <m/>
    <n v="2601"/>
    <n v="3000"/>
    <n v="13"/>
    <n v="506"/>
    <m/>
    <m/>
    <m/>
    <m/>
    <m/>
    <m/>
    <n v="692503"/>
    <n v="498602"/>
    <n v="23659"/>
    <n v="601200"/>
    <n v="63300"/>
    <n v="537900"/>
    <n v="0"/>
    <n v="0"/>
    <n v="89850.625589999996"/>
    <n v="-46522.028095997222"/>
    <n v="163885.03753"/>
    <n v="197752.34721000001"/>
    <n v="-11375.3256255"/>
    <n v="128511.95035007701"/>
    <n v="0"/>
    <n v="0"/>
    <n v="0"/>
    <n v="49296.287367600002"/>
    <n v="0"/>
    <n v="23700"/>
    <n v="528100"/>
    <n v="43300"/>
    <n v="595100"/>
    <n v="-1.0146373918829008E-2"/>
    <n v="0.99970000000000003"/>
    <n v="1"/>
    <n v="0.99650000000000005"/>
    <n v="0.96179999999999999"/>
    <n v="0.995"/>
    <n v="0.94971499999999998"/>
    <n v="0.90568766708852244"/>
    <n v="528100"/>
    <n v="22500"/>
    <n v="550600"/>
    <n v="41100"/>
    <n v="591700"/>
    <n v="2.3610336493772078E-2"/>
    <n v="-0.35071090047393366"/>
    <n v="-1.5801729873586162E-2"/>
  </r>
  <r>
    <n v="2025"/>
    <s v="18132214499    "/>
    <n v="-1.4696759700589417"/>
    <n v="0.23"/>
    <n v="10059"/>
    <s v="6"/>
    <s v="RES"/>
    <x v="0"/>
    <s v="11"/>
    <s v="259"/>
    <s v="RN"/>
    <s v="G+"/>
    <s v="GD"/>
    <x v="7"/>
    <n v="74"/>
    <n v="51"/>
    <n v="1950"/>
    <n v="1973"/>
    <n v="1533"/>
    <m/>
    <n v="1437"/>
    <n v="690"/>
    <n v="747"/>
    <m/>
    <n v="2280"/>
    <n v="2500"/>
    <n v="10"/>
    <n v="240"/>
    <m/>
    <m/>
    <m/>
    <m/>
    <m/>
    <m/>
    <n v="565849"/>
    <n v="407411"/>
    <n v="0"/>
    <n v="464900"/>
    <n v="63300"/>
    <n v="401600"/>
    <n v="0"/>
    <n v="0"/>
    <n v="89850.625589999996"/>
    <n v="-46522.028095997222"/>
    <n v="74268.409664999999"/>
    <n v="197752.34721000001"/>
    <n v="-11375.3256255"/>
    <n v="75743.490921441"/>
    <n v="0"/>
    <n v="0"/>
    <n v="41790.683469938995"/>
    <n v="37920.221052000001"/>
    <n v="0"/>
    <n v="0"/>
    <n v="416100"/>
    <n v="43300"/>
    <n v="459400"/>
    <n v="-1.1830501183050119E-2"/>
    <n v="0.99970000000000003"/>
    <n v="0.98380000000000001"/>
    <n v="0.99650000000000005"/>
    <n v="0.98919999999999997"/>
    <n v="0.995"/>
    <n v="0.94971499999999998"/>
    <n v="0.91639900103074046"/>
    <n v="416100"/>
    <n v="0"/>
    <n v="416100"/>
    <n v="41100"/>
    <n v="457200"/>
    <n v="3.6105577689243031E-2"/>
    <n v="-0.35071090047393366"/>
    <n v="-1.6562701656270166E-2"/>
  </r>
  <r>
    <n v="2025"/>
    <s v="18132214435    "/>
    <n v="-1.7147984280919266"/>
    <n v="0.18"/>
    <n v="8012"/>
    <s v="6"/>
    <s v="RES"/>
    <x v="0"/>
    <s v="11"/>
    <s v="259"/>
    <s v="TD"/>
    <s v="F+"/>
    <s v="AV"/>
    <x v="7"/>
    <n v="74"/>
    <n v="51"/>
    <n v="1950"/>
    <n v="1973"/>
    <n v="1174"/>
    <m/>
    <n v="1155"/>
    <n v="0"/>
    <n v="1155"/>
    <m/>
    <n v="2329"/>
    <n v="2500"/>
    <n v="8"/>
    <m/>
    <m/>
    <n v="50"/>
    <m/>
    <m/>
    <m/>
    <m/>
    <n v="273699"/>
    <n v="188852"/>
    <n v="0"/>
    <n v="311800"/>
    <n v="54700"/>
    <n v="257100"/>
    <n v="0"/>
    <n v="0"/>
    <n v="89850.625589999996"/>
    <n v="-54281.285314520763"/>
    <n v="0"/>
    <n v="160472.20319"/>
    <n v="-11375.3256255"/>
    <n v="58005.778435598004"/>
    <n v="0"/>
    <n v="0"/>
    <n v="33589.589010284995"/>
    <n v="30336.176841600001"/>
    <n v="1664.7757638000003"/>
    <n v="0"/>
    <n v="272700"/>
    <n v="35600"/>
    <n v="308300"/>
    <n v="-1.1225144323284156E-2"/>
    <n v="0.99970000000000003"/>
    <n v="0.99180000000000001"/>
    <n v="0.99729999999999996"/>
    <n v="0.98919999999999997"/>
    <n v="0.995"/>
    <n v="0.94971499999999998"/>
    <n v="0.92459259062888866"/>
    <n v="272700"/>
    <n v="0"/>
    <n v="272700"/>
    <n v="33800"/>
    <n v="306500"/>
    <n v="6.0676779463243874E-2"/>
    <n v="-0.38208409506398539"/>
    <n v="-1.6998075689544579E-2"/>
  </r>
  <r>
    <n v="2025"/>
    <s v="18132243447    "/>
    <n v="-1.5141277326297755"/>
    <n v="0.22"/>
    <n v="9471"/>
    <s v="6"/>
    <s v="RES"/>
    <x v="0"/>
    <s v="11"/>
    <s v="259"/>
    <s v="CP"/>
    <s v="G+"/>
    <s v="GD"/>
    <x v="7"/>
    <n v="74"/>
    <n v="51"/>
    <n v="1950"/>
    <n v="1973"/>
    <n v="1639"/>
    <m/>
    <n v="844"/>
    <n v="0"/>
    <n v="844"/>
    <m/>
    <n v="2483"/>
    <n v="2500"/>
    <n v="11"/>
    <m/>
    <m/>
    <m/>
    <m/>
    <m/>
    <m/>
    <m/>
    <n v="512641"/>
    <n v="369102"/>
    <n v="11174"/>
    <n v="466800"/>
    <n v="61700"/>
    <n v="405100"/>
    <n v="0"/>
    <n v="0"/>
    <n v="89850.625589999996"/>
    <n v="-47929.131559187132"/>
    <n v="74268.409664999999"/>
    <n v="197752.34721000001"/>
    <n v="-11375.3256255"/>
    <n v="80980.809928403003"/>
    <n v="0"/>
    <n v="0"/>
    <n v="24545.119588467998"/>
    <n v="41712.243157199999"/>
    <n v="0"/>
    <n v="11200"/>
    <n v="407900"/>
    <n v="41900"/>
    <n v="461000"/>
    <n v="-1.2425021422450729E-2"/>
    <n v="0.99970000000000003"/>
    <n v="0.98380000000000001"/>
    <n v="0.99650000000000005"/>
    <n v="0.98919999999999997"/>
    <n v="0.995"/>
    <n v="0.94971499999999998"/>
    <n v="0.91639900103074046"/>
    <n v="407900"/>
    <n v="10600"/>
    <n v="418500"/>
    <n v="39800"/>
    <n v="458300"/>
    <n v="3.3078252283386816E-2"/>
    <n v="-0.35494327390599678"/>
    <n v="-1.8209083119108824E-2"/>
  </r>
  <r>
    <n v="2025"/>
    <s v="18132241486    "/>
    <n v="-1.2039728043259361"/>
    <n v="0.3"/>
    <n v="12885"/>
    <s v="6"/>
    <s v="RES"/>
    <x v="0"/>
    <s v="11"/>
    <s v="259"/>
    <s v="RN"/>
    <s v="G+"/>
    <s v="AV"/>
    <x v="7"/>
    <n v="74"/>
    <n v="51"/>
    <n v="1950"/>
    <n v="1973"/>
    <n v="1669"/>
    <m/>
    <n v="1431"/>
    <n v="143"/>
    <n v="1288"/>
    <m/>
    <n v="2957"/>
    <n v="3000"/>
    <n v="12"/>
    <n v="400"/>
    <m/>
    <n v="330"/>
    <m/>
    <m/>
    <m/>
    <m/>
    <n v="690194"/>
    <n v="483136"/>
    <n v="26836"/>
    <n v="488700"/>
    <n v="72500"/>
    <n v="416200"/>
    <n v="0"/>
    <n v="0"/>
    <n v="89850.625589999996"/>
    <n v="-38111.29648355169"/>
    <n v="74268.409664999999"/>
    <n v="160472.20319"/>
    <n v="-11375.3256255"/>
    <n v="82463.070024713001"/>
    <n v="0"/>
    <n v="0"/>
    <n v="41616.192098456995"/>
    <n v="45504.265262400004"/>
    <n v="10987.520041080001"/>
    <n v="26800"/>
    <n v="403900"/>
    <n v="51700"/>
    <n v="482400"/>
    <n v="-1.289134438305709E-2"/>
    <n v="0.99970000000000003"/>
    <n v="0.98380000000000001"/>
    <n v="0.99729999999999996"/>
    <n v="0.96179999999999999"/>
    <n v="0.995"/>
    <n v="0.94971499999999998"/>
    <n v="0.89173084290929039"/>
    <n v="403900"/>
    <n v="25500"/>
    <n v="429400"/>
    <n v="49100"/>
    <n v="478500"/>
    <n v="3.1715521383950021E-2"/>
    <n v="-0.32275862068965516"/>
    <n v="-2.0871700429711478E-2"/>
  </r>
  <r>
    <n v="2025"/>
    <s v="18132214451    "/>
    <n v="-1.6094379124341003"/>
    <n v="0.2"/>
    <n v="8566"/>
    <s v="6"/>
    <s v="RES"/>
    <x v="0"/>
    <s v="11"/>
    <s v="400"/>
    <s v="TD"/>
    <s v="F+"/>
    <s v="AV"/>
    <x v="7"/>
    <n v="74"/>
    <n v="51"/>
    <n v="1950"/>
    <n v="1973"/>
    <n v="1098"/>
    <m/>
    <n v="1098"/>
    <n v="0"/>
    <n v="1098"/>
    <m/>
    <n v="2196"/>
    <n v="2500"/>
    <n v="8"/>
    <m/>
    <m/>
    <m/>
    <m/>
    <m/>
    <m/>
    <m/>
    <n v="268792"/>
    <n v="185466"/>
    <n v="0"/>
    <n v="309700"/>
    <n v="58400"/>
    <n v="251300"/>
    <n v="0"/>
    <n v="0"/>
    <n v="89850.625589999996"/>
    <n v="-50946.13867709865"/>
    <n v="0"/>
    <n v="160472.20319"/>
    <n v="-11375.3256255"/>
    <n v="54250.719524945998"/>
    <n v="0"/>
    <n v="0"/>
    <n v="31931.920981206"/>
    <n v="30336.176841600001"/>
    <n v="0"/>
    <n v="0"/>
    <n v="265600"/>
    <n v="38900"/>
    <n v="304500"/>
    <n v="-1.6790442363577657E-2"/>
    <n v="0.99970000000000003"/>
    <n v="0.99180000000000001"/>
    <n v="0.99729999999999996"/>
    <n v="0.98919999999999997"/>
    <n v="0.995"/>
    <n v="0.94971499999999998"/>
    <n v="0.92459259062888866"/>
    <n v="265600"/>
    <n v="0"/>
    <n v="265600"/>
    <n v="36900"/>
    <n v="302500"/>
    <n v="5.690409868682849E-2"/>
    <n v="-0.36815068493150682"/>
    <n v="-2.3248304811107522E-2"/>
  </r>
  <r>
    <n v="2025"/>
    <s v="18132313448    "/>
    <n v="-1.7719568419318752"/>
    <n v="0.17"/>
    <m/>
    <s v="6"/>
    <s v="RES"/>
    <x v="0"/>
    <s v="11"/>
    <s v="259"/>
    <s v="TD"/>
    <s v="F+"/>
    <s v="AV"/>
    <x v="7"/>
    <n v="74"/>
    <n v="51"/>
    <n v="1950"/>
    <n v="1973"/>
    <n v="1383"/>
    <m/>
    <n v="1026"/>
    <n v="0"/>
    <n v="1026"/>
    <m/>
    <n v="2409"/>
    <n v="2500"/>
    <n v="5"/>
    <m/>
    <n v="336"/>
    <m/>
    <m/>
    <m/>
    <m/>
    <m/>
    <n v="301438"/>
    <n v="207992"/>
    <n v="0"/>
    <n v="308400"/>
    <n v="52700"/>
    <n v="255700"/>
    <n v="0"/>
    <n v="0"/>
    <n v="89850.625589999996"/>
    <n v="-56090.612940989391"/>
    <n v="0"/>
    <n v="160472.20319"/>
    <n v="-11375.3256255"/>
    <n v="68332.190439890997"/>
    <n v="0"/>
    <n v="0"/>
    <n v="29838.024523421998"/>
    <n v="18960.110526"/>
    <n v="0"/>
    <n v="0"/>
    <n v="266200"/>
    <n v="33800"/>
    <n v="300000"/>
    <n v="-2.7237354085603113E-2"/>
    <n v="0.99970000000000003"/>
    <n v="0.99180000000000001"/>
    <n v="0.99729999999999996"/>
    <n v="0.98919999999999997"/>
    <n v="0.995"/>
    <n v="0.94971499999999998"/>
    <n v="0.92459259062888866"/>
    <n v="266200"/>
    <n v="0"/>
    <n v="266200"/>
    <n v="32100"/>
    <n v="298300"/>
    <n v="4.1063746578021115E-2"/>
    <n v="-0.39089184060721061"/>
    <n v="-3.2749675745784697E-2"/>
  </r>
  <r>
    <n v="2025"/>
    <s v="18132334442    "/>
    <n v="-0.82098055206983023"/>
    <n v="0.44"/>
    <m/>
    <s v="6"/>
    <s v="RES"/>
    <x v="0"/>
    <s v="11"/>
    <s v="259"/>
    <s v="RN"/>
    <s v="G+"/>
    <s v="GD"/>
    <x v="7"/>
    <n v="74"/>
    <n v="51"/>
    <n v="1950"/>
    <n v="1973"/>
    <n v="2862"/>
    <m/>
    <m/>
    <n v="0"/>
    <m/>
    <m/>
    <n v="2862"/>
    <n v="3000"/>
    <n v="8"/>
    <m/>
    <m/>
    <n v="20"/>
    <m/>
    <m/>
    <m/>
    <m/>
    <n v="659905"/>
    <n v="475132"/>
    <n v="3524"/>
    <n v="519400"/>
    <n v="85900"/>
    <n v="433500"/>
    <n v="0"/>
    <n v="0"/>
    <n v="89850.625589999996"/>
    <n v="-25987.823906604521"/>
    <n v="74268.409664999999"/>
    <n v="197752.34721000001"/>
    <n v="-11375.3256255"/>
    <n v="141407.613187974"/>
    <n v="0"/>
    <n v="0"/>
    <n v="0"/>
    <n v="30336.176841600001"/>
    <n v="665.91030552000007"/>
    <n v="3500"/>
    <n v="433100"/>
    <n v="63900"/>
    <n v="500500"/>
    <n v="-3.638814016172507E-2"/>
    <n v="0.99970000000000003"/>
    <n v="0.98380000000000001"/>
    <n v="0.99650000000000005"/>
    <n v="0.96179999999999999"/>
    <n v="0.995"/>
    <n v="0.94971499999999998"/>
    <n v="0.8910155268816885"/>
    <n v="433100"/>
    <n v="3300"/>
    <n v="436400"/>
    <n v="60700"/>
    <n v="497100"/>
    <n v="6.6897347174163782E-3"/>
    <n v="-0.29336437718277064"/>
    <n v="-4.2934154793993068E-2"/>
  </r>
  <r>
    <n v="2025"/>
    <s v="18132323439    "/>
    <n v="-1.2729656758128873"/>
    <n v="0.28000000000000003"/>
    <n v="12314"/>
    <s v="6"/>
    <s v="RES"/>
    <x v="0"/>
    <s v="11"/>
    <s v="259"/>
    <s v="RN"/>
    <s v="G+"/>
    <s v="AV"/>
    <x v="7"/>
    <n v="74"/>
    <n v="51"/>
    <n v="1950"/>
    <n v="1973"/>
    <n v="1688"/>
    <m/>
    <n v="720"/>
    <n v="0"/>
    <n v="720"/>
    <m/>
    <n v="2408"/>
    <n v="2500"/>
    <n v="9"/>
    <m/>
    <m/>
    <m/>
    <m/>
    <m/>
    <m/>
    <m/>
    <n v="525970"/>
    <n v="368179"/>
    <n v="0"/>
    <n v="433700"/>
    <n v="70100"/>
    <n v="363600"/>
    <n v="0"/>
    <n v="0"/>
    <n v="89850.625589999996"/>
    <n v="-40295.239319339329"/>
    <n v="74268.409664999999"/>
    <n v="160472.20319"/>
    <n v="-11375.3256255"/>
    <n v="83401.834752376002"/>
    <n v="0"/>
    <n v="0"/>
    <n v="20938.964577839997"/>
    <n v="34128.198946800003"/>
    <n v="0"/>
    <n v="0"/>
    <n v="361800"/>
    <n v="49600"/>
    <n v="411400"/>
    <n v="-5.1418030896933364E-2"/>
    <n v="0.99970000000000003"/>
    <n v="0.98380000000000001"/>
    <n v="0.99729999999999996"/>
    <n v="0.98919999999999997"/>
    <n v="0.995"/>
    <n v="0.94971499999999998"/>
    <n v="0.91713469516102109"/>
    <n v="361800"/>
    <n v="0"/>
    <n v="361800"/>
    <n v="47100"/>
    <n v="408900"/>
    <n v="-4.9504950495049506E-3"/>
    <n v="-0.32810271041369471"/>
    <n v="-5.7182384136499884E-2"/>
  </r>
  <r>
    <n v="2025"/>
    <s v="18132214509    "/>
    <n v="-1.5141277326297755"/>
    <n v="0.22"/>
    <n v="9656"/>
    <s v="6"/>
    <s v="RES"/>
    <x v="0"/>
    <s v="11"/>
    <s v="259"/>
    <s v="TD"/>
    <s v="G+"/>
    <s v="AV"/>
    <x v="7"/>
    <n v="74"/>
    <n v="51"/>
    <n v="1950"/>
    <n v="1973"/>
    <n v="1504"/>
    <m/>
    <n v="1504"/>
    <n v="0"/>
    <n v="1504"/>
    <m/>
    <n v="3008"/>
    <n v="3500"/>
    <n v="9"/>
    <n v="400"/>
    <m/>
    <m/>
    <m/>
    <m/>
    <m/>
    <m/>
    <n v="519144"/>
    <n v="363401"/>
    <n v="0"/>
    <n v="443800"/>
    <n v="61700"/>
    <n v="382100"/>
    <n v="0"/>
    <n v="0"/>
    <n v="89850.625589999996"/>
    <n v="-47929.131559187132"/>
    <n v="74268.409664999999"/>
    <n v="160472.20319"/>
    <n v="-11375.3256255"/>
    <n v="74310.639495007999"/>
    <n v="0"/>
    <n v="0"/>
    <n v="43739.170451487997"/>
    <n v="34128.198946800003"/>
    <n v="0"/>
    <n v="0"/>
    <n v="375500"/>
    <n v="41900"/>
    <n v="417400"/>
    <n v="-5.9486255069851286E-2"/>
    <n v="0.99970000000000003"/>
    <n v="0.98380000000000001"/>
    <n v="0.99729999999999996"/>
    <n v="1.0126999999999999"/>
    <n v="0.995"/>
    <n v="0.94971499999999998"/>
    <n v="0.93892267063239576"/>
    <n v="375500"/>
    <n v="0"/>
    <n v="375500"/>
    <n v="39800"/>
    <n v="415300"/>
    <n v="-1.7272965192358023E-2"/>
    <n v="-0.35494327390599678"/>
    <n v="-6.4218116268589448E-2"/>
  </r>
  <r>
    <n v="2025"/>
    <s v="18132242425    "/>
    <n v="-1.1394342831883648"/>
    <n v="0.32"/>
    <n v="13837"/>
    <s v="6"/>
    <s v="RES"/>
    <x v="0"/>
    <s v="11"/>
    <s v="259"/>
    <s v="RN"/>
    <s v="F"/>
    <s v="GD"/>
    <x v="7"/>
    <n v="74"/>
    <n v="51"/>
    <n v="1950"/>
    <n v="1973"/>
    <n v="1194"/>
    <m/>
    <n v="240"/>
    <n v="0"/>
    <n v="240"/>
    <m/>
    <n v="1434"/>
    <n v="1500"/>
    <n v="5"/>
    <m/>
    <m/>
    <m/>
    <m/>
    <m/>
    <m/>
    <m/>
    <n v="193179"/>
    <n v="137157"/>
    <n v="0"/>
    <n v="299200"/>
    <n v="74800"/>
    <n v="224400"/>
    <n v="0"/>
    <n v="0"/>
    <n v="89850.625589999996"/>
    <n v="-36068.354396449467"/>
    <n v="-43578.886190266698"/>
    <n v="197752.34721000001"/>
    <n v="-11375.3256255"/>
    <n v="58993.951833138002"/>
    <n v="0"/>
    <n v="0"/>
    <n v="6979.65485928"/>
    <n v="18960.110526"/>
    <n v="0"/>
    <n v="0"/>
    <n v="227700"/>
    <n v="53800"/>
    <n v="281500"/>
    <n v="-5.9157754010695188E-2"/>
    <n v="0.99970000000000003"/>
    <n v="1"/>
    <n v="0.99650000000000005"/>
    <n v="1.0157"/>
    <n v="0.995"/>
    <n v="0.94971499999999998"/>
    <n v="0.95644308947994638"/>
    <n v="227700"/>
    <n v="0"/>
    <n v="227700"/>
    <n v="51100"/>
    <n v="278800"/>
    <n v="1.4705882352941176E-2"/>
    <n v="-0.31684491978609625"/>
    <n v="-6.8181818181818177E-2"/>
  </r>
  <r>
    <n v="2025"/>
    <s v="18132324521    "/>
    <n v="-1.3470736479666092"/>
    <n v="0.26"/>
    <n v="11200"/>
    <s v="6"/>
    <s v="RES"/>
    <x v="0"/>
    <s v="11"/>
    <s v="259"/>
    <s v="RN"/>
    <s v="G"/>
    <s v="GD"/>
    <x v="7"/>
    <n v="74"/>
    <n v="51"/>
    <n v="1950"/>
    <n v="1973"/>
    <n v="1328"/>
    <m/>
    <n v="1328"/>
    <n v="578"/>
    <n v="750"/>
    <m/>
    <n v="2078"/>
    <n v="2500"/>
    <n v="8"/>
    <m/>
    <m/>
    <m/>
    <m/>
    <m/>
    <m/>
    <m/>
    <n v="415544"/>
    <n v="295036"/>
    <n v="12013"/>
    <n v="454800"/>
    <n v="67600"/>
    <n v="387200"/>
    <n v="0"/>
    <n v="0"/>
    <n v="89850.625589999996"/>
    <n v="-42641.098701210125"/>
    <n v="44121.038090000002"/>
    <n v="197752.34721000001"/>
    <n v="-11375.3256255"/>
    <n v="65614.713596656002"/>
    <n v="0"/>
    <n v="0"/>
    <n v="38620.756888015996"/>
    <n v="30336.176841600001"/>
    <n v="0"/>
    <n v="12000"/>
    <n v="365100"/>
    <n v="47200"/>
    <n v="424300"/>
    <n v="-6.7062445030782764E-2"/>
    <n v="0.99970000000000003"/>
    <n v="0.98050000000000004"/>
    <n v="0.99650000000000005"/>
    <n v="0.98919999999999997"/>
    <n v="0.995"/>
    <n v="0.94971499999999998"/>
    <n v="0.91332508691872449"/>
    <n v="365100"/>
    <n v="11400"/>
    <n v="376500"/>
    <n v="44800"/>
    <n v="421300"/>
    <n v="-2.7634297520661159E-2"/>
    <n v="-0.33727810650887574"/>
    <n v="-7.3658751099384343E-2"/>
  </r>
  <r>
    <n v="2025"/>
    <s v="18132211006    "/>
    <n v="-0.94160853985844495"/>
    <n v="0.39"/>
    <n v="17036"/>
    <s v="6"/>
    <s v="RES"/>
    <x v="0"/>
    <s v="11"/>
    <s v="400"/>
    <s v="TD"/>
    <s v="F"/>
    <s v="AV"/>
    <x v="7"/>
    <n v="74"/>
    <n v="51"/>
    <n v="1950"/>
    <n v="1973"/>
    <n v="2151"/>
    <m/>
    <m/>
    <n v="0"/>
    <m/>
    <m/>
    <n v="2151"/>
    <n v="2500"/>
    <n v="8"/>
    <n v="1020"/>
    <m/>
    <m/>
    <m/>
    <m/>
    <m/>
    <m/>
    <n v="327206"/>
    <n v="225772"/>
    <n v="0"/>
    <n v="335400"/>
    <n v="81700"/>
    <n v="253700"/>
    <n v="0"/>
    <n v="0"/>
    <n v="89850.625589999996"/>
    <n v="-29806.256507663158"/>
    <n v="-43578.886190266698"/>
    <n v="160472.20319"/>
    <n v="-11375.3256255"/>
    <n v="106278.048905427"/>
    <n v="0"/>
    <n v="0"/>
    <n v="0"/>
    <n v="30336.176841600001"/>
    <n v="0"/>
    <n v="0"/>
    <n v="242100"/>
    <n v="60000"/>
    <n v="302100"/>
    <n v="-9.9284436493738817E-2"/>
    <n v="0.99970000000000003"/>
    <n v="1"/>
    <n v="0.99729999999999996"/>
    <n v="0.98919999999999997"/>
    <n v="0.995"/>
    <n v="0.94971499999999998"/>
    <n v="0.93223693348345293"/>
    <n v="242100"/>
    <n v="0"/>
    <n v="242100"/>
    <n v="57000"/>
    <n v="299100"/>
    <n v="-4.572329523058731E-2"/>
    <n v="-0.30232558139534882"/>
    <n v="-0.10822898032200358"/>
  </r>
  <r>
    <n v="2025"/>
    <s v="18132214434    "/>
    <n v="-1.7147984280919266"/>
    <n v="0.18"/>
    <n v="8025"/>
    <s v="6"/>
    <s v="RES"/>
    <x v="0"/>
    <s v="11"/>
    <s v="259"/>
    <s v="TD"/>
    <s v="F"/>
    <s v="AV"/>
    <x v="7"/>
    <n v="74"/>
    <n v="51"/>
    <n v="1950"/>
    <n v="1973"/>
    <n v="1089"/>
    <m/>
    <n v="1089"/>
    <n v="0"/>
    <n v="1089"/>
    <m/>
    <n v="2178"/>
    <n v="2500"/>
    <n v="9"/>
    <m/>
    <m/>
    <m/>
    <m/>
    <m/>
    <m/>
    <m/>
    <n v="235628"/>
    <n v="162583"/>
    <n v="0"/>
    <n v="298400"/>
    <n v="54700"/>
    <n v="243700"/>
    <n v="0"/>
    <n v="0"/>
    <n v="89850.625589999996"/>
    <n v="-54281.285314520763"/>
    <n v="-43578.886190266698"/>
    <n v="160472.20319"/>
    <n v="-11375.3256255"/>
    <n v="53806.041496053003"/>
    <n v="0"/>
    <n v="0"/>
    <n v="31670.183923982997"/>
    <n v="34128.198946800003"/>
    <n v="0"/>
    <n v="0"/>
    <n v="225100"/>
    <n v="35600"/>
    <n v="260700"/>
    <n v="-0.12634048257372654"/>
    <n v="0.99970000000000003"/>
    <n v="1"/>
    <n v="0.99729999999999996"/>
    <n v="0.98919999999999997"/>
    <n v="0.995"/>
    <n v="0.94971499999999998"/>
    <n v="0.93223693348345293"/>
    <n v="225100"/>
    <n v="0"/>
    <n v="225100"/>
    <n v="33800"/>
    <n v="258900"/>
    <n v="-7.6323348379154693E-2"/>
    <n v="-0.38208409506398539"/>
    <n v="-0.13237265415549598"/>
  </r>
  <r>
    <n v="2025"/>
    <s v="18132333460    "/>
    <n v="-1.7719568419318752"/>
    <n v="0.17"/>
    <n v="7199"/>
    <s v="6"/>
    <s v="RES"/>
    <x v="0"/>
    <s v="11"/>
    <s v="259"/>
    <s v="TD"/>
    <s v="F"/>
    <s v="AV"/>
    <x v="7"/>
    <n v="74"/>
    <n v="51"/>
    <n v="1950"/>
    <n v="1973"/>
    <n v="528"/>
    <m/>
    <m/>
    <n v="0"/>
    <m/>
    <m/>
    <n v="528"/>
    <n v="1000"/>
    <n v="5"/>
    <m/>
    <m/>
    <m/>
    <m/>
    <m/>
    <m/>
    <m/>
    <n v="86601"/>
    <n v="59755"/>
    <n v="0"/>
    <n v="211200"/>
    <n v="52700"/>
    <n v="158500"/>
    <n v="0"/>
    <n v="0"/>
    <n v="89850.625589999996"/>
    <n v="-56090.612940989391"/>
    <n v="-43578.886190266698"/>
    <n v="160472.20319"/>
    <n v="-11375.3256255"/>
    <n v="26087.777695056"/>
    <n v="0"/>
    <n v="0"/>
    <n v="0"/>
    <n v="18960.110526"/>
    <n v="0"/>
    <n v="0"/>
    <n v="150600"/>
    <n v="33800"/>
    <n v="184400"/>
    <n v="-0.12689393939393939"/>
    <n v="0.99970000000000003"/>
    <n v="1"/>
    <n v="0.99729999999999996"/>
    <n v="1.0148999999999999"/>
    <n v="0.995"/>
    <n v="0.94971499999999998"/>
    <n v="0.95645699938572204"/>
    <n v="150600"/>
    <n v="0"/>
    <n v="150600"/>
    <n v="32100"/>
    <n v="182700"/>
    <n v="-4.9842271293375394E-2"/>
    <n v="-0.39089184060721061"/>
    <n v="-0.13494318181818182"/>
  </r>
  <r>
    <n v="2025"/>
    <s v="18132313476    "/>
    <n v="-1.7719568419318752"/>
    <n v="0.17"/>
    <n v="7250"/>
    <s v="6"/>
    <s v="RES"/>
    <x v="0"/>
    <s v="11"/>
    <s v="259"/>
    <s v="TD"/>
    <s v="A"/>
    <s v="FR"/>
    <x v="7"/>
    <n v="75"/>
    <n v="51"/>
    <n v="1949"/>
    <n v="1973"/>
    <n v="1028"/>
    <m/>
    <n v="1028"/>
    <n v="921"/>
    <n v="107"/>
    <m/>
    <n v="1135"/>
    <n v="1500"/>
    <n v="5"/>
    <m/>
    <m/>
    <m/>
    <m/>
    <m/>
    <m/>
    <m/>
    <n v="221116"/>
    <n v="148148"/>
    <n v="4661"/>
    <n v="251500"/>
    <n v="52700"/>
    <n v="198800"/>
    <n v="0"/>
    <n v="0"/>
    <n v="89850.625589999996"/>
    <n v="-56090.612940989391"/>
    <n v="21557.329055999999"/>
    <n v="133714.53821"/>
    <n v="-11375.3256255"/>
    <n v="50792.112633556004"/>
    <n v="0"/>
    <n v="0"/>
    <n v="29896.188313915998"/>
    <n v="18960.110526"/>
    <n v="0"/>
    <n v="4700"/>
    <n v="243500"/>
    <n v="33800"/>
    <n v="282000"/>
    <n v="0.12127236580516898"/>
    <n v="0.99970000000000003"/>
    <n v="1.0067999999999999"/>
    <n v="0.99329999999999996"/>
    <n v="1.0157"/>
    <n v="0.995"/>
    <n v="0.94971499999999998"/>
    <n v="0.95985464951504007"/>
    <n v="243500"/>
    <n v="4400"/>
    <n v="247900"/>
    <n v="32100"/>
    <n v="280000"/>
    <n v="0.24698189134808854"/>
    <n v="-0.39089184060721061"/>
    <n v="0.11332007952286283"/>
  </r>
  <r>
    <n v="2025"/>
    <s v="18132313533    "/>
    <n v="-1.7719568419318752"/>
    <n v="0.17"/>
    <n v="7348"/>
    <s v="6"/>
    <s v="RES"/>
    <x v="0"/>
    <s v="11"/>
    <s v="259"/>
    <s v="BG"/>
    <s v="A"/>
    <s v="GD"/>
    <x v="7"/>
    <n v="75"/>
    <n v="51"/>
    <n v="1949"/>
    <n v="1973"/>
    <n v="1258"/>
    <m/>
    <n v="600"/>
    <n v="600"/>
    <m/>
    <m/>
    <n v="1258"/>
    <n v="1500"/>
    <n v="5"/>
    <m/>
    <m/>
    <m/>
    <m/>
    <m/>
    <m/>
    <m/>
    <n v="225969"/>
    <n v="160438"/>
    <n v="2707"/>
    <n v="308600"/>
    <n v="52700"/>
    <n v="255900"/>
    <n v="0"/>
    <n v="0"/>
    <n v="89850.625589999996"/>
    <n v="-56090.612940989391"/>
    <n v="21557.329055999999"/>
    <n v="197752.34721000001"/>
    <n v="-11375.3256255"/>
    <n v="62156.106705266"/>
    <n v="0"/>
    <n v="0"/>
    <n v="17449.1371482"/>
    <n v="18960.110526"/>
    <n v="0"/>
    <n v="2700"/>
    <n v="306500"/>
    <n v="33800"/>
    <n v="343000"/>
    <n v="0.11147116007777058"/>
    <n v="0.99970000000000003"/>
    <n v="1.0067999999999999"/>
    <n v="0.99650000000000005"/>
    <n v="1.0157"/>
    <n v="0.995"/>
    <n v="0.94971499999999998"/>
    <n v="0.96294690248840986"/>
    <n v="306500"/>
    <n v="2600"/>
    <n v="309100"/>
    <n v="32100"/>
    <n v="341200"/>
    <n v="0.20789370847987496"/>
    <n v="-0.39089184060721061"/>
    <n v="0.10563836681788723"/>
  </r>
  <r>
    <n v="2025"/>
    <s v="18132244004    "/>
    <n v="-1.5606477482646683"/>
    <n v="0.21"/>
    <n v="9101"/>
    <s v="6"/>
    <s v="RES"/>
    <x v="0"/>
    <s v="11"/>
    <s v="259"/>
    <s v="TD"/>
    <s v="G"/>
    <s v="GD"/>
    <x v="7"/>
    <n v="75"/>
    <n v="51"/>
    <n v="1949"/>
    <n v="1973"/>
    <n v="1624"/>
    <m/>
    <n v="744"/>
    <n v="0"/>
    <n v="744"/>
    <m/>
    <n v="2368"/>
    <n v="2500"/>
    <n v="13"/>
    <n v="500"/>
    <m/>
    <n v="380"/>
    <m/>
    <m/>
    <m/>
    <m/>
    <n v="466326"/>
    <n v="331091"/>
    <n v="0"/>
    <n v="398800"/>
    <n v="60100"/>
    <n v="338700"/>
    <n v="0"/>
    <n v="0"/>
    <n v="89850.625589999996"/>
    <n v="-49401.70477837498"/>
    <n v="44121.038090000002"/>
    <n v="197752.34721000001"/>
    <n v="-11375.3256255"/>
    <n v="80239.679880248004"/>
    <n v="0"/>
    <n v="0"/>
    <n v="21636.930063767999"/>
    <n v="49296.287367600002"/>
    <n v="12652.295804880001"/>
    <n v="0"/>
    <n v="394300"/>
    <n v="40400"/>
    <n v="434700"/>
    <n v="9.0020060180541622E-2"/>
    <n v="0.99970000000000003"/>
    <n v="0.98050000000000004"/>
    <n v="0.99650000000000005"/>
    <n v="0.98919999999999997"/>
    <n v="0.995"/>
    <n v="0.94971499999999998"/>
    <n v="0.91332508691872449"/>
    <n v="394300"/>
    <n v="0"/>
    <n v="394300"/>
    <n v="38400"/>
    <n v="432700"/>
    <n v="0.16415707115441394"/>
    <n v="-0.36106489184692181"/>
    <n v="8.5005015045135413E-2"/>
  </r>
  <r>
    <n v="2025"/>
    <s v="18132313532    "/>
    <n v="-1.7719568419318752"/>
    <n v="0.17"/>
    <n v="7348"/>
    <s v="6"/>
    <s v="RES"/>
    <x v="0"/>
    <s v="11"/>
    <s v="259"/>
    <s v="CC"/>
    <s v="A"/>
    <s v="AV"/>
    <x v="7"/>
    <n v="75"/>
    <n v="51"/>
    <n v="1949"/>
    <n v="1973"/>
    <n v="951"/>
    <n v="713"/>
    <n v="951"/>
    <n v="951"/>
    <m/>
    <m/>
    <n v="1664"/>
    <n v="2000"/>
    <n v="8"/>
    <m/>
    <m/>
    <m/>
    <m/>
    <m/>
    <m/>
    <m/>
    <n v="279716"/>
    <n v="193004"/>
    <n v="6227"/>
    <n v="320400"/>
    <n v="52700"/>
    <n v="267700"/>
    <n v="0"/>
    <n v="0"/>
    <n v="89850.625589999996"/>
    <n v="-56090.612940989391"/>
    <n v="21557.329055999999"/>
    <n v="160472.20319"/>
    <n v="-11375.3256255"/>
    <n v="46987.645053027001"/>
    <n v="31932.719499892999"/>
    <n v="0"/>
    <n v="27656.882379896997"/>
    <n v="30336.176841600001"/>
    <n v="0"/>
    <n v="6200"/>
    <n v="307600"/>
    <n v="33800"/>
    <n v="347600"/>
    <n v="8.4893882646691635E-2"/>
    <n v="0.99970000000000003"/>
    <n v="1.0067999999999999"/>
    <n v="0.99729999999999996"/>
    <n v="1.0093000000000001"/>
    <n v="0.995"/>
    <n v="0.94971499999999998"/>
    <n v="0.957647495730095"/>
    <n v="307600"/>
    <n v="5900"/>
    <n v="313500"/>
    <n v="32100"/>
    <n v="345600"/>
    <n v="0.17108703772880091"/>
    <n v="-0.39089184060721061"/>
    <n v="7.8651685393258425E-2"/>
  </r>
  <r>
    <n v="2025"/>
    <s v="18132324531    "/>
    <n v="-1.2378743560016174"/>
    <n v="0.28999999999999998"/>
    <n v="12515"/>
    <s v="6"/>
    <s v="RES"/>
    <x v="0"/>
    <s v="11"/>
    <s v="259"/>
    <s v="RN"/>
    <s v="A+"/>
    <s v="GD"/>
    <x v="7"/>
    <n v="75"/>
    <n v="51"/>
    <n v="1949"/>
    <n v="1973"/>
    <n v="1570"/>
    <m/>
    <m/>
    <n v="0"/>
    <m/>
    <m/>
    <n v="1570"/>
    <n v="2000"/>
    <n v="6"/>
    <n v="440"/>
    <m/>
    <n v="98"/>
    <m/>
    <m/>
    <m/>
    <m/>
    <n v="307744"/>
    <n v="218498"/>
    <n v="0"/>
    <n v="341600"/>
    <n v="71400"/>
    <n v="270200"/>
    <n v="0"/>
    <n v="0"/>
    <n v="89850.625589999996"/>
    <n v="-39184.437074869042"/>
    <n v="29814.093161000001"/>
    <n v="197752.34721000001"/>
    <n v="-11375.3256255"/>
    <n v="77571.611706890006"/>
    <n v="0"/>
    <n v="0"/>
    <n v="0"/>
    <n v="22752.132631200002"/>
    <n v="3262.9604970480004"/>
    <n v="0"/>
    <n v="319800"/>
    <n v="50700"/>
    <n v="370500"/>
    <n v="8.4601873536299763E-2"/>
    <n v="0.99970000000000003"/>
    <n v="1.0088999999999999"/>
    <n v="0.99650000000000005"/>
    <n v="1.0093000000000001"/>
    <n v="0.995"/>
    <n v="0.94971499999999998"/>
    <n v="0.9588751782051762"/>
    <n v="319800"/>
    <n v="0"/>
    <n v="319800"/>
    <n v="48100"/>
    <n v="367900"/>
    <n v="0.18356772760917839"/>
    <n v="-0.32633053221288516"/>
    <n v="7.6990632318501173E-2"/>
  </r>
  <r>
    <n v="2025"/>
    <s v="18132323420    "/>
    <n v="-1.6607312068216509"/>
    <n v="0.19"/>
    <m/>
    <s v="6"/>
    <s v="RES"/>
    <x v="0"/>
    <s v="11"/>
    <s v="259"/>
    <s v="TD"/>
    <s v="F+"/>
    <s v="GD"/>
    <x v="7"/>
    <n v="75"/>
    <n v="51"/>
    <n v="1949"/>
    <n v="1973"/>
    <n v="1419"/>
    <m/>
    <n v="1419"/>
    <n v="709"/>
    <n v="710"/>
    <m/>
    <n v="2129"/>
    <n v="2500"/>
    <n v="7"/>
    <m/>
    <m/>
    <n v="120"/>
    <m/>
    <m/>
    <m/>
    <m/>
    <n v="283887"/>
    <n v="201560"/>
    <n v="0"/>
    <n v="340300"/>
    <n v="56600"/>
    <n v="283700"/>
    <n v="0"/>
    <n v="0"/>
    <n v="89850.625589999996"/>
    <n v="-52569.808201026557"/>
    <n v="0"/>
    <n v="197752.34721000001"/>
    <n v="-11375.3256255"/>
    <n v="70110.902555463006"/>
    <n v="0"/>
    <n v="0"/>
    <n v="41267.209355492996"/>
    <n v="26544.1547364"/>
    <n v="3995.4618331200004"/>
    <n v="0"/>
    <n v="328300"/>
    <n v="37300"/>
    <n v="365600"/>
    <n v="7.4346165148398466E-2"/>
    <n v="0.99970000000000003"/>
    <n v="0.99180000000000001"/>
    <n v="0.99650000000000005"/>
    <n v="0.98919999999999997"/>
    <n v="0.995"/>
    <n v="0.94971499999999998"/>
    <n v="0.92385091402956743"/>
    <n v="328300"/>
    <n v="0"/>
    <n v="328300"/>
    <n v="35400"/>
    <n v="363700"/>
    <n v="0.15720831864645751"/>
    <n v="-0.37455830388692579"/>
    <n v="6.876285630326183E-2"/>
  </r>
  <r>
    <n v="2025"/>
    <s v="18132313502    "/>
    <n v="-1.4696759700589417"/>
    <n v="0.23"/>
    <n v="9819"/>
    <s v="6"/>
    <s v="RES"/>
    <x v="0"/>
    <s v="11"/>
    <s v="259"/>
    <s v="BG"/>
    <s v="F+"/>
    <s v="FR"/>
    <x v="7"/>
    <n v="75"/>
    <n v="51"/>
    <n v="1949"/>
    <n v="1973"/>
    <n v="1144"/>
    <m/>
    <n v="1144"/>
    <n v="1027"/>
    <n v="117"/>
    <m/>
    <n v="1261"/>
    <n v="1500"/>
    <n v="5"/>
    <m/>
    <m/>
    <m/>
    <m/>
    <m/>
    <m/>
    <m/>
    <n v="229829"/>
    <n v="153985"/>
    <n v="4180"/>
    <n v="260300"/>
    <n v="63300"/>
    <n v="197000"/>
    <n v="0"/>
    <n v="0"/>
    <n v="89850.625589999996"/>
    <n v="-46522.028095997222"/>
    <n v="0"/>
    <n v="133714.53821"/>
    <n v="-11375.3256255"/>
    <n v="56523.518339287999"/>
    <n v="0"/>
    <n v="0"/>
    <n v="33269.688162567996"/>
    <n v="18960.110526"/>
    <n v="0"/>
    <n v="4200"/>
    <n v="231100"/>
    <n v="43300"/>
    <n v="278600"/>
    <n v="7.0303495966192855E-2"/>
    <n v="0.99970000000000003"/>
    <n v="0.99180000000000001"/>
    <n v="0.99329999999999996"/>
    <n v="1.0157"/>
    <n v="0.995"/>
    <n v="0.94971499999999998"/>
    <n v="0.94555407368793887"/>
    <n v="231100"/>
    <n v="4000"/>
    <n v="235100"/>
    <n v="41100"/>
    <n v="276200"/>
    <n v="0.1934010152284264"/>
    <n v="-0.35071090047393366"/>
    <n v="6.1083365347675757E-2"/>
  </r>
  <r>
    <n v="2025"/>
    <s v="18132332518    "/>
    <n v="-1.7719568419318752"/>
    <n v="0.17"/>
    <m/>
    <s v="6"/>
    <s v="RES"/>
    <x v="0"/>
    <s v="11"/>
    <s v="259"/>
    <s v="TD"/>
    <s v="A"/>
    <s v="GD"/>
    <x v="7"/>
    <n v="75"/>
    <n v="51"/>
    <n v="1949"/>
    <n v="1973"/>
    <n v="1188"/>
    <m/>
    <n v="908"/>
    <n v="0"/>
    <n v="908"/>
    <m/>
    <n v="2096"/>
    <n v="2500"/>
    <n v="7"/>
    <m/>
    <n v="288"/>
    <m/>
    <m/>
    <m/>
    <m/>
    <m/>
    <n v="298103"/>
    <n v="211653"/>
    <n v="0"/>
    <n v="334500"/>
    <n v="52700"/>
    <n v="281800"/>
    <n v="0"/>
    <n v="0"/>
    <n v="89850.625589999996"/>
    <n v="-56090.612940989391"/>
    <n v="21557.329055999999"/>
    <n v="197752.34721000001"/>
    <n v="-11375.3256255"/>
    <n v="58697.499813875998"/>
    <n v="0"/>
    <n v="0"/>
    <n v="26406.360884276"/>
    <n v="26544.1547364"/>
    <n v="0"/>
    <n v="0"/>
    <n v="319600"/>
    <n v="33800"/>
    <n v="353400"/>
    <n v="5.6502242152466367E-2"/>
    <n v="0.99970000000000003"/>
    <n v="1.0067999999999999"/>
    <n v="0.99650000000000005"/>
    <n v="0.98919999999999997"/>
    <n v="0.995"/>
    <n v="0.94971499999999998"/>
    <n v="0.93782325090236773"/>
    <n v="319600"/>
    <n v="0"/>
    <n v="319600"/>
    <n v="32100"/>
    <n v="351700"/>
    <n v="0.13413768630234207"/>
    <n v="-0.39089184060721061"/>
    <n v="5.1420029895366218E-2"/>
  </r>
  <r>
    <n v="2025"/>
    <s v="18132334413    "/>
    <n v="-1.8971199848858813"/>
    <n v="0.15"/>
    <m/>
    <s v="6"/>
    <s v="RES"/>
    <x v="0"/>
    <s v="11"/>
    <s v="259"/>
    <s v="TD"/>
    <s v="A"/>
    <s v="GD"/>
    <x v="7"/>
    <n v="75"/>
    <n v="51"/>
    <n v="1949"/>
    <n v="1973"/>
    <n v="1141"/>
    <m/>
    <n v="1141"/>
    <n v="0"/>
    <n v="1141"/>
    <m/>
    <n v="2282"/>
    <n v="2500"/>
    <n v="8"/>
    <m/>
    <m/>
    <m/>
    <m/>
    <m/>
    <m/>
    <m/>
    <n v="293817"/>
    <n v="208610"/>
    <n v="28479"/>
    <n v="364400"/>
    <n v="48400"/>
    <n v="316000"/>
    <n v="0"/>
    <n v="0"/>
    <n v="89850.625589999996"/>
    <n v="-60052.604136134301"/>
    <n v="21557.329055999999"/>
    <n v="197752.34721000001"/>
    <n v="-11375.3256255"/>
    <n v="56375.292329657001"/>
    <n v="0"/>
    <n v="0"/>
    <n v="33182.442476826996"/>
    <n v="30336.176841600001"/>
    <n v="0"/>
    <n v="28500"/>
    <n v="327800"/>
    <n v="29800"/>
    <n v="386100"/>
    <n v="5.9549945115257956E-2"/>
    <n v="0.99970000000000003"/>
    <n v="1.0067999999999999"/>
    <n v="0.99650000000000005"/>
    <n v="0.98919999999999997"/>
    <n v="0.995"/>
    <n v="0.94971499999999998"/>
    <n v="0.93782325090236773"/>
    <n v="327800"/>
    <n v="27000"/>
    <n v="354800"/>
    <n v="28300"/>
    <n v="383100"/>
    <n v="0.12278481012658228"/>
    <n v="-0.41528925619834711"/>
    <n v="5.1317233809001099E-2"/>
  </r>
  <r>
    <n v="2025"/>
    <s v="18132313534    "/>
    <n v="-1.7719568419318752"/>
    <n v="0.17"/>
    <n v="7348"/>
    <s v="6"/>
    <s v="RES"/>
    <x v="0"/>
    <s v="11"/>
    <s v="259"/>
    <s v="BG"/>
    <s v="A+"/>
    <s v="GD"/>
    <x v="7"/>
    <n v="75"/>
    <n v="51"/>
    <n v="1949"/>
    <n v="1973"/>
    <n v="1136"/>
    <m/>
    <n v="728"/>
    <n v="0"/>
    <n v="728"/>
    <m/>
    <n v="1864"/>
    <n v="2000"/>
    <n v="5"/>
    <m/>
    <m/>
    <m/>
    <m/>
    <m/>
    <m/>
    <m/>
    <n v="303213"/>
    <n v="215281"/>
    <n v="9040"/>
    <n v="336800"/>
    <n v="52700"/>
    <n v="284100"/>
    <n v="0"/>
    <n v="0"/>
    <n v="89850.625589999996"/>
    <n v="-56090.612940989391"/>
    <n v="29814.093161000001"/>
    <n v="197752.34721000001"/>
    <n v="-11375.3256255"/>
    <n v="56128.248980272001"/>
    <n v="0"/>
    <n v="0"/>
    <n v="21171.619739816"/>
    <n v="18960.110526"/>
    <n v="0"/>
    <n v="9000"/>
    <n v="312500"/>
    <n v="33800"/>
    <n v="355300"/>
    <n v="5.4928741092636582E-2"/>
    <n v="0.99970000000000003"/>
    <n v="1.0088999999999999"/>
    <n v="0.99650000000000005"/>
    <n v="1.0093000000000001"/>
    <n v="0.995"/>
    <n v="0.94971499999999998"/>
    <n v="0.9588751782051762"/>
    <n v="312500"/>
    <n v="8600"/>
    <n v="321100"/>
    <n v="32100"/>
    <n v="353200"/>
    <n v="0.13023583245336148"/>
    <n v="-0.39089184060721061"/>
    <n v="4.8693586698337295E-2"/>
  </r>
  <r>
    <n v="2025"/>
    <s v="18132332519    "/>
    <n v="-1.7719568419318752"/>
    <n v="0.17"/>
    <m/>
    <s v="6"/>
    <s v="RES"/>
    <x v="0"/>
    <s v="11"/>
    <s v="259"/>
    <s v="TD"/>
    <s v="A"/>
    <s v="AV"/>
    <x v="7"/>
    <n v="75"/>
    <n v="51"/>
    <n v="1949"/>
    <n v="1973"/>
    <n v="1340"/>
    <m/>
    <n v="1186"/>
    <n v="594"/>
    <n v="592"/>
    <m/>
    <n v="1932"/>
    <n v="2000"/>
    <n v="8"/>
    <m/>
    <m/>
    <m/>
    <m/>
    <m/>
    <m/>
    <m/>
    <n v="296016"/>
    <n v="204251"/>
    <n v="7116"/>
    <n v="325100"/>
    <n v="52700"/>
    <n v="272400"/>
    <n v="0"/>
    <n v="0"/>
    <n v="89850.625589999996"/>
    <n v="-56090.612940989391"/>
    <n v="21557.329055999999"/>
    <n v="160472.20319"/>
    <n v="-11375.3256255"/>
    <n v="66207.617635179995"/>
    <n v="0"/>
    <n v="0"/>
    <n v="34491.127762942"/>
    <n v="30336.176841600001"/>
    <n v="0"/>
    <n v="7100"/>
    <n v="301700"/>
    <n v="33800"/>
    <n v="342600"/>
    <n v="5.3829590895109199E-2"/>
    <n v="0.99970000000000003"/>
    <n v="1.0067999999999999"/>
    <n v="0.99729999999999996"/>
    <n v="1.0093000000000001"/>
    <n v="0.995"/>
    <n v="0.94971499999999998"/>
    <n v="0.957647495730095"/>
    <n v="301700"/>
    <n v="6800"/>
    <n v="308500"/>
    <n v="32100"/>
    <n v="340600"/>
    <n v="0.13252569750367107"/>
    <n v="-0.39089184060721061"/>
    <n v="4.7677637649953863E-2"/>
  </r>
  <r>
    <n v="2025"/>
    <s v="18132244439    "/>
    <n v="-1.1394342831883648"/>
    <n v="0.32"/>
    <n v="14000"/>
    <s v="6"/>
    <s v="RES"/>
    <x v="0"/>
    <s v="11"/>
    <s v="259"/>
    <s v="RN"/>
    <s v="A"/>
    <s v="AV"/>
    <x v="7"/>
    <n v="75"/>
    <n v="51"/>
    <n v="1949"/>
    <n v="1973"/>
    <n v="1560"/>
    <m/>
    <m/>
    <n v="0"/>
    <m/>
    <m/>
    <n v="1560"/>
    <n v="2000"/>
    <n v="8"/>
    <m/>
    <m/>
    <n v="224"/>
    <m/>
    <m/>
    <m/>
    <m/>
    <n v="257439"/>
    <n v="177633"/>
    <n v="9654"/>
    <n v="330600"/>
    <n v="74800"/>
    <n v="255800"/>
    <n v="0"/>
    <n v="0"/>
    <n v="89850.625589999996"/>
    <n v="-36068.354396449467"/>
    <n v="21557.329055999999"/>
    <n v="160472.20319"/>
    <n v="-11375.3256255"/>
    <n v="77077.525008120007"/>
    <n v="0"/>
    <n v="0"/>
    <n v="0"/>
    <n v="30336.176841600001"/>
    <n v="7458.1954218240007"/>
    <n v="9700"/>
    <n v="285500"/>
    <n v="53800"/>
    <n v="349000"/>
    <n v="5.5656382335148212E-2"/>
    <n v="0.99970000000000003"/>
    <n v="1.0067999999999999"/>
    <n v="0.99729999999999996"/>
    <n v="1.0093000000000001"/>
    <n v="0.995"/>
    <n v="0.94971499999999998"/>
    <n v="0.957647495730095"/>
    <n v="285500"/>
    <n v="9200"/>
    <n v="294700"/>
    <n v="51100"/>
    <n v="345800"/>
    <n v="0.15207193119624707"/>
    <n v="-0.31684491978609625"/>
    <n v="4.5977011494252873E-2"/>
  </r>
  <r>
    <n v="2025"/>
    <s v="18132332471    "/>
    <n v="-1.5141277326297755"/>
    <n v="0.22"/>
    <n v="9440"/>
    <s v="6"/>
    <s v="RES"/>
    <x v="0"/>
    <s v="11"/>
    <s v="259"/>
    <s v="TD"/>
    <s v="A"/>
    <s v="AV"/>
    <x v="7"/>
    <n v="75"/>
    <n v="51"/>
    <n v="1949"/>
    <n v="1973"/>
    <n v="1316"/>
    <m/>
    <n v="1064"/>
    <n v="264"/>
    <n v="800"/>
    <m/>
    <n v="2116"/>
    <n v="2500"/>
    <n v="9"/>
    <m/>
    <m/>
    <n v="200"/>
    <m/>
    <m/>
    <m/>
    <m/>
    <n v="297370"/>
    <n v="205185"/>
    <n v="0"/>
    <n v="333000"/>
    <n v="61700"/>
    <n v="271300"/>
    <n v="0"/>
    <n v="0"/>
    <n v="89850.625589999996"/>
    <n v="-47929.131559187132"/>
    <n v="21557.329055999999"/>
    <n v="160472.20319"/>
    <n v="-11375.3256255"/>
    <n v="65021.809558132001"/>
    <n v="0"/>
    <n v="0"/>
    <n v="30943.136542807999"/>
    <n v="34128.198946800003"/>
    <n v="6659.1030552000011"/>
    <n v="0"/>
    <n v="307400"/>
    <n v="41900"/>
    <n v="349300"/>
    <n v="4.8948948948948946E-2"/>
    <n v="0.99970000000000003"/>
    <n v="1.0067999999999999"/>
    <n v="0.99729999999999996"/>
    <n v="0.98919999999999997"/>
    <n v="0.995"/>
    <n v="0.94971499999999998"/>
    <n v="0.93857614463114025"/>
    <n v="307400"/>
    <n v="0"/>
    <n v="307400"/>
    <n v="39800"/>
    <n v="347200"/>
    <n v="0.13306302985624768"/>
    <n v="-0.35494327390599678"/>
    <n v="4.2642642642642642E-2"/>
  </r>
  <r>
    <n v="2025"/>
    <s v="18132241416    "/>
    <n v="-2.120263536200091"/>
    <n v="0.12"/>
    <n v="5288"/>
    <s v="6"/>
    <s v="RES"/>
    <x v="0"/>
    <s v="11"/>
    <s v="259"/>
    <s v="TD"/>
    <s v="A"/>
    <s v="AV"/>
    <x v="7"/>
    <n v="75"/>
    <n v="51"/>
    <n v="1949"/>
    <n v="1973"/>
    <n v="1281"/>
    <m/>
    <n v="1298"/>
    <n v="0"/>
    <n v="1298"/>
    <m/>
    <n v="2579"/>
    <n v="3000"/>
    <n v="8"/>
    <m/>
    <m/>
    <m/>
    <m/>
    <m/>
    <m/>
    <m/>
    <n v="320820"/>
    <n v="221366"/>
    <n v="7465"/>
    <n v="327800"/>
    <n v="40600"/>
    <n v="287200"/>
    <n v="0"/>
    <n v="0"/>
    <n v="89850.625589999996"/>
    <n v="-67116.12750806773"/>
    <n v="21557.329055999999"/>
    <n v="160472.20319"/>
    <n v="-11375.3256255"/>
    <n v="63292.506112437004"/>
    <n v="0"/>
    <n v="0"/>
    <n v="37748.300030605998"/>
    <n v="30336.176841600001"/>
    <n v="0"/>
    <n v="7500"/>
    <n v="302000"/>
    <n v="22700"/>
    <n v="332200"/>
    <n v="1.3422818791946308E-2"/>
    <n v="0.99970000000000003"/>
    <n v="1.0067999999999999"/>
    <n v="0.99729999999999996"/>
    <n v="0.96179999999999999"/>
    <n v="0.995"/>
    <n v="0.94971499999999998"/>
    <n v="0.91257838243654554"/>
    <n v="302000"/>
    <n v="7100"/>
    <n v="309100"/>
    <n v="21600"/>
    <n v="330700"/>
    <n v="7.6253481894150418E-2"/>
    <n v="-0.46798029556650245"/>
    <n v="8.8468578401464312E-3"/>
  </r>
  <r>
    <n v="2025"/>
    <s v="18132214537    "/>
    <n v="-1.9661128563728327"/>
    <n v="0.14000000000000001"/>
    <m/>
    <s v="6"/>
    <s v="RES"/>
    <x v="0"/>
    <s v="11"/>
    <s v="400"/>
    <s v="BG"/>
    <s v="F"/>
    <s v="AV"/>
    <x v="7"/>
    <n v="75"/>
    <n v="51"/>
    <n v="1949"/>
    <n v="1973"/>
    <n v="968"/>
    <m/>
    <n v="968"/>
    <n v="668"/>
    <n v="300"/>
    <m/>
    <n v="1268"/>
    <n v="1500"/>
    <n v="5"/>
    <n v="240"/>
    <m/>
    <m/>
    <m/>
    <m/>
    <m/>
    <m/>
    <n v="191157"/>
    <n v="131898"/>
    <n v="0"/>
    <n v="248700"/>
    <n v="46000"/>
    <n v="202700"/>
    <n v="0"/>
    <n v="0"/>
    <n v="89850.625589999996"/>
    <n v="-62236.546971921947"/>
    <n v="-43578.886190266698"/>
    <n v="160472.20319"/>
    <n v="-11375.3256255"/>
    <n v="47827.592440936001"/>
    <n v="0"/>
    <n v="0"/>
    <n v="28151.274599095999"/>
    <n v="18960.110526"/>
    <n v="0"/>
    <n v="0"/>
    <n v="200500"/>
    <n v="27600"/>
    <n v="228100"/>
    <n v="-8.2830719742661846E-2"/>
    <n v="0.99970000000000003"/>
    <n v="1"/>
    <n v="0.99729999999999996"/>
    <n v="1.0157"/>
    <n v="0.995"/>
    <n v="0.94971499999999998"/>
    <n v="0.95721093139824431"/>
    <n v="200500"/>
    <n v="0"/>
    <n v="200500"/>
    <n v="26200"/>
    <n v="226700"/>
    <n v="-1.0853478046373951E-2"/>
    <n v="-0.43043478260869567"/>
    <n v="-8.8459991958182549E-2"/>
  </r>
  <r>
    <n v="2025"/>
    <s v="18132241068    "/>
    <n v="-0.916290731874155"/>
    <n v="0.4"/>
    <n v="17639"/>
    <s v="6"/>
    <s v="RES"/>
    <x v="0"/>
    <s v="11"/>
    <s v="259"/>
    <s v="CP"/>
    <s v="G"/>
    <s v="VG"/>
    <x v="7"/>
    <n v="76"/>
    <n v="41"/>
    <n v="1948"/>
    <n v="1983"/>
    <n v="3021"/>
    <m/>
    <m/>
    <n v="0"/>
    <m/>
    <m/>
    <n v="3021"/>
    <n v="3500"/>
    <n v="13"/>
    <m/>
    <m/>
    <m/>
    <m/>
    <m/>
    <m/>
    <m/>
    <n v="585987"/>
    <n v="480509"/>
    <n v="35742"/>
    <n v="540800"/>
    <n v="82600"/>
    <n v="458200"/>
    <n v="0"/>
    <n v="0"/>
    <n v="89850.625589999996"/>
    <n v="-29004.831024516039"/>
    <n v="44121.038090000002"/>
    <n v="284810.60806"/>
    <n v="-9144.8696204999997"/>
    <n v="149263.591698417"/>
    <n v="0"/>
    <n v="0"/>
    <n v="0"/>
    <n v="49296.287367600002"/>
    <n v="0"/>
    <n v="35700"/>
    <n v="518300"/>
    <n v="60800"/>
    <n v="614800"/>
    <n v="0.13683431952662722"/>
    <n v="0.99970000000000003"/>
    <n v="0.98050000000000004"/>
    <n v="1.0158"/>
    <n v="1.0126999999999999"/>
    <n v="0.995"/>
    <n v="0.94971499999999998"/>
    <n v="0.95313187716637138"/>
    <n v="518300"/>
    <n v="33900"/>
    <n v="552200"/>
    <n v="57800"/>
    <n v="610000"/>
    <n v="0.20515058926233087"/>
    <n v="-0.30024213075060535"/>
    <n v="0.12795857988165679"/>
  </r>
  <r>
    <n v="2025"/>
    <s v="18132324477    "/>
    <n v="-1.8325814637483102"/>
    <n v="0.16"/>
    <m/>
    <s v="6"/>
    <s v="RES"/>
    <x v="0"/>
    <s v="11"/>
    <s v="259"/>
    <s v="TD"/>
    <s v="A"/>
    <s v="AV"/>
    <x v="7"/>
    <n v="76"/>
    <n v="51"/>
    <n v="1948"/>
    <n v="1973"/>
    <n v="990"/>
    <n v="396"/>
    <n v="990"/>
    <n v="990"/>
    <m/>
    <m/>
    <n v="1386"/>
    <n v="1500"/>
    <n v="5"/>
    <m/>
    <m/>
    <n v="251"/>
    <m/>
    <m/>
    <m/>
    <m/>
    <n v="243412"/>
    <n v="167954"/>
    <n v="4877"/>
    <n v="293200"/>
    <n v="50600"/>
    <n v="242600"/>
    <n v="0"/>
    <n v="0"/>
    <n v="89850.625589999996"/>
    <n v="-58009.662049032086"/>
    <n v="21557.329055999999"/>
    <n v="160472.20319"/>
    <n v="-11375.3256255"/>
    <n v="48914.583178230001"/>
    <n v="17735.423452955998"/>
    <n v="0"/>
    <n v="28791.076294529998"/>
    <n v="18960.110526"/>
    <n v="8357.1743342760001"/>
    <n v="4900"/>
    <n v="293400"/>
    <n v="31800"/>
    <n v="330100"/>
    <n v="0.12585266030013642"/>
    <n v="0.99970000000000003"/>
    <n v="1.0067999999999999"/>
    <n v="0.99729999999999996"/>
    <n v="1.0157"/>
    <n v="0.995"/>
    <n v="0.94971499999999998"/>
    <n v="0.96371996573175212"/>
    <n v="293400"/>
    <n v="4600"/>
    <n v="298000"/>
    <n v="30200"/>
    <n v="328200"/>
    <n v="0.22835943940643033"/>
    <n v="-0.40316205533596838"/>
    <n v="0.11937244201909959"/>
  </r>
  <r>
    <n v="2025"/>
    <s v="18132332475    "/>
    <n v="-1.3470736479666092"/>
    <n v="0.26"/>
    <n v="11344"/>
    <s v="6"/>
    <s v="RES"/>
    <x v="0"/>
    <s v="11"/>
    <s v="259"/>
    <s v="TD"/>
    <s v="A"/>
    <s v="GD"/>
    <x v="7"/>
    <n v="76"/>
    <n v="51"/>
    <n v="1948"/>
    <n v="1973"/>
    <n v="1353"/>
    <m/>
    <m/>
    <n v="0"/>
    <m/>
    <m/>
    <n v="1353"/>
    <n v="1500"/>
    <n v="5"/>
    <m/>
    <m/>
    <n v="324"/>
    <m/>
    <m/>
    <m/>
    <m/>
    <n v="214853"/>
    <n v="152546"/>
    <n v="17196"/>
    <n v="326800"/>
    <n v="67600"/>
    <n v="259200"/>
    <n v="0"/>
    <n v="0"/>
    <n v="89850.625589999996"/>
    <n v="-42641.098701210125"/>
    <n v="21557.329055999999"/>
    <n v="197752.34721000001"/>
    <n v="-11375.3256255"/>
    <n v="66849.930343581"/>
    <n v="0"/>
    <n v="0"/>
    <n v="0"/>
    <n v="18960.110526"/>
    <n v="10787.746949424001"/>
    <n v="17200"/>
    <n v="304500"/>
    <n v="47200"/>
    <n v="368900"/>
    <n v="0.12882496940024479"/>
    <n v="0.99970000000000003"/>
    <n v="1.0067999999999999"/>
    <n v="0.99650000000000005"/>
    <n v="1.0157"/>
    <n v="0.995"/>
    <n v="0.94971499999999998"/>
    <n v="0.96294690248840986"/>
    <n v="304500"/>
    <n v="16300"/>
    <n v="320800"/>
    <n v="44800"/>
    <n v="365600"/>
    <n v="0.23765432098765432"/>
    <n v="-0.33727810650887574"/>
    <n v="0.11872705018359853"/>
  </r>
  <r>
    <n v="2025"/>
    <s v="18132241420    "/>
    <n v="-1.6094379124341003"/>
    <n v="0.2"/>
    <n v="8616"/>
    <s v="6"/>
    <s v="RES"/>
    <x v="0"/>
    <s v="11"/>
    <s v="259"/>
    <s v="RN"/>
    <s v="A"/>
    <s v="GD"/>
    <x v="7"/>
    <n v="76"/>
    <n v="34"/>
    <n v="1948"/>
    <n v="1990"/>
    <n v="952"/>
    <m/>
    <m/>
    <n v="0"/>
    <m/>
    <m/>
    <n v="952"/>
    <n v="1000"/>
    <n v="5"/>
    <m/>
    <m/>
    <m/>
    <m/>
    <m/>
    <m/>
    <m/>
    <n v="167452"/>
    <n v="142334"/>
    <n v="0"/>
    <n v="281700"/>
    <n v="58400"/>
    <n v="223300"/>
    <n v="0"/>
    <n v="0"/>
    <n v="89850.625589999996"/>
    <n v="-50946.13867709865"/>
    <n v="21557.329055999999"/>
    <n v="197752.34721000001"/>
    <n v="-7583.5504170000004"/>
    <n v="47037.053722903998"/>
    <n v="0"/>
    <n v="0"/>
    <n v="0"/>
    <n v="18960.110526"/>
    <n v="0"/>
    <n v="0"/>
    <n v="277700"/>
    <n v="38900"/>
    <n v="316600"/>
    <n v="0.12389066382676606"/>
    <n v="0.99970000000000003"/>
    <n v="1.0067999999999999"/>
    <n v="0.99650000000000005"/>
    <n v="1.0148999999999999"/>
    <n v="0.995"/>
    <n v="0.94971499999999998"/>
    <n v="0.96218845262920827"/>
    <n v="277700"/>
    <n v="0"/>
    <n v="277700"/>
    <n v="36900"/>
    <n v="314600"/>
    <n v="0.24361845051500225"/>
    <n v="-0.36815068493150682"/>
    <n v="0.11679091231806887"/>
  </r>
  <r>
    <n v="2025"/>
    <s v="18132332523    "/>
    <n v="-1.7719568419318752"/>
    <n v="0.17"/>
    <n v="7228"/>
    <s v="6"/>
    <s v="RES"/>
    <x v="0"/>
    <s v="11"/>
    <s v="259"/>
    <s v="TD"/>
    <s v="A"/>
    <s v="GD"/>
    <x v="7"/>
    <n v="76"/>
    <n v="51"/>
    <n v="1948"/>
    <n v="1973"/>
    <n v="1128"/>
    <m/>
    <n v="567"/>
    <n v="567"/>
    <m/>
    <m/>
    <n v="1128"/>
    <n v="1500"/>
    <n v="5"/>
    <n v="315"/>
    <m/>
    <m/>
    <m/>
    <m/>
    <m/>
    <m/>
    <n v="220025"/>
    <n v="156218"/>
    <n v="0"/>
    <n v="297500"/>
    <n v="52700"/>
    <n v="244800"/>
    <n v="0"/>
    <n v="0"/>
    <n v="89850.625589999996"/>
    <n v="-56090.612940989391"/>
    <n v="21557.329055999999"/>
    <n v="197752.34721000001"/>
    <n v="-11375.3256255"/>
    <n v="55732.979621256003"/>
    <n v="0"/>
    <n v="0"/>
    <n v="16489.434605048998"/>
    <n v="18960.110526"/>
    <n v="0"/>
    <n v="0"/>
    <n v="299100"/>
    <n v="33800"/>
    <n v="332900"/>
    <n v="0.11899159663865547"/>
    <n v="0.99970000000000003"/>
    <n v="1.0067999999999999"/>
    <n v="0.99650000000000005"/>
    <n v="1.0157"/>
    <n v="0.995"/>
    <n v="0.94971499999999998"/>
    <n v="0.96294690248840986"/>
    <n v="299100"/>
    <n v="0"/>
    <n v="299100"/>
    <n v="32100"/>
    <n v="331200"/>
    <n v="0.22181372549019607"/>
    <n v="-0.39089184060721061"/>
    <n v="0.11327731092436975"/>
  </r>
  <r>
    <n v="2025"/>
    <s v="18132334525    "/>
    <n v="-1.5141277326297755"/>
    <n v="0.22"/>
    <m/>
    <s v="6"/>
    <s v="RES"/>
    <x v="0"/>
    <s v="11"/>
    <s v="259"/>
    <s v="TD"/>
    <s v="A"/>
    <s v="GD"/>
    <x v="7"/>
    <n v="76"/>
    <n v="36"/>
    <n v="1948"/>
    <n v="1988"/>
    <n v="980"/>
    <m/>
    <n v="560"/>
    <n v="280"/>
    <n v="280"/>
    <m/>
    <n v="1260"/>
    <n v="1500"/>
    <n v="5"/>
    <m/>
    <m/>
    <m/>
    <m/>
    <m/>
    <m/>
    <m/>
    <n v="200916"/>
    <n v="170779"/>
    <n v="7465"/>
    <n v="308700"/>
    <n v="61700"/>
    <n v="247000"/>
    <n v="0"/>
    <n v="0"/>
    <n v="89850.625589999996"/>
    <n v="-47929.131559187132"/>
    <n v="21557.329055999999"/>
    <n v="197752.34721000001"/>
    <n v="-8029.6416180000006"/>
    <n v="48420.496479460002"/>
    <n v="0"/>
    <n v="0"/>
    <n v="16285.861338319999"/>
    <n v="18960.110526"/>
    <n v="0"/>
    <n v="7500"/>
    <n v="294900"/>
    <n v="41900"/>
    <n v="344300"/>
    <n v="0.11532231940395206"/>
    <n v="0.99970000000000003"/>
    <n v="1.0067999999999999"/>
    <n v="0.99650000000000005"/>
    <n v="1.0157"/>
    <n v="0.995"/>
    <n v="0.94971499999999998"/>
    <n v="0.96294690248840986"/>
    <n v="294900"/>
    <n v="7100"/>
    <n v="302000"/>
    <n v="39800"/>
    <n v="341800"/>
    <n v="0.22267206477732793"/>
    <n v="-0.35494327390599678"/>
    <n v="0.10722384191771947"/>
  </r>
  <r>
    <n v="2025"/>
    <s v="18132324003    "/>
    <n v="-1.5606477482646683"/>
    <n v="0.21"/>
    <n v="9117"/>
    <s v="6"/>
    <s v="RES"/>
    <x v="0"/>
    <s v="11"/>
    <s v="259"/>
    <s v="RN"/>
    <s v="A"/>
    <s v="AV"/>
    <x v="7"/>
    <n v="76"/>
    <n v="51"/>
    <n v="1948"/>
    <n v="1973"/>
    <n v="1018"/>
    <m/>
    <n v="969"/>
    <n v="469"/>
    <n v="500"/>
    <m/>
    <n v="1518"/>
    <n v="2000"/>
    <n v="8"/>
    <n v="234"/>
    <m/>
    <n v="540"/>
    <m/>
    <m/>
    <m/>
    <m/>
    <n v="259137"/>
    <n v="178805"/>
    <n v="0"/>
    <n v="303500"/>
    <n v="60100"/>
    <n v="243400"/>
    <n v="0"/>
    <n v="0"/>
    <n v="89850.625589999996"/>
    <n v="-49401.70477837498"/>
    <n v="21557.329055999999"/>
    <n v="160472.20319"/>
    <n v="-11375.3256255"/>
    <n v="50298.025934786005"/>
    <n v="0"/>
    <n v="0"/>
    <n v="28180.356494342999"/>
    <n v="30336.176841600001"/>
    <n v="17979.578249040002"/>
    <n v="0"/>
    <n v="297400"/>
    <n v="40400"/>
    <n v="337800"/>
    <n v="0.11301482701812191"/>
    <n v="0.99970000000000003"/>
    <n v="1.0067999999999999"/>
    <n v="0.99729999999999996"/>
    <n v="1.0093000000000001"/>
    <n v="0.995"/>
    <n v="0.94971499999999998"/>
    <n v="0.957647495730095"/>
    <n v="297400"/>
    <n v="0"/>
    <n v="297400"/>
    <n v="38400"/>
    <n v="335800"/>
    <n v="0.2218570254724733"/>
    <n v="-0.36106489184692181"/>
    <n v="0.10642504118616145"/>
  </r>
  <r>
    <n v="2025"/>
    <s v="18132211011    "/>
    <n v="-1.5606477482646683"/>
    <n v="0.21"/>
    <n v="9244"/>
    <s v="6"/>
    <s v="RES"/>
    <x v="0"/>
    <s v="11"/>
    <s v="259"/>
    <s v="TD"/>
    <s v="A+"/>
    <s v="GD"/>
    <x v="7"/>
    <n v="76"/>
    <n v="51"/>
    <n v="1948"/>
    <n v="1973"/>
    <n v="1066"/>
    <m/>
    <n v="1066"/>
    <n v="0"/>
    <n v="1066"/>
    <m/>
    <n v="2132"/>
    <n v="2500"/>
    <n v="8"/>
    <m/>
    <m/>
    <n v="388"/>
    <m/>
    <m/>
    <m/>
    <m/>
    <n v="331032"/>
    <n v="235033"/>
    <n v="9040"/>
    <n v="359800"/>
    <n v="60100"/>
    <n v="299700"/>
    <n v="0"/>
    <n v="0"/>
    <n v="89850.625589999996"/>
    <n v="-49401.70477837498"/>
    <n v="29814.093161000001"/>
    <n v="197752.34721000001"/>
    <n v="-11375.3256255"/>
    <n v="52669.642088881999"/>
    <n v="0"/>
    <n v="0"/>
    <n v="31001.300333301999"/>
    <n v="30336.176841600001"/>
    <n v="12918.659927088001"/>
    <n v="9000"/>
    <n v="343100"/>
    <n v="40400"/>
    <n v="392500"/>
    <n v="9.0883824346859363E-2"/>
    <n v="0.99970000000000003"/>
    <n v="1.0088999999999999"/>
    <n v="0.99650000000000005"/>
    <n v="0.98919999999999997"/>
    <n v="0.995"/>
    <n v="0.94971499999999998"/>
    <n v="0.93977937806455991"/>
    <n v="343100"/>
    <n v="8600"/>
    <n v="351700"/>
    <n v="38400"/>
    <n v="390100"/>
    <n v="0.17350684017350684"/>
    <n v="-0.36106489184692181"/>
    <n v="8.4213451917732079E-2"/>
  </r>
  <r>
    <n v="2025"/>
    <s v="18132331463    "/>
    <n v="-1.6607312068216509"/>
    <n v="0.19"/>
    <m/>
    <s v="6"/>
    <s v="RES"/>
    <x v="0"/>
    <s v="11"/>
    <s v="259"/>
    <s v="TD"/>
    <s v="A"/>
    <s v="GD"/>
    <x v="7"/>
    <n v="76"/>
    <n v="51"/>
    <n v="1948"/>
    <n v="1973"/>
    <n v="1260"/>
    <m/>
    <m/>
    <n v="0"/>
    <m/>
    <m/>
    <n v="1260"/>
    <n v="1500"/>
    <n v="5"/>
    <m/>
    <m/>
    <m/>
    <m/>
    <m/>
    <m/>
    <m/>
    <n v="235808"/>
    <n v="167424"/>
    <n v="0"/>
    <n v="299700"/>
    <n v="56600"/>
    <n v="243100"/>
    <n v="0"/>
    <n v="0"/>
    <n v="89850.625589999996"/>
    <n v="-52569.808201026557"/>
    <n v="21557.329055999999"/>
    <n v="197752.34721000001"/>
    <n v="-11375.3256255"/>
    <n v="62254.924045020001"/>
    <n v="0"/>
    <n v="0"/>
    <n v="0"/>
    <n v="18960.110526"/>
    <n v="0"/>
    <n v="0"/>
    <n v="289100"/>
    <n v="37300"/>
    <n v="326400"/>
    <n v="8.9089089089089094E-2"/>
    <n v="0.99970000000000003"/>
    <n v="1.0067999999999999"/>
    <n v="0.99650000000000005"/>
    <n v="1.0157"/>
    <n v="0.995"/>
    <n v="0.94971499999999998"/>
    <n v="0.96294690248840986"/>
    <n v="289100"/>
    <n v="0"/>
    <n v="289100"/>
    <n v="35400"/>
    <n v="324500"/>
    <n v="0.18922254216371864"/>
    <n v="-0.37455830388692579"/>
    <n v="8.2749416082749411E-2"/>
  </r>
  <r>
    <n v="2025"/>
    <s v="18132334484    "/>
    <n v="-1.6094379124341003"/>
    <n v="0.2"/>
    <m/>
    <s v="6"/>
    <s v="RES"/>
    <x v="0"/>
    <s v="11"/>
    <s v="259"/>
    <s v="TD"/>
    <s v="G"/>
    <s v="GD"/>
    <x v="7"/>
    <n v="76"/>
    <n v="51"/>
    <n v="1948"/>
    <n v="1973"/>
    <n v="1569"/>
    <m/>
    <n v="1569"/>
    <n v="784"/>
    <n v="785"/>
    <m/>
    <n v="2354"/>
    <n v="2500"/>
    <n v="11"/>
    <m/>
    <m/>
    <m/>
    <m/>
    <m/>
    <m/>
    <m/>
    <n v="489477"/>
    <n v="347529"/>
    <n v="12721"/>
    <n v="412600"/>
    <n v="58400"/>
    <n v="354200"/>
    <n v="0"/>
    <n v="0"/>
    <n v="89850.625589999996"/>
    <n v="-50946.13867709865"/>
    <n v="44121.038090000002"/>
    <n v="197752.34721000001"/>
    <n v="-11375.3256255"/>
    <n v="77522.203037013009"/>
    <n v="0"/>
    <n v="0"/>
    <n v="45629.493642542999"/>
    <n v="41712.243157199999"/>
    <n v="0"/>
    <n v="12700"/>
    <n v="395400"/>
    <n v="38900"/>
    <n v="447000"/>
    <n v="8.3373727581192436E-2"/>
    <n v="0.99970000000000003"/>
    <n v="0.98050000000000004"/>
    <n v="0.99650000000000005"/>
    <n v="0.98919999999999997"/>
    <n v="0.995"/>
    <n v="0.94971499999999998"/>
    <n v="0.91332508691872449"/>
    <n v="395400"/>
    <n v="12100"/>
    <n v="407500"/>
    <n v="36900"/>
    <n v="444400"/>
    <n v="0.15047995482778093"/>
    <n v="-0.36815068493150682"/>
    <n v="7.7072224915172086E-2"/>
  </r>
  <r>
    <n v="2025"/>
    <s v="18132333459    "/>
    <n v="-1.7719568419318752"/>
    <n v="0.17"/>
    <n v="7199"/>
    <s v="6"/>
    <s v="RES"/>
    <x v="0"/>
    <s v="11"/>
    <s v="259"/>
    <s v="RN"/>
    <s v="A"/>
    <s v="GD"/>
    <x v="7"/>
    <n v="76"/>
    <n v="51"/>
    <n v="1948"/>
    <n v="1973"/>
    <n v="1346"/>
    <m/>
    <m/>
    <n v="0"/>
    <m/>
    <m/>
    <n v="1346"/>
    <n v="1500"/>
    <n v="8"/>
    <n v="332"/>
    <m/>
    <m/>
    <m/>
    <m/>
    <m/>
    <m/>
    <n v="239925"/>
    <n v="170347"/>
    <n v="0"/>
    <n v="313600"/>
    <n v="52700"/>
    <n v="260900"/>
    <n v="0"/>
    <n v="0"/>
    <n v="89850.625589999996"/>
    <n v="-56090.612940989391"/>
    <n v="21557.329055999999"/>
    <n v="197752.34721000001"/>
    <n v="-11375.3256255"/>
    <n v="66504.069654442006"/>
    <n v="0"/>
    <n v="0"/>
    <n v="0"/>
    <n v="30336.176841600001"/>
    <n v="0"/>
    <n v="0"/>
    <n v="304800"/>
    <n v="33800"/>
    <n v="338600"/>
    <n v="7.9719387755102039E-2"/>
    <n v="0.99970000000000003"/>
    <n v="1.0067999999999999"/>
    <n v="0.99650000000000005"/>
    <n v="1.0157"/>
    <n v="0.995"/>
    <n v="0.94971499999999998"/>
    <n v="0.96294690248840986"/>
    <n v="304800"/>
    <n v="0"/>
    <n v="304800"/>
    <n v="32100"/>
    <n v="336900"/>
    <n v="0.16826370256803372"/>
    <n v="-0.39089184060721061"/>
    <n v="7.4298469387755098E-2"/>
  </r>
  <r>
    <n v="2025"/>
    <s v="18132324012    "/>
    <n v="-1.7147984280919266"/>
    <n v="0.18"/>
    <m/>
    <s v="6"/>
    <s v="RES"/>
    <x v="0"/>
    <s v="11"/>
    <s v="259"/>
    <s v="TD"/>
    <s v="A+"/>
    <s v="GD"/>
    <x v="7"/>
    <n v="76"/>
    <n v="51"/>
    <n v="1948"/>
    <n v="1973"/>
    <n v="814"/>
    <m/>
    <n v="814"/>
    <n v="114"/>
    <n v="700"/>
    <m/>
    <n v="1514"/>
    <n v="2000"/>
    <n v="8"/>
    <m/>
    <m/>
    <m/>
    <m/>
    <m/>
    <m/>
    <m/>
    <n v="243325"/>
    <n v="172761"/>
    <n v="6050"/>
    <n v="326000"/>
    <n v="54700"/>
    <n v="271300"/>
    <n v="0"/>
    <n v="0"/>
    <n v="89850.625589999996"/>
    <n v="-54281.285314520763"/>
    <n v="29814.093161000001"/>
    <n v="197752.34721000001"/>
    <n v="-11375.3256255"/>
    <n v="40218.657279878003"/>
    <n v="0"/>
    <n v="0"/>
    <n v="23672.662731057997"/>
    <n v="30336.176841600001"/>
    <n v="0"/>
    <n v="6100"/>
    <n v="310400"/>
    <n v="35600"/>
    <n v="352100"/>
    <n v="8.006134969325153E-2"/>
    <n v="0.99970000000000003"/>
    <n v="1.0088999999999999"/>
    <n v="0.99650000000000005"/>
    <n v="1.0093000000000001"/>
    <n v="0.995"/>
    <n v="0.94971499999999998"/>
    <n v="0.9588751782051762"/>
    <n v="310400"/>
    <n v="5700"/>
    <n v="316100"/>
    <n v="33800"/>
    <n v="349900"/>
    <n v="0.16513085145595283"/>
    <n v="-0.38208409506398539"/>
    <n v="7.3312883435582815E-2"/>
  </r>
  <r>
    <n v="2025"/>
    <s v="18132241013    "/>
    <n v="-1.8971199848858813"/>
    <n v="0.15"/>
    <n v="6475"/>
    <s v="6"/>
    <s v="RES"/>
    <x v="0"/>
    <s v="11"/>
    <s v="259"/>
    <s v="TD"/>
    <s v="A"/>
    <s v="AV"/>
    <x v="7"/>
    <n v="76"/>
    <n v="51"/>
    <n v="1948"/>
    <n v="1973"/>
    <n v="1179"/>
    <m/>
    <m/>
    <n v="0"/>
    <m/>
    <m/>
    <n v="1179"/>
    <n v="1500"/>
    <n v="8"/>
    <n v="279"/>
    <m/>
    <n v="172"/>
    <m/>
    <m/>
    <m/>
    <m/>
    <n v="220867"/>
    <n v="152398"/>
    <n v="2621"/>
    <n v="276500"/>
    <n v="48400"/>
    <n v="228100"/>
    <n v="0"/>
    <n v="0"/>
    <n v="89850.625589999996"/>
    <n v="-60052.604136134301"/>
    <n v="21557.329055999999"/>
    <n v="160472.20319"/>
    <n v="-11375.3256255"/>
    <n v="58252.821784983003"/>
    <n v="0"/>
    <n v="0"/>
    <n v="0"/>
    <n v="30336.176841600001"/>
    <n v="5726.8286274720003"/>
    <n v="2600"/>
    <n v="265000"/>
    <n v="29800"/>
    <n v="297400"/>
    <n v="7.5587703435804704E-2"/>
    <n v="0.99970000000000003"/>
    <n v="1.0067999999999999"/>
    <n v="0.99729999999999996"/>
    <n v="1.0157"/>
    <n v="0.995"/>
    <n v="0.94971499999999998"/>
    <n v="0.96371996573175212"/>
    <n v="265000"/>
    <n v="2500"/>
    <n v="267500"/>
    <n v="28300"/>
    <n v="295800"/>
    <n v="0.17273125822007893"/>
    <n v="-0.41528925619834711"/>
    <n v="6.9801084990958412E-2"/>
  </r>
  <r>
    <n v="2025"/>
    <s v="18132331017    "/>
    <n v="-1.7719568419318752"/>
    <n v="0.17"/>
    <n v="7238"/>
    <s v="6"/>
    <s v="RES"/>
    <x v="0"/>
    <s v="11"/>
    <s v="259"/>
    <s v="RN"/>
    <s v="G"/>
    <s v="AV"/>
    <x v="7"/>
    <n v="76"/>
    <n v="51"/>
    <n v="1948"/>
    <n v="1973"/>
    <n v="1048"/>
    <m/>
    <n v="357"/>
    <n v="0"/>
    <n v="357"/>
    <m/>
    <n v="1405"/>
    <n v="1500"/>
    <n v="5"/>
    <m/>
    <m/>
    <n v="180"/>
    <m/>
    <m/>
    <m/>
    <m/>
    <n v="305967"/>
    <n v="211117"/>
    <n v="9557"/>
    <n v="301400"/>
    <n v="52700"/>
    <n v="248700"/>
    <n v="0"/>
    <n v="0"/>
    <n v="89850.625589999996"/>
    <n v="-56090.612940989391"/>
    <n v="44121.038090000002"/>
    <n v="160472.20319"/>
    <n v="-11375.3256255"/>
    <n v="51780.286031096002"/>
    <n v="0"/>
    <n v="0"/>
    <n v="10382.236603178999"/>
    <n v="18960.110526"/>
    <n v="5993.1927496800008"/>
    <n v="9600"/>
    <n v="280300"/>
    <n v="33800"/>
    <n v="323700"/>
    <n v="7.3988055739880557E-2"/>
    <n v="0.99970000000000003"/>
    <n v="0.98050000000000004"/>
    <n v="0.99729999999999996"/>
    <n v="1.0157"/>
    <n v="0.995"/>
    <n v="0.94971499999999998"/>
    <n v="0.93854531823597842"/>
    <n v="280300"/>
    <n v="9100"/>
    <n v="289400"/>
    <n v="32100"/>
    <n v="321500"/>
    <n v="0.1636509851226377"/>
    <n v="-0.39089184060721061"/>
    <n v="6.6688785666887851E-2"/>
  </r>
  <r>
    <n v="2025"/>
    <s v="18132331026    "/>
    <n v="-1.8971199848858813"/>
    <n v="0.15"/>
    <m/>
    <s v="6"/>
    <s v="RES"/>
    <x v="0"/>
    <s v="11"/>
    <s v="259"/>
    <s v="TD"/>
    <s v="A"/>
    <s v="GD"/>
    <x v="7"/>
    <n v="76"/>
    <n v="51"/>
    <n v="1948"/>
    <n v="1973"/>
    <n v="1044"/>
    <m/>
    <n v="786"/>
    <n v="0"/>
    <n v="786"/>
    <m/>
    <n v="1830"/>
    <n v="2000"/>
    <n v="8"/>
    <n v="300"/>
    <m/>
    <m/>
    <m/>
    <m/>
    <m/>
    <m/>
    <n v="264347"/>
    <n v="187686"/>
    <n v="0"/>
    <n v="322400"/>
    <n v="48400"/>
    <n v="274000"/>
    <n v="0"/>
    <n v="0"/>
    <n v="89850.625589999996"/>
    <n v="-60052.604136134301"/>
    <n v="21557.329055999999"/>
    <n v="197752.34721000001"/>
    <n v="-11375.3256255"/>
    <n v="51582.651351588"/>
    <n v="0"/>
    <n v="0"/>
    <n v="22858.369664141999"/>
    <n v="30336.176841600001"/>
    <n v="0"/>
    <n v="0"/>
    <n v="312700"/>
    <n v="29800"/>
    <n v="342500"/>
    <n v="6.2344913151364763E-2"/>
    <n v="0.99970000000000003"/>
    <n v="1.0067999999999999"/>
    <n v="0.99650000000000005"/>
    <n v="1.0093000000000001"/>
    <n v="0.995"/>
    <n v="0.94971499999999998"/>
    <n v="0.95687930361479956"/>
    <n v="312700"/>
    <n v="0"/>
    <n v="312700"/>
    <n v="28300"/>
    <n v="341000"/>
    <n v="0.14124087591240875"/>
    <n v="-0.41528925619834711"/>
    <n v="5.7692307692307696E-2"/>
  </r>
  <r>
    <n v="2025"/>
    <s v="18132313511    "/>
    <n v="-1.8325814637483102"/>
    <n v="0.16"/>
    <n v="7001"/>
    <s v="6"/>
    <s v="RES"/>
    <x v="0"/>
    <s v="11"/>
    <s v="400"/>
    <s v="BG"/>
    <s v="A"/>
    <s v="GD"/>
    <x v="7"/>
    <n v="76"/>
    <n v="51"/>
    <n v="1948"/>
    <n v="1973"/>
    <n v="1101"/>
    <m/>
    <n v="672"/>
    <n v="21"/>
    <n v="651"/>
    <m/>
    <n v="1752"/>
    <n v="2000"/>
    <n v="5"/>
    <m/>
    <m/>
    <m/>
    <m/>
    <m/>
    <m/>
    <m/>
    <n v="253231"/>
    <n v="179794"/>
    <n v="7728"/>
    <n v="321300"/>
    <n v="50600"/>
    <n v="270700"/>
    <n v="0"/>
    <n v="0"/>
    <n v="89850.625589999996"/>
    <n v="-58009.662049032086"/>
    <n v="21557.329055999999"/>
    <n v="197752.34721000001"/>
    <n v="-11375.3256255"/>
    <n v="54398.945534577004"/>
    <n v="0"/>
    <n v="0"/>
    <n v="19543.033605983997"/>
    <n v="18960.110526"/>
    <n v="0"/>
    <n v="7700"/>
    <n v="300800"/>
    <n v="31800"/>
    <n v="340300"/>
    <n v="5.9134765017117959E-2"/>
    <n v="0.99970000000000003"/>
    <n v="1.0067999999999999"/>
    <n v="0.99650000000000005"/>
    <n v="1.0093000000000001"/>
    <n v="0.995"/>
    <n v="0.94971499999999998"/>
    <n v="0.95687930361479956"/>
    <n v="300800"/>
    <n v="7300"/>
    <n v="308100"/>
    <n v="30200"/>
    <n v="338300"/>
    <n v="0.13816032508311785"/>
    <n v="-0.40316205533596838"/>
    <n v="5.2910052910052907E-2"/>
  </r>
  <r>
    <n v="2025"/>
    <s v="18132334498    "/>
    <n v="-1.6607312068216509"/>
    <n v="0.19"/>
    <m/>
    <s v="6"/>
    <s v="RES"/>
    <x v="0"/>
    <s v="11"/>
    <s v="259"/>
    <s v="RN"/>
    <s v="G"/>
    <s v="GD"/>
    <x v="7"/>
    <n v="76"/>
    <n v="51"/>
    <n v="1948"/>
    <n v="1973"/>
    <n v="1088"/>
    <m/>
    <n v="1088"/>
    <n v="88"/>
    <n v="1000"/>
    <m/>
    <n v="2088"/>
    <n v="2500"/>
    <n v="8"/>
    <n v="228"/>
    <m/>
    <m/>
    <m/>
    <m/>
    <m/>
    <m/>
    <n v="407090"/>
    <n v="289034"/>
    <n v="13816"/>
    <n v="375300"/>
    <n v="56600"/>
    <n v="318700"/>
    <n v="0"/>
    <n v="0"/>
    <n v="89850.625589999996"/>
    <n v="-52569.808201026557"/>
    <n v="44121.038090000002"/>
    <n v="197752.34721000001"/>
    <n v="-11375.3256255"/>
    <n v="53756.632826175999"/>
    <n v="0"/>
    <n v="0"/>
    <n v="31641.102028735997"/>
    <n v="30336.176841600001"/>
    <n v="0"/>
    <n v="13800"/>
    <n v="346200"/>
    <n v="37300"/>
    <n v="397300"/>
    <n v="5.861977084998668E-2"/>
    <n v="0.99970000000000003"/>
    <n v="0.98050000000000004"/>
    <n v="0.99650000000000005"/>
    <n v="0.98919999999999997"/>
    <n v="0.995"/>
    <n v="0.94971499999999998"/>
    <n v="0.91332508691872449"/>
    <n v="346200"/>
    <n v="13100"/>
    <n v="359300"/>
    <n v="35400"/>
    <n v="394700"/>
    <n v="0.12739253216190774"/>
    <n v="-0.37455830388692579"/>
    <n v="5.1691979749533705E-2"/>
  </r>
  <r>
    <n v="2025"/>
    <s v="18132324431    "/>
    <n v="-1.5606477482646683"/>
    <n v="0.21"/>
    <m/>
    <s v="6"/>
    <s v="RES"/>
    <x v="0"/>
    <s v="11"/>
    <s v="259"/>
    <s v="TD"/>
    <s v="A+"/>
    <s v="GD"/>
    <x v="7"/>
    <n v="76"/>
    <n v="51"/>
    <n v="1948"/>
    <n v="1973"/>
    <n v="1006"/>
    <m/>
    <n v="1006"/>
    <n v="0"/>
    <n v="1006"/>
    <m/>
    <n v="2012"/>
    <n v="2500"/>
    <n v="8"/>
    <m/>
    <m/>
    <m/>
    <m/>
    <m/>
    <m/>
    <m/>
    <n v="297851"/>
    <n v="211474"/>
    <n v="4877"/>
    <n v="350600"/>
    <n v="60100"/>
    <n v="290500"/>
    <n v="0"/>
    <n v="0"/>
    <n v="89850.625589999996"/>
    <n v="-49401.70477837498"/>
    <n v="29814.093161000001"/>
    <n v="197752.34721000001"/>
    <n v="-11375.3256255"/>
    <n v="49705.121896262004"/>
    <n v="0"/>
    <n v="0"/>
    <n v="29256.386618482"/>
    <n v="30336.176841600001"/>
    <n v="0"/>
    <n v="4900"/>
    <n v="325500"/>
    <n v="40400"/>
    <n v="370800"/>
    <n v="5.7615516257843696E-2"/>
    <n v="0.99970000000000003"/>
    <n v="1.0088999999999999"/>
    <n v="0.99650000000000005"/>
    <n v="0.98919999999999997"/>
    <n v="0.995"/>
    <n v="0.94971499999999998"/>
    <n v="0.93977937806455991"/>
    <n v="325500"/>
    <n v="4600"/>
    <n v="330100"/>
    <n v="38400"/>
    <n v="368500"/>
    <n v="0.13631669535283994"/>
    <n v="-0.36106489184692181"/>
    <n v="5.1055333713633771E-2"/>
  </r>
  <r>
    <n v="2025"/>
    <s v="18132241428    "/>
    <n v="-1.6094379124341003"/>
    <n v="0.2"/>
    <n v="8519"/>
    <s v="6"/>
    <s v="RES"/>
    <x v="0"/>
    <s v="11"/>
    <s v="259"/>
    <s v="BG"/>
    <s v="G"/>
    <s v="AV"/>
    <x v="7"/>
    <n v="76"/>
    <n v="51"/>
    <n v="1948"/>
    <n v="1973"/>
    <n v="1561"/>
    <n v="663"/>
    <n v="640"/>
    <n v="480"/>
    <n v="160"/>
    <m/>
    <n v="2384"/>
    <n v="2500"/>
    <n v="10"/>
    <m/>
    <m/>
    <m/>
    <m/>
    <m/>
    <m/>
    <m/>
    <n v="517301"/>
    <n v="356938"/>
    <n v="18452"/>
    <n v="391500"/>
    <n v="58400"/>
    <n v="333100"/>
    <n v="0"/>
    <n v="0"/>
    <n v="89850.625589999996"/>
    <n v="-50946.13867709865"/>
    <n v="44121.038090000002"/>
    <n v="160472.20319"/>
    <n v="-11375.3256255"/>
    <n v="77126.933677997004"/>
    <n v="29693.398356842998"/>
    <n v="0"/>
    <n v="18612.41295808"/>
    <n v="37920.221052000001"/>
    <n v="0"/>
    <n v="18500"/>
    <n v="356600"/>
    <n v="38900"/>
    <n v="414000"/>
    <n v="5.7471264367816091E-2"/>
    <n v="0.99970000000000003"/>
    <n v="0.98050000000000004"/>
    <n v="0.99729999999999996"/>
    <n v="0.98919999999999997"/>
    <n v="0.995"/>
    <n v="0.94971499999999998"/>
    <n v="0.91405831328052556"/>
    <n v="356600"/>
    <n v="17500"/>
    <n v="374100"/>
    <n v="36900"/>
    <n v="411000"/>
    <n v="0.12308616031221856"/>
    <n v="-0.36815068493150682"/>
    <n v="4.9808429118773943E-2"/>
  </r>
  <r>
    <n v="2025"/>
    <s v="18132331466    "/>
    <n v="-1.6607312068216509"/>
    <n v="0.19"/>
    <m/>
    <s v="6"/>
    <s v="RES"/>
    <x v="0"/>
    <s v="11"/>
    <s v="259"/>
    <s v="RN"/>
    <s v="A"/>
    <s v="GD"/>
    <x v="7"/>
    <n v="76"/>
    <n v="51"/>
    <n v="1948"/>
    <n v="1973"/>
    <n v="1156"/>
    <m/>
    <n v="969"/>
    <n v="9"/>
    <n v="960"/>
    <m/>
    <n v="2116"/>
    <n v="2500"/>
    <n v="5"/>
    <m/>
    <m/>
    <m/>
    <m/>
    <m/>
    <m/>
    <m/>
    <n v="272462"/>
    <n v="193448"/>
    <n v="9040"/>
    <n v="339300"/>
    <n v="56600"/>
    <n v="282700"/>
    <n v="0"/>
    <n v="0"/>
    <n v="89850.625589999996"/>
    <n v="-52569.808201026557"/>
    <n v="21557.329055999999"/>
    <n v="197752.34721000001"/>
    <n v="-11375.3256255"/>
    <n v="57116.422377811999"/>
    <n v="0"/>
    <n v="0"/>
    <n v="28180.356494342999"/>
    <n v="18960.110526"/>
    <n v="0"/>
    <n v="9000"/>
    <n v="312200"/>
    <n v="37300"/>
    <n v="358500"/>
    <n v="5.6587091069849688E-2"/>
    <n v="0.99970000000000003"/>
    <n v="1.0067999999999999"/>
    <n v="0.99650000000000005"/>
    <n v="0.98919999999999997"/>
    <n v="0.995"/>
    <n v="0.94971499999999998"/>
    <n v="0.93782325090236773"/>
    <n v="312200"/>
    <n v="8600"/>
    <n v="320800"/>
    <n v="35400"/>
    <n v="356200"/>
    <n v="0.13477184294304917"/>
    <n v="-0.37455830388692579"/>
    <n v="4.9808429118773943E-2"/>
  </r>
  <r>
    <n v="2025"/>
    <s v="18132241419    "/>
    <n v="-1.5606477482646683"/>
    <n v="0.21"/>
    <n v="9132"/>
    <s v="6"/>
    <s v="RES"/>
    <x v="0"/>
    <s v="11"/>
    <s v="259"/>
    <s v="CO"/>
    <s v="G"/>
    <s v="AV"/>
    <x v="7"/>
    <n v="76"/>
    <n v="51"/>
    <n v="1948"/>
    <n v="1973"/>
    <n v="1482"/>
    <n v="784"/>
    <n v="1589"/>
    <n v="1351"/>
    <n v="238"/>
    <m/>
    <n v="2504"/>
    <n v="3000"/>
    <n v="8"/>
    <n v="400"/>
    <m/>
    <m/>
    <m/>
    <m/>
    <m/>
    <m/>
    <n v="526801"/>
    <n v="363493"/>
    <n v="0"/>
    <n v="397000"/>
    <n v="60100"/>
    <n v="336900"/>
    <n v="0"/>
    <n v="0"/>
    <n v="89850.625589999996"/>
    <n v="-49401.70477837498"/>
    <n v="44121.038090000002"/>
    <n v="160472.20319"/>
    <n v="-11375.3256255"/>
    <n v="73223.648757714007"/>
    <n v="35112.555523023999"/>
    <n v="0"/>
    <n v="46211.131547482997"/>
    <n v="30336.176841600001"/>
    <n v="0"/>
    <n v="0"/>
    <n v="378100"/>
    <n v="40400"/>
    <n v="418500"/>
    <n v="5.4156171284634763E-2"/>
    <n v="0.99970000000000003"/>
    <n v="0.98050000000000004"/>
    <n v="0.99729999999999996"/>
    <n v="0.96179999999999999"/>
    <n v="0.995"/>
    <n v="0.94971499999999998"/>
    <n v="0.88873967419451028"/>
    <n v="378100"/>
    <n v="0"/>
    <n v="378100"/>
    <n v="38400"/>
    <n v="416500"/>
    <n v="0.12229148115167705"/>
    <n v="-0.36106489184692181"/>
    <n v="4.9118387909319897E-2"/>
  </r>
  <r>
    <n v="2025"/>
    <s v="18132331471    "/>
    <n v="-1.5606477482646683"/>
    <n v="0.21"/>
    <m/>
    <s v="6"/>
    <s v="RES"/>
    <x v="0"/>
    <s v="11"/>
    <s v="259"/>
    <s v="RN"/>
    <s v="A+"/>
    <s v="GD"/>
    <x v="7"/>
    <n v="76"/>
    <n v="51"/>
    <n v="1948"/>
    <n v="1973"/>
    <n v="1441"/>
    <m/>
    <n v="1441"/>
    <n v="441"/>
    <n v="1000"/>
    <m/>
    <n v="2441"/>
    <n v="2500"/>
    <n v="8"/>
    <m/>
    <m/>
    <m/>
    <m/>
    <m/>
    <m/>
    <m/>
    <n v="390088"/>
    <n v="276962"/>
    <n v="9718"/>
    <n v="388200"/>
    <n v="60100"/>
    <n v="328100"/>
    <n v="0"/>
    <n v="0"/>
    <n v="89850.625589999996"/>
    <n v="-49401.70477837498"/>
    <n v="29814.093161000001"/>
    <n v="197752.34721000001"/>
    <n v="-11375.3256255"/>
    <n v="71197.893292756999"/>
    <n v="0"/>
    <n v="0"/>
    <n v="41907.011050926994"/>
    <n v="30336.176841600001"/>
    <n v="0"/>
    <n v="9700"/>
    <n v="359600"/>
    <n v="40400"/>
    <n v="409700"/>
    <n v="5.5383822771767129E-2"/>
    <n v="0.99970000000000003"/>
    <n v="1.0088999999999999"/>
    <n v="0.99650000000000005"/>
    <n v="0.98919999999999997"/>
    <n v="0.995"/>
    <n v="0.94971499999999998"/>
    <n v="0.93977937806455991"/>
    <n v="359600"/>
    <n v="9200"/>
    <n v="368800"/>
    <n v="38400"/>
    <n v="407200"/>
    <n v="0.12404754647973179"/>
    <n v="-0.36106489184692181"/>
    <n v="4.8943843379701188E-2"/>
  </r>
  <r>
    <n v="2025"/>
    <s v="18132334471    "/>
    <n v="-1.7719568419318752"/>
    <n v="0.17"/>
    <m/>
    <s v="6"/>
    <s v="RES"/>
    <x v="0"/>
    <s v="11"/>
    <s v="259"/>
    <s v="RN"/>
    <s v="G"/>
    <s v="AV"/>
    <x v="7"/>
    <n v="76"/>
    <n v="51"/>
    <n v="1948"/>
    <n v="1973"/>
    <n v="1152"/>
    <m/>
    <n v="648"/>
    <n v="0"/>
    <n v="648"/>
    <m/>
    <n v="1800"/>
    <n v="2000"/>
    <n v="8"/>
    <m/>
    <n v="450"/>
    <n v="171"/>
    <m/>
    <m/>
    <m/>
    <m/>
    <n v="394524"/>
    <n v="272222"/>
    <n v="0"/>
    <n v="321400"/>
    <n v="52700"/>
    <n v="268700"/>
    <n v="0"/>
    <n v="0"/>
    <n v="89850.625589999996"/>
    <n v="-56090.612940989391"/>
    <n v="44121.038090000002"/>
    <n v="160472.20319"/>
    <n v="-11375.3256255"/>
    <n v="56918.787698304004"/>
    <n v="0"/>
    <n v="0"/>
    <n v="18845.068120055999"/>
    <n v="30336.176841600001"/>
    <n v="5693.5331121960007"/>
    <n v="0"/>
    <n v="305000"/>
    <n v="33800"/>
    <n v="338800"/>
    <n v="5.4138145612943375E-2"/>
    <n v="0.99970000000000003"/>
    <n v="0.98050000000000004"/>
    <n v="0.99729999999999996"/>
    <n v="1.0093000000000001"/>
    <n v="0.995"/>
    <n v="0.94971499999999998"/>
    <n v="0.93263147552975589"/>
    <n v="305000"/>
    <n v="0"/>
    <n v="305000"/>
    <n v="32100"/>
    <n v="337100"/>
    <n v="0.13509490137700036"/>
    <n v="-0.39089184060721061"/>
    <n v="4.8848786558805229E-2"/>
  </r>
  <r>
    <n v="2025"/>
    <s v="18132244481    "/>
    <n v="-1.3470736479666092"/>
    <n v="0.26"/>
    <n v="11127"/>
    <s v="6"/>
    <s v="RES"/>
    <x v="0"/>
    <s v="11"/>
    <s v="259"/>
    <s v="CP"/>
    <s v="G"/>
    <s v="GD"/>
    <x v="7"/>
    <n v="76"/>
    <n v="51"/>
    <n v="1948"/>
    <n v="1973"/>
    <n v="1600"/>
    <m/>
    <n v="1601"/>
    <n v="544"/>
    <n v="1057"/>
    <m/>
    <n v="2657"/>
    <n v="3000"/>
    <n v="12"/>
    <m/>
    <m/>
    <m/>
    <m/>
    <m/>
    <m/>
    <m/>
    <n v="529798"/>
    <n v="376157"/>
    <n v="13177"/>
    <n v="437800"/>
    <n v="67600"/>
    <n v="370200"/>
    <n v="0"/>
    <n v="0"/>
    <n v="89850.625589999996"/>
    <n v="-42641.098701210125"/>
    <n v="44121.038090000002"/>
    <n v="197752.34721000001"/>
    <n v="-11375.3256255"/>
    <n v="79053.871803200003"/>
    <n v="0"/>
    <n v="0"/>
    <n v="46560.114290446996"/>
    <n v="45504.265262400004"/>
    <n v="0"/>
    <n v="13200"/>
    <n v="401600"/>
    <n v="47200"/>
    <n v="462000"/>
    <n v="5.5276381909547742E-2"/>
    <n v="0.99970000000000003"/>
    <n v="0.98050000000000004"/>
    <n v="0.99650000000000005"/>
    <n v="0.96179999999999999"/>
    <n v="0.995"/>
    <n v="0.94971499999999998"/>
    <n v="0.88802675758029637"/>
    <n v="401600"/>
    <n v="12500"/>
    <n v="414100"/>
    <n v="44800"/>
    <n v="458900"/>
    <n v="0.11858454889249055"/>
    <n v="-0.33727810650887574"/>
    <n v="4.8195523069894927E-2"/>
  </r>
  <r>
    <n v="2025"/>
    <s v="18132331027    "/>
    <n v="-1.0788096613719298"/>
    <n v="0.34"/>
    <n v="14906"/>
    <s v="6"/>
    <s v="RES"/>
    <x v="0"/>
    <s v="11"/>
    <s v="259"/>
    <s v="RN"/>
    <s v="G"/>
    <s v="AV"/>
    <x v="7"/>
    <n v="76"/>
    <n v="51"/>
    <n v="1948"/>
    <n v="1973"/>
    <n v="1361"/>
    <m/>
    <n v="1025"/>
    <n v="1025"/>
    <m/>
    <m/>
    <n v="1361"/>
    <n v="1500"/>
    <n v="5"/>
    <m/>
    <m/>
    <m/>
    <m/>
    <m/>
    <m/>
    <m/>
    <n v="383915"/>
    <n v="264901"/>
    <n v="0"/>
    <n v="345500"/>
    <n v="76900"/>
    <n v="268600"/>
    <n v="0"/>
    <n v="0"/>
    <n v="89850.625589999996"/>
    <n v="-34149.305288406773"/>
    <n v="44121.038090000002"/>
    <n v="160472.20319"/>
    <n v="-11375.3256255"/>
    <n v="67245.199702597005"/>
    <n v="0"/>
    <n v="0"/>
    <n v="29808.942628174998"/>
    <n v="18960.110526"/>
    <n v="0"/>
    <n v="0"/>
    <n v="309200"/>
    <n v="55700"/>
    <n v="364900"/>
    <n v="5.615050651230101E-2"/>
    <n v="0.99970000000000003"/>
    <n v="0.98050000000000004"/>
    <n v="0.99729999999999996"/>
    <n v="1.0157"/>
    <n v="0.995"/>
    <n v="0.94971499999999998"/>
    <n v="0.93854531823597842"/>
    <n v="309200"/>
    <n v="0"/>
    <n v="309200"/>
    <n v="52900"/>
    <n v="362100"/>
    <n v="0.15115413253909157"/>
    <n v="-0.31209362808842656"/>
    <n v="4.8046309696092616E-2"/>
  </r>
  <r>
    <n v="2025"/>
    <s v="18132331461    "/>
    <n v="-1.7719568419318752"/>
    <n v="0.17"/>
    <m/>
    <s v="6"/>
    <s v="RES"/>
    <x v="0"/>
    <s v="11"/>
    <s v="259"/>
    <s v="TD"/>
    <s v="A"/>
    <s v="AV"/>
    <x v="7"/>
    <n v="76"/>
    <n v="51"/>
    <n v="1948"/>
    <n v="1973"/>
    <n v="1033"/>
    <m/>
    <m/>
    <n v="0"/>
    <m/>
    <m/>
    <n v="1033"/>
    <n v="1500"/>
    <n v="5"/>
    <m/>
    <m/>
    <m/>
    <m/>
    <m/>
    <m/>
    <m/>
    <n v="177949"/>
    <n v="122785"/>
    <n v="6599"/>
    <n v="266500"/>
    <n v="52700"/>
    <n v="213800"/>
    <n v="0"/>
    <n v="0"/>
    <n v="89850.625589999996"/>
    <n v="-56090.612940989391"/>
    <n v="21557.329055999999"/>
    <n v="160472.20319"/>
    <n v="-11375.3256255"/>
    <n v="51039.155982941003"/>
    <n v="0"/>
    <n v="0"/>
    <n v="0"/>
    <n v="18960.110526"/>
    <n v="0"/>
    <n v="6600"/>
    <n v="240700"/>
    <n v="33800"/>
    <n v="281100"/>
    <n v="5.478424015009381E-2"/>
    <n v="0.99970000000000003"/>
    <n v="1.0067999999999999"/>
    <n v="0.99729999999999996"/>
    <n v="1.0157"/>
    <n v="0.995"/>
    <n v="0.94971499999999998"/>
    <n v="0.96371996573175212"/>
    <n v="240700"/>
    <n v="6300"/>
    <n v="247000"/>
    <n v="32100"/>
    <n v="279100"/>
    <n v="0.15528531337698784"/>
    <n v="-0.39089184060721061"/>
    <n v="4.7279549718574107E-2"/>
  </r>
  <r>
    <n v="2025"/>
    <s v="18132323419    "/>
    <n v="-1.3470736479666092"/>
    <n v="0.26"/>
    <m/>
    <s v="6"/>
    <s v="RES"/>
    <x v="0"/>
    <s v="11"/>
    <s v="259"/>
    <s v="TD"/>
    <s v="A"/>
    <s v="AV"/>
    <x v="7"/>
    <n v="76"/>
    <n v="51"/>
    <n v="1948"/>
    <n v="1973"/>
    <n v="978"/>
    <m/>
    <n v="978"/>
    <n v="489"/>
    <n v="489"/>
    <m/>
    <n v="1467"/>
    <n v="1500"/>
    <n v="8"/>
    <m/>
    <m/>
    <m/>
    <m/>
    <m/>
    <m/>
    <m/>
    <n v="239175"/>
    <n v="165031"/>
    <n v="0"/>
    <n v="309000"/>
    <n v="67600"/>
    <n v="241400"/>
    <n v="0"/>
    <n v="0"/>
    <n v="89850.625589999996"/>
    <n v="-42641.098701210125"/>
    <n v="21557.329055999999"/>
    <n v="160472.20319"/>
    <n v="-11375.3256255"/>
    <n v="48321.679139706001"/>
    <n v="0"/>
    <n v="0"/>
    <n v="28442.093551565998"/>
    <n v="30336.176841600001"/>
    <n v="0"/>
    <n v="0"/>
    <n v="277800"/>
    <n v="47200"/>
    <n v="325000"/>
    <n v="5.1779935275080909E-2"/>
    <n v="0.99970000000000003"/>
    <n v="1.0067999999999999"/>
    <n v="0.99729999999999996"/>
    <n v="1.0157"/>
    <n v="0.995"/>
    <n v="0.94971499999999998"/>
    <n v="0.96371996573175212"/>
    <n v="277800"/>
    <n v="0"/>
    <n v="277800"/>
    <n v="44800"/>
    <n v="322600"/>
    <n v="0.1507870753935377"/>
    <n v="-0.33727810650887574"/>
    <n v="4.4012944983818768E-2"/>
  </r>
  <r>
    <n v="2025"/>
    <s v="18132332454    "/>
    <n v="-1.6607312068216509"/>
    <n v="0.19"/>
    <m/>
    <s v="6"/>
    <s v="RES"/>
    <x v="0"/>
    <s v="11"/>
    <s v="259"/>
    <s v="RN"/>
    <s v="G"/>
    <s v="AV"/>
    <x v="7"/>
    <n v="76"/>
    <n v="51"/>
    <n v="1948"/>
    <n v="1973"/>
    <n v="1482"/>
    <m/>
    <m/>
    <n v="0"/>
    <m/>
    <m/>
    <n v="1482"/>
    <n v="1500"/>
    <n v="8"/>
    <n v="288"/>
    <m/>
    <m/>
    <m/>
    <m/>
    <m/>
    <m/>
    <n v="354954"/>
    <n v="244918"/>
    <n v="0"/>
    <n v="318200"/>
    <n v="56600"/>
    <n v="261600"/>
    <n v="0"/>
    <n v="0"/>
    <n v="89850.625589999996"/>
    <n v="-52569.808201026557"/>
    <n v="44121.038090000002"/>
    <n v="160472.20319"/>
    <n v="-11375.3256255"/>
    <n v="73223.648757714007"/>
    <n v="0"/>
    <n v="0"/>
    <n v="0"/>
    <n v="30336.176841600001"/>
    <n v="0"/>
    <n v="0"/>
    <n v="296800"/>
    <n v="37300"/>
    <n v="334100"/>
    <n v="4.9968573224387178E-2"/>
    <n v="0.99970000000000003"/>
    <n v="0.98050000000000004"/>
    <n v="0.99729999999999996"/>
    <n v="1.0157"/>
    <n v="0.995"/>
    <n v="0.94971499999999998"/>
    <n v="0.93854531823597842"/>
    <n v="296800"/>
    <n v="0"/>
    <n v="296800"/>
    <n v="35400"/>
    <n v="332200"/>
    <n v="0.13455657492354739"/>
    <n v="-0.37455830388692579"/>
    <n v="4.3997485857950977E-2"/>
  </r>
  <r>
    <n v="2025"/>
    <s v="18132343011    "/>
    <n v="-1.7147984280919266"/>
    <n v="0.18"/>
    <n v="7965"/>
    <s v="6"/>
    <s v="RES"/>
    <x v="0"/>
    <s v="11"/>
    <s v="259"/>
    <s v="CO"/>
    <s v="A"/>
    <s v="AV"/>
    <x v="7"/>
    <n v="76"/>
    <n v="51"/>
    <n v="1948"/>
    <n v="1973"/>
    <n v="1909"/>
    <n v="1094"/>
    <n v="342"/>
    <n v="342"/>
    <m/>
    <m/>
    <n v="3003"/>
    <n v="3500"/>
    <n v="8"/>
    <m/>
    <m/>
    <n v="115"/>
    <m/>
    <m/>
    <m/>
    <m/>
    <n v="406208"/>
    <n v="280284"/>
    <n v="0"/>
    <n v="375900"/>
    <n v="54700"/>
    <n v="321200"/>
    <n v="0"/>
    <n v="0"/>
    <n v="89850.625589999996"/>
    <n v="-54281.285314520763"/>
    <n v="21557.329055999999"/>
    <n v="160472.20319"/>
    <n v="-11375.3256255"/>
    <n v="94321.150795192996"/>
    <n v="48996.346609934"/>
    <n v="0"/>
    <n v="9946.008174474"/>
    <n v="30336.176841600001"/>
    <n v="3828.9842567400005"/>
    <n v="0"/>
    <n v="358100"/>
    <n v="35600"/>
    <n v="393700"/>
    <n v="4.7353019420058526E-2"/>
    <n v="0.99970000000000003"/>
    <n v="1.0067999999999999"/>
    <n v="0.99729999999999996"/>
    <n v="1.0126999999999999"/>
    <n v="0.995"/>
    <n v="0.94971499999999998"/>
    <n v="0.96087349541847533"/>
    <n v="358100"/>
    <n v="0"/>
    <n v="358100"/>
    <n v="33800"/>
    <n v="391900"/>
    <n v="0.11488169364881694"/>
    <n v="-0.38208409506398539"/>
    <n v="4.2564511838254854E-2"/>
  </r>
  <r>
    <n v="2025"/>
    <s v="18132323426    "/>
    <n v="-1.7719568419318752"/>
    <n v="0.17"/>
    <m/>
    <s v="6"/>
    <s v="RES"/>
    <x v="0"/>
    <s v="11"/>
    <s v="259"/>
    <s v="TD"/>
    <s v="F+"/>
    <s v="FR"/>
    <x v="7"/>
    <n v="76"/>
    <n v="51"/>
    <n v="1948"/>
    <n v="1973"/>
    <n v="912"/>
    <m/>
    <m/>
    <n v="0"/>
    <m/>
    <m/>
    <n v="912"/>
    <n v="1000"/>
    <n v="5"/>
    <m/>
    <m/>
    <m/>
    <m/>
    <m/>
    <m/>
    <m/>
    <n v="146896"/>
    <n v="98420"/>
    <n v="6482"/>
    <n v="215600"/>
    <n v="52700"/>
    <n v="162900"/>
    <n v="0"/>
    <n v="0"/>
    <n v="89850.625589999996"/>
    <n v="-56090.612940989391"/>
    <n v="0"/>
    <n v="133714.53821"/>
    <n v="-11375.3256255"/>
    <n v="45060.706927824001"/>
    <n v="0"/>
    <n v="0"/>
    <n v="0"/>
    <n v="18960.110526"/>
    <n v="0"/>
    <n v="6500"/>
    <n v="186400"/>
    <n v="33800"/>
    <n v="226700"/>
    <n v="5.1484230055658629E-2"/>
    <n v="0.99970000000000003"/>
    <n v="0.99180000000000001"/>
    <n v="0.99329999999999996"/>
    <n v="1.0148999999999999"/>
    <n v="0.995"/>
    <n v="0.94971499999999998"/>
    <n v="0.94480932301456044"/>
    <n v="186400"/>
    <n v="6200"/>
    <n v="192600"/>
    <n v="32100"/>
    <n v="224700"/>
    <n v="0.18232044198895028"/>
    <n v="-0.39089184060721061"/>
    <n v="4.2207792207792208E-2"/>
  </r>
  <r>
    <n v="2025"/>
    <s v="18132323433    "/>
    <n v="-1.6607312068216509"/>
    <n v="0.19"/>
    <m/>
    <s v="6"/>
    <s v="RES"/>
    <x v="0"/>
    <s v="11"/>
    <s v="259"/>
    <s v="TD"/>
    <s v="A"/>
    <s v="AV"/>
    <x v="7"/>
    <n v="76"/>
    <n v="51"/>
    <n v="1948"/>
    <n v="1973"/>
    <n v="1048"/>
    <m/>
    <n v="1048"/>
    <n v="524"/>
    <n v="524"/>
    <m/>
    <n v="1572"/>
    <n v="2000"/>
    <n v="8"/>
    <m/>
    <m/>
    <m/>
    <m/>
    <m/>
    <m/>
    <m/>
    <n v="238882"/>
    <n v="164829"/>
    <n v="13937"/>
    <n v="318600"/>
    <n v="56600"/>
    <n v="262000"/>
    <n v="0"/>
    <n v="0"/>
    <n v="89850.625589999996"/>
    <n v="-52569.808201026557"/>
    <n v="21557.329055999999"/>
    <n v="160472.20319"/>
    <n v="-11375.3256255"/>
    <n v="51780.286031096002"/>
    <n v="0"/>
    <n v="0"/>
    <n v="30477.826218856"/>
    <n v="30336.176841600001"/>
    <n v="0"/>
    <n v="13900"/>
    <n v="283200"/>
    <n v="37300"/>
    <n v="334400"/>
    <n v="4.9591964846202131E-2"/>
    <n v="0.99970000000000003"/>
    <n v="1.0067999999999999"/>
    <n v="0.99729999999999996"/>
    <n v="1.0093000000000001"/>
    <n v="0.995"/>
    <n v="0.94971499999999998"/>
    <n v="0.957647495730095"/>
    <n v="283200"/>
    <n v="13200"/>
    <n v="296400"/>
    <n v="35400"/>
    <n v="331800"/>
    <n v="0.13129770992366413"/>
    <n v="-0.37455830388692579"/>
    <n v="4.1431261770244823E-2"/>
  </r>
  <r>
    <n v="2025"/>
    <s v="18132333019    "/>
    <n v="-1.5606477482646683"/>
    <n v="0.21"/>
    <m/>
    <s v="6"/>
    <s v="RES"/>
    <x v="0"/>
    <s v="11"/>
    <s v="259"/>
    <s v="CO"/>
    <s v="A"/>
    <s v="AV"/>
    <x v="7"/>
    <n v="76"/>
    <n v="51"/>
    <n v="1948"/>
    <n v="1973"/>
    <n v="1449"/>
    <n v="540"/>
    <n v="280"/>
    <n v="280"/>
    <m/>
    <m/>
    <n v="1989"/>
    <n v="2000"/>
    <n v="5"/>
    <m/>
    <m/>
    <m/>
    <m/>
    <m/>
    <m/>
    <m/>
    <n v="295087"/>
    <n v="203610"/>
    <n v="1669"/>
    <n v="320300"/>
    <n v="60100"/>
    <n v="260200"/>
    <n v="0"/>
    <n v="0"/>
    <n v="89850.625589999996"/>
    <n v="-49401.70477837498"/>
    <n v="21557.329055999999"/>
    <n v="160472.20319"/>
    <n v="-11375.3256255"/>
    <n v="71593.162651773004"/>
    <n v="24184.668344940001"/>
    <n v="0"/>
    <n v="8142.9306691599995"/>
    <n v="18960.110526"/>
    <n v="0"/>
    <n v="1700"/>
    <n v="293500"/>
    <n v="40400"/>
    <n v="335600"/>
    <n v="4.7767717764595694E-2"/>
    <n v="0.99970000000000003"/>
    <n v="1.0067999999999999"/>
    <n v="0.99729999999999996"/>
    <n v="1.0093000000000001"/>
    <n v="0.995"/>
    <n v="0.94971499999999998"/>
    <n v="0.957647495730095"/>
    <n v="293500"/>
    <n v="1600"/>
    <n v="295100"/>
    <n v="38400"/>
    <n v="333500"/>
    <n v="0.13412759415833975"/>
    <n v="-0.36106489184692181"/>
    <n v="4.1211364345925691E-2"/>
  </r>
  <r>
    <n v="2025"/>
    <s v="18132334475    "/>
    <n v="-1.7719568419318752"/>
    <n v="0.17"/>
    <m/>
    <s v="6"/>
    <s v="RES"/>
    <x v="0"/>
    <s v="11"/>
    <s v="259"/>
    <s v="TD"/>
    <s v="A"/>
    <s v="FR"/>
    <x v="7"/>
    <n v="76"/>
    <n v="51"/>
    <n v="1948"/>
    <n v="1973"/>
    <n v="1074"/>
    <m/>
    <n v="1074"/>
    <n v="306"/>
    <n v="768"/>
    <m/>
    <n v="1842"/>
    <n v="2000"/>
    <n v="7"/>
    <n v="240"/>
    <m/>
    <m/>
    <m/>
    <m/>
    <m/>
    <m/>
    <n v="274036"/>
    <n v="183604"/>
    <n v="0"/>
    <n v="275700"/>
    <n v="52700"/>
    <n v="223000"/>
    <n v="0"/>
    <n v="0"/>
    <n v="89850.625589999996"/>
    <n v="-56090.612940989391"/>
    <n v="21557.329055999999"/>
    <n v="133714.53821"/>
    <n v="-11375.3256255"/>
    <n v="53064.911447898005"/>
    <n v="0"/>
    <n v="0"/>
    <n v="31233.955495277998"/>
    <n v="26544.1547364"/>
    <n v="0"/>
    <n v="0"/>
    <n v="254700"/>
    <n v="33800"/>
    <n v="288500"/>
    <n v="4.6427276024664489E-2"/>
    <n v="0.99970000000000003"/>
    <n v="1.0067999999999999"/>
    <n v="0.99329999999999996"/>
    <n v="1.0093000000000001"/>
    <n v="0.995"/>
    <n v="0.94971499999999998"/>
    <n v="0.95380653515361813"/>
    <n v="254700"/>
    <n v="0"/>
    <n v="254700"/>
    <n v="32100"/>
    <n v="286800"/>
    <n v="0.142152466367713"/>
    <n v="-0.39089184060721061"/>
    <n v="4.0261153427638738E-2"/>
  </r>
  <r>
    <n v="2025"/>
    <s v="18132241439    "/>
    <n v="-1.6094379124341003"/>
    <n v="0.2"/>
    <n v="8680"/>
    <s v="6"/>
    <s v="RES"/>
    <x v="0"/>
    <s v="11"/>
    <s v="259"/>
    <s v="TD"/>
    <s v="A+"/>
    <s v="AV"/>
    <x v="7"/>
    <n v="76"/>
    <n v="51"/>
    <n v="1948"/>
    <n v="1973"/>
    <n v="1269"/>
    <m/>
    <n v="1259"/>
    <n v="659"/>
    <n v="600"/>
    <m/>
    <n v="1869"/>
    <n v="2000"/>
    <n v="9"/>
    <m/>
    <m/>
    <m/>
    <m/>
    <m/>
    <m/>
    <m/>
    <n v="351800"/>
    <n v="242742"/>
    <n v="6724"/>
    <n v="342400"/>
    <n v="58400"/>
    <n v="284000"/>
    <n v="0"/>
    <n v="0"/>
    <n v="89850.625589999996"/>
    <n v="-50946.13867709865"/>
    <n v="29814.093161000001"/>
    <n v="160472.20319"/>
    <n v="-11375.3256255"/>
    <n v="62699.602073913004"/>
    <n v="0"/>
    <n v="0"/>
    <n v="36614.106115973002"/>
    <n v="34128.198946800003"/>
    <n v="0"/>
    <n v="6700"/>
    <n v="312400"/>
    <n v="38900"/>
    <n v="358000"/>
    <n v="4.55607476635514E-2"/>
    <n v="0.99970000000000003"/>
    <n v="1.0088999999999999"/>
    <n v="0.99729999999999996"/>
    <n v="1.0093000000000001"/>
    <n v="0.995"/>
    <n v="0.94971499999999998"/>
    <n v="0.9596449726282209"/>
    <n v="312400"/>
    <n v="6400"/>
    <n v="318800"/>
    <n v="36900"/>
    <n v="355700"/>
    <n v="0.12253521126760564"/>
    <n v="-0.36815068493150682"/>
    <n v="3.8843457943925234E-2"/>
  </r>
  <r>
    <n v="2025"/>
    <s v="18132243481    "/>
    <n v="-0.96758402626170559"/>
    <n v="0.38"/>
    <n v="16727"/>
    <s v="6"/>
    <s v="RES"/>
    <x v="0"/>
    <s v="11"/>
    <s v="259"/>
    <s v="TD"/>
    <s v="A"/>
    <s v="AV"/>
    <x v="7"/>
    <n v="76"/>
    <n v="51"/>
    <n v="1948"/>
    <n v="1973"/>
    <n v="1479"/>
    <m/>
    <n v="961"/>
    <n v="711"/>
    <n v="250"/>
    <m/>
    <n v="1729"/>
    <n v="2000"/>
    <n v="9"/>
    <m/>
    <n v="500"/>
    <m/>
    <m/>
    <m/>
    <m/>
    <m/>
    <n v="318343"/>
    <n v="219657"/>
    <n v="0"/>
    <n v="348800"/>
    <n v="80800"/>
    <n v="268000"/>
    <n v="0"/>
    <n v="0"/>
    <n v="89850.625589999996"/>
    <n v="-30628.500548443946"/>
    <n v="21557.329055999999"/>
    <n v="160472.20319"/>
    <n v="-11375.3256255"/>
    <n v="73075.422748083001"/>
    <n v="0"/>
    <n v="0"/>
    <n v="27947.701332367"/>
    <n v="34128.198946800003"/>
    <n v="0"/>
    <n v="0"/>
    <n v="305800"/>
    <n v="59200"/>
    <n v="365000"/>
    <n v="4.6444954128440366E-2"/>
    <n v="0.99970000000000003"/>
    <n v="1.0067999999999999"/>
    <n v="0.99729999999999996"/>
    <n v="1.0093000000000001"/>
    <n v="0.995"/>
    <n v="0.94971499999999998"/>
    <n v="0.957647495730095"/>
    <n v="305800"/>
    <n v="0"/>
    <n v="305800"/>
    <n v="56200"/>
    <n v="362000"/>
    <n v="0.141044776119403"/>
    <n v="-0.30445544554455445"/>
    <n v="3.7844036697247709E-2"/>
  </r>
  <r>
    <n v="2025"/>
    <s v="18132324536    "/>
    <n v="-1.6094379124341003"/>
    <n v="0.2"/>
    <m/>
    <s v="6"/>
    <s v="RES"/>
    <x v="0"/>
    <s v="11"/>
    <s v="259"/>
    <s v="TD"/>
    <s v="A+"/>
    <s v="AV"/>
    <x v="7"/>
    <n v="76"/>
    <n v="51"/>
    <n v="1948"/>
    <n v="1973"/>
    <n v="1601"/>
    <m/>
    <n v="1601"/>
    <n v="800"/>
    <n v="801"/>
    <m/>
    <n v="2402"/>
    <n v="2500"/>
    <n v="8"/>
    <m/>
    <m/>
    <m/>
    <m/>
    <m/>
    <m/>
    <m/>
    <n v="384062"/>
    <n v="265003"/>
    <n v="9040"/>
    <n v="366700"/>
    <n v="58400"/>
    <n v="308300"/>
    <n v="0"/>
    <n v="0"/>
    <n v="89850.625589999996"/>
    <n v="-50946.13867709865"/>
    <n v="29814.093161000001"/>
    <n v="160472.20319"/>
    <n v="-11375.3256255"/>
    <n v="79103.280473077"/>
    <n v="0"/>
    <n v="0"/>
    <n v="46560.114290446996"/>
    <n v="30336.176841600001"/>
    <n v="0"/>
    <n v="9000"/>
    <n v="334900"/>
    <n v="38900"/>
    <n v="382800"/>
    <n v="4.3905099536405784E-2"/>
    <n v="0.99970000000000003"/>
    <n v="1.0088999999999999"/>
    <n v="0.99729999999999996"/>
    <n v="0.98919999999999997"/>
    <n v="0.995"/>
    <n v="0.94971499999999998"/>
    <n v="0.94053384219145564"/>
    <n v="334900"/>
    <n v="8600"/>
    <n v="343500"/>
    <n v="36900"/>
    <n v="380400"/>
    <n v="0.11417450535192994"/>
    <n v="-0.36815068493150682"/>
    <n v="3.7360239978183801E-2"/>
  </r>
  <r>
    <n v="2025"/>
    <s v="18132331462    "/>
    <n v="-1.7147984280919266"/>
    <n v="0.18"/>
    <m/>
    <s v="6"/>
    <s v="RES"/>
    <x v="0"/>
    <s v="11"/>
    <s v="259"/>
    <s v="TD"/>
    <s v="A"/>
    <s v="AV"/>
    <x v="7"/>
    <n v="76"/>
    <n v="51"/>
    <n v="1948"/>
    <n v="1973"/>
    <n v="950"/>
    <m/>
    <n v="950"/>
    <n v="200"/>
    <n v="750"/>
    <m/>
    <n v="1700"/>
    <n v="2000"/>
    <n v="9"/>
    <m/>
    <m/>
    <m/>
    <m/>
    <m/>
    <m/>
    <m/>
    <n v="239263"/>
    <n v="165091"/>
    <n v="5261"/>
    <n v="308600"/>
    <n v="54700"/>
    <n v="253900"/>
    <n v="0"/>
    <n v="0"/>
    <n v="89850.625589999996"/>
    <n v="-54281.285314520763"/>
    <n v="21557.329055999999"/>
    <n v="160472.20319"/>
    <n v="-11375.3256255"/>
    <n v="46938.236383150004"/>
    <n v="0"/>
    <n v="0"/>
    <n v="27627.800484649997"/>
    <n v="34128.198946800003"/>
    <n v="0"/>
    <n v="5300"/>
    <n v="279300"/>
    <n v="35600"/>
    <n v="320200"/>
    <n v="3.7589112119248216E-2"/>
    <n v="0.99970000000000003"/>
    <n v="1.0067999999999999"/>
    <n v="0.99729999999999996"/>
    <n v="1.0093000000000001"/>
    <n v="0.995"/>
    <n v="0.94971499999999998"/>
    <n v="0.957647495730095"/>
    <n v="279300"/>
    <n v="5000"/>
    <n v="284300"/>
    <n v="33800"/>
    <n v="318100"/>
    <n v="0.11973217802284364"/>
    <n v="-0.38208409506398539"/>
    <n v="3.0784186649384315E-2"/>
  </r>
  <r>
    <n v="2025"/>
    <s v="18132332499    "/>
    <n v="-1.6094379124341003"/>
    <n v="0.2"/>
    <m/>
    <s v="6"/>
    <s v="RES"/>
    <x v="0"/>
    <s v="11"/>
    <s v="259"/>
    <s v="RN"/>
    <s v="A"/>
    <s v="AV"/>
    <x v="7"/>
    <n v="76"/>
    <n v="51"/>
    <n v="1948"/>
    <n v="1973"/>
    <n v="1428"/>
    <m/>
    <m/>
    <n v="0"/>
    <m/>
    <m/>
    <n v="1428"/>
    <n v="1500"/>
    <n v="8"/>
    <m/>
    <m/>
    <m/>
    <m/>
    <m/>
    <m/>
    <m/>
    <n v="247435"/>
    <n v="170730"/>
    <n v="27250"/>
    <n v="325100"/>
    <n v="58400"/>
    <n v="266700"/>
    <n v="0"/>
    <n v="0"/>
    <n v="89850.625589999996"/>
    <n v="-50946.13867709865"/>
    <n v="21557.329055999999"/>
    <n v="160472.20319"/>
    <n v="-11375.3256255"/>
    <n v="70555.580584356008"/>
    <n v="0"/>
    <n v="0"/>
    <n v="0"/>
    <n v="30336.176841600001"/>
    <n v="0"/>
    <n v="27300"/>
    <n v="271500"/>
    <n v="38900"/>
    <n v="337700"/>
    <n v="3.8757305444478619E-2"/>
    <n v="0.99970000000000003"/>
    <n v="1.0067999999999999"/>
    <n v="0.99729999999999996"/>
    <n v="1.0157"/>
    <n v="0.995"/>
    <n v="0.94971499999999998"/>
    <n v="0.96371996573175212"/>
    <n v="271500"/>
    <n v="25900"/>
    <n v="297400"/>
    <n v="36900"/>
    <n v="334300"/>
    <n v="0.1151106111736033"/>
    <n v="-0.36815068493150682"/>
    <n v="2.829898492771455E-2"/>
  </r>
  <r>
    <n v="2025"/>
    <s v="18132243470    "/>
    <n v="-1.7147984280919266"/>
    <n v="0.18"/>
    <n v="7917"/>
    <s v="6"/>
    <s v="RES"/>
    <x v="0"/>
    <s v="11"/>
    <s v="259"/>
    <s v="RN"/>
    <s v="A"/>
    <s v="AV"/>
    <x v="7"/>
    <n v="76"/>
    <n v="51"/>
    <n v="1948"/>
    <n v="1973"/>
    <n v="1364"/>
    <m/>
    <m/>
    <n v="0"/>
    <m/>
    <m/>
    <n v="1364"/>
    <n v="1500"/>
    <n v="5"/>
    <m/>
    <m/>
    <m/>
    <m/>
    <m/>
    <m/>
    <m/>
    <n v="223257"/>
    <n v="154047"/>
    <n v="0"/>
    <n v="284600"/>
    <n v="54700"/>
    <n v="229900"/>
    <n v="0"/>
    <n v="0"/>
    <n v="89850.625589999996"/>
    <n v="-54281.285314520763"/>
    <n v="21557.329055999999"/>
    <n v="160472.20319"/>
    <n v="-11375.3256255"/>
    <n v="67393.425712227996"/>
    <n v="0"/>
    <n v="0"/>
    <n v="0"/>
    <n v="18960.110526"/>
    <n v="0"/>
    <n v="0"/>
    <n v="257000"/>
    <n v="35600"/>
    <n v="292600"/>
    <n v="2.8109627547434995E-2"/>
    <n v="0.99970000000000003"/>
    <n v="1.0067999999999999"/>
    <n v="0.99729999999999996"/>
    <n v="1.0157"/>
    <n v="0.995"/>
    <n v="0.94971499999999998"/>
    <n v="0.96371996573175212"/>
    <n v="257000"/>
    <n v="0"/>
    <n v="257000"/>
    <n v="33800"/>
    <n v="290800"/>
    <n v="0.11787733797303175"/>
    <n v="-0.38208409506398539"/>
    <n v="2.1784961349262121E-2"/>
  </r>
  <r>
    <n v="2025"/>
    <s v="18132322431    "/>
    <n v="-1.6094379124341003"/>
    <n v="0.2"/>
    <n v="8640"/>
    <s v="6"/>
    <s v="RES"/>
    <x v="0"/>
    <s v="11"/>
    <s v="259"/>
    <s v="RN"/>
    <s v="F+"/>
    <s v="AV"/>
    <x v="7"/>
    <n v="76"/>
    <n v="51"/>
    <n v="1948"/>
    <n v="1973"/>
    <n v="1220"/>
    <m/>
    <n v="100"/>
    <n v="0"/>
    <n v="100"/>
    <m/>
    <n v="1320"/>
    <n v="1500"/>
    <n v="5"/>
    <m/>
    <m/>
    <m/>
    <m/>
    <m/>
    <m/>
    <m/>
    <n v="188730"/>
    <n v="130224"/>
    <n v="0"/>
    <n v="263100"/>
    <n v="58400"/>
    <n v="204700"/>
    <n v="0"/>
    <n v="0"/>
    <n v="89850.625589999996"/>
    <n v="-50946.13867709865"/>
    <n v="0"/>
    <n v="160472.20319"/>
    <n v="-11375.3256255"/>
    <n v="60278.577249940005"/>
    <n v="0"/>
    <n v="0"/>
    <n v="2908.1895246999998"/>
    <n v="18960.110526"/>
    <n v="0"/>
    <n v="0"/>
    <n v="231200"/>
    <n v="38900"/>
    <n v="270100"/>
    <n v="2.6605853287723299E-2"/>
    <n v="0.99970000000000003"/>
    <n v="0.99180000000000001"/>
    <n v="0.99729999999999996"/>
    <n v="1.0157"/>
    <n v="0.995"/>
    <n v="0.94971499999999998"/>
    <n v="0.94936180176077878"/>
    <n v="231200"/>
    <n v="0"/>
    <n v="231200"/>
    <n v="36900"/>
    <n v="268100"/>
    <n v="0.12945774303859306"/>
    <n v="-0.36815068493150682"/>
    <n v="1.9004180919802355E-2"/>
  </r>
  <r>
    <n v="2025"/>
    <s v="18132324538    "/>
    <n v="-1.6094379124341003"/>
    <n v="0.2"/>
    <n v="8540"/>
    <s v="6"/>
    <s v="RES"/>
    <x v="0"/>
    <s v="11"/>
    <s v="259"/>
    <s v="TD"/>
    <s v="A+"/>
    <s v="FR"/>
    <x v="7"/>
    <n v="76"/>
    <n v="51"/>
    <n v="1948"/>
    <n v="1973"/>
    <n v="1267"/>
    <m/>
    <n v="949"/>
    <n v="49"/>
    <n v="900"/>
    <m/>
    <n v="2167"/>
    <n v="2500"/>
    <n v="8"/>
    <m/>
    <m/>
    <m/>
    <m/>
    <m/>
    <m/>
    <m/>
    <n v="355843"/>
    <n v="238415"/>
    <n v="6421"/>
    <n v="311700"/>
    <n v="58400"/>
    <n v="253300"/>
    <n v="0"/>
    <n v="0"/>
    <n v="89850.625589999996"/>
    <n v="-50946.13867709865"/>
    <n v="29814.093161000001"/>
    <n v="133714.53821"/>
    <n v="-11375.3256255"/>
    <n v="62600.784734159002"/>
    <n v="0"/>
    <n v="0"/>
    <n v="27598.718589402997"/>
    <n v="30336.176841600001"/>
    <n v="0"/>
    <n v="6400"/>
    <n v="272700"/>
    <n v="38900"/>
    <n v="318000"/>
    <n v="2.0211742059672761E-2"/>
    <n v="0.99970000000000003"/>
    <n v="1.0088999999999999"/>
    <n v="0.99329999999999996"/>
    <n v="0.98919999999999997"/>
    <n v="0.995"/>
    <n v="0.94971499999999998"/>
    <n v="0.93676152155697667"/>
    <n v="272700"/>
    <n v="6100"/>
    <n v="278800"/>
    <n v="36900"/>
    <n v="315700"/>
    <n v="0.10067114093959731"/>
    <n v="-0.36815068493150682"/>
    <n v="1.2832852101379532E-2"/>
  </r>
  <r>
    <n v="2025"/>
    <s v="18132323432    "/>
    <n v="-1.6607312068216509"/>
    <n v="0.19"/>
    <n v="8276"/>
    <s v="6"/>
    <s v="RES"/>
    <x v="0"/>
    <s v="11"/>
    <s v="259"/>
    <s v="TD"/>
    <s v="G"/>
    <s v="AV"/>
    <x v="7"/>
    <n v="76"/>
    <n v="51"/>
    <n v="1948"/>
    <n v="1973"/>
    <n v="1047"/>
    <m/>
    <n v="1047"/>
    <n v="0"/>
    <n v="1047"/>
    <m/>
    <n v="2094"/>
    <n v="2500"/>
    <n v="9"/>
    <m/>
    <m/>
    <m/>
    <m/>
    <m/>
    <m/>
    <m/>
    <n v="375301"/>
    <n v="258958"/>
    <n v="6724"/>
    <n v="347200"/>
    <n v="56600"/>
    <n v="290600"/>
    <n v="0"/>
    <n v="0"/>
    <n v="89850.625589999996"/>
    <n v="-52569.808201026557"/>
    <n v="44121.038090000002"/>
    <n v="160472.20319"/>
    <n v="-11375.3256255"/>
    <n v="51730.877361218998"/>
    <n v="0"/>
    <n v="0"/>
    <n v="30448.744323608997"/>
    <n v="34128.198946800003"/>
    <n v="0"/>
    <n v="6700"/>
    <n v="309500"/>
    <n v="37300"/>
    <n v="353500"/>
    <n v="1.8145161290322582E-2"/>
    <n v="0.99970000000000003"/>
    <n v="0.98050000000000004"/>
    <n v="0.99729999999999996"/>
    <n v="0.98919999999999997"/>
    <n v="0.995"/>
    <n v="0.94971499999999998"/>
    <n v="0.91405831328052556"/>
    <n v="309500"/>
    <n v="6400"/>
    <n v="315900"/>
    <n v="35400"/>
    <n v="351300"/>
    <n v="8.7061252580867166E-2"/>
    <n v="-0.37455830388692579"/>
    <n v="1.1808755760368663E-2"/>
  </r>
  <r>
    <n v="2025"/>
    <s v="18132331473    "/>
    <n v="-1.5606477482646683"/>
    <n v="0.21"/>
    <m/>
    <s v="6"/>
    <s v="RES"/>
    <x v="0"/>
    <s v="11"/>
    <s v="259"/>
    <s v="TD"/>
    <s v="A+"/>
    <s v="GD"/>
    <x v="7"/>
    <n v="76"/>
    <n v="51"/>
    <n v="1948"/>
    <n v="1973"/>
    <n v="1406"/>
    <m/>
    <n v="1130"/>
    <n v="0"/>
    <n v="1130"/>
    <m/>
    <n v="2536"/>
    <n v="3000"/>
    <n v="8"/>
    <m/>
    <m/>
    <m/>
    <m/>
    <m/>
    <m/>
    <m/>
    <n v="399237"/>
    <n v="283458"/>
    <n v="24991"/>
    <n v="406600"/>
    <n v="60100"/>
    <n v="346500"/>
    <n v="0"/>
    <n v="0"/>
    <n v="89850.625589999996"/>
    <n v="-49401.70477837498"/>
    <n v="29814.093161000001"/>
    <n v="197752.34721000001"/>
    <n v="-11375.3256255"/>
    <n v="69468.589847062001"/>
    <n v="0"/>
    <n v="0"/>
    <n v="32862.541629109997"/>
    <n v="30336.176841600001"/>
    <n v="0"/>
    <n v="25000"/>
    <n v="348900"/>
    <n v="40400"/>
    <n v="414300"/>
    <n v="1.8937530742744711E-2"/>
    <n v="0.99970000000000003"/>
    <n v="1.0088999999999999"/>
    <n v="0.99650000000000005"/>
    <n v="0.96179999999999999"/>
    <n v="0.995"/>
    <n v="0.94971499999999998"/>
    <n v="0.9137482873256102"/>
    <n v="348900"/>
    <n v="23700"/>
    <n v="372600"/>
    <n v="38400"/>
    <n v="411000"/>
    <n v="7.5324675324675322E-2"/>
    <n v="-0.36106489184692181"/>
    <n v="1.0821446138711265E-2"/>
  </r>
  <r>
    <n v="2025"/>
    <s v="18132343433    "/>
    <n v="-1.1394342831883648"/>
    <n v="0.32"/>
    <n v="13939"/>
    <s v="6"/>
    <s v="RES"/>
    <x v="0"/>
    <s v="11"/>
    <s v="259"/>
    <s v="RN"/>
    <s v="V"/>
    <s v="GD"/>
    <x v="7"/>
    <n v="76"/>
    <n v="51"/>
    <n v="1948"/>
    <n v="1973"/>
    <n v="1954"/>
    <m/>
    <n v="1479"/>
    <n v="875"/>
    <n v="604"/>
    <m/>
    <n v="2558"/>
    <n v="3000"/>
    <n v="15"/>
    <m/>
    <n v="456"/>
    <n v="280"/>
    <m/>
    <m/>
    <m/>
    <m/>
    <n v="654770"/>
    <n v="471434"/>
    <n v="0"/>
    <n v="601700"/>
    <n v="74800"/>
    <n v="526900"/>
    <n v="0"/>
    <n v="0"/>
    <n v="89850.625589999996"/>
    <n v="-36068.354396449467"/>
    <n v="163885.03753"/>
    <n v="197752.34721000001"/>
    <n v="-11375.3256255"/>
    <n v="96544.540939658007"/>
    <n v="0"/>
    <n v="0"/>
    <n v="43012.123070312999"/>
    <n v="56880.331578000005"/>
    <n v="9322.7442772800005"/>
    <n v="0"/>
    <n v="556000"/>
    <n v="53800"/>
    <n v="609800"/>
    <n v="1.3461858068805052E-2"/>
    <n v="0.99970000000000003"/>
    <n v="1"/>
    <n v="0.99650000000000005"/>
    <n v="0.96179999999999999"/>
    <n v="0.995"/>
    <n v="0.94971499999999998"/>
    <n v="0.90568766708852244"/>
    <n v="556000"/>
    <n v="0"/>
    <n v="556000"/>
    <n v="51100"/>
    <n v="607100"/>
    <n v="5.5228696147276525E-2"/>
    <n v="-0.31684491978609625"/>
    <n v="8.9745720458700353E-3"/>
  </r>
  <r>
    <n v="2025"/>
    <s v="18132331464    "/>
    <n v="-1.6607312068216509"/>
    <n v="0.19"/>
    <m/>
    <s v="6"/>
    <s v="RES"/>
    <x v="0"/>
    <s v="11"/>
    <s v="259"/>
    <s v="TD"/>
    <s v="A+"/>
    <s v="AV"/>
    <x v="7"/>
    <n v="76"/>
    <n v="51"/>
    <n v="1948"/>
    <n v="1973"/>
    <n v="1149"/>
    <m/>
    <n v="990"/>
    <n v="0"/>
    <n v="990"/>
    <m/>
    <n v="2139"/>
    <n v="2500"/>
    <n v="8"/>
    <m/>
    <m/>
    <m/>
    <m/>
    <m/>
    <m/>
    <m/>
    <n v="343192"/>
    <n v="236802"/>
    <n v="0"/>
    <n v="330900"/>
    <n v="56600"/>
    <n v="274300"/>
    <n v="0"/>
    <n v="0"/>
    <n v="89850.625589999996"/>
    <n v="-52569.808201026557"/>
    <n v="29814.093161000001"/>
    <n v="160472.20319"/>
    <n v="-11375.3256255"/>
    <n v="56770.561688672999"/>
    <n v="0"/>
    <n v="0"/>
    <n v="28791.076294529998"/>
    <n v="30336.176841600001"/>
    <n v="0"/>
    <n v="0"/>
    <n v="294800"/>
    <n v="37300"/>
    <n v="332100"/>
    <n v="3.6264732547597461E-3"/>
    <n v="0.99970000000000003"/>
    <n v="1.0088999999999999"/>
    <n v="0.99729999999999996"/>
    <n v="0.98919999999999997"/>
    <n v="0.995"/>
    <n v="0.94971499999999998"/>
    <n v="0.94053384219145564"/>
    <n v="294800"/>
    <n v="0"/>
    <n v="294800"/>
    <n v="35400"/>
    <n v="330200"/>
    <n v="7.4735690849434919E-2"/>
    <n v="-0.37455830388692579"/>
    <n v="-2.1154427319431852E-3"/>
  </r>
  <r>
    <n v="2025"/>
    <s v="18132341412    "/>
    <n v="-0.34249030894677601"/>
    <n v="0.71"/>
    <m/>
    <s v="6"/>
    <s v="RES"/>
    <x v="0"/>
    <s v="11"/>
    <s v="259"/>
    <s v="RN"/>
    <s v="G+"/>
    <s v="GD"/>
    <x v="7"/>
    <n v="76"/>
    <n v="51"/>
    <n v="1948"/>
    <n v="1973"/>
    <n v="2655"/>
    <m/>
    <n v="2655"/>
    <n v="0"/>
    <n v="2655"/>
    <m/>
    <n v="5310"/>
    <n v="5000"/>
    <n v="14"/>
    <n v="728"/>
    <m/>
    <m/>
    <m/>
    <m/>
    <m/>
    <m/>
    <n v="970284"/>
    <n v="698604"/>
    <n v="33687"/>
    <n v="671900"/>
    <n v="102600"/>
    <n v="569300"/>
    <n v="0"/>
    <n v="0"/>
    <n v="89850.625589999996"/>
    <n v="-10841.399124726569"/>
    <n v="74268.409664999999"/>
    <n v="197752.34721000001"/>
    <n v="-11375.3256255"/>
    <n v="131180.01852343499"/>
    <n v="0"/>
    <n v="0"/>
    <n v="77212.431880784992"/>
    <n v="53088.3094728"/>
    <n v="0"/>
    <n v="33700"/>
    <n v="522100"/>
    <n v="79000"/>
    <n v="634800"/>
    <n v="-5.521655008185742E-2"/>
    <n v="0.99970000000000003"/>
    <n v="0.98380000000000001"/>
    <n v="0.99650000000000005"/>
    <n v="1"/>
    <n v="0.995"/>
    <n v="0.94971499999999998"/>
    <n v="0.9264041660237976"/>
    <n v="522100"/>
    <n v="32000"/>
    <n v="554100"/>
    <n v="75000"/>
    <n v="629100"/>
    <n v="-2.6699455471631828E-2"/>
    <n v="-0.26900584795321636"/>
    <n v="-6.3699955350498591E-2"/>
  </r>
  <r>
    <n v="2025"/>
    <s v="18132211014    "/>
    <n v="-1.1086626245216111"/>
    <n v="0.33"/>
    <n v="14167"/>
    <s v="6"/>
    <s v="RES"/>
    <x v="0"/>
    <s v="11"/>
    <s v="259"/>
    <s v="TD"/>
    <s v="F"/>
    <s v="PR"/>
    <x v="7"/>
    <n v="76"/>
    <n v="51"/>
    <n v="1948"/>
    <n v="1973"/>
    <n v="1210"/>
    <m/>
    <n v="1210"/>
    <n v="0"/>
    <n v="1210"/>
    <m/>
    <n v="2420"/>
    <n v="2500"/>
    <n v="9"/>
    <m/>
    <m/>
    <m/>
    <m/>
    <m/>
    <m/>
    <m/>
    <n v="270573"/>
    <n v="178578"/>
    <n v="9106"/>
    <n v="263500"/>
    <n v="75900"/>
    <n v="187600"/>
    <n v="0"/>
    <n v="0"/>
    <n v="89850.625589999996"/>
    <n v="-35094.289365640165"/>
    <n v="-43578.886190266698"/>
    <n v="39013.223933000001"/>
    <n v="-11375.3256255"/>
    <n v="59784.490551169998"/>
    <n v="0"/>
    <n v="0"/>
    <n v="35189.093248869998"/>
    <n v="34128.198946800003"/>
    <n v="0"/>
    <n v="9100"/>
    <n v="113200"/>
    <n v="54800"/>
    <n v="177100"/>
    <n v="-0.32789373814041745"/>
    <n v="0.99970000000000003"/>
    <n v="1"/>
    <n v="1.0021"/>
    <n v="0.98919999999999997"/>
    <n v="0.995"/>
    <n v="0.94971499999999998"/>
    <n v="0.93672378526398103"/>
    <n v="113200"/>
    <n v="8600"/>
    <n v="121800"/>
    <n v="52000"/>
    <n v="173800"/>
    <n v="-0.35074626865671643"/>
    <n v="-0.31488801054018445"/>
    <n v="-0.34041745730550282"/>
  </r>
  <r>
    <n v="2025"/>
    <s v="18132324503    "/>
    <n v="-1.8325814637483102"/>
    <n v="0.16"/>
    <m/>
    <s v="6"/>
    <s v="RES"/>
    <x v="0"/>
    <s v="11"/>
    <s v="259"/>
    <s v="CO"/>
    <s v="A"/>
    <s v="GD"/>
    <x v="7"/>
    <n v="77"/>
    <n v="51"/>
    <n v="1947"/>
    <n v="1973"/>
    <n v="1146"/>
    <n v="612"/>
    <n v="936"/>
    <n v="236"/>
    <n v="700"/>
    <m/>
    <n v="2458"/>
    <n v="2500"/>
    <n v="8"/>
    <m/>
    <m/>
    <n v="224"/>
    <m/>
    <m/>
    <m/>
    <m/>
    <n v="343712"/>
    <n v="244036"/>
    <n v="7632"/>
    <n v="363800"/>
    <n v="50600"/>
    <n v="313200"/>
    <n v="0"/>
    <n v="0"/>
    <n v="89850.625589999996"/>
    <n v="-58009.662049032086"/>
    <n v="21557.329055999999"/>
    <n v="197752.34721000001"/>
    <n v="-11375.3256255"/>
    <n v="56622.335679042"/>
    <n v="27409.290790931998"/>
    <n v="0"/>
    <n v="27220.653951191998"/>
    <n v="30336.176841600001"/>
    <n v="7458.1954218240007"/>
    <n v="7600"/>
    <n v="357000"/>
    <n v="31800"/>
    <n v="396400"/>
    <n v="8.9609675645959314E-2"/>
    <n v="0.99970000000000003"/>
    <n v="1.0067999999999999"/>
    <n v="0.99650000000000005"/>
    <n v="0.98919999999999997"/>
    <n v="0.995"/>
    <n v="0.94971499999999998"/>
    <n v="0.93782325090236773"/>
    <n v="357000"/>
    <n v="7200"/>
    <n v="364200"/>
    <n v="30200"/>
    <n v="394400"/>
    <n v="0.16283524904214558"/>
    <n v="-0.40316205533596838"/>
    <n v="8.4112149532710276E-2"/>
  </r>
  <r>
    <n v="2025"/>
    <s v="18132324013    "/>
    <n v="-1.7147984280919266"/>
    <n v="0.18"/>
    <n v="7917"/>
    <s v="6"/>
    <s v="RES"/>
    <x v="0"/>
    <s v="11"/>
    <s v="259"/>
    <s v="CC"/>
    <s v="G"/>
    <s v="GD"/>
    <x v="7"/>
    <n v="77"/>
    <n v="51"/>
    <n v="1947"/>
    <n v="1973"/>
    <n v="1081"/>
    <n v="408"/>
    <n v="884"/>
    <n v="442"/>
    <n v="442"/>
    <m/>
    <n v="1931"/>
    <n v="2000"/>
    <n v="8"/>
    <m/>
    <m/>
    <m/>
    <m/>
    <m/>
    <m/>
    <m/>
    <n v="380645"/>
    <n v="270258"/>
    <n v="17094"/>
    <n v="376900"/>
    <n v="54700"/>
    <n v="322200"/>
    <n v="0"/>
    <n v="0"/>
    <n v="89850.625589999996"/>
    <n v="-54281.285314520763"/>
    <n v="44121.038090000002"/>
    <n v="197752.34721000001"/>
    <n v="-11375.3256255"/>
    <n v="53410.772137036998"/>
    <n v="18272.860527287998"/>
    <n v="0"/>
    <n v="25708.395398347999"/>
    <n v="30336.176841600001"/>
    <n v="0"/>
    <n v="17100"/>
    <n v="358200"/>
    <n v="35600"/>
    <n v="410900"/>
    <n v="9.0209604669673649E-2"/>
    <n v="0.99970000000000003"/>
    <n v="0.98050000000000004"/>
    <n v="0.99650000000000005"/>
    <n v="1.0093000000000001"/>
    <n v="0.995"/>
    <n v="0.94971499999999998"/>
    <n v="0.93188335041151293"/>
    <n v="358200"/>
    <n v="16200"/>
    <n v="374400"/>
    <n v="33800"/>
    <n v="408200"/>
    <n v="0.16201117318435754"/>
    <n v="-0.38208409506398539"/>
    <n v="8.3045900769434869E-2"/>
  </r>
  <r>
    <n v="2025"/>
    <s v="18132324478    "/>
    <n v="-1.8325814637483102"/>
    <n v="0.16"/>
    <m/>
    <s v="6"/>
    <s v="RES"/>
    <x v="0"/>
    <s v="11"/>
    <s v="259"/>
    <s v="TD"/>
    <s v="G"/>
    <s v="GD"/>
    <x v="7"/>
    <n v="77"/>
    <n v="51"/>
    <n v="1947"/>
    <n v="1973"/>
    <n v="1567"/>
    <m/>
    <n v="1111"/>
    <n v="556"/>
    <n v="555"/>
    <m/>
    <n v="2122"/>
    <n v="2500"/>
    <n v="9"/>
    <m/>
    <m/>
    <m/>
    <m/>
    <m/>
    <m/>
    <m/>
    <n v="438590"/>
    <n v="311399"/>
    <n v="12319"/>
    <n v="384700"/>
    <n v="50600"/>
    <n v="334100"/>
    <n v="0"/>
    <n v="0"/>
    <n v="89850.625589999996"/>
    <n v="-58009.662049032086"/>
    <n v="44121.038090000002"/>
    <n v="197752.34721000001"/>
    <n v="-11375.3256255"/>
    <n v="77423.385697259"/>
    <n v="0"/>
    <n v="0"/>
    <n v="32309.985619416999"/>
    <n v="34128.198946800003"/>
    <n v="0"/>
    <n v="12300"/>
    <n v="374400"/>
    <n v="31800"/>
    <n v="418500"/>
    <n v="8.7860670652456466E-2"/>
    <n v="0.99970000000000003"/>
    <n v="0.98050000000000004"/>
    <n v="0.99650000000000005"/>
    <n v="0.98919999999999997"/>
    <n v="0.995"/>
    <n v="0.94971499999999998"/>
    <n v="0.91332508691872449"/>
    <n v="374400"/>
    <n v="11700"/>
    <n v="386100"/>
    <n v="30200"/>
    <n v="416300"/>
    <n v="0.1556420233463035"/>
    <n v="-0.40316205533596838"/>
    <n v="8.2141928775669351E-2"/>
  </r>
  <r>
    <n v="2025"/>
    <s v="18132324537    "/>
    <n v="-1.6094379124341003"/>
    <n v="0.2"/>
    <m/>
    <s v="6"/>
    <s v="RES"/>
    <x v="0"/>
    <s v="11"/>
    <s v="259"/>
    <s v="TD"/>
    <s v="G"/>
    <s v="AV"/>
    <x v="7"/>
    <n v="77"/>
    <n v="51"/>
    <n v="1947"/>
    <n v="1973"/>
    <n v="1237"/>
    <m/>
    <n v="1237"/>
    <n v="1237"/>
    <m/>
    <m/>
    <n v="1237"/>
    <n v="1500"/>
    <n v="7"/>
    <m/>
    <m/>
    <m/>
    <m/>
    <m/>
    <m/>
    <m/>
    <n v="338936"/>
    <n v="233866"/>
    <n v="7919"/>
    <n v="334100"/>
    <n v="58400"/>
    <n v="275700"/>
    <n v="0"/>
    <n v="0"/>
    <n v="89850.625589999996"/>
    <n v="-50946.13867709865"/>
    <n v="44121.038090000002"/>
    <n v="160472.20319"/>
    <n v="-11375.3256255"/>
    <n v="61118.524637849005"/>
    <n v="0"/>
    <n v="0"/>
    <n v="35974.304420538996"/>
    <n v="26544.1547364"/>
    <n v="0"/>
    <n v="7900"/>
    <n v="316900"/>
    <n v="38900"/>
    <n v="363700"/>
    <n v="8.859622867404969E-2"/>
    <n v="0.99970000000000003"/>
    <n v="0.98050000000000004"/>
    <n v="0.99729999999999996"/>
    <n v="1.0157"/>
    <n v="0.995"/>
    <n v="0.94971499999999998"/>
    <n v="0.93854531823597842"/>
    <n v="316900"/>
    <n v="7500"/>
    <n v="324400"/>
    <n v="36900"/>
    <n v="361300"/>
    <n v="0.17664127675009067"/>
    <n v="-0.36815068493150682"/>
    <n v="8.1412750673451065E-2"/>
  </r>
  <r>
    <n v="2025"/>
    <s v="18132342463    "/>
    <n v="-1.2039728043259361"/>
    <n v="0.3"/>
    <n v="12929"/>
    <s v="6"/>
    <s v="RES"/>
    <x v="0"/>
    <s v="11"/>
    <s v="259"/>
    <s v="RN"/>
    <s v="G"/>
    <s v="GD"/>
    <x v="7"/>
    <n v="77"/>
    <n v="51"/>
    <n v="1947"/>
    <n v="1973"/>
    <n v="2492"/>
    <m/>
    <n v="1540"/>
    <n v="748"/>
    <n v="792"/>
    <m/>
    <n v="3284"/>
    <n v="3500"/>
    <n v="10"/>
    <m/>
    <n v="600"/>
    <m/>
    <m/>
    <m/>
    <m/>
    <m/>
    <n v="725926"/>
    <n v="515407"/>
    <n v="84330"/>
    <n v="525700"/>
    <n v="72500"/>
    <n v="453200"/>
    <n v="0"/>
    <n v="0"/>
    <n v="89850.625589999996"/>
    <n v="-38111.29648355169"/>
    <n v="44121.038090000002"/>
    <n v="197752.34721000001"/>
    <n v="-11375.3256255"/>
    <n v="123126.405333484"/>
    <n v="0"/>
    <n v="0"/>
    <n v="44786.118680380001"/>
    <n v="37920.221052000001"/>
    <n v="0"/>
    <n v="84300"/>
    <n v="436300"/>
    <n v="51700"/>
    <n v="572300"/>
    <n v="8.8643713144378924E-2"/>
    <n v="0.99970000000000003"/>
    <n v="0.98050000000000004"/>
    <n v="0.99650000000000005"/>
    <n v="1.0126999999999999"/>
    <n v="0.995"/>
    <n v="0.94971499999999998"/>
    <n v="0.93502255916153676"/>
    <n v="436300"/>
    <n v="80100"/>
    <n v="516400"/>
    <n v="49100"/>
    <n v="565500"/>
    <n v="0.13945278022947927"/>
    <n v="-0.32275862068965516"/>
    <n v="7.5708579037473842E-2"/>
  </r>
  <r>
    <n v="2025"/>
    <s v="18132341008    "/>
    <n v="-1.2729656758128873"/>
    <n v="0.28000000000000003"/>
    <m/>
    <s v="6"/>
    <s v="RES"/>
    <x v="0"/>
    <s v="11"/>
    <s v="259"/>
    <s v="TD"/>
    <s v="G"/>
    <s v="GD"/>
    <x v="7"/>
    <n v="77"/>
    <n v="51"/>
    <n v="1947"/>
    <n v="1973"/>
    <n v="2318"/>
    <m/>
    <n v="2318"/>
    <n v="1024"/>
    <n v="1294"/>
    <m/>
    <n v="3612"/>
    <n v="4000"/>
    <n v="10"/>
    <n v="506"/>
    <m/>
    <m/>
    <m/>
    <m/>
    <m/>
    <m/>
    <n v="728018"/>
    <n v="516893"/>
    <n v="0"/>
    <n v="464400"/>
    <n v="70100"/>
    <n v="394300"/>
    <n v="0"/>
    <n v="0"/>
    <n v="89850.625589999996"/>
    <n v="-40295.239319339329"/>
    <n v="44121.038090000002"/>
    <n v="197752.34721000001"/>
    <n v="-11375.3256255"/>
    <n v="114529.29677488601"/>
    <n v="0"/>
    <n v="0"/>
    <n v="67411.83318254599"/>
    <n v="37920.221052000001"/>
    <n v="0"/>
    <n v="0"/>
    <n v="450400"/>
    <n v="49600"/>
    <n v="500000"/>
    <n v="7.6658053402239454E-2"/>
    <n v="0.99970000000000003"/>
    <n v="0.98050000000000004"/>
    <n v="0.99650000000000005"/>
    <n v="0.94579999999999997"/>
    <n v="0.995"/>
    <n v="0.94971499999999998"/>
    <n v="0.8732540105213602"/>
    <n v="450400"/>
    <n v="0"/>
    <n v="450400"/>
    <n v="47100"/>
    <n v="497500"/>
    <n v="0.14227745371544509"/>
    <n v="-0.32810271041369471"/>
    <n v="7.127476313522825E-2"/>
  </r>
  <r>
    <n v="2025"/>
    <s v="18132332546    "/>
    <n v="-1.8325814637483102"/>
    <n v="0.16"/>
    <m/>
    <s v="6"/>
    <s v="RES"/>
    <x v="0"/>
    <s v="11"/>
    <s v="259"/>
    <s v="TD"/>
    <s v="F+"/>
    <s v="GD"/>
    <x v="7"/>
    <n v="77"/>
    <n v="51"/>
    <n v="1947"/>
    <n v="1973"/>
    <n v="1185"/>
    <m/>
    <m/>
    <n v="0"/>
    <m/>
    <m/>
    <n v="1185"/>
    <n v="1500"/>
    <n v="5"/>
    <n v="220"/>
    <m/>
    <m/>
    <m/>
    <m/>
    <m/>
    <m/>
    <n v="186454"/>
    <n v="132382"/>
    <n v="0"/>
    <n v="275500"/>
    <n v="50600"/>
    <n v="224900"/>
    <n v="0"/>
    <n v="0"/>
    <n v="89850.625589999996"/>
    <n v="-58009.662049032086"/>
    <n v="0"/>
    <n v="197752.34721000001"/>
    <n v="-11375.3256255"/>
    <n v="58549.273804245"/>
    <n v="0"/>
    <n v="0"/>
    <n v="0"/>
    <n v="18960.110526"/>
    <n v="0"/>
    <n v="0"/>
    <n v="263900"/>
    <n v="31800"/>
    <n v="295700"/>
    <n v="7.3321234119782211E-2"/>
    <n v="0.99970000000000003"/>
    <n v="0.99180000000000001"/>
    <n v="0.99650000000000005"/>
    <n v="1.0157"/>
    <n v="0.995"/>
    <n v="0.94971499999999998"/>
    <n v="0.94860025614621091"/>
    <n v="263900"/>
    <n v="0"/>
    <n v="263900"/>
    <n v="30200"/>
    <n v="294100"/>
    <n v="0.17341040462427745"/>
    <n v="-0.40316205533596838"/>
    <n v="6.7513611615245009E-2"/>
  </r>
  <r>
    <n v="2025"/>
    <s v="18132324457    "/>
    <n v="-1.6094379124341003"/>
    <n v="0.2"/>
    <m/>
    <s v="6"/>
    <s v="RES"/>
    <x v="0"/>
    <s v="11"/>
    <s v="259"/>
    <s v="TD"/>
    <s v="G"/>
    <s v="AV"/>
    <x v="7"/>
    <n v="77"/>
    <n v="51"/>
    <n v="1947"/>
    <n v="1973"/>
    <n v="1510"/>
    <m/>
    <n v="504"/>
    <n v="504"/>
    <m/>
    <m/>
    <n v="1510"/>
    <n v="2000"/>
    <n v="8"/>
    <m/>
    <m/>
    <m/>
    <m/>
    <m/>
    <m/>
    <m/>
    <n v="380830"/>
    <n v="262773"/>
    <n v="1650"/>
    <n v="329200"/>
    <n v="58400"/>
    <n v="270800"/>
    <n v="0"/>
    <n v="0"/>
    <n v="89850.625589999996"/>
    <n v="-50946.13867709865"/>
    <n v="44121.038090000002"/>
    <n v="160472.20319"/>
    <n v="-11375.3256255"/>
    <n v="74607.091514269996"/>
    <n v="0"/>
    <n v="0"/>
    <n v="14657.275204488"/>
    <n v="30336.176841600001"/>
    <n v="0"/>
    <n v="1700"/>
    <n v="312800"/>
    <n v="38900"/>
    <n v="353400"/>
    <n v="7.3511543134872417E-2"/>
    <n v="0.99970000000000003"/>
    <n v="0.98050000000000004"/>
    <n v="0.99729999999999996"/>
    <n v="1.0093000000000001"/>
    <n v="0.995"/>
    <n v="0.94971499999999998"/>
    <n v="0.93263147552975589"/>
    <n v="312800"/>
    <n v="1600"/>
    <n v="314400"/>
    <n v="36900"/>
    <n v="351300"/>
    <n v="0.16100443131462333"/>
    <n v="-0.36815068493150682"/>
    <n v="6.7132442284325633E-2"/>
  </r>
  <r>
    <n v="2025"/>
    <s v="18132323424    "/>
    <n v="-1.6607312068216509"/>
    <n v="0.19"/>
    <m/>
    <s v="6"/>
    <s v="RES"/>
    <x v="0"/>
    <s v="11"/>
    <s v="259"/>
    <s v="TD"/>
    <s v="A"/>
    <s v="GD"/>
    <x v="7"/>
    <n v="77"/>
    <n v="51"/>
    <n v="1947"/>
    <n v="1973"/>
    <n v="1455"/>
    <m/>
    <n v="1455"/>
    <n v="727"/>
    <n v="728"/>
    <m/>
    <n v="2183"/>
    <n v="2500"/>
    <n v="8"/>
    <n v="231"/>
    <m/>
    <m/>
    <m/>
    <m/>
    <m/>
    <m/>
    <n v="349833"/>
    <n v="248381"/>
    <n v="0"/>
    <n v="366000"/>
    <n v="56600"/>
    <n v="309400"/>
    <n v="0"/>
    <n v="0"/>
    <n v="89850.625589999996"/>
    <n v="-52569.808201026557"/>
    <n v="21557.329055999999"/>
    <n v="197752.34721000001"/>
    <n v="-11375.3256255"/>
    <n v="71889.614671035"/>
    <n v="0"/>
    <n v="0"/>
    <n v="42314.157584385001"/>
    <n v="30336.176841600001"/>
    <n v="0"/>
    <n v="0"/>
    <n v="352500"/>
    <n v="37300"/>
    <n v="389800"/>
    <n v="6.502732240437159E-2"/>
    <n v="0.99970000000000003"/>
    <n v="1.0067999999999999"/>
    <n v="0.99650000000000005"/>
    <n v="0.98919999999999997"/>
    <n v="0.995"/>
    <n v="0.94971499999999998"/>
    <n v="0.93782325090236773"/>
    <n v="352500"/>
    <n v="0"/>
    <n v="352500"/>
    <n v="35400"/>
    <n v="387900"/>
    <n v="0.13930187459599225"/>
    <n v="-0.37455830388692579"/>
    <n v="5.983606557377049E-2"/>
  </r>
  <r>
    <n v="2025"/>
    <s v="18132332596    "/>
    <n v="-1.3470736479666092"/>
    <n v="0.26"/>
    <n v="11458"/>
    <s v="6"/>
    <s v="RES"/>
    <x v="0"/>
    <s v="11"/>
    <s v="259"/>
    <s v="CC"/>
    <s v="A+"/>
    <s v="GD"/>
    <x v="7"/>
    <n v="77"/>
    <n v="51"/>
    <n v="1947"/>
    <n v="1973"/>
    <n v="1253"/>
    <n v="844"/>
    <n v="861"/>
    <n v="261"/>
    <n v="600"/>
    <m/>
    <n v="2697"/>
    <n v="3000"/>
    <n v="12"/>
    <m/>
    <m/>
    <m/>
    <m/>
    <m/>
    <m/>
    <m/>
    <n v="427207"/>
    <n v="303317"/>
    <n v="30044"/>
    <n v="437700"/>
    <n v="67600"/>
    <n v="370100"/>
    <n v="0"/>
    <n v="0"/>
    <n v="89850.625589999996"/>
    <n v="-42641.098701210125"/>
    <n v="29814.093161000001"/>
    <n v="197752.34721000001"/>
    <n v="-11375.3256255"/>
    <n v="61909.063355881"/>
    <n v="37799.740894684001"/>
    <n v="0"/>
    <n v="25039.511807666997"/>
    <n v="45504.265262400004"/>
    <n v="0"/>
    <n v="30000"/>
    <n v="386400"/>
    <n v="47200"/>
    <n v="463600"/>
    <n v="5.917294950879598E-2"/>
    <n v="0.99970000000000003"/>
    <n v="1.0088999999999999"/>
    <n v="0.99650000000000005"/>
    <n v="0.96179999999999999"/>
    <n v="0.995"/>
    <n v="0.94971499999999998"/>
    <n v="0.9137482873256102"/>
    <n v="386400"/>
    <n v="28500"/>
    <n v="414900"/>
    <n v="44800"/>
    <n v="459700"/>
    <n v="0.12104836530667387"/>
    <n v="-0.33727810650887574"/>
    <n v="5.0262737034498517E-2"/>
  </r>
  <r>
    <n v="2025"/>
    <s v="18132241438    "/>
    <n v="-1.6094379124341003"/>
    <n v="0.2"/>
    <n v="8736"/>
    <s v="6"/>
    <s v="RES"/>
    <x v="0"/>
    <s v="11"/>
    <s v="259"/>
    <s v="RN"/>
    <s v="G"/>
    <s v="AV"/>
    <x v="7"/>
    <n v="77"/>
    <n v="51"/>
    <n v="1947"/>
    <n v="1973"/>
    <n v="1581"/>
    <m/>
    <n v="1581"/>
    <n v="1081"/>
    <n v="500"/>
    <m/>
    <n v="2081"/>
    <n v="2500"/>
    <n v="5"/>
    <m/>
    <m/>
    <m/>
    <m/>
    <m/>
    <m/>
    <m/>
    <n v="454989"/>
    <n v="313942"/>
    <n v="13094"/>
    <n v="367200"/>
    <n v="58400"/>
    <n v="308800"/>
    <n v="0"/>
    <n v="0"/>
    <n v="89850.625589999996"/>
    <n v="-50946.13867709865"/>
    <n v="44121.038090000002"/>
    <n v="160472.20319"/>
    <n v="-11375.3256255"/>
    <n v="78115.107075537002"/>
    <n v="0"/>
    <n v="0"/>
    <n v="45978.476385506998"/>
    <n v="18960.110526"/>
    <n v="0"/>
    <n v="13100"/>
    <n v="336300"/>
    <n v="38900"/>
    <n v="388300"/>
    <n v="5.7461873638344228E-2"/>
    <n v="0.99970000000000003"/>
    <n v="0.98050000000000004"/>
    <n v="0.99729999999999996"/>
    <n v="0.98919999999999997"/>
    <n v="0.995"/>
    <n v="0.94971499999999998"/>
    <n v="0.91405831328052556"/>
    <n v="336300"/>
    <n v="12400"/>
    <n v="348700"/>
    <n v="36900"/>
    <n v="385600"/>
    <n v="0.12920984455958548"/>
    <n v="-0.36815068493150682"/>
    <n v="5.0108932461873638E-2"/>
  </r>
  <r>
    <n v="2025"/>
    <s v="18132241445    "/>
    <n v="-1.6094379124341003"/>
    <n v="0.2"/>
    <n v="8680"/>
    <s v="6"/>
    <s v="RES"/>
    <x v="0"/>
    <s v="11"/>
    <s v="259"/>
    <s v="TD"/>
    <s v="A"/>
    <s v="AV"/>
    <x v="7"/>
    <n v="77"/>
    <n v="51"/>
    <n v="1947"/>
    <n v="1973"/>
    <n v="1522"/>
    <m/>
    <m/>
    <n v="0"/>
    <m/>
    <m/>
    <n v="1522"/>
    <n v="2000"/>
    <n v="6"/>
    <m/>
    <m/>
    <m/>
    <m/>
    <m/>
    <m/>
    <m/>
    <n v="240584"/>
    <n v="166003"/>
    <n v="11109"/>
    <n v="302800"/>
    <n v="58400"/>
    <n v="244400"/>
    <n v="0"/>
    <n v="0"/>
    <n v="89850.625589999996"/>
    <n v="-50946.13867709865"/>
    <n v="21557.329055999999"/>
    <n v="160472.20319"/>
    <n v="-11375.3256255"/>
    <n v="75199.995552794004"/>
    <n v="0"/>
    <n v="0"/>
    <n v="0"/>
    <n v="22752.132631200002"/>
    <n v="0"/>
    <n v="11100"/>
    <n v="268600"/>
    <n v="38900"/>
    <n v="318600"/>
    <n v="5.2179656538969617E-2"/>
    <n v="0.99970000000000003"/>
    <n v="1.0067999999999999"/>
    <n v="0.99729999999999996"/>
    <n v="1.0093000000000001"/>
    <n v="0.995"/>
    <n v="0.94971499999999998"/>
    <n v="0.957647495730095"/>
    <n v="268600"/>
    <n v="10600"/>
    <n v="279200"/>
    <n v="36900"/>
    <n v="316100"/>
    <n v="0.14238952536824878"/>
    <n v="-0.36815068493150682"/>
    <n v="4.3923381770145313E-2"/>
  </r>
  <r>
    <n v="2025"/>
    <s v="18132214430    "/>
    <n v="-1.7147984280919266"/>
    <n v="0.18"/>
    <n v="7625"/>
    <s v="6"/>
    <s v="RES"/>
    <x v="0"/>
    <s v="11"/>
    <s v="259"/>
    <s v="TD"/>
    <s v="A"/>
    <s v="AV"/>
    <x v="7"/>
    <n v="77"/>
    <n v="51"/>
    <n v="1947"/>
    <n v="1973"/>
    <n v="967"/>
    <m/>
    <n v="951"/>
    <n v="0"/>
    <n v="951"/>
    <m/>
    <n v="1918"/>
    <n v="2000"/>
    <n v="9"/>
    <n v="312"/>
    <m/>
    <n v="142"/>
    <m/>
    <m/>
    <m/>
    <m/>
    <n v="266785"/>
    <n v="184082"/>
    <n v="27788"/>
    <n v="332400"/>
    <n v="54700"/>
    <n v="277700"/>
    <n v="0"/>
    <n v="0"/>
    <n v="89850.625589999996"/>
    <n v="-54281.285314520763"/>
    <n v="21557.329055999999"/>
    <n v="160472.20319"/>
    <n v="-11375.3256255"/>
    <n v="47778.183771059004"/>
    <n v="0"/>
    <n v="0"/>
    <n v="27656.882379896997"/>
    <n v="34128.198946800003"/>
    <n v="4727.9631691920004"/>
    <n v="27800"/>
    <n v="284900"/>
    <n v="35600"/>
    <n v="348300"/>
    <n v="4.7833935018050541E-2"/>
    <n v="0.99970000000000003"/>
    <n v="1.0067999999999999"/>
    <n v="0.99729999999999996"/>
    <n v="1.0093000000000001"/>
    <n v="0.995"/>
    <n v="0.94971499999999998"/>
    <n v="0.957647495730095"/>
    <n v="284900"/>
    <n v="26400"/>
    <n v="311300"/>
    <n v="33800"/>
    <n v="345100"/>
    <n v="0.12099387828592006"/>
    <n v="-0.38208409506398539"/>
    <n v="3.8206979542719614E-2"/>
  </r>
  <r>
    <n v="2025"/>
    <s v="18132213448    "/>
    <n v="-1.8971199848858813"/>
    <n v="0.15"/>
    <n v="6719"/>
    <s v="6"/>
    <s v="RES"/>
    <x v="0"/>
    <s v="11"/>
    <s v="259"/>
    <s v="RN"/>
    <s v="A+"/>
    <s v="AV"/>
    <x v="7"/>
    <n v="77"/>
    <n v="51"/>
    <n v="1947"/>
    <n v="1973"/>
    <n v="1664"/>
    <m/>
    <m/>
    <n v="0"/>
    <m/>
    <m/>
    <n v="1664"/>
    <n v="2000"/>
    <n v="8"/>
    <m/>
    <m/>
    <m/>
    <m/>
    <m/>
    <m/>
    <m/>
    <n v="342434"/>
    <n v="236279"/>
    <n v="0"/>
    <n v="308200"/>
    <n v="48400"/>
    <n v="259800"/>
    <n v="0"/>
    <n v="0"/>
    <n v="89850.625589999996"/>
    <n v="-60052.604136134301"/>
    <n v="29814.093161000001"/>
    <n v="160472.20319"/>
    <n v="-11375.3256255"/>
    <n v="82216.026675328001"/>
    <n v="0"/>
    <n v="0"/>
    <n v="0"/>
    <n v="30336.176841600001"/>
    <n v="0"/>
    <n v="0"/>
    <n v="291500"/>
    <n v="29800"/>
    <n v="321300"/>
    <n v="4.2504866969500323E-2"/>
    <n v="0.99970000000000003"/>
    <n v="1.0088999999999999"/>
    <n v="0.99729999999999996"/>
    <n v="1.0093000000000001"/>
    <n v="0.995"/>
    <n v="0.94971499999999998"/>
    <n v="0.9596449726282209"/>
    <n v="291500"/>
    <n v="0"/>
    <n v="291500"/>
    <n v="28300"/>
    <n v="319800"/>
    <n v="0.12201693610469592"/>
    <n v="-0.41528925619834711"/>
    <n v="3.7637897469175861E-2"/>
  </r>
  <r>
    <n v="2025"/>
    <s v="18132243474    "/>
    <n v="-1.1711829815029451"/>
    <n v="0.31"/>
    <n v="13650"/>
    <s v="6"/>
    <s v="RES"/>
    <x v="0"/>
    <s v="11"/>
    <s v="259"/>
    <s v="RN"/>
    <s v="G"/>
    <s v="GD"/>
    <x v="7"/>
    <n v="77"/>
    <n v="51"/>
    <n v="1947"/>
    <n v="1973"/>
    <n v="1719"/>
    <m/>
    <n v="1062"/>
    <n v="216"/>
    <n v="846"/>
    <m/>
    <n v="2565"/>
    <n v="3000"/>
    <n v="11"/>
    <m/>
    <m/>
    <m/>
    <m/>
    <m/>
    <m/>
    <m/>
    <n v="488230"/>
    <n v="346643"/>
    <n v="0"/>
    <n v="428700"/>
    <n v="73700"/>
    <n v="355000"/>
    <n v="0"/>
    <n v="0"/>
    <n v="89850.625589999996"/>
    <n v="-37073.347241874442"/>
    <n v="44121.038090000002"/>
    <n v="197752.34721000001"/>
    <n v="-11375.3256255"/>
    <n v="84933.503518562997"/>
    <n v="0"/>
    <n v="0"/>
    <n v="30884.972752313999"/>
    <n v="41712.243157199999"/>
    <n v="0"/>
    <n v="0"/>
    <n v="388000"/>
    <n v="52800"/>
    <n v="440800"/>
    <n v="2.8224865873571262E-2"/>
    <n v="0.99970000000000003"/>
    <n v="0.98050000000000004"/>
    <n v="0.99650000000000005"/>
    <n v="0.96179999999999999"/>
    <n v="0.995"/>
    <n v="0.94971499999999998"/>
    <n v="0.88802675758029637"/>
    <n v="388000"/>
    <n v="0"/>
    <n v="388000"/>
    <n v="50100"/>
    <n v="438100"/>
    <n v="9.295774647887324E-2"/>
    <n v="-0.32021709633649931"/>
    <n v="2.1926755306741312E-2"/>
  </r>
  <r>
    <n v="2025"/>
    <s v="18132241429    "/>
    <n v="-1.6094379124341003"/>
    <n v="0.2"/>
    <n v="8519"/>
    <s v="6"/>
    <s v="RES"/>
    <x v="0"/>
    <s v="11"/>
    <s v="259"/>
    <s v="TD"/>
    <s v="A"/>
    <s v="AV"/>
    <x v="7"/>
    <n v="77"/>
    <n v="51"/>
    <n v="1947"/>
    <n v="1973"/>
    <n v="898"/>
    <m/>
    <n v="906"/>
    <n v="0"/>
    <n v="906"/>
    <m/>
    <n v="1804"/>
    <n v="2000"/>
    <n v="8"/>
    <m/>
    <m/>
    <m/>
    <m/>
    <m/>
    <m/>
    <m/>
    <n v="223743"/>
    <n v="154383"/>
    <n v="5605"/>
    <n v="307400"/>
    <n v="58400"/>
    <n v="249000"/>
    <n v="0"/>
    <n v="0"/>
    <n v="89850.625589999996"/>
    <n v="-50946.13867709865"/>
    <n v="21557.329055999999"/>
    <n v="160472.20319"/>
    <n v="-11375.3256255"/>
    <n v="44368.985549546"/>
    <n v="0"/>
    <n v="0"/>
    <n v="26348.197093781997"/>
    <n v="30336.176841600001"/>
    <n v="0"/>
    <n v="5600"/>
    <n v="271700"/>
    <n v="38900"/>
    <n v="316200"/>
    <n v="2.8627195836044242E-2"/>
    <n v="0.99970000000000003"/>
    <n v="1.0067999999999999"/>
    <n v="0.99729999999999996"/>
    <n v="1.0093000000000001"/>
    <n v="0.995"/>
    <n v="0.94971499999999998"/>
    <n v="0.957647495730095"/>
    <n v="271700"/>
    <n v="5300"/>
    <n v="277000"/>
    <n v="36900"/>
    <n v="313900"/>
    <n v="0.11244979919678715"/>
    <n v="-0.36815068493150682"/>
    <n v="2.114508783344177E-2"/>
  </r>
  <r>
    <n v="2025"/>
    <s v="18132344407    "/>
    <n v="-1.5141277326297755"/>
    <n v="0.22"/>
    <m/>
    <s v="6"/>
    <s v="RES"/>
    <x v="0"/>
    <s v="11"/>
    <s v="400"/>
    <s v="TD"/>
    <s v="A+"/>
    <s v="AV"/>
    <x v="7"/>
    <n v="77"/>
    <n v="51"/>
    <n v="1947"/>
    <n v="1973"/>
    <n v="1184"/>
    <m/>
    <n v="1184"/>
    <n v="230"/>
    <n v="954"/>
    <m/>
    <n v="2138"/>
    <n v="2500"/>
    <n v="10"/>
    <m/>
    <m/>
    <m/>
    <m/>
    <m/>
    <m/>
    <m/>
    <n v="344610"/>
    <n v="237781"/>
    <n v="8098"/>
    <n v="353200"/>
    <n v="61700"/>
    <n v="291500"/>
    <n v="0"/>
    <n v="0"/>
    <n v="89850.625589999996"/>
    <n v="-47929.131559187132"/>
    <n v="29814.093161000001"/>
    <n v="160472.20319"/>
    <n v="-11375.3256255"/>
    <n v="58499.865134368003"/>
    <n v="0"/>
    <n v="0"/>
    <n v="34432.963972448"/>
    <n v="37920.221052000001"/>
    <n v="0"/>
    <n v="8100"/>
    <n v="309800"/>
    <n v="41900"/>
    <n v="359800"/>
    <n v="1.868629671574179E-2"/>
    <n v="0.99970000000000003"/>
    <n v="1.0088999999999999"/>
    <n v="0.99729999999999996"/>
    <n v="0.98919999999999997"/>
    <n v="0.995"/>
    <n v="0.94971499999999998"/>
    <n v="0.94053384219145564"/>
    <n v="309800"/>
    <n v="7700"/>
    <n v="317500"/>
    <n v="39800"/>
    <n v="357300"/>
    <n v="8.9193825042881647E-2"/>
    <n v="-0.35494327390599678"/>
    <n v="1.160815402038505E-2"/>
  </r>
  <r>
    <n v="2025"/>
    <s v="18132324022    "/>
    <n v="-1.8325814637483102"/>
    <n v="0.16"/>
    <n v="6792"/>
    <s v="6"/>
    <s v="RES"/>
    <x v="0"/>
    <s v="11"/>
    <s v="259"/>
    <s v="TD"/>
    <s v="F+"/>
    <s v="AV"/>
    <x v="7"/>
    <n v="77"/>
    <n v="51"/>
    <n v="1947"/>
    <n v="1973"/>
    <n v="884"/>
    <m/>
    <n v="884"/>
    <n v="0"/>
    <n v="884"/>
    <m/>
    <n v="1768"/>
    <n v="2000"/>
    <n v="9"/>
    <m/>
    <m/>
    <m/>
    <m/>
    <m/>
    <m/>
    <m/>
    <n v="216699"/>
    <n v="149522"/>
    <n v="9708"/>
    <n v="294500"/>
    <n v="50600"/>
    <n v="243900"/>
    <n v="0"/>
    <n v="0"/>
    <n v="89850.625589999996"/>
    <n v="-58009.662049032086"/>
    <n v="0"/>
    <n v="160472.20319"/>
    <n v="-11375.3256255"/>
    <n v="43677.264171267998"/>
    <n v="0"/>
    <n v="0"/>
    <n v="25708.395398347999"/>
    <n v="34128.198946800003"/>
    <n v="0"/>
    <n v="9700"/>
    <n v="252600"/>
    <n v="31800"/>
    <n v="294100"/>
    <n v="-1.3582342954159593E-3"/>
    <n v="0.99970000000000003"/>
    <n v="0.99180000000000001"/>
    <n v="0.99729999999999996"/>
    <n v="1.0093000000000001"/>
    <n v="0.995"/>
    <n v="0.94971499999999998"/>
    <n v="0.94337980360062423"/>
    <n v="252600"/>
    <n v="9200"/>
    <n v="261800"/>
    <n v="30200"/>
    <n v="292000"/>
    <n v="7.3390733907339079E-2"/>
    <n v="-0.40316205533596838"/>
    <n v="-8.4889643463497456E-3"/>
  </r>
  <r>
    <n v="2025"/>
    <s v="18132342525    "/>
    <n v="-1.0498221244986778"/>
    <n v="0.35"/>
    <n v="15130"/>
    <s v="6"/>
    <s v="RES"/>
    <x v="0"/>
    <s v="11"/>
    <s v="259"/>
    <s v="RN"/>
    <s v="G+"/>
    <s v="GD"/>
    <x v="7"/>
    <n v="77"/>
    <n v="51"/>
    <n v="1947"/>
    <n v="1973"/>
    <n v="1870"/>
    <m/>
    <n v="607"/>
    <n v="320"/>
    <n v="287"/>
    <m/>
    <n v="2157"/>
    <n v="2500"/>
    <n v="11"/>
    <m/>
    <n v="440"/>
    <m/>
    <m/>
    <m/>
    <m/>
    <m/>
    <n v="532078"/>
    <n v="383096"/>
    <n v="0"/>
    <n v="470300"/>
    <n v="77900"/>
    <n v="392400"/>
    <n v="0"/>
    <n v="0"/>
    <n v="89850.625589999996"/>
    <n v="-33231.715947405908"/>
    <n v="74268.409664999999"/>
    <n v="197752.34721000001"/>
    <n v="-11375.3256255"/>
    <n v="92394.212669989996"/>
    <n v="0"/>
    <n v="0"/>
    <n v="17652.710414928999"/>
    <n v="41712.243157199999"/>
    <n v="0"/>
    <n v="0"/>
    <n v="412400"/>
    <n v="56600"/>
    <n v="469000"/>
    <n v="-2.7641930682543057E-3"/>
    <n v="0.99970000000000003"/>
    <n v="0.98380000000000001"/>
    <n v="0.99650000000000005"/>
    <n v="0.98919999999999997"/>
    <n v="0.995"/>
    <n v="0.94971499999999998"/>
    <n v="0.91639900103074046"/>
    <n v="412400"/>
    <n v="0"/>
    <n v="412400"/>
    <n v="53800"/>
    <n v="466200"/>
    <n v="5.09683995922528E-2"/>
    <n v="-0.30937098844672656"/>
    <n v="-8.7178396768020413E-3"/>
  </r>
  <r>
    <n v="2025"/>
    <s v="18132241453    "/>
    <n v="-1.8971199848858813"/>
    <n v="0.15"/>
    <n v="6506"/>
    <s v="6"/>
    <s v="RES"/>
    <x v="0"/>
    <s v="11"/>
    <s v="259"/>
    <s v="TD"/>
    <s v="F"/>
    <s v="GD"/>
    <x v="7"/>
    <n v="77"/>
    <n v="51"/>
    <n v="1947"/>
    <n v="1973"/>
    <n v="888"/>
    <m/>
    <m/>
    <n v="0"/>
    <m/>
    <m/>
    <n v="888"/>
    <n v="1000"/>
    <n v="5"/>
    <m/>
    <m/>
    <m/>
    <m/>
    <m/>
    <m/>
    <m/>
    <n v="133858"/>
    <n v="95039"/>
    <n v="10689"/>
    <n v="257700"/>
    <n v="48400"/>
    <n v="209300"/>
    <n v="0"/>
    <n v="0"/>
    <n v="89850.625589999996"/>
    <n v="-60052.604136134301"/>
    <n v="-43578.886190266698"/>
    <n v="197752.34721000001"/>
    <n v="-11375.3256255"/>
    <n v="43874.898850776"/>
    <n v="0"/>
    <n v="0"/>
    <n v="0"/>
    <n v="18960.110526"/>
    <n v="0"/>
    <n v="10700"/>
    <n v="205600"/>
    <n v="29800"/>
    <n v="246100"/>
    <n v="-4.5013581684128834E-2"/>
    <n v="0.99970000000000003"/>
    <n v="1"/>
    <n v="0.99650000000000005"/>
    <n v="1.0148999999999999"/>
    <n v="0.995"/>
    <n v="0.94971499999999998"/>
    <n v="0.95568976224593605"/>
    <n v="205600"/>
    <n v="10200"/>
    <n v="215800"/>
    <n v="28300"/>
    <n v="244100"/>
    <n v="3.1055900621118012E-2"/>
    <n v="-0.41528925619834711"/>
    <n v="-5.2774544043461387E-2"/>
  </r>
  <r>
    <n v="2025"/>
    <s v="18132242415    "/>
    <n v="-1.4696759700589417"/>
    <n v="0.23"/>
    <n v="10168"/>
    <s v="6"/>
    <s v="RES"/>
    <x v="0"/>
    <s v="11"/>
    <s v="259"/>
    <s v="TD"/>
    <s v="A"/>
    <s v="VG"/>
    <x v="7"/>
    <n v="78"/>
    <n v="52"/>
    <n v="1946"/>
    <n v="1972"/>
    <n v="1072"/>
    <m/>
    <n v="397"/>
    <n v="397"/>
    <n v="0"/>
    <m/>
    <n v="1072"/>
    <n v="1500"/>
    <n v="5"/>
    <n v="220"/>
    <m/>
    <n v="176"/>
    <m/>
    <m/>
    <m/>
    <m/>
    <n v="215826"/>
    <n v="153236"/>
    <n v="0"/>
    <n v="336000"/>
    <n v="63300"/>
    <n v="272700"/>
    <n v="0"/>
    <n v="0"/>
    <n v="89850.625589999996"/>
    <n v="-46522.028095997222"/>
    <n v="21557.329055999999"/>
    <n v="284810.60806"/>
    <n v="-11598.371226000001"/>
    <n v="52966.094108144003"/>
    <n v="0"/>
    <n v="0"/>
    <n v="11545.512413058999"/>
    <n v="18960.110526"/>
    <n v="5860.0106885760006"/>
    <n v="0"/>
    <n v="384100"/>
    <n v="43300"/>
    <n v="427400"/>
    <n v="0.2720238095238095"/>
    <n v="0.99970000000000003"/>
    <n v="1.0067999999999999"/>
    <n v="1.0158"/>
    <n v="1.0157"/>
    <n v="0.995"/>
    <n v="0.94971499999999998"/>
    <n v="0.98159705323404611"/>
    <n v="384100"/>
    <n v="0"/>
    <n v="384100"/>
    <n v="41100"/>
    <n v="425200"/>
    <n v="0.40850751741840852"/>
    <n v="-0.35071090047393366"/>
    <n v="0.26547619047619048"/>
  </r>
  <r>
    <n v="2025"/>
    <s v="18132332452    "/>
    <n v="-1.2378743560016174"/>
    <n v="0.28999999999999998"/>
    <n v="12495"/>
    <s v="6"/>
    <s v="RES"/>
    <x v="0"/>
    <s v="11"/>
    <s v="259"/>
    <s v="CC"/>
    <s v="A"/>
    <s v="GD"/>
    <x v="7"/>
    <n v="78"/>
    <n v="56"/>
    <n v="1946"/>
    <n v="1968"/>
    <n v="1088"/>
    <n v="667"/>
    <n v="1088"/>
    <n v="762"/>
    <n v="326"/>
    <m/>
    <n v="2081"/>
    <n v="2500"/>
    <n v="9"/>
    <m/>
    <m/>
    <n v="406"/>
    <m/>
    <m/>
    <m/>
    <m/>
    <n v="328024"/>
    <n v="216496"/>
    <n v="10506"/>
    <n v="382600"/>
    <n v="71400"/>
    <n v="311200"/>
    <n v="0"/>
    <n v="0"/>
    <n v="89850.625589999996"/>
    <n v="-39184.437074869042"/>
    <n v="21557.329055999999"/>
    <n v="197752.34721000001"/>
    <n v="-12490.553628"/>
    <n v="53756.632826175999"/>
    <n v="29872.544048287"/>
    <n v="0"/>
    <n v="31641.102028735997"/>
    <n v="34128.198946800003"/>
    <n v="13517.979202056002"/>
    <n v="10500"/>
    <n v="369700"/>
    <n v="50700"/>
    <n v="430900"/>
    <n v="0.12624150548876112"/>
    <n v="0.99970000000000003"/>
    <n v="1.0067999999999999"/>
    <n v="0.99650000000000005"/>
    <n v="0.98919999999999997"/>
    <n v="0.995"/>
    <n v="0.94971499999999998"/>
    <n v="0.93782325090236773"/>
    <n v="369700"/>
    <n v="10000"/>
    <n v="379700"/>
    <n v="48100"/>
    <n v="427800"/>
    <n v="0.22011568123393316"/>
    <n v="-0.32633053221288516"/>
    <n v="0.11813904861474124"/>
  </r>
  <r>
    <n v="2025"/>
    <s v="18132244497    "/>
    <n v="-1.5141277326297755"/>
    <n v="0.22"/>
    <n v="9549"/>
    <s v="6"/>
    <s v="RES"/>
    <x v="0"/>
    <s v="11"/>
    <s v="259"/>
    <s v="TD"/>
    <s v="A"/>
    <s v="GD"/>
    <x v="7"/>
    <n v="78"/>
    <n v="52"/>
    <n v="1946"/>
    <n v="1972"/>
    <n v="1234"/>
    <m/>
    <n v="1244"/>
    <n v="1244"/>
    <m/>
    <m/>
    <n v="1234"/>
    <n v="1500"/>
    <n v="7"/>
    <m/>
    <m/>
    <m/>
    <m/>
    <m/>
    <m/>
    <m/>
    <n v="246103"/>
    <n v="172272"/>
    <n v="9270"/>
    <n v="341100"/>
    <n v="61700"/>
    <n v="279400"/>
    <n v="0"/>
    <n v="0"/>
    <n v="89850.625589999996"/>
    <n v="-47929.131559187132"/>
    <n v="21557.329055999999"/>
    <n v="197752.34721000001"/>
    <n v="-11598.371226000001"/>
    <n v="60970.298628217999"/>
    <n v="0"/>
    <n v="0"/>
    <n v="36177.877687267995"/>
    <n v="26544.1547364"/>
    <n v="0"/>
    <n v="9300"/>
    <n v="331400"/>
    <n v="41900"/>
    <n v="382600"/>
    <n v="0.12166520082087365"/>
    <n v="0.99970000000000003"/>
    <n v="1.0067999999999999"/>
    <n v="0.99650000000000005"/>
    <n v="1.0157"/>
    <n v="0.995"/>
    <n v="0.94971499999999998"/>
    <n v="0.96294690248840986"/>
    <n v="331400"/>
    <n v="8800"/>
    <n v="340200"/>
    <n v="39800"/>
    <n v="380000"/>
    <n v="0.21760916249105225"/>
    <n v="-0.35494327390599678"/>
    <n v="0.11404280269715626"/>
  </r>
  <r>
    <n v="2025"/>
    <s v="18132334472    "/>
    <n v="-1.3470736479666092"/>
    <n v="0.26"/>
    <n v="11128"/>
    <s v="6"/>
    <s v="RES"/>
    <x v="0"/>
    <s v="11"/>
    <s v="259"/>
    <s v="BG"/>
    <s v="G"/>
    <s v="GD"/>
    <x v="7"/>
    <n v="78"/>
    <n v="52"/>
    <n v="1946"/>
    <n v="1972"/>
    <n v="2104"/>
    <m/>
    <n v="1664"/>
    <n v="1264"/>
    <n v="400"/>
    <m/>
    <n v="2504"/>
    <n v="3000"/>
    <n v="9"/>
    <m/>
    <n v="440"/>
    <n v="280"/>
    <m/>
    <m/>
    <m/>
    <m/>
    <n v="615758"/>
    <n v="431031"/>
    <n v="0"/>
    <n v="429800"/>
    <n v="67600"/>
    <n v="362200"/>
    <n v="0"/>
    <n v="0"/>
    <n v="89850.625589999996"/>
    <n v="-42641.098701210125"/>
    <n v="44121.038090000002"/>
    <n v="197752.34721000001"/>
    <n v="-11598.371226000001"/>
    <n v="103955.84142120801"/>
    <n v="0"/>
    <n v="0"/>
    <n v="48392.273691007998"/>
    <n v="34128.198946800003"/>
    <n v="9322.7442772800005"/>
    <n v="0"/>
    <n v="426100"/>
    <n v="47200"/>
    <n v="473300"/>
    <n v="0.10120986505351326"/>
    <n v="0.99970000000000003"/>
    <n v="0.98050000000000004"/>
    <n v="0.99650000000000005"/>
    <n v="0.96179999999999999"/>
    <n v="0.995"/>
    <n v="0.94971499999999998"/>
    <n v="0.88802675758029637"/>
    <n v="426100"/>
    <n v="0"/>
    <n v="426100"/>
    <n v="44800"/>
    <n v="470900"/>
    <n v="0.17642186637217008"/>
    <n v="-0.33727810650887574"/>
    <n v="9.5625872498836667E-2"/>
  </r>
  <r>
    <n v="2025"/>
    <s v="18132324428    "/>
    <n v="-1.6607312068216509"/>
    <n v="0.19"/>
    <m/>
    <s v="6"/>
    <s v="RES"/>
    <x v="0"/>
    <s v="11"/>
    <s v="259"/>
    <s v="BG"/>
    <s v="A+"/>
    <s v="GD"/>
    <x v="7"/>
    <n v="78"/>
    <n v="52"/>
    <n v="1946"/>
    <n v="1972"/>
    <n v="1142"/>
    <m/>
    <n v="900"/>
    <n v="225"/>
    <n v="675"/>
    <m/>
    <n v="1817"/>
    <n v="2000"/>
    <n v="8"/>
    <m/>
    <m/>
    <n v="224"/>
    <m/>
    <m/>
    <m/>
    <m/>
    <n v="302747"/>
    <n v="211923"/>
    <n v="7721"/>
    <n v="346400"/>
    <n v="56600"/>
    <n v="289800"/>
    <n v="0"/>
    <n v="0"/>
    <n v="89850.625589999996"/>
    <n v="-52569.808201026557"/>
    <n v="29814.093161000001"/>
    <n v="197752.34721000001"/>
    <n v="-11598.371226000001"/>
    <n v="56424.700999534005"/>
    <n v="0"/>
    <n v="0"/>
    <n v="26173.705722299997"/>
    <n v="30336.176841600001"/>
    <n v="7458.1954218240007"/>
    <n v="7700"/>
    <n v="336400"/>
    <n v="37300"/>
    <n v="381400"/>
    <n v="0.10103926096997691"/>
    <n v="0.99970000000000003"/>
    <n v="1.0088999999999999"/>
    <n v="0.99650000000000005"/>
    <n v="1.0093000000000001"/>
    <n v="0.995"/>
    <n v="0.94971499999999998"/>
    <n v="0.9588751782051762"/>
    <n v="336400"/>
    <n v="7300"/>
    <n v="343700"/>
    <n v="35400"/>
    <n v="379100"/>
    <n v="0.1859903381642512"/>
    <n v="-0.37455830388692579"/>
    <n v="9.4399538106235567E-2"/>
  </r>
  <r>
    <n v="2025"/>
    <s v="18132241051    "/>
    <n v="-2.3025850929940455"/>
    <n v="0.1"/>
    <n v="4258"/>
    <s v="6"/>
    <s v="RES"/>
    <x v="0"/>
    <s v="11"/>
    <s v="259"/>
    <s v="RN"/>
    <s v="A"/>
    <s v="GD"/>
    <x v="7"/>
    <n v="78"/>
    <n v="52"/>
    <n v="1946"/>
    <n v="1972"/>
    <n v="974"/>
    <m/>
    <n v="974"/>
    <n v="0"/>
    <n v="974"/>
    <m/>
    <n v="1948"/>
    <n v="2000"/>
    <n v="9"/>
    <n v="264"/>
    <m/>
    <n v="180"/>
    <m/>
    <m/>
    <m/>
    <m/>
    <n v="269965"/>
    <n v="188976"/>
    <n v="0"/>
    <n v="311900"/>
    <n v="34200"/>
    <n v="277700"/>
    <n v="0"/>
    <n v="0"/>
    <n v="89850.625589999996"/>
    <n v="-72887.446329681261"/>
    <n v="21557.329055999999"/>
    <n v="197752.34721000001"/>
    <n v="-11598.371226000001"/>
    <n v="48124.044460197998"/>
    <n v="0"/>
    <n v="0"/>
    <n v="28325.765970577999"/>
    <n v="34128.198946800003"/>
    <n v="5993.1927496800008"/>
    <n v="0"/>
    <n v="324300"/>
    <n v="17000"/>
    <n v="341300"/>
    <n v="9.4260981083680667E-2"/>
    <n v="0.99970000000000003"/>
    <n v="1.0067999999999999"/>
    <n v="0.99650000000000005"/>
    <n v="1.0093000000000001"/>
    <n v="0.995"/>
    <n v="0.94971499999999998"/>
    <n v="0.95687930361479956"/>
    <n v="324300"/>
    <n v="0"/>
    <n v="324300"/>
    <n v="16100"/>
    <n v="340400"/>
    <n v="0.16780698595606769"/>
    <n v="-0.5292397660818714"/>
    <n v="9.1375440846425141E-2"/>
  </r>
  <r>
    <n v="2025"/>
    <s v="18132324540    "/>
    <n v="-1.6094379124341003"/>
    <n v="0.2"/>
    <m/>
    <s v="6"/>
    <s v="RES"/>
    <x v="0"/>
    <s v="11"/>
    <s v="259"/>
    <s v="BG"/>
    <s v="A"/>
    <s v="AV"/>
    <x v="7"/>
    <n v="78"/>
    <n v="52"/>
    <n v="1946"/>
    <n v="1972"/>
    <n v="947"/>
    <m/>
    <n v="935"/>
    <n v="935"/>
    <m/>
    <m/>
    <n v="947"/>
    <n v="1000"/>
    <n v="5"/>
    <m/>
    <m/>
    <m/>
    <m/>
    <m/>
    <m/>
    <m/>
    <n v="198030"/>
    <n v="134660"/>
    <n v="8782"/>
    <n v="285800"/>
    <n v="58400"/>
    <n v="227400"/>
    <n v="0"/>
    <n v="0"/>
    <n v="89850.625589999996"/>
    <n v="-50946.13867709865"/>
    <n v="21557.329055999999"/>
    <n v="160472.20319"/>
    <n v="-11598.371226000001"/>
    <n v="46790.010373518999"/>
    <n v="0"/>
    <n v="0"/>
    <n v="27191.572055944998"/>
    <n v="18960.110526"/>
    <n v="0"/>
    <n v="8800"/>
    <n v="263400"/>
    <n v="38900"/>
    <n v="311100"/>
    <n v="8.8523442967109872E-2"/>
    <n v="0.99970000000000003"/>
    <n v="1.0067999999999999"/>
    <n v="0.99729999999999996"/>
    <n v="1.0148999999999999"/>
    <n v="0.995"/>
    <n v="0.94971499999999998"/>
    <n v="0.96296090698154491"/>
    <n v="263400"/>
    <n v="8300"/>
    <n v="271700"/>
    <n v="36900"/>
    <n v="308600"/>
    <n v="0.19481090589270009"/>
    <n v="-0.36815068493150682"/>
    <n v="7.9776067179846047E-2"/>
  </r>
  <r>
    <n v="2025"/>
    <s v="18132214446    "/>
    <n v="-1.7147984280919266"/>
    <n v="0.18"/>
    <n v="7624"/>
    <s v="6"/>
    <s v="RES"/>
    <x v="0"/>
    <s v="11"/>
    <s v="259"/>
    <s v="TD"/>
    <s v="G"/>
    <s v="GD"/>
    <x v="7"/>
    <n v="78"/>
    <n v="52"/>
    <n v="1946"/>
    <n v="1972"/>
    <n v="1399"/>
    <m/>
    <n v="1119"/>
    <n v="0"/>
    <n v="1119"/>
    <m/>
    <n v="2518"/>
    <n v="3000"/>
    <n v="11"/>
    <m/>
    <m/>
    <n v="308"/>
    <m/>
    <m/>
    <m/>
    <m/>
    <n v="430797"/>
    <n v="301558"/>
    <n v="5261"/>
    <n v="392700"/>
    <n v="54700"/>
    <n v="338000"/>
    <n v="0"/>
    <n v="0"/>
    <n v="89850.625589999996"/>
    <n v="-54281.285314520763"/>
    <n v="44121.038090000002"/>
    <n v="197752.34721000001"/>
    <n v="-11598.371226000001"/>
    <n v="69122.729157923008"/>
    <n v="0"/>
    <n v="0"/>
    <n v="32542.640781392998"/>
    <n v="41712.243157199999"/>
    <n v="10255.018705008"/>
    <n v="5300"/>
    <n v="383900"/>
    <n v="35600"/>
    <n v="424800"/>
    <n v="8.1741787624140569E-2"/>
    <n v="0.99970000000000003"/>
    <n v="0.98050000000000004"/>
    <n v="0.99650000000000005"/>
    <n v="0.96179999999999999"/>
    <n v="0.995"/>
    <n v="0.94971499999999998"/>
    <n v="0.88802675758029637"/>
    <n v="383900"/>
    <n v="5000"/>
    <n v="388900"/>
    <n v="33800"/>
    <n v="422700"/>
    <n v="0.15059171597633136"/>
    <n v="-0.38208409506398539"/>
    <n v="7.6394194041252861E-2"/>
  </r>
  <r>
    <n v="2025"/>
    <s v="18132324539    "/>
    <n v="-1.6094379124341003"/>
    <n v="0.2"/>
    <m/>
    <s v="6"/>
    <s v="RES"/>
    <x v="0"/>
    <s v="11"/>
    <s v="259"/>
    <s v="CC"/>
    <s v="A+"/>
    <s v="GD"/>
    <x v="7"/>
    <n v="78"/>
    <n v="52"/>
    <n v="1946"/>
    <n v="1972"/>
    <n v="1211"/>
    <n v="546"/>
    <n v="1211"/>
    <n v="605"/>
    <n v="606"/>
    <m/>
    <n v="2363"/>
    <n v="2500"/>
    <n v="7"/>
    <m/>
    <m/>
    <m/>
    <m/>
    <m/>
    <m/>
    <m/>
    <n v="389663"/>
    <n v="272764"/>
    <n v="7015"/>
    <n v="378500"/>
    <n v="58400"/>
    <n v="320100"/>
    <n v="0"/>
    <n v="0"/>
    <n v="89850.625589999996"/>
    <n v="-50946.13867709865"/>
    <n v="29814.093161000001"/>
    <n v="197752.34721000001"/>
    <n v="-11598.371226000001"/>
    <n v="59833.899221047002"/>
    <n v="24453.386882105999"/>
    <n v="0"/>
    <n v="35218.175144116998"/>
    <n v="26544.1547364"/>
    <n v="0"/>
    <n v="7000"/>
    <n v="362000"/>
    <n v="38900"/>
    <n v="407900"/>
    <n v="7.767503302509908E-2"/>
    <n v="0.99970000000000003"/>
    <n v="1.0088999999999999"/>
    <n v="0.99650000000000005"/>
    <n v="0.98919999999999997"/>
    <n v="0.995"/>
    <n v="0.94971499999999998"/>
    <n v="0.93977937806455991"/>
    <n v="362000"/>
    <n v="6700"/>
    <n v="368700"/>
    <n v="36900"/>
    <n v="405600"/>
    <n v="0.15182755388940955"/>
    <n v="-0.36815068493150682"/>
    <n v="7.1598414795244383E-2"/>
  </r>
  <r>
    <n v="2025"/>
    <s v="18132334485    "/>
    <n v="-1.6094379124341003"/>
    <n v="0.2"/>
    <m/>
    <s v="6"/>
    <s v="RES"/>
    <x v="0"/>
    <s v="11"/>
    <s v="259"/>
    <s v="TD"/>
    <s v="A"/>
    <s v="GD"/>
    <x v="7"/>
    <n v="78"/>
    <n v="52"/>
    <n v="1946"/>
    <n v="1972"/>
    <n v="1217"/>
    <m/>
    <n v="1008"/>
    <n v="504"/>
    <n v="504"/>
    <m/>
    <n v="1721"/>
    <n v="2000"/>
    <n v="11"/>
    <m/>
    <m/>
    <m/>
    <m/>
    <m/>
    <m/>
    <m/>
    <n v="282445"/>
    <n v="197712"/>
    <n v="17002"/>
    <n v="367500"/>
    <n v="58400"/>
    <n v="309100"/>
    <n v="0"/>
    <n v="0"/>
    <n v="89850.625589999996"/>
    <n v="-50946.13867709865"/>
    <n v="21557.329055999999"/>
    <n v="197752.34721000001"/>
    <n v="-11598.371226000001"/>
    <n v="60130.351240308999"/>
    <n v="0"/>
    <n v="0"/>
    <n v="29314.550408976"/>
    <n v="41712.243157199999"/>
    <n v="0"/>
    <n v="17000"/>
    <n v="338900"/>
    <n v="38900"/>
    <n v="394800"/>
    <n v="7.4285714285714288E-2"/>
    <n v="0.99970000000000003"/>
    <n v="1.0067999999999999"/>
    <n v="0.99650000000000005"/>
    <n v="1.0093000000000001"/>
    <n v="0.995"/>
    <n v="0.94971499999999998"/>
    <n v="0.95687930361479956"/>
    <n v="338900"/>
    <n v="16100"/>
    <n v="355000"/>
    <n v="36900"/>
    <n v="391900"/>
    <n v="0.1484956324813976"/>
    <n v="-0.36815068493150682"/>
    <n v="6.6394557823129252E-2"/>
  </r>
  <r>
    <n v="2025"/>
    <s v="18132332582    "/>
    <n v="-1.7719568419318752"/>
    <n v="0.17"/>
    <n v="7251"/>
    <s v="6"/>
    <s v="RES"/>
    <x v="0"/>
    <s v="11"/>
    <s v="259"/>
    <s v="RN"/>
    <s v="G"/>
    <s v="GD"/>
    <x v="7"/>
    <n v="78"/>
    <n v="52"/>
    <n v="1946"/>
    <n v="1972"/>
    <n v="1180"/>
    <m/>
    <n v="1180"/>
    <n v="295"/>
    <n v="885"/>
    <m/>
    <n v="2065"/>
    <n v="2500"/>
    <n v="9"/>
    <n v="330"/>
    <m/>
    <m/>
    <m/>
    <m/>
    <m/>
    <m/>
    <n v="432993"/>
    <n v="303095"/>
    <n v="0"/>
    <n v="365000"/>
    <n v="52700"/>
    <n v="312300"/>
    <n v="0"/>
    <n v="0"/>
    <n v="89850.625589999996"/>
    <n v="-56090.612940989391"/>
    <n v="44121.038090000002"/>
    <n v="197752.34721000001"/>
    <n v="-11598.371226000001"/>
    <n v="58302.23045486"/>
    <n v="0"/>
    <n v="0"/>
    <n v="34316.636391460001"/>
    <n v="34128.198946800003"/>
    <n v="0"/>
    <n v="0"/>
    <n v="357000"/>
    <n v="33800"/>
    <n v="390800"/>
    <n v="7.0684931506849319E-2"/>
    <n v="0.99970000000000003"/>
    <n v="0.98050000000000004"/>
    <n v="0.99650000000000005"/>
    <n v="0.98919999999999997"/>
    <n v="0.995"/>
    <n v="0.94971499999999998"/>
    <n v="0.91332508691872449"/>
    <n v="357000"/>
    <n v="0"/>
    <n v="357000"/>
    <n v="32100"/>
    <n v="389100"/>
    <n v="0.14313160422670509"/>
    <n v="-0.39089184060721061"/>
    <n v="6.6027397260273971E-2"/>
  </r>
  <r>
    <n v="2025"/>
    <s v="18132241044    "/>
    <n v="-2.120263536200091"/>
    <n v="0.12"/>
    <n v="5036"/>
    <s v="6"/>
    <s v="RES"/>
    <x v="0"/>
    <s v="11"/>
    <s v="259"/>
    <s v="TD"/>
    <s v="A"/>
    <s v="AV"/>
    <x v="7"/>
    <n v="78"/>
    <n v="52"/>
    <n v="1946"/>
    <n v="1972"/>
    <n v="922"/>
    <m/>
    <n v="336"/>
    <n v="336"/>
    <m/>
    <m/>
    <n v="922"/>
    <n v="1000"/>
    <n v="5"/>
    <m/>
    <m/>
    <m/>
    <m/>
    <m/>
    <m/>
    <m/>
    <n v="177586"/>
    <n v="120758"/>
    <n v="2545"/>
    <n v="252500"/>
    <n v="40600"/>
    <n v="211900"/>
    <n v="0"/>
    <n v="0"/>
    <n v="89850.625589999996"/>
    <n v="-67116.12750806773"/>
    <n v="21557.329055999999"/>
    <n v="160472.20319"/>
    <n v="-11598.371226000001"/>
    <n v="45554.793626594001"/>
    <n v="0"/>
    <n v="0"/>
    <n v="9771.5168029919987"/>
    <n v="18960.110526"/>
    <n v="0"/>
    <n v="2500"/>
    <n v="244700"/>
    <n v="22700"/>
    <n v="269900"/>
    <n v="6.8910891089108917E-2"/>
    <n v="0.99970000000000003"/>
    <n v="1.0067999999999999"/>
    <n v="0.99729999999999996"/>
    <n v="1.0148999999999999"/>
    <n v="0.995"/>
    <n v="0.94971499999999998"/>
    <n v="0.96296090698154491"/>
    <n v="244700"/>
    <n v="2400"/>
    <n v="247100"/>
    <n v="21600"/>
    <n v="268700"/>
    <n v="0.16611609249646059"/>
    <n v="-0.46798029556650245"/>
    <n v="6.415841584158416E-2"/>
  </r>
  <r>
    <n v="2025"/>
    <s v="18132241454    "/>
    <n v="-1.8971199848858813"/>
    <n v="0.15"/>
    <n v="6361"/>
    <s v="6"/>
    <s v="RES"/>
    <x v="0"/>
    <s v="11"/>
    <s v="259"/>
    <s v="BG"/>
    <s v="A"/>
    <s v="AV"/>
    <x v="7"/>
    <n v="78"/>
    <n v="52"/>
    <n v="1946"/>
    <n v="1972"/>
    <n v="1164"/>
    <m/>
    <m/>
    <n v="0"/>
    <m/>
    <m/>
    <n v="1164"/>
    <n v="1500"/>
    <n v="5"/>
    <m/>
    <m/>
    <m/>
    <m/>
    <m/>
    <m/>
    <m/>
    <n v="210574"/>
    <n v="143190"/>
    <n v="10746"/>
    <n v="268600"/>
    <n v="48400"/>
    <n v="220200"/>
    <n v="0"/>
    <n v="0"/>
    <n v="89850.625589999996"/>
    <n v="-60052.604136134301"/>
    <n v="21557.329055999999"/>
    <n v="160472.20319"/>
    <n v="-11598.371226000001"/>
    <n v="57511.691736828005"/>
    <n v="0"/>
    <n v="0"/>
    <n v="0"/>
    <n v="18960.110526"/>
    <n v="0"/>
    <n v="10700"/>
    <n v="246900"/>
    <n v="29800"/>
    <n v="287400"/>
    <n v="6.9992553983618769E-2"/>
    <n v="0.99970000000000003"/>
    <n v="1.0067999999999999"/>
    <n v="0.99729999999999996"/>
    <n v="1.0157"/>
    <n v="0.995"/>
    <n v="0.94971499999999998"/>
    <n v="0.96371996573175212"/>
    <n v="246900"/>
    <n v="10200"/>
    <n v="257100"/>
    <n v="28300"/>
    <n v="285400"/>
    <n v="0.167574931880109"/>
    <n v="-0.41528925619834711"/>
    <n v="6.2546537602382726E-2"/>
  </r>
  <r>
    <n v="2025"/>
    <s v="18132241018    "/>
    <n v="-1.3470736479666092"/>
    <n v="0.26"/>
    <n v="11367"/>
    <s v="6"/>
    <s v="RES"/>
    <x v="0"/>
    <s v="11"/>
    <s v="259"/>
    <s v="RN"/>
    <s v="G"/>
    <s v="AV"/>
    <x v="7"/>
    <n v="78"/>
    <n v="52"/>
    <n v="1946"/>
    <n v="1972"/>
    <n v="1246"/>
    <m/>
    <n v="882"/>
    <n v="782"/>
    <n v="100"/>
    <m/>
    <n v="1346"/>
    <n v="1500"/>
    <n v="5"/>
    <n v="350"/>
    <m/>
    <m/>
    <m/>
    <m/>
    <m/>
    <m/>
    <n v="351752"/>
    <n v="239191"/>
    <n v="0"/>
    <n v="323900"/>
    <n v="67600"/>
    <n v="256300"/>
    <n v="0"/>
    <n v="0"/>
    <n v="89850.625589999996"/>
    <n v="-42641.098701210125"/>
    <n v="44121.038090000002"/>
    <n v="160472.20319"/>
    <n v="-11598.371226000001"/>
    <n v="61563.202666742"/>
    <n v="0"/>
    <n v="0"/>
    <n v="25650.231607853999"/>
    <n v="18960.110526"/>
    <n v="0"/>
    <n v="0"/>
    <n v="299200"/>
    <n v="47200"/>
    <n v="346400"/>
    <n v="6.9465884532263045E-2"/>
    <n v="0.99970000000000003"/>
    <n v="0.98050000000000004"/>
    <n v="0.99729999999999996"/>
    <n v="1.0157"/>
    <n v="0.995"/>
    <n v="0.94971499999999998"/>
    <n v="0.93854531823597842"/>
    <n v="299200"/>
    <n v="0"/>
    <n v="299200"/>
    <n v="44800"/>
    <n v="344000"/>
    <n v="0.16738197424892703"/>
    <n v="-0.33727810650887574"/>
    <n v="6.2056190182154983E-2"/>
  </r>
  <r>
    <n v="2025"/>
    <s v="18132334444    "/>
    <n v="-1.5141277326297755"/>
    <n v="0.22"/>
    <m/>
    <s v="6"/>
    <s v="RES"/>
    <x v="0"/>
    <s v="11"/>
    <s v="259"/>
    <s v="RN"/>
    <s v="G"/>
    <s v="GD"/>
    <x v="7"/>
    <n v="78"/>
    <n v="52"/>
    <n v="1946"/>
    <n v="1972"/>
    <n v="2044"/>
    <m/>
    <m/>
    <n v="0"/>
    <m/>
    <m/>
    <n v="2044"/>
    <n v="2500"/>
    <n v="7"/>
    <n v="308"/>
    <m/>
    <m/>
    <m/>
    <m/>
    <m/>
    <m/>
    <n v="454874"/>
    <n v="318412"/>
    <n v="0"/>
    <n v="374600"/>
    <n v="61700"/>
    <n v="312900"/>
    <n v="0"/>
    <n v="0"/>
    <n v="89850.625589999996"/>
    <n v="-47929.131559187132"/>
    <n v="44121.038090000002"/>
    <n v="197752.34721000001"/>
    <n v="-11598.371226000001"/>
    <n v="100991.321228588"/>
    <n v="0"/>
    <n v="0"/>
    <n v="0"/>
    <n v="26544.1547364"/>
    <n v="0"/>
    <n v="0"/>
    <n v="357800"/>
    <n v="41900"/>
    <n v="399700"/>
    <n v="6.7004805125467165E-2"/>
    <n v="0.99970000000000003"/>
    <n v="0.98050000000000004"/>
    <n v="0.99650000000000005"/>
    <n v="0.98919999999999997"/>
    <n v="0.995"/>
    <n v="0.94971499999999998"/>
    <n v="0.91332508691872449"/>
    <n v="357800"/>
    <n v="0"/>
    <n v="357800"/>
    <n v="39800"/>
    <n v="397600"/>
    <n v="0.1434963247043784"/>
    <n v="-0.35494327390599678"/>
    <n v="6.1398825413774692E-2"/>
  </r>
  <r>
    <n v="2025"/>
    <s v="18132334550    "/>
    <n v="-1.5141277326297755"/>
    <n v="0.22"/>
    <m/>
    <s v="6"/>
    <s v="RES"/>
    <x v="0"/>
    <s v="11"/>
    <s v="259"/>
    <s v="BG"/>
    <s v="A+"/>
    <s v="GD"/>
    <x v="7"/>
    <n v="78"/>
    <n v="52"/>
    <n v="1946"/>
    <n v="1972"/>
    <n v="1526"/>
    <m/>
    <n v="650"/>
    <n v="0"/>
    <n v="650"/>
    <m/>
    <n v="2176"/>
    <n v="2500"/>
    <n v="8"/>
    <m/>
    <m/>
    <m/>
    <m/>
    <m/>
    <m/>
    <m/>
    <n v="343365"/>
    <n v="240356"/>
    <n v="9718"/>
    <n v="367500"/>
    <n v="61700"/>
    <n v="305800"/>
    <n v="0"/>
    <n v="0"/>
    <n v="89850.625589999996"/>
    <n v="-47929.131559187132"/>
    <n v="29814.093161000001"/>
    <n v="197752.34721000001"/>
    <n v="-11598.371226000001"/>
    <n v="75397.630232302006"/>
    <n v="0"/>
    <n v="0"/>
    <n v="18903.231910549999"/>
    <n v="30336.176841600001"/>
    <n v="0"/>
    <n v="9700"/>
    <n v="340600"/>
    <n v="41900"/>
    <n v="392200"/>
    <n v="6.7210884353741493E-2"/>
    <n v="0.99970000000000003"/>
    <n v="1.0088999999999999"/>
    <n v="0.99650000000000005"/>
    <n v="0.98919999999999997"/>
    <n v="0.995"/>
    <n v="0.94971499999999998"/>
    <n v="0.93977937806455991"/>
    <n v="340600"/>
    <n v="9200"/>
    <n v="349800"/>
    <n v="39800"/>
    <n v="389600"/>
    <n v="0.14388489208633093"/>
    <n v="-0.35494327390599678"/>
    <n v="6.0136054421768705E-2"/>
  </r>
  <r>
    <n v="2025"/>
    <s v="18132331408    "/>
    <n v="-1.6094379124341003"/>
    <n v="0.2"/>
    <n v="8583"/>
    <s v="6"/>
    <s v="RES"/>
    <x v="0"/>
    <s v="11"/>
    <s v="259"/>
    <s v="RN"/>
    <s v="F+"/>
    <s v="GD"/>
    <x v="7"/>
    <n v="78"/>
    <n v="52"/>
    <n v="1946"/>
    <n v="1972"/>
    <n v="1152"/>
    <m/>
    <m/>
    <n v="0"/>
    <m/>
    <m/>
    <n v="1152"/>
    <n v="1500"/>
    <n v="7"/>
    <m/>
    <m/>
    <m/>
    <m/>
    <m/>
    <m/>
    <m/>
    <n v="177983"/>
    <n v="124588"/>
    <n v="9030"/>
    <n v="297800"/>
    <n v="58400"/>
    <n v="239400"/>
    <n v="0"/>
    <n v="0"/>
    <n v="89850.625589999996"/>
    <n v="-50946.13867709865"/>
    <n v="0"/>
    <n v="197752.34721000001"/>
    <n v="-11598.371226000001"/>
    <n v="56918.787698304004"/>
    <n v="0"/>
    <n v="0"/>
    <n v="0"/>
    <n v="26544.1547364"/>
    <n v="0"/>
    <n v="9000"/>
    <n v="269600"/>
    <n v="38900"/>
    <n v="317500"/>
    <n v="6.61517797179315E-2"/>
    <n v="0.99970000000000003"/>
    <n v="0.99180000000000001"/>
    <n v="0.99650000000000005"/>
    <n v="1.0157"/>
    <n v="0.995"/>
    <n v="0.94971499999999998"/>
    <n v="0.94860025614621091"/>
    <n v="269600"/>
    <n v="8600"/>
    <n v="278200"/>
    <n v="36900"/>
    <n v="315100"/>
    <n v="0.16207184628237259"/>
    <n v="-0.36815068493150682"/>
    <n v="5.8092679650772333E-2"/>
  </r>
  <r>
    <n v="2025"/>
    <s v="18132242418    "/>
    <n v="-2.120263536200091"/>
    <n v="0.12"/>
    <n v="5187"/>
    <s v="6"/>
    <s v="RES"/>
    <x v="0"/>
    <s v="11"/>
    <s v="259"/>
    <s v="TD"/>
    <s v="A"/>
    <s v="FR"/>
    <x v="7"/>
    <n v="78"/>
    <n v="52"/>
    <n v="1946"/>
    <n v="1972"/>
    <n v="868"/>
    <m/>
    <n v="868"/>
    <n v="0"/>
    <n v="868"/>
    <m/>
    <n v="1736"/>
    <n v="2000"/>
    <n v="8"/>
    <m/>
    <m/>
    <m/>
    <m/>
    <m/>
    <m/>
    <m/>
    <n v="219950"/>
    <n v="145167"/>
    <n v="12091"/>
    <n v="261800"/>
    <n v="40600"/>
    <n v="221200"/>
    <n v="0"/>
    <n v="0"/>
    <n v="89850.625589999996"/>
    <n v="-67116.12750806773"/>
    <n v="21557.329055999999"/>
    <n v="133714.53821"/>
    <n v="-11598.371226000001"/>
    <n v="42886.725453236002"/>
    <n v="0"/>
    <n v="0"/>
    <n v="25243.085074396"/>
    <n v="30336.176841600001"/>
    <n v="0"/>
    <n v="12100"/>
    <n v="242100"/>
    <n v="22700"/>
    <n v="276900"/>
    <n v="5.767761650114591E-2"/>
    <n v="0.99970000000000003"/>
    <n v="1.0067999999999999"/>
    <n v="0.99329999999999996"/>
    <n v="1.0093000000000001"/>
    <n v="0.995"/>
    <n v="0.94971499999999998"/>
    <n v="0.95380653515361813"/>
    <n v="242100"/>
    <n v="11500"/>
    <n v="253600"/>
    <n v="21600"/>
    <n v="275200"/>
    <n v="0.14647377938517178"/>
    <n v="-0.46798029556650245"/>
    <n v="5.1184110007639422E-2"/>
  </r>
  <r>
    <n v="2025"/>
    <s v="18132214470    "/>
    <n v="-1.1711829815029451"/>
    <n v="0.31"/>
    <n v="13497"/>
    <s v="6"/>
    <s v="RES"/>
    <x v="0"/>
    <s v="11"/>
    <s v="259"/>
    <s v="TD"/>
    <s v="F+"/>
    <s v="GD"/>
    <x v="7"/>
    <n v="78"/>
    <n v="52"/>
    <n v="1946"/>
    <n v="1972"/>
    <n v="1416"/>
    <m/>
    <m/>
    <n v="0"/>
    <m/>
    <m/>
    <n v="1416"/>
    <n v="1500"/>
    <n v="7"/>
    <m/>
    <m/>
    <m/>
    <m/>
    <m/>
    <m/>
    <m/>
    <n v="213034"/>
    <n v="149124"/>
    <n v="8075"/>
    <n v="325200"/>
    <n v="73700"/>
    <n v="251500"/>
    <n v="0"/>
    <n v="0"/>
    <n v="89850.625589999996"/>
    <n v="-37073.347241874442"/>
    <n v="0"/>
    <n v="197752.34721000001"/>
    <n v="-11598.371226000001"/>
    <n v="69962.676545832001"/>
    <n v="0"/>
    <n v="0"/>
    <n v="0"/>
    <n v="26544.1547364"/>
    <n v="0"/>
    <n v="8100"/>
    <n v="282700"/>
    <n v="52800"/>
    <n v="343600"/>
    <n v="5.6580565805658053E-2"/>
    <n v="0.99970000000000003"/>
    <n v="0.99180000000000001"/>
    <n v="0.99650000000000005"/>
    <n v="1.0157"/>
    <n v="0.995"/>
    <n v="0.94971499999999998"/>
    <n v="0.94860025614621091"/>
    <n v="282700"/>
    <n v="7700"/>
    <n v="290400"/>
    <n v="50100"/>
    <n v="340500"/>
    <n v="0.15467196819085488"/>
    <n v="-0.32021709633649931"/>
    <n v="4.7047970479704798E-2"/>
  </r>
  <r>
    <n v="2025"/>
    <s v="18132334452    "/>
    <n v="-1.5606477482646683"/>
    <n v="0.21"/>
    <n v="8978"/>
    <s v="6"/>
    <s v="RES"/>
    <x v="0"/>
    <s v="11"/>
    <s v="259"/>
    <s v="RN"/>
    <s v="G"/>
    <s v="GD"/>
    <x v="7"/>
    <n v="78"/>
    <n v="52"/>
    <n v="1946"/>
    <n v="1972"/>
    <n v="1344"/>
    <m/>
    <n v="1024"/>
    <n v="0"/>
    <n v="1024"/>
    <m/>
    <n v="2368"/>
    <n v="2500"/>
    <n v="8"/>
    <m/>
    <n v="252"/>
    <m/>
    <m/>
    <m/>
    <m/>
    <m/>
    <n v="442895"/>
    <n v="310027"/>
    <n v="0"/>
    <n v="378400"/>
    <n v="60100"/>
    <n v="318300"/>
    <n v="0"/>
    <n v="0"/>
    <n v="89850.625589999996"/>
    <n v="-49401.70477837498"/>
    <n v="44121.038090000002"/>
    <n v="197752.34721000001"/>
    <n v="-11598.371226000001"/>
    <n v="66405.252314687998"/>
    <n v="0"/>
    <n v="0"/>
    <n v="29779.860732927998"/>
    <n v="30336.176841600001"/>
    <n v="0"/>
    <n v="0"/>
    <n v="356800"/>
    <n v="40400"/>
    <n v="397200"/>
    <n v="4.9682875264270614E-2"/>
    <n v="0.99970000000000003"/>
    <n v="0.98050000000000004"/>
    <n v="0.99650000000000005"/>
    <n v="0.98919999999999997"/>
    <n v="0.995"/>
    <n v="0.94971499999999998"/>
    <n v="0.91332508691872449"/>
    <n v="356800"/>
    <n v="0"/>
    <n v="356800"/>
    <n v="38400"/>
    <n v="395200"/>
    <n v="0.12095507382972039"/>
    <n v="-0.36106489184692181"/>
    <n v="4.4397463002114168E-2"/>
  </r>
  <r>
    <n v="2025"/>
    <s v="18132334486    "/>
    <n v="-1.6094379124341003"/>
    <n v="0.2"/>
    <n v="8700"/>
    <s v="6"/>
    <s v="RES"/>
    <x v="0"/>
    <s v="11"/>
    <s v="259"/>
    <s v="TD"/>
    <s v="A"/>
    <s v="AV"/>
    <x v="7"/>
    <n v="78"/>
    <n v="52"/>
    <n v="1946"/>
    <n v="1972"/>
    <n v="893"/>
    <m/>
    <n v="893"/>
    <n v="293"/>
    <n v="600"/>
    <m/>
    <n v="1493"/>
    <n v="1500"/>
    <n v="5"/>
    <m/>
    <m/>
    <m/>
    <m/>
    <m/>
    <m/>
    <m/>
    <n v="213711"/>
    <n v="145323"/>
    <n v="4143"/>
    <n v="288100"/>
    <n v="58400"/>
    <n v="229700"/>
    <n v="0"/>
    <n v="0"/>
    <n v="89850.625589999996"/>
    <n v="-50946.13867709865"/>
    <n v="21557.329055999999"/>
    <n v="160472.20319"/>
    <n v="-11598.371226000001"/>
    <n v="44121.942200161"/>
    <n v="0"/>
    <n v="0"/>
    <n v="25970.132455570998"/>
    <n v="18960.110526"/>
    <n v="0"/>
    <n v="4100"/>
    <n v="259500"/>
    <n v="38900"/>
    <n v="302500"/>
    <n v="4.9982644914960087E-2"/>
    <n v="0.99970000000000003"/>
    <n v="1.0067999999999999"/>
    <n v="0.99729999999999996"/>
    <n v="1.0157"/>
    <n v="0.995"/>
    <n v="0.94971499999999998"/>
    <n v="0.96371996573175212"/>
    <n v="259500"/>
    <n v="3900"/>
    <n v="263400"/>
    <n v="36900"/>
    <n v="300300"/>
    <n v="0.14671310404875926"/>
    <n v="-0.36815068493150682"/>
    <n v="4.2346407497396737E-2"/>
  </r>
  <r>
    <n v="2025"/>
    <s v="18132244503    "/>
    <n v="-2.2072749131897207"/>
    <n v="0.11"/>
    <n v="4673"/>
    <s v="6"/>
    <s v="RES"/>
    <x v="0"/>
    <s v="11"/>
    <s v="259"/>
    <s v="TD"/>
    <s v="F+"/>
    <s v="AV"/>
    <x v="7"/>
    <n v="78"/>
    <n v="52"/>
    <n v="1946"/>
    <n v="1972"/>
    <n v="725"/>
    <m/>
    <m/>
    <n v="0"/>
    <m/>
    <m/>
    <n v="725"/>
    <n v="1000"/>
    <n v="5"/>
    <n v="294"/>
    <m/>
    <m/>
    <m/>
    <m/>
    <m/>
    <m/>
    <n v="125884"/>
    <n v="85601"/>
    <n v="0"/>
    <n v="214300"/>
    <n v="37600"/>
    <n v="176700"/>
    <n v="0"/>
    <n v="0"/>
    <n v="89850.625589999996"/>
    <n v="-69870.439211769743"/>
    <n v="0"/>
    <n v="160472.20319"/>
    <n v="-11598.371226000001"/>
    <n v="35821.285660825"/>
    <n v="0"/>
    <n v="0"/>
    <n v="0"/>
    <n v="18960.110526"/>
    <n v="0"/>
    <n v="0"/>
    <n v="203700"/>
    <n v="20000"/>
    <n v="223700"/>
    <n v="4.386374241717219E-2"/>
    <n v="0.99970000000000003"/>
    <n v="0.99180000000000001"/>
    <n v="0.99729999999999996"/>
    <n v="1.0148999999999999"/>
    <n v="0.995"/>
    <n v="0.94971499999999998"/>
    <n v="0.94861405199075932"/>
    <n v="203700"/>
    <n v="0"/>
    <n v="203700"/>
    <n v="19000"/>
    <n v="222700"/>
    <n v="0.15280135823429541"/>
    <n v="-0.49468085106382981"/>
    <n v="3.9197386840877278E-2"/>
  </r>
  <r>
    <n v="2025"/>
    <s v="18132334417    "/>
    <n v="-1.8971199848858813"/>
    <n v="0.15"/>
    <m/>
    <s v="6"/>
    <s v="RES"/>
    <x v="0"/>
    <s v="11"/>
    <s v="259"/>
    <s v="BG"/>
    <s v="A"/>
    <s v="AV"/>
    <x v="7"/>
    <n v="78"/>
    <n v="52"/>
    <n v="1946"/>
    <n v="1972"/>
    <n v="912"/>
    <m/>
    <n v="884"/>
    <n v="0"/>
    <n v="884"/>
    <m/>
    <n v="1796"/>
    <n v="2000"/>
    <n v="8"/>
    <m/>
    <m/>
    <n v="48"/>
    <m/>
    <m/>
    <m/>
    <m/>
    <n v="233016"/>
    <n v="158451"/>
    <n v="5732"/>
    <n v="297800"/>
    <n v="48400"/>
    <n v="249400"/>
    <n v="0"/>
    <n v="0"/>
    <n v="89850.625589999996"/>
    <n v="-60052.604136134301"/>
    <n v="21557.329055999999"/>
    <n v="160472.20319"/>
    <n v="-11598.371226000001"/>
    <n v="45060.706927824001"/>
    <n v="0"/>
    <n v="0"/>
    <n v="25708.395398347999"/>
    <n v="30336.176841600001"/>
    <n v="1598.1847332480002"/>
    <n v="5700"/>
    <n v="273100"/>
    <n v="29800"/>
    <n v="308600"/>
    <n v="3.626595030221625E-2"/>
    <n v="0.99970000000000003"/>
    <n v="1.0067999999999999"/>
    <n v="0.99729999999999996"/>
    <n v="1.0093000000000001"/>
    <n v="0.995"/>
    <n v="0.94971499999999998"/>
    <n v="0.957647495730095"/>
    <n v="273100"/>
    <n v="5400"/>
    <n v="278500"/>
    <n v="28300"/>
    <n v="306800"/>
    <n v="0.11668003207698477"/>
    <n v="-0.41528925619834711"/>
    <n v="3.0221625251846879E-2"/>
  </r>
  <r>
    <n v="2025"/>
    <s v="18132244499    "/>
    <n v="-1.5141277326297755"/>
    <n v="0.22"/>
    <n v="9578"/>
    <s v="6"/>
    <s v="RES"/>
    <x v="0"/>
    <s v="11"/>
    <s v="259"/>
    <s v="TD"/>
    <s v="A"/>
    <s v="AV"/>
    <x v="7"/>
    <n v="78"/>
    <n v="52"/>
    <n v="1946"/>
    <n v="1972"/>
    <n v="1052"/>
    <m/>
    <n v="598"/>
    <n v="0"/>
    <n v="598"/>
    <m/>
    <n v="1650"/>
    <n v="2000"/>
    <n v="5"/>
    <m/>
    <m/>
    <m/>
    <m/>
    <m/>
    <m/>
    <m/>
    <n v="231913"/>
    <n v="157701"/>
    <n v="9708"/>
    <n v="299500"/>
    <n v="61700"/>
    <n v="237800"/>
    <n v="0"/>
    <n v="0"/>
    <n v="89850.625589999996"/>
    <n v="-47929.131559187132"/>
    <n v="21557.329055999999"/>
    <n v="160472.20319"/>
    <n v="-11598.371226000001"/>
    <n v="51977.920710604005"/>
    <n v="0"/>
    <n v="0"/>
    <n v="17390.973357706"/>
    <n v="18960.110526"/>
    <n v="0"/>
    <n v="9700"/>
    <n v="258800"/>
    <n v="41900"/>
    <n v="310400"/>
    <n v="3.6393989983305508E-2"/>
    <n v="0.99970000000000003"/>
    <n v="1.0067999999999999"/>
    <n v="0.99729999999999996"/>
    <n v="1.0093000000000001"/>
    <n v="0.995"/>
    <n v="0.94971499999999998"/>
    <n v="0.957647495730095"/>
    <n v="258800"/>
    <n v="9200"/>
    <n v="268000"/>
    <n v="39800"/>
    <n v="307800"/>
    <n v="0.12699747687132043"/>
    <n v="-0.35494327390599678"/>
    <n v="2.7712854757929884E-2"/>
  </r>
  <r>
    <n v="2025"/>
    <s v="18132244474    "/>
    <n v="-1.6607312068216509"/>
    <n v="0.19"/>
    <n v="8196"/>
    <s v="6"/>
    <s v="RES"/>
    <x v="0"/>
    <s v="11"/>
    <s v="259"/>
    <s v="TD"/>
    <s v="F+"/>
    <s v="AV"/>
    <x v="7"/>
    <n v="78"/>
    <n v="52"/>
    <n v="1946"/>
    <n v="1972"/>
    <n v="1266"/>
    <m/>
    <n v="776"/>
    <n v="466"/>
    <n v="310"/>
    <m/>
    <n v="1576"/>
    <n v="2000"/>
    <n v="6"/>
    <m/>
    <m/>
    <m/>
    <m/>
    <m/>
    <m/>
    <m/>
    <n v="232337"/>
    <n v="157989"/>
    <n v="5185"/>
    <n v="291000"/>
    <n v="56600"/>
    <n v="234400"/>
    <n v="0"/>
    <n v="0"/>
    <n v="89850.625589999996"/>
    <n v="-52569.808201026557"/>
    <n v="0"/>
    <n v="160472.20319"/>
    <n v="-11598.371226000001"/>
    <n v="62551.376064281998"/>
    <n v="0"/>
    <n v="0"/>
    <n v="22567.550711672"/>
    <n v="22752.132631200002"/>
    <n v="0"/>
    <n v="5200"/>
    <n v="256700"/>
    <n v="37300"/>
    <n v="299200"/>
    <n v="2.8178694158075602E-2"/>
    <n v="0.99970000000000003"/>
    <n v="0.99180000000000001"/>
    <n v="0.99729999999999996"/>
    <n v="1.0093000000000001"/>
    <n v="0.995"/>
    <n v="0.94971499999999998"/>
    <n v="0.94337980360062423"/>
    <n v="256700"/>
    <n v="4900"/>
    <n v="261600"/>
    <n v="35400"/>
    <n v="297000"/>
    <n v="0.11604095563139932"/>
    <n v="-0.37455830388692579"/>
    <n v="2.0618556701030927E-2"/>
  </r>
  <r>
    <n v="2025"/>
    <s v="18132332490    "/>
    <n v="-1.4271163556401458"/>
    <n v="0.24"/>
    <m/>
    <s v="6"/>
    <s v="RES"/>
    <x v="0"/>
    <s v="11"/>
    <s v="259"/>
    <s v="RN"/>
    <s v="A"/>
    <s v="AV"/>
    <x v="7"/>
    <n v="78"/>
    <n v="52"/>
    <n v="1946"/>
    <n v="1972"/>
    <n v="1821"/>
    <m/>
    <m/>
    <n v="0"/>
    <m/>
    <m/>
    <n v="1821"/>
    <n v="2000"/>
    <n v="7"/>
    <n v="420"/>
    <m/>
    <m/>
    <m/>
    <m/>
    <m/>
    <m/>
    <n v="321389"/>
    <n v="218545"/>
    <n v="0"/>
    <n v="324800"/>
    <n v="64800"/>
    <n v="260000"/>
    <n v="0"/>
    <n v="0"/>
    <n v="89850.625589999996"/>
    <n v="-45174.819855485119"/>
    <n v="21557.329055999999"/>
    <n v="160472.20319"/>
    <n v="-11598.371226000001"/>
    <n v="89973.187846016997"/>
    <n v="0"/>
    <n v="0"/>
    <n v="0"/>
    <n v="26544.1547364"/>
    <n v="0"/>
    <n v="0"/>
    <n v="286900"/>
    <n v="44700"/>
    <n v="331600"/>
    <n v="2.0935960591133004E-2"/>
    <n v="0.99970000000000003"/>
    <n v="1.0067999999999999"/>
    <n v="0.99729999999999996"/>
    <n v="1.0093000000000001"/>
    <n v="0.995"/>
    <n v="0.94971499999999998"/>
    <n v="0.957647495730095"/>
    <n v="286900"/>
    <n v="0"/>
    <n v="286900"/>
    <n v="42400"/>
    <n v="329300"/>
    <n v="0.10346153846153847"/>
    <n v="-0.34567901234567899"/>
    <n v="1.3854679802955665E-2"/>
  </r>
  <r>
    <n v="2025"/>
    <s v="18132324430    "/>
    <n v="-1.5606477482646683"/>
    <n v="0.21"/>
    <m/>
    <s v="6"/>
    <s v="RES"/>
    <x v="0"/>
    <s v="11"/>
    <s v="259"/>
    <s v="TD"/>
    <s v="A"/>
    <s v="AV"/>
    <x v="7"/>
    <n v="78"/>
    <n v="52"/>
    <n v="1946"/>
    <n v="1972"/>
    <n v="1030"/>
    <m/>
    <n v="934"/>
    <n v="0"/>
    <n v="934"/>
    <m/>
    <n v="1964"/>
    <n v="2000"/>
    <n v="8"/>
    <m/>
    <m/>
    <m/>
    <m/>
    <m/>
    <m/>
    <m/>
    <n v="263490"/>
    <n v="179173"/>
    <n v="5261"/>
    <n v="318700"/>
    <n v="60100"/>
    <n v="258600"/>
    <n v="0"/>
    <n v="0"/>
    <n v="89850.625589999996"/>
    <n v="-49401.70477837498"/>
    <n v="21557.329055999999"/>
    <n v="160472.20319"/>
    <n v="-11598.371226000001"/>
    <n v="50890.929973309998"/>
    <n v="0"/>
    <n v="0"/>
    <n v="27162.490160697998"/>
    <n v="30336.176841600001"/>
    <n v="0"/>
    <n v="5300"/>
    <n v="278800"/>
    <n v="40400"/>
    <n v="324500"/>
    <n v="1.8198933165986822E-2"/>
    <n v="0.99970000000000003"/>
    <n v="1.0067999999999999"/>
    <n v="0.99729999999999996"/>
    <n v="1.0093000000000001"/>
    <n v="0.995"/>
    <n v="0.94971499999999998"/>
    <n v="0.957647495730095"/>
    <n v="278800"/>
    <n v="5000"/>
    <n v="283800"/>
    <n v="38400"/>
    <n v="322200"/>
    <n v="9.7447795823665889E-2"/>
    <n v="-0.36106489184692181"/>
    <n v="1.0982114841543772E-2"/>
  </r>
  <r>
    <n v="2025"/>
    <s v="18132322421    "/>
    <n v="-1.2039728043259361"/>
    <n v="0.3"/>
    <n v="13005"/>
    <s v="6"/>
    <s v="RES"/>
    <x v="0"/>
    <s v="11"/>
    <s v="259"/>
    <s v="TD"/>
    <s v="F+"/>
    <s v="AV"/>
    <x v="7"/>
    <n v="78"/>
    <n v="52"/>
    <n v="1946"/>
    <n v="1972"/>
    <n v="864"/>
    <m/>
    <m/>
    <n v="0"/>
    <m/>
    <m/>
    <n v="864"/>
    <n v="1000"/>
    <n v="5"/>
    <m/>
    <m/>
    <m/>
    <m/>
    <m/>
    <m/>
    <m/>
    <n v="138755"/>
    <n v="94353"/>
    <n v="4342"/>
    <n v="262100"/>
    <n v="72500"/>
    <n v="189600"/>
    <n v="0"/>
    <n v="0"/>
    <n v="89850.625589999996"/>
    <n v="-38111.29648355169"/>
    <n v="0"/>
    <n v="160472.20319"/>
    <n v="-11598.371226000001"/>
    <n v="42689.090773727999"/>
    <n v="0"/>
    <n v="0"/>
    <n v="0"/>
    <n v="18960.110526"/>
    <n v="0"/>
    <n v="4300"/>
    <n v="210500"/>
    <n v="51700"/>
    <n v="266500"/>
    <n v="1.6787485692483783E-2"/>
    <n v="0.99970000000000003"/>
    <n v="0.99180000000000001"/>
    <n v="0.99729999999999996"/>
    <n v="1.0148999999999999"/>
    <n v="0.995"/>
    <n v="0.94971499999999998"/>
    <n v="0.94861405199075932"/>
    <n v="210500"/>
    <n v="4100"/>
    <n v="214600"/>
    <n v="49100"/>
    <n v="263700"/>
    <n v="0.13185654008438819"/>
    <n v="-0.32275862068965516"/>
    <n v="6.1045402518122857E-3"/>
  </r>
  <r>
    <n v="2025"/>
    <s v="18132334481    "/>
    <n v="-1.6094379124341003"/>
    <n v="0.2"/>
    <m/>
    <s v="6"/>
    <s v="RES"/>
    <x v="0"/>
    <s v="11"/>
    <s v="259"/>
    <s v="TD"/>
    <s v="A"/>
    <s v="AV"/>
    <x v="7"/>
    <n v="78"/>
    <n v="52"/>
    <n v="1946"/>
    <n v="1972"/>
    <n v="961"/>
    <m/>
    <n v="961"/>
    <n v="0"/>
    <n v="961"/>
    <m/>
    <n v="1922"/>
    <n v="2000"/>
    <n v="8"/>
    <m/>
    <m/>
    <m/>
    <m/>
    <m/>
    <m/>
    <m/>
    <n v="251785"/>
    <n v="171214"/>
    <n v="8321"/>
    <n v="319700"/>
    <n v="58400"/>
    <n v="261300"/>
    <n v="0"/>
    <n v="0"/>
    <n v="89850.625589999996"/>
    <n v="-50946.13867709865"/>
    <n v="21557.329055999999"/>
    <n v="160472.20319"/>
    <n v="-11598.371226000001"/>
    <n v="47481.731751797"/>
    <n v="0"/>
    <n v="0"/>
    <n v="27947.701332367"/>
    <n v="30336.176841600001"/>
    <n v="0"/>
    <n v="8300"/>
    <n v="276200"/>
    <n v="38900"/>
    <n v="323400"/>
    <n v="1.1573350015639663E-2"/>
    <n v="0.99970000000000003"/>
    <n v="1.0067999999999999"/>
    <n v="0.99729999999999996"/>
    <n v="1.0093000000000001"/>
    <n v="0.995"/>
    <n v="0.94971499999999998"/>
    <n v="0.957647495730095"/>
    <n v="276200"/>
    <n v="7900"/>
    <n v="284100"/>
    <n v="36900"/>
    <n v="321000"/>
    <n v="8.7256027554535015E-2"/>
    <n v="-0.36815068493150682"/>
    <n v="4.0663121676571788E-3"/>
  </r>
  <r>
    <n v="2025"/>
    <s v="18132342495    "/>
    <n v="-1.1394342831883648"/>
    <n v="0.32"/>
    <n v="13813"/>
    <s v="6"/>
    <s v="RES"/>
    <x v="0"/>
    <s v="11"/>
    <s v="259"/>
    <s v="RN"/>
    <s v="G"/>
    <s v="VG"/>
    <x v="7"/>
    <n v="79"/>
    <n v="52"/>
    <n v="1945"/>
    <n v="1972"/>
    <n v="1830"/>
    <m/>
    <n v="1830"/>
    <n v="908"/>
    <n v="922"/>
    <m/>
    <n v="2752"/>
    <n v="3000"/>
    <n v="10"/>
    <n v="630"/>
    <m/>
    <m/>
    <m/>
    <m/>
    <m/>
    <m/>
    <n v="602616"/>
    <n v="427857"/>
    <n v="0"/>
    <n v="474000"/>
    <n v="74800"/>
    <n v="399200"/>
    <n v="0"/>
    <n v="0"/>
    <n v="89850.625589999996"/>
    <n v="-36068.354396449467"/>
    <n v="44121.038090000002"/>
    <n v="284810.60806"/>
    <n v="-11598.371226000001"/>
    <n v="90417.86587491"/>
    <n v="0"/>
    <n v="0"/>
    <n v="53219.86830201"/>
    <n v="37920.221052000001"/>
    <n v="0"/>
    <n v="0"/>
    <n v="498900"/>
    <n v="53800"/>
    <n v="552700"/>
    <n v="0.16603375527426159"/>
    <n v="0.99970000000000003"/>
    <n v="0.98050000000000004"/>
    <n v="1.0158"/>
    <n v="0.96179999999999999"/>
    <n v="0.995"/>
    <n v="0.94971499999999998"/>
    <n v="0.90522587089820872"/>
    <n v="498900"/>
    <n v="0"/>
    <n v="498900"/>
    <n v="51100"/>
    <n v="550000"/>
    <n v="0.24974949899799601"/>
    <n v="-0.31684491978609625"/>
    <n v="0.16033755274261605"/>
  </r>
  <r>
    <n v="2025"/>
    <s v="18132241015    "/>
    <n v="-1.9661128563728327"/>
    <n v="0.14000000000000001"/>
    <n v="5963"/>
    <s v="6"/>
    <s v="RES"/>
    <x v="0"/>
    <s v="11"/>
    <s v="259"/>
    <s v="BG"/>
    <s v="A"/>
    <s v="GD"/>
    <x v="7"/>
    <n v="79"/>
    <n v="52"/>
    <n v="1945"/>
    <n v="1972"/>
    <n v="1325"/>
    <m/>
    <m/>
    <n v="0"/>
    <m/>
    <m/>
    <n v="1325"/>
    <n v="1500"/>
    <n v="7"/>
    <m/>
    <m/>
    <m/>
    <m/>
    <m/>
    <m/>
    <m/>
    <n v="228619"/>
    <n v="160033"/>
    <n v="5441"/>
    <n v="285400"/>
    <n v="46000"/>
    <n v="239400"/>
    <n v="0"/>
    <n v="0"/>
    <n v="89850.625589999996"/>
    <n v="-62236.546971921947"/>
    <n v="21557.329055999999"/>
    <n v="197752.34721000001"/>
    <n v="-11598.371226000001"/>
    <n v="65466.487587025003"/>
    <n v="0"/>
    <n v="0"/>
    <n v="0"/>
    <n v="26544.1547364"/>
    <n v="0"/>
    <n v="5400"/>
    <n v="299700"/>
    <n v="27600"/>
    <n v="332700"/>
    <n v="0.1657323055360897"/>
    <n v="0.99970000000000003"/>
    <n v="1.0067999999999999"/>
    <n v="0.99650000000000005"/>
    <n v="1.0157"/>
    <n v="0.995"/>
    <n v="0.94971499999999998"/>
    <n v="0.96294690248840986"/>
    <n v="299700"/>
    <n v="5200"/>
    <n v="304900"/>
    <n v="26200"/>
    <n v="331100"/>
    <n v="0.27360066833751046"/>
    <n v="-0.43043478260869567"/>
    <n v="0.16012613875262788"/>
  </r>
  <r>
    <n v="2025"/>
    <s v="18132313450    "/>
    <n v="-1.7147984280919266"/>
    <n v="0.18"/>
    <n v="7923"/>
    <s v="6"/>
    <s v="RES"/>
    <x v="0"/>
    <s v="11"/>
    <s v="259"/>
    <s v="BG"/>
    <s v="A"/>
    <s v="GD"/>
    <x v="7"/>
    <n v="79"/>
    <n v="52"/>
    <n v="1945"/>
    <n v="1972"/>
    <n v="1041"/>
    <m/>
    <n v="1041"/>
    <n v="1041"/>
    <m/>
    <m/>
    <n v="1041"/>
    <n v="1500"/>
    <n v="6"/>
    <m/>
    <m/>
    <n v="266"/>
    <m/>
    <m/>
    <m/>
    <m/>
    <n v="221240"/>
    <n v="154868"/>
    <n v="0"/>
    <n v="308900"/>
    <n v="54700"/>
    <n v="254200"/>
    <n v="0"/>
    <n v="0"/>
    <n v="89850.625589999996"/>
    <n v="-54281.285314520763"/>
    <n v="21557.329055999999"/>
    <n v="197752.34721000001"/>
    <n v="-11598.371226000001"/>
    <n v="51434.425341957001"/>
    <n v="0"/>
    <n v="0"/>
    <n v="30274.252952126997"/>
    <n v="22752.132631200002"/>
    <n v="8856.6070634160005"/>
    <n v="0"/>
    <n v="321000"/>
    <n v="35600"/>
    <n v="356600"/>
    <n v="0.15441890579475559"/>
    <n v="0.99970000000000003"/>
    <n v="1.0067999999999999"/>
    <n v="0.99650000000000005"/>
    <n v="1.0157"/>
    <n v="0.995"/>
    <n v="0.94971499999999998"/>
    <n v="0.96294690248840986"/>
    <n v="321000"/>
    <n v="0"/>
    <n v="321000"/>
    <n v="33800"/>
    <n v="354800"/>
    <n v="0.26278520849724624"/>
    <n v="-0.38208409506398539"/>
    <n v="0.14859177727419878"/>
  </r>
  <r>
    <n v="2025"/>
    <s v="18132214428    "/>
    <n v="-1.7147984280919266"/>
    <n v="0.18"/>
    <n v="7752"/>
    <s v="6"/>
    <s v="RES"/>
    <x v="0"/>
    <s v="11"/>
    <s v="259"/>
    <s v="TD"/>
    <s v="A"/>
    <s v="AV"/>
    <x v="7"/>
    <n v="79"/>
    <n v="52"/>
    <n v="1945"/>
    <n v="1972"/>
    <n v="1355"/>
    <m/>
    <n v="1019"/>
    <n v="1019"/>
    <n v="0"/>
    <m/>
    <n v="1355"/>
    <n v="1500"/>
    <n v="7"/>
    <m/>
    <m/>
    <n v="576"/>
    <m/>
    <m/>
    <m/>
    <m/>
    <n v="291388"/>
    <n v="198144"/>
    <n v="6313"/>
    <n v="307700"/>
    <n v="54700"/>
    <n v="253000"/>
    <n v="0"/>
    <n v="0"/>
    <n v="89850.625589999996"/>
    <n v="-54281.285314520763"/>
    <n v="21557.329055999999"/>
    <n v="160472.20319"/>
    <n v="-11598.371226000001"/>
    <n v="66948.747683335008"/>
    <n v="0"/>
    <n v="0"/>
    <n v="29634.451256692999"/>
    <n v="26544.1547364"/>
    <n v="19178.216798976002"/>
    <n v="6300"/>
    <n v="312700"/>
    <n v="35600"/>
    <n v="354600"/>
    <n v="0.15242118947026323"/>
    <n v="0.99970000000000003"/>
    <n v="1.0067999999999999"/>
    <n v="0.99729999999999996"/>
    <n v="1.0157"/>
    <n v="0.995"/>
    <n v="0.94971499999999998"/>
    <n v="0.96371996573175212"/>
    <n v="312700"/>
    <n v="6000"/>
    <n v="318700"/>
    <n v="33800"/>
    <n v="352500"/>
    <n v="0.25968379446640316"/>
    <n v="-0.38208409506398539"/>
    <n v="0.14559636009099772"/>
  </r>
  <r>
    <n v="2025"/>
    <s v="18132343416    "/>
    <n v="-1.5141277326297755"/>
    <n v="0.22"/>
    <n v="9516"/>
    <s v="6"/>
    <s v="RES"/>
    <x v="0"/>
    <s v="11"/>
    <s v="259"/>
    <s v="RN"/>
    <s v="G"/>
    <s v="VG"/>
    <x v="7"/>
    <n v="79"/>
    <n v="52"/>
    <n v="1945"/>
    <n v="1972"/>
    <n v="1423"/>
    <m/>
    <n v="1423"/>
    <n v="0"/>
    <n v="1423"/>
    <m/>
    <n v="2846"/>
    <n v="3000"/>
    <n v="10"/>
    <m/>
    <m/>
    <m/>
    <m/>
    <m/>
    <m/>
    <m/>
    <n v="488882"/>
    <n v="347106"/>
    <n v="34513"/>
    <n v="473300"/>
    <n v="61700"/>
    <n v="411600"/>
    <n v="0"/>
    <n v="0"/>
    <n v="89850.625589999996"/>
    <n v="-47929.131559187132"/>
    <n v="44121.038090000002"/>
    <n v="284810.60806"/>
    <n v="-11598.371226000001"/>
    <n v="70308.537234971009"/>
    <n v="0"/>
    <n v="0"/>
    <n v="41383.536936480996"/>
    <n v="37920.221052000001"/>
    <n v="0"/>
    <n v="34500"/>
    <n v="466900"/>
    <n v="41900"/>
    <n v="543300"/>
    <n v="0.1478977392774139"/>
    <n v="0.99970000000000003"/>
    <n v="0.98050000000000004"/>
    <n v="1.0158"/>
    <n v="0.96179999999999999"/>
    <n v="0.995"/>
    <n v="0.94971499999999998"/>
    <n v="0.90522587089820872"/>
    <n v="466900"/>
    <n v="32800"/>
    <n v="499700"/>
    <n v="39800"/>
    <n v="539500"/>
    <n v="0.21404275996112732"/>
    <n v="-0.35494327390599678"/>
    <n v="0.13986900485949716"/>
  </r>
  <r>
    <n v="2025"/>
    <s v="18132243419    "/>
    <n v="-1.2378743560016174"/>
    <n v="0.28999999999999998"/>
    <n v="12518"/>
    <s v="6"/>
    <s v="RES"/>
    <x v="0"/>
    <s v="11"/>
    <s v="259"/>
    <s v="CC"/>
    <s v="A"/>
    <s v="AV"/>
    <x v="7"/>
    <n v="79"/>
    <n v="52"/>
    <n v="1945"/>
    <n v="1972"/>
    <n v="864"/>
    <n v="648"/>
    <n v="864"/>
    <n v="605"/>
    <n v="259"/>
    <m/>
    <n v="1771"/>
    <n v="2000"/>
    <n v="8"/>
    <n v="300"/>
    <m/>
    <n v="760"/>
    <m/>
    <m/>
    <m/>
    <m/>
    <n v="298200"/>
    <n v="202776"/>
    <n v="25123"/>
    <n v="349800"/>
    <n v="71400"/>
    <n v="278400"/>
    <n v="0"/>
    <n v="0"/>
    <n v="89850.625589999996"/>
    <n v="-39184.437074869042"/>
    <n v="21557.329055999999"/>
    <n v="160472.20319"/>
    <n v="-11598.371226000001"/>
    <n v="42689.090773727999"/>
    <n v="29021.602013927997"/>
    <n v="0"/>
    <n v="25126.757493408"/>
    <n v="30336.176841600001"/>
    <n v="25304.591609760002"/>
    <n v="25100"/>
    <n v="322900"/>
    <n v="50700"/>
    <n v="398700"/>
    <n v="0.13979416809605488"/>
    <n v="0.99970000000000003"/>
    <n v="1.0067999999999999"/>
    <n v="0.99729999999999996"/>
    <n v="1.0093000000000001"/>
    <n v="0.995"/>
    <n v="0.94971499999999998"/>
    <n v="0.957647495730095"/>
    <n v="322900"/>
    <n v="23900"/>
    <n v="346800"/>
    <n v="48100"/>
    <n v="394900"/>
    <n v="0.24568965517241378"/>
    <n v="-0.32633053221288516"/>
    <n v="0.12893081761006289"/>
  </r>
  <r>
    <n v="2025"/>
    <s v="18132241464    "/>
    <n v="-1.7147984280919266"/>
    <n v="0.18"/>
    <n v="8040"/>
    <s v="6"/>
    <s v="RES"/>
    <x v="0"/>
    <s v="11"/>
    <s v="259"/>
    <s v="TD"/>
    <s v="A"/>
    <s v="GD"/>
    <x v="7"/>
    <n v="79"/>
    <n v="52"/>
    <n v="1945"/>
    <n v="1972"/>
    <n v="978"/>
    <m/>
    <n v="978"/>
    <n v="738"/>
    <n v="240"/>
    <m/>
    <n v="1218"/>
    <n v="1500"/>
    <n v="5"/>
    <m/>
    <m/>
    <m/>
    <m/>
    <m/>
    <m/>
    <m/>
    <n v="210041"/>
    <n v="147029"/>
    <n v="8911"/>
    <n v="310100"/>
    <n v="54700"/>
    <n v="255400"/>
    <n v="0"/>
    <n v="0"/>
    <n v="89850.625589999996"/>
    <n v="-54281.285314520763"/>
    <n v="21557.329055999999"/>
    <n v="197752.34721000001"/>
    <n v="-11598.371226000001"/>
    <n v="48321.679139706001"/>
    <n v="0"/>
    <n v="0"/>
    <n v="28442.093551565998"/>
    <n v="18960.110526"/>
    <n v="0"/>
    <n v="8900"/>
    <n v="303400"/>
    <n v="35600"/>
    <n v="347900"/>
    <n v="0.12189616252821671"/>
    <n v="0.99970000000000003"/>
    <n v="1.0067999999999999"/>
    <n v="0.99650000000000005"/>
    <n v="1.0157"/>
    <n v="0.995"/>
    <n v="0.94971499999999998"/>
    <n v="0.96294690248840986"/>
    <n v="303400"/>
    <n v="8500"/>
    <n v="311900"/>
    <n v="33800"/>
    <n v="345700"/>
    <n v="0.221221613155834"/>
    <n v="-0.38208409506398539"/>
    <n v="0.11480167687842631"/>
  </r>
  <r>
    <n v="2025"/>
    <s v="18132241011    "/>
    <n v="-1.8325814637483102"/>
    <n v="0.16"/>
    <n v="6986"/>
    <s v="6"/>
    <s v="RES"/>
    <x v="0"/>
    <s v="11"/>
    <s v="259"/>
    <s v="TD"/>
    <s v="A"/>
    <s v="GD"/>
    <x v="7"/>
    <n v="79"/>
    <n v="52"/>
    <n v="1945"/>
    <n v="1972"/>
    <n v="891"/>
    <m/>
    <m/>
    <n v="0"/>
    <m/>
    <m/>
    <n v="891"/>
    <n v="1000"/>
    <n v="6"/>
    <n v="264"/>
    <m/>
    <n v="160"/>
    <m/>
    <m/>
    <m/>
    <m/>
    <n v="172150"/>
    <n v="120505"/>
    <n v="0"/>
    <n v="278200"/>
    <n v="50600"/>
    <n v="227600"/>
    <n v="0"/>
    <n v="0"/>
    <n v="89850.625589999996"/>
    <n v="-58009.662049032086"/>
    <n v="21557.329055999999"/>
    <n v="197752.34721000001"/>
    <n v="-11598.371226000001"/>
    <n v="44023.124860406999"/>
    <n v="0"/>
    <n v="0"/>
    <n v="0"/>
    <n v="22752.132631200002"/>
    <n v="5327.2824441600005"/>
    <n v="0"/>
    <n v="279800"/>
    <n v="31800"/>
    <n v="311600"/>
    <n v="0.12005751258087707"/>
    <n v="0.99970000000000003"/>
    <n v="1.0067999999999999"/>
    <n v="0.99650000000000005"/>
    <n v="1.0148999999999999"/>
    <n v="0.995"/>
    <n v="0.94971499999999998"/>
    <n v="0.96218845262920827"/>
    <n v="279800"/>
    <n v="0"/>
    <n v="279800"/>
    <n v="30200"/>
    <n v="310000"/>
    <n v="0.22934973637961337"/>
    <n v="-0.40316205533596838"/>
    <n v="0.11430625449317038"/>
  </r>
  <r>
    <n v="2025"/>
    <s v="18132243406    "/>
    <n v="-1.4696759700589417"/>
    <n v="0.23"/>
    <n v="9920"/>
    <s v="6"/>
    <s v="RES"/>
    <x v="0"/>
    <s v="11"/>
    <s v="259"/>
    <s v="TD"/>
    <s v="A"/>
    <s v="GD"/>
    <x v="7"/>
    <n v="79"/>
    <n v="52"/>
    <n v="1945"/>
    <n v="1972"/>
    <n v="1215"/>
    <m/>
    <n v="720"/>
    <n v="620"/>
    <n v="100"/>
    <m/>
    <n v="1315"/>
    <n v="1500"/>
    <n v="11"/>
    <m/>
    <m/>
    <n v="252"/>
    <m/>
    <m/>
    <m/>
    <m/>
    <n v="254383"/>
    <n v="178068"/>
    <n v="6827"/>
    <n v="347400"/>
    <n v="63300"/>
    <n v="284100"/>
    <n v="0"/>
    <n v="0"/>
    <n v="89850.625589999996"/>
    <n v="-46522.028095997222"/>
    <n v="21557.329055999999"/>
    <n v="197752.34721000001"/>
    <n v="-11598.371226000001"/>
    <n v="60031.533900555005"/>
    <n v="0"/>
    <n v="0"/>
    <n v="20938.964577839997"/>
    <n v="41712.243157199999"/>
    <n v="8390.4698495520006"/>
    <n v="6800"/>
    <n v="338800"/>
    <n v="43300"/>
    <n v="388900"/>
    <n v="0.11945883707541739"/>
    <n v="0.99970000000000003"/>
    <n v="1.0067999999999999"/>
    <n v="0.99650000000000005"/>
    <n v="1.0157"/>
    <n v="0.995"/>
    <n v="0.94971499999999998"/>
    <n v="0.96294690248840986"/>
    <n v="338800"/>
    <n v="6500"/>
    <n v="345300"/>
    <n v="41100"/>
    <n v="386400"/>
    <n v="0.21541710665258712"/>
    <n v="-0.35071090047393366"/>
    <n v="0.11226252158894647"/>
  </r>
  <r>
    <n v="2025"/>
    <s v="18132332544    "/>
    <n v="-1.8325814637483102"/>
    <n v="0.16"/>
    <n v="7150"/>
    <s v="6"/>
    <s v="RES"/>
    <x v="0"/>
    <s v="11"/>
    <s v="259"/>
    <s v="TD"/>
    <s v="A"/>
    <s v="GD"/>
    <x v="7"/>
    <n v="79"/>
    <n v="52"/>
    <n v="1945"/>
    <n v="1972"/>
    <n v="870"/>
    <m/>
    <m/>
    <n v="0"/>
    <m/>
    <m/>
    <n v="870"/>
    <n v="1000"/>
    <n v="5"/>
    <m/>
    <m/>
    <m/>
    <m/>
    <m/>
    <m/>
    <m/>
    <n v="137289"/>
    <n v="96102"/>
    <n v="20097"/>
    <n v="287100"/>
    <n v="50600"/>
    <n v="236500"/>
    <n v="0"/>
    <n v="0"/>
    <n v="89850.625589999996"/>
    <n v="-58009.662049032086"/>
    <n v="21557.329055999999"/>
    <n v="197752.34721000001"/>
    <n v="-11598.371226000001"/>
    <n v="42985.542792990003"/>
    <n v="0"/>
    <n v="0"/>
    <n v="0"/>
    <n v="18960.110526"/>
    <n v="0"/>
    <n v="20100"/>
    <n v="269700"/>
    <n v="31800"/>
    <n v="321600"/>
    <n v="0.12016718913270637"/>
    <n v="0.99970000000000003"/>
    <n v="1.0067999999999999"/>
    <n v="0.99650000000000005"/>
    <n v="1.0148999999999999"/>
    <n v="0.995"/>
    <n v="0.94971499999999998"/>
    <n v="0.96218845262920827"/>
    <n v="269700"/>
    <n v="19100"/>
    <n v="288800"/>
    <n v="30200"/>
    <n v="319000"/>
    <n v="0.22114164904862579"/>
    <n v="-0.40316205533596838"/>
    <n v="0.1111111111111111"/>
  </r>
  <r>
    <n v="2025"/>
    <s v="18132214444    "/>
    <n v="-1.5606477482646683"/>
    <n v="0.21"/>
    <n v="9191"/>
    <s v="6"/>
    <s v="RES"/>
    <x v="0"/>
    <s v="11"/>
    <s v="259"/>
    <s v="TD"/>
    <s v="A"/>
    <s v="GD"/>
    <x v="7"/>
    <n v="79"/>
    <n v="52"/>
    <n v="1945"/>
    <n v="1972"/>
    <n v="1397"/>
    <m/>
    <n v="688"/>
    <n v="344"/>
    <n v="344"/>
    <m/>
    <n v="1741"/>
    <n v="2000"/>
    <n v="5"/>
    <n v="312"/>
    <m/>
    <n v="252"/>
    <m/>
    <m/>
    <m/>
    <m/>
    <n v="292671"/>
    <n v="204870"/>
    <n v="0"/>
    <n v="327100"/>
    <n v="60100"/>
    <n v="267000"/>
    <n v="0"/>
    <n v="0"/>
    <n v="89850.625589999996"/>
    <n v="-49401.70477837498"/>
    <n v="21557.329055999999"/>
    <n v="197752.34721000001"/>
    <n v="-11598.371226000001"/>
    <n v="69023.911818168999"/>
    <n v="0"/>
    <n v="0"/>
    <n v="20008.343929936"/>
    <n v="18960.110526"/>
    <n v="8390.4698495520006"/>
    <n v="0"/>
    <n v="324100"/>
    <n v="40400"/>
    <n v="364500"/>
    <n v="0.11433812289819627"/>
    <n v="0.99970000000000003"/>
    <n v="1.0067999999999999"/>
    <n v="0.99650000000000005"/>
    <n v="1.0093000000000001"/>
    <n v="0.995"/>
    <n v="0.94971499999999998"/>
    <n v="0.95687930361479956"/>
    <n v="324100"/>
    <n v="0"/>
    <n v="324100"/>
    <n v="38400"/>
    <n v="362500"/>
    <n v="0.21385767790262172"/>
    <n v="-0.36106489184692181"/>
    <n v="0.10822378477529808"/>
  </r>
  <r>
    <n v="2025"/>
    <s v="18132313515    "/>
    <n v="-1.6607312068216509"/>
    <n v="0.19"/>
    <n v="8260"/>
    <s v="6"/>
    <s v="RES"/>
    <x v="0"/>
    <s v="11"/>
    <s v="259"/>
    <s v="BG"/>
    <s v="A"/>
    <s v="GD"/>
    <x v="7"/>
    <n v="79"/>
    <n v="52"/>
    <n v="1945"/>
    <n v="1972"/>
    <n v="1274"/>
    <n v="120"/>
    <n v="600"/>
    <n v="600"/>
    <m/>
    <n v="120"/>
    <n v="1514"/>
    <n v="2000"/>
    <n v="7"/>
    <m/>
    <m/>
    <m/>
    <m/>
    <m/>
    <m/>
    <m/>
    <n v="273971"/>
    <n v="191780"/>
    <n v="4877"/>
    <n v="332100"/>
    <n v="56600"/>
    <n v="275500"/>
    <n v="0"/>
    <n v="0"/>
    <n v="89850.625589999996"/>
    <n v="-52569.808201026557"/>
    <n v="21557.329055999999"/>
    <n v="197752.34721000001"/>
    <n v="-11598.371226000001"/>
    <n v="62946.645423298003"/>
    <n v="5374.3707433199997"/>
    <n v="7811.3605261200009"/>
    <n v="17449.1371482"/>
    <n v="26544.1547364"/>
    <n v="0"/>
    <n v="4900"/>
    <n v="327800"/>
    <n v="37300"/>
    <n v="370000"/>
    <n v="0.11412225233363445"/>
    <n v="0.99970000000000003"/>
    <n v="1.0067999999999999"/>
    <n v="0.99650000000000005"/>
    <n v="1.0093000000000001"/>
    <n v="0.995"/>
    <n v="0.94971499999999998"/>
    <n v="0.95687930361479956"/>
    <n v="327800"/>
    <n v="4600"/>
    <n v="332400"/>
    <n v="35400"/>
    <n v="367800"/>
    <n v="0.20653357531760436"/>
    <n v="-0.37455830388692579"/>
    <n v="0.10749774164408311"/>
  </r>
  <r>
    <n v="2025"/>
    <s v="18132323429    "/>
    <n v="-1.7719568419318752"/>
    <n v="0.17"/>
    <m/>
    <s v="6"/>
    <s v="RES"/>
    <x v="0"/>
    <s v="11"/>
    <s v="259"/>
    <s v="TD"/>
    <s v="A"/>
    <s v="GD"/>
    <x v="7"/>
    <n v="79"/>
    <n v="29"/>
    <n v="1945"/>
    <n v="1995"/>
    <n v="860"/>
    <m/>
    <n v="860"/>
    <n v="0"/>
    <n v="860"/>
    <m/>
    <n v="1720"/>
    <n v="2000"/>
    <n v="8"/>
    <m/>
    <m/>
    <n v="192"/>
    <m/>
    <m/>
    <m/>
    <m/>
    <n v="224180"/>
    <n v="195037"/>
    <n v="0"/>
    <n v="315900"/>
    <n v="52700"/>
    <n v="263200"/>
    <n v="0"/>
    <n v="0"/>
    <n v="89850.625589999996"/>
    <n v="-56090.612940989391"/>
    <n v="21557.329055999999"/>
    <n v="197752.34721000001"/>
    <n v="-6468.3224145000004"/>
    <n v="42491.456094220004"/>
    <n v="0"/>
    <n v="0"/>
    <n v="25010.429912419997"/>
    <n v="30336.176841600001"/>
    <n v="6392.7389329920006"/>
    <n v="0"/>
    <n v="317100"/>
    <n v="33800"/>
    <n v="350900"/>
    <n v="0.11079455523899968"/>
    <n v="0.99970000000000003"/>
    <n v="1.0067999999999999"/>
    <n v="0.99650000000000005"/>
    <n v="1.0093000000000001"/>
    <n v="0.995"/>
    <n v="0.94971499999999998"/>
    <n v="0.95687930361479956"/>
    <n v="317100"/>
    <n v="0"/>
    <n v="317100"/>
    <n v="32100"/>
    <n v="349200"/>
    <n v="0.2047872340425532"/>
    <n v="-0.39089184060721061"/>
    <n v="0.10541310541310542"/>
  </r>
  <r>
    <n v="2025"/>
    <s v="18132324535    "/>
    <n v="-1.6094379124341003"/>
    <n v="0.2"/>
    <m/>
    <s v="6"/>
    <s v="RES"/>
    <x v="0"/>
    <s v="11"/>
    <s v="259"/>
    <s v="CC"/>
    <s v="A"/>
    <s v="GD"/>
    <x v="7"/>
    <n v="79"/>
    <n v="52"/>
    <n v="1945"/>
    <n v="1972"/>
    <n v="767"/>
    <n v="652"/>
    <n v="767"/>
    <n v="141"/>
    <n v="626"/>
    <m/>
    <n v="2045"/>
    <n v="2500"/>
    <n v="8"/>
    <n v="300"/>
    <m/>
    <n v="336"/>
    <m/>
    <m/>
    <m/>
    <m/>
    <n v="296547"/>
    <n v="207583"/>
    <n v="0"/>
    <n v="340400"/>
    <n v="58400"/>
    <n v="282000"/>
    <n v="0"/>
    <n v="0"/>
    <n v="89850.625589999996"/>
    <n v="-50946.13867709865"/>
    <n v="21557.329055999999"/>
    <n v="197752.34721000001"/>
    <n v="-11598.371226000001"/>
    <n v="37896.449795658998"/>
    <n v="29200.747705371999"/>
    <n v="0"/>
    <n v="22305.813654448997"/>
    <n v="30336.176841600001"/>
    <n v="11187.293132736002"/>
    <n v="0"/>
    <n v="338600"/>
    <n v="38900"/>
    <n v="377500"/>
    <n v="0.10898942420681551"/>
    <n v="0.99970000000000003"/>
    <n v="1.0067999999999999"/>
    <n v="0.99650000000000005"/>
    <n v="0.98919999999999997"/>
    <n v="0.995"/>
    <n v="0.94971499999999998"/>
    <n v="0.93782325090236773"/>
    <n v="338600"/>
    <n v="0"/>
    <n v="338600"/>
    <n v="36900"/>
    <n v="375500"/>
    <n v="0.20070921985815604"/>
    <n v="-0.36815068493150682"/>
    <n v="0.10311398354876616"/>
  </r>
  <r>
    <n v="2025"/>
    <s v="18132313517    "/>
    <n v="-1.8325814637483102"/>
    <n v="0.16"/>
    <n v="6860"/>
    <s v="6"/>
    <s v="RES"/>
    <x v="0"/>
    <s v="11"/>
    <s v="259"/>
    <s v="CO"/>
    <s v="A"/>
    <s v="GD"/>
    <x v="7"/>
    <n v="79"/>
    <n v="52"/>
    <n v="1945"/>
    <n v="1972"/>
    <n v="1038"/>
    <n v="390"/>
    <n v="435"/>
    <n v="435"/>
    <m/>
    <m/>
    <n v="1428"/>
    <n v="1500"/>
    <n v="5"/>
    <m/>
    <m/>
    <m/>
    <m/>
    <m/>
    <m/>
    <m/>
    <n v="236318"/>
    <n v="165423"/>
    <n v="5441"/>
    <n v="312700"/>
    <n v="50600"/>
    <n v="262100"/>
    <n v="0"/>
    <n v="0"/>
    <n v="89850.625589999996"/>
    <n v="-58009.662049032086"/>
    <n v="21557.329055999999"/>
    <n v="197752.34721000001"/>
    <n v="-11598.371226000001"/>
    <n v="51286.199332326003"/>
    <n v="17466.70491579"/>
    <n v="0"/>
    <n v="12650.624432445"/>
    <n v="18960.110526"/>
    <n v="0"/>
    <n v="5400"/>
    <n v="308100"/>
    <n v="31800"/>
    <n v="345300"/>
    <n v="0.10425327790214263"/>
    <n v="0.99970000000000003"/>
    <n v="1.0067999999999999"/>
    <n v="0.99650000000000005"/>
    <n v="1.0157"/>
    <n v="0.995"/>
    <n v="0.94971499999999998"/>
    <n v="0.96294690248840986"/>
    <n v="308100"/>
    <n v="5200"/>
    <n v="313300"/>
    <n v="30200"/>
    <n v="343500"/>
    <n v="0.19534528805799314"/>
    <n v="-0.40316205533596838"/>
    <n v="9.8496961944355615E-2"/>
  </r>
  <r>
    <n v="2025"/>
    <s v="18132241449    "/>
    <n v="-2.120263536200091"/>
    <n v="0.12"/>
    <n v="5022"/>
    <s v="6"/>
    <s v="RES"/>
    <x v="0"/>
    <s v="11"/>
    <s v="259"/>
    <s v="TD"/>
    <s v="A"/>
    <s v="AV"/>
    <x v="7"/>
    <n v="79"/>
    <n v="52"/>
    <n v="1945"/>
    <n v="1972"/>
    <n v="1056"/>
    <m/>
    <n v="1074"/>
    <n v="1074"/>
    <m/>
    <m/>
    <n v="1056"/>
    <n v="1500"/>
    <n v="5"/>
    <m/>
    <m/>
    <m/>
    <m/>
    <m/>
    <m/>
    <m/>
    <n v="212592"/>
    <n v="144563"/>
    <n v="6802"/>
    <n v="274200"/>
    <n v="40600"/>
    <n v="233600"/>
    <n v="0"/>
    <n v="0"/>
    <n v="89850.625589999996"/>
    <n v="-67116.12750806773"/>
    <n v="21557.329055999999"/>
    <n v="160472.20319"/>
    <n v="-11598.371226000001"/>
    <n v="52175.555390112"/>
    <n v="0"/>
    <n v="0"/>
    <n v="31233.955495277998"/>
    <n v="18960.110526"/>
    <n v="0"/>
    <n v="6800"/>
    <n v="272800"/>
    <n v="22700"/>
    <n v="302300"/>
    <n v="0.1024799416484318"/>
    <n v="0.99970000000000003"/>
    <n v="1.0067999999999999"/>
    <n v="0.99729999999999996"/>
    <n v="1.0157"/>
    <n v="0.995"/>
    <n v="0.94971499999999998"/>
    <n v="0.96371996573175212"/>
    <n v="272800"/>
    <n v="6500"/>
    <n v="279300"/>
    <n v="21600"/>
    <n v="300900"/>
    <n v="0.19563356164383561"/>
    <n v="-0.46798029556650245"/>
    <n v="9.7374179431072211E-2"/>
  </r>
  <r>
    <n v="2025"/>
    <s v="18132241039    "/>
    <n v="-1.3470736479666092"/>
    <n v="0.26"/>
    <n v="11114"/>
    <s v="6"/>
    <s v="RES"/>
    <x v="0"/>
    <s v="11"/>
    <s v="259"/>
    <s v="CO"/>
    <s v="A"/>
    <s v="AV"/>
    <x v="7"/>
    <n v="79"/>
    <n v="52"/>
    <n v="1945"/>
    <n v="1972"/>
    <n v="1312"/>
    <n v="195"/>
    <n v="640"/>
    <n v="640"/>
    <m/>
    <m/>
    <n v="1507"/>
    <n v="2000"/>
    <n v="5"/>
    <m/>
    <m/>
    <n v="300"/>
    <m/>
    <m/>
    <m/>
    <m/>
    <n v="258345"/>
    <n v="175675"/>
    <n v="3733"/>
    <n v="310000"/>
    <n v="67600"/>
    <n v="242400"/>
    <n v="0"/>
    <n v="0"/>
    <n v="89850.625589999996"/>
    <n v="-42641.098701210125"/>
    <n v="21557.329055999999"/>
    <n v="160472.20319"/>
    <n v="-11598.371226000001"/>
    <n v="64824.174878623999"/>
    <n v="8733.352457895"/>
    <n v="0"/>
    <n v="18612.41295808"/>
    <n v="18960.110526"/>
    <n v="9988.6545828000017"/>
    <n v="3700"/>
    <n v="291500"/>
    <n v="47200"/>
    <n v="342400"/>
    <n v="0.10451612903225807"/>
    <n v="0.99970000000000003"/>
    <n v="1.0067999999999999"/>
    <n v="0.99729999999999996"/>
    <n v="1.0093000000000001"/>
    <n v="0.995"/>
    <n v="0.94971499999999998"/>
    <n v="0.957647495730095"/>
    <n v="291500"/>
    <n v="3500"/>
    <n v="295000"/>
    <n v="44800"/>
    <n v="339800"/>
    <n v="0.21699669966996699"/>
    <n v="-0.33727810650887574"/>
    <n v="9.6129032258064517E-2"/>
  </r>
  <r>
    <n v="2025"/>
    <s v="18132313527    "/>
    <n v="-1.7719568419318752"/>
    <n v="0.17"/>
    <n v="7348"/>
    <s v="6"/>
    <s v="RES"/>
    <x v="0"/>
    <s v="11"/>
    <s v="259"/>
    <s v="BG"/>
    <s v="A"/>
    <s v="GD"/>
    <x v="7"/>
    <n v="79"/>
    <n v="52"/>
    <n v="1945"/>
    <n v="1972"/>
    <n v="1124"/>
    <m/>
    <n v="648"/>
    <n v="504"/>
    <n v="144"/>
    <m/>
    <n v="1268"/>
    <n v="1500"/>
    <n v="5"/>
    <m/>
    <m/>
    <m/>
    <m/>
    <m/>
    <m/>
    <m/>
    <n v="229045"/>
    <n v="160332"/>
    <n v="0"/>
    <n v="304600"/>
    <n v="52700"/>
    <n v="251900"/>
    <n v="0"/>
    <n v="0"/>
    <n v="89850.625589999996"/>
    <n v="-56090.612940989391"/>
    <n v="21557.329055999999"/>
    <n v="197752.34721000001"/>
    <n v="-11598.371226000001"/>
    <n v="55535.344941748001"/>
    <n v="0"/>
    <n v="0"/>
    <n v="18845.068120055999"/>
    <n v="18960.110526"/>
    <n v="0"/>
    <n v="0"/>
    <n v="301100"/>
    <n v="33800"/>
    <n v="334900"/>
    <n v="9.9474720945502304E-2"/>
    <n v="0.99970000000000003"/>
    <n v="1.0067999999999999"/>
    <n v="0.99650000000000005"/>
    <n v="1.0157"/>
    <n v="0.995"/>
    <n v="0.94971499999999998"/>
    <n v="0.96294690248840986"/>
    <n v="301100"/>
    <n v="0"/>
    <n v="301100"/>
    <n v="32100"/>
    <n v="333200"/>
    <n v="0.19531560142913854"/>
    <n v="-0.39089184060721061"/>
    <n v="9.3893630991464222E-2"/>
  </r>
  <r>
    <n v="2025"/>
    <s v="18132214027    "/>
    <n v="-1.9661128563728327"/>
    <n v="0.14000000000000001"/>
    <n v="6300"/>
    <s v="6"/>
    <s v="RES"/>
    <x v="0"/>
    <s v="11"/>
    <s v="259"/>
    <s v="TD"/>
    <s v="A"/>
    <s v="GD"/>
    <x v="7"/>
    <n v="79"/>
    <n v="42"/>
    <n v="1945"/>
    <n v="1982"/>
    <n v="1216"/>
    <m/>
    <n v="936"/>
    <n v="0"/>
    <n v="936"/>
    <m/>
    <n v="2152"/>
    <n v="2500"/>
    <n v="8"/>
    <m/>
    <m/>
    <n v="336"/>
    <m/>
    <m/>
    <m/>
    <m/>
    <n v="292929"/>
    <n v="234343"/>
    <n v="0"/>
    <n v="333700"/>
    <n v="46000"/>
    <n v="287700"/>
    <n v="0"/>
    <n v="0"/>
    <n v="89850.625589999996"/>
    <n v="-62236.546971921947"/>
    <n v="21557.329055999999"/>
    <n v="197752.34721000001"/>
    <n v="-9367.9152210000011"/>
    <n v="60080.942570432002"/>
    <n v="0"/>
    <n v="0"/>
    <n v="27220.653951191998"/>
    <n v="30336.176841600001"/>
    <n v="11187.293132736002"/>
    <n v="0"/>
    <n v="338800"/>
    <n v="27600"/>
    <n v="366400"/>
    <n v="9.7992208570572364E-2"/>
    <n v="0.99970000000000003"/>
    <n v="1.0067999999999999"/>
    <n v="0.99650000000000005"/>
    <n v="0.98919999999999997"/>
    <n v="0.995"/>
    <n v="0.94971499999999998"/>
    <n v="0.93782325090236773"/>
    <n v="338800"/>
    <n v="0"/>
    <n v="338800"/>
    <n v="26200"/>
    <n v="365000"/>
    <n v="0.17761557177615572"/>
    <n v="-0.43043478260869567"/>
    <n v="9.3796823494156426E-2"/>
  </r>
  <r>
    <n v="2025"/>
    <s v="18132313442    "/>
    <n v="-1.7147984280919266"/>
    <n v="0.18"/>
    <m/>
    <s v="6"/>
    <s v="RES"/>
    <x v="0"/>
    <s v="11"/>
    <s v="259"/>
    <s v="FH"/>
    <s v="A"/>
    <s v="GD"/>
    <x v="7"/>
    <n v="79"/>
    <n v="52"/>
    <n v="1945"/>
    <n v="1972"/>
    <n v="1344"/>
    <n v="924"/>
    <n v="528"/>
    <n v="398"/>
    <n v="130"/>
    <m/>
    <n v="2398"/>
    <n v="2500"/>
    <n v="9"/>
    <m/>
    <m/>
    <n v="180"/>
    <m/>
    <m/>
    <m/>
    <m/>
    <n v="354778"/>
    <n v="248345"/>
    <n v="4877"/>
    <n v="375800"/>
    <n v="54700"/>
    <n v="321100"/>
    <n v="0"/>
    <n v="0"/>
    <n v="89850.625589999996"/>
    <n v="-54281.285314520763"/>
    <n v="21557.329055999999"/>
    <n v="197752.34721000001"/>
    <n v="-11598.371226000001"/>
    <n v="66405.252314687998"/>
    <n v="41382.654723563996"/>
    <n v="0"/>
    <n v="15355.240690416"/>
    <n v="34128.198946800003"/>
    <n v="5993.1927496800008"/>
    <n v="4900"/>
    <n v="371000"/>
    <n v="35600"/>
    <n v="411500"/>
    <n v="9.4997339010111759E-2"/>
    <n v="0.99970000000000003"/>
    <n v="1.0067999999999999"/>
    <n v="0.99650000000000005"/>
    <n v="0.98919999999999997"/>
    <n v="0.995"/>
    <n v="0.94971499999999998"/>
    <n v="0.93782325090236773"/>
    <n v="371000"/>
    <n v="4600"/>
    <n v="375600"/>
    <n v="33800"/>
    <n v="409400"/>
    <n v="0.16972905636873248"/>
    <n v="-0.38208409506398539"/>
    <n v="8.9409260244811065E-2"/>
  </r>
  <r>
    <n v="2025"/>
    <s v="18132324525    "/>
    <n v="-1.4271163556401458"/>
    <n v="0.24"/>
    <m/>
    <s v="6"/>
    <s v="RES"/>
    <x v="0"/>
    <s v="11"/>
    <s v="259"/>
    <s v="TD"/>
    <s v="A+"/>
    <s v="GD"/>
    <x v="7"/>
    <n v="79"/>
    <n v="52"/>
    <n v="1945"/>
    <n v="1972"/>
    <n v="1642"/>
    <m/>
    <m/>
    <n v="0"/>
    <m/>
    <m/>
    <n v="1642"/>
    <n v="2000"/>
    <n v="7"/>
    <n v="264"/>
    <m/>
    <n v="80"/>
    <m/>
    <m/>
    <m/>
    <m/>
    <n v="310691"/>
    <n v="217484"/>
    <n v="0"/>
    <n v="338500"/>
    <n v="64800"/>
    <n v="273700"/>
    <n v="0"/>
    <n v="0"/>
    <n v="89850.625589999996"/>
    <n v="-45174.819855485119"/>
    <n v="29814.093161000001"/>
    <n v="197752.34721000001"/>
    <n v="-11598.371226000001"/>
    <n v="81129.035938034009"/>
    <n v="0"/>
    <n v="0"/>
    <n v="0"/>
    <n v="26544.1547364"/>
    <n v="2663.6412220800003"/>
    <n v="0"/>
    <n v="326300"/>
    <n v="44700"/>
    <n v="371000"/>
    <n v="9.6011816838995567E-2"/>
    <n v="0.99970000000000003"/>
    <n v="1.0088999999999999"/>
    <n v="0.99650000000000005"/>
    <n v="1.0093000000000001"/>
    <n v="0.995"/>
    <n v="0.94971499999999998"/>
    <n v="0.9588751782051762"/>
    <n v="326300"/>
    <n v="0"/>
    <n v="326300"/>
    <n v="42400"/>
    <n v="368700"/>
    <n v="0.19218122031421264"/>
    <n v="-0.34567901234567899"/>
    <n v="8.9217134416543581E-2"/>
  </r>
  <r>
    <n v="2025"/>
    <s v="18132214007    "/>
    <n v="-1.8325814637483102"/>
    <n v="0.16"/>
    <n v="7088"/>
    <s v="6"/>
    <s v="RES"/>
    <x v="0"/>
    <s v="11"/>
    <s v="259"/>
    <s v="TD"/>
    <s v="G"/>
    <s v="AV"/>
    <x v="7"/>
    <n v="79"/>
    <n v="52"/>
    <n v="1945"/>
    <n v="1972"/>
    <n v="1074"/>
    <m/>
    <n v="1074"/>
    <n v="1074"/>
    <n v="0"/>
    <m/>
    <n v="1074"/>
    <n v="1500"/>
    <n v="9"/>
    <n v="242"/>
    <m/>
    <m/>
    <m/>
    <m/>
    <m/>
    <m/>
    <n v="315162"/>
    <n v="214310"/>
    <n v="0"/>
    <n v="314500"/>
    <n v="50600"/>
    <n v="263900"/>
    <n v="0"/>
    <n v="0"/>
    <n v="89850.625589999996"/>
    <n v="-58009.662049032086"/>
    <n v="44121.038090000002"/>
    <n v="160472.20319"/>
    <n v="-11598.371226000001"/>
    <n v="53064.911447898005"/>
    <n v="0"/>
    <n v="0"/>
    <n v="31233.955495277998"/>
    <n v="34128.198946800003"/>
    <n v="0"/>
    <n v="0"/>
    <n v="311400"/>
    <n v="31800"/>
    <n v="343200"/>
    <n v="9.1255961844197139E-2"/>
    <n v="0.99970000000000003"/>
    <n v="0.98050000000000004"/>
    <n v="0.99729999999999996"/>
    <n v="1.0157"/>
    <n v="0.995"/>
    <n v="0.94971499999999998"/>
    <n v="0.93854531823597842"/>
    <n v="311400"/>
    <n v="0"/>
    <n v="311400"/>
    <n v="30200"/>
    <n v="341600"/>
    <n v="0.17999242137173171"/>
    <n v="-0.40316205533596838"/>
    <n v="8.6168521462639106E-2"/>
  </r>
  <r>
    <n v="2025"/>
    <s v="18132342526    "/>
    <n v="-1.7719568419318752"/>
    <n v="0.17"/>
    <n v="7389"/>
    <s v="6"/>
    <s v="RES"/>
    <x v="0"/>
    <s v="11"/>
    <s v="259"/>
    <s v="TD"/>
    <s v="G"/>
    <s v="GD"/>
    <x v="7"/>
    <n v="79"/>
    <n v="52"/>
    <n v="1945"/>
    <n v="1972"/>
    <n v="1048"/>
    <m/>
    <n v="1048"/>
    <n v="524"/>
    <n v="524"/>
    <m/>
    <n v="1572"/>
    <n v="2000"/>
    <n v="8"/>
    <n v="240"/>
    <m/>
    <m/>
    <m/>
    <m/>
    <m/>
    <m/>
    <n v="357035"/>
    <n v="249925"/>
    <n v="0"/>
    <n v="345800"/>
    <n v="52700"/>
    <n v="293100"/>
    <n v="0"/>
    <n v="0"/>
    <n v="89850.625589999996"/>
    <n v="-56090.612940989391"/>
    <n v="44121.038090000002"/>
    <n v="197752.34721000001"/>
    <n v="-11598.371226000001"/>
    <n v="51780.286031096002"/>
    <n v="0"/>
    <n v="0"/>
    <n v="30477.826218856"/>
    <n v="30336.176841600001"/>
    <n v="0"/>
    <n v="0"/>
    <n v="342900"/>
    <n v="33800"/>
    <n v="376700"/>
    <n v="8.9358010410641994E-2"/>
    <n v="0.99970000000000003"/>
    <n v="0.98050000000000004"/>
    <n v="0.99650000000000005"/>
    <n v="1.0093000000000001"/>
    <n v="0.995"/>
    <n v="0.94971499999999998"/>
    <n v="0.93188335041151293"/>
    <n v="342900"/>
    <n v="0"/>
    <n v="342900"/>
    <n v="32100"/>
    <n v="375000"/>
    <n v="0.1699078812691914"/>
    <n v="-0.39089184060721061"/>
    <n v="8.444187391555813E-2"/>
  </r>
  <r>
    <n v="2025"/>
    <s v="18132313452    "/>
    <n v="-2.0402208285265546"/>
    <n v="0.13"/>
    <m/>
    <s v="6"/>
    <s v="RES"/>
    <x v="0"/>
    <s v="11"/>
    <s v="259"/>
    <s v="BG"/>
    <s v="A+"/>
    <s v="GD"/>
    <x v="7"/>
    <n v="79"/>
    <n v="52"/>
    <n v="1945"/>
    <n v="1972"/>
    <n v="1563"/>
    <m/>
    <n v="663"/>
    <n v="0"/>
    <n v="663"/>
    <m/>
    <n v="2226"/>
    <n v="2500"/>
    <n v="8"/>
    <m/>
    <m/>
    <n v="240"/>
    <m/>
    <m/>
    <m/>
    <m/>
    <n v="363189"/>
    <n v="254232"/>
    <n v="5261"/>
    <n v="350300"/>
    <n v="43400"/>
    <n v="306900"/>
    <n v="0"/>
    <n v="0"/>
    <n v="89850.625589999996"/>
    <n v="-64582.406353792743"/>
    <n v="29814.093161000001"/>
    <n v="197752.34721000001"/>
    <n v="-11598.371226000001"/>
    <n v="77225.751017750998"/>
    <n v="0"/>
    <n v="0"/>
    <n v="19281.296548760998"/>
    <n v="30336.176841600001"/>
    <n v="7990.9236662400008"/>
    <n v="5300"/>
    <n v="350800"/>
    <n v="25300"/>
    <n v="381400"/>
    <n v="8.8781044818726812E-2"/>
    <n v="0.99970000000000003"/>
    <n v="1.0088999999999999"/>
    <n v="0.99650000000000005"/>
    <n v="0.98919999999999997"/>
    <n v="0.995"/>
    <n v="0.94971499999999998"/>
    <n v="0.93977937806455991"/>
    <n v="350800"/>
    <n v="5000"/>
    <n v="355800"/>
    <n v="24000"/>
    <n v="379800"/>
    <n v="0.15933528836754643"/>
    <n v="-0.44700460829493088"/>
    <n v="8.4213531258920921E-2"/>
  </r>
  <r>
    <n v="2025"/>
    <s v="18132313519    "/>
    <n v="-2.2072749131897207"/>
    <n v="0.11"/>
    <n v="4935"/>
    <s v="6"/>
    <s v="RES"/>
    <x v="0"/>
    <s v="11"/>
    <s v="259"/>
    <s v="BG"/>
    <s v="A"/>
    <s v="AV"/>
    <x v="7"/>
    <n v="79"/>
    <n v="52"/>
    <n v="1945"/>
    <n v="1972"/>
    <n v="1116"/>
    <m/>
    <n v="664"/>
    <n v="664"/>
    <m/>
    <m/>
    <n v="1116"/>
    <n v="1500"/>
    <n v="5"/>
    <m/>
    <m/>
    <m/>
    <m/>
    <m/>
    <m/>
    <m/>
    <n v="210585"/>
    <n v="143198"/>
    <n v="5869"/>
    <n v="266200"/>
    <n v="37600"/>
    <n v="228600"/>
    <n v="0"/>
    <n v="0"/>
    <n v="89850.625589999996"/>
    <n v="-69870.439211769743"/>
    <n v="21557.329055999999"/>
    <n v="160472.20319"/>
    <n v="-11598.371226000001"/>
    <n v="55140.075582732003"/>
    <n v="0"/>
    <n v="0"/>
    <n v="19310.378444007998"/>
    <n v="18960.110526"/>
    <n v="0"/>
    <n v="5900"/>
    <n v="263800"/>
    <n v="20000"/>
    <n v="289700"/>
    <n v="8.8279489105935388E-2"/>
    <n v="0.99970000000000003"/>
    <n v="1.0067999999999999"/>
    <n v="0.99729999999999996"/>
    <n v="1.0157"/>
    <n v="0.995"/>
    <n v="0.94971499999999998"/>
    <n v="0.96371996573175212"/>
    <n v="263800"/>
    <n v="5600"/>
    <n v="269400"/>
    <n v="19000"/>
    <n v="288400"/>
    <n v="0.17847769028871391"/>
    <n v="-0.49468085106382981"/>
    <n v="8.3395942900075126E-2"/>
  </r>
  <r>
    <n v="2025"/>
    <s v="18132334407    "/>
    <n v="-1.7147984280919266"/>
    <n v="0.18"/>
    <m/>
    <s v="6"/>
    <s v="RES"/>
    <x v="0"/>
    <s v="11"/>
    <s v="259"/>
    <s v="TD"/>
    <s v="A+"/>
    <s v="GD"/>
    <x v="7"/>
    <n v="79"/>
    <n v="52"/>
    <n v="1945"/>
    <n v="1972"/>
    <n v="1020"/>
    <m/>
    <n v="500"/>
    <n v="0"/>
    <n v="500"/>
    <m/>
    <n v="1520"/>
    <n v="2000"/>
    <n v="7"/>
    <n v="180"/>
    <m/>
    <m/>
    <m/>
    <m/>
    <m/>
    <m/>
    <n v="262659"/>
    <n v="183861"/>
    <n v="0"/>
    <n v="315400"/>
    <n v="54700"/>
    <n v="260700"/>
    <n v="0"/>
    <n v="0"/>
    <n v="89850.625589999996"/>
    <n v="-54281.285314520763"/>
    <n v="29814.093161000001"/>
    <n v="197752.34721000001"/>
    <n v="-11598.371226000001"/>
    <n v="50396.843274539999"/>
    <n v="0"/>
    <n v="0"/>
    <n v="14540.947623499998"/>
    <n v="26544.1547364"/>
    <n v="0"/>
    <n v="0"/>
    <n v="307500"/>
    <n v="35600"/>
    <n v="343100"/>
    <n v="8.7824984147114774E-2"/>
    <n v="0.99970000000000003"/>
    <n v="1.0088999999999999"/>
    <n v="0.99650000000000005"/>
    <n v="1.0093000000000001"/>
    <n v="0.995"/>
    <n v="0.94971499999999998"/>
    <n v="0.9588751782051762"/>
    <n v="307500"/>
    <n v="0"/>
    <n v="307500"/>
    <n v="33800"/>
    <n v="341300"/>
    <n v="0.17951668584579977"/>
    <n v="-0.38208409506398539"/>
    <n v="8.2117945466074829E-2"/>
  </r>
  <r>
    <n v="2025"/>
    <s v="18132214023    "/>
    <n v="-1.9661128563728327"/>
    <n v="0.14000000000000001"/>
    <n v="6098"/>
    <s v="6"/>
    <s v="RES"/>
    <x v="0"/>
    <s v="11"/>
    <s v="259"/>
    <s v="RN"/>
    <s v="A"/>
    <s v="AV"/>
    <x v="7"/>
    <n v="79"/>
    <n v="52"/>
    <n v="1945"/>
    <n v="1972"/>
    <n v="1128"/>
    <m/>
    <n v="1128"/>
    <n v="790"/>
    <n v="338"/>
    <m/>
    <n v="1466"/>
    <n v="1500"/>
    <n v="8"/>
    <m/>
    <m/>
    <n v="180"/>
    <m/>
    <m/>
    <m/>
    <m/>
    <n v="259778"/>
    <n v="176649"/>
    <n v="4603"/>
    <n v="301600"/>
    <n v="46000"/>
    <n v="255600"/>
    <n v="0"/>
    <n v="0"/>
    <n v="89850.625589999996"/>
    <n v="-62236.546971921947"/>
    <n v="21557.329055999999"/>
    <n v="160472.20319"/>
    <n v="-11598.371226000001"/>
    <n v="55732.979621256003"/>
    <n v="0"/>
    <n v="0"/>
    <n v="32804.377838615997"/>
    <n v="30336.176841600001"/>
    <n v="5993.1927496800008"/>
    <n v="4600"/>
    <n v="295300"/>
    <n v="27600"/>
    <n v="327500"/>
    <n v="8.5875331564986737E-2"/>
    <n v="0.99970000000000003"/>
    <n v="1.0067999999999999"/>
    <n v="0.99729999999999996"/>
    <n v="1.0157"/>
    <n v="0.995"/>
    <n v="0.94971499999999998"/>
    <n v="0.96371996573175212"/>
    <n v="295300"/>
    <n v="4400"/>
    <n v="299700"/>
    <n v="26200"/>
    <n v="325900"/>
    <n v="0.17253521126760563"/>
    <n v="-0.43043478260869567"/>
    <n v="8.057029177718833E-2"/>
  </r>
  <r>
    <n v="2025"/>
    <s v="18132332405    "/>
    <n v="-1.4696759700589417"/>
    <n v="0.23"/>
    <n v="9814"/>
    <s v="6"/>
    <s v="RES"/>
    <x v="0"/>
    <s v="11"/>
    <s v="259"/>
    <s v="TD"/>
    <s v="G"/>
    <s v="AV"/>
    <x v="7"/>
    <n v="79"/>
    <n v="52"/>
    <n v="1945"/>
    <n v="1972"/>
    <n v="1155"/>
    <m/>
    <n v="1155"/>
    <n v="1155"/>
    <m/>
    <m/>
    <n v="1155"/>
    <n v="1500"/>
    <n v="8"/>
    <m/>
    <m/>
    <m/>
    <m/>
    <m/>
    <m/>
    <m/>
    <n v="322412"/>
    <n v="219240"/>
    <n v="7919"/>
    <n v="335800"/>
    <n v="63300"/>
    <n v="272500"/>
    <n v="0"/>
    <n v="0"/>
    <n v="89850.625589999996"/>
    <n v="-46522.028095997222"/>
    <n v="44121.038090000002"/>
    <n v="160472.20319"/>
    <n v="-11598.371226000001"/>
    <n v="57067.013707935002"/>
    <n v="0"/>
    <n v="0"/>
    <n v="33589.589010284995"/>
    <n v="30336.176841600001"/>
    <n v="0"/>
    <n v="7900"/>
    <n v="314000"/>
    <n v="43300"/>
    <n v="365200"/>
    <n v="8.7552114353782018E-2"/>
    <n v="0.99970000000000003"/>
    <n v="0.98050000000000004"/>
    <n v="0.99729999999999996"/>
    <n v="1.0157"/>
    <n v="0.995"/>
    <n v="0.94971499999999998"/>
    <n v="0.93854531823597842"/>
    <n v="314000"/>
    <n v="7500"/>
    <n v="321500"/>
    <n v="41100"/>
    <n v="362600"/>
    <n v="0.1798165137614679"/>
    <n v="-0.35071090047393366"/>
    <n v="7.9809410363311489E-2"/>
  </r>
  <r>
    <n v="2025"/>
    <s v="18132334449    "/>
    <n v="-1.5606477482646683"/>
    <n v="0.21"/>
    <n v="9093"/>
    <s v="6"/>
    <s v="RES"/>
    <x v="0"/>
    <s v="11"/>
    <s v="259"/>
    <s v="TD"/>
    <s v="A+"/>
    <s v="GD"/>
    <x v="7"/>
    <n v="79"/>
    <n v="52"/>
    <n v="1945"/>
    <n v="1972"/>
    <n v="1603"/>
    <m/>
    <n v="1207"/>
    <n v="966"/>
    <n v="241"/>
    <m/>
    <n v="1844"/>
    <n v="2000"/>
    <n v="11"/>
    <m/>
    <n v="396"/>
    <m/>
    <m/>
    <m/>
    <m/>
    <m/>
    <n v="391124"/>
    <n v="273787"/>
    <n v="0"/>
    <n v="380400"/>
    <n v="60100"/>
    <n v="320300"/>
    <n v="0"/>
    <n v="0"/>
    <n v="89850.625589999996"/>
    <n v="-49401.70477837498"/>
    <n v="29814.093161000001"/>
    <n v="197752.34721000001"/>
    <n v="-11598.371226000001"/>
    <n v="79202.097812831009"/>
    <n v="0"/>
    <n v="0"/>
    <n v="35101.847563128998"/>
    <n v="41712.243157199999"/>
    <n v="0"/>
    <n v="0"/>
    <n v="372000"/>
    <n v="40400"/>
    <n v="412400"/>
    <n v="8.4121976866456366E-2"/>
    <n v="0.99970000000000003"/>
    <n v="1.0088999999999999"/>
    <n v="0.99650000000000005"/>
    <n v="1.0093000000000001"/>
    <n v="0.995"/>
    <n v="0.94971499999999998"/>
    <n v="0.9588751782051762"/>
    <n v="372000"/>
    <n v="0"/>
    <n v="372000"/>
    <n v="38400"/>
    <n v="410400"/>
    <n v="0.16141117702154231"/>
    <n v="-0.36106489184692181"/>
    <n v="7.8864353312302835E-2"/>
  </r>
  <r>
    <n v="2025"/>
    <s v="18132334526    "/>
    <n v="-1.5141277326297755"/>
    <n v="0.22"/>
    <m/>
    <s v="6"/>
    <s v="RES"/>
    <x v="0"/>
    <s v="11"/>
    <s v="259"/>
    <s v="TD"/>
    <s v="A"/>
    <s v="AV"/>
    <x v="7"/>
    <n v="79"/>
    <n v="52"/>
    <n v="1945"/>
    <n v="1972"/>
    <n v="1045"/>
    <m/>
    <n v="650"/>
    <n v="650"/>
    <m/>
    <m/>
    <n v="1045"/>
    <n v="1500"/>
    <n v="5"/>
    <m/>
    <m/>
    <m/>
    <m/>
    <m/>
    <m/>
    <m/>
    <n v="203512"/>
    <n v="138388"/>
    <n v="0"/>
    <n v="278200"/>
    <n v="61700"/>
    <n v="216500"/>
    <n v="0"/>
    <n v="0"/>
    <n v="89850.625589999996"/>
    <n v="-47929.131559187132"/>
    <n v="21557.329055999999"/>
    <n v="160472.20319"/>
    <n v="-11598.371226000001"/>
    <n v="51632.060021465004"/>
    <n v="0"/>
    <n v="0"/>
    <n v="18903.231910549999"/>
    <n v="18960.110526"/>
    <n v="0"/>
    <n v="0"/>
    <n v="259900"/>
    <n v="41900"/>
    <n v="301800"/>
    <n v="8.4831056793673615E-2"/>
    <n v="0.99970000000000003"/>
    <n v="1.0067999999999999"/>
    <n v="0.99729999999999996"/>
    <n v="1.0157"/>
    <n v="0.995"/>
    <n v="0.94971499999999998"/>
    <n v="0.96371996573175212"/>
    <n v="259900"/>
    <n v="0"/>
    <n v="259900"/>
    <n v="39800"/>
    <n v="299700"/>
    <n v="0.20046189376443418"/>
    <n v="-0.35494327390599678"/>
    <n v="7.728253055355859E-2"/>
  </r>
  <r>
    <n v="2025"/>
    <s v="18132331034    "/>
    <n v="-1.3470736479666092"/>
    <n v="0.26"/>
    <n v="11422"/>
    <s v="6"/>
    <s v="RES"/>
    <x v="0"/>
    <s v="11"/>
    <s v="259"/>
    <s v="TD"/>
    <s v="G"/>
    <s v="AV"/>
    <x v="7"/>
    <n v="79"/>
    <n v="52"/>
    <n v="1945"/>
    <n v="1972"/>
    <n v="1154"/>
    <m/>
    <n v="1154"/>
    <n v="1054"/>
    <n v="100"/>
    <m/>
    <n v="1254"/>
    <n v="1500"/>
    <n v="5"/>
    <m/>
    <m/>
    <m/>
    <m/>
    <m/>
    <m/>
    <m/>
    <n v="322905"/>
    <n v="219575"/>
    <n v="14229"/>
    <n v="335200"/>
    <n v="67600"/>
    <n v="267600"/>
    <n v="0"/>
    <n v="0"/>
    <n v="89850.625589999996"/>
    <n v="-42641.098701210125"/>
    <n v="44121.038090000002"/>
    <n v="160472.20319"/>
    <n v="-11598.371226000001"/>
    <n v="57017.605038057998"/>
    <n v="0"/>
    <n v="0"/>
    <n v="33560.507115037995"/>
    <n v="18960.110526"/>
    <n v="0"/>
    <n v="14200"/>
    <n v="302500"/>
    <n v="47200"/>
    <n v="363900"/>
    <n v="8.5620525059665872E-2"/>
    <n v="0.99970000000000003"/>
    <n v="0.98050000000000004"/>
    <n v="0.99729999999999996"/>
    <n v="1.0157"/>
    <n v="0.995"/>
    <n v="0.94971499999999998"/>
    <n v="0.93854531823597842"/>
    <n v="302500"/>
    <n v="13500"/>
    <n v="316000"/>
    <n v="44800"/>
    <n v="360800"/>
    <n v="0.18086696562032886"/>
    <n v="-0.33727810650887574"/>
    <n v="7.6372315035799526E-2"/>
  </r>
  <r>
    <n v="2025"/>
    <s v="18132214011    "/>
    <n v="-1.7719568419318752"/>
    <n v="0.17"/>
    <n v="7237"/>
    <s v="6"/>
    <s v="RES"/>
    <x v="0"/>
    <s v="11"/>
    <s v="259"/>
    <s v="TD"/>
    <s v="A"/>
    <s v="AV"/>
    <x v="7"/>
    <n v="79"/>
    <n v="52"/>
    <n v="1945"/>
    <n v="1972"/>
    <n v="803"/>
    <m/>
    <n v="723"/>
    <n v="523"/>
    <n v="200"/>
    <m/>
    <n v="1003"/>
    <n v="1500"/>
    <n v="5"/>
    <m/>
    <m/>
    <m/>
    <m/>
    <m/>
    <m/>
    <m/>
    <n v="179147"/>
    <n v="121820"/>
    <n v="6522"/>
    <n v="268100"/>
    <n v="52700"/>
    <n v="215400"/>
    <n v="0"/>
    <n v="0"/>
    <n v="89850.625589999996"/>
    <n v="-56090.612940989391"/>
    <n v="21557.329055999999"/>
    <n v="160472.20319"/>
    <n v="-11598.371226000001"/>
    <n v="39675.161911231"/>
    <n v="0"/>
    <n v="0"/>
    <n v="21026.210263581001"/>
    <n v="18960.110526"/>
    <n v="0"/>
    <n v="6500"/>
    <n v="250100"/>
    <n v="33800"/>
    <n v="290400"/>
    <n v="8.3177918687057067E-2"/>
    <n v="0.99970000000000003"/>
    <n v="1.0067999999999999"/>
    <n v="0.99729999999999996"/>
    <n v="1.0157"/>
    <n v="0.995"/>
    <n v="0.94971499999999998"/>
    <n v="0.96371996573175212"/>
    <n v="250100"/>
    <n v="6200"/>
    <n v="256300"/>
    <n v="32100"/>
    <n v="288400"/>
    <n v="0.18987929433611886"/>
    <n v="-0.39089184060721061"/>
    <n v="7.5718015665796348E-2"/>
  </r>
  <r>
    <n v="2025"/>
    <s v="18132323445    "/>
    <n v="-1.7147984280919266"/>
    <n v="0.18"/>
    <m/>
    <s v="6"/>
    <s v="RES"/>
    <x v="0"/>
    <s v="11"/>
    <s v="259"/>
    <s v="TD"/>
    <s v="A"/>
    <s v="GD"/>
    <x v="7"/>
    <n v="79"/>
    <n v="52"/>
    <n v="1945"/>
    <n v="1972"/>
    <n v="711"/>
    <m/>
    <n v="711"/>
    <n v="0"/>
    <n v="711"/>
    <m/>
    <n v="1422"/>
    <n v="1500"/>
    <n v="8"/>
    <m/>
    <m/>
    <m/>
    <m/>
    <m/>
    <m/>
    <m/>
    <n v="189290"/>
    <n v="132503"/>
    <n v="0"/>
    <n v="305400"/>
    <n v="54700"/>
    <n v="250700"/>
    <n v="0"/>
    <n v="0"/>
    <n v="89850.625589999996"/>
    <n v="-54281.285314520763"/>
    <n v="21557.329055999999"/>
    <n v="197752.34721000001"/>
    <n v="-11598.371226000001"/>
    <n v="35129.564282546999"/>
    <n v="0"/>
    <n v="0"/>
    <n v="20677.227520616998"/>
    <n v="30336.176841600001"/>
    <n v="0"/>
    <n v="0"/>
    <n v="293900"/>
    <n v="35600"/>
    <n v="329500"/>
    <n v="7.8912901113294034E-2"/>
    <n v="0.99970000000000003"/>
    <n v="1.0067999999999999"/>
    <n v="0.99650000000000005"/>
    <n v="1.0157"/>
    <n v="0.995"/>
    <n v="0.94971499999999998"/>
    <n v="0.96294690248840986"/>
    <n v="293900"/>
    <n v="0"/>
    <n v="293900"/>
    <n v="33800"/>
    <n v="327700"/>
    <n v="0.17231751096928599"/>
    <n v="-0.38208409506398539"/>
    <n v="7.301899148657498E-2"/>
  </r>
  <r>
    <n v="2025"/>
    <s v="18132334424    "/>
    <n v="-1.4696759700589417"/>
    <n v="0.23"/>
    <m/>
    <s v="6"/>
    <s v="RES"/>
    <x v="0"/>
    <s v="11"/>
    <s v="259"/>
    <s v="TD"/>
    <s v="A"/>
    <s v="GD"/>
    <x v="7"/>
    <n v="79"/>
    <n v="52"/>
    <n v="1945"/>
    <n v="1972"/>
    <n v="1535"/>
    <m/>
    <n v="1016"/>
    <n v="366"/>
    <n v="650"/>
    <m/>
    <n v="2185"/>
    <n v="2500"/>
    <n v="8"/>
    <m/>
    <m/>
    <m/>
    <m/>
    <m/>
    <m/>
    <m/>
    <n v="305602"/>
    <n v="213921"/>
    <n v="41305"/>
    <n v="395200"/>
    <n v="63300"/>
    <n v="331900"/>
    <n v="0"/>
    <n v="0"/>
    <n v="89850.625589999996"/>
    <n v="-46522.028095997222"/>
    <n v="21557.329055999999"/>
    <n v="197752.34721000001"/>
    <n v="-11598.371226000001"/>
    <n v="75842.308261195009"/>
    <n v="0"/>
    <n v="0"/>
    <n v="29547.205570951999"/>
    <n v="30336.176841600001"/>
    <n v="0"/>
    <n v="41300"/>
    <n v="343400"/>
    <n v="43300"/>
    <n v="428000"/>
    <n v="8.2995951417004055E-2"/>
    <n v="0.99970000000000003"/>
    <n v="1.0067999999999999"/>
    <n v="0.99650000000000005"/>
    <n v="0.98919999999999997"/>
    <n v="0.995"/>
    <n v="0.94971499999999998"/>
    <n v="0.93782325090236773"/>
    <n v="343400"/>
    <n v="39200"/>
    <n v="382600"/>
    <n v="41100"/>
    <n v="423700"/>
    <n v="0.15275685447423923"/>
    <n v="-0.35071090047393366"/>
    <n v="7.2115384615384609E-2"/>
  </r>
  <r>
    <n v="2025"/>
    <s v="18132324005    "/>
    <n v="-1.8325814637483102"/>
    <n v="0.16"/>
    <n v="7021"/>
    <s v="6"/>
    <s v="RES"/>
    <x v="0"/>
    <s v="11"/>
    <s v="259"/>
    <s v="TD"/>
    <s v="A"/>
    <s v="GD"/>
    <x v="7"/>
    <n v="79"/>
    <n v="52"/>
    <n v="1945"/>
    <n v="1972"/>
    <n v="1044"/>
    <m/>
    <n v="756"/>
    <n v="0"/>
    <n v="756"/>
    <m/>
    <n v="1800"/>
    <n v="2000"/>
    <n v="8"/>
    <m/>
    <n v="288"/>
    <m/>
    <m/>
    <m/>
    <m/>
    <m/>
    <n v="255548"/>
    <n v="178884"/>
    <n v="0"/>
    <n v="319400"/>
    <n v="50600"/>
    <n v="268800"/>
    <n v="0"/>
    <n v="0"/>
    <n v="89850.625589999996"/>
    <n v="-58009.662049032086"/>
    <n v="21557.329055999999"/>
    <n v="197752.34721000001"/>
    <n v="-11598.371226000001"/>
    <n v="51582.651351588"/>
    <n v="0"/>
    <n v="0"/>
    <n v="21985.912806731998"/>
    <n v="30336.176841600001"/>
    <n v="0"/>
    <n v="0"/>
    <n v="311600"/>
    <n v="31800"/>
    <n v="343400"/>
    <n v="7.5140889167188474E-2"/>
    <n v="0.99970000000000003"/>
    <n v="1.0067999999999999"/>
    <n v="0.99650000000000005"/>
    <n v="1.0093000000000001"/>
    <n v="0.995"/>
    <n v="0.94971499999999998"/>
    <n v="0.95687930361479956"/>
    <n v="311600"/>
    <n v="0"/>
    <n v="311600"/>
    <n v="30200"/>
    <n v="341800"/>
    <n v="0.15922619047619047"/>
    <n v="-0.40316205533596838"/>
    <n v="7.0131496556042575E-2"/>
  </r>
  <r>
    <n v="2025"/>
    <s v="18132244489    "/>
    <n v="-1.5141277326297755"/>
    <n v="0.22"/>
    <n v="9535"/>
    <s v="6"/>
    <s v="RES"/>
    <x v="0"/>
    <s v="11"/>
    <s v="259"/>
    <s v="RN"/>
    <s v="A"/>
    <s v="GD"/>
    <x v="7"/>
    <n v="79"/>
    <n v="52"/>
    <n v="1945"/>
    <n v="1972"/>
    <n v="1706"/>
    <m/>
    <n v="832"/>
    <n v="416"/>
    <n v="416"/>
    <m/>
    <n v="2122"/>
    <n v="2500"/>
    <n v="8"/>
    <m/>
    <m/>
    <m/>
    <m/>
    <m/>
    <m/>
    <m/>
    <n v="330569"/>
    <n v="231398"/>
    <n v="0"/>
    <n v="361000"/>
    <n v="61700"/>
    <n v="299300"/>
    <n v="0"/>
    <n v="0"/>
    <n v="89850.625589999996"/>
    <n v="-47929.131559187132"/>
    <n v="21557.329055999999"/>
    <n v="197752.34721000001"/>
    <n v="-11598.371226000001"/>
    <n v="84291.190810162007"/>
    <n v="0"/>
    <n v="0"/>
    <n v="24196.136845503999"/>
    <n v="30336.176841600001"/>
    <n v="0"/>
    <n v="0"/>
    <n v="346500"/>
    <n v="41900"/>
    <n v="388400"/>
    <n v="7.5900277008310243E-2"/>
    <n v="0.99970000000000003"/>
    <n v="1.0067999999999999"/>
    <n v="0.99650000000000005"/>
    <n v="0.98919999999999997"/>
    <n v="0.995"/>
    <n v="0.94971499999999998"/>
    <n v="0.93782325090236773"/>
    <n v="346500"/>
    <n v="0"/>
    <n v="346500"/>
    <n v="39800"/>
    <n v="386300"/>
    <n v="0.15770130304042768"/>
    <n v="-0.35494327390599678"/>
    <n v="7.0083102493074798E-2"/>
  </r>
  <r>
    <n v="2025"/>
    <s v="18132324434    "/>
    <n v="-1.5606477482646683"/>
    <n v="0.21"/>
    <m/>
    <s v="6"/>
    <s v="RES"/>
    <x v="0"/>
    <s v="11"/>
    <s v="259"/>
    <s v="TD"/>
    <s v="G"/>
    <s v="GD"/>
    <x v="7"/>
    <n v="79"/>
    <n v="52"/>
    <n v="1945"/>
    <n v="1972"/>
    <n v="1619"/>
    <m/>
    <n v="1598"/>
    <n v="795"/>
    <n v="803"/>
    <m/>
    <n v="2422"/>
    <n v="2500"/>
    <n v="12"/>
    <m/>
    <m/>
    <m/>
    <m/>
    <m/>
    <m/>
    <m/>
    <n v="487846"/>
    <n v="341492"/>
    <n v="10683"/>
    <n v="421300"/>
    <n v="60100"/>
    <n v="361200"/>
    <n v="0"/>
    <n v="0"/>
    <n v="89850.625589999996"/>
    <n v="-49401.70477837498"/>
    <n v="44121.038090000002"/>
    <n v="197752.34721000001"/>
    <n v="-11598.371226000001"/>
    <n v="79992.636530863005"/>
    <n v="0"/>
    <n v="0"/>
    <n v="46472.868604705996"/>
    <n v="45504.265262400004"/>
    <n v="0"/>
    <n v="10700"/>
    <n v="402200"/>
    <n v="40400"/>
    <n v="453300"/>
    <n v="7.5955376216472817E-2"/>
    <n v="0.99970000000000003"/>
    <n v="0.98050000000000004"/>
    <n v="0.99650000000000005"/>
    <n v="0.98919999999999997"/>
    <n v="0.995"/>
    <n v="0.94971499999999998"/>
    <n v="0.91332508691872449"/>
    <n v="402200"/>
    <n v="10100"/>
    <n v="412300"/>
    <n v="38400"/>
    <n v="450700"/>
    <n v="0.14147286821705427"/>
    <n v="-0.36106489184692181"/>
    <n v="6.978400189888441E-2"/>
  </r>
  <r>
    <n v="2025"/>
    <s v="18132343406    "/>
    <n v="-1.7147984280919266"/>
    <n v="0.18"/>
    <n v="7894"/>
    <s v="6"/>
    <s v="RES"/>
    <x v="0"/>
    <s v="11"/>
    <s v="259"/>
    <s v="RN"/>
    <s v="G"/>
    <s v="AV"/>
    <x v="7"/>
    <n v="79"/>
    <n v="52"/>
    <n v="1945"/>
    <n v="1972"/>
    <n v="1225"/>
    <m/>
    <m/>
    <n v="0"/>
    <m/>
    <m/>
    <n v="1225"/>
    <n v="1500"/>
    <n v="5"/>
    <n v="308"/>
    <m/>
    <n v="126"/>
    <m/>
    <m/>
    <m/>
    <m/>
    <n v="320520"/>
    <n v="217954"/>
    <n v="0"/>
    <n v="290300"/>
    <n v="54700"/>
    <n v="235600"/>
    <n v="0"/>
    <n v="0"/>
    <n v="89850.625589999996"/>
    <n v="-54281.285314520763"/>
    <n v="44121.038090000002"/>
    <n v="160472.20319"/>
    <n v="-11598.371226000001"/>
    <n v="60525.620599325004"/>
    <n v="0"/>
    <n v="0"/>
    <n v="0"/>
    <n v="18960.110526"/>
    <n v="4195.2349247760003"/>
    <n v="0"/>
    <n v="276700"/>
    <n v="35600"/>
    <n v="312300"/>
    <n v="7.5783672063382712E-2"/>
    <n v="0.99970000000000003"/>
    <n v="0.98050000000000004"/>
    <n v="0.99729999999999996"/>
    <n v="1.0157"/>
    <n v="0.995"/>
    <n v="0.94971499999999998"/>
    <n v="0.93854531823597842"/>
    <n v="276700"/>
    <n v="0"/>
    <n v="276700"/>
    <n v="33800"/>
    <n v="310500"/>
    <n v="0.17444821731748728"/>
    <n v="-0.38208409506398539"/>
    <n v="6.9583189803651399E-2"/>
  </r>
  <r>
    <n v="2025"/>
    <s v="18132241440    "/>
    <n v="-1.6094379124341003"/>
    <n v="0.2"/>
    <n v="8680"/>
    <s v="6"/>
    <s v="RES"/>
    <x v="0"/>
    <s v="11"/>
    <s v="259"/>
    <s v="TD"/>
    <s v="A"/>
    <s v="AV"/>
    <x v="7"/>
    <n v="79"/>
    <n v="52"/>
    <n v="1945"/>
    <n v="1972"/>
    <n v="1196"/>
    <m/>
    <n v="1196"/>
    <n v="585"/>
    <n v="611"/>
    <m/>
    <n v="1807"/>
    <n v="2000"/>
    <n v="9"/>
    <m/>
    <m/>
    <n v="240"/>
    <m/>
    <m/>
    <m/>
    <m/>
    <n v="278594"/>
    <n v="189444"/>
    <n v="6957"/>
    <n v="327300"/>
    <n v="58400"/>
    <n v="268900"/>
    <n v="0"/>
    <n v="0"/>
    <n v="89850.625589999996"/>
    <n v="-50946.13867709865"/>
    <n v="21557.329055999999"/>
    <n v="160472.20319"/>
    <n v="-11598.371226000001"/>
    <n v="59092.769172892004"/>
    <n v="0"/>
    <n v="0"/>
    <n v="34781.946715411999"/>
    <n v="34128.198946800003"/>
    <n v="7990.9236662400008"/>
    <n v="7000"/>
    <n v="306400"/>
    <n v="38900"/>
    <n v="352300"/>
    <n v="7.6382523678582337E-2"/>
    <n v="0.99970000000000003"/>
    <n v="1.0067999999999999"/>
    <n v="0.99729999999999996"/>
    <n v="1.0093000000000001"/>
    <n v="0.995"/>
    <n v="0.94971499999999998"/>
    <n v="0.957647495730095"/>
    <n v="306400"/>
    <n v="6600"/>
    <n v="313000"/>
    <n v="36900"/>
    <n v="349900"/>
    <n v="0.1640014875418371"/>
    <n v="-0.36815068493150682"/>
    <n v="6.9049801405438441E-2"/>
  </r>
  <r>
    <n v="2025"/>
    <s v="18132342468    "/>
    <n v="-1.2039728043259361"/>
    <n v="0.3"/>
    <n v="12973"/>
    <s v="6"/>
    <s v="RES"/>
    <x v="0"/>
    <s v="11"/>
    <s v="259"/>
    <s v="BG"/>
    <s v="G"/>
    <s v="GD"/>
    <x v="7"/>
    <n v="79"/>
    <n v="52"/>
    <n v="1945"/>
    <n v="1972"/>
    <n v="2129"/>
    <m/>
    <n v="152"/>
    <n v="152"/>
    <m/>
    <m/>
    <n v="2129"/>
    <n v="2500"/>
    <n v="7"/>
    <m/>
    <n v="418"/>
    <n v="57"/>
    <m/>
    <m/>
    <m/>
    <m/>
    <n v="519892"/>
    <n v="363924"/>
    <n v="26836"/>
    <n v="414400"/>
    <n v="72500"/>
    <n v="341900"/>
    <n v="0"/>
    <n v="0"/>
    <n v="89850.625589999996"/>
    <n v="-38111.29648355169"/>
    <n v="44121.038090000002"/>
    <n v="197752.34721000001"/>
    <n v="-11598.371226000001"/>
    <n v="105191.05816813301"/>
    <n v="0"/>
    <n v="0"/>
    <n v="4420.4480775439997"/>
    <n v="26544.1547364"/>
    <n v="1897.8443707320002"/>
    <n v="26800"/>
    <n v="368300"/>
    <n v="51700"/>
    <n v="446800"/>
    <n v="7.8185328185328182E-2"/>
    <n v="0.99970000000000003"/>
    <n v="0.98050000000000004"/>
    <n v="0.99650000000000005"/>
    <n v="0.98919999999999997"/>
    <n v="0.995"/>
    <n v="0.94971499999999998"/>
    <n v="0.91332508691872449"/>
    <n v="368300"/>
    <n v="25500"/>
    <n v="393800"/>
    <n v="49100"/>
    <n v="442900"/>
    <n v="0.15179877157063468"/>
    <n v="-0.32275862068965516"/>
    <n v="6.8774131274131275E-2"/>
  </r>
  <r>
    <n v="2025"/>
    <s v="18132324432    "/>
    <n v="-1.5606477482646683"/>
    <n v="0.21"/>
    <m/>
    <s v="6"/>
    <s v="RES"/>
    <x v="0"/>
    <s v="11"/>
    <s v="259"/>
    <s v="TD"/>
    <s v="A"/>
    <s v="GD"/>
    <x v="7"/>
    <n v="79"/>
    <n v="52"/>
    <n v="1945"/>
    <n v="1972"/>
    <n v="1420"/>
    <m/>
    <n v="682"/>
    <n v="0"/>
    <n v="682"/>
    <m/>
    <n v="2102"/>
    <n v="2500"/>
    <n v="8"/>
    <m/>
    <m/>
    <n v="84"/>
    <m/>
    <m/>
    <m/>
    <m/>
    <n v="287494"/>
    <n v="201246"/>
    <n v="10334"/>
    <n v="355000"/>
    <n v="60100"/>
    <n v="294900"/>
    <n v="0"/>
    <n v="0"/>
    <n v="89850.625589999996"/>
    <n v="-49401.70477837498"/>
    <n v="21557.329055999999"/>
    <n v="197752.34721000001"/>
    <n v="-11598.371226000001"/>
    <n v="70160.311225340003"/>
    <n v="0"/>
    <n v="0"/>
    <n v="19833.852558454"/>
    <n v="30336.176841600001"/>
    <n v="2796.8232831840005"/>
    <n v="10300"/>
    <n v="330800"/>
    <n v="40400"/>
    <n v="381500"/>
    <n v="7.464788732394366E-2"/>
    <n v="0.99970000000000003"/>
    <n v="1.0067999999999999"/>
    <n v="0.99650000000000005"/>
    <n v="0.98919999999999997"/>
    <n v="0.995"/>
    <n v="0.94971499999999998"/>
    <n v="0.93782325090236773"/>
    <n v="330800"/>
    <n v="9800"/>
    <n v="340600"/>
    <n v="38400"/>
    <n v="379000"/>
    <n v="0.15496778569006442"/>
    <n v="-0.36106489184692181"/>
    <n v="6.7605633802816895E-2"/>
  </r>
  <r>
    <n v="2025"/>
    <s v="18132334421    "/>
    <n v="-1.4696759700589417"/>
    <n v="0.23"/>
    <m/>
    <s v="6"/>
    <s v="RES"/>
    <x v="0"/>
    <s v="11"/>
    <s v="259"/>
    <s v="TD"/>
    <s v="A"/>
    <s v="AV"/>
    <x v="7"/>
    <n v="79"/>
    <n v="52"/>
    <n v="1945"/>
    <n v="1972"/>
    <n v="1364"/>
    <m/>
    <n v="144"/>
    <n v="144"/>
    <m/>
    <m/>
    <n v="1364"/>
    <n v="1500"/>
    <n v="5"/>
    <m/>
    <m/>
    <n v="384"/>
    <m/>
    <m/>
    <m/>
    <m/>
    <n v="247126"/>
    <n v="168046"/>
    <n v="10379"/>
    <n v="304300"/>
    <n v="63300"/>
    <n v="241000"/>
    <n v="0"/>
    <n v="0"/>
    <n v="89850.625589999996"/>
    <n v="-46522.028095997222"/>
    <n v="21557.329055999999"/>
    <n v="160472.20319"/>
    <n v="-11598.371226000001"/>
    <n v="67393.425712227996"/>
    <n v="0"/>
    <n v="0"/>
    <n v="4187.7929155679994"/>
    <n v="18960.110526"/>
    <n v="12785.477865984001"/>
    <n v="10400"/>
    <n v="273800"/>
    <n v="43300"/>
    <n v="327500"/>
    <n v="7.6240552086756494E-2"/>
    <n v="0.99970000000000003"/>
    <n v="1.0067999999999999"/>
    <n v="0.99729999999999996"/>
    <n v="1.0157"/>
    <n v="0.995"/>
    <n v="0.94971499999999998"/>
    <n v="0.96371996573175212"/>
    <n v="273800"/>
    <n v="9900"/>
    <n v="283700"/>
    <n v="41100"/>
    <n v="324800"/>
    <n v="0.17717842323651453"/>
    <n v="-0.35071090047393366"/>
    <n v="6.736772921459086E-2"/>
  </r>
  <r>
    <n v="2025"/>
    <s v="18132332500    "/>
    <n v="-1.6607312068216509"/>
    <n v="0.19"/>
    <m/>
    <s v="6"/>
    <s v="RES"/>
    <x v="0"/>
    <s v="11"/>
    <s v="259"/>
    <s v="TD"/>
    <s v="A"/>
    <s v="AV"/>
    <x v="7"/>
    <n v="79"/>
    <n v="52"/>
    <n v="1945"/>
    <n v="1972"/>
    <n v="1180"/>
    <m/>
    <n v="416"/>
    <n v="416"/>
    <m/>
    <m/>
    <n v="1180"/>
    <n v="1500"/>
    <n v="5"/>
    <m/>
    <n v="294"/>
    <m/>
    <m/>
    <m/>
    <m/>
    <m/>
    <n v="225329"/>
    <n v="153224"/>
    <n v="0"/>
    <n v="276600"/>
    <n v="56600"/>
    <n v="220000"/>
    <n v="0"/>
    <n v="0"/>
    <n v="89850.625589999996"/>
    <n v="-52569.808201026557"/>
    <n v="21557.329055999999"/>
    <n v="160472.20319"/>
    <n v="-11598.371226000001"/>
    <n v="58302.23045486"/>
    <n v="0"/>
    <n v="0"/>
    <n v="12098.068422752"/>
    <n v="18960.110526"/>
    <n v="0"/>
    <n v="0"/>
    <n v="259800"/>
    <n v="37300"/>
    <n v="297100"/>
    <n v="7.4114244396240064E-2"/>
    <n v="0.99970000000000003"/>
    <n v="1.0067999999999999"/>
    <n v="0.99729999999999996"/>
    <n v="1.0157"/>
    <n v="0.995"/>
    <n v="0.94971499999999998"/>
    <n v="0.96371996573175212"/>
    <n v="259800"/>
    <n v="0"/>
    <n v="259800"/>
    <n v="35400"/>
    <n v="295200"/>
    <n v="0.18090909090909091"/>
    <n v="-0.37455830388692579"/>
    <n v="6.7245119305856832E-2"/>
  </r>
  <r>
    <n v="2025"/>
    <s v="18132241456    "/>
    <n v="-1.6607312068216509"/>
    <n v="0.19"/>
    <n v="8060"/>
    <s v="6"/>
    <s v="RES"/>
    <x v="0"/>
    <s v="11"/>
    <s v="259"/>
    <s v="TD"/>
    <s v="A"/>
    <s v="AV"/>
    <x v="7"/>
    <n v="79"/>
    <n v="52"/>
    <n v="1945"/>
    <n v="1972"/>
    <n v="1248"/>
    <m/>
    <m/>
    <n v="0"/>
    <m/>
    <m/>
    <n v="1248"/>
    <n v="1500"/>
    <n v="8"/>
    <m/>
    <m/>
    <n v="300"/>
    <m/>
    <m/>
    <m/>
    <m/>
    <n v="227958"/>
    <n v="155011"/>
    <n v="7182"/>
    <n v="294800"/>
    <n v="56600"/>
    <n v="238200"/>
    <n v="0"/>
    <n v="0"/>
    <n v="89850.625589999996"/>
    <n v="-52569.808201026557"/>
    <n v="21557.329055999999"/>
    <n v="160472.20319"/>
    <n v="-11598.371226000001"/>
    <n v="61662.020006496001"/>
    <n v="0"/>
    <n v="0"/>
    <n v="0"/>
    <n v="30336.176841600001"/>
    <n v="9988.6545828000017"/>
    <n v="7200"/>
    <n v="272400"/>
    <n v="37300"/>
    <n v="316900"/>
    <n v="7.4966078697421987E-2"/>
    <n v="0.99970000000000003"/>
    <n v="1.0067999999999999"/>
    <n v="0.99729999999999996"/>
    <n v="1.0157"/>
    <n v="0.995"/>
    <n v="0.94971499999999998"/>
    <n v="0.96371996573175212"/>
    <n v="272400"/>
    <n v="6800"/>
    <n v="279200"/>
    <n v="35400"/>
    <n v="314600"/>
    <n v="0.17212426532325778"/>
    <n v="-0.37455830388692579"/>
    <n v="6.7164179104477612E-2"/>
  </r>
  <r>
    <n v="2025"/>
    <s v="18132324512    "/>
    <n v="-1.9661128563728327"/>
    <n v="0.14000000000000001"/>
    <m/>
    <s v="6"/>
    <s v="RES"/>
    <x v="0"/>
    <s v="11"/>
    <s v="259"/>
    <s v="TD"/>
    <s v="G"/>
    <s v="GD"/>
    <x v="7"/>
    <n v="79"/>
    <n v="52"/>
    <n v="1945"/>
    <n v="1972"/>
    <n v="1180"/>
    <m/>
    <n v="1180"/>
    <n v="0"/>
    <n v="1180"/>
    <m/>
    <n v="2360"/>
    <n v="2500"/>
    <n v="8"/>
    <m/>
    <m/>
    <n v="72"/>
    <m/>
    <m/>
    <m/>
    <m/>
    <n v="409245"/>
    <n v="286472"/>
    <n v="27001"/>
    <n v="381800"/>
    <n v="46000"/>
    <n v="335800"/>
    <n v="0"/>
    <n v="0"/>
    <n v="89850.625589999996"/>
    <n v="-62236.546971921947"/>
    <n v="44121.038090000002"/>
    <n v="197752.34721000001"/>
    <n v="-11598.371226000001"/>
    <n v="58302.23045486"/>
    <n v="0"/>
    <n v="0"/>
    <n v="34316.636391460001"/>
    <n v="30336.176841600001"/>
    <n v="2397.2770998720002"/>
    <n v="27000"/>
    <n v="355600"/>
    <n v="27600"/>
    <n v="410200"/>
    <n v="7.438449449973808E-2"/>
    <n v="0.99970000000000003"/>
    <n v="0.98050000000000004"/>
    <n v="0.99650000000000005"/>
    <n v="0.98919999999999997"/>
    <n v="0.995"/>
    <n v="0.94971499999999998"/>
    <n v="0.91332508691872449"/>
    <n v="355600"/>
    <n v="25600"/>
    <n v="381200"/>
    <n v="26200"/>
    <n v="407400"/>
    <n v="0.13519952352590828"/>
    <n v="-0.43043478260869567"/>
    <n v="6.7050811943425881E-2"/>
  </r>
  <r>
    <n v="2025"/>
    <s v="18132332497    "/>
    <n v="-1.7147984280919266"/>
    <n v="0.18"/>
    <n v="8040"/>
    <s v="6"/>
    <s v="RES"/>
    <x v="0"/>
    <s v="11"/>
    <s v="259"/>
    <s v="TD"/>
    <s v="A+"/>
    <s v="FR"/>
    <x v="7"/>
    <n v="79"/>
    <n v="52"/>
    <n v="1945"/>
    <n v="1972"/>
    <n v="1515"/>
    <m/>
    <n v="656"/>
    <n v="356"/>
    <n v="300"/>
    <m/>
    <n v="1815"/>
    <n v="2000"/>
    <n v="8"/>
    <n v="567"/>
    <m/>
    <m/>
    <m/>
    <m/>
    <m/>
    <m/>
    <n v="355199"/>
    <n v="234431"/>
    <n v="0"/>
    <n v="290700"/>
    <n v="54700"/>
    <n v="236000"/>
    <n v="0"/>
    <n v="0"/>
    <n v="89850.625589999996"/>
    <n v="-54281.285314520763"/>
    <n v="29814.093161000001"/>
    <n v="133714.53821"/>
    <n v="-11598.371226000001"/>
    <n v="74854.134863654996"/>
    <n v="0"/>
    <n v="0"/>
    <n v="19077.723282031999"/>
    <n v="30336.176841600001"/>
    <n v="0"/>
    <n v="0"/>
    <n v="276200"/>
    <n v="35600"/>
    <n v="311800"/>
    <n v="7.2583419332645338E-2"/>
    <n v="0.99970000000000003"/>
    <n v="1.0088999999999999"/>
    <n v="0.99329999999999996"/>
    <n v="1.0093000000000001"/>
    <n v="0.995"/>
    <n v="0.94971499999999998"/>
    <n v="0.95579600051299707"/>
    <n v="276200"/>
    <n v="0"/>
    <n v="276200"/>
    <n v="33800"/>
    <n v="310000"/>
    <n v="0.17033898305084746"/>
    <n v="-0.38208409506398539"/>
    <n v="6.6391468868249051E-2"/>
  </r>
  <r>
    <n v="2025"/>
    <s v="18132313465    "/>
    <n v="-0.4780358009429998"/>
    <n v="0.62"/>
    <n v="26900"/>
    <s v="6"/>
    <s v="RES"/>
    <x v="0"/>
    <s v="11"/>
    <s v="259"/>
    <s v="TD"/>
    <s v="A"/>
    <s v="AV"/>
    <x v="7"/>
    <n v="79"/>
    <n v="52"/>
    <n v="1945"/>
    <n v="1972"/>
    <n v="1292"/>
    <m/>
    <n v="506"/>
    <n v="506"/>
    <m/>
    <m/>
    <n v="1292"/>
    <n v="1500"/>
    <n v="8"/>
    <m/>
    <m/>
    <n v="280"/>
    <m/>
    <m/>
    <m/>
    <m/>
    <n v="266485"/>
    <n v="181210"/>
    <n v="4960"/>
    <n v="341800"/>
    <n v="97900"/>
    <n v="243900"/>
    <n v="0"/>
    <n v="0"/>
    <n v="89850.625589999996"/>
    <n v="-15132.039589291824"/>
    <n v="21557.329055999999"/>
    <n v="160472.20319"/>
    <n v="-11598.371226000001"/>
    <n v="63836.001481084"/>
    <n v="0"/>
    <n v="0"/>
    <n v="14715.438994982"/>
    <n v="30336.176841600001"/>
    <n v="9322.7442772800005"/>
    <n v="5000"/>
    <n v="288600"/>
    <n v="74700"/>
    <n v="368300"/>
    <n v="7.7530719719134E-2"/>
    <n v="0.99970000000000003"/>
    <n v="1.0067999999999999"/>
    <n v="0.99729999999999996"/>
    <n v="1.0157"/>
    <n v="0.995"/>
    <n v="0.94971499999999998"/>
    <n v="0.96371996573175212"/>
    <n v="288600"/>
    <n v="4700"/>
    <n v="293300"/>
    <n v="71000"/>
    <n v="364300"/>
    <n v="0.20254202542025421"/>
    <n v="-0.27477017364657813"/>
    <n v="6.5827969572849615E-2"/>
  </r>
  <r>
    <n v="2025"/>
    <s v="18132324545    "/>
    <n v="-1.5606477482646683"/>
    <n v="0.21"/>
    <m/>
    <s v="6"/>
    <s v="RES"/>
    <x v="0"/>
    <s v="11"/>
    <s v="259"/>
    <s v="TD"/>
    <s v="A"/>
    <s v="AV"/>
    <x v="7"/>
    <n v="79"/>
    <n v="52"/>
    <n v="1945"/>
    <n v="1972"/>
    <n v="1217"/>
    <m/>
    <n v="1217"/>
    <n v="608"/>
    <n v="609"/>
    <m/>
    <n v="1826"/>
    <n v="2000"/>
    <n v="7"/>
    <m/>
    <m/>
    <n v="168"/>
    <m/>
    <m/>
    <m/>
    <m/>
    <n v="270913"/>
    <n v="184221"/>
    <n v="6712"/>
    <n v="322200"/>
    <n v="60100"/>
    <n v="262100"/>
    <n v="0"/>
    <n v="0"/>
    <n v="89850.625589999996"/>
    <n v="-49401.70477837498"/>
    <n v="21557.329055999999"/>
    <n v="160472.20319"/>
    <n v="-11598.371226000001"/>
    <n v="60130.351240308999"/>
    <n v="0"/>
    <n v="0"/>
    <n v="35392.666515598998"/>
    <n v="26544.1547364"/>
    <n v="5593.646566368001"/>
    <n v="6700"/>
    <n v="298100"/>
    <n v="40400"/>
    <n v="345200"/>
    <n v="7.1384233395406574E-2"/>
    <n v="0.99970000000000003"/>
    <n v="1.0067999999999999"/>
    <n v="0.99729999999999996"/>
    <n v="1.0093000000000001"/>
    <n v="0.995"/>
    <n v="0.94971499999999998"/>
    <n v="0.957647495730095"/>
    <n v="298100"/>
    <n v="6400"/>
    <n v="304500"/>
    <n v="38400"/>
    <n v="342900"/>
    <n v="0.16177031667302555"/>
    <n v="-0.36106489184692181"/>
    <n v="6.4245810055865923E-2"/>
  </r>
  <r>
    <n v="2025"/>
    <s v="18132241049    "/>
    <n v="-1.9661128563728327"/>
    <n v="0.14000000000000001"/>
    <m/>
    <s v="6"/>
    <s v="RES"/>
    <x v="0"/>
    <s v="11"/>
    <s v="259"/>
    <s v="BG"/>
    <s v="A"/>
    <s v="AV"/>
    <x v="7"/>
    <n v="79"/>
    <n v="52"/>
    <n v="1945"/>
    <n v="1972"/>
    <n v="1092"/>
    <m/>
    <n v="1092"/>
    <n v="592"/>
    <n v="500"/>
    <m/>
    <n v="1592"/>
    <n v="2000"/>
    <n v="5"/>
    <n v="220"/>
    <m/>
    <m/>
    <m/>
    <m/>
    <m/>
    <m/>
    <n v="249492"/>
    <n v="169655"/>
    <n v="0"/>
    <n v="283200"/>
    <n v="46000"/>
    <n v="237200"/>
    <n v="0"/>
    <n v="0"/>
    <n v="89850.625589999996"/>
    <n v="-62236.546971921947"/>
    <n v="21557.329055999999"/>
    <n v="160472.20319"/>
    <n v="-11598.371226000001"/>
    <n v="53954.267505684002"/>
    <n v="0"/>
    <n v="0"/>
    <n v="31757.429609723997"/>
    <n v="18960.110526"/>
    <n v="0"/>
    <n v="0"/>
    <n v="275100"/>
    <n v="27600"/>
    <n v="302700"/>
    <n v="6.8855932203389827E-2"/>
    <n v="0.99970000000000003"/>
    <n v="1.0067999999999999"/>
    <n v="0.99729999999999996"/>
    <n v="1.0093000000000001"/>
    <n v="0.995"/>
    <n v="0.94971499999999998"/>
    <n v="0.957647495730095"/>
    <n v="275100"/>
    <n v="0"/>
    <n v="275100"/>
    <n v="26200"/>
    <n v="301300"/>
    <n v="0.15978077571669477"/>
    <n v="-0.43043478260869567"/>
    <n v="6.3912429378531074E-2"/>
  </r>
  <r>
    <n v="2025"/>
    <s v="18132332586    "/>
    <n v="-1.5141277326297755"/>
    <n v="0.22"/>
    <n v="9454"/>
    <s v="6"/>
    <s v="RES"/>
    <x v="0"/>
    <s v="11"/>
    <s v="259"/>
    <s v="RN"/>
    <s v="A"/>
    <s v="GD"/>
    <x v="7"/>
    <n v="79"/>
    <n v="52"/>
    <n v="1945"/>
    <n v="1972"/>
    <n v="1224"/>
    <m/>
    <n v="360"/>
    <n v="0"/>
    <n v="360"/>
    <m/>
    <n v="1584"/>
    <n v="2000"/>
    <n v="5"/>
    <n v="180"/>
    <m/>
    <m/>
    <m/>
    <m/>
    <m/>
    <m/>
    <n v="252162"/>
    <n v="176513"/>
    <n v="0"/>
    <n v="317900"/>
    <n v="61700"/>
    <n v="256200"/>
    <n v="0"/>
    <n v="0"/>
    <n v="89850.625589999996"/>
    <n v="-47929.131559187132"/>
    <n v="21557.329055999999"/>
    <n v="197752.34721000001"/>
    <n v="-11598.371226000001"/>
    <n v="60476.211929448"/>
    <n v="0"/>
    <n v="0"/>
    <n v="10469.482288919999"/>
    <n v="18960.110526"/>
    <n v="0"/>
    <n v="0"/>
    <n v="297600"/>
    <n v="41900"/>
    <n v="339500"/>
    <n v="6.7945894935514312E-2"/>
    <n v="0.99970000000000003"/>
    <n v="1.0067999999999999"/>
    <n v="0.99650000000000005"/>
    <n v="1.0093000000000001"/>
    <n v="0.995"/>
    <n v="0.94971499999999998"/>
    <n v="0.95687930361479956"/>
    <n v="297600"/>
    <n v="0"/>
    <n v="297600"/>
    <n v="39800"/>
    <n v="337400"/>
    <n v="0.16159250585480095"/>
    <n v="-0.35494327390599678"/>
    <n v="6.1340044039005975E-2"/>
  </r>
  <r>
    <n v="2025"/>
    <s v="18132313554    "/>
    <n v="-1.2729656758128873"/>
    <n v="0.28000000000000003"/>
    <m/>
    <s v="6"/>
    <s v="RES"/>
    <x v="0"/>
    <s v="11"/>
    <s v="259"/>
    <s v="BG"/>
    <s v="A"/>
    <s v="GD"/>
    <x v="7"/>
    <n v="79"/>
    <n v="52"/>
    <n v="1945"/>
    <n v="1972"/>
    <n v="1306"/>
    <m/>
    <n v="368"/>
    <n v="0"/>
    <n v="368"/>
    <m/>
    <n v="1674"/>
    <n v="2000"/>
    <n v="5"/>
    <m/>
    <m/>
    <m/>
    <m/>
    <m/>
    <m/>
    <m/>
    <n v="247506"/>
    <n v="173254"/>
    <n v="0"/>
    <n v="329100"/>
    <n v="70100"/>
    <n v="259000"/>
    <n v="0"/>
    <n v="0"/>
    <n v="89850.625589999996"/>
    <n v="-40295.239319339329"/>
    <n v="21557.329055999999"/>
    <n v="197752.34721000001"/>
    <n v="-11598.371226000001"/>
    <n v="64527.722859362002"/>
    <n v="0"/>
    <n v="0"/>
    <n v="10702.137450896"/>
    <n v="18960.110526"/>
    <n v="0"/>
    <n v="0"/>
    <n v="301900"/>
    <n v="49600"/>
    <n v="351500"/>
    <n v="6.8064418109996958E-2"/>
    <n v="0.99970000000000003"/>
    <n v="1.0067999999999999"/>
    <n v="0.99650000000000005"/>
    <n v="1.0093000000000001"/>
    <n v="0.995"/>
    <n v="0.94971499999999998"/>
    <n v="0.95687930361479956"/>
    <n v="301900"/>
    <n v="0"/>
    <n v="301900"/>
    <n v="47100"/>
    <n v="349000"/>
    <n v="0.16563706563706565"/>
    <n v="-0.32810271041369471"/>
    <n v="6.0467942874506228E-2"/>
  </r>
  <r>
    <n v="2025"/>
    <s v="18132332407    "/>
    <n v="-1.5606477482646683"/>
    <n v="0.21"/>
    <n v="9069"/>
    <s v="6"/>
    <s v="RES"/>
    <x v="0"/>
    <s v="11"/>
    <s v="259"/>
    <s v="CP"/>
    <s v="A+"/>
    <s v="GD"/>
    <x v="7"/>
    <n v="79"/>
    <n v="52"/>
    <n v="1945"/>
    <n v="1972"/>
    <n v="1160"/>
    <n v="1206"/>
    <m/>
    <n v="0"/>
    <m/>
    <m/>
    <n v="2366"/>
    <n v="2500"/>
    <n v="10"/>
    <n v="528"/>
    <m/>
    <m/>
    <m/>
    <m/>
    <m/>
    <m/>
    <n v="412387"/>
    <n v="288671"/>
    <n v="0"/>
    <n v="380800"/>
    <n v="60100"/>
    <n v="320700"/>
    <n v="0"/>
    <n v="0"/>
    <n v="89850.625589999996"/>
    <n v="-49401.70477837498"/>
    <n v="29814.093161000001"/>
    <n v="197752.34721000001"/>
    <n v="-11598.371226000001"/>
    <n v="57314.057057320002"/>
    <n v="54012.425970365999"/>
    <n v="0"/>
    <n v="0"/>
    <n v="37920.221052000001"/>
    <n v="0"/>
    <n v="0"/>
    <n v="365200"/>
    <n v="40400"/>
    <n v="405600"/>
    <n v="6.5126050420168072E-2"/>
    <n v="0.99970000000000003"/>
    <n v="1.0088999999999999"/>
    <n v="0.99650000000000005"/>
    <n v="0.98919999999999997"/>
    <n v="0.995"/>
    <n v="0.94971499999999998"/>
    <n v="0.93977937806455991"/>
    <n v="365200"/>
    <n v="0"/>
    <n v="365200"/>
    <n v="38400"/>
    <n v="403600"/>
    <n v="0.1387589647645775"/>
    <n v="-0.36106489184692181"/>
    <n v="5.9873949579831935E-2"/>
  </r>
  <r>
    <n v="2025"/>
    <s v="18132214424    "/>
    <n v="-1.7147984280919266"/>
    <n v="0.18"/>
    <n v="7750"/>
    <s v="6"/>
    <s v="RES"/>
    <x v="0"/>
    <s v="11"/>
    <s v="259"/>
    <s v="TD"/>
    <s v="A"/>
    <s v="GD"/>
    <x v="7"/>
    <n v="79"/>
    <n v="52"/>
    <n v="1945"/>
    <n v="1972"/>
    <n v="1011"/>
    <m/>
    <n v="987"/>
    <n v="0"/>
    <n v="987"/>
    <m/>
    <n v="1998"/>
    <n v="2000"/>
    <n v="7"/>
    <m/>
    <m/>
    <m/>
    <m/>
    <m/>
    <m/>
    <m/>
    <n v="244026"/>
    <n v="170818"/>
    <n v="5261"/>
    <n v="331900"/>
    <n v="54700"/>
    <n v="277200"/>
    <n v="0"/>
    <n v="0"/>
    <n v="89850.625589999996"/>
    <n v="-54281.285314520763"/>
    <n v="21557.329055999999"/>
    <n v="197752.34721000001"/>
    <n v="-11598.371226000001"/>
    <n v="49952.165245647004"/>
    <n v="0"/>
    <n v="0"/>
    <n v="28703.830608788998"/>
    <n v="26544.1547364"/>
    <n v="0"/>
    <n v="5300"/>
    <n v="312900"/>
    <n v="35600"/>
    <n v="353800"/>
    <n v="6.5983730039168423E-2"/>
    <n v="0.99970000000000003"/>
    <n v="1.0067999999999999"/>
    <n v="0.99650000000000005"/>
    <n v="1.0093000000000001"/>
    <n v="0.995"/>
    <n v="0.94971499999999998"/>
    <n v="0.95687930361479956"/>
    <n v="312900"/>
    <n v="5000"/>
    <n v="317900"/>
    <n v="33800"/>
    <n v="351700"/>
    <n v="0.14682539682539683"/>
    <n v="-0.38208409506398539"/>
    <n v="5.9656523049111176E-2"/>
  </r>
  <r>
    <n v="2025"/>
    <s v="18132244477    "/>
    <n v="-1.5141277326297755"/>
    <n v="0.22"/>
    <n v="9796"/>
    <s v="6"/>
    <s v="RES"/>
    <x v="0"/>
    <s v="11"/>
    <s v="259"/>
    <s v="TD"/>
    <s v="A"/>
    <s v="GD"/>
    <x v="7"/>
    <n v="79"/>
    <n v="52"/>
    <n v="1945"/>
    <n v="1972"/>
    <n v="1750"/>
    <m/>
    <n v="608"/>
    <n v="0"/>
    <n v="608"/>
    <m/>
    <n v="2358"/>
    <n v="2500"/>
    <n v="11"/>
    <m/>
    <m/>
    <n v="110"/>
    <m/>
    <m/>
    <m/>
    <m/>
    <n v="337073"/>
    <n v="235951"/>
    <n v="7632"/>
    <n v="381600"/>
    <n v="61700"/>
    <n v="319900"/>
    <n v="0"/>
    <n v="0"/>
    <n v="89850.625589999996"/>
    <n v="-47929.131559187132"/>
    <n v="21557.329055999999"/>
    <n v="197752.34721000001"/>
    <n v="-11598.371226000001"/>
    <n v="86465.172284750006"/>
    <n v="0"/>
    <n v="0"/>
    <n v="17681.792310175999"/>
    <n v="41712.243157199999"/>
    <n v="3662.5066803600002"/>
    <n v="7600"/>
    <n v="357200"/>
    <n v="41900"/>
    <n v="406700"/>
    <n v="6.5775681341719072E-2"/>
    <n v="0.99970000000000003"/>
    <n v="1.0067999999999999"/>
    <n v="0.99650000000000005"/>
    <n v="0.98919999999999997"/>
    <n v="0.995"/>
    <n v="0.94971499999999998"/>
    <n v="0.93782325090236773"/>
    <n v="357200"/>
    <n v="7200"/>
    <n v="364400"/>
    <n v="39800"/>
    <n v="404200"/>
    <n v="0.13910597061581745"/>
    <n v="-0.35494327390599678"/>
    <n v="5.9224318658280921E-2"/>
  </r>
  <r>
    <n v="2025"/>
    <s v="18132214443    "/>
    <n v="-1.6607312068216509"/>
    <n v="0.19"/>
    <n v="8328"/>
    <s v="6"/>
    <s v="RES"/>
    <x v="0"/>
    <s v="11"/>
    <s v="259"/>
    <s v="TD"/>
    <s v="A"/>
    <s v="GD"/>
    <x v="7"/>
    <n v="79"/>
    <n v="52"/>
    <n v="1945"/>
    <n v="1972"/>
    <n v="984"/>
    <m/>
    <n v="984"/>
    <n v="0"/>
    <n v="984"/>
    <m/>
    <n v="1968"/>
    <n v="2000"/>
    <n v="9"/>
    <n v="176"/>
    <m/>
    <m/>
    <m/>
    <m/>
    <m/>
    <m/>
    <n v="262667"/>
    <n v="183867"/>
    <n v="0"/>
    <n v="335100"/>
    <n v="56600"/>
    <n v="278500"/>
    <n v="0"/>
    <n v="0"/>
    <n v="89850.625589999996"/>
    <n v="-52569.808201026557"/>
    <n v="21557.329055999999"/>
    <n v="197752.34721000001"/>
    <n v="-11598.371226000001"/>
    <n v="48618.131158968004"/>
    <n v="0"/>
    <n v="0"/>
    <n v="28616.584923047998"/>
    <n v="34128.198946800003"/>
    <n v="0"/>
    <n v="0"/>
    <n v="319100"/>
    <n v="37300"/>
    <n v="356400"/>
    <n v="6.356311548791406E-2"/>
    <n v="0.99970000000000003"/>
    <n v="1.0067999999999999"/>
    <n v="0.99650000000000005"/>
    <n v="1.0093000000000001"/>
    <n v="0.995"/>
    <n v="0.94971499999999998"/>
    <n v="0.95687930361479956"/>
    <n v="319100"/>
    <n v="0"/>
    <n v="319100"/>
    <n v="35400"/>
    <n v="354500"/>
    <n v="0.14578096947935368"/>
    <n v="-0.37455830388692579"/>
    <n v="5.7893166219039095E-2"/>
  </r>
  <r>
    <n v="2025"/>
    <s v="18132322016    "/>
    <n v="-1.5141277326297755"/>
    <n v="0.22"/>
    <n v="9521"/>
    <s v="6"/>
    <s v="RES"/>
    <x v="0"/>
    <s v="11"/>
    <s v="259"/>
    <s v="CO"/>
    <s v="A+"/>
    <s v="GD"/>
    <x v="7"/>
    <n v="79"/>
    <n v="52"/>
    <n v="1945"/>
    <n v="1972"/>
    <n v="944"/>
    <n v="440"/>
    <n v="864"/>
    <n v="0"/>
    <n v="864"/>
    <m/>
    <n v="2248"/>
    <n v="2500"/>
    <n v="11"/>
    <m/>
    <m/>
    <n v="173"/>
    <m/>
    <m/>
    <m/>
    <m/>
    <n v="350788"/>
    <n v="245552"/>
    <n v="6724"/>
    <n v="379200"/>
    <n v="61700"/>
    <n v="317500"/>
    <n v="0"/>
    <n v="0"/>
    <n v="89850.625589999996"/>
    <n v="-47929.131559187132"/>
    <n v="29814.093161000001"/>
    <n v="197752.34721000001"/>
    <n v="-11598.371226000001"/>
    <n v="46641.784363888"/>
    <n v="19706.026058839998"/>
    <n v="0"/>
    <n v="25126.757493408"/>
    <n v="41712.243157199999"/>
    <n v="5760.1241427480008"/>
    <n v="6700"/>
    <n v="354900"/>
    <n v="41900"/>
    <n v="403500"/>
    <n v="6.4082278481012653E-2"/>
    <n v="0.99970000000000003"/>
    <n v="1.0088999999999999"/>
    <n v="0.99650000000000005"/>
    <n v="0.98919999999999997"/>
    <n v="0.995"/>
    <n v="0.94971499999999998"/>
    <n v="0.93977937806455991"/>
    <n v="354900"/>
    <n v="6400"/>
    <n v="361300"/>
    <n v="39800"/>
    <n v="401100"/>
    <n v="0.13795275590551181"/>
    <n v="-0.35494327390599678"/>
    <n v="5.7753164556962028E-2"/>
  </r>
  <r>
    <n v="2025"/>
    <s v="18132332498    "/>
    <n v="-1.6094379124341003"/>
    <n v="0.2"/>
    <m/>
    <s v="6"/>
    <s v="RES"/>
    <x v="0"/>
    <s v="11"/>
    <s v="259"/>
    <s v="TD"/>
    <s v="A"/>
    <s v="AV"/>
    <x v="7"/>
    <n v="79"/>
    <n v="52"/>
    <n v="1945"/>
    <n v="1972"/>
    <n v="1104"/>
    <m/>
    <m/>
    <n v="0"/>
    <m/>
    <m/>
    <n v="1104"/>
    <n v="1500"/>
    <n v="5"/>
    <m/>
    <m/>
    <m/>
    <m/>
    <m/>
    <m/>
    <m/>
    <n v="196295"/>
    <n v="133481"/>
    <n v="10394"/>
    <n v="275100"/>
    <n v="58400"/>
    <n v="216700"/>
    <n v="0"/>
    <n v="0"/>
    <n v="89850.625589999996"/>
    <n v="-50946.13867709865"/>
    <n v="21557.329055999999"/>
    <n v="160472.20319"/>
    <n v="-11598.371226000001"/>
    <n v="54547.171544208002"/>
    <n v="0"/>
    <n v="0"/>
    <n v="0"/>
    <n v="18960.110526"/>
    <n v="0"/>
    <n v="10400"/>
    <n v="243900"/>
    <n v="38900"/>
    <n v="293200"/>
    <n v="6.579425663395129E-2"/>
    <n v="0.99970000000000003"/>
    <n v="1.0067999999999999"/>
    <n v="0.99729999999999996"/>
    <n v="1.0157"/>
    <n v="0.995"/>
    <n v="0.94971499999999998"/>
    <n v="0.96371996573175212"/>
    <n v="243900"/>
    <n v="9900"/>
    <n v="253800"/>
    <n v="36900"/>
    <n v="290700"/>
    <n v="0.17120443008767883"/>
    <n v="-0.36815068493150682"/>
    <n v="5.6706652126499453E-2"/>
  </r>
  <r>
    <n v="2025"/>
    <s v="18132313471    "/>
    <n v="-0.75502258427803282"/>
    <n v="0.47"/>
    <m/>
    <s v="6"/>
    <s v="RES"/>
    <x v="0"/>
    <s v="11"/>
    <s v="259"/>
    <s v="BG"/>
    <s v="A"/>
    <s v="GD"/>
    <x v="7"/>
    <n v="79"/>
    <n v="52"/>
    <n v="1945"/>
    <n v="1972"/>
    <n v="1386"/>
    <n v="660"/>
    <n v="957"/>
    <n v="813"/>
    <n v="144"/>
    <m/>
    <n v="2190"/>
    <n v="2500"/>
    <n v="7"/>
    <m/>
    <m/>
    <m/>
    <m/>
    <m/>
    <m/>
    <m/>
    <n v="346812"/>
    <n v="242768"/>
    <n v="9380"/>
    <n v="408900"/>
    <n v="88200"/>
    <n v="320700"/>
    <n v="0"/>
    <n v="0"/>
    <n v="89850.625589999996"/>
    <n v="-23899.949781097919"/>
    <n v="21557.329055999999"/>
    <n v="197752.34721000001"/>
    <n v="-11598.371226000001"/>
    <n v="68480.416449522003"/>
    <n v="29559.03908826"/>
    <n v="0"/>
    <n v="27831.373751379"/>
    <n v="26544.1547364"/>
    <n v="0"/>
    <n v="9400"/>
    <n v="360100"/>
    <n v="66000"/>
    <n v="435500"/>
    <n v="6.5052580092932258E-2"/>
    <n v="0.99970000000000003"/>
    <n v="1.0067999999999999"/>
    <n v="0.99650000000000005"/>
    <n v="0.98919999999999997"/>
    <n v="0.995"/>
    <n v="0.94971499999999998"/>
    <n v="0.93782325090236773"/>
    <n v="360100"/>
    <n v="8900"/>
    <n v="369000"/>
    <n v="62600"/>
    <n v="431600"/>
    <n v="0.15060804490177737"/>
    <n v="-0.29024943310657597"/>
    <n v="5.5514795793592565E-2"/>
  </r>
  <r>
    <n v="2025"/>
    <s v="18132214540    "/>
    <n v="-1.6094379124341003"/>
    <n v="0.2"/>
    <m/>
    <s v="6"/>
    <s v="RES"/>
    <x v="0"/>
    <s v="11"/>
    <s v="400"/>
    <s v="TD"/>
    <s v="A"/>
    <s v="AV"/>
    <x v="7"/>
    <n v="79"/>
    <n v="52"/>
    <n v="1945"/>
    <n v="1972"/>
    <n v="1882"/>
    <m/>
    <n v="500"/>
    <n v="500"/>
    <m/>
    <m/>
    <n v="1882"/>
    <n v="2000"/>
    <n v="7"/>
    <m/>
    <m/>
    <m/>
    <m/>
    <m/>
    <m/>
    <m/>
    <n v="306773"/>
    <n v="208606"/>
    <n v="7608"/>
    <n v="330400"/>
    <n v="58400"/>
    <n v="272000"/>
    <n v="0"/>
    <n v="0"/>
    <n v="89850.625589999996"/>
    <n v="-50946.13867709865"/>
    <n v="21557.329055999999"/>
    <n v="160472.20319"/>
    <n v="-11598.371226000001"/>
    <n v="92987.116708514004"/>
    <n v="0"/>
    <n v="0"/>
    <n v="14540.947623499998"/>
    <n v="26544.1547364"/>
    <n v="0"/>
    <n v="7600"/>
    <n v="304500"/>
    <n v="38900"/>
    <n v="351000"/>
    <n v="6.2348668280871669E-2"/>
    <n v="0.99970000000000003"/>
    <n v="1.0067999999999999"/>
    <n v="0.99729999999999996"/>
    <n v="1.0093000000000001"/>
    <n v="0.995"/>
    <n v="0.94971499999999998"/>
    <n v="0.957647495730095"/>
    <n v="304500"/>
    <n v="7200"/>
    <n v="311700"/>
    <n v="36900"/>
    <n v="348600"/>
    <n v="0.14595588235294119"/>
    <n v="-0.36815068493150682"/>
    <n v="5.5084745762711863E-2"/>
  </r>
  <r>
    <n v="2025"/>
    <s v="18132344445    "/>
    <n v="-1.8971199848858813"/>
    <n v="0.15"/>
    <n v="6500"/>
    <s v="6"/>
    <s v="RES"/>
    <x v="0"/>
    <s v="11"/>
    <s v="259"/>
    <s v="TD"/>
    <s v="F+"/>
    <s v="AV"/>
    <x v="7"/>
    <n v="79"/>
    <n v="52"/>
    <n v="1945"/>
    <n v="1972"/>
    <n v="1092"/>
    <m/>
    <n v="110"/>
    <n v="0"/>
    <n v="110"/>
    <m/>
    <n v="1202"/>
    <n v="1500"/>
    <n v="5"/>
    <m/>
    <m/>
    <n v="182"/>
    <m/>
    <m/>
    <m/>
    <m/>
    <n v="195267"/>
    <n v="132782"/>
    <n v="7182"/>
    <n v="252700"/>
    <n v="48400"/>
    <n v="204300"/>
    <n v="0"/>
    <n v="0"/>
    <n v="89850.625589999996"/>
    <n v="-60052.604136134301"/>
    <n v="0"/>
    <n v="160472.20319"/>
    <n v="-11598.371226000001"/>
    <n v="53954.267505684002"/>
    <n v="0"/>
    <n v="0"/>
    <n v="3199.0084771699999"/>
    <n v="18960.110526"/>
    <n v="6059.7837802320009"/>
    <n v="7200"/>
    <n v="231000"/>
    <n v="29800"/>
    <n v="268000"/>
    <n v="6.0546102097348634E-2"/>
    <n v="0.99970000000000003"/>
    <n v="0.99180000000000001"/>
    <n v="0.99729999999999996"/>
    <n v="1.0157"/>
    <n v="0.995"/>
    <n v="0.94971499999999998"/>
    <n v="0.94936180176077878"/>
    <n v="231000"/>
    <n v="6800"/>
    <n v="237800"/>
    <n v="28300"/>
    <n v="266100"/>
    <n v="0.16397454723445912"/>
    <n v="-0.41528925619834711"/>
    <n v="5.3027305104867431E-2"/>
  </r>
  <r>
    <n v="2025"/>
    <s v="18132241450    "/>
    <n v="-1.7719568419318752"/>
    <n v="0.17"/>
    <n v="7479"/>
    <s v="6"/>
    <s v="RES"/>
    <x v="0"/>
    <s v="11"/>
    <s v="259"/>
    <s v="TD"/>
    <s v="A"/>
    <s v="AV"/>
    <x v="7"/>
    <n v="79"/>
    <n v="52"/>
    <n v="1945"/>
    <n v="1972"/>
    <n v="1230"/>
    <m/>
    <n v="940"/>
    <n v="740"/>
    <n v="200"/>
    <m/>
    <n v="1430"/>
    <n v="1500"/>
    <n v="7"/>
    <n v="273"/>
    <m/>
    <m/>
    <m/>
    <m/>
    <m/>
    <m/>
    <n v="266188"/>
    <n v="181008"/>
    <n v="0"/>
    <n v="301300"/>
    <n v="52700"/>
    <n v="248600"/>
    <n v="0"/>
    <n v="0"/>
    <n v="89850.625589999996"/>
    <n v="-56090.612940989391"/>
    <n v="21557.329055999999"/>
    <n v="160472.20319"/>
    <n v="-11598.371226000001"/>
    <n v="60772.663948710004"/>
    <n v="0"/>
    <n v="0"/>
    <n v="27336.981532179998"/>
    <n v="26544.1547364"/>
    <n v="0"/>
    <n v="0"/>
    <n v="285100"/>
    <n v="33800"/>
    <n v="318900"/>
    <n v="5.8413541320942584E-2"/>
    <n v="0.99970000000000003"/>
    <n v="1.0067999999999999"/>
    <n v="0.99729999999999996"/>
    <n v="1.0157"/>
    <n v="0.995"/>
    <n v="0.94971499999999998"/>
    <n v="0.96371996573175212"/>
    <n v="285100"/>
    <n v="0"/>
    <n v="285100"/>
    <n v="32100"/>
    <n v="317200"/>
    <n v="0.14682220434432824"/>
    <n v="-0.39089184060721061"/>
    <n v="5.2771324261533359E-2"/>
  </r>
  <r>
    <n v="2025"/>
    <s v="18132334474    "/>
    <n v="-1.7719568419318752"/>
    <n v="0.17"/>
    <n v="7419"/>
    <s v="6"/>
    <s v="RES"/>
    <x v="0"/>
    <s v="11"/>
    <s v="259"/>
    <s v="TD"/>
    <s v="A"/>
    <s v="AV"/>
    <x v="7"/>
    <n v="79"/>
    <n v="52"/>
    <n v="1945"/>
    <n v="1972"/>
    <n v="1062"/>
    <m/>
    <n v="912"/>
    <n v="456"/>
    <n v="456"/>
    <m/>
    <n v="1518"/>
    <n v="2000"/>
    <n v="8"/>
    <m/>
    <m/>
    <m/>
    <m/>
    <m/>
    <m/>
    <m/>
    <n v="235206"/>
    <n v="159940"/>
    <n v="6724"/>
    <n v="302400"/>
    <n v="52700"/>
    <n v="249700"/>
    <n v="0"/>
    <n v="0"/>
    <n v="89850.625589999996"/>
    <n v="-56090.612940989391"/>
    <n v="21557.329055999999"/>
    <n v="160472.20319"/>
    <n v="-11598.371226000001"/>
    <n v="52472.007409374004"/>
    <n v="0"/>
    <n v="0"/>
    <n v="26522.688465264"/>
    <n v="30336.176841600001"/>
    <n v="0"/>
    <n v="6700"/>
    <n v="279800"/>
    <n v="33800"/>
    <n v="320300"/>
    <n v="5.9193121693121693E-2"/>
    <n v="0.99970000000000003"/>
    <n v="1.0067999999999999"/>
    <n v="0.99729999999999996"/>
    <n v="1.0093000000000001"/>
    <n v="0.995"/>
    <n v="0.94971499999999998"/>
    <n v="0.957647495730095"/>
    <n v="279800"/>
    <n v="6400"/>
    <n v="286200"/>
    <n v="32100"/>
    <n v="318300"/>
    <n v="0.14617541049259111"/>
    <n v="-0.39089184060721061"/>
    <n v="5.257936507936508E-2"/>
  </r>
  <r>
    <n v="2025"/>
    <s v="18132241431    "/>
    <n v="-1.6094379124341003"/>
    <n v="0.2"/>
    <n v="8519"/>
    <s v="6"/>
    <s v="RES"/>
    <x v="0"/>
    <s v="11"/>
    <s v="259"/>
    <s v="BG"/>
    <s v="G"/>
    <s v="AV"/>
    <x v="7"/>
    <n v="79"/>
    <n v="52"/>
    <n v="1945"/>
    <n v="1972"/>
    <n v="1266"/>
    <m/>
    <n v="1026"/>
    <n v="496"/>
    <n v="530"/>
    <m/>
    <n v="1796"/>
    <n v="2000"/>
    <n v="7"/>
    <m/>
    <m/>
    <m/>
    <m/>
    <m/>
    <m/>
    <m/>
    <n v="380903"/>
    <n v="259014"/>
    <n v="29235"/>
    <n v="357800"/>
    <n v="58400"/>
    <n v="299400"/>
    <n v="0"/>
    <n v="0"/>
    <n v="89850.625589999996"/>
    <n v="-50946.13867709865"/>
    <n v="44121.038090000002"/>
    <n v="160472.20319"/>
    <n v="-11598.371226000001"/>
    <n v="62551.376064281998"/>
    <n v="0"/>
    <n v="0"/>
    <n v="29838.024523421998"/>
    <n v="26544.1547364"/>
    <n v="0"/>
    <n v="29200"/>
    <n v="311900"/>
    <n v="38900"/>
    <n v="380000"/>
    <n v="6.204583566238122E-2"/>
    <n v="0.99970000000000003"/>
    <n v="0.98050000000000004"/>
    <n v="0.99729999999999996"/>
    <n v="1.0093000000000001"/>
    <n v="0.995"/>
    <n v="0.94971499999999998"/>
    <n v="0.93263147552975589"/>
    <n v="311900"/>
    <n v="27800"/>
    <n v="339700"/>
    <n v="36900"/>
    <n v="376600"/>
    <n v="0.13460253841015363"/>
    <n v="-0.36815068493150682"/>
    <n v="5.2543320290665177E-2"/>
  </r>
  <r>
    <n v="2025"/>
    <s v="18132214426    "/>
    <n v="-1.7719568419318752"/>
    <n v="0.17"/>
    <n v="7518"/>
    <s v="6"/>
    <s v="RES"/>
    <x v="0"/>
    <s v="11"/>
    <s v="259"/>
    <s v="TD"/>
    <s v="A"/>
    <s v="AV"/>
    <x v="7"/>
    <n v="79"/>
    <n v="52"/>
    <n v="1945"/>
    <n v="1972"/>
    <n v="1126"/>
    <m/>
    <n v="1109"/>
    <n v="209"/>
    <n v="900"/>
    <m/>
    <n v="2026"/>
    <n v="2500"/>
    <n v="8"/>
    <m/>
    <m/>
    <n v="226"/>
    <m/>
    <m/>
    <m/>
    <m/>
    <n v="269195"/>
    <n v="183053"/>
    <n v="10334"/>
    <n v="321600"/>
    <n v="52700"/>
    <n v="268900"/>
    <n v="0"/>
    <n v="0"/>
    <n v="89850.625589999996"/>
    <n v="-56090.612940989391"/>
    <n v="21557.329055999999"/>
    <n v="160472.20319"/>
    <n v="-11598.371226000001"/>
    <n v="55634.162281502002"/>
    <n v="0"/>
    <n v="0"/>
    <n v="32251.821828922999"/>
    <n v="30336.176841600001"/>
    <n v="7524.7864523760009"/>
    <n v="10300"/>
    <n v="296200"/>
    <n v="33800"/>
    <n v="340300"/>
    <n v="5.8146766169154228E-2"/>
    <n v="0.99970000000000003"/>
    <n v="1.0067999999999999"/>
    <n v="0.99729999999999996"/>
    <n v="0.98919999999999997"/>
    <n v="0.995"/>
    <n v="0.94971499999999998"/>
    <n v="0.93857614463114025"/>
    <n v="296200"/>
    <n v="9800"/>
    <n v="306000"/>
    <n v="32100"/>
    <n v="338100"/>
    <n v="0.13796950539233915"/>
    <n v="-0.39089184060721061"/>
    <n v="5.1305970149253734E-2"/>
  </r>
  <r>
    <n v="2025"/>
    <s v="18132214022    "/>
    <n v="-1.8971199848858813"/>
    <n v="0.15"/>
    <n v="6360"/>
    <s v="6"/>
    <s v="RES"/>
    <x v="0"/>
    <s v="11"/>
    <s v="259"/>
    <s v="TD"/>
    <s v="A"/>
    <s v="GD"/>
    <x v="7"/>
    <n v="79"/>
    <n v="42"/>
    <n v="1945"/>
    <n v="1982"/>
    <n v="1137"/>
    <m/>
    <n v="1182"/>
    <n v="45"/>
    <n v="1137"/>
    <m/>
    <n v="2274"/>
    <n v="2500"/>
    <n v="9"/>
    <m/>
    <m/>
    <m/>
    <m/>
    <m/>
    <m/>
    <m/>
    <n v="291987"/>
    <n v="233590"/>
    <n v="4603"/>
    <n v="349700"/>
    <n v="48400"/>
    <n v="301300"/>
    <n v="0"/>
    <n v="0"/>
    <n v="89850.625589999996"/>
    <n v="-60052.604136134301"/>
    <n v="21557.329055999999"/>
    <n v="197752.34721000001"/>
    <n v="-9367.9152210000011"/>
    <n v="56177.657650148998"/>
    <n v="0"/>
    <n v="0"/>
    <n v="34374.800181954"/>
    <n v="34128.198946800003"/>
    <n v="0"/>
    <n v="4600"/>
    <n v="334600"/>
    <n v="29800"/>
    <n v="369000"/>
    <n v="5.5190162996854447E-2"/>
    <n v="0.99970000000000003"/>
    <n v="1.0067999999999999"/>
    <n v="0.99650000000000005"/>
    <n v="0.98919999999999997"/>
    <n v="0.995"/>
    <n v="0.94971499999999998"/>
    <n v="0.93782325090236773"/>
    <n v="334600"/>
    <n v="4400"/>
    <n v="339000"/>
    <n v="28300"/>
    <n v="367300"/>
    <n v="0.12512446067042815"/>
    <n v="-0.41528925619834711"/>
    <n v="5.0328853302830996E-2"/>
  </r>
  <r>
    <n v="2025"/>
    <s v="18132214010    "/>
    <n v="-1.8325814637483102"/>
    <n v="0.16"/>
    <n v="7084"/>
    <s v="6"/>
    <s v="RES"/>
    <x v="0"/>
    <s v="11"/>
    <s v="259"/>
    <s v="TD"/>
    <s v="A"/>
    <s v="GD"/>
    <x v="7"/>
    <n v="79"/>
    <n v="52"/>
    <n v="1945"/>
    <n v="1972"/>
    <n v="1328"/>
    <m/>
    <n v="885"/>
    <n v="0"/>
    <n v="885"/>
    <m/>
    <n v="2213"/>
    <n v="2500"/>
    <n v="8"/>
    <m/>
    <m/>
    <m/>
    <m/>
    <m/>
    <m/>
    <m/>
    <n v="296722"/>
    <n v="207705"/>
    <n v="6724"/>
    <n v="348900"/>
    <n v="50600"/>
    <n v="298300"/>
    <n v="0"/>
    <n v="0"/>
    <n v="89850.625589999996"/>
    <n v="-58009.662049032086"/>
    <n v="21557.329055999999"/>
    <n v="197752.34721000001"/>
    <n v="-11598.371226000001"/>
    <n v="65614.713596656002"/>
    <n v="0"/>
    <n v="0"/>
    <n v="25737.477293594999"/>
    <n v="30336.176841600001"/>
    <n v="0"/>
    <n v="6700"/>
    <n v="329400"/>
    <n v="31800"/>
    <n v="367900"/>
    <n v="5.4456864431069077E-2"/>
    <n v="0.99970000000000003"/>
    <n v="1.0067999999999999"/>
    <n v="0.99650000000000005"/>
    <n v="0.98919999999999997"/>
    <n v="0.995"/>
    <n v="0.94971499999999998"/>
    <n v="0.93782325090236773"/>
    <n v="329400"/>
    <n v="6400"/>
    <n v="335800"/>
    <n v="30200"/>
    <n v="366000"/>
    <n v="0.12571237009721756"/>
    <n v="-0.40316205533596838"/>
    <n v="4.9011177987962166E-2"/>
  </r>
  <r>
    <n v="2025"/>
    <s v="18132243455    "/>
    <n v="-1.5606477482646683"/>
    <n v="0.21"/>
    <n v="9330"/>
    <s v="6"/>
    <s v="RES"/>
    <x v="0"/>
    <s v="11"/>
    <s v="259"/>
    <s v="TD"/>
    <s v="A"/>
    <s v="AV"/>
    <x v="7"/>
    <n v="79"/>
    <n v="52"/>
    <n v="1945"/>
    <n v="1972"/>
    <n v="1120"/>
    <m/>
    <n v="576"/>
    <n v="451"/>
    <n v="125"/>
    <m/>
    <n v="1245"/>
    <n v="1500"/>
    <n v="8"/>
    <m/>
    <m/>
    <m/>
    <m/>
    <m/>
    <m/>
    <m/>
    <n v="223057"/>
    <n v="151679"/>
    <n v="8588"/>
    <n v="304700"/>
    <n v="60100"/>
    <n v="244600"/>
    <n v="0"/>
    <n v="0"/>
    <n v="89850.625589999996"/>
    <n v="-49401.70477837498"/>
    <n v="21557.329055999999"/>
    <n v="160472.20319"/>
    <n v="-11598.371226000001"/>
    <n v="55337.710262239998"/>
    <n v="0"/>
    <n v="0"/>
    <n v="16751.171662271998"/>
    <n v="30336.176841600001"/>
    <n v="0"/>
    <n v="8600"/>
    <n v="272900"/>
    <n v="40400"/>
    <n v="321900"/>
    <n v="5.6448966196258617E-2"/>
    <n v="0.99970000000000003"/>
    <n v="1.0067999999999999"/>
    <n v="0.99729999999999996"/>
    <n v="1.0157"/>
    <n v="0.995"/>
    <n v="0.94971499999999998"/>
    <n v="0.96371996573175212"/>
    <n v="272900"/>
    <n v="8200"/>
    <n v="281100"/>
    <n v="38400"/>
    <n v="319500"/>
    <n v="0.14922322158626328"/>
    <n v="-0.36106489184692181"/>
    <n v="4.8572366261896947E-2"/>
  </r>
  <r>
    <n v="2025"/>
    <s v="18132331455    "/>
    <n v="-1.8971199848858813"/>
    <n v="0.15"/>
    <m/>
    <s v="6"/>
    <s v="RES"/>
    <x v="0"/>
    <s v="11"/>
    <s v="259"/>
    <s v="BG"/>
    <s v="A"/>
    <s v="AV"/>
    <x v="7"/>
    <n v="79"/>
    <n v="52"/>
    <n v="1945"/>
    <n v="1972"/>
    <n v="1212"/>
    <n v="608"/>
    <m/>
    <n v="0"/>
    <m/>
    <m/>
    <n v="1820"/>
    <n v="2000"/>
    <n v="5"/>
    <m/>
    <m/>
    <m/>
    <m/>
    <m/>
    <m/>
    <m/>
    <n v="253451"/>
    <n v="172347"/>
    <n v="6482"/>
    <n v="296600"/>
    <n v="48400"/>
    <n v="248200"/>
    <n v="0"/>
    <n v="0"/>
    <n v="89850.625589999996"/>
    <n v="-60052.604136134301"/>
    <n v="21557.329055999999"/>
    <n v="160472.20319"/>
    <n v="-11598.371226000001"/>
    <n v="59883.307890923999"/>
    <n v="27230.145099488"/>
    <n v="0"/>
    <n v="0"/>
    <n v="18960.110526"/>
    <n v="0"/>
    <n v="6500"/>
    <n v="276500"/>
    <n v="29800"/>
    <n v="312800"/>
    <n v="5.4619015509103169E-2"/>
    <n v="0.99970000000000003"/>
    <n v="1.0067999999999999"/>
    <n v="0.99729999999999996"/>
    <n v="1.0093000000000001"/>
    <n v="0.995"/>
    <n v="0.94971499999999998"/>
    <n v="0.957647495730095"/>
    <n v="276500"/>
    <n v="6200"/>
    <n v="282700"/>
    <n v="28300"/>
    <n v="311000"/>
    <n v="0.13900080580177276"/>
    <n v="-0.41528925619834711"/>
    <n v="4.8550236008091704E-2"/>
  </r>
  <r>
    <n v="2025"/>
    <s v="18132214536    "/>
    <n v="-1.3093333199837622"/>
    <n v="0.27"/>
    <m/>
    <s v="6"/>
    <s v="RES"/>
    <x v="0"/>
    <s v="11"/>
    <s v="259"/>
    <s v="RN"/>
    <s v="A"/>
    <s v="AV"/>
    <x v="7"/>
    <n v="79"/>
    <n v="52"/>
    <n v="1945"/>
    <n v="1972"/>
    <n v="1106"/>
    <m/>
    <n v="1106"/>
    <n v="0"/>
    <n v="1106"/>
    <m/>
    <n v="2212"/>
    <n v="2500"/>
    <n v="8"/>
    <m/>
    <m/>
    <n v="410"/>
    <m/>
    <m/>
    <m/>
    <m/>
    <n v="291463"/>
    <n v="198195"/>
    <n v="11952"/>
    <n v="342300"/>
    <n v="68900"/>
    <n v="273400"/>
    <n v="0"/>
    <n v="0"/>
    <n v="89850.625589999996"/>
    <n v="-41446.443120973789"/>
    <n v="21557.329055999999"/>
    <n v="160472.20319"/>
    <n v="-11598.371226000001"/>
    <n v="54645.988883962003"/>
    <n v="0"/>
    <n v="0"/>
    <n v="32164.576143181999"/>
    <n v="30336.176841600001"/>
    <n v="13651.161263160002"/>
    <n v="12000"/>
    <n v="301200"/>
    <n v="48400"/>
    <n v="361600"/>
    <n v="5.6383289512123867E-2"/>
    <n v="0.99970000000000003"/>
    <n v="1.0067999999999999"/>
    <n v="0.99729999999999996"/>
    <n v="0.98919999999999997"/>
    <n v="0.995"/>
    <n v="0.94971499999999998"/>
    <n v="0.93857614463114025"/>
    <n v="301200"/>
    <n v="11400"/>
    <n v="312600"/>
    <n v="46000"/>
    <n v="358600"/>
    <n v="0.14337966349670811"/>
    <n v="-0.33236574746008707"/>
    <n v="4.7619047619047616E-2"/>
  </r>
  <r>
    <n v="2025"/>
    <s v="18132241488    "/>
    <n v="-1.1086626245216111"/>
    <n v="0.33"/>
    <m/>
    <s v="6"/>
    <s v="RES"/>
    <x v="0"/>
    <s v="11"/>
    <s v="259"/>
    <s v="RN"/>
    <s v="A+"/>
    <s v="GD"/>
    <x v="7"/>
    <n v="79"/>
    <n v="52"/>
    <n v="1945"/>
    <n v="1972"/>
    <n v="2676"/>
    <m/>
    <m/>
    <n v="0"/>
    <m/>
    <m/>
    <n v="2676"/>
    <n v="3000"/>
    <n v="8"/>
    <m/>
    <m/>
    <m/>
    <m/>
    <m/>
    <m/>
    <m/>
    <n v="446286"/>
    <n v="312400"/>
    <n v="8846"/>
    <n v="419000"/>
    <n v="75900"/>
    <n v="343100"/>
    <n v="0"/>
    <n v="0"/>
    <n v="89850.625589999996"/>
    <n v="-35094.289365640165"/>
    <n v="29814.093161000001"/>
    <n v="197752.34721000001"/>
    <n v="-11598.371226000001"/>
    <n v="132217.600590852"/>
    <n v="0"/>
    <n v="0"/>
    <n v="0"/>
    <n v="30336.176841600001"/>
    <n v="0"/>
    <n v="8800"/>
    <n v="378500"/>
    <n v="54800"/>
    <n v="442100"/>
    <n v="5.5131264916467783E-2"/>
    <n v="0.99970000000000003"/>
    <n v="1.0088999999999999"/>
    <n v="0.99650000000000005"/>
    <n v="0.96179999999999999"/>
    <n v="0.995"/>
    <n v="0.94971499999999998"/>
    <n v="0.9137482873256102"/>
    <n v="378500"/>
    <n v="8400"/>
    <n v="386900"/>
    <n v="52000"/>
    <n v="438900"/>
    <n v="0.1276595744680851"/>
    <n v="-0.31488801054018445"/>
    <n v="4.7494033412887826E-2"/>
  </r>
  <r>
    <n v="2025"/>
    <s v="18132313505    "/>
    <n v="-1.8325814637483102"/>
    <n v="0.16"/>
    <n v="7002"/>
    <s v="6"/>
    <s v="RES"/>
    <x v="0"/>
    <s v="11"/>
    <s v="259"/>
    <s v="BG"/>
    <s v="A"/>
    <s v="AV"/>
    <x v="7"/>
    <n v="79"/>
    <n v="52"/>
    <n v="1945"/>
    <n v="1972"/>
    <n v="1390"/>
    <m/>
    <m/>
    <n v="0"/>
    <m/>
    <m/>
    <n v="1390"/>
    <n v="1500"/>
    <n v="5"/>
    <m/>
    <m/>
    <m/>
    <m/>
    <m/>
    <m/>
    <m/>
    <n v="227116"/>
    <n v="154439"/>
    <n v="8327"/>
    <n v="283500"/>
    <n v="50600"/>
    <n v="232900"/>
    <n v="0"/>
    <n v="0"/>
    <n v="89850.625589999996"/>
    <n v="-58009.662049032086"/>
    <n v="21557.329055999999"/>
    <n v="160472.20319"/>
    <n v="-11598.371226000001"/>
    <n v="68678.051129030006"/>
    <n v="0"/>
    <n v="0"/>
    <n v="0"/>
    <n v="18960.110526"/>
    <n v="0"/>
    <n v="8300"/>
    <n v="258100"/>
    <n v="31800"/>
    <n v="298200"/>
    <n v="5.185185185185185E-2"/>
    <n v="0.99970000000000003"/>
    <n v="1.0067999999999999"/>
    <n v="0.99729999999999996"/>
    <n v="1.0157"/>
    <n v="0.995"/>
    <n v="0.94971499999999998"/>
    <n v="0.96371996573175212"/>
    <n v="258100"/>
    <n v="7900"/>
    <n v="266000"/>
    <n v="30200"/>
    <n v="296200"/>
    <n v="0.14212108200944612"/>
    <n v="-0.40316205533596838"/>
    <n v="4.4797178130511463E-2"/>
  </r>
  <r>
    <n v="2025"/>
    <s v="18132332468    "/>
    <n v="-1.6094379124341003"/>
    <n v="0.2"/>
    <n v="8794"/>
    <s v="6"/>
    <s v="RES"/>
    <x v="0"/>
    <s v="11"/>
    <s v="259"/>
    <s v="CO"/>
    <s v="A+"/>
    <s v="GD"/>
    <x v="7"/>
    <n v="79"/>
    <n v="52"/>
    <n v="1945"/>
    <n v="1972"/>
    <n v="1736"/>
    <n v="714"/>
    <n v="432"/>
    <n v="0"/>
    <n v="432"/>
    <m/>
    <n v="2882"/>
    <n v="3000"/>
    <n v="10"/>
    <m/>
    <m/>
    <m/>
    <m/>
    <m/>
    <m/>
    <m/>
    <n v="439556"/>
    <n v="307689"/>
    <n v="10334"/>
    <n v="412500"/>
    <n v="58400"/>
    <n v="354100"/>
    <n v="0"/>
    <n v="0"/>
    <n v="89850.625589999996"/>
    <n v="-50946.13867709865"/>
    <n v="29814.093161000001"/>
    <n v="197752.34721000001"/>
    <n v="-11598.371226000001"/>
    <n v="85773.450906472004"/>
    <n v="31977.505922754"/>
    <n v="0"/>
    <n v="12563.378746704"/>
    <n v="37920.221052000001"/>
    <n v="0"/>
    <n v="10300"/>
    <n v="384200"/>
    <n v="38900"/>
    <n v="433400"/>
    <n v="5.0666666666666665E-2"/>
    <n v="0.99970000000000003"/>
    <n v="1.0088999999999999"/>
    <n v="0.99650000000000005"/>
    <n v="0.96179999999999999"/>
    <n v="0.995"/>
    <n v="0.94971499999999998"/>
    <n v="0.9137482873256102"/>
    <n v="384200"/>
    <n v="9800"/>
    <n v="394000"/>
    <n v="36900"/>
    <n v="430900"/>
    <n v="0.112680033888732"/>
    <n v="-0.36815068493150682"/>
    <n v="4.4606060606060607E-2"/>
  </r>
  <r>
    <n v="2025"/>
    <s v="18132242481    "/>
    <n v="-1.3470736479666092"/>
    <n v="0.26"/>
    <n v="11192"/>
    <s v="6"/>
    <s v="RES"/>
    <x v="0"/>
    <s v="11"/>
    <s v="259"/>
    <s v="TD"/>
    <s v="F+"/>
    <s v="FR"/>
    <x v="7"/>
    <n v="79"/>
    <n v="52"/>
    <n v="1945"/>
    <n v="1972"/>
    <n v="1140"/>
    <m/>
    <m/>
    <n v="0"/>
    <m/>
    <m/>
    <n v="1140"/>
    <n v="1500"/>
    <n v="8"/>
    <m/>
    <m/>
    <n v="168"/>
    <m/>
    <m/>
    <m/>
    <m/>
    <n v="181365"/>
    <n v="119701"/>
    <n v="0"/>
    <n v="248200"/>
    <n v="67600"/>
    <n v="180600"/>
    <n v="0"/>
    <n v="0"/>
    <n v="89850.625589999996"/>
    <n v="-42641.098701210125"/>
    <n v="0"/>
    <n v="133714.53821"/>
    <n v="-11598.371226000001"/>
    <n v="56325.883659780004"/>
    <n v="0"/>
    <n v="0"/>
    <n v="0"/>
    <n v="30336.176841600001"/>
    <n v="5593.646566368001"/>
    <n v="0"/>
    <n v="214400"/>
    <n v="47200"/>
    <n v="261600"/>
    <n v="5.3988718775181306E-2"/>
    <n v="0.99970000000000003"/>
    <n v="0.99180000000000001"/>
    <n v="0.99329999999999996"/>
    <n v="1.0157"/>
    <n v="0.995"/>
    <n v="0.94971499999999998"/>
    <n v="0.94555407368793887"/>
    <n v="214400"/>
    <n v="0"/>
    <n v="214400"/>
    <n v="44800"/>
    <n v="259200"/>
    <n v="0.18715393133997785"/>
    <n v="-0.33727810650887574"/>
    <n v="4.4319097502014501E-2"/>
  </r>
  <r>
    <n v="2025"/>
    <s v="18132334018    "/>
    <n v="-1.2039728043259361"/>
    <n v="0.3"/>
    <m/>
    <s v="6"/>
    <s v="RES"/>
    <x v="0"/>
    <s v="11"/>
    <s v="259"/>
    <s v="TD"/>
    <s v="A+"/>
    <s v="GD"/>
    <x v="7"/>
    <n v="79"/>
    <n v="52"/>
    <n v="1945"/>
    <n v="1972"/>
    <n v="1066"/>
    <m/>
    <n v="1066"/>
    <n v="0"/>
    <n v="1066"/>
    <m/>
    <n v="2132"/>
    <n v="2500"/>
    <n v="8"/>
    <n v="418"/>
    <m/>
    <m/>
    <m/>
    <m/>
    <m/>
    <m/>
    <n v="342274"/>
    <n v="239592"/>
    <n v="0"/>
    <n v="363300"/>
    <n v="72500"/>
    <n v="290800"/>
    <n v="0"/>
    <n v="0"/>
    <n v="89850.625589999996"/>
    <n v="-38111.29648355169"/>
    <n v="29814.093161000001"/>
    <n v="197752.34721000001"/>
    <n v="-11598.371226000001"/>
    <n v="52669.642088881999"/>
    <n v="0"/>
    <n v="0"/>
    <n v="31001.300333301999"/>
    <n v="30336.176841600001"/>
    <n v="0"/>
    <n v="0"/>
    <n v="330000"/>
    <n v="51700"/>
    <n v="381700"/>
    <n v="5.0646848334709609E-2"/>
    <n v="0.99970000000000003"/>
    <n v="1.0088999999999999"/>
    <n v="0.99650000000000005"/>
    <n v="0.98919999999999997"/>
    <n v="0.995"/>
    <n v="0.94971499999999998"/>
    <n v="0.93977937806455991"/>
    <n v="330000"/>
    <n v="0"/>
    <n v="330000"/>
    <n v="49100"/>
    <n v="379100"/>
    <n v="0.13480055020632736"/>
    <n v="-0.32275862068965516"/>
    <n v="4.3490228461326726E-2"/>
  </r>
  <r>
    <n v="2025"/>
    <s v="18132334406    "/>
    <n v="-1.7719568419318752"/>
    <n v="0.17"/>
    <m/>
    <s v="6"/>
    <s v="RES"/>
    <x v="0"/>
    <s v="11"/>
    <s v="400"/>
    <s v="TD"/>
    <s v="A"/>
    <s v="AV"/>
    <x v="7"/>
    <n v="79"/>
    <n v="52"/>
    <n v="1945"/>
    <n v="1972"/>
    <n v="1175"/>
    <m/>
    <m/>
    <n v="0"/>
    <m/>
    <m/>
    <n v="1175"/>
    <n v="1500"/>
    <n v="5"/>
    <n v="325"/>
    <m/>
    <m/>
    <m/>
    <m/>
    <m/>
    <m/>
    <n v="211716"/>
    <n v="143967"/>
    <n v="0"/>
    <n v="268300"/>
    <n v="52700"/>
    <n v="215600"/>
    <n v="0"/>
    <n v="0"/>
    <n v="89850.625589999996"/>
    <n v="-56090.612940989391"/>
    <n v="21557.329055999999"/>
    <n v="160472.20319"/>
    <n v="-11598.371226000001"/>
    <n v="58055.187105475001"/>
    <n v="0"/>
    <n v="0"/>
    <n v="0"/>
    <n v="18960.110526"/>
    <n v="0"/>
    <n v="0"/>
    <n v="247400"/>
    <n v="33800"/>
    <n v="281200"/>
    <n v="4.8080506895266495E-2"/>
    <n v="0.99970000000000003"/>
    <n v="1.0067999999999999"/>
    <n v="0.99729999999999996"/>
    <n v="1.0157"/>
    <n v="0.995"/>
    <n v="0.94971499999999998"/>
    <n v="0.96371996573175212"/>
    <n v="247400"/>
    <n v="0"/>
    <n v="247400"/>
    <n v="32100"/>
    <n v="279500"/>
    <n v="0.14749536178107606"/>
    <n v="-0.39089184060721061"/>
    <n v="4.1744316064107341E-2"/>
  </r>
  <r>
    <n v="2025"/>
    <s v="18132324554    "/>
    <n v="-1.4271163556401458"/>
    <n v="0.24"/>
    <m/>
    <s v="6"/>
    <s v="RES"/>
    <x v="0"/>
    <s v="11"/>
    <s v="259"/>
    <s v="TD"/>
    <s v="A"/>
    <s v="AV"/>
    <x v="7"/>
    <n v="79"/>
    <n v="52"/>
    <n v="1945"/>
    <n v="1972"/>
    <n v="1012"/>
    <m/>
    <n v="896"/>
    <n v="390"/>
    <n v="506"/>
    <m/>
    <n v="1518"/>
    <n v="2000"/>
    <n v="5"/>
    <m/>
    <m/>
    <m/>
    <m/>
    <m/>
    <m/>
    <m/>
    <n v="232843"/>
    <n v="158333"/>
    <n v="7116"/>
    <n v="302600"/>
    <n v="64800"/>
    <n v="237800"/>
    <n v="0"/>
    <n v="0"/>
    <n v="89850.625589999996"/>
    <n v="-45174.819855485119"/>
    <n v="21557.329055999999"/>
    <n v="160472.20319"/>
    <n v="-11598.371226000001"/>
    <n v="50001.573915524001"/>
    <n v="0"/>
    <n v="0"/>
    <n v="26057.378141311998"/>
    <n v="18960.110526"/>
    <n v="0"/>
    <n v="7100"/>
    <n v="265500"/>
    <n v="44700"/>
    <n v="317300"/>
    <n v="4.8578982154659618E-2"/>
    <n v="0.99970000000000003"/>
    <n v="1.0067999999999999"/>
    <n v="0.99729999999999996"/>
    <n v="1.0093000000000001"/>
    <n v="0.995"/>
    <n v="0.94971499999999998"/>
    <n v="0.957647495730095"/>
    <n v="265500"/>
    <n v="6800"/>
    <n v="272300"/>
    <n v="42400"/>
    <n v="314700"/>
    <n v="0.14507989907485283"/>
    <n v="-0.34567901234567899"/>
    <n v="3.9986781229345673E-2"/>
  </r>
  <r>
    <n v="2025"/>
    <s v="18132241470    "/>
    <n v="-1.6607312068216509"/>
    <n v="0.19"/>
    <n v="8107"/>
    <s v="6"/>
    <s v="RES"/>
    <x v="0"/>
    <s v="11"/>
    <s v="259"/>
    <s v="TD"/>
    <s v="G"/>
    <s v="GD"/>
    <x v="7"/>
    <n v="79"/>
    <n v="52"/>
    <n v="1945"/>
    <n v="1972"/>
    <n v="1615"/>
    <m/>
    <n v="1496"/>
    <n v="374"/>
    <n v="1122"/>
    <m/>
    <n v="2737"/>
    <n v="3000"/>
    <n v="11"/>
    <n v="360"/>
    <m/>
    <m/>
    <m/>
    <m/>
    <m/>
    <m/>
    <n v="511738"/>
    <n v="358217"/>
    <n v="0"/>
    <n v="414700"/>
    <n v="56600"/>
    <n v="358100"/>
    <n v="0"/>
    <n v="0"/>
    <n v="89850.625589999996"/>
    <n v="-52569.808201026557"/>
    <n v="44121.038090000002"/>
    <n v="197752.34721000001"/>
    <n v="-11598.371226000001"/>
    <n v="79795.001851355002"/>
    <n v="0"/>
    <n v="0"/>
    <n v="43506.515289511997"/>
    <n v="41712.243157199999"/>
    <n v="0"/>
    <n v="0"/>
    <n v="395300"/>
    <n v="37300"/>
    <n v="432600"/>
    <n v="4.3163732818905232E-2"/>
    <n v="0.99970000000000003"/>
    <n v="0.98050000000000004"/>
    <n v="0.99650000000000005"/>
    <n v="0.96179999999999999"/>
    <n v="0.995"/>
    <n v="0.94971499999999998"/>
    <n v="0.88802675758029637"/>
    <n v="395300"/>
    <n v="0"/>
    <n v="395300"/>
    <n v="35400"/>
    <n v="430700"/>
    <n v="0.10388159731918459"/>
    <n v="-0.37455830388692579"/>
    <n v="3.858210754762479E-2"/>
  </r>
  <r>
    <n v="2025"/>
    <s v="18132334524    "/>
    <n v="-1.9661128563728327"/>
    <n v="0.14000000000000001"/>
    <m/>
    <s v="6"/>
    <s v="RES"/>
    <x v="0"/>
    <s v="11"/>
    <s v="259"/>
    <s v="RN"/>
    <s v="A+"/>
    <s v="AV"/>
    <x v="7"/>
    <n v="79"/>
    <n v="52"/>
    <n v="1945"/>
    <n v="1972"/>
    <n v="1176"/>
    <m/>
    <n v="896"/>
    <n v="0"/>
    <n v="896"/>
    <m/>
    <n v="2072"/>
    <n v="2500"/>
    <n v="8"/>
    <n v="228"/>
    <m/>
    <n v="196"/>
    <m/>
    <m/>
    <m/>
    <m/>
    <n v="335463"/>
    <n v="228115"/>
    <n v="0"/>
    <n v="314200"/>
    <n v="46000"/>
    <n v="268200"/>
    <n v="0"/>
    <n v="0"/>
    <n v="89850.625589999996"/>
    <n v="-62236.546971921947"/>
    <n v="29814.093161000001"/>
    <n v="160472.20319"/>
    <n v="-11598.371226000001"/>
    <n v="58104.595775351998"/>
    <n v="0"/>
    <n v="0"/>
    <n v="26057.378141311998"/>
    <n v="30336.176841600001"/>
    <n v="6525.9209940960009"/>
    <n v="0"/>
    <n v="299700"/>
    <n v="27600"/>
    <n v="327300"/>
    <n v="4.1693189051559519E-2"/>
    <n v="0.99970000000000003"/>
    <n v="1.0088999999999999"/>
    <n v="0.99729999999999996"/>
    <n v="0.98919999999999997"/>
    <n v="0.995"/>
    <n v="0.94971499999999998"/>
    <n v="0.94053384219145564"/>
    <n v="299700"/>
    <n v="0"/>
    <n v="299700"/>
    <n v="26200"/>
    <n v="325900"/>
    <n v="0.1174496644295302"/>
    <n v="-0.43043478260869567"/>
    <n v="3.7237428389560789E-2"/>
  </r>
  <r>
    <n v="2025"/>
    <s v="18132313512    "/>
    <n v="-1.8325814637483102"/>
    <n v="0.16"/>
    <n v="7000"/>
    <s v="6"/>
    <s v="RES"/>
    <x v="0"/>
    <s v="11"/>
    <s v="259"/>
    <s v="BG"/>
    <s v="A"/>
    <s v="AV"/>
    <x v="7"/>
    <n v="79"/>
    <n v="52"/>
    <n v="1945"/>
    <n v="1972"/>
    <n v="1415"/>
    <m/>
    <n v="1070"/>
    <n v="449"/>
    <n v="621"/>
    <m/>
    <n v="2036"/>
    <n v="2500"/>
    <n v="7"/>
    <m/>
    <m/>
    <m/>
    <m/>
    <m/>
    <m/>
    <m/>
    <n v="308944"/>
    <n v="210082"/>
    <n v="8401"/>
    <n v="324300"/>
    <n v="50600"/>
    <n v="273700"/>
    <n v="0"/>
    <n v="0"/>
    <n v="89850.625589999996"/>
    <n v="-58009.662049032086"/>
    <n v="21557.329055999999"/>
    <n v="160472.20319"/>
    <n v="-11598.371226000001"/>
    <n v="69913.267875955004"/>
    <n v="0"/>
    <n v="0"/>
    <n v="31117.627914289998"/>
    <n v="26544.1547364"/>
    <n v="0"/>
    <n v="8400"/>
    <n v="298000"/>
    <n v="31800"/>
    <n v="338200"/>
    <n v="4.2861547949429542E-2"/>
    <n v="0.99970000000000003"/>
    <n v="1.0067999999999999"/>
    <n v="0.99729999999999996"/>
    <n v="0.98919999999999997"/>
    <n v="0.995"/>
    <n v="0.94971499999999998"/>
    <n v="0.93857614463114025"/>
    <n v="298000"/>
    <n v="8000"/>
    <n v="306000"/>
    <n v="30200"/>
    <n v="336200"/>
    <n v="0.11801242236024845"/>
    <n v="-0.40316205533596838"/>
    <n v="3.669441874807277E-2"/>
  </r>
  <r>
    <n v="2025"/>
    <s v="18132313539    "/>
    <n v="-1.7719568419318752"/>
    <n v="0.17"/>
    <n v="7348"/>
    <s v="6"/>
    <s v="RES"/>
    <x v="0"/>
    <s v="11"/>
    <s v="259"/>
    <s v="BG"/>
    <s v="A"/>
    <s v="AV"/>
    <x v="7"/>
    <n v="79"/>
    <n v="52"/>
    <n v="1945"/>
    <n v="1972"/>
    <n v="1004"/>
    <m/>
    <n v="390"/>
    <n v="0"/>
    <n v="390"/>
    <m/>
    <n v="1394"/>
    <n v="1500"/>
    <n v="5"/>
    <m/>
    <m/>
    <m/>
    <m/>
    <m/>
    <m/>
    <m/>
    <n v="205122"/>
    <n v="139483"/>
    <n v="6224"/>
    <n v="278100"/>
    <n v="52700"/>
    <n v="225400"/>
    <n v="0"/>
    <n v="0"/>
    <n v="89850.625589999996"/>
    <n v="-56090.612940989391"/>
    <n v="21557.329055999999"/>
    <n v="160472.20319"/>
    <n v="-11598.371226000001"/>
    <n v="49606.304556508003"/>
    <n v="0"/>
    <n v="0"/>
    <n v="11341.93914633"/>
    <n v="18960.110526"/>
    <n v="0"/>
    <n v="6200"/>
    <n v="250300"/>
    <n v="33800"/>
    <n v="290300"/>
    <n v="4.3869111830276877E-2"/>
    <n v="0.99970000000000003"/>
    <n v="1.0067999999999999"/>
    <n v="0.99729999999999996"/>
    <n v="1.0157"/>
    <n v="0.995"/>
    <n v="0.94971499999999998"/>
    <n v="0.96371996573175212"/>
    <n v="250300"/>
    <n v="5900"/>
    <n v="256200"/>
    <n v="32100"/>
    <n v="288300"/>
    <n v="0.13664596273291926"/>
    <n v="-0.39089184060721061"/>
    <n v="3.6677454153182305E-2"/>
  </r>
  <r>
    <n v="2025"/>
    <s v="18132241045    "/>
    <n v="-2.3025850929940455"/>
    <n v="0.1"/>
    <n v="4215"/>
    <s v="6"/>
    <s v="RES"/>
    <x v="0"/>
    <s v="11"/>
    <s v="259"/>
    <s v="TD"/>
    <s v="A"/>
    <s v="AV"/>
    <x v="7"/>
    <n v="79"/>
    <n v="52"/>
    <n v="1945"/>
    <n v="1972"/>
    <n v="963"/>
    <m/>
    <n v="891"/>
    <n v="0"/>
    <n v="891"/>
    <m/>
    <n v="1854"/>
    <n v="2000"/>
    <n v="6"/>
    <n v="234"/>
    <m/>
    <m/>
    <m/>
    <m/>
    <m/>
    <m/>
    <n v="248133"/>
    <n v="168730"/>
    <n v="0"/>
    <n v="273100"/>
    <n v="34200"/>
    <n v="238900"/>
    <n v="0"/>
    <n v="0"/>
    <n v="89850.625589999996"/>
    <n v="-72887.446329681261"/>
    <n v="21557.329055999999"/>
    <n v="160472.20319"/>
    <n v="-11598.371226000001"/>
    <n v="47580.549091551002"/>
    <n v="0"/>
    <n v="0"/>
    <n v="25911.968665076998"/>
    <n v="22752.132631200002"/>
    <n v="0"/>
    <n v="0"/>
    <n v="266700"/>
    <n v="17000"/>
    <n v="283700"/>
    <n v="3.8813621384108384E-2"/>
    <n v="0.99970000000000003"/>
    <n v="1.0067999999999999"/>
    <n v="0.99729999999999996"/>
    <n v="1.0093000000000001"/>
    <n v="0.995"/>
    <n v="0.94971499999999998"/>
    <n v="0.957647495730095"/>
    <n v="266700"/>
    <n v="0"/>
    <n v="266700"/>
    <n v="16100"/>
    <n v="282800"/>
    <n v="0.11636668061950607"/>
    <n v="-0.5292397660818714"/>
    <n v="3.5518125228853899E-2"/>
  </r>
  <r>
    <n v="2025"/>
    <s v="18132214476    "/>
    <n v="-1.6094379124341003"/>
    <n v="0.2"/>
    <n v="8681"/>
    <s v="6"/>
    <s v="RES"/>
    <x v="0"/>
    <s v="11"/>
    <s v="259"/>
    <s v="TD"/>
    <s v="A+"/>
    <s v="AV"/>
    <x v="7"/>
    <n v="79"/>
    <n v="52"/>
    <n v="1945"/>
    <n v="1972"/>
    <n v="956"/>
    <m/>
    <n v="956"/>
    <n v="0"/>
    <n v="956"/>
    <m/>
    <n v="1912"/>
    <n v="2000"/>
    <n v="8"/>
    <m/>
    <m/>
    <n v="250"/>
    <m/>
    <m/>
    <m/>
    <m/>
    <n v="308005"/>
    <n v="209443"/>
    <n v="5261"/>
    <n v="323100"/>
    <n v="58400"/>
    <n v="264700"/>
    <n v="0"/>
    <n v="0"/>
    <n v="89850.625589999996"/>
    <n v="-50946.13867709865"/>
    <n v="29814.093161000001"/>
    <n v="160472.20319"/>
    <n v="-11598.371226000001"/>
    <n v="47234.688402412001"/>
    <n v="0"/>
    <n v="0"/>
    <n v="27802.291856132"/>
    <n v="30336.176841600001"/>
    <n v="8323.8788190000014"/>
    <n v="5300"/>
    <n v="292400"/>
    <n v="38900"/>
    <n v="336600"/>
    <n v="4.1782729805013928E-2"/>
    <n v="0.99970000000000003"/>
    <n v="1.0088999999999999"/>
    <n v="0.99729999999999996"/>
    <n v="1.0093000000000001"/>
    <n v="0.995"/>
    <n v="0.94971499999999998"/>
    <n v="0.9596449726282209"/>
    <n v="292400"/>
    <n v="5000"/>
    <n v="297400"/>
    <n v="36900"/>
    <n v="334300"/>
    <n v="0.12353607857952399"/>
    <n v="-0.36815068493150682"/>
    <n v="3.4664190653048592E-2"/>
  </r>
  <r>
    <n v="2025"/>
    <s v="18132244475    "/>
    <n v="-1.6607312068216509"/>
    <n v="0.19"/>
    <n v="8266"/>
    <s v="6"/>
    <s v="RES"/>
    <x v="0"/>
    <s v="11"/>
    <s v="259"/>
    <s v="TD"/>
    <s v="A"/>
    <s v="AV"/>
    <x v="7"/>
    <n v="79"/>
    <n v="52"/>
    <n v="1945"/>
    <n v="1972"/>
    <n v="1434"/>
    <m/>
    <n v="1030"/>
    <n v="0"/>
    <n v="1030"/>
    <m/>
    <n v="2464"/>
    <n v="2500"/>
    <n v="8"/>
    <m/>
    <m/>
    <n v="304"/>
    <m/>
    <m/>
    <m/>
    <m/>
    <n v="336628"/>
    <n v="228907"/>
    <n v="0"/>
    <n v="335700"/>
    <n v="56600"/>
    <n v="279100"/>
    <n v="0"/>
    <n v="0"/>
    <n v="89850.625589999996"/>
    <n v="-52569.808201026557"/>
    <n v="21557.329055999999"/>
    <n v="160472.20319"/>
    <n v="-11598.371226000001"/>
    <n v="70852.032603618005"/>
    <n v="0"/>
    <n v="0"/>
    <n v="29954.352104409998"/>
    <n v="30336.176841600001"/>
    <n v="10121.836643904"/>
    <n v="0"/>
    <n v="311700"/>
    <n v="37300"/>
    <n v="349000"/>
    <n v="3.9618707179028892E-2"/>
    <n v="0.99970000000000003"/>
    <n v="1.0067999999999999"/>
    <n v="0.99729999999999996"/>
    <n v="0.98919999999999997"/>
    <n v="0.995"/>
    <n v="0.94971499999999998"/>
    <n v="0.93857614463114025"/>
    <n v="311700"/>
    <n v="0"/>
    <n v="311700"/>
    <n v="35400"/>
    <n v="347100"/>
    <n v="0.11680401289860265"/>
    <n v="-0.37455830388692579"/>
    <n v="3.3958891867739052E-2"/>
  </r>
  <r>
    <n v="2025"/>
    <s v="18132343422    "/>
    <n v="-1.4696759700589417"/>
    <n v="0.23"/>
    <n v="10132"/>
    <s v="6"/>
    <s v="RES"/>
    <x v="0"/>
    <s v="11"/>
    <s v="259"/>
    <s v="RN"/>
    <s v="G"/>
    <s v="GD"/>
    <x v="7"/>
    <n v="79"/>
    <n v="52"/>
    <n v="1945"/>
    <n v="1972"/>
    <n v="1474"/>
    <m/>
    <n v="1149"/>
    <n v="0"/>
    <n v="1149"/>
    <m/>
    <n v="2623"/>
    <n v="3000"/>
    <n v="10"/>
    <m/>
    <n v="325"/>
    <m/>
    <m/>
    <m/>
    <m/>
    <m/>
    <n v="499231"/>
    <n v="349462"/>
    <n v="0"/>
    <n v="402300"/>
    <n v="63300"/>
    <n v="339000"/>
    <n v="0"/>
    <n v="0"/>
    <n v="89850.625589999996"/>
    <n v="-46522.028095997222"/>
    <n v="44121.038090000002"/>
    <n v="197752.34721000001"/>
    <n v="-11598.371226000001"/>
    <n v="72828.379398698002"/>
    <n v="0"/>
    <n v="0"/>
    <n v="33415.097638802996"/>
    <n v="37920.221052000001"/>
    <n v="0"/>
    <n v="0"/>
    <n v="374400"/>
    <n v="43300"/>
    <n v="417700"/>
    <n v="3.8279890628883914E-2"/>
    <n v="0.99970000000000003"/>
    <n v="0.98050000000000004"/>
    <n v="0.99650000000000005"/>
    <n v="0.96179999999999999"/>
    <n v="0.995"/>
    <n v="0.94971499999999998"/>
    <n v="0.88802675758029637"/>
    <n v="374400"/>
    <n v="0"/>
    <n v="374400"/>
    <n v="41100"/>
    <n v="415500"/>
    <n v="0.10442477876106195"/>
    <n v="-0.35071090047393366"/>
    <n v="3.2811334824757642E-2"/>
  </r>
  <r>
    <n v="2025"/>
    <s v="18132332409    "/>
    <n v="-1.3862943611198906"/>
    <n v="0.25"/>
    <m/>
    <s v="6"/>
    <s v="RES"/>
    <x v="0"/>
    <s v="11"/>
    <s v="259"/>
    <s v="RN"/>
    <s v="A+"/>
    <s v="GD"/>
    <x v="7"/>
    <n v="79"/>
    <n v="52"/>
    <n v="1945"/>
    <n v="1972"/>
    <n v="1837"/>
    <m/>
    <m/>
    <n v="0"/>
    <m/>
    <m/>
    <n v="1837"/>
    <n v="2000"/>
    <n v="7"/>
    <m/>
    <m/>
    <m/>
    <m/>
    <m/>
    <m/>
    <m/>
    <n v="339873"/>
    <n v="237911"/>
    <n v="9040"/>
    <n v="374000"/>
    <n v="66200"/>
    <n v="307800"/>
    <n v="0"/>
    <n v="0"/>
    <n v="89850.625589999996"/>
    <n v="-43882.615305165229"/>
    <n v="29814.093161000001"/>
    <n v="197752.34721000001"/>
    <n v="-11598.371226000001"/>
    <n v="90763.726564049008"/>
    <n v="0"/>
    <n v="0"/>
    <n v="0"/>
    <n v="26544.1547364"/>
    <n v="0"/>
    <n v="9000"/>
    <n v="333300"/>
    <n v="46000"/>
    <n v="388300"/>
    <n v="3.8235294117647062E-2"/>
    <n v="0.99970000000000003"/>
    <n v="1.0088999999999999"/>
    <n v="0.99650000000000005"/>
    <n v="1.0093000000000001"/>
    <n v="0.995"/>
    <n v="0.94971499999999998"/>
    <n v="0.9588751782051762"/>
    <n v="333300"/>
    <n v="8600"/>
    <n v="341900"/>
    <n v="43700"/>
    <n v="385600"/>
    <n v="0.11078622482131253"/>
    <n v="-0.33987915407854985"/>
    <n v="3.1016042780748664E-2"/>
  </r>
  <r>
    <n v="2025"/>
    <s v="18132243414    "/>
    <n v="-1.3470736479666092"/>
    <n v="0.26"/>
    <n v="11541"/>
    <s v="6"/>
    <s v="RES"/>
    <x v="0"/>
    <s v="11"/>
    <s v="259"/>
    <s v="CO"/>
    <s v="A"/>
    <s v="AV"/>
    <x v="7"/>
    <n v="79"/>
    <n v="52"/>
    <n v="1945"/>
    <n v="1972"/>
    <n v="1215"/>
    <n v="429"/>
    <n v="858"/>
    <n v="429"/>
    <n v="429"/>
    <m/>
    <n v="2073"/>
    <n v="2500"/>
    <n v="7"/>
    <m/>
    <m/>
    <m/>
    <m/>
    <m/>
    <m/>
    <m/>
    <n v="299446"/>
    <n v="203623"/>
    <n v="16057"/>
    <n v="350600"/>
    <n v="67600"/>
    <n v="283000"/>
    <n v="0"/>
    <n v="0"/>
    <n v="89850.625589999996"/>
    <n v="-42641.098701210125"/>
    <n v="21557.329055999999"/>
    <n v="160472.20319"/>
    <n v="-11598.371226000001"/>
    <n v="60031.533900555005"/>
    <n v="19213.375407369"/>
    <n v="0"/>
    <n v="24952.266121925997"/>
    <n v="26544.1547364"/>
    <n v="0"/>
    <n v="16100"/>
    <n v="301200"/>
    <n v="47200"/>
    <n v="364500"/>
    <n v="3.9646320593268683E-2"/>
    <n v="0.99970000000000003"/>
    <n v="1.0067999999999999"/>
    <n v="0.99729999999999996"/>
    <n v="0.98919999999999997"/>
    <n v="0.995"/>
    <n v="0.94971499999999998"/>
    <n v="0.93857614463114025"/>
    <n v="301200"/>
    <n v="15200"/>
    <n v="316400"/>
    <n v="44800"/>
    <n v="361200"/>
    <n v="0.11802120141342756"/>
    <n v="-0.33727810650887574"/>
    <n v="3.0233884768967486E-2"/>
  </r>
  <r>
    <n v="2025"/>
    <s v="18132212005    "/>
    <n v="-0.49429632181478012"/>
    <n v="0.61"/>
    <n v="26723"/>
    <s v="6"/>
    <s v="RES"/>
    <x v="0"/>
    <s v="11"/>
    <s v="259"/>
    <s v="TD"/>
    <s v="G"/>
    <s v="GD"/>
    <x v="7"/>
    <n v="79"/>
    <n v="52"/>
    <n v="1945"/>
    <n v="1972"/>
    <n v="1114"/>
    <m/>
    <n v="1114"/>
    <n v="0"/>
    <n v="1114"/>
    <m/>
    <n v="2228"/>
    <n v="2500"/>
    <n v="11"/>
    <m/>
    <m/>
    <m/>
    <m/>
    <m/>
    <m/>
    <m/>
    <n v="391566"/>
    <n v="274096"/>
    <n v="6957"/>
    <n v="424900"/>
    <n v="97300"/>
    <n v="327600"/>
    <n v="0"/>
    <n v="0"/>
    <n v="89850.625589999996"/>
    <n v="-15646.760129236542"/>
    <n v="44121.038090000002"/>
    <n v="197752.34721000001"/>
    <n v="-11598.371226000001"/>
    <n v="55041.258242978001"/>
    <n v="0"/>
    <n v="0"/>
    <n v="32397.231305157999"/>
    <n v="41712.243157199999"/>
    <n v="0"/>
    <n v="7000"/>
    <n v="359400"/>
    <n v="74200"/>
    <n v="440600"/>
    <n v="3.6949870557778298E-2"/>
    <n v="0.99970000000000003"/>
    <n v="0.98050000000000004"/>
    <n v="0.99650000000000005"/>
    <n v="0.98919999999999997"/>
    <n v="0.995"/>
    <n v="0.94971499999999998"/>
    <n v="0.91332508691872449"/>
    <n v="359400"/>
    <n v="6600"/>
    <n v="366000"/>
    <n v="70500"/>
    <n v="436500"/>
    <n v="0.11721611721611722"/>
    <n v="-0.27543679342240496"/>
    <n v="2.7300541303836197E-2"/>
  </r>
  <r>
    <n v="2025"/>
    <s v="18132313478    "/>
    <n v="-1.8325814637483102"/>
    <n v="0.16"/>
    <n v="6999"/>
    <s v="6"/>
    <s v="RES"/>
    <x v="0"/>
    <s v="11"/>
    <s v="259"/>
    <s v="MS"/>
    <s v="A+"/>
    <s v="AV"/>
    <x v="7"/>
    <n v="79"/>
    <n v="52"/>
    <n v="1945"/>
    <n v="1972"/>
    <n v="916"/>
    <m/>
    <n v="916"/>
    <n v="0"/>
    <n v="916"/>
    <m/>
    <n v="1832"/>
    <n v="2000"/>
    <n v="5"/>
    <m/>
    <m/>
    <m/>
    <m/>
    <m/>
    <m/>
    <m/>
    <n v="265672"/>
    <n v="180657"/>
    <n v="5441"/>
    <n v="297000"/>
    <n v="50600"/>
    <n v="246400"/>
    <n v="0"/>
    <n v="0"/>
    <n v="89850.625589999996"/>
    <n v="-58009.662049032086"/>
    <n v="29814.093161000001"/>
    <n v="160472.20319"/>
    <n v="-11598.371226000001"/>
    <n v="45258.341607332004"/>
    <n v="0"/>
    <n v="0"/>
    <n v="26639.016046252"/>
    <n v="18960.110526"/>
    <n v="0"/>
    <n v="5400"/>
    <n v="269500"/>
    <n v="31800"/>
    <n v="306700"/>
    <n v="3.265993265993266E-2"/>
    <n v="0.99970000000000003"/>
    <n v="1.0088999999999999"/>
    <n v="0.99729999999999996"/>
    <n v="1.0093000000000001"/>
    <n v="0.995"/>
    <n v="0.94971499999999998"/>
    <n v="0.9596449726282209"/>
    <n v="269500"/>
    <n v="5200"/>
    <n v="274700"/>
    <n v="30200"/>
    <n v="304900"/>
    <n v="0.1148538961038961"/>
    <n v="-0.40316205533596838"/>
    <n v="2.6599326599326598E-2"/>
  </r>
  <r>
    <n v="2025"/>
    <s v="18132333470    "/>
    <n v="-1.5141277326297755"/>
    <n v="0.22"/>
    <m/>
    <s v="6"/>
    <s v="RES"/>
    <x v="0"/>
    <s v="11"/>
    <s v="259"/>
    <s v="TD"/>
    <s v="G"/>
    <s v="AV"/>
    <x v="7"/>
    <n v="79"/>
    <n v="52"/>
    <n v="1945"/>
    <n v="1972"/>
    <n v="1244"/>
    <m/>
    <n v="1244"/>
    <n v="444"/>
    <n v="800"/>
    <m/>
    <n v="2044"/>
    <n v="2500"/>
    <n v="9"/>
    <m/>
    <m/>
    <m/>
    <m/>
    <m/>
    <m/>
    <m/>
    <n v="406292"/>
    <n v="276279"/>
    <n v="11351"/>
    <n v="366200"/>
    <n v="61700"/>
    <n v="304500"/>
    <n v="0"/>
    <n v="0"/>
    <n v="89850.625589999996"/>
    <n v="-47929.131559187132"/>
    <n v="44121.038090000002"/>
    <n v="160472.20319"/>
    <n v="-11598.371226000001"/>
    <n v="61464.385326987998"/>
    <n v="0"/>
    <n v="0"/>
    <n v="36177.877687267995"/>
    <n v="34128.198946800003"/>
    <n v="0"/>
    <n v="11400"/>
    <n v="324800"/>
    <n v="41900"/>
    <n v="378100"/>
    <n v="3.2495903877662477E-2"/>
    <n v="0.99970000000000003"/>
    <n v="0.98050000000000004"/>
    <n v="0.99729999999999996"/>
    <n v="0.98919999999999997"/>
    <n v="0.995"/>
    <n v="0.94971499999999998"/>
    <n v="0.91405831328052556"/>
    <n v="324800"/>
    <n v="10800"/>
    <n v="335600"/>
    <n v="39800"/>
    <n v="375400"/>
    <n v="0.10213464696223316"/>
    <n v="-0.35494327390599678"/>
    <n v="2.5122883670125613E-2"/>
  </r>
  <r>
    <n v="2025"/>
    <s v="18132321417    "/>
    <n v="-0.94160853985844495"/>
    <n v="0.39"/>
    <n v="16958"/>
    <s v="6"/>
    <s v="RES"/>
    <x v="0"/>
    <s v="11"/>
    <s v="259"/>
    <s v="CC"/>
    <s v="A+"/>
    <s v="AV"/>
    <x v="7"/>
    <n v="79"/>
    <n v="52"/>
    <n v="1945"/>
    <n v="1972"/>
    <n v="1200"/>
    <n v="871"/>
    <n v="940"/>
    <n v="0"/>
    <n v="940"/>
    <m/>
    <n v="3011"/>
    <n v="3500"/>
    <n v="9"/>
    <m/>
    <m/>
    <n v="192"/>
    <m/>
    <m/>
    <m/>
    <m/>
    <n v="444528"/>
    <n v="302279"/>
    <n v="18298"/>
    <n v="409000"/>
    <n v="81700"/>
    <n v="327300"/>
    <n v="0"/>
    <n v="0"/>
    <n v="89850.625589999996"/>
    <n v="-29806.256507663158"/>
    <n v="29814.093161000001"/>
    <n v="160472.20319"/>
    <n v="-11598.371226000001"/>
    <n v="59290.403852399999"/>
    <n v="39008.974311931001"/>
    <n v="0"/>
    <n v="27336.981532179998"/>
    <n v="34128.198946800003"/>
    <n v="6392.7389329920006"/>
    <n v="18300"/>
    <n v="344800"/>
    <n v="60000"/>
    <n v="423100"/>
    <n v="3.4474327628361862E-2"/>
    <n v="0.99970000000000003"/>
    <n v="1.0088999999999999"/>
    <n v="0.99729999999999996"/>
    <n v="1.0126999999999999"/>
    <n v="0.995"/>
    <n v="0.94971499999999998"/>
    <n v="0.96287770115981319"/>
    <n v="344800"/>
    <n v="17400"/>
    <n v="362200"/>
    <n v="57000"/>
    <n v="419200"/>
    <n v="0.10663000305530095"/>
    <n v="-0.30232558139534882"/>
    <n v="2.493887530562347E-2"/>
  </r>
  <r>
    <n v="2025"/>
    <s v="18132214042    "/>
    <n v="-1.5606477482646683"/>
    <n v="0.21"/>
    <n v="9202"/>
    <s v="6"/>
    <s v="RES"/>
    <x v="0"/>
    <s v="11"/>
    <s v="259"/>
    <s v="TD"/>
    <s v="A"/>
    <s v="AV"/>
    <x v="7"/>
    <n v="79"/>
    <n v="52"/>
    <n v="1945"/>
    <n v="1972"/>
    <n v="2700"/>
    <m/>
    <n v="540"/>
    <n v="540"/>
    <m/>
    <m/>
    <n v="2700"/>
    <n v="3000"/>
    <n v="6"/>
    <m/>
    <m/>
    <m/>
    <m/>
    <m/>
    <m/>
    <m/>
    <n v="398294"/>
    <n v="270840"/>
    <n v="0"/>
    <n v="373100"/>
    <n v="60100"/>
    <n v="313000"/>
    <n v="0"/>
    <n v="0"/>
    <n v="89850.625589999996"/>
    <n v="-49401.70477837498"/>
    <n v="21557.329055999999"/>
    <n v="160472.20319"/>
    <n v="-11598.371226000001"/>
    <n v="133403.40866790002"/>
    <n v="0"/>
    <n v="0"/>
    <n v="15704.223433379999"/>
    <n v="22752.132631200002"/>
    <n v="0"/>
    <n v="0"/>
    <n v="342300"/>
    <n v="40400"/>
    <n v="382700"/>
    <n v="2.5730367193781828E-2"/>
    <n v="0.99970000000000003"/>
    <n v="1.0067999999999999"/>
    <n v="0.99729999999999996"/>
    <n v="0.96179999999999999"/>
    <n v="0.995"/>
    <n v="0.94971499999999998"/>
    <n v="0.91257838243654554"/>
    <n v="342300"/>
    <n v="0"/>
    <n v="342300"/>
    <n v="38400"/>
    <n v="380700"/>
    <n v="9.361022364217253E-2"/>
    <n v="-0.36106489184692181"/>
    <n v="2.0369874028410614E-2"/>
  </r>
  <r>
    <n v="2025"/>
    <s v="18132214442    "/>
    <n v="-1.6607312068216509"/>
    <n v="0.19"/>
    <n v="8391"/>
    <s v="6"/>
    <s v="RES"/>
    <x v="0"/>
    <s v="11"/>
    <s v="259"/>
    <s v="RN"/>
    <s v="A"/>
    <s v="FR"/>
    <x v="7"/>
    <n v="79"/>
    <n v="52"/>
    <n v="1945"/>
    <n v="1972"/>
    <n v="1054"/>
    <m/>
    <n v="1054"/>
    <n v="54"/>
    <n v="1000"/>
    <m/>
    <n v="2054"/>
    <n v="2500"/>
    <n v="8"/>
    <m/>
    <m/>
    <m/>
    <m/>
    <m/>
    <m/>
    <m/>
    <n v="285056"/>
    <n v="188137"/>
    <n v="0"/>
    <n v="286500"/>
    <n v="56600"/>
    <n v="229900"/>
    <n v="0"/>
    <n v="0"/>
    <n v="89850.625589999996"/>
    <n v="-52569.808201026557"/>
    <n v="21557.329055999999"/>
    <n v="133714.53821"/>
    <n v="-11598.371226000001"/>
    <n v="52076.738050357999"/>
    <n v="0"/>
    <n v="0"/>
    <n v="30652.317590338"/>
    <n v="30336.176841600001"/>
    <n v="0"/>
    <n v="0"/>
    <n v="256700"/>
    <n v="37300"/>
    <n v="294000"/>
    <n v="2.6178010471204188E-2"/>
    <n v="0.99970000000000003"/>
    <n v="1.0067999999999999"/>
    <n v="0.99329999999999996"/>
    <n v="0.98919999999999997"/>
    <n v="0.995"/>
    <n v="0.94971499999999998"/>
    <n v="0.93481167598727721"/>
    <n v="256700"/>
    <n v="0"/>
    <n v="256700"/>
    <n v="35400"/>
    <n v="292100"/>
    <n v="0.11657242279251849"/>
    <n v="-0.37455830388692579"/>
    <n v="1.9546247818499129E-2"/>
  </r>
  <r>
    <n v="2025"/>
    <s v="18132324501    "/>
    <n v="-1.4271163556401458"/>
    <n v="0.24"/>
    <m/>
    <s v="6"/>
    <s v="RES"/>
    <x v="0"/>
    <s v="11"/>
    <s v="259"/>
    <s v="TD"/>
    <s v="A"/>
    <s v="AV"/>
    <x v="7"/>
    <n v="79"/>
    <n v="52"/>
    <n v="1945"/>
    <n v="1972"/>
    <n v="1056"/>
    <m/>
    <n v="1056"/>
    <n v="528"/>
    <n v="528"/>
    <m/>
    <n v="1584"/>
    <n v="2000"/>
    <n v="7"/>
    <m/>
    <m/>
    <m/>
    <m/>
    <m/>
    <m/>
    <m/>
    <n v="256356"/>
    <n v="174322"/>
    <n v="5580"/>
    <n v="321500"/>
    <n v="64800"/>
    <n v="256700"/>
    <n v="0"/>
    <n v="0"/>
    <n v="89850.625589999996"/>
    <n v="-45174.819855485119"/>
    <n v="21557.329055999999"/>
    <n v="160472.20319"/>
    <n v="-11598.371226000001"/>
    <n v="52175.555390112"/>
    <n v="0"/>
    <n v="0"/>
    <n v="30710.481380832"/>
    <n v="26544.1547364"/>
    <n v="0"/>
    <n v="5600"/>
    <n v="279900"/>
    <n v="44700"/>
    <n v="330200"/>
    <n v="2.7060653188180406E-2"/>
    <n v="0.99970000000000003"/>
    <n v="1.0067999999999999"/>
    <n v="0.99729999999999996"/>
    <n v="1.0093000000000001"/>
    <n v="0.995"/>
    <n v="0.94971499999999998"/>
    <n v="0.957647495730095"/>
    <n v="279900"/>
    <n v="5300"/>
    <n v="285200"/>
    <n v="42400"/>
    <n v="327600"/>
    <n v="0.11102454226723803"/>
    <n v="-0.34567901234567899"/>
    <n v="1.8973561430793158E-2"/>
  </r>
  <r>
    <n v="2025"/>
    <s v="18132214026    "/>
    <n v="-1.8971199848858813"/>
    <n v="0.15"/>
    <n v="6641"/>
    <s v="6"/>
    <s v="RES"/>
    <x v="0"/>
    <s v="11"/>
    <s v="259"/>
    <s v="TD"/>
    <s v="A+"/>
    <s v="AV"/>
    <x v="7"/>
    <n v="79"/>
    <n v="52"/>
    <n v="1945"/>
    <n v="1972"/>
    <n v="1068"/>
    <m/>
    <n v="1068"/>
    <n v="0"/>
    <n v="1068"/>
    <m/>
    <n v="2136"/>
    <n v="2500"/>
    <n v="10"/>
    <m/>
    <m/>
    <m/>
    <m/>
    <m/>
    <m/>
    <m/>
    <n v="317664"/>
    <n v="216012"/>
    <n v="5261"/>
    <n v="330800"/>
    <n v="48400"/>
    <n v="282400"/>
    <n v="0"/>
    <n v="0"/>
    <n v="89850.625589999996"/>
    <n v="-60052.604136134301"/>
    <n v="29814.093161000001"/>
    <n v="160472.20319"/>
    <n v="-11598.371226000001"/>
    <n v="52768.459428636001"/>
    <n v="0"/>
    <n v="0"/>
    <n v="31059.464123795999"/>
    <n v="37920.221052000001"/>
    <n v="0"/>
    <n v="5300"/>
    <n v="300400"/>
    <n v="29800"/>
    <n v="335500"/>
    <n v="1.4207980652962516E-2"/>
    <n v="0.99970000000000003"/>
    <n v="1.0088999999999999"/>
    <n v="0.99729999999999996"/>
    <n v="0.98919999999999997"/>
    <n v="0.995"/>
    <n v="0.94971499999999998"/>
    <n v="0.94053384219145564"/>
    <n v="300400"/>
    <n v="5000"/>
    <n v="305400"/>
    <n v="28300"/>
    <n v="333700"/>
    <n v="8.1444759206798861E-2"/>
    <n v="-0.41528925619834711"/>
    <n v="8.7666263603385728E-3"/>
  </r>
  <r>
    <n v="2025"/>
    <s v="18132323455    "/>
    <n v="-1.8971199848858813"/>
    <n v="0.15"/>
    <m/>
    <s v="6"/>
    <s v="RES"/>
    <x v="0"/>
    <s v="11"/>
    <s v="259"/>
    <s v="RN"/>
    <s v="A"/>
    <s v="AV"/>
    <x v="7"/>
    <n v="79"/>
    <n v="52"/>
    <n v="1945"/>
    <n v="1972"/>
    <n v="1260"/>
    <m/>
    <n v="1260"/>
    <n v="0"/>
    <n v="1260"/>
    <m/>
    <n v="2520"/>
    <n v="3000"/>
    <n v="9"/>
    <n v="432"/>
    <m/>
    <m/>
    <m/>
    <m/>
    <m/>
    <m/>
    <n v="327216"/>
    <n v="222507"/>
    <n v="0"/>
    <n v="329100"/>
    <n v="48400"/>
    <n v="280700"/>
    <n v="0"/>
    <n v="0"/>
    <n v="89850.625589999996"/>
    <n v="-60052.604136134301"/>
    <n v="21557.329055999999"/>
    <n v="160472.20319"/>
    <n v="-11598.371226000001"/>
    <n v="62254.924045020001"/>
    <n v="0"/>
    <n v="0"/>
    <n v="36643.188011220001"/>
    <n v="34128.198946800003"/>
    <n v="0"/>
    <n v="0"/>
    <n v="303500"/>
    <n v="29800"/>
    <n v="333300"/>
    <n v="1.276207839562443E-2"/>
    <n v="0.99970000000000003"/>
    <n v="1.0067999999999999"/>
    <n v="0.99729999999999996"/>
    <n v="0.96179999999999999"/>
    <n v="0.995"/>
    <n v="0.94971499999999998"/>
    <n v="0.91257838243654554"/>
    <n v="303500"/>
    <n v="0"/>
    <n v="303500"/>
    <n v="28300"/>
    <n v="331800"/>
    <n v="8.1225507659422866E-2"/>
    <n v="-0.41528925619834711"/>
    <n v="8.2041932543299913E-3"/>
  </r>
  <r>
    <n v="2025"/>
    <s v="18132334425    "/>
    <n v="-1.4696759700589417"/>
    <n v="0.23"/>
    <m/>
    <s v="6"/>
    <s v="RES"/>
    <x v="0"/>
    <s v="11"/>
    <s v="259"/>
    <s v="TD"/>
    <s v="A"/>
    <s v="AV"/>
    <x v="7"/>
    <n v="79"/>
    <n v="52"/>
    <n v="1945"/>
    <n v="1972"/>
    <n v="1104"/>
    <m/>
    <n v="650"/>
    <n v="2"/>
    <n v="648"/>
    <m/>
    <n v="1752"/>
    <n v="2000"/>
    <n v="5"/>
    <m/>
    <m/>
    <m/>
    <m/>
    <m/>
    <m/>
    <m/>
    <n v="255131"/>
    <n v="173489"/>
    <n v="11455"/>
    <n v="312600"/>
    <n v="63300"/>
    <n v="249300"/>
    <n v="0"/>
    <n v="0"/>
    <n v="89850.625589999996"/>
    <n v="-46522.028095997222"/>
    <n v="21557.329055999999"/>
    <n v="160472.20319"/>
    <n v="-11598.371226000001"/>
    <n v="54547.171544208002"/>
    <n v="0"/>
    <n v="0"/>
    <n v="18903.231910549999"/>
    <n v="18960.110526"/>
    <n v="0"/>
    <n v="11500"/>
    <n v="262800"/>
    <n v="43300"/>
    <n v="317600"/>
    <n v="1.599488163787588E-2"/>
    <n v="0.99970000000000003"/>
    <n v="1.0067999999999999"/>
    <n v="0.99729999999999996"/>
    <n v="1.0093000000000001"/>
    <n v="0.995"/>
    <n v="0.94971499999999998"/>
    <n v="0.957647495730095"/>
    <n v="262800"/>
    <n v="10900"/>
    <n v="273700"/>
    <n v="41100"/>
    <n v="314800"/>
    <n v="9.7874047332531092E-2"/>
    <n v="-0.35071090047393366"/>
    <n v="7.0377479206653873E-3"/>
  </r>
  <r>
    <n v="2025"/>
    <s v="18132324437    "/>
    <n v="-1.5606477482646683"/>
    <n v="0.21"/>
    <m/>
    <s v="6"/>
    <s v="RES"/>
    <x v="0"/>
    <s v="11"/>
    <s v="259"/>
    <s v="TD"/>
    <s v="A+"/>
    <s v="AV"/>
    <x v="7"/>
    <n v="79"/>
    <n v="52"/>
    <n v="1945"/>
    <n v="1972"/>
    <n v="1240"/>
    <m/>
    <n v="923"/>
    <n v="0"/>
    <n v="923"/>
    <m/>
    <n v="2163"/>
    <n v="2500"/>
    <n v="8"/>
    <n v="220"/>
    <m/>
    <m/>
    <m/>
    <m/>
    <m/>
    <m/>
    <n v="348521"/>
    <n v="236994"/>
    <n v="0"/>
    <n v="333400"/>
    <n v="60100"/>
    <n v="273300"/>
    <n v="0"/>
    <n v="0"/>
    <n v="89850.625589999996"/>
    <n v="-49401.70477837498"/>
    <n v="29814.093161000001"/>
    <n v="160472.20319"/>
    <n v="-11598.371226000001"/>
    <n v="61266.750647480003"/>
    <n v="0"/>
    <n v="0"/>
    <n v="26842.589312980999"/>
    <n v="30336.176841600001"/>
    <n v="0"/>
    <n v="0"/>
    <n v="297100"/>
    <n v="40400"/>
    <n v="337500"/>
    <n v="1.2297540491901619E-2"/>
    <n v="0.99970000000000003"/>
    <n v="1.0088999999999999"/>
    <n v="0.99729999999999996"/>
    <n v="0.98919999999999997"/>
    <n v="0.995"/>
    <n v="0.94971499999999998"/>
    <n v="0.94053384219145564"/>
    <n v="297100"/>
    <n v="0"/>
    <n v="297100"/>
    <n v="38400"/>
    <n v="335500"/>
    <n v="8.7083790706183675E-2"/>
    <n v="-0.36106489184692181"/>
    <n v="6.2987402519496102E-3"/>
  </r>
  <r>
    <n v="2025"/>
    <s v="18132313528    "/>
    <n v="-1.7719568419318752"/>
    <n v="0.17"/>
    <n v="7348"/>
    <s v="6"/>
    <s v="RES"/>
    <x v="0"/>
    <s v="11"/>
    <s v="259"/>
    <s v="TD"/>
    <s v="A"/>
    <s v="AV"/>
    <x v="7"/>
    <n v="79"/>
    <n v="52"/>
    <n v="1945"/>
    <n v="1972"/>
    <n v="1412"/>
    <m/>
    <n v="1040"/>
    <n v="0"/>
    <n v="1040"/>
    <m/>
    <n v="2452"/>
    <n v="2500"/>
    <n v="9"/>
    <m/>
    <m/>
    <m/>
    <m/>
    <m/>
    <m/>
    <m/>
    <n v="319873"/>
    <n v="217514"/>
    <n v="1069"/>
    <n v="336200"/>
    <n v="52700"/>
    <n v="283500"/>
    <n v="0"/>
    <n v="0"/>
    <n v="89850.625589999996"/>
    <n v="-56090.612940989391"/>
    <n v="21557.329055999999"/>
    <n v="160472.20319"/>
    <n v="-11598.371226000001"/>
    <n v="69765.041866323998"/>
    <n v="0"/>
    <n v="0"/>
    <n v="30245.171056879997"/>
    <n v="34128.198946800003"/>
    <n v="0"/>
    <n v="1100"/>
    <n v="304600"/>
    <n v="33800"/>
    <n v="339500"/>
    <n v="9.815585960737656E-3"/>
    <n v="0.99970000000000003"/>
    <n v="1.0067999999999999"/>
    <n v="0.99729999999999996"/>
    <n v="0.98919999999999997"/>
    <n v="0.995"/>
    <n v="0.94971499999999998"/>
    <n v="0.93857614463114025"/>
    <n v="304600"/>
    <n v="1000"/>
    <n v="305600"/>
    <n v="32100"/>
    <n v="337700"/>
    <n v="7.7954144620811294E-2"/>
    <n v="-0.39089184060721061"/>
    <n v="4.46162998215348E-3"/>
  </r>
  <r>
    <n v="2025"/>
    <s v="18132214490    "/>
    <n v="-1.7147984280919266"/>
    <n v="0.18"/>
    <n v="7656"/>
    <s v="6"/>
    <s v="RES"/>
    <x v="0"/>
    <s v="11"/>
    <s v="259"/>
    <s v="RN"/>
    <s v="A"/>
    <s v="AV"/>
    <x v="7"/>
    <n v="79"/>
    <n v="52"/>
    <n v="1945"/>
    <n v="1972"/>
    <n v="1207"/>
    <m/>
    <n v="1207"/>
    <n v="0"/>
    <n v="1207"/>
    <m/>
    <n v="2414"/>
    <n v="2500"/>
    <n v="7"/>
    <n v="220"/>
    <m/>
    <m/>
    <m/>
    <m/>
    <m/>
    <m/>
    <n v="312855"/>
    <n v="212741"/>
    <n v="20784"/>
    <n v="344200"/>
    <n v="54700"/>
    <n v="289500"/>
    <n v="0"/>
    <n v="0"/>
    <n v="89850.625589999996"/>
    <n v="-54281.285314520763"/>
    <n v="21557.329055999999"/>
    <n v="160472.20319"/>
    <n v="-11598.371226000001"/>
    <n v="59636.264541539"/>
    <n v="0"/>
    <n v="0"/>
    <n v="35101.847563128998"/>
    <n v="26544.1547364"/>
    <n v="0"/>
    <n v="20800"/>
    <n v="291700"/>
    <n v="35600"/>
    <n v="348100"/>
    <n v="1.1330621731551424E-2"/>
    <n v="0.99970000000000003"/>
    <n v="1.0067999999999999"/>
    <n v="0.99729999999999996"/>
    <n v="0.98919999999999997"/>
    <n v="0.995"/>
    <n v="0.94971499999999998"/>
    <n v="0.93857614463114025"/>
    <n v="291700"/>
    <n v="19700"/>
    <n v="311400"/>
    <n v="33800"/>
    <n v="345200"/>
    <n v="7.5647668393782383E-2"/>
    <n v="-0.38208409506398539"/>
    <n v="2.905287623474724E-3"/>
  </r>
  <r>
    <n v="2025"/>
    <s v="18132241042    "/>
    <n v="-1.2378743560016174"/>
    <n v="0.28999999999999998"/>
    <n v="12682"/>
    <s v="6"/>
    <s v="RES"/>
    <x v="0"/>
    <s v="11"/>
    <s v="259"/>
    <s v="TD"/>
    <s v="A"/>
    <s v="AV"/>
    <x v="7"/>
    <n v="79"/>
    <n v="52"/>
    <n v="1945"/>
    <n v="1972"/>
    <n v="1728"/>
    <m/>
    <n v="1497"/>
    <n v="0"/>
    <n v="1497"/>
    <m/>
    <n v="3225"/>
    <n v="3500"/>
    <n v="8"/>
    <m/>
    <m/>
    <n v="132"/>
    <m/>
    <m/>
    <m/>
    <m/>
    <n v="405639"/>
    <n v="275835"/>
    <n v="19446"/>
    <n v="400100"/>
    <n v="71400"/>
    <n v="328700"/>
    <n v="0"/>
    <n v="0"/>
    <n v="89850.625589999996"/>
    <n v="-39184.437074869042"/>
    <n v="21557.329055999999"/>
    <n v="160472.20319"/>
    <n v="-11598.371226000001"/>
    <n v="85378.181547455999"/>
    <n v="0"/>
    <n v="0"/>
    <n v="43535.597184758997"/>
    <n v="30336.176841600001"/>
    <n v="4395.0080164320007"/>
    <n v="19400"/>
    <n v="334100"/>
    <n v="50700"/>
    <n v="404200"/>
    <n v="1.0247438140464884E-2"/>
    <n v="0.99970000000000003"/>
    <n v="1.0067999999999999"/>
    <n v="0.99729999999999996"/>
    <n v="1.0126999999999999"/>
    <n v="0.995"/>
    <n v="0.94971499999999998"/>
    <n v="0.96087349541847533"/>
    <n v="334100"/>
    <n v="18500"/>
    <n v="352600"/>
    <n v="48100"/>
    <n v="400700"/>
    <n v="7.271067843017949E-2"/>
    <n v="-0.32633053221288516"/>
    <n v="1.4996250937265683E-3"/>
  </r>
  <r>
    <n v="2025"/>
    <s v="18132214452    "/>
    <n v="-1.6094379124341003"/>
    <n v="0.2"/>
    <n v="8581"/>
    <s v="6"/>
    <s v="RES"/>
    <x v="0"/>
    <s v="11"/>
    <s v="259"/>
    <s v="TD"/>
    <s v="F+"/>
    <s v="AV"/>
    <x v="7"/>
    <n v="79"/>
    <n v="52"/>
    <n v="1945"/>
    <n v="1972"/>
    <n v="1007"/>
    <m/>
    <n v="755"/>
    <n v="0"/>
    <n v="755"/>
    <m/>
    <n v="1762"/>
    <n v="2000"/>
    <n v="9"/>
    <n v="200"/>
    <m/>
    <m/>
    <m/>
    <m/>
    <m/>
    <m/>
    <n v="241768"/>
    <n v="164402"/>
    <n v="3372"/>
    <n v="299200"/>
    <n v="58400"/>
    <n v="240800"/>
    <n v="0"/>
    <n v="0"/>
    <n v="89850.625589999996"/>
    <n v="-50946.13867709865"/>
    <n v="0"/>
    <n v="160472.20319"/>
    <n v="-11598.371226000001"/>
    <n v="49754.530566139001"/>
    <n v="0"/>
    <n v="0"/>
    <n v="21956.830911484998"/>
    <n v="34128.198946800003"/>
    <n v="0"/>
    <n v="3400"/>
    <n v="254700"/>
    <n v="38900"/>
    <n v="297000"/>
    <n v="-7.3529411764705881E-3"/>
    <n v="0.99970000000000003"/>
    <n v="0.99180000000000001"/>
    <n v="0.99729999999999996"/>
    <n v="1.0093000000000001"/>
    <n v="0.995"/>
    <n v="0.94971499999999998"/>
    <n v="0.94337980360062423"/>
    <n v="254700"/>
    <n v="3200"/>
    <n v="257900"/>
    <n v="36900"/>
    <n v="294800"/>
    <n v="7.1013289036544844E-2"/>
    <n v="-0.36815068493150682"/>
    <n v="-1.4705882352941176E-2"/>
  </r>
  <r>
    <n v="2025"/>
    <s v="18132242402    "/>
    <n v="-0.73396917508020043"/>
    <n v="0.48"/>
    <n v="20891"/>
    <s v="6"/>
    <s v="RES"/>
    <x v="0"/>
    <s v="11"/>
    <s v="259"/>
    <s v="TD"/>
    <s v="A"/>
    <s v="AV"/>
    <x v="7"/>
    <n v="79"/>
    <n v="52"/>
    <n v="1945"/>
    <n v="1972"/>
    <n v="1476"/>
    <m/>
    <n v="1134"/>
    <n v="0"/>
    <n v="1134"/>
    <m/>
    <n v="2610"/>
    <n v="3000"/>
    <n v="7"/>
    <n v="612"/>
    <m/>
    <m/>
    <m/>
    <m/>
    <m/>
    <m/>
    <n v="365914"/>
    <n v="248822"/>
    <n v="0"/>
    <n v="376600"/>
    <n v="88900"/>
    <n v="287700"/>
    <n v="0"/>
    <n v="0"/>
    <n v="89850.625589999996"/>
    <n v="-23233.512202902497"/>
    <n v="21557.329055999999"/>
    <n v="160472.20319"/>
    <n v="-11598.371226000001"/>
    <n v="72927.196738451996"/>
    <n v="0"/>
    <n v="0"/>
    <n v="32978.869210097997"/>
    <n v="26544.1547364"/>
    <n v="0"/>
    <n v="0"/>
    <n v="302900"/>
    <n v="66600"/>
    <n v="369500"/>
    <n v="-1.8852894317578334E-2"/>
    <n v="0.99970000000000003"/>
    <n v="1.0067999999999999"/>
    <n v="0.99729999999999996"/>
    <n v="0.96179999999999999"/>
    <n v="0.995"/>
    <n v="0.94971499999999998"/>
    <n v="0.91257838243654554"/>
    <n v="302900"/>
    <n v="0"/>
    <n v="302900"/>
    <n v="63300"/>
    <n v="366200"/>
    <n v="5.2832811956899546E-2"/>
    <n v="-0.2879640044994376"/>
    <n v="-2.7615507169410514E-2"/>
  </r>
  <r>
    <n v="2025"/>
    <s v="18132334409    "/>
    <n v="-1.8971199848858813"/>
    <n v="0.15"/>
    <m/>
    <s v="6"/>
    <s v="RES"/>
    <x v="0"/>
    <s v="11"/>
    <s v="259"/>
    <s v="TD"/>
    <s v="F"/>
    <s v="GD"/>
    <x v="7"/>
    <n v="79"/>
    <n v="52"/>
    <n v="1945"/>
    <n v="1972"/>
    <n v="832"/>
    <m/>
    <n v="832"/>
    <n v="416"/>
    <n v="416"/>
    <m/>
    <n v="1248"/>
    <n v="1500"/>
    <n v="5"/>
    <m/>
    <m/>
    <m/>
    <m/>
    <m/>
    <m/>
    <m/>
    <n v="164803"/>
    <n v="115362"/>
    <n v="14647"/>
    <n v="279200"/>
    <n v="48400"/>
    <n v="230800"/>
    <n v="0"/>
    <n v="0"/>
    <n v="89850.625589999996"/>
    <n v="-60052.604136134301"/>
    <n v="-43578.886190266698"/>
    <n v="197752.34721000001"/>
    <n v="-11598.371226000001"/>
    <n v="41108.013337664001"/>
    <n v="0"/>
    <n v="0"/>
    <n v="24196.136845503999"/>
    <n v="18960.110526"/>
    <n v="0"/>
    <n v="14600"/>
    <n v="226800"/>
    <n v="29800"/>
    <n v="271200"/>
    <n v="-2.865329512893983E-2"/>
    <n v="0.99970000000000003"/>
    <n v="1"/>
    <n v="0.99650000000000005"/>
    <n v="1.0157"/>
    <n v="0.995"/>
    <n v="0.94971499999999998"/>
    <n v="0.95644308947994638"/>
    <n v="226800"/>
    <n v="13900"/>
    <n v="240700"/>
    <n v="28300"/>
    <n v="269000"/>
    <n v="4.289428076256499E-2"/>
    <n v="-0.41528925619834711"/>
    <n v="-3.6532951289398284E-2"/>
  </r>
  <r>
    <n v="2025"/>
    <s v="18132323475    "/>
    <n v="-1.8325814637483102"/>
    <n v="0.16"/>
    <m/>
    <s v="6"/>
    <s v="RES"/>
    <x v="0"/>
    <s v="11"/>
    <s v="259"/>
    <s v="TD"/>
    <s v="F"/>
    <s v="FR"/>
    <x v="7"/>
    <n v="79"/>
    <n v="52"/>
    <n v="1945"/>
    <n v="1972"/>
    <n v="1026"/>
    <m/>
    <m/>
    <n v="0"/>
    <m/>
    <m/>
    <n v="1026"/>
    <n v="1500"/>
    <n v="5"/>
    <m/>
    <m/>
    <n v="210"/>
    <m/>
    <m/>
    <m/>
    <m/>
    <n v="158772"/>
    <n v="104790"/>
    <n v="5261"/>
    <n v="210600"/>
    <n v="50600"/>
    <n v="160000"/>
    <n v="0"/>
    <n v="0"/>
    <n v="89850.625589999996"/>
    <n v="-58009.662049032086"/>
    <n v="-43578.886190266698"/>
    <n v="133714.53821"/>
    <n v="-11598.371226000001"/>
    <n v="50693.295293802003"/>
    <n v="0"/>
    <n v="0"/>
    <n v="0"/>
    <n v="18960.110526"/>
    <n v="6992.0582079600008"/>
    <n v="5300"/>
    <n v="155200"/>
    <n v="31800"/>
    <n v="192300"/>
    <n v="-8.68945868945869E-2"/>
    <n v="0.99970000000000003"/>
    <n v="1"/>
    <n v="0.99329999999999996"/>
    <n v="1.0157"/>
    <n v="0.995"/>
    <n v="0.94971499999999998"/>
    <n v="0.95337172180675411"/>
    <n v="155200"/>
    <n v="5000"/>
    <n v="160200"/>
    <n v="30200"/>
    <n v="190400"/>
    <n v="1.25E-3"/>
    <n v="-0.40316205533596838"/>
    <n v="-9.5916429249762583E-2"/>
  </r>
  <r>
    <n v="2025"/>
    <s v="18132344414    "/>
    <n v="-1.9661128563728327"/>
    <n v="0.14000000000000001"/>
    <n v="6180"/>
    <s v="6"/>
    <s v="RES"/>
    <x v="0"/>
    <s v="11"/>
    <s v="400"/>
    <s v="TD"/>
    <s v="F"/>
    <s v="AV"/>
    <x v="7"/>
    <n v="79"/>
    <n v="52"/>
    <n v="1945"/>
    <n v="1972"/>
    <n v="1656"/>
    <m/>
    <m/>
    <n v="0"/>
    <m/>
    <m/>
    <n v="1656"/>
    <n v="2000"/>
    <n v="5"/>
    <m/>
    <m/>
    <m/>
    <m/>
    <m/>
    <m/>
    <m/>
    <n v="206884"/>
    <n v="140681"/>
    <n v="0"/>
    <n v="260200"/>
    <n v="46000"/>
    <n v="214200"/>
    <n v="0"/>
    <n v="0"/>
    <n v="89850.625589999996"/>
    <n v="-62236.546971921947"/>
    <n v="-43578.886190266698"/>
    <n v="160472.20319"/>
    <n v="-11598.371226000001"/>
    <n v="81820.757316311996"/>
    <n v="0"/>
    <n v="0"/>
    <n v="0"/>
    <n v="18960.110526"/>
    <n v="0"/>
    <n v="0"/>
    <n v="206100"/>
    <n v="27600"/>
    <n v="233700"/>
    <n v="-0.10184473481936972"/>
    <n v="0.99970000000000003"/>
    <n v="1"/>
    <n v="0.99729999999999996"/>
    <n v="1.0093000000000001"/>
    <n v="0.995"/>
    <n v="0.94971499999999998"/>
    <n v="0.95117947529806834"/>
    <n v="206100"/>
    <n v="0"/>
    <n v="206100"/>
    <n v="26200"/>
    <n v="232300"/>
    <n v="-3.7815126050420166E-2"/>
    <n v="-0.43043478260869567"/>
    <n v="-0.10722521137586472"/>
  </r>
  <r>
    <n v="2025"/>
    <s v="18132323020    "/>
    <n v="-2.0402208285265546"/>
    <n v="0.13"/>
    <n v="5500"/>
    <s v="6"/>
    <s v="RES"/>
    <x v="0"/>
    <s v="11"/>
    <s v="259"/>
    <s v="TD"/>
    <s v="F-"/>
    <s v="AV"/>
    <x v="7"/>
    <n v="79"/>
    <n v="52"/>
    <n v="1945"/>
    <n v="1972"/>
    <n v="784"/>
    <m/>
    <n v="596"/>
    <n v="596"/>
    <m/>
    <m/>
    <n v="784"/>
    <n v="1000"/>
    <n v="5"/>
    <m/>
    <m/>
    <m/>
    <m/>
    <m/>
    <m/>
    <m/>
    <n v="134758"/>
    <n v="91635"/>
    <n v="8226"/>
    <n v="225300"/>
    <n v="43400"/>
    <n v="181900"/>
    <n v="0"/>
    <n v="0"/>
    <n v="89850.625589999996"/>
    <n v="-64582.406353792743"/>
    <n v="-71917.896887580995"/>
    <n v="160472.20319"/>
    <n v="-11598.371226000001"/>
    <n v="38736.397183567999"/>
    <n v="0"/>
    <n v="0"/>
    <n v="17332.809567212"/>
    <n v="18960.110526"/>
    <n v="0"/>
    <n v="8200"/>
    <n v="152000"/>
    <n v="25300"/>
    <n v="185500"/>
    <n v="-0.17665335108743896"/>
    <n v="0.99970000000000003"/>
    <n v="1"/>
    <n v="0.99729999999999996"/>
    <n v="1.0148999999999999"/>
    <n v="0.995"/>
    <n v="0.94971499999999998"/>
    <n v="0.95645699938572204"/>
    <n v="152000"/>
    <n v="7800"/>
    <n v="159800"/>
    <n v="24000"/>
    <n v="183800"/>
    <n v="-0.12149532710280374"/>
    <n v="-0.44700460829493088"/>
    <n v="-0.1841988459831336"/>
  </r>
  <r>
    <n v="2025"/>
    <s v="18132243476    "/>
    <n v="-0.916290731874155"/>
    <n v="0.4"/>
    <n v="17424"/>
    <s v="2"/>
    <s v="COM"/>
    <x v="0"/>
    <s v="12"/>
    <s v="259"/>
    <s v="RN"/>
    <s v="G"/>
    <s v="AV"/>
    <x v="7"/>
    <n v="80"/>
    <n v="52"/>
    <n v="1944"/>
    <n v="1972"/>
    <n v="1663"/>
    <m/>
    <n v="1663"/>
    <n v="0"/>
    <n v="1663"/>
    <m/>
    <n v="3326"/>
    <n v="3500"/>
    <n v="20"/>
    <m/>
    <m/>
    <m/>
    <m/>
    <m/>
    <n v="103"/>
    <m/>
    <n v="480851"/>
    <n v="336596"/>
    <n v="28970"/>
    <n v="418700"/>
    <n v="95000"/>
    <n v="323700"/>
    <n v="0"/>
    <n v="0"/>
    <n v="89850.625589999996"/>
    <n v="-29004.831024516039"/>
    <n v="44121.038090000002"/>
    <n v="160472.20319"/>
    <n v="-11598.371226000001"/>
    <n v="82166.618005451004"/>
    <n v="0"/>
    <n v="0"/>
    <n v="48363.191795760999"/>
    <n v="75840.442104000002"/>
    <n v="0"/>
    <n v="29000"/>
    <n v="399400"/>
    <n v="60800"/>
    <n v="489200"/>
    <n v="0.16837831382851684"/>
    <n v="0.99970000000000003"/>
    <n v="0.98050000000000004"/>
    <n v="0.99729999999999996"/>
    <n v="1.0126999999999999"/>
    <n v="0.995"/>
    <n v="0.94971499999999998"/>
    <n v="0.9357732044674365"/>
    <n v="399400"/>
    <n v="27500"/>
    <n v="426900"/>
    <n v="57800"/>
    <n v="484700"/>
    <n v="0.31881371640407785"/>
    <n v="-0.39157894736842103"/>
    <n v="0.15763076188201577"/>
  </r>
  <r>
    <n v="2025"/>
    <s v="18132243460    "/>
    <n v="-1.5606477482646683"/>
    <n v="0.21"/>
    <n v="9330"/>
    <s v="6"/>
    <s v="RES"/>
    <x v="0"/>
    <s v="11"/>
    <s v="259"/>
    <s v="TD"/>
    <s v="A+"/>
    <s v="GD"/>
    <x v="8"/>
    <n v="80"/>
    <n v="52"/>
    <n v="1944"/>
    <n v="1972"/>
    <n v="1070"/>
    <m/>
    <n v="463"/>
    <n v="139"/>
    <n v="324"/>
    <m/>
    <n v="1394"/>
    <n v="1500"/>
    <n v="6"/>
    <n v="220"/>
    <m/>
    <m/>
    <m/>
    <m/>
    <m/>
    <m/>
    <n v="276584"/>
    <n v="193609"/>
    <n v="0"/>
    <n v="317700"/>
    <n v="60100"/>
    <n v="257600"/>
    <n v="0"/>
    <n v="0"/>
    <n v="89850.625589999996"/>
    <n v="-49401.70477837498"/>
    <n v="29814.093161000001"/>
    <n v="197752.34721000001"/>
    <n v="-11598.371226000001"/>
    <n v="52867.276768390002"/>
    <n v="0"/>
    <n v="0"/>
    <n v="13464.917499360999"/>
    <n v="22752.132631200002"/>
    <n v="0"/>
    <n v="0"/>
    <n v="305100"/>
    <n v="40400"/>
    <n v="345500"/>
    <n v="8.7503934529430283E-2"/>
    <n v="0.99970000000000003"/>
    <n v="1.0088999999999999"/>
    <n v="0.99650000000000005"/>
    <n v="1.0157"/>
    <n v="0.98909999999999998"/>
    <n v="0.94971499999999998"/>
    <n v="0.95923358669032743"/>
    <n v="305100"/>
    <n v="0"/>
    <n v="305100"/>
    <n v="38400"/>
    <n v="343500"/>
    <n v="0.18439440993788819"/>
    <n v="-0.36106489184692181"/>
    <n v="8.1208687440982058E-2"/>
  </r>
  <r>
    <n v="2025"/>
    <s v="18132332501    "/>
    <n v="-1.3470736479666092"/>
    <n v="0.26"/>
    <m/>
    <s v="6"/>
    <s v="RES"/>
    <x v="0"/>
    <s v="11"/>
    <s v="259"/>
    <s v="TD"/>
    <s v="A"/>
    <s v="GD"/>
    <x v="8"/>
    <n v="81"/>
    <n v="52"/>
    <n v="1943"/>
    <n v="1972"/>
    <n v="864"/>
    <m/>
    <n v="864"/>
    <n v="364"/>
    <n v="500"/>
    <m/>
    <n v="1364"/>
    <n v="1500"/>
    <n v="7"/>
    <n v="435"/>
    <m/>
    <m/>
    <m/>
    <m/>
    <m/>
    <m/>
    <n v="228068"/>
    <n v="159648"/>
    <n v="0"/>
    <n v="319700"/>
    <n v="67600"/>
    <n v="252100"/>
    <n v="0"/>
    <n v="0"/>
    <n v="89850.625589999996"/>
    <n v="-42641.098701210125"/>
    <n v="21557.329055999999"/>
    <n v="197752.34721000001"/>
    <n v="-11598.371226000001"/>
    <n v="42689.090773727999"/>
    <n v="0"/>
    <n v="0"/>
    <n v="25126.757493408"/>
    <n v="26544.1547364"/>
    <n v="0"/>
    <n v="0"/>
    <n v="302100"/>
    <n v="47200"/>
    <n v="349300"/>
    <n v="9.2586800125117302E-2"/>
    <n v="0.99970000000000003"/>
    <n v="1.0067999999999999"/>
    <n v="0.99650000000000005"/>
    <n v="1.0157"/>
    <n v="0.98909999999999998"/>
    <n v="0.94971499999999998"/>
    <n v="0.95723696608169473"/>
    <n v="302100"/>
    <n v="0"/>
    <n v="302100"/>
    <n v="44800"/>
    <n v="346900"/>
    <n v="0.19833399444664815"/>
    <n v="-0.33727810650887574"/>
    <n v="8.5079762277134818E-2"/>
  </r>
  <r>
    <n v="2025"/>
    <s v="18132214421    "/>
    <n v="-1.7147984280919266"/>
    <n v="0.18"/>
    <n v="7702"/>
    <s v="6"/>
    <s v="RES"/>
    <x v="0"/>
    <s v="11"/>
    <s v="259"/>
    <s v="TD"/>
    <s v="A"/>
    <s v="GD"/>
    <x v="8"/>
    <n v="81"/>
    <n v="52"/>
    <n v="1943"/>
    <n v="1972"/>
    <n v="991"/>
    <m/>
    <n v="991"/>
    <n v="0"/>
    <n v="991"/>
    <m/>
    <n v="1982"/>
    <n v="2000"/>
    <n v="5"/>
    <m/>
    <m/>
    <m/>
    <m/>
    <m/>
    <m/>
    <m/>
    <n v="239100"/>
    <n v="167370"/>
    <n v="8032"/>
    <n v="324700"/>
    <n v="54700"/>
    <n v="270000"/>
    <n v="0"/>
    <n v="0"/>
    <n v="89850.625589999996"/>
    <n v="-54281.285314520763"/>
    <n v="21557.329055999999"/>
    <n v="197752.34721000001"/>
    <n v="-11598.371226000001"/>
    <n v="48963.991848106998"/>
    <n v="0"/>
    <n v="0"/>
    <n v="28820.158189776997"/>
    <n v="18960.110526"/>
    <n v="0"/>
    <n v="8000"/>
    <n v="304500"/>
    <n v="35600"/>
    <n v="348100"/>
    <n v="7.2066522944256237E-2"/>
    <n v="0.99970000000000003"/>
    <n v="1.0067999999999999"/>
    <n v="0.99650000000000005"/>
    <n v="1.0093000000000001"/>
    <n v="0.98909999999999998"/>
    <n v="0.94971499999999998"/>
    <n v="0.95120534593507355"/>
    <n v="304500"/>
    <n v="7600"/>
    <n v="312100"/>
    <n v="33800"/>
    <n v="345900"/>
    <n v="0.15592592592592591"/>
    <n v="-0.38208409506398539"/>
    <n v="6.5291037881121033E-2"/>
  </r>
  <r>
    <n v="2025"/>
    <s v="18132214448    "/>
    <n v="-1.6607312068216509"/>
    <n v="0.19"/>
    <n v="8272"/>
    <s v="6"/>
    <s v="RES"/>
    <x v="0"/>
    <s v="11"/>
    <s v="259"/>
    <s v="TD"/>
    <s v="A"/>
    <s v="AV"/>
    <x v="8"/>
    <n v="81"/>
    <n v="52"/>
    <n v="1943"/>
    <n v="1972"/>
    <n v="1029"/>
    <m/>
    <n v="1029"/>
    <n v="257"/>
    <n v="772"/>
    <m/>
    <n v="1801"/>
    <n v="2000"/>
    <n v="8"/>
    <m/>
    <m/>
    <n v="68"/>
    <m/>
    <m/>
    <m/>
    <m/>
    <n v="253559"/>
    <n v="172420"/>
    <n v="0"/>
    <n v="307700"/>
    <n v="56600"/>
    <n v="251100"/>
    <n v="0"/>
    <n v="0"/>
    <n v="89850.625589999996"/>
    <n v="-52569.808201026557"/>
    <n v="21557.329055999999"/>
    <n v="160472.20319"/>
    <n v="-11598.371226000001"/>
    <n v="50841.521303433001"/>
    <n v="0"/>
    <n v="0"/>
    <n v="29925.270209162998"/>
    <n v="30336.176841600001"/>
    <n v="2264.0950387680004"/>
    <n v="0"/>
    <n v="283800"/>
    <n v="37300"/>
    <n v="321100"/>
    <n v="4.3548911277218071E-2"/>
    <n v="0.99970000000000003"/>
    <n v="1.0067999999999999"/>
    <n v="0.99729999999999996"/>
    <n v="1.0093000000000001"/>
    <n v="0.98909999999999998"/>
    <n v="0.94971499999999998"/>
    <n v="0.95196898294134369"/>
    <n v="283800"/>
    <n v="0"/>
    <n v="283800"/>
    <n v="35400"/>
    <n v="319200"/>
    <n v="0.13022700119474312"/>
    <n v="-0.37455830388692579"/>
    <n v="3.7374065648358788E-2"/>
  </r>
  <r>
    <n v="2025"/>
    <s v="18132214420    "/>
    <n v="-1.7719568419318752"/>
    <n v="0.17"/>
    <n v="7604"/>
    <s v="6"/>
    <s v="RES"/>
    <x v="0"/>
    <s v="11"/>
    <s v="259"/>
    <s v="RN"/>
    <s v="A"/>
    <s v="AV"/>
    <x v="8"/>
    <n v="81"/>
    <n v="52"/>
    <n v="1943"/>
    <n v="1972"/>
    <n v="1284"/>
    <m/>
    <n v="1156"/>
    <n v="0"/>
    <n v="1156"/>
    <m/>
    <n v="2440"/>
    <n v="2500"/>
    <n v="9"/>
    <m/>
    <m/>
    <m/>
    <m/>
    <m/>
    <m/>
    <m/>
    <n v="313501"/>
    <n v="213181"/>
    <n v="7282"/>
    <n v="339100"/>
    <n v="52700"/>
    <n v="286400"/>
    <n v="0"/>
    <n v="0"/>
    <n v="89850.625589999996"/>
    <n v="-56090.612940989391"/>
    <n v="21557.329055999999"/>
    <n v="160472.20319"/>
    <n v="-11598.371226000001"/>
    <n v="63440.732122068002"/>
    <n v="0"/>
    <n v="0"/>
    <n v="33618.670905531995"/>
    <n v="34128.198946800003"/>
    <n v="0"/>
    <n v="7300"/>
    <n v="301600"/>
    <n v="33800"/>
    <n v="342700"/>
    <n v="1.0616337363609554E-2"/>
    <n v="0.99970000000000003"/>
    <n v="1.0067999999999999"/>
    <n v="0.99729999999999996"/>
    <n v="0.98919999999999997"/>
    <n v="0.98909999999999998"/>
    <n v="0.94971499999999998"/>
    <n v="0.93301071824589021"/>
    <n v="301600"/>
    <n v="6900"/>
    <n v="308500"/>
    <n v="32100"/>
    <n v="340600"/>
    <n v="7.7164804469273748E-2"/>
    <n v="-0.39089184060721061"/>
    <n v="4.4234739015039815E-3"/>
  </r>
  <r>
    <n v="2025"/>
    <s v="18132214418    "/>
    <n v="-1.7147984280919266"/>
    <n v="0.18"/>
    <n v="7636"/>
    <s v="6"/>
    <s v="RES"/>
    <x v="0"/>
    <s v="11"/>
    <s v="259"/>
    <s v="TD"/>
    <s v="A"/>
    <s v="AV"/>
    <x v="8"/>
    <n v="81"/>
    <n v="52"/>
    <n v="1943"/>
    <n v="1972"/>
    <n v="1280"/>
    <m/>
    <n v="1088"/>
    <n v="0"/>
    <n v="1088"/>
    <m/>
    <n v="2368"/>
    <n v="2500"/>
    <n v="8"/>
    <m/>
    <m/>
    <m/>
    <m/>
    <m/>
    <m/>
    <m/>
    <n v="305125"/>
    <n v="207485"/>
    <n v="0"/>
    <n v="328300"/>
    <n v="54700"/>
    <n v="273600"/>
    <n v="0"/>
    <n v="0"/>
    <n v="89850.625589999996"/>
    <n v="-54281.285314520763"/>
    <n v="21557.329055999999"/>
    <n v="160472.20319"/>
    <n v="-11598.371226000001"/>
    <n v="63243.09744256"/>
    <n v="0"/>
    <n v="0"/>
    <n v="31641.102028735997"/>
    <n v="30336.176841600001"/>
    <n v="0"/>
    <n v="0"/>
    <n v="295700"/>
    <n v="35600"/>
    <n v="331300"/>
    <n v="9.1379835516296071E-3"/>
    <n v="0.99970000000000003"/>
    <n v="1.0067999999999999"/>
    <n v="0.99729999999999996"/>
    <n v="0.98919999999999997"/>
    <n v="0.98909999999999998"/>
    <n v="0.94971499999999998"/>
    <n v="0.93301071824589021"/>
    <n v="295700"/>
    <n v="0"/>
    <n v="295700"/>
    <n v="33800"/>
    <n v="329500"/>
    <n v="8.0774853801169597E-2"/>
    <n v="-0.38208409506398539"/>
    <n v="3.6551934206518429E-3"/>
  </r>
  <r>
    <n v="2025"/>
    <s v="18132313409    "/>
    <n v="-1.3862943611198906"/>
    <n v="0.25"/>
    <m/>
    <s v="6"/>
    <s v="RES"/>
    <x v="0"/>
    <s v="11"/>
    <s v="259"/>
    <s v="CU"/>
    <s v="V"/>
    <s v="GD"/>
    <x v="8"/>
    <n v="81"/>
    <n v="52"/>
    <n v="1943"/>
    <n v="1972"/>
    <n v="1234"/>
    <n v="1278"/>
    <n v="1069"/>
    <n v="0"/>
    <n v="1069"/>
    <m/>
    <n v="3581"/>
    <n v="4000"/>
    <n v="14"/>
    <m/>
    <n v="260"/>
    <m/>
    <m/>
    <m/>
    <m/>
    <m/>
    <n v="798756"/>
    <n v="567117"/>
    <n v="18500"/>
    <n v="612300"/>
    <n v="66200"/>
    <n v="546100"/>
    <n v="0"/>
    <n v="0"/>
    <n v="89850.625589999996"/>
    <n v="-43882.615305165229"/>
    <n v="163885.03753"/>
    <n v="197752.34721000001"/>
    <n v="-11598.371226000001"/>
    <n v="60970.298628217999"/>
    <n v="57237.048416357997"/>
    <n v="0"/>
    <n v="31088.546019042999"/>
    <n v="53088.3094728"/>
    <n v="0"/>
    <n v="18500"/>
    <n v="552400"/>
    <n v="46000"/>
    <n v="616900"/>
    <n v="7.5126571941858565E-3"/>
    <n v="0.99970000000000003"/>
    <n v="1"/>
    <n v="0.99650000000000005"/>
    <n v="0.94579999999999997"/>
    <n v="0.98909999999999998"/>
    <n v="0.94971499999999998"/>
    <n v="0.88534005243625302"/>
    <n v="552400"/>
    <n v="17600"/>
    <n v="570000"/>
    <n v="43700"/>
    <n v="613700"/>
    <n v="4.3764878227430873E-2"/>
    <n v="-0.33987915407854985"/>
    <n v="2.2864608851869998E-3"/>
  </r>
  <r>
    <n v="2025"/>
    <s v="18132214427    "/>
    <n v="-1.7147984280919266"/>
    <n v="0.18"/>
    <n v="7861"/>
    <s v="6"/>
    <s v="RES"/>
    <x v="0"/>
    <s v="11"/>
    <s v="400"/>
    <s v="TD"/>
    <s v="F+"/>
    <s v="AV"/>
    <x v="8"/>
    <n v="81"/>
    <n v="52"/>
    <n v="1943"/>
    <n v="1972"/>
    <n v="1050"/>
    <m/>
    <n v="1050"/>
    <n v="0"/>
    <n v="1050"/>
    <m/>
    <n v="2100"/>
    <n v="2500"/>
    <n v="5"/>
    <m/>
    <m/>
    <m/>
    <m/>
    <m/>
    <m/>
    <m/>
    <n v="237891"/>
    <n v="161766"/>
    <n v="0"/>
    <n v="288500"/>
    <n v="54700"/>
    <n v="233800"/>
    <n v="0"/>
    <n v="0"/>
    <n v="89850.625589999996"/>
    <n v="-54281.285314520763"/>
    <n v="0"/>
    <n v="160472.20319"/>
    <n v="-11598.371226000001"/>
    <n v="51879.103370850004"/>
    <n v="0"/>
    <n v="0"/>
    <n v="30535.99000935"/>
    <n v="18960.110526"/>
    <n v="0"/>
    <n v="0"/>
    <n v="250200"/>
    <n v="35600"/>
    <n v="285800"/>
    <n v="-9.3587521663778157E-3"/>
    <n v="0.99970000000000003"/>
    <n v="0.99180000000000001"/>
    <n v="0.99729999999999996"/>
    <n v="0.98919999999999997"/>
    <n v="0.98909999999999998"/>
    <n v="0.94971499999999998"/>
    <n v="0.91911008180003395"/>
    <n v="250200"/>
    <n v="0"/>
    <n v="250200"/>
    <n v="33800"/>
    <n v="284000"/>
    <n v="7.0145423438836618E-2"/>
    <n v="-0.38208409506398539"/>
    <n v="-1.5597920277296361E-2"/>
  </r>
  <r>
    <n v="2025"/>
    <s v="18132332530    "/>
    <n v="-1.8325814637483102"/>
    <n v="0.16"/>
    <m/>
    <s v="6"/>
    <s v="RES"/>
    <x v="0"/>
    <s v="11"/>
    <s v="259"/>
    <s v="TD"/>
    <s v="G"/>
    <s v="GD"/>
    <x v="8"/>
    <n v="82"/>
    <n v="52"/>
    <n v="1942"/>
    <n v="1972"/>
    <n v="1044"/>
    <m/>
    <n v="1044"/>
    <n v="1044"/>
    <m/>
    <m/>
    <n v="1044"/>
    <n v="1500"/>
    <n v="10"/>
    <m/>
    <m/>
    <n v="500"/>
    <m/>
    <m/>
    <m/>
    <m/>
    <n v="312537"/>
    <n v="218776"/>
    <n v="0"/>
    <n v="336100"/>
    <n v="50600"/>
    <n v="285500"/>
    <n v="0"/>
    <n v="0"/>
    <n v="89850.625589999996"/>
    <n v="-58009.662049032086"/>
    <n v="44121.038090000002"/>
    <n v="197752.34721000001"/>
    <n v="-11598.371226000001"/>
    <n v="51582.651351588"/>
    <n v="0"/>
    <n v="0"/>
    <n v="30361.498637867997"/>
    <n v="37920.221052000001"/>
    <n v="16647.757638000003"/>
    <n v="0"/>
    <n v="366800"/>
    <n v="31800"/>
    <n v="398600"/>
    <n v="0.1859565605474561"/>
    <n v="0.99970000000000003"/>
    <n v="0.98050000000000004"/>
    <n v="0.99650000000000005"/>
    <n v="1.0157"/>
    <n v="0.98909999999999998"/>
    <n v="0.94971499999999998"/>
    <n v="0.93223166988786421"/>
    <n v="366800"/>
    <n v="0"/>
    <n v="366800"/>
    <n v="30200"/>
    <n v="397000"/>
    <n v="0.28476357267950964"/>
    <n v="-0.40316205533596838"/>
    <n v="0.18119607259744125"/>
  </r>
  <r>
    <n v="2025"/>
    <s v="18132342424    "/>
    <n v="-2.4079456086518722"/>
    <n v="0.09"/>
    <n v="3794"/>
    <s v="6"/>
    <s v="RES"/>
    <x v="0"/>
    <s v="11"/>
    <s v="259"/>
    <s v="TD"/>
    <s v="A"/>
    <s v="FR"/>
    <x v="8"/>
    <n v="82"/>
    <n v="52"/>
    <n v="1942"/>
    <n v="1972"/>
    <n v="960"/>
    <m/>
    <n v="624"/>
    <n v="624"/>
    <m/>
    <m/>
    <n v="960"/>
    <n v="1000"/>
    <n v="5"/>
    <n v="234"/>
    <m/>
    <m/>
    <m/>
    <m/>
    <m/>
    <m/>
    <n v="205392"/>
    <n v="135559"/>
    <n v="0"/>
    <n v="211700"/>
    <n v="30600"/>
    <n v="181100"/>
    <n v="0"/>
    <n v="0"/>
    <n v="89850.625589999996"/>
    <n v="-76222.592967103381"/>
    <n v="21557.329055999999"/>
    <n v="133714.53821"/>
    <n v="-11598.371226000001"/>
    <n v="47432.323081920003"/>
    <n v="0"/>
    <n v="0"/>
    <n v="18147.102634127998"/>
    <n v="18960.110526"/>
    <n v="0"/>
    <n v="0"/>
    <n v="228200"/>
    <n v="13600"/>
    <n v="241800"/>
    <n v="0.14218233349078885"/>
    <n v="0.99970000000000003"/>
    <n v="1.0067999999999999"/>
    <n v="0.99329999999999996"/>
    <n v="1.0148999999999999"/>
    <n v="0.98909999999999998"/>
    <n v="0.94971499999999998"/>
    <n v="0.95341151768438748"/>
    <n v="228200"/>
    <n v="0"/>
    <n v="228200"/>
    <n v="12900"/>
    <n v="241100"/>
    <n v="0.26007730535615681"/>
    <n v="-0.57843137254901966"/>
    <n v="0.13887576759565423"/>
  </r>
  <r>
    <n v="2025"/>
    <s v="18132332491    "/>
    <n v="-1.5141277326297755"/>
    <n v="0.22"/>
    <m/>
    <s v="6"/>
    <s v="RES"/>
    <x v="0"/>
    <s v="11"/>
    <s v="259"/>
    <s v="CO"/>
    <s v="A+"/>
    <s v="GD"/>
    <x v="8"/>
    <n v="82"/>
    <n v="52"/>
    <n v="1942"/>
    <n v="1972"/>
    <n v="1014"/>
    <n v="773"/>
    <n v="1014"/>
    <n v="808"/>
    <n v="206"/>
    <m/>
    <n v="1993"/>
    <n v="2000"/>
    <n v="8"/>
    <n v="528"/>
    <m/>
    <m/>
    <m/>
    <m/>
    <m/>
    <m/>
    <n v="380742"/>
    <n v="266519"/>
    <n v="0"/>
    <n v="365500"/>
    <n v="61700"/>
    <n v="303800"/>
    <n v="0"/>
    <n v="0"/>
    <n v="89850.625589999996"/>
    <n v="-47929.131559187132"/>
    <n v="29814.093161000001"/>
    <n v="197752.34721000001"/>
    <n v="-11598.371226000001"/>
    <n v="50100.391255278002"/>
    <n v="34619.904871553001"/>
    <n v="0"/>
    <n v="29489.041780457999"/>
    <n v="30336.176841600001"/>
    <n v="0"/>
    <n v="0"/>
    <n v="360500"/>
    <n v="41900"/>
    <n v="402400"/>
    <n v="0.10095759233926128"/>
    <n v="0.99970000000000003"/>
    <n v="1.0088999999999999"/>
    <n v="0.99650000000000005"/>
    <n v="1.0093000000000001"/>
    <n v="0.98909999999999998"/>
    <n v="0.94971499999999998"/>
    <n v="0.95318938569119571"/>
    <n v="360500"/>
    <n v="0"/>
    <n v="360500"/>
    <n v="39800"/>
    <n v="400300"/>
    <n v="0.18663594470046083"/>
    <n v="-0.35494327390599678"/>
    <n v="9.5212038303693569E-2"/>
  </r>
  <r>
    <n v="2025"/>
    <s v="18132332592    "/>
    <n v="-1.1711829815029451"/>
    <n v="0.31"/>
    <m/>
    <s v="6"/>
    <s v="RES"/>
    <x v="0"/>
    <s v="11"/>
    <s v="259"/>
    <s v="TD"/>
    <s v="A"/>
    <s v="GD"/>
    <x v="8"/>
    <n v="82"/>
    <n v="52"/>
    <n v="1942"/>
    <n v="1972"/>
    <n v="1216"/>
    <m/>
    <n v="912"/>
    <n v="912"/>
    <m/>
    <m/>
    <n v="1216"/>
    <n v="1500"/>
    <n v="5"/>
    <m/>
    <m/>
    <m/>
    <m/>
    <m/>
    <m/>
    <m/>
    <n v="239865"/>
    <n v="167906"/>
    <n v="12364"/>
    <n v="344400"/>
    <n v="73700"/>
    <n v="270700"/>
    <n v="0"/>
    <n v="0"/>
    <n v="89850.625589999996"/>
    <n v="-37073.347241874442"/>
    <n v="21557.329055999999"/>
    <n v="197752.34721000001"/>
    <n v="-11598.371226000001"/>
    <n v="60080.942570432002"/>
    <n v="0"/>
    <n v="0"/>
    <n v="26522.688465264"/>
    <n v="18960.110526"/>
    <n v="0"/>
    <n v="12400"/>
    <n v="313300"/>
    <n v="52800"/>
    <n v="378500"/>
    <n v="9.901277584204414E-2"/>
    <n v="0.99970000000000003"/>
    <n v="1.0067999999999999"/>
    <n v="0.99650000000000005"/>
    <n v="1.0157"/>
    <n v="0.98909999999999998"/>
    <n v="0.94971499999999998"/>
    <n v="0.95723696608169473"/>
    <n v="313300"/>
    <n v="11700"/>
    <n v="325000"/>
    <n v="50100"/>
    <n v="375100"/>
    <n v="0.20059106021425932"/>
    <n v="-0.32021709633649931"/>
    <n v="8.9140534262485485E-2"/>
  </r>
  <r>
    <n v="2025"/>
    <s v="18132334445    "/>
    <n v="-1.5141277326297755"/>
    <n v="0.22"/>
    <n v="9434"/>
    <s v="6"/>
    <s v="RES"/>
    <x v="0"/>
    <s v="11"/>
    <s v="259"/>
    <s v="RN"/>
    <s v="G"/>
    <s v="GD"/>
    <x v="8"/>
    <n v="82"/>
    <n v="52"/>
    <n v="1942"/>
    <n v="1972"/>
    <n v="1560"/>
    <m/>
    <m/>
    <n v="0"/>
    <m/>
    <m/>
    <n v="1560"/>
    <n v="2000"/>
    <n v="8"/>
    <m/>
    <m/>
    <m/>
    <m/>
    <m/>
    <m/>
    <m/>
    <n v="341014"/>
    <n v="238710"/>
    <n v="10334"/>
    <n v="358000"/>
    <n v="61700"/>
    <n v="296300"/>
    <n v="0"/>
    <n v="0"/>
    <n v="89850.625589999996"/>
    <n v="-47929.131559187132"/>
    <n v="44121.038090000002"/>
    <n v="197752.34721000001"/>
    <n v="-11598.371226000001"/>
    <n v="77077.525008120007"/>
    <n v="0"/>
    <n v="0"/>
    <n v="0"/>
    <n v="30336.176841600001"/>
    <n v="0"/>
    <n v="10300"/>
    <n v="337700"/>
    <n v="41900"/>
    <n v="389900"/>
    <n v="8.9106145251396651E-2"/>
    <n v="0.99970000000000003"/>
    <n v="0.98050000000000004"/>
    <n v="0.99650000000000005"/>
    <n v="1.0093000000000001"/>
    <n v="0.98909999999999998"/>
    <n v="0.94971499999999998"/>
    <n v="0.92635760994173622"/>
    <n v="337700"/>
    <n v="9800"/>
    <n v="347500"/>
    <n v="39800"/>
    <n v="387300"/>
    <n v="0.17279784002699966"/>
    <n v="-0.35494327390599678"/>
    <n v="8.184357541899441E-2"/>
  </r>
  <r>
    <n v="2025"/>
    <s v="18132342493    "/>
    <n v="-1.3862943611198906"/>
    <n v="0.25"/>
    <n v="10838"/>
    <s v="6"/>
    <s v="RES"/>
    <x v="0"/>
    <s v="11"/>
    <s v="259"/>
    <s v="CP"/>
    <s v="V"/>
    <s v="VG"/>
    <x v="8"/>
    <n v="82"/>
    <n v="52"/>
    <n v="1942"/>
    <n v="1972"/>
    <n v="2099"/>
    <n v="784"/>
    <m/>
    <n v="0"/>
    <m/>
    <m/>
    <n v="2883"/>
    <n v="3000"/>
    <n v="13"/>
    <n v="504"/>
    <m/>
    <m/>
    <m/>
    <m/>
    <m/>
    <m/>
    <n v="782039"/>
    <n v="563068"/>
    <n v="0"/>
    <n v="626100"/>
    <n v="66200"/>
    <n v="559900"/>
    <n v="0"/>
    <n v="0"/>
    <n v="89850.625589999996"/>
    <n v="-43882.615305165229"/>
    <n v="163885.03753"/>
    <n v="284810.60806"/>
    <n v="-11598.371226000001"/>
    <n v="103708.798071823"/>
    <n v="35112.555523023999"/>
    <n v="0"/>
    <n v="0"/>
    <n v="49296.287367600002"/>
    <n v="0"/>
    <n v="0"/>
    <n v="625200"/>
    <n v="46000"/>
    <n v="671200"/>
    <n v="7.2033221530107008E-2"/>
    <n v="0.99970000000000003"/>
    <n v="1"/>
    <n v="1.0158"/>
    <n v="0.96179999999999999"/>
    <n v="0.98909999999999998"/>
    <n v="0.94971499999999998"/>
    <n v="0.91775441091784082"/>
    <n v="625200"/>
    <n v="0"/>
    <n v="625200"/>
    <n v="43700"/>
    <n v="668900"/>
    <n v="0.11662796928022862"/>
    <n v="-0.33987915407854985"/>
    <n v="6.8359686950966295E-2"/>
  </r>
  <r>
    <n v="2025"/>
    <s v="18132334410    "/>
    <n v="-1.8971199848858813"/>
    <n v="0.15"/>
    <m/>
    <s v="6"/>
    <s v="RES"/>
    <x v="0"/>
    <s v="11"/>
    <s v="259"/>
    <s v="TD"/>
    <s v="A"/>
    <s v="AV"/>
    <x v="8"/>
    <n v="82"/>
    <n v="52"/>
    <n v="1942"/>
    <n v="1972"/>
    <n v="936"/>
    <m/>
    <n v="936"/>
    <n v="468"/>
    <n v="468"/>
    <m/>
    <n v="1404"/>
    <n v="1500"/>
    <n v="7"/>
    <m/>
    <m/>
    <m/>
    <m/>
    <m/>
    <m/>
    <m/>
    <n v="216976"/>
    <n v="147544"/>
    <n v="9040"/>
    <n v="289600"/>
    <n v="48400"/>
    <n v="241200"/>
    <n v="0"/>
    <n v="0"/>
    <n v="89850.625589999996"/>
    <n v="-60052.604136134301"/>
    <n v="21557.329055999999"/>
    <n v="160472.20319"/>
    <n v="-11598.371226000001"/>
    <n v="46246.515004872002"/>
    <n v="0"/>
    <n v="0"/>
    <n v="27220.653951191998"/>
    <n v="26544.1547364"/>
    <n v="0"/>
    <n v="9000"/>
    <n v="270400"/>
    <n v="29800"/>
    <n v="309200"/>
    <n v="6.7679558011049717E-2"/>
    <n v="0.99970000000000003"/>
    <n v="1.0067999999999999"/>
    <n v="0.99729999999999996"/>
    <n v="1.0157"/>
    <n v="0.98909999999999998"/>
    <n v="0.94971499999999998"/>
    <n v="0.95800544533193577"/>
    <n v="270400"/>
    <n v="8600"/>
    <n v="279000"/>
    <n v="28300"/>
    <n v="307300"/>
    <n v="0.15671641791044777"/>
    <n v="-0.41528925619834711"/>
    <n v="6.1118784530386737E-2"/>
  </r>
  <r>
    <n v="2025"/>
    <s v="18132241037    "/>
    <n v="-1.2729656758128873"/>
    <n v="0.28000000000000003"/>
    <n v="12256"/>
    <s v="6"/>
    <s v="RES"/>
    <x v="0"/>
    <s v="11"/>
    <s v="259"/>
    <s v="CO"/>
    <s v="A+"/>
    <s v="GD"/>
    <x v="8"/>
    <n v="82"/>
    <n v="52"/>
    <n v="1942"/>
    <n v="1972"/>
    <n v="1038"/>
    <n v="574"/>
    <n v="1034"/>
    <n v="0"/>
    <n v="1034"/>
    <m/>
    <n v="2646"/>
    <n v="3000"/>
    <n v="10"/>
    <m/>
    <m/>
    <n v="240"/>
    <m/>
    <m/>
    <m/>
    <m/>
    <n v="401544"/>
    <n v="281081"/>
    <n v="9679"/>
    <n v="404900"/>
    <n v="70100"/>
    <n v="334800"/>
    <n v="0"/>
    <n v="0"/>
    <n v="89850.625589999996"/>
    <n v="-40295.239319339329"/>
    <n v="29814.093161000001"/>
    <n v="197752.34721000001"/>
    <n v="-11598.371226000001"/>
    <n v="51286.199332326003"/>
    <n v="25707.406722214"/>
    <n v="0"/>
    <n v="30070.679685397998"/>
    <n v="37920.221052000001"/>
    <n v="7990.9236662400008"/>
    <n v="9700"/>
    <n v="368900"/>
    <n v="49600"/>
    <n v="428200"/>
    <n v="5.7545072857495681E-2"/>
    <n v="0.99970000000000003"/>
    <n v="1.0088999999999999"/>
    <n v="0.99650000000000005"/>
    <n v="0.96179999999999999"/>
    <n v="0.98909999999999998"/>
    <n v="0.94971499999999998"/>
    <n v="0.90833008140076499"/>
    <n v="368900"/>
    <n v="9200"/>
    <n v="378100"/>
    <n v="47100"/>
    <n v="425200"/>
    <n v="0.12933094384707289"/>
    <n v="-0.32810271041369471"/>
    <n v="5.0135836008891085E-2"/>
  </r>
  <r>
    <n v="2025"/>
    <s v="18132214003    "/>
    <n v="-1.4696759700589417"/>
    <n v="0.23"/>
    <n v="9868"/>
    <s v="6"/>
    <s v="RES"/>
    <x v="0"/>
    <s v="11"/>
    <s v="259"/>
    <s v="TD"/>
    <s v="F+"/>
    <s v="AV"/>
    <x v="8"/>
    <n v="82"/>
    <n v="52"/>
    <n v="1942"/>
    <n v="1972"/>
    <n v="1032"/>
    <m/>
    <m/>
    <n v="0"/>
    <m/>
    <m/>
    <n v="1032"/>
    <n v="1500"/>
    <n v="5"/>
    <n v="200"/>
    <m/>
    <m/>
    <m/>
    <m/>
    <m/>
    <m/>
    <n v="162811"/>
    <n v="110711"/>
    <n v="0"/>
    <n v="254400"/>
    <n v="63300"/>
    <n v="191100"/>
    <n v="0"/>
    <n v="0"/>
    <n v="89850.625589999996"/>
    <n v="-46522.028095997222"/>
    <n v="0"/>
    <n v="160472.20319"/>
    <n v="-11598.371226000001"/>
    <n v="50989.747313063999"/>
    <n v="0"/>
    <n v="0"/>
    <n v="0"/>
    <n v="18960.110526"/>
    <n v="0"/>
    <n v="0"/>
    <n v="218800"/>
    <n v="43300"/>
    <n v="262100"/>
    <n v="3.0267295597484277E-2"/>
    <n v="0.99970000000000003"/>
    <n v="0.99180000000000001"/>
    <n v="0.99729999999999996"/>
    <n v="1.0157"/>
    <n v="0.98909999999999998"/>
    <n v="0.94971499999999998"/>
    <n v="0.94373242022269987"/>
    <n v="218800"/>
    <n v="0"/>
    <n v="218800"/>
    <n v="41100"/>
    <n v="259900"/>
    <n v="0.14495028780743066"/>
    <n v="-0.35071090047393366"/>
    <n v="2.1619496855345911E-2"/>
  </r>
  <r>
    <n v="2025"/>
    <s v="18132343008    "/>
    <n v="-1.4271163556401458"/>
    <n v="0.24"/>
    <m/>
    <s v="6"/>
    <s v="RES"/>
    <x v="0"/>
    <s v="11"/>
    <s v="259"/>
    <s v="TD"/>
    <s v="G"/>
    <s v="VG"/>
    <x v="8"/>
    <n v="83"/>
    <n v="52"/>
    <n v="1941"/>
    <n v="1972"/>
    <n v="2196"/>
    <m/>
    <n v="620"/>
    <n v="0"/>
    <n v="620"/>
    <m/>
    <n v="2816"/>
    <n v="3000"/>
    <n v="12"/>
    <m/>
    <m/>
    <m/>
    <m/>
    <m/>
    <m/>
    <m/>
    <n v="574854"/>
    <n v="408146"/>
    <n v="13177"/>
    <n v="475600"/>
    <n v="64800"/>
    <n v="410800"/>
    <n v="0"/>
    <n v="0"/>
    <n v="89850.625589999996"/>
    <n v="-45174.819855485119"/>
    <n v="44121.038090000002"/>
    <n v="284810.60806"/>
    <n v="-11598.371226000001"/>
    <n v="108501.439049892"/>
    <n v="0"/>
    <n v="0"/>
    <n v="18030.775053139998"/>
    <n v="45504.265262400004"/>
    <n v="0"/>
    <n v="13200"/>
    <n v="489400"/>
    <n v="44700"/>
    <n v="547300"/>
    <n v="0.1507569386038688"/>
    <n v="0.99970000000000003"/>
    <n v="0.98050000000000004"/>
    <n v="1.0158"/>
    <n v="0.96179999999999999"/>
    <n v="0.98909999999999998"/>
    <n v="0.94971499999999998"/>
    <n v="0.89985819990494287"/>
    <n v="489400"/>
    <n v="12500"/>
    <n v="501900"/>
    <n v="42400"/>
    <n v="544300"/>
    <n v="0.2217624148003895"/>
    <n v="-0.34567901234567899"/>
    <n v="0.14444911690496215"/>
  </r>
  <r>
    <n v="2025"/>
    <s v="18132243464    "/>
    <n v="-1.6094379124341003"/>
    <n v="0.2"/>
    <n v="8680"/>
    <s v="6"/>
    <s v="RES"/>
    <x v="0"/>
    <s v="11"/>
    <s v="259"/>
    <s v="TD"/>
    <s v="A+"/>
    <s v="GD"/>
    <x v="8"/>
    <n v="83"/>
    <n v="52"/>
    <n v="1941"/>
    <n v="1972"/>
    <n v="910"/>
    <m/>
    <n v="624"/>
    <n v="624"/>
    <m/>
    <m/>
    <n v="910"/>
    <n v="1000"/>
    <n v="6"/>
    <n v="291"/>
    <m/>
    <m/>
    <m/>
    <m/>
    <m/>
    <m/>
    <n v="227696"/>
    <n v="159387"/>
    <n v="2228"/>
    <n v="304900"/>
    <n v="58400"/>
    <n v="246500"/>
    <n v="0"/>
    <n v="0"/>
    <n v="89850.625589999996"/>
    <n v="-50946.13867709865"/>
    <n v="29814.093161000001"/>
    <n v="197752.34721000001"/>
    <n v="-11598.371226000001"/>
    <n v="44961.88958807"/>
    <n v="0"/>
    <n v="0"/>
    <n v="18147.102634127998"/>
    <n v="22752.132631200002"/>
    <n v="0"/>
    <n v="2200"/>
    <n v="301800"/>
    <n v="38900"/>
    <n v="342900"/>
    <n v="0.12463102656608724"/>
    <n v="0.99970000000000003"/>
    <n v="1.0088999999999999"/>
    <n v="0.99650000000000005"/>
    <n v="1.0148999999999999"/>
    <n v="0.98909999999999998"/>
    <n v="0.94971499999999998"/>
    <n v="0.9584780615654358"/>
    <n v="301800"/>
    <n v="2100"/>
    <n v="303900"/>
    <n v="36900"/>
    <n v="340800"/>
    <n v="0.23286004056795132"/>
    <n v="-0.36815068493150682"/>
    <n v="0.11774352246638242"/>
  </r>
  <r>
    <n v="2025"/>
    <s v="18132314439    "/>
    <n v="-2.6592600369327779"/>
    <n v="7.0000000000000007E-2"/>
    <m/>
    <s v="6"/>
    <s v="RES"/>
    <x v="0"/>
    <s v="11"/>
    <s v="259"/>
    <s v="TD"/>
    <s v="F+"/>
    <s v="GD"/>
    <x v="8"/>
    <n v="83"/>
    <n v="52"/>
    <n v="1941"/>
    <n v="1972"/>
    <n v="785"/>
    <m/>
    <m/>
    <n v="0"/>
    <m/>
    <m/>
    <n v="785"/>
    <n v="1000"/>
    <n v="5"/>
    <m/>
    <m/>
    <m/>
    <m/>
    <m/>
    <m/>
    <m/>
    <n v="119515"/>
    <n v="83661"/>
    <n v="0"/>
    <n v="223500"/>
    <n v="21800"/>
    <n v="201700"/>
    <n v="0"/>
    <n v="0"/>
    <n v="89850.625589999996"/>
    <n v="-84177.854624504558"/>
    <n v="0"/>
    <n v="197752.34721000001"/>
    <n v="-11598.371226000001"/>
    <n v="38785.805853445003"/>
    <n v="0"/>
    <n v="0"/>
    <n v="0"/>
    <n v="18960.110526"/>
    <n v="0"/>
    <n v="0"/>
    <n v="243900"/>
    <n v="5700"/>
    <n v="249600"/>
    <n v="0.11677852348993288"/>
    <n v="0.99970000000000003"/>
    <n v="0.99180000000000001"/>
    <n v="0.99650000000000005"/>
    <n v="1.0148999999999999"/>
    <n v="0.98909999999999998"/>
    <n v="0.94971499999999998"/>
    <n v="0.94223267069144567"/>
    <n v="243900"/>
    <n v="0"/>
    <n v="243900"/>
    <n v="5400"/>
    <n v="249300"/>
    <n v="0.20922161626177491"/>
    <n v="-0.75229357798165142"/>
    <n v="0.11543624161073826"/>
  </r>
  <r>
    <n v="2025"/>
    <s v="18132214416    "/>
    <n v="-1.7147984280919266"/>
    <n v="0.18"/>
    <n v="7828"/>
    <s v="6"/>
    <s v="RES"/>
    <x v="0"/>
    <s v="11"/>
    <s v="259"/>
    <s v="CO"/>
    <s v="A"/>
    <s v="GD"/>
    <x v="8"/>
    <n v="83"/>
    <n v="52"/>
    <n v="1941"/>
    <n v="1972"/>
    <n v="549"/>
    <n v="396"/>
    <m/>
    <n v="0"/>
    <m/>
    <m/>
    <n v="945"/>
    <n v="1000"/>
    <n v="5"/>
    <m/>
    <m/>
    <m/>
    <m/>
    <m/>
    <m/>
    <m/>
    <n v="145775"/>
    <n v="102043"/>
    <n v="9318"/>
    <n v="283600"/>
    <n v="54700"/>
    <n v="228900"/>
    <n v="0"/>
    <n v="0"/>
    <n v="89850.625589999996"/>
    <n v="-54281.285314520763"/>
    <n v="21557.329055999999"/>
    <n v="197752.34721000001"/>
    <n v="-11598.371226000001"/>
    <n v="27125.359762472999"/>
    <n v="17735.423452955998"/>
    <n v="0"/>
    <n v="0"/>
    <n v="18960.110526"/>
    <n v="0"/>
    <n v="9300"/>
    <n v="271500"/>
    <n v="35600"/>
    <n v="316400"/>
    <n v="0.1156558533145275"/>
    <n v="0.99970000000000003"/>
    <n v="1.0067999999999999"/>
    <n v="0.99650000000000005"/>
    <n v="1.0148999999999999"/>
    <n v="0.98909999999999998"/>
    <n v="0.94971499999999998"/>
    <n v="0.95648301356336674"/>
    <n v="271500"/>
    <n v="8800"/>
    <n v="280300"/>
    <n v="33800"/>
    <n v="314100"/>
    <n v="0.22455220620358235"/>
    <n v="-0.38208409506398539"/>
    <n v="0.10754583921015515"/>
  </r>
  <r>
    <n v="2025"/>
    <s v="18132214038    "/>
    <n v="-1.8971199848858813"/>
    <n v="0.15"/>
    <n v="6484"/>
    <s v="6"/>
    <s v="RES"/>
    <x v="0"/>
    <s v="11"/>
    <s v="259"/>
    <s v="TD"/>
    <s v="A"/>
    <s v="GD"/>
    <x v="8"/>
    <n v="83"/>
    <n v="52"/>
    <n v="1941"/>
    <n v="1972"/>
    <n v="918"/>
    <m/>
    <n v="943"/>
    <n v="343"/>
    <n v="600"/>
    <m/>
    <n v="1518"/>
    <n v="2000"/>
    <n v="5"/>
    <n v="200"/>
    <m/>
    <m/>
    <m/>
    <m/>
    <m/>
    <m/>
    <n v="230921"/>
    <n v="161645"/>
    <n v="0"/>
    <n v="299100"/>
    <n v="48400"/>
    <n v="250700"/>
    <n v="0"/>
    <n v="0"/>
    <n v="89850.625589999996"/>
    <n v="-60052.604136134301"/>
    <n v="21557.329055999999"/>
    <n v="197752.34721000001"/>
    <n v="-11598.371226000001"/>
    <n v="45357.158947085998"/>
    <n v="0"/>
    <n v="0"/>
    <n v="27424.227217920998"/>
    <n v="18960.110526"/>
    <n v="0"/>
    <n v="0"/>
    <n v="299500"/>
    <n v="29800"/>
    <n v="329300"/>
    <n v="0.10096957539284521"/>
    <n v="0.99970000000000003"/>
    <n v="1.0067999999999999"/>
    <n v="0.99650000000000005"/>
    <n v="1.0093000000000001"/>
    <n v="0.98909999999999998"/>
    <n v="0.94971499999999998"/>
    <n v="0.95120534593507355"/>
    <n v="299500"/>
    <n v="0"/>
    <n v="299500"/>
    <n v="28300"/>
    <n v="327800"/>
    <n v="0.19465496609493418"/>
    <n v="-0.41528925619834711"/>
    <n v="9.5954530257438983E-2"/>
  </r>
  <r>
    <n v="2025"/>
    <s v="18132214006    "/>
    <n v="-1.7719568419318752"/>
    <n v="0.17"/>
    <n v="7276"/>
    <s v="6"/>
    <s v="RES"/>
    <x v="0"/>
    <s v="11"/>
    <s v="259"/>
    <s v="TD"/>
    <s v="A"/>
    <s v="AV"/>
    <x v="8"/>
    <n v="83"/>
    <n v="52"/>
    <n v="1941"/>
    <n v="1972"/>
    <n v="936"/>
    <m/>
    <n v="936"/>
    <n v="0"/>
    <n v="936"/>
    <m/>
    <n v="1872"/>
    <n v="2000"/>
    <n v="5"/>
    <m/>
    <m/>
    <m/>
    <m/>
    <m/>
    <m/>
    <m/>
    <n v="236670"/>
    <n v="160936"/>
    <n v="4603"/>
    <n v="293300"/>
    <n v="52700"/>
    <n v="240600"/>
    <n v="0"/>
    <n v="0"/>
    <n v="89850.625589999996"/>
    <n v="-56090.612940989391"/>
    <n v="21557.329055999999"/>
    <n v="160472.20319"/>
    <n v="-11598.371226000001"/>
    <n v="46246.515004872002"/>
    <n v="0"/>
    <n v="0"/>
    <n v="27220.653951191998"/>
    <n v="18960.110526"/>
    <n v="0"/>
    <n v="4600"/>
    <n v="262900"/>
    <n v="33800"/>
    <n v="301300"/>
    <n v="2.7275826798499828E-2"/>
    <n v="0.99970000000000003"/>
    <n v="1.0067999999999999"/>
    <n v="0.99729999999999996"/>
    <n v="1.0093000000000001"/>
    <n v="0.98909999999999998"/>
    <n v="0.94971499999999998"/>
    <n v="0.95196898294134369"/>
    <n v="262900"/>
    <n v="4400"/>
    <n v="267300"/>
    <n v="32100"/>
    <n v="299400"/>
    <n v="0.11097256857855362"/>
    <n v="-0.39089184060721061"/>
    <n v="2.0797817933856121E-2"/>
  </r>
  <r>
    <n v="2025"/>
    <s v="18132342485    "/>
    <n v="-1.3470736479666092"/>
    <n v="0.26"/>
    <n v="11354"/>
    <s v="6"/>
    <s v="RES"/>
    <x v="0"/>
    <s v="11"/>
    <s v="259"/>
    <s v="BG"/>
    <s v="G+"/>
    <s v="GD"/>
    <x v="8"/>
    <n v="83"/>
    <n v="52"/>
    <n v="1941"/>
    <n v="1972"/>
    <n v="1817"/>
    <m/>
    <n v="1817"/>
    <n v="0"/>
    <n v="1817"/>
    <m/>
    <n v="3634"/>
    <n v="4000"/>
    <n v="10"/>
    <m/>
    <m/>
    <m/>
    <m/>
    <m/>
    <m/>
    <m/>
    <n v="669497"/>
    <n v="475343"/>
    <n v="19877"/>
    <n v="512500"/>
    <n v="67600"/>
    <n v="444900"/>
    <n v="0"/>
    <n v="0"/>
    <n v="89850.625589999996"/>
    <n v="-42641.098701210125"/>
    <n v="74268.409664999999"/>
    <n v="197752.34721000001"/>
    <n v="-11598.371226000001"/>
    <n v="89775.553166509009"/>
    <n v="0"/>
    <n v="0"/>
    <n v="52841.803663799001"/>
    <n v="37920.221052000001"/>
    <n v="0"/>
    <n v="19900"/>
    <n v="441000"/>
    <n v="47200"/>
    <n v="508100"/>
    <n v="-8.5853658536585373E-3"/>
    <n v="0.99970000000000003"/>
    <n v="0.98380000000000001"/>
    <n v="0.99650000000000005"/>
    <n v="0.94579999999999997"/>
    <n v="0.98909999999999998"/>
    <n v="0.94971499999999998"/>
    <n v="0.87099754358678572"/>
    <n v="441000"/>
    <n v="18900"/>
    <n v="459900"/>
    <n v="44800"/>
    <n v="504700"/>
    <n v="3.3715441672285906E-2"/>
    <n v="-0.33727810650887574"/>
    <n v="-1.5219512195121951E-2"/>
  </r>
  <r>
    <n v="2025"/>
    <s v="18132322017    "/>
    <n v="-1.5141277326297755"/>
    <n v="0.22"/>
    <n v="9496"/>
    <s v="6"/>
    <s v="RES"/>
    <x v="0"/>
    <s v="11"/>
    <s v="259"/>
    <s v="TD"/>
    <s v="F"/>
    <s v="GD"/>
    <x v="8"/>
    <n v="84"/>
    <n v="52"/>
    <n v="1940"/>
    <n v="1972"/>
    <n v="1300"/>
    <m/>
    <n v="144"/>
    <n v="144"/>
    <m/>
    <m/>
    <n v="1300"/>
    <n v="1500"/>
    <n v="5"/>
    <m/>
    <m/>
    <m/>
    <m/>
    <m/>
    <m/>
    <n v="63"/>
    <n v="132705"/>
    <n v="86258"/>
    <n v="0"/>
    <n v="151400"/>
    <n v="61700"/>
    <n v="89700"/>
    <n v="0"/>
    <n v="0"/>
    <n v="89850.625589999996"/>
    <n v="-47929.131559187132"/>
    <n v="-43578.886190266698"/>
    <n v="197752.34721000001"/>
    <n v="-11598.371226000001"/>
    <n v="64231.270840099998"/>
    <n v="0"/>
    <n v="0"/>
    <n v="4187.7929155679994"/>
    <n v="18960.110526"/>
    <n v="0"/>
    <n v="0"/>
    <n v="230000"/>
    <n v="41900"/>
    <n v="271900"/>
    <n v="0.79590488771466317"/>
    <n v="0.99970000000000003"/>
    <n v="1"/>
    <n v="0.99650000000000005"/>
    <n v="1.0157"/>
    <n v="0.98909999999999998"/>
    <n v="0.94971499999999998"/>
    <n v="0.95077171839659791"/>
    <n v="230000"/>
    <n v="0"/>
    <n v="230000"/>
    <n v="39800"/>
    <n v="269800"/>
    <n v="1.5641025641025641"/>
    <n v="-0.35494327390599678"/>
    <n v="0.78203434610303835"/>
  </r>
  <r>
    <n v="2025"/>
    <s v="18132244421    "/>
    <n v="-1.7147984280919266"/>
    <n v="0.18"/>
    <n v="7800"/>
    <s v="6"/>
    <s v="RES"/>
    <x v="0"/>
    <s v="11"/>
    <s v="259"/>
    <s v="CO"/>
    <s v="G"/>
    <s v="EX"/>
    <x v="8"/>
    <n v="84"/>
    <n v="52"/>
    <n v="1940"/>
    <n v="1972"/>
    <n v="1544"/>
    <n v="304"/>
    <n v="512"/>
    <n v="0"/>
    <n v="512"/>
    <m/>
    <n v="2360"/>
    <n v="2500"/>
    <n v="12"/>
    <m/>
    <m/>
    <m/>
    <m/>
    <m/>
    <m/>
    <m/>
    <n v="452346"/>
    <n v="330213"/>
    <n v="11220"/>
    <n v="442300"/>
    <n v="54700"/>
    <n v="387600"/>
    <n v="0"/>
    <n v="0"/>
    <n v="89850.625589999996"/>
    <n v="-54281.285314520763"/>
    <n v="44121.038090000002"/>
    <n v="354070.39217000001"/>
    <n v="-11598.371226000001"/>
    <n v="76286.986290087996"/>
    <n v="13615.072549744"/>
    <n v="0"/>
    <n v="14889.930366463999"/>
    <n v="45504.265262400004"/>
    <n v="0"/>
    <n v="11200"/>
    <n v="536900"/>
    <n v="35600"/>
    <n v="583700"/>
    <n v="0.31969251639158941"/>
    <n v="0.99970000000000003"/>
    <n v="0.98050000000000004"/>
    <n v="1.1303000000000001"/>
    <n v="0.98919999999999997"/>
    <n v="0.98909999999999998"/>
    <n v="0.94971499999999998"/>
    <n v="1.029814334165178"/>
    <n v="536900"/>
    <n v="10700"/>
    <n v="547600"/>
    <n v="33800"/>
    <n v="581400"/>
    <n v="0.41279669762641896"/>
    <n v="-0.38208409506398539"/>
    <n v="0.31449242595523402"/>
  </r>
  <r>
    <n v="2025"/>
    <s v="18132242435    "/>
    <n v="-1.7147984280919266"/>
    <n v="0.18"/>
    <n v="7697"/>
    <s v="6"/>
    <s v="RES"/>
    <x v="0"/>
    <s v="11"/>
    <s v="259"/>
    <s v="TD"/>
    <s v="A"/>
    <s v="VG"/>
    <x v="8"/>
    <n v="84"/>
    <n v="32"/>
    <n v="1940"/>
    <n v="1992"/>
    <n v="1038"/>
    <m/>
    <m/>
    <n v="0"/>
    <m/>
    <m/>
    <n v="1038"/>
    <n v="1500"/>
    <n v="8"/>
    <m/>
    <m/>
    <n v="170"/>
    <m/>
    <m/>
    <m/>
    <m/>
    <n v="182632"/>
    <n v="158890"/>
    <n v="10284"/>
    <n v="336000"/>
    <n v="54700"/>
    <n v="281300"/>
    <n v="0"/>
    <n v="0"/>
    <n v="89850.625589999996"/>
    <n v="-54281.285314520763"/>
    <n v="21557.329055999999"/>
    <n v="284810.60806"/>
    <n v="-7137.4592160000002"/>
    <n v="51286.199332326003"/>
    <n v="0"/>
    <n v="0"/>
    <n v="0"/>
    <n v="30336.176841600001"/>
    <n v="5660.2375969200002"/>
    <n v="10300"/>
    <n v="386500"/>
    <n v="35600"/>
    <n v="432400"/>
    <n v="0.28690476190476188"/>
    <n v="0.99970000000000003"/>
    <n v="1.0067999999999999"/>
    <n v="1.0158"/>
    <n v="1.0157"/>
    <n v="0.98909999999999998"/>
    <n v="0.94971499999999998"/>
    <n v="0.97577652799376369"/>
    <n v="386500"/>
    <n v="9800"/>
    <n v="396300"/>
    <n v="33800"/>
    <n v="430100"/>
    <n v="0.40881621045147531"/>
    <n v="-0.38208409506398539"/>
    <n v="0.28005952380952381"/>
  </r>
  <r>
    <n v="2025"/>
    <s v="18132334509    "/>
    <n v="-1.9661128563728327"/>
    <n v="0.14000000000000001"/>
    <m/>
    <s v="6"/>
    <s v="RES"/>
    <x v="0"/>
    <s v="11"/>
    <s v="259"/>
    <s v="TD"/>
    <s v="A"/>
    <s v="GD"/>
    <x v="8"/>
    <n v="84"/>
    <n v="52"/>
    <n v="1940"/>
    <n v="1972"/>
    <n v="960"/>
    <m/>
    <n v="960"/>
    <n v="760"/>
    <n v="200"/>
    <m/>
    <n v="1160"/>
    <n v="1500"/>
    <n v="9"/>
    <m/>
    <m/>
    <n v="256"/>
    <m/>
    <m/>
    <m/>
    <m/>
    <n v="219817"/>
    <n v="153872"/>
    <n v="0"/>
    <n v="277200"/>
    <n v="46000"/>
    <n v="231200"/>
    <n v="0"/>
    <n v="0"/>
    <n v="89850.625589999996"/>
    <n v="-62236.546971921947"/>
    <n v="21557.329055999999"/>
    <n v="197752.34721000001"/>
    <n v="-11598.371226000001"/>
    <n v="47432.323081920003"/>
    <n v="0"/>
    <n v="0"/>
    <n v="27918.61943712"/>
    <n v="34128.198946800003"/>
    <n v="8523.6519106560008"/>
    <n v="0"/>
    <n v="325700"/>
    <n v="27600"/>
    <n v="353300"/>
    <n v="0.27453102453102451"/>
    <n v="0.99970000000000003"/>
    <n v="1.0067999999999999"/>
    <n v="0.99650000000000005"/>
    <n v="1.0157"/>
    <n v="0.98909999999999998"/>
    <n v="0.94971499999999998"/>
    <n v="0.95723696608169473"/>
    <n v="325700"/>
    <n v="0"/>
    <n v="325700"/>
    <n v="26200"/>
    <n v="351900"/>
    <n v="0.4087370242214533"/>
    <n v="-0.43043478260869567"/>
    <n v="0.26948051948051949"/>
  </r>
  <r>
    <n v="2025"/>
    <s v="18132331479    "/>
    <n v="-1.6607312068216509"/>
    <n v="0.19"/>
    <m/>
    <s v="6"/>
    <s v="RES"/>
    <x v="0"/>
    <s v="11"/>
    <s v="259"/>
    <s v="TD"/>
    <s v="G"/>
    <s v="VG"/>
    <x v="8"/>
    <n v="84"/>
    <n v="52"/>
    <n v="1940"/>
    <n v="1972"/>
    <n v="1142"/>
    <m/>
    <n v="578"/>
    <n v="0"/>
    <n v="578"/>
    <m/>
    <n v="1720"/>
    <n v="2000"/>
    <n v="5"/>
    <m/>
    <m/>
    <m/>
    <m/>
    <m/>
    <m/>
    <m/>
    <n v="325843"/>
    <n v="231349"/>
    <n v="9004"/>
    <n v="371400"/>
    <n v="56600"/>
    <n v="314800"/>
    <n v="0"/>
    <n v="0"/>
    <n v="89850.625589999996"/>
    <n v="-52569.808201026557"/>
    <n v="44121.038090000002"/>
    <n v="284810.60806"/>
    <n v="-11598.371226000001"/>
    <n v="56424.700999534005"/>
    <n v="0"/>
    <n v="0"/>
    <n v="16809.335452765998"/>
    <n v="18960.110526"/>
    <n v="0"/>
    <n v="9000"/>
    <n v="409500"/>
    <n v="37300"/>
    <n v="455800"/>
    <n v="0.22724824986537426"/>
    <n v="0.99970000000000003"/>
    <n v="0.98050000000000004"/>
    <n v="1.0158"/>
    <n v="1.0093000000000001"/>
    <n v="0.98909999999999998"/>
    <n v="0.94971499999999998"/>
    <n v="0.94429910705350295"/>
    <n v="409500"/>
    <n v="8600"/>
    <n v="418100"/>
    <n v="35400"/>
    <n v="453500"/>
    <n v="0.32814485387547648"/>
    <n v="-0.37455830388692579"/>
    <n v="0.22105546580506194"/>
  </r>
  <r>
    <n v="2025"/>
    <s v="18132214012    "/>
    <n v="-1.8325814637483102"/>
    <n v="0.16"/>
    <n v="7119"/>
    <s v="6"/>
    <s v="RES"/>
    <x v="0"/>
    <s v="11"/>
    <s v="259"/>
    <s v="TD"/>
    <s v="A"/>
    <s v="VG"/>
    <x v="8"/>
    <n v="84"/>
    <n v="27"/>
    <n v="1940"/>
    <n v="1997"/>
    <n v="1254"/>
    <m/>
    <n v="838"/>
    <n v="0"/>
    <n v="838"/>
    <m/>
    <n v="2092"/>
    <n v="2500"/>
    <n v="8"/>
    <m/>
    <m/>
    <m/>
    <m/>
    <m/>
    <m/>
    <m/>
    <n v="278385"/>
    <n v="244979"/>
    <n v="8474"/>
    <n v="374900"/>
    <n v="50600"/>
    <n v="324300"/>
    <n v="0"/>
    <n v="0"/>
    <n v="89850.625589999996"/>
    <n v="-58009.662049032086"/>
    <n v="21557.329055999999"/>
    <n v="284810.60806"/>
    <n v="-6022.2312135000002"/>
    <n v="61958.472025758005"/>
    <n v="0"/>
    <n v="0"/>
    <n v="24370.628216985999"/>
    <n v="30336.176841600001"/>
    <n v="0"/>
    <n v="8500"/>
    <n v="417000"/>
    <n v="31800"/>
    <n v="457300"/>
    <n v="0.21979194451853828"/>
    <n v="0.99970000000000003"/>
    <n v="1.0067999999999999"/>
    <n v="1.0158"/>
    <n v="0.98919999999999997"/>
    <n v="0.98909999999999998"/>
    <n v="0.94971499999999998"/>
    <n v="0.95031814658996827"/>
    <n v="417000"/>
    <n v="8000"/>
    <n v="425000"/>
    <n v="30200"/>
    <n v="455200"/>
    <n v="0.3105149552883133"/>
    <n v="-0.40316205533596838"/>
    <n v="0.21419045078687651"/>
  </r>
  <r>
    <n v="2025"/>
    <s v="18132214429    "/>
    <n v="-1.7147984280919266"/>
    <n v="0.18"/>
    <n v="7730"/>
    <s v="6"/>
    <s v="RES"/>
    <x v="0"/>
    <s v="11"/>
    <s v="259"/>
    <s v="RN"/>
    <s v="F+"/>
    <s v="VG"/>
    <x v="8"/>
    <n v="84"/>
    <n v="37"/>
    <n v="1940"/>
    <n v="1987"/>
    <n v="1017"/>
    <m/>
    <n v="1017"/>
    <n v="0"/>
    <n v="1017"/>
    <m/>
    <n v="2034"/>
    <n v="2500"/>
    <n v="8"/>
    <m/>
    <m/>
    <m/>
    <m/>
    <m/>
    <m/>
    <m/>
    <n v="235103"/>
    <n v="202189"/>
    <n v="0"/>
    <n v="352400"/>
    <n v="54700"/>
    <n v="297700"/>
    <n v="0"/>
    <n v="0"/>
    <n v="89850.625589999996"/>
    <n v="-54281.285314520763"/>
    <n v="0"/>
    <n v="284810.60806"/>
    <n v="-8252.6872185000011"/>
    <n v="50248.617264909"/>
    <n v="0"/>
    <n v="0"/>
    <n v="29576.287466198999"/>
    <n v="30336.176841600001"/>
    <n v="0"/>
    <n v="0"/>
    <n v="386700"/>
    <n v="35600"/>
    <n v="422300"/>
    <n v="0.19835414301929624"/>
    <n v="0.99970000000000003"/>
    <n v="0.99180000000000001"/>
    <n v="1.0158"/>
    <n v="0.98919999999999997"/>
    <n v="0.98909999999999998"/>
    <n v="0.94971499999999998"/>
    <n v="0.93615965215328845"/>
    <n v="386700"/>
    <n v="0"/>
    <n v="386700"/>
    <n v="33800"/>
    <n v="420500"/>
    <n v="0.29895868323815922"/>
    <n v="-0.38208409506398539"/>
    <n v="0.19324631101021567"/>
  </r>
  <r>
    <n v="2025"/>
    <s v="18132322506    "/>
    <n v="-1.2378743560016174"/>
    <n v="0.28999999999999998"/>
    <n v="12576"/>
    <s v="6"/>
    <s v="RES"/>
    <x v="0"/>
    <s v="11"/>
    <s v="259"/>
    <s v="RN"/>
    <s v="G"/>
    <s v="VG"/>
    <x v="8"/>
    <n v="84"/>
    <n v="52"/>
    <n v="1940"/>
    <n v="1972"/>
    <n v="1849"/>
    <m/>
    <n v="1825"/>
    <n v="1725"/>
    <n v="100"/>
    <m/>
    <n v="1949"/>
    <n v="2000"/>
    <n v="14"/>
    <m/>
    <m/>
    <m/>
    <m/>
    <m/>
    <m/>
    <m/>
    <n v="478911"/>
    <n v="340027"/>
    <n v="10334"/>
    <n v="482600"/>
    <n v="71400"/>
    <n v="411200"/>
    <n v="0"/>
    <n v="0"/>
    <n v="89850.625589999996"/>
    <n v="-39184.437074869042"/>
    <n v="44121.038090000002"/>
    <n v="284810.60806"/>
    <n v="-11598.371226000001"/>
    <n v="91356.630602573001"/>
    <n v="0"/>
    <n v="0"/>
    <n v="53074.458825775"/>
    <n v="53088.3094728"/>
    <n v="0"/>
    <n v="10300"/>
    <n v="514900"/>
    <n v="50700"/>
    <n v="575900"/>
    <n v="0.19332780770824701"/>
    <n v="0.99970000000000003"/>
    <n v="0.98050000000000004"/>
    <n v="1.0158"/>
    <n v="1.0093000000000001"/>
    <n v="0.98909999999999998"/>
    <n v="0.94971499999999998"/>
    <n v="0.94429910705350295"/>
    <n v="514900"/>
    <n v="9800"/>
    <n v="524700"/>
    <n v="48100"/>
    <n v="572800"/>
    <n v="0.27602140077821014"/>
    <n v="-0.32633053221288516"/>
    <n v="0.1869042685453792"/>
  </r>
  <r>
    <n v="2025"/>
    <s v="18132313546    "/>
    <n v="-0.9942522733438669"/>
    <n v="0.37"/>
    <n v="16164"/>
    <s v="6"/>
    <s v="RES"/>
    <x v="0"/>
    <s v="11"/>
    <s v="259"/>
    <s v="CO"/>
    <s v="G"/>
    <s v="VG"/>
    <x v="8"/>
    <n v="84"/>
    <n v="52"/>
    <n v="1940"/>
    <n v="1972"/>
    <n v="1397"/>
    <n v="1010"/>
    <n v="900"/>
    <n v="250"/>
    <n v="650"/>
    <m/>
    <n v="3057"/>
    <n v="3500"/>
    <n v="14"/>
    <m/>
    <m/>
    <n v="350"/>
    <m/>
    <m/>
    <m/>
    <m/>
    <n v="543503"/>
    <n v="385887"/>
    <n v="21116"/>
    <n v="504900"/>
    <n v="79900"/>
    <n v="425000"/>
    <n v="0"/>
    <n v="0"/>
    <n v="89850.625589999996"/>
    <n v="-31472.673662315807"/>
    <n v="44121.038090000002"/>
    <n v="284810.60806"/>
    <n v="-11598.371226000001"/>
    <n v="69023.911818168999"/>
    <n v="45234.287089609999"/>
    <n v="0"/>
    <n v="26173.705722299997"/>
    <n v="53088.3094728"/>
    <n v="11653.430346600002"/>
    <n v="21100"/>
    <n v="522500"/>
    <n v="58400"/>
    <n v="602000"/>
    <n v="0.19231530996236879"/>
    <n v="0.99970000000000003"/>
    <n v="0.98050000000000004"/>
    <n v="1.0158"/>
    <n v="1.0126999999999999"/>
    <n v="0.98909999999999998"/>
    <n v="0.94971499999999998"/>
    <n v="0.94748014040729434"/>
    <n v="522500"/>
    <n v="20100"/>
    <n v="542600"/>
    <n v="55400"/>
    <n v="598000"/>
    <n v="0.27670588235294119"/>
    <n v="-0.30663329161451813"/>
    <n v="0.18439294909883144"/>
  </r>
  <r>
    <n v="2025"/>
    <s v="18132324491    "/>
    <n v="-1.5141277326297755"/>
    <n v="0.22"/>
    <m/>
    <s v="6"/>
    <s v="RES"/>
    <x v="0"/>
    <s v="11"/>
    <s v="259"/>
    <s v="RN"/>
    <s v="G"/>
    <s v="VG"/>
    <x v="8"/>
    <n v="84"/>
    <n v="52"/>
    <n v="1940"/>
    <n v="1972"/>
    <n v="1160"/>
    <m/>
    <n v="1160"/>
    <n v="0"/>
    <n v="1160"/>
    <m/>
    <n v="2320"/>
    <n v="2500"/>
    <n v="8"/>
    <n v="312"/>
    <m/>
    <m/>
    <m/>
    <m/>
    <m/>
    <m/>
    <n v="439740"/>
    <n v="312215"/>
    <n v="19899"/>
    <n v="428500"/>
    <n v="61700"/>
    <n v="366800"/>
    <n v="0"/>
    <n v="0"/>
    <n v="89850.625589999996"/>
    <n v="-47929.131559187132"/>
    <n v="44121.038090000002"/>
    <n v="284810.60806"/>
    <n v="-11598.371226000001"/>
    <n v="57314.057057320002"/>
    <n v="0"/>
    <n v="0"/>
    <n v="33734.998486519995"/>
    <n v="30336.176841600001"/>
    <n v="0"/>
    <n v="19900"/>
    <n v="438700"/>
    <n v="41900"/>
    <n v="500500"/>
    <n v="0.16802800466744458"/>
    <n v="0.99970000000000003"/>
    <n v="0.98050000000000004"/>
    <n v="1.0158"/>
    <n v="0.98919999999999997"/>
    <n v="0.98909999999999998"/>
    <n v="0.94971499999999998"/>
    <n v="0.92549358634432277"/>
    <n v="438700"/>
    <n v="18900"/>
    <n v="457600"/>
    <n v="39800"/>
    <n v="497400"/>
    <n v="0.24754634678298801"/>
    <n v="-0.35494327390599678"/>
    <n v="0.16079346557759627"/>
  </r>
  <r>
    <n v="2025"/>
    <s v="18132323021    "/>
    <n v="-2.0402208285265546"/>
    <n v="0.13"/>
    <n v="5500"/>
    <s v="6"/>
    <s v="RES"/>
    <x v="0"/>
    <s v="11"/>
    <s v="259"/>
    <s v="TD"/>
    <s v="F+"/>
    <s v="GD"/>
    <x v="8"/>
    <n v="84"/>
    <n v="52"/>
    <n v="1940"/>
    <n v="1972"/>
    <n v="932"/>
    <m/>
    <n v="801"/>
    <n v="801"/>
    <m/>
    <m/>
    <n v="932"/>
    <n v="1000"/>
    <n v="5"/>
    <m/>
    <m/>
    <n v="132"/>
    <m/>
    <m/>
    <m/>
    <m/>
    <n v="181198"/>
    <n v="126839"/>
    <n v="7231"/>
    <n v="272700"/>
    <n v="43400"/>
    <n v="229300"/>
    <n v="0"/>
    <n v="0"/>
    <n v="89850.625589999996"/>
    <n v="-64582.406353792743"/>
    <n v="0"/>
    <n v="197752.34721000001"/>
    <n v="-11598.371226000001"/>
    <n v="46048.880325364"/>
    <n v="0"/>
    <n v="0"/>
    <n v="23294.598092846998"/>
    <n v="18960.110526"/>
    <n v="4395.0080164320007"/>
    <n v="7200"/>
    <n v="278900"/>
    <n v="25300"/>
    <n v="311400"/>
    <n v="0.14191419141914191"/>
    <n v="0.99970000000000003"/>
    <n v="0.99180000000000001"/>
    <n v="0.99650000000000005"/>
    <n v="1.0148999999999999"/>
    <n v="0.98909999999999998"/>
    <n v="0.94971499999999998"/>
    <n v="0.94223267069144567"/>
    <n v="278900"/>
    <n v="6900"/>
    <n v="285800"/>
    <n v="24000"/>
    <n v="309800"/>
    <n v="0.24640209332751853"/>
    <n v="-0.44700460829493088"/>
    <n v="0.13604693802713605"/>
  </r>
  <r>
    <n v="2025"/>
    <s v="18132332505    "/>
    <n v="-1.7719568419318752"/>
    <n v="0.17"/>
    <m/>
    <s v="6"/>
    <s v="RES"/>
    <x v="0"/>
    <s v="11"/>
    <s v="259"/>
    <s v="BG"/>
    <s v="A"/>
    <s v="GD"/>
    <x v="8"/>
    <n v="84"/>
    <n v="52"/>
    <n v="1940"/>
    <n v="1972"/>
    <n v="995"/>
    <m/>
    <m/>
    <n v="0"/>
    <m/>
    <m/>
    <n v="995"/>
    <n v="1000"/>
    <n v="7"/>
    <m/>
    <m/>
    <n v="260"/>
    <m/>
    <m/>
    <m/>
    <m/>
    <n v="187309"/>
    <n v="131116"/>
    <n v="9270"/>
    <n v="294200"/>
    <n v="52700"/>
    <n v="241500"/>
    <n v="0"/>
    <n v="0"/>
    <n v="89850.625589999996"/>
    <n v="-56090.612940989391"/>
    <n v="21557.329055999999"/>
    <n v="197752.34721000001"/>
    <n v="-11598.371226000001"/>
    <n v="49161.626527615001"/>
    <n v="0"/>
    <n v="0"/>
    <n v="0"/>
    <n v="26544.1547364"/>
    <n v="8656.8339717600011"/>
    <n v="9300"/>
    <n v="292100"/>
    <n v="33800"/>
    <n v="335200"/>
    <n v="0.13936097892590074"/>
    <n v="0.99970000000000003"/>
    <n v="1.0067999999999999"/>
    <n v="0.99650000000000005"/>
    <n v="1.0148999999999999"/>
    <n v="0.98909999999999998"/>
    <n v="0.94971499999999998"/>
    <n v="0.95648301356336674"/>
    <n v="292100"/>
    <n v="8800"/>
    <n v="300900"/>
    <n v="32100"/>
    <n v="333000"/>
    <n v="0.24596273291925466"/>
    <n v="-0.39089184060721061"/>
    <n v="0.1318830727396329"/>
  </r>
  <r>
    <n v="2025"/>
    <s v="18132342492    "/>
    <n v="-0.89159811928378363"/>
    <n v="0.41"/>
    <n v="17768"/>
    <s v="6"/>
    <s v="RES"/>
    <x v="0"/>
    <s v="11"/>
    <s v="259"/>
    <s v="CU"/>
    <s v="V+"/>
    <s v="VG"/>
    <x v="8"/>
    <n v="84"/>
    <n v="52"/>
    <n v="1940"/>
    <n v="1972"/>
    <n v="1602"/>
    <n v="1233"/>
    <m/>
    <n v="0"/>
    <m/>
    <m/>
    <n v="2835"/>
    <n v="3000"/>
    <n v="12"/>
    <n v="609"/>
    <m/>
    <m/>
    <m/>
    <m/>
    <m/>
    <m/>
    <n v="851459"/>
    <n v="613050"/>
    <n v="0"/>
    <n v="676700"/>
    <n v="83400"/>
    <n v="593300"/>
    <n v="0"/>
    <n v="0"/>
    <n v="89850.625589999996"/>
    <n v="-28223.195861326454"/>
    <n v="253501.66539499999"/>
    <n v="284810.60806"/>
    <n v="-11598.371226000001"/>
    <n v="79152.689142953997"/>
    <n v="55221.659387612999"/>
    <n v="0"/>
    <n v="0"/>
    <n v="45504.265262400004"/>
    <n v="0"/>
    <n v="0"/>
    <n v="706600"/>
    <n v="61600"/>
    <n v="768200"/>
    <n v="0.1352150140387173"/>
    <n v="0.99970000000000003"/>
    <n v="1"/>
    <n v="1.0158"/>
    <n v="0.96179999999999999"/>
    <n v="0.98909999999999998"/>
    <n v="0.94971499999999998"/>
    <n v="0.91775441091784082"/>
    <n v="706600"/>
    <n v="0"/>
    <n v="706600"/>
    <n v="58500"/>
    <n v="765100"/>
    <n v="0.19096578459464014"/>
    <n v="-0.29856115107913667"/>
    <n v="0.13063395891827989"/>
  </r>
  <r>
    <n v="2025"/>
    <s v="18132241467    "/>
    <n v="-1.7147984280919266"/>
    <n v="0.18"/>
    <n v="8040"/>
    <s v="6"/>
    <s v="RES"/>
    <x v="0"/>
    <s v="11"/>
    <s v="259"/>
    <s v="TD"/>
    <s v="A"/>
    <s v="GD"/>
    <x v="8"/>
    <n v="84"/>
    <n v="52"/>
    <n v="1940"/>
    <n v="1972"/>
    <n v="1166"/>
    <m/>
    <n v="892"/>
    <n v="892"/>
    <m/>
    <m/>
    <n v="1166"/>
    <n v="1500"/>
    <n v="8"/>
    <m/>
    <m/>
    <n v="96"/>
    <m/>
    <m/>
    <m/>
    <m/>
    <n v="237479"/>
    <n v="166235"/>
    <n v="9040"/>
    <n v="326300"/>
    <n v="54700"/>
    <n v="271600"/>
    <n v="0"/>
    <n v="0"/>
    <n v="89850.625589999996"/>
    <n v="-54281.285314520763"/>
    <n v="21557.329055999999"/>
    <n v="197752.34721000001"/>
    <n v="-11598.371226000001"/>
    <n v="57610.509076581999"/>
    <n v="0"/>
    <n v="0"/>
    <n v="25941.050560323998"/>
    <n v="30336.176841600001"/>
    <n v="3196.3694664960003"/>
    <n v="9000"/>
    <n v="324800"/>
    <n v="35600"/>
    <n v="369400"/>
    <n v="0.13208703646950659"/>
    <n v="0.99970000000000003"/>
    <n v="1.0067999999999999"/>
    <n v="0.99650000000000005"/>
    <n v="1.0157"/>
    <n v="0.98909999999999998"/>
    <n v="0.94971499999999998"/>
    <n v="0.95723696608169473"/>
    <n v="324800"/>
    <n v="8600"/>
    <n v="333400"/>
    <n v="33800"/>
    <n v="367200"/>
    <n v="0.22754050073637702"/>
    <n v="-0.38208409506398539"/>
    <n v="0.12534477474716518"/>
  </r>
  <r>
    <n v="2025"/>
    <s v="18132334480    "/>
    <n v="-1.8325814637483102"/>
    <n v="0.16"/>
    <m/>
    <s v="6"/>
    <s v="RES"/>
    <x v="0"/>
    <s v="11"/>
    <s v="259"/>
    <s v="TD"/>
    <s v="A+"/>
    <s v="FR"/>
    <x v="8"/>
    <n v="84"/>
    <n v="52"/>
    <n v="1940"/>
    <n v="1972"/>
    <n v="1209"/>
    <m/>
    <n v="1050"/>
    <n v="748"/>
    <n v="302"/>
    <m/>
    <n v="1511"/>
    <n v="2000"/>
    <n v="5"/>
    <m/>
    <m/>
    <n v="204"/>
    <m/>
    <m/>
    <m/>
    <m/>
    <n v="301563"/>
    <n v="199032"/>
    <n v="6724"/>
    <n v="271100"/>
    <n v="50600"/>
    <n v="220500"/>
    <n v="0"/>
    <n v="0"/>
    <n v="89850.625589999996"/>
    <n v="-58009.662049032086"/>
    <n v="29814.093161000001"/>
    <n v="133714.53821"/>
    <n v="-11598.371226000001"/>
    <n v="59735.081881293001"/>
    <n v="0"/>
    <n v="0"/>
    <n v="30535.99000935"/>
    <n v="18960.110526"/>
    <n v="6792.2851163040004"/>
    <n v="6700"/>
    <n v="268000"/>
    <n v="31800"/>
    <n v="306500"/>
    <n v="0.13057912209516784"/>
    <n v="0.99970000000000003"/>
    <n v="1.0088999999999999"/>
    <n v="0.99329999999999996"/>
    <n v="1.0093000000000001"/>
    <n v="0.98909999999999998"/>
    <n v="0.94971499999999998"/>
    <n v="0.95012846643960336"/>
    <n v="268000"/>
    <n v="6400"/>
    <n v="274400"/>
    <n v="30200"/>
    <n v="304600"/>
    <n v="0.24444444444444444"/>
    <n v="-0.40316205533596838"/>
    <n v="0.12357063814090742"/>
  </r>
  <r>
    <n v="2025"/>
    <s v="18132241415    "/>
    <n v="-2.0402208285265546"/>
    <n v="0.13"/>
    <n v="5662"/>
    <s v="6"/>
    <s v="RES"/>
    <x v="0"/>
    <s v="11"/>
    <s v="259"/>
    <s v="TD"/>
    <s v="A"/>
    <s v="GD"/>
    <x v="8"/>
    <n v="84"/>
    <n v="52"/>
    <n v="1940"/>
    <n v="1972"/>
    <n v="952"/>
    <m/>
    <n v="969"/>
    <n v="649"/>
    <n v="320"/>
    <m/>
    <n v="1272"/>
    <n v="1500"/>
    <n v="5"/>
    <m/>
    <m/>
    <m/>
    <m/>
    <m/>
    <m/>
    <m/>
    <n v="210864"/>
    <n v="147605"/>
    <n v="8156"/>
    <n v="298300"/>
    <n v="43400"/>
    <n v="254900"/>
    <n v="0"/>
    <n v="0"/>
    <n v="89850.625589999996"/>
    <n v="-64582.406353792743"/>
    <n v="21557.329055999999"/>
    <n v="197752.34721000001"/>
    <n v="-11598.371226000001"/>
    <n v="47037.053722903998"/>
    <n v="0"/>
    <n v="0"/>
    <n v="28180.356494342999"/>
    <n v="18960.110526"/>
    <n v="0"/>
    <n v="8200"/>
    <n v="301900"/>
    <n v="25300"/>
    <n v="335400"/>
    <n v="0.12437143814951392"/>
    <n v="0.99970000000000003"/>
    <n v="1.0067999999999999"/>
    <n v="0.99650000000000005"/>
    <n v="1.0157"/>
    <n v="0.98909999999999998"/>
    <n v="0.94971499999999998"/>
    <n v="0.95723696608169473"/>
    <n v="301900"/>
    <n v="7700"/>
    <n v="309600"/>
    <n v="24000"/>
    <n v="333600"/>
    <n v="0.21459395841506473"/>
    <n v="-0.44700460829493088"/>
    <n v="0.11833724438484747"/>
  </r>
  <r>
    <n v="2025"/>
    <s v="18132241430    "/>
    <n v="-1.6094379124341003"/>
    <n v="0.2"/>
    <n v="8519"/>
    <s v="6"/>
    <s v="RES"/>
    <x v="0"/>
    <s v="11"/>
    <s v="259"/>
    <s v="TD"/>
    <s v="A"/>
    <s v="GD"/>
    <x v="8"/>
    <n v="84"/>
    <n v="52"/>
    <n v="1940"/>
    <n v="1972"/>
    <n v="1042"/>
    <m/>
    <n v="1085"/>
    <n v="1085"/>
    <m/>
    <m/>
    <n v="1042"/>
    <n v="1500"/>
    <n v="5"/>
    <m/>
    <m/>
    <m/>
    <m/>
    <m/>
    <m/>
    <m/>
    <n v="214043"/>
    <n v="149830"/>
    <n v="15582"/>
    <n v="323500"/>
    <n v="58400"/>
    <n v="265100"/>
    <n v="0"/>
    <n v="0"/>
    <n v="89850.625589999996"/>
    <n v="-50946.13867709865"/>
    <n v="21557.329055999999"/>
    <n v="197752.34721000001"/>
    <n v="-11598.371226000001"/>
    <n v="51483.834011833998"/>
    <n v="0"/>
    <n v="0"/>
    <n v="31553.856342994997"/>
    <n v="18960.110526"/>
    <n v="0"/>
    <n v="15600"/>
    <n v="309700"/>
    <n v="38900"/>
    <n v="364200"/>
    <n v="0.12581143740340031"/>
    <n v="0.99970000000000003"/>
    <n v="1.0067999999999999"/>
    <n v="0.99650000000000005"/>
    <n v="1.0157"/>
    <n v="0.98909999999999998"/>
    <n v="0.94971499999999998"/>
    <n v="0.95723696608169473"/>
    <n v="309700"/>
    <n v="14800"/>
    <n v="324500"/>
    <n v="36900"/>
    <n v="361400"/>
    <n v="0.22406639004149378"/>
    <n v="-0.36815068493150682"/>
    <n v="0.11715610510046368"/>
  </r>
  <r>
    <n v="2025"/>
    <s v="18132241040    "/>
    <n v="-1.3093333199837622"/>
    <n v="0.27"/>
    <n v="11547"/>
    <s v="6"/>
    <s v="RES"/>
    <x v="0"/>
    <s v="11"/>
    <s v="259"/>
    <s v="TD"/>
    <s v="A"/>
    <s v="GD"/>
    <x v="8"/>
    <n v="84"/>
    <n v="52"/>
    <n v="1940"/>
    <n v="1972"/>
    <n v="1207"/>
    <m/>
    <n v="1107"/>
    <n v="1107"/>
    <m/>
    <m/>
    <n v="1207"/>
    <n v="1500"/>
    <n v="5"/>
    <n v="253"/>
    <m/>
    <m/>
    <m/>
    <m/>
    <m/>
    <m/>
    <n v="254034"/>
    <n v="177824"/>
    <n v="24795"/>
    <n v="348000"/>
    <n v="68900"/>
    <n v="279100"/>
    <n v="0"/>
    <n v="0"/>
    <n v="89850.625589999996"/>
    <n v="-41446.443120973789"/>
    <n v="21557.329055999999"/>
    <n v="197752.34721000001"/>
    <n v="-11598.371226000001"/>
    <n v="59636.264541539"/>
    <n v="0"/>
    <n v="0"/>
    <n v="32193.658038428999"/>
    <n v="18960.110526"/>
    <n v="0"/>
    <n v="24800"/>
    <n v="318500"/>
    <n v="48400"/>
    <n v="391700"/>
    <n v="0.12557471264367817"/>
    <n v="0.99970000000000003"/>
    <n v="1.0067999999999999"/>
    <n v="0.99650000000000005"/>
    <n v="1.0157"/>
    <n v="0.98909999999999998"/>
    <n v="0.94971499999999998"/>
    <n v="0.95723696608169473"/>
    <n v="318500"/>
    <n v="23500"/>
    <n v="342000"/>
    <n v="46000"/>
    <n v="388000"/>
    <n v="0.22536725188104623"/>
    <n v="-0.33236574746008707"/>
    <n v="0.11494252873563218"/>
  </r>
  <r>
    <n v="2025"/>
    <s v="18132324544    "/>
    <n v="-1.5606477482646683"/>
    <n v="0.21"/>
    <n v="9100"/>
    <s v="6"/>
    <s v="RES"/>
    <x v="0"/>
    <s v="11"/>
    <s v="259"/>
    <s v="TD"/>
    <s v="G"/>
    <s v="GD"/>
    <x v="8"/>
    <n v="84"/>
    <n v="52"/>
    <n v="1940"/>
    <n v="1972"/>
    <n v="1313"/>
    <m/>
    <n v="1123"/>
    <n v="561"/>
    <n v="562"/>
    <m/>
    <n v="1875"/>
    <n v="2000"/>
    <n v="11"/>
    <m/>
    <m/>
    <n v="399"/>
    <m/>
    <m/>
    <m/>
    <m/>
    <n v="413068"/>
    <n v="289148"/>
    <n v="9258"/>
    <n v="385800"/>
    <n v="60100"/>
    <n v="325700"/>
    <n v="0"/>
    <n v="0"/>
    <n v="89850.625589999996"/>
    <n v="-49401.70477837498"/>
    <n v="44121.038090000002"/>
    <n v="197752.34721000001"/>
    <n v="-11598.371226000001"/>
    <n v="64873.583548501003"/>
    <n v="0"/>
    <n v="0"/>
    <n v="32658.968362380998"/>
    <n v="41712.243157199999"/>
    <n v="13284.910595124002"/>
    <n v="9300"/>
    <n v="382800"/>
    <n v="40400"/>
    <n v="432500"/>
    <n v="0.12104717470191809"/>
    <n v="0.99970000000000003"/>
    <n v="0.98050000000000004"/>
    <n v="0.99650000000000005"/>
    <n v="1.0093000000000001"/>
    <n v="0.98909999999999998"/>
    <n v="0.94971499999999998"/>
    <n v="0.92635760994173622"/>
    <n v="382800"/>
    <n v="8800"/>
    <n v="391600"/>
    <n v="38400"/>
    <n v="430000"/>
    <n v="0.20233343567700338"/>
    <n v="-0.36106489184692181"/>
    <n v="0.11456713322965267"/>
  </r>
  <r>
    <n v="2025"/>
    <s v="18132331006    "/>
    <n v="-1.2378743560016174"/>
    <n v="0.28999999999999998"/>
    <n v="12474"/>
    <s v="6"/>
    <s v="RES"/>
    <x v="0"/>
    <s v="11"/>
    <s v="259"/>
    <s v="CC"/>
    <s v="A"/>
    <s v="GD"/>
    <x v="8"/>
    <n v="84"/>
    <n v="52"/>
    <n v="1940"/>
    <n v="1972"/>
    <n v="1137"/>
    <n v="852"/>
    <n v="568"/>
    <n v="170"/>
    <n v="398"/>
    <m/>
    <n v="2387"/>
    <n v="2500"/>
    <n v="8"/>
    <m/>
    <m/>
    <n v="584"/>
    <m/>
    <m/>
    <m/>
    <m/>
    <n v="339184"/>
    <n v="237429"/>
    <n v="23413"/>
    <n v="393600"/>
    <n v="71400"/>
    <n v="322200"/>
    <n v="0"/>
    <n v="0"/>
    <n v="89850.625589999996"/>
    <n v="-39184.437074869042"/>
    <n v="21557.329055999999"/>
    <n v="197752.34721000001"/>
    <n v="-11598.371226000001"/>
    <n v="56177.657650148998"/>
    <n v="38158.032277571998"/>
    <n v="0"/>
    <n v="16518.516500295998"/>
    <n v="30336.176841600001"/>
    <n v="19444.580921184002"/>
    <n v="23400"/>
    <n v="368300"/>
    <n v="50700"/>
    <n v="442400"/>
    <n v="0.12398373983739837"/>
    <n v="0.99970000000000003"/>
    <n v="1.0067999999999999"/>
    <n v="0.99650000000000005"/>
    <n v="0.98919999999999997"/>
    <n v="0.98909999999999998"/>
    <n v="0.94971499999999998"/>
    <n v="0.9322622889120924"/>
    <n v="368300"/>
    <n v="22200"/>
    <n v="390500"/>
    <n v="48100"/>
    <n v="438600"/>
    <n v="0.21198013656114215"/>
    <n v="-0.32633053221288516"/>
    <n v="0.11432926829268293"/>
  </r>
  <r>
    <n v="2025"/>
    <s v="18132334414    "/>
    <n v="-1.9661128563728327"/>
    <n v="0.14000000000000001"/>
    <n v="6254"/>
    <s v="6"/>
    <s v="RES"/>
    <x v="0"/>
    <s v="11"/>
    <s v="259"/>
    <s v="TD"/>
    <s v="A"/>
    <s v="GD"/>
    <x v="8"/>
    <n v="84"/>
    <n v="52"/>
    <n v="1940"/>
    <n v="1972"/>
    <n v="1039"/>
    <m/>
    <n v="930"/>
    <n v="546"/>
    <n v="384"/>
    <m/>
    <n v="1423"/>
    <n v="1500"/>
    <n v="5"/>
    <m/>
    <m/>
    <m/>
    <m/>
    <m/>
    <m/>
    <m/>
    <n v="233629"/>
    <n v="163540"/>
    <n v="6724"/>
    <n v="303500"/>
    <n v="46000"/>
    <n v="257500"/>
    <n v="0"/>
    <n v="0"/>
    <n v="89850.625589999996"/>
    <n v="-62236.546971921947"/>
    <n v="21557.329055999999"/>
    <n v="197752.34721000001"/>
    <n v="-11598.371226000001"/>
    <n v="51335.608002203"/>
    <n v="0"/>
    <n v="0"/>
    <n v="27046.162579709999"/>
    <n v="18960.110526"/>
    <n v="0"/>
    <n v="6700"/>
    <n v="305100"/>
    <n v="27600"/>
    <n v="339400"/>
    <n v="0.11828665568369028"/>
    <n v="0.99970000000000003"/>
    <n v="1.0067999999999999"/>
    <n v="0.99650000000000005"/>
    <n v="1.0157"/>
    <n v="0.98909999999999998"/>
    <n v="0.94971499999999998"/>
    <n v="0.95723696608169473"/>
    <n v="305100"/>
    <n v="6400"/>
    <n v="311500"/>
    <n v="26200"/>
    <n v="337700"/>
    <n v="0.20970873786407768"/>
    <n v="-0.43043478260869567"/>
    <n v="0.11268533772652389"/>
  </r>
  <r>
    <n v="2025"/>
    <s v="18132331021    "/>
    <n v="-1.7719568419318752"/>
    <n v="0.17"/>
    <n v="7325"/>
    <s v="6"/>
    <s v="RES"/>
    <x v="0"/>
    <s v="11"/>
    <s v="259"/>
    <s v="CO"/>
    <s v="A"/>
    <s v="GD"/>
    <x v="8"/>
    <n v="84"/>
    <n v="52"/>
    <n v="1940"/>
    <n v="1972"/>
    <n v="1020"/>
    <n v="384"/>
    <n v="1020"/>
    <n v="819"/>
    <n v="201"/>
    <m/>
    <n v="1605"/>
    <n v="2000"/>
    <n v="8"/>
    <m/>
    <m/>
    <m/>
    <m/>
    <m/>
    <m/>
    <m/>
    <n v="265486"/>
    <n v="185840"/>
    <n v="9708"/>
    <n v="339100"/>
    <n v="52700"/>
    <n v="286400"/>
    <n v="0"/>
    <n v="0"/>
    <n v="89850.625589999996"/>
    <n v="-56090.612940989391"/>
    <n v="21557.329055999999"/>
    <n v="197752.34721000001"/>
    <n v="-11598.371226000001"/>
    <n v="50396.843274539999"/>
    <n v="17197.986378623998"/>
    <n v="0"/>
    <n v="29663.533151939999"/>
    <n v="30336.176841600001"/>
    <n v="0"/>
    <n v="9700"/>
    <n v="335300"/>
    <n v="33800"/>
    <n v="378800"/>
    <n v="0.11707460925980537"/>
    <n v="0.99970000000000003"/>
    <n v="1.0067999999999999"/>
    <n v="0.99650000000000005"/>
    <n v="1.0093000000000001"/>
    <n v="0.98909999999999998"/>
    <n v="0.94971499999999998"/>
    <n v="0.95120534593507355"/>
    <n v="335300"/>
    <n v="9200"/>
    <n v="344500"/>
    <n v="32100"/>
    <n v="376600"/>
    <n v="0.20286312849162011"/>
    <n v="-0.39089184060721061"/>
    <n v="0.11058684753759952"/>
  </r>
  <r>
    <n v="2025"/>
    <s v="18132214004    "/>
    <n v="-1.4696759700589417"/>
    <n v="0.23"/>
    <n v="9829"/>
    <s v="6"/>
    <s v="RES"/>
    <x v="0"/>
    <s v="11"/>
    <s v="259"/>
    <s v="TD"/>
    <s v="A+"/>
    <s v="GD"/>
    <x v="8"/>
    <n v="84"/>
    <n v="52"/>
    <n v="1940"/>
    <n v="1972"/>
    <n v="1167"/>
    <m/>
    <m/>
    <n v="0"/>
    <m/>
    <m/>
    <n v="1167"/>
    <n v="1500"/>
    <n v="5"/>
    <n v="210"/>
    <m/>
    <n v="200"/>
    <m/>
    <m/>
    <m/>
    <m/>
    <n v="251263"/>
    <n v="175884"/>
    <n v="0"/>
    <n v="306800"/>
    <n v="63300"/>
    <n v="243500"/>
    <n v="0"/>
    <n v="0"/>
    <n v="89850.625589999996"/>
    <n v="-46522.028095997222"/>
    <n v="29814.093161000001"/>
    <n v="197752.34721000001"/>
    <n v="-11598.371226000001"/>
    <n v="57659.917746459003"/>
    <n v="0"/>
    <n v="0"/>
    <n v="0"/>
    <n v="18960.110526"/>
    <n v="6659.1030552000011"/>
    <n v="0"/>
    <n v="299200"/>
    <n v="43300"/>
    <n v="342500"/>
    <n v="0.11636245110821382"/>
    <n v="0.99970000000000003"/>
    <n v="1.0088999999999999"/>
    <n v="0.99650000000000005"/>
    <n v="1.0157"/>
    <n v="0.98909999999999998"/>
    <n v="0.94971499999999998"/>
    <n v="0.95923358669032743"/>
    <n v="299200"/>
    <n v="0"/>
    <n v="299200"/>
    <n v="41100"/>
    <n v="340300"/>
    <n v="0.22874743326488706"/>
    <n v="-0.35071090047393366"/>
    <n v="0.1091916558018253"/>
  </r>
  <r>
    <n v="2025"/>
    <s v="18132332541    "/>
    <n v="-1.4696759700589417"/>
    <n v="0.23"/>
    <m/>
    <s v="6"/>
    <s v="RES"/>
    <x v="0"/>
    <s v="11"/>
    <s v="259"/>
    <s v="TD"/>
    <s v="G"/>
    <s v="GD"/>
    <x v="8"/>
    <n v="84"/>
    <n v="52"/>
    <n v="1940"/>
    <n v="1972"/>
    <n v="1777"/>
    <m/>
    <n v="1050"/>
    <n v="1050"/>
    <m/>
    <m/>
    <n v="1777"/>
    <n v="2000"/>
    <n v="9"/>
    <m/>
    <m/>
    <m/>
    <m/>
    <m/>
    <m/>
    <m/>
    <n v="429586"/>
    <n v="300710"/>
    <n v="0"/>
    <n v="382600"/>
    <n v="63300"/>
    <n v="319300"/>
    <n v="0"/>
    <n v="0"/>
    <n v="89850.625589999996"/>
    <n v="-46522.028095997222"/>
    <n v="44121.038090000002"/>
    <n v="197752.34721000001"/>
    <n v="-11598.371226000001"/>
    <n v="87799.206371428998"/>
    <n v="0"/>
    <n v="0"/>
    <n v="30535.99000935"/>
    <n v="34128.198946800003"/>
    <n v="0"/>
    <n v="0"/>
    <n v="382700"/>
    <n v="43300"/>
    <n v="426000"/>
    <n v="0.1134343962362781"/>
    <n v="0.99970000000000003"/>
    <n v="0.98050000000000004"/>
    <n v="0.99650000000000005"/>
    <n v="1.0093000000000001"/>
    <n v="0.98909999999999998"/>
    <n v="0.94971499999999998"/>
    <n v="0.92635760994173622"/>
    <n v="382700"/>
    <n v="0"/>
    <n v="382700"/>
    <n v="41100"/>
    <n v="423800"/>
    <n v="0.19855934857500782"/>
    <n v="-0.35071090047393366"/>
    <n v="0.10768426555148981"/>
  </r>
  <r>
    <n v="2025"/>
    <s v="18132324500    "/>
    <n v="-1.7719568419318752"/>
    <n v="0.17"/>
    <n v="7352"/>
    <s v="6"/>
    <s v="RES"/>
    <x v="0"/>
    <s v="11"/>
    <s v="259"/>
    <s v="BG"/>
    <s v="A"/>
    <s v="GD"/>
    <x v="8"/>
    <n v="84"/>
    <n v="52"/>
    <n v="1940"/>
    <n v="1972"/>
    <n v="998"/>
    <m/>
    <n v="500"/>
    <n v="0"/>
    <n v="500"/>
    <m/>
    <n v="1498"/>
    <n v="1500"/>
    <n v="8"/>
    <m/>
    <m/>
    <n v="372"/>
    <m/>
    <m/>
    <m/>
    <m/>
    <n v="237465"/>
    <n v="166226"/>
    <n v="5261"/>
    <n v="317300"/>
    <n v="52700"/>
    <n v="264600"/>
    <n v="0"/>
    <n v="0"/>
    <n v="89850.625589999996"/>
    <n v="-56090.612940989391"/>
    <n v="21557.329055999999"/>
    <n v="197752.34721000001"/>
    <n v="-11598.371226000001"/>
    <n v="49309.852537245999"/>
    <n v="0"/>
    <n v="0"/>
    <n v="14540.947623499998"/>
    <n v="30336.176841600001"/>
    <n v="12385.931682672001"/>
    <n v="5300"/>
    <n v="314300"/>
    <n v="33800"/>
    <n v="353400"/>
    <n v="0.11377245508982035"/>
    <n v="0.99970000000000003"/>
    <n v="1.0067999999999999"/>
    <n v="0.99650000000000005"/>
    <n v="1.0157"/>
    <n v="0.98909999999999998"/>
    <n v="0.94971499999999998"/>
    <n v="0.95723696608169473"/>
    <n v="314300"/>
    <n v="5000"/>
    <n v="319300"/>
    <n v="32100"/>
    <n v="351400"/>
    <n v="0.20672713529856387"/>
    <n v="-0.39089184060721061"/>
    <n v="0.10746927198235108"/>
  </r>
  <r>
    <n v="2025"/>
    <s v="18132342506    "/>
    <n v="-1.4271163556401458"/>
    <n v="0.24"/>
    <m/>
    <s v="6"/>
    <s v="RES"/>
    <x v="0"/>
    <s v="11"/>
    <s v="259"/>
    <s v="TD"/>
    <s v="A"/>
    <s v="GD"/>
    <x v="8"/>
    <n v="84"/>
    <n v="52"/>
    <n v="1940"/>
    <n v="1972"/>
    <n v="1362"/>
    <m/>
    <n v="1182"/>
    <n v="1182"/>
    <m/>
    <m/>
    <n v="1362"/>
    <n v="1500"/>
    <n v="5"/>
    <n v="252"/>
    <m/>
    <m/>
    <m/>
    <m/>
    <m/>
    <m/>
    <n v="276210"/>
    <n v="193347"/>
    <n v="40422"/>
    <n v="369500"/>
    <n v="64800"/>
    <n v="304700"/>
    <n v="0"/>
    <n v="0"/>
    <n v="89850.625589999996"/>
    <n v="-45174.819855485119"/>
    <n v="21557.329055999999"/>
    <n v="197752.34721000001"/>
    <n v="-11598.371226000001"/>
    <n v="67294.608372474002"/>
    <n v="0"/>
    <n v="0"/>
    <n v="34374.800181954"/>
    <n v="18960.110526"/>
    <n v="0"/>
    <n v="40400"/>
    <n v="328300"/>
    <n v="44700"/>
    <n v="413400"/>
    <n v="0.11880920162381597"/>
    <n v="0.99970000000000003"/>
    <n v="1.0067999999999999"/>
    <n v="0.99650000000000005"/>
    <n v="1.0157"/>
    <n v="0.98909999999999998"/>
    <n v="0.94971499999999998"/>
    <n v="0.95723696608169473"/>
    <n v="328300"/>
    <n v="38400"/>
    <n v="366700"/>
    <n v="42400"/>
    <n v="409100"/>
    <n v="0.20347883163767641"/>
    <n v="-0.34567901234567899"/>
    <n v="0.10717185385656293"/>
  </r>
  <r>
    <n v="2025"/>
    <s v="18132241469    "/>
    <n v="-1.7147984280919266"/>
    <n v="0.18"/>
    <n v="8040"/>
    <s v="6"/>
    <s v="RES"/>
    <x v="0"/>
    <s v="11"/>
    <s v="259"/>
    <s v="TD"/>
    <s v="A"/>
    <s v="AV"/>
    <x v="8"/>
    <n v="84"/>
    <n v="52"/>
    <n v="1940"/>
    <n v="1972"/>
    <n v="1198"/>
    <m/>
    <n v="1056"/>
    <n v="1056"/>
    <m/>
    <m/>
    <n v="1198"/>
    <n v="1500"/>
    <n v="5"/>
    <m/>
    <m/>
    <n v="108"/>
    <m/>
    <m/>
    <m/>
    <m/>
    <n v="229309"/>
    <n v="155930"/>
    <n v="6394"/>
    <n v="291700"/>
    <n v="54700"/>
    <n v="237000"/>
    <n v="0"/>
    <n v="0"/>
    <n v="89850.625589999996"/>
    <n v="-54281.285314520763"/>
    <n v="21557.329055999999"/>
    <n v="160472.20319"/>
    <n v="-11598.371226000001"/>
    <n v="59191.586512646005"/>
    <n v="0"/>
    <n v="0"/>
    <n v="30710.481380832"/>
    <n v="18960.110526"/>
    <n v="3595.9156498080001"/>
    <n v="6400"/>
    <n v="282900"/>
    <n v="35600"/>
    <n v="324900"/>
    <n v="0.11381556393555023"/>
    <n v="0.99970000000000003"/>
    <n v="1.0067999999999999"/>
    <n v="0.99729999999999996"/>
    <n v="1.0157"/>
    <n v="0.98909999999999998"/>
    <n v="0.94971499999999998"/>
    <n v="0.95800544533193577"/>
    <n v="282900"/>
    <n v="6100"/>
    <n v="289000"/>
    <n v="33800"/>
    <n v="322800"/>
    <n v="0.21940928270042195"/>
    <n v="-0.38208409506398539"/>
    <n v="0.10661638669866301"/>
  </r>
  <r>
    <n v="2025"/>
    <s v="18132342435    "/>
    <n v="-1.9661128563728327"/>
    <n v="0.14000000000000001"/>
    <m/>
    <s v="6"/>
    <s v="RES"/>
    <x v="0"/>
    <s v="11"/>
    <s v="259"/>
    <s v="TD"/>
    <s v="A+"/>
    <s v="GD"/>
    <x v="8"/>
    <n v="84"/>
    <n v="52"/>
    <n v="1940"/>
    <n v="1972"/>
    <n v="1368"/>
    <m/>
    <n v="984"/>
    <n v="0"/>
    <n v="984"/>
    <m/>
    <n v="2352"/>
    <n v="2500"/>
    <n v="6"/>
    <m/>
    <m/>
    <n v="416"/>
    <m/>
    <m/>
    <m/>
    <m/>
    <n v="345169"/>
    <n v="241618"/>
    <n v="0"/>
    <n v="339500"/>
    <n v="46000"/>
    <n v="293500"/>
    <n v="0"/>
    <n v="0"/>
    <n v="89850.625589999996"/>
    <n v="-62236.546971921947"/>
    <n v="29814.093161000001"/>
    <n v="197752.34721000001"/>
    <n v="-11598.371226000001"/>
    <n v="67591.060391735999"/>
    <n v="0"/>
    <n v="0"/>
    <n v="28616.584923047998"/>
    <n v="22752.132631200002"/>
    <n v="13850.934354816001"/>
    <n v="0"/>
    <n v="348800"/>
    <n v="27600"/>
    <n v="376400"/>
    <n v="0.10868924889543446"/>
    <n v="0.99970000000000003"/>
    <n v="1.0088999999999999"/>
    <n v="0.99650000000000005"/>
    <n v="0.98919999999999997"/>
    <n v="0.98909999999999998"/>
    <n v="0.94971499999999998"/>
    <n v="0.93420681692829766"/>
    <n v="348800"/>
    <n v="0"/>
    <n v="348800"/>
    <n v="26200"/>
    <n v="375000"/>
    <n v="0.18841567291311756"/>
    <n v="-0.43043478260869567"/>
    <n v="0.10456553755522828"/>
  </r>
  <r>
    <n v="2025"/>
    <s v="18132324401    "/>
    <n v="-1.4696759700589417"/>
    <n v="0.23"/>
    <n v="9926"/>
    <s v="6"/>
    <s v="RES"/>
    <x v="0"/>
    <s v="11"/>
    <s v="259"/>
    <s v="TD"/>
    <s v="A"/>
    <s v="AV"/>
    <x v="8"/>
    <n v="84"/>
    <n v="52"/>
    <n v="1940"/>
    <n v="1972"/>
    <n v="1288"/>
    <m/>
    <n v="1288"/>
    <n v="1288"/>
    <m/>
    <m/>
    <n v="1288"/>
    <n v="1500"/>
    <n v="8"/>
    <m/>
    <m/>
    <n v="156"/>
    <m/>
    <m/>
    <m/>
    <m/>
    <n v="258202"/>
    <n v="175577"/>
    <n v="6178"/>
    <n v="321100"/>
    <n v="63300"/>
    <n v="257800"/>
    <n v="0"/>
    <n v="0"/>
    <n v="89850.625589999996"/>
    <n v="-46522.028095997222"/>
    <n v="21557.329055999999"/>
    <n v="160472.20319"/>
    <n v="-11598.371226000001"/>
    <n v="63638.366801576005"/>
    <n v="0"/>
    <n v="0"/>
    <n v="37457.481078135999"/>
    <n v="30336.176841600001"/>
    <n v="5194.1003830560003"/>
    <n v="6200"/>
    <n v="307100"/>
    <n v="43300"/>
    <n v="356600"/>
    <n v="0.11055745873559639"/>
    <n v="0.99970000000000003"/>
    <n v="1.0067999999999999"/>
    <n v="0.99729999999999996"/>
    <n v="1.0157"/>
    <n v="0.98909999999999998"/>
    <n v="0.94971499999999998"/>
    <n v="0.95800544533193577"/>
    <n v="307100"/>
    <n v="5900"/>
    <n v="313000"/>
    <n v="41100"/>
    <n v="354100"/>
    <n v="0.21411947245927077"/>
    <n v="-0.35071090047393366"/>
    <n v="0.10277172220492059"/>
  </r>
  <r>
    <n v="2025"/>
    <s v="18132334499    "/>
    <n v="-1.6607312068216509"/>
    <n v="0.19"/>
    <m/>
    <s v="6"/>
    <s v="RES"/>
    <x v="0"/>
    <s v="11"/>
    <s v="259"/>
    <s v="TD"/>
    <s v="A"/>
    <s v="GD"/>
    <x v="8"/>
    <n v="84"/>
    <n v="52"/>
    <n v="1940"/>
    <n v="1972"/>
    <n v="1254"/>
    <m/>
    <m/>
    <n v="0"/>
    <m/>
    <m/>
    <n v="1254"/>
    <n v="1500"/>
    <n v="5"/>
    <m/>
    <m/>
    <m/>
    <m/>
    <m/>
    <m/>
    <m/>
    <n v="213578"/>
    <n v="149505"/>
    <n v="0"/>
    <n v="294600"/>
    <n v="56600"/>
    <n v="238000"/>
    <n v="0"/>
    <n v="0"/>
    <n v="89850.625589999996"/>
    <n v="-52569.808201026557"/>
    <n v="21557.329055999999"/>
    <n v="197752.34721000001"/>
    <n v="-11598.371226000001"/>
    <n v="61958.472025758005"/>
    <n v="0"/>
    <n v="0"/>
    <n v="0"/>
    <n v="18960.110526"/>
    <n v="0"/>
    <n v="0"/>
    <n v="288600"/>
    <n v="37300"/>
    <n v="325900"/>
    <n v="0.10624575695858791"/>
    <n v="0.99970000000000003"/>
    <n v="1.0067999999999999"/>
    <n v="0.99650000000000005"/>
    <n v="1.0157"/>
    <n v="0.98909999999999998"/>
    <n v="0.94971499999999998"/>
    <n v="0.95723696608169473"/>
    <n v="288600"/>
    <n v="0"/>
    <n v="288600"/>
    <n v="35400"/>
    <n v="324000"/>
    <n v="0.21260504201680672"/>
    <n v="-0.37455830388692579"/>
    <n v="9.9796334012219962E-2"/>
  </r>
  <r>
    <n v="2025"/>
    <s v="18132322015    "/>
    <n v="-1.7719568419318752"/>
    <n v="0.17"/>
    <n v="7313"/>
    <s v="6"/>
    <s v="RES"/>
    <x v="0"/>
    <s v="11"/>
    <s v="259"/>
    <s v="TD"/>
    <s v="A"/>
    <s v="FR"/>
    <x v="8"/>
    <n v="84"/>
    <n v="52"/>
    <n v="1940"/>
    <n v="1972"/>
    <n v="656"/>
    <m/>
    <n v="656"/>
    <n v="519"/>
    <n v="137"/>
    <m/>
    <n v="793"/>
    <n v="1000"/>
    <n v="8"/>
    <m/>
    <m/>
    <m/>
    <m/>
    <m/>
    <m/>
    <m/>
    <n v="155567"/>
    <n v="102674"/>
    <n v="3193"/>
    <n v="237100"/>
    <n v="52700"/>
    <n v="184400"/>
    <n v="0"/>
    <n v="0"/>
    <n v="89850.625589999996"/>
    <n v="-56090.612940989391"/>
    <n v="21557.329055999999"/>
    <n v="133714.53821"/>
    <n v="-11598.371226000001"/>
    <n v="32412.087439311999"/>
    <n v="0"/>
    <n v="0"/>
    <n v="19077.723282031999"/>
    <n v="30336.176841600001"/>
    <n v="0"/>
    <n v="3200"/>
    <n v="225500"/>
    <n v="33800"/>
    <n v="262500"/>
    <n v="0.10712779417967103"/>
    <n v="0.99970000000000003"/>
    <n v="1.0067999999999999"/>
    <n v="0.99329999999999996"/>
    <n v="1.0148999999999999"/>
    <n v="0.98909999999999998"/>
    <n v="0.94971499999999998"/>
    <n v="0.95341151768438748"/>
    <n v="225500"/>
    <n v="3000"/>
    <n v="228500"/>
    <n v="32100"/>
    <n v="260600"/>
    <n v="0.23915401301518438"/>
    <n v="-0.39089184060721061"/>
    <n v="9.9114297764656259E-2"/>
  </r>
  <r>
    <n v="2025"/>
    <s v="18132214009    "/>
    <n v="-1.8325814637483102"/>
    <n v="0.16"/>
    <n v="7017"/>
    <s v="6"/>
    <s v="RES"/>
    <x v="0"/>
    <s v="11"/>
    <s v="259"/>
    <s v="TD"/>
    <s v="A"/>
    <s v="GD"/>
    <x v="8"/>
    <n v="84"/>
    <n v="52"/>
    <n v="1940"/>
    <n v="1972"/>
    <n v="932"/>
    <m/>
    <n v="932"/>
    <n v="624"/>
    <n v="308"/>
    <m/>
    <n v="1240"/>
    <n v="1500"/>
    <n v="8"/>
    <m/>
    <m/>
    <m/>
    <m/>
    <m/>
    <m/>
    <m/>
    <n v="223835"/>
    <n v="156685"/>
    <n v="9312"/>
    <n v="318700"/>
    <n v="50600"/>
    <n v="268100"/>
    <n v="0"/>
    <n v="0"/>
    <n v="89850.625589999996"/>
    <n v="-58009.662049032086"/>
    <n v="21557.329055999999"/>
    <n v="197752.34721000001"/>
    <n v="-11598.371226000001"/>
    <n v="46048.880325364"/>
    <n v="0"/>
    <n v="0"/>
    <n v="27104.326370203999"/>
    <n v="30336.176841600001"/>
    <n v="0"/>
    <n v="9300"/>
    <n v="311200"/>
    <n v="31800"/>
    <n v="352300"/>
    <n v="0.10542830247882021"/>
    <n v="0.99970000000000003"/>
    <n v="1.0067999999999999"/>
    <n v="0.99650000000000005"/>
    <n v="1.0157"/>
    <n v="0.98909999999999998"/>
    <n v="0.94971499999999998"/>
    <n v="0.95723696608169473"/>
    <n v="311200"/>
    <n v="8800"/>
    <n v="320000"/>
    <n v="30200"/>
    <n v="350200"/>
    <n v="0.19358448340171577"/>
    <n v="-0.40316205533596838"/>
    <n v="9.8839033573893939E-2"/>
  </r>
  <r>
    <n v="2025"/>
    <s v="18132244014    "/>
    <n v="-0.77652878949899629"/>
    <n v="0.46"/>
    <n v="19823"/>
    <s v="6"/>
    <s v="RES"/>
    <x v="0"/>
    <s v="11"/>
    <s v="259"/>
    <s v="CC"/>
    <s v="G"/>
    <s v="GD"/>
    <x v="8"/>
    <n v="84"/>
    <n v="52"/>
    <n v="1940"/>
    <n v="1972"/>
    <n v="918"/>
    <n v="475"/>
    <n v="950"/>
    <n v="665"/>
    <n v="285"/>
    <m/>
    <n v="1678"/>
    <n v="2000"/>
    <n v="11"/>
    <m/>
    <m/>
    <n v="322"/>
    <m/>
    <m/>
    <m/>
    <m/>
    <n v="392904"/>
    <n v="275033"/>
    <n v="7465"/>
    <n v="406200"/>
    <n v="87500"/>
    <n v="318700"/>
    <n v="0"/>
    <n v="0"/>
    <n v="89850.625589999996"/>
    <n v="-24580.720443414604"/>
    <n v="44121.038090000002"/>
    <n v="197752.34721000001"/>
    <n v="-11598.371226000001"/>
    <n v="45357.158947085998"/>
    <n v="21273.550858974999"/>
    <n v="0"/>
    <n v="27627.800484649997"/>
    <n v="41712.243157199999"/>
    <n v="10721.155918872"/>
    <n v="7500"/>
    <n v="377000"/>
    <n v="65300"/>
    <n v="449800"/>
    <n v="0.10733628754308222"/>
    <n v="0.99970000000000003"/>
    <n v="0.98050000000000004"/>
    <n v="0.99650000000000005"/>
    <n v="1.0093000000000001"/>
    <n v="0.98909999999999998"/>
    <n v="0.94971499999999998"/>
    <n v="0.92635760994173622"/>
    <n v="377000"/>
    <n v="7100"/>
    <n v="384100"/>
    <n v="62000"/>
    <n v="446100"/>
    <n v="0.20520866018198933"/>
    <n v="-0.29142857142857143"/>
    <n v="9.8227474150664698E-2"/>
  </r>
  <r>
    <n v="2025"/>
    <s v="18132333009    "/>
    <n v="-1.5606477482646683"/>
    <n v="0.21"/>
    <m/>
    <s v="6"/>
    <s v="RES"/>
    <x v="0"/>
    <s v="11"/>
    <s v="259"/>
    <s v="CO"/>
    <s v="A+"/>
    <s v="GD"/>
    <x v="8"/>
    <n v="84"/>
    <n v="52"/>
    <n v="1940"/>
    <n v="1972"/>
    <n v="962"/>
    <n v="499"/>
    <n v="962"/>
    <n v="671"/>
    <n v="291"/>
    <m/>
    <n v="1752"/>
    <n v="2000"/>
    <n v="5"/>
    <m/>
    <m/>
    <m/>
    <m/>
    <m/>
    <m/>
    <m/>
    <n v="309284"/>
    <n v="216499"/>
    <n v="8156"/>
    <n v="345100"/>
    <n v="60100"/>
    <n v="285000"/>
    <n v="0"/>
    <n v="0"/>
    <n v="89850.625589999996"/>
    <n v="-49401.70477837498"/>
    <n v="29814.093161000001"/>
    <n v="197752.34721000001"/>
    <n v="-11598.371226000001"/>
    <n v="47531.140421674005"/>
    <n v="22348.425007638998"/>
    <n v="0"/>
    <n v="27976.783227614"/>
    <n v="18960.110526"/>
    <n v="0"/>
    <n v="8200"/>
    <n v="332800"/>
    <n v="40400"/>
    <n v="381400"/>
    <n v="0.10518690234714576"/>
    <n v="0.99970000000000003"/>
    <n v="1.0088999999999999"/>
    <n v="0.99650000000000005"/>
    <n v="1.0093000000000001"/>
    <n v="0.98909999999999998"/>
    <n v="0.94971499999999998"/>
    <n v="0.95318938569119571"/>
    <n v="332800"/>
    <n v="7700"/>
    <n v="340500"/>
    <n v="38400"/>
    <n v="378900"/>
    <n v="0.19473684210526315"/>
    <n v="-0.36106489184692181"/>
    <n v="9.7942625325992461E-2"/>
  </r>
  <r>
    <n v="2025"/>
    <s v="18132244498    "/>
    <n v="-1.5141277326297755"/>
    <n v="0.22"/>
    <n v="9549"/>
    <s v="6"/>
    <s v="RES"/>
    <x v="0"/>
    <s v="11"/>
    <s v="259"/>
    <s v="TD"/>
    <s v="A"/>
    <s v="AV"/>
    <x v="8"/>
    <n v="84"/>
    <n v="52"/>
    <n v="1940"/>
    <n v="1972"/>
    <n v="1377"/>
    <m/>
    <n v="774"/>
    <n v="374"/>
    <n v="400"/>
    <m/>
    <n v="1777"/>
    <n v="2000"/>
    <n v="8"/>
    <n v="327"/>
    <m/>
    <n v="582"/>
    <m/>
    <m/>
    <m/>
    <m/>
    <n v="298885"/>
    <n v="203242"/>
    <n v="0"/>
    <n v="319700"/>
    <n v="61700"/>
    <n v="258000"/>
    <n v="0"/>
    <n v="0"/>
    <n v="89850.625589999996"/>
    <n v="-47929.131559187132"/>
    <n v="21557.329055999999"/>
    <n v="160472.20319"/>
    <n v="-11598.371226000001"/>
    <n v="68035.738420629001"/>
    <n v="0"/>
    <n v="0"/>
    <n v="22509.386921178"/>
    <n v="30336.176841600001"/>
    <n v="19377.989890632001"/>
    <n v="0"/>
    <n v="310700"/>
    <n v="41900"/>
    <n v="352600"/>
    <n v="0.10290897716609321"/>
    <n v="0.99970000000000003"/>
    <n v="1.0067999999999999"/>
    <n v="0.99729999999999996"/>
    <n v="1.0093000000000001"/>
    <n v="0.98909999999999998"/>
    <n v="0.94971499999999998"/>
    <n v="0.95196898294134369"/>
    <n v="310700"/>
    <n v="0"/>
    <n v="310700"/>
    <n v="39800"/>
    <n v="350500"/>
    <n v="0.20426356589147288"/>
    <n v="-0.35494327390599678"/>
    <n v="9.6340319049108544E-2"/>
  </r>
  <r>
    <n v="2025"/>
    <s v="18132214423    "/>
    <n v="-1.7147984280919266"/>
    <n v="0.18"/>
    <n v="7781"/>
    <s v="6"/>
    <s v="RES"/>
    <x v="0"/>
    <s v="11"/>
    <s v="259"/>
    <s v="TD"/>
    <s v="A"/>
    <s v="FR"/>
    <x v="8"/>
    <n v="84"/>
    <n v="52"/>
    <n v="1940"/>
    <n v="1972"/>
    <n v="1027"/>
    <m/>
    <n v="1015"/>
    <n v="710"/>
    <n v="305"/>
    <m/>
    <n v="1332"/>
    <n v="1500"/>
    <n v="5"/>
    <m/>
    <m/>
    <m/>
    <m/>
    <m/>
    <m/>
    <m/>
    <n v="219432"/>
    <n v="144825"/>
    <n v="0"/>
    <n v="252400"/>
    <n v="54700"/>
    <n v="197700"/>
    <n v="0"/>
    <n v="0"/>
    <n v="89850.625589999996"/>
    <n v="-54281.285314520763"/>
    <n v="21557.329055999999"/>
    <n v="133714.53821"/>
    <n v="-11598.371226000001"/>
    <n v="50742.703963679"/>
    <n v="0"/>
    <n v="0"/>
    <n v="29518.123675704999"/>
    <n v="18960.110526"/>
    <n v="0"/>
    <n v="0"/>
    <n v="242900"/>
    <n v="35600"/>
    <n v="278500"/>
    <n v="0.10340729001584786"/>
    <n v="0.99970000000000003"/>
    <n v="1.0067999999999999"/>
    <n v="0.99329999999999996"/>
    <n v="1.0157"/>
    <n v="0.98909999999999998"/>
    <n v="0.94971499999999998"/>
    <n v="0.9541630490807298"/>
    <n v="242900"/>
    <n v="0"/>
    <n v="242900"/>
    <n v="33800"/>
    <n v="276700"/>
    <n v="0.22862923621648962"/>
    <n v="-0.38208409506398539"/>
    <n v="9.6275752773375592E-2"/>
  </r>
  <r>
    <n v="2025"/>
    <s v="18132214419    "/>
    <n v="-1.7147984280919266"/>
    <n v="0.18"/>
    <n v="7696"/>
    <s v="6"/>
    <s v="RES"/>
    <x v="0"/>
    <s v="11"/>
    <s v="259"/>
    <s v="TD"/>
    <s v="F+"/>
    <s v="FR"/>
    <x v="8"/>
    <n v="84"/>
    <n v="52"/>
    <n v="1940"/>
    <n v="1972"/>
    <n v="999"/>
    <m/>
    <n v="999"/>
    <n v="999"/>
    <n v="0"/>
    <m/>
    <n v="999"/>
    <n v="1000"/>
    <n v="5"/>
    <n v="312"/>
    <m/>
    <m/>
    <m/>
    <m/>
    <m/>
    <m/>
    <n v="208976"/>
    <n v="137924"/>
    <n v="0"/>
    <n v="231200"/>
    <n v="54700"/>
    <n v="176500"/>
    <n v="0"/>
    <n v="0"/>
    <n v="89850.625589999996"/>
    <n v="-54281.285314520763"/>
    <n v="0"/>
    <n v="133714.53821"/>
    <n v="-11598.371226000001"/>
    <n v="49359.261207123003"/>
    <n v="0"/>
    <n v="0"/>
    <n v="29052.813351752997"/>
    <n v="18960.110526"/>
    <n v="0"/>
    <n v="0"/>
    <n v="219500"/>
    <n v="35600"/>
    <n v="255100"/>
    <n v="0.10337370242214533"/>
    <n v="0.99970000000000003"/>
    <n v="0.99180000000000001"/>
    <n v="0.99329999999999996"/>
    <n v="1.0148999999999999"/>
    <n v="0.98909999999999998"/>
    <n v="0.94971499999999998"/>
    <n v="0.93920693607407202"/>
    <n v="219500"/>
    <n v="0"/>
    <n v="219500"/>
    <n v="33800"/>
    <n v="253300"/>
    <n v="0.24362606232294617"/>
    <n v="-0.38208409506398539"/>
    <n v="9.5588235294117641E-2"/>
  </r>
  <r>
    <n v="2025"/>
    <s v="18132332483    "/>
    <n v="-1.6094379124341003"/>
    <n v="0.2"/>
    <m/>
    <s v="6"/>
    <s v="RES"/>
    <x v="0"/>
    <s v="11"/>
    <s v="259"/>
    <s v="TD"/>
    <s v="G"/>
    <s v="GD"/>
    <x v="8"/>
    <n v="84"/>
    <n v="52"/>
    <n v="1940"/>
    <n v="1972"/>
    <n v="1200"/>
    <m/>
    <n v="990"/>
    <n v="692"/>
    <n v="298"/>
    <m/>
    <n v="1498"/>
    <n v="1500"/>
    <n v="5"/>
    <m/>
    <m/>
    <m/>
    <m/>
    <m/>
    <m/>
    <m/>
    <n v="325004"/>
    <n v="227503"/>
    <n v="10334"/>
    <n v="350500"/>
    <n v="58400"/>
    <n v="292100"/>
    <n v="0"/>
    <n v="0"/>
    <n v="89850.625589999996"/>
    <n v="-50946.13867709865"/>
    <n v="44121.038090000002"/>
    <n v="197752.34721000001"/>
    <n v="-11598.371226000001"/>
    <n v="59290.403852399999"/>
    <n v="0"/>
    <n v="0"/>
    <n v="28791.076294529998"/>
    <n v="18960.110526"/>
    <n v="0"/>
    <n v="10300"/>
    <n v="337300"/>
    <n v="38900"/>
    <n v="386500"/>
    <n v="0.10271041369472182"/>
    <n v="0.99970000000000003"/>
    <n v="0.98050000000000004"/>
    <n v="0.99650000000000005"/>
    <n v="1.0157"/>
    <n v="0.98909999999999998"/>
    <n v="0.94971499999999998"/>
    <n v="0.93223166988786421"/>
    <n v="337300"/>
    <n v="9800"/>
    <n v="347100"/>
    <n v="36900"/>
    <n v="384000"/>
    <n v="0.18829168093118795"/>
    <n v="-0.36815068493150682"/>
    <n v="9.5577746077032816E-2"/>
  </r>
  <r>
    <n v="2025"/>
    <s v="18132241064    "/>
    <n v="-1.6094379124341003"/>
    <n v="0.2"/>
    <n v="8618"/>
    <s v="6"/>
    <s v="RES"/>
    <x v="0"/>
    <s v="11"/>
    <s v="259"/>
    <s v="CC"/>
    <s v="A"/>
    <s v="GD"/>
    <x v="8"/>
    <n v="84"/>
    <n v="52"/>
    <n v="1940"/>
    <n v="1972"/>
    <n v="1046"/>
    <n v="572"/>
    <n v="1046"/>
    <n v="1046"/>
    <n v="0"/>
    <m/>
    <n v="1618"/>
    <n v="2000"/>
    <n v="7"/>
    <m/>
    <m/>
    <m/>
    <m/>
    <m/>
    <m/>
    <m/>
    <n v="287460"/>
    <n v="201222"/>
    <n v="6957"/>
    <n v="352800"/>
    <n v="58400"/>
    <n v="294400"/>
    <n v="0"/>
    <n v="0"/>
    <n v="89850.625589999996"/>
    <n v="-50946.13867709865"/>
    <n v="21557.329055999999"/>
    <n v="197752.34721000001"/>
    <n v="-11598.371226000001"/>
    <n v="51681.468691342001"/>
    <n v="25617.833876492001"/>
    <n v="0"/>
    <n v="30419.662428361997"/>
    <n v="26544.1547364"/>
    <n v="0"/>
    <n v="7000"/>
    <n v="342000"/>
    <n v="38900"/>
    <n v="387900"/>
    <n v="9.9489795918367346E-2"/>
    <n v="0.99970000000000003"/>
    <n v="1.0067999999999999"/>
    <n v="0.99650000000000005"/>
    <n v="1.0093000000000001"/>
    <n v="0.98909999999999998"/>
    <n v="0.94971499999999998"/>
    <n v="0.95120534593507355"/>
    <n v="342000"/>
    <n v="6600"/>
    <n v="348600"/>
    <n v="36900"/>
    <n v="385500"/>
    <n v="0.18410326086956522"/>
    <n v="-0.36815068493150682"/>
    <n v="9.2687074829931979E-2"/>
  </r>
  <r>
    <n v="2025"/>
    <s v="18132241468    "/>
    <n v="-1.7147984280919266"/>
    <n v="0.18"/>
    <n v="8040"/>
    <s v="6"/>
    <s v="RES"/>
    <x v="0"/>
    <s v="11"/>
    <s v=""/>
    <s v="TD"/>
    <s v="A"/>
    <s v="GD"/>
    <x v="8"/>
    <n v="84"/>
    <n v="52"/>
    <n v="1940"/>
    <n v="1972"/>
    <n v="1038"/>
    <m/>
    <n v="1043"/>
    <n v="730"/>
    <n v="313"/>
    <m/>
    <n v="1351"/>
    <n v="1500"/>
    <n v="5"/>
    <m/>
    <m/>
    <m/>
    <m/>
    <m/>
    <m/>
    <m/>
    <n v="229865"/>
    <n v="160906"/>
    <n v="6394"/>
    <n v="318800"/>
    <n v="54700"/>
    <n v="264100"/>
    <n v="0"/>
    <n v="0"/>
    <n v="89850.625589999996"/>
    <n v="-54281.285314520763"/>
    <n v="21557.329055999999"/>
    <n v="197752.34721000001"/>
    <n v="-11598.371226000001"/>
    <n v="51286.199332326003"/>
    <n v="0"/>
    <n v="0"/>
    <n v="30332.416742620997"/>
    <n v="18960.110526"/>
    <n v="0"/>
    <n v="6400"/>
    <n v="308300"/>
    <n v="35600"/>
    <n v="350300"/>
    <n v="9.8808030112923467E-2"/>
    <n v="0.99970000000000003"/>
    <n v="1.0067999999999999"/>
    <n v="0.99650000000000005"/>
    <n v="1.0157"/>
    <n v="0.98909999999999998"/>
    <n v="0.94971499999999998"/>
    <n v="0.95723696608169473"/>
    <n v="308300"/>
    <n v="6100"/>
    <n v="314400"/>
    <n v="33800"/>
    <n v="348200"/>
    <n v="0.1904581597879591"/>
    <n v="-0.38208409506398539"/>
    <n v="9.2220828105395239E-2"/>
  </r>
  <r>
    <n v="2025"/>
    <s v="18132241463    "/>
    <n v="-1.7147984280919266"/>
    <n v="0.18"/>
    <n v="8040"/>
    <s v="6"/>
    <s v="RES"/>
    <x v="0"/>
    <s v="11"/>
    <s v="259"/>
    <s v="TD"/>
    <s v="A"/>
    <s v="AV"/>
    <x v="8"/>
    <n v="84"/>
    <n v="52"/>
    <n v="1940"/>
    <n v="1972"/>
    <n v="862"/>
    <m/>
    <n v="742"/>
    <n v="742"/>
    <m/>
    <m/>
    <n v="862"/>
    <n v="1000"/>
    <n v="5"/>
    <m/>
    <m/>
    <m/>
    <m/>
    <m/>
    <m/>
    <m/>
    <n v="172678"/>
    <n v="117421"/>
    <n v="8321"/>
    <n v="270400"/>
    <n v="54700"/>
    <n v="215700"/>
    <n v="0"/>
    <n v="0"/>
    <n v="89850.625589999996"/>
    <n v="-54281.285314520763"/>
    <n v="21557.329055999999"/>
    <n v="160472.20319"/>
    <n v="-11598.371226000001"/>
    <n v="42590.273433973998"/>
    <n v="0"/>
    <n v="0"/>
    <n v="21578.766273273999"/>
    <n v="18960.110526"/>
    <n v="0"/>
    <n v="8300"/>
    <n v="253600"/>
    <n v="35600"/>
    <n v="297500"/>
    <n v="0.10022189349112426"/>
    <n v="0.99970000000000003"/>
    <n v="1.0067999999999999"/>
    <n v="0.99729999999999996"/>
    <n v="1.0148999999999999"/>
    <n v="0.98909999999999998"/>
    <n v="0.94971499999999998"/>
    <n v="0.95725088753311172"/>
    <n v="253600"/>
    <n v="7900"/>
    <n v="261500"/>
    <n v="33800"/>
    <n v="295300"/>
    <n v="0.2123319425127492"/>
    <n v="-0.38208409506398539"/>
    <n v="9.2085798816568046E-2"/>
  </r>
  <r>
    <n v="2025"/>
    <s v="18132313475    "/>
    <n v="-1.7719568419318752"/>
    <n v="0.17"/>
    <n v="7205"/>
    <s v="6"/>
    <s v="RES"/>
    <x v="0"/>
    <s v="11"/>
    <s v="259"/>
    <s v="CC"/>
    <s v="G"/>
    <s v="GD"/>
    <x v="8"/>
    <n v="84"/>
    <n v="32"/>
    <n v="1940"/>
    <n v="1992"/>
    <n v="1273"/>
    <n v="928"/>
    <n v="1273"/>
    <n v="0"/>
    <n v="1273"/>
    <m/>
    <n v="3474"/>
    <n v="3500"/>
    <n v="12"/>
    <m/>
    <m/>
    <n v="408"/>
    <m/>
    <m/>
    <m/>
    <m/>
    <n v="558744"/>
    <n v="480520"/>
    <n v="9040"/>
    <n v="435900"/>
    <n v="52700"/>
    <n v="383200"/>
    <n v="0"/>
    <n v="0"/>
    <n v="89850.625589999996"/>
    <n v="-56090.612940989391"/>
    <n v="44121.038090000002"/>
    <n v="197752.34721000001"/>
    <n v="-7137.4592160000002"/>
    <n v="62897.236753420999"/>
    <n v="41561.800415008001"/>
    <n v="0"/>
    <n v="37021.252649431"/>
    <n v="45504.265262400004"/>
    <n v="13584.570232608001"/>
    <n v="9000"/>
    <n v="435300"/>
    <n v="33800"/>
    <n v="478100"/>
    <n v="9.6811195228263369E-2"/>
    <n v="0.99970000000000003"/>
    <n v="0.98050000000000004"/>
    <n v="0.99650000000000005"/>
    <n v="1.0126999999999999"/>
    <n v="0.98909999999999998"/>
    <n v="0.94971499999999998"/>
    <n v="0.92947820428811667"/>
    <n v="435300"/>
    <n v="8600"/>
    <n v="443900"/>
    <n v="32100"/>
    <n v="476000"/>
    <n v="0.15840292275574114"/>
    <n v="-0.39089184060721061"/>
    <n v="9.1993576508373476E-2"/>
  </r>
  <r>
    <n v="2025"/>
    <s v="18132334426    "/>
    <n v="-1.4696759700589417"/>
    <n v="0.23"/>
    <m/>
    <s v="6"/>
    <s v="RES"/>
    <x v="0"/>
    <s v="11"/>
    <s v="259"/>
    <s v="TD"/>
    <s v="A"/>
    <s v="GD"/>
    <x v="8"/>
    <n v="84"/>
    <n v="52"/>
    <n v="1940"/>
    <n v="1972"/>
    <n v="1677"/>
    <m/>
    <m/>
    <n v="0"/>
    <m/>
    <m/>
    <n v="1677"/>
    <n v="2000"/>
    <n v="5"/>
    <m/>
    <m/>
    <m/>
    <m/>
    <m/>
    <m/>
    <m/>
    <n v="236822"/>
    <n v="165775"/>
    <n v="11735"/>
    <n v="331400"/>
    <n v="63300"/>
    <n v="268100"/>
    <n v="0"/>
    <n v="0"/>
    <n v="89850.625589999996"/>
    <n v="-46522.028095997222"/>
    <n v="21557.329055999999"/>
    <n v="197752.34721000001"/>
    <n v="-11598.371226000001"/>
    <n v="82858.339383729006"/>
    <n v="0"/>
    <n v="0"/>
    <n v="0"/>
    <n v="18960.110526"/>
    <n v="0"/>
    <n v="11700"/>
    <n v="309500"/>
    <n v="43300"/>
    <n v="364500"/>
    <n v="9.9879299939649974E-2"/>
    <n v="0.99970000000000003"/>
    <n v="1.0067999999999999"/>
    <n v="0.99650000000000005"/>
    <n v="1.0093000000000001"/>
    <n v="0.98909999999999998"/>
    <n v="0.94971499999999998"/>
    <n v="0.95120534593507355"/>
    <n v="309500"/>
    <n v="11100"/>
    <n v="320600"/>
    <n v="41100"/>
    <n v="361700"/>
    <n v="0.195822454308094"/>
    <n v="-0.35071090047393366"/>
    <n v="9.1430295715147852E-2"/>
  </r>
  <r>
    <n v="2025"/>
    <s v="18132332485    "/>
    <n v="-1.5141277326297755"/>
    <n v="0.22"/>
    <m/>
    <s v="6"/>
    <s v="RES"/>
    <x v="0"/>
    <s v="11"/>
    <s v="259"/>
    <s v="CC"/>
    <s v="G"/>
    <s v="GD"/>
    <x v="8"/>
    <n v="84"/>
    <n v="52"/>
    <n v="1940"/>
    <n v="1972"/>
    <n v="1562"/>
    <n v="700"/>
    <n v="992"/>
    <n v="496"/>
    <n v="496"/>
    <m/>
    <n v="2758"/>
    <n v="3000"/>
    <n v="12"/>
    <m/>
    <m/>
    <n v="343"/>
    <m/>
    <m/>
    <m/>
    <m/>
    <n v="564410"/>
    <n v="395087"/>
    <n v="12258"/>
    <n v="436700"/>
    <n v="61700"/>
    <n v="375000"/>
    <n v="0"/>
    <n v="0"/>
    <n v="89850.625589999996"/>
    <n v="-47929.131559187132"/>
    <n v="44121.038090000002"/>
    <n v="197752.34721000001"/>
    <n v="-11598.371226000001"/>
    <n v="77176.342347874001"/>
    <n v="31350.496002699998"/>
    <n v="0"/>
    <n v="28849.240085023997"/>
    <n v="45504.265262400004"/>
    <n v="11420.361739668002"/>
    <n v="12300"/>
    <n v="424600"/>
    <n v="41900"/>
    <n v="478800"/>
    <n v="9.6404854591252573E-2"/>
    <n v="0.99970000000000003"/>
    <n v="0.98050000000000004"/>
    <n v="0.99650000000000005"/>
    <n v="0.96179999999999999"/>
    <n v="0.98909999999999998"/>
    <n v="0.94971499999999998"/>
    <n v="0.88276107127906644"/>
    <n v="424600"/>
    <n v="11600"/>
    <n v="436200"/>
    <n v="39800"/>
    <n v="476000"/>
    <n v="0.16320000000000001"/>
    <n v="-0.35494327390599678"/>
    <n v="8.9993130295397294E-2"/>
  </r>
  <r>
    <n v="2025"/>
    <s v="18132241476    "/>
    <n v="-1.6094379124341003"/>
    <n v="0.2"/>
    <n v="8618"/>
    <s v="6"/>
    <s v="RES"/>
    <x v="0"/>
    <s v="11"/>
    <s v="259"/>
    <s v="CP"/>
    <s v="G"/>
    <s v="GD"/>
    <x v="8"/>
    <n v="84"/>
    <n v="52"/>
    <n v="1940"/>
    <n v="1972"/>
    <n v="1551"/>
    <m/>
    <n v="1222"/>
    <n v="0"/>
    <n v="1222"/>
    <m/>
    <n v="2773"/>
    <n v="3000"/>
    <n v="10"/>
    <m/>
    <m/>
    <n v="640"/>
    <m/>
    <m/>
    <m/>
    <m/>
    <n v="521407"/>
    <n v="364985"/>
    <n v="10334"/>
    <n v="411600"/>
    <n v="58400"/>
    <n v="353200"/>
    <n v="0"/>
    <n v="0"/>
    <n v="89850.625589999996"/>
    <n v="-50946.13867709865"/>
    <n v="44121.038090000002"/>
    <n v="197752.34721000001"/>
    <n v="-11598.371226000001"/>
    <n v="76632.846979227004"/>
    <n v="0"/>
    <n v="0"/>
    <n v="35538.075991833997"/>
    <n v="37920.221052000001"/>
    <n v="21309.129776640002"/>
    <n v="10300"/>
    <n v="401700"/>
    <n v="38900"/>
    <n v="450900"/>
    <n v="9.5481049562682219E-2"/>
    <n v="0.99970000000000003"/>
    <n v="0.98050000000000004"/>
    <n v="0.99650000000000005"/>
    <n v="0.96179999999999999"/>
    <n v="0.98909999999999998"/>
    <n v="0.94971499999999998"/>
    <n v="0.88276107127906644"/>
    <n v="401700"/>
    <n v="9800"/>
    <n v="411500"/>
    <n v="36900"/>
    <n v="448400"/>
    <n v="0.16506228765571915"/>
    <n v="-0.36815068493150682"/>
    <n v="8.9407191448007781E-2"/>
  </r>
  <r>
    <n v="2025"/>
    <s v="18132344487    "/>
    <n v="-1.8971199848858813"/>
    <n v="0.15"/>
    <m/>
    <s v="6"/>
    <s v="RES"/>
    <x v="0"/>
    <s v="11"/>
    <s v="259"/>
    <s v="CC"/>
    <s v="A"/>
    <s v="GD"/>
    <x v="8"/>
    <n v="84"/>
    <n v="52"/>
    <n v="1940"/>
    <n v="1972"/>
    <n v="1156"/>
    <n v="696"/>
    <n v="1156"/>
    <n v="656"/>
    <n v="500"/>
    <m/>
    <n v="2352"/>
    <n v="2500"/>
    <n v="8"/>
    <m/>
    <m/>
    <m/>
    <m/>
    <m/>
    <m/>
    <m/>
    <n v="331195"/>
    <n v="231837"/>
    <n v="7640"/>
    <n v="363400"/>
    <n v="48400"/>
    <n v="315000"/>
    <n v="0"/>
    <n v="0"/>
    <n v="89850.625589999996"/>
    <n v="-60052.604136134301"/>
    <n v="21557.329055999999"/>
    <n v="197752.34721000001"/>
    <n v="-11598.371226000001"/>
    <n v="57116.422377811999"/>
    <n v="31171.350311255999"/>
    <n v="0"/>
    <n v="33618.670905531995"/>
    <n v="30336.176841600001"/>
    <n v="0"/>
    <n v="7600"/>
    <n v="360000"/>
    <n v="29800"/>
    <n v="397400"/>
    <n v="9.3560814529444133E-2"/>
    <n v="0.99970000000000003"/>
    <n v="1.0067999999999999"/>
    <n v="0.99650000000000005"/>
    <n v="0.98919999999999997"/>
    <n v="0.98909999999999998"/>
    <n v="0.94971499999999998"/>
    <n v="0.9322622889120924"/>
    <n v="360000"/>
    <n v="7300"/>
    <n v="367300"/>
    <n v="28300"/>
    <n v="395600"/>
    <n v="0.16603174603174603"/>
    <n v="-0.41528925619834711"/>
    <n v="8.8607594936708861E-2"/>
  </r>
  <r>
    <n v="2025"/>
    <s v="18132214456    "/>
    <n v="-1.6607312068216509"/>
    <n v="0.19"/>
    <n v="8456"/>
    <s v="6"/>
    <s v="RES"/>
    <x v="0"/>
    <s v="11"/>
    <s v="259"/>
    <s v="BG"/>
    <s v="A"/>
    <s v="GD"/>
    <x v="8"/>
    <n v="84"/>
    <n v="52"/>
    <n v="1940"/>
    <n v="1972"/>
    <n v="855"/>
    <m/>
    <n v="855"/>
    <n v="0"/>
    <n v="855"/>
    <m/>
    <n v="1710"/>
    <n v="2000"/>
    <n v="8"/>
    <m/>
    <m/>
    <n v="180"/>
    <m/>
    <m/>
    <m/>
    <m/>
    <n v="224736"/>
    <n v="157315"/>
    <n v="5261"/>
    <n v="323400"/>
    <n v="56600"/>
    <n v="266800"/>
    <n v="0"/>
    <n v="0"/>
    <n v="89850.625589999996"/>
    <n v="-52569.808201026557"/>
    <n v="21557.329055999999"/>
    <n v="197752.34721000001"/>
    <n v="-11598.371226000001"/>
    <n v="42244.412744835005"/>
    <n v="0"/>
    <n v="0"/>
    <n v="24865.020436184997"/>
    <n v="30336.176841600001"/>
    <n v="5993.1927496800008"/>
    <n v="5300"/>
    <n v="311200"/>
    <n v="37300"/>
    <n v="353800"/>
    <n v="9.4001236858379716E-2"/>
    <n v="0.99970000000000003"/>
    <n v="1.0067999999999999"/>
    <n v="0.99650000000000005"/>
    <n v="1.0093000000000001"/>
    <n v="0.98909999999999998"/>
    <n v="0.94971499999999998"/>
    <n v="0.95120534593507355"/>
    <n v="311200"/>
    <n v="5000"/>
    <n v="316200"/>
    <n v="35400"/>
    <n v="351600"/>
    <n v="0.18515742128935533"/>
    <n v="-0.37455830388692579"/>
    <n v="8.7198515769944335E-2"/>
  </r>
  <r>
    <n v="2025"/>
    <s v="18132214417    "/>
    <n v="-1.7147984280919266"/>
    <n v="0.18"/>
    <n v="7630"/>
    <s v="6"/>
    <s v="RES"/>
    <x v="0"/>
    <s v="11"/>
    <s v="400"/>
    <s v="TD"/>
    <s v="A+"/>
    <s v="FR"/>
    <x v="8"/>
    <n v="84"/>
    <n v="52"/>
    <n v="1940"/>
    <n v="1972"/>
    <n v="892"/>
    <m/>
    <m/>
    <n v="0"/>
    <m/>
    <m/>
    <n v="892"/>
    <n v="1000"/>
    <n v="5"/>
    <m/>
    <m/>
    <m/>
    <m/>
    <m/>
    <m/>
    <m/>
    <n v="183936"/>
    <n v="121398"/>
    <n v="16760"/>
    <n v="243500"/>
    <n v="54700"/>
    <n v="188800"/>
    <n v="0"/>
    <n v="0"/>
    <n v="89850.625589999996"/>
    <n v="-54281.285314520763"/>
    <n v="29814.093161000001"/>
    <n v="133714.53821"/>
    <n v="-11598.371226000001"/>
    <n v="44072.533530284003"/>
    <n v="0"/>
    <n v="0"/>
    <n v="0"/>
    <n v="18960.110526"/>
    <n v="0"/>
    <n v="16800"/>
    <n v="215000"/>
    <n v="35600"/>
    <n v="267400"/>
    <n v="9.8151950718685835E-2"/>
    <n v="0.99970000000000003"/>
    <n v="1.0088999999999999"/>
    <n v="0.99329999999999996"/>
    <n v="1.0148999999999999"/>
    <n v="0.98909999999999998"/>
    <n v="0.94971499999999998"/>
    <n v="0.95540015910983178"/>
    <n v="215000"/>
    <n v="15900"/>
    <n v="230900"/>
    <n v="33800"/>
    <n v="264700"/>
    <n v="0.22298728813559321"/>
    <n v="-0.38208409506398539"/>
    <n v="8.7063655030800824E-2"/>
  </r>
  <r>
    <n v="2025"/>
    <s v="18132241035    "/>
    <n v="-1.4696759700589417"/>
    <n v="0.23"/>
    <n v="10039"/>
    <s v="6"/>
    <s v="RES"/>
    <x v="0"/>
    <s v="11"/>
    <s v="259"/>
    <s v="TD"/>
    <s v="A"/>
    <s v="AV"/>
    <x v="8"/>
    <n v="84"/>
    <n v="52"/>
    <n v="1940"/>
    <n v="1972"/>
    <n v="1203"/>
    <m/>
    <n v="1203"/>
    <n v="1203"/>
    <m/>
    <m/>
    <n v="1203"/>
    <n v="1500"/>
    <n v="5"/>
    <m/>
    <m/>
    <m/>
    <m/>
    <m/>
    <m/>
    <m/>
    <n v="249246"/>
    <n v="169487"/>
    <n v="11645"/>
    <n v="309100"/>
    <n v="63300"/>
    <n v="245800"/>
    <n v="0"/>
    <n v="0"/>
    <n v="89850.625589999996"/>
    <n v="-46522.028095997222"/>
    <n v="21557.329055999999"/>
    <n v="160472.20319"/>
    <n v="-11598.371226000001"/>
    <n v="59438.629862031004"/>
    <n v="0"/>
    <n v="0"/>
    <n v="34985.519982140999"/>
    <n v="18960.110526"/>
    <n v="0"/>
    <n v="11600"/>
    <n v="283800"/>
    <n v="43300"/>
    <n v="338700"/>
    <n v="9.5761889356195409E-2"/>
    <n v="0.99970000000000003"/>
    <n v="1.0067999999999999"/>
    <n v="0.99729999999999996"/>
    <n v="1.0157"/>
    <n v="0.98909999999999998"/>
    <n v="0.94971499999999998"/>
    <n v="0.95800544533193577"/>
    <n v="283800"/>
    <n v="11100"/>
    <n v="294900"/>
    <n v="41100"/>
    <n v="336000"/>
    <n v="0.19975589910496339"/>
    <n v="-0.35071090047393366"/>
    <n v="8.7026852151407305E-2"/>
  </r>
  <r>
    <n v="2025"/>
    <s v="18132324474    "/>
    <n v="-1.8325814637483102"/>
    <n v="0.16"/>
    <m/>
    <s v="6"/>
    <s v="RES"/>
    <x v="0"/>
    <s v="11"/>
    <s v="259"/>
    <s v="TD"/>
    <s v="A"/>
    <s v="AV"/>
    <x v="8"/>
    <n v="84"/>
    <n v="52"/>
    <n v="1940"/>
    <n v="1972"/>
    <n v="1261"/>
    <m/>
    <n v="1173"/>
    <n v="673"/>
    <n v="500"/>
    <m/>
    <n v="1761"/>
    <n v="2000"/>
    <n v="8"/>
    <m/>
    <m/>
    <n v="274"/>
    <m/>
    <m/>
    <m/>
    <m/>
    <n v="281606"/>
    <n v="191492"/>
    <n v="5261"/>
    <n v="314200"/>
    <n v="50600"/>
    <n v="263600"/>
    <n v="0"/>
    <n v="0"/>
    <n v="89850.625589999996"/>
    <n v="-58009.662049032086"/>
    <n v="21557.329055999999"/>
    <n v="160472.20319"/>
    <n v="-11598.371226000001"/>
    <n v="62304.332714896998"/>
    <n v="0"/>
    <n v="0"/>
    <n v="34113.063124731001"/>
    <n v="30336.176841600001"/>
    <n v="9122.971185624001"/>
    <n v="5300"/>
    <n v="306300"/>
    <n v="31800"/>
    <n v="343400"/>
    <n v="9.2934436664544873E-2"/>
    <n v="0.99970000000000003"/>
    <n v="1.0067999999999999"/>
    <n v="0.99729999999999996"/>
    <n v="1.0093000000000001"/>
    <n v="0.98909999999999998"/>
    <n v="0.94971499999999998"/>
    <n v="0.95196898294134369"/>
    <n v="306300"/>
    <n v="5000"/>
    <n v="311300"/>
    <n v="30200"/>
    <n v="341500"/>
    <n v="0.18095599393019726"/>
    <n v="-0.40316205533596838"/>
    <n v="8.6887332908975171E-2"/>
  </r>
  <r>
    <n v="2025"/>
    <s v="18132241411    "/>
    <n v="-2.120263536200091"/>
    <n v="0.12"/>
    <n v="5444"/>
    <s v="6"/>
    <s v="RES"/>
    <x v="0"/>
    <s v="11"/>
    <s v="259"/>
    <s v="BG"/>
    <s v="A"/>
    <s v="AV"/>
    <x v="8"/>
    <n v="84"/>
    <n v="52"/>
    <n v="1940"/>
    <n v="1972"/>
    <n v="968"/>
    <m/>
    <n v="984"/>
    <n v="734"/>
    <n v="250"/>
    <m/>
    <n v="1218"/>
    <n v="1500"/>
    <n v="5"/>
    <m/>
    <m/>
    <m/>
    <m/>
    <m/>
    <m/>
    <m/>
    <n v="212929"/>
    <n v="144792"/>
    <n v="9004"/>
    <n v="272400"/>
    <n v="40600"/>
    <n v="231800"/>
    <n v="0"/>
    <n v="0"/>
    <n v="89850.625589999996"/>
    <n v="-67116.12750806773"/>
    <n v="21557.329055999999"/>
    <n v="160472.20319"/>
    <n v="-11598.371226000001"/>
    <n v="47827.592440936001"/>
    <n v="0"/>
    <n v="0"/>
    <n v="28616.584923047998"/>
    <n v="18960.110526"/>
    <n v="0"/>
    <n v="9000"/>
    <n v="265800"/>
    <n v="22700"/>
    <n v="297500"/>
    <n v="9.2143906020557997E-2"/>
    <n v="0.99970000000000003"/>
    <n v="1.0067999999999999"/>
    <n v="0.99729999999999996"/>
    <n v="1.0157"/>
    <n v="0.98909999999999998"/>
    <n v="0.94971499999999998"/>
    <n v="0.95800544533193577"/>
    <n v="265800"/>
    <n v="8600"/>
    <n v="274400"/>
    <n v="21600"/>
    <n v="296000"/>
    <n v="0.18377911993097498"/>
    <n v="-0.46798029556650245"/>
    <n v="8.6637298091042578E-2"/>
  </r>
  <r>
    <n v="2025"/>
    <s v="18132324475    "/>
    <n v="-1.8325814637483102"/>
    <n v="0.16"/>
    <m/>
    <s v="6"/>
    <s v="RES"/>
    <x v="0"/>
    <s v="11"/>
    <s v="259"/>
    <s v="TD"/>
    <s v="A"/>
    <s v="AV"/>
    <x v="8"/>
    <n v="84"/>
    <n v="52"/>
    <n v="1940"/>
    <n v="1972"/>
    <n v="781"/>
    <m/>
    <n v="781"/>
    <n v="0"/>
    <n v="781"/>
    <m/>
    <n v="1562"/>
    <n v="2000"/>
    <n v="9"/>
    <m/>
    <m/>
    <n v="529"/>
    <m/>
    <m/>
    <m/>
    <m/>
    <n v="222912"/>
    <n v="151580"/>
    <n v="5261"/>
    <n v="293300"/>
    <n v="50600"/>
    <n v="242700"/>
    <n v="0"/>
    <n v="0"/>
    <n v="89850.625589999996"/>
    <n v="-58009.662049032086"/>
    <n v="21557.329055999999"/>
    <n v="160472.20319"/>
    <n v="-11598.371226000001"/>
    <n v="38588.171173937"/>
    <n v="0"/>
    <n v="0"/>
    <n v="22712.960187907"/>
    <n v="34128.198946800003"/>
    <n v="17613.327581004003"/>
    <n v="5300"/>
    <n v="283500"/>
    <n v="31800"/>
    <n v="320600"/>
    <n v="9.3078758949880672E-2"/>
    <n v="0.99970000000000003"/>
    <n v="1.0067999999999999"/>
    <n v="0.99729999999999996"/>
    <n v="1.0093000000000001"/>
    <n v="0.98909999999999998"/>
    <n v="0.94971499999999998"/>
    <n v="0.95196898294134369"/>
    <n v="283500"/>
    <n v="5000"/>
    <n v="288500"/>
    <n v="30200"/>
    <n v="318700"/>
    <n v="0.18871034198599093"/>
    <n v="-0.40316205533596838"/>
    <n v="8.660075008523696E-2"/>
  </r>
  <r>
    <n v="2025"/>
    <s v="18132344435    "/>
    <n v="-1.8971199848858813"/>
    <n v="0.15"/>
    <m/>
    <s v="6"/>
    <s v="RES"/>
    <x v="0"/>
    <s v="11"/>
    <s v="400"/>
    <s v="TD"/>
    <s v="F+"/>
    <s v="GD"/>
    <x v="8"/>
    <n v="84"/>
    <n v="52"/>
    <n v="1940"/>
    <n v="1972"/>
    <n v="782"/>
    <m/>
    <m/>
    <n v="0"/>
    <m/>
    <m/>
    <n v="782"/>
    <n v="1000"/>
    <n v="5"/>
    <m/>
    <m/>
    <m/>
    <m/>
    <m/>
    <m/>
    <m/>
    <n v="120906"/>
    <n v="84634"/>
    <n v="0"/>
    <n v="250500"/>
    <n v="48400"/>
    <n v="202100"/>
    <n v="0"/>
    <n v="0"/>
    <n v="89850.625589999996"/>
    <n v="-60052.604136134301"/>
    <n v="0"/>
    <n v="197752.34721000001"/>
    <n v="-11598.371226000001"/>
    <n v="38637.579843814005"/>
    <n v="0"/>
    <n v="0"/>
    <n v="0"/>
    <n v="18960.110526"/>
    <n v="0"/>
    <n v="0"/>
    <n v="243800"/>
    <n v="29800"/>
    <n v="273600"/>
    <n v="9.2215568862275443E-2"/>
    <n v="0.99970000000000003"/>
    <n v="0.99180000000000001"/>
    <n v="0.99650000000000005"/>
    <n v="1.0148999999999999"/>
    <n v="0.98909999999999998"/>
    <n v="0.94971499999999998"/>
    <n v="0.94223267069144567"/>
    <n v="243800"/>
    <n v="0"/>
    <n v="243800"/>
    <n v="28300"/>
    <n v="272100"/>
    <n v="0.20633349826818406"/>
    <n v="-0.41528925619834711"/>
    <n v="8.6227544910179643E-2"/>
  </r>
  <r>
    <n v="2025"/>
    <s v="18132334436    "/>
    <n v="-1.8325814637483102"/>
    <n v="0.16"/>
    <m/>
    <s v="6"/>
    <s v="RES"/>
    <x v="0"/>
    <s v="11"/>
    <s v="259"/>
    <s v="TD"/>
    <s v="A"/>
    <s v="AV"/>
    <x v="8"/>
    <n v="84"/>
    <n v="52"/>
    <n v="1940"/>
    <n v="1972"/>
    <n v="1124"/>
    <m/>
    <n v="1124"/>
    <n v="1124"/>
    <m/>
    <m/>
    <n v="1124"/>
    <n v="1500"/>
    <n v="7"/>
    <m/>
    <m/>
    <m/>
    <m/>
    <m/>
    <m/>
    <m/>
    <n v="229445"/>
    <n v="156023"/>
    <n v="7107"/>
    <n v="296900"/>
    <n v="50600"/>
    <n v="246300"/>
    <n v="0"/>
    <n v="0"/>
    <n v="89850.625589999996"/>
    <n v="-58009.662049032086"/>
    <n v="21557.329055999999"/>
    <n v="160472.20319"/>
    <n v="-11598.371226000001"/>
    <n v="55535.344941748001"/>
    <n v="0"/>
    <n v="0"/>
    <n v="32688.050257627998"/>
    <n v="26544.1547364"/>
    <n v="0"/>
    <n v="7100"/>
    <n v="285200"/>
    <n v="31800"/>
    <n v="324100"/>
    <n v="9.1613337824183225E-2"/>
    <n v="0.99970000000000003"/>
    <n v="1.0067999999999999"/>
    <n v="0.99729999999999996"/>
    <n v="1.0157"/>
    <n v="0.98909999999999998"/>
    <n v="0.94971499999999998"/>
    <n v="0.95800544533193577"/>
    <n v="285200"/>
    <n v="6700"/>
    <n v="291900"/>
    <n v="30200"/>
    <n v="322100"/>
    <n v="0.18514007308160779"/>
    <n v="-0.40316205533596838"/>
    <n v="8.4877062984169749E-2"/>
  </r>
  <r>
    <n v="2025"/>
    <s v="18132214449    "/>
    <n v="-1.6607312068216509"/>
    <n v="0.19"/>
    <n v="8490"/>
    <s v="6"/>
    <s v="RES"/>
    <x v="0"/>
    <s v="11"/>
    <s v="259"/>
    <s v="TD"/>
    <s v="A"/>
    <s v="GD"/>
    <x v="8"/>
    <n v="84"/>
    <n v="52"/>
    <n v="1940"/>
    <n v="1972"/>
    <n v="1016"/>
    <m/>
    <n v="1016"/>
    <n v="266"/>
    <n v="750"/>
    <m/>
    <n v="1766"/>
    <n v="2000"/>
    <n v="10"/>
    <m/>
    <m/>
    <n v="108"/>
    <m/>
    <m/>
    <m/>
    <m/>
    <n v="249346"/>
    <n v="174542"/>
    <n v="5261"/>
    <n v="340600"/>
    <n v="56600"/>
    <n v="284000"/>
    <n v="0"/>
    <n v="0"/>
    <n v="89850.625589999996"/>
    <n v="-52569.808201026557"/>
    <n v="21557.329055999999"/>
    <n v="197752.34721000001"/>
    <n v="-11598.371226000001"/>
    <n v="50199.208595032003"/>
    <n v="0"/>
    <n v="0"/>
    <n v="29547.205570951999"/>
    <n v="37920.221052000001"/>
    <n v="3595.9156498080001"/>
    <n v="5300"/>
    <n v="329000"/>
    <n v="37300"/>
    <n v="371600"/>
    <n v="9.1015854374632998E-2"/>
    <n v="0.99970000000000003"/>
    <n v="1.0067999999999999"/>
    <n v="0.99650000000000005"/>
    <n v="1.0093000000000001"/>
    <n v="0.98909999999999998"/>
    <n v="0.94971499999999998"/>
    <n v="0.95120534593507355"/>
    <n v="329000"/>
    <n v="5000"/>
    <n v="334000"/>
    <n v="35400"/>
    <n v="369400"/>
    <n v="0.176056338028169"/>
    <n v="-0.37455830388692579"/>
    <n v="8.4556664709336468E-2"/>
  </r>
  <r>
    <n v="2025"/>
    <s v="18132334430    "/>
    <n v="-1.9661128563728327"/>
    <n v="0.14000000000000001"/>
    <m/>
    <s v="6"/>
    <s v="RES"/>
    <x v="0"/>
    <s v="11"/>
    <s v="259"/>
    <s v="TD"/>
    <s v="F+"/>
    <s v="GD"/>
    <x v="8"/>
    <n v="84"/>
    <n v="52"/>
    <n v="1940"/>
    <n v="1972"/>
    <n v="1085"/>
    <m/>
    <n v="280"/>
    <n v="280"/>
    <m/>
    <m/>
    <n v="1085"/>
    <n v="1500"/>
    <n v="5"/>
    <m/>
    <m/>
    <m/>
    <m/>
    <m/>
    <m/>
    <m/>
    <n v="186800"/>
    <n v="130760"/>
    <n v="6480"/>
    <n v="276100"/>
    <n v="46000"/>
    <n v="230100"/>
    <n v="0"/>
    <n v="0"/>
    <n v="89850.625589999996"/>
    <n v="-62236.546971921947"/>
    <n v="0"/>
    <n v="197752.34721000001"/>
    <n v="-11598.371226000001"/>
    <n v="53608.406816545001"/>
    <n v="0"/>
    <n v="0"/>
    <n v="8142.9306691599995"/>
    <n v="18960.110526"/>
    <n v="0"/>
    <n v="6500"/>
    <n v="266900"/>
    <n v="27600"/>
    <n v="301000"/>
    <n v="9.0184715682723654E-2"/>
    <n v="0.99970000000000003"/>
    <n v="0.99180000000000001"/>
    <n v="0.99650000000000005"/>
    <n v="1.0157"/>
    <n v="0.98909999999999998"/>
    <n v="0.94971499999999998"/>
    <n v="0.94297539030574595"/>
    <n v="266900"/>
    <n v="6200"/>
    <n v="273100"/>
    <n v="26200"/>
    <n v="299300"/>
    <n v="0.18687527162103434"/>
    <n v="-0.43043478260869567"/>
    <n v="8.4027526258601951E-2"/>
  </r>
  <r>
    <n v="2025"/>
    <s v="18132244479    "/>
    <n v="-1.7719568419318752"/>
    <n v="0.17"/>
    <n v="7617"/>
    <s v="6"/>
    <s v="RES"/>
    <x v="0"/>
    <s v="11"/>
    <s v="259"/>
    <s v="TD"/>
    <s v="G"/>
    <s v="AV"/>
    <x v="8"/>
    <n v="84"/>
    <n v="52"/>
    <n v="1940"/>
    <n v="1972"/>
    <n v="1812"/>
    <m/>
    <n v="1790"/>
    <n v="895"/>
    <n v="895"/>
    <m/>
    <n v="2707"/>
    <n v="3000"/>
    <n v="8"/>
    <m/>
    <m/>
    <n v="408"/>
    <m/>
    <m/>
    <m/>
    <m/>
    <n v="537038"/>
    <n v="365186"/>
    <n v="14990"/>
    <n v="391900"/>
    <n v="52700"/>
    <n v="339200"/>
    <n v="0"/>
    <n v="0"/>
    <n v="89850.625589999996"/>
    <n v="-56090.612940989391"/>
    <n v="44121.038090000002"/>
    <n v="160472.20319"/>
    <n v="-11598.371226000001"/>
    <n v="89528.509817123995"/>
    <n v="0"/>
    <n v="0"/>
    <n v="52056.592492129996"/>
    <n v="30336.176841600001"/>
    <n v="13584.570232608001"/>
    <n v="15000"/>
    <n v="378500"/>
    <n v="33800"/>
    <n v="427300"/>
    <n v="9.0329165603470277E-2"/>
    <n v="0.99970000000000003"/>
    <n v="0.98050000000000004"/>
    <n v="0.99729999999999996"/>
    <n v="0.96179999999999999"/>
    <n v="0.98909999999999998"/>
    <n v="0.94971499999999998"/>
    <n v="0.88346976054853277"/>
    <n v="378500"/>
    <n v="14200"/>
    <n v="392700"/>
    <n v="32100"/>
    <n v="424800"/>
    <n v="0.15772405660377359"/>
    <n v="-0.39089184060721061"/>
    <n v="8.3949987241643279E-2"/>
  </r>
  <r>
    <n v="2025"/>
    <s v="18132332556    "/>
    <n v="-1.4696759700589417"/>
    <n v="0.23"/>
    <m/>
    <s v="6"/>
    <s v="RES"/>
    <x v="0"/>
    <s v="11"/>
    <s v="259"/>
    <s v="CC"/>
    <s v="G"/>
    <s v="AV"/>
    <x v="8"/>
    <n v="84"/>
    <n v="52"/>
    <n v="1940"/>
    <n v="1972"/>
    <n v="1162"/>
    <n v="578"/>
    <n v="1044"/>
    <n v="521"/>
    <n v="523"/>
    <m/>
    <n v="2263"/>
    <n v="2500"/>
    <n v="8"/>
    <m/>
    <m/>
    <n v="400"/>
    <m/>
    <m/>
    <m/>
    <m/>
    <n v="458567"/>
    <n v="311826"/>
    <n v="10689"/>
    <n v="370700"/>
    <n v="63300"/>
    <n v="307400"/>
    <n v="0"/>
    <n v="0"/>
    <n v="89850.625589999996"/>
    <n v="-46522.028095997222"/>
    <n v="44121.038090000002"/>
    <n v="160472.20319"/>
    <n v="-11598.371226000001"/>
    <n v="57412.874397074003"/>
    <n v="25886.552413657999"/>
    <n v="0"/>
    <n v="30361.498637867997"/>
    <n v="30336.176841600001"/>
    <n v="13318.206110400002"/>
    <n v="10700"/>
    <n v="350300"/>
    <n v="43300"/>
    <n v="404300"/>
    <n v="9.0639330995414075E-2"/>
    <n v="0.99970000000000003"/>
    <n v="0.98050000000000004"/>
    <n v="0.99729999999999996"/>
    <n v="0.98919999999999997"/>
    <n v="0.98909999999999998"/>
    <n v="0.94971499999999998"/>
    <n v="0.9086382690108219"/>
    <n v="350300"/>
    <n v="10200"/>
    <n v="360500"/>
    <n v="41100"/>
    <n v="401600"/>
    <n v="0.17273910214703969"/>
    <n v="-0.35071090047393366"/>
    <n v="8.3355813326139741E-2"/>
  </r>
  <r>
    <n v="2025"/>
    <s v="18132241046    "/>
    <n v="-1.8325814637483102"/>
    <n v="0.16"/>
    <n v="6878"/>
    <s v="6"/>
    <s v="RES"/>
    <x v="0"/>
    <s v="11"/>
    <s v="259"/>
    <s v="TD"/>
    <s v="A"/>
    <s v="AV"/>
    <x v="8"/>
    <n v="84"/>
    <n v="52"/>
    <n v="1940"/>
    <n v="1972"/>
    <n v="1084"/>
    <m/>
    <n v="1088"/>
    <n v="788"/>
    <n v="300"/>
    <m/>
    <n v="1384"/>
    <n v="1500"/>
    <n v="7"/>
    <m/>
    <m/>
    <n v="120"/>
    <m/>
    <m/>
    <m/>
    <m/>
    <n v="246219"/>
    <n v="167429"/>
    <n v="6050"/>
    <n v="297600"/>
    <n v="50600"/>
    <n v="247000"/>
    <n v="0"/>
    <n v="0"/>
    <n v="89850.625589999996"/>
    <n v="-58009.662049032086"/>
    <n v="21557.329055999999"/>
    <n v="160472.20319"/>
    <n v="-11598.371226000001"/>
    <n v="53558.998146668004"/>
    <n v="0"/>
    <n v="0"/>
    <n v="31641.102028735997"/>
    <n v="26544.1547364"/>
    <n v="3995.4618331200004"/>
    <n v="6100"/>
    <n v="286200"/>
    <n v="31800"/>
    <n v="324100"/>
    <n v="8.9045698924731187E-2"/>
    <n v="0.99970000000000003"/>
    <n v="1.0067999999999999"/>
    <n v="0.99729999999999996"/>
    <n v="1.0157"/>
    <n v="0.98909999999999998"/>
    <n v="0.94971499999999998"/>
    <n v="0.95800544533193577"/>
    <n v="286200"/>
    <n v="5700"/>
    <n v="291900"/>
    <n v="30200"/>
    <n v="322100"/>
    <n v="0.18178137651821863"/>
    <n v="-0.40316205533596838"/>
    <n v="8.2325268817204297E-2"/>
  </r>
  <r>
    <n v="2025"/>
    <s v="18132214005    "/>
    <n v="-1.7719568419318752"/>
    <n v="0.17"/>
    <n v="7255"/>
    <s v="6"/>
    <s v="RES"/>
    <x v="0"/>
    <s v="11"/>
    <s v="259"/>
    <s v="TD"/>
    <s v="A+"/>
    <s v="AV"/>
    <x v="8"/>
    <n v="84"/>
    <n v="52"/>
    <n v="1940"/>
    <n v="1972"/>
    <n v="870"/>
    <m/>
    <n v="870"/>
    <n v="670"/>
    <n v="200"/>
    <m/>
    <n v="1070"/>
    <n v="1500"/>
    <n v="6"/>
    <n v="200"/>
    <m/>
    <m/>
    <m/>
    <m/>
    <m/>
    <m/>
    <n v="223782"/>
    <n v="152172"/>
    <n v="0"/>
    <n v="278900"/>
    <n v="52700"/>
    <n v="226200"/>
    <n v="0"/>
    <n v="0"/>
    <n v="89850.625589999996"/>
    <n v="-56090.612940989391"/>
    <n v="29814.093161000001"/>
    <n v="160472.20319"/>
    <n v="-11598.371226000001"/>
    <n v="42985.542792990003"/>
    <n v="0"/>
    <n v="0"/>
    <n v="25301.24886489"/>
    <n v="22752.132631200002"/>
    <n v="0"/>
    <n v="0"/>
    <n v="269700"/>
    <n v="33800"/>
    <n v="303500"/>
    <n v="8.8203657224811757E-2"/>
    <n v="0.99970000000000003"/>
    <n v="1.0088999999999999"/>
    <n v="0.99729999999999996"/>
    <n v="1.0157"/>
    <n v="0.98909999999999998"/>
    <n v="0.94971499999999998"/>
    <n v="0.96000366884722899"/>
    <n v="269700"/>
    <n v="0"/>
    <n v="269700"/>
    <n v="32100"/>
    <n v="301800"/>
    <n v="0.19230769230769232"/>
    <n v="-0.39089184060721061"/>
    <n v="8.2108282538544283E-2"/>
  </r>
  <r>
    <n v="2025"/>
    <s v="18132243457    "/>
    <n v="-1.5606477482646683"/>
    <n v="0.21"/>
    <n v="9330"/>
    <s v="6"/>
    <s v="RES"/>
    <x v="0"/>
    <s v="11"/>
    <s v="259"/>
    <s v="TD"/>
    <s v="A+"/>
    <s v="GD"/>
    <x v="8"/>
    <n v="84"/>
    <n v="52"/>
    <n v="1940"/>
    <n v="1972"/>
    <n v="1067"/>
    <m/>
    <n v="192"/>
    <n v="0"/>
    <n v="192"/>
    <m/>
    <n v="1259"/>
    <n v="1500"/>
    <n v="5"/>
    <m/>
    <m/>
    <m/>
    <m/>
    <m/>
    <m/>
    <m/>
    <n v="222941"/>
    <n v="156059"/>
    <n v="19073"/>
    <n v="323200"/>
    <n v="60100"/>
    <n v="263100"/>
    <n v="0"/>
    <n v="0"/>
    <n v="89850.625589999996"/>
    <n v="-49401.70477837498"/>
    <n v="29814.093161000001"/>
    <n v="197752.34721000001"/>
    <n v="-11598.371226000001"/>
    <n v="52719.050758759004"/>
    <n v="0"/>
    <n v="0"/>
    <n v="5583.7238874239993"/>
    <n v="18960.110526"/>
    <n v="0"/>
    <n v="19100"/>
    <n v="293200"/>
    <n v="40400"/>
    <n v="352700"/>
    <n v="9.1274752475247523E-2"/>
    <n v="0.99970000000000003"/>
    <n v="1.0088999999999999"/>
    <n v="0.99650000000000005"/>
    <n v="1.0157"/>
    <n v="0.98909999999999998"/>
    <n v="0.94971499999999998"/>
    <n v="0.95923358669032743"/>
    <n v="293200"/>
    <n v="18100"/>
    <n v="311300"/>
    <n v="38400"/>
    <n v="349700"/>
    <n v="0.18320030406689472"/>
    <n v="-0.36106489184692181"/>
    <n v="8.1992574257425746E-2"/>
  </r>
  <r>
    <n v="2025"/>
    <s v="18132324542    "/>
    <n v="-1.6094379124341003"/>
    <n v="0.2"/>
    <m/>
    <s v="6"/>
    <s v="RES"/>
    <x v="0"/>
    <s v="11"/>
    <s v="259"/>
    <s v="TD"/>
    <s v="A+"/>
    <s v="GD"/>
    <x v="8"/>
    <n v="84"/>
    <n v="52"/>
    <n v="1940"/>
    <n v="1972"/>
    <n v="1148"/>
    <m/>
    <n v="1148"/>
    <n v="574"/>
    <n v="574"/>
    <m/>
    <n v="1722"/>
    <n v="2000"/>
    <n v="9"/>
    <n v="372"/>
    <m/>
    <m/>
    <m/>
    <m/>
    <m/>
    <m/>
    <n v="328813"/>
    <n v="230169"/>
    <n v="0"/>
    <n v="349100"/>
    <n v="58400"/>
    <n v="290700"/>
    <n v="0"/>
    <n v="0"/>
    <n v="89850.625589999996"/>
    <n v="-50946.13867709865"/>
    <n v="29814.093161000001"/>
    <n v="197752.34721000001"/>
    <n v="-11598.371226000001"/>
    <n v="56721.153018796002"/>
    <n v="0"/>
    <n v="0"/>
    <n v="33386.015743555996"/>
    <n v="34128.198946800003"/>
    <n v="0"/>
    <n v="0"/>
    <n v="340200"/>
    <n v="38900"/>
    <n v="379100"/>
    <n v="8.5935262102549412E-2"/>
    <n v="0.99970000000000003"/>
    <n v="1.0088999999999999"/>
    <n v="0.99650000000000005"/>
    <n v="1.0093000000000001"/>
    <n v="0.98909999999999998"/>
    <n v="0.94971499999999998"/>
    <n v="0.95318938569119571"/>
    <n v="340200"/>
    <n v="0"/>
    <n v="340200"/>
    <n v="36900"/>
    <n v="377100"/>
    <n v="0.17027863777089783"/>
    <n v="-0.36815068493150682"/>
    <n v="8.0206244629046117E-2"/>
  </r>
  <r>
    <n v="2025"/>
    <s v="18132331516    "/>
    <n v="-0.916290731874155"/>
    <n v="0.4"/>
    <m/>
    <s v="6"/>
    <s v="RES"/>
    <x v="0"/>
    <s v="11"/>
    <s v="259"/>
    <s v="CC"/>
    <s v="G"/>
    <s v="GD"/>
    <x v="8"/>
    <n v="84"/>
    <n v="52"/>
    <n v="1940"/>
    <n v="1972"/>
    <n v="1839"/>
    <n v="390"/>
    <n v="1839"/>
    <n v="1471"/>
    <n v="368"/>
    <m/>
    <n v="2597"/>
    <n v="3000"/>
    <n v="12"/>
    <m/>
    <m/>
    <m/>
    <m/>
    <m/>
    <m/>
    <m/>
    <n v="584089"/>
    <n v="408862"/>
    <n v="11490"/>
    <n v="469400"/>
    <n v="82600"/>
    <n v="386800"/>
    <n v="0"/>
    <n v="0"/>
    <n v="89850.625589999996"/>
    <n v="-29004.831024516039"/>
    <n v="44121.038090000002"/>
    <n v="197752.34721000001"/>
    <n v="-11598.371226000001"/>
    <n v="90862.543903803002"/>
    <n v="17466.70491579"/>
    <n v="0"/>
    <n v="53481.605359232999"/>
    <n v="45504.265262400004"/>
    <n v="0"/>
    <n v="11500"/>
    <n v="437600"/>
    <n v="60800"/>
    <n v="509900"/>
    <n v="8.6280357903706861E-2"/>
    <n v="0.99970000000000003"/>
    <n v="0.98050000000000004"/>
    <n v="0.99650000000000005"/>
    <n v="0.96179999999999999"/>
    <n v="0.98909999999999998"/>
    <n v="0.94971499999999998"/>
    <n v="0.88276107127906644"/>
    <n v="437600"/>
    <n v="10900"/>
    <n v="448500"/>
    <n v="57800"/>
    <n v="506300"/>
    <n v="0.15951396070320578"/>
    <n v="-0.30024213075060535"/>
    <n v="7.8610992756710699E-2"/>
  </r>
  <r>
    <n v="2025"/>
    <s v="18132333403    "/>
    <n v="-1.6094379124341003"/>
    <n v="0.2"/>
    <n v="8845"/>
    <s v="6"/>
    <s v="RES"/>
    <x v="0"/>
    <s v="11"/>
    <s v="400"/>
    <s v="BG"/>
    <s v="A"/>
    <s v="AV"/>
    <x v="8"/>
    <n v="84"/>
    <n v="52"/>
    <n v="1940"/>
    <n v="1972"/>
    <n v="932"/>
    <m/>
    <n v="932"/>
    <n v="932"/>
    <m/>
    <m/>
    <n v="932"/>
    <n v="1000"/>
    <n v="5"/>
    <m/>
    <m/>
    <m/>
    <m/>
    <m/>
    <m/>
    <m/>
    <n v="196077"/>
    <n v="133332"/>
    <n v="4877"/>
    <n v="282200"/>
    <n v="58400"/>
    <n v="223800"/>
    <n v="0"/>
    <n v="0"/>
    <n v="89850.625589999996"/>
    <n v="-50946.13867709865"/>
    <n v="21557.329055999999"/>
    <n v="160472.20319"/>
    <n v="-11598.371226000001"/>
    <n v="46048.880325364"/>
    <n v="0"/>
    <n v="0"/>
    <n v="27104.326370203999"/>
    <n v="18960.110526"/>
    <n v="0"/>
    <n v="4900"/>
    <n v="262500"/>
    <n v="38900"/>
    <n v="306300"/>
    <n v="8.5400425230333102E-2"/>
    <n v="0.99970000000000003"/>
    <n v="1.0067999999999999"/>
    <n v="0.99729999999999996"/>
    <n v="1.0148999999999999"/>
    <n v="0.98909999999999998"/>
    <n v="0.94971499999999998"/>
    <n v="0.95725088753311172"/>
    <n v="262500"/>
    <n v="4600"/>
    <n v="267100"/>
    <n v="36900"/>
    <n v="304000"/>
    <n v="0.19347631814119751"/>
    <n v="-0.36815068493150682"/>
    <n v="7.7250177179305463E-2"/>
  </r>
  <r>
    <n v="2025"/>
    <s v="18132324492    "/>
    <n v="-1.8325814637483102"/>
    <n v="0.16"/>
    <m/>
    <s v="6"/>
    <s v="RES"/>
    <x v="0"/>
    <s v="11"/>
    <s v="259"/>
    <s v="CC"/>
    <s v="A+"/>
    <s v="GD"/>
    <x v="8"/>
    <n v="84"/>
    <n v="52"/>
    <n v="1940"/>
    <n v="1972"/>
    <n v="832"/>
    <n v="544"/>
    <n v="832"/>
    <n v="0"/>
    <n v="832"/>
    <m/>
    <n v="2208"/>
    <n v="2500"/>
    <n v="12"/>
    <m/>
    <m/>
    <n v="160"/>
    <m/>
    <m/>
    <m/>
    <m/>
    <n v="362000"/>
    <n v="253400"/>
    <n v="7107"/>
    <n v="365300"/>
    <n v="50600"/>
    <n v="314700"/>
    <n v="0"/>
    <n v="0"/>
    <n v="89850.625589999996"/>
    <n v="-58009.662049032086"/>
    <n v="29814.093161000001"/>
    <n v="197752.34721000001"/>
    <n v="-11598.371226000001"/>
    <n v="41108.013337664001"/>
    <n v="24363.814036383999"/>
    <n v="0"/>
    <n v="24196.136845503999"/>
    <n v="45504.265262400004"/>
    <n v="5327.2824441600005"/>
    <n v="7100"/>
    <n v="356500"/>
    <n v="31800"/>
    <n v="395400"/>
    <n v="8.2398029017246105E-2"/>
    <n v="0.99970000000000003"/>
    <n v="1.0088999999999999"/>
    <n v="0.99650000000000005"/>
    <n v="0.98919999999999997"/>
    <n v="0.98909999999999998"/>
    <n v="0.94971499999999998"/>
    <n v="0.93420681692829766"/>
    <n v="356500"/>
    <n v="6700"/>
    <n v="363200"/>
    <n v="30200"/>
    <n v="393400"/>
    <n v="0.15411503018748013"/>
    <n v="-0.40316205533596838"/>
    <n v="7.6923076923076927E-2"/>
  </r>
  <r>
    <n v="2025"/>
    <s v="18132334419    "/>
    <n v="-1.8971199848858813"/>
    <n v="0.15"/>
    <n v="6628"/>
    <s v="6"/>
    <s v="RES"/>
    <x v="0"/>
    <s v="11"/>
    <s v="259"/>
    <s v="TD"/>
    <s v="A"/>
    <s v="AV"/>
    <x v="8"/>
    <n v="84"/>
    <n v="52"/>
    <n v="1940"/>
    <n v="1972"/>
    <n v="1288"/>
    <m/>
    <n v="1028"/>
    <n v="528"/>
    <n v="500"/>
    <m/>
    <n v="1788"/>
    <n v="2000"/>
    <n v="5"/>
    <m/>
    <m/>
    <n v="163"/>
    <m/>
    <m/>
    <m/>
    <m/>
    <n v="289118"/>
    <n v="196600"/>
    <n v="5261"/>
    <n v="298800"/>
    <n v="48400"/>
    <n v="250400"/>
    <n v="0"/>
    <n v="0"/>
    <n v="89850.625589999996"/>
    <n v="-60052.604136134301"/>
    <n v="21557.329055999999"/>
    <n v="160472.20319"/>
    <n v="-11598.371226000001"/>
    <n v="63638.366801576005"/>
    <n v="0"/>
    <n v="0"/>
    <n v="29896.188313915998"/>
    <n v="18960.110526"/>
    <n v="5427.1689899880002"/>
    <n v="5300"/>
    <n v="288400"/>
    <n v="29800"/>
    <n v="323500"/>
    <n v="8.2663989290495316E-2"/>
    <n v="0.99970000000000003"/>
    <n v="1.0067999999999999"/>
    <n v="0.99729999999999996"/>
    <n v="1.0093000000000001"/>
    <n v="0.98909999999999998"/>
    <n v="0.94971499999999998"/>
    <n v="0.95196898294134369"/>
    <n v="288400"/>
    <n v="5000"/>
    <n v="293400"/>
    <n v="28300"/>
    <n v="321700"/>
    <n v="0.17172523961661343"/>
    <n v="-0.41528925619834711"/>
    <n v="7.6639892904953141E-2"/>
  </r>
  <r>
    <n v="2025"/>
    <s v="18132342409    "/>
    <n v="-1.6094379124341003"/>
    <n v="0.2"/>
    <n v="8522"/>
    <s v="6"/>
    <s v="RES"/>
    <x v="0"/>
    <s v="11"/>
    <s v="259"/>
    <s v="TD"/>
    <s v="A"/>
    <s v="AV"/>
    <x v="8"/>
    <n v="84"/>
    <n v="52"/>
    <n v="1940"/>
    <n v="1972"/>
    <n v="1421"/>
    <m/>
    <m/>
    <n v="0"/>
    <m/>
    <m/>
    <n v="1421"/>
    <n v="1500"/>
    <n v="5"/>
    <m/>
    <m/>
    <n v="209"/>
    <m/>
    <m/>
    <m/>
    <m/>
    <n v="228357"/>
    <n v="155283"/>
    <n v="9040"/>
    <n v="290000"/>
    <n v="58400"/>
    <n v="231600"/>
    <n v="0"/>
    <n v="0"/>
    <n v="89850.625589999996"/>
    <n v="-50946.13867709865"/>
    <n v="21557.329055999999"/>
    <n v="160472.20319"/>
    <n v="-11598.371226000001"/>
    <n v="70209.719895217"/>
    <n v="0"/>
    <n v="0"/>
    <n v="0"/>
    <n v="18960.110526"/>
    <n v="6958.7626926840003"/>
    <n v="9000"/>
    <n v="266600"/>
    <n v="38900"/>
    <n v="314500"/>
    <n v="8.4482758620689657E-2"/>
    <n v="0.99970000000000003"/>
    <n v="1.0067999999999999"/>
    <n v="0.99729999999999996"/>
    <n v="1.0157"/>
    <n v="0.98909999999999998"/>
    <n v="0.94971499999999998"/>
    <n v="0.95800544533193577"/>
    <n v="266600"/>
    <n v="8600"/>
    <n v="275200"/>
    <n v="36900"/>
    <n v="312100"/>
    <n v="0.18825561312607944"/>
    <n v="-0.36815068493150682"/>
    <n v="7.6206896551724135E-2"/>
  </r>
  <r>
    <n v="2025"/>
    <s v="18132343407    "/>
    <n v="-1.6094379124341003"/>
    <n v="0.2"/>
    <n v="8637"/>
    <s v="6"/>
    <s v="RES"/>
    <x v="0"/>
    <s v="11"/>
    <s v="259"/>
    <s v="TD"/>
    <s v="G"/>
    <s v="GD"/>
    <x v="8"/>
    <n v="84"/>
    <n v="52"/>
    <n v="1940"/>
    <n v="1972"/>
    <n v="1988"/>
    <m/>
    <n v="972"/>
    <n v="0"/>
    <n v="972"/>
    <m/>
    <n v="2960"/>
    <n v="3000"/>
    <n v="12"/>
    <m/>
    <n v="888"/>
    <n v="386"/>
    <m/>
    <m/>
    <m/>
    <m/>
    <n v="561465"/>
    <n v="393026"/>
    <n v="0"/>
    <n v="420200"/>
    <n v="58400"/>
    <n v="361800"/>
    <n v="0"/>
    <n v="0"/>
    <n v="89850.625589999996"/>
    <n v="-50946.13867709865"/>
    <n v="44121.038090000002"/>
    <n v="197752.34721000001"/>
    <n v="-11598.371226000001"/>
    <n v="98224.435715476007"/>
    <n v="0"/>
    <n v="0"/>
    <n v="28267.602180083999"/>
    <n v="45504.265262400004"/>
    <n v="12852.068896536"/>
    <n v="0"/>
    <n v="415100"/>
    <n v="38900"/>
    <n v="454000"/>
    <n v="8.0437886720609239E-2"/>
    <n v="0.99970000000000003"/>
    <n v="0.98050000000000004"/>
    <n v="0.99650000000000005"/>
    <n v="0.96179999999999999"/>
    <n v="0.98909999999999998"/>
    <n v="0.94971499999999998"/>
    <n v="0.88276107127906644"/>
    <n v="415100"/>
    <n v="0"/>
    <n v="415100"/>
    <n v="36900"/>
    <n v="452000"/>
    <n v="0.14731896075179657"/>
    <n v="-0.36815068493150682"/>
    <n v="7.5678248453117561E-2"/>
  </r>
  <r>
    <n v="2025"/>
    <s v="18132323425    "/>
    <n v="-1.6607312068216509"/>
    <n v="0.19"/>
    <n v="8308"/>
    <s v="6"/>
    <s v="RES"/>
    <x v="0"/>
    <s v="11"/>
    <s v="259"/>
    <s v="TD"/>
    <s v="F+"/>
    <s v="GD"/>
    <x v="8"/>
    <n v="84"/>
    <n v="52"/>
    <n v="1940"/>
    <n v="1972"/>
    <n v="1286"/>
    <m/>
    <m/>
    <n v="0"/>
    <m/>
    <m/>
    <n v="1286"/>
    <n v="1500"/>
    <n v="5"/>
    <m/>
    <m/>
    <m/>
    <m/>
    <m/>
    <m/>
    <m/>
    <n v="187981"/>
    <n v="131587"/>
    <n v="6313"/>
    <n v="288600"/>
    <n v="56600"/>
    <n v="232000"/>
    <n v="0"/>
    <n v="0"/>
    <n v="89850.625589999996"/>
    <n v="-52569.808201026557"/>
    <n v="0"/>
    <n v="197752.34721000001"/>
    <n v="-11598.371226000001"/>
    <n v="63539.549461822004"/>
    <n v="0"/>
    <n v="0"/>
    <n v="0"/>
    <n v="18960.110526"/>
    <n v="0"/>
    <n v="6300"/>
    <n v="268700"/>
    <n v="37300"/>
    <n v="312300"/>
    <n v="8.2120582120582125E-2"/>
    <n v="0.99970000000000003"/>
    <n v="0.99180000000000001"/>
    <n v="0.99650000000000005"/>
    <n v="1.0157"/>
    <n v="0.98909999999999998"/>
    <n v="0.94971499999999998"/>
    <n v="0.94297539030574595"/>
    <n v="268700"/>
    <n v="6000"/>
    <n v="274700"/>
    <n v="35400"/>
    <n v="310100"/>
    <n v="0.18405172413793103"/>
    <n v="-0.37455830388692579"/>
    <n v="7.4497574497574492E-2"/>
  </r>
  <r>
    <n v="2025"/>
    <s v="18132342522    "/>
    <n v="-1.9661128563728327"/>
    <n v="0.14000000000000001"/>
    <n v="5986"/>
    <s v="6"/>
    <s v="RES"/>
    <x v="0"/>
    <s v="11"/>
    <s v="259"/>
    <s v="BG"/>
    <s v="G"/>
    <s v="GD"/>
    <x v="8"/>
    <n v="84"/>
    <n v="52"/>
    <n v="1940"/>
    <n v="1972"/>
    <n v="1218"/>
    <m/>
    <n v="662"/>
    <n v="0"/>
    <n v="662"/>
    <m/>
    <n v="1880"/>
    <n v="2000"/>
    <n v="8"/>
    <m/>
    <m/>
    <m/>
    <m/>
    <m/>
    <m/>
    <m/>
    <n v="374447"/>
    <n v="262113"/>
    <n v="11621"/>
    <n v="351100"/>
    <n v="46000"/>
    <n v="305100"/>
    <n v="0"/>
    <n v="0"/>
    <n v="89850.625589999996"/>
    <n v="-62236.546971921947"/>
    <n v="44121.038090000002"/>
    <n v="197752.34721000001"/>
    <n v="-11598.371226000001"/>
    <n v="60179.759910186003"/>
    <n v="0"/>
    <n v="0"/>
    <n v="19252.214653513998"/>
    <n v="30336.176841600001"/>
    <n v="0"/>
    <n v="11600"/>
    <n v="340000"/>
    <n v="27600"/>
    <n v="379200"/>
    <n v="8.0034178296781541E-2"/>
    <n v="0.99970000000000003"/>
    <n v="0.98050000000000004"/>
    <n v="0.99650000000000005"/>
    <n v="1.0093000000000001"/>
    <n v="0.98909999999999998"/>
    <n v="0.94971499999999998"/>
    <n v="0.92635760994173622"/>
    <n v="340000"/>
    <n v="11000"/>
    <n v="351000"/>
    <n v="26200"/>
    <n v="377200"/>
    <n v="0.15044247787610621"/>
    <n v="-0.43043478260869567"/>
    <n v="7.4337795499857584E-2"/>
  </r>
  <r>
    <n v="2025"/>
    <s v="18132243050    "/>
    <n v="-1.7147984280919266"/>
    <n v="0.18"/>
    <n v="7691"/>
    <s v="6"/>
    <s v="RES"/>
    <x v="0"/>
    <s v="11"/>
    <s v="259"/>
    <s v="TD"/>
    <s v="A"/>
    <s v="AV"/>
    <x v="8"/>
    <n v="84"/>
    <n v="52"/>
    <n v="1940"/>
    <n v="1972"/>
    <n v="1012"/>
    <m/>
    <n v="812"/>
    <n v="812"/>
    <m/>
    <m/>
    <n v="1012"/>
    <n v="1500"/>
    <n v="6"/>
    <m/>
    <m/>
    <m/>
    <m/>
    <m/>
    <m/>
    <m/>
    <n v="207995"/>
    <n v="141437"/>
    <n v="9708"/>
    <n v="288600"/>
    <n v="54700"/>
    <n v="233900"/>
    <n v="0"/>
    <n v="0"/>
    <n v="89850.625589999996"/>
    <n v="-54281.285314520763"/>
    <n v="21557.329055999999"/>
    <n v="160472.20319"/>
    <n v="-11598.371226000001"/>
    <n v="50001.573915524001"/>
    <n v="0"/>
    <n v="0"/>
    <n v="23614.498940563997"/>
    <n v="22752.132631200002"/>
    <n v="0"/>
    <n v="9700"/>
    <n v="266800"/>
    <n v="35600"/>
    <n v="312100"/>
    <n v="8.1427581427581427E-2"/>
    <n v="0.99970000000000003"/>
    <n v="1.0067999999999999"/>
    <n v="0.99729999999999996"/>
    <n v="1.0157"/>
    <n v="0.98909999999999998"/>
    <n v="0.94971499999999998"/>
    <n v="0.95800544533193577"/>
    <n v="266800"/>
    <n v="9200"/>
    <n v="276000"/>
    <n v="33800"/>
    <n v="309800"/>
    <n v="0.17999144933732364"/>
    <n v="-0.38208409506398539"/>
    <n v="7.3458073458073453E-2"/>
  </r>
  <r>
    <n v="2025"/>
    <s v="18132244426    "/>
    <n v="-1.4271163556401458"/>
    <n v="0.24"/>
    <n v="10282"/>
    <s v="6"/>
    <s v="RES"/>
    <x v="0"/>
    <s v="11"/>
    <s v="259"/>
    <s v="CO"/>
    <s v="G"/>
    <s v="GD"/>
    <x v="8"/>
    <n v="84"/>
    <n v="52"/>
    <n v="1940"/>
    <n v="1972"/>
    <n v="1254"/>
    <n v="548"/>
    <n v="1270"/>
    <n v="537"/>
    <n v="733"/>
    <m/>
    <n v="2535"/>
    <n v="3000"/>
    <n v="8"/>
    <m/>
    <m/>
    <m/>
    <m/>
    <m/>
    <m/>
    <m/>
    <n v="469649"/>
    <n v="328754"/>
    <n v="10610"/>
    <n v="406800"/>
    <n v="64800"/>
    <n v="342000"/>
    <n v="0"/>
    <n v="0"/>
    <n v="89850.625589999996"/>
    <n v="-45174.819855485119"/>
    <n v="44121.038090000002"/>
    <n v="197752.34721000001"/>
    <n v="-11598.371226000001"/>
    <n v="61958.472025758005"/>
    <n v="24542.959727827998"/>
    <n v="0"/>
    <n v="36934.006963690001"/>
    <n v="30336.176841600001"/>
    <n v="0"/>
    <n v="10600"/>
    <n v="384000"/>
    <n v="44700"/>
    <n v="439300"/>
    <n v="7.9891838741396257E-2"/>
    <n v="0.99970000000000003"/>
    <n v="0.98050000000000004"/>
    <n v="0.99650000000000005"/>
    <n v="0.96179999999999999"/>
    <n v="0.98909999999999998"/>
    <n v="0.94971499999999998"/>
    <n v="0.88276107127906644"/>
    <n v="384000"/>
    <n v="10100"/>
    <n v="394100"/>
    <n v="42400"/>
    <n v="436500"/>
    <n v="0.15233918128654972"/>
    <n v="-0.34567901234567899"/>
    <n v="7.3008849557522126E-2"/>
  </r>
  <r>
    <n v="2025"/>
    <s v="18132322416    "/>
    <n v="-1.5606477482646683"/>
    <n v="0.21"/>
    <m/>
    <s v="6"/>
    <s v="RES"/>
    <x v="0"/>
    <s v="11"/>
    <s v="259"/>
    <s v="TD"/>
    <s v="A"/>
    <s v="AV"/>
    <x v="8"/>
    <n v="84"/>
    <n v="52"/>
    <n v="1940"/>
    <n v="1972"/>
    <n v="1062"/>
    <m/>
    <n v="784"/>
    <n v="624"/>
    <n v="160"/>
    <m/>
    <n v="1222"/>
    <n v="1500"/>
    <n v="5"/>
    <m/>
    <n v="264"/>
    <m/>
    <m/>
    <m/>
    <m/>
    <m/>
    <n v="221612"/>
    <n v="150696"/>
    <n v="27932"/>
    <n v="307400"/>
    <n v="60100"/>
    <n v="247300"/>
    <n v="0"/>
    <n v="0"/>
    <n v="89850.625589999996"/>
    <n v="-49401.70477837498"/>
    <n v="21557.329055999999"/>
    <n v="160472.20319"/>
    <n v="-11598.371226000001"/>
    <n v="52472.007409374004"/>
    <n v="0"/>
    <n v="0"/>
    <n v="22800.205873647999"/>
    <n v="18960.110526"/>
    <n v="0"/>
    <n v="27900"/>
    <n v="264700"/>
    <n v="40400"/>
    <n v="333000"/>
    <n v="8.3279115159401437E-2"/>
    <n v="0.99970000000000003"/>
    <n v="1.0067999999999999"/>
    <n v="0.99729999999999996"/>
    <n v="1.0157"/>
    <n v="0.98909999999999998"/>
    <n v="0.94971499999999998"/>
    <n v="0.95800544533193577"/>
    <n v="264700"/>
    <n v="26500"/>
    <n v="291200"/>
    <n v="38400"/>
    <n v="329600"/>
    <n v="0.17751718560452892"/>
    <n v="-0.36106489184692181"/>
    <n v="7.2218607677293434E-2"/>
  </r>
  <r>
    <n v="2025"/>
    <s v="18132244434    "/>
    <n v="-0.89159811928378363"/>
    <n v="0.41"/>
    <n v="17804"/>
    <s v="6"/>
    <s v="RES"/>
    <x v="0"/>
    <s v="11"/>
    <s v="259"/>
    <s v="CO"/>
    <s v="G"/>
    <s v="AV"/>
    <x v="8"/>
    <n v="84"/>
    <n v="52"/>
    <n v="1940"/>
    <n v="1972"/>
    <n v="1925"/>
    <n v="483"/>
    <n v="1774"/>
    <n v="1774"/>
    <m/>
    <m/>
    <n v="2408"/>
    <n v="2500"/>
    <n v="8"/>
    <m/>
    <m/>
    <m/>
    <m/>
    <m/>
    <m/>
    <m/>
    <n v="565232"/>
    <n v="384358"/>
    <n v="14084"/>
    <n v="432500"/>
    <n v="83400"/>
    <n v="349100"/>
    <n v="0"/>
    <n v="0"/>
    <n v="89850.625589999996"/>
    <n v="-28223.195861326454"/>
    <n v="44121.038090000002"/>
    <n v="160472.20319"/>
    <n v="-11598.371226000001"/>
    <n v="95111.689513225007"/>
    <n v="21631.842241863"/>
    <n v="0"/>
    <n v="51591.282168177997"/>
    <n v="30336.176841600001"/>
    <n v="0"/>
    <n v="14100"/>
    <n v="391700"/>
    <n v="61600"/>
    <n v="467400"/>
    <n v="8.0693641618497111E-2"/>
    <n v="0.99970000000000003"/>
    <n v="0.98050000000000004"/>
    <n v="0.99729999999999996"/>
    <n v="0.98919999999999997"/>
    <n v="0.98909999999999998"/>
    <n v="0.94971499999999998"/>
    <n v="0.9086382690108219"/>
    <n v="391700"/>
    <n v="13400"/>
    <n v="405100"/>
    <n v="58500"/>
    <n v="463600"/>
    <n v="0.16041248925809223"/>
    <n v="-0.29856115107913667"/>
    <n v="7.1907514450867058E-2"/>
  </r>
  <r>
    <n v="2025"/>
    <s v="18132334450    "/>
    <n v="-1.5606477482646683"/>
    <n v="0.21"/>
    <m/>
    <s v="6"/>
    <s v="RES"/>
    <x v="0"/>
    <s v="11"/>
    <s v="259"/>
    <s v="TD"/>
    <s v="G"/>
    <s v="GD"/>
    <x v="8"/>
    <n v="84"/>
    <n v="52"/>
    <n v="1940"/>
    <n v="1972"/>
    <n v="1358"/>
    <m/>
    <n v="972"/>
    <n v="0"/>
    <n v="972"/>
    <m/>
    <n v="2330"/>
    <n v="2500"/>
    <n v="13"/>
    <m/>
    <m/>
    <n v="512"/>
    <m/>
    <m/>
    <m/>
    <m/>
    <n v="441999"/>
    <n v="309399"/>
    <n v="39169"/>
    <n v="436400"/>
    <n v="60100"/>
    <n v="376300"/>
    <n v="0"/>
    <n v="0"/>
    <n v="89850.625589999996"/>
    <n v="-49401.70477837498"/>
    <n v="44121.038090000002"/>
    <n v="197752.34721000001"/>
    <n v="-11598.371226000001"/>
    <n v="67096.973692965999"/>
    <n v="0"/>
    <n v="0"/>
    <n v="28267.602180083999"/>
    <n v="49296.287367600002"/>
    <n v="17047.303821312002"/>
    <n v="39200"/>
    <n v="392000"/>
    <n v="40400"/>
    <n v="471600"/>
    <n v="8.0659945004582956E-2"/>
    <n v="0.99970000000000003"/>
    <n v="0.98050000000000004"/>
    <n v="0.99650000000000005"/>
    <n v="0.98919999999999997"/>
    <n v="0.98909999999999998"/>
    <n v="0.94971499999999998"/>
    <n v="0.90790939042342744"/>
    <n v="392000"/>
    <n v="37200"/>
    <n v="429200"/>
    <n v="38400"/>
    <n v="467600"/>
    <n v="0.14057932500664364"/>
    <n v="-0.36106489184692181"/>
    <n v="7.1494042163153068E-2"/>
  </r>
  <r>
    <n v="2025"/>
    <s v="18132323031    "/>
    <n v="-0.94160853985844495"/>
    <n v="0.39"/>
    <n v="15302"/>
    <s v="6"/>
    <s v="RES"/>
    <x v="0"/>
    <s v="11"/>
    <s v="259"/>
    <s v="TD"/>
    <s v="A+"/>
    <s v="GD"/>
    <x v="8"/>
    <n v="84"/>
    <n v="42"/>
    <n v="1940"/>
    <n v="1982"/>
    <n v="1094"/>
    <m/>
    <n v="548"/>
    <n v="0"/>
    <n v="548"/>
    <m/>
    <n v="1642"/>
    <n v="2000"/>
    <n v="5"/>
    <m/>
    <m/>
    <n v="96"/>
    <m/>
    <m/>
    <m/>
    <m/>
    <n v="290893"/>
    <n v="232714"/>
    <n v="11430"/>
    <n v="353100"/>
    <n v="81700"/>
    <n v="271400"/>
    <n v="0"/>
    <n v="0"/>
    <n v="89850.625589999996"/>
    <n v="-29806.256507663158"/>
    <n v="29814.093161000001"/>
    <n v="197752.34721000001"/>
    <n v="-9367.9152210000011"/>
    <n v="54053.084845438003"/>
    <n v="0"/>
    <n v="0"/>
    <n v="15936.878595356"/>
    <n v="18960.110526"/>
    <n v="3196.3694664960003"/>
    <n v="11400"/>
    <n v="310300"/>
    <n v="60000"/>
    <n v="381700"/>
    <n v="8.0996884735202487E-2"/>
    <n v="0.99970000000000003"/>
    <n v="1.0088999999999999"/>
    <n v="0.99650000000000005"/>
    <n v="1.0093000000000001"/>
    <n v="0.98909999999999998"/>
    <n v="0.94971499999999998"/>
    <n v="0.95318938569119571"/>
    <n v="310300"/>
    <n v="10900"/>
    <n v="321200"/>
    <n v="57000"/>
    <n v="378200"/>
    <n v="0.18349299926308033"/>
    <n v="-0.30232558139534882"/>
    <n v="7.1084678561314077E-2"/>
  </r>
  <r>
    <n v="2025"/>
    <s v="18132213453    "/>
    <n v="-1.6607312068216509"/>
    <n v="0.19"/>
    <n v="8486"/>
    <s v="6"/>
    <s v="RES"/>
    <x v="0"/>
    <s v="11"/>
    <s v="259"/>
    <s v="CO"/>
    <s v="A+"/>
    <s v="GD"/>
    <x v="8"/>
    <n v="84"/>
    <n v="52"/>
    <n v="1940"/>
    <n v="1972"/>
    <n v="1326"/>
    <n v="692"/>
    <m/>
    <n v="0"/>
    <m/>
    <m/>
    <n v="2018"/>
    <n v="2500"/>
    <n v="11"/>
    <m/>
    <m/>
    <m/>
    <m/>
    <m/>
    <m/>
    <m/>
    <n v="347632"/>
    <n v="243342"/>
    <n v="1799"/>
    <n v="365400"/>
    <n v="56600"/>
    <n v="308800"/>
    <n v="0"/>
    <n v="0"/>
    <n v="89850.625589999996"/>
    <n v="-52569.808201026557"/>
    <n v="29814.093161000001"/>
    <n v="197752.34721000001"/>
    <n v="-11598.371226000001"/>
    <n v="65515.896256902"/>
    <n v="30992.204619812001"/>
    <n v="0"/>
    <n v="0"/>
    <n v="41712.243157199999"/>
    <n v="0"/>
    <n v="1800"/>
    <n v="354200"/>
    <n v="37300"/>
    <n v="393300"/>
    <n v="7.6354679802955669E-2"/>
    <n v="0.99970000000000003"/>
    <n v="1.0088999999999999"/>
    <n v="0.99650000000000005"/>
    <n v="0.98919999999999997"/>
    <n v="0.98909999999999998"/>
    <n v="0.94971499999999998"/>
    <n v="0.93420681692829766"/>
    <n v="354200"/>
    <n v="1700"/>
    <n v="355900"/>
    <n v="35400"/>
    <n v="391300"/>
    <n v="0.15252590673575128"/>
    <n v="-0.37455830388692579"/>
    <n v="7.0881226053639848E-2"/>
  </r>
  <r>
    <n v="2025"/>
    <s v="18132241414    "/>
    <n v="-2.120263536200091"/>
    <n v="0.12"/>
    <n v="5377"/>
    <s v="6"/>
    <s v="RES"/>
    <x v="0"/>
    <s v="11"/>
    <s v="259"/>
    <s v="BG"/>
    <s v="G"/>
    <s v="GD"/>
    <x v="8"/>
    <n v="84"/>
    <n v="52"/>
    <n v="1940"/>
    <n v="1972"/>
    <n v="1246"/>
    <m/>
    <n v="1246"/>
    <n v="0"/>
    <n v="1246"/>
    <m/>
    <n v="2492"/>
    <n v="2500"/>
    <n v="8"/>
    <m/>
    <m/>
    <n v="180"/>
    <m/>
    <m/>
    <m/>
    <m/>
    <n v="437147"/>
    <n v="306003"/>
    <n v="7465"/>
    <n v="367300"/>
    <n v="40600"/>
    <n v="326700"/>
    <n v="0"/>
    <n v="0"/>
    <n v="89850.625589999996"/>
    <n v="-67116.12750806773"/>
    <n v="44121.038090000002"/>
    <n v="197752.34721000001"/>
    <n v="-11598.371226000001"/>
    <n v="61563.202666742"/>
    <n v="0"/>
    <n v="0"/>
    <n v="36236.041477761995"/>
    <n v="30336.176841600001"/>
    <n v="5993.1927496800008"/>
    <n v="7500"/>
    <n v="364400"/>
    <n v="22700"/>
    <n v="394600"/>
    <n v="7.432616389872039E-2"/>
    <n v="0.99970000000000003"/>
    <n v="0.98050000000000004"/>
    <n v="0.99650000000000005"/>
    <n v="0.98919999999999997"/>
    <n v="0.98909999999999998"/>
    <n v="0.94971499999999998"/>
    <n v="0.90790939042342744"/>
    <n v="364400"/>
    <n v="7100"/>
    <n v="371500"/>
    <n v="21600"/>
    <n v="393100"/>
    <n v="0.13712886440159167"/>
    <n v="-0.46798029556650245"/>
    <n v="7.0242308739450046E-2"/>
  </r>
  <r>
    <n v="2025"/>
    <s v="18132241041    "/>
    <n v="-1.2729656758128873"/>
    <n v="0.28000000000000003"/>
    <n v="12394"/>
    <s v="6"/>
    <s v="RES"/>
    <x v="0"/>
    <s v="11"/>
    <s v="259"/>
    <s v="CO"/>
    <s v="A"/>
    <s v="GD"/>
    <x v="8"/>
    <n v="84"/>
    <n v="52"/>
    <n v="1940"/>
    <n v="1972"/>
    <n v="1336"/>
    <n v="260"/>
    <m/>
    <n v="0"/>
    <m/>
    <m/>
    <n v="1596"/>
    <n v="2000"/>
    <n v="7"/>
    <n v="276"/>
    <m/>
    <m/>
    <m/>
    <m/>
    <m/>
    <m/>
    <n v="256165"/>
    <n v="179316"/>
    <n v="0"/>
    <n v="335500"/>
    <n v="70100"/>
    <n v="265400"/>
    <n v="0"/>
    <n v="0"/>
    <n v="89850.625589999996"/>
    <n v="-40295.239319339329"/>
    <n v="21557.329055999999"/>
    <n v="197752.34721000001"/>
    <n v="-11598.371226000001"/>
    <n v="66009.982955672007"/>
    <n v="11644.46994386"/>
    <n v="0"/>
    <n v="0"/>
    <n v="26544.1547364"/>
    <n v="0"/>
    <n v="0"/>
    <n v="311900"/>
    <n v="49600"/>
    <n v="361500"/>
    <n v="7.7496274217585689E-2"/>
    <n v="0.99970000000000003"/>
    <n v="1.0067999999999999"/>
    <n v="0.99650000000000005"/>
    <n v="1.0093000000000001"/>
    <n v="0.98909999999999998"/>
    <n v="0.94971499999999998"/>
    <n v="0.95120534593507355"/>
    <n v="311900"/>
    <n v="0"/>
    <n v="311900"/>
    <n v="47100"/>
    <n v="359000"/>
    <n v="0.17520723436322533"/>
    <n v="-0.32810271041369471"/>
    <n v="7.0044709388971685E-2"/>
  </r>
  <r>
    <n v="2025"/>
    <s v="18132214017    "/>
    <n v="-2.0402208285265546"/>
    <n v="0.13"/>
    <n v="5692"/>
    <s v="6"/>
    <s v="RES"/>
    <x v="0"/>
    <s v="11"/>
    <s v="259"/>
    <s v="TD"/>
    <s v="F+"/>
    <s v="AV"/>
    <x v="8"/>
    <n v="84"/>
    <n v="52"/>
    <n v="1940"/>
    <n v="1972"/>
    <n v="706"/>
    <m/>
    <n v="706"/>
    <n v="356"/>
    <n v="350"/>
    <m/>
    <n v="1056"/>
    <n v="1500"/>
    <n v="5"/>
    <m/>
    <m/>
    <n v="225"/>
    <m/>
    <m/>
    <m/>
    <m/>
    <n v="162938"/>
    <n v="110798"/>
    <n v="6050"/>
    <n v="243400"/>
    <n v="43400"/>
    <n v="200000"/>
    <n v="0"/>
    <n v="0"/>
    <n v="89850.625589999996"/>
    <n v="-64582.406353792743"/>
    <n v="0"/>
    <n v="160472.20319"/>
    <n v="-11598.371226000001"/>
    <n v="34882.520933161999"/>
    <n v="0"/>
    <n v="0"/>
    <n v="20531.818044381998"/>
    <n v="18960.110526"/>
    <n v="7491.4909371000003"/>
    <n v="6100"/>
    <n v="230700"/>
    <n v="25300"/>
    <n v="262100"/>
    <n v="7.6828266228430572E-2"/>
    <n v="0.99970000000000003"/>
    <n v="0.99180000000000001"/>
    <n v="0.99729999999999996"/>
    <n v="1.0157"/>
    <n v="0.98909999999999998"/>
    <n v="0.94971499999999998"/>
    <n v="0.94373242022269987"/>
    <n v="230700"/>
    <n v="5700"/>
    <n v="236400"/>
    <n v="24000"/>
    <n v="260400"/>
    <n v="0.182"/>
    <n v="-0.44700460829493088"/>
    <n v="6.9843878389482333E-2"/>
  </r>
  <r>
    <n v="2025"/>
    <s v="18132332474    "/>
    <n v="-1.5141277326297755"/>
    <n v="0.22"/>
    <n v="9375"/>
    <s v="6"/>
    <s v="RES"/>
    <x v="0"/>
    <s v="11"/>
    <s v="259"/>
    <s v="TD"/>
    <s v="F+"/>
    <s v="FR"/>
    <x v="8"/>
    <n v="84"/>
    <n v="52"/>
    <n v="1940"/>
    <n v="1972"/>
    <n v="926"/>
    <m/>
    <n v="926"/>
    <n v="740"/>
    <n v="186"/>
    <m/>
    <n v="1112"/>
    <n v="1500"/>
    <n v="5"/>
    <m/>
    <m/>
    <m/>
    <m/>
    <m/>
    <m/>
    <m/>
    <n v="183576"/>
    <n v="121160"/>
    <n v="6112"/>
    <n v="242600"/>
    <n v="61700"/>
    <n v="180900"/>
    <n v="0"/>
    <n v="0"/>
    <n v="89850.625589999996"/>
    <n v="-47929.131559187132"/>
    <n v="0"/>
    <n v="133714.53821"/>
    <n v="-11598.371226000001"/>
    <n v="45752.428306102003"/>
    <n v="0"/>
    <n v="0"/>
    <n v="26929.834998721999"/>
    <n v="18960.110526"/>
    <n v="0"/>
    <n v="6100"/>
    <n v="213800"/>
    <n v="41900"/>
    <n v="261800"/>
    <n v="7.9142621599340476E-2"/>
    <n v="0.99970000000000003"/>
    <n v="0.99180000000000001"/>
    <n v="0.99329999999999996"/>
    <n v="1.0157"/>
    <n v="0.98909999999999998"/>
    <n v="0.94971499999999998"/>
    <n v="0.93994727063793004"/>
    <n v="213800"/>
    <n v="5800"/>
    <n v="219600"/>
    <n v="39800"/>
    <n v="259400"/>
    <n v="0.21393034825870647"/>
    <n v="-0.35494327390599678"/>
    <n v="6.9249793899422915E-2"/>
  </r>
  <r>
    <n v="2025"/>
    <s v="18132241465    "/>
    <n v="-1.7147984280919266"/>
    <n v="0.18"/>
    <n v="8040"/>
    <s v="6"/>
    <s v="RES"/>
    <x v="0"/>
    <s v="11"/>
    <s v="259"/>
    <s v="BG"/>
    <s v="A+"/>
    <s v="GD"/>
    <x v="8"/>
    <n v="84"/>
    <n v="52"/>
    <n v="1940"/>
    <n v="1972"/>
    <n v="938"/>
    <m/>
    <n v="938"/>
    <n v="193"/>
    <n v="745"/>
    <m/>
    <n v="1683"/>
    <n v="2000"/>
    <n v="9"/>
    <m/>
    <m/>
    <m/>
    <m/>
    <m/>
    <m/>
    <m/>
    <n v="279999"/>
    <n v="195999"/>
    <n v="33554"/>
    <n v="364300"/>
    <n v="54700"/>
    <n v="309600"/>
    <n v="0"/>
    <n v="0"/>
    <n v="89850.625589999996"/>
    <n v="-54281.285314520763"/>
    <n v="29814.093161000001"/>
    <n v="197752.34721000001"/>
    <n v="-11598.371226000001"/>
    <n v="46345.332344626004"/>
    <n v="0"/>
    <n v="0"/>
    <n v="27278.817741685998"/>
    <n v="34128.198946800003"/>
    <n v="0"/>
    <n v="33600"/>
    <n v="323700"/>
    <n v="35600"/>
    <n v="392900"/>
    <n v="7.850672522646171E-2"/>
    <n v="0.99970000000000003"/>
    <n v="1.0088999999999999"/>
    <n v="0.99650000000000005"/>
    <n v="1.0093000000000001"/>
    <n v="0.98909999999999998"/>
    <n v="0.94971499999999998"/>
    <n v="0.95318938569119571"/>
    <n v="323700"/>
    <n v="31900"/>
    <n v="355600"/>
    <n v="33800"/>
    <n v="389400"/>
    <n v="0.14857881136950904"/>
    <n v="-0.38208409506398539"/>
    <n v="6.8899258852594014E-2"/>
  </r>
  <r>
    <n v="2025"/>
    <s v="18132344007    "/>
    <n v="-1.9661128563728327"/>
    <n v="0.14000000000000001"/>
    <n v="5939"/>
    <s v="6"/>
    <s v="RES"/>
    <x v="0"/>
    <s v="11"/>
    <s v="259"/>
    <s v="TD"/>
    <s v="A+"/>
    <s v="GD"/>
    <x v="8"/>
    <n v="84"/>
    <n v="52"/>
    <n v="1940"/>
    <n v="1972"/>
    <n v="1158"/>
    <m/>
    <n v="618"/>
    <n v="0"/>
    <n v="618"/>
    <m/>
    <n v="1776"/>
    <n v="2000"/>
    <n v="8"/>
    <m/>
    <n v="240"/>
    <m/>
    <m/>
    <m/>
    <m/>
    <m/>
    <n v="301306"/>
    <n v="210914"/>
    <n v="0"/>
    <n v="325300"/>
    <n v="46000"/>
    <n v="279300"/>
    <n v="0"/>
    <n v="0"/>
    <n v="89850.625589999996"/>
    <n v="-62236.546971921947"/>
    <n v="29814.093161000001"/>
    <n v="197752.34721000001"/>
    <n v="-11598.371226000001"/>
    <n v="57215.239717566001"/>
    <n v="0"/>
    <n v="0"/>
    <n v="17972.611262645998"/>
    <n v="30336.176841600001"/>
    <n v="0"/>
    <n v="0"/>
    <n v="321500"/>
    <n v="27600"/>
    <n v="349100"/>
    <n v="7.3163233937903471E-2"/>
    <n v="0.99970000000000003"/>
    <n v="1.0088999999999999"/>
    <n v="0.99650000000000005"/>
    <n v="1.0093000000000001"/>
    <n v="0.98909999999999998"/>
    <n v="0.94971499999999998"/>
    <n v="0.95318938569119571"/>
    <n v="321500"/>
    <n v="0"/>
    <n v="321500"/>
    <n v="26200"/>
    <n v="347700"/>
    <n v="0.1510920157536699"/>
    <n v="-0.43043478260869567"/>
    <n v="6.8859514294497381E-2"/>
  </r>
  <r>
    <n v="2025"/>
    <s v="18132334542    "/>
    <n v="-1.6094379124341003"/>
    <n v="0.2"/>
    <m/>
    <s v="6"/>
    <s v="RES"/>
    <x v="0"/>
    <s v="11"/>
    <s v="259"/>
    <s v="BG"/>
    <s v="G"/>
    <s v="GD"/>
    <x v="8"/>
    <n v="84"/>
    <n v="52"/>
    <n v="1940"/>
    <n v="1972"/>
    <n v="1321"/>
    <m/>
    <n v="1321"/>
    <n v="0"/>
    <n v="1321"/>
    <m/>
    <n v="2642"/>
    <n v="3000"/>
    <n v="9"/>
    <m/>
    <m/>
    <n v="160"/>
    <m/>
    <m/>
    <m/>
    <m/>
    <n v="449412"/>
    <n v="314588"/>
    <n v="41853"/>
    <n v="421500"/>
    <n v="58400"/>
    <n v="363100"/>
    <n v="0"/>
    <n v="0"/>
    <n v="89850.625589999996"/>
    <n v="-50946.13867709865"/>
    <n v="44121.038090000002"/>
    <n v="197752.34721000001"/>
    <n v="-11598.371226000001"/>
    <n v="65268.852907517001"/>
    <n v="0"/>
    <n v="0"/>
    <n v="38417.183621286997"/>
    <n v="34128.198946800003"/>
    <n v="5327.2824441600005"/>
    <n v="41900"/>
    <n v="373400"/>
    <n v="38900"/>
    <n v="454200"/>
    <n v="7.7580071174377221E-2"/>
    <n v="0.99970000000000003"/>
    <n v="0.98050000000000004"/>
    <n v="0.99650000000000005"/>
    <n v="0.96179999999999999"/>
    <n v="0.98909999999999998"/>
    <n v="0.94971499999999998"/>
    <n v="0.88276107127906644"/>
    <n v="373400"/>
    <n v="39700"/>
    <n v="413100"/>
    <n v="36900"/>
    <n v="450000"/>
    <n v="0.13770311209033323"/>
    <n v="-0.36815068493150682"/>
    <n v="6.7615658362989328E-2"/>
  </r>
  <r>
    <n v="2025"/>
    <s v="18132334418    "/>
    <n v="-1.8971199848858813"/>
    <n v="0.15"/>
    <m/>
    <s v="6"/>
    <s v="RES"/>
    <x v="0"/>
    <s v="11"/>
    <s v="259"/>
    <s v="TD"/>
    <s v="A+"/>
    <s v="GD"/>
    <x v="8"/>
    <n v="84"/>
    <n v="52"/>
    <n v="1940"/>
    <n v="1972"/>
    <n v="949"/>
    <m/>
    <n v="949"/>
    <n v="0"/>
    <n v="949"/>
    <m/>
    <n v="1898"/>
    <n v="2000"/>
    <n v="9"/>
    <m/>
    <m/>
    <m/>
    <m/>
    <m/>
    <m/>
    <m/>
    <n v="282925"/>
    <n v="198048"/>
    <n v="6724"/>
    <n v="336600"/>
    <n v="48400"/>
    <n v="288200"/>
    <n v="0"/>
    <n v="0"/>
    <n v="89850.625589999996"/>
    <n v="-60052.604136134301"/>
    <n v="29814.093161000001"/>
    <n v="197752.34721000001"/>
    <n v="-11598.371226000001"/>
    <n v="46888.827713273"/>
    <n v="0"/>
    <n v="0"/>
    <n v="27598.718589402997"/>
    <n v="34128.198946800003"/>
    <n v="0"/>
    <n v="6700"/>
    <n v="324600"/>
    <n v="29800"/>
    <n v="361100"/>
    <n v="7.278669043374926E-2"/>
    <n v="0.99970000000000003"/>
    <n v="1.0088999999999999"/>
    <n v="0.99650000000000005"/>
    <n v="1.0093000000000001"/>
    <n v="0.98909999999999998"/>
    <n v="0.94971499999999998"/>
    <n v="0.95318938569119571"/>
    <n v="324600"/>
    <n v="6400"/>
    <n v="331000"/>
    <n v="28300"/>
    <n v="359300"/>
    <n v="0.14850798056904926"/>
    <n v="-0.41528925619834711"/>
    <n v="6.7439096850861552E-2"/>
  </r>
  <r>
    <n v="2025"/>
    <s v="18132214013    "/>
    <n v="-1.8325814637483102"/>
    <n v="0.16"/>
    <n v="7009"/>
    <s v="6"/>
    <s v="RES"/>
    <x v="0"/>
    <s v="11"/>
    <s v="259"/>
    <s v="TD"/>
    <s v="A"/>
    <s v="AV"/>
    <x v="8"/>
    <n v="84"/>
    <n v="52"/>
    <n v="1940"/>
    <n v="1972"/>
    <n v="847"/>
    <m/>
    <n v="847"/>
    <n v="635"/>
    <n v="212"/>
    <m/>
    <n v="1059"/>
    <n v="1500"/>
    <n v="5"/>
    <m/>
    <m/>
    <m/>
    <m/>
    <m/>
    <m/>
    <m/>
    <n v="200621"/>
    <n v="136422"/>
    <n v="4340"/>
    <n v="272300"/>
    <n v="50600"/>
    <n v="221700"/>
    <n v="0"/>
    <n v="0"/>
    <n v="89850.625589999996"/>
    <n v="-58009.662049032086"/>
    <n v="21557.329055999999"/>
    <n v="160472.20319"/>
    <n v="-11598.371226000001"/>
    <n v="41849.143385818999"/>
    <n v="0"/>
    <n v="0"/>
    <n v="24632.365274208998"/>
    <n v="18960.110526"/>
    <n v="0"/>
    <n v="4300"/>
    <n v="255900"/>
    <n v="31800"/>
    <n v="292000"/>
    <n v="7.2346676459786999E-2"/>
    <n v="0.99970000000000003"/>
    <n v="1.0067999999999999"/>
    <n v="0.99729999999999996"/>
    <n v="1.0157"/>
    <n v="0.98909999999999998"/>
    <n v="0.94971499999999998"/>
    <n v="0.95800544533193577"/>
    <n v="255900"/>
    <n v="4100"/>
    <n v="260000"/>
    <n v="30200"/>
    <n v="290200"/>
    <n v="0.17275597654488048"/>
    <n v="-0.40316205533596838"/>
    <n v="6.5736320235034881E-2"/>
  </r>
  <r>
    <n v="2025"/>
    <s v="18132342406    "/>
    <n v="-1.2729656758128873"/>
    <n v="0.28000000000000003"/>
    <n v="12137"/>
    <s v="6"/>
    <s v="RES"/>
    <x v="0"/>
    <s v="11"/>
    <s v="259"/>
    <s v="CO"/>
    <s v="A"/>
    <s v="AV"/>
    <x v="8"/>
    <n v="84"/>
    <n v="52"/>
    <n v="1940"/>
    <n v="1972"/>
    <n v="880"/>
    <n v="1072"/>
    <n v="760"/>
    <n v="760"/>
    <m/>
    <m/>
    <n v="1952"/>
    <n v="2000"/>
    <n v="6"/>
    <m/>
    <m/>
    <m/>
    <m/>
    <m/>
    <m/>
    <m/>
    <n v="312521"/>
    <n v="212514"/>
    <n v="19848"/>
    <n v="350200"/>
    <n v="70100"/>
    <n v="280100"/>
    <n v="0"/>
    <n v="0"/>
    <n v="89850.625589999996"/>
    <n v="-40295.239319339329"/>
    <n v="21557.329055999999"/>
    <n v="160472.20319"/>
    <n v="-11598.371226000001"/>
    <n v="43479.629491760003"/>
    <n v="48011.045306991997"/>
    <n v="0"/>
    <n v="22102.240387719998"/>
    <n v="22752.132631200002"/>
    <n v="0"/>
    <n v="19800"/>
    <n v="306800"/>
    <n v="49600"/>
    <n v="376200"/>
    <n v="7.4243289548829236E-2"/>
    <n v="0.99970000000000003"/>
    <n v="1.0067999999999999"/>
    <n v="0.99729999999999996"/>
    <n v="1.0093000000000001"/>
    <n v="0.98909999999999998"/>
    <n v="0.94971499999999998"/>
    <n v="0.95196898294134369"/>
    <n v="306800"/>
    <n v="18800"/>
    <n v="325600"/>
    <n v="47100"/>
    <n v="372700"/>
    <n v="0.16244198500535523"/>
    <n v="-0.32810271041369471"/>
    <n v="6.4249000571102222E-2"/>
  </r>
  <r>
    <n v="2025"/>
    <s v="18132214454    "/>
    <n v="-1.5606477482646683"/>
    <n v="0.21"/>
    <n v="8985"/>
    <s v="6"/>
    <s v="RES"/>
    <x v="0"/>
    <s v="11"/>
    <s v="259"/>
    <s v="TD"/>
    <s v="F+"/>
    <s v="GD"/>
    <x v="8"/>
    <n v="84"/>
    <n v="52"/>
    <n v="1940"/>
    <n v="1972"/>
    <n v="922"/>
    <m/>
    <n v="922"/>
    <n v="461"/>
    <n v="461"/>
    <m/>
    <n v="1383"/>
    <n v="1500"/>
    <n v="5"/>
    <m/>
    <m/>
    <m/>
    <m/>
    <m/>
    <m/>
    <m/>
    <n v="205483"/>
    <n v="143838"/>
    <n v="5261"/>
    <n v="301600"/>
    <n v="60100"/>
    <n v="241500"/>
    <n v="0"/>
    <n v="0"/>
    <n v="89850.625589999996"/>
    <n v="-49401.70477837498"/>
    <n v="0"/>
    <n v="197752.34721000001"/>
    <n v="-11598.371226000001"/>
    <n v="45554.793626594001"/>
    <n v="0"/>
    <n v="0"/>
    <n v="26813.507417733999"/>
    <n v="18960.110526"/>
    <n v="0"/>
    <n v="5300"/>
    <n v="277500"/>
    <n v="40400"/>
    <n v="323200"/>
    <n v="7.161803713527852E-2"/>
    <n v="0.99970000000000003"/>
    <n v="0.99180000000000001"/>
    <n v="0.99650000000000005"/>
    <n v="1.0157"/>
    <n v="0.98909999999999998"/>
    <n v="0.94971499999999998"/>
    <n v="0.94297539030574595"/>
    <n v="277500"/>
    <n v="5000"/>
    <n v="282500"/>
    <n v="38400"/>
    <n v="320900"/>
    <n v="0.16977225672877846"/>
    <n v="-0.36106489184692181"/>
    <n v="6.3992042440318309E-2"/>
  </r>
  <r>
    <n v="2025"/>
    <s v="18132334438    "/>
    <n v="-1.5141277326297755"/>
    <n v="0.22"/>
    <m/>
    <s v="6"/>
    <s v="RES"/>
    <x v="0"/>
    <s v="11"/>
    <s v="259"/>
    <s v="TD"/>
    <s v="A"/>
    <s v="GD"/>
    <x v="8"/>
    <n v="84"/>
    <n v="52"/>
    <n v="1940"/>
    <n v="1972"/>
    <n v="1046"/>
    <m/>
    <n v="794"/>
    <n v="0"/>
    <n v="794"/>
    <m/>
    <n v="1840"/>
    <n v="2000"/>
    <n v="8"/>
    <m/>
    <n v="252"/>
    <m/>
    <m/>
    <m/>
    <m/>
    <m/>
    <n v="256657"/>
    <n v="179660"/>
    <n v="0"/>
    <n v="331500"/>
    <n v="61700"/>
    <n v="269800"/>
    <n v="0"/>
    <n v="0"/>
    <n v="89850.625589999996"/>
    <n v="-47929.131559187132"/>
    <n v="21557.329055999999"/>
    <n v="197752.34721000001"/>
    <n v="-11598.371226000001"/>
    <n v="51681.468691342001"/>
    <n v="0"/>
    <n v="0"/>
    <n v="23091.024826117999"/>
    <n v="30336.176841600001"/>
    <n v="0"/>
    <n v="0"/>
    <n v="312800"/>
    <n v="41900"/>
    <n v="354700"/>
    <n v="6.9984917043740574E-2"/>
    <n v="0.99970000000000003"/>
    <n v="1.0067999999999999"/>
    <n v="0.99650000000000005"/>
    <n v="1.0093000000000001"/>
    <n v="0.98909999999999998"/>
    <n v="0.94971499999999998"/>
    <n v="0.95120534593507355"/>
    <n v="312800"/>
    <n v="0"/>
    <n v="312800"/>
    <n v="39800"/>
    <n v="352600"/>
    <n v="0.15937731653076354"/>
    <n v="-0.35494327390599678"/>
    <n v="6.3650075414781293E-2"/>
  </r>
  <r>
    <n v="2025"/>
    <s v="18132334506    "/>
    <n v="-1.9661128563728327"/>
    <n v="0.14000000000000001"/>
    <n v="6235"/>
    <s v="6"/>
    <s v="RES"/>
    <x v="0"/>
    <s v="11"/>
    <s v="259"/>
    <s v="TD"/>
    <s v="A"/>
    <s v="AV"/>
    <x v="8"/>
    <n v="84"/>
    <n v="52"/>
    <n v="1940"/>
    <n v="1972"/>
    <n v="968"/>
    <m/>
    <n v="968"/>
    <n v="0"/>
    <n v="968"/>
    <m/>
    <n v="1936"/>
    <n v="2000"/>
    <n v="8"/>
    <m/>
    <m/>
    <n v="404"/>
    <m/>
    <m/>
    <m/>
    <m/>
    <n v="259646"/>
    <n v="176559"/>
    <n v="0"/>
    <n v="297500"/>
    <n v="46000"/>
    <n v="251500"/>
    <n v="0"/>
    <n v="0"/>
    <n v="89850.625589999996"/>
    <n v="-62236.546971921947"/>
    <n v="21557.329055999999"/>
    <n v="160472.20319"/>
    <n v="-11598.371226000001"/>
    <n v="47827.592440936001"/>
    <n v="0"/>
    <n v="0"/>
    <n v="28151.274599095999"/>
    <n v="30336.176841600001"/>
    <n v="13451.388171504001"/>
    <n v="0"/>
    <n v="290200"/>
    <n v="27600"/>
    <n v="317800"/>
    <n v="6.8235294117647061E-2"/>
    <n v="0.99970000000000003"/>
    <n v="1.0067999999999999"/>
    <n v="0.99729999999999996"/>
    <n v="1.0093000000000001"/>
    <n v="0.98909999999999998"/>
    <n v="0.94971499999999998"/>
    <n v="0.95196898294134369"/>
    <n v="290200"/>
    <n v="0"/>
    <n v="290200"/>
    <n v="26200"/>
    <n v="316400"/>
    <n v="0.15387673956262427"/>
    <n v="-0.43043478260869567"/>
    <n v="6.3529411764705876E-2"/>
  </r>
  <r>
    <n v="2025"/>
    <s v="18132313454    "/>
    <n v="-2.0402208285265546"/>
    <n v="0.13"/>
    <m/>
    <s v="6"/>
    <s v="RES"/>
    <x v="0"/>
    <s v="11"/>
    <s v="259"/>
    <s v="TD"/>
    <s v="A"/>
    <s v="GD"/>
    <x v="8"/>
    <n v="84"/>
    <n v="52"/>
    <n v="1940"/>
    <n v="1972"/>
    <n v="963"/>
    <m/>
    <n v="747"/>
    <n v="162"/>
    <n v="585"/>
    <m/>
    <n v="1548"/>
    <n v="2000"/>
    <n v="5"/>
    <m/>
    <m/>
    <m/>
    <m/>
    <m/>
    <m/>
    <m/>
    <n v="229793"/>
    <n v="160855"/>
    <n v="5073"/>
    <n v="305600"/>
    <n v="43400"/>
    <n v="262200"/>
    <n v="0"/>
    <n v="0"/>
    <n v="89850.625589999996"/>
    <n v="-64582.406353792743"/>
    <n v="21557.329055999999"/>
    <n v="197752.34721000001"/>
    <n v="-11598.371226000001"/>
    <n v="47580.549091551002"/>
    <n v="0"/>
    <n v="0"/>
    <n v="21724.175749508999"/>
    <n v="18960.110526"/>
    <n v="0"/>
    <n v="5100"/>
    <n v="296000"/>
    <n v="25300"/>
    <n v="326400"/>
    <n v="6.8062827225130892E-2"/>
    <n v="0.99970000000000003"/>
    <n v="1.0067999999999999"/>
    <n v="0.99650000000000005"/>
    <n v="1.0093000000000001"/>
    <n v="0.98909999999999998"/>
    <n v="0.94971499999999998"/>
    <n v="0.95120534593507355"/>
    <n v="296000"/>
    <n v="4800"/>
    <n v="300800"/>
    <n v="24000"/>
    <n v="324800"/>
    <n v="0.14721586575133486"/>
    <n v="-0.44700460829493088"/>
    <n v="6.2827225130890049E-2"/>
  </r>
  <r>
    <n v="2025"/>
    <s v="18132342464    "/>
    <n v="-1.2039728043259361"/>
    <n v="0.3"/>
    <n v="12927"/>
    <s v="6"/>
    <s v="RES"/>
    <x v="0"/>
    <s v="11"/>
    <s v="259"/>
    <s v="TD"/>
    <s v="A"/>
    <s v="GD"/>
    <x v="8"/>
    <n v="84"/>
    <n v="52"/>
    <n v="1940"/>
    <n v="1972"/>
    <n v="2061"/>
    <m/>
    <m/>
    <n v="0"/>
    <m/>
    <m/>
    <n v="2061"/>
    <n v="2500"/>
    <n v="9"/>
    <n v="484"/>
    <m/>
    <m/>
    <m/>
    <m/>
    <m/>
    <m/>
    <n v="333089"/>
    <n v="233162"/>
    <n v="0"/>
    <n v="369700"/>
    <n v="72500"/>
    <n v="297200"/>
    <n v="0"/>
    <n v="0"/>
    <n v="89850.625589999996"/>
    <n v="-38111.29648355169"/>
    <n v="21557.329055999999"/>
    <n v="197752.34721000001"/>
    <n v="-11598.371226000001"/>
    <n v="101831.26861649701"/>
    <n v="0"/>
    <n v="0"/>
    <n v="0"/>
    <n v="34128.198946800003"/>
    <n v="0"/>
    <n v="0"/>
    <n v="343700"/>
    <n v="51700"/>
    <n v="395400"/>
    <n v="6.9515823640789828E-2"/>
    <n v="0.99970000000000003"/>
    <n v="1.0067999999999999"/>
    <n v="0.99650000000000005"/>
    <n v="0.98919999999999997"/>
    <n v="0.98909999999999998"/>
    <n v="0.94971499999999998"/>
    <n v="0.9322622889120924"/>
    <n v="343700"/>
    <n v="0"/>
    <n v="343700"/>
    <n v="49100"/>
    <n v="392800"/>
    <n v="0.15646029609690443"/>
    <n v="-0.32275862068965516"/>
    <n v="6.2483094400865566E-2"/>
  </r>
  <r>
    <n v="2025"/>
    <s v="18132331053    "/>
    <n v="-1.8325814637483102"/>
    <n v="0.16"/>
    <m/>
    <s v="6"/>
    <s v="RES"/>
    <x v="0"/>
    <s v="11"/>
    <s v="259"/>
    <s v="TD"/>
    <s v="A"/>
    <s v="GD"/>
    <x v="8"/>
    <n v="84"/>
    <n v="52"/>
    <n v="1940"/>
    <n v="1972"/>
    <n v="1408"/>
    <m/>
    <n v="930"/>
    <n v="0"/>
    <n v="930"/>
    <m/>
    <n v="2338"/>
    <n v="2500"/>
    <n v="5"/>
    <m/>
    <m/>
    <m/>
    <m/>
    <m/>
    <m/>
    <m/>
    <n v="306373"/>
    <n v="214461"/>
    <n v="11109"/>
    <n v="342700"/>
    <n v="50600"/>
    <n v="292100"/>
    <n v="0"/>
    <n v="0"/>
    <n v="89850.625589999996"/>
    <n v="-58009.662049032086"/>
    <n v="21557.329055999999"/>
    <n v="197752.34721000001"/>
    <n v="-11598.371226000001"/>
    <n v="69567.407186815995"/>
    <n v="0"/>
    <n v="0"/>
    <n v="27046.162579709999"/>
    <n v="18960.110526"/>
    <n v="0"/>
    <n v="11100"/>
    <n v="323300"/>
    <n v="31800"/>
    <n v="366200"/>
    <n v="6.8573096002334397E-2"/>
    <n v="0.99970000000000003"/>
    <n v="1.0067999999999999"/>
    <n v="0.99650000000000005"/>
    <n v="0.98919999999999997"/>
    <n v="0.98909999999999998"/>
    <n v="0.94971499999999998"/>
    <n v="0.9322622889120924"/>
    <n v="323300"/>
    <n v="10600"/>
    <n v="333900"/>
    <n v="30200"/>
    <n v="364100"/>
    <n v="0.14310167750770283"/>
    <n v="-0.40316205533596838"/>
    <n v="6.2445287423402392E-2"/>
  </r>
  <r>
    <n v="2025"/>
    <s v="18132343009    "/>
    <n v="-1.7147984280919266"/>
    <n v="0.18"/>
    <m/>
    <s v="6"/>
    <s v="RES"/>
    <x v="0"/>
    <s v="11"/>
    <s v="259"/>
    <s v="TD"/>
    <s v="G"/>
    <s v="GD"/>
    <x v="8"/>
    <n v="84"/>
    <n v="52"/>
    <n v="1940"/>
    <n v="1972"/>
    <n v="1374"/>
    <m/>
    <n v="666"/>
    <n v="0"/>
    <n v="666"/>
    <m/>
    <n v="2040"/>
    <n v="2500"/>
    <n v="8"/>
    <m/>
    <m/>
    <m/>
    <m/>
    <m/>
    <m/>
    <m/>
    <n v="407857"/>
    <n v="285500"/>
    <n v="10854"/>
    <n v="369000"/>
    <n v="54700"/>
    <n v="314300"/>
    <n v="0"/>
    <n v="0"/>
    <n v="89850.625589999996"/>
    <n v="-54281.285314520763"/>
    <n v="44121.038090000002"/>
    <n v="197752.34721000001"/>
    <n v="-11598.371226000001"/>
    <n v="67887.512410997995"/>
    <n v="0"/>
    <n v="0"/>
    <n v="19368.542234501998"/>
    <n v="30336.176841600001"/>
    <n v="0"/>
    <n v="10900"/>
    <n v="347900"/>
    <n v="35600"/>
    <n v="394400"/>
    <n v="6.8834688346883471E-2"/>
    <n v="0.99970000000000003"/>
    <n v="0.98050000000000004"/>
    <n v="0.99650000000000005"/>
    <n v="0.98919999999999997"/>
    <n v="0.98909999999999998"/>
    <n v="0.94971499999999998"/>
    <n v="0.90790939042342744"/>
    <n v="347900"/>
    <n v="10300"/>
    <n v="358200"/>
    <n v="33800"/>
    <n v="392000"/>
    <n v="0.13967546929685015"/>
    <n v="-0.38208409506398539"/>
    <n v="6.2330623306233061E-2"/>
  </r>
  <r>
    <n v="2025"/>
    <s v="18132241014    "/>
    <n v="-1.6094379124341003"/>
    <n v="0.2"/>
    <n v="8558"/>
    <s v="6"/>
    <s v="RES"/>
    <x v="0"/>
    <s v="11"/>
    <s v="259"/>
    <s v="TD"/>
    <s v="A+"/>
    <s v="GD"/>
    <x v="8"/>
    <n v="84"/>
    <n v="52"/>
    <n v="1940"/>
    <n v="1972"/>
    <n v="1160"/>
    <m/>
    <n v="712"/>
    <n v="100"/>
    <n v="612"/>
    <m/>
    <n v="1772"/>
    <n v="2000"/>
    <n v="7"/>
    <n v="220"/>
    <m/>
    <m/>
    <m/>
    <m/>
    <m/>
    <m/>
    <n v="306097"/>
    <n v="214268"/>
    <n v="0"/>
    <n v="336500"/>
    <n v="58400"/>
    <n v="278100"/>
    <n v="0"/>
    <n v="0"/>
    <n v="89850.625589999996"/>
    <n v="-50946.13867709865"/>
    <n v="29814.093161000001"/>
    <n v="197752.34721000001"/>
    <n v="-11598.371226000001"/>
    <n v="57314.057057320002"/>
    <n v="0"/>
    <n v="0"/>
    <n v="20706.309415863998"/>
    <n v="26544.1547364"/>
    <n v="0"/>
    <n v="0"/>
    <n v="320500"/>
    <n v="38900"/>
    <n v="359400"/>
    <n v="6.8053491827637438E-2"/>
    <n v="0.99970000000000003"/>
    <n v="1.0088999999999999"/>
    <n v="0.99650000000000005"/>
    <n v="1.0093000000000001"/>
    <n v="0.98909999999999998"/>
    <n v="0.94971499999999998"/>
    <n v="0.95318938569119571"/>
    <n v="320500"/>
    <n v="0"/>
    <n v="320500"/>
    <n v="36900"/>
    <n v="357400"/>
    <n v="0.1524631427544049"/>
    <n v="-0.36815068493150682"/>
    <n v="6.210995542347697E-2"/>
  </r>
  <r>
    <n v="2025"/>
    <s v="18132241417    "/>
    <n v="-2.2072749131897207"/>
    <n v="0.11"/>
    <n v="4909"/>
    <s v="6"/>
    <s v="RES"/>
    <x v="0"/>
    <s v="11"/>
    <s v="259"/>
    <s v="TD"/>
    <s v="A"/>
    <s v="GD"/>
    <x v="8"/>
    <n v="84"/>
    <n v="52"/>
    <n v="1940"/>
    <n v="1972"/>
    <n v="994"/>
    <m/>
    <n v="1027"/>
    <n v="0"/>
    <n v="1027"/>
    <m/>
    <n v="2021"/>
    <n v="2500"/>
    <n v="10"/>
    <m/>
    <m/>
    <m/>
    <m/>
    <m/>
    <m/>
    <m/>
    <n v="265311"/>
    <n v="185718"/>
    <n v="22054"/>
    <n v="343300"/>
    <n v="37600"/>
    <n v="305700"/>
    <n v="0"/>
    <n v="0"/>
    <n v="89850.625589999996"/>
    <n v="-69870.439211769743"/>
    <n v="21557.329055999999"/>
    <n v="197752.34721000001"/>
    <n v="-11598.371226000001"/>
    <n v="49112.217857738004"/>
    <n v="0"/>
    <n v="0"/>
    <n v="29867.106418668998"/>
    <n v="37920.221052000001"/>
    <n v="0"/>
    <n v="22100"/>
    <n v="324600"/>
    <n v="20000"/>
    <n v="366700"/>
    <n v="6.8161957471599185E-2"/>
    <n v="0.99970000000000003"/>
    <n v="1.0067999999999999"/>
    <n v="0.99650000000000005"/>
    <n v="0.98919999999999997"/>
    <n v="0.98909999999999998"/>
    <n v="0.94971499999999998"/>
    <n v="0.9322622889120924"/>
    <n v="324600"/>
    <n v="20900"/>
    <n v="345500"/>
    <n v="19000"/>
    <n v="364500"/>
    <n v="0.13019299967288192"/>
    <n v="-0.49468085106382981"/>
    <n v="6.1753568307602681E-2"/>
  </r>
  <r>
    <n v="2025"/>
    <s v="18132324490    "/>
    <n v="-1.7147984280919266"/>
    <n v="0.18"/>
    <m/>
    <s v="6"/>
    <s v="RES"/>
    <x v="0"/>
    <s v="11"/>
    <s v="259"/>
    <s v="CC"/>
    <s v="A+"/>
    <s v="GD"/>
    <x v="8"/>
    <n v="84"/>
    <n v="52"/>
    <n v="1940"/>
    <n v="1972"/>
    <n v="1463"/>
    <m/>
    <n v="1015"/>
    <n v="0"/>
    <n v="1015"/>
    <m/>
    <n v="2478"/>
    <n v="2500"/>
    <n v="12"/>
    <m/>
    <m/>
    <n v="126"/>
    <m/>
    <m/>
    <m/>
    <m/>
    <n v="389044"/>
    <n v="272331"/>
    <n v="10212"/>
    <n v="387200"/>
    <n v="54700"/>
    <n v="332500"/>
    <n v="0"/>
    <n v="0"/>
    <n v="89850.625589999996"/>
    <n v="-54281.285314520763"/>
    <n v="29814.093161000001"/>
    <n v="197752.34721000001"/>
    <n v="-11598.371226000001"/>
    <n v="72284.884030051006"/>
    <n v="0"/>
    <n v="0"/>
    <n v="29518.123675704999"/>
    <n v="45504.265262400004"/>
    <n v="4195.2349247760003"/>
    <n v="10200"/>
    <n v="367500"/>
    <n v="35600"/>
    <n v="413300"/>
    <n v="6.7407024793388434E-2"/>
    <n v="0.99970000000000003"/>
    <n v="1.0088999999999999"/>
    <n v="0.99650000000000005"/>
    <n v="0.98919999999999997"/>
    <n v="0.98909999999999998"/>
    <n v="0.94971499999999998"/>
    <n v="0.93420681692829766"/>
    <n v="367500"/>
    <n v="9700"/>
    <n v="377200"/>
    <n v="33800"/>
    <n v="411000"/>
    <n v="0.13443609022556391"/>
    <n v="-0.38208409506398539"/>
    <n v="6.1466942148760334E-2"/>
  </r>
  <r>
    <n v="2025"/>
    <s v="18132243458    "/>
    <n v="-1.1394342831883648"/>
    <n v="0.32"/>
    <n v="14040"/>
    <s v="6"/>
    <s v="RES"/>
    <x v="0"/>
    <s v="11"/>
    <s v="259"/>
    <s v="TD"/>
    <s v="A+"/>
    <s v="FR"/>
    <x v="8"/>
    <n v="84"/>
    <n v="52"/>
    <n v="1940"/>
    <n v="1972"/>
    <n v="1440"/>
    <m/>
    <n v="648"/>
    <n v="448"/>
    <n v="200"/>
    <m/>
    <n v="1640"/>
    <n v="2000"/>
    <n v="8"/>
    <m/>
    <m/>
    <m/>
    <m/>
    <m/>
    <m/>
    <m/>
    <n v="309140"/>
    <n v="204032"/>
    <n v="10436"/>
    <n v="314000"/>
    <n v="74800"/>
    <n v="239200"/>
    <n v="0"/>
    <n v="0"/>
    <n v="89850.625589999996"/>
    <n v="-36068.354396449467"/>
    <n v="29814.093161000001"/>
    <n v="133714.53821"/>
    <n v="-11598.371226000001"/>
    <n v="71148.484622880002"/>
    <n v="0"/>
    <n v="0"/>
    <n v="18845.068120055999"/>
    <n v="30336.176841600001"/>
    <n v="0"/>
    <n v="10400"/>
    <n v="272300"/>
    <n v="53800"/>
    <n v="336500"/>
    <n v="7.1656050955414011E-2"/>
    <n v="0.99970000000000003"/>
    <n v="1.0088999999999999"/>
    <n v="0.99329999999999996"/>
    <n v="1.0093000000000001"/>
    <n v="0.98909999999999998"/>
    <n v="0.94971499999999998"/>
    <n v="0.95012846643960336"/>
    <n v="272300"/>
    <n v="9900"/>
    <n v="282200"/>
    <n v="51100"/>
    <n v="333300"/>
    <n v="0.17976588628762541"/>
    <n v="-0.31684491978609625"/>
    <n v="6.1464968152866242E-2"/>
  </r>
  <r>
    <n v="2025"/>
    <s v="18132244422    "/>
    <n v="-1.7147984280919266"/>
    <n v="0.18"/>
    <n v="7800"/>
    <s v="6"/>
    <s v="RES"/>
    <x v="0"/>
    <s v="11"/>
    <s v="259"/>
    <s v="CO"/>
    <s v="A"/>
    <s v="GD"/>
    <x v="8"/>
    <n v="84"/>
    <n v="52"/>
    <n v="1940"/>
    <n v="1972"/>
    <n v="1152"/>
    <n v="201"/>
    <n v="1044"/>
    <n v="284"/>
    <n v="760"/>
    <m/>
    <n v="2113"/>
    <n v="2500"/>
    <n v="9"/>
    <n v="288"/>
    <m/>
    <m/>
    <m/>
    <m/>
    <m/>
    <m/>
    <n v="310558"/>
    <n v="217391"/>
    <n v="0"/>
    <n v="350400"/>
    <n v="54700"/>
    <n v="295700"/>
    <n v="0"/>
    <n v="0"/>
    <n v="89850.625589999996"/>
    <n v="-54281.285314520763"/>
    <n v="21557.329055999999"/>
    <n v="197752.34721000001"/>
    <n v="-11598.371226000001"/>
    <n v="56918.787698304004"/>
    <n v="9002.0709950609998"/>
    <n v="0"/>
    <n v="30361.498637867997"/>
    <n v="34128.198946800003"/>
    <n v="0"/>
    <n v="0"/>
    <n v="338100"/>
    <n v="35600"/>
    <n v="373700"/>
    <n v="6.6495433789954345E-2"/>
    <n v="0.99970000000000003"/>
    <n v="1.0067999999999999"/>
    <n v="0.99650000000000005"/>
    <n v="0.98919999999999997"/>
    <n v="0.98909999999999998"/>
    <n v="0.94971499999999998"/>
    <n v="0.9322622889120924"/>
    <n v="338100"/>
    <n v="0"/>
    <n v="338100"/>
    <n v="33800"/>
    <n v="371900"/>
    <n v="0.14338856949611092"/>
    <n v="-0.38208409506398539"/>
    <n v="6.1358447488584475E-2"/>
  </r>
  <r>
    <n v="2025"/>
    <s v="18132342436    "/>
    <n v="-1.9661128563728327"/>
    <n v="0.14000000000000001"/>
    <m/>
    <s v="6"/>
    <s v="RES"/>
    <x v="0"/>
    <s v="11"/>
    <s v="259"/>
    <s v="MS"/>
    <s v="A+"/>
    <s v="GD"/>
    <x v="8"/>
    <n v="84"/>
    <n v="52"/>
    <n v="1940"/>
    <n v="1972"/>
    <n v="1125"/>
    <m/>
    <n v="1125"/>
    <n v="225"/>
    <n v="900"/>
    <m/>
    <n v="2025"/>
    <n v="2500"/>
    <n v="9"/>
    <m/>
    <m/>
    <m/>
    <m/>
    <m/>
    <m/>
    <m/>
    <n v="328948"/>
    <n v="230264"/>
    <n v="0"/>
    <n v="343900"/>
    <n v="46000"/>
    <n v="297900"/>
    <n v="0"/>
    <n v="0"/>
    <n v="89850.625589999996"/>
    <n v="-62236.546971921947"/>
    <n v="29814.093161000001"/>
    <n v="197752.34721000001"/>
    <n v="-11598.371226000001"/>
    <n v="55584.753611625005"/>
    <n v="0"/>
    <n v="0"/>
    <n v="32717.132152874998"/>
    <n v="34128.198946800003"/>
    <n v="0"/>
    <n v="0"/>
    <n v="338400"/>
    <n v="27600"/>
    <n v="366000"/>
    <n v="6.4262867112532707E-2"/>
    <n v="0.99970000000000003"/>
    <n v="1.0088999999999999"/>
    <n v="0.99650000000000005"/>
    <n v="0.98919999999999997"/>
    <n v="0.98909999999999998"/>
    <n v="0.94971499999999998"/>
    <n v="0.93420681692829766"/>
    <n v="338400"/>
    <n v="0"/>
    <n v="338400"/>
    <n v="26200"/>
    <n v="364600"/>
    <n v="0.13595166163141995"/>
    <n v="-0.43043478260869567"/>
    <n v="6.0191916254725211E-2"/>
  </r>
  <r>
    <n v="2025"/>
    <s v="18132322013    "/>
    <n v="-1.5141277326297755"/>
    <n v="0.22"/>
    <n v="9670"/>
    <s v="6"/>
    <s v="RES"/>
    <x v="0"/>
    <s v="11"/>
    <s v="259"/>
    <s v="TD"/>
    <s v="A+"/>
    <s v="FR"/>
    <x v="8"/>
    <n v="84"/>
    <n v="52"/>
    <n v="1940"/>
    <n v="1972"/>
    <n v="1032"/>
    <m/>
    <m/>
    <n v="0"/>
    <m/>
    <m/>
    <n v="1032"/>
    <n v="1500"/>
    <n v="5"/>
    <m/>
    <m/>
    <m/>
    <m/>
    <m/>
    <m/>
    <m/>
    <n v="208046"/>
    <n v="137310"/>
    <n v="7795"/>
    <n v="254000"/>
    <n v="61700"/>
    <n v="192300"/>
    <n v="0"/>
    <n v="0"/>
    <n v="89850.625589999996"/>
    <n v="-47929.131559187132"/>
    <n v="29814.093161000001"/>
    <n v="133714.53821"/>
    <n v="-11598.371226000001"/>
    <n v="50989.747313063999"/>
    <n v="0"/>
    <n v="0"/>
    <n v="0"/>
    <n v="18960.110526"/>
    <n v="0"/>
    <n v="7800"/>
    <n v="221900"/>
    <n v="41900"/>
    <n v="271600"/>
    <n v="6.9291338582677164E-2"/>
    <n v="0.99970000000000003"/>
    <n v="1.0088999999999999"/>
    <n v="0.99329999999999996"/>
    <n v="1.0157"/>
    <n v="0.98909999999999998"/>
    <n v="0.94971499999999998"/>
    <n v="0.95615325806272178"/>
    <n v="221900"/>
    <n v="7400"/>
    <n v="229300"/>
    <n v="39800"/>
    <n v="269100"/>
    <n v="0.19240769630785232"/>
    <n v="-0.35494327390599678"/>
    <n v="5.9448818897637798E-2"/>
  </r>
  <r>
    <n v="2025"/>
    <s v="18132323435    "/>
    <n v="-1.6607312068216509"/>
    <n v="0.19"/>
    <m/>
    <s v="6"/>
    <s v="RES"/>
    <x v="0"/>
    <s v="11"/>
    <s v="259"/>
    <s v="TD"/>
    <s v="A"/>
    <s v="AV"/>
    <x v="8"/>
    <n v="84"/>
    <n v="52"/>
    <n v="1940"/>
    <n v="1972"/>
    <n v="906"/>
    <m/>
    <m/>
    <n v="0"/>
    <m/>
    <m/>
    <n v="906"/>
    <n v="1000"/>
    <n v="5"/>
    <n v="240"/>
    <m/>
    <m/>
    <m/>
    <m/>
    <m/>
    <m/>
    <n v="166442"/>
    <n v="113181"/>
    <n v="0"/>
    <n v="254500"/>
    <n v="56600"/>
    <n v="197900"/>
    <n v="0"/>
    <n v="0"/>
    <n v="89850.625589999996"/>
    <n v="-52569.808201026557"/>
    <n v="21557.329055999999"/>
    <n v="160472.20319"/>
    <n v="-11598.371226000001"/>
    <n v="44764.254908561998"/>
    <n v="0"/>
    <n v="0"/>
    <n v="0"/>
    <n v="18960.110526"/>
    <n v="0"/>
    <n v="0"/>
    <n v="234200"/>
    <n v="37300"/>
    <n v="271500"/>
    <n v="6.6797642436149315E-2"/>
    <n v="0.99970000000000003"/>
    <n v="1.0067999999999999"/>
    <n v="0.99729999999999996"/>
    <n v="1.0148999999999999"/>
    <n v="0.98909999999999998"/>
    <n v="0.94971499999999998"/>
    <n v="0.95725088753311172"/>
    <n v="234200"/>
    <n v="0"/>
    <n v="234200"/>
    <n v="35400"/>
    <n v="269600"/>
    <n v="0.18342597271349168"/>
    <n v="-0.37455830388692579"/>
    <n v="5.9332023575638507E-2"/>
  </r>
  <r>
    <n v="2025"/>
    <s v="18132324556    "/>
    <n v="-1.5606477482646683"/>
    <n v="0.21"/>
    <m/>
    <s v="6"/>
    <s v="RES"/>
    <x v="0"/>
    <s v="11"/>
    <s v="259"/>
    <s v="TD"/>
    <s v="A+"/>
    <s v="GD"/>
    <x v="8"/>
    <n v="84"/>
    <n v="52"/>
    <n v="1940"/>
    <n v="1972"/>
    <n v="1081"/>
    <m/>
    <n v="1081"/>
    <n v="106"/>
    <n v="975"/>
    <m/>
    <n v="2056"/>
    <n v="2500"/>
    <n v="6"/>
    <m/>
    <m/>
    <m/>
    <m/>
    <m/>
    <m/>
    <m/>
    <n v="322210"/>
    <n v="225547"/>
    <n v="8824"/>
    <n v="349700"/>
    <n v="60100"/>
    <n v="289600"/>
    <n v="0"/>
    <n v="0"/>
    <n v="89850.625589999996"/>
    <n v="-49401.70477837498"/>
    <n v="29814.093161000001"/>
    <n v="197752.34721000001"/>
    <n v="-11598.371226000001"/>
    <n v="53410.772137036998"/>
    <n v="0"/>
    <n v="0"/>
    <n v="31437.528762006998"/>
    <n v="22752.132631200002"/>
    <n v="0"/>
    <n v="8800"/>
    <n v="323600"/>
    <n v="40400"/>
    <n v="372800"/>
    <n v="6.6056619959965687E-2"/>
    <n v="0.99970000000000003"/>
    <n v="1.0088999999999999"/>
    <n v="0.99650000000000005"/>
    <n v="0.98919999999999997"/>
    <n v="0.98909999999999998"/>
    <n v="0.94971499999999998"/>
    <n v="0.93420681692829766"/>
    <n v="323600"/>
    <n v="8400"/>
    <n v="332000"/>
    <n v="38400"/>
    <n v="370400"/>
    <n v="0.14640883977900551"/>
    <n v="-0.36106489184692181"/>
    <n v="5.9193594509579638E-2"/>
  </r>
  <r>
    <n v="2025"/>
    <s v="18132243461    "/>
    <n v="-1.6094379124341003"/>
    <n v="0.2"/>
    <n v="8689"/>
    <s v="6"/>
    <s v="RES"/>
    <x v="0"/>
    <s v="11"/>
    <s v="259"/>
    <s v="CO"/>
    <s v="A"/>
    <s v="AV"/>
    <x v="8"/>
    <n v="84"/>
    <n v="52"/>
    <n v="1940"/>
    <n v="1972"/>
    <n v="1246"/>
    <n v="926"/>
    <n v="1246"/>
    <n v="615"/>
    <n v="631"/>
    <m/>
    <n v="2803"/>
    <n v="3000"/>
    <n v="8"/>
    <m/>
    <m/>
    <n v="280"/>
    <m/>
    <m/>
    <m/>
    <m/>
    <n v="395501"/>
    <n v="268941"/>
    <n v="23742"/>
    <n v="386100"/>
    <n v="58400"/>
    <n v="327700"/>
    <n v="0"/>
    <n v="0"/>
    <n v="89850.625589999996"/>
    <n v="-50946.13867709865"/>
    <n v="21557.329055999999"/>
    <n v="160472.20319"/>
    <n v="-11598.371226000001"/>
    <n v="61563.202666742"/>
    <n v="41472.227569285998"/>
    <n v="0"/>
    <n v="36236.041477761995"/>
    <n v="30336.176841600001"/>
    <n v="9322.7442772800005"/>
    <n v="23700"/>
    <n v="349400"/>
    <n v="38900"/>
    <n v="412000"/>
    <n v="6.7081067081067078E-2"/>
    <n v="0.99970000000000003"/>
    <n v="1.0067999999999999"/>
    <n v="0.99729999999999996"/>
    <n v="0.96179999999999999"/>
    <n v="0.98909999999999998"/>
    <n v="0.94971499999999998"/>
    <n v="0.90716711363616798"/>
    <n v="349400"/>
    <n v="22500"/>
    <n v="371900"/>
    <n v="36900"/>
    <n v="408800"/>
    <n v="0.13487946292340555"/>
    <n v="-0.36815068493150682"/>
    <n v="5.8793058793058794E-2"/>
  </r>
  <r>
    <n v="2025"/>
    <s v="18132323022    "/>
    <n v="-2.0402208285265546"/>
    <n v="0.13"/>
    <n v="5500"/>
    <s v="6"/>
    <s v="RES"/>
    <x v="0"/>
    <s v="11"/>
    <s v="259"/>
    <s v="TD"/>
    <s v="A"/>
    <s v="AV"/>
    <x v="8"/>
    <n v="84"/>
    <n v="52"/>
    <n v="1940"/>
    <n v="1972"/>
    <n v="1049"/>
    <m/>
    <m/>
    <n v="0"/>
    <m/>
    <m/>
    <n v="1049"/>
    <n v="1500"/>
    <n v="5"/>
    <m/>
    <m/>
    <m/>
    <m/>
    <m/>
    <m/>
    <m/>
    <n v="176101"/>
    <n v="119749"/>
    <n v="0"/>
    <n v="250500"/>
    <n v="43400"/>
    <n v="207100"/>
    <n v="0"/>
    <n v="0"/>
    <n v="89850.625589999996"/>
    <n v="-64582.406353792743"/>
    <n v="21557.329055999999"/>
    <n v="160472.20319"/>
    <n v="-11598.371226000001"/>
    <n v="51829.694700972999"/>
    <n v="0"/>
    <n v="0"/>
    <n v="0"/>
    <n v="18960.110526"/>
    <n v="0"/>
    <n v="0"/>
    <n v="241200"/>
    <n v="25300"/>
    <n v="266500"/>
    <n v="6.3872255489021951E-2"/>
    <n v="0.99970000000000003"/>
    <n v="1.0067999999999999"/>
    <n v="0.99729999999999996"/>
    <n v="1.0157"/>
    <n v="0.98909999999999998"/>
    <n v="0.94971499999999998"/>
    <n v="0.95800544533193577"/>
    <n v="241200"/>
    <n v="0"/>
    <n v="241200"/>
    <n v="24000"/>
    <n v="265200"/>
    <n v="0.16465475615644617"/>
    <n v="-0.44700460829493088"/>
    <n v="5.8682634730538925E-2"/>
  </r>
  <r>
    <n v="2025"/>
    <s v="18132214019    "/>
    <n v="-1.9661128563728327"/>
    <n v="0.14000000000000001"/>
    <n v="6277"/>
    <s v="6"/>
    <s v="RES"/>
    <x v="0"/>
    <s v="11"/>
    <s v="259"/>
    <s v="CC"/>
    <s v="A"/>
    <s v="GD"/>
    <x v="8"/>
    <n v="84"/>
    <n v="52"/>
    <n v="1940"/>
    <n v="1972"/>
    <n v="956"/>
    <n v="478"/>
    <n v="956"/>
    <n v="0"/>
    <n v="956"/>
    <m/>
    <n v="2390"/>
    <n v="2500"/>
    <n v="11"/>
    <m/>
    <m/>
    <m/>
    <m/>
    <m/>
    <m/>
    <m/>
    <n v="303486"/>
    <n v="212440"/>
    <n v="5261"/>
    <n v="356300"/>
    <n v="46000"/>
    <n v="310300"/>
    <n v="0"/>
    <n v="0"/>
    <n v="89850.625589999996"/>
    <n v="-62236.546971921947"/>
    <n v="21557.329055999999"/>
    <n v="197752.34721000001"/>
    <n v="-11598.371226000001"/>
    <n v="47234.688402412001"/>
    <n v="21407.910127558"/>
    <n v="0"/>
    <n v="27802.291856132"/>
    <n v="41712.243157199999"/>
    <n v="0"/>
    <n v="5300"/>
    <n v="345900"/>
    <n v="27600"/>
    <n v="378800"/>
    <n v="6.3149031714847037E-2"/>
    <n v="0.99970000000000003"/>
    <n v="1.0067999999999999"/>
    <n v="0.99650000000000005"/>
    <n v="0.98919999999999997"/>
    <n v="0.98909999999999998"/>
    <n v="0.94971499999999998"/>
    <n v="0.9322622889120924"/>
    <n v="345900"/>
    <n v="5000"/>
    <n v="350900"/>
    <n v="26200"/>
    <n v="377100"/>
    <n v="0.13084112149532709"/>
    <n v="-0.43043478260869567"/>
    <n v="5.8377771540836371E-2"/>
  </r>
  <r>
    <n v="2025"/>
    <s v="18132214422    "/>
    <n v="-1.7147984280919266"/>
    <n v="0.18"/>
    <n v="7778"/>
    <s v="6"/>
    <s v="RES"/>
    <x v="0"/>
    <s v="11"/>
    <s v="259"/>
    <s v="TD"/>
    <s v="F+"/>
    <s v="AV"/>
    <x v="8"/>
    <n v="84"/>
    <n v="52"/>
    <n v="1940"/>
    <n v="1972"/>
    <n v="1005"/>
    <m/>
    <n v="1005"/>
    <n v="1005"/>
    <m/>
    <m/>
    <n v="1005"/>
    <n v="1500"/>
    <n v="5"/>
    <m/>
    <m/>
    <m/>
    <m/>
    <m/>
    <m/>
    <m/>
    <n v="192653"/>
    <n v="131004"/>
    <n v="0"/>
    <n v="265200"/>
    <n v="54700"/>
    <n v="210500"/>
    <n v="0"/>
    <n v="0"/>
    <n v="89850.625589999996"/>
    <n v="-54281.285314520763"/>
    <n v="0"/>
    <n v="160472.20319"/>
    <n v="-11598.371226000001"/>
    <n v="49655.713226385"/>
    <n v="0"/>
    <n v="0"/>
    <n v="29227.304723235"/>
    <n v="18960.110526"/>
    <n v="0"/>
    <n v="0"/>
    <n v="246700"/>
    <n v="35600"/>
    <n v="282300"/>
    <n v="6.4479638009049781E-2"/>
    <n v="0.99970000000000003"/>
    <n v="0.99180000000000001"/>
    <n v="0.99729999999999996"/>
    <n v="1.0157"/>
    <n v="0.98909999999999998"/>
    <n v="0.94971499999999998"/>
    <n v="0.94373242022269987"/>
    <n v="246700"/>
    <n v="0"/>
    <n v="246700"/>
    <n v="33800"/>
    <n v="280500"/>
    <n v="0.17197149643705464"/>
    <n v="-0.38208409506398539"/>
    <n v="5.7692307692307696E-2"/>
  </r>
  <r>
    <n v="2025"/>
    <s v="18132243409    "/>
    <n v="-1.2378743560016174"/>
    <n v="0.28999999999999998"/>
    <n v="12710"/>
    <s v="6"/>
    <s v="RES"/>
    <x v="0"/>
    <s v="11"/>
    <s v="259"/>
    <s v="TD"/>
    <s v="G"/>
    <s v="FR"/>
    <x v="8"/>
    <n v="84"/>
    <n v="52"/>
    <n v="1940"/>
    <n v="1972"/>
    <n v="1069"/>
    <m/>
    <n v="1109"/>
    <n v="222"/>
    <n v="887"/>
    <m/>
    <n v="1956"/>
    <n v="2000"/>
    <n v="8"/>
    <m/>
    <m/>
    <n v="192"/>
    <m/>
    <m/>
    <m/>
    <m/>
    <n v="359152"/>
    <n v="237040"/>
    <n v="40225"/>
    <n v="353900"/>
    <n v="71400"/>
    <n v="282500"/>
    <n v="0"/>
    <n v="0"/>
    <n v="89850.625589999996"/>
    <n v="-39184.437074869042"/>
    <n v="44121.038090000002"/>
    <n v="133714.53821"/>
    <n v="-11598.371226000001"/>
    <n v="52817.868098513005"/>
    <n v="0"/>
    <n v="0"/>
    <n v="32251.821828922999"/>
    <n v="30336.176841600001"/>
    <n v="6392.7389329920006"/>
    <n v="40200"/>
    <n v="288000"/>
    <n v="50700"/>
    <n v="378900"/>
    <n v="7.0641424131110478E-2"/>
    <n v="0.99970000000000003"/>
    <n v="0.98050000000000004"/>
    <n v="0.99329999999999996"/>
    <n v="1.0093000000000001"/>
    <n v="0.98909999999999998"/>
    <n v="0.94971499999999998"/>
    <n v="0.92338285394393016"/>
    <n v="288000"/>
    <n v="38200"/>
    <n v="326200"/>
    <n v="48100"/>
    <n v="374300"/>
    <n v="0.15469026548672565"/>
    <n v="-0.32633053221288516"/>
    <n v="5.7643402090986152E-2"/>
  </r>
  <r>
    <n v="2025"/>
    <s v="18132241050    "/>
    <n v="-1.8325814637483102"/>
    <n v="0.16"/>
    <n v="7132"/>
    <s v="6"/>
    <s v="RES"/>
    <x v="0"/>
    <s v="11"/>
    <s v="259"/>
    <s v="TD"/>
    <s v="A"/>
    <s v="GD"/>
    <x v="8"/>
    <n v="84"/>
    <n v="52"/>
    <n v="1940"/>
    <n v="1972"/>
    <n v="1014"/>
    <m/>
    <n v="1014"/>
    <n v="0"/>
    <n v="1014"/>
    <m/>
    <n v="2028"/>
    <n v="2500"/>
    <n v="8"/>
    <m/>
    <m/>
    <m/>
    <m/>
    <m/>
    <m/>
    <m/>
    <n v="258700"/>
    <n v="181090"/>
    <n v="6050"/>
    <n v="334400"/>
    <n v="50600"/>
    <n v="283800"/>
    <n v="0"/>
    <n v="0"/>
    <n v="89850.625589999996"/>
    <n v="-58009.662049032086"/>
    <n v="21557.329055999999"/>
    <n v="197752.34721000001"/>
    <n v="-11598.371226000001"/>
    <n v="50100.391255278002"/>
    <n v="0"/>
    <n v="0"/>
    <n v="29489.041780457999"/>
    <n v="30336.176841600001"/>
    <n v="0"/>
    <n v="6100"/>
    <n v="317600"/>
    <n v="31800"/>
    <n v="355500"/>
    <n v="6.3098086124401917E-2"/>
    <n v="0.99970000000000003"/>
    <n v="1.0067999999999999"/>
    <n v="0.99650000000000005"/>
    <n v="0.98919999999999997"/>
    <n v="0.98909999999999998"/>
    <n v="0.94971499999999998"/>
    <n v="0.9322622889120924"/>
    <n v="317600"/>
    <n v="5700"/>
    <n v="323300"/>
    <n v="30200"/>
    <n v="353500"/>
    <n v="0.13918252290345315"/>
    <n v="-0.40316205533596838"/>
    <n v="5.7117224880382775E-2"/>
  </r>
  <r>
    <n v="2025"/>
    <s v="18132244492    "/>
    <n v="-1.5141277326297755"/>
    <n v="0.22"/>
    <n v="9441"/>
    <s v="6"/>
    <s v="RES"/>
    <x v="0"/>
    <s v="11"/>
    <s v="259"/>
    <s v="TD"/>
    <s v="A"/>
    <s v="AV"/>
    <x v="8"/>
    <n v="84"/>
    <n v="52"/>
    <n v="1940"/>
    <n v="1972"/>
    <n v="922"/>
    <m/>
    <n v="922"/>
    <n v="222"/>
    <n v="700"/>
    <m/>
    <n v="1622"/>
    <n v="2000"/>
    <n v="9"/>
    <m/>
    <m/>
    <n v="150"/>
    <m/>
    <m/>
    <m/>
    <m/>
    <n v="253269"/>
    <n v="172223"/>
    <n v="39604"/>
    <n v="339900"/>
    <n v="61700"/>
    <n v="278200"/>
    <n v="0"/>
    <n v="0"/>
    <n v="89850.625589999996"/>
    <n v="-47929.131559187132"/>
    <n v="21557.329055999999"/>
    <n v="160472.20319"/>
    <n v="-11598.371226000001"/>
    <n v="45554.793626594001"/>
    <n v="0"/>
    <n v="0"/>
    <n v="26813.507417733999"/>
    <n v="34128.198946800003"/>
    <n v="4994.3272914000008"/>
    <n v="39600"/>
    <n v="281900"/>
    <n v="41900"/>
    <n v="363400"/>
    <n v="6.913798175934098E-2"/>
    <n v="0.99970000000000003"/>
    <n v="1.0067999999999999"/>
    <n v="0.99729999999999996"/>
    <n v="1.0093000000000001"/>
    <n v="0.98909999999999998"/>
    <n v="0.94971499999999998"/>
    <n v="0.95196898294134369"/>
    <n v="281900"/>
    <n v="37600"/>
    <n v="319500"/>
    <n v="39800"/>
    <n v="359300"/>
    <n v="0.14845434938892882"/>
    <n v="-0.35494327390599678"/>
    <n v="5.7075610473668728E-2"/>
  </r>
  <r>
    <n v="2025"/>
    <s v="18132333412    "/>
    <n v="-2.0402208285265546"/>
    <n v="0.13"/>
    <m/>
    <s v="6"/>
    <s v="RES"/>
    <x v="0"/>
    <s v="11"/>
    <s v="400"/>
    <s v="TD"/>
    <s v="A"/>
    <s v="AV"/>
    <x v="8"/>
    <n v="84"/>
    <n v="52"/>
    <n v="1940"/>
    <n v="1972"/>
    <n v="893"/>
    <m/>
    <n v="663"/>
    <n v="263"/>
    <n v="400"/>
    <m/>
    <n v="1293"/>
    <n v="1500"/>
    <n v="9"/>
    <n v="278"/>
    <m/>
    <m/>
    <m/>
    <m/>
    <m/>
    <m/>
    <n v="225489"/>
    <n v="153333"/>
    <n v="0"/>
    <n v="276500"/>
    <n v="43400"/>
    <n v="233100"/>
    <n v="0"/>
    <n v="0"/>
    <n v="89850.625589999996"/>
    <n v="-64582.406353792743"/>
    <n v="21557.329055999999"/>
    <n v="160472.20319"/>
    <n v="-11598.371226000001"/>
    <n v="44121.942200161"/>
    <n v="0"/>
    <n v="0"/>
    <n v="19281.296548760998"/>
    <n v="34128.198946800003"/>
    <n v="0"/>
    <n v="0"/>
    <n v="268000"/>
    <n v="25300"/>
    <n v="293300"/>
    <n v="6.0759493670886074E-2"/>
    <n v="0.99970000000000003"/>
    <n v="1.0067999999999999"/>
    <n v="0.99729999999999996"/>
    <n v="1.0157"/>
    <n v="0.98909999999999998"/>
    <n v="0.94971499999999998"/>
    <n v="0.95800544533193577"/>
    <n v="268000"/>
    <n v="0"/>
    <n v="268000"/>
    <n v="24000"/>
    <n v="292000"/>
    <n v="0.14972114972114972"/>
    <n v="-0.44700460829493088"/>
    <n v="5.6057866184448461E-2"/>
  </r>
  <r>
    <n v="2025"/>
    <s v="18132334408    "/>
    <n v="-1.8971199848858813"/>
    <n v="0.15"/>
    <m/>
    <s v="6"/>
    <s v="RES"/>
    <x v="0"/>
    <s v="11"/>
    <s v="259"/>
    <s v="CO"/>
    <s v="A+"/>
    <s v="GD"/>
    <x v="8"/>
    <n v="84"/>
    <n v="52"/>
    <n v="1940"/>
    <n v="1972"/>
    <n v="1091"/>
    <m/>
    <n v="1125"/>
    <n v="0"/>
    <n v="1125"/>
    <n v="264"/>
    <n v="2480"/>
    <n v="2500"/>
    <n v="14"/>
    <n v="264"/>
    <m/>
    <m/>
    <m/>
    <m/>
    <m/>
    <m/>
    <n v="388427"/>
    <n v="271899"/>
    <n v="30036"/>
    <n v="406900"/>
    <n v="48400"/>
    <n v="358500"/>
    <n v="0"/>
    <n v="0"/>
    <n v="89850.625589999996"/>
    <n v="-60052.604136134301"/>
    <n v="29814.093161000001"/>
    <n v="197752.34721000001"/>
    <n v="-11598.371226000001"/>
    <n v="53904.858835807005"/>
    <n v="0"/>
    <n v="17184.993157464003"/>
    <n v="32717.132152874998"/>
    <n v="53088.3094728"/>
    <n v="0"/>
    <n v="30000"/>
    <n v="372900"/>
    <n v="29800"/>
    <n v="432700"/>
    <n v="6.3406242319980335E-2"/>
    <n v="0.99970000000000003"/>
    <n v="1.0088999999999999"/>
    <n v="0.99650000000000005"/>
    <n v="0.98919999999999997"/>
    <n v="0.98909999999999998"/>
    <n v="0.94971499999999998"/>
    <n v="0.93420681692829766"/>
    <n v="372900"/>
    <n v="28500"/>
    <n v="401400"/>
    <n v="28300"/>
    <n v="429700"/>
    <n v="0.1196652719665272"/>
    <n v="-0.41528925619834711"/>
    <n v="5.6033423445564022E-2"/>
  </r>
  <r>
    <n v="2025"/>
    <s v="18132214008    "/>
    <n v="-1.8325814637483102"/>
    <n v="0.16"/>
    <n v="6991"/>
    <s v="6"/>
    <s v="RES"/>
    <x v="0"/>
    <s v="11"/>
    <s v="259"/>
    <s v="TD"/>
    <s v="A"/>
    <s v="AV"/>
    <x v="8"/>
    <n v="84"/>
    <n v="52"/>
    <n v="1940"/>
    <n v="1972"/>
    <n v="1182"/>
    <m/>
    <n v="818"/>
    <n v="50"/>
    <n v="768"/>
    <m/>
    <n v="1950"/>
    <n v="2000"/>
    <n v="8"/>
    <m/>
    <m/>
    <n v="309"/>
    <m/>
    <m/>
    <m/>
    <m/>
    <n v="276919"/>
    <n v="188305"/>
    <n v="4340"/>
    <n v="310300"/>
    <n v="50600"/>
    <n v="259700"/>
    <n v="0"/>
    <n v="0"/>
    <n v="89850.625589999996"/>
    <n v="-58009.662049032086"/>
    <n v="21557.329055999999"/>
    <n v="160472.20319"/>
    <n v="-11598.371226000001"/>
    <n v="58401.047794614002"/>
    <n v="0"/>
    <n v="0"/>
    <n v="23788.990312046"/>
    <n v="30336.176841600001"/>
    <n v="10288.314220284001"/>
    <n v="4300"/>
    <n v="293200"/>
    <n v="31800"/>
    <n v="329300"/>
    <n v="6.1231066709635837E-2"/>
    <n v="0.99970000000000003"/>
    <n v="1.0067999999999999"/>
    <n v="0.99729999999999996"/>
    <n v="1.0093000000000001"/>
    <n v="0.98909999999999998"/>
    <n v="0.94971499999999998"/>
    <n v="0.95196898294134369"/>
    <n v="293200"/>
    <n v="4100"/>
    <n v="297300"/>
    <n v="30200"/>
    <n v="327500"/>
    <n v="0.14478244127839815"/>
    <n v="-0.40316205533596838"/>
    <n v="5.5430228810828229E-2"/>
  </r>
  <r>
    <n v="2025"/>
    <s v="18132241462    "/>
    <n v="-1.7719568419318752"/>
    <n v="0.17"/>
    <n v="7300"/>
    <s v="6"/>
    <s v="RES"/>
    <x v="0"/>
    <s v="11"/>
    <s v="259"/>
    <s v="TD"/>
    <s v="F+"/>
    <s v="AV"/>
    <x v="8"/>
    <n v="84"/>
    <n v="52"/>
    <n v="1940"/>
    <n v="1972"/>
    <n v="1020"/>
    <m/>
    <n v="1020"/>
    <n v="920"/>
    <n v="100"/>
    <m/>
    <n v="1120"/>
    <n v="1500"/>
    <n v="6"/>
    <m/>
    <m/>
    <m/>
    <m/>
    <m/>
    <m/>
    <m/>
    <n v="199995"/>
    <n v="135997"/>
    <n v="6050"/>
    <n v="274300"/>
    <n v="52700"/>
    <n v="221600"/>
    <n v="0"/>
    <n v="0"/>
    <n v="89850.625589999996"/>
    <n v="-56090.612940989391"/>
    <n v="0"/>
    <n v="160472.20319"/>
    <n v="-11598.371226000001"/>
    <n v="50396.843274539999"/>
    <n v="0"/>
    <n v="0"/>
    <n v="29663.533151939999"/>
    <n v="22752.132631200002"/>
    <n v="0"/>
    <n v="6100"/>
    <n v="251700"/>
    <n v="33800"/>
    <n v="291600"/>
    <n v="6.3069631790010933E-2"/>
    <n v="0.99970000000000003"/>
    <n v="0.99180000000000001"/>
    <n v="0.99729999999999996"/>
    <n v="1.0157"/>
    <n v="0.98909999999999998"/>
    <n v="0.94971499999999998"/>
    <n v="0.94373242022269987"/>
    <n v="251700"/>
    <n v="5700"/>
    <n v="257400"/>
    <n v="32100"/>
    <n v="289500"/>
    <n v="0.1615523465703971"/>
    <n v="-0.39089184060721061"/>
    <n v="5.5413780532263944E-2"/>
  </r>
  <r>
    <n v="2025"/>
    <s v="18132332464    "/>
    <n v="-1.8325814637483102"/>
    <n v="0.16"/>
    <n v="6754"/>
    <s v="6"/>
    <s v="RES"/>
    <x v="0"/>
    <s v="11"/>
    <s v="259"/>
    <s v="TD"/>
    <s v="A"/>
    <s v="AV"/>
    <x v="8"/>
    <n v="84"/>
    <n v="52"/>
    <n v="1940"/>
    <n v="1972"/>
    <n v="848"/>
    <m/>
    <n v="432"/>
    <n v="432"/>
    <m/>
    <m/>
    <n v="848"/>
    <n v="1000"/>
    <n v="6"/>
    <m/>
    <m/>
    <m/>
    <m/>
    <m/>
    <m/>
    <m/>
    <n v="171553"/>
    <n v="116656"/>
    <n v="4877"/>
    <n v="267600"/>
    <n v="50600"/>
    <n v="217000"/>
    <n v="0"/>
    <n v="0"/>
    <n v="89850.625589999996"/>
    <n v="-58009.662049032086"/>
    <n v="21557.329055999999"/>
    <n v="160472.20319"/>
    <n v="-11598.371226000001"/>
    <n v="41898.552055696004"/>
    <n v="0"/>
    <n v="0"/>
    <n v="12563.378746704"/>
    <n v="22752.132631200002"/>
    <n v="0"/>
    <n v="4900"/>
    <n v="247600"/>
    <n v="31800"/>
    <n v="284300"/>
    <n v="6.2406576980568014E-2"/>
    <n v="0.99970000000000003"/>
    <n v="1.0067999999999999"/>
    <n v="0.99729999999999996"/>
    <n v="1.0148999999999999"/>
    <n v="0.98909999999999998"/>
    <n v="0.94971499999999998"/>
    <n v="0.95725088753311172"/>
    <n v="247600"/>
    <n v="4600"/>
    <n v="252200"/>
    <n v="30200"/>
    <n v="282400"/>
    <n v="0.16221198156682029"/>
    <n v="-0.40316205533596838"/>
    <n v="5.5306427503736919E-2"/>
  </r>
  <r>
    <n v="2025"/>
    <s v="18132334456    "/>
    <n v="-1.7719568419318752"/>
    <n v="0.17"/>
    <m/>
    <s v="6"/>
    <s v="RES"/>
    <x v="0"/>
    <s v="11"/>
    <s v="259"/>
    <s v="TD"/>
    <s v="A"/>
    <s v="GD"/>
    <x v="8"/>
    <n v="84"/>
    <n v="52"/>
    <n v="1940"/>
    <n v="1972"/>
    <n v="1139"/>
    <m/>
    <n v="1139"/>
    <n v="0"/>
    <n v="1139"/>
    <m/>
    <n v="2278"/>
    <n v="2500"/>
    <n v="8"/>
    <m/>
    <m/>
    <m/>
    <m/>
    <m/>
    <m/>
    <m/>
    <n v="285242"/>
    <n v="199669"/>
    <n v="10297"/>
    <n v="350000"/>
    <n v="52700"/>
    <n v="297300"/>
    <n v="0"/>
    <n v="0"/>
    <n v="89850.625589999996"/>
    <n v="-56090.612940989391"/>
    <n v="21557.329055999999"/>
    <n v="197752.34721000001"/>
    <n v="-11598.371226000001"/>
    <n v="56276.474989902999"/>
    <n v="0"/>
    <n v="0"/>
    <n v="33124.278686332997"/>
    <n v="30336.176841600001"/>
    <n v="0"/>
    <n v="10300"/>
    <n v="327400"/>
    <n v="33800"/>
    <n v="371500"/>
    <n v="6.142857142857143E-2"/>
    <n v="0.99970000000000003"/>
    <n v="1.0067999999999999"/>
    <n v="0.99650000000000005"/>
    <n v="0.98919999999999997"/>
    <n v="0.98909999999999998"/>
    <n v="0.94971499999999998"/>
    <n v="0.9322622889120924"/>
    <n v="327400"/>
    <n v="9800"/>
    <n v="337200"/>
    <n v="32100"/>
    <n v="369300"/>
    <n v="0.13420787083753785"/>
    <n v="-0.39089184060721061"/>
    <n v="5.5142857142857146E-2"/>
  </r>
  <r>
    <n v="2025"/>
    <s v="18132334492    "/>
    <n v="-1.8971199848858813"/>
    <n v="0.15"/>
    <m/>
    <s v="6"/>
    <s v="RES"/>
    <x v="0"/>
    <s v="11"/>
    <s v="259"/>
    <s v="BG"/>
    <s v="A"/>
    <s v="GD"/>
    <x v="8"/>
    <n v="84"/>
    <n v="52"/>
    <n v="1940"/>
    <n v="1972"/>
    <n v="1113"/>
    <n v="364"/>
    <n v="1041"/>
    <n v="0"/>
    <n v="1041"/>
    <m/>
    <n v="2518"/>
    <n v="3000"/>
    <n v="8"/>
    <m/>
    <m/>
    <m/>
    <m/>
    <m/>
    <m/>
    <m/>
    <n v="308480"/>
    <n v="215936"/>
    <n v="9040"/>
    <n v="356900"/>
    <n v="48400"/>
    <n v="308500"/>
    <n v="0"/>
    <n v="0"/>
    <n v="89850.625589999996"/>
    <n v="-60052.604136134301"/>
    <n v="21557.329055999999"/>
    <n v="197752.34721000001"/>
    <n v="-11598.371226000001"/>
    <n v="54991.849573101004"/>
    <n v="16302.257921404"/>
    <n v="0"/>
    <n v="30274.252952126997"/>
    <n v="30336.176841600001"/>
    <n v="0"/>
    <n v="9000"/>
    <n v="339600"/>
    <n v="29800"/>
    <n v="378400"/>
    <n v="6.0240963855421686E-2"/>
    <n v="0.99970000000000003"/>
    <n v="1.0067999999999999"/>
    <n v="0.99650000000000005"/>
    <n v="0.96179999999999999"/>
    <n v="0.98909999999999998"/>
    <n v="0.94971499999999998"/>
    <n v="0.90643941515937176"/>
    <n v="339600"/>
    <n v="8600"/>
    <n v="348200"/>
    <n v="28300"/>
    <n v="376500"/>
    <n v="0.12868719611021071"/>
    <n v="-0.41528925619834711"/>
    <n v="5.4917343793779771E-2"/>
  </r>
  <r>
    <n v="2025"/>
    <s v="18132313501    "/>
    <n v="-1.8325814637483102"/>
    <n v="0.16"/>
    <n v="7000"/>
    <s v="6"/>
    <s v="RES"/>
    <x v="0"/>
    <s v="11"/>
    <s v="259"/>
    <s v="BG"/>
    <s v="A"/>
    <s v="GD"/>
    <x v="8"/>
    <n v="84"/>
    <n v="52"/>
    <n v="1940"/>
    <n v="1972"/>
    <n v="1196"/>
    <m/>
    <n v="780"/>
    <n v="0"/>
    <n v="780"/>
    <m/>
    <n v="1976"/>
    <n v="2000"/>
    <n v="5"/>
    <m/>
    <m/>
    <m/>
    <m/>
    <m/>
    <m/>
    <m/>
    <n v="273877"/>
    <n v="191714"/>
    <n v="4877"/>
    <n v="325400"/>
    <n v="50600"/>
    <n v="274800"/>
    <n v="0"/>
    <n v="0"/>
    <n v="89850.625589999996"/>
    <n v="-58009.662049032086"/>
    <n v="21557.329055999999"/>
    <n v="197752.34721000001"/>
    <n v="-11598.371226000001"/>
    <n v="59092.769172892004"/>
    <n v="0"/>
    <n v="0"/>
    <n v="22683.87829266"/>
    <n v="18960.110526"/>
    <n v="0"/>
    <n v="4900"/>
    <n v="308400"/>
    <n v="31800"/>
    <n v="345100"/>
    <n v="6.0540872771972953E-2"/>
    <n v="0.99970000000000003"/>
    <n v="1.0067999999999999"/>
    <n v="0.99650000000000005"/>
    <n v="1.0093000000000001"/>
    <n v="0.98909999999999998"/>
    <n v="0.94971499999999998"/>
    <n v="0.95120534593507355"/>
    <n v="308400"/>
    <n v="4600"/>
    <n v="313000"/>
    <n v="30200"/>
    <n v="343200"/>
    <n v="0.13901018922852984"/>
    <n v="-0.40316205533596838"/>
    <n v="5.4701905347264906E-2"/>
  </r>
  <r>
    <n v="2025"/>
    <s v="18132334476    "/>
    <n v="-1.7719568419318752"/>
    <n v="0.17"/>
    <m/>
    <s v="6"/>
    <s v="RES"/>
    <x v="0"/>
    <s v="11"/>
    <s v="259"/>
    <s v="TD"/>
    <s v="A"/>
    <s v="GD"/>
    <x v="8"/>
    <n v="84"/>
    <n v="52"/>
    <n v="1940"/>
    <n v="1972"/>
    <n v="992"/>
    <m/>
    <n v="992"/>
    <n v="0"/>
    <n v="992"/>
    <m/>
    <n v="1984"/>
    <n v="2000"/>
    <n v="9"/>
    <m/>
    <m/>
    <n v="108"/>
    <m/>
    <m/>
    <m/>
    <m/>
    <n v="269087"/>
    <n v="188361"/>
    <n v="6050"/>
    <n v="342400"/>
    <n v="52700"/>
    <n v="289700"/>
    <n v="0"/>
    <n v="0"/>
    <n v="89850.625589999996"/>
    <n v="-56090.612940989391"/>
    <n v="21557.329055999999"/>
    <n v="197752.34721000001"/>
    <n v="-11598.371226000001"/>
    <n v="49013.400517984002"/>
    <n v="0"/>
    <n v="0"/>
    <n v="28849.240085023997"/>
    <n v="34128.198946800003"/>
    <n v="3595.9156498080001"/>
    <n v="6100"/>
    <n v="323300"/>
    <n v="33800"/>
    <n v="363200"/>
    <n v="6.0747663551401869E-2"/>
    <n v="0.99970000000000003"/>
    <n v="1.0067999999999999"/>
    <n v="0.99650000000000005"/>
    <n v="1.0093000000000001"/>
    <n v="0.98909999999999998"/>
    <n v="0.94971499999999998"/>
    <n v="0.95120534593507355"/>
    <n v="323300"/>
    <n v="5700"/>
    <n v="329000"/>
    <n v="32100"/>
    <n v="361100"/>
    <n v="0.13565757680358992"/>
    <n v="-0.39089184060721061"/>
    <n v="5.4614485981308414E-2"/>
  </r>
  <r>
    <n v="2025"/>
    <s v="18132342470    "/>
    <n v="-0.67334455326376563"/>
    <n v="0.51"/>
    <n v="22251"/>
    <s v="6"/>
    <s v="RES"/>
    <x v="0"/>
    <s v="11"/>
    <s v="259"/>
    <s v="RN"/>
    <s v="A+"/>
    <s v="GD"/>
    <x v="8"/>
    <n v="84"/>
    <n v="52"/>
    <n v="1940"/>
    <n v="1972"/>
    <n v="1664"/>
    <m/>
    <n v="1552"/>
    <n v="458"/>
    <n v="1094"/>
    <m/>
    <n v="2758"/>
    <n v="3000"/>
    <n v="8"/>
    <n v="420"/>
    <m/>
    <n v="132"/>
    <m/>
    <m/>
    <m/>
    <m/>
    <n v="446725"/>
    <n v="312708"/>
    <n v="0"/>
    <n v="420300"/>
    <n v="91100"/>
    <n v="329200"/>
    <n v="0"/>
    <n v="0"/>
    <n v="89850.625589999996"/>
    <n v="-21314.46309485981"/>
    <n v="29814.093161000001"/>
    <n v="197752.34721000001"/>
    <n v="-11598.371226000001"/>
    <n v="82216.026675328001"/>
    <n v="0"/>
    <n v="0"/>
    <n v="45135.101423344"/>
    <n v="30336.176841600001"/>
    <n v="4395.0080164320007"/>
    <n v="0"/>
    <n v="378100"/>
    <n v="68500"/>
    <n v="446600"/>
    <n v="6.2574351653580773E-2"/>
    <n v="0.99970000000000003"/>
    <n v="1.0088999999999999"/>
    <n v="0.99650000000000005"/>
    <n v="0.96179999999999999"/>
    <n v="0.98909999999999998"/>
    <n v="0.94971499999999998"/>
    <n v="0.90833008140076499"/>
    <n v="378100"/>
    <n v="0"/>
    <n v="378100"/>
    <n v="65100"/>
    <n v="443200"/>
    <n v="0.14854191980558931"/>
    <n v="-0.2854006586169045"/>
    <n v="5.4484891743992389E-2"/>
  </r>
  <r>
    <n v="2025"/>
    <s v="18132342473    "/>
    <n v="-1.4696759700589417"/>
    <n v="0.23"/>
    <n v="9875"/>
    <s v="6"/>
    <s v="RES"/>
    <x v="0"/>
    <s v="11"/>
    <s v="259"/>
    <s v="CC"/>
    <s v="G"/>
    <s v="GD"/>
    <x v="8"/>
    <n v="84"/>
    <n v="52"/>
    <n v="1940"/>
    <n v="1972"/>
    <n v="1167"/>
    <n v="992"/>
    <n v="796"/>
    <n v="159"/>
    <n v="637"/>
    <m/>
    <n v="2796"/>
    <n v="3000"/>
    <n v="13"/>
    <n v="252"/>
    <m/>
    <m/>
    <m/>
    <m/>
    <m/>
    <m/>
    <n v="532589"/>
    <n v="372812"/>
    <n v="0"/>
    <n v="422900"/>
    <n v="63300"/>
    <n v="359600"/>
    <n v="0"/>
    <n v="0"/>
    <n v="89850.625589999996"/>
    <n v="-46522.028095997222"/>
    <n v="44121.038090000002"/>
    <n v="197752.34721000001"/>
    <n v="-11598.371226000001"/>
    <n v="57659.917746459003"/>
    <n v="44428.131478112002"/>
    <n v="0"/>
    <n v="23149.188616611998"/>
    <n v="49296.287367600002"/>
    <n v="0"/>
    <n v="0"/>
    <n v="404800"/>
    <n v="43300"/>
    <n v="448100"/>
    <n v="5.9588555213998584E-2"/>
    <n v="0.99970000000000003"/>
    <n v="0.98050000000000004"/>
    <n v="0.99650000000000005"/>
    <n v="0.96179999999999999"/>
    <n v="0.98909999999999998"/>
    <n v="0.94971499999999998"/>
    <n v="0.88276107127906644"/>
    <n v="404800"/>
    <n v="0"/>
    <n v="404800"/>
    <n v="41100"/>
    <n v="445900"/>
    <n v="0.12569521690767518"/>
    <n v="-0.35071090047393366"/>
    <n v="5.438637975880823E-2"/>
  </r>
  <r>
    <n v="2025"/>
    <s v="18132214030    "/>
    <n v="-1.8325814637483102"/>
    <n v="0.16"/>
    <n v="6931"/>
    <s v="6"/>
    <s v="RES"/>
    <x v="0"/>
    <s v="11"/>
    <s v="259"/>
    <s v="TD"/>
    <s v="A"/>
    <s v="AV"/>
    <x v="8"/>
    <n v="84"/>
    <n v="52"/>
    <n v="1940"/>
    <n v="1972"/>
    <n v="1116"/>
    <m/>
    <m/>
    <n v="0"/>
    <m/>
    <m/>
    <n v="1116"/>
    <n v="1500"/>
    <n v="5"/>
    <m/>
    <m/>
    <m/>
    <m/>
    <m/>
    <m/>
    <m/>
    <n v="188083"/>
    <n v="127896"/>
    <n v="5261"/>
    <n v="265300"/>
    <n v="50600"/>
    <n v="214700"/>
    <n v="0"/>
    <n v="0"/>
    <n v="89850.625589999996"/>
    <n v="-58009.662049032086"/>
    <n v="21557.329055999999"/>
    <n v="160472.20319"/>
    <n v="-11598.371226000001"/>
    <n v="55140.075582732003"/>
    <n v="0"/>
    <n v="0"/>
    <n v="0"/>
    <n v="18960.110526"/>
    <n v="0"/>
    <n v="5300"/>
    <n v="244500"/>
    <n v="31800"/>
    <n v="281600"/>
    <n v="6.1439879381831888E-2"/>
    <n v="0.99970000000000003"/>
    <n v="1.0067999999999999"/>
    <n v="0.99729999999999996"/>
    <n v="1.0157"/>
    <n v="0.98909999999999998"/>
    <n v="0.94971499999999998"/>
    <n v="0.95800544533193577"/>
    <n v="244500"/>
    <n v="5000"/>
    <n v="249500"/>
    <n v="30200"/>
    <n v="279700"/>
    <n v="0.16208663251047975"/>
    <n v="-0.40316205533596838"/>
    <n v="5.427817565020731E-2"/>
  </r>
  <r>
    <n v="2025"/>
    <s v="18132214025    "/>
    <n v="-1.9661128563728327"/>
    <n v="0.14000000000000001"/>
    <n v="5996"/>
    <s v="6"/>
    <s v="RES"/>
    <x v="0"/>
    <s v="11"/>
    <s v="259"/>
    <s v="TD"/>
    <s v="A"/>
    <s v="AV"/>
    <x v="8"/>
    <n v="84"/>
    <n v="52"/>
    <n v="1940"/>
    <n v="1972"/>
    <n v="912"/>
    <m/>
    <n v="840"/>
    <n v="0"/>
    <n v="840"/>
    <m/>
    <n v="1752"/>
    <n v="2000"/>
    <n v="9"/>
    <m/>
    <m/>
    <n v="288"/>
    <m/>
    <m/>
    <m/>
    <m/>
    <n v="244995"/>
    <n v="166597"/>
    <n v="5261"/>
    <n v="298600"/>
    <n v="46000"/>
    <n v="252600"/>
    <n v="0"/>
    <n v="0"/>
    <n v="89850.625589999996"/>
    <n v="-62236.546971921947"/>
    <n v="21557.329055999999"/>
    <n v="160472.20319"/>
    <n v="-11598.371226000001"/>
    <n v="45060.706927824001"/>
    <n v="0"/>
    <n v="0"/>
    <n v="24428.792007479999"/>
    <n v="34128.198946800003"/>
    <n v="9589.1083994880009"/>
    <n v="5300"/>
    <n v="283600"/>
    <n v="27600"/>
    <n v="316500"/>
    <n v="5.9946416610850636E-2"/>
    <n v="0.99970000000000003"/>
    <n v="1.0067999999999999"/>
    <n v="0.99729999999999996"/>
    <n v="1.0093000000000001"/>
    <n v="0.98909999999999998"/>
    <n v="0.94971499999999998"/>
    <n v="0.95196898294134369"/>
    <n v="283600"/>
    <n v="5000"/>
    <n v="288600"/>
    <n v="26200"/>
    <n v="314800"/>
    <n v="0.14251781472684086"/>
    <n v="-0.43043478260869567"/>
    <n v="5.4253181513730743E-2"/>
  </r>
  <r>
    <n v="2025"/>
    <s v="18132334457    "/>
    <n v="-1.7719568419318752"/>
    <n v="0.17"/>
    <m/>
    <s v="6"/>
    <s v="RES"/>
    <x v="0"/>
    <s v="11"/>
    <s v="400"/>
    <s v="BG"/>
    <s v="A"/>
    <s v="GD"/>
    <x v="8"/>
    <n v="84"/>
    <n v="52"/>
    <n v="1940"/>
    <n v="1972"/>
    <n v="903"/>
    <m/>
    <n v="903"/>
    <n v="0"/>
    <n v="903"/>
    <m/>
    <n v="1806"/>
    <n v="2000"/>
    <n v="8"/>
    <n v="216"/>
    <m/>
    <m/>
    <m/>
    <m/>
    <m/>
    <m/>
    <n v="247199"/>
    <n v="173039"/>
    <n v="0"/>
    <n v="323600"/>
    <n v="52700"/>
    <n v="270900"/>
    <n v="0"/>
    <n v="0"/>
    <n v="89850.625589999996"/>
    <n v="-56090.612940989391"/>
    <n v="21557.329055999999"/>
    <n v="197752.34721000001"/>
    <n v="-11598.371226000001"/>
    <n v="44616.028898930999"/>
    <n v="0"/>
    <n v="0"/>
    <n v="26260.951408040997"/>
    <n v="30336.176841600001"/>
    <n v="0"/>
    <n v="0"/>
    <n v="308900"/>
    <n v="33800"/>
    <n v="342700"/>
    <n v="5.9023485784919651E-2"/>
    <n v="0.99970000000000003"/>
    <n v="1.0067999999999999"/>
    <n v="0.99650000000000005"/>
    <n v="1.0093000000000001"/>
    <n v="0.98909999999999998"/>
    <n v="0.94971499999999998"/>
    <n v="0.95120534593507355"/>
    <n v="308900"/>
    <n v="0"/>
    <n v="308900"/>
    <n v="32100"/>
    <n v="341000"/>
    <n v="0.14027316352897748"/>
    <n v="-0.39089184060721061"/>
    <n v="5.3770086526576021E-2"/>
  </r>
  <r>
    <n v="2025"/>
    <s v="18132323029    "/>
    <n v="-1.6607312068216509"/>
    <n v="0.19"/>
    <m/>
    <s v="6"/>
    <s v="RES"/>
    <x v="0"/>
    <s v="11"/>
    <s v="259"/>
    <s v="CO"/>
    <s v="F+"/>
    <s v="AV"/>
    <x v="8"/>
    <n v="84"/>
    <n v="52"/>
    <n v="1940"/>
    <n v="1972"/>
    <n v="896"/>
    <n v="300"/>
    <n v="896"/>
    <n v="896"/>
    <m/>
    <m/>
    <n v="1196"/>
    <n v="1500"/>
    <n v="7"/>
    <m/>
    <m/>
    <m/>
    <m/>
    <m/>
    <m/>
    <m/>
    <n v="210063"/>
    <n v="142843"/>
    <n v="6224"/>
    <n v="285300"/>
    <n v="56600"/>
    <n v="228700"/>
    <n v="0"/>
    <n v="0"/>
    <n v="89850.625589999996"/>
    <n v="-52569.808201026557"/>
    <n v="0"/>
    <n v="160472.20319"/>
    <n v="-11598.371226000001"/>
    <n v="44270.168209791998"/>
    <n v="13435.926858299999"/>
    <n v="0"/>
    <n v="26057.378141311998"/>
    <n v="26544.1547364"/>
    <n v="0"/>
    <n v="6200"/>
    <n v="259200"/>
    <n v="37300"/>
    <n v="302700"/>
    <n v="6.0988433228180865E-2"/>
    <n v="0.99970000000000003"/>
    <n v="0.99180000000000001"/>
    <n v="0.99729999999999996"/>
    <n v="1.0157"/>
    <n v="0.98909999999999998"/>
    <n v="0.94971499999999998"/>
    <n v="0.94373242022269987"/>
    <n v="259200"/>
    <n v="5900"/>
    <n v="265100"/>
    <n v="35400"/>
    <n v="300500"/>
    <n v="0.15916047223436816"/>
    <n v="-0.37455830388692579"/>
    <n v="5.3277252015422362E-2"/>
  </r>
  <r>
    <n v="2025"/>
    <s v="18132342489    "/>
    <n v="-1.5141277326297755"/>
    <n v="0.22"/>
    <n v="9520"/>
    <s v="6"/>
    <s v="RES"/>
    <x v="0"/>
    <s v="11"/>
    <s v="259"/>
    <s v="TD"/>
    <s v="G"/>
    <s v="AV"/>
    <x v="8"/>
    <n v="84"/>
    <n v="52"/>
    <n v="1940"/>
    <n v="1972"/>
    <n v="1702"/>
    <m/>
    <n v="685"/>
    <n v="685"/>
    <m/>
    <m/>
    <n v="1702"/>
    <n v="2000"/>
    <n v="10"/>
    <m/>
    <n v="462"/>
    <m/>
    <m/>
    <m/>
    <m/>
    <m/>
    <n v="432807"/>
    <n v="294309"/>
    <n v="0"/>
    <n v="355900"/>
    <n v="61700"/>
    <n v="294200"/>
    <n v="0"/>
    <n v="0"/>
    <n v="89850.625589999996"/>
    <n v="-47929.131559187132"/>
    <n v="44121.038090000002"/>
    <n v="160472.20319"/>
    <n v="-11598.371226000001"/>
    <n v="84093.556130654004"/>
    <n v="0"/>
    <n v="0"/>
    <n v="19921.098244195"/>
    <n v="37920.221052000001"/>
    <n v="0"/>
    <n v="0"/>
    <n v="334900"/>
    <n v="41900"/>
    <n v="376800"/>
    <n v="5.8724360775498738E-2"/>
    <n v="0.99970000000000003"/>
    <n v="0.98050000000000004"/>
    <n v="0.99729999999999996"/>
    <n v="1.0093000000000001"/>
    <n v="0.98909999999999998"/>
    <n v="0.94971499999999998"/>
    <n v="0.92710129894118753"/>
    <n v="334900"/>
    <n v="0"/>
    <n v="334900"/>
    <n v="39800"/>
    <n v="374700"/>
    <n v="0.13834126444595513"/>
    <n v="-0.35494327390599678"/>
    <n v="5.2823826917673504E-2"/>
  </r>
  <r>
    <n v="2025"/>
    <s v="18132241434    "/>
    <n v="-1.6094379124341003"/>
    <n v="0.2"/>
    <n v="8519"/>
    <s v="6"/>
    <s v="RES"/>
    <x v="0"/>
    <s v="11"/>
    <s v="259"/>
    <s v="TD"/>
    <s v="A+"/>
    <s v="GD"/>
    <x v="8"/>
    <n v="84"/>
    <n v="52"/>
    <n v="1940"/>
    <n v="1972"/>
    <n v="962"/>
    <m/>
    <n v="995"/>
    <n v="0"/>
    <n v="995"/>
    <m/>
    <n v="1957"/>
    <n v="2000"/>
    <n v="9"/>
    <n v="360"/>
    <m/>
    <m/>
    <m/>
    <m/>
    <m/>
    <m/>
    <n v="323168"/>
    <n v="226218"/>
    <n v="0"/>
    <n v="345400"/>
    <n v="58400"/>
    <n v="287000"/>
    <n v="0"/>
    <n v="0"/>
    <n v="89850.625589999996"/>
    <n v="-50946.13867709865"/>
    <n v="29814.093161000001"/>
    <n v="197752.34721000001"/>
    <n v="-11598.371226000001"/>
    <n v="47531.140421674005"/>
    <n v="0"/>
    <n v="0"/>
    <n v="28936.485770764997"/>
    <n v="34128.198946800003"/>
    <n v="0"/>
    <n v="0"/>
    <n v="326600"/>
    <n v="38900"/>
    <n v="365500"/>
    <n v="5.8193398957730166E-2"/>
    <n v="0.99970000000000003"/>
    <n v="1.0088999999999999"/>
    <n v="0.99650000000000005"/>
    <n v="1.0093000000000001"/>
    <n v="0.98909999999999998"/>
    <n v="0.94971499999999998"/>
    <n v="0.95318938569119571"/>
    <n v="326600"/>
    <n v="0"/>
    <n v="326600"/>
    <n v="36900"/>
    <n v="363500"/>
    <n v="0.13797909407665504"/>
    <n v="-0.36815068493150682"/>
    <n v="5.2403011001737117E-2"/>
  </r>
  <r>
    <n v="2025"/>
    <s v="18132342012    "/>
    <n v="-0.79850769621777162"/>
    <n v="0.45"/>
    <n v="19723"/>
    <s v="6"/>
    <s v="RES"/>
    <x v="0"/>
    <s v="11"/>
    <s v="259"/>
    <s v="CP"/>
    <s v="G+"/>
    <s v="VG"/>
    <x v="8"/>
    <n v="84"/>
    <n v="52"/>
    <n v="1940"/>
    <n v="1972"/>
    <n v="2166"/>
    <m/>
    <n v="1638"/>
    <n v="819"/>
    <n v="819"/>
    <m/>
    <n v="2985"/>
    <n v="3000"/>
    <n v="11"/>
    <m/>
    <m/>
    <m/>
    <m/>
    <m/>
    <m/>
    <m/>
    <n v="678569"/>
    <n v="488570"/>
    <n v="46499"/>
    <n v="617000"/>
    <n v="86700"/>
    <n v="530300"/>
    <n v="0"/>
    <n v="0"/>
    <n v="89850.625589999996"/>
    <n v="-25276.45429000472"/>
    <n v="74268.409664999999"/>
    <n v="284810.60806"/>
    <n v="-11598.371226000001"/>
    <n v="107019.178953582"/>
    <n v="0"/>
    <n v="0"/>
    <n v="47636.144414586"/>
    <n v="41712.243157199999"/>
    <n v="0"/>
    <n v="46500"/>
    <n v="543800"/>
    <n v="64600"/>
    <n v="654900"/>
    <n v="6.1426256077795789E-2"/>
    <n v="0.99970000000000003"/>
    <n v="0.98380000000000001"/>
    <n v="1.0158"/>
    <n v="0.96179999999999999"/>
    <n v="0.98909999999999998"/>
    <n v="0.94971499999999998"/>
    <n v="0.90288678946097178"/>
    <n v="543800"/>
    <n v="44200"/>
    <n v="588000"/>
    <n v="61300"/>
    <n v="649300"/>
    <n v="0.10880633603620592"/>
    <n v="-0.29296424452133796"/>
    <n v="5.2350081037277146E-2"/>
  </r>
  <r>
    <n v="2025"/>
    <s v="18132211003    "/>
    <n v="-0.3285040669720361"/>
    <n v="0.72"/>
    <n v="31258"/>
    <s v="6"/>
    <s v="RES"/>
    <x v="0"/>
    <s v="11"/>
    <s v="259"/>
    <s v="CP"/>
    <s v="A+"/>
    <s v="GD"/>
    <x v="8"/>
    <n v="84"/>
    <n v="52"/>
    <n v="1940"/>
    <n v="1972"/>
    <n v="2468"/>
    <m/>
    <n v="937"/>
    <n v="237"/>
    <n v="700"/>
    <m/>
    <n v="3168"/>
    <n v="3500"/>
    <n v="5"/>
    <m/>
    <m/>
    <m/>
    <m/>
    <m/>
    <m/>
    <m/>
    <n v="502052"/>
    <n v="351436"/>
    <n v="74769"/>
    <n v="504400"/>
    <n v="103100"/>
    <n v="401300"/>
    <n v="0"/>
    <n v="0"/>
    <n v="89850.625589999996"/>
    <n v="-10398.670009355532"/>
    <n v="29814.093161000001"/>
    <n v="197752.34721000001"/>
    <n v="-11598.371226000001"/>
    <n v="121940.597256436"/>
    <n v="0"/>
    <n v="0"/>
    <n v="27249.735846438998"/>
    <n v="18960.110526"/>
    <n v="0"/>
    <n v="74800"/>
    <n v="384100"/>
    <n v="79500"/>
    <n v="538400"/>
    <n v="6.7406819984139568E-2"/>
    <n v="0.99970000000000003"/>
    <n v="1.0088999999999999"/>
    <n v="0.99650000000000005"/>
    <n v="1.0126999999999999"/>
    <n v="0.98909999999999998"/>
    <n v="0.94971499999999998"/>
    <n v="0.9564003674719842"/>
    <n v="384100"/>
    <n v="71000"/>
    <n v="455100"/>
    <n v="75500"/>
    <n v="530600"/>
    <n v="0.13406429105407425"/>
    <n v="-0.26770126091173618"/>
    <n v="5.1942902458366379E-2"/>
  </r>
  <r>
    <n v="2025"/>
    <s v="18132214041    "/>
    <n v="-1.4271163556401458"/>
    <n v="0.24"/>
    <n v="10310"/>
    <s v="6"/>
    <s v="RES"/>
    <x v="0"/>
    <s v="11"/>
    <s v="259"/>
    <s v="CO"/>
    <s v="F+"/>
    <s v="AV"/>
    <x v="8"/>
    <n v="84"/>
    <n v="52"/>
    <n v="1940"/>
    <n v="1972"/>
    <n v="1152"/>
    <n v="572"/>
    <n v="1152"/>
    <n v="1152"/>
    <m/>
    <m/>
    <n v="1724"/>
    <n v="2000"/>
    <n v="5"/>
    <m/>
    <m/>
    <m/>
    <m/>
    <m/>
    <m/>
    <m/>
    <n v="268525"/>
    <n v="182597"/>
    <n v="4598"/>
    <n v="314500"/>
    <n v="64800"/>
    <n v="249700"/>
    <n v="0"/>
    <n v="0"/>
    <n v="89850.625589999996"/>
    <n v="-45174.819855485119"/>
    <n v="0"/>
    <n v="160472.20319"/>
    <n v="-11598.371226000001"/>
    <n v="56918.787698304004"/>
    <n v="25617.833876492001"/>
    <n v="0"/>
    <n v="33502.343324543996"/>
    <n v="18960.110526"/>
    <n v="0"/>
    <n v="4600"/>
    <n v="283900"/>
    <n v="44700"/>
    <n v="333200"/>
    <n v="5.9459459459459463E-2"/>
    <n v="0.99970000000000003"/>
    <n v="0.99180000000000001"/>
    <n v="0.99729999999999996"/>
    <n v="1.0093000000000001"/>
    <n v="0.98909999999999998"/>
    <n v="0.94971499999999998"/>
    <n v="0.93778589320741457"/>
    <n v="283900"/>
    <n v="4400"/>
    <n v="288300"/>
    <n v="42400"/>
    <n v="330700"/>
    <n v="0.15458550260312376"/>
    <n v="-0.34567901234567899"/>
    <n v="5.151033386327504E-2"/>
  </r>
  <r>
    <n v="2025"/>
    <s v="18132243418    "/>
    <n v="-1.6094379124341003"/>
    <n v="0.2"/>
    <n v="8680"/>
    <s v="6"/>
    <s v="RES"/>
    <x v="0"/>
    <s v="11"/>
    <s v="259"/>
    <s v="TD"/>
    <s v="A"/>
    <s v="GD"/>
    <x v="8"/>
    <n v="84"/>
    <n v="52"/>
    <n v="1940"/>
    <n v="1972"/>
    <n v="2024"/>
    <m/>
    <n v="629"/>
    <n v="0"/>
    <n v="629"/>
    <m/>
    <n v="2653"/>
    <n v="3000"/>
    <n v="11"/>
    <m/>
    <n v="1216"/>
    <m/>
    <m/>
    <m/>
    <m/>
    <m/>
    <n v="396550"/>
    <n v="277585"/>
    <n v="0"/>
    <n v="384800"/>
    <n v="58400"/>
    <n v="326400"/>
    <n v="0"/>
    <n v="0"/>
    <n v="89850.625589999996"/>
    <n v="-50946.13867709865"/>
    <n v="21557.329055999999"/>
    <n v="197752.34721000001"/>
    <n v="-11598.371226000001"/>
    <n v="100003.147831048"/>
    <n v="0"/>
    <n v="0"/>
    <n v="18292.512110363001"/>
    <n v="41712.243157199999"/>
    <n v="0"/>
    <n v="0"/>
    <n v="367700"/>
    <n v="38900"/>
    <n v="406600"/>
    <n v="5.6652806652806656E-2"/>
    <n v="0.99970000000000003"/>
    <n v="1.0067999999999999"/>
    <n v="0.99650000000000005"/>
    <n v="0.96179999999999999"/>
    <n v="0.98909999999999998"/>
    <n v="0.94971499999999998"/>
    <n v="0.90643941515937176"/>
    <n v="367700"/>
    <n v="0"/>
    <n v="367700"/>
    <n v="36900"/>
    <n v="404600"/>
    <n v="0.12653186274509803"/>
    <n v="-0.36815068493150682"/>
    <n v="5.1455301455301458E-2"/>
  </r>
  <r>
    <n v="2025"/>
    <s v="18132334448    "/>
    <n v="-1.0788096613719298"/>
    <n v="0.34"/>
    <m/>
    <s v="6"/>
    <s v="RES"/>
    <x v="0"/>
    <s v="11"/>
    <s v="259"/>
    <s v="TD"/>
    <s v="A+"/>
    <s v="AV"/>
    <x v="8"/>
    <n v="84"/>
    <n v="52"/>
    <n v="1940"/>
    <n v="1972"/>
    <n v="1622"/>
    <m/>
    <n v="1208"/>
    <n v="1051"/>
    <n v="157"/>
    <m/>
    <n v="1779"/>
    <n v="2000"/>
    <n v="7"/>
    <m/>
    <n v="432"/>
    <m/>
    <m/>
    <m/>
    <m/>
    <m/>
    <n v="374549"/>
    <n v="254693"/>
    <n v="0"/>
    <n v="355300"/>
    <n v="76900"/>
    <n v="278400"/>
    <n v="0"/>
    <n v="0"/>
    <n v="89850.625589999996"/>
    <n v="-34149.305288406773"/>
    <n v="29814.093161000001"/>
    <n v="160472.20319"/>
    <n v="-11598.371226000001"/>
    <n v="80140.862540493996"/>
    <n v="0"/>
    <n v="0"/>
    <n v="35130.929458375998"/>
    <n v="26544.1547364"/>
    <n v="0"/>
    <n v="0"/>
    <n v="320500"/>
    <n v="55700"/>
    <n v="376200"/>
    <n v="5.8823529411764705E-2"/>
    <n v="0.99970000000000003"/>
    <n v="1.0088999999999999"/>
    <n v="0.99729999999999996"/>
    <n v="1.0093000000000001"/>
    <n v="0.98909999999999998"/>
    <n v="0.94971499999999998"/>
    <n v="0.95395461550409388"/>
    <n v="320500"/>
    <n v="0"/>
    <n v="320500"/>
    <n v="52900"/>
    <n v="373400"/>
    <n v="0.15122126436781611"/>
    <n v="-0.31209362808842656"/>
    <n v="5.0942865184351253E-2"/>
  </r>
  <r>
    <n v="2025"/>
    <s v="18132342483    "/>
    <n v="-1.3093333199837622"/>
    <n v="0.27"/>
    <n v="11576"/>
    <s v="6"/>
    <s v="RES"/>
    <x v="0"/>
    <s v="11"/>
    <s v="259"/>
    <s v="RN"/>
    <s v="G"/>
    <s v="GD"/>
    <x v="8"/>
    <n v="84"/>
    <n v="52"/>
    <n v="1940"/>
    <n v="1972"/>
    <n v="1684"/>
    <m/>
    <n v="840"/>
    <n v="0"/>
    <n v="840"/>
    <m/>
    <n v="2524"/>
    <n v="3000"/>
    <n v="8"/>
    <m/>
    <m/>
    <m/>
    <m/>
    <m/>
    <m/>
    <m/>
    <n v="456990"/>
    <n v="319893"/>
    <n v="15164"/>
    <n v="408000"/>
    <n v="68900"/>
    <n v="339100"/>
    <n v="0"/>
    <n v="0"/>
    <n v="89850.625589999996"/>
    <n v="-41446.443120973789"/>
    <n v="44121.038090000002"/>
    <n v="197752.34721000001"/>
    <n v="-11598.371226000001"/>
    <n v="83204.200072868"/>
    <n v="0"/>
    <n v="0"/>
    <n v="24428.792007479999"/>
    <n v="30336.176841600001"/>
    <n v="0"/>
    <n v="15200"/>
    <n v="368200"/>
    <n v="48400"/>
    <n v="431800"/>
    <n v="5.8333333333333334E-2"/>
    <n v="0.99970000000000003"/>
    <n v="0.98050000000000004"/>
    <n v="0.99650000000000005"/>
    <n v="0.96179999999999999"/>
    <n v="0.98909999999999998"/>
    <n v="0.94971499999999998"/>
    <n v="0.88276107127906644"/>
    <n v="368200"/>
    <n v="14400"/>
    <n v="382600"/>
    <n v="46000"/>
    <n v="428600"/>
    <n v="0.12828074314361546"/>
    <n v="-0.33236574746008707"/>
    <n v="5.0490196078431374E-2"/>
  </r>
  <r>
    <n v="2025"/>
    <s v="18132324541    "/>
    <n v="-1.6094379124341003"/>
    <n v="0.2"/>
    <m/>
    <s v="6"/>
    <s v="RES"/>
    <x v="0"/>
    <s v="11"/>
    <s v="259"/>
    <s v="TD"/>
    <s v="A"/>
    <s v="GD"/>
    <x v="8"/>
    <n v="84"/>
    <n v="52"/>
    <n v="1940"/>
    <n v="1972"/>
    <n v="1156"/>
    <m/>
    <n v="1156"/>
    <n v="0"/>
    <n v="1156"/>
    <m/>
    <n v="2312"/>
    <n v="2500"/>
    <n v="8"/>
    <m/>
    <m/>
    <m/>
    <m/>
    <m/>
    <m/>
    <m/>
    <n v="285580"/>
    <n v="199906"/>
    <n v="5831"/>
    <n v="353400"/>
    <n v="58400"/>
    <n v="295000"/>
    <n v="0"/>
    <n v="0"/>
    <n v="89850.625589999996"/>
    <n v="-50946.13867709865"/>
    <n v="21557.329055999999"/>
    <n v="197752.34721000001"/>
    <n v="-11598.371226000001"/>
    <n v="57116.422377811999"/>
    <n v="0"/>
    <n v="0"/>
    <n v="33618.670905531995"/>
    <n v="30336.176841600001"/>
    <n v="0"/>
    <n v="5800"/>
    <n v="328800"/>
    <n v="38900"/>
    <n v="373500"/>
    <n v="5.6876061120543296E-2"/>
    <n v="0.99970000000000003"/>
    <n v="1.0067999999999999"/>
    <n v="0.99650000000000005"/>
    <n v="0.98919999999999997"/>
    <n v="0.98909999999999998"/>
    <n v="0.94971499999999998"/>
    <n v="0.9322622889120924"/>
    <n v="328800"/>
    <n v="5500"/>
    <n v="334300"/>
    <n v="36900"/>
    <n v="371200"/>
    <n v="0.13322033898305086"/>
    <n v="-0.36815068493150682"/>
    <n v="5.0367855121675152E-2"/>
  </r>
  <r>
    <n v="2025"/>
    <s v="18132332489    "/>
    <n v="-1.7719568419318752"/>
    <n v="0.17"/>
    <m/>
    <s v="6"/>
    <s v="RES"/>
    <x v="0"/>
    <s v="11"/>
    <s v="259"/>
    <s v="BG"/>
    <s v="G"/>
    <s v="GD"/>
    <x v="8"/>
    <n v="84"/>
    <n v="52"/>
    <n v="1940"/>
    <n v="1972"/>
    <n v="1550"/>
    <m/>
    <n v="1550"/>
    <n v="270"/>
    <n v="1280"/>
    <m/>
    <n v="2830"/>
    <n v="3000"/>
    <n v="9"/>
    <m/>
    <m/>
    <m/>
    <m/>
    <m/>
    <m/>
    <m/>
    <n v="514951"/>
    <n v="360466"/>
    <n v="15673"/>
    <n v="412500"/>
    <n v="52700"/>
    <n v="359800"/>
    <n v="0"/>
    <n v="0"/>
    <n v="89850.625589999996"/>
    <n v="-56090.612940989391"/>
    <n v="44121.038090000002"/>
    <n v="197752.34721000001"/>
    <n v="-11598.371226000001"/>
    <n v="76583.438309350007"/>
    <n v="0"/>
    <n v="0"/>
    <n v="45076.93763285"/>
    <n v="34128.198946800003"/>
    <n v="0"/>
    <n v="15700"/>
    <n v="386100"/>
    <n v="33800"/>
    <n v="435600"/>
    <n v="5.6000000000000001E-2"/>
    <n v="0.99970000000000003"/>
    <n v="0.98050000000000004"/>
    <n v="0.99650000000000005"/>
    <n v="0.96179999999999999"/>
    <n v="0.98909999999999998"/>
    <n v="0.94971499999999998"/>
    <n v="0.88276107127906644"/>
    <n v="386100"/>
    <n v="14900"/>
    <n v="401000"/>
    <n v="32100"/>
    <n v="433100"/>
    <n v="0.11450806003335186"/>
    <n v="-0.39089184060721061"/>
    <n v="4.9939393939393936E-2"/>
  </r>
  <r>
    <n v="2025"/>
    <s v="18132314445    "/>
    <n v="-1.4696759700589417"/>
    <n v="0.23"/>
    <n v="10212"/>
    <s v="6"/>
    <s v="RES"/>
    <x v="0"/>
    <s v="11"/>
    <s v="259"/>
    <s v="TD"/>
    <s v="A+"/>
    <s v="AV"/>
    <x v="8"/>
    <n v="84"/>
    <n v="52"/>
    <n v="1940"/>
    <n v="1972"/>
    <n v="1569"/>
    <m/>
    <n v="1569"/>
    <n v="1409"/>
    <n v="160"/>
    <m/>
    <n v="1729"/>
    <n v="2000"/>
    <n v="8"/>
    <m/>
    <m/>
    <m/>
    <m/>
    <m/>
    <m/>
    <m/>
    <n v="362782"/>
    <n v="246692"/>
    <n v="0"/>
    <n v="355600"/>
    <n v="63300"/>
    <n v="292300"/>
    <n v="0"/>
    <n v="0"/>
    <n v="89850.625589999996"/>
    <n v="-46522.028095997222"/>
    <n v="29814.093161000001"/>
    <n v="160472.20319"/>
    <n v="-11598.371226000001"/>
    <n v="77522.203037013009"/>
    <n v="0"/>
    <n v="0"/>
    <n v="45629.493642542999"/>
    <n v="30336.176841600001"/>
    <n v="0"/>
    <n v="0"/>
    <n v="332200"/>
    <n v="43300"/>
    <n v="375500"/>
    <n v="5.596175478065242E-2"/>
    <n v="0.99970000000000003"/>
    <n v="1.0088999999999999"/>
    <n v="0.99729999999999996"/>
    <n v="1.0093000000000001"/>
    <n v="0.98909999999999998"/>
    <n v="0.94971499999999998"/>
    <n v="0.95395461550409388"/>
    <n v="332200"/>
    <n v="0"/>
    <n v="332200"/>
    <n v="41100"/>
    <n v="373300"/>
    <n v="0.13650359219979474"/>
    <n v="-0.35071090047393366"/>
    <n v="4.9775028121484814E-2"/>
  </r>
  <r>
    <n v="2025"/>
    <s v="18132342480    "/>
    <n v="-1.7147984280919266"/>
    <n v="0.18"/>
    <n v="7969"/>
    <s v="6"/>
    <s v="RES"/>
    <x v="0"/>
    <s v="11"/>
    <s v="259"/>
    <s v="SL"/>
    <s v="A+"/>
    <s v="GD"/>
    <x v="8"/>
    <n v="84"/>
    <n v="52"/>
    <n v="1940"/>
    <n v="1972"/>
    <n v="1406"/>
    <m/>
    <n v="958"/>
    <n v="0"/>
    <n v="958"/>
    <m/>
    <n v="2364"/>
    <n v="2500"/>
    <n v="9"/>
    <n v="374"/>
    <m/>
    <m/>
    <m/>
    <m/>
    <m/>
    <m/>
    <n v="407963"/>
    <n v="285574"/>
    <n v="0"/>
    <n v="363200"/>
    <n v="54700"/>
    <n v="308500"/>
    <n v="0"/>
    <n v="0"/>
    <n v="89850.625589999996"/>
    <n v="-54281.285314520763"/>
    <n v="29814.093161000001"/>
    <n v="197752.34721000001"/>
    <n v="-11598.371226000001"/>
    <n v="69468.589847062001"/>
    <n v="0"/>
    <n v="0"/>
    <n v="27860.455646626"/>
    <n v="34128.198946800003"/>
    <n v="0"/>
    <n v="0"/>
    <n v="347400"/>
    <n v="35600"/>
    <n v="383000"/>
    <n v="5.4515418502202644E-2"/>
    <n v="0.99970000000000003"/>
    <n v="1.0088999999999999"/>
    <n v="0.99650000000000005"/>
    <n v="0.98919999999999997"/>
    <n v="0.98909999999999998"/>
    <n v="0.94971499999999998"/>
    <n v="0.93420681692829766"/>
    <n v="347400"/>
    <n v="0"/>
    <n v="347400"/>
    <n v="33800"/>
    <n v="381200"/>
    <n v="0.12609400324149109"/>
    <n v="-0.38208409506398539"/>
    <n v="4.9559471365638763E-2"/>
  </r>
  <r>
    <n v="2025"/>
    <s v="18132212033    "/>
    <n v="-0.69314718055994529"/>
    <n v="0.5"/>
    <n v="21744"/>
    <s v="6"/>
    <s v="RES"/>
    <x v="0"/>
    <s v="11"/>
    <s v="259"/>
    <s v="TD"/>
    <s v="F+"/>
    <s v="AV"/>
    <x v="8"/>
    <n v="84"/>
    <n v="52"/>
    <n v="1940"/>
    <n v="1972"/>
    <n v="1192"/>
    <m/>
    <n v="1190"/>
    <n v="1190"/>
    <m/>
    <m/>
    <n v="1192"/>
    <n v="1500"/>
    <n v="5"/>
    <m/>
    <m/>
    <m/>
    <m/>
    <m/>
    <m/>
    <m/>
    <n v="219863"/>
    <n v="149507"/>
    <n v="6542"/>
    <n v="316500"/>
    <n v="90400"/>
    <n v="226100"/>
    <n v="0"/>
    <n v="0"/>
    <n v="89850.625589999996"/>
    <n v="-21941.307652582615"/>
    <n v="0"/>
    <n v="160472.20319"/>
    <n v="-11598.371226000001"/>
    <n v="58895.134493384001"/>
    <n v="0"/>
    <n v="0"/>
    <n v="34607.45534393"/>
    <n v="18960.110526"/>
    <n v="0"/>
    <n v="6500"/>
    <n v="261300"/>
    <n v="67900"/>
    <n v="335700"/>
    <n v="6.0663507109004741E-2"/>
    <n v="0.99970000000000003"/>
    <n v="0.99180000000000001"/>
    <n v="0.99729999999999996"/>
    <n v="1.0157"/>
    <n v="0.98909999999999998"/>
    <n v="0.94971499999999998"/>
    <n v="0.94373242022269987"/>
    <n v="261300"/>
    <n v="6200"/>
    <n v="267500"/>
    <n v="64500"/>
    <n v="332000"/>
    <n v="0.18310482087571872"/>
    <n v="-0.28650442477876104"/>
    <n v="4.8973143759873619E-2"/>
  </r>
  <r>
    <n v="2025"/>
    <s v="18132324011    "/>
    <n v="-1.5141277326297755"/>
    <n v="0.22"/>
    <n v="9765"/>
    <s v="6"/>
    <s v="RES"/>
    <x v="0"/>
    <s v="11"/>
    <s v="259"/>
    <s v="TD"/>
    <s v="A"/>
    <s v="GD"/>
    <x v="8"/>
    <n v="84"/>
    <n v="52"/>
    <n v="1940"/>
    <n v="1972"/>
    <n v="1379"/>
    <m/>
    <n v="1034"/>
    <n v="0"/>
    <n v="1034"/>
    <m/>
    <n v="2413"/>
    <n v="2500"/>
    <n v="8"/>
    <n v="220"/>
    <m/>
    <m/>
    <m/>
    <m/>
    <m/>
    <m/>
    <n v="334033"/>
    <n v="233823"/>
    <n v="0"/>
    <n v="358600"/>
    <n v="61700"/>
    <n v="296900"/>
    <n v="0"/>
    <n v="0"/>
    <n v="89850.625589999996"/>
    <n v="-47929.131559187132"/>
    <n v="21557.329055999999"/>
    <n v="197752.34721000001"/>
    <n v="-11598.371226000001"/>
    <n v="68134.555760382995"/>
    <n v="0"/>
    <n v="0"/>
    <n v="30070.679685397998"/>
    <n v="30336.176841600001"/>
    <n v="0"/>
    <n v="0"/>
    <n v="336300"/>
    <n v="41900"/>
    <n v="378200"/>
    <n v="5.4656999442275513E-2"/>
    <n v="0.99970000000000003"/>
    <n v="1.0067999999999999"/>
    <n v="0.99650000000000005"/>
    <n v="0.98919999999999997"/>
    <n v="0.98909999999999998"/>
    <n v="0.94971499999999998"/>
    <n v="0.9322622889120924"/>
    <n v="336300"/>
    <n v="0"/>
    <n v="336300"/>
    <n v="39800"/>
    <n v="376100"/>
    <n v="0.13270461434826542"/>
    <n v="-0.35494327390599678"/>
    <n v="4.8800892359174571E-2"/>
  </r>
  <r>
    <n v="2025"/>
    <s v="18132334495    "/>
    <n v="-1.5141277326297755"/>
    <n v="0.22"/>
    <m/>
    <s v="6"/>
    <s v="RES"/>
    <x v="0"/>
    <s v="11"/>
    <s v="259"/>
    <s v="TD"/>
    <s v="A"/>
    <s v="GD"/>
    <x v="8"/>
    <n v="84"/>
    <n v="52"/>
    <n v="1940"/>
    <n v="1972"/>
    <n v="1067"/>
    <m/>
    <n v="1067"/>
    <n v="16"/>
    <n v="1051"/>
    <m/>
    <n v="2118"/>
    <n v="2500"/>
    <n v="8"/>
    <m/>
    <m/>
    <m/>
    <m/>
    <m/>
    <m/>
    <m/>
    <n v="273832"/>
    <n v="191682"/>
    <n v="5934"/>
    <n v="350200"/>
    <n v="61700"/>
    <n v="288500"/>
    <n v="0"/>
    <n v="0"/>
    <n v="89850.625589999996"/>
    <n v="-47929.131559187132"/>
    <n v="21557.329055999999"/>
    <n v="197752.34721000001"/>
    <n v="-11598.371226000001"/>
    <n v="52719.050758759004"/>
    <n v="0"/>
    <n v="0"/>
    <n v="31030.382228548999"/>
    <n v="30336.176841600001"/>
    <n v="0"/>
    <n v="5900"/>
    <n v="321800"/>
    <n v="41900"/>
    <n v="369600"/>
    <n v="5.5396916047972589E-2"/>
    <n v="0.99970000000000003"/>
    <n v="1.0067999999999999"/>
    <n v="0.99650000000000005"/>
    <n v="0.98919999999999997"/>
    <n v="0.98909999999999998"/>
    <n v="0.94971499999999998"/>
    <n v="0.9322622889120924"/>
    <n v="321800"/>
    <n v="5600"/>
    <n v="327400"/>
    <n v="39800"/>
    <n v="367200"/>
    <n v="0.13483535528596188"/>
    <n v="-0.35494327390599678"/>
    <n v="4.8543689320388349E-2"/>
  </r>
  <r>
    <n v="2025"/>
    <s v="18132324510    "/>
    <n v="-1.5141277326297755"/>
    <n v="0.22"/>
    <n v="9376"/>
    <s v="6"/>
    <s v="RES"/>
    <x v="0"/>
    <s v="11"/>
    <s v="259"/>
    <s v="CC"/>
    <s v="A"/>
    <s v="AV"/>
    <x v="8"/>
    <n v="84"/>
    <n v="52"/>
    <n v="1940"/>
    <n v="1972"/>
    <n v="1073"/>
    <n v="540"/>
    <n v="899"/>
    <n v="539"/>
    <n v="360"/>
    <m/>
    <n v="1973"/>
    <n v="2000"/>
    <n v="10"/>
    <m/>
    <m/>
    <m/>
    <m/>
    <m/>
    <m/>
    <m/>
    <n v="296128"/>
    <n v="201367"/>
    <n v="8623"/>
    <n v="343300"/>
    <n v="61700"/>
    <n v="281600"/>
    <n v="0"/>
    <n v="0"/>
    <n v="89850.625589999996"/>
    <n v="-47929.131559187132"/>
    <n v="21557.329055999999"/>
    <n v="160472.20319"/>
    <n v="-11598.371226000001"/>
    <n v="53015.502778021"/>
    <n v="24184.668344940001"/>
    <n v="0"/>
    <n v="26144.623827052998"/>
    <n v="37920.221052000001"/>
    <n v="0"/>
    <n v="8600"/>
    <n v="311700"/>
    <n v="41900"/>
    <n v="362200"/>
    <n v="5.5053888727060879E-2"/>
    <n v="0.99970000000000003"/>
    <n v="1.0067999999999999"/>
    <n v="0.99729999999999996"/>
    <n v="1.0093000000000001"/>
    <n v="0.98909999999999998"/>
    <n v="0.94971499999999998"/>
    <n v="0.95196898294134369"/>
    <n v="311700"/>
    <n v="8200"/>
    <n v="319900"/>
    <n v="39800"/>
    <n v="359700"/>
    <n v="0.13600852272727273"/>
    <n v="-0.35494327390599678"/>
    <n v="4.7771628313428488E-2"/>
  </r>
  <r>
    <n v="2025"/>
    <s v="18132342510    "/>
    <n v="-1.6607312068216509"/>
    <n v="0.19"/>
    <n v="8425"/>
    <s v="6"/>
    <s v="RES"/>
    <x v="0"/>
    <s v="11"/>
    <s v="259"/>
    <s v="TD"/>
    <s v="A+"/>
    <s v="GD"/>
    <x v="8"/>
    <n v="84"/>
    <n v="52"/>
    <n v="1940"/>
    <n v="1972"/>
    <n v="1636"/>
    <m/>
    <n v="1100"/>
    <n v="0"/>
    <n v="1100"/>
    <m/>
    <n v="2736"/>
    <n v="3000"/>
    <n v="9"/>
    <m/>
    <m/>
    <m/>
    <m/>
    <m/>
    <m/>
    <m/>
    <n v="401325"/>
    <n v="280928"/>
    <n v="9718"/>
    <n v="389400"/>
    <n v="56600"/>
    <n v="332800"/>
    <n v="0"/>
    <n v="0"/>
    <n v="89850.625589999996"/>
    <n v="-52569.808201026557"/>
    <n v="29814.093161000001"/>
    <n v="197752.34721000001"/>
    <n v="-11598.371226000001"/>
    <n v="80832.583918771998"/>
    <n v="0"/>
    <n v="0"/>
    <n v="31990.0847717"/>
    <n v="34128.198946800003"/>
    <n v="0"/>
    <n v="9700"/>
    <n v="362900"/>
    <n v="37300"/>
    <n v="409900"/>
    <n v="5.2645095017976373E-2"/>
    <n v="0.99970000000000003"/>
    <n v="1.0088999999999999"/>
    <n v="0.99650000000000005"/>
    <n v="0.96179999999999999"/>
    <n v="0.98909999999999998"/>
    <n v="0.94971499999999998"/>
    <n v="0.90833008140076499"/>
    <n v="362900"/>
    <n v="9200"/>
    <n v="372100"/>
    <n v="35400"/>
    <n v="407500"/>
    <n v="0.1180889423076923"/>
    <n v="-0.37455830388692579"/>
    <n v="4.6481766820749872E-2"/>
  </r>
  <r>
    <n v="2025"/>
    <s v="18132324486    "/>
    <n v="-1.5606477482646683"/>
    <n v="0.21"/>
    <n v="9345"/>
    <s v="6"/>
    <s v="RES"/>
    <x v="0"/>
    <s v="11"/>
    <s v="259"/>
    <s v="TD"/>
    <s v="G"/>
    <s v="AV"/>
    <x v="8"/>
    <n v="84"/>
    <n v="52"/>
    <n v="1940"/>
    <n v="1972"/>
    <n v="1328"/>
    <m/>
    <n v="1328"/>
    <n v="664"/>
    <n v="664"/>
    <m/>
    <n v="1992"/>
    <n v="2000"/>
    <n v="7"/>
    <m/>
    <m/>
    <m/>
    <m/>
    <m/>
    <m/>
    <m/>
    <n v="399170"/>
    <n v="271436"/>
    <n v="9040"/>
    <n v="354500"/>
    <n v="60100"/>
    <n v="294400"/>
    <n v="0"/>
    <n v="0"/>
    <n v="89850.625589999996"/>
    <n v="-49401.70477837498"/>
    <n v="44121.038090000002"/>
    <n v="160472.20319"/>
    <n v="-11598.371226000001"/>
    <n v="65614.713596656002"/>
    <n v="0"/>
    <n v="0"/>
    <n v="38620.756888015996"/>
    <n v="26544.1547364"/>
    <n v="0"/>
    <n v="9000"/>
    <n v="323800"/>
    <n v="40400"/>
    <n v="373200"/>
    <n v="5.2750352609308888E-2"/>
    <n v="0.99970000000000003"/>
    <n v="0.98050000000000004"/>
    <n v="0.99729999999999996"/>
    <n v="1.0093000000000001"/>
    <n v="0.98909999999999998"/>
    <n v="0.94971499999999998"/>
    <n v="0.92710129894118753"/>
    <n v="323800"/>
    <n v="8600"/>
    <n v="332400"/>
    <n v="38400"/>
    <n v="370800"/>
    <n v="0.12907608695652173"/>
    <n v="-0.36106489184692181"/>
    <n v="4.5980253878702394E-2"/>
  </r>
  <r>
    <n v="2025"/>
    <s v="18132241024    "/>
    <n v="-0.44628710262841947"/>
    <n v="0.64"/>
    <n v="27810"/>
    <s v="6"/>
    <s v="RES"/>
    <x v="0"/>
    <s v="11"/>
    <s v="259"/>
    <s v="TD"/>
    <s v="A"/>
    <s v="AV"/>
    <x v="8"/>
    <n v="84"/>
    <n v="52"/>
    <n v="1940"/>
    <n v="1972"/>
    <n v="1012"/>
    <m/>
    <n v="1024"/>
    <n v="764"/>
    <n v="260"/>
    <m/>
    <n v="1272"/>
    <n v="1500"/>
    <n v="5"/>
    <m/>
    <m/>
    <m/>
    <m/>
    <m/>
    <m/>
    <m/>
    <n v="217566"/>
    <n v="147945"/>
    <n v="4877"/>
    <n v="330700"/>
    <n v="99000"/>
    <n v="231700"/>
    <n v="0"/>
    <n v="0"/>
    <n v="89850.625589999996"/>
    <n v="-14127.046743866851"/>
    <n v="21557.329055999999"/>
    <n v="160472.20319"/>
    <n v="-11598.371226000001"/>
    <n v="50001.573915524001"/>
    <n v="0"/>
    <n v="0"/>
    <n v="29779.860732927998"/>
    <n v="18960.110526"/>
    <n v="0"/>
    <n v="4900"/>
    <n v="269200"/>
    <n v="75700"/>
    <n v="349800"/>
    <n v="5.7756274569095857E-2"/>
    <n v="0.99970000000000003"/>
    <n v="1.0067999999999999"/>
    <n v="0.99729999999999996"/>
    <n v="1.0157"/>
    <n v="0.98909999999999998"/>
    <n v="0.94971499999999998"/>
    <n v="0.95800544533193577"/>
    <n v="269200"/>
    <n v="4600"/>
    <n v="273800"/>
    <n v="71900"/>
    <n v="345700"/>
    <n v="0.18170047475183426"/>
    <n v="-0.27373737373737372"/>
    <n v="4.5358330813426065E-2"/>
  </r>
  <r>
    <n v="2025"/>
    <s v="18132342496    "/>
    <n v="-1.4271163556401458"/>
    <n v="0.24"/>
    <n v="10650"/>
    <s v="6"/>
    <s v="RES"/>
    <x v="0"/>
    <s v="11"/>
    <s v="259"/>
    <s v="RN"/>
    <s v="G"/>
    <s v="GD"/>
    <x v="8"/>
    <n v="84"/>
    <n v="52"/>
    <n v="1940"/>
    <n v="1972"/>
    <n v="1938"/>
    <m/>
    <n v="843"/>
    <n v="0"/>
    <n v="843"/>
    <m/>
    <n v="2781"/>
    <n v="3000"/>
    <n v="10"/>
    <n v="441"/>
    <m/>
    <m/>
    <m/>
    <m/>
    <m/>
    <m/>
    <n v="545618"/>
    <n v="381933"/>
    <n v="0"/>
    <n v="412300"/>
    <n v="64800"/>
    <n v="347500"/>
    <n v="0"/>
    <n v="0"/>
    <n v="89850.625589999996"/>
    <n v="-45174.819855485119"/>
    <n v="44121.038090000002"/>
    <n v="197752.34721000001"/>
    <n v="-11598.371226000001"/>
    <n v="95754.002221625997"/>
    <n v="0"/>
    <n v="0"/>
    <n v="24516.037693220998"/>
    <n v="37920.221052000001"/>
    <n v="0"/>
    <n v="0"/>
    <n v="388500"/>
    <n v="44700"/>
    <n v="433200"/>
    <n v="5.0691244239631339E-2"/>
    <n v="0.99970000000000003"/>
    <n v="0.98050000000000004"/>
    <n v="0.99650000000000005"/>
    <n v="0.96179999999999999"/>
    <n v="0.98909999999999998"/>
    <n v="0.94971499999999998"/>
    <n v="0.88276107127906644"/>
    <n v="388500"/>
    <n v="0"/>
    <n v="388500"/>
    <n v="42400"/>
    <n v="430900"/>
    <n v="0.11798561151079137"/>
    <n v="-0.34567901234567899"/>
    <n v="4.5112781954887216E-2"/>
  </r>
  <r>
    <n v="2025"/>
    <s v="18132324533    "/>
    <n v="-1.6607312068216509"/>
    <n v="0.19"/>
    <m/>
    <s v="6"/>
    <s v="RES"/>
    <x v="0"/>
    <s v="11"/>
    <s v="259"/>
    <s v="TD"/>
    <s v="A"/>
    <s v="AV"/>
    <x v="8"/>
    <n v="84"/>
    <n v="52"/>
    <n v="1940"/>
    <n v="1972"/>
    <n v="1426"/>
    <m/>
    <n v="1426"/>
    <n v="713"/>
    <n v="713"/>
    <m/>
    <n v="2139"/>
    <n v="2500"/>
    <n v="8"/>
    <m/>
    <m/>
    <m/>
    <m/>
    <m/>
    <m/>
    <m/>
    <n v="309810"/>
    <n v="210671"/>
    <n v="6178"/>
    <n v="338900"/>
    <n v="56600"/>
    <n v="282300"/>
    <n v="0"/>
    <n v="0"/>
    <n v="89850.625589999996"/>
    <n v="-52569.808201026557"/>
    <n v="21557.329055999999"/>
    <n v="160472.20319"/>
    <n v="-11598.371226000001"/>
    <n v="70456.763244602"/>
    <n v="0"/>
    <n v="0"/>
    <n v="41470.782622221996"/>
    <n v="30336.176841600001"/>
    <n v="0"/>
    <n v="6200"/>
    <n v="312700"/>
    <n v="37300"/>
    <n v="356200"/>
    <n v="5.1047506639126584E-2"/>
    <n v="0.99970000000000003"/>
    <n v="1.0067999999999999"/>
    <n v="0.99729999999999996"/>
    <n v="0.98919999999999997"/>
    <n v="0.98909999999999998"/>
    <n v="0.94971499999999998"/>
    <n v="0.93301071824589021"/>
    <n v="312700"/>
    <n v="5900"/>
    <n v="318600"/>
    <n v="35400"/>
    <n v="354000"/>
    <n v="0.12858660998937302"/>
    <n v="-0.37455830388692579"/>
    <n v="4.4555916199468873E-2"/>
  </r>
  <r>
    <n v="2025"/>
    <s v="18132214450    "/>
    <n v="-1.6607312068216509"/>
    <n v="0.19"/>
    <n v="8315"/>
    <s v="6"/>
    <s v="RES"/>
    <x v="0"/>
    <s v="11"/>
    <s v="400"/>
    <s v="RN"/>
    <s v="A"/>
    <s v="GD"/>
    <x v="8"/>
    <n v="84"/>
    <n v="52"/>
    <n v="1940"/>
    <n v="1972"/>
    <n v="1106"/>
    <m/>
    <n v="1106"/>
    <n v="0"/>
    <n v="1106"/>
    <m/>
    <n v="2212"/>
    <n v="2500"/>
    <n v="8"/>
    <n v="200"/>
    <m/>
    <m/>
    <m/>
    <m/>
    <m/>
    <m/>
    <n v="291703"/>
    <n v="204192"/>
    <n v="0"/>
    <n v="345000"/>
    <n v="56600"/>
    <n v="288400"/>
    <n v="0"/>
    <n v="0"/>
    <n v="89850.625589999996"/>
    <n v="-52569.808201026557"/>
    <n v="21557.329055999999"/>
    <n v="197752.34721000001"/>
    <n v="-11598.371226000001"/>
    <n v="54645.988883962003"/>
    <n v="0"/>
    <n v="0"/>
    <n v="32164.576143181999"/>
    <n v="30336.176841600001"/>
    <n v="0"/>
    <n v="0"/>
    <n v="324900"/>
    <n v="37300"/>
    <n v="362200"/>
    <n v="4.9855072463768114E-2"/>
    <n v="0.99970000000000003"/>
    <n v="1.0067999999999999"/>
    <n v="0.99650000000000005"/>
    <n v="0.98919999999999997"/>
    <n v="0.98909999999999998"/>
    <n v="0.94971499999999998"/>
    <n v="0.9322622889120924"/>
    <n v="324900"/>
    <n v="0"/>
    <n v="324900"/>
    <n v="35400"/>
    <n v="360300"/>
    <n v="0.12656033287101248"/>
    <n v="-0.37455830388692579"/>
    <n v="4.4347826086956518E-2"/>
  </r>
  <r>
    <n v="2025"/>
    <s v="18132342486    "/>
    <n v="-1.3093333199837622"/>
    <n v="0.27"/>
    <n v="11716"/>
    <s v="6"/>
    <s v="RES"/>
    <x v="0"/>
    <s v="11"/>
    <s v="259"/>
    <s v="CC"/>
    <s v="A+"/>
    <s v="GD"/>
    <x v="8"/>
    <n v="84"/>
    <n v="52"/>
    <n v="1940"/>
    <n v="1972"/>
    <n v="1402"/>
    <n v="1192"/>
    <n v="234"/>
    <n v="0"/>
    <n v="234"/>
    <m/>
    <n v="2828"/>
    <n v="3000"/>
    <n v="8"/>
    <n v="638"/>
    <m/>
    <m/>
    <m/>
    <m/>
    <m/>
    <m/>
    <n v="478006"/>
    <n v="334604"/>
    <n v="0"/>
    <n v="403900"/>
    <n v="68900"/>
    <n v="335000"/>
    <n v="0"/>
    <n v="0"/>
    <n v="89850.625589999996"/>
    <n v="-41446.443120973789"/>
    <n v="29814.093161000001"/>
    <n v="197752.34721000001"/>
    <n v="-11598.371226000001"/>
    <n v="69270.955167553999"/>
    <n v="53385.416050312"/>
    <n v="0"/>
    <n v="6805.1634877979996"/>
    <n v="30336.176841600001"/>
    <n v="0"/>
    <n v="0"/>
    <n v="375800"/>
    <n v="48400"/>
    <n v="424200"/>
    <n v="5.0259965337954939E-2"/>
    <n v="0.99970000000000003"/>
    <n v="1.0088999999999999"/>
    <n v="0.99650000000000005"/>
    <n v="0.96179999999999999"/>
    <n v="0.98909999999999998"/>
    <n v="0.94971499999999998"/>
    <n v="0.90833008140076499"/>
    <n v="375800"/>
    <n v="0"/>
    <n v="375800"/>
    <n v="46000"/>
    <n v="421800"/>
    <n v="0.12179104477611941"/>
    <n v="-0.33236574746008707"/>
    <n v="4.4317900470413465E-2"/>
  </r>
  <r>
    <n v="2025"/>
    <s v="18132334488    "/>
    <n v="-1.5606477482646683"/>
    <n v="0.21"/>
    <m/>
    <s v="6"/>
    <s v="RES"/>
    <x v="0"/>
    <s v="11"/>
    <s v="259"/>
    <s v="TD"/>
    <s v="A"/>
    <s v="AV"/>
    <x v="8"/>
    <n v="84"/>
    <n v="52"/>
    <n v="1940"/>
    <n v="1972"/>
    <n v="1168"/>
    <m/>
    <n v="1168"/>
    <n v="581"/>
    <n v="587"/>
    <m/>
    <n v="1755"/>
    <n v="2000"/>
    <n v="7"/>
    <m/>
    <m/>
    <m/>
    <m/>
    <m/>
    <m/>
    <m/>
    <n v="262717"/>
    <n v="178648"/>
    <n v="8623"/>
    <n v="321300"/>
    <n v="60100"/>
    <n v="261200"/>
    <n v="0"/>
    <n v="0"/>
    <n v="89850.625589999996"/>
    <n v="-49401.70477837498"/>
    <n v="21557.329055999999"/>
    <n v="160472.20319"/>
    <n v="-11598.371226000001"/>
    <n v="57709.326416336"/>
    <n v="0"/>
    <n v="0"/>
    <n v="33967.653648496002"/>
    <n v="26544.1547364"/>
    <n v="0"/>
    <n v="8600"/>
    <n v="288700"/>
    <n v="40400"/>
    <n v="337700"/>
    <n v="5.1042639277933392E-2"/>
    <n v="0.99970000000000003"/>
    <n v="1.0067999999999999"/>
    <n v="0.99729999999999996"/>
    <n v="1.0093000000000001"/>
    <n v="0.98909999999999998"/>
    <n v="0.94971499999999998"/>
    <n v="0.95196898294134369"/>
    <n v="288700"/>
    <n v="8200"/>
    <n v="296900"/>
    <n v="38400"/>
    <n v="335300"/>
    <n v="0.13667687595712097"/>
    <n v="-0.36106489184692181"/>
    <n v="4.357298474945534E-2"/>
  </r>
  <r>
    <n v="2025"/>
    <s v="18132214445    "/>
    <n v="-1.6094379124341003"/>
    <n v="0.2"/>
    <n v="8781"/>
    <s v="6"/>
    <s v="RES"/>
    <x v="0"/>
    <s v="11"/>
    <s v="259"/>
    <s v="TD"/>
    <s v="A"/>
    <s v="AV"/>
    <x v="8"/>
    <n v="84"/>
    <n v="52"/>
    <n v="1940"/>
    <n v="1972"/>
    <n v="1130"/>
    <m/>
    <m/>
    <n v="0"/>
    <m/>
    <m/>
    <n v="1130"/>
    <n v="1500"/>
    <n v="5"/>
    <m/>
    <m/>
    <m/>
    <m/>
    <m/>
    <m/>
    <m/>
    <n v="187049"/>
    <n v="127193"/>
    <n v="5831"/>
    <n v="275600"/>
    <n v="58400"/>
    <n v="217200"/>
    <n v="0"/>
    <n v="0"/>
    <n v="89850.625589999996"/>
    <n v="-50946.13867709865"/>
    <n v="21557.329055999999"/>
    <n v="160472.20319"/>
    <n v="-11598.371226000001"/>
    <n v="55831.796961010004"/>
    <n v="0"/>
    <n v="0"/>
    <n v="0"/>
    <n v="18960.110526"/>
    <n v="0"/>
    <n v="5800"/>
    <n v="245200"/>
    <n v="38900"/>
    <n v="289900"/>
    <n v="5.1886792452830191E-2"/>
    <n v="0.99970000000000003"/>
    <n v="1.0067999999999999"/>
    <n v="0.99729999999999996"/>
    <n v="1.0157"/>
    <n v="0.98909999999999998"/>
    <n v="0.94971499999999998"/>
    <n v="0.95800544533193577"/>
    <n v="245200"/>
    <n v="5500"/>
    <n v="250700"/>
    <n v="36900"/>
    <n v="287600"/>
    <n v="0.15423572744014732"/>
    <n v="-0.36815068493150682"/>
    <n v="4.3541364296081277E-2"/>
  </r>
  <r>
    <n v="2025"/>
    <s v="18132342514    "/>
    <n v="-1.4271163556401458"/>
    <n v="0.24"/>
    <n v="10419"/>
    <s v="6"/>
    <s v="RES"/>
    <x v="0"/>
    <s v="11"/>
    <s v="259"/>
    <s v="RN"/>
    <s v="G"/>
    <s v="AV"/>
    <x v="8"/>
    <n v="84"/>
    <n v="52"/>
    <n v="1940"/>
    <n v="1972"/>
    <n v="1923"/>
    <m/>
    <n v="855"/>
    <n v="663"/>
    <n v="192"/>
    <m/>
    <n v="2115"/>
    <n v="2500"/>
    <n v="8"/>
    <m/>
    <n v="308"/>
    <m/>
    <m/>
    <m/>
    <m/>
    <m/>
    <n v="489118"/>
    <n v="332600"/>
    <n v="0"/>
    <n v="369700"/>
    <n v="64800"/>
    <n v="304900"/>
    <n v="0"/>
    <n v="0"/>
    <n v="89850.625589999996"/>
    <n v="-45174.819855485119"/>
    <n v="44121.038090000002"/>
    <n v="160472.20319"/>
    <n v="-11598.371226000001"/>
    <n v="95012.872173470998"/>
    <n v="0"/>
    <n v="0"/>
    <n v="24865.020436184997"/>
    <n v="30336.176841600001"/>
    <n v="0"/>
    <n v="0"/>
    <n v="343200"/>
    <n v="44700"/>
    <n v="387900"/>
    <n v="4.9229104679469837E-2"/>
    <n v="0.99970000000000003"/>
    <n v="0.98050000000000004"/>
    <n v="0.99729999999999996"/>
    <n v="0.98919999999999997"/>
    <n v="0.98909999999999998"/>
    <n v="0.94971499999999998"/>
    <n v="0.9086382690108219"/>
    <n v="343200"/>
    <n v="0"/>
    <n v="343200"/>
    <n v="42400"/>
    <n v="385600"/>
    <n v="0.12561495572318793"/>
    <n v="-0.34567901234567899"/>
    <n v="4.3007844197998378E-2"/>
  </r>
  <r>
    <n v="2025"/>
    <s v="18132334496    "/>
    <n v="-1.8971199848858813"/>
    <n v="0.15"/>
    <m/>
    <s v="6"/>
    <s v="RES"/>
    <x v="0"/>
    <s v="11"/>
    <s v="259"/>
    <s v="TD"/>
    <s v="A"/>
    <s v="GD"/>
    <x v="8"/>
    <n v="84"/>
    <n v="52"/>
    <n v="1940"/>
    <n v="1972"/>
    <n v="1442"/>
    <m/>
    <n v="1035"/>
    <n v="0"/>
    <n v="1035"/>
    <m/>
    <n v="2477"/>
    <n v="2500"/>
    <n v="11"/>
    <m/>
    <m/>
    <m/>
    <m/>
    <m/>
    <m/>
    <m/>
    <n v="326689"/>
    <n v="228682"/>
    <n v="0"/>
    <n v="363600"/>
    <n v="48400"/>
    <n v="315200"/>
    <n v="0"/>
    <n v="0"/>
    <n v="89850.625589999996"/>
    <n v="-60052.604136134301"/>
    <n v="21557.329055999999"/>
    <n v="197752.34721000001"/>
    <n v="-11598.371226000001"/>
    <n v="71247.301962633996"/>
    <n v="0"/>
    <n v="0"/>
    <n v="30099.761580644998"/>
    <n v="41712.243157199999"/>
    <n v="0"/>
    <n v="0"/>
    <n v="350800"/>
    <n v="29800"/>
    <n v="380600"/>
    <n v="4.6754675467546754E-2"/>
    <n v="0.99970000000000003"/>
    <n v="1.0067999999999999"/>
    <n v="0.99650000000000005"/>
    <n v="0.98919999999999997"/>
    <n v="0.98909999999999998"/>
    <n v="0.94971499999999998"/>
    <n v="0.9322622889120924"/>
    <n v="350800"/>
    <n v="0"/>
    <n v="350800"/>
    <n v="28300"/>
    <n v="379100"/>
    <n v="0.11294416243654823"/>
    <n v="-0.41528925619834711"/>
    <n v="4.2629262926292627E-2"/>
  </r>
  <r>
    <n v="2025"/>
    <s v="18132324402    "/>
    <n v="-1.5141277326297755"/>
    <n v="0.22"/>
    <n v="9800"/>
    <s v="6"/>
    <s v="RES"/>
    <x v="0"/>
    <s v="11"/>
    <s v="259"/>
    <s v="TD"/>
    <s v="A+"/>
    <s v="AV"/>
    <x v="8"/>
    <n v="84"/>
    <n v="52"/>
    <n v="1940"/>
    <n v="1972"/>
    <n v="1341"/>
    <m/>
    <n v="1146"/>
    <n v="573"/>
    <n v="573"/>
    <m/>
    <n v="1914"/>
    <n v="2000"/>
    <n v="8"/>
    <m/>
    <m/>
    <m/>
    <m/>
    <m/>
    <m/>
    <m/>
    <n v="351867"/>
    <n v="239270"/>
    <n v="7698"/>
    <n v="341700"/>
    <n v="61700"/>
    <n v="280000"/>
    <n v="0"/>
    <n v="0"/>
    <n v="89850.625589999996"/>
    <n v="-47929.131559187132"/>
    <n v="29814.093161000001"/>
    <n v="160472.20319"/>
    <n v="-11598.371226000001"/>
    <n v="66257.026305057007"/>
    <n v="0"/>
    <n v="0"/>
    <n v="33327.851953061996"/>
    <n v="30336.176841600001"/>
    <n v="0"/>
    <n v="7700"/>
    <n v="308600"/>
    <n v="41900"/>
    <n v="358200"/>
    <n v="4.8287971905179985E-2"/>
    <n v="0.99970000000000003"/>
    <n v="1.0088999999999999"/>
    <n v="0.99729999999999996"/>
    <n v="1.0093000000000001"/>
    <n v="0.98909999999999998"/>
    <n v="0.94971499999999998"/>
    <n v="0.95395461550409388"/>
    <n v="308600"/>
    <n v="7300"/>
    <n v="315900"/>
    <n v="39800"/>
    <n v="355700"/>
    <n v="0.12821428571428573"/>
    <n v="-0.35494327390599678"/>
    <n v="4.0971612525607257E-2"/>
  </r>
  <r>
    <n v="2025"/>
    <s v="18132334431    "/>
    <n v="-1.7719568419318752"/>
    <n v="0.17"/>
    <m/>
    <s v="6"/>
    <s v="RES"/>
    <x v="0"/>
    <s v="11"/>
    <s v="259"/>
    <s v="TD"/>
    <s v="A+"/>
    <s v="AV"/>
    <x v="8"/>
    <n v="84"/>
    <n v="52"/>
    <n v="1940"/>
    <n v="1972"/>
    <n v="848"/>
    <m/>
    <n v="425"/>
    <n v="0"/>
    <n v="425"/>
    <m/>
    <n v="1273"/>
    <n v="1500"/>
    <n v="8"/>
    <m/>
    <m/>
    <m/>
    <m/>
    <m/>
    <m/>
    <m/>
    <n v="221091"/>
    <n v="150342"/>
    <n v="5874"/>
    <n v="289200"/>
    <n v="52700"/>
    <n v="236500"/>
    <n v="0"/>
    <n v="0"/>
    <n v="89850.625589999996"/>
    <n v="-56090.612940989391"/>
    <n v="29814.093161000001"/>
    <n v="160472.20319"/>
    <n v="-11598.371226000001"/>
    <n v="41898.552055696004"/>
    <n v="0"/>
    <n v="0"/>
    <n v="12359.805479974999"/>
    <n v="30336.176841600001"/>
    <n v="0"/>
    <n v="5900"/>
    <n v="263300"/>
    <n v="33800"/>
    <n v="303000"/>
    <n v="4.7717842323651449E-2"/>
    <n v="0.99970000000000003"/>
    <n v="1.0088999999999999"/>
    <n v="0.99729999999999996"/>
    <n v="1.0157"/>
    <n v="0.98909999999999998"/>
    <n v="0.94971499999999998"/>
    <n v="0.96000366884722899"/>
    <n v="263300"/>
    <n v="5600"/>
    <n v="268900"/>
    <n v="32100"/>
    <n v="301000"/>
    <n v="0.13699788583509515"/>
    <n v="-0.39089184060721061"/>
    <n v="4.0802213001383127E-2"/>
  </r>
  <r>
    <n v="2025"/>
    <s v="18132214021    "/>
    <n v="-1.9661128563728327"/>
    <n v="0.14000000000000001"/>
    <n v="5930"/>
    <s v="6"/>
    <s v="RES"/>
    <x v="0"/>
    <s v="11"/>
    <s v="259"/>
    <s v="TD"/>
    <s v="F+"/>
    <s v="AV"/>
    <x v="8"/>
    <n v="84"/>
    <n v="52"/>
    <n v="1940"/>
    <n v="1972"/>
    <n v="624"/>
    <m/>
    <n v="312"/>
    <n v="156"/>
    <n v="156"/>
    <m/>
    <n v="780"/>
    <n v="1000"/>
    <n v="5"/>
    <m/>
    <m/>
    <m/>
    <m/>
    <m/>
    <m/>
    <m/>
    <n v="124802"/>
    <n v="84865"/>
    <n v="6050"/>
    <n v="230300"/>
    <n v="46000"/>
    <n v="184300"/>
    <n v="0"/>
    <n v="0"/>
    <n v="89850.625589999996"/>
    <n v="-62236.546971921947"/>
    <n v="0"/>
    <n v="160472.20319"/>
    <n v="-11598.371226000001"/>
    <n v="30831.010003248"/>
    <n v="0"/>
    <n v="0"/>
    <n v="9073.5513170639988"/>
    <n v="18960.110526"/>
    <n v="0"/>
    <n v="6100"/>
    <n v="207700"/>
    <n v="27600"/>
    <n v="241400"/>
    <n v="4.8198002605297441E-2"/>
    <n v="0.99970000000000003"/>
    <n v="0.99180000000000001"/>
    <n v="0.99729999999999996"/>
    <n v="1.0148999999999999"/>
    <n v="0.98909999999999998"/>
    <n v="0.94971499999999998"/>
    <n v="0.94298910434578886"/>
    <n v="207700"/>
    <n v="5700"/>
    <n v="213400"/>
    <n v="26200"/>
    <n v="239600"/>
    <n v="0.15789473684210525"/>
    <n v="-0.43043478260869567"/>
    <n v="4.038211029092488E-2"/>
  </r>
  <r>
    <n v="2025"/>
    <s v="18132342459    "/>
    <n v="-0.916290731874155"/>
    <n v="0.4"/>
    <n v="17220"/>
    <s v="6"/>
    <s v="RES"/>
    <x v="0"/>
    <s v="11"/>
    <s v="259"/>
    <s v="BG"/>
    <s v="G"/>
    <s v="GD"/>
    <x v="8"/>
    <n v="84"/>
    <n v="52"/>
    <n v="1940"/>
    <n v="1972"/>
    <n v="1841"/>
    <m/>
    <m/>
    <n v="0"/>
    <m/>
    <m/>
    <n v="1841"/>
    <n v="2000"/>
    <n v="9"/>
    <m/>
    <n v="620"/>
    <m/>
    <m/>
    <m/>
    <m/>
    <m/>
    <n v="481205"/>
    <n v="336844"/>
    <n v="0"/>
    <n v="397500"/>
    <n v="82600"/>
    <n v="314900"/>
    <n v="0"/>
    <n v="0"/>
    <n v="89850.625589999996"/>
    <n v="-29004.831024516039"/>
    <n v="44121.038090000002"/>
    <n v="197752.34721000001"/>
    <n v="-11598.371226000001"/>
    <n v="90961.361243556996"/>
    <n v="0"/>
    <n v="0"/>
    <n v="0"/>
    <n v="34128.198946800003"/>
    <n v="0"/>
    <n v="0"/>
    <n v="355400"/>
    <n v="60800"/>
    <n v="416200"/>
    <n v="4.7044025157232702E-2"/>
    <n v="0.99970000000000003"/>
    <n v="0.98050000000000004"/>
    <n v="0.99650000000000005"/>
    <n v="1.0093000000000001"/>
    <n v="0.98909999999999998"/>
    <n v="0.94971499999999998"/>
    <n v="0.92635760994173622"/>
    <n v="355400"/>
    <n v="0"/>
    <n v="355400"/>
    <n v="57800"/>
    <n v="413200"/>
    <n v="0.12861225785963798"/>
    <n v="-0.30024213075060535"/>
    <n v="3.9496855345911949E-2"/>
  </r>
  <r>
    <n v="2025"/>
    <s v="18132241444    "/>
    <n v="-1.6094379124341003"/>
    <n v="0.2"/>
    <n v="8680"/>
    <s v="6"/>
    <s v="RES"/>
    <x v="0"/>
    <s v="11"/>
    <s v="259"/>
    <s v="CC"/>
    <s v="A"/>
    <s v="GD"/>
    <x v="8"/>
    <n v="84"/>
    <n v="52"/>
    <n v="1940"/>
    <n v="1972"/>
    <n v="952"/>
    <n v="727"/>
    <n v="969"/>
    <n v="0"/>
    <n v="969"/>
    <m/>
    <n v="2648"/>
    <n v="3000"/>
    <n v="8"/>
    <m/>
    <m/>
    <m/>
    <m/>
    <m/>
    <m/>
    <m/>
    <n v="351547"/>
    <n v="246083"/>
    <n v="5073"/>
    <n v="372800"/>
    <n v="58400"/>
    <n v="314400"/>
    <n v="0"/>
    <n v="0"/>
    <n v="89850.625589999996"/>
    <n v="-50946.13867709865"/>
    <n v="21557.329055999999"/>
    <n v="197752.34721000001"/>
    <n v="-11598.371226000001"/>
    <n v="47037.053722903998"/>
    <n v="32559.729419946998"/>
    <n v="0"/>
    <n v="28180.356494342999"/>
    <n v="30336.176841600001"/>
    <n v="0"/>
    <n v="5100"/>
    <n v="345800"/>
    <n v="38900"/>
    <n v="389800"/>
    <n v="4.5600858369098711E-2"/>
    <n v="0.99970000000000003"/>
    <n v="1.0067999999999999"/>
    <n v="0.99650000000000005"/>
    <n v="0.96179999999999999"/>
    <n v="0.98909999999999998"/>
    <n v="0.94971499999999998"/>
    <n v="0.90643941515937176"/>
    <n v="345800"/>
    <n v="4800"/>
    <n v="350600"/>
    <n v="36900"/>
    <n v="387500"/>
    <n v="0.11513994910941476"/>
    <n v="-0.36815068493150682"/>
    <n v="3.9431330472103003E-2"/>
  </r>
  <r>
    <n v="2025"/>
    <s v="18132333456    "/>
    <n v="-1.5606477482646683"/>
    <n v="0.21"/>
    <m/>
    <s v="6"/>
    <s v="RES"/>
    <x v="0"/>
    <s v="11"/>
    <s v="259"/>
    <s v="TD"/>
    <s v="A"/>
    <s v="AV"/>
    <x v="8"/>
    <n v="84"/>
    <n v="52"/>
    <n v="1940"/>
    <n v="1972"/>
    <n v="1008"/>
    <m/>
    <n v="998"/>
    <n v="398"/>
    <n v="600"/>
    <m/>
    <n v="1608"/>
    <n v="2000"/>
    <n v="8"/>
    <m/>
    <m/>
    <m/>
    <m/>
    <m/>
    <m/>
    <m/>
    <n v="244069"/>
    <n v="165967"/>
    <n v="5261"/>
    <n v="311000"/>
    <n v="60100"/>
    <n v="250900"/>
    <n v="0"/>
    <n v="0"/>
    <n v="89850.625589999996"/>
    <n v="-49401.70477837498"/>
    <n v="21557.329055999999"/>
    <n v="160472.20319"/>
    <n v="-11598.371226000001"/>
    <n v="49803.939236015998"/>
    <n v="0"/>
    <n v="0"/>
    <n v="29023.731456505997"/>
    <n v="30336.176841600001"/>
    <n v="0"/>
    <n v="5300"/>
    <n v="279600"/>
    <n v="40400"/>
    <n v="325300"/>
    <n v="4.5980707395498394E-2"/>
    <n v="0.99970000000000003"/>
    <n v="1.0067999999999999"/>
    <n v="0.99729999999999996"/>
    <n v="1.0093000000000001"/>
    <n v="0.98909999999999998"/>
    <n v="0.94971499999999998"/>
    <n v="0.95196898294134369"/>
    <n v="279600"/>
    <n v="5000"/>
    <n v="284600"/>
    <n v="38400"/>
    <n v="323000"/>
    <n v="0.13431646074133122"/>
    <n v="-0.36106489184692181"/>
    <n v="3.8585209003215437E-2"/>
  </r>
  <r>
    <n v="2025"/>
    <s v="18132242417    "/>
    <n v="-2.120263536200091"/>
    <n v="0.12"/>
    <n v="5200"/>
    <s v="6"/>
    <s v="RES"/>
    <x v="0"/>
    <s v="11"/>
    <s v="259"/>
    <s v="CO"/>
    <s v="A"/>
    <s v="FR"/>
    <x v="8"/>
    <n v="84"/>
    <n v="52"/>
    <n v="1940"/>
    <n v="1972"/>
    <n v="1219"/>
    <n v="1"/>
    <n v="1183"/>
    <n v="0"/>
    <n v="1183"/>
    <m/>
    <n v="2403"/>
    <n v="2500"/>
    <n v="8"/>
    <m/>
    <m/>
    <n v="96"/>
    <m/>
    <m/>
    <m/>
    <m/>
    <n v="325278"/>
    <n v="214683"/>
    <n v="0"/>
    <n v="282600"/>
    <n v="40600"/>
    <n v="242000"/>
    <n v="0"/>
    <n v="0"/>
    <n v="89850.625589999996"/>
    <n v="-67116.12750806773"/>
    <n v="21557.329055999999"/>
    <n v="133714.53821"/>
    <n v="-11598.371226000001"/>
    <n v="60229.168580063"/>
    <n v="44.786422860999998"/>
    <n v="0"/>
    <n v="34403.882077201"/>
    <n v="30336.176841600001"/>
    <n v="3196.3694664960003"/>
    <n v="0"/>
    <n v="271900"/>
    <n v="22700"/>
    <n v="294600"/>
    <n v="4.2462845010615709E-2"/>
    <n v="0.99970000000000003"/>
    <n v="1.0067999999999999"/>
    <n v="0.99329999999999996"/>
    <n v="0.98919999999999997"/>
    <n v="0.98909999999999998"/>
    <n v="0.94971499999999998"/>
    <n v="0.92926857157690035"/>
    <n v="271900"/>
    <n v="0"/>
    <n v="271900"/>
    <n v="21600"/>
    <n v="293500"/>
    <n v="0.12355371900826446"/>
    <n v="-0.46798029556650245"/>
    <n v="3.8570417551309272E-2"/>
  </r>
  <r>
    <n v="2025"/>
    <s v="18132324021    "/>
    <n v="-1.4696759700589417"/>
    <n v="0.23"/>
    <n v="10119"/>
    <s v="6"/>
    <s v="RES"/>
    <x v="0"/>
    <s v="11"/>
    <s v="259"/>
    <s v="TD"/>
    <s v="A"/>
    <s v="AV"/>
    <x v="8"/>
    <n v="84"/>
    <n v="52"/>
    <n v="1940"/>
    <n v="1972"/>
    <n v="1074"/>
    <m/>
    <n v="1074"/>
    <n v="514"/>
    <n v="560"/>
    <m/>
    <n v="1634"/>
    <n v="2000"/>
    <n v="8"/>
    <m/>
    <m/>
    <m/>
    <m/>
    <m/>
    <m/>
    <m/>
    <n v="256489"/>
    <n v="174413"/>
    <n v="10026"/>
    <n v="323300"/>
    <n v="63300"/>
    <n v="260000"/>
    <n v="0"/>
    <n v="0"/>
    <n v="89850.625589999996"/>
    <n v="-46522.028095997222"/>
    <n v="21557.329055999999"/>
    <n v="160472.20319"/>
    <n v="-11598.371226000001"/>
    <n v="53064.911447898005"/>
    <n v="0"/>
    <n v="0"/>
    <n v="31233.955495277998"/>
    <n v="30336.176841600001"/>
    <n v="0"/>
    <n v="10000"/>
    <n v="285100"/>
    <n v="43300"/>
    <n v="338400"/>
    <n v="4.6705845963501393E-2"/>
    <n v="0.99970000000000003"/>
    <n v="1.0067999999999999"/>
    <n v="0.99729999999999996"/>
    <n v="1.0093000000000001"/>
    <n v="0.98909999999999998"/>
    <n v="0.94971499999999998"/>
    <n v="0.95196898294134369"/>
    <n v="285100"/>
    <n v="9500"/>
    <n v="294600"/>
    <n v="41100"/>
    <n v="335700"/>
    <n v="0.13307692307692306"/>
    <n v="-0.35071090047393366"/>
    <n v="3.835446953294154E-2"/>
  </r>
  <r>
    <n v="2025"/>
    <s v="18132214024    "/>
    <n v="-2.0402208285265546"/>
    <n v="0.13"/>
    <n v="5575"/>
    <s v="6"/>
    <s v="RES"/>
    <x v="0"/>
    <s v="11"/>
    <s v="259"/>
    <s v="TD"/>
    <s v="A"/>
    <s v="AV"/>
    <x v="8"/>
    <n v="84"/>
    <n v="52"/>
    <n v="1940"/>
    <n v="1972"/>
    <n v="840"/>
    <m/>
    <n v="840"/>
    <n v="51"/>
    <n v="789"/>
    <m/>
    <n v="1629"/>
    <n v="2000"/>
    <n v="9"/>
    <m/>
    <m/>
    <m/>
    <m/>
    <m/>
    <m/>
    <m/>
    <n v="215728"/>
    <n v="146695"/>
    <n v="19310"/>
    <n v="301400"/>
    <n v="43400"/>
    <n v="258000"/>
    <n v="0"/>
    <n v="0"/>
    <n v="89850.625589999996"/>
    <n v="-64582.406353792743"/>
    <n v="21557.329055999999"/>
    <n v="160472.20319"/>
    <n v="-11598.371226000001"/>
    <n v="41503.282696679998"/>
    <n v="0"/>
    <n v="0"/>
    <n v="24428.792007479999"/>
    <n v="34128.198946800003"/>
    <n v="0"/>
    <n v="19300"/>
    <n v="270500"/>
    <n v="25300"/>
    <n v="315100"/>
    <n v="4.5454545454545456E-2"/>
    <n v="0.99970000000000003"/>
    <n v="1.0067999999999999"/>
    <n v="0.99729999999999996"/>
    <n v="1.0093000000000001"/>
    <n v="0.98909999999999998"/>
    <n v="0.94971499999999998"/>
    <n v="0.95196898294134369"/>
    <n v="270500"/>
    <n v="18300"/>
    <n v="288800"/>
    <n v="24000"/>
    <n v="312800"/>
    <n v="0.11937984496124031"/>
    <n v="-0.44700460829493088"/>
    <n v="3.7823490378234903E-2"/>
  </r>
  <r>
    <n v="2025"/>
    <s v="18132322014    "/>
    <n v="-1.9661128563728327"/>
    <n v="0.14000000000000001"/>
    <n v="5883"/>
    <s v="6"/>
    <s v="RES"/>
    <x v="0"/>
    <s v="11"/>
    <s v="259"/>
    <s v="TD"/>
    <s v="F+"/>
    <s v="AV"/>
    <x v="8"/>
    <n v="84"/>
    <n v="52"/>
    <n v="1940"/>
    <n v="1972"/>
    <n v="792"/>
    <m/>
    <m/>
    <n v="0"/>
    <m/>
    <m/>
    <n v="792"/>
    <n v="1000"/>
    <n v="5"/>
    <m/>
    <m/>
    <m/>
    <m/>
    <m/>
    <m/>
    <m/>
    <n v="122100"/>
    <n v="83028"/>
    <n v="6178"/>
    <n v="230500"/>
    <n v="46000"/>
    <n v="184500"/>
    <n v="0"/>
    <n v="0"/>
    <n v="89850.625589999996"/>
    <n v="-62236.546971921947"/>
    <n v="0"/>
    <n v="160472.20319"/>
    <n v="-11598.371226000001"/>
    <n v="39131.666542584004"/>
    <n v="0"/>
    <n v="0"/>
    <n v="0"/>
    <n v="18960.110526"/>
    <n v="0"/>
    <n v="6200"/>
    <n v="207000"/>
    <n v="27600"/>
    <n v="240800"/>
    <n v="4.468546637744035E-2"/>
    <n v="0.99970000000000003"/>
    <n v="0.99180000000000001"/>
    <n v="0.99729999999999996"/>
    <n v="1.0148999999999999"/>
    <n v="0.98909999999999998"/>
    <n v="0.94971499999999998"/>
    <n v="0.94298910434578886"/>
    <n v="207000"/>
    <n v="5900"/>
    <n v="212900"/>
    <n v="26200"/>
    <n v="239100"/>
    <n v="0.15392953929539296"/>
    <n v="-0.43043478260869567"/>
    <n v="3.7310195227765727E-2"/>
  </r>
  <r>
    <n v="2025"/>
    <s v="18132324433    "/>
    <n v="-1.5606477482646683"/>
    <n v="0.21"/>
    <m/>
    <s v="6"/>
    <s v="RES"/>
    <x v="0"/>
    <s v="11"/>
    <s v="259"/>
    <s v="CO"/>
    <s v="A"/>
    <s v="AV"/>
    <x v="8"/>
    <n v="84"/>
    <n v="52"/>
    <n v="1940"/>
    <n v="1972"/>
    <n v="1212"/>
    <n v="720"/>
    <n v="1212"/>
    <n v="606"/>
    <n v="606"/>
    <m/>
    <n v="2538"/>
    <n v="3000"/>
    <n v="7"/>
    <m/>
    <m/>
    <m/>
    <m/>
    <m/>
    <m/>
    <m/>
    <n v="347057"/>
    <n v="235999"/>
    <n v="6050"/>
    <n v="355400"/>
    <n v="60100"/>
    <n v="295300"/>
    <n v="0"/>
    <n v="0"/>
    <n v="89850.625589999996"/>
    <n v="-49401.70477837498"/>
    <n v="21557.329055999999"/>
    <n v="160472.20319"/>
    <n v="-11598.371226000001"/>
    <n v="59883.307890923999"/>
    <n v="32246.224459919998"/>
    <n v="0"/>
    <n v="35247.257039363998"/>
    <n v="26544.1547364"/>
    <n v="0"/>
    <n v="6100"/>
    <n v="324400"/>
    <n v="40400"/>
    <n v="370900"/>
    <n v="4.3612830613393362E-2"/>
    <n v="0.99970000000000003"/>
    <n v="1.0067999999999999"/>
    <n v="0.99729999999999996"/>
    <n v="0.96179999999999999"/>
    <n v="0.98909999999999998"/>
    <n v="0.94971499999999998"/>
    <n v="0.90716711363616798"/>
    <n v="324400"/>
    <n v="5700"/>
    <n v="330100"/>
    <n v="38400"/>
    <n v="368500"/>
    <n v="0.11784625804266848"/>
    <n v="-0.36106489184692181"/>
    <n v="3.6859876195835681E-2"/>
  </r>
  <r>
    <n v="2025"/>
    <s v="18132322012    "/>
    <n v="-1.5606477482646683"/>
    <n v="0.21"/>
    <n v="9243"/>
    <s v="6"/>
    <s v="RES"/>
    <x v="0"/>
    <s v="11"/>
    <s v="259"/>
    <s v="TD"/>
    <s v="A+"/>
    <s v="AV"/>
    <x v="8"/>
    <n v="84"/>
    <n v="52"/>
    <n v="1940"/>
    <n v="1972"/>
    <n v="1567"/>
    <m/>
    <n v="64"/>
    <n v="64"/>
    <m/>
    <m/>
    <n v="1567"/>
    <n v="2000"/>
    <n v="8"/>
    <n v="748"/>
    <m/>
    <m/>
    <m/>
    <m/>
    <m/>
    <m/>
    <n v="338240"/>
    <n v="230003"/>
    <n v="0"/>
    <n v="315100"/>
    <n v="60100"/>
    <n v="255000"/>
    <n v="0"/>
    <n v="0"/>
    <n v="89850.625589999996"/>
    <n v="-49401.70477837498"/>
    <n v="29814.093161000001"/>
    <n v="160472.20319"/>
    <n v="-11598.371226000001"/>
    <n v="77423.385697259"/>
    <n v="0"/>
    <n v="0"/>
    <n v="1861.2412958079999"/>
    <n v="30336.176841600001"/>
    <n v="0"/>
    <n v="0"/>
    <n v="288300"/>
    <n v="40400"/>
    <n v="328700"/>
    <n v="4.3160901301174233E-2"/>
    <n v="0.99970000000000003"/>
    <n v="1.0088999999999999"/>
    <n v="0.99729999999999996"/>
    <n v="1.0093000000000001"/>
    <n v="0.98909999999999998"/>
    <n v="0.94971499999999998"/>
    <n v="0.95395461550409388"/>
    <n v="288300"/>
    <n v="0"/>
    <n v="288300"/>
    <n v="38400"/>
    <n v="326700"/>
    <n v="0.13058823529411764"/>
    <n v="-0.36106489184692181"/>
    <n v="3.6813709933354491E-2"/>
  </r>
  <r>
    <n v="2025"/>
    <s v="18132323007    "/>
    <n v="-1.4271163556401458"/>
    <n v="0.24"/>
    <n v="10349"/>
    <s v="6"/>
    <s v="RES"/>
    <x v="0"/>
    <s v="11"/>
    <s v="259"/>
    <s v="TD"/>
    <s v="F+"/>
    <s v="FR"/>
    <x v="8"/>
    <n v="84"/>
    <n v="52"/>
    <n v="1940"/>
    <n v="1972"/>
    <n v="1260"/>
    <m/>
    <n v="1260"/>
    <n v="630"/>
    <n v="630"/>
    <m/>
    <n v="1890"/>
    <n v="2000"/>
    <n v="7"/>
    <m/>
    <m/>
    <m/>
    <m/>
    <m/>
    <m/>
    <m/>
    <n v="253058"/>
    <n v="167018"/>
    <n v="10334"/>
    <n v="289400"/>
    <n v="64800"/>
    <n v="224600"/>
    <n v="0"/>
    <n v="0"/>
    <n v="89850.625589999996"/>
    <n v="-45174.819855485119"/>
    <n v="0"/>
    <n v="133714.53821"/>
    <n v="-11598.371226000001"/>
    <n v="62254.924045020001"/>
    <n v="0"/>
    <n v="0"/>
    <n v="36643.188011220001"/>
    <n v="26544.1547364"/>
    <n v="0"/>
    <n v="10300"/>
    <n v="247600"/>
    <n v="44700"/>
    <n v="302600"/>
    <n v="4.5611610228058048E-2"/>
    <n v="0.99970000000000003"/>
    <n v="0.99180000000000001"/>
    <n v="0.99329999999999996"/>
    <n v="1.0093000000000001"/>
    <n v="0.98909999999999998"/>
    <n v="0.94971499999999998"/>
    <n v="0.93402459412706784"/>
    <n v="247600"/>
    <n v="9800"/>
    <n v="257400"/>
    <n v="42400"/>
    <n v="299800"/>
    <n v="0.14603739982190561"/>
    <n v="-0.34567901234567899"/>
    <n v="3.5936420179682099E-2"/>
  </r>
  <r>
    <n v="2025"/>
    <s v="18132332587    "/>
    <n v="-1.9661128563728327"/>
    <n v="0.14000000000000001"/>
    <m/>
    <s v="6"/>
    <s v="RES"/>
    <x v="0"/>
    <s v="11"/>
    <s v="259"/>
    <s v="TD"/>
    <s v="F+"/>
    <s v="AV"/>
    <x v="8"/>
    <n v="84"/>
    <n v="52"/>
    <n v="1940"/>
    <n v="1972"/>
    <n v="1030"/>
    <m/>
    <m/>
    <n v="0"/>
    <m/>
    <m/>
    <n v="1030"/>
    <n v="1500"/>
    <n v="5"/>
    <n v="388"/>
    <m/>
    <m/>
    <m/>
    <m/>
    <m/>
    <m/>
    <n v="167752"/>
    <n v="114071"/>
    <n v="0"/>
    <n v="236500"/>
    <n v="46000"/>
    <n v="190500"/>
    <n v="0"/>
    <n v="0"/>
    <n v="89850.625589999996"/>
    <n v="-62236.546971921947"/>
    <n v="0"/>
    <n v="160472.20319"/>
    <n v="-11598.371226000001"/>
    <n v="50890.929973309998"/>
    <n v="0"/>
    <n v="0"/>
    <n v="0"/>
    <n v="18960.110526"/>
    <n v="0"/>
    <n v="0"/>
    <n v="218700"/>
    <n v="27600"/>
    <n v="246300"/>
    <n v="4.1437632135306553E-2"/>
    <n v="0.99970000000000003"/>
    <n v="0.99180000000000001"/>
    <n v="0.99729999999999996"/>
    <n v="1.0157"/>
    <n v="0.98909999999999998"/>
    <n v="0.94971499999999998"/>
    <n v="0.94373242022269987"/>
    <n v="218700"/>
    <n v="0"/>
    <n v="218700"/>
    <n v="26200"/>
    <n v="244900"/>
    <n v="0.14803149606299212"/>
    <n v="-0.43043478260869567"/>
    <n v="3.5517970401691329E-2"/>
  </r>
  <r>
    <n v="2025"/>
    <s v="18132324400    "/>
    <n v="-1.5141277326297755"/>
    <n v="0.22"/>
    <m/>
    <s v="6"/>
    <s v="RES"/>
    <x v="0"/>
    <s v="11"/>
    <s v="259"/>
    <s v="RN"/>
    <s v="A"/>
    <s v="AV"/>
    <x v="8"/>
    <n v="84"/>
    <n v="52"/>
    <n v="1940"/>
    <n v="1972"/>
    <n v="941"/>
    <m/>
    <n v="120"/>
    <n v="0"/>
    <n v="120"/>
    <m/>
    <n v="1061"/>
    <n v="1500"/>
    <n v="6"/>
    <n v="300"/>
    <m/>
    <m/>
    <m/>
    <m/>
    <m/>
    <m/>
    <n v="212868"/>
    <n v="144750"/>
    <n v="25167"/>
    <n v="296600"/>
    <n v="61700"/>
    <n v="234900"/>
    <n v="0"/>
    <n v="0"/>
    <n v="89850.625589999996"/>
    <n v="-47929.131559187132"/>
    <n v="21557.329055999999"/>
    <n v="160472.20319"/>
    <n v="-11598.371226000001"/>
    <n v="46493.558354257002"/>
    <n v="0"/>
    <n v="0"/>
    <n v="3489.82742964"/>
    <n v="22752.132631200002"/>
    <n v="0"/>
    <n v="25200"/>
    <n v="243200"/>
    <n v="41900"/>
    <n v="310300"/>
    <n v="4.6190155091031693E-2"/>
    <n v="0.99970000000000003"/>
    <n v="1.0067999999999999"/>
    <n v="0.99729999999999996"/>
    <n v="1.0157"/>
    <n v="0.98909999999999998"/>
    <n v="0.94971499999999998"/>
    <n v="0.95800544533193577"/>
    <n v="243200"/>
    <n v="23900"/>
    <n v="267100"/>
    <n v="39800"/>
    <n v="306900"/>
    <n v="0.13707960834397617"/>
    <n v="-0.35494327390599678"/>
    <n v="3.4726904922454484E-2"/>
  </r>
  <r>
    <n v="2025"/>
    <s v="18132214040    "/>
    <n v="-1.8971199848858813"/>
    <n v="0.15"/>
    <n v="6591"/>
    <s v="6"/>
    <s v="RES"/>
    <x v="0"/>
    <s v="11"/>
    <s v="259"/>
    <s v="TD"/>
    <s v="F+"/>
    <s v="AV"/>
    <x v="8"/>
    <n v="84"/>
    <n v="52"/>
    <n v="1940"/>
    <n v="1972"/>
    <n v="986"/>
    <m/>
    <n v="493"/>
    <n v="246"/>
    <n v="247"/>
    <m/>
    <n v="1233"/>
    <n v="1500"/>
    <n v="5"/>
    <m/>
    <m/>
    <m/>
    <m/>
    <m/>
    <m/>
    <m/>
    <n v="182929"/>
    <n v="124392"/>
    <n v="5605"/>
    <n v="255800"/>
    <n v="48400"/>
    <n v="207400"/>
    <n v="0"/>
    <n v="0"/>
    <n v="89850.625589999996"/>
    <n v="-60052.604136134301"/>
    <n v="0"/>
    <n v="160472.20319"/>
    <n v="-11598.371226000001"/>
    <n v="48716.948498721998"/>
    <n v="0"/>
    <n v="0"/>
    <n v="14337.374356770999"/>
    <n v="18960.110526"/>
    <n v="0"/>
    <n v="5600"/>
    <n v="230900"/>
    <n v="29800"/>
    <n v="266300"/>
    <n v="4.1047693510555122E-2"/>
    <n v="0.99970000000000003"/>
    <n v="0.99180000000000001"/>
    <n v="0.99729999999999996"/>
    <n v="1.0157"/>
    <n v="0.98909999999999998"/>
    <n v="0.94971499999999998"/>
    <n v="0.94373242022269987"/>
    <n v="230900"/>
    <n v="5300"/>
    <n v="236200"/>
    <n v="28300"/>
    <n v="264500"/>
    <n v="0.13886210221793635"/>
    <n v="-0.41528925619834711"/>
    <n v="3.4010946051602813E-2"/>
  </r>
  <r>
    <n v="2025"/>
    <s v="18132332511    "/>
    <n v="-2.0402208285265546"/>
    <n v="0.13"/>
    <m/>
    <s v="6"/>
    <s v="RES"/>
    <x v="0"/>
    <s v="11"/>
    <s v="259"/>
    <s v="CO"/>
    <s v="F+"/>
    <s v="AV"/>
    <x v="8"/>
    <n v="84"/>
    <n v="52"/>
    <n v="1940"/>
    <n v="1972"/>
    <n v="1016"/>
    <m/>
    <n v="1016"/>
    <n v="584"/>
    <n v="432"/>
    <m/>
    <n v="1448"/>
    <n v="1500"/>
    <n v="8"/>
    <m/>
    <m/>
    <m/>
    <m/>
    <m/>
    <m/>
    <m/>
    <n v="224344"/>
    <n v="152554"/>
    <n v="0"/>
    <n v="273700"/>
    <n v="43400"/>
    <n v="230300"/>
    <n v="0"/>
    <n v="0"/>
    <n v="89850.625589999996"/>
    <n v="-64582.406353792743"/>
    <n v="0"/>
    <n v="160472.20319"/>
    <n v="-11598.371226000001"/>
    <n v="50199.208595032003"/>
    <n v="0"/>
    <n v="0"/>
    <n v="29547.205570951999"/>
    <n v="30336.176841600001"/>
    <n v="0"/>
    <n v="0"/>
    <n v="259000"/>
    <n v="25300"/>
    <n v="284300"/>
    <n v="3.872853489221776E-2"/>
    <n v="0.99970000000000003"/>
    <n v="0.99180000000000001"/>
    <n v="0.99729999999999996"/>
    <n v="1.0157"/>
    <n v="0.98909999999999998"/>
    <n v="0.94971499999999998"/>
    <n v="0.94373242022269987"/>
    <n v="259000"/>
    <n v="0"/>
    <n v="259000"/>
    <n v="24000"/>
    <n v="283000"/>
    <n v="0.12462006079027356"/>
    <n v="-0.44700460829493088"/>
    <n v="3.3978808914870297E-2"/>
  </r>
  <r>
    <n v="2025"/>
    <s v="18132342481    "/>
    <n v="-1.7147984280919266"/>
    <n v="0.18"/>
    <n v="8007"/>
    <s v="6"/>
    <s v="RES"/>
    <x v="0"/>
    <s v="11"/>
    <s v="259"/>
    <s v="SL"/>
    <s v="G"/>
    <s v="FR"/>
    <x v="8"/>
    <n v="84"/>
    <n v="52"/>
    <n v="1940"/>
    <n v="1972"/>
    <n v="1510"/>
    <m/>
    <n v="680"/>
    <n v="0"/>
    <n v="680"/>
    <m/>
    <n v="2190"/>
    <n v="2500"/>
    <n v="8"/>
    <n v="400"/>
    <m/>
    <m/>
    <m/>
    <m/>
    <m/>
    <m/>
    <n v="438808"/>
    <n v="289613"/>
    <n v="0"/>
    <n v="314400"/>
    <n v="54700"/>
    <n v="259700"/>
    <n v="0"/>
    <n v="0"/>
    <n v="89850.625589999996"/>
    <n v="-54281.285314520763"/>
    <n v="44121.038090000002"/>
    <n v="133714.53821"/>
    <n v="-11598.371226000001"/>
    <n v="74607.091514269996"/>
    <n v="0"/>
    <n v="0"/>
    <n v="19775.68876796"/>
    <n v="30336.176841600001"/>
    <n v="0"/>
    <n v="0"/>
    <n v="291000"/>
    <n v="35600"/>
    <n v="326600"/>
    <n v="3.8804071246819338E-2"/>
    <n v="0.99970000000000003"/>
    <n v="0.98050000000000004"/>
    <n v="0.99329999999999996"/>
    <n v="0.98919999999999997"/>
    <n v="0.98909999999999998"/>
    <n v="0.94971499999999998"/>
    <n v="0.90499387607384885"/>
    <n v="291000"/>
    <n v="0"/>
    <n v="291000"/>
    <n v="33800"/>
    <n v="324800"/>
    <n v="0.12052368117058145"/>
    <n v="-0.38208409506398539"/>
    <n v="3.3078880407124679E-2"/>
  </r>
  <r>
    <n v="2025"/>
    <s v="18132243466    "/>
    <n v="-1.5606477482646683"/>
    <n v="0.21"/>
    <n v="9240"/>
    <s v="6"/>
    <s v="RES"/>
    <x v="0"/>
    <s v="11"/>
    <s v="259"/>
    <s v="TD"/>
    <s v="A"/>
    <s v="AV"/>
    <x v="8"/>
    <n v="84"/>
    <n v="52"/>
    <n v="1940"/>
    <n v="1972"/>
    <n v="1800"/>
    <m/>
    <n v="316"/>
    <n v="316"/>
    <m/>
    <m/>
    <n v="1800"/>
    <n v="2000"/>
    <n v="11"/>
    <m/>
    <m/>
    <m/>
    <m/>
    <m/>
    <m/>
    <m/>
    <n v="306898"/>
    <n v="208691"/>
    <n v="8403"/>
    <n v="345400"/>
    <n v="60100"/>
    <n v="285300"/>
    <n v="0"/>
    <n v="0"/>
    <n v="89850.625589999996"/>
    <n v="-49401.70477837498"/>
    <n v="21557.329055999999"/>
    <n v="160472.20319"/>
    <n v="-11598.371226000001"/>
    <n v="88935.605778600002"/>
    <n v="0"/>
    <n v="0"/>
    <n v="9189.8788980520003"/>
    <n v="41712.243157199999"/>
    <n v="0"/>
    <n v="8400"/>
    <n v="310300"/>
    <n v="40400"/>
    <n v="359100"/>
    <n v="3.9664157498552406E-2"/>
    <n v="0.99970000000000003"/>
    <n v="1.0067999999999999"/>
    <n v="0.99729999999999996"/>
    <n v="1.0093000000000001"/>
    <n v="0.98909999999999998"/>
    <n v="0.94971499999999998"/>
    <n v="0.95196898294134369"/>
    <n v="310300"/>
    <n v="8000"/>
    <n v="318300"/>
    <n v="38400"/>
    <n v="356700"/>
    <n v="0.1156677181913775"/>
    <n v="-0.36106489184692181"/>
    <n v="3.2715691951360738E-2"/>
  </r>
  <r>
    <n v="2025"/>
    <s v="18132241474    "/>
    <n v="-1.6094379124341003"/>
    <n v="0.2"/>
    <n v="8618"/>
    <s v="6"/>
    <s v="RES"/>
    <x v="0"/>
    <s v="11"/>
    <s v="259"/>
    <s v="TD"/>
    <s v="A+"/>
    <s v="AV"/>
    <x v="8"/>
    <n v="84"/>
    <n v="52"/>
    <n v="1940"/>
    <n v="1972"/>
    <n v="1263"/>
    <m/>
    <n v="935"/>
    <n v="467"/>
    <n v="468"/>
    <m/>
    <n v="1731"/>
    <n v="2000"/>
    <n v="8"/>
    <n v="231"/>
    <m/>
    <m/>
    <m/>
    <m/>
    <m/>
    <m/>
    <n v="329149"/>
    <n v="223821"/>
    <n v="0"/>
    <n v="324900"/>
    <n v="58400"/>
    <n v="266500"/>
    <n v="0"/>
    <n v="0"/>
    <n v="89850.625589999996"/>
    <n v="-50946.13867709865"/>
    <n v="29814.093161000001"/>
    <n v="160472.20319"/>
    <n v="-11598.371226000001"/>
    <n v="62403.150054651"/>
    <n v="0"/>
    <n v="0"/>
    <n v="27191.572055944998"/>
    <n v="30336.176841600001"/>
    <n v="0"/>
    <n v="0"/>
    <n v="298600"/>
    <n v="38900"/>
    <n v="337500"/>
    <n v="3.8781163434903045E-2"/>
    <n v="0.99970000000000003"/>
    <n v="1.0088999999999999"/>
    <n v="0.99729999999999996"/>
    <n v="1.0093000000000001"/>
    <n v="0.98909999999999998"/>
    <n v="0.94971499999999998"/>
    <n v="0.95395461550409388"/>
    <n v="298600"/>
    <n v="0"/>
    <n v="298600"/>
    <n v="36900"/>
    <n v="335500"/>
    <n v="0.12045028142589118"/>
    <n v="-0.36815068493150682"/>
    <n v="3.2625423207140659E-2"/>
  </r>
  <r>
    <n v="2025"/>
    <s v="18132323005    "/>
    <n v="-1.5141277326297755"/>
    <n v="0.22"/>
    <n v="9750"/>
    <s v="6"/>
    <s v="RES"/>
    <x v="0"/>
    <s v="11"/>
    <s v="259"/>
    <s v="FH"/>
    <s v="A"/>
    <s v="AV"/>
    <x v="8"/>
    <n v="84"/>
    <n v="52"/>
    <n v="1940"/>
    <n v="1972"/>
    <n v="684"/>
    <n v="414"/>
    <n v="480"/>
    <n v="0"/>
    <n v="480"/>
    <m/>
    <n v="1578"/>
    <n v="2000"/>
    <n v="7"/>
    <m/>
    <m/>
    <m/>
    <m/>
    <m/>
    <m/>
    <m/>
    <n v="212479"/>
    <n v="144486"/>
    <n v="0"/>
    <n v="293800"/>
    <n v="61700"/>
    <n v="232100"/>
    <n v="0"/>
    <n v="0"/>
    <n v="89850.625589999996"/>
    <n v="-47929.131559187132"/>
    <n v="21557.329055999999"/>
    <n v="160472.20319"/>
    <n v="-11598.371226000001"/>
    <n v="33795.530195867999"/>
    <n v="18541.579064453999"/>
    <n v="0"/>
    <n v="13959.30971856"/>
    <n v="26544.1547364"/>
    <n v="0"/>
    <n v="0"/>
    <n v="263300"/>
    <n v="41900"/>
    <n v="305200"/>
    <n v="3.880190605854323E-2"/>
    <n v="0.99970000000000003"/>
    <n v="1.0067999999999999"/>
    <n v="0.99729999999999996"/>
    <n v="1.0093000000000001"/>
    <n v="0.98909999999999998"/>
    <n v="0.94971499999999998"/>
    <n v="0.95196898294134369"/>
    <n v="263300"/>
    <n v="0"/>
    <n v="263300"/>
    <n v="39800"/>
    <n v="303100"/>
    <n v="0.13442481688927185"/>
    <n v="-0.35494327390599678"/>
    <n v="3.165418652144316E-2"/>
  </r>
  <r>
    <n v="2025"/>
    <s v="18132214020    "/>
    <n v="-1.9661128563728327"/>
    <n v="0.14000000000000001"/>
    <n v="5910"/>
    <s v="6"/>
    <s v="RES"/>
    <x v="0"/>
    <s v="11"/>
    <s v="259"/>
    <s v="TD"/>
    <s v="A"/>
    <s v="AV"/>
    <x v="8"/>
    <n v="84"/>
    <n v="52"/>
    <n v="1940"/>
    <n v="1972"/>
    <n v="862"/>
    <m/>
    <n v="862"/>
    <n v="0"/>
    <n v="862"/>
    <m/>
    <n v="1724"/>
    <n v="2000"/>
    <n v="8"/>
    <m/>
    <m/>
    <m/>
    <m/>
    <m/>
    <m/>
    <m/>
    <n v="218787"/>
    <n v="148775"/>
    <n v="6050"/>
    <n v="291100"/>
    <n v="46000"/>
    <n v="245100"/>
    <n v="0"/>
    <n v="0"/>
    <n v="89850.625589999996"/>
    <n v="-62236.546971921947"/>
    <n v="21557.329055999999"/>
    <n v="160472.20319"/>
    <n v="-11598.371226000001"/>
    <n v="42590.273433973998"/>
    <n v="0"/>
    <n v="0"/>
    <n v="25068.593702914"/>
    <n v="30336.176841600001"/>
    <n v="0"/>
    <n v="6100"/>
    <n v="268400"/>
    <n v="27600"/>
    <n v="302100"/>
    <n v="3.7787701820680177E-2"/>
    <n v="0.99970000000000003"/>
    <n v="1.0067999999999999"/>
    <n v="0.99729999999999996"/>
    <n v="1.0093000000000001"/>
    <n v="0.98909999999999998"/>
    <n v="0.94971499999999998"/>
    <n v="0.95196898294134369"/>
    <n v="268400"/>
    <n v="5700"/>
    <n v="274100"/>
    <n v="26200"/>
    <n v="300300"/>
    <n v="0.11831905344757242"/>
    <n v="-0.43043478260869567"/>
    <n v="3.1604259704568878E-2"/>
  </r>
  <r>
    <n v="2025"/>
    <s v="18132324543    "/>
    <n v="-1.7147984280919266"/>
    <n v="0.18"/>
    <n v="7700"/>
    <s v="6"/>
    <s v="RES"/>
    <x v="0"/>
    <s v="11"/>
    <s v="259"/>
    <s v="TD"/>
    <s v="A"/>
    <s v="FR"/>
    <x v="8"/>
    <n v="84"/>
    <n v="52"/>
    <n v="1940"/>
    <n v="1972"/>
    <n v="1061"/>
    <m/>
    <n v="1061"/>
    <n v="0"/>
    <n v="1061"/>
    <m/>
    <n v="2122"/>
    <n v="2500"/>
    <n v="7"/>
    <m/>
    <m/>
    <m/>
    <m/>
    <m/>
    <m/>
    <m/>
    <n v="278036"/>
    <n v="183504"/>
    <n v="0"/>
    <n v="278700"/>
    <n v="54700"/>
    <n v="224000"/>
    <n v="0"/>
    <n v="0"/>
    <n v="89850.625589999996"/>
    <n v="-54281.285314520763"/>
    <n v="21557.329055999999"/>
    <n v="133714.53821"/>
    <n v="-11598.371226000001"/>
    <n v="52422.598739497"/>
    <n v="0"/>
    <n v="0"/>
    <n v="30855.890857066999"/>
    <n v="26544.1547364"/>
    <n v="0"/>
    <n v="0"/>
    <n v="253500"/>
    <n v="35600"/>
    <n v="289100"/>
    <n v="3.7316110513096516E-2"/>
    <n v="0.99970000000000003"/>
    <n v="1.0067999999999999"/>
    <n v="0.99329999999999996"/>
    <n v="0.98919999999999997"/>
    <n v="0.98909999999999998"/>
    <n v="0.94971499999999998"/>
    <n v="0.92926857157690035"/>
    <n v="253500"/>
    <n v="0"/>
    <n v="253500"/>
    <n v="33800"/>
    <n v="287300"/>
    <n v="0.13169642857142858"/>
    <n v="-0.38208409506398539"/>
    <n v="3.0857552924291352E-2"/>
  </r>
  <r>
    <n v="2025"/>
    <s v="18132342487    "/>
    <n v="-1.4696759700589417"/>
    <n v="0.23"/>
    <n v="10129"/>
    <s v="6"/>
    <s v="RES"/>
    <x v="0"/>
    <s v="11"/>
    <s v="259"/>
    <s v="CC"/>
    <s v="G"/>
    <s v="AV"/>
    <x v="8"/>
    <n v="84"/>
    <n v="52"/>
    <n v="1940"/>
    <n v="1972"/>
    <n v="915"/>
    <n v="686"/>
    <n v="609"/>
    <n v="59"/>
    <n v="550"/>
    <m/>
    <n v="2151"/>
    <n v="2500"/>
    <n v="8"/>
    <n v="609"/>
    <m/>
    <m/>
    <m/>
    <m/>
    <m/>
    <m/>
    <n v="425760"/>
    <n v="289517"/>
    <n v="0"/>
    <n v="347600"/>
    <n v="63300"/>
    <n v="284300"/>
    <n v="0"/>
    <n v="0"/>
    <n v="89850.625589999996"/>
    <n v="-46522.028095997222"/>
    <n v="44121.038090000002"/>
    <n v="160472.20319"/>
    <n v="-11598.371226000001"/>
    <n v="45208.932937455"/>
    <n v="30723.486082645999"/>
    <n v="0"/>
    <n v="17710.874205422999"/>
    <n v="30336.176841600001"/>
    <n v="0"/>
    <n v="0"/>
    <n v="317000"/>
    <n v="43300"/>
    <n v="360300"/>
    <n v="3.6536248561565017E-2"/>
    <n v="0.99970000000000003"/>
    <n v="0.98050000000000004"/>
    <n v="0.99729999999999996"/>
    <n v="0.98919999999999997"/>
    <n v="0.98909999999999998"/>
    <n v="0.94971499999999998"/>
    <n v="0.9086382690108219"/>
    <n v="317000"/>
    <n v="0"/>
    <n v="317000"/>
    <n v="41100"/>
    <n v="358100"/>
    <n v="0.11501934576151952"/>
    <n v="-0.35071090047393366"/>
    <n v="3.0207134637514385E-2"/>
  </r>
  <r>
    <n v="2025"/>
    <s v="18132324006    "/>
    <n v="-1.8325814637483102"/>
    <n v="0.16"/>
    <n v="6997"/>
    <s v="6"/>
    <s v="RES"/>
    <x v="0"/>
    <s v="11"/>
    <s v="259"/>
    <s v="TD"/>
    <s v="A+"/>
    <s v="AV"/>
    <x v="8"/>
    <n v="84"/>
    <n v="52"/>
    <n v="1940"/>
    <n v="1972"/>
    <n v="1148"/>
    <m/>
    <n v="1148"/>
    <n v="574"/>
    <n v="574"/>
    <m/>
    <n v="1722"/>
    <n v="2000"/>
    <n v="9"/>
    <m/>
    <m/>
    <m/>
    <m/>
    <m/>
    <m/>
    <m/>
    <n v="316345"/>
    <n v="215115"/>
    <n v="1777"/>
    <n v="325000"/>
    <n v="50600"/>
    <n v="274400"/>
    <n v="0"/>
    <n v="0"/>
    <n v="89850.625589999996"/>
    <n v="-58009.662049032086"/>
    <n v="29814.093161000001"/>
    <n v="160472.20319"/>
    <n v="-11598.371226000001"/>
    <n v="56721.153018796002"/>
    <n v="0"/>
    <n v="0"/>
    <n v="33386.015743555996"/>
    <n v="34128.198946800003"/>
    <n v="0"/>
    <n v="1800"/>
    <n v="302900"/>
    <n v="31800"/>
    <n v="336500"/>
    <n v="3.5384615384615382E-2"/>
    <n v="0.99970000000000003"/>
    <n v="1.0088999999999999"/>
    <n v="0.99729999999999996"/>
    <n v="1.0093000000000001"/>
    <n v="0.98909999999999998"/>
    <n v="0.94971499999999998"/>
    <n v="0.95395461550409388"/>
    <n v="302900"/>
    <n v="1700"/>
    <n v="304600"/>
    <n v="30200"/>
    <n v="334800"/>
    <n v="0.11005830903790087"/>
    <n v="-0.40316205533596838"/>
    <n v="3.0153846153846153E-2"/>
  </r>
  <r>
    <n v="2025"/>
    <s v="18132313523    "/>
    <n v="-1.4271163556401458"/>
    <n v="0.24"/>
    <n v="10325"/>
    <s v="6"/>
    <s v="RES"/>
    <x v="0"/>
    <s v="11"/>
    <s v="259"/>
    <s v="RN"/>
    <s v="G"/>
    <s v="AV"/>
    <x v="8"/>
    <n v="84"/>
    <n v="52"/>
    <n v="1940"/>
    <n v="1972"/>
    <n v="1624"/>
    <m/>
    <m/>
    <n v="0"/>
    <m/>
    <m/>
    <n v="1624"/>
    <n v="2000"/>
    <n v="7"/>
    <m/>
    <m/>
    <m/>
    <m/>
    <m/>
    <m/>
    <m/>
    <n v="382363"/>
    <n v="260007"/>
    <n v="11438"/>
    <n v="343500"/>
    <n v="64800"/>
    <n v="278700"/>
    <n v="0"/>
    <n v="0"/>
    <n v="89850.625589999996"/>
    <n v="-45174.819855485119"/>
    <n v="44121.038090000002"/>
    <n v="160472.20319"/>
    <n v="-11598.371226000001"/>
    <n v="80239.679880248004"/>
    <n v="0"/>
    <n v="0"/>
    <n v="0"/>
    <n v="26544.1547364"/>
    <n v="0"/>
    <n v="11400"/>
    <n v="299800"/>
    <n v="44700"/>
    <n v="355900"/>
    <n v="3.6098981077147013E-2"/>
    <n v="0.99970000000000003"/>
    <n v="0.98050000000000004"/>
    <n v="0.99729999999999996"/>
    <n v="1.0093000000000001"/>
    <n v="0.98909999999999998"/>
    <n v="0.94971499999999998"/>
    <n v="0.92710129894118753"/>
    <n v="299800"/>
    <n v="10900"/>
    <n v="310700"/>
    <n v="42400"/>
    <n v="353100"/>
    <n v="0.11481880157875853"/>
    <n v="-0.34567901234567899"/>
    <n v="2.794759825327511E-2"/>
  </r>
  <r>
    <n v="2025"/>
    <s v="18132243420    "/>
    <n v="-1.6094379124341003"/>
    <n v="0.2"/>
    <n v="8680"/>
    <s v="6"/>
    <s v="RES"/>
    <x v="0"/>
    <s v="11"/>
    <s v="259"/>
    <s v="CO"/>
    <s v="A"/>
    <s v="AV"/>
    <x v="8"/>
    <n v="84"/>
    <n v="52"/>
    <n v="1940"/>
    <n v="1972"/>
    <n v="1058"/>
    <n v="553"/>
    <n v="1107"/>
    <n v="0"/>
    <n v="1107"/>
    <m/>
    <n v="2718"/>
    <n v="3000"/>
    <n v="5"/>
    <m/>
    <m/>
    <n v="182"/>
    <m/>
    <m/>
    <m/>
    <m/>
    <n v="329130"/>
    <n v="223808"/>
    <n v="9708"/>
    <n v="341300"/>
    <n v="58400"/>
    <n v="282900"/>
    <n v="0"/>
    <n v="0"/>
    <n v="89850.625589999996"/>
    <n v="-50946.13867709865"/>
    <n v="21557.329055999999"/>
    <n v="160472.20319"/>
    <n v="-11598.371226000001"/>
    <n v="52274.372729866001"/>
    <n v="24766.891842132998"/>
    <n v="0"/>
    <n v="32193.658038428999"/>
    <n v="18960.110526"/>
    <n v="6059.7837802320009"/>
    <n v="9700"/>
    <n v="304700"/>
    <n v="38900"/>
    <n v="353300"/>
    <n v="3.5159683562847932E-2"/>
    <n v="0.99970000000000003"/>
    <n v="1.0067999999999999"/>
    <n v="0.99729999999999996"/>
    <n v="0.96179999999999999"/>
    <n v="0.98909999999999998"/>
    <n v="0.94971499999999998"/>
    <n v="0.90716711363616798"/>
    <n v="304700"/>
    <n v="9200"/>
    <n v="313900"/>
    <n v="36900"/>
    <n v="350800"/>
    <n v="0.10957935666313184"/>
    <n v="-0.36815068493150682"/>
    <n v="2.7834749487254614E-2"/>
  </r>
  <r>
    <n v="2025"/>
    <s v="18132342511    "/>
    <n v="-1.7147984280919266"/>
    <n v="0.18"/>
    <m/>
    <s v="6"/>
    <s v="RES"/>
    <x v="0"/>
    <s v="11"/>
    <s v="259"/>
    <s v="TD"/>
    <s v="G"/>
    <s v="GD"/>
    <x v="8"/>
    <n v="84"/>
    <n v="52"/>
    <n v="1940"/>
    <n v="1972"/>
    <n v="1498"/>
    <m/>
    <n v="1498"/>
    <n v="0"/>
    <n v="1498"/>
    <m/>
    <n v="2996"/>
    <n v="3000"/>
    <n v="9"/>
    <m/>
    <m/>
    <m/>
    <m/>
    <m/>
    <m/>
    <m/>
    <n v="519145"/>
    <n v="363402"/>
    <n v="40355"/>
    <n v="442200"/>
    <n v="54700"/>
    <n v="387500"/>
    <n v="0"/>
    <n v="0"/>
    <n v="89850.625589999996"/>
    <n v="-54281.285314520763"/>
    <n v="44121.038090000002"/>
    <n v="197752.34721000001"/>
    <n v="-11598.371226000001"/>
    <n v="74014.187475746003"/>
    <n v="0"/>
    <n v="0"/>
    <n v="43564.679080005997"/>
    <n v="34128.198946800003"/>
    <n v="0"/>
    <n v="40400"/>
    <n v="382000"/>
    <n v="35600"/>
    <n v="458000"/>
    <n v="3.5730438715513339E-2"/>
    <n v="0.99970000000000003"/>
    <n v="0.98050000000000004"/>
    <n v="0.99650000000000005"/>
    <n v="0.96179999999999999"/>
    <n v="0.98909999999999998"/>
    <n v="0.94971499999999998"/>
    <n v="0.88276107127906644"/>
    <n v="382000"/>
    <n v="38300"/>
    <n v="420300"/>
    <n v="33800"/>
    <n v="454100"/>
    <n v="8.4645161290322582E-2"/>
    <n v="-0.38208409506398539"/>
    <n v="2.6910900045228402E-2"/>
  </r>
  <r>
    <n v="2025"/>
    <s v="18132214455    "/>
    <n v="-1.6094379124341003"/>
    <n v="0.2"/>
    <n v="8739"/>
    <s v="6"/>
    <s v="RES"/>
    <x v="0"/>
    <s v="11"/>
    <s v="259"/>
    <s v="TD"/>
    <s v="F+"/>
    <s v="AV"/>
    <x v="8"/>
    <n v="84"/>
    <n v="52"/>
    <n v="1940"/>
    <n v="1972"/>
    <n v="871"/>
    <m/>
    <n v="871"/>
    <n v="435"/>
    <n v="436"/>
    <m/>
    <n v="1307"/>
    <n v="1500"/>
    <n v="5"/>
    <m/>
    <m/>
    <n v="35"/>
    <m/>
    <m/>
    <m/>
    <m/>
    <n v="205929"/>
    <n v="140032"/>
    <n v="5831"/>
    <n v="272500"/>
    <n v="58400"/>
    <n v="214100"/>
    <n v="0"/>
    <n v="0"/>
    <n v="89850.625589999996"/>
    <n v="-50946.13867709865"/>
    <n v="0"/>
    <n v="160472.20319"/>
    <n v="-11598.371226000001"/>
    <n v="43034.951462867"/>
    <n v="0"/>
    <n v="0"/>
    <n v="25330.330760137"/>
    <n v="18960.110526"/>
    <n v="1165.3430346600001"/>
    <n v="5800"/>
    <n v="237400"/>
    <n v="38900"/>
    <n v="282100"/>
    <n v="3.5229357798165141E-2"/>
    <n v="0.99970000000000003"/>
    <n v="0.99180000000000001"/>
    <n v="0.99729999999999996"/>
    <n v="1.0157"/>
    <n v="0.98909999999999998"/>
    <n v="0.94971499999999998"/>
    <n v="0.94373242022269987"/>
    <n v="237400"/>
    <n v="5500"/>
    <n v="242900"/>
    <n v="36900"/>
    <n v="279800"/>
    <n v="0.13451658103689865"/>
    <n v="-0.36815068493150682"/>
    <n v="2.6788990825688072E-2"/>
  </r>
  <r>
    <n v="2025"/>
    <s v="18132334510    "/>
    <n v="-1.9661128563728327"/>
    <n v="0.14000000000000001"/>
    <m/>
    <s v="6"/>
    <s v="RES"/>
    <x v="0"/>
    <s v="11"/>
    <s v="259"/>
    <s v="TD"/>
    <s v="A"/>
    <s v="AV"/>
    <x v="8"/>
    <n v="84"/>
    <n v="52"/>
    <n v="1940"/>
    <n v="1972"/>
    <n v="944"/>
    <m/>
    <n v="944"/>
    <n v="0"/>
    <n v="944"/>
    <m/>
    <n v="1888"/>
    <n v="2000"/>
    <n v="5"/>
    <m/>
    <m/>
    <m/>
    <m/>
    <m/>
    <m/>
    <m/>
    <n v="248330"/>
    <n v="168864"/>
    <n v="6724"/>
    <n v="288800"/>
    <n v="46000"/>
    <n v="242800"/>
    <n v="0"/>
    <n v="0"/>
    <n v="89850.625589999996"/>
    <n v="-62236.546971921947"/>
    <n v="21557.329055999999"/>
    <n v="160472.20319"/>
    <n v="-11598.371226000001"/>
    <n v="46641.784363888"/>
    <n v="0"/>
    <n v="0"/>
    <n v="27453.309113167998"/>
    <n v="18960.110526"/>
    <n v="0"/>
    <n v="6700"/>
    <n v="263500"/>
    <n v="27600"/>
    <n v="297800"/>
    <n v="3.1163434903047092E-2"/>
    <n v="0.99970000000000003"/>
    <n v="1.0067999999999999"/>
    <n v="0.99729999999999996"/>
    <n v="1.0093000000000001"/>
    <n v="0.98909999999999998"/>
    <n v="0.94971499999999998"/>
    <n v="0.95196898294134369"/>
    <n v="263500"/>
    <n v="6400"/>
    <n v="269900"/>
    <n v="26200"/>
    <n v="296100"/>
    <n v="0.11161449752883032"/>
    <n v="-0.43043478260869567"/>
    <n v="2.5277008310249309E-2"/>
  </r>
  <r>
    <n v="2025"/>
    <s v="18132334478    "/>
    <n v="-1.7719568419318752"/>
    <n v="0.17"/>
    <m/>
    <s v="6"/>
    <s v="RES"/>
    <x v="0"/>
    <s v="11"/>
    <s v="259"/>
    <s v="TD"/>
    <s v="A"/>
    <s v="AV"/>
    <x v="8"/>
    <n v="84"/>
    <n v="52"/>
    <n v="1940"/>
    <n v="1972"/>
    <n v="861"/>
    <m/>
    <n v="861"/>
    <n v="0"/>
    <n v="861"/>
    <m/>
    <n v="1722"/>
    <n v="2000"/>
    <n v="5"/>
    <m/>
    <m/>
    <m/>
    <m/>
    <m/>
    <m/>
    <m/>
    <n v="219060"/>
    <n v="148961"/>
    <n v="5168"/>
    <n v="286900"/>
    <n v="52700"/>
    <n v="234200"/>
    <n v="0"/>
    <n v="0"/>
    <n v="89850.625589999996"/>
    <n v="-56090.612940989391"/>
    <n v="21557.329055999999"/>
    <n v="160472.20319"/>
    <n v="-11598.371226000001"/>
    <n v="42540.864764097001"/>
    <n v="0"/>
    <n v="0"/>
    <n v="25039.511807666997"/>
    <n v="18960.110526"/>
    <n v="0"/>
    <n v="5200"/>
    <n v="257000"/>
    <n v="33800"/>
    <n v="296000"/>
    <n v="3.1718368769606133E-2"/>
    <n v="0.99970000000000003"/>
    <n v="1.0067999999999999"/>
    <n v="0.99729999999999996"/>
    <n v="1.0093000000000001"/>
    <n v="0.98909999999999998"/>
    <n v="0.94971499999999998"/>
    <n v="0.95196898294134369"/>
    <n v="257000"/>
    <n v="4900"/>
    <n v="261900"/>
    <n v="32100"/>
    <n v="294000"/>
    <n v="0.11827497865072588"/>
    <n v="-0.39089184060721061"/>
    <n v="2.4747298710352039E-2"/>
  </r>
  <r>
    <n v="2025"/>
    <s v="18132214016    "/>
    <n v="-1.8325814637483102"/>
    <n v="0.16"/>
    <n v="7005"/>
    <s v="6"/>
    <s v="RES"/>
    <x v="0"/>
    <s v="11"/>
    <s v="259"/>
    <s v="TD"/>
    <s v="A"/>
    <s v="AV"/>
    <x v="8"/>
    <n v="84"/>
    <n v="52"/>
    <n v="1940"/>
    <n v="1972"/>
    <n v="860"/>
    <m/>
    <n v="860"/>
    <n v="0"/>
    <n v="860"/>
    <m/>
    <n v="1720"/>
    <n v="2000"/>
    <n v="5"/>
    <m/>
    <m/>
    <n v="200"/>
    <m/>
    <m/>
    <m/>
    <m/>
    <n v="238611"/>
    <n v="162255"/>
    <n v="5261"/>
    <n v="291600"/>
    <n v="50600"/>
    <n v="241000"/>
    <n v="0"/>
    <n v="0"/>
    <n v="89850.625589999996"/>
    <n v="-58009.662049032086"/>
    <n v="21557.329055999999"/>
    <n v="160472.20319"/>
    <n v="-11598.371226000001"/>
    <n v="42491.456094220004"/>
    <n v="0"/>
    <n v="0"/>
    <n v="25010.429912419997"/>
    <n v="18960.110526"/>
    <n v="6659.1030552000011"/>
    <n v="5300"/>
    <n v="263600"/>
    <n v="31800"/>
    <n v="300700"/>
    <n v="3.1207133058984912E-2"/>
    <n v="0.99970000000000003"/>
    <n v="1.0067999999999999"/>
    <n v="0.99729999999999996"/>
    <n v="1.0093000000000001"/>
    <n v="0.98909999999999998"/>
    <n v="0.94971499999999998"/>
    <n v="0.95196898294134369"/>
    <n v="263600"/>
    <n v="5000"/>
    <n v="268600"/>
    <n v="30200"/>
    <n v="298800"/>
    <n v="0.11452282157676348"/>
    <n v="-0.40316205533596838"/>
    <n v="2.4691358024691357E-2"/>
  </r>
  <r>
    <n v="2025"/>
    <s v="18132324482    "/>
    <n v="-1.9661128563728327"/>
    <n v="0.14000000000000001"/>
    <m/>
    <s v="6"/>
    <s v="RES"/>
    <x v="0"/>
    <s v="11"/>
    <s v="259"/>
    <s v="TD"/>
    <s v="A"/>
    <s v="AV"/>
    <x v="8"/>
    <n v="84"/>
    <n v="52"/>
    <n v="1940"/>
    <n v="1972"/>
    <n v="997"/>
    <m/>
    <n v="997"/>
    <n v="0"/>
    <n v="997"/>
    <m/>
    <n v="1994"/>
    <n v="2000"/>
    <n v="8"/>
    <m/>
    <m/>
    <m/>
    <m/>
    <m/>
    <m/>
    <m/>
    <n v="250820"/>
    <n v="170558"/>
    <n v="5831"/>
    <n v="303300"/>
    <n v="46000"/>
    <n v="257300"/>
    <n v="0"/>
    <n v="0"/>
    <n v="89850.625589999996"/>
    <n v="-62236.546971921947"/>
    <n v="21557.329055999999"/>
    <n v="160472.20319"/>
    <n v="-11598.371226000001"/>
    <n v="49260.443867369002"/>
    <n v="0"/>
    <n v="0"/>
    <n v="28994.649561258997"/>
    <n v="30336.176841600001"/>
    <n v="0"/>
    <n v="5800"/>
    <n v="279000"/>
    <n v="27600"/>
    <n v="312400"/>
    <n v="3.0003297065611605E-2"/>
    <n v="0.99970000000000003"/>
    <n v="1.0067999999999999"/>
    <n v="0.99729999999999996"/>
    <n v="1.0093000000000001"/>
    <n v="0.98909999999999998"/>
    <n v="0.94971499999999998"/>
    <n v="0.95196898294134369"/>
    <n v="279000"/>
    <n v="5500"/>
    <n v="284500"/>
    <n v="26200"/>
    <n v="310700"/>
    <n v="0.10571317528177225"/>
    <n v="-0.43043478260869567"/>
    <n v="2.4398285525881965E-2"/>
  </r>
  <r>
    <n v="2025"/>
    <s v="18132332479    "/>
    <n v="-1.3862943611198906"/>
    <n v="0.25"/>
    <m/>
    <s v="6"/>
    <s v="RES"/>
    <x v="0"/>
    <s v="11"/>
    <s v="259"/>
    <s v="TD"/>
    <s v="A"/>
    <s v="AV"/>
    <x v="8"/>
    <n v="84"/>
    <n v="52"/>
    <n v="1940"/>
    <n v="1972"/>
    <n v="1547"/>
    <m/>
    <n v="1400"/>
    <n v="978"/>
    <n v="422"/>
    <m/>
    <n v="1969"/>
    <n v="2000"/>
    <n v="8"/>
    <n v="294"/>
    <m/>
    <m/>
    <m/>
    <m/>
    <m/>
    <m/>
    <n v="347267"/>
    <n v="236142"/>
    <n v="0"/>
    <n v="353000"/>
    <n v="66200"/>
    <n v="286800"/>
    <n v="0"/>
    <n v="0"/>
    <n v="89850.625589999996"/>
    <n v="-43882.615305165229"/>
    <n v="21557.329055999999"/>
    <n v="160472.20319"/>
    <n v="-11598.371226000001"/>
    <n v="76435.212299719002"/>
    <n v="0"/>
    <n v="0"/>
    <n v="40714.653345799998"/>
    <n v="30336.176841600001"/>
    <n v="0"/>
    <n v="0"/>
    <n v="317900"/>
    <n v="46000"/>
    <n v="363900"/>
    <n v="3.0878186968838525E-2"/>
    <n v="0.99970000000000003"/>
    <n v="1.0067999999999999"/>
    <n v="0.99729999999999996"/>
    <n v="1.0093000000000001"/>
    <n v="0.98909999999999998"/>
    <n v="0.94971499999999998"/>
    <n v="0.95196898294134369"/>
    <n v="317900"/>
    <n v="0"/>
    <n v="317900"/>
    <n v="43700"/>
    <n v="361600"/>
    <n v="0.10843793584379359"/>
    <n v="-0.33987915407854985"/>
    <n v="2.4362606232294616E-2"/>
  </r>
  <r>
    <n v="2025"/>
    <s v="18132243410    "/>
    <n v="-1.2378743560016174"/>
    <n v="0.28999999999999998"/>
    <n v="12710"/>
    <s v="6"/>
    <s v="RES"/>
    <x v="0"/>
    <s v="11"/>
    <s v="259"/>
    <s v="TD"/>
    <s v="A"/>
    <s v="AV"/>
    <x v="8"/>
    <n v="84"/>
    <n v="52"/>
    <n v="1940"/>
    <n v="1972"/>
    <n v="1163"/>
    <m/>
    <n v="1092"/>
    <n v="0"/>
    <n v="1092"/>
    <m/>
    <n v="2255"/>
    <n v="2500"/>
    <n v="8"/>
    <m/>
    <m/>
    <n v="208"/>
    <m/>
    <m/>
    <m/>
    <m/>
    <n v="286371"/>
    <n v="194732"/>
    <n v="6724"/>
    <n v="343200"/>
    <n v="71400"/>
    <n v="271800"/>
    <n v="0"/>
    <n v="0"/>
    <n v="89850.625589999996"/>
    <n v="-39184.437074869042"/>
    <n v="21557.329055999999"/>
    <n v="160472.20319"/>
    <n v="-11598.371226000001"/>
    <n v="57462.283066951"/>
    <n v="0"/>
    <n v="0"/>
    <n v="31757.429609723997"/>
    <n v="30336.176841600001"/>
    <n v="6925.4671774080007"/>
    <n v="6700"/>
    <n v="296900"/>
    <n v="50700"/>
    <n v="354300"/>
    <n v="3.2342657342657344E-2"/>
    <n v="0.99970000000000003"/>
    <n v="1.0067999999999999"/>
    <n v="0.99729999999999996"/>
    <n v="0.98919999999999997"/>
    <n v="0.98909999999999998"/>
    <n v="0.94971499999999998"/>
    <n v="0.93301071824589021"/>
    <n v="296900"/>
    <n v="6400"/>
    <n v="303300"/>
    <n v="48100"/>
    <n v="351400"/>
    <n v="0.11589403973509933"/>
    <n v="-0.32633053221288516"/>
    <n v="2.3892773892773892E-2"/>
  </r>
  <r>
    <n v="2025"/>
    <s v="18132334502    "/>
    <n v="-1.8971199848858813"/>
    <n v="0.15"/>
    <n v="6567"/>
    <s v="6"/>
    <s v="RES"/>
    <x v="0"/>
    <s v="11"/>
    <s v="259"/>
    <s v="TD"/>
    <s v="A"/>
    <s v="AV"/>
    <x v="8"/>
    <n v="84"/>
    <n v="52"/>
    <n v="1940"/>
    <n v="1972"/>
    <n v="982"/>
    <m/>
    <n v="754"/>
    <n v="0"/>
    <n v="754"/>
    <m/>
    <n v="1736"/>
    <n v="2000"/>
    <n v="8"/>
    <m/>
    <n v="228"/>
    <m/>
    <m/>
    <m/>
    <m/>
    <m/>
    <n v="247412"/>
    <n v="168240"/>
    <n v="0"/>
    <n v="292800"/>
    <n v="48400"/>
    <n v="244400"/>
    <n v="0"/>
    <n v="0"/>
    <n v="89850.625589999996"/>
    <n v="-60052.604136134301"/>
    <n v="21557.329055999999"/>
    <n v="160472.20319"/>
    <n v="-11598.371226000001"/>
    <n v="48519.313819214003"/>
    <n v="0"/>
    <n v="0"/>
    <n v="21927.749016237998"/>
    <n v="30336.176841600001"/>
    <n v="0"/>
    <n v="0"/>
    <n v="271200"/>
    <n v="29800"/>
    <n v="301000"/>
    <n v="2.8005464480874317E-2"/>
    <n v="0.99970000000000003"/>
    <n v="1.0067999999999999"/>
    <n v="0.99729999999999996"/>
    <n v="1.0093000000000001"/>
    <n v="0.98909999999999998"/>
    <n v="0.94971499999999998"/>
    <n v="0.95196898294134369"/>
    <n v="271200"/>
    <n v="0"/>
    <n v="271200"/>
    <n v="28300"/>
    <n v="299500"/>
    <n v="0.10965630114566285"/>
    <n v="-0.41528925619834711"/>
    <n v="2.2882513661202187E-2"/>
  </r>
  <r>
    <n v="2025"/>
    <s v="18132334497    "/>
    <n v="-1.8971199848858813"/>
    <n v="0.15"/>
    <m/>
    <s v="6"/>
    <s v="RES"/>
    <x v="0"/>
    <s v="11"/>
    <s v="259"/>
    <s v="TD"/>
    <s v="A"/>
    <s v="AV"/>
    <x v="8"/>
    <n v="84"/>
    <n v="52"/>
    <n v="1940"/>
    <n v="1972"/>
    <n v="1033"/>
    <m/>
    <n v="1033"/>
    <n v="201"/>
    <n v="832"/>
    <m/>
    <n v="1865"/>
    <n v="2000"/>
    <n v="8"/>
    <m/>
    <m/>
    <m/>
    <m/>
    <m/>
    <m/>
    <m/>
    <n v="268037"/>
    <n v="182265"/>
    <n v="7465"/>
    <n v="310300"/>
    <n v="48400"/>
    <n v="261900"/>
    <n v="0"/>
    <n v="0"/>
    <n v="89850.625589999996"/>
    <n v="-60052.604136134301"/>
    <n v="21557.329055999999"/>
    <n v="160472.20319"/>
    <n v="-11598.371226000001"/>
    <n v="51039.155982941003"/>
    <n v="0"/>
    <n v="0"/>
    <n v="30041.597790150998"/>
    <n v="30336.176841600001"/>
    <n v="0"/>
    <n v="7500"/>
    <n v="281800"/>
    <n v="29800"/>
    <n v="319100"/>
    <n v="2.8359651949726072E-2"/>
    <n v="0.99970000000000003"/>
    <n v="1.0067999999999999"/>
    <n v="0.99729999999999996"/>
    <n v="1.0093000000000001"/>
    <n v="0.98909999999999998"/>
    <n v="0.94971499999999998"/>
    <n v="0.95196898294134369"/>
    <n v="281800"/>
    <n v="7100"/>
    <n v="288900"/>
    <n v="28300"/>
    <n v="317200"/>
    <n v="0.10309278350515463"/>
    <n v="-0.41528925619834711"/>
    <n v="2.2236545278762489E-2"/>
  </r>
  <r>
    <n v="2025"/>
    <s v="18132213045    "/>
    <n v="-1.6094379124341003"/>
    <n v="0.2"/>
    <n v="8741"/>
    <s v="6"/>
    <s v="RES"/>
    <x v="0"/>
    <s v="11"/>
    <s v="259"/>
    <s v="CO"/>
    <s v="A"/>
    <s v="AV"/>
    <x v="8"/>
    <n v="84"/>
    <n v="52"/>
    <n v="1940"/>
    <n v="1972"/>
    <n v="1305"/>
    <n v="600"/>
    <n v="1305"/>
    <n v="330"/>
    <n v="975"/>
    <m/>
    <n v="2880"/>
    <n v="3000"/>
    <n v="10"/>
    <m/>
    <m/>
    <m/>
    <m/>
    <m/>
    <m/>
    <m/>
    <n v="365960"/>
    <n v="248853"/>
    <n v="9004"/>
    <n v="375200"/>
    <n v="58400"/>
    <n v="316800"/>
    <n v="0"/>
    <n v="0"/>
    <n v="89850.625589999996"/>
    <n v="-50946.13867709865"/>
    <n v="21557.329055999999"/>
    <n v="160472.20319"/>
    <n v="-11598.371226000001"/>
    <n v="64478.314189485005"/>
    <n v="26871.853716599999"/>
    <n v="0"/>
    <n v="37951.873297334998"/>
    <n v="37920.221052000001"/>
    <n v="0"/>
    <n v="9000"/>
    <n v="337700"/>
    <n v="38900"/>
    <n v="385600"/>
    <n v="2.7718550106609809E-2"/>
    <n v="0.99970000000000003"/>
    <n v="1.0067999999999999"/>
    <n v="0.99729999999999996"/>
    <n v="0.96179999999999999"/>
    <n v="0.98909999999999998"/>
    <n v="0.94971499999999998"/>
    <n v="0.90716711363616798"/>
    <n v="337700"/>
    <n v="8600"/>
    <n v="346300"/>
    <n v="36900"/>
    <n v="383200"/>
    <n v="9.3118686868686865E-2"/>
    <n v="-0.36815068493150682"/>
    <n v="2.1321961620469083E-2"/>
  </r>
  <r>
    <n v="2025"/>
    <s v="18132244438    "/>
    <n v="-1.1394342831883648"/>
    <n v="0.32"/>
    <n v="14000"/>
    <s v="6"/>
    <s v="RES"/>
    <x v="0"/>
    <s v="11"/>
    <s v="259"/>
    <s v="TD"/>
    <s v="A+"/>
    <s v="AV"/>
    <x v="8"/>
    <n v="84"/>
    <n v="52"/>
    <n v="1940"/>
    <n v="1972"/>
    <n v="1442"/>
    <m/>
    <m/>
    <n v="0"/>
    <m/>
    <m/>
    <n v="1442"/>
    <n v="1500"/>
    <n v="8"/>
    <m/>
    <m/>
    <m/>
    <m/>
    <m/>
    <m/>
    <m/>
    <n v="300637"/>
    <n v="204433"/>
    <n v="0"/>
    <n v="324600"/>
    <n v="74800"/>
    <n v="249800"/>
    <n v="0"/>
    <n v="0"/>
    <n v="89850.625589999996"/>
    <n v="-36068.354396449467"/>
    <n v="29814.093161000001"/>
    <n v="160472.20319"/>
    <n v="-11598.371226000001"/>
    <n v="71247.301962633996"/>
    <n v="0"/>
    <n v="0"/>
    <n v="0"/>
    <n v="30336.176841600001"/>
    <n v="0"/>
    <n v="0"/>
    <n v="280300"/>
    <n v="53800"/>
    <n v="334100"/>
    <n v="2.9266789895255701E-2"/>
    <n v="0.99970000000000003"/>
    <n v="1.0088999999999999"/>
    <n v="0.99729999999999996"/>
    <n v="1.0157"/>
    <n v="0.98909999999999998"/>
    <n v="0.94971499999999998"/>
    <n v="0.96000366884722899"/>
    <n v="280300"/>
    <n v="0"/>
    <n v="280300"/>
    <n v="51100"/>
    <n v="331400"/>
    <n v="0.12209767814251402"/>
    <n v="-0.31684491978609625"/>
    <n v="2.0948860135551448E-2"/>
  </r>
  <r>
    <n v="2025"/>
    <s v="18132324018    "/>
    <n v="-1.5606477482646683"/>
    <n v="0.21"/>
    <m/>
    <s v="6"/>
    <s v="RES"/>
    <x v="0"/>
    <s v="11"/>
    <s v="259"/>
    <s v="RN"/>
    <s v="A"/>
    <s v="AV"/>
    <x v="8"/>
    <n v="84"/>
    <n v="52"/>
    <n v="1940"/>
    <n v="1972"/>
    <n v="1078"/>
    <m/>
    <n v="1078"/>
    <n v="0"/>
    <n v="1078"/>
    <m/>
    <n v="2156"/>
    <n v="2500"/>
    <n v="5"/>
    <m/>
    <m/>
    <n v="172"/>
    <m/>
    <m/>
    <m/>
    <m/>
    <n v="286656"/>
    <n v="194926"/>
    <n v="9766"/>
    <n v="320700"/>
    <n v="60100"/>
    <n v="260600"/>
    <n v="0"/>
    <n v="0"/>
    <n v="89850.625589999996"/>
    <n v="-49401.70477837498"/>
    <n v="21557.329055999999"/>
    <n v="160472.20319"/>
    <n v="-11598.371226000001"/>
    <n v="53262.546127406"/>
    <n v="0"/>
    <n v="0"/>
    <n v="31350.283076265998"/>
    <n v="18960.110526"/>
    <n v="5726.8286274720003"/>
    <n v="9800"/>
    <n v="279700"/>
    <n v="40400"/>
    <n v="329900"/>
    <n v="2.8687246647957593E-2"/>
    <n v="0.99970000000000003"/>
    <n v="1.0067999999999999"/>
    <n v="0.99729999999999996"/>
    <n v="0.98919999999999997"/>
    <n v="0.98909999999999998"/>
    <n v="0.94971499999999998"/>
    <n v="0.93301071824589021"/>
    <n v="279700"/>
    <n v="9300"/>
    <n v="289000"/>
    <n v="38400"/>
    <n v="327400"/>
    <n v="0.10897927858787414"/>
    <n v="-0.36106489184692181"/>
    <n v="2.0891799189273464E-2"/>
  </r>
  <r>
    <n v="2025"/>
    <s v="18132214473    "/>
    <n v="-1.1711829815029451"/>
    <n v="0.31"/>
    <n v="13573"/>
    <s v="6"/>
    <s v="RES"/>
    <x v="0"/>
    <s v="11"/>
    <s v="259"/>
    <s v="TD"/>
    <s v="F+"/>
    <s v="AV"/>
    <x v="8"/>
    <n v="84"/>
    <n v="52"/>
    <n v="1940"/>
    <n v="1972"/>
    <n v="971"/>
    <m/>
    <m/>
    <n v="0"/>
    <m/>
    <m/>
    <n v="971"/>
    <n v="1000"/>
    <n v="5"/>
    <m/>
    <m/>
    <m/>
    <m/>
    <m/>
    <m/>
    <m/>
    <n v="154576"/>
    <n v="105112"/>
    <n v="4598"/>
    <n v="264900"/>
    <n v="73700"/>
    <n v="191200"/>
    <n v="0"/>
    <n v="0"/>
    <n v="89850.625589999996"/>
    <n v="-37073.347241874442"/>
    <n v="0"/>
    <n v="160472.20319"/>
    <n v="-11598.371226000001"/>
    <n v="47975.818450567"/>
    <n v="0"/>
    <n v="0"/>
    <n v="0"/>
    <n v="18960.110526"/>
    <n v="0"/>
    <n v="4600"/>
    <n v="215800"/>
    <n v="52800"/>
    <n v="273200"/>
    <n v="3.1332578331445829E-2"/>
    <n v="0.99970000000000003"/>
    <n v="0.99180000000000001"/>
    <n v="0.99729999999999996"/>
    <n v="1.0148999999999999"/>
    <n v="0.98909999999999998"/>
    <n v="0.94971499999999998"/>
    <n v="0.94298910434578886"/>
    <n v="215800"/>
    <n v="4400"/>
    <n v="220200"/>
    <n v="50100"/>
    <n v="270300"/>
    <n v="0.15167364016736401"/>
    <n v="-0.32021709633649931"/>
    <n v="2.0385050962627407E-2"/>
  </r>
  <r>
    <n v="2025"/>
    <s v="18132331038    "/>
    <n v="-1.8325814637483102"/>
    <n v="0.16"/>
    <m/>
    <s v="6"/>
    <s v="RES"/>
    <x v="0"/>
    <s v="11"/>
    <s v="259"/>
    <s v="BG"/>
    <s v="A"/>
    <s v="AV"/>
    <x v="8"/>
    <n v="84"/>
    <n v="52"/>
    <n v="1940"/>
    <n v="1972"/>
    <n v="1380"/>
    <m/>
    <n v="698"/>
    <n v="0"/>
    <n v="698"/>
    <m/>
    <n v="2078"/>
    <n v="2500"/>
    <n v="8"/>
    <m/>
    <m/>
    <m/>
    <m/>
    <m/>
    <m/>
    <m/>
    <n v="289087"/>
    <n v="196579"/>
    <n v="6357"/>
    <n v="319200"/>
    <n v="50600"/>
    <n v="268600"/>
    <n v="0"/>
    <n v="0"/>
    <n v="89850.625589999996"/>
    <n v="-58009.662049032086"/>
    <n v="21557.329055999999"/>
    <n v="160472.20319"/>
    <n v="-11598.371226000001"/>
    <n v="68183.964430260006"/>
    <n v="0"/>
    <n v="0"/>
    <n v="20299.162882405999"/>
    <n v="30336.176841600001"/>
    <n v="0"/>
    <n v="6400"/>
    <n v="289300"/>
    <n v="31800"/>
    <n v="327500"/>
    <n v="2.6002506265664159E-2"/>
    <n v="0.99970000000000003"/>
    <n v="1.0067999999999999"/>
    <n v="0.99729999999999996"/>
    <n v="0.98919999999999997"/>
    <n v="0.98909999999999998"/>
    <n v="0.94971499999999998"/>
    <n v="0.93301071824589021"/>
    <n v="289300"/>
    <n v="6000"/>
    <n v="295300"/>
    <n v="30200"/>
    <n v="325500"/>
    <n v="9.9404318689501114E-2"/>
    <n v="-0.40316205533596838"/>
    <n v="1.9736842105263157E-2"/>
  </r>
  <r>
    <n v="2025"/>
    <s v="18132313416    "/>
    <n v="-1.7719568419318752"/>
    <n v="0.17"/>
    <n v="7350"/>
    <s v="6"/>
    <s v="RES"/>
    <x v="0"/>
    <s v="11"/>
    <s v="259"/>
    <s v="BG"/>
    <s v="A"/>
    <s v="AV"/>
    <x v="8"/>
    <n v="84"/>
    <n v="52"/>
    <n v="1940"/>
    <n v="1972"/>
    <n v="1064"/>
    <n v="266"/>
    <n v="780"/>
    <n v="234"/>
    <n v="546"/>
    <m/>
    <n v="1876"/>
    <n v="2000"/>
    <n v="5"/>
    <m/>
    <n v="288"/>
    <m/>
    <m/>
    <m/>
    <m/>
    <m/>
    <n v="283408"/>
    <n v="192717"/>
    <n v="0"/>
    <n v="303000"/>
    <n v="52700"/>
    <n v="250300"/>
    <n v="0"/>
    <n v="0"/>
    <n v="89850.625589999996"/>
    <n v="-56090.612940989391"/>
    <n v="21557.329055999999"/>
    <n v="160472.20319"/>
    <n v="-11598.371226000001"/>
    <n v="52570.824749127998"/>
    <n v="11913.188481026"/>
    <n v="0"/>
    <n v="22683.87829266"/>
    <n v="18960.110526"/>
    <n v="0"/>
    <n v="0"/>
    <n v="276600"/>
    <n v="33800"/>
    <n v="310400"/>
    <n v="2.4422442244224421E-2"/>
    <n v="0.99970000000000003"/>
    <n v="1.0067999999999999"/>
    <n v="0.99729999999999996"/>
    <n v="1.0093000000000001"/>
    <n v="0.98909999999999998"/>
    <n v="0.94971499999999998"/>
    <n v="0.95196898294134369"/>
    <n v="276600"/>
    <n v="0"/>
    <n v="276600"/>
    <n v="32100"/>
    <n v="308700"/>
    <n v="0.10507391130643227"/>
    <n v="-0.39089184060721061"/>
    <n v="1.8811881188118811E-2"/>
  </r>
  <r>
    <n v="2025"/>
    <s v="18132342482    "/>
    <n v="-1.5141277326297755"/>
    <n v="0.22"/>
    <n v="9551"/>
    <s v="6"/>
    <s v="RES"/>
    <x v="0"/>
    <s v="11"/>
    <s v="259"/>
    <s v="SL"/>
    <s v="G"/>
    <s v="FR"/>
    <x v="8"/>
    <n v="84"/>
    <n v="52"/>
    <n v="1940"/>
    <n v="1972"/>
    <n v="2116"/>
    <m/>
    <n v="612"/>
    <n v="0"/>
    <n v="612"/>
    <m/>
    <n v="2728"/>
    <n v="3000"/>
    <n v="8"/>
    <m/>
    <n v="340"/>
    <m/>
    <m/>
    <m/>
    <m/>
    <m/>
    <n v="529783"/>
    <n v="349657"/>
    <n v="0"/>
    <n v="353000"/>
    <n v="61700"/>
    <n v="291300"/>
    <n v="0"/>
    <n v="0"/>
    <n v="89850.625589999996"/>
    <n v="-47929.131559187132"/>
    <n v="44121.038090000002"/>
    <n v="133714.53821"/>
    <n v="-11598.371226000001"/>
    <n v="104548.745459732"/>
    <n v="0"/>
    <n v="0"/>
    <n v="17798.119891163999"/>
    <n v="30336.176841600001"/>
    <n v="0"/>
    <n v="0"/>
    <n v="318900"/>
    <n v="41900"/>
    <n v="360800"/>
    <n v="2.2096317280453259E-2"/>
    <n v="0.99970000000000003"/>
    <n v="0.98050000000000004"/>
    <n v="0.99329999999999996"/>
    <n v="0.96179999999999999"/>
    <n v="0.98909999999999998"/>
    <n v="0.94971499999999998"/>
    <n v="0.87992631420120082"/>
    <n v="318900"/>
    <n v="0"/>
    <n v="318900"/>
    <n v="39800"/>
    <n v="358700"/>
    <n v="9.4747682801235841E-2"/>
    <n v="-0.35494327390599678"/>
    <n v="1.614730878186969E-2"/>
  </r>
  <r>
    <n v="2025"/>
    <s v="18132342467    "/>
    <n v="-1.1711829815029451"/>
    <n v="0.31"/>
    <n v="13621"/>
    <s v="6"/>
    <s v="RES"/>
    <x v="0"/>
    <s v="11"/>
    <s v="259"/>
    <s v="BG"/>
    <s v="G"/>
    <s v="GD"/>
    <x v="8"/>
    <n v="84"/>
    <n v="52"/>
    <n v="1940"/>
    <n v="1972"/>
    <n v="2885"/>
    <m/>
    <m/>
    <n v="0"/>
    <m/>
    <m/>
    <n v="2885"/>
    <n v="3000"/>
    <n v="11"/>
    <m/>
    <m/>
    <m/>
    <m/>
    <m/>
    <m/>
    <m/>
    <n v="636561"/>
    <n v="445593"/>
    <n v="11752"/>
    <n v="469500"/>
    <n v="73700"/>
    <n v="395800"/>
    <n v="0"/>
    <n v="0"/>
    <n v="89850.625589999996"/>
    <n v="-37073.347241874442"/>
    <n v="44121.038090000002"/>
    <n v="197752.34721000001"/>
    <n v="-11598.371226000001"/>
    <n v="142544.012595145"/>
    <n v="0"/>
    <n v="0"/>
    <n v="0"/>
    <n v="41712.243157199999"/>
    <n v="0"/>
    <n v="11800"/>
    <n v="414500"/>
    <n v="52800"/>
    <n v="479100"/>
    <n v="2.0447284345047924E-2"/>
    <n v="0.99970000000000003"/>
    <n v="0.98050000000000004"/>
    <n v="0.99650000000000005"/>
    <n v="0.96179999999999999"/>
    <n v="0.98909999999999998"/>
    <n v="0.94971499999999998"/>
    <n v="0.88276107127906644"/>
    <n v="414500"/>
    <n v="11200"/>
    <n v="425700"/>
    <n v="50100"/>
    <n v="475800"/>
    <n v="7.5543203638201106E-2"/>
    <n v="-0.32021709633649931"/>
    <n v="1.34185303514377E-2"/>
  </r>
  <r>
    <n v="2025"/>
    <s v="18132342484    "/>
    <n v="-1.1711829815029451"/>
    <n v="0.31"/>
    <n v="13644"/>
    <s v="6"/>
    <s v="RES"/>
    <x v="0"/>
    <s v="11"/>
    <s v="259"/>
    <s v="CO"/>
    <s v="G"/>
    <s v="AV"/>
    <x v="8"/>
    <n v="84"/>
    <n v="52"/>
    <n v="1940"/>
    <n v="1972"/>
    <n v="2116"/>
    <n v="484"/>
    <m/>
    <n v="0"/>
    <m/>
    <m/>
    <n v="2600"/>
    <n v="3000"/>
    <n v="8"/>
    <n v="572"/>
    <m/>
    <m/>
    <m/>
    <m/>
    <m/>
    <m/>
    <n v="526104"/>
    <n v="357751"/>
    <n v="0"/>
    <n v="394600"/>
    <n v="73700"/>
    <n v="320900"/>
    <n v="0"/>
    <n v="0"/>
    <n v="89850.625589999996"/>
    <n v="-37073.347241874442"/>
    <n v="44121.038090000002"/>
    <n v="160472.20319"/>
    <n v="-11598.371226000001"/>
    <n v="104548.745459732"/>
    <n v="21676.628664723998"/>
    <n v="0"/>
    <n v="0"/>
    <n v="30336.176841600001"/>
    <n v="0"/>
    <n v="0"/>
    <n v="349600"/>
    <n v="52800"/>
    <n v="402400"/>
    <n v="1.9766852508869743E-2"/>
    <n v="0.99970000000000003"/>
    <n v="0.98050000000000004"/>
    <n v="0.99729999999999996"/>
    <n v="0.96179999999999999"/>
    <n v="0.98909999999999998"/>
    <n v="0.94971499999999998"/>
    <n v="0.88346976054853277"/>
    <n v="349600"/>
    <n v="0"/>
    <n v="349600"/>
    <n v="50100"/>
    <n v="399700"/>
    <n v="8.943596135867872E-2"/>
    <n v="-0.32021709633649931"/>
    <n v="1.2924480486568676E-2"/>
  </r>
  <r>
    <n v="2025"/>
    <s v="18132332595    "/>
    <n v="-1.5606477482646683"/>
    <n v="0.21"/>
    <n v="9080"/>
    <s v="6"/>
    <s v="RES"/>
    <x v="0"/>
    <s v="11"/>
    <s v="259"/>
    <s v="BG"/>
    <s v="A+"/>
    <s v="AV"/>
    <x v="8"/>
    <n v="84"/>
    <n v="52"/>
    <n v="1940"/>
    <n v="1972"/>
    <n v="1267"/>
    <m/>
    <n v="1167"/>
    <n v="397"/>
    <n v="770"/>
    <m/>
    <n v="2037"/>
    <n v="2500"/>
    <n v="9"/>
    <m/>
    <m/>
    <m/>
    <m/>
    <m/>
    <m/>
    <m/>
    <n v="342721"/>
    <n v="233050"/>
    <n v="12820"/>
    <n v="355800"/>
    <n v="60100"/>
    <n v="295700"/>
    <n v="0"/>
    <n v="0"/>
    <n v="89850.625589999996"/>
    <n v="-49401.70477837498"/>
    <n v="29814.093161000001"/>
    <n v="160472.20319"/>
    <n v="-11598.371226000001"/>
    <n v="62600.784734159002"/>
    <n v="0"/>
    <n v="0"/>
    <n v="33938.571753249002"/>
    <n v="34128.198946800003"/>
    <n v="0"/>
    <n v="12800"/>
    <n v="309400"/>
    <n v="40400"/>
    <n v="362600"/>
    <n v="1.9111860595840361E-2"/>
    <n v="0.99970000000000003"/>
    <n v="1.0088999999999999"/>
    <n v="0.99729999999999996"/>
    <n v="0.98919999999999997"/>
    <n v="0.98909999999999998"/>
    <n v="0.94971499999999998"/>
    <n v="0.93495680734831033"/>
    <n v="309400"/>
    <n v="12200"/>
    <n v="321600"/>
    <n v="38400"/>
    <n v="360000"/>
    <n v="8.7588772404463985E-2"/>
    <n v="-0.36106489184692181"/>
    <n v="1.1804384485666104E-2"/>
  </r>
  <r>
    <n v="2025"/>
    <s v="18132342524    "/>
    <n v="-1.0788096613719298"/>
    <n v="0.34"/>
    <n v="14720"/>
    <s v="6"/>
    <s v="RES"/>
    <x v="0"/>
    <s v="11"/>
    <s v="259"/>
    <s v="BG"/>
    <s v="G+"/>
    <s v="GD"/>
    <x v="8"/>
    <n v="84"/>
    <n v="52"/>
    <n v="1940"/>
    <n v="1972"/>
    <n v="2256"/>
    <m/>
    <n v="1004"/>
    <n v="0"/>
    <n v="1004"/>
    <m/>
    <n v="3260"/>
    <n v="3500"/>
    <n v="13"/>
    <n v="441"/>
    <m/>
    <n v="346"/>
    <m/>
    <m/>
    <m/>
    <m/>
    <n v="714992"/>
    <n v="507644"/>
    <n v="11673"/>
    <n v="520400"/>
    <n v="76900"/>
    <n v="443500"/>
    <n v="0"/>
    <n v="0"/>
    <n v="89850.625589999996"/>
    <n v="-34149.305288406773"/>
    <n v="74268.409664999999"/>
    <n v="197752.34721000001"/>
    <n v="-11598.371226000001"/>
    <n v="111465.95924251201"/>
    <n v="0"/>
    <n v="0"/>
    <n v="29198.222827988"/>
    <n v="49296.287367600002"/>
    <n v="11520.248285496002"/>
    <n v="11700"/>
    <n v="461900"/>
    <n v="55700"/>
    <n v="529300"/>
    <n v="1.7102229054573405E-2"/>
    <n v="0.99970000000000003"/>
    <n v="0.98380000000000001"/>
    <n v="0.99650000000000005"/>
    <n v="1.0126999999999999"/>
    <n v="0.98909999999999998"/>
    <n v="0.94971499999999998"/>
    <n v="0.9326064838130026"/>
    <n v="461900"/>
    <n v="11100"/>
    <n v="473000"/>
    <n v="52900"/>
    <n v="525900"/>
    <n v="6.6516347237880497E-2"/>
    <n v="-0.31209362808842656"/>
    <n v="1.0568793235972328E-2"/>
  </r>
  <r>
    <n v="2025"/>
    <s v="18132342469    "/>
    <n v="-1.3470736479666092"/>
    <n v="0.26"/>
    <n v="11501"/>
    <s v="6"/>
    <s v="RES"/>
    <x v="0"/>
    <s v="11"/>
    <s v="259"/>
    <s v="TD"/>
    <s v="G+"/>
    <s v="GD"/>
    <x v="8"/>
    <n v="84"/>
    <n v="52"/>
    <n v="1940"/>
    <n v="1972"/>
    <n v="1840"/>
    <m/>
    <n v="1015"/>
    <n v="0"/>
    <n v="1015"/>
    <m/>
    <n v="2855"/>
    <n v="3000"/>
    <n v="9"/>
    <n v="600"/>
    <m/>
    <n v="469"/>
    <m/>
    <m/>
    <m/>
    <m/>
    <n v="636829"/>
    <n v="452149"/>
    <n v="0"/>
    <n v="470600"/>
    <n v="67600"/>
    <n v="403000"/>
    <n v="0"/>
    <n v="0"/>
    <n v="89850.625589999996"/>
    <n v="-42641.098701210125"/>
    <n v="74268.409664999999"/>
    <n v="197752.34721000001"/>
    <n v="-11598.371226000001"/>
    <n v="90911.952573679999"/>
    <n v="0"/>
    <n v="0"/>
    <n v="29518.123675704999"/>
    <n v="34128.198946800003"/>
    <n v="15615.596664444001"/>
    <n v="0"/>
    <n v="430600"/>
    <n v="47200"/>
    <n v="477800"/>
    <n v="1.529961750956226E-2"/>
    <n v="0.99970000000000003"/>
    <n v="0.98380000000000001"/>
    <n v="0.99650000000000005"/>
    <n v="0.96179999999999999"/>
    <n v="0.98909999999999998"/>
    <n v="0.94971499999999998"/>
    <n v="0.88573211822982711"/>
    <n v="430600"/>
    <n v="0"/>
    <n v="430600"/>
    <n v="44800"/>
    <n v="475400"/>
    <n v="6.8486352357320104E-2"/>
    <n v="-0.33727810650887574"/>
    <n v="1.0199745006374841E-2"/>
  </r>
  <r>
    <n v="2025"/>
    <s v="18132342471    "/>
    <n v="-1.0216512475319814"/>
    <n v="0.36"/>
    <n v="15750"/>
    <s v="6"/>
    <s v="RES"/>
    <x v="0"/>
    <s v="11"/>
    <s v="259"/>
    <s v="CO"/>
    <s v="G+"/>
    <s v="GD"/>
    <x v="8"/>
    <n v="84"/>
    <n v="52"/>
    <n v="1940"/>
    <n v="1972"/>
    <n v="1432"/>
    <n v="1066"/>
    <n v="1432"/>
    <n v="269"/>
    <n v="1163"/>
    <m/>
    <n v="3661"/>
    <n v="4000"/>
    <n v="13"/>
    <m/>
    <m/>
    <n v="216"/>
    <m/>
    <m/>
    <m/>
    <m/>
    <n v="716914"/>
    <n v="509009"/>
    <n v="18632"/>
    <n v="544600"/>
    <n v="78900"/>
    <n v="465700"/>
    <n v="0"/>
    <n v="0"/>
    <n v="89850.625589999996"/>
    <n v="-32339.977661938148"/>
    <n v="74268.409664999999"/>
    <n v="197752.34721000001"/>
    <n v="-11598.371226000001"/>
    <n v="70753.215263863996"/>
    <n v="47742.326769825995"/>
    <n v="0"/>
    <n v="41645.273993703995"/>
    <n v="49296.287367600002"/>
    <n v="7191.8312996160003"/>
    <n v="18600"/>
    <n v="477100"/>
    <n v="57500"/>
    <n v="553200"/>
    <n v="1.5791406536907821E-2"/>
    <n v="0.99970000000000003"/>
    <n v="0.98380000000000001"/>
    <n v="0.99650000000000005"/>
    <n v="0.94579999999999997"/>
    <n v="0.98909999999999998"/>
    <n v="0.94971499999999998"/>
    <n v="0.87099754358678572"/>
    <n v="477100"/>
    <n v="17700"/>
    <n v="494800"/>
    <n v="54600"/>
    <n v="549400"/>
    <n v="6.2486579342924627E-2"/>
    <n v="-0.30798479087452474"/>
    <n v="8.813808299669483E-3"/>
  </r>
  <r>
    <n v="2025"/>
    <s v="18132243009    "/>
    <n v="-1.0216512475319814"/>
    <n v="0.36"/>
    <n v="15498"/>
    <s v="6"/>
    <s v="RES"/>
    <x v="0"/>
    <s v="11"/>
    <s v="259"/>
    <s v="TD"/>
    <s v="A"/>
    <s v="FR"/>
    <x v="8"/>
    <n v="84"/>
    <n v="52"/>
    <n v="1940"/>
    <n v="1972"/>
    <n v="1377"/>
    <m/>
    <n v="779"/>
    <n v="0"/>
    <n v="779"/>
    <m/>
    <n v="2156"/>
    <n v="2500"/>
    <n v="5"/>
    <m/>
    <n v="338"/>
    <m/>
    <m/>
    <m/>
    <m/>
    <m/>
    <n v="305330"/>
    <n v="201518"/>
    <n v="3449"/>
    <n v="309100"/>
    <n v="78900"/>
    <n v="230200"/>
    <n v="0"/>
    <n v="0"/>
    <n v="89850.625589999996"/>
    <n v="-32339.977661938148"/>
    <n v="21557.329055999999"/>
    <n v="133714.53821"/>
    <n v="-11598.371226000001"/>
    <n v="68035.738420629001"/>
    <n v="0"/>
    <n v="0"/>
    <n v="22654.796397413"/>
    <n v="18960.110526"/>
    <n v="0"/>
    <n v="3400"/>
    <n v="253300"/>
    <n v="57500"/>
    <n v="314200"/>
    <n v="1.6499514720155289E-2"/>
    <n v="0.99970000000000003"/>
    <n v="1.0067999999999999"/>
    <n v="0.99329999999999996"/>
    <n v="0.98919999999999997"/>
    <n v="0.98909999999999998"/>
    <n v="0.94971499999999998"/>
    <n v="0.92926857157690035"/>
    <n v="253300"/>
    <n v="3300"/>
    <n v="256600"/>
    <n v="54600"/>
    <n v="311200"/>
    <n v="0.11468288444830582"/>
    <n v="-0.30798479087452474"/>
    <n v="6.7939178259462957E-3"/>
  </r>
  <r>
    <n v="2025"/>
    <s v="18132334491    "/>
    <n v="-1.9661128563728327"/>
    <n v="0.14000000000000001"/>
    <n v="6031"/>
    <s v="6"/>
    <s v="RES"/>
    <x v="0"/>
    <s v="11"/>
    <s v="259"/>
    <s v="TD"/>
    <s v="G"/>
    <s v="AV"/>
    <x v="8"/>
    <n v="84"/>
    <n v="52"/>
    <n v="1940"/>
    <n v="1972"/>
    <n v="1009"/>
    <m/>
    <n v="1009"/>
    <n v="0"/>
    <n v="1009"/>
    <m/>
    <n v="2018"/>
    <n v="2500"/>
    <n v="7"/>
    <m/>
    <m/>
    <m/>
    <m/>
    <m/>
    <m/>
    <m/>
    <n v="363936"/>
    <n v="247476"/>
    <n v="14106"/>
    <n v="337300"/>
    <n v="46000"/>
    <n v="291300"/>
    <n v="0"/>
    <n v="0"/>
    <n v="89850.625589999996"/>
    <n v="-62236.546971921947"/>
    <n v="44121.038090000002"/>
    <n v="160472.20319"/>
    <n v="-11598.371226000001"/>
    <n v="49853.347905893002"/>
    <n v="0"/>
    <n v="0"/>
    <n v="29343.632304223"/>
    <n v="26544.1547364"/>
    <n v="0"/>
    <n v="14100"/>
    <n v="298700"/>
    <n v="27600"/>
    <n v="340400"/>
    <n v="9.1906314853246376E-3"/>
    <n v="0.99970000000000003"/>
    <n v="0.98050000000000004"/>
    <n v="0.99729999999999996"/>
    <n v="0.98919999999999997"/>
    <n v="0.98909999999999998"/>
    <n v="0.94971499999999998"/>
    <n v="0.9086382690108219"/>
    <n v="298700"/>
    <n v="13400"/>
    <n v="312100"/>
    <n v="26200"/>
    <n v="338300"/>
    <n v="7.1404050806728459E-2"/>
    <n v="-0.43043478260869567"/>
    <n v="2.9647198339756895E-3"/>
  </r>
  <r>
    <n v="2025"/>
    <s v="18132313522    "/>
    <n v="-1.4271163556401458"/>
    <n v="0.24"/>
    <n v="10325"/>
    <s v="6"/>
    <s v="RES"/>
    <x v="0"/>
    <s v="11"/>
    <s v="259"/>
    <s v="BG"/>
    <s v="G+"/>
    <s v="GD"/>
    <x v="8"/>
    <n v="84"/>
    <n v="52"/>
    <n v="1940"/>
    <n v="1972"/>
    <n v="1511"/>
    <m/>
    <n v="1400"/>
    <n v="738"/>
    <n v="662"/>
    <m/>
    <n v="2173"/>
    <n v="2500"/>
    <n v="7"/>
    <m/>
    <m/>
    <m/>
    <m/>
    <m/>
    <m/>
    <m/>
    <n v="488085"/>
    <n v="346540"/>
    <n v="3347"/>
    <n v="447300"/>
    <n v="64800"/>
    <n v="382500"/>
    <n v="0"/>
    <n v="0"/>
    <n v="89850.625589999996"/>
    <n v="-45174.819855485119"/>
    <n v="74268.409664999999"/>
    <n v="197752.34721000001"/>
    <n v="-11598.371226000001"/>
    <n v="74656.500184147008"/>
    <n v="0"/>
    <n v="0"/>
    <n v="40714.653345799998"/>
    <n v="26544.1547364"/>
    <n v="0"/>
    <n v="3300"/>
    <n v="402300"/>
    <n v="44700"/>
    <n v="450300"/>
    <n v="6.7069081153588199E-3"/>
    <n v="0.99970000000000003"/>
    <n v="0.98380000000000001"/>
    <n v="0.99650000000000005"/>
    <n v="0.98919999999999997"/>
    <n v="0.98909999999999998"/>
    <n v="0.94971499999999998"/>
    <n v="0.9109650773060356"/>
    <n v="402300"/>
    <n v="3200"/>
    <n v="405500"/>
    <n v="42400"/>
    <n v="447900"/>
    <n v="6.0130718954248367E-2"/>
    <n v="-0.34567901234567899"/>
    <n v="1.3413816230717639E-3"/>
  </r>
  <r>
    <n v="2025"/>
    <s v="18132244496    "/>
    <n v="-1.5141277326297755"/>
    <n v="0.22"/>
    <n v="9549"/>
    <s v="6"/>
    <s v="RES"/>
    <x v="0"/>
    <s v="11"/>
    <s v="259"/>
    <s v="BG"/>
    <s v="G"/>
    <s v="AV"/>
    <x v="8"/>
    <n v="84"/>
    <n v="52"/>
    <n v="1940"/>
    <n v="1972"/>
    <n v="1223"/>
    <m/>
    <n v="1223"/>
    <n v="0"/>
    <n v="1223"/>
    <m/>
    <n v="2446"/>
    <n v="2500"/>
    <n v="8"/>
    <n v="399"/>
    <m/>
    <m/>
    <m/>
    <m/>
    <m/>
    <m/>
    <n v="456943"/>
    <n v="310721"/>
    <n v="0"/>
    <n v="358700"/>
    <n v="61700"/>
    <n v="297000"/>
    <n v="0"/>
    <n v="0"/>
    <n v="89850.625589999996"/>
    <n v="-47929.131559187132"/>
    <n v="44121.038090000002"/>
    <n v="160472.20319"/>
    <n v="-11598.371226000001"/>
    <n v="60426.803259571003"/>
    <n v="0"/>
    <n v="0"/>
    <n v="35567.157887080997"/>
    <n v="30336.176841600001"/>
    <n v="0"/>
    <n v="0"/>
    <n v="319300"/>
    <n v="41900"/>
    <n v="361200"/>
    <n v="6.9696124895455812E-3"/>
    <n v="0.99970000000000003"/>
    <n v="0.98050000000000004"/>
    <n v="0.99729999999999996"/>
    <n v="0.98919999999999997"/>
    <n v="0.98909999999999998"/>
    <n v="0.94971499999999998"/>
    <n v="0.9086382690108219"/>
    <n v="319300"/>
    <n v="0"/>
    <n v="319300"/>
    <n v="39800"/>
    <n v="359100"/>
    <n v="7.5084175084175087E-2"/>
    <n v="-0.35494327390599678"/>
    <n v="1.115137998327293E-3"/>
  </r>
  <r>
    <n v="2025"/>
    <s v="18132342466    "/>
    <n v="-1.1394342831883648"/>
    <n v="0.32"/>
    <n v="13900"/>
    <s v="6"/>
    <s v="RES"/>
    <x v="0"/>
    <s v="11"/>
    <s v="259"/>
    <s v="RN"/>
    <s v="G+"/>
    <s v="GD"/>
    <x v="8"/>
    <n v="84"/>
    <n v="52"/>
    <n v="1940"/>
    <n v="1972"/>
    <n v="1710"/>
    <m/>
    <m/>
    <n v="0"/>
    <m/>
    <m/>
    <n v="1710"/>
    <n v="2000"/>
    <n v="8"/>
    <n v="441"/>
    <m/>
    <m/>
    <m/>
    <m/>
    <m/>
    <m/>
    <n v="432552"/>
    <n v="307112"/>
    <n v="0"/>
    <n v="426500"/>
    <n v="74800"/>
    <n v="351700"/>
    <n v="0"/>
    <n v="0"/>
    <n v="89850.625589999996"/>
    <n v="-36068.354396449467"/>
    <n v="74268.409664999999"/>
    <n v="197752.34721000001"/>
    <n v="-11598.371226000001"/>
    <n v="84488.825489670009"/>
    <n v="0"/>
    <n v="0"/>
    <n v="0"/>
    <n v="30336.176841600001"/>
    <n v="0"/>
    <n v="0"/>
    <n v="375200"/>
    <n v="53800"/>
    <n v="429000"/>
    <n v="5.8616647127784291E-3"/>
    <n v="0.99970000000000003"/>
    <n v="0.98380000000000001"/>
    <n v="0.99650000000000005"/>
    <n v="1.0093000000000001"/>
    <n v="0.98909999999999998"/>
    <n v="0.94971499999999998"/>
    <n v="0.92947538670135654"/>
    <n v="375200"/>
    <n v="0"/>
    <n v="375200"/>
    <n v="51100"/>
    <n v="426300"/>
    <n v="6.6818311060562977E-2"/>
    <n v="-0.31684491978609625"/>
    <n v="-4.6893317702227433E-4"/>
  </r>
  <r>
    <n v="2025"/>
    <s v="18132243029    "/>
    <n v="-0.916290731874155"/>
    <n v="0.4"/>
    <n v="17319"/>
    <s v="6"/>
    <s v="RES"/>
    <x v="0"/>
    <s v="11"/>
    <s v="259"/>
    <s v="CO"/>
    <s v="A"/>
    <s v="AV"/>
    <x v="8"/>
    <n v="84"/>
    <n v="52"/>
    <n v="1940"/>
    <n v="1972"/>
    <n v="1512"/>
    <n v="896"/>
    <n v="1512"/>
    <n v="0"/>
    <n v="1512"/>
    <m/>
    <n v="3920"/>
    <n v="4000"/>
    <n v="10"/>
    <m/>
    <m/>
    <m/>
    <m/>
    <m/>
    <m/>
    <m/>
    <n v="455678"/>
    <n v="309861"/>
    <n v="13122"/>
    <n v="438200"/>
    <n v="82600"/>
    <n v="355600"/>
    <n v="0"/>
    <n v="0"/>
    <n v="89850.625589999996"/>
    <n v="-29004.831024516039"/>
    <n v="21557.329055999999"/>
    <n v="160472.20319"/>
    <n v="-11598.371226000001"/>
    <n v="74705.908854024005"/>
    <n v="40128.634883455998"/>
    <n v="0"/>
    <n v="43971.825613463996"/>
    <n v="37920.221052000001"/>
    <n v="0"/>
    <n v="13100"/>
    <n v="367200"/>
    <n v="60800"/>
    <n v="441100"/>
    <n v="6.6179826563213147E-3"/>
    <n v="0.99970000000000003"/>
    <n v="1.0067999999999999"/>
    <n v="0.99729999999999996"/>
    <n v="0.94579999999999997"/>
    <n v="0.98909999999999998"/>
    <n v="0.94971499999999998"/>
    <n v="0.89207595765968761"/>
    <n v="367200"/>
    <n v="12500"/>
    <n v="379700"/>
    <n v="57800"/>
    <n v="437500"/>
    <n v="6.7772778402699657E-2"/>
    <n v="-0.30024213075060535"/>
    <n v="-1.5974440894568689E-3"/>
  </r>
  <r>
    <n v="2025"/>
    <s v="18132243456    "/>
    <n v="-1.5606477482646683"/>
    <n v="0.21"/>
    <n v="9330"/>
    <s v="6"/>
    <s v="RES"/>
    <x v="0"/>
    <s v="11"/>
    <s v="259"/>
    <s v="RN"/>
    <s v="A+"/>
    <s v="AV"/>
    <x v="8"/>
    <n v="84"/>
    <n v="52"/>
    <n v="1940"/>
    <n v="1972"/>
    <n v="1441"/>
    <m/>
    <n v="936"/>
    <n v="0"/>
    <n v="936"/>
    <m/>
    <n v="2377"/>
    <n v="2500"/>
    <n v="5"/>
    <m/>
    <m/>
    <m/>
    <m/>
    <m/>
    <m/>
    <m/>
    <n v="355588"/>
    <n v="241800"/>
    <n v="0"/>
    <n v="336200"/>
    <n v="60100"/>
    <n v="276100"/>
    <n v="0"/>
    <n v="0"/>
    <n v="89850.625589999996"/>
    <n v="-49401.70477837498"/>
    <n v="29814.093161000001"/>
    <n v="160472.20319"/>
    <n v="-11598.371226000001"/>
    <n v="71197.893292756999"/>
    <n v="0"/>
    <n v="0"/>
    <n v="27220.653951191998"/>
    <n v="18960.110526"/>
    <n v="0"/>
    <n v="0"/>
    <n v="296100"/>
    <n v="40400"/>
    <n v="336500"/>
    <n v="8.92325996430696E-4"/>
    <n v="0.99970000000000003"/>
    <n v="1.0088999999999999"/>
    <n v="0.99729999999999996"/>
    <n v="0.98919999999999997"/>
    <n v="0.98909999999999998"/>
    <n v="0.94971499999999998"/>
    <n v="0.93495680734831033"/>
    <n v="296100"/>
    <n v="0"/>
    <n v="296100"/>
    <n v="38400"/>
    <n v="334500"/>
    <n v="7.2437522636725829E-2"/>
    <n v="-0.36106489184692181"/>
    <n v="-5.0565139797739437E-3"/>
  </r>
  <r>
    <n v="2025"/>
    <s v="18132214425    "/>
    <n v="-1.7719568419318752"/>
    <n v="0.17"/>
    <n v="7619"/>
    <s v="6"/>
    <s v="RES"/>
    <x v="0"/>
    <s v="11"/>
    <s v="259"/>
    <s v="TD"/>
    <s v="F+"/>
    <s v="AV"/>
    <x v="8"/>
    <n v="84"/>
    <n v="52"/>
    <n v="1940"/>
    <n v="1972"/>
    <n v="1080"/>
    <m/>
    <n v="1080"/>
    <n v="180"/>
    <n v="900"/>
    <m/>
    <n v="1980"/>
    <n v="2000"/>
    <n v="5"/>
    <m/>
    <m/>
    <m/>
    <m/>
    <m/>
    <m/>
    <m/>
    <n v="239200"/>
    <n v="162656"/>
    <n v="0"/>
    <n v="286500"/>
    <n v="52700"/>
    <n v="233800"/>
    <n v="0"/>
    <n v="0"/>
    <n v="89850.625589999996"/>
    <n v="-56090.612940989391"/>
    <n v="0"/>
    <n v="160472.20319"/>
    <n v="-11598.371226000001"/>
    <n v="53361.363467160001"/>
    <n v="0"/>
    <n v="0"/>
    <n v="31408.446866759998"/>
    <n v="18960.110526"/>
    <n v="0"/>
    <n v="0"/>
    <n v="252600"/>
    <n v="33800"/>
    <n v="286400"/>
    <n v="-3.4904013961605586E-4"/>
    <n v="0.99970000000000003"/>
    <n v="0.99180000000000001"/>
    <n v="0.99729999999999996"/>
    <n v="1.0093000000000001"/>
    <n v="0.98909999999999998"/>
    <n v="0.94971499999999998"/>
    <n v="0.93778589320741457"/>
    <n v="252600"/>
    <n v="0"/>
    <n v="252600"/>
    <n v="32100"/>
    <n v="284700"/>
    <n v="8.0410607356715139E-2"/>
    <n v="-0.39089184060721061"/>
    <n v="-6.2827225130890054E-3"/>
  </r>
  <r>
    <n v="2025"/>
    <s v="18132212019    "/>
    <n v="-1.3470736479666092"/>
    <n v="0.26"/>
    <n v="11162"/>
    <s v="6"/>
    <s v="RES"/>
    <x v="0"/>
    <s v="11"/>
    <s v="259"/>
    <s v="TD"/>
    <s v="F+"/>
    <s v="AV"/>
    <x v="8"/>
    <n v="84"/>
    <n v="52"/>
    <n v="1940"/>
    <n v="1972"/>
    <n v="1120"/>
    <m/>
    <n v="1120"/>
    <n v="100"/>
    <n v="1020"/>
    <m/>
    <n v="2140"/>
    <n v="2500"/>
    <n v="8"/>
    <m/>
    <m/>
    <m/>
    <m/>
    <m/>
    <m/>
    <m/>
    <n v="254451"/>
    <n v="173027"/>
    <n v="0"/>
    <n v="316100"/>
    <n v="67600"/>
    <n v="248500"/>
    <n v="0"/>
    <n v="0"/>
    <n v="89850.625589999996"/>
    <n v="-42641.098701210125"/>
    <n v="0"/>
    <n v="160472.20319"/>
    <n v="-11598.371226000001"/>
    <n v="55337.710262239998"/>
    <n v="0"/>
    <n v="0"/>
    <n v="32571.722676639998"/>
    <n v="30336.176841600001"/>
    <n v="0"/>
    <n v="0"/>
    <n v="267100"/>
    <n v="47200"/>
    <n v="314300"/>
    <n v="-5.6944005061689337E-3"/>
    <n v="0.99970000000000003"/>
    <n v="0.99180000000000001"/>
    <n v="0.99729999999999996"/>
    <n v="0.98919999999999997"/>
    <n v="0.98909999999999998"/>
    <n v="0.94971499999999998"/>
    <n v="0.91911008180003395"/>
    <n v="267100"/>
    <n v="0"/>
    <n v="267100"/>
    <n v="44800"/>
    <n v="311900"/>
    <n v="7.484909456740442E-2"/>
    <n v="-0.33727810650887574"/>
    <n v="-1.3286934514394179E-2"/>
  </r>
  <r>
    <n v="2025"/>
    <s v="18132243008    "/>
    <n v="-1.2378743560016174"/>
    <n v="0.28999999999999998"/>
    <n v="12768"/>
    <s v="6"/>
    <s v="RES"/>
    <x v="0"/>
    <s v="11"/>
    <s v="259"/>
    <s v="TD"/>
    <s v="F"/>
    <s v="GD"/>
    <x v="8"/>
    <n v="84"/>
    <n v="30"/>
    <n v="1940"/>
    <n v="1994"/>
    <n v="1260"/>
    <m/>
    <n v="572"/>
    <n v="572"/>
    <m/>
    <m/>
    <n v="1260"/>
    <n v="1500"/>
    <n v="5"/>
    <m/>
    <m/>
    <m/>
    <m/>
    <m/>
    <m/>
    <m/>
    <n v="186545"/>
    <n v="160429"/>
    <n v="7667"/>
    <n v="304800"/>
    <n v="71400"/>
    <n v="233400"/>
    <n v="0"/>
    <n v="0"/>
    <n v="89850.625589999996"/>
    <n v="-39184.437074869042"/>
    <n v="-43578.886190266698"/>
    <n v="197752.34721000001"/>
    <n v="-6691.368015"/>
    <n v="62254.924045020001"/>
    <n v="0"/>
    <n v="0"/>
    <n v="16634.844081283998"/>
    <n v="18960.110526"/>
    <n v="0"/>
    <n v="7700"/>
    <n v="245300"/>
    <n v="50700"/>
    <n v="303700"/>
    <n v="-3.6089238845144356E-3"/>
    <n v="0.99970000000000003"/>
    <n v="1"/>
    <n v="0.99650000000000005"/>
    <n v="1.0157"/>
    <n v="0.98909999999999998"/>
    <n v="0.94971499999999998"/>
    <n v="0.95077171839659791"/>
    <n v="245300"/>
    <n v="7300"/>
    <n v="252600"/>
    <n v="48100"/>
    <n v="300700"/>
    <n v="8.2262210796915161E-2"/>
    <n v="-0.32633053221288516"/>
    <n v="-1.3451443569553806E-2"/>
  </r>
  <r>
    <n v="2025"/>
    <s v="18132211025    "/>
    <n v="-2.0202707317519466E-2"/>
    <n v="0.98"/>
    <n v="42478"/>
    <s v="6"/>
    <s v="RES"/>
    <x v="0"/>
    <s v="11"/>
    <s v="259"/>
    <s v="CC"/>
    <s v="G"/>
    <s v="AV"/>
    <x v="8"/>
    <n v="84"/>
    <n v="52"/>
    <n v="1940"/>
    <n v="1972"/>
    <n v="2412"/>
    <n v="1191"/>
    <n v="2151"/>
    <n v="656"/>
    <n v="1495"/>
    <m/>
    <n v="5098"/>
    <n v="5000"/>
    <n v="15"/>
    <m/>
    <m/>
    <m/>
    <m/>
    <m/>
    <m/>
    <m/>
    <n v="855273"/>
    <n v="581586"/>
    <n v="79211"/>
    <n v="655800"/>
    <n v="113800"/>
    <n v="542000"/>
    <n v="0"/>
    <n v="0"/>
    <n v="89850.625589999996"/>
    <n v="-639.50893706396755"/>
    <n v="44121.038090000002"/>
    <n v="160472.20319"/>
    <n v="-11598.371226000001"/>
    <n v="119173.71174332401"/>
    <n v="53340.629627450995"/>
    <n v="0"/>
    <n v="62555.156676296996"/>
    <n v="56880.331578000005"/>
    <n v="0"/>
    <n v="79200"/>
    <n v="484900"/>
    <n v="89200"/>
    <n v="653300"/>
    <n v="-3.8121378469045441E-3"/>
    <n v="0.99970000000000003"/>
    <n v="0.98050000000000004"/>
    <n v="0.99729999999999996"/>
    <n v="1"/>
    <n v="0.98909999999999998"/>
    <n v="0.94971499999999998"/>
    <n v="0.91855870300325715"/>
    <n v="484900"/>
    <n v="75200"/>
    <n v="560100"/>
    <n v="84700"/>
    <n v="644800"/>
    <n v="3.3394833948339482E-2"/>
    <n v="-0.25571177504393672"/>
    <n v="-1.6773406526379993E-2"/>
  </r>
  <r>
    <n v="2025"/>
    <s v="18132241405    "/>
    <n v="-1.5141277326297755"/>
    <n v="0.22"/>
    <n v="9723"/>
    <s v="6"/>
    <s v="RES"/>
    <x v="0"/>
    <s v="11"/>
    <s v="259"/>
    <s v="RN"/>
    <s v="G+"/>
    <s v="GD"/>
    <x v="8"/>
    <n v="84"/>
    <n v="52"/>
    <n v="1940"/>
    <n v="1972"/>
    <n v="1530"/>
    <m/>
    <n v="1012"/>
    <n v="0"/>
    <n v="1012"/>
    <m/>
    <n v="2542"/>
    <n v="3000"/>
    <n v="9"/>
    <m/>
    <m/>
    <m/>
    <m/>
    <m/>
    <m/>
    <m/>
    <n v="529831"/>
    <n v="376180"/>
    <n v="8156"/>
    <n v="454800"/>
    <n v="61700"/>
    <n v="393100"/>
    <n v="0"/>
    <n v="0"/>
    <n v="89850.625589999996"/>
    <n v="-47929.131559187132"/>
    <n v="74268.409664999999"/>
    <n v="197752.34721000001"/>
    <n v="-11598.371226000001"/>
    <n v="75595.264911810009"/>
    <n v="0"/>
    <n v="0"/>
    <n v="29430.877989963999"/>
    <n v="34128.198946800003"/>
    <n v="0"/>
    <n v="8200"/>
    <n v="399600"/>
    <n v="41900"/>
    <n v="449700"/>
    <n v="-1.1213720316622692E-2"/>
    <n v="0.99970000000000003"/>
    <n v="0.98380000000000001"/>
    <n v="0.99650000000000005"/>
    <n v="0.96179999999999999"/>
    <n v="0.98909999999999998"/>
    <n v="0.94971499999999998"/>
    <n v="0.88573211822982711"/>
    <n v="399600"/>
    <n v="7700"/>
    <n v="407300"/>
    <n v="39800"/>
    <n v="447100"/>
    <n v="3.6123123887051641E-2"/>
    <n v="-0.35494327390599678"/>
    <n v="-1.6930518909410729E-2"/>
  </r>
  <r>
    <n v="2025"/>
    <s v="18132343428    "/>
    <n v="-1.2039728043259361"/>
    <n v="0.3"/>
    <m/>
    <s v="6"/>
    <s v="RES"/>
    <x v="0"/>
    <s v="11"/>
    <s v="259"/>
    <s v="MS"/>
    <s v="V"/>
    <s v="AV"/>
    <x v="8"/>
    <n v="84"/>
    <n v="52"/>
    <n v="1940"/>
    <n v="1972"/>
    <n v="2547"/>
    <m/>
    <n v="1557"/>
    <n v="1248"/>
    <n v="309"/>
    <m/>
    <n v="2856"/>
    <n v="3000"/>
    <n v="15"/>
    <n v="648"/>
    <m/>
    <m/>
    <m/>
    <m/>
    <m/>
    <m/>
    <n v="800512"/>
    <n v="552353"/>
    <n v="0"/>
    <n v="600800"/>
    <n v="72500"/>
    <n v="528300"/>
    <n v="0"/>
    <n v="0"/>
    <n v="89850.625589999996"/>
    <n v="-38111.29648355169"/>
    <n v="163885.03753"/>
    <n v="160472.20319"/>
    <n v="-11598.371226000001"/>
    <n v="125843.88217671901"/>
    <n v="0"/>
    <n v="0"/>
    <n v="45280.510899579"/>
    <n v="56880.331578000005"/>
    <n v="0"/>
    <n v="0"/>
    <n v="540800"/>
    <n v="51700"/>
    <n v="592500"/>
    <n v="-1.3814913448735019E-2"/>
    <n v="0.99970000000000003"/>
    <n v="1"/>
    <n v="0.99729999999999996"/>
    <n v="0.96179999999999999"/>
    <n v="0.98909999999999998"/>
    <n v="0.94971499999999998"/>
    <n v="0.9010400413549543"/>
    <n v="540800"/>
    <n v="0"/>
    <n v="540800"/>
    <n v="49100"/>
    <n v="589900"/>
    <n v="2.3660798788567101E-2"/>
    <n v="-0.32275862068965516"/>
    <n v="-1.8142476697736352E-2"/>
  </r>
  <r>
    <n v="2025"/>
    <s v="18132342460    "/>
    <n v="-1.1086626245216111"/>
    <n v="0.33"/>
    <n v="14350"/>
    <s v="6"/>
    <s v="RES"/>
    <x v="0"/>
    <s v="11"/>
    <s v="259"/>
    <s v="TD"/>
    <s v="G+"/>
    <s v="GD"/>
    <x v="8"/>
    <n v="84"/>
    <n v="52"/>
    <n v="1940"/>
    <n v="1972"/>
    <n v="2152"/>
    <m/>
    <n v="1487"/>
    <n v="0"/>
    <n v="1487"/>
    <m/>
    <n v="3639"/>
    <n v="4000"/>
    <n v="13"/>
    <m/>
    <m/>
    <m/>
    <m/>
    <m/>
    <m/>
    <m/>
    <n v="709568"/>
    <n v="503793"/>
    <n v="0"/>
    <n v="523700"/>
    <n v="75900"/>
    <n v="447800"/>
    <n v="0"/>
    <n v="0"/>
    <n v="89850.625589999996"/>
    <n v="-35094.289365640165"/>
    <n v="74268.409664999999"/>
    <n v="197752.34721000001"/>
    <n v="-11598.371226000001"/>
    <n v="106327.457575304"/>
    <n v="0"/>
    <n v="0"/>
    <n v="43244.778232288998"/>
    <n v="49296.287367600002"/>
    <n v="0"/>
    <n v="0"/>
    <n v="459300"/>
    <n v="54800"/>
    <n v="514100"/>
    <n v="-1.8331105594806187E-2"/>
    <n v="0.99970000000000003"/>
    <n v="0.98380000000000001"/>
    <n v="0.99650000000000005"/>
    <n v="0.94579999999999997"/>
    <n v="0.98909999999999998"/>
    <n v="0.94971499999999998"/>
    <n v="0.87099754358678572"/>
    <n v="459300"/>
    <n v="0"/>
    <n v="459300"/>
    <n v="52000"/>
    <n v="511300"/>
    <n v="2.5681107637338097E-2"/>
    <n v="-0.31488801054018445"/>
    <n v="-2.3677678059957991E-2"/>
  </r>
  <r>
    <n v="2025"/>
    <s v="18132332569    "/>
    <n v="-1.4271163556401458"/>
    <n v="0.24"/>
    <m/>
    <s v="6"/>
    <s v="RES"/>
    <x v="0"/>
    <s v="11"/>
    <s v="259"/>
    <s v="BG"/>
    <s v="V"/>
    <s v="GD"/>
    <x v="8"/>
    <n v="84"/>
    <n v="52"/>
    <n v="1940"/>
    <n v="1972"/>
    <n v="1747"/>
    <m/>
    <n v="1243"/>
    <n v="0"/>
    <n v="1243"/>
    <m/>
    <n v="2990"/>
    <n v="3000"/>
    <n v="11"/>
    <m/>
    <m/>
    <m/>
    <m/>
    <m/>
    <m/>
    <m/>
    <n v="675715"/>
    <n v="479758"/>
    <n v="0"/>
    <n v="577200"/>
    <n v="64800"/>
    <n v="512400"/>
    <n v="0"/>
    <n v="0"/>
    <n v="89850.625589999996"/>
    <n v="-45174.819855485119"/>
    <n v="163885.03753"/>
    <n v="197752.34721000001"/>
    <n v="-11598.371226000001"/>
    <n v="86316.946275119"/>
    <n v="0"/>
    <n v="0"/>
    <n v="36148.795792020996"/>
    <n v="41712.243157199999"/>
    <n v="0"/>
    <n v="0"/>
    <n v="514200"/>
    <n v="44700"/>
    <n v="558900"/>
    <n v="-3.1704781704781707E-2"/>
    <n v="0.99970000000000003"/>
    <n v="1"/>
    <n v="0.99650000000000005"/>
    <n v="0.96179999999999999"/>
    <n v="0.98909999999999998"/>
    <n v="0.94971499999999998"/>
    <n v="0.90031725780628902"/>
    <n v="514200"/>
    <n v="0"/>
    <n v="514200"/>
    <n v="42400"/>
    <n v="556600"/>
    <n v="3.5128805620608899E-3"/>
    <n v="-0.34567901234567899"/>
    <n v="-3.5689535689535687E-2"/>
  </r>
  <r>
    <n v="2025"/>
    <s v="18132214032    "/>
    <n v="-1.6094379124341003"/>
    <n v="0.2"/>
    <n v="8700"/>
    <s v="6"/>
    <s v="RES"/>
    <x v="0"/>
    <s v="11"/>
    <s v="259"/>
    <s v="MS"/>
    <s v="G+"/>
    <s v="AV"/>
    <x v="8"/>
    <n v="84"/>
    <n v="52"/>
    <n v="1940"/>
    <n v="1972"/>
    <n v="1162"/>
    <m/>
    <n v="702"/>
    <n v="0"/>
    <n v="702"/>
    <m/>
    <n v="1864"/>
    <n v="2000"/>
    <n v="8"/>
    <n v="584"/>
    <m/>
    <n v="96"/>
    <m/>
    <m/>
    <m/>
    <m/>
    <n v="441984"/>
    <n v="304969"/>
    <n v="0"/>
    <n v="386900"/>
    <n v="58400"/>
    <n v="328500"/>
    <n v="0"/>
    <n v="0"/>
    <n v="89850.625589999996"/>
    <n v="-50946.13867709865"/>
    <n v="74268.409664999999"/>
    <n v="160472.20319"/>
    <n v="-11598.371226000001"/>
    <n v="57412.874397074003"/>
    <n v="0"/>
    <n v="0"/>
    <n v="20415.490463393999"/>
    <n v="30336.176841600001"/>
    <n v="3196.3694664960003"/>
    <n v="0"/>
    <n v="334500"/>
    <n v="38900"/>
    <n v="373400"/>
    <n v="-3.4892737141380199E-2"/>
    <n v="0.99970000000000003"/>
    <n v="0.98380000000000001"/>
    <n v="0.99729999999999996"/>
    <n v="1.0093000000000001"/>
    <n v="0.98909999999999998"/>
    <n v="0.94971499999999998"/>
    <n v="0.93022157868265209"/>
    <n v="334500"/>
    <n v="0"/>
    <n v="334500"/>
    <n v="36900"/>
    <n v="371400"/>
    <n v="1.8264840182648401E-2"/>
    <n v="-0.36815068493150682"/>
    <n v="-4.0062031532695788E-2"/>
  </r>
  <r>
    <n v="2025"/>
    <s v="18132314434    "/>
    <n v="-1.5141277326297755"/>
    <n v="0.22"/>
    <m/>
    <s v="6"/>
    <s v="RES"/>
    <x v="0"/>
    <s v="11"/>
    <s v="259"/>
    <s v="TD"/>
    <s v="F"/>
    <s v="AV"/>
    <x v="8"/>
    <n v="84"/>
    <n v="52"/>
    <n v="1940"/>
    <n v="1972"/>
    <n v="1135"/>
    <m/>
    <n v="1135"/>
    <n v="1135"/>
    <m/>
    <m/>
    <n v="1135"/>
    <n v="1500"/>
    <n v="5"/>
    <m/>
    <m/>
    <m/>
    <m/>
    <m/>
    <m/>
    <m/>
    <n v="190750"/>
    <n v="129710"/>
    <n v="5857"/>
    <n v="274100"/>
    <n v="61700"/>
    <n v="212400"/>
    <n v="0"/>
    <n v="0"/>
    <n v="89850.625589999996"/>
    <n v="-47929.131559187132"/>
    <n v="-43578.886190266698"/>
    <n v="160472.20319"/>
    <n v="-11598.371226000001"/>
    <n v="56078.840310395004"/>
    <n v="0"/>
    <n v="0"/>
    <n v="33007.951105344997"/>
    <n v="18960.110526"/>
    <n v="0"/>
    <n v="5900"/>
    <n v="213300"/>
    <n v="41900"/>
    <n v="261100"/>
    <n v="-4.7427946005107628E-2"/>
    <n v="0.99970000000000003"/>
    <n v="1"/>
    <n v="0.99729999999999996"/>
    <n v="1.0157"/>
    <n v="0.98909999999999998"/>
    <n v="0.94971499999999998"/>
    <n v="0.95153500728241536"/>
    <n v="213300"/>
    <n v="5600"/>
    <n v="218900"/>
    <n v="39800"/>
    <n v="258700"/>
    <n v="3.0602636534839925E-2"/>
    <n v="-0.35494327390599678"/>
    <n v="-5.6183874498358266E-2"/>
  </r>
  <r>
    <n v="2025"/>
    <s v="18132313552    "/>
    <n v="-1.8325814637483102"/>
    <n v="0.16"/>
    <n v="7006"/>
    <s v="6"/>
    <s v="RES"/>
    <x v="0"/>
    <s v="11"/>
    <s v="259"/>
    <s v="TD"/>
    <s v="F"/>
    <s v="GD"/>
    <x v="8"/>
    <n v="84"/>
    <n v="52"/>
    <n v="1940"/>
    <n v="1972"/>
    <n v="1086"/>
    <m/>
    <m/>
    <n v="0"/>
    <m/>
    <m/>
    <n v="1086"/>
    <n v="1500"/>
    <n v="5"/>
    <n v="280"/>
    <m/>
    <m/>
    <m/>
    <m/>
    <m/>
    <m/>
    <n v="169095"/>
    <n v="118367"/>
    <n v="0"/>
    <n v="260100"/>
    <n v="50600"/>
    <n v="209500"/>
    <n v="0"/>
    <n v="0"/>
    <n v="89850.625589999996"/>
    <n v="-58009.662049032086"/>
    <n v="-43578.886190266698"/>
    <n v="197752.34721000001"/>
    <n v="-11598.371226000001"/>
    <n v="53657.815486421998"/>
    <n v="0"/>
    <n v="0"/>
    <n v="0"/>
    <n v="18960.110526"/>
    <n v="0"/>
    <n v="0"/>
    <n v="215200"/>
    <n v="31800"/>
    <n v="247000"/>
    <n v="-5.0365244136870435E-2"/>
    <n v="0.99970000000000003"/>
    <n v="1"/>
    <n v="0.99650000000000005"/>
    <n v="1.0157"/>
    <n v="0.98909999999999998"/>
    <n v="0.94971499999999998"/>
    <n v="0.95077171839659791"/>
    <n v="215200"/>
    <n v="0"/>
    <n v="215200"/>
    <n v="30200"/>
    <n v="245400"/>
    <n v="2.720763723150358E-2"/>
    <n v="-0.40316205533596838"/>
    <n v="-5.6516724336793542E-2"/>
  </r>
  <r>
    <n v="2025"/>
    <s v="18131544415    "/>
    <n v="-1.4696759700589417"/>
    <n v="0.23"/>
    <n v="9923"/>
    <s v="6"/>
    <s v="RES"/>
    <x v="0"/>
    <s v="11"/>
    <s v="259"/>
    <s v="TD"/>
    <s v="F"/>
    <s v="GD"/>
    <x v="8"/>
    <n v="84"/>
    <n v="52"/>
    <n v="1940"/>
    <n v="1972"/>
    <n v="872"/>
    <m/>
    <n v="661"/>
    <n v="198"/>
    <n v="463"/>
    <m/>
    <n v="1335"/>
    <n v="1500"/>
    <n v="5"/>
    <m/>
    <m/>
    <m/>
    <m/>
    <m/>
    <m/>
    <m/>
    <n v="181263"/>
    <n v="126884"/>
    <n v="6443"/>
    <n v="288900"/>
    <n v="63300"/>
    <n v="225600"/>
    <n v="0"/>
    <n v="0"/>
    <n v="89850.625589999996"/>
    <n v="-46522.028095997222"/>
    <n v="-43578.886190266698"/>
    <n v="197752.34721000001"/>
    <n v="-11598.371226000001"/>
    <n v="43084.360132744005"/>
    <n v="0"/>
    <n v="0"/>
    <n v="19223.132758266998"/>
    <n v="18960.110526"/>
    <n v="0"/>
    <n v="6400"/>
    <n v="223800"/>
    <n v="43300"/>
    <n v="273500"/>
    <n v="-5.3305642090688818E-2"/>
    <n v="0.99970000000000003"/>
    <n v="1"/>
    <n v="0.99650000000000005"/>
    <n v="1.0157"/>
    <n v="0.98909999999999998"/>
    <n v="0.94971499999999998"/>
    <n v="0.95077171839659791"/>
    <n v="223800"/>
    <n v="6100"/>
    <n v="229900"/>
    <n v="41100"/>
    <n v="271000"/>
    <n v="1.9060283687943262E-2"/>
    <n v="-0.35071090047393366"/>
    <n v="-6.1959155417099343E-2"/>
  </r>
  <r>
    <n v="2025"/>
    <s v="18132214039    "/>
    <n v="-1.7719568419318752"/>
    <n v="0.17"/>
    <n v="7245"/>
    <s v="6"/>
    <s v="RES"/>
    <x v="0"/>
    <s v="11"/>
    <s v="259"/>
    <s v="TD"/>
    <s v="F"/>
    <s v="FR"/>
    <x v="8"/>
    <n v="84"/>
    <n v="52"/>
    <n v="1940"/>
    <n v="1972"/>
    <n v="699"/>
    <m/>
    <n v="450"/>
    <n v="450"/>
    <m/>
    <m/>
    <n v="699"/>
    <n v="1000"/>
    <n v="5"/>
    <m/>
    <m/>
    <n v="66"/>
    <m/>
    <m/>
    <m/>
    <m/>
    <n v="127631"/>
    <n v="84236"/>
    <n v="5261"/>
    <n v="199000"/>
    <n v="52700"/>
    <n v="146300"/>
    <n v="0"/>
    <n v="0"/>
    <n v="89850.625589999996"/>
    <n v="-56090.612940989391"/>
    <n v="-43578.886190266698"/>
    <n v="133714.53821"/>
    <n v="-11598.371226000001"/>
    <n v="34536.660244022998"/>
    <n v="0"/>
    <n v="0"/>
    <n v="13086.852861149999"/>
    <n v="18960.110526"/>
    <n v="2197.5040082160003"/>
    <n v="5300"/>
    <n v="147300"/>
    <n v="33800"/>
    <n v="186400"/>
    <n v="-6.3316582914572858E-2"/>
    <n v="0.99970000000000003"/>
    <n v="1"/>
    <n v="0.99329999999999996"/>
    <n v="1.0148999999999999"/>
    <n v="0.98909999999999998"/>
    <n v="0.94971499999999998"/>
    <n v="0.94697210735437787"/>
    <n v="147300"/>
    <n v="5000"/>
    <n v="152300"/>
    <n v="32100"/>
    <n v="184400"/>
    <n v="4.1011619958988381E-2"/>
    <n v="-0.39089184060721061"/>
    <n v="-7.3366834170854267E-2"/>
  </r>
  <r>
    <n v="2025"/>
    <s v="18132313553    "/>
    <n v="-0.9942522733438669"/>
    <n v="0.37"/>
    <m/>
    <s v="6"/>
    <s v="RES"/>
    <x v="0"/>
    <s v="11"/>
    <s v="259"/>
    <s v="MS"/>
    <s v="F"/>
    <s v="AV"/>
    <x v="8"/>
    <n v="84"/>
    <n v="52"/>
    <n v="1940"/>
    <n v="1972"/>
    <n v="646"/>
    <m/>
    <m/>
    <n v="0"/>
    <m/>
    <m/>
    <n v="646"/>
    <n v="1000"/>
    <n v="5"/>
    <m/>
    <m/>
    <m/>
    <m/>
    <m/>
    <m/>
    <m/>
    <n v="96192"/>
    <n v="65411"/>
    <n v="1917"/>
    <n v="276600"/>
    <n v="79900"/>
    <n v="196700"/>
    <n v="0"/>
    <n v="0"/>
    <n v="89850.625589999996"/>
    <n v="-31472.673662315807"/>
    <n v="-43578.886190266698"/>
    <n v="160472.20319"/>
    <n v="-11598.371226000001"/>
    <n v="31918.000740542"/>
    <n v="0"/>
    <n v="0"/>
    <n v="0"/>
    <n v="18960.110526"/>
    <n v="0"/>
    <n v="1900"/>
    <n v="156200"/>
    <n v="58400"/>
    <n v="216500"/>
    <n v="-0.21728127259580621"/>
    <n v="0.99970000000000003"/>
    <n v="1"/>
    <n v="0.99729999999999996"/>
    <n v="1.0148999999999999"/>
    <n v="0.98909999999999998"/>
    <n v="0.94971499999999998"/>
    <n v="0.95078554582152541"/>
    <n v="156200"/>
    <n v="1800"/>
    <n v="158000"/>
    <n v="55400"/>
    <n v="213400"/>
    <n v="-0.1967463141840366"/>
    <n v="-0.30663329161451813"/>
    <n v="-0.22848879248011569"/>
  </r>
  <r>
    <n v="2025"/>
    <s v="18132321034    "/>
    <n v="-1.0788096613719298"/>
    <n v="0.34"/>
    <n v="14977"/>
    <s v="6"/>
    <s v="RES"/>
    <x v="0"/>
    <s v="11"/>
    <s v="259"/>
    <s v="TD"/>
    <s v="F"/>
    <s v="PR"/>
    <x v="8"/>
    <n v="84"/>
    <n v="52"/>
    <n v="1940"/>
    <n v="1972"/>
    <n v="825"/>
    <m/>
    <n v="825"/>
    <n v="825"/>
    <m/>
    <m/>
    <n v="825"/>
    <n v="1000"/>
    <n v="5"/>
    <m/>
    <m/>
    <m/>
    <m/>
    <m/>
    <m/>
    <m/>
    <n v="147754"/>
    <n v="96040"/>
    <n v="4776"/>
    <n v="186100"/>
    <n v="76900"/>
    <n v="109200"/>
    <n v="0"/>
    <n v="0"/>
    <n v="89850.625589999996"/>
    <n v="-34149.305288406773"/>
    <n v="-43578.886190266698"/>
    <n v="39013.223933000001"/>
    <n v="-11598.371226000001"/>
    <n v="40762.152648525"/>
    <n v="0"/>
    <n v="0"/>
    <n v="23992.563578775"/>
    <n v="18960.110526"/>
    <n v="0"/>
    <n v="4800"/>
    <n v="67600"/>
    <n v="55700"/>
    <n v="128100"/>
    <n v="-0.31166039763567976"/>
    <n v="0.99970000000000003"/>
    <n v="1"/>
    <n v="1.0021"/>
    <n v="1.0148999999999999"/>
    <n v="0.98909999999999998"/>
    <n v="0.94971499999999998"/>
    <n v="0.95536167198210231"/>
    <n v="67600"/>
    <n v="4500"/>
    <n v="72100"/>
    <n v="52900"/>
    <n v="125000"/>
    <n v="-0.33974358974358976"/>
    <n v="-0.31209362808842656"/>
    <n v="-0.32831810854379367"/>
  </r>
  <r>
    <n v="2025"/>
    <s v="18132241030    "/>
    <n v="-1.8971199848858813"/>
    <n v="0.15"/>
    <n v="6440"/>
    <s v="6"/>
    <s v="RES"/>
    <x v="0"/>
    <s v="11"/>
    <s v="259"/>
    <s v="CO"/>
    <s v="G"/>
    <s v="GD"/>
    <x v="8"/>
    <n v="85"/>
    <n v="53"/>
    <n v="1939"/>
    <n v="1971"/>
    <n v="852"/>
    <n v="660"/>
    <n v="884"/>
    <n v="265"/>
    <n v="619"/>
    <m/>
    <n v="2131"/>
    <n v="2500"/>
    <n v="7"/>
    <m/>
    <m/>
    <m/>
    <m/>
    <m/>
    <m/>
    <m/>
    <n v="373795"/>
    <n v="257919"/>
    <n v="6259"/>
    <n v="357900"/>
    <n v="48400"/>
    <n v="309500"/>
    <n v="0"/>
    <n v="0"/>
    <n v="89850.625589999996"/>
    <n v="-60052.604136134301"/>
    <n v="44121.038090000002"/>
    <n v="197752.34721000001"/>
    <n v="-11821.416826500001"/>
    <n v="42096.186735203999"/>
    <n v="29559.03908826"/>
    <n v="0"/>
    <n v="25708.395398347999"/>
    <n v="26544.1547364"/>
    <n v="0"/>
    <n v="6300"/>
    <n v="354000"/>
    <n v="29800"/>
    <n v="390100"/>
    <n v="8.9969265157865325E-2"/>
    <n v="0.99970000000000003"/>
    <n v="0.98050000000000004"/>
    <n v="0.99650000000000005"/>
    <n v="0.98919999999999997"/>
    <n v="0.98909999999999998"/>
    <n v="0.94971499999999998"/>
    <n v="0.90790939042342744"/>
    <n v="354000"/>
    <n v="5900"/>
    <n v="359900"/>
    <n v="28300"/>
    <n v="388200"/>
    <n v="0.16284329563812602"/>
    <n v="-0.41528925619834711"/>
    <n v="8.4660519698239733E-2"/>
  </r>
  <r>
    <n v="2025"/>
    <s v="18132241410    "/>
    <n v="-2.120263536200091"/>
    <n v="0.12"/>
    <n v="5178"/>
    <s v="6"/>
    <s v="RES"/>
    <x v="0"/>
    <s v="11"/>
    <s v="259"/>
    <s v="BG"/>
    <s v="A"/>
    <s v="AV"/>
    <x v="8"/>
    <n v="85"/>
    <n v="53"/>
    <n v="1939"/>
    <n v="1971"/>
    <n v="1101"/>
    <m/>
    <n v="1101"/>
    <n v="851"/>
    <n v="250"/>
    <m/>
    <n v="1351"/>
    <n v="1500"/>
    <n v="5"/>
    <m/>
    <m/>
    <m/>
    <m/>
    <m/>
    <m/>
    <m/>
    <n v="246788"/>
    <n v="165348"/>
    <n v="9465"/>
    <n v="282400"/>
    <n v="40600"/>
    <n v="241800"/>
    <n v="0"/>
    <n v="0"/>
    <n v="89850.625589999996"/>
    <n v="-67116.12750806773"/>
    <n v="21557.329055999999"/>
    <n v="160472.20319"/>
    <n v="-11821.416826500001"/>
    <n v="54398.945534577004"/>
    <n v="0"/>
    <n v="0"/>
    <n v="32019.166666947"/>
    <n v="18960.110526"/>
    <n v="0"/>
    <n v="9500"/>
    <n v="275600"/>
    <n v="22700"/>
    <n v="307800"/>
    <n v="8.9943342776203972E-2"/>
    <n v="0.99970000000000003"/>
    <n v="1.0067999999999999"/>
    <n v="0.99729999999999996"/>
    <n v="1.0157"/>
    <n v="0.98909999999999998"/>
    <n v="0.94971499999999998"/>
    <n v="0.95800544533193577"/>
    <n v="275600"/>
    <n v="9000"/>
    <n v="284600"/>
    <n v="21600"/>
    <n v="306200"/>
    <n v="0.17700578990901572"/>
    <n v="-0.46798029556650245"/>
    <n v="8.4277620396600569E-2"/>
  </r>
  <r>
    <n v="2025"/>
    <s v="18132342491    "/>
    <n v="-1.1086626245216111"/>
    <n v="0.33"/>
    <n v="14528"/>
    <s v="6"/>
    <s v="RES"/>
    <x v="0"/>
    <s v="11"/>
    <s v="259"/>
    <s v="CO"/>
    <s v="G"/>
    <s v="GD"/>
    <x v="8"/>
    <n v="85"/>
    <n v="53"/>
    <n v="1939"/>
    <n v="1971"/>
    <n v="2345"/>
    <n v="546"/>
    <n v="709"/>
    <n v="709"/>
    <m/>
    <m/>
    <n v="2891"/>
    <n v="3000"/>
    <n v="5"/>
    <m/>
    <m/>
    <n v="117"/>
    <m/>
    <m/>
    <m/>
    <m/>
    <n v="606690"/>
    <n v="418616"/>
    <n v="26578"/>
    <n v="461900"/>
    <n v="75900"/>
    <n v="386000"/>
    <n v="0"/>
    <n v="0"/>
    <n v="89850.625589999996"/>
    <n v="-35094.289365640165"/>
    <n v="44121.038090000002"/>
    <n v="197752.34721000001"/>
    <n v="-11821.416826500001"/>
    <n v="115863.330861565"/>
    <n v="24453.386882105999"/>
    <n v="0"/>
    <n v="20619.063730122998"/>
    <n v="18960.110526"/>
    <n v="3895.5752872920002"/>
    <n v="26600"/>
    <n v="413800"/>
    <n v="54800"/>
    <n v="495200"/>
    <n v="7.2093526737389044E-2"/>
    <n v="0.99970000000000003"/>
    <n v="0.98050000000000004"/>
    <n v="0.99650000000000005"/>
    <n v="0.96179999999999999"/>
    <n v="0.98909999999999998"/>
    <n v="0.94971499999999998"/>
    <n v="0.88276107127906644"/>
    <n v="413800"/>
    <n v="25200"/>
    <n v="439000"/>
    <n v="52000"/>
    <n v="491000"/>
    <n v="0.13730569948186527"/>
    <n v="-0.31488801054018445"/>
    <n v="6.3000649491231867E-2"/>
  </r>
  <r>
    <n v="2025"/>
    <s v="18132333007    "/>
    <n v="-1.5141277326297755"/>
    <n v="0.22"/>
    <n v="9766"/>
    <s v="6"/>
    <s v="RES"/>
    <x v="0"/>
    <s v="11"/>
    <s v="259"/>
    <s v="TD"/>
    <s v="A"/>
    <s v="AV"/>
    <x v="8"/>
    <n v="85"/>
    <n v="53"/>
    <n v="1939"/>
    <n v="1971"/>
    <n v="648"/>
    <m/>
    <n v="648"/>
    <n v="130"/>
    <n v="518"/>
    <m/>
    <n v="1166"/>
    <n v="1500"/>
    <n v="5"/>
    <m/>
    <m/>
    <m/>
    <m/>
    <m/>
    <m/>
    <m/>
    <n v="159794"/>
    <n v="107062"/>
    <n v="5289"/>
    <n v="272100"/>
    <n v="61700"/>
    <n v="210400"/>
    <n v="0"/>
    <n v="0"/>
    <n v="89850.625589999996"/>
    <n v="-47929.131559187132"/>
    <n v="21557.329055999999"/>
    <n v="160472.20319"/>
    <n v="-11821.416826500001"/>
    <n v="32016.818080296001"/>
    <n v="0"/>
    <n v="0"/>
    <n v="18845.068120055999"/>
    <n v="18960.110526"/>
    <n v="0"/>
    <n v="5300"/>
    <n v="240000"/>
    <n v="41900"/>
    <n v="287200"/>
    <n v="5.5494303564865857E-2"/>
    <n v="0.99970000000000003"/>
    <n v="1.0067999999999999"/>
    <n v="0.99729999999999996"/>
    <n v="1.0157"/>
    <n v="0.98909999999999998"/>
    <n v="0.94971499999999998"/>
    <n v="0.95800544533193577"/>
    <n v="240000"/>
    <n v="5000"/>
    <n v="245000"/>
    <n v="39800"/>
    <n v="284800"/>
    <n v="0.1644486692015209"/>
    <n v="-0.35494327390599678"/>
    <n v="4.6674016905549433E-2"/>
  </r>
  <r>
    <n v="2025"/>
    <s v="18132213061    "/>
    <n v="-1.1711829815029451"/>
    <n v="0.31"/>
    <n v="13585"/>
    <s v="6"/>
    <s v="RES"/>
    <x v="0"/>
    <s v="11"/>
    <s v="259"/>
    <s v="TD"/>
    <s v="A"/>
    <s v="AV"/>
    <x v="8"/>
    <n v="85"/>
    <n v="53"/>
    <n v="1939"/>
    <n v="1971"/>
    <n v="2091"/>
    <m/>
    <m/>
    <n v="0"/>
    <m/>
    <m/>
    <n v="2091"/>
    <n v="2500"/>
    <n v="8"/>
    <m/>
    <m/>
    <n v="278"/>
    <m/>
    <m/>
    <m/>
    <m/>
    <n v="329127"/>
    <n v="220515"/>
    <n v="10817"/>
    <n v="357300"/>
    <n v="73700"/>
    <n v="283600"/>
    <n v="0"/>
    <n v="0"/>
    <n v="89850.625589999996"/>
    <n v="-37073.347241874442"/>
    <n v="21557.329055999999"/>
    <n v="160472.20319"/>
    <n v="-11821.416826500001"/>
    <n v="103313.528712807"/>
    <n v="0"/>
    <n v="0"/>
    <n v="0"/>
    <n v="30336.176841600001"/>
    <n v="9256.1532467280012"/>
    <n v="10800"/>
    <n v="313100"/>
    <n v="52800"/>
    <n v="376700"/>
    <n v="5.4296109711726839E-2"/>
    <n v="0.99970000000000003"/>
    <n v="1.0067999999999999"/>
    <n v="0.99729999999999996"/>
    <n v="0.98919999999999997"/>
    <n v="0.98909999999999998"/>
    <n v="0.94971499999999998"/>
    <n v="0.93301071824589021"/>
    <n v="313100"/>
    <n v="10300"/>
    <n v="323400"/>
    <n v="50100"/>
    <n v="373500"/>
    <n v="0.14033850493653033"/>
    <n v="-0.32021709633649931"/>
    <n v="4.534005037783375E-2"/>
  </r>
  <r>
    <n v="2025"/>
    <s v="18132332513    "/>
    <n v="-2.0402208285265546"/>
    <n v="0.13"/>
    <n v="5738"/>
    <s v="6"/>
    <s v="RES"/>
    <x v="0"/>
    <s v="11"/>
    <s v="259"/>
    <s v="TD"/>
    <s v="F+"/>
    <s v="AV"/>
    <x v="8"/>
    <n v="85"/>
    <n v="53"/>
    <n v="1939"/>
    <n v="1971"/>
    <n v="992"/>
    <m/>
    <m/>
    <n v="0"/>
    <m/>
    <m/>
    <n v="992"/>
    <n v="1000"/>
    <n v="5"/>
    <m/>
    <m/>
    <m/>
    <m/>
    <m/>
    <m/>
    <m/>
    <n v="146223"/>
    <n v="97969"/>
    <n v="7519"/>
    <n v="239600"/>
    <n v="43400"/>
    <n v="196200"/>
    <n v="0"/>
    <n v="0"/>
    <n v="89850.625589999996"/>
    <n v="-64582.406353792743"/>
    <n v="0"/>
    <n v="160472.20319"/>
    <n v="-11821.416826500001"/>
    <n v="49013.400517984002"/>
    <n v="0"/>
    <n v="0"/>
    <n v="0"/>
    <n v="18960.110526"/>
    <n v="0"/>
    <n v="7500"/>
    <n v="216600"/>
    <n v="25300"/>
    <n v="249400"/>
    <n v="4.0901502504173626E-2"/>
    <n v="0.99970000000000003"/>
    <n v="0.99180000000000001"/>
    <n v="0.99729999999999996"/>
    <n v="1.0148999999999999"/>
    <n v="0.98909999999999998"/>
    <n v="0.94971499999999998"/>
    <n v="0.94298910434578886"/>
    <n v="216600"/>
    <n v="7100"/>
    <n v="223700"/>
    <n v="24000"/>
    <n v="247700"/>
    <n v="0.14016309887869521"/>
    <n v="-0.44700460829493088"/>
    <n v="3.3806343906510848E-2"/>
  </r>
  <r>
    <n v="2025"/>
    <s v="18132241436    "/>
    <n v="-1.7719568419318752"/>
    <n v="0.17"/>
    <n v="7557"/>
    <s v="6"/>
    <s v="RES"/>
    <x v="0"/>
    <s v="11"/>
    <s v="259"/>
    <s v="TD"/>
    <s v="A"/>
    <s v="AV"/>
    <x v="8"/>
    <n v="85"/>
    <n v="53"/>
    <n v="1939"/>
    <n v="1971"/>
    <n v="948"/>
    <m/>
    <n v="978"/>
    <n v="196"/>
    <n v="782"/>
    <m/>
    <n v="1730"/>
    <n v="2000"/>
    <n v="7"/>
    <n v="354"/>
    <m/>
    <m/>
    <m/>
    <m/>
    <m/>
    <m/>
    <n v="256409"/>
    <n v="171794"/>
    <n v="0"/>
    <n v="296600"/>
    <n v="52700"/>
    <n v="243900"/>
    <n v="0"/>
    <n v="0"/>
    <n v="89850.625589999996"/>
    <n v="-56090.612940989391"/>
    <n v="21557.329055999999"/>
    <n v="160472.20319"/>
    <n v="-11821.416826500001"/>
    <n v="46839.419043396003"/>
    <n v="0"/>
    <n v="0"/>
    <n v="28442.093551565998"/>
    <n v="26544.1547364"/>
    <n v="0"/>
    <n v="0"/>
    <n v="272000"/>
    <n v="33800"/>
    <n v="305800"/>
    <n v="3.1018206338503034E-2"/>
    <n v="0.99970000000000003"/>
    <n v="1.0067999999999999"/>
    <n v="0.99729999999999996"/>
    <n v="1.0093000000000001"/>
    <n v="0.98909999999999998"/>
    <n v="0.94971499999999998"/>
    <n v="0.95196898294134369"/>
    <n v="272000"/>
    <n v="0"/>
    <n v="272000"/>
    <n v="32100"/>
    <n v="304100"/>
    <n v="0.11521115211152111"/>
    <n v="-0.39089184060721061"/>
    <n v="2.528658125421443E-2"/>
  </r>
  <r>
    <n v="2025"/>
    <s v="18132332495    "/>
    <n v="-1.5606477482646683"/>
    <n v="0.21"/>
    <n v="9300"/>
    <s v="6"/>
    <s v="RES"/>
    <x v="0"/>
    <s v="11"/>
    <s v="259"/>
    <s v="TD"/>
    <s v="A"/>
    <s v="GD"/>
    <x v="8"/>
    <n v="86"/>
    <n v="53"/>
    <n v="1938"/>
    <n v="1971"/>
    <n v="1645"/>
    <m/>
    <m/>
    <n v="0"/>
    <m/>
    <m/>
    <n v="1645"/>
    <n v="2000"/>
    <n v="9"/>
    <m/>
    <m/>
    <m/>
    <m/>
    <m/>
    <m/>
    <n v="85"/>
    <n v="216177"/>
    <n v="149162"/>
    <n v="0"/>
    <n v="205000"/>
    <n v="60100"/>
    <n v="144900"/>
    <n v="0"/>
    <n v="0"/>
    <n v="89850.625589999996"/>
    <n v="-49401.70477837498"/>
    <n v="21557.329055999999"/>
    <n v="197752.34721000001"/>
    <n v="-11821.416826500001"/>
    <n v="81277.261947665"/>
    <n v="0"/>
    <n v="0"/>
    <n v="0"/>
    <n v="34128.198946800003"/>
    <n v="0"/>
    <n v="0"/>
    <n v="322900"/>
    <n v="40400"/>
    <n v="363300"/>
    <n v="0.77219512195121953"/>
    <n v="0.99970000000000003"/>
    <n v="1.0067999999999999"/>
    <n v="0.99650000000000005"/>
    <n v="1.0093000000000001"/>
    <n v="0.98909999999999998"/>
    <n v="0.94971499999999998"/>
    <n v="0.95120534593507355"/>
    <n v="322900"/>
    <n v="0"/>
    <n v="322900"/>
    <n v="38400"/>
    <n v="361300"/>
    <n v="1.2284334023464458"/>
    <n v="-0.36106489184692181"/>
    <n v="0.76243902439024391"/>
  </r>
  <r>
    <n v="2025"/>
    <s v="18132331020    "/>
    <n v="-1.7719568419318752"/>
    <n v="0.17"/>
    <m/>
    <s v="6"/>
    <s v="RES"/>
    <x v="0"/>
    <s v="11"/>
    <s v="259"/>
    <s v="CO"/>
    <s v="G+"/>
    <s v="VG"/>
    <x v="8"/>
    <n v="86"/>
    <n v="28"/>
    <n v="1938"/>
    <n v="1996"/>
    <n v="1180"/>
    <n v="1624"/>
    <n v="1120"/>
    <n v="1120"/>
    <n v="0"/>
    <m/>
    <n v="2804"/>
    <n v="3000"/>
    <n v="13"/>
    <m/>
    <n v="600"/>
    <m/>
    <m/>
    <m/>
    <m/>
    <n v="70"/>
    <n v="620156"/>
    <n v="558140"/>
    <n v="0"/>
    <n v="381800"/>
    <n v="52700"/>
    <n v="329100"/>
    <n v="0"/>
    <n v="0"/>
    <n v="89850.625589999996"/>
    <n v="-56090.612940989391"/>
    <n v="74268.409664999999"/>
    <n v="284810.60806"/>
    <n v="-6245.2768139999998"/>
    <n v="58302.23045486"/>
    <n v="72733.150726263993"/>
    <n v="0"/>
    <n v="32571.722676639998"/>
    <n v="49296.287367600002"/>
    <n v="0"/>
    <n v="0"/>
    <n v="565700"/>
    <n v="33800"/>
    <n v="599500"/>
    <n v="0.57019381875327402"/>
    <n v="0.99970000000000003"/>
    <n v="0.98380000000000001"/>
    <n v="1.0158"/>
    <n v="0.96179999999999999"/>
    <n v="0.98909999999999998"/>
    <n v="0.94971499999999998"/>
    <n v="0.90288678946097178"/>
    <n v="565700"/>
    <n v="0"/>
    <n v="565700"/>
    <n v="32100"/>
    <n v="597800"/>
    <n v="0.71893041628684295"/>
    <n v="-0.39089184060721061"/>
    <n v="0.56574122577265584"/>
  </r>
  <r>
    <n v="2025"/>
    <s v="18132331033    "/>
    <n v="-1.3093333199837622"/>
    <n v="0.27"/>
    <m/>
    <s v="6"/>
    <s v="RES"/>
    <x v="0"/>
    <s v="11"/>
    <s v="259"/>
    <s v="TD"/>
    <s v="A+"/>
    <s v="VG"/>
    <x v="8"/>
    <n v="86"/>
    <n v="53"/>
    <n v="1938"/>
    <n v="1971"/>
    <n v="1020"/>
    <m/>
    <n v="796"/>
    <n v="0"/>
    <n v="796"/>
    <m/>
    <n v="1816"/>
    <n v="2000"/>
    <n v="8"/>
    <m/>
    <m/>
    <m/>
    <m/>
    <m/>
    <m/>
    <m/>
    <n v="297377"/>
    <n v="208164"/>
    <n v="8903"/>
    <n v="388800"/>
    <n v="68900"/>
    <n v="319900"/>
    <n v="0"/>
    <n v="0"/>
    <n v="89850.625589999996"/>
    <n v="-41446.443120973789"/>
    <n v="29814.093161000001"/>
    <n v="284810.60806"/>
    <n v="-11821.416826500001"/>
    <n v="50396.843274539999"/>
    <n v="0"/>
    <n v="0"/>
    <n v="23149.188616611998"/>
    <n v="30336.176841600001"/>
    <n v="0"/>
    <n v="8900"/>
    <n v="406700"/>
    <n v="48400"/>
    <n v="464000"/>
    <n v="0.19341563786008231"/>
    <n v="0.99970000000000003"/>
    <n v="1.0088999999999999"/>
    <n v="1.0158"/>
    <n v="1.0093000000000001"/>
    <n v="0.98909999999999998"/>
    <n v="0.94971499999999998"/>
    <n v="0.97165055492736241"/>
    <n v="406700"/>
    <n v="8500"/>
    <n v="415200"/>
    <n v="46000"/>
    <n v="461200"/>
    <n v="0.2979055954985933"/>
    <n v="-0.33236574746008707"/>
    <n v="0.18621399176954734"/>
  </r>
  <r>
    <n v="2025"/>
    <s v="18132331488    "/>
    <n v="-1.4696759700589417"/>
    <n v="0.23"/>
    <n v="9914"/>
    <s v="6"/>
    <s v="RES"/>
    <x v="0"/>
    <s v="11"/>
    <s v="259"/>
    <s v="RN"/>
    <s v="G"/>
    <s v="VG"/>
    <x v="8"/>
    <n v="86"/>
    <n v="53"/>
    <n v="1938"/>
    <n v="1971"/>
    <n v="1977"/>
    <m/>
    <n v="770"/>
    <n v="0"/>
    <n v="770"/>
    <m/>
    <n v="2747"/>
    <n v="3000"/>
    <n v="10"/>
    <m/>
    <m/>
    <m/>
    <m/>
    <m/>
    <m/>
    <m/>
    <n v="498573"/>
    <n v="349001"/>
    <n v="47051"/>
    <n v="490900"/>
    <n v="63300"/>
    <n v="427600"/>
    <n v="0"/>
    <n v="0"/>
    <n v="89850.625589999996"/>
    <n v="-46522.028095997222"/>
    <n v="44121.038090000002"/>
    <n v="284810.60806"/>
    <n v="-11821.416826500001"/>
    <n v="97680.940346828997"/>
    <n v="0"/>
    <n v="0"/>
    <n v="22393.059340190001"/>
    <n v="37920.221052000001"/>
    <n v="0"/>
    <n v="47100"/>
    <n v="475100"/>
    <n v="43300"/>
    <n v="565500"/>
    <n v="0.15196577714402118"/>
    <n v="0.99970000000000003"/>
    <n v="0.98050000000000004"/>
    <n v="1.0158"/>
    <n v="0.96179999999999999"/>
    <n v="0.98909999999999998"/>
    <n v="0.94971499999999998"/>
    <n v="0.89985819990494287"/>
    <n v="475100"/>
    <n v="44700"/>
    <n v="519800"/>
    <n v="41100"/>
    <n v="560900"/>
    <n v="0.21562207670720299"/>
    <n v="-0.35071090047393366"/>
    <n v="0.1425952332450601"/>
  </r>
  <r>
    <n v="2025"/>
    <s v="18132324465    "/>
    <n v="-1.3470736479666092"/>
    <n v="0.26"/>
    <m/>
    <s v="6"/>
    <s v="RES"/>
    <x v="0"/>
    <s v="11"/>
    <s v="259"/>
    <s v="BG"/>
    <s v="A+"/>
    <s v="GD"/>
    <x v="8"/>
    <n v="86"/>
    <n v="53"/>
    <n v="1938"/>
    <n v="1971"/>
    <n v="1351"/>
    <m/>
    <n v="1260"/>
    <n v="525"/>
    <n v="735"/>
    <n v="192"/>
    <n v="2278"/>
    <n v="2500"/>
    <n v="9"/>
    <n v="240"/>
    <m/>
    <n v="596"/>
    <m/>
    <m/>
    <m/>
    <m/>
    <n v="396605"/>
    <n v="273657"/>
    <n v="0"/>
    <n v="380800"/>
    <n v="67600"/>
    <n v="313200"/>
    <n v="0"/>
    <n v="0"/>
    <n v="89850.625589999996"/>
    <n v="-42641.098701210125"/>
    <n v="29814.093161000001"/>
    <n v="197752.34721000001"/>
    <n v="-11821.416826500001"/>
    <n v="66751.113003827006"/>
    <n v="0"/>
    <n v="12498.176841792001"/>
    <n v="36643.188011220001"/>
    <n v="34128.198946800003"/>
    <n v="19844.127104496001"/>
    <n v="0"/>
    <n v="385600"/>
    <n v="47200"/>
    <n v="432800"/>
    <n v="0.13655462184873948"/>
    <n v="0.99970000000000003"/>
    <n v="1.0088999999999999"/>
    <n v="0.99650000000000005"/>
    <n v="0.98919999999999997"/>
    <n v="0.98909999999999998"/>
    <n v="0.94971499999999998"/>
    <n v="0.93420681692829766"/>
    <n v="385600"/>
    <n v="0"/>
    <n v="385600"/>
    <n v="44800"/>
    <n v="430400"/>
    <n v="0.23116219667943805"/>
    <n v="-0.33727810650887574"/>
    <n v="0.13025210084033614"/>
  </r>
  <r>
    <n v="2025"/>
    <s v="18132344401    "/>
    <n v="-1.5141277326297755"/>
    <n v="0.22"/>
    <m/>
    <s v="6"/>
    <s v="RES"/>
    <x v="0"/>
    <s v="11"/>
    <s v="259"/>
    <s v="TD"/>
    <s v="G"/>
    <s v="GD"/>
    <x v="8"/>
    <n v="86"/>
    <n v="53"/>
    <n v="1938"/>
    <n v="1971"/>
    <n v="1446"/>
    <m/>
    <n v="650"/>
    <n v="650"/>
    <m/>
    <m/>
    <n v="1446"/>
    <n v="1500"/>
    <n v="8"/>
    <m/>
    <m/>
    <m/>
    <m/>
    <m/>
    <m/>
    <m/>
    <n v="357654"/>
    <n v="246781"/>
    <n v="17459"/>
    <n v="368100"/>
    <n v="61700"/>
    <n v="306400"/>
    <n v="0"/>
    <n v="0"/>
    <n v="89850.625589999996"/>
    <n v="-47929.131559187132"/>
    <n v="44121.038090000002"/>
    <n v="197752.34721000001"/>
    <n v="-11821.416826500001"/>
    <n v="71444.936642141998"/>
    <n v="0"/>
    <n v="0"/>
    <n v="18903.231910549999"/>
    <n v="30336.176841600001"/>
    <n v="0"/>
    <n v="17500"/>
    <n v="350700"/>
    <n v="41900"/>
    <n v="410100"/>
    <n v="0.11409942950285248"/>
    <n v="0.99970000000000003"/>
    <n v="0.98050000000000004"/>
    <n v="0.99650000000000005"/>
    <n v="1.0157"/>
    <n v="0.98909999999999998"/>
    <n v="0.94971499999999998"/>
    <n v="0.93223166988786421"/>
    <n v="350700"/>
    <n v="16600"/>
    <n v="367300"/>
    <n v="39800"/>
    <n v="407100"/>
    <n v="0.19875979112271541"/>
    <n v="-0.35494327390599678"/>
    <n v="0.10594947025264874"/>
  </r>
  <r>
    <n v="2025"/>
    <s v="18132332516    "/>
    <n v="-1.7719568419318752"/>
    <n v="0.17"/>
    <m/>
    <s v="6"/>
    <s v="RES"/>
    <x v="0"/>
    <s v="11"/>
    <s v="259"/>
    <s v="TD"/>
    <s v="F+"/>
    <s v="FR"/>
    <x v="8"/>
    <n v="86"/>
    <n v="52"/>
    <n v="1938"/>
    <n v="1972"/>
    <n v="884"/>
    <m/>
    <n v="884"/>
    <n v="884"/>
    <m/>
    <m/>
    <n v="884"/>
    <n v="1000"/>
    <n v="5"/>
    <m/>
    <m/>
    <m/>
    <m/>
    <m/>
    <m/>
    <m/>
    <n v="168406"/>
    <n v="111148"/>
    <n v="0"/>
    <n v="220900"/>
    <n v="52700"/>
    <n v="168200"/>
    <n v="0"/>
    <n v="0"/>
    <n v="89850.625589999996"/>
    <n v="-56090.612940989391"/>
    <n v="0"/>
    <n v="133714.53821"/>
    <n v="-11598.371226000001"/>
    <n v="43677.264171267998"/>
    <n v="0"/>
    <n v="0"/>
    <n v="25708.395398347999"/>
    <n v="18960.110526"/>
    <n v="0"/>
    <n v="0"/>
    <n v="210500"/>
    <n v="33800"/>
    <n v="244300"/>
    <n v="0.10593028519692169"/>
    <n v="0.99970000000000003"/>
    <n v="0.99180000000000001"/>
    <n v="0.99329999999999996"/>
    <n v="1.0148999999999999"/>
    <n v="0.98909999999999998"/>
    <n v="0.94971499999999998"/>
    <n v="0.93920693607407202"/>
    <n v="210500"/>
    <n v="0"/>
    <n v="210500"/>
    <n v="32100"/>
    <n v="242600"/>
    <n v="0.25148632580261593"/>
    <n v="-0.39089184060721061"/>
    <n v="9.8234495246717971E-2"/>
  </r>
  <r>
    <n v="2025"/>
    <s v="18132333469    "/>
    <n v="-1.5141277326297755"/>
    <n v="0.22"/>
    <m/>
    <s v="6"/>
    <s v="RES"/>
    <x v="0"/>
    <s v="11"/>
    <s v="259"/>
    <s v="TD"/>
    <s v="G"/>
    <s v="GD"/>
    <x v="8"/>
    <n v="86"/>
    <n v="53"/>
    <n v="1938"/>
    <n v="1971"/>
    <n v="1643"/>
    <m/>
    <n v="1339"/>
    <n v="402"/>
    <n v="937"/>
    <m/>
    <n v="2580"/>
    <n v="3000"/>
    <n v="8"/>
    <m/>
    <m/>
    <n v="366"/>
    <m/>
    <m/>
    <m/>
    <m/>
    <n v="449000"/>
    <n v="309810"/>
    <n v="9708"/>
    <n v="402700"/>
    <n v="61700"/>
    <n v="341000"/>
    <n v="0"/>
    <n v="0"/>
    <n v="89850.625589999996"/>
    <n v="-47929.131559187132"/>
    <n v="44121.038090000002"/>
    <n v="197752.34721000001"/>
    <n v="-11821.416826500001"/>
    <n v="81178.444607911006"/>
    <n v="0"/>
    <n v="0"/>
    <n v="38940.657735732995"/>
    <n v="30336.176841600001"/>
    <n v="12186.158591016001"/>
    <n v="9700"/>
    <n v="392700"/>
    <n v="41900"/>
    <n v="444300"/>
    <n v="0.10330270672957537"/>
    <n v="0.99970000000000003"/>
    <n v="0.98050000000000004"/>
    <n v="0.99650000000000005"/>
    <n v="0.96179999999999999"/>
    <n v="0.98909999999999998"/>
    <n v="0.94971499999999998"/>
    <n v="0.88276107127906644"/>
    <n v="392700"/>
    <n v="9200"/>
    <n v="401900"/>
    <n v="39800"/>
    <n v="441700"/>
    <n v="0.17859237536656891"/>
    <n v="-0.35494327390599678"/>
    <n v="9.684628755897691E-2"/>
  </r>
  <r>
    <n v="2025"/>
    <s v="18132243037    "/>
    <n v="-1.4696759700589417"/>
    <n v="0.23"/>
    <n v="10032"/>
    <s v="6"/>
    <s v="RES"/>
    <x v="0"/>
    <s v="11"/>
    <s v="259"/>
    <s v="TD"/>
    <s v="A"/>
    <s v="FR"/>
    <x v="8"/>
    <n v="86"/>
    <n v="53"/>
    <n v="1938"/>
    <n v="1971"/>
    <n v="969"/>
    <m/>
    <m/>
    <n v="0"/>
    <m/>
    <m/>
    <n v="969"/>
    <n v="1000"/>
    <n v="5"/>
    <m/>
    <m/>
    <n v="164"/>
    <m/>
    <m/>
    <m/>
    <m/>
    <n v="171497"/>
    <n v="111473"/>
    <n v="0"/>
    <n v="234500"/>
    <n v="63300"/>
    <n v="171200"/>
    <n v="0"/>
    <n v="0"/>
    <n v="89850.625589999996"/>
    <n v="-46522.028095997222"/>
    <n v="21557.329055999999"/>
    <n v="133714.53821"/>
    <n v="-11821.416826500001"/>
    <n v="47877.001110812998"/>
    <n v="0"/>
    <n v="0"/>
    <n v="0"/>
    <n v="18960.110526"/>
    <n v="5460.4645052640008"/>
    <n v="0"/>
    <n v="215700"/>
    <n v="43300"/>
    <n v="259000"/>
    <n v="0.1044776119402985"/>
    <n v="0.99970000000000003"/>
    <n v="1.0067999999999999"/>
    <n v="0.99329999999999996"/>
    <n v="1.0148999999999999"/>
    <n v="0.98909999999999998"/>
    <n v="0.94971499999999998"/>
    <n v="0.95341151768438748"/>
    <n v="215700"/>
    <n v="0"/>
    <n v="215700"/>
    <n v="41100"/>
    <n v="256800"/>
    <n v="0.25992990654205606"/>
    <n v="-0.35071090047393366"/>
    <n v="9.5095948827292109E-2"/>
  </r>
  <r>
    <n v="2025"/>
    <s v="18132344012    "/>
    <n v="-1.8971199848858813"/>
    <n v="0.15"/>
    <n v="6480"/>
    <s v="6"/>
    <s v="RES"/>
    <x v="0"/>
    <s v="11"/>
    <s v="259"/>
    <s v="TD"/>
    <s v="A"/>
    <s v="GD"/>
    <x v="8"/>
    <n v="86"/>
    <n v="53"/>
    <n v="1938"/>
    <n v="1971"/>
    <n v="1134"/>
    <m/>
    <m/>
    <n v="0"/>
    <m/>
    <m/>
    <n v="1134"/>
    <n v="1500"/>
    <n v="5"/>
    <m/>
    <m/>
    <m/>
    <m/>
    <m/>
    <m/>
    <m/>
    <n v="197111"/>
    <n v="136007"/>
    <n v="8623"/>
    <n v="291300"/>
    <n v="48400"/>
    <n v="242900"/>
    <n v="0"/>
    <n v="0"/>
    <n v="89850.625589999996"/>
    <n v="-60052.604136134301"/>
    <n v="21557.329055999999"/>
    <n v="197752.34721000001"/>
    <n v="-11821.416826500001"/>
    <n v="56029.431640518"/>
    <n v="0"/>
    <n v="0"/>
    <n v="0"/>
    <n v="18960.110526"/>
    <n v="0"/>
    <n v="8600"/>
    <n v="282500"/>
    <n v="29800"/>
    <n v="320900"/>
    <n v="0.10161345691726742"/>
    <n v="0.99970000000000003"/>
    <n v="1.0067999999999999"/>
    <n v="0.99650000000000005"/>
    <n v="1.0157"/>
    <n v="0.98909999999999998"/>
    <n v="0.94971499999999998"/>
    <n v="0.95723696608169473"/>
    <n v="282500"/>
    <n v="8200"/>
    <n v="290700"/>
    <n v="28300"/>
    <n v="319000"/>
    <n v="0.19678880197612186"/>
    <n v="-0.41528925619834711"/>
    <n v="9.5090971507037422E-2"/>
  </r>
  <r>
    <n v="2025"/>
    <s v="18132243417    "/>
    <n v="-1.6094379124341003"/>
    <n v="0.2"/>
    <n v="8680"/>
    <s v="6"/>
    <s v="RES"/>
    <x v="0"/>
    <s v="11"/>
    <s v="259"/>
    <s v="TD"/>
    <s v="A"/>
    <s v="GD"/>
    <x v="8"/>
    <n v="86"/>
    <n v="53"/>
    <n v="1938"/>
    <n v="1971"/>
    <n v="1224"/>
    <m/>
    <n v="792"/>
    <n v="392"/>
    <n v="400"/>
    <m/>
    <n v="1624"/>
    <n v="2000"/>
    <n v="5"/>
    <m/>
    <n v="432"/>
    <m/>
    <m/>
    <m/>
    <m/>
    <m/>
    <n v="271959"/>
    <n v="187652"/>
    <n v="0"/>
    <n v="318000"/>
    <n v="58400"/>
    <n v="259600"/>
    <n v="0"/>
    <n v="0"/>
    <n v="89850.625589999996"/>
    <n v="-50946.13867709865"/>
    <n v="21557.329055999999"/>
    <n v="197752.34721000001"/>
    <n v="-11821.416826500001"/>
    <n v="60476.211929448"/>
    <n v="0"/>
    <n v="0"/>
    <n v="23032.861035623999"/>
    <n v="18960.110526"/>
    <n v="0"/>
    <n v="0"/>
    <n v="310000"/>
    <n v="38900"/>
    <n v="348900"/>
    <n v="9.7169811320754723E-2"/>
    <n v="0.99970000000000003"/>
    <n v="1.0067999999999999"/>
    <n v="0.99650000000000005"/>
    <n v="1.0093000000000001"/>
    <n v="0.98909999999999998"/>
    <n v="0.94971499999999998"/>
    <n v="0.95120534593507355"/>
    <n v="310000"/>
    <n v="0"/>
    <n v="310000"/>
    <n v="36900"/>
    <n v="346900"/>
    <n v="0.19414483821263481"/>
    <n v="-0.36815068493150682"/>
    <n v="9.0880503144654082E-2"/>
  </r>
  <r>
    <n v="2025"/>
    <s v="18132342004    "/>
    <n v="-1.9661128563728327"/>
    <n v="0.14000000000000001"/>
    <m/>
    <s v="6"/>
    <s v="RES"/>
    <x v="0"/>
    <s v="11"/>
    <s v="259"/>
    <s v="CO"/>
    <s v="G"/>
    <s v="AV"/>
    <x v="8"/>
    <n v="86"/>
    <n v="53"/>
    <n v="1938"/>
    <n v="1971"/>
    <n v="1120"/>
    <n v="560"/>
    <n v="1120"/>
    <n v="1120"/>
    <n v="0"/>
    <m/>
    <n v="1680"/>
    <n v="2000"/>
    <n v="12"/>
    <m/>
    <m/>
    <m/>
    <m/>
    <m/>
    <m/>
    <m/>
    <n v="439982"/>
    <n v="294788"/>
    <n v="15104"/>
    <n v="360700"/>
    <n v="46000"/>
    <n v="314700"/>
    <n v="0"/>
    <n v="0"/>
    <n v="89850.625589999996"/>
    <n v="-62236.546971921947"/>
    <n v="44121.038090000002"/>
    <n v="160472.20319"/>
    <n v="-11821.416826500001"/>
    <n v="55337.710262239998"/>
    <n v="25080.396802159998"/>
    <n v="0"/>
    <n v="32571.722676639998"/>
    <n v="45504.265262400004"/>
    <n v="0"/>
    <n v="15100"/>
    <n v="351300"/>
    <n v="27600"/>
    <n v="394000"/>
    <n v="9.2320487940116436E-2"/>
    <n v="0.99970000000000003"/>
    <n v="0.98050000000000004"/>
    <n v="0.99729999999999996"/>
    <n v="1.0093000000000001"/>
    <n v="0.98909999999999998"/>
    <n v="0.94971499999999998"/>
    <n v="0.92710129894118753"/>
    <n v="351300"/>
    <n v="14300"/>
    <n v="365600"/>
    <n v="26200"/>
    <n v="391800"/>
    <n v="0.1617413409596441"/>
    <n v="-0.43043478260869567"/>
    <n v="8.6221236484613245E-2"/>
  </r>
  <r>
    <n v="2025"/>
    <s v="18132213005    "/>
    <n v="-1.7147984280919266"/>
    <n v="0.18"/>
    <n v="7750"/>
    <s v="6"/>
    <s v="RES"/>
    <x v="0"/>
    <s v="11"/>
    <s v="259"/>
    <s v="TD"/>
    <s v="A"/>
    <s v="GD"/>
    <x v="8"/>
    <n v="86"/>
    <n v="43"/>
    <n v="1938"/>
    <n v="1981"/>
    <n v="929"/>
    <m/>
    <n v="896"/>
    <n v="150"/>
    <n v="746"/>
    <m/>
    <n v="1675"/>
    <n v="2000"/>
    <n v="8"/>
    <m/>
    <m/>
    <m/>
    <m/>
    <m/>
    <m/>
    <m/>
    <n v="224527"/>
    <n v="177376"/>
    <n v="5261"/>
    <n v="323700"/>
    <n v="54700"/>
    <n v="269000"/>
    <n v="0"/>
    <n v="0"/>
    <n v="89850.625589999996"/>
    <n v="-54281.285314520763"/>
    <n v="21557.329055999999"/>
    <n v="197752.34721000001"/>
    <n v="-9590.9608215000007"/>
    <n v="45900.654315733002"/>
    <n v="0"/>
    <n v="0"/>
    <n v="26057.378141311998"/>
    <n v="30336.176841600001"/>
    <n v="0"/>
    <n v="5300"/>
    <n v="312000"/>
    <n v="35600"/>
    <n v="352900"/>
    <n v="9.0206981773246833E-2"/>
    <n v="0.99970000000000003"/>
    <n v="1.0067999999999999"/>
    <n v="0.99650000000000005"/>
    <n v="1.0093000000000001"/>
    <n v="0.98909999999999998"/>
    <n v="0.94971499999999998"/>
    <n v="0.95120534593507355"/>
    <n v="312000"/>
    <n v="5000"/>
    <n v="317000"/>
    <n v="33800"/>
    <n v="350800"/>
    <n v="0.17843866171003717"/>
    <n v="-0.38208409506398539"/>
    <n v="8.371949335804757E-2"/>
  </r>
  <r>
    <n v="2025"/>
    <s v="18132213006    "/>
    <n v="-1.6607312068216509"/>
    <n v="0.19"/>
    <n v="8068"/>
    <s v="6"/>
    <s v="RES"/>
    <x v="0"/>
    <s v="11"/>
    <s v="259"/>
    <s v="TD"/>
    <s v="F+"/>
    <s v="GD"/>
    <x v="8"/>
    <n v="86"/>
    <n v="53"/>
    <n v="1938"/>
    <n v="1971"/>
    <n v="840"/>
    <m/>
    <n v="840"/>
    <n v="420"/>
    <n v="420"/>
    <m/>
    <n v="1260"/>
    <n v="1500"/>
    <n v="5"/>
    <m/>
    <m/>
    <n v="24"/>
    <m/>
    <m/>
    <m/>
    <m/>
    <n v="192067"/>
    <n v="132526"/>
    <n v="6708"/>
    <n v="289400"/>
    <n v="56600"/>
    <n v="232800"/>
    <n v="0"/>
    <n v="0"/>
    <n v="89850.625589999996"/>
    <n v="-52569.808201026557"/>
    <n v="0"/>
    <n v="197752.34721000001"/>
    <n v="-11821.416826500001"/>
    <n v="41503.282696679998"/>
    <n v="0"/>
    <n v="0"/>
    <n v="24428.792007479999"/>
    <n v="18960.110526"/>
    <n v="799.09236662400008"/>
    <n v="6700"/>
    <n v="271600"/>
    <n v="37300"/>
    <n v="315600"/>
    <n v="9.0532135452660673E-2"/>
    <n v="0.99970000000000003"/>
    <n v="0.99180000000000001"/>
    <n v="0.99650000000000005"/>
    <n v="1.0157"/>
    <n v="0.98909999999999998"/>
    <n v="0.94971499999999998"/>
    <n v="0.94297539030574595"/>
    <n v="271600"/>
    <n v="6400"/>
    <n v="278000"/>
    <n v="35400"/>
    <n v="313400"/>
    <n v="0.19415807560137457"/>
    <n v="-0.37455830388692579"/>
    <n v="8.2930200414651004E-2"/>
  </r>
  <r>
    <n v="2025"/>
    <s v="18132334528    "/>
    <n v="-1.8971199848858813"/>
    <n v="0.15"/>
    <m/>
    <s v="6"/>
    <s v="RES"/>
    <x v="0"/>
    <s v="11"/>
    <s v="259"/>
    <s v="TD"/>
    <s v="A"/>
    <s v="AV"/>
    <x v="8"/>
    <n v="86"/>
    <n v="53"/>
    <n v="1938"/>
    <n v="1971"/>
    <n v="994"/>
    <m/>
    <n v="624"/>
    <n v="624"/>
    <m/>
    <m/>
    <n v="994"/>
    <n v="1000"/>
    <n v="5"/>
    <m/>
    <m/>
    <m/>
    <m/>
    <m/>
    <m/>
    <m/>
    <n v="187012"/>
    <n v="125298"/>
    <n v="4877"/>
    <n v="267300"/>
    <n v="48400"/>
    <n v="218900"/>
    <n v="0"/>
    <n v="0"/>
    <n v="89850.625589999996"/>
    <n v="-60052.604136134301"/>
    <n v="21557.329055999999"/>
    <n v="160472.20319"/>
    <n v="-11821.416826500001"/>
    <n v="49112.217857738004"/>
    <n v="0"/>
    <n v="0"/>
    <n v="18147.102634127998"/>
    <n v="18960.110526"/>
    <n v="0"/>
    <n v="4900"/>
    <n v="256400"/>
    <n v="29800"/>
    <n v="291100"/>
    <n v="8.9038533482977925E-2"/>
    <n v="0.99970000000000003"/>
    <n v="1.0067999999999999"/>
    <n v="0.99729999999999996"/>
    <n v="1.0148999999999999"/>
    <n v="0.98909999999999998"/>
    <n v="0.94971499999999998"/>
    <n v="0.95725088753311172"/>
    <n v="256400"/>
    <n v="4600"/>
    <n v="261000"/>
    <n v="28300"/>
    <n v="289300"/>
    <n v="0.19232526267702146"/>
    <n v="-0.41528925619834711"/>
    <n v="8.2304526748971193E-2"/>
  </r>
  <r>
    <n v="2025"/>
    <s v="18132331419    "/>
    <n v="-1.8971199848858813"/>
    <n v="0.15"/>
    <m/>
    <s v="6"/>
    <s v="RES"/>
    <x v="0"/>
    <s v="11"/>
    <s v="259"/>
    <s v="TD"/>
    <s v="A"/>
    <s v="GD"/>
    <x v="8"/>
    <n v="86"/>
    <n v="53"/>
    <n v="1938"/>
    <n v="1971"/>
    <n v="1912"/>
    <m/>
    <m/>
    <n v="0"/>
    <m/>
    <m/>
    <n v="1912"/>
    <n v="2000"/>
    <n v="11"/>
    <m/>
    <m/>
    <m/>
    <m/>
    <m/>
    <m/>
    <m/>
    <n v="309309"/>
    <n v="213423"/>
    <n v="0"/>
    <n v="344400"/>
    <n v="48400"/>
    <n v="296000"/>
    <n v="0"/>
    <n v="0"/>
    <n v="89850.625589999996"/>
    <n v="-60052.604136134301"/>
    <n v="21557.329055999999"/>
    <n v="197752.34721000001"/>
    <n v="-11821.416826500001"/>
    <n v="94469.376804824002"/>
    <n v="0"/>
    <n v="0"/>
    <n v="0"/>
    <n v="41712.243157199999"/>
    <n v="0"/>
    <n v="0"/>
    <n v="343700"/>
    <n v="29800"/>
    <n v="373500"/>
    <n v="8.4494773519163763E-2"/>
    <n v="0.99970000000000003"/>
    <n v="1.0067999999999999"/>
    <n v="0.99650000000000005"/>
    <n v="1.0093000000000001"/>
    <n v="0.98909999999999998"/>
    <n v="0.94971499999999998"/>
    <n v="0.95120534593507355"/>
    <n v="343700"/>
    <n v="0"/>
    <n v="343700"/>
    <n v="28300"/>
    <n v="372000"/>
    <n v="0.16114864864864864"/>
    <n v="-0.41528925619834711"/>
    <n v="8.0139372822299645E-2"/>
  </r>
  <r>
    <n v="2025"/>
    <s v="18132243402    "/>
    <n v="-1.7147984280919266"/>
    <n v="0.18"/>
    <n v="8007"/>
    <s v="6"/>
    <s v="RES"/>
    <x v="0"/>
    <s v="11"/>
    <s v="259"/>
    <s v="TD"/>
    <s v="G"/>
    <s v="AV"/>
    <x v="8"/>
    <n v="86"/>
    <n v="53"/>
    <n v="1938"/>
    <n v="1971"/>
    <n v="1252"/>
    <m/>
    <n v="1252"/>
    <n v="752"/>
    <n v="500"/>
    <m/>
    <n v="1752"/>
    <n v="2000"/>
    <n v="7"/>
    <m/>
    <m/>
    <n v="150"/>
    <m/>
    <m/>
    <m/>
    <m/>
    <n v="378990"/>
    <n v="253923"/>
    <n v="0"/>
    <n v="331400"/>
    <n v="54700"/>
    <n v="276700"/>
    <n v="0"/>
    <n v="0"/>
    <n v="89850.625589999996"/>
    <n v="-54281.285314520763"/>
    <n v="44121.038090000002"/>
    <n v="160472.20319"/>
    <n v="-11821.416826500001"/>
    <n v="61859.654686004003"/>
    <n v="0"/>
    <n v="0"/>
    <n v="36410.532849243995"/>
    <n v="26544.1547364"/>
    <n v="4994.3272914000008"/>
    <n v="0"/>
    <n v="322600"/>
    <n v="35600"/>
    <n v="358200"/>
    <n v="8.0869040434520215E-2"/>
    <n v="0.99970000000000003"/>
    <n v="0.98050000000000004"/>
    <n v="0.99729999999999996"/>
    <n v="1.0093000000000001"/>
    <n v="0.98909999999999998"/>
    <n v="0.94971499999999998"/>
    <n v="0.92710129894118753"/>
    <n v="322600"/>
    <n v="0"/>
    <n v="322600"/>
    <n v="33800"/>
    <n v="356400"/>
    <n v="0.16588362847849655"/>
    <n v="-0.38208409506398539"/>
    <n v="7.5437537718768863E-2"/>
  </r>
  <r>
    <n v="2025"/>
    <s v="18132331050    "/>
    <n v="-1.8325814637483102"/>
    <n v="0.16"/>
    <m/>
    <s v="6"/>
    <s v="RES"/>
    <x v="0"/>
    <s v="11"/>
    <s v="259"/>
    <s v="TD"/>
    <s v="A"/>
    <s v="AV"/>
    <x v="8"/>
    <n v="86"/>
    <n v="53"/>
    <n v="1938"/>
    <n v="1971"/>
    <n v="1042"/>
    <m/>
    <n v="344"/>
    <n v="344"/>
    <m/>
    <m/>
    <n v="1042"/>
    <n v="1500"/>
    <n v="5"/>
    <m/>
    <m/>
    <m/>
    <m/>
    <m/>
    <m/>
    <m/>
    <n v="185066"/>
    <n v="123994"/>
    <n v="7465"/>
    <n v="268900"/>
    <n v="50600"/>
    <n v="218300"/>
    <n v="0"/>
    <n v="0"/>
    <n v="89850.625589999996"/>
    <n v="-58009.662049032086"/>
    <n v="21557.329055999999"/>
    <n v="160472.20319"/>
    <n v="-11821.416826500001"/>
    <n v="51483.834011833998"/>
    <n v="0"/>
    <n v="0"/>
    <n v="10004.171964968"/>
    <n v="18960.110526"/>
    <n v="0"/>
    <n v="7500"/>
    <n v="250700"/>
    <n v="31800"/>
    <n v="290000"/>
    <n v="7.8467831907772401E-2"/>
    <n v="0.99970000000000003"/>
    <n v="1.0067999999999999"/>
    <n v="0.99729999999999996"/>
    <n v="1.0157"/>
    <n v="0.98909999999999998"/>
    <n v="0.94971499999999998"/>
    <n v="0.95800544533193577"/>
    <n v="250700"/>
    <n v="7100"/>
    <n v="257800"/>
    <n v="30200"/>
    <n v="288000"/>
    <n v="0.18094365551992669"/>
    <n v="-0.40316205533596838"/>
    <n v="7.1030122722201564E-2"/>
  </r>
  <r>
    <n v="2025"/>
    <s v="18132333406    "/>
    <n v="-1.6607312068216509"/>
    <n v="0.19"/>
    <m/>
    <s v="6"/>
    <s v="RES"/>
    <x v="0"/>
    <s v="11"/>
    <s v="259"/>
    <s v="CO"/>
    <s v="A"/>
    <s v="AV"/>
    <x v="8"/>
    <n v="86"/>
    <n v="53"/>
    <n v="1938"/>
    <n v="1971"/>
    <n v="1168"/>
    <n v="1068"/>
    <n v="456"/>
    <n v="456"/>
    <m/>
    <m/>
    <n v="2236"/>
    <n v="2500"/>
    <n v="7"/>
    <m/>
    <n v="252"/>
    <n v="168"/>
    <m/>
    <m/>
    <m/>
    <m/>
    <n v="335998"/>
    <n v="225119"/>
    <n v="0"/>
    <n v="334500"/>
    <n v="56600"/>
    <n v="277900"/>
    <n v="0"/>
    <n v="0"/>
    <n v="89850.625589999996"/>
    <n v="-52569.808201026557"/>
    <n v="21557.329055999999"/>
    <n v="160472.20319"/>
    <n v="-11821.416826500001"/>
    <n v="57709.326416336"/>
    <n v="47831.899615547998"/>
    <n v="0"/>
    <n v="13261.344232632"/>
    <n v="26544.1547364"/>
    <n v="5593.646566368001"/>
    <n v="0"/>
    <n v="321100"/>
    <n v="37300"/>
    <n v="358400"/>
    <n v="7.144992526158446E-2"/>
    <n v="0.99970000000000003"/>
    <n v="1.0067999999999999"/>
    <n v="0.99729999999999996"/>
    <n v="0.98919999999999997"/>
    <n v="0.98909999999999998"/>
    <n v="0.94971499999999998"/>
    <n v="0.93301071824589021"/>
    <n v="321100"/>
    <n v="0"/>
    <n v="321100"/>
    <n v="35400"/>
    <n v="356500"/>
    <n v="0.15545160129543001"/>
    <n v="-0.37455830388692579"/>
    <n v="6.5769805680119586E-2"/>
  </r>
  <r>
    <n v="2025"/>
    <s v="18132334504    "/>
    <n v="-1.9661128563728327"/>
    <n v="0.14000000000000001"/>
    <m/>
    <s v="6"/>
    <s v="RES"/>
    <x v="0"/>
    <s v="11"/>
    <s v="259"/>
    <s v="BG"/>
    <s v="A"/>
    <s v="AV"/>
    <x v="8"/>
    <n v="86"/>
    <n v="53"/>
    <n v="1938"/>
    <n v="1971"/>
    <n v="952"/>
    <m/>
    <n v="952"/>
    <n v="662"/>
    <n v="290"/>
    <m/>
    <n v="1242"/>
    <n v="1500"/>
    <n v="5"/>
    <m/>
    <m/>
    <m/>
    <m/>
    <m/>
    <m/>
    <m/>
    <n v="212339"/>
    <n v="142267"/>
    <n v="0"/>
    <n v="272900"/>
    <n v="46000"/>
    <n v="226900"/>
    <n v="0"/>
    <n v="0"/>
    <n v="89850.625589999996"/>
    <n v="-62236.546971921947"/>
    <n v="21557.329055999999"/>
    <n v="160472.20319"/>
    <n v="-11821.416826500001"/>
    <n v="47037.053722903998"/>
    <n v="0"/>
    <n v="0"/>
    <n v="27685.964275143997"/>
    <n v="18960.110526"/>
    <n v="0"/>
    <n v="0"/>
    <n v="263900"/>
    <n v="27600"/>
    <n v="291500"/>
    <n v="6.815683400513009E-2"/>
    <n v="0.99970000000000003"/>
    <n v="1.0067999999999999"/>
    <n v="0.99729999999999996"/>
    <n v="1.0157"/>
    <n v="0.98909999999999998"/>
    <n v="0.94971499999999998"/>
    <n v="0.95800544533193577"/>
    <n v="263900"/>
    <n v="0"/>
    <n v="263900"/>
    <n v="26200"/>
    <n v="290100"/>
    <n v="0.1630674305861613"/>
    <n v="-0.43043478260869567"/>
    <n v="6.3026749725174053E-2"/>
  </r>
  <r>
    <n v="2025"/>
    <s v="18132331032    "/>
    <n v="-1.4271163556401458"/>
    <n v="0.24"/>
    <m/>
    <s v="6"/>
    <s v="RES"/>
    <x v="0"/>
    <s v="11"/>
    <s v="259"/>
    <s v="CO"/>
    <s v="A+"/>
    <s v="GD"/>
    <x v="8"/>
    <n v="86"/>
    <n v="53"/>
    <n v="1938"/>
    <n v="1971"/>
    <n v="1134"/>
    <n v="374"/>
    <n v="768"/>
    <n v="0"/>
    <n v="768"/>
    <m/>
    <n v="2276"/>
    <n v="2500"/>
    <n v="7"/>
    <m/>
    <m/>
    <m/>
    <m/>
    <m/>
    <m/>
    <m/>
    <n v="354560"/>
    <n v="244646"/>
    <n v="9508"/>
    <n v="369900"/>
    <n v="64800"/>
    <n v="305100"/>
    <n v="0"/>
    <n v="0"/>
    <n v="89850.625589999996"/>
    <n v="-45174.819855485119"/>
    <n v="29814.093161000001"/>
    <n v="197752.34721000001"/>
    <n v="-11821.416826500001"/>
    <n v="56029.431640518"/>
    <n v="16750.122150013998"/>
    <n v="0"/>
    <n v="22334.895549695997"/>
    <n v="26544.1547364"/>
    <n v="0"/>
    <n v="9500"/>
    <n v="337400"/>
    <n v="44700"/>
    <n v="391600"/>
    <n v="5.8664503919978371E-2"/>
    <n v="0.99970000000000003"/>
    <n v="1.0088999999999999"/>
    <n v="0.99650000000000005"/>
    <n v="0.98919999999999997"/>
    <n v="0.98909999999999998"/>
    <n v="0.94971499999999998"/>
    <n v="0.93420681692829766"/>
    <n v="337400"/>
    <n v="9000"/>
    <n v="346400"/>
    <n v="42400"/>
    <n v="388800"/>
    <n v="0.13536545394952473"/>
    <n v="-0.34567901234567899"/>
    <n v="5.1094890510948905E-2"/>
  </r>
  <r>
    <n v="2025"/>
    <s v="18132332494    "/>
    <n v="-1.5606477482646683"/>
    <n v="0.21"/>
    <m/>
    <s v="6"/>
    <s v="RES"/>
    <x v="0"/>
    <s v="11"/>
    <s v="259"/>
    <s v="TD"/>
    <s v="A"/>
    <s v="GD"/>
    <x v="8"/>
    <n v="86"/>
    <n v="53"/>
    <n v="1938"/>
    <n v="1971"/>
    <n v="968"/>
    <m/>
    <n v="968"/>
    <n v="0"/>
    <n v="968"/>
    <m/>
    <n v="1936"/>
    <n v="2000"/>
    <n v="8"/>
    <m/>
    <m/>
    <m/>
    <m/>
    <m/>
    <m/>
    <m/>
    <n v="254903"/>
    <n v="175883"/>
    <n v="0"/>
    <n v="335700"/>
    <n v="60100"/>
    <n v="275600"/>
    <n v="0"/>
    <n v="0"/>
    <n v="89850.625589999996"/>
    <n v="-49401.70477837498"/>
    <n v="21557.329055999999"/>
    <n v="197752.34721000001"/>
    <n v="-11821.416826500001"/>
    <n v="47827.592440936001"/>
    <n v="0"/>
    <n v="0"/>
    <n v="28151.274599095999"/>
    <n v="30336.176841600001"/>
    <n v="0"/>
    <n v="0"/>
    <n v="313800"/>
    <n v="40400"/>
    <n v="354200"/>
    <n v="5.5108728030980041E-2"/>
    <n v="0.99970000000000003"/>
    <n v="1.0067999999999999"/>
    <n v="0.99650000000000005"/>
    <n v="1.0093000000000001"/>
    <n v="0.98909999999999998"/>
    <n v="0.94971499999999998"/>
    <n v="0.95120534593507355"/>
    <n v="313800"/>
    <n v="0"/>
    <n v="313800"/>
    <n v="38400"/>
    <n v="352200"/>
    <n v="0.13860667634252541"/>
    <n v="-0.36106489184692181"/>
    <n v="4.9151027703306524E-2"/>
  </r>
  <r>
    <n v="2025"/>
    <s v="18132332435    "/>
    <n v="-1.8325814637483102"/>
    <n v="0.16"/>
    <m/>
    <s v="6"/>
    <s v="RES"/>
    <x v="0"/>
    <s v="11"/>
    <s v="259"/>
    <s v="BG"/>
    <s v="G"/>
    <s v="GD"/>
    <x v="8"/>
    <n v="86"/>
    <n v="53"/>
    <n v="1938"/>
    <n v="1971"/>
    <n v="1326"/>
    <m/>
    <n v="1326"/>
    <n v="0"/>
    <n v="1326"/>
    <m/>
    <n v="2652"/>
    <n v="3000"/>
    <n v="10"/>
    <m/>
    <m/>
    <m/>
    <m/>
    <m/>
    <m/>
    <m/>
    <n v="463342"/>
    <n v="319706"/>
    <n v="13177"/>
    <n v="395700"/>
    <n v="50600"/>
    <n v="345100"/>
    <n v="0"/>
    <n v="0"/>
    <n v="89850.625589999996"/>
    <n v="-58009.662049032086"/>
    <n v="44121.038090000002"/>
    <n v="197752.34721000001"/>
    <n v="-11821.416826500001"/>
    <n v="65515.896256902"/>
    <n v="0"/>
    <n v="0"/>
    <n v="38562.593097521996"/>
    <n v="37920.221052000001"/>
    <n v="0"/>
    <n v="13200"/>
    <n v="372100"/>
    <n v="31800"/>
    <n v="417100"/>
    <n v="5.4081374778872884E-2"/>
    <n v="0.99970000000000003"/>
    <n v="0.98050000000000004"/>
    <n v="0.99650000000000005"/>
    <n v="0.96179999999999999"/>
    <n v="0.98909999999999998"/>
    <n v="0.94971499999999998"/>
    <n v="0.88276107127906644"/>
    <n v="372100"/>
    <n v="12500"/>
    <n v="384600"/>
    <n v="30200"/>
    <n v="414800"/>
    <n v="0.11445957693422197"/>
    <n v="-0.40316205533596838"/>
    <n v="4.8268890573666921E-2"/>
  </r>
  <r>
    <n v="2025"/>
    <s v="18132243404    "/>
    <n v="-1.4696759700589417"/>
    <n v="0.23"/>
    <n v="9920"/>
    <s v="6"/>
    <s v="RES"/>
    <x v="0"/>
    <s v="11"/>
    <s v="259"/>
    <s v="BG"/>
    <s v="A+"/>
    <s v="GD"/>
    <x v="8"/>
    <n v="86"/>
    <n v="53"/>
    <n v="1938"/>
    <n v="1971"/>
    <n v="1110"/>
    <m/>
    <n v="1110"/>
    <n v="0"/>
    <n v="1110"/>
    <m/>
    <n v="2220"/>
    <n v="2500"/>
    <n v="8"/>
    <n v="388"/>
    <m/>
    <m/>
    <m/>
    <m/>
    <m/>
    <m/>
    <n v="339826"/>
    <n v="234480"/>
    <n v="0"/>
    <n v="357400"/>
    <n v="63300"/>
    <n v="294100"/>
    <n v="0"/>
    <n v="0"/>
    <n v="89850.625589999996"/>
    <n v="-46522.028095997222"/>
    <n v="29814.093161000001"/>
    <n v="197752.34721000001"/>
    <n v="-11821.416826500001"/>
    <n v="54843.623563469999"/>
    <n v="0"/>
    <n v="0"/>
    <n v="32280.903724169999"/>
    <n v="30336.176841600001"/>
    <n v="0"/>
    <n v="0"/>
    <n v="333200"/>
    <n v="43300"/>
    <n v="376500"/>
    <n v="5.3441522104085058E-2"/>
    <n v="0.99970000000000003"/>
    <n v="1.0088999999999999"/>
    <n v="0.99650000000000005"/>
    <n v="0.98919999999999997"/>
    <n v="0.98909999999999998"/>
    <n v="0.94971499999999998"/>
    <n v="0.93420681692829766"/>
    <n v="333200"/>
    <n v="0"/>
    <n v="333200"/>
    <n v="41100"/>
    <n v="374300"/>
    <n v="0.13294797687861271"/>
    <n v="-0.35071090047393366"/>
    <n v="4.7285954113038611E-2"/>
  </r>
  <r>
    <n v="2025"/>
    <s v="18132313428    "/>
    <n v="-1.3470736479666092"/>
    <n v="0.26"/>
    <n v="11254"/>
    <s v="6"/>
    <s v="RES"/>
    <x v="0"/>
    <s v="11"/>
    <s v="259"/>
    <s v="CU"/>
    <s v="E"/>
    <s v="GD"/>
    <x v="8"/>
    <n v="86"/>
    <n v="53"/>
    <n v="1938"/>
    <n v="1971"/>
    <n v="2054"/>
    <n v="1461"/>
    <n v="700"/>
    <n v="0"/>
    <n v="700"/>
    <m/>
    <n v="4215"/>
    <n v="4500"/>
    <n v="18"/>
    <m/>
    <n v="399"/>
    <m/>
    <m/>
    <m/>
    <m/>
    <m/>
    <n v="1230286"/>
    <n v="861200"/>
    <n v="56650"/>
    <n v="817700"/>
    <n v="67600"/>
    <n v="750100"/>
    <n v="0"/>
    <n v="0"/>
    <n v="89850.625589999996"/>
    <n v="-42641.098701210125"/>
    <n v="315333.60131"/>
    <n v="197752.34721000001"/>
    <n v="-11821.416826500001"/>
    <n v="101485.407927358"/>
    <n v="65432.963799920995"/>
    <n v="0"/>
    <n v="20357.326672899999"/>
    <n v="68256.397893600006"/>
    <n v="0"/>
    <n v="56700"/>
    <n v="756800"/>
    <n v="47200"/>
    <n v="860700"/>
    <n v="5.2586523174758468E-2"/>
    <n v="0.99970000000000003"/>
    <n v="1"/>
    <n v="0.99650000000000005"/>
    <n v="1"/>
    <n v="0.98909999999999998"/>
    <n v="0.94971499999999998"/>
    <n v="0.93607533562724998"/>
    <n v="756800"/>
    <n v="53800"/>
    <n v="810600"/>
    <n v="44800"/>
    <n v="855400"/>
    <n v="8.0655912544994005E-2"/>
    <n v="-0.33727810650887574"/>
    <n v="4.6104928457869634E-2"/>
  </r>
  <r>
    <n v="2025"/>
    <s v="18132342408    "/>
    <n v="-1.7147984280919266"/>
    <n v="0.18"/>
    <m/>
    <s v="6"/>
    <s v="RES"/>
    <x v="0"/>
    <s v="11"/>
    <s v="259"/>
    <s v="CO"/>
    <s v="G"/>
    <s v="AV"/>
    <x v="8"/>
    <n v="86"/>
    <n v="53"/>
    <n v="1938"/>
    <n v="1971"/>
    <n v="1326"/>
    <n v="270"/>
    <n v="1018"/>
    <n v="418"/>
    <n v="600"/>
    <m/>
    <n v="2196"/>
    <n v="2500"/>
    <n v="10"/>
    <m/>
    <n v="238"/>
    <m/>
    <m/>
    <m/>
    <m/>
    <m/>
    <n v="421584"/>
    <n v="282461"/>
    <n v="23379"/>
    <n v="376700"/>
    <n v="54700"/>
    <n v="322000"/>
    <n v="0"/>
    <n v="0"/>
    <n v="89850.625589999996"/>
    <n v="-54281.285314520763"/>
    <n v="44121.038090000002"/>
    <n v="160472.20319"/>
    <n v="-11821.416826500001"/>
    <n v="65515.896256902"/>
    <n v="12092.33417247"/>
    <n v="0"/>
    <n v="29605.369361445999"/>
    <n v="37920.221052000001"/>
    <n v="0"/>
    <n v="23400"/>
    <n v="337900"/>
    <n v="35600"/>
    <n v="396900"/>
    <n v="5.3623573135120783E-2"/>
    <n v="0.99970000000000003"/>
    <n v="0.98050000000000004"/>
    <n v="0.99729999999999996"/>
    <n v="0.98919999999999997"/>
    <n v="0.98909999999999998"/>
    <n v="0.94971499999999998"/>
    <n v="0.9086382690108219"/>
    <n v="337900"/>
    <n v="22200"/>
    <n v="360100"/>
    <n v="33800"/>
    <n v="393900"/>
    <n v="0.11832298136645963"/>
    <n v="-0.38208409506398539"/>
    <n v="4.5659676134855325E-2"/>
  </r>
  <r>
    <n v="2025"/>
    <s v="18132331486    "/>
    <n v="-1.7719568419318752"/>
    <n v="0.17"/>
    <n v="7334"/>
    <s v="6"/>
    <s v="RES"/>
    <x v="0"/>
    <s v="11"/>
    <s v="259"/>
    <s v="BG"/>
    <s v="A"/>
    <s v="GD"/>
    <x v="8"/>
    <n v="86"/>
    <n v="53"/>
    <n v="1938"/>
    <n v="1971"/>
    <n v="1414"/>
    <m/>
    <n v="1414"/>
    <n v="5"/>
    <n v="1409"/>
    <m/>
    <n v="2823"/>
    <n v="3000"/>
    <n v="8"/>
    <m/>
    <m/>
    <m/>
    <m/>
    <m/>
    <m/>
    <m/>
    <n v="346987"/>
    <n v="239421"/>
    <n v="17806"/>
    <n v="381200"/>
    <n v="52700"/>
    <n v="328500"/>
    <n v="0"/>
    <n v="0"/>
    <n v="89850.625589999996"/>
    <n v="-56090.612940989391"/>
    <n v="21557.329055999999"/>
    <n v="197752.34721000001"/>
    <n v="-11821.416826500001"/>
    <n v="69863.859206078007"/>
    <n v="0"/>
    <n v="0"/>
    <n v="41121.799879257997"/>
    <n v="30336.176841600001"/>
    <n v="0"/>
    <n v="17800"/>
    <n v="348800"/>
    <n v="33800"/>
    <n v="400400"/>
    <n v="5.0367261280167892E-2"/>
    <n v="0.99970000000000003"/>
    <n v="1.0067999999999999"/>
    <n v="0.99650000000000005"/>
    <n v="0.96179999999999999"/>
    <n v="0.98909999999999998"/>
    <n v="0.94971499999999998"/>
    <n v="0.90643941515937176"/>
    <n v="348800"/>
    <n v="16900"/>
    <n v="365700"/>
    <n v="32100"/>
    <n v="397800"/>
    <n v="0.11324200913242009"/>
    <n v="-0.39089184060721061"/>
    <n v="4.354669464847849E-2"/>
  </r>
  <r>
    <n v="2025"/>
    <s v="18132241036    "/>
    <n v="-1.3470736479666092"/>
    <n v="0.26"/>
    <n v="11332"/>
    <s v="6"/>
    <s v="RES"/>
    <x v="0"/>
    <s v="11"/>
    <s v="259"/>
    <s v="CO"/>
    <s v="A"/>
    <s v="AV"/>
    <x v="8"/>
    <n v="86"/>
    <n v="53"/>
    <n v="1938"/>
    <n v="1971"/>
    <n v="1060"/>
    <n v="200"/>
    <n v="576"/>
    <n v="301"/>
    <n v="275"/>
    <m/>
    <n v="1535"/>
    <n v="2000"/>
    <n v="8"/>
    <m/>
    <m/>
    <m/>
    <m/>
    <m/>
    <m/>
    <m/>
    <n v="245021"/>
    <n v="164164"/>
    <n v="0"/>
    <n v="311200"/>
    <n v="67600"/>
    <n v="243600"/>
    <n v="0"/>
    <n v="0"/>
    <n v="89850.625589999996"/>
    <n v="-42641.098701210125"/>
    <n v="21557.329055999999"/>
    <n v="160472.20319"/>
    <n v="-11821.416826500001"/>
    <n v="52373.190069620003"/>
    <n v="8957.2845722000002"/>
    <n v="0"/>
    <n v="16751.171662271998"/>
    <n v="30336.176841600001"/>
    <n v="0"/>
    <n v="0"/>
    <n v="278600"/>
    <n v="47200"/>
    <n v="325800"/>
    <n v="4.691516709511568E-2"/>
    <n v="0.99970000000000003"/>
    <n v="1.0067999999999999"/>
    <n v="0.99729999999999996"/>
    <n v="1.0093000000000001"/>
    <n v="0.98909999999999998"/>
    <n v="0.94971499999999998"/>
    <n v="0.95196898294134369"/>
    <n v="278600"/>
    <n v="0"/>
    <n v="278600"/>
    <n v="44800"/>
    <n v="323400"/>
    <n v="0.14367816091954022"/>
    <n v="-0.33727810650887574"/>
    <n v="3.9203084832904883E-2"/>
  </r>
  <r>
    <n v="2025"/>
    <s v="18132241032    "/>
    <n v="-1.4696759700589417"/>
    <n v="0.23"/>
    <n v="9968"/>
    <s v="6"/>
    <s v="RES"/>
    <x v="0"/>
    <s v="11"/>
    <s v="259"/>
    <s v="CC"/>
    <s v="A"/>
    <s v="GD"/>
    <x v="8"/>
    <n v="86"/>
    <n v="53"/>
    <n v="1938"/>
    <n v="1971"/>
    <n v="1003"/>
    <n v="669"/>
    <n v="1003"/>
    <n v="0"/>
    <n v="1003"/>
    <m/>
    <n v="2675"/>
    <n v="3000"/>
    <n v="9"/>
    <m/>
    <m/>
    <m/>
    <m/>
    <m/>
    <m/>
    <m/>
    <n v="353962"/>
    <n v="244234"/>
    <n v="15030"/>
    <n v="390400"/>
    <n v="63300"/>
    <n v="327100"/>
    <n v="0"/>
    <n v="0"/>
    <n v="89850.625589999996"/>
    <n v="-46522.028095997222"/>
    <n v="21557.329055999999"/>
    <n v="197752.34721000001"/>
    <n v="-11821.416826500001"/>
    <n v="49556.895886630999"/>
    <n v="29962.116894008999"/>
    <n v="0"/>
    <n v="29169.140932741"/>
    <n v="34128.198946800003"/>
    <n v="0"/>
    <n v="15000"/>
    <n v="350300"/>
    <n v="43300"/>
    <n v="408600"/>
    <n v="4.6618852459016397E-2"/>
    <n v="0.99970000000000003"/>
    <n v="1.0067999999999999"/>
    <n v="0.99650000000000005"/>
    <n v="0.96179999999999999"/>
    <n v="0.98909999999999998"/>
    <n v="0.94971499999999998"/>
    <n v="0.90643941515937176"/>
    <n v="350300"/>
    <n v="14300"/>
    <n v="364600"/>
    <n v="41100"/>
    <n v="405700"/>
    <n v="0.11464383980434117"/>
    <n v="-0.35071090047393366"/>
    <n v="3.9190573770491802E-2"/>
  </r>
  <r>
    <n v="2025"/>
    <s v="18132332436    "/>
    <n v="-1.3093333199837622"/>
    <n v="0.27"/>
    <m/>
    <s v="6"/>
    <s v="RES"/>
    <x v="0"/>
    <s v="11"/>
    <s v="259"/>
    <s v="CC"/>
    <s v="G"/>
    <s v="AV"/>
    <x v="8"/>
    <n v="86"/>
    <n v="53"/>
    <n v="1938"/>
    <n v="1971"/>
    <n v="1650"/>
    <n v="975"/>
    <n v="1650"/>
    <n v="320"/>
    <n v="1330"/>
    <m/>
    <n v="3955"/>
    <n v="4000"/>
    <n v="11"/>
    <m/>
    <m/>
    <m/>
    <m/>
    <m/>
    <m/>
    <m/>
    <n v="631890"/>
    <n v="423366"/>
    <n v="11232"/>
    <n v="452800"/>
    <n v="68900"/>
    <n v="383900"/>
    <n v="0"/>
    <n v="0"/>
    <n v="89850.625589999996"/>
    <n v="-41446.443120973789"/>
    <n v="44121.038090000002"/>
    <n v="160472.20319"/>
    <n v="-11821.416826500001"/>
    <n v="81524.305297049999"/>
    <n v="43666.762289475002"/>
    <n v="0"/>
    <n v="47985.12715755"/>
    <n v="41712.243157199999"/>
    <n v="0"/>
    <n v="11200"/>
    <n v="407700"/>
    <n v="48400"/>
    <n v="467300"/>
    <n v="3.2022968197879857E-2"/>
    <n v="0.99970000000000003"/>
    <n v="0.98050000000000004"/>
    <n v="0.99729999999999996"/>
    <n v="0.94579999999999997"/>
    <n v="0.98909999999999998"/>
    <n v="0.94971499999999998"/>
    <n v="0.86877282130048061"/>
    <n v="407700"/>
    <n v="10700"/>
    <n v="418400"/>
    <n v="46000"/>
    <n v="464400"/>
    <n v="8.9867152904402184E-2"/>
    <n v="-0.33236574746008707"/>
    <n v="2.5618374558303889E-2"/>
  </r>
  <r>
    <n v="2025"/>
    <s v="18132242413    "/>
    <n v="-0.96758402626170559"/>
    <n v="0.38"/>
    <n v="16575"/>
    <s v="6"/>
    <s v="RES"/>
    <x v="0"/>
    <s v="11"/>
    <s v="259"/>
    <s v="TD"/>
    <s v="F+"/>
    <s v="AV"/>
    <x v="8"/>
    <n v="86"/>
    <n v="53"/>
    <n v="1938"/>
    <n v="1971"/>
    <n v="834"/>
    <m/>
    <n v="416"/>
    <n v="316"/>
    <n v="100"/>
    <m/>
    <n v="934"/>
    <n v="1000"/>
    <n v="6"/>
    <m/>
    <m/>
    <m/>
    <m/>
    <m/>
    <m/>
    <m/>
    <n v="161437"/>
    <n v="108163"/>
    <n v="6649"/>
    <n v="280200"/>
    <n v="80800"/>
    <n v="199400"/>
    <n v="0"/>
    <n v="0"/>
    <n v="89850.625589999996"/>
    <n v="-30628.500548443946"/>
    <n v="0"/>
    <n v="160472.20319"/>
    <n v="-11821.416826500001"/>
    <n v="41206.830677418002"/>
    <n v="0"/>
    <n v="0"/>
    <n v="12098.068422752"/>
    <n v="22752.132631200002"/>
    <n v="0"/>
    <n v="6600"/>
    <n v="224700"/>
    <n v="59200"/>
    <n v="290500"/>
    <n v="3.6759457530335472E-2"/>
    <n v="0.99970000000000003"/>
    <n v="0.99180000000000001"/>
    <n v="0.99729999999999996"/>
    <n v="1.0148999999999999"/>
    <n v="0.98909999999999998"/>
    <n v="0.94971499999999998"/>
    <n v="0.94298910434578886"/>
    <n v="224700"/>
    <n v="6300"/>
    <n v="231000"/>
    <n v="56200"/>
    <n v="287200"/>
    <n v="0.15847542627883651"/>
    <n v="-0.30445544554455445"/>
    <n v="2.4982155603140613E-2"/>
  </r>
  <r>
    <n v="2025"/>
    <s v="18132243049    "/>
    <n v="-1.4696759700589417"/>
    <n v="0.23"/>
    <n v="9899"/>
    <s v="6"/>
    <s v="RES"/>
    <x v="0"/>
    <s v="11"/>
    <s v="259"/>
    <s v="RN"/>
    <s v="F+"/>
    <s v="AV"/>
    <x v="8"/>
    <n v="86"/>
    <n v="53"/>
    <n v="1938"/>
    <n v="1971"/>
    <n v="1025"/>
    <m/>
    <m/>
    <n v="0"/>
    <m/>
    <m/>
    <n v="1025"/>
    <n v="1500"/>
    <n v="5"/>
    <n v="294"/>
    <m/>
    <m/>
    <m/>
    <m/>
    <m/>
    <m/>
    <n v="170283"/>
    <n v="114090"/>
    <n v="0"/>
    <n v="254100"/>
    <n v="63300"/>
    <n v="190800"/>
    <n v="0"/>
    <n v="0"/>
    <n v="89850.625589999996"/>
    <n v="-46522.028095997222"/>
    <n v="0"/>
    <n v="160472.20319"/>
    <n v="-11821.416826500001"/>
    <n v="50643.886623924998"/>
    <n v="0"/>
    <n v="0"/>
    <n v="0"/>
    <n v="18960.110526"/>
    <n v="0"/>
    <n v="0"/>
    <n v="218300"/>
    <n v="43300"/>
    <n v="261600"/>
    <n v="2.9515938606847699E-2"/>
    <n v="0.99970000000000003"/>
    <n v="0.99180000000000001"/>
    <n v="0.99729999999999996"/>
    <n v="1.0157"/>
    <n v="0.98909999999999998"/>
    <n v="0.94971499999999998"/>
    <n v="0.94373242022269987"/>
    <n v="218300"/>
    <n v="0"/>
    <n v="218300"/>
    <n v="41100"/>
    <n v="259400"/>
    <n v="0.1441299790356394"/>
    <n v="-0.35071090047393366"/>
    <n v="2.0857929948839039E-2"/>
  </r>
  <r>
    <n v="2025"/>
    <s v="18132334022    "/>
    <n v="-0.94160853985844495"/>
    <n v="0.39"/>
    <n v="17112"/>
    <s v="6"/>
    <s v="RES"/>
    <x v="0"/>
    <s v="11"/>
    <s v="259"/>
    <s v="CL"/>
    <s v="V"/>
    <s v="GD"/>
    <x v="8"/>
    <n v="86"/>
    <n v="53"/>
    <n v="1938"/>
    <n v="1971"/>
    <n v="1777"/>
    <n v="1414"/>
    <n v="992"/>
    <n v="992"/>
    <m/>
    <m/>
    <n v="3191"/>
    <n v="3500"/>
    <n v="10"/>
    <m/>
    <m/>
    <m/>
    <m/>
    <m/>
    <m/>
    <m/>
    <n v="770094"/>
    <n v="539066"/>
    <n v="10083"/>
    <n v="625500"/>
    <n v="81700"/>
    <n v="543800"/>
    <n v="0"/>
    <n v="0"/>
    <n v="89850.625589999996"/>
    <n v="-29806.256507663158"/>
    <n v="163885.03753"/>
    <n v="197752.34721000001"/>
    <n v="-11821.416826500001"/>
    <n v="87799.206371428998"/>
    <n v="63328.001925453995"/>
    <n v="0"/>
    <n v="28849.240085023997"/>
    <n v="37920.221052000001"/>
    <n v="0"/>
    <n v="10100"/>
    <n v="567700"/>
    <n v="60000"/>
    <n v="637800"/>
    <n v="1.9664268585131893E-2"/>
    <n v="0.99970000000000003"/>
    <n v="1"/>
    <n v="0.99650000000000005"/>
    <n v="1.0126999999999999"/>
    <n v="0.98909999999999998"/>
    <n v="0.94971499999999998"/>
    <n v="0.947963492389716"/>
    <n v="567700"/>
    <n v="9600"/>
    <n v="577300"/>
    <n v="57000"/>
    <n v="634300"/>
    <n v="6.160353070981979E-2"/>
    <n v="-0.30232558139534882"/>
    <n v="1.4068745003996802E-2"/>
  </r>
  <r>
    <n v="2025"/>
    <s v="18132243039    "/>
    <n v="-1.5606477482646683"/>
    <n v="0.21"/>
    <n v="9115"/>
    <s v="6"/>
    <s v="RES"/>
    <x v="0"/>
    <s v="11"/>
    <s v="259"/>
    <s v="TD"/>
    <s v="F+"/>
    <s v="AV"/>
    <x v="8"/>
    <n v="86"/>
    <n v="53"/>
    <n v="1938"/>
    <n v="1971"/>
    <n v="1118"/>
    <m/>
    <n v="165"/>
    <n v="165"/>
    <m/>
    <m/>
    <n v="1118"/>
    <n v="1500"/>
    <n v="5"/>
    <m/>
    <m/>
    <m/>
    <m/>
    <m/>
    <m/>
    <m/>
    <n v="197910"/>
    <n v="132600"/>
    <n v="0"/>
    <n v="263000"/>
    <n v="60100"/>
    <n v="202900"/>
    <n v="0"/>
    <n v="0"/>
    <n v="89850.625589999996"/>
    <n v="-49401.70477837498"/>
    <n v="0"/>
    <n v="160472.20319"/>
    <n v="-11821.416826500001"/>
    <n v="55238.892922486004"/>
    <n v="0"/>
    <n v="0"/>
    <n v="4798.5127157549996"/>
    <n v="18960.110526"/>
    <n v="0"/>
    <n v="0"/>
    <n v="227600"/>
    <n v="40400"/>
    <n v="268000"/>
    <n v="1.9011406844106463E-2"/>
    <n v="0.99970000000000003"/>
    <n v="0.99180000000000001"/>
    <n v="0.99729999999999996"/>
    <n v="1.0157"/>
    <n v="0.98909999999999998"/>
    <n v="0.94971499999999998"/>
    <n v="0.94373242022269987"/>
    <n v="227600"/>
    <n v="0"/>
    <n v="227600"/>
    <n v="38400"/>
    <n v="266000"/>
    <n v="0.12173484475110892"/>
    <n v="-0.36106489184692181"/>
    <n v="1.1406844106463879E-2"/>
  </r>
  <r>
    <n v="2025"/>
    <s v="18132332401    "/>
    <n v="-1.7719568419318752"/>
    <n v="0.17"/>
    <m/>
    <s v="6"/>
    <s v="RES"/>
    <x v="0"/>
    <s v="11"/>
    <s v="259"/>
    <s v="TD"/>
    <s v="A"/>
    <s v="AV"/>
    <x v="8"/>
    <n v="86"/>
    <n v="53"/>
    <n v="1938"/>
    <n v="1971"/>
    <n v="1335"/>
    <m/>
    <n v="1335"/>
    <n v="0"/>
    <n v="1335"/>
    <m/>
    <n v="2670"/>
    <n v="3000"/>
    <n v="8"/>
    <m/>
    <m/>
    <m/>
    <m/>
    <m/>
    <m/>
    <m/>
    <n v="328330"/>
    <n v="219981"/>
    <n v="11760"/>
    <n v="348400"/>
    <n v="52700"/>
    <n v="295700"/>
    <n v="0"/>
    <n v="0"/>
    <n v="89850.625589999996"/>
    <n v="-56090.612940989391"/>
    <n v="21557.329055999999"/>
    <n v="160472.20319"/>
    <n v="-11821.416826500001"/>
    <n v="65960.574285794995"/>
    <n v="0"/>
    <n v="0"/>
    <n v="38824.330154744996"/>
    <n v="30336.176841600001"/>
    <n v="0"/>
    <n v="11800"/>
    <n v="305300"/>
    <n v="33800"/>
    <n v="350900"/>
    <n v="7.1756601607347878E-3"/>
    <n v="0.99970000000000003"/>
    <n v="1.0067999999999999"/>
    <n v="0.99729999999999996"/>
    <n v="0.96179999999999999"/>
    <n v="0.98909999999999998"/>
    <n v="0.94971499999999998"/>
    <n v="0.90716711363616798"/>
    <n v="305300"/>
    <n v="11200"/>
    <n v="316500"/>
    <n v="32100"/>
    <n v="348600"/>
    <n v="7.034156239431856E-2"/>
    <n v="-0.39089184060721061"/>
    <n v="5.7405281285878302E-4"/>
  </r>
  <r>
    <n v="2025"/>
    <s v="18132243046    "/>
    <n v="-1.3862943611198906"/>
    <n v="0.25"/>
    <n v="10824"/>
    <s v="6"/>
    <s v="RES"/>
    <x v="0"/>
    <s v="11"/>
    <s v="259"/>
    <s v="CO"/>
    <s v="A"/>
    <s v="FR"/>
    <x v="8"/>
    <n v="86"/>
    <n v="53"/>
    <n v="1938"/>
    <n v="1971"/>
    <n v="1105"/>
    <n v="724"/>
    <n v="400"/>
    <n v="200"/>
    <n v="200"/>
    <m/>
    <n v="2029"/>
    <n v="2500"/>
    <n v="8"/>
    <m/>
    <m/>
    <m/>
    <m/>
    <m/>
    <m/>
    <m/>
    <n v="305731"/>
    <n v="198725"/>
    <n v="1423"/>
    <n v="328700"/>
    <n v="66200"/>
    <n v="262500"/>
    <n v="0"/>
    <n v="0"/>
    <n v="89850.625589999996"/>
    <n v="-43882.615305165229"/>
    <n v="21557.329055999999"/>
    <n v="133714.53821"/>
    <n v="-11821.416826500001"/>
    <n v="54596.580214084999"/>
    <n v="32425.370151363997"/>
    <n v="0"/>
    <n v="11632.758098799999"/>
    <n v="30336.176841600001"/>
    <n v="0"/>
    <n v="1400"/>
    <n v="272400"/>
    <n v="46000"/>
    <n v="319800"/>
    <n v="-2.707636142379069E-2"/>
    <n v="0.99970000000000003"/>
    <n v="1.0067999999999999"/>
    <n v="0.99329999999999996"/>
    <n v="0.98919999999999997"/>
    <n v="0.98909999999999998"/>
    <n v="0.94971499999999998"/>
    <n v="0.92926857157690035"/>
    <n v="272400"/>
    <n v="1400"/>
    <n v="273800"/>
    <n v="43700"/>
    <n v="317500"/>
    <n v="4.304761904761905E-2"/>
    <n v="-0.33987915407854985"/>
    <n v="-3.4073623364770309E-2"/>
  </r>
  <r>
    <n v="2025"/>
    <s v="18132212022    "/>
    <n v="-1.7719568419318752"/>
    <n v="0.17"/>
    <n v="7347"/>
    <s v="6"/>
    <s v="RES"/>
    <x v="0"/>
    <s v="11"/>
    <s v="400"/>
    <s v="TD"/>
    <s v="F"/>
    <s v="AV"/>
    <x v="8"/>
    <n v="86"/>
    <n v="53"/>
    <n v="1938"/>
    <n v="1971"/>
    <n v="644"/>
    <n v="315"/>
    <n v="630"/>
    <n v="420"/>
    <n v="210"/>
    <m/>
    <n v="1169"/>
    <n v="1500"/>
    <n v="5"/>
    <m/>
    <m/>
    <m/>
    <m/>
    <m/>
    <m/>
    <m/>
    <n v="161849"/>
    <n v="108439"/>
    <n v="0"/>
    <n v="243800"/>
    <n v="52700"/>
    <n v="191100"/>
    <n v="0"/>
    <n v="0"/>
    <n v="89850.625589999996"/>
    <n v="-56090.612940989391"/>
    <n v="-43578.886190266698"/>
    <n v="160472.20319"/>
    <n v="-11821.416826500001"/>
    <n v="31819.183400788002"/>
    <n v="14107.723201215"/>
    <n v="0"/>
    <n v="18321.594005610001"/>
    <n v="18960.110526"/>
    <n v="0"/>
    <n v="0"/>
    <n v="188300"/>
    <n v="33800"/>
    <n v="222100"/>
    <n v="-8.9007383100902379E-2"/>
    <n v="0.99970000000000003"/>
    <n v="1"/>
    <n v="0.99729999999999996"/>
    <n v="1.0157"/>
    <n v="0.98909999999999998"/>
    <n v="0.94971499999999998"/>
    <n v="0.95153500728241536"/>
    <n v="188300"/>
    <n v="0"/>
    <n v="188300"/>
    <n v="32100"/>
    <n v="220400"/>
    <n v="-1.4652014652014652E-2"/>
    <n v="-0.39089184060721061"/>
    <n v="-9.5980311730926984E-2"/>
  </r>
  <r>
    <n v="2025"/>
    <s v="18132332597    "/>
    <n v="-1.7719568419318752"/>
    <n v="0.17"/>
    <m/>
    <s v="6"/>
    <s v="RES"/>
    <x v="0"/>
    <s v="11"/>
    <s v="259"/>
    <s v="TD"/>
    <s v="F"/>
    <s v="AV"/>
    <x v="8"/>
    <n v="86"/>
    <n v="53"/>
    <n v="1938"/>
    <n v="1971"/>
    <n v="825"/>
    <m/>
    <m/>
    <n v="0"/>
    <m/>
    <m/>
    <n v="825"/>
    <n v="1000"/>
    <n v="5"/>
    <m/>
    <m/>
    <m/>
    <m/>
    <m/>
    <m/>
    <m/>
    <n v="120387"/>
    <n v="80659"/>
    <n v="0"/>
    <n v="223100"/>
    <n v="52700"/>
    <n v="170400"/>
    <n v="0"/>
    <n v="0"/>
    <n v="89850.625589999996"/>
    <n v="-56090.612940989391"/>
    <n v="-43578.886190266698"/>
    <n v="160472.20319"/>
    <n v="-11821.416826500001"/>
    <n v="40762.152648525"/>
    <n v="0"/>
    <n v="0"/>
    <n v="0"/>
    <n v="18960.110526"/>
    <n v="0"/>
    <n v="0"/>
    <n v="164800"/>
    <n v="33800"/>
    <n v="198600"/>
    <n v="-0.10981622590766472"/>
    <n v="0.99970000000000003"/>
    <n v="1"/>
    <n v="0.99729999999999996"/>
    <n v="1.0148999999999999"/>
    <n v="0.98909999999999998"/>
    <n v="0.94971499999999998"/>
    <n v="0.95078554582152541"/>
    <n v="164800"/>
    <n v="0"/>
    <n v="164800"/>
    <n v="32100"/>
    <n v="196900"/>
    <n v="-3.2863849765258218E-2"/>
    <n v="-0.39089184060721061"/>
    <n v="-0.11743612729717616"/>
  </r>
  <r>
    <n v="2025"/>
    <s v="18132243401    "/>
    <n v="-1.4696759700589417"/>
    <n v="0.23"/>
    <n v="10230"/>
    <s v="6"/>
    <s v="RES"/>
    <x v="0"/>
    <s v="11"/>
    <s v="259"/>
    <s v="TD"/>
    <s v="F"/>
    <s v="AV"/>
    <x v="8"/>
    <n v="86"/>
    <n v="53"/>
    <n v="1938"/>
    <n v="1971"/>
    <n v="880"/>
    <m/>
    <n v="720"/>
    <n v="720"/>
    <m/>
    <m/>
    <n v="880"/>
    <n v="1000"/>
    <n v="5"/>
    <m/>
    <m/>
    <m/>
    <m/>
    <m/>
    <m/>
    <m/>
    <n v="148010"/>
    <n v="99167"/>
    <n v="14038"/>
    <n v="278400"/>
    <n v="63300"/>
    <n v="215100"/>
    <n v="0"/>
    <n v="0"/>
    <n v="89850.625589999996"/>
    <n v="-46522.028095997222"/>
    <n v="-43578.886190266698"/>
    <n v="160472.20319"/>
    <n v="-11821.416826500001"/>
    <n v="43479.629491760003"/>
    <n v="0"/>
    <n v="0"/>
    <n v="20938.964577839997"/>
    <n v="18960.110526"/>
    <n v="0"/>
    <n v="14000"/>
    <n v="188500"/>
    <n v="43300"/>
    <n v="245800"/>
    <n v="-0.11709770114942529"/>
    <n v="0.99970000000000003"/>
    <n v="1"/>
    <n v="0.99729999999999996"/>
    <n v="1.0148999999999999"/>
    <n v="0.98909999999999998"/>
    <n v="0.94971499999999998"/>
    <n v="0.95078554582152541"/>
    <n v="188500"/>
    <n v="13300"/>
    <n v="201800"/>
    <n v="41100"/>
    <n v="242900"/>
    <n v="-6.1831706183170618E-2"/>
    <n v="-0.35071090047393366"/>
    <n v="-0.12751436781609196"/>
  </r>
  <r>
    <n v="2025"/>
    <s v="18132243412    "/>
    <n v="-1.1086626245216111"/>
    <n v="0.33"/>
    <n v="14579"/>
    <s v="6"/>
    <s v="RES"/>
    <x v="0"/>
    <s v="11"/>
    <s v="259"/>
    <s v="CO"/>
    <s v="A"/>
    <s v="VG"/>
    <x v="8"/>
    <n v="87"/>
    <n v="29"/>
    <n v="1937"/>
    <n v="1995"/>
    <n v="1205"/>
    <n v="432"/>
    <n v="882"/>
    <n v="882"/>
    <m/>
    <m/>
    <n v="1637"/>
    <n v="2000"/>
    <n v="8"/>
    <m/>
    <m/>
    <m/>
    <m/>
    <m/>
    <m/>
    <m/>
    <n v="278379"/>
    <n v="242190"/>
    <n v="0"/>
    <n v="392400"/>
    <n v="75900"/>
    <n v="316500"/>
    <n v="0"/>
    <n v="0"/>
    <n v="89850.625589999996"/>
    <n v="-35094.289365640165"/>
    <n v="21557.329055999999"/>
    <n v="284810.60806"/>
    <n v="-6468.3224145000004"/>
    <n v="59537.447201784998"/>
    <n v="19347.734675952001"/>
    <n v="0"/>
    <n v="25650.231607853999"/>
    <n v="30336.176841600001"/>
    <n v="0"/>
    <n v="0"/>
    <n v="434800"/>
    <n v="54800"/>
    <n v="489600"/>
    <n v="0.24770642201834864"/>
    <n v="0.99970000000000003"/>
    <n v="1.0067999999999999"/>
    <n v="1.0158"/>
    <n v="1.0093000000000001"/>
    <n v="0.98909999999999998"/>
    <n v="0.94971499999999998"/>
    <n v="0.96962808871133754"/>
    <n v="434800"/>
    <n v="0"/>
    <n v="434800"/>
    <n v="52000"/>
    <n v="486800"/>
    <n v="0.37377567140600315"/>
    <n v="-0.31488801054018445"/>
    <n v="0.24057084607543322"/>
  </r>
  <r>
    <n v="2025"/>
    <s v="18132332515    "/>
    <n v="-1.6607312068216509"/>
    <n v="0.19"/>
    <n v="8340"/>
    <s v="6"/>
    <s v="RES"/>
    <x v="0"/>
    <s v="11"/>
    <s v="259"/>
    <s v="TD"/>
    <s v="A"/>
    <s v="GD"/>
    <x v="8"/>
    <n v="87"/>
    <n v="53"/>
    <n v="1937"/>
    <n v="1971"/>
    <n v="1240"/>
    <m/>
    <n v="1280"/>
    <n v="1280"/>
    <m/>
    <m/>
    <n v="1240"/>
    <n v="1500"/>
    <n v="5"/>
    <m/>
    <m/>
    <m/>
    <m/>
    <m/>
    <m/>
    <m/>
    <n v="254609"/>
    <n v="175680"/>
    <n v="13625"/>
    <n v="333900"/>
    <n v="56600"/>
    <n v="277300"/>
    <n v="0"/>
    <n v="0"/>
    <n v="89850.625589999996"/>
    <n v="-52569.808201026557"/>
    <n v="21557.329055999999"/>
    <n v="197752.34721000001"/>
    <n v="-11821.416826500001"/>
    <n v="61266.750647480003"/>
    <n v="0"/>
    <n v="0"/>
    <n v="37224.82591616"/>
    <n v="18960.110526"/>
    <n v="0"/>
    <n v="13600"/>
    <n v="324900"/>
    <n v="37300"/>
    <n v="375800"/>
    <n v="0.12548667265648397"/>
    <n v="0.99970000000000003"/>
    <n v="1.0067999999999999"/>
    <n v="0.99650000000000005"/>
    <n v="1.0157"/>
    <n v="0.98909999999999998"/>
    <n v="0.94971499999999998"/>
    <n v="0.95723696608169473"/>
    <n v="324900"/>
    <n v="12900"/>
    <n v="337800"/>
    <n v="35400"/>
    <n v="373200"/>
    <n v="0.21817526144969349"/>
    <n v="-0.37455830388692579"/>
    <n v="0.11769991015274034"/>
  </r>
  <r>
    <n v="2025"/>
    <s v="18132331497    "/>
    <n v="-1.7719568419318752"/>
    <n v="0.17"/>
    <n v="7350"/>
    <s v="6"/>
    <s v="RES"/>
    <x v="0"/>
    <s v="11"/>
    <s v="259"/>
    <s v="TD"/>
    <s v="A"/>
    <s v="GD"/>
    <x v="8"/>
    <n v="87"/>
    <n v="53"/>
    <n v="1937"/>
    <n v="1971"/>
    <n v="1213"/>
    <m/>
    <n v="1213"/>
    <n v="970"/>
    <n v="243"/>
    <m/>
    <n v="1456"/>
    <n v="1500"/>
    <n v="5"/>
    <m/>
    <m/>
    <m/>
    <m/>
    <m/>
    <m/>
    <m/>
    <n v="263938"/>
    <n v="182117"/>
    <n v="4877"/>
    <n v="322500"/>
    <n v="52700"/>
    <n v="269800"/>
    <n v="0"/>
    <n v="0"/>
    <n v="89850.625589999996"/>
    <n v="-56090.612940989391"/>
    <n v="21557.329055999999"/>
    <n v="197752.34721000001"/>
    <n v="-11821.416826500001"/>
    <n v="59932.716560801004"/>
    <n v="0"/>
    <n v="0"/>
    <n v="35276.338934610998"/>
    <n v="18960.110526"/>
    <n v="0"/>
    <n v="4900"/>
    <n v="321700"/>
    <n v="33800"/>
    <n v="360400"/>
    <n v="0.11751937984496125"/>
    <n v="0.99970000000000003"/>
    <n v="1.0067999999999999"/>
    <n v="0.99650000000000005"/>
    <n v="1.0157"/>
    <n v="0.98909999999999998"/>
    <n v="0.94971499999999998"/>
    <n v="0.95723696608169473"/>
    <n v="321700"/>
    <n v="4600"/>
    <n v="326300"/>
    <n v="32100"/>
    <n v="358400"/>
    <n v="0.20941438102297999"/>
    <n v="-0.39089184060721061"/>
    <n v="0.11131782945736435"/>
  </r>
  <r>
    <n v="2025"/>
    <s v="18132332496    "/>
    <n v="-1.5141277326297755"/>
    <n v="0.22"/>
    <m/>
    <s v="6"/>
    <s v="RES"/>
    <x v="0"/>
    <s v="11"/>
    <s v="259"/>
    <s v="CC"/>
    <s v="A+"/>
    <s v="GD"/>
    <x v="8"/>
    <n v="87"/>
    <n v="53"/>
    <n v="1937"/>
    <n v="1971"/>
    <n v="1161"/>
    <n v="690"/>
    <n v="1140"/>
    <n v="640"/>
    <n v="500"/>
    <m/>
    <n v="2351"/>
    <n v="2500"/>
    <n v="8"/>
    <m/>
    <m/>
    <n v="192"/>
    <m/>
    <m/>
    <m/>
    <m/>
    <n v="385124"/>
    <n v="265736"/>
    <n v="9030"/>
    <n v="384400"/>
    <n v="61700"/>
    <n v="322700"/>
    <n v="0"/>
    <n v="0"/>
    <n v="89850.625589999996"/>
    <n v="-47929.131559187132"/>
    <n v="29814.093161000001"/>
    <n v="197752.34721000001"/>
    <n v="-11821.416826500001"/>
    <n v="57363.465727196999"/>
    <n v="30902.631774089998"/>
    <n v="0"/>
    <n v="33153.360581579997"/>
    <n v="30336.176841600001"/>
    <n v="6392.7389329920006"/>
    <n v="9000"/>
    <n v="373900"/>
    <n v="41900"/>
    <n v="424800"/>
    <n v="0.10509885535900104"/>
    <n v="0.99970000000000003"/>
    <n v="1.0088999999999999"/>
    <n v="0.99650000000000005"/>
    <n v="0.98919999999999997"/>
    <n v="0.98909999999999998"/>
    <n v="0.94971499999999998"/>
    <n v="0.93420681692829766"/>
    <n v="373900"/>
    <n v="8600"/>
    <n v="382500"/>
    <n v="39800"/>
    <n v="422300"/>
    <n v="0.18531143476913542"/>
    <n v="-0.35494327390599678"/>
    <n v="9.8595213319458891E-2"/>
  </r>
  <r>
    <n v="2025"/>
    <s v="18132212003    "/>
    <n v="-0.84397007029452897"/>
    <n v="0.43"/>
    <n v="18691"/>
    <s v="6"/>
    <s v="RES"/>
    <x v="0"/>
    <s v="11"/>
    <s v="259"/>
    <s v="TD"/>
    <s v="A+"/>
    <s v="GD"/>
    <x v="8"/>
    <n v="87"/>
    <n v="53"/>
    <n v="1937"/>
    <n v="1971"/>
    <n v="1348"/>
    <m/>
    <n v="650"/>
    <n v="328"/>
    <n v="322"/>
    <m/>
    <n v="1670"/>
    <n v="2000"/>
    <n v="8"/>
    <m/>
    <m/>
    <n v="288"/>
    <m/>
    <m/>
    <m/>
    <m/>
    <n v="308199"/>
    <n v="212657"/>
    <n v="11660"/>
    <n v="375300"/>
    <n v="85100"/>
    <n v="290200"/>
    <n v="0"/>
    <n v="0"/>
    <n v="89850.625589999996"/>
    <n v="-26715.548272078075"/>
    <n v="29814.093161000001"/>
    <n v="197752.34721000001"/>
    <n v="-11821.416826500001"/>
    <n v="66602.886994196"/>
    <n v="0"/>
    <n v="0"/>
    <n v="18903.231910549999"/>
    <n v="30336.176841600001"/>
    <n v="9589.1083994880009"/>
    <n v="11700"/>
    <n v="341200"/>
    <n v="63100"/>
    <n v="416000"/>
    <n v="0.10844657607247535"/>
    <n v="0.99970000000000003"/>
    <n v="1.0088999999999999"/>
    <n v="0.99650000000000005"/>
    <n v="1.0093000000000001"/>
    <n v="0.98909999999999998"/>
    <n v="0.94971499999999998"/>
    <n v="0.95318938569119571"/>
    <n v="341200"/>
    <n v="11100"/>
    <n v="352300"/>
    <n v="60000"/>
    <n v="412300"/>
    <n v="0.21399035148173673"/>
    <n v="-0.29494712103407755"/>
    <n v="9.8587796429523047E-2"/>
  </r>
  <r>
    <n v="2025"/>
    <s v="18132244420    "/>
    <n v="-1.7147984280919266"/>
    <n v="0.18"/>
    <n v="7800"/>
    <s v="6"/>
    <s v="RES"/>
    <x v="0"/>
    <s v="11"/>
    <s v="259"/>
    <s v="CO"/>
    <s v="A+"/>
    <s v="GD"/>
    <x v="8"/>
    <n v="87"/>
    <n v="53"/>
    <n v="1937"/>
    <n v="1971"/>
    <n v="1642"/>
    <n v="360"/>
    <n v="1128"/>
    <n v="878"/>
    <n v="250"/>
    <m/>
    <n v="2252"/>
    <n v="2500"/>
    <n v="9"/>
    <m/>
    <m/>
    <m/>
    <m/>
    <m/>
    <m/>
    <m/>
    <n v="397526"/>
    <n v="274293"/>
    <n v="5580"/>
    <n v="385900"/>
    <n v="54700"/>
    <n v="331200"/>
    <n v="0"/>
    <n v="0"/>
    <n v="89850.625589999996"/>
    <n v="-54281.285314520763"/>
    <n v="29814.093161000001"/>
    <n v="197752.34721000001"/>
    <n v="-11821.416826500001"/>
    <n v="81129.035938034009"/>
    <n v="16123.112229959999"/>
    <n v="0"/>
    <n v="32804.377838615997"/>
    <n v="34128.198946800003"/>
    <n v="0"/>
    <n v="5600"/>
    <n v="379900"/>
    <n v="35600"/>
    <n v="421100"/>
    <n v="9.1215340761855404E-2"/>
    <n v="0.99970000000000003"/>
    <n v="1.0088999999999999"/>
    <n v="0.99650000000000005"/>
    <n v="0.98919999999999997"/>
    <n v="0.98909999999999998"/>
    <n v="0.94971499999999998"/>
    <n v="0.93420681692829766"/>
    <n v="379900"/>
    <n v="5300"/>
    <n v="385200"/>
    <n v="33800"/>
    <n v="419000"/>
    <n v="0.16304347826086957"/>
    <n v="-0.38208409506398539"/>
    <n v="8.5773516455040166E-2"/>
  </r>
  <r>
    <n v="2025"/>
    <s v="18132331510    "/>
    <n v="-1.7147984280919266"/>
    <n v="0.18"/>
    <m/>
    <s v="6"/>
    <s v="RES"/>
    <x v="0"/>
    <s v="11"/>
    <s v="259"/>
    <s v="MS"/>
    <s v="A+"/>
    <s v="GD"/>
    <x v="8"/>
    <n v="87"/>
    <n v="53"/>
    <n v="1937"/>
    <n v="1971"/>
    <n v="1541"/>
    <n v="391"/>
    <n v="1187"/>
    <n v="0"/>
    <n v="1187"/>
    <m/>
    <n v="3119"/>
    <n v="3500"/>
    <n v="12"/>
    <m/>
    <m/>
    <n v="468"/>
    <m/>
    <m/>
    <m/>
    <m/>
    <n v="455975"/>
    <n v="314623"/>
    <n v="8845"/>
    <n v="412700"/>
    <n v="54700"/>
    <n v="358000"/>
    <n v="0"/>
    <n v="0"/>
    <n v="89850.625589999996"/>
    <n v="-54281.285314520763"/>
    <n v="29814.093161000001"/>
    <n v="197752.34721000001"/>
    <n v="-11821.416826500001"/>
    <n v="76138.760280457005"/>
    <n v="17511.491338650998"/>
    <n v="0"/>
    <n v="34520.209658189"/>
    <n v="45504.265262400004"/>
    <n v="15582.301149168001"/>
    <n v="8800"/>
    <n v="405000"/>
    <n v="35600"/>
    <n v="449400"/>
    <n v="8.8926581051611345E-2"/>
    <n v="0.99970000000000003"/>
    <n v="1.0088999999999999"/>
    <n v="0.99650000000000005"/>
    <n v="1.0126999999999999"/>
    <n v="0.98909999999999998"/>
    <n v="0.94971499999999998"/>
    <n v="0.9564003674719842"/>
    <n v="405000"/>
    <n v="8400"/>
    <n v="413400"/>
    <n v="33800"/>
    <n v="447200"/>
    <n v="0.15474860335195531"/>
    <n v="-0.38208409506398539"/>
    <n v="8.3595832323721836E-2"/>
  </r>
  <r>
    <n v="2025"/>
    <s v="18132332565    "/>
    <n v="-1.8325814637483102"/>
    <n v="0.16"/>
    <m/>
    <s v="6"/>
    <s v="RES"/>
    <x v="0"/>
    <s v="11"/>
    <s v="259"/>
    <s v="BG"/>
    <s v="A"/>
    <s v="GD"/>
    <x v="8"/>
    <n v="87"/>
    <n v="53"/>
    <n v="1937"/>
    <n v="1971"/>
    <n v="820"/>
    <m/>
    <n v="820"/>
    <n v="0"/>
    <n v="820"/>
    <m/>
    <n v="1640"/>
    <n v="2000"/>
    <n v="7"/>
    <m/>
    <m/>
    <m/>
    <m/>
    <m/>
    <m/>
    <m/>
    <n v="208800"/>
    <n v="144072"/>
    <n v="5024"/>
    <n v="311000"/>
    <n v="50600"/>
    <n v="260400"/>
    <n v="0"/>
    <n v="0"/>
    <n v="89850.625589999996"/>
    <n v="-58009.662049032086"/>
    <n v="21557.329055999999"/>
    <n v="197752.34721000001"/>
    <n v="-11821.416826500001"/>
    <n v="40515.10929914"/>
    <n v="0"/>
    <n v="0"/>
    <n v="23847.15410254"/>
    <n v="26544.1547364"/>
    <n v="0"/>
    <n v="5000"/>
    <n v="298400"/>
    <n v="31800"/>
    <n v="335200"/>
    <n v="7.7813504823151122E-2"/>
    <n v="0.99970000000000003"/>
    <n v="1.0067999999999999"/>
    <n v="0.99650000000000005"/>
    <n v="1.0093000000000001"/>
    <n v="0.98909999999999998"/>
    <n v="0.94971499999999998"/>
    <n v="0.95120534593507355"/>
    <n v="298400"/>
    <n v="4800"/>
    <n v="303200"/>
    <n v="30200"/>
    <n v="333400"/>
    <n v="0.16436251920122888"/>
    <n v="-0.40316205533596838"/>
    <n v="7.2025723472668807E-2"/>
  </r>
  <r>
    <n v="2025"/>
    <s v="18132242019    "/>
    <n v="-1.2039728043259361"/>
    <n v="0.3"/>
    <n v="12997"/>
    <s v="6"/>
    <s v="RES"/>
    <x v="0"/>
    <s v="11"/>
    <s v="259"/>
    <s v="BG"/>
    <s v="G"/>
    <s v="AV"/>
    <x v="8"/>
    <n v="87"/>
    <n v="53"/>
    <n v="1937"/>
    <n v="1971"/>
    <n v="1904"/>
    <m/>
    <n v="1904"/>
    <n v="563"/>
    <n v="1341"/>
    <m/>
    <n v="3245"/>
    <n v="3500"/>
    <n v="11"/>
    <m/>
    <m/>
    <n v="785"/>
    <m/>
    <m/>
    <m/>
    <m/>
    <n v="609473"/>
    <n v="408347"/>
    <n v="12848"/>
    <n v="441200"/>
    <n v="72500"/>
    <n v="368700"/>
    <n v="0"/>
    <n v="0"/>
    <n v="89850.625589999996"/>
    <n v="-38111.29648355169"/>
    <n v="44121.038090000002"/>
    <n v="160472.20319"/>
    <n v="-11821.416826500001"/>
    <n v="94074.107445807997"/>
    <n v="0"/>
    <n v="0"/>
    <n v="55371.928550287994"/>
    <n v="41712.243157199999"/>
    <n v="26136.979491660004"/>
    <n v="12800"/>
    <n v="410100"/>
    <n v="51700"/>
    <n v="474600"/>
    <n v="7.5702629193109702E-2"/>
    <n v="0.99970000000000003"/>
    <n v="0.98050000000000004"/>
    <n v="0.99729999999999996"/>
    <n v="1.0126999999999999"/>
    <n v="0.98909999999999998"/>
    <n v="0.94971499999999998"/>
    <n v="0.93022439853139849"/>
    <n v="410100"/>
    <n v="12200"/>
    <n v="422300"/>
    <n v="49100"/>
    <n v="471400"/>
    <n v="0.14537564415513968"/>
    <n v="-0.32275862068965516"/>
    <n v="6.844968268359021E-2"/>
  </r>
  <r>
    <n v="2025"/>
    <s v="18132243436    "/>
    <n v="-1.7719568419318752"/>
    <n v="0.17"/>
    <n v="7521"/>
    <s v="6"/>
    <s v="RES"/>
    <x v="0"/>
    <s v="11"/>
    <s v="259"/>
    <s v="RN"/>
    <s v="A+"/>
    <s v="AV"/>
    <x v="8"/>
    <n v="87"/>
    <n v="53"/>
    <n v="1937"/>
    <n v="1971"/>
    <n v="1068"/>
    <m/>
    <n v="1056"/>
    <n v="511"/>
    <n v="545"/>
    <m/>
    <n v="1613"/>
    <n v="2000"/>
    <n v="8"/>
    <m/>
    <m/>
    <n v="504"/>
    <m/>
    <m/>
    <m/>
    <m/>
    <n v="310922"/>
    <n v="208318"/>
    <n v="0"/>
    <n v="320800"/>
    <n v="52700"/>
    <n v="268100"/>
    <n v="0"/>
    <n v="0"/>
    <n v="89850.625589999996"/>
    <n v="-56090.612940989391"/>
    <n v="29814.093161000001"/>
    <n v="160472.20319"/>
    <n v="-11821.416826500001"/>
    <n v="52768.459428636001"/>
    <n v="0"/>
    <n v="0"/>
    <n v="30710.481380832"/>
    <n v="30336.176841600001"/>
    <n v="16780.939699104001"/>
    <n v="0"/>
    <n v="309100"/>
    <n v="33800"/>
    <n v="342900"/>
    <n v="6.8890274314214461E-2"/>
    <n v="0.99970000000000003"/>
    <n v="1.0088999999999999"/>
    <n v="0.99729999999999996"/>
    <n v="1.0093000000000001"/>
    <n v="0.98909999999999998"/>
    <n v="0.94971499999999998"/>
    <n v="0.95395461550409388"/>
    <n v="309100"/>
    <n v="0"/>
    <n v="309100"/>
    <n v="32100"/>
    <n v="341200"/>
    <n v="0.15292801193584482"/>
    <n v="-0.39089184060721061"/>
    <n v="6.3591022443890269E-2"/>
  </r>
  <r>
    <n v="2025"/>
    <s v="18132213044    "/>
    <n v="-0.96758402626170559"/>
    <n v="0.38"/>
    <n v="16721"/>
    <s v="6"/>
    <s v="RES"/>
    <x v="0"/>
    <s v="11"/>
    <s v="259"/>
    <s v="TD"/>
    <s v="G"/>
    <s v="AV"/>
    <x v="8"/>
    <n v="87"/>
    <n v="53"/>
    <n v="1937"/>
    <n v="1971"/>
    <n v="1384"/>
    <m/>
    <n v="1251"/>
    <n v="939"/>
    <n v="312"/>
    <m/>
    <n v="1696"/>
    <n v="2000"/>
    <n v="8"/>
    <m/>
    <m/>
    <n v="72"/>
    <m/>
    <m/>
    <m/>
    <m/>
    <n v="394768"/>
    <n v="264495"/>
    <n v="9004"/>
    <n v="372700"/>
    <n v="80800"/>
    <n v="291900"/>
    <n v="0"/>
    <n v="0"/>
    <n v="89850.625589999996"/>
    <n v="-30628.500548443946"/>
    <n v="44121.038090000002"/>
    <n v="160472.20319"/>
    <n v="-11821.416826500001"/>
    <n v="68381.599109768009"/>
    <n v="0"/>
    <n v="0"/>
    <n v="36381.450953996995"/>
    <n v="30336.176841600001"/>
    <n v="2397.2770998720002"/>
    <n v="9000"/>
    <n v="330300"/>
    <n v="59200"/>
    <n v="398500"/>
    <n v="6.9224577408103033E-2"/>
    <n v="0.99970000000000003"/>
    <n v="0.98050000000000004"/>
    <n v="0.99729999999999996"/>
    <n v="1.0093000000000001"/>
    <n v="0.98909999999999998"/>
    <n v="0.94971499999999998"/>
    <n v="0.92710129894118753"/>
    <n v="330300"/>
    <n v="8600"/>
    <n v="338900"/>
    <n v="56200"/>
    <n v="395100"/>
    <n v="0.16101404590613225"/>
    <n v="-0.30445544554455445"/>
    <n v="6.0101958679903408E-2"/>
  </r>
  <r>
    <n v="2025"/>
    <s v="18132243416    "/>
    <n v="-1.6094379124341003"/>
    <n v="0.2"/>
    <n v="8680"/>
    <s v="6"/>
    <s v="RES"/>
    <x v="0"/>
    <s v="11"/>
    <s v="259"/>
    <s v="TD"/>
    <s v="G"/>
    <s v="GD"/>
    <x v="8"/>
    <n v="87"/>
    <n v="53"/>
    <n v="1937"/>
    <n v="1971"/>
    <n v="1277"/>
    <m/>
    <n v="1277"/>
    <n v="0"/>
    <n v="1277"/>
    <m/>
    <n v="2554"/>
    <n v="3000"/>
    <n v="10"/>
    <m/>
    <n v="228"/>
    <n v="144"/>
    <m/>
    <m/>
    <m/>
    <m/>
    <n v="451277"/>
    <n v="311381"/>
    <n v="0"/>
    <n v="387000"/>
    <n v="58400"/>
    <n v="328600"/>
    <n v="0"/>
    <n v="0"/>
    <n v="89850.625589999996"/>
    <n v="-50946.13867709865"/>
    <n v="44121.038090000002"/>
    <n v="197752.34721000001"/>
    <n v="-11821.416826500001"/>
    <n v="63094.871432929001"/>
    <n v="0"/>
    <n v="0"/>
    <n v="37137.580230419"/>
    <n v="37920.221052000001"/>
    <n v="4794.5541997440005"/>
    <n v="0"/>
    <n v="373000"/>
    <n v="38900"/>
    <n v="411900"/>
    <n v="6.4341085271317836E-2"/>
    <n v="0.99970000000000003"/>
    <n v="0.98050000000000004"/>
    <n v="0.99650000000000005"/>
    <n v="0.96179999999999999"/>
    <n v="0.98909999999999998"/>
    <n v="0.94971499999999998"/>
    <n v="0.88276107127906644"/>
    <n v="373000"/>
    <n v="0"/>
    <n v="373000"/>
    <n v="36900"/>
    <n v="409900"/>
    <n v="0.13511868533171029"/>
    <n v="-0.36815068493150682"/>
    <n v="5.9173126614987082E-2"/>
  </r>
  <r>
    <n v="2025"/>
    <s v="18132332410    "/>
    <n v="-1.7147984280919266"/>
    <n v="0.18"/>
    <m/>
    <s v="6"/>
    <s v="RES"/>
    <x v="0"/>
    <s v="11"/>
    <s v="259"/>
    <s v="TD"/>
    <s v="A"/>
    <s v="AV"/>
    <x v="8"/>
    <n v="87"/>
    <n v="53"/>
    <n v="1937"/>
    <n v="1971"/>
    <n v="923"/>
    <m/>
    <n v="923"/>
    <n v="93"/>
    <n v="830"/>
    <m/>
    <n v="1753"/>
    <n v="2000"/>
    <n v="5"/>
    <n v="198"/>
    <m/>
    <m/>
    <m/>
    <m/>
    <m/>
    <m/>
    <n v="234434"/>
    <n v="157071"/>
    <n v="0"/>
    <n v="286000"/>
    <n v="54700"/>
    <n v="231300"/>
    <n v="0"/>
    <n v="0"/>
    <n v="89850.625589999996"/>
    <n v="-54281.285314520763"/>
    <n v="21557.329055999999"/>
    <n v="160472.20319"/>
    <n v="-11821.416826500001"/>
    <n v="45604.202296470998"/>
    <n v="0"/>
    <n v="0"/>
    <n v="26842.589312980999"/>
    <n v="18960.110526"/>
    <n v="0"/>
    <n v="0"/>
    <n v="261600"/>
    <n v="35600"/>
    <n v="297200"/>
    <n v="3.9160839160839164E-2"/>
    <n v="0.99970000000000003"/>
    <n v="1.0067999999999999"/>
    <n v="0.99729999999999996"/>
    <n v="1.0093000000000001"/>
    <n v="0.98909999999999998"/>
    <n v="0.94971499999999998"/>
    <n v="0.95196898294134369"/>
    <n v="261600"/>
    <n v="0"/>
    <n v="261600"/>
    <n v="33800"/>
    <n v="295400"/>
    <n v="0.13099870298313879"/>
    <n v="-0.38208409506398539"/>
    <n v="3.2867132867132866E-2"/>
  </r>
  <r>
    <n v="2025"/>
    <s v="18132342451    "/>
    <n v="-1.0216512475319814"/>
    <n v="0.36"/>
    <m/>
    <s v="6"/>
    <s v="RES"/>
    <x v="0"/>
    <s v="11"/>
    <s v="259"/>
    <s v="BG"/>
    <s v="V"/>
    <s v="GD"/>
    <x v="8"/>
    <n v="87"/>
    <n v="53"/>
    <n v="1937"/>
    <n v="1971"/>
    <n v="2554"/>
    <m/>
    <n v="1216"/>
    <n v="816"/>
    <n v="400"/>
    <m/>
    <n v="2954"/>
    <n v="3000"/>
    <n v="13"/>
    <n v="462"/>
    <m/>
    <m/>
    <m/>
    <m/>
    <m/>
    <m/>
    <n v="795952"/>
    <n v="557166"/>
    <n v="0"/>
    <n v="621000"/>
    <n v="78900"/>
    <n v="542100"/>
    <n v="0"/>
    <n v="0"/>
    <n v="89850.625589999996"/>
    <n v="-32339.977661938148"/>
    <n v="163885.03753"/>
    <n v="197752.34721000001"/>
    <n v="-11821.416826500001"/>
    <n v="126189.742865858"/>
    <n v="0"/>
    <n v="0"/>
    <n v="35363.584620351998"/>
    <n v="49296.287367600002"/>
    <n v="0"/>
    <n v="0"/>
    <n v="560700"/>
    <n v="57500"/>
    <n v="618200"/>
    <n v="-4.5088566827697265E-3"/>
    <n v="0.99970000000000003"/>
    <n v="1"/>
    <n v="0.99650000000000005"/>
    <n v="0.96179999999999999"/>
    <n v="0.98909999999999998"/>
    <n v="0.94971499999999998"/>
    <n v="0.90031725780628902"/>
    <n v="560700"/>
    <n v="0"/>
    <n v="560700"/>
    <n v="54600"/>
    <n v="615300"/>
    <n v="3.4311012728278918E-2"/>
    <n v="-0.30798479087452474"/>
    <n v="-9.1787439613526568E-3"/>
  </r>
  <r>
    <n v="2025"/>
    <s v="18132323016    "/>
    <n v="-2.0402208285265546"/>
    <n v="0.13"/>
    <n v="5507"/>
    <s v="6"/>
    <s v="RES"/>
    <x v="0"/>
    <s v="11"/>
    <s v="259"/>
    <s v="CO"/>
    <s v="F"/>
    <s v="AV"/>
    <x v="8"/>
    <n v="87"/>
    <n v="53"/>
    <n v="1937"/>
    <n v="1971"/>
    <n v="988"/>
    <n v="280"/>
    <m/>
    <n v="0"/>
    <m/>
    <m/>
    <n v="1268"/>
    <n v="1500"/>
    <n v="5"/>
    <m/>
    <m/>
    <m/>
    <m/>
    <m/>
    <m/>
    <m/>
    <n v="159910"/>
    <n v="107140"/>
    <n v="7641"/>
    <n v="241500"/>
    <n v="43400"/>
    <n v="198100"/>
    <n v="0"/>
    <n v="0"/>
    <n v="89850.625589999996"/>
    <n v="-64582.406353792743"/>
    <n v="-43578.886190266698"/>
    <n v="160472.20319"/>
    <n v="-11821.416826500001"/>
    <n v="48815.765838476"/>
    <n v="12540.198401079999"/>
    <n v="0"/>
    <n v="0"/>
    <n v="18960.110526"/>
    <n v="0"/>
    <n v="7600"/>
    <n v="185400"/>
    <n v="25300"/>
    <n v="218300"/>
    <n v="-9.6066252587991716E-2"/>
    <n v="0.99970000000000003"/>
    <n v="1"/>
    <n v="0.99729999999999996"/>
    <n v="1.0157"/>
    <n v="0.98909999999999998"/>
    <n v="0.94971499999999998"/>
    <n v="0.95153500728241536"/>
    <n v="185400"/>
    <n v="7300"/>
    <n v="192700"/>
    <n v="24000"/>
    <n v="216700"/>
    <n v="-2.7258960121150935E-2"/>
    <n v="-0.44700460829493088"/>
    <n v="-0.10269151138716356"/>
  </r>
  <r>
    <n v="2025"/>
    <s v="18132331010    "/>
    <n v="-1.5141277326297755"/>
    <n v="0.22"/>
    <m/>
    <s v="6"/>
    <s v="RES"/>
    <x v="0"/>
    <s v="11"/>
    <s v="259"/>
    <s v="CO"/>
    <s v="G"/>
    <s v="GD"/>
    <x v="8"/>
    <n v="88"/>
    <n v="53"/>
    <n v="1936"/>
    <n v="1971"/>
    <n v="1423"/>
    <n v="713"/>
    <n v="1080"/>
    <n v="1080"/>
    <m/>
    <m/>
    <n v="2136"/>
    <n v="2500"/>
    <n v="8"/>
    <m/>
    <m/>
    <n v="864"/>
    <m/>
    <m/>
    <m/>
    <m/>
    <n v="456935"/>
    <n v="315285"/>
    <n v="13781"/>
    <n v="403700"/>
    <n v="61700"/>
    <n v="342000"/>
    <n v="0"/>
    <n v="0"/>
    <n v="89850.625589999996"/>
    <n v="-47929.131559187132"/>
    <n v="44121.038090000002"/>
    <n v="197752.34721000001"/>
    <n v="-11821.416826500001"/>
    <n v="70308.537234971009"/>
    <n v="31932.719499892999"/>
    <n v="0"/>
    <n v="31408.446866759998"/>
    <n v="30336.176841600001"/>
    <n v="28767.325198464001"/>
    <n v="13800"/>
    <n v="422800"/>
    <n v="41900"/>
    <n v="478500"/>
    <n v="0.18528610354223432"/>
    <n v="0.99970000000000003"/>
    <n v="0.98050000000000004"/>
    <n v="0.99650000000000005"/>
    <n v="0.98919999999999997"/>
    <n v="0.98909999999999998"/>
    <n v="0.94971499999999998"/>
    <n v="0.90790939042342744"/>
    <n v="422800"/>
    <n v="13100"/>
    <n v="435900"/>
    <n v="39800"/>
    <n v="475700"/>
    <n v="0.27456140350877195"/>
    <n v="-0.35494327390599678"/>
    <n v="0.1783502600941293"/>
  </r>
  <r>
    <n v="2025"/>
    <s v="18132343012    "/>
    <n v="-1.7147984280919266"/>
    <n v="0.18"/>
    <m/>
    <s v="6"/>
    <s v="RES"/>
    <x v="0"/>
    <s v="11"/>
    <s v="259"/>
    <s v="BG"/>
    <s v="G"/>
    <s v="GD"/>
    <x v="8"/>
    <n v="88"/>
    <n v="53"/>
    <n v="1936"/>
    <n v="1971"/>
    <n v="1881"/>
    <m/>
    <n v="957"/>
    <n v="957"/>
    <m/>
    <m/>
    <n v="1881"/>
    <n v="2000"/>
    <n v="9"/>
    <m/>
    <m/>
    <m/>
    <m/>
    <m/>
    <m/>
    <m/>
    <n v="469452"/>
    <n v="323922"/>
    <n v="13177"/>
    <n v="388800"/>
    <n v="54700"/>
    <n v="334100"/>
    <n v="0"/>
    <n v="0"/>
    <n v="89850.625589999996"/>
    <n v="-54281.285314520763"/>
    <n v="44121.038090000002"/>
    <n v="197752.34721000001"/>
    <n v="-11821.416826500001"/>
    <n v="92937.708038637007"/>
    <n v="0"/>
    <n v="0"/>
    <n v="27831.373751379"/>
    <n v="34128.198946800003"/>
    <n v="0"/>
    <n v="13200"/>
    <n v="384900"/>
    <n v="35600"/>
    <n v="433700"/>
    <n v="0.1154835390946502"/>
    <n v="0.99970000000000003"/>
    <n v="0.98050000000000004"/>
    <n v="0.99650000000000005"/>
    <n v="1.0093000000000001"/>
    <n v="0.98909999999999998"/>
    <n v="0.94971499999999998"/>
    <n v="0.92635760994173622"/>
    <n v="384900"/>
    <n v="12500"/>
    <n v="397400"/>
    <n v="33800"/>
    <n v="431200"/>
    <n v="0.18946423226578868"/>
    <n v="-0.38208409506398539"/>
    <n v="0.10905349794238683"/>
  </r>
  <r>
    <n v="2025"/>
    <s v="18132332543    "/>
    <n v="-1.6094379124341003"/>
    <n v="0.2"/>
    <n v="8580"/>
    <s v="6"/>
    <s v="RES"/>
    <x v="0"/>
    <s v="11"/>
    <s v="259"/>
    <s v="CO"/>
    <s v="A"/>
    <s v="GD"/>
    <x v="8"/>
    <n v="88"/>
    <n v="53"/>
    <n v="1936"/>
    <n v="1971"/>
    <n v="1007"/>
    <n v="493"/>
    <n v="1007"/>
    <n v="507"/>
    <n v="500"/>
    <m/>
    <n v="2000"/>
    <n v="2500"/>
    <n v="9"/>
    <m/>
    <m/>
    <n v="126"/>
    <m/>
    <m/>
    <m/>
    <m/>
    <n v="295418"/>
    <n v="203838"/>
    <n v="6724"/>
    <n v="356100"/>
    <n v="58400"/>
    <n v="297700"/>
    <n v="0"/>
    <n v="0"/>
    <n v="89850.625589999996"/>
    <n v="-50946.13867709865"/>
    <n v="21557.329055999999"/>
    <n v="197752.34721000001"/>
    <n v="-11821.416826500001"/>
    <n v="49754.530566139001"/>
    <n v="22079.706470473"/>
    <n v="0"/>
    <n v="29285.468513729"/>
    <n v="34128.198946800003"/>
    <n v="4195.2349247760003"/>
    <n v="6700"/>
    <n v="346900"/>
    <n v="38900"/>
    <n v="392500"/>
    <n v="0.10221847795563044"/>
    <n v="0.99970000000000003"/>
    <n v="1.0067999999999999"/>
    <n v="0.99650000000000005"/>
    <n v="0.98919999999999997"/>
    <n v="0.98909999999999998"/>
    <n v="0.94971499999999998"/>
    <n v="0.9322622889120924"/>
    <n v="346900"/>
    <n v="6400"/>
    <n v="353300"/>
    <n v="36900"/>
    <n v="390200"/>
    <n v="0.18676519986563656"/>
    <n v="-0.36815068493150682"/>
    <n v="9.5759618084807638E-2"/>
  </r>
  <r>
    <n v="2025"/>
    <s v="18132241062    "/>
    <n v="-1.6094379124341003"/>
    <n v="0.2"/>
    <n v="8618"/>
    <s v="6"/>
    <s v="RES"/>
    <x v="0"/>
    <s v="11"/>
    <s v="259"/>
    <s v="CO"/>
    <s v="G"/>
    <s v="GD"/>
    <x v="8"/>
    <n v="88"/>
    <n v="52"/>
    <n v="1936"/>
    <n v="1972"/>
    <n v="1469"/>
    <m/>
    <n v="1348"/>
    <n v="648"/>
    <n v="700"/>
    <m/>
    <n v="2169"/>
    <n v="2500"/>
    <n v="9"/>
    <m/>
    <m/>
    <m/>
    <m/>
    <m/>
    <m/>
    <m/>
    <n v="451247"/>
    <n v="315873"/>
    <n v="46061"/>
    <n v="420900"/>
    <n v="58400"/>
    <n v="362500"/>
    <n v="0"/>
    <n v="0"/>
    <n v="89850.625589999996"/>
    <n v="-50946.13867709865"/>
    <n v="44121.038090000002"/>
    <n v="197752.34721000001"/>
    <n v="-11598.371226000001"/>
    <n v="72581.336049313002"/>
    <n v="0"/>
    <n v="0"/>
    <n v="39202.394792955994"/>
    <n v="34128.198946800003"/>
    <n v="0"/>
    <n v="46100"/>
    <n v="376200"/>
    <n v="38900"/>
    <n v="461200"/>
    <n v="9.5747208363031605E-2"/>
    <n v="0.99970000000000003"/>
    <n v="0.98050000000000004"/>
    <n v="0.99650000000000005"/>
    <n v="0.98919999999999997"/>
    <n v="0.98909999999999998"/>
    <n v="0.94971499999999998"/>
    <n v="0.90790939042342744"/>
    <n v="376200"/>
    <n v="43700"/>
    <n v="419900"/>
    <n v="36900"/>
    <n v="456800"/>
    <n v="0.15834482758620691"/>
    <n v="-0.36815068493150682"/>
    <n v="8.5293418864338319E-2"/>
  </r>
  <r>
    <n v="2025"/>
    <s v="18132334411    "/>
    <n v="-1.8971199848858813"/>
    <n v="0.15"/>
    <m/>
    <s v="6"/>
    <s v="RES"/>
    <x v="0"/>
    <s v="11"/>
    <s v="259"/>
    <s v="BG"/>
    <s v="A"/>
    <s v="GD"/>
    <x v="8"/>
    <n v="88"/>
    <n v="53"/>
    <n v="1936"/>
    <n v="1971"/>
    <n v="1208"/>
    <m/>
    <n v="1208"/>
    <n v="445"/>
    <n v="763"/>
    <m/>
    <n v="1971"/>
    <n v="2000"/>
    <n v="9"/>
    <m/>
    <m/>
    <m/>
    <m/>
    <m/>
    <m/>
    <m/>
    <n v="284219"/>
    <n v="196111"/>
    <n v="46174"/>
    <n v="378600"/>
    <n v="48400"/>
    <n v="330200"/>
    <n v="0"/>
    <n v="0"/>
    <n v="89850.625589999996"/>
    <n v="-60052.604136134301"/>
    <n v="21557.329055999999"/>
    <n v="197752.34721000001"/>
    <n v="-11821.416826500001"/>
    <n v="59685.673211416004"/>
    <n v="0"/>
    <n v="0"/>
    <n v="35130.929458375998"/>
    <n v="34128.198946800003"/>
    <n v="0"/>
    <n v="46200"/>
    <n v="336400"/>
    <n v="29800"/>
    <n v="412400"/>
    <n v="8.9276281035393562E-2"/>
    <n v="0.99970000000000003"/>
    <n v="1.0067999999999999"/>
    <n v="0.99650000000000005"/>
    <n v="1.0093000000000001"/>
    <n v="0.98909999999999998"/>
    <n v="0.94971499999999998"/>
    <n v="0.95120534593507355"/>
    <n v="336400"/>
    <n v="43900"/>
    <n v="380300"/>
    <n v="28300"/>
    <n v="408600"/>
    <n v="0.15172622652937615"/>
    <n v="-0.41528925619834711"/>
    <n v="7.9239302694136288E-2"/>
  </r>
  <r>
    <n v="2025"/>
    <s v="18132331004    "/>
    <n v="-1.5606477482646683"/>
    <n v="0.21"/>
    <n v="9064"/>
    <s v="6"/>
    <s v="RES"/>
    <x v="0"/>
    <s v="11"/>
    <s v="259"/>
    <s v="MS"/>
    <s v="G"/>
    <s v="GD"/>
    <x v="8"/>
    <n v="88"/>
    <n v="53"/>
    <n v="1936"/>
    <n v="1971"/>
    <n v="1221"/>
    <n v="880"/>
    <n v="840"/>
    <n v="420"/>
    <n v="420"/>
    <m/>
    <n v="2521"/>
    <n v="3000"/>
    <n v="7"/>
    <m/>
    <m/>
    <m/>
    <m/>
    <m/>
    <m/>
    <m/>
    <n v="477765"/>
    <n v="329658"/>
    <n v="17476"/>
    <n v="405100"/>
    <n v="60100"/>
    <n v="345000"/>
    <n v="0"/>
    <n v="0"/>
    <n v="89850.625589999996"/>
    <n v="-49401.70477837498"/>
    <n v="44121.038090000002"/>
    <n v="197752.34721000001"/>
    <n v="-11821.416826500001"/>
    <n v="60327.985919817002"/>
    <n v="39412.052117679996"/>
    <n v="0"/>
    <n v="24428.792007479999"/>
    <n v="26544.1547364"/>
    <n v="0"/>
    <n v="17500"/>
    <n v="380800"/>
    <n v="40400"/>
    <n v="438700"/>
    <n v="8.294248333744754E-2"/>
    <n v="0.99970000000000003"/>
    <n v="0.98050000000000004"/>
    <n v="0.99650000000000005"/>
    <n v="0.96179999999999999"/>
    <n v="0.98909999999999998"/>
    <n v="0.94971499999999998"/>
    <n v="0.88276107127906644"/>
    <n v="380800"/>
    <n v="16600"/>
    <n v="397400"/>
    <n v="38400"/>
    <n v="435800"/>
    <n v="0.15188405797101448"/>
    <n v="-0.36106489184692181"/>
    <n v="7.5783757097013085E-2"/>
  </r>
  <r>
    <n v="2025"/>
    <s v="18132313413    "/>
    <n v="-1.3093333199837622"/>
    <n v="0.27"/>
    <n v="11742"/>
    <s v="6"/>
    <s v="RES"/>
    <x v="0"/>
    <s v="11"/>
    <s v="259"/>
    <s v="CC"/>
    <s v="G+"/>
    <s v="GD"/>
    <x v="8"/>
    <n v="88"/>
    <n v="53"/>
    <n v="1936"/>
    <n v="1971"/>
    <n v="1841"/>
    <n v="1715"/>
    <n v="450"/>
    <n v="450"/>
    <n v="0"/>
    <m/>
    <n v="3556"/>
    <n v="4000"/>
    <n v="13"/>
    <n v="475"/>
    <m/>
    <n v="1063"/>
    <m/>
    <m/>
    <m/>
    <m/>
    <n v="1005275"/>
    <n v="703693"/>
    <n v="13075"/>
    <n v="544300"/>
    <n v="68900"/>
    <n v="475400"/>
    <n v="0"/>
    <n v="0"/>
    <n v="89850.625589999996"/>
    <n v="-41446.443120973789"/>
    <n v="74268.409664999999"/>
    <n v="197752.34721000001"/>
    <n v="-11821.416826500001"/>
    <n v="90961.361243556996"/>
    <n v="76808.715206615001"/>
    <n v="0"/>
    <n v="13086.852861149999"/>
    <n v="49296.287367600002"/>
    <n v="35393.132738388005"/>
    <n v="13100"/>
    <n v="525700"/>
    <n v="48400"/>
    <n v="587200"/>
    <n v="7.881682895462061E-2"/>
    <n v="0.99970000000000003"/>
    <n v="0.98380000000000001"/>
    <n v="0.99650000000000005"/>
    <n v="0.94579999999999997"/>
    <n v="0.98909999999999998"/>
    <n v="0.94971499999999998"/>
    <n v="0.87099754358678572"/>
    <n v="525700"/>
    <n v="12400"/>
    <n v="538100"/>
    <n v="46000"/>
    <n v="584100"/>
    <n v="0.13188893563315104"/>
    <n v="-0.33236574746008707"/>
    <n v="7.3121440382142203E-2"/>
  </r>
  <r>
    <n v="2025"/>
    <s v="18132244417    "/>
    <n v="-1.7147984280919266"/>
    <n v="0.18"/>
    <n v="7800"/>
    <s v="6"/>
    <s v="RES"/>
    <x v="0"/>
    <s v="11"/>
    <s v="259"/>
    <s v="CC"/>
    <s v="G"/>
    <s v="GD"/>
    <x v="8"/>
    <n v="88"/>
    <n v="53"/>
    <n v="1936"/>
    <n v="1971"/>
    <n v="1216"/>
    <n v="840"/>
    <n v="1216"/>
    <n v="608"/>
    <n v="608"/>
    <m/>
    <n v="2664"/>
    <n v="3000"/>
    <n v="8"/>
    <m/>
    <m/>
    <m/>
    <m/>
    <m/>
    <m/>
    <m/>
    <n v="526588"/>
    <n v="363346"/>
    <n v="7465"/>
    <n v="405500"/>
    <n v="54700"/>
    <n v="350800"/>
    <n v="0"/>
    <n v="0"/>
    <n v="89850.625589999996"/>
    <n v="-54281.285314520763"/>
    <n v="44121.038090000002"/>
    <n v="197752.34721000001"/>
    <n v="-11821.416826500001"/>
    <n v="60080.942570432002"/>
    <n v="37620.595203240002"/>
    <n v="0"/>
    <n v="35363.584620351998"/>
    <n v="30336.176841600001"/>
    <n v="0"/>
    <n v="7500"/>
    <n v="393500"/>
    <n v="35600"/>
    <n v="436600"/>
    <n v="7.6695437731196053E-2"/>
    <n v="0.99970000000000003"/>
    <n v="0.98050000000000004"/>
    <n v="0.99650000000000005"/>
    <n v="0.96179999999999999"/>
    <n v="0.98909999999999998"/>
    <n v="0.94971499999999998"/>
    <n v="0.88276107127906644"/>
    <n v="393500"/>
    <n v="7100"/>
    <n v="400600"/>
    <n v="33800"/>
    <n v="434400"/>
    <n v="0.1419612314709236"/>
    <n v="-0.38208409506398539"/>
    <n v="7.1270036991368677E-2"/>
  </r>
  <r>
    <n v="2025"/>
    <s v="18132332488    "/>
    <n v="-1.7719568419318752"/>
    <n v="0.17"/>
    <m/>
    <s v="6"/>
    <s v="RES"/>
    <x v="0"/>
    <s v="11"/>
    <s v="259"/>
    <s v="TD"/>
    <s v="A"/>
    <s v="GD"/>
    <x v="8"/>
    <n v="88"/>
    <n v="53"/>
    <n v="1936"/>
    <n v="1971"/>
    <n v="980"/>
    <m/>
    <n v="980"/>
    <n v="98"/>
    <n v="882"/>
    <m/>
    <n v="1862"/>
    <n v="2000"/>
    <n v="9"/>
    <m/>
    <m/>
    <m/>
    <m/>
    <m/>
    <m/>
    <m/>
    <n v="244870"/>
    <n v="168960"/>
    <n v="4143"/>
    <n v="331800"/>
    <n v="52700"/>
    <n v="279100"/>
    <n v="0"/>
    <n v="0"/>
    <n v="89850.625589999996"/>
    <n v="-56090.612940989391"/>
    <n v="21557.329055999999"/>
    <n v="197752.34721000001"/>
    <n v="-11821.416826500001"/>
    <n v="48420.496479460002"/>
    <n v="0"/>
    <n v="0"/>
    <n v="28500.257342059998"/>
    <n v="34128.198946800003"/>
    <n v="0"/>
    <n v="4100"/>
    <n v="318500"/>
    <n v="33800"/>
    <n v="356400"/>
    <n v="7.4141048824593131E-2"/>
    <n v="0.99970000000000003"/>
    <n v="1.0067999999999999"/>
    <n v="0.99650000000000005"/>
    <n v="1.0093000000000001"/>
    <n v="0.98909999999999998"/>
    <n v="0.94971499999999998"/>
    <n v="0.95120534593507355"/>
    <n v="318500"/>
    <n v="3900"/>
    <n v="322400"/>
    <n v="32100"/>
    <n v="354500"/>
    <n v="0.15514152633464709"/>
    <n v="-0.39089184060721061"/>
    <n v="6.8414707655213985E-2"/>
  </r>
  <r>
    <n v="2025"/>
    <s v="18132314443    "/>
    <n v="-1.9661128563728327"/>
    <n v="0.14000000000000001"/>
    <m/>
    <s v="6"/>
    <s v="RES"/>
    <x v="0"/>
    <s v="11"/>
    <s v="259"/>
    <s v="BG"/>
    <s v="A"/>
    <s v="FR"/>
    <x v="8"/>
    <n v="88"/>
    <n v="53"/>
    <n v="1936"/>
    <n v="1971"/>
    <n v="910"/>
    <m/>
    <n v="910"/>
    <n v="264"/>
    <n v="646"/>
    <m/>
    <n v="1556"/>
    <n v="2000"/>
    <n v="5"/>
    <m/>
    <m/>
    <m/>
    <m/>
    <m/>
    <m/>
    <m/>
    <n v="235596"/>
    <n v="153137"/>
    <n v="0"/>
    <n v="251700"/>
    <n v="46000"/>
    <n v="205700"/>
    <n v="0"/>
    <n v="0"/>
    <n v="89850.625589999996"/>
    <n v="-62236.546971921947"/>
    <n v="21557.329055999999"/>
    <n v="133714.53821"/>
    <n v="-11821.416826500001"/>
    <n v="44961.88958807"/>
    <n v="0"/>
    <n v="0"/>
    <n v="26464.52467477"/>
    <n v="18960.110526"/>
    <n v="0"/>
    <n v="0"/>
    <n v="233800"/>
    <n v="27600"/>
    <n v="261400"/>
    <n v="3.8537941994437823E-2"/>
    <n v="0.99970000000000003"/>
    <n v="1.0067999999999999"/>
    <n v="0.99329999999999996"/>
    <n v="1.0093000000000001"/>
    <n v="0.98909999999999998"/>
    <n v="0.94971499999999998"/>
    <n v="0.94815079790999368"/>
    <n v="233800"/>
    <n v="0"/>
    <n v="233800"/>
    <n v="26200"/>
    <n v="260000"/>
    <n v="0.13660670879922218"/>
    <n v="-0.43043478260869567"/>
    <n v="3.2975764799364322E-2"/>
  </r>
  <r>
    <n v="2025"/>
    <s v="18132343429    "/>
    <n v="-1.1394342831883648"/>
    <n v="0.32"/>
    <n v="14153"/>
    <s v="6"/>
    <s v="RES"/>
    <x v="0"/>
    <s v="11"/>
    <s v="259"/>
    <s v="CL"/>
    <s v="V"/>
    <s v="GD"/>
    <x v="8"/>
    <n v="88"/>
    <n v="53"/>
    <n v="1936"/>
    <n v="1971"/>
    <n v="1362"/>
    <n v="1158"/>
    <n v="704"/>
    <n v="704"/>
    <m/>
    <m/>
    <n v="2520"/>
    <n v="3000"/>
    <n v="12"/>
    <n v="480"/>
    <m/>
    <n v="150"/>
    <m/>
    <m/>
    <m/>
    <m/>
    <n v="743954"/>
    <n v="520768"/>
    <n v="0"/>
    <n v="580300"/>
    <n v="74800"/>
    <n v="505500"/>
    <n v="0"/>
    <n v="0"/>
    <n v="89850.625589999996"/>
    <n v="-36068.354396449467"/>
    <n v="163885.03753"/>
    <n v="197752.34721000001"/>
    <n v="-11821.416826500001"/>
    <n v="67294.608372474002"/>
    <n v="51862.677673038001"/>
    <n v="0"/>
    <n v="20473.654253887998"/>
    <n v="45504.265262400004"/>
    <n v="4994.3272914000008"/>
    <n v="0"/>
    <n v="539900"/>
    <n v="53800"/>
    <n v="593700"/>
    <n v="2.309150439427882E-2"/>
    <n v="0.99970000000000003"/>
    <n v="1"/>
    <n v="0.99650000000000005"/>
    <n v="0.96179999999999999"/>
    <n v="0.98909999999999998"/>
    <n v="0.94971499999999998"/>
    <n v="0.90031725780628902"/>
    <n v="539900"/>
    <n v="0"/>
    <n v="539900"/>
    <n v="51100"/>
    <n v="591000"/>
    <n v="6.8051434223541055E-2"/>
    <n v="-0.31684491978609625"/>
    <n v="1.8438738583491297E-2"/>
  </r>
  <r>
    <n v="2025"/>
    <s v="18132244429    "/>
    <n v="-1.7719568419318752"/>
    <n v="0.17"/>
    <n v="7560"/>
    <s v="6"/>
    <s v="RES"/>
    <x v="0"/>
    <s v="11"/>
    <s v="259"/>
    <s v="CL"/>
    <s v="V"/>
    <s v="GD"/>
    <x v="8"/>
    <n v="88"/>
    <n v="53"/>
    <n v="1936"/>
    <n v="1971"/>
    <n v="2049"/>
    <n v="1072"/>
    <n v="1139"/>
    <n v="1139"/>
    <m/>
    <m/>
    <n v="3121"/>
    <n v="3500"/>
    <n v="11"/>
    <m/>
    <m/>
    <m/>
    <m/>
    <m/>
    <m/>
    <m/>
    <n v="827163"/>
    <n v="579014"/>
    <n v="0"/>
    <n v="599500"/>
    <n v="52700"/>
    <n v="546800"/>
    <n v="0"/>
    <n v="0"/>
    <n v="89850.625589999996"/>
    <n v="-56090.612940989391"/>
    <n v="163885.03753"/>
    <n v="197752.34721000001"/>
    <n v="-11821.416826500001"/>
    <n v="101238.364577973"/>
    <n v="48011.045306991997"/>
    <n v="0"/>
    <n v="33124.278686332997"/>
    <n v="41712.243157199999"/>
    <n v="0"/>
    <n v="0"/>
    <n v="573900"/>
    <n v="33800"/>
    <n v="607700"/>
    <n v="1.3678065054211843E-2"/>
    <n v="0.99970000000000003"/>
    <n v="1"/>
    <n v="0.99650000000000005"/>
    <n v="1.0126999999999999"/>
    <n v="0.98909999999999998"/>
    <n v="0.94971499999999998"/>
    <n v="0.947963492389716"/>
    <n v="573900"/>
    <n v="0"/>
    <n v="573900"/>
    <n v="32100"/>
    <n v="606000"/>
    <n v="4.9561082662765182E-2"/>
    <n v="-0.39089184060721061"/>
    <n v="1.0842368640533779E-2"/>
  </r>
  <r>
    <n v="2025"/>
    <s v="18132334458    "/>
    <n v="-1.7719568419318752"/>
    <n v="0.17"/>
    <n v="7499"/>
    <s v="6"/>
    <s v="RES"/>
    <x v="0"/>
    <s v="11"/>
    <s v="259"/>
    <s v="TD"/>
    <s v="A+"/>
    <s v="AV"/>
    <x v="8"/>
    <n v="88"/>
    <n v="53"/>
    <n v="1936"/>
    <n v="1971"/>
    <n v="1277"/>
    <m/>
    <n v="494"/>
    <n v="0"/>
    <n v="494"/>
    <m/>
    <n v="1771"/>
    <n v="2000"/>
    <n v="9"/>
    <n v="304"/>
    <m/>
    <m/>
    <m/>
    <m/>
    <m/>
    <m/>
    <n v="317875"/>
    <n v="212976"/>
    <n v="0"/>
    <n v="334600"/>
    <n v="52700"/>
    <n v="281900"/>
    <n v="0"/>
    <n v="0"/>
    <n v="89850.625589999996"/>
    <n v="-56090.612940989391"/>
    <n v="29814.093161000001"/>
    <n v="160472.20319"/>
    <n v="-11821.416826500001"/>
    <n v="63094.871432929001"/>
    <n v="0"/>
    <n v="0"/>
    <n v="14366.456252017999"/>
    <n v="34128.198946800003"/>
    <n v="0"/>
    <n v="0"/>
    <n v="290100"/>
    <n v="33800"/>
    <n v="323900"/>
    <n v="-3.197848176927675E-2"/>
    <n v="0.99970000000000003"/>
    <n v="1.0088999999999999"/>
    <n v="0.99729999999999996"/>
    <n v="1.0093000000000001"/>
    <n v="0.98909999999999998"/>
    <n v="0.94971499999999998"/>
    <n v="0.95395461550409388"/>
    <n v="290100"/>
    <n v="0"/>
    <n v="290100"/>
    <n v="32100"/>
    <n v="322200"/>
    <n v="2.908832919474991E-2"/>
    <n v="-0.39089184060721061"/>
    <n v="-3.7059175134488941E-2"/>
  </r>
  <r>
    <n v="2025"/>
    <s v="18132314440    "/>
    <n v="-2.6592600369327779"/>
    <n v="7.0000000000000007E-2"/>
    <n v="2850"/>
    <s v="6"/>
    <s v="RES"/>
    <x v="0"/>
    <s v="11"/>
    <s v="259"/>
    <s v="TD"/>
    <s v="F"/>
    <s v="AV"/>
    <x v="8"/>
    <n v="89"/>
    <n v="38"/>
    <n v="1935"/>
    <n v="1986"/>
    <n v="920"/>
    <m/>
    <m/>
    <n v="0"/>
    <m/>
    <m/>
    <n v="920"/>
    <n v="1000"/>
    <n v="11"/>
    <m/>
    <m/>
    <m/>
    <m/>
    <m/>
    <m/>
    <n v="83"/>
    <n v="95137"/>
    <n v="60888"/>
    <n v="2414"/>
    <n v="102400"/>
    <n v="21800"/>
    <n v="80600"/>
    <n v="0"/>
    <n v="0"/>
    <n v="89850.625589999996"/>
    <n v="-84177.854624504558"/>
    <n v="-43578.886190266698"/>
    <n v="160472.20319"/>
    <n v="-8475.7328190000007"/>
    <n v="45455.976286839999"/>
    <n v="0"/>
    <n v="0"/>
    <n v="0"/>
    <n v="41712.243157199999"/>
    <n v="0"/>
    <n v="2400"/>
    <n v="195600"/>
    <n v="5700"/>
    <n v="203700"/>
    <n v="0.9892578125"/>
    <n v="0.99970000000000003"/>
    <n v="1"/>
    <n v="0.99729999999999996"/>
    <n v="1.0148999999999999"/>
    <n v="0.98909999999999998"/>
    <n v="0.94971499999999998"/>
    <n v="0.95078554582152541"/>
    <n v="195600"/>
    <n v="2300"/>
    <n v="197900"/>
    <n v="5400"/>
    <n v="203300"/>
    <n v="1.4553349875930521"/>
    <n v="-0.75229357798165142"/>
    <n v="0.9853515625"/>
  </r>
  <r>
    <n v="2025"/>
    <s v="18132323017    "/>
    <n v="-2.0402208285265546"/>
    <n v="0.13"/>
    <n v="5504"/>
    <s v="6"/>
    <s v="RES"/>
    <x v="0"/>
    <s v="11"/>
    <s v="259"/>
    <s v="TD"/>
    <s v="A"/>
    <s v="VG"/>
    <x v="8"/>
    <n v="89"/>
    <n v="39"/>
    <n v="1935"/>
    <n v="1985"/>
    <n v="1155"/>
    <m/>
    <n v="480"/>
    <n v="0"/>
    <n v="480"/>
    <m/>
    <n v="1635"/>
    <n v="2000"/>
    <n v="12"/>
    <m/>
    <m/>
    <n v="96"/>
    <m/>
    <m/>
    <m/>
    <m/>
    <n v="249068"/>
    <n v="204236"/>
    <n v="0"/>
    <n v="355800"/>
    <n v="43400"/>
    <n v="312400"/>
    <n v="0"/>
    <n v="0"/>
    <n v="89850.625589999996"/>
    <n v="-64582.406353792743"/>
    <n v="21557.329055999999"/>
    <n v="284810.60806"/>
    <n v="-8698.7784195000004"/>
    <n v="57067.013707935002"/>
    <n v="0"/>
    <n v="0"/>
    <n v="13959.30971856"/>
    <n v="45504.265262400004"/>
    <n v="3196.3694664960003"/>
    <n v="0"/>
    <n v="417400"/>
    <n v="25300"/>
    <n v="442700"/>
    <n v="0.24423833614390106"/>
    <n v="0.99970000000000003"/>
    <n v="1.0067999999999999"/>
    <n v="1.0158"/>
    <n v="1.0093000000000001"/>
    <n v="0.98909999999999998"/>
    <n v="0.94971499999999998"/>
    <n v="0.96962808871133754"/>
    <n v="417400"/>
    <n v="0"/>
    <n v="417400"/>
    <n v="24000"/>
    <n v="441400"/>
    <n v="0.33610755441741358"/>
    <n v="-0.44700460829493088"/>
    <n v="0.24058459808881394"/>
  </r>
  <r>
    <n v="2025"/>
    <s v="18132313479    "/>
    <n v="-1.8325814637483102"/>
    <n v="0.16"/>
    <n v="6999"/>
    <s v="6"/>
    <s v="RES"/>
    <x v="0"/>
    <s v="11"/>
    <s v="259"/>
    <s v="CC"/>
    <s v="A"/>
    <s v="VG"/>
    <x v="8"/>
    <n v="89"/>
    <n v="53"/>
    <n v="1935"/>
    <n v="1971"/>
    <n v="737"/>
    <n v="600"/>
    <n v="737"/>
    <n v="499"/>
    <n v="238"/>
    <m/>
    <n v="1575"/>
    <n v="2000"/>
    <n v="5"/>
    <m/>
    <m/>
    <m/>
    <m/>
    <m/>
    <m/>
    <m/>
    <n v="245622"/>
    <n v="171935"/>
    <n v="14201"/>
    <n v="356800"/>
    <n v="50600"/>
    <n v="306200"/>
    <n v="0"/>
    <n v="0"/>
    <n v="89850.625589999996"/>
    <n v="-58009.662049032086"/>
    <n v="21557.329055999999"/>
    <n v="284810.60806"/>
    <n v="-11821.416826500001"/>
    <n v="36414.189699349001"/>
    <n v="26871.853716599999"/>
    <n v="0"/>
    <n v="21433.356797039"/>
    <n v="18960.110526"/>
    <n v="0"/>
    <n v="14200"/>
    <n v="398200"/>
    <n v="31800"/>
    <n v="444200"/>
    <n v="0.24495515695067266"/>
    <n v="0.99970000000000003"/>
    <n v="1.0067999999999999"/>
    <n v="1.0158"/>
    <n v="1.0093000000000001"/>
    <n v="0.98909999999999998"/>
    <n v="0.94971499999999998"/>
    <n v="0.96962808871133754"/>
    <n v="398200"/>
    <n v="13500"/>
    <n v="411700"/>
    <n v="30200"/>
    <n v="441900"/>
    <n v="0.34454604833442193"/>
    <n v="-0.40316205533596838"/>
    <n v="0.23850896860986548"/>
  </r>
  <r>
    <n v="2025"/>
    <s v="18132331492    "/>
    <n v="-1.8325814637483102"/>
    <n v="0.16"/>
    <m/>
    <s v="6"/>
    <s v="RES"/>
    <x v="0"/>
    <s v="11"/>
    <s v="259"/>
    <s v="TD"/>
    <s v="G"/>
    <s v="VG"/>
    <x v="8"/>
    <n v="89"/>
    <n v="53"/>
    <n v="1935"/>
    <n v="1971"/>
    <n v="1351"/>
    <m/>
    <n v="672"/>
    <n v="0"/>
    <n v="672"/>
    <m/>
    <n v="2023"/>
    <n v="2500"/>
    <n v="13"/>
    <m/>
    <m/>
    <m/>
    <m/>
    <m/>
    <m/>
    <m/>
    <n v="419609"/>
    <n v="293726"/>
    <n v="8923"/>
    <n v="399000"/>
    <n v="50600"/>
    <n v="348400"/>
    <n v="0"/>
    <n v="0"/>
    <n v="89850.625589999996"/>
    <n v="-58009.662049032086"/>
    <n v="44121.038090000002"/>
    <n v="284810.60806"/>
    <n v="-11821.416826500001"/>
    <n v="66751.113003827006"/>
    <n v="0"/>
    <n v="0"/>
    <n v="19543.033605983997"/>
    <n v="49296.287367600002"/>
    <n v="0"/>
    <n v="8900"/>
    <n v="452700"/>
    <n v="31800"/>
    <n v="493400"/>
    <n v="0.23659147869674185"/>
    <n v="0.99970000000000003"/>
    <n v="0.98050000000000004"/>
    <n v="1.0158"/>
    <n v="0.98919999999999997"/>
    <n v="0.98909999999999998"/>
    <n v="0.94971499999999998"/>
    <n v="0.92549358634432277"/>
    <n v="452700"/>
    <n v="8500"/>
    <n v="461200"/>
    <n v="30200"/>
    <n v="491400"/>
    <n v="0.3237657864523536"/>
    <n v="-0.40316205533596838"/>
    <n v="0.23157894736842105"/>
  </r>
  <r>
    <n v="2025"/>
    <s v="18132322400    "/>
    <n v="-2.0402208285265546"/>
    <n v="0.13"/>
    <n v="5701"/>
    <s v="6"/>
    <s v="RES"/>
    <x v="0"/>
    <s v="11"/>
    <s v="259"/>
    <s v="BG"/>
    <s v="A"/>
    <s v="GD"/>
    <x v="8"/>
    <n v="89"/>
    <n v="53"/>
    <n v="1935"/>
    <n v="1971"/>
    <n v="921"/>
    <n v="217"/>
    <n v="921"/>
    <n v="640"/>
    <n v="281"/>
    <m/>
    <n v="1419"/>
    <n v="1500"/>
    <n v="8"/>
    <m/>
    <m/>
    <n v="636"/>
    <m/>
    <m/>
    <m/>
    <m/>
    <n v="244814"/>
    <n v="168922"/>
    <n v="0"/>
    <n v="309000"/>
    <n v="43400"/>
    <n v="265600"/>
    <n v="0"/>
    <n v="0"/>
    <n v="89850.625589999996"/>
    <n v="-64582.406353792743"/>
    <n v="21557.329055999999"/>
    <n v="197752.34721000001"/>
    <n v="-11821.416826500001"/>
    <n v="45505.384956717004"/>
    <n v="9718.6537608369999"/>
    <n v="0"/>
    <n v="26784.425522486999"/>
    <n v="30336.176841600001"/>
    <n v="21175.947715536004"/>
    <n v="0"/>
    <n v="341000"/>
    <n v="25300"/>
    <n v="366300"/>
    <n v="0.18543689320388348"/>
    <n v="0.99970000000000003"/>
    <n v="1.0067999999999999"/>
    <n v="0.99650000000000005"/>
    <n v="1.0157"/>
    <n v="0.98909999999999998"/>
    <n v="0.94971499999999998"/>
    <n v="0.95723696608169473"/>
    <n v="341000"/>
    <n v="0"/>
    <n v="341000"/>
    <n v="24000"/>
    <n v="365000"/>
    <n v="0.28388554216867468"/>
    <n v="-0.44700460829493088"/>
    <n v="0.18122977346278318"/>
  </r>
  <r>
    <n v="2025"/>
    <s v="18132331491    "/>
    <n v="-1.8325814637483102"/>
    <n v="0.16"/>
    <m/>
    <s v="6"/>
    <s v="RES"/>
    <x v="0"/>
    <s v="11"/>
    <s v="259"/>
    <s v="CC"/>
    <s v="G"/>
    <s v="VG"/>
    <x v="8"/>
    <n v="89"/>
    <n v="53"/>
    <n v="1935"/>
    <n v="1971"/>
    <n v="1011"/>
    <n v="851"/>
    <n v="828"/>
    <n v="0"/>
    <n v="828"/>
    <m/>
    <n v="2690"/>
    <n v="3000"/>
    <n v="16"/>
    <m/>
    <m/>
    <n v="30"/>
    <m/>
    <m/>
    <m/>
    <m/>
    <n v="482292"/>
    <n v="337604"/>
    <n v="52832"/>
    <n v="488100"/>
    <n v="50600"/>
    <n v="437500"/>
    <n v="0"/>
    <n v="0"/>
    <n v="89850.625589999996"/>
    <n v="-58009.662049032086"/>
    <n v="44121.038090000002"/>
    <n v="284810.60806"/>
    <n v="-11821.416826500001"/>
    <n v="49952.165245647004"/>
    <n v="38113.245854711"/>
    <n v="0"/>
    <n v="24079.809264516"/>
    <n v="60672.353683200003"/>
    <n v="998.8654582800001"/>
    <n v="52800"/>
    <n v="490900"/>
    <n v="31800"/>
    <n v="575500"/>
    <n v="0.17906166769104692"/>
    <n v="0.99970000000000003"/>
    <n v="0.98050000000000004"/>
    <n v="1.0158"/>
    <n v="0.96179999999999999"/>
    <n v="0.98909999999999998"/>
    <n v="0.94971499999999998"/>
    <n v="0.89985819990494287"/>
    <n v="490900"/>
    <n v="50200"/>
    <n v="541100"/>
    <n v="30200"/>
    <n v="571300"/>
    <n v="0.23680000000000001"/>
    <n v="-0.40316205533596838"/>
    <n v="0.17045687359147715"/>
  </r>
  <r>
    <n v="2025"/>
    <s v="18132334463    "/>
    <n v="-1.6094379124341003"/>
    <n v="0.2"/>
    <m/>
    <s v="6"/>
    <s v="RES"/>
    <x v="0"/>
    <s v="11"/>
    <s v="259"/>
    <s v="CC"/>
    <s v="A+"/>
    <s v="VG"/>
    <x v="8"/>
    <n v="89"/>
    <n v="53"/>
    <n v="1935"/>
    <n v="1971"/>
    <n v="1230"/>
    <n v="500"/>
    <n v="1230"/>
    <n v="0"/>
    <n v="1230"/>
    <m/>
    <n v="2960"/>
    <n v="3000"/>
    <n v="10"/>
    <m/>
    <m/>
    <m/>
    <m/>
    <m/>
    <m/>
    <m/>
    <n v="425661"/>
    <n v="297963"/>
    <n v="0"/>
    <n v="425900"/>
    <n v="58400"/>
    <n v="367500"/>
    <n v="0"/>
    <n v="0"/>
    <n v="89850.625589999996"/>
    <n v="-50946.13867709865"/>
    <n v="29814.093161000001"/>
    <n v="284810.60806"/>
    <n v="-11821.416826500001"/>
    <n v="60772.663948710004"/>
    <n v="22393.2114305"/>
    <n v="0"/>
    <n v="35770.731153809997"/>
    <n v="37920.221052000001"/>
    <n v="0"/>
    <n v="0"/>
    <n v="459700"/>
    <n v="38900"/>
    <n v="498600"/>
    <n v="0.1706973467950223"/>
    <n v="0.99970000000000003"/>
    <n v="1.0088999999999999"/>
    <n v="1.0158"/>
    <n v="0.96179999999999999"/>
    <n v="0.98909999999999998"/>
    <n v="0.94971499999999998"/>
    <n v="0.92592242517500944"/>
    <n v="459700"/>
    <n v="0"/>
    <n v="459700"/>
    <n v="36900"/>
    <n v="496600"/>
    <n v="0.25088435374149659"/>
    <n v="-0.36815068493150682"/>
    <n v="0.1660014087814041"/>
  </r>
  <r>
    <n v="2025"/>
    <s v="18132332421    "/>
    <n v="-1.6607312068216509"/>
    <n v="0.19"/>
    <n v="8124"/>
    <s v="6"/>
    <s v="RES"/>
    <x v="0"/>
    <s v="11"/>
    <s v="259"/>
    <s v="CC"/>
    <s v="A"/>
    <s v="GD"/>
    <x v="8"/>
    <n v="89"/>
    <n v="43"/>
    <n v="1935"/>
    <n v="1981"/>
    <n v="633"/>
    <n v="416"/>
    <n v="633"/>
    <n v="0"/>
    <n v="633"/>
    <m/>
    <n v="1682"/>
    <n v="2000"/>
    <n v="9"/>
    <m/>
    <m/>
    <n v="570"/>
    <m/>
    <m/>
    <m/>
    <m/>
    <n v="245300"/>
    <n v="193787"/>
    <n v="6227"/>
    <n v="326600"/>
    <n v="56600"/>
    <n v="270000"/>
    <n v="0"/>
    <n v="0"/>
    <n v="89850.625589999996"/>
    <n v="-52569.808201026557"/>
    <n v="21557.329055999999"/>
    <n v="197752.34721000001"/>
    <n v="-9590.9608215000007"/>
    <n v="31275.688032140999"/>
    <n v="18631.151910175999"/>
    <n v="0"/>
    <n v="18408.839691351001"/>
    <n v="34128.198946800003"/>
    <n v="18978.443707320002"/>
    <n v="6200"/>
    <n v="331100"/>
    <n v="37300"/>
    <n v="374600"/>
    <n v="0.14696876913655849"/>
    <n v="0.99970000000000003"/>
    <n v="1.0067999999999999"/>
    <n v="0.99650000000000005"/>
    <n v="1.0093000000000001"/>
    <n v="0.98909999999999998"/>
    <n v="0.94971499999999998"/>
    <n v="0.95120534593507355"/>
    <n v="331100"/>
    <n v="5900"/>
    <n v="337000"/>
    <n v="35400"/>
    <n v="372400"/>
    <n v="0.24814814814814815"/>
    <n v="-0.37455830388692579"/>
    <n v="0.14023270055113288"/>
  </r>
  <r>
    <n v="2025"/>
    <s v="18132241016    "/>
    <n v="-1.0216512475319814"/>
    <n v="0.36"/>
    <n v="15754"/>
    <s v="6"/>
    <s v="RES"/>
    <x v="0"/>
    <s v="11"/>
    <s v="259"/>
    <s v="CO"/>
    <s v="G"/>
    <s v="VG"/>
    <x v="8"/>
    <n v="89"/>
    <n v="53"/>
    <n v="1935"/>
    <n v="1971"/>
    <n v="1338"/>
    <n v="1144"/>
    <n v="634"/>
    <n v="0"/>
    <n v="634"/>
    <m/>
    <n v="3116"/>
    <n v="3500"/>
    <n v="13"/>
    <m/>
    <m/>
    <m/>
    <m/>
    <m/>
    <m/>
    <m/>
    <n v="564267"/>
    <n v="394987"/>
    <n v="36436"/>
    <n v="519500"/>
    <n v="78900"/>
    <n v="440600"/>
    <n v="0"/>
    <n v="0"/>
    <n v="89850.625589999996"/>
    <n v="-32339.977661938148"/>
    <n v="44121.038090000002"/>
    <n v="284810.60806"/>
    <n v="-11821.416826500001"/>
    <n v="66108.800295426001"/>
    <n v="51235.667752984002"/>
    <n v="0"/>
    <n v="18437.921586598"/>
    <n v="49296.287367600002"/>
    <n v="0"/>
    <n v="36400"/>
    <n v="502200"/>
    <n v="57500"/>
    <n v="596100"/>
    <n v="0.14744947064485081"/>
    <n v="0.99970000000000003"/>
    <n v="0.98050000000000004"/>
    <n v="1.0158"/>
    <n v="1.0126999999999999"/>
    <n v="0.98909999999999998"/>
    <n v="0.94971499999999998"/>
    <n v="0.94748014040729434"/>
    <n v="502200"/>
    <n v="34600"/>
    <n v="536800"/>
    <n v="54600"/>
    <n v="591400"/>
    <n v="0.21833862914207899"/>
    <n v="-0.30798479087452474"/>
    <n v="0.13840230991337824"/>
  </r>
  <r>
    <n v="2025"/>
    <s v="18132334435    "/>
    <n v="-1.8325814637483102"/>
    <n v="0.16"/>
    <m/>
    <s v="6"/>
    <s v="RES"/>
    <x v="0"/>
    <s v="11"/>
    <s v="259"/>
    <s v="TD"/>
    <s v="A"/>
    <s v="GD"/>
    <x v="8"/>
    <n v="89"/>
    <n v="53"/>
    <n v="1935"/>
    <n v="1971"/>
    <n v="1069"/>
    <m/>
    <n v="1069"/>
    <n v="1069"/>
    <m/>
    <m/>
    <n v="1069"/>
    <n v="1500"/>
    <n v="5"/>
    <m/>
    <m/>
    <m/>
    <m/>
    <m/>
    <m/>
    <m/>
    <n v="227382"/>
    <n v="156894"/>
    <n v="6602"/>
    <n v="306000"/>
    <n v="50600"/>
    <n v="255400"/>
    <n v="0"/>
    <n v="0"/>
    <n v="89850.625589999996"/>
    <n v="-58009.662049032086"/>
    <n v="21557.329055999999"/>
    <n v="197752.34721000001"/>
    <n v="-11821.416826500001"/>
    <n v="52817.868098513005"/>
    <n v="0"/>
    <n v="0"/>
    <n v="31088.546019042999"/>
    <n v="18960.110526"/>
    <n v="0"/>
    <n v="6600"/>
    <n v="310400"/>
    <n v="31800"/>
    <n v="348800"/>
    <n v="0.13986928104575164"/>
    <n v="0.99970000000000003"/>
    <n v="1.0067999999999999"/>
    <n v="0.99650000000000005"/>
    <n v="1.0157"/>
    <n v="0.98909999999999998"/>
    <n v="0.94971499999999998"/>
    <n v="0.95723696608169473"/>
    <n v="310400"/>
    <n v="6300"/>
    <n v="316700"/>
    <n v="30200"/>
    <n v="346900"/>
    <n v="0.24001566170712607"/>
    <n v="-0.40316205533596838"/>
    <n v="0.13366013071895425"/>
  </r>
  <r>
    <n v="2025"/>
    <s v="18132334512    "/>
    <n v="-1.8325814637483102"/>
    <n v="0.16"/>
    <m/>
    <s v="6"/>
    <s v="RES"/>
    <x v="0"/>
    <s v="11"/>
    <s v="259"/>
    <s v="CO"/>
    <s v="A"/>
    <s v="GD"/>
    <x v="8"/>
    <n v="89"/>
    <n v="53"/>
    <n v="1935"/>
    <n v="1971"/>
    <n v="1176"/>
    <n v="450"/>
    <n v="1176"/>
    <n v="1176"/>
    <m/>
    <m/>
    <n v="1626"/>
    <n v="2000"/>
    <n v="5"/>
    <m/>
    <m/>
    <m/>
    <m/>
    <m/>
    <m/>
    <m/>
    <n v="275103"/>
    <n v="189821"/>
    <n v="0"/>
    <n v="326000"/>
    <n v="50600"/>
    <n v="275400"/>
    <n v="0"/>
    <n v="0"/>
    <n v="89850.625589999996"/>
    <n v="-58009.662049032086"/>
    <n v="21557.329055999999"/>
    <n v="197752.34721000001"/>
    <n v="-11821.416826500001"/>
    <n v="58104.595775351998"/>
    <n v="20153.890287449998"/>
    <n v="0"/>
    <n v="34200.308810472001"/>
    <n v="18960.110526"/>
    <n v="0"/>
    <n v="0"/>
    <n v="338900"/>
    <n v="31800"/>
    <n v="370700"/>
    <n v="0.13711656441717793"/>
    <n v="0.99970000000000003"/>
    <n v="1.0067999999999999"/>
    <n v="0.99650000000000005"/>
    <n v="1.0093000000000001"/>
    <n v="0.98909999999999998"/>
    <n v="0.94971499999999998"/>
    <n v="0.95120534593507355"/>
    <n v="338900"/>
    <n v="0"/>
    <n v="338900"/>
    <n v="30200"/>
    <n v="369100"/>
    <n v="0.23057371096586782"/>
    <n v="-0.40316205533596838"/>
    <n v="0.1322085889570552"/>
  </r>
  <r>
    <n v="2025"/>
    <s v="18132331447    "/>
    <n v="-1.8971199848858813"/>
    <n v="0.15"/>
    <m/>
    <s v="6"/>
    <s v="RES"/>
    <x v="0"/>
    <s v="11"/>
    <s v="259"/>
    <s v="CC"/>
    <s v="A"/>
    <s v="GD"/>
    <x v="8"/>
    <n v="89"/>
    <n v="53"/>
    <n v="1935"/>
    <n v="1971"/>
    <n v="983"/>
    <n v="384"/>
    <n v="832"/>
    <n v="832"/>
    <m/>
    <m/>
    <n v="1367"/>
    <n v="1500"/>
    <n v="5"/>
    <m/>
    <m/>
    <m/>
    <m/>
    <m/>
    <m/>
    <m/>
    <n v="233217"/>
    <n v="160920"/>
    <n v="6724"/>
    <n v="310700"/>
    <n v="48400"/>
    <n v="262300"/>
    <n v="0"/>
    <n v="0"/>
    <n v="89850.625589999996"/>
    <n v="-60052.604136134301"/>
    <n v="21557.329055999999"/>
    <n v="197752.34721000001"/>
    <n v="-11821.416826500001"/>
    <n v="48568.722489091"/>
    <n v="17197.986378623998"/>
    <n v="0"/>
    <n v="24196.136845503999"/>
    <n v="18960.110526"/>
    <n v="0"/>
    <n v="6700"/>
    <n v="316400"/>
    <n v="29800"/>
    <n v="352900"/>
    <n v="0.13582233665915674"/>
    <n v="0.99970000000000003"/>
    <n v="1.0067999999999999"/>
    <n v="0.99650000000000005"/>
    <n v="1.0157"/>
    <n v="0.98909999999999998"/>
    <n v="0.94971499999999998"/>
    <n v="0.95723696608169473"/>
    <n v="316400"/>
    <n v="6400"/>
    <n v="322800"/>
    <n v="28300"/>
    <n v="351100"/>
    <n v="0.23065192527640108"/>
    <n v="-0.41528925619834711"/>
    <n v="0.13002896684905052"/>
  </r>
  <r>
    <n v="2025"/>
    <s v="18132334433    "/>
    <n v="-1.7719568419318752"/>
    <n v="0.17"/>
    <m/>
    <s v="6"/>
    <s v="RES"/>
    <x v="0"/>
    <s v="11"/>
    <s v="259"/>
    <s v="TD"/>
    <s v="A"/>
    <s v="GD"/>
    <x v="8"/>
    <n v="89"/>
    <n v="53"/>
    <n v="1935"/>
    <n v="1971"/>
    <n v="1194"/>
    <m/>
    <n v="638"/>
    <n v="638"/>
    <m/>
    <m/>
    <n v="1194"/>
    <n v="1500"/>
    <n v="5"/>
    <m/>
    <m/>
    <n v="96"/>
    <m/>
    <m/>
    <m/>
    <m/>
    <n v="248044"/>
    <n v="171150"/>
    <n v="6388"/>
    <n v="306000"/>
    <n v="52700"/>
    <n v="253300"/>
    <n v="0"/>
    <n v="0"/>
    <n v="89850.625589999996"/>
    <n v="-56090.612940989391"/>
    <n v="21557.329055999999"/>
    <n v="197752.34721000001"/>
    <n v="-11821.416826500001"/>
    <n v="58993.951833138002"/>
    <n v="0"/>
    <n v="0"/>
    <n v="18554.249167586"/>
    <n v="18960.110526"/>
    <n v="3196.3694664960003"/>
    <n v="6400"/>
    <n v="307200"/>
    <n v="33800"/>
    <n v="347400"/>
    <n v="0.13529411764705881"/>
    <n v="0.99970000000000003"/>
    <n v="1.0067999999999999"/>
    <n v="0.99650000000000005"/>
    <n v="1.0157"/>
    <n v="0.98909999999999998"/>
    <n v="0.94971499999999998"/>
    <n v="0.95723696608169473"/>
    <n v="307200"/>
    <n v="6100"/>
    <n v="313300"/>
    <n v="32100"/>
    <n v="345400"/>
    <n v="0.23687327279905251"/>
    <n v="-0.39089184060721061"/>
    <n v="0.12875816993464051"/>
  </r>
  <r>
    <n v="2025"/>
    <s v="18132342488    "/>
    <n v="-1.1086626245216111"/>
    <n v="0.33"/>
    <n v="14565"/>
    <s v="6"/>
    <s v="RES"/>
    <x v="0"/>
    <s v="11"/>
    <s v="259"/>
    <s v="BG"/>
    <s v="G+"/>
    <s v="VG"/>
    <x v="8"/>
    <n v="89"/>
    <n v="53"/>
    <n v="1935"/>
    <n v="1971"/>
    <n v="2445"/>
    <m/>
    <n v="768"/>
    <n v="0"/>
    <n v="768"/>
    <n v="969"/>
    <n v="4182"/>
    <n v="4500"/>
    <n v="12"/>
    <n v="476"/>
    <m/>
    <m/>
    <m/>
    <m/>
    <m/>
    <m/>
    <n v="817521"/>
    <n v="580440"/>
    <n v="8718"/>
    <n v="584600"/>
    <n v="75900"/>
    <n v="508700"/>
    <n v="0"/>
    <n v="0"/>
    <n v="89850.625589999996"/>
    <n v="-35094.289365640165"/>
    <n v="74268.409664999999"/>
    <n v="284810.60806"/>
    <n v="-11821.416826500001"/>
    <n v="120804.19784926501"/>
    <n v="0"/>
    <n v="63076.736248419009"/>
    <n v="22334.895549695997"/>
    <n v="45504.265262400004"/>
    <n v="0"/>
    <n v="8700"/>
    <n v="599000"/>
    <n v="54800"/>
    <n v="662500"/>
    <n v="0.13325350667122818"/>
    <n v="0.99970000000000003"/>
    <n v="0.98380000000000001"/>
    <n v="1.0158"/>
    <n v="1"/>
    <n v="0.98909999999999998"/>
    <n v="0.94971499999999998"/>
    <n v="0.9387469218766602"/>
    <n v="599000"/>
    <n v="8300"/>
    <n v="607300"/>
    <n v="52000"/>
    <n v="659300"/>
    <n v="0.19382740318458816"/>
    <n v="-0.31488801054018445"/>
    <n v="0.1277796784125898"/>
  </r>
  <r>
    <n v="2025"/>
    <s v="18132344491    "/>
    <n v="-1.8971199848858813"/>
    <n v="0.15"/>
    <n v="6500"/>
    <s v="6"/>
    <s v="RES"/>
    <x v="0"/>
    <s v="11"/>
    <s v="259"/>
    <s v="BG"/>
    <s v="A"/>
    <s v="GD"/>
    <x v="8"/>
    <n v="89"/>
    <n v="53"/>
    <n v="1935"/>
    <n v="1971"/>
    <n v="1014"/>
    <m/>
    <n v="507"/>
    <n v="507"/>
    <m/>
    <m/>
    <n v="1014"/>
    <n v="1500"/>
    <n v="6"/>
    <m/>
    <m/>
    <m/>
    <m/>
    <m/>
    <m/>
    <m/>
    <n v="195025"/>
    <n v="134567"/>
    <n v="6227"/>
    <n v="293100"/>
    <n v="48400"/>
    <n v="244700"/>
    <n v="0"/>
    <n v="0"/>
    <n v="89850.625589999996"/>
    <n v="-60052.604136134301"/>
    <n v="21557.329055999999"/>
    <n v="197752.34721000001"/>
    <n v="-11821.416826500001"/>
    <n v="50100.391255278002"/>
    <n v="0"/>
    <n v="0"/>
    <n v="14744.520890229"/>
    <n v="22752.132631200002"/>
    <n v="0"/>
    <n v="6200"/>
    <n v="295100"/>
    <n v="29800"/>
    <n v="331100"/>
    <n v="0.12964858410098942"/>
    <n v="0.99970000000000003"/>
    <n v="1.0067999999999999"/>
    <n v="0.99650000000000005"/>
    <n v="1.0157"/>
    <n v="0.98909999999999998"/>
    <n v="0.94971499999999998"/>
    <n v="0.95723696608169473"/>
    <n v="295100"/>
    <n v="5900"/>
    <n v="301000"/>
    <n v="28300"/>
    <n v="329300"/>
    <n v="0.23007764609726195"/>
    <n v="-0.41528925619834711"/>
    <n v="0.12350733538041624"/>
  </r>
  <r>
    <n v="2025"/>
    <s v="18132313451    "/>
    <n v="-1.7147984280919266"/>
    <n v="0.18"/>
    <m/>
    <s v="6"/>
    <s v="RES"/>
    <x v="0"/>
    <s v="11"/>
    <s v="259"/>
    <s v="BG"/>
    <s v="A+"/>
    <s v="GD"/>
    <x v="8"/>
    <n v="89"/>
    <n v="53"/>
    <n v="1935"/>
    <n v="1971"/>
    <n v="1155"/>
    <m/>
    <n v="1155"/>
    <n v="1155"/>
    <m/>
    <m/>
    <n v="1155"/>
    <n v="1500"/>
    <n v="5"/>
    <m/>
    <m/>
    <m/>
    <m/>
    <m/>
    <m/>
    <m/>
    <n v="281660"/>
    <n v="194345"/>
    <n v="5175"/>
    <n v="324300"/>
    <n v="54700"/>
    <n v="269600"/>
    <n v="0"/>
    <n v="0"/>
    <n v="89850.625589999996"/>
    <n v="-54281.285314520763"/>
    <n v="29814.093161000001"/>
    <n v="197752.34721000001"/>
    <n v="-11821.416826500001"/>
    <n v="57067.013707935002"/>
    <n v="0"/>
    <n v="0"/>
    <n v="33589.589010284995"/>
    <n v="18960.110526"/>
    <n v="0"/>
    <n v="5200"/>
    <n v="325400"/>
    <n v="35600"/>
    <n v="366200"/>
    <n v="0.12920135676842429"/>
    <n v="0.99970000000000003"/>
    <n v="1.0088999999999999"/>
    <n v="0.99650000000000005"/>
    <n v="1.0157"/>
    <n v="0.98909999999999998"/>
    <n v="0.94971499999999998"/>
    <n v="0.95923358669032743"/>
    <n v="325400"/>
    <n v="4900"/>
    <n v="330300"/>
    <n v="33800"/>
    <n v="364100"/>
    <n v="0.22514836795252224"/>
    <n v="-0.38208409506398539"/>
    <n v="0.12272587110699969"/>
  </r>
  <r>
    <n v="2025"/>
    <s v="18132334461    "/>
    <n v="-1.7719568419318752"/>
    <n v="0.17"/>
    <m/>
    <s v="6"/>
    <s v="RES"/>
    <x v="0"/>
    <s v="11"/>
    <s v="259"/>
    <s v="TD"/>
    <s v="A"/>
    <s v="GD"/>
    <x v="8"/>
    <n v="89"/>
    <n v="26"/>
    <n v="1935"/>
    <n v="1998"/>
    <n v="1088"/>
    <m/>
    <m/>
    <n v="0"/>
    <m/>
    <m/>
    <n v="1088"/>
    <n v="1500"/>
    <n v="5"/>
    <m/>
    <m/>
    <m/>
    <m/>
    <m/>
    <m/>
    <m/>
    <n v="173662"/>
    <n v="154559"/>
    <n v="6957"/>
    <n v="289400"/>
    <n v="52700"/>
    <n v="236700"/>
    <n v="0"/>
    <n v="0"/>
    <n v="89850.625589999996"/>
    <n v="-56090.612940989391"/>
    <n v="21557.329055999999"/>
    <n v="197752.34721000001"/>
    <n v="-5799.1856130000006"/>
    <n v="53756.632826175999"/>
    <n v="0"/>
    <n v="0"/>
    <n v="0"/>
    <n v="18960.110526"/>
    <n v="0"/>
    <n v="7000"/>
    <n v="286200"/>
    <n v="33800"/>
    <n v="327000"/>
    <n v="0.12992398064961991"/>
    <n v="0.99970000000000003"/>
    <n v="1.0067999999999999"/>
    <n v="0.99650000000000005"/>
    <n v="1.0157"/>
    <n v="0.98909999999999998"/>
    <n v="0.94971499999999998"/>
    <n v="0.95723696608169473"/>
    <n v="286200"/>
    <n v="6600"/>
    <n v="292800"/>
    <n v="32100"/>
    <n v="324900"/>
    <n v="0.23700887198986059"/>
    <n v="-0.39089184060721061"/>
    <n v="0.12266758811333794"/>
  </r>
  <r>
    <n v="2025"/>
    <s v="18132332536    "/>
    <n v="-1.8325814637483102"/>
    <n v="0.16"/>
    <m/>
    <s v="6"/>
    <s v="RES"/>
    <x v="0"/>
    <s v="11"/>
    <s v="259"/>
    <s v="TD"/>
    <s v="A"/>
    <s v="GD"/>
    <x v="8"/>
    <n v="89"/>
    <n v="53"/>
    <n v="1935"/>
    <n v="1971"/>
    <n v="992"/>
    <m/>
    <n v="862"/>
    <n v="862"/>
    <m/>
    <m/>
    <n v="992"/>
    <n v="1000"/>
    <n v="5"/>
    <m/>
    <m/>
    <m/>
    <m/>
    <m/>
    <m/>
    <m/>
    <n v="202688"/>
    <n v="139855"/>
    <n v="13228"/>
    <n v="306000"/>
    <n v="50600"/>
    <n v="255400"/>
    <n v="0"/>
    <n v="0"/>
    <n v="89850.625589999996"/>
    <n v="-58009.662049032086"/>
    <n v="21557.329055999999"/>
    <n v="197752.34721000001"/>
    <n v="-11821.416826500001"/>
    <n v="49013.400517984002"/>
    <n v="0"/>
    <n v="0"/>
    <n v="25068.593702914"/>
    <n v="18960.110526"/>
    <n v="0"/>
    <n v="13200"/>
    <n v="300500"/>
    <n v="31800"/>
    <n v="345500"/>
    <n v="0.12908496732026145"/>
    <n v="0.99970000000000003"/>
    <n v="1.0067999999999999"/>
    <n v="0.99650000000000005"/>
    <n v="1.0148999999999999"/>
    <n v="0.98909999999999998"/>
    <n v="0.94971499999999998"/>
    <n v="0.95648301356336674"/>
    <n v="300500"/>
    <n v="12600"/>
    <n v="313100"/>
    <n v="30200"/>
    <n v="343300"/>
    <n v="0.22592012529365701"/>
    <n v="-0.40316205533596838"/>
    <n v="0.1218954248366013"/>
  </r>
  <r>
    <n v="2025"/>
    <s v="18132213003    "/>
    <n v="-1.6607312068216509"/>
    <n v="0.19"/>
    <n v="8373"/>
    <s v="6"/>
    <s v="RES"/>
    <x v="0"/>
    <s v="11"/>
    <s v="259"/>
    <s v="TD"/>
    <s v="A+"/>
    <s v="AV"/>
    <x v="8"/>
    <n v="89"/>
    <n v="53"/>
    <n v="1935"/>
    <n v="1971"/>
    <n v="1548"/>
    <m/>
    <n v="828"/>
    <n v="684"/>
    <n v="144"/>
    <m/>
    <n v="1692"/>
    <n v="2000"/>
    <n v="7"/>
    <m/>
    <m/>
    <m/>
    <m/>
    <m/>
    <m/>
    <m/>
    <n v="272129"/>
    <n v="182326"/>
    <n v="12305"/>
    <n v="316000"/>
    <n v="56600"/>
    <n v="259400"/>
    <n v="0"/>
    <n v="0"/>
    <n v="89850.625589999996"/>
    <n v="-52569.808201026557"/>
    <n v="29814.093161000001"/>
    <n v="160472.20319"/>
    <n v="-11821.416826500001"/>
    <n v="76484.620969595999"/>
    <n v="0"/>
    <n v="0"/>
    <n v="24079.809264516"/>
    <n v="26544.1547364"/>
    <n v="0"/>
    <n v="12300"/>
    <n v="305600"/>
    <n v="37300"/>
    <n v="355200"/>
    <n v="0.1240506329113924"/>
    <n v="0.99970000000000003"/>
    <n v="1.0088999999999999"/>
    <n v="0.99729999999999996"/>
    <n v="1.0093000000000001"/>
    <n v="0.98909999999999998"/>
    <n v="0.94971499999999998"/>
    <n v="0.95395461550409388"/>
    <n v="305600"/>
    <n v="11700"/>
    <n v="317300"/>
    <n v="35400"/>
    <n v="352700"/>
    <n v="0.22320740169622205"/>
    <n v="-0.37455830388692579"/>
    <n v="0.11613924050632911"/>
  </r>
  <r>
    <n v="2025"/>
    <s v="18132332545    "/>
    <n v="-1.8971199848858813"/>
    <n v="0.15"/>
    <m/>
    <s v="6"/>
    <s v="RES"/>
    <x v="0"/>
    <s v="11"/>
    <s v="259"/>
    <s v="TD"/>
    <s v="A"/>
    <s v="GD"/>
    <x v="8"/>
    <n v="89"/>
    <n v="53"/>
    <n v="1935"/>
    <n v="1971"/>
    <n v="930"/>
    <m/>
    <m/>
    <n v="0"/>
    <m/>
    <m/>
    <n v="930"/>
    <n v="1000"/>
    <n v="5"/>
    <m/>
    <m/>
    <m/>
    <m/>
    <m/>
    <m/>
    <m/>
    <n v="152165"/>
    <n v="104994"/>
    <n v="8804"/>
    <n v="277000"/>
    <n v="48400"/>
    <n v="228600"/>
    <n v="0"/>
    <n v="0"/>
    <n v="89850.625589999996"/>
    <n v="-60052.604136134301"/>
    <n v="21557.329055999999"/>
    <n v="197752.34721000001"/>
    <n v="-11821.416826500001"/>
    <n v="45950.062985609999"/>
    <n v="0"/>
    <n v="0"/>
    <n v="0"/>
    <n v="18960.110526"/>
    <n v="0"/>
    <n v="8800"/>
    <n v="272400"/>
    <n v="29800"/>
    <n v="311000"/>
    <n v="0.12274368231046931"/>
    <n v="0.99970000000000003"/>
    <n v="1.0067999999999999"/>
    <n v="0.99650000000000005"/>
    <n v="1.0148999999999999"/>
    <n v="0.98909999999999998"/>
    <n v="0.94971499999999998"/>
    <n v="0.95648301356336674"/>
    <n v="272400"/>
    <n v="8400"/>
    <n v="280800"/>
    <n v="28300"/>
    <n v="309100"/>
    <n v="0.2283464566929134"/>
    <n v="-0.41528925619834711"/>
    <n v="0.11588447653429602"/>
  </r>
  <r>
    <n v="2025"/>
    <s v="18132324015    "/>
    <n v="-2.120263536200091"/>
    <n v="0.12"/>
    <m/>
    <s v="6"/>
    <s v="RES"/>
    <x v="0"/>
    <s v="11"/>
    <s v="400"/>
    <s v="BG"/>
    <s v="A+"/>
    <s v="FR"/>
    <x v="8"/>
    <n v="89"/>
    <n v="53"/>
    <n v="1935"/>
    <n v="1971"/>
    <n v="740"/>
    <n v="360"/>
    <n v="520"/>
    <n v="520"/>
    <m/>
    <m/>
    <n v="1100"/>
    <n v="1500"/>
    <n v="7"/>
    <m/>
    <n v="220"/>
    <m/>
    <m/>
    <m/>
    <m/>
    <m/>
    <n v="243433"/>
    <n v="158231"/>
    <n v="0"/>
    <n v="240900"/>
    <n v="40600"/>
    <n v="200300"/>
    <n v="0"/>
    <n v="0"/>
    <n v="89850.625589999996"/>
    <n v="-67116.12750806773"/>
    <n v="29814.093161000001"/>
    <n v="133714.53821"/>
    <n v="-11821.416826500001"/>
    <n v="36562.415708979999"/>
    <n v="16123.112229959999"/>
    <n v="0"/>
    <n v="15122.585528439999"/>
    <n v="26544.1547364"/>
    <n v="0"/>
    <n v="0"/>
    <n v="246100"/>
    <n v="22700"/>
    <n v="268800"/>
    <n v="0.11581569115815692"/>
    <n v="0.99970000000000003"/>
    <n v="1.0088999999999999"/>
    <n v="0.99329999999999996"/>
    <n v="1.0157"/>
    <n v="0.98909999999999998"/>
    <n v="0.94971499999999998"/>
    <n v="0.95615325806272178"/>
    <n v="246100"/>
    <n v="0"/>
    <n v="246100"/>
    <n v="21600"/>
    <n v="267700"/>
    <n v="0.22865701447828257"/>
    <n v="-0.46798029556650245"/>
    <n v="0.11124948111249482"/>
  </r>
  <r>
    <n v="2025"/>
    <s v="18132334479    "/>
    <n v="-1.7719568419318752"/>
    <n v="0.17"/>
    <n v="7439"/>
    <s v="6"/>
    <s v="RES"/>
    <x v="0"/>
    <s v="11"/>
    <s v="259"/>
    <s v="TD"/>
    <s v="A"/>
    <s v="AV"/>
    <x v="8"/>
    <n v="89"/>
    <n v="53"/>
    <n v="1935"/>
    <n v="1971"/>
    <n v="1140"/>
    <m/>
    <n v="1140"/>
    <n v="114"/>
    <n v="1026"/>
    <m/>
    <n v="2166"/>
    <n v="2500"/>
    <n v="10"/>
    <m/>
    <m/>
    <n v="885"/>
    <m/>
    <m/>
    <m/>
    <m/>
    <n v="308516"/>
    <n v="206706"/>
    <n v="0"/>
    <n v="323500"/>
    <n v="52700"/>
    <n v="270800"/>
    <n v="0"/>
    <n v="0"/>
    <n v="89850.625589999996"/>
    <n v="-56090.612940989391"/>
    <n v="21557.329055999999"/>
    <n v="160472.20319"/>
    <n v="-11821.416826500001"/>
    <n v="56325.883659780004"/>
    <n v="0"/>
    <n v="0"/>
    <n v="33153.360581579997"/>
    <n v="37920.221052000001"/>
    <n v="29466.531019260005"/>
    <n v="0"/>
    <n v="327100"/>
    <n v="33800"/>
    <n v="360900"/>
    <n v="0.11561051004636785"/>
    <n v="0.99970000000000003"/>
    <n v="1.0067999999999999"/>
    <n v="0.99729999999999996"/>
    <n v="0.98919999999999997"/>
    <n v="0.98909999999999998"/>
    <n v="0.94971499999999998"/>
    <n v="0.93301071824589021"/>
    <n v="327100"/>
    <n v="0"/>
    <n v="327100"/>
    <n v="32100"/>
    <n v="359200"/>
    <n v="0.20790251107828656"/>
    <n v="-0.39089184060721061"/>
    <n v="0.11035548686244204"/>
  </r>
  <r>
    <n v="2025"/>
    <s v="18132214431    "/>
    <n v="-1.6607312068216509"/>
    <n v="0.19"/>
    <n v="8202"/>
    <s v="6"/>
    <s v="RES"/>
    <x v="0"/>
    <s v="11"/>
    <s v="259"/>
    <s v="BG"/>
    <s v="A"/>
    <s v="GD"/>
    <x v="8"/>
    <n v="89"/>
    <n v="33"/>
    <n v="1935"/>
    <n v="1991"/>
    <n v="898"/>
    <m/>
    <n v="888"/>
    <n v="0"/>
    <n v="888"/>
    <m/>
    <n v="1786"/>
    <n v="2000"/>
    <n v="9"/>
    <m/>
    <m/>
    <n v="346"/>
    <m/>
    <m/>
    <m/>
    <m/>
    <n v="243496"/>
    <n v="206972"/>
    <n v="23025"/>
    <n v="347200"/>
    <n v="56600"/>
    <n v="290600"/>
    <n v="0"/>
    <n v="0"/>
    <n v="89850.625589999996"/>
    <n v="-52569.808201026557"/>
    <n v="21557.329055999999"/>
    <n v="197752.34721000001"/>
    <n v="-7360.5048164999998"/>
    <n v="44368.985549546"/>
    <n v="0"/>
    <n v="0"/>
    <n v="25824.722979335998"/>
    <n v="34128.198946800003"/>
    <n v="11520.248285496002"/>
    <n v="23000"/>
    <n v="327800"/>
    <n v="37300"/>
    <n v="388100"/>
    <n v="0.11779953917050691"/>
    <n v="0.99970000000000003"/>
    <n v="1.0067999999999999"/>
    <n v="0.99650000000000005"/>
    <n v="1.0093000000000001"/>
    <n v="0.98909999999999998"/>
    <n v="0.94971499999999998"/>
    <n v="0.95120534593507355"/>
    <n v="327800"/>
    <n v="21900"/>
    <n v="349700"/>
    <n v="35400"/>
    <n v="385100"/>
    <n v="0.20337233310392291"/>
    <n v="-0.37455830388692579"/>
    <n v="0.10915898617511521"/>
  </r>
  <r>
    <n v="2025"/>
    <s v="18132331413    "/>
    <n v="-1.1086626245216111"/>
    <n v="0.33"/>
    <n v="14171"/>
    <s v="6"/>
    <s v="RES"/>
    <x v="0"/>
    <s v="11"/>
    <s v="259"/>
    <s v="CL"/>
    <s v="G+"/>
    <s v="VG"/>
    <x v="8"/>
    <n v="89"/>
    <n v="53"/>
    <n v="1935"/>
    <n v="1971"/>
    <n v="1299"/>
    <n v="984"/>
    <n v="1038"/>
    <n v="726"/>
    <n v="312"/>
    <m/>
    <n v="2595"/>
    <n v="3000"/>
    <n v="16"/>
    <m/>
    <m/>
    <m/>
    <m/>
    <m/>
    <m/>
    <m/>
    <n v="583909"/>
    <n v="414575"/>
    <n v="8578"/>
    <n v="546900"/>
    <n v="75900"/>
    <n v="471000"/>
    <n v="0"/>
    <n v="0"/>
    <n v="89850.625589999996"/>
    <n v="-35094.289365640165"/>
    <n v="74268.409664999999"/>
    <n v="284810.60806"/>
    <n v="-11821.416826500001"/>
    <n v="64181.862170223001"/>
    <n v="44069.840095223997"/>
    <n v="0"/>
    <n v="30187.007266385997"/>
    <n v="60672.353683200003"/>
    <n v="0"/>
    <n v="8600"/>
    <n v="546400"/>
    <n v="54800"/>
    <n v="609800"/>
    <n v="0.11501188517096361"/>
    <n v="0.99970000000000003"/>
    <n v="0.98380000000000001"/>
    <n v="1.0158"/>
    <n v="0.96179999999999999"/>
    <n v="0.98909999999999998"/>
    <n v="0.94971499999999998"/>
    <n v="0.90288678946097178"/>
    <n v="546400"/>
    <n v="8100"/>
    <n v="554500"/>
    <n v="52000"/>
    <n v="606500"/>
    <n v="0.17728237791932058"/>
    <n v="-0.31488801054018445"/>
    <n v="0.10897787529712927"/>
  </r>
  <r>
    <n v="2025"/>
    <s v="18132324014    "/>
    <n v="-1.6607312068216509"/>
    <n v="0.19"/>
    <n v="8166"/>
    <s v="6"/>
    <s v="RES"/>
    <x v="0"/>
    <s v="11"/>
    <s v="259"/>
    <s v="BG"/>
    <s v="G"/>
    <s v="GD"/>
    <x v="8"/>
    <n v="89"/>
    <n v="53"/>
    <n v="1935"/>
    <n v="1971"/>
    <n v="1193"/>
    <n v="490"/>
    <n v="539"/>
    <n v="539"/>
    <m/>
    <m/>
    <n v="1683"/>
    <n v="2000"/>
    <n v="8"/>
    <m/>
    <n v="502"/>
    <m/>
    <m/>
    <m/>
    <m/>
    <m/>
    <n v="409863"/>
    <n v="282805"/>
    <n v="0"/>
    <n v="354100"/>
    <n v="56600"/>
    <n v="297500"/>
    <n v="0"/>
    <n v="0"/>
    <n v="89850.625589999996"/>
    <n v="-52569.808201026557"/>
    <n v="44121.038090000002"/>
    <n v="197752.34721000001"/>
    <n v="-11821.416826500001"/>
    <n v="58944.543163260998"/>
    <n v="21945.347201889999"/>
    <n v="0"/>
    <n v="15675.141538132999"/>
    <n v="30336.176841600001"/>
    <n v="0"/>
    <n v="0"/>
    <n v="357000"/>
    <n v="37300"/>
    <n v="394300"/>
    <n v="0.11352725218864727"/>
    <n v="0.99970000000000003"/>
    <n v="0.98050000000000004"/>
    <n v="0.99650000000000005"/>
    <n v="1.0093000000000001"/>
    <n v="0.98909999999999998"/>
    <n v="0.94971499999999998"/>
    <n v="0.92635760994173622"/>
    <n v="357000"/>
    <n v="0"/>
    <n v="357000"/>
    <n v="35400"/>
    <n v="392400"/>
    <n v="0.2"/>
    <n v="-0.37455830388692579"/>
    <n v="0.10816153628918385"/>
  </r>
  <r>
    <n v="2025"/>
    <s v="18132332484    "/>
    <n v="-1.6094379124341003"/>
    <n v="0.2"/>
    <m/>
    <s v="6"/>
    <s v="RES"/>
    <x v="0"/>
    <s v="11"/>
    <s v="259"/>
    <s v="CC"/>
    <s v="G"/>
    <s v="GD"/>
    <x v="8"/>
    <n v="89"/>
    <n v="53"/>
    <n v="1935"/>
    <n v="1971"/>
    <n v="1080"/>
    <n v="432"/>
    <m/>
    <n v="0"/>
    <m/>
    <m/>
    <n v="1512"/>
    <n v="2000"/>
    <n v="8"/>
    <m/>
    <m/>
    <n v="171"/>
    <m/>
    <m/>
    <m/>
    <m/>
    <n v="329657"/>
    <n v="227463"/>
    <n v="9040"/>
    <n v="347100"/>
    <n v="58400"/>
    <n v="288700"/>
    <n v="0"/>
    <n v="0"/>
    <n v="89850.625589999996"/>
    <n v="-50946.13867709865"/>
    <n v="44121.038090000002"/>
    <n v="197752.34721000001"/>
    <n v="-11821.416826500001"/>
    <n v="53361.363467160001"/>
    <n v="19347.734675952001"/>
    <n v="0"/>
    <n v="0"/>
    <n v="30336.176841600001"/>
    <n v="5693.5331121960007"/>
    <n v="9000"/>
    <n v="338800"/>
    <n v="38900"/>
    <n v="386700"/>
    <n v="0.11408815903197926"/>
    <n v="0.99970000000000003"/>
    <n v="0.98050000000000004"/>
    <n v="0.99650000000000005"/>
    <n v="1.0093000000000001"/>
    <n v="0.98909999999999998"/>
    <n v="0.94971499999999998"/>
    <n v="0.92635760994173622"/>
    <n v="338800"/>
    <n v="8600"/>
    <n v="347400"/>
    <n v="36900"/>
    <n v="384300"/>
    <n v="0.20332525112573605"/>
    <n v="-0.36815068493150682"/>
    <n v="0.10717372515125324"/>
  </r>
  <r>
    <n v="2025"/>
    <s v="18132243042    "/>
    <n v="-1.6607312068216509"/>
    <n v="0.19"/>
    <n v="8335"/>
    <s v="6"/>
    <s v="RES"/>
    <x v="0"/>
    <s v="11"/>
    <s v="259"/>
    <s v="TD"/>
    <s v="A"/>
    <s v="AV"/>
    <x v="8"/>
    <n v="89"/>
    <n v="53"/>
    <n v="1935"/>
    <n v="1971"/>
    <n v="1176"/>
    <m/>
    <n v="951"/>
    <n v="951"/>
    <m/>
    <m/>
    <n v="1176"/>
    <n v="1500"/>
    <n v="5"/>
    <m/>
    <m/>
    <m/>
    <m/>
    <m/>
    <m/>
    <m/>
    <n v="248030"/>
    <n v="166180"/>
    <n v="10334"/>
    <n v="289200"/>
    <n v="56600"/>
    <n v="232600"/>
    <n v="0"/>
    <n v="0"/>
    <n v="89850.625589999996"/>
    <n v="-52569.808201026557"/>
    <n v="21557.329055999999"/>
    <n v="160472.20319"/>
    <n v="-11821.416826500001"/>
    <n v="58104.595775351998"/>
    <n v="0"/>
    <n v="0"/>
    <n v="27656.882379896997"/>
    <n v="18960.110526"/>
    <n v="0"/>
    <n v="10300"/>
    <n v="274900"/>
    <n v="37300"/>
    <n v="322500"/>
    <n v="0.11514522821576763"/>
    <n v="0.99970000000000003"/>
    <n v="1.0067999999999999"/>
    <n v="0.99729999999999996"/>
    <n v="1.0157"/>
    <n v="0.98909999999999998"/>
    <n v="0.94971499999999998"/>
    <n v="0.95800544533193577"/>
    <n v="274900"/>
    <n v="9800"/>
    <n v="284700"/>
    <n v="35400"/>
    <n v="320100"/>
    <n v="0.2239896818572657"/>
    <n v="-0.37455830388692579"/>
    <n v="0.10684647302904564"/>
  </r>
  <r>
    <n v="2025"/>
    <s v="18132313492    "/>
    <n v="-1.7719568419318752"/>
    <n v="0.17"/>
    <n v="7447"/>
    <s v="6"/>
    <s v="RES"/>
    <x v="0"/>
    <s v="11"/>
    <s v="259"/>
    <s v="CC"/>
    <s v="A"/>
    <s v="GD"/>
    <x v="8"/>
    <n v="89"/>
    <n v="53"/>
    <n v="1935"/>
    <n v="1971"/>
    <n v="1024"/>
    <n v="672"/>
    <n v="1024"/>
    <n v="874"/>
    <n v="150"/>
    <m/>
    <n v="1846"/>
    <n v="2000"/>
    <n v="9"/>
    <m/>
    <m/>
    <n v="64"/>
    <m/>
    <m/>
    <m/>
    <m/>
    <n v="301197"/>
    <n v="207826"/>
    <n v="32575"/>
    <n v="377100"/>
    <n v="52700"/>
    <n v="324400"/>
    <n v="0"/>
    <n v="0"/>
    <n v="89850.625589999996"/>
    <n v="-56090.612940989391"/>
    <n v="21557.329055999999"/>
    <n v="197752.34721000001"/>
    <n v="-11821.416826500001"/>
    <n v="50594.477954048001"/>
    <n v="30096.476162592"/>
    <n v="0"/>
    <n v="29779.860732927998"/>
    <n v="34128.198946800003"/>
    <n v="2130.9129776640002"/>
    <n v="32600"/>
    <n v="354200"/>
    <n v="33800"/>
    <n v="420600"/>
    <n v="0.11535401750198886"/>
    <n v="0.99970000000000003"/>
    <n v="1.0067999999999999"/>
    <n v="0.99650000000000005"/>
    <n v="1.0093000000000001"/>
    <n v="0.98909999999999998"/>
    <n v="0.94971499999999998"/>
    <n v="0.95120534593507355"/>
    <n v="354200"/>
    <n v="30900"/>
    <n v="385100"/>
    <n v="32100"/>
    <n v="417200"/>
    <n v="0.18711467324290998"/>
    <n v="-0.39089184060721061"/>
    <n v="0.10633784142137365"/>
  </r>
  <r>
    <n v="2025"/>
    <s v="18132331402    "/>
    <n v="-1.8971199848858813"/>
    <n v="0.15"/>
    <n v="6738"/>
    <s v="6"/>
    <s v="RES"/>
    <x v="0"/>
    <s v="11"/>
    <s v="259"/>
    <s v="TD"/>
    <s v="A"/>
    <s v="GD"/>
    <x v="8"/>
    <n v="89"/>
    <n v="53"/>
    <n v="1935"/>
    <n v="1971"/>
    <n v="963"/>
    <m/>
    <n v="483"/>
    <n v="241"/>
    <n v="242"/>
    <m/>
    <n v="1205"/>
    <n v="1500"/>
    <n v="8"/>
    <m/>
    <m/>
    <m/>
    <m/>
    <m/>
    <m/>
    <m/>
    <n v="203160"/>
    <n v="140180"/>
    <n v="5412"/>
    <n v="301200"/>
    <n v="48400"/>
    <n v="252800"/>
    <n v="0"/>
    <n v="0"/>
    <n v="89850.625589999996"/>
    <n v="-60052.604136134301"/>
    <n v="21557.329055999999"/>
    <n v="197752.34721000001"/>
    <n v="-11821.416826500001"/>
    <n v="47580.549091551002"/>
    <n v="0"/>
    <n v="0"/>
    <n v="14046.555404301"/>
    <n v="30336.176841600001"/>
    <n v="0"/>
    <n v="5400"/>
    <n v="299500"/>
    <n v="29800"/>
    <n v="334700"/>
    <n v="0.11122177954847277"/>
    <n v="0.99970000000000003"/>
    <n v="1.0067999999999999"/>
    <n v="0.99650000000000005"/>
    <n v="1.0157"/>
    <n v="0.98909999999999998"/>
    <n v="0.94971499999999998"/>
    <n v="0.95723696608169473"/>
    <n v="299500"/>
    <n v="5100"/>
    <n v="304600"/>
    <n v="28300"/>
    <n v="332900"/>
    <n v="0.20490506329113925"/>
    <n v="-0.41528925619834711"/>
    <n v="0.1052456839309429"/>
  </r>
  <r>
    <n v="2025"/>
    <s v="18132331493    "/>
    <n v="-1.8325814637483102"/>
    <n v="0.16"/>
    <m/>
    <s v="6"/>
    <s v="RES"/>
    <x v="0"/>
    <s v="11"/>
    <s v="259"/>
    <s v="CC"/>
    <s v="A+"/>
    <s v="AV"/>
    <x v="8"/>
    <n v="89"/>
    <n v="53"/>
    <n v="1935"/>
    <n v="1971"/>
    <n v="818"/>
    <n v="368"/>
    <n v="818"/>
    <n v="518"/>
    <n v="300"/>
    <m/>
    <n v="1486"/>
    <n v="1500"/>
    <n v="6"/>
    <m/>
    <m/>
    <n v="288"/>
    <m/>
    <m/>
    <m/>
    <m/>
    <n v="275156"/>
    <n v="184355"/>
    <n v="6227"/>
    <n v="297000"/>
    <n v="50600"/>
    <n v="246400"/>
    <n v="0"/>
    <n v="0"/>
    <n v="89850.625589999996"/>
    <n v="-58009.662049032086"/>
    <n v="29814.093161000001"/>
    <n v="160472.20319"/>
    <n v="-11821.416826500001"/>
    <n v="40416.291959385999"/>
    <n v="16481.403612848"/>
    <n v="0"/>
    <n v="23788.990312046"/>
    <n v="22752.132631200002"/>
    <n v="9589.1083994880009"/>
    <n v="6200"/>
    <n v="291500"/>
    <n v="31800"/>
    <n v="329500"/>
    <n v="0.10942760942760943"/>
    <n v="0.99970000000000003"/>
    <n v="1.0088999999999999"/>
    <n v="0.99729999999999996"/>
    <n v="1.0157"/>
    <n v="0.98909999999999998"/>
    <n v="0.94971499999999998"/>
    <n v="0.96000366884722899"/>
    <n v="291500"/>
    <n v="5900"/>
    <n v="297400"/>
    <n v="30200"/>
    <n v="327600"/>
    <n v="0.20698051948051949"/>
    <n v="-0.40316205533596838"/>
    <n v="0.10303030303030303"/>
  </r>
  <r>
    <n v="2025"/>
    <s v="18132331044    "/>
    <n v="-1.4271163556401458"/>
    <n v="0.24"/>
    <n v="10462"/>
    <s v="6"/>
    <s v="RES"/>
    <x v="0"/>
    <s v="11"/>
    <s v="259"/>
    <s v="CO"/>
    <s v="G"/>
    <s v="GD"/>
    <x v="8"/>
    <n v="89"/>
    <n v="53"/>
    <n v="1935"/>
    <n v="1971"/>
    <n v="1289"/>
    <n v="420"/>
    <m/>
    <n v="0"/>
    <m/>
    <m/>
    <n v="1709"/>
    <n v="2000"/>
    <n v="8"/>
    <m/>
    <m/>
    <n v="210"/>
    <m/>
    <m/>
    <m/>
    <m/>
    <n v="389649"/>
    <n v="268858"/>
    <n v="0"/>
    <n v="355800"/>
    <n v="64800"/>
    <n v="291000"/>
    <n v="0"/>
    <n v="0"/>
    <n v="89850.625589999996"/>
    <n v="-45174.819855485119"/>
    <n v="44121.038090000002"/>
    <n v="197752.34721000001"/>
    <n v="-11821.416826500001"/>
    <n v="63687.775471453002"/>
    <n v="18810.297601620001"/>
    <n v="0"/>
    <n v="0"/>
    <n v="30336.176841600001"/>
    <n v="6992.0582079600008"/>
    <n v="0"/>
    <n v="349900"/>
    <n v="44700"/>
    <n v="394600"/>
    <n v="0.10905002810567735"/>
    <n v="0.99970000000000003"/>
    <n v="0.98050000000000004"/>
    <n v="0.99650000000000005"/>
    <n v="1.0093000000000001"/>
    <n v="0.98909999999999998"/>
    <n v="0.94971499999999998"/>
    <n v="0.92635760994173622"/>
    <n v="349900"/>
    <n v="0"/>
    <n v="349900"/>
    <n v="42400"/>
    <n v="392300"/>
    <n v="0.20240549828178694"/>
    <n v="-0.34567901234567899"/>
    <n v="0.10258572231590782"/>
  </r>
  <r>
    <n v="2025"/>
    <s v="18132331406    "/>
    <n v="-1.4696759700589417"/>
    <n v="0.23"/>
    <m/>
    <s v="6"/>
    <s v="RES"/>
    <x v="0"/>
    <s v="11"/>
    <s v="259"/>
    <s v="TD"/>
    <s v="G"/>
    <s v="GD"/>
    <x v="8"/>
    <n v="89"/>
    <n v="53"/>
    <n v="1935"/>
    <n v="1971"/>
    <n v="1380"/>
    <m/>
    <n v="1358"/>
    <n v="1358"/>
    <n v="0"/>
    <m/>
    <n v="1380"/>
    <n v="1500"/>
    <n v="9"/>
    <m/>
    <m/>
    <m/>
    <m/>
    <m/>
    <m/>
    <m/>
    <n v="404652"/>
    <n v="279210"/>
    <n v="14106"/>
    <n v="387200"/>
    <n v="63300"/>
    <n v="323900"/>
    <n v="0"/>
    <n v="0"/>
    <n v="89850.625589999996"/>
    <n v="-46522.028095997222"/>
    <n v="44121.038090000002"/>
    <n v="197752.34721000001"/>
    <n v="-11821.416826500001"/>
    <n v="68183.964430260006"/>
    <n v="0"/>
    <n v="0"/>
    <n v="39493.213745426001"/>
    <n v="34128.198946800003"/>
    <n v="0"/>
    <n v="14100"/>
    <n v="371900"/>
    <n v="43300"/>
    <n v="429300"/>
    <n v="0.10872933884297521"/>
    <n v="0.99970000000000003"/>
    <n v="0.98050000000000004"/>
    <n v="0.99650000000000005"/>
    <n v="1.0157"/>
    <n v="0.98909999999999998"/>
    <n v="0.94971499999999998"/>
    <n v="0.93223166988786421"/>
    <n v="371900"/>
    <n v="13400"/>
    <n v="385300"/>
    <n v="41100"/>
    <n v="426400"/>
    <n v="0.18956468045693114"/>
    <n v="-0.35071090047393366"/>
    <n v="0.1012396694214876"/>
  </r>
  <r>
    <n v="2025"/>
    <s v="18132213053    "/>
    <n v="-1.5606477482646683"/>
    <n v="0.21"/>
    <n v="9286"/>
    <s v="6"/>
    <s v="RES"/>
    <x v="0"/>
    <s v="11"/>
    <s v="259"/>
    <s v="TD"/>
    <s v="F+"/>
    <s v="GD"/>
    <x v="8"/>
    <n v="89"/>
    <n v="14"/>
    <n v="1935"/>
    <n v="2010"/>
    <n v="702"/>
    <m/>
    <n v="351"/>
    <n v="0"/>
    <n v="351"/>
    <m/>
    <n v="1053"/>
    <n v="1500"/>
    <n v="5"/>
    <m/>
    <m/>
    <m/>
    <m/>
    <m/>
    <m/>
    <m/>
    <n v="147051"/>
    <n v="136757"/>
    <n v="0"/>
    <n v="269800"/>
    <n v="60100"/>
    <n v="209700"/>
    <n v="0"/>
    <n v="0"/>
    <n v="89850.625589999996"/>
    <n v="-49401.70477837498"/>
    <n v="0"/>
    <n v="197752.34721000001"/>
    <n v="-3122.6384069999999"/>
    <n v="34684.886253654004"/>
    <n v="0"/>
    <n v="0"/>
    <n v="10207.745231696999"/>
    <n v="18960.110526"/>
    <n v="0"/>
    <n v="0"/>
    <n v="258500"/>
    <n v="40400"/>
    <n v="298900"/>
    <n v="0.1078576723498888"/>
    <n v="0.99970000000000003"/>
    <n v="0.99180000000000001"/>
    <n v="0.99650000000000005"/>
    <n v="1.0157"/>
    <n v="0.98909999999999998"/>
    <n v="0.94971499999999998"/>
    <n v="0.94297539030574595"/>
    <n v="258500"/>
    <n v="0"/>
    <n v="258500"/>
    <n v="38400"/>
    <n v="296900"/>
    <n v="0.23271340009537433"/>
    <n v="-0.36106489184692181"/>
    <n v="0.10044477390659748"/>
  </r>
  <r>
    <n v="2025"/>
    <s v="18132331522    "/>
    <n v="-1.6094379124341003"/>
    <n v="0.2"/>
    <n v="8624"/>
    <s v="6"/>
    <s v="RES"/>
    <x v="0"/>
    <s v="11"/>
    <s v="259"/>
    <s v="RN"/>
    <s v="A"/>
    <s v="GD"/>
    <x v="8"/>
    <n v="89"/>
    <n v="53"/>
    <n v="1935"/>
    <n v="1971"/>
    <n v="1107"/>
    <m/>
    <m/>
    <n v="0"/>
    <m/>
    <m/>
    <n v="1107"/>
    <n v="1500"/>
    <n v="5"/>
    <n v="252"/>
    <m/>
    <m/>
    <m/>
    <m/>
    <m/>
    <m/>
    <n v="184757"/>
    <n v="127482"/>
    <n v="0"/>
    <n v="289600"/>
    <n v="58400"/>
    <n v="231200"/>
    <n v="0"/>
    <n v="0"/>
    <n v="89850.625589999996"/>
    <n v="-50946.13867709865"/>
    <n v="21557.329055999999"/>
    <n v="197752.34721000001"/>
    <n v="-11821.416826500001"/>
    <n v="54695.397553839"/>
    <n v="0"/>
    <n v="0"/>
    <n v="0"/>
    <n v="18960.110526"/>
    <n v="0"/>
    <n v="0"/>
    <n v="281100"/>
    <n v="38900"/>
    <n v="320000"/>
    <n v="0.10497237569060773"/>
    <n v="0.99970000000000003"/>
    <n v="1.0067999999999999"/>
    <n v="0.99650000000000005"/>
    <n v="1.0157"/>
    <n v="0.98909999999999998"/>
    <n v="0.94971499999999998"/>
    <n v="0.95723696608169473"/>
    <n v="281100"/>
    <n v="0"/>
    <n v="281100"/>
    <n v="36900"/>
    <n v="318000"/>
    <n v="0.21583044982698962"/>
    <n v="-0.36815068493150682"/>
    <n v="9.8066298342541436E-2"/>
  </r>
  <r>
    <n v="2025"/>
    <s v="18132334516    "/>
    <n v="-1.8971199848858813"/>
    <n v="0.15"/>
    <m/>
    <s v="6"/>
    <s v="RES"/>
    <x v="0"/>
    <s v="11"/>
    <s v="259"/>
    <s v="TD"/>
    <s v="A"/>
    <s v="AV"/>
    <x v="8"/>
    <n v="89"/>
    <n v="53"/>
    <n v="1935"/>
    <n v="1971"/>
    <n v="1106"/>
    <m/>
    <n v="1106"/>
    <n v="1106"/>
    <m/>
    <m/>
    <n v="1106"/>
    <n v="1500"/>
    <n v="5"/>
    <m/>
    <m/>
    <m/>
    <m/>
    <m/>
    <m/>
    <m/>
    <n v="233754"/>
    <n v="156615"/>
    <n v="8240"/>
    <n v="284400"/>
    <n v="48400"/>
    <n v="236000"/>
    <n v="0"/>
    <n v="0"/>
    <n v="89850.625589999996"/>
    <n v="-60052.604136134301"/>
    <n v="21557.329055999999"/>
    <n v="160472.20319"/>
    <n v="-11821.416826500001"/>
    <n v="54645.988883962003"/>
    <n v="0"/>
    <n v="0"/>
    <n v="32164.576143181999"/>
    <n v="18960.110526"/>
    <n v="0"/>
    <n v="8200"/>
    <n v="276000"/>
    <n v="29800"/>
    <n v="314000"/>
    <n v="0.10407876230661041"/>
    <n v="0.99970000000000003"/>
    <n v="1.0067999999999999"/>
    <n v="0.99729999999999996"/>
    <n v="1.0157"/>
    <n v="0.98909999999999998"/>
    <n v="0.94971499999999998"/>
    <n v="0.95800544533193577"/>
    <n v="276000"/>
    <n v="7800"/>
    <n v="283800"/>
    <n v="28300"/>
    <n v="312100"/>
    <n v="0.20254237288135593"/>
    <n v="-0.41528925619834711"/>
    <n v="9.7398030942334735E-2"/>
  </r>
  <r>
    <n v="2025"/>
    <s v="18132244485    "/>
    <n v="-1.6094379124341003"/>
    <n v="0.2"/>
    <n v="8623"/>
    <s v="6"/>
    <s v="RES"/>
    <x v="0"/>
    <s v="11"/>
    <s v="259"/>
    <s v="CO"/>
    <s v="A"/>
    <s v="GD"/>
    <x v="8"/>
    <n v="89"/>
    <n v="53"/>
    <n v="1935"/>
    <n v="1971"/>
    <n v="2014"/>
    <n v="410"/>
    <n v="1230"/>
    <n v="1230"/>
    <m/>
    <m/>
    <n v="2424"/>
    <n v="2500"/>
    <n v="7"/>
    <m/>
    <m/>
    <m/>
    <m/>
    <m/>
    <m/>
    <m/>
    <n v="377582"/>
    <n v="260532"/>
    <n v="0"/>
    <n v="387400"/>
    <n v="58400"/>
    <n v="329000"/>
    <n v="0"/>
    <n v="0"/>
    <n v="89850.625589999996"/>
    <n v="-50946.13867709865"/>
    <n v="21557.329055999999"/>
    <n v="197752.34721000001"/>
    <n v="-11821.416826500001"/>
    <n v="99509.061132278002"/>
    <n v="18362.433373010001"/>
    <n v="0"/>
    <n v="35770.731153809997"/>
    <n v="26544.1547364"/>
    <n v="0"/>
    <n v="0"/>
    <n v="387700"/>
    <n v="38900"/>
    <n v="426600"/>
    <n v="0.10118740320082602"/>
    <n v="0.99970000000000003"/>
    <n v="1.0067999999999999"/>
    <n v="0.99650000000000005"/>
    <n v="0.98919999999999997"/>
    <n v="0.98909999999999998"/>
    <n v="0.94971499999999998"/>
    <n v="0.9322622889120924"/>
    <n v="387700"/>
    <n v="0"/>
    <n v="387700"/>
    <n v="36900"/>
    <n v="424600"/>
    <n v="0.17841945288753799"/>
    <n v="-0.36815068493150682"/>
    <n v="9.6024780588538972E-2"/>
  </r>
  <r>
    <n v="2025"/>
    <s v="18132331042    "/>
    <n v="-1.8325814637483102"/>
    <n v="0.16"/>
    <m/>
    <s v="6"/>
    <s v="RES"/>
    <x v="0"/>
    <s v="11"/>
    <s v="259"/>
    <s v="CC"/>
    <s v="G"/>
    <s v="GD"/>
    <x v="8"/>
    <n v="89"/>
    <n v="53"/>
    <n v="1935"/>
    <n v="1971"/>
    <n v="1194"/>
    <n v="799"/>
    <n v="952"/>
    <n v="60"/>
    <n v="892"/>
    <m/>
    <n v="2885"/>
    <n v="3000"/>
    <n v="7"/>
    <m/>
    <m/>
    <n v="336"/>
    <m/>
    <m/>
    <m/>
    <m/>
    <n v="469469"/>
    <n v="323934"/>
    <n v="36042"/>
    <n v="415400"/>
    <n v="50600"/>
    <n v="364800"/>
    <n v="0"/>
    <n v="0"/>
    <n v="89850.625589999996"/>
    <n v="-58009.662049032086"/>
    <n v="44121.038090000002"/>
    <n v="197752.34721000001"/>
    <n v="-11821.416826500001"/>
    <n v="58993.951833138002"/>
    <n v="35784.351865938996"/>
    <n v="0"/>
    <n v="27685.964275143997"/>
    <n v="26544.1547364"/>
    <n v="11187.293132736002"/>
    <n v="36000"/>
    <n v="390200"/>
    <n v="31800"/>
    <n v="458000"/>
    <n v="0.10255175734232065"/>
    <n v="0.99970000000000003"/>
    <n v="0.98050000000000004"/>
    <n v="0.99650000000000005"/>
    <n v="0.96179999999999999"/>
    <n v="0.98909999999999998"/>
    <n v="0.94971499999999998"/>
    <n v="0.88276107127906644"/>
    <n v="390200"/>
    <n v="34200"/>
    <n v="424400"/>
    <n v="30200"/>
    <n v="454600"/>
    <n v="0.16337719298245615"/>
    <n v="-0.40316205533596838"/>
    <n v="9.4366875300914782E-2"/>
  </r>
  <r>
    <n v="2025"/>
    <s v="18132322021    "/>
    <n v="-1.3470736479666092"/>
    <n v="0.26"/>
    <n v="11327"/>
    <s v="6"/>
    <s v="RES"/>
    <x v="0"/>
    <s v="11"/>
    <s v="259"/>
    <s v="TD"/>
    <s v="A"/>
    <s v="GD"/>
    <x v="8"/>
    <n v="89"/>
    <n v="53"/>
    <n v="1935"/>
    <n v="1971"/>
    <n v="1476"/>
    <m/>
    <n v="972"/>
    <n v="972"/>
    <m/>
    <m/>
    <n v="1476"/>
    <n v="1500"/>
    <n v="5"/>
    <m/>
    <m/>
    <m/>
    <m/>
    <m/>
    <m/>
    <m/>
    <n v="274682"/>
    <n v="189531"/>
    <n v="0"/>
    <n v="340300"/>
    <n v="67600"/>
    <n v="272700"/>
    <n v="0"/>
    <n v="0"/>
    <n v="89850.625589999996"/>
    <n v="-42641.098701210125"/>
    <n v="21557.329055999999"/>
    <n v="197752.34721000001"/>
    <n v="-11821.416826500001"/>
    <n v="72927.196738451996"/>
    <n v="0"/>
    <n v="0"/>
    <n v="28267.602180083999"/>
    <n v="18960.110526"/>
    <n v="0"/>
    <n v="0"/>
    <n v="327600"/>
    <n v="47200"/>
    <n v="374800"/>
    <n v="0.10138113429327064"/>
    <n v="0.99970000000000003"/>
    <n v="1.0067999999999999"/>
    <n v="0.99650000000000005"/>
    <n v="1.0157"/>
    <n v="0.98909999999999998"/>
    <n v="0.94971499999999998"/>
    <n v="0.95723696608169473"/>
    <n v="327600"/>
    <n v="0"/>
    <n v="327600"/>
    <n v="44800"/>
    <n v="372400"/>
    <n v="0.20132013201320131"/>
    <n v="-0.33727810650887574"/>
    <n v="9.4328533646782245E-2"/>
  </r>
  <r>
    <n v="2025"/>
    <s v="18132334432    "/>
    <n v="-1.7719568419318752"/>
    <n v="0.17"/>
    <m/>
    <s v="6"/>
    <s v="RES"/>
    <x v="0"/>
    <s v="11"/>
    <s v="259"/>
    <s v="TD"/>
    <s v="A"/>
    <s v="GD"/>
    <x v="8"/>
    <n v="89"/>
    <n v="53"/>
    <n v="1935"/>
    <n v="1971"/>
    <n v="868"/>
    <m/>
    <n v="868"/>
    <n v="0"/>
    <n v="868"/>
    <m/>
    <n v="1736"/>
    <n v="2000"/>
    <n v="8"/>
    <m/>
    <m/>
    <n v="220"/>
    <m/>
    <m/>
    <m/>
    <m/>
    <n v="228992"/>
    <n v="158004"/>
    <n v="6724"/>
    <n v="321500"/>
    <n v="52700"/>
    <n v="268800"/>
    <n v="0"/>
    <n v="0"/>
    <n v="89850.625589999996"/>
    <n v="-56090.612940989391"/>
    <n v="21557.329055999999"/>
    <n v="197752.34721000001"/>
    <n v="-11821.416826500001"/>
    <n v="42886.725453236002"/>
    <n v="0"/>
    <n v="0"/>
    <n v="25243.085074396"/>
    <n v="30336.176841600001"/>
    <n v="7325.0133607200005"/>
    <n v="6700"/>
    <n v="313300"/>
    <n v="33800"/>
    <n v="353800"/>
    <n v="0.10046656298600311"/>
    <n v="0.99970000000000003"/>
    <n v="1.0067999999999999"/>
    <n v="0.99650000000000005"/>
    <n v="1.0093000000000001"/>
    <n v="0.98909999999999998"/>
    <n v="0.94971499999999998"/>
    <n v="0.95120534593507355"/>
    <n v="313300"/>
    <n v="6400"/>
    <n v="319700"/>
    <n v="32100"/>
    <n v="351800"/>
    <n v="0.18936011904761904"/>
    <n v="-0.39089184060721061"/>
    <n v="9.4245723172628304E-2"/>
  </r>
  <r>
    <n v="2025"/>
    <s v="18132334427    "/>
    <n v="-1.4696759700589417"/>
    <n v="0.23"/>
    <m/>
    <s v="6"/>
    <s v="RES"/>
    <x v="0"/>
    <s v="11"/>
    <s v="259"/>
    <s v="TD"/>
    <s v="A"/>
    <s v="AV"/>
    <x v="8"/>
    <n v="89"/>
    <n v="53"/>
    <n v="1935"/>
    <n v="1971"/>
    <n v="1421"/>
    <m/>
    <n v="456"/>
    <n v="456"/>
    <m/>
    <m/>
    <n v="1421"/>
    <n v="1500"/>
    <n v="7"/>
    <m/>
    <m/>
    <n v="360"/>
    <m/>
    <m/>
    <m/>
    <m/>
    <n v="261228"/>
    <n v="175023"/>
    <n v="8623"/>
    <n v="312100"/>
    <n v="63300"/>
    <n v="248800"/>
    <n v="0"/>
    <n v="0"/>
    <n v="89850.625589999996"/>
    <n v="-46522.028095997222"/>
    <n v="21557.329055999999"/>
    <n v="160472.20319"/>
    <n v="-11821.416826500001"/>
    <n v="70209.719895217"/>
    <n v="0"/>
    <n v="0"/>
    <n v="13261.344232632"/>
    <n v="26544.1547364"/>
    <n v="11986.385499360002"/>
    <n v="8600"/>
    <n v="292200"/>
    <n v="43300"/>
    <n v="344100"/>
    <n v="0.10253123998718359"/>
    <n v="0.99970000000000003"/>
    <n v="1.0067999999999999"/>
    <n v="0.99729999999999996"/>
    <n v="1.0157"/>
    <n v="0.98909999999999998"/>
    <n v="0.94971499999999998"/>
    <n v="0.95800544533193577"/>
    <n v="292200"/>
    <n v="8200"/>
    <n v="300400"/>
    <n v="41100"/>
    <n v="341500"/>
    <n v="0.20739549839228297"/>
    <n v="-0.35071090047393366"/>
    <n v="9.4200576738224934E-2"/>
  </r>
  <r>
    <n v="2025"/>
    <s v="18132331051    "/>
    <n v="-1.8325814637483102"/>
    <n v="0.16"/>
    <n v="6975"/>
    <s v="6"/>
    <s v="RES"/>
    <x v="0"/>
    <s v="11"/>
    <s v="259"/>
    <s v="CC"/>
    <s v="A"/>
    <s v="AV"/>
    <x v="8"/>
    <n v="89"/>
    <n v="53"/>
    <n v="1935"/>
    <n v="1971"/>
    <n v="974"/>
    <n v="252"/>
    <n v="974"/>
    <n v="974"/>
    <m/>
    <m/>
    <n v="1226"/>
    <n v="1500"/>
    <n v="5"/>
    <m/>
    <m/>
    <m/>
    <m/>
    <m/>
    <m/>
    <m/>
    <n v="221649"/>
    <n v="148505"/>
    <n v="4992"/>
    <n v="285000"/>
    <n v="50600"/>
    <n v="234400"/>
    <n v="0"/>
    <n v="0"/>
    <n v="89850.625589999996"/>
    <n v="-58009.662049032086"/>
    <n v="21557.329055999999"/>
    <n v="160472.20319"/>
    <n v="-11821.416826500001"/>
    <n v="48124.044460197998"/>
    <n v="11286.178560971999"/>
    <n v="0"/>
    <n v="28325.765970577999"/>
    <n v="18960.110526"/>
    <n v="0"/>
    <n v="5000"/>
    <n v="276900"/>
    <n v="31800"/>
    <n v="313700"/>
    <n v="0.10070175438596492"/>
    <n v="0.99970000000000003"/>
    <n v="1.0067999999999999"/>
    <n v="0.99729999999999996"/>
    <n v="1.0157"/>
    <n v="0.98909999999999998"/>
    <n v="0.94971499999999998"/>
    <n v="0.95800544533193577"/>
    <n v="276900"/>
    <n v="4700"/>
    <n v="281600"/>
    <n v="30200"/>
    <n v="311800"/>
    <n v="0.20136518771331058"/>
    <n v="-0.40316205533596838"/>
    <n v="9.4035087719298249E-2"/>
  </r>
  <r>
    <n v="2025"/>
    <s v="18132241441    "/>
    <n v="-1.6094379124341003"/>
    <n v="0.2"/>
    <n v="8680"/>
    <s v="6"/>
    <s v="RES"/>
    <x v="0"/>
    <s v="11"/>
    <s v="259"/>
    <s v="CC"/>
    <s v="A+"/>
    <s v="GD"/>
    <x v="8"/>
    <n v="89"/>
    <n v="53"/>
    <n v="1935"/>
    <n v="1971"/>
    <n v="975"/>
    <n v="721"/>
    <n v="961"/>
    <n v="769"/>
    <n v="192"/>
    <m/>
    <n v="1888"/>
    <n v="2000"/>
    <n v="8"/>
    <m/>
    <m/>
    <m/>
    <m/>
    <m/>
    <m/>
    <m/>
    <n v="351855"/>
    <n v="242780"/>
    <n v="9486"/>
    <n v="366000"/>
    <n v="58400"/>
    <n v="307600"/>
    <n v="0"/>
    <n v="0"/>
    <n v="89850.625589999996"/>
    <n v="-50946.13867709865"/>
    <n v="29814.093161000001"/>
    <n v="197752.34721000001"/>
    <n v="-11821.416826500001"/>
    <n v="48173.453130075002"/>
    <n v="32291.010882781"/>
    <n v="0"/>
    <n v="27947.701332367"/>
    <n v="30336.176841600001"/>
    <n v="0"/>
    <n v="9500"/>
    <n v="354500"/>
    <n v="38900"/>
    <n v="402900"/>
    <n v="0.10081967213114754"/>
    <n v="0.99970000000000003"/>
    <n v="1.0088999999999999"/>
    <n v="0.99650000000000005"/>
    <n v="1.0093000000000001"/>
    <n v="0.98909999999999998"/>
    <n v="0.94971499999999998"/>
    <n v="0.95318938569119571"/>
    <n v="354500"/>
    <n v="9000"/>
    <n v="363500"/>
    <n v="36900"/>
    <n v="400400"/>
    <n v="0.18172951885565669"/>
    <n v="-0.36815068493150682"/>
    <n v="9.3989071038251368E-2"/>
  </r>
  <r>
    <n v="2025"/>
    <s v="18132334549    "/>
    <n v="-1.5141277326297755"/>
    <n v="0.22"/>
    <n v="9382"/>
    <s v="6"/>
    <s v="RES"/>
    <x v="0"/>
    <s v="11"/>
    <s v="259"/>
    <s v="CC"/>
    <s v="A"/>
    <s v="GD"/>
    <x v="8"/>
    <n v="89"/>
    <n v="53"/>
    <n v="1935"/>
    <n v="1971"/>
    <n v="770"/>
    <n v="1070"/>
    <n v="770"/>
    <n v="0"/>
    <n v="770"/>
    <m/>
    <n v="2610"/>
    <n v="3000"/>
    <n v="11"/>
    <m/>
    <n v="660"/>
    <n v="443"/>
    <m/>
    <m/>
    <m/>
    <m/>
    <n v="365547"/>
    <n v="252227"/>
    <n v="0"/>
    <n v="376700"/>
    <n v="61700"/>
    <n v="315000"/>
    <n v="0"/>
    <n v="0"/>
    <n v="89850.625589999996"/>
    <n v="-47929.131559187132"/>
    <n v="21557.329055999999"/>
    <n v="197752.34721000001"/>
    <n v="-11821.416826500001"/>
    <n v="38044.675805290004"/>
    <n v="47921.472461270001"/>
    <n v="0"/>
    <n v="22393.059340190001"/>
    <n v="41712.243157199999"/>
    <n v="14749.913267268001"/>
    <n v="0"/>
    <n v="372300"/>
    <n v="41900"/>
    <n v="414200"/>
    <n v="9.9548712503318287E-2"/>
    <n v="0.99970000000000003"/>
    <n v="1.0067999999999999"/>
    <n v="0.99650000000000005"/>
    <n v="0.96179999999999999"/>
    <n v="0.98909999999999998"/>
    <n v="0.94971499999999998"/>
    <n v="0.90643941515937176"/>
    <n v="372300"/>
    <n v="0"/>
    <n v="372300"/>
    <n v="39800"/>
    <n v="412100"/>
    <n v="0.1819047619047619"/>
    <n v="-0.35494327390599678"/>
    <n v="9.3973984603132471E-2"/>
  </r>
  <r>
    <n v="2025"/>
    <s v="18132244418    "/>
    <n v="-1.7147984280919266"/>
    <n v="0.18"/>
    <n v="7800"/>
    <s v="6"/>
    <s v="RES"/>
    <x v="0"/>
    <s v="11"/>
    <s v="259"/>
    <s v="BG"/>
    <s v="A"/>
    <s v="GD"/>
    <x v="8"/>
    <n v="89"/>
    <n v="53"/>
    <n v="1935"/>
    <n v="1971"/>
    <n v="1015"/>
    <m/>
    <n v="1015"/>
    <n v="507"/>
    <n v="508"/>
    <m/>
    <n v="1523"/>
    <n v="2000"/>
    <n v="8"/>
    <m/>
    <m/>
    <m/>
    <m/>
    <m/>
    <m/>
    <m/>
    <n v="237894"/>
    <n v="164147"/>
    <n v="0"/>
    <n v="321200"/>
    <n v="54700"/>
    <n v="266500"/>
    <n v="0"/>
    <n v="0"/>
    <n v="89850.625589999996"/>
    <n v="-54281.285314520763"/>
    <n v="21557.329055999999"/>
    <n v="197752.34721000001"/>
    <n v="-11821.416826500001"/>
    <n v="50149.799925154999"/>
    <n v="0"/>
    <n v="0"/>
    <n v="29518.123675704999"/>
    <n v="30336.176841600001"/>
    <n v="0"/>
    <n v="0"/>
    <n v="317500"/>
    <n v="35600"/>
    <n v="353100"/>
    <n v="9.9315068493150679E-2"/>
    <n v="0.99970000000000003"/>
    <n v="1.0067999999999999"/>
    <n v="0.99650000000000005"/>
    <n v="1.0093000000000001"/>
    <n v="0.98909999999999998"/>
    <n v="0.94971499999999998"/>
    <n v="0.95120534593507355"/>
    <n v="317500"/>
    <n v="0"/>
    <n v="317500"/>
    <n v="33800"/>
    <n v="351300"/>
    <n v="0.19136960600375236"/>
    <n v="-0.38208409506398539"/>
    <n v="9.3711083437110834E-2"/>
  </r>
  <r>
    <n v="2025"/>
    <s v="18132213057    "/>
    <n v="-1.5606477482646683"/>
    <n v="0.21"/>
    <n v="9197"/>
    <s v="6"/>
    <s v="RES"/>
    <x v="0"/>
    <s v="11"/>
    <s v="259"/>
    <s v="TD"/>
    <s v="F+"/>
    <s v="GD"/>
    <x v="8"/>
    <n v="89"/>
    <n v="53"/>
    <n v="1935"/>
    <n v="1971"/>
    <n v="1033"/>
    <m/>
    <n v="1033"/>
    <n v="351"/>
    <n v="682"/>
    <m/>
    <n v="1715"/>
    <n v="2000"/>
    <n v="7"/>
    <m/>
    <m/>
    <n v="331"/>
    <m/>
    <m/>
    <m/>
    <m/>
    <n v="239912"/>
    <n v="165539"/>
    <n v="5261"/>
    <n v="318300"/>
    <n v="60100"/>
    <n v="258200"/>
    <n v="0"/>
    <n v="0"/>
    <n v="89850.625589999996"/>
    <n v="-49401.70477837498"/>
    <n v="0"/>
    <n v="197752.34721000001"/>
    <n v="-11821.416826500001"/>
    <n v="51039.155982941003"/>
    <n v="0"/>
    <n v="0"/>
    <n v="30041.597790150998"/>
    <n v="26544.1547364"/>
    <n v="11020.815556356001"/>
    <n v="5300"/>
    <n v="304600"/>
    <n v="40400"/>
    <n v="350300"/>
    <n v="0.10053408733898837"/>
    <n v="0.99970000000000003"/>
    <n v="0.99180000000000001"/>
    <n v="0.99650000000000005"/>
    <n v="1.0093000000000001"/>
    <n v="0.98909999999999998"/>
    <n v="0.94971499999999998"/>
    <n v="0.93703363339134527"/>
    <n v="304600"/>
    <n v="5000"/>
    <n v="309600"/>
    <n v="38400"/>
    <n v="348000"/>
    <n v="0.19907048799380325"/>
    <n v="-0.36106489184692181"/>
    <n v="9.3308199811498585E-2"/>
  </r>
  <r>
    <n v="2025"/>
    <s v="18132331507    "/>
    <n v="-1.6607312068216509"/>
    <n v="0.19"/>
    <n v="8370"/>
    <s v="6"/>
    <s v="RES"/>
    <x v="0"/>
    <s v="11"/>
    <s v="259"/>
    <s v="CC"/>
    <s v="G+"/>
    <s v="VG"/>
    <x v="8"/>
    <n v="89"/>
    <n v="53"/>
    <n v="1935"/>
    <n v="1971"/>
    <n v="1180"/>
    <n v="900"/>
    <n v="900"/>
    <n v="0"/>
    <n v="900"/>
    <m/>
    <n v="2980"/>
    <n v="3000"/>
    <n v="13"/>
    <n v="209"/>
    <m/>
    <m/>
    <m/>
    <m/>
    <m/>
    <m/>
    <n v="578227"/>
    <n v="410541"/>
    <n v="0"/>
    <n v="509600"/>
    <n v="56600"/>
    <n v="453000"/>
    <n v="0"/>
    <n v="0"/>
    <n v="89850.625589999996"/>
    <n v="-52569.808201026557"/>
    <n v="74268.409664999999"/>
    <n v="284810.60806"/>
    <n v="-11821.416826500001"/>
    <n v="58302.23045486"/>
    <n v="40307.780574899996"/>
    <n v="0"/>
    <n v="26173.705722299997"/>
    <n v="49296.287367600002"/>
    <n v="0"/>
    <n v="0"/>
    <n v="521300"/>
    <n v="37300"/>
    <n v="558600"/>
    <n v="9.6153846153846159E-2"/>
    <n v="0.99970000000000003"/>
    <n v="0.98380000000000001"/>
    <n v="1.0158"/>
    <n v="0.96179999999999999"/>
    <n v="0.98909999999999998"/>
    <n v="0.94971499999999998"/>
    <n v="0.90288678946097178"/>
    <n v="521300"/>
    <n v="0"/>
    <n v="521300"/>
    <n v="35400"/>
    <n v="556700"/>
    <n v="0.15077262693156732"/>
    <n v="-0.37455830388692579"/>
    <n v="9.2425431711145992E-2"/>
  </r>
  <r>
    <n v="2025"/>
    <s v="18132331477    "/>
    <n v="-1.5141277326297755"/>
    <n v="0.22"/>
    <m/>
    <s v="6"/>
    <s v="RES"/>
    <x v="0"/>
    <s v="11"/>
    <s v="259"/>
    <s v="CL"/>
    <s v="G"/>
    <s v="GD"/>
    <x v="8"/>
    <n v="89"/>
    <n v="53"/>
    <n v="1935"/>
    <n v="1971"/>
    <n v="1138"/>
    <n v="840"/>
    <n v="840"/>
    <n v="584"/>
    <n v="256"/>
    <m/>
    <n v="2234"/>
    <n v="2500"/>
    <n v="7"/>
    <m/>
    <m/>
    <m/>
    <m/>
    <m/>
    <m/>
    <m/>
    <n v="448482"/>
    <n v="309453"/>
    <n v="18425"/>
    <n v="395700"/>
    <n v="61700"/>
    <n v="334000"/>
    <n v="0"/>
    <n v="0"/>
    <n v="89850.625589999996"/>
    <n v="-47929.131559187132"/>
    <n v="44121.038090000002"/>
    <n v="197752.34721000001"/>
    <n v="-11821.416826500001"/>
    <n v="56227.066320026002"/>
    <n v="37620.595203240002"/>
    <n v="0"/>
    <n v="24428.792007479999"/>
    <n v="26544.1547364"/>
    <n v="0"/>
    <n v="18400"/>
    <n v="374900"/>
    <n v="41900"/>
    <n v="435200"/>
    <n v="9.9823098306798086E-2"/>
    <n v="0.99970000000000003"/>
    <n v="0.98050000000000004"/>
    <n v="0.99650000000000005"/>
    <n v="0.98919999999999997"/>
    <n v="0.98909999999999998"/>
    <n v="0.94971499999999998"/>
    <n v="0.90790939042342744"/>
    <n v="374900"/>
    <n v="17500"/>
    <n v="392400"/>
    <n v="39800"/>
    <n v="432200"/>
    <n v="0.17485029940119762"/>
    <n v="-0.35494327390599678"/>
    <n v="9.2241597169572906E-2"/>
  </r>
  <r>
    <n v="2025"/>
    <s v="18132241408    "/>
    <n v="-2.0402208285265546"/>
    <n v="0.13"/>
    <n v="5565"/>
    <s v="6"/>
    <s v="RES"/>
    <x v="0"/>
    <s v="11"/>
    <s v="259"/>
    <s v="BG"/>
    <s v="A"/>
    <s v="GD"/>
    <x v="8"/>
    <n v="89"/>
    <n v="53"/>
    <n v="1935"/>
    <n v="1971"/>
    <n v="1206"/>
    <m/>
    <n v="1206"/>
    <n v="0"/>
    <n v="1206"/>
    <m/>
    <n v="2412"/>
    <n v="2500"/>
    <n v="7"/>
    <m/>
    <m/>
    <n v="372"/>
    <m/>
    <m/>
    <m/>
    <m/>
    <n v="307547"/>
    <n v="212207"/>
    <n v="6724"/>
    <n v="340200"/>
    <n v="43400"/>
    <n v="296800"/>
    <n v="0"/>
    <n v="0"/>
    <n v="89850.625589999996"/>
    <n v="-64582.406353792743"/>
    <n v="21557.329055999999"/>
    <n v="197752.34721000001"/>
    <n v="-11821.416826500001"/>
    <n v="59586.855871662003"/>
    <n v="0"/>
    <n v="0"/>
    <n v="35072.765667881999"/>
    <n v="26544.1547364"/>
    <n v="12385.931682672001"/>
    <n v="6700"/>
    <n v="341100"/>
    <n v="25300"/>
    <n v="373100"/>
    <n v="9.6707818930041156E-2"/>
    <n v="0.99970000000000003"/>
    <n v="1.0067999999999999"/>
    <n v="0.99650000000000005"/>
    <n v="0.98919999999999997"/>
    <n v="0.98909999999999998"/>
    <n v="0.94971499999999998"/>
    <n v="0.9322622889120924"/>
    <n v="341100"/>
    <n v="6400"/>
    <n v="347500"/>
    <n v="24000"/>
    <n v="371500"/>
    <n v="0.170822102425876"/>
    <n v="-0.44700460829493088"/>
    <n v="9.2004703115814226E-2"/>
  </r>
  <r>
    <n v="2025"/>
    <s v="18132324007    "/>
    <n v="-1.7147984280919266"/>
    <n v="0.18"/>
    <n v="7953"/>
    <s v="6"/>
    <s v="RES"/>
    <x v="0"/>
    <s v="11"/>
    <s v="259"/>
    <s v="TD"/>
    <s v="G"/>
    <s v="GD"/>
    <x v="8"/>
    <n v="89"/>
    <n v="53"/>
    <n v="1935"/>
    <n v="1971"/>
    <n v="1134"/>
    <m/>
    <n v="1134"/>
    <n v="567"/>
    <n v="567"/>
    <m/>
    <n v="1701"/>
    <n v="2000"/>
    <n v="8"/>
    <m/>
    <m/>
    <m/>
    <m/>
    <m/>
    <m/>
    <m/>
    <n v="357143"/>
    <n v="246429"/>
    <n v="9246"/>
    <n v="359300"/>
    <n v="54700"/>
    <n v="304600"/>
    <n v="0"/>
    <n v="0"/>
    <n v="89850.625589999996"/>
    <n v="-54281.285314520763"/>
    <n v="44121.038090000002"/>
    <n v="197752.34721000001"/>
    <n v="-11821.416826500001"/>
    <n v="56029.431640518"/>
    <n v="0"/>
    <n v="0"/>
    <n v="32978.869210097997"/>
    <n v="30336.176841600001"/>
    <n v="0"/>
    <n v="9200"/>
    <n v="349400"/>
    <n v="35600"/>
    <n v="394200"/>
    <n v="9.7133314778736435E-2"/>
    <n v="0.99970000000000003"/>
    <n v="0.98050000000000004"/>
    <n v="0.99650000000000005"/>
    <n v="1.0093000000000001"/>
    <n v="0.98909999999999998"/>
    <n v="0.94971499999999998"/>
    <n v="0.92635760994173622"/>
    <n v="349400"/>
    <n v="8800"/>
    <n v="358200"/>
    <n v="33800"/>
    <n v="392000"/>
    <n v="0.17596848325673015"/>
    <n v="-0.38208409506398539"/>
    <n v="9.1010297801280268E-2"/>
  </r>
  <r>
    <n v="2025"/>
    <s v="18132334507    "/>
    <n v="-1.9661128563728327"/>
    <n v="0.14000000000000001"/>
    <m/>
    <s v="6"/>
    <s v="RES"/>
    <x v="0"/>
    <s v="11"/>
    <s v="259"/>
    <s v="BG"/>
    <s v="A"/>
    <s v="AV"/>
    <x v="8"/>
    <n v="89"/>
    <n v="53"/>
    <n v="1935"/>
    <n v="1971"/>
    <n v="938"/>
    <n v="459"/>
    <n v="938"/>
    <n v="938"/>
    <m/>
    <m/>
    <n v="1397"/>
    <n v="1500"/>
    <n v="8"/>
    <m/>
    <m/>
    <m/>
    <m/>
    <m/>
    <m/>
    <m/>
    <n v="248413"/>
    <n v="166437"/>
    <n v="5261"/>
    <n v="299000"/>
    <n v="46000"/>
    <n v="253000"/>
    <n v="0"/>
    <n v="0"/>
    <n v="89850.625589999996"/>
    <n v="-62236.546971921947"/>
    <n v="21557.329055999999"/>
    <n v="160472.20319"/>
    <n v="-11821.416826500001"/>
    <n v="46345.332344626004"/>
    <n v="20556.968093199001"/>
    <n v="0"/>
    <n v="27278.817741685998"/>
    <n v="30336.176841600001"/>
    <n v="0"/>
    <n v="5300"/>
    <n v="294700"/>
    <n v="27600"/>
    <n v="327600"/>
    <n v="9.5652173913043481E-2"/>
    <n v="0.99970000000000003"/>
    <n v="1.0067999999999999"/>
    <n v="0.99729999999999996"/>
    <n v="1.0157"/>
    <n v="0.98909999999999998"/>
    <n v="0.94971499999999998"/>
    <n v="0.95800544533193577"/>
    <n v="294700"/>
    <n v="5000"/>
    <n v="299700"/>
    <n v="26200"/>
    <n v="325900"/>
    <n v="0.18458498023715414"/>
    <n v="-0.43043478260869567"/>
    <n v="8.9966555183946487E-2"/>
  </r>
  <r>
    <n v="2025"/>
    <s v="18132342433    "/>
    <n v="-1.9661128563728327"/>
    <n v="0.14000000000000001"/>
    <m/>
    <s v="6"/>
    <s v="RES"/>
    <x v="0"/>
    <s v="11"/>
    <s v="259"/>
    <s v="TD"/>
    <s v="A"/>
    <s v="GD"/>
    <x v="8"/>
    <n v="89"/>
    <n v="53"/>
    <n v="1935"/>
    <n v="1971"/>
    <n v="892"/>
    <m/>
    <n v="640"/>
    <n v="0"/>
    <n v="640"/>
    <m/>
    <n v="1532"/>
    <n v="2000"/>
    <n v="5"/>
    <m/>
    <n v="240"/>
    <m/>
    <m/>
    <m/>
    <m/>
    <m/>
    <n v="223861"/>
    <n v="154464"/>
    <n v="0"/>
    <n v="289400"/>
    <n v="46000"/>
    <n v="243400"/>
    <n v="0"/>
    <n v="0"/>
    <n v="89850.625589999996"/>
    <n v="-62236.546971921947"/>
    <n v="21557.329055999999"/>
    <n v="197752.34721000001"/>
    <n v="-11821.416826500001"/>
    <n v="44072.533530284003"/>
    <n v="0"/>
    <n v="0"/>
    <n v="18612.41295808"/>
    <n v="18960.110526"/>
    <n v="0"/>
    <n v="0"/>
    <n v="289100"/>
    <n v="27600"/>
    <n v="316700"/>
    <n v="9.4333102971665514E-2"/>
    <n v="0.99970000000000003"/>
    <n v="1.0067999999999999"/>
    <n v="0.99650000000000005"/>
    <n v="1.0093000000000001"/>
    <n v="0.98909999999999998"/>
    <n v="0.94971499999999998"/>
    <n v="0.95120534593507355"/>
    <n v="289100"/>
    <n v="0"/>
    <n v="289100"/>
    <n v="26200"/>
    <n v="315300"/>
    <n v="0.18775677896466722"/>
    <n v="-0.43043478260869567"/>
    <n v="8.9495507947477543E-2"/>
  </r>
  <r>
    <n v="2025"/>
    <s v="18132331449    "/>
    <n v="-1.8325814637483102"/>
    <n v="0.16"/>
    <m/>
    <s v="6"/>
    <s v="RES"/>
    <x v="0"/>
    <s v="11"/>
    <s v="259"/>
    <s v="BG"/>
    <s v="G"/>
    <s v="GD"/>
    <x v="8"/>
    <n v="89"/>
    <n v="53"/>
    <n v="1935"/>
    <n v="1971"/>
    <n v="963"/>
    <m/>
    <n v="963"/>
    <n v="473"/>
    <n v="490"/>
    <m/>
    <n v="1453"/>
    <n v="1500"/>
    <n v="7"/>
    <m/>
    <m/>
    <m/>
    <m/>
    <m/>
    <m/>
    <m/>
    <n v="339335"/>
    <n v="234141"/>
    <n v="10854"/>
    <n v="342200"/>
    <n v="50600"/>
    <n v="291600"/>
    <n v="0"/>
    <n v="0"/>
    <n v="89850.625589999996"/>
    <n v="-58009.662049032086"/>
    <n v="44121.038090000002"/>
    <n v="197752.34721000001"/>
    <n v="-11821.416826500001"/>
    <n v="47580.549091551002"/>
    <n v="0"/>
    <n v="0"/>
    <n v="28005.865122861"/>
    <n v="26544.1547364"/>
    <n v="0"/>
    <n v="10900"/>
    <n v="332200"/>
    <n v="31800"/>
    <n v="374900"/>
    <n v="9.5558153126826417E-2"/>
    <n v="0.99970000000000003"/>
    <n v="0.98050000000000004"/>
    <n v="0.99650000000000005"/>
    <n v="1.0157"/>
    <n v="0.98909999999999998"/>
    <n v="0.94971499999999998"/>
    <n v="0.93223166988786421"/>
    <n v="332200"/>
    <n v="10300"/>
    <n v="342500"/>
    <n v="30200"/>
    <n v="372700"/>
    <n v="0.17455418381344306"/>
    <n v="-0.40316205533596838"/>
    <n v="8.9129164231443597E-2"/>
  </r>
  <r>
    <n v="2025"/>
    <s v="18132332481    "/>
    <n v="-1.5141277326297755"/>
    <n v="0.22"/>
    <m/>
    <s v="6"/>
    <s v="RES"/>
    <x v="0"/>
    <s v="11"/>
    <s v="259"/>
    <s v="CC"/>
    <s v="A+"/>
    <s v="GD"/>
    <x v="8"/>
    <n v="89"/>
    <n v="53"/>
    <n v="1935"/>
    <n v="1971"/>
    <n v="828"/>
    <n v="486"/>
    <n v="828"/>
    <n v="0"/>
    <n v="828"/>
    <m/>
    <n v="2142"/>
    <n v="2500"/>
    <n v="7"/>
    <m/>
    <m/>
    <n v="260"/>
    <m/>
    <m/>
    <m/>
    <m/>
    <n v="327606"/>
    <n v="226048"/>
    <n v="8156"/>
    <n v="353800"/>
    <n v="61700"/>
    <n v="292100"/>
    <n v="0"/>
    <n v="0"/>
    <n v="89850.625589999996"/>
    <n v="-47929.131559187132"/>
    <n v="29814.093161000001"/>
    <n v="197752.34721000001"/>
    <n v="-11821.416826500001"/>
    <n v="40910.378658155998"/>
    <n v="21766.201510446001"/>
    <n v="0"/>
    <n v="24079.809264516"/>
    <n v="26544.1547364"/>
    <n v="8656.8339717600011"/>
    <n v="8200"/>
    <n v="337700"/>
    <n v="41900"/>
    <n v="387800"/>
    <n v="9.6099491237987569E-2"/>
    <n v="0.99970000000000003"/>
    <n v="1.0088999999999999"/>
    <n v="0.99650000000000005"/>
    <n v="0.98919999999999997"/>
    <n v="0.98909999999999998"/>
    <n v="0.94971499999999998"/>
    <n v="0.93420681692829766"/>
    <n v="337700"/>
    <n v="7700"/>
    <n v="345400"/>
    <n v="39800"/>
    <n v="385200"/>
    <n v="0.18247175624786033"/>
    <n v="-0.35494327390599678"/>
    <n v="8.8750706613906161E-2"/>
  </r>
  <r>
    <n v="2025"/>
    <s v="18132313422    "/>
    <n v="-1.2378743560016174"/>
    <n v="0.28999999999999998"/>
    <n v="12522"/>
    <s v="6"/>
    <s v="RES"/>
    <x v="0"/>
    <s v="11"/>
    <s v="259"/>
    <s v="BG"/>
    <s v="A"/>
    <s v="GD"/>
    <x v="8"/>
    <n v="89"/>
    <n v="53"/>
    <n v="1935"/>
    <n v="1971"/>
    <n v="1034"/>
    <m/>
    <n v="608"/>
    <n v="0"/>
    <n v="608"/>
    <m/>
    <n v="1642"/>
    <n v="2000"/>
    <n v="5"/>
    <n v="357"/>
    <m/>
    <n v="220"/>
    <m/>
    <m/>
    <m/>
    <m/>
    <n v="248596"/>
    <n v="171531"/>
    <n v="0"/>
    <n v="322700"/>
    <n v="71400"/>
    <n v="251300"/>
    <n v="0"/>
    <n v="0"/>
    <n v="89850.625589999996"/>
    <n v="-39184.437074869042"/>
    <n v="21557.329055999999"/>
    <n v="197752.34721000001"/>
    <n v="-11821.416826500001"/>
    <n v="51088.564652818"/>
    <n v="0"/>
    <n v="0"/>
    <n v="17681.792310175999"/>
    <n v="18960.110526"/>
    <n v="7325.0133607200005"/>
    <n v="0"/>
    <n v="302500"/>
    <n v="50700"/>
    <n v="353200"/>
    <n v="9.4515029439107529E-2"/>
    <n v="0.99970000000000003"/>
    <n v="1.0067999999999999"/>
    <n v="0.99650000000000005"/>
    <n v="1.0093000000000001"/>
    <n v="0.98909999999999998"/>
    <n v="0.94971499999999998"/>
    <n v="0.95120534593507355"/>
    <n v="302500"/>
    <n v="0"/>
    <n v="302500"/>
    <n v="48100"/>
    <n v="350600"/>
    <n v="0.20374054914444886"/>
    <n v="-0.32633053221288516"/>
    <n v="8.6458010536101637E-2"/>
  </r>
  <r>
    <n v="2025"/>
    <s v="18132334534    "/>
    <n v="-1.8325814637483102"/>
    <n v="0.16"/>
    <m/>
    <s v="6"/>
    <s v="RES"/>
    <x v="0"/>
    <s v="11"/>
    <s v="259"/>
    <s v="TD"/>
    <s v="A"/>
    <s v="AV"/>
    <x v="8"/>
    <n v="89"/>
    <n v="53"/>
    <n v="1935"/>
    <n v="1971"/>
    <n v="1299"/>
    <m/>
    <m/>
    <n v="0"/>
    <m/>
    <m/>
    <n v="1299"/>
    <n v="1500"/>
    <n v="5"/>
    <m/>
    <m/>
    <n v="240"/>
    <m/>
    <m/>
    <m/>
    <m/>
    <n v="208341"/>
    <n v="139588"/>
    <n v="7981"/>
    <n v="275600"/>
    <n v="50600"/>
    <n v="225000"/>
    <n v="0"/>
    <n v="0"/>
    <n v="89850.625589999996"/>
    <n v="-58009.662049032086"/>
    <n v="21557.329055999999"/>
    <n v="160472.20319"/>
    <n v="-11821.416826500001"/>
    <n v="64181.862170223001"/>
    <n v="0"/>
    <n v="0"/>
    <n v="0"/>
    <n v="18960.110526"/>
    <n v="7990.9236662400008"/>
    <n v="8000"/>
    <n v="261300"/>
    <n v="31800"/>
    <n v="301100"/>
    <n v="9.2525399129172708E-2"/>
    <n v="0.99970000000000003"/>
    <n v="1.0067999999999999"/>
    <n v="0.99729999999999996"/>
    <n v="1.0157"/>
    <n v="0.98909999999999998"/>
    <n v="0.94971499999999998"/>
    <n v="0.95800544533193577"/>
    <n v="261300"/>
    <n v="7600"/>
    <n v="268900"/>
    <n v="30200"/>
    <n v="299100"/>
    <n v="0.19511111111111112"/>
    <n v="-0.40316205533596838"/>
    <n v="8.5268505079825835E-2"/>
  </r>
  <r>
    <n v="2025"/>
    <s v="18132332542    "/>
    <n v="-1.7147984280919266"/>
    <n v="0.18"/>
    <m/>
    <s v="6"/>
    <s v="RES"/>
    <x v="0"/>
    <s v="11"/>
    <s v="259"/>
    <s v="TD"/>
    <s v="G"/>
    <s v="GD"/>
    <x v="8"/>
    <n v="89"/>
    <n v="53"/>
    <n v="1935"/>
    <n v="1971"/>
    <n v="1291"/>
    <m/>
    <n v="400"/>
    <n v="0"/>
    <n v="400"/>
    <m/>
    <n v="1691"/>
    <n v="2000"/>
    <n v="8"/>
    <n v="240"/>
    <m/>
    <m/>
    <m/>
    <m/>
    <m/>
    <m/>
    <n v="365298"/>
    <n v="252056"/>
    <n v="17232"/>
    <n v="355800"/>
    <n v="54700"/>
    <n v="301100"/>
    <n v="0"/>
    <n v="0"/>
    <n v="89850.625589999996"/>
    <n v="-54281.285314520763"/>
    <n v="44121.038090000002"/>
    <n v="197752.34721000001"/>
    <n v="-11821.416826500001"/>
    <n v="63786.592811207003"/>
    <n v="0"/>
    <n v="0"/>
    <n v="11632.758098799999"/>
    <n v="30336.176841600001"/>
    <n v="0"/>
    <n v="17200"/>
    <n v="335800"/>
    <n v="35600"/>
    <n v="388600"/>
    <n v="9.2186621697582918E-2"/>
    <n v="0.99970000000000003"/>
    <n v="0.98050000000000004"/>
    <n v="0.99650000000000005"/>
    <n v="1.0093000000000001"/>
    <n v="0.98909999999999998"/>
    <n v="0.94971499999999998"/>
    <n v="0.92635760994173622"/>
    <n v="335800"/>
    <n v="16400"/>
    <n v="352200"/>
    <n v="33800"/>
    <n v="386000"/>
    <n v="0.16971105944868814"/>
    <n v="-0.38208409506398539"/>
    <n v="8.4879145587408653E-2"/>
  </r>
  <r>
    <n v="2025"/>
    <s v="18132342458    "/>
    <n v="-0.89159811928378363"/>
    <n v="0.41"/>
    <n v="17937"/>
    <s v="6"/>
    <s v="RES"/>
    <x v="0"/>
    <s v="11"/>
    <s v="259"/>
    <s v="TU"/>
    <s v="G+"/>
    <s v="VG"/>
    <x v="8"/>
    <n v="89"/>
    <n v="39"/>
    <n v="1935"/>
    <n v="1985"/>
    <n v="2026"/>
    <n v="1499"/>
    <n v="1075"/>
    <n v="0"/>
    <n v="1075"/>
    <m/>
    <n v="4600"/>
    <n v="4500"/>
    <n v="12"/>
    <m/>
    <m/>
    <m/>
    <m/>
    <m/>
    <m/>
    <m/>
    <n v="838169"/>
    <n v="704062"/>
    <n v="52427"/>
    <n v="647900"/>
    <n v="83400"/>
    <n v="564500"/>
    <n v="0"/>
    <n v="0"/>
    <n v="89850.625589999996"/>
    <n v="-28223.195861326454"/>
    <n v="74268.409664999999"/>
    <n v="284810.60806"/>
    <n v="-8698.7784195000004"/>
    <n v="100101.965170802"/>
    <n v="67134.847868639001"/>
    <n v="0"/>
    <n v="31263.037390524998"/>
    <n v="45504.265262400004"/>
    <n v="0"/>
    <n v="52400"/>
    <n v="594400"/>
    <n v="61600"/>
    <n v="708400"/>
    <n v="9.3378607809847206E-2"/>
    <n v="0.99970000000000003"/>
    <n v="0.98380000000000001"/>
    <n v="1.0158"/>
    <n v="1"/>
    <n v="0.98909999999999998"/>
    <n v="0.94971499999999998"/>
    <n v="0.9387469218766602"/>
    <n v="594400"/>
    <n v="49800"/>
    <n v="644200"/>
    <n v="58500"/>
    <n v="702700"/>
    <n v="0.14118689105403012"/>
    <n v="-0.29856115107913667"/>
    <n v="8.4580953850902918E-2"/>
  </r>
  <r>
    <n v="2025"/>
    <s v="18132332432    "/>
    <n v="-2.0402208285265546"/>
    <n v="0.13"/>
    <m/>
    <s v="6"/>
    <s v="RES"/>
    <x v="0"/>
    <s v="11"/>
    <s v="259"/>
    <s v="BG"/>
    <s v="G"/>
    <s v="GD"/>
    <x v="8"/>
    <n v="89"/>
    <n v="53"/>
    <n v="1935"/>
    <n v="1971"/>
    <n v="1230"/>
    <n v="810"/>
    <n v="1230"/>
    <n v="615"/>
    <n v="615"/>
    <m/>
    <n v="2655"/>
    <n v="3000"/>
    <n v="8"/>
    <m/>
    <m/>
    <m/>
    <m/>
    <m/>
    <m/>
    <m/>
    <n v="533428"/>
    <n v="368065"/>
    <n v="7601"/>
    <n v="391500"/>
    <n v="43400"/>
    <n v="348100"/>
    <n v="0"/>
    <n v="0"/>
    <n v="89850.625589999996"/>
    <n v="-64582.406353792743"/>
    <n v="44121.038090000002"/>
    <n v="197752.34721000001"/>
    <n v="-11821.416826500001"/>
    <n v="60772.663948710004"/>
    <n v="36277.002517410001"/>
    <n v="0"/>
    <n v="35770.731153809997"/>
    <n v="30336.176841600001"/>
    <n v="0"/>
    <n v="7600"/>
    <n v="393200"/>
    <n v="25300"/>
    <n v="426100"/>
    <n v="8.8378033205619419E-2"/>
    <n v="0.99970000000000003"/>
    <n v="0.98050000000000004"/>
    <n v="0.99650000000000005"/>
    <n v="0.96179999999999999"/>
    <n v="0.98909999999999998"/>
    <n v="0.94971499999999998"/>
    <n v="0.88276107127906644"/>
    <n v="393200"/>
    <n v="7200"/>
    <n v="400400"/>
    <n v="24000"/>
    <n v="424400"/>
    <n v="0.15024418270611894"/>
    <n v="-0.44700460829493088"/>
    <n v="8.4035759897828868E-2"/>
  </r>
  <r>
    <n v="2025"/>
    <s v="18132334518    "/>
    <n v="-1.8971199848858813"/>
    <n v="0.15"/>
    <m/>
    <s v="6"/>
    <s v="RES"/>
    <x v="0"/>
    <s v="11"/>
    <s v="259"/>
    <s v="TD"/>
    <s v="A"/>
    <s v="GD"/>
    <x v="8"/>
    <n v="89"/>
    <n v="53"/>
    <n v="1935"/>
    <n v="1971"/>
    <n v="910"/>
    <m/>
    <n v="910"/>
    <n v="219"/>
    <n v="691"/>
    <m/>
    <n v="1601"/>
    <n v="2000"/>
    <n v="8"/>
    <n v="144"/>
    <m/>
    <m/>
    <m/>
    <m/>
    <m/>
    <m/>
    <n v="238176"/>
    <n v="164341"/>
    <n v="0"/>
    <n v="311600"/>
    <n v="48400"/>
    <n v="263200"/>
    <n v="0"/>
    <n v="0"/>
    <n v="89850.625589999996"/>
    <n v="-60052.604136134301"/>
    <n v="21557.329055999999"/>
    <n v="197752.34721000001"/>
    <n v="-11821.416826500001"/>
    <n v="44961.88958807"/>
    <n v="0"/>
    <n v="0"/>
    <n v="26464.52467477"/>
    <n v="30336.176841600001"/>
    <n v="0"/>
    <n v="0"/>
    <n v="309300"/>
    <n v="29800"/>
    <n v="339100"/>
    <n v="8.8254172015404364E-2"/>
    <n v="0.99970000000000003"/>
    <n v="1.0067999999999999"/>
    <n v="0.99650000000000005"/>
    <n v="1.0093000000000001"/>
    <n v="0.98909999999999998"/>
    <n v="0.94971499999999998"/>
    <n v="0.95120534593507355"/>
    <n v="309300"/>
    <n v="0"/>
    <n v="309300"/>
    <n v="28300"/>
    <n v="337600"/>
    <n v="0.17515197568389057"/>
    <n v="-0.41528925619834711"/>
    <n v="8.3440308087291401E-2"/>
  </r>
  <r>
    <n v="2025"/>
    <s v="18132241047    "/>
    <n v="-1.3862943611198906"/>
    <n v="0.25"/>
    <m/>
    <s v="6"/>
    <s v="RES"/>
    <x v="0"/>
    <s v="11"/>
    <s v="259"/>
    <s v="CO"/>
    <s v="A+"/>
    <s v="GD"/>
    <x v="8"/>
    <n v="89"/>
    <n v="53"/>
    <n v="1935"/>
    <n v="1971"/>
    <n v="915"/>
    <n v="360"/>
    <n v="915"/>
    <n v="450"/>
    <n v="465"/>
    <m/>
    <n v="1740"/>
    <n v="2000"/>
    <n v="9"/>
    <m/>
    <m/>
    <m/>
    <m/>
    <m/>
    <m/>
    <m/>
    <n v="300239"/>
    <n v="207165"/>
    <n v="10424"/>
    <n v="361300"/>
    <n v="66200"/>
    <n v="295100"/>
    <n v="0"/>
    <n v="0"/>
    <n v="89850.625589999996"/>
    <n v="-43882.615305165229"/>
    <n v="29814.093161000001"/>
    <n v="197752.34721000001"/>
    <n v="-11821.416826500001"/>
    <n v="45208.932937455"/>
    <n v="16123.112229959999"/>
    <n v="0"/>
    <n v="26609.934151005"/>
    <n v="34128.198946800003"/>
    <n v="0"/>
    <n v="10400"/>
    <n v="337800"/>
    <n v="46000"/>
    <n v="394200"/>
    <n v="9.1060060891226133E-2"/>
    <n v="0.99970000000000003"/>
    <n v="1.0088999999999999"/>
    <n v="0.99650000000000005"/>
    <n v="1.0093000000000001"/>
    <n v="0.98909999999999998"/>
    <n v="0.94971499999999998"/>
    <n v="0.95318938569119571"/>
    <n v="337800"/>
    <n v="9900"/>
    <n v="347700"/>
    <n v="43700"/>
    <n v="391400"/>
    <n v="0.17824466282616061"/>
    <n v="-0.33987915407854985"/>
    <n v="8.3310268474951557E-2"/>
  </r>
  <r>
    <n v="2025"/>
    <s v="18132331517    "/>
    <n v="-1.7147984280919266"/>
    <n v="0.18"/>
    <m/>
    <s v="6"/>
    <s v="RES"/>
    <x v="0"/>
    <s v="11"/>
    <s v="259"/>
    <s v="BG"/>
    <s v="A+"/>
    <s v="GD"/>
    <x v="8"/>
    <n v="89"/>
    <n v="53"/>
    <n v="1935"/>
    <n v="1971"/>
    <n v="1163"/>
    <m/>
    <n v="589"/>
    <n v="299"/>
    <n v="290"/>
    <m/>
    <n v="1453"/>
    <n v="1500"/>
    <n v="8"/>
    <m/>
    <m/>
    <m/>
    <m/>
    <m/>
    <m/>
    <m/>
    <n v="294463"/>
    <n v="203179"/>
    <n v="8623"/>
    <n v="334900"/>
    <n v="54700"/>
    <n v="280200"/>
    <n v="0"/>
    <n v="0"/>
    <n v="89850.625589999996"/>
    <n v="-54281.285314520763"/>
    <n v="29814.093161000001"/>
    <n v="197752.34721000001"/>
    <n v="-11821.416826500001"/>
    <n v="57462.283066951"/>
    <n v="0"/>
    <n v="0"/>
    <n v="17129.236300483"/>
    <n v="30336.176841600001"/>
    <n v="0"/>
    <n v="8600"/>
    <n v="320700"/>
    <n v="35600"/>
    <n v="364900"/>
    <n v="8.957897879964169E-2"/>
    <n v="0.99970000000000003"/>
    <n v="1.0088999999999999"/>
    <n v="0.99650000000000005"/>
    <n v="1.0157"/>
    <n v="0.98909999999999998"/>
    <n v="0.94971499999999998"/>
    <n v="0.95923358669032743"/>
    <n v="320700"/>
    <n v="8200"/>
    <n v="328900"/>
    <n v="33800"/>
    <n v="362700"/>
    <n v="0.17380442541042113"/>
    <n v="-0.38208409506398539"/>
    <n v="8.3009853687667959E-2"/>
  </r>
  <r>
    <n v="2025"/>
    <s v="18132323511    "/>
    <n v="-1.4271163556401458"/>
    <n v="0.24"/>
    <m/>
    <s v="6"/>
    <s v="RES"/>
    <x v="0"/>
    <s v="11"/>
    <s v="259"/>
    <s v="FH"/>
    <s v="A"/>
    <s v="GD"/>
    <x v="8"/>
    <n v="89"/>
    <n v="53"/>
    <n v="1935"/>
    <n v="1971"/>
    <n v="956"/>
    <n v="902"/>
    <n v="936"/>
    <n v="468"/>
    <n v="468"/>
    <m/>
    <n v="2326"/>
    <n v="2500"/>
    <n v="10"/>
    <m/>
    <m/>
    <n v="156"/>
    <m/>
    <m/>
    <m/>
    <m/>
    <n v="342893"/>
    <n v="236596"/>
    <n v="0"/>
    <n v="376700"/>
    <n v="64800"/>
    <n v="311900"/>
    <n v="0"/>
    <n v="0"/>
    <n v="89850.625589999996"/>
    <n v="-45174.819855485119"/>
    <n v="21557.329055999999"/>
    <n v="197752.34721000001"/>
    <n v="-11821.416826500001"/>
    <n v="47234.688402412001"/>
    <n v="40397.353420621999"/>
    <n v="0"/>
    <n v="27220.653951191998"/>
    <n v="37920.221052000001"/>
    <n v="5194.1003830560003"/>
    <n v="0"/>
    <n v="365500"/>
    <n v="44700"/>
    <n v="410200"/>
    <n v="8.8930183169631E-2"/>
    <n v="0.99970000000000003"/>
    <n v="1.0067999999999999"/>
    <n v="0.99650000000000005"/>
    <n v="0.98919999999999997"/>
    <n v="0.98909999999999998"/>
    <n v="0.94971499999999998"/>
    <n v="0.9322622889120924"/>
    <n v="365500"/>
    <n v="0"/>
    <n v="365500"/>
    <n v="42400"/>
    <n v="407900"/>
    <n v="0.17184995190766272"/>
    <n v="-0.34567901234567899"/>
    <n v="8.2824528802760825E-2"/>
  </r>
  <r>
    <n v="2025"/>
    <s v="18132332493    "/>
    <n v="-1.5606477482646683"/>
    <n v="0.21"/>
    <n v="9300"/>
    <s v="6"/>
    <s v="RES"/>
    <x v="0"/>
    <s v="11"/>
    <s v="259"/>
    <s v="TD"/>
    <s v="A"/>
    <s v="GD"/>
    <x v="8"/>
    <n v="89"/>
    <n v="53"/>
    <n v="1935"/>
    <n v="1971"/>
    <n v="932"/>
    <m/>
    <n v="920"/>
    <n v="276"/>
    <n v="644"/>
    <m/>
    <n v="1576"/>
    <n v="2000"/>
    <n v="5"/>
    <m/>
    <m/>
    <m/>
    <m/>
    <m/>
    <m/>
    <m/>
    <n v="225669"/>
    <n v="155712"/>
    <n v="11952"/>
    <n v="322500"/>
    <n v="60100"/>
    <n v="262400"/>
    <n v="0"/>
    <n v="0"/>
    <n v="89850.625589999996"/>
    <n v="-49401.70477837498"/>
    <n v="21557.329055999999"/>
    <n v="197752.34721000001"/>
    <n v="-11821.416826500001"/>
    <n v="46048.880325364"/>
    <n v="0"/>
    <n v="0"/>
    <n v="26755.343627239999"/>
    <n v="18960.110526"/>
    <n v="0"/>
    <n v="12000"/>
    <n v="299300"/>
    <n v="40400"/>
    <n v="351700"/>
    <n v="9.0542635658914725E-2"/>
    <n v="0.99970000000000003"/>
    <n v="1.0067999999999999"/>
    <n v="0.99650000000000005"/>
    <n v="1.0093000000000001"/>
    <n v="0.98909999999999998"/>
    <n v="0.94971499999999998"/>
    <n v="0.95120534593507355"/>
    <n v="299300"/>
    <n v="11400"/>
    <n v="310700"/>
    <n v="38400"/>
    <n v="349100"/>
    <n v="0.18407012195121952"/>
    <n v="-0.36106489184692181"/>
    <n v="8.2480620155038764E-2"/>
  </r>
  <r>
    <n v="2025"/>
    <s v="18132331043    "/>
    <n v="-1.5606477482646683"/>
    <n v="0.21"/>
    <m/>
    <s v="6"/>
    <s v="RES"/>
    <x v="0"/>
    <s v="11"/>
    <s v="259"/>
    <s v="CL"/>
    <s v="G"/>
    <s v="GD"/>
    <x v="8"/>
    <n v="89"/>
    <n v="53"/>
    <n v="1935"/>
    <n v="1971"/>
    <n v="1854"/>
    <n v="910"/>
    <n v="1014"/>
    <n v="1014"/>
    <m/>
    <m/>
    <n v="2764"/>
    <n v="3000"/>
    <n v="10"/>
    <m/>
    <m/>
    <m/>
    <m/>
    <m/>
    <m/>
    <m/>
    <n v="538577"/>
    <n v="371618"/>
    <n v="15079"/>
    <n v="446000"/>
    <n v="60100"/>
    <n v="385900"/>
    <n v="0"/>
    <n v="0"/>
    <n v="89850.625589999996"/>
    <n v="-49401.70477837498"/>
    <n v="44121.038090000002"/>
    <n v="197752.34721000001"/>
    <n v="-11821.416826500001"/>
    <n v="91603.673951958001"/>
    <n v="40755.644803509997"/>
    <n v="0"/>
    <n v="29489.041780457999"/>
    <n v="37920.221052000001"/>
    <n v="0"/>
    <n v="15100"/>
    <n v="429800"/>
    <n v="40400"/>
    <n v="485300"/>
    <n v="8.8116591928251123E-2"/>
    <n v="0.99970000000000003"/>
    <n v="0.98050000000000004"/>
    <n v="0.99650000000000005"/>
    <n v="0.96179999999999999"/>
    <n v="0.98909999999999998"/>
    <n v="0.94971499999999998"/>
    <n v="0.88276107127906644"/>
    <n v="429800"/>
    <n v="14300"/>
    <n v="444100"/>
    <n v="38400"/>
    <n v="482500"/>
    <n v="0.15081627364602229"/>
    <n v="-0.36106489184692181"/>
    <n v="8.1838565022421525E-2"/>
  </r>
  <r>
    <n v="2025"/>
    <s v="18132333405    "/>
    <n v="-1.6607312068216509"/>
    <n v="0.19"/>
    <n v="8409"/>
    <s v="6"/>
    <s v="RES"/>
    <x v="0"/>
    <s v="11"/>
    <s v="259"/>
    <s v="BG"/>
    <s v="A"/>
    <s v="AV"/>
    <x v="8"/>
    <n v="89"/>
    <n v="53"/>
    <n v="1935"/>
    <n v="1971"/>
    <n v="884"/>
    <m/>
    <n v="868"/>
    <n v="781"/>
    <n v="87"/>
    <m/>
    <n v="971"/>
    <n v="1000"/>
    <n v="5"/>
    <m/>
    <m/>
    <m/>
    <m/>
    <m/>
    <m/>
    <m/>
    <n v="189692"/>
    <n v="127094"/>
    <n v="5130"/>
    <n v="276000"/>
    <n v="56600"/>
    <n v="219400"/>
    <n v="0"/>
    <n v="0"/>
    <n v="89850.625589999996"/>
    <n v="-52569.808201026557"/>
    <n v="21557.329055999999"/>
    <n v="160472.20319"/>
    <n v="-11821.416826500001"/>
    <n v="43677.264171267998"/>
    <n v="0"/>
    <n v="0"/>
    <n v="25243.085074396"/>
    <n v="18960.110526"/>
    <n v="0"/>
    <n v="5100"/>
    <n v="258100"/>
    <n v="37300"/>
    <n v="300500"/>
    <n v="8.8768115942028991E-2"/>
    <n v="0.99970000000000003"/>
    <n v="1.0067999999999999"/>
    <n v="0.99729999999999996"/>
    <n v="1.0148999999999999"/>
    <n v="0.98909999999999998"/>
    <n v="0.94971499999999998"/>
    <n v="0.95725088753311172"/>
    <n v="258100"/>
    <n v="4900"/>
    <n v="263000"/>
    <n v="35400"/>
    <n v="298400"/>
    <n v="0.19872379216043756"/>
    <n v="-0.37455830388692579"/>
    <n v="8.1159420289855067E-2"/>
  </r>
  <r>
    <n v="2025"/>
    <s v="18132334437    "/>
    <n v="-1.8325814637483102"/>
    <n v="0.16"/>
    <m/>
    <s v="6"/>
    <s v="RES"/>
    <x v="0"/>
    <s v="11"/>
    <s v="259"/>
    <s v="TD"/>
    <s v="A"/>
    <s v="AV"/>
    <x v="8"/>
    <n v="89"/>
    <n v="53"/>
    <n v="1935"/>
    <n v="1971"/>
    <n v="780"/>
    <m/>
    <n v="780"/>
    <n v="390"/>
    <n v="390"/>
    <m/>
    <n v="1170"/>
    <n v="1500"/>
    <n v="5"/>
    <m/>
    <m/>
    <n v="136"/>
    <m/>
    <m/>
    <m/>
    <m/>
    <n v="186370"/>
    <n v="124868"/>
    <n v="7465"/>
    <n v="270400"/>
    <n v="50600"/>
    <n v="219800"/>
    <n v="0"/>
    <n v="0"/>
    <n v="89850.625589999996"/>
    <n v="-58009.662049032086"/>
    <n v="21557.329055999999"/>
    <n v="160472.20319"/>
    <n v="-11821.416826500001"/>
    <n v="38538.762504060003"/>
    <n v="0"/>
    <n v="0"/>
    <n v="22683.87829266"/>
    <n v="18960.110526"/>
    <n v="4528.1900775360009"/>
    <n v="7500"/>
    <n v="254900"/>
    <n v="31800"/>
    <n v="294200"/>
    <n v="8.8017751479289946E-2"/>
    <n v="0.99970000000000003"/>
    <n v="1.0067999999999999"/>
    <n v="0.99729999999999996"/>
    <n v="1.0157"/>
    <n v="0.98909999999999998"/>
    <n v="0.94971499999999998"/>
    <n v="0.95800544533193577"/>
    <n v="254900"/>
    <n v="7100"/>
    <n v="262000"/>
    <n v="30200"/>
    <n v="292200"/>
    <n v="0.19199272065514103"/>
    <n v="-0.40316205533596838"/>
    <n v="8.0621301775147924E-2"/>
  </r>
  <r>
    <n v="2025"/>
    <s v="18132241003    "/>
    <n v="-1.6094379124341003"/>
    <n v="0.2"/>
    <n v="8534"/>
    <s v="6"/>
    <s v="RES"/>
    <x v="0"/>
    <s v="11"/>
    <s v="259"/>
    <s v="CC"/>
    <s v="A"/>
    <s v="GD"/>
    <x v="8"/>
    <n v="89"/>
    <n v="53"/>
    <n v="1935"/>
    <n v="1971"/>
    <n v="975"/>
    <n v="510"/>
    <n v="978"/>
    <n v="489"/>
    <n v="489"/>
    <m/>
    <n v="1974"/>
    <n v="2000"/>
    <n v="8"/>
    <m/>
    <m/>
    <m/>
    <m/>
    <m/>
    <m/>
    <m/>
    <n v="284728"/>
    <n v="196462"/>
    <n v="9040"/>
    <n v="354400"/>
    <n v="58400"/>
    <n v="296000"/>
    <n v="0"/>
    <n v="0"/>
    <n v="89850.625589999996"/>
    <n v="-50946.13867709865"/>
    <n v="21557.329055999999"/>
    <n v="197752.34721000001"/>
    <n v="-11821.416826500001"/>
    <n v="48173.453130075002"/>
    <n v="22841.07565911"/>
    <n v="0"/>
    <n v="28442.093551565998"/>
    <n v="30336.176841600001"/>
    <n v="0"/>
    <n v="9000"/>
    <n v="337300"/>
    <n v="38900"/>
    <n v="385200"/>
    <n v="8.6907449209932278E-2"/>
    <n v="0.99970000000000003"/>
    <n v="1.0067999999999999"/>
    <n v="0.99650000000000005"/>
    <n v="1.0093000000000001"/>
    <n v="0.98909999999999998"/>
    <n v="0.94971499999999998"/>
    <n v="0.95120534593507355"/>
    <n v="337300"/>
    <n v="8600"/>
    <n v="345900"/>
    <n v="36900"/>
    <n v="382800"/>
    <n v="0.16858108108108108"/>
    <n v="-0.36815068493150682"/>
    <n v="8.0135440180586909E-2"/>
  </r>
  <r>
    <n v="2025"/>
    <s v="18132334455    "/>
    <n v="-1.7719568419318752"/>
    <n v="0.17"/>
    <m/>
    <s v="6"/>
    <s v="RES"/>
    <x v="0"/>
    <s v="11"/>
    <s v="259"/>
    <s v="TD"/>
    <s v="A"/>
    <s v="AV"/>
    <x v="8"/>
    <n v="89"/>
    <n v="53"/>
    <n v="1935"/>
    <n v="1971"/>
    <n v="760"/>
    <m/>
    <n v="200"/>
    <n v="200"/>
    <n v="0"/>
    <m/>
    <n v="760"/>
    <n v="1000"/>
    <n v="5"/>
    <n v="420"/>
    <m/>
    <m/>
    <m/>
    <m/>
    <m/>
    <m/>
    <n v="161177"/>
    <n v="107989"/>
    <n v="33755"/>
    <n v="275200"/>
    <n v="52700"/>
    <n v="222500"/>
    <n v="0"/>
    <n v="0"/>
    <n v="89850.625589999996"/>
    <n v="-56090.612940989391"/>
    <n v="21557.329055999999"/>
    <n v="160472.20319"/>
    <n v="-11821.416826500001"/>
    <n v="37550.589106519998"/>
    <n v="0"/>
    <n v="0"/>
    <n v="5816.3790493999995"/>
    <n v="18960.110526"/>
    <n v="0"/>
    <n v="33800"/>
    <n v="232500"/>
    <n v="33800"/>
    <n v="300100"/>
    <n v="9.0479651162790692E-2"/>
    <n v="0.99970000000000003"/>
    <n v="1.0067999999999999"/>
    <n v="0.99729999999999996"/>
    <n v="1.0148999999999999"/>
    <n v="0.98909999999999998"/>
    <n v="0.94971499999999998"/>
    <n v="0.95725088753311172"/>
    <n v="232500"/>
    <n v="32100"/>
    <n v="264600"/>
    <n v="32100"/>
    <n v="296700"/>
    <n v="0.18921348314606742"/>
    <n v="-0.39089184060721061"/>
    <n v="7.8125E-2"/>
  </r>
  <r>
    <n v="2025"/>
    <s v="18132334412    "/>
    <n v="-1.8971199848858813"/>
    <n v="0.15"/>
    <m/>
    <s v="6"/>
    <s v="RES"/>
    <x v="0"/>
    <s v="11"/>
    <s v="259"/>
    <s v="TD"/>
    <s v="A"/>
    <s v="GD"/>
    <x v="8"/>
    <n v="89"/>
    <n v="53"/>
    <n v="1935"/>
    <n v="1971"/>
    <n v="996"/>
    <m/>
    <n v="528"/>
    <n v="0"/>
    <n v="528"/>
    <m/>
    <n v="1524"/>
    <n v="2000"/>
    <n v="7"/>
    <n v="252"/>
    <m/>
    <m/>
    <m/>
    <m/>
    <m/>
    <m/>
    <n v="238909"/>
    <n v="164847"/>
    <n v="0"/>
    <n v="303500"/>
    <n v="48400"/>
    <n v="255100"/>
    <n v="0"/>
    <n v="0"/>
    <n v="89850.625589999996"/>
    <n v="-60052.604136134301"/>
    <n v="21557.329055999999"/>
    <n v="197752.34721000001"/>
    <n v="-11821.416826500001"/>
    <n v="49211.035197491998"/>
    <n v="0"/>
    <n v="0"/>
    <n v="15355.240690416"/>
    <n v="26544.1547364"/>
    <n v="0"/>
    <n v="0"/>
    <n v="298600"/>
    <n v="29800"/>
    <n v="328400"/>
    <n v="8.2042833607907747E-2"/>
    <n v="0.99970000000000003"/>
    <n v="1.0067999999999999"/>
    <n v="0.99650000000000005"/>
    <n v="1.0093000000000001"/>
    <n v="0.98909999999999998"/>
    <n v="0.94971499999999998"/>
    <n v="0.95120534593507355"/>
    <n v="298600"/>
    <n v="0"/>
    <n v="298600"/>
    <n v="28300"/>
    <n v="326900"/>
    <n v="0.17052136417091338"/>
    <n v="-0.41528925619834711"/>
    <n v="7.7100494233937403E-2"/>
  </r>
  <r>
    <n v="2025"/>
    <s v="18132313493    "/>
    <n v="-1.6094379124341003"/>
    <n v="0.2"/>
    <n v="8651"/>
    <s v="6"/>
    <s v="RES"/>
    <x v="0"/>
    <s v="11"/>
    <s v="259"/>
    <s v="BG"/>
    <s v="A"/>
    <s v="GD"/>
    <x v="8"/>
    <n v="89"/>
    <n v="53"/>
    <n v="1935"/>
    <n v="1971"/>
    <n v="1152"/>
    <m/>
    <n v="456"/>
    <n v="0"/>
    <n v="456"/>
    <m/>
    <n v="1608"/>
    <n v="2000"/>
    <n v="5"/>
    <m/>
    <m/>
    <m/>
    <m/>
    <m/>
    <m/>
    <m/>
    <n v="234114"/>
    <n v="161539"/>
    <n v="5261"/>
    <n v="314700"/>
    <n v="58400"/>
    <n v="256300"/>
    <n v="0"/>
    <n v="0"/>
    <n v="89850.625589999996"/>
    <n v="-50946.13867709865"/>
    <n v="21557.329055999999"/>
    <n v="197752.34721000001"/>
    <n v="-11821.416826500001"/>
    <n v="56918.787698304004"/>
    <n v="0"/>
    <n v="0"/>
    <n v="13261.344232632"/>
    <n v="18960.110526"/>
    <n v="0"/>
    <n v="5300"/>
    <n v="296600"/>
    <n v="38900"/>
    <n v="340800"/>
    <n v="8.2936129647283127E-2"/>
    <n v="0.99970000000000003"/>
    <n v="1.0067999999999999"/>
    <n v="0.99650000000000005"/>
    <n v="1.0093000000000001"/>
    <n v="0.98909999999999998"/>
    <n v="0.94971499999999998"/>
    <n v="0.95120534593507355"/>
    <n v="296600"/>
    <n v="5000"/>
    <n v="301600"/>
    <n v="36900"/>
    <n v="338500"/>
    <n v="0.17674600078033553"/>
    <n v="-0.36815068493150682"/>
    <n v="7.5627581823959331E-2"/>
  </r>
  <r>
    <n v="2025"/>
    <s v="18132334487    "/>
    <n v="-1.6607312068216509"/>
    <n v="0.19"/>
    <m/>
    <s v="6"/>
    <s v="RES"/>
    <x v="0"/>
    <s v="11"/>
    <s v="400"/>
    <s v="TD"/>
    <s v="A"/>
    <s v="AV"/>
    <x v="8"/>
    <n v="89"/>
    <n v="53"/>
    <n v="1935"/>
    <n v="1971"/>
    <n v="840"/>
    <m/>
    <n v="840"/>
    <n v="0"/>
    <n v="840"/>
    <m/>
    <n v="1680"/>
    <n v="2000"/>
    <n v="7"/>
    <m/>
    <m/>
    <n v="416"/>
    <m/>
    <m/>
    <m/>
    <m/>
    <n v="226517"/>
    <n v="151766"/>
    <n v="10334"/>
    <n v="299100"/>
    <n v="56600"/>
    <n v="242500"/>
    <n v="0"/>
    <n v="0"/>
    <n v="89850.625589999996"/>
    <n v="-52569.808201026557"/>
    <n v="21557.329055999999"/>
    <n v="160472.20319"/>
    <n v="-11821.416826500001"/>
    <n v="41503.282696679998"/>
    <n v="0"/>
    <n v="0"/>
    <n v="24428.792007479999"/>
    <n v="26544.1547364"/>
    <n v="13850.934354816001"/>
    <n v="10300"/>
    <n v="276500"/>
    <n v="37300"/>
    <n v="324100"/>
    <n v="8.3584085590103649E-2"/>
    <n v="0.99970000000000003"/>
    <n v="1.0067999999999999"/>
    <n v="0.99729999999999996"/>
    <n v="1.0093000000000001"/>
    <n v="0.98909999999999998"/>
    <n v="0.94971499999999998"/>
    <n v="0.95196898294134369"/>
    <n v="276500"/>
    <n v="9800"/>
    <n v="286300"/>
    <n v="35400"/>
    <n v="321700"/>
    <n v="0.18061855670103094"/>
    <n v="-0.37455830388692579"/>
    <n v="7.5560013373453694E-2"/>
  </r>
  <r>
    <n v="2025"/>
    <s v="18132344479    "/>
    <n v="-1.8971199848858813"/>
    <n v="0.15"/>
    <m/>
    <s v="6"/>
    <s v="RES"/>
    <x v="0"/>
    <s v="11"/>
    <s v="259"/>
    <s v="CL"/>
    <s v="A+"/>
    <s v="GD"/>
    <x v="8"/>
    <n v="89"/>
    <n v="56"/>
    <n v="1935"/>
    <n v="1968"/>
    <n v="907"/>
    <n v="790"/>
    <n v="480"/>
    <n v="30"/>
    <n v="450"/>
    <m/>
    <n v="2147"/>
    <n v="2500"/>
    <n v="8"/>
    <m/>
    <m/>
    <m/>
    <m/>
    <m/>
    <m/>
    <m/>
    <n v="337303"/>
    <n v="222620"/>
    <n v="10811"/>
    <n v="351700"/>
    <n v="48400"/>
    <n v="303300"/>
    <n v="0"/>
    <n v="0"/>
    <n v="89850.625589999996"/>
    <n v="-60052.604136134301"/>
    <n v="29814.093161000001"/>
    <n v="197752.34721000001"/>
    <n v="-12490.553628"/>
    <n v="44813.663578439002"/>
    <n v="35381.27406019"/>
    <n v="0"/>
    <n v="13959.30971856"/>
    <n v="30336.176841600001"/>
    <n v="0"/>
    <n v="10800"/>
    <n v="339600"/>
    <n v="29800"/>
    <n v="380200"/>
    <n v="8.1034972988342335E-2"/>
    <n v="0.99970000000000003"/>
    <n v="1.0088999999999999"/>
    <n v="0.99650000000000005"/>
    <n v="0.98919999999999997"/>
    <n v="0.98909999999999998"/>
    <n v="0.94971499999999998"/>
    <n v="0.93420681692829766"/>
    <n v="339600"/>
    <n v="10300"/>
    <n v="349900"/>
    <n v="28300"/>
    <n v="378200"/>
    <n v="0.15364325750082428"/>
    <n v="-0.41528925619834711"/>
    <n v="7.5348308217230597E-2"/>
  </r>
  <r>
    <n v="2025"/>
    <s v="18132244034    "/>
    <n v="-1.3093333199837622"/>
    <n v="0.27"/>
    <n v="11819"/>
    <s v="6"/>
    <s v="RES"/>
    <x v="0"/>
    <s v="11"/>
    <s v="259"/>
    <s v="CO"/>
    <s v="A+"/>
    <s v="GD"/>
    <x v="8"/>
    <n v="89"/>
    <n v="53"/>
    <n v="1935"/>
    <n v="1971"/>
    <n v="780"/>
    <n v="595"/>
    <n v="780"/>
    <n v="252"/>
    <n v="528"/>
    <m/>
    <n v="1903"/>
    <n v="2000"/>
    <n v="9"/>
    <m/>
    <m/>
    <m/>
    <m/>
    <m/>
    <m/>
    <m/>
    <n v="339430"/>
    <n v="234207"/>
    <n v="10683"/>
    <n v="366300"/>
    <n v="68900"/>
    <n v="297400"/>
    <n v="0"/>
    <n v="0"/>
    <n v="89850.625589999996"/>
    <n v="-41446.443120973789"/>
    <n v="29814.093161000001"/>
    <n v="197752.34721000001"/>
    <n v="-11821.416826500001"/>
    <n v="38538.762504060003"/>
    <n v="26647.921602294999"/>
    <n v="0"/>
    <n v="22683.87829266"/>
    <n v="34128.198946800003"/>
    <n v="0"/>
    <n v="10700"/>
    <n v="337700"/>
    <n v="48400"/>
    <n v="396800"/>
    <n v="8.3265083265083265E-2"/>
    <n v="0.99970000000000003"/>
    <n v="1.0088999999999999"/>
    <n v="0.99650000000000005"/>
    <n v="1.0093000000000001"/>
    <n v="0.98909999999999998"/>
    <n v="0.94971499999999998"/>
    <n v="0.95318938569119571"/>
    <n v="337700"/>
    <n v="10100"/>
    <n v="347800"/>
    <n v="46000"/>
    <n v="393800"/>
    <n v="0.16946872898453261"/>
    <n v="-0.33236574746008707"/>
    <n v="7.5075075075075076E-2"/>
  </r>
  <r>
    <n v="2025"/>
    <s v="18132324019    "/>
    <n v="-1.4696759700589417"/>
    <n v="0.23"/>
    <n v="10163"/>
    <s v="6"/>
    <s v="RES"/>
    <x v="0"/>
    <s v="11"/>
    <s v="400"/>
    <s v="CO"/>
    <s v="G"/>
    <s v="GD"/>
    <x v="8"/>
    <n v="89"/>
    <n v="53"/>
    <n v="1935"/>
    <n v="1971"/>
    <n v="1382"/>
    <n v="500"/>
    <n v="728"/>
    <n v="0"/>
    <n v="728"/>
    <m/>
    <n v="2610"/>
    <n v="3000"/>
    <n v="10"/>
    <m/>
    <n v="396"/>
    <n v="180"/>
    <m/>
    <m/>
    <m/>
    <m/>
    <n v="463929"/>
    <n v="320111"/>
    <n v="0"/>
    <n v="397400"/>
    <n v="63300"/>
    <n v="334100"/>
    <n v="0"/>
    <n v="0"/>
    <n v="89850.625589999996"/>
    <n v="-46522.028095997222"/>
    <n v="44121.038090000002"/>
    <n v="197752.34721000001"/>
    <n v="-11821.416826500001"/>
    <n v="68282.781770014"/>
    <n v="22393.2114305"/>
    <n v="0"/>
    <n v="21171.619739816"/>
    <n v="37920.221052000001"/>
    <n v="5993.1927496800008"/>
    <n v="0"/>
    <n v="385800"/>
    <n v="43300"/>
    <n v="429100"/>
    <n v="7.9768495218923E-2"/>
    <n v="0.99970000000000003"/>
    <n v="0.98050000000000004"/>
    <n v="0.99650000000000005"/>
    <n v="0.96179999999999999"/>
    <n v="0.98909999999999998"/>
    <n v="0.94971499999999998"/>
    <n v="0.88276107127906644"/>
    <n v="385800"/>
    <n v="0"/>
    <n v="385800"/>
    <n v="41100"/>
    <n v="426900"/>
    <n v="0.15474408859622868"/>
    <n v="-0.35071090047393366"/>
    <n v="7.4232511323603423E-2"/>
  </r>
  <r>
    <n v="2025"/>
    <s v="18132313489    "/>
    <n v="-1.8971199848858813"/>
    <n v="0.15"/>
    <n v="3342"/>
    <s v="6"/>
    <s v="RES"/>
    <x v="0"/>
    <s v="11"/>
    <s v="259"/>
    <s v="TD"/>
    <s v="A"/>
    <s v="GD"/>
    <x v="8"/>
    <n v="89"/>
    <n v="53"/>
    <n v="1935"/>
    <n v="1971"/>
    <n v="1064"/>
    <m/>
    <n v="1064"/>
    <n v="266"/>
    <n v="798"/>
    <m/>
    <n v="1862"/>
    <n v="2000"/>
    <n v="8"/>
    <m/>
    <m/>
    <m/>
    <m/>
    <m/>
    <m/>
    <m/>
    <n v="258355"/>
    <n v="178265"/>
    <n v="5915"/>
    <n v="330700"/>
    <n v="48400"/>
    <n v="282300"/>
    <n v="0"/>
    <n v="0"/>
    <n v="89850.625589999996"/>
    <n v="-60052.604136134301"/>
    <n v="21557.329055999999"/>
    <n v="197752.34721000001"/>
    <n v="-11821.416826500001"/>
    <n v="52570.824749127998"/>
    <n v="0"/>
    <n v="0"/>
    <n v="30943.136542807999"/>
    <n v="30336.176841600001"/>
    <n v="0"/>
    <n v="5900"/>
    <n v="321300"/>
    <n v="29800"/>
    <n v="357000"/>
    <n v="7.9528273359540366E-2"/>
    <n v="0.99970000000000003"/>
    <n v="1.0067999999999999"/>
    <n v="0.99650000000000005"/>
    <n v="1.0093000000000001"/>
    <n v="0.98909999999999998"/>
    <n v="0.94971499999999998"/>
    <n v="0.95120534593507355"/>
    <n v="321300"/>
    <n v="5600"/>
    <n v="326900"/>
    <n v="28300"/>
    <n v="355200"/>
    <n v="0.15798795607509741"/>
    <n v="-0.41528925619834711"/>
    <n v="7.4085273661929241E-2"/>
  </r>
  <r>
    <n v="2025"/>
    <s v="18132334434    "/>
    <n v="-1.8325814637483102"/>
    <n v="0.16"/>
    <m/>
    <s v="6"/>
    <s v="RES"/>
    <x v="0"/>
    <s v="11"/>
    <s v="259"/>
    <s v="CO"/>
    <s v="A"/>
    <s v="AV"/>
    <x v="8"/>
    <n v="89"/>
    <n v="53"/>
    <n v="1935"/>
    <n v="1971"/>
    <n v="1086"/>
    <n v="396"/>
    <n v="736"/>
    <n v="736"/>
    <m/>
    <m/>
    <n v="1482"/>
    <n v="1500"/>
    <n v="7"/>
    <m/>
    <n v="190"/>
    <m/>
    <m/>
    <m/>
    <m/>
    <m/>
    <n v="262753"/>
    <n v="176045"/>
    <n v="0"/>
    <n v="297900"/>
    <n v="50600"/>
    <n v="247300"/>
    <n v="0"/>
    <n v="0"/>
    <n v="89850.625589999996"/>
    <n v="-58009.662049032086"/>
    <n v="21557.329055999999"/>
    <n v="160472.20319"/>
    <n v="-11821.416826500001"/>
    <n v="53657.815486421998"/>
    <n v="17735.423452955998"/>
    <n v="0"/>
    <n v="21404.274901792"/>
    <n v="26544.1547364"/>
    <n v="0"/>
    <n v="0"/>
    <n v="289500"/>
    <n v="31800"/>
    <n v="321300"/>
    <n v="7.8549848942598186E-2"/>
    <n v="0.99970000000000003"/>
    <n v="1.0067999999999999"/>
    <n v="0.99729999999999996"/>
    <n v="1.0157"/>
    <n v="0.98909999999999998"/>
    <n v="0.94971499999999998"/>
    <n v="0.95800544533193577"/>
    <n v="289500"/>
    <n v="0"/>
    <n v="289500"/>
    <n v="30200"/>
    <n v="319700"/>
    <n v="0.17064294379296402"/>
    <n v="-0.40316205533596838"/>
    <n v="7.317891910036925E-2"/>
  </r>
  <r>
    <n v="2025"/>
    <s v="18132343430    "/>
    <n v="-1.0498221244986778"/>
    <n v="0.35"/>
    <n v="15197"/>
    <s v="6"/>
    <s v="RES"/>
    <x v="0"/>
    <s v="11"/>
    <s v="259"/>
    <s v="CC"/>
    <s v="G"/>
    <s v="GD"/>
    <x v="8"/>
    <n v="89"/>
    <n v="53"/>
    <n v="1935"/>
    <n v="1971"/>
    <n v="1756"/>
    <n v="1024"/>
    <n v="935"/>
    <n v="657"/>
    <n v="278"/>
    <m/>
    <n v="3058"/>
    <n v="3500"/>
    <n v="14"/>
    <n v="483"/>
    <m/>
    <n v="177"/>
    <m/>
    <m/>
    <m/>
    <m/>
    <n v="638533"/>
    <n v="440588"/>
    <n v="0"/>
    <n v="469100"/>
    <n v="77900"/>
    <n v="391200"/>
    <n v="0"/>
    <n v="0"/>
    <n v="89850.625589999996"/>
    <n v="-33231.715947405908"/>
    <n v="44121.038090000002"/>
    <n v="197752.34721000001"/>
    <n v="-11821.416826500001"/>
    <n v="86761.624304012003"/>
    <n v="45861.297009663998"/>
    <n v="0"/>
    <n v="27191.572055944998"/>
    <n v="53088.3094728"/>
    <n v="5893.3062038520002"/>
    <n v="0"/>
    <n v="448800"/>
    <n v="56600"/>
    <n v="505400"/>
    <n v="7.738222127478149E-2"/>
    <n v="0.99970000000000003"/>
    <n v="0.98050000000000004"/>
    <n v="0.99650000000000005"/>
    <n v="1.0126999999999999"/>
    <n v="0.98909999999999998"/>
    <n v="0.94971499999999998"/>
    <n v="0.92947820428811667"/>
    <n v="448800"/>
    <n v="0"/>
    <n v="448800"/>
    <n v="53800"/>
    <n v="502600"/>
    <n v="0.14723926380368099"/>
    <n v="-0.30937098844672656"/>
    <n v="7.1413344702622047E-2"/>
  </r>
  <r>
    <n v="2025"/>
    <s v="18132214014    "/>
    <n v="-1.8325814637483102"/>
    <n v="0.16"/>
    <n v="7166"/>
    <s v="6"/>
    <s v="RES"/>
    <x v="0"/>
    <s v="11"/>
    <s v="259"/>
    <s v="TD"/>
    <s v="A"/>
    <s v="AV"/>
    <x v="8"/>
    <n v="89"/>
    <n v="53"/>
    <n v="1935"/>
    <n v="1971"/>
    <n v="1046"/>
    <m/>
    <n v="1046"/>
    <n v="902"/>
    <n v="144"/>
    <m/>
    <n v="1190"/>
    <n v="1500"/>
    <n v="5"/>
    <m/>
    <m/>
    <m/>
    <m/>
    <m/>
    <m/>
    <m/>
    <n v="243324"/>
    <n v="163027"/>
    <n v="8537"/>
    <n v="289000"/>
    <n v="50600"/>
    <n v="238400"/>
    <n v="0"/>
    <n v="0"/>
    <n v="89850.625589999996"/>
    <n v="-58009.662049032086"/>
    <n v="21557.329055999999"/>
    <n v="160472.20319"/>
    <n v="-11821.416826500001"/>
    <n v="51681.468691342001"/>
    <n v="0"/>
    <n v="0"/>
    <n v="30419.662428361997"/>
    <n v="18960.110526"/>
    <n v="0"/>
    <n v="8500"/>
    <n v="271300"/>
    <n v="31800"/>
    <n v="311600"/>
    <n v="7.8200692041522496E-2"/>
    <n v="0.99970000000000003"/>
    <n v="1.0067999999999999"/>
    <n v="0.99729999999999996"/>
    <n v="1.0157"/>
    <n v="0.98909999999999998"/>
    <n v="0.94971499999999998"/>
    <n v="0.95800544533193577"/>
    <n v="271300"/>
    <n v="8100"/>
    <n v="279400"/>
    <n v="30200"/>
    <n v="309600"/>
    <n v="0.17197986577181207"/>
    <n v="-0.40316205533596838"/>
    <n v="7.1280276816608992E-2"/>
  </r>
  <r>
    <n v="2025"/>
    <s v="18132241063    "/>
    <n v="-1.6094379124341003"/>
    <n v="0.2"/>
    <n v="8618"/>
    <s v="6"/>
    <s v="RES"/>
    <x v="0"/>
    <s v="11"/>
    <s v="259"/>
    <s v="TD"/>
    <s v="A"/>
    <s v="AV"/>
    <x v="8"/>
    <n v="89"/>
    <n v="53"/>
    <n v="1935"/>
    <n v="1971"/>
    <n v="1297"/>
    <m/>
    <n v="815"/>
    <n v="815"/>
    <m/>
    <m/>
    <n v="1297"/>
    <n v="1500"/>
    <n v="8"/>
    <m/>
    <m/>
    <m/>
    <m/>
    <m/>
    <m/>
    <m/>
    <n v="248912"/>
    <n v="166771"/>
    <n v="10697"/>
    <n v="313100"/>
    <n v="58400"/>
    <n v="254700"/>
    <n v="0"/>
    <n v="0"/>
    <n v="89850.625589999996"/>
    <n v="-50946.13867709865"/>
    <n v="21557.329055999999"/>
    <n v="160472.20319"/>
    <n v="-11821.416826500001"/>
    <n v="64083.044830469"/>
    <n v="0"/>
    <n v="0"/>
    <n v="23701.744626305001"/>
    <n v="30336.176841600001"/>
    <n v="0"/>
    <n v="10700"/>
    <n v="288300"/>
    <n v="38900"/>
    <n v="337900"/>
    <n v="7.9207920792079209E-2"/>
    <n v="0.99970000000000003"/>
    <n v="1.0067999999999999"/>
    <n v="0.99729999999999996"/>
    <n v="1.0157"/>
    <n v="0.98909999999999998"/>
    <n v="0.94971499999999998"/>
    <n v="0.95800544533193577"/>
    <n v="288300"/>
    <n v="10200"/>
    <n v="298500"/>
    <n v="36900"/>
    <n v="335400"/>
    <n v="0.17196702002355713"/>
    <n v="-0.36815068493150682"/>
    <n v="7.122325135739381E-2"/>
  </r>
  <r>
    <n v="2025"/>
    <s v="18132212021    "/>
    <n v="-2.0402208285265546"/>
    <n v="0.13"/>
    <n v="5603"/>
    <s v="6"/>
    <s v="RES"/>
    <x v="0"/>
    <s v="11"/>
    <s v="400"/>
    <s v="CO"/>
    <s v="F+"/>
    <s v="AV"/>
    <x v="8"/>
    <n v="89"/>
    <n v="53"/>
    <n v="1935"/>
    <n v="1971"/>
    <n v="1030"/>
    <n v="810"/>
    <n v="1080"/>
    <n v="1080"/>
    <m/>
    <m/>
    <n v="1840"/>
    <n v="2000"/>
    <n v="5"/>
    <m/>
    <m/>
    <m/>
    <m/>
    <m/>
    <m/>
    <m/>
    <n v="267411"/>
    <n v="179165"/>
    <n v="5591"/>
    <n v="294600"/>
    <n v="43400"/>
    <n v="251200"/>
    <n v="0"/>
    <n v="0"/>
    <n v="89850.625589999996"/>
    <n v="-64582.406353792743"/>
    <n v="0"/>
    <n v="160472.20319"/>
    <n v="-11821.416826500001"/>
    <n v="50890.929973309998"/>
    <n v="36277.002517410001"/>
    <n v="0"/>
    <n v="31408.446866759998"/>
    <n v="18960.110526"/>
    <n v="0"/>
    <n v="5600"/>
    <n v="286200"/>
    <n v="25300"/>
    <n v="317100"/>
    <n v="7.637474541751528E-2"/>
    <n v="0.99970000000000003"/>
    <n v="0.99180000000000001"/>
    <n v="0.99729999999999996"/>
    <n v="1.0093000000000001"/>
    <n v="0.98909999999999998"/>
    <n v="0.94971499999999998"/>
    <n v="0.93778589320741457"/>
    <n v="286200"/>
    <n v="5300"/>
    <n v="291500"/>
    <n v="24000"/>
    <n v="315500"/>
    <n v="0.16042993630573249"/>
    <n v="-0.44700460829493088"/>
    <n v="7.094365241004752E-2"/>
  </r>
  <r>
    <n v="2025"/>
    <s v="18132342437    "/>
    <n v="-1.9661128563728327"/>
    <n v="0.14000000000000001"/>
    <n v="6030"/>
    <s v="6"/>
    <s v="RES"/>
    <x v="0"/>
    <s v="11"/>
    <s v="259"/>
    <s v="CC"/>
    <s v="A"/>
    <s v="AV"/>
    <x v="8"/>
    <n v="89"/>
    <n v="53"/>
    <n v="1935"/>
    <n v="1971"/>
    <n v="1554"/>
    <m/>
    <n v="1184"/>
    <n v="0"/>
    <n v="1184"/>
    <m/>
    <n v="2738"/>
    <n v="3000"/>
    <n v="11"/>
    <m/>
    <m/>
    <m/>
    <m/>
    <m/>
    <m/>
    <m/>
    <n v="358887"/>
    <n v="240454"/>
    <n v="0"/>
    <n v="326300"/>
    <n v="46000"/>
    <n v="280300"/>
    <n v="0"/>
    <n v="0"/>
    <n v="89850.625589999996"/>
    <n v="-62236.546971921947"/>
    <n v="21557.329055999999"/>
    <n v="160472.20319"/>
    <n v="-11821.416826500001"/>
    <n v="76781.072988857995"/>
    <n v="0"/>
    <n v="0"/>
    <n v="34432.963972448"/>
    <n v="41712.243157199999"/>
    <n v="0"/>
    <n v="0"/>
    <n v="323100"/>
    <n v="27600"/>
    <n v="350700"/>
    <n v="7.4777811829604662E-2"/>
    <n v="0.99970000000000003"/>
    <n v="1.0067999999999999"/>
    <n v="0.99729999999999996"/>
    <n v="0.96179999999999999"/>
    <n v="0.98909999999999998"/>
    <n v="0.94971499999999998"/>
    <n v="0.90716711363616798"/>
    <n v="323100"/>
    <n v="0"/>
    <n v="323100"/>
    <n v="26200"/>
    <n v="349300"/>
    <n v="0.15269354263289334"/>
    <n v="-0.43043478260869567"/>
    <n v="7.0487281642660132E-2"/>
  </r>
  <r>
    <n v="2025"/>
    <s v="18132344055    "/>
    <n v="-0.9942522733438669"/>
    <n v="0.37"/>
    <n v="16317"/>
    <s v="6"/>
    <s v="RES"/>
    <x v="0"/>
    <s v="11"/>
    <s v="259"/>
    <s v="CO"/>
    <s v="G"/>
    <s v="GD"/>
    <x v="8"/>
    <n v="89"/>
    <n v="53"/>
    <n v="1935"/>
    <n v="1971"/>
    <n v="1266"/>
    <n v="575"/>
    <n v="921"/>
    <n v="161"/>
    <n v="760"/>
    <m/>
    <n v="2601"/>
    <n v="3000"/>
    <n v="8"/>
    <m/>
    <n v="506"/>
    <n v="161"/>
    <m/>
    <m/>
    <m/>
    <m/>
    <n v="473382"/>
    <n v="326634"/>
    <n v="0"/>
    <n v="407600"/>
    <n v="79900"/>
    <n v="327700"/>
    <n v="0"/>
    <n v="0"/>
    <n v="89850.625589999996"/>
    <n v="-31472.673662315807"/>
    <n v="44121.038090000002"/>
    <n v="197752.34721000001"/>
    <n v="-11821.416826500001"/>
    <n v="62551.376064281998"/>
    <n v="25752.193145074998"/>
    <n v="0"/>
    <n v="26784.425522486999"/>
    <n v="30336.176841600001"/>
    <n v="5360.5779594360001"/>
    <n v="0"/>
    <n v="380800"/>
    <n v="58400"/>
    <n v="439200"/>
    <n v="7.7526987242394499E-2"/>
    <n v="0.99970000000000003"/>
    <n v="0.98050000000000004"/>
    <n v="0.99650000000000005"/>
    <n v="0.96179999999999999"/>
    <n v="0.98909999999999998"/>
    <n v="0.94971499999999998"/>
    <n v="0.88276107127906644"/>
    <n v="380800"/>
    <n v="0"/>
    <n v="380800"/>
    <n v="55400"/>
    <n v="436200"/>
    <n v="0.16203844980164786"/>
    <n v="-0.30663329161451813"/>
    <n v="7.0166830225711477E-2"/>
  </r>
  <r>
    <n v="2025"/>
    <s v="18132313543    "/>
    <n v="-1.4696759700589417"/>
    <n v="0.23"/>
    <n v="10140"/>
    <s v="6"/>
    <s v="RES"/>
    <x v="0"/>
    <s v="11"/>
    <s v="259"/>
    <s v="BG"/>
    <s v="G"/>
    <s v="GD"/>
    <x v="8"/>
    <n v="89"/>
    <n v="53"/>
    <n v="1935"/>
    <n v="1971"/>
    <n v="1597"/>
    <m/>
    <n v="1380"/>
    <n v="690"/>
    <n v="690"/>
    <m/>
    <n v="2287"/>
    <n v="2500"/>
    <n v="8"/>
    <m/>
    <m/>
    <m/>
    <m/>
    <m/>
    <m/>
    <m/>
    <n v="449756"/>
    <n v="310332"/>
    <n v="7601"/>
    <n v="399800"/>
    <n v="63300"/>
    <n v="336500"/>
    <n v="0"/>
    <n v="0"/>
    <n v="89850.625589999996"/>
    <n v="-46522.028095997222"/>
    <n v="44121.038090000002"/>
    <n v="197752.34721000001"/>
    <n v="-11821.416826500001"/>
    <n v="78905.645793568998"/>
    <n v="0"/>
    <n v="0"/>
    <n v="40133.015440859999"/>
    <n v="30336.176841600001"/>
    <n v="0"/>
    <n v="7600"/>
    <n v="379400"/>
    <n v="43300"/>
    <n v="430300"/>
    <n v="7.6288144072036018E-2"/>
    <n v="0.99970000000000003"/>
    <n v="0.98050000000000004"/>
    <n v="0.99650000000000005"/>
    <n v="0.98919999999999997"/>
    <n v="0.98909999999999998"/>
    <n v="0.94971499999999998"/>
    <n v="0.90790939042342744"/>
    <n v="379400"/>
    <n v="7200"/>
    <n v="386600"/>
    <n v="41100"/>
    <n v="427700"/>
    <n v="0.14888558692421991"/>
    <n v="-0.35071090047393366"/>
    <n v="6.9784892446223115E-2"/>
  </r>
  <r>
    <n v="2025"/>
    <s v="18132213004    "/>
    <n v="-1.6094379124341003"/>
    <n v="0.2"/>
    <n v="8533"/>
    <s v="6"/>
    <s v="RES"/>
    <x v="0"/>
    <s v="11"/>
    <s v="259"/>
    <s v="TD"/>
    <s v="A"/>
    <s v="GD"/>
    <x v="8"/>
    <n v="89"/>
    <n v="53"/>
    <n v="1935"/>
    <n v="1971"/>
    <n v="920"/>
    <m/>
    <n v="920"/>
    <n v="48"/>
    <n v="872"/>
    <m/>
    <n v="1792"/>
    <n v="2000"/>
    <n v="7"/>
    <m/>
    <m/>
    <m/>
    <m/>
    <m/>
    <m/>
    <m/>
    <n v="233598"/>
    <n v="161183"/>
    <n v="9751"/>
    <n v="329500"/>
    <n v="58400"/>
    <n v="271100"/>
    <n v="0"/>
    <n v="0"/>
    <n v="89850.625589999996"/>
    <n v="-50946.13867709865"/>
    <n v="21557.329055999999"/>
    <n v="197752.34721000001"/>
    <n v="-11821.416826500001"/>
    <n v="45455.976286839999"/>
    <n v="0"/>
    <n v="0"/>
    <n v="26755.343627239999"/>
    <n v="26544.1547364"/>
    <n v="0"/>
    <n v="9800"/>
    <n v="306200"/>
    <n v="38900"/>
    <n v="354900"/>
    <n v="7.7086494688922605E-2"/>
    <n v="0.99970000000000003"/>
    <n v="1.0067999999999999"/>
    <n v="0.99650000000000005"/>
    <n v="1.0093000000000001"/>
    <n v="0.98909999999999998"/>
    <n v="0.94971499999999998"/>
    <n v="0.95120534593507355"/>
    <n v="306200"/>
    <n v="9300"/>
    <n v="315500"/>
    <n v="36900"/>
    <n v="352400"/>
    <n v="0.16377720398376983"/>
    <n v="-0.36815068493150682"/>
    <n v="6.9499241274658577E-2"/>
  </r>
  <r>
    <n v="2025"/>
    <s v="18132331494    "/>
    <n v="-1.7147984280919266"/>
    <n v="0.18"/>
    <m/>
    <s v="6"/>
    <s v="RES"/>
    <x v="0"/>
    <s v="11"/>
    <s v="259"/>
    <s v="CC"/>
    <s v="A+"/>
    <s v="GD"/>
    <x v="8"/>
    <n v="89"/>
    <n v="53"/>
    <n v="1935"/>
    <n v="1971"/>
    <n v="1172"/>
    <n v="309"/>
    <n v="420"/>
    <n v="0"/>
    <n v="420"/>
    <m/>
    <n v="1901"/>
    <n v="2000"/>
    <n v="8"/>
    <m/>
    <m/>
    <m/>
    <m/>
    <m/>
    <m/>
    <m/>
    <n v="313431"/>
    <n v="216267"/>
    <n v="9031"/>
    <n v="348400"/>
    <n v="54700"/>
    <n v="293700"/>
    <n v="0"/>
    <n v="0"/>
    <n v="89850.625589999996"/>
    <n v="-54281.285314520763"/>
    <n v="29814.093161000001"/>
    <n v="197752.34721000001"/>
    <n v="-11821.416826500001"/>
    <n v="57906.961095844003"/>
    <n v="13839.004664049"/>
    <n v="0"/>
    <n v="12214.396003739999"/>
    <n v="30336.176841600001"/>
    <n v="0"/>
    <n v="9000"/>
    <n v="330000"/>
    <n v="35600"/>
    <n v="374600"/>
    <n v="7.520091848450057E-2"/>
    <n v="0.99970000000000003"/>
    <n v="1.0088999999999999"/>
    <n v="0.99650000000000005"/>
    <n v="1.0093000000000001"/>
    <n v="0.98909999999999998"/>
    <n v="0.94971499999999998"/>
    <n v="0.95318938569119571"/>
    <n v="330000"/>
    <n v="8600"/>
    <n v="338600"/>
    <n v="33800"/>
    <n v="372400"/>
    <n v="0.15287708546135512"/>
    <n v="-0.38208409506398539"/>
    <n v="6.8886337543053955E-2"/>
  </r>
  <r>
    <n v="2025"/>
    <s v="18132332450    "/>
    <n v="-1.9661128563728327"/>
    <n v="0.14000000000000001"/>
    <n v="6128"/>
    <s v="6"/>
    <s v="RES"/>
    <x v="0"/>
    <s v="11"/>
    <s v="259"/>
    <s v="CC"/>
    <s v="G"/>
    <s v="GD"/>
    <x v="8"/>
    <n v="89"/>
    <n v="53"/>
    <n v="1935"/>
    <n v="1971"/>
    <n v="853"/>
    <n v="700"/>
    <n v="853"/>
    <n v="0"/>
    <n v="853"/>
    <m/>
    <n v="2406"/>
    <n v="2500"/>
    <n v="11"/>
    <m/>
    <m/>
    <n v="80"/>
    <m/>
    <m/>
    <m/>
    <m/>
    <n v="459686"/>
    <n v="317183"/>
    <n v="10397"/>
    <n v="382800"/>
    <n v="46000"/>
    <n v="336800"/>
    <n v="0"/>
    <n v="0"/>
    <n v="89850.625589999996"/>
    <n v="-62236.546971921947"/>
    <n v="44121.038090000002"/>
    <n v="197752.34721000001"/>
    <n v="-11821.416826500001"/>
    <n v="42145.595405081003"/>
    <n v="31350.496002699998"/>
    <n v="0"/>
    <n v="24806.856645690998"/>
    <n v="41712.243157199999"/>
    <n v="2663.6412220800003"/>
    <n v="10400"/>
    <n v="372700"/>
    <n v="27600"/>
    <n v="410700"/>
    <n v="7.2884012539184959E-2"/>
    <n v="0.99970000000000003"/>
    <n v="0.98050000000000004"/>
    <n v="0.99650000000000005"/>
    <n v="0.98919999999999997"/>
    <n v="0.98909999999999998"/>
    <n v="0.94971499999999998"/>
    <n v="0.90790939042342744"/>
    <n v="372700"/>
    <n v="9900"/>
    <n v="382600"/>
    <n v="26200"/>
    <n v="408800"/>
    <n v="0.13598574821852732"/>
    <n v="-0.43043478260869567"/>
    <n v="6.7920585161964475E-2"/>
  </r>
  <r>
    <n v="2025"/>
    <s v="18132313491    "/>
    <n v="-1.8971199848858813"/>
    <n v="0.15"/>
    <n v="6737"/>
    <s v="6"/>
    <s v="RES"/>
    <x v="0"/>
    <s v="11"/>
    <s v="259"/>
    <s v="BG"/>
    <s v="A"/>
    <s v="GD"/>
    <x v="8"/>
    <n v="89"/>
    <n v="38"/>
    <n v="1935"/>
    <n v="1986"/>
    <n v="1072"/>
    <m/>
    <n v="1072"/>
    <n v="0"/>
    <n v="1072"/>
    <m/>
    <n v="2144"/>
    <n v="2500"/>
    <n v="9"/>
    <m/>
    <m/>
    <m/>
    <m/>
    <m/>
    <m/>
    <m/>
    <n v="277732"/>
    <n v="233295"/>
    <n v="6227"/>
    <n v="340300"/>
    <n v="48400"/>
    <n v="291900"/>
    <n v="0"/>
    <n v="0"/>
    <n v="89850.625589999996"/>
    <n v="-60052.604136134301"/>
    <n v="21557.329055999999"/>
    <n v="197752.34721000001"/>
    <n v="-8475.7328190000007"/>
    <n v="52966.094108144003"/>
    <n v="0"/>
    <n v="0"/>
    <n v="31175.791704783998"/>
    <n v="34128.198946800003"/>
    <n v="0"/>
    <n v="6200"/>
    <n v="329100"/>
    <n v="29800"/>
    <n v="365100"/>
    <n v="7.2876873347046719E-2"/>
    <n v="0.99970000000000003"/>
    <n v="1.0067999999999999"/>
    <n v="0.99650000000000005"/>
    <n v="0.98919999999999997"/>
    <n v="0.98909999999999998"/>
    <n v="0.94971499999999998"/>
    <n v="0.9322622889120924"/>
    <n v="329100"/>
    <n v="5900"/>
    <n v="335000"/>
    <n v="28300"/>
    <n v="363300"/>
    <n v="0.14765330592668721"/>
    <n v="-0.41528925619834711"/>
    <n v="6.7587422862180432E-2"/>
  </r>
  <r>
    <n v="2025"/>
    <s v="18132334508    "/>
    <n v="-1.9661128563728327"/>
    <n v="0.14000000000000001"/>
    <m/>
    <s v="6"/>
    <s v="RES"/>
    <x v="0"/>
    <s v="11"/>
    <s v="259"/>
    <s v="TD"/>
    <s v="A+"/>
    <s v="GD"/>
    <x v="8"/>
    <n v="89"/>
    <n v="53"/>
    <n v="1935"/>
    <n v="1971"/>
    <n v="1115"/>
    <m/>
    <n v="672"/>
    <n v="0"/>
    <n v="672"/>
    <m/>
    <n v="1787"/>
    <n v="2000"/>
    <n v="8"/>
    <m/>
    <n v="347"/>
    <m/>
    <m/>
    <m/>
    <m/>
    <m/>
    <n v="312646"/>
    <n v="215726"/>
    <n v="9708"/>
    <n v="333600"/>
    <n v="46000"/>
    <n v="287600"/>
    <n v="0"/>
    <n v="0"/>
    <n v="89850.625589999996"/>
    <n v="-62236.546971921947"/>
    <n v="29814.093161000001"/>
    <n v="197752.34721000001"/>
    <n v="-11821.416826500001"/>
    <n v="55090.666912854998"/>
    <n v="0"/>
    <n v="0"/>
    <n v="19543.033605983997"/>
    <n v="30336.176841600001"/>
    <n v="0"/>
    <n v="9700"/>
    <n v="320700"/>
    <n v="27600"/>
    <n v="358000"/>
    <n v="7.3141486810551562E-2"/>
    <n v="0.99970000000000003"/>
    <n v="1.0088999999999999"/>
    <n v="0.99650000000000005"/>
    <n v="1.0093000000000001"/>
    <n v="0.98909999999999998"/>
    <n v="0.94971499999999998"/>
    <n v="0.95318938569119571"/>
    <n v="320700"/>
    <n v="9200"/>
    <n v="329900"/>
    <n v="26200"/>
    <n v="356100"/>
    <n v="0.14707927677329624"/>
    <n v="-0.43043478260869567"/>
    <n v="6.7446043165467623E-2"/>
  </r>
  <r>
    <n v="2025"/>
    <s v="18132331046    "/>
    <n v="-1.4271163556401458"/>
    <n v="0.24"/>
    <n v="10462"/>
    <s v="6"/>
    <s v="RES"/>
    <x v="0"/>
    <s v="11"/>
    <s v="259"/>
    <s v="RN"/>
    <s v="G"/>
    <s v="GD"/>
    <x v="8"/>
    <n v="89"/>
    <n v="53"/>
    <n v="1935"/>
    <n v="1971"/>
    <n v="1478"/>
    <m/>
    <n v="1478"/>
    <n v="725"/>
    <n v="753"/>
    <m/>
    <n v="2231"/>
    <n v="2500"/>
    <n v="7"/>
    <m/>
    <m/>
    <m/>
    <m/>
    <m/>
    <m/>
    <m/>
    <n v="435858"/>
    <n v="300742"/>
    <n v="14181"/>
    <n v="402200"/>
    <n v="64800"/>
    <n v="337400"/>
    <n v="0"/>
    <n v="0"/>
    <n v="89850.625589999996"/>
    <n v="-45174.819855485119"/>
    <n v="44121.038090000002"/>
    <n v="197752.34721000001"/>
    <n v="-11821.416826500001"/>
    <n v="73026.014078206004"/>
    <n v="0"/>
    <n v="0"/>
    <n v="42983.041175065999"/>
    <n v="26544.1547364"/>
    <n v="0"/>
    <n v="14200"/>
    <n v="372600"/>
    <n v="44700"/>
    <n v="431500"/>
    <n v="7.2849328692192933E-2"/>
    <n v="0.99970000000000003"/>
    <n v="0.98050000000000004"/>
    <n v="0.99650000000000005"/>
    <n v="0.98919999999999997"/>
    <n v="0.98909999999999998"/>
    <n v="0.94971499999999998"/>
    <n v="0.90790939042342744"/>
    <n v="372600"/>
    <n v="13500"/>
    <n v="386100"/>
    <n v="42400"/>
    <n v="428500"/>
    <n v="0.14433906342620034"/>
    <n v="-0.34567901234567899"/>
    <n v="6.5390353058180015E-2"/>
  </r>
  <r>
    <n v="2025"/>
    <s v="18132334531    "/>
    <n v="-1.8971199848858813"/>
    <n v="0.15"/>
    <m/>
    <s v="6"/>
    <s v="RES"/>
    <x v="0"/>
    <s v="11"/>
    <s v="259"/>
    <s v="TD"/>
    <s v="A"/>
    <s v="GD"/>
    <x v="8"/>
    <n v="89"/>
    <n v="53"/>
    <n v="1935"/>
    <n v="1971"/>
    <n v="900"/>
    <m/>
    <n v="900"/>
    <n v="0"/>
    <n v="900"/>
    <m/>
    <n v="1800"/>
    <n v="2000"/>
    <n v="8"/>
    <m/>
    <m/>
    <m/>
    <m/>
    <m/>
    <m/>
    <m/>
    <n v="239566"/>
    <n v="165301"/>
    <n v="6724"/>
    <n v="322200"/>
    <n v="48400"/>
    <n v="273800"/>
    <n v="0"/>
    <n v="0"/>
    <n v="89850.625589999996"/>
    <n v="-60052.604136134301"/>
    <n v="21557.329055999999"/>
    <n v="197752.34721000001"/>
    <n v="-11821.416826500001"/>
    <n v="44467.802889300001"/>
    <n v="0"/>
    <n v="0"/>
    <n v="26173.705722299997"/>
    <n v="30336.176841600001"/>
    <n v="0"/>
    <n v="6700"/>
    <n v="308500"/>
    <n v="29800"/>
    <n v="345000"/>
    <n v="7.0763500931098691E-2"/>
    <n v="0.99970000000000003"/>
    <n v="1.0067999999999999"/>
    <n v="0.99650000000000005"/>
    <n v="1.0093000000000001"/>
    <n v="0.98909999999999998"/>
    <n v="0.94971499999999998"/>
    <n v="0.95120534593507355"/>
    <n v="308500"/>
    <n v="6400"/>
    <n v="314900"/>
    <n v="28300"/>
    <n v="343200"/>
    <n v="0.15010956902848796"/>
    <n v="-0.41528925619834711"/>
    <n v="6.5176908752327747E-2"/>
  </r>
  <r>
    <n v="2025"/>
    <s v="18132214028    "/>
    <n v="-1.8325814637483102"/>
    <n v="0.16"/>
    <n v="7183"/>
    <s v="6"/>
    <s v="RES"/>
    <x v="0"/>
    <s v="11"/>
    <s v="259"/>
    <s v="TD"/>
    <s v="F+"/>
    <s v="AV"/>
    <x v="8"/>
    <n v="89"/>
    <n v="53"/>
    <n v="1935"/>
    <n v="1971"/>
    <n v="798"/>
    <m/>
    <n v="599"/>
    <n v="599"/>
    <m/>
    <m/>
    <n v="798"/>
    <n v="1000"/>
    <n v="5"/>
    <m/>
    <m/>
    <m/>
    <m/>
    <m/>
    <m/>
    <m/>
    <n v="144862"/>
    <n v="97058"/>
    <n v="4598"/>
    <n v="243300"/>
    <n v="50600"/>
    <n v="192700"/>
    <n v="0"/>
    <n v="0"/>
    <n v="89850.625589999996"/>
    <n v="-58009.662049032086"/>
    <n v="0"/>
    <n v="160472.20319"/>
    <n v="-11821.416826500001"/>
    <n v="39428.118561846"/>
    <n v="0"/>
    <n v="0"/>
    <n v="17420.055252953"/>
    <n v="18960.110526"/>
    <n v="0"/>
    <n v="4600"/>
    <n v="224500"/>
    <n v="31800"/>
    <n v="260900"/>
    <n v="7.2338676531031654E-2"/>
    <n v="0.99970000000000003"/>
    <n v="0.99180000000000001"/>
    <n v="0.99729999999999996"/>
    <n v="1.0148999999999999"/>
    <n v="0.98909999999999998"/>
    <n v="0.94971499999999998"/>
    <n v="0.94298910434578886"/>
    <n v="224500"/>
    <n v="4400"/>
    <n v="228900"/>
    <n v="30200"/>
    <n v="259100"/>
    <n v="0.18785677218474311"/>
    <n v="-0.40316205533596838"/>
    <n v="6.4940402794903415E-2"/>
  </r>
  <r>
    <n v="2025"/>
    <s v="18132334520    "/>
    <n v="-1.8971199848858813"/>
    <n v="0.15"/>
    <m/>
    <s v="6"/>
    <s v="RES"/>
    <x v="0"/>
    <s v="11"/>
    <s v="259"/>
    <s v="TD"/>
    <s v="A"/>
    <s v="GD"/>
    <x v="8"/>
    <n v="89"/>
    <n v="53"/>
    <n v="1935"/>
    <n v="1971"/>
    <n v="1380"/>
    <m/>
    <n v="672"/>
    <n v="0"/>
    <n v="672"/>
    <m/>
    <n v="2052"/>
    <n v="2500"/>
    <n v="9"/>
    <n v="276"/>
    <m/>
    <m/>
    <m/>
    <m/>
    <m/>
    <m/>
    <n v="303716"/>
    <n v="209564"/>
    <n v="0"/>
    <n v="335800"/>
    <n v="48400"/>
    <n v="287400"/>
    <n v="0"/>
    <n v="0"/>
    <n v="89850.625589999996"/>
    <n v="-60052.604136134301"/>
    <n v="21557.329055999999"/>
    <n v="197752.34721000001"/>
    <n v="-11821.416826500001"/>
    <n v="68183.964430260006"/>
    <n v="0"/>
    <n v="0"/>
    <n v="19543.033605983997"/>
    <n v="34128.198946800003"/>
    <n v="0"/>
    <n v="0"/>
    <n v="329300"/>
    <n v="29800"/>
    <n v="359100"/>
    <n v="6.9386539606908867E-2"/>
    <n v="0.99970000000000003"/>
    <n v="1.0067999999999999"/>
    <n v="0.99650000000000005"/>
    <n v="0.98919999999999997"/>
    <n v="0.98909999999999998"/>
    <n v="0.94971499999999998"/>
    <n v="0.9322622889120924"/>
    <n v="329300"/>
    <n v="0"/>
    <n v="329300"/>
    <n v="28300"/>
    <n v="357600"/>
    <n v="0.14578983994432845"/>
    <n v="-0.41528925619834711"/>
    <n v="6.4919594997022032E-2"/>
  </r>
  <r>
    <n v="2025"/>
    <s v="18132334521    "/>
    <n v="-1.8971199848858813"/>
    <n v="0.15"/>
    <m/>
    <s v="6"/>
    <s v="RES"/>
    <x v="0"/>
    <s v="11"/>
    <s v="259"/>
    <s v="BG"/>
    <s v="A"/>
    <s v="GD"/>
    <x v="8"/>
    <n v="89"/>
    <n v="29"/>
    <n v="1935"/>
    <n v="1995"/>
    <n v="951"/>
    <n v="300"/>
    <n v="951"/>
    <n v="0"/>
    <n v="951"/>
    <m/>
    <n v="2202"/>
    <n v="2500"/>
    <n v="12"/>
    <m/>
    <m/>
    <m/>
    <m/>
    <m/>
    <m/>
    <m/>
    <n v="284301"/>
    <n v="247342"/>
    <n v="0"/>
    <n v="352000"/>
    <n v="48400"/>
    <n v="303600"/>
    <n v="0"/>
    <n v="0"/>
    <n v="89850.625589999996"/>
    <n v="-60052.604136134301"/>
    <n v="21557.329055999999"/>
    <n v="197752.34721000001"/>
    <n v="-6468.3224145000004"/>
    <n v="46987.645053027001"/>
    <n v="13435.926858299999"/>
    <n v="0"/>
    <n v="27656.882379896997"/>
    <n v="45504.265262400004"/>
    <n v="0"/>
    <n v="0"/>
    <n v="346400"/>
    <n v="29800"/>
    <n v="376200"/>
    <n v="6.8750000000000006E-2"/>
    <n v="0.99970000000000003"/>
    <n v="1.0067999999999999"/>
    <n v="0.99650000000000005"/>
    <n v="0.98919999999999997"/>
    <n v="0.98909999999999998"/>
    <n v="0.94971499999999998"/>
    <n v="0.9322622889120924"/>
    <n v="346400"/>
    <n v="0"/>
    <n v="346400"/>
    <n v="28300"/>
    <n v="374700"/>
    <n v="0.14097496706192358"/>
    <n v="-0.41528925619834711"/>
    <n v="6.4488636363636359E-2"/>
  </r>
  <r>
    <n v="2025"/>
    <s v="18132244490    "/>
    <n v="-1.5141277326297755"/>
    <n v="0.22"/>
    <n v="9535"/>
    <s v="6"/>
    <s v="RES"/>
    <x v="0"/>
    <s v="11"/>
    <s v="259"/>
    <s v="TD"/>
    <s v="A"/>
    <s v="GD"/>
    <x v="8"/>
    <n v="89"/>
    <n v="53"/>
    <n v="1935"/>
    <n v="1971"/>
    <n v="849"/>
    <m/>
    <n v="849"/>
    <n v="0"/>
    <n v="849"/>
    <m/>
    <n v="1698"/>
    <n v="2000"/>
    <n v="7"/>
    <m/>
    <m/>
    <m/>
    <m/>
    <m/>
    <m/>
    <m/>
    <n v="222887"/>
    <n v="153792"/>
    <n v="5024"/>
    <n v="324700"/>
    <n v="61700"/>
    <n v="263000"/>
    <n v="0"/>
    <n v="0"/>
    <n v="89850.625589999996"/>
    <n v="-47929.131559187132"/>
    <n v="21557.329055999999"/>
    <n v="197752.34721000001"/>
    <n v="-11821.416826500001"/>
    <n v="41947.960725573001"/>
    <n v="0"/>
    <n v="0"/>
    <n v="24690.529064702998"/>
    <n v="26544.1547364"/>
    <n v="0"/>
    <n v="5000"/>
    <n v="300700"/>
    <n v="41900"/>
    <n v="347600"/>
    <n v="7.0526639975361877E-2"/>
    <n v="0.99970000000000003"/>
    <n v="1.0067999999999999"/>
    <n v="0.99650000000000005"/>
    <n v="1.0093000000000001"/>
    <n v="0.98909999999999998"/>
    <n v="0.94971499999999998"/>
    <n v="0.95120534593507355"/>
    <n v="300700"/>
    <n v="4800"/>
    <n v="305500"/>
    <n v="39800"/>
    <n v="345300"/>
    <n v="0.16159695817490494"/>
    <n v="-0.35494327390599678"/>
    <n v="6.3443178318447799E-2"/>
  </r>
  <r>
    <n v="2025"/>
    <s v="18132344448    "/>
    <n v="-1.8971199848858813"/>
    <n v="0.15"/>
    <n v="6500"/>
    <s v="6"/>
    <s v="RES"/>
    <x v="0"/>
    <s v="11"/>
    <s v="259"/>
    <s v="BG"/>
    <s v="A"/>
    <s v="GD"/>
    <x v="8"/>
    <n v="89"/>
    <n v="53"/>
    <n v="1935"/>
    <n v="1971"/>
    <n v="980"/>
    <m/>
    <n v="980"/>
    <n v="0"/>
    <n v="980"/>
    <m/>
    <n v="1960"/>
    <n v="2000"/>
    <n v="8"/>
    <m/>
    <m/>
    <n v="111"/>
    <m/>
    <m/>
    <m/>
    <m/>
    <n v="256357"/>
    <n v="176886"/>
    <n v="5605"/>
    <n v="331200"/>
    <n v="48400"/>
    <n v="282800"/>
    <n v="0"/>
    <n v="0"/>
    <n v="89850.625589999996"/>
    <n v="-60052.604136134301"/>
    <n v="21557.329055999999"/>
    <n v="197752.34721000001"/>
    <n v="-11821.416826500001"/>
    <n v="48420.496479460002"/>
    <n v="0"/>
    <n v="0"/>
    <n v="28500.257342059998"/>
    <n v="30336.176841600001"/>
    <n v="3695.8021956360003"/>
    <n v="5600"/>
    <n v="318400"/>
    <n v="29800"/>
    <n v="353800"/>
    <n v="6.8236714975845408E-2"/>
    <n v="0.99970000000000003"/>
    <n v="1.0067999999999999"/>
    <n v="0.99650000000000005"/>
    <n v="1.0093000000000001"/>
    <n v="0.98909999999999998"/>
    <n v="0.94971499999999998"/>
    <n v="0.95120534593507355"/>
    <n v="318400"/>
    <n v="5300"/>
    <n v="323700"/>
    <n v="28300"/>
    <n v="352000"/>
    <n v="0.14462517680339462"/>
    <n v="-0.41528925619834711"/>
    <n v="6.280193236714976E-2"/>
  </r>
  <r>
    <n v="2025"/>
    <s v="18132334490    "/>
    <n v="-1.6607312068216509"/>
    <n v="0.19"/>
    <n v="8284"/>
    <s v="6"/>
    <s v="RES"/>
    <x v="0"/>
    <s v="11"/>
    <s v="259"/>
    <s v="CO"/>
    <s v="A+"/>
    <s v="FR"/>
    <x v="8"/>
    <n v="89"/>
    <n v="53"/>
    <n v="1935"/>
    <n v="1971"/>
    <n v="1230"/>
    <n v="406"/>
    <n v="976"/>
    <n v="476"/>
    <n v="500"/>
    <m/>
    <n v="2136"/>
    <n v="2500"/>
    <n v="9"/>
    <m/>
    <m/>
    <m/>
    <m/>
    <m/>
    <m/>
    <m/>
    <n v="344612"/>
    <n v="223998"/>
    <n v="10916"/>
    <n v="319100"/>
    <n v="56600"/>
    <n v="262500"/>
    <n v="0"/>
    <n v="0"/>
    <n v="89850.625589999996"/>
    <n v="-52569.808201026557"/>
    <n v="29814.093161000001"/>
    <n v="133714.53821"/>
    <n v="-11821.416826500001"/>
    <n v="60772.663948710004"/>
    <n v="18183.287681565998"/>
    <n v="0"/>
    <n v="28383.929761071999"/>
    <n v="34128.198946800003"/>
    <n v="0"/>
    <n v="10900"/>
    <n v="293200"/>
    <n v="37300"/>
    <n v="341400"/>
    <n v="6.9884048887496081E-2"/>
    <n v="0.99970000000000003"/>
    <n v="1.0088999999999999"/>
    <n v="0.99329999999999996"/>
    <n v="0.98919999999999997"/>
    <n v="0.98909999999999998"/>
    <n v="0.94971499999999998"/>
    <n v="0.93120685524824687"/>
    <n v="293200"/>
    <n v="10400"/>
    <n v="303600"/>
    <n v="35400"/>
    <n v="339000"/>
    <n v="0.15657142857142858"/>
    <n v="-0.37455830388692579"/>
    <n v="6.2362895643998745E-2"/>
  </r>
  <r>
    <n v="2025"/>
    <s v="18132334517    "/>
    <n v="-1.8971199848858813"/>
    <n v="0.15"/>
    <m/>
    <s v="6"/>
    <s v="RES"/>
    <x v="0"/>
    <s v="11"/>
    <s v="259"/>
    <s v="TD"/>
    <s v="A"/>
    <s v="AV"/>
    <x v="8"/>
    <n v="89"/>
    <n v="53"/>
    <n v="1935"/>
    <n v="1971"/>
    <n v="1016"/>
    <m/>
    <m/>
    <n v="0"/>
    <m/>
    <m/>
    <n v="1016"/>
    <n v="1500"/>
    <n v="5"/>
    <m/>
    <m/>
    <m/>
    <m/>
    <m/>
    <m/>
    <m/>
    <n v="171657"/>
    <n v="115010"/>
    <n v="4943"/>
    <n v="256800"/>
    <n v="48400"/>
    <n v="208400"/>
    <n v="0"/>
    <n v="0"/>
    <n v="89850.625589999996"/>
    <n v="-60052.604136134301"/>
    <n v="21557.329055999999"/>
    <n v="160472.20319"/>
    <n v="-11821.416826500001"/>
    <n v="50199.208595032003"/>
    <n v="0"/>
    <n v="0"/>
    <n v="0"/>
    <n v="18960.110526"/>
    <n v="0"/>
    <n v="4900"/>
    <n v="239400"/>
    <n v="29800"/>
    <n v="274100"/>
    <n v="6.7367601246105913E-2"/>
    <n v="0.99970000000000003"/>
    <n v="1.0067999999999999"/>
    <n v="0.99729999999999996"/>
    <n v="1.0157"/>
    <n v="0.98909999999999998"/>
    <n v="0.94971499999999998"/>
    <n v="0.95800544533193577"/>
    <n v="239400"/>
    <n v="4700"/>
    <n v="244100"/>
    <n v="28300"/>
    <n v="272400"/>
    <n v="0.17130518234165068"/>
    <n v="-0.41528925619834711"/>
    <n v="6.0747663551401869E-2"/>
  </r>
  <r>
    <n v="2025"/>
    <s v="18132331523    "/>
    <n v="-1.7719568419318752"/>
    <n v="0.17"/>
    <m/>
    <s v="6"/>
    <s v="RES"/>
    <x v="0"/>
    <s v="11"/>
    <s v="259"/>
    <s v="TD"/>
    <s v="A"/>
    <s v="GD"/>
    <x v="8"/>
    <n v="89"/>
    <n v="53"/>
    <n v="1935"/>
    <n v="1971"/>
    <n v="1047"/>
    <m/>
    <n v="1047"/>
    <n v="0"/>
    <n v="1047"/>
    <m/>
    <n v="2094"/>
    <n v="2500"/>
    <n v="8"/>
    <m/>
    <m/>
    <m/>
    <m/>
    <m/>
    <m/>
    <m/>
    <n v="266827"/>
    <n v="184111"/>
    <n v="6312"/>
    <n v="337800"/>
    <n v="52700"/>
    <n v="285100"/>
    <n v="0"/>
    <n v="0"/>
    <n v="89850.625589999996"/>
    <n v="-56090.612940989391"/>
    <n v="21557.329055999999"/>
    <n v="197752.34721000001"/>
    <n v="-11821.416826500001"/>
    <n v="51730.877361218998"/>
    <n v="0"/>
    <n v="0"/>
    <n v="30448.744323608997"/>
    <n v="30336.176841600001"/>
    <n v="0"/>
    <n v="6300"/>
    <n v="320000"/>
    <n v="33800"/>
    <n v="360100"/>
    <n v="6.6015393724097093E-2"/>
    <n v="0.99970000000000003"/>
    <n v="1.0067999999999999"/>
    <n v="0.99650000000000005"/>
    <n v="0.98919999999999997"/>
    <n v="0.98909999999999998"/>
    <n v="0.94971499999999998"/>
    <n v="0.9322622889120924"/>
    <n v="320000"/>
    <n v="6000"/>
    <n v="326000"/>
    <n v="32100"/>
    <n v="358100"/>
    <n v="0.14345843563661873"/>
    <n v="-0.39089184060721061"/>
    <n v="6.0094730609828298E-2"/>
  </r>
  <r>
    <n v="2025"/>
    <s v="18132332570    "/>
    <n v="-1.4271163556401458"/>
    <n v="0.24"/>
    <m/>
    <s v="6"/>
    <s v="RES"/>
    <x v="0"/>
    <s v="11"/>
    <s v="259"/>
    <s v="TU"/>
    <s v="G"/>
    <s v="GD"/>
    <x v="8"/>
    <n v="89"/>
    <n v="53"/>
    <n v="1935"/>
    <n v="1971"/>
    <n v="1301"/>
    <m/>
    <n v="1226"/>
    <n v="309"/>
    <n v="917"/>
    <m/>
    <n v="2218"/>
    <n v="2500"/>
    <n v="8"/>
    <m/>
    <m/>
    <m/>
    <m/>
    <m/>
    <m/>
    <m/>
    <n v="445997"/>
    <n v="307738"/>
    <n v="9455"/>
    <n v="388800"/>
    <n v="64800"/>
    <n v="324000"/>
    <n v="0"/>
    <n v="0"/>
    <n v="89850.625589999996"/>
    <n v="-45174.819855485119"/>
    <n v="44121.038090000002"/>
    <n v="197752.34721000001"/>
    <n v="-11821.416826500001"/>
    <n v="64280.679509977002"/>
    <n v="0"/>
    <n v="0"/>
    <n v="35654.403572821997"/>
    <n v="30336.176841600001"/>
    <n v="0"/>
    <n v="9500"/>
    <n v="360300"/>
    <n v="44700"/>
    <n v="414500"/>
    <n v="6.6100823045267487E-2"/>
    <n v="0.99970000000000003"/>
    <n v="0.98050000000000004"/>
    <n v="0.99650000000000005"/>
    <n v="0.98919999999999997"/>
    <n v="0.98909999999999998"/>
    <n v="0.94971499999999998"/>
    <n v="0.90790939042342744"/>
    <n v="360300"/>
    <n v="9000"/>
    <n v="369300"/>
    <n v="42400"/>
    <n v="411700"/>
    <n v="0.13981481481481481"/>
    <n v="-0.34567901234567899"/>
    <n v="5.8899176954732513E-2"/>
  </r>
  <r>
    <n v="2025"/>
    <s v="18132334514    "/>
    <n v="-1.8971199848858813"/>
    <n v="0.15"/>
    <m/>
    <s v="6"/>
    <s v="RES"/>
    <x v="0"/>
    <s v="11"/>
    <s v="259"/>
    <s v="CO"/>
    <s v="A+"/>
    <s v="AV"/>
    <x v="8"/>
    <n v="89"/>
    <n v="53"/>
    <n v="1935"/>
    <n v="1971"/>
    <n v="1575"/>
    <n v="806"/>
    <n v="900"/>
    <n v="780"/>
    <n v="120"/>
    <m/>
    <n v="2501"/>
    <n v="3000"/>
    <n v="8"/>
    <m/>
    <m/>
    <m/>
    <m/>
    <m/>
    <m/>
    <m/>
    <n v="422710"/>
    <n v="283216"/>
    <n v="0"/>
    <n v="356300"/>
    <n v="48400"/>
    <n v="307900"/>
    <n v="0"/>
    <n v="0"/>
    <n v="89850.625589999996"/>
    <n v="-60052.604136134301"/>
    <n v="29814.093161000001"/>
    <n v="160472.20319"/>
    <n v="-11821.416826500001"/>
    <n v="77818.655056275005"/>
    <n v="36097.856825965995"/>
    <n v="0"/>
    <n v="26173.705722299997"/>
    <n v="30336.176841600001"/>
    <n v="0"/>
    <n v="0"/>
    <n v="348900"/>
    <n v="29800"/>
    <n v="378700"/>
    <n v="6.2868369351669937E-2"/>
    <n v="0.99970000000000003"/>
    <n v="1.0088999999999999"/>
    <n v="0.99729999999999996"/>
    <n v="0.96179999999999999"/>
    <n v="0.98909999999999998"/>
    <n v="0.94971499999999998"/>
    <n v="0.90905929772301342"/>
    <n v="348900"/>
    <n v="0"/>
    <n v="348900"/>
    <n v="28300"/>
    <n v="377200"/>
    <n v="0.13316011692107826"/>
    <n v="-0.41528925619834711"/>
    <n v="5.8658433904013471E-2"/>
  </r>
  <r>
    <n v="2025"/>
    <s v="18132324555    "/>
    <n v="-1.4271163556401458"/>
    <n v="0.24"/>
    <m/>
    <s v="6"/>
    <s v="RES"/>
    <x v="0"/>
    <s v="11"/>
    <s v="259"/>
    <s v="TD"/>
    <s v="A"/>
    <s v="AV"/>
    <x v="8"/>
    <n v="89"/>
    <n v="53"/>
    <n v="1935"/>
    <n v="1971"/>
    <n v="1252"/>
    <m/>
    <m/>
    <n v="0"/>
    <m/>
    <m/>
    <n v="1252"/>
    <n v="1500"/>
    <n v="5"/>
    <n v="240"/>
    <m/>
    <n v="120"/>
    <m/>
    <m/>
    <m/>
    <m/>
    <n v="227981"/>
    <n v="152747"/>
    <n v="0"/>
    <n v="281000"/>
    <n v="64800"/>
    <n v="216200"/>
    <n v="0"/>
    <n v="0"/>
    <n v="89850.625589999996"/>
    <n v="-45174.819855485119"/>
    <n v="21557.329055999999"/>
    <n v="160472.20319"/>
    <n v="-11821.416826500001"/>
    <n v="61859.654686004003"/>
    <n v="0"/>
    <n v="0"/>
    <n v="0"/>
    <n v="18960.110526"/>
    <n v="3995.4618331200004"/>
    <n v="0"/>
    <n v="255000"/>
    <n v="44700"/>
    <n v="299700"/>
    <n v="6.6548042704626331E-2"/>
    <n v="0.99970000000000003"/>
    <n v="1.0067999999999999"/>
    <n v="0.99729999999999996"/>
    <n v="1.0157"/>
    <n v="0.98909999999999998"/>
    <n v="0.94971499999999998"/>
    <n v="0.95800544533193577"/>
    <n v="255000"/>
    <n v="0"/>
    <n v="255000"/>
    <n v="42400"/>
    <n v="297400"/>
    <n v="0.17946345975948197"/>
    <n v="-0.34567901234567899"/>
    <n v="5.8362989323843414E-2"/>
  </r>
  <r>
    <n v="2025"/>
    <s v="18132334453    "/>
    <n v="-1.7719568419318752"/>
    <n v="0.17"/>
    <n v="7508"/>
    <s v="6"/>
    <s v="RES"/>
    <x v="0"/>
    <s v="11"/>
    <s v="259"/>
    <s v="CC"/>
    <s v="A"/>
    <s v="GD"/>
    <x v="8"/>
    <n v="89"/>
    <n v="53"/>
    <n v="1935"/>
    <n v="1971"/>
    <n v="1170"/>
    <n v="320"/>
    <n v="918"/>
    <n v="0"/>
    <n v="918"/>
    <m/>
    <n v="2408"/>
    <n v="2500"/>
    <n v="9"/>
    <m/>
    <m/>
    <m/>
    <m/>
    <m/>
    <m/>
    <m/>
    <n v="304918"/>
    <n v="210393"/>
    <n v="6724"/>
    <n v="358200"/>
    <n v="52700"/>
    <n v="305500"/>
    <n v="0"/>
    <n v="0"/>
    <n v="89850.625589999996"/>
    <n v="-56090.612940989391"/>
    <n v="21557.329055999999"/>
    <n v="197752.34721000001"/>
    <n v="-11821.416826500001"/>
    <n v="57808.143756090001"/>
    <n v="14331.65531552"/>
    <n v="0"/>
    <n v="26697.179836746"/>
    <n v="34128.198946800003"/>
    <n v="0"/>
    <n v="6700"/>
    <n v="340500"/>
    <n v="33800"/>
    <n v="381000"/>
    <n v="6.3651591289782247E-2"/>
    <n v="0.99970000000000003"/>
    <n v="1.0067999999999999"/>
    <n v="0.99650000000000005"/>
    <n v="0.98919999999999997"/>
    <n v="0.98909999999999998"/>
    <n v="0.94971499999999998"/>
    <n v="0.9322622889120924"/>
    <n v="340500"/>
    <n v="6400"/>
    <n v="346900"/>
    <n v="32100"/>
    <n v="379000"/>
    <n v="0.13551554828150572"/>
    <n v="-0.39089184060721061"/>
    <n v="5.8068118369625908E-2"/>
  </r>
  <r>
    <n v="2025"/>
    <s v="18132241409    "/>
    <n v="-2.0402208285265546"/>
    <n v="0.13"/>
    <n v="5704"/>
    <s v="6"/>
    <s v="RES"/>
    <x v="0"/>
    <s v="11"/>
    <s v="259"/>
    <s v="CO"/>
    <s v="A+"/>
    <s v="GD"/>
    <x v="8"/>
    <n v="89"/>
    <n v="53"/>
    <n v="1935"/>
    <n v="1971"/>
    <n v="1207"/>
    <n v="652"/>
    <n v="1207"/>
    <n v="100"/>
    <n v="1107"/>
    <m/>
    <n v="2966"/>
    <n v="3000"/>
    <n v="11"/>
    <m/>
    <m/>
    <m/>
    <m/>
    <m/>
    <m/>
    <m/>
    <n v="422706"/>
    <n v="291667"/>
    <n v="7128"/>
    <n v="390400"/>
    <n v="43400"/>
    <n v="347000"/>
    <n v="0"/>
    <n v="0"/>
    <n v="89850.625589999996"/>
    <n v="-64582.406353792743"/>
    <n v="29814.093161000001"/>
    <n v="197752.34721000001"/>
    <n v="-11821.416826500001"/>
    <n v="59636.264541539"/>
    <n v="29200.747705371999"/>
    <n v="0"/>
    <n v="35101.847563128998"/>
    <n v="41712.243157199999"/>
    <n v="0"/>
    <n v="7100"/>
    <n v="381400"/>
    <n v="25300"/>
    <n v="413800"/>
    <n v="5.9938524590163932E-2"/>
    <n v="0.99970000000000003"/>
    <n v="1.0088999999999999"/>
    <n v="0.99650000000000005"/>
    <n v="0.96179999999999999"/>
    <n v="0.98909999999999998"/>
    <n v="0.94971499999999998"/>
    <n v="0.90833008140076499"/>
    <n v="381400"/>
    <n v="6800"/>
    <n v="388200"/>
    <n v="24000"/>
    <n v="412200"/>
    <n v="0.11873198847262248"/>
    <n v="-0.44700460829493088"/>
    <n v="5.5840163934426229E-2"/>
  </r>
  <r>
    <n v="2025"/>
    <s v="18132324511    "/>
    <n v="-1.5606477482646683"/>
    <n v="0.21"/>
    <n v="9204"/>
    <s v="6"/>
    <s v="RES"/>
    <x v="0"/>
    <s v="11"/>
    <s v="259"/>
    <s v="BG"/>
    <s v="A"/>
    <s v="GD"/>
    <x v="8"/>
    <n v="89"/>
    <n v="53"/>
    <n v="1935"/>
    <n v="1971"/>
    <n v="1624"/>
    <n v="360"/>
    <n v="300"/>
    <n v="0"/>
    <n v="300"/>
    <m/>
    <n v="2284"/>
    <n v="2500"/>
    <n v="10"/>
    <m/>
    <m/>
    <m/>
    <m/>
    <m/>
    <m/>
    <m/>
    <n v="324987"/>
    <n v="224241"/>
    <n v="8025"/>
    <n v="375600"/>
    <n v="60100"/>
    <n v="315500"/>
    <n v="0"/>
    <n v="0"/>
    <n v="89850.625589999996"/>
    <n v="-49401.70477837498"/>
    <n v="21557.329055999999"/>
    <n v="197752.34721000001"/>
    <n v="-11821.416826500001"/>
    <n v="80239.679880248004"/>
    <n v="16123.112229959999"/>
    <n v="0"/>
    <n v="8724.5685740999998"/>
    <n v="37920.221052000001"/>
    <n v="0"/>
    <n v="8000"/>
    <n v="350500"/>
    <n v="40400"/>
    <n v="398900"/>
    <n v="6.2034078807241745E-2"/>
    <n v="0.99970000000000003"/>
    <n v="1.0067999999999999"/>
    <n v="0.99650000000000005"/>
    <n v="0.98919999999999997"/>
    <n v="0.98909999999999998"/>
    <n v="0.94971499999999998"/>
    <n v="0.9322622889120924"/>
    <n v="350500"/>
    <n v="7600"/>
    <n v="358100"/>
    <n v="38400"/>
    <n v="396500"/>
    <n v="0.13502377179080824"/>
    <n v="-0.36106489184692181"/>
    <n v="5.5644302449414269E-2"/>
  </r>
  <r>
    <n v="2025"/>
    <s v="18132324526    "/>
    <n v="-1.4271163556401458"/>
    <n v="0.24"/>
    <m/>
    <s v="6"/>
    <s v="RES"/>
    <x v="0"/>
    <s v="11"/>
    <s v="259"/>
    <s v="TD"/>
    <s v="G"/>
    <s v="GD"/>
    <x v="8"/>
    <n v="89"/>
    <n v="53"/>
    <n v="1935"/>
    <n v="1971"/>
    <n v="1123"/>
    <m/>
    <n v="1123"/>
    <n v="0"/>
    <n v="1123"/>
    <m/>
    <n v="2246"/>
    <n v="2500"/>
    <n v="8"/>
    <n v="843"/>
    <m/>
    <m/>
    <m/>
    <m/>
    <m/>
    <m/>
    <n v="427602"/>
    <n v="295045"/>
    <n v="0"/>
    <n v="370400"/>
    <n v="64800"/>
    <n v="305600"/>
    <n v="0"/>
    <n v="0"/>
    <n v="89850.625589999996"/>
    <n v="-45174.819855485119"/>
    <n v="44121.038090000002"/>
    <n v="197752.34721000001"/>
    <n v="-11821.416826500001"/>
    <n v="55485.936271871004"/>
    <n v="0"/>
    <n v="0"/>
    <n v="32658.968362380998"/>
    <n v="30336.176841600001"/>
    <n v="0"/>
    <n v="0"/>
    <n v="348500"/>
    <n v="44700"/>
    <n v="393200"/>
    <n v="6.1555075593952485E-2"/>
    <n v="0.99970000000000003"/>
    <n v="0.98050000000000004"/>
    <n v="0.99650000000000005"/>
    <n v="0.98919999999999997"/>
    <n v="0.98909999999999998"/>
    <n v="0.94971499999999998"/>
    <n v="0.90790939042342744"/>
    <n v="348500"/>
    <n v="0"/>
    <n v="348500"/>
    <n v="42400"/>
    <n v="390900"/>
    <n v="0.14037958115183247"/>
    <n v="-0.34567901234567899"/>
    <n v="5.5345572354211663E-2"/>
  </r>
  <r>
    <n v="2025"/>
    <s v="18132242406    "/>
    <n v="-0.49429632181478012"/>
    <n v="0.61"/>
    <n v="26525"/>
    <s v="6"/>
    <s v="RES"/>
    <x v="0"/>
    <s v="11"/>
    <s v="259"/>
    <s v="TD"/>
    <s v="F+"/>
    <s v="GD"/>
    <x v="8"/>
    <n v="89"/>
    <n v="53"/>
    <n v="1935"/>
    <n v="1971"/>
    <n v="1347"/>
    <m/>
    <n v="646"/>
    <n v="546"/>
    <n v="100"/>
    <m/>
    <n v="1447"/>
    <n v="1500"/>
    <n v="5"/>
    <m/>
    <m/>
    <m/>
    <m/>
    <m/>
    <m/>
    <m/>
    <n v="228803"/>
    <n v="157874"/>
    <n v="7738"/>
    <n v="349200"/>
    <n v="97300"/>
    <n v="251900"/>
    <n v="0"/>
    <n v="0"/>
    <n v="89850.625589999996"/>
    <n v="-15646.760129236542"/>
    <n v="0"/>
    <n v="197752.34721000001"/>
    <n v="-11821.416826500001"/>
    <n v="66553.478324319003"/>
    <n v="0"/>
    <n v="0"/>
    <n v="18786.904329561999"/>
    <n v="18960.110526"/>
    <n v="0"/>
    <n v="7700"/>
    <n v="290200"/>
    <n v="74200"/>
    <n v="372100"/>
    <n v="6.5578465063001148E-2"/>
    <n v="0.99970000000000003"/>
    <n v="0.99180000000000001"/>
    <n v="0.99650000000000005"/>
    <n v="1.0157"/>
    <n v="0.98909999999999998"/>
    <n v="0.94971499999999998"/>
    <n v="0.94297539030574595"/>
    <n v="290200"/>
    <n v="7300"/>
    <n v="297500"/>
    <n v="70500"/>
    <n v="368000"/>
    <n v="0.18102421595871376"/>
    <n v="-0.27543679342240496"/>
    <n v="5.3837342497136315E-2"/>
  </r>
  <r>
    <n v="2025"/>
    <s v="18132214408    "/>
    <n v="-1.9661128563728327"/>
    <n v="0.14000000000000001"/>
    <n v="6298"/>
    <s v="6"/>
    <s v="RES"/>
    <x v="0"/>
    <s v="11"/>
    <s v="259"/>
    <s v="TD"/>
    <s v="A+"/>
    <s v="GD"/>
    <x v="8"/>
    <n v="89"/>
    <n v="53"/>
    <n v="1935"/>
    <n v="1971"/>
    <n v="1357"/>
    <m/>
    <n v="1097"/>
    <n v="0"/>
    <n v="1097"/>
    <m/>
    <n v="2454"/>
    <n v="2500"/>
    <n v="10"/>
    <m/>
    <m/>
    <m/>
    <m/>
    <m/>
    <m/>
    <m/>
    <n v="361980"/>
    <n v="249766"/>
    <n v="784"/>
    <n v="360400"/>
    <n v="46000"/>
    <n v="314400"/>
    <n v="0"/>
    <n v="0"/>
    <n v="89850.625589999996"/>
    <n v="-62236.546971921947"/>
    <n v="29814.093161000001"/>
    <n v="197752.34721000001"/>
    <n v="-11821.416826500001"/>
    <n v="67047.565023089002"/>
    <n v="0"/>
    <n v="0"/>
    <n v="31902.839085959"/>
    <n v="37920.221052000001"/>
    <n v="0"/>
    <n v="800"/>
    <n v="352600"/>
    <n v="27600"/>
    <n v="381000"/>
    <n v="5.7158712541620423E-2"/>
    <n v="0.99970000000000003"/>
    <n v="1.0088999999999999"/>
    <n v="0.99650000000000005"/>
    <n v="0.98919999999999997"/>
    <n v="0.98909999999999998"/>
    <n v="0.94971499999999998"/>
    <n v="0.93420681692829766"/>
    <n v="352600"/>
    <n v="700"/>
    <n v="353300"/>
    <n v="26200"/>
    <n v="379500"/>
    <n v="0.12372773536895675"/>
    <n v="-0.43043478260869567"/>
    <n v="5.2996670366259713E-2"/>
  </r>
  <r>
    <n v="2025"/>
    <s v="18132334465    "/>
    <n v="-1.4271163556401458"/>
    <n v="0.24"/>
    <m/>
    <s v="6"/>
    <s v="RES"/>
    <x v="0"/>
    <s v="11"/>
    <s v="259"/>
    <s v="TU"/>
    <s v="G"/>
    <s v="GD"/>
    <x v="8"/>
    <n v="89"/>
    <n v="53"/>
    <n v="1935"/>
    <n v="1971"/>
    <n v="1178"/>
    <n v="600"/>
    <n v="1000"/>
    <n v="0"/>
    <n v="1000"/>
    <m/>
    <n v="2778"/>
    <n v="3000"/>
    <n v="10"/>
    <m/>
    <n v="178"/>
    <m/>
    <m/>
    <m/>
    <m/>
    <m/>
    <n v="500365"/>
    <n v="345252"/>
    <n v="0"/>
    <n v="403400"/>
    <n v="64800"/>
    <n v="338600"/>
    <n v="0"/>
    <n v="0"/>
    <n v="89850.625589999996"/>
    <n v="-45174.819855485119"/>
    <n v="44121.038090000002"/>
    <n v="197752.34721000001"/>
    <n v="-11821.416826500001"/>
    <n v="58203.413115105999"/>
    <n v="26871.853716599999"/>
    <n v="0"/>
    <n v="29081.895246999997"/>
    <n v="37920.221052000001"/>
    <n v="0"/>
    <n v="0"/>
    <n v="382100"/>
    <n v="44700"/>
    <n v="426800"/>
    <n v="5.8006941001487358E-2"/>
    <n v="0.99970000000000003"/>
    <n v="0.98050000000000004"/>
    <n v="0.99650000000000005"/>
    <n v="0.96179999999999999"/>
    <n v="0.98909999999999998"/>
    <n v="0.94971499999999998"/>
    <n v="0.88276107127906644"/>
    <n v="382100"/>
    <n v="0"/>
    <n v="382100"/>
    <n v="42400"/>
    <n v="424500"/>
    <n v="0.12847017129356172"/>
    <n v="-0.34567901234567899"/>
    <n v="5.2305404065443727E-2"/>
  </r>
  <r>
    <n v="2025"/>
    <s v="18132344465    "/>
    <n v="-1.5606477482646683"/>
    <n v="0.21"/>
    <m/>
    <s v="6"/>
    <s v="RES"/>
    <x v="0"/>
    <s v="11"/>
    <s v="259"/>
    <s v="TD"/>
    <s v="A+"/>
    <s v="FR"/>
    <x v="8"/>
    <n v="89"/>
    <n v="53"/>
    <n v="1935"/>
    <n v="1971"/>
    <n v="1308"/>
    <m/>
    <n v="428"/>
    <n v="0"/>
    <n v="428"/>
    <m/>
    <n v="1736"/>
    <n v="2000"/>
    <n v="8"/>
    <m/>
    <m/>
    <m/>
    <m/>
    <m/>
    <m/>
    <m/>
    <n v="301470"/>
    <n v="195956"/>
    <n v="0"/>
    <n v="282800"/>
    <n v="60100"/>
    <n v="222700"/>
    <n v="0"/>
    <n v="0"/>
    <n v="89850.625589999996"/>
    <n v="-49401.70477837498"/>
    <n v="29814.093161000001"/>
    <n v="133714.53821"/>
    <n v="-11821.416826500001"/>
    <n v="64626.540199116003"/>
    <n v="0"/>
    <n v="0"/>
    <n v="12447.051165715999"/>
    <n v="30336.176841600001"/>
    <n v="0"/>
    <n v="0"/>
    <n v="259100"/>
    <n v="40400"/>
    <n v="299500"/>
    <n v="5.9052333804809051E-2"/>
    <n v="0.99970000000000003"/>
    <n v="1.0088999999999999"/>
    <n v="0.99329999999999996"/>
    <n v="1.0093000000000001"/>
    <n v="0.98909999999999998"/>
    <n v="0.94971499999999998"/>
    <n v="0.95012846643960336"/>
    <n v="259100"/>
    <n v="0"/>
    <n v="259100"/>
    <n v="38400"/>
    <n v="297500"/>
    <n v="0.16344858554108666"/>
    <n v="-0.36106489184692181"/>
    <n v="5.1980198019801978E-2"/>
  </r>
  <r>
    <n v="2025"/>
    <s v="18132324471    "/>
    <n v="-1.8325814637483102"/>
    <n v="0.16"/>
    <m/>
    <s v="6"/>
    <s v="RES"/>
    <x v="0"/>
    <s v="11"/>
    <s v="259"/>
    <s v="BG"/>
    <s v="G"/>
    <s v="AV"/>
    <x v="8"/>
    <n v="89"/>
    <n v="53"/>
    <n v="1935"/>
    <n v="1971"/>
    <n v="1162"/>
    <n v="830"/>
    <n v="778"/>
    <n v="518"/>
    <n v="260"/>
    <m/>
    <n v="2252"/>
    <n v="2500"/>
    <n v="8"/>
    <m/>
    <m/>
    <m/>
    <m/>
    <m/>
    <m/>
    <m/>
    <n v="430693"/>
    <n v="288564"/>
    <n v="4877"/>
    <n v="356600"/>
    <n v="50600"/>
    <n v="306000"/>
    <n v="0"/>
    <n v="0"/>
    <n v="89850.625589999996"/>
    <n v="-58009.662049032086"/>
    <n v="44121.038090000002"/>
    <n v="160472.20319"/>
    <n v="-11821.416826500001"/>
    <n v="57412.874397074003"/>
    <n v="37172.730974630002"/>
    <n v="0"/>
    <n v="22625.714502166"/>
    <n v="30336.176841600001"/>
    <n v="0"/>
    <n v="4900"/>
    <n v="340300"/>
    <n v="31800"/>
    <n v="377000"/>
    <n v="5.7206954570947842E-2"/>
    <n v="0.99970000000000003"/>
    <n v="0.98050000000000004"/>
    <n v="0.99729999999999996"/>
    <n v="0.98919999999999997"/>
    <n v="0.98909999999999998"/>
    <n v="0.94971499999999998"/>
    <n v="0.9086382690108219"/>
    <n v="340300"/>
    <n v="4600"/>
    <n v="344900"/>
    <n v="30200"/>
    <n v="375100"/>
    <n v="0.12712418300653594"/>
    <n v="-0.40316205533596838"/>
    <n v="5.1878855860908582E-2"/>
  </r>
  <r>
    <n v="2025"/>
    <s v="18132212018    "/>
    <n v="-1.0216512475319814"/>
    <n v="0.36"/>
    <n v="15531"/>
    <s v="6"/>
    <s v="RES"/>
    <x v="0"/>
    <s v="11"/>
    <s v="259"/>
    <s v="TD"/>
    <s v="F+"/>
    <s v="GD"/>
    <x v="8"/>
    <n v="89"/>
    <n v="43"/>
    <n v="1935"/>
    <n v="1981"/>
    <n v="1056"/>
    <m/>
    <n v="1056"/>
    <n v="533"/>
    <n v="523"/>
    <m/>
    <n v="1579"/>
    <n v="2000"/>
    <n v="5"/>
    <m/>
    <m/>
    <m/>
    <m/>
    <m/>
    <m/>
    <m/>
    <n v="224959"/>
    <n v="177718"/>
    <n v="13982"/>
    <n v="340600"/>
    <n v="78900"/>
    <n v="261700"/>
    <n v="0"/>
    <n v="0"/>
    <n v="89850.625589999996"/>
    <n v="-32339.977661938148"/>
    <n v="0"/>
    <n v="197752.34721000001"/>
    <n v="-9590.9608215000007"/>
    <n v="52175.555390112"/>
    <n v="0"/>
    <n v="0"/>
    <n v="30710.481380832"/>
    <n v="18960.110526"/>
    <n v="0"/>
    <n v="14000"/>
    <n v="290000"/>
    <n v="57500"/>
    <n v="361500"/>
    <n v="6.1362301820317086E-2"/>
    <n v="0.99970000000000003"/>
    <n v="0.99180000000000001"/>
    <n v="0.99650000000000005"/>
    <n v="1.0093000000000001"/>
    <n v="0.98909999999999998"/>
    <n v="0.94971499999999998"/>
    <n v="0.93703363339134527"/>
    <n v="290000"/>
    <n v="13300"/>
    <n v="303300"/>
    <n v="54600"/>
    <n v="357900"/>
    <n v="0.15896064195643866"/>
    <n v="-0.30798479087452474"/>
    <n v="5.0792718731650033E-2"/>
  </r>
  <r>
    <n v="2025"/>
    <s v="18132334519    "/>
    <n v="-1.8971199848858813"/>
    <n v="0.15"/>
    <m/>
    <s v="6"/>
    <s v="RES"/>
    <x v="0"/>
    <s v="11"/>
    <s v="259"/>
    <s v="BG"/>
    <s v="A"/>
    <s v="GD"/>
    <x v="8"/>
    <n v="89"/>
    <n v="53"/>
    <n v="1935"/>
    <n v="1971"/>
    <n v="1064"/>
    <n v="476"/>
    <n v="1064"/>
    <n v="0"/>
    <n v="1064"/>
    <m/>
    <n v="2604"/>
    <n v="3000"/>
    <n v="8"/>
    <m/>
    <m/>
    <m/>
    <m/>
    <m/>
    <m/>
    <m/>
    <n v="329470"/>
    <n v="227334"/>
    <n v="0"/>
    <n v="353200"/>
    <n v="48400"/>
    <n v="304800"/>
    <n v="0"/>
    <n v="0"/>
    <n v="89850.625589999996"/>
    <n v="-60052.604136134301"/>
    <n v="21557.329055999999"/>
    <n v="197752.34721000001"/>
    <n v="-11821.416826500001"/>
    <n v="52570.824749127998"/>
    <n v="21318.337281836"/>
    <n v="0"/>
    <n v="30943.136542807999"/>
    <n v="30336.176841600001"/>
    <n v="0"/>
    <n v="0"/>
    <n v="342700"/>
    <n v="29800"/>
    <n v="372500"/>
    <n v="5.4643261608154019E-2"/>
    <n v="0.99970000000000003"/>
    <n v="1.0067999999999999"/>
    <n v="0.99650000000000005"/>
    <n v="0.96179999999999999"/>
    <n v="0.98909999999999998"/>
    <n v="0.94971499999999998"/>
    <n v="0.90643941515937176"/>
    <n v="342700"/>
    <n v="0"/>
    <n v="342700"/>
    <n v="28300"/>
    <n v="371000"/>
    <n v="0.12434383202099737"/>
    <n v="-0.41528925619834711"/>
    <n v="5.0396375990939976E-2"/>
  </r>
  <r>
    <n v="2025"/>
    <s v="18132332517    "/>
    <n v="-1.7719568419318752"/>
    <n v="0.17"/>
    <m/>
    <s v="6"/>
    <s v="RES"/>
    <x v="0"/>
    <s v="11"/>
    <s v="259"/>
    <s v="TD"/>
    <s v="A"/>
    <s v="GD"/>
    <x v="8"/>
    <n v="89"/>
    <n v="53"/>
    <n v="1935"/>
    <n v="1971"/>
    <n v="1066"/>
    <m/>
    <n v="1066"/>
    <n v="0"/>
    <n v="1066"/>
    <m/>
    <n v="2132"/>
    <n v="2500"/>
    <n v="9"/>
    <m/>
    <m/>
    <m/>
    <m/>
    <m/>
    <m/>
    <m/>
    <n v="277284"/>
    <n v="191326"/>
    <n v="0"/>
    <n v="340300"/>
    <n v="52700"/>
    <n v="287600"/>
    <n v="0"/>
    <n v="0"/>
    <n v="89850.625589999996"/>
    <n v="-56090.612940989391"/>
    <n v="21557.329055999999"/>
    <n v="197752.34721000001"/>
    <n v="-11821.416826500001"/>
    <n v="52669.642088881999"/>
    <n v="0"/>
    <n v="0"/>
    <n v="31001.300333301999"/>
    <n v="34128.198946800003"/>
    <n v="0"/>
    <n v="0"/>
    <n v="325300"/>
    <n v="33800"/>
    <n v="359100"/>
    <n v="5.5245371730825742E-2"/>
    <n v="0.99970000000000003"/>
    <n v="1.0067999999999999"/>
    <n v="0.99650000000000005"/>
    <n v="0.98919999999999997"/>
    <n v="0.98909999999999998"/>
    <n v="0.94971499999999998"/>
    <n v="0.9322622889120924"/>
    <n v="325300"/>
    <n v="0"/>
    <n v="325300"/>
    <n v="32100"/>
    <n v="357400"/>
    <n v="0.13108484005563281"/>
    <n v="-0.39089184060721061"/>
    <n v="5.0249779606229797E-2"/>
  </r>
  <r>
    <n v="2025"/>
    <s v="18132214035    "/>
    <n v="-1.8325814637483102"/>
    <n v="0.16"/>
    <n v="6848"/>
    <s v="6"/>
    <s v="RES"/>
    <x v="0"/>
    <s v="11"/>
    <s v="259"/>
    <s v="TD"/>
    <s v="F+"/>
    <s v="AV"/>
    <x v="8"/>
    <n v="89"/>
    <n v="53"/>
    <n v="1935"/>
    <n v="1971"/>
    <n v="806"/>
    <m/>
    <n v="806"/>
    <n v="403"/>
    <n v="403"/>
    <m/>
    <n v="1209"/>
    <n v="1500"/>
    <n v="5"/>
    <m/>
    <m/>
    <n v="234"/>
    <m/>
    <m/>
    <m/>
    <m/>
    <n v="185381"/>
    <n v="124205"/>
    <n v="6724"/>
    <n v="262200"/>
    <n v="50600"/>
    <n v="211600"/>
    <n v="0"/>
    <n v="0"/>
    <n v="89850.625589999996"/>
    <n v="-58009.662049032086"/>
    <n v="0"/>
    <n v="160472.20319"/>
    <n v="-11821.416826500001"/>
    <n v="39823.387920861998"/>
    <n v="0"/>
    <n v="0"/>
    <n v="23440.007569081998"/>
    <n v="18960.110526"/>
    <n v="7791.1505745840004"/>
    <n v="6700"/>
    <n v="238700"/>
    <n v="31800"/>
    <n v="277200"/>
    <n v="5.7208237986270026E-2"/>
    <n v="0.99970000000000003"/>
    <n v="0.99180000000000001"/>
    <n v="0.99729999999999996"/>
    <n v="1.0157"/>
    <n v="0.98909999999999998"/>
    <n v="0.94971499999999998"/>
    <n v="0.94373242022269987"/>
    <n v="238700"/>
    <n v="6400"/>
    <n v="245100"/>
    <n v="30200"/>
    <n v="275300"/>
    <n v="0.15831758034026466"/>
    <n v="-0.40316205533596838"/>
    <n v="4.9961861174675819E-2"/>
  </r>
  <r>
    <n v="2025"/>
    <s v="18132332504    "/>
    <n v="-1.7719568419318752"/>
    <n v="0.17"/>
    <m/>
    <s v="6"/>
    <s v="RES"/>
    <x v="0"/>
    <s v="11"/>
    <s v="259"/>
    <s v="RN"/>
    <s v="A"/>
    <s v="AV"/>
    <x v="8"/>
    <n v="89"/>
    <n v="53"/>
    <n v="1935"/>
    <n v="1971"/>
    <n v="1260"/>
    <m/>
    <m/>
    <n v="0"/>
    <m/>
    <m/>
    <n v="1260"/>
    <n v="1500"/>
    <n v="7"/>
    <n v="336"/>
    <m/>
    <m/>
    <m/>
    <m/>
    <m/>
    <m/>
    <n v="227765"/>
    <n v="152603"/>
    <n v="0"/>
    <n v="277400"/>
    <n v="52700"/>
    <n v="224700"/>
    <n v="0"/>
    <n v="0"/>
    <n v="89850.625589999996"/>
    <n v="-56090.612940989391"/>
    <n v="21557.329055999999"/>
    <n v="160472.20319"/>
    <n v="-11821.416826500001"/>
    <n v="62254.924045020001"/>
    <n v="0"/>
    <n v="0"/>
    <n v="0"/>
    <n v="26544.1547364"/>
    <n v="0"/>
    <n v="0"/>
    <n v="259000"/>
    <n v="33800"/>
    <n v="292800"/>
    <n v="5.5515501081470797E-2"/>
    <n v="0.99970000000000003"/>
    <n v="1.0067999999999999"/>
    <n v="0.99729999999999996"/>
    <n v="1.0157"/>
    <n v="0.98909999999999998"/>
    <n v="0.94971499999999998"/>
    <n v="0.95800544533193577"/>
    <n v="259000"/>
    <n v="0"/>
    <n v="259000"/>
    <n v="32100"/>
    <n v="291100"/>
    <n v="0.15264797507788161"/>
    <n v="-0.39089184060721061"/>
    <n v="4.9387166546503242E-2"/>
  </r>
  <r>
    <n v="2025"/>
    <s v="18132334513    "/>
    <n v="-1.8325814637483102"/>
    <n v="0.16"/>
    <m/>
    <s v="6"/>
    <s v="RES"/>
    <x v="0"/>
    <s v="11"/>
    <s v="259"/>
    <s v="CC"/>
    <s v="A"/>
    <s v="AV"/>
    <x v="8"/>
    <n v="89"/>
    <n v="53"/>
    <n v="1935"/>
    <n v="1971"/>
    <n v="906"/>
    <n v="384"/>
    <n v="906"/>
    <n v="453"/>
    <n v="453"/>
    <m/>
    <n v="1743"/>
    <n v="2000"/>
    <n v="7"/>
    <m/>
    <m/>
    <m/>
    <m/>
    <m/>
    <m/>
    <m/>
    <n v="259556"/>
    <n v="173903"/>
    <n v="6926"/>
    <n v="306800"/>
    <n v="50600"/>
    <n v="256200"/>
    <n v="0"/>
    <n v="0"/>
    <n v="89850.625589999996"/>
    <n v="-58009.662049032086"/>
    <n v="21557.329055999999"/>
    <n v="160472.20319"/>
    <n v="-11821.416826500001"/>
    <n v="44764.254908561998"/>
    <n v="17197.986378623998"/>
    <n v="0"/>
    <n v="26348.197093781997"/>
    <n v="26544.1547364"/>
    <n v="0"/>
    <n v="6900"/>
    <n v="285100"/>
    <n v="31800"/>
    <n v="323800"/>
    <n v="5.5410691003911342E-2"/>
    <n v="0.99970000000000003"/>
    <n v="1.0067999999999999"/>
    <n v="0.99729999999999996"/>
    <n v="1.0093000000000001"/>
    <n v="0.98909999999999998"/>
    <n v="0.94971499999999998"/>
    <n v="0.95196898294134369"/>
    <n v="285100"/>
    <n v="6600"/>
    <n v="291700"/>
    <n v="30200"/>
    <n v="321900"/>
    <n v="0.13856362217017953"/>
    <n v="-0.40316205533596838"/>
    <n v="4.921773142112125E-2"/>
  </r>
  <r>
    <n v="2025"/>
    <s v="18132332467    "/>
    <n v="-1.4696759700589417"/>
    <n v="0.23"/>
    <m/>
    <s v="6"/>
    <s v="RES"/>
    <x v="0"/>
    <s v="11"/>
    <s v="259"/>
    <s v="CC"/>
    <s v="A"/>
    <s v="GD"/>
    <x v="8"/>
    <n v="89"/>
    <n v="53"/>
    <n v="1935"/>
    <n v="1971"/>
    <n v="768"/>
    <n v="384"/>
    <n v="768"/>
    <n v="0"/>
    <n v="768"/>
    <m/>
    <n v="1920"/>
    <n v="2000"/>
    <n v="9"/>
    <m/>
    <m/>
    <m/>
    <m/>
    <m/>
    <m/>
    <m/>
    <n v="262568"/>
    <n v="181172"/>
    <n v="7919"/>
    <n v="350500"/>
    <n v="63300"/>
    <n v="287200"/>
    <n v="0"/>
    <n v="0"/>
    <n v="89850.625589999996"/>
    <n v="-46522.028095997222"/>
    <n v="21557.329055999999"/>
    <n v="197752.34721000001"/>
    <n v="-11821.416826500001"/>
    <n v="37945.858465536003"/>
    <n v="17197.986378623998"/>
    <n v="0"/>
    <n v="22334.895549695997"/>
    <n v="34128.198946800003"/>
    <n v="0"/>
    <n v="7900"/>
    <n v="319100"/>
    <n v="43300"/>
    <n v="370300"/>
    <n v="5.6490727532097003E-2"/>
    <n v="0.99970000000000003"/>
    <n v="1.0067999999999999"/>
    <n v="0.99650000000000005"/>
    <n v="1.0093000000000001"/>
    <n v="0.98909999999999998"/>
    <n v="0.94971499999999998"/>
    <n v="0.95120534593507355"/>
    <n v="319100"/>
    <n v="7500"/>
    <n v="326600"/>
    <n v="41100"/>
    <n v="367700"/>
    <n v="0.13718662952646241"/>
    <n v="-0.35071090047393366"/>
    <n v="4.9072753209700427E-2"/>
  </r>
  <r>
    <n v="2025"/>
    <s v="18132342497    "/>
    <n v="-1.3470736479666092"/>
    <n v="0.26"/>
    <n v="11234"/>
    <s v="6"/>
    <s v="RES"/>
    <x v="0"/>
    <s v="11"/>
    <s v="259"/>
    <s v="TD"/>
    <s v="G"/>
    <s v="GD"/>
    <x v="8"/>
    <n v="89"/>
    <n v="53"/>
    <n v="1935"/>
    <n v="1971"/>
    <n v="1869"/>
    <m/>
    <n v="1441"/>
    <n v="341"/>
    <n v="1100"/>
    <m/>
    <n v="2969"/>
    <n v="3000"/>
    <n v="10"/>
    <m/>
    <m/>
    <m/>
    <m/>
    <m/>
    <m/>
    <m/>
    <n v="552234"/>
    <n v="381041"/>
    <n v="13177"/>
    <n v="438800"/>
    <n v="67600"/>
    <n v="371200"/>
    <n v="0"/>
    <n v="0"/>
    <n v="89850.625589999996"/>
    <n v="-42641.098701210125"/>
    <n v="44121.038090000002"/>
    <n v="197752.34721000001"/>
    <n v="-11821.416826500001"/>
    <n v="92344.804000112999"/>
    <n v="0"/>
    <n v="0"/>
    <n v="41907.011050926994"/>
    <n v="37920.221052000001"/>
    <n v="0"/>
    <n v="13200"/>
    <n v="402200"/>
    <n v="47200"/>
    <n v="462600"/>
    <n v="5.423883318140383E-2"/>
    <n v="0.99970000000000003"/>
    <n v="0.98050000000000004"/>
    <n v="0.99650000000000005"/>
    <n v="0.96179999999999999"/>
    <n v="0.98909999999999998"/>
    <n v="0.94971499999999998"/>
    <n v="0.88276107127906644"/>
    <n v="402200"/>
    <n v="12500"/>
    <n v="414700"/>
    <n v="44800"/>
    <n v="459500"/>
    <n v="0.1171875"/>
    <n v="-0.33727810650887574"/>
    <n v="4.7174111212397445E-2"/>
  </r>
  <r>
    <n v="2025"/>
    <s v="18132334005    "/>
    <n v="-1.4271163556401458"/>
    <n v="0.24"/>
    <n v="10273"/>
    <s v="6"/>
    <s v="RES"/>
    <x v="0"/>
    <s v="11"/>
    <s v="259"/>
    <s v="RN"/>
    <s v="G"/>
    <s v="GD"/>
    <x v="8"/>
    <n v="89"/>
    <n v="53"/>
    <n v="1935"/>
    <n v="1971"/>
    <n v="1627"/>
    <m/>
    <n v="910"/>
    <n v="0"/>
    <n v="910"/>
    <m/>
    <n v="2537"/>
    <n v="3000"/>
    <n v="8"/>
    <m/>
    <m/>
    <m/>
    <m/>
    <m/>
    <m/>
    <m/>
    <n v="463389"/>
    <n v="319738"/>
    <n v="12721"/>
    <n v="403000"/>
    <n v="64800"/>
    <n v="338200"/>
    <n v="0"/>
    <n v="0"/>
    <n v="89850.625589999996"/>
    <n v="-45174.819855485119"/>
    <n v="44121.038090000002"/>
    <n v="197752.34721000001"/>
    <n v="-11821.416826500001"/>
    <n v="80387.905889878995"/>
    <n v="0"/>
    <n v="0"/>
    <n v="26464.52467477"/>
    <n v="30336.176841600001"/>
    <n v="0"/>
    <n v="12700"/>
    <n v="367200"/>
    <n v="44700"/>
    <n v="424600"/>
    <n v="5.3598014888337472E-2"/>
    <n v="0.99970000000000003"/>
    <n v="0.98050000000000004"/>
    <n v="0.99650000000000005"/>
    <n v="0.96179999999999999"/>
    <n v="0.98909999999999998"/>
    <n v="0.94971499999999998"/>
    <n v="0.88276107127906644"/>
    <n v="367200"/>
    <n v="12100"/>
    <n v="379300"/>
    <n v="42400"/>
    <n v="421700"/>
    <n v="0.12152572442341809"/>
    <n v="-0.34567901234567899"/>
    <n v="4.6401985111662533E-2"/>
  </r>
  <r>
    <n v="2025"/>
    <s v="18132241435    "/>
    <n v="-1.6094379124341003"/>
    <n v="0.2"/>
    <n v="8519"/>
    <s v="6"/>
    <s v="RES"/>
    <x v="0"/>
    <s v="11"/>
    <s v="259"/>
    <s v="CO"/>
    <s v="A"/>
    <s v="GD"/>
    <x v="8"/>
    <n v="89"/>
    <n v="53"/>
    <n v="1935"/>
    <n v="1971"/>
    <n v="1162"/>
    <n v="582"/>
    <n v="840"/>
    <n v="0"/>
    <n v="840"/>
    <m/>
    <n v="2584"/>
    <n v="3000"/>
    <n v="8"/>
    <m/>
    <m/>
    <m/>
    <m/>
    <m/>
    <m/>
    <m/>
    <n v="339389"/>
    <n v="234178"/>
    <n v="10972"/>
    <n v="376200"/>
    <n v="58400"/>
    <n v="317800"/>
    <n v="0"/>
    <n v="0"/>
    <n v="89850.625589999996"/>
    <n v="-50946.13867709865"/>
    <n v="21557.329055999999"/>
    <n v="197752.34721000001"/>
    <n v="-11821.416826500001"/>
    <n v="57412.874397074003"/>
    <n v="26065.698105101997"/>
    <n v="0"/>
    <n v="24428.792007479999"/>
    <n v="30336.176841600001"/>
    <n v="0"/>
    <n v="11000"/>
    <n v="345700"/>
    <n v="38900"/>
    <n v="395600"/>
    <n v="5.1568314726209465E-2"/>
    <n v="0.99970000000000003"/>
    <n v="1.0067999999999999"/>
    <n v="0.99650000000000005"/>
    <n v="0.96179999999999999"/>
    <n v="0.98909999999999998"/>
    <n v="0.94971499999999998"/>
    <n v="0.90643941515937176"/>
    <n v="345700"/>
    <n v="10400"/>
    <n v="356100"/>
    <n v="36900"/>
    <n v="393000"/>
    <n v="0.12051604782882316"/>
    <n v="-0.36815068493150682"/>
    <n v="4.4657097288676235E-2"/>
  </r>
  <r>
    <n v="2025"/>
    <s v="18132334416    "/>
    <n v="-1.8971199848858813"/>
    <n v="0.15"/>
    <m/>
    <s v="6"/>
    <s v="RES"/>
    <x v="0"/>
    <s v="11"/>
    <s v="259"/>
    <s v="TD"/>
    <s v="A"/>
    <s v="GD"/>
    <x v="8"/>
    <n v="89"/>
    <n v="53"/>
    <n v="1935"/>
    <n v="1971"/>
    <n v="1059"/>
    <m/>
    <n v="1059"/>
    <n v="159"/>
    <n v="900"/>
    <m/>
    <n v="1959"/>
    <n v="2000"/>
    <n v="8"/>
    <m/>
    <m/>
    <m/>
    <m/>
    <m/>
    <m/>
    <m/>
    <n v="272660"/>
    <n v="188135"/>
    <n v="14415"/>
    <n v="347500"/>
    <n v="48400"/>
    <n v="299100"/>
    <n v="0"/>
    <n v="0"/>
    <n v="89850.625589999996"/>
    <n v="-60052.604136134301"/>
    <n v="21557.329055999999"/>
    <n v="197752.34721000001"/>
    <n v="-11821.416826500001"/>
    <n v="52323.781399742998"/>
    <n v="0"/>
    <n v="0"/>
    <n v="30797.727066572999"/>
    <n v="30336.176841600001"/>
    <n v="0"/>
    <n v="14400"/>
    <n v="320900"/>
    <n v="29800"/>
    <n v="365100"/>
    <n v="5.0647482014388491E-2"/>
    <n v="0.99970000000000003"/>
    <n v="1.0067999999999999"/>
    <n v="0.99650000000000005"/>
    <n v="1.0093000000000001"/>
    <n v="0.98909999999999998"/>
    <n v="0.94971499999999998"/>
    <n v="0.95120534593507355"/>
    <n v="320900"/>
    <n v="13700"/>
    <n v="334600"/>
    <n v="28300"/>
    <n v="362900"/>
    <n v="0.11868940153794717"/>
    <n v="-0.41528925619834711"/>
    <n v="4.4316546762589927E-2"/>
  </r>
  <r>
    <n v="2025"/>
    <s v="18132214052    "/>
    <n v="-1.5141277326297755"/>
    <n v="0.22"/>
    <n v="9418"/>
    <s v="6"/>
    <s v="RES"/>
    <x v="0"/>
    <s v="11"/>
    <s v="259"/>
    <s v="CO"/>
    <s v="A"/>
    <s v="AV"/>
    <x v="8"/>
    <n v="89"/>
    <n v="53"/>
    <n v="1935"/>
    <n v="1971"/>
    <n v="1485"/>
    <n v="510"/>
    <m/>
    <n v="0"/>
    <m/>
    <m/>
    <n v="1995"/>
    <n v="2000"/>
    <n v="5"/>
    <m/>
    <m/>
    <m/>
    <m/>
    <m/>
    <m/>
    <m/>
    <n v="270337"/>
    <n v="181126"/>
    <n v="0"/>
    <n v="311600"/>
    <n v="61700"/>
    <n v="249900"/>
    <n v="0"/>
    <n v="0"/>
    <n v="89850.625589999996"/>
    <n v="-47929.131559187132"/>
    <n v="21557.329055999999"/>
    <n v="160472.20319"/>
    <n v="-11821.416826500001"/>
    <n v="73371.874767344998"/>
    <n v="22841.07565911"/>
    <n v="0"/>
    <n v="0"/>
    <n v="18960.110526"/>
    <n v="0"/>
    <n v="0"/>
    <n v="285400"/>
    <n v="41900"/>
    <n v="327300"/>
    <n v="5.0385109114249038E-2"/>
    <n v="0.99970000000000003"/>
    <n v="1.0067999999999999"/>
    <n v="0.99729999999999996"/>
    <n v="1.0093000000000001"/>
    <n v="0.98909999999999998"/>
    <n v="0.94971499999999998"/>
    <n v="0.95196898294134369"/>
    <n v="285400"/>
    <n v="0"/>
    <n v="285400"/>
    <n v="39800"/>
    <n v="325200"/>
    <n v="0.14205682272909165"/>
    <n v="-0.35494327390599678"/>
    <n v="4.3645699614890884E-2"/>
  </r>
  <r>
    <n v="2025"/>
    <s v="18132244048    "/>
    <n v="-1.3093333199837622"/>
    <n v="0.27"/>
    <n v="11798"/>
    <s v="6"/>
    <s v="RES"/>
    <x v="0"/>
    <s v="11"/>
    <s v="259"/>
    <s v="CO"/>
    <s v="A"/>
    <s v="AV"/>
    <x v="8"/>
    <n v="89"/>
    <n v="53"/>
    <n v="1935"/>
    <n v="1971"/>
    <n v="1040"/>
    <n v="358"/>
    <n v="805"/>
    <n v="403"/>
    <n v="402"/>
    <m/>
    <n v="1800"/>
    <n v="2000"/>
    <n v="8"/>
    <m/>
    <m/>
    <m/>
    <m/>
    <m/>
    <m/>
    <m/>
    <n v="266228"/>
    <n v="178373"/>
    <n v="7472"/>
    <n v="330100"/>
    <n v="68900"/>
    <n v="261200"/>
    <n v="0"/>
    <n v="0"/>
    <n v="89850.625589999996"/>
    <n v="-41446.443120973789"/>
    <n v="21557.329055999999"/>
    <n v="160472.20319"/>
    <n v="-11821.416826500001"/>
    <n v="51385.016672080004"/>
    <n v="16033.539384238"/>
    <n v="0"/>
    <n v="23410.925673834998"/>
    <n v="30336.176841600001"/>
    <n v="0"/>
    <n v="7500"/>
    <n v="291400"/>
    <n v="48400"/>
    <n v="347300"/>
    <n v="5.2105422599212359E-2"/>
    <n v="0.99970000000000003"/>
    <n v="1.0067999999999999"/>
    <n v="0.99729999999999996"/>
    <n v="1.0093000000000001"/>
    <n v="0.98909999999999998"/>
    <n v="0.94971499999999998"/>
    <n v="0.95196898294134369"/>
    <n v="291400"/>
    <n v="7100"/>
    <n v="298500"/>
    <n v="46000"/>
    <n v="344500"/>
    <n v="0.14280245022970903"/>
    <n v="-0.33236574746008707"/>
    <n v="4.3623144501666163E-2"/>
  </r>
  <r>
    <n v="2025"/>
    <s v="18132213002    "/>
    <n v="-1.6607312068216509"/>
    <n v="0.19"/>
    <n v="8200"/>
    <s v="6"/>
    <s v="RES"/>
    <x v="0"/>
    <s v="11"/>
    <s v="259"/>
    <s v="TD"/>
    <s v="A"/>
    <s v="AV"/>
    <x v="8"/>
    <n v="89"/>
    <n v="53"/>
    <n v="1935"/>
    <n v="1971"/>
    <n v="900"/>
    <m/>
    <n v="810"/>
    <n v="0"/>
    <n v="810"/>
    <m/>
    <n v="1710"/>
    <n v="2000"/>
    <n v="6"/>
    <m/>
    <m/>
    <n v="459"/>
    <m/>
    <m/>
    <m/>
    <m/>
    <n v="231385"/>
    <n v="155028"/>
    <n v="4603"/>
    <n v="302900"/>
    <n v="56600"/>
    <n v="246300"/>
    <n v="0"/>
    <n v="0"/>
    <n v="89850.625589999996"/>
    <n v="-52569.808201026557"/>
    <n v="21557.329055999999"/>
    <n v="160472.20319"/>
    <n v="-11821.416826500001"/>
    <n v="44467.802889300001"/>
    <n v="0"/>
    <n v="0"/>
    <n v="23556.335150069997"/>
    <n v="22752.132631200002"/>
    <n v="15282.641511684002"/>
    <n v="4600"/>
    <n v="276300"/>
    <n v="37300"/>
    <n v="318200"/>
    <n v="5.0511720039617035E-2"/>
    <n v="0.99970000000000003"/>
    <n v="1.0067999999999999"/>
    <n v="0.99729999999999996"/>
    <n v="1.0093000000000001"/>
    <n v="0.98909999999999998"/>
    <n v="0.94971499999999998"/>
    <n v="0.95196898294134369"/>
    <n v="276300"/>
    <n v="4400"/>
    <n v="280700"/>
    <n v="35400"/>
    <n v="316100"/>
    <n v="0.13966707267559886"/>
    <n v="-0.37455830388692579"/>
    <n v="4.3578738857708813E-2"/>
  </r>
  <r>
    <n v="2025"/>
    <s v="18132241002    "/>
    <n v="-1.7147984280919266"/>
    <n v="0.18"/>
    <n v="7720"/>
    <s v="6"/>
    <s v="RES"/>
    <x v="0"/>
    <s v="11"/>
    <s v="259"/>
    <s v="CO"/>
    <s v="G"/>
    <s v="AV"/>
    <x v="8"/>
    <n v="89"/>
    <n v="53"/>
    <n v="1935"/>
    <n v="1971"/>
    <n v="1488"/>
    <n v="564"/>
    <n v="1063"/>
    <n v="671"/>
    <n v="392"/>
    <m/>
    <n v="2444"/>
    <n v="2500"/>
    <n v="10"/>
    <m/>
    <n v="425"/>
    <m/>
    <m/>
    <m/>
    <m/>
    <m/>
    <n v="507274"/>
    <n v="339874"/>
    <n v="0"/>
    <n v="377800"/>
    <n v="54700"/>
    <n v="323100"/>
    <n v="0"/>
    <n v="0"/>
    <n v="89850.625589999996"/>
    <n v="-54281.285314520763"/>
    <n v="44121.038090000002"/>
    <n v="160472.20319"/>
    <n v="-11821.416826500001"/>
    <n v="73520.100776976004"/>
    <n v="25259.542493604"/>
    <n v="0"/>
    <n v="30914.054647560999"/>
    <n v="37920.221052000001"/>
    <n v="0"/>
    <n v="0"/>
    <n v="360400"/>
    <n v="35600"/>
    <n v="396000"/>
    <n v="4.8173636844891475E-2"/>
    <n v="0.99970000000000003"/>
    <n v="0.98050000000000004"/>
    <n v="0.99729999999999996"/>
    <n v="0.98919999999999997"/>
    <n v="0.98909999999999998"/>
    <n v="0.94971499999999998"/>
    <n v="0.9086382690108219"/>
    <n v="360400"/>
    <n v="0"/>
    <n v="360400"/>
    <n v="33800"/>
    <n v="394200"/>
    <n v="0.11544413494274218"/>
    <n v="-0.38208409506398539"/>
    <n v="4.340921122286924E-2"/>
  </r>
  <r>
    <n v="2025"/>
    <s v="18132344454    "/>
    <n v="-1.8971199848858813"/>
    <n v="0.15"/>
    <n v="6500"/>
    <s v="6"/>
    <s v="RES"/>
    <x v="0"/>
    <s v="11"/>
    <s v="259"/>
    <s v="TD"/>
    <s v="F+"/>
    <s v="AV"/>
    <x v="8"/>
    <n v="89"/>
    <n v="53"/>
    <n v="1935"/>
    <n v="1971"/>
    <n v="1080"/>
    <m/>
    <n v="400"/>
    <n v="400"/>
    <m/>
    <m/>
    <n v="1080"/>
    <n v="1500"/>
    <n v="8"/>
    <m/>
    <m/>
    <m/>
    <m/>
    <m/>
    <m/>
    <m/>
    <n v="182776"/>
    <n v="122460"/>
    <n v="7601"/>
    <n v="268300"/>
    <n v="48400"/>
    <n v="219900"/>
    <n v="0"/>
    <n v="0"/>
    <n v="89850.625589999996"/>
    <n v="-60052.604136134301"/>
    <n v="0"/>
    <n v="160472.20319"/>
    <n v="-11821.416826500001"/>
    <n v="53361.363467160001"/>
    <n v="0"/>
    <n v="0"/>
    <n v="11632.758098799999"/>
    <n v="30336.176841600001"/>
    <n v="0"/>
    <n v="7600"/>
    <n v="244000"/>
    <n v="29800"/>
    <n v="281400"/>
    <n v="4.8825941110696984E-2"/>
    <n v="0.99970000000000003"/>
    <n v="0.99180000000000001"/>
    <n v="0.99729999999999996"/>
    <n v="1.0157"/>
    <n v="0.98909999999999998"/>
    <n v="0.94971499999999998"/>
    <n v="0.94373242022269987"/>
    <n v="244000"/>
    <n v="7200"/>
    <n v="251200"/>
    <n v="28300"/>
    <n v="279500"/>
    <n v="0.142337426102774"/>
    <n v="-0.41528925619834711"/>
    <n v="4.1744316064107341E-2"/>
  </r>
  <r>
    <n v="2025"/>
    <s v="18132334415    "/>
    <n v="-1.8971199848858813"/>
    <n v="0.15"/>
    <m/>
    <s v="6"/>
    <s v="RES"/>
    <x v="0"/>
    <s v="11"/>
    <s v="259"/>
    <s v="TD"/>
    <s v="A+"/>
    <s v="GD"/>
    <x v="8"/>
    <n v="89"/>
    <n v="53"/>
    <n v="1935"/>
    <n v="1971"/>
    <n v="1395"/>
    <m/>
    <n v="1395"/>
    <n v="0"/>
    <n v="1395"/>
    <m/>
    <n v="2790"/>
    <n v="3000"/>
    <n v="8"/>
    <m/>
    <m/>
    <m/>
    <m/>
    <m/>
    <m/>
    <m/>
    <n v="419647"/>
    <n v="289556"/>
    <n v="13168"/>
    <n v="380600"/>
    <n v="48400"/>
    <n v="332200"/>
    <n v="0"/>
    <n v="0"/>
    <n v="89850.625589999996"/>
    <n v="-60052.604136134301"/>
    <n v="29814.093161000001"/>
    <n v="197752.34721000001"/>
    <n v="-11821.416826500001"/>
    <n v="68925.094478415005"/>
    <n v="0"/>
    <n v="0"/>
    <n v="40569.243869564998"/>
    <n v="30336.176841600001"/>
    <n v="0"/>
    <n v="13200"/>
    <n v="355600"/>
    <n v="29800"/>
    <n v="398600"/>
    <n v="4.7293746715712036E-2"/>
    <n v="0.99970000000000003"/>
    <n v="1.0088999999999999"/>
    <n v="0.99650000000000005"/>
    <n v="0.96179999999999999"/>
    <n v="0.98909999999999998"/>
    <n v="0.94971499999999998"/>
    <n v="0.90833008140076499"/>
    <n v="355600"/>
    <n v="12500"/>
    <n v="368100"/>
    <n v="28300"/>
    <n v="396400"/>
    <n v="0.10806742925948223"/>
    <n v="-0.41528925619834711"/>
    <n v="4.1513399894902783E-2"/>
  </r>
  <r>
    <n v="2025"/>
    <s v="18132314438    "/>
    <n v="-1.9661128563728327"/>
    <n v="0.14000000000000001"/>
    <m/>
    <s v="6"/>
    <s v="RES"/>
    <x v="0"/>
    <s v="11"/>
    <s v="259"/>
    <s v="BG"/>
    <s v="F+"/>
    <s v="AV"/>
    <x v="8"/>
    <n v="89"/>
    <n v="53"/>
    <n v="1935"/>
    <n v="1971"/>
    <n v="990"/>
    <m/>
    <n v="990"/>
    <n v="740"/>
    <n v="250"/>
    <m/>
    <n v="1240"/>
    <n v="1500"/>
    <n v="5"/>
    <m/>
    <m/>
    <m/>
    <m/>
    <m/>
    <m/>
    <m/>
    <n v="202133"/>
    <n v="135429"/>
    <n v="4350"/>
    <n v="265200"/>
    <n v="46000"/>
    <n v="219200"/>
    <n v="0"/>
    <n v="0"/>
    <n v="89850.625589999996"/>
    <n v="-62236.546971921947"/>
    <n v="0"/>
    <n v="160472.20319"/>
    <n v="-11821.416826500001"/>
    <n v="48914.583178230001"/>
    <n v="0"/>
    <n v="0"/>
    <n v="28791.076294529998"/>
    <n v="18960.110526"/>
    <n v="0"/>
    <n v="4400"/>
    <n v="245300"/>
    <n v="27600"/>
    <n v="277300"/>
    <n v="4.5625942684766212E-2"/>
    <n v="0.99970000000000003"/>
    <n v="0.99180000000000001"/>
    <n v="0.99729999999999996"/>
    <n v="1.0157"/>
    <n v="0.98909999999999998"/>
    <n v="0.94971499999999998"/>
    <n v="0.94373242022269987"/>
    <n v="245300"/>
    <n v="4100"/>
    <n v="249400"/>
    <n v="26200"/>
    <n v="275600"/>
    <n v="0.13777372262773724"/>
    <n v="-0.43043478260869567"/>
    <n v="3.9215686274509803E-2"/>
  </r>
  <r>
    <n v="2025"/>
    <s v="18132323014    "/>
    <n v="-1.6094379124341003"/>
    <n v="0.2"/>
    <n v="8748"/>
    <s v="6"/>
    <s v="RES"/>
    <x v="0"/>
    <s v="11"/>
    <s v="259"/>
    <s v="TD"/>
    <s v="A"/>
    <s v="AV"/>
    <x v="8"/>
    <n v="89"/>
    <n v="53"/>
    <n v="1935"/>
    <n v="1971"/>
    <n v="1074"/>
    <m/>
    <n v="537"/>
    <n v="5"/>
    <n v="532"/>
    <m/>
    <n v="1606"/>
    <n v="2000"/>
    <n v="5"/>
    <m/>
    <m/>
    <m/>
    <m/>
    <m/>
    <m/>
    <m/>
    <n v="232536"/>
    <n v="155799"/>
    <n v="7345"/>
    <n v="290600"/>
    <n v="58400"/>
    <n v="232200"/>
    <n v="0"/>
    <n v="0"/>
    <n v="89850.625589999996"/>
    <n v="-50946.13867709865"/>
    <n v="21557.329055999999"/>
    <n v="160472.20319"/>
    <n v="-11821.416826500001"/>
    <n v="53064.911447898005"/>
    <n v="0"/>
    <n v="0"/>
    <n v="15616.977747638999"/>
    <n v="18960.110526"/>
    <n v="0"/>
    <n v="7300"/>
    <n v="257900"/>
    <n v="38900"/>
    <n v="304100"/>
    <n v="4.6455609084652447E-2"/>
    <n v="0.99970000000000003"/>
    <n v="1.0067999999999999"/>
    <n v="0.99729999999999996"/>
    <n v="1.0093000000000001"/>
    <n v="0.98909999999999998"/>
    <n v="0.94971499999999998"/>
    <n v="0.95196898294134369"/>
    <n v="257900"/>
    <n v="7000"/>
    <n v="264900"/>
    <n v="36900"/>
    <n v="301800"/>
    <n v="0.14082687338501293"/>
    <n v="-0.36815068493150682"/>
    <n v="3.8540949759119064E-2"/>
  </r>
  <r>
    <n v="2025"/>
    <s v="18132213055    "/>
    <n v="-1.5606477482646683"/>
    <n v="0.21"/>
    <n v="8950"/>
    <s v="6"/>
    <s v="RES"/>
    <x v="0"/>
    <s v="11"/>
    <s v="259"/>
    <s v="BG"/>
    <s v="A"/>
    <s v="AV"/>
    <x v="8"/>
    <n v="89"/>
    <n v="53"/>
    <n v="1935"/>
    <n v="1971"/>
    <n v="622"/>
    <m/>
    <n v="494"/>
    <n v="0"/>
    <n v="494"/>
    <m/>
    <n v="1116"/>
    <n v="1500"/>
    <n v="5"/>
    <m/>
    <m/>
    <m/>
    <m/>
    <m/>
    <m/>
    <m/>
    <n v="152619"/>
    <n v="102255"/>
    <n v="3906"/>
    <n v="266200"/>
    <n v="60100"/>
    <n v="206100"/>
    <n v="0"/>
    <n v="0"/>
    <n v="89850.625589999996"/>
    <n v="-49401.70477837498"/>
    <n v="21557.329055999999"/>
    <n v="160472.20319"/>
    <n v="-11821.416826500001"/>
    <n v="30732.192663493999"/>
    <n v="0"/>
    <n v="0"/>
    <n v="14366.456252017999"/>
    <n v="18960.110526"/>
    <n v="0"/>
    <n v="3900"/>
    <n v="234300"/>
    <n v="40400"/>
    <n v="278600"/>
    <n v="4.6581517655897818E-2"/>
    <n v="0.99970000000000003"/>
    <n v="1.0067999999999999"/>
    <n v="0.99729999999999996"/>
    <n v="1.0157"/>
    <n v="0.98909999999999998"/>
    <n v="0.94971499999999998"/>
    <n v="0.95800544533193577"/>
    <n v="234300"/>
    <n v="3700"/>
    <n v="238000"/>
    <n v="38400"/>
    <n v="276400"/>
    <n v="0.15477923338185348"/>
    <n v="-0.36106489184692181"/>
    <n v="3.8317054845980462E-2"/>
  </r>
  <r>
    <n v="2025"/>
    <s v="18132334515    "/>
    <n v="-1.8971199848858813"/>
    <n v="0.15"/>
    <m/>
    <s v="6"/>
    <s v="RES"/>
    <x v="0"/>
    <s v="11"/>
    <s v="400"/>
    <s v="TD"/>
    <s v="F+"/>
    <s v="AV"/>
    <x v="8"/>
    <n v="89"/>
    <n v="53"/>
    <n v="1935"/>
    <n v="1971"/>
    <n v="1080"/>
    <m/>
    <m/>
    <n v="0"/>
    <m/>
    <m/>
    <n v="1080"/>
    <n v="1500"/>
    <n v="5"/>
    <m/>
    <m/>
    <m/>
    <m/>
    <m/>
    <m/>
    <m/>
    <n v="155197"/>
    <n v="103982"/>
    <n v="5498"/>
    <n v="245300"/>
    <n v="48400"/>
    <n v="196900"/>
    <n v="0"/>
    <n v="0"/>
    <n v="89850.625589999996"/>
    <n v="-60052.604136134301"/>
    <n v="0"/>
    <n v="160472.20319"/>
    <n v="-11821.416826500001"/>
    <n v="53361.363467160001"/>
    <n v="0"/>
    <n v="0"/>
    <n v="0"/>
    <n v="18960.110526"/>
    <n v="0"/>
    <n v="5500"/>
    <n v="221000"/>
    <n v="29800"/>
    <n v="256300"/>
    <n v="4.4843049327354258E-2"/>
    <n v="0.99970000000000003"/>
    <n v="0.99180000000000001"/>
    <n v="0.99729999999999996"/>
    <n v="1.0157"/>
    <n v="0.98909999999999998"/>
    <n v="0.94971499999999998"/>
    <n v="0.94373242022269987"/>
    <n v="221000"/>
    <n v="5200"/>
    <n v="226200"/>
    <n v="28300"/>
    <n v="254500"/>
    <n v="0.14880650076180801"/>
    <n v="-0.41528925619834711"/>
    <n v="3.7505095801059929E-2"/>
  </r>
  <r>
    <n v="2025"/>
    <s v="18132331448    "/>
    <n v="-1.8325814637483102"/>
    <n v="0.16"/>
    <m/>
    <s v="6"/>
    <s v="RES"/>
    <x v="0"/>
    <s v="11"/>
    <s v="259"/>
    <s v="CP"/>
    <s v="G+"/>
    <s v="GD"/>
    <x v="8"/>
    <n v="89"/>
    <n v="53"/>
    <n v="1935"/>
    <n v="1971"/>
    <n v="1909"/>
    <n v="746"/>
    <n v="798"/>
    <n v="798"/>
    <m/>
    <m/>
    <n v="2655"/>
    <n v="3000"/>
    <n v="10"/>
    <m/>
    <m/>
    <n v="135"/>
    <m/>
    <m/>
    <m/>
    <m/>
    <n v="626391"/>
    <n v="438474"/>
    <n v="27569"/>
    <n v="491700"/>
    <n v="50600"/>
    <n v="441100"/>
    <n v="0"/>
    <n v="0"/>
    <n v="89850.625589999996"/>
    <n v="-58009.662049032086"/>
    <n v="74268.409664999999"/>
    <n v="197752.34721000001"/>
    <n v="-11821.416826500001"/>
    <n v="94321.150795192996"/>
    <n v="33410.671454306001"/>
    <n v="0"/>
    <n v="23207.352407105998"/>
    <n v="37920.221052000001"/>
    <n v="4494.8945622600004"/>
    <n v="27600"/>
    <n v="453600"/>
    <n v="31800"/>
    <n v="513000"/>
    <n v="4.3319097010372176E-2"/>
    <n v="0.99970000000000003"/>
    <n v="0.98380000000000001"/>
    <n v="0.99650000000000005"/>
    <n v="0.96179999999999999"/>
    <n v="0.98909999999999998"/>
    <n v="0.94971499999999998"/>
    <n v="0.88573211822982711"/>
    <n v="453600"/>
    <n v="26200"/>
    <n v="479800"/>
    <n v="30200"/>
    <n v="510000"/>
    <n v="8.7735207435955559E-2"/>
    <n v="-0.40316205533596838"/>
    <n v="3.7217815741305671E-2"/>
  </r>
  <r>
    <n v="2025"/>
    <s v="18132323028    "/>
    <n v="-1.6094379124341003"/>
    <n v="0.2"/>
    <n v="8597"/>
    <s v="6"/>
    <s v="RES"/>
    <x v="0"/>
    <s v="11"/>
    <s v="259"/>
    <s v="CC"/>
    <s v="A"/>
    <s v="GD"/>
    <x v="8"/>
    <n v="89"/>
    <n v="51"/>
    <n v="1935"/>
    <n v="1973"/>
    <n v="1124"/>
    <n v="384"/>
    <n v="928"/>
    <n v="0"/>
    <n v="928"/>
    <m/>
    <n v="2436"/>
    <n v="2500"/>
    <n v="11"/>
    <n v="448"/>
    <m/>
    <m/>
    <m/>
    <m/>
    <m/>
    <m/>
    <n v="346960"/>
    <n v="246342"/>
    <n v="6758"/>
    <n v="379600"/>
    <n v="58400"/>
    <n v="321200"/>
    <n v="0"/>
    <n v="0"/>
    <n v="89850.625589999996"/>
    <n v="-50946.13867709865"/>
    <n v="21557.329055999999"/>
    <n v="197752.34721000001"/>
    <n v="-11375.3256255"/>
    <n v="55535.344941748001"/>
    <n v="17197.986378623998"/>
    <n v="0"/>
    <n v="26987.998789215999"/>
    <n v="41712.243157199999"/>
    <n v="0"/>
    <n v="6800"/>
    <n v="349400"/>
    <n v="38900"/>
    <n v="395100"/>
    <n v="4.0832455216016861E-2"/>
    <n v="0.99970000000000003"/>
    <n v="1.0067999999999999"/>
    <n v="0.99650000000000005"/>
    <n v="0.98919999999999997"/>
    <n v="0.98909999999999998"/>
    <n v="0.94971499999999998"/>
    <n v="0.9322622889120924"/>
    <n v="349400"/>
    <n v="6400"/>
    <n v="355800"/>
    <n v="36900"/>
    <n v="392700"/>
    <n v="0.10772104607721046"/>
    <n v="-0.36815068493150682"/>
    <n v="3.45100105374078E-2"/>
  </r>
  <r>
    <n v="2025"/>
    <s v="18132334489    "/>
    <n v="-1.5606477482646683"/>
    <n v="0.21"/>
    <n v="9236"/>
    <s v="6"/>
    <s v="RES"/>
    <x v="0"/>
    <s v="11"/>
    <s v="259"/>
    <s v="CO"/>
    <s v="A"/>
    <s v="AV"/>
    <x v="8"/>
    <n v="89"/>
    <n v="53"/>
    <n v="1935"/>
    <n v="1971"/>
    <n v="1426"/>
    <n v="700"/>
    <n v="1426"/>
    <n v="926"/>
    <n v="500"/>
    <m/>
    <n v="2626"/>
    <n v="3000"/>
    <n v="8"/>
    <m/>
    <m/>
    <m/>
    <m/>
    <m/>
    <m/>
    <m/>
    <n v="387506"/>
    <n v="259629"/>
    <n v="0"/>
    <n v="369600"/>
    <n v="60100"/>
    <n v="309500"/>
    <n v="0"/>
    <n v="0"/>
    <n v="89850.625589999996"/>
    <n v="-49401.70477837498"/>
    <n v="21557.329055999999"/>
    <n v="160472.20319"/>
    <n v="-11821.416826500001"/>
    <n v="70456.763244602"/>
    <n v="31350.496002699998"/>
    <n v="0"/>
    <n v="41470.782622221996"/>
    <n v="30336.176841600001"/>
    <n v="0"/>
    <n v="0"/>
    <n v="343800"/>
    <n v="40400"/>
    <n v="384200"/>
    <n v="3.9502164502164504E-2"/>
    <n v="0.99970000000000003"/>
    <n v="1.0067999999999999"/>
    <n v="0.99729999999999996"/>
    <n v="0.96179999999999999"/>
    <n v="0.98909999999999998"/>
    <n v="0.94971499999999998"/>
    <n v="0.90716711363616798"/>
    <n v="343800"/>
    <n v="0"/>
    <n v="343800"/>
    <n v="38400"/>
    <n v="382200"/>
    <n v="0.11082390953150242"/>
    <n v="-0.36106489184692181"/>
    <n v="3.4090909090909088E-2"/>
  </r>
  <r>
    <n v="2025"/>
    <s v="18132241020    "/>
    <n v="-1.0788096613719298"/>
    <n v="0.34"/>
    <n v="14817"/>
    <s v="6"/>
    <s v="RES"/>
    <x v="0"/>
    <s v="11"/>
    <s v="259"/>
    <s v="CO"/>
    <s v="A"/>
    <s v="AV"/>
    <x v="8"/>
    <n v="89"/>
    <n v="53"/>
    <n v="1935"/>
    <n v="1971"/>
    <n v="1296"/>
    <n v="660"/>
    <n v="420"/>
    <n v="420"/>
    <m/>
    <m/>
    <n v="1956"/>
    <n v="2000"/>
    <n v="8"/>
    <m/>
    <m/>
    <m/>
    <m/>
    <m/>
    <m/>
    <m/>
    <n v="298136"/>
    <n v="199751"/>
    <n v="18672"/>
    <n v="364800"/>
    <n v="76900"/>
    <n v="287900"/>
    <n v="0"/>
    <n v="0"/>
    <n v="89850.625589999996"/>
    <n v="-34149.305288406773"/>
    <n v="21557.329055999999"/>
    <n v="160472.20319"/>
    <n v="-11821.416826500001"/>
    <n v="64033.636160592003"/>
    <n v="29559.03908826"/>
    <n v="0"/>
    <n v="12214.396003739999"/>
    <n v="30336.176841600001"/>
    <n v="0"/>
    <n v="18700"/>
    <n v="306400"/>
    <n v="55700"/>
    <n v="380800"/>
    <n v="4.3859649122807015E-2"/>
    <n v="0.99970000000000003"/>
    <n v="1.0067999999999999"/>
    <n v="0.99729999999999996"/>
    <n v="1.0093000000000001"/>
    <n v="0.98909999999999998"/>
    <n v="0.94971499999999998"/>
    <n v="0.95196898294134369"/>
    <n v="306400"/>
    <n v="17700"/>
    <n v="324100"/>
    <n v="52900"/>
    <n v="377000"/>
    <n v="0.12573810350816256"/>
    <n v="-0.31209362808842656"/>
    <n v="3.3442982456140351E-2"/>
  </r>
  <r>
    <n v="2025"/>
    <s v="18132214033    "/>
    <n v="-1.8971199848858813"/>
    <n v="0.15"/>
    <n v="6477"/>
    <s v="6"/>
    <s v="RES"/>
    <x v="0"/>
    <s v="11"/>
    <s v="259"/>
    <s v="TD"/>
    <s v="G"/>
    <s v="AV"/>
    <x v="8"/>
    <n v="89"/>
    <n v="53"/>
    <n v="1935"/>
    <n v="1971"/>
    <n v="1274"/>
    <m/>
    <n v="1274"/>
    <n v="433"/>
    <n v="841"/>
    <m/>
    <n v="2115"/>
    <n v="2500"/>
    <n v="8"/>
    <m/>
    <m/>
    <m/>
    <m/>
    <m/>
    <m/>
    <m/>
    <n v="383892"/>
    <n v="257208"/>
    <n v="4877"/>
    <n v="344700"/>
    <n v="48400"/>
    <n v="296300"/>
    <n v="0"/>
    <n v="0"/>
    <n v="89850.625589999996"/>
    <n v="-60052.604136134301"/>
    <n v="44121.038090000002"/>
    <n v="160472.20319"/>
    <n v="-11821.416826500001"/>
    <n v="62946.645423298003"/>
    <n v="0"/>
    <n v="0"/>
    <n v="37050.334544678"/>
    <n v="30336.176841600001"/>
    <n v="0"/>
    <n v="4900"/>
    <n v="323100"/>
    <n v="29800"/>
    <n v="357800"/>
    <n v="3.8004061502756023E-2"/>
    <n v="0.99970000000000003"/>
    <n v="0.98050000000000004"/>
    <n v="0.99729999999999996"/>
    <n v="0.98919999999999997"/>
    <n v="0.98909999999999998"/>
    <n v="0.94971499999999998"/>
    <n v="0.9086382690108219"/>
    <n v="323100"/>
    <n v="4600"/>
    <n v="327700"/>
    <n v="28300"/>
    <n v="356000"/>
    <n v="0.10597367532905838"/>
    <n v="-0.41528925619834711"/>
    <n v="3.2782129387873511E-2"/>
  </r>
  <r>
    <n v="2025"/>
    <s v="18132334530    "/>
    <n v="-1.8971199848858813"/>
    <n v="0.15"/>
    <m/>
    <s v="6"/>
    <s v="RES"/>
    <x v="0"/>
    <s v="11"/>
    <s v="259"/>
    <s v="TD"/>
    <s v="A"/>
    <s v="GD"/>
    <x v="8"/>
    <n v="89"/>
    <n v="53"/>
    <n v="1935"/>
    <n v="1971"/>
    <n v="1108"/>
    <m/>
    <n v="1108"/>
    <n v="0"/>
    <n v="1108"/>
    <m/>
    <n v="2216"/>
    <n v="2500"/>
    <n v="5"/>
    <m/>
    <m/>
    <m/>
    <m/>
    <m/>
    <m/>
    <m/>
    <n v="280066"/>
    <n v="193246"/>
    <n v="5286"/>
    <n v="335900"/>
    <n v="48400"/>
    <n v="287500"/>
    <n v="0"/>
    <n v="0"/>
    <n v="89850.625589999996"/>
    <n v="-60052.604136134301"/>
    <n v="21557.329055999999"/>
    <n v="197752.34721000001"/>
    <n v="-11821.416826500001"/>
    <n v="54744.806223716005"/>
    <n v="0"/>
    <n v="0"/>
    <n v="32222.739933675999"/>
    <n v="18960.110526"/>
    <n v="0"/>
    <n v="5300"/>
    <n v="313400"/>
    <n v="29800"/>
    <n v="348500"/>
    <n v="3.7511164036915748E-2"/>
    <n v="0.99970000000000003"/>
    <n v="1.0067999999999999"/>
    <n v="0.99650000000000005"/>
    <n v="0.98919999999999997"/>
    <n v="0.98909999999999998"/>
    <n v="0.94971499999999998"/>
    <n v="0.9322622889120924"/>
    <n v="313400"/>
    <n v="5000"/>
    <n v="318400"/>
    <n v="28300"/>
    <n v="346700"/>
    <n v="0.10747826086956522"/>
    <n v="-0.41528925619834711"/>
    <n v="3.2152426317356354E-2"/>
  </r>
  <r>
    <n v="2025"/>
    <s v="18132344424    "/>
    <n v="-1.8971199848858813"/>
    <n v="0.15"/>
    <n v="6406"/>
    <s v="6"/>
    <s v="RES"/>
    <x v="0"/>
    <s v="11"/>
    <s v="259"/>
    <s v="BG"/>
    <s v="A"/>
    <s v="AV"/>
    <x v="8"/>
    <n v="89"/>
    <n v="53"/>
    <n v="1935"/>
    <n v="1971"/>
    <n v="935"/>
    <m/>
    <n v="468"/>
    <n v="0"/>
    <n v="468"/>
    <m/>
    <n v="1403"/>
    <n v="1500"/>
    <n v="8"/>
    <m/>
    <m/>
    <m/>
    <m/>
    <m/>
    <m/>
    <m/>
    <n v="216275"/>
    <n v="144904"/>
    <n v="0"/>
    <n v="279800"/>
    <n v="48400"/>
    <n v="231400"/>
    <n v="0"/>
    <n v="0"/>
    <n v="89850.625589999996"/>
    <n v="-60052.604136134301"/>
    <n v="21557.329055999999"/>
    <n v="160472.20319"/>
    <n v="-11821.416826500001"/>
    <n v="46197.106334994998"/>
    <n v="0"/>
    <n v="0"/>
    <n v="13610.326975595999"/>
    <n v="30336.176841600001"/>
    <n v="0"/>
    <n v="0"/>
    <n v="260400"/>
    <n v="29800"/>
    <n v="290200"/>
    <n v="3.7169406719085057E-2"/>
    <n v="0.99970000000000003"/>
    <n v="1.0067999999999999"/>
    <n v="0.99729999999999996"/>
    <n v="1.0157"/>
    <n v="0.98909999999999998"/>
    <n v="0.94971499999999998"/>
    <n v="0.95800544533193577"/>
    <n v="260400"/>
    <n v="0"/>
    <n v="260400"/>
    <n v="28300"/>
    <n v="288700"/>
    <n v="0.12532411408815902"/>
    <n v="-0.41528925619834711"/>
    <n v="3.1808434596140099E-2"/>
  </r>
  <r>
    <n v="2025"/>
    <s v="18132344471    "/>
    <n v="-2.8134107167600364"/>
    <n v="0.06"/>
    <m/>
    <s v="6"/>
    <s v="RES"/>
    <x v="0"/>
    <s v="11"/>
    <s v="259"/>
    <s v="TD"/>
    <s v="F+"/>
    <s v="AV"/>
    <x v="8"/>
    <n v="89"/>
    <n v="53"/>
    <n v="1935"/>
    <n v="1971"/>
    <n v="616"/>
    <m/>
    <n v="370"/>
    <n v="0"/>
    <n v="370"/>
    <m/>
    <n v="986"/>
    <n v="1000"/>
    <n v="5"/>
    <m/>
    <m/>
    <m/>
    <m/>
    <m/>
    <m/>
    <m/>
    <n v="146010"/>
    <n v="97827"/>
    <n v="0"/>
    <n v="203200"/>
    <n v="16400"/>
    <n v="186800"/>
    <n v="0"/>
    <n v="0"/>
    <n v="89850.625589999996"/>
    <n v="-89057.435160650348"/>
    <n v="0"/>
    <n v="160472.20319"/>
    <n v="-11821.416826500001"/>
    <n v="30435.740644232003"/>
    <n v="0"/>
    <n v="0"/>
    <n v="10760.30124139"/>
    <n v="18960.110526"/>
    <n v="0"/>
    <n v="0"/>
    <n v="208800"/>
    <n v="800"/>
    <n v="209600"/>
    <n v="3.1496062992125984E-2"/>
    <n v="0.99970000000000003"/>
    <n v="0.99180000000000001"/>
    <n v="0.99729999999999996"/>
    <n v="1.0148999999999999"/>
    <n v="0.98909999999999998"/>
    <n v="0.94971499999999998"/>
    <n v="0.94298910434578886"/>
    <n v="208800"/>
    <n v="0"/>
    <n v="208800"/>
    <n v="800"/>
    <n v="209600"/>
    <n v="0.11777301927194861"/>
    <n v="-0.95121951219512191"/>
    <n v="3.1496062992125984E-2"/>
  </r>
  <r>
    <n v="2025"/>
    <s v="18132314437    "/>
    <n v="-1.9661128563728327"/>
    <n v="0.14000000000000001"/>
    <m/>
    <s v="6"/>
    <s v="RES"/>
    <x v="0"/>
    <s v="11"/>
    <s v="259"/>
    <s v="TD"/>
    <s v="F+"/>
    <s v="AV"/>
    <x v="8"/>
    <n v="89"/>
    <n v="53"/>
    <n v="1935"/>
    <n v="1971"/>
    <n v="984"/>
    <m/>
    <m/>
    <n v="0"/>
    <m/>
    <m/>
    <n v="984"/>
    <n v="1000"/>
    <n v="5"/>
    <m/>
    <m/>
    <m/>
    <m/>
    <m/>
    <m/>
    <m/>
    <n v="157698"/>
    <n v="105658"/>
    <n v="0"/>
    <n v="235100"/>
    <n v="46000"/>
    <n v="189100"/>
    <n v="0"/>
    <n v="0"/>
    <n v="89850.625589999996"/>
    <n v="-62236.546971921947"/>
    <n v="0"/>
    <n v="160472.20319"/>
    <n v="-11821.416826500001"/>
    <n v="48618.131158968004"/>
    <n v="0"/>
    <n v="0"/>
    <n v="0"/>
    <n v="18960.110526"/>
    <n v="0"/>
    <n v="0"/>
    <n v="216200"/>
    <n v="27600"/>
    <n v="243800"/>
    <n v="3.7005529561888559E-2"/>
    <n v="0.99970000000000003"/>
    <n v="0.99180000000000001"/>
    <n v="0.99729999999999996"/>
    <n v="1.0148999999999999"/>
    <n v="0.98909999999999998"/>
    <n v="0.94971499999999998"/>
    <n v="0.94298910434578886"/>
    <n v="216200"/>
    <n v="0"/>
    <n v="216200"/>
    <n v="26200"/>
    <n v="242400"/>
    <n v="0.14331041776837652"/>
    <n v="-0.43043478260869567"/>
    <n v="3.1050616758826033E-2"/>
  </r>
  <r>
    <n v="2025"/>
    <s v="18132324010    "/>
    <n v="-1.6094379124341003"/>
    <n v="0.2"/>
    <n v="8788"/>
    <s v="6"/>
    <s v="RES"/>
    <x v="0"/>
    <s v="11"/>
    <s v="259"/>
    <s v="TD"/>
    <s v="G"/>
    <s v="AV"/>
    <x v="8"/>
    <n v="89"/>
    <n v="53"/>
    <n v="1935"/>
    <n v="1971"/>
    <n v="1449"/>
    <m/>
    <n v="723"/>
    <n v="0"/>
    <n v="723"/>
    <m/>
    <n v="2172"/>
    <n v="2500"/>
    <n v="5"/>
    <m/>
    <m/>
    <m/>
    <m/>
    <m/>
    <m/>
    <m/>
    <n v="423755"/>
    <n v="283916"/>
    <n v="8589"/>
    <n v="339900"/>
    <n v="58400"/>
    <n v="281500"/>
    <n v="0"/>
    <n v="0"/>
    <n v="89850.625589999996"/>
    <n v="-50946.13867709865"/>
    <n v="44121.038090000002"/>
    <n v="160472.20319"/>
    <n v="-11821.416826500001"/>
    <n v="71593.162651773004"/>
    <n v="0"/>
    <n v="0"/>
    <n v="21026.210263581001"/>
    <n v="18960.110526"/>
    <n v="0"/>
    <n v="8600"/>
    <n v="304400"/>
    <n v="38900"/>
    <n v="351900"/>
    <n v="3.5304501323918797E-2"/>
    <n v="0.99970000000000003"/>
    <n v="0.98050000000000004"/>
    <n v="0.99729999999999996"/>
    <n v="0.98919999999999997"/>
    <n v="0.98909999999999998"/>
    <n v="0.94971499999999998"/>
    <n v="0.9086382690108219"/>
    <n v="304400"/>
    <n v="8200"/>
    <n v="312600"/>
    <n v="36900"/>
    <n v="349500"/>
    <n v="0.11047957371225577"/>
    <n v="-0.36815068493150682"/>
    <n v="2.8243601059135041E-2"/>
  </r>
  <r>
    <n v="2025"/>
    <s v="18132341012    "/>
    <n v="-1.0788096613719298"/>
    <n v="0.34"/>
    <m/>
    <s v="6"/>
    <s v="RES"/>
    <x v="0"/>
    <s v="11"/>
    <s v="259"/>
    <s v="BG"/>
    <s v="G"/>
    <s v="GD"/>
    <x v="8"/>
    <n v="89"/>
    <n v="53"/>
    <n v="1935"/>
    <n v="1971"/>
    <n v="2358"/>
    <m/>
    <n v="1323"/>
    <n v="0"/>
    <n v="1323"/>
    <m/>
    <n v="3681"/>
    <n v="4000"/>
    <n v="13"/>
    <m/>
    <n v="462"/>
    <m/>
    <m/>
    <m/>
    <m/>
    <m/>
    <n v="698435"/>
    <n v="481920"/>
    <n v="0"/>
    <n v="473900"/>
    <n v="76900"/>
    <n v="397000"/>
    <n v="0"/>
    <n v="0"/>
    <n v="89850.625589999996"/>
    <n v="-34149.305288406773"/>
    <n v="44121.038090000002"/>
    <n v="197752.34721000001"/>
    <n v="-11821.416826500001"/>
    <n v="116505.64356996601"/>
    <n v="0"/>
    <n v="0"/>
    <n v="38475.347411780996"/>
    <n v="49296.287367600002"/>
    <n v="0"/>
    <n v="0"/>
    <n v="434300"/>
    <n v="55700"/>
    <n v="490000"/>
    <n v="3.3973412112259974E-2"/>
    <n v="0.99970000000000003"/>
    <n v="0.98050000000000004"/>
    <n v="0.99650000000000005"/>
    <n v="0.94579999999999997"/>
    <n v="0.98909999999999998"/>
    <n v="0.94971499999999998"/>
    <n v="0.86807592141374612"/>
    <n v="434300"/>
    <n v="0"/>
    <n v="434300"/>
    <n v="52900"/>
    <n v="487200"/>
    <n v="9.3954659949622168E-2"/>
    <n v="-0.31209362808842656"/>
    <n v="2.8064992614475627E-2"/>
  </r>
  <r>
    <n v="2025"/>
    <s v="18132332553    "/>
    <n v="-1.1394342831883648"/>
    <n v="0.32"/>
    <m/>
    <s v="6"/>
    <s v="RES"/>
    <x v="0"/>
    <s v="11"/>
    <s v="331"/>
    <s v="CU"/>
    <s v="V+"/>
    <s v="VG"/>
    <x v="8"/>
    <n v="89"/>
    <n v="53"/>
    <n v="1935"/>
    <n v="1971"/>
    <n v="1948"/>
    <n v="1766"/>
    <n v="1310"/>
    <n v="0"/>
    <n v="1310"/>
    <m/>
    <n v="5024"/>
    <n v="5000"/>
    <n v="16"/>
    <n v="816"/>
    <m/>
    <n v="555"/>
    <m/>
    <m/>
    <m/>
    <m/>
    <n v="1405469"/>
    <n v="997883"/>
    <n v="0"/>
    <n v="848900"/>
    <n v="74800"/>
    <n v="774100"/>
    <n v="0"/>
    <n v="0"/>
    <n v="89850.625589999996"/>
    <n v="-36068.354396449467"/>
    <n v="253501.66539499999"/>
    <n v="284810.60806"/>
    <n v="-11821.416826500001"/>
    <n v="96248.088920395996"/>
    <n v="79092.822772525993"/>
    <n v="0"/>
    <n v="38097.282773569998"/>
    <n v="60672.353683200003"/>
    <n v="18479.010978180002"/>
    <n v="0"/>
    <n v="819100"/>
    <n v="53800"/>
    <n v="872900"/>
    <n v="2.8271881258098715E-2"/>
    <n v="0.99970000000000003"/>
    <n v="1"/>
    <n v="1.0158"/>
    <n v="1"/>
    <n v="0.98909999999999998"/>
    <n v="0.94971499999999998"/>
    <n v="0.95420504358269997"/>
    <n v="819100"/>
    <n v="0"/>
    <n v="819100"/>
    <n v="51100"/>
    <n v="870200"/>
    <n v="5.8132024286267923E-2"/>
    <n v="-0.31684491978609625"/>
    <n v="2.509129461656261E-2"/>
  </r>
  <r>
    <n v="2025"/>
    <s v="18132313461    "/>
    <n v="-1.6094379124341003"/>
    <n v="0.2"/>
    <m/>
    <s v="6"/>
    <s v="RES"/>
    <x v="0"/>
    <s v="11"/>
    <s v="259"/>
    <s v="TD"/>
    <s v="F+"/>
    <s v="FR"/>
    <x v="8"/>
    <n v="89"/>
    <n v="53"/>
    <n v="1935"/>
    <n v="1971"/>
    <n v="1002"/>
    <m/>
    <n v="408"/>
    <n v="0"/>
    <n v="408"/>
    <m/>
    <n v="1410"/>
    <n v="1500"/>
    <n v="5"/>
    <m/>
    <m/>
    <m/>
    <m/>
    <m/>
    <m/>
    <m/>
    <n v="192536"/>
    <n v="125148"/>
    <n v="4877"/>
    <n v="237900"/>
    <n v="58400"/>
    <n v="179500"/>
    <n v="0"/>
    <n v="0"/>
    <n v="89850.625589999996"/>
    <n v="-50946.13867709865"/>
    <n v="0"/>
    <n v="133714.53821"/>
    <n v="-11821.416826500001"/>
    <n v="49507.487216754002"/>
    <n v="0"/>
    <n v="0"/>
    <n v="11865.413260776"/>
    <n v="18960.110526"/>
    <n v="0"/>
    <n v="4900"/>
    <n v="202200"/>
    <n v="38900"/>
    <n v="246000"/>
    <n v="3.4047919293820936E-2"/>
    <n v="0.99970000000000003"/>
    <n v="0.99180000000000001"/>
    <n v="0.99329999999999996"/>
    <n v="1.0157"/>
    <n v="0.98909999999999998"/>
    <n v="0.94971499999999998"/>
    <n v="0.93994727063793004"/>
    <n v="202200"/>
    <n v="4600"/>
    <n v="206800"/>
    <n v="36900"/>
    <n v="243700"/>
    <n v="0.15208913649025069"/>
    <n v="-0.36815068493150682"/>
    <n v="2.4379991593106349E-2"/>
  </r>
  <r>
    <n v="2025"/>
    <s v="18132332447    "/>
    <n v="-1.5606477482646683"/>
    <n v="0.21"/>
    <n v="9268"/>
    <s v="6"/>
    <s v="RES"/>
    <x v="0"/>
    <s v="11"/>
    <s v="259"/>
    <s v="TD"/>
    <s v="A"/>
    <s v="AV"/>
    <x v="8"/>
    <n v="89"/>
    <n v="53"/>
    <n v="1935"/>
    <n v="1971"/>
    <n v="1526"/>
    <m/>
    <n v="678"/>
    <n v="6"/>
    <n v="672"/>
    <m/>
    <n v="2198"/>
    <n v="2500"/>
    <n v="7"/>
    <m/>
    <m/>
    <m/>
    <m/>
    <m/>
    <m/>
    <m/>
    <n v="299993"/>
    <n v="200995"/>
    <n v="10334"/>
    <n v="332300"/>
    <n v="60100"/>
    <n v="272200"/>
    <n v="0"/>
    <n v="0"/>
    <n v="89850.625589999996"/>
    <n v="-49401.70477837498"/>
    <n v="21557.329055999999"/>
    <n v="160472.20319"/>
    <n v="-11821.416826500001"/>
    <n v="75397.630232302006"/>
    <n v="0"/>
    <n v="0"/>
    <n v="19717.524977466001"/>
    <n v="26544.1547364"/>
    <n v="0"/>
    <n v="10300"/>
    <n v="291900"/>
    <n v="40400"/>
    <n v="342600"/>
    <n v="3.0996087872404453E-2"/>
    <n v="0.99970000000000003"/>
    <n v="1.0067999999999999"/>
    <n v="0.99729999999999996"/>
    <n v="0.98919999999999997"/>
    <n v="0.98909999999999998"/>
    <n v="0.94971499999999998"/>
    <n v="0.93301071824589021"/>
    <n v="291900"/>
    <n v="9800"/>
    <n v="301700"/>
    <n v="38400"/>
    <n v="340100"/>
    <n v="0.10837619397501837"/>
    <n v="-0.36106489184692181"/>
    <n v="2.3472765573277158E-2"/>
  </r>
  <r>
    <n v="2025"/>
    <s v="18132321029    "/>
    <n v="-1.2378743560016174"/>
    <n v="0.28999999999999998"/>
    <n v="12632"/>
    <s v="6"/>
    <s v="RES"/>
    <x v="0"/>
    <s v="11"/>
    <s v="400"/>
    <s v="TD"/>
    <s v="F+"/>
    <s v="AV"/>
    <x v="8"/>
    <n v="89"/>
    <n v="53"/>
    <n v="1935"/>
    <n v="1971"/>
    <n v="990"/>
    <m/>
    <n v="924"/>
    <n v="372"/>
    <n v="552"/>
    <m/>
    <n v="1542"/>
    <n v="2000"/>
    <n v="5"/>
    <m/>
    <m/>
    <m/>
    <m/>
    <m/>
    <m/>
    <m/>
    <n v="209059"/>
    <n v="140070"/>
    <n v="22349"/>
    <n v="305600"/>
    <n v="71400"/>
    <n v="234200"/>
    <n v="0"/>
    <n v="0"/>
    <n v="89850.625589999996"/>
    <n v="-39184.437074869042"/>
    <n v="0"/>
    <n v="160472.20319"/>
    <n v="-11821.416826500001"/>
    <n v="48914.583178230001"/>
    <n v="0"/>
    <n v="0"/>
    <n v="26871.671208227999"/>
    <n v="18960.110526"/>
    <n v="0"/>
    <n v="22300"/>
    <n v="243400"/>
    <n v="50700"/>
    <n v="316400"/>
    <n v="3.5340314136125657E-2"/>
    <n v="0.99970000000000003"/>
    <n v="0.99180000000000001"/>
    <n v="0.99729999999999996"/>
    <n v="1.0093000000000001"/>
    <n v="0.98909999999999998"/>
    <n v="0.94971499999999998"/>
    <n v="0.93778589320741457"/>
    <n v="243400"/>
    <n v="21200"/>
    <n v="264600"/>
    <n v="48100"/>
    <n v="312700"/>
    <n v="0.12980358667805295"/>
    <n v="-0.32633053221288516"/>
    <n v="2.3232984293193717E-2"/>
  </r>
  <r>
    <n v="2025"/>
    <s v="18132213054    "/>
    <n v="-1.5606477482646683"/>
    <n v="0.21"/>
    <n v="9047"/>
    <s v="6"/>
    <s v="RES"/>
    <x v="0"/>
    <s v="11"/>
    <s v="259"/>
    <s v="TD"/>
    <s v="G"/>
    <s v="AV"/>
    <x v="8"/>
    <n v="89"/>
    <n v="53"/>
    <n v="1935"/>
    <n v="1971"/>
    <n v="1112"/>
    <m/>
    <n v="1112"/>
    <n v="0"/>
    <n v="1112"/>
    <m/>
    <n v="2224"/>
    <n v="2500"/>
    <n v="8"/>
    <m/>
    <m/>
    <m/>
    <m/>
    <m/>
    <m/>
    <m/>
    <n v="382977"/>
    <n v="256595"/>
    <n v="11051"/>
    <n v="351400"/>
    <n v="60100"/>
    <n v="291300"/>
    <n v="0"/>
    <n v="0"/>
    <n v="89850.625589999996"/>
    <n v="-49401.70477837498"/>
    <n v="44121.038090000002"/>
    <n v="160472.20319"/>
    <n v="-11821.416826500001"/>
    <n v="54942.440903224"/>
    <n v="0"/>
    <n v="0"/>
    <n v="32339.067514663999"/>
    <n v="30336.176841600001"/>
    <n v="0"/>
    <n v="11100"/>
    <n v="310400"/>
    <n v="40400"/>
    <n v="361900"/>
    <n v="2.9880478087649404E-2"/>
    <n v="0.99970000000000003"/>
    <n v="0.98050000000000004"/>
    <n v="0.99729999999999996"/>
    <n v="0.98919999999999997"/>
    <n v="0.98909999999999998"/>
    <n v="0.94971499999999998"/>
    <n v="0.9086382690108219"/>
    <n v="310400"/>
    <n v="10500"/>
    <n v="320900"/>
    <n v="38400"/>
    <n v="359300"/>
    <n v="0.10161345691726742"/>
    <n v="-0.36106489184692181"/>
    <n v="2.2481502561183836E-2"/>
  </r>
  <r>
    <n v="2025"/>
    <s v="18132241404    "/>
    <n v="-1.3470736479666092"/>
    <n v="0.26"/>
    <n v="11112"/>
    <s v="6"/>
    <s v="RES"/>
    <x v="0"/>
    <s v="11"/>
    <s v="259"/>
    <s v="TD"/>
    <s v="A+"/>
    <s v="AV"/>
    <x v="8"/>
    <n v="89"/>
    <n v="53"/>
    <n v="1935"/>
    <n v="1971"/>
    <n v="1932"/>
    <m/>
    <m/>
    <n v="0"/>
    <m/>
    <m/>
    <n v="1932"/>
    <n v="2000"/>
    <n v="8"/>
    <m/>
    <m/>
    <m/>
    <m/>
    <m/>
    <m/>
    <m/>
    <n v="372967"/>
    <n v="249888"/>
    <n v="10334"/>
    <n v="351700"/>
    <n v="67600"/>
    <n v="284100"/>
    <n v="0"/>
    <n v="0"/>
    <n v="89850.625589999996"/>
    <n v="-42641.098701210125"/>
    <n v="29814.093161000001"/>
    <n v="160472.20319"/>
    <n v="-11821.416826500001"/>
    <n v="95457.550202364"/>
    <n v="0"/>
    <n v="0"/>
    <n v="0"/>
    <n v="30336.176841600001"/>
    <n v="0"/>
    <n v="10300"/>
    <n v="304300"/>
    <n v="47200"/>
    <n v="361800"/>
    <n v="2.87176570941143E-2"/>
    <n v="0.99970000000000003"/>
    <n v="1.0088999999999999"/>
    <n v="0.99729999999999996"/>
    <n v="1.0093000000000001"/>
    <n v="0.98909999999999998"/>
    <n v="0.94971499999999998"/>
    <n v="0.95395461550409388"/>
    <n v="304300"/>
    <n v="9800"/>
    <n v="314100"/>
    <n v="44800"/>
    <n v="358900"/>
    <n v="0.10559662090813093"/>
    <n v="-0.33727810650887574"/>
    <n v="2.0471993176002276E-2"/>
  </r>
  <r>
    <n v="2025"/>
    <s v="18132241012    "/>
    <n v="-1.9661128563728327"/>
    <n v="0.14000000000000001"/>
    <n v="6194"/>
    <s v="6"/>
    <s v="RES"/>
    <x v="0"/>
    <s v="11"/>
    <s v="259"/>
    <s v="TD"/>
    <s v="F+"/>
    <s v="AV"/>
    <x v="8"/>
    <n v="89"/>
    <n v="53"/>
    <n v="1935"/>
    <n v="1971"/>
    <n v="1070"/>
    <m/>
    <m/>
    <n v="0"/>
    <m/>
    <m/>
    <n v="1070"/>
    <n v="1500"/>
    <n v="5"/>
    <n v="276"/>
    <m/>
    <m/>
    <m/>
    <m/>
    <m/>
    <m/>
    <n v="184576"/>
    <n v="123666"/>
    <n v="0"/>
    <n v="242300"/>
    <n v="46000"/>
    <n v="196300"/>
    <n v="0"/>
    <n v="0"/>
    <n v="89850.625589999996"/>
    <n v="-62236.546971921947"/>
    <n v="0"/>
    <n v="160472.20319"/>
    <n v="-11821.416826500001"/>
    <n v="52867.276768390002"/>
    <n v="0"/>
    <n v="0"/>
    <n v="0"/>
    <n v="18960.110526"/>
    <n v="0"/>
    <n v="0"/>
    <n v="220500"/>
    <n v="27600"/>
    <n v="248100"/>
    <n v="2.3937267849773007E-2"/>
    <n v="0.99970000000000003"/>
    <n v="0.99180000000000001"/>
    <n v="0.99729999999999996"/>
    <n v="1.0157"/>
    <n v="0.98909999999999998"/>
    <n v="0.94971499999999998"/>
    <n v="0.94373242022269987"/>
    <n v="220500"/>
    <n v="0"/>
    <n v="220500"/>
    <n v="26200"/>
    <n v="246700"/>
    <n v="0.12328069281711666"/>
    <n v="-0.43043478260869567"/>
    <n v="1.8159306644655385E-2"/>
  </r>
  <r>
    <n v="2025"/>
    <s v="18132324557    "/>
    <n v="-0.86750056770472306"/>
    <n v="0.42"/>
    <n v="18173"/>
    <s v="6"/>
    <s v="RES"/>
    <x v="0"/>
    <s v="11"/>
    <s v="259"/>
    <s v="CL"/>
    <s v="G"/>
    <s v="AV"/>
    <x v="8"/>
    <n v="89"/>
    <n v="53"/>
    <n v="1935"/>
    <n v="1971"/>
    <n v="1704"/>
    <n v="1724"/>
    <n v="1274"/>
    <n v="0"/>
    <n v="1274"/>
    <m/>
    <n v="4702"/>
    <n v="4500"/>
    <n v="11"/>
    <m/>
    <m/>
    <m/>
    <m/>
    <m/>
    <m/>
    <m/>
    <n v="751333"/>
    <n v="503393"/>
    <n v="28838"/>
    <n v="510500"/>
    <n v="84300"/>
    <n v="426200"/>
    <n v="0"/>
    <n v="0"/>
    <n v="89850.625589999996"/>
    <n v="-27460.397125792362"/>
    <n v="44121.038090000002"/>
    <n v="160472.20319"/>
    <n v="-11821.416826500001"/>
    <n v="84192.373470407998"/>
    <n v="77211.793012363996"/>
    <n v="0"/>
    <n v="37050.334544678"/>
    <n v="41712.243157199999"/>
    <n v="0"/>
    <n v="28800"/>
    <n v="432900"/>
    <n v="62400"/>
    <n v="524100"/>
    <n v="2.6640548481880508E-2"/>
    <n v="0.99970000000000003"/>
    <n v="0.98050000000000004"/>
    <n v="0.99729999999999996"/>
    <n v="1"/>
    <n v="0.98909999999999998"/>
    <n v="0.94971499999999998"/>
    <n v="0.91855870300325715"/>
    <n v="432900"/>
    <n v="27400"/>
    <n v="460300"/>
    <n v="59300"/>
    <n v="519600"/>
    <n v="8.0009385265133737E-2"/>
    <n v="-0.29655990510083036"/>
    <n v="1.7825661116552399E-2"/>
  </r>
  <r>
    <n v="2025"/>
    <s v="18132332487    "/>
    <n v="-1.7719568419318752"/>
    <n v="0.17"/>
    <m/>
    <s v="6"/>
    <s v="RES"/>
    <x v="0"/>
    <s v="11"/>
    <s v="259"/>
    <s v="BG"/>
    <s v="G"/>
    <s v="AV"/>
    <x v="8"/>
    <n v="89"/>
    <n v="53"/>
    <n v="1935"/>
    <n v="1971"/>
    <n v="1580"/>
    <m/>
    <n v="1023"/>
    <n v="0"/>
    <n v="1023"/>
    <m/>
    <n v="2603"/>
    <n v="3000"/>
    <n v="11"/>
    <m/>
    <m/>
    <m/>
    <m/>
    <m/>
    <m/>
    <m/>
    <n v="464447"/>
    <n v="311179"/>
    <n v="25390"/>
    <n v="392000"/>
    <n v="52700"/>
    <n v="339300"/>
    <n v="0"/>
    <n v="0"/>
    <n v="89850.625589999996"/>
    <n v="-56090.612940989391"/>
    <n v="44121.038090000002"/>
    <n v="160472.20319"/>
    <n v="-11821.416826500001"/>
    <n v="78065.698405660005"/>
    <n v="0"/>
    <n v="0"/>
    <n v="29750.778837680999"/>
    <n v="41712.243157199999"/>
    <n v="0"/>
    <n v="25400"/>
    <n v="342300"/>
    <n v="33800"/>
    <n v="401500"/>
    <n v="2.423469387755102E-2"/>
    <n v="0.99970000000000003"/>
    <n v="0.98050000000000004"/>
    <n v="0.99729999999999996"/>
    <n v="0.96179999999999999"/>
    <n v="0.98909999999999998"/>
    <n v="0.94971499999999998"/>
    <n v="0.88346976054853277"/>
    <n v="342300"/>
    <n v="24100"/>
    <n v="366400"/>
    <n v="32100"/>
    <n v="398500"/>
    <n v="7.9870321249631601E-2"/>
    <n v="-0.39089184060721061"/>
    <n v="1.6581632653061226E-2"/>
  </r>
  <r>
    <n v="2025"/>
    <s v="18132331002    "/>
    <n v="-1.2039728043259361"/>
    <n v="0.3"/>
    <n v="13229"/>
    <s v="6"/>
    <s v="RES"/>
    <x v="0"/>
    <s v="11"/>
    <s v="259"/>
    <s v="CL"/>
    <s v="G"/>
    <s v="GD"/>
    <x v="8"/>
    <n v="89"/>
    <n v="53"/>
    <n v="1935"/>
    <n v="1971"/>
    <n v="1884"/>
    <n v="1596"/>
    <n v="1596"/>
    <n v="0"/>
    <n v="1596"/>
    <m/>
    <n v="5076"/>
    <n v="5000"/>
    <n v="13"/>
    <m/>
    <m/>
    <m/>
    <m/>
    <m/>
    <m/>
    <m/>
    <n v="828982"/>
    <n v="571998"/>
    <n v="31790"/>
    <n v="560400"/>
    <n v="72500"/>
    <n v="487900"/>
    <n v="0"/>
    <n v="0"/>
    <n v="89850.625589999996"/>
    <n v="-38111.29648355169"/>
    <n v="44121.038090000002"/>
    <n v="197752.34721000001"/>
    <n v="-11821.416826500001"/>
    <n v="93085.934048267998"/>
    <n v="71479.130886155996"/>
    <n v="0"/>
    <n v="46414.704814211997"/>
    <n v="49296.287367600002"/>
    <n v="0"/>
    <n v="31800"/>
    <n v="490300"/>
    <n v="51700"/>
    <n v="573800"/>
    <n v="2.3911491791577446E-2"/>
    <n v="0.99970000000000003"/>
    <n v="0.98050000000000004"/>
    <n v="0.99650000000000005"/>
    <n v="1"/>
    <n v="0.98909999999999998"/>
    <n v="0.94971499999999998"/>
    <n v="0.91782186658251863"/>
    <n v="490300"/>
    <n v="30200"/>
    <n v="520500"/>
    <n v="49100"/>
    <n v="569600"/>
    <n v="6.6816970690715308E-2"/>
    <n v="-0.32275862068965516"/>
    <n v="1.6416845110635261E-2"/>
  </r>
  <r>
    <n v="2025"/>
    <s v="18132344489    "/>
    <n v="-1.8971199848858813"/>
    <n v="0.15"/>
    <m/>
    <s v="6"/>
    <s v="RES"/>
    <x v="0"/>
    <s v="11"/>
    <s v="259"/>
    <s v="BG"/>
    <s v="A"/>
    <s v="AV"/>
    <x v="8"/>
    <n v="89"/>
    <n v="53"/>
    <n v="1935"/>
    <n v="1971"/>
    <n v="1306"/>
    <m/>
    <n v="976"/>
    <n v="0"/>
    <n v="976"/>
    <m/>
    <n v="2282"/>
    <n v="2500"/>
    <n v="5"/>
    <m/>
    <m/>
    <m/>
    <m/>
    <m/>
    <m/>
    <m/>
    <n v="299515"/>
    <n v="200675"/>
    <n v="9121"/>
    <n v="314000"/>
    <n v="48400"/>
    <n v="265600"/>
    <n v="0"/>
    <n v="0"/>
    <n v="89850.625589999996"/>
    <n v="-60052.604136134301"/>
    <n v="21557.329055999999"/>
    <n v="160472.20319"/>
    <n v="-11821.416826500001"/>
    <n v="64527.722859362002"/>
    <n v="0"/>
    <n v="0"/>
    <n v="28383.929761071999"/>
    <n v="18960.110526"/>
    <n v="0"/>
    <n v="9100"/>
    <n v="282100"/>
    <n v="29800"/>
    <n v="321000"/>
    <n v="2.2292993630573247E-2"/>
    <n v="0.99970000000000003"/>
    <n v="1.0067999999999999"/>
    <n v="0.99729999999999996"/>
    <n v="0.98919999999999997"/>
    <n v="0.98909999999999998"/>
    <n v="0.94971499999999998"/>
    <n v="0.93301071824589021"/>
    <n v="282100"/>
    <n v="8700"/>
    <n v="290800"/>
    <n v="28300"/>
    <n v="319100"/>
    <n v="9.4879518072289157E-2"/>
    <n v="-0.41528925619834711"/>
    <n v="1.6242038216560509E-2"/>
  </r>
  <r>
    <n v="2025"/>
    <s v="18132313470    "/>
    <n v="-0.75502258427803282"/>
    <n v="0.47"/>
    <m/>
    <s v="6"/>
    <s v="RES"/>
    <x v="0"/>
    <s v="11"/>
    <s v="259"/>
    <s v="CC"/>
    <s v="A+"/>
    <s v="AV"/>
    <x v="8"/>
    <n v="89"/>
    <n v="49"/>
    <n v="1935"/>
    <n v="1975"/>
    <n v="1341"/>
    <n v="421"/>
    <n v="845"/>
    <n v="13"/>
    <n v="832"/>
    <m/>
    <n v="2594"/>
    <n v="3000"/>
    <n v="10"/>
    <m/>
    <m/>
    <n v="84"/>
    <m/>
    <m/>
    <m/>
    <m/>
    <n v="389122"/>
    <n v="276277"/>
    <n v="11351"/>
    <n v="398000"/>
    <n v="88200"/>
    <n v="309800"/>
    <n v="0"/>
    <n v="0"/>
    <n v="89850.625589999996"/>
    <n v="-23899.949781097919"/>
    <n v="29814.093161000001"/>
    <n v="160472.20319"/>
    <n v="-10929.2344245"/>
    <n v="66257.026305057007"/>
    <n v="18855.084024480999"/>
    <n v="0"/>
    <n v="24574.201483714998"/>
    <n v="37920.221052000001"/>
    <n v="2796.8232831840005"/>
    <n v="11400"/>
    <n v="329800"/>
    <n v="66000"/>
    <n v="407200"/>
    <n v="2.3115577889447236E-2"/>
    <n v="0.99970000000000003"/>
    <n v="1.0088999999999999"/>
    <n v="0.99729999999999996"/>
    <n v="0.96179999999999999"/>
    <n v="0.98909999999999998"/>
    <n v="0.94971499999999998"/>
    <n v="0.90905929772301342"/>
    <n v="329800"/>
    <n v="10800"/>
    <n v="340600"/>
    <n v="62600"/>
    <n v="403200"/>
    <n v="9.9418979987088443E-2"/>
    <n v="-0.29024943310657597"/>
    <n v="1.3065326633165829E-2"/>
  </r>
  <r>
    <n v="2025"/>
    <s v="18132331499    "/>
    <n v="-1.8971199848858813"/>
    <n v="0.15"/>
    <m/>
    <s v="6"/>
    <s v="RES"/>
    <x v="0"/>
    <s v="11"/>
    <s v="259"/>
    <s v="TD"/>
    <s v="A+"/>
    <s v="AV"/>
    <x v="8"/>
    <n v="89"/>
    <n v="53"/>
    <n v="1935"/>
    <n v="1971"/>
    <n v="1443"/>
    <m/>
    <n v="859"/>
    <n v="0"/>
    <n v="859"/>
    <m/>
    <n v="2302"/>
    <n v="2500"/>
    <n v="10"/>
    <m/>
    <m/>
    <m/>
    <m/>
    <m/>
    <m/>
    <m/>
    <n v="347902"/>
    <n v="233094"/>
    <n v="5909"/>
    <n v="342900"/>
    <n v="48400"/>
    <n v="294500"/>
    <n v="0"/>
    <n v="0"/>
    <n v="89850.625589999996"/>
    <n v="-60052.604136134301"/>
    <n v="29814.093161000001"/>
    <n v="160472.20319"/>
    <n v="-11821.416826500001"/>
    <n v="71296.710632511007"/>
    <n v="0"/>
    <n v="0"/>
    <n v="24981.348017172997"/>
    <n v="37920.221052000001"/>
    <n v="0"/>
    <n v="5900"/>
    <n v="312700"/>
    <n v="29800"/>
    <n v="348400"/>
    <n v="1.6039661708953049E-2"/>
    <n v="0.99970000000000003"/>
    <n v="1.0088999999999999"/>
    <n v="0.99729999999999996"/>
    <n v="0.98919999999999997"/>
    <n v="0.98909999999999998"/>
    <n v="0.94971499999999998"/>
    <n v="0.93495680734831033"/>
    <n v="312700"/>
    <n v="5600"/>
    <n v="318300"/>
    <n v="28300"/>
    <n v="346600"/>
    <n v="8.0814940577249569E-2"/>
    <n v="-0.41528925619834711"/>
    <n v="1.079031787693205E-2"/>
  </r>
  <r>
    <n v="2025"/>
    <s v="18132331472    "/>
    <n v="-1.5606477482646683"/>
    <n v="0.21"/>
    <m/>
    <s v="6"/>
    <s v="RES"/>
    <x v="0"/>
    <s v="11"/>
    <s v="259"/>
    <s v="TD"/>
    <s v="A"/>
    <s v="AV"/>
    <x v="8"/>
    <n v="89"/>
    <n v="53"/>
    <n v="1935"/>
    <n v="1971"/>
    <n v="1550"/>
    <m/>
    <n v="1020"/>
    <n v="0"/>
    <n v="1020"/>
    <m/>
    <n v="2570"/>
    <n v="3000"/>
    <n v="8"/>
    <m/>
    <m/>
    <m/>
    <m/>
    <m/>
    <m/>
    <m/>
    <n v="344722"/>
    <n v="230964"/>
    <n v="4877"/>
    <n v="347700"/>
    <n v="60100"/>
    <n v="287600"/>
    <n v="0"/>
    <n v="0"/>
    <n v="89850.625589999996"/>
    <n v="-49401.70477837498"/>
    <n v="21557.329055999999"/>
    <n v="160472.20319"/>
    <n v="-11821.416826500001"/>
    <n v="76583.438309350007"/>
    <n v="0"/>
    <n v="0"/>
    <n v="29663.533151939999"/>
    <n v="30336.176841600001"/>
    <n v="0"/>
    <n v="4900"/>
    <n v="306800"/>
    <n v="40400"/>
    <n v="352100"/>
    <n v="1.2654587287891862E-2"/>
    <n v="0.99970000000000003"/>
    <n v="1.0067999999999999"/>
    <n v="0.99729999999999996"/>
    <n v="0.96179999999999999"/>
    <n v="0.98909999999999998"/>
    <n v="0.94971499999999998"/>
    <n v="0.90716711363616798"/>
    <n v="306800"/>
    <n v="4600"/>
    <n v="311400"/>
    <n v="38400"/>
    <n v="349800"/>
    <n v="8.2753824756606392E-2"/>
    <n v="-0.36106489184692181"/>
    <n v="6.0396893874029335E-3"/>
  </r>
  <r>
    <n v="2025"/>
    <s v="18132313551    "/>
    <n v="-1.0788096613719298"/>
    <n v="0.34"/>
    <n v="15008"/>
    <s v="6"/>
    <s v="RES"/>
    <x v="0"/>
    <s v="11"/>
    <s v="331"/>
    <s v="CU"/>
    <s v="V"/>
    <s v="GD"/>
    <x v="8"/>
    <n v="89"/>
    <n v="49"/>
    <n v="1935"/>
    <n v="1975"/>
    <n v="1463"/>
    <n v="1041"/>
    <n v="1144"/>
    <n v="384"/>
    <n v="760"/>
    <m/>
    <n v="3264"/>
    <n v="3500"/>
    <n v="11"/>
    <m/>
    <n v="320"/>
    <m/>
    <m/>
    <m/>
    <m/>
    <m/>
    <n v="740233"/>
    <n v="555175"/>
    <n v="38507"/>
    <n v="630500"/>
    <n v="76900"/>
    <n v="553600"/>
    <n v="0"/>
    <n v="0"/>
    <n v="89850.625589999996"/>
    <n v="-34149.305288406773"/>
    <n v="163885.03753"/>
    <n v="197752.34721000001"/>
    <n v="-10929.2344245"/>
    <n v="72284.884030051006"/>
    <n v="46622.666198300998"/>
    <n v="0"/>
    <n v="33269.688162567996"/>
    <n v="41712.243157199999"/>
    <n v="0"/>
    <n v="38500"/>
    <n v="544600"/>
    <n v="55700"/>
    <n v="638800"/>
    <n v="1.3164155432196669E-2"/>
    <n v="0.99970000000000003"/>
    <n v="1"/>
    <n v="0.99650000000000005"/>
    <n v="1.0126999999999999"/>
    <n v="0.98909999999999998"/>
    <n v="0.94971499999999998"/>
    <n v="0.947963492389716"/>
    <n v="544600"/>
    <n v="36600"/>
    <n v="581200"/>
    <n v="52900"/>
    <n v="634100"/>
    <n v="4.9855491329479772E-2"/>
    <n v="-0.31209362808842656"/>
    <n v="5.7097541633624104E-3"/>
  </r>
  <r>
    <n v="2025"/>
    <s v="18132331439    "/>
    <n v="-1.8971199848858813"/>
    <n v="0.15"/>
    <m/>
    <s v="6"/>
    <s v="RES"/>
    <x v="0"/>
    <s v="11"/>
    <s v="259"/>
    <s v="BG"/>
    <s v="A+"/>
    <s v="AV"/>
    <x v="8"/>
    <n v="89"/>
    <n v="53"/>
    <n v="1935"/>
    <n v="1971"/>
    <n v="1260"/>
    <m/>
    <n v="1140"/>
    <n v="0"/>
    <n v="1140"/>
    <m/>
    <n v="2400"/>
    <n v="2500"/>
    <n v="5"/>
    <m/>
    <m/>
    <m/>
    <m/>
    <m/>
    <m/>
    <m/>
    <n v="353721"/>
    <n v="236993"/>
    <n v="14152"/>
    <n v="332800"/>
    <n v="48400"/>
    <n v="284400"/>
    <n v="0"/>
    <n v="0"/>
    <n v="89850.625589999996"/>
    <n v="-60052.604136134301"/>
    <n v="29814.093161000001"/>
    <n v="160472.20319"/>
    <n v="-11821.416826500001"/>
    <n v="62254.924045020001"/>
    <n v="0"/>
    <n v="0"/>
    <n v="33153.360581579997"/>
    <n v="18960.110526"/>
    <n v="0"/>
    <n v="14200"/>
    <n v="292800"/>
    <n v="29800"/>
    <n v="336800"/>
    <n v="1.201923076923077E-2"/>
    <n v="0.99970000000000003"/>
    <n v="1.0088999999999999"/>
    <n v="0.99729999999999996"/>
    <n v="0.98919999999999997"/>
    <n v="0.98909999999999998"/>
    <n v="0.94971499999999998"/>
    <n v="0.93495680734831033"/>
    <n v="292800"/>
    <n v="13400"/>
    <n v="306200"/>
    <n v="28300"/>
    <n v="334500"/>
    <n v="7.6652601969057668E-2"/>
    <n v="-0.41528925619834711"/>
    <n v="5.108173076923077E-3"/>
  </r>
  <r>
    <n v="2025"/>
    <s v="18132241466    "/>
    <n v="-1.7147984280919266"/>
    <n v="0.18"/>
    <n v="8040"/>
    <s v="6"/>
    <s v="RES"/>
    <x v="0"/>
    <s v="11"/>
    <s v="259"/>
    <s v="TD"/>
    <s v="A"/>
    <s v="AV"/>
    <x v="8"/>
    <n v="89"/>
    <n v="53"/>
    <n v="1935"/>
    <n v="1971"/>
    <n v="1282"/>
    <m/>
    <n v="1280"/>
    <n v="0"/>
    <n v="1280"/>
    <m/>
    <n v="2562"/>
    <n v="3000"/>
    <n v="5"/>
    <n v="260"/>
    <m/>
    <m/>
    <m/>
    <m/>
    <m/>
    <m/>
    <n v="319679"/>
    <n v="214185"/>
    <n v="0"/>
    <n v="321900"/>
    <n v="54700"/>
    <n v="267200"/>
    <n v="0"/>
    <n v="0"/>
    <n v="89850.625589999996"/>
    <n v="-54281.285314520763"/>
    <n v="21557.329055999999"/>
    <n v="160472.20319"/>
    <n v="-11821.416826500001"/>
    <n v="63341.914782314001"/>
    <n v="0"/>
    <n v="0"/>
    <n v="37224.82591616"/>
    <n v="18960.110526"/>
    <n v="0"/>
    <n v="0"/>
    <n v="289700"/>
    <n v="35600"/>
    <n v="325300"/>
    <n v="1.056228642435539E-2"/>
    <n v="0.99970000000000003"/>
    <n v="1.0067999999999999"/>
    <n v="0.99729999999999996"/>
    <n v="0.96179999999999999"/>
    <n v="0.98909999999999998"/>
    <n v="0.94971499999999998"/>
    <n v="0.90716711363616798"/>
    <n v="289700"/>
    <n v="0"/>
    <n v="289700"/>
    <n v="33800"/>
    <n v="323500"/>
    <n v="8.420658682634731E-2"/>
    <n v="-0.38208409506398539"/>
    <n v="4.9704877291084186E-3"/>
  </r>
  <r>
    <n v="2025"/>
    <s v="18132212024    "/>
    <n v="-0.82098055206983023"/>
    <n v="0.44"/>
    <n v="19372"/>
    <s v="6"/>
    <s v="RES"/>
    <x v="0"/>
    <s v="11"/>
    <s v="400"/>
    <s v="CC"/>
    <s v="A"/>
    <s v="AV"/>
    <x v="8"/>
    <n v="89"/>
    <n v="53"/>
    <n v="1935"/>
    <n v="1971"/>
    <n v="1572"/>
    <n v="816"/>
    <n v="743"/>
    <n v="0"/>
    <n v="743"/>
    <m/>
    <n v="3131"/>
    <n v="3500"/>
    <n v="11"/>
    <m/>
    <m/>
    <m/>
    <m/>
    <m/>
    <m/>
    <m/>
    <n v="393599"/>
    <n v="263711"/>
    <n v="9708"/>
    <n v="416800"/>
    <n v="85900"/>
    <n v="330900"/>
    <n v="0"/>
    <n v="0"/>
    <n v="89850.625589999996"/>
    <n v="-25987.823906604521"/>
    <n v="21557.329055999999"/>
    <n v="160472.20319"/>
    <n v="-11821.416826500001"/>
    <n v="77670.429046644"/>
    <n v="36545.721054575995"/>
    <n v="0"/>
    <n v="21607.848168520999"/>
    <n v="41712.243157199999"/>
    <n v="0"/>
    <n v="9700"/>
    <n v="347700"/>
    <n v="63900"/>
    <n v="421300"/>
    <n v="1.0796545105566218E-2"/>
    <n v="0.99970000000000003"/>
    <n v="1.0067999999999999"/>
    <n v="0.99729999999999996"/>
    <n v="1.0126999999999999"/>
    <n v="0.98909999999999998"/>
    <n v="0.94971499999999998"/>
    <n v="0.9551758535863456"/>
    <n v="347700"/>
    <n v="9200"/>
    <n v="356900"/>
    <n v="60700"/>
    <n v="417600"/>
    <n v="7.8573587186461166E-2"/>
    <n v="-0.29336437718277064"/>
    <n v="1.9193857965451055E-3"/>
  </r>
  <r>
    <n v="2025"/>
    <s v="18132332477    "/>
    <n v="-1.6607312068216509"/>
    <n v="0.19"/>
    <n v="8435"/>
    <s v="6"/>
    <s v="RES"/>
    <x v="0"/>
    <s v="11"/>
    <s v="259"/>
    <s v="TD"/>
    <s v="A+"/>
    <s v="AV"/>
    <x v="8"/>
    <n v="89"/>
    <n v="53"/>
    <n v="1935"/>
    <n v="1971"/>
    <n v="1425"/>
    <m/>
    <n v="1425"/>
    <n v="0"/>
    <n v="1425"/>
    <m/>
    <n v="2850"/>
    <n v="3000"/>
    <n v="6"/>
    <m/>
    <m/>
    <n v="135"/>
    <m/>
    <m/>
    <m/>
    <m/>
    <n v="398991"/>
    <n v="267324"/>
    <n v="12480"/>
    <n v="365200"/>
    <n v="56600"/>
    <n v="308600"/>
    <n v="0"/>
    <n v="0"/>
    <n v="89850.625589999996"/>
    <n v="-52569.808201026557"/>
    <n v="29814.093161000001"/>
    <n v="160472.20319"/>
    <n v="-11821.416826500001"/>
    <n v="70407.354574725003"/>
    <n v="0"/>
    <n v="0"/>
    <n v="41441.700726974996"/>
    <n v="22752.132631200002"/>
    <n v="4494.8945622600004"/>
    <n v="12500"/>
    <n v="317600"/>
    <n v="37300"/>
    <n v="367400"/>
    <n v="6.024096385542169E-3"/>
    <n v="0.99970000000000003"/>
    <n v="1.0088999999999999"/>
    <n v="0.99729999999999996"/>
    <n v="0.96179999999999999"/>
    <n v="0.98909999999999998"/>
    <n v="0.94971499999999998"/>
    <n v="0.90905929772301342"/>
    <n v="317600"/>
    <n v="11900"/>
    <n v="329500"/>
    <n v="35400"/>
    <n v="364900"/>
    <n v="6.7725210628645491E-2"/>
    <n v="-0.37455830388692579"/>
    <n v="-8.2146768893756844E-4"/>
  </r>
  <r>
    <n v="2025"/>
    <s v="18132313447    "/>
    <n v="-1.4271163556401458"/>
    <n v="0.24"/>
    <m/>
    <s v="6"/>
    <s v="RES"/>
    <x v="0"/>
    <s v="11"/>
    <s v="259"/>
    <s v="BG"/>
    <s v="F+"/>
    <s v="AV"/>
    <x v="8"/>
    <n v="89"/>
    <n v="53"/>
    <n v="1935"/>
    <n v="1971"/>
    <n v="1110"/>
    <n v="750"/>
    <n v="660"/>
    <n v="0"/>
    <n v="660"/>
    <m/>
    <n v="2520"/>
    <n v="3000"/>
    <n v="7"/>
    <m/>
    <m/>
    <n v="60"/>
    <m/>
    <m/>
    <m/>
    <m/>
    <n v="310379"/>
    <n v="207954"/>
    <n v="0"/>
    <n v="332600"/>
    <n v="64800"/>
    <n v="267800"/>
    <n v="0"/>
    <n v="0"/>
    <n v="89850.625589999996"/>
    <n v="-45174.819855485119"/>
    <n v="0"/>
    <n v="160472.20319"/>
    <n v="-11821.416826500001"/>
    <n v="54843.623563469999"/>
    <n v="33589.817145749999"/>
    <n v="0"/>
    <n v="19194.050863019998"/>
    <n v="26544.1547364"/>
    <n v="1997.7309165600002"/>
    <n v="0"/>
    <n v="284800"/>
    <n v="44700"/>
    <n v="329500"/>
    <n v="-9.3205051112447389E-3"/>
    <n v="0.99970000000000003"/>
    <n v="0.99180000000000001"/>
    <n v="0.99729999999999996"/>
    <n v="0.96179999999999999"/>
    <n v="0.98909999999999998"/>
    <n v="0.94971499999999998"/>
    <n v="0.89365151301584389"/>
    <n v="284800"/>
    <n v="0"/>
    <n v="284800"/>
    <n v="42400"/>
    <n v="327200"/>
    <n v="6.3480209111277067E-2"/>
    <n v="-0.34567901234567899"/>
    <n v="-1.6235718580877932E-2"/>
  </r>
  <r>
    <n v="2025"/>
    <s v="18132313446    "/>
    <n v="-1.2039728043259361"/>
    <n v="0.3"/>
    <n v="12975"/>
    <s v="6"/>
    <s v="RES"/>
    <x v="0"/>
    <s v="11"/>
    <s v="259"/>
    <s v="CO"/>
    <s v="F+"/>
    <s v="AV"/>
    <x v="8"/>
    <n v="89"/>
    <n v="53"/>
    <n v="1935"/>
    <n v="1971"/>
    <n v="1223"/>
    <n v="444"/>
    <n v="625"/>
    <n v="5"/>
    <n v="620"/>
    <m/>
    <n v="2287"/>
    <n v="2500"/>
    <n v="8"/>
    <m/>
    <m/>
    <m/>
    <m/>
    <m/>
    <m/>
    <m/>
    <n v="323027"/>
    <n v="216428"/>
    <n v="0"/>
    <n v="336000"/>
    <n v="72500"/>
    <n v="263500"/>
    <n v="0"/>
    <n v="0"/>
    <n v="89850.625589999996"/>
    <n v="-38111.29648355169"/>
    <n v="0"/>
    <n v="160472.20319"/>
    <n v="-11821.416826500001"/>
    <n v="60426.803259571003"/>
    <n v="19885.171750284"/>
    <n v="0"/>
    <n v="18176.184529374998"/>
    <n v="30336.176841600001"/>
    <n v="0"/>
    <n v="0"/>
    <n v="277500"/>
    <n v="51700"/>
    <n v="329200"/>
    <n v="-2.0238095238095239E-2"/>
    <n v="0.99970000000000003"/>
    <n v="0.99180000000000001"/>
    <n v="0.99729999999999996"/>
    <n v="0.98919999999999997"/>
    <n v="0.98909999999999998"/>
    <n v="0.94971499999999998"/>
    <n v="0.91911008180003395"/>
    <n v="277500"/>
    <n v="0"/>
    <n v="277500"/>
    <n v="49100"/>
    <n v="326600"/>
    <n v="5.3130929791271347E-2"/>
    <n v="-0.32275862068965516"/>
    <n v="-2.7976190476190477E-2"/>
  </r>
  <r>
    <n v="2025"/>
    <s v="18132334405    "/>
    <n v="-1.7147984280919266"/>
    <n v="0.18"/>
    <m/>
    <s v="6"/>
    <s v="RES"/>
    <x v="0"/>
    <s v="11"/>
    <s v="259"/>
    <s v="CC"/>
    <s v="A"/>
    <s v="AV"/>
    <x v="8"/>
    <n v="89"/>
    <n v="53"/>
    <n v="1935"/>
    <n v="1971"/>
    <n v="932"/>
    <n v="752"/>
    <n v="624"/>
    <n v="0"/>
    <n v="624"/>
    <m/>
    <n v="2308"/>
    <n v="2500"/>
    <n v="9"/>
    <m/>
    <m/>
    <n v="176"/>
    <m/>
    <m/>
    <m/>
    <m/>
    <n v="371859"/>
    <n v="249146"/>
    <n v="6050"/>
    <n v="362600"/>
    <n v="54700"/>
    <n v="307900"/>
    <n v="0"/>
    <n v="0"/>
    <n v="89850.625589999996"/>
    <n v="-54281.285314520763"/>
    <n v="21557.329055999999"/>
    <n v="160472.20319"/>
    <n v="-11821.416826500001"/>
    <n v="46048.880325364"/>
    <n v="33679.389991472002"/>
    <n v="0"/>
    <n v="18147.102634127998"/>
    <n v="34128.198946800003"/>
    <n v="5860.0106885760006"/>
    <n v="6100"/>
    <n v="308100"/>
    <n v="35600"/>
    <n v="349800"/>
    <n v="-3.5300606729178161E-2"/>
    <n v="0.99970000000000003"/>
    <n v="1.0067999999999999"/>
    <n v="0.99729999999999996"/>
    <n v="0.98919999999999997"/>
    <n v="0.98909999999999998"/>
    <n v="0.94971499999999998"/>
    <n v="0.93301071824589021"/>
    <n v="308100"/>
    <n v="5700"/>
    <n v="313800"/>
    <n v="33800"/>
    <n v="347600"/>
    <n v="1.9162065605716143E-2"/>
    <n v="-0.38208409506398539"/>
    <n v="-4.1367898510755653E-2"/>
  </r>
  <r>
    <n v="2025"/>
    <s v="18132241406    "/>
    <n v="-1.6607312068216509"/>
    <n v="0.19"/>
    <n v="8292"/>
    <s v="6"/>
    <s v="RES"/>
    <x v="0"/>
    <s v="11"/>
    <s v="259"/>
    <s v="CP"/>
    <s v="G"/>
    <s v="AV"/>
    <x v="8"/>
    <n v="89"/>
    <n v="53"/>
    <n v="1935"/>
    <n v="1971"/>
    <n v="1636"/>
    <m/>
    <n v="1647"/>
    <n v="165"/>
    <n v="1482"/>
    <m/>
    <n v="3118"/>
    <n v="3500"/>
    <n v="8"/>
    <m/>
    <m/>
    <m/>
    <m/>
    <m/>
    <m/>
    <m/>
    <n v="543785"/>
    <n v="364336"/>
    <n v="13235"/>
    <n v="422400"/>
    <n v="56600"/>
    <n v="365800"/>
    <n v="0"/>
    <n v="0"/>
    <n v="89850.625589999996"/>
    <n v="-52569.808201026557"/>
    <n v="44121.038090000002"/>
    <n v="160472.20319"/>
    <n v="-11821.416826500001"/>
    <n v="80832.583918771998"/>
    <n v="0"/>
    <n v="0"/>
    <n v="47897.881471809"/>
    <n v="30336.176841600001"/>
    <n v="0"/>
    <n v="13200"/>
    <n v="351800"/>
    <n v="37300"/>
    <n v="402300"/>
    <n v="-4.7585227272727272E-2"/>
    <n v="0.99970000000000003"/>
    <n v="0.98050000000000004"/>
    <n v="0.99729999999999996"/>
    <n v="1.0126999999999999"/>
    <n v="0.98909999999999998"/>
    <n v="0.94971499999999998"/>
    <n v="0.93022439853139849"/>
    <n v="351800"/>
    <n v="12600"/>
    <n v="364400"/>
    <n v="35400"/>
    <n v="399800"/>
    <n v="-3.8272279934390375E-3"/>
    <n v="-0.37455830388692579"/>
    <n v="-5.350378787878788E-2"/>
  </r>
  <r>
    <n v="2025"/>
    <s v="18132323437    "/>
    <n v="-1.8971199848858813"/>
    <n v="0.15"/>
    <m/>
    <s v="6"/>
    <s v="RES"/>
    <x v="0"/>
    <s v="11"/>
    <s v="259"/>
    <s v="TD"/>
    <s v="F"/>
    <s v="FR"/>
    <x v="8"/>
    <n v="89"/>
    <n v="53"/>
    <n v="1935"/>
    <n v="1971"/>
    <n v="866"/>
    <m/>
    <n v="866"/>
    <n v="866"/>
    <m/>
    <m/>
    <n v="866"/>
    <n v="1000"/>
    <n v="5"/>
    <m/>
    <m/>
    <m/>
    <m/>
    <m/>
    <m/>
    <m/>
    <n v="153307"/>
    <n v="99650"/>
    <n v="4960"/>
    <n v="210400"/>
    <n v="48400"/>
    <n v="162000"/>
    <n v="0"/>
    <n v="0"/>
    <n v="89850.625589999996"/>
    <n v="-60052.604136134301"/>
    <n v="-43578.886190266698"/>
    <n v="133714.53821"/>
    <n v="-11821.416826500001"/>
    <n v="42787.908113482001"/>
    <n v="0"/>
    <n v="0"/>
    <n v="25184.921283902"/>
    <n v="18960.110526"/>
    <n v="0"/>
    <n v="5000"/>
    <n v="165200"/>
    <n v="29800"/>
    <n v="200000"/>
    <n v="-4.9429657794676805E-2"/>
    <n v="0.99970000000000003"/>
    <n v="1"/>
    <n v="0.99329999999999996"/>
    <n v="1.0148999999999999"/>
    <n v="0.98909999999999998"/>
    <n v="0.94971499999999998"/>
    <n v="0.94697210735437787"/>
    <n v="165200"/>
    <n v="4700"/>
    <n v="169900"/>
    <n v="28300"/>
    <n v="198200"/>
    <n v="4.8765432098765431E-2"/>
    <n v="-0.41528925619834711"/>
    <n v="-5.7984790874524718E-2"/>
  </r>
  <r>
    <n v="2025"/>
    <s v="18132333411    "/>
    <n v="-2.5257286443082556"/>
    <n v="0.08"/>
    <m/>
    <s v="6"/>
    <s v="RES"/>
    <x v="0"/>
    <s v="11"/>
    <s v="259"/>
    <s v="TD"/>
    <s v="F"/>
    <s v="AV"/>
    <x v="8"/>
    <n v="89"/>
    <n v="53"/>
    <n v="1935"/>
    <n v="1971"/>
    <n v="1103"/>
    <m/>
    <m/>
    <n v="0"/>
    <m/>
    <m/>
    <n v="1103"/>
    <n v="1500"/>
    <n v="5"/>
    <m/>
    <m/>
    <m/>
    <m/>
    <m/>
    <m/>
    <m/>
    <n v="143660"/>
    <n v="96252"/>
    <n v="0"/>
    <n v="211000"/>
    <n v="26500"/>
    <n v="184500"/>
    <n v="0"/>
    <n v="0"/>
    <n v="89850.625589999996"/>
    <n v="-79950.969701614697"/>
    <n v="-43578.886190266698"/>
    <n v="160472.20319"/>
    <n v="-11821.416826500001"/>
    <n v="54497.762874330998"/>
    <n v="0"/>
    <n v="0"/>
    <n v="0"/>
    <n v="18960.110526"/>
    <n v="0"/>
    <n v="0"/>
    <n v="178500"/>
    <n v="9900"/>
    <n v="188400"/>
    <n v="-0.10710900473933649"/>
    <n v="0.99970000000000003"/>
    <n v="1"/>
    <n v="0.99729999999999996"/>
    <n v="1.0157"/>
    <n v="0.98909999999999998"/>
    <n v="0.94971499999999998"/>
    <n v="0.95153500728241536"/>
    <n v="178500"/>
    <n v="0"/>
    <n v="178500"/>
    <n v="9400"/>
    <n v="187900"/>
    <n v="-3.2520325203252036E-2"/>
    <n v="-0.6452830188679245"/>
    <n v="-0.109478672985782"/>
  </r>
  <r>
    <n v="2025"/>
    <s v="18132243054    "/>
    <n v="-1.9661128563728327"/>
    <n v="0.14000000000000001"/>
    <n v="5897"/>
    <s v="6"/>
    <s v="RES"/>
    <x v="0"/>
    <s v="11"/>
    <s v="259"/>
    <s v="TD"/>
    <s v="F"/>
    <s v="AV"/>
    <x v="8"/>
    <n v="89"/>
    <n v="53"/>
    <n v="1935"/>
    <n v="1971"/>
    <n v="805"/>
    <m/>
    <n v="641"/>
    <n v="106"/>
    <n v="535"/>
    <m/>
    <n v="1340"/>
    <n v="1500"/>
    <n v="5"/>
    <m/>
    <m/>
    <m/>
    <m/>
    <m/>
    <m/>
    <m/>
    <n v="182463"/>
    <n v="122250"/>
    <n v="2375"/>
    <n v="240600"/>
    <n v="46000"/>
    <n v="194600"/>
    <n v="0"/>
    <n v="0"/>
    <n v="89850.625589999996"/>
    <n v="-62236.546971921947"/>
    <n v="-43578.886190266698"/>
    <n v="160472.20319"/>
    <n v="-11821.416826500001"/>
    <n v="39773.979250985001"/>
    <n v="0"/>
    <n v="0"/>
    <n v="18641.494853327"/>
    <n v="18960.110526"/>
    <n v="0"/>
    <n v="2400"/>
    <n v="182400"/>
    <n v="27600"/>
    <n v="212400"/>
    <n v="-0.1172069825436409"/>
    <n v="0.99970000000000003"/>
    <n v="1"/>
    <n v="0.99729999999999996"/>
    <n v="1.0157"/>
    <n v="0.98909999999999998"/>
    <n v="0.94971499999999998"/>
    <n v="0.95153500728241536"/>
    <n v="182400"/>
    <n v="2300"/>
    <n v="184700"/>
    <n v="26200"/>
    <n v="210900"/>
    <n v="-5.0873586844809866E-2"/>
    <n v="-0.43043478260869567"/>
    <n v="-0.12344139650872818"/>
  </r>
  <r>
    <n v="2025"/>
    <s v="18132313423    "/>
    <n v="-1.3093333199837622"/>
    <n v="0.27"/>
    <n v="11570"/>
    <s v="6"/>
    <s v="RES"/>
    <x v="0"/>
    <s v="11"/>
    <s v="259"/>
    <s v="CO"/>
    <s v="G+"/>
    <s v="GD"/>
    <x v="8"/>
    <n v="89"/>
    <n v="53"/>
    <n v="1935"/>
    <n v="1971"/>
    <n v="1930"/>
    <n v="560"/>
    <n v="783"/>
    <n v="783"/>
    <n v="0"/>
    <m/>
    <n v="2490"/>
    <n v="2500"/>
    <n v="12"/>
    <m/>
    <m/>
    <m/>
    <m/>
    <m/>
    <m/>
    <m/>
    <n v="652637"/>
    <n v="456846"/>
    <n v="0"/>
    <n v="591100"/>
    <n v="68900"/>
    <n v="522200"/>
    <n v="0"/>
    <n v="0"/>
    <n v="89850.625589999996"/>
    <n v="-41446.443120973789"/>
    <n v="74268.409664999999"/>
    <n v="197752.34721000001"/>
    <n v="-11821.416826500001"/>
    <n v="95358.732862610006"/>
    <n v="25080.396802159998"/>
    <n v="0"/>
    <n v="22771.123978400999"/>
    <n v="45504.265262400004"/>
    <n v="0"/>
    <n v="0"/>
    <n v="448900"/>
    <n v="48400"/>
    <n v="497300"/>
    <n v="-0.1586871933682964"/>
    <n v="0.99970000000000003"/>
    <n v="0.98380000000000001"/>
    <n v="0.99650000000000005"/>
    <n v="0.98919999999999997"/>
    <n v="0.98909999999999998"/>
    <n v="0.94971499999999998"/>
    <n v="0.9109650773060356"/>
    <n v="448900"/>
    <n v="0"/>
    <n v="448900"/>
    <n v="46000"/>
    <n v="494900"/>
    <n v="-0.14036767522022214"/>
    <n v="-0.33236574746008707"/>
    <n v="-0.16274742006428691"/>
  </r>
  <r>
    <n v="2025"/>
    <s v="18132244495    "/>
    <n v="-2.5257286443082556"/>
    <n v="0.08"/>
    <n v="3601"/>
    <s v="6"/>
    <s v="RES"/>
    <x v="0"/>
    <s v="11"/>
    <s v="259"/>
    <s v="CA"/>
    <s v="F-"/>
    <s v="FR"/>
    <x v="8"/>
    <n v="89"/>
    <n v="64"/>
    <n v="1935"/>
    <n v="1960"/>
    <n v="658"/>
    <m/>
    <m/>
    <n v="0"/>
    <m/>
    <m/>
    <n v="658"/>
    <n v="1000"/>
    <n v="6"/>
    <m/>
    <m/>
    <m/>
    <m/>
    <m/>
    <m/>
    <m/>
    <n v="78559"/>
    <n v="42422"/>
    <n v="0"/>
    <n v="153600"/>
    <n v="26500"/>
    <n v="127100"/>
    <n v="0"/>
    <n v="0"/>
    <n v="89850.625589999996"/>
    <n v="-79950.969701614697"/>
    <n v="-71917.896887580995"/>
    <n v="133714.53821"/>
    <n v="-14274.918432"/>
    <n v="32510.904779066001"/>
    <n v="0"/>
    <n v="0"/>
    <n v="0"/>
    <n v="22752.132631200002"/>
    <n v="0"/>
    <n v="0"/>
    <n v="102800"/>
    <n v="9900"/>
    <n v="112700"/>
    <n v="-0.26627604166666669"/>
    <n v="0.99970000000000003"/>
    <n v="1"/>
    <n v="0.99329999999999996"/>
    <n v="1.0148999999999999"/>
    <n v="0.98909999999999998"/>
    <n v="0.94971499999999998"/>
    <n v="0.94697210735437787"/>
    <n v="102800"/>
    <n v="0"/>
    <n v="102800"/>
    <n v="9400"/>
    <n v="112200"/>
    <n v="-0.1911880409126672"/>
    <n v="-0.6452830188679245"/>
    <n v="-0.26953125"/>
  </r>
  <r>
    <n v="2025"/>
    <s v="18132342010    "/>
    <n v="-1.6607312068216509"/>
    <n v="0.19"/>
    <n v="8362"/>
    <s v="6"/>
    <s v="RES"/>
    <x v="0"/>
    <s v="11"/>
    <s v="259"/>
    <s v="CU"/>
    <s v="V"/>
    <s v="VG"/>
    <x v="8"/>
    <n v="90"/>
    <n v="53"/>
    <n v="1934"/>
    <n v="1971"/>
    <n v="1728"/>
    <n v="1260"/>
    <n v="1332"/>
    <n v="446"/>
    <n v="886"/>
    <m/>
    <n v="3874"/>
    <n v="4000"/>
    <n v="15"/>
    <m/>
    <n v="616"/>
    <n v="220"/>
    <m/>
    <m/>
    <m/>
    <m/>
    <n v="912404"/>
    <n v="647807"/>
    <n v="0"/>
    <n v="647800"/>
    <n v="56600"/>
    <n v="591200"/>
    <n v="0"/>
    <n v="0"/>
    <n v="89850.625589999996"/>
    <n v="-52569.808201026557"/>
    <n v="163885.03753"/>
    <n v="284810.60806"/>
    <n v="-11821.416826500001"/>
    <n v="85378.181547455999"/>
    <n v="56430.892804859999"/>
    <n v="0"/>
    <n v="38737.084469003996"/>
    <n v="56880.331578000005"/>
    <n v="7325.0133607200005"/>
    <n v="0"/>
    <n v="681600"/>
    <n v="37300"/>
    <n v="718900"/>
    <n v="0.10975609756097561"/>
    <n v="0.99970000000000003"/>
    <n v="1"/>
    <n v="1.0158"/>
    <n v="0.94579999999999997"/>
    <n v="0.98909999999999998"/>
    <n v="0.94971499999999998"/>
    <n v="0.90248713022051763"/>
    <n v="681600"/>
    <n v="0"/>
    <n v="681600"/>
    <n v="35400"/>
    <n v="717000"/>
    <n v="0.15290933694181327"/>
    <n v="-0.37455830388692579"/>
    <n v="0.10682309354739117"/>
  </r>
  <r>
    <n v="2025"/>
    <s v="18132332440    "/>
    <n v="-1.5606477482646683"/>
    <n v="0.21"/>
    <n v="8930"/>
    <s v="6"/>
    <s v="RES"/>
    <x v="0"/>
    <s v="11"/>
    <s v="259"/>
    <s v="TD"/>
    <s v="A"/>
    <s v="GD"/>
    <x v="9"/>
    <n v="91"/>
    <n v="54"/>
    <n v="1933"/>
    <n v="1970"/>
    <n v="1260"/>
    <m/>
    <n v="1260"/>
    <n v="1260"/>
    <m/>
    <m/>
    <n v="1260"/>
    <n v="1500"/>
    <n v="5"/>
    <m/>
    <m/>
    <m/>
    <m/>
    <m/>
    <m/>
    <m/>
    <n v="243944"/>
    <n v="165882"/>
    <n v="23882"/>
    <n v="344800"/>
    <n v="60100"/>
    <n v="284700"/>
    <n v="0"/>
    <n v="0"/>
    <n v="89850.625589999996"/>
    <n v="-49401.70477837498"/>
    <n v="21557.329055999999"/>
    <n v="197752.34721000001"/>
    <n v="-12044.462427"/>
    <n v="62254.924045020001"/>
    <n v="0"/>
    <n v="0"/>
    <n v="36643.188011220001"/>
    <n v="18960.110526"/>
    <n v="0"/>
    <n v="23900"/>
    <n v="325100"/>
    <n v="40400"/>
    <n v="389400"/>
    <n v="0.12935034802784223"/>
    <n v="0.99970000000000003"/>
    <n v="1.0067999999999999"/>
    <n v="0.99650000000000005"/>
    <n v="1.0157"/>
    <n v="1.0074000000000001"/>
    <n v="0.94971499999999998"/>
    <n v="0.97494744680082823"/>
    <n v="325100"/>
    <n v="22700"/>
    <n v="347800"/>
    <n v="38400"/>
    <n v="386200"/>
    <n v="0.22163681067790658"/>
    <n v="-0.36106489184692181"/>
    <n v="0.12006960556844548"/>
  </r>
  <r>
    <n v="2025"/>
    <s v="18132213056    "/>
    <n v="-1.5606477482646683"/>
    <n v="0.21"/>
    <n v="9103"/>
    <s v="6"/>
    <s v="RES"/>
    <x v="0"/>
    <s v="11"/>
    <s v="259"/>
    <s v="TD"/>
    <s v="A"/>
    <s v="AV"/>
    <x v="9"/>
    <n v="91"/>
    <n v="54"/>
    <n v="1933"/>
    <n v="1970"/>
    <n v="796"/>
    <m/>
    <n v="796"/>
    <n v="398"/>
    <n v="398"/>
    <m/>
    <n v="1194"/>
    <n v="1500"/>
    <n v="5"/>
    <m/>
    <m/>
    <m/>
    <m/>
    <m/>
    <m/>
    <m/>
    <n v="182705"/>
    <n v="120585"/>
    <n v="11658"/>
    <n v="283500"/>
    <n v="60100"/>
    <n v="223400"/>
    <n v="0"/>
    <n v="0"/>
    <n v="89850.625589999996"/>
    <n v="-49401.70477837498"/>
    <n v="21557.329055999999"/>
    <n v="160472.20319"/>
    <n v="-12044.462427"/>
    <n v="39329.301222091999"/>
    <n v="0"/>
    <n v="0"/>
    <n v="23149.188616611998"/>
    <n v="18960.110526"/>
    <n v="0"/>
    <n v="11700"/>
    <n v="251400"/>
    <n v="40400"/>
    <n v="303500"/>
    <n v="7.0546737213403876E-2"/>
    <n v="0.99970000000000003"/>
    <n v="1.0067999999999999"/>
    <n v="0.99729999999999996"/>
    <n v="1.0157"/>
    <n v="1.0074000000000001"/>
    <n v="0.94971499999999998"/>
    <n v="0.97573014419916293"/>
    <n v="251400"/>
    <n v="11100"/>
    <n v="262500"/>
    <n v="38400"/>
    <n v="300900"/>
    <n v="0.17502238137869292"/>
    <n v="-0.36106489184692181"/>
    <n v="6.1375661375661375E-2"/>
  </r>
  <r>
    <n v="2025"/>
    <s v="18132342013    "/>
    <n v="-1.4696759700589417"/>
    <n v="0.23"/>
    <n v="9807"/>
    <s v="6"/>
    <s v="RES"/>
    <x v="0"/>
    <s v="11"/>
    <s v="259"/>
    <s v="BG"/>
    <s v="G"/>
    <s v="AV"/>
    <x v="9"/>
    <n v="91"/>
    <n v="54"/>
    <n v="1933"/>
    <n v="1970"/>
    <n v="1090"/>
    <m/>
    <n v="766"/>
    <n v="153"/>
    <n v="613"/>
    <m/>
    <n v="1703"/>
    <n v="2000"/>
    <n v="8"/>
    <m/>
    <n v="324"/>
    <n v="96"/>
    <m/>
    <m/>
    <m/>
    <m/>
    <n v="340125"/>
    <n v="224483"/>
    <n v="0"/>
    <n v="326800"/>
    <n v="63300"/>
    <n v="263500"/>
    <n v="0"/>
    <n v="0"/>
    <n v="89850.625589999996"/>
    <n v="-46522.028095997222"/>
    <n v="44121.038090000002"/>
    <n v="160472.20319"/>
    <n v="-12044.462427"/>
    <n v="53855.45016593"/>
    <n v="0"/>
    <n v="0"/>
    <n v="22276.731759201997"/>
    <n v="30336.176841600001"/>
    <n v="3196.3694664960003"/>
    <n v="0"/>
    <n v="302200"/>
    <n v="43300"/>
    <n v="345500"/>
    <n v="5.7221542227662181E-2"/>
    <n v="0.99970000000000003"/>
    <n v="0.98050000000000004"/>
    <n v="0.99729999999999996"/>
    <n v="1.0093000000000001"/>
    <n v="1.0074000000000001"/>
    <n v="0.94971499999999998"/>
    <n v="0.9442542195464082"/>
    <n v="302200"/>
    <n v="0"/>
    <n v="302200"/>
    <n v="41100"/>
    <n v="343300"/>
    <n v="0.14686907020872866"/>
    <n v="-0.35071090047393366"/>
    <n v="5.0489596083231336E-2"/>
  </r>
  <r>
    <n v="2025"/>
    <s v="18132324448    "/>
    <n v="-1.8325814637483102"/>
    <n v="0.16"/>
    <m/>
    <s v="6"/>
    <s v="RES"/>
    <x v="0"/>
    <s v="11"/>
    <s v="259"/>
    <s v="TD"/>
    <s v="A"/>
    <s v="AV"/>
    <x v="9"/>
    <n v="91"/>
    <n v="54"/>
    <n v="1933"/>
    <n v="1970"/>
    <n v="1036"/>
    <m/>
    <n v="532"/>
    <n v="0"/>
    <n v="532"/>
    <m/>
    <n v="1568"/>
    <n v="2000"/>
    <n v="6"/>
    <m/>
    <m/>
    <m/>
    <m/>
    <m/>
    <m/>
    <m/>
    <n v="229764"/>
    <n v="151644"/>
    <n v="18071"/>
    <n v="297800"/>
    <n v="50600"/>
    <n v="247200"/>
    <n v="0"/>
    <n v="0"/>
    <n v="89850.625589999996"/>
    <n v="-58009.662049032086"/>
    <n v="21557.329055999999"/>
    <n v="160472.20319"/>
    <n v="-12044.462427"/>
    <n v="51187.381992572002"/>
    <n v="0"/>
    <n v="0"/>
    <n v="15471.568271403999"/>
    <n v="22752.132631200002"/>
    <n v="0"/>
    <n v="18100"/>
    <n v="259400"/>
    <n v="31800"/>
    <n v="309300"/>
    <n v="3.8616521155137674E-2"/>
    <n v="0.99970000000000003"/>
    <n v="1.0067999999999999"/>
    <n v="0.99729999999999996"/>
    <n v="1.0093000000000001"/>
    <n v="1.0074000000000001"/>
    <n v="0.94971499999999998"/>
    <n v="0.96958199718441984"/>
    <n v="259400"/>
    <n v="17200"/>
    <n v="276600"/>
    <n v="30200"/>
    <n v="306800"/>
    <n v="0.11893203883495146"/>
    <n v="-0.40316205533596838"/>
    <n v="3.0221625251846879E-2"/>
  </r>
  <r>
    <n v="2025"/>
    <s v="18132313427    "/>
    <n v="-1.2729656758128873"/>
    <n v="0.28000000000000003"/>
    <n v="12204"/>
    <s v="6"/>
    <s v="RES"/>
    <x v="0"/>
    <s v="11"/>
    <s v="259"/>
    <s v="CU"/>
    <s v="V"/>
    <s v="GD"/>
    <x v="9"/>
    <n v="91"/>
    <n v="54"/>
    <n v="1933"/>
    <n v="1970"/>
    <n v="2513"/>
    <n v="1064"/>
    <n v="1333"/>
    <n v="0"/>
    <n v="1333"/>
    <m/>
    <n v="4910"/>
    <n v="4500"/>
    <n v="11"/>
    <m/>
    <m/>
    <m/>
    <m/>
    <m/>
    <m/>
    <m/>
    <n v="1040868"/>
    <n v="718199"/>
    <n v="46509"/>
    <n v="704000"/>
    <n v="70100"/>
    <n v="633900"/>
    <n v="0"/>
    <n v="0"/>
    <n v="89850.625589999996"/>
    <n v="-40295.239319339329"/>
    <n v="163885.03753"/>
    <n v="197752.34721000001"/>
    <n v="-12044.462427"/>
    <n v="124163.98740090101"/>
    <n v="47652.753924103999"/>
    <n v="0"/>
    <n v="38766.166364250996"/>
    <n v="41712.243157199999"/>
    <n v="0"/>
    <n v="46500"/>
    <n v="601900"/>
    <n v="49600"/>
    <n v="698000"/>
    <n v="-8.5227272727272721E-3"/>
    <n v="0.99970000000000003"/>
    <n v="1"/>
    <n v="0.99650000000000005"/>
    <n v="1"/>
    <n v="1.0074000000000001"/>
    <n v="0.94971499999999998"/>
    <n v="0.95339429088149996"/>
    <n v="601900"/>
    <n v="44200"/>
    <n v="646100"/>
    <n v="47100"/>
    <n v="693200"/>
    <n v="1.9245937845085975E-2"/>
    <n v="-0.32810271041369471"/>
    <n v="-1.5340909090909091E-2"/>
  </r>
  <r>
    <n v="2025"/>
    <s v="18132342519    "/>
    <n v="-1.2039728043259361"/>
    <n v="0.3"/>
    <n v="12965"/>
    <s v="6"/>
    <s v="RES"/>
    <x v="0"/>
    <s v="11"/>
    <s v="259"/>
    <s v="CC"/>
    <s v="G"/>
    <s v="VG"/>
    <x v="9"/>
    <n v="92"/>
    <n v="54"/>
    <n v="1932"/>
    <n v="1970"/>
    <n v="1578"/>
    <n v="1118"/>
    <n v="1488"/>
    <n v="1488"/>
    <m/>
    <m/>
    <n v="2696"/>
    <n v="3000"/>
    <n v="8"/>
    <m/>
    <m/>
    <n v="75"/>
    <m/>
    <m/>
    <m/>
    <m/>
    <n v="625515"/>
    <n v="431605"/>
    <n v="18810"/>
    <n v="487600"/>
    <n v="72500"/>
    <n v="415100"/>
    <n v="0"/>
    <n v="0"/>
    <n v="89850.625589999996"/>
    <n v="-38111.29648355169"/>
    <n v="44121.038090000002"/>
    <n v="284810.60806"/>
    <n v="-12044.462427"/>
    <n v="77966.881065905996"/>
    <n v="50071.220758598"/>
    <n v="0"/>
    <n v="43273.860127535998"/>
    <n v="30336.176841600001"/>
    <n v="2497.1636457000004"/>
    <n v="18800"/>
    <n v="521000"/>
    <n v="51700"/>
    <n v="591500"/>
    <n v="0.21308449548810501"/>
    <n v="0.99970000000000003"/>
    <n v="0.98050000000000004"/>
    <n v="1.0158"/>
    <n v="0.96179999999999999"/>
    <n v="1.0074000000000001"/>
    <n v="0.94971499999999998"/>
    <n v="0.91650707773151308"/>
    <n v="521000"/>
    <n v="17900"/>
    <n v="538900"/>
    <n v="49100"/>
    <n v="588000"/>
    <n v="0.29824138761744157"/>
    <n v="-0.32275862068965516"/>
    <n v="0.20590648072190321"/>
  </r>
  <r>
    <n v="2025"/>
    <s v="18132244430    "/>
    <n v="-1.7719568419318752"/>
    <n v="0.17"/>
    <n v="7560"/>
    <s v="6"/>
    <s v="RES"/>
    <x v="0"/>
    <s v="11"/>
    <s v="259"/>
    <s v="CC"/>
    <s v="A+"/>
    <s v="VG"/>
    <x v="9"/>
    <n v="92"/>
    <n v="54"/>
    <n v="1932"/>
    <n v="1970"/>
    <n v="1440"/>
    <n v="786"/>
    <n v="895"/>
    <n v="0"/>
    <n v="895"/>
    <m/>
    <n v="3121"/>
    <n v="3500"/>
    <n v="9"/>
    <m/>
    <m/>
    <n v="248"/>
    <m/>
    <m/>
    <m/>
    <m/>
    <n v="453551"/>
    <n v="312950"/>
    <n v="9380"/>
    <n v="433700"/>
    <n v="52700"/>
    <n v="381000"/>
    <n v="0"/>
    <n v="0"/>
    <n v="89850.625589999996"/>
    <n v="-56090.612940989391"/>
    <n v="29814.093161000001"/>
    <n v="284810.60806"/>
    <n v="-12044.462427"/>
    <n v="71148.484622880002"/>
    <n v="35202.128368746002"/>
    <n v="0"/>
    <n v="26028.296246064998"/>
    <n v="34128.198946800003"/>
    <n v="8257.2877884480004"/>
    <n v="9400"/>
    <n v="477300"/>
    <n v="33800"/>
    <n v="520500"/>
    <n v="0.20013834447774959"/>
    <n v="0.99970000000000003"/>
    <n v="1.0088999999999999"/>
    <n v="1.0158"/>
    <n v="1.0126999999999999"/>
    <n v="1.0074000000000001"/>
    <n v="0.94971499999999998"/>
    <n v="0.992961441608464"/>
    <n v="477300"/>
    <n v="8900"/>
    <n v="486200"/>
    <n v="32100"/>
    <n v="518300"/>
    <n v="0.27611548556430449"/>
    <n v="-0.39089184060721061"/>
    <n v="0.19506571362693106"/>
  </r>
  <r>
    <n v="2025"/>
    <s v="18132241413    "/>
    <n v="-2.0402208285265546"/>
    <n v="0.13"/>
    <n v="5662"/>
    <s v="6"/>
    <s v="RES"/>
    <x v="0"/>
    <s v="11"/>
    <s v="259"/>
    <s v="CO"/>
    <s v="A+"/>
    <s v="VG"/>
    <x v="9"/>
    <n v="92"/>
    <n v="54"/>
    <n v="1932"/>
    <n v="1970"/>
    <n v="1038"/>
    <n v="708"/>
    <n v="1062"/>
    <n v="162"/>
    <n v="900"/>
    <m/>
    <n v="2646"/>
    <n v="3000"/>
    <n v="8"/>
    <m/>
    <m/>
    <m/>
    <m/>
    <m/>
    <m/>
    <m/>
    <n v="402484"/>
    <n v="277714"/>
    <n v="6724"/>
    <n v="400400"/>
    <n v="43400"/>
    <n v="357000"/>
    <n v="0"/>
    <n v="0"/>
    <n v="89850.625589999996"/>
    <n v="-64582.406353792743"/>
    <n v="29814.093161000001"/>
    <n v="284810.60806"/>
    <n v="-12044.462427"/>
    <n v="51286.199332326003"/>
    <n v="31708.787385587999"/>
    <n v="0"/>
    <n v="30884.972752313999"/>
    <n v="30336.176841600001"/>
    <n v="0"/>
    <n v="6700"/>
    <n v="446800"/>
    <n v="25300"/>
    <n v="478800"/>
    <n v="0.19580419580419581"/>
    <n v="0.99970000000000003"/>
    <n v="1.0088999999999999"/>
    <n v="1.0158"/>
    <n v="0.96179999999999999"/>
    <n v="1.0074000000000001"/>
    <n v="0.94971499999999998"/>
    <n v="0.94305353464897845"/>
    <n v="446800"/>
    <n v="6400"/>
    <n v="453200"/>
    <n v="24000"/>
    <n v="477200"/>
    <n v="0.26946778711484592"/>
    <n v="-0.44700460829493088"/>
    <n v="0.19180819180819181"/>
  </r>
  <r>
    <n v="2025"/>
    <s v="18132331418    "/>
    <n v="-1.8971199848858813"/>
    <n v="0.15"/>
    <m/>
    <s v="6"/>
    <s v="RES"/>
    <x v="0"/>
    <s v="11"/>
    <s v="259"/>
    <s v="CO"/>
    <s v="G"/>
    <s v="GD"/>
    <x v="9"/>
    <n v="92"/>
    <n v="54"/>
    <n v="1932"/>
    <n v="1970"/>
    <n v="1482"/>
    <n v="574"/>
    <n v="738"/>
    <n v="367"/>
    <n v="371"/>
    <m/>
    <n v="2427"/>
    <n v="2500"/>
    <n v="10"/>
    <m/>
    <m/>
    <n v="270"/>
    <m/>
    <m/>
    <m/>
    <m/>
    <n v="463191"/>
    <n v="314970"/>
    <n v="8945"/>
    <n v="392700"/>
    <n v="48400"/>
    <n v="344300"/>
    <n v="0"/>
    <n v="0"/>
    <n v="89850.625589999996"/>
    <n v="-60052.604136134301"/>
    <n v="44121.038090000002"/>
    <n v="197752.34721000001"/>
    <n v="-12044.462427"/>
    <n v="73223.648757714007"/>
    <n v="25707.406722214"/>
    <n v="0"/>
    <n v="21462.438692285999"/>
    <n v="37920.221052000001"/>
    <n v="8989.7891245200008"/>
    <n v="8900"/>
    <n v="397100"/>
    <n v="29800"/>
    <n v="435800"/>
    <n v="0.10975299210593328"/>
    <n v="0.99970000000000003"/>
    <n v="0.98050000000000004"/>
    <n v="0.99650000000000005"/>
    <n v="0.98919999999999997"/>
    <n v="1.0074000000000001"/>
    <n v="0.94971499999999998"/>
    <n v="0.9247072287054503"/>
    <n v="397100"/>
    <n v="8500"/>
    <n v="405600"/>
    <n v="28300"/>
    <n v="433900"/>
    <n v="0.17804240487946557"/>
    <n v="-0.41528925619834711"/>
    <n v="0.10491469314998726"/>
  </r>
  <r>
    <n v="2025"/>
    <s v="18132214432    "/>
    <n v="-1.5141277326297755"/>
    <n v="0.22"/>
    <n v="9400"/>
    <s v="6"/>
    <s v="RES"/>
    <x v="0"/>
    <s v="11"/>
    <s v="259"/>
    <s v="TD"/>
    <s v="A"/>
    <s v="AV"/>
    <x v="9"/>
    <n v="92"/>
    <n v="54"/>
    <n v="1932"/>
    <n v="1970"/>
    <n v="1267"/>
    <n v="616"/>
    <n v="882"/>
    <n v="882"/>
    <m/>
    <m/>
    <n v="1883"/>
    <n v="2000"/>
    <n v="10"/>
    <m/>
    <m/>
    <m/>
    <m/>
    <m/>
    <m/>
    <m/>
    <n v="305646"/>
    <n v="201726"/>
    <n v="10237"/>
    <n v="342100"/>
    <n v="61700"/>
    <n v="280400"/>
    <n v="0"/>
    <n v="0"/>
    <n v="89850.625589999996"/>
    <n v="-47929.131559187132"/>
    <n v="21557.329055999999"/>
    <n v="160472.20319"/>
    <n v="-12044.462427"/>
    <n v="62600.784734159002"/>
    <n v="27588.436482376001"/>
    <n v="0"/>
    <n v="25650.231607853999"/>
    <n v="37920.221052000001"/>
    <n v="0"/>
    <n v="10200"/>
    <n v="323700"/>
    <n v="41900"/>
    <n v="375800"/>
    <n v="9.8509207833966675E-2"/>
    <n v="0.99970000000000003"/>
    <n v="1.0067999999999999"/>
    <n v="0.99729999999999996"/>
    <n v="1.0093000000000001"/>
    <n v="1.0074000000000001"/>
    <n v="0.94971499999999998"/>
    <n v="0.96958199718441984"/>
    <n v="323700"/>
    <n v="9700"/>
    <n v="333400"/>
    <n v="39800"/>
    <n v="373200"/>
    <n v="0.18901569186875891"/>
    <n v="-0.35494327390599678"/>
    <n v="9.0909090909090912E-2"/>
  </r>
  <r>
    <n v="2025"/>
    <s v="18132244419    "/>
    <n v="-1.7147984280919266"/>
    <n v="0.18"/>
    <n v="7800"/>
    <s v="6"/>
    <s v="RES"/>
    <x v="0"/>
    <s v="11"/>
    <s v="259"/>
    <s v="CC"/>
    <s v="G"/>
    <s v="GD"/>
    <x v="9"/>
    <n v="92"/>
    <n v="54"/>
    <n v="1932"/>
    <n v="1970"/>
    <n v="1309"/>
    <n v="683"/>
    <n v="768"/>
    <n v="538"/>
    <n v="230"/>
    <m/>
    <n v="2222"/>
    <n v="2500"/>
    <n v="8"/>
    <m/>
    <m/>
    <m/>
    <m/>
    <m/>
    <m/>
    <m/>
    <n v="445930"/>
    <n v="303232"/>
    <n v="9496"/>
    <n v="386100"/>
    <n v="54700"/>
    <n v="331400"/>
    <n v="0"/>
    <n v="0"/>
    <n v="89850.625589999996"/>
    <n v="-54281.285314520763"/>
    <n v="44121.038090000002"/>
    <n v="197752.34721000001"/>
    <n v="-12044.462427"/>
    <n v="64675.948868993"/>
    <n v="30589.126814062998"/>
    <n v="0"/>
    <n v="22334.895549695997"/>
    <n v="30336.176841600001"/>
    <n v="0"/>
    <n v="9500"/>
    <n v="377800"/>
    <n v="35600"/>
    <n v="422900"/>
    <n v="9.5312095312095307E-2"/>
    <n v="0.99970000000000003"/>
    <n v="0.98050000000000004"/>
    <n v="0.99650000000000005"/>
    <n v="0.98919999999999997"/>
    <n v="1.0074000000000001"/>
    <n v="0.94971499999999998"/>
    <n v="0.9247072287054503"/>
    <n v="377800"/>
    <n v="9000"/>
    <n v="386800"/>
    <n v="33800"/>
    <n v="420600"/>
    <n v="0.16716958358479178"/>
    <n v="-0.38208409506398539"/>
    <n v="8.9355089355089359E-2"/>
  </r>
  <r>
    <n v="2025"/>
    <s v="18132241008    "/>
    <n v="-1.4696759700589417"/>
    <n v="0.23"/>
    <n v="10081"/>
    <s v="6"/>
    <s v="RES"/>
    <x v="0"/>
    <s v="11"/>
    <s v="259"/>
    <s v="TD"/>
    <s v="A"/>
    <s v="AV"/>
    <x v="9"/>
    <n v="92"/>
    <n v="54"/>
    <n v="1932"/>
    <n v="1970"/>
    <n v="924"/>
    <m/>
    <n v="920"/>
    <n v="200"/>
    <n v="720"/>
    <m/>
    <n v="1644"/>
    <n v="2000"/>
    <n v="8"/>
    <m/>
    <m/>
    <n v="112"/>
    <m/>
    <m/>
    <m/>
    <m/>
    <n v="231216"/>
    <n v="152603"/>
    <n v="27980"/>
    <n v="329600"/>
    <n v="63300"/>
    <n v="266300"/>
    <n v="0"/>
    <n v="0"/>
    <n v="89850.625589999996"/>
    <n v="-46522.028095997222"/>
    <n v="21557.329055999999"/>
    <n v="160472.20319"/>
    <n v="-12044.462427"/>
    <n v="45653.610966348002"/>
    <n v="0"/>
    <n v="0"/>
    <n v="26755.343627239999"/>
    <n v="30336.176841600001"/>
    <n v="3729.0977109120004"/>
    <n v="28000"/>
    <n v="276500"/>
    <n v="43300"/>
    <n v="347800"/>
    <n v="5.5218446601941751E-2"/>
    <n v="0.99970000000000003"/>
    <n v="1.0067999999999999"/>
    <n v="0.99729999999999996"/>
    <n v="1.0093000000000001"/>
    <n v="1.0074000000000001"/>
    <n v="0.94971499999999998"/>
    <n v="0.96958199718441984"/>
    <n v="276500"/>
    <n v="26600"/>
    <n v="303100"/>
    <n v="41100"/>
    <n v="344200"/>
    <n v="0.13819001126549005"/>
    <n v="-0.35071090047393366"/>
    <n v="4.429611650485437E-2"/>
  </r>
  <r>
    <n v="2025"/>
    <s v="18132332416    "/>
    <n v="-1.7719568419318752"/>
    <n v="0.17"/>
    <n v="7280"/>
    <s v="6"/>
    <s v="RES"/>
    <x v="0"/>
    <s v="11"/>
    <s v="259"/>
    <s v="BG"/>
    <s v="G"/>
    <s v="AV"/>
    <x v="9"/>
    <n v="92"/>
    <n v="54"/>
    <n v="1932"/>
    <n v="1970"/>
    <n v="1125"/>
    <n v="378"/>
    <n v="486"/>
    <n v="3"/>
    <n v="483"/>
    <m/>
    <n v="1986"/>
    <n v="2000"/>
    <n v="11"/>
    <m/>
    <m/>
    <n v="160"/>
    <m/>
    <m/>
    <m/>
    <m/>
    <n v="427844"/>
    <n v="282377"/>
    <n v="16557"/>
    <n v="360200"/>
    <n v="52700"/>
    <n v="307500"/>
    <n v="0"/>
    <n v="0"/>
    <n v="89850.625589999996"/>
    <n v="-56090.612940989391"/>
    <n v="44121.038090000002"/>
    <n v="160472.20319"/>
    <n v="-12044.462427"/>
    <n v="55584.753611625005"/>
    <n v="16929.267841458"/>
    <n v="0"/>
    <n v="14133.801090041999"/>
    <n v="41712.243157199999"/>
    <n v="5327.2824441600005"/>
    <n v="16600"/>
    <n v="326200"/>
    <n v="33800"/>
    <n v="376600"/>
    <n v="4.5530260966129929E-2"/>
    <n v="0.99970000000000003"/>
    <n v="0.98050000000000004"/>
    <n v="0.99729999999999996"/>
    <n v="1.0093000000000001"/>
    <n v="1.0074000000000001"/>
    <n v="0.94971499999999998"/>
    <n v="0.9442542195464082"/>
    <n v="326200"/>
    <n v="15700"/>
    <n v="341900"/>
    <n v="32100"/>
    <n v="374000"/>
    <n v="0.111869918699187"/>
    <n v="-0.39089184060721061"/>
    <n v="3.8312048861743477E-2"/>
  </r>
  <r>
    <n v="2025"/>
    <s v="18132244433    "/>
    <n v="-1.7719568419318752"/>
    <n v="0.17"/>
    <n v="7560"/>
    <s v="6"/>
    <s v="RES"/>
    <x v="0"/>
    <s v="11"/>
    <s v="259"/>
    <s v="MS"/>
    <s v="G"/>
    <s v="AV"/>
    <x v="9"/>
    <n v="92"/>
    <n v="54"/>
    <n v="1932"/>
    <n v="1970"/>
    <n v="1654"/>
    <n v="1145"/>
    <n v="1146"/>
    <n v="573"/>
    <n v="573"/>
    <m/>
    <n v="3372"/>
    <n v="3500"/>
    <n v="12"/>
    <m/>
    <m/>
    <m/>
    <m/>
    <m/>
    <m/>
    <m/>
    <n v="640150"/>
    <n v="422499"/>
    <n v="38795"/>
    <n v="457300"/>
    <n v="52700"/>
    <n v="404600"/>
    <n v="0"/>
    <n v="0"/>
    <n v="89850.625589999996"/>
    <n v="-56090.612940989391"/>
    <n v="44121.038090000002"/>
    <n v="160472.20319"/>
    <n v="-12044.462427"/>
    <n v="81721.939976558002"/>
    <n v="51280.454175845"/>
    <n v="0"/>
    <n v="33327.851953061996"/>
    <n v="45504.265262400004"/>
    <n v="0"/>
    <n v="38800"/>
    <n v="404400"/>
    <n v="33800"/>
    <n v="477000"/>
    <n v="4.3078941613820247E-2"/>
    <n v="0.99970000000000003"/>
    <n v="0.98050000000000004"/>
    <n v="0.99729999999999996"/>
    <n v="1.0126999999999999"/>
    <n v="1.0074000000000001"/>
    <n v="0.94971499999999998"/>
    <n v="0.9474351016889403"/>
    <n v="404400"/>
    <n v="36800"/>
    <n v="441200"/>
    <n v="32100"/>
    <n v="473300"/>
    <n v="9.0459713297083535E-2"/>
    <n v="-0.39089184060721061"/>
    <n v="3.4987972884321011E-2"/>
  </r>
  <r>
    <n v="2025"/>
    <s v="18132244026    "/>
    <n v="-1.4271163556401458"/>
    <n v="0.24"/>
    <n v="10546"/>
    <s v="6"/>
    <s v="RES"/>
    <x v="0"/>
    <s v="11"/>
    <s v="259"/>
    <s v="CO"/>
    <s v="F+"/>
    <s v="AV"/>
    <x v="9"/>
    <n v="92"/>
    <n v="54"/>
    <n v="1932"/>
    <n v="1970"/>
    <n v="792"/>
    <n v="606"/>
    <n v="808"/>
    <n v="162"/>
    <n v="646"/>
    <m/>
    <n v="2044"/>
    <n v="2500"/>
    <n v="8"/>
    <n v="228"/>
    <m/>
    <m/>
    <m/>
    <m/>
    <m/>
    <m/>
    <n v="276543"/>
    <n v="182518"/>
    <n v="0"/>
    <n v="310400"/>
    <n v="64800"/>
    <n v="245600"/>
    <n v="0"/>
    <n v="0"/>
    <n v="89850.625589999996"/>
    <n v="-45174.819855485119"/>
    <n v="0"/>
    <n v="160472.20319"/>
    <n v="-12044.462427"/>
    <n v="39131.666542584004"/>
    <n v="27140.572253766"/>
    <n v="0"/>
    <n v="23498.171359575997"/>
    <n v="30336.176841600001"/>
    <n v="0"/>
    <n v="0"/>
    <n v="268500"/>
    <n v="44700"/>
    <n v="313200"/>
    <n v="9.0206185567010301E-3"/>
    <n v="0.99970000000000003"/>
    <n v="0.99180000000000001"/>
    <n v="0.99729999999999996"/>
    <n v="0.98919999999999997"/>
    <n v="1.0074000000000001"/>
    <n v="0.94971499999999998"/>
    <n v="0.93611515155732916"/>
    <n v="268500"/>
    <n v="0"/>
    <n v="268500"/>
    <n v="42400"/>
    <n v="310900"/>
    <n v="9.3241042345276873E-2"/>
    <n v="-0.34567901234567899"/>
    <n v="1.6108247422680412E-3"/>
  </r>
  <r>
    <n v="2025"/>
    <s v="18132331495    "/>
    <n v="-1.6094379124341003"/>
    <n v="0.2"/>
    <m/>
    <s v="6"/>
    <s v="RES"/>
    <x v="0"/>
    <s v="11"/>
    <s v="259"/>
    <s v="TU"/>
    <s v="G+"/>
    <s v="GD"/>
    <x v="9"/>
    <n v="92"/>
    <n v="54"/>
    <n v="1932"/>
    <n v="1970"/>
    <n v="1393"/>
    <n v="910"/>
    <n v="792"/>
    <n v="0"/>
    <n v="792"/>
    <m/>
    <n v="3095"/>
    <n v="3500"/>
    <n v="13"/>
    <n v="462"/>
    <m/>
    <m/>
    <m/>
    <m/>
    <m/>
    <m/>
    <n v="687161"/>
    <n v="474141"/>
    <n v="0"/>
    <n v="485900"/>
    <n v="58400"/>
    <n v="427500"/>
    <n v="0"/>
    <n v="0"/>
    <n v="89850.625589999996"/>
    <n v="-50946.13867709865"/>
    <n v="74268.409664999999"/>
    <n v="197752.34721000001"/>
    <n v="-12044.462427"/>
    <n v="68826.277138660997"/>
    <n v="40755.644803509997"/>
    <n v="0"/>
    <n v="23032.861035623999"/>
    <n v="49296.287367600002"/>
    <n v="0"/>
    <n v="0"/>
    <n v="441900"/>
    <n v="38900"/>
    <n v="480800"/>
    <n v="-1.0495986828565548E-2"/>
    <n v="0.99970000000000003"/>
    <n v="0.98380000000000001"/>
    <n v="0.99650000000000005"/>
    <n v="1.0126999999999999"/>
    <n v="1.0074000000000001"/>
    <n v="0.94971499999999998"/>
    <n v="0.94986125952200873"/>
    <n v="441900"/>
    <n v="0"/>
    <n v="441900"/>
    <n v="36900"/>
    <n v="478800"/>
    <n v="3.3684210526315789E-2"/>
    <n v="-0.36815068493150682"/>
    <n v="-1.4612060094669685E-2"/>
  </r>
  <r>
    <n v="2025"/>
    <s v="18132333421    "/>
    <n v="-1.9661128563728327"/>
    <n v="0.14000000000000001"/>
    <n v="6175"/>
    <s v="6"/>
    <s v="RES"/>
    <x v="0"/>
    <s v="11"/>
    <s v="259"/>
    <s v="TD"/>
    <s v="A"/>
    <s v="AV"/>
    <x v="9"/>
    <n v="92"/>
    <n v="54"/>
    <n v="1932"/>
    <n v="1970"/>
    <n v="1004"/>
    <m/>
    <n v="500"/>
    <n v="0"/>
    <n v="500"/>
    <m/>
    <n v="1504"/>
    <n v="2000"/>
    <n v="5"/>
    <m/>
    <m/>
    <m/>
    <m/>
    <m/>
    <m/>
    <m/>
    <n v="213752"/>
    <n v="141076"/>
    <n v="43512"/>
    <n v="327700"/>
    <n v="46000"/>
    <n v="281700"/>
    <n v="0"/>
    <n v="0"/>
    <n v="89850.625589999996"/>
    <n v="-62236.546971921947"/>
    <n v="21557.329055999999"/>
    <n v="160472.20319"/>
    <n v="-12044.462427"/>
    <n v="49606.304556508003"/>
    <n v="0"/>
    <n v="0"/>
    <n v="14540.947623499998"/>
    <n v="18960.110526"/>
    <n v="0"/>
    <n v="43500"/>
    <n v="253100"/>
    <n v="27600"/>
    <n v="324200"/>
    <n v="-1.0680500457735734E-2"/>
    <n v="0.99970000000000003"/>
    <n v="1.0067999999999999"/>
    <n v="0.99729999999999996"/>
    <n v="1.0093000000000001"/>
    <n v="1.0074000000000001"/>
    <n v="0.94971499999999998"/>
    <n v="0.96958199718441984"/>
    <n v="253100"/>
    <n v="41300"/>
    <n v="294400"/>
    <n v="26200"/>
    <n v="320600"/>
    <n v="4.5083422080227191E-2"/>
    <n v="-0.43043478260869567"/>
    <n v="-2.1666158071406774E-2"/>
  </r>
  <r>
    <n v="2025"/>
    <s v="18132342450    "/>
    <n v="-1.1394342831883648"/>
    <n v="0.32"/>
    <n v="13966"/>
    <s v="6"/>
    <s v="RES"/>
    <x v="0"/>
    <s v="11"/>
    <s v="259"/>
    <s v="CU"/>
    <s v="V+"/>
    <s v="GD"/>
    <x v="9"/>
    <n v="93"/>
    <n v="54"/>
    <n v="1931"/>
    <n v="1970"/>
    <n v="1747"/>
    <n v="1310"/>
    <n v="1316"/>
    <n v="916"/>
    <n v="400"/>
    <m/>
    <n v="3457"/>
    <n v="3500"/>
    <n v="11"/>
    <n v="552"/>
    <m/>
    <m/>
    <m/>
    <m/>
    <m/>
    <m/>
    <n v="1018319"/>
    <n v="702640"/>
    <n v="19607"/>
    <n v="689300"/>
    <n v="74800"/>
    <n v="614500"/>
    <n v="0"/>
    <n v="0"/>
    <n v="89850.625589999996"/>
    <n v="-36068.354396449467"/>
    <n v="253501.66539499999"/>
    <n v="197752.34721000001"/>
    <n v="-12044.462427"/>
    <n v="86316.946275119"/>
    <n v="58670.213947910001"/>
    <n v="0"/>
    <n v="38271.774145051997"/>
    <n v="41712.243157199999"/>
    <n v="0"/>
    <n v="19600"/>
    <n v="664200"/>
    <n v="53800"/>
    <n v="737600"/>
    <n v="7.0071086609603941E-2"/>
    <n v="0.99970000000000003"/>
    <n v="1"/>
    <n v="0.99650000000000005"/>
    <n v="1.0126999999999999"/>
    <n v="1.0074000000000001"/>
    <n v="0.94971499999999998"/>
    <n v="0.96550239837569496"/>
    <n v="664200"/>
    <n v="18600"/>
    <n v="682800"/>
    <n v="51100"/>
    <n v="733900"/>
    <n v="0.11114727420667209"/>
    <n v="-0.31684491978609625"/>
    <n v="6.4703322210938635E-2"/>
  </r>
  <r>
    <n v="2025"/>
    <s v="18132212023    "/>
    <n v="-1.3470736479666092"/>
    <n v="0.26"/>
    <n v="11462"/>
    <s v="6"/>
    <s v="RES"/>
    <x v="0"/>
    <s v="11"/>
    <s v="259"/>
    <s v="TD"/>
    <s v="A"/>
    <s v="EX"/>
    <x v="9"/>
    <n v="94"/>
    <n v="14"/>
    <n v="1930"/>
    <n v="2010"/>
    <n v="1401"/>
    <m/>
    <n v="1373"/>
    <n v="1373"/>
    <m/>
    <m/>
    <n v="1401"/>
    <n v="1500"/>
    <n v="9"/>
    <m/>
    <m/>
    <m/>
    <m/>
    <m/>
    <m/>
    <m/>
    <n v="290605"/>
    <n v="273169"/>
    <n v="0"/>
    <n v="398100"/>
    <n v="67600"/>
    <n v="330500"/>
    <n v="0"/>
    <n v="0"/>
    <n v="89850.625589999996"/>
    <n v="-42641.098701210125"/>
    <n v="21557.329055999999"/>
    <n v="354070.39217000001"/>
    <n v="-3122.6384069999999"/>
    <n v="69221.546497677002"/>
    <n v="0"/>
    <n v="0"/>
    <n v="39929.442174131"/>
    <n v="34128.198946800003"/>
    <n v="0"/>
    <n v="0"/>
    <n v="515800"/>
    <n v="47200"/>
    <n v="563000"/>
    <n v="0.41421753328309469"/>
    <n v="0.99970000000000003"/>
    <n v="1.0067999999999999"/>
    <n v="1.1303000000000001"/>
    <n v="1.0157"/>
    <n v="1.0074000000000001"/>
    <n v="0.94971499999999998"/>
    <n v="1.1058535866723294"/>
    <n v="515800"/>
    <n v="0"/>
    <n v="515800"/>
    <n v="44800"/>
    <n v="560600"/>
    <n v="0.56066565809379731"/>
    <n v="-0.33727810650887574"/>
    <n v="0.40818889726199448"/>
  </r>
  <r>
    <n v="2025"/>
    <s v="18132242015    "/>
    <n v="-0.82098055206983023"/>
    <n v="0.44"/>
    <n v="18993"/>
    <s v="6"/>
    <s v="RES"/>
    <x v="0"/>
    <s v="11"/>
    <s v="259"/>
    <s v="CO"/>
    <s v="G"/>
    <s v="EX"/>
    <x v="9"/>
    <n v="94"/>
    <n v="54"/>
    <n v="1930"/>
    <n v="1970"/>
    <n v="1326"/>
    <n v="1614"/>
    <m/>
    <n v="0"/>
    <m/>
    <m/>
    <n v="2940"/>
    <n v="3000"/>
    <n v="14"/>
    <m/>
    <m/>
    <n v="160"/>
    <m/>
    <m/>
    <m/>
    <m/>
    <n v="595899"/>
    <n v="423088"/>
    <n v="48468"/>
    <n v="494400"/>
    <n v="85900"/>
    <n v="408500"/>
    <n v="0"/>
    <n v="0"/>
    <n v="89850.625589999996"/>
    <n v="-25987.823906604521"/>
    <n v="44121.038090000002"/>
    <n v="354070.39217000001"/>
    <n v="-12044.462427"/>
    <n v="65515.896256902"/>
    <n v="72285.286497654"/>
    <n v="0"/>
    <n v="0"/>
    <n v="53088.3094728"/>
    <n v="5327.2824441600005"/>
    <n v="48500"/>
    <n v="582400"/>
    <n v="63900"/>
    <n v="694800"/>
    <n v="0.4053398058252427"/>
    <n v="0.99970000000000003"/>
    <n v="0.98050000000000004"/>
    <n v="1.1303000000000001"/>
    <n v="0.96179999999999999"/>
    <n v="1.0074000000000001"/>
    <n v="0.94971499999999998"/>
    <n v="1.0198148749359415"/>
    <n v="582400"/>
    <n v="46000"/>
    <n v="628400"/>
    <n v="60700"/>
    <n v="689100"/>
    <n v="0.53831089351285188"/>
    <n v="-0.29336437718277064"/>
    <n v="0.3938106796116505"/>
  </r>
  <r>
    <n v="2025"/>
    <s v="18132243043    "/>
    <n v="-1.5606477482646683"/>
    <n v="0.21"/>
    <n v="9297"/>
    <s v="6"/>
    <s v="RES"/>
    <x v="0"/>
    <s v="11"/>
    <s v="259"/>
    <s v="CO"/>
    <s v="A"/>
    <s v="VG"/>
    <x v="9"/>
    <n v="94"/>
    <n v="34"/>
    <n v="1930"/>
    <n v="1990"/>
    <n v="827"/>
    <n v="349"/>
    <n v="402"/>
    <n v="402"/>
    <m/>
    <m/>
    <n v="1176"/>
    <n v="1500"/>
    <n v="8"/>
    <m/>
    <m/>
    <n v="359"/>
    <m/>
    <m/>
    <m/>
    <m/>
    <n v="207371"/>
    <n v="178339"/>
    <n v="20114"/>
    <n v="362000"/>
    <n v="60100"/>
    <n v="301900"/>
    <n v="0"/>
    <n v="0"/>
    <n v="89850.625589999996"/>
    <n v="-49401.70477837498"/>
    <n v="21557.329055999999"/>
    <n v="284810.60806"/>
    <n v="-7583.5504170000004"/>
    <n v="40860.969988279001"/>
    <n v="15630.461578488999"/>
    <n v="0"/>
    <n v="11690.921889293999"/>
    <n v="30336.176841600001"/>
    <n v="11953.089984084001"/>
    <n v="20100"/>
    <n v="409300"/>
    <n v="40400"/>
    <n v="469800"/>
    <n v="0.29779005524861879"/>
    <n v="0.99970000000000003"/>
    <n v="1.0067999999999999"/>
    <n v="1.0158"/>
    <n v="1.0157"/>
    <n v="1.0074000000000001"/>
    <n v="0.94971499999999998"/>
    <n v="0.99383002153565636"/>
    <n v="409300"/>
    <n v="19100"/>
    <n v="428400"/>
    <n v="38400"/>
    <n v="466800"/>
    <n v="0.41901291818482939"/>
    <n v="-0.36106489184692181"/>
    <n v="0.28950276243093925"/>
  </r>
  <r>
    <n v="2025"/>
    <s v="18132332532    "/>
    <n v="-1.8325814637483102"/>
    <n v="0.16"/>
    <n v="7150"/>
    <s v="6"/>
    <s v="RES"/>
    <x v="0"/>
    <s v="11"/>
    <s v="259"/>
    <s v="BG"/>
    <s v="G"/>
    <s v="VG"/>
    <x v="9"/>
    <n v="94"/>
    <n v="54"/>
    <n v="1930"/>
    <n v="1970"/>
    <n v="983"/>
    <m/>
    <n v="983"/>
    <n v="658"/>
    <n v="325"/>
    <m/>
    <n v="1308"/>
    <n v="1500"/>
    <n v="8"/>
    <m/>
    <m/>
    <n v="276"/>
    <m/>
    <m/>
    <m/>
    <m/>
    <n v="293385"/>
    <n v="202436"/>
    <n v="6227"/>
    <n v="369100"/>
    <n v="50600"/>
    <n v="318500"/>
    <n v="0"/>
    <n v="0"/>
    <n v="89850.625589999996"/>
    <n v="-58009.662049032086"/>
    <n v="44121.038090000002"/>
    <n v="284810.60806"/>
    <n v="-12044.462427"/>
    <n v="48568.722489091"/>
    <n v="0"/>
    <n v="0"/>
    <n v="28587.503027800998"/>
    <n v="30336.176841600001"/>
    <n v="9189.5622161760002"/>
    <n v="6200"/>
    <n v="433600"/>
    <n v="31800"/>
    <n v="471600"/>
    <n v="0.27770251964237336"/>
    <n v="0.99970000000000003"/>
    <n v="0.98050000000000004"/>
    <n v="1.0158"/>
    <n v="1.0157"/>
    <n v="1.0074000000000001"/>
    <n v="0.94971499999999998"/>
    <n v="0.96786882808473473"/>
    <n v="433600"/>
    <n v="5900"/>
    <n v="439500"/>
    <n v="30200"/>
    <n v="469700"/>
    <n v="0.37990580847723704"/>
    <n v="-0.40316205533596838"/>
    <n v="0.27255486318070982"/>
  </r>
  <r>
    <n v="2025"/>
    <s v="18132313531    "/>
    <n v="-1.7719568419318752"/>
    <n v="0.17"/>
    <n v="7348"/>
    <s v="6"/>
    <s v="RES"/>
    <x v="0"/>
    <s v="11"/>
    <s v="259"/>
    <s v="BG"/>
    <s v="A"/>
    <s v="VG"/>
    <x v="9"/>
    <n v="94"/>
    <n v="54"/>
    <n v="1930"/>
    <n v="1970"/>
    <n v="1610"/>
    <m/>
    <m/>
    <n v="0"/>
    <m/>
    <m/>
    <n v="1610"/>
    <n v="2000"/>
    <n v="9"/>
    <m/>
    <m/>
    <n v="244"/>
    <m/>
    <m/>
    <m/>
    <m/>
    <n v="264347"/>
    <n v="182399"/>
    <n v="5261"/>
    <n v="363100"/>
    <n v="52700"/>
    <n v="310400"/>
    <n v="0"/>
    <n v="0"/>
    <n v="89850.625589999996"/>
    <n v="-56090.612940989391"/>
    <n v="21557.329055999999"/>
    <n v="284810.60806"/>
    <n v="-12044.462427"/>
    <n v="79547.958501970003"/>
    <n v="0"/>
    <n v="0"/>
    <n v="0"/>
    <n v="34128.198946800003"/>
    <n v="8124.105727344001"/>
    <n v="5300"/>
    <n v="416100"/>
    <n v="33800"/>
    <n v="455200"/>
    <n v="0.25364913247039383"/>
    <n v="0.99970000000000003"/>
    <n v="1.0067999999999999"/>
    <n v="1.0158"/>
    <n v="1.0093000000000001"/>
    <n v="1.0074000000000001"/>
    <n v="0.94971499999999998"/>
    <n v="0.9875678258697822"/>
    <n v="416100"/>
    <n v="5000"/>
    <n v="421100"/>
    <n v="32100"/>
    <n v="453200"/>
    <n v="0.35663659793814434"/>
    <n v="-0.39089184060721061"/>
    <n v="0.24814100798678049"/>
  </r>
  <r>
    <n v="2025"/>
    <s v="18132344468    "/>
    <n v="-1.8971199848858813"/>
    <n v="0.15"/>
    <n v="6500"/>
    <s v="6"/>
    <s v="RES"/>
    <x v="0"/>
    <s v="11"/>
    <s v="259"/>
    <s v="BG"/>
    <s v="A"/>
    <s v="VG"/>
    <x v="9"/>
    <n v="94"/>
    <n v="54"/>
    <n v="1930"/>
    <n v="1970"/>
    <n v="1032"/>
    <n v="360"/>
    <n v="900"/>
    <n v="450"/>
    <n v="450"/>
    <m/>
    <n v="1842"/>
    <n v="2000"/>
    <n v="9"/>
    <m/>
    <m/>
    <m/>
    <m/>
    <m/>
    <m/>
    <m/>
    <n v="274627"/>
    <n v="189493"/>
    <n v="1058"/>
    <n v="367800"/>
    <n v="48400"/>
    <n v="319400"/>
    <n v="0"/>
    <n v="0"/>
    <n v="89850.625589999996"/>
    <n v="-60052.604136134301"/>
    <n v="21557.329055999999"/>
    <n v="284810.60806"/>
    <n v="-12044.462427"/>
    <n v="50989.747313063999"/>
    <n v="16123.112229959999"/>
    <n v="0"/>
    <n v="26173.705722299997"/>
    <n v="34128.198946800003"/>
    <n v="0"/>
    <n v="1100"/>
    <n v="421700"/>
    <n v="29800"/>
    <n v="452600"/>
    <n v="0.23056008700380642"/>
    <n v="0.99970000000000003"/>
    <n v="1.0067999999999999"/>
    <n v="1.0158"/>
    <n v="1.0093000000000001"/>
    <n v="1.0074000000000001"/>
    <n v="0.94971499999999998"/>
    <n v="0.9875678258697822"/>
    <n v="421700"/>
    <n v="1000"/>
    <n v="422700"/>
    <n v="28300"/>
    <n v="451000"/>
    <n v="0.32341891045710708"/>
    <n v="-0.41528925619834711"/>
    <n v="0.22620989668297989"/>
  </r>
  <r>
    <n v="2025"/>
    <s v="18132324479    "/>
    <n v="-1.8325814637483102"/>
    <n v="0.16"/>
    <m/>
    <s v="6"/>
    <s v="RES"/>
    <x v="0"/>
    <s v="11"/>
    <s v="259"/>
    <s v="MS"/>
    <s v="G"/>
    <s v="VG"/>
    <x v="9"/>
    <n v="94"/>
    <n v="54"/>
    <n v="1930"/>
    <n v="1970"/>
    <n v="1241"/>
    <n v="693"/>
    <n v="990"/>
    <n v="0"/>
    <n v="990"/>
    <m/>
    <n v="2924"/>
    <n v="3000"/>
    <n v="9"/>
    <m/>
    <m/>
    <n v="420"/>
    <m/>
    <m/>
    <m/>
    <m/>
    <n v="481853"/>
    <n v="332479"/>
    <n v="0"/>
    <n v="426400"/>
    <n v="50600"/>
    <n v="375800"/>
    <n v="0"/>
    <n v="0"/>
    <n v="89850.625589999996"/>
    <n v="-58009.662049032086"/>
    <n v="44121.038090000002"/>
    <n v="284810.60806"/>
    <n v="-12044.462427"/>
    <n v="61316.159317357"/>
    <n v="31036.991042672998"/>
    <n v="0"/>
    <n v="28791.076294529998"/>
    <n v="34128.198946800003"/>
    <n v="13984.116415920002"/>
    <n v="0"/>
    <n v="486100"/>
    <n v="31800"/>
    <n v="517900"/>
    <n v="0.21458724202626642"/>
    <n v="0.99970000000000003"/>
    <n v="0.98050000000000004"/>
    <n v="1.0158"/>
    <n v="0.96179999999999999"/>
    <n v="1.0074000000000001"/>
    <n v="0.94971499999999998"/>
    <n v="0.91650707773151308"/>
    <n v="486100"/>
    <n v="0"/>
    <n v="486100"/>
    <n v="30200"/>
    <n v="516300"/>
    <n v="0.29350718467269826"/>
    <n v="-0.40316205533596838"/>
    <n v="0.21083489681050657"/>
  </r>
  <r>
    <n v="2025"/>
    <s v="18132332566    "/>
    <n v="-1.8325814637483102"/>
    <n v="0.16"/>
    <m/>
    <s v="6"/>
    <s v="RES"/>
    <x v="0"/>
    <s v="11"/>
    <s v="259"/>
    <s v="CC"/>
    <s v="G"/>
    <s v="VG"/>
    <x v="9"/>
    <n v="94"/>
    <n v="54"/>
    <n v="1930"/>
    <n v="1970"/>
    <n v="1180"/>
    <n v="594"/>
    <n v="560"/>
    <n v="0"/>
    <n v="560"/>
    <m/>
    <n v="2334"/>
    <n v="2500"/>
    <n v="9"/>
    <m/>
    <m/>
    <m/>
    <m/>
    <m/>
    <m/>
    <m/>
    <n v="446785"/>
    <n v="308282"/>
    <n v="0"/>
    <n v="410700"/>
    <n v="50600"/>
    <n v="360100"/>
    <n v="0"/>
    <n v="0"/>
    <n v="89850.625589999996"/>
    <n v="-58009.662049032086"/>
    <n v="44121.038090000002"/>
    <n v="284810.60806"/>
    <n v="-12044.462427"/>
    <n v="58302.23045486"/>
    <n v="26603.135179434001"/>
    <n v="0"/>
    <n v="16285.861338319999"/>
    <n v="34128.198946800003"/>
    <n v="0"/>
    <n v="0"/>
    <n v="452200"/>
    <n v="31800"/>
    <n v="484000"/>
    <n v="0.17847577307036766"/>
    <n v="0.99970000000000003"/>
    <n v="0.98050000000000004"/>
    <n v="1.0158"/>
    <n v="0.98919999999999997"/>
    <n v="1.0074000000000001"/>
    <n v="0.94971499999999998"/>
    <n v="0.94261676158454233"/>
    <n v="452200"/>
    <n v="0"/>
    <n v="452200"/>
    <n v="30200"/>
    <n v="482400"/>
    <n v="0.25576228825326297"/>
    <n v="-0.40316205533596838"/>
    <n v="0.17457998539079619"/>
  </r>
  <r>
    <n v="2025"/>
    <s v="18132244027    "/>
    <n v="-1.1086626245216111"/>
    <n v="0.33"/>
    <n v="14496"/>
    <s v="6"/>
    <s v="RES"/>
    <x v="0"/>
    <s v="11"/>
    <s v="259"/>
    <s v="TD"/>
    <s v="A"/>
    <s v="VG"/>
    <x v="9"/>
    <n v="94"/>
    <n v="15"/>
    <n v="1930"/>
    <n v="2009"/>
    <n v="1050"/>
    <m/>
    <n v="1050"/>
    <n v="0"/>
    <n v="1050"/>
    <m/>
    <n v="2100"/>
    <n v="2500"/>
    <n v="11"/>
    <m/>
    <m/>
    <m/>
    <m/>
    <m/>
    <m/>
    <m/>
    <n v="274124"/>
    <n v="257677"/>
    <n v="23767"/>
    <n v="428900"/>
    <n v="75900"/>
    <n v="353000"/>
    <n v="0"/>
    <n v="0"/>
    <n v="89850.625589999996"/>
    <n v="-35094.289365640165"/>
    <n v="21557.329055999999"/>
    <n v="284810.60806"/>
    <n v="-3345.6840075"/>
    <n v="51879.103370850004"/>
    <n v="0"/>
    <n v="0"/>
    <n v="30535.99000935"/>
    <n v="41712.243157199999"/>
    <n v="0"/>
    <n v="23800"/>
    <n v="427100"/>
    <n v="54800"/>
    <n v="505700"/>
    <n v="0.17906271858242015"/>
    <n v="0.99970000000000003"/>
    <n v="1.0067999999999999"/>
    <n v="1.0158"/>
    <n v="0.98919999999999997"/>
    <n v="1.0074000000000001"/>
    <n v="0.94971499999999998"/>
    <n v="0.9679006176066467"/>
    <n v="427100"/>
    <n v="22600"/>
    <n v="449700"/>
    <n v="52000"/>
    <n v="501700"/>
    <n v="0.27393767705382438"/>
    <n v="-0.31488801054018445"/>
    <n v="0.1697365353229191"/>
  </r>
  <r>
    <n v="2025"/>
    <s v="18132313411    "/>
    <n v="-1.2729656758128873"/>
    <n v="0.28000000000000003"/>
    <n v="12206"/>
    <s v="6"/>
    <s v="RES"/>
    <x v="0"/>
    <s v="11"/>
    <s v="259"/>
    <s v="TU"/>
    <s v="G"/>
    <s v="GD"/>
    <x v="9"/>
    <n v="94"/>
    <n v="54"/>
    <n v="1930"/>
    <n v="1970"/>
    <n v="1173"/>
    <n v="580"/>
    <n v="580"/>
    <n v="580"/>
    <m/>
    <m/>
    <n v="1753"/>
    <n v="2000"/>
    <n v="8"/>
    <n v="209"/>
    <m/>
    <n v="692"/>
    <m/>
    <m/>
    <m/>
    <m/>
    <n v="396537"/>
    <n v="269645"/>
    <n v="20603"/>
    <n v="390300"/>
    <n v="70100"/>
    <n v="320200"/>
    <n v="0"/>
    <n v="0"/>
    <n v="89850.625589999996"/>
    <n v="-40295.239319339329"/>
    <n v="44121.038090000002"/>
    <n v="197752.34721000001"/>
    <n v="-12044.462427"/>
    <n v="57956.369765721"/>
    <n v="25976.125259379998"/>
    <n v="0"/>
    <n v="16867.499243259997"/>
    <n v="30336.176841600001"/>
    <n v="23040.496570992003"/>
    <n v="20600"/>
    <n v="384000"/>
    <n v="49600"/>
    <n v="454200"/>
    <n v="0.16372021521906227"/>
    <n v="0.99970000000000003"/>
    <n v="0.98050000000000004"/>
    <n v="0.99650000000000005"/>
    <n v="1.0093000000000001"/>
    <n v="1.0074000000000001"/>
    <n v="0.94971499999999998"/>
    <n v="0.94349677105985763"/>
    <n v="384000"/>
    <n v="19600"/>
    <n v="403600"/>
    <n v="47100"/>
    <n v="450700"/>
    <n v="0.26046221111805123"/>
    <n v="-0.32810271041369471"/>
    <n v="0.15475275429157059"/>
  </r>
  <r>
    <n v="2025"/>
    <s v="18132331496    "/>
    <n v="-1.9661128563728327"/>
    <n v="0.14000000000000001"/>
    <m/>
    <s v="6"/>
    <s v="RES"/>
    <x v="0"/>
    <s v="11"/>
    <s v="259"/>
    <s v="CC"/>
    <s v="G+"/>
    <s v="VG"/>
    <x v="9"/>
    <n v="94"/>
    <n v="54"/>
    <n v="1930"/>
    <n v="1970"/>
    <n v="1570"/>
    <n v="644"/>
    <n v="1078"/>
    <n v="1078"/>
    <m/>
    <m/>
    <n v="2214"/>
    <n v="2500"/>
    <n v="11"/>
    <m/>
    <m/>
    <m/>
    <m/>
    <m/>
    <m/>
    <m/>
    <n v="551542"/>
    <n v="386079"/>
    <n v="0"/>
    <n v="482500"/>
    <n v="46000"/>
    <n v="436500"/>
    <n v="0"/>
    <n v="0"/>
    <n v="89850.625589999996"/>
    <n v="-62236.546971921947"/>
    <n v="74268.409664999999"/>
    <n v="284810.60806"/>
    <n v="-12044.462427"/>
    <n v="77571.611706890006"/>
    <n v="28842.456322483999"/>
    <n v="0"/>
    <n v="31350.283076265998"/>
    <n v="41712.243157199999"/>
    <n v="0"/>
    <n v="0"/>
    <n v="526500"/>
    <n v="27600"/>
    <n v="554100"/>
    <n v="0.14839378238341969"/>
    <n v="0.99970000000000003"/>
    <n v="0.98380000000000001"/>
    <n v="1.0158"/>
    <n v="0.98919999999999997"/>
    <n v="1.0074000000000001"/>
    <n v="0.94971499999999998"/>
    <n v="0.94578926062914082"/>
    <n v="526500"/>
    <n v="0"/>
    <n v="526500"/>
    <n v="26200"/>
    <n v="552700"/>
    <n v="0.20618556701030927"/>
    <n v="-0.43043478260869567"/>
    <n v="0.14549222797927461"/>
  </r>
  <r>
    <n v="2025"/>
    <s v="18132344420    "/>
    <n v="-1.9661128563728327"/>
    <n v="0.14000000000000001"/>
    <n v="6098"/>
    <s v="4"/>
    <s v="COM"/>
    <x v="0"/>
    <s v="65"/>
    <s v="333"/>
    <s v="BG"/>
    <s v="A"/>
    <s v="GD"/>
    <x v="9"/>
    <n v="94"/>
    <n v="54"/>
    <n v="1930"/>
    <n v="1970"/>
    <n v="1639"/>
    <m/>
    <n v="1102"/>
    <n v="0"/>
    <n v="1102"/>
    <m/>
    <n v="2741"/>
    <n v="3000"/>
    <n v="7"/>
    <m/>
    <m/>
    <m/>
    <m/>
    <m/>
    <n v="116"/>
    <m/>
    <n v="347930"/>
    <n v="274865"/>
    <n v="0"/>
    <n v="325750"/>
    <n v="54550"/>
    <n v="271200"/>
    <n v="0"/>
    <n v="0"/>
    <n v="89850.625589999996"/>
    <n v="-62236.546971921947"/>
    <n v="21557.329055999999"/>
    <n v="197752.34721000001"/>
    <n v="-12044.462427"/>
    <n v="80980.809928403003"/>
    <n v="0"/>
    <n v="0"/>
    <n v="32048.248562194"/>
    <n v="26544.1547364"/>
    <n v="0"/>
    <n v="0"/>
    <n v="346800"/>
    <n v="27600"/>
    <n v="374400"/>
    <n v="0.14934765924788948"/>
    <n v="0.99970000000000003"/>
    <n v="1.0067999999999999"/>
    <n v="0.99650000000000005"/>
    <n v="0.96179999999999999"/>
    <n v="1.0074000000000001"/>
    <n v="0.94971499999999998"/>
    <n v="0.92321005644682153"/>
    <n v="346800"/>
    <n v="0"/>
    <n v="346800"/>
    <n v="26200"/>
    <n v="373000"/>
    <n v="0.27876106194690264"/>
    <n v="-0.51970669110907419"/>
    <n v="0.14504988488104376"/>
  </r>
  <r>
    <n v="2025"/>
    <s v="18132344455    "/>
    <n v="-1.8971199848858813"/>
    <n v="0.15"/>
    <n v="6500"/>
    <s v="6"/>
    <s v="RES"/>
    <x v="0"/>
    <s v="11"/>
    <s v="259"/>
    <s v="TD"/>
    <s v="A"/>
    <s v="GD"/>
    <x v="9"/>
    <n v="94"/>
    <n v="54"/>
    <n v="1930"/>
    <n v="1970"/>
    <n v="1305"/>
    <m/>
    <n v="540"/>
    <n v="0"/>
    <n v="540"/>
    <m/>
    <n v="1845"/>
    <n v="2000"/>
    <n v="5"/>
    <m/>
    <m/>
    <n v="608"/>
    <m/>
    <m/>
    <m/>
    <m/>
    <n v="269332"/>
    <n v="183146"/>
    <n v="8098"/>
    <n v="316800"/>
    <n v="48400"/>
    <n v="268400"/>
    <n v="0"/>
    <n v="0"/>
    <n v="89850.625589999996"/>
    <n v="-60052.604136134301"/>
    <n v="21557.329055999999"/>
    <n v="197752.34721000001"/>
    <n v="-12044.462427"/>
    <n v="64478.314189485005"/>
    <n v="0"/>
    <n v="0"/>
    <n v="15704.223433379999"/>
    <n v="18960.110526"/>
    <n v="20243.673287808"/>
    <n v="8100"/>
    <n v="326700"/>
    <n v="29800"/>
    <n v="364600"/>
    <n v="0.15088383838383837"/>
    <n v="0.99970000000000003"/>
    <n v="1.0067999999999999"/>
    <n v="0.99650000000000005"/>
    <n v="1.0093000000000001"/>
    <n v="1.0074000000000001"/>
    <n v="0.94971499999999998"/>
    <n v="0.96880423161964746"/>
    <n v="326700"/>
    <n v="7700"/>
    <n v="334400"/>
    <n v="28300"/>
    <n v="362700"/>
    <n v="0.24590163934426229"/>
    <n v="-0.41528925619834711"/>
    <n v="0.14488636363636365"/>
  </r>
  <r>
    <n v="2025"/>
    <s v="18132344469    "/>
    <n v="-1.8971199848858813"/>
    <n v="0.15"/>
    <n v="6500"/>
    <s v="6"/>
    <s v="RES"/>
    <x v="0"/>
    <s v="11"/>
    <s v="400"/>
    <s v="TD"/>
    <s v="A"/>
    <s v="GD"/>
    <x v="9"/>
    <n v="94"/>
    <n v="54"/>
    <n v="1930"/>
    <n v="1970"/>
    <n v="864"/>
    <m/>
    <n v="864"/>
    <n v="864"/>
    <m/>
    <m/>
    <n v="864"/>
    <n v="1000"/>
    <n v="5"/>
    <m/>
    <m/>
    <n v="72"/>
    <m/>
    <m/>
    <m/>
    <m/>
    <n v="198742"/>
    <n v="135145"/>
    <n v="8588"/>
    <n v="290900"/>
    <n v="48400"/>
    <n v="242500"/>
    <n v="0"/>
    <n v="0"/>
    <n v="89850.625589999996"/>
    <n v="-60052.604136134301"/>
    <n v="21557.329055999999"/>
    <n v="197752.34721000001"/>
    <n v="-12044.462427"/>
    <n v="42689.090773727999"/>
    <n v="0"/>
    <n v="0"/>
    <n v="25126.757493408"/>
    <n v="18960.110526"/>
    <n v="2397.2770998720002"/>
    <n v="8600"/>
    <n v="296400"/>
    <n v="29800"/>
    <n v="334800"/>
    <n v="0.15091096596768649"/>
    <n v="0.99970000000000003"/>
    <n v="1.0067999999999999"/>
    <n v="0.99650000000000005"/>
    <n v="1.0148999999999999"/>
    <n v="1.0074000000000001"/>
    <n v="0.94971499999999998"/>
    <n v="0.97417954490318037"/>
    <n v="296400"/>
    <n v="8200"/>
    <n v="304600"/>
    <n v="28300"/>
    <n v="332900"/>
    <n v="0.25608247422680414"/>
    <n v="-0.41528925619834711"/>
    <n v="0.14437951185974562"/>
  </r>
  <r>
    <n v="2025"/>
    <s v="18132344470    "/>
    <n v="-2.4079456086518722"/>
    <n v="0.09"/>
    <m/>
    <s v="6"/>
    <s v="RES"/>
    <x v="0"/>
    <s v="11"/>
    <s v="259"/>
    <s v="BG"/>
    <s v="A"/>
    <s v="FR"/>
    <x v="9"/>
    <n v="94"/>
    <n v="54"/>
    <n v="1930"/>
    <n v="1970"/>
    <n v="993"/>
    <m/>
    <n v="993"/>
    <n v="993"/>
    <m/>
    <m/>
    <n v="993"/>
    <n v="1000"/>
    <n v="5"/>
    <m/>
    <m/>
    <m/>
    <m/>
    <m/>
    <m/>
    <m/>
    <n v="204131"/>
    <n v="130644"/>
    <n v="0"/>
    <n v="221400"/>
    <n v="30600"/>
    <n v="190800"/>
    <n v="0"/>
    <n v="0"/>
    <n v="89850.625589999996"/>
    <n v="-76222.592967103381"/>
    <n v="21557.329055999999"/>
    <n v="133714.53821"/>
    <n v="-12044.462427"/>
    <n v="49062.809187860999"/>
    <n v="0"/>
    <n v="0"/>
    <n v="28878.321980270997"/>
    <n v="18960.110526"/>
    <n v="0"/>
    <n v="0"/>
    <n v="240100"/>
    <n v="13600"/>
    <n v="253700"/>
    <n v="0.14588979223125564"/>
    <n v="0.99970000000000003"/>
    <n v="1.0067999999999999"/>
    <n v="0.99329999999999996"/>
    <n v="1.0148999999999999"/>
    <n v="1.0074000000000001"/>
    <n v="0.94971499999999998"/>
    <n v="0.97105122122662213"/>
    <n v="240100"/>
    <n v="0"/>
    <n v="240100"/>
    <n v="12900"/>
    <n v="253000"/>
    <n v="0.25838574423480082"/>
    <n v="-0.57843137254901966"/>
    <n v="0.14272809394760613"/>
  </r>
  <r>
    <n v="2025"/>
    <s v="18132243453    "/>
    <n v="-1.5141277326297755"/>
    <n v="0.22"/>
    <n v="9779"/>
    <s v="6"/>
    <s v="RES"/>
    <x v="0"/>
    <s v="11"/>
    <s v="259"/>
    <s v="TD"/>
    <s v="A"/>
    <s v="GD"/>
    <x v="9"/>
    <n v="94"/>
    <n v="54"/>
    <n v="1930"/>
    <n v="1970"/>
    <n v="972"/>
    <m/>
    <n v="985"/>
    <n v="788"/>
    <n v="197"/>
    <m/>
    <n v="1169"/>
    <n v="1500"/>
    <n v="5"/>
    <m/>
    <m/>
    <n v="198"/>
    <m/>
    <m/>
    <m/>
    <m/>
    <n v="219171"/>
    <n v="149036"/>
    <n v="8886"/>
    <n v="316800"/>
    <n v="61700"/>
    <n v="255100"/>
    <n v="0"/>
    <n v="0"/>
    <n v="89850.625589999996"/>
    <n v="-47929.131559187132"/>
    <n v="21557.329055999999"/>
    <n v="197752.34721000001"/>
    <n v="-12044.462427"/>
    <n v="48025.227120444004"/>
    <n v="0"/>
    <n v="0"/>
    <n v="28645.666818294998"/>
    <n v="18960.110526"/>
    <n v="6592.512024648001"/>
    <n v="8900"/>
    <n v="309500"/>
    <n v="41900"/>
    <n v="360300"/>
    <n v="0.13731060606060605"/>
    <n v="0.99970000000000003"/>
    <n v="1.0067999999999999"/>
    <n v="0.99650000000000005"/>
    <n v="1.0157"/>
    <n v="1.0074000000000001"/>
    <n v="0.94971499999999998"/>
    <n v="0.97494744680082823"/>
    <n v="309500"/>
    <n v="8400"/>
    <n v="317900"/>
    <n v="39800"/>
    <n v="357700"/>
    <n v="0.24617796942375539"/>
    <n v="-0.35494327390599678"/>
    <n v="0.12910353535353536"/>
  </r>
  <r>
    <n v="2025"/>
    <s v="18132213047    "/>
    <n v="-1.5606477482646683"/>
    <n v="0.21"/>
    <n v="9218"/>
    <s v="6"/>
    <s v="RES"/>
    <x v="0"/>
    <s v="11"/>
    <s v="259"/>
    <s v="TD"/>
    <s v="A"/>
    <s v="GD"/>
    <x v="9"/>
    <n v="94"/>
    <n v="54"/>
    <n v="1930"/>
    <n v="1970"/>
    <n v="976"/>
    <m/>
    <n v="864"/>
    <n v="864"/>
    <m/>
    <m/>
    <n v="976"/>
    <n v="1000"/>
    <n v="5"/>
    <m/>
    <m/>
    <m/>
    <m/>
    <m/>
    <m/>
    <m/>
    <n v="198975"/>
    <n v="135303"/>
    <n v="3867"/>
    <n v="302900"/>
    <n v="60100"/>
    <n v="242800"/>
    <n v="0"/>
    <n v="0"/>
    <n v="89850.625589999996"/>
    <n v="-49401.70477837498"/>
    <n v="21557.329055999999"/>
    <n v="197752.34721000001"/>
    <n v="-12044.462427"/>
    <n v="48222.861799951999"/>
    <n v="0"/>
    <n v="0"/>
    <n v="25126.757493408"/>
    <n v="18960.110526"/>
    <n v="0"/>
    <n v="3900"/>
    <n v="299600"/>
    <n v="40400"/>
    <n v="343900"/>
    <n v="0.13535820402773194"/>
    <n v="0.99970000000000003"/>
    <n v="1.0067999999999999"/>
    <n v="0.99650000000000005"/>
    <n v="1.0148999999999999"/>
    <n v="1.0074000000000001"/>
    <n v="0.94971499999999998"/>
    <n v="0.97417954490318037"/>
    <n v="299600"/>
    <n v="3700"/>
    <n v="303300"/>
    <n v="38400"/>
    <n v="341700"/>
    <n v="0.24917627677100493"/>
    <n v="-0.36106489184692181"/>
    <n v="0.12809508088478044"/>
  </r>
  <r>
    <n v="2025"/>
    <s v="18132244504    "/>
    <n v="-2.2072749131897207"/>
    <n v="0.11"/>
    <n v="4673"/>
    <s v="6"/>
    <s v="RES"/>
    <x v="0"/>
    <s v="11"/>
    <s v="259"/>
    <s v="TD"/>
    <s v="A"/>
    <s v="AV"/>
    <x v="9"/>
    <n v="94"/>
    <n v="54"/>
    <n v="1930"/>
    <n v="1970"/>
    <n v="1068"/>
    <m/>
    <n v="422"/>
    <n v="422"/>
    <m/>
    <m/>
    <n v="1068"/>
    <n v="1500"/>
    <n v="5"/>
    <m/>
    <m/>
    <n v="264"/>
    <m/>
    <m/>
    <m/>
    <m/>
    <n v="200231"/>
    <n v="132152"/>
    <n v="0"/>
    <n v="250300"/>
    <n v="37600"/>
    <n v="212700"/>
    <n v="0"/>
    <n v="0"/>
    <n v="89850.625589999996"/>
    <n v="-69870.439211769743"/>
    <n v="21557.329055999999"/>
    <n v="160472.20319"/>
    <n v="-12044.462427"/>
    <n v="52768.459428636001"/>
    <n v="0"/>
    <n v="0"/>
    <n v="12272.559794233999"/>
    <n v="18960.110526"/>
    <n v="8790.0160328640013"/>
    <n v="0"/>
    <n v="262800"/>
    <n v="20000"/>
    <n v="282800"/>
    <n v="0.12984418697562924"/>
    <n v="0.99970000000000003"/>
    <n v="1.0067999999999999"/>
    <n v="0.99729999999999996"/>
    <n v="1.0157"/>
    <n v="1.0074000000000001"/>
    <n v="0.94971499999999998"/>
    <n v="0.97573014419916293"/>
    <n v="262800"/>
    <n v="0"/>
    <n v="262800"/>
    <n v="19000"/>
    <n v="281800"/>
    <n v="0.23554301833568406"/>
    <n v="-0.49468085106382981"/>
    <n v="0.12584898122253296"/>
  </r>
  <r>
    <n v="2025"/>
    <s v="18132334428    "/>
    <n v="-1.8325814637483102"/>
    <n v="0.16"/>
    <m/>
    <s v="6"/>
    <s v="RES"/>
    <x v="0"/>
    <s v="11"/>
    <s v="259"/>
    <s v="BG"/>
    <s v="G"/>
    <s v="GD"/>
    <x v="9"/>
    <n v="94"/>
    <n v="54"/>
    <n v="1930"/>
    <n v="1970"/>
    <n v="1024"/>
    <m/>
    <n v="1024"/>
    <n v="512"/>
    <n v="512"/>
    <m/>
    <n v="1536"/>
    <n v="2000"/>
    <n v="7"/>
    <m/>
    <m/>
    <n v="192"/>
    <m/>
    <m/>
    <m/>
    <m/>
    <n v="322424"/>
    <n v="219248"/>
    <n v="0"/>
    <n v="332600"/>
    <n v="50600"/>
    <n v="282000"/>
    <n v="0"/>
    <n v="0"/>
    <n v="89850.625589999996"/>
    <n v="-58009.662049032086"/>
    <n v="44121.038090000002"/>
    <n v="197752.34721000001"/>
    <n v="-12044.462427"/>
    <n v="50594.477954048001"/>
    <n v="0"/>
    <n v="0"/>
    <n v="29779.860732927998"/>
    <n v="26544.1547364"/>
    <n v="6392.7389329920006"/>
    <n v="0"/>
    <n v="343100"/>
    <n v="31800"/>
    <n v="374900"/>
    <n v="0.12717979555021047"/>
    <n v="0.99970000000000003"/>
    <n v="0.98050000000000004"/>
    <n v="0.99650000000000005"/>
    <n v="1.0093000000000001"/>
    <n v="1.0074000000000001"/>
    <n v="0.94971499999999998"/>
    <n v="0.94349677105985763"/>
    <n v="343100"/>
    <n v="0"/>
    <n v="343100"/>
    <n v="30200"/>
    <n v="373300"/>
    <n v="0.21666666666666667"/>
    <n v="-0.40316205533596838"/>
    <n v="0.12236921226698737"/>
  </r>
  <r>
    <n v="2025"/>
    <s v="18132334533    "/>
    <n v="-1.8325814637483102"/>
    <n v="0.16"/>
    <m/>
    <s v="6"/>
    <s v="RES"/>
    <x v="0"/>
    <s v="11"/>
    <s v="259"/>
    <s v="BG"/>
    <s v="A"/>
    <s v="GD"/>
    <x v="9"/>
    <n v="94"/>
    <n v="54"/>
    <n v="1930"/>
    <n v="1970"/>
    <n v="1298"/>
    <m/>
    <n v="644"/>
    <n v="644"/>
    <m/>
    <m/>
    <n v="1298"/>
    <n v="1500"/>
    <n v="5"/>
    <m/>
    <m/>
    <m/>
    <m/>
    <m/>
    <m/>
    <m/>
    <n v="251520"/>
    <n v="171034"/>
    <n v="23900"/>
    <n v="323200"/>
    <n v="50600"/>
    <n v="272600"/>
    <n v="0"/>
    <n v="0"/>
    <n v="89850.625589999996"/>
    <n v="-58009.662049032086"/>
    <n v="21557.329055999999"/>
    <n v="197752.34721000001"/>
    <n v="-12044.462427"/>
    <n v="64132.453500346004"/>
    <n v="0"/>
    <n v="0"/>
    <n v="18728.740539068"/>
    <n v="18960.110526"/>
    <n v="0"/>
    <n v="23900"/>
    <n v="309100"/>
    <n v="31800"/>
    <n v="364800"/>
    <n v="0.12871287128712872"/>
    <n v="0.99970000000000003"/>
    <n v="1.0067999999999999"/>
    <n v="0.99650000000000005"/>
    <n v="1.0157"/>
    <n v="1.0074000000000001"/>
    <n v="0.94971499999999998"/>
    <n v="0.97494744680082823"/>
    <n v="309100"/>
    <n v="22700"/>
    <n v="331800"/>
    <n v="30200"/>
    <n v="362000"/>
    <n v="0.21716801173881145"/>
    <n v="-0.40316205533596838"/>
    <n v="0.12004950495049505"/>
  </r>
  <r>
    <n v="2025"/>
    <s v="18132332443    "/>
    <n v="-1.5606477482646683"/>
    <n v="0.21"/>
    <n v="8930"/>
    <s v="6"/>
    <s v="RES"/>
    <x v="0"/>
    <s v="11"/>
    <s v="259"/>
    <s v="BG"/>
    <s v="A"/>
    <s v="GD"/>
    <x v="9"/>
    <n v="94"/>
    <n v="54"/>
    <n v="1930"/>
    <n v="1970"/>
    <n v="840"/>
    <m/>
    <n v="840"/>
    <n v="840"/>
    <m/>
    <m/>
    <n v="840"/>
    <n v="1000"/>
    <n v="5"/>
    <m/>
    <m/>
    <m/>
    <m/>
    <m/>
    <m/>
    <m/>
    <n v="180799"/>
    <n v="122943"/>
    <n v="10630"/>
    <n v="304200"/>
    <n v="60100"/>
    <n v="244100"/>
    <n v="0"/>
    <n v="0"/>
    <n v="89850.625589999996"/>
    <n v="-49401.70477837498"/>
    <n v="21557.329055999999"/>
    <n v="197752.34721000001"/>
    <n v="-12044.462427"/>
    <n v="41503.282696679998"/>
    <n v="0"/>
    <n v="0"/>
    <n v="24428.792007479999"/>
    <n v="18960.110526"/>
    <n v="0"/>
    <n v="10600"/>
    <n v="292200"/>
    <n v="40400"/>
    <n v="343200"/>
    <n v="0.12820512820512819"/>
    <n v="0.99970000000000003"/>
    <n v="1.0067999999999999"/>
    <n v="0.99650000000000005"/>
    <n v="1.0148999999999999"/>
    <n v="1.0074000000000001"/>
    <n v="0.94971499999999998"/>
    <n v="0.97417954490318037"/>
    <n v="292200"/>
    <n v="10100"/>
    <n v="302300"/>
    <n v="38400"/>
    <n v="340700"/>
    <n v="0.23842687423187217"/>
    <n v="-0.36106489184692181"/>
    <n v="0.11998685075608152"/>
  </r>
  <r>
    <n v="2025"/>
    <s v="18132331478    "/>
    <n v="-1.3862943611198906"/>
    <n v="0.25"/>
    <m/>
    <s v="6"/>
    <s v="RES"/>
    <x v="0"/>
    <s v="11"/>
    <s v="259"/>
    <s v="TD"/>
    <s v="A+"/>
    <s v="GD"/>
    <x v="9"/>
    <n v="94"/>
    <n v="54"/>
    <n v="1930"/>
    <n v="1970"/>
    <n v="1637"/>
    <m/>
    <n v="1361"/>
    <n v="1361"/>
    <m/>
    <m/>
    <n v="1637"/>
    <n v="2000"/>
    <n v="5"/>
    <m/>
    <m/>
    <m/>
    <m/>
    <m/>
    <m/>
    <m/>
    <n v="324817"/>
    <n v="220876"/>
    <n v="9270"/>
    <n v="363900"/>
    <n v="66200"/>
    <n v="297700"/>
    <n v="0"/>
    <n v="0"/>
    <n v="89850.625589999996"/>
    <n v="-43882.615305165229"/>
    <n v="29814.093161000001"/>
    <n v="197752.34721000001"/>
    <n v="-12044.462427"/>
    <n v="80881.992588649009"/>
    <n v="0"/>
    <n v="0"/>
    <n v="39580.459431167001"/>
    <n v="18960.110526"/>
    <n v="0"/>
    <n v="9300"/>
    <n v="354900"/>
    <n v="46000"/>
    <n v="410200"/>
    <n v="0.12723275625171751"/>
    <n v="0.99970000000000003"/>
    <n v="1.0088999999999999"/>
    <n v="0.99650000000000005"/>
    <n v="1.0093000000000001"/>
    <n v="1.0074000000000001"/>
    <n v="0.94971499999999998"/>
    <n v="0.97082497942099955"/>
    <n v="354900"/>
    <n v="8800"/>
    <n v="363700"/>
    <n v="43700"/>
    <n v="407400"/>
    <n v="0.22169969768223044"/>
    <n v="-0.33987915407854985"/>
    <n v="0.11953833470733718"/>
  </r>
  <r>
    <n v="2025"/>
    <s v="18132331013    "/>
    <n v="-1.7719568419318752"/>
    <n v="0.17"/>
    <n v="7273"/>
    <s v="6"/>
    <s v="RES"/>
    <x v="0"/>
    <s v="11"/>
    <s v="259"/>
    <s v="CC"/>
    <s v="A"/>
    <s v="GD"/>
    <x v="9"/>
    <n v="94"/>
    <n v="54"/>
    <n v="1930"/>
    <n v="1970"/>
    <n v="888"/>
    <n v="443"/>
    <n v="888"/>
    <n v="888"/>
    <m/>
    <m/>
    <n v="1331"/>
    <n v="1500"/>
    <n v="8"/>
    <m/>
    <m/>
    <m/>
    <m/>
    <m/>
    <m/>
    <m/>
    <n v="237749"/>
    <n v="161669"/>
    <n v="6227"/>
    <n v="327100"/>
    <n v="52700"/>
    <n v="274400"/>
    <n v="0"/>
    <n v="0"/>
    <n v="89850.625589999996"/>
    <n v="-56090.612940989391"/>
    <n v="21557.329055999999"/>
    <n v="197752.34721000001"/>
    <n v="-12044.462427"/>
    <n v="43874.898850776"/>
    <n v="19840.385327422999"/>
    <n v="0"/>
    <n v="25824.722979335998"/>
    <n v="30336.176841600001"/>
    <n v="0"/>
    <n v="6200"/>
    <n v="327100"/>
    <n v="33800"/>
    <n v="367100"/>
    <n v="0.12228676245796392"/>
    <n v="0.99970000000000003"/>
    <n v="1.0067999999999999"/>
    <n v="0.99650000000000005"/>
    <n v="1.0157"/>
    <n v="1.0074000000000001"/>
    <n v="0.94971499999999998"/>
    <n v="0.97494744680082823"/>
    <n v="327100"/>
    <n v="5900"/>
    <n v="333000"/>
    <n v="32100"/>
    <n v="365100"/>
    <n v="0.21355685131195334"/>
    <n v="-0.39089184060721061"/>
    <n v="0.11617242433506574"/>
  </r>
  <r>
    <n v="2025"/>
    <s v="18132344418    "/>
    <n v="-1.8971199848858813"/>
    <n v="0.15"/>
    <n v="6469"/>
    <s v="6"/>
    <s v="RES"/>
    <x v="0"/>
    <s v="11"/>
    <s v="259"/>
    <s v="CO"/>
    <s v="A"/>
    <s v="GD"/>
    <x v="9"/>
    <n v="94"/>
    <n v="54"/>
    <n v="1930"/>
    <n v="1970"/>
    <n v="1360"/>
    <n v="400"/>
    <n v="832"/>
    <n v="832"/>
    <m/>
    <m/>
    <n v="1760"/>
    <n v="2000"/>
    <n v="7"/>
    <n v="342"/>
    <m/>
    <m/>
    <m/>
    <m/>
    <m/>
    <m/>
    <n v="331677"/>
    <n v="225540"/>
    <n v="0"/>
    <n v="333200"/>
    <n v="48400"/>
    <n v="284800"/>
    <n v="0"/>
    <n v="0"/>
    <n v="89850.625589999996"/>
    <n v="-60052.604136134301"/>
    <n v="21557.329055999999"/>
    <n v="197752.34721000001"/>
    <n v="-12044.462427"/>
    <n v="67195.791032720008"/>
    <n v="17914.5691444"/>
    <n v="0"/>
    <n v="24196.136845503999"/>
    <n v="26544.1547364"/>
    <n v="0"/>
    <n v="0"/>
    <n v="343100"/>
    <n v="29800"/>
    <n v="372900"/>
    <n v="0.11914765906362546"/>
    <n v="0.99970000000000003"/>
    <n v="1.0067999999999999"/>
    <n v="0.99650000000000005"/>
    <n v="1.0093000000000001"/>
    <n v="1.0074000000000001"/>
    <n v="0.94971499999999998"/>
    <n v="0.96880423161964746"/>
    <n v="343100"/>
    <n v="0"/>
    <n v="343100"/>
    <n v="28300"/>
    <n v="371400"/>
    <n v="0.20470505617977527"/>
    <n v="-0.41528925619834711"/>
    <n v="0.11464585834333733"/>
  </r>
  <r>
    <n v="2025"/>
    <s v="18132324483    "/>
    <n v="-1.7147984280919266"/>
    <n v="0.18"/>
    <m/>
    <s v="6"/>
    <s v="RES"/>
    <x v="0"/>
    <s v="11"/>
    <s v="259"/>
    <s v="BG"/>
    <s v="A"/>
    <s v="GD"/>
    <x v="9"/>
    <n v="94"/>
    <n v="54"/>
    <n v="1930"/>
    <n v="1970"/>
    <n v="1375"/>
    <m/>
    <n v="550"/>
    <n v="550"/>
    <m/>
    <m/>
    <n v="1375"/>
    <n v="1500"/>
    <n v="5"/>
    <m/>
    <m/>
    <m/>
    <m/>
    <m/>
    <m/>
    <m/>
    <n v="235475"/>
    <n v="160123"/>
    <n v="5963"/>
    <n v="314000"/>
    <n v="54700"/>
    <n v="259300"/>
    <n v="0"/>
    <n v="0"/>
    <n v="89850.625589999996"/>
    <n v="-54281.285314520763"/>
    <n v="21557.329055999999"/>
    <n v="197752.34721000001"/>
    <n v="-12044.462427"/>
    <n v="67936.921080875007"/>
    <n v="0"/>
    <n v="0"/>
    <n v="15995.04238585"/>
    <n v="18960.110526"/>
    <n v="0"/>
    <n v="6000"/>
    <n v="310200"/>
    <n v="35600"/>
    <n v="351800"/>
    <n v="0.12038216560509554"/>
    <n v="0.99970000000000003"/>
    <n v="1.0067999999999999"/>
    <n v="0.99650000000000005"/>
    <n v="1.0157"/>
    <n v="1.0074000000000001"/>
    <n v="0.94971499999999998"/>
    <n v="0.97494744680082823"/>
    <n v="310200"/>
    <n v="5700"/>
    <n v="315900"/>
    <n v="33800"/>
    <n v="349700"/>
    <n v="0.21827998457385267"/>
    <n v="-0.38208409506398539"/>
    <n v="0.11369426751592357"/>
  </r>
  <r>
    <n v="2025"/>
    <s v="18132331009    "/>
    <n v="-1.8325814637483102"/>
    <n v="0.16"/>
    <n v="6979"/>
    <s v="6"/>
    <s v="RES"/>
    <x v="0"/>
    <s v="11"/>
    <s v="259"/>
    <s v="BG"/>
    <s v="A"/>
    <s v="GD"/>
    <x v="9"/>
    <n v="94"/>
    <n v="54"/>
    <n v="1930"/>
    <n v="1970"/>
    <n v="749"/>
    <m/>
    <m/>
    <n v="0"/>
    <m/>
    <m/>
    <n v="749"/>
    <n v="1000"/>
    <n v="5"/>
    <m/>
    <m/>
    <m/>
    <m/>
    <m/>
    <m/>
    <m/>
    <n v="122464"/>
    <n v="83276"/>
    <n v="4877"/>
    <n v="267700"/>
    <n v="50600"/>
    <n v="217100"/>
    <n v="0"/>
    <n v="0"/>
    <n v="89850.625589999996"/>
    <n v="-58009.662049032086"/>
    <n v="21557.329055999999"/>
    <n v="197752.34721000001"/>
    <n v="-12044.462427"/>
    <n v="37007.093737873001"/>
    <n v="0"/>
    <n v="0"/>
    <n v="0"/>
    <n v="18960.110526"/>
    <n v="0"/>
    <n v="4900"/>
    <n v="263200"/>
    <n v="31800"/>
    <n v="299900"/>
    <n v="0.12028389988793425"/>
    <n v="0.99970000000000003"/>
    <n v="1.0067999999999999"/>
    <n v="0.99650000000000005"/>
    <n v="1.0148999999999999"/>
    <n v="1.0074000000000001"/>
    <n v="0.94971499999999998"/>
    <n v="0.97417954490318037"/>
    <n v="263200"/>
    <n v="4600"/>
    <n v="267800"/>
    <n v="30200"/>
    <n v="298000"/>
    <n v="0.23353293413173654"/>
    <n v="-0.40316205533596838"/>
    <n v="0.11318640268957789"/>
  </r>
  <r>
    <n v="2025"/>
    <s v="18132344478    "/>
    <n v="-1.8971199848858813"/>
    <n v="0.15"/>
    <m/>
    <s v="6"/>
    <s v="RES"/>
    <x v="0"/>
    <s v="11"/>
    <s v="259"/>
    <s v="BG"/>
    <s v="A"/>
    <s v="GD"/>
    <x v="9"/>
    <n v="94"/>
    <n v="54"/>
    <n v="1930"/>
    <n v="1970"/>
    <n v="990"/>
    <m/>
    <m/>
    <n v="0"/>
    <m/>
    <m/>
    <n v="990"/>
    <n v="1000"/>
    <n v="5"/>
    <m/>
    <m/>
    <m/>
    <m/>
    <m/>
    <m/>
    <m/>
    <n v="180537"/>
    <n v="122765"/>
    <n v="0"/>
    <n v="272600"/>
    <n v="48400"/>
    <n v="224200"/>
    <n v="0"/>
    <n v="0"/>
    <n v="89850.625589999996"/>
    <n v="-60052.604136134301"/>
    <n v="21557.329055999999"/>
    <n v="197752.34721000001"/>
    <n v="-12044.462427"/>
    <n v="48914.583178230001"/>
    <n v="0"/>
    <n v="0"/>
    <n v="0"/>
    <n v="18960.110526"/>
    <n v="0"/>
    <n v="0"/>
    <n v="275100"/>
    <n v="29800"/>
    <n v="304900"/>
    <n v="0.11848862802641233"/>
    <n v="0.99970000000000003"/>
    <n v="1.0067999999999999"/>
    <n v="0.99650000000000005"/>
    <n v="1.0148999999999999"/>
    <n v="1.0074000000000001"/>
    <n v="0.94971499999999998"/>
    <n v="0.97417954490318037"/>
    <n v="275100"/>
    <n v="0"/>
    <n v="275100"/>
    <n v="28300"/>
    <n v="303400"/>
    <n v="0.22702943800178413"/>
    <n v="-0.41528925619834711"/>
    <n v="0.11298606016140866"/>
  </r>
  <r>
    <n v="2025"/>
    <s v="18132332438    "/>
    <n v="-1.3093333199837622"/>
    <n v="0.27"/>
    <n v="11928"/>
    <s v="6"/>
    <s v="RES"/>
    <x v="0"/>
    <s v="11"/>
    <s v="259"/>
    <s v="BG"/>
    <s v="G"/>
    <s v="GD"/>
    <x v="9"/>
    <n v="94"/>
    <n v="39"/>
    <n v="1930"/>
    <n v="1985"/>
    <n v="1698"/>
    <m/>
    <n v="1626"/>
    <n v="1626"/>
    <m/>
    <m/>
    <n v="1698"/>
    <n v="2000"/>
    <n v="10"/>
    <m/>
    <m/>
    <m/>
    <m/>
    <m/>
    <m/>
    <m/>
    <n v="448516"/>
    <n v="363298"/>
    <n v="12991"/>
    <n v="414200"/>
    <n v="68900"/>
    <n v="345300"/>
    <n v="0"/>
    <n v="0"/>
    <n v="89850.625589999996"/>
    <n v="-41446.443120973789"/>
    <n v="44121.038090000002"/>
    <n v="197752.34721000001"/>
    <n v="-8698.7784195000004"/>
    <n v="83895.921451146001"/>
    <n v="0"/>
    <n v="0"/>
    <n v="47287.161671621994"/>
    <n v="37920.221052000001"/>
    <n v="0"/>
    <n v="13000"/>
    <n v="402300"/>
    <n v="48400"/>
    <n v="463700"/>
    <n v="0.11950748430709802"/>
    <n v="0.99970000000000003"/>
    <n v="0.98050000000000004"/>
    <n v="0.99650000000000005"/>
    <n v="1.0093000000000001"/>
    <n v="1.0074000000000001"/>
    <n v="0.94971499999999998"/>
    <n v="0.94349677105985763"/>
    <n v="402300"/>
    <n v="12300"/>
    <n v="414600"/>
    <n v="46000"/>
    <n v="460600"/>
    <n v="0.20069504778453517"/>
    <n v="-0.33236574746008707"/>
    <n v="0.11202317720907774"/>
  </r>
  <r>
    <n v="2025"/>
    <s v="18132332577    "/>
    <n v="-1.7147984280919266"/>
    <n v="0.18"/>
    <n v="7658"/>
    <s v="6"/>
    <s v="RES"/>
    <x v="0"/>
    <s v="11"/>
    <s v="259"/>
    <s v="BG"/>
    <s v="A+"/>
    <s v="GD"/>
    <x v="9"/>
    <n v="94"/>
    <n v="54"/>
    <n v="1930"/>
    <n v="1970"/>
    <n v="1238"/>
    <m/>
    <n v="1208"/>
    <n v="1208"/>
    <m/>
    <m/>
    <n v="1238"/>
    <n v="1500"/>
    <n v="7"/>
    <m/>
    <m/>
    <m/>
    <m/>
    <m/>
    <m/>
    <m/>
    <n v="284551"/>
    <n v="193495"/>
    <n v="11174"/>
    <n v="344300"/>
    <n v="54700"/>
    <n v="289600"/>
    <n v="0"/>
    <n v="0"/>
    <n v="89850.625589999996"/>
    <n v="-54281.285314520763"/>
    <n v="29814.093161000001"/>
    <n v="197752.34721000001"/>
    <n v="-12044.462427"/>
    <n v="61167.933307726002"/>
    <n v="0"/>
    <n v="0"/>
    <n v="35130.929458375998"/>
    <n v="26544.1547364"/>
    <n v="0"/>
    <n v="11200"/>
    <n v="338400"/>
    <n v="35600"/>
    <n v="385200"/>
    <n v="0.1187917513796108"/>
    <n v="0.99970000000000003"/>
    <n v="1.0088999999999999"/>
    <n v="0.99650000000000005"/>
    <n v="1.0157"/>
    <n v="1.0074000000000001"/>
    <n v="0.94971499999999998"/>
    <n v="0.97698100822144973"/>
    <n v="338400"/>
    <n v="10600"/>
    <n v="349000"/>
    <n v="33800"/>
    <n v="382800"/>
    <n v="0.20511049723756905"/>
    <n v="-0.38208409506398539"/>
    <n v="0.11182108626198083"/>
  </r>
  <r>
    <n v="2025"/>
    <s v="18132332533    "/>
    <n v="-1.8325814637483102"/>
    <n v="0.16"/>
    <m/>
    <s v="6"/>
    <s v="RES"/>
    <x v="0"/>
    <s v="11"/>
    <s v="259"/>
    <s v="CC"/>
    <s v="A+"/>
    <s v="GD"/>
    <x v="9"/>
    <n v="94"/>
    <n v="54"/>
    <n v="1930"/>
    <n v="1970"/>
    <n v="1373"/>
    <n v="425"/>
    <n v="1229"/>
    <n v="613"/>
    <n v="616"/>
    <m/>
    <n v="2414"/>
    <n v="2500"/>
    <n v="5"/>
    <m/>
    <m/>
    <n v="275"/>
    <m/>
    <m/>
    <m/>
    <m/>
    <n v="397646"/>
    <n v="270399"/>
    <n v="6227"/>
    <n v="362100"/>
    <n v="50600"/>
    <n v="311500"/>
    <n v="0"/>
    <n v="0"/>
    <n v="89850.625589999996"/>
    <n v="-58009.662049032086"/>
    <n v="29814.093161000001"/>
    <n v="197752.34721000001"/>
    <n v="-12044.462427"/>
    <n v="67838.103741120998"/>
    <n v="19034.229715925001"/>
    <n v="0"/>
    <n v="35741.649258562997"/>
    <n v="18960.110526"/>
    <n v="9156.2667009000015"/>
    <n v="6200"/>
    <n v="366300"/>
    <n v="31800"/>
    <n v="404300"/>
    <n v="0.11654239160452913"/>
    <n v="0.99970000000000003"/>
    <n v="1.0088999999999999"/>
    <n v="0.99650000000000005"/>
    <n v="0.98919999999999997"/>
    <n v="1.0074000000000001"/>
    <n v="0.94971499999999998"/>
    <n v="0.95149120146958555"/>
    <n v="366300"/>
    <n v="5900"/>
    <n v="372200"/>
    <n v="30200"/>
    <n v="402400"/>
    <n v="0.19486356340288924"/>
    <n v="-0.40316205533596838"/>
    <n v="0.11129522231427783"/>
  </r>
  <r>
    <n v="2025"/>
    <s v="18132342517    "/>
    <n v="-1.8971199848858813"/>
    <n v="0.15"/>
    <n v="6480"/>
    <s v="6"/>
    <s v="RES"/>
    <x v="0"/>
    <s v="11"/>
    <s v="259"/>
    <s v="BG"/>
    <s v="A+"/>
    <s v="GD"/>
    <x v="9"/>
    <n v="94"/>
    <n v="54"/>
    <n v="1930"/>
    <n v="1970"/>
    <n v="1368"/>
    <n v="716"/>
    <n v="704"/>
    <n v="352"/>
    <n v="352"/>
    <m/>
    <n v="2436"/>
    <n v="2500"/>
    <n v="7"/>
    <m/>
    <n v="588"/>
    <n v="300"/>
    <m/>
    <m/>
    <m/>
    <m/>
    <n v="460990"/>
    <n v="313473"/>
    <n v="0"/>
    <n v="360500"/>
    <n v="48400"/>
    <n v="312100"/>
    <n v="0"/>
    <n v="0"/>
    <n v="89850.625589999996"/>
    <n v="-60052.604136134301"/>
    <n v="29814.093161000001"/>
    <n v="197752.34721000001"/>
    <n v="-12044.462427"/>
    <n v="67591.060391735999"/>
    <n v="32067.078768476"/>
    <n v="0"/>
    <n v="20473.654253887998"/>
    <n v="26544.1547364"/>
    <n v="9988.6545828000017"/>
    <n v="0"/>
    <n v="372200"/>
    <n v="29800"/>
    <n v="402000"/>
    <n v="0.11511789181692095"/>
    <n v="0.99970000000000003"/>
    <n v="1.0088999999999999"/>
    <n v="0.99650000000000005"/>
    <n v="0.98919999999999997"/>
    <n v="1.0074000000000001"/>
    <n v="0.94971499999999998"/>
    <n v="0.95149120146958555"/>
    <n v="372200"/>
    <n v="0"/>
    <n v="372200"/>
    <n v="28300"/>
    <n v="400500"/>
    <n v="0.19256648510092919"/>
    <n v="-0.41528925619834711"/>
    <n v="0.11095700416088766"/>
  </r>
  <r>
    <n v="2025"/>
    <s v="18132314444    "/>
    <n v="-1.8971199848858813"/>
    <n v="0.15"/>
    <n v="6600"/>
    <s v="6"/>
    <s v="RES"/>
    <x v="0"/>
    <s v="11"/>
    <s v="259"/>
    <s v="CO"/>
    <s v="A"/>
    <s v="GD"/>
    <x v="9"/>
    <n v="94"/>
    <n v="54"/>
    <n v="1930"/>
    <n v="1970"/>
    <n v="1511"/>
    <n v="690"/>
    <n v="1350"/>
    <n v="1350"/>
    <m/>
    <m/>
    <n v="2201"/>
    <n v="2500"/>
    <n v="5"/>
    <m/>
    <m/>
    <m/>
    <m/>
    <m/>
    <m/>
    <m/>
    <n v="341797"/>
    <n v="232422"/>
    <n v="8281"/>
    <n v="366600"/>
    <n v="48400"/>
    <n v="318200"/>
    <n v="0"/>
    <n v="0"/>
    <n v="89850.625589999996"/>
    <n v="-60052.604136134301"/>
    <n v="21557.329055999999"/>
    <n v="197752.34721000001"/>
    <n v="-12044.462427"/>
    <n v="74656.500184147008"/>
    <n v="30902.631774089998"/>
    <n v="0"/>
    <n v="39260.558583450002"/>
    <n v="18960.110526"/>
    <n v="0"/>
    <n v="8300"/>
    <n v="371000"/>
    <n v="29800"/>
    <n v="409100"/>
    <n v="0.11593016912165849"/>
    <n v="0.99970000000000003"/>
    <n v="1.0067999999999999"/>
    <n v="0.99650000000000005"/>
    <n v="0.98919999999999997"/>
    <n v="1.0074000000000001"/>
    <n v="0.94971499999999998"/>
    <n v="0.94951069644125163"/>
    <n v="371000"/>
    <n v="7900"/>
    <n v="378900"/>
    <n v="28300"/>
    <n v="407200"/>
    <n v="0.19076052796983028"/>
    <n v="-0.41528925619834711"/>
    <n v="0.11074740861974905"/>
  </r>
  <r>
    <n v="2025"/>
    <s v="18132242422    "/>
    <n v="-2.0402208285265546"/>
    <n v="0.13"/>
    <n v="5565"/>
    <s v="6"/>
    <s v="RES"/>
    <x v="0"/>
    <s v="11"/>
    <s v="259"/>
    <s v="BG"/>
    <s v="A"/>
    <s v="AV"/>
    <x v="9"/>
    <n v="94"/>
    <n v="54"/>
    <n v="1930"/>
    <n v="1970"/>
    <n v="1174"/>
    <m/>
    <n v="528"/>
    <n v="528"/>
    <m/>
    <m/>
    <n v="1174"/>
    <n v="1500"/>
    <n v="5"/>
    <m/>
    <m/>
    <n v="231"/>
    <m/>
    <m/>
    <m/>
    <m/>
    <n v="221327"/>
    <n v="146076"/>
    <n v="7985"/>
    <n v="271700"/>
    <n v="43400"/>
    <n v="228300"/>
    <n v="0"/>
    <n v="0"/>
    <n v="89850.625589999996"/>
    <n v="-64582.406353792743"/>
    <n v="21557.329055999999"/>
    <n v="160472.20319"/>
    <n v="-12044.462427"/>
    <n v="58005.778435598004"/>
    <n v="0"/>
    <n v="0"/>
    <n v="15355.240690416"/>
    <n v="18960.110526"/>
    <n v="7691.2640287560007"/>
    <n v="8000"/>
    <n v="270000"/>
    <n v="25300"/>
    <n v="303300"/>
    <n v="0.11630474788369526"/>
    <n v="0.99970000000000003"/>
    <n v="1.0067999999999999"/>
    <n v="0.99729999999999996"/>
    <n v="1.0157"/>
    <n v="1.0074000000000001"/>
    <n v="0.94971499999999998"/>
    <n v="0.97573014419916293"/>
    <n v="270000"/>
    <n v="7600"/>
    <n v="277600"/>
    <n v="24000"/>
    <n v="301600"/>
    <n v="0.21594393342093737"/>
    <n v="-0.44700460829493088"/>
    <n v="0.11004784688995216"/>
  </r>
  <r>
    <n v="2025"/>
    <s v="18132332442    "/>
    <n v="-1.5606477482646683"/>
    <n v="0.21"/>
    <n v="9099"/>
    <s v="6"/>
    <s v="RES"/>
    <x v="0"/>
    <s v="11"/>
    <s v="259"/>
    <s v="BG"/>
    <s v="A"/>
    <s v="GD"/>
    <x v="9"/>
    <n v="94"/>
    <n v="54"/>
    <n v="1930"/>
    <n v="1970"/>
    <n v="1184"/>
    <n v="384"/>
    <n v="1184"/>
    <n v="1184"/>
    <m/>
    <m/>
    <n v="1568"/>
    <n v="2000"/>
    <n v="5"/>
    <m/>
    <m/>
    <m/>
    <m/>
    <m/>
    <m/>
    <m/>
    <n v="286707"/>
    <n v="194961"/>
    <n v="7748"/>
    <n v="344400"/>
    <n v="60100"/>
    <n v="284300"/>
    <n v="0"/>
    <n v="0"/>
    <n v="89850.625589999996"/>
    <n v="-49401.70477837498"/>
    <n v="21557.329055999999"/>
    <n v="197752.34721000001"/>
    <n v="-12044.462427"/>
    <n v="58499.865134368003"/>
    <n v="17197.986378623998"/>
    <n v="0"/>
    <n v="34432.963972448"/>
    <n v="18960.110526"/>
    <n v="0"/>
    <n v="7700"/>
    <n v="336400"/>
    <n v="40400"/>
    <n v="384500"/>
    <n v="0.11643437862950058"/>
    <n v="0.99970000000000003"/>
    <n v="1.0067999999999999"/>
    <n v="0.99650000000000005"/>
    <n v="1.0093000000000001"/>
    <n v="1.0074000000000001"/>
    <n v="0.94971499999999998"/>
    <n v="0.96880423161964746"/>
    <n v="336400"/>
    <n v="7400"/>
    <n v="343800"/>
    <n v="38400"/>
    <n v="382200"/>
    <n v="0.20928596552937037"/>
    <n v="-0.36106489184692181"/>
    <n v="0.10975609756097561"/>
  </r>
  <r>
    <n v="2025"/>
    <s v="18132331443    "/>
    <n v="-1.5141277326297755"/>
    <n v="0.22"/>
    <m/>
    <s v="6"/>
    <s v="RES"/>
    <x v="0"/>
    <s v="11"/>
    <s v="259"/>
    <s v="BG"/>
    <s v="A"/>
    <s v="GD"/>
    <x v="9"/>
    <n v="94"/>
    <n v="54"/>
    <n v="1930"/>
    <n v="1970"/>
    <n v="1136"/>
    <n v="716"/>
    <n v="1075"/>
    <n v="1075"/>
    <m/>
    <m/>
    <n v="1852"/>
    <n v="2000"/>
    <n v="8"/>
    <m/>
    <m/>
    <m/>
    <m/>
    <m/>
    <m/>
    <m/>
    <n v="312218"/>
    <n v="212308"/>
    <n v="8623"/>
    <n v="365800"/>
    <n v="61700"/>
    <n v="304100"/>
    <n v="0"/>
    <n v="0"/>
    <n v="89850.625589999996"/>
    <n v="-47929.131559187132"/>
    <n v="21557.329055999999"/>
    <n v="197752.34721000001"/>
    <n v="-12044.462427"/>
    <n v="56128.248980272001"/>
    <n v="32067.078768476"/>
    <n v="0"/>
    <n v="31263.037390524998"/>
    <n v="30336.176841600001"/>
    <n v="0"/>
    <n v="8600"/>
    <n v="357100"/>
    <n v="41900"/>
    <n v="407600"/>
    <n v="0.11427009294696555"/>
    <n v="0.99970000000000003"/>
    <n v="1.0067999999999999"/>
    <n v="0.99650000000000005"/>
    <n v="1.0093000000000001"/>
    <n v="1.0074000000000001"/>
    <n v="0.94971499999999998"/>
    <n v="0.96880423161964746"/>
    <n v="357100"/>
    <n v="8200"/>
    <n v="365300"/>
    <n v="39800"/>
    <n v="405100"/>
    <n v="0.20124958895100295"/>
    <n v="-0.35494327390599678"/>
    <n v="0.10743575724439584"/>
  </r>
  <r>
    <n v="2025"/>
    <s v="18132334505    "/>
    <n v="-1.9661128563728327"/>
    <n v="0.14000000000000001"/>
    <m/>
    <s v="6"/>
    <s v="RES"/>
    <x v="0"/>
    <s v="11"/>
    <s v="259"/>
    <s v="CC"/>
    <s v="F+"/>
    <s v="GD"/>
    <x v="9"/>
    <n v="94"/>
    <n v="54"/>
    <n v="1930"/>
    <n v="1970"/>
    <n v="1114"/>
    <n v="400"/>
    <n v="898"/>
    <n v="898"/>
    <m/>
    <m/>
    <n v="1514"/>
    <n v="2000"/>
    <n v="5"/>
    <m/>
    <n v="216"/>
    <m/>
    <m/>
    <m/>
    <m/>
    <m/>
    <n v="247187"/>
    <n v="168087"/>
    <n v="6096"/>
    <n v="303300"/>
    <n v="46000"/>
    <n v="257300"/>
    <n v="0"/>
    <n v="0"/>
    <n v="89850.625589999996"/>
    <n v="-62236.546971921947"/>
    <n v="0"/>
    <n v="197752.34721000001"/>
    <n v="-12044.462427"/>
    <n v="55041.258242978001"/>
    <n v="17914.5691444"/>
    <n v="0"/>
    <n v="26115.541931805998"/>
    <n v="18960.110526"/>
    <n v="0"/>
    <n v="6100"/>
    <n v="303700"/>
    <n v="27600"/>
    <n v="337400"/>
    <n v="0.11242993735575338"/>
    <n v="0.99970000000000003"/>
    <n v="0.99180000000000001"/>
    <n v="0.99650000000000005"/>
    <n v="1.0093000000000001"/>
    <n v="1.0074000000000001"/>
    <n v="0.94971499999999998"/>
    <n v="0.95437031875284728"/>
    <n v="303700"/>
    <n v="5800"/>
    <n v="309500"/>
    <n v="26200"/>
    <n v="335700"/>
    <n v="0.20287602020987175"/>
    <n v="-0.43043478260869567"/>
    <n v="0.10682492581602374"/>
  </r>
  <r>
    <n v="2025"/>
    <s v="18132331453    "/>
    <n v="-1.8971199848858813"/>
    <n v="0.15"/>
    <m/>
    <s v="6"/>
    <s v="RES"/>
    <x v="0"/>
    <s v="11"/>
    <s v="259"/>
    <s v="TD"/>
    <s v="A+"/>
    <s v="GD"/>
    <x v="9"/>
    <n v="94"/>
    <n v="54"/>
    <n v="1930"/>
    <n v="1970"/>
    <n v="1019"/>
    <m/>
    <n v="1019"/>
    <n v="713"/>
    <n v="306"/>
    <m/>
    <n v="1325"/>
    <n v="1500"/>
    <n v="8"/>
    <m/>
    <m/>
    <m/>
    <m/>
    <m/>
    <m/>
    <m/>
    <n v="270727"/>
    <n v="184094"/>
    <n v="23156"/>
    <n v="340600"/>
    <n v="48400"/>
    <n v="292200"/>
    <n v="0"/>
    <n v="0"/>
    <n v="89850.625589999996"/>
    <n v="-60052.604136134301"/>
    <n v="29814.093161000001"/>
    <n v="197752.34721000001"/>
    <n v="-12044.462427"/>
    <n v="50347.434604663002"/>
    <n v="0"/>
    <n v="0"/>
    <n v="29634.451256692999"/>
    <n v="30336.176841600001"/>
    <n v="0"/>
    <n v="23200"/>
    <n v="325800"/>
    <n v="29800"/>
    <n v="378800"/>
    <n v="0.11215502055196712"/>
    <n v="0.99970000000000003"/>
    <n v="1.0088999999999999"/>
    <n v="0.99650000000000005"/>
    <n v="1.0157"/>
    <n v="1.0074000000000001"/>
    <n v="0.94971499999999998"/>
    <n v="0.97698100822144973"/>
    <n v="325800"/>
    <n v="22000"/>
    <n v="347800"/>
    <n v="28300"/>
    <n v="376100"/>
    <n v="0.19028062970568105"/>
    <n v="-0.41528925619834711"/>
    <n v="0.10422783323546682"/>
  </r>
  <r>
    <n v="2025"/>
    <s v="18132332552    "/>
    <n v="-1.4696759700589417"/>
    <n v="0.23"/>
    <n v="10215"/>
    <s v="6"/>
    <s v="RES"/>
    <x v="0"/>
    <s v="11"/>
    <s v="259"/>
    <s v="TU"/>
    <s v="G"/>
    <s v="GD"/>
    <x v="9"/>
    <n v="94"/>
    <n v="54"/>
    <n v="1930"/>
    <n v="1970"/>
    <n v="1525"/>
    <n v="768"/>
    <n v="1525"/>
    <n v="1525"/>
    <m/>
    <m/>
    <n v="2293"/>
    <n v="2500"/>
    <n v="9"/>
    <n v="340"/>
    <m/>
    <m/>
    <m/>
    <m/>
    <m/>
    <m/>
    <n v="545550"/>
    <n v="370974"/>
    <n v="0"/>
    <n v="415900"/>
    <n v="63300"/>
    <n v="352600"/>
    <n v="0"/>
    <n v="0"/>
    <n v="89850.625589999996"/>
    <n v="-46522.028095997222"/>
    <n v="44121.038090000002"/>
    <n v="197752.34721000001"/>
    <n v="-12044.462427"/>
    <n v="75348.221562424995"/>
    <n v="34395.972757247997"/>
    <n v="0"/>
    <n v="44349.890251674995"/>
    <n v="34128.198946800003"/>
    <n v="0"/>
    <n v="0"/>
    <n v="418100"/>
    <n v="43300"/>
    <n v="461400"/>
    <n v="0.10940129838903583"/>
    <n v="0.99970000000000003"/>
    <n v="0.98050000000000004"/>
    <n v="0.99650000000000005"/>
    <n v="0.98919999999999997"/>
    <n v="1.0074000000000001"/>
    <n v="0.94971499999999998"/>
    <n v="0.9247072287054503"/>
    <n v="418100"/>
    <n v="0"/>
    <n v="418100"/>
    <n v="41100"/>
    <n v="459200"/>
    <n v="0.18576290414066932"/>
    <n v="-0.35071090047393366"/>
    <n v="0.10411156528011541"/>
  </r>
  <r>
    <n v="2025"/>
    <s v="18132332567    "/>
    <n v="-1.8325814637483102"/>
    <n v="0.16"/>
    <m/>
    <s v="6"/>
    <s v="RES"/>
    <x v="0"/>
    <s v="11"/>
    <s v="259"/>
    <s v="TU"/>
    <s v="G"/>
    <s v="GD"/>
    <x v="9"/>
    <n v="94"/>
    <n v="54"/>
    <n v="1930"/>
    <n v="1970"/>
    <n v="1205"/>
    <n v="677"/>
    <n v="1205"/>
    <n v="905"/>
    <n v="300"/>
    <m/>
    <n v="2182"/>
    <n v="2500"/>
    <n v="8"/>
    <m/>
    <m/>
    <m/>
    <m/>
    <m/>
    <m/>
    <m/>
    <n v="448665"/>
    <n v="305092"/>
    <n v="14954"/>
    <n v="389400"/>
    <n v="50600"/>
    <n v="338800"/>
    <n v="0"/>
    <n v="0"/>
    <n v="89850.625589999996"/>
    <n v="-58009.662049032086"/>
    <n v="44121.038090000002"/>
    <n v="197752.34721000001"/>
    <n v="-12044.462427"/>
    <n v="59537.447201784998"/>
    <n v="30320.408276897"/>
    <n v="0"/>
    <n v="35043.683772634999"/>
    <n v="30336.176841600001"/>
    <n v="0"/>
    <n v="15000"/>
    <n v="385100"/>
    <n v="31800"/>
    <n v="431900"/>
    <n v="0.10914227015921932"/>
    <n v="0.99970000000000003"/>
    <n v="0.98050000000000004"/>
    <n v="0.99650000000000005"/>
    <n v="0.98919999999999997"/>
    <n v="1.0074000000000001"/>
    <n v="0.94971499999999998"/>
    <n v="0.9247072287054503"/>
    <n v="385100"/>
    <n v="14200"/>
    <n v="399300"/>
    <n v="30200"/>
    <n v="429500"/>
    <n v="0.17857142857142858"/>
    <n v="-0.40316205533596838"/>
    <n v="0.10297894196199281"/>
  </r>
  <r>
    <n v="2025"/>
    <s v="18132342413    "/>
    <n v="-1.9661128563728327"/>
    <n v="0.14000000000000001"/>
    <n v="6189"/>
    <s v="6"/>
    <s v="RES"/>
    <x v="0"/>
    <s v="11"/>
    <s v="259"/>
    <s v="CC"/>
    <s v="A"/>
    <s v="AV"/>
    <x v="9"/>
    <n v="94"/>
    <n v="54"/>
    <n v="1930"/>
    <n v="1970"/>
    <n v="1108"/>
    <n v="546"/>
    <n v="660"/>
    <n v="660"/>
    <m/>
    <m/>
    <n v="1654"/>
    <n v="2000"/>
    <n v="8"/>
    <m/>
    <m/>
    <n v="300"/>
    <m/>
    <m/>
    <m/>
    <m/>
    <n v="284536"/>
    <n v="187794"/>
    <n v="0"/>
    <n v="303900"/>
    <n v="46000"/>
    <n v="257900"/>
    <n v="0"/>
    <n v="0"/>
    <n v="89850.625589999996"/>
    <n v="-62236.546971921947"/>
    <n v="21557.329055999999"/>
    <n v="160472.20319"/>
    <n v="-12044.462427"/>
    <n v="54744.806223716005"/>
    <n v="24453.386882105999"/>
    <n v="0"/>
    <n v="19194.050863019998"/>
    <n v="30336.176841600001"/>
    <n v="9988.6545828000017"/>
    <n v="0"/>
    <n v="308700"/>
    <n v="27600"/>
    <n v="336300"/>
    <n v="0.10661401776900296"/>
    <n v="0.99970000000000003"/>
    <n v="1.0067999999999999"/>
    <n v="0.99729999999999996"/>
    <n v="1.0093000000000001"/>
    <n v="1.0074000000000001"/>
    <n v="0.94971499999999998"/>
    <n v="0.96958199718441984"/>
    <n v="308700"/>
    <n v="0"/>
    <n v="308700"/>
    <n v="26200"/>
    <n v="334900"/>
    <n v="0.19697557192710352"/>
    <n v="-0.43043478260869567"/>
    <n v="0.10200723922342876"/>
  </r>
  <r>
    <n v="2025"/>
    <s v="18132334009    "/>
    <n v="-1.7719568419318752"/>
    <n v="0.17"/>
    <m/>
    <s v="6"/>
    <s v="RES"/>
    <x v="0"/>
    <s v="11"/>
    <s v="259"/>
    <s v="BG"/>
    <s v="A"/>
    <s v="GD"/>
    <x v="9"/>
    <n v="94"/>
    <n v="54"/>
    <n v="1930"/>
    <n v="1970"/>
    <n v="936"/>
    <m/>
    <n v="936"/>
    <n v="536"/>
    <n v="400"/>
    <m/>
    <n v="1336"/>
    <n v="1500"/>
    <n v="8"/>
    <m/>
    <m/>
    <m/>
    <m/>
    <m/>
    <m/>
    <m/>
    <n v="219950"/>
    <n v="149566"/>
    <n v="8156"/>
    <n v="318900"/>
    <n v="52700"/>
    <n v="266200"/>
    <n v="0"/>
    <n v="0"/>
    <n v="89850.625589999996"/>
    <n v="-56090.612940989391"/>
    <n v="21557.329055999999"/>
    <n v="197752.34721000001"/>
    <n v="-12044.462427"/>
    <n v="46246.515004872002"/>
    <n v="0"/>
    <n v="0"/>
    <n v="27220.653951191998"/>
    <n v="30336.176841600001"/>
    <n v="0"/>
    <n v="8200"/>
    <n v="311100"/>
    <n v="33800"/>
    <n v="353100"/>
    <n v="0.10724365004703669"/>
    <n v="0.99970000000000003"/>
    <n v="1.0067999999999999"/>
    <n v="0.99650000000000005"/>
    <n v="1.0157"/>
    <n v="1.0074000000000001"/>
    <n v="0.94971499999999998"/>
    <n v="0.97494744680082823"/>
    <n v="311100"/>
    <n v="7700"/>
    <n v="318800"/>
    <n v="32100"/>
    <n v="350900"/>
    <n v="0.19759579263711496"/>
    <n v="-0.39089184060721061"/>
    <n v="0.10034493571652556"/>
  </r>
  <r>
    <n v="2025"/>
    <s v="18132331451    "/>
    <n v="-1.8971199848858813"/>
    <n v="0.15"/>
    <m/>
    <s v="6"/>
    <s v="RES"/>
    <x v="0"/>
    <s v="11"/>
    <s v="259"/>
    <s v="TD"/>
    <s v="A"/>
    <s v="GD"/>
    <x v="9"/>
    <n v="94"/>
    <n v="44"/>
    <n v="1930"/>
    <n v="1980"/>
    <n v="1263"/>
    <m/>
    <n v="300"/>
    <n v="135"/>
    <n v="165"/>
    <m/>
    <n v="1428"/>
    <n v="1500"/>
    <n v="9"/>
    <m/>
    <m/>
    <n v="60"/>
    <m/>
    <m/>
    <m/>
    <m/>
    <n v="244910"/>
    <n v="193479"/>
    <n v="4943"/>
    <n v="318300"/>
    <n v="48400"/>
    <n v="269900"/>
    <n v="0"/>
    <n v="0"/>
    <n v="89850.625589999996"/>
    <n v="-60052.604136134301"/>
    <n v="21557.329055999999"/>
    <n v="197752.34721000001"/>
    <n v="-9814.0064220000004"/>
    <n v="62403.150054651"/>
    <n v="0"/>
    <n v="0"/>
    <n v="8724.5685740999998"/>
    <n v="34128.198946800003"/>
    <n v="1997.7309165600002"/>
    <n v="4900"/>
    <n v="316700"/>
    <n v="29800"/>
    <n v="351400"/>
    <n v="0.10398994659126611"/>
    <n v="0.99970000000000003"/>
    <n v="1.0067999999999999"/>
    <n v="0.99650000000000005"/>
    <n v="1.0157"/>
    <n v="1.0074000000000001"/>
    <n v="0.94971499999999998"/>
    <n v="0.97494744680082823"/>
    <n v="316700"/>
    <n v="4700"/>
    <n v="321400"/>
    <n v="28300"/>
    <n v="349700"/>
    <n v="0.1908114116339385"/>
    <n v="-0.41528925619834711"/>
    <n v="9.8649073201382345E-2"/>
  </r>
  <r>
    <n v="2025"/>
    <s v="18132324473    "/>
    <n v="-1.8325814637483102"/>
    <n v="0.16"/>
    <m/>
    <s v="6"/>
    <s v="RES"/>
    <x v="0"/>
    <s v="11"/>
    <s v="259"/>
    <s v="TD"/>
    <s v="A"/>
    <s v="FR"/>
    <x v="9"/>
    <n v="94"/>
    <n v="54"/>
    <n v="1930"/>
    <n v="1970"/>
    <n v="1130"/>
    <m/>
    <n v="560"/>
    <n v="560"/>
    <m/>
    <m/>
    <n v="1130"/>
    <n v="1500"/>
    <n v="5"/>
    <m/>
    <m/>
    <m/>
    <m/>
    <m/>
    <m/>
    <m/>
    <n v="212787"/>
    <n v="136184"/>
    <n v="5261"/>
    <n v="245600"/>
    <n v="50600"/>
    <n v="195000"/>
    <n v="0"/>
    <n v="0"/>
    <n v="89850.625589999996"/>
    <n v="-58009.662049032086"/>
    <n v="21557.329055999999"/>
    <n v="133714.53821"/>
    <n v="-12044.462427"/>
    <n v="55831.796961010004"/>
    <n v="0"/>
    <n v="0"/>
    <n v="16285.861338319999"/>
    <n v="18960.110526"/>
    <n v="0"/>
    <n v="5300"/>
    <n v="234300"/>
    <n v="31800"/>
    <n v="271400"/>
    <n v="0.10504885993485343"/>
    <n v="0.99970000000000003"/>
    <n v="1.0067999999999999"/>
    <n v="0.99329999999999996"/>
    <n v="1.0157"/>
    <n v="1.0074000000000001"/>
    <n v="0.94971499999999998"/>
    <n v="0.971816657207489"/>
    <n v="234300"/>
    <n v="5000"/>
    <n v="239300"/>
    <n v="30200"/>
    <n v="269500"/>
    <n v="0.22717948717948719"/>
    <n v="-0.40316205533596838"/>
    <n v="9.7312703583061891E-2"/>
  </r>
  <r>
    <n v="2025"/>
    <s v="18132342504    "/>
    <n v="-1.0788096613719298"/>
    <n v="0.34"/>
    <n v="15015"/>
    <s v="6"/>
    <s v="RES"/>
    <x v="0"/>
    <s v="11"/>
    <s v="259"/>
    <s v="CU"/>
    <s v="E"/>
    <s v="VG"/>
    <x v="9"/>
    <n v="94"/>
    <n v="54"/>
    <n v="1930"/>
    <n v="1970"/>
    <n v="2561"/>
    <n v="907"/>
    <n v="837"/>
    <n v="0"/>
    <n v="837"/>
    <m/>
    <n v="4305"/>
    <n v="4500"/>
    <n v="16"/>
    <n v="484"/>
    <m/>
    <m/>
    <m/>
    <m/>
    <m/>
    <m/>
    <n v="1322352"/>
    <n v="925646"/>
    <n v="31447"/>
    <n v="842000"/>
    <n v="76900"/>
    <n v="765100"/>
    <n v="0"/>
    <n v="0"/>
    <n v="89850.625589999996"/>
    <n v="-34149.305288406773"/>
    <n v="315333.60131"/>
    <n v="284810.60806"/>
    <n v="-12044.462427"/>
    <n v="126535.603554997"/>
    <n v="40621.285534926996"/>
    <n v="0"/>
    <n v="24341.546321738999"/>
    <n v="60672.353683200003"/>
    <n v="0"/>
    <n v="31400"/>
    <n v="840300"/>
    <n v="55700"/>
    <n v="927400"/>
    <n v="0.10142517814726841"/>
    <n v="0.99970000000000003"/>
    <n v="1"/>
    <n v="1.0158"/>
    <n v="1"/>
    <n v="1.0074000000000001"/>
    <n v="0.94971499999999998"/>
    <n v="0.97185942867780006"/>
    <n v="840300"/>
    <n v="29900"/>
    <n v="870200"/>
    <n v="52900"/>
    <n v="923100"/>
    <n v="0.13736766435760031"/>
    <n v="-0.31209362808842656"/>
    <n v="9.6318289786223282E-2"/>
  </r>
  <r>
    <n v="2025"/>
    <s v="18132334007    "/>
    <n v="-1.5606477482646683"/>
    <n v="0.21"/>
    <n v="9100"/>
    <s v="6"/>
    <s v="RES"/>
    <x v="0"/>
    <s v="11"/>
    <s v="259"/>
    <s v="BG"/>
    <s v="F+"/>
    <s v="GD"/>
    <x v="9"/>
    <n v="94"/>
    <n v="54"/>
    <n v="1930"/>
    <n v="1970"/>
    <n v="929"/>
    <n v="310"/>
    <n v="613"/>
    <n v="613"/>
    <m/>
    <m/>
    <n v="1239"/>
    <n v="1500"/>
    <n v="5"/>
    <m/>
    <m/>
    <m/>
    <m/>
    <m/>
    <m/>
    <m/>
    <n v="210631"/>
    <n v="143229"/>
    <n v="9004"/>
    <n v="300900"/>
    <n v="60100"/>
    <n v="240800"/>
    <n v="0"/>
    <n v="0"/>
    <n v="89850.625589999996"/>
    <n v="-49401.70477837498"/>
    <n v="0"/>
    <n v="197752.34721000001"/>
    <n v="-12044.462427"/>
    <n v="45900.654315733002"/>
    <n v="13883.79108691"/>
    <n v="0"/>
    <n v="17827.201786410998"/>
    <n v="18960.110526"/>
    <n v="0"/>
    <n v="9000"/>
    <n v="282300"/>
    <n v="40400"/>
    <n v="331700"/>
    <n v="0.10235958790295779"/>
    <n v="0.99970000000000003"/>
    <n v="0.99180000000000001"/>
    <n v="0.99650000000000005"/>
    <n v="1.0157"/>
    <n v="1.0074000000000001"/>
    <n v="0.94971499999999998"/>
    <n v="0.96042200808210354"/>
    <n v="282300"/>
    <n v="8600"/>
    <n v="290900"/>
    <n v="38400"/>
    <n v="329300"/>
    <n v="0.2080564784053156"/>
    <n v="-0.36106489184692181"/>
    <n v="9.4383516118311736E-2"/>
  </r>
  <r>
    <n v="2025"/>
    <s v="18132332593    "/>
    <n v="-1.6607312068216509"/>
    <n v="0.19"/>
    <n v="8387"/>
    <s v="6"/>
    <s v="RES"/>
    <x v="0"/>
    <s v="11"/>
    <s v="259"/>
    <s v="CC"/>
    <s v="A+"/>
    <s v="GD"/>
    <x v="9"/>
    <n v="94"/>
    <n v="54"/>
    <n v="1930"/>
    <n v="1970"/>
    <n v="1080"/>
    <n v="760"/>
    <n v="1080"/>
    <n v="162"/>
    <n v="918"/>
    <m/>
    <n v="2758"/>
    <n v="3000"/>
    <n v="11"/>
    <m/>
    <m/>
    <n v="477"/>
    <m/>
    <m/>
    <m/>
    <m/>
    <n v="457825"/>
    <n v="311321"/>
    <n v="25100"/>
    <n v="412400"/>
    <n v="56600"/>
    <n v="355800"/>
    <n v="0"/>
    <n v="0"/>
    <n v="89850.625589999996"/>
    <n v="-52569.808201026557"/>
    <n v="29814.093161000001"/>
    <n v="197752.34721000001"/>
    <n v="-12044.462427"/>
    <n v="53361.363467160001"/>
    <n v="34037.68137436"/>
    <n v="0"/>
    <n v="31408.446866759998"/>
    <n v="41712.243157199999"/>
    <n v="15881.960786652002"/>
    <n v="25100"/>
    <n v="391900"/>
    <n v="37300"/>
    <n v="454300"/>
    <n v="0.1016003879728419"/>
    <n v="0.99970000000000003"/>
    <n v="1.0088999999999999"/>
    <n v="0.99650000000000005"/>
    <n v="0.96179999999999999"/>
    <n v="1.0074000000000001"/>
    <n v="0.94971499999999998"/>
    <n v="0.92513570316765814"/>
    <n v="391900"/>
    <n v="23800"/>
    <n v="415700"/>
    <n v="35400"/>
    <n v="451100"/>
    <n v="0.1683530073074761"/>
    <n v="-0.37455830388692579"/>
    <n v="9.384093113482056E-2"/>
  </r>
  <r>
    <n v="2025"/>
    <s v="18132242426    "/>
    <n v="-1.3093333199837622"/>
    <n v="0.27"/>
    <n v="11651"/>
    <s v="6"/>
    <s v="RES"/>
    <x v="0"/>
    <s v="11"/>
    <s v="259"/>
    <s v="CO"/>
    <s v="A"/>
    <s v="GD"/>
    <x v="9"/>
    <n v="94"/>
    <n v="54"/>
    <n v="1930"/>
    <n v="1970"/>
    <n v="1040"/>
    <n v="728"/>
    <n v="192"/>
    <n v="192"/>
    <m/>
    <m/>
    <n v="1768"/>
    <n v="2000"/>
    <n v="8"/>
    <m/>
    <m/>
    <n v="144"/>
    <m/>
    <m/>
    <m/>
    <m/>
    <n v="286361"/>
    <n v="194725"/>
    <n v="8760"/>
    <n v="353200"/>
    <n v="68900"/>
    <n v="284300"/>
    <n v="0"/>
    <n v="0"/>
    <n v="89850.625589999996"/>
    <n v="-41446.443120973789"/>
    <n v="21557.329055999999"/>
    <n v="197752.34721000001"/>
    <n v="-12044.462427"/>
    <n v="51385.016672080004"/>
    <n v="32604.515842807999"/>
    <n v="0"/>
    <n v="5583.7238874239993"/>
    <n v="30336.176841600001"/>
    <n v="4794.5541997440005"/>
    <n v="8800"/>
    <n v="332000"/>
    <n v="48400"/>
    <n v="389200"/>
    <n v="0.10192525481313704"/>
    <n v="0.99970000000000003"/>
    <n v="1.0067999999999999"/>
    <n v="0.99650000000000005"/>
    <n v="1.0093000000000001"/>
    <n v="1.0074000000000001"/>
    <n v="0.94971499999999998"/>
    <n v="0.96880423161964746"/>
    <n v="332000"/>
    <n v="8300"/>
    <n v="340300"/>
    <n v="46000"/>
    <n v="386300"/>
    <n v="0.1969750263805839"/>
    <n v="-0.33236574746008707"/>
    <n v="9.3714609286523212E-2"/>
  </r>
  <r>
    <n v="2025"/>
    <s v="18132242010    "/>
    <n v="-1.5606477482646683"/>
    <n v="0.21"/>
    <n v="9225"/>
    <s v="6"/>
    <s v="RES"/>
    <x v="0"/>
    <s v="11"/>
    <s v="259"/>
    <s v="TD"/>
    <s v="A"/>
    <s v="GD"/>
    <x v="9"/>
    <n v="94"/>
    <n v="54"/>
    <n v="1930"/>
    <n v="1970"/>
    <n v="1484"/>
    <m/>
    <n v="1432"/>
    <n v="1432"/>
    <n v="0"/>
    <m/>
    <n v="1484"/>
    <n v="1500"/>
    <n v="8"/>
    <m/>
    <m/>
    <m/>
    <m/>
    <m/>
    <m/>
    <m/>
    <n v="347013"/>
    <n v="235969"/>
    <n v="3318"/>
    <n v="360500"/>
    <n v="60100"/>
    <n v="300400"/>
    <n v="0"/>
    <n v="0"/>
    <n v="89850.625589999996"/>
    <n v="-49401.70477837498"/>
    <n v="21557.329055999999"/>
    <n v="197752.34721000001"/>
    <n v="-12044.462427"/>
    <n v="73322.466097468001"/>
    <n v="0"/>
    <n v="0"/>
    <n v="41645.273993703995"/>
    <n v="30336.176841600001"/>
    <n v="0"/>
    <n v="3300"/>
    <n v="352600"/>
    <n v="40400"/>
    <n v="396300"/>
    <n v="9.9306518723994458E-2"/>
    <n v="0.99970000000000003"/>
    <n v="1.0067999999999999"/>
    <n v="0.99650000000000005"/>
    <n v="1.0157"/>
    <n v="1.0074000000000001"/>
    <n v="0.94971499999999998"/>
    <n v="0.97494744680082823"/>
    <n v="352600"/>
    <n v="3200"/>
    <n v="355800"/>
    <n v="38400"/>
    <n v="394200"/>
    <n v="0.18442077230359522"/>
    <n v="-0.36106489184692181"/>
    <n v="9.3481276005547856E-2"/>
  </r>
  <r>
    <n v="2025"/>
    <s v="18132344490    "/>
    <n v="-1.8971199848858813"/>
    <n v="0.15"/>
    <m/>
    <s v="6"/>
    <s v="RES"/>
    <x v="0"/>
    <s v="11"/>
    <s v="259"/>
    <s v="BG"/>
    <s v="A"/>
    <s v="GD"/>
    <x v="9"/>
    <n v="94"/>
    <n v="54"/>
    <n v="1930"/>
    <n v="1970"/>
    <n v="1395"/>
    <n v="800"/>
    <n v="1008"/>
    <n v="0"/>
    <n v="1008"/>
    <m/>
    <n v="3203"/>
    <n v="3500"/>
    <n v="11"/>
    <m/>
    <m/>
    <n v="491"/>
    <m/>
    <m/>
    <m/>
    <m/>
    <n v="403165"/>
    <n v="274152"/>
    <n v="60017"/>
    <n v="443700"/>
    <n v="48400"/>
    <n v="395300"/>
    <n v="0"/>
    <n v="0"/>
    <n v="89850.625589999996"/>
    <n v="-60052.604136134301"/>
    <n v="21557.329055999999"/>
    <n v="197752.34721000001"/>
    <n v="-12044.462427"/>
    <n v="68925.094478415005"/>
    <n v="35829.138288800001"/>
    <n v="0"/>
    <n v="29314.550408976"/>
    <n v="41712.243157199999"/>
    <n v="16348.098000516002"/>
    <n v="60000"/>
    <n v="399400"/>
    <n v="29800"/>
    <n v="489200"/>
    <n v="0.10254676583276989"/>
    <n v="0.99970000000000003"/>
    <n v="1.0067999999999999"/>
    <n v="0.99650000000000005"/>
    <n v="1.0126999999999999"/>
    <n v="1.0074000000000001"/>
    <n v="0.94971499999999998"/>
    <n v="0.97206781468464976"/>
    <n v="399400"/>
    <n v="57000"/>
    <n v="456400"/>
    <n v="28300"/>
    <n v="484700"/>
    <n v="0.15456615228940046"/>
    <n v="-0.41528925619834711"/>
    <n v="9.2404778003155288E-2"/>
  </r>
  <r>
    <n v="2025"/>
    <s v="18132344475    "/>
    <n v="-1.8971199848858813"/>
    <n v="0.15"/>
    <m/>
    <s v="6"/>
    <s v="RES"/>
    <x v="0"/>
    <s v="11"/>
    <s v="259"/>
    <s v="BG"/>
    <s v="A"/>
    <s v="GD"/>
    <x v="9"/>
    <n v="94"/>
    <n v="54"/>
    <n v="1930"/>
    <n v="1970"/>
    <n v="1378"/>
    <m/>
    <n v="532"/>
    <n v="532"/>
    <m/>
    <m/>
    <n v="1378"/>
    <n v="1500"/>
    <n v="8"/>
    <m/>
    <m/>
    <m/>
    <m/>
    <m/>
    <m/>
    <m/>
    <n v="256514"/>
    <n v="174430"/>
    <n v="12719"/>
    <n v="331200"/>
    <n v="48400"/>
    <n v="282800"/>
    <n v="0"/>
    <n v="0"/>
    <n v="89850.625589999996"/>
    <n v="-60052.604136134301"/>
    <n v="21557.329055999999"/>
    <n v="197752.34721000001"/>
    <n v="-12044.462427"/>
    <n v="68085.147090505998"/>
    <n v="0"/>
    <n v="0"/>
    <n v="15471.568271403999"/>
    <n v="30336.176841600001"/>
    <n v="0"/>
    <n v="12700"/>
    <n v="321200"/>
    <n v="29800"/>
    <n v="363700"/>
    <n v="9.8128019323671503E-2"/>
    <n v="0.99970000000000003"/>
    <n v="1.0067999999999999"/>
    <n v="0.99650000000000005"/>
    <n v="1.0157"/>
    <n v="1.0074000000000001"/>
    <n v="0.94971499999999998"/>
    <n v="0.97494744680082823"/>
    <n v="321200"/>
    <n v="12100"/>
    <n v="333300"/>
    <n v="28300"/>
    <n v="361600"/>
    <n v="0.17857142857142858"/>
    <n v="-0.41528925619834711"/>
    <n v="9.1787439613526575E-2"/>
  </r>
  <r>
    <n v="2025"/>
    <s v="18132344444    "/>
    <n v="-1.8971199848858813"/>
    <n v="0.15"/>
    <n v="6500"/>
    <s v="6"/>
    <s v="RES"/>
    <x v="0"/>
    <s v="11"/>
    <s v="400"/>
    <s v="TD"/>
    <s v="A"/>
    <s v="AV"/>
    <x v="9"/>
    <n v="94"/>
    <n v="54"/>
    <n v="1930"/>
    <n v="1970"/>
    <n v="919"/>
    <m/>
    <n v="919"/>
    <n v="919"/>
    <m/>
    <m/>
    <n v="919"/>
    <n v="1000"/>
    <n v="5"/>
    <m/>
    <m/>
    <m/>
    <m/>
    <m/>
    <m/>
    <m/>
    <n v="184845"/>
    <n v="121998"/>
    <n v="3314"/>
    <n v="268100"/>
    <n v="48400"/>
    <n v="219700"/>
    <n v="0"/>
    <n v="0"/>
    <n v="89850.625589999996"/>
    <n v="-60052.604136134301"/>
    <n v="21557.329055999999"/>
    <n v="160472.20319"/>
    <n v="-12044.462427"/>
    <n v="45406.567616963002"/>
    <n v="0"/>
    <n v="0"/>
    <n v="26726.261731993"/>
    <n v="18960.110526"/>
    <n v="0"/>
    <n v="3300"/>
    <n v="261100"/>
    <n v="29800"/>
    <n v="294200"/>
    <n v="9.7351734427452444E-2"/>
    <n v="0.99970000000000003"/>
    <n v="1.0067999999999999"/>
    <n v="0.99729999999999996"/>
    <n v="1.0148999999999999"/>
    <n v="1.0074000000000001"/>
    <n v="0.94971499999999998"/>
    <n v="0.97496162582232004"/>
    <n v="261100"/>
    <n v="3100"/>
    <n v="264200"/>
    <n v="28300"/>
    <n v="292500"/>
    <n v="0.20254893035958124"/>
    <n v="-0.41528925619834711"/>
    <n v="9.1010816859380825E-2"/>
  </r>
  <r>
    <n v="2025"/>
    <s v="18132213050    "/>
    <n v="-1.6094379124341003"/>
    <n v="0.2"/>
    <n v="8851"/>
    <s v="6"/>
    <s v="RES"/>
    <x v="0"/>
    <s v="11"/>
    <s v="259"/>
    <s v="TD"/>
    <s v="A"/>
    <s v="GD"/>
    <x v="9"/>
    <n v="94"/>
    <n v="54"/>
    <n v="1930"/>
    <n v="1970"/>
    <n v="816"/>
    <m/>
    <n v="547"/>
    <n v="211"/>
    <n v="336"/>
    <m/>
    <n v="1152"/>
    <n v="1500"/>
    <n v="8"/>
    <m/>
    <m/>
    <m/>
    <m/>
    <m/>
    <m/>
    <m/>
    <n v="189897"/>
    <n v="129130"/>
    <n v="4877"/>
    <n v="307500"/>
    <n v="58400"/>
    <n v="249100"/>
    <n v="0"/>
    <n v="0"/>
    <n v="89850.625589999996"/>
    <n v="-50946.13867709865"/>
    <n v="21557.329055999999"/>
    <n v="197752.34721000001"/>
    <n v="-12044.462427"/>
    <n v="40317.474619631997"/>
    <n v="0"/>
    <n v="0"/>
    <n v="15907.796700109"/>
    <n v="30336.176841600001"/>
    <n v="0"/>
    <n v="4900"/>
    <n v="293800"/>
    <n v="38900"/>
    <n v="337600"/>
    <n v="9.7886178861788617E-2"/>
    <n v="0.99970000000000003"/>
    <n v="1.0067999999999999"/>
    <n v="0.99650000000000005"/>
    <n v="1.0157"/>
    <n v="1.0074000000000001"/>
    <n v="0.94971499999999998"/>
    <n v="0.97494744680082823"/>
    <n v="293800"/>
    <n v="4600"/>
    <n v="298400"/>
    <n v="36900"/>
    <n v="335300"/>
    <n v="0.19791248494580491"/>
    <n v="-0.36815068493150682"/>
    <n v="9.0406504065040652E-2"/>
  </r>
  <r>
    <n v="2025"/>
    <s v="18132332534    "/>
    <n v="-1.8325814637483102"/>
    <n v="0.16"/>
    <m/>
    <s v="6"/>
    <s v="RES"/>
    <x v="0"/>
    <s v="11"/>
    <s v="259"/>
    <s v="BG"/>
    <s v="A"/>
    <s v="GD"/>
    <x v="9"/>
    <n v="94"/>
    <n v="34"/>
    <n v="1930"/>
    <n v="1990"/>
    <n v="988"/>
    <m/>
    <n v="988"/>
    <n v="0"/>
    <n v="988"/>
    <m/>
    <n v="1976"/>
    <n v="2000"/>
    <n v="8"/>
    <m/>
    <m/>
    <n v="128"/>
    <m/>
    <m/>
    <m/>
    <m/>
    <n v="255708"/>
    <n v="217352"/>
    <n v="6227"/>
    <n v="330200"/>
    <n v="50600"/>
    <n v="279600"/>
    <n v="0"/>
    <n v="0"/>
    <n v="89850.625589999996"/>
    <n v="-58009.662049032086"/>
    <n v="21557.329055999999"/>
    <n v="197752.34721000001"/>
    <n v="-7583.5504170000004"/>
    <n v="48815.765838476"/>
    <n v="0"/>
    <n v="0"/>
    <n v="28732.912504035998"/>
    <n v="30336.176841600001"/>
    <n v="4261.8259553280004"/>
    <n v="6200"/>
    <n v="323900"/>
    <n v="31800"/>
    <n v="361900"/>
    <n v="9.6002422774076321E-2"/>
    <n v="0.99970000000000003"/>
    <n v="1.0067999999999999"/>
    <n v="0.99650000000000005"/>
    <n v="1.0093000000000001"/>
    <n v="1.0074000000000001"/>
    <n v="0.94971499999999998"/>
    <n v="0.96880423161964746"/>
    <n v="323900"/>
    <n v="5900"/>
    <n v="329800"/>
    <n v="30200"/>
    <n v="360000"/>
    <n v="0.17954220314735336"/>
    <n v="-0.40316205533596838"/>
    <n v="9.0248334342822534E-2"/>
  </r>
  <r>
    <n v="2025"/>
    <s v="18132334454    "/>
    <n v="-1.7719568419318752"/>
    <n v="0.17"/>
    <m/>
    <s v="6"/>
    <s v="RES"/>
    <x v="0"/>
    <s v="11"/>
    <s v="259"/>
    <s v="CC"/>
    <s v="A"/>
    <s v="AV"/>
    <x v="9"/>
    <n v="94"/>
    <n v="54"/>
    <n v="1930"/>
    <n v="1970"/>
    <n v="884"/>
    <n v="442"/>
    <n v="884"/>
    <n v="884"/>
    <n v="0"/>
    <m/>
    <n v="1326"/>
    <n v="1500"/>
    <n v="5"/>
    <m/>
    <m/>
    <m/>
    <m/>
    <m/>
    <m/>
    <m/>
    <n v="233237"/>
    <n v="153936"/>
    <n v="6724"/>
    <n v="290400"/>
    <n v="52700"/>
    <n v="237700"/>
    <n v="0"/>
    <n v="0"/>
    <n v="89850.625589999996"/>
    <n v="-56090.612940989391"/>
    <n v="21557.329055999999"/>
    <n v="160472.20319"/>
    <n v="-12044.462427"/>
    <n v="43677.264171267998"/>
    <n v="19795.598904562001"/>
    <n v="0"/>
    <n v="25708.395398347999"/>
    <n v="18960.110526"/>
    <n v="0"/>
    <n v="6700"/>
    <n v="278100"/>
    <n v="33800"/>
    <n v="318600"/>
    <n v="9.7107438016528921E-2"/>
    <n v="0.99970000000000003"/>
    <n v="1.0067999999999999"/>
    <n v="0.99729999999999996"/>
    <n v="1.0157"/>
    <n v="1.0074000000000001"/>
    <n v="0.94971499999999998"/>
    <n v="0.97573014419916293"/>
    <n v="278100"/>
    <n v="6400"/>
    <n v="284500"/>
    <n v="32100"/>
    <n v="316600"/>
    <n v="0.19688683214135466"/>
    <n v="-0.39089184060721061"/>
    <n v="9.0220385674931125E-2"/>
  </r>
  <r>
    <n v="2025"/>
    <s v="18132214029    "/>
    <n v="-1.7719568419318752"/>
    <n v="0.17"/>
    <n v="7422"/>
    <s v="6"/>
    <s v="RES"/>
    <x v="0"/>
    <s v="11"/>
    <s v="259"/>
    <s v="TD"/>
    <s v="A"/>
    <s v="GD"/>
    <x v="9"/>
    <n v="94"/>
    <n v="54"/>
    <n v="1930"/>
    <n v="1970"/>
    <n v="780"/>
    <m/>
    <n v="780"/>
    <n v="200"/>
    <n v="580"/>
    <m/>
    <n v="1360"/>
    <n v="1500"/>
    <n v="9"/>
    <m/>
    <m/>
    <m/>
    <m/>
    <m/>
    <m/>
    <m/>
    <n v="196244"/>
    <n v="133446"/>
    <n v="4877"/>
    <n v="312300"/>
    <n v="52700"/>
    <n v="259600"/>
    <n v="0"/>
    <n v="0"/>
    <n v="89850.625589999996"/>
    <n v="-56090.612940989391"/>
    <n v="21557.329055999999"/>
    <n v="197752.34721000001"/>
    <n v="-12044.462427"/>
    <n v="38538.762504060003"/>
    <n v="0"/>
    <n v="0"/>
    <n v="22683.87829266"/>
    <n v="34128.198946800003"/>
    <n v="0"/>
    <n v="4900"/>
    <n v="302600"/>
    <n v="33800"/>
    <n v="341300"/>
    <n v="9.285943003522254E-2"/>
    <n v="0.99970000000000003"/>
    <n v="1.0067999999999999"/>
    <n v="0.99650000000000005"/>
    <n v="1.0157"/>
    <n v="1.0074000000000001"/>
    <n v="0.94971499999999998"/>
    <n v="0.97494744680082823"/>
    <n v="302600"/>
    <n v="4600"/>
    <n v="307200"/>
    <n v="32100"/>
    <n v="339300"/>
    <n v="0.18335901386748846"/>
    <n v="-0.39089184060721061"/>
    <n v="8.645533141210375E-2"/>
  </r>
  <r>
    <n v="2025"/>
    <s v="18132331446    "/>
    <n v="-1.5141277326297755"/>
    <n v="0.22"/>
    <m/>
    <s v="6"/>
    <s v="RES"/>
    <x v="0"/>
    <s v="11"/>
    <s v="259"/>
    <s v="CL"/>
    <s v="A+"/>
    <s v="GD"/>
    <x v="9"/>
    <n v="94"/>
    <n v="54"/>
    <n v="1930"/>
    <n v="1970"/>
    <n v="1224"/>
    <n v="1024"/>
    <n v="304"/>
    <n v="304"/>
    <m/>
    <m/>
    <n v="2248"/>
    <n v="2500"/>
    <n v="7"/>
    <m/>
    <m/>
    <m/>
    <m/>
    <m/>
    <m/>
    <m/>
    <n v="361470"/>
    <n v="245800"/>
    <n v="6957"/>
    <n v="371800"/>
    <n v="61700"/>
    <n v="310100"/>
    <n v="0"/>
    <n v="0"/>
    <n v="89850.625589999996"/>
    <n v="-47929.131559187132"/>
    <n v="29814.093161000001"/>
    <n v="197752.34721000001"/>
    <n v="-12044.462427"/>
    <n v="60476.211929448"/>
    <n v="45861.297009663998"/>
    <n v="0"/>
    <n v="8840.8961550879994"/>
    <n v="26544.1547364"/>
    <n v="0"/>
    <n v="7000"/>
    <n v="357200"/>
    <n v="41900"/>
    <n v="406100"/>
    <n v="9.225389994620764E-2"/>
    <n v="0.99970000000000003"/>
    <n v="1.0088999999999999"/>
    <n v="0.99650000000000005"/>
    <n v="0.98919999999999997"/>
    <n v="1.0074000000000001"/>
    <n v="0.94971499999999998"/>
    <n v="0.95149120146958555"/>
    <n v="357200"/>
    <n v="6600"/>
    <n v="363800"/>
    <n v="39800"/>
    <n v="403600"/>
    <n v="0.17316994517897452"/>
    <n v="-0.35494327390599678"/>
    <n v="8.5529854760623997E-2"/>
  </r>
  <r>
    <n v="2025"/>
    <s v="18132331504    "/>
    <n v="-1.4271163556401458"/>
    <n v="0.24"/>
    <m/>
    <s v="6"/>
    <s v="RES"/>
    <x v="0"/>
    <s v="11"/>
    <s v="259"/>
    <s v="BG"/>
    <s v="G"/>
    <s v="GD"/>
    <x v="9"/>
    <n v="94"/>
    <n v="54"/>
    <n v="1930"/>
    <n v="1970"/>
    <n v="2080"/>
    <m/>
    <n v="2080"/>
    <n v="1380"/>
    <n v="700"/>
    <m/>
    <n v="2780"/>
    <n v="3000"/>
    <n v="8"/>
    <m/>
    <m/>
    <m/>
    <m/>
    <m/>
    <m/>
    <m/>
    <n v="573490"/>
    <n v="389973"/>
    <n v="26526"/>
    <n v="452400"/>
    <n v="64800"/>
    <n v="387600"/>
    <n v="0"/>
    <n v="0"/>
    <n v="89850.625589999996"/>
    <n v="-45174.819855485119"/>
    <n v="44121.038090000002"/>
    <n v="197752.34721000001"/>
    <n v="-12044.462427"/>
    <n v="102770.03334416001"/>
    <n v="0"/>
    <n v="0"/>
    <n v="60490.342113759994"/>
    <n v="30336.176841600001"/>
    <n v="0"/>
    <n v="26500"/>
    <n v="423400"/>
    <n v="44700"/>
    <n v="494600"/>
    <n v="9.3280282935455344E-2"/>
    <n v="0.99970000000000003"/>
    <n v="0.98050000000000004"/>
    <n v="0.99650000000000005"/>
    <n v="0.96179999999999999"/>
    <n v="1.0074000000000001"/>
    <n v="0.94971499999999998"/>
    <n v="0.89909362370491519"/>
    <n v="423400"/>
    <n v="25200"/>
    <n v="448600"/>
    <n v="42400"/>
    <n v="491000"/>
    <n v="0.15737874097007223"/>
    <n v="-0.34567901234567899"/>
    <n v="8.532272325375774E-2"/>
  </r>
  <r>
    <n v="2025"/>
    <s v="18132344006    "/>
    <n v="-2.2072749131897207"/>
    <n v="0.11"/>
    <n v="4957"/>
    <s v="6"/>
    <s v="RES"/>
    <x v="0"/>
    <s v="11"/>
    <s v="259"/>
    <s v="TD"/>
    <s v="A"/>
    <s v="AV"/>
    <x v="9"/>
    <n v="94"/>
    <n v="54"/>
    <n v="1930"/>
    <n v="1970"/>
    <n v="832"/>
    <m/>
    <n v="180"/>
    <n v="0"/>
    <n v="180"/>
    <m/>
    <n v="1012"/>
    <n v="1500"/>
    <n v="5"/>
    <m/>
    <m/>
    <n v="88"/>
    <m/>
    <m/>
    <m/>
    <m/>
    <n v="158089"/>
    <n v="104339"/>
    <n v="6227"/>
    <n v="242600"/>
    <n v="37600"/>
    <n v="205000"/>
    <n v="0"/>
    <n v="0"/>
    <n v="89850.625589999996"/>
    <n v="-69870.439211769743"/>
    <n v="21557.329055999999"/>
    <n v="160472.20319"/>
    <n v="-12044.462427"/>
    <n v="41108.013337664001"/>
    <n v="0"/>
    <n v="0"/>
    <n v="5234.7411444599993"/>
    <n v="18960.110526"/>
    <n v="2930.0053442880003"/>
    <n v="6200"/>
    <n v="238200"/>
    <n v="20000"/>
    <n v="264400"/>
    <n v="8.9859851607584501E-2"/>
    <n v="0.99970000000000003"/>
    <n v="1.0067999999999999"/>
    <n v="0.99729999999999996"/>
    <n v="1.0157"/>
    <n v="1.0074000000000001"/>
    <n v="0.94971499999999998"/>
    <n v="0.97573014419916293"/>
    <n v="238200"/>
    <n v="5900"/>
    <n v="244100"/>
    <n v="19000"/>
    <n v="263100"/>
    <n v="0.19073170731707317"/>
    <n v="-0.49468085106382981"/>
    <n v="8.4501236603462496E-2"/>
  </r>
  <r>
    <n v="2025"/>
    <s v="18132332531    "/>
    <n v="-1.3470736479666092"/>
    <n v="0.26"/>
    <m/>
    <s v="6"/>
    <s v="RES"/>
    <x v="0"/>
    <s v="11"/>
    <s v="259"/>
    <s v="BG"/>
    <s v="G"/>
    <s v="GD"/>
    <x v="9"/>
    <n v="94"/>
    <n v="54"/>
    <n v="1930"/>
    <n v="1970"/>
    <n v="1337"/>
    <m/>
    <n v="1205"/>
    <n v="604"/>
    <n v="601"/>
    <m/>
    <n v="1938"/>
    <n v="2000"/>
    <n v="7"/>
    <m/>
    <m/>
    <m/>
    <m/>
    <m/>
    <m/>
    <m/>
    <n v="363696"/>
    <n v="247313"/>
    <n v="7601"/>
    <n v="377700"/>
    <n v="67600"/>
    <n v="310100"/>
    <n v="0"/>
    <n v="0"/>
    <n v="89850.625589999996"/>
    <n v="-42641.098701210125"/>
    <n v="44121.038090000002"/>
    <n v="197752.34721000001"/>
    <n v="-12044.462427"/>
    <n v="66059.391625549004"/>
    <n v="0"/>
    <n v="0"/>
    <n v="35043.683772634999"/>
    <n v="26544.1547364"/>
    <n v="0"/>
    <n v="7600"/>
    <n v="357500"/>
    <n v="47200"/>
    <n v="412300"/>
    <n v="9.1607095578501455E-2"/>
    <n v="0.99970000000000003"/>
    <n v="0.98050000000000004"/>
    <n v="0.99650000000000005"/>
    <n v="1.0093000000000001"/>
    <n v="1.0074000000000001"/>
    <n v="0.94971499999999998"/>
    <n v="0.94349677105985763"/>
    <n v="357500"/>
    <n v="7200"/>
    <n v="364700"/>
    <n v="44800"/>
    <n v="409500"/>
    <n v="0.17607223476297967"/>
    <n v="-0.33727810650887574"/>
    <n v="8.4193804606830819E-2"/>
  </r>
  <r>
    <n v="2025"/>
    <s v="18132324444    "/>
    <n v="-1.8325814637483102"/>
    <n v="0.16"/>
    <m/>
    <s v="6"/>
    <s v="RES"/>
    <x v="0"/>
    <s v="11"/>
    <s v="259"/>
    <s v="MS"/>
    <s v="A+"/>
    <s v="AV"/>
    <x v="9"/>
    <n v="94"/>
    <n v="54"/>
    <n v="1930"/>
    <n v="1970"/>
    <n v="1370"/>
    <m/>
    <n v="1010"/>
    <n v="1010"/>
    <m/>
    <m/>
    <n v="1370"/>
    <n v="1500"/>
    <n v="5"/>
    <m/>
    <m/>
    <m/>
    <m/>
    <m/>
    <m/>
    <m/>
    <n v="300947"/>
    <n v="198625"/>
    <n v="6227"/>
    <n v="304900"/>
    <n v="50600"/>
    <n v="254300"/>
    <n v="0"/>
    <n v="0"/>
    <n v="89850.625589999996"/>
    <n v="-58009.662049032086"/>
    <n v="29814.093161000001"/>
    <n v="160472.20319"/>
    <n v="-12044.462427"/>
    <n v="67689.877731490007"/>
    <n v="0"/>
    <n v="0"/>
    <n v="29372.71419947"/>
    <n v="18960.110526"/>
    <n v="0"/>
    <n v="6200"/>
    <n v="294300"/>
    <n v="31800"/>
    <n v="332300"/>
    <n v="8.9865529681862899E-2"/>
    <n v="0.99970000000000003"/>
    <n v="1.0088999999999999"/>
    <n v="0.99729999999999996"/>
    <n v="1.0157"/>
    <n v="1.0074000000000001"/>
    <n v="0.94971499999999998"/>
    <n v="0.97776533818289202"/>
    <n v="294300"/>
    <n v="5900"/>
    <n v="300200"/>
    <n v="30200"/>
    <n v="330400"/>
    <n v="0.18049547778214706"/>
    <n v="-0.40316205533596838"/>
    <n v="8.3633978353558541E-2"/>
  </r>
  <r>
    <n v="2025"/>
    <s v="18132331052    "/>
    <n v="-1.8325814637483102"/>
    <n v="0.16"/>
    <n v="6975"/>
    <s v="6"/>
    <s v="RES"/>
    <x v="0"/>
    <s v="11"/>
    <s v="259"/>
    <s v="BG"/>
    <s v="A"/>
    <s v="GD"/>
    <x v="9"/>
    <n v="94"/>
    <n v="54"/>
    <n v="1930"/>
    <n v="1970"/>
    <n v="982"/>
    <m/>
    <n v="648"/>
    <n v="0"/>
    <n v="648"/>
    <m/>
    <n v="1630"/>
    <n v="2000"/>
    <n v="5"/>
    <n v="180"/>
    <m/>
    <m/>
    <m/>
    <m/>
    <m/>
    <m/>
    <n v="227605"/>
    <n v="154771"/>
    <n v="0"/>
    <n v="299200"/>
    <n v="50600"/>
    <n v="248600"/>
    <n v="0"/>
    <n v="0"/>
    <n v="89850.625589999996"/>
    <n v="-58009.662049032086"/>
    <n v="21557.329055999999"/>
    <n v="197752.34721000001"/>
    <n v="-12044.462427"/>
    <n v="48519.313819214003"/>
    <n v="0"/>
    <n v="0"/>
    <n v="18845.068120055999"/>
    <n v="18960.110526"/>
    <n v="0"/>
    <n v="0"/>
    <n v="293600"/>
    <n v="31800"/>
    <n v="325400"/>
    <n v="8.7566844919786099E-2"/>
    <n v="0.99970000000000003"/>
    <n v="1.0067999999999999"/>
    <n v="0.99650000000000005"/>
    <n v="1.0093000000000001"/>
    <n v="1.0074000000000001"/>
    <n v="0.94971499999999998"/>
    <n v="0.96880423161964746"/>
    <n v="293600"/>
    <n v="0"/>
    <n v="293600"/>
    <n v="30200"/>
    <n v="323800"/>
    <n v="0.18101367658889783"/>
    <n v="-0.40316205533596838"/>
    <n v="8.2219251336898391E-2"/>
  </r>
  <r>
    <n v="2025"/>
    <s v="18132244484    "/>
    <n v="-1.6094379124341003"/>
    <n v="0.2"/>
    <n v="8630"/>
    <s v="6"/>
    <s v="RES"/>
    <x v="0"/>
    <s v="11"/>
    <s v="259"/>
    <s v="TD"/>
    <s v="A"/>
    <s v="GD"/>
    <x v="9"/>
    <n v="94"/>
    <n v="54"/>
    <n v="1930"/>
    <n v="1970"/>
    <n v="720"/>
    <m/>
    <n v="432"/>
    <n v="0"/>
    <n v="432"/>
    <m/>
    <n v="1152"/>
    <n v="1500"/>
    <n v="5"/>
    <m/>
    <m/>
    <m/>
    <m/>
    <m/>
    <m/>
    <m/>
    <n v="164785"/>
    <n v="112054"/>
    <n v="0"/>
    <n v="287700"/>
    <n v="58400"/>
    <n v="229300"/>
    <n v="0"/>
    <n v="0"/>
    <n v="89850.625589999996"/>
    <n v="-50946.13867709865"/>
    <n v="21557.329055999999"/>
    <n v="197752.34721000001"/>
    <n v="-12044.462427"/>
    <n v="35574.242311440001"/>
    <n v="0"/>
    <n v="0"/>
    <n v="12563.378746704"/>
    <n v="18960.110526"/>
    <n v="0"/>
    <n v="0"/>
    <n v="274400"/>
    <n v="38900"/>
    <n v="313300"/>
    <n v="8.8981578032672926E-2"/>
    <n v="0.99970000000000003"/>
    <n v="1.0067999999999999"/>
    <n v="0.99650000000000005"/>
    <n v="1.0157"/>
    <n v="1.0074000000000001"/>
    <n v="0.94971499999999998"/>
    <n v="0.97494744680082823"/>
    <n v="274400"/>
    <n v="0"/>
    <n v="274400"/>
    <n v="36900"/>
    <n v="311300"/>
    <n v="0.1966855647623201"/>
    <n v="-0.36815068493150682"/>
    <n v="8.2029892248870348E-2"/>
  </r>
  <r>
    <n v="2025"/>
    <s v="18132212012    "/>
    <n v="-0.77652878949899629"/>
    <n v="0.46"/>
    <n v="19992"/>
    <s v="6"/>
    <s v="RES"/>
    <x v="0"/>
    <s v="11"/>
    <s v="259"/>
    <s v="CC"/>
    <s v="A"/>
    <s v="GD"/>
    <x v="9"/>
    <n v="94"/>
    <n v="39"/>
    <n v="1930"/>
    <n v="1985"/>
    <n v="696"/>
    <n v="540"/>
    <n v="696"/>
    <n v="519"/>
    <n v="177"/>
    <m/>
    <n v="1413"/>
    <n v="1500"/>
    <n v="9"/>
    <m/>
    <m/>
    <m/>
    <m/>
    <m/>
    <m/>
    <m/>
    <n v="239027"/>
    <n v="193612"/>
    <n v="8098"/>
    <n v="363600"/>
    <n v="87500"/>
    <n v="276100"/>
    <n v="0"/>
    <n v="0"/>
    <n v="89850.625589999996"/>
    <n v="-24580.720443414604"/>
    <n v="21557.329055999999"/>
    <n v="197752.34721000001"/>
    <n v="-8698.7784195000004"/>
    <n v="34388.434234392"/>
    <n v="24184.668344940001"/>
    <n v="0"/>
    <n v="20240.999091911999"/>
    <n v="34128.198946800003"/>
    <n v="0"/>
    <n v="8100"/>
    <n v="323600"/>
    <n v="65300"/>
    <n v="397000"/>
    <n v="9.1859185918591865E-2"/>
    <n v="0.99970000000000003"/>
    <n v="1.0067999999999999"/>
    <n v="0.99650000000000005"/>
    <n v="1.0157"/>
    <n v="1.0074000000000001"/>
    <n v="0.94971499999999998"/>
    <n v="0.97494744680082823"/>
    <n v="323600"/>
    <n v="7700"/>
    <n v="331300"/>
    <n v="62000"/>
    <n v="393300"/>
    <n v="0.19992756247736326"/>
    <n v="-0.29142857142857143"/>
    <n v="8.1683168316831686E-2"/>
  </r>
  <r>
    <n v="2025"/>
    <s v="18132331452    "/>
    <n v="-1.8971199848858813"/>
    <n v="0.15"/>
    <m/>
    <s v="6"/>
    <s v="RES"/>
    <x v="0"/>
    <s v="11"/>
    <s v="259"/>
    <s v="TD"/>
    <s v="A"/>
    <s v="AV"/>
    <x v="9"/>
    <n v="94"/>
    <n v="54"/>
    <n v="1930"/>
    <n v="1970"/>
    <n v="868"/>
    <m/>
    <n v="868"/>
    <n v="608"/>
    <n v="260"/>
    <m/>
    <n v="1128"/>
    <n v="1500"/>
    <n v="5"/>
    <m/>
    <m/>
    <m/>
    <m/>
    <m/>
    <m/>
    <m/>
    <n v="186114"/>
    <n v="122835"/>
    <n v="6866"/>
    <n v="270200"/>
    <n v="48400"/>
    <n v="221800"/>
    <n v="0"/>
    <n v="0"/>
    <n v="89850.625589999996"/>
    <n v="-60052.604136134301"/>
    <n v="21557.329055999999"/>
    <n v="160472.20319"/>
    <n v="-12044.462427"/>
    <n v="42886.725453236002"/>
    <n v="0"/>
    <n v="0"/>
    <n v="25243.085074396"/>
    <n v="18960.110526"/>
    <n v="0"/>
    <n v="6900"/>
    <n v="257100"/>
    <n v="29800"/>
    <n v="293800"/>
    <n v="8.7342709104367131E-2"/>
    <n v="0.99970000000000003"/>
    <n v="1.0067999999999999"/>
    <n v="0.99729999999999996"/>
    <n v="1.0157"/>
    <n v="1.0074000000000001"/>
    <n v="0.94971499999999998"/>
    <n v="0.97573014419916293"/>
    <n v="257100"/>
    <n v="6500"/>
    <n v="263600"/>
    <n v="28300"/>
    <n v="291900"/>
    <n v="0.1884580703336339"/>
    <n v="-0.41528925619834711"/>
    <n v="8.0310880829015538E-2"/>
  </r>
  <r>
    <n v="2025"/>
    <s v="18132323464    "/>
    <n v="-1.2729656758128873"/>
    <n v="0.28000000000000003"/>
    <m/>
    <s v="6"/>
    <s v="RES"/>
    <x v="0"/>
    <s v="11"/>
    <s v="259"/>
    <s v="FH"/>
    <s v="A"/>
    <s v="FR"/>
    <x v="9"/>
    <n v="94"/>
    <n v="54"/>
    <n v="1930"/>
    <n v="1970"/>
    <n v="896"/>
    <n v="896"/>
    <n v="896"/>
    <n v="896"/>
    <m/>
    <m/>
    <n v="1792"/>
    <n v="2000"/>
    <n v="5"/>
    <m/>
    <m/>
    <n v="112"/>
    <m/>
    <m/>
    <m/>
    <m/>
    <n v="294585"/>
    <n v="188534"/>
    <n v="7015"/>
    <n v="305700"/>
    <n v="70100"/>
    <n v="235600"/>
    <n v="0"/>
    <n v="0"/>
    <n v="89850.625589999996"/>
    <n v="-40295.239319339329"/>
    <n v="21557.329055999999"/>
    <n v="133714.53821"/>
    <n v="-12044.462427"/>
    <n v="44270.168209791998"/>
    <n v="40128.634883455998"/>
    <n v="0"/>
    <n v="26057.378141311998"/>
    <n v="18960.110526"/>
    <n v="3729.0977109120004"/>
    <n v="7000"/>
    <n v="276400"/>
    <n v="49600"/>
    <n v="333000"/>
    <n v="8.9303238469087345E-2"/>
    <n v="0.99970000000000003"/>
    <n v="1.0067999999999999"/>
    <n v="0.99329999999999996"/>
    <n v="1.0093000000000001"/>
    <n v="1.0074000000000001"/>
    <n v="0.94971499999999998"/>
    <n v="0.96569316936055771"/>
    <n v="276400"/>
    <n v="6700"/>
    <n v="283100"/>
    <n v="47100"/>
    <n v="330200"/>
    <n v="0.20161290322580644"/>
    <n v="-0.32810271041369471"/>
    <n v="8.0143931959437351E-2"/>
  </r>
  <r>
    <n v="2025"/>
    <s v="18132323443    "/>
    <n v="-1.5606477482646683"/>
    <n v="0.21"/>
    <m/>
    <s v="6"/>
    <s v="RES"/>
    <x v="0"/>
    <s v="11"/>
    <s v="259"/>
    <s v="RN"/>
    <s v="A"/>
    <s v="AV"/>
    <x v="9"/>
    <n v="94"/>
    <n v="54"/>
    <n v="1930"/>
    <n v="1970"/>
    <n v="1364"/>
    <m/>
    <n v="1364"/>
    <n v="1364"/>
    <n v="0"/>
    <m/>
    <n v="1364"/>
    <n v="1500"/>
    <n v="6"/>
    <m/>
    <m/>
    <n v="180"/>
    <m/>
    <m/>
    <m/>
    <m/>
    <n v="277496"/>
    <n v="183147"/>
    <n v="0"/>
    <n v="318900"/>
    <n v="60100"/>
    <n v="258800"/>
    <n v="0"/>
    <n v="0"/>
    <n v="89850.625589999996"/>
    <n v="-49401.70477837498"/>
    <n v="21557.329055999999"/>
    <n v="160472.20319"/>
    <n v="-12044.462427"/>
    <n v="67393.425712227996"/>
    <n v="0"/>
    <n v="0"/>
    <n v="39667.705116908"/>
    <n v="22752.132631200002"/>
    <n v="5993.1927496800008"/>
    <n v="0"/>
    <n v="305800"/>
    <n v="40400"/>
    <n v="346200"/>
    <n v="8.5606773283160867E-2"/>
    <n v="0.99970000000000003"/>
    <n v="1.0067999999999999"/>
    <n v="0.99729999999999996"/>
    <n v="1.0157"/>
    <n v="1.0074000000000001"/>
    <n v="0.94971499999999998"/>
    <n v="0.97573014419916293"/>
    <n v="305800"/>
    <n v="0"/>
    <n v="305800"/>
    <n v="38400"/>
    <n v="344200"/>
    <n v="0.18160741885625967"/>
    <n v="-0.36106489184692181"/>
    <n v="7.9335214800878018E-2"/>
  </r>
  <r>
    <n v="2025"/>
    <s v="18132332480    "/>
    <n v="-1.4696759700589417"/>
    <n v="0.23"/>
    <n v="10125"/>
    <s v="6"/>
    <s v="RES"/>
    <x v="0"/>
    <s v="11"/>
    <s v="259"/>
    <s v="MS"/>
    <s v="A"/>
    <s v="AV"/>
    <x v="9"/>
    <n v="94"/>
    <n v="54"/>
    <n v="1930"/>
    <n v="1970"/>
    <n v="1020"/>
    <m/>
    <n v="670"/>
    <n v="670"/>
    <m/>
    <m/>
    <n v="1020"/>
    <n v="1500"/>
    <n v="5"/>
    <n v="288"/>
    <m/>
    <m/>
    <m/>
    <m/>
    <m/>
    <m/>
    <n v="212676"/>
    <n v="140366"/>
    <n v="0"/>
    <n v="278100"/>
    <n v="63300"/>
    <n v="214800"/>
    <n v="0"/>
    <n v="0"/>
    <n v="89850.625589999996"/>
    <n v="-46522.028095997222"/>
    <n v="21557.329055999999"/>
    <n v="160472.20319"/>
    <n v="-12044.462427"/>
    <n v="50396.843274539999"/>
    <n v="0"/>
    <n v="0"/>
    <n v="19484.869815489998"/>
    <n v="18960.110526"/>
    <n v="0"/>
    <n v="0"/>
    <n v="258800"/>
    <n v="43300"/>
    <n v="302100"/>
    <n v="8.629989212513485E-2"/>
    <n v="0.99970000000000003"/>
    <n v="1.0067999999999999"/>
    <n v="0.99729999999999996"/>
    <n v="1.0157"/>
    <n v="1.0074000000000001"/>
    <n v="0.94971499999999998"/>
    <n v="0.97573014419916293"/>
    <n v="258800"/>
    <n v="0"/>
    <n v="258800"/>
    <n v="41100"/>
    <n v="299900"/>
    <n v="0.2048417132216015"/>
    <n v="-0.35071090047393366"/>
    <n v="7.8389068680330812E-2"/>
  </r>
  <r>
    <n v="2025"/>
    <s v="18132332559    "/>
    <n v="-1.5141277326297755"/>
    <n v="0.22"/>
    <m/>
    <s v="6"/>
    <s v="RES"/>
    <x v="0"/>
    <s v="11"/>
    <s v="259"/>
    <s v="CC"/>
    <s v="A+"/>
    <s v="GD"/>
    <x v="9"/>
    <n v="94"/>
    <n v="34"/>
    <n v="1930"/>
    <n v="1990"/>
    <n v="1128"/>
    <n v="564"/>
    <n v="1128"/>
    <n v="447"/>
    <n v="681"/>
    <m/>
    <n v="2373"/>
    <n v="2500"/>
    <n v="10"/>
    <m/>
    <m/>
    <m/>
    <m/>
    <m/>
    <m/>
    <m/>
    <n v="383594"/>
    <n v="326055"/>
    <n v="8588"/>
    <n v="389900"/>
    <n v="61700"/>
    <n v="328200"/>
    <n v="0"/>
    <n v="0"/>
    <n v="89850.625589999996"/>
    <n v="-47929.131559187132"/>
    <n v="29814.093161000001"/>
    <n v="197752.34721000001"/>
    <n v="-7583.5504170000004"/>
    <n v="55732.979621256003"/>
    <n v="25259.542493604"/>
    <n v="0"/>
    <n v="32804.377838615997"/>
    <n v="37920.221052000001"/>
    <n v="0"/>
    <n v="8600"/>
    <n v="371700"/>
    <n v="41900"/>
    <n v="422200"/>
    <n v="8.2841754295973333E-2"/>
    <n v="0.99970000000000003"/>
    <n v="1.0088999999999999"/>
    <n v="0.99650000000000005"/>
    <n v="0.98919999999999997"/>
    <n v="1.0074000000000001"/>
    <n v="0.94971499999999998"/>
    <n v="0.95149120146958555"/>
    <n v="371700"/>
    <n v="8200"/>
    <n v="379900"/>
    <n v="39800"/>
    <n v="419700"/>
    <n v="0.15752589884216942"/>
    <n v="-0.35494327390599678"/>
    <n v="7.6429853808668888E-2"/>
  </r>
  <r>
    <n v="2025"/>
    <s v="18132344024    "/>
    <n v="-1.8971199848858813"/>
    <n v="0.15"/>
    <n v="6559"/>
    <s v="6"/>
    <s v="RES"/>
    <x v="0"/>
    <s v="11"/>
    <s v="259"/>
    <s v="TD"/>
    <s v="A"/>
    <s v="AV"/>
    <x v="9"/>
    <n v="94"/>
    <n v="54"/>
    <n v="1930"/>
    <n v="1970"/>
    <n v="970"/>
    <m/>
    <n v="245"/>
    <n v="245"/>
    <m/>
    <m/>
    <n v="970"/>
    <n v="1000"/>
    <n v="5"/>
    <m/>
    <m/>
    <m/>
    <m/>
    <m/>
    <m/>
    <m/>
    <n v="172383"/>
    <n v="113773"/>
    <n v="7092"/>
    <n v="259200"/>
    <n v="48400"/>
    <n v="210800"/>
    <n v="0"/>
    <n v="0"/>
    <n v="89850.625589999996"/>
    <n v="-60052.604136134301"/>
    <n v="21557.329055999999"/>
    <n v="160472.20319"/>
    <n v="-12044.462427"/>
    <n v="47926.409780690003"/>
    <n v="0"/>
    <n v="0"/>
    <n v="7125.0643355149996"/>
    <n v="18960.110526"/>
    <n v="0"/>
    <n v="7100"/>
    <n v="244000"/>
    <n v="29800"/>
    <n v="280900"/>
    <n v="8.3719135802469133E-2"/>
    <n v="0.99970000000000003"/>
    <n v="1.0067999999999999"/>
    <n v="0.99729999999999996"/>
    <n v="1.0148999999999999"/>
    <n v="1.0074000000000001"/>
    <n v="0.94971499999999998"/>
    <n v="0.97496162582232004"/>
    <n v="244000"/>
    <n v="6700"/>
    <n v="250700"/>
    <n v="28300"/>
    <n v="279000"/>
    <n v="0.18927893738140417"/>
    <n v="-0.41528925619834711"/>
    <n v="7.6388888888888895E-2"/>
  </r>
  <r>
    <n v="2025"/>
    <s v="18132342011    "/>
    <n v="-1.3862943611198906"/>
    <n v="0.25"/>
    <n v="11106"/>
    <s v="6"/>
    <s v="RES"/>
    <x v="0"/>
    <s v="11"/>
    <s v="259"/>
    <s v="CO"/>
    <s v="G+"/>
    <s v="AV"/>
    <x v="9"/>
    <n v="94"/>
    <n v="54"/>
    <n v="1930"/>
    <n v="1970"/>
    <n v="1291"/>
    <n v="967"/>
    <n v="1117"/>
    <n v="848"/>
    <n v="269"/>
    <n v="336"/>
    <n v="2863"/>
    <n v="3000"/>
    <n v="14"/>
    <n v="672"/>
    <m/>
    <n v="1059"/>
    <m/>
    <m/>
    <m/>
    <m/>
    <n v="690921"/>
    <n v="462917"/>
    <n v="0"/>
    <n v="479800"/>
    <n v="66200"/>
    <n v="413600"/>
    <n v="0"/>
    <n v="0"/>
    <n v="89850.625589999996"/>
    <n v="-43882.615305165229"/>
    <n v="74268.409664999999"/>
    <n v="160472.20319"/>
    <n v="-12044.462427"/>
    <n v="63786.592811207003"/>
    <n v="43308.470906586997"/>
    <n v="21871.809473136003"/>
    <n v="32484.476990898998"/>
    <n v="53088.3094728"/>
    <n v="35259.950677284003"/>
    <n v="0"/>
    <n v="472500"/>
    <n v="46000"/>
    <n v="518500"/>
    <n v="8.0658607753230513E-2"/>
    <n v="0.99970000000000003"/>
    <n v="0.98380000000000001"/>
    <n v="0.99729999999999996"/>
    <n v="0.96179999999999999"/>
    <n v="1.0074000000000001"/>
    <n v="0.94971499999999998"/>
    <n v="0.90284387049931569"/>
    <n v="472500"/>
    <n v="0"/>
    <n v="472500"/>
    <n v="43700"/>
    <n v="516200"/>
    <n v="0.14240812379110251"/>
    <n v="-0.33987915407854985"/>
    <n v="7.5864943726552725E-2"/>
  </r>
  <r>
    <n v="2025"/>
    <s v="18132342403    "/>
    <n v="-1.5606477482646683"/>
    <n v="0.21"/>
    <m/>
    <s v="6"/>
    <s v="RES"/>
    <x v="0"/>
    <s v="11"/>
    <s v="259"/>
    <s v="CO"/>
    <s v="G"/>
    <s v="GD"/>
    <x v="9"/>
    <n v="94"/>
    <n v="54"/>
    <n v="1930"/>
    <n v="1970"/>
    <n v="1662"/>
    <n v="800"/>
    <n v="1416"/>
    <n v="1416"/>
    <m/>
    <m/>
    <n v="2462"/>
    <n v="2500"/>
    <n v="9"/>
    <m/>
    <m/>
    <m/>
    <m/>
    <m/>
    <m/>
    <m/>
    <n v="522739"/>
    <n v="355463"/>
    <n v="9380"/>
    <n v="437300"/>
    <n v="60100"/>
    <n v="377200"/>
    <n v="0"/>
    <n v="0"/>
    <n v="89850.625589999996"/>
    <n v="-49401.70477837498"/>
    <n v="44121.038090000002"/>
    <n v="197752.34721000001"/>
    <n v="-12044.462427"/>
    <n v="82117.209335574007"/>
    <n v="35829.138288800001"/>
    <n v="0"/>
    <n v="41179.963669751996"/>
    <n v="34128.198946800003"/>
    <n v="0"/>
    <n v="9400"/>
    <n v="423100"/>
    <n v="40400"/>
    <n v="472900"/>
    <n v="8.1408643951520698E-2"/>
    <n v="0.99970000000000003"/>
    <n v="0.98050000000000004"/>
    <n v="0.99650000000000005"/>
    <n v="0.98919999999999997"/>
    <n v="1.0074000000000001"/>
    <n v="0.94971499999999998"/>
    <n v="0.9247072287054503"/>
    <n v="423100"/>
    <n v="8900"/>
    <n v="432000"/>
    <n v="38400"/>
    <n v="470400"/>
    <n v="0.14528101802757157"/>
    <n v="-0.36106489184692181"/>
    <n v="7.5691744797621766E-2"/>
  </r>
  <r>
    <n v="2025"/>
    <s v="18132344439    "/>
    <n v="-1.8971199848858813"/>
    <n v="0.15"/>
    <m/>
    <s v="6"/>
    <s v="RES"/>
    <x v="0"/>
    <s v="11"/>
    <s v="259"/>
    <s v="BG"/>
    <s v="A"/>
    <s v="GD"/>
    <x v="9"/>
    <n v="94"/>
    <n v="54"/>
    <n v="1930"/>
    <n v="1970"/>
    <n v="1074"/>
    <m/>
    <n v="805"/>
    <n v="0"/>
    <n v="805"/>
    <m/>
    <n v="1879"/>
    <n v="2000"/>
    <n v="5"/>
    <m/>
    <m/>
    <m/>
    <m/>
    <m/>
    <m/>
    <m/>
    <n v="243227"/>
    <n v="165394"/>
    <n v="9380"/>
    <n v="316000"/>
    <n v="48400"/>
    <n v="267600"/>
    <n v="0"/>
    <n v="0"/>
    <n v="89850.625589999996"/>
    <n v="-60052.604136134301"/>
    <n v="21557.329055999999"/>
    <n v="197752.34721000001"/>
    <n v="-12044.462427"/>
    <n v="53064.911447898005"/>
    <n v="0"/>
    <n v="0"/>
    <n v="23410.925673834998"/>
    <n v="18960.110526"/>
    <n v="0"/>
    <n v="9400"/>
    <n v="302700"/>
    <n v="29800"/>
    <n v="341900"/>
    <n v="8.1962025316455703E-2"/>
    <n v="0.99970000000000003"/>
    <n v="1.0067999999999999"/>
    <n v="0.99650000000000005"/>
    <n v="1.0093000000000001"/>
    <n v="1.0074000000000001"/>
    <n v="0.94971499999999998"/>
    <n v="0.96880423161964746"/>
    <n v="302700"/>
    <n v="8900"/>
    <n v="311600"/>
    <n v="28300"/>
    <n v="339900"/>
    <n v="0.16442451420029897"/>
    <n v="-0.41528925619834711"/>
    <n v="7.5632911392405064E-2"/>
  </r>
  <r>
    <n v="2025"/>
    <s v="18132324468    "/>
    <n v="-1.8325814637483102"/>
    <n v="0.16"/>
    <m/>
    <s v="6"/>
    <s v="RES"/>
    <x v="0"/>
    <s v="11"/>
    <s v="259"/>
    <s v="BG"/>
    <s v="A+"/>
    <s v="GD"/>
    <x v="9"/>
    <n v="94"/>
    <n v="54"/>
    <n v="1930"/>
    <n v="1970"/>
    <n v="1288"/>
    <m/>
    <n v="644"/>
    <n v="0"/>
    <n v="644"/>
    <m/>
    <n v="1932"/>
    <n v="2000"/>
    <n v="6"/>
    <m/>
    <m/>
    <m/>
    <m/>
    <m/>
    <m/>
    <m/>
    <n v="301205"/>
    <n v="204819"/>
    <n v="3913"/>
    <n v="329600"/>
    <n v="50600"/>
    <n v="279000"/>
    <n v="0"/>
    <n v="0"/>
    <n v="89850.625589999996"/>
    <n v="-58009.662049032086"/>
    <n v="29814.093161000001"/>
    <n v="197752.34721000001"/>
    <n v="-12044.462427"/>
    <n v="63638.366801576005"/>
    <n v="0"/>
    <n v="0"/>
    <n v="18728.740539068"/>
    <n v="22752.132631200002"/>
    <n v="0"/>
    <n v="3900"/>
    <n v="320600"/>
    <n v="31800"/>
    <n v="356300"/>
    <n v="8.1007281553398064E-2"/>
    <n v="0.99970000000000003"/>
    <n v="1.0088999999999999"/>
    <n v="0.99650000000000005"/>
    <n v="1.0093000000000001"/>
    <n v="1.0074000000000001"/>
    <n v="0.94971499999999998"/>
    <n v="0.97082497942099955"/>
    <n v="320600"/>
    <n v="3700"/>
    <n v="324300"/>
    <n v="30200"/>
    <n v="354500"/>
    <n v="0.16236559139784945"/>
    <n v="-0.40316205533596838"/>
    <n v="7.5546116504854363E-2"/>
  </r>
  <r>
    <n v="2025"/>
    <s v="18132332444    "/>
    <n v="-1.5606477482646683"/>
    <n v="0.21"/>
    <n v="8930"/>
    <s v="6"/>
    <s v="RES"/>
    <x v="0"/>
    <s v="11"/>
    <s v="400"/>
    <s v="TD"/>
    <s v="A"/>
    <s v="GD"/>
    <x v="9"/>
    <n v="94"/>
    <n v="54"/>
    <n v="1930"/>
    <n v="1970"/>
    <n v="784"/>
    <m/>
    <n v="784"/>
    <n v="0"/>
    <n v="784"/>
    <m/>
    <n v="1568"/>
    <n v="2000"/>
    <n v="6"/>
    <m/>
    <m/>
    <m/>
    <m/>
    <m/>
    <m/>
    <m/>
    <n v="204548"/>
    <n v="139093"/>
    <n v="11574"/>
    <n v="317700"/>
    <n v="60100"/>
    <n v="257600"/>
    <n v="0"/>
    <n v="0"/>
    <n v="89850.625589999996"/>
    <n v="-49401.70477837498"/>
    <n v="21557.329055999999"/>
    <n v="197752.34721000001"/>
    <n v="-12044.462427"/>
    <n v="38736.397183567999"/>
    <n v="0"/>
    <n v="0"/>
    <n v="22800.205873647999"/>
    <n v="22752.132631200002"/>
    <n v="0"/>
    <n v="11600"/>
    <n v="291600"/>
    <n v="40400"/>
    <n v="343600"/>
    <n v="8.1523449795404476E-2"/>
    <n v="0.99970000000000003"/>
    <n v="1.0067999999999999"/>
    <n v="0.99650000000000005"/>
    <n v="1.0093000000000001"/>
    <n v="1.0074000000000001"/>
    <n v="0.94971499999999998"/>
    <n v="0.96880423161964746"/>
    <n v="291600"/>
    <n v="11000"/>
    <n v="302600"/>
    <n v="38400"/>
    <n v="341000"/>
    <n v="0.17468944099378883"/>
    <n v="-0.36106489184692181"/>
    <n v="7.3339628580421784E-2"/>
  </r>
  <r>
    <n v="2025"/>
    <s v="18132333420    "/>
    <n v="-1.9661128563728327"/>
    <n v="0.14000000000000001"/>
    <n v="6175"/>
    <s v="6"/>
    <s v="RES"/>
    <x v="0"/>
    <s v="11"/>
    <s v="259"/>
    <s v="BG"/>
    <s v="A+"/>
    <s v="GD"/>
    <x v="9"/>
    <n v="94"/>
    <n v="54"/>
    <n v="1930"/>
    <n v="1970"/>
    <n v="1347"/>
    <n v="315"/>
    <n v="948"/>
    <n v="284"/>
    <n v="664"/>
    <m/>
    <n v="2326"/>
    <n v="2500"/>
    <n v="10"/>
    <m/>
    <n v="399"/>
    <m/>
    <m/>
    <m/>
    <m/>
    <m/>
    <n v="396756"/>
    <n v="269794"/>
    <n v="0"/>
    <n v="361500"/>
    <n v="46000"/>
    <n v="315500"/>
    <n v="0"/>
    <n v="0"/>
    <n v="89850.625589999996"/>
    <n v="-62236.546971921947"/>
    <n v="29814.093161000001"/>
    <n v="197752.34721000001"/>
    <n v="-12044.462427"/>
    <n v="66553.478324319003"/>
    <n v="14107.723201215"/>
    <n v="0"/>
    <n v="27569.636694155997"/>
    <n v="37920.221052000001"/>
    <n v="0"/>
    <n v="0"/>
    <n v="361700"/>
    <n v="27600"/>
    <n v="389300"/>
    <n v="7.6901798063623794E-2"/>
    <n v="0.99970000000000003"/>
    <n v="1.0088999999999999"/>
    <n v="0.99650000000000005"/>
    <n v="0.98919999999999997"/>
    <n v="1.0074000000000001"/>
    <n v="0.94971499999999998"/>
    <n v="0.95149120146958555"/>
    <n v="361700"/>
    <n v="0"/>
    <n v="361700"/>
    <n v="26200"/>
    <n v="387900"/>
    <n v="0.14643423137876388"/>
    <n v="-0.43043478260869567"/>
    <n v="7.3029045643153531E-2"/>
  </r>
  <r>
    <n v="2025"/>
    <s v="18132241433    "/>
    <n v="-1.6094379124341003"/>
    <n v="0.2"/>
    <n v="8519"/>
    <s v="6"/>
    <s v="RES"/>
    <x v="0"/>
    <s v="11"/>
    <s v="259"/>
    <s v="CP"/>
    <s v="G"/>
    <s v="GD"/>
    <x v="9"/>
    <n v="94"/>
    <n v="54"/>
    <n v="1930"/>
    <n v="1970"/>
    <n v="1436"/>
    <m/>
    <n v="477"/>
    <n v="0"/>
    <n v="477"/>
    <m/>
    <n v="1913"/>
    <n v="2000"/>
    <n v="10"/>
    <m/>
    <m/>
    <m/>
    <m/>
    <m/>
    <m/>
    <m/>
    <n v="380872"/>
    <n v="258993"/>
    <n v="7218"/>
    <n v="369500"/>
    <n v="58400"/>
    <n v="311100"/>
    <n v="0"/>
    <n v="0"/>
    <n v="89850.625589999996"/>
    <n v="-50946.13867709865"/>
    <n v="44121.038090000002"/>
    <n v="197752.34721000001"/>
    <n v="-12044.462427"/>
    <n v="70950.849943371999"/>
    <n v="0"/>
    <n v="0"/>
    <n v="13872.064032818998"/>
    <n v="37920.221052000001"/>
    <n v="0"/>
    <n v="7200"/>
    <n v="352600"/>
    <n v="38900"/>
    <n v="398700"/>
    <n v="7.9025710419485792E-2"/>
    <n v="0.99970000000000003"/>
    <n v="0.98050000000000004"/>
    <n v="0.99650000000000005"/>
    <n v="1.0093000000000001"/>
    <n v="1.0074000000000001"/>
    <n v="0.94971499999999998"/>
    <n v="0.94349677105985763"/>
    <n v="352600"/>
    <n v="6900"/>
    <n v="359500"/>
    <n v="36900"/>
    <n v="396400"/>
    <n v="0.15557698489231758"/>
    <n v="-0.36815068493150682"/>
    <n v="7.2801082543978352E-2"/>
  </r>
  <r>
    <n v="2025"/>
    <s v="18132313485    "/>
    <n v="-1.8971199848858813"/>
    <n v="0.15"/>
    <n v="6719"/>
    <s v="6"/>
    <s v="RES"/>
    <x v="0"/>
    <s v="11"/>
    <s v="259"/>
    <s v="BG"/>
    <s v="A"/>
    <s v="GD"/>
    <x v="9"/>
    <n v="94"/>
    <n v="54"/>
    <n v="1930"/>
    <n v="1970"/>
    <n v="1380"/>
    <m/>
    <n v="1048"/>
    <n v="0"/>
    <n v="1048"/>
    <m/>
    <n v="2428"/>
    <n v="2500"/>
    <n v="8"/>
    <m/>
    <m/>
    <n v="360"/>
    <m/>
    <m/>
    <m/>
    <m/>
    <n v="320611"/>
    <n v="218015"/>
    <n v="8104"/>
    <n v="358300"/>
    <n v="48400"/>
    <n v="309900"/>
    <n v="0"/>
    <n v="0"/>
    <n v="89850.625589999996"/>
    <n v="-60052.604136134301"/>
    <n v="21557.329055999999"/>
    <n v="197752.34721000001"/>
    <n v="-12044.462427"/>
    <n v="68183.964430260006"/>
    <n v="0"/>
    <n v="0"/>
    <n v="30477.826218856"/>
    <n v="30336.176841600001"/>
    <n v="11986.385499360002"/>
    <n v="8100"/>
    <n v="348200"/>
    <n v="29800"/>
    <n v="386100"/>
    <n v="7.7588612894222725E-2"/>
    <n v="0.99970000000000003"/>
    <n v="1.0067999999999999"/>
    <n v="0.99650000000000005"/>
    <n v="0.98919999999999997"/>
    <n v="1.0074000000000001"/>
    <n v="0.94971499999999998"/>
    <n v="0.94951069644125163"/>
    <n v="348200"/>
    <n v="7700"/>
    <n v="355900"/>
    <n v="28300"/>
    <n v="384200"/>
    <n v="0.1484349790254921"/>
    <n v="-0.41528925619834711"/>
    <n v="7.2285794027351385E-2"/>
  </r>
  <r>
    <n v="2025"/>
    <s v="18132331521    "/>
    <n v="-1.2378743560016174"/>
    <n v="0.28999999999999998"/>
    <m/>
    <s v="6"/>
    <s v="RES"/>
    <x v="0"/>
    <s v="11"/>
    <s v="259"/>
    <s v="CC"/>
    <s v="G"/>
    <s v="GD"/>
    <x v="9"/>
    <n v="94"/>
    <n v="54"/>
    <n v="1930"/>
    <n v="1970"/>
    <n v="1312"/>
    <n v="868"/>
    <n v="1312"/>
    <n v="918"/>
    <n v="394"/>
    <m/>
    <n v="2574"/>
    <n v="3000"/>
    <n v="8"/>
    <m/>
    <m/>
    <m/>
    <m/>
    <m/>
    <m/>
    <m/>
    <n v="520709"/>
    <n v="354082"/>
    <n v="11955"/>
    <n v="430500"/>
    <n v="71400"/>
    <n v="359100"/>
    <n v="0"/>
    <n v="0"/>
    <n v="89850.625589999996"/>
    <n v="-39184.437074869042"/>
    <n v="44121.038090000002"/>
    <n v="197752.34721000001"/>
    <n v="-12044.462427"/>
    <n v="64824.174878623999"/>
    <n v="38874.615043348"/>
    <n v="0"/>
    <n v="38155.446564063997"/>
    <n v="30336.176841600001"/>
    <n v="0"/>
    <n v="12000"/>
    <n v="402000"/>
    <n v="50700"/>
    <n v="464700"/>
    <n v="7.9442508710801399E-2"/>
    <n v="0.99970000000000003"/>
    <n v="0.98050000000000004"/>
    <n v="0.99650000000000005"/>
    <n v="0.96179999999999999"/>
    <n v="1.0074000000000001"/>
    <n v="0.94971499999999998"/>
    <n v="0.89909362370491519"/>
    <n v="402000"/>
    <n v="11400"/>
    <n v="413400"/>
    <n v="48100"/>
    <n v="461500"/>
    <n v="0.15121136173767752"/>
    <n v="-0.32633053221288516"/>
    <n v="7.2009291521486649E-2"/>
  </r>
  <r>
    <n v="2025"/>
    <s v="18132344477    "/>
    <n v="-1.8971199848858813"/>
    <n v="0.15"/>
    <m/>
    <s v="6"/>
    <s v="RES"/>
    <x v="0"/>
    <s v="11"/>
    <s v="400"/>
    <s v="CO"/>
    <s v="A+"/>
    <s v="AV"/>
    <x v="9"/>
    <n v="94"/>
    <n v="54"/>
    <n v="1930"/>
    <n v="1970"/>
    <n v="1110"/>
    <n v="498"/>
    <n v="750"/>
    <n v="750"/>
    <m/>
    <m/>
    <n v="1608"/>
    <n v="2000"/>
    <n v="8"/>
    <m/>
    <m/>
    <m/>
    <m/>
    <m/>
    <m/>
    <m/>
    <n v="332624"/>
    <n v="219532"/>
    <n v="0"/>
    <n v="313300"/>
    <n v="48400"/>
    <n v="264900"/>
    <n v="0"/>
    <n v="0"/>
    <n v="89850.625589999996"/>
    <n v="-60052.604136134301"/>
    <n v="29814.093161000001"/>
    <n v="160472.20319"/>
    <n v="-12044.462427"/>
    <n v="54843.623563469999"/>
    <n v="22303.638584778"/>
    <n v="0"/>
    <n v="21811.421435249998"/>
    <n v="30336.176841600001"/>
    <n v="0"/>
    <n v="0"/>
    <n v="307500"/>
    <n v="29800"/>
    <n v="337300"/>
    <n v="7.6603894031279929E-2"/>
    <n v="0.99970000000000003"/>
    <n v="1.0088999999999999"/>
    <n v="0.99729999999999996"/>
    <n v="1.0093000000000001"/>
    <n v="1.0074000000000001"/>
    <n v="0.94971499999999998"/>
    <n v="0.97160436726197974"/>
    <n v="307500"/>
    <n v="0"/>
    <n v="307500"/>
    <n v="28300"/>
    <n v="335800"/>
    <n v="0.16081540203850508"/>
    <n v="-0.41528925619834711"/>
    <n v="7.1816150654324923E-2"/>
  </r>
  <r>
    <n v="2025"/>
    <s v="18132244491    "/>
    <n v="-1.5141277326297755"/>
    <n v="0.22"/>
    <n v="9550"/>
    <s v="6"/>
    <s v="RES"/>
    <x v="0"/>
    <s v="11"/>
    <s v="259"/>
    <s v="CO"/>
    <s v="A+"/>
    <s v="GD"/>
    <x v="9"/>
    <n v="94"/>
    <n v="54"/>
    <n v="1930"/>
    <n v="1970"/>
    <n v="894"/>
    <n v="450"/>
    <n v="894"/>
    <n v="10"/>
    <n v="884"/>
    <m/>
    <n v="2228"/>
    <n v="2500"/>
    <n v="8"/>
    <m/>
    <m/>
    <n v="308"/>
    <m/>
    <m/>
    <m/>
    <m/>
    <n v="339414"/>
    <n v="230802"/>
    <n v="11109"/>
    <n v="370600"/>
    <n v="61700"/>
    <n v="308900"/>
    <n v="0"/>
    <n v="0"/>
    <n v="89850.625589999996"/>
    <n v="-47929.131559187132"/>
    <n v="29814.093161000001"/>
    <n v="197752.34721000001"/>
    <n v="-12044.462427"/>
    <n v="44171.350870038004"/>
    <n v="20153.890287449998"/>
    <n v="0"/>
    <n v="25999.214350817998"/>
    <n v="30336.176841600001"/>
    <n v="10255.018705008"/>
    <n v="11100"/>
    <n v="346400"/>
    <n v="41900"/>
    <n v="399400"/>
    <n v="7.7711818672423091E-2"/>
    <n v="0.99970000000000003"/>
    <n v="1.0088999999999999"/>
    <n v="0.99650000000000005"/>
    <n v="0.98919999999999997"/>
    <n v="1.0074000000000001"/>
    <n v="0.94971499999999998"/>
    <n v="0.95149120146958555"/>
    <n v="346400"/>
    <n v="10600"/>
    <n v="357000"/>
    <n v="39800"/>
    <n v="396800"/>
    <n v="0.1557138232437682"/>
    <n v="-0.35494327390599678"/>
    <n v="7.0696168375607119E-2"/>
  </r>
  <r>
    <n v="2025"/>
    <s v="18132331482    "/>
    <n v="-1.5606477482646683"/>
    <n v="0.21"/>
    <m/>
    <s v="6"/>
    <s v="RES"/>
    <x v="0"/>
    <s v="11"/>
    <s v="259"/>
    <s v="CC"/>
    <s v="G"/>
    <s v="GD"/>
    <x v="9"/>
    <n v="94"/>
    <n v="34"/>
    <n v="1930"/>
    <n v="1990"/>
    <n v="1347"/>
    <n v="1050"/>
    <n v="1347"/>
    <n v="47"/>
    <n v="1300"/>
    <m/>
    <n v="3697"/>
    <n v="4000"/>
    <n v="13"/>
    <m/>
    <m/>
    <m/>
    <m/>
    <m/>
    <m/>
    <m/>
    <n v="593301"/>
    <n v="504306"/>
    <n v="40713"/>
    <n v="479800"/>
    <n v="60100"/>
    <n v="419700"/>
    <n v="0"/>
    <n v="0"/>
    <n v="89850.625589999996"/>
    <n v="-49401.70477837498"/>
    <n v="44121.038090000002"/>
    <n v="197752.34721000001"/>
    <n v="-7583.5504170000004"/>
    <n v="66553.478324319003"/>
    <n v="47025.744004050001"/>
    <n v="0"/>
    <n v="39173.312897708995"/>
    <n v="49296.287367600002"/>
    <n v="0"/>
    <n v="40700"/>
    <n v="436300"/>
    <n v="40400"/>
    <n v="517400"/>
    <n v="7.8365985827428097E-2"/>
    <n v="0.99970000000000003"/>
    <n v="0.98050000000000004"/>
    <n v="0.99650000000000005"/>
    <n v="0.94579999999999997"/>
    <n v="1.0074000000000001"/>
    <n v="0.94971499999999998"/>
    <n v="0.88413677406956614"/>
    <n v="436300"/>
    <n v="38700"/>
    <n v="475000"/>
    <n v="38400"/>
    <n v="513400"/>
    <n v="0.1317607815106028"/>
    <n v="-0.36106489184692181"/>
    <n v="7.0029178824510208E-2"/>
  </r>
  <r>
    <n v="2025"/>
    <s v="18132214474    "/>
    <n v="-1.5606477482646683"/>
    <n v="0.21"/>
    <n v="8989"/>
    <s v="6"/>
    <s v="RES"/>
    <x v="0"/>
    <s v="11"/>
    <s v="259"/>
    <s v="RN"/>
    <s v="A"/>
    <s v="GD"/>
    <x v="9"/>
    <n v="94"/>
    <n v="54"/>
    <n v="1930"/>
    <n v="1970"/>
    <n v="1490"/>
    <m/>
    <m/>
    <n v="0"/>
    <m/>
    <m/>
    <n v="1490"/>
    <n v="1500"/>
    <n v="9"/>
    <m/>
    <m/>
    <m/>
    <m/>
    <m/>
    <m/>
    <m/>
    <n v="241347"/>
    <n v="164116"/>
    <n v="4877"/>
    <n v="334600"/>
    <n v="60100"/>
    <n v="274500"/>
    <n v="0"/>
    <n v="0"/>
    <n v="89850.625589999996"/>
    <n v="-49401.70477837498"/>
    <n v="21557.329055999999"/>
    <n v="197752.34721000001"/>
    <n v="-12044.462427"/>
    <n v="73618.918116729998"/>
    <n v="0"/>
    <n v="0"/>
    <n v="0"/>
    <n v="34128.198946800003"/>
    <n v="0"/>
    <n v="4900"/>
    <n v="315000"/>
    <n v="40400"/>
    <n v="360300"/>
    <n v="7.6808129109384338E-2"/>
    <n v="0.99970000000000003"/>
    <n v="1.0067999999999999"/>
    <n v="0.99650000000000005"/>
    <n v="1.0157"/>
    <n v="1.0074000000000001"/>
    <n v="0.94971499999999998"/>
    <n v="0.97494744680082823"/>
    <n v="315000"/>
    <n v="4600"/>
    <n v="319600"/>
    <n v="38400"/>
    <n v="358000"/>
    <n v="0.16429872495446265"/>
    <n v="-0.36106489184692181"/>
    <n v="6.9934249850567842E-2"/>
  </r>
  <r>
    <n v="2025"/>
    <s v="18132343415    "/>
    <n v="-1.0216512475319814"/>
    <n v="0.36"/>
    <n v="15815"/>
    <s v="6"/>
    <s v="RES"/>
    <x v="0"/>
    <s v="11"/>
    <s v="259"/>
    <s v="CL"/>
    <s v="A"/>
    <s v="GD"/>
    <x v="9"/>
    <n v="94"/>
    <n v="54"/>
    <n v="1930"/>
    <n v="1970"/>
    <n v="1096"/>
    <n v="925"/>
    <n v="875"/>
    <n v="725"/>
    <n v="150"/>
    <m/>
    <n v="2171"/>
    <n v="2500"/>
    <n v="12"/>
    <m/>
    <m/>
    <m/>
    <m/>
    <m/>
    <m/>
    <m/>
    <n v="340572"/>
    <n v="231589"/>
    <n v="13675"/>
    <n v="412600"/>
    <n v="78900"/>
    <n v="333700"/>
    <n v="0"/>
    <n v="0"/>
    <n v="89850.625589999996"/>
    <n v="-32339.977661938148"/>
    <n v="21557.329055999999"/>
    <n v="197752.34721000001"/>
    <n v="-12044.462427"/>
    <n v="54151.902185192004"/>
    <n v="41427.441146425001"/>
    <n v="0"/>
    <n v="25446.658341124999"/>
    <n v="45504.265262400004"/>
    <n v="0"/>
    <n v="13700"/>
    <n v="373800"/>
    <n v="57500"/>
    <n v="445000"/>
    <n v="7.8526417838099855E-2"/>
    <n v="0.99970000000000003"/>
    <n v="1.0067999999999999"/>
    <n v="0.99650000000000005"/>
    <n v="0.98919999999999997"/>
    <n v="1.0074000000000001"/>
    <n v="0.94971499999999998"/>
    <n v="0.94951069644125163"/>
    <n v="373800"/>
    <n v="13000"/>
    <n v="386800"/>
    <n v="54600"/>
    <n v="441400"/>
    <n v="0.15912496254120467"/>
    <n v="-0.30798479087452474"/>
    <n v="6.9801260300533199E-2"/>
  </r>
  <r>
    <n v="2025"/>
    <s v="18132331512    "/>
    <n v="-1.3470736479666092"/>
    <n v="0.26"/>
    <m/>
    <s v="6"/>
    <s v="RES"/>
    <x v="0"/>
    <s v="11"/>
    <s v="259"/>
    <s v="CC"/>
    <s v="G"/>
    <s v="GD"/>
    <x v="9"/>
    <n v="94"/>
    <n v="54"/>
    <n v="1930"/>
    <n v="1970"/>
    <n v="1428"/>
    <n v="710"/>
    <n v="1428"/>
    <n v="714"/>
    <n v="714"/>
    <m/>
    <n v="2852"/>
    <n v="3000"/>
    <n v="8"/>
    <m/>
    <m/>
    <m/>
    <m/>
    <m/>
    <m/>
    <m/>
    <n v="539633"/>
    <n v="366950"/>
    <n v="14793"/>
    <n v="432800"/>
    <n v="67600"/>
    <n v="365200"/>
    <n v="0"/>
    <n v="0"/>
    <n v="89850.625589999996"/>
    <n v="-42641.098701210125"/>
    <n v="44121.038090000002"/>
    <n v="197752.34721000001"/>
    <n v="-12044.462427"/>
    <n v="70555.580584356008"/>
    <n v="31798.360231309998"/>
    <n v="0"/>
    <n v="41528.946412715995"/>
    <n v="30336.176841600001"/>
    <n v="0"/>
    <n v="14800"/>
    <n v="404000"/>
    <n v="47200"/>
    <n v="466000"/>
    <n v="7.6709796672828096E-2"/>
    <n v="0.99970000000000003"/>
    <n v="0.98050000000000004"/>
    <n v="0.99650000000000005"/>
    <n v="0.96179999999999999"/>
    <n v="1.0074000000000001"/>
    <n v="0.94971499999999998"/>
    <n v="0.89909362370491519"/>
    <n v="404000"/>
    <n v="14000"/>
    <n v="418000"/>
    <n v="44800"/>
    <n v="462800"/>
    <n v="0.14457831325301204"/>
    <n v="-0.33727810650887574"/>
    <n v="6.9316081330868765E-2"/>
  </r>
  <r>
    <n v="2025"/>
    <s v="18132334460    "/>
    <n v="-1.7719568419318752"/>
    <n v="0.17"/>
    <m/>
    <s v="6"/>
    <s v="RES"/>
    <x v="0"/>
    <s v="11"/>
    <s v="259"/>
    <s v="BG"/>
    <s v="A+"/>
    <s v="GD"/>
    <x v="9"/>
    <n v="94"/>
    <n v="54"/>
    <n v="1930"/>
    <n v="1970"/>
    <n v="870"/>
    <n v="200"/>
    <n v="870"/>
    <n v="0"/>
    <n v="870"/>
    <m/>
    <n v="1940"/>
    <n v="2000"/>
    <n v="8"/>
    <m/>
    <m/>
    <m/>
    <m/>
    <m/>
    <m/>
    <m/>
    <n v="306305"/>
    <n v="208287"/>
    <n v="10670"/>
    <n v="341700"/>
    <n v="52700"/>
    <n v="289000"/>
    <n v="0"/>
    <n v="0"/>
    <n v="89850.625589999996"/>
    <n v="-56090.612940989391"/>
    <n v="29814.093161000001"/>
    <n v="197752.34721000001"/>
    <n v="-12044.462427"/>
    <n v="42985.542792990003"/>
    <n v="8957.2845722000002"/>
    <n v="0"/>
    <n v="25301.24886489"/>
    <n v="30336.176841600001"/>
    <n v="0"/>
    <n v="10700"/>
    <n v="323100"/>
    <n v="33800"/>
    <n v="367600"/>
    <n v="7.5797483172373434E-2"/>
    <n v="0.99970000000000003"/>
    <n v="1.0088999999999999"/>
    <n v="0.99650000000000005"/>
    <n v="1.0093000000000001"/>
    <n v="1.0074000000000001"/>
    <n v="0.94971499999999998"/>
    <n v="0.97082497942099955"/>
    <n v="323100"/>
    <n v="10100"/>
    <n v="333200"/>
    <n v="32100"/>
    <n v="365300"/>
    <n v="0.15294117647058825"/>
    <n v="-0.39089184060721061"/>
    <n v="6.9066432543166523E-2"/>
  </r>
  <r>
    <n v="2025"/>
    <s v="18132213046    "/>
    <n v="-1.5606477482646683"/>
    <n v="0.21"/>
    <n v="9000"/>
    <s v="6"/>
    <s v="RES"/>
    <x v="0"/>
    <s v="11"/>
    <s v="259"/>
    <s v="MS"/>
    <s v="A"/>
    <s v="GD"/>
    <x v="9"/>
    <n v="94"/>
    <n v="54"/>
    <n v="1930"/>
    <n v="1970"/>
    <n v="864"/>
    <m/>
    <n v="720"/>
    <n v="0"/>
    <n v="720"/>
    <m/>
    <n v="1584"/>
    <n v="2000"/>
    <n v="9"/>
    <m/>
    <m/>
    <m/>
    <m/>
    <m/>
    <m/>
    <m/>
    <n v="226949"/>
    <n v="154325"/>
    <n v="3222"/>
    <n v="324200"/>
    <n v="60100"/>
    <n v="264100"/>
    <n v="0"/>
    <n v="0"/>
    <n v="89850.625589999996"/>
    <n v="-49401.70477837498"/>
    <n v="21557.329055999999"/>
    <n v="197752.34721000001"/>
    <n v="-12044.462427"/>
    <n v="42689.090773727999"/>
    <n v="0"/>
    <n v="0"/>
    <n v="20938.964577839997"/>
    <n v="34128.198946800003"/>
    <n v="0"/>
    <n v="3200"/>
    <n v="305000"/>
    <n v="40400"/>
    <n v="348600"/>
    <n v="7.5262183837137564E-2"/>
    <n v="0.99970000000000003"/>
    <n v="1.0067999999999999"/>
    <n v="0.99650000000000005"/>
    <n v="1.0093000000000001"/>
    <n v="1.0074000000000001"/>
    <n v="0.94971499999999998"/>
    <n v="0.96880423161964746"/>
    <n v="305000"/>
    <n v="3100"/>
    <n v="308100"/>
    <n v="38400"/>
    <n v="346500"/>
    <n v="0.16660355925785686"/>
    <n v="-0.36106489184692181"/>
    <n v="6.8784700801974089E-2"/>
  </r>
  <r>
    <n v="2025"/>
    <s v="18132333455    "/>
    <n v="-1.4271163556401458"/>
    <n v="0.24"/>
    <m/>
    <s v="6"/>
    <s v="RES"/>
    <x v="0"/>
    <s v="11"/>
    <s v="259"/>
    <s v="TD"/>
    <s v="A"/>
    <s v="GD"/>
    <x v="9"/>
    <n v="94"/>
    <n v="54"/>
    <n v="1930"/>
    <n v="1970"/>
    <n v="1088"/>
    <m/>
    <n v="1088"/>
    <n v="536"/>
    <n v="552"/>
    <m/>
    <n v="1640"/>
    <n v="2000"/>
    <n v="7"/>
    <m/>
    <m/>
    <m/>
    <m/>
    <m/>
    <m/>
    <m/>
    <n v="260823"/>
    <n v="177360"/>
    <n v="5261"/>
    <n v="343200"/>
    <n v="64800"/>
    <n v="278400"/>
    <n v="0"/>
    <n v="0"/>
    <n v="89850.625589999996"/>
    <n v="-45174.819855485119"/>
    <n v="21557.329055999999"/>
    <n v="197752.34721000001"/>
    <n v="-12044.462427"/>
    <n v="53756.632826175999"/>
    <n v="0"/>
    <n v="0"/>
    <n v="31641.102028735997"/>
    <n v="26544.1547364"/>
    <n v="0"/>
    <n v="5300"/>
    <n v="319200"/>
    <n v="44700"/>
    <n v="369200"/>
    <n v="7.575757575757576E-2"/>
    <n v="0.99970000000000003"/>
    <n v="1.0067999999999999"/>
    <n v="0.99650000000000005"/>
    <n v="1.0093000000000001"/>
    <n v="1.0074000000000001"/>
    <n v="0.94971499999999998"/>
    <n v="0.96880423161964746"/>
    <n v="319200"/>
    <n v="5000"/>
    <n v="324200"/>
    <n v="42400"/>
    <n v="366600"/>
    <n v="0.16451149425287356"/>
    <n v="-0.34567901234567899"/>
    <n v="6.8181818181818177E-2"/>
  </r>
  <r>
    <n v="2025"/>
    <s v="18132333425    "/>
    <n v="-1.3470736479666092"/>
    <n v="0.26"/>
    <m/>
    <s v="6"/>
    <s v="RES"/>
    <x v="0"/>
    <s v="11"/>
    <s v="259"/>
    <s v="CO"/>
    <s v="A"/>
    <s v="GD"/>
    <x v="9"/>
    <n v="94"/>
    <n v="54"/>
    <n v="1930"/>
    <n v="1970"/>
    <n v="1584"/>
    <n v="480"/>
    <n v="858"/>
    <n v="214"/>
    <n v="644"/>
    <m/>
    <n v="2708"/>
    <n v="3000"/>
    <n v="10"/>
    <m/>
    <m/>
    <n v="168"/>
    <m/>
    <m/>
    <m/>
    <m/>
    <n v="365932"/>
    <n v="248834"/>
    <n v="17092"/>
    <n v="408800"/>
    <n v="67600"/>
    <n v="341200"/>
    <n v="0"/>
    <n v="0"/>
    <n v="89850.625589999996"/>
    <n v="-42641.098701210125"/>
    <n v="21557.329055999999"/>
    <n v="197752.34721000001"/>
    <n v="-12044.462427"/>
    <n v="78263.333085168008"/>
    <n v="21497.482973279999"/>
    <n v="0"/>
    <n v="24952.266121925997"/>
    <n v="37920.221052000001"/>
    <n v="5593.646566368001"/>
    <n v="17100"/>
    <n v="375500"/>
    <n v="47200"/>
    <n v="439800"/>
    <n v="7.5831702544031307E-2"/>
    <n v="0.99970000000000003"/>
    <n v="1.0067999999999999"/>
    <n v="0.99650000000000005"/>
    <n v="0.96179999999999999"/>
    <n v="1.0074000000000001"/>
    <n v="0.94971499999999998"/>
    <n v="0.92321005644682153"/>
    <n v="375500"/>
    <n v="16200"/>
    <n v="391700"/>
    <n v="44800"/>
    <n v="436500"/>
    <n v="0.14800703399765533"/>
    <n v="-0.33727810650887574"/>
    <n v="6.775929549902153E-2"/>
  </r>
  <r>
    <n v="2025"/>
    <s v="18132213048    "/>
    <n v="-1.5606477482646683"/>
    <n v="0.21"/>
    <n v="9104"/>
    <s v="6"/>
    <s v="RES"/>
    <x v="0"/>
    <s v="11"/>
    <s v="259"/>
    <s v="MS"/>
    <s v="A"/>
    <s v="GD"/>
    <x v="9"/>
    <n v="94"/>
    <n v="54"/>
    <n v="1930"/>
    <n v="1970"/>
    <n v="752"/>
    <m/>
    <n v="672"/>
    <n v="0"/>
    <n v="672"/>
    <m/>
    <n v="1424"/>
    <n v="1500"/>
    <n v="8"/>
    <m/>
    <m/>
    <m/>
    <m/>
    <m/>
    <m/>
    <m/>
    <n v="198668"/>
    <n v="135094"/>
    <n v="3683"/>
    <n v="315100"/>
    <n v="60100"/>
    <n v="255000"/>
    <n v="0"/>
    <n v="0"/>
    <n v="89850.625589999996"/>
    <n v="-49401.70477837498"/>
    <n v="21557.329055999999"/>
    <n v="197752.34721000001"/>
    <n v="-12044.462427"/>
    <n v="37155.319747504"/>
    <n v="0"/>
    <n v="0"/>
    <n v="19543.033605983997"/>
    <n v="30336.176841600001"/>
    <n v="0"/>
    <n v="3700"/>
    <n v="294300"/>
    <n v="40400"/>
    <n v="338400"/>
    <n v="7.3944779435099972E-2"/>
    <n v="0.99970000000000003"/>
    <n v="1.0067999999999999"/>
    <n v="0.99650000000000005"/>
    <n v="1.0157"/>
    <n v="1.0074000000000001"/>
    <n v="0.94971499999999998"/>
    <n v="0.97494744680082823"/>
    <n v="294300"/>
    <n v="3500"/>
    <n v="297800"/>
    <n v="38400"/>
    <n v="336200"/>
    <n v="0.16784313725490196"/>
    <n v="-0.36106489184692181"/>
    <n v="6.6962868930498257E-2"/>
  </r>
  <r>
    <n v="2025"/>
    <s v="18132242445    "/>
    <n v="-0.9942522733438669"/>
    <n v="0.37"/>
    <n v="16289"/>
    <s v="6"/>
    <s v="RES"/>
    <x v="0"/>
    <s v="11"/>
    <s v="259"/>
    <s v="TD"/>
    <s v="A"/>
    <s v="AV"/>
    <x v="9"/>
    <n v="94"/>
    <n v="54"/>
    <n v="1930"/>
    <n v="1970"/>
    <n v="1326"/>
    <m/>
    <n v="1513"/>
    <n v="951"/>
    <n v="562"/>
    <m/>
    <n v="1888"/>
    <n v="2000"/>
    <n v="9"/>
    <m/>
    <m/>
    <n v="344"/>
    <m/>
    <m/>
    <m/>
    <m/>
    <n v="303871"/>
    <n v="200555"/>
    <n v="2934"/>
    <n v="359400"/>
    <n v="79900"/>
    <n v="279500"/>
    <n v="0"/>
    <n v="0"/>
    <n v="89850.625589999996"/>
    <n v="-31472.673662315807"/>
    <n v="21557.329055999999"/>
    <n v="160472.20319"/>
    <n v="-12044.462427"/>
    <n v="65515.896256902"/>
    <n v="0"/>
    <n v="0"/>
    <n v="44000.907508710996"/>
    <n v="34128.198946800003"/>
    <n v="11453.657254944001"/>
    <n v="2900"/>
    <n v="325100"/>
    <n v="58400"/>
    <n v="386400"/>
    <n v="7.512520868113523E-2"/>
    <n v="0.99970000000000003"/>
    <n v="1.0067999999999999"/>
    <n v="0.99729999999999996"/>
    <n v="1.0093000000000001"/>
    <n v="1.0074000000000001"/>
    <n v="0.94971499999999998"/>
    <n v="0.96958199718441984"/>
    <n v="325100"/>
    <n v="2800"/>
    <n v="327900"/>
    <n v="55400"/>
    <n v="383300"/>
    <n v="0.17316636851520573"/>
    <n v="-0.30663329161451813"/>
    <n v="6.6499721758486369E-2"/>
  </r>
  <r>
    <n v="2025"/>
    <s v="18132344036    "/>
    <n v="-1.5141277326297755"/>
    <n v="0.22"/>
    <n v="9417"/>
    <s v="6"/>
    <s v="RES"/>
    <x v="0"/>
    <s v="11"/>
    <s v="259"/>
    <s v="TD"/>
    <s v="A"/>
    <s v="GD"/>
    <x v="9"/>
    <n v="94"/>
    <n v="54"/>
    <n v="1930"/>
    <n v="1970"/>
    <n v="823"/>
    <m/>
    <n v="823"/>
    <n v="0"/>
    <n v="823"/>
    <m/>
    <n v="1646"/>
    <n v="2000"/>
    <n v="6"/>
    <m/>
    <m/>
    <m/>
    <m/>
    <m/>
    <m/>
    <m/>
    <n v="207490"/>
    <n v="141093"/>
    <n v="6357"/>
    <n v="319200"/>
    <n v="61700"/>
    <n v="257500"/>
    <n v="0"/>
    <n v="0"/>
    <n v="89850.625589999996"/>
    <n v="-47929.131559187132"/>
    <n v="21557.329055999999"/>
    <n v="197752.34721000001"/>
    <n v="-12044.462427"/>
    <n v="40663.335308770998"/>
    <n v="0"/>
    <n v="0"/>
    <n v="23934.399788281"/>
    <n v="22752.132631200002"/>
    <n v="0"/>
    <n v="6400"/>
    <n v="294600"/>
    <n v="41900"/>
    <n v="342900"/>
    <n v="7.4248120300751883E-2"/>
    <n v="0.99970000000000003"/>
    <n v="1.0067999999999999"/>
    <n v="0.99650000000000005"/>
    <n v="1.0093000000000001"/>
    <n v="1.0074000000000001"/>
    <n v="0.94971499999999998"/>
    <n v="0.96880423161964746"/>
    <n v="294600"/>
    <n v="6000"/>
    <n v="300600"/>
    <n v="39800"/>
    <n v="340400"/>
    <n v="0.16737864077669903"/>
    <n v="-0.35494327390599678"/>
    <n v="6.6416040100250623E-2"/>
  </r>
  <r>
    <n v="2025"/>
    <s v="18132331476    "/>
    <n v="-1.5141277326297755"/>
    <n v="0.22"/>
    <m/>
    <s v="6"/>
    <s v="RES"/>
    <x v="0"/>
    <s v="11"/>
    <s v="259"/>
    <s v="CL"/>
    <s v="G"/>
    <s v="GD"/>
    <x v="9"/>
    <n v="94"/>
    <n v="54"/>
    <n v="1930"/>
    <n v="1970"/>
    <n v="1097"/>
    <n v="818"/>
    <n v="1097"/>
    <n v="209"/>
    <n v="888"/>
    <m/>
    <n v="2803"/>
    <n v="3000"/>
    <n v="7"/>
    <m/>
    <m/>
    <m/>
    <m/>
    <m/>
    <m/>
    <m/>
    <n v="447062"/>
    <n v="304002"/>
    <n v="9718"/>
    <n v="402400"/>
    <n v="61700"/>
    <n v="340700"/>
    <n v="0"/>
    <n v="0"/>
    <n v="89850.625589999996"/>
    <n v="-47929.131559187132"/>
    <n v="44121.038090000002"/>
    <n v="197752.34721000001"/>
    <n v="-12044.462427"/>
    <n v="54201.310855069001"/>
    <n v="36635.293900297998"/>
    <n v="0"/>
    <n v="31902.839085959"/>
    <n v="26544.1547364"/>
    <n v="0"/>
    <n v="9700"/>
    <n v="379100"/>
    <n v="41900"/>
    <n v="430700"/>
    <n v="7.0328031809145125E-2"/>
    <n v="0.99970000000000003"/>
    <n v="0.98050000000000004"/>
    <n v="0.99650000000000005"/>
    <n v="0.96179999999999999"/>
    <n v="1.0074000000000001"/>
    <n v="0.94971499999999998"/>
    <n v="0.89909362370491519"/>
    <n v="379100"/>
    <n v="9200"/>
    <n v="388300"/>
    <n v="39800"/>
    <n v="428100"/>
    <n v="0.13971235691223952"/>
    <n v="-0.35494327390599678"/>
    <n v="6.3866799204771368E-2"/>
  </r>
  <r>
    <n v="2025"/>
    <s v="18132344031    "/>
    <n v="-1.5141277326297755"/>
    <n v="0.22"/>
    <m/>
    <s v="6"/>
    <s v="RES"/>
    <x v="0"/>
    <s v="11"/>
    <s v="259"/>
    <s v="BG"/>
    <s v="A"/>
    <s v="AV"/>
    <x v="9"/>
    <n v="94"/>
    <n v="54"/>
    <n v="1930"/>
    <n v="1970"/>
    <n v="1050"/>
    <n v="420"/>
    <n v="1050"/>
    <n v="1050"/>
    <m/>
    <m/>
    <n v="1470"/>
    <n v="1500"/>
    <n v="8"/>
    <m/>
    <m/>
    <m/>
    <m/>
    <m/>
    <m/>
    <m/>
    <n v="266561"/>
    <n v="175930"/>
    <n v="4598"/>
    <n v="325200"/>
    <n v="61700"/>
    <n v="263500"/>
    <n v="0"/>
    <n v="0"/>
    <n v="89850.625589999996"/>
    <n v="-47929.131559187132"/>
    <n v="21557.329055999999"/>
    <n v="160472.20319"/>
    <n v="-12044.462427"/>
    <n v="51879.103370850004"/>
    <n v="18810.297601620001"/>
    <n v="0"/>
    <n v="30535.99000935"/>
    <n v="30336.176841600001"/>
    <n v="0"/>
    <n v="4600"/>
    <n v="301500"/>
    <n v="41900"/>
    <n v="348000"/>
    <n v="7.0110701107011064E-2"/>
    <n v="0.99970000000000003"/>
    <n v="1.0067999999999999"/>
    <n v="0.99729999999999996"/>
    <n v="1.0157"/>
    <n v="1.0074000000000001"/>
    <n v="0.94971499999999998"/>
    <n v="0.97573014419916293"/>
    <n v="301500"/>
    <n v="4400"/>
    <n v="305900"/>
    <n v="39800"/>
    <n v="345700"/>
    <n v="0.16091081593927894"/>
    <n v="-0.35494327390599678"/>
    <n v="6.303813038130382E-2"/>
  </r>
  <r>
    <n v="2025"/>
    <s v="18132331458    "/>
    <n v="-1.5141277326297755"/>
    <n v="0.22"/>
    <m/>
    <s v="6"/>
    <s v="RES"/>
    <x v="0"/>
    <s v="11"/>
    <s v="259"/>
    <s v="TU"/>
    <s v="G"/>
    <s v="GD"/>
    <x v="9"/>
    <n v="94"/>
    <n v="54"/>
    <n v="1930"/>
    <n v="1970"/>
    <n v="1561"/>
    <n v="777"/>
    <n v="1561"/>
    <n v="336"/>
    <n v="1225"/>
    <m/>
    <n v="3563"/>
    <n v="4000"/>
    <n v="12"/>
    <n v="280"/>
    <m/>
    <m/>
    <m/>
    <m/>
    <m/>
    <m/>
    <n v="663467"/>
    <n v="451158"/>
    <n v="0"/>
    <n v="444500"/>
    <n v="61700"/>
    <n v="382800"/>
    <n v="0"/>
    <n v="0"/>
    <n v="89850.625589999996"/>
    <n v="-47929.131559187132"/>
    <n v="44121.038090000002"/>
    <n v="197752.34721000001"/>
    <n v="-12044.462427"/>
    <n v="77126.933677997004"/>
    <n v="34799.050562996999"/>
    <n v="0"/>
    <n v="45396.838480566999"/>
    <n v="45504.265262400004"/>
    <n v="0"/>
    <n v="0"/>
    <n v="432700"/>
    <n v="41900"/>
    <n v="474600"/>
    <n v="6.7716535433070865E-2"/>
    <n v="0.99970000000000003"/>
    <n v="0.98050000000000004"/>
    <n v="0.99650000000000005"/>
    <n v="0.94579999999999997"/>
    <n v="1.0074000000000001"/>
    <n v="0.94971499999999998"/>
    <n v="0.88413677406956614"/>
    <n v="432700"/>
    <n v="0"/>
    <n v="432700"/>
    <n v="39800"/>
    <n v="472500"/>
    <n v="0.13035527690700105"/>
    <n v="-0.35494327390599678"/>
    <n v="6.2992125984251968E-2"/>
  </r>
  <r>
    <n v="2025"/>
    <s v="18132341402    "/>
    <n v="-1.7147984280919266"/>
    <n v="0.18"/>
    <n v="7897"/>
    <s v="6"/>
    <s v="RES"/>
    <x v="0"/>
    <s v="11"/>
    <s v="259"/>
    <s v="CO"/>
    <s v="A"/>
    <s v="GD"/>
    <x v="9"/>
    <n v="94"/>
    <n v="54"/>
    <n v="1930"/>
    <n v="1970"/>
    <n v="1280"/>
    <n v="800"/>
    <n v="560"/>
    <n v="160"/>
    <n v="400"/>
    <m/>
    <n v="2480"/>
    <n v="2500"/>
    <n v="9"/>
    <n v="182"/>
    <m/>
    <m/>
    <m/>
    <m/>
    <m/>
    <m/>
    <n v="360245"/>
    <n v="244967"/>
    <n v="0"/>
    <n v="367600"/>
    <n v="54700"/>
    <n v="312900"/>
    <n v="0"/>
    <n v="0"/>
    <n v="89850.625589999996"/>
    <n v="-54281.285314520763"/>
    <n v="21557.329055999999"/>
    <n v="197752.34721000001"/>
    <n v="-12044.462427"/>
    <n v="63243.09744256"/>
    <n v="35829.138288800001"/>
    <n v="0"/>
    <n v="16285.861338319999"/>
    <n v="34128.198946800003"/>
    <n v="0"/>
    <n v="0"/>
    <n v="356800"/>
    <n v="35600"/>
    <n v="392400"/>
    <n v="6.7464635473340584E-2"/>
    <n v="0.99970000000000003"/>
    <n v="1.0067999999999999"/>
    <n v="0.99650000000000005"/>
    <n v="0.98919999999999997"/>
    <n v="1.0074000000000001"/>
    <n v="0.94971499999999998"/>
    <n v="0.94951069644125163"/>
    <n v="356800"/>
    <n v="0"/>
    <n v="356800"/>
    <n v="33800"/>
    <n v="390600"/>
    <n v="0.14030041546820071"/>
    <n v="-0.38208409506398539"/>
    <n v="6.2568008705114253E-2"/>
  </r>
  <r>
    <n v="2025"/>
    <s v="18132213051    "/>
    <n v="-1.5606477482646683"/>
    <n v="0.21"/>
    <n v="9141"/>
    <s v="6"/>
    <s v="RES"/>
    <x v="0"/>
    <s v="11"/>
    <s v="400"/>
    <s v="TD"/>
    <s v="A"/>
    <s v="GD"/>
    <x v="9"/>
    <n v="94"/>
    <n v="54"/>
    <n v="1930"/>
    <n v="1970"/>
    <n v="850"/>
    <m/>
    <n v="850"/>
    <n v="0"/>
    <n v="850"/>
    <m/>
    <n v="1700"/>
    <n v="2000"/>
    <n v="8"/>
    <m/>
    <m/>
    <m/>
    <m/>
    <m/>
    <m/>
    <m/>
    <n v="215336"/>
    <n v="146428"/>
    <n v="4877"/>
    <n v="326900"/>
    <n v="60100"/>
    <n v="266800"/>
    <n v="0"/>
    <n v="0"/>
    <n v="89850.625589999996"/>
    <n v="-49401.70477837498"/>
    <n v="21557.329055999999"/>
    <n v="197752.34721000001"/>
    <n v="-12044.462427"/>
    <n v="41997.369395449998"/>
    <n v="0"/>
    <n v="0"/>
    <n v="24719.610959949998"/>
    <n v="30336.176841600001"/>
    <n v="0"/>
    <n v="4900"/>
    <n v="304300"/>
    <n v="40400"/>
    <n v="349600"/>
    <n v="6.9440195778525546E-2"/>
    <n v="0.99970000000000003"/>
    <n v="1.0067999999999999"/>
    <n v="0.99650000000000005"/>
    <n v="1.0093000000000001"/>
    <n v="1.0074000000000001"/>
    <n v="0.94971499999999998"/>
    <n v="0.96880423161964746"/>
    <n v="304300"/>
    <n v="4600"/>
    <n v="308900"/>
    <n v="38400"/>
    <n v="347300"/>
    <n v="0.15779610194902549"/>
    <n v="-0.36106489184692181"/>
    <n v="6.2404405016824718E-2"/>
  </r>
  <r>
    <n v="2025"/>
    <s v="18132242433    "/>
    <n v="-1.4696759700589417"/>
    <n v="0.23"/>
    <n v="9965"/>
    <s v="6"/>
    <s v="RES"/>
    <x v="0"/>
    <s v="11"/>
    <s v="259"/>
    <s v="TD"/>
    <s v="A"/>
    <s v="FR"/>
    <x v="9"/>
    <n v="94"/>
    <n v="54"/>
    <n v="1930"/>
    <n v="1970"/>
    <n v="963"/>
    <m/>
    <n v="963"/>
    <n v="467"/>
    <n v="496"/>
    <m/>
    <n v="1459"/>
    <n v="1500"/>
    <n v="8"/>
    <m/>
    <m/>
    <m/>
    <m/>
    <m/>
    <m/>
    <m/>
    <n v="225505"/>
    <n v="144323"/>
    <n v="0"/>
    <n v="273200"/>
    <n v="63300"/>
    <n v="209900"/>
    <n v="0"/>
    <n v="0"/>
    <n v="89850.625589999996"/>
    <n v="-46522.028095997222"/>
    <n v="21557.329055999999"/>
    <n v="133714.53821"/>
    <n v="-12044.462427"/>
    <n v="47580.549091551002"/>
    <n v="0"/>
    <n v="0"/>
    <n v="28005.865122861"/>
    <n v="30336.176841600001"/>
    <n v="0"/>
    <n v="0"/>
    <n v="249100"/>
    <n v="43300"/>
    <n v="292400"/>
    <n v="7.0278184480234263E-2"/>
    <n v="0.99970000000000003"/>
    <n v="1.0067999999999999"/>
    <n v="0.99329999999999996"/>
    <n v="1.0157"/>
    <n v="1.0074000000000001"/>
    <n v="0.94971499999999998"/>
    <n v="0.971816657207489"/>
    <n v="249100"/>
    <n v="0"/>
    <n v="249100"/>
    <n v="41100"/>
    <n v="290200"/>
    <n v="0.1867555979037637"/>
    <n v="-0.35071090047393366"/>
    <n v="6.2225475841874087E-2"/>
  </r>
  <r>
    <n v="2025"/>
    <s v="18132211012    "/>
    <n v="-1.1711829815029451"/>
    <n v="0.31"/>
    <n v="13329"/>
    <s v="6"/>
    <s v="RES"/>
    <x v="0"/>
    <s v="11"/>
    <s v="259"/>
    <s v="RN"/>
    <s v="A"/>
    <s v="AV"/>
    <x v="9"/>
    <n v="94"/>
    <n v="54"/>
    <n v="1930"/>
    <n v="1970"/>
    <n v="1541"/>
    <m/>
    <n v="1077"/>
    <n v="1077"/>
    <m/>
    <m/>
    <n v="1541"/>
    <n v="2000"/>
    <n v="8"/>
    <m/>
    <n v="432"/>
    <m/>
    <m/>
    <m/>
    <m/>
    <m/>
    <n v="310485"/>
    <n v="204920"/>
    <n v="0"/>
    <n v="337000"/>
    <n v="73700"/>
    <n v="263300"/>
    <n v="0"/>
    <n v="0"/>
    <n v="89850.625589999996"/>
    <n v="-37073.347241874442"/>
    <n v="21557.329055999999"/>
    <n v="160472.20319"/>
    <n v="-12044.462427"/>
    <n v="76138.760280457005"/>
    <n v="0"/>
    <n v="0"/>
    <n v="31321.201181018998"/>
    <n v="30336.176841600001"/>
    <n v="0"/>
    <n v="0"/>
    <n v="307800"/>
    <n v="52800"/>
    <n v="360600"/>
    <n v="7.0029673590504452E-2"/>
    <n v="0.99970000000000003"/>
    <n v="1.0067999999999999"/>
    <n v="0.99729999999999996"/>
    <n v="1.0093000000000001"/>
    <n v="1.0074000000000001"/>
    <n v="0.94971499999999998"/>
    <n v="0.96958199718441984"/>
    <n v="307800"/>
    <n v="0"/>
    <n v="307800"/>
    <n v="50100"/>
    <n v="357900"/>
    <n v="0.16900873528294721"/>
    <n v="-0.32021709633649931"/>
    <n v="6.2017804154302671E-2"/>
  </r>
  <r>
    <n v="2025"/>
    <s v="18132331011    "/>
    <n v="-1.8325814637483102"/>
    <n v="0.16"/>
    <n v="7079"/>
    <s v="6"/>
    <s v="RES"/>
    <x v="0"/>
    <s v="11"/>
    <s v="259"/>
    <s v="BG"/>
    <s v="A"/>
    <s v="GD"/>
    <x v="9"/>
    <n v="94"/>
    <n v="32"/>
    <n v="1930"/>
    <n v="1992"/>
    <n v="952"/>
    <n v="759"/>
    <n v="616"/>
    <n v="0"/>
    <n v="616"/>
    <m/>
    <n v="2327"/>
    <n v="2500"/>
    <n v="8"/>
    <m/>
    <m/>
    <m/>
    <m/>
    <m/>
    <m/>
    <m/>
    <n v="314875"/>
    <n v="270793"/>
    <n v="0"/>
    <n v="350100"/>
    <n v="50600"/>
    <n v="299500"/>
    <n v="0"/>
    <n v="0"/>
    <n v="89850.625589999996"/>
    <n v="-58009.662049032086"/>
    <n v="21557.329055999999"/>
    <n v="197752.34721000001"/>
    <n v="-7137.4592160000002"/>
    <n v="47037.053722903998"/>
    <n v="33992.894951499002"/>
    <n v="0"/>
    <n v="17914.447472151998"/>
    <n v="30336.176841600001"/>
    <n v="0"/>
    <n v="0"/>
    <n v="341500"/>
    <n v="31800"/>
    <n v="373300"/>
    <n v="6.6266780919737214E-2"/>
    <n v="0.99970000000000003"/>
    <n v="1.0067999999999999"/>
    <n v="0.99650000000000005"/>
    <n v="0.98919999999999997"/>
    <n v="1.0074000000000001"/>
    <n v="0.94971499999999998"/>
    <n v="0.94951069644125163"/>
    <n v="341500"/>
    <n v="0"/>
    <n v="341500"/>
    <n v="30200"/>
    <n v="371700"/>
    <n v="0.14023372287145242"/>
    <n v="-0.40316205533596838"/>
    <n v="6.1696658097686374E-2"/>
  </r>
  <r>
    <n v="2025"/>
    <s v="18132241471    "/>
    <n v="-1.5606477482646683"/>
    <n v="0.21"/>
    <n v="9176"/>
    <s v="6"/>
    <s v="RES"/>
    <x v="0"/>
    <s v="11"/>
    <s v="259"/>
    <s v="CO"/>
    <s v="F+"/>
    <s v="FR"/>
    <x v="9"/>
    <n v="94"/>
    <n v="54"/>
    <n v="1930"/>
    <n v="1970"/>
    <n v="912"/>
    <n v="416"/>
    <n v="504"/>
    <n v="504"/>
    <n v="0"/>
    <m/>
    <n v="1328"/>
    <n v="1500"/>
    <n v="5"/>
    <m/>
    <m/>
    <m/>
    <m/>
    <m/>
    <m/>
    <m/>
    <n v="231044"/>
    <n v="147868"/>
    <n v="4872"/>
    <n v="246900"/>
    <n v="60100"/>
    <n v="186800"/>
    <n v="0"/>
    <n v="0"/>
    <n v="89850.625589999996"/>
    <n v="-49401.70477837498"/>
    <n v="0"/>
    <n v="133714.53821"/>
    <n v="-12044.462427"/>
    <n v="45060.706927824001"/>
    <n v="18631.151910175999"/>
    <n v="0"/>
    <n v="14657.275204488"/>
    <n v="18960.110526"/>
    <n v="0"/>
    <n v="4900"/>
    <n v="219000"/>
    <n v="40400"/>
    <n v="264300"/>
    <n v="7.0473876063183477E-2"/>
    <n v="0.99970000000000003"/>
    <n v="0.99180000000000001"/>
    <n v="0.99329999999999996"/>
    <n v="1.0157"/>
    <n v="1.0074000000000001"/>
    <n v="0.94971499999999998"/>
    <n v="0.95733786314897451"/>
    <n v="219000"/>
    <n v="4600"/>
    <n v="223600"/>
    <n v="38400"/>
    <n v="262000"/>
    <n v="0.19700214132762311"/>
    <n v="-0.36106489184692181"/>
    <n v="6.1158363710004049E-2"/>
  </r>
  <r>
    <n v="2025"/>
    <s v="18132331012    "/>
    <n v="-1.8325814637483102"/>
    <n v="0.16"/>
    <m/>
    <s v="6"/>
    <s v="RES"/>
    <x v="0"/>
    <s v="11"/>
    <s v="259"/>
    <s v="TD"/>
    <s v="A"/>
    <s v="GD"/>
    <x v="9"/>
    <n v="94"/>
    <n v="54"/>
    <n v="1930"/>
    <n v="1970"/>
    <n v="1048"/>
    <m/>
    <n v="1048"/>
    <n v="0"/>
    <n v="1048"/>
    <m/>
    <n v="2096"/>
    <n v="2500"/>
    <n v="8"/>
    <m/>
    <m/>
    <m/>
    <m/>
    <m/>
    <m/>
    <m/>
    <n v="261173"/>
    <n v="177598"/>
    <n v="9270"/>
    <n v="338600"/>
    <n v="50600"/>
    <n v="288000"/>
    <n v="0"/>
    <n v="0"/>
    <n v="89850.625589999996"/>
    <n v="-58009.662049032086"/>
    <n v="21557.329055999999"/>
    <n v="197752.34721000001"/>
    <n v="-12044.462427"/>
    <n v="51780.286031096002"/>
    <n v="0"/>
    <n v="0"/>
    <n v="30477.826218856"/>
    <n v="30336.176841600001"/>
    <n v="0"/>
    <n v="9300"/>
    <n v="319900"/>
    <n v="31800"/>
    <n v="361000"/>
    <n v="6.6154754873006497E-2"/>
    <n v="0.99970000000000003"/>
    <n v="1.0067999999999999"/>
    <n v="0.99650000000000005"/>
    <n v="0.98919999999999997"/>
    <n v="1.0074000000000001"/>
    <n v="0.94971499999999998"/>
    <n v="0.94951069644125163"/>
    <n v="319900"/>
    <n v="8800"/>
    <n v="328700"/>
    <n v="30200"/>
    <n v="358900"/>
    <n v="0.14131944444444444"/>
    <n v="-0.40316205533596838"/>
    <n v="5.9952746603662135E-2"/>
  </r>
  <r>
    <n v="2025"/>
    <s v="18132243472    "/>
    <n v="-1.0498221244986778"/>
    <n v="0.35"/>
    <n v="15309"/>
    <s v="6"/>
    <s v="RES"/>
    <x v="0"/>
    <s v="11"/>
    <s v="259"/>
    <s v="CO"/>
    <s v="A+"/>
    <s v="AV"/>
    <x v="9"/>
    <n v="94"/>
    <n v="54"/>
    <n v="1930"/>
    <n v="1970"/>
    <n v="1194"/>
    <n v="416"/>
    <n v="832"/>
    <n v="432"/>
    <n v="400"/>
    <m/>
    <n v="2010"/>
    <n v="2500"/>
    <n v="7"/>
    <m/>
    <m/>
    <n v="228"/>
    <m/>
    <m/>
    <m/>
    <m/>
    <n v="359264"/>
    <n v="237114"/>
    <n v="8782"/>
    <n v="355600"/>
    <n v="77900"/>
    <n v="277700"/>
    <n v="0"/>
    <n v="0"/>
    <n v="89850.625589999996"/>
    <n v="-33231.715947405908"/>
    <n v="29814.093161000001"/>
    <n v="160472.20319"/>
    <n v="-12044.462427"/>
    <n v="58993.951833138002"/>
    <n v="18631.151910175999"/>
    <n v="0"/>
    <n v="24196.136845503999"/>
    <n v="26544.1547364"/>
    <n v="7591.377482928001"/>
    <n v="8800"/>
    <n v="314200"/>
    <n v="56600"/>
    <n v="379600"/>
    <n v="6.7491563554555684E-2"/>
    <n v="0.99970000000000003"/>
    <n v="1.0088999999999999"/>
    <n v="0.99729999999999996"/>
    <n v="0.98919999999999997"/>
    <n v="1.0074000000000001"/>
    <n v="0.94971499999999998"/>
    <n v="0.95225506796349002"/>
    <n v="314200"/>
    <n v="8300"/>
    <n v="322500"/>
    <n v="53800"/>
    <n v="376300"/>
    <n v="0.1613251710478934"/>
    <n v="-0.30937098844672656"/>
    <n v="5.8211473565804271E-2"/>
  </r>
  <r>
    <n v="2025"/>
    <s v="18132332449    "/>
    <n v="-1.2378743560016174"/>
    <n v="0.28999999999999998"/>
    <n v="12529"/>
    <s v="6"/>
    <s v="RES"/>
    <x v="0"/>
    <s v="11"/>
    <s v="259"/>
    <s v="TD"/>
    <s v="F+"/>
    <s v="GD"/>
    <x v="9"/>
    <n v="94"/>
    <n v="54"/>
    <n v="1930"/>
    <n v="1970"/>
    <n v="768"/>
    <m/>
    <m/>
    <n v="0"/>
    <m/>
    <m/>
    <n v="768"/>
    <n v="1000"/>
    <n v="8"/>
    <m/>
    <m/>
    <m/>
    <m/>
    <m/>
    <m/>
    <m/>
    <n v="127918"/>
    <n v="86984"/>
    <n v="6708"/>
    <n v="291700"/>
    <n v="71400"/>
    <n v="220300"/>
    <n v="0"/>
    <n v="0"/>
    <n v="89850.625589999996"/>
    <n v="-39184.437074869042"/>
    <n v="0"/>
    <n v="197752.34721000001"/>
    <n v="-12044.462427"/>
    <n v="37945.858465536003"/>
    <n v="0"/>
    <n v="0"/>
    <n v="0"/>
    <n v="30336.176841600001"/>
    <n v="0"/>
    <n v="6700"/>
    <n v="254000"/>
    <n v="50700"/>
    <n v="311400"/>
    <n v="6.753513884127528E-2"/>
    <n v="0.99970000000000003"/>
    <n v="0.99180000000000001"/>
    <n v="0.99650000000000005"/>
    <n v="1.0148999999999999"/>
    <n v="1.0074000000000001"/>
    <n v="0.94971499999999998"/>
    <n v="0.9596655469159463"/>
    <n v="254000"/>
    <n v="6400"/>
    <n v="260400"/>
    <n v="48100"/>
    <n v="308500"/>
    <n v="0.18202451202905129"/>
    <n v="-0.32633053221288516"/>
    <n v="5.7593417895097705E-2"/>
  </r>
  <r>
    <n v="2025"/>
    <s v="18132331508    "/>
    <n v="-1.8325814637483102"/>
    <n v="0.16"/>
    <m/>
    <s v="6"/>
    <s v="RES"/>
    <x v="0"/>
    <s v="11"/>
    <s v="259"/>
    <s v="CO"/>
    <s v="G"/>
    <s v="GD"/>
    <x v="9"/>
    <n v="94"/>
    <n v="54"/>
    <n v="1930"/>
    <n v="1970"/>
    <n v="920"/>
    <n v="336"/>
    <n v="920"/>
    <n v="0"/>
    <n v="920"/>
    <m/>
    <n v="2176"/>
    <n v="2500"/>
    <n v="8"/>
    <m/>
    <m/>
    <m/>
    <m/>
    <m/>
    <m/>
    <m/>
    <n v="405664"/>
    <n v="275852"/>
    <n v="34189"/>
    <n v="387900"/>
    <n v="50600"/>
    <n v="337300"/>
    <n v="0"/>
    <n v="0"/>
    <n v="89850.625589999996"/>
    <n v="-58009.662049032086"/>
    <n v="44121.038090000002"/>
    <n v="197752.34721000001"/>
    <n v="-12044.462427"/>
    <n v="45455.976286839999"/>
    <n v="15048.238081296"/>
    <n v="0"/>
    <n v="26755.343627239999"/>
    <n v="30336.176841600001"/>
    <n v="0"/>
    <n v="34200"/>
    <n v="347400"/>
    <n v="31800"/>
    <n v="413400"/>
    <n v="6.5738592420726993E-2"/>
    <n v="0.99970000000000003"/>
    <n v="0.98050000000000004"/>
    <n v="0.99650000000000005"/>
    <n v="0.98919999999999997"/>
    <n v="1.0074000000000001"/>
    <n v="0.94971499999999998"/>
    <n v="0.9247072287054503"/>
    <n v="347400"/>
    <n v="32500"/>
    <n v="379900"/>
    <n v="30200"/>
    <n v="410100"/>
    <n v="0.12629706492736437"/>
    <n v="-0.40316205533596838"/>
    <n v="5.7231245166279969E-2"/>
  </r>
  <r>
    <n v="2025"/>
    <s v="18132212020    "/>
    <n v="-1.3470736479666092"/>
    <n v="0.26"/>
    <n v="11247"/>
    <s v="6"/>
    <s v="RES"/>
    <x v="0"/>
    <s v="11"/>
    <s v="400"/>
    <s v="TD"/>
    <s v="A"/>
    <s v="FR"/>
    <x v="9"/>
    <n v="94"/>
    <n v="54"/>
    <n v="1930"/>
    <n v="1970"/>
    <n v="936"/>
    <m/>
    <n v="700"/>
    <n v="452"/>
    <n v="248"/>
    <m/>
    <n v="1184"/>
    <n v="1500"/>
    <n v="8"/>
    <m/>
    <m/>
    <m/>
    <m/>
    <m/>
    <m/>
    <m/>
    <n v="214752"/>
    <n v="137441"/>
    <n v="0"/>
    <n v="269600"/>
    <n v="67600"/>
    <n v="202000"/>
    <n v="0"/>
    <n v="0"/>
    <n v="89850.625589999996"/>
    <n v="-42641.098701210125"/>
    <n v="21557.329055999999"/>
    <n v="133714.53821"/>
    <n v="-12044.462427"/>
    <n v="46246.515004872002"/>
    <n v="0"/>
    <n v="0"/>
    <n v="20357.326672899999"/>
    <n v="30336.176841600001"/>
    <n v="0"/>
    <n v="0"/>
    <n v="240200"/>
    <n v="47200"/>
    <n v="287400"/>
    <n v="6.6023738872403565E-2"/>
    <n v="0.99970000000000003"/>
    <n v="1.0067999999999999"/>
    <n v="0.99329999999999996"/>
    <n v="1.0157"/>
    <n v="1.0074000000000001"/>
    <n v="0.94971499999999998"/>
    <n v="0.971816657207489"/>
    <n v="240200"/>
    <n v="0"/>
    <n v="240200"/>
    <n v="44800"/>
    <n v="285000"/>
    <n v="0.18910891089108911"/>
    <n v="-0.33727810650887574"/>
    <n v="5.7121661721068251E-2"/>
  </r>
  <r>
    <n v="2025"/>
    <s v="18132332492    "/>
    <n v="-1.1394342831883648"/>
    <n v="0.32"/>
    <n v="14015"/>
    <s v="6"/>
    <s v="RES"/>
    <x v="0"/>
    <s v="11"/>
    <s v="259"/>
    <s v="CO"/>
    <s v="G"/>
    <s v="GD"/>
    <x v="9"/>
    <n v="94"/>
    <n v="54"/>
    <n v="1930"/>
    <n v="1970"/>
    <n v="1284"/>
    <n v="1454"/>
    <n v="1284"/>
    <n v="642"/>
    <n v="642"/>
    <m/>
    <n v="3380"/>
    <n v="3500"/>
    <n v="10"/>
    <m/>
    <n v="320"/>
    <m/>
    <m/>
    <m/>
    <m/>
    <m/>
    <n v="620765"/>
    <n v="422120"/>
    <n v="0"/>
    <n v="459000"/>
    <n v="74800"/>
    <n v="384200"/>
    <n v="0"/>
    <n v="0"/>
    <n v="89850.625589999996"/>
    <n v="-36068.354396449467"/>
    <n v="44121.038090000002"/>
    <n v="197752.34721000001"/>
    <n v="-12044.462427"/>
    <n v="63440.732122068002"/>
    <n v="65119.458839893996"/>
    <n v="0"/>
    <n v="37341.153497148"/>
    <n v="37920.221052000001"/>
    <n v="0"/>
    <n v="0"/>
    <n v="433700"/>
    <n v="53800"/>
    <n v="487500"/>
    <n v="6.2091503267973858E-2"/>
    <n v="0.99970000000000003"/>
    <n v="0.98050000000000004"/>
    <n v="0.99650000000000005"/>
    <n v="1.0126999999999999"/>
    <n v="1.0074000000000001"/>
    <n v="0.94971499999999998"/>
    <n v="0.94667510160736901"/>
    <n v="433700"/>
    <n v="0"/>
    <n v="433700"/>
    <n v="51100"/>
    <n v="484800"/>
    <n v="0.12883914627798021"/>
    <n v="-0.31684491978609625"/>
    <n v="5.6209150326797387E-2"/>
  </r>
  <r>
    <n v="2025"/>
    <s v="18132344030    "/>
    <n v="-1.6094379124341003"/>
    <n v="0.2"/>
    <m/>
    <s v="6"/>
    <s v="RES"/>
    <x v="0"/>
    <s v="11"/>
    <s v="259"/>
    <s v="BG"/>
    <s v="A"/>
    <s v="GD"/>
    <x v="9"/>
    <n v="94"/>
    <n v="44"/>
    <n v="1930"/>
    <n v="1980"/>
    <n v="1508"/>
    <m/>
    <n v="1040"/>
    <n v="0"/>
    <n v="1040"/>
    <m/>
    <n v="2548"/>
    <n v="3000"/>
    <n v="10"/>
    <m/>
    <m/>
    <n v="160"/>
    <m/>
    <m/>
    <m/>
    <m/>
    <n v="334797"/>
    <n v="264490"/>
    <n v="0"/>
    <n v="373500"/>
    <n v="58400"/>
    <n v="315100"/>
    <n v="0"/>
    <n v="0"/>
    <n v="89850.625589999996"/>
    <n v="-50946.13867709865"/>
    <n v="21557.329055999999"/>
    <n v="197752.34721000001"/>
    <n v="-9814.0064220000004"/>
    <n v="74508.274174516002"/>
    <n v="0"/>
    <n v="0"/>
    <n v="30245.171056879997"/>
    <n v="37920.221052000001"/>
    <n v="5327.2824441600005"/>
    <n v="0"/>
    <n v="357500"/>
    <n v="38900"/>
    <n v="396400"/>
    <n v="6.1311914323962519E-2"/>
    <n v="0.99970000000000003"/>
    <n v="1.0067999999999999"/>
    <n v="0.99650000000000005"/>
    <n v="0.96179999999999999"/>
    <n v="1.0074000000000001"/>
    <n v="0.94971499999999998"/>
    <n v="0.92321005644682153"/>
    <n v="357500"/>
    <n v="0"/>
    <n v="357500"/>
    <n v="36900"/>
    <n v="394400"/>
    <n v="0.13456045699777849"/>
    <n v="-0.36815068493150682"/>
    <n v="5.5957161981258365E-2"/>
  </r>
  <r>
    <n v="2025"/>
    <s v="18132324472    "/>
    <n v="-1.8325814637483102"/>
    <n v="0.16"/>
    <m/>
    <s v="6"/>
    <s v="RES"/>
    <x v="0"/>
    <s v="11"/>
    <s v="259"/>
    <s v="TD"/>
    <s v="F+"/>
    <s v="FR"/>
    <x v="9"/>
    <n v="94"/>
    <n v="54"/>
    <n v="1930"/>
    <n v="1970"/>
    <n v="1026"/>
    <m/>
    <n v="512"/>
    <n v="512"/>
    <m/>
    <m/>
    <n v="1026"/>
    <n v="1500"/>
    <n v="7"/>
    <m/>
    <m/>
    <m/>
    <m/>
    <m/>
    <m/>
    <m/>
    <n v="190301"/>
    <n v="121793"/>
    <n v="0"/>
    <n v="231300"/>
    <n v="50600"/>
    <n v="180700"/>
    <n v="0"/>
    <n v="0"/>
    <n v="89850.625589999996"/>
    <n v="-58009.662049032086"/>
    <n v="0"/>
    <n v="133714.53821"/>
    <n v="-12044.462427"/>
    <n v="50693.295293802003"/>
    <n v="0"/>
    <n v="0"/>
    <n v="14889.930366463999"/>
    <n v="26544.1547364"/>
    <n v="0"/>
    <n v="0"/>
    <n v="213800"/>
    <n v="31800"/>
    <n v="245600"/>
    <n v="6.1824470384781671E-2"/>
    <n v="0.99970000000000003"/>
    <n v="0.99180000000000001"/>
    <n v="0.99329999999999996"/>
    <n v="1.0157"/>
    <n v="1.0074000000000001"/>
    <n v="0.94971499999999998"/>
    <n v="0.95733786314897451"/>
    <n v="213800"/>
    <n v="0"/>
    <n v="213800"/>
    <n v="30200"/>
    <n v="244000"/>
    <n v="0.1831765356945213"/>
    <n v="-0.40316205533596838"/>
    <n v="5.4907047124945957E-2"/>
  </r>
  <r>
    <n v="2025"/>
    <s v="18132344429    "/>
    <n v="-1.8971199848858813"/>
    <n v="0.15"/>
    <m/>
    <s v="6"/>
    <s v="RES"/>
    <x v="0"/>
    <s v="11"/>
    <s v="259"/>
    <s v="CO"/>
    <s v="A"/>
    <s v="GD"/>
    <x v="9"/>
    <n v="94"/>
    <n v="54"/>
    <n v="1930"/>
    <n v="1970"/>
    <n v="1148"/>
    <n v="300"/>
    <n v="1148"/>
    <n v="0"/>
    <n v="1148"/>
    <m/>
    <n v="2596"/>
    <n v="3000"/>
    <n v="8"/>
    <m/>
    <m/>
    <m/>
    <m/>
    <m/>
    <m/>
    <m/>
    <n v="314593"/>
    <n v="213923"/>
    <n v="9708"/>
    <n v="359300"/>
    <n v="48400"/>
    <n v="310900"/>
    <n v="0"/>
    <n v="0"/>
    <n v="89850.625589999996"/>
    <n v="-60052.604136134301"/>
    <n v="21557.329055999999"/>
    <n v="197752.34721000001"/>
    <n v="-12044.462427"/>
    <n v="56721.153018796002"/>
    <n v="13435.926858299999"/>
    <n v="0"/>
    <n v="33386.015743555996"/>
    <n v="30336.176841600001"/>
    <n v="0"/>
    <n v="9700"/>
    <n v="341100"/>
    <n v="29800"/>
    <n v="380600"/>
    <n v="5.9281937099916505E-2"/>
    <n v="0.99970000000000003"/>
    <n v="1.0067999999999999"/>
    <n v="0.99650000000000005"/>
    <n v="0.96179999999999999"/>
    <n v="1.0074000000000001"/>
    <n v="0.94971499999999998"/>
    <n v="0.92321005644682153"/>
    <n v="341100"/>
    <n v="9200"/>
    <n v="350300"/>
    <n v="28300"/>
    <n v="378600"/>
    <n v="0.12672885172081055"/>
    <n v="-0.41528925619834711"/>
    <n v="5.3715558029501807E-2"/>
  </r>
  <r>
    <n v="2025"/>
    <s v="18132344027    "/>
    <n v="-1.5606477482646683"/>
    <n v="0.21"/>
    <n v="9094"/>
    <s v="6"/>
    <s v="RES"/>
    <x v="0"/>
    <s v="11"/>
    <s v="259"/>
    <s v="BG"/>
    <s v="A"/>
    <s v="GD"/>
    <x v="9"/>
    <n v="94"/>
    <n v="54"/>
    <n v="1930"/>
    <n v="1970"/>
    <n v="1425"/>
    <m/>
    <n v="713"/>
    <n v="179"/>
    <n v="534"/>
    <m/>
    <n v="1959"/>
    <n v="2000"/>
    <n v="8"/>
    <m/>
    <m/>
    <m/>
    <m/>
    <m/>
    <m/>
    <m/>
    <n v="294130"/>
    <n v="200008"/>
    <n v="0"/>
    <n v="348600"/>
    <n v="60100"/>
    <n v="288500"/>
    <n v="0"/>
    <n v="0"/>
    <n v="89850.625589999996"/>
    <n v="-49401.70477837498"/>
    <n v="21557.329055999999"/>
    <n v="197752.34721000001"/>
    <n v="-12044.462427"/>
    <n v="70407.354574725003"/>
    <n v="0"/>
    <n v="0"/>
    <n v="20735.391311110998"/>
    <n v="30336.176841600001"/>
    <n v="0"/>
    <n v="0"/>
    <n v="328700"/>
    <n v="40400"/>
    <n v="369100"/>
    <n v="5.8806655192197362E-2"/>
    <n v="0.99970000000000003"/>
    <n v="1.0067999999999999"/>
    <n v="0.99650000000000005"/>
    <n v="1.0093000000000001"/>
    <n v="1.0074000000000001"/>
    <n v="0.94971499999999998"/>
    <n v="0.96880423161964746"/>
    <n v="328700"/>
    <n v="0"/>
    <n v="328700"/>
    <n v="38400"/>
    <n v="367100"/>
    <n v="0.13934142114384748"/>
    <n v="-0.36106489184692181"/>
    <n v="5.3069420539300055E-2"/>
  </r>
  <r>
    <n v="2025"/>
    <s v="18132331417    "/>
    <n v="-1.6607312068216509"/>
    <n v="0.19"/>
    <n v="8340"/>
    <s v="6"/>
    <s v="RES"/>
    <x v="0"/>
    <s v="11"/>
    <s v="259"/>
    <s v="BG"/>
    <s v="A+"/>
    <s v="GD"/>
    <x v="9"/>
    <n v="94"/>
    <n v="54"/>
    <n v="1930"/>
    <n v="1970"/>
    <n v="1170"/>
    <n v="868"/>
    <n v="1170"/>
    <n v="96"/>
    <n v="1074"/>
    <m/>
    <n v="3112"/>
    <n v="3500"/>
    <n v="12"/>
    <m/>
    <m/>
    <m/>
    <m/>
    <m/>
    <m/>
    <m/>
    <n v="506941"/>
    <n v="344720"/>
    <n v="7889"/>
    <n v="412800"/>
    <n v="56600"/>
    <n v="356200"/>
    <n v="0"/>
    <n v="0"/>
    <n v="89850.625589999996"/>
    <n v="-52569.808201026557"/>
    <n v="29814.093161000001"/>
    <n v="197752.34721000001"/>
    <n v="-12044.462427"/>
    <n v="57808.143756090001"/>
    <n v="38874.615043348"/>
    <n v="0"/>
    <n v="34025.817438990001"/>
    <n v="45504.265262400004"/>
    <n v="0"/>
    <n v="7900"/>
    <n v="391700"/>
    <n v="37300"/>
    <n v="436900"/>
    <n v="5.8381782945736434E-2"/>
    <n v="0.99970000000000003"/>
    <n v="1.0088999999999999"/>
    <n v="0.99650000000000005"/>
    <n v="1.0126999999999999"/>
    <n v="1.0074000000000001"/>
    <n v="0.94971499999999998"/>
    <n v="0.97409536972123856"/>
    <n v="391700"/>
    <n v="7500"/>
    <n v="399200"/>
    <n v="35400"/>
    <n v="434600"/>
    <n v="0.12071869736103313"/>
    <n v="-0.37455830388692579"/>
    <n v="5.2810077519379842E-2"/>
  </r>
  <r>
    <n v="2025"/>
    <s v="18132342462    "/>
    <n v="-1.1086626245216111"/>
    <n v="0.33"/>
    <n v="14350"/>
    <s v="6"/>
    <s v="RES"/>
    <x v="0"/>
    <s v="11"/>
    <s v="259"/>
    <s v="CL"/>
    <s v="G"/>
    <s v="GD"/>
    <x v="9"/>
    <n v="94"/>
    <n v="54"/>
    <n v="1930"/>
    <n v="1970"/>
    <n v="1191"/>
    <n v="936"/>
    <n v="468"/>
    <n v="94"/>
    <n v="374"/>
    <m/>
    <n v="2501"/>
    <n v="3000"/>
    <n v="10"/>
    <m/>
    <n v="468"/>
    <n v="85"/>
    <m/>
    <m/>
    <m/>
    <m/>
    <n v="539722"/>
    <n v="367011"/>
    <n v="31274"/>
    <n v="443300"/>
    <n v="75900"/>
    <n v="367400"/>
    <n v="0"/>
    <n v="0"/>
    <n v="89850.625589999996"/>
    <n v="-35094.289365640165"/>
    <n v="44121.038090000002"/>
    <n v="197752.34721000001"/>
    <n v="-12044.462427"/>
    <n v="58845.725823507004"/>
    <n v="41920.091797895999"/>
    <n v="0"/>
    <n v="13610.326975595999"/>
    <n v="37920.221052000001"/>
    <n v="2830.1187984600001"/>
    <n v="31300"/>
    <n v="385000"/>
    <n v="54800"/>
    <n v="471100"/>
    <n v="6.2711482066320781E-2"/>
    <n v="0.99970000000000003"/>
    <n v="0.98050000000000004"/>
    <n v="0.99650000000000005"/>
    <n v="0.96179999999999999"/>
    <n v="1.0074000000000001"/>
    <n v="0.94971499999999998"/>
    <n v="0.89909362370491519"/>
    <n v="385000"/>
    <n v="29700"/>
    <n v="414700"/>
    <n v="52000"/>
    <n v="466700"/>
    <n v="0.12874251497005987"/>
    <n v="-0.31488801054018445"/>
    <n v="5.2785923753665691E-2"/>
  </r>
  <r>
    <n v="2025"/>
    <s v="18132331509    "/>
    <n v="-1.8325814637483102"/>
    <n v="0.16"/>
    <m/>
    <s v="6"/>
    <s v="RES"/>
    <x v="0"/>
    <s v="11"/>
    <s v="259"/>
    <s v="BG"/>
    <s v="A"/>
    <s v="GD"/>
    <x v="9"/>
    <n v="94"/>
    <n v="54"/>
    <n v="1930"/>
    <n v="1970"/>
    <n v="1336"/>
    <m/>
    <n v="672"/>
    <n v="0"/>
    <n v="672"/>
    <m/>
    <n v="2008"/>
    <n v="2500"/>
    <n v="9"/>
    <m/>
    <m/>
    <m/>
    <m/>
    <m/>
    <m/>
    <m/>
    <n v="308593"/>
    <n v="209843"/>
    <n v="0"/>
    <n v="339200"/>
    <n v="50600"/>
    <n v="288600"/>
    <n v="0"/>
    <n v="0"/>
    <n v="89850.625589999996"/>
    <n v="-58009.662049032086"/>
    <n v="21557.329055999999"/>
    <n v="197752.34721000001"/>
    <n v="-12044.462427"/>
    <n v="66009.982955672007"/>
    <n v="0"/>
    <n v="0"/>
    <n v="19543.033605983997"/>
    <n v="34128.198946800003"/>
    <n v="0"/>
    <n v="0"/>
    <n v="326900"/>
    <n v="31800"/>
    <n v="358700"/>
    <n v="5.7488207547169809E-2"/>
    <n v="0.99970000000000003"/>
    <n v="1.0067999999999999"/>
    <n v="0.99650000000000005"/>
    <n v="0.98919999999999997"/>
    <n v="1.0074000000000001"/>
    <n v="0.94971499999999998"/>
    <n v="0.94951069644125163"/>
    <n v="326900"/>
    <n v="0"/>
    <n v="326900"/>
    <n v="30200"/>
    <n v="357100"/>
    <n v="0.13270963270963271"/>
    <n v="-0.40316205533596838"/>
    <n v="5.2771226415094338E-2"/>
  </r>
  <r>
    <n v="2025"/>
    <s v="18132314552    "/>
    <n v="-1.6607312068216509"/>
    <n v="0.19"/>
    <n v="8110"/>
    <s v="6"/>
    <s v="RES"/>
    <x v="0"/>
    <s v="11"/>
    <s v="259"/>
    <s v="TD"/>
    <s v="F+"/>
    <s v="AV"/>
    <x v="9"/>
    <n v="94"/>
    <n v="54"/>
    <n v="1930"/>
    <n v="1970"/>
    <n v="688"/>
    <m/>
    <n v="488"/>
    <n v="488"/>
    <m/>
    <m/>
    <n v="688"/>
    <n v="1000"/>
    <n v="5"/>
    <m/>
    <m/>
    <m/>
    <m/>
    <m/>
    <m/>
    <m/>
    <n v="145546"/>
    <n v="96060"/>
    <n v="0"/>
    <n v="238600"/>
    <n v="56600"/>
    <n v="182000"/>
    <n v="0"/>
    <n v="0"/>
    <n v="89850.625589999996"/>
    <n v="-52569.808201026557"/>
    <n v="0"/>
    <n v="160472.20319"/>
    <n v="-12044.462427"/>
    <n v="33993.164875376002"/>
    <n v="0"/>
    <n v="0"/>
    <n v="14191.964880535999"/>
    <n v="18960.110526"/>
    <n v="0"/>
    <n v="0"/>
    <n v="215600"/>
    <n v="37300"/>
    <n v="252900"/>
    <n v="5.9932942162615258E-2"/>
    <n v="0.99970000000000003"/>
    <n v="0.99180000000000001"/>
    <n v="0.99729999999999996"/>
    <n v="1.0148999999999999"/>
    <n v="1.0074000000000001"/>
    <n v="0.94971499999999998"/>
    <n v="0.96043597585476481"/>
    <n v="215600"/>
    <n v="0"/>
    <n v="215600"/>
    <n v="35400"/>
    <n v="251000"/>
    <n v="0.18461538461538463"/>
    <n v="-0.37455830388692579"/>
    <n v="5.1969823973176864E-2"/>
  </r>
  <r>
    <n v="2025"/>
    <s v="18132343410    "/>
    <n v="-1.3470736479666092"/>
    <n v="0.26"/>
    <n v="11385"/>
    <s v="6"/>
    <s v="RES"/>
    <x v="0"/>
    <s v="11"/>
    <s v="259"/>
    <s v="CL"/>
    <s v="A+"/>
    <s v="GD"/>
    <x v="9"/>
    <n v="94"/>
    <n v="54"/>
    <n v="1930"/>
    <n v="1970"/>
    <n v="1184"/>
    <n v="950"/>
    <n v="1028"/>
    <n v="709"/>
    <n v="319"/>
    <m/>
    <n v="2453"/>
    <n v="2500"/>
    <n v="9"/>
    <m/>
    <m/>
    <m/>
    <m/>
    <m/>
    <m/>
    <m/>
    <n v="432081"/>
    <n v="293815"/>
    <n v="17459"/>
    <n v="420600"/>
    <n v="67600"/>
    <n v="353000"/>
    <n v="0"/>
    <n v="0"/>
    <n v="89850.625589999996"/>
    <n v="-42641.098701210125"/>
    <n v="29814.093161000001"/>
    <n v="197752.34721000001"/>
    <n v="-12044.462427"/>
    <n v="58499.865134368003"/>
    <n v="42547.101717949998"/>
    <n v="0"/>
    <n v="29896.188313915998"/>
    <n v="34128.198946800003"/>
    <n v="0"/>
    <n v="17500"/>
    <n v="380600"/>
    <n v="47200"/>
    <n v="445300"/>
    <n v="5.872563005230623E-2"/>
    <n v="0.99970000000000003"/>
    <n v="1.0088999999999999"/>
    <n v="0.99650000000000005"/>
    <n v="0.98919999999999997"/>
    <n v="1.0074000000000001"/>
    <n v="0.94971499999999998"/>
    <n v="0.95149120146958555"/>
    <n v="380600"/>
    <n v="16600"/>
    <n v="397200"/>
    <n v="44800"/>
    <n v="442000"/>
    <n v="0.12521246458923513"/>
    <n v="-0.33727810650887574"/>
    <n v="5.0879695672848314E-2"/>
  </r>
  <r>
    <n v="2025"/>
    <s v="18132241033    "/>
    <n v="-1.3470736479666092"/>
    <n v="0.26"/>
    <n v="11388"/>
    <s v="6"/>
    <s v="RES"/>
    <x v="0"/>
    <s v="11"/>
    <s v="259"/>
    <s v="BG"/>
    <s v="G"/>
    <s v="GD"/>
    <x v="9"/>
    <n v="94"/>
    <n v="54"/>
    <n v="1930"/>
    <n v="1970"/>
    <n v="1216"/>
    <n v="940"/>
    <n v="1176"/>
    <n v="176"/>
    <n v="1000"/>
    <m/>
    <n v="3156"/>
    <n v="3500"/>
    <n v="13"/>
    <m/>
    <m/>
    <m/>
    <m/>
    <m/>
    <m/>
    <m/>
    <n v="538325"/>
    <n v="366061"/>
    <n v="13352"/>
    <n v="450300"/>
    <n v="67600"/>
    <n v="382700"/>
    <n v="0"/>
    <n v="0"/>
    <n v="89850.625589999996"/>
    <n v="-42641.098701210125"/>
    <n v="44121.038090000002"/>
    <n v="197752.34721000001"/>
    <n v="-12044.462427"/>
    <n v="60080.942570432002"/>
    <n v="42099.237489339997"/>
    <n v="0"/>
    <n v="34200.308810472001"/>
    <n v="49296.287367600002"/>
    <n v="0"/>
    <n v="13400"/>
    <n v="415500"/>
    <n v="47200"/>
    <n v="476100"/>
    <n v="5.7295136575616253E-2"/>
    <n v="0.99970000000000003"/>
    <n v="0.98050000000000004"/>
    <n v="0.99650000000000005"/>
    <n v="1.0126999999999999"/>
    <n v="1.0074000000000001"/>
    <n v="0.94971499999999998"/>
    <n v="0.94667510160736901"/>
    <n v="415500"/>
    <n v="12700"/>
    <n v="428200"/>
    <n v="44800"/>
    <n v="473000"/>
    <n v="0.11889208257120459"/>
    <n v="-0.33727810650887574"/>
    <n v="5.0410837219631355E-2"/>
  </r>
  <r>
    <n v="2025"/>
    <s v="18132323032    "/>
    <n v="-1.5606477482646683"/>
    <n v="0.21"/>
    <n v="8936"/>
    <s v="6"/>
    <s v="RES"/>
    <x v="0"/>
    <s v="11"/>
    <s v="259"/>
    <s v="RN"/>
    <s v="A"/>
    <s v="AV"/>
    <x v="9"/>
    <n v="94"/>
    <n v="54"/>
    <n v="1930"/>
    <n v="1970"/>
    <n v="1264"/>
    <m/>
    <m/>
    <n v="0"/>
    <m/>
    <m/>
    <n v="1264"/>
    <n v="1500"/>
    <n v="5"/>
    <m/>
    <m/>
    <m/>
    <m/>
    <m/>
    <m/>
    <m/>
    <n v="197715"/>
    <n v="130492"/>
    <n v="7015"/>
    <n v="282300"/>
    <n v="60100"/>
    <n v="222200"/>
    <n v="0"/>
    <n v="0"/>
    <n v="89850.625589999996"/>
    <n v="-49401.70477837498"/>
    <n v="21557.329055999999"/>
    <n v="160472.20319"/>
    <n v="-12044.462427"/>
    <n v="62452.558724528004"/>
    <n v="0"/>
    <n v="0"/>
    <n v="0"/>
    <n v="18960.110526"/>
    <n v="0"/>
    <n v="7000"/>
    <n v="251400"/>
    <n v="40400"/>
    <n v="298800"/>
    <n v="5.8448459086078638E-2"/>
    <n v="0.99970000000000003"/>
    <n v="1.0067999999999999"/>
    <n v="0.99729999999999996"/>
    <n v="1.0157"/>
    <n v="1.0074000000000001"/>
    <n v="0.94971499999999998"/>
    <n v="0.97573014419916293"/>
    <n v="251400"/>
    <n v="6700"/>
    <n v="258100"/>
    <n v="38400"/>
    <n v="296500"/>
    <n v="0.16156615661566157"/>
    <n v="-0.36106489184692181"/>
    <n v="5.0301098122564648E-2"/>
  </r>
  <r>
    <n v="2025"/>
    <s v="18132241437    "/>
    <n v="-1.5141277326297755"/>
    <n v="0.22"/>
    <n v="9536"/>
    <s v="6"/>
    <s v="RES"/>
    <x v="0"/>
    <s v="11"/>
    <s v="259"/>
    <s v="BG"/>
    <s v="A+"/>
    <s v="GD"/>
    <x v="9"/>
    <n v="94"/>
    <n v="54"/>
    <n v="1930"/>
    <n v="1970"/>
    <n v="976"/>
    <n v="497"/>
    <n v="993"/>
    <n v="0"/>
    <n v="993"/>
    <m/>
    <n v="2466"/>
    <n v="2500"/>
    <n v="7"/>
    <m/>
    <m/>
    <m/>
    <m/>
    <m/>
    <m/>
    <m/>
    <n v="362150"/>
    <n v="246262"/>
    <n v="10354"/>
    <n v="372300"/>
    <n v="61700"/>
    <n v="310600"/>
    <n v="0"/>
    <n v="0"/>
    <n v="89850.625589999996"/>
    <n v="-47929.131559187132"/>
    <n v="29814.093161000001"/>
    <n v="197752.34721000001"/>
    <n v="-12044.462427"/>
    <n v="48222.861799951999"/>
    <n v="22258.852161916999"/>
    <n v="0"/>
    <n v="28878.321980270997"/>
    <n v="26544.1547364"/>
    <n v="0"/>
    <n v="10400"/>
    <n v="341400"/>
    <n v="41900"/>
    <n v="393700"/>
    <n v="5.7480526457158204E-2"/>
    <n v="0.99970000000000003"/>
    <n v="1.0088999999999999"/>
    <n v="0.99650000000000005"/>
    <n v="0.98919999999999997"/>
    <n v="1.0074000000000001"/>
    <n v="0.94971499999999998"/>
    <n v="0.95149120146958555"/>
    <n v="341400"/>
    <n v="9800"/>
    <n v="351200"/>
    <n v="39800"/>
    <n v="391000"/>
    <n v="0.13071474565357372"/>
    <n v="-0.35494327390599678"/>
    <n v="5.0228310502283102E-2"/>
  </r>
  <r>
    <n v="2025"/>
    <s v="18132331454    "/>
    <n v="-1.8971199848858813"/>
    <n v="0.15"/>
    <m/>
    <s v="6"/>
    <s v="RES"/>
    <x v="0"/>
    <s v="11"/>
    <s v="259"/>
    <s v="BG"/>
    <s v="A"/>
    <s v="AV"/>
    <x v="9"/>
    <n v="94"/>
    <n v="54"/>
    <n v="1930"/>
    <n v="1970"/>
    <n v="1000"/>
    <n v="672"/>
    <n v="360"/>
    <n v="360"/>
    <m/>
    <m/>
    <n v="1672"/>
    <n v="2000"/>
    <n v="8"/>
    <m/>
    <m/>
    <m/>
    <m/>
    <m/>
    <m/>
    <m/>
    <n v="263783"/>
    <n v="174097"/>
    <n v="8171"/>
    <n v="310800"/>
    <n v="48400"/>
    <n v="262400"/>
    <n v="0"/>
    <n v="0"/>
    <n v="89850.625589999996"/>
    <n v="-60052.604136134301"/>
    <n v="21557.329055999999"/>
    <n v="160472.20319"/>
    <n v="-12044.462427"/>
    <n v="49408.669877"/>
    <n v="30096.476162592"/>
    <n v="0"/>
    <n v="10469.482288919999"/>
    <n v="30336.176841600001"/>
    <n v="0"/>
    <n v="8200"/>
    <n v="290300"/>
    <n v="29800"/>
    <n v="328300"/>
    <n v="5.6306306306306307E-2"/>
    <n v="0.99970000000000003"/>
    <n v="1.0067999999999999"/>
    <n v="0.99729999999999996"/>
    <n v="1.0093000000000001"/>
    <n v="1.0074000000000001"/>
    <n v="0.94971499999999998"/>
    <n v="0.96958199718441984"/>
    <n v="290300"/>
    <n v="7800"/>
    <n v="298100"/>
    <n v="28300"/>
    <n v="326400"/>
    <n v="0.13605182926829268"/>
    <n v="-0.41528925619834711"/>
    <n v="5.019305019305019E-2"/>
  </r>
  <r>
    <n v="2025"/>
    <s v="18132342014    "/>
    <n v="-1.5141277326297755"/>
    <n v="0.22"/>
    <n v="9755"/>
    <s v="6"/>
    <s v="RES"/>
    <x v="0"/>
    <s v="11"/>
    <s v="259"/>
    <s v="CL"/>
    <s v="G"/>
    <s v="GD"/>
    <x v="9"/>
    <n v="94"/>
    <n v="54"/>
    <n v="1930"/>
    <n v="1970"/>
    <n v="1356"/>
    <n v="952"/>
    <n v="996"/>
    <n v="0"/>
    <n v="996"/>
    <m/>
    <n v="3304"/>
    <n v="3500"/>
    <n v="10"/>
    <m/>
    <n v="360"/>
    <m/>
    <m/>
    <m/>
    <m/>
    <m/>
    <n v="597116"/>
    <n v="406039"/>
    <n v="0"/>
    <n v="425000"/>
    <n v="61700"/>
    <n v="363300"/>
    <n v="0"/>
    <n v="0"/>
    <n v="89850.625589999996"/>
    <n v="-47929.131559187132"/>
    <n v="44121.038090000002"/>
    <n v="197752.34721000001"/>
    <n v="-12044.462427"/>
    <n v="66998.156353212005"/>
    <n v="42636.674563672001"/>
    <n v="0"/>
    <n v="28965.567666011997"/>
    <n v="37920.221052000001"/>
    <n v="0"/>
    <n v="0"/>
    <n v="406300"/>
    <n v="41900"/>
    <n v="448200"/>
    <n v="5.4588235294117646E-2"/>
    <n v="0.99970000000000003"/>
    <n v="0.98050000000000004"/>
    <n v="0.99650000000000005"/>
    <n v="1.0126999999999999"/>
    <n v="1.0074000000000001"/>
    <n v="0.94971499999999998"/>
    <n v="0.94667510160736901"/>
    <n v="406300"/>
    <n v="0"/>
    <n v="406300"/>
    <n v="39800"/>
    <n v="446100"/>
    <n v="0.11835948252133223"/>
    <n v="-0.35494327390599678"/>
    <n v="4.9647058823529412E-2"/>
  </r>
  <r>
    <n v="2025"/>
    <s v="18132242416    "/>
    <n v="-1.4271163556401458"/>
    <n v="0.24"/>
    <n v="10438"/>
    <s v="6"/>
    <s v="RES"/>
    <x v="0"/>
    <s v="11"/>
    <s v="259"/>
    <s v="TD"/>
    <s v="A"/>
    <s v="AV"/>
    <x v="9"/>
    <n v="94"/>
    <n v="54"/>
    <n v="1930"/>
    <n v="1970"/>
    <n v="1402"/>
    <m/>
    <n v="684"/>
    <n v="684"/>
    <n v="0"/>
    <m/>
    <n v="1402"/>
    <n v="1500"/>
    <n v="5"/>
    <m/>
    <m/>
    <m/>
    <m/>
    <m/>
    <m/>
    <m/>
    <n v="248180"/>
    <n v="163799"/>
    <n v="3400"/>
    <n v="308400"/>
    <n v="64800"/>
    <n v="243600"/>
    <n v="0"/>
    <n v="0"/>
    <n v="89850.625589999996"/>
    <n v="-45174.819855485119"/>
    <n v="21557.329055999999"/>
    <n v="160472.20319"/>
    <n v="-12044.462427"/>
    <n v="69270.955167553999"/>
    <n v="0"/>
    <n v="0"/>
    <n v="19892.016348948"/>
    <n v="18960.110526"/>
    <n v="0"/>
    <n v="3400"/>
    <n v="278100"/>
    <n v="44700"/>
    <n v="326200"/>
    <n v="5.7717250324254218E-2"/>
    <n v="0.99970000000000003"/>
    <n v="1.0067999999999999"/>
    <n v="0.99729999999999996"/>
    <n v="1.0157"/>
    <n v="1.0074000000000001"/>
    <n v="0.94971499999999998"/>
    <n v="0.97573014419916293"/>
    <n v="278100"/>
    <n v="3200"/>
    <n v="281300"/>
    <n v="42400"/>
    <n v="323700"/>
    <n v="0.15476190476190477"/>
    <n v="-0.34567901234567899"/>
    <n v="4.9610894941634238E-2"/>
  </r>
  <r>
    <n v="2025"/>
    <s v="18132332576    "/>
    <n v="-1.8325814637483102"/>
    <n v="0.16"/>
    <m/>
    <s v="6"/>
    <s v="RES"/>
    <x v="0"/>
    <s v="11"/>
    <s v="259"/>
    <s v="BG"/>
    <s v="A"/>
    <s v="AV"/>
    <x v="9"/>
    <n v="94"/>
    <n v="54"/>
    <n v="1930"/>
    <n v="1970"/>
    <n v="992"/>
    <n v="341"/>
    <n v="992"/>
    <n v="0"/>
    <n v="992"/>
    <m/>
    <n v="2325"/>
    <n v="2500"/>
    <n v="7"/>
    <m/>
    <m/>
    <n v="300"/>
    <m/>
    <m/>
    <m/>
    <m/>
    <n v="300271"/>
    <n v="198179"/>
    <n v="20667"/>
    <n v="333800"/>
    <n v="50600"/>
    <n v="283200"/>
    <n v="0"/>
    <n v="0"/>
    <n v="89850.625589999996"/>
    <n v="-58009.662049032086"/>
    <n v="21557.329055999999"/>
    <n v="160472.20319"/>
    <n v="-12044.462427"/>
    <n v="49013.400517984002"/>
    <n v="15272.170195601"/>
    <n v="0"/>
    <n v="28849.240085023997"/>
    <n v="26544.1547364"/>
    <n v="9988.6545828000017"/>
    <n v="20700"/>
    <n v="299700"/>
    <n v="31800"/>
    <n v="352200"/>
    <n v="5.5122828040742963E-2"/>
    <n v="0.99970000000000003"/>
    <n v="1.0067999999999999"/>
    <n v="0.99729999999999996"/>
    <n v="0.98919999999999997"/>
    <n v="1.0074000000000001"/>
    <n v="0.94971499999999998"/>
    <n v="0.95027297296624202"/>
    <n v="299700"/>
    <n v="19600"/>
    <n v="319300"/>
    <n v="30200"/>
    <n v="349500"/>
    <n v="0.12747175141242939"/>
    <n v="-0.40316205533596838"/>
    <n v="4.7034152186938287E-2"/>
  </r>
  <r>
    <n v="2025"/>
    <s v="18132344040    "/>
    <n v="-1.7719568419318752"/>
    <n v="0.17"/>
    <m/>
    <s v="6"/>
    <s v="RES"/>
    <x v="0"/>
    <s v="11"/>
    <s v="259"/>
    <s v="TD"/>
    <s v="F+"/>
    <s v="GD"/>
    <x v="9"/>
    <n v="94"/>
    <n v="54"/>
    <n v="1930"/>
    <n v="1970"/>
    <n v="2666"/>
    <m/>
    <m/>
    <n v="0"/>
    <m/>
    <m/>
    <n v="2666"/>
    <n v="3000"/>
    <n v="8"/>
    <m/>
    <m/>
    <m/>
    <m/>
    <m/>
    <m/>
    <m/>
    <n v="413250"/>
    <n v="281010"/>
    <n v="0"/>
    <n v="363000"/>
    <n v="52700"/>
    <n v="310300"/>
    <n v="0"/>
    <n v="0"/>
    <n v="89850.625589999996"/>
    <n v="-56090.612940989391"/>
    <n v="0"/>
    <n v="197752.34721000001"/>
    <n v="-12044.462427"/>
    <n v="131723.513892082"/>
    <n v="0"/>
    <n v="0"/>
    <n v="0"/>
    <n v="30336.176841600001"/>
    <n v="0"/>
    <n v="0"/>
    <n v="347800"/>
    <n v="33800"/>
    <n v="381600"/>
    <n v="5.1239669421487603E-2"/>
    <n v="0.99970000000000003"/>
    <n v="0.99180000000000001"/>
    <n v="0.99650000000000005"/>
    <n v="0.96179999999999999"/>
    <n v="1.0074000000000001"/>
    <n v="0.94971499999999998"/>
    <n v="0.90945543701227427"/>
    <n v="347800"/>
    <n v="0"/>
    <n v="347800"/>
    <n v="32100"/>
    <n v="379900"/>
    <n v="0.12085078955849178"/>
    <n v="-0.39089184060721061"/>
    <n v="4.6556473829201105E-2"/>
  </r>
  <r>
    <n v="2025"/>
    <s v="18132214403    "/>
    <n v="-1.7147984280919266"/>
    <n v="0.18"/>
    <n v="7835"/>
    <s v="6"/>
    <s v="RES"/>
    <x v="0"/>
    <s v="11"/>
    <s v="259"/>
    <s v="TD"/>
    <s v="F+"/>
    <s v="FR"/>
    <x v="9"/>
    <n v="94"/>
    <n v="54"/>
    <n v="1930"/>
    <n v="1970"/>
    <n v="974"/>
    <m/>
    <n v="358"/>
    <n v="0"/>
    <n v="358"/>
    <m/>
    <n v="1332"/>
    <n v="1500"/>
    <n v="5"/>
    <m/>
    <m/>
    <n v="77"/>
    <m/>
    <m/>
    <m/>
    <m/>
    <n v="184046"/>
    <n v="117789"/>
    <n v="6013"/>
    <n v="230600"/>
    <n v="54700"/>
    <n v="175900"/>
    <n v="0"/>
    <n v="0"/>
    <n v="89850.625589999996"/>
    <n v="-54281.285314520763"/>
    <n v="0"/>
    <n v="133714.53821"/>
    <n v="-12044.462427"/>
    <n v="48124.044460197998"/>
    <n v="0"/>
    <n v="0"/>
    <n v="10411.318498425999"/>
    <n v="18960.110526"/>
    <n v="2563.7546762520001"/>
    <n v="6000"/>
    <n v="201700"/>
    <n v="35600"/>
    <n v="243300"/>
    <n v="5.507372072853426E-2"/>
    <n v="0.99970000000000003"/>
    <n v="0.99180000000000001"/>
    <n v="0.99329999999999996"/>
    <n v="1.0157"/>
    <n v="1.0074000000000001"/>
    <n v="0.94971499999999998"/>
    <n v="0.95733786314897451"/>
    <n v="201700"/>
    <n v="5700"/>
    <n v="207400"/>
    <n v="33800"/>
    <n v="241200"/>
    <n v="0.17907902217168845"/>
    <n v="-0.38208409506398539"/>
    <n v="4.5967042497831741E-2"/>
  </r>
  <r>
    <n v="2025"/>
    <s v="18132342003    "/>
    <n v="-1.9661128563728327"/>
    <n v="0.14000000000000001"/>
    <m/>
    <s v="6"/>
    <s v="RES"/>
    <x v="0"/>
    <s v="11"/>
    <s v="259"/>
    <s v="MS"/>
    <s v="A+"/>
    <s v="AV"/>
    <x v="9"/>
    <n v="94"/>
    <n v="54"/>
    <n v="1930"/>
    <n v="1970"/>
    <n v="1249"/>
    <m/>
    <n v="694"/>
    <n v="174"/>
    <n v="520"/>
    <m/>
    <n v="1769"/>
    <n v="2000"/>
    <n v="6"/>
    <m/>
    <m/>
    <n v="120"/>
    <m/>
    <m/>
    <m/>
    <m/>
    <n v="290043"/>
    <n v="191428"/>
    <n v="1745"/>
    <n v="301800"/>
    <n v="46000"/>
    <n v="255800"/>
    <n v="0"/>
    <n v="0"/>
    <n v="89850.625589999996"/>
    <n v="-62236.546971921947"/>
    <n v="29814.093161000001"/>
    <n v="160472.20319"/>
    <n v="-12044.462427"/>
    <n v="61711.428676373005"/>
    <n v="0"/>
    <n v="0"/>
    <n v="20182.835301417999"/>
    <n v="22752.132631200002"/>
    <n v="3995.4618331200004"/>
    <n v="1700"/>
    <n v="286900"/>
    <n v="27600"/>
    <n v="316200"/>
    <n v="4.7713717693836977E-2"/>
    <n v="0.99970000000000003"/>
    <n v="1.0088999999999999"/>
    <n v="0.99729999999999996"/>
    <n v="1.0093000000000001"/>
    <n v="1.0074000000000001"/>
    <n v="0.94971499999999998"/>
    <n v="0.97160436726197974"/>
    <n v="286900"/>
    <n v="1700"/>
    <n v="288600"/>
    <n v="26200"/>
    <n v="314800"/>
    <n v="0.12822517591868648"/>
    <n v="-0.43043478260869567"/>
    <n v="4.3074884029158385E-2"/>
  </r>
  <r>
    <n v="2025"/>
    <s v="18132214412    "/>
    <n v="-1.6094379124341003"/>
    <n v="0.2"/>
    <n v="8580"/>
    <s v="6"/>
    <s v="RES"/>
    <x v="0"/>
    <s v="11"/>
    <s v="259"/>
    <s v="BG"/>
    <s v="A+"/>
    <s v="GD"/>
    <x v="9"/>
    <n v="94"/>
    <n v="54"/>
    <n v="1930"/>
    <n v="1970"/>
    <n v="1460"/>
    <m/>
    <n v="966"/>
    <n v="0"/>
    <n v="966"/>
    <m/>
    <n v="2426"/>
    <n v="2500"/>
    <n v="9"/>
    <m/>
    <m/>
    <m/>
    <m/>
    <m/>
    <m/>
    <m/>
    <n v="354616"/>
    <n v="241139"/>
    <n v="5261"/>
    <n v="375700"/>
    <n v="58400"/>
    <n v="317300"/>
    <n v="0"/>
    <n v="0"/>
    <n v="89850.625589999996"/>
    <n v="-50946.13867709865"/>
    <n v="29814.093161000001"/>
    <n v="197752.34721000001"/>
    <n v="-12044.462427"/>
    <n v="72136.65802042"/>
    <n v="0"/>
    <n v="0"/>
    <n v="28093.110808601999"/>
    <n v="34128.198946800003"/>
    <n v="0"/>
    <n v="5300"/>
    <n v="349900"/>
    <n v="38900"/>
    <n v="394100"/>
    <n v="4.8975246207080117E-2"/>
    <n v="0.99970000000000003"/>
    <n v="1.0088999999999999"/>
    <n v="0.99650000000000005"/>
    <n v="0.98919999999999997"/>
    <n v="1.0074000000000001"/>
    <n v="0.94971499999999998"/>
    <n v="0.95149120146958555"/>
    <n v="349900"/>
    <n v="5000"/>
    <n v="354900"/>
    <n v="36900"/>
    <n v="391800"/>
    <n v="0.11849984242042232"/>
    <n v="-0.36815068493150682"/>
    <n v="4.2853340431195104E-2"/>
  </r>
  <r>
    <n v="2025"/>
    <s v="18132213007    "/>
    <n v="-1.6607312068216509"/>
    <n v="0.19"/>
    <n v="8218"/>
    <s v="6"/>
    <s v="RES"/>
    <x v="0"/>
    <s v="11"/>
    <s v="259"/>
    <s v="TD"/>
    <s v="A"/>
    <s v="AV"/>
    <x v="9"/>
    <n v="94"/>
    <n v="54"/>
    <n v="1930"/>
    <n v="1970"/>
    <n v="966"/>
    <m/>
    <n v="966"/>
    <n v="483"/>
    <n v="483"/>
    <m/>
    <n v="1449"/>
    <n v="1500"/>
    <n v="5"/>
    <n v="336"/>
    <m/>
    <m/>
    <m/>
    <m/>
    <m/>
    <m/>
    <n v="237152"/>
    <n v="156520"/>
    <n v="0"/>
    <n v="287900"/>
    <n v="56600"/>
    <n v="231300"/>
    <n v="0"/>
    <n v="0"/>
    <n v="89850.625589999996"/>
    <n v="-52569.808201026557"/>
    <n v="21557.329055999999"/>
    <n v="160472.20319"/>
    <n v="-12044.462427"/>
    <n v="47728.775101182"/>
    <n v="0"/>
    <n v="0"/>
    <n v="28093.110808601999"/>
    <n v="18960.110526"/>
    <n v="0"/>
    <n v="0"/>
    <n v="264800"/>
    <n v="37300"/>
    <n v="302100"/>
    <n v="4.9322681486627301E-2"/>
    <n v="0.99970000000000003"/>
    <n v="1.0067999999999999"/>
    <n v="0.99729999999999996"/>
    <n v="1.0157"/>
    <n v="1.0074000000000001"/>
    <n v="0.94971499999999998"/>
    <n v="0.97573014419916293"/>
    <n v="264800"/>
    <n v="0"/>
    <n v="264800"/>
    <n v="35400"/>
    <n v="300200"/>
    <n v="0.14483354950281022"/>
    <n v="-0.37455830388692579"/>
    <n v="4.2723167766585621E-2"/>
  </r>
  <r>
    <n v="2025"/>
    <s v="18132344499    "/>
    <n v="-1.5141277326297755"/>
    <n v="0.22"/>
    <m/>
    <s v="6"/>
    <s v="RES"/>
    <x v="0"/>
    <s v="11"/>
    <s v="259"/>
    <s v="BG"/>
    <s v="A"/>
    <s v="GD"/>
    <x v="9"/>
    <n v="94"/>
    <n v="54"/>
    <n v="1930"/>
    <n v="1970"/>
    <n v="1176"/>
    <m/>
    <n v="1050"/>
    <n v="0"/>
    <n v="1050"/>
    <m/>
    <n v="2226"/>
    <n v="2500"/>
    <n v="6"/>
    <m/>
    <m/>
    <m/>
    <m/>
    <m/>
    <m/>
    <m/>
    <n v="279233"/>
    <n v="189878"/>
    <n v="4340"/>
    <n v="347900"/>
    <n v="61700"/>
    <n v="286200"/>
    <n v="0"/>
    <n v="0"/>
    <n v="89850.625589999996"/>
    <n v="-47929.131559187132"/>
    <n v="21557.329055999999"/>
    <n v="197752.34721000001"/>
    <n v="-12044.462427"/>
    <n v="58104.595775351998"/>
    <n v="0"/>
    <n v="0"/>
    <n v="30535.99000935"/>
    <n v="22752.132631200002"/>
    <n v="0"/>
    <n v="4300"/>
    <n v="318700"/>
    <n v="41900"/>
    <n v="364900"/>
    <n v="4.8864616269042829E-2"/>
    <n v="0.99970000000000003"/>
    <n v="1.0067999999999999"/>
    <n v="0.99650000000000005"/>
    <n v="0.98919999999999997"/>
    <n v="1.0074000000000001"/>
    <n v="0.94971499999999998"/>
    <n v="0.94951069644125163"/>
    <n v="318700"/>
    <n v="4100"/>
    <n v="322800"/>
    <n v="39800"/>
    <n v="362600"/>
    <n v="0.1278825995807128"/>
    <n v="-0.35494327390599678"/>
    <n v="4.2253521126760563E-2"/>
  </r>
  <r>
    <n v="2025"/>
    <s v="18132332418    "/>
    <n v="-1.7719568419318752"/>
    <n v="0.17"/>
    <n v="7588"/>
    <s v="6"/>
    <s v="RES"/>
    <x v="0"/>
    <s v="11"/>
    <s v="259"/>
    <s v="BG"/>
    <s v="A"/>
    <s v="AV"/>
    <x v="9"/>
    <n v="94"/>
    <n v="54"/>
    <n v="1930"/>
    <n v="1970"/>
    <n v="1362"/>
    <m/>
    <n v="1022"/>
    <n v="0"/>
    <n v="1022"/>
    <m/>
    <n v="2384"/>
    <n v="2500"/>
    <n v="8"/>
    <m/>
    <m/>
    <n v="396"/>
    <m/>
    <m/>
    <m/>
    <m/>
    <n v="315357"/>
    <n v="208136"/>
    <n v="5261"/>
    <n v="333900"/>
    <n v="52700"/>
    <n v="281200"/>
    <n v="0"/>
    <n v="0"/>
    <n v="89850.625589999996"/>
    <n v="-56090.612940989391"/>
    <n v="21557.329055999999"/>
    <n v="160472.20319"/>
    <n v="-12044.462427"/>
    <n v="67294.608372474002"/>
    <n v="0"/>
    <n v="0"/>
    <n v="29721.696942433999"/>
    <n v="30336.176841600001"/>
    <n v="13185.024049296002"/>
    <n v="5300"/>
    <n v="310500"/>
    <n v="33800"/>
    <n v="349600"/>
    <n v="4.7020065887990417E-2"/>
    <n v="0.99970000000000003"/>
    <n v="1.0067999999999999"/>
    <n v="0.99729999999999996"/>
    <n v="0.98919999999999997"/>
    <n v="1.0074000000000001"/>
    <n v="0.94971499999999998"/>
    <n v="0.95027297296624202"/>
    <n v="310500"/>
    <n v="5000"/>
    <n v="315500"/>
    <n v="32100"/>
    <n v="347600"/>
    <n v="0.12197724039829302"/>
    <n v="-0.39089184060721061"/>
    <n v="4.1030248577418389E-2"/>
  </r>
  <r>
    <n v="2025"/>
    <s v="18132331409    "/>
    <n v="-1.4696759700589417"/>
    <n v="0.23"/>
    <n v="9828"/>
    <s v="6"/>
    <s v="RES"/>
    <x v="0"/>
    <s v="11"/>
    <s v="259"/>
    <s v="TU"/>
    <s v="G"/>
    <s v="GD"/>
    <x v="9"/>
    <n v="94"/>
    <n v="54"/>
    <n v="1930"/>
    <n v="1970"/>
    <n v="1661"/>
    <n v="828"/>
    <n v="1661"/>
    <n v="0"/>
    <n v="1661"/>
    <m/>
    <n v="4150"/>
    <n v="4500"/>
    <n v="12"/>
    <m/>
    <m/>
    <m/>
    <m/>
    <m/>
    <m/>
    <m/>
    <n v="692752"/>
    <n v="471071"/>
    <n v="13177"/>
    <n v="477300"/>
    <n v="63300"/>
    <n v="414000"/>
    <n v="0"/>
    <n v="0"/>
    <n v="89850.625589999996"/>
    <n v="-46522.028095997222"/>
    <n v="44121.038090000002"/>
    <n v="197752.34721000001"/>
    <n v="-12044.462427"/>
    <n v="82067.800665696996"/>
    <n v="37083.158128907999"/>
    <n v="0"/>
    <n v="48305.028005266999"/>
    <n v="45504.265262400004"/>
    <n v="0"/>
    <n v="13200"/>
    <n v="442800"/>
    <n v="43300"/>
    <n v="499300"/>
    <n v="4.6092604232139116E-2"/>
    <n v="0.99970000000000003"/>
    <n v="0.98050000000000004"/>
    <n v="0.99650000000000005"/>
    <n v="1"/>
    <n v="1.0074000000000001"/>
    <n v="0.94971499999999998"/>
    <n v="0.93480310220931084"/>
    <n v="442800"/>
    <n v="12500"/>
    <n v="455300"/>
    <n v="41100"/>
    <n v="496400"/>
    <n v="9.9758454106280189E-2"/>
    <n v="-0.35071090047393366"/>
    <n v="4.0016760946993503E-2"/>
  </r>
  <r>
    <n v="2025"/>
    <s v="18132333464    "/>
    <n v="-1.8325814637483102"/>
    <n v="0.16"/>
    <n v="7150"/>
    <s v="6"/>
    <s v="RES"/>
    <x v="0"/>
    <s v="11"/>
    <s v="259"/>
    <s v="TD"/>
    <s v="A+"/>
    <s v="AV"/>
    <x v="9"/>
    <n v="94"/>
    <n v="54"/>
    <n v="1930"/>
    <n v="1970"/>
    <n v="988"/>
    <m/>
    <n v="988"/>
    <n v="494"/>
    <n v="494"/>
    <m/>
    <n v="1482"/>
    <n v="1500"/>
    <n v="7"/>
    <m/>
    <m/>
    <m/>
    <m/>
    <m/>
    <m/>
    <m/>
    <n v="287870"/>
    <n v="189994"/>
    <n v="0"/>
    <n v="300800"/>
    <n v="50600"/>
    <n v="250200"/>
    <n v="0"/>
    <n v="0"/>
    <n v="89850.625589999996"/>
    <n v="-58009.662049032086"/>
    <n v="29814.093161000001"/>
    <n v="160472.20319"/>
    <n v="-12044.462427"/>
    <n v="48815.765838476"/>
    <n v="0"/>
    <n v="0"/>
    <n v="28732.912504035998"/>
    <n v="26544.1547364"/>
    <n v="0"/>
    <n v="0"/>
    <n v="282300"/>
    <n v="31800"/>
    <n v="314100"/>
    <n v="4.4215425531914897E-2"/>
    <n v="0.99970000000000003"/>
    <n v="1.0088999999999999"/>
    <n v="0.99729999999999996"/>
    <n v="1.0157"/>
    <n v="1.0074000000000001"/>
    <n v="0.94971499999999998"/>
    <n v="0.97776533818289202"/>
    <n v="282300"/>
    <n v="0"/>
    <n v="282300"/>
    <n v="30200"/>
    <n v="312500"/>
    <n v="0.12829736211031176"/>
    <n v="-0.40316205533596838"/>
    <n v="3.8896276595744683E-2"/>
  </r>
  <r>
    <n v="2025"/>
    <s v="18132313410    "/>
    <n v="-1.3093333199837622"/>
    <n v="0.27"/>
    <n v="11896"/>
    <s v="6"/>
    <s v="RES"/>
    <x v="0"/>
    <s v="11"/>
    <s v="259"/>
    <s v="CP"/>
    <s v="G"/>
    <s v="GD"/>
    <x v="9"/>
    <n v="94"/>
    <n v="54"/>
    <n v="1930"/>
    <n v="1970"/>
    <n v="2047"/>
    <m/>
    <n v="667"/>
    <n v="0"/>
    <n v="667"/>
    <m/>
    <n v="2714"/>
    <n v="3000"/>
    <n v="11"/>
    <m/>
    <m/>
    <m/>
    <m/>
    <m/>
    <m/>
    <m/>
    <n v="497257"/>
    <n v="338135"/>
    <n v="42322"/>
    <n v="460700"/>
    <n v="68900"/>
    <n v="391800"/>
    <n v="0"/>
    <n v="0"/>
    <n v="89850.625589999996"/>
    <n v="-41446.443120973789"/>
    <n v="44121.038090000002"/>
    <n v="197752.34721000001"/>
    <n v="-12044.462427"/>
    <n v="101139.54723821901"/>
    <n v="0"/>
    <n v="0"/>
    <n v="19397.624129748998"/>
    <n v="41712.243157199999"/>
    <n v="0"/>
    <n v="42300"/>
    <n v="392100"/>
    <n v="48400"/>
    <n v="482800"/>
    <n v="4.797047970479705E-2"/>
    <n v="0.99970000000000003"/>
    <n v="0.98050000000000004"/>
    <n v="0.99650000000000005"/>
    <n v="0.96179999999999999"/>
    <n v="1.0074000000000001"/>
    <n v="0.94971499999999998"/>
    <n v="0.89909362370491519"/>
    <n v="392100"/>
    <n v="40200"/>
    <n v="432300"/>
    <n v="46000"/>
    <n v="478300"/>
    <n v="0.10336906584992343"/>
    <n v="-0.33236574746008707"/>
    <n v="3.8202734968526157E-2"/>
  </r>
  <r>
    <n v="2025"/>
    <s v="18132213049    "/>
    <n v="-1.5141277326297755"/>
    <n v="0.22"/>
    <n v="9371"/>
    <s v="6"/>
    <s v="RES"/>
    <x v="0"/>
    <s v="11"/>
    <s v="259"/>
    <s v="FH"/>
    <s v="A"/>
    <s v="AV"/>
    <x v="9"/>
    <n v="94"/>
    <n v="54"/>
    <n v="1930"/>
    <n v="1970"/>
    <n v="1162"/>
    <n v="752"/>
    <n v="1162"/>
    <n v="812"/>
    <n v="350"/>
    <m/>
    <n v="2264"/>
    <n v="2500"/>
    <n v="8"/>
    <m/>
    <m/>
    <m/>
    <m/>
    <m/>
    <m/>
    <m/>
    <n v="355752"/>
    <n v="234796"/>
    <n v="25357"/>
    <n v="374800"/>
    <n v="61700"/>
    <n v="313100"/>
    <n v="0"/>
    <n v="0"/>
    <n v="89850.625589999996"/>
    <n v="-47929.131559187132"/>
    <n v="21557.329055999999"/>
    <n v="160472.20319"/>
    <n v="-12044.462427"/>
    <n v="57412.874397074003"/>
    <n v="33679.389991472002"/>
    <n v="0"/>
    <n v="33793.162277013995"/>
    <n v="30336.176841600001"/>
    <n v="0"/>
    <n v="25400"/>
    <n v="325200"/>
    <n v="41900"/>
    <n v="392500"/>
    <n v="4.7225186766275344E-2"/>
    <n v="0.99970000000000003"/>
    <n v="1.0067999999999999"/>
    <n v="0.99729999999999996"/>
    <n v="0.98919999999999997"/>
    <n v="1.0074000000000001"/>
    <n v="0.94971499999999998"/>
    <n v="0.95027297296624202"/>
    <n v="325200"/>
    <n v="24100"/>
    <n v="349300"/>
    <n v="39800"/>
    <n v="389100"/>
    <n v="0.11561801341424464"/>
    <n v="-0.35494327390599678"/>
    <n v="3.8153681963713978E-2"/>
  </r>
  <r>
    <n v="2025"/>
    <s v="18132344443    "/>
    <n v="-1.8971199848858813"/>
    <n v="0.15"/>
    <n v="6500"/>
    <s v="6"/>
    <s v="RES"/>
    <x v="0"/>
    <s v="11"/>
    <s v="259"/>
    <s v="TD"/>
    <s v="A"/>
    <s v="AV"/>
    <x v="9"/>
    <n v="94"/>
    <n v="54"/>
    <n v="1930"/>
    <n v="1970"/>
    <n v="1132"/>
    <m/>
    <n v="453"/>
    <n v="0"/>
    <n v="453"/>
    <m/>
    <n v="1585"/>
    <n v="2000"/>
    <n v="5"/>
    <m/>
    <m/>
    <m/>
    <m/>
    <m/>
    <m/>
    <m/>
    <n v="239176"/>
    <n v="157856"/>
    <n v="0"/>
    <n v="276300"/>
    <n v="48400"/>
    <n v="227900"/>
    <n v="0"/>
    <n v="0"/>
    <n v="89850.625589999996"/>
    <n v="-60052.604136134301"/>
    <n v="21557.329055999999"/>
    <n v="160472.20319"/>
    <n v="-12044.462427"/>
    <n v="55930.614300763998"/>
    <n v="0"/>
    <n v="0"/>
    <n v="13174.098546890998"/>
    <n v="18960.110526"/>
    <n v="0"/>
    <n v="0"/>
    <n v="258000"/>
    <n v="29800"/>
    <n v="287800"/>
    <n v="4.1621425986246831E-2"/>
    <n v="0.99970000000000003"/>
    <n v="1.0067999999999999"/>
    <n v="0.99729999999999996"/>
    <n v="1.0093000000000001"/>
    <n v="1.0074000000000001"/>
    <n v="0.94971499999999998"/>
    <n v="0.96958199718441984"/>
    <n v="258000"/>
    <n v="0"/>
    <n v="258000"/>
    <n v="28300"/>
    <n v="286300"/>
    <n v="0.13207547169811321"/>
    <n v="-0.41528925619834711"/>
    <n v="3.6192544335866814E-2"/>
  </r>
  <r>
    <n v="2025"/>
    <s v="18132313424    "/>
    <n v="-1.2729656758128873"/>
    <n v="0.28000000000000003"/>
    <n v="12046"/>
    <s v="6"/>
    <s v="RES"/>
    <x v="0"/>
    <s v="11"/>
    <s v="259"/>
    <s v="BG"/>
    <s v="G"/>
    <s v="AV"/>
    <x v="9"/>
    <n v="94"/>
    <n v="54"/>
    <n v="1930"/>
    <n v="1970"/>
    <n v="1221"/>
    <n v="917"/>
    <n v="1221"/>
    <n v="685"/>
    <n v="536"/>
    <m/>
    <n v="2674"/>
    <n v="3000"/>
    <n v="9"/>
    <m/>
    <m/>
    <m/>
    <m/>
    <m/>
    <m/>
    <m/>
    <n v="508789"/>
    <n v="335801"/>
    <n v="16110"/>
    <n v="411200"/>
    <n v="70100"/>
    <n v="341100"/>
    <n v="0"/>
    <n v="0"/>
    <n v="89850.625589999996"/>
    <n v="-40295.239319339329"/>
    <n v="44121.038090000002"/>
    <n v="160472.20319"/>
    <n v="-12044.462427"/>
    <n v="60327.985919817002"/>
    <n v="41069.149763536996"/>
    <n v="0"/>
    <n v="35508.994096586997"/>
    <n v="34128.198946800003"/>
    <n v="0"/>
    <n v="16100"/>
    <n v="363600"/>
    <n v="49600"/>
    <n v="429300"/>
    <n v="4.4017509727626462E-2"/>
    <n v="0.99970000000000003"/>
    <n v="0.98050000000000004"/>
    <n v="0.99729999999999996"/>
    <n v="0.96179999999999999"/>
    <n v="1.0074000000000001"/>
    <n v="0.94971499999999998"/>
    <n v="0.89981542490809019"/>
    <n v="363600"/>
    <n v="15300"/>
    <n v="378900"/>
    <n v="47100"/>
    <n v="426000"/>
    <n v="0.11081794195250659"/>
    <n v="-0.32810271041369471"/>
    <n v="3.5992217898832682E-2"/>
  </r>
  <r>
    <n v="2025"/>
    <s v="18132324469    "/>
    <n v="-1.8325814637483102"/>
    <n v="0.16"/>
    <m/>
    <s v="6"/>
    <s v="RES"/>
    <x v="0"/>
    <s v="11"/>
    <s v="259"/>
    <s v="TD"/>
    <s v="G"/>
    <s v="AV"/>
    <x v="9"/>
    <n v="94"/>
    <n v="54"/>
    <n v="1930"/>
    <n v="1970"/>
    <n v="1180"/>
    <m/>
    <n v="1180"/>
    <n v="590"/>
    <n v="590"/>
    <m/>
    <n v="1770"/>
    <n v="2000"/>
    <n v="8"/>
    <m/>
    <m/>
    <m/>
    <m/>
    <m/>
    <m/>
    <m/>
    <n v="364413"/>
    <n v="240513"/>
    <n v="8922"/>
    <n v="341900"/>
    <n v="50600"/>
    <n v="291300"/>
    <n v="0"/>
    <n v="0"/>
    <n v="89850.625589999996"/>
    <n v="-58009.662049032086"/>
    <n v="44121.038090000002"/>
    <n v="160472.20319"/>
    <n v="-12044.462427"/>
    <n v="58302.23045486"/>
    <n v="0"/>
    <n v="0"/>
    <n v="34316.636391460001"/>
    <n v="30336.176841600001"/>
    <n v="0"/>
    <n v="8900"/>
    <n v="315500"/>
    <n v="31800"/>
    <n v="356200"/>
    <n v="4.1825095057034217E-2"/>
    <n v="0.99970000000000003"/>
    <n v="0.98050000000000004"/>
    <n v="0.99729999999999996"/>
    <n v="1.0093000000000001"/>
    <n v="1.0074000000000001"/>
    <n v="0.94971499999999998"/>
    <n v="0.9442542195464082"/>
    <n v="315500"/>
    <n v="8500"/>
    <n v="324000"/>
    <n v="30200"/>
    <n v="354200"/>
    <n v="0.11225540679711637"/>
    <n v="-0.40316205533596838"/>
    <n v="3.597543141269377E-2"/>
  </r>
  <r>
    <n v="2025"/>
    <s v="18132324470    "/>
    <n v="-1.8325814637483102"/>
    <n v="0.16"/>
    <m/>
    <s v="6"/>
    <s v="RES"/>
    <x v="0"/>
    <s v="11"/>
    <s v="259"/>
    <s v="TD"/>
    <s v="G"/>
    <s v="AV"/>
    <x v="9"/>
    <n v="94"/>
    <n v="54"/>
    <n v="1930"/>
    <n v="1970"/>
    <n v="1175"/>
    <m/>
    <n v="805"/>
    <n v="5"/>
    <n v="800"/>
    <m/>
    <n v="1975"/>
    <n v="2000"/>
    <n v="7"/>
    <m/>
    <m/>
    <m/>
    <m/>
    <m/>
    <m/>
    <m/>
    <n v="340991"/>
    <n v="225054"/>
    <n v="4598"/>
    <n v="323600"/>
    <n v="50600"/>
    <n v="273000"/>
    <n v="0"/>
    <n v="0"/>
    <n v="89850.625589999996"/>
    <n v="-58009.662049032086"/>
    <n v="44121.038090000002"/>
    <n v="160472.20319"/>
    <n v="-12044.462427"/>
    <n v="58055.187105475001"/>
    <n v="0"/>
    <n v="0"/>
    <n v="23410.925673834998"/>
    <n v="26544.1547364"/>
    <n v="0"/>
    <n v="4600"/>
    <n v="300600"/>
    <n v="31800"/>
    <n v="337000"/>
    <n v="4.1409147095179233E-2"/>
    <n v="0.99970000000000003"/>
    <n v="0.98050000000000004"/>
    <n v="0.99729999999999996"/>
    <n v="1.0093000000000001"/>
    <n v="1.0074000000000001"/>
    <n v="0.94971499999999998"/>
    <n v="0.9442542195464082"/>
    <n v="300600"/>
    <n v="4400"/>
    <n v="305000"/>
    <n v="30200"/>
    <n v="335200"/>
    <n v="0.11721611721611722"/>
    <n v="-0.40316205533596838"/>
    <n v="3.5846724351050678E-2"/>
  </r>
  <r>
    <n v="2025"/>
    <s v="18132214402    "/>
    <n v="-1.6094379124341003"/>
    <n v="0.2"/>
    <n v="8773"/>
    <s v="6"/>
    <s v="RES"/>
    <x v="0"/>
    <s v="11"/>
    <s v="259"/>
    <s v="TD"/>
    <s v="F+"/>
    <s v="AV"/>
    <x v="9"/>
    <n v="94"/>
    <n v="54"/>
    <n v="1930"/>
    <n v="1970"/>
    <n v="1284"/>
    <m/>
    <n v="642"/>
    <n v="642"/>
    <m/>
    <m/>
    <n v="1284"/>
    <n v="1500"/>
    <n v="6"/>
    <m/>
    <m/>
    <m/>
    <m/>
    <m/>
    <m/>
    <m/>
    <n v="217406"/>
    <n v="143488"/>
    <n v="0"/>
    <n v="280200"/>
    <n v="58400"/>
    <n v="221800"/>
    <n v="0"/>
    <n v="0"/>
    <n v="89850.625589999996"/>
    <n v="-50946.13867709865"/>
    <n v="0"/>
    <n v="160472.20319"/>
    <n v="-12044.462427"/>
    <n v="63440.732122068002"/>
    <n v="0"/>
    <n v="0"/>
    <n v="18670.576748574"/>
    <n v="22752.132631200002"/>
    <n v="0"/>
    <n v="0"/>
    <n v="253300"/>
    <n v="38900"/>
    <n v="292200"/>
    <n v="4.2826552462526764E-2"/>
    <n v="0.99970000000000003"/>
    <n v="0.99180000000000001"/>
    <n v="0.99729999999999996"/>
    <n v="1.0157"/>
    <n v="1.0074000000000001"/>
    <n v="0.94971499999999998"/>
    <n v="0.96119304431538555"/>
    <n v="253300"/>
    <n v="0"/>
    <n v="253300"/>
    <n v="36900"/>
    <n v="290200"/>
    <n v="0.14201983769161405"/>
    <n v="-0.36815068493150682"/>
    <n v="3.5688793718772309E-2"/>
  </r>
  <r>
    <n v="2025"/>
    <s v="18132323003    "/>
    <n v="-1.7147984280919266"/>
    <n v="0.18"/>
    <n v="7700"/>
    <s v="6"/>
    <s v="RES"/>
    <x v="0"/>
    <s v="11"/>
    <s v="259"/>
    <s v="TD"/>
    <s v="F+"/>
    <s v="AV"/>
    <x v="9"/>
    <n v="94"/>
    <n v="54"/>
    <n v="1930"/>
    <n v="1970"/>
    <n v="788"/>
    <m/>
    <m/>
    <n v="0"/>
    <m/>
    <m/>
    <n v="788"/>
    <n v="1000"/>
    <n v="5"/>
    <m/>
    <m/>
    <m/>
    <m/>
    <m/>
    <m/>
    <m/>
    <n v="121414"/>
    <n v="80133"/>
    <n v="1556"/>
    <n v="233300"/>
    <n v="54700"/>
    <n v="178600"/>
    <n v="0"/>
    <n v="0"/>
    <n v="89850.625589999996"/>
    <n v="-54281.285314520763"/>
    <n v="0"/>
    <n v="160472.20319"/>
    <n v="-12044.462427"/>
    <n v="38934.031863076001"/>
    <n v="0"/>
    <n v="0"/>
    <n v="0"/>
    <n v="18960.110526"/>
    <n v="0"/>
    <n v="1600"/>
    <n v="206300"/>
    <n v="35600"/>
    <n v="243500"/>
    <n v="4.3720531504500643E-2"/>
    <n v="0.99970000000000003"/>
    <n v="0.99180000000000001"/>
    <n v="0.99729999999999996"/>
    <n v="1.0148999999999999"/>
    <n v="1.0074000000000001"/>
    <n v="0.94971499999999998"/>
    <n v="0.96043597585476481"/>
    <n v="206300"/>
    <n v="1500"/>
    <n v="207800"/>
    <n v="33800"/>
    <n v="241600"/>
    <n v="0.16349384098544234"/>
    <n v="-0.38208409506398539"/>
    <n v="3.5576510930132879E-2"/>
  </r>
  <r>
    <n v="2025"/>
    <s v="18132332558    "/>
    <n v="-1.3862943611198906"/>
    <n v="0.25"/>
    <m/>
    <s v="6"/>
    <s v="RES"/>
    <x v="0"/>
    <s v="11"/>
    <s v="259"/>
    <s v="BG"/>
    <s v="A"/>
    <s v="GD"/>
    <x v="9"/>
    <n v="94"/>
    <n v="54"/>
    <n v="1930"/>
    <n v="1970"/>
    <n v="1104"/>
    <m/>
    <n v="1080"/>
    <n v="0"/>
    <n v="1080"/>
    <m/>
    <n v="2184"/>
    <n v="2500"/>
    <n v="8"/>
    <m/>
    <m/>
    <m/>
    <m/>
    <m/>
    <m/>
    <m/>
    <n v="277977"/>
    <n v="189024"/>
    <n v="6227"/>
    <n v="360400"/>
    <n v="66200"/>
    <n v="294200"/>
    <n v="0"/>
    <n v="0"/>
    <n v="89850.625589999996"/>
    <n v="-43882.615305165229"/>
    <n v="21557.329055999999"/>
    <n v="197752.34721000001"/>
    <n v="-12044.462427"/>
    <n v="54547.171544208002"/>
    <n v="0"/>
    <n v="0"/>
    <n v="31408.446866759998"/>
    <n v="30336.176841600001"/>
    <n v="0"/>
    <n v="6200"/>
    <n v="323600"/>
    <n v="46000"/>
    <n v="375800"/>
    <n v="4.2730299667036627E-2"/>
    <n v="0.99970000000000003"/>
    <n v="1.0067999999999999"/>
    <n v="0.99650000000000005"/>
    <n v="0.98919999999999997"/>
    <n v="1.0074000000000001"/>
    <n v="0.94971499999999998"/>
    <n v="0.94951069644125163"/>
    <n v="323600"/>
    <n v="5900"/>
    <n v="329500"/>
    <n v="43700"/>
    <n v="373200"/>
    <n v="0.11998640380693405"/>
    <n v="-0.33987915407854985"/>
    <n v="3.5516093229744729E-2"/>
  </r>
  <r>
    <n v="2025"/>
    <s v="18132344485    "/>
    <n v="-1.8971199848858813"/>
    <n v="0.15"/>
    <n v="6500"/>
    <s v="6"/>
    <s v="RES"/>
    <x v="0"/>
    <s v="11"/>
    <s v="259"/>
    <s v="BG"/>
    <s v="A"/>
    <s v="AV"/>
    <x v="9"/>
    <n v="94"/>
    <n v="54"/>
    <n v="1930"/>
    <n v="1970"/>
    <n v="1176"/>
    <m/>
    <n v="294"/>
    <n v="0"/>
    <n v="294"/>
    <m/>
    <n v="1470"/>
    <n v="1500"/>
    <n v="5"/>
    <m/>
    <m/>
    <m/>
    <m/>
    <m/>
    <m/>
    <m/>
    <n v="229374"/>
    <n v="151387"/>
    <n v="8156"/>
    <n v="281600"/>
    <n v="48400"/>
    <n v="233200"/>
    <n v="0"/>
    <n v="0"/>
    <n v="89850.625589999996"/>
    <n v="-60052.604136134301"/>
    <n v="21557.329055999999"/>
    <n v="160472.20319"/>
    <n v="-12044.462427"/>
    <n v="58104.595775351998"/>
    <n v="0"/>
    <n v="0"/>
    <n v="8550.0772026180002"/>
    <n v="18960.110526"/>
    <n v="0"/>
    <n v="8200"/>
    <n v="255600"/>
    <n v="29800"/>
    <n v="293600"/>
    <n v="4.261363636363636E-2"/>
    <n v="0.99970000000000003"/>
    <n v="1.0067999999999999"/>
    <n v="0.99729999999999996"/>
    <n v="1.0157"/>
    <n v="1.0074000000000001"/>
    <n v="0.94971499999999998"/>
    <n v="0.97573014419916293"/>
    <n v="255600"/>
    <n v="7700"/>
    <n v="263300"/>
    <n v="28300"/>
    <n v="291600"/>
    <n v="0.129073756432247"/>
    <n v="-0.41528925619834711"/>
    <n v="3.551136363636364E-2"/>
  </r>
  <r>
    <n v="2025"/>
    <s v="18132331490    "/>
    <n v="-1.8325814637483102"/>
    <n v="0.16"/>
    <m/>
    <s v="6"/>
    <s v="RES"/>
    <x v="0"/>
    <s v="11"/>
    <s v="259"/>
    <s v="BG"/>
    <s v="G"/>
    <s v="GD"/>
    <x v="9"/>
    <n v="94"/>
    <n v="49"/>
    <n v="1930"/>
    <n v="1975"/>
    <n v="1536"/>
    <m/>
    <n v="779"/>
    <n v="0"/>
    <n v="779"/>
    <m/>
    <n v="2315"/>
    <n v="2500"/>
    <n v="8"/>
    <n v="884"/>
    <m/>
    <m/>
    <m/>
    <m/>
    <m/>
    <m/>
    <n v="502943"/>
    <n v="362119"/>
    <n v="0"/>
    <n v="376700"/>
    <n v="50600"/>
    <n v="326100"/>
    <n v="0"/>
    <n v="0"/>
    <n v="89850.625589999996"/>
    <n v="-58009.662049032086"/>
    <n v="44121.038090000002"/>
    <n v="197752.34721000001"/>
    <n v="-10929.2344245"/>
    <n v="75891.716931072006"/>
    <n v="0"/>
    <n v="0"/>
    <n v="22654.796397413"/>
    <n v="30336.176841600001"/>
    <n v="0"/>
    <n v="0"/>
    <n v="359800"/>
    <n v="31800"/>
    <n v="391600"/>
    <n v="3.9554021767985136E-2"/>
    <n v="0.99970000000000003"/>
    <n v="0.98050000000000004"/>
    <n v="0.99650000000000005"/>
    <n v="0.98919999999999997"/>
    <n v="1.0074000000000001"/>
    <n v="0.94971499999999998"/>
    <n v="0.9247072287054503"/>
    <n v="359800"/>
    <n v="0"/>
    <n v="359800"/>
    <n v="30200"/>
    <n v="390000"/>
    <n v="0.10334253296534805"/>
    <n v="-0.40316205533596838"/>
    <n v="3.5306610034510223E-2"/>
  </r>
  <r>
    <n v="2025"/>
    <s v="18132342434    "/>
    <n v="-1.9661128563728327"/>
    <n v="0.14000000000000001"/>
    <m/>
    <s v="6"/>
    <s v="RES"/>
    <x v="0"/>
    <s v="11"/>
    <s v="259"/>
    <s v="TD"/>
    <s v="A+"/>
    <s v="AV"/>
    <x v="9"/>
    <n v="94"/>
    <n v="54"/>
    <n v="1930"/>
    <n v="1970"/>
    <n v="832"/>
    <m/>
    <n v="580"/>
    <n v="0"/>
    <n v="580"/>
    <m/>
    <n v="1412"/>
    <n v="1500"/>
    <n v="5"/>
    <m/>
    <n v="240"/>
    <m/>
    <m/>
    <m/>
    <m/>
    <m/>
    <n v="243596"/>
    <n v="160773"/>
    <n v="0"/>
    <n v="272000"/>
    <n v="46000"/>
    <n v="226000"/>
    <n v="0"/>
    <n v="0"/>
    <n v="89850.625589999996"/>
    <n v="-62236.546971921947"/>
    <n v="29814.093161000001"/>
    <n v="160472.20319"/>
    <n v="-12044.462427"/>
    <n v="41108.013337664001"/>
    <n v="0"/>
    <n v="0"/>
    <n v="16867.499243259997"/>
    <n v="18960.110526"/>
    <n v="0"/>
    <n v="0"/>
    <n v="255200"/>
    <n v="27600"/>
    <n v="282800"/>
    <n v="3.9705882352941174E-2"/>
    <n v="0.99970000000000003"/>
    <n v="1.0088999999999999"/>
    <n v="0.99729999999999996"/>
    <n v="1.0157"/>
    <n v="1.0074000000000001"/>
    <n v="0.94971499999999998"/>
    <n v="0.97776533818289202"/>
    <n v="255200"/>
    <n v="0"/>
    <n v="255200"/>
    <n v="26200"/>
    <n v="281400"/>
    <n v="0.12920353982300886"/>
    <n v="-0.43043478260869567"/>
    <n v="3.4558823529411767E-2"/>
  </r>
  <r>
    <n v="2025"/>
    <s v="18132313540    "/>
    <n v="-0.9942522733438669"/>
    <n v="0.37"/>
    <n v="16164"/>
    <s v="6"/>
    <s v="RES"/>
    <x v="0"/>
    <s v="11"/>
    <s v="259"/>
    <s v="CL"/>
    <s v="G"/>
    <s v="GD"/>
    <x v="9"/>
    <n v="94"/>
    <n v="54"/>
    <n v="1930"/>
    <n v="1970"/>
    <n v="2091"/>
    <n v="864"/>
    <n v="1092"/>
    <n v="0"/>
    <n v="1092"/>
    <m/>
    <n v="4047"/>
    <n v="4500"/>
    <n v="8"/>
    <m/>
    <m/>
    <m/>
    <m/>
    <m/>
    <m/>
    <m/>
    <n v="644875"/>
    <n v="438515"/>
    <n v="9578"/>
    <n v="482100"/>
    <n v="79900"/>
    <n v="402200"/>
    <n v="0"/>
    <n v="0"/>
    <n v="89850.625589999996"/>
    <n v="-31472.673662315807"/>
    <n v="44121.038090000002"/>
    <n v="197752.34721000001"/>
    <n v="-12044.462427"/>
    <n v="103313.528712807"/>
    <n v="38695.469351904001"/>
    <n v="0"/>
    <n v="31757.429609723997"/>
    <n v="30336.176841600001"/>
    <n v="0"/>
    <n v="9600"/>
    <n v="433900"/>
    <n v="58400"/>
    <n v="501900"/>
    <n v="4.1070317361543249E-2"/>
    <n v="0.99970000000000003"/>
    <n v="0.98050000000000004"/>
    <n v="0.99650000000000005"/>
    <n v="1"/>
    <n v="1.0074000000000001"/>
    <n v="0.94971499999999998"/>
    <n v="0.93480310220931084"/>
    <n v="433900"/>
    <n v="9100"/>
    <n v="443000"/>
    <n v="55400"/>
    <n v="498400"/>
    <n v="0.10144206862257583"/>
    <n v="-0.30663329161451813"/>
    <n v="3.3810412777432068E-2"/>
  </r>
  <r>
    <n v="2025"/>
    <s v="18132324458    "/>
    <n v="-1.8325814637483102"/>
    <n v="0.16"/>
    <m/>
    <s v="6"/>
    <s v="RES"/>
    <x v="0"/>
    <s v="11"/>
    <s v="259"/>
    <s v="CC"/>
    <s v="F+"/>
    <s v="AV"/>
    <x v="9"/>
    <n v="94"/>
    <n v="54"/>
    <n v="1930"/>
    <n v="1970"/>
    <n v="841"/>
    <n v="300"/>
    <n v="841"/>
    <n v="420"/>
    <n v="421"/>
    <m/>
    <n v="1562"/>
    <n v="2000"/>
    <n v="8"/>
    <m/>
    <m/>
    <m/>
    <m/>
    <m/>
    <m/>
    <m/>
    <n v="217183"/>
    <n v="143341"/>
    <n v="5613"/>
    <n v="285000"/>
    <n v="50600"/>
    <n v="234400"/>
    <n v="0"/>
    <n v="0"/>
    <n v="89850.625589999996"/>
    <n v="-58009.662049032086"/>
    <n v="0"/>
    <n v="160472.20319"/>
    <n v="-12044.462427"/>
    <n v="41552.691366557003"/>
    <n v="13435.926858299999"/>
    <n v="0"/>
    <n v="24457.873902726998"/>
    <n v="30336.176841600001"/>
    <n v="0"/>
    <n v="5600"/>
    <n v="258200"/>
    <n v="31800"/>
    <n v="295600"/>
    <n v="3.7192982456140354E-2"/>
    <n v="0.99970000000000003"/>
    <n v="0.99180000000000001"/>
    <n v="0.99729999999999996"/>
    <n v="1.0093000000000001"/>
    <n v="1.0074000000000001"/>
    <n v="0.94971499999999998"/>
    <n v="0.95513649663042099"/>
    <n v="258200"/>
    <n v="5300"/>
    <n v="263500"/>
    <n v="30200"/>
    <n v="293700"/>
    <n v="0.12414675767918089"/>
    <n v="-0.40316205533596838"/>
    <n v="3.0526315789473683E-2"/>
  </r>
  <r>
    <n v="2025"/>
    <s v="18132323006    "/>
    <n v="-1.3470736479666092"/>
    <n v="0.26"/>
    <m/>
    <s v="6"/>
    <s v="RES"/>
    <x v="0"/>
    <s v="11"/>
    <s v="259"/>
    <s v="FH"/>
    <s v="A"/>
    <s v="GD"/>
    <x v="9"/>
    <n v="94"/>
    <n v="54"/>
    <n v="1930"/>
    <n v="1970"/>
    <n v="1034"/>
    <n v="1024"/>
    <n v="1024"/>
    <n v="0"/>
    <n v="1024"/>
    <m/>
    <n v="3082"/>
    <n v="3500"/>
    <n v="12"/>
    <n v="384"/>
    <m/>
    <m/>
    <m/>
    <m/>
    <m/>
    <m/>
    <n v="415787"/>
    <n v="282735"/>
    <n v="23608"/>
    <n v="434000"/>
    <n v="67600"/>
    <n v="366400"/>
    <n v="0"/>
    <n v="0"/>
    <n v="89850.625589999996"/>
    <n v="-42641.098701210125"/>
    <n v="21557.329055999999"/>
    <n v="197752.34721000001"/>
    <n v="-12044.462427"/>
    <n v="51088.564652818"/>
    <n v="45861.297009663998"/>
    <n v="0"/>
    <n v="29779.860732927998"/>
    <n v="45504.265262400004"/>
    <n v="0"/>
    <n v="23600"/>
    <n v="379500"/>
    <n v="47200"/>
    <n v="450300"/>
    <n v="3.7557603686635944E-2"/>
    <n v="0.99970000000000003"/>
    <n v="1.0067999999999999"/>
    <n v="0.99650000000000005"/>
    <n v="1.0126999999999999"/>
    <n v="1.0074000000000001"/>
    <n v="0.94971499999999998"/>
    <n v="0.97206781468464976"/>
    <n v="379500"/>
    <n v="22400"/>
    <n v="401900"/>
    <n v="44800"/>
    <n v="446700"/>
    <n v="9.6888646288209604E-2"/>
    <n v="-0.33727810650887574"/>
    <n v="2.9262672811059907E-2"/>
  </r>
  <r>
    <n v="2025"/>
    <s v="18132332575    "/>
    <n v="-1.7719568419318752"/>
    <n v="0.17"/>
    <n v="7427"/>
    <s v="6"/>
    <s v="RES"/>
    <x v="0"/>
    <s v="11"/>
    <s v="259"/>
    <s v="BG"/>
    <s v="A"/>
    <s v="GD"/>
    <x v="9"/>
    <n v="94"/>
    <n v="54"/>
    <n v="1930"/>
    <n v="1970"/>
    <n v="1170"/>
    <n v="520"/>
    <n v="1080"/>
    <n v="0"/>
    <n v="1080"/>
    <m/>
    <n v="2770"/>
    <n v="3000"/>
    <n v="8"/>
    <m/>
    <m/>
    <m/>
    <m/>
    <m/>
    <m/>
    <m/>
    <n v="343637"/>
    <n v="233673"/>
    <n v="32019"/>
    <n v="401500"/>
    <n v="52700"/>
    <n v="348800"/>
    <n v="0"/>
    <n v="0"/>
    <n v="89850.625589999996"/>
    <n v="-56090.612940989391"/>
    <n v="21557.329055999999"/>
    <n v="197752.34721000001"/>
    <n v="-12044.462427"/>
    <n v="57808.143756090001"/>
    <n v="23288.93988772"/>
    <n v="0"/>
    <n v="31408.446866759998"/>
    <n v="30336.176841600001"/>
    <n v="0"/>
    <n v="32000"/>
    <n v="350100"/>
    <n v="33800"/>
    <n v="415900"/>
    <n v="3.5865504358655043E-2"/>
    <n v="0.99970000000000003"/>
    <n v="1.0067999999999999"/>
    <n v="0.99650000000000005"/>
    <n v="0.96179999999999999"/>
    <n v="1.0074000000000001"/>
    <n v="0.94971499999999998"/>
    <n v="0.92321005644682153"/>
    <n v="350100"/>
    <n v="30400"/>
    <n v="380500"/>
    <n v="32100"/>
    <n v="412600"/>
    <n v="9.0883027522935783E-2"/>
    <n v="-0.39089184060721061"/>
    <n v="2.7646326276463264E-2"/>
  </r>
  <r>
    <n v="2025"/>
    <s v="18132334010    "/>
    <n v="-1.7719568419318752"/>
    <n v="0.17"/>
    <m/>
    <s v="6"/>
    <s v="RES"/>
    <x v="0"/>
    <s v="11"/>
    <s v="259"/>
    <s v="TD"/>
    <s v="A"/>
    <s v="AV"/>
    <x v="9"/>
    <n v="94"/>
    <n v="54"/>
    <n v="1930"/>
    <n v="1970"/>
    <n v="1040"/>
    <m/>
    <n v="696"/>
    <n v="0"/>
    <n v="696"/>
    <m/>
    <n v="1736"/>
    <n v="2000"/>
    <n v="8"/>
    <m/>
    <m/>
    <m/>
    <m/>
    <m/>
    <m/>
    <m/>
    <n v="236791"/>
    <n v="156282"/>
    <n v="0"/>
    <n v="295900"/>
    <n v="52700"/>
    <n v="243200"/>
    <n v="0"/>
    <n v="0"/>
    <n v="89850.625589999996"/>
    <n v="-56090.612940989391"/>
    <n v="21557.329055999999"/>
    <n v="160472.20319"/>
    <n v="-12044.462427"/>
    <n v="51385.016672080004"/>
    <n v="0"/>
    <n v="0"/>
    <n v="20240.999091911999"/>
    <n v="30336.176841600001"/>
    <n v="0"/>
    <n v="0"/>
    <n v="271900"/>
    <n v="33800"/>
    <n v="305700"/>
    <n v="3.3119297059817504E-2"/>
    <n v="0.99970000000000003"/>
    <n v="1.0067999999999999"/>
    <n v="0.99729999999999996"/>
    <n v="1.0093000000000001"/>
    <n v="1.0074000000000001"/>
    <n v="0.94971499999999998"/>
    <n v="0.96958199718441984"/>
    <n v="271900"/>
    <n v="0"/>
    <n v="271900"/>
    <n v="32100"/>
    <n v="304000"/>
    <n v="0.11800986842105263"/>
    <n v="-0.39089184060721061"/>
    <n v="2.7374112875971614E-2"/>
  </r>
  <r>
    <n v="2025"/>
    <s v="18132313455    "/>
    <n v="-2.0402208285265546"/>
    <n v="0.13"/>
    <m/>
    <s v="6"/>
    <s v="RES"/>
    <x v="0"/>
    <s v="11"/>
    <s v="259"/>
    <s v="BG"/>
    <s v="A"/>
    <s v="AV"/>
    <x v="9"/>
    <n v="94"/>
    <n v="54"/>
    <n v="1930"/>
    <n v="1970"/>
    <n v="1122"/>
    <m/>
    <n v="784"/>
    <n v="0"/>
    <n v="784"/>
    <m/>
    <n v="1906"/>
    <n v="2000"/>
    <n v="5"/>
    <m/>
    <m/>
    <m/>
    <m/>
    <m/>
    <m/>
    <m/>
    <n v="259890"/>
    <n v="171527"/>
    <n v="5934"/>
    <n v="289000"/>
    <n v="43400"/>
    <n v="245600"/>
    <n v="0"/>
    <n v="0"/>
    <n v="89850.625589999996"/>
    <n v="-64582.406353792743"/>
    <n v="21557.329055999999"/>
    <n v="160472.20319"/>
    <n v="-12044.462427"/>
    <n v="55436.527601993999"/>
    <n v="0"/>
    <n v="0"/>
    <n v="22800.205873647999"/>
    <n v="18960.110526"/>
    <n v="0"/>
    <n v="5900"/>
    <n v="267200"/>
    <n v="25300"/>
    <n v="298400"/>
    <n v="3.2525951557093424E-2"/>
    <n v="0.99970000000000003"/>
    <n v="1.0067999999999999"/>
    <n v="0.99729999999999996"/>
    <n v="1.0093000000000001"/>
    <n v="1.0074000000000001"/>
    <n v="0.94971499999999998"/>
    <n v="0.96958199718441984"/>
    <n v="267200"/>
    <n v="5600"/>
    <n v="272800"/>
    <n v="24000"/>
    <n v="296800"/>
    <n v="0.11074918566775244"/>
    <n v="-0.44700460829493088"/>
    <n v="2.698961937716263E-2"/>
  </r>
  <r>
    <n v="2025"/>
    <s v="18132244054    "/>
    <n v="-1.6094379124341003"/>
    <n v="0.2"/>
    <n v="8631"/>
    <s v="6"/>
    <s v="RES"/>
    <x v="0"/>
    <s v="11"/>
    <s v="259"/>
    <s v="TD"/>
    <s v="A+"/>
    <s v="GD"/>
    <x v="9"/>
    <n v="94"/>
    <n v="54"/>
    <n v="1930"/>
    <n v="1970"/>
    <n v="1008"/>
    <m/>
    <n v="1008"/>
    <n v="0"/>
    <n v="1008"/>
    <m/>
    <n v="2016"/>
    <n v="2500"/>
    <n v="6"/>
    <m/>
    <m/>
    <m/>
    <m/>
    <m/>
    <m/>
    <m/>
    <n v="338702"/>
    <n v="230317"/>
    <n v="0"/>
    <n v="345400"/>
    <n v="58400"/>
    <n v="287000"/>
    <n v="0"/>
    <n v="0"/>
    <n v="89850.625589999996"/>
    <n v="-50946.13867709865"/>
    <n v="29814.093161000001"/>
    <n v="197752.34721000001"/>
    <n v="-12044.462427"/>
    <n v="49803.939236015998"/>
    <n v="0"/>
    <n v="0"/>
    <n v="29314.550408976"/>
    <n v="22752.132631200002"/>
    <n v="0"/>
    <n v="0"/>
    <n v="317400"/>
    <n v="38900"/>
    <n v="356300"/>
    <n v="3.1557614360162134E-2"/>
    <n v="0.99970000000000003"/>
    <n v="1.0088999999999999"/>
    <n v="0.99650000000000005"/>
    <n v="0.98919999999999997"/>
    <n v="1.0074000000000001"/>
    <n v="0.94971499999999998"/>
    <n v="0.95149120146958555"/>
    <n v="317400"/>
    <n v="0"/>
    <n v="317400"/>
    <n v="36900"/>
    <n v="354300"/>
    <n v="0.1059233449477352"/>
    <n v="-0.36815068493150682"/>
    <n v="2.5767226404169081E-2"/>
  </r>
  <r>
    <n v="2025"/>
    <s v="18132331407    "/>
    <n v="-1.4696759700589417"/>
    <n v="0.23"/>
    <m/>
    <s v="6"/>
    <s v="RES"/>
    <x v="0"/>
    <s v="11"/>
    <s v="259"/>
    <s v="BG"/>
    <s v="A"/>
    <s v="GD"/>
    <x v="9"/>
    <n v="94"/>
    <n v="54"/>
    <n v="1930"/>
    <n v="1970"/>
    <n v="1540"/>
    <m/>
    <n v="1340"/>
    <n v="30"/>
    <n v="1310"/>
    <m/>
    <n v="2850"/>
    <n v="3000"/>
    <n v="9"/>
    <m/>
    <m/>
    <m/>
    <m/>
    <m/>
    <m/>
    <m/>
    <n v="358932"/>
    <n v="244074"/>
    <n v="8716"/>
    <n v="396100"/>
    <n v="63300"/>
    <n v="332800"/>
    <n v="0"/>
    <n v="0"/>
    <n v="89850.625589999996"/>
    <n v="-46522.028095997222"/>
    <n v="21557.329055999999"/>
    <n v="197752.34721000001"/>
    <n v="-12044.462427"/>
    <n v="76089.351610580008"/>
    <n v="0"/>
    <n v="0"/>
    <n v="38969.739630979995"/>
    <n v="34128.198946800003"/>
    <n v="0"/>
    <n v="8700"/>
    <n v="356500"/>
    <n v="43300"/>
    <n v="408500"/>
    <n v="3.1305225953042158E-2"/>
    <n v="0.99970000000000003"/>
    <n v="1.0067999999999999"/>
    <n v="0.99650000000000005"/>
    <n v="0.96179999999999999"/>
    <n v="1.0074000000000001"/>
    <n v="0.94971499999999998"/>
    <n v="0.92321005644682153"/>
    <n v="356500"/>
    <n v="8300"/>
    <n v="364800"/>
    <n v="41100"/>
    <n v="405900"/>
    <n v="9.6153846153846159E-2"/>
    <n v="-0.35071090047393366"/>
    <n v="2.474122696288816E-2"/>
  </r>
  <r>
    <n v="2025"/>
    <s v="18132344432    "/>
    <n v="-1.8971199848858813"/>
    <n v="0.15"/>
    <m/>
    <s v="6"/>
    <s v="RES"/>
    <x v="0"/>
    <s v="11"/>
    <s v="259"/>
    <s v="CO"/>
    <s v="A"/>
    <s v="AV"/>
    <x v="9"/>
    <n v="94"/>
    <n v="54"/>
    <n v="1930"/>
    <n v="1970"/>
    <n v="1302"/>
    <n v="336"/>
    <n v="434"/>
    <n v="0"/>
    <n v="434"/>
    <m/>
    <n v="2072"/>
    <n v="2500"/>
    <n v="5"/>
    <m/>
    <m/>
    <m/>
    <m/>
    <m/>
    <m/>
    <m/>
    <n v="281930"/>
    <n v="186074"/>
    <n v="7601"/>
    <n v="308900"/>
    <n v="48400"/>
    <n v="260500"/>
    <n v="0"/>
    <n v="0"/>
    <n v="89850.625589999996"/>
    <n v="-60052.604136134301"/>
    <n v="21557.329055999999"/>
    <n v="160472.20319"/>
    <n v="-12044.462427"/>
    <n v="64330.088179853999"/>
    <n v="15048.238081296"/>
    <n v="0"/>
    <n v="12621.542537198"/>
    <n v="18960.110526"/>
    <n v="0"/>
    <n v="7600"/>
    <n v="280900"/>
    <n v="29800"/>
    <n v="318300"/>
    <n v="3.0430560051796698E-2"/>
    <n v="0.99970000000000003"/>
    <n v="1.0067999999999999"/>
    <n v="0.99729999999999996"/>
    <n v="0.98919999999999997"/>
    <n v="1.0074000000000001"/>
    <n v="0.94971499999999998"/>
    <n v="0.95027297296624202"/>
    <n v="280900"/>
    <n v="7200"/>
    <n v="288100"/>
    <n v="28300"/>
    <n v="316400"/>
    <n v="0.10595009596928982"/>
    <n v="-0.41528925619834711"/>
    <n v="2.4279702168986728E-2"/>
  </r>
  <r>
    <n v="2025"/>
    <s v="18132333461    "/>
    <n v="-1.7719568419318752"/>
    <n v="0.17"/>
    <n v="7199"/>
    <s v="6"/>
    <s v="RES"/>
    <x v="0"/>
    <s v="11"/>
    <s v="259"/>
    <s v="CC"/>
    <s v="A+"/>
    <s v="AV"/>
    <x v="9"/>
    <n v="94"/>
    <n v="54"/>
    <n v="1930"/>
    <n v="1970"/>
    <n v="1034"/>
    <n v="620"/>
    <n v="884"/>
    <n v="0"/>
    <n v="884"/>
    <m/>
    <n v="2538"/>
    <n v="3000"/>
    <n v="8"/>
    <m/>
    <m/>
    <m/>
    <m/>
    <m/>
    <m/>
    <m/>
    <n v="349164"/>
    <n v="230448"/>
    <n v="6473"/>
    <n v="343400"/>
    <n v="52700"/>
    <n v="290700"/>
    <n v="0"/>
    <n v="0"/>
    <n v="89850.625589999996"/>
    <n v="-56090.612940989391"/>
    <n v="29814.093161000001"/>
    <n v="160472.20319"/>
    <n v="-12044.462427"/>
    <n v="51088.564652818"/>
    <n v="27767.582173819999"/>
    <n v="0"/>
    <n v="25708.395398347999"/>
    <n v="30336.176841600001"/>
    <n v="0"/>
    <n v="6500"/>
    <n v="313100"/>
    <n v="33800"/>
    <n v="353400"/>
    <n v="2.9120559114735003E-2"/>
    <n v="0.99970000000000003"/>
    <n v="1.0088999999999999"/>
    <n v="0.99729999999999996"/>
    <n v="0.96179999999999999"/>
    <n v="1.0074000000000001"/>
    <n v="0.94971499999999998"/>
    <n v="0.92587841120833458"/>
    <n v="313100"/>
    <n v="6100"/>
    <n v="319200"/>
    <n v="32100"/>
    <n v="351300"/>
    <n v="9.8039215686274508E-2"/>
    <n v="-0.39089184060721061"/>
    <n v="2.3005241700640652E-2"/>
  </r>
  <r>
    <n v="2025"/>
    <s v="18132344013    "/>
    <n v="-1.8971199848858813"/>
    <n v="0.15"/>
    <n v="6580"/>
    <s v="6"/>
    <s v="RES"/>
    <x v="0"/>
    <s v="11"/>
    <s v="259"/>
    <s v="TD"/>
    <s v="A"/>
    <s v="AV"/>
    <x v="9"/>
    <n v="94"/>
    <n v="54"/>
    <n v="1930"/>
    <n v="1970"/>
    <n v="930"/>
    <m/>
    <n v="930"/>
    <n v="0"/>
    <n v="930"/>
    <m/>
    <n v="1860"/>
    <n v="2000"/>
    <n v="6"/>
    <m/>
    <m/>
    <m/>
    <m/>
    <m/>
    <m/>
    <m/>
    <n v="227999"/>
    <n v="150479"/>
    <n v="10334"/>
    <n v="297000"/>
    <n v="48400"/>
    <n v="248600"/>
    <n v="0"/>
    <n v="0"/>
    <n v="89850.625589999996"/>
    <n v="-60052.604136134301"/>
    <n v="21557.329055999999"/>
    <n v="160472.20319"/>
    <n v="-12044.462427"/>
    <n v="45950.062985609999"/>
    <n v="0"/>
    <n v="0"/>
    <n v="27046.162579709999"/>
    <n v="22752.132631200002"/>
    <n v="0"/>
    <n v="10300"/>
    <n v="265700"/>
    <n v="29800"/>
    <n v="305800"/>
    <n v="2.9629629629629631E-2"/>
    <n v="0.99970000000000003"/>
    <n v="1.0067999999999999"/>
    <n v="0.99729999999999996"/>
    <n v="1.0093000000000001"/>
    <n v="1.0074000000000001"/>
    <n v="0.94971499999999998"/>
    <n v="0.96958199718441984"/>
    <n v="265700"/>
    <n v="9800"/>
    <n v="275500"/>
    <n v="28300"/>
    <n v="303800"/>
    <n v="0.1082059533386967"/>
    <n v="-0.41528925619834711"/>
    <n v="2.2895622895622896E-2"/>
  </r>
  <r>
    <n v="2025"/>
    <s v="18132241031    "/>
    <n v="-1.7719568419318752"/>
    <n v="0.17"/>
    <n v="7209"/>
    <s v="6"/>
    <s v="RES"/>
    <x v="0"/>
    <s v="11"/>
    <s v="259"/>
    <s v="TD"/>
    <s v="F+"/>
    <s v="AV"/>
    <x v="9"/>
    <n v="94"/>
    <n v="54"/>
    <n v="1930"/>
    <n v="1970"/>
    <n v="1092"/>
    <m/>
    <n v="977"/>
    <n v="488"/>
    <n v="489"/>
    <m/>
    <n v="1581"/>
    <n v="2000"/>
    <n v="5"/>
    <m/>
    <m/>
    <m/>
    <m/>
    <m/>
    <m/>
    <m/>
    <n v="230002"/>
    <n v="151801"/>
    <n v="9853"/>
    <n v="285100"/>
    <n v="52700"/>
    <n v="232400"/>
    <n v="0"/>
    <n v="0"/>
    <n v="89850.625589999996"/>
    <n v="-56090.612940989391"/>
    <n v="0"/>
    <n v="160472.20319"/>
    <n v="-12044.462427"/>
    <n v="53954.267505684002"/>
    <n v="0"/>
    <n v="0"/>
    <n v="28413.011656318999"/>
    <n v="18960.110526"/>
    <n v="0"/>
    <n v="9900"/>
    <n v="249800"/>
    <n v="33800"/>
    <n v="293500"/>
    <n v="2.9463346194317782E-2"/>
    <n v="0.99970000000000003"/>
    <n v="0.99180000000000001"/>
    <n v="0.99729999999999996"/>
    <n v="1.0093000000000001"/>
    <n v="1.0074000000000001"/>
    <n v="0.94971499999999998"/>
    <n v="0.95513649663042099"/>
    <n v="249800"/>
    <n v="9400"/>
    <n v="259200"/>
    <n v="32100"/>
    <n v="291300"/>
    <n v="0.11531841652323579"/>
    <n v="-0.39089184060721061"/>
    <n v="2.1746755524377413E-2"/>
  </r>
  <r>
    <n v="2025"/>
    <s v="18132334439    "/>
    <n v="-1.5141277326297755"/>
    <n v="0.22"/>
    <m/>
    <s v="6"/>
    <s v="RES"/>
    <x v="0"/>
    <s v="11"/>
    <s v="259"/>
    <s v="CO"/>
    <s v="A"/>
    <s v="AV"/>
    <x v="9"/>
    <n v="94"/>
    <n v="54"/>
    <n v="1930"/>
    <n v="1970"/>
    <n v="1117"/>
    <n v="270"/>
    <n v="825"/>
    <n v="0"/>
    <n v="825"/>
    <m/>
    <n v="2212"/>
    <n v="2500"/>
    <n v="5"/>
    <m/>
    <n v="240"/>
    <m/>
    <m/>
    <m/>
    <m/>
    <m/>
    <n v="291842"/>
    <n v="192616"/>
    <n v="0"/>
    <n v="314000"/>
    <n v="61700"/>
    <n v="252300"/>
    <n v="0"/>
    <n v="0"/>
    <n v="89850.625589999996"/>
    <n v="-47929.131559187132"/>
    <n v="21557.329055999999"/>
    <n v="160472.20319"/>
    <n v="-12044.462427"/>
    <n v="55189.484252609"/>
    <n v="12092.33417247"/>
    <n v="0"/>
    <n v="23992.563578775"/>
    <n v="18960.110526"/>
    <n v="0"/>
    <n v="0"/>
    <n v="280200"/>
    <n v="41900"/>
    <n v="322100"/>
    <n v="2.5796178343949046E-2"/>
    <n v="0.99970000000000003"/>
    <n v="1.0067999999999999"/>
    <n v="0.99729999999999996"/>
    <n v="0.98919999999999997"/>
    <n v="1.0074000000000001"/>
    <n v="0.94971499999999998"/>
    <n v="0.95027297296624202"/>
    <n v="280200"/>
    <n v="0"/>
    <n v="280200"/>
    <n v="39800"/>
    <n v="320000"/>
    <n v="0.11058263971462545"/>
    <n v="-0.35494327390599678"/>
    <n v="1.9108280254777069E-2"/>
  </r>
  <r>
    <n v="2025"/>
    <s v="18132344430    "/>
    <n v="-1.8971199848858813"/>
    <n v="0.15"/>
    <m/>
    <s v="6"/>
    <s v="RES"/>
    <x v="0"/>
    <s v="11"/>
    <s v="259"/>
    <s v="BG"/>
    <s v="A"/>
    <s v="AV"/>
    <x v="9"/>
    <n v="94"/>
    <n v="54"/>
    <n v="1930"/>
    <n v="1970"/>
    <n v="928"/>
    <m/>
    <n v="928"/>
    <n v="0"/>
    <n v="928"/>
    <m/>
    <n v="1856"/>
    <n v="2000"/>
    <n v="5"/>
    <m/>
    <m/>
    <m/>
    <m/>
    <m/>
    <m/>
    <m/>
    <n v="235286"/>
    <n v="155289"/>
    <n v="0"/>
    <n v="284700"/>
    <n v="48400"/>
    <n v="236300"/>
    <n v="0"/>
    <n v="0"/>
    <n v="89850.625589999996"/>
    <n v="-60052.604136134301"/>
    <n v="21557.329055999999"/>
    <n v="160472.20319"/>
    <n v="-12044.462427"/>
    <n v="45851.245645856005"/>
    <n v="0"/>
    <n v="0"/>
    <n v="26987.998789215999"/>
    <n v="18960.110526"/>
    <n v="0"/>
    <n v="0"/>
    <n v="261800"/>
    <n v="29800"/>
    <n v="291600"/>
    <n v="2.4236037934668071E-2"/>
    <n v="0.99970000000000003"/>
    <n v="1.0067999999999999"/>
    <n v="0.99729999999999996"/>
    <n v="1.0093000000000001"/>
    <n v="1.0074000000000001"/>
    <n v="0.94971499999999998"/>
    <n v="0.96958199718441984"/>
    <n v="261800"/>
    <n v="0"/>
    <n v="261800"/>
    <n v="28300"/>
    <n v="290100"/>
    <n v="0.1079136690647482"/>
    <n v="-0.41528925619834711"/>
    <n v="1.8967334035827187E-2"/>
  </r>
  <r>
    <n v="2025"/>
    <s v="18132344440    "/>
    <n v="-1.8971199848858813"/>
    <n v="0.15"/>
    <m/>
    <s v="6"/>
    <s v="RES"/>
    <x v="0"/>
    <s v="11"/>
    <s v="259"/>
    <s v="TD"/>
    <s v="A"/>
    <s v="AV"/>
    <x v="9"/>
    <n v="94"/>
    <n v="54"/>
    <n v="1930"/>
    <n v="1970"/>
    <n v="1161"/>
    <m/>
    <n v="1161"/>
    <n v="277"/>
    <n v="884"/>
    <m/>
    <n v="2045"/>
    <n v="2500"/>
    <n v="5"/>
    <m/>
    <m/>
    <m/>
    <m/>
    <m/>
    <m/>
    <m/>
    <n v="278308"/>
    <n v="183683"/>
    <n v="6712"/>
    <n v="309000"/>
    <n v="48400"/>
    <n v="260600"/>
    <n v="0"/>
    <n v="0"/>
    <n v="89850.625589999996"/>
    <n v="-60052.604136134301"/>
    <n v="21557.329055999999"/>
    <n v="160472.20319"/>
    <n v="-12044.462427"/>
    <n v="57363.465727196999"/>
    <n v="0"/>
    <n v="0"/>
    <n v="33764.080381766995"/>
    <n v="18960.110526"/>
    <n v="0"/>
    <n v="6700"/>
    <n v="280100"/>
    <n v="29800"/>
    <n v="316600"/>
    <n v="2.459546925566343E-2"/>
    <n v="0.99970000000000003"/>
    <n v="1.0067999999999999"/>
    <n v="0.99729999999999996"/>
    <n v="0.98919999999999997"/>
    <n v="1.0074000000000001"/>
    <n v="0.94971499999999998"/>
    <n v="0.95027297296624202"/>
    <n v="280100"/>
    <n v="6400"/>
    <n v="286500"/>
    <n v="28300"/>
    <n v="314800"/>
    <n v="9.9386032233307747E-2"/>
    <n v="-0.41528925619834711"/>
    <n v="1.8770226537216828E-2"/>
  </r>
  <r>
    <n v="2025"/>
    <s v="18132242420    "/>
    <n v="-1.4271163556401458"/>
    <n v="0.24"/>
    <n v="10582"/>
    <s v="6"/>
    <s v="RES"/>
    <x v="0"/>
    <s v="11"/>
    <s v="259"/>
    <s v="TD"/>
    <s v="F+"/>
    <s v="GD"/>
    <x v="9"/>
    <n v="94"/>
    <n v="54"/>
    <n v="1930"/>
    <n v="1970"/>
    <n v="1066"/>
    <m/>
    <n v="771"/>
    <n v="0"/>
    <n v="771"/>
    <m/>
    <n v="1837"/>
    <n v="2000"/>
    <n v="11"/>
    <m/>
    <m/>
    <m/>
    <m/>
    <m/>
    <m/>
    <m/>
    <n v="243641"/>
    <n v="165676"/>
    <n v="2301"/>
    <n v="341300"/>
    <n v="64800"/>
    <n v="276500"/>
    <n v="0"/>
    <n v="0"/>
    <n v="89850.625589999996"/>
    <n v="-45174.819855485119"/>
    <n v="0"/>
    <n v="197752.34721000001"/>
    <n v="-12044.462427"/>
    <n v="52669.642088881999"/>
    <n v="0"/>
    <n v="0"/>
    <n v="22422.141235437"/>
    <n v="41712.243157199999"/>
    <n v="0"/>
    <n v="2300"/>
    <n v="302500"/>
    <n v="44700"/>
    <n v="349500"/>
    <n v="2.4025783767946087E-2"/>
    <n v="0.99970000000000003"/>
    <n v="0.99180000000000001"/>
    <n v="0.99650000000000005"/>
    <n v="1.0093000000000001"/>
    <n v="1.0074000000000001"/>
    <n v="0.94971499999999998"/>
    <n v="0.95437031875284728"/>
    <n v="302500"/>
    <n v="2200"/>
    <n v="304700"/>
    <n v="42400"/>
    <n v="347100"/>
    <n v="0.10198915009041591"/>
    <n v="-0.34567901234567899"/>
    <n v="1.6993847055376501E-2"/>
  </r>
  <r>
    <n v="2025"/>
    <s v="18132242515    "/>
    <n v="-0.9942522733438669"/>
    <n v="0.37"/>
    <m/>
    <s v="6"/>
    <s v="RES"/>
    <x v="0"/>
    <s v="11"/>
    <s v="259"/>
    <s v="CO"/>
    <s v="A"/>
    <s v="AV"/>
    <x v="9"/>
    <n v="94"/>
    <n v="54"/>
    <n v="1930"/>
    <n v="1970"/>
    <n v="1136"/>
    <n v="416"/>
    <n v="500"/>
    <n v="250"/>
    <n v="250"/>
    <m/>
    <n v="1802"/>
    <n v="2000"/>
    <n v="8"/>
    <n v="459"/>
    <m/>
    <m/>
    <m/>
    <m/>
    <m/>
    <m/>
    <n v="303441"/>
    <n v="200271"/>
    <n v="0"/>
    <n v="339400"/>
    <n v="79900"/>
    <n v="259500"/>
    <n v="0"/>
    <n v="0"/>
    <n v="89850.625589999996"/>
    <n v="-31472.673662315807"/>
    <n v="21557.329055999999"/>
    <n v="160472.20319"/>
    <n v="-12044.462427"/>
    <n v="56128.248980272001"/>
    <n v="18631.151910175999"/>
    <n v="0"/>
    <n v="14540.947623499998"/>
    <n v="30336.176841600001"/>
    <n v="0"/>
    <n v="0"/>
    <n v="289600"/>
    <n v="58400"/>
    <n v="348000"/>
    <n v="2.5338833235120803E-2"/>
    <n v="0.99970000000000003"/>
    <n v="1.0067999999999999"/>
    <n v="0.99729999999999996"/>
    <n v="1.0093000000000001"/>
    <n v="1.0074000000000001"/>
    <n v="0.94971499999999998"/>
    <n v="0.96958199718441984"/>
    <n v="289600"/>
    <n v="0"/>
    <n v="289600"/>
    <n v="55400"/>
    <n v="345000"/>
    <n v="0.11599229287090559"/>
    <n v="-0.30663329161451813"/>
    <n v="1.6499705362404242E-2"/>
  </r>
  <r>
    <n v="2025"/>
    <s v="18132214037    "/>
    <n v="-1.8971199848858813"/>
    <n v="0.15"/>
    <n v="6646"/>
    <s v="6"/>
    <s v="RES"/>
    <x v="0"/>
    <s v="11"/>
    <s v="400"/>
    <s v="TD"/>
    <s v="A+"/>
    <s v="AV"/>
    <x v="9"/>
    <n v="94"/>
    <n v="54"/>
    <n v="1930"/>
    <n v="1970"/>
    <n v="1223"/>
    <m/>
    <n v="1138"/>
    <n v="158"/>
    <n v="980"/>
    <m/>
    <n v="2203"/>
    <n v="2500"/>
    <n v="7"/>
    <m/>
    <m/>
    <m/>
    <m/>
    <m/>
    <m/>
    <m/>
    <n v="334198"/>
    <n v="220571"/>
    <n v="6712"/>
    <n v="329200"/>
    <n v="48400"/>
    <n v="280800"/>
    <n v="0"/>
    <n v="0"/>
    <n v="89850.625589999996"/>
    <n v="-60052.604136134301"/>
    <n v="29814.093161000001"/>
    <n v="160472.20319"/>
    <n v="-12044.462427"/>
    <n v="60426.803259571003"/>
    <n v="0"/>
    <n v="0"/>
    <n v="33095.196791085997"/>
    <n v="26544.1547364"/>
    <n v="0"/>
    <n v="6700"/>
    <n v="298300"/>
    <n v="29800"/>
    <n v="334800"/>
    <n v="1.7010935601458079E-2"/>
    <n v="0.99970000000000003"/>
    <n v="1.0088999999999999"/>
    <n v="0.99729999999999996"/>
    <n v="0.98919999999999997"/>
    <n v="1.0074000000000001"/>
    <n v="0.94971499999999998"/>
    <n v="0.95225506796349002"/>
    <n v="298300"/>
    <n v="6400"/>
    <n v="304700"/>
    <n v="28300"/>
    <n v="333000"/>
    <n v="8.5113960113960108E-2"/>
    <n v="-0.41528925619834711"/>
    <n v="1.1543134872417983E-2"/>
  </r>
  <r>
    <n v="2025"/>
    <s v="18132323417    "/>
    <n v="-0.46203545959655867"/>
    <n v="0.63"/>
    <m/>
    <s v="6"/>
    <s v="RES"/>
    <x v="0"/>
    <s v="11"/>
    <s v="259"/>
    <s v="FH"/>
    <s v="F+"/>
    <s v="GD"/>
    <x v="9"/>
    <n v="94"/>
    <n v="54"/>
    <n v="1930"/>
    <n v="1970"/>
    <n v="1030"/>
    <n v="780"/>
    <n v="515"/>
    <n v="15"/>
    <n v="500"/>
    <m/>
    <n v="2310"/>
    <n v="2500"/>
    <n v="8"/>
    <m/>
    <m/>
    <m/>
    <m/>
    <m/>
    <m/>
    <m/>
    <n v="286960"/>
    <n v="195133"/>
    <n v="13956"/>
    <n v="397500"/>
    <n v="98400"/>
    <n v="299100"/>
    <n v="0"/>
    <n v="0"/>
    <n v="89850.625589999996"/>
    <n v="-14625.554932245397"/>
    <n v="0"/>
    <n v="197752.34721000001"/>
    <n v="-12044.462427"/>
    <n v="50890.929973309998"/>
    <n v="34933.40983158"/>
    <n v="0"/>
    <n v="14977.176052204999"/>
    <n v="30336.176841600001"/>
    <n v="0"/>
    <n v="14000"/>
    <n v="316800"/>
    <n v="75200"/>
    <n v="406000"/>
    <n v="2.1383647798742137E-2"/>
    <n v="0.99970000000000003"/>
    <n v="0.99180000000000001"/>
    <n v="0.99650000000000005"/>
    <n v="0.98919999999999997"/>
    <n v="1.0074000000000001"/>
    <n v="0.94971499999999998"/>
    <n v="0.9353642319531521"/>
    <n v="316800"/>
    <n v="13300"/>
    <n v="330100"/>
    <n v="71400"/>
    <n v="401500"/>
    <n v="0.10364426613172852"/>
    <n v="-0.27439024390243905"/>
    <n v="1.0062893081761006E-2"/>
  </r>
  <r>
    <n v="2025"/>
    <s v="18132331031    "/>
    <n v="-1.7719568419318752"/>
    <n v="0.17"/>
    <m/>
    <s v="6"/>
    <s v="RES"/>
    <x v="0"/>
    <s v="11"/>
    <s v="259"/>
    <s v="CO"/>
    <s v="A"/>
    <s v="AV"/>
    <x v="9"/>
    <n v="94"/>
    <n v="54"/>
    <n v="1930"/>
    <n v="1970"/>
    <n v="1214"/>
    <n v="594"/>
    <n v="1214"/>
    <n v="0"/>
    <n v="1214"/>
    <m/>
    <n v="3022"/>
    <n v="3500"/>
    <n v="9"/>
    <m/>
    <m/>
    <m/>
    <m/>
    <m/>
    <m/>
    <m/>
    <n v="374899"/>
    <n v="247433"/>
    <n v="8845"/>
    <n v="363200"/>
    <n v="52700"/>
    <n v="310500"/>
    <n v="0"/>
    <n v="0"/>
    <n v="89850.625589999996"/>
    <n v="-56090.612940989391"/>
    <n v="21557.329055999999"/>
    <n v="160472.20319"/>
    <n v="-12044.462427"/>
    <n v="59982.125230678001"/>
    <n v="26603.135179434001"/>
    <n v="0"/>
    <n v="35305.420829857998"/>
    <n v="34128.198946800003"/>
    <n v="0"/>
    <n v="8800"/>
    <n v="326000"/>
    <n v="33800"/>
    <n v="368600"/>
    <n v="1.4867841409691629E-2"/>
    <n v="0.99970000000000003"/>
    <n v="1.0067999999999999"/>
    <n v="0.99729999999999996"/>
    <n v="1.0126999999999999"/>
    <n v="1.0074000000000001"/>
    <n v="0.94971499999999998"/>
    <n v="0.97284820028600216"/>
    <n v="326000"/>
    <n v="8400"/>
    <n v="334400"/>
    <n v="32100"/>
    <n v="366500"/>
    <n v="7.6972624798711753E-2"/>
    <n v="-0.39089184060721061"/>
    <n v="9.08590308370044E-3"/>
  </r>
  <r>
    <n v="2025"/>
    <s v="18132332413    "/>
    <n v="-1.6607312068216509"/>
    <n v="0.19"/>
    <m/>
    <s v="6"/>
    <s v="RES"/>
    <x v="0"/>
    <s v="11"/>
    <s v="259"/>
    <s v="TU"/>
    <s v="G+"/>
    <s v="GD"/>
    <x v="9"/>
    <n v="94"/>
    <n v="54"/>
    <n v="1930"/>
    <n v="1970"/>
    <n v="1140"/>
    <n v="760"/>
    <n v="740"/>
    <n v="0"/>
    <n v="740"/>
    <m/>
    <n v="2640"/>
    <n v="3000"/>
    <n v="11"/>
    <m/>
    <n v="400"/>
    <n v="183"/>
    <m/>
    <m/>
    <m/>
    <m/>
    <n v="574449"/>
    <n v="396370"/>
    <n v="0"/>
    <n v="451100"/>
    <n v="56600"/>
    <n v="394500"/>
    <n v="0"/>
    <n v="0"/>
    <n v="89850.625589999996"/>
    <n v="-52569.808201026557"/>
    <n v="74268.409664999999"/>
    <n v="197752.34721000001"/>
    <n v="-12044.462427"/>
    <n v="56325.883659780004"/>
    <n v="34037.68137436"/>
    <n v="0"/>
    <n v="21520.602482779999"/>
    <n v="41712.243157199999"/>
    <n v="6093.0792955080005"/>
    <n v="0"/>
    <n v="419700"/>
    <n v="37300"/>
    <n v="457000"/>
    <n v="1.3079139880292618E-2"/>
    <n v="0.99970000000000003"/>
    <n v="0.98380000000000001"/>
    <n v="0.99650000000000005"/>
    <n v="0.96179999999999999"/>
    <n v="1.0074000000000001"/>
    <n v="0.94971499999999998"/>
    <n v="0.90211963998051559"/>
    <n v="419700"/>
    <n v="0"/>
    <n v="419700"/>
    <n v="35400"/>
    <n v="455100"/>
    <n v="6.3878326996197721E-2"/>
    <n v="-0.37455830388692579"/>
    <n v="8.867213478164486E-3"/>
  </r>
  <r>
    <n v="2025"/>
    <s v="18132244016    "/>
    <n v="-1.5141277326297755"/>
    <n v="0.22"/>
    <n v="9672"/>
    <s v="6"/>
    <s v="RES"/>
    <x v="0"/>
    <s v="11"/>
    <s v="259"/>
    <s v="CO"/>
    <s v="A"/>
    <s v="AV"/>
    <x v="9"/>
    <n v="94"/>
    <n v="54"/>
    <n v="1930"/>
    <n v="1970"/>
    <n v="1006"/>
    <n v="237"/>
    <n v="810"/>
    <n v="0"/>
    <n v="810"/>
    <m/>
    <n v="2053"/>
    <n v="2500"/>
    <n v="6"/>
    <m/>
    <m/>
    <m/>
    <m/>
    <m/>
    <m/>
    <m/>
    <n v="262283"/>
    <n v="173107"/>
    <n v="6476"/>
    <n v="320300"/>
    <n v="61700"/>
    <n v="258600"/>
    <n v="0"/>
    <n v="0"/>
    <n v="89850.625589999996"/>
    <n v="-47929.131559187132"/>
    <n v="21557.329055999999"/>
    <n v="160472.20319"/>
    <n v="-12044.462427"/>
    <n v="49705.121896262004"/>
    <n v="10614.382218057001"/>
    <n v="0"/>
    <n v="23556.335150069997"/>
    <n v="22752.132631200002"/>
    <n v="0"/>
    <n v="6500"/>
    <n v="276600"/>
    <n v="41900"/>
    <n v="325000"/>
    <n v="1.4673743365594755E-2"/>
    <n v="0.99970000000000003"/>
    <n v="1.0067999999999999"/>
    <n v="0.99729999999999996"/>
    <n v="0.98919999999999997"/>
    <n v="1.0074000000000001"/>
    <n v="0.94971499999999998"/>
    <n v="0.95027297296624202"/>
    <n v="276600"/>
    <n v="6200"/>
    <n v="282800"/>
    <n v="39800"/>
    <n v="322600"/>
    <n v="9.3580819798917247E-2"/>
    <n v="-0.35494327390599678"/>
    <n v="7.1807680299719014E-3"/>
  </r>
  <r>
    <n v="2025"/>
    <s v="18132214413    "/>
    <n v="-1.6607312068216509"/>
    <n v="0.19"/>
    <n v="8385"/>
    <s v="6"/>
    <s v="RES"/>
    <x v="0"/>
    <s v="11"/>
    <s v="259"/>
    <s v="TD"/>
    <s v="F+"/>
    <s v="AV"/>
    <x v="9"/>
    <n v="94"/>
    <n v="54"/>
    <n v="1930"/>
    <n v="1970"/>
    <n v="1038"/>
    <m/>
    <n v="531"/>
    <n v="0"/>
    <n v="531"/>
    <m/>
    <n v="1569"/>
    <n v="2000"/>
    <n v="8"/>
    <m/>
    <m/>
    <m/>
    <m/>
    <m/>
    <m/>
    <m/>
    <n v="212033"/>
    <n v="139942"/>
    <n v="8032"/>
    <n v="286700"/>
    <n v="56600"/>
    <n v="230100"/>
    <n v="0"/>
    <n v="0"/>
    <n v="89850.625589999996"/>
    <n v="-52569.808201026557"/>
    <n v="0"/>
    <n v="160472.20319"/>
    <n v="-12044.462427"/>
    <n v="51286.199332326003"/>
    <n v="0"/>
    <n v="0"/>
    <n v="15442.486376157"/>
    <n v="30336.176841600001"/>
    <n v="0"/>
    <n v="8000"/>
    <n v="245500"/>
    <n v="37300"/>
    <n v="290800"/>
    <n v="1.430066271363795E-2"/>
    <n v="0.99970000000000003"/>
    <n v="0.99180000000000001"/>
    <n v="0.99729999999999996"/>
    <n v="1.0093000000000001"/>
    <n v="1.0074000000000001"/>
    <n v="0.94971499999999998"/>
    <n v="0.95513649663042099"/>
    <n v="245500"/>
    <n v="7600"/>
    <n v="253100"/>
    <n v="35400"/>
    <n v="288500"/>
    <n v="9.9956540634506735E-2"/>
    <n v="-0.37455830388692579"/>
    <n v="6.2783397279386121E-3"/>
  </r>
  <r>
    <n v="2025"/>
    <s v="18132243432    "/>
    <n v="-1.1086626245216111"/>
    <n v="0.33"/>
    <n v="14445"/>
    <s v="6"/>
    <s v="RES"/>
    <x v="0"/>
    <s v="11"/>
    <s v="259"/>
    <s v="CO"/>
    <s v="A"/>
    <s v="AV"/>
    <x v="9"/>
    <n v="94"/>
    <n v="54"/>
    <n v="1930"/>
    <n v="1970"/>
    <n v="1258"/>
    <n v="431"/>
    <n v="1294"/>
    <n v="644"/>
    <n v="650"/>
    <m/>
    <n v="2339"/>
    <n v="2500"/>
    <n v="11"/>
    <m/>
    <m/>
    <m/>
    <m/>
    <m/>
    <m/>
    <m/>
    <n v="353169"/>
    <n v="233092"/>
    <n v="4868"/>
    <n v="386500"/>
    <n v="75900"/>
    <n v="310600"/>
    <n v="0"/>
    <n v="0"/>
    <n v="89850.625589999996"/>
    <n v="-35094.289365640165"/>
    <n v="21557.329055999999"/>
    <n v="160472.20319"/>
    <n v="-12044.462427"/>
    <n v="62156.106705266"/>
    <n v="19302.948253090999"/>
    <n v="0"/>
    <n v="37631.972449617999"/>
    <n v="41712.243157199999"/>
    <n v="0"/>
    <n v="4900"/>
    <n v="330800"/>
    <n v="54800"/>
    <n v="390500"/>
    <n v="1.034928848641656E-2"/>
    <n v="0.99970000000000003"/>
    <n v="1.0067999999999999"/>
    <n v="0.99729999999999996"/>
    <n v="0.98919999999999997"/>
    <n v="1.0074000000000001"/>
    <n v="0.94971499999999998"/>
    <n v="0.95027297296624202"/>
    <n v="330800"/>
    <n v="4600"/>
    <n v="335400"/>
    <n v="52000"/>
    <n v="387400"/>
    <n v="7.9845460399227297E-2"/>
    <n v="-0.31488801054018445"/>
    <n v="2.3285899094437259E-3"/>
  </r>
  <r>
    <n v="2025"/>
    <s v="18132332535    "/>
    <n v="-1.8325814637483102"/>
    <n v="0.16"/>
    <m/>
    <s v="6"/>
    <s v="RES"/>
    <x v="0"/>
    <s v="11"/>
    <s v="259"/>
    <s v="BG"/>
    <s v="G+"/>
    <s v="AV"/>
    <x v="9"/>
    <n v="94"/>
    <n v="54"/>
    <n v="1930"/>
    <n v="1970"/>
    <n v="1219"/>
    <m/>
    <n v="1048"/>
    <n v="1048"/>
    <m/>
    <m/>
    <n v="1219"/>
    <n v="1500"/>
    <n v="8"/>
    <n v="234"/>
    <m/>
    <m/>
    <m/>
    <m/>
    <m/>
    <m/>
    <n v="393402"/>
    <n v="263579"/>
    <n v="0"/>
    <n v="373200"/>
    <n v="50600"/>
    <n v="322600"/>
    <n v="0"/>
    <n v="0"/>
    <n v="89850.625589999996"/>
    <n v="-58009.662049032086"/>
    <n v="74268.409664999999"/>
    <n v="160472.20319"/>
    <n v="-12044.462427"/>
    <n v="60229.168580063"/>
    <n v="0"/>
    <n v="0"/>
    <n v="30477.826218856"/>
    <n v="30336.176841600001"/>
    <n v="0"/>
    <n v="0"/>
    <n v="343700"/>
    <n v="31800"/>
    <n v="375500"/>
    <n v="6.1629153269024649E-3"/>
    <n v="0.99970000000000003"/>
    <n v="0.98380000000000001"/>
    <n v="0.99729999999999996"/>
    <n v="1.0157"/>
    <n v="1.0074000000000001"/>
    <n v="0.94971499999999998"/>
    <n v="0.95343992437737068"/>
    <n v="343700"/>
    <n v="0"/>
    <n v="343700"/>
    <n v="30200"/>
    <n v="373900"/>
    <n v="6.5406075635461872E-2"/>
    <n v="-0.40316205533596838"/>
    <n v="1.8756698821007502E-3"/>
  </r>
  <r>
    <n v="2025"/>
    <s v="18132333008    "/>
    <n v="-1.6094379124341003"/>
    <n v="0.2"/>
    <n v="8505"/>
    <s v="6"/>
    <s v="RES"/>
    <x v="0"/>
    <s v="11"/>
    <s v="259"/>
    <s v="TD"/>
    <s v="A+"/>
    <s v="AV"/>
    <x v="9"/>
    <n v="94"/>
    <n v="54"/>
    <n v="1930"/>
    <n v="1970"/>
    <n v="1280"/>
    <m/>
    <n v="1000"/>
    <n v="0"/>
    <n v="1000"/>
    <m/>
    <n v="2280"/>
    <n v="2500"/>
    <n v="9"/>
    <m/>
    <m/>
    <m/>
    <m/>
    <m/>
    <m/>
    <m/>
    <n v="334847"/>
    <n v="220999"/>
    <n v="0"/>
    <n v="341000"/>
    <n v="58400"/>
    <n v="282600"/>
    <n v="0"/>
    <n v="0"/>
    <n v="89850.625589999996"/>
    <n v="-50946.13867709865"/>
    <n v="29814.093161000001"/>
    <n v="160472.20319"/>
    <n v="-12044.462427"/>
    <n v="63243.09744256"/>
    <n v="0"/>
    <n v="0"/>
    <n v="29081.895246999997"/>
    <n v="34128.198946800003"/>
    <n v="0"/>
    <n v="0"/>
    <n v="304700"/>
    <n v="38900"/>
    <n v="343600"/>
    <n v="7.624633431085044E-3"/>
    <n v="0.99970000000000003"/>
    <n v="1.0088999999999999"/>
    <n v="0.99729999999999996"/>
    <n v="0.98919999999999997"/>
    <n v="1.0074000000000001"/>
    <n v="0.94971499999999998"/>
    <n v="0.95225506796349002"/>
    <n v="304700"/>
    <n v="0"/>
    <n v="304700"/>
    <n v="36900"/>
    <n v="341600"/>
    <n v="7.8202406227883936E-2"/>
    <n v="-0.36815068493150682"/>
    <n v="1.7595307917888563E-3"/>
  </r>
  <r>
    <n v="2025"/>
    <s v="18132342477    "/>
    <n v="-1.4696759700589417"/>
    <n v="0.23"/>
    <n v="10174"/>
    <s v="6"/>
    <s v="RES"/>
    <x v="0"/>
    <s v="11"/>
    <s v="259"/>
    <s v="TU"/>
    <s v="G+"/>
    <s v="AV"/>
    <x v="9"/>
    <n v="94"/>
    <n v="54"/>
    <n v="1930"/>
    <n v="1970"/>
    <n v="1830"/>
    <n v="1598"/>
    <n v="1130"/>
    <n v="630"/>
    <n v="500"/>
    <m/>
    <n v="3928"/>
    <n v="4000"/>
    <n v="20"/>
    <m/>
    <m/>
    <n v="372"/>
    <m/>
    <m/>
    <m/>
    <m/>
    <n v="826312"/>
    <n v="553629"/>
    <n v="0"/>
    <n v="546500"/>
    <n v="63300"/>
    <n v="483200"/>
    <n v="0"/>
    <n v="0"/>
    <n v="89850.625589999996"/>
    <n v="-46522.028095997222"/>
    <n v="74268.409664999999"/>
    <n v="160472.20319"/>
    <n v="-12044.462427"/>
    <n v="90417.86587491"/>
    <n v="71568.703731877991"/>
    <n v="0"/>
    <n v="32862.541629109997"/>
    <n v="75840.442104000002"/>
    <n v="12385.931682672001"/>
    <n v="0"/>
    <n v="505800"/>
    <n v="43300"/>
    <n v="549100"/>
    <n v="4.7575480329368706E-3"/>
    <n v="0.99970000000000003"/>
    <n v="0.98380000000000001"/>
    <n v="0.99729999999999996"/>
    <n v="0.94579999999999997"/>
    <n v="1.0074000000000001"/>
    <n v="0.94971499999999998"/>
    <n v="0.88782463372660925"/>
    <n v="505800"/>
    <n v="0"/>
    <n v="505800"/>
    <n v="41100"/>
    <n v="546900"/>
    <n v="4.677152317880795E-2"/>
    <n v="-0.35071090047393366"/>
    <n v="7.319304666056725E-4"/>
  </r>
  <r>
    <n v="2025"/>
    <s v="18132332486    "/>
    <n v="-1.7719568419318752"/>
    <n v="0.17"/>
    <m/>
    <s v="6"/>
    <s v="RES"/>
    <x v="0"/>
    <s v="11"/>
    <s v="259"/>
    <s v="CO"/>
    <s v="A+"/>
    <s v="AV"/>
    <x v="9"/>
    <n v="94"/>
    <n v="54"/>
    <n v="1930"/>
    <n v="1970"/>
    <n v="928"/>
    <n v="468"/>
    <n v="928"/>
    <n v="0"/>
    <n v="928"/>
    <m/>
    <n v="2324"/>
    <n v="2500"/>
    <n v="10"/>
    <m/>
    <m/>
    <m/>
    <m/>
    <m/>
    <m/>
    <m/>
    <n v="370063"/>
    <n v="244242"/>
    <n v="8156"/>
    <n v="350600"/>
    <n v="52700"/>
    <n v="297900"/>
    <n v="0"/>
    <n v="0"/>
    <n v="89850.625589999996"/>
    <n v="-56090.612940989391"/>
    <n v="29814.093161000001"/>
    <n v="160472.20319"/>
    <n v="-12044.462427"/>
    <n v="45851.245645856005"/>
    <n v="20960.045898947999"/>
    <n v="0"/>
    <n v="26987.998789215999"/>
    <n v="37920.221052000001"/>
    <n v="0"/>
    <n v="8200"/>
    <n v="310000"/>
    <n v="33800"/>
    <n v="352000"/>
    <n v="3.9931545921277813E-3"/>
    <n v="0.99970000000000003"/>
    <n v="1.0088999999999999"/>
    <n v="0.99729999999999996"/>
    <n v="0.98919999999999997"/>
    <n v="1.0074000000000001"/>
    <n v="0.94971499999999998"/>
    <n v="0.95225506796349002"/>
    <n v="310000"/>
    <n v="7700"/>
    <n v="317700"/>
    <n v="32100"/>
    <n v="349800"/>
    <n v="6.6465256797583083E-2"/>
    <n v="-0.39089184060721061"/>
    <n v="-2.2818026240730175E-3"/>
  </r>
  <r>
    <n v="2025"/>
    <s v="18132342516    "/>
    <n v="-1.8971199848858813"/>
    <n v="0.15"/>
    <n v="6480"/>
    <s v="6"/>
    <s v="RES"/>
    <x v="0"/>
    <s v="11"/>
    <s v="259"/>
    <s v="BG"/>
    <s v="G+"/>
    <s v="AV"/>
    <x v="9"/>
    <n v="94"/>
    <n v="54"/>
    <n v="1930"/>
    <n v="1970"/>
    <n v="1206"/>
    <n v="604"/>
    <n v="1006"/>
    <n v="0"/>
    <n v="1006"/>
    <m/>
    <n v="2816"/>
    <n v="3000"/>
    <n v="10"/>
    <m/>
    <n v="200"/>
    <n v="576"/>
    <m/>
    <m/>
    <m/>
    <m/>
    <n v="587814"/>
    <n v="393835"/>
    <n v="0"/>
    <n v="426900"/>
    <n v="48400"/>
    <n v="378500"/>
    <n v="0"/>
    <n v="0"/>
    <n v="89850.625589999996"/>
    <n v="-60052.604136134301"/>
    <n v="74268.409664999999"/>
    <n v="160472.20319"/>
    <n v="-12044.462427"/>
    <n v="59586.855871662003"/>
    <n v="27050.999408043997"/>
    <n v="0"/>
    <n v="29256.386618482"/>
    <n v="37920.221052000001"/>
    <n v="19178.216798976002"/>
    <n v="0"/>
    <n v="395700"/>
    <n v="29800"/>
    <n v="425500"/>
    <n v="-3.2794565472007496E-3"/>
    <n v="0.99970000000000003"/>
    <n v="0.98380000000000001"/>
    <n v="0.99729999999999996"/>
    <n v="0.96179999999999999"/>
    <n v="1.0074000000000001"/>
    <n v="0.94971499999999998"/>
    <n v="0.90284387049931569"/>
    <n v="395700"/>
    <n v="0"/>
    <n v="395700"/>
    <n v="28300"/>
    <n v="424000"/>
    <n v="4.544253632760898E-2"/>
    <n v="-0.41528925619834711"/>
    <n v="-6.7931599906301239E-3"/>
  </r>
  <r>
    <n v="2025"/>
    <s v="18132244033    "/>
    <n v="-1.1394342831883648"/>
    <n v="0.32"/>
    <n v="14049"/>
    <s v="6"/>
    <s v="RES"/>
    <x v="0"/>
    <s v="11"/>
    <s v="259"/>
    <s v="CO"/>
    <s v="A"/>
    <s v="AV"/>
    <x v="9"/>
    <n v="94"/>
    <n v="54"/>
    <n v="1930"/>
    <n v="1970"/>
    <n v="980"/>
    <n v="241"/>
    <n v="980"/>
    <n v="0"/>
    <n v="980"/>
    <m/>
    <n v="2201"/>
    <n v="2500"/>
    <n v="8"/>
    <m/>
    <m/>
    <m/>
    <m/>
    <m/>
    <m/>
    <m/>
    <n v="293224"/>
    <n v="193528"/>
    <n v="42454"/>
    <n v="382300"/>
    <n v="74800"/>
    <n v="307500"/>
    <n v="0"/>
    <n v="0"/>
    <n v="89850.625589999996"/>
    <n v="-36068.354396449467"/>
    <n v="21557.329055999999"/>
    <n v="160472.20319"/>
    <n v="-12044.462427"/>
    <n v="48420.496479460002"/>
    <n v="10793.527909500999"/>
    <n v="0"/>
    <n v="28500.257342059998"/>
    <n v="30336.176841600001"/>
    <n v="0"/>
    <n v="42500"/>
    <n v="288000"/>
    <n v="53800"/>
    <n v="384300"/>
    <n v="5.2314935914203504E-3"/>
    <n v="0.99970000000000003"/>
    <n v="1.0067999999999999"/>
    <n v="0.99729999999999996"/>
    <n v="0.98919999999999997"/>
    <n v="1.0074000000000001"/>
    <n v="0.94971499999999998"/>
    <n v="0.95027297296624202"/>
    <n v="288000"/>
    <n v="40300"/>
    <n v="328300"/>
    <n v="51100"/>
    <n v="379400"/>
    <n v="6.7642276422764228E-2"/>
    <n v="-0.31684491978609625"/>
    <n v="-7.5856657075595085E-3"/>
  </r>
  <r>
    <n v="2025"/>
    <s v="18132242442    "/>
    <n v="-0.94160853985844495"/>
    <n v="0.39"/>
    <n v="16952"/>
    <s v="6"/>
    <s v="RES"/>
    <x v="0"/>
    <s v="11"/>
    <s v="259"/>
    <s v="FH"/>
    <s v="A"/>
    <s v="AV"/>
    <x v="9"/>
    <n v="94"/>
    <n v="54"/>
    <n v="1930"/>
    <n v="1970"/>
    <n v="1059"/>
    <n v="258"/>
    <n v="1059"/>
    <n v="0"/>
    <n v="1059"/>
    <m/>
    <n v="2376"/>
    <n v="2500"/>
    <n v="11"/>
    <m/>
    <m/>
    <m/>
    <m/>
    <m/>
    <m/>
    <m/>
    <n v="301124"/>
    <n v="198742"/>
    <n v="12316"/>
    <n v="378700"/>
    <n v="81700"/>
    <n v="297000"/>
    <n v="0"/>
    <n v="0"/>
    <n v="89850.625589999996"/>
    <n v="-29806.256507663158"/>
    <n v="21557.329055999999"/>
    <n v="160472.20319"/>
    <n v="-12044.462427"/>
    <n v="52323.781399742998"/>
    <n v="11554.897098137999"/>
    <n v="0"/>
    <n v="30797.727066572999"/>
    <n v="41712.243157199999"/>
    <n v="0"/>
    <n v="12300"/>
    <n v="306400"/>
    <n v="60000"/>
    <n v="378700"/>
    <n v="0"/>
    <n v="0.99970000000000003"/>
    <n v="1.0067999999999999"/>
    <n v="0.99729999999999996"/>
    <n v="0.98919999999999997"/>
    <n v="1.0074000000000001"/>
    <n v="0.94971499999999998"/>
    <n v="0.95027297296624202"/>
    <n v="306400"/>
    <n v="11700"/>
    <n v="318100"/>
    <n v="57000"/>
    <n v="375100"/>
    <n v="7.1043771043771048E-2"/>
    <n v="-0.30232558139534882"/>
    <n v="-9.5062054396620015E-3"/>
  </r>
  <r>
    <n v="2025"/>
    <s v="18132213052    "/>
    <n v="-1.5606477482646683"/>
    <n v="0.21"/>
    <n v="8992"/>
    <s v="6"/>
    <s v="RES"/>
    <x v="0"/>
    <s v="11"/>
    <s v="259"/>
    <s v="MS"/>
    <s v="A"/>
    <s v="AV"/>
    <x v="9"/>
    <n v="94"/>
    <n v="54"/>
    <n v="1930"/>
    <n v="1970"/>
    <n v="702"/>
    <m/>
    <n v="546"/>
    <n v="546"/>
    <m/>
    <m/>
    <n v="702"/>
    <n v="1000"/>
    <n v="5"/>
    <m/>
    <m/>
    <m/>
    <m/>
    <m/>
    <m/>
    <m/>
    <n v="144304"/>
    <n v="95241"/>
    <n v="4877"/>
    <n v="285400"/>
    <n v="60100"/>
    <n v="225300"/>
    <n v="0"/>
    <n v="0"/>
    <n v="89850.625589999996"/>
    <n v="-49401.70477837498"/>
    <n v="21557.329055999999"/>
    <n v="160472.20319"/>
    <n v="-12044.462427"/>
    <n v="34684.886253654004"/>
    <n v="0"/>
    <n v="0"/>
    <n v="15878.714804861998"/>
    <n v="18960.110526"/>
    <n v="0"/>
    <n v="4900"/>
    <n v="239500"/>
    <n v="40400"/>
    <n v="284800"/>
    <n v="-2.1023125437981782E-3"/>
    <n v="0.99970000000000003"/>
    <n v="1.0067999999999999"/>
    <n v="0.99729999999999996"/>
    <n v="1.0148999999999999"/>
    <n v="1.0074000000000001"/>
    <n v="0.94971499999999998"/>
    <n v="0.97496162582232004"/>
    <n v="239500"/>
    <n v="4600"/>
    <n v="244100"/>
    <n v="38400"/>
    <n v="282500"/>
    <n v="8.3444296493564135E-2"/>
    <n v="-0.36106489184692181"/>
    <n v="-1.0161177295024528E-2"/>
  </r>
  <r>
    <n v="2025"/>
    <s v="18132334023    "/>
    <n v="-0.9942522733438669"/>
    <n v="0.37"/>
    <m/>
    <s v="6"/>
    <s v="RES"/>
    <x v="0"/>
    <s v="11"/>
    <s v="259"/>
    <s v="TU"/>
    <s v="V"/>
    <s v="GD"/>
    <x v="9"/>
    <n v="94"/>
    <n v="54"/>
    <n v="1930"/>
    <n v="1970"/>
    <n v="1722"/>
    <n v="1155"/>
    <n v="1641"/>
    <n v="0"/>
    <n v="1641"/>
    <m/>
    <n v="4518"/>
    <n v="4500"/>
    <n v="12"/>
    <n v="360"/>
    <m/>
    <m/>
    <m/>
    <m/>
    <m/>
    <m/>
    <n v="887846"/>
    <n v="612614"/>
    <n v="24612"/>
    <n v="667100"/>
    <n v="79900"/>
    <n v="587200"/>
    <n v="0"/>
    <n v="0"/>
    <n v="89850.625589999996"/>
    <n v="-31472.673662315807"/>
    <n v="163885.03753"/>
    <n v="197752.34721000001"/>
    <n v="-12044.462427"/>
    <n v="85081.729528194002"/>
    <n v="51728.318404455"/>
    <n v="0"/>
    <n v="47723.390100327"/>
    <n v="45504.265262400004"/>
    <n v="0"/>
    <n v="24600"/>
    <n v="579600"/>
    <n v="58400"/>
    <n v="662600"/>
    <n v="-6.7456153500224858E-3"/>
    <n v="0.99970000000000003"/>
    <n v="1"/>
    <n v="0.99650000000000005"/>
    <n v="1"/>
    <n v="1.0074000000000001"/>
    <n v="0.94971499999999998"/>
    <n v="0.95339429088149996"/>
    <n v="579600"/>
    <n v="23400"/>
    <n v="603000"/>
    <n v="55400"/>
    <n v="658400"/>
    <n v="2.6907356948228881E-2"/>
    <n v="-0.30663329161451813"/>
    <n v="-1.3041523010043472E-2"/>
  </r>
  <r>
    <n v="2025"/>
    <s v="18132313426    "/>
    <n v="-1.2378743560016174"/>
    <n v="0.28999999999999998"/>
    <n v="12522"/>
    <s v="6"/>
    <s v="RES"/>
    <x v="0"/>
    <s v="11"/>
    <s v="259"/>
    <s v="CC"/>
    <s v="G+"/>
    <s v="GD"/>
    <x v="9"/>
    <n v="94"/>
    <n v="54"/>
    <n v="1930"/>
    <n v="1970"/>
    <n v="1277"/>
    <n v="857"/>
    <n v="985"/>
    <n v="55"/>
    <n v="930"/>
    <m/>
    <n v="3064"/>
    <n v="3500"/>
    <n v="10"/>
    <n v="374"/>
    <m/>
    <m/>
    <m/>
    <m/>
    <m/>
    <m/>
    <n v="668473"/>
    <n v="461246"/>
    <n v="29522"/>
    <n v="515500"/>
    <n v="71400"/>
    <n v="444100"/>
    <n v="0"/>
    <n v="0"/>
    <n v="89850.625589999996"/>
    <n v="-39184.437074869042"/>
    <n v="74268.409664999999"/>
    <n v="197752.34721000001"/>
    <n v="-12044.462427"/>
    <n v="63094.871432929001"/>
    <n v="38381.964391877002"/>
    <n v="0"/>
    <n v="28645.666818294998"/>
    <n v="37920.221052000001"/>
    <n v="0"/>
    <n v="29500"/>
    <n v="428000"/>
    <n v="50700"/>
    <n v="508200"/>
    <n v="-1.4161008729388943E-2"/>
    <n v="0.99970000000000003"/>
    <n v="0.98380000000000001"/>
    <n v="0.99650000000000005"/>
    <n v="1.0126999999999999"/>
    <n v="1.0074000000000001"/>
    <n v="0.94971499999999998"/>
    <n v="0.94986125952200873"/>
    <n v="428000"/>
    <n v="28000"/>
    <n v="456000"/>
    <n v="48100"/>
    <n v="504100"/>
    <n v="2.6795766719207387E-2"/>
    <n v="-0.32633053221288516"/>
    <n v="-2.2114451988360814E-2"/>
  </r>
  <r>
    <n v="2025"/>
    <s v="18132313425    "/>
    <n v="-1.2729656758128873"/>
    <n v="0.28000000000000003"/>
    <n v="12046"/>
    <s v="6"/>
    <s v="RES"/>
    <x v="0"/>
    <s v="11"/>
    <s v="259"/>
    <s v="BG"/>
    <s v="V"/>
    <s v="GD"/>
    <x v="9"/>
    <n v="94"/>
    <n v="54"/>
    <n v="1930"/>
    <n v="1970"/>
    <n v="1737"/>
    <m/>
    <n v="1319"/>
    <n v="0"/>
    <n v="1319"/>
    <m/>
    <n v="3056"/>
    <n v="3500"/>
    <n v="16"/>
    <m/>
    <m/>
    <m/>
    <m/>
    <m/>
    <m/>
    <m/>
    <n v="670323"/>
    <n v="462523"/>
    <n v="14709"/>
    <n v="614100"/>
    <n v="70100"/>
    <n v="544000"/>
    <n v="0"/>
    <n v="0"/>
    <n v="89850.625589999996"/>
    <n v="-40295.239319339329"/>
    <n v="163885.03753"/>
    <n v="197752.34721000001"/>
    <n v="-12044.462427"/>
    <n v="85822.859576349001"/>
    <n v="0"/>
    <n v="0"/>
    <n v="38359.019830792997"/>
    <n v="60672.353683200003"/>
    <n v="0"/>
    <n v="14700"/>
    <n v="534400"/>
    <n v="49600"/>
    <n v="598700"/>
    <n v="-2.5077348965966455E-2"/>
    <n v="0.99970000000000003"/>
    <n v="1"/>
    <n v="0.99650000000000005"/>
    <n v="1.0126999999999999"/>
    <n v="1.0074000000000001"/>
    <n v="0.94971499999999998"/>
    <n v="0.96550239837569496"/>
    <n v="534400"/>
    <n v="14000"/>
    <n v="548400"/>
    <n v="47100"/>
    <n v="595500"/>
    <n v="8.0882352941176478E-3"/>
    <n v="-0.32810271041369471"/>
    <n v="-3.0288226673180263E-2"/>
  </r>
  <r>
    <n v="2025"/>
    <s v="18132241443    "/>
    <n v="-1.6094379124341003"/>
    <n v="0.2"/>
    <n v="8680"/>
    <s v="6"/>
    <s v="RES"/>
    <x v="0"/>
    <s v="11"/>
    <s v="259"/>
    <s v="CP"/>
    <s v="G+"/>
    <s v="AV"/>
    <x v="9"/>
    <n v="94"/>
    <n v="54"/>
    <n v="1930"/>
    <n v="1970"/>
    <n v="2175"/>
    <n v="900"/>
    <n v="936"/>
    <n v="612"/>
    <n v="324"/>
    <m/>
    <n v="3399"/>
    <n v="3500"/>
    <n v="15"/>
    <m/>
    <m/>
    <m/>
    <m/>
    <m/>
    <m/>
    <m/>
    <n v="785329"/>
    <n v="526170"/>
    <n v="5874"/>
    <n v="515600"/>
    <n v="58400"/>
    <n v="457200"/>
    <n v="0"/>
    <n v="0"/>
    <n v="89850.625589999996"/>
    <n v="-50946.13867709865"/>
    <n v="74268.409664999999"/>
    <n v="160472.20319"/>
    <n v="-12044.462427"/>
    <n v="107463.856982475"/>
    <n v="40307.780574899996"/>
    <n v="0"/>
    <n v="27220.653951191998"/>
    <n v="56880.331578000005"/>
    <n v="0"/>
    <n v="5900"/>
    <n v="454600"/>
    <n v="38900"/>
    <n v="499400"/>
    <n v="-3.1419705197827774E-2"/>
    <n v="0.99970000000000003"/>
    <n v="0.98380000000000001"/>
    <n v="0.99729999999999996"/>
    <n v="1.0126999999999999"/>
    <n v="1.0074000000000001"/>
    <n v="0.94971499999999998"/>
    <n v="0.95062381748248792"/>
    <n v="454600"/>
    <n v="5600"/>
    <n v="460200"/>
    <n v="36900"/>
    <n v="497100"/>
    <n v="6.5616797900262466E-3"/>
    <n v="-0.36815068493150682"/>
    <n v="-3.5880527540729248E-2"/>
  </r>
  <r>
    <n v="2025"/>
    <s v="18132244502    "/>
    <n v="-1.4696759700589417"/>
    <n v="0.23"/>
    <n v="9811"/>
    <s v="6"/>
    <s v="RES"/>
    <x v="0"/>
    <s v="11"/>
    <s v="259"/>
    <s v="TD"/>
    <s v="F+"/>
    <s v="FR"/>
    <x v="9"/>
    <n v="94"/>
    <n v="54"/>
    <n v="1930"/>
    <n v="1970"/>
    <n v="1140"/>
    <m/>
    <n v="965"/>
    <n v="965"/>
    <m/>
    <m/>
    <n v="1140"/>
    <n v="1500"/>
    <n v="8"/>
    <m/>
    <m/>
    <m/>
    <m/>
    <m/>
    <m/>
    <m/>
    <n v="204105"/>
    <n v="130627"/>
    <n v="0"/>
    <n v="289900"/>
    <n v="63300"/>
    <n v="226600"/>
    <n v="0"/>
    <n v="0"/>
    <n v="89850.625589999996"/>
    <n v="-46522.028095997222"/>
    <n v="0"/>
    <n v="133714.53821"/>
    <n v="-12044.462427"/>
    <n v="56325.883659780004"/>
    <n v="0"/>
    <n v="0"/>
    <n v="28064.028913355"/>
    <n v="30336.176841600001"/>
    <n v="0"/>
    <n v="0"/>
    <n v="236400"/>
    <n v="43300"/>
    <n v="279700"/>
    <n v="-3.5184546395308727E-2"/>
    <n v="0.99970000000000003"/>
    <n v="0.99180000000000001"/>
    <n v="0.99329999999999996"/>
    <n v="1.0157"/>
    <n v="1.0074000000000001"/>
    <n v="0.94971499999999998"/>
    <n v="0.95733786314897451"/>
    <n v="236400"/>
    <n v="0"/>
    <n v="236400"/>
    <n v="41100"/>
    <n v="277500"/>
    <n v="4.3248014121800529E-2"/>
    <n v="-0.35071090047393366"/>
    <n v="-4.2773370127630217E-2"/>
  </r>
  <r>
    <n v="2025"/>
    <s v="18132322402    "/>
    <n v="-1.1394342831883648"/>
    <n v="0.32"/>
    <n v="13844"/>
    <s v="6"/>
    <s v="RES"/>
    <x v="0"/>
    <s v="11"/>
    <s v="259"/>
    <s v="BG"/>
    <s v="F+"/>
    <s v="AV"/>
    <x v="9"/>
    <n v="94"/>
    <n v="54"/>
    <n v="1930"/>
    <n v="1970"/>
    <n v="952"/>
    <n v="238"/>
    <n v="952"/>
    <n v="0"/>
    <n v="952"/>
    <m/>
    <n v="2142"/>
    <n v="2500"/>
    <n v="5"/>
    <m/>
    <m/>
    <m/>
    <m/>
    <m/>
    <m/>
    <m/>
    <n v="257683"/>
    <n v="170071"/>
    <n v="6168"/>
    <n v="327500"/>
    <n v="74800"/>
    <n v="252700"/>
    <n v="0"/>
    <n v="0"/>
    <n v="89850.625589999996"/>
    <n v="-36068.354396449467"/>
    <n v="0"/>
    <n v="160472.20319"/>
    <n v="-12044.462427"/>
    <n v="47037.053722903998"/>
    <n v="10659.168640918"/>
    <n v="0"/>
    <n v="27685.964275143997"/>
    <n v="18960.110526"/>
    <n v="0"/>
    <n v="6200"/>
    <n v="252800"/>
    <n v="53800"/>
    <n v="312800"/>
    <n v="-4.4885496183206107E-2"/>
    <n v="0.99970000000000003"/>
    <n v="0.99180000000000001"/>
    <n v="0.99729999999999996"/>
    <n v="0.98919999999999997"/>
    <n v="1.0074000000000001"/>
    <n v="0.94971499999999998"/>
    <n v="0.93611515155732916"/>
    <n v="252800"/>
    <n v="5900"/>
    <n v="258700"/>
    <n v="51100"/>
    <n v="309800"/>
    <n v="2.3743569449940639E-2"/>
    <n v="-0.31684491978609625"/>
    <n v="-5.4045801526717556E-2"/>
  </r>
  <r>
    <n v="2025"/>
    <s v="18132323025    "/>
    <n v="-2.0402208285265546"/>
    <n v="0.13"/>
    <n v="5750"/>
    <s v="6"/>
    <s v="RES"/>
    <x v="0"/>
    <s v="11"/>
    <s v="259"/>
    <s v="TD"/>
    <s v="F"/>
    <s v="AV"/>
    <x v="9"/>
    <n v="94"/>
    <n v="54"/>
    <n v="1930"/>
    <n v="1970"/>
    <n v="829"/>
    <m/>
    <n v="396"/>
    <n v="0"/>
    <n v="396"/>
    <m/>
    <n v="1225"/>
    <n v="1500"/>
    <n v="5"/>
    <m/>
    <m/>
    <n v="296"/>
    <m/>
    <m/>
    <m/>
    <m/>
    <n v="170339"/>
    <n v="112424"/>
    <n v="0"/>
    <n v="229000"/>
    <n v="43400"/>
    <n v="185600"/>
    <n v="0"/>
    <n v="0"/>
    <n v="89850.625589999996"/>
    <n v="-64582.406353792743"/>
    <n v="-43578.886190266698"/>
    <n v="160472.20319"/>
    <n v="-12044.462427"/>
    <n v="40959.787328033002"/>
    <n v="0"/>
    <n v="0"/>
    <n v="11516.430517811999"/>
    <n v="18960.110526"/>
    <n v="9855.4725216960014"/>
    <n v="0"/>
    <n v="186100"/>
    <n v="25300"/>
    <n v="211400"/>
    <n v="-7.6855895196506555E-2"/>
    <n v="0.99970000000000003"/>
    <n v="1"/>
    <n v="0.99729999999999996"/>
    <n v="1.0157"/>
    <n v="1.0074000000000001"/>
    <n v="0.94971499999999998"/>
    <n v="0.96913999225185055"/>
    <n v="186100"/>
    <n v="0"/>
    <n v="186100"/>
    <n v="24000"/>
    <n v="210100"/>
    <n v="2.6939655172413795E-3"/>
    <n v="-0.44700460829493088"/>
    <n v="-8.2532751091703063E-2"/>
  </r>
  <r>
    <n v="2025"/>
    <s v="18132241038    "/>
    <n v="-1.2729656758128873"/>
    <n v="0.28000000000000003"/>
    <n v="12283"/>
    <s v="6"/>
    <s v="RES"/>
    <x v="0"/>
    <s v="11"/>
    <s v="259"/>
    <s v="TD"/>
    <s v="A"/>
    <s v="PR"/>
    <x v="9"/>
    <n v="94"/>
    <n v="54"/>
    <n v="1930"/>
    <n v="1970"/>
    <n v="935"/>
    <m/>
    <n v="963"/>
    <n v="674"/>
    <n v="289"/>
    <m/>
    <n v="1224"/>
    <n v="1500"/>
    <n v="5"/>
    <m/>
    <m/>
    <m/>
    <m/>
    <m/>
    <m/>
    <m/>
    <n v="207029"/>
    <n v="130428"/>
    <n v="8495"/>
    <n v="219100"/>
    <n v="70100"/>
    <n v="149000"/>
    <n v="0"/>
    <n v="0"/>
    <n v="89850.625589999996"/>
    <n v="-40295.239319339329"/>
    <n v="21557.329055999999"/>
    <n v="39013.223933000001"/>
    <n v="-12044.462427"/>
    <n v="46197.106334994998"/>
    <n v="0"/>
    <n v="0"/>
    <n v="28005.865122861"/>
    <n v="18960.110526"/>
    <n v="0"/>
    <n v="8500"/>
    <n v="141700"/>
    <n v="49600"/>
    <n v="199800"/>
    <n v="-8.8087631218621634E-2"/>
    <n v="0.99970000000000003"/>
    <n v="1.0067999999999999"/>
    <n v="1.0021"/>
    <n v="1.0157"/>
    <n v="1.0074000000000001"/>
    <n v="0.94971499999999998"/>
    <n v="0.980426328589172"/>
    <n v="141700"/>
    <n v="8100"/>
    <n v="149800"/>
    <n v="47100"/>
    <n v="196900"/>
    <n v="5.3691275167785232E-3"/>
    <n v="-0.32810271041369471"/>
    <n v="-0.10132359653126426"/>
  </r>
  <r>
    <n v="2025"/>
    <s v="18132244053    "/>
    <n v="-1.6607312068216509"/>
    <n v="0.19"/>
    <n v="8357"/>
    <s v="6"/>
    <s v="RES"/>
    <x v="0"/>
    <s v="11"/>
    <s v="259"/>
    <s v="TD"/>
    <s v="F"/>
    <s v="AV"/>
    <x v="9"/>
    <n v="94"/>
    <n v="54"/>
    <n v="1930"/>
    <n v="1970"/>
    <n v="780"/>
    <m/>
    <n v="780"/>
    <n v="430"/>
    <n v="350"/>
    <m/>
    <n v="1130"/>
    <n v="1500"/>
    <n v="5"/>
    <m/>
    <m/>
    <m/>
    <m/>
    <m/>
    <m/>
    <m/>
    <n v="157417"/>
    <n v="103895"/>
    <n v="0"/>
    <n v="245800"/>
    <n v="56600"/>
    <n v="189200"/>
    <n v="0"/>
    <n v="0"/>
    <n v="89850.625589999996"/>
    <n v="-52569.808201026557"/>
    <n v="-43578.886190266698"/>
    <n v="160472.20319"/>
    <n v="-12044.462427"/>
    <n v="38538.762504060003"/>
    <n v="0"/>
    <n v="0"/>
    <n v="22683.87829266"/>
    <n v="18960.110526"/>
    <n v="0"/>
    <n v="0"/>
    <n v="185000"/>
    <n v="37300"/>
    <n v="222300"/>
    <n v="-9.5606183889340932E-2"/>
    <n v="0.99970000000000003"/>
    <n v="1"/>
    <n v="0.99729999999999996"/>
    <n v="1.0157"/>
    <n v="1.0074000000000001"/>
    <n v="0.94971499999999998"/>
    <n v="0.96913999225185055"/>
    <n v="185000"/>
    <n v="0"/>
    <n v="185000"/>
    <n v="35400"/>
    <n v="220400"/>
    <n v="-2.2198731501057084E-2"/>
    <n v="-0.37455830388692579"/>
    <n v="-0.10333604556550041"/>
  </r>
  <r>
    <n v="2025"/>
    <s v="18132214414    "/>
    <n v="-1.6607312068216509"/>
    <n v="0.19"/>
    <n v="8139"/>
    <s v="6"/>
    <s v="RES"/>
    <x v="0"/>
    <s v="11"/>
    <s v="259"/>
    <s v="TD"/>
    <s v="F"/>
    <s v="AV"/>
    <x v="9"/>
    <n v="94"/>
    <n v="54"/>
    <n v="1930"/>
    <n v="1970"/>
    <n v="852"/>
    <m/>
    <n v="852"/>
    <n v="452"/>
    <n v="400"/>
    <m/>
    <n v="1252"/>
    <n v="1500"/>
    <n v="5"/>
    <m/>
    <m/>
    <m/>
    <m/>
    <m/>
    <m/>
    <m/>
    <n v="176029"/>
    <n v="116179"/>
    <n v="4877"/>
    <n v="257700"/>
    <n v="56600"/>
    <n v="201100"/>
    <n v="0"/>
    <n v="0"/>
    <n v="89850.625589999996"/>
    <n v="-52569.808201026557"/>
    <n v="-43578.886190266698"/>
    <n v="160472.20319"/>
    <n v="-12044.462427"/>
    <n v="42096.186735203999"/>
    <n v="0"/>
    <n v="0"/>
    <n v="24777.774750443998"/>
    <n v="18960.110526"/>
    <n v="0"/>
    <n v="4900"/>
    <n v="190700"/>
    <n v="37300"/>
    <n v="232900"/>
    <n v="-9.6235933255723716E-2"/>
    <n v="0.99970000000000003"/>
    <n v="1"/>
    <n v="0.99729999999999996"/>
    <n v="1.0157"/>
    <n v="1.0074000000000001"/>
    <n v="0.94971499999999998"/>
    <n v="0.96913999225185055"/>
    <n v="190700"/>
    <n v="4600"/>
    <n v="195300"/>
    <n v="35400"/>
    <n v="230700"/>
    <n v="-2.8841372451516658E-2"/>
    <n v="-0.37455830388692579"/>
    <n v="-0.10477299185098952"/>
  </r>
  <r>
    <n v="2025"/>
    <s v="18132211007    "/>
    <n v="-2.120263536200091"/>
    <n v="0.12"/>
    <n v="5047"/>
    <s v="6"/>
    <s v="RES"/>
    <x v="0"/>
    <s v="11"/>
    <s v="400"/>
    <s v="TD"/>
    <s v="F"/>
    <s v="FR"/>
    <x v="9"/>
    <n v="94"/>
    <n v="54"/>
    <n v="1930"/>
    <n v="1970"/>
    <n v="951"/>
    <m/>
    <n v="234"/>
    <n v="234"/>
    <m/>
    <m/>
    <n v="951"/>
    <n v="1000"/>
    <n v="5"/>
    <m/>
    <m/>
    <m/>
    <m/>
    <m/>
    <m/>
    <m/>
    <n v="153221"/>
    <n v="98061"/>
    <n v="0"/>
    <n v="193500"/>
    <n v="40600"/>
    <n v="152900"/>
    <n v="0"/>
    <n v="0"/>
    <n v="89850.625589999996"/>
    <n v="-67116.12750806773"/>
    <n v="-43578.886190266698"/>
    <n v="133714.53821"/>
    <n v="-12044.462427"/>
    <n v="46987.645053027001"/>
    <n v="0"/>
    <n v="0"/>
    <n v="6805.1634877979996"/>
    <n v="18960.110526"/>
    <n v="0"/>
    <n v="0"/>
    <n v="150800"/>
    <n v="22700"/>
    <n v="173500"/>
    <n v="-0.10335917312661498"/>
    <n v="0.99970000000000003"/>
    <n v="1"/>
    <n v="0.99329999999999996"/>
    <n v="1.0148999999999999"/>
    <n v="1.0074000000000001"/>
    <n v="0.94971499999999998"/>
    <n v="0.96449267106339143"/>
    <n v="150800"/>
    <n v="0"/>
    <n v="150800"/>
    <n v="21600"/>
    <n v="172400"/>
    <n v="-1.3734466971877043E-2"/>
    <n v="-0.46798029556650245"/>
    <n v="-0.10904392764857881"/>
  </r>
  <r>
    <n v="2025"/>
    <s v="18132323436    "/>
    <n v="-1.6607312068216509"/>
    <n v="0.19"/>
    <m/>
    <s v="6"/>
    <s v="RES"/>
    <x v="0"/>
    <s v="11"/>
    <s v="259"/>
    <s v="TD"/>
    <s v="F"/>
    <s v="AV"/>
    <x v="9"/>
    <n v="94"/>
    <n v="54"/>
    <n v="1930"/>
    <n v="1970"/>
    <n v="648"/>
    <m/>
    <m/>
    <n v="0"/>
    <m/>
    <m/>
    <n v="648"/>
    <n v="1000"/>
    <n v="5"/>
    <m/>
    <m/>
    <m/>
    <m/>
    <m/>
    <m/>
    <m/>
    <n v="99441"/>
    <n v="65631"/>
    <n v="5613"/>
    <n v="224800"/>
    <n v="56600"/>
    <n v="168200"/>
    <n v="0"/>
    <n v="0"/>
    <n v="89850.625589999996"/>
    <n v="-52569.808201026557"/>
    <n v="-43578.886190266698"/>
    <n v="160472.20319"/>
    <n v="-12044.462427"/>
    <n v="32016.818080296001"/>
    <n v="0"/>
    <n v="0"/>
    <n v="0"/>
    <n v="18960.110526"/>
    <n v="0"/>
    <n v="5600"/>
    <n v="155800"/>
    <n v="37300"/>
    <n v="198700"/>
    <n v="-0.11610320284697509"/>
    <n v="0.99970000000000003"/>
    <n v="1"/>
    <n v="0.99729999999999996"/>
    <n v="1.0148999999999999"/>
    <n v="1.0074000000000001"/>
    <n v="0.94971499999999998"/>
    <n v="0.96837666450369497"/>
    <n v="155800"/>
    <n v="5300"/>
    <n v="161100"/>
    <n v="35400"/>
    <n v="196500"/>
    <n v="-4.2211652794292509E-2"/>
    <n v="-0.37455830388692579"/>
    <n v="-0.12588967971530249"/>
  </r>
  <r>
    <n v="2025"/>
    <s v="18132344442    "/>
    <n v="-1.8971199848858813"/>
    <n v="0.15"/>
    <m/>
    <s v="6"/>
    <s v="RES"/>
    <x v="0"/>
    <s v="11"/>
    <s v="259"/>
    <s v="TD"/>
    <s v="F"/>
    <s v="AV"/>
    <x v="9"/>
    <n v="94"/>
    <n v="54"/>
    <n v="1930"/>
    <n v="1970"/>
    <n v="600"/>
    <m/>
    <m/>
    <n v="0"/>
    <m/>
    <m/>
    <n v="600"/>
    <n v="1000"/>
    <n v="5"/>
    <m/>
    <m/>
    <m/>
    <m/>
    <m/>
    <m/>
    <m/>
    <n v="96241"/>
    <n v="63519"/>
    <n v="0"/>
    <n v="208100"/>
    <n v="48400"/>
    <n v="159700"/>
    <n v="0"/>
    <n v="0"/>
    <n v="89850.625589999996"/>
    <n v="-60052.604136134301"/>
    <n v="-43578.886190266698"/>
    <n v="160472.20319"/>
    <n v="-12044.462427"/>
    <n v="29645.201926199999"/>
    <n v="0"/>
    <n v="0"/>
    <n v="0"/>
    <n v="18960.110526"/>
    <n v="0"/>
    <n v="0"/>
    <n v="153500"/>
    <n v="29800"/>
    <n v="183300"/>
    <n v="-0.11917347429120614"/>
    <n v="0.99970000000000003"/>
    <n v="1"/>
    <n v="0.99729999999999996"/>
    <n v="1.0148999999999999"/>
    <n v="1.0074000000000001"/>
    <n v="0.94971499999999998"/>
    <n v="0.96837666450369497"/>
    <n v="153500"/>
    <n v="0"/>
    <n v="153500"/>
    <n v="28300"/>
    <n v="181800"/>
    <n v="-3.8822792736380715E-2"/>
    <n v="-0.41528925619834711"/>
    <n v="-0.12638154733301296"/>
  </r>
  <r>
    <n v="2025"/>
    <s v="18132244501    "/>
    <n v="-1.5141277326297755"/>
    <n v="0.22"/>
    <n v="9578"/>
    <s v="6"/>
    <s v="RES"/>
    <x v="0"/>
    <s v="11"/>
    <s v="259"/>
    <s v="CA"/>
    <s v="F"/>
    <s v="PR"/>
    <x v="9"/>
    <n v="94"/>
    <n v="54"/>
    <n v="1930"/>
    <n v="1970"/>
    <n v="909"/>
    <m/>
    <n v="673"/>
    <n v="673"/>
    <m/>
    <m/>
    <n v="909"/>
    <n v="1000"/>
    <n v="5"/>
    <m/>
    <m/>
    <m/>
    <m/>
    <m/>
    <m/>
    <m/>
    <n v="130139"/>
    <n v="81988"/>
    <n v="0"/>
    <n v="240400"/>
    <n v="61700"/>
    <n v="178700"/>
    <n v="0"/>
    <n v="0"/>
    <n v="89850.625589999996"/>
    <n v="-47929.131559187132"/>
    <n v="-43578.886190266698"/>
    <n v="39013.223933000001"/>
    <n v="-12044.462427"/>
    <n v="44912.480918193003"/>
    <n v="0"/>
    <n v="0"/>
    <n v="19572.115501230997"/>
    <n v="18960.110526"/>
    <n v="0"/>
    <n v="0"/>
    <n v="66800"/>
    <n v="41900"/>
    <n v="108700"/>
    <n v="-0.54783693843594006"/>
    <n v="0.99970000000000003"/>
    <n v="1"/>
    <n v="1.0021"/>
    <n v="1.0148999999999999"/>
    <n v="1.0074000000000001"/>
    <n v="0.94971499999999998"/>
    <n v="0.97303745663205943"/>
    <n v="66800"/>
    <n v="0"/>
    <n v="66800"/>
    <n v="39800"/>
    <n v="106600"/>
    <n v="-0.62618914381645219"/>
    <n v="-0.35494327390599678"/>
    <n v="-0.55657237936772042"/>
  </r>
  <r>
    <n v="2025"/>
    <s v="18132313530    "/>
    <n v="-1.7719568419318752"/>
    <n v="0.17"/>
    <n v="7348"/>
    <s v="6"/>
    <s v="RES"/>
    <x v="0"/>
    <s v="11"/>
    <s v="259"/>
    <s v="BG"/>
    <s v="A"/>
    <s v="GD"/>
    <x v="9"/>
    <n v="95"/>
    <n v="55"/>
    <n v="1929"/>
    <n v="1969"/>
    <n v="1147"/>
    <m/>
    <n v="1064"/>
    <n v="0"/>
    <n v="1064"/>
    <m/>
    <n v="2211"/>
    <n v="2500"/>
    <n v="7"/>
    <m/>
    <m/>
    <m/>
    <m/>
    <m/>
    <m/>
    <m/>
    <n v="283197"/>
    <n v="189742"/>
    <n v="6599"/>
    <n v="342600"/>
    <n v="52700"/>
    <n v="289900"/>
    <n v="0"/>
    <n v="0"/>
    <n v="89850.625589999996"/>
    <n v="-56090.612940989391"/>
    <n v="21557.329055999999"/>
    <n v="197752.34721000001"/>
    <n v="-12267.5080275"/>
    <n v="56671.744348919005"/>
    <n v="0"/>
    <n v="0"/>
    <n v="30943.136542807999"/>
    <n v="26544.1547364"/>
    <n v="0"/>
    <n v="6600"/>
    <n v="321200"/>
    <n v="33800"/>
    <n v="361600"/>
    <n v="5.5458260361938121E-2"/>
    <n v="0.99970000000000003"/>
    <n v="1.0067999999999999"/>
    <n v="0.99650000000000005"/>
    <n v="0.98919999999999997"/>
    <n v="1.0074000000000001"/>
    <n v="0.94971499999999998"/>
    <n v="0.94951069644125163"/>
    <n v="321200"/>
    <n v="6300"/>
    <n v="327500"/>
    <n v="32100"/>
    <n v="359600"/>
    <n v="0.12969989651604003"/>
    <n v="-0.39089184060721061"/>
    <n v="4.9620548744892003E-2"/>
  </r>
  <r>
    <n v="2025"/>
    <s v="18132341013    "/>
    <n v="-1.0788096613719298"/>
    <n v="0.34"/>
    <m/>
    <s v="6"/>
    <s v="RES"/>
    <x v="0"/>
    <s v="11"/>
    <s v="331"/>
    <s v="CL"/>
    <s v="V"/>
    <s v="VG"/>
    <x v="9"/>
    <n v="95"/>
    <n v="55"/>
    <n v="1929"/>
    <n v="1969"/>
    <n v="2340"/>
    <n v="1520"/>
    <n v="1530"/>
    <n v="0"/>
    <n v="1530"/>
    <m/>
    <n v="5390"/>
    <n v="5000"/>
    <n v="15"/>
    <m/>
    <m/>
    <m/>
    <m/>
    <m/>
    <m/>
    <m/>
    <n v="1085364"/>
    <n v="748901"/>
    <n v="82390"/>
    <n v="819300"/>
    <n v="76900"/>
    <n v="742400"/>
    <n v="0"/>
    <n v="0"/>
    <n v="89850.625589999996"/>
    <n v="-34149.305288406773"/>
    <n v="163885.03753"/>
    <n v="284810.60806"/>
    <n v="-12267.5080275"/>
    <n v="115616.28751218"/>
    <n v="68075.362748719999"/>
    <n v="0"/>
    <n v="44495.299727909995"/>
    <n v="56880.331578000005"/>
    <n v="0"/>
    <n v="82400"/>
    <n v="721500"/>
    <n v="55700"/>
    <n v="859600"/>
    <n v="4.9188331502502139E-2"/>
    <n v="0.99970000000000003"/>
    <n v="1"/>
    <n v="1.0158"/>
    <n v="1"/>
    <n v="1.0074000000000001"/>
    <n v="0.94971499999999998"/>
    <n v="0.97185942867780006"/>
    <n v="721500"/>
    <n v="78200"/>
    <n v="799700"/>
    <n v="52900"/>
    <n v="852600"/>
    <n v="7.7182112068965511E-2"/>
    <n v="-0.31209362808842656"/>
    <n v="4.0644452581471986E-2"/>
  </r>
  <r>
    <n v="2025"/>
    <s v="18132331520    "/>
    <n v="-1.3862943611198906"/>
    <n v="0.25"/>
    <n v="11064"/>
    <s v="6"/>
    <s v="RES"/>
    <x v="0"/>
    <s v="11"/>
    <s v="259"/>
    <s v="BG"/>
    <s v="G"/>
    <s v="AV"/>
    <x v="9"/>
    <n v="95"/>
    <n v="55"/>
    <n v="1929"/>
    <n v="1969"/>
    <n v="1590"/>
    <n v="798"/>
    <n v="1590"/>
    <n v="792"/>
    <n v="798"/>
    <m/>
    <n v="3186"/>
    <n v="3500"/>
    <n v="11"/>
    <m/>
    <m/>
    <m/>
    <m/>
    <m/>
    <m/>
    <m/>
    <n v="609151"/>
    <n v="395948"/>
    <n v="15196"/>
    <n v="435300"/>
    <n v="66200"/>
    <n v="369100"/>
    <n v="0"/>
    <n v="0"/>
    <n v="89850.625589999996"/>
    <n v="-43882.615305165229"/>
    <n v="44121.038090000002"/>
    <n v="160472.20319"/>
    <n v="-12267.5080275"/>
    <n v="78559.785104430004"/>
    <n v="35739.565443077998"/>
    <n v="0"/>
    <n v="46240.213442729997"/>
    <n v="41712.243157199999"/>
    <n v="0"/>
    <n v="15200"/>
    <n v="394600"/>
    <n v="46000"/>
    <n v="455800"/>
    <n v="4.709395818975419E-2"/>
    <n v="0.99970000000000003"/>
    <n v="0.98050000000000004"/>
    <n v="0.99729999999999996"/>
    <n v="1.0126999999999999"/>
    <n v="1.0074000000000001"/>
    <n v="0.94971499999999998"/>
    <n v="0.9474351016889403"/>
    <n v="394600"/>
    <n v="14400"/>
    <n v="409000"/>
    <n v="43700"/>
    <n v="452700"/>
    <n v="0.10810078569493362"/>
    <n v="-0.33987915407854985"/>
    <n v="3.9972432804962092E-2"/>
  </r>
  <r>
    <n v="2025"/>
    <s v="18132344464    "/>
    <n v="-1.5606477482646683"/>
    <n v="0.21"/>
    <m/>
    <s v="6"/>
    <s v="RES"/>
    <x v="0"/>
    <s v="11"/>
    <s v="259"/>
    <s v="BG"/>
    <s v="G"/>
    <s v="AV"/>
    <x v="9"/>
    <n v="95"/>
    <n v="55"/>
    <n v="1929"/>
    <n v="1969"/>
    <n v="1211"/>
    <n v="593"/>
    <m/>
    <n v="0"/>
    <m/>
    <m/>
    <n v="1804"/>
    <n v="2000"/>
    <n v="10"/>
    <m/>
    <m/>
    <m/>
    <m/>
    <m/>
    <m/>
    <m/>
    <n v="377341"/>
    <n v="245272"/>
    <n v="8623"/>
    <n v="349500"/>
    <n v="60100"/>
    <n v="289400"/>
    <n v="0"/>
    <n v="0"/>
    <n v="89850.625589999996"/>
    <n v="-49401.70477837498"/>
    <n v="44121.038090000002"/>
    <n v="160472.20319"/>
    <n v="-12267.5080275"/>
    <n v="59833.899221047002"/>
    <n v="26558.348756572999"/>
    <n v="0"/>
    <n v="0"/>
    <n v="37920.221052000001"/>
    <n v="0"/>
    <n v="8600"/>
    <n v="316600"/>
    <n v="40400"/>
    <n v="365600"/>
    <n v="4.6065808297567956E-2"/>
    <n v="0.99970000000000003"/>
    <n v="0.98050000000000004"/>
    <n v="0.99729999999999996"/>
    <n v="1.0093000000000001"/>
    <n v="1.0074000000000001"/>
    <n v="0.94971499999999998"/>
    <n v="0.9442542195464082"/>
    <n v="316600"/>
    <n v="8200"/>
    <n v="324800"/>
    <n v="38400"/>
    <n v="363200"/>
    <n v="0.12232204561161023"/>
    <n v="-0.36106489184692181"/>
    <n v="3.9198855507868384E-2"/>
  </r>
  <r>
    <n v="2025"/>
    <s v="18132343418    "/>
    <n v="-0.71334988787746478"/>
    <n v="0.49"/>
    <n v="21285"/>
    <s v="6"/>
    <s v="RES"/>
    <x v="0"/>
    <s v="11"/>
    <s v="259"/>
    <s v="CO"/>
    <s v="G"/>
    <s v="AV"/>
    <x v="9"/>
    <n v="95"/>
    <n v="55"/>
    <n v="1929"/>
    <n v="1969"/>
    <n v="1901"/>
    <n v="589"/>
    <n v="850"/>
    <n v="850"/>
    <m/>
    <m/>
    <n v="2490"/>
    <n v="2500"/>
    <n v="8"/>
    <n v="576"/>
    <m/>
    <m/>
    <m/>
    <m/>
    <m/>
    <m/>
    <n v="530163"/>
    <n v="344606"/>
    <n v="47852"/>
    <n v="460700"/>
    <n v="89700"/>
    <n v="371000"/>
    <n v="0"/>
    <n v="0"/>
    <n v="89850.625589999996"/>
    <n v="-22580.816589646583"/>
    <n v="44121.038090000002"/>
    <n v="160472.20319"/>
    <n v="-12267.5080275"/>
    <n v="93925.881436177006"/>
    <n v="26379.203065129001"/>
    <n v="0"/>
    <n v="24719.610959949998"/>
    <n v="30336.176841600001"/>
    <n v="0"/>
    <n v="47900"/>
    <n v="367700"/>
    <n v="67300"/>
    <n v="482900"/>
    <n v="4.8187540698936403E-2"/>
    <n v="0.99970000000000003"/>
    <n v="0.98050000000000004"/>
    <n v="0.99729999999999996"/>
    <n v="0.98919999999999997"/>
    <n v="1.0074000000000001"/>
    <n v="0.94971499999999998"/>
    <n v="0.92544959276261463"/>
    <n v="367700"/>
    <n v="45400"/>
    <n v="413100"/>
    <n v="63900"/>
    <n v="477000"/>
    <n v="0.11347708894878707"/>
    <n v="-0.28762541806020064"/>
    <n v="3.5380942044714564E-2"/>
  </r>
  <r>
    <n v="2025"/>
    <s v="18132341007    "/>
    <n v="-0.44628710262841947"/>
    <n v="0.64"/>
    <m/>
    <s v="6"/>
    <s v="RES"/>
    <x v="0"/>
    <s v="11"/>
    <s v="259"/>
    <s v="MS"/>
    <s v="V"/>
    <s v="GD"/>
    <x v="9"/>
    <n v="95"/>
    <n v="55"/>
    <n v="1929"/>
    <n v="1969"/>
    <n v="3545"/>
    <m/>
    <n v="3545"/>
    <n v="2647"/>
    <n v="898"/>
    <m/>
    <n v="4443"/>
    <n v="4500"/>
    <n v="18"/>
    <m/>
    <m/>
    <m/>
    <m/>
    <m/>
    <m/>
    <m/>
    <n v="1125014"/>
    <n v="765010"/>
    <n v="26617"/>
    <n v="781400"/>
    <n v="99000"/>
    <n v="682400"/>
    <n v="0"/>
    <n v="0"/>
    <n v="89850.625589999996"/>
    <n v="-14127.046743866851"/>
    <n v="163885.03753"/>
    <n v="197752.34721000001"/>
    <n v="-12267.5080275"/>
    <n v="175153.73471396501"/>
    <n v="0"/>
    <n v="0"/>
    <n v="103095.31865061499"/>
    <n v="68256.397893600006"/>
    <n v="0"/>
    <n v="26600"/>
    <n v="695900"/>
    <n v="75700"/>
    <n v="798200"/>
    <n v="2.1499872024571282E-2"/>
    <n v="0.99970000000000003"/>
    <n v="1"/>
    <n v="0.99650000000000005"/>
    <n v="1"/>
    <n v="1.0074000000000001"/>
    <n v="0.94971499999999998"/>
    <n v="0.95339429088149996"/>
    <n v="695900"/>
    <n v="25300"/>
    <n v="721200"/>
    <n v="71900"/>
    <n v="793100"/>
    <n v="5.6858147713950764E-2"/>
    <n v="-0.27373737373737372"/>
    <n v="1.4973125159969286E-2"/>
  </r>
  <r>
    <n v="2025"/>
    <s v="18132324487    "/>
    <n v="-0.73396917508020043"/>
    <n v="0.48"/>
    <m/>
    <s v="6"/>
    <s v="RES"/>
    <x v="0"/>
    <s v="11"/>
    <s v="331"/>
    <s v="MS"/>
    <s v="V"/>
    <s v="GD"/>
    <x v="9"/>
    <n v="95"/>
    <n v="55"/>
    <n v="1929"/>
    <n v="1969"/>
    <n v="1469"/>
    <n v="480"/>
    <n v="1322"/>
    <n v="0"/>
    <n v="1322"/>
    <m/>
    <n v="3271"/>
    <n v="3500"/>
    <n v="15"/>
    <m/>
    <m/>
    <m/>
    <m/>
    <m/>
    <m/>
    <m/>
    <n v="675397"/>
    <n v="459270"/>
    <n v="135729"/>
    <n v="733200"/>
    <n v="88900"/>
    <n v="644300"/>
    <n v="0"/>
    <n v="0"/>
    <n v="89850.625589999996"/>
    <n v="-23233.512202902497"/>
    <n v="163885.03753"/>
    <n v="197752.34721000001"/>
    <n v="-12267.5080275"/>
    <n v="72581.336049313002"/>
    <n v="21497.482973279999"/>
    <n v="0"/>
    <n v="38446.265516533997"/>
    <n v="56880.331578000005"/>
    <n v="0"/>
    <n v="135700"/>
    <n v="538800"/>
    <n v="66600"/>
    <n v="741100"/>
    <n v="1.07746863066012E-2"/>
    <n v="0.99970000000000003"/>
    <n v="1"/>
    <n v="0.99650000000000005"/>
    <n v="1.0126999999999999"/>
    <n v="1.0074000000000001"/>
    <n v="0.94971499999999998"/>
    <n v="0.96550239837569496"/>
    <n v="538800"/>
    <n v="128900"/>
    <n v="667700"/>
    <n v="63300"/>
    <n v="731000"/>
    <n v="3.6318485177712245E-2"/>
    <n v="-0.2879640044994376"/>
    <n v="-3.0005455537370431E-3"/>
  </r>
  <r>
    <n v="2025"/>
    <s v="18132333003    "/>
    <n v="-0.41551544396166579"/>
    <n v="0.66"/>
    <n v="28797"/>
    <s v="4"/>
    <s v="COM"/>
    <x v="0"/>
    <s v="65"/>
    <s v="330"/>
    <s v="CU"/>
    <s v="G"/>
    <s v="GD"/>
    <x v="9"/>
    <n v="95"/>
    <n v="55"/>
    <n v="1929"/>
    <n v="1969"/>
    <n v="1650"/>
    <n v="1650"/>
    <n v="1235"/>
    <n v="749"/>
    <n v="486"/>
    <n v="300"/>
    <n v="4086"/>
    <n v="4500"/>
    <n v="18"/>
    <n v="565"/>
    <m/>
    <m/>
    <m/>
    <m/>
    <m/>
    <m/>
    <n v="917097"/>
    <n v="614455"/>
    <n v="0"/>
    <n v="684300"/>
    <n v="100000"/>
    <n v="584300"/>
    <n v="0"/>
    <n v="0"/>
    <n v="89850.625589999996"/>
    <n v="-13152.98171305755"/>
    <n v="44121.038090000002"/>
    <n v="197752.34721000001"/>
    <n v="-12267.5080275"/>
    <n v="81524.305297049999"/>
    <n v="73897.597720649996"/>
    <n v="19528.401315300001"/>
    <n v="35916.140630044996"/>
    <n v="68256.397893600006"/>
    <n v="0"/>
    <n v="0"/>
    <n v="508700"/>
    <n v="76700"/>
    <n v="585400"/>
    <n v="-0.1445272541283063"/>
    <n v="0.99970000000000003"/>
    <n v="0.98050000000000004"/>
    <n v="0.99650000000000005"/>
    <n v="1"/>
    <n v="1.0074000000000001"/>
    <n v="0.94971499999999998"/>
    <n v="0.93480310220931084"/>
    <n v="508700"/>
    <n v="0"/>
    <n v="508700"/>
    <n v="72800"/>
    <n v="581500"/>
    <n v="-0.12938558959438645"/>
    <n v="-0.27200000000000002"/>
    <n v="-0.15022650884115155"/>
  </r>
  <r>
    <n v="2025"/>
    <s v="18132334532    "/>
    <n v="-1.8971199848858813"/>
    <n v="0.15"/>
    <m/>
    <s v="6"/>
    <s v="RES"/>
    <x v="0"/>
    <s v="11"/>
    <s v="259"/>
    <s v="BG"/>
    <s v="A"/>
    <s v="VG"/>
    <x v="9"/>
    <n v="96"/>
    <n v="55"/>
    <n v="1928"/>
    <n v="1969"/>
    <n v="1352"/>
    <m/>
    <n v="690"/>
    <n v="0"/>
    <n v="690"/>
    <m/>
    <n v="2042"/>
    <n v="2500"/>
    <n v="7"/>
    <m/>
    <m/>
    <m/>
    <m/>
    <m/>
    <m/>
    <m/>
    <n v="280978"/>
    <n v="193875"/>
    <n v="9040"/>
    <n v="368300"/>
    <n v="48400"/>
    <n v="319900"/>
    <n v="0"/>
    <n v="0"/>
    <n v="89850.625589999996"/>
    <n v="-60052.604136134301"/>
    <n v="21557.329055999999"/>
    <n v="284810.60806"/>
    <n v="-12267.5080275"/>
    <n v="66800.521673704003"/>
    <n v="0"/>
    <n v="0"/>
    <n v="20066.50772043"/>
    <n v="26544.1547364"/>
    <n v="0"/>
    <n v="9000"/>
    <n v="407500"/>
    <n v="29800"/>
    <n v="446300"/>
    <n v="0.21178387184360575"/>
    <n v="0.99970000000000003"/>
    <n v="1.0067999999999999"/>
    <n v="1.0158"/>
    <n v="0.98919999999999997"/>
    <n v="1.0074000000000001"/>
    <n v="0.94971499999999998"/>
    <n v="0.9679006176066467"/>
    <n v="407500"/>
    <n v="8600"/>
    <n v="416100"/>
    <n v="28300"/>
    <n v="444400"/>
    <n v="0.30071897467958736"/>
    <n v="-0.41528925619834711"/>
    <n v="0.20662503393972306"/>
  </r>
  <r>
    <n v="2025"/>
    <s v="18132344459    "/>
    <n v="-1.8971199848858813"/>
    <n v="0.15"/>
    <m/>
    <s v="6"/>
    <s v="RES"/>
    <x v="0"/>
    <s v="11"/>
    <s v="259"/>
    <s v="BG"/>
    <s v="A"/>
    <s v="VG"/>
    <x v="9"/>
    <n v="96"/>
    <n v="36"/>
    <n v="1928"/>
    <n v="1988"/>
    <n v="1176"/>
    <m/>
    <n v="1176"/>
    <n v="0"/>
    <n v="1176"/>
    <m/>
    <n v="2352"/>
    <n v="2500"/>
    <n v="8"/>
    <m/>
    <m/>
    <m/>
    <m/>
    <m/>
    <m/>
    <m/>
    <n v="295355"/>
    <n v="254005"/>
    <n v="8623"/>
    <n v="383500"/>
    <n v="48400"/>
    <n v="335100"/>
    <n v="0"/>
    <n v="0"/>
    <n v="89850.625589999996"/>
    <n v="-60052.604136134301"/>
    <n v="21557.329055999999"/>
    <n v="284810.60806"/>
    <n v="-8029.6416180000006"/>
    <n v="58104.595775351998"/>
    <n v="0"/>
    <n v="0"/>
    <n v="34200.308810472001"/>
    <n v="30336.176841600001"/>
    <n v="0"/>
    <n v="8600"/>
    <n v="421000"/>
    <n v="29800"/>
    <n v="459400"/>
    <n v="0.19791395045632335"/>
    <n v="0.99970000000000003"/>
    <n v="1.0067999999999999"/>
    <n v="1.0158"/>
    <n v="0.98919999999999997"/>
    <n v="1.0074000000000001"/>
    <n v="0.94971499999999998"/>
    <n v="0.9679006176066467"/>
    <n v="421000"/>
    <n v="8200"/>
    <n v="429200"/>
    <n v="28300"/>
    <n v="457500"/>
    <n v="0.28081169800059685"/>
    <n v="-0.41528925619834711"/>
    <n v="0.19295958279009126"/>
  </r>
  <r>
    <n v="2025"/>
    <s v="18132331498    "/>
    <n v="-1.7719568419318752"/>
    <n v="0.17"/>
    <n v="7350"/>
    <s v="6"/>
    <s v="RES"/>
    <x v="0"/>
    <s v="11"/>
    <s v="259"/>
    <s v="TD"/>
    <s v="A"/>
    <s v="GD"/>
    <x v="9"/>
    <n v="96"/>
    <n v="55"/>
    <n v="1928"/>
    <n v="1969"/>
    <n v="1170"/>
    <m/>
    <n v="690"/>
    <n v="690"/>
    <m/>
    <m/>
    <n v="1170"/>
    <n v="1500"/>
    <n v="5"/>
    <n v="170"/>
    <m/>
    <n v="250"/>
    <m/>
    <m/>
    <m/>
    <m/>
    <n v="233302"/>
    <n v="156312"/>
    <n v="0"/>
    <n v="298600"/>
    <n v="52700"/>
    <n v="245900"/>
    <n v="0"/>
    <n v="0"/>
    <n v="89850.625589999996"/>
    <n v="-56090.612940989391"/>
    <n v="21557.329055999999"/>
    <n v="197752.34721000001"/>
    <n v="-12267.5080275"/>
    <n v="57808.143756090001"/>
    <n v="0"/>
    <n v="0"/>
    <n v="20066.50772043"/>
    <n v="18960.110526"/>
    <n v="8323.8788190000014"/>
    <n v="0"/>
    <n v="312200"/>
    <n v="33800"/>
    <n v="346000"/>
    <n v="0.15874079035498995"/>
    <n v="0.99970000000000003"/>
    <n v="1.0067999999999999"/>
    <n v="0.99650000000000005"/>
    <n v="1.0157"/>
    <n v="1.0074000000000001"/>
    <n v="0.94971499999999998"/>
    <n v="0.97494744680082823"/>
    <n v="312200"/>
    <n v="0"/>
    <n v="312200"/>
    <n v="32100"/>
    <n v="344300"/>
    <n v="0.26962179747864984"/>
    <n v="-0.39089184060721061"/>
    <n v="0.15304755525787006"/>
  </r>
  <r>
    <n v="2025"/>
    <s v="18132333419    "/>
    <n v="-1.8971199848858813"/>
    <n v="0.15"/>
    <n v="6500"/>
    <s v="6"/>
    <s v="RES"/>
    <x v="0"/>
    <s v="11"/>
    <s v="259"/>
    <s v="BG"/>
    <s v="A"/>
    <s v="GD"/>
    <x v="9"/>
    <n v="96"/>
    <n v="55"/>
    <n v="1928"/>
    <n v="1969"/>
    <n v="1003"/>
    <m/>
    <n v="1003"/>
    <n v="1003"/>
    <m/>
    <m/>
    <n v="1003"/>
    <n v="1500"/>
    <n v="5"/>
    <m/>
    <m/>
    <m/>
    <m/>
    <m/>
    <m/>
    <m/>
    <n v="209108"/>
    <n v="140102"/>
    <n v="8623"/>
    <n v="301000"/>
    <n v="48400"/>
    <n v="252600"/>
    <n v="0"/>
    <n v="0"/>
    <n v="89850.625589999996"/>
    <n v="-60052.604136134301"/>
    <n v="21557.329055999999"/>
    <n v="197752.34721000001"/>
    <n v="-12267.5080275"/>
    <n v="49556.895886630999"/>
    <n v="0"/>
    <n v="0"/>
    <n v="29169.140932741"/>
    <n v="18960.110526"/>
    <n v="0"/>
    <n v="8600"/>
    <n v="304700"/>
    <n v="29800"/>
    <n v="343100"/>
    <n v="0.13986710963455148"/>
    <n v="0.99970000000000003"/>
    <n v="1.0067999999999999"/>
    <n v="0.99650000000000005"/>
    <n v="1.0157"/>
    <n v="1.0074000000000001"/>
    <n v="0.94971499999999998"/>
    <n v="0.97494744680082823"/>
    <n v="304700"/>
    <n v="8200"/>
    <n v="312900"/>
    <n v="28300"/>
    <n v="341200"/>
    <n v="0.23871733966745842"/>
    <n v="-0.41528925619834711"/>
    <n v="0.1335548172757475"/>
  </r>
  <r>
    <n v="2025"/>
    <s v="18132334401    "/>
    <n v="-1.7147984280919266"/>
    <n v="0.18"/>
    <n v="7833"/>
    <s v="6"/>
    <s v="RES"/>
    <x v="0"/>
    <s v="11"/>
    <s v="259"/>
    <s v="BG"/>
    <s v="A"/>
    <s v="GD"/>
    <x v="9"/>
    <n v="96"/>
    <n v="55"/>
    <n v="1928"/>
    <n v="1969"/>
    <n v="902"/>
    <m/>
    <n v="902"/>
    <n v="902"/>
    <m/>
    <m/>
    <n v="902"/>
    <n v="1000"/>
    <n v="5"/>
    <m/>
    <m/>
    <m/>
    <m/>
    <m/>
    <m/>
    <m/>
    <n v="190235"/>
    <n v="127457"/>
    <n v="6458"/>
    <n v="300800"/>
    <n v="54700"/>
    <n v="246100"/>
    <n v="0"/>
    <n v="0"/>
    <n v="89850.625589999996"/>
    <n v="-54281.285314520763"/>
    <n v="21557.329055999999"/>
    <n v="197752.34721000001"/>
    <n v="-12267.5080275"/>
    <n v="44566.620229054002"/>
    <n v="0"/>
    <n v="0"/>
    <n v="26231.869512793997"/>
    <n v="18960.110526"/>
    <n v="0"/>
    <n v="6500"/>
    <n v="296800"/>
    <n v="35600"/>
    <n v="338900"/>
    <n v="0.1266622340425532"/>
    <n v="0.99970000000000003"/>
    <n v="1.0067999999999999"/>
    <n v="0.99650000000000005"/>
    <n v="1.0148999999999999"/>
    <n v="1.0074000000000001"/>
    <n v="0.94971499999999998"/>
    <n v="0.97417954490318037"/>
    <n v="296800"/>
    <n v="6100"/>
    <n v="302900"/>
    <n v="33800"/>
    <n v="336700"/>
    <n v="0.23080048760666397"/>
    <n v="-0.38208409506398539"/>
    <n v="0.11934840425531915"/>
  </r>
  <r>
    <n v="2025"/>
    <s v="18132332439    "/>
    <n v="-1.7719568419318752"/>
    <n v="0.17"/>
    <n v="7368"/>
    <s v="6"/>
    <s v="RES"/>
    <x v="0"/>
    <s v="11"/>
    <s v="259"/>
    <s v="CO"/>
    <s v="A+"/>
    <s v="GD"/>
    <x v="9"/>
    <n v="96"/>
    <n v="55"/>
    <n v="1928"/>
    <n v="1969"/>
    <n v="880"/>
    <n v="572"/>
    <n v="780"/>
    <n v="481"/>
    <n v="299"/>
    <m/>
    <n v="1751"/>
    <n v="2000"/>
    <n v="11"/>
    <m/>
    <m/>
    <n v="300"/>
    <m/>
    <m/>
    <m/>
    <m/>
    <n v="346187"/>
    <n v="231945"/>
    <n v="0"/>
    <n v="350700"/>
    <n v="52700"/>
    <n v="298000"/>
    <n v="0"/>
    <n v="0"/>
    <n v="89850.625589999996"/>
    <n v="-56090.612940989391"/>
    <n v="29814.093161000001"/>
    <n v="197752.34721000001"/>
    <n v="-12267.5080275"/>
    <n v="43479.629491760003"/>
    <n v="25617.833876492001"/>
    <n v="0"/>
    <n v="22683.87829266"/>
    <n v="41712.243157199999"/>
    <n v="9988.6545828000017"/>
    <n v="0"/>
    <n v="358800"/>
    <n v="33800"/>
    <n v="392600"/>
    <n v="0.11947533504419731"/>
    <n v="0.99970000000000003"/>
    <n v="1.0088999999999999"/>
    <n v="0.99650000000000005"/>
    <n v="1.0093000000000001"/>
    <n v="1.0074000000000001"/>
    <n v="0.94971499999999998"/>
    <n v="0.97082497942099955"/>
    <n v="358800"/>
    <n v="0"/>
    <n v="358800"/>
    <n v="32100"/>
    <n v="390900"/>
    <n v="0.20402684563758389"/>
    <n v="-0.39089184060721061"/>
    <n v="0.1146278870829769"/>
  </r>
  <r>
    <n v="2025"/>
    <s v="18132324466    "/>
    <n v="-1.4696759700589417"/>
    <n v="0.23"/>
    <m/>
    <s v="6"/>
    <s v="RES"/>
    <x v="0"/>
    <s v="11"/>
    <s v="259"/>
    <s v="TD"/>
    <s v="A"/>
    <s v="GD"/>
    <x v="9"/>
    <n v="96"/>
    <n v="55"/>
    <n v="1928"/>
    <n v="1969"/>
    <n v="1019"/>
    <m/>
    <n v="793"/>
    <n v="793"/>
    <m/>
    <m/>
    <n v="1019"/>
    <n v="1500"/>
    <n v="5"/>
    <n v="480"/>
    <m/>
    <m/>
    <m/>
    <m/>
    <m/>
    <m/>
    <n v="224577"/>
    <n v="150467"/>
    <n v="0"/>
    <n v="307200"/>
    <n v="63300"/>
    <n v="243900"/>
    <n v="0"/>
    <n v="0"/>
    <n v="89850.625589999996"/>
    <n v="-46522.028095997222"/>
    <n v="21557.329055999999"/>
    <n v="197752.34721000001"/>
    <n v="-12267.5080275"/>
    <n v="50347.434604663002"/>
    <n v="0"/>
    <n v="0"/>
    <n v="23061.942930870999"/>
    <n v="18960.110526"/>
    <n v="0"/>
    <n v="0"/>
    <n v="299400"/>
    <n v="43300"/>
    <n v="342700"/>
    <n v="0.11555989583333333"/>
    <n v="0.99970000000000003"/>
    <n v="1.0067999999999999"/>
    <n v="0.99650000000000005"/>
    <n v="1.0157"/>
    <n v="1.0074000000000001"/>
    <n v="0.94971499999999998"/>
    <n v="0.97494744680082823"/>
    <n v="299400"/>
    <n v="0"/>
    <n v="299400"/>
    <n v="41100"/>
    <n v="340500"/>
    <n v="0.22755227552275523"/>
    <n v="-0.35071090047393366"/>
    <n v="0.1083984375"/>
  </r>
  <r>
    <n v="2025"/>
    <s v="18132332423    "/>
    <n v="-1.7719568419318752"/>
    <n v="0.17"/>
    <m/>
    <s v="6"/>
    <s v="RES"/>
    <x v="0"/>
    <s v="11"/>
    <s v="259"/>
    <s v="FH"/>
    <s v="A"/>
    <s v="AV"/>
    <x v="9"/>
    <n v="96"/>
    <n v="55"/>
    <n v="1928"/>
    <n v="1969"/>
    <n v="1048"/>
    <n v="684"/>
    <n v="1048"/>
    <n v="1048"/>
    <m/>
    <m/>
    <n v="1732"/>
    <n v="2000"/>
    <n v="8"/>
    <m/>
    <m/>
    <n v="196"/>
    <m/>
    <m/>
    <m/>
    <m/>
    <n v="298082"/>
    <n v="193753"/>
    <n v="8477"/>
    <n v="327700"/>
    <n v="52700"/>
    <n v="275000"/>
    <n v="0"/>
    <n v="0"/>
    <n v="89850.625589999996"/>
    <n v="-56090.612940989391"/>
    <n v="21557.329055999999"/>
    <n v="160472.20319"/>
    <n v="-12267.5080275"/>
    <n v="51780.286031096002"/>
    <n v="30633.913236924"/>
    <n v="0"/>
    <n v="30477.826218856"/>
    <n v="30336.176841600001"/>
    <n v="6525.9209940960009"/>
    <n v="8500"/>
    <n v="319500"/>
    <n v="33800"/>
    <n v="361800"/>
    <n v="0.10405859017393958"/>
    <n v="0.99970000000000003"/>
    <n v="1.0067999999999999"/>
    <n v="0.99729999999999996"/>
    <n v="1.0093000000000001"/>
    <n v="1.0074000000000001"/>
    <n v="0.94971499999999998"/>
    <n v="0.96958199718441984"/>
    <n v="319500"/>
    <n v="8100"/>
    <n v="327600"/>
    <n v="32100"/>
    <n v="359700"/>
    <n v="0.19127272727272726"/>
    <n v="-0.39089184060721061"/>
    <n v="9.7650289899298137E-2"/>
  </r>
  <r>
    <n v="2025"/>
    <s v="18132334008    "/>
    <n v="-1.7719568419318752"/>
    <n v="0.17"/>
    <n v="7250"/>
    <s v="6"/>
    <s v="RES"/>
    <x v="0"/>
    <s v="11"/>
    <s v="259"/>
    <s v="BG"/>
    <s v="A"/>
    <s v="GD"/>
    <x v="9"/>
    <n v="96"/>
    <n v="55"/>
    <n v="1928"/>
    <n v="1969"/>
    <n v="894"/>
    <m/>
    <n v="528"/>
    <n v="180"/>
    <n v="348"/>
    <m/>
    <n v="1242"/>
    <n v="1500"/>
    <n v="5"/>
    <m/>
    <m/>
    <m/>
    <m/>
    <m/>
    <m/>
    <m/>
    <n v="195719"/>
    <n v="131132"/>
    <n v="9040"/>
    <n v="297300"/>
    <n v="52700"/>
    <n v="244600"/>
    <n v="0"/>
    <n v="0"/>
    <n v="89850.625589999996"/>
    <n v="-56090.612940989391"/>
    <n v="21557.329055999999"/>
    <n v="197752.34721000001"/>
    <n v="-12267.5080275"/>
    <n v="44171.350870038004"/>
    <n v="0"/>
    <n v="0"/>
    <n v="15355.240690416"/>
    <n v="18960.110526"/>
    <n v="0"/>
    <n v="9000"/>
    <n v="285500"/>
    <n v="33800"/>
    <n v="328300"/>
    <n v="0.10427177934746047"/>
    <n v="0.99970000000000003"/>
    <n v="1.0067999999999999"/>
    <n v="0.99650000000000005"/>
    <n v="1.0157"/>
    <n v="1.0074000000000001"/>
    <n v="0.94971499999999998"/>
    <n v="0.97494744680082823"/>
    <n v="285500"/>
    <n v="8600"/>
    <n v="294100"/>
    <n v="32100"/>
    <n v="326200"/>
    <n v="0.20237121831561733"/>
    <n v="-0.39089184060721061"/>
    <n v="9.7208207198116375E-2"/>
  </r>
  <r>
    <n v="2025"/>
    <s v="18132324441    "/>
    <n v="-1.8325814637483102"/>
    <n v="0.16"/>
    <m/>
    <s v="6"/>
    <s v="RES"/>
    <x v="0"/>
    <s v="11"/>
    <s v="259"/>
    <s v="CO"/>
    <s v="A+"/>
    <s v="GD"/>
    <x v="9"/>
    <n v="96"/>
    <n v="55"/>
    <n v="1928"/>
    <n v="1969"/>
    <n v="1305"/>
    <n v="620"/>
    <n v="976"/>
    <n v="976"/>
    <m/>
    <m/>
    <n v="1925"/>
    <n v="2000"/>
    <n v="8"/>
    <m/>
    <m/>
    <m/>
    <m/>
    <m/>
    <m/>
    <m/>
    <n v="372100"/>
    <n v="249307"/>
    <n v="5605"/>
    <n v="366400"/>
    <n v="50600"/>
    <n v="315800"/>
    <n v="0"/>
    <n v="0"/>
    <n v="89850.625589999996"/>
    <n v="-58009.662049032086"/>
    <n v="29814.093161000001"/>
    <n v="197752.34721000001"/>
    <n v="-12267.5080275"/>
    <n v="64478.314189485005"/>
    <n v="27767.582173819999"/>
    <n v="0"/>
    <n v="28383.929761071999"/>
    <n v="30336.176841600001"/>
    <n v="0"/>
    <n v="5600"/>
    <n v="366300"/>
    <n v="31800"/>
    <n v="403700"/>
    <n v="0.10180131004366812"/>
    <n v="0.99970000000000003"/>
    <n v="1.0088999999999999"/>
    <n v="0.99650000000000005"/>
    <n v="1.0093000000000001"/>
    <n v="1.0074000000000001"/>
    <n v="0.94971499999999998"/>
    <n v="0.97082497942099955"/>
    <n v="366300"/>
    <n v="5300"/>
    <n v="371600"/>
    <n v="30200"/>
    <n v="401800"/>
    <n v="0.17669411019632678"/>
    <n v="-0.40316205533596838"/>
    <n v="9.661572052401747E-2"/>
  </r>
  <r>
    <n v="2025"/>
    <s v="18132211010    "/>
    <n v="-1.6094379124341003"/>
    <n v="0.2"/>
    <n v="8844"/>
    <s v="6"/>
    <s v="RES"/>
    <x v="0"/>
    <s v="11"/>
    <s v="259"/>
    <s v="BG"/>
    <s v="A"/>
    <s v="AV"/>
    <x v="9"/>
    <n v="96"/>
    <n v="55"/>
    <n v="1928"/>
    <n v="1969"/>
    <n v="1388"/>
    <m/>
    <n v="1388"/>
    <n v="1268"/>
    <n v="120"/>
    <m/>
    <n v="1508"/>
    <n v="2000"/>
    <n v="5"/>
    <m/>
    <m/>
    <n v="240"/>
    <m/>
    <m/>
    <m/>
    <m/>
    <n v="286011"/>
    <n v="185907"/>
    <n v="0"/>
    <n v="313400"/>
    <n v="58400"/>
    <n v="255000"/>
    <n v="0"/>
    <n v="0"/>
    <n v="89850.625589999996"/>
    <n v="-50946.13867709865"/>
    <n v="21557.329055999999"/>
    <n v="160472.20319"/>
    <n v="-12267.5080275"/>
    <n v="68579.233789275997"/>
    <n v="0"/>
    <n v="0"/>
    <n v="40365.670602835999"/>
    <n v="18960.110526"/>
    <n v="7990.9236662400008"/>
    <n v="0"/>
    <n v="305700"/>
    <n v="38900"/>
    <n v="344600"/>
    <n v="9.9553286534779836E-2"/>
    <n v="0.99970000000000003"/>
    <n v="1.0067999999999999"/>
    <n v="0.99729999999999996"/>
    <n v="1.0093000000000001"/>
    <n v="1.0074000000000001"/>
    <n v="0.94971499999999998"/>
    <n v="0.96958199718441984"/>
    <n v="305700"/>
    <n v="0"/>
    <n v="305700"/>
    <n v="36900"/>
    <n v="342600"/>
    <n v="0.1988235294117647"/>
    <n v="-0.36815068493150682"/>
    <n v="9.3171665603063183E-2"/>
  </r>
  <r>
    <n v="2025"/>
    <s v="18132334429    "/>
    <n v="-1.8325814637483102"/>
    <n v="0.16"/>
    <m/>
    <s v="6"/>
    <s v="RES"/>
    <x v="0"/>
    <s v="11"/>
    <s v="259"/>
    <s v="CC"/>
    <s v="G"/>
    <s v="AV"/>
    <x v="9"/>
    <n v="96"/>
    <n v="55"/>
    <n v="1928"/>
    <n v="1969"/>
    <n v="850"/>
    <n v="416"/>
    <n v="850"/>
    <n v="850"/>
    <m/>
    <m/>
    <n v="1266"/>
    <n v="1500"/>
    <n v="7"/>
    <m/>
    <m/>
    <m/>
    <m/>
    <m/>
    <m/>
    <m/>
    <n v="288843"/>
    <n v="187748"/>
    <n v="6227"/>
    <n v="311400"/>
    <n v="50600"/>
    <n v="260800"/>
    <n v="0"/>
    <n v="0"/>
    <n v="89850.625589999996"/>
    <n v="-58009.662049032086"/>
    <n v="44121.038090000002"/>
    <n v="160472.20319"/>
    <n v="-12267.5080275"/>
    <n v="41997.369395449998"/>
    <n v="18631.151910175999"/>
    <n v="0"/>
    <n v="24719.610959949998"/>
    <n v="26544.1547364"/>
    <n v="0"/>
    <n v="6200"/>
    <n v="304200"/>
    <n v="31800"/>
    <n v="342200"/>
    <n v="9.8908156711624923E-2"/>
    <n v="0.99970000000000003"/>
    <n v="0.98050000000000004"/>
    <n v="0.99729999999999996"/>
    <n v="1.0157"/>
    <n v="1.0074000000000001"/>
    <n v="0.94971499999999998"/>
    <n v="0.95024176240293945"/>
    <n v="304200"/>
    <n v="5900"/>
    <n v="310100"/>
    <n v="30200"/>
    <n v="340300"/>
    <n v="0.18903374233128833"/>
    <n v="-0.40316205533596838"/>
    <n v="9.2806679511881818E-2"/>
  </r>
  <r>
    <n v="2025"/>
    <s v="18132241075    "/>
    <n v="-1.2039728043259361"/>
    <n v="0.3"/>
    <n v="12990"/>
    <s v="6"/>
    <s v="RES"/>
    <x v="0"/>
    <s v="11"/>
    <s v="259"/>
    <s v="CO"/>
    <s v="G"/>
    <s v="GD"/>
    <x v="9"/>
    <n v="96"/>
    <n v="55"/>
    <n v="1928"/>
    <n v="1969"/>
    <n v="1581"/>
    <n v="843"/>
    <n v="182"/>
    <n v="182"/>
    <m/>
    <m/>
    <n v="2424"/>
    <n v="2500"/>
    <n v="8"/>
    <n v="432"/>
    <m/>
    <n v="408"/>
    <m/>
    <m/>
    <m/>
    <m/>
    <n v="518003"/>
    <n v="347062"/>
    <n v="31287"/>
    <n v="434200"/>
    <n v="72500"/>
    <n v="361700"/>
    <n v="0"/>
    <n v="0"/>
    <n v="89850.625589999996"/>
    <n v="-38111.29648355169"/>
    <n v="44121.038090000002"/>
    <n v="197752.34721000001"/>
    <n v="-12267.5080275"/>
    <n v="78115.107075537002"/>
    <n v="37754.954471822995"/>
    <n v="0"/>
    <n v="5292.9049349540001"/>
    <n v="30336.176841600001"/>
    <n v="13584.570232608001"/>
    <n v="31300"/>
    <n v="394700"/>
    <n v="51700"/>
    <n v="477700"/>
    <n v="0.10018424689083372"/>
    <n v="0.99970000000000003"/>
    <n v="0.98050000000000004"/>
    <n v="0.99650000000000005"/>
    <n v="0.98919999999999997"/>
    <n v="1.0074000000000001"/>
    <n v="0.94971499999999998"/>
    <n v="0.9247072287054503"/>
    <n v="394700"/>
    <n v="29700"/>
    <n v="424400"/>
    <n v="49100"/>
    <n v="473500"/>
    <n v="0.17334807851810893"/>
    <n v="-0.32275862068965516"/>
    <n v="9.0511285122063564E-2"/>
  </r>
  <r>
    <n v="2025"/>
    <s v="18132332434    "/>
    <n v="-2.0402208285265546"/>
    <n v="0.13"/>
    <m/>
    <s v="6"/>
    <s v="RES"/>
    <x v="0"/>
    <s v="11"/>
    <s v="259"/>
    <s v="CC"/>
    <s v="G"/>
    <s v="GD"/>
    <x v="9"/>
    <n v="96"/>
    <n v="55"/>
    <n v="1928"/>
    <n v="1969"/>
    <n v="986"/>
    <n v="336"/>
    <n v="986"/>
    <n v="416"/>
    <n v="570"/>
    <m/>
    <n v="1892"/>
    <n v="2000"/>
    <n v="9"/>
    <m/>
    <m/>
    <m/>
    <m/>
    <m/>
    <m/>
    <m/>
    <n v="356671"/>
    <n v="238970"/>
    <n v="5571"/>
    <n v="353800"/>
    <n v="43400"/>
    <n v="310400"/>
    <n v="0"/>
    <n v="0"/>
    <n v="89850.625589999996"/>
    <n v="-64582.406353792743"/>
    <n v="44121.038090000002"/>
    <n v="197752.34721000001"/>
    <n v="-12267.5080275"/>
    <n v="48716.948498721998"/>
    <n v="15048.238081296"/>
    <n v="0"/>
    <n v="28674.748713541998"/>
    <n v="34128.198946800003"/>
    <n v="0"/>
    <n v="5600"/>
    <n v="356200"/>
    <n v="25300"/>
    <n v="387100"/>
    <n v="9.4120972300734879E-2"/>
    <n v="0.99970000000000003"/>
    <n v="0.98050000000000004"/>
    <n v="0.99650000000000005"/>
    <n v="1.0093000000000001"/>
    <n v="1.0074000000000001"/>
    <n v="0.94971499999999998"/>
    <n v="0.94349677105985763"/>
    <n v="356200"/>
    <n v="5300"/>
    <n v="361500"/>
    <n v="24000"/>
    <n v="385500"/>
    <n v="0.16462628865979381"/>
    <n v="-0.44700460829493088"/>
    <n v="8.9598643301300171E-2"/>
  </r>
  <r>
    <n v="2025"/>
    <s v="18132332578    "/>
    <n v="-1.8325814637483102"/>
    <n v="0.16"/>
    <m/>
    <s v="6"/>
    <s v="RES"/>
    <x v="0"/>
    <s v="11"/>
    <s v="259"/>
    <s v="BG"/>
    <s v="A"/>
    <s v="AV"/>
    <x v="9"/>
    <n v="96"/>
    <n v="55"/>
    <n v="1928"/>
    <n v="1969"/>
    <n v="1176"/>
    <n v="390"/>
    <n v="1176"/>
    <n v="1176"/>
    <m/>
    <m/>
    <n v="1566"/>
    <n v="2000"/>
    <n v="5"/>
    <m/>
    <m/>
    <m/>
    <m/>
    <m/>
    <m/>
    <m/>
    <n v="276592"/>
    <n v="179785"/>
    <n v="5639"/>
    <n v="308200"/>
    <n v="50600"/>
    <n v="257600"/>
    <n v="0"/>
    <n v="0"/>
    <n v="89850.625589999996"/>
    <n v="-58009.662049032086"/>
    <n v="21557.329055999999"/>
    <n v="160472.20319"/>
    <n v="-12267.5080275"/>
    <n v="58104.595775351998"/>
    <n v="17466.70491579"/>
    <n v="0"/>
    <n v="34200.308810472001"/>
    <n v="18960.110526"/>
    <n v="0"/>
    <n v="5600"/>
    <n v="298500"/>
    <n v="31800"/>
    <n v="335900"/>
    <n v="8.987670343932512E-2"/>
    <n v="0.99970000000000003"/>
    <n v="1.0067999999999999"/>
    <n v="0.99729999999999996"/>
    <n v="1.0093000000000001"/>
    <n v="1.0074000000000001"/>
    <n v="0.94971499999999998"/>
    <n v="0.96958199718441984"/>
    <n v="298500"/>
    <n v="5400"/>
    <n v="303900"/>
    <n v="30200"/>
    <n v="334100"/>
    <n v="0.17973602484472051"/>
    <n v="-0.40316205533596838"/>
    <n v="8.4036340038935758E-2"/>
  </r>
  <r>
    <n v="2025"/>
    <s v="18132242447    "/>
    <n v="-0.96758402626170559"/>
    <n v="0.38"/>
    <n v="16382"/>
    <s v="6"/>
    <s v="RES"/>
    <x v="0"/>
    <s v="11"/>
    <s v="259"/>
    <s v="BG"/>
    <s v="A"/>
    <s v="AV"/>
    <x v="9"/>
    <n v="96"/>
    <n v="55"/>
    <n v="1928"/>
    <n v="1969"/>
    <n v="1088"/>
    <n v="897"/>
    <n v="520"/>
    <n v="520"/>
    <m/>
    <m/>
    <n v="1985"/>
    <n v="2000"/>
    <n v="8"/>
    <m/>
    <m/>
    <n v="425"/>
    <m/>
    <m/>
    <m/>
    <m/>
    <n v="328322"/>
    <n v="213409"/>
    <n v="9486"/>
    <n v="358900"/>
    <n v="80800"/>
    <n v="278100"/>
    <n v="0"/>
    <n v="0"/>
    <n v="89850.625589999996"/>
    <n v="-30628.500548443946"/>
    <n v="21557.329055999999"/>
    <n v="160472.20319"/>
    <n v="-12267.5080275"/>
    <n v="53756.632826175999"/>
    <n v="40173.421306316995"/>
    <n v="0"/>
    <n v="15122.585528439999"/>
    <n v="30336.176841600001"/>
    <n v="14150.593992300001"/>
    <n v="9500"/>
    <n v="323300"/>
    <n v="59200"/>
    <n v="392000"/>
    <n v="9.2226246865422121E-2"/>
    <n v="0.99970000000000003"/>
    <n v="1.0067999999999999"/>
    <n v="0.99729999999999996"/>
    <n v="1.0093000000000001"/>
    <n v="1.0074000000000001"/>
    <n v="0.94971499999999998"/>
    <n v="0.96958199718441984"/>
    <n v="323300"/>
    <n v="9000"/>
    <n v="332300"/>
    <n v="56200"/>
    <n v="388500"/>
    <n v="0.19489392304926287"/>
    <n v="-0.30445544554455445"/>
    <n v="8.247422680412371E-2"/>
  </r>
  <r>
    <n v="2025"/>
    <s v="18132331456    "/>
    <n v="-1.8971199848858813"/>
    <n v="0.15"/>
    <m/>
    <s v="6"/>
    <s v="RES"/>
    <x v="0"/>
    <s v="11"/>
    <s v="259"/>
    <s v="BG"/>
    <s v="A+"/>
    <s v="GD"/>
    <x v="9"/>
    <n v="96"/>
    <n v="55"/>
    <n v="1928"/>
    <n v="1969"/>
    <n v="1162"/>
    <m/>
    <n v="450"/>
    <n v="0"/>
    <n v="450"/>
    <m/>
    <n v="1612"/>
    <n v="2000"/>
    <n v="5"/>
    <m/>
    <m/>
    <m/>
    <m/>
    <m/>
    <m/>
    <m/>
    <n v="266893"/>
    <n v="178818"/>
    <n v="4419"/>
    <n v="312400"/>
    <n v="48400"/>
    <n v="264000"/>
    <n v="0"/>
    <n v="0"/>
    <n v="89850.625589999996"/>
    <n v="-60052.604136134301"/>
    <n v="29814.093161000001"/>
    <n v="197752.34721000001"/>
    <n v="-12267.5080275"/>
    <n v="57412.874397074003"/>
    <n v="0"/>
    <n v="0"/>
    <n v="13086.852861149999"/>
    <n v="18960.110526"/>
    <n v="0"/>
    <n v="4400"/>
    <n v="304800"/>
    <n v="29800"/>
    <n v="339000"/>
    <n v="8.5147247119078104E-2"/>
    <n v="0.99970000000000003"/>
    <n v="1.0088999999999999"/>
    <n v="0.99650000000000005"/>
    <n v="1.0093000000000001"/>
    <n v="1.0074000000000001"/>
    <n v="0.94971499999999998"/>
    <n v="0.97082497942099955"/>
    <n v="304800"/>
    <n v="4200"/>
    <n v="309000"/>
    <n v="28300"/>
    <n v="337300"/>
    <n v="0.17045454545454544"/>
    <n v="-0.41528925619834711"/>
    <n v="7.9705505761843792E-2"/>
  </r>
  <r>
    <n v="2025"/>
    <s v="18132332448    "/>
    <n v="-1.2039728043259361"/>
    <n v="0.3"/>
    <m/>
    <s v="6"/>
    <s v="RES"/>
    <x v="0"/>
    <s v="11"/>
    <s v="259"/>
    <s v="BG"/>
    <s v="A"/>
    <s v="FR"/>
    <x v="9"/>
    <n v="96"/>
    <n v="55"/>
    <n v="1928"/>
    <n v="1969"/>
    <n v="1134"/>
    <n v="286"/>
    <n v="950"/>
    <n v="950"/>
    <m/>
    <m/>
    <n v="1420"/>
    <n v="1500"/>
    <n v="5"/>
    <m/>
    <m/>
    <m/>
    <m/>
    <m/>
    <m/>
    <m/>
    <n v="257912"/>
    <n v="162485"/>
    <n v="13625"/>
    <n v="296900"/>
    <n v="72500"/>
    <n v="224400"/>
    <n v="0"/>
    <n v="0"/>
    <n v="89850.625589999996"/>
    <n v="-38111.29648355169"/>
    <n v="21557.329055999999"/>
    <n v="133714.53821"/>
    <n v="-12267.5080275"/>
    <n v="56029.431640518"/>
    <n v="12808.916938246"/>
    <n v="0"/>
    <n v="27627.800484649997"/>
    <n v="18960.110526"/>
    <n v="0"/>
    <n v="13600"/>
    <n v="258400"/>
    <n v="51700"/>
    <n v="323700"/>
    <n v="9.0266082856180527E-2"/>
    <n v="0.99970000000000003"/>
    <n v="1.0067999999999999"/>
    <n v="0.99329999999999996"/>
    <n v="1.0157"/>
    <n v="1.0074000000000001"/>
    <n v="0.94971499999999998"/>
    <n v="0.971816657207489"/>
    <n v="258400"/>
    <n v="12900"/>
    <n v="271300"/>
    <n v="49100"/>
    <n v="320400"/>
    <n v="0.20900178253119431"/>
    <n v="-0.32275862068965516"/>
    <n v="7.9151229370158296E-2"/>
  </r>
  <r>
    <n v="2025"/>
    <s v="18132324450    "/>
    <n v="-1.8325814637483102"/>
    <n v="0.16"/>
    <m/>
    <s v="6"/>
    <s v="RES"/>
    <x v="0"/>
    <s v="11"/>
    <s v="259"/>
    <s v="BG"/>
    <s v="A+"/>
    <s v="GD"/>
    <x v="9"/>
    <n v="96"/>
    <n v="55"/>
    <n v="1928"/>
    <n v="1969"/>
    <n v="994"/>
    <m/>
    <n v="660"/>
    <n v="0"/>
    <n v="660"/>
    <m/>
    <n v="1654"/>
    <n v="2000"/>
    <n v="8"/>
    <m/>
    <m/>
    <m/>
    <m/>
    <m/>
    <m/>
    <m/>
    <n v="263017"/>
    <n v="176221"/>
    <n v="6227"/>
    <n v="324700"/>
    <n v="50600"/>
    <n v="274100"/>
    <n v="0"/>
    <n v="0"/>
    <n v="89850.625589999996"/>
    <n v="-58009.662049032086"/>
    <n v="29814.093161000001"/>
    <n v="197752.34721000001"/>
    <n v="-12267.5080275"/>
    <n v="49112.217857738004"/>
    <n v="0"/>
    <n v="0"/>
    <n v="19194.050863019998"/>
    <n v="30336.176841600001"/>
    <n v="0"/>
    <n v="6200"/>
    <n v="313900"/>
    <n v="31800"/>
    <n v="351900"/>
    <n v="8.3769633507853408E-2"/>
    <n v="0.99970000000000003"/>
    <n v="1.0088999999999999"/>
    <n v="0.99650000000000005"/>
    <n v="1.0093000000000001"/>
    <n v="1.0074000000000001"/>
    <n v="0.94971499999999998"/>
    <n v="0.97082497942099955"/>
    <n v="313900"/>
    <n v="5900"/>
    <n v="319800"/>
    <n v="30200"/>
    <n v="350000"/>
    <n v="0.16672747172564759"/>
    <n v="-0.40316205533596838"/>
    <n v="7.7918078226054815E-2"/>
  </r>
  <r>
    <n v="2025"/>
    <s v="18132331430    "/>
    <n v="-1.4696759700589417"/>
    <n v="0.23"/>
    <n v="10029"/>
    <s v="6"/>
    <s v="RES"/>
    <x v="0"/>
    <s v="11"/>
    <s v="259"/>
    <s v="BG"/>
    <s v="A"/>
    <s v="AV"/>
    <x v="9"/>
    <n v="96"/>
    <n v="55"/>
    <n v="1928"/>
    <n v="1969"/>
    <n v="1706"/>
    <m/>
    <n v="1706"/>
    <n v="1706"/>
    <m/>
    <m/>
    <n v="1706"/>
    <n v="2000"/>
    <n v="7"/>
    <n v="308"/>
    <m/>
    <m/>
    <m/>
    <m/>
    <m/>
    <m/>
    <n v="342027"/>
    <n v="222318"/>
    <n v="0"/>
    <n v="345100"/>
    <n v="63300"/>
    <n v="281800"/>
    <n v="0"/>
    <n v="0"/>
    <n v="89850.625589999996"/>
    <n v="-46522.028095997222"/>
    <n v="21557.329055999999"/>
    <n v="160472.20319"/>
    <n v="-12267.5080275"/>
    <n v="84291.190810162007"/>
    <n v="0"/>
    <n v="0"/>
    <n v="49613.713291381995"/>
    <n v="26544.1547364"/>
    <n v="0"/>
    <n v="0"/>
    <n v="330200"/>
    <n v="43300"/>
    <n v="373500"/>
    <n v="8.2294986960301367E-2"/>
    <n v="0.99970000000000003"/>
    <n v="1.0067999999999999"/>
    <n v="0.99729999999999996"/>
    <n v="1.0093000000000001"/>
    <n v="1.0074000000000001"/>
    <n v="0.94971499999999998"/>
    <n v="0.96958199718441984"/>
    <n v="330200"/>
    <n v="0"/>
    <n v="330200"/>
    <n v="41100"/>
    <n v="371300"/>
    <n v="0.17175301632363379"/>
    <n v="-0.35071090047393366"/>
    <n v="7.5920023181686475E-2"/>
  </r>
  <r>
    <n v="2025"/>
    <s v="18132332564    "/>
    <n v="-1.8325814637483102"/>
    <n v="0.16"/>
    <m/>
    <s v="6"/>
    <s v="RES"/>
    <x v="0"/>
    <s v="11"/>
    <s v="259"/>
    <s v="BG"/>
    <s v="A"/>
    <s v="GD"/>
    <x v="9"/>
    <n v="96"/>
    <n v="55"/>
    <n v="1928"/>
    <n v="1969"/>
    <n v="1564"/>
    <n v="391"/>
    <n v="1564"/>
    <n v="938"/>
    <n v="626"/>
    <m/>
    <n v="2581"/>
    <n v="3000"/>
    <n v="9"/>
    <m/>
    <m/>
    <m/>
    <m/>
    <m/>
    <m/>
    <m/>
    <n v="386451"/>
    <n v="258922"/>
    <n v="22928"/>
    <n v="403000"/>
    <n v="50600"/>
    <n v="352400"/>
    <n v="0"/>
    <n v="0"/>
    <n v="89850.625589999996"/>
    <n v="-58009.662049032086"/>
    <n v="21557.329055999999"/>
    <n v="197752.34721000001"/>
    <n v="-12267.5080275"/>
    <n v="77275.159687628009"/>
    <n v="17511.491338650998"/>
    <n v="0"/>
    <n v="45484.084166307999"/>
    <n v="34128.198946800003"/>
    <n v="0"/>
    <n v="22900"/>
    <n v="381400"/>
    <n v="31800"/>
    <n v="436100"/>
    <n v="8.2133995037220839E-2"/>
    <n v="0.99970000000000003"/>
    <n v="1.0067999999999999"/>
    <n v="0.99650000000000005"/>
    <n v="0.96179999999999999"/>
    <n v="1.0074000000000001"/>
    <n v="0.94971499999999998"/>
    <n v="0.92321005644682153"/>
    <n v="381400"/>
    <n v="21800"/>
    <n v="403200"/>
    <n v="30200"/>
    <n v="433400"/>
    <n v="0.14415437003405221"/>
    <n v="-0.40316205533596838"/>
    <n v="7.5434243176178667E-2"/>
  </r>
  <r>
    <n v="2025"/>
    <s v="18132342426    "/>
    <n v="-2.0402208285265546"/>
    <n v="0.13"/>
    <m/>
    <s v="6"/>
    <s v="RES"/>
    <x v="0"/>
    <s v="11"/>
    <s v="259"/>
    <s v="TD"/>
    <s v="A"/>
    <s v="AV"/>
    <x v="9"/>
    <n v="96"/>
    <n v="55"/>
    <n v="1928"/>
    <n v="1969"/>
    <n v="914"/>
    <m/>
    <n v="626"/>
    <n v="336"/>
    <n v="290"/>
    <m/>
    <n v="1204"/>
    <n v="1500"/>
    <n v="5"/>
    <m/>
    <n v="288"/>
    <m/>
    <m/>
    <m/>
    <m/>
    <m/>
    <n v="205113"/>
    <n v="133323"/>
    <n v="0"/>
    <n v="257600"/>
    <n v="43400"/>
    <n v="214200"/>
    <n v="0"/>
    <n v="0"/>
    <n v="89850.625589999996"/>
    <n v="-64582.406353792743"/>
    <n v="21557.329055999999"/>
    <n v="160472.20319"/>
    <n v="-12267.5080275"/>
    <n v="45159.524267578003"/>
    <n v="0"/>
    <n v="0"/>
    <n v="18205.266424621997"/>
    <n v="18960.110526"/>
    <n v="0"/>
    <n v="0"/>
    <n v="252100"/>
    <n v="25300"/>
    <n v="277400"/>
    <n v="7.6863354037267087E-2"/>
    <n v="0.99970000000000003"/>
    <n v="1.0067999999999999"/>
    <n v="0.99729999999999996"/>
    <n v="1.0157"/>
    <n v="1.0074000000000001"/>
    <n v="0.94971499999999998"/>
    <n v="0.97573014419916293"/>
    <n v="252100"/>
    <n v="0"/>
    <n v="252100"/>
    <n v="24000"/>
    <n v="276100"/>
    <n v="0.17693744164332401"/>
    <n v="-0.44700460829493088"/>
    <n v="7.1816770186335407E-2"/>
  </r>
  <r>
    <n v="2025"/>
    <s v="18132331506    "/>
    <n v="-1.2378743560016174"/>
    <n v="0.28999999999999998"/>
    <m/>
    <s v="6"/>
    <s v="RES"/>
    <x v="0"/>
    <s v="11"/>
    <s v="259"/>
    <s v="CL"/>
    <s v="V"/>
    <s v="VG"/>
    <x v="9"/>
    <n v="96"/>
    <n v="44"/>
    <n v="1928"/>
    <n v="1980"/>
    <n v="2062"/>
    <n v="2095"/>
    <n v="1297"/>
    <n v="427"/>
    <n v="870"/>
    <m/>
    <n v="5027"/>
    <n v="5000"/>
    <n v="17"/>
    <n v="654"/>
    <m/>
    <n v="232"/>
    <m/>
    <m/>
    <m/>
    <m/>
    <n v="1064903"/>
    <n v="862571"/>
    <n v="0"/>
    <n v="742000"/>
    <n v="71400"/>
    <n v="670600"/>
    <n v="0"/>
    <n v="0"/>
    <n v="89850.625589999996"/>
    <n v="-39184.437074869042"/>
    <n v="163885.03753"/>
    <n v="284810.60806"/>
    <n v="-9814.0064220000004"/>
    <n v="101880.677286374"/>
    <n v="93827.555893794997"/>
    <n v="0"/>
    <n v="37719.218135358999"/>
    <n v="64464.375788400001"/>
    <n v="7724.5595440320012"/>
    <n v="0"/>
    <n v="744500"/>
    <n v="50700"/>
    <n v="795200"/>
    <n v="7.1698113207547168E-2"/>
    <n v="0.99970000000000003"/>
    <n v="1"/>
    <n v="1.0158"/>
    <n v="1"/>
    <n v="1.0074000000000001"/>
    <n v="0.94971499999999998"/>
    <n v="0.97185942867780006"/>
    <n v="744500"/>
    <n v="0"/>
    <n v="744500"/>
    <n v="48100"/>
    <n v="792600"/>
    <n v="0.11019982105577095"/>
    <n v="-0.32633053221288516"/>
    <n v="6.8194070080862534E-2"/>
  </r>
  <r>
    <n v="2025"/>
    <s v="18132313510    "/>
    <n v="-1.8325814637483102"/>
    <n v="0.16"/>
    <n v="6999"/>
    <s v="6"/>
    <s v="RES"/>
    <x v="0"/>
    <s v="11"/>
    <s v="259"/>
    <s v="BG"/>
    <s v="A+"/>
    <s v="GD"/>
    <x v="9"/>
    <n v="96"/>
    <n v="29"/>
    <n v="1928"/>
    <n v="1995"/>
    <n v="1104"/>
    <m/>
    <n v="1104"/>
    <n v="0"/>
    <n v="1104"/>
    <m/>
    <n v="2208"/>
    <n v="2500"/>
    <n v="6"/>
    <m/>
    <m/>
    <m/>
    <m/>
    <m/>
    <m/>
    <m/>
    <n v="333012"/>
    <n v="289720"/>
    <n v="5073"/>
    <n v="343200"/>
    <n v="50600"/>
    <n v="292600"/>
    <n v="0"/>
    <n v="0"/>
    <n v="89850.625589999996"/>
    <n v="-58009.662049032086"/>
    <n v="29814.093161000001"/>
    <n v="197752.34721000001"/>
    <n v="-6468.3224145000004"/>
    <n v="54547.171544208002"/>
    <n v="0"/>
    <n v="0"/>
    <n v="32106.412352687999"/>
    <n v="22752.132631200002"/>
    <n v="0"/>
    <n v="5100"/>
    <n v="330500"/>
    <n v="31800"/>
    <n v="367400"/>
    <n v="7.0512820512820512E-2"/>
    <n v="0.99970000000000003"/>
    <n v="1.0088999999999999"/>
    <n v="0.99650000000000005"/>
    <n v="0.98919999999999997"/>
    <n v="1.0074000000000001"/>
    <n v="0.94971499999999998"/>
    <n v="0.95149120146958555"/>
    <n v="330500"/>
    <n v="4800"/>
    <n v="335300"/>
    <n v="30200"/>
    <n v="365500"/>
    <n v="0.145933014354067"/>
    <n v="-0.40316205533596838"/>
    <n v="6.4976689976689983E-2"/>
  </r>
  <r>
    <n v="2025"/>
    <s v="18132331420    "/>
    <n v="-1.8971199848858813"/>
    <n v="0.15"/>
    <m/>
    <s v="6"/>
    <s v="RES"/>
    <x v="0"/>
    <s v="11"/>
    <s v="259"/>
    <s v="BG"/>
    <s v="F+"/>
    <s v="AV"/>
    <x v="9"/>
    <n v="96"/>
    <n v="55"/>
    <n v="1928"/>
    <n v="1969"/>
    <n v="884"/>
    <m/>
    <n v="884"/>
    <n v="884"/>
    <m/>
    <m/>
    <n v="884"/>
    <n v="1000"/>
    <n v="5"/>
    <m/>
    <m/>
    <m/>
    <m/>
    <m/>
    <m/>
    <m/>
    <n v="174074"/>
    <n v="113148"/>
    <n v="6227"/>
    <n v="254600"/>
    <n v="48400"/>
    <n v="206200"/>
    <n v="0"/>
    <n v="0"/>
    <n v="89850.625589999996"/>
    <n v="-60052.604136134301"/>
    <n v="0"/>
    <n v="160472.20319"/>
    <n v="-12267.5080275"/>
    <n v="43677.264171267998"/>
    <n v="0"/>
    <n v="0"/>
    <n v="25708.395398347999"/>
    <n v="18960.110526"/>
    <n v="0"/>
    <n v="6200"/>
    <n v="236600"/>
    <n v="29800"/>
    <n v="272600"/>
    <n v="7.0699135899450122E-2"/>
    <n v="0.99970000000000003"/>
    <n v="0.99180000000000001"/>
    <n v="0.99729999999999996"/>
    <n v="1.0148999999999999"/>
    <n v="1.0074000000000001"/>
    <n v="0.94971499999999998"/>
    <n v="0.96043597585476481"/>
    <n v="236600"/>
    <n v="5900"/>
    <n v="242500"/>
    <n v="28300"/>
    <n v="270800"/>
    <n v="0.17604267701260912"/>
    <n v="-0.41528925619834711"/>
    <n v="6.3629222309505101E-2"/>
  </r>
  <r>
    <n v="2025"/>
    <s v="18132331441    "/>
    <n v="-1.5141277326297755"/>
    <n v="0.22"/>
    <n v="9687"/>
    <s v="6"/>
    <s v="RES"/>
    <x v="0"/>
    <s v="11"/>
    <s v="259"/>
    <s v="BG"/>
    <s v="G"/>
    <s v="GD"/>
    <x v="9"/>
    <n v="96"/>
    <n v="55"/>
    <n v="1928"/>
    <n v="1969"/>
    <n v="1516"/>
    <n v="870"/>
    <n v="1516"/>
    <n v="0"/>
    <n v="1516"/>
    <m/>
    <n v="3902"/>
    <n v="4000"/>
    <n v="9"/>
    <n v="280"/>
    <m/>
    <n v="480"/>
    <m/>
    <m/>
    <m/>
    <m/>
    <n v="648389"/>
    <n v="434421"/>
    <n v="0"/>
    <n v="449600"/>
    <n v="61700"/>
    <n v="387900"/>
    <n v="0"/>
    <n v="0"/>
    <n v="89850.625589999996"/>
    <n v="-47929.131559187132"/>
    <n v="44121.038090000002"/>
    <n v="197752.34721000001"/>
    <n v="-12267.5080275"/>
    <n v="74903.543533532007"/>
    <n v="38964.187889069995"/>
    <n v="0"/>
    <n v="44088.153194451996"/>
    <n v="34128.198946800003"/>
    <n v="15981.847332480002"/>
    <n v="0"/>
    <n v="437700"/>
    <n v="41900"/>
    <n v="479600"/>
    <n v="6.6725978647686826E-2"/>
    <n v="0.99970000000000003"/>
    <n v="0.98050000000000004"/>
    <n v="0.99650000000000005"/>
    <n v="0.94579999999999997"/>
    <n v="1.0074000000000001"/>
    <n v="0.94971499999999998"/>
    <n v="0.88413677406956614"/>
    <n v="437700"/>
    <n v="0"/>
    <n v="437700"/>
    <n v="39800"/>
    <n v="477500"/>
    <n v="0.12838360402165508"/>
    <n v="-0.35494327390599678"/>
    <n v="6.2055160142348756E-2"/>
  </r>
  <r>
    <n v="2025"/>
    <s v="18132324453    "/>
    <n v="-1.8325814637483102"/>
    <n v="0.16"/>
    <m/>
    <s v="6"/>
    <s v="RES"/>
    <x v="0"/>
    <s v="11"/>
    <s v="259"/>
    <s v="TD"/>
    <s v="A"/>
    <s v="AV"/>
    <x v="9"/>
    <n v="96"/>
    <n v="55"/>
    <n v="1928"/>
    <n v="1969"/>
    <n v="1456"/>
    <m/>
    <n v="506"/>
    <n v="506"/>
    <m/>
    <m/>
    <n v="1456"/>
    <n v="1500"/>
    <n v="5"/>
    <m/>
    <m/>
    <n v="52"/>
    <m/>
    <m/>
    <m/>
    <m/>
    <n v="262934"/>
    <n v="170907"/>
    <n v="6313"/>
    <n v="295700"/>
    <n v="50600"/>
    <n v="245100"/>
    <n v="0"/>
    <n v="0"/>
    <n v="89850.625589999996"/>
    <n v="-58009.662049032086"/>
    <n v="21557.329055999999"/>
    <n v="160472.20319"/>
    <n v="-12267.5080275"/>
    <n v="71939.023340911997"/>
    <n v="0"/>
    <n v="0"/>
    <n v="14715.438994982"/>
    <n v="18960.110526"/>
    <n v="1731.3667943520002"/>
    <n v="6300"/>
    <n v="277100"/>
    <n v="31800"/>
    <n v="315200"/>
    <n v="6.5945214744673658E-2"/>
    <n v="0.99970000000000003"/>
    <n v="1.0067999999999999"/>
    <n v="0.99729999999999996"/>
    <n v="1.0157"/>
    <n v="1.0074000000000001"/>
    <n v="0.94971499999999998"/>
    <n v="0.97573014419916293"/>
    <n v="277100"/>
    <n v="6000"/>
    <n v="283100"/>
    <n v="30200"/>
    <n v="313300"/>
    <n v="0.15503875968992248"/>
    <n v="-0.40316205533596838"/>
    <n v="5.9519783564423404E-2"/>
  </r>
  <r>
    <n v="2025"/>
    <s v="18132333404    "/>
    <n v="-1.6094379124341003"/>
    <n v="0.2"/>
    <m/>
    <s v="6"/>
    <s v="RES"/>
    <x v="0"/>
    <s v="11"/>
    <s v="259"/>
    <s v="CC"/>
    <s v="A"/>
    <s v="AV"/>
    <x v="9"/>
    <n v="96"/>
    <n v="55"/>
    <n v="1928"/>
    <n v="1969"/>
    <n v="960"/>
    <n v="708"/>
    <n v="960"/>
    <n v="960"/>
    <m/>
    <m/>
    <n v="1668"/>
    <n v="2000"/>
    <n v="9"/>
    <m/>
    <m/>
    <m/>
    <m/>
    <m/>
    <m/>
    <m/>
    <n v="273255"/>
    <n v="177616"/>
    <n v="5261"/>
    <n v="333100"/>
    <n v="58400"/>
    <n v="274700"/>
    <n v="0"/>
    <n v="0"/>
    <n v="89850.625589999996"/>
    <n v="-50946.13867709865"/>
    <n v="21557.329055999999"/>
    <n v="160472.20319"/>
    <n v="-12267.5080275"/>
    <n v="47432.323081920003"/>
    <n v="31708.787385587999"/>
    <n v="0"/>
    <n v="27918.61943712"/>
    <n v="34128.198946800003"/>
    <n v="0"/>
    <n v="5300"/>
    <n v="310900"/>
    <n v="38900"/>
    <n v="355100"/>
    <n v="6.6046232362653862E-2"/>
    <n v="0.99970000000000003"/>
    <n v="1.0067999999999999"/>
    <n v="0.99729999999999996"/>
    <n v="1.0093000000000001"/>
    <n v="1.0074000000000001"/>
    <n v="0.94971499999999998"/>
    <n v="0.96958199718441984"/>
    <n v="310900"/>
    <n v="5000"/>
    <n v="315900"/>
    <n v="36900"/>
    <n v="352800"/>
    <n v="0.14998179832544595"/>
    <n v="-0.36815068493150682"/>
    <n v="5.9141398979285498E-2"/>
  </r>
  <r>
    <n v="2025"/>
    <s v="18132331432    "/>
    <n v="-1.8971199848858813"/>
    <n v="0.15"/>
    <m/>
    <s v="6"/>
    <s v="RES"/>
    <x v="0"/>
    <s v="11"/>
    <s v="259"/>
    <s v="TD"/>
    <s v="A"/>
    <s v="GD"/>
    <x v="9"/>
    <n v="96"/>
    <n v="40"/>
    <n v="1928"/>
    <n v="1984"/>
    <n v="1344"/>
    <m/>
    <n v="850"/>
    <n v="0"/>
    <n v="850"/>
    <m/>
    <n v="2194"/>
    <n v="2500"/>
    <n v="9"/>
    <m/>
    <m/>
    <m/>
    <m/>
    <m/>
    <m/>
    <m/>
    <n v="300250"/>
    <n v="243203"/>
    <n v="6724"/>
    <n v="351400"/>
    <n v="48400"/>
    <n v="303000"/>
    <n v="0"/>
    <n v="0"/>
    <n v="89850.625589999996"/>
    <n v="-60052.604136134301"/>
    <n v="21557.329055999999"/>
    <n v="197752.34721000001"/>
    <n v="-8921.82402"/>
    <n v="66405.252314687998"/>
    <n v="0"/>
    <n v="0"/>
    <n v="24719.610959949998"/>
    <n v="34128.198946800003"/>
    <n v="0"/>
    <n v="6700"/>
    <n v="335600"/>
    <n v="29800"/>
    <n v="372100"/>
    <n v="5.8907228229937394E-2"/>
    <n v="0.99970000000000003"/>
    <n v="1.0067999999999999"/>
    <n v="0.99650000000000005"/>
    <n v="0.98919999999999997"/>
    <n v="1.0074000000000001"/>
    <n v="0.94971499999999998"/>
    <n v="0.94951069644125163"/>
    <n v="335600"/>
    <n v="6400"/>
    <n v="342000"/>
    <n v="28300"/>
    <n v="370300"/>
    <n v="0.12871287128712872"/>
    <n v="-0.41528925619834711"/>
    <n v="5.3784860557768925E-2"/>
  </r>
  <r>
    <n v="2025"/>
    <s v="18132332459    "/>
    <n v="-1.1394342831883648"/>
    <n v="0.32"/>
    <n v="13736"/>
    <s v="6"/>
    <s v="RES"/>
    <x v="0"/>
    <s v="11"/>
    <s v="259"/>
    <s v="CC"/>
    <s v="A"/>
    <s v="GD"/>
    <x v="9"/>
    <n v="96"/>
    <n v="55"/>
    <n v="1928"/>
    <n v="1969"/>
    <n v="1380"/>
    <n v="600"/>
    <n v="1200"/>
    <n v="600"/>
    <n v="600"/>
    <m/>
    <n v="2580"/>
    <n v="3000"/>
    <n v="7"/>
    <m/>
    <m/>
    <n v="72"/>
    <m/>
    <m/>
    <m/>
    <m/>
    <n v="375213"/>
    <n v="251393"/>
    <n v="6227"/>
    <n v="402200"/>
    <n v="74800"/>
    <n v="327400"/>
    <n v="0"/>
    <n v="0"/>
    <n v="89850.625589999996"/>
    <n v="-36068.354396449467"/>
    <n v="21557.329055999999"/>
    <n v="197752.34721000001"/>
    <n v="-12267.5080275"/>
    <n v="68183.964430260006"/>
    <n v="26871.853716599999"/>
    <n v="0"/>
    <n v="34898.274296399999"/>
    <n v="26544.1547364"/>
    <n v="2397.2770998720002"/>
    <n v="6200"/>
    <n v="365900"/>
    <n v="53800"/>
    <n v="425900"/>
    <n v="5.8925907508702136E-2"/>
    <n v="0.99970000000000003"/>
    <n v="1.0067999999999999"/>
    <n v="0.99650000000000005"/>
    <n v="0.96179999999999999"/>
    <n v="1.0074000000000001"/>
    <n v="0.94971499999999998"/>
    <n v="0.92321005644682153"/>
    <n v="365900"/>
    <n v="5900"/>
    <n v="371800"/>
    <n v="51100"/>
    <n v="422900"/>
    <n v="0.1356139279169212"/>
    <n v="-0.31684491978609625"/>
    <n v="5.146693187468921E-2"/>
  </r>
  <r>
    <n v="2025"/>
    <s v="18132324452    "/>
    <n v="-1.8325814637483102"/>
    <n v="0.16"/>
    <m/>
    <s v="6"/>
    <s v="RES"/>
    <x v="0"/>
    <s v="11"/>
    <s v="259"/>
    <s v="TD"/>
    <s v="G"/>
    <s v="GD"/>
    <x v="9"/>
    <n v="96"/>
    <n v="55"/>
    <n v="1928"/>
    <n v="1969"/>
    <n v="1602"/>
    <m/>
    <n v="800"/>
    <n v="0"/>
    <n v="800"/>
    <m/>
    <n v="2402"/>
    <n v="2500"/>
    <n v="10"/>
    <m/>
    <m/>
    <m/>
    <m/>
    <m/>
    <m/>
    <m/>
    <n v="424557"/>
    <n v="284453"/>
    <n v="4877"/>
    <n v="384900"/>
    <n v="50600"/>
    <n v="334300"/>
    <n v="0"/>
    <n v="0"/>
    <n v="89850.625589999996"/>
    <n v="-58009.662049032086"/>
    <n v="44121.038090000002"/>
    <n v="197752.34721000001"/>
    <n v="-12267.5080275"/>
    <n v="79152.689142953997"/>
    <n v="0"/>
    <n v="0"/>
    <n v="23265.516197599998"/>
    <n v="37920.221052000001"/>
    <n v="0"/>
    <n v="4900"/>
    <n v="369900"/>
    <n v="31800"/>
    <n v="406600"/>
    <n v="5.6378280072746166E-2"/>
    <n v="0.99970000000000003"/>
    <n v="0.98050000000000004"/>
    <n v="0.99650000000000005"/>
    <n v="0.98919999999999997"/>
    <n v="1.0074000000000001"/>
    <n v="0.94971499999999998"/>
    <n v="0.9247072287054503"/>
    <n v="369900"/>
    <n v="4600"/>
    <n v="374500"/>
    <n v="30200"/>
    <n v="404700"/>
    <n v="0.12025127131319174"/>
    <n v="-0.40316205533596838"/>
    <n v="5.1441932969602491E-2"/>
  </r>
  <r>
    <n v="2025"/>
    <s v="18132324454    "/>
    <n v="-1.8325814637483102"/>
    <n v="0.16"/>
    <m/>
    <s v="6"/>
    <s v="RES"/>
    <x v="0"/>
    <s v="11"/>
    <s v="259"/>
    <s v="BG"/>
    <s v="A+"/>
    <s v="AV"/>
    <x v="9"/>
    <n v="96"/>
    <n v="55"/>
    <n v="1928"/>
    <n v="1969"/>
    <n v="1355"/>
    <n v="676"/>
    <n v="677"/>
    <n v="0"/>
    <n v="677"/>
    <m/>
    <n v="2708"/>
    <n v="3000"/>
    <n v="8"/>
    <m/>
    <m/>
    <n v="130"/>
    <m/>
    <m/>
    <m/>
    <m/>
    <n v="399525"/>
    <n v="259691"/>
    <n v="6357"/>
    <n v="352400"/>
    <n v="50600"/>
    <n v="301800"/>
    <n v="0"/>
    <n v="0"/>
    <n v="89850.625589999996"/>
    <n v="-58009.662049032086"/>
    <n v="29814.093161000001"/>
    <n v="160472.20319"/>
    <n v="-12267.5080275"/>
    <n v="66948.747683335008"/>
    <n v="30275.621854035999"/>
    <n v="0"/>
    <n v="19688.443082219001"/>
    <n v="30336.176841600001"/>
    <n v="4328.4169858800005"/>
    <n v="6400"/>
    <n v="329600"/>
    <n v="31800"/>
    <n v="367800"/>
    <n v="4.3700340522133937E-2"/>
    <n v="0.99970000000000003"/>
    <n v="1.0088999999999999"/>
    <n v="0.99729999999999996"/>
    <n v="0.96179999999999999"/>
    <n v="1.0074000000000001"/>
    <n v="0.94971499999999998"/>
    <n v="0.92587841120833458"/>
    <n v="329600"/>
    <n v="6000"/>
    <n v="335600"/>
    <n v="30200"/>
    <n v="365800"/>
    <n v="0.1119946984758118"/>
    <n v="-0.40316205533596838"/>
    <n v="3.8024971623155504E-2"/>
  </r>
  <r>
    <n v="2025"/>
    <s v="18132332563    "/>
    <n v="-1.8325814637483102"/>
    <n v="0.16"/>
    <m/>
    <s v="6"/>
    <s v="RES"/>
    <x v="0"/>
    <s v="11"/>
    <s v="259"/>
    <s v="TD"/>
    <s v="A"/>
    <s v="GD"/>
    <x v="9"/>
    <n v="96"/>
    <n v="55"/>
    <n v="1928"/>
    <n v="1969"/>
    <n v="1442"/>
    <m/>
    <n v="1442"/>
    <n v="0"/>
    <n v="1442"/>
    <m/>
    <n v="2884"/>
    <n v="3000"/>
    <n v="8"/>
    <m/>
    <m/>
    <m/>
    <m/>
    <m/>
    <m/>
    <m/>
    <n v="360602"/>
    <n v="241603"/>
    <n v="5024"/>
    <n v="372300"/>
    <n v="50600"/>
    <n v="321700"/>
    <n v="0"/>
    <n v="0"/>
    <n v="89850.625589999996"/>
    <n v="-58009.662049032086"/>
    <n v="21557.329055999999"/>
    <n v="197752.34721000001"/>
    <n v="-12267.5080275"/>
    <n v="71247.301962633996"/>
    <n v="0"/>
    <n v="0"/>
    <n v="41936.092946173994"/>
    <n v="30336.176841600001"/>
    <n v="0"/>
    <n v="5000"/>
    <n v="350600"/>
    <n v="31800"/>
    <n v="387400"/>
    <n v="4.0558689229116304E-2"/>
    <n v="0.99970000000000003"/>
    <n v="1.0067999999999999"/>
    <n v="0.99650000000000005"/>
    <n v="0.96179999999999999"/>
    <n v="1.0074000000000001"/>
    <n v="0.94971499999999998"/>
    <n v="0.92321005644682153"/>
    <n v="350600"/>
    <n v="4800"/>
    <n v="355400"/>
    <n v="30200"/>
    <n v="385600"/>
    <n v="0.10475598383587192"/>
    <n v="-0.40316205533596838"/>
    <n v="3.5723878592532905E-2"/>
  </r>
  <r>
    <n v="2025"/>
    <s v="18132324456    "/>
    <n v="-1.2729656758128873"/>
    <n v="0.28000000000000003"/>
    <m/>
    <s v="6"/>
    <s v="RES"/>
    <x v="0"/>
    <s v="11"/>
    <s v="400"/>
    <s v="TD"/>
    <s v="A+"/>
    <s v="AV"/>
    <x v="9"/>
    <n v="96"/>
    <n v="55"/>
    <n v="1928"/>
    <n v="1969"/>
    <n v="1342"/>
    <m/>
    <n v="1008"/>
    <n v="343"/>
    <n v="665"/>
    <m/>
    <n v="2007"/>
    <n v="2500"/>
    <n v="8"/>
    <m/>
    <m/>
    <m/>
    <m/>
    <m/>
    <m/>
    <m/>
    <n v="326683"/>
    <n v="212344"/>
    <n v="4877"/>
    <n v="345100"/>
    <n v="70100"/>
    <n v="275000"/>
    <n v="0"/>
    <n v="0"/>
    <n v="89850.625589999996"/>
    <n v="-40295.239319339329"/>
    <n v="29814.093161000001"/>
    <n v="160472.20319"/>
    <n v="-12267.5080275"/>
    <n v="66306.434974934004"/>
    <n v="0"/>
    <n v="0"/>
    <n v="29314.550408976"/>
    <n v="30336.176841600001"/>
    <n v="0"/>
    <n v="4900"/>
    <n v="304000"/>
    <n v="49600"/>
    <n v="358500"/>
    <n v="3.8829324833381626E-2"/>
    <n v="0.99970000000000003"/>
    <n v="1.0088999999999999"/>
    <n v="0.99729999999999996"/>
    <n v="0.98919999999999997"/>
    <n v="1.0074000000000001"/>
    <n v="0.94971499999999998"/>
    <n v="0.95225506796349002"/>
    <n v="304000"/>
    <n v="4600"/>
    <n v="308600"/>
    <n v="47100"/>
    <n v="355700"/>
    <n v="0.12218181818181818"/>
    <n v="-0.32810271041369471"/>
    <n v="3.0715734569689946E-2"/>
  </r>
  <r>
    <n v="2025"/>
    <s v="18132331500    "/>
    <n v="-1.6094379124341003"/>
    <n v="0.2"/>
    <m/>
    <s v="6"/>
    <s v="RES"/>
    <x v="0"/>
    <s v="11"/>
    <s v="259"/>
    <s v="TD"/>
    <s v="F+"/>
    <s v="AV"/>
    <x v="9"/>
    <n v="96"/>
    <n v="55"/>
    <n v="1928"/>
    <n v="1969"/>
    <n v="540"/>
    <m/>
    <m/>
    <n v="0"/>
    <m/>
    <m/>
    <n v="540"/>
    <n v="1000"/>
    <n v="5"/>
    <m/>
    <m/>
    <m/>
    <m/>
    <m/>
    <m/>
    <m/>
    <n v="103641"/>
    <n v="67367"/>
    <n v="11770"/>
    <n v="235700"/>
    <n v="58400"/>
    <n v="177300"/>
    <n v="0"/>
    <n v="0"/>
    <n v="89850.625589999996"/>
    <n v="-50946.13867709865"/>
    <n v="0"/>
    <n v="160472.20319"/>
    <n v="-12267.5080275"/>
    <n v="26680.681733580001"/>
    <n v="0"/>
    <n v="0"/>
    <n v="0"/>
    <n v="18960.110526"/>
    <n v="0"/>
    <n v="11800"/>
    <n v="193800"/>
    <n v="38900"/>
    <n v="244500"/>
    <n v="3.7335596096733134E-2"/>
    <n v="0.99970000000000003"/>
    <n v="0.99180000000000001"/>
    <n v="0.99729999999999996"/>
    <n v="1.0148999999999999"/>
    <n v="1.0074000000000001"/>
    <n v="0.94971499999999998"/>
    <n v="0.96043597585476481"/>
    <n v="193800"/>
    <n v="11200"/>
    <n v="205000"/>
    <n v="36900"/>
    <n v="241900"/>
    <n v="0.15623237450648619"/>
    <n v="-0.36815068493150682"/>
    <n v="2.6304624522698345E-2"/>
  </r>
  <r>
    <n v="2025"/>
    <s v="18132331433    "/>
    <n v="-1.8971199848858813"/>
    <n v="0.15"/>
    <m/>
    <s v="6"/>
    <s v="RES"/>
    <x v="0"/>
    <s v="11"/>
    <s v="259"/>
    <s v="BG"/>
    <s v="A+"/>
    <s v="AV"/>
    <x v="9"/>
    <n v="96"/>
    <n v="55"/>
    <n v="1928"/>
    <n v="1969"/>
    <n v="1750"/>
    <m/>
    <n v="850"/>
    <n v="0"/>
    <n v="850"/>
    <m/>
    <n v="2600"/>
    <n v="3000"/>
    <n v="12"/>
    <m/>
    <m/>
    <m/>
    <m/>
    <m/>
    <m/>
    <m/>
    <n v="413197"/>
    <n v="268578"/>
    <n v="5261"/>
    <n v="362900"/>
    <n v="48400"/>
    <n v="314500"/>
    <n v="0"/>
    <n v="0"/>
    <n v="89850.625589999996"/>
    <n v="-60052.604136134301"/>
    <n v="29814.093161000001"/>
    <n v="160472.20319"/>
    <n v="-12267.5080275"/>
    <n v="86465.172284750006"/>
    <n v="0"/>
    <n v="0"/>
    <n v="24719.610959949998"/>
    <n v="45504.265262400004"/>
    <n v="0"/>
    <n v="5300"/>
    <n v="334700"/>
    <n v="29800"/>
    <n v="369800"/>
    <n v="1.9013502342243041E-2"/>
    <n v="0.99970000000000003"/>
    <n v="1.0088999999999999"/>
    <n v="0.99729999999999996"/>
    <n v="0.96179999999999999"/>
    <n v="1.0074000000000001"/>
    <n v="0.94971499999999998"/>
    <n v="0.92587841120833458"/>
    <n v="334700"/>
    <n v="5000"/>
    <n v="339700"/>
    <n v="28300"/>
    <n v="368000"/>
    <n v="8.0127186009538956E-2"/>
    <n v="-0.41528925619834711"/>
    <n v="1.4053458252962248E-2"/>
  </r>
  <r>
    <n v="2025"/>
    <s v="18132334006    "/>
    <n v="-1.3470736479666092"/>
    <n v="0.26"/>
    <n v="11200"/>
    <s v="6"/>
    <s v="RES"/>
    <x v="0"/>
    <s v="11"/>
    <s v="259"/>
    <s v="CO"/>
    <s v="A"/>
    <s v="AV"/>
    <x v="9"/>
    <n v="96"/>
    <n v="55"/>
    <n v="1928"/>
    <n v="1969"/>
    <n v="957"/>
    <n v="957"/>
    <n v="957"/>
    <n v="957"/>
    <m/>
    <m/>
    <n v="1914"/>
    <n v="2000"/>
    <n v="7"/>
    <n v="280"/>
    <m/>
    <m/>
    <m/>
    <m/>
    <m/>
    <m/>
    <n v="429959"/>
    <n v="279473"/>
    <n v="0"/>
    <n v="355100"/>
    <n v="67600"/>
    <n v="287500"/>
    <n v="0"/>
    <n v="0"/>
    <n v="89850.625589999996"/>
    <n v="-42641.098701210125"/>
    <n v="21557.329055999999"/>
    <n v="160472.20319"/>
    <n v="-12267.5080275"/>
    <n v="47284.097072288998"/>
    <n v="42860.606677976997"/>
    <n v="0"/>
    <n v="27831.373751379"/>
    <n v="26544.1547364"/>
    <n v="0"/>
    <n v="0"/>
    <n v="314300"/>
    <n v="47200"/>
    <n v="361500"/>
    <n v="1.802309208673613E-2"/>
    <n v="0.99970000000000003"/>
    <n v="1.0067999999999999"/>
    <n v="0.99729999999999996"/>
    <n v="1.0093000000000001"/>
    <n v="1.0074000000000001"/>
    <n v="0.94971499999999998"/>
    <n v="0.96958199718441984"/>
    <n v="314300"/>
    <n v="0"/>
    <n v="314300"/>
    <n v="44800"/>
    <n v="359100"/>
    <n v="9.3217391304347821E-2"/>
    <n v="-0.33727810650887574"/>
    <n v="1.1264432554210082E-2"/>
  </r>
  <r>
    <n v="2025"/>
    <s v="18132332422    "/>
    <n v="-1.8971199848858813"/>
    <n v="0.15"/>
    <m/>
    <s v="6"/>
    <s v="RES"/>
    <x v="0"/>
    <s v="11"/>
    <s v="259"/>
    <s v="BG"/>
    <s v="A"/>
    <s v="AV"/>
    <x v="9"/>
    <n v="96"/>
    <n v="55"/>
    <n v="1928"/>
    <n v="1969"/>
    <n v="1212"/>
    <m/>
    <n v="1212"/>
    <n v="0"/>
    <n v="1212"/>
    <m/>
    <n v="2424"/>
    <n v="2500"/>
    <n v="8"/>
    <m/>
    <m/>
    <m/>
    <m/>
    <m/>
    <m/>
    <m/>
    <n v="310509"/>
    <n v="201831"/>
    <n v="5261"/>
    <n v="325900"/>
    <n v="48400"/>
    <n v="277500"/>
    <n v="0"/>
    <n v="0"/>
    <n v="89850.625589999996"/>
    <n v="-60052.604136134301"/>
    <n v="21557.329055999999"/>
    <n v="160472.20319"/>
    <n v="-12267.5080275"/>
    <n v="59883.307890923999"/>
    <n v="0"/>
    <n v="0"/>
    <n v="35247.257039363998"/>
    <n v="30336.176841600001"/>
    <n v="0"/>
    <n v="5300"/>
    <n v="295200"/>
    <n v="29800"/>
    <n v="330300"/>
    <n v="1.350107394906413E-2"/>
    <n v="0.99970000000000003"/>
    <n v="1.0067999999999999"/>
    <n v="0.99729999999999996"/>
    <n v="0.98919999999999997"/>
    <n v="1.0074000000000001"/>
    <n v="0.94971499999999998"/>
    <n v="0.95027297296624202"/>
    <n v="295200"/>
    <n v="5000"/>
    <n v="300200"/>
    <n v="28300"/>
    <n v="328500"/>
    <n v="8.1801801801801799E-2"/>
    <n v="-0.41528925619834711"/>
    <n v="7.9779073335378946E-3"/>
  </r>
  <r>
    <n v="2025"/>
    <s v="18132332571    "/>
    <n v="-1.2039728043259361"/>
    <n v="0.3"/>
    <m/>
    <s v="6"/>
    <s v="RES"/>
    <x v="0"/>
    <s v="11"/>
    <s v="259"/>
    <s v="CO"/>
    <s v="G+"/>
    <s v="GD"/>
    <x v="9"/>
    <n v="96"/>
    <n v="55"/>
    <n v="1928"/>
    <n v="1969"/>
    <n v="1330"/>
    <n v="760"/>
    <n v="1330"/>
    <n v="330"/>
    <n v="1000"/>
    <m/>
    <n v="3090"/>
    <n v="3500"/>
    <n v="11"/>
    <m/>
    <m/>
    <m/>
    <m/>
    <m/>
    <m/>
    <m/>
    <n v="597727"/>
    <n v="406454"/>
    <n v="20731"/>
    <n v="516700"/>
    <n v="72500"/>
    <n v="444200"/>
    <n v="0"/>
    <n v="0"/>
    <n v="89850.625589999996"/>
    <n v="-38111.29648355169"/>
    <n v="74268.409664999999"/>
    <n v="197752.34721000001"/>
    <n v="-12267.5080275"/>
    <n v="65713.530936409996"/>
    <n v="34037.68137436"/>
    <n v="0"/>
    <n v="38678.920678509996"/>
    <n v="41712.243157199999"/>
    <n v="0"/>
    <n v="20700"/>
    <n v="439900"/>
    <n v="51700"/>
    <n v="512300"/>
    <n v="-8.5155796400232242E-3"/>
    <n v="0.99970000000000003"/>
    <n v="0.98380000000000001"/>
    <n v="0.99650000000000005"/>
    <n v="1.0126999999999999"/>
    <n v="1.0074000000000001"/>
    <n v="0.94971499999999998"/>
    <n v="0.94986125952200873"/>
    <n v="439900"/>
    <n v="19700"/>
    <n v="459600"/>
    <n v="49100"/>
    <n v="508700"/>
    <n v="3.4669067987393068E-2"/>
    <n v="-0.32275862068965516"/>
    <n v="-1.5482872072769499E-2"/>
  </r>
  <r>
    <n v="2025"/>
    <s v="18132343419    "/>
    <n v="-1.1086626245216111"/>
    <n v="0.33"/>
    <n v="14507"/>
    <s v="6"/>
    <s v="RES"/>
    <x v="0"/>
    <s v="11"/>
    <s v="331"/>
    <s v="TU"/>
    <s v="V"/>
    <s v="GD"/>
    <x v="9"/>
    <n v="96"/>
    <n v="55"/>
    <n v="1928"/>
    <n v="1969"/>
    <n v="2117"/>
    <n v="1716"/>
    <n v="1200"/>
    <n v="240"/>
    <n v="960"/>
    <m/>
    <n v="4793"/>
    <n v="4500"/>
    <n v="11"/>
    <n v="484"/>
    <m/>
    <m/>
    <m/>
    <m/>
    <m/>
    <m/>
    <n v="1073699"/>
    <n v="730115"/>
    <n v="27800"/>
    <n v="697100"/>
    <n v="75900"/>
    <n v="621200"/>
    <n v="0"/>
    <n v="0"/>
    <n v="89850.625589999996"/>
    <n v="-35094.289365640165"/>
    <n v="163885.03753"/>
    <n v="197752.34721000001"/>
    <n v="-12267.5080275"/>
    <n v="104598.154129609"/>
    <n v="76853.501629475999"/>
    <n v="0"/>
    <n v="34898.274296399999"/>
    <n v="41712.243157199999"/>
    <n v="0"/>
    <n v="27800"/>
    <n v="607400"/>
    <n v="54800"/>
    <n v="690000"/>
    <n v="-1.0185052359776216E-2"/>
    <n v="0.99970000000000003"/>
    <n v="1"/>
    <n v="0.99650000000000005"/>
    <n v="1"/>
    <n v="1.0074000000000001"/>
    <n v="0.94971499999999998"/>
    <n v="0.95339429088149996"/>
    <n v="607400"/>
    <n v="26400"/>
    <n v="633800"/>
    <n v="52000"/>
    <n v="685800"/>
    <n v="2.0283322601416614E-2"/>
    <n v="-0.31488801054018445"/>
    <n v="-1.6210012910629751E-2"/>
  </r>
  <r>
    <n v="2025"/>
    <s v="18132313535    "/>
    <n v="-1.7719568419318752"/>
    <n v="0.17"/>
    <n v="7348"/>
    <s v="6"/>
    <s v="RES"/>
    <x v="0"/>
    <s v="11"/>
    <s v="259"/>
    <s v="TD"/>
    <s v="F-"/>
    <s v="AV"/>
    <x v="9"/>
    <n v="96"/>
    <n v="55"/>
    <n v="1928"/>
    <n v="1969"/>
    <n v="700"/>
    <m/>
    <m/>
    <n v="0"/>
    <m/>
    <m/>
    <n v="700"/>
    <n v="1000"/>
    <n v="5"/>
    <m/>
    <m/>
    <m/>
    <m/>
    <m/>
    <m/>
    <m/>
    <n v="98593"/>
    <n v="64085"/>
    <n v="0"/>
    <n v="209700"/>
    <n v="52700"/>
    <n v="157000"/>
    <n v="0"/>
    <n v="0"/>
    <n v="89850.625589999996"/>
    <n v="-56090.612940989391"/>
    <n v="-71917.896887580995"/>
    <n v="160472.20319"/>
    <n v="-12267.5080275"/>
    <n v="34586.068913900002"/>
    <n v="0"/>
    <n v="0"/>
    <n v="0"/>
    <n v="18960.110526"/>
    <n v="0"/>
    <n v="0"/>
    <n v="129800"/>
    <n v="33800"/>
    <n v="163600"/>
    <n v="-0.21983786361468766"/>
    <n v="0.99970000000000003"/>
    <n v="1"/>
    <n v="0.99729999999999996"/>
    <n v="1.0148999999999999"/>
    <n v="1.0074000000000001"/>
    <n v="0.94971499999999998"/>
    <n v="0.96837666450369497"/>
    <n v="129800"/>
    <n v="0"/>
    <n v="129800"/>
    <n v="32100"/>
    <n v="161900"/>
    <n v="-0.17324840764331209"/>
    <n v="-0.39089184060721061"/>
    <n v="-0.2279446828803052"/>
  </r>
  <r>
    <n v="2025"/>
    <s v="18132344017    "/>
    <n v="-1.8971199848858813"/>
    <n v="0.15"/>
    <n v="6402"/>
    <s v="6"/>
    <s v="RES"/>
    <x v="0"/>
    <s v="11"/>
    <s v="259"/>
    <s v="TD"/>
    <s v="A+"/>
    <s v="VG"/>
    <x v="9"/>
    <n v="97"/>
    <n v="55"/>
    <n v="1927"/>
    <n v="1969"/>
    <n v="1126"/>
    <m/>
    <n v="479"/>
    <n v="0"/>
    <n v="479"/>
    <m/>
    <n v="1605"/>
    <n v="2000"/>
    <n v="5"/>
    <m/>
    <m/>
    <m/>
    <m/>
    <m/>
    <m/>
    <m/>
    <n v="268459"/>
    <n v="185237"/>
    <n v="4598"/>
    <n v="348700"/>
    <n v="48400"/>
    <n v="300300"/>
    <n v="0"/>
    <n v="0"/>
    <n v="89850.625589999996"/>
    <n v="-60052.604136134301"/>
    <n v="29814.093161000001"/>
    <n v="284810.60806"/>
    <n v="-12267.5080275"/>
    <n v="55634.162281502002"/>
    <n v="0"/>
    <n v="0"/>
    <n v="13930.227823313"/>
    <n v="18960.110526"/>
    <n v="0"/>
    <n v="4600"/>
    <n v="390900"/>
    <n v="29800"/>
    <n v="425300"/>
    <n v="0.21967307140808717"/>
    <n v="0.99970000000000003"/>
    <n v="1.0088999999999999"/>
    <n v="1.0158"/>
    <n v="1.0093000000000001"/>
    <n v="1.0074000000000001"/>
    <n v="0.94971499999999998"/>
    <n v="0.98962771108464775"/>
    <n v="390900"/>
    <n v="4400"/>
    <n v="395300"/>
    <n v="28300"/>
    <n v="423600"/>
    <n v="0.31635031635031635"/>
    <n v="-0.41528925619834711"/>
    <n v="0.21479782047605392"/>
  </r>
  <r>
    <n v="2025"/>
    <s v="18132342445    "/>
    <n v="-1.9661128563728327"/>
    <n v="0.14000000000000001"/>
    <m/>
    <s v="6"/>
    <s v="RES"/>
    <x v="0"/>
    <s v="11"/>
    <s v="259"/>
    <s v="BG"/>
    <s v="A+"/>
    <s v="GD"/>
    <x v="9"/>
    <n v="97"/>
    <n v="55"/>
    <n v="1927"/>
    <n v="1969"/>
    <n v="1093"/>
    <m/>
    <n v="819"/>
    <n v="819"/>
    <m/>
    <m/>
    <n v="1093"/>
    <n v="1500"/>
    <n v="5"/>
    <n v="209"/>
    <m/>
    <m/>
    <m/>
    <m/>
    <m/>
    <m/>
    <n v="266592"/>
    <n v="178617"/>
    <n v="0"/>
    <n v="297200"/>
    <n v="46000"/>
    <n v="251200"/>
    <n v="0"/>
    <n v="0"/>
    <n v="89850.625589999996"/>
    <n v="-62236.546971921947"/>
    <n v="29814.093161000001"/>
    <n v="197752.34721000001"/>
    <n v="-12267.5080275"/>
    <n v="54003.676175560999"/>
    <n v="0"/>
    <n v="0"/>
    <n v="23818.072207293"/>
    <n v="18960.110526"/>
    <n v="0"/>
    <n v="0"/>
    <n v="312100"/>
    <n v="27600"/>
    <n v="339700"/>
    <n v="0.1430013458950202"/>
    <n v="0.99970000000000003"/>
    <n v="1.0088999999999999"/>
    <n v="0.99650000000000005"/>
    <n v="1.0157"/>
    <n v="1.0074000000000001"/>
    <n v="0.94971499999999998"/>
    <n v="0.97698100822144973"/>
    <n v="312100"/>
    <n v="0"/>
    <n v="312100"/>
    <n v="26200"/>
    <n v="338300"/>
    <n v="0.24243630573248406"/>
    <n v="-0.43043478260869567"/>
    <n v="0.13829071332436069"/>
  </r>
  <r>
    <n v="2025"/>
    <s v="18132324467    "/>
    <n v="-1.6607312068216509"/>
    <n v="0.19"/>
    <m/>
    <s v="6"/>
    <s v="RES"/>
    <x v="0"/>
    <s v="11"/>
    <s v="259"/>
    <s v="MS"/>
    <s v="G"/>
    <s v="GD"/>
    <x v="9"/>
    <n v="97"/>
    <n v="55"/>
    <n v="1927"/>
    <n v="1969"/>
    <n v="1099"/>
    <m/>
    <n v="1099"/>
    <n v="1099"/>
    <m/>
    <m/>
    <n v="1099"/>
    <n v="1500"/>
    <n v="5"/>
    <m/>
    <m/>
    <m/>
    <m/>
    <m/>
    <m/>
    <m/>
    <n v="290963"/>
    <n v="194945"/>
    <n v="0"/>
    <n v="326900"/>
    <n v="56600"/>
    <n v="270300"/>
    <n v="0"/>
    <n v="0"/>
    <n v="89850.625589999996"/>
    <n v="-52569.808201026557"/>
    <n v="44121.038090000002"/>
    <n v="197752.34721000001"/>
    <n v="-12267.5080275"/>
    <n v="54300.128194823003"/>
    <n v="0"/>
    <n v="0"/>
    <n v="31961.002876453"/>
    <n v="18960.110526"/>
    <n v="0"/>
    <n v="0"/>
    <n v="334800"/>
    <n v="37300"/>
    <n v="372100"/>
    <n v="0.13826858366472927"/>
    <n v="0.99970000000000003"/>
    <n v="0.98050000000000004"/>
    <n v="0.99650000000000005"/>
    <n v="1.0157"/>
    <n v="1.0074000000000001"/>
    <n v="0.94971499999999998"/>
    <n v="0.94947951091399707"/>
    <n v="334800"/>
    <n v="0"/>
    <n v="334800"/>
    <n v="35400"/>
    <n v="370200"/>
    <n v="0.2386237513873474"/>
    <n v="-0.37455830388692579"/>
    <n v="0.13245640868767208"/>
  </r>
  <r>
    <n v="2025"/>
    <s v="18132344018    "/>
    <n v="-1.8971199848858813"/>
    <n v="0.15"/>
    <n v="6469"/>
    <s v="6"/>
    <s v="RES"/>
    <x v="0"/>
    <s v="11"/>
    <s v="259"/>
    <s v="BG"/>
    <s v="A+"/>
    <s v="GD"/>
    <x v="9"/>
    <n v="97"/>
    <n v="55"/>
    <n v="1927"/>
    <n v="1969"/>
    <n v="1624"/>
    <m/>
    <n v="648"/>
    <n v="648"/>
    <m/>
    <m/>
    <n v="1624"/>
    <n v="2000"/>
    <n v="8"/>
    <m/>
    <m/>
    <m/>
    <m/>
    <m/>
    <m/>
    <m/>
    <n v="335755"/>
    <n v="224956"/>
    <n v="4598"/>
    <n v="344100"/>
    <n v="48400"/>
    <n v="295700"/>
    <n v="0"/>
    <n v="0"/>
    <n v="89850.625589999996"/>
    <n v="-60052.604136134301"/>
    <n v="29814.093161000001"/>
    <n v="197752.34721000001"/>
    <n v="-12267.5080275"/>
    <n v="80239.679880248004"/>
    <n v="0"/>
    <n v="0"/>
    <n v="18845.068120055999"/>
    <n v="30336.176841600001"/>
    <n v="0"/>
    <n v="4600"/>
    <n v="344700"/>
    <n v="29800"/>
    <n v="379100"/>
    <n v="0.1017146178436501"/>
    <n v="0.99970000000000003"/>
    <n v="1.0088999999999999"/>
    <n v="0.99650000000000005"/>
    <n v="1.0093000000000001"/>
    <n v="1.0074000000000001"/>
    <n v="0.94971499999999998"/>
    <n v="0.97082497942099955"/>
    <n v="344700"/>
    <n v="4400"/>
    <n v="349100"/>
    <n v="28300"/>
    <n v="377400"/>
    <n v="0.18058843422387555"/>
    <n v="-0.41528925619834711"/>
    <n v="9.6774193548387094E-2"/>
  </r>
  <r>
    <n v="2025"/>
    <s v="18132332527    "/>
    <n v="-1.8325814637483102"/>
    <n v="0.16"/>
    <m/>
    <s v="6"/>
    <s v="RES"/>
    <x v="0"/>
    <s v="11"/>
    <s v="259"/>
    <s v="MS"/>
    <s v="G"/>
    <s v="GD"/>
    <x v="9"/>
    <n v="97"/>
    <n v="55"/>
    <n v="1927"/>
    <n v="1969"/>
    <n v="1376"/>
    <m/>
    <n v="1360"/>
    <n v="479"/>
    <n v="881"/>
    <m/>
    <n v="2257"/>
    <n v="2500"/>
    <n v="5"/>
    <n v="322"/>
    <m/>
    <n v="180"/>
    <m/>
    <m/>
    <m/>
    <m/>
    <n v="419922"/>
    <n v="281348"/>
    <n v="0"/>
    <n v="359400"/>
    <n v="50600"/>
    <n v="308800"/>
    <n v="0"/>
    <n v="0"/>
    <n v="89850.625589999996"/>
    <n v="-58009.662049032086"/>
    <n v="44121.038090000002"/>
    <n v="197752.34721000001"/>
    <n v="-12267.5080275"/>
    <n v="67986.329750752004"/>
    <n v="0"/>
    <n v="0"/>
    <n v="39551.377535920001"/>
    <n v="18960.110526"/>
    <n v="5993.1927496800008"/>
    <n v="0"/>
    <n v="362100"/>
    <n v="31800"/>
    <n v="393900"/>
    <n v="9.5993322203672793E-2"/>
    <n v="0.99970000000000003"/>
    <n v="0.98050000000000004"/>
    <n v="0.99650000000000005"/>
    <n v="0.98919999999999997"/>
    <n v="1.0074000000000001"/>
    <n v="0.94971499999999998"/>
    <n v="0.9247072287054503"/>
    <n v="362100"/>
    <n v="0"/>
    <n v="362100"/>
    <n v="30200"/>
    <n v="392300"/>
    <n v="0.17260362694300518"/>
    <n v="-0.40316205533596838"/>
    <n v="9.1541457985531441E-2"/>
  </r>
  <r>
    <n v="2025"/>
    <s v="18132344023    "/>
    <n v="-1.8971199848858813"/>
    <n v="0.15"/>
    <n v="6407"/>
    <s v="6"/>
    <s v="RES"/>
    <x v="0"/>
    <s v="11"/>
    <s v="259"/>
    <s v="BG"/>
    <s v="A"/>
    <s v="GD"/>
    <x v="9"/>
    <n v="97"/>
    <n v="55"/>
    <n v="1927"/>
    <n v="1969"/>
    <n v="1604"/>
    <m/>
    <n v="680"/>
    <n v="680"/>
    <m/>
    <m/>
    <n v="1604"/>
    <n v="2000"/>
    <n v="5"/>
    <m/>
    <m/>
    <m/>
    <m/>
    <m/>
    <m/>
    <m/>
    <n v="289377"/>
    <n v="193883"/>
    <n v="10334"/>
    <n v="332900"/>
    <n v="48400"/>
    <n v="284500"/>
    <n v="0"/>
    <n v="0"/>
    <n v="89850.625589999996"/>
    <n v="-60052.604136134301"/>
    <n v="21557.329055999999"/>
    <n v="197752.34721000001"/>
    <n v="-12267.5080275"/>
    <n v="79251.506482708006"/>
    <n v="0"/>
    <n v="0"/>
    <n v="19775.68876796"/>
    <n v="18960.110526"/>
    <n v="0"/>
    <n v="10300"/>
    <n v="325000"/>
    <n v="29800"/>
    <n v="365100"/>
    <n v="9.6725743466506461E-2"/>
    <n v="0.99970000000000003"/>
    <n v="1.0067999999999999"/>
    <n v="0.99650000000000005"/>
    <n v="1.0093000000000001"/>
    <n v="1.0074000000000001"/>
    <n v="0.94971499999999998"/>
    <n v="0.96880423161964746"/>
    <n v="325000"/>
    <n v="9800"/>
    <n v="334800"/>
    <n v="28300"/>
    <n v="363100"/>
    <n v="0.17680140597539543"/>
    <n v="-0.41528925619834711"/>
    <n v="9.0717933313307297E-2"/>
  </r>
  <r>
    <n v="2025"/>
    <s v="18132344045    "/>
    <n v="-1.8325814637483102"/>
    <n v="0.16"/>
    <m/>
    <s v="6"/>
    <s v="RES"/>
    <x v="0"/>
    <s v="11"/>
    <s v="400"/>
    <s v="BG"/>
    <s v="A"/>
    <s v="AV"/>
    <x v="9"/>
    <n v="97"/>
    <n v="55"/>
    <n v="1927"/>
    <n v="1969"/>
    <n v="1070"/>
    <m/>
    <n v="535"/>
    <n v="0"/>
    <n v="535"/>
    <m/>
    <n v="1605"/>
    <n v="2000"/>
    <n v="5"/>
    <m/>
    <m/>
    <m/>
    <m/>
    <m/>
    <m/>
    <m/>
    <n v="237432"/>
    <n v="154331"/>
    <n v="7465"/>
    <n v="282600"/>
    <n v="50600"/>
    <n v="232000"/>
    <n v="0"/>
    <n v="0"/>
    <n v="89850.625589999996"/>
    <n v="-58009.662049032086"/>
    <n v="21557.329055999999"/>
    <n v="160472.20319"/>
    <n v="-12267.5080275"/>
    <n v="52867.276768390002"/>
    <n v="0"/>
    <n v="0"/>
    <n v="15558.813957144999"/>
    <n v="18960.110526"/>
    <n v="0"/>
    <n v="7500"/>
    <n v="257100"/>
    <n v="31800"/>
    <n v="296400"/>
    <n v="4.8832271762208071E-2"/>
    <n v="0.99970000000000003"/>
    <n v="1.0067999999999999"/>
    <n v="0.99729999999999996"/>
    <n v="1.0093000000000001"/>
    <n v="1.0074000000000001"/>
    <n v="0.94971499999999998"/>
    <n v="0.96958199718441984"/>
    <n v="257100"/>
    <n v="7100"/>
    <n v="264200"/>
    <n v="30200"/>
    <n v="294400"/>
    <n v="0.13879310344827586"/>
    <n v="-0.40316205533596838"/>
    <n v="4.1755130927105449E-2"/>
  </r>
  <r>
    <n v="2025"/>
    <s v="18132313412    "/>
    <n v="-1.3093333199837622"/>
    <n v="0.27"/>
    <n v="11742"/>
    <s v="6"/>
    <s v="RES"/>
    <x v="0"/>
    <s v="11"/>
    <s v="259"/>
    <s v="CC"/>
    <s v="G+"/>
    <s v="GD"/>
    <x v="9"/>
    <n v="97"/>
    <n v="55"/>
    <n v="1927"/>
    <n v="1969"/>
    <n v="1926"/>
    <n v="483"/>
    <n v="775"/>
    <n v="775"/>
    <m/>
    <m/>
    <n v="2409"/>
    <n v="2500"/>
    <n v="12"/>
    <m/>
    <n v="529"/>
    <n v="357"/>
    <m/>
    <m/>
    <m/>
    <m/>
    <n v="607100"/>
    <n v="412828"/>
    <n v="46688"/>
    <n v="524900"/>
    <n v="68900"/>
    <n v="456000"/>
    <n v="0"/>
    <n v="0"/>
    <n v="89850.625589999996"/>
    <n v="-41446.443120973789"/>
    <n v="74268.409664999999"/>
    <n v="197752.34721000001"/>
    <n v="-12267.5080275"/>
    <n v="95161.098183102004"/>
    <n v="21631.842241863"/>
    <n v="0"/>
    <n v="22538.468816425"/>
    <n v="45504.265262400004"/>
    <n v="11886.498953532002"/>
    <n v="46700"/>
    <n v="456500"/>
    <n v="48400"/>
    <n v="551600"/>
    <n v="5.0866831777481428E-2"/>
    <n v="0.99970000000000003"/>
    <n v="0.98380000000000001"/>
    <n v="0.99650000000000005"/>
    <n v="0.98919999999999997"/>
    <n v="1.0074000000000001"/>
    <n v="0.94971499999999998"/>
    <n v="0.92781945089283224"/>
    <n v="456500"/>
    <n v="44300"/>
    <n v="500800"/>
    <n v="46000"/>
    <n v="546800"/>
    <n v="9.8245614035087719E-2"/>
    <n v="-0.33236574746008707"/>
    <n v="4.1722232806248809E-2"/>
  </r>
  <r>
    <n v="2025"/>
    <s v="18132334002    "/>
    <n v="-1.8971199848858813"/>
    <n v="0.15"/>
    <n v="6483"/>
    <s v="6"/>
    <s v="RES"/>
    <x v="0"/>
    <s v="11"/>
    <s v="259"/>
    <s v="BG"/>
    <s v="A"/>
    <s v="AV"/>
    <x v="9"/>
    <n v="97"/>
    <n v="55"/>
    <n v="1927"/>
    <n v="1969"/>
    <n v="1100"/>
    <m/>
    <n v="1100"/>
    <n v="0"/>
    <n v="1100"/>
    <m/>
    <n v="2200"/>
    <n v="2500"/>
    <n v="5"/>
    <m/>
    <m/>
    <m/>
    <m/>
    <m/>
    <m/>
    <m/>
    <n v="273888"/>
    <n v="178027"/>
    <n v="6227"/>
    <n v="305100"/>
    <n v="48400"/>
    <n v="256700"/>
    <n v="0"/>
    <n v="0"/>
    <n v="89850.625589999996"/>
    <n v="-60052.604136134301"/>
    <n v="21557.329055999999"/>
    <n v="160472.20319"/>
    <n v="-12267.5080275"/>
    <n v="54349.5368647"/>
    <n v="0"/>
    <n v="0"/>
    <n v="31990.0847717"/>
    <n v="18960.110526"/>
    <n v="0"/>
    <n v="6200"/>
    <n v="275100"/>
    <n v="29800"/>
    <n v="311100"/>
    <n v="1.966568338249754E-2"/>
    <n v="0.99970000000000003"/>
    <n v="1.0067999999999999"/>
    <n v="0.99729999999999996"/>
    <n v="0.98919999999999997"/>
    <n v="1.0074000000000001"/>
    <n v="0.94971499999999998"/>
    <n v="0.95027297296624202"/>
    <n v="275100"/>
    <n v="5900"/>
    <n v="281000"/>
    <n v="28300"/>
    <n v="309300"/>
    <n v="9.4663030775223991E-2"/>
    <n v="-0.41528925619834711"/>
    <n v="1.376597836774828E-2"/>
  </r>
  <r>
    <n v="2025"/>
    <s v="18132334400    "/>
    <n v="-1.5141277326297755"/>
    <n v="0.22"/>
    <m/>
    <s v="6"/>
    <s v="RES"/>
    <x v="0"/>
    <s v="11"/>
    <s v="259"/>
    <s v="CC"/>
    <s v="G+"/>
    <s v="AV"/>
    <x v="9"/>
    <n v="97"/>
    <n v="55"/>
    <n v="1927"/>
    <n v="1969"/>
    <n v="1634"/>
    <m/>
    <n v="830"/>
    <n v="410"/>
    <n v="420"/>
    <m/>
    <n v="2054"/>
    <n v="2500"/>
    <n v="8"/>
    <m/>
    <m/>
    <m/>
    <m/>
    <m/>
    <m/>
    <m/>
    <n v="486194"/>
    <n v="320888"/>
    <n v="11621"/>
    <n v="421400"/>
    <n v="61700"/>
    <n v="359700"/>
    <n v="0"/>
    <n v="0"/>
    <n v="89850.625589999996"/>
    <n v="-47929.131559187132"/>
    <n v="74268.409664999999"/>
    <n v="160472.20319"/>
    <n v="-12267.5080275"/>
    <n v="80733.766579018004"/>
    <n v="0"/>
    <n v="0"/>
    <n v="24137.973055009999"/>
    <n v="30336.176841600001"/>
    <n v="0"/>
    <n v="11600"/>
    <n v="357700"/>
    <n v="41900"/>
    <n v="411200"/>
    <n v="-2.4205030849549121E-2"/>
    <n v="0.99970000000000003"/>
    <n v="0.98380000000000001"/>
    <n v="0.99729999999999996"/>
    <n v="0.98919999999999997"/>
    <n v="1.0074000000000001"/>
    <n v="0.94971499999999998"/>
    <n v="0.92856431347257551"/>
    <n v="357700"/>
    <n v="11000"/>
    <n v="368700"/>
    <n v="39800"/>
    <n v="408500"/>
    <n v="2.5020850708924104E-2"/>
    <n v="-0.35494327390599678"/>
    <n v="-3.0612244897959183E-2"/>
  </r>
  <r>
    <n v="2025"/>
    <s v="18132331016    "/>
    <n v="-1.8971199848858813"/>
    <n v="0.15"/>
    <n v="6687"/>
    <s v="6"/>
    <s v="RES"/>
    <x v="0"/>
    <s v="11"/>
    <s v="259"/>
    <s v="TD"/>
    <s v="A+"/>
    <s v="GD"/>
    <x v="9"/>
    <n v="98"/>
    <n v="56"/>
    <n v="1926"/>
    <n v="1968"/>
    <n v="1614"/>
    <m/>
    <n v="886"/>
    <n v="886"/>
    <m/>
    <m/>
    <n v="1614"/>
    <n v="2000"/>
    <n v="8"/>
    <m/>
    <m/>
    <m/>
    <m/>
    <m/>
    <m/>
    <m/>
    <n v="327005"/>
    <n v="215823"/>
    <n v="4143"/>
    <n v="344600"/>
    <n v="48400"/>
    <n v="296200"/>
    <n v="0"/>
    <n v="0"/>
    <n v="89850.625589999996"/>
    <n v="-60052.604136134301"/>
    <n v="29814.093161000001"/>
    <n v="197752.34721000001"/>
    <n v="-12490.553628"/>
    <n v="79745.593181478005"/>
    <n v="0"/>
    <n v="0"/>
    <n v="25766.559188841999"/>
    <n v="30336.176841600001"/>
    <n v="0"/>
    <n v="4100"/>
    <n v="350900"/>
    <n v="29800"/>
    <n v="384800"/>
    <n v="0.11665699361578642"/>
    <n v="0.99970000000000003"/>
    <n v="1.0088999999999999"/>
    <n v="0.99650000000000005"/>
    <n v="1.0093000000000001"/>
    <n v="1.0074000000000001"/>
    <n v="0.94971499999999998"/>
    <n v="0.97082497942099955"/>
    <n v="350900"/>
    <n v="3900"/>
    <n v="354800"/>
    <n v="28300"/>
    <n v="383100"/>
    <n v="0.19783929777177583"/>
    <n v="-0.41528925619834711"/>
    <n v="0.11172373766686013"/>
  </r>
  <r>
    <n v="2025"/>
    <s v="18132344011    "/>
    <n v="-1.8971199848858813"/>
    <n v="0.15"/>
    <n v="6382"/>
    <s v="6"/>
    <s v="RES"/>
    <x v="0"/>
    <s v="11"/>
    <s v="259"/>
    <s v="BG"/>
    <s v="A"/>
    <s v="FR"/>
    <x v="9"/>
    <n v="98"/>
    <n v="56"/>
    <n v="1926"/>
    <n v="1968"/>
    <n v="1004"/>
    <m/>
    <n v="753"/>
    <n v="753"/>
    <m/>
    <m/>
    <n v="1004"/>
    <n v="1500"/>
    <n v="5"/>
    <m/>
    <m/>
    <n v="70"/>
    <m/>
    <m/>
    <m/>
    <m/>
    <n v="208046"/>
    <n v="128989"/>
    <n v="4598"/>
    <n v="242000"/>
    <n v="48400"/>
    <n v="193600"/>
    <n v="0"/>
    <n v="0"/>
    <n v="89850.625589999996"/>
    <n v="-60052.604136134301"/>
    <n v="21557.329055999999"/>
    <n v="133714.53821"/>
    <n v="-12490.553628"/>
    <n v="49606.304556508003"/>
    <n v="0"/>
    <n v="0"/>
    <n v="21898.667120990998"/>
    <n v="18960.110526"/>
    <n v="2330.6860693200001"/>
    <n v="4600"/>
    <n v="235600"/>
    <n v="29800"/>
    <n v="270000"/>
    <n v="0.11570247933884298"/>
    <n v="0.99970000000000003"/>
    <n v="1.0067999999999999"/>
    <n v="0.99329999999999996"/>
    <n v="1.0157"/>
    <n v="1.0074000000000001"/>
    <n v="0.94971499999999998"/>
    <n v="0.971816657207489"/>
    <n v="235600"/>
    <n v="4400"/>
    <n v="240000"/>
    <n v="28300"/>
    <n v="268300"/>
    <n v="0.23966942148760331"/>
    <n v="-0.41528925619834711"/>
    <n v="0.10867768595041322"/>
  </r>
  <r>
    <n v="2025"/>
    <s v="18132331483    "/>
    <n v="-1.5141277326297755"/>
    <n v="0.22"/>
    <m/>
    <s v="6"/>
    <s v="RES"/>
    <x v="0"/>
    <s v="11"/>
    <s v="259"/>
    <s v="CL"/>
    <s v="G"/>
    <s v="GD"/>
    <x v="9"/>
    <n v="98"/>
    <n v="56"/>
    <n v="1926"/>
    <n v="1968"/>
    <n v="1407"/>
    <n v="780"/>
    <n v="600"/>
    <n v="600"/>
    <m/>
    <m/>
    <n v="2187"/>
    <n v="2500"/>
    <n v="11"/>
    <m/>
    <m/>
    <n v="255"/>
    <m/>
    <m/>
    <m/>
    <m/>
    <n v="494932"/>
    <n v="326655"/>
    <n v="10659"/>
    <n v="409000"/>
    <n v="61700"/>
    <n v="347300"/>
    <n v="0"/>
    <n v="0"/>
    <n v="89850.625589999996"/>
    <n v="-47929.131559187132"/>
    <n v="44121.038090000002"/>
    <n v="197752.34721000001"/>
    <n v="-12490.553628"/>
    <n v="69517.998516938998"/>
    <n v="34933.40983158"/>
    <n v="0"/>
    <n v="17449.1371482"/>
    <n v="41712.243157199999"/>
    <n v="8490.3563953800003"/>
    <n v="10700"/>
    <n v="401500"/>
    <n v="41900"/>
    <n v="454100"/>
    <n v="0.11026894865525673"/>
    <n v="0.99970000000000003"/>
    <n v="0.98050000000000004"/>
    <n v="0.99650000000000005"/>
    <n v="0.98919999999999997"/>
    <n v="1.0074000000000001"/>
    <n v="0.94971499999999998"/>
    <n v="0.9247072287054503"/>
    <n v="401500"/>
    <n v="10100"/>
    <n v="411600"/>
    <n v="39800"/>
    <n v="451400"/>
    <n v="0.18514252807371148"/>
    <n v="-0.35494327390599678"/>
    <n v="0.10366748166259168"/>
  </r>
  <r>
    <n v="2025"/>
    <s v="18132344014    "/>
    <n v="-1.8971199848858813"/>
    <n v="0.15"/>
    <n v="6638"/>
    <s v="6"/>
    <s v="RES"/>
    <x v="0"/>
    <s v="11"/>
    <s v="259"/>
    <s v="BG"/>
    <s v="A"/>
    <s v="GD"/>
    <x v="9"/>
    <n v="98"/>
    <n v="56"/>
    <n v="1926"/>
    <n v="1968"/>
    <n v="1196"/>
    <m/>
    <n v="1196"/>
    <n v="0"/>
    <n v="1196"/>
    <m/>
    <n v="2392"/>
    <n v="2500"/>
    <n v="5"/>
    <m/>
    <m/>
    <m/>
    <m/>
    <m/>
    <m/>
    <m/>
    <n v="294475"/>
    <n v="194354"/>
    <n v="6227"/>
    <n v="339800"/>
    <n v="48400"/>
    <n v="291400"/>
    <n v="0"/>
    <n v="0"/>
    <n v="89850.625589999996"/>
    <n v="-60052.604136134301"/>
    <n v="21557.329055999999"/>
    <n v="197752.34721000001"/>
    <n v="-12490.553628"/>
    <n v="59092.769172892004"/>
    <n v="0"/>
    <n v="0"/>
    <n v="34781.946715411999"/>
    <n v="18960.110526"/>
    <n v="0"/>
    <n v="6200"/>
    <n v="319700"/>
    <n v="29800"/>
    <n v="355700"/>
    <n v="4.6792230723955268E-2"/>
    <n v="0.99970000000000003"/>
    <n v="1.0067999999999999"/>
    <n v="0.99650000000000005"/>
    <n v="0.98919999999999997"/>
    <n v="1.0074000000000001"/>
    <n v="0.94971499999999998"/>
    <n v="0.94951069644125163"/>
    <n v="319700"/>
    <n v="5900"/>
    <n v="325600"/>
    <n v="28300"/>
    <n v="353900"/>
    <n v="0.11736444749485243"/>
    <n v="-0.41528925619834711"/>
    <n v="4.1494997057092406E-2"/>
  </r>
  <r>
    <n v="2025"/>
    <s v="18132332412    "/>
    <n v="-1.6094379124341003"/>
    <n v="0.2"/>
    <n v="8552"/>
    <s v="6"/>
    <s v="RES"/>
    <x v="0"/>
    <s v="11"/>
    <s v="259"/>
    <s v="BG"/>
    <s v="A"/>
    <s v="AV"/>
    <x v="9"/>
    <n v="98"/>
    <n v="56"/>
    <n v="1926"/>
    <n v="1968"/>
    <n v="1232"/>
    <m/>
    <n v="784"/>
    <n v="0"/>
    <n v="784"/>
    <m/>
    <n v="2016"/>
    <n v="2500"/>
    <n v="6"/>
    <m/>
    <m/>
    <n v="144"/>
    <m/>
    <m/>
    <m/>
    <m/>
    <n v="280976"/>
    <n v="179825"/>
    <n v="8098"/>
    <n v="316700"/>
    <n v="58400"/>
    <n v="258300"/>
    <n v="0"/>
    <n v="0"/>
    <n v="89850.625589999996"/>
    <n v="-50946.13867709865"/>
    <n v="21557.329055999999"/>
    <n v="160472.20319"/>
    <n v="-12490.553628"/>
    <n v="60871.481288464005"/>
    <n v="0"/>
    <n v="0"/>
    <n v="22800.205873647999"/>
    <n v="22752.132631200002"/>
    <n v="4794.5541997440005"/>
    <n v="8100"/>
    <n v="280800"/>
    <n v="38900"/>
    <n v="327800"/>
    <n v="3.5048942216608779E-2"/>
    <n v="0.99970000000000003"/>
    <n v="1.0067999999999999"/>
    <n v="0.99729999999999996"/>
    <n v="0.98919999999999997"/>
    <n v="1.0074000000000001"/>
    <n v="0.94971499999999998"/>
    <n v="0.95027297296624202"/>
    <n v="280800"/>
    <n v="7700"/>
    <n v="288500"/>
    <n v="36900"/>
    <n v="325400"/>
    <n v="0.11691831204026326"/>
    <n v="-0.36815068493150682"/>
    <n v="2.7470792548152826E-2"/>
  </r>
  <r>
    <n v="2025"/>
    <s v="18132331505    "/>
    <n v="-1.4271163556401458"/>
    <n v="0.24"/>
    <n v="10650"/>
    <s v="6"/>
    <s v="RES"/>
    <x v="0"/>
    <s v="11"/>
    <s v="259"/>
    <s v="CU"/>
    <s v="V"/>
    <s v="GD"/>
    <x v="9"/>
    <n v="98"/>
    <n v="56"/>
    <n v="1926"/>
    <n v="1968"/>
    <n v="1289"/>
    <n v="852"/>
    <n v="1289"/>
    <n v="0"/>
    <n v="1289"/>
    <m/>
    <n v="3430"/>
    <n v="3500"/>
    <n v="13"/>
    <m/>
    <m/>
    <n v="300"/>
    <m/>
    <m/>
    <m/>
    <m/>
    <n v="695457"/>
    <n v="465956"/>
    <n v="14022"/>
    <n v="600800"/>
    <n v="64800"/>
    <n v="536000"/>
    <n v="0"/>
    <n v="0"/>
    <n v="89850.625589999996"/>
    <n v="-45174.819855485119"/>
    <n v="163885.03753"/>
    <n v="197752.34721000001"/>
    <n v="-12490.553628"/>
    <n v="63687.775471453002"/>
    <n v="38158.032277571998"/>
    <n v="0"/>
    <n v="37486.562973382999"/>
    <n v="49296.287367600002"/>
    <n v="9988.6545828000017"/>
    <n v="14000"/>
    <n v="547800"/>
    <n v="44700"/>
    <n v="606500"/>
    <n v="9.4873501997336882E-3"/>
    <n v="0.99970000000000003"/>
    <n v="1"/>
    <n v="0.99650000000000005"/>
    <n v="1.0126999999999999"/>
    <n v="1.0074000000000001"/>
    <n v="0.94971499999999998"/>
    <n v="0.96550239837569496"/>
    <n v="547800"/>
    <n v="13300"/>
    <n v="561100"/>
    <n v="42400"/>
    <n v="603500"/>
    <n v="4.6828358208955222E-2"/>
    <n v="-0.34567901234567899"/>
    <n v="4.4940079893475366E-3"/>
  </r>
  <r>
    <n v="2025"/>
    <s v="18132344474    "/>
    <n v="-1.8971199848858813"/>
    <n v="0.15"/>
    <m/>
    <s v="2"/>
    <s v="COM"/>
    <x v="0"/>
    <s v="12"/>
    <s v="259"/>
    <s v="CO"/>
    <s v="F+"/>
    <s v="AV"/>
    <x v="9"/>
    <n v="99"/>
    <n v="56"/>
    <n v="1925"/>
    <n v="1968"/>
    <n v="1080"/>
    <n v="644"/>
    <n v="700"/>
    <n v="0"/>
    <n v="700"/>
    <m/>
    <n v="2424"/>
    <n v="2500"/>
    <n v="11"/>
    <m/>
    <m/>
    <n v="196"/>
    <m/>
    <m/>
    <n v="130"/>
    <m/>
    <n v="246448"/>
    <n v="204552"/>
    <n v="10630"/>
    <n v="254150"/>
    <n v="55650"/>
    <n v="198500"/>
    <n v="0"/>
    <n v="0"/>
    <n v="89850.625589999996"/>
    <n v="-60052.604136134301"/>
    <n v="0"/>
    <n v="160472.20319"/>
    <n v="-12490.553628"/>
    <n v="53361.363467160001"/>
    <n v="28842.456322483999"/>
    <n v="0"/>
    <n v="20357.326672899999"/>
    <n v="41712.243157199999"/>
    <n v="6525.9209940960009"/>
    <n v="10600"/>
    <n v="298800"/>
    <n v="29800"/>
    <n v="339200"/>
    <n v="0.33464489474719655"/>
    <n v="0.99970000000000003"/>
    <n v="0.99180000000000001"/>
    <n v="0.99729999999999996"/>
    <n v="0.98919999999999997"/>
    <n v="1.0074000000000001"/>
    <n v="0.94971499999999998"/>
    <n v="0.93611515155732916"/>
    <n v="298800"/>
    <n v="10100"/>
    <n v="308900"/>
    <n v="28300"/>
    <n v="337200"/>
    <n v="0.55617128463476073"/>
    <n v="-0.49146451033243488"/>
    <n v="0.32677552626401729"/>
  </r>
  <r>
    <n v="2025"/>
    <s v="18132333428    "/>
    <n v="-1.3470736479666092"/>
    <n v="0.26"/>
    <m/>
    <s v="6"/>
    <s v="RES"/>
    <x v="0"/>
    <s v="11"/>
    <s v="259"/>
    <s v="BG"/>
    <s v="G"/>
    <s v="VG"/>
    <x v="9"/>
    <n v="99"/>
    <n v="41"/>
    <n v="1925"/>
    <n v="1983"/>
    <n v="1570"/>
    <n v="800"/>
    <n v="960"/>
    <n v="960"/>
    <n v="0"/>
    <m/>
    <n v="2370"/>
    <n v="2500"/>
    <n v="8"/>
    <m/>
    <m/>
    <m/>
    <m/>
    <m/>
    <m/>
    <m/>
    <n v="505951"/>
    <n v="414880"/>
    <n v="5441"/>
    <n v="450900"/>
    <n v="67600"/>
    <n v="383300"/>
    <n v="0"/>
    <n v="0"/>
    <n v="89850.625589999996"/>
    <n v="-42641.098701210125"/>
    <n v="44121.038090000002"/>
    <n v="284810.60806"/>
    <n v="-9144.8696204999997"/>
    <n v="77571.611706890006"/>
    <n v="35829.138288800001"/>
    <n v="0"/>
    <n v="27918.61943712"/>
    <n v="30336.176841600001"/>
    <n v="0"/>
    <n v="5400"/>
    <n v="491400"/>
    <n v="47200"/>
    <n v="544000"/>
    <n v="0.20647593701485917"/>
    <n v="0.99970000000000003"/>
    <n v="0.98050000000000004"/>
    <n v="1.0158"/>
    <n v="0.98919999999999997"/>
    <n v="1.0074000000000001"/>
    <n v="0.94971499999999998"/>
    <n v="0.94261676158454233"/>
    <n v="491400"/>
    <n v="5200"/>
    <n v="496600"/>
    <n v="44800"/>
    <n v="541400"/>
    <n v="0.29559092094964778"/>
    <n v="-0.33727810650887574"/>
    <n v="0.20070969172765579"/>
  </r>
  <r>
    <n v="2025"/>
    <s v="18132332568    "/>
    <n v="-1.8325814637483102"/>
    <n v="0.16"/>
    <m/>
    <s v="6"/>
    <s v="RES"/>
    <x v="0"/>
    <s v="11"/>
    <s v="259"/>
    <s v="BG"/>
    <s v="G"/>
    <s v="VG"/>
    <x v="9"/>
    <n v="99"/>
    <n v="56"/>
    <n v="1925"/>
    <n v="1968"/>
    <n v="1152"/>
    <m/>
    <n v="1152"/>
    <n v="100"/>
    <n v="1052"/>
    <m/>
    <n v="2204"/>
    <n v="2500"/>
    <n v="8"/>
    <m/>
    <m/>
    <m/>
    <m/>
    <m/>
    <m/>
    <m/>
    <n v="379282"/>
    <n v="257912"/>
    <n v="7379"/>
    <n v="396600"/>
    <n v="50600"/>
    <n v="346000"/>
    <n v="0"/>
    <n v="0"/>
    <n v="89850.625589999996"/>
    <n v="-58009.662049032086"/>
    <n v="44121.038090000002"/>
    <n v="284810.60806"/>
    <n v="-12490.553628"/>
    <n v="56918.787698304004"/>
    <n v="0"/>
    <n v="0"/>
    <n v="33502.343324543996"/>
    <n v="30336.176841600001"/>
    <n v="0"/>
    <n v="7400"/>
    <n v="437200"/>
    <n v="31800"/>
    <n v="476400"/>
    <n v="0.20121028744326777"/>
    <n v="0.99970000000000003"/>
    <n v="0.98050000000000004"/>
    <n v="1.0158"/>
    <n v="0.98919999999999997"/>
    <n v="1.0074000000000001"/>
    <n v="0.94971499999999998"/>
    <n v="0.94261676158454233"/>
    <n v="437200"/>
    <n v="7000"/>
    <n v="444200"/>
    <n v="30200"/>
    <n v="474400"/>
    <n v="0.2838150289017341"/>
    <n v="-0.40316205533596838"/>
    <n v="0.19616742309631871"/>
  </r>
  <r>
    <n v="2025"/>
    <s v="18132331502    "/>
    <n v="-1.4696759700589417"/>
    <n v="0.23"/>
    <m/>
    <s v="6"/>
    <s v="RES"/>
    <x v="0"/>
    <s v="11"/>
    <s v="259"/>
    <s v="MS"/>
    <s v="G"/>
    <s v="VG"/>
    <x v="9"/>
    <n v="99"/>
    <n v="56"/>
    <n v="1925"/>
    <n v="1968"/>
    <n v="1818"/>
    <m/>
    <n v="346"/>
    <n v="0"/>
    <n v="346"/>
    <m/>
    <n v="2164"/>
    <n v="2500"/>
    <n v="8"/>
    <m/>
    <m/>
    <m/>
    <m/>
    <m/>
    <m/>
    <m/>
    <n v="451370"/>
    <n v="306932"/>
    <n v="6227"/>
    <n v="414700"/>
    <n v="63300"/>
    <n v="351400"/>
    <n v="0"/>
    <n v="0"/>
    <n v="89850.625589999996"/>
    <n v="-46522.028095997222"/>
    <n v="44121.038090000002"/>
    <n v="284810.60806"/>
    <n v="-12490.553628"/>
    <n v="89824.961836386006"/>
    <n v="0"/>
    <n v="0"/>
    <n v="10062.335755462"/>
    <n v="30336.176841600001"/>
    <n v="0"/>
    <n v="6200"/>
    <n v="446700"/>
    <n v="43300"/>
    <n v="496200"/>
    <n v="0.19652761032071378"/>
    <n v="0.99970000000000003"/>
    <n v="0.98050000000000004"/>
    <n v="1.0158"/>
    <n v="0.98919999999999997"/>
    <n v="1.0074000000000001"/>
    <n v="0.94971499999999998"/>
    <n v="0.94261676158454233"/>
    <n v="446700"/>
    <n v="5900"/>
    <n v="452600"/>
    <n v="41100"/>
    <n v="493700"/>
    <n v="0.28799089356858282"/>
    <n v="-0.35071090047393366"/>
    <n v="0.19049915601639739"/>
  </r>
  <r>
    <n v="2025"/>
    <s v="18132342416    "/>
    <n v="-1.9661128563728327"/>
    <n v="0.14000000000000001"/>
    <n v="5892"/>
    <s v="6"/>
    <s v="RES"/>
    <x v="0"/>
    <s v="11"/>
    <s v="259"/>
    <s v="BG"/>
    <s v="G"/>
    <s v="VG"/>
    <x v="9"/>
    <n v="99"/>
    <n v="56"/>
    <n v="1925"/>
    <n v="1968"/>
    <n v="1439"/>
    <n v="575"/>
    <n v="1192"/>
    <n v="192"/>
    <n v="1000"/>
    <m/>
    <n v="3014"/>
    <n v="3500"/>
    <n v="9"/>
    <m/>
    <m/>
    <m/>
    <m/>
    <m/>
    <m/>
    <m/>
    <n v="501214"/>
    <n v="340826"/>
    <n v="8098"/>
    <n v="438000"/>
    <n v="46000"/>
    <n v="392000"/>
    <n v="0"/>
    <n v="0"/>
    <n v="89850.625589999996"/>
    <n v="-62236.546971921947"/>
    <n v="44121.038090000002"/>
    <n v="284810.60806"/>
    <n v="-12490.553628"/>
    <n v="71099.075953003005"/>
    <n v="25752.193145074998"/>
    <n v="0"/>
    <n v="34665.619134424"/>
    <n v="34128.198946800003"/>
    <n v="0"/>
    <n v="8100"/>
    <n v="482100"/>
    <n v="27600"/>
    <n v="517800"/>
    <n v="0.18219178082191781"/>
    <n v="0.99970000000000003"/>
    <n v="0.98050000000000004"/>
    <n v="1.0158"/>
    <n v="1.0126999999999999"/>
    <n v="1.0074000000000001"/>
    <n v="0.94971499999999998"/>
    <n v="0.96501010357527905"/>
    <n v="482100"/>
    <n v="7700"/>
    <n v="489800"/>
    <n v="26200"/>
    <n v="516000"/>
    <n v="0.24948979591836734"/>
    <n v="-0.43043478260869567"/>
    <n v="0.17808219178082191"/>
  </r>
  <r>
    <n v="2025"/>
    <s v="18132341010    "/>
    <n v="-1.0788096613719298"/>
    <n v="0.34"/>
    <m/>
    <s v="6"/>
    <s v="RES"/>
    <x v="0"/>
    <s v="11"/>
    <s v="259"/>
    <s v="CO"/>
    <s v="G+"/>
    <s v="VG"/>
    <x v="9"/>
    <n v="99"/>
    <n v="56"/>
    <n v="1925"/>
    <n v="1968"/>
    <n v="1918"/>
    <n v="568"/>
    <n v="540"/>
    <n v="540"/>
    <m/>
    <m/>
    <n v="2486"/>
    <n v="2500"/>
    <n v="10"/>
    <n v="396"/>
    <m/>
    <n v="1005"/>
    <m/>
    <m/>
    <m/>
    <m/>
    <n v="630663"/>
    <n v="435157"/>
    <n v="13228"/>
    <n v="532400"/>
    <n v="76900"/>
    <n v="455500"/>
    <n v="0"/>
    <n v="0"/>
    <n v="89850.625589999996"/>
    <n v="-34149.305288406773"/>
    <n v="74268.409664999999"/>
    <n v="284810.60806"/>
    <n v="-12490.553628"/>
    <n v="94765.828824085998"/>
    <n v="25438.688185047999"/>
    <n v="0"/>
    <n v="15704.223433379999"/>
    <n v="37920.221052000001"/>
    <n v="33461.992852380004"/>
    <n v="13200"/>
    <n v="553900"/>
    <n v="55700"/>
    <n v="622800"/>
    <n v="0.16979714500375656"/>
    <n v="0.99970000000000003"/>
    <n v="0.98380000000000001"/>
    <n v="1.0158"/>
    <n v="0.98919999999999997"/>
    <n v="1.0074000000000001"/>
    <n v="0.94971499999999998"/>
    <n v="0.94578926062914082"/>
    <n v="553900"/>
    <n v="12600"/>
    <n v="566500"/>
    <n v="52900"/>
    <n v="619400"/>
    <n v="0.24368825466520308"/>
    <n v="-0.31209362808842656"/>
    <n v="0.16341096919609316"/>
  </r>
  <r>
    <n v="2025"/>
    <s v="18132334522    "/>
    <n v="-1.8971199848858813"/>
    <n v="0.15"/>
    <m/>
    <s v="6"/>
    <s v="RES"/>
    <x v="0"/>
    <s v="11"/>
    <s v="259"/>
    <s v="BG"/>
    <s v="A"/>
    <s v="FR"/>
    <x v="9"/>
    <n v="99"/>
    <n v="56"/>
    <n v="1925"/>
    <n v="1968"/>
    <n v="1164"/>
    <m/>
    <n v="864"/>
    <n v="864"/>
    <m/>
    <m/>
    <n v="1164"/>
    <n v="1500"/>
    <n v="5"/>
    <m/>
    <n v="288"/>
    <n v="276"/>
    <m/>
    <m/>
    <m/>
    <m/>
    <n v="246795"/>
    <n v="153013"/>
    <n v="0"/>
    <n v="243300"/>
    <n v="48400"/>
    <n v="194900"/>
    <n v="0"/>
    <n v="0"/>
    <n v="89850.625589999996"/>
    <n v="-60052.604136134301"/>
    <n v="21557.329055999999"/>
    <n v="133714.53821"/>
    <n v="-12490.553628"/>
    <n v="57511.691736828005"/>
    <n v="0"/>
    <n v="0"/>
    <n v="25126.757493408"/>
    <n v="18960.110526"/>
    <n v="9189.5622161760002"/>
    <n v="0"/>
    <n v="253600"/>
    <n v="29800"/>
    <n v="283400"/>
    <n v="0.1648170982326346"/>
    <n v="0.99970000000000003"/>
    <n v="1.0067999999999999"/>
    <n v="0.99329999999999996"/>
    <n v="1.0157"/>
    <n v="1.0074000000000001"/>
    <n v="0.94971499999999998"/>
    <n v="0.971816657207489"/>
    <n v="253600"/>
    <n v="0"/>
    <n v="253600"/>
    <n v="28300"/>
    <n v="281900"/>
    <n v="0.30118009235505389"/>
    <n v="-0.41528925619834711"/>
    <n v="0.1586518701191944"/>
  </r>
  <r>
    <n v="2025"/>
    <s v="18132331039    "/>
    <n v="-1.6607312068216509"/>
    <n v="0.19"/>
    <m/>
    <s v="6"/>
    <s v="RES"/>
    <x v="0"/>
    <s v="11"/>
    <s v="259"/>
    <s v="TU"/>
    <s v="G"/>
    <s v="VG"/>
    <x v="9"/>
    <n v="99"/>
    <n v="56"/>
    <n v="1925"/>
    <n v="1968"/>
    <n v="1572"/>
    <n v="390"/>
    <n v="1180"/>
    <n v="0"/>
    <n v="1180"/>
    <m/>
    <n v="3142"/>
    <n v="3500"/>
    <n v="8"/>
    <m/>
    <m/>
    <m/>
    <m/>
    <m/>
    <m/>
    <m/>
    <n v="546999"/>
    <n v="371959"/>
    <n v="6987"/>
    <n v="447500"/>
    <n v="56600"/>
    <n v="390900"/>
    <n v="0"/>
    <n v="0"/>
    <n v="89850.625589999996"/>
    <n v="-52569.808201026557"/>
    <n v="44121.038090000002"/>
    <n v="284810.60806"/>
    <n v="-12490.553628"/>
    <n v="77670.429046644"/>
    <n v="17466.70491579"/>
    <n v="0"/>
    <n v="34316.636391460001"/>
    <n v="30336.176841600001"/>
    <n v="0"/>
    <n v="7000"/>
    <n v="476200"/>
    <n v="37300"/>
    <n v="520500"/>
    <n v="0.16312849162011173"/>
    <n v="0.99970000000000003"/>
    <n v="0.98050000000000004"/>
    <n v="1.0158"/>
    <n v="1.0126999999999999"/>
    <n v="1.0074000000000001"/>
    <n v="0.94971499999999998"/>
    <n v="0.96501010357527905"/>
    <n v="476200"/>
    <n v="6600"/>
    <n v="482800"/>
    <n v="35400"/>
    <n v="518200"/>
    <n v="0.23509849066257354"/>
    <n v="-0.37455830388692579"/>
    <n v="0.15798882681564247"/>
  </r>
  <r>
    <n v="2025"/>
    <s v="18132332429    "/>
    <n v="-2.0402208285265546"/>
    <n v="0.13"/>
    <m/>
    <s v="6"/>
    <s v="RES"/>
    <x v="0"/>
    <s v="11"/>
    <s v="259"/>
    <s v="BG"/>
    <s v="A+"/>
    <s v="GD"/>
    <x v="9"/>
    <n v="99"/>
    <n v="56"/>
    <n v="1925"/>
    <n v="1968"/>
    <n v="1104"/>
    <m/>
    <n v="600"/>
    <n v="0"/>
    <n v="600"/>
    <m/>
    <n v="1704"/>
    <n v="2000"/>
    <n v="5"/>
    <m/>
    <m/>
    <n v="618"/>
    <m/>
    <m/>
    <m/>
    <m/>
    <n v="288562"/>
    <n v="190451"/>
    <n v="4945"/>
    <n v="307500"/>
    <n v="43400"/>
    <n v="264100"/>
    <n v="0"/>
    <n v="0"/>
    <n v="89850.625589999996"/>
    <n v="-64582.406353792743"/>
    <n v="29814.093161000001"/>
    <n v="197752.34721000001"/>
    <n v="-12490.553628"/>
    <n v="54547.171544208002"/>
    <n v="0"/>
    <n v="0"/>
    <n v="17449.1371482"/>
    <n v="18960.110526"/>
    <n v="20576.628440568002"/>
    <n v="4900"/>
    <n v="326600"/>
    <n v="25300"/>
    <n v="356800"/>
    <n v="0.16032520325203253"/>
    <n v="0.99970000000000003"/>
    <n v="1.0088999999999999"/>
    <n v="0.99650000000000005"/>
    <n v="1.0093000000000001"/>
    <n v="1.0074000000000001"/>
    <n v="0.94971499999999998"/>
    <n v="0.97082497942099955"/>
    <n v="326600"/>
    <n v="4700"/>
    <n v="331300"/>
    <n v="24000"/>
    <n v="355300"/>
    <n v="0.25444907232109049"/>
    <n v="-0.44700460829493088"/>
    <n v="0.15544715447154472"/>
  </r>
  <r>
    <n v="2025"/>
    <s v="18132331503    "/>
    <n v="-1.2729656758128873"/>
    <n v="0.28000000000000003"/>
    <m/>
    <s v="6"/>
    <s v="RES"/>
    <x v="0"/>
    <s v="11"/>
    <s v="259"/>
    <s v="BG"/>
    <s v="G"/>
    <s v="VG"/>
    <x v="9"/>
    <n v="99"/>
    <n v="56"/>
    <n v="1925"/>
    <n v="1968"/>
    <n v="2064"/>
    <m/>
    <n v="1043"/>
    <n v="0"/>
    <n v="1043"/>
    <m/>
    <n v="3107"/>
    <n v="3500"/>
    <n v="8"/>
    <m/>
    <m/>
    <m/>
    <m/>
    <m/>
    <m/>
    <m/>
    <n v="532162"/>
    <n v="361870"/>
    <n v="9773"/>
    <n v="466900"/>
    <n v="70100"/>
    <n v="396800"/>
    <n v="0"/>
    <n v="0"/>
    <n v="89850.625589999996"/>
    <n v="-40295.239319339329"/>
    <n v="44121.038090000002"/>
    <n v="284810.60806"/>
    <n v="-12490.553628"/>
    <n v="101979.494626128"/>
    <n v="0"/>
    <n v="0"/>
    <n v="30332.416742620997"/>
    <n v="30336.176841600001"/>
    <n v="0"/>
    <n v="9800"/>
    <n v="479100"/>
    <n v="49600"/>
    <n v="538500"/>
    <n v="0.153351895480831"/>
    <n v="0.99970000000000003"/>
    <n v="0.98050000000000004"/>
    <n v="1.0158"/>
    <n v="1.0126999999999999"/>
    <n v="1.0074000000000001"/>
    <n v="0.94971499999999998"/>
    <n v="0.96501010357527905"/>
    <n v="479100"/>
    <n v="9300"/>
    <n v="488400"/>
    <n v="47100"/>
    <n v="535500"/>
    <n v="0.23084677419354838"/>
    <n v="-0.32810271041369471"/>
    <n v="0.14692653673163419"/>
  </r>
  <r>
    <n v="2025"/>
    <s v="18132324484    "/>
    <n v="-1.8325814637483102"/>
    <n v="0.16"/>
    <m/>
    <s v="6"/>
    <s v="RES"/>
    <x v="0"/>
    <s v="11"/>
    <s v="259"/>
    <s v="TD"/>
    <s v="A"/>
    <s v="GD"/>
    <x v="9"/>
    <n v="99"/>
    <n v="56"/>
    <n v="1925"/>
    <n v="1968"/>
    <n v="1056"/>
    <m/>
    <n v="1056"/>
    <n v="956"/>
    <n v="100"/>
    <m/>
    <n v="1156"/>
    <n v="1500"/>
    <n v="5"/>
    <m/>
    <m/>
    <n v="101"/>
    <m/>
    <m/>
    <m/>
    <m/>
    <n v="216310"/>
    <n v="142765"/>
    <n v="5261"/>
    <n v="303600"/>
    <n v="50600"/>
    <n v="253000"/>
    <n v="0"/>
    <n v="0"/>
    <n v="89850.625589999996"/>
    <n v="-58009.662049032086"/>
    <n v="21557.329055999999"/>
    <n v="197752.34721000001"/>
    <n v="-12490.553628"/>
    <n v="52175.555390112"/>
    <n v="0"/>
    <n v="0"/>
    <n v="30710.481380832"/>
    <n v="18960.110526"/>
    <n v="3362.8470428760002"/>
    <n v="5300"/>
    <n v="312000"/>
    <n v="31800"/>
    <n v="349100"/>
    <n v="0.14986824769433466"/>
    <n v="0.99970000000000003"/>
    <n v="1.0067999999999999"/>
    <n v="0.99650000000000005"/>
    <n v="1.0157"/>
    <n v="1.0074000000000001"/>
    <n v="0.94971499999999998"/>
    <n v="0.97494744680082823"/>
    <n v="312000"/>
    <n v="5000"/>
    <n v="317000"/>
    <n v="30200"/>
    <n v="347200"/>
    <n v="0.25296442687747034"/>
    <n v="-0.40316205533596838"/>
    <n v="0.14361001317523056"/>
  </r>
  <r>
    <n v="2025"/>
    <s v="18132342431    "/>
    <n v="-1.9661128563728327"/>
    <n v="0.14000000000000001"/>
    <m/>
    <s v="6"/>
    <s v="RES"/>
    <x v="0"/>
    <s v="11"/>
    <s v="259"/>
    <s v="TD"/>
    <s v="A"/>
    <s v="GD"/>
    <x v="9"/>
    <n v="99"/>
    <n v="56"/>
    <n v="1925"/>
    <n v="1968"/>
    <n v="664"/>
    <m/>
    <n v="372"/>
    <n v="372"/>
    <m/>
    <m/>
    <n v="664"/>
    <n v="1000"/>
    <n v="5"/>
    <n v="187"/>
    <m/>
    <m/>
    <m/>
    <m/>
    <m/>
    <m/>
    <n v="141201"/>
    <n v="93193"/>
    <n v="0"/>
    <n v="259500"/>
    <n v="46000"/>
    <n v="213500"/>
    <n v="0"/>
    <n v="0"/>
    <n v="89850.625589999996"/>
    <n v="-62236.546971921947"/>
    <n v="21557.329055999999"/>
    <n v="197752.34721000001"/>
    <n v="-12490.553628"/>
    <n v="32807.356798328001"/>
    <n v="0"/>
    <n v="0"/>
    <n v="10818.465031883999"/>
    <n v="18960.110526"/>
    <n v="0"/>
    <n v="0"/>
    <n v="269400"/>
    <n v="27600"/>
    <n v="297000"/>
    <n v="0.14450867052023122"/>
    <n v="0.99970000000000003"/>
    <n v="1.0067999999999999"/>
    <n v="0.99650000000000005"/>
    <n v="1.0148999999999999"/>
    <n v="1.0074000000000001"/>
    <n v="0.94971499999999998"/>
    <n v="0.97417954490318037"/>
    <n v="269400"/>
    <n v="0"/>
    <n v="269400"/>
    <n v="26200"/>
    <n v="295600"/>
    <n v="0.26182669789227164"/>
    <n v="-0.43043478260869567"/>
    <n v="0.13911368015414258"/>
  </r>
  <r>
    <n v="2025"/>
    <s v="18132332420    "/>
    <n v="-1.7719568419318752"/>
    <n v="0.17"/>
    <n v="7588"/>
    <s v="6"/>
    <s v="RES"/>
    <x v="0"/>
    <s v="11"/>
    <s v="259"/>
    <s v="BG"/>
    <s v="A"/>
    <s v="GD"/>
    <x v="9"/>
    <n v="99"/>
    <n v="56"/>
    <n v="1925"/>
    <n v="1968"/>
    <n v="956"/>
    <m/>
    <n v="534"/>
    <n v="534"/>
    <m/>
    <m/>
    <n v="956"/>
    <n v="1000"/>
    <n v="5"/>
    <m/>
    <m/>
    <n v="208"/>
    <m/>
    <m/>
    <m/>
    <m/>
    <n v="212377"/>
    <n v="140169"/>
    <n v="22482"/>
    <n v="306400"/>
    <n v="52700"/>
    <n v="253700"/>
    <n v="0"/>
    <n v="0"/>
    <n v="89850.625589999996"/>
    <n v="-56090.612940989391"/>
    <n v="21557.329055999999"/>
    <n v="197752.34721000001"/>
    <n v="-12490.553628"/>
    <n v="47234.688402412001"/>
    <n v="0"/>
    <n v="0"/>
    <n v="15529.732061897999"/>
    <n v="18960.110526"/>
    <n v="6925.4671774080007"/>
    <n v="22500"/>
    <n v="295500"/>
    <n v="33800"/>
    <n v="351800"/>
    <n v="0.14817232375979111"/>
    <n v="0.99970000000000003"/>
    <n v="1.0067999999999999"/>
    <n v="0.99650000000000005"/>
    <n v="1.0148999999999999"/>
    <n v="1.0074000000000001"/>
    <n v="0.94971499999999998"/>
    <n v="0.97417954490318037"/>
    <n v="295500"/>
    <n v="21400"/>
    <n v="316900"/>
    <n v="32100"/>
    <n v="349000"/>
    <n v="0.24911312573906189"/>
    <n v="-0.39089184060721061"/>
    <n v="0.13903394255874674"/>
  </r>
  <r>
    <n v="2025"/>
    <s v="18132344054    "/>
    <n v="-2.5257286443082556"/>
    <n v="0.08"/>
    <n v="3400"/>
    <s v="6"/>
    <s v="RES"/>
    <x v="0"/>
    <s v="11"/>
    <s v="400"/>
    <s v="TD"/>
    <s v="F+"/>
    <s v="GD"/>
    <x v="9"/>
    <n v="99"/>
    <n v="56"/>
    <n v="1925"/>
    <n v="1968"/>
    <n v="780"/>
    <m/>
    <n v="780"/>
    <n v="780"/>
    <m/>
    <m/>
    <n v="780"/>
    <n v="1000"/>
    <n v="6"/>
    <m/>
    <m/>
    <n v="56"/>
    <m/>
    <m/>
    <m/>
    <m/>
    <n v="157865"/>
    <n v="104191"/>
    <n v="0"/>
    <n v="246300"/>
    <n v="26500"/>
    <n v="219800"/>
    <n v="0"/>
    <n v="0"/>
    <n v="89850.625589999996"/>
    <n v="-79950.969701614697"/>
    <n v="0"/>
    <n v="197752.34721000001"/>
    <n v="-12490.553628"/>
    <n v="38538.762504060003"/>
    <n v="0"/>
    <n v="0"/>
    <n v="22683.87829266"/>
    <n v="22752.132631200002"/>
    <n v="1864.5488554560002"/>
    <n v="0"/>
    <n v="271100"/>
    <n v="9900"/>
    <n v="281000"/>
    <n v="0.14088509947218839"/>
    <n v="0.99970000000000003"/>
    <n v="0.99180000000000001"/>
    <n v="0.99650000000000005"/>
    <n v="1.0148999999999999"/>
    <n v="1.0074000000000001"/>
    <n v="0.94971499999999998"/>
    <n v="0.9596655469159463"/>
    <n v="271100"/>
    <n v="0"/>
    <n v="271100"/>
    <n v="9400"/>
    <n v="280500"/>
    <n v="0.23339399454049137"/>
    <n v="-0.6452830188679245"/>
    <n v="0.13885505481120586"/>
  </r>
  <r>
    <n v="2025"/>
    <s v="18132331008    "/>
    <n v="-1.9661128563728327"/>
    <n v="0.14000000000000001"/>
    <n v="6185"/>
    <s v="6"/>
    <s v="RES"/>
    <x v="0"/>
    <s v="11"/>
    <s v="259"/>
    <s v="TD"/>
    <s v="A"/>
    <s v="GD"/>
    <x v="9"/>
    <n v="99"/>
    <n v="56"/>
    <n v="1925"/>
    <n v="1968"/>
    <n v="1220"/>
    <m/>
    <n v="1220"/>
    <n v="1220"/>
    <m/>
    <m/>
    <n v="1220"/>
    <n v="1500"/>
    <n v="8"/>
    <m/>
    <m/>
    <m/>
    <m/>
    <m/>
    <m/>
    <m/>
    <n v="243564"/>
    <n v="160752"/>
    <n v="8966"/>
    <n v="323700"/>
    <n v="46000"/>
    <n v="277700"/>
    <n v="0"/>
    <n v="0"/>
    <n v="89850.625589999996"/>
    <n v="-62236.546971921947"/>
    <n v="21557.329055999999"/>
    <n v="197752.34721000001"/>
    <n v="-12490.553628"/>
    <n v="60278.577249940005"/>
    <n v="0"/>
    <n v="0"/>
    <n v="35479.912201339997"/>
    <n v="30336.176841600001"/>
    <n v="0"/>
    <n v="9000"/>
    <n v="332900"/>
    <n v="27600"/>
    <n v="369500"/>
    <n v="0.14148903305529811"/>
    <n v="0.99970000000000003"/>
    <n v="1.0067999999999999"/>
    <n v="0.99650000000000005"/>
    <n v="1.0157"/>
    <n v="1.0074000000000001"/>
    <n v="0.94971499999999998"/>
    <n v="0.97494744680082823"/>
    <n v="332900"/>
    <n v="8500"/>
    <n v="341400"/>
    <n v="26200"/>
    <n v="367600"/>
    <n v="0.22938422758372345"/>
    <n v="-0.43043478260869567"/>
    <n v="0.13561940067964165"/>
  </r>
  <r>
    <n v="2025"/>
    <s v="18132344021    "/>
    <n v="-1.9661128563728327"/>
    <n v="0.14000000000000001"/>
    <n v="6153"/>
    <s v="6"/>
    <s v="RES"/>
    <x v="0"/>
    <s v="11"/>
    <s v="259"/>
    <s v="BG"/>
    <s v="G"/>
    <s v="GD"/>
    <x v="9"/>
    <n v="99"/>
    <n v="56"/>
    <n v="1925"/>
    <n v="1968"/>
    <n v="1063"/>
    <m/>
    <n v="974"/>
    <n v="974"/>
    <m/>
    <m/>
    <n v="1063"/>
    <n v="1500"/>
    <n v="8"/>
    <n v="396"/>
    <m/>
    <m/>
    <m/>
    <m/>
    <m/>
    <m/>
    <n v="295432"/>
    <n v="194985"/>
    <n v="18956"/>
    <n v="339200"/>
    <n v="46000"/>
    <n v="293200"/>
    <n v="0"/>
    <n v="0"/>
    <n v="89850.625589999996"/>
    <n v="-62236.546971921947"/>
    <n v="44121.038090000002"/>
    <n v="197752.34721000001"/>
    <n v="-12490.553628"/>
    <n v="52521.416079251001"/>
    <n v="0"/>
    <n v="0"/>
    <n v="28325.765970577999"/>
    <n v="30336.176841600001"/>
    <n v="0"/>
    <n v="19000"/>
    <n v="340600"/>
    <n v="27600"/>
    <n v="387200"/>
    <n v="0.14150943396226415"/>
    <n v="0.99970000000000003"/>
    <n v="0.98050000000000004"/>
    <n v="0.99650000000000005"/>
    <n v="1.0157"/>
    <n v="1.0074000000000001"/>
    <n v="0.94971499999999998"/>
    <n v="0.94947951091399707"/>
    <n v="340600"/>
    <n v="18000"/>
    <n v="358600"/>
    <n v="26200"/>
    <n v="384800"/>
    <n v="0.22305593451568895"/>
    <n v="-0.43043478260869567"/>
    <n v="0.13443396226415094"/>
  </r>
  <r>
    <n v="2025"/>
    <s v="18132331434    "/>
    <n v="-1.8971199848858813"/>
    <n v="0.15"/>
    <m/>
    <s v="6"/>
    <s v="RES"/>
    <x v="0"/>
    <s v="11"/>
    <s v="259"/>
    <s v="TD"/>
    <s v="A"/>
    <s v="GD"/>
    <x v="9"/>
    <n v="99"/>
    <n v="56"/>
    <n v="1925"/>
    <n v="1968"/>
    <n v="1068"/>
    <m/>
    <n v="368"/>
    <n v="368"/>
    <m/>
    <m/>
    <n v="1068"/>
    <n v="1500"/>
    <n v="5"/>
    <m/>
    <m/>
    <m/>
    <m/>
    <m/>
    <m/>
    <m/>
    <n v="201738"/>
    <n v="133147"/>
    <n v="5777"/>
    <n v="287700"/>
    <n v="48400"/>
    <n v="239300"/>
    <n v="0"/>
    <n v="0"/>
    <n v="89850.625589999996"/>
    <n v="-60052.604136134301"/>
    <n v="21557.329055999999"/>
    <n v="197752.34721000001"/>
    <n v="-12490.553628"/>
    <n v="52768.459428636001"/>
    <n v="0"/>
    <n v="0"/>
    <n v="10702.137450896"/>
    <n v="18960.110526"/>
    <n v="0"/>
    <n v="5800"/>
    <n v="289200"/>
    <n v="29800"/>
    <n v="324800"/>
    <n v="0.12895377128953772"/>
    <n v="0.99970000000000003"/>
    <n v="1.0067999999999999"/>
    <n v="0.99650000000000005"/>
    <n v="1.0157"/>
    <n v="1.0074000000000001"/>
    <n v="0.94971499999999998"/>
    <n v="0.97494744680082823"/>
    <n v="289200"/>
    <n v="5500"/>
    <n v="294700"/>
    <n v="28300"/>
    <n v="323000"/>
    <n v="0.23150856665273714"/>
    <n v="-0.41528925619834711"/>
    <n v="0.1226972540841154"/>
  </r>
  <r>
    <n v="2025"/>
    <s v="18132344495    "/>
    <n v="-1.8971199848858813"/>
    <n v="0.15"/>
    <m/>
    <s v="6"/>
    <s v="RES"/>
    <x v="0"/>
    <s v="11"/>
    <s v="259"/>
    <s v="BG"/>
    <s v="A+"/>
    <s v="GD"/>
    <x v="9"/>
    <n v="99"/>
    <n v="56"/>
    <n v="1925"/>
    <n v="1968"/>
    <n v="1079"/>
    <m/>
    <n v="1079"/>
    <n v="1079"/>
    <m/>
    <m/>
    <n v="1079"/>
    <n v="1500"/>
    <n v="5"/>
    <m/>
    <m/>
    <m/>
    <m/>
    <m/>
    <m/>
    <m/>
    <n v="251379"/>
    <n v="165910"/>
    <n v="6957"/>
    <n v="315100"/>
    <n v="48400"/>
    <n v="266700"/>
    <n v="0"/>
    <n v="0"/>
    <n v="89850.625589999996"/>
    <n v="-60052.604136134301"/>
    <n v="29814.093161000001"/>
    <n v="197752.34721000001"/>
    <n v="-12490.553628"/>
    <n v="53311.954797283004"/>
    <n v="0"/>
    <n v="0"/>
    <n v="31379.364971512998"/>
    <n v="18960.110526"/>
    <n v="0"/>
    <n v="7000"/>
    <n v="318700"/>
    <n v="29800"/>
    <n v="355500"/>
    <n v="0.12821326562995874"/>
    <n v="0.99970000000000003"/>
    <n v="1.0088999999999999"/>
    <n v="0.99650000000000005"/>
    <n v="1.0157"/>
    <n v="1.0074000000000001"/>
    <n v="0.94971499999999998"/>
    <n v="0.97698100822144973"/>
    <n v="318700"/>
    <n v="6600"/>
    <n v="325300"/>
    <n v="28300"/>
    <n v="353600"/>
    <n v="0.21972253468316461"/>
    <n v="-0.41528925619834711"/>
    <n v="0.12218343383052999"/>
  </r>
  <r>
    <n v="2025"/>
    <s v="18132331445    "/>
    <n v="-1.5141277326297755"/>
    <n v="0.22"/>
    <m/>
    <s v="6"/>
    <s v="RES"/>
    <x v="0"/>
    <s v="11"/>
    <s v="259"/>
    <s v="BG"/>
    <s v="G"/>
    <s v="VG"/>
    <x v="9"/>
    <n v="99"/>
    <n v="56"/>
    <n v="1925"/>
    <n v="1968"/>
    <n v="1902"/>
    <n v="496"/>
    <n v="840"/>
    <n v="0"/>
    <n v="840"/>
    <m/>
    <n v="3238"/>
    <n v="3500"/>
    <n v="12"/>
    <m/>
    <m/>
    <m/>
    <m/>
    <m/>
    <m/>
    <m/>
    <n v="600473"/>
    <n v="408322"/>
    <n v="41953"/>
    <n v="519200"/>
    <n v="61700"/>
    <n v="457500"/>
    <n v="0"/>
    <n v="0"/>
    <n v="89850.625589999996"/>
    <n v="-47929.131559187132"/>
    <n v="44121.038090000002"/>
    <n v="284810.60806"/>
    <n v="-12490.553628"/>
    <n v="93975.290106054003"/>
    <n v="22214.065739056001"/>
    <n v="0"/>
    <n v="24428.792007479999"/>
    <n v="45504.265262400004"/>
    <n v="0"/>
    <n v="42000"/>
    <n v="502600"/>
    <n v="41900"/>
    <n v="586500"/>
    <n v="0.12962249614791987"/>
    <n v="0.99970000000000003"/>
    <n v="0.98050000000000004"/>
    <n v="1.0158"/>
    <n v="1.0126999999999999"/>
    <n v="1.0074000000000001"/>
    <n v="0.94971499999999998"/>
    <n v="0.96501010357527905"/>
    <n v="502600"/>
    <n v="39800"/>
    <n v="542400"/>
    <n v="39800"/>
    <n v="582200"/>
    <n v="0.18557377049180329"/>
    <n v="-0.35494327390599678"/>
    <n v="0.12134052388289676"/>
  </r>
  <r>
    <n v="2025"/>
    <s v="18132242423    "/>
    <n v="-1.9661128563728327"/>
    <n v="0.14000000000000001"/>
    <n v="5972"/>
    <s v="6"/>
    <s v="RES"/>
    <x v="0"/>
    <s v="11"/>
    <s v="259"/>
    <s v="TD"/>
    <s v="A"/>
    <s v="GD"/>
    <x v="9"/>
    <n v="99"/>
    <n v="56"/>
    <n v="1925"/>
    <n v="1968"/>
    <n v="1012"/>
    <m/>
    <n v="219"/>
    <n v="219"/>
    <m/>
    <m/>
    <n v="1012"/>
    <n v="1500"/>
    <n v="5"/>
    <n v="308"/>
    <m/>
    <m/>
    <m/>
    <m/>
    <m/>
    <m/>
    <n v="192589"/>
    <n v="127109"/>
    <n v="0"/>
    <n v="275700"/>
    <n v="46000"/>
    <n v="229700"/>
    <n v="0"/>
    <n v="0"/>
    <n v="89850.625589999996"/>
    <n v="-62236.546971921947"/>
    <n v="21557.329055999999"/>
    <n v="197752.34721000001"/>
    <n v="-12490.553628"/>
    <n v="50001.573915524001"/>
    <n v="0"/>
    <n v="0"/>
    <n v="6368.9350590929998"/>
    <n v="18960.110526"/>
    <n v="0"/>
    <n v="0"/>
    <n v="282100"/>
    <n v="27600"/>
    <n v="309700"/>
    <n v="0.12332245194051505"/>
    <n v="0.99970000000000003"/>
    <n v="1.0067999999999999"/>
    <n v="0.99650000000000005"/>
    <n v="1.0157"/>
    <n v="1.0074000000000001"/>
    <n v="0.94971499999999998"/>
    <n v="0.97494744680082823"/>
    <n v="282100"/>
    <n v="0"/>
    <n v="282100"/>
    <n v="26200"/>
    <n v="308300"/>
    <n v="0.22812363952982151"/>
    <n v="-0.43043478260869567"/>
    <n v="0.11824446862531737"/>
  </r>
  <r>
    <n v="2025"/>
    <s v="18132332463    "/>
    <n v="-1.7147984280919266"/>
    <n v="0.18"/>
    <n v="7981"/>
    <s v="6"/>
    <s v="RES"/>
    <x v="0"/>
    <s v="11"/>
    <s v="259"/>
    <s v="TD"/>
    <s v="A+"/>
    <s v="GD"/>
    <x v="9"/>
    <n v="99"/>
    <n v="56"/>
    <n v="1925"/>
    <n v="1968"/>
    <n v="878"/>
    <m/>
    <n v="312"/>
    <n v="312"/>
    <m/>
    <m/>
    <n v="878"/>
    <n v="1000"/>
    <n v="5"/>
    <m/>
    <m/>
    <m/>
    <m/>
    <m/>
    <m/>
    <m/>
    <n v="178463"/>
    <n v="117786"/>
    <n v="4877"/>
    <n v="290700"/>
    <n v="54700"/>
    <n v="236000"/>
    <n v="0"/>
    <n v="0"/>
    <n v="89850.625589999996"/>
    <n v="-54281.285314520763"/>
    <n v="29814.093161000001"/>
    <n v="197752.34721000001"/>
    <n v="-12490.553628"/>
    <n v="43380.812152006001"/>
    <n v="0"/>
    <n v="0"/>
    <n v="9073.5513170639988"/>
    <n v="18960.110526"/>
    <n v="0"/>
    <n v="4900"/>
    <n v="286500"/>
    <n v="35600"/>
    <n v="327000"/>
    <n v="0.12487100103199174"/>
    <n v="0.99970000000000003"/>
    <n v="1.0088999999999999"/>
    <n v="0.99650000000000005"/>
    <n v="1.0148999999999999"/>
    <n v="1.0074000000000001"/>
    <n v="0.94971499999999998"/>
    <n v="0.97621150462139328"/>
    <n v="286500"/>
    <n v="4600"/>
    <n v="291100"/>
    <n v="33800"/>
    <n v="324900"/>
    <n v="0.23347457627118645"/>
    <n v="-0.38208409506398539"/>
    <n v="0.11764705882352941"/>
  </r>
  <r>
    <n v="2025"/>
    <s v="18132244483    "/>
    <n v="-1.6094379124341003"/>
    <n v="0.2"/>
    <n v="8630"/>
    <s v="6"/>
    <s v="RES"/>
    <x v="0"/>
    <s v="11"/>
    <s v="259"/>
    <s v="CO"/>
    <s v="A"/>
    <s v="FR"/>
    <x v="9"/>
    <n v="99"/>
    <n v="56"/>
    <n v="1925"/>
    <n v="1968"/>
    <n v="2210"/>
    <n v="699"/>
    <n v="1980"/>
    <n v="1980"/>
    <m/>
    <m/>
    <n v="2909"/>
    <n v="3000"/>
    <n v="7"/>
    <m/>
    <m/>
    <n v="220"/>
    <m/>
    <m/>
    <m/>
    <m/>
    <n v="429367"/>
    <n v="266208"/>
    <n v="0"/>
    <n v="368700"/>
    <n v="58400"/>
    <n v="310300"/>
    <n v="0"/>
    <n v="0"/>
    <n v="89850.625589999996"/>
    <n v="-50946.13867709865"/>
    <n v="21557.329055999999"/>
    <n v="133714.53821"/>
    <n v="-12490.553628"/>
    <n v="109193.16042817"/>
    <n v="31305.709579839"/>
    <n v="0"/>
    <n v="57582.152589059995"/>
    <n v="26544.1547364"/>
    <n v="7325.0133607200005"/>
    <n v="0"/>
    <n v="374700"/>
    <n v="38900"/>
    <n v="413600"/>
    <n v="0.12177922430160022"/>
    <n v="0.99970000000000003"/>
    <n v="1.0067999999999999"/>
    <n v="0.99329999999999996"/>
    <n v="0.96179999999999999"/>
    <n v="1.0074000000000001"/>
    <n v="0.94971499999999998"/>
    <n v="0.92024540799661592"/>
    <n v="374700"/>
    <n v="0"/>
    <n v="374700"/>
    <n v="36900"/>
    <n v="411600"/>
    <n v="0.20754108926844989"/>
    <n v="-0.36815068493150682"/>
    <n v="0.11635475996745322"/>
  </r>
  <r>
    <n v="2025"/>
    <s v="18132344492    "/>
    <n v="-1.8971199848858813"/>
    <n v="0.15"/>
    <m/>
    <s v="6"/>
    <s v="RES"/>
    <x v="0"/>
    <s v="11"/>
    <s v="259"/>
    <s v="BG"/>
    <s v="A"/>
    <s v="GD"/>
    <x v="9"/>
    <n v="99"/>
    <n v="56"/>
    <n v="1925"/>
    <n v="1968"/>
    <n v="1184"/>
    <m/>
    <n v="394"/>
    <n v="3"/>
    <n v="391"/>
    <m/>
    <n v="1575"/>
    <n v="2000"/>
    <n v="5"/>
    <m/>
    <m/>
    <n v="384"/>
    <m/>
    <m/>
    <m/>
    <m/>
    <n v="247456"/>
    <n v="163321"/>
    <n v="9040"/>
    <n v="310400"/>
    <n v="48400"/>
    <n v="262000"/>
    <n v="0"/>
    <n v="0"/>
    <n v="89850.625589999996"/>
    <n v="-60052.604136134301"/>
    <n v="21557.329055999999"/>
    <n v="197752.34721000001"/>
    <n v="-12490.553628"/>
    <n v="58499.865134368003"/>
    <n v="0"/>
    <n v="0"/>
    <n v="11458.266727318"/>
    <n v="18960.110526"/>
    <n v="12785.477865984001"/>
    <n v="9000"/>
    <n v="308500"/>
    <n v="29800"/>
    <n v="347300"/>
    <n v="0.11887886597938144"/>
    <n v="0.99970000000000003"/>
    <n v="1.0067999999999999"/>
    <n v="0.99650000000000005"/>
    <n v="1.0093000000000001"/>
    <n v="1.0074000000000001"/>
    <n v="0.94971499999999998"/>
    <n v="0.96880423161964746"/>
    <n v="308500"/>
    <n v="8600"/>
    <n v="317100"/>
    <n v="28300"/>
    <n v="345400"/>
    <n v="0.21030534351145039"/>
    <n v="-0.41528925619834711"/>
    <n v="0.11275773195876289"/>
  </r>
  <r>
    <n v="2025"/>
    <s v="18132344026    "/>
    <n v="-1.8971199848858813"/>
    <n v="0.15"/>
    <n v="6327"/>
    <s v="6"/>
    <s v="RES"/>
    <x v="0"/>
    <s v="11"/>
    <s v="259"/>
    <s v="TD"/>
    <s v="A"/>
    <s v="GD"/>
    <x v="9"/>
    <n v="99"/>
    <n v="56"/>
    <n v="1925"/>
    <n v="1968"/>
    <n v="1275"/>
    <m/>
    <n v="510"/>
    <n v="510"/>
    <m/>
    <m/>
    <n v="1275"/>
    <n v="1500"/>
    <n v="5"/>
    <m/>
    <m/>
    <m/>
    <m/>
    <m/>
    <m/>
    <m/>
    <n v="224605"/>
    <n v="148239"/>
    <n v="16399"/>
    <n v="312500"/>
    <n v="48400"/>
    <n v="264100"/>
    <n v="0"/>
    <n v="0"/>
    <n v="89850.625589999996"/>
    <n v="-60052.604136134301"/>
    <n v="21557.329055999999"/>
    <n v="197752.34721000001"/>
    <n v="-12490.553628"/>
    <n v="62996.054093175"/>
    <n v="0"/>
    <n v="0"/>
    <n v="14831.766575969999"/>
    <n v="18960.110526"/>
    <n v="0"/>
    <n v="16400"/>
    <n v="303600"/>
    <n v="29800"/>
    <n v="349800"/>
    <n v="0.11935999999999999"/>
    <n v="0.99970000000000003"/>
    <n v="1.0067999999999999"/>
    <n v="0.99650000000000005"/>
    <n v="1.0157"/>
    <n v="1.0074000000000001"/>
    <n v="0.94971499999999998"/>
    <n v="0.97494744680082823"/>
    <n v="303600"/>
    <n v="15600"/>
    <n v="319200"/>
    <n v="28300"/>
    <n v="347500"/>
    <n v="0.20863309352517986"/>
    <n v="-0.41528925619834711"/>
    <n v="0.112"/>
  </r>
  <r>
    <n v="2025"/>
    <s v="18132332525    "/>
    <n v="-1.6607312068216509"/>
    <n v="0.19"/>
    <m/>
    <s v="6"/>
    <s v="RES"/>
    <x v="0"/>
    <s v="11"/>
    <s v="259"/>
    <s v="FH"/>
    <s v="A"/>
    <s v="GD"/>
    <x v="9"/>
    <n v="99"/>
    <n v="56"/>
    <n v="1925"/>
    <n v="1968"/>
    <n v="1064"/>
    <n v="904"/>
    <n v="816"/>
    <n v="816"/>
    <m/>
    <m/>
    <n v="1968"/>
    <n v="2000"/>
    <n v="8"/>
    <m/>
    <m/>
    <n v="144"/>
    <m/>
    <m/>
    <m/>
    <m/>
    <n v="306497"/>
    <n v="202288"/>
    <n v="8447"/>
    <n v="362200"/>
    <n v="56600"/>
    <n v="305600"/>
    <n v="0"/>
    <n v="0"/>
    <n v="89850.625589999996"/>
    <n v="-52569.808201026557"/>
    <n v="21557.329055999999"/>
    <n v="197752.34721000001"/>
    <n v="-12490.553628"/>
    <n v="52570.824749127998"/>
    <n v="40486.926266343995"/>
    <n v="0"/>
    <n v="23730.826521552"/>
    <n v="30336.176841600001"/>
    <n v="4794.5541997440005"/>
    <n v="8400"/>
    <n v="358700"/>
    <n v="37300"/>
    <n v="404400"/>
    <n v="0.11651021535063501"/>
    <n v="0.99970000000000003"/>
    <n v="1.0067999999999999"/>
    <n v="0.99650000000000005"/>
    <n v="1.0093000000000001"/>
    <n v="1.0074000000000001"/>
    <n v="0.94971499999999998"/>
    <n v="0.96880423161964746"/>
    <n v="358700"/>
    <n v="8000"/>
    <n v="366700"/>
    <n v="35400"/>
    <n v="402100"/>
    <n v="0.19993455497382198"/>
    <n v="-0.37455830388692579"/>
    <n v="0.11016013252346769"/>
  </r>
  <r>
    <n v="2025"/>
    <s v="18132342417    "/>
    <n v="-2.0402208285265546"/>
    <n v="0.13"/>
    <m/>
    <s v="6"/>
    <s v="RES"/>
    <x v="0"/>
    <s v="11"/>
    <s v="259"/>
    <s v="BG"/>
    <s v="A"/>
    <s v="GD"/>
    <x v="9"/>
    <n v="99"/>
    <n v="56"/>
    <n v="1925"/>
    <n v="1968"/>
    <n v="1192"/>
    <m/>
    <n v="648"/>
    <n v="648"/>
    <m/>
    <m/>
    <n v="1192"/>
    <n v="1500"/>
    <n v="5"/>
    <m/>
    <m/>
    <m/>
    <m/>
    <m/>
    <m/>
    <m/>
    <n v="218666"/>
    <n v="144320"/>
    <n v="4877"/>
    <n v="299600"/>
    <n v="43400"/>
    <n v="256200"/>
    <n v="0"/>
    <n v="0"/>
    <n v="89850.625589999996"/>
    <n v="-64582.406353792743"/>
    <n v="21557.329055999999"/>
    <n v="197752.34721000001"/>
    <n v="-12490.553628"/>
    <n v="58895.134493384001"/>
    <n v="0"/>
    <n v="0"/>
    <n v="18845.068120055999"/>
    <n v="18960.110526"/>
    <n v="0"/>
    <n v="4900"/>
    <n v="303500"/>
    <n v="25300"/>
    <n v="333700"/>
    <n v="0.11381842456608812"/>
    <n v="0.99970000000000003"/>
    <n v="1.0067999999999999"/>
    <n v="0.99650000000000005"/>
    <n v="1.0157"/>
    <n v="1.0074000000000001"/>
    <n v="0.94971499999999998"/>
    <n v="0.97494744680082823"/>
    <n v="303500"/>
    <n v="4600"/>
    <n v="308100"/>
    <n v="24000"/>
    <n v="332100"/>
    <n v="0.20257611241217799"/>
    <n v="-0.44700460829493088"/>
    <n v="0.10847797062750333"/>
  </r>
  <r>
    <n v="2025"/>
    <s v="18132332446    "/>
    <n v="-1.5606477482646683"/>
    <n v="0.21"/>
    <n v="8930"/>
    <s v="6"/>
    <s v="RES"/>
    <x v="0"/>
    <s v="11"/>
    <s v="259"/>
    <s v="BG"/>
    <s v="A"/>
    <s v="GD"/>
    <x v="9"/>
    <n v="99"/>
    <n v="56"/>
    <n v="1925"/>
    <n v="1968"/>
    <n v="922"/>
    <m/>
    <n v="475"/>
    <n v="475"/>
    <m/>
    <m/>
    <n v="922"/>
    <n v="1000"/>
    <n v="5"/>
    <m/>
    <m/>
    <m/>
    <m/>
    <m/>
    <m/>
    <m/>
    <n v="179707"/>
    <n v="118607"/>
    <n v="6728"/>
    <n v="297700"/>
    <n v="60100"/>
    <n v="237600"/>
    <n v="0"/>
    <n v="0"/>
    <n v="89850.625589999996"/>
    <n v="-49401.70477837498"/>
    <n v="21557.329055999999"/>
    <n v="197752.34721000001"/>
    <n v="-12490.553628"/>
    <n v="45554.793626594001"/>
    <n v="0"/>
    <n v="0"/>
    <n v="13813.900242324999"/>
    <n v="18960.110526"/>
    <n v="0"/>
    <n v="6700"/>
    <n v="285100"/>
    <n v="40400"/>
    <n v="332200"/>
    <n v="0.11588847833389318"/>
    <n v="0.99970000000000003"/>
    <n v="1.0067999999999999"/>
    <n v="0.99650000000000005"/>
    <n v="1.0148999999999999"/>
    <n v="1.0074000000000001"/>
    <n v="0.94971499999999998"/>
    <n v="0.97417954490318037"/>
    <n v="285100"/>
    <n v="6400"/>
    <n v="291500"/>
    <n v="38400"/>
    <n v="329900"/>
    <n v="0.22685185185185186"/>
    <n v="-0.36106489184692181"/>
    <n v="0.10816257977830031"/>
  </r>
  <r>
    <n v="2025"/>
    <s v="18132342404    "/>
    <n v="-1.7719568419318752"/>
    <n v="0.17"/>
    <m/>
    <s v="6"/>
    <s v="RES"/>
    <x v="0"/>
    <s v="11"/>
    <s v="259"/>
    <s v="CC"/>
    <s v="A"/>
    <s v="GD"/>
    <x v="9"/>
    <n v="99"/>
    <n v="56"/>
    <n v="1925"/>
    <n v="1968"/>
    <n v="968"/>
    <n v="696"/>
    <n v="464"/>
    <n v="464"/>
    <n v="0"/>
    <m/>
    <n v="1664"/>
    <n v="2000"/>
    <n v="7"/>
    <m/>
    <m/>
    <m/>
    <m/>
    <m/>
    <m/>
    <m/>
    <n v="258037"/>
    <n v="170304"/>
    <n v="0"/>
    <n v="323300"/>
    <n v="52700"/>
    <n v="270600"/>
    <n v="0"/>
    <n v="0"/>
    <n v="89850.625589999996"/>
    <n v="-56090.612940989391"/>
    <n v="21557.329055999999"/>
    <n v="197752.34721000001"/>
    <n v="-12490.553628"/>
    <n v="47827.592440936001"/>
    <n v="31171.350311255999"/>
    <n v="0"/>
    <n v="13493.999394607999"/>
    <n v="26544.1547364"/>
    <n v="0"/>
    <n v="0"/>
    <n v="325900"/>
    <n v="33800"/>
    <n v="359700"/>
    <n v="0.11258892669347355"/>
    <n v="0.99970000000000003"/>
    <n v="1.0067999999999999"/>
    <n v="0.99650000000000005"/>
    <n v="1.0093000000000001"/>
    <n v="1.0074000000000001"/>
    <n v="0.94971499999999998"/>
    <n v="0.96880423161964746"/>
    <n v="325900"/>
    <n v="0"/>
    <n v="325900"/>
    <n v="32100"/>
    <n v="358000"/>
    <n v="0.20436067997043605"/>
    <n v="-0.39089184060721061"/>
    <n v="0.10733065264460254"/>
  </r>
  <r>
    <n v="2025"/>
    <s v="18132342421    "/>
    <n v="-1.9661128563728327"/>
    <n v="0.14000000000000001"/>
    <m/>
    <s v="6"/>
    <s v="RES"/>
    <x v="0"/>
    <s v="11"/>
    <s v="400"/>
    <s v="TD"/>
    <s v="A"/>
    <s v="FR"/>
    <x v="9"/>
    <n v="99"/>
    <n v="56"/>
    <n v="1925"/>
    <n v="1968"/>
    <n v="1364"/>
    <m/>
    <n v="680"/>
    <n v="680"/>
    <m/>
    <m/>
    <n v="1364"/>
    <n v="1500"/>
    <n v="6"/>
    <m/>
    <m/>
    <m/>
    <m/>
    <m/>
    <m/>
    <m/>
    <n v="246314"/>
    <n v="152715"/>
    <n v="0"/>
    <n v="252100"/>
    <n v="46000"/>
    <n v="206100"/>
    <n v="0"/>
    <n v="0"/>
    <n v="89850.625589999996"/>
    <n v="-62236.546971921947"/>
    <n v="21557.329055999999"/>
    <n v="133714.53821"/>
    <n v="-12490.553628"/>
    <n v="67393.425712227996"/>
    <n v="0"/>
    <n v="0"/>
    <n v="19775.68876796"/>
    <n v="22752.132631200002"/>
    <n v="0"/>
    <n v="0"/>
    <n v="252700"/>
    <n v="27600"/>
    <n v="280300"/>
    <n v="0.11186037286790956"/>
    <n v="0.99970000000000003"/>
    <n v="1.0067999999999999"/>
    <n v="0.99329999999999996"/>
    <n v="1.0157"/>
    <n v="1.0074000000000001"/>
    <n v="0.94971499999999998"/>
    <n v="0.971816657207489"/>
    <n v="252700"/>
    <n v="0"/>
    <n v="252700"/>
    <n v="26200"/>
    <n v="278900"/>
    <n v="0.22610383309073265"/>
    <n v="-0.43043478260869567"/>
    <n v="0.10630702102340341"/>
  </r>
  <r>
    <n v="2025"/>
    <s v="18132313406    "/>
    <n v="-1.4271163556401458"/>
    <n v="0.24"/>
    <n v="10506"/>
    <s v="6"/>
    <s v="RES"/>
    <x v="0"/>
    <s v="11"/>
    <s v="259"/>
    <s v="CC"/>
    <s v="A"/>
    <s v="GD"/>
    <x v="9"/>
    <n v="99"/>
    <n v="56"/>
    <n v="1925"/>
    <n v="1968"/>
    <n v="984"/>
    <n v="764"/>
    <n v="984"/>
    <n v="984"/>
    <m/>
    <m/>
    <n v="1748"/>
    <n v="2000"/>
    <n v="8"/>
    <m/>
    <m/>
    <m/>
    <m/>
    <m/>
    <m/>
    <m/>
    <n v="321662"/>
    <n v="212297"/>
    <n v="0"/>
    <n v="354300"/>
    <n v="64800"/>
    <n v="289500"/>
    <n v="0"/>
    <n v="0"/>
    <n v="89850.625589999996"/>
    <n v="-45174.819855485119"/>
    <n v="21557.329055999999"/>
    <n v="197752.34721000001"/>
    <n v="-12490.553628"/>
    <n v="48618.131158968004"/>
    <n v="34216.827065803998"/>
    <n v="0"/>
    <n v="28616.584923047998"/>
    <n v="30336.176841600001"/>
    <n v="0"/>
    <n v="0"/>
    <n v="348600"/>
    <n v="44700"/>
    <n v="393300"/>
    <n v="0.1100762066045724"/>
    <n v="0.99970000000000003"/>
    <n v="1.0067999999999999"/>
    <n v="0.99650000000000005"/>
    <n v="1.0093000000000001"/>
    <n v="1.0074000000000001"/>
    <n v="0.94971499999999998"/>
    <n v="0.96880423161964746"/>
    <n v="348600"/>
    <n v="0"/>
    <n v="348600"/>
    <n v="42400"/>
    <n v="391000"/>
    <n v="0.20414507772020726"/>
    <n v="-0.34567901234567899"/>
    <n v="0.10358453288173863"/>
  </r>
  <r>
    <n v="2025"/>
    <s v="18132344047    "/>
    <n v="-1.9661128563728327"/>
    <n v="0.14000000000000001"/>
    <n v="6181"/>
    <s v="6"/>
    <s v="RES"/>
    <x v="0"/>
    <s v="11"/>
    <s v="259"/>
    <s v="BG"/>
    <s v="A"/>
    <s v="AV"/>
    <x v="9"/>
    <n v="99"/>
    <n v="56"/>
    <n v="1925"/>
    <n v="1968"/>
    <n v="1105"/>
    <m/>
    <n v="963"/>
    <n v="963"/>
    <m/>
    <m/>
    <n v="1105"/>
    <n v="1500"/>
    <n v="8"/>
    <m/>
    <m/>
    <n v="171"/>
    <m/>
    <m/>
    <m/>
    <m/>
    <n v="222505"/>
    <n v="142403"/>
    <n v="7182"/>
    <n v="291200"/>
    <n v="46000"/>
    <n v="245200"/>
    <n v="0"/>
    <n v="0"/>
    <n v="89850.625589999996"/>
    <n v="-62236.546971921947"/>
    <n v="21557.329055999999"/>
    <n v="160472.20319"/>
    <n v="-12490.553628"/>
    <n v="54596.580214084999"/>
    <n v="0"/>
    <n v="0"/>
    <n v="28005.865122861"/>
    <n v="30336.176841600001"/>
    <n v="5693.5331121960007"/>
    <n v="7200"/>
    <n v="288200"/>
    <n v="27600"/>
    <n v="323000"/>
    <n v="0.1092032967032967"/>
    <n v="0.99970000000000003"/>
    <n v="1.0067999999999999"/>
    <n v="0.99729999999999996"/>
    <n v="1.0157"/>
    <n v="1.0074000000000001"/>
    <n v="0.94971499999999998"/>
    <n v="0.97573014419916293"/>
    <n v="288200"/>
    <n v="6800"/>
    <n v="295000"/>
    <n v="26200"/>
    <n v="321200"/>
    <n v="0.20309951060358891"/>
    <n v="-0.43043478260869567"/>
    <n v="0.10302197802197802"/>
  </r>
  <r>
    <n v="2025"/>
    <s v="18132313480    "/>
    <n v="-1.8325814637483102"/>
    <n v="0.16"/>
    <n v="6999"/>
    <s v="6"/>
    <s v="RES"/>
    <x v="0"/>
    <s v="11"/>
    <s v="259"/>
    <s v="BG"/>
    <s v="A+"/>
    <s v="GD"/>
    <x v="9"/>
    <n v="99"/>
    <n v="56"/>
    <n v="1925"/>
    <n v="1968"/>
    <n v="1393"/>
    <n v="392"/>
    <n v="806"/>
    <n v="638"/>
    <n v="168"/>
    <m/>
    <n v="1953"/>
    <n v="2000"/>
    <n v="10"/>
    <m/>
    <m/>
    <n v="175"/>
    <m/>
    <m/>
    <m/>
    <m/>
    <n v="367141"/>
    <n v="242313"/>
    <n v="7465"/>
    <n v="368800"/>
    <n v="50600"/>
    <n v="318200"/>
    <n v="0"/>
    <n v="0"/>
    <n v="89850.625589999996"/>
    <n v="-58009.662049032086"/>
    <n v="29814.093161000001"/>
    <n v="197752.34721000001"/>
    <n v="-12490.553628"/>
    <n v="68826.277138660997"/>
    <n v="17556.277761511999"/>
    <n v="0"/>
    <n v="23440.007569081998"/>
    <n v="37920.221052000001"/>
    <n v="5826.715173300001"/>
    <n v="7500"/>
    <n v="368600"/>
    <n v="31800"/>
    <n v="407900"/>
    <n v="0.10601952277657267"/>
    <n v="0.99970000000000003"/>
    <n v="1.0088999999999999"/>
    <n v="0.99650000000000005"/>
    <n v="1.0093000000000001"/>
    <n v="1.0074000000000001"/>
    <n v="0.94971499999999998"/>
    <n v="0.97082497942099955"/>
    <n v="368600"/>
    <n v="7100"/>
    <n v="375700"/>
    <n v="30200"/>
    <n v="405900"/>
    <n v="0.18070395977372722"/>
    <n v="-0.40316205533596838"/>
    <n v="0.10059652928416486"/>
  </r>
  <r>
    <n v="2025"/>
    <s v="18132332560    "/>
    <n v="-1.8325814637483102"/>
    <n v="0.16"/>
    <m/>
    <s v="6"/>
    <s v="RES"/>
    <x v="0"/>
    <s v="11"/>
    <s v="259"/>
    <s v="BG"/>
    <s v="A"/>
    <s v="GD"/>
    <x v="9"/>
    <n v="99"/>
    <n v="56"/>
    <n v="1925"/>
    <n v="1968"/>
    <n v="836"/>
    <n v="624"/>
    <n v="752"/>
    <n v="526"/>
    <n v="226"/>
    <m/>
    <n v="1686"/>
    <n v="2000"/>
    <n v="7"/>
    <m/>
    <m/>
    <m/>
    <m/>
    <m/>
    <m/>
    <m/>
    <n v="257732"/>
    <n v="170103"/>
    <n v="6227"/>
    <n v="327800"/>
    <n v="50600"/>
    <n v="277200"/>
    <n v="0"/>
    <n v="0"/>
    <n v="89850.625589999996"/>
    <n v="-58009.662049032086"/>
    <n v="21557.329055999999"/>
    <n v="197752.34721000001"/>
    <n v="-12490.553628"/>
    <n v="41305.648017172003"/>
    <n v="27946.727865263998"/>
    <n v="0"/>
    <n v="21869.585225743998"/>
    <n v="26544.1547364"/>
    <n v="0"/>
    <n v="6200"/>
    <n v="324500"/>
    <n v="31800"/>
    <n v="362500"/>
    <n v="0.10585723001830384"/>
    <n v="0.99970000000000003"/>
    <n v="1.0067999999999999"/>
    <n v="0.99650000000000005"/>
    <n v="1.0093000000000001"/>
    <n v="1.0074000000000001"/>
    <n v="0.94971499999999998"/>
    <n v="0.96880423161964746"/>
    <n v="324500"/>
    <n v="5900"/>
    <n v="330400"/>
    <n v="30200"/>
    <n v="360600"/>
    <n v="0.19191919191919191"/>
    <n v="-0.40316205533596838"/>
    <n v="0.10006101281269067"/>
  </r>
  <r>
    <n v="2025"/>
    <s v="18132332441    "/>
    <n v="-1.5606477482646683"/>
    <n v="0.21"/>
    <n v="8930"/>
    <s v="6"/>
    <s v="RES"/>
    <x v="0"/>
    <s v="11"/>
    <s v="259"/>
    <s v="BG"/>
    <s v="A"/>
    <s v="GD"/>
    <x v="9"/>
    <n v="99"/>
    <n v="56"/>
    <n v="1925"/>
    <n v="1968"/>
    <n v="1251"/>
    <n v="540"/>
    <n v="1251"/>
    <n v="1001"/>
    <n v="250"/>
    <m/>
    <n v="2041"/>
    <n v="2500"/>
    <n v="8"/>
    <m/>
    <m/>
    <m/>
    <m/>
    <m/>
    <m/>
    <m/>
    <n v="310967"/>
    <n v="205238"/>
    <n v="7601"/>
    <n v="368900"/>
    <n v="60100"/>
    <n v="308800"/>
    <n v="0"/>
    <n v="0"/>
    <n v="89850.625589999996"/>
    <n v="-49401.70477837498"/>
    <n v="21557.329055999999"/>
    <n v="197752.34721000001"/>
    <n v="-12490.553628"/>
    <n v="61810.246016126999"/>
    <n v="24184.668344940001"/>
    <n v="0"/>
    <n v="36381.450953996995"/>
    <n v="30336.176841600001"/>
    <n v="0"/>
    <n v="7600"/>
    <n v="359500"/>
    <n v="40400"/>
    <n v="407500"/>
    <n v="0.10463540254811603"/>
    <n v="0.99970000000000003"/>
    <n v="1.0067999999999999"/>
    <n v="0.99650000000000005"/>
    <n v="0.98919999999999997"/>
    <n v="1.0074000000000001"/>
    <n v="0.94971499999999998"/>
    <n v="0.94951069644125163"/>
    <n v="359500"/>
    <n v="7200"/>
    <n v="366700"/>
    <n v="38400"/>
    <n v="405100"/>
    <n v="0.1875"/>
    <n v="-0.36106489184692181"/>
    <n v="9.8129574410409329E-2"/>
  </r>
  <r>
    <n v="2025"/>
    <s v="18132332526    "/>
    <n v="-1.8325814637483102"/>
    <n v="0.16"/>
    <m/>
    <s v="6"/>
    <s v="RES"/>
    <x v="0"/>
    <s v="11"/>
    <s v="259"/>
    <s v="BG"/>
    <s v="A"/>
    <s v="GD"/>
    <x v="9"/>
    <n v="99"/>
    <n v="56"/>
    <n v="1925"/>
    <n v="1968"/>
    <n v="896"/>
    <n v="416"/>
    <n v="728"/>
    <n v="378"/>
    <n v="350"/>
    <m/>
    <n v="1662"/>
    <n v="2000"/>
    <n v="6"/>
    <m/>
    <m/>
    <n v="120"/>
    <m/>
    <m/>
    <m/>
    <m/>
    <n v="267677"/>
    <n v="176667"/>
    <n v="6227"/>
    <n v="322200"/>
    <n v="50600"/>
    <n v="271600"/>
    <n v="0"/>
    <n v="0"/>
    <n v="89850.625589999996"/>
    <n v="-58009.662049032086"/>
    <n v="21557.329055999999"/>
    <n v="197752.34721000001"/>
    <n v="-12490.553628"/>
    <n v="44270.168209791998"/>
    <n v="18631.151910175999"/>
    <n v="0"/>
    <n v="21171.619739816"/>
    <n v="22752.132631200002"/>
    <n v="3995.4618331200004"/>
    <n v="6200"/>
    <n v="317600"/>
    <n v="31800"/>
    <n v="355600"/>
    <n v="0.10366232153941651"/>
    <n v="0.99970000000000003"/>
    <n v="1.0067999999999999"/>
    <n v="0.99650000000000005"/>
    <n v="1.0093000000000001"/>
    <n v="1.0074000000000001"/>
    <n v="0.94971499999999998"/>
    <n v="0.96880423161964746"/>
    <n v="317600"/>
    <n v="5900"/>
    <n v="323500"/>
    <n v="30200"/>
    <n v="353700"/>
    <n v="0.19108983799705448"/>
    <n v="-0.40316205533596838"/>
    <n v="9.7765363128491614E-2"/>
  </r>
  <r>
    <n v="2025"/>
    <s v="18132344476    "/>
    <n v="-1.8971199848858813"/>
    <n v="0.15"/>
    <m/>
    <s v="6"/>
    <s v="RES"/>
    <x v="0"/>
    <s v="11"/>
    <s v="259"/>
    <s v="TD"/>
    <s v="A"/>
    <s v="GD"/>
    <x v="9"/>
    <n v="99"/>
    <n v="56"/>
    <n v="1925"/>
    <n v="1968"/>
    <n v="1614"/>
    <m/>
    <n v="968"/>
    <n v="677"/>
    <n v="291"/>
    <m/>
    <n v="1905"/>
    <n v="2000"/>
    <n v="8"/>
    <m/>
    <m/>
    <m/>
    <m/>
    <m/>
    <m/>
    <m/>
    <n v="309062"/>
    <n v="203981"/>
    <n v="8156"/>
    <n v="347300"/>
    <n v="48400"/>
    <n v="298900"/>
    <n v="0"/>
    <n v="0"/>
    <n v="89850.625589999996"/>
    <n v="-60052.604136134301"/>
    <n v="21557.329055999999"/>
    <n v="197752.34721000001"/>
    <n v="-12490.553628"/>
    <n v="79745.593181478005"/>
    <n v="0"/>
    <n v="0"/>
    <n v="28151.274599095999"/>
    <n v="30336.176841600001"/>
    <n v="0"/>
    <n v="8200"/>
    <n v="345100"/>
    <n v="29800"/>
    <n v="383100"/>
    <n v="0.10308090987618773"/>
    <n v="0.99970000000000003"/>
    <n v="1.0067999999999999"/>
    <n v="0.99650000000000005"/>
    <n v="1.0093000000000001"/>
    <n v="1.0074000000000001"/>
    <n v="0.94971499999999998"/>
    <n v="0.96880423161964746"/>
    <n v="345100"/>
    <n v="7700"/>
    <n v="352800"/>
    <n v="28300"/>
    <n v="381100"/>
    <n v="0.18032786885245902"/>
    <n v="-0.41528925619834711"/>
    <n v="9.7322199827238692E-2"/>
  </r>
  <r>
    <n v="2025"/>
    <s v="18132344046    "/>
    <n v="-1.8971199848858813"/>
    <n v="0.15"/>
    <n v="6631"/>
    <s v="6"/>
    <s v="RES"/>
    <x v="0"/>
    <s v="11"/>
    <s v="400"/>
    <s v="BG"/>
    <s v="A"/>
    <s v="AV"/>
    <x v="9"/>
    <n v="99"/>
    <n v="56"/>
    <n v="1925"/>
    <n v="1968"/>
    <n v="1023"/>
    <m/>
    <n v="1023"/>
    <n v="1023"/>
    <m/>
    <m/>
    <n v="1023"/>
    <n v="1500"/>
    <n v="5"/>
    <m/>
    <m/>
    <m/>
    <m/>
    <m/>
    <m/>
    <m/>
    <n v="208871"/>
    <n v="133677"/>
    <n v="8635"/>
    <n v="278400"/>
    <n v="48400"/>
    <n v="230000"/>
    <n v="0"/>
    <n v="0"/>
    <n v="89850.625589999996"/>
    <n v="-60052.604136134301"/>
    <n v="21557.329055999999"/>
    <n v="160472.20319"/>
    <n v="-12490.553628"/>
    <n v="50545.069284171004"/>
    <n v="0"/>
    <n v="0"/>
    <n v="29750.778837680999"/>
    <n v="18960.110526"/>
    <n v="0"/>
    <n v="8600"/>
    <n v="268800"/>
    <n v="29800"/>
    <n v="307200"/>
    <n v="0.10344827586206896"/>
    <n v="0.99970000000000003"/>
    <n v="1.0067999999999999"/>
    <n v="0.99729999999999996"/>
    <n v="1.0157"/>
    <n v="1.0074000000000001"/>
    <n v="0.94971499999999998"/>
    <n v="0.97573014419916293"/>
    <n v="268800"/>
    <n v="8200"/>
    <n v="277000"/>
    <n v="28300"/>
    <n v="305300"/>
    <n v="0.20434782608695654"/>
    <n v="-0.41528925619834711"/>
    <n v="9.6623563218390801E-2"/>
  </r>
  <r>
    <n v="2025"/>
    <s v="18132242511    "/>
    <n v="-0.9942522733438669"/>
    <n v="0.37"/>
    <n v="16120"/>
    <s v="6"/>
    <s v="RES"/>
    <x v="0"/>
    <s v="11"/>
    <s v="259"/>
    <s v="BG"/>
    <s v="A"/>
    <s v="GD"/>
    <x v="9"/>
    <n v="99"/>
    <n v="56"/>
    <n v="1925"/>
    <n v="1968"/>
    <n v="1038"/>
    <n v="410"/>
    <n v="240"/>
    <n v="240"/>
    <n v="0"/>
    <m/>
    <n v="1448"/>
    <n v="1500"/>
    <n v="8"/>
    <m/>
    <m/>
    <m/>
    <m/>
    <m/>
    <m/>
    <m/>
    <n v="239611"/>
    <n v="158143"/>
    <n v="9963"/>
    <n v="345500"/>
    <n v="79900"/>
    <n v="265600"/>
    <n v="0"/>
    <n v="0"/>
    <n v="89850.625589999996"/>
    <n v="-31472.673662315807"/>
    <n v="21557.329055999999"/>
    <n v="197752.34721000001"/>
    <n v="-12490.553628"/>
    <n v="51286.199332326003"/>
    <n v="18362.433373010001"/>
    <n v="0"/>
    <n v="6979.65485928"/>
    <n v="30336.176841600001"/>
    <n v="0"/>
    <n v="10000"/>
    <n v="313800"/>
    <n v="58400"/>
    <n v="382200"/>
    <n v="0.10622286541244573"/>
    <n v="0.99970000000000003"/>
    <n v="1.0067999999999999"/>
    <n v="0.99650000000000005"/>
    <n v="1.0157"/>
    <n v="1.0074000000000001"/>
    <n v="0.94971499999999998"/>
    <n v="0.97494744680082823"/>
    <n v="313800"/>
    <n v="9500"/>
    <n v="323300"/>
    <n v="55400"/>
    <n v="378700"/>
    <n v="0.21724397590361447"/>
    <n v="-0.30663329161451813"/>
    <n v="9.6092619392185233E-2"/>
  </r>
  <r>
    <n v="2025"/>
    <s v="18132342438    "/>
    <n v="-1.9661128563728327"/>
    <n v="0.14000000000000001"/>
    <n v="6003"/>
    <s v="6"/>
    <s v="RES"/>
    <x v="0"/>
    <s v="11"/>
    <s v="259"/>
    <s v="CC"/>
    <s v="A"/>
    <s v="GD"/>
    <x v="9"/>
    <n v="99"/>
    <n v="56"/>
    <n v="1925"/>
    <n v="1968"/>
    <n v="918"/>
    <n v="698"/>
    <n v="687"/>
    <n v="687"/>
    <m/>
    <m/>
    <n v="1616"/>
    <n v="2000"/>
    <n v="7"/>
    <m/>
    <m/>
    <m/>
    <m/>
    <m/>
    <m/>
    <m/>
    <n v="275786"/>
    <n v="182019"/>
    <n v="0"/>
    <n v="325200"/>
    <n v="46000"/>
    <n v="279200"/>
    <n v="0"/>
    <n v="0"/>
    <n v="89850.625589999996"/>
    <n v="-62236.546971921947"/>
    <n v="21557.329055999999"/>
    <n v="197752.34721000001"/>
    <n v="-12490.553628"/>
    <n v="45357.158947085998"/>
    <n v="31260.923156977999"/>
    <n v="0"/>
    <n v="19979.262034689"/>
    <n v="26544.1547364"/>
    <n v="0"/>
    <n v="0"/>
    <n v="330000"/>
    <n v="27600"/>
    <n v="357600"/>
    <n v="9.9630996309963096E-2"/>
    <n v="0.99970000000000003"/>
    <n v="1.0067999999999999"/>
    <n v="0.99650000000000005"/>
    <n v="1.0093000000000001"/>
    <n v="1.0074000000000001"/>
    <n v="0.94971499999999998"/>
    <n v="0.96880423161964746"/>
    <n v="330000"/>
    <n v="0"/>
    <n v="330000"/>
    <n v="26200"/>
    <n v="356200"/>
    <n v="0.18194842406876791"/>
    <n v="-0.43043478260869567"/>
    <n v="9.5325953259532595E-2"/>
  </r>
  <r>
    <n v="2025"/>
    <s v="18132331019    "/>
    <n v="-1.5141277326297755"/>
    <n v="0.22"/>
    <n v="9735"/>
    <s v="6"/>
    <s v="RES"/>
    <x v="0"/>
    <s v="11"/>
    <s v="259"/>
    <s v="CL"/>
    <s v="A+"/>
    <s v="GD"/>
    <x v="9"/>
    <n v="99"/>
    <n v="56"/>
    <n v="1925"/>
    <n v="1968"/>
    <n v="1254"/>
    <n v="1032"/>
    <n v="918"/>
    <n v="918"/>
    <m/>
    <m/>
    <n v="2286"/>
    <n v="2500"/>
    <n v="10"/>
    <m/>
    <m/>
    <m/>
    <m/>
    <m/>
    <m/>
    <m/>
    <n v="402209"/>
    <n v="265458"/>
    <n v="9780"/>
    <n v="399100"/>
    <n v="61700"/>
    <n v="337400"/>
    <n v="0"/>
    <n v="0"/>
    <n v="89850.625589999996"/>
    <n v="-47929.131559187132"/>
    <n v="29814.093161000001"/>
    <n v="197752.34721000001"/>
    <n v="-12490.553628"/>
    <n v="61958.472025758005"/>
    <n v="46219.588392551996"/>
    <n v="0"/>
    <n v="26697.179836746"/>
    <n v="37920.221052000001"/>
    <n v="0"/>
    <n v="9800"/>
    <n v="387900"/>
    <n v="41900"/>
    <n v="439600"/>
    <n v="0.10147832623402656"/>
    <n v="0.99970000000000003"/>
    <n v="1.0088999999999999"/>
    <n v="0.99650000000000005"/>
    <n v="0.98919999999999997"/>
    <n v="1.0074000000000001"/>
    <n v="0.94971499999999998"/>
    <n v="0.95149120146958555"/>
    <n v="387900"/>
    <n v="9300"/>
    <n v="397200"/>
    <n v="39800"/>
    <n v="437000"/>
    <n v="0.17723770005927683"/>
    <n v="-0.35494327390599678"/>
    <n v="9.4963668253570527E-2"/>
  </r>
  <r>
    <n v="2025"/>
    <s v="18132344496    "/>
    <n v="-1.8971199848858813"/>
    <n v="0.15"/>
    <m/>
    <s v="6"/>
    <s v="RES"/>
    <x v="0"/>
    <s v="11"/>
    <s v="259"/>
    <s v="BG"/>
    <s v="A"/>
    <s v="GD"/>
    <x v="9"/>
    <n v="99"/>
    <n v="56"/>
    <n v="1925"/>
    <n v="1968"/>
    <n v="994"/>
    <m/>
    <n v="331"/>
    <n v="31"/>
    <n v="300"/>
    <m/>
    <n v="1294"/>
    <n v="1500"/>
    <n v="5"/>
    <m/>
    <m/>
    <m/>
    <m/>
    <m/>
    <m/>
    <m/>
    <n v="201822"/>
    <n v="133203"/>
    <n v="8192"/>
    <n v="292900"/>
    <n v="48400"/>
    <n v="244500"/>
    <n v="0"/>
    <n v="0"/>
    <n v="89850.625589999996"/>
    <n v="-60052.604136134301"/>
    <n v="21557.329055999999"/>
    <n v="197752.34721000001"/>
    <n v="-12490.553628"/>
    <n v="49112.217857738004"/>
    <n v="0"/>
    <n v="0"/>
    <n v="9626.1073267569991"/>
    <n v="18960.110526"/>
    <n v="0"/>
    <n v="8200"/>
    <n v="284500"/>
    <n v="29800"/>
    <n v="322500"/>
    <n v="0.10105838170023899"/>
    <n v="0.99970000000000003"/>
    <n v="1.0067999999999999"/>
    <n v="0.99650000000000005"/>
    <n v="1.0157"/>
    <n v="1.0074000000000001"/>
    <n v="0.94971499999999998"/>
    <n v="0.97494744680082823"/>
    <n v="284500"/>
    <n v="7800"/>
    <n v="292300"/>
    <n v="28300"/>
    <n v="320600"/>
    <n v="0.19550102249488752"/>
    <n v="-0.41528925619834711"/>
    <n v="9.4571526118129051E-2"/>
  </r>
  <r>
    <n v="2025"/>
    <s v="18132344034    "/>
    <n v="-1.5606477482646683"/>
    <n v="0.21"/>
    <n v="9355"/>
    <s v="6"/>
    <s v="RES"/>
    <x v="0"/>
    <s v="11"/>
    <s v="259"/>
    <s v="BG"/>
    <s v="A"/>
    <s v="GD"/>
    <x v="9"/>
    <n v="99"/>
    <n v="56"/>
    <n v="1925"/>
    <n v="1968"/>
    <n v="1028"/>
    <m/>
    <n v="515"/>
    <n v="0"/>
    <n v="515"/>
    <m/>
    <n v="1543"/>
    <n v="2000"/>
    <n v="5"/>
    <m/>
    <m/>
    <n v="160"/>
    <m/>
    <m/>
    <m/>
    <m/>
    <n v="225799"/>
    <n v="149027"/>
    <n v="6227"/>
    <n v="312100"/>
    <n v="60100"/>
    <n v="252000"/>
    <n v="0"/>
    <n v="0"/>
    <n v="89850.625589999996"/>
    <n v="-49401.70477837498"/>
    <n v="21557.329055999999"/>
    <n v="197752.34721000001"/>
    <n v="-12490.553628"/>
    <n v="50792.112633556004"/>
    <n v="0"/>
    <n v="0"/>
    <n v="14977.176052204999"/>
    <n v="18960.110526"/>
    <n v="5327.2824441600005"/>
    <n v="6200"/>
    <n v="296900"/>
    <n v="40400"/>
    <n v="343500"/>
    <n v="0.10060877923742391"/>
    <n v="0.99970000000000003"/>
    <n v="1.0067999999999999"/>
    <n v="0.99650000000000005"/>
    <n v="1.0093000000000001"/>
    <n v="1.0074000000000001"/>
    <n v="0.94971499999999998"/>
    <n v="0.96880423161964746"/>
    <n v="296900"/>
    <n v="5900"/>
    <n v="302800"/>
    <n v="38400"/>
    <n v="341200"/>
    <n v="0.20158730158730159"/>
    <n v="-0.36106489184692181"/>
    <n v="9.3239346363345077E-2"/>
  </r>
  <r>
    <n v="2025"/>
    <s v="18132242412    "/>
    <n v="-0.75502258427803282"/>
    <n v="0.47"/>
    <n v="20432"/>
    <s v="6"/>
    <s v="RES"/>
    <x v="0"/>
    <s v="11"/>
    <s v="259"/>
    <s v="BG"/>
    <s v="A+"/>
    <s v="GD"/>
    <x v="9"/>
    <n v="99"/>
    <n v="56"/>
    <n v="1925"/>
    <n v="1968"/>
    <n v="1670"/>
    <n v="808"/>
    <n v="842"/>
    <n v="742"/>
    <n v="100"/>
    <m/>
    <n v="2578"/>
    <n v="3000"/>
    <n v="10"/>
    <m/>
    <m/>
    <n v="254"/>
    <m/>
    <m/>
    <m/>
    <m/>
    <n v="460749"/>
    <n v="304094"/>
    <n v="67828"/>
    <n v="486300"/>
    <n v="88200"/>
    <n v="398100"/>
    <n v="0"/>
    <n v="0"/>
    <n v="89850.625589999996"/>
    <n v="-23899.949781097919"/>
    <n v="29814.093161000001"/>
    <n v="197752.34721000001"/>
    <n v="-12490.553628"/>
    <n v="82512.478694589998"/>
    <n v="36187.429671687998"/>
    <n v="0"/>
    <n v="24486.955797973998"/>
    <n v="37920.221052000001"/>
    <n v="8457.0608801040016"/>
    <n v="67800"/>
    <n v="404600"/>
    <n v="66000"/>
    <n v="538400"/>
    <n v="0.10713551305778327"/>
    <n v="0.99970000000000003"/>
    <n v="1.0088999999999999"/>
    <n v="0.99650000000000005"/>
    <n v="0.96179999999999999"/>
    <n v="1.0074000000000001"/>
    <n v="0.94971499999999998"/>
    <n v="0.92513570316765814"/>
    <n v="404600"/>
    <n v="64400"/>
    <n v="469000"/>
    <n v="62600"/>
    <n v="531600"/>
    <n v="0.17809595579000251"/>
    <n v="-0.29024943310657597"/>
    <n v="9.3152375077112895E-2"/>
  </r>
  <r>
    <n v="2025"/>
    <s v="18132342518    "/>
    <n v="-1.8971199848858813"/>
    <n v="0.15"/>
    <n v="6480"/>
    <s v="6"/>
    <s v="RES"/>
    <x v="0"/>
    <s v="11"/>
    <s v="400"/>
    <s v="TD"/>
    <s v="A+"/>
    <s v="AV"/>
    <x v="9"/>
    <n v="99"/>
    <n v="56"/>
    <n v="1925"/>
    <n v="1968"/>
    <n v="944"/>
    <m/>
    <n v="944"/>
    <n v="283"/>
    <n v="661"/>
    <m/>
    <n v="1605"/>
    <n v="2000"/>
    <n v="8"/>
    <m/>
    <n v="374"/>
    <n v="406"/>
    <m/>
    <m/>
    <m/>
    <m/>
    <n v="296697"/>
    <n v="189886"/>
    <n v="0"/>
    <n v="296400"/>
    <n v="48400"/>
    <n v="248000"/>
    <n v="0"/>
    <n v="0"/>
    <n v="89850.625589999996"/>
    <n v="-60052.604136134301"/>
    <n v="29814.093161000001"/>
    <n v="160472.20319"/>
    <n v="-12490.553628"/>
    <n v="46641.784363888"/>
    <n v="0"/>
    <n v="0"/>
    <n v="27453.309113167998"/>
    <n v="30336.176841600001"/>
    <n v="13517.979202056002"/>
    <n v="0"/>
    <n v="295700"/>
    <n v="29800"/>
    <n v="325500"/>
    <n v="9.8178137651821859E-2"/>
    <n v="0.99970000000000003"/>
    <n v="1.0088999999999999"/>
    <n v="0.99729999999999996"/>
    <n v="1.0093000000000001"/>
    <n v="1.0074000000000001"/>
    <n v="0.94971499999999998"/>
    <n v="0.97160436726197974"/>
    <n v="295700"/>
    <n v="0"/>
    <n v="295700"/>
    <n v="28300"/>
    <n v="324000"/>
    <n v="0.19233870967741937"/>
    <n v="-0.41528925619834711"/>
    <n v="9.3117408906882596E-2"/>
  </r>
  <r>
    <n v="2025"/>
    <s v="18132331450    "/>
    <n v="-1.8971199848858813"/>
    <n v="0.15"/>
    <m/>
    <s v="6"/>
    <s v="RES"/>
    <x v="0"/>
    <s v="11"/>
    <s v="259"/>
    <s v="BG"/>
    <s v="A"/>
    <s v="AV"/>
    <x v="9"/>
    <n v="99"/>
    <n v="56"/>
    <n v="1925"/>
    <n v="1968"/>
    <n v="974"/>
    <m/>
    <n v="974"/>
    <n v="974"/>
    <m/>
    <m/>
    <n v="974"/>
    <n v="1000"/>
    <n v="5"/>
    <m/>
    <m/>
    <m/>
    <m/>
    <m/>
    <m/>
    <m/>
    <n v="196280"/>
    <n v="125619"/>
    <n v="6258"/>
    <n v="274000"/>
    <n v="48400"/>
    <n v="225600"/>
    <n v="0"/>
    <n v="0"/>
    <n v="89850.625589999996"/>
    <n v="-60052.604136134301"/>
    <n v="21557.329055999999"/>
    <n v="160472.20319"/>
    <n v="-12490.553628"/>
    <n v="48124.044460197998"/>
    <n v="0"/>
    <n v="0"/>
    <n v="28325.765970577999"/>
    <n v="18960.110526"/>
    <n v="0"/>
    <n v="6300"/>
    <n v="264900"/>
    <n v="29800"/>
    <n v="301000"/>
    <n v="9.8540145985401464E-2"/>
    <n v="0.99970000000000003"/>
    <n v="1.0067999999999999"/>
    <n v="0.99729999999999996"/>
    <n v="1.0148999999999999"/>
    <n v="1.0074000000000001"/>
    <n v="0.94971499999999998"/>
    <n v="0.97496162582232004"/>
    <n v="264900"/>
    <n v="5900"/>
    <n v="270800"/>
    <n v="28300"/>
    <n v="299100"/>
    <n v="0.20035460992907803"/>
    <n v="-0.41528925619834711"/>
    <n v="9.1605839416058391E-2"/>
  </r>
  <r>
    <n v="2025"/>
    <s v="18132332472    "/>
    <n v="-1.4271163556401458"/>
    <n v="0.24"/>
    <n v="10422"/>
    <s v="6"/>
    <s v="RES"/>
    <x v="0"/>
    <s v="11"/>
    <s v="259"/>
    <s v="BG"/>
    <s v="A+"/>
    <s v="GD"/>
    <x v="9"/>
    <n v="99"/>
    <n v="56"/>
    <n v="1925"/>
    <n v="1968"/>
    <n v="1576"/>
    <n v="374"/>
    <n v="812"/>
    <n v="812"/>
    <n v="0"/>
    <m/>
    <n v="1950"/>
    <n v="2000"/>
    <n v="5"/>
    <m/>
    <m/>
    <m/>
    <m/>
    <m/>
    <m/>
    <m/>
    <n v="360300"/>
    <n v="237798"/>
    <n v="9040"/>
    <n v="369700"/>
    <n v="64800"/>
    <n v="304900"/>
    <n v="0"/>
    <n v="0"/>
    <n v="89850.625589999996"/>
    <n v="-45174.819855485119"/>
    <n v="29814.093161000001"/>
    <n v="197752.34721000001"/>
    <n v="-12490.553628"/>
    <n v="77868.063726152002"/>
    <n v="16750.122150013998"/>
    <n v="0"/>
    <n v="23614.498940563997"/>
    <n v="18960.110526"/>
    <n v="0"/>
    <n v="9000"/>
    <n v="352300"/>
    <n v="44700"/>
    <n v="406000"/>
    <n v="9.8187719772788742E-2"/>
    <n v="0.99970000000000003"/>
    <n v="1.0088999999999999"/>
    <n v="0.99650000000000005"/>
    <n v="1.0093000000000001"/>
    <n v="1.0074000000000001"/>
    <n v="0.94971499999999998"/>
    <n v="0.97082497942099955"/>
    <n v="352300"/>
    <n v="8600"/>
    <n v="360900"/>
    <n v="42400"/>
    <n v="403300"/>
    <n v="0.18366677599212858"/>
    <n v="-0.34567901234567899"/>
    <n v="9.0884500946713548E-2"/>
  </r>
  <r>
    <n v="2025"/>
    <s v="18132314442    "/>
    <n v="-1.7719568419318752"/>
    <n v="0.17"/>
    <n v="7200"/>
    <s v="6"/>
    <s v="RES"/>
    <x v="0"/>
    <s v="11"/>
    <s v="259"/>
    <s v="BG"/>
    <s v="A"/>
    <s v="AV"/>
    <x v="9"/>
    <n v="99"/>
    <n v="56"/>
    <n v="1925"/>
    <n v="1968"/>
    <n v="884"/>
    <m/>
    <n v="682"/>
    <n v="341"/>
    <n v="341"/>
    <m/>
    <n v="1225"/>
    <n v="1500"/>
    <n v="6"/>
    <m/>
    <m/>
    <n v="252"/>
    <m/>
    <m/>
    <m/>
    <m/>
    <n v="227775"/>
    <n v="145776"/>
    <n v="5897"/>
    <n v="277300"/>
    <n v="52700"/>
    <n v="224600"/>
    <n v="0"/>
    <n v="0"/>
    <n v="89850.625589999996"/>
    <n v="-56090.612940989391"/>
    <n v="21557.329055999999"/>
    <n v="160472.20319"/>
    <n v="-12490.553628"/>
    <n v="43677.264171267998"/>
    <n v="0"/>
    <n v="0"/>
    <n v="19833.852558454"/>
    <n v="22752.132631200002"/>
    <n v="8390.4698495520006"/>
    <n v="5900"/>
    <n v="264200"/>
    <n v="33800"/>
    <n v="303900"/>
    <n v="9.5924990984493322E-2"/>
    <n v="0.99970000000000003"/>
    <n v="1.0067999999999999"/>
    <n v="0.99729999999999996"/>
    <n v="1.0157"/>
    <n v="1.0074000000000001"/>
    <n v="0.94971499999999998"/>
    <n v="0.97573014419916293"/>
    <n v="264200"/>
    <n v="5600"/>
    <n v="269800"/>
    <n v="32100"/>
    <n v="301900"/>
    <n v="0.20124666073018699"/>
    <n v="-0.39089184060721061"/>
    <n v="8.871258564731338E-2"/>
  </r>
  <r>
    <n v="2025"/>
    <s v="18132313441    "/>
    <n v="-2.5257286443082556"/>
    <n v="0.08"/>
    <m/>
    <s v="6"/>
    <s v="RES"/>
    <x v="0"/>
    <s v="11"/>
    <s v="259"/>
    <s v="TD"/>
    <s v="F+"/>
    <s v="GD"/>
    <x v="9"/>
    <n v="99"/>
    <n v="56"/>
    <n v="1925"/>
    <n v="1968"/>
    <n v="1259"/>
    <m/>
    <n v="600"/>
    <n v="0"/>
    <n v="600"/>
    <m/>
    <n v="1859"/>
    <n v="2000"/>
    <n v="5"/>
    <m/>
    <m/>
    <n v="256"/>
    <m/>
    <m/>
    <m/>
    <m/>
    <n v="249522"/>
    <n v="164685"/>
    <n v="0"/>
    <n v="277600"/>
    <n v="26500"/>
    <n v="251100"/>
    <n v="0"/>
    <n v="0"/>
    <n v="89850.625589999996"/>
    <n v="-79950.969701614697"/>
    <n v="0"/>
    <n v="197752.34721000001"/>
    <n v="-12490.553628"/>
    <n v="62205.515375143004"/>
    <n v="0"/>
    <n v="0"/>
    <n v="17449.1371482"/>
    <n v="18960.110526"/>
    <n v="8523.6519106560008"/>
    <n v="0"/>
    <n v="292400"/>
    <n v="9900"/>
    <n v="302300"/>
    <n v="8.8976945244956779E-2"/>
    <n v="0.99970000000000003"/>
    <n v="0.99180000000000001"/>
    <n v="0.99650000000000005"/>
    <n v="1.0093000000000001"/>
    <n v="1.0074000000000001"/>
    <n v="0.94971499999999998"/>
    <n v="0.95437031875284728"/>
    <n v="292400"/>
    <n v="0"/>
    <n v="292400"/>
    <n v="9400"/>
    <n v="301800"/>
    <n v="0.16447630426125051"/>
    <n v="-0.6452830188679245"/>
    <n v="8.7175792507204614E-2"/>
  </r>
  <r>
    <n v="2025"/>
    <s v="18132333400    "/>
    <n v="-2.5257286443082556"/>
    <n v="0.08"/>
    <m/>
    <s v="6"/>
    <s v="RES"/>
    <x v="0"/>
    <s v="11"/>
    <s v="259"/>
    <s v="BG"/>
    <s v="A"/>
    <s v="GD"/>
    <x v="9"/>
    <n v="99"/>
    <n v="56"/>
    <n v="1925"/>
    <n v="1968"/>
    <n v="1135"/>
    <m/>
    <n v="1135"/>
    <n v="0"/>
    <n v="1135"/>
    <m/>
    <n v="2270"/>
    <n v="2500"/>
    <n v="8"/>
    <m/>
    <m/>
    <n v="170"/>
    <m/>
    <m/>
    <m/>
    <m/>
    <n v="288996"/>
    <n v="190737"/>
    <n v="0"/>
    <n v="314000"/>
    <n v="26500"/>
    <n v="287500"/>
    <n v="0"/>
    <n v="0"/>
    <n v="89850.625589999996"/>
    <n v="-79950.969701614697"/>
    <n v="21557.329055999999"/>
    <n v="197752.34721000001"/>
    <n v="-12490.553628"/>
    <n v="56078.840310395004"/>
    <n v="0"/>
    <n v="0"/>
    <n v="33007.951105344997"/>
    <n v="30336.176841600001"/>
    <n v="5660.2375969200002"/>
    <n v="0"/>
    <n v="331900"/>
    <n v="9900"/>
    <n v="341800"/>
    <n v="8.8535031847133752E-2"/>
    <n v="0.99970000000000003"/>
    <n v="1.0067999999999999"/>
    <n v="0.99650000000000005"/>
    <n v="0.98919999999999997"/>
    <n v="1.0074000000000001"/>
    <n v="0.94971499999999998"/>
    <n v="0.94951069644125163"/>
    <n v="331900"/>
    <n v="0"/>
    <n v="331900"/>
    <n v="9400"/>
    <n v="341300"/>
    <n v="0.15443478260869564"/>
    <n v="-0.6452830188679245"/>
    <n v="8.6942675159235663E-2"/>
  </r>
  <r>
    <n v="2025"/>
    <s v="18132241001    "/>
    <n v="-0.94160853985844495"/>
    <n v="0.39"/>
    <n v="16839"/>
    <s v="6"/>
    <s v="RES"/>
    <x v="0"/>
    <s v="11"/>
    <s v="259"/>
    <s v="FH"/>
    <s v="A"/>
    <s v="FR"/>
    <x v="9"/>
    <n v="99"/>
    <n v="56"/>
    <n v="1925"/>
    <n v="1968"/>
    <n v="1538"/>
    <n v="700"/>
    <n v="780"/>
    <n v="780"/>
    <m/>
    <m/>
    <n v="2238"/>
    <n v="2500"/>
    <n v="7"/>
    <m/>
    <m/>
    <n v="250"/>
    <m/>
    <m/>
    <m/>
    <m/>
    <n v="356119"/>
    <n v="220794"/>
    <n v="6903"/>
    <n v="341700"/>
    <n v="81700"/>
    <n v="260000"/>
    <n v="0"/>
    <n v="0"/>
    <n v="89850.625589999996"/>
    <n v="-29806.256507663158"/>
    <n v="21557.329055999999"/>
    <n v="133714.53821"/>
    <n v="-12490.553628"/>
    <n v="75990.534270826"/>
    <n v="31350.496002699998"/>
    <n v="0"/>
    <n v="22683.87829266"/>
    <n v="26544.1547364"/>
    <n v="8323.8788190000014"/>
    <n v="6900"/>
    <n v="307700"/>
    <n v="60000"/>
    <n v="374600"/>
    <n v="9.6283289435177055E-2"/>
    <n v="0.99970000000000003"/>
    <n v="1.0067999999999999"/>
    <n v="0.99329999999999996"/>
    <n v="0.98919999999999997"/>
    <n v="1.0074000000000001"/>
    <n v="0.94971499999999998"/>
    <n v="0.94646159034128952"/>
    <n v="307700"/>
    <n v="6600"/>
    <n v="314300"/>
    <n v="57000"/>
    <n v="371300"/>
    <n v="0.20884615384615385"/>
    <n v="-0.30232558139534882"/>
    <n v="8.6625695054141055E-2"/>
  </r>
  <r>
    <n v="2025"/>
    <s v="18132313484    "/>
    <n v="-1.8971199848858813"/>
    <n v="0.15"/>
    <n v="6737"/>
    <s v="6"/>
    <s v="RES"/>
    <x v="0"/>
    <s v="11"/>
    <s v="259"/>
    <s v="BG"/>
    <s v="A"/>
    <s v="GD"/>
    <x v="9"/>
    <n v="99"/>
    <n v="56"/>
    <n v="1925"/>
    <n v="1968"/>
    <n v="840"/>
    <m/>
    <n v="840"/>
    <n v="209"/>
    <n v="631"/>
    <m/>
    <n v="1471"/>
    <n v="1500"/>
    <n v="8"/>
    <m/>
    <m/>
    <m/>
    <m/>
    <m/>
    <m/>
    <m/>
    <n v="215353"/>
    <n v="142133"/>
    <n v="5934"/>
    <n v="310300"/>
    <n v="48400"/>
    <n v="261900"/>
    <n v="0"/>
    <n v="0"/>
    <n v="89850.625589999996"/>
    <n v="-60052.604136134301"/>
    <n v="21557.329055999999"/>
    <n v="197752.34721000001"/>
    <n v="-12490.553628"/>
    <n v="41503.282696679998"/>
    <n v="0"/>
    <n v="0"/>
    <n v="24428.792007479999"/>
    <n v="30336.176841600001"/>
    <n v="0"/>
    <n v="5900"/>
    <n v="303100"/>
    <n v="29800"/>
    <n v="338800"/>
    <n v="9.1846600064453748E-2"/>
    <n v="0.99970000000000003"/>
    <n v="1.0067999999999999"/>
    <n v="0.99650000000000005"/>
    <n v="1.0157"/>
    <n v="1.0074000000000001"/>
    <n v="0.94971499999999998"/>
    <n v="0.97494744680082823"/>
    <n v="303100"/>
    <n v="5600"/>
    <n v="308700"/>
    <n v="28300"/>
    <n v="337000"/>
    <n v="0.17869415807560138"/>
    <n v="-0.41528925619834711"/>
    <n v="8.6045762165646147E-2"/>
  </r>
  <r>
    <n v="2025"/>
    <s v="18132313545    "/>
    <n v="-1.8971199848858813"/>
    <n v="0.15"/>
    <n v="6580"/>
    <s v="6"/>
    <s v="RES"/>
    <x v="0"/>
    <s v="11"/>
    <s v="259"/>
    <s v="CO"/>
    <s v="A+"/>
    <s v="AV"/>
    <x v="9"/>
    <n v="99"/>
    <n v="56"/>
    <n v="1925"/>
    <n v="1968"/>
    <n v="1040"/>
    <n v="527"/>
    <n v="990"/>
    <n v="990"/>
    <m/>
    <m/>
    <n v="1567"/>
    <n v="2000"/>
    <n v="8"/>
    <m/>
    <m/>
    <m/>
    <m/>
    <m/>
    <m/>
    <m/>
    <n v="334079"/>
    <n v="213811"/>
    <n v="8244"/>
    <n v="320500"/>
    <n v="48400"/>
    <n v="272100"/>
    <n v="0"/>
    <n v="0"/>
    <n v="89850.625589999996"/>
    <n v="-60052.604136134301"/>
    <n v="29814.093161000001"/>
    <n v="160472.20319"/>
    <n v="-12490.553628"/>
    <n v="51385.016672080004"/>
    <n v="23602.444847747"/>
    <n v="0"/>
    <n v="28791.076294529998"/>
    <n v="30336.176841600001"/>
    <n v="0"/>
    <n v="8200"/>
    <n v="311900"/>
    <n v="29800"/>
    <n v="349900"/>
    <n v="9.1731669266770677E-2"/>
    <n v="0.99970000000000003"/>
    <n v="1.0088999999999999"/>
    <n v="0.99729999999999996"/>
    <n v="1.0093000000000001"/>
    <n v="1.0074000000000001"/>
    <n v="0.94971499999999998"/>
    <n v="0.97160436726197974"/>
    <n v="311900"/>
    <n v="7800"/>
    <n v="319700"/>
    <n v="28300"/>
    <n v="348000"/>
    <n v="0.1749356854097758"/>
    <n v="-0.41528925619834711"/>
    <n v="8.5803432137285487E-2"/>
  </r>
  <r>
    <n v="2025"/>
    <s v="18132333408    "/>
    <n v="-1.6607312068216509"/>
    <n v="0.19"/>
    <m/>
    <s v="6"/>
    <s v="RES"/>
    <x v="0"/>
    <s v="11"/>
    <s v="259"/>
    <s v="BG"/>
    <s v="F+"/>
    <s v="GD"/>
    <x v="9"/>
    <n v="99"/>
    <n v="56"/>
    <n v="1925"/>
    <n v="1968"/>
    <n v="882"/>
    <m/>
    <n v="340"/>
    <n v="0"/>
    <n v="340"/>
    <m/>
    <n v="1222"/>
    <n v="1500"/>
    <n v="5"/>
    <m/>
    <m/>
    <n v="234"/>
    <m/>
    <m/>
    <m/>
    <m/>
    <n v="185591"/>
    <n v="122490"/>
    <n v="0"/>
    <n v="277400"/>
    <n v="56600"/>
    <n v="220800"/>
    <n v="0"/>
    <n v="0"/>
    <n v="89850.625589999996"/>
    <n v="-52569.808201026557"/>
    <n v="0"/>
    <n v="197752.34721000001"/>
    <n v="-12490.553628"/>
    <n v="43578.446831514004"/>
    <n v="0"/>
    <n v="0"/>
    <n v="9887.8443839800002"/>
    <n v="18960.110526"/>
    <n v="7791.1505745840004"/>
    <n v="0"/>
    <n v="265500"/>
    <n v="37300"/>
    <n v="302800"/>
    <n v="9.1564527757750536E-2"/>
    <n v="0.99970000000000003"/>
    <n v="0.99180000000000001"/>
    <n v="0.99650000000000005"/>
    <n v="1.0157"/>
    <n v="1.0074000000000001"/>
    <n v="0.94971499999999998"/>
    <n v="0.96042200808210354"/>
    <n v="265500"/>
    <n v="0"/>
    <n v="265500"/>
    <n v="35400"/>
    <n v="300900"/>
    <n v="0.20244565217391305"/>
    <n v="-0.37455830388692579"/>
    <n v="8.4715212689257385E-2"/>
  </r>
  <r>
    <n v="2025"/>
    <s v="18132333422    "/>
    <n v="-2.3025850929940455"/>
    <n v="0.1"/>
    <m/>
    <s v="6"/>
    <s v="RES"/>
    <x v="0"/>
    <s v="11"/>
    <s v="259"/>
    <s v="BG"/>
    <s v="A"/>
    <s v="GD"/>
    <x v="9"/>
    <n v="99"/>
    <n v="56"/>
    <n v="1925"/>
    <n v="1968"/>
    <n v="958"/>
    <m/>
    <n v="958"/>
    <n v="285"/>
    <n v="673"/>
    <m/>
    <n v="1631"/>
    <n v="2000"/>
    <n v="8"/>
    <m/>
    <m/>
    <m/>
    <m/>
    <m/>
    <m/>
    <m/>
    <n v="252872"/>
    <n v="166896"/>
    <n v="0"/>
    <n v="302800"/>
    <n v="34200"/>
    <n v="268600"/>
    <n v="0"/>
    <n v="0"/>
    <n v="89850.625589999996"/>
    <n v="-72887.446329681261"/>
    <n v="21557.329055999999"/>
    <n v="197752.34721000001"/>
    <n v="-12490.553628"/>
    <n v="47333.505742166002"/>
    <n v="0"/>
    <n v="0"/>
    <n v="27860.455646626"/>
    <n v="30336.176841600001"/>
    <n v="0"/>
    <n v="0"/>
    <n v="312300"/>
    <n v="17000"/>
    <n v="329300"/>
    <n v="8.7516512549537642E-2"/>
    <n v="0.99970000000000003"/>
    <n v="1.0067999999999999"/>
    <n v="0.99650000000000005"/>
    <n v="1.0093000000000001"/>
    <n v="1.0074000000000001"/>
    <n v="0.94971499999999998"/>
    <n v="0.96880423161964746"/>
    <n v="312300"/>
    <n v="0"/>
    <n v="312300"/>
    <n v="16100"/>
    <n v="328400"/>
    <n v="0.16269545793000745"/>
    <n v="-0.5292397660818714"/>
    <n v="8.4544253632760899E-2"/>
  </r>
  <r>
    <n v="2025"/>
    <s v="18132324438    "/>
    <n v="-1.7147984280919266"/>
    <n v="0.18"/>
    <n v="7743"/>
    <s v="6"/>
    <s v="RES"/>
    <x v="0"/>
    <s v="11"/>
    <s v="259"/>
    <s v="CL"/>
    <s v="G"/>
    <s v="GD"/>
    <x v="9"/>
    <n v="99"/>
    <n v="56"/>
    <n v="1925"/>
    <n v="1968"/>
    <n v="1314"/>
    <n v="1044"/>
    <n v="522"/>
    <n v="522"/>
    <m/>
    <m/>
    <n v="2358"/>
    <n v="2500"/>
    <n v="7"/>
    <m/>
    <m/>
    <n v="280"/>
    <m/>
    <m/>
    <m/>
    <m/>
    <n v="486242"/>
    <n v="320920"/>
    <n v="103817"/>
    <n v="484500"/>
    <n v="54700"/>
    <n v="429800"/>
    <n v="0"/>
    <n v="0"/>
    <n v="89850.625589999996"/>
    <n v="-54281.285314520763"/>
    <n v="44121.038090000002"/>
    <n v="197752.34721000001"/>
    <n v="-12490.553628"/>
    <n v="64922.992218378"/>
    <n v="46757.025466883999"/>
    <n v="0"/>
    <n v="15180.749318933998"/>
    <n v="26544.1547364"/>
    <n v="9322.7442772800005"/>
    <n v="103800"/>
    <n v="392100"/>
    <n v="35600"/>
    <n v="531500"/>
    <n v="9.7007223942208468E-2"/>
    <n v="0.99970000000000003"/>
    <n v="0.98050000000000004"/>
    <n v="0.99650000000000005"/>
    <n v="0.98919999999999997"/>
    <n v="1.0074000000000001"/>
    <n v="0.94971499999999998"/>
    <n v="0.9247072287054503"/>
    <n v="392100"/>
    <n v="98600"/>
    <n v="490700"/>
    <n v="33800"/>
    <n v="524500"/>
    <n v="0.14169381107491857"/>
    <n v="-0.38208409506398539"/>
    <n v="8.2559339525283798E-2"/>
  </r>
  <r>
    <n v="2025"/>
    <s v="18132333458    "/>
    <n v="-1.5141277326297755"/>
    <n v="0.22"/>
    <m/>
    <s v="6"/>
    <s v="RES"/>
    <x v="0"/>
    <s v="11"/>
    <s v="259"/>
    <s v="BG"/>
    <s v="G"/>
    <s v="GD"/>
    <x v="9"/>
    <n v="99"/>
    <n v="39"/>
    <n v="1925"/>
    <n v="1985"/>
    <n v="1252"/>
    <m/>
    <n v="1252"/>
    <n v="150"/>
    <n v="1102"/>
    <m/>
    <n v="2354"/>
    <n v="2500"/>
    <n v="8"/>
    <m/>
    <m/>
    <n v="264"/>
    <m/>
    <m/>
    <m/>
    <m/>
    <n v="422463"/>
    <n v="342195"/>
    <n v="11205"/>
    <n v="389000"/>
    <n v="61700"/>
    <n v="327300"/>
    <n v="0"/>
    <n v="0"/>
    <n v="89850.625589999996"/>
    <n v="-47929.131559187132"/>
    <n v="44121.038090000002"/>
    <n v="197752.34721000001"/>
    <n v="-8698.7784195000004"/>
    <n v="61859.654686004003"/>
    <n v="0"/>
    <n v="0"/>
    <n v="36410.532849243995"/>
    <n v="30336.176841600001"/>
    <n v="8790.0160328640013"/>
    <n v="11200"/>
    <n v="370600"/>
    <n v="41900"/>
    <n v="423700"/>
    <n v="8.9203084832904886E-2"/>
    <n v="0.99970000000000003"/>
    <n v="0.98050000000000004"/>
    <n v="0.99650000000000005"/>
    <n v="0.98919999999999997"/>
    <n v="1.0074000000000001"/>
    <n v="0.94971499999999998"/>
    <n v="0.9247072287054503"/>
    <n v="370600"/>
    <n v="10600"/>
    <n v="381200"/>
    <n v="39800"/>
    <n v="421000"/>
    <n v="0.16468072105102352"/>
    <n v="-0.35494327390599678"/>
    <n v="8.2262210796915161E-2"/>
  </r>
  <r>
    <n v="2025"/>
    <s v="18132331431    "/>
    <n v="-0.9942522733438669"/>
    <n v="0.37"/>
    <m/>
    <s v="6"/>
    <s v="RES"/>
    <x v="0"/>
    <s v="11"/>
    <s v="259"/>
    <s v="BG"/>
    <s v="A+"/>
    <s v="AV"/>
    <x v="9"/>
    <n v="99"/>
    <n v="56"/>
    <n v="1925"/>
    <n v="1968"/>
    <n v="2048"/>
    <m/>
    <n v="1008"/>
    <n v="1008"/>
    <n v="0"/>
    <m/>
    <n v="2048"/>
    <n v="2500"/>
    <n v="5"/>
    <m/>
    <m/>
    <n v="327"/>
    <m/>
    <m/>
    <m/>
    <m/>
    <n v="392171"/>
    <n v="250989"/>
    <n v="7601"/>
    <n v="370500"/>
    <n v="79900"/>
    <n v="290600"/>
    <n v="0"/>
    <n v="0"/>
    <n v="89850.625589999996"/>
    <n v="-31472.673662315807"/>
    <n v="29814.093161000001"/>
    <n v="160472.20319"/>
    <n v="-12490.553628"/>
    <n v="101188.955908096"/>
    <n v="0"/>
    <n v="0"/>
    <n v="29314.550408976"/>
    <n v="18960.110526"/>
    <n v="10887.633495252001"/>
    <n v="7600"/>
    <n v="338100"/>
    <n v="58400"/>
    <n v="404100"/>
    <n v="9.0688259109311747E-2"/>
    <n v="0.99970000000000003"/>
    <n v="1.0088999999999999"/>
    <n v="0.99729999999999996"/>
    <n v="0.98919999999999997"/>
    <n v="1.0074000000000001"/>
    <n v="0.94971499999999998"/>
    <n v="0.95225506796349002"/>
    <n v="338100"/>
    <n v="7200"/>
    <n v="345300"/>
    <n v="55400"/>
    <n v="400700"/>
    <n v="0.18823124569855471"/>
    <n v="-0.30663329161451813"/>
    <n v="8.1511470985155196E-2"/>
  </r>
  <r>
    <n v="2025"/>
    <s v="18132343411    "/>
    <n v="-0.916290731874155"/>
    <n v="0.4"/>
    <n v="17228"/>
    <s v="6"/>
    <s v="RES"/>
    <x v="0"/>
    <s v="11"/>
    <s v="259"/>
    <s v="CO"/>
    <s v="G"/>
    <s v="GD"/>
    <x v="9"/>
    <n v="99"/>
    <n v="56"/>
    <n v="1925"/>
    <n v="1968"/>
    <n v="1094"/>
    <n v="555"/>
    <n v="252"/>
    <n v="252"/>
    <m/>
    <m/>
    <n v="1649"/>
    <n v="2000"/>
    <n v="8"/>
    <m/>
    <m/>
    <m/>
    <m/>
    <m/>
    <m/>
    <m/>
    <n v="354519"/>
    <n v="233983"/>
    <n v="26002"/>
    <n v="396700"/>
    <n v="82600"/>
    <n v="314100"/>
    <n v="0"/>
    <n v="0"/>
    <n v="89850.625589999996"/>
    <n v="-29004.831024516039"/>
    <n v="44121.038090000002"/>
    <n v="197752.34721000001"/>
    <n v="-12490.553628"/>
    <n v="54053.084845438003"/>
    <n v="24856.464687854997"/>
    <n v="0"/>
    <n v="7328.6376022439999"/>
    <n v="30336.176841600001"/>
    <n v="0"/>
    <n v="26000"/>
    <n v="346000"/>
    <n v="60800"/>
    <n v="432800"/>
    <n v="9.1000756238971511E-2"/>
    <n v="0.99970000000000003"/>
    <n v="0.98050000000000004"/>
    <n v="0.99650000000000005"/>
    <n v="1.0093000000000001"/>
    <n v="1.0074000000000001"/>
    <n v="0.94971499999999998"/>
    <n v="0.94349677105985763"/>
    <n v="346000"/>
    <n v="24700"/>
    <n v="370700"/>
    <n v="57800"/>
    <n v="428500"/>
    <n v="0.18019738936644381"/>
    <n v="-0.30024213075060535"/>
    <n v="8.0161330980589862E-2"/>
  </r>
  <r>
    <n v="2025"/>
    <s v="18132314441    "/>
    <n v="-1.9661128563728327"/>
    <n v="0.14000000000000001"/>
    <n v="6000"/>
    <s v="6"/>
    <s v="RES"/>
    <x v="0"/>
    <s v="11"/>
    <s v="259"/>
    <s v="BG"/>
    <s v="A"/>
    <s v="AV"/>
    <x v="9"/>
    <n v="99"/>
    <n v="56"/>
    <n v="1925"/>
    <n v="1968"/>
    <n v="1141"/>
    <m/>
    <n v="780"/>
    <n v="780"/>
    <m/>
    <m/>
    <n v="1141"/>
    <n v="1500"/>
    <n v="5"/>
    <m/>
    <m/>
    <m/>
    <m/>
    <m/>
    <m/>
    <m/>
    <n v="224542"/>
    <n v="143707"/>
    <n v="4439"/>
    <n v="276100"/>
    <n v="46000"/>
    <n v="230100"/>
    <n v="0"/>
    <n v="0"/>
    <n v="89850.625589999996"/>
    <n v="-62236.546971921947"/>
    <n v="21557.329055999999"/>
    <n v="160472.20319"/>
    <n v="-12490.553628"/>
    <n v="56375.292329657001"/>
    <n v="0"/>
    <n v="0"/>
    <n v="22683.87829266"/>
    <n v="18960.110526"/>
    <n v="0"/>
    <n v="4400"/>
    <n v="267600"/>
    <n v="27600"/>
    <n v="299600"/>
    <n v="8.5114089098152837E-2"/>
    <n v="0.99970000000000003"/>
    <n v="1.0067999999999999"/>
    <n v="0.99729999999999996"/>
    <n v="1.0157"/>
    <n v="1.0074000000000001"/>
    <n v="0.94971499999999998"/>
    <n v="0.97573014419916293"/>
    <n v="267600"/>
    <n v="4200"/>
    <n v="271800"/>
    <n v="26200"/>
    <n v="298000"/>
    <n v="0.18122555410691005"/>
    <n v="-0.43043478260869567"/>
    <n v="7.9319087287214776E-2"/>
  </r>
  <r>
    <n v="2025"/>
    <s v="18132344457    "/>
    <n v="-2.0402208285265546"/>
    <n v="0.13"/>
    <n v="5850"/>
    <s v="6"/>
    <s v="RES"/>
    <x v="0"/>
    <s v="11"/>
    <s v="259"/>
    <s v="BG"/>
    <s v="A"/>
    <s v="AV"/>
    <x v="9"/>
    <n v="99"/>
    <n v="56"/>
    <n v="1925"/>
    <n v="1968"/>
    <n v="1006"/>
    <m/>
    <n v="1006"/>
    <n v="905"/>
    <n v="101"/>
    <m/>
    <n v="1107"/>
    <n v="1500"/>
    <n v="5"/>
    <n v="216"/>
    <m/>
    <m/>
    <m/>
    <m/>
    <m/>
    <m/>
    <n v="236343"/>
    <n v="151260"/>
    <n v="42735"/>
    <n v="307700"/>
    <n v="43400"/>
    <n v="264300"/>
    <n v="0"/>
    <n v="0"/>
    <n v="89850.625589999996"/>
    <n v="-64582.406353792743"/>
    <n v="21557.329055999999"/>
    <n v="160472.20319"/>
    <n v="-12490.553628"/>
    <n v="49705.121896262004"/>
    <n v="0"/>
    <n v="0"/>
    <n v="29256.386618482"/>
    <n v="18960.110526"/>
    <n v="0"/>
    <n v="42700"/>
    <n v="267500"/>
    <n v="25300"/>
    <n v="335500"/>
    <n v="9.0347741306467333E-2"/>
    <n v="0.99970000000000003"/>
    <n v="1.0067999999999999"/>
    <n v="0.99729999999999996"/>
    <n v="1.0157"/>
    <n v="1.0074000000000001"/>
    <n v="0.94971499999999998"/>
    <n v="0.97573014419916293"/>
    <n v="267500"/>
    <n v="40600"/>
    <n v="308100"/>
    <n v="24000"/>
    <n v="332100"/>
    <n v="0.16572077185017026"/>
    <n v="-0.44700460829493088"/>
    <n v="7.9298017549561256E-2"/>
  </r>
  <r>
    <n v="2025"/>
    <s v="18132342414    "/>
    <n v="-1.2729656758128873"/>
    <n v="0.28000000000000003"/>
    <n v="12377"/>
    <s v="6"/>
    <s v="RES"/>
    <x v="0"/>
    <s v="11"/>
    <s v="259"/>
    <s v="CO"/>
    <s v="G"/>
    <s v="GD"/>
    <x v="9"/>
    <n v="99"/>
    <n v="53"/>
    <n v="1925"/>
    <n v="1971"/>
    <n v="1339"/>
    <n v="486"/>
    <n v="1188"/>
    <n v="594"/>
    <n v="594"/>
    <m/>
    <n v="2419"/>
    <n v="2500"/>
    <n v="8"/>
    <m/>
    <m/>
    <n v="182"/>
    <m/>
    <m/>
    <m/>
    <m/>
    <n v="477700"/>
    <n v="329613"/>
    <n v="27914"/>
    <n v="428600"/>
    <n v="70100"/>
    <n v="358500"/>
    <n v="0"/>
    <n v="0"/>
    <n v="89850.625589999996"/>
    <n v="-40295.239319339329"/>
    <n v="44121.038090000002"/>
    <n v="197752.34721000001"/>
    <n v="-11821.416826500001"/>
    <n v="66158.208965302998"/>
    <n v="21766.201510446001"/>
    <n v="0"/>
    <n v="34549.291553436"/>
    <n v="30336.176841600001"/>
    <n v="6059.7837802320009"/>
    <n v="27900"/>
    <n v="388900"/>
    <n v="49600"/>
    <n v="466400"/>
    <n v="8.8194120391973871E-2"/>
    <n v="0.99970000000000003"/>
    <n v="0.98050000000000004"/>
    <n v="0.99650000000000005"/>
    <n v="0.98919999999999997"/>
    <n v="1.0074000000000001"/>
    <n v="0.94971499999999998"/>
    <n v="0.9247072287054503"/>
    <n v="388900"/>
    <n v="26500"/>
    <n v="415400"/>
    <n v="47100"/>
    <n v="462500"/>
    <n v="0.15871687587168759"/>
    <n v="-0.32810271041369471"/>
    <n v="7.9094727018198793E-2"/>
  </r>
  <r>
    <n v="2025"/>
    <s v="18132313445    "/>
    <n v="-1.7147984280919266"/>
    <n v="0.18"/>
    <n v="7863"/>
    <s v="6"/>
    <s v="RES"/>
    <x v="0"/>
    <s v="11"/>
    <s v="259"/>
    <s v="BG"/>
    <s v="A"/>
    <s v="GD"/>
    <x v="9"/>
    <n v="99"/>
    <n v="56"/>
    <n v="1925"/>
    <n v="1968"/>
    <n v="1064"/>
    <m/>
    <n v="824"/>
    <n v="12"/>
    <n v="812"/>
    <m/>
    <n v="1876"/>
    <n v="2000"/>
    <n v="9"/>
    <m/>
    <n v="240"/>
    <n v="174"/>
    <m/>
    <m/>
    <m/>
    <m/>
    <n v="272106"/>
    <n v="179590"/>
    <n v="0"/>
    <n v="331900"/>
    <n v="54700"/>
    <n v="277200"/>
    <n v="0"/>
    <n v="0"/>
    <n v="89850.625589999996"/>
    <n v="-54281.285314520763"/>
    <n v="21557.329055999999"/>
    <n v="197752.34721000001"/>
    <n v="-12490.553628"/>
    <n v="52570.824749127998"/>
    <n v="0"/>
    <n v="0"/>
    <n v="23963.481683528"/>
    <n v="34128.198946800003"/>
    <n v="5793.4196580240005"/>
    <n v="0"/>
    <n v="323300"/>
    <n v="35600"/>
    <n v="358900"/>
    <n v="8.1349804157878874E-2"/>
    <n v="0.99970000000000003"/>
    <n v="1.0067999999999999"/>
    <n v="0.99650000000000005"/>
    <n v="1.0093000000000001"/>
    <n v="1.0074000000000001"/>
    <n v="0.94971499999999998"/>
    <n v="0.96880423161964746"/>
    <n v="323300"/>
    <n v="0"/>
    <n v="323300"/>
    <n v="33800"/>
    <n v="357100"/>
    <n v="0.16630591630591632"/>
    <n v="-0.38208409506398539"/>
    <n v="7.5926483880686957E-2"/>
  </r>
  <r>
    <n v="2025"/>
    <s v="18132334020    "/>
    <n v="-0.49429632181478012"/>
    <n v="0.61"/>
    <n v="26643"/>
    <s v="6"/>
    <s v="RES"/>
    <x v="0"/>
    <s v="11"/>
    <s v="259"/>
    <s v="CO"/>
    <s v="G"/>
    <s v="GD"/>
    <x v="9"/>
    <n v="99"/>
    <n v="56"/>
    <n v="1925"/>
    <n v="1968"/>
    <n v="1723"/>
    <n v="744"/>
    <n v="1248"/>
    <n v="605"/>
    <n v="643"/>
    <m/>
    <n v="3110"/>
    <n v="3500"/>
    <n v="9"/>
    <m/>
    <n v="475"/>
    <n v="224"/>
    <m/>
    <m/>
    <m/>
    <m/>
    <n v="617025"/>
    <n v="407237"/>
    <n v="37975"/>
    <n v="494900"/>
    <n v="97300"/>
    <n v="397600"/>
    <n v="0"/>
    <n v="0"/>
    <n v="89850.625589999996"/>
    <n v="-15646.760129236542"/>
    <n v="44121.038090000002"/>
    <n v="197752.34721000001"/>
    <n v="-12490.553628"/>
    <n v="85131.138198070999"/>
    <n v="33321.098608583998"/>
    <n v="0"/>
    <n v="36294.205268255995"/>
    <n v="34128.198946800003"/>
    <n v="7458.1954218240007"/>
    <n v="38000"/>
    <n v="425700"/>
    <n v="74200"/>
    <n v="537900"/>
    <n v="8.6886239644372601E-2"/>
    <n v="0.99970000000000003"/>
    <n v="0.98050000000000004"/>
    <n v="0.99650000000000005"/>
    <n v="1.0126999999999999"/>
    <n v="1.0074000000000001"/>
    <n v="0.94971499999999998"/>
    <n v="0.94667510160736901"/>
    <n v="425700"/>
    <n v="36100"/>
    <n v="461800"/>
    <n v="70500"/>
    <n v="532300"/>
    <n v="0.16146881287726358"/>
    <n v="-0.27543679342240496"/>
    <n v="7.5570822388361283E-2"/>
  </r>
  <r>
    <n v="2025"/>
    <s v="18132344019    "/>
    <n v="-1.8325814637483102"/>
    <n v="0.16"/>
    <n v="6758"/>
    <s v="6"/>
    <s v="RES"/>
    <x v="0"/>
    <s v="11"/>
    <s v="259"/>
    <s v="BG"/>
    <s v="A"/>
    <s v="GD"/>
    <x v="9"/>
    <n v="99"/>
    <n v="56"/>
    <n v="1925"/>
    <n v="1968"/>
    <n v="1010"/>
    <n v="270"/>
    <n v="520"/>
    <n v="0"/>
    <n v="520"/>
    <m/>
    <n v="1800"/>
    <n v="2000"/>
    <n v="6"/>
    <m/>
    <m/>
    <m/>
    <m/>
    <m/>
    <m/>
    <m/>
    <n v="253067"/>
    <n v="167024"/>
    <n v="16000"/>
    <n v="327700"/>
    <n v="50600"/>
    <n v="277100"/>
    <n v="0"/>
    <n v="0"/>
    <n v="89850.625589999996"/>
    <n v="-58009.662049032086"/>
    <n v="21557.329055999999"/>
    <n v="197752.34721000001"/>
    <n v="-12490.553628"/>
    <n v="49902.756575769999"/>
    <n v="12092.33417247"/>
    <n v="0"/>
    <n v="15122.585528439999"/>
    <n v="22752.132631200002"/>
    <n v="0"/>
    <n v="16000"/>
    <n v="306700"/>
    <n v="31800"/>
    <n v="354500"/>
    <n v="8.178211779066219E-2"/>
    <n v="0.99970000000000003"/>
    <n v="1.0067999999999999"/>
    <n v="0.99650000000000005"/>
    <n v="1.0093000000000001"/>
    <n v="1.0074000000000001"/>
    <n v="0.94971499999999998"/>
    <n v="0.96880423161964746"/>
    <n v="306700"/>
    <n v="15200"/>
    <n v="321900"/>
    <n v="30200"/>
    <n v="352100"/>
    <n v="0.16167448574521834"/>
    <n v="-0.40316205533596838"/>
    <n v="7.445834604821483E-2"/>
  </r>
  <r>
    <n v="2025"/>
    <s v="18132342444    "/>
    <n v="-1.9661128563728327"/>
    <n v="0.14000000000000001"/>
    <m/>
    <s v="6"/>
    <s v="RES"/>
    <x v="0"/>
    <s v="11"/>
    <s v="259"/>
    <s v="BG"/>
    <s v="A"/>
    <s v="GD"/>
    <x v="9"/>
    <n v="99"/>
    <n v="56"/>
    <n v="1925"/>
    <n v="1968"/>
    <n v="1110"/>
    <m/>
    <n v="728"/>
    <n v="0"/>
    <n v="728"/>
    <m/>
    <n v="1838"/>
    <n v="2000"/>
    <n v="8"/>
    <m/>
    <m/>
    <n v="166"/>
    <m/>
    <m/>
    <m/>
    <m/>
    <n v="265081"/>
    <n v="174953"/>
    <n v="12533"/>
    <n v="332100"/>
    <n v="46000"/>
    <n v="286100"/>
    <n v="0"/>
    <n v="0"/>
    <n v="89850.625589999996"/>
    <n v="-62236.546971921947"/>
    <n v="21557.329055999999"/>
    <n v="197752.34721000001"/>
    <n v="-12490.553628"/>
    <n v="54843.623563469999"/>
    <n v="0"/>
    <n v="0"/>
    <n v="21171.619739816"/>
    <n v="30336.176841600001"/>
    <n v="5527.0555358160009"/>
    <n v="12500"/>
    <n v="318700"/>
    <n v="27600"/>
    <n v="358800"/>
    <n v="8.0397470641373078E-2"/>
    <n v="0.99970000000000003"/>
    <n v="1.0067999999999999"/>
    <n v="0.99650000000000005"/>
    <n v="1.0093000000000001"/>
    <n v="1.0074000000000001"/>
    <n v="0.94971499999999998"/>
    <n v="0.96880423161964746"/>
    <n v="318700"/>
    <n v="11900"/>
    <n v="330600"/>
    <n v="26200"/>
    <n v="356800"/>
    <n v="0.15554002097168823"/>
    <n v="-0.43043478260869567"/>
    <n v="7.4375188196326408E-2"/>
  </r>
  <r>
    <n v="2025"/>
    <s v="18132313477    "/>
    <n v="-1.8325814637483102"/>
    <n v="0.16"/>
    <n v="6983"/>
    <s v="6"/>
    <s v="RES"/>
    <x v="0"/>
    <s v="11"/>
    <s v="259"/>
    <s v="TD"/>
    <s v="A+"/>
    <s v="GD"/>
    <x v="9"/>
    <n v="99"/>
    <n v="56"/>
    <n v="1925"/>
    <n v="1968"/>
    <n v="980"/>
    <m/>
    <n v="588"/>
    <n v="0"/>
    <n v="588"/>
    <m/>
    <n v="1568"/>
    <n v="2000"/>
    <n v="5"/>
    <m/>
    <m/>
    <m/>
    <m/>
    <m/>
    <m/>
    <m/>
    <n v="269352"/>
    <n v="177772"/>
    <n v="5295"/>
    <n v="311800"/>
    <n v="50600"/>
    <n v="261200"/>
    <n v="0"/>
    <n v="0"/>
    <n v="89850.625589999996"/>
    <n v="-58009.662049032086"/>
    <n v="29814.093161000001"/>
    <n v="197752.34721000001"/>
    <n v="-12490.553628"/>
    <n v="48420.496479460002"/>
    <n v="0"/>
    <n v="0"/>
    <n v="17100.154405236"/>
    <n v="18960.110526"/>
    <n v="0"/>
    <n v="5300"/>
    <n v="299600"/>
    <n v="31800"/>
    <n v="336700"/>
    <n v="7.9858883899935854E-2"/>
    <n v="0.99970000000000003"/>
    <n v="1.0088999999999999"/>
    <n v="0.99650000000000005"/>
    <n v="1.0093000000000001"/>
    <n v="1.0074000000000001"/>
    <n v="0.94971499999999998"/>
    <n v="0.97082497942099955"/>
    <n v="299600"/>
    <n v="5000"/>
    <n v="304600"/>
    <n v="30200"/>
    <n v="334800"/>
    <n v="0.16615620214395099"/>
    <n v="-0.40316205533596838"/>
    <n v="7.3765234124438736E-2"/>
  </r>
  <r>
    <n v="2025"/>
    <s v="18132313506    "/>
    <n v="-1.8325814637483102"/>
    <n v="0.16"/>
    <n v="7000"/>
    <s v="6"/>
    <s v="RES"/>
    <x v="0"/>
    <s v="11"/>
    <s v="259"/>
    <s v="BG"/>
    <s v="A+"/>
    <s v="GD"/>
    <x v="9"/>
    <n v="99"/>
    <n v="56"/>
    <n v="1925"/>
    <n v="1968"/>
    <n v="1460"/>
    <m/>
    <n v="324"/>
    <n v="0"/>
    <n v="324"/>
    <m/>
    <n v="1784"/>
    <n v="2000"/>
    <n v="7"/>
    <m/>
    <m/>
    <m/>
    <m/>
    <m/>
    <m/>
    <m/>
    <n v="313956"/>
    <n v="207211"/>
    <n v="9040"/>
    <n v="337200"/>
    <n v="50600"/>
    <n v="286600"/>
    <n v="0"/>
    <n v="0"/>
    <n v="89850.625589999996"/>
    <n v="-58009.662049032086"/>
    <n v="29814.093161000001"/>
    <n v="197752.34721000001"/>
    <n v="-12490.553628"/>
    <n v="72136.65802042"/>
    <n v="0"/>
    <n v="0"/>
    <n v="9422.5340600279997"/>
    <n v="26544.1547364"/>
    <n v="0"/>
    <n v="9000"/>
    <n v="323200"/>
    <n v="31800"/>
    <n v="364000"/>
    <n v="7.9478054567022532E-2"/>
    <n v="0.99970000000000003"/>
    <n v="1.0088999999999999"/>
    <n v="0.99650000000000005"/>
    <n v="1.0093000000000001"/>
    <n v="1.0074000000000001"/>
    <n v="0.94971499999999998"/>
    <n v="0.97082497942099955"/>
    <n v="323200"/>
    <n v="8600"/>
    <n v="331800"/>
    <n v="30200"/>
    <n v="362000"/>
    <n v="0.15771109560362875"/>
    <n v="-0.40316205533596838"/>
    <n v="7.354685646500593E-2"/>
  </r>
  <r>
    <n v="2025"/>
    <s v="18132332445    "/>
    <n v="-1.6094379124341003"/>
    <n v="0.2"/>
    <n v="8762"/>
    <s v="6"/>
    <s v="RES"/>
    <x v="0"/>
    <s v="11"/>
    <s v="259"/>
    <s v="BG"/>
    <s v="A"/>
    <s v="AV"/>
    <x v="9"/>
    <n v="99"/>
    <n v="56"/>
    <n v="1925"/>
    <n v="1968"/>
    <n v="1766"/>
    <m/>
    <n v="1076"/>
    <n v="1076"/>
    <m/>
    <m/>
    <n v="1766"/>
    <n v="2000"/>
    <n v="8"/>
    <n v="750"/>
    <m/>
    <m/>
    <m/>
    <m/>
    <m/>
    <m/>
    <n v="338676"/>
    <n v="216753"/>
    <n v="0"/>
    <n v="331100"/>
    <n v="58400"/>
    <n v="272700"/>
    <n v="0"/>
    <n v="0"/>
    <n v="89850.625589999996"/>
    <n v="-50946.13867709865"/>
    <n v="21557.329055999999"/>
    <n v="160472.20319"/>
    <n v="-12490.553628"/>
    <n v="87255.711002782002"/>
    <n v="0"/>
    <n v="0"/>
    <n v="31292.119285771998"/>
    <n v="30336.176841600001"/>
    <n v="0"/>
    <n v="0"/>
    <n v="318400"/>
    <n v="38900"/>
    <n v="357300"/>
    <n v="7.9130172153427963E-2"/>
    <n v="0.99970000000000003"/>
    <n v="1.0067999999999999"/>
    <n v="0.99729999999999996"/>
    <n v="1.0093000000000001"/>
    <n v="1.0074000000000001"/>
    <n v="0.94971499999999998"/>
    <n v="0.96958199718441984"/>
    <n v="318400"/>
    <n v="0"/>
    <n v="318400"/>
    <n v="36900"/>
    <n v="355300"/>
    <n v="0.16758342500916759"/>
    <n v="-0.36815068493150682"/>
    <n v="7.3089700996677748E-2"/>
  </r>
  <r>
    <n v="2025"/>
    <s v="18132334003    "/>
    <n v="-1.6607312068216509"/>
    <n v="0.19"/>
    <m/>
    <s v="6"/>
    <s v="RES"/>
    <x v="0"/>
    <s v="11"/>
    <s v="259"/>
    <s v="CL"/>
    <s v="G"/>
    <s v="GD"/>
    <x v="9"/>
    <n v="99"/>
    <n v="56"/>
    <n v="1925"/>
    <n v="1968"/>
    <n v="1336"/>
    <n v="718"/>
    <n v="522"/>
    <n v="522"/>
    <m/>
    <m/>
    <n v="2054"/>
    <n v="2500"/>
    <n v="12"/>
    <m/>
    <m/>
    <m/>
    <m/>
    <m/>
    <m/>
    <m/>
    <n v="432444"/>
    <n v="285413"/>
    <n v="25637"/>
    <n v="417700"/>
    <n v="56600"/>
    <n v="361100"/>
    <n v="0"/>
    <n v="0"/>
    <n v="89850.625589999996"/>
    <n v="-52569.808201026557"/>
    <n v="44121.038090000002"/>
    <n v="197752.34721000001"/>
    <n v="-12490.553628"/>
    <n v="66009.982955672007"/>
    <n v="32156.651614197999"/>
    <n v="0"/>
    <n v="15180.749318933998"/>
    <n v="45504.265262400004"/>
    <n v="0"/>
    <n v="25600"/>
    <n v="388200"/>
    <n v="37300"/>
    <n v="451100"/>
    <n v="7.99616949964089E-2"/>
    <n v="0.99970000000000003"/>
    <n v="0.98050000000000004"/>
    <n v="0.99650000000000005"/>
    <n v="0.98919999999999997"/>
    <n v="1.0074000000000001"/>
    <n v="0.94971499999999998"/>
    <n v="0.9247072287054503"/>
    <n v="388200"/>
    <n v="24300"/>
    <n v="412500"/>
    <n v="35400"/>
    <n v="447900"/>
    <n v="0.14234284131819441"/>
    <n v="-0.37455830388692579"/>
    <n v="7.2300694278190095E-2"/>
  </r>
  <r>
    <n v="2025"/>
    <s v="18132342521    "/>
    <n v="-1.9661128563728327"/>
    <n v="0.14000000000000001"/>
    <n v="6051"/>
    <s v="6"/>
    <s v="RES"/>
    <x v="0"/>
    <s v="11"/>
    <s v="259"/>
    <s v="BG"/>
    <s v="A"/>
    <s v="AV"/>
    <x v="9"/>
    <n v="99"/>
    <n v="56"/>
    <n v="1925"/>
    <n v="1968"/>
    <n v="988"/>
    <m/>
    <n v="544"/>
    <n v="381"/>
    <n v="163"/>
    <m/>
    <n v="1151"/>
    <n v="1500"/>
    <n v="5"/>
    <m/>
    <m/>
    <m/>
    <m/>
    <m/>
    <m/>
    <m/>
    <n v="201859"/>
    <n v="129190"/>
    <n v="8321"/>
    <n v="268100"/>
    <n v="46000"/>
    <n v="222100"/>
    <n v="0"/>
    <n v="0"/>
    <n v="89850.625589999996"/>
    <n v="-62236.546971921947"/>
    <n v="21557.329055999999"/>
    <n v="160472.20319"/>
    <n v="-12490.553628"/>
    <n v="48815.765838476"/>
    <n v="0"/>
    <n v="0"/>
    <n v="15820.551014367999"/>
    <n v="18960.110526"/>
    <n v="0"/>
    <n v="8300"/>
    <n v="253100"/>
    <n v="27600"/>
    <n v="289000"/>
    <n v="7.7955986572174563E-2"/>
    <n v="0.99970000000000003"/>
    <n v="1.0067999999999999"/>
    <n v="0.99729999999999996"/>
    <n v="1.0157"/>
    <n v="1.0074000000000001"/>
    <n v="0.94971499999999998"/>
    <n v="0.97573014419916293"/>
    <n v="253100"/>
    <n v="7900"/>
    <n v="261000"/>
    <n v="26200"/>
    <n v="287200"/>
    <n v="0.17514633048176498"/>
    <n v="-0.43043478260869567"/>
    <n v="7.1242073853039906E-2"/>
  </r>
  <r>
    <n v="2025"/>
    <s v="18132313497    "/>
    <n v="-1.7719568419318752"/>
    <n v="0.17"/>
    <n v="7519"/>
    <s v="6"/>
    <s v="RES"/>
    <x v="0"/>
    <s v="11"/>
    <s v="259"/>
    <s v="BG"/>
    <s v="A"/>
    <s v="AV"/>
    <x v="9"/>
    <n v="99"/>
    <n v="56"/>
    <n v="1925"/>
    <n v="1968"/>
    <n v="890"/>
    <m/>
    <n v="768"/>
    <n v="768"/>
    <m/>
    <m/>
    <n v="890"/>
    <n v="1000"/>
    <n v="6"/>
    <m/>
    <m/>
    <m/>
    <m/>
    <m/>
    <m/>
    <m/>
    <n v="187204"/>
    <n v="119811"/>
    <n v="4419"/>
    <n v="275800"/>
    <n v="52700"/>
    <n v="223100"/>
    <n v="0"/>
    <n v="0"/>
    <n v="89850.625589999996"/>
    <n v="-56090.612940989391"/>
    <n v="21557.329055999999"/>
    <n v="160472.20319"/>
    <n v="-12490.553628"/>
    <n v="43973.716190530002"/>
    <n v="0"/>
    <n v="0"/>
    <n v="22334.895549695997"/>
    <n v="22752.132631200002"/>
    <n v="0"/>
    <n v="4400"/>
    <n v="258600"/>
    <n v="33800"/>
    <n v="296800"/>
    <n v="7.6142131979695438E-2"/>
    <n v="0.99970000000000003"/>
    <n v="1.0067999999999999"/>
    <n v="0.99729999999999996"/>
    <n v="1.0148999999999999"/>
    <n v="1.0074000000000001"/>
    <n v="0.94971499999999998"/>
    <n v="0.97496162582232004"/>
    <n v="258600"/>
    <n v="4200"/>
    <n v="262800"/>
    <n v="32100"/>
    <n v="294900"/>
    <n v="0.17794710891976692"/>
    <n v="-0.39089184060721061"/>
    <n v="6.9253081943437267E-2"/>
  </r>
  <r>
    <n v="2025"/>
    <s v="18132331444    "/>
    <n v="-1.8971199848858813"/>
    <n v="0.15"/>
    <m/>
    <s v="6"/>
    <s v="RES"/>
    <x v="0"/>
    <s v="11"/>
    <s v="259"/>
    <s v="BG"/>
    <s v="A+"/>
    <s v="GD"/>
    <x v="9"/>
    <n v="99"/>
    <n v="56"/>
    <n v="1925"/>
    <n v="1968"/>
    <n v="1200"/>
    <m/>
    <n v="828"/>
    <n v="0"/>
    <n v="828"/>
    <m/>
    <n v="2028"/>
    <n v="2500"/>
    <n v="8"/>
    <m/>
    <m/>
    <n v="144"/>
    <m/>
    <m/>
    <m/>
    <m/>
    <n v="322301"/>
    <n v="212719"/>
    <n v="5261"/>
    <n v="343200"/>
    <n v="48400"/>
    <n v="294800"/>
    <n v="0"/>
    <n v="0"/>
    <n v="89850.625589999996"/>
    <n v="-60052.604136134301"/>
    <n v="29814.093161000001"/>
    <n v="197752.34721000001"/>
    <n v="-12490.553628"/>
    <n v="59290.403852399999"/>
    <n v="0"/>
    <n v="0"/>
    <n v="24079.809264516"/>
    <n v="30336.176841600001"/>
    <n v="4794.5541997440005"/>
    <n v="5300"/>
    <n v="333600"/>
    <n v="29800"/>
    <n v="368700"/>
    <n v="7.4300699300699297E-2"/>
    <n v="0.99970000000000003"/>
    <n v="1.0088999999999999"/>
    <n v="0.99650000000000005"/>
    <n v="0.98919999999999997"/>
    <n v="1.0074000000000001"/>
    <n v="0.94971499999999998"/>
    <n v="0.95149120146958555"/>
    <n v="333600"/>
    <n v="5000"/>
    <n v="338600"/>
    <n v="28300"/>
    <n v="366900"/>
    <n v="0.14857530529172319"/>
    <n v="-0.41528925619834711"/>
    <n v="6.9055944055944049E-2"/>
  </r>
  <r>
    <n v="2025"/>
    <s v="18132332550    "/>
    <n v="-1.7719568419318752"/>
    <n v="0.17"/>
    <m/>
    <s v="6"/>
    <s v="RES"/>
    <x v="0"/>
    <s v="11"/>
    <s v="259"/>
    <s v="CO"/>
    <s v="A+"/>
    <s v="GD"/>
    <x v="9"/>
    <n v="99"/>
    <n v="56"/>
    <n v="1925"/>
    <n v="1968"/>
    <n v="1173"/>
    <n v="584"/>
    <n v="1173"/>
    <n v="400"/>
    <n v="773"/>
    <m/>
    <n v="2530"/>
    <n v="3000"/>
    <n v="11"/>
    <m/>
    <m/>
    <m/>
    <m/>
    <m/>
    <m/>
    <m/>
    <n v="391235"/>
    <n v="258215"/>
    <n v="11424"/>
    <n v="391000"/>
    <n v="52700"/>
    <n v="338300"/>
    <n v="0"/>
    <n v="0"/>
    <n v="89850.625589999996"/>
    <n v="-56090.612940989391"/>
    <n v="29814.093161000001"/>
    <n v="197752.34721000001"/>
    <n v="-12490.553628"/>
    <n v="57956.369765721"/>
    <n v="26155.270950824"/>
    <n v="0"/>
    <n v="34113.063124731001"/>
    <n v="41712.243157199999"/>
    <n v="0"/>
    <n v="11400"/>
    <n v="375000"/>
    <n v="33800"/>
    <n v="420200"/>
    <n v="7.468030690537085E-2"/>
    <n v="0.99970000000000003"/>
    <n v="1.0088999999999999"/>
    <n v="0.99650000000000005"/>
    <n v="0.96179999999999999"/>
    <n v="1.0074000000000001"/>
    <n v="0.94971499999999998"/>
    <n v="0.92513570316765814"/>
    <n v="375000"/>
    <n v="10800"/>
    <n v="385800"/>
    <n v="32100"/>
    <n v="417900"/>
    <n v="0.14040792196275495"/>
    <n v="-0.39089184060721061"/>
    <n v="6.8797953964194372E-2"/>
  </r>
  <r>
    <n v="2025"/>
    <s v="18132344037    "/>
    <n v="-1.5606477482646683"/>
    <n v="0.21"/>
    <n v="9301"/>
    <s v="6"/>
    <s v="RES"/>
    <x v="0"/>
    <s v="11"/>
    <s v="259"/>
    <s v="TD"/>
    <s v="A"/>
    <s v="AV"/>
    <x v="9"/>
    <n v="99"/>
    <n v="56"/>
    <n v="1925"/>
    <n v="1968"/>
    <n v="1329"/>
    <m/>
    <n v="1329"/>
    <n v="1329"/>
    <m/>
    <m/>
    <n v="1329"/>
    <n v="1500"/>
    <n v="8"/>
    <m/>
    <m/>
    <m/>
    <m/>
    <m/>
    <m/>
    <m/>
    <n v="266086"/>
    <n v="170295"/>
    <n v="8103"/>
    <n v="327800"/>
    <n v="60100"/>
    <n v="267700"/>
    <n v="0"/>
    <n v="0"/>
    <n v="89850.625589999996"/>
    <n v="-49401.70477837498"/>
    <n v="21557.329055999999"/>
    <n v="160472.20319"/>
    <n v="-12490.553628"/>
    <n v="65664.122266532999"/>
    <n v="0"/>
    <n v="0"/>
    <n v="38649.838783262996"/>
    <n v="30336.176841600001"/>
    <n v="0"/>
    <n v="8100"/>
    <n v="304200"/>
    <n v="40400"/>
    <n v="352700"/>
    <n v="7.5960951799877968E-2"/>
    <n v="0.99970000000000003"/>
    <n v="1.0067999999999999"/>
    <n v="0.99729999999999996"/>
    <n v="1.0157"/>
    <n v="1.0074000000000001"/>
    <n v="0.94971499999999998"/>
    <n v="0.97573014419916293"/>
    <n v="304200"/>
    <n v="7700"/>
    <n v="311900"/>
    <n v="38400"/>
    <n v="350300"/>
    <n v="0.16511019798281659"/>
    <n v="-0.36106489184692181"/>
    <n v="6.863941427699817E-2"/>
  </r>
  <r>
    <n v="2025"/>
    <s v="18132313496    "/>
    <n v="-1.8325814637483102"/>
    <n v="0.16"/>
    <n v="6999"/>
    <s v="6"/>
    <s v="RES"/>
    <x v="0"/>
    <s v="11"/>
    <s v="259"/>
    <s v="BG"/>
    <s v="A"/>
    <s v="GD"/>
    <x v="9"/>
    <n v="99"/>
    <n v="56"/>
    <n v="1925"/>
    <n v="1968"/>
    <n v="861"/>
    <m/>
    <n v="807"/>
    <n v="0"/>
    <n v="807"/>
    <m/>
    <n v="1668"/>
    <n v="2000"/>
    <n v="6"/>
    <m/>
    <m/>
    <m/>
    <m/>
    <m/>
    <m/>
    <m/>
    <n v="216321"/>
    <n v="142772"/>
    <n v="5831"/>
    <n v="310400"/>
    <n v="50600"/>
    <n v="259800"/>
    <n v="0"/>
    <n v="0"/>
    <n v="89850.625589999996"/>
    <n v="-58009.662049032086"/>
    <n v="21557.329055999999"/>
    <n v="197752.34721000001"/>
    <n v="-12490.553628"/>
    <n v="42540.864764097001"/>
    <n v="0"/>
    <n v="0"/>
    <n v="23469.089464328998"/>
    <n v="22752.132631200002"/>
    <n v="0"/>
    <n v="5800"/>
    <n v="295600"/>
    <n v="31800"/>
    <n v="333200"/>
    <n v="7.3453608247422683E-2"/>
    <n v="0.99970000000000003"/>
    <n v="1.0067999999999999"/>
    <n v="0.99650000000000005"/>
    <n v="1.0093000000000001"/>
    <n v="1.0074000000000001"/>
    <n v="0.94971499999999998"/>
    <n v="0.96880423161964746"/>
    <n v="295600"/>
    <n v="5500"/>
    <n v="301100"/>
    <n v="30200"/>
    <n v="331300"/>
    <n v="0.15896843725943033"/>
    <n v="-0.40316205533596838"/>
    <n v="6.733247422680412E-2"/>
  </r>
  <r>
    <n v="2025"/>
    <s v="18132344411    "/>
    <n v="-1.8971199848858813"/>
    <n v="0.15"/>
    <n v="6490"/>
    <s v="6"/>
    <s v="RES"/>
    <x v="0"/>
    <s v="11"/>
    <s v="259"/>
    <s v="BG"/>
    <s v="A"/>
    <s v="AV"/>
    <x v="9"/>
    <n v="99"/>
    <n v="56"/>
    <n v="1925"/>
    <n v="1968"/>
    <n v="1392"/>
    <n v="1040"/>
    <n v="1392"/>
    <n v="1392"/>
    <m/>
    <m/>
    <n v="2432"/>
    <n v="2500"/>
    <n v="6"/>
    <m/>
    <m/>
    <m/>
    <m/>
    <m/>
    <m/>
    <m/>
    <n v="369069"/>
    <n v="236204"/>
    <n v="6957"/>
    <n v="359000"/>
    <n v="48400"/>
    <n v="310600"/>
    <n v="0"/>
    <n v="0"/>
    <n v="89850.625589999996"/>
    <n v="-60052.604136134301"/>
    <n v="21557.329055999999"/>
    <n v="160472.20319"/>
    <n v="-12490.553628"/>
    <n v="68776.868468784"/>
    <n v="46577.87977544"/>
    <n v="0"/>
    <n v="40481.998183823998"/>
    <n v="22752.132631200002"/>
    <n v="0"/>
    <n v="7000"/>
    <n v="348100"/>
    <n v="29800"/>
    <n v="384900"/>
    <n v="7.2144846796657378E-2"/>
    <n v="0.99970000000000003"/>
    <n v="1.0067999999999999"/>
    <n v="0.99729999999999996"/>
    <n v="0.98919999999999997"/>
    <n v="1.0074000000000001"/>
    <n v="0.94971499999999998"/>
    <n v="0.95027297296624202"/>
    <n v="348100"/>
    <n v="6600"/>
    <n v="354700"/>
    <n v="28300"/>
    <n v="383000"/>
    <n v="0.14198325820991628"/>
    <n v="-0.41528925619834711"/>
    <n v="6.6852367688022288E-2"/>
  </r>
  <r>
    <n v="2025"/>
    <s v="18132342425    "/>
    <n v="-2.8134107167600364"/>
    <n v="0.06"/>
    <m/>
    <s v="6"/>
    <s v="RES"/>
    <x v="0"/>
    <s v="11"/>
    <s v="259"/>
    <s v="TD"/>
    <s v="A"/>
    <s v="AV"/>
    <x v="9"/>
    <n v="99"/>
    <n v="56"/>
    <n v="1925"/>
    <n v="1968"/>
    <n v="840"/>
    <m/>
    <n v="552"/>
    <n v="0"/>
    <n v="552"/>
    <m/>
    <n v="1392"/>
    <n v="1500"/>
    <n v="5"/>
    <m/>
    <n v="288"/>
    <m/>
    <m/>
    <m/>
    <m/>
    <m/>
    <n v="207216"/>
    <n v="132618"/>
    <n v="0"/>
    <n v="231500"/>
    <n v="16400"/>
    <n v="215100"/>
    <n v="0"/>
    <n v="0"/>
    <n v="89850.625589999996"/>
    <n v="-89057.435160650348"/>
    <n v="21557.329055999999"/>
    <n v="160472.20319"/>
    <n v="-12490.553628"/>
    <n v="41503.282696679998"/>
    <n v="0"/>
    <n v="0"/>
    <n v="16053.206176344"/>
    <n v="18960.110526"/>
    <n v="0"/>
    <n v="0"/>
    <n v="246100"/>
    <n v="800"/>
    <n v="246900"/>
    <n v="6.6522678185745143E-2"/>
    <n v="0.99970000000000003"/>
    <n v="1.0067999999999999"/>
    <n v="0.99729999999999996"/>
    <n v="1.0157"/>
    <n v="1.0074000000000001"/>
    <n v="0.94971499999999998"/>
    <n v="0.97573014419916293"/>
    <n v="246100"/>
    <n v="0"/>
    <n v="246100"/>
    <n v="800"/>
    <n v="246900"/>
    <n v="0.14411901441190145"/>
    <n v="-0.95121951219512191"/>
    <n v="6.6522678185745143E-2"/>
  </r>
  <r>
    <n v="2025"/>
    <s v="18132332581    "/>
    <n v="-1.8325814637483102"/>
    <n v="0.16"/>
    <m/>
    <s v="6"/>
    <s v="RES"/>
    <x v="0"/>
    <s v="11"/>
    <s v="259"/>
    <s v="BG"/>
    <s v="A"/>
    <s v="GD"/>
    <x v="9"/>
    <n v="99"/>
    <n v="56"/>
    <n v="1925"/>
    <n v="1968"/>
    <n v="1026"/>
    <m/>
    <n v="770"/>
    <n v="2"/>
    <n v="768"/>
    <m/>
    <n v="1794"/>
    <n v="2000"/>
    <n v="5"/>
    <m/>
    <m/>
    <m/>
    <m/>
    <m/>
    <m/>
    <m/>
    <n v="246851"/>
    <n v="162922"/>
    <n v="4877"/>
    <n v="312900"/>
    <n v="50600"/>
    <n v="262300"/>
    <n v="0"/>
    <n v="0"/>
    <n v="89850.625589999996"/>
    <n v="-58009.662049032086"/>
    <n v="21557.329055999999"/>
    <n v="197752.34721000001"/>
    <n v="-12490.553628"/>
    <n v="50693.295293802003"/>
    <n v="0"/>
    <n v="0"/>
    <n v="22393.059340190001"/>
    <n v="18960.110526"/>
    <n v="0"/>
    <n v="4900"/>
    <n v="298900"/>
    <n v="31800"/>
    <n v="335600"/>
    <n v="7.254713966123362E-2"/>
    <n v="0.99970000000000003"/>
    <n v="1.0067999999999999"/>
    <n v="0.99650000000000005"/>
    <n v="1.0093000000000001"/>
    <n v="1.0074000000000001"/>
    <n v="0.94971499999999998"/>
    <n v="0.96880423161964746"/>
    <n v="298900"/>
    <n v="4600"/>
    <n v="303500"/>
    <n v="30200"/>
    <n v="333700"/>
    <n v="0.15707205489897064"/>
    <n v="-0.40316205533596838"/>
    <n v="6.647491211249601E-2"/>
  </r>
  <r>
    <n v="2025"/>
    <s v="18132344043    "/>
    <n v="-1.8325814637483102"/>
    <n v="0.16"/>
    <n v="7172"/>
    <s v="6"/>
    <s v="RES"/>
    <x v="0"/>
    <s v="11"/>
    <s v="259"/>
    <s v="BG"/>
    <s v="A"/>
    <s v="GD"/>
    <x v="9"/>
    <n v="99"/>
    <n v="56"/>
    <n v="1925"/>
    <n v="1968"/>
    <n v="934"/>
    <m/>
    <n v="934"/>
    <n v="0"/>
    <n v="934"/>
    <m/>
    <n v="1868"/>
    <n v="2000"/>
    <n v="9"/>
    <m/>
    <m/>
    <n v="60"/>
    <m/>
    <m/>
    <m/>
    <m/>
    <n v="247107"/>
    <n v="163091"/>
    <n v="8886"/>
    <n v="332900"/>
    <n v="50600"/>
    <n v="282300"/>
    <n v="0"/>
    <n v="0"/>
    <n v="89850.625589999996"/>
    <n v="-58009.662049032086"/>
    <n v="21557.329055999999"/>
    <n v="197752.34721000001"/>
    <n v="-12490.553628"/>
    <n v="46147.697665118001"/>
    <n v="0"/>
    <n v="0"/>
    <n v="27162.490160697998"/>
    <n v="34128.198946800003"/>
    <n v="1997.7309165600002"/>
    <n v="8900"/>
    <n v="316300"/>
    <n v="31800"/>
    <n v="357000"/>
    <n v="7.2394112346049866E-2"/>
    <n v="0.99970000000000003"/>
    <n v="1.0067999999999999"/>
    <n v="0.99650000000000005"/>
    <n v="1.0093000000000001"/>
    <n v="1.0074000000000001"/>
    <n v="0.94971499999999998"/>
    <n v="0.96880423161964746"/>
    <n v="316300"/>
    <n v="8400"/>
    <n v="324700"/>
    <n v="30200"/>
    <n v="354900"/>
    <n v="0.15019482819695359"/>
    <n v="-0.40316205533596838"/>
    <n v="6.6085911685190749E-2"/>
  </r>
  <r>
    <n v="2025"/>
    <s v="18132241446    "/>
    <n v="-1.5141277326297755"/>
    <n v="0.22"/>
    <n v="9452"/>
    <s v="6"/>
    <s v="RES"/>
    <x v="0"/>
    <s v="11"/>
    <s v="259"/>
    <s v="CO"/>
    <s v="A+"/>
    <s v="FR"/>
    <x v="9"/>
    <n v="99"/>
    <n v="56"/>
    <n v="1925"/>
    <n v="1968"/>
    <n v="1410"/>
    <n v="634"/>
    <m/>
    <n v="0"/>
    <m/>
    <n v="540"/>
    <n v="2584"/>
    <n v="3000"/>
    <n v="10"/>
    <n v="1038"/>
    <m/>
    <m/>
    <m/>
    <m/>
    <m/>
    <m/>
    <n v="426538"/>
    <n v="264454"/>
    <n v="0"/>
    <n v="339600"/>
    <n v="61700"/>
    <n v="277900"/>
    <n v="0"/>
    <n v="0"/>
    <n v="89850.625589999996"/>
    <n v="-47929.131559187132"/>
    <n v="29814.093161000001"/>
    <n v="133714.53821"/>
    <n v="-12490.553628"/>
    <n v="69666.224526570004"/>
    <n v="28394.592093873998"/>
    <n v="35151.122367540003"/>
    <n v="0"/>
    <n v="37920.221052000001"/>
    <n v="0"/>
    <n v="0"/>
    <n v="322200"/>
    <n v="41900"/>
    <n v="364100"/>
    <n v="7.2143698468786807E-2"/>
    <n v="0.99970000000000003"/>
    <n v="1.0088999999999999"/>
    <n v="0.99329999999999996"/>
    <n v="0.96179999999999999"/>
    <n v="1.0074000000000001"/>
    <n v="0.94971499999999998"/>
    <n v="0.92216487100495204"/>
    <n v="322200"/>
    <n v="0"/>
    <n v="322200"/>
    <n v="39800"/>
    <n v="362000"/>
    <n v="0.15940985966174884"/>
    <n v="-0.35494327390599678"/>
    <n v="6.5959952885747936E-2"/>
  </r>
  <r>
    <n v="2025"/>
    <s v="18132242448    "/>
    <n v="-0.96758402626170559"/>
    <n v="0.38"/>
    <n v="16378"/>
    <s v="6"/>
    <s v="RES"/>
    <x v="0"/>
    <s v="11"/>
    <s v="259"/>
    <s v="TD"/>
    <s v="A"/>
    <s v="GD"/>
    <x v="9"/>
    <n v="99"/>
    <n v="56"/>
    <n v="1925"/>
    <n v="1968"/>
    <n v="1293"/>
    <m/>
    <n v="1293"/>
    <n v="1093"/>
    <n v="200"/>
    <m/>
    <n v="1493"/>
    <n v="1500"/>
    <n v="8"/>
    <m/>
    <m/>
    <m/>
    <m/>
    <m/>
    <m/>
    <m/>
    <n v="278389"/>
    <n v="183737"/>
    <n v="9440"/>
    <n v="379100"/>
    <n v="80800"/>
    <n v="298300"/>
    <n v="0"/>
    <n v="0"/>
    <n v="89850.625589999996"/>
    <n v="-30628.500548443946"/>
    <n v="21557.329055999999"/>
    <n v="197752.34721000001"/>
    <n v="-12490.553628"/>
    <n v="63885.410150961005"/>
    <n v="0"/>
    <n v="0"/>
    <n v="37602.890554370999"/>
    <n v="30336.176841600001"/>
    <n v="0"/>
    <n v="9400"/>
    <n v="338600"/>
    <n v="59200"/>
    <n v="407200"/>
    <n v="7.4122922711685565E-2"/>
    <n v="0.99970000000000003"/>
    <n v="1.0067999999999999"/>
    <n v="0.99650000000000005"/>
    <n v="1.0157"/>
    <n v="1.0074000000000001"/>
    <n v="0.94971499999999998"/>
    <n v="0.97494744680082823"/>
    <n v="338600"/>
    <n v="9000"/>
    <n v="347600"/>
    <n v="56200"/>
    <n v="403800"/>
    <n v="0.16526986255447537"/>
    <n v="-0.30445544554455445"/>
    <n v="6.5154312846214715E-2"/>
  </r>
  <r>
    <n v="2025"/>
    <s v="18132344039    "/>
    <n v="-1.8971199848858813"/>
    <n v="0.15"/>
    <m/>
    <s v="6"/>
    <s v="RES"/>
    <x v="0"/>
    <s v="11"/>
    <s v="259"/>
    <s v="BG"/>
    <s v="A"/>
    <s v="AV"/>
    <x v="9"/>
    <n v="99"/>
    <n v="56"/>
    <n v="1925"/>
    <n v="1968"/>
    <n v="1118"/>
    <m/>
    <n v="559"/>
    <n v="459"/>
    <n v="100"/>
    <m/>
    <n v="1218"/>
    <n v="1500"/>
    <n v="5"/>
    <m/>
    <m/>
    <m/>
    <m/>
    <m/>
    <m/>
    <m/>
    <n v="213512"/>
    <n v="136648"/>
    <n v="0"/>
    <n v="270700"/>
    <n v="48400"/>
    <n v="222300"/>
    <n v="0"/>
    <n v="0"/>
    <n v="89850.625589999996"/>
    <n v="-60052.604136134301"/>
    <n v="21557.329055999999"/>
    <n v="160472.20319"/>
    <n v="-12490.553628"/>
    <n v="55238.892922486004"/>
    <n v="0"/>
    <n v="0"/>
    <n v="16256.779443072999"/>
    <n v="18960.110526"/>
    <n v="0"/>
    <n v="0"/>
    <n v="260000"/>
    <n v="29800"/>
    <n v="289800"/>
    <n v="7.0557813077207238E-2"/>
    <n v="0.99970000000000003"/>
    <n v="1.0067999999999999"/>
    <n v="0.99729999999999996"/>
    <n v="1.0157"/>
    <n v="1.0074000000000001"/>
    <n v="0.94971499999999998"/>
    <n v="0.97573014419916293"/>
    <n v="260000"/>
    <n v="0"/>
    <n v="260000"/>
    <n v="28300"/>
    <n v="288300"/>
    <n v="0.16959064327485379"/>
    <n v="-0.41528925619834711"/>
    <n v="6.5016623568526041E-2"/>
  </r>
  <r>
    <n v="2025"/>
    <s v="18132313488    "/>
    <n v="-1.4696759700589417"/>
    <n v="0.23"/>
    <n v="10097"/>
    <s v="6"/>
    <s v="RES"/>
    <x v="0"/>
    <s v="11"/>
    <s v="259"/>
    <s v="BG"/>
    <s v="A"/>
    <s v="AV"/>
    <x v="9"/>
    <n v="99"/>
    <n v="56"/>
    <n v="1925"/>
    <n v="1968"/>
    <n v="1260"/>
    <m/>
    <n v="1260"/>
    <n v="882"/>
    <n v="378"/>
    <m/>
    <n v="1638"/>
    <n v="2000"/>
    <n v="5"/>
    <m/>
    <m/>
    <n v="64"/>
    <m/>
    <m/>
    <m/>
    <m/>
    <n v="269639"/>
    <n v="172569"/>
    <n v="37408"/>
    <n v="343800"/>
    <n v="63300"/>
    <n v="280500"/>
    <n v="0"/>
    <n v="0"/>
    <n v="89850.625589999996"/>
    <n v="-46522.028095997222"/>
    <n v="21557.329055999999"/>
    <n v="160472.20319"/>
    <n v="-12490.553628"/>
    <n v="62254.924045020001"/>
    <n v="0"/>
    <n v="0"/>
    <n v="36643.188011220001"/>
    <n v="18960.110526"/>
    <n v="2130.9129776640002"/>
    <n v="37400"/>
    <n v="289500"/>
    <n v="43300"/>
    <n v="370200"/>
    <n v="7.6788830715532289E-2"/>
    <n v="0.99970000000000003"/>
    <n v="1.0067999999999999"/>
    <n v="0.99729999999999996"/>
    <n v="1.0093000000000001"/>
    <n v="1.0074000000000001"/>
    <n v="0.94971499999999998"/>
    <n v="0.96958199718441984"/>
    <n v="289500"/>
    <n v="35500"/>
    <n v="325000"/>
    <n v="41100"/>
    <n v="366100"/>
    <n v="0.1586452762923351"/>
    <n v="-0.35071090047393366"/>
    <n v="6.4863292611983717E-2"/>
  </r>
  <r>
    <n v="2025"/>
    <s v="18132332476    "/>
    <n v="-1.7147984280919266"/>
    <n v="0.18"/>
    <n v="7834"/>
    <s v="6"/>
    <s v="RES"/>
    <x v="0"/>
    <s v="11"/>
    <s v="259"/>
    <s v="TD"/>
    <s v="F+"/>
    <s v="GD"/>
    <x v="9"/>
    <n v="99"/>
    <n v="56"/>
    <n v="1925"/>
    <n v="1968"/>
    <n v="880"/>
    <m/>
    <m/>
    <n v="0"/>
    <m/>
    <m/>
    <n v="880"/>
    <n v="1000"/>
    <n v="6"/>
    <m/>
    <m/>
    <m/>
    <m/>
    <m/>
    <m/>
    <m/>
    <n v="153540"/>
    <n v="101336"/>
    <n v="6050"/>
    <n v="273300"/>
    <n v="54700"/>
    <n v="218600"/>
    <n v="0"/>
    <n v="0"/>
    <n v="89850.625589999996"/>
    <n v="-54281.285314520763"/>
    <n v="0"/>
    <n v="197752.34721000001"/>
    <n v="-12490.553628"/>
    <n v="43479.629491760003"/>
    <n v="0"/>
    <n v="0"/>
    <n v="0"/>
    <n v="22752.132631200002"/>
    <n v="0"/>
    <n v="6100"/>
    <n v="251500"/>
    <n v="35600"/>
    <n v="293200"/>
    <n v="7.2813757775338453E-2"/>
    <n v="0.99970000000000003"/>
    <n v="0.99180000000000001"/>
    <n v="0.99650000000000005"/>
    <n v="1.0148999999999999"/>
    <n v="1.0074000000000001"/>
    <n v="0.94971499999999998"/>
    <n v="0.9596655469159463"/>
    <n v="251500"/>
    <n v="5700"/>
    <n v="257200"/>
    <n v="33800"/>
    <n v="291000"/>
    <n v="0.17657822506861848"/>
    <n v="-0.38208409506398539"/>
    <n v="6.4763995609220637E-2"/>
  </r>
  <r>
    <n v="2025"/>
    <s v="18132313521    "/>
    <n v="-1.5606477482646683"/>
    <n v="0.21"/>
    <n v="9135"/>
    <s v="6"/>
    <s v="RES"/>
    <x v="0"/>
    <s v="11"/>
    <s v="259"/>
    <s v="BG"/>
    <s v="A"/>
    <s v="GD"/>
    <x v="9"/>
    <n v="99"/>
    <n v="56"/>
    <n v="1925"/>
    <n v="1968"/>
    <n v="1314"/>
    <m/>
    <n v="390"/>
    <n v="0"/>
    <n v="390"/>
    <m/>
    <n v="1704"/>
    <n v="2000"/>
    <n v="12"/>
    <m/>
    <m/>
    <m/>
    <m/>
    <m/>
    <m/>
    <m/>
    <n v="275373"/>
    <n v="181746"/>
    <n v="13727"/>
    <n v="357100"/>
    <n v="60100"/>
    <n v="297000"/>
    <n v="0"/>
    <n v="0"/>
    <n v="89850.625589999996"/>
    <n v="-49401.70477837498"/>
    <n v="21557.329055999999"/>
    <n v="197752.34721000001"/>
    <n v="-12490.553628"/>
    <n v="64922.992218378"/>
    <n v="0"/>
    <n v="0"/>
    <n v="11341.93914633"/>
    <n v="45504.265262400004"/>
    <n v="0"/>
    <n v="13700"/>
    <n v="328600"/>
    <n v="40400"/>
    <n v="382700"/>
    <n v="7.1688602632315884E-2"/>
    <n v="0.99970000000000003"/>
    <n v="1.0067999999999999"/>
    <n v="0.99650000000000005"/>
    <n v="1.0093000000000001"/>
    <n v="1.0074000000000001"/>
    <n v="0.94971499999999998"/>
    <n v="0.96880423161964746"/>
    <n v="328600"/>
    <n v="13000"/>
    <n v="341600"/>
    <n v="38400"/>
    <n v="380000"/>
    <n v="0.15016835016835017"/>
    <n v="-0.36106489184692181"/>
    <n v="6.4127695323438816E-2"/>
  </r>
  <r>
    <n v="2025"/>
    <s v="18132244472    "/>
    <n v="-1.6607312068216509"/>
    <n v="0.19"/>
    <n v="8266"/>
    <s v="6"/>
    <s v="RES"/>
    <x v="0"/>
    <s v="11"/>
    <s v="259"/>
    <s v="TD"/>
    <s v="A+"/>
    <s v="GD"/>
    <x v="9"/>
    <n v="99"/>
    <n v="56"/>
    <n v="1925"/>
    <n v="1968"/>
    <n v="1048"/>
    <m/>
    <n v="1051"/>
    <n v="301"/>
    <n v="750"/>
    <m/>
    <n v="1798"/>
    <n v="2000"/>
    <n v="10"/>
    <m/>
    <m/>
    <m/>
    <m/>
    <m/>
    <m/>
    <m/>
    <n v="307917"/>
    <n v="203225"/>
    <n v="10874"/>
    <n v="358100"/>
    <n v="56600"/>
    <n v="301500"/>
    <n v="0"/>
    <n v="0"/>
    <n v="89850.625589999996"/>
    <n v="-52569.808201026557"/>
    <n v="29814.093161000001"/>
    <n v="197752.34721000001"/>
    <n v="-12490.553628"/>
    <n v="51780.286031096002"/>
    <n v="0"/>
    <n v="0"/>
    <n v="30565.071904597"/>
    <n v="37920.221052000001"/>
    <n v="0"/>
    <n v="10900"/>
    <n v="335300"/>
    <n v="37300"/>
    <n v="383500"/>
    <n v="7.0929907846970119E-2"/>
    <n v="0.99970000000000003"/>
    <n v="1.0088999999999999"/>
    <n v="0.99650000000000005"/>
    <n v="1.0093000000000001"/>
    <n v="1.0074000000000001"/>
    <n v="0.94971499999999998"/>
    <n v="0.97082497942099955"/>
    <n v="335300"/>
    <n v="10300"/>
    <n v="345600"/>
    <n v="35400"/>
    <n v="381000"/>
    <n v="0.14626865671641792"/>
    <n v="-0.37455830388692579"/>
    <n v="6.3948617704551805E-2"/>
  </r>
  <r>
    <n v="2025"/>
    <s v="18132344421    "/>
    <n v="-1.8971199848858813"/>
    <n v="0.15"/>
    <m/>
    <s v="6"/>
    <s v="RES"/>
    <x v="0"/>
    <s v="11"/>
    <s v="400"/>
    <s v="MS"/>
    <s v="A+"/>
    <s v="GD"/>
    <x v="9"/>
    <n v="99"/>
    <n v="56"/>
    <n v="1925"/>
    <n v="1968"/>
    <n v="934"/>
    <m/>
    <n v="934"/>
    <n v="0"/>
    <n v="934"/>
    <m/>
    <n v="1868"/>
    <n v="2000"/>
    <n v="8"/>
    <m/>
    <m/>
    <m/>
    <m/>
    <m/>
    <m/>
    <m/>
    <n v="279256"/>
    <n v="184309"/>
    <n v="6227"/>
    <n v="331700"/>
    <n v="48400"/>
    <n v="283300"/>
    <n v="0"/>
    <n v="0"/>
    <n v="89850.625589999996"/>
    <n v="-60052.604136134301"/>
    <n v="29814.093161000001"/>
    <n v="197752.34721000001"/>
    <n v="-12490.553628"/>
    <n v="46147.697665118001"/>
    <n v="0"/>
    <n v="0"/>
    <n v="27162.490160697998"/>
    <n v="30336.176841600001"/>
    <n v="0"/>
    <n v="6200"/>
    <n v="318700"/>
    <n v="29800"/>
    <n v="354700"/>
    <n v="6.933976484775399E-2"/>
    <n v="0.99970000000000003"/>
    <n v="1.0088999999999999"/>
    <n v="0.99650000000000005"/>
    <n v="1.0093000000000001"/>
    <n v="1.0074000000000001"/>
    <n v="0.94971499999999998"/>
    <n v="0.97082497942099955"/>
    <n v="318700"/>
    <n v="5900"/>
    <n v="324600"/>
    <n v="28300"/>
    <n v="352900"/>
    <n v="0.14578185668902224"/>
    <n v="-0.41528925619834711"/>
    <n v="6.391317455532107E-2"/>
  </r>
  <r>
    <n v="2025"/>
    <s v="18132344016    "/>
    <n v="-1.8971199848858813"/>
    <n v="0.15"/>
    <n v="6462"/>
    <s v="6"/>
    <s v="RES"/>
    <x v="0"/>
    <s v="11"/>
    <s v="259"/>
    <s v="TD"/>
    <s v="A"/>
    <s v="AV"/>
    <x v="9"/>
    <n v="99"/>
    <n v="56"/>
    <n v="1925"/>
    <n v="1968"/>
    <n v="720"/>
    <m/>
    <n v="720"/>
    <n v="270"/>
    <n v="450"/>
    <m/>
    <n v="1170"/>
    <n v="1500"/>
    <n v="5"/>
    <m/>
    <m/>
    <m/>
    <m/>
    <m/>
    <m/>
    <m/>
    <n v="185265"/>
    <n v="118570"/>
    <n v="18746"/>
    <n v="273700"/>
    <n v="48400"/>
    <n v="225300"/>
    <n v="0"/>
    <n v="0"/>
    <n v="89850.625589999996"/>
    <n v="-60052.604136134301"/>
    <n v="21557.329055999999"/>
    <n v="160472.20319"/>
    <n v="-12490.553628"/>
    <n v="35574.242311440001"/>
    <n v="0"/>
    <n v="0"/>
    <n v="20938.964577839997"/>
    <n v="18960.110526"/>
    <n v="0"/>
    <n v="18700"/>
    <n v="245000"/>
    <n v="29800"/>
    <n v="293500"/>
    <n v="7.2341980270369019E-2"/>
    <n v="0.99970000000000003"/>
    <n v="1.0067999999999999"/>
    <n v="0.99729999999999996"/>
    <n v="1.0157"/>
    <n v="1.0074000000000001"/>
    <n v="0.94971499999999998"/>
    <n v="0.97573014419916293"/>
    <n v="245000"/>
    <n v="17800"/>
    <n v="262800"/>
    <n v="28300"/>
    <n v="291100"/>
    <n v="0.16644474034620507"/>
    <n v="-0.41528925619834711"/>
    <n v="6.3573255389112168E-2"/>
  </r>
  <r>
    <n v="2025"/>
    <s v="18132344451    "/>
    <n v="-1.8971199848858813"/>
    <n v="0.15"/>
    <n v="6500"/>
    <s v="6"/>
    <s v="RES"/>
    <x v="0"/>
    <s v="11"/>
    <s v="259"/>
    <s v="BG"/>
    <s v="F+"/>
    <s v="GD"/>
    <x v="9"/>
    <n v="99"/>
    <n v="56"/>
    <n v="1925"/>
    <n v="1968"/>
    <n v="988"/>
    <m/>
    <n v="750"/>
    <n v="0"/>
    <n v="750"/>
    <m/>
    <n v="1738"/>
    <n v="2000"/>
    <n v="7"/>
    <m/>
    <m/>
    <n v="160"/>
    <m/>
    <m/>
    <m/>
    <m/>
    <n v="218215"/>
    <n v="144022"/>
    <n v="6227"/>
    <n v="303100"/>
    <n v="48400"/>
    <n v="254700"/>
    <n v="0"/>
    <n v="0"/>
    <n v="89850.625589999996"/>
    <n v="-60052.604136134301"/>
    <n v="0"/>
    <n v="197752.34721000001"/>
    <n v="-12490.553628"/>
    <n v="48815.765838476"/>
    <n v="0"/>
    <n v="0"/>
    <n v="21811.421435249998"/>
    <n v="26544.1547364"/>
    <n v="5327.2824441600005"/>
    <n v="6200"/>
    <n v="287800"/>
    <n v="29800"/>
    <n v="323800"/>
    <n v="6.8294292312768068E-2"/>
    <n v="0.99970000000000003"/>
    <n v="0.99180000000000001"/>
    <n v="0.99650000000000005"/>
    <n v="1.0093000000000001"/>
    <n v="1.0074000000000001"/>
    <n v="0.94971499999999998"/>
    <n v="0.95437031875284728"/>
    <n v="287800"/>
    <n v="5900"/>
    <n v="293700"/>
    <n v="28300"/>
    <n v="322000"/>
    <n v="0.15312131919905772"/>
    <n v="-0.41528925619834711"/>
    <n v="6.2355658198614321E-2"/>
  </r>
  <r>
    <n v="2025"/>
    <s v="18132332585    "/>
    <n v="-1.7147984280919266"/>
    <n v="0.18"/>
    <m/>
    <s v="6"/>
    <s v="RES"/>
    <x v="0"/>
    <s v="11"/>
    <s v="259"/>
    <s v="BG"/>
    <s v="G"/>
    <s v="GD"/>
    <x v="9"/>
    <n v="99"/>
    <n v="56"/>
    <n v="1925"/>
    <n v="1968"/>
    <n v="1589"/>
    <n v="384"/>
    <n v="1279"/>
    <n v="639"/>
    <n v="640"/>
    <m/>
    <n v="2613"/>
    <n v="3000"/>
    <n v="8"/>
    <m/>
    <m/>
    <m/>
    <m/>
    <m/>
    <m/>
    <m/>
    <n v="503181"/>
    <n v="332099"/>
    <n v="0"/>
    <n v="402000"/>
    <n v="54700"/>
    <n v="347300"/>
    <n v="0"/>
    <n v="0"/>
    <n v="89850.625589999996"/>
    <n v="-54281.285314520763"/>
    <n v="44121.038090000002"/>
    <n v="197752.34721000001"/>
    <n v="-12490.553628"/>
    <n v="78510.376434553007"/>
    <n v="17197.986378623998"/>
    <n v="0"/>
    <n v="37195.744020913"/>
    <n v="30336.176841600001"/>
    <n v="0"/>
    <n v="0"/>
    <n v="392600"/>
    <n v="35600"/>
    <n v="428200"/>
    <n v="6.5174129353233828E-2"/>
    <n v="0.99970000000000003"/>
    <n v="0.98050000000000004"/>
    <n v="0.99650000000000005"/>
    <n v="0.96179999999999999"/>
    <n v="1.0074000000000001"/>
    <n v="0.94971499999999998"/>
    <n v="0.89909362370491519"/>
    <n v="392600"/>
    <n v="0"/>
    <n v="392600"/>
    <n v="33800"/>
    <n v="426400"/>
    <n v="0.13043478260869565"/>
    <n v="-0.38208409506398539"/>
    <n v="6.0696517412935323E-2"/>
  </r>
  <r>
    <n v="2025"/>
    <s v="18132342439    "/>
    <n v="-1.2729656758128873"/>
    <n v="0.28000000000000003"/>
    <m/>
    <s v="6"/>
    <s v="RES"/>
    <x v="0"/>
    <s v="11"/>
    <s v="259"/>
    <s v="CL"/>
    <s v="G"/>
    <s v="GD"/>
    <x v="9"/>
    <n v="99"/>
    <n v="56"/>
    <n v="1925"/>
    <n v="1968"/>
    <n v="1264"/>
    <n v="1216"/>
    <n v="760"/>
    <n v="415"/>
    <n v="345"/>
    <m/>
    <n v="2825"/>
    <n v="3000"/>
    <n v="10"/>
    <m/>
    <m/>
    <n v="142"/>
    <m/>
    <m/>
    <m/>
    <m/>
    <n v="534657"/>
    <n v="352874"/>
    <n v="10057"/>
    <n v="441700"/>
    <n v="70100"/>
    <n v="371600"/>
    <n v="0"/>
    <n v="0"/>
    <n v="89850.625589999996"/>
    <n v="-40295.239319339329"/>
    <n v="44121.038090000002"/>
    <n v="197752.34721000001"/>
    <n v="-12490.553628"/>
    <n v="62452.558724528004"/>
    <n v="54460.290198975999"/>
    <n v="0"/>
    <n v="22102.240387719998"/>
    <n v="37920.221052000001"/>
    <n v="4727.9631691920004"/>
    <n v="10100"/>
    <n v="411000"/>
    <n v="49600"/>
    <n v="470700"/>
    <n v="6.5655422232284349E-2"/>
    <n v="0.99970000000000003"/>
    <n v="0.98050000000000004"/>
    <n v="0.99650000000000005"/>
    <n v="0.96179999999999999"/>
    <n v="1.0074000000000001"/>
    <n v="0.94971499999999998"/>
    <n v="0.89909362370491519"/>
    <n v="411000"/>
    <n v="9600"/>
    <n v="420600"/>
    <n v="47100"/>
    <n v="467700"/>
    <n v="0.1318622174381055"/>
    <n v="-0.32810271041369471"/>
    <n v="5.8863482001358387E-2"/>
  </r>
  <r>
    <n v="2025"/>
    <s v="18132332427    "/>
    <n v="-1.8971199848858813"/>
    <n v="0.15"/>
    <m/>
    <s v="6"/>
    <s v="RES"/>
    <x v="0"/>
    <s v="11"/>
    <s v="259"/>
    <s v="BG"/>
    <s v="A"/>
    <s v="GD"/>
    <x v="9"/>
    <n v="99"/>
    <n v="56"/>
    <n v="1925"/>
    <n v="1968"/>
    <n v="1462"/>
    <m/>
    <n v="910"/>
    <n v="0"/>
    <n v="910"/>
    <m/>
    <n v="2372"/>
    <n v="2500"/>
    <n v="6"/>
    <m/>
    <m/>
    <m/>
    <m/>
    <m/>
    <m/>
    <m/>
    <n v="318987"/>
    <n v="210531"/>
    <n v="14971"/>
    <n v="350300"/>
    <n v="48400"/>
    <n v="301900"/>
    <n v="0"/>
    <n v="0"/>
    <n v="89850.625589999996"/>
    <n v="-60052.604136134301"/>
    <n v="21557.329055999999"/>
    <n v="197752.34721000001"/>
    <n v="-12490.553628"/>
    <n v="72235.475360174009"/>
    <n v="0"/>
    <n v="0"/>
    <n v="26464.52467477"/>
    <n v="22752.132631200002"/>
    <n v="0"/>
    <n v="15000"/>
    <n v="328300"/>
    <n v="29800"/>
    <n v="373100"/>
    <n v="6.5087068227233799E-2"/>
    <n v="0.99970000000000003"/>
    <n v="1.0067999999999999"/>
    <n v="0.99650000000000005"/>
    <n v="0.98919999999999997"/>
    <n v="1.0074000000000001"/>
    <n v="0.94971499999999998"/>
    <n v="0.94951069644125163"/>
    <n v="328300"/>
    <n v="14200"/>
    <n v="342500"/>
    <n v="28300"/>
    <n v="370800"/>
    <n v="0.13448161642928122"/>
    <n v="-0.41528925619834711"/>
    <n v="5.8521267485012844E-2"/>
  </r>
  <r>
    <n v="2025"/>
    <s v="18132344452    "/>
    <n v="-1.8971199848858813"/>
    <n v="0.15"/>
    <n v="6500"/>
    <s v="6"/>
    <s v="RES"/>
    <x v="0"/>
    <s v="11"/>
    <s v="259"/>
    <s v="BG"/>
    <s v="A"/>
    <s v="GD"/>
    <x v="9"/>
    <n v="99"/>
    <n v="56"/>
    <n v="1925"/>
    <n v="1968"/>
    <n v="906"/>
    <m/>
    <n v="896"/>
    <n v="0"/>
    <n v="896"/>
    <m/>
    <n v="1802"/>
    <n v="2000"/>
    <n v="5"/>
    <m/>
    <m/>
    <m/>
    <m/>
    <m/>
    <m/>
    <m/>
    <n v="229217"/>
    <n v="151283"/>
    <n v="7465"/>
    <n v="313800"/>
    <n v="48400"/>
    <n v="265400"/>
    <n v="0"/>
    <n v="0"/>
    <n v="89850.625589999996"/>
    <n v="-60052.604136134301"/>
    <n v="21557.329055999999"/>
    <n v="197752.34721000001"/>
    <n v="-12490.553628"/>
    <n v="44764.254908561998"/>
    <n v="0"/>
    <n v="0"/>
    <n v="26057.378141311998"/>
    <n v="18960.110526"/>
    <n v="0"/>
    <n v="7500"/>
    <n v="296600"/>
    <n v="29800"/>
    <n v="333900"/>
    <n v="6.4053537284894838E-2"/>
    <n v="0.99970000000000003"/>
    <n v="1.0067999999999999"/>
    <n v="0.99650000000000005"/>
    <n v="1.0093000000000001"/>
    <n v="1.0074000000000001"/>
    <n v="0.94971499999999998"/>
    <n v="0.96880423161964746"/>
    <n v="296600"/>
    <n v="7100"/>
    <n v="303700"/>
    <n v="28300"/>
    <n v="332000"/>
    <n v="0.14431047475508665"/>
    <n v="-0.41528925619834711"/>
    <n v="5.7998725302740597E-2"/>
  </r>
  <r>
    <n v="2025"/>
    <s v="18132241059    "/>
    <n v="-1.6607312068216509"/>
    <n v="0.19"/>
    <n v="8086"/>
    <s v="6"/>
    <s v="RES"/>
    <x v="0"/>
    <s v="11"/>
    <s v="259"/>
    <s v="BG"/>
    <s v="F+"/>
    <s v="GD"/>
    <x v="9"/>
    <n v="99"/>
    <n v="56"/>
    <n v="1925"/>
    <n v="1968"/>
    <n v="1066"/>
    <n v="785"/>
    <n v="1040"/>
    <n v="780"/>
    <n v="260"/>
    <m/>
    <n v="2111"/>
    <n v="2500"/>
    <n v="7"/>
    <m/>
    <m/>
    <m/>
    <m/>
    <m/>
    <m/>
    <m/>
    <n v="311463"/>
    <n v="205566"/>
    <n v="5605"/>
    <n v="350400"/>
    <n v="56600"/>
    <n v="293800"/>
    <n v="0"/>
    <n v="0"/>
    <n v="89850.625589999996"/>
    <n v="-52569.808201026557"/>
    <n v="0"/>
    <n v="197752.34721000001"/>
    <n v="-12490.553628"/>
    <n v="52669.642088881999"/>
    <n v="35157.341945884997"/>
    <n v="0"/>
    <n v="30245.171056879997"/>
    <n v="26544.1547364"/>
    <n v="0"/>
    <n v="5600"/>
    <n v="329900"/>
    <n v="37300"/>
    <n v="372800"/>
    <n v="6.3926940639269403E-2"/>
    <n v="0.99970000000000003"/>
    <n v="0.99180000000000001"/>
    <n v="0.99650000000000005"/>
    <n v="0.98919999999999997"/>
    <n v="1.0074000000000001"/>
    <n v="0.94971499999999998"/>
    <n v="0.9353642319531521"/>
    <n v="329900"/>
    <n v="5300"/>
    <n v="335200"/>
    <n v="35400"/>
    <n v="370600"/>
    <n v="0.14091218515997278"/>
    <n v="-0.37455830388692579"/>
    <n v="5.7648401826484015E-2"/>
  </r>
  <r>
    <n v="2025"/>
    <s v="18132332580    "/>
    <n v="-1.7719568419318752"/>
    <n v="0.17"/>
    <n v="7194"/>
    <s v="6"/>
    <s v="RES"/>
    <x v="0"/>
    <s v="11"/>
    <s v="259"/>
    <s v="CC"/>
    <s v="G"/>
    <s v="GD"/>
    <x v="9"/>
    <n v="99"/>
    <n v="56"/>
    <n v="1925"/>
    <n v="1968"/>
    <n v="1116"/>
    <n v="300"/>
    <n v="837"/>
    <n v="0"/>
    <n v="837"/>
    <m/>
    <n v="2253"/>
    <n v="2500"/>
    <n v="12"/>
    <m/>
    <m/>
    <m/>
    <m/>
    <m/>
    <m/>
    <m/>
    <n v="407387"/>
    <n v="268875"/>
    <n v="7161"/>
    <n v="384600"/>
    <n v="52700"/>
    <n v="331900"/>
    <n v="0"/>
    <n v="0"/>
    <n v="89850.625589999996"/>
    <n v="-56090.612940989391"/>
    <n v="44121.038090000002"/>
    <n v="197752.34721000001"/>
    <n v="-12490.553628"/>
    <n v="55140.075582732003"/>
    <n v="13435.926858299999"/>
    <n v="0"/>
    <n v="24341.546321738999"/>
    <n v="45504.265262400004"/>
    <n v="0"/>
    <n v="7200"/>
    <n v="367800"/>
    <n v="33800"/>
    <n v="408800"/>
    <n v="6.2922516900676032E-2"/>
    <n v="0.99970000000000003"/>
    <n v="0.98050000000000004"/>
    <n v="0.99650000000000005"/>
    <n v="0.98919999999999997"/>
    <n v="1.0074000000000001"/>
    <n v="0.94971499999999998"/>
    <n v="0.9247072287054503"/>
    <n v="367800"/>
    <n v="6800"/>
    <n v="374600"/>
    <n v="32100"/>
    <n v="406700"/>
    <n v="0.12865320879783068"/>
    <n v="-0.39089184060721061"/>
    <n v="5.7462298491939678E-2"/>
  </r>
  <r>
    <n v="2025"/>
    <s v="18132313483    "/>
    <n v="-1.8971199848858813"/>
    <n v="0.15"/>
    <n v="6719"/>
    <s v="6"/>
    <s v="RES"/>
    <x v="0"/>
    <s v="11"/>
    <s v="259"/>
    <s v="BG"/>
    <s v="A+"/>
    <s v="GD"/>
    <x v="9"/>
    <n v="99"/>
    <n v="56"/>
    <n v="1925"/>
    <n v="1968"/>
    <n v="1095"/>
    <m/>
    <n v="1000"/>
    <n v="0"/>
    <n v="1000"/>
    <m/>
    <n v="2095"/>
    <n v="2500"/>
    <n v="9"/>
    <m/>
    <m/>
    <m/>
    <m/>
    <m/>
    <m/>
    <m/>
    <n v="312649"/>
    <n v="206348"/>
    <n v="6357"/>
    <n v="346900"/>
    <n v="48400"/>
    <n v="298500"/>
    <n v="0"/>
    <n v="0"/>
    <n v="89850.625589999996"/>
    <n v="-60052.604136134301"/>
    <n v="29814.093161000001"/>
    <n v="197752.34721000001"/>
    <n v="-12490.553628"/>
    <n v="54102.493515315"/>
    <n v="0"/>
    <n v="0"/>
    <n v="29081.895246999997"/>
    <n v="34128.198946800003"/>
    <n v="0"/>
    <n v="6400"/>
    <n v="332400"/>
    <n v="29800"/>
    <n v="368600"/>
    <n v="6.2554050158547134E-2"/>
    <n v="0.99970000000000003"/>
    <n v="1.0088999999999999"/>
    <n v="0.99650000000000005"/>
    <n v="0.98919999999999997"/>
    <n v="1.0074000000000001"/>
    <n v="0.94971499999999998"/>
    <n v="0.95149120146958555"/>
    <n v="332400"/>
    <n v="6000"/>
    <n v="338400"/>
    <n v="28300"/>
    <n v="366700"/>
    <n v="0.13366834170854272"/>
    <n v="-0.41528925619834711"/>
    <n v="5.7076967425771119E-2"/>
  </r>
  <r>
    <n v="2025"/>
    <s v="18132324459    "/>
    <n v="-0.84397007029452897"/>
    <n v="0.43"/>
    <n v="18686"/>
    <s v="6"/>
    <s v="RES"/>
    <x v="0"/>
    <s v="11"/>
    <s v="259"/>
    <s v="CL"/>
    <s v="G"/>
    <s v="GD"/>
    <x v="9"/>
    <n v="99"/>
    <n v="56"/>
    <n v="1925"/>
    <n v="1968"/>
    <n v="1098"/>
    <n v="936"/>
    <n v="936"/>
    <n v="468"/>
    <n v="468"/>
    <m/>
    <n v="2502"/>
    <n v="3000"/>
    <n v="11"/>
    <m/>
    <m/>
    <m/>
    <m/>
    <m/>
    <m/>
    <m/>
    <n v="472469"/>
    <n v="311830"/>
    <n v="9380"/>
    <n v="438400"/>
    <n v="85100"/>
    <n v="353300"/>
    <n v="0"/>
    <n v="0"/>
    <n v="89850.625589999996"/>
    <n v="-26715.548272078075"/>
    <n v="44121.038090000002"/>
    <n v="197752.34721000001"/>
    <n v="-12490.553628"/>
    <n v="54250.719524945998"/>
    <n v="41920.091797895999"/>
    <n v="0"/>
    <n v="27220.653951191998"/>
    <n v="41712.243157199999"/>
    <n v="0"/>
    <n v="9400"/>
    <n v="394500"/>
    <n v="63100"/>
    <n v="467000"/>
    <n v="6.5237226277372259E-2"/>
    <n v="0.99970000000000003"/>
    <n v="0.98050000000000004"/>
    <n v="0.99650000000000005"/>
    <n v="0.96179999999999999"/>
    <n v="1.0074000000000001"/>
    <n v="0.94971499999999998"/>
    <n v="0.89909362370491519"/>
    <n v="394500"/>
    <n v="8900"/>
    <n v="403400"/>
    <n v="60000"/>
    <n v="463400"/>
    <n v="0.14180583073874894"/>
    <n v="-0.29494712103407755"/>
    <n v="5.7025547445255474E-2"/>
  </r>
  <r>
    <n v="2025"/>
    <s v="18132332451    "/>
    <n v="-1.9661128563728327"/>
    <n v="0.14000000000000001"/>
    <n v="5907"/>
    <s v="6"/>
    <s v="RES"/>
    <x v="0"/>
    <s v="11"/>
    <s v="259"/>
    <s v="BG"/>
    <s v="F+"/>
    <s v="AV"/>
    <x v="9"/>
    <n v="99"/>
    <n v="56"/>
    <n v="1925"/>
    <n v="1968"/>
    <n v="1018"/>
    <m/>
    <n v="832"/>
    <n v="832"/>
    <m/>
    <m/>
    <n v="1018"/>
    <n v="1500"/>
    <n v="5"/>
    <m/>
    <m/>
    <m/>
    <m/>
    <m/>
    <m/>
    <m/>
    <n v="184513"/>
    <n v="118088"/>
    <n v="4877"/>
    <n v="257700"/>
    <n v="46000"/>
    <n v="211700"/>
    <n v="0"/>
    <n v="0"/>
    <n v="89850.625589999996"/>
    <n v="-62236.546971921947"/>
    <n v="0"/>
    <n v="160472.20319"/>
    <n v="-12490.553628"/>
    <n v="50298.025934786005"/>
    <n v="0"/>
    <n v="0"/>
    <n v="24196.136845503999"/>
    <n v="18960.110526"/>
    <n v="0"/>
    <n v="4900"/>
    <n v="241400"/>
    <n v="27600"/>
    <n v="273900"/>
    <n v="6.2863795110593715E-2"/>
    <n v="0.99970000000000003"/>
    <n v="0.99180000000000001"/>
    <n v="0.99729999999999996"/>
    <n v="1.0157"/>
    <n v="1.0074000000000001"/>
    <n v="0.94971499999999998"/>
    <n v="0.96119304431538555"/>
    <n v="241400"/>
    <n v="4600"/>
    <n v="246000"/>
    <n v="26200"/>
    <n v="272200"/>
    <n v="0.1620217288615966"/>
    <n v="-0.43043478260869567"/>
    <n v="5.6266977105161042E-2"/>
  </r>
  <r>
    <n v="2025"/>
    <s v="18132344005    "/>
    <n v="-2.120263536200091"/>
    <n v="0.12"/>
    <n v="5197"/>
    <s v="6"/>
    <s v="RES"/>
    <x v="0"/>
    <s v="11"/>
    <s v="259"/>
    <s v="TD"/>
    <s v="F+"/>
    <s v="FR"/>
    <x v="9"/>
    <n v="99"/>
    <n v="56"/>
    <n v="1925"/>
    <n v="1968"/>
    <n v="840"/>
    <m/>
    <n v="840"/>
    <n v="336"/>
    <n v="504"/>
    <m/>
    <n v="1344"/>
    <n v="1500"/>
    <n v="5"/>
    <m/>
    <n v="336"/>
    <m/>
    <m/>
    <m/>
    <m/>
    <m/>
    <n v="196030"/>
    <n v="121539"/>
    <n v="0"/>
    <n v="215700"/>
    <n v="40600"/>
    <n v="175100"/>
    <n v="0"/>
    <n v="0"/>
    <n v="89850.625589999996"/>
    <n v="-67116.12750806773"/>
    <n v="0"/>
    <n v="133714.53821"/>
    <n v="-12490.553628"/>
    <n v="41503.282696679998"/>
    <n v="0"/>
    <n v="0"/>
    <n v="24428.792007479999"/>
    <n v="18960.110526"/>
    <n v="0"/>
    <n v="0"/>
    <n v="206100"/>
    <n v="22700"/>
    <n v="228800"/>
    <n v="6.0732498840982849E-2"/>
    <n v="0.99970000000000003"/>
    <n v="0.99180000000000001"/>
    <n v="0.99329999999999996"/>
    <n v="1.0157"/>
    <n v="1.0074000000000001"/>
    <n v="0.94971499999999998"/>
    <n v="0.95733786314897451"/>
    <n v="206100"/>
    <n v="0"/>
    <n v="206100"/>
    <n v="21600"/>
    <n v="227700"/>
    <n v="0.1770416904625928"/>
    <n v="-0.46798029556650245"/>
    <n v="5.5632823365785816E-2"/>
  </r>
  <r>
    <n v="2025"/>
    <s v="18132242400    "/>
    <n v="-1.4271163556401458"/>
    <n v="0.24"/>
    <n v="10571"/>
    <s v="6"/>
    <s v="RES"/>
    <x v="0"/>
    <s v="11"/>
    <s v="259"/>
    <s v="BG"/>
    <s v="A"/>
    <s v="AV"/>
    <x v="9"/>
    <n v="99"/>
    <n v="56"/>
    <n v="1925"/>
    <n v="1968"/>
    <n v="1212"/>
    <m/>
    <n v="1212"/>
    <n v="1112"/>
    <n v="100"/>
    <m/>
    <n v="1312"/>
    <n v="1500"/>
    <n v="5"/>
    <m/>
    <m/>
    <m/>
    <m/>
    <m/>
    <m/>
    <m/>
    <n v="248776"/>
    <n v="159217"/>
    <n v="29325"/>
    <n v="335700"/>
    <n v="64800"/>
    <n v="270900"/>
    <n v="0"/>
    <n v="0"/>
    <n v="89850.625589999996"/>
    <n v="-45174.819855485119"/>
    <n v="21557.329055999999"/>
    <n v="160472.20319"/>
    <n v="-12490.553628"/>
    <n v="59883.307890923999"/>
    <n v="0"/>
    <n v="0"/>
    <n v="35247.257039363998"/>
    <n v="18960.110526"/>
    <n v="0"/>
    <n v="29300"/>
    <n v="283600"/>
    <n v="44700"/>
    <n v="357600"/>
    <n v="6.523681858802502E-2"/>
    <n v="0.99970000000000003"/>
    <n v="1.0067999999999999"/>
    <n v="0.99729999999999996"/>
    <n v="1.0157"/>
    <n v="1.0074000000000001"/>
    <n v="0.94971499999999998"/>
    <n v="0.97573014419916293"/>
    <n v="283600"/>
    <n v="27900"/>
    <n v="311500"/>
    <n v="42400"/>
    <n v="353900"/>
    <n v="0.14987080103359174"/>
    <n v="-0.34567901234567899"/>
    <n v="5.4215072981829017E-2"/>
  </r>
  <r>
    <n v="2025"/>
    <s v="18132334529    "/>
    <n v="-1.8971199848858813"/>
    <n v="0.15"/>
    <m/>
    <s v="6"/>
    <s v="RES"/>
    <x v="0"/>
    <s v="11"/>
    <s v="259"/>
    <s v="BG"/>
    <s v="A+"/>
    <s v="GD"/>
    <x v="9"/>
    <n v="99"/>
    <n v="56"/>
    <n v="1925"/>
    <n v="1968"/>
    <n v="1108"/>
    <m/>
    <n v="1108"/>
    <n v="0"/>
    <n v="1108"/>
    <m/>
    <n v="2216"/>
    <n v="2500"/>
    <n v="8"/>
    <m/>
    <m/>
    <m/>
    <m/>
    <m/>
    <m/>
    <m/>
    <n v="323926"/>
    <n v="213791"/>
    <n v="6724"/>
    <n v="348300"/>
    <n v="48400"/>
    <n v="299900"/>
    <n v="0"/>
    <n v="0"/>
    <n v="89850.625589999996"/>
    <n v="-60052.604136134301"/>
    <n v="29814.093161000001"/>
    <n v="197752.34721000001"/>
    <n v="-12490.553628"/>
    <n v="54744.806223716005"/>
    <n v="0"/>
    <n v="0"/>
    <n v="32222.739933675999"/>
    <n v="30336.176841600001"/>
    <n v="0"/>
    <n v="6700"/>
    <n v="332400"/>
    <n v="29800"/>
    <n v="368900"/>
    <n v="5.9144415733563022E-2"/>
    <n v="0.99970000000000003"/>
    <n v="1.0088999999999999"/>
    <n v="0.99650000000000005"/>
    <n v="0.98919999999999997"/>
    <n v="1.0074000000000001"/>
    <n v="0.94971499999999998"/>
    <n v="0.95149120146958555"/>
    <n v="332400"/>
    <n v="6400"/>
    <n v="338800"/>
    <n v="28300"/>
    <n v="367100"/>
    <n v="0.12970990330110035"/>
    <n v="-0.41528925619834711"/>
    <n v="5.3976457077232268E-2"/>
  </r>
  <r>
    <n v="2025"/>
    <s v="18132244431    "/>
    <n v="-1.7719568419318752"/>
    <n v="0.17"/>
    <n v="7560"/>
    <s v="6"/>
    <s v="RES"/>
    <x v="0"/>
    <s v="11"/>
    <s v="259"/>
    <s v="CO"/>
    <s v="A+"/>
    <s v="AV"/>
    <x v="9"/>
    <n v="99"/>
    <n v="56"/>
    <n v="1925"/>
    <n v="1968"/>
    <n v="1228"/>
    <n v="524"/>
    <n v="1048"/>
    <n v="262"/>
    <n v="786"/>
    <m/>
    <n v="2538"/>
    <n v="3000"/>
    <n v="11"/>
    <m/>
    <m/>
    <n v="452"/>
    <m/>
    <m/>
    <m/>
    <m/>
    <n v="408928"/>
    <n v="261714"/>
    <n v="0"/>
    <n v="361800"/>
    <n v="52700"/>
    <n v="309100"/>
    <n v="0"/>
    <n v="0"/>
    <n v="89850.625589999996"/>
    <n v="-56090.612940989391"/>
    <n v="29814.093161000001"/>
    <n v="160472.20319"/>
    <n v="-12490.553628"/>
    <n v="60673.846608956002"/>
    <n v="23468.085579163999"/>
    <n v="0"/>
    <n v="30477.826218856"/>
    <n v="41712.243157199999"/>
    <n v="15049.572904752002"/>
    <n v="0"/>
    <n v="349200"/>
    <n v="33800"/>
    <n v="383000"/>
    <n v="5.8595909342177996E-2"/>
    <n v="0.99970000000000003"/>
    <n v="1.0088999999999999"/>
    <n v="0.99729999999999996"/>
    <n v="0.96179999999999999"/>
    <n v="1.0074000000000001"/>
    <n v="0.94971499999999998"/>
    <n v="0.92587841120833458"/>
    <n v="349200"/>
    <n v="0"/>
    <n v="349200"/>
    <n v="32100"/>
    <n v="381300"/>
    <n v="0.12973147848592689"/>
    <n v="-0.39089184060721061"/>
    <n v="5.3897180762852402E-2"/>
  </r>
  <r>
    <n v="2025"/>
    <s v="18132324451    "/>
    <n v="-1.8325814637483102"/>
    <n v="0.16"/>
    <m/>
    <s v="6"/>
    <s v="RES"/>
    <x v="0"/>
    <s v="11"/>
    <s v="259"/>
    <s v="MS"/>
    <s v="G"/>
    <s v="AV"/>
    <x v="9"/>
    <n v="99"/>
    <n v="56"/>
    <n v="1925"/>
    <n v="1968"/>
    <n v="1106"/>
    <m/>
    <n v="1106"/>
    <n v="553"/>
    <n v="553"/>
    <m/>
    <n v="1659"/>
    <n v="2000"/>
    <n v="6"/>
    <m/>
    <m/>
    <m/>
    <m/>
    <m/>
    <m/>
    <m/>
    <n v="326716"/>
    <n v="209098"/>
    <n v="4877"/>
    <n v="319300"/>
    <n v="50600"/>
    <n v="268700"/>
    <n v="0"/>
    <n v="0"/>
    <n v="89850.625589999996"/>
    <n v="-58009.662049032086"/>
    <n v="44121.038090000002"/>
    <n v="160472.20319"/>
    <n v="-12490.553628"/>
    <n v="54645.988883962003"/>
    <n v="0"/>
    <n v="0"/>
    <n v="32164.576143181999"/>
    <n v="22752.132631200002"/>
    <n v="0"/>
    <n v="4900"/>
    <n v="301700"/>
    <n v="31800"/>
    <n v="338400"/>
    <n v="5.9818352646414032E-2"/>
    <n v="0.99970000000000003"/>
    <n v="0.98050000000000004"/>
    <n v="0.99729999999999996"/>
    <n v="1.0093000000000001"/>
    <n v="1.0074000000000001"/>
    <n v="0.94971499999999998"/>
    <n v="0.9442542195464082"/>
    <n v="301700"/>
    <n v="4600"/>
    <n v="306300"/>
    <n v="30200"/>
    <n v="336500"/>
    <n v="0.13993301079270562"/>
    <n v="-0.40316205533596838"/>
    <n v="5.3867835891011587E-2"/>
  </r>
  <r>
    <n v="2025"/>
    <s v="18132344033    "/>
    <n v="-1.5606477482646683"/>
    <n v="0.21"/>
    <n v="9163"/>
    <s v="6"/>
    <s v="RES"/>
    <x v="0"/>
    <s v="11"/>
    <s v="400"/>
    <s v="BG"/>
    <s v="F+"/>
    <s v="AV"/>
    <x v="9"/>
    <n v="99"/>
    <n v="56"/>
    <n v="1925"/>
    <n v="1968"/>
    <n v="648"/>
    <m/>
    <n v="648"/>
    <n v="648"/>
    <m/>
    <m/>
    <n v="648"/>
    <n v="1000"/>
    <n v="5"/>
    <m/>
    <m/>
    <m/>
    <m/>
    <m/>
    <m/>
    <m/>
    <n v="132799"/>
    <n v="84991"/>
    <n v="6325"/>
    <n v="248800"/>
    <n v="60100"/>
    <n v="188700"/>
    <n v="0"/>
    <n v="0"/>
    <n v="89850.625589999996"/>
    <n v="-49401.70477837498"/>
    <n v="0"/>
    <n v="160472.20319"/>
    <n v="-12490.553628"/>
    <n v="32016.818080296001"/>
    <n v="0"/>
    <n v="0"/>
    <n v="18845.068120055999"/>
    <n v="18960.110526"/>
    <n v="0"/>
    <n v="6300"/>
    <n v="217800"/>
    <n v="40400"/>
    <n v="264500"/>
    <n v="6.3102893890675235E-2"/>
    <n v="0.99970000000000003"/>
    <n v="0.99180000000000001"/>
    <n v="0.99729999999999996"/>
    <n v="1.0148999999999999"/>
    <n v="1.0074000000000001"/>
    <n v="0.94971499999999998"/>
    <n v="0.96043597585476481"/>
    <n v="217800"/>
    <n v="6000"/>
    <n v="223800"/>
    <n v="38400"/>
    <n v="262200"/>
    <n v="0.18600953895071543"/>
    <n v="-0.36106489184692181"/>
    <n v="5.3858520900321546E-2"/>
  </r>
  <r>
    <n v="2025"/>
    <s v="18132313434    "/>
    <n v="-1.0216512475319814"/>
    <n v="0.36"/>
    <n v="15776"/>
    <s v="6"/>
    <s v="RES"/>
    <x v="0"/>
    <s v="11"/>
    <s v="259"/>
    <s v="CC"/>
    <s v="G"/>
    <s v="GD"/>
    <x v="9"/>
    <n v="99"/>
    <n v="56"/>
    <n v="1925"/>
    <n v="1968"/>
    <n v="1520"/>
    <n v="688"/>
    <m/>
    <n v="0"/>
    <m/>
    <m/>
    <n v="2208"/>
    <n v="2500"/>
    <n v="8"/>
    <m/>
    <m/>
    <m/>
    <m/>
    <m/>
    <m/>
    <m/>
    <n v="422780"/>
    <n v="279035"/>
    <n v="31364"/>
    <n v="427100"/>
    <n v="78900"/>
    <n v="348200"/>
    <n v="0"/>
    <n v="0"/>
    <n v="89850.625589999996"/>
    <n v="-32339.977661938148"/>
    <n v="44121.038090000002"/>
    <n v="197752.34721000001"/>
    <n v="-12490.553628"/>
    <n v="75101.178213039995"/>
    <n v="30813.058928367998"/>
    <n v="0"/>
    <n v="0"/>
    <n v="30336.176841600001"/>
    <n v="0"/>
    <n v="31400"/>
    <n v="365600"/>
    <n v="57500"/>
    <n v="454500"/>
    <n v="6.4153594006087569E-2"/>
    <n v="0.99970000000000003"/>
    <n v="0.98050000000000004"/>
    <n v="0.99650000000000005"/>
    <n v="0.98919999999999997"/>
    <n v="1.0074000000000001"/>
    <n v="0.94971499999999998"/>
    <n v="0.9247072287054503"/>
    <n v="365600"/>
    <n v="29800"/>
    <n v="395400"/>
    <n v="54600"/>
    <n v="450000"/>
    <n v="0.13555427914991383"/>
    <n v="-0.30798479087452474"/>
    <n v="5.3617419808007494E-2"/>
  </r>
  <r>
    <n v="2025"/>
    <s v="18132324449    "/>
    <n v="-1.8325814637483102"/>
    <n v="0.16"/>
    <m/>
    <s v="6"/>
    <s v="RES"/>
    <x v="0"/>
    <s v="11"/>
    <s v="259"/>
    <s v="TD"/>
    <s v="A"/>
    <s v="AV"/>
    <x v="9"/>
    <n v="99"/>
    <n v="56"/>
    <n v="1925"/>
    <n v="1968"/>
    <n v="1149"/>
    <m/>
    <n v="1149"/>
    <n v="574"/>
    <n v="575"/>
    <m/>
    <n v="1724"/>
    <n v="2000"/>
    <n v="8"/>
    <m/>
    <m/>
    <m/>
    <m/>
    <m/>
    <m/>
    <m/>
    <n v="256287"/>
    <n v="164024"/>
    <n v="5261"/>
    <n v="308800"/>
    <n v="50600"/>
    <n v="258200"/>
    <n v="0"/>
    <n v="0"/>
    <n v="89850.625589999996"/>
    <n v="-58009.662049032086"/>
    <n v="21557.329055999999"/>
    <n v="160472.20319"/>
    <n v="-12490.553628"/>
    <n v="56770.561688672999"/>
    <n v="0"/>
    <n v="0"/>
    <n v="33415.097638802996"/>
    <n v="30336.176841600001"/>
    <n v="0"/>
    <n v="5300"/>
    <n v="290100"/>
    <n v="31800"/>
    <n v="327200"/>
    <n v="5.9585492227979271E-2"/>
    <n v="0.99970000000000003"/>
    <n v="1.0067999999999999"/>
    <n v="0.99729999999999996"/>
    <n v="1.0093000000000001"/>
    <n v="1.0074000000000001"/>
    <n v="0.94971499999999998"/>
    <n v="0.96958199718441984"/>
    <n v="290100"/>
    <n v="5000"/>
    <n v="295100"/>
    <n v="30200"/>
    <n v="325300"/>
    <n v="0.14291247095274981"/>
    <n v="-0.40316205533596838"/>
    <n v="5.3432642487046635E-2"/>
  </r>
  <r>
    <n v="2025"/>
    <s v="18132333401    "/>
    <n v="-2.0402208285265546"/>
    <n v="0.13"/>
    <n v="5850"/>
    <s v="6"/>
    <s v="RES"/>
    <x v="0"/>
    <s v="11"/>
    <s v="259"/>
    <s v="TD"/>
    <s v="A"/>
    <s v="AV"/>
    <x v="9"/>
    <n v="99"/>
    <n v="56"/>
    <n v="1925"/>
    <n v="1968"/>
    <n v="1212"/>
    <m/>
    <n v="1212"/>
    <n v="636"/>
    <n v="576"/>
    <m/>
    <n v="1788"/>
    <n v="2000"/>
    <n v="7"/>
    <m/>
    <m/>
    <m/>
    <m/>
    <m/>
    <m/>
    <m/>
    <n v="270241"/>
    <n v="172954"/>
    <n v="0"/>
    <n v="299300"/>
    <n v="43400"/>
    <n v="255900"/>
    <n v="0"/>
    <n v="0"/>
    <n v="89850.625589999996"/>
    <n v="-64582.406353792743"/>
    <n v="21557.329055999999"/>
    <n v="160472.20319"/>
    <n v="-12490.553628"/>
    <n v="59883.307890923999"/>
    <n v="0"/>
    <n v="0"/>
    <n v="35247.257039363998"/>
    <n v="26544.1547364"/>
    <n v="0"/>
    <n v="0"/>
    <n v="291200"/>
    <n v="25300"/>
    <n v="316500"/>
    <n v="5.7467423989308389E-2"/>
    <n v="0.99970000000000003"/>
    <n v="1.0067999999999999"/>
    <n v="0.99729999999999996"/>
    <n v="1.0093000000000001"/>
    <n v="1.0074000000000001"/>
    <n v="0.94971499999999998"/>
    <n v="0.96958199718441984"/>
    <n v="291200"/>
    <n v="0"/>
    <n v="291200"/>
    <n v="24000"/>
    <n v="315200"/>
    <n v="0.13794450957405235"/>
    <n v="-0.44700460829493088"/>
    <n v="5.312395589709322E-2"/>
  </r>
  <r>
    <n v="2025"/>
    <s v="18132313481    "/>
    <n v="-1.8971199848858813"/>
    <n v="0.15"/>
    <n v="6701"/>
    <s v="6"/>
    <s v="RES"/>
    <x v="0"/>
    <s v="11"/>
    <s v="259"/>
    <s v="TD"/>
    <s v="F+"/>
    <s v="AV"/>
    <x v="9"/>
    <n v="99"/>
    <n v="56"/>
    <n v="1925"/>
    <n v="1968"/>
    <n v="870"/>
    <m/>
    <n v="406"/>
    <n v="0"/>
    <n v="406"/>
    <m/>
    <n v="1276"/>
    <n v="1500"/>
    <n v="5"/>
    <m/>
    <m/>
    <n v="234"/>
    <m/>
    <m/>
    <m/>
    <m/>
    <n v="178941"/>
    <n v="114522"/>
    <n v="6227"/>
    <n v="250500"/>
    <n v="48400"/>
    <n v="202100"/>
    <n v="0"/>
    <n v="0"/>
    <n v="89850.625589999996"/>
    <n v="-60052.604136134301"/>
    <n v="0"/>
    <n v="160472.20319"/>
    <n v="-12490.553628"/>
    <n v="42985.542792990003"/>
    <n v="0"/>
    <n v="0"/>
    <n v="11807.249470281999"/>
    <n v="18960.110526"/>
    <n v="7791.1505745840004"/>
    <n v="6200"/>
    <n v="229500"/>
    <n v="29800"/>
    <n v="265500"/>
    <n v="5.9880239520958084E-2"/>
    <n v="0.99970000000000003"/>
    <n v="0.99180000000000001"/>
    <n v="0.99729999999999996"/>
    <n v="1.0157"/>
    <n v="1.0074000000000001"/>
    <n v="0.94971499999999998"/>
    <n v="0.96119304431538555"/>
    <n v="229500"/>
    <n v="5900"/>
    <n v="235400"/>
    <n v="28300"/>
    <n v="263700"/>
    <n v="0.16476991588322612"/>
    <n v="-0.41528925619834711"/>
    <n v="5.2694610778443111E-2"/>
  </r>
  <r>
    <n v="2025"/>
    <s v="18132332465    "/>
    <n v="-1.8971199848858813"/>
    <n v="0.15"/>
    <m/>
    <s v="6"/>
    <s v="RES"/>
    <x v="0"/>
    <s v="11"/>
    <s v="259"/>
    <s v="BG"/>
    <s v="A"/>
    <s v="GD"/>
    <x v="9"/>
    <n v="99"/>
    <n v="56"/>
    <n v="1925"/>
    <n v="1968"/>
    <n v="936"/>
    <m/>
    <n v="936"/>
    <n v="233"/>
    <n v="703"/>
    <m/>
    <n v="1639"/>
    <n v="2000"/>
    <n v="8"/>
    <m/>
    <m/>
    <m/>
    <m/>
    <m/>
    <m/>
    <m/>
    <n v="247593"/>
    <n v="163411"/>
    <n v="5831"/>
    <n v="327300"/>
    <n v="48400"/>
    <n v="278900"/>
    <n v="0"/>
    <n v="0"/>
    <n v="89850.625589999996"/>
    <n v="-60052.604136134301"/>
    <n v="21557.329055999999"/>
    <n v="197752.34721000001"/>
    <n v="-12490.553628"/>
    <n v="46246.515004872002"/>
    <n v="0"/>
    <n v="0"/>
    <n v="27220.653951191998"/>
    <n v="30336.176841600001"/>
    <n v="0"/>
    <n v="5800"/>
    <n v="310600"/>
    <n v="29800"/>
    <n v="346200"/>
    <n v="5.7745187901008251E-2"/>
    <n v="0.99970000000000003"/>
    <n v="1.0067999999999999"/>
    <n v="0.99650000000000005"/>
    <n v="1.0093000000000001"/>
    <n v="1.0074000000000001"/>
    <n v="0.94971499999999998"/>
    <n v="0.96880423161964746"/>
    <n v="310600"/>
    <n v="5500"/>
    <n v="316100"/>
    <n v="28300"/>
    <n v="344400"/>
    <n v="0.1333811401936178"/>
    <n v="-0.41528925619834711"/>
    <n v="5.2245646196150318E-2"/>
  </r>
  <r>
    <n v="2025"/>
    <s v="18132344020    "/>
    <n v="-1.8325814637483102"/>
    <n v="0.16"/>
    <n v="6829"/>
    <s v="6"/>
    <s v="RES"/>
    <x v="0"/>
    <s v="11"/>
    <s v="259"/>
    <s v="CC"/>
    <s v="A+"/>
    <s v="AV"/>
    <x v="9"/>
    <n v="99"/>
    <n v="56"/>
    <n v="1925"/>
    <n v="1968"/>
    <n v="1415"/>
    <n v="704"/>
    <n v="512"/>
    <n v="512"/>
    <m/>
    <m/>
    <n v="2119"/>
    <n v="2500"/>
    <n v="6"/>
    <m/>
    <m/>
    <m/>
    <m/>
    <m/>
    <m/>
    <m/>
    <n v="365718"/>
    <n v="234060"/>
    <n v="7465"/>
    <n v="337100"/>
    <n v="50600"/>
    <n v="286500"/>
    <n v="0"/>
    <n v="0"/>
    <n v="89850.625589999996"/>
    <n v="-58009.662049032086"/>
    <n v="29814.093161000001"/>
    <n v="160472.20319"/>
    <n v="-12490.553628"/>
    <n v="69913.267875955004"/>
    <n v="31529.641694144"/>
    <n v="0"/>
    <n v="14889.930366463999"/>
    <n v="22752.132631200002"/>
    <n v="0"/>
    <n v="7500"/>
    <n v="316900"/>
    <n v="31800"/>
    <n v="356200"/>
    <n v="5.665974488282409E-2"/>
    <n v="0.99970000000000003"/>
    <n v="1.0088999999999999"/>
    <n v="0.99729999999999996"/>
    <n v="0.98919999999999997"/>
    <n v="1.0074000000000001"/>
    <n v="0.94971499999999998"/>
    <n v="0.95225506796349002"/>
    <n v="316900"/>
    <n v="7100"/>
    <n v="324000"/>
    <n v="30200"/>
    <n v="354200"/>
    <n v="0.13089005235602094"/>
    <n v="-0.40316205533596838"/>
    <n v="5.0726787303470779E-2"/>
  </r>
  <r>
    <n v="2025"/>
    <s v="18132342407    "/>
    <n v="-2.0402208285265546"/>
    <n v="0.13"/>
    <n v="5529"/>
    <s v="6"/>
    <s v="RES"/>
    <x v="0"/>
    <s v="11"/>
    <s v="259"/>
    <s v="BG"/>
    <s v="A"/>
    <s v="FR"/>
    <x v="9"/>
    <n v="99"/>
    <n v="56"/>
    <n v="1925"/>
    <n v="1968"/>
    <n v="868"/>
    <n v="528"/>
    <n v="432"/>
    <n v="0"/>
    <n v="432"/>
    <m/>
    <n v="1828"/>
    <n v="2000"/>
    <n v="7"/>
    <m/>
    <m/>
    <m/>
    <m/>
    <m/>
    <m/>
    <m/>
    <n v="267401"/>
    <n v="165789"/>
    <n v="6712"/>
    <n v="265500"/>
    <n v="43400"/>
    <n v="222100"/>
    <n v="0"/>
    <n v="0"/>
    <n v="89850.625589999996"/>
    <n v="-64582.406353792743"/>
    <n v="21557.329055999999"/>
    <n v="133714.53821"/>
    <n v="-12490.553628"/>
    <n v="42886.725453236002"/>
    <n v="23647.231270607997"/>
    <n v="0"/>
    <n v="12563.378746704"/>
    <n v="26544.1547364"/>
    <n v="0"/>
    <n v="6700"/>
    <n v="248400"/>
    <n v="25300"/>
    <n v="280400"/>
    <n v="5.6120527306967982E-2"/>
    <n v="0.99970000000000003"/>
    <n v="1.0067999999999999"/>
    <n v="0.99329999999999996"/>
    <n v="1.0093000000000001"/>
    <n v="1.0074000000000001"/>
    <n v="0.94971499999999998"/>
    <n v="0.96569316936055771"/>
    <n v="248400"/>
    <n v="6400"/>
    <n v="254800"/>
    <n v="24000"/>
    <n v="278800"/>
    <n v="0.14723097703737056"/>
    <n v="-0.44700460829493088"/>
    <n v="5.0094161958568736E-2"/>
  </r>
  <r>
    <n v="2025"/>
    <s v="18132242403    "/>
    <n v="-0.84397007029452897"/>
    <n v="0.43"/>
    <n v="18826"/>
    <s v="6"/>
    <s v="RES"/>
    <x v="0"/>
    <s v="11"/>
    <s v="259"/>
    <s v="TD"/>
    <s v="A"/>
    <s v="GD"/>
    <x v="9"/>
    <n v="99"/>
    <n v="56"/>
    <n v="1925"/>
    <n v="1968"/>
    <n v="1512"/>
    <n v="720"/>
    <n v="916"/>
    <n v="458"/>
    <n v="458"/>
    <m/>
    <n v="2690"/>
    <n v="3000"/>
    <n v="7"/>
    <n v="728"/>
    <m/>
    <m/>
    <m/>
    <m/>
    <m/>
    <m/>
    <n v="414124"/>
    <n v="273322"/>
    <n v="0"/>
    <n v="406700"/>
    <n v="85100"/>
    <n v="321600"/>
    <n v="0"/>
    <n v="0"/>
    <n v="89850.625589999996"/>
    <n v="-26715.548272078075"/>
    <n v="21557.329055999999"/>
    <n v="197752.34721000001"/>
    <n v="-12490.553628"/>
    <n v="74705.908854024005"/>
    <n v="32246.224459919998"/>
    <n v="0"/>
    <n v="26639.016046252"/>
    <n v="26544.1547364"/>
    <n v="0"/>
    <n v="0"/>
    <n v="367000"/>
    <n v="63100"/>
    <n v="430100"/>
    <n v="5.7536267519055814E-2"/>
    <n v="0.99970000000000003"/>
    <n v="1.0067999999999999"/>
    <n v="0.99650000000000005"/>
    <n v="0.96179999999999999"/>
    <n v="1.0074000000000001"/>
    <n v="0.94971499999999998"/>
    <n v="0.92321005644682153"/>
    <n v="367000"/>
    <n v="0"/>
    <n v="367000"/>
    <n v="60000"/>
    <n v="427000"/>
    <n v="0.14116915422885573"/>
    <n v="-0.29494712103407755"/>
    <n v="4.9913941480206538E-2"/>
  </r>
  <r>
    <n v="2025"/>
    <s v="18132313443    "/>
    <n v="-1.7147984280919266"/>
    <n v="0.18"/>
    <m/>
    <s v="6"/>
    <s v="RES"/>
    <x v="0"/>
    <s v="11"/>
    <s v="259"/>
    <s v="BG"/>
    <s v="A"/>
    <s v="GD"/>
    <x v="9"/>
    <n v="99"/>
    <n v="56"/>
    <n v="1925"/>
    <n v="1968"/>
    <n v="832"/>
    <m/>
    <n v="832"/>
    <n v="0"/>
    <n v="832"/>
    <m/>
    <n v="1664"/>
    <n v="2000"/>
    <n v="8"/>
    <m/>
    <m/>
    <m/>
    <m/>
    <m/>
    <m/>
    <m/>
    <n v="226199"/>
    <n v="149291"/>
    <n v="5024"/>
    <n v="325000"/>
    <n v="54700"/>
    <n v="270300"/>
    <n v="0"/>
    <n v="0"/>
    <n v="89850.625589999996"/>
    <n v="-54281.285314520763"/>
    <n v="21557.329055999999"/>
    <n v="197752.34721000001"/>
    <n v="-12490.553628"/>
    <n v="41108.013337664001"/>
    <n v="0"/>
    <n v="0"/>
    <n v="24196.136845503999"/>
    <n v="30336.176841600001"/>
    <n v="0"/>
    <n v="5000"/>
    <n v="302500"/>
    <n v="35600"/>
    <n v="343100"/>
    <n v="5.5692307692307694E-2"/>
    <n v="0.99970000000000003"/>
    <n v="1.0067999999999999"/>
    <n v="0.99650000000000005"/>
    <n v="1.0093000000000001"/>
    <n v="1.0074000000000001"/>
    <n v="0.94971499999999998"/>
    <n v="0.96880423161964746"/>
    <n v="302500"/>
    <n v="4800"/>
    <n v="307300"/>
    <n v="33800"/>
    <n v="341100"/>
    <n v="0.1368849426563078"/>
    <n v="-0.38208409506398539"/>
    <n v="4.9538461538461538E-2"/>
  </r>
  <r>
    <n v="2025"/>
    <s v="18132332540    "/>
    <n v="-1.7147984280919266"/>
    <n v="0.18"/>
    <m/>
    <s v="6"/>
    <s v="RES"/>
    <x v="0"/>
    <s v="11"/>
    <s v="259"/>
    <s v="TD"/>
    <s v="G"/>
    <s v="AV"/>
    <x v="9"/>
    <n v="99"/>
    <n v="56"/>
    <n v="1925"/>
    <n v="1968"/>
    <n v="1339"/>
    <m/>
    <n v="999"/>
    <n v="497"/>
    <n v="502"/>
    <m/>
    <n v="1841"/>
    <n v="2000"/>
    <n v="7"/>
    <n v="216"/>
    <m/>
    <m/>
    <m/>
    <m/>
    <m/>
    <m/>
    <n v="404995"/>
    <n v="259197"/>
    <n v="0"/>
    <n v="331400"/>
    <n v="54700"/>
    <n v="276700"/>
    <n v="0"/>
    <n v="0"/>
    <n v="89850.625589999996"/>
    <n v="-54281.285314520763"/>
    <n v="44121.038090000002"/>
    <n v="160472.20319"/>
    <n v="-12490.553628"/>
    <n v="66158.208965302998"/>
    <n v="0"/>
    <n v="0"/>
    <n v="29052.813351752997"/>
    <n v="26544.1547364"/>
    <n v="0"/>
    <n v="0"/>
    <n v="313900"/>
    <n v="35600"/>
    <n v="349500"/>
    <n v="5.4616777308388653E-2"/>
    <n v="0.99970000000000003"/>
    <n v="0.98050000000000004"/>
    <n v="0.99729999999999996"/>
    <n v="1.0093000000000001"/>
    <n v="1.0074000000000001"/>
    <n v="0.94971499999999998"/>
    <n v="0.9442542195464082"/>
    <n v="313900"/>
    <n v="0"/>
    <n v="313900"/>
    <n v="33800"/>
    <n v="347700"/>
    <n v="0.13444163353812794"/>
    <n v="-0.38208409506398539"/>
    <n v="4.9185274592637294E-2"/>
  </r>
  <r>
    <n v="2025"/>
    <s v="18132333410    "/>
    <n v="-1.5141277326297755"/>
    <n v="0.22"/>
    <m/>
    <s v="6"/>
    <s v="RES"/>
    <x v="0"/>
    <s v="11"/>
    <s v="259"/>
    <s v="TD"/>
    <s v="G"/>
    <s v="GD"/>
    <x v="9"/>
    <n v="99"/>
    <n v="56"/>
    <n v="1925"/>
    <n v="1968"/>
    <n v="1008"/>
    <m/>
    <n v="1008"/>
    <n v="0"/>
    <n v="1008"/>
    <m/>
    <n v="2016"/>
    <n v="2500"/>
    <n v="8"/>
    <m/>
    <m/>
    <m/>
    <m/>
    <m/>
    <m/>
    <m/>
    <n v="344233"/>
    <n v="227194"/>
    <n v="6178"/>
    <n v="366600"/>
    <n v="61700"/>
    <n v="304900"/>
    <n v="0"/>
    <n v="0"/>
    <n v="89850.625589999996"/>
    <n v="-47929.131559187132"/>
    <n v="44121.038090000002"/>
    <n v="197752.34721000001"/>
    <n v="-12490.553628"/>
    <n v="49803.939236015998"/>
    <n v="0"/>
    <n v="0"/>
    <n v="29314.550408976"/>
    <n v="30336.176841600001"/>
    <n v="0"/>
    <n v="6200"/>
    <n v="338800"/>
    <n v="41900"/>
    <n v="386900"/>
    <n v="5.5373704309874525E-2"/>
    <n v="0.99970000000000003"/>
    <n v="0.98050000000000004"/>
    <n v="0.99650000000000005"/>
    <n v="0.98919999999999997"/>
    <n v="1.0074000000000001"/>
    <n v="0.94971499999999998"/>
    <n v="0.9247072287054503"/>
    <n v="338800"/>
    <n v="5900"/>
    <n v="344700"/>
    <n v="39800"/>
    <n v="384500"/>
    <n v="0.13053460150869137"/>
    <n v="-0.35494327390599678"/>
    <n v="4.8827059465357335E-2"/>
  </r>
  <r>
    <n v="2025"/>
    <s v="18132344419    "/>
    <n v="-1.8971199848858813"/>
    <n v="0.15"/>
    <m/>
    <s v="6"/>
    <s v="RES"/>
    <x v="0"/>
    <s v="11"/>
    <s v="259"/>
    <s v="TD"/>
    <s v="A"/>
    <s v="AV"/>
    <x v="9"/>
    <n v="99"/>
    <n v="56"/>
    <n v="1925"/>
    <n v="1968"/>
    <n v="1276"/>
    <m/>
    <n v="482"/>
    <n v="266"/>
    <n v="216"/>
    <m/>
    <n v="1492"/>
    <n v="1500"/>
    <n v="5"/>
    <m/>
    <m/>
    <m/>
    <m/>
    <m/>
    <m/>
    <m/>
    <n v="243698"/>
    <n v="155967"/>
    <n v="6626"/>
    <n v="286300"/>
    <n v="48400"/>
    <n v="237900"/>
    <n v="0"/>
    <n v="0"/>
    <n v="89850.625589999996"/>
    <n v="-60052.604136134301"/>
    <n v="21557.329055999999"/>
    <n v="160472.20319"/>
    <n v="-12490.553628"/>
    <n v="63045.462763052004"/>
    <n v="0"/>
    <n v="0"/>
    <n v="14017.473509054"/>
    <n v="18960.110526"/>
    <n v="0"/>
    <n v="6600"/>
    <n v="265600"/>
    <n v="29800"/>
    <n v="302000"/>
    <n v="5.4837582954942371E-2"/>
    <n v="0.99970000000000003"/>
    <n v="1.0067999999999999"/>
    <n v="0.99729999999999996"/>
    <n v="1.0157"/>
    <n v="1.0074000000000001"/>
    <n v="0.94971499999999998"/>
    <n v="0.97573014419916293"/>
    <n v="265600"/>
    <n v="6300"/>
    <n v="271900"/>
    <n v="28300"/>
    <n v="300200"/>
    <n v="0.14291719209751996"/>
    <n v="-0.41528925619834711"/>
    <n v="4.8550471533356621E-2"/>
  </r>
  <r>
    <n v="2025"/>
    <s v="18132313482    "/>
    <n v="-1.8971199848858813"/>
    <n v="0.15"/>
    <n v="6719"/>
    <s v="6"/>
    <s v="RES"/>
    <x v="0"/>
    <s v="11"/>
    <s v="259"/>
    <s v="BG"/>
    <s v="A"/>
    <s v="AV"/>
    <x v="9"/>
    <n v="99"/>
    <n v="56"/>
    <n v="1925"/>
    <n v="1968"/>
    <n v="818"/>
    <n v="300"/>
    <n v="205"/>
    <n v="0"/>
    <n v="205"/>
    <m/>
    <n v="1323"/>
    <n v="1500"/>
    <n v="6"/>
    <m/>
    <m/>
    <m/>
    <m/>
    <m/>
    <m/>
    <m/>
    <n v="203736"/>
    <n v="130391"/>
    <n v="4419"/>
    <n v="271500"/>
    <n v="48400"/>
    <n v="223100"/>
    <n v="0"/>
    <n v="0"/>
    <n v="89850.625589999996"/>
    <n v="-60052.604136134301"/>
    <n v="21557.329055999999"/>
    <n v="160472.20319"/>
    <n v="-12490.553628"/>
    <n v="40416.291959385999"/>
    <n v="13435.926858299999"/>
    <n v="0"/>
    <n v="5961.788525635"/>
    <n v="22752.132631200002"/>
    <n v="0"/>
    <n v="4400"/>
    <n v="252100"/>
    <n v="29800"/>
    <n v="286300"/>
    <n v="5.4511970534069983E-2"/>
    <n v="0.99970000000000003"/>
    <n v="1.0067999999999999"/>
    <n v="0.99729999999999996"/>
    <n v="1.0157"/>
    <n v="1.0074000000000001"/>
    <n v="0.94971499999999998"/>
    <n v="0.97573014419916293"/>
    <n v="252100"/>
    <n v="4200"/>
    <n v="256300"/>
    <n v="28300"/>
    <n v="284600"/>
    <n v="0.14881219184222322"/>
    <n v="-0.41528925619834711"/>
    <n v="4.8250460405156535E-2"/>
  </r>
  <r>
    <n v="2025"/>
    <s v="18132332460    "/>
    <n v="-1.5141277326297755"/>
    <n v="0.22"/>
    <n v="9594"/>
    <s v="6"/>
    <s v="RES"/>
    <x v="0"/>
    <s v="11"/>
    <s v="259"/>
    <s v="CO"/>
    <s v="A"/>
    <s v="GD"/>
    <x v="9"/>
    <n v="99"/>
    <n v="56"/>
    <n v="1925"/>
    <n v="1968"/>
    <n v="1296"/>
    <n v="432"/>
    <n v="388"/>
    <n v="0"/>
    <n v="388"/>
    <m/>
    <n v="2116"/>
    <n v="2500"/>
    <n v="6"/>
    <m/>
    <m/>
    <m/>
    <m/>
    <m/>
    <m/>
    <m/>
    <n v="292031"/>
    <n v="192740"/>
    <n v="31747"/>
    <n v="376400"/>
    <n v="61700"/>
    <n v="314700"/>
    <n v="0"/>
    <n v="0"/>
    <n v="89850.625589999996"/>
    <n v="-47929.131559187132"/>
    <n v="21557.329055999999"/>
    <n v="197752.34721000001"/>
    <n v="-12490.553628"/>
    <n v="64033.636160592003"/>
    <n v="19347.734675952001"/>
    <n v="0"/>
    <n v="11283.775355836"/>
    <n v="22752.132631200002"/>
    <n v="0"/>
    <n v="31700"/>
    <n v="324200"/>
    <n v="41900"/>
    <n v="397800"/>
    <n v="5.6854410201912856E-2"/>
    <n v="0.99970000000000003"/>
    <n v="1.0067999999999999"/>
    <n v="0.99650000000000005"/>
    <n v="0.98919999999999997"/>
    <n v="1.0074000000000001"/>
    <n v="0.94971499999999998"/>
    <n v="0.94951069644125163"/>
    <n v="324200"/>
    <n v="30200"/>
    <n v="354400"/>
    <n v="39800"/>
    <n v="394200"/>
    <n v="0.1261518906895456"/>
    <n v="-0.35494327390599678"/>
    <n v="4.7290116896918172E-2"/>
  </r>
  <r>
    <n v="2025"/>
    <s v="18132333466    "/>
    <n v="-1.4696759700589417"/>
    <n v="0.23"/>
    <m/>
    <s v="6"/>
    <s v="RES"/>
    <x v="0"/>
    <s v="11"/>
    <s v="259"/>
    <s v="TD"/>
    <s v="A"/>
    <s v="GD"/>
    <x v="9"/>
    <n v="99"/>
    <n v="56"/>
    <n v="1925"/>
    <n v="1968"/>
    <n v="1008"/>
    <m/>
    <n v="1008"/>
    <n v="0"/>
    <n v="1008"/>
    <m/>
    <n v="2016"/>
    <n v="2500"/>
    <n v="9"/>
    <m/>
    <m/>
    <n v="216"/>
    <m/>
    <m/>
    <m/>
    <m/>
    <n v="280208"/>
    <n v="184937"/>
    <n v="6259"/>
    <n v="357500"/>
    <n v="63300"/>
    <n v="294200"/>
    <n v="0"/>
    <n v="0"/>
    <n v="89850.625589999996"/>
    <n v="-46522.028095997222"/>
    <n v="21557.329055999999"/>
    <n v="197752.34721000001"/>
    <n v="-12490.553628"/>
    <n v="49803.939236015998"/>
    <n v="0"/>
    <n v="0"/>
    <n v="29314.550408976"/>
    <n v="34128.198946800003"/>
    <n v="7191.8312996160003"/>
    <n v="6300"/>
    <n v="327300"/>
    <n v="43300"/>
    <n v="376900"/>
    <n v="5.4265734265734264E-2"/>
    <n v="0.99970000000000003"/>
    <n v="1.0067999999999999"/>
    <n v="0.99650000000000005"/>
    <n v="0.98919999999999997"/>
    <n v="1.0074000000000001"/>
    <n v="0.94971499999999998"/>
    <n v="0.94951069644125163"/>
    <n v="327300"/>
    <n v="5900"/>
    <n v="333200"/>
    <n v="41100"/>
    <n v="374300"/>
    <n v="0.13256288239292999"/>
    <n v="-0.35071090047393366"/>
    <n v="4.6993006993006993E-2"/>
  </r>
  <r>
    <n v="2025"/>
    <s v="18132344493    "/>
    <n v="-1.8971199848858813"/>
    <n v="0.15"/>
    <m/>
    <s v="6"/>
    <s v="RES"/>
    <x v="0"/>
    <s v="11"/>
    <s v="259"/>
    <s v="TD"/>
    <s v="A"/>
    <s v="AV"/>
    <x v="9"/>
    <n v="99"/>
    <n v="56"/>
    <n v="1925"/>
    <n v="1968"/>
    <n v="829"/>
    <m/>
    <n v="415"/>
    <n v="0"/>
    <n v="415"/>
    <m/>
    <n v="1244"/>
    <n v="1500"/>
    <n v="5"/>
    <m/>
    <m/>
    <m/>
    <m/>
    <m/>
    <m/>
    <m/>
    <n v="176090"/>
    <n v="112698"/>
    <n v="4877"/>
    <n v="262100"/>
    <n v="48400"/>
    <n v="213700"/>
    <n v="0"/>
    <n v="0"/>
    <n v="89850.625589999996"/>
    <n v="-60052.604136134301"/>
    <n v="21557.329055999999"/>
    <n v="160472.20319"/>
    <n v="-12490.553628"/>
    <n v="40959.787328033002"/>
    <n v="0"/>
    <n v="0"/>
    <n v="12068.986527505"/>
    <n v="18960.110526"/>
    <n v="0"/>
    <n v="4900"/>
    <n v="241500"/>
    <n v="29800"/>
    <n v="276200"/>
    <n v="5.3796260969095767E-2"/>
    <n v="0.99970000000000003"/>
    <n v="1.0067999999999999"/>
    <n v="0.99729999999999996"/>
    <n v="1.0157"/>
    <n v="1.0074000000000001"/>
    <n v="0.94971499999999998"/>
    <n v="0.97573014419916293"/>
    <n v="241500"/>
    <n v="4600"/>
    <n v="246100"/>
    <n v="28300"/>
    <n v="274400"/>
    <n v="0.15161441272812354"/>
    <n v="-0.41528925619834711"/>
    <n v="4.6928653185806947E-2"/>
  </r>
  <r>
    <n v="2025"/>
    <s v="18132313432    "/>
    <n v="-1.1711829815029451"/>
    <n v="0.31"/>
    <n v="13286"/>
    <s v="6"/>
    <s v="RES"/>
    <x v="0"/>
    <s v="11"/>
    <s v="259"/>
    <s v="BG"/>
    <s v="G"/>
    <s v="GD"/>
    <x v="9"/>
    <n v="99"/>
    <n v="56"/>
    <n v="1925"/>
    <n v="1968"/>
    <n v="1854"/>
    <m/>
    <n v="1120"/>
    <n v="320"/>
    <n v="800"/>
    <m/>
    <n v="2654"/>
    <n v="3000"/>
    <n v="11"/>
    <m/>
    <m/>
    <m/>
    <m/>
    <m/>
    <m/>
    <m/>
    <n v="517565"/>
    <n v="341593"/>
    <n v="20084"/>
    <n v="444600"/>
    <n v="73700"/>
    <n v="370900"/>
    <n v="0"/>
    <n v="0"/>
    <n v="89850.625589999996"/>
    <n v="-37073.347241874442"/>
    <n v="44121.038090000002"/>
    <n v="197752.34721000001"/>
    <n v="-12490.553628"/>
    <n v="91603.673951958001"/>
    <n v="0"/>
    <n v="0"/>
    <n v="32571.722676639998"/>
    <n v="41712.243157199999"/>
    <n v="0"/>
    <n v="20100"/>
    <n v="395300"/>
    <n v="52800"/>
    <n v="468200"/>
    <n v="5.3081421502474135E-2"/>
    <n v="0.99970000000000003"/>
    <n v="0.98050000000000004"/>
    <n v="0.99650000000000005"/>
    <n v="0.96179999999999999"/>
    <n v="1.0074000000000001"/>
    <n v="0.94971499999999998"/>
    <n v="0.89909362370491519"/>
    <n v="395300"/>
    <n v="19100"/>
    <n v="414400"/>
    <n v="50100"/>
    <n v="464500"/>
    <n v="0.11728228633054731"/>
    <n v="-0.32021709633649931"/>
    <n v="4.4759334233018443E-2"/>
  </r>
  <r>
    <n v="2025"/>
    <s v="18132344427    "/>
    <n v="-1.9661128563728327"/>
    <n v="0.14000000000000001"/>
    <n v="6309"/>
    <s v="6"/>
    <s v="RES"/>
    <x v="0"/>
    <s v="11"/>
    <s v="259"/>
    <s v="TD"/>
    <s v="A"/>
    <s v="AV"/>
    <x v="9"/>
    <n v="99"/>
    <n v="56"/>
    <n v="1925"/>
    <n v="1968"/>
    <n v="1377"/>
    <m/>
    <n v="1377"/>
    <n v="727"/>
    <n v="650"/>
    <m/>
    <n v="2027"/>
    <n v="2500"/>
    <n v="5"/>
    <m/>
    <m/>
    <m/>
    <m/>
    <m/>
    <m/>
    <m/>
    <n v="296900"/>
    <n v="190016"/>
    <n v="6724"/>
    <n v="315100"/>
    <n v="46000"/>
    <n v="269100"/>
    <n v="0"/>
    <n v="0"/>
    <n v="89850.625589999996"/>
    <n v="-62236.546971921947"/>
    <n v="21557.329055999999"/>
    <n v="160472.20319"/>
    <n v="-12490.553628"/>
    <n v="68035.738420629001"/>
    <n v="0"/>
    <n v="0"/>
    <n v="40045.769755118999"/>
    <n v="18960.110526"/>
    <n v="0"/>
    <n v="6700"/>
    <n v="296600"/>
    <n v="27600"/>
    <n v="330900"/>
    <n v="5.0142811805775941E-2"/>
    <n v="0.99970000000000003"/>
    <n v="1.0067999999999999"/>
    <n v="0.99729999999999996"/>
    <n v="0.98919999999999997"/>
    <n v="1.0074000000000001"/>
    <n v="0.94971499999999998"/>
    <n v="0.95027297296624202"/>
    <n v="296600"/>
    <n v="6400"/>
    <n v="303000"/>
    <n v="26200"/>
    <n v="329200"/>
    <n v="0.12597547380156077"/>
    <n v="-0.43043478260869567"/>
    <n v="4.4747699143129163E-2"/>
  </r>
  <r>
    <n v="2025"/>
    <s v="18132344482    "/>
    <n v="-1.3093333199837622"/>
    <n v="0.27"/>
    <m/>
    <s v="6"/>
    <s v="RES"/>
    <x v="0"/>
    <s v="11"/>
    <s v="259"/>
    <s v="CU"/>
    <s v="G"/>
    <s v="AV"/>
    <x v="9"/>
    <n v="99"/>
    <n v="56"/>
    <n v="1925"/>
    <n v="1968"/>
    <n v="1414"/>
    <n v="1296"/>
    <n v="1295"/>
    <n v="695"/>
    <n v="600"/>
    <m/>
    <n v="3310"/>
    <n v="3500"/>
    <n v="14"/>
    <m/>
    <m/>
    <n v="440"/>
    <m/>
    <m/>
    <m/>
    <m/>
    <n v="654573"/>
    <n v="418927"/>
    <n v="39539"/>
    <n v="487300"/>
    <n v="68900"/>
    <n v="418400"/>
    <n v="0"/>
    <n v="0"/>
    <n v="89850.625589999996"/>
    <n v="-41446.443120973789"/>
    <n v="44121.038090000002"/>
    <n v="160472.20319"/>
    <n v="-12490.553628"/>
    <n v="69863.859206078007"/>
    <n v="58043.204027855994"/>
    <n v="0"/>
    <n v="37661.054344864999"/>
    <n v="53088.3094728"/>
    <n v="14650.026721440001"/>
    <n v="39500"/>
    <n v="425400"/>
    <n v="48400"/>
    <n v="513300"/>
    <n v="5.3355222655448391E-2"/>
    <n v="0.99970000000000003"/>
    <n v="0.98050000000000004"/>
    <n v="0.99729999999999996"/>
    <n v="1.0126999999999999"/>
    <n v="1.0074000000000001"/>
    <n v="0.94971499999999998"/>
    <n v="0.9474351016889403"/>
    <n v="425400"/>
    <n v="37600"/>
    <n v="463000"/>
    <n v="46000"/>
    <n v="509000"/>
    <n v="0.10659655831739961"/>
    <n v="-0.33236574746008707"/>
    <n v="4.4531089677816542E-2"/>
  </r>
  <r>
    <n v="2025"/>
    <s v="18132334503    "/>
    <n v="-1.8325814637483102"/>
    <n v="0.16"/>
    <m/>
    <s v="6"/>
    <s v="RES"/>
    <x v="0"/>
    <s v="11"/>
    <s v="259"/>
    <s v="BG"/>
    <s v="G"/>
    <s v="GD"/>
    <x v="9"/>
    <n v="99"/>
    <n v="56"/>
    <n v="1925"/>
    <n v="1968"/>
    <n v="1259"/>
    <m/>
    <n v="1153"/>
    <n v="0"/>
    <n v="1153"/>
    <m/>
    <n v="2412"/>
    <n v="2500"/>
    <n v="11"/>
    <m/>
    <m/>
    <m/>
    <m/>
    <m/>
    <m/>
    <m/>
    <n v="412239"/>
    <n v="272078"/>
    <n v="12869"/>
    <n v="391800"/>
    <n v="50600"/>
    <n v="341200"/>
    <n v="0"/>
    <n v="0"/>
    <n v="89850.625589999996"/>
    <n v="-58009.662049032086"/>
    <n v="44121.038090000002"/>
    <n v="197752.34721000001"/>
    <n v="-12490.553628"/>
    <n v="62205.515375143004"/>
    <n v="0"/>
    <n v="0"/>
    <n v="33531.425219790995"/>
    <n v="41712.243157199999"/>
    <n v="0"/>
    <n v="12900"/>
    <n v="366800"/>
    <n v="31800"/>
    <n v="411500"/>
    <n v="5.0280755487493618E-2"/>
    <n v="0.99970000000000003"/>
    <n v="0.98050000000000004"/>
    <n v="0.99650000000000005"/>
    <n v="0.98919999999999997"/>
    <n v="1.0074000000000001"/>
    <n v="0.94971499999999998"/>
    <n v="0.9247072287054503"/>
    <n v="366800"/>
    <n v="12200"/>
    <n v="379000"/>
    <n v="30200"/>
    <n v="409200"/>
    <n v="0.11078546307151231"/>
    <n v="-0.40316205533596838"/>
    <n v="4.44104134762634E-2"/>
  </r>
  <r>
    <n v="2025"/>
    <s v="18132313555    "/>
    <n v="-1.8325814637483102"/>
    <n v="0.16"/>
    <n v="7000"/>
    <s v="6"/>
    <s v="RES"/>
    <x v="0"/>
    <s v="11"/>
    <s v="259"/>
    <s v="BG"/>
    <s v="F+"/>
    <s v="AV"/>
    <x v="9"/>
    <n v="99"/>
    <n v="56"/>
    <n v="1925"/>
    <n v="1968"/>
    <n v="846"/>
    <m/>
    <n v="324"/>
    <n v="234"/>
    <n v="90"/>
    <m/>
    <n v="936"/>
    <n v="1000"/>
    <n v="5"/>
    <m/>
    <m/>
    <m/>
    <m/>
    <m/>
    <m/>
    <m/>
    <n v="155673"/>
    <n v="99631"/>
    <n v="6325"/>
    <n v="243700"/>
    <n v="50600"/>
    <n v="193100"/>
    <n v="0"/>
    <n v="0"/>
    <n v="89850.625589999996"/>
    <n v="-58009.662049032086"/>
    <n v="0"/>
    <n v="160472.20319"/>
    <n v="-12490.553628"/>
    <n v="41799.734715942002"/>
    <n v="0"/>
    <n v="0"/>
    <n v="9422.5340600279997"/>
    <n v="18960.110526"/>
    <n v="0"/>
    <n v="6300"/>
    <n v="218200"/>
    <n v="31800"/>
    <n v="256300"/>
    <n v="5.1702913418137056E-2"/>
    <n v="0.99970000000000003"/>
    <n v="0.99180000000000001"/>
    <n v="0.99729999999999996"/>
    <n v="1.0148999999999999"/>
    <n v="1.0074000000000001"/>
    <n v="0.94971499999999998"/>
    <n v="0.96043597585476481"/>
    <n v="218200"/>
    <n v="6000"/>
    <n v="224200"/>
    <n v="30200"/>
    <n v="254400"/>
    <n v="0.16105644743656136"/>
    <n v="-0.40316205533596838"/>
    <n v="4.3906442347148134E-2"/>
  </r>
  <r>
    <n v="2025"/>
    <s v="18132342427    "/>
    <n v="-1.9661128563728327"/>
    <n v="0.14000000000000001"/>
    <n v="6003"/>
    <s v="6"/>
    <s v="RES"/>
    <x v="0"/>
    <s v="11"/>
    <s v="259"/>
    <s v="TD"/>
    <s v="A"/>
    <s v="AV"/>
    <x v="9"/>
    <n v="99"/>
    <n v="56"/>
    <n v="1925"/>
    <n v="1968"/>
    <n v="856"/>
    <m/>
    <n v="856"/>
    <n v="120"/>
    <n v="736"/>
    <m/>
    <n v="1592"/>
    <n v="2000"/>
    <n v="5"/>
    <m/>
    <n v="264"/>
    <m/>
    <m/>
    <m/>
    <m/>
    <m/>
    <n v="220294"/>
    <n v="140988"/>
    <n v="0"/>
    <n v="270200"/>
    <n v="46000"/>
    <n v="224200"/>
    <n v="0"/>
    <n v="0"/>
    <n v="89850.625589999996"/>
    <n v="-62236.546971921947"/>
    <n v="21557.329055999999"/>
    <n v="160472.20319"/>
    <n v="-12490.553628"/>
    <n v="42293.821414712002"/>
    <n v="0"/>
    <n v="0"/>
    <n v="24894.102331431997"/>
    <n v="18960.110526"/>
    <n v="0"/>
    <n v="0"/>
    <n v="255700"/>
    <n v="27600"/>
    <n v="283300"/>
    <n v="4.8482605477424133E-2"/>
    <n v="0.99970000000000003"/>
    <n v="1.0067999999999999"/>
    <n v="0.99729999999999996"/>
    <n v="1.0093000000000001"/>
    <n v="1.0074000000000001"/>
    <n v="0.94971499999999998"/>
    <n v="0.96958199718441984"/>
    <n v="255700"/>
    <n v="0"/>
    <n v="255700"/>
    <n v="26200"/>
    <n v="281900"/>
    <n v="0.14049955396966993"/>
    <n v="-0.43043478260869567"/>
    <n v="4.3301258327165061E-2"/>
  </r>
  <r>
    <n v="2025"/>
    <s v="18132331437    "/>
    <n v="-1.8971199848858813"/>
    <n v="0.15"/>
    <m/>
    <s v="6"/>
    <s v="RES"/>
    <x v="0"/>
    <s v="11"/>
    <s v="259"/>
    <s v="BG"/>
    <s v="F+"/>
    <s v="AV"/>
    <x v="9"/>
    <n v="99"/>
    <n v="56"/>
    <n v="1925"/>
    <n v="1968"/>
    <n v="792"/>
    <m/>
    <n v="336"/>
    <n v="336"/>
    <m/>
    <m/>
    <n v="792"/>
    <n v="1000"/>
    <n v="5"/>
    <m/>
    <m/>
    <m/>
    <m/>
    <m/>
    <m/>
    <m/>
    <n v="147041"/>
    <n v="94106"/>
    <n v="8886"/>
    <n v="242100"/>
    <n v="48400"/>
    <n v="193700"/>
    <n v="0"/>
    <n v="0"/>
    <n v="89850.625589999996"/>
    <n v="-60052.604136134301"/>
    <n v="0"/>
    <n v="160472.20319"/>
    <n v="-12490.553628"/>
    <n v="39131.666542584004"/>
    <n v="0"/>
    <n v="0"/>
    <n v="9771.5168029919987"/>
    <n v="18960.110526"/>
    <n v="0"/>
    <n v="8900"/>
    <n v="215800"/>
    <n v="29800"/>
    <n v="254500"/>
    <n v="5.1218504750103262E-2"/>
    <n v="0.99970000000000003"/>
    <n v="0.99180000000000001"/>
    <n v="0.99729999999999996"/>
    <n v="1.0148999999999999"/>
    <n v="1.0074000000000001"/>
    <n v="0.94971499999999998"/>
    <n v="0.96043597585476481"/>
    <n v="215800"/>
    <n v="8400"/>
    <n v="224200"/>
    <n v="28300"/>
    <n v="252500"/>
    <n v="0.15745998967475477"/>
    <n v="-0.41528925619834711"/>
    <n v="4.2957455596860802E-2"/>
  </r>
  <r>
    <n v="2025"/>
    <s v="18132213059    "/>
    <n v="-1.5606477482646683"/>
    <n v="0.21"/>
    <n v="9261"/>
    <s v="6"/>
    <s v="RES"/>
    <x v="0"/>
    <s v="11"/>
    <s v="259"/>
    <s v="TD"/>
    <s v="F+"/>
    <s v="AV"/>
    <x v="9"/>
    <n v="99"/>
    <n v="56"/>
    <n v="1925"/>
    <n v="1968"/>
    <n v="960"/>
    <m/>
    <n v="650"/>
    <n v="650"/>
    <n v="0"/>
    <m/>
    <n v="960"/>
    <n v="1000"/>
    <n v="5"/>
    <m/>
    <m/>
    <m/>
    <m/>
    <m/>
    <m/>
    <m/>
    <n v="179790"/>
    <n v="115066"/>
    <n v="5934"/>
    <n v="266300"/>
    <n v="60100"/>
    <n v="206200"/>
    <n v="0"/>
    <n v="0"/>
    <n v="89850.625589999996"/>
    <n v="-49401.70477837498"/>
    <n v="0"/>
    <n v="160472.20319"/>
    <n v="-12490.553628"/>
    <n v="47432.323081920003"/>
    <n v="0"/>
    <n v="0"/>
    <n v="18903.231910549999"/>
    <n v="18960.110526"/>
    <n v="0"/>
    <n v="5900"/>
    <n v="233300"/>
    <n v="40400"/>
    <n v="279600"/>
    <n v="4.9943672549755916E-2"/>
    <n v="0.99970000000000003"/>
    <n v="0.99180000000000001"/>
    <n v="0.99729999999999996"/>
    <n v="1.0148999999999999"/>
    <n v="1.0074000000000001"/>
    <n v="0.94971499999999998"/>
    <n v="0.96043597585476481"/>
    <n v="233300"/>
    <n v="5600"/>
    <n v="238900"/>
    <n v="38400"/>
    <n v="277300"/>
    <n v="0.15858389912706111"/>
    <n v="-0.36106489184692181"/>
    <n v="4.130679684566279E-2"/>
  </r>
  <r>
    <n v="2025"/>
    <s v="18132342401    "/>
    <n v="-1.5606477482646683"/>
    <n v="0.21"/>
    <n v="9105"/>
    <s v="6"/>
    <s v="RES"/>
    <x v="0"/>
    <s v="11"/>
    <s v="259"/>
    <s v="BG"/>
    <s v="A"/>
    <s v="AV"/>
    <x v="9"/>
    <n v="99"/>
    <n v="56"/>
    <n v="1925"/>
    <n v="1968"/>
    <n v="1086"/>
    <m/>
    <n v="815"/>
    <n v="407"/>
    <n v="408"/>
    <m/>
    <n v="1494"/>
    <n v="1500"/>
    <n v="5"/>
    <m/>
    <m/>
    <m/>
    <m/>
    <m/>
    <m/>
    <m/>
    <n v="243453"/>
    <n v="155810"/>
    <n v="6708"/>
    <n v="299500"/>
    <n v="60100"/>
    <n v="239400"/>
    <n v="0"/>
    <n v="0"/>
    <n v="89850.625589999996"/>
    <n v="-49401.70477837498"/>
    <n v="21557.329055999999"/>
    <n v="160472.20319"/>
    <n v="-12490.553628"/>
    <n v="53657.815486421998"/>
    <n v="0"/>
    <n v="0"/>
    <n v="23701.744626305001"/>
    <n v="18960.110526"/>
    <n v="0"/>
    <n v="6700"/>
    <n v="265900"/>
    <n v="40400"/>
    <n v="313000"/>
    <n v="4.5075125208681135E-2"/>
    <n v="0.99970000000000003"/>
    <n v="1.0067999999999999"/>
    <n v="0.99729999999999996"/>
    <n v="1.0157"/>
    <n v="1.0074000000000001"/>
    <n v="0.94971499999999998"/>
    <n v="0.97573014419916293"/>
    <n v="265900"/>
    <n v="6400"/>
    <n v="272300"/>
    <n v="38400"/>
    <n v="310700"/>
    <n v="0.13742690058479531"/>
    <n v="-0.36106489184692181"/>
    <n v="3.7395659432387311E-2"/>
  </r>
  <r>
    <n v="2025"/>
    <s v="18132344497    "/>
    <n v="-1.5141277326297755"/>
    <n v="0.22"/>
    <n v="9750"/>
    <s v="6"/>
    <s v="RES"/>
    <x v="0"/>
    <s v="11"/>
    <s v="259"/>
    <s v="BG"/>
    <s v="A+"/>
    <s v="GD"/>
    <x v="9"/>
    <n v="99"/>
    <n v="56"/>
    <n v="1925"/>
    <n v="1968"/>
    <n v="1317"/>
    <m/>
    <n v="990"/>
    <n v="0"/>
    <n v="990"/>
    <m/>
    <n v="2307"/>
    <n v="2500"/>
    <n v="6"/>
    <m/>
    <m/>
    <m/>
    <m/>
    <m/>
    <m/>
    <m/>
    <n v="354283"/>
    <n v="233827"/>
    <n v="11609"/>
    <n v="369600"/>
    <n v="61700"/>
    <n v="307900"/>
    <n v="0"/>
    <n v="0"/>
    <n v="89850.625589999996"/>
    <n v="-47929.131559187132"/>
    <n v="29814.093161000001"/>
    <n v="197752.34721000001"/>
    <n v="-12490.553628"/>
    <n v="65071.218228008998"/>
    <n v="0"/>
    <n v="0"/>
    <n v="28791.076294529998"/>
    <n v="22752.132631200002"/>
    <n v="0"/>
    <n v="11600"/>
    <n v="331700"/>
    <n v="41900"/>
    <n v="385200"/>
    <n v="4.2207792207792208E-2"/>
    <n v="0.99970000000000003"/>
    <n v="1.0088999999999999"/>
    <n v="0.99650000000000005"/>
    <n v="0.98919999999999997"/>
    <n v="1.0074000000000001"/>
    <n v="0.94971499999999998"/>
    <n v="0.95149120146958555"/>
    <n v="331700"/>
    <n v="11000"/>
    <n v="342700"/>
    <n v="39800"/>
    <n v="382500"/>
    <n v="0.11302370899642741"/>
    <n v="-0.35494327390599678"/>
    <n v="3.49025974025974E-2"/>
  </r>
  <r>
    <n v="2025"/>
    <s v="18132313417    "/>
    <n v="-1.8325814637483102"/>
    <n v="0.16"/>
    <n v="7140"/>
    <s v="6"/>
    <s v="RES"/>
    <x v="0"/>
    <s v="11"/>
    <s v="259"/>
    <s v="TD"/>
    <s v="A"/>
    <s v="AV"/>
    <x v="9"/>
    <n v="99"/>
    <n v="56"/>
    <n v="1925"/>
    <n v="1968"/>
    <n v="1020"/>
    <m/>
    <n v="1020"/>
    <n v="50"/>
    <n v="970"/>
    <m/>
    <n v="1990"/>
    <n v="2000"/>
    <n v="5"/>
    <m/>
    <m/>
    <n v="80"/>
    <m/>
    <m/>
    <m/>
    <m/>
    <n v="253475"/>
    <n v="162224"/>
    <n v="0"/>
    <n v="291900"/>
    <n v="50600"/>
    <n v="241300"/>
    <n v="0"/>
    <n v="0"/>
    <n v="89850.625589999996"/>
    <n v="-58009.662049032086"/>
    <n v="21557.329055999999"/>
    <n v="160472.20319"/>
    <n v="-12490.553628"/>
    <n v="50396.843274539999"/>
    <n v="0"/>
    <n v="0"/>
    <n v="29663.533151939999"/>
    <n v="18960.110526"/>
    <n v="2663.6412220800003"/>
    <n v="0"/>
    <n v="271200"/>
    <n v="31800"/>
    <n v="303000"/>
    <n v="3.8026721479958892E-2"/>
    <n v="0.99970000000000003"/>
    <n v="1.0067999999999999"/>
    <n v="0.99729999999999996"/>
    <n v="1.0093000000000001"/>
    <n v="1.0074000000000001"/>
    <n v="0.94971499999999998"/>
    <n v="0.96958199718441984"/>
    <n v="271200"/>
    <n v="0"/>
    <n v="271200"/>
    <n v="30200"/>
    <n v="301400"/>
    <n v="0.12391214256112723"/>
    <n v="-0.40316205533596838"/>
    <n v="3.2545392257622471E-2"/>
  </r>
  <r>
    <n v="2025"/>
    <s v="18132313499    "/>
    <n v="-1.2729656758128873"/>
    <n v="0.28000000000000003"/>
    <m/>
    <s v="6"/>
    <s v="RES"/>
    <x v="0"/>
    <s v="11"/>
    <s v="259"/>
    <s v="BG"/>
    <s v="A"/>
    <s v="GD"/>
    <x v="9"/>
    <n v="99"/>
    <n v="56"/>
    <n v="1925"/>
    <n v="1968"/>
    <n v="1426"/>
    <m/>
    <n v="1260"/>
    <n v="0"/>
    <n v="1260"/>
    <m/>
    <n v="2686"/>
    <n v="3000"/>
    <n v="8"/>
    <m/>
    <m/>
    <m/>
    <m/>
    <m/>
    <m/>
    <m/>
    <n v="342903"/>
    <n v="226316"/>
    <n v="25197"/>
    <n v="403100"/>
    <n v="70100"/>
    <n v="333000"/>
    <n v="0"/>
    <n v="0"/>
    <n v="89850.625589999996"/>
    <n v="-40295.239319339329"/>
    <n v="21557.329055999999"/>
    <n v="197752.34721000001"/>
    <n v="-12490.553628"/>
    <n v="70456.763244602"/>
    <n v="0"/>
    <n v="0"/>
    <n v="36643.188011220001"/>
    <n v="30336.176841600001"/>
    <n v="0"/>
    <n v="25200"/>
    <n v="344300"/>
    <n v="49600"/>
    <n v="419100"/>
    <n v="3.9692384023815433E-2"/>
    <n v="0.99970000000000003"/>
    <n v="1.0067999999999999"/>
    <n v="0.99650000000000005"/>
    <n v="0.96179999999999999"/>
    <n v="1.0074000000000001"/>
    <n v="0.94971499999999998"/>
    <n v="0.92321005644682153"/>
    <n v="344300"/>
    <n v="23900"/>
    <n v="368200"/>
    <n v="47100"/>
    <n v="415300"/>
    <n v="0.1057057057057057"/>
    <n v="-0.32810271041369471"/>
    <n v="3.0265442818159266E-2"/>
  </r>
  <r>
    <n v="2025"/>
    <s v="18132313495    "/>
    <n v="-1.8325814637483102"/>
    <n v="0.16"/>
    <n v="6999"/>
    <s v="6"/>
    <s v="RES"/>
    <x v="0"/>
    <s v="11"/>
    <s v="259"/>
    <s v="TD"/>
    <s v="A"/>
    <s v="AV"/>
    <x v="9"/>
    <n v="99"/>
    <n v="52"/>
    <n v="1925"/>
    <n v="1972"/>
    <n v="954"/>
    <m/>
    <n v="300"/>
    <n v="300"/>
    <m/>
    <m/>
    <n v="954"/>
    <n v="1000"/>
    <n v="5"/>
    <m/>
    <m/>
    <m/>
    <m/>
    <m/>
    <m/>
    <m/>
    <n v="175421"/>
    <n v="119286"/>
    <n v="0"/>
    <n v="267500"/>
    <n v="50600"/>
    <n v="216900"/>
    <n v="0"/>
    <n v="0"/>
    <n v="89850.625589999996"/>
    <n v="-58009.662049032086"/>
    <n v="21557.329055999999"/>
    <n v="160472.20319"/>
    <n v="-11598.371226000001"/>
    <n v="47135.871062658"/>
    <n v="0"/>
    <n v="0"/>
    <n v="8724.5685740999998"/>
    <n v="18960.110526"/>
    <n v="0"/>
    <n v="0"/>
    <n v="245300"/>
    <n v="31800"/>
    <n v="277100"/>
    <n v="3.588785046728972E-2"/>
    <n v="0.99970000000000003"/>
    <n v="1.0067999999999999"/>
    <n v="0.99729999999999996"/>
    <n v="1.0148999999999999"/>
    <n v="1.0074000000000001"/>
    <n v="0.94971499999999998"/>
    <n v="0.97496162582232004"/>
    <n v="245300"/>
    <n v="0"/>
    <n v="245300"/>
    <n v="30200"/>
    <n v="275500"/>
    <n v="0.13093591516828032"/>
    <n v="-0.40316205533596838"/>
    <n v="2.9906542056074768E-2"/>
  </r>
  <r>
    <n v="2025"/>
    <s v="18132342442    "/>
    <n v="-1.9661128563728327"/>
    <n v="0.14000000000000001"/>
    <m/>
    <s v="6"/>
    <s v="RES"/>
    <x v="0"/>
    <s v="11"/>
    <s v="259"/>
    <s v="BG"/>
    <s v="A+"/>
    <s v="AV"/>
    <x v="9"/>
    <n v="99"/>
    <n v="56"/>
    <n v="1925"/>
    <n v="1968"/>
    <n v="984"/>
    <m/>
    <n v="780"/>
    <n v="0"/>
    <n v="780"/>
    <m/>
    <n v="1764"/>
    <n v="2000"/>
    <n v="8"/>
    <m/>
    <n v="204"/>
    <m/>
    <m/>
    <m/>
    <m/>
    <m/>
    <n v="284225"/>
    <n v="181904"/>
    <n v="0"/>
    <n v="296900"/>
    <n v="46000"/>
    <n v="250900"/>
    <n v="0"/>
    <n v="0"/>
    <n v="89850.625589999996"/>
    <n v="-62236.546971921947"/>
    <n v="29814.093161000001"/>
    <n v="160472.20319"/>
    <n v="-12490.553628"/>
    <n v="48618.131158968004"/>
    <n v="0"/>
    <n v="0"/>
    <n v="22683.87829266"/>
    <n v="30336.176841600001"/>
    <n v="0"/>
    <n v="0"/>
    <n v="279400"/>
    <n v="27600"/>
    <n v="307000"/>
    <n v="3.4018187942068033E-2"/>
    <n v="0.99970000000000003"/>
    <n v="1.0088999999999999"/>
    <n v="0.99729999999999996"/>
    <n v="1.0093000000000001"/>
    <n v="1.0074000000000001"/>
    <n v="0.94971499999999998"/>
    <n v="0.97160436726197974"/>
    <n v="279400"/>
    <n v="0"/>
    <n v="279400"/>
    <n v="26200"/>
    <n v="305600"/>
    <n v="0.11359107214029494"/>
    <n v="-0.43043478260869567"/>
    <n v="2.9302795554058604E-2"/>
  </r>
  <r>
    <n v="2025"/>
    <s v="18132342432    "/>
    <n v="-2.0402208285265546"/>
    <n v="0.13"/>
    <n v="5747"/>
    <s v="6"/>
    <s v="RES"/>
    <x v="0"/>
    <s v="11"/>
    <s v="259"/>
    <s v="CC"/>
    <s v="A+"/>
    <s v="AV"/>
    <x v="9"/>
    <n v="99"/>
    <n v="56"/>
    <n v="1925"/>
    <n v="1968"/>
    <n v="908"/>
    <n v="700"/>
    <n v="650"/>
    <n v="0"/>
    <n v="650"/>
    <m/>
    <n v="2258"/>
    <n v="2500"/>
    <n v="5"/>
    <m/>
    <m/>
    <m/>
    <m/>
    <m/>
    <m/>
    <m/>
    <n v="336824"/>
    <n v="215567"/>
    <n v="11027"/>
    <n v="317200"/>
    <n v="43400"/>
    <n v="273800"/>
    <n v="0"/>
    <n v="0"/>
    <n v="89850.625589999996"/>
    <n v="-64582.406353792743"/>
    <n v="29814.093161000001"/>
    <n v="160472.20319"/>
    <n v="-12490.553628"/>
    <n v="44863.072248315999"/>
    <n v="31350.496002699998"/>
    <n v="0"/>
    <n v="18903.231910549999"/>
    <n v="18960.110526"/>
    <n v="0"/>
    <n v="11000"/>
    <n v="291900"/>
    <n v="25300"/>
    <n v="328200"/>
    <n v="3.467843631778058E-2"/>
    <n v="0.99970000000000003"/>
    <n v="1.0088999999999999"/>
    <n v="0.99729999999999996"/>
    <n v="0.98919999999999997"/>
    <n v="1.0074000000000001"/>
    <n v="0.94971499999999998"/>
    <n v="0.95225506796349002"/>
    <n v="291900"/>
    <n v="10500"/>
    <n v="302400"/>
    <n v="24000"/>
    <n v="326400"/>
    <n v="0.10445580715850986"/>
    <n v="-0.44700460829493088"/>
    <n v="2.9003783102143757E-2"/>
  </r>
  <r>
    <n v="2025"/>
    <s v="18132313518    "/>
    <n v="-1.8325814637483102"/>
    <n v="0.16"/>
    <n v="6860"/>
    <s v="6"/>
    <s v="RES"/>
    <x v="0"/>
    <s v="11"/>
    <s v="259"/>
    <s v="BG"/>
    <s v="A+"/>
    <s v="AV"/>
    <x v="9"/>
    <n v="99"/>
    <n v="56"/>
    <n v="1925"/>
    <n v="1968"/>
    <n v="1440"/>
    <m/>
    <n v="948"/>
    <n v="240"/>
    <n v="708"/>
    <m/>
    <n v="2148"/>
    <n v="2500"/>
    <n v="9"/>
    <m/>
    <m/>
    <m/>
    <m/>
    <m/>
    <m/>
    <m/>
    <n v="358402"/>
    <n v="229377"/>
    <n v="11952"/>
    <n v="342300"/>
    <n v="50600"/>
    <n v="291700"/>
    <n v="0"/>
    <n v="0"/>
    <n v="89850.625589999996"/>
    <n v="-58009.662049032086"/>
    <n v="29814.093161000001"/>
    <n v="160472.20319"/>
    <n v="-12490.553628"/>
    <n v="71148.484622880002"/>
    <n v="0"/>
    <n v="0"/>
    <n v="27569.636694155997"/>
    <n v="34128.198946800003"/>
    <n v="0"/>
    <n v="12000"/>
    <n v="310600"/>
    <n v="31800"/>
    <n v="354400"/>
    <n v="3.5349108968740869E-2"/>
    <n v="0.99970000000000003"/>
    <n v="1.0088999999999999"/>
    <n v="0.99729999999999996"/>
    <n v="0.98919999999999997"/>
    <n v="1.0074000000000001"/>
    <n v="0.94971499999999998"/>
    <n v="0.95225506796349002"/>
    <n v="310600"/>
    <n v="11400"/>
    <n v="322000"/>
    <n v="30200"/>
    <n v="352200"/>
    <n v="0.10387384298937265"/>
    <n v="-0.40316205533596838"/>
    <n v="2.8921998247151623E-2"/>
  </r>
  <r>
    <n v="2025"/>
    <s v="18132331457    "/>
    <n v="-1.8971199848858813"/>
    <n v="0.15"/>
    <m/>
    <s v="6"/>
    <s v="RES"/>
    <x v="0"/>
    <s v="11"/>
    <s v="259"/>
    <s v="TD"/>
    <s v="F+"/>
    <s v="AV"/>
    <x v="9"/>
    <n v="99"/>
    <n v="56"/>
    <n v="1925"/>
    <n v="1968"/>
    <n v="936"/>
    <m/>
    <n v="212"/>
    <n v="0"/>
    <n v="212"/>
    <m/>
    <n v="1148"/>
    <n v="1500"/>
    <n v="5"/>
    <m/>
    <m/>
    <m/>
    <m/>
    <m/>
    <m/>
    <m/>
    <n v="166421"/>
    <n v="106509"/>
    <n v="0"/>
    <n v="241000"/>
    <n v="48400"/>
    <n v="192600"/>
    <n v="0"/>
    <n v="0"/>
    <n v="89850.625589999996"/>
    <n v="-60052.604136134301"/>
    <n v="0"/>
    <n v="160472.20319"/>
    <n v="-12490.553628"/>
    <n v="46246.515004872002"/>
    <n v="0"/>
    <n v="0"/>
    <n v="6165.3617923639995"/>
    <n v="18960.110526"/>
    <n v="0"/>
    <n v="0"/>
    <n v="219400"/>
    <n v="29800"/>
    <n v="249200"/>
    <n v="3.4024896265560163E-2"/>
    <n v="0.99970000000000003"/>
    <n v="0.99180000000000001"/>
    <n v="0.99729999999999996"/>
    <n v="1.0157"/>
    <n v="1.0074000000000001"/>
    <n v="0.94971499999999998"/>
    <n v="0.96119304431538555"/>
    <n v="219400"/>
    <n v="0"/>
    <n v="219400"/>
    <n v="28300"/>
    <n v="247700"/>
    <n v="0.1391484942886812"/>
    <n v="-0.41528925619834711"/>
    <n v="2.7800829875518671E-2"/>
  </r>
  <r>
    <n v="2025"/>
    <s v="18132241009    "/>
    <n v="-1.2378743560016174"/>
    <n v="0.28999999999999998"/>
    <n v="12670"/>
    <s v="6"/>
    <s v="RES"/>
    <x v="0"/>
    <s v="11"/>
    <s v="259"/>
    <s v="CO"/>
    <s v="A"/>
    <s v="AV"/>
    <x v="9"/>
    <n v="99"/>
    <n v="56"/>
    <n v="1925"/>
    <n v="1968"/>
    <n v="956"/>
    <n v="484"/>
    <n v="949"/>
    <n v="0"/>
    <n v="949"/>
    <m/>
    <n v="2389"/>
    <n v="2500"/>
    <n v="8"/>
    <m/>
    <m/>
    <n v="324"/>
    <m/>
    <m/>
    <m/>
    <m/>
    <n v="313426"/>
    <n v="200593"/>
    <n v="11083"/>
    <n v="356400"/>
    <n v="71400"/>
    <n v="285000"/>
    <n v="0"/>
    <n v="0"/>
    <n v="89850.625589999996"/>
    <n v="-39184.437074869042"/>
    <n v="21557.329055999999"/>
    <n v="160472.20319"/>
    <n v="-12490.553628"/>
    <n v="47234.688402412001"/>
    <n v="21676.628664723998"/>
    <n v="0"/>
    <n v="27598.718589402997"/>
    <n v="30336.176841600001"/>
    <n v="10787.746949424001"/>
    <n v="11100"/>
    <n v="307200"/>
    <n v="50700"/>
    <n v="369000"/>
    <n v="3.5353535353535352E-2"/>
    <n v="0.99970000000000003"/>
    <n v="1.0067999999999999"/>
    <n v="0.99729999999999996"/>
    <n v="0.98919999999999997"/>
    <n v="1.0074000000000001"/>
    <n v="0.94971499999999998"/>
    <n v="0.95027297296624202"/>
    <n v="307200"/>
    <n v="10500"/>
    <n v="317700"/>
    <n v="48100"/>
    <n v="365800"/>
    <n v="0.11473684210526315"/>
    <n v="-0.32633053221288516"/>
    <n v="2.6374859708193043E-2"/>
  </r>
  <r>
    <n v="2025"/>
    <s v="18132344015    "/>
    <n v="-1.8971199848858813"/>
    <n v="0.15"/>
    <n v="6485"/>
    <s v="6"/>
    <s v="RES"/>
    <x v="0"/>
    <s v="11"/>
    <s v="259"/>
    <s v="BG"/>
    <s v="A"/>
    <s v="AV"/>
    <x v="9"/>
    <n v="99"/>
    <n v="56"/>
    <n v="1925"/>
    <n v="1968"/>
    <n v="1329"/>
    <m/>
    <n v="1100"/>
    <n v="600"/>
    <n v="500"/>
    <m/>
    <n v="1829"/>
    <n v="2000"/>
    <n v="11"/>
    <m/>
    <m/>
    <n v="144"/>
    <m/>
    <m/>
    <m/>
    <m/>
    <n v="311177"/>
    <n v="199153"/>
    <n v="4277"/>
    <n v="337700"/>
    <n v="48400"/>
    <n v="289300"/>
    <n v="0"/>
    <n v="0"/>
    <n v="89850.625589999996"/>
    <n v="-60052.604136134301"/>
    <n v="21557.329055999999"/>
    <n v="160472.20319"/>
    <n v="-12490.553628"/>
    <n v="65664.122266532999"/>
    <n v="0"/>
    <n v="0"/>
    <n v="31990.0847717"/>
    <n v="41712.243157199999"/>
    <n v="4794.5541997440005"/>
    <n v="4300"/>
    <n v="313700"/>
    <n v="29800"/>
    <n v="347800"/>
    <n v="2.9908202546639027E-2"/>
    <n v="0.99970000000000003"/>
    <n v="1.0067999999999999"/>
    <n v="0.99729999999999996"/>
    <n v="1.0093000000000001"/>
    <n v="1.0074000000000001"/>
    <n v="0.94971499999999998"/>
    <n v="0.96958199718441984"/>
    <n v="313700"/>
    <n v="4100"/>
    <n v="317800"/>
    <n v="28300"/>
    <n v="346100"/>
    <n v="9.8513653646733493E-2"/>
    <n v="-0.41528925619834711"/>
    <n v="2.487414865265028E-2"/>
  </r>
  <r>
    <n v="2025"/>
    <s v="18132313464    "/>
    <n v="-1.0788096613719298"/>
    <n v="0.34"/>
    <n v="14951"/>
    <s v="6"/>
    <s v="RES"/>
    <x v="0"/>
    <s v="11"/>
    <s v="259"/>
    <s v="TD"/>
    <s v="A"/>
    <s v="FR"/>
    <x v="9"/>
    <n v="99"/>
    <n v="56"/>
    <n v="1925"/>
    <n v="1968"/>
    <n v="1248"/>
    <m/>
    <n v="801"/>
    <n v="0"/>
    <n v="801"/>
    <m/>
    <n v="2049"/>
    <n v="2500"/>
    <n v="5"/>
    <m/>
    <m/>
    <m/>
    <m/>
    <m/>
    <m/>
    <m/>
    <n v="265352"/>
    <n v="164518"/>
    <n v="6481"/>
    <n v="298900"/>
    <n v="76900"/>
    <n v="222000"/>
    <n v="0"/>
    <n v="0"/>
    <n v="89850.625589999996"/>
    <n v="-34149.305288406773"/>
    <n v="21557.329055999999"/>
    <n v="133714.53821"/>
    <n v="-12490.553628"/>
    <n v="61662.020006496001"/>
    <n v="0"/>
    <n v="0"/>
    <n v="23294.598092846998"/>
    <n v="18960.110526"/>
    <n v="0"/>
    <n v="6500"/>
    <n v="246700"/>
    <n v="55700"/>
    <n v="308900"/>
    <n v="3.3456005352960859E-2"/>
    <n v="0.99970000000000003"/>
    <n v="1.0067999999999999"/>
    <n v="0.99329999999999996"/>
    <n v="0.98919999999999997"/>
    <n v="1.0074000000000001"/>
    <n v="0.94971499999999998"/>
    <n v="0.94646159034128952"/>
    <n v="246700"/>
    <n v="6200"/>
    <n v="252900"/>
    <n v="52900"/>
    <n v="305800"/>
    <n v="0.13918918918918918"/>
    <n v="-0.31209362808842656"/>
    <n v="2.3084643693542992E-2"/>
  </r>
  <r>
    <n v="2025"/>
    <s v="18132332433    "/>
    <n v="-2.0402208285265546"/>
    <n v="0.13"/>
    <m/>
    <s v="6"/>
    <s v="RES"/>
    <x v="0"/>
    <s v="11"/>
    <s v="259"/>
    <s v="BG"/>
    <s v="A"/>
    <s v="AV"/>
    <x v="9"/>
    <n v="99"/>
    <n v="56"/>
    <n v="1925"/>
    <n v="1968"/>
    <n v="1242"/>
    <m/>
    <n v="745"/>
    <n v="0"/>
    <n v="745"/>
    <m/>
    <n v="1987"/>
    <n v="2000"/>
    <n v="9"/>
    <m/>
    <m/>
    <m/>
    <m/>
    <m/>
    <m/>
    <m/>
    <n v="278556"/>
    <n v="178276"/>
    <n v="8427"/>
    <n v="312200"/>
    <n v="43400"/>
    <n v="268800"/>
    <n v="0"/>
    <n v="0"/>
    <n v="89850.625589999996"/>
    <n v="-64582.406353792743"/>
    <n v="21557.329055999999"/>
    <n v="160472.20319"/>
    <n v="-12490.553628"/>
    <n v="61365.567987234004"/>
    <n v="0"/>
    <n v="0"/>
    <n v="21666.011959014999"/>
    <n v="34128.198946800003"/>
    <n v="0"/>
    <n v="8400"/>
    <n v="286700"/>
    <n v="25300"/>
    <n v="320400"/>
    <n v="2.626521460602178E-2"/>
    <n v="0.99970000000000003"/>
    <n v="1.0067999999999999"/>
    <n v="0.99729999999999996"/>
    <n v="1.0093000000000001"/>
    <n v="1.0074000000000001"/>
    <n v="0.94971499999999998"/>
    <n v="0.96958199718441984"/>
    <n v="286700"/>
    <n v="8000"/>
    <n v="294700"/>
    <n v="24000"/>
    <n v="318700"/>
    <n v="9.6354166666666671E-2"/>
    <n v="-0.44700460829493088"/>
    <n v="2.0819987187700194E-2"/>
  </r>
  <r>
    <n v="2025"/>
    <s v="18132344042    "/>
    <n v="-1.8325814637483102"/>
    <n v="0.16"/>
    <n v="6859"/>
    <s v="6"/>
    <s v="RES"/>
    <x v="0"/>
    <s v="11"/>
    <s v="259"/>
    <s v="BG"/>
    <s v="A+"/>
    <s v="GD"/>
    <x v="9"/>
    <n v="99"/>
    <n v="56"/>
    <n v="1925"/>
    <n v="1968"/>
    <n v="1278"/>
    <n v="426"/>
    <n v="1278"/>
    <n v="0"/>
    <n v="1278"/>
    <m/>
    <n v="2982"/>
    <n v="3000"/>
    <n v="12"/>
    <n v="209"/>
    <m/>
    <m/>
    <m/>
    <m/>
    <m/>
    <m/>
    <n v="460548"/>
    <n v="303962"/>
    <n v="0"/>
    <n v="402200"/>
    <n v="50600"/>
    <n v="351600"/>
    <n v="0"/>
    <n v="0"/>
    <n v="89850.625589999996"/>
    <n v="-58009.662049032086"/>
    <n v="29814.093161000001"/>
    <n v="197752.34721000001"/>
    <n v="-12490.553628"/>
    <n v="63144.280102805998"/>
    <n v="19079.016138785999"/>
    <n v="0"/>
    <n v="37166.662125666"/>
    <n v="45504.265262400004"/>
    <n v="0"/>
    <n v="0"/>
    <n v="380000"/>
    <n v="31800"/>
    <n v="411800"/>
    <n v="2.3868722028841372E-2"/>
    <n v="0.99970000000000003"/>
    <n v="1.0088999999999999"/>
    <n v="0.99650000000000005"/>
    <n v="0.96179999999999999"/>
    <n v="1.0074000000000001"/>
    <n v="0.94971499999999998"/>
    <n v="0.92513570316765814"/>
    <n v="380000"/>
    <n v="0"/>
    <n v="380000"/>
    <n v="30200"/>
    <n v="410200"/>
    <n v="8.0773606370875994E-2"/>
    <n v="-0.40316205533596838"/>
    <n v="1.9890601690701143E-2"/>
  </r>
  <r>
    <n v="2025"/>
    <s v="18132331515    "/>
    <n v="-1.8325814637483102"/>
    <n v="0.16"/>
    <m/>
    <s v="6"/>
    <s v="RES"/>
    <x v="0"/>
    <s v="11"/>
    <s v="259"/>
    <s v="TD"/>
    <s v="A+"/>
    <s v="AV"/>
    <x v="9"/>
    <n v="99"/>
    <n v="56"/>
    <n v="1925"/>
    <n v="1968"/>
    <n v="1162"/>
    <m/>
    <n v="1132"/>
    <n v="0"/>
    <n v="1132"/>
    <m/>
    <n v="2294"/>
    <n v="2500"/>
    <n v="8"/>
    <m/>
    <m/>
    <m/>
    <m/>
    <m/>
    <m/>
    <m/>
    <n v="331288"/>
    <n v="212024"/>
    <n v="40006"/>
    <n v="360700"/>
    <n v="50600"/>
    <n v="310100"/>
    <n v="0"/>
    <n v="0"/>
    <n v="89850.625589999996"/>
    <n v="-58009.662049032086"/>
    <n v="29814.093161000001"/>
    <n v="160472.20319"/>
    <n v="-12490.553628"/>
    <n v="57412.874397074003"/>
    <n v="0"/>
    <n v="0"/>
    <n v="32920.705419603997"/>
    <n v="30336.176841600001"/>
    <n v="0"/>
    <n v="40000"/>
    <n v="298500"/>
    <n v="31800"/>
    <n v="370300"/>
    <n v="2.6614915442195731E-2"/>
    <n v="0.99970000000000003"/>
    <n v="1.0088999999999999"/>
    <n v="0.99729999999999996"/>
    <n v="0.98919999999999997"/>
    <n v="1.0074000000000001"/>
    <n v="0.94971499999999998"/>
    <n v="0.95225506796349002"/>
    <n v="298500"/>
    <n v="38000"/>
    <n v="336500"/>
    <n v="30200"/>
    <n v="366700"/>
    <n v="8.5133827797484685E-2"/>
    <n v="-0.40316205533596838"/>
    <n v="1.6634322151372331E-2"/>
  </r>
  <r>
    <n v="2025"/>
    <s v="18132333402    "/>
    <n v="-1.5141277326297755"/>
    <n v="0.22"/>
    <m/>
    <s v="6"/>
    <s v="RES"/>
    <x v="0"/>
    <s v="11"/>
    <s v="259"/>
    <s v="TD"/>
    <s v="A+"/>
    <s v="AV"/>
    <x v="9"/>
    <n v="99"/>
    <n v="22"/>
    <n v="1925"/>
    <n v="2002"/>
    <n v="1205"/>
    <m/>
    <n v="1205"/>
    <n v="0"/>
    <n v="1205"/>
    <m/>
    <n v="2410"/>
    <n v="2500"/>
    <n v="9"/>
    <m/>
    <m/>
    <m/>
    <m/>
    <m/>
    <m/>
    <m/>
    <n v="360845"/>
    <n v="328369"/>
    <n v="20449"/>
    <n v="367600"/>
    <n v="61700"/>
    <n v="305900"/>
    <n v="0"/>
    <n v="0"/>
    <n v="89850.625589999996"/>
    <n v="-47929.131559187132"/>
    <n v="29814.093161000001"/>
    <n v="160472.20319"/>
    <n v="-4907.0032110000002"/>
    <n v="59537.447201784998"/>
    <n v="0"/>
    <n v="0"/>
    <n v="35043.683772634999"/>
    <n v="34128.198946800003"/>
    <n v="0"/>
    <n v="20400"/>
    <n v="314100"/>
    <n v="41900"/>
    <n v="376400"/>
    <n v="2.3939064200217627E-2"/>
    <n v="0.99970000000000003"/>
    <n v="1.0088999999999999"/>
    <n v="0.99729999999999996"/>
    <n v="0.98919999999999997"/>
    <n v="1.0074000000000001"/>
    <n v="0.94971499999999998"/>
    <n v="0.95225506796349002"/>
    <n v="314100"/>
    <n v="19400"/>
    <n v="333500"/>
    <n v="39800"/>
    <n v="373300"/>
    <n v="9.0225563909774431E-2"/>
    <n v="-0.35494327390599678"/>
    <n v="1.5505984766050054E-2"/>
  </r>
  <r>
    <n v="2025"/>
    <s v="18132244012    "/>
    <n v="-0.79850769621777162"/>
    <n v="0.45"/>
    <n v="19670"/>
    <s v="6"/>
    <s v="RES"/>
    <x v="0"/>
    <s v="11"/>
    <s v="259"/>
    <s v="TD"/>
    <s v="F+"/>
    <s v="AV"/>
    <x v="9"/>
    <n v="99"/>
    <n v="56"/>
    <n v="1925"/>
    <n v="1968"/>
    <n v="698"/>
    <m/>
    <m/>
    <n v="0"/>
    <m/>
    <m/>
    <n v="698"/>
    <n v="1000"/>
    <n v="5"/>
    <m/>
    <m/>
    <m/>
    <m/>
    <m/>
    <m/>
    <m/>
    <n v="120343"/>
    <n v="77020"/>
    <n v="0"/>
    <n v="258900"/>
    <n v="86700"/>
    <n v="172200"/>
    <n v="0"/>
    <n v="0"/>
    <n v="89850.625589999996"/>
    <n v="-25276.45429000472"/>
    <n v="0"/>
    <n v="160472.20319"/>
    <n v="-12490.553628"/>
    <n v="34487.251574146001"/>
    <n v="0"/>
    <n v="0"/>
    <n v="0"/>
    <n v="18960.110526"/>
    <n v="0"/>
    <n v="0"/>
    <n v="201400"/>
    <n v="64600"/>
    <n v="266000"/>
    <n v="2.742371572035535E-2"/>
    <n v="0.99970000000000003"/>
    <n v="0.99180000000000001"/>
    <n v="0.99729999999999996"/>
    <n v="1.0148999999999999"/>
    <n v="1.0074000000000001"/>
    <n v="0.94971499999999998"/>
    <n v="0.96043597585476481"/>
    <n v="201400"/>
    <n v="0"/>
    <n v="201400"/>
    <n v="61300"/>
    <n v="262700"/>
    <n v="0.16957026713124274"/>
    <n v="-0.29296424452133796"/>
    <n v="1.4677481653147934E-2"/>
  </r>
  <r>
    <n v="2025"/>
    <s v="18132342410    "/>
    <n v="-1.6607312068216509"/>
    <n v="0.19"/>
    <m/>
    <s v="6"/>
    <s v="RES"/>
    <x v="0"/>
    <s v="11"/>
    <s v="259"/>
    <s v="TD"/>
    <s v="A"/>
    <s v="AV"/>
    <x v="9"/>
    <n v="99"/>
    <n v="56"/>
    <n v="1925"/>
    <n v="1968"/>
    <n v="1588"/>
    <m/>
    <n v="1272"/>
    <n v="320"/>
    <n v="952"/>
    <m/>
    <n v="2540"/>
    <n v="3000"/>
    <n v="7"/>
    <m/>
    <m/>
    <m/>
    <m/>
    <m/>
    <m/>
    <m/>
    <n v="329111"/>
    <n v="210631"/>
    <n v="7397"/>
    <n v="349100"/>
    <n v="56600"/>
    <n v="292500"/>
    <n v="0"/>
    <n v="0"/>
    <n v="89850.625589999996"/>
    <n v="-52569.808201026557"/>
    <n v="21557.329055999999"/>
    <n v="160472.20319"/>
    <n v="-12490.553628"/>
    <n v="78460.967764675996"/>
    <n v="0"/>
    <n v="0"/>
    <n v="36992.170754184001"/>
    <n v="26544.1547364"/>
    <n v="0"/>
    <n v="7400"/>
    <n v="311500"/>
    <n v="37300"/>
    <n v="356200"/>
    <n v="2.0338012030936693E-2"/>
    <n v="0.99970000000000003"/>
    <n v="1.0067999999999999"/>
    <n v="0.99729999999999996"/>
    <n v="0.96179999999999999"/>
    <n v="1.0074000000000001"/>
    <n v="0.94971499999999998"/>
    <n v="0.9239512185593729"/>
    <n v="311500"/>
    <n v="7000"/>
    <n v="318500"/>
    <n v="35400"/>
    <n v="353900"/>
    <n v="8.8888888888888892E-2"/>
    <n v="-0.37455830388692579"/>
    <n v="1.3749641936407906E-2"/>
  </r>
  <r>
    <n v="2025"/>
    <s v="18132313509    "/>
    <n v="-1.8325814637483102"/>
    <n v="0.16"/>
    <n v="7000"/>
    <s v="6"/>
    <s v="RES"/>
    <x v="0"/>
    <s v="11"/>
    <s v="259"/>
    <s v="RN"/>
    <s v="A"/>
    <s v="AV"/>
    <x v="9"/>
    <n v="99"/>
    <n v="56"/>
    <n v="1925"/>
    <n v="1968"/>
    <n v="1161"/>
    <m/>
    <n v="490"/>
    <n v="0"/>
    <n v="490"/>
    <m/>
    <n v="1651"/>
    <n v="2000"/>
    <n v="5"/>
    <m/>
    <m/>
    <m/>
    <m/>
    <m/>
    <m/>
    <m/>
    <n v="242311"/>
    <n v="155079"/>
    <n v="4872"/>
    <n v="291200"/>
    <n v="50600"/>
    <n v="240600"/>
    <n v="0"/>
    <n v="0"/>
    <n v="89850.625589999996"/>
    <n v="-58009.662049032086"/>
    <n v="21557.329055999999"/>
    <n v="160472.20319"/>
    <n v="-12490.553628"/>
    <n v="57363.465727196999"/>
    <n v="0"/>
    <n v="0"/>
    <n v="14250.128671029999"/>
    <n v="18960.110526"/>
    <n v="0"/>
    <n v="4900"/>
    <n v="260100"/>
    <n v="31800"/>
    <n v="296800"/>
    <n v="1.9230769230769232E-2"/>
    <n v="0.99970000000000003"/>
    <n v="1.0067999999999999"/>
    <n v="0.99729999999999996"/>
    <n v="1.0093000000000001"/>
    <n v="1.0074000000000001"/>
    <n v="0.94971499999999998"/>
    <n v="0.96958199718441984"/>
    <n v="260100"/>
    <n v="4600"/>
    <n v="264700"/>
    <n v="30200"/>
    <n v="294900"/>
    <n v="0.100166251039069"/>
    <n v="-0.40316205533596838"/>
    <n v="1.2706043956043956E-2"/>
  </r>
  <r>
    <n v="2025"/>
    <s v="18132324447    "/>
    <n v="-1.8325814637483102"/>
    <n v="0.16"/>
    <m/>
    <s v="6"/>
    <s v="RES"/>
    <x v="0"/>
    <s v="11"/>
    <s v="259"/>
    <s v="BG"/>
    <s v="A"/>
    <s v="AV"/>
    <x v="9"/>
    <n v="99"/>
    <n v="56"/>
    <n v="1925"/>
    <n v="1968"/>
    <n v="1228"/>
    <m/>
    <n v="1228"/>
    <n v="0"/>
    <n v="1228"/>
    <m/>
    <n v="2456"/>
    <n v="2500"/>
    <n v="5"/>
    <m/>
    <m/>
    <m/>
    <m/>
    <m/>
    <m/>
    <m/>
    <n v="294497"/>
    <n v="188478"/>
    <n v="5605"/>
    <n v="316400"/>
    <n v="50600"/>
    <n v="265800"/>
    <n v="0"/>
    <n v="0"/>
    <n v="89850.625589999996"/>
    <n v="-58009.662049032086"/>
    <n v="21557.329055999999"/>
    <n v="160472.20319"/>
    <n v="-12490.553628"/>
    <n v="60673.846608956002"/>
    <n v="0"/>
    <n v="0"/>
    <n v="35712.567363315997"/>
    <n v="18960.110526"/>
    <n v="0"/>
    <n v="5600"/>
    <n v="284900"/>
    <n v="31800"/>
    <n v="322300"/>
    <n v="1.8647281921618204E-2"/>
    <n v="0.99970000000000003"/>
    <n v="1.0067999999999999"/>
    <n v="0.99729999999999996"/>
    <n v="0.98919999999999997"/>
    <n v="1.0074000000000001"/>
    <n v="0.94971499999999998"/>
    <n v="0.95027297296624202"/>
    <n v="284900"/>
    <n v="5300"/>
    <n v="290200"/>
    <n v="30200"/>
    <n v="320400"/>
    <n v="9.1798344620015043E-2"/>
    <n v="-0.40316205533596838"/>
    <n v="1.2642225031605562E-2"/>
  </r>
  <r>
    <n v="2025"/>
    <s v="18132242020    "/>
    <n v="-1.1711829815029451"/>
    <n v="0.31"/>
    <n v="13698"/>
    <s v="6"/>
    <s v="RES"/>
    <x v="0"/>
    <s v="11"/>
    <s v="259"/>
    <s v="FH"/>
    <s v="A+"/>
    <s v="AV"/>
    <x v="9"/>
    <n v="99"/>
    <n v="56"/>
    <n v="1925"/>
    <n v="1968"/>
    <n v="1217"/>
    <n v="396"/>
    <n v="390"/>
    <n v="190"/>
    <n v="200"/>
    <m/>
    <n v="1813"/>
    <n v="2000"/>
    <n v="8"/>
    <m/>
    <m/>
    <m/>
    <m/>
    <m/>
    <m/>
    <m/>
    <n v="342899"/>
    <n v="219455"/>
    <n v="0"/>
    <n v="344400"/>
    <n v="73700"/>
    <n v="270700"/>
    <n v="0"/>
    <n v="0"/>
    <n v="89850.625589999996"/>
    <n v="-37073.347241874442"/>
    <n v="29814.093161000001"/>
    <n v="160472.20319"/>
    <n v="-12490.553628"/>
    <n v="60130.351240308999"/>
    <n v="17735.423452955998"/>
    <n v="0"/>
    <n v="11341.93914633"/>
    <n v="30336.176841600001"/>
    <n v="0"/>
    <n v="0"/>
    <n v="297300"/>
    <n v="52800"/>
    <n v="350100"/>
    <n v="1.6550522648083623E-2"/>
    <n v="0.99970000000000003"/>
    <n v="1.0088999999999999"/>
    <n v="0.99729999999999996"/>
    <n v="1.0093000000000001"/>
    <n v="1.0074000000000001"/>
    <n v="0.94971499999999998"/>
    <n v="0.97160436726197974"/>
    <n v="297300"/>
    <n v="0"/>
    <n v="297300"/>
    <n v="50100"/>
    <n v="347400"/>
    <n v="9.8263760620613219E-2"/>
    <n v="-0.32021709633649931"/>
    <n v="8.7108013937282226E-3"/>
  </r>
  <r>
    <n v="2025"/>
    <s v="18132342411    "/>
    <n v="-1.9661128563728327"/>
    <n v="0.14000000000000001"/>
    <m/>
    <s v="6"/>
    <s v="RES"/>
    <x v="0"/>
    <s v="11"/>
    <s v="259"/>
    <s v="TD"/>
    <s v="A"/>
    <s v="AV"/>
    <x v="9"/>
    <n v="99"/>
    <n v="56"/>
    <n v="1925"/>
    <n v="1968"/>
    <n v="1304"/>
    <n v="768"/>
    <n v="1149"/>
    <n v="0"/>
    <n v="1149"/>
    <m/>
    <n v="3221"/>
    <n v="3500"/>
    <n v="12"/>
    <m/>
    <m/>
    <m/>
    <m/>
    <m/>
    <m/>
    <m/>
    <n v="421898"/>
    <n v="270015"/>
    <n v="0"/>
    <n v="370400"/>
    <n v="46000"/>
    <n v="324400"/>
    <n v="0"/>
    <n v="0"/>
    <n v="89850.625589999996"/>
    <n v="-62236.546971921947"/>
    <n v="21557.329055999999"/>
    <n v="160472.20319"/>
    <n v="-12490.553628"/>
    <n v="64428.905519608001"/>
    <n v="34395.972757247997"/>
    <n v="0"/>
    <n v="33415.097638802996"/>
    <n v="45504.265262400004"/>
    <n v="0"/>
    <n v="0"/>
    <n v="347300"/>
    <n v="27600"/>
    <n v="374900"/>
    <n v="1.214902807775378E-2"/>
    <n v="0.99970000000000003"/>
    <n v="1.0067999999999999"/>
    <n v="0.99729999999999996"/>
    <n v="1.0126999999999999"/>
    <n v="1.0074000000000001"/>
    <n v="0.94971499999999998"/>
    <n v="0.97284820028600216"/>
    <n v="347300"/>
    <n v="0"/>
    <n v="347300"/>
    <n v="26200"/>
    <n v="373500"/>
    <n v="7.059186189889026E-2"/>
    <n v="-0.43043478260869567"/>
    <n v="8.3693304535637156E-3"/>
  </r>
  <r>
    <n v="2025"/>
    <s v="18132342430    "/>
    <n v="-1.9661128563728327"/>
    <n v="0.14000000000000001"/>
    <n v="6003"/>
    <s v="6"/>
    <s v="RES"/>
    <x v="0"/>
    <s v="11"/>
    <s v="259"/>
    <s v="BG"/>
    <s v="A"/>
    <s v="AV"/>
    <x v="9"/>
    <n v="99"/>
    <n v="56"/>
    <n v="1925"/>
    <n v="1968"/>
    <n v="1480"/>
    <n v="720"/>
    <n v="1440"/>
    <n v="360"/>
    <n v="1080"/>
    <m/>
    <n v="3280"/>
    <n v="3500"/>
    <n v="8"/>
    <m/>
    <m/>
    <m/>
    <m/>
    <m/>
    <m/>
    <m/>
    <n v="401969"/>
    <n v="257260"/>
    <n v="9278"/>
    <n v="379200"/>
    <n v="46000"/>
    <n v="333200"/>
    <n v="0"/>
    <n v="0"/>
    <n v="89850.625589999996"/>
    <n v="-62236.546971921947"/>
    <n v="21557.329055999999"/>
    <n v="160472.20319"/>
    <n v="-12490.553628"/>
    <n v="73124.831417959998"/>
    <n v="32246.224459919998"/>
    <n v="0"/>
    <n v="41877.929155679994"/>
    <n v="30336.176841600001"/>
    <n v="0"/>
    <n v="9300"/>
    <n v="347100"/>
    <n v="27600"/>
    <n v="384000"/>
    <n v="1.2658227848101266E-2"/>
    <n v="0.99970000000000003"/>
    <n v="1.0067999999999999"/>
    <n v="0.99729999999999996"/>
    <n v="1.0126999999999999"/>
    <n v="1.0074000000000001"/>
    <n v="0.94971499999999998"/>
    <n v="0.97284820028600216"/>
    <n v="347100"/>
    <n v="8800"/>
    <n v="355900"/>
    <n v="26200"/>
    <n v="382100"/>
    <n v="6.8127250900360148E-2"/>
    <n v="-0.43043478260869567"/>
    <n v="7.647679324894515E-3"/>
  </r>
  <r>
    <n v="2025"/>
    <s v="18132344009    "/>
    <n v="-1.9661128563728327"/>
    <n v="0.14000000000000001"/>
    <n v="6015"/>
    <s v="6"/>
    <s v="RES"/>
    <x v="0"/>
    <s v="11"/>
    <s v="259"/>
    <s v="BG"/>
    <s v="G"/>
    <s v="AV"/>
    <x v="9"/>
    <n v="99"/>
    <n v="56"/>
    <n v="1925"/>
    <n v="1968"/>
    <n v="1218"/>
    <n v="540"/>
    <n v="994"/>
    <n v="0"/>
    <n v="994"/>
    <m/>
    <n v="2752"/>
    <n v="3000"/>
    <n v="9"/>
    <m/>
    <n v="350"/>
    <m/>
    <m/>
    <m/>
    <m/>
    <m/>
    <n v="525795"/>
    <n v="336509"/>
    <n v="0"/>
    <n v="363500"/>
    <n v="46000"/>
    <n v="317500"/>
    <n v="0"/>
    <n v="0"/>
    <n v="89850.625589999996"/>
    <n v="-62236.546971921947"/>
    <n v="44121.038090000002"/>
    <n v="160472.20319"/>
    <n v="-12490.553628"/>
    <n v="60179.759910186003"/>
    <n v="24184.668344940001"/>
    <n v="0"/>
    <n v="28907.403875517997"/>
    <n v="34128.198946800003"/>
    <n v="0"/>
    <n v="0"/>
    <n v="339500"/>
    <n v="27600"/>
    <n v="367100"/>
    <n v="9.903713892709767E-3"/>
    <n v="0.99970000000000003"/>
    <n v="0.98050000000000004"/>
    <n v="0.99729999999999996"/>
    <n v="0.96179999999999999"/>
    <n v="1.0074000000000001"/>
    <n v="0.94971499999999998"/>
    <n v="0.89981542490809019"/>
    <n v="339500"/>
    <n v="0"/>
    <n v="339500"/>
    <n v="26200"/>
    <n v="365700"/>
    <n v="6.9291338582677164E-2"/>
    <n v="-0.43043478260869567"/>
    <n v="6.0522696011004124E-3"/>
  </r>
  <r>
    <n v="2025"/>
    <s v="18132244010    "/>
    <n v="-1.3470736479666092"/>
    <n v="0.26"/>
    <n v="11470"/>
    <s v="6"/>
    <s v="RES"/>
    <x v="0"/>
    <s v="11"/>
    <s v="259"/>
    <s v="TD"/>
    <s v="F+"/>
    <s v="AV"/>
    <x v="9"/>
    <n v="99"/>
    <n v="56"/>
    <n v="1925"/>
    <n v="1968"/>
    <n v="1148"/>
    <m/>
    <n v="750"/>
    <n v="375"/>
    <n v="375"/>
    <m/>
    <n v="1523"/>
    <n v="2000"/>
    <n v="9"/>
    <m/>
    <m/>
    <m/>
    <m/>
    <m/>
    <m/>
    <m/>
    <n v="242038"/>
    <n v="154904"/>
    <n v="0"/>
    <n v="303700"/>
    <n v="67600"/>
    <n v="236100"/>
    <n v="0"/>
    <n v="0"/>
    <n v="89850.625589999996"/>
    <n v="-42641.098701210125"/>
    <n v="0"/>
    <n v="160472.20319"/>
    <n v="-12490.553628"/>
    <n v="56721.153018796002"/>
    <n v="0"/>
    <n v="0"/>
    <n v="21811.421435249998"/>
    <n v="34128.198946800003"/>
    <n v="0"/>
    <n v="0"/>
    <n v="260600"/>
    <n v="47200"/>
    <n v="307800"/>
    <n v="1.35001646361541E-2"/>
    <n v="0.99970000000000003"/>
    <n v="0.99180000000000001"/>
    <n v="0.99729999999999996"/>
    <n v="1.0093000000000001"/>
    <n v="1.0074000000000001"/>
    <n v="0.94971499999999998"/>
    <n v="0.95513649663042099"/>
    <n v="260600"/>
    <n v="0"/>
    <n v="260600"/>
    <n v="44800"/>
    <n v="305400"/>
    <n v="0.10376958915713681"/>
    <n v="-0.33727810650887574"/>
    <n v="5.597629239380968E-3"/>
  </r>
  <r>
    <n v="2025"/>
    <s v="18132313544    "/>
    <n v="-1.0788096613719298"/>
    <n v="0.34"/>
    <n v="14680"/>
    <s v="6"/>
    <s v="RES"/>
    <x v="0"/>
    <s v="11"/>
    <s v="259"/>
    <s v="BG"/>
    <s v="G+"/>
    <s v="GD"/>
    <x v="9"/>
    <n v="99"/>
    <n v="56"/>
    <n v="1925"/>
    <n v="1968"/>
    <n v="1587"/>
    <m/>
    <n v="1178"/>
    <n v="582"/>
    <n v="596"/>
    <m/>
    <n v="2183"/>
    <n v="2500"/>
    <n v="9"/>
    <m/>
    <n v="409"/>
    <m/>
    <m/>
    <m/>
    <m/>
    <m/>
    <n v="510840"/>
    <n v="342263"/>
    <n v="44942"/>
    <n v="499300"/>
    <n v="76900"/>
    <n v="422400"/>
    <n v="0"/>
    <n v="0"/>
    <n v="89850.625589999996"/>
    <n v="-34149.305288406773"/>
    <n v="74268.409664999999"/>
    <n v="197752.34721000001"/>
    <n v="-12490.553628"/>
    <n v="78411.559094798999"/>
    <n v="0"/>
    <n v="0"/>
    <n v="34258.472600966001"/>
    <n v="34128.198946800003"/>
    <n v="0"/>
    <n v="44900"/>
    <n v="406300"/>
    <n v="55700"/>
    <n v="506900"/>
    <n v="1.5221309833767275E-2"/>
    <n v="0.99970000000000003"/>
    <n v="0.98380000000000001"/>
    <n v="0.99650000000000005"/>
    <n v="0.98919999999999997"/>
    <n v="1.0074000000000001"/>
    <n v="0.94971499999999998"/>
    <n v="0.92781945089283224"/>
    <n v="406300"/>
    <n v="42700"/>
    <n v="449000"/>
    <n v="52900"/>
    <n v="501900"/>
    <n v="6.2973484848484848E-2"/>
    <n v="-0.31209362808842656"/>
    <n v="5.2072902062888045E-3"/>
  </r>
  <r>
    <n v="2025"/>
    <s v="18132344498    "/>
    <n v="-1.5141277326297755"/>
    <n v="0.22"/>
    <m/>
    <s v="6"/>
    <s v="RES"/>
    <x v="0"/>
    <s v="11"/>
    <s v="259"/>
    <s v="BG"/>
    <s v="A"/>
    <s v="AV"/>
    <x v="9"/>
    <n v="99"/>
    <n v="56"/>
    <n v="1925"/>
    <n v="1968"/>
    <n v="1198"/>
    <m/>
    <n v="1120"/>
    <n v="0"/>
    <n v="1120"/>
    <m/>
    <n v="2318"/>
    <n v="2500"/>
    <n v="5"/>
    <m/>
    <m/>
    <m/>
    <m/>
    <m/>
    <m/>
    <m/>
    <n v="282500"/>
    <n v="180800"/>
    <n v="8845"/>
    <n v="326900"/>
    <n v="61700"/>
    <n v="265200"/>
    <n v="0"/>
    <n v="0"/>
    <n v="89850.625589999996"/>
    <n v="-47929.131559187132"/>
    <n v="21557.329055999999"/>
    <n v="160472.20319"/>
    <n v="-12490.553628"/>
    <n v="59191.586512646005"/>
    <n v="0"/>
    <n v="0"/>
    <n v="32571.722676639998"/>
    <n v="18960.110526"/>
    <n v="0"/>
    <n v="8800"/>
    <n v="280300"/>
    <n v="41900"/>
    <n v="331000"/>
    <n v="1.2542061792597125E-2"/>
    <n v="0.99970000000000003"/>
    <n v="1.0067999999999999"/>
    <n v="0.99729999999999996"/>
    <n v="0.98919999999999997"/>
    <n v="1.0074000000000001"/>
    <n v="0.94971499999999998"/>
    <n v="0.95027297296624202"/>
    <n v="280300"/>
    <n v="8400"/>
    <n v="288700"/>
    <n v="39800"/>
    <n v="328500"/>
    <n v="8.8612368024132734E-2"/>
    <n v="-0.35494327390599678"/>
    <n v="4.8944631385744878E-3"/>
  </r>
  <r>
    <n v="2025"/>
    <s v="18132331513    "/>
    <n v="-1.1394342831883648"/>
    <n v="0.32"/>
    <m/>
    <s v="6"/>
    <s v="RES"/>
    <x v="0"/>
    <s v="11"/>
    <s v="259"/>
    <s v="BG"/>
    <s v="G"/>
    <s v="AV"/>
    <x v="9"/>
    <n v="99"/>
    <n v="56"/>
    <n v="1925"/>
    <n v="1968"/>
    <n v="1462"/>
    <m/>
    <n v="1244"/>
    <n v="0"/>
    <n v="1244"/>
    <m/>
    <n v="2706"/>
    <n v="3000"/>
    <n v="11"/>
    <m/>
    <m/>
    <m/>
    <m/>
    <m/>
    <m/>
    <m/>
    <n v="453819"/>
    <n v="290444"/>
    <n v="30668"/>
    <n v="420900"/>
    <n v="74800"/>
    <n v="346100"/>
    <n v="0"/>
    <n v="0"/>
    <n v="89850.625589999996"/>
    <n v="-36068.354396449467"/>
    <n v="44121.038090000002"/>
    <n v="160472.20319"/>
    <n v="-12490.553628"/>
    <n v="72235.475360174009"/>
    <n v="0"/>
    <n v="0"/>
    <n v="36177.877687267995"/>
    <n v="41712.243157199999"/>
    <n v="0"/>
    <n v="30700"/>
    <n v="342200"/>
    <n v="53800"/>
    <n v="426700"/>
    <n v="1.3779995248277501E-2"/>
    <n v="0.99970000000000003"/>
    <n v="0.98050000000000004"/>
    <n v="0.99729999999999996"/>
    <n v="0.96179999999999999"/>
    <n v="1.0074000000000001"/>
    <n v="0.94971499999999998"/>
    <n v="0.89981542490809019"/>
    <n v="342200"/>
    <n v="29100"/>
    <n v="371300"/>
    <n v="51100"/>
    <n v="422400"/>
    <n v="7.2811326206298752E-2"/>
    <n v="-0.31684491978609625"/>
    <n v="3.5637918745545262E-3"/>
  </r>
  <r>
    <n v="2025"/>
    <s v="18132313473    "/>
    <n v="-1.3862943611198906"/>
    <n v="0.25"/>
    <n v="11055"/>
    <s v="6"/>
    <s v="RES"/>
    <x v="0"/>
    <s v="11"/>
    <s v="259"/>
    <s v="BG"/>
    <s v="G+"/>
    <s v="GD"/>
    <x v="9"/>
    <n v="99"/>
    <n v="56"/>
    <n v="1925"/>
    <n v="1968"/>
    <n v="1378"/>
    <n v="780"/>
    <n v="1378"/>
    <n v="0"/>
    <n v="1378"/>
    <m/>
    <n v="3536"/>
    <n v="4000"/>
    <n v="11"/>
    <m/>
    <m/>
    <m/>
    <m/>
    <m/>
    <m/>
    <m/>
    <n v="669283"/>
    <n v="448420"/>
    <n v="49037"/>
    <n v="534900"/>
    <n v="66200"/>
    <n v="468700"/>
    <n v="0"/>
    <n v="0"/>
    <n v="89850.625589999996"/>
    <n v="-43882.615305165229"/>
    <n v="74268.409664999999"/>
    <n v="197752.34721000001"/>
    <n v="-12490.553628"/>
    <n v="68085.147090505998"/>
    <n v="34933.40983158"/>
    <n v="0"/>
    <n v="40074.851650365999"/>
    <n v="41712.243157199999"/>
    <n v="0"/>
    <n v="49000"/>
    <n v="444300"/>
    <n v="46000"/>
    <n v="539300"/>
    <n v="8.2258366049728915E-3"/>
    <n v="0.99970000000000003"/>
    <n v="0.98380000000000001"/>
    <n v="0.99650000000000005"/>
    <n v="0.94579999999999997"/>
    <n v="1.0074000000000001"/>
    <n v="0.94971499999999998"/>
    <n v="0.88711245112660808"/>
    <n v="444300"/>
    <n v="46600"/>
    <n v="490900"/>
    <n v="43700"/>
    <n v="534600"/>
    <n v="4.7365052272242372E-2"/>
    <n v="-0.33987915407854985"/>
    <n v="-5.6085249579360629E-4"/>
  </r>
  <r>
    <n v="2025"/>
    <s v="18132332428    "/>
    <n v="-1.8971199848858813"/>
    <n v="0.15"/>
    <n v="6462"/>
    <s v="6"/>
    <s v="RES"/>
    <x v="0"/>
    <s v="11"/>
    <s v="259"/>
    <s v="BG"/>
    <s v="A+"/>
    <s v="AV"/>
    <x v="9"/>
    <n v="99"/>
    <n v="56"/>
    <n v="1925"/>
    <n v="1968"/>
    <n v="1058"/>
    <n v="506"/>
    <n v="1012"/>
    <n v="0"/>
    <n v="1012"/>
    <m/>
    <n v="2576"/>
    <n v="3000"/>
    <n v="9"/>
    <n v="228"/>
    <m/>
    <m/>
    <m/>
    <m/>
    <m/>
    <m/>
    <n v="413787"/>
    <n v="264824"/>
    <n v="0"/>
    <n v="345000"/>
    <n v="48400"/>
    <n v="296600"/>
    <n v="0"/>
    <n v="0"/>
    <n v="89850.625589999996"/>
    <n v="-60052.604136134301"/>
    <n v="29814.093161000001"/>
    <n v="160472.20319"/>
    <n v="-12490.553628"/>
    <n v="52274.372729866001"/>
    <n v="22661.929967665998"/>
    <n v="0"/>
    <n v="29430.877989963999"/>
    <n v="34128.198946800003"/>
    <n v="0"/>
    <n v="0"/>
    <n v="316300"/>
    <n v="29800"/>
    <n v="346100"/>
    <n v="3.1884057971014491E-3"/>
    <n v="0.99970000000000003"/>
    <n v="1.0088999999999999"/>
    <n v="0.99729999999999996"/>
    <n v="0.96179999999999999"/>
    <n v="1.0074000000000001"/>
    <n v="0.94971499999999998"/>
    <n v="0.92587841120833458"/>
    <n v="316300"/>
    <n v="0"/>
    <n v="316300"/>
    <n v="28300"/>
    <n v="344600"/>
    <n v="6.6419420094403242E-2"/>
    <n v="-0.41528925619834711"/>
    <n v="-1.1594202898550724E-3"/>
  </r>
  <r>
    <n v="2025"/>
    <s v="18132313429    "/>
    <n v="-1.2729656758128873"/>
    <n v="0.28000000000000003"/>
    <n v="12046"/>
    <s v="6"/>
    <s v="RES"/>
    <x v="0"/>
    <s v="11"/>
    <s v="259"/>
    <s v="BG"/>
    <s v="G+"/>
    <s v="GD"/>
    <x v="9"/>
    <n v="99"/>
    <n v="56"/>
    <n v="1925"/>
    <n v="1968"/>
    <n v="1656"/>
    <m/>
    <n v="1544"/>
    <n v="694"/>
    <n v="850"/>
    <m/>
    <n v="2506"/>
    <n v="3000"/>
    <n v="9"/>
    <m/>
    <m/>
    <m/>
    <m/>
    <m/>
    <m/>
    <m/>
    <n v="541135"/>
    <n v="362560"/>
    <n v="0"/>
    <n v="468200"/>
    <n v="70100"/>
    <n v="398100"/>
    <n v="0"/>
    <n v="0"/>
    <n v="89850.625589999996"/>
    <n v="-40295.239319339329"/>
    <n v="74268.409664999999"/>
    <n v="197752.34721000001"/>
    <n v="-12490.553628"/>
    <n v="81820.757316311996"/>
    <n v="0"/>
    <n v="0"/>
    <n v="44902.446261368001"/>
    <n v="34128.198946800003"/>
    <n v="0"/>
    <n v="0"/>
    <n v="420400"/>
    <n v="49600"/>
    <n v="470000"/>
    <n v="3.8445108927808629E-3"/>
    <n v="0.99970000000000003"/>
    <n v="0.98380000000000001"/>
    <n v="0.99650000000000005"/>
    <n v="0.96179999999999999"/>
    <n v="1.0074000000000001"/>
    <n v="0.94971499999999998"/>
    <n v="0.90211963998051559"/>
    <n v="420400"/>
    <n v="0"/>
    <n v="420400"/>
    <n v="47100"/>
    <n v="467500"/>
    <n v="5.6016076362722933E-2"/>
    <n v="-0.32810271041369471"/>
    <n v="-1.4950875694147801E-3"/>
  </r>
  <r>
    <n v="2025"/>
    <s v="18132334527    "/>
    <n v="-1.8971199848858813"/>
    <n v="0.15"/>
    <m/>
    <s v="6"/>
    <s v="RES"/>
    <x v="0"/>
    <s v="11"/>
    <s v="259"/>
    <s v="BG"/>
    <s v="A"/>
    <s v="AV"/>
    <x v="9"/>
    <n v="99"/>
    <n v="56"/>
    <n v="1925"/>
    <n v="1968"/>
    <n v="1052"/>
    <m/>
    <n v="1052"/>
    <n v="0"/>
    <n v="1052"/>
    <m/>
    <n v="2104"/>
    <n v="2500"/>
    <n v="8"/>
    <m/>
    <m/>
    <m/>
    <m/>
    <m/>
    <m/>
    <m/>
    <n v="296668"/>
    <n v="189868"/>
    <n v="6272"/>
    <n v="319700"/>
    <n v="48400"/>
    <n v="271300"/>
    <n v="0"/>
    <n v="0"/>
    <n v="89850.625589999996"/>
    <n v="-60052.604136134301"/>
    <n v="21557.329055999999"/>
    <n v="160472.20319"/>
    <n v="-12490.553628"/>
    <n v="51977.920710604005"/>
    <n v="0"/>
    <n v="0"/>
    <n v="30594.153799844"/>
    <n v="30336.176841600001"/>
    <n v="0"/>
    <n v="6300"/>
    <n v="282400"/>
    <n v="29800"/>
    <n v="318500"/>
    <n v="-3.753518923991242E-3"/>
    <n v="0.99970000000000003"/>
    <n v="1.0067999999999999"/>
    <n v="0.99729999999999996"/>
    <n v="0.98919999999999997"/>
    <n v="1.0074000000000001"/>
    <n v="0.94971499999999998"/>
    <n v="0.95027297296624202"/>
    <n v="282400"/>
    <n v="6000"/>
    <n v="288400"/>
    <n v="28300"/>
    <n v="316700"/>
    <n v="6.3029856247696275E-2"/>
    <n v="-0.41528925619834711"/>
    <n v="-9.383797309978105E-3"/>
  </r>
  <r>
    <n v="2025"/>
    <s v="18132242514    "/>
    <n v="-1.0788096613719298"/>
    <n v="0.34"/>
    <n v="14787"/>
    <s v="6"/>
    <s v="RES"/>
    <x v="0"/>
    <s v="11"/>
    <s v="259"/>
    <s v="BG"/>
    <s v="F+"/>
    <s v="AV"/>
    <x v="9"/>
    <n v="99"/>
    <n v="56"/>
    <n v="1925"/>
    <n v="1968"/>
    <n v="1104"/>
    <m/>
    <n v="720"/>
    <n v="0"/>
    <n v="720"/>
    <m/>
    <n v="1824"/>
    <n v="2000"/>
    <n v="6"/>
    <m/>
    <m/>
    <m/>
    <m/>
    <m/>
    <m/>
    <m/>
    <n v="241639"/>
    <n v="154649"/>
    <n v="19798"/>
    <n v="321500"/>
    <n v="76900"/>
    <n v="244600"/>
    <n v="0"/>
    <n v="0"/>
    <n v="89850.625589999996"/>
    <n v="-34149.305288406773"/>
    <n v="0"/>
    <n v="160472.20319"/>
    <n v="-12490.553628"/>
    <n v="54547.171544208002"/>
    <n v="0"/>
    <n v="0"/>
    <n v="20938.964577839997"/>
    <n v="22752.132631200002"/>
    <n v="0"/>
    <n v="19800"/>
    <n v="246200"/>
    <n v="55700"/>
    <n v="321700"/>
    <n v="6.2208398133748052E-4"/>
    <n v="0.99970000000000003"/>
    <n v="0.99180000000000001"/>
    <n v="0.99729999999999996"/>
    <n v="1.0093000000000001"/>
    <n v="1.0074000000000001"/>
    <n v="0.94971499999999998"/>
    <n v="0.95513649663042099"/>
    <n v="246200"/>
    <n v="18800"/>
    <n v="265000"/>
    <n v="52900"/>
    <n v="317900"/>
    <n v="8.3401471790678652E-2"/>
    <n v="-0.31209362808842656"/>
    <n v="-1.119751166407465E-2"/>
  </r>
  <r>
    <n v="2025"/>
    <s v="18132313430    "/>
    <n v="-1.2729656758128873"/>
    <n v="0.28000000000000003"/>
    <n v="12046"/>
    <s v="6"/>
    <s v="RES"/>
    <x v="0"/>
    <s v="11"/>
    <s v="331"/>
    <s v="TU"/>
    <s v="G+"/>
    <s v="GD"/>
    <x v="9"/>
    <n v="99"/>
    <n v="56"/>
    <n v="1925"/>
    <n v="1968"/>
    <n v="1712"/>
    <n v="1266"/>
    <n v="1238"/>
    <n v="1"/>
    <n v="1237"/>
    <m/>
    <n v="4215"/>
    <n v="4500"/>
    <n v="10"/>
    <n v="444"/>
    <m/>
    <m/>
    <m/>
    <m/>
    <m/>
    <m/>
    <n v="837006"/>
    <n v="560794"/>
    <n v="0"/>
    <n v="530100"/>
    <n v="70100"/>
    <n v="460000"/>
    <n v="0"/>
    <n v="0"/>
    <n v="89850.625589999996"/>
    <n v="-40295.239319339329"/>
    <n v="74268.409664999999"/>
    <n v="197752.34721000001"/>
    <n v="-12490.553628"/>
    <n v="84587.642829424003"/>
    <n v="56699.611342026001"/>
    <n v="0"/>
    <n v="36003.386315785996"/>
    <n v="37920.221052000001"/>
    <n v="0"/>
    <n v="0"/>
    <n v="474700"/>
    <n v="49600"/>
    <n v="524300"/>
    <n v="-1.0941331824184115E-2"/>
    <n v="0.99970000000000003"/>
    <n v="0.98380000000000001"/>
    <n v="0.99650000000000005"/>
    <n v="1"/>
    <n v="1.0074000000000001"/>
    <n v="0.94971499999999998"/>
    <n v="0.93794930336921989"/>
    <n v="474700"/>
    <n v="0"/>
    <n v="474700"/>
    <n v="47100"/>
    <n v="521800"/>
    <n v="3.1956521739130432E-2"/>
    <n v="-0.32810271041369471"/>
    <n v="-1.5657423127711751E-2"/>
  </r>
  <r>
    <n v="2025"/>
    <s v="18132343412    "/>
    <n v="-1.4271163556401458"/>
    <n v="0.24"/>
    <n v="10541"/>
    <s v="6"/>
    <s v="RES"/>
    <x v="0"/>
    <s v="11"/>
    <s v="259"/>
    <s v="CL"/>
    <s v="G+"/>
    <s v="AV"/>
    <x v="9"/>
    <n v="99"/>
    <n v="56"/>
    <n v="1925"/>
    <n v="1968"/>
    <n v="1863"/>
    <n v="1588"/>
    <n v="1203"/>
    <n v="603"/>
    <n v="600"/>
    <m/>
    <n v="4051"/>
    <n v="4500"/>
    <n v="11"/>
    <m/>
    <m/>
    <m/>
    <m/>
    <m/>
    <m/>
    <m/>
    <n v="797920"/>
    <n v="518648"/>
    <n v="15916"/>
    <n v="528500"/>
    <n v="64800"/>
    <n v="463700"/>
    <n v="0"/>
    <n v="0"/>
    <n v="89850.625589999996"/>
    <n v="-45174.819855485119"/>
    <n v="74268.409664999999"/>
    <n v="160472.20319"/>
    <n v="-12490.553628"/>
    <n v="92048.351980851003"/>
    <n v="71120.839503267998"/>
    <n v="0"/>
    <n v="34985.519982140999"/>
    <n v="41712.243157199999"/>
    <n v="0"/>
    <n v="15900"/>
    <n v="462100"/>
    <n v="44700"/>
    <n v="522700"/>
    <n v="-1.097445600756859E-2"/>
    <n v="0.99970000000000003"/>
    <n v="0.98380000000000001"/>
    <n v="0.99729999999999996"/>
    <n v="1"/>
    <n v="1.0074000000000001"/>
    <n v="0.94971499999999998"/>
    <n v="0.9387022982941523"/>
    <n v="462100"/>
    <n v="15100"/>
    <n v="477200"/>
    <n v="42400"/>
    <n v="519600"/>
    <n v="2.9113651067500541E-2"/>
    <n v="-0.34567901234567899"/>
    <n v="-1.6840113528855252E-2"/>
  </r>
  <r>
    <n v="2025"/>
    <s v="18132342513    "/>
    <n v="-1.4271163556401458"/>
    <n v="0.24"/>
    <m/>
    <s v="6"/>
    <s v="RES"/>
    <x v="0"/>
    <s v="11"/>
    <s v="259"/>
    <s v="BG"/>
    <s v="G+"/>
    <s v="GD"/>
    <x v="9"/>
    <n v="99"/>
    <n v="56"/>
    <n v="1925"/>
    <n v="1968"/>
    <n v="2339"/>
    <m/>
    <n v="669"/>
    <n v="0"/>
    <n v="669"/>
    <m/>
    <n v="3008"/>
    <n v="3500"/>
    <n v="8"/>
    <m/>
    <m/>
    <m/>
    <m/>
    <m/>
    <m/>
    <m/>
    <n v="611561"/>
    <n v="409746"/>
    <n v="11918"/>
    <n v="487800"/>
    <n v="64800"/>
    <n v="423000"/>
    <n v="0"/>
    <n v="0"/>
    <n v="89850.625589999996"/>
    <n v="-45174.819855485119"/>
    <n v="74268.409664999999"/>
    <n v="197752.34721000001"/>
    <n v="-12490.553628"/>
    <n v="115566.87884230301"/>
    <n v="0"/>
    <n v="0"/>
    <n v="19455.787920242998"/>
    <n v="30336.176841600001"/>
    <n v="0"/>
    <n v="11900"/>
    <n v="424900"/>
    <n v="44700"/>
    <n v="481500"/>
    <n v="-1.2915129151291513E-2"/>
    <n v="0.99970000000000003"/>
    <n v="0.98380000000000001"/>
    <n v="0.99650000000000005"/>
    <n v="1.0126999999999999"/>
    <n v="1.0074000000000001"/>
    <n v="0.94971499999999998"/>
    <n v="0.94986125952200873"/>
    <n v="424900"/>
    <n v="11300"/>
    <n v="436200"/>
    <n v="42400"/>
    <n v="478600"/>
    <n v="3.1205673758865248E-2"/>
    <n v="-0.34567901234567899"/>
    <n v="-1.886018860188602E-2"/>
  </r>
  <r>
    <n v="2025"/>
    <s v="18132331049    "/>
    <n v="-1.8325814637483102"/>
    <n v="0.16"/>
    <m/>
    <s v="6"/>
    <s v="RES"/>
    <x v="0"/>
    <s v="11"/>
    <s v="259"/>
    <s v="CC"/>
    <s v="A"/>
    <s v="FR"/>
    <x v="9"/>
    <n v="99"/>
    <n v="56"/>
    <n v="1925"/>
    <n v="1968"/>
    <n v="770"/>
    <n v="247"/>
    <n v="490"/>
    <n v="490"/>
    <m/>
    <m/>
    <n v="1017"/>
    <n v="1500"/>
    <n v="5"/>
    <m/>
    <m/>
    <n v="172"/>
    <m/>
    <m/>
    <m/>
    <m/>
    <n v="190223"/>
    <n v="117938"/>
    <n v="6724"/>
    <n v="272800"/>
    <n v="50600"/>
    <n v="222200"/>
    <n v="0"/>
    <n v="0"/>
    <n v="89850.625589999996"/>
    <n v="-58009.662049032086"/>
    <n v="21557.329055999999"/>
    <n v="133714.53821"/>
    <n v="-12490.553628"/>
    <n v="38044.675805290004"/>
    <n v="11062.246446666999"/>
    <n v="0"/>
    <n v="14250.128671029999"/>
    <n v="18960.110526"/>
    <n v="5726.8286274720003"/>
    <n v="6700"/>
    <n v="230800"/>
    <n v="31800"/>
    <n v="269300"/>
    <n v="-1.2829912023460411E-2"/>
    <n v="0.99970000000000003"/>
    <n v="1.0067999999999999"/>
    <n v="0.99329999999999996"/>
    <n v="1.0157"/>
    <n v="1.0074000000000001"/>
    <n v="0.94971499999999998"/>
    <n v="0.971816657207489"/>
    <n v="230800"/>
    <n v="6400"/>
    <n v="237200"/>
    <n v="30200"/>
    <n v="267400"/>
    <n v="6.7506750675067506E-2"/>
    <n v="-0.40316205533596838"/>
    <n v="-1.9794721407624633E-2"/>
  </r>
  <r>
    <n v="2025"/>
    <s v="18132342423    "/>
    <n v="-1.2729656758128873"/>
    <n v="0.28000000000000003"/>
    <m/>
    <s v="6"/>
    <s v="RES"/>
    <x v="0"/>
    <s v="11"/>
    <s v="259"/>
    <s v="CP"/>
    <s v="V"/>
    <s v="AV"/>
    <x v="9"/>
    <n v="99"/>
    <n v="57"/>
    <n v="1925"/>
    <n v="1967"/>
    <n v="1916"/>
    <m/>
    <n v="1916"/>
    <n v="651"/>
    <n v="1265"/>
    <m/>
    <n v="3181"/>
    <n v="3500"/>
    <n v="10"/>
    <m/>
    <m/>
    <m/>
    <m/>
    <m/>
    <m/>
    <m/>
    <n v="615204"/>
    <n v="393731"/>
    <n v="6480"/>
    <n v="575200"/>
    <n v="70100"/>
    <n v="505100"/>
    <n v="0"/>
    <n v="0"/>
    <n v="89850.625589999996"/>
    <n v="-40295.239319339329"/>
    <n v="163885.03753"/>
    <n v="160472.20319"/>
    <n v="-12713.599228500001"/>
    <n v="94667.011484332004"/>
    <n v="0"/>
    <n v="0"/>
    <n v="55720.911293252"/>
    <n v="37920.221052000001"/>
    <n v="0"/>
    <n v="6500"/>
    <n v="500000"/>
    <n v="49600"/>
    <n v="556100"/>
    <n v="-3.3205841446453409E-2"/>
    <n v="0.99970000000000003"/>
    <n v="1"/>
    <n v="0.99729999999999996"/>
    <n v="1.0126999999999999"/>
    <n v="1.0074000000000001"/>
    <n v="0.94971499999999998"/>
    <n v="0.96627751319626753"/>
    <n v="500000"/>
    <n v="6200"/>
    <n v="506200"/>
    <n v="47100"/>
    <n v="553300"/>
    <n v="2.1777865769154621E-3"/>
    <n v="-0.32810271041369471"/>
    <n v="-3.8073713490959664E-2"/>
  </r>
  <r>
    <n v="2025"/>
    <s v="18132313549    "/>
    <n v="-1.4696759700589417"/>
    <n v="0.23"/>
    <n v="9977"/>
    <s v="6"/>
    <s v="RES"/>
    <x v="0"/>
    <s v="11"/>
    <s v="259"/>
    <s v="CC"/>
    <s v="G+"/>
    <s v="AV"/>
    <x v="9"/>
    <n v="99"/>
    <n v="56"/>
    <n v="1925"/>
    <n v="1968"/>
    <n v="1219"/>
    <n v="970"/>
    <n v="818"/>
    <n v="0"/>
    <n v="818"/>
    <m/>
    <n v="3007"/>
    <n v="3500"/>
    <n v="12"/>
    <m/>
    <m/>
    <m/>
    <m/>
    <m/>
    <m/>
    <m/>
    <n v="628468"/>
    <n v="408504"/>
    <n v="0"/>
    <n v="455000"/>
    <n v="63300"/>
    <n v="391700"/>
    <n v="0"/>
    <n v="0"/>
    <n v="89850.625589999996"/>
    <n v="-46522.028095997222"/>
    <n v="74268.409664999999"/>
    <n v="160472.20319"/>
    <n v="-12490.553628"/>
    <n v="60229.168580063"/>
    <n v="43442.830175169998"/>
    <n v="0"/>
    <n v="23788.990312046"/>
    <n v="45504.265262400004"/>
    <n v="0"/>
    <n v="0"/>
    <n v="395200"/>
    <n v="43300"/>
    <n v="438500"/>
    <n v="-3.6263736263736267E-2"/>
    <n v="0.99970000000000003"/>
    <n v="0.98380000000000001"/>
    <n v="0.99729999999999996"/>
    <n v="1.0126999999999999"/>
    <n v="1.0074000000000001"/>
    <n v="0.94971499999999998"/>
    <n v="0.95062381748248792"/>
    <n v="395200"/>
    <n v="0"/>
    <n v="395200"/>
    <n v="41100"/>
    <n v="436300"/>
    <n v="8.9354097523615013E-3"/>
    <n v="-0.35071090047393366"/>
    <n v="-4.1098901098901096E-2"/>
  </r>
  <r>
    <n v="2025"/>
    <s v="18132313556    "/>
    <n v="-0.24846135929849961"/>
    <n v="0.78"/>
    <n v="34127"/>
    <s v="6"/>
    <s v="RES"/>
    <x v="0"/>
    <s v="11"/>
    <s v="259"/>
    <s v="CL"/>
    <s v="G+"/>
    <s v="GD"/>
    <x v="9"/>
    <n v="99"/>
    <n v="56"/>
    <n v="1925"/>
    <n v="1968"/>
    <n v="3488"/>
    <n v="1209"/>
    <n v="1209"/>
    <n v="0"/>
    <n v="1209"/>
    <m/>
    <n v="5906"/>
    <n v="5500"/>
    <n v="15"/>
    <m/>
    <m/>
    <m/>
    <m/>
    <m/>
    <m/>
    <m/>
    <n v="1047010"/>
    <n v="701497"/>
    <n v="175416"/>
    <n v="862300"/>
    <n v="105900"/>
    <n v="756400"/>
    <n v="0"/>
    <n v="0"/>
    <n v="89850.625589999996"/>
    <n v="-7864.9488550805427"/>
    <n v="74268.409664999999"/>
    <n v="197752.34721000001"/>
    <n v="-12490.553628"/>
    <n v="172337.44053097602"/>
    <n v="54146.785238949"/>
    <n v="0"/>
    <n v="35160.011353622998"/>
    <n v="56880.331578000005"/>
    <n v="0"/>
    <n v="175400"/>
    <n v="578100"/>
    <n v="82000"/>
    <n v="835500"/>
    <n v="-3.1079670648266264E-2"/>
    <n v="0.99970000000000003"/>
    <n v="0.98380000000000001"/>
    <n v="0.99650000000000005"/>
    <n v="1.1091"/>
    <n v="1.0074000000000001"/>
    <n v="0.94971499999999998"/>
    <n v="1.0402795723668017"/>
    <n v="578100"/>
    <n v="166600"/>
    <n v="744700"/>
    <n v="77900"/>
    <n v="822600"/>
    <n v="-1.5468006345848757E-2"/>
    <n v="-0.26440037771482533"/>
    <n v="-4.6039661370752639E-2"/>
  </r>
  <r>
    <n v="2025"/>
    <s v="18132342419    "/>
    <n v="-1.9661128563728327"/>
    <n v="0.14000000000000001"/>
    <m/>
    <s v="6"/>
    <s v="RES"/>
    <x v="0"/>
    <s v="11"/>
    <s v="259"/>
    <s v="BG"/>
    <s v="A"/>
    <s v="AV"/>
    <x v="9"/>
    <n v="99"/>
    <n v="56"/>
    <n v="1925"/>
    <n v="1968"/>
    <n v="1320"/>
    <n v="660"/>
    <n v="1320"/>
    <n v="0"/>
    <n v="1320"/>
    <m/>
    <n v="3300"/>
    <n v="3500"/>
    <n v="11"/>
    <m/>
    <m/>
    <m/>
    <m/>
    <m/>
    <m/>
    <m/>
    <n v="398741"/>
    <n v="255194"/>
    <n v="8623"/>
    <n v="401300"/>
    <n v="46000"/>
    <n v="355300"/>
    <n v="0"/>
    <n v="0"/>
    <n v="89850.625589999996"/>
    <n v="-62236.546971921947"/>
    <n v="21557.329055999999"/>
    <n v="160472.20319"/>
    <n v="-12490.553628"/>
    <n v="65219.444237640004"/>
    <n v="29559.03908826"/>
    <n v="0"/>
    <n v="38388.101726039997"/>
    <n v="41712.243157199999"/>
    <n v="0"/>
    <n v="8600"/>
    <n v="344400"/>
    <n v="27600"/>
    <n v="380600"/>
    <n v="-5.1582357338649389E-2"/>
    <n v="0.99970000000000003"/>
    <n v="1.0067999999999999"/>
    <n v="0.99729999999999996"/>
    <n v="1.0126999999999999"/>
    <n v="1.0074000000000001"/>
    <n v="0.94971499999999998"/>
    <n v="0.97284820028600216"/>
    <n v="344400"/>
    <n v="8200"/>
    <n v="352600"/>
    <n v="26200"/>
    <n v="378800"/>
    <n v="-7.5992119335772587E-3"/>
    <n v="-0.43043478260869567"/>
    <n v="-5.6067779715923249E-2"/>
  </r>
  <r>
    <n v="2025"/>
    <s v="18132214034    "/>
    <n v="-1.7719568419318752"/>
    <n v="0.17"/>
    <n v="7386"/>
    <s v="6"/>
    <s v="RES"/>
    <x v="0"/>
    <s v="11"/>
    <s v="400"/>
    <s v="TD"/>
    <s v="F"/>
    <s v="AV"/>
    <x v="9"/>
    <n v="99"/>
    <n v="56"/>
    <n v="1925"/>
    <n v="1968"/>
    <n v="590"/>
    <m/>
    <m/>
    <n v="0"/>
    <m/>
    <m/>
    <n v="590"/>
    <n v="1000"/>
    <n v="5"/>
    <m/>
    <m/>
    <n v="288"/>
    <m/>
    <m/>
    <m/>
    <m/>
    <n v="93453"/>
    <n v="59810"/>
    <n v="12692"/>
    <n v="221000"/>
    <n v="52700"/>
    <n v="168300"/>
    <n v="0"/>
    <n v="0"/>
    <n v="89850.625589999996"/>
    <n v="-56090.612940989391"/>
    <n v="-43578.886190266698"/>
    <n v="160472.20319"/>
    <n v="-12490.553628"/>
    <n v="29151.11522743"/>
    <n v="0"/>
    <n v="0"/>
    <n v="0"/>
    <n v="18960.110526"/>
    <n v="9589.1083994880009"/>
    <n v="12700"/>
    <n v="162100"/>
    <n v="33800"/>
    <n v="208600"/>
    <n v="-5.6108597285067875E-2"/>
    <n v="0.99970000000000003"/>
    <n v="1"/>
    <n v="0.99729999999999996"/>
    <n v="1.0148999999999999"/>
    <n v="1.0074000000000001"/>
    <n v="0.94971499999999998"/>
    <n v="0.96837666450369497"/>
    <n v="162100"/>
    <n v="12100"/>
    <n v="174200"/>
    <n v="32100"/>
    <n v="206300"/>
    <n v="3.5056446821152706E-2"/>
    <n v="-0.39089184060721061"/>
    <n v="-6.6515837104072398E-2"/>
  </r>
  <r>
    <n v="2025"/>
    <s v="18132344467    "/>
    <n v="-1.8971199848858813"/>
    <n v="0.15"/>
    <m/>
    <s v="6"/>
    <s v="RES"/>
    <x v="0"/>
    <s v="11"/>
    <s v="259"/>
    <s v="TD"/>
    <s v="F"/>
    <s v="AV"/>
    <x v="9"/>
    <n v="99"/>
    <n v="56"/>
    <n v="1925"/>
    <n v="1968"/>
    <n v="748"/>
    <m/>
    <m/>
    <n v="0"/>
    <m/>
    <m/>
    <n v="748"/>
    <n v="1000"/>
    <n v="5"/>
    <m/>
    <m/>
    <m/>
    <m/>
    <m/>
    <m/>
    <m/>
    <n v="108859"/>
    <n v="69670"/>
    <n v="0"/>
    <n v="214100"/>
    <n v="48400"/>
    <n v="165700"/>
    <n v="0"/>
    <n v="0"/>
    <n v="89850.625589999996"/>
    <n v="-60052.604136134301"/>
    <n v="-43578.886190266698"/>
    <n v="160472.20319"/>
    <n v="-12490.553628"/>
    <n v="36957.685067996004"/>
    <n v="0"/>
    <n v="0"/>
    <n v="0"/>
    <n v="18960.110526"/>
    <n v="0"/>
    <n v="0"/>
    <n v="160300"/>
    <n v="29800"/>
    <n v="190100"/>
    <n v="-0.1120971508640822"/>
    <n v="0.99970000000000003"/>
    <n v="1"/>
    <n v="0.99729999999999996"/>
    <n v="1.0148999999999999"/>
    <n v="1.0074000000000001"/>
    <n v="0.94971499999999998"/>
    <n v="0.96837666450369497"/>
    <n v="160300"/>
    <n v="0"/>
    <n v="160300"/>
    <n v="28300"/>
    <n v="188600"/>
    <n v="-3.2589016294508145E-2"/>
    <n v="-0.41528925619834711"/>
    <n v="-0.11910322279308734"/>
  </r>
  <r>
    <n v="2025"/>
    <s v="18132244486    "/>
    <n v="-1.6094379124341003"/>
    <n v="0.2"/>
    <n v="8623"/>
    <s v="6"/>
    <s v="RES"/>
    <x v="0"/>
    <s v="11"/>
    <s v="259"/>
    <s v="TD"/>
    <s v="F"/>
    <s v="AV"/>
    <x v="9"/>
    <n v="99"/>
    <n v="56"/>
    <n v="1925"/>
    <n v="1968"/>
    <n v="728"/>
    <m/>
    <m/>
    <n v="0"/>
    <m/>
    <m/>
    <n v="728"/>
    <n v="1000"/>
    <n v="5"/>
    <m/>
    <m/>
    <m/>
    <m/>
    <m/>
    <m/>
    <m/>
    <n v="103440"/>
    <n v="66202"/>
    <n v="0"/>
    <n v="223000"/>
    <n v="58400"/>
    <n v="164600"/>
    <n v="0"/>
    <n v="0"/>
    <n v="89850.625589999996"/>
    <n v="-50946.13867709865"/>
    <n v="-43578.886190266698"/>
    <n v="160472.20319"/>
    <n v="-12490.553628"/>
    <n v="35969.511670455999"/>
    <n v="0"/>
    <n v="0"/>
    <n v="0"/>
    <n v="18960.110526"/>
    <n v="0"/>
    <n v="0"/>
    <n v="159300"/>
    <n v="38900"/>
    <n v="198200"/>
    <n v="-0.11121076233183856"/>
    <n v="0.99970000000000003"/>
    <n v="1"/>
    <n v="0.99729999999999996"/>
    <n v="1.0148999999999999"/>
    <n v="1.0074000000000001"/>
    <n v="0.94971499999999998"/>
    <n v="0.96837666450369497"/>
    <n v="159300"/>
    <n v="0"/>
    <n v="159300"/>
    <n v="36900"/>
    <n v="196200"/>
    <n v="-3.2199270959902791E-2"/>
    <n v="-0.36815068493150682"/>
    <n v="-0.12017937219730941"/>
  </r>
  <r>
    <n v="2025"/>
    <s v="18132344433    "/>
    <n v="-2.120263536200091"/>
    <n v="0.12"/>
    <m/>
    <s v="6"/>
    <s v="RES"/>
    <x v="0"/>
    <s v="11"/>
    <s v="259"/>
    <s v="TD"/>
    <s v="F"/>
    <s v="AV"/>
    <x v="9"/>
    <n v="99"/>
    <n v="56"/>
    <n v="1925"/>
    <n v="1968"/>
    <n v="630"/>
    <m/>
    <m/>
    <n v="0"/>
    <m/>
    <m/>
    <n v="630"/>
    <n v="1000"/>
    <n v="6"/>
    <m/>
    <m/>
    <m/>
    <m/>
    <m/>
    <m/>
    <m/>
    <n v="97994"/>
    <n v="62716"/>
    <n v="0"/>
    <n v="206500"/>
    <n v="40600"/>
    <n v="165900"/>
    <n v="0"/>
    <n v="0"/>
    <n v="89850.625589999996"/>
    <n v="-67116.12750806773"/>
    <n v="-43578.886190266698"/>
    <n v="160472.20319"/>
    <n v="-12490.553628"/>
    <n v="31127.462022510001"/>
    <n v="0"/>
    <n v="0"/>
    <n v="0"/>
    <n v="22752.132631200002"/>
    <n v="0"/>
    <n v="0"/>
    <n v="158300"/>
    <n v="22700"/>
    <n v="181000"/>
    <n v="-0.12348668280871671"/>
    <n v="0.99970000000000003"/>
    <n v="1"/>
    <n v="0.99729999999999996"/>
    <n v="1.0148999999999999"/>
    <n v="1.0074000000000001"/>
    <n v="0.94971499999999998"/>
    <n v="0.96837666450369497"/>
    <n v="158300"/>
    <n v="0"/>
    <n v="158300"/>
    <n v="21600"/>
    <n v="179900"/>
    <n v="-4.581072935503315E-2"/>
    <n v="-0.46798029556650245"/>
    <n v="-0.12881355932203389"/>
  </r>
  <r>
    <n v="2025"/>
    <s v="18132313494    "/>
    <n v="-1.7147984280919266"/>
    <n v="0.18"/>
    <n v="7699"/>
    <s v="6"/>
    <s v="RES"/>
    <x v="0"/>
    <s v="11"/>
    <s v="259"/>
    <s v="BG"/>
    <s v="F"/>
    <s v="AV"/>
    <x v="9"/>
    <n v="99"/>
    <n v="56"/>
    <n v="1925"/>
    <n v="1968"/>
    <n v="778"/>
    <m/>
    <n v="288"/>
    <n v="0"/>
    <n v="288"/>
    <m/>
    <n v="1066"/>
    <n v="1500"/>
    <n v="5"/>
    <m/>
    <m/>
    <m/>
    <m/>
    <m/>
    <m/>
    <m/>
    <n v="149921"/>
    <n v="95949"/>
    <n v="5261"/>
    <n v="241000"/>
    <n v="54700"/>
    <n v="186300"/>
    <n v="0"/>
    <n v="0"/>
    <n v="89850.625589999996"/>
    <n v="-54281.285314520763"/>
    <n v="-43578.886190266698"/>
    <n v="160472.20319"/>
    <n v="-12490.553628"/>
    <n v="38439.945164306002"/>
    <n v="0"/>
    <n v="0"/>
    <n v="8375.5858311359989"/>
    <n v="18960.110526"/>
    <n v="0"/>
    <n v="5300"/>
    <n v="170200"/>
    <n v="35600"/>
    <n v="211100"/>
    <n v="-0.12406639004149378"/>
    <n v="0.99970000000000003"/>
    <n v="1"/>
    <n v="0.99729999999999996"/>
    <n v="1.0157"/>
    <n v="1.0074000000000001"/>
    <n v="0.94971499999999998"/>
    <n v="0.96913999225185055"/>
    <n v="170200"/>
    <n v="5000"/>
    <n v="175200"/>
    <n v="33800"/>
    <n v="209000"/>
    <n v="-5.9581320450885669E-2"/>
    <n v="-0.38208409506398539"/>
    <n v="-0.13278008298755187"/>
  </r>
  <r>
    <n v="2025"/>
    <s v="18132313431    "/>
    <n v="-1.2729656758128873"/>
    <n v="0.28000000000000003"/>
    <n v="12046"/>
    <s v="6"/>
    <s v="RES"/>
    <x v="0"/>
    <s v="11"/>
    <s v="331"/>
    <s v="CL"/>
    <s v="V"/>
    <s v="GD"/>
    <x v="9"/>
    <n v="99"/>
    <n v="26"/>
    <n v="1925"/>
    <n v="1998"/>
    <n v="1716"/>
    <n v="1610"/>
    <n v="1196"/>
    <n v="954"/>
    <n v="242"/>
    <m/>
    <n v="3568"/>
    <n v="4000"/>
    <n v="13"/>
    <n v="209"/>
    <m/>
    <m/>
    <m/>
    <m/>
    <m/>
    <m/>
    <n v="896868"/>
    <n v="816150"/>
    <n v="31349"/>
    <n v="852100"/>
    <n v="70000"/>
    <n v="782100"/>
    <n v="0"/>
    <n v="0"/>
    <n v="89850.625589999996"/>
    <n v="-40295.239319339329"/>
    <n v="163885.03753"/>
    <n v="197752.34721000001"/>
    <n v="-5799.1856130000006"/>
    <n v="84785.277508932006"/>
    <n v="72106.140806209994"/>
    <n v="0"/>
    <n v="34781.946715411999"/>
    <n v="49296.287367600002"/>
    <n v="0"/>
    <n v="31300"/>
    <n v="596800"/>
    <n v="49600"/>
    <n v="677700"/>
    <n v="-0.20467081328482573"/>
    <n v="0.99970000000000003"/>
    <n v="1"/>
    <n v="0.99650000000000005"/>
    <n v="0.94579999999999997"/>
    <n v="1.0074000000000001"/>
    <n v="0.94971499999999998"/>
    <n v="0.90172032031572269"/>
    <n v="596800"/>
    <n v="29800"/>
    <n v="626600"/>
    <n v="47100"/>
    <n v="673700"/>
    <n v="-0.19882367983633806"/>
    <n v="-0.32714285714285712"/>
    <n v="-0.20936509799319328"/>
  </r>
  <r>
    <n v="2025"/>
    <s v="18132313408    "/>
    <n v="-1.3093333199837622"/>
    <n v="0.27"/>
    <n v="11742"/>
    <s v="6"/>
    <s v="RES"/>
    <x v="0"/>
    <s v="11"/>
    <s v="259"/>
    <s v="CL"/>
    <s v="A+"/>
    <s v="GD"/>
    <x v="9"/>
    <n v="100"/>
    <n v="56"/>
    <n v="1924"/>
    <n v="1968"/>
    <n v="1250"/>
    <n v="1066"/>
    <n v="1250"/>
    <n v="1250"/>
    <m/>
    <m/>
    <n v="2316"/>
    <n v="2500"/>
    <n v="10"/>
    <m/>
    <m/>
    <n v="441"/>
    <m/>
    <m/>
    <m/>
    <m/>
    <n v="431749"/>
    <n v="284954"/>
    <n v="45183"/>
    <n v="445600"/>
    <n v="68900"/>
    <n v="376700"/>
    <n v="0"/>
    <n v="0"/>
    <n v="89850.625589999996"/>
    <n v="-41446.443120973789"/>
    <n v="29814.093161000001"/>
    <n v="197752.34721000001"/>
    <n v="-12490.553628"/>
    <n v="61760.837346250002"/>
    <n v="47742.326769825995"/>
    <n v="0"/>
    <n v="36352.369058749995"/>
    <n v="37920.221052000001"/>
    <n v="14683.322236716001"/>
    <n v="45200"/>
    <n v="413500"/>
    <n v="48400"/>
    <n v="507100"/>
    <n v="0.13801615798922801"/>
    <n v="0.99970000000000003"/>
    <n v="1.0088999999999999"/>
    <n v="0.99650000000000005"/>
    <n v="0.98919999999999997"/>
    <n v="1.0074000000000001"/>
    <n v="0.94971499999999998"/>
    <n v="0.95149120146958555"/>
    <n v="413500"/>
    <n v="42900"/>
    <n v="456400"/>
    <n v="46000"/>
    <n v="502400"/>
    <n v="0.21157419697371915"/>
    <n v="-0.33236574746008707"/>
    <n v="0.12746858168761221"/>
  </r>
  <r>
    <n v="2025"/>
    <s v="18132343409    "/>
    <n v="-0.21072103131565253"/>
    <n v="0.81"/>
    <n v="35080"/>
    <s v="6"/>
    <s v="RES"/>
    <x v="0"/>
    <s v="11"/>
    <s v="331"/>
    <s v="CU"/>
    <s v="V"/>
    <s v="VG"/>
    <x v="9"/>
    <n v="100"/>
    <n v="49"/>
    <n v="1924"/>
    <n v="1975"/>
    <n v="2192"/>
    <n v="1423"/>
    <n v="1616"/>
    <n v="1616"/>
    <m/>
    <m/>
    <n v="3615"/>
    <n v="4000"/>
    <n v="11"/>
    <m/>
    <m/>
    <m/>
    <m/>
    <m/>
    <m/>
    <m/>
    <n v="836015"/>
    <n v="643732"/>
    <n v="61934"/>
    <n v="759400"/>
    <n v="107200"/>
    <n v="652200"/>
    <n v="0"/>
    <n v="0"/>
    <n v="89850.625589999996"/>
    <n v="-6670.293274844209"/>
    <n v="163885.03753"/>
    <n v="284810.60806"/>
    <n v="-10929.2344245"/>
    <n v="108303.80437038401"/>
    <n v="63731.079731202997"/>
    <n v="0"/>
    <n v="46996.342719151995"/>
    <n v="41712.243157199999"/>
    <n v="0"/>
    <n v="61900"/>
    <n v="698500"/>
    <n v="83200"/>
    <n v="843600"/>
    <n v="0.11087700816434026"/>
    <n v="0.99970000000000003"/>
    <n v="1"/>
    <n v="1.0158"/>
    <n v="0.94579999999999997"/>
    <n v="1.0074000000000001"/>
    <n v="0.94971499999999998"/>
    <n v="0.9191846476434633"/>
    <n v="698500"/>
    <n v="58800"/>
    <n v="757300"/>
    <n v="79000"/>
    <n v="836300"/>
    <n v="0.16114688745783501"/>
    <n v="-0.26305970149253732"/>
    <n v="0.10126415591256255"/>
  </r>
  <r>
    <n v="2025"/>
    <s v="18132334024    "/>
    <n v="-0.84397007029452897"/>
    <n v="0.43"/>
    <n v="18787"/>
    <s v="6"/>
    <s v="RES"/>
    <x v="0"/>
    <s v="11"/>
    <s v="259"/>
    <s v="CL"/>
    <s v="V"/>
    <s v="VG"/>
    <x v="9"/>
    <n v="100"/>
    <n v="33"/>
    <n v="1924"/>
    <n v="1991"/>
    <n v="1469"/>
    <n v="1364"/>
    <n v="878"/>
    <n v="878"/>
    <m/>
    <m/>
    <n v="2833"/>
    <n v="3000"/>
    <n v="12"/>
    <m/>
    <n v="224"/>
    <m/>
    <m/>
    <m/>
    <m/>
    <m/>
    <n v="735193"/>
    <n v="661674"/>
    <n v="0"/>
    <n v="643400"/>
    <n v="85100"/>
    <n v="558300"/>
    <n v="0"/>
    <n v="0"/>
    <n v="89850.625589999996"/>
    <n v="-26715.548272078075"/>
    <n v="163885.03753"/>
    <n v="284810.60806"/>
    <n v="-7360.5048164999998"/>
    <n v="72581.336049313002"/>
    <n v="61088.680782404001"/>
    <n v="0"/>
    <n v="25533.904026865999"/>
    <n v="45504.265262400004"/>
    <n v="0"/>
    <n v="0"/>
    <n v="646000"/>
    <n v="63100"/>
    <n v="709100"/>
    <n v="0.10211377059372086"/>
    <n v="0.99970000000000003"/>
    <n v="1"/>
    <n v="1.0158"/>
    <n v="0.96179999999999999"/>
    <n v="1.0074000000000001"/>
    <n v="0.94971499999999998"/>
    <n v="0.93473439850230811"/>
    <n v="646000"/>
    <n v="0"/>
    <n v="646000"/>
    <n v="60000"/>
    <n v="706000"/>
    <n v="0.15708400501522479"/>
    <n v="-0.29494712103407755"/>
    <n v="9.7295617034504192E-2"/>
  </r>
  <r>
    <n v="2025"/>
    <s v="18132332458    "/>
    <n v="-0.61618613942381695"/>
    <n v="0.54"/>
    <n v="23412"/>
    <s v="6"/>
    <s v="RES"/>
    <x v="0"/>
    <s v="11"/>
    <s v="259"/>
    <s v="BG"/>
    <s v="A+"/>
    <s v="AV"/>
    <x v="9"/>
    <n v="100"/>
    <n v="56"/>
    <n v="1924"/>
    <n v="1968"/>
    <n v="1216"/>
    <m/>
    <n v="1216"/>
    <n v="304"/>
    <n v="912"/>
    <m/>
    <n v="2128"/>
    <n v="2500"/>
    <n v="8"/>
    <m/>
    <m/>
    <m/>
    <m/>
    <m/>
    <m/>
    <m/>
    <n v="354206"/>
    <n v="226692"/>
    <n v="0"/>
    <n v="371700"/>
    <n v="93000"/>
    <n v="278700"/>
    <n v="0"/>
    <n v="0"/>
    <n v="89850.625589999996"/>
    <n v="-19505.135468391178"/>
    <n v="29814.093161000001"/>
    <n v="160472.20319"/>
    <n v="-12490.553628"/>
    <n v="60080.942570432002"/>
    <n v="0"/>
    <n v="0"/>
    <n v="35363.584620351998"/>
    <n v="30336.176841600001"/>
    <n v="0"/>
    <n v="0"/>
    <n v="303600"/>
    <n v="70300"/>
    <n v="373900"/>
    <n v="5.9187516814635461E-3"/>
    <n v="0.99970000000000003"/>
    <n v="1.0088999999999999"/>
    <n v="0.99729999999999996"/>
    <n v="0.98919999999999997"/>
    <n v="1.0074000000000001"/>
    <n v="0.94971499999999998"/>
    <n v="0.95225506796349002"/>
    <n v="303600"/>
    <n v="0"/>
    <n v="303600"/>
    <n v="66800"/>
    <n v="370400"/>
    <n v="8.9343379978471471E-2"/>
    <n v="-0.2817204301075269"/>
    <n v="-3.4974441754102772E-3"/>
  </r>
  <r>
    <n v="2025"/>
    <s v="18132332431    "/>
    <n v="-2.0402208285265546"/>
    <n v="0.13"/>
    <m/>
    <s v="6"/>
    <s v="RES"/>
    <x v="0"/>
    <s v="11"/>
    <s v="259"/>
    <s v="BG"/>
    <s v="A"/>
    <s v="GD"/>
    <x v="10"/>
    <n v="101"/>
    <n v="57"/>
    <n v="1923"/>
    <n v="1967"/>
    <n v="1146"/>
    <m/>
    <n v="504"/>
    <n v="354"/>
    <n v="150"/>
    <m/>
    <n v="1296"/>
    <n v="1500"/>
    <n v="5"/>
    <m/>
    <m/>
    <m/>
    <m/>
    <m/>
    <m/>
    <m/>
    <n v="229786"/>
    <n v="149361"/>
    <n v="6684"/>
    <n v="296300"/>
    <n v="43400"/>
    <n v="252900"/>
    <n v="0"/>
    <n v="0"/>
    <n v="89850.625589999996"/>
    <n v="-64582.406353792743"/>
    <n v="21557.329055999999"/>
    <n v="197752.34721000001"/>
    <n v="-12713.599228500001"/>
    <n v="56622.335679042"/>
    <n v="0"/>
    <n v="0"/>
    <n v="14657.275204488"/>
    <n v="18960.110526"/>
    <n v="0"/>
    <n v="6700"/>
    <n v="296800"/>
    <n v="25300"/>
    <n v="328800"/>
    <n v="0.10968612892338846"/>
    <n v="0.99970000000000003"/>
    <n v="1.0067999999999999"/>
    <n v="0.99650000000000005"/>
    <n v="1.0157"/>
    <n v="0.96040000000000003"/>
    <n v="0.94971499999999998"/>
    <n v="0.92946151271343602"/>
    <n v="296800"/>
    <n v="6300"/>
    <n v="303100"/>
    <n v="24000"/>
    <n v="327100"/>
    <n v="0.1984974298141558"/>
    <n v="-0.44700460829493088"/>
    <n v="0.10394870064124198"/>
  </r>
  <r>
    <n v="2025"/>
    <s v="18132344494    "/>
    <n v="-1.8971199848858813"/>
    <n v="0.15"/>
    <m/>
    <s v="6"/>
    <s v="RES"/>
    <x v="0"/>
    <s v="11"/>
    <s v="259"/>
    <s v="BG"/>
    <s v="A"/>
    <s v="AV"/>
    <x v="10"/>
    <n v="101"/>
    <n v="57"/>
    <n v="1923"/>
    <n v="1967"/>
    <n v="962"/>
    <m/>
    <n v="962"/>
    <n v="962"/>
    <m/>
    <m/>
    <n v="962"/>
    <n v="1000"/>
    <n v="5"/>
    <m/>
    <m/>
    <m/>
    <m/>
    <m/>
    <m/>
    <m/>
    <n v="201648"/>
    <n v="127038"/>
    <n v="9040"/>
    <n v="276200"/>
    <n v="48400"/>
    <n v="227800"/>
    <n v="0"/>
    <n v="0"/>
    <n v="89850.625589999996"/>
    <n v="-60052.604136134301"/>
    <n v="21557.329055999999"/>
    <n v="160472.20319"/>
    <n v="-12713.599228500001"/>
    <n v="47531.140421674005"/>
    <n v="0"/>
    <n v="0"/>
    <n v="27976.783227614"/>
    <n v="18960.110526"/>
    <n v="0"/>
    <n v="9000"/>
    <n v="263800"/>
    <n v="29800"/>
    <n v="302600"/>
    <n v="9.5582910934105716E-2"/>
    <n v="0.99970000000000003"/>
    <n v="1.0067999999999999"/>
    <n v="0.99729999999999996"/>
    <n v="1.0148999999999999"/>
    <n v="0.96040000000000003"/>
    <n v="0.94971499999999998"/>
    <n v="0.92947503021615663"/>
    <n v="263800"/>
    <n v="8600"/>
    <n v="272400"/>
    <n v="28300"/>
    <n v="300700"/>
    <n v="0.1957857769973661"/>
    <n v="-0.41528925619834711"/>
    <n v="8.8703837798696603E-2"/>
  </r>
  <r>
    <n v="2025"/>
    <s v="18132334016    "/>
    <n v="-0.9942522733438669"/>
    <n v="0.37"/>
    <n v="15950"/>
    <s v="6"/>
    <s v="RES"/>
    <x v="0"/>
    <s v="11"/>
    <s v="259"/>
    <s v="CC"/>
    <s v="A"/>
    <s v="FR"/>
    <x v="10"/>
    <n v="101"/>
    <n v="57"/>
    <n v="1923"/>
    <n v="1967"/>
    <n v="1008"/>
    <n v="675"/>
    <n v="1008"/>
    <n v="906"/>
    <n v="102"/>
    <m/>
    <n v="1785"/>
    <n v="2000"/>
    <n v="7"/>
    <m/>
    <m/>
    <n v="280"/>
    <m/>
    <m/>
    <m/>
    <m/>
    <n v="299104"/>
    <n v="182453"/>
    <n v="23837"/>
    <n v="336100"/>
    <n v="79900"/>
    <n v="256200"/>
    <n v="0"/>
    <n v="0"/>
    <n v="89850.625589999996"/>
    <n v="-31472.673662315807"/>
    <n v="21557.329055999999"/>
    <n v="133714.53821"/>
    <n v="-12713.599228500001"/>
    <n v="49803.939236015998"/>
    <n v="30230.835431174997"/>
    <n v="0"/>
    <n v="29314.550408976"/>
    <n v="26544.1547364"/>
    <n v="9322.7442772800005"/>
    <n v="23800"/>
    <n v="287800"/>
    <n v="58400"/>
    <n v="370000"/>
    <n v="0.1008628384409402"/>
    <n v="0.99970000000000003"/>
    <n v="1.0067999999999999"/>
    <n v="0.99329999999999996"/>
    <n v="1.0093000000000001"/>
    <n v="0.96040000000000003"/>
    <n v="0.94971499999999998"/>
    <n v="0.92063899131812543"/>
    <n v="287800"/>
    <n v="22600"/>
    <n v="310400"/>
    <n v="55400"/>
    <n v="365800"/>
    <n v="0.21155347384855583"/>
    <n v="-0.30663329161451813"/>
    <n v="8.8366557572151144E-2"/>
  </r>
  <r>
    <n v="2025"/>
    <s v="18132344025    "/>
    <n v="-1.8971199848858813"/>
    <n v="0.15"/>
    <n v="6641"/>
    <s v="6"/>
    <s v="RES"/>
    <x v="0"/>
    <s v="11"/>
    <s v="259"/>
    <s v="TD"/>
    <s v="F+"/>
    <s v="GD"/>
    <x v="10"/>
    <n v="101"/>
    <n v="57"/>
    <n v="1923"/>
    <n v="1967"/>
    <n v="830"/>
    <m/>
    <n v="315"/>
    <n v="0"/>
    <n v="315"/>
    <m/>
    <n v="1145"/>
    <n v="1500"/>
    <n v="5"/>
    <m/>
    <m/>
    <m/>
    <m/>
    <m/>
    <m/>
    <m/>
    <n v="161449"/>
    <n v="104942"/>
    <n v="0"/>
    <n v="263500"/>
    <n v="48400"/>
    <n v="215100"/>
    <n v="0"/>
    <n v="0"/>
    <n v="89850.625589999996"/>
    <n v="-60052.604136134301"/>
    <n v="0"/>
    <n v="197752.34721000001"/>
    <n v="-12713.599228500001"/>
    <n v="41009.195997909999"/>
    <n v="0"/>
    <n v="0"/>
    <n v="9160.7970028050004"/>
    <n v="18960.110526"/>
    <n v="0"/>
    <n v="0"/>
    <n v="254200"/>
    <n v="29800"/>
    <n v="284000"/>
    <n v="7.7798861480075907E-2"/>
    <n v="0.99970000000000003"/>
    <n v="0.99180000000000001"/>
    <n v="0.99650000000000005"/>
    <n v="1.0157"/>
    <n v="0.96040000000000003"/>
    <n v="0.94971499999999998"/>
    <n v="0.91561375477670459"/>
    <n v="254200"/>
    <n v="0"/>
    <n v="254200"/>
    <n v="28300"/>
    <n v="282500"/>
    <n v="0.18177591817759181"/>
    <n v="-0.41528925619834711"/>
    <n v="7.2106261859582549E-2"/>
  </r>
  <r>
    <n v="2025"/>
    <s v="18132211002    "/>
    <n v="0.53649337051456847"/>
    <n v="1.71"/>
    <n v="74279"/>
    <s v="6"/>
    <s v="RES"/>
    <x v="0"/>
    <s v="11"/>
    <s v="259"/>
    <s v="FH"/>
    <s v="G+"/>
    <s v="GD"/>
    <x v="10"/>
    <n v="101"/>
    <n v="57"/>
    <n v="1923"/>
    <n v="1967"/>
    <n v="2239"/>
    <n v="1158"/>
    <n v="680"/>
    <n v="680"/>
    <m/>
    <m/>
    <n v="3397"/>
    <n v="3500"/>
    <n v="14"/>
    <m/>
    <m/>
    <m/>
    <m/>
    <m/>
    <m/>
    <m/>
    <n v="739194"/>
    <n v="487868"/>
    <n v="54607"/>
    <n v="659900"/>
    <n v="133200"/>
    <n v="526700"/>
    <n v="0"/>
    <n v="0"/>
    <n v="89850.625589999996"/>
    <n v="16982.491491232606"/>
    <n v="74268.409664999999"/>
    <n v="197752.34721000001"/>
    <n v="-12713.599228500001"/>
    <n v="110626.011854603"/>
    <n v="51862.677673038001"/>
    <n v="0"/>
    <n v="19775.68876796"/>
    <n v="53088.3094728"/>
    <n v="0"/>
    <n v="54600"/>
    <n v="494700"/>
    <n v="106800"/>
    <n v="656100"/>
    <n v="-5.7584482497348086E-3"/>
    <n v="0.99970000000000003"/>
    <n v="0.98380000000000001"/>
    <n v="0.99650000000000005"/>
    <n v="1.0126999999999999"/>
    <n v="0.96040000000000003"/>
    <n v="0.94971499999999998"/>
    <n v="0.90554571535133732"/>
    <n v="494700"/>
    <n v="51900"/>
    <n v="546600"/>
    <n v="101500"/>
    <n v="648100"/>
    <n v="3.7782418834251E-2"/>
    <n v="-0.23798798798798798"/>
    <n v="-1.7881497196544933E-2"/>
  </r>
  <r>
    <n v="2025"/>
    <s v="18132344458    "/>
    <n v="-1.8971199848858813"/>
    <n v="0.15"/>
    <m/>
    <s v="6"/>
    <s v="RES"/>
    <x v="0"/>
    <s v="11"/>
    <s v="259"/>
    <s v="BG"/>
    <s v="A"/>
    <s v="AV"/>
    <x v="10"/>
    <n v="101"/>
    <n v="57"/>
    <n v="1923"/>
    <n v="1967"/>
    <n v="1228"/>
    <m/>
    <n v="615"/>
    <n v="0"/>
    <n v="615"/>
    <m/>
    <n v="1843"/>
    <n v="2000"/>
    <n v="8"/>
    <m/>
    <m/>
    <m/>
    <m/>
    <m/>
    <m/>
    <m/>
    <n v="270711"/>
    <n v="175962"/>
    <n v="6227"/>
    <n v="328000"/>
    <n v="48400"/>
    <n v="279600"/>
    <n v="0"/>
    <n v="0"/>
    <n v="89850.625589999996"/>
    <n v="-60052.604136134301"/>
    <n v="21557.329055999999"/>
    <n v="160472.20319"/>
    <n v="-12713.599228500001"/>
    <n v="60673.846608956002"/>
    <n v="0"/>
    <n v="0"/>
    <n v="17885.365576904998"/>
    <n v="30336.176841600001"/>
    <n v="0"/>
    <n v="6200"/>
    <n v="278200"/>
    <n v="29800"/>
    <n v="314200"/>
    <n v="-4.207317073170732E-2"/>
    <n v="0.99970000000000003"/>
    <n v="1.0067999999999999"/>
    <n v="0.99729999999999996"/>
    <n v="1.0093000000000001"/>
    <n v="0.96040000000000003"/>
    <n v="0.94971499999999998"/>
    <n v="0.92434638683335013"/>
    <n v="278200"/>
    <n v="5900"/>
    <n v="284100"/>
    <n v="28300"/>
    <n v="312400"/>
    <n v="1.6094420600858368E-2"/>
    <n v="-0.41528925619834711"/>
    <n v="-4.7560975609756098E-2"/>
  </r>
  <r>
    <n v="2025"/>
    <s v="18132342402    "/>
    <n v="-1.5606477482646683"/>
    <n v="0.21"/>
    <n v="9105"/>
    <s v="6"/>
    <s v="RES"/>
    <x v="0"/>
    <s v="11"/>
    <s v="259"/>
    <s v="TD"/>
    <s v="A"/>
    <s v="VG"/>
    <x v="10"/>
    <n v="102"/>
    <n v="49"/>
    <n v="1922"/>
    <n v="1975"/>
    <n v="1282"/>
    <m/>
    <n v="936"/>
    <n v="0"/>
    <n v="936"/>
    <m/>
    <n v="2218"/>
    <n v="2500"/>
    <n v="5"/>
    <m/>
    <m/>
    <m/>
    <m/>
    <m/>
    <m/>
    <m/>
    <n v="288510"/>
    <n v="213497"/>
    <n v="8025"/>
    <n v="377100"/>
    <n v="60100"/>
    <n v="317000"/>
    <n v="0"/>
    <n v="0"/>
    <n v="89850.625589999996"/>
    <n v="-49401.70477837498"/>
    <n v="21557.329055999999"/>
    <n v="284810.60806"/>
    <n v="-10929.2344245"/>
    <n v="63341.914782314001"/>
    <n v="0"/>
    <n v="0"/>
    <n v="27220.653951191998"/>
    <n v="18960.110526"/>
    <n v="0"/>
    <n v="8000"/>
    <n v="405000"/>
    <n v="40400"/>
    <n v="453400"/>
    <n v="0.20233359851498275"/>
    <n v="0.99970000000000003"/>
    <n v="1.0067999999999999"/>
    <n v="1.0158"/>
    <n v="0.98919999999999997"/>
    <n v="0.96040000000000003"/>
    <n v="0.94971499999999998"/>
    <n v="0.92274345160752769"/>
    <n v="405000"/>
    <n v="7600"/>
    <n v="412600"/>
    <n v="38400"/>
    <n v="451000"/>
    <n v="0.30157728706624604"/>
    <n v="-0.36106489184692181"/>
    <n v="0.19596923892866613"/>
  </r>
  <r>
    <n v="2025"/>
    <s v="18132342422    "/>
    <n v="-1.9661128563728327"/>
    <n v="0.14000000000000001"/>
    <n v="6003"/>
    <s v="6"/>
    <s v="RES"/>
    <x v="0"/>
    <s v="11"/>
    <s v="259"/>
    <s v="BG"/>
    <s v="A"/>
    <s v="GD"/>
    <x v="10"/>
    <n v="102"/>
    <n v="57"/>
    <n v="1922"/>
    <n v="1967"/>
    <n v="1090"/>
    <m/>
    <n v="1090"/>
    <n v="1090"/>
    <m/>
    <m/>
    <n v="1090"/>
    <n v="1500"/>
    <n v="5"/>
    <m/>
    <m/>
    <m/>
    <m/>
    <m/>
    <m/>
    <m/>
    <n v="220813"/>
    <n v="143528"/>
    <n v="17300"/>
    <n v="311700"/>
    <n v="46000"/>
    <n v="265700"/>
    <n v="0"/>
    <n v="0"/>
    <n v="89850.625589999996"/>
    <n v="-62236.546971921947"/>
    <n v="21557.329055999999"/>
    <n v="197752.34721000001"/>
    <n v="-12713.599228500001"/>
    <n v="53855.45016593"/>
    <n v="0"/>
    <n v="0"/>
    <n v="31699.265819229997"/>
    <n v="18960.110526"/>
    <n v="0"/>
    <n v="17300"/>
    <n v="311100"/>
    <n v="27600"/>
    <n v="356000"/>
    <n v="0.14212383702277831"/>
    <n v="0.99970000000000003"/>
    <n v="1.0067999999999999"/>
    <n v="0.99650000000000005"/>
    <n v="1.0157"/>
    <n v="0.96040000000000003"/>
    <n v="0.94971499999999998"/>
    <n v="0.92946151271343602"/>
    <n v="311100"/>
    <n v="16400"/>
    <n v="327500"/>
    <n v="26200"/>
    <n v="353700"/>
    <n v="0.23259315016936394"/>
    <n v="-0.43043478260869567"/>
    <n v="0.13474494706448509"/>
  </r>
  <r>
    <n v="2025"/>
    <s v="18132341017    "/>
    <n v="-1.0788096613719298"/>
    <n v="0.34"/>
    <m/>
    <s v="6"/>
    <s v="RES"/>
    <x v="0"/>
    <s v="11"/>
    <s v="259"/>
    <s v="CU"/>
    <s v="V"/>
    <s v="VG"/>
    <x v="10"/>
    <n v="102"/>
    <n v="57"/>
    <n v="1922"/>
    <n v="1967"/>
    <n v="1788"/>
    <n v="1380"/>
    <n v="870"/>
    <n v="397"/>
    <n v="473"/>
    <m/>
    <n v="3641"/>
    <n v="4000"/>
    <n v="11"/>
    <n v="550"/>
    <m/>
    <m/>
    <m/>
    <m/>
    <m/>
    <m/>
    <n v="832714"/>
    <n v="566246"/>
    <n v="31533"/>
    <n v="673500"/>
    <n v="76900"/>
    <n v="596600"/>
    <n v="0"/>
    <n v="0"/>
    <n v="89850.625589999996"/>
    <n v="-34149.305288406773"/>
    <n v="163885.03753"/>
    <n v="284810.60806"/>
    <n v="-12713.599228500001"/>
    <n v="88342.701740076009"/>
    <n v="61805.263548179995"/>
    <n v="0"/>
    <n v="25301.24886489"/>
    <n v="41712.243157199999"/>
    <n v="0"/>
    <n v="31500"/>
    <n v="653100"/>
    <n v="55700"/>
    <n v="740300"/>
    <n v="9.9183370452858202E-2"/>
    <n v="0.99970000000000003"/>
    <n v="1"/>
    <n v="1.0158"/>
    <n v="0.94579999999999997"/>
    <n v="0.96040000000000003"/>
    <n v="0.94971499999999998"/>
    <n v="0.87630031327852098"/>
    <n v="653100"/>
    <n v="29900"/>
    <n v="683000"/>
    <n v="52900"/>
    <n v="735900"/>
    <n v="0.14482065035199462"/>
    <n v="-0.31209362808842656"/>
    <n v="9.2650334075723831E-2"/>
  </r>
  <r>
    <n v="2025"/>
    <s v="18132331018    "/>
    <n v="-1.8325814637483102"/>
    <n v="0.16"/>
    <n v="7064"/>
    <s v="6"/>
    <s v="RES"/>
    <x v="0"/>
    <s v="11"/>
    <s v="259"/>
    <s v="CC"/>
    <s v="G"/>
    <s v="GD"/>
    <x v="10"/>
    <n v="102"/>
    <n v="57"/>
    <n v="1922"/>
    <n v="1967"/>
    <n v="1390"/>
    <n v="684"/>
    <n v="1064"/>
    <n v="1064"/>
    <m/>
    <m/>
    <n v="2074"/>
    <n v="2500"/>
    <n v="12"/>
    <m/>
    <m/>
    <m/>
    <m/>
    <m/>
    <m/>
    <m/>
    <n v="449977"/>
    <n v="292485"/>
    <n v="12190"/>
    <n v="411200"/>
    <n v="50600"/>
    <n v="360600"/>
    <n v="0"/>
    <n v="0"/>
    <n v="89850.625589999996"/>
    <n v="-58009.662049032086"/>
    <n v="44121.038090000002"/>
    <n v="197752.34721000001"/>
    <n v="-12713.599228500001"/>
    <n v="68678.051129030006"/>
    <n v="30633.913236924"/>
    <n v="0"/>
    <n v="30943.136542807999"/>
    <n v="45504.265262400004"/>
    <n v="0"/>
    <n v="12200"/>
    <n v="404900"/>
    <n v="31800"/>
    <n v="448900"/>
    <n v="9.16828793774319E-2"/>
    <n v="0.99970000000000003"/>
    <n v="0.98050000000000004"/>
    <n v="0.99650000000000005"/>
    <n v="0.98919999999999997"/>
    <n v="0.96040000000000003"/>
    <n v="0.94971499999999998"/>
    <n v="0.88156523967511857"/>
    <n v="404900"/>
    <n v="11600"/>
    <n v="416500"/>
    <n v="30200"/>
    <n v="446700"/>
    <n v="0.15501941209095951"/>
    <n v="-0.40316205533596838"/>
    <n v="8.6332684824902722E-2"/>
  </r>
  <r>
    <n v="2025"/>
    <s v="18132342453    "/>
    <n v="-1.0216512475319814"/>
    <n v="0.36"/>
    <n v="15500"/>
    <s v="6"/>
    <s v="RES"/>
    <x v="0"/>
    <s v="11"/>
    <s v="259"/>
    <s v="CC"/>
    <s v="A+"/>
    <s v="GD"/>
    <x v="10"/>
    <n v="102"/>
    <n v="56"/>
    <n v="1922"/>
    <n v="1968"/>
    <n v="1520"/>
    <n v="1170"/>
    <n v="1132"/>
    <n v="1132"/>
    <m/>
    <m/>
    <n v="2690"/>
    <n v="3000"/>
    <n v="8"/>
    <m/>
    <n v="360"/>
    <m/>
    <m/>
    <m/>
    <m/>
    <m/>
    <n v="482282"/>
    <n v="318306"/>
    <n v="0"/>
    <n v="424900"/>
    <n v="78900"/>
    <n v="346000"/>
    <n v="0"/>
    <n v="0"/>
    <n v="89850.625589999996"/>
    <n v="-32339.977661938148"/>
    <n v="29814.093161000001"/>
    <n v="197752.34721000001"/>
    <n v="-12490.553628"/>
    <n v="75101.178213039995"/>
    <n v="52400.114747369997"/>
    <n v="0"/>
    <n v="32920.705419603997"/>
    <n v="30336.176841600001"/>
    <n v="0"/>
    <n v="0"/>
    <n v="405800"/>
    <n v="57500"/>
    <n v="463300"/>
    <n v="9.037420569545776E-2"/>
    <n v="0.99970000000000003"/>
    <n v="1.0088999999999999"/>
    <n v="0.99650000000000005"/>
    <n v="0.96179999999999999"/>
    <n v="0.96040000000000003"/>
    <n v="0.94971499999999998"/>
    <n v="0.88197372376634775"/>
    <n v="405800"/>
    <n v="0"/>
    <n v="405800"/>
    <n v="54600"/>
    <n v="460400"/>
    <n v="0.17283236994219653"/>
    <n v="-0.30798479087452474"/>
    <n v="8.3549070369498712E-2"/>
  </r>
  <r>
    <n v="2025"/>
    <s v="18132344010    "/>
    <n v="-1.8971199848858813"/>
    <n v="0.15"/>
    <n v="6347"/>
    <s v="6"/>
    <s v="RES"/>
    <x v="0"/>
    <s v="11"/>
    <s v="259"/>
    <s v="BG"/>
    <s v="A+"/>
    <s v="FR"/>
    <x v="10"/>
    <n v="102"/>
    <n v="57"/>
    <n v="1922"/>
    <n v="1967"/>
    <n v="1372"/>
    <n v="700"/>
    <n v="720"/>
    <n v="520"/>
    <n v="200"/>
    <m/>
    <n v="2272"/>
    <n v="2500"/>
    <n v="8"/>
    <m/>
    <m/>
    <m/>
    <m/>
    <m/>
    <m/>
    <m/>
    <n v="387435"/>
    <n v="236335"/>
    <n v="6227"/>
    <n v="315300"/>
    <n v="48400"/>
    <n v="266900"/>
    <n v="0"/>
    <n v="0"/>
    <n v="89850.625589999996"/>
    <n v="-60052.604136134301"/>
    <n v="29814.093161000001"/>
    <n v="133714.53821"/>
    <n v="-12713.599228500001"/>
    <n v="67788.695071244001"/>
    <n v="31350.496002699998"/>
    <n v="0"/>
    <n v="20938.964577839997"/>
    <n v="30336.176841600001"/>
    <n v="0"/>
    <n v="6200"/>
    <n v="301200"/>
    <n v="29800"/>
    <n v="337200"/>
    <n v="6.9457659372026637E-2"/>
    <n v="0.99970000000000003"/>
    <n v="1.0088999999999999"/>
    <n v="0.99329999999999996"/>
    <n v="0.98919999999999997"/>
    <n v="0.96040000000000003"/>
    <n v="0.94971499999999998"/>
    <n v="0.90418669879730684"/>
    <n v="301200"/>
    <n v="5900"/>
    <n v="307100"/>
    <n v="28300"/>
    <n v="335400"/>
    <n v="0.15061820906706633"/>
    <n v="-0.41528925619834711"/>
    <n v="6.3748810656517607E-2"/>
  </r>
  <r>
    <n v="2025"/>
    <s v="18132341014    "/>
    <n v="-1.3862943611198906"/>
    <n v="0.25"/>
    <n v="10764"/>
    <s v="6"/>
    <s v="RES"/>
    <x v="0"/>
    <s v="11"/>
    <s v="259"/>
    <s v="CL"/>
    <s v="V"/>
    <s v="VG"/>
    <x v="10"/>
    <n v="102"/>
    <n v="57"/>
    <n v="1922"/>
    <n v="1967"/>
    <n v="2485"/>
    <n v="1829"/>
    <n v="1620"/>
    <n v="0"/>
    <n v="1620"/>
    <m/>
    <n v="5934"/>
    <n v="5500"/>
    <n v="17"/>
    <m/>
    <m/>
    <m/>
    <m/>
    <m/>
    <m/>
    <m/>
    <n v="1186386"/>
    <n v="806742"/>
    <n v="49851"/>
    <n v="825500"/>
    <n v="66200"/>
    <n v="759300"/>
    <n v="0"/>
    <n v="0"/>
    <n v="89850.625589999996"/>
    <n v="-43882.615305165229"/>
    <n v="163885.03753"/>
    <n v="284810.60806"/>
    <n v="-12713.599228500001"/>
    <n v="122780.54464434501"/>
    <n v="81914.367412769003"/>
    <n v="0"/>
    <n v="47112.670300139995"/>
    <n v="64464.375788400001"/>
    <n v="0"/>
    <n v="49900"/>
    <n v="752300"/>
    <n v="46000"/>
    <n v="848200"/>
    <n v="2.7498485766202303E-2"/>
    <n v="0.99970000000000003"/>
    <n v="1"/>
    <n v="1.0158"/>
    <n v="1.1091"/>
    <n v="0.96040000000000003"/>
    <n v="0.94971499999999998"/>
    <n v="1.027600631695081"/>
    <n v="752300"/>
    <n v="47300"/>
    <n v="799600"/>
    <n v="43700"/>
    <n v="843300"/>
    <n v="5.3075200842881601E-2"/>
    <n v="-0.33987915407854985"/>
    <n v="2.1562689279224712E-2"/>
  </r>
  <r>
    <n v="2025"/>
    <s v="18132313498    "/>
    <n v="-0.9942522733438669"/>
    <n v="0.37"/>
    <n v="16061"/>
    <s v="6"/>
    <s v="RES"/>
    <x v="0"/>
    <s v="11"/>
    <s v="259"/>
    <s v="CL"/>
    <s v="G"/>
    <s v="GD"/>
    <x v="10"/>
    <n v="103"/>
    <n v="58"/>
    <n v="1921"/>
    <n v="1966"/>
    <n v="1932"/>
    <n v="1366"/>
    <n v="1289"/>
    <n v="999"/>
    <n v="290"/>
    <m/>
    <n v="3588"/>
    <n v="4000"/>
    <n v="18"/>
    <m/>
    <m/>
    <n v="361"/>
    <m/>
    <m/>
    <m/>
    <m/>
    <n v="688654"/>
    <n v="440739"/>
    <n v="79114"/>
    <n v="579500"/>
    <n v="79900"/>
    <n v="499600"/>
    <n v="0"/>
    <n v="0"/>
    <n v="89850.625589999996"/>
    <n v="-31472.673662315807"/>
    <n v="44121.038090000002"/>
    <n v="197752.34721000001"/>
    <n v="-12936.644829000001"/>
    <n v="95457.550202364"/>
    <n v="61178.253628125996"/>
    <n v="0"/>
    <n v="37486.562973382999"/>
    <n v="68256.397893600006"/>
    <n v="12019.681014636"/>
    <n v="79100"/>
    <n v="503300"/>
    <n v="58400"/>
    <n v="640800"/>
    <n v="0.10578084555651424"/>
    <n v="0.99970000000000003"/>
    <n v="0.98050000000000004"/>
    <n v="0.99650000000000005"/>
    <n v="0.94579999999999997"/>
    <n v="0.96040000000000003"/>
    <n v="0.94971499999999998"/>
    <n v="0.84288758965297927"/>
    <n v="503300"/>
    <n v="75100"/>
    <n v="578400"/>
    <n v="55400"/>
    <n v="633800"/>
    <n v="0.15772618094475579"/>
    <n v="-0.30663329161451813"/>
    <n v="9.3701466781708376E-2"/>
  </r>
  <r>
    <n v="2025"/>
    <s v="18132241407    "/>
    <n v="-1.3862943611198906"/>
    <n v="0.25"/>
    <n v="10943"/>
    <s v="6"/>
    <s v="RES"/>
    <x v="0"/>
    <s v="11"/>
    <s v="259"/>
    <s v="BG"/>
    <s v="A+"/>
    <s v="GD"/>
    <x v="10"/>
    <n v="103"/>
    <n v="58"/>
    <n v="1921"/>
    <n v="1966"/>
    <n v="1348"/>
    <n v="504"/>
    <n v="1170"/>
    <n v="570"/>
    <n v="600"/>
    <m/>
    <n v="2452"/>
    <n v="2500"/>
    <n v="10"/>
    <m/>
    <m/>
    <m/>
    <m/>
    <m/>
    <m/>
    <m/>
    <n v="418100"/>
    <n v="267584"/>
    <n v="9380"/>
    <n v="404300"/>
    <n v="66200"/>
    <n v="338100"/>
    <n v="0"/>
    <n v="0"/>
    <n v="89850.625589999996"/>
    <n v="-43882.615305165229"/>
    <n v="29814.093161000001"/>
    <n v="197752.34721000001"/>
    <n v="-12936.644829000001"/>
    <n v="66602.886994196"/>
    <n v="22572.357121943998"/>
    <n v="0"/>
    <n v="34025.817438990001"/>
    <n v="37920.221052000001"/>
    <n v="0"/>
    <n v="9400"/>
    <n v="375800"/>
    <n v="46000"/>
    <n v="431200"/>
    <n v="6.6534751422211227E-2"/>
    <n v="0.99970000000000003"/>
    <n v="1.0088999999999999"/>
    <n v="0.99650000000000005"/>
    <n v="0.98919999999999997"/>
    <n v="0.96040000000000003"/>
    <n v="0.94971499999999998"/>
    <n v="0.90709961275698836"/>
    <n v="375800"/>
    <n v="8900"/>
    <n v="384700"/>
    <n v="43700"/>
    <n v="428400"/>
    <n v="0.1378290446613428"/>
    <n v="-0.33987915407854985"/>
    <n v="5.960920108830077E-2"/>
  </r>
  <r>
    <n v="2025"/>
    <s v="18132344035    "/>
    <n v="-1.5141277326297755"/>
    <n v="0.22"/>
    <n v="9500"/>
    <s v="6"/>
    <s v="RES"/>
    <x v="0"/>
    <s v="11"/>
    <s v="259"/>
    <s v="BG"/>
    <s v="A"/>
    <s v="AV"/>
    <x v="10"/>
    <n v="103"/>
    <n v="58"/>
    <n v="1921"/>
    <n v="1966"/>
    <n v="910"/>
    <n v="455"/>
    <n v="455"/>
    <n v="455"/>
    <m/>
    <m/>
    <n v="1365"/>
    <n v="1500"/>
    <n v="7"/>
    <m/>
    <m/>
    <m/>
    <m/>
    <m/>
    <m/>
    <m/>
    <n v="235480"/>
    <n v="145998"/>
    <n v="5286"/>
    <n v="306100"/>
    <n v="61700"/>
    <n v="244400"/>
    <n v="0"/>
    <n v="0"/>
    <n v="89850.625589999996"/>
    <n v="-47929.131559187132"/>
    <n v="21557.329055999999"/>
    <n v="160472.20319"/>
    <n v="-12936.644829000001"/>
    <n v="44961.88958807"/>
    <n v="20377.822401754998"/>
    <n v="0"/>
    <n v="13232.262337385"/>
    <n v="26544.1547364"/>
    <n v="0"/>
    <n v="5300"/>
    <n v="274200"/>
    <n v="41900"/>
    <n v="321400"/>
    <n v="4.9983665468801043E-2"/>
    <n v="0.99970000000000003"/>
    <n v="1.0067999999999999"/>
    <n v="0.99729999999999996"/>
    <n v="1.0157"/>
    <n v="0.96040000000000003"/>
    <n v="0.94971499999999998"/>
    <n v="0.93020769355655764"/>
    <n v="274200"/>
    <n v="5000"/>
    <n v="279200"/>
    <n v="39800"/>
    <n v="319000"/>
    <n v="0.14238952536824878"/>
    <n v="-0.35494327390599678"/>
    <n v="4.2143090493302844E-2"/>
  </r>
  <r>
    <n v="2025"/>
    <s v="18132313542    "/>
    <n v="-1.3093333199837622"/>
    <n v="0.27"/>
    <n v="11903"/>
    <s v="6"/>
    <s v="RES"/>
    <x v="0"/>
    <s v="11"/>
    <s v="259"/>
    <s v="CL"/>
    <s v="A+"/>
    <s v="FR"/>
    <x v="10"/>
    <n v="103"/>
    <n v="58"/>
    <n v="1921"/>
    <n v="1966"/>
    <n v="1236"/>
    <n v="1088"/>
    <n v="896"/>
    <n v="0"/>
    <n v="896"/>
    <m/>
    <n v="3220"/>
    <n v="3500"/>
    <n v="11"/>
    <m/>
    <m/>
    <n v="192"/>
    <m/>
    <m/>
    <m/>
    <m/>
    <n v="498292"/>
    <n v="298975"/>
    <n v="11709"/>
    <n v="380300"/>
    <n v="68900"/>
    <n v="311400"/>
    <n v="0"/>
    <n v="0"/>
    <n v="89850.625589999996"/>
    <n v="-41446.443120973789"/>
    <n v="29814.093161000001"/>
    <n v="133714.53821"/>
    <n v="-12936.644829000001"/>
    <n v="61069.115967972"/>
    <n v="48727.628072767999"/>
    <n v="0"/>
    <n v="26057.378141311998"/>
    <n v="41712.243157199999"/>
    <n v="6392.7389329920006"/>
    <n v="11700"/>
    <n v="334600"/>
    <n v="48400"/>
    <n v="394700"/>
    <n v="3.7864843544570079E-2"/>
    <n v="0.99970000000000003"/>
    <n v="1.0088999999999999"/>
    <n v="0.99329999999999996"/>
    <n v="1.0126999999999999"/>
    <n v="0.96040000000000003"/>
    <n v="0.94971499999999998"/>
    <n v="0.92566707427419392"/>
    <n v="334600"/>
    <n v="11100"/>
    <n v="345700"/>
    <n v="46000"/>
    <n v="391700"/>
    <n v="0.11014771997430957"/>
    <n v="-0.33236574746008707"/>
    <n v="2.9976334472784645E-2"/>
  </r>
  <r>
    <n v="2025"/>
    <s v="18132242408    "/>
    <n v="-1.5141277326297755"/>
    <n v="0.22"/>
    <n v="9567"/>
    <s v="6"/>
    <s v="RES"/>
    <x v="0"/>
    <s v="11"/>
    <s v="259"/>
    <s v="TD"/>
    <s v="F+"/>
    <s v="AV"/>
    <x v="10"/>
    <n v="103"/>
    <n v="58"/>
    <n v="1921"/>
    <n v="1966"/>
    <n v="881"/>
    <m/>
    <n v="885"/>
    <n v="221"/>
    <n v="664"/>
    <m/>
    <n v="1545"/>
    <n v="2000"/>
    <n v="5"/>
    <m/>
    <m/>
    <m/>
    <m/>
    <m/>
    <m/>
    <m/>
    <n v="197877"/>
    <n v="122684"/>
    <n v="5077"/>
    <n v="277900"/>
    <n v="61700"/>
    <n v="216200"/>
    <n v="0"/>
    <n v="0"/>
    <n v="89850.625589999996"/>
    <n v="-47929.131559187132"/>
    <n v="0"/>
    <n v="160472.20319"/>
    <n v="-12936.644829000001"/>
    <n v="43529.038161637"/>
    <n v="0"/>
    <n v="0"/>
    <n v="25737.477293594999"/>
    <n v="18960.110526"/>
    <n v="0"/>
    <n v="5100"/>
    <n v="235800"/>
    <n v="41900"/>
    <n v="282800"/>
    <n v="1.7632241813602016E-2"/>
    <n v="0.99970000000000003"/>
    <n v="0.99180000000000001"/>
    <n v="0.99729999999999996"/>
    <n v="1.0093000000000001"/>
    <n v="0.96040000000000003"/>
    <n v="0.94971499999999998"/>
    <n v="0.91057483756586888"/>
    <n v="235800"/>
    <n v="4800"/>
    <n v="240600"/>
    <n v="39800"/>
    <n v="280400"/>
    <n v="0.11285846438482887"/>
    <n v="-0.35494327390599678"/>
    <n v="8.9960417416336813E-3"/>
  </r>
  <r>
    <n v="2025"/>
    <s v="18132344472    "/>
    <n v="-1.2039728043259361"/>
    <n v="0.3"/>
    <n v="13068"/>
    <s v="4"/>
    <s v="COM"/>
    <x v="0"/>
    <s v="65"/>
    <s v="332"/>
    <s v="CU"/>
    <s v="V"/>
    <s v="AV"/>
    <x v="10"/>
    <n v="104"/>
    <n v="58"/>
    <n v="1920"/>
    <n v="1966"/>
    <n v="2176"/>
    <n v="728"/>
    <n v="1008"/>
    <n v="408"/>
    <n v="600"/>
    <m/>
    <n v="3504"/>
    <n v="4000"/>
    <n v="14"/>
    <n v="342"/>
    <m/>
    <n v="1216"/>
    <n v="90"/>
    <m/>
    <n v="87"/>
    <m/>
    <n v="841375"/>
    <n v="412274"/>
    <n v="0"/>
    <n v="435200"/>
    <n v="58300"/>
    <n v="376900"/>
    <n v="0"/>
    <n v="0"/>
    <n v="89850.625589999996"/>
    <n v="-38111.29648355169"/>
    <n v="163885.03753"/>
    <n v="160472.20319"/>
    <n v="-12936.644829000001"/>
    <n v="107513.265652352"/>
    <n v="32604.515842807999"/>
    <n v="0"/>
    <n v="29314.550408976"/>
    <n v="53088.3094728"/>
    <n v="40487.346575616"/>
    <n v="0"/>
    <n v="574400"/>
    <n v="51700"/>
    <n v="626100"/>
    <n v="0.43864889705882354"/>
    <n v="0.99970000000000003"/>
    <n v="1"/>
    <n v="0.99729999999999996"/>
    <n v="0.94579999999999997"/>
    <n v="0.96040000000000003"/>
    <n v="0.94971499999999998"/>
    <n v="0.86034091596049311"/>
    <n v="574400"/>
    <n v="0"/>
    <n v="574400"/>
    <n v="49100"/>
    <n v="623500"/>
    <n v="0.52401167418413375"/>
    <n v="-0.15780445969125215"/>
    <n v="0.43267463235294118"/>
  </r>
  <r>
    <n v="2025"/>
    <s v="18131543480    "/>
    <n v="-1.1711829815029451"/>
    <n v="0.31"/>
    <n v="13696"/>
    <s v="3"/>
    <s v="COM"/>
    <x v="0"/>
    <s v="58"/>
    <s v="127"/>
    <s v="CC"/>
    <s v="A"/>
    <s v="FR"/>
    <x v="10"/>
    <n v="104"/>
    <n v="58"/>
    <n v="1920"/>
    <n v="1966"/>
    <n v="1570"/>
    <n v="780"/>
    <n v="800"/>
    <n v="800"/>
    <m/>
    <m/>
    <n v="2350"/>
    <n v="2500"/>
    <n v="8"/>
    <m/>
    <m/>
    <m/>
    <m/>
    <m/>
    <n v="200"/>
    <m/>
    <n v="355806"/>
    <n v="426967"/>
    <n v="7181"/>
    <n v="297550"/>
    <n v="147950"/>
    <n v="149600"/>
    <n v="0"/>
    <n v="0"/>
    <n v="89850.625589999996"/>
    <n v="-37073.347241874442"/>
    <n v="21557.329055999999"/>
    <n v="133714.53821"/>
    <n v="-12936.644829000001"/>
    <n v="77571.611706890006"/>
    <n v="34933.40983158"/>
    <n v="0"/>
    <n v="23265.516197599998"/>
    <n v="30336.176841600001"/>
    <n v="0"/>
    <n v="7200"/>
    <n v="308400"/>
    <n v="52800"/>
    <n v="368400"/>
    <n v="0.23811124180809948"/>
    <n v="0.99970000000000003"/>
    <n v="1.0067999999999999"/>
    <n v="0.99329999999999996"/>
    <n v="0.98919999999999997"/>
    <n v="0.96040000000000003"/>
    <n v="0.94971499999999998"/>
    <n v="0.90230465690269457"/>
    <n v="308400"/>
    <n v="6800"/>
    <n v="315200"/>
    <n v="50100"/>
    <n v="365300"/>
    <n v="1.106951871657754"/>
    <n v="-0.66137208516390678"/>
    <n v="0.22769282473533861"/>
  </r>
  <r>
    <n v="2025"/>
    <s v="18132331426    "/>
    <n v="-1.8971199848858813"/>
    <n v="0.15"/>
    <m/>
    <s v="6"/>
    <s v="RES"/>
    <x v="0"/>
    <s v="11"/>
    <s v="259"/>
    <s v="TD"/>
    <s v="A+"/>
    <s v="VG"/>
    <x v="10"/>
    <n v="104"/>
    <n v="58"/>
    <n v="1920"/>
    <n v="1966"/>
    <n v="1660"/>
    <n v="500"/>
    <n v="300"/>
    <n v="300"/>
    <n v="0"/>
    <m/>
    <n v="2160"/>
    <n v="2500"/>
    <n v="10"/>
    <m/>
    <m/>
    <m/>
    <m/>
    <m/>
    <m/>
    <m/>
    <n v="381618"/>
    <n v="251868"/>
    <n v="642"/>
    <n v="399900"/>
    <n v="48400"/>
    <n v="351500"/>
    <n v="0"/>
    <n v="0"/>
    <n v="89850.625589999996"/>
    <n v="-60052.604136134301"/>
    <n v="29814.093161000001"/>
    <n v="284810.60806"/>
    <n v="-12936.644829000001"/>
    <n v="82018.391995819999"/>
    <n v="22393.2114305"/>
    <n v="0"/>
    <n v="8724.5685740999998"/>
    <n v="37920.221052000001"/>
    <n v="0"/>
    <n v="600"/>
    <n v="452700"/>
    <n v="29800"/>
    <n v="483100"/>
    <n v="0.20805201300325082"/>
    <n v="0.99970000000000003"/>
    <n v="1.0088999999999999"/>
    <n v="1.0158"/>
    <n v="0.98919999999999997"/>
    <n v="0.96040000000000003"/>
    <n v="0.94971499999999998"/>
    <n v="0.92466812507631579"/>
    <n v="452700"/>
    <n v="600"/>
    <n v="453300"/>
    <n v="28300"/>
    <n v="481600"/>
    <n v="0.28961593172119487"/>
    <n v="-0.41528925619834711"/>
    <n v="0.20430107526881722"/>
  </r>
  <r>
    <n v="2025"/>
    <s v="18132331405    "/>
    <n v="-1.6607312068216509"/>
    <n v="0.19"/>
    <n v="8423"/>
    <s v="6"/>
    <s v="RES"/>
    <x v="0"/>
    <s v="11"/>
    <s v="259"/>
    <s v="FH"/>
    <s v="A+"/>
    <s v="VG"/>
    <x v="10"/>
    <n v="104"/>
    <n v="58"/>
    <n v="1920"/>
    <n v="1966"/>
    <n v="1232"/>
    <n v="672"/>
    <n v="540"/>
    <n v="540"/>
    <m/>
    <m/>
    <n v="1904"/>
    <n v="2000"/>
    <n v="10"/>
    <m/>
    <m/>
    <m/>
    <m/>
    <m/>
    <m/>
    <m/>
    <n v="367443"/>
    <n v="242512"/>
    <n v="49731"/>
    <n v="439400"/>
    <n v="56600"/>
    <n v="382800"/>
    <n v="0"/>
    <n v="0"/>
    <n v="89850.625589999996"/>
    <n v="-52569.808201026557"/>
    <n v="29814.093161000001"/>
    <n v="284810.60806"/>
    <n v="-12936.644829000001"/>
    <n v="60871.481288464005"/>
    <n v="30096.476162592"/>
    <n v="0"/>
    <n v="15704.223433379999"/>
    <n v="37920.221052000001"/>
    <n v="0"/>
    <n v="49700"/>
    <n v="446300"/>
    <n v="37300"/>
    <n v="533300"/>
    <n v="0.21370050068274921"/>
    <n v="0.99970000000000003"/>
    <n v="1.0088999999999999"/>
    <n v="1.0158"/>
    <n v="1.0093000000000001"/>
    <n v="0.96040000000000003"/>
    <n v="0.94971499999999998"/>
    <n v="0.94345687286648372"/>
    <n v="446300"/>
    <n v="47200"/>
    <n v="493500"/>
    <n v="35400"/>
    <n v="528900"/>
    <n v="0.28918495297805641"/>
    <n v="-0.37455830388692579"/>
    <n v="0.20368684569868001"/>
  </r>
  <r>
    <n v="2025"/>
    <s v="18132344473    "/>
    <n v="-1.8971199848858813"/>
    <n v="0.15"/>
    <m/>
    <s v="6"/>
    <s v="RES"/>
    <x v="0"/>
    <s v="11"/>
    <s v="259"/>
    <s v="CO"/>
    <s v="A"/>
    <s v="GD"/>
    <x v="10"/>
    <n v="104"/>
    <n v="58"/>
    <n v="1920"/>
    <n v="1966"/>
    <n v="1320"/>
    <m/>
    <n v="1320"/>
    <n v="330"/>
    <n v="990"/>
    <m/>
    <n v="2310"/>
    <n v="2500"/>
    <n v="12"/>
    <m/>
    <m/>
    <m/>
    <m/>
    <m/>
    <m/>
    <m/>
    <n v="318363"/>
    <n v="203752"/>
    <n v="11191"/>
    <n v="329400"/>
    <n v="48400"/>
    <n v="281000"/>
    <n v="0"/>
    <n v="0"/>
    <n v="89850.625589999996"/>
    <n v="-60052.604136134301"/>
    <n v="21557.329055999999"/>
    <n v="197752.34721000001"/>
    <n v="-12936.644829000001"/>
    <n v="65219.444237640004"/>
    <n v="0"/>
    <n v="0"/>
    <n v="38388.101726039997"/>
    <n v="45504.265262400004"/>
    <n v="0"/>
    <n v="11200"/>
    <n v="355500"/>
    <n v="29800"/>
    <n v="396500"/>
    <n v="0.20370370370370369"/>
    <n v="0.99970000000000003"/>
    <n v="1.0067999999999999"/>
    <n v="0.99650000000000005"/>
    <n v="0.98919999999999997"/>
    <n v="0.96040000000000003"/>
    <n v="0.94971499999999998"/>
    <n v="0.90521150770515979"/>
    <n v="355500"/>
    <n v="10600"/>
    <n v="366100"/>
    <n v="28300"/>
    <n v="394400"/>
    <n v="0.30284697508896796"/>
    <n v="-0.41528925619834711"/>
    <n v="0.1973284760170006"/>
  </r>
  <r>
    <n v="2025"/>
    <s v="18132331411    "/>
    <n v="-1.4696759700589417"/>
    <n v="0.23"/>
    <n v="9861"/>
    <s v="6"/>
    <s v="RES"/>
    <x v="0"/>
    <s v="11"/>
    <s v="259"/>
    <s v="CO"/>
    <s v="A+"/>
    <s v="VG"/>
    <x v="10"/>
    <n v="104"/>
    <n v="58"/>
    <n v="1920"/>
    <n v="1966"/>
    <n v="1070"/>
    <n v="644"/>
    <n v="1056"/>
    <n v="0"/>
    <n v="1056"/>
    <m/>
    <n v="2770"/>
    <n v="3000"/>
    <n v="10"/>
    <m/>
    <m/>
    <n v="324"/>
    <m/>
    <m/>
    <m/>
    <m/>
    <n v="419161"/>
    <n v="276646"/>
    <n v="0"/>
    <n v="426300"/>
    <n v="63300"/>
    <n v="363000"/>
    <n v="0"/>
    <n v="0"/>
    <n v="89850.625589999996"/>
    <n v="-46522.028095997222"/>
    <n v="29814.093161000001"/>
    <n v="284810.60806"/>
    <n v="-12936.644829000001"/>
    <n v="52867.276768390002"/>
    <n v="28842.456322483999"/>
    <n v="0"/>
    <n v="30710.481380832"/>
    <n v="37920.221052000001"/>
    <n v="10787.746949424001"/>
    <n v="0"/>
    <n v="462800"/>
    <n v="43300"/>
    <n v="506100"/>
    <n v="0.18719211822660098"/>
    <n v="0.99970000000000003"/>
    <n v="1.0088999999999999"/>
    <n v="1.0158"/>
    <n v="0.96179999999999999"/>
    <n v="0.96040000000000003"/>
    <n v="0.94971499999999998"/>
    <n v="0.89905560321310196"/>
    <n v="462800"/>
    <n v="0"/>
    <n v="462800"/>
    <n v="41100"/>
    <n v="503900"/>
    <n v="0.27493112947658405"/>
    <n v="-0.35071090047393366"/>
    <n v="0.18203143326296037"/>
  </r>
  <r>
    <n v="2025"/>
    <s v="18132344417    "/>
    <n v="-1.8971199848858813"/>
    <n v="0.15"/>
    <m/>
    <s v="6"/>
    <s v="RES"/>
    <x v="0"/>
    <s v="11"/>
    <s v="400"/>
    <s v="BG"/>
    <s v="A"/>
    <s v="GD"/>
    <x v="10"/>
    <n v="104"/>
    <n v="58"/>
    <n v="1920"/>
    <n v="1966"/>
    <n v="1044"/>
    <m/>
    <n v="432"/>
    <n v="432"/>
    <m/>
    <m/>
    <n v="1044"/>
    <n v="1500"/>
    <n v="5"/>
    <n v="198"/>
    <m/>
    <m/>
    <m/>
    <m/>
    <m/>
    <m/>
    <n v="223688"/>
    <n v="143160"/>
    <n v="0"/>
    <n v="282000"/>
    <n v="48400"/>
    <n v="233600"/>
    <n v="0"/>
    <n v="0"/>
    <n v="89850.625589999996"/>
    <n v="-60052.604136134301"/>
    <n v="21557.329055999999"/>
    <n v="197752.34721000001"/>
    <n v="-12936.644829000001"/>
    <n v="51582.651351588"/>
    <n v="0"/>
    <n v="0"/>
    <n v="12563.378746704"/>
    <n v="18960.110526"/>
    <n v="0"/>
    <n v="0"/>
    <n v="289500"/>
    <n v="29800"/>
    <n v="319300"/>
    <n v="0.13226950354609929"/>
    <n v="0.99970000000000003"/>
    <n v="1.0067999999999999"/>
    <n v="0.99650000000000005"/>
    <n v="1.0157"/>
    <n v="0.96040000000000003"/>
    <n v="0.94971499999999998"/>
    <n v="0.92946151271343602"/>
    <n v="289500"/>
    <n v="0"/>
    <n v="289500"/>
    <n v="28300"/>
    <n v="317800"/>
    <n v="0.23929794520547945"/>
    <n v="-0.41528925619834711"/>
    <n v="0.12695035460992907"/>
  </r>
  <r>
    <n v="2025"/>
    <s v="18132332539    "/>
    <n v="-1.6094379124341003"/>
    <n v="0.2"/>
    <m/>
    <s v="6"/>
    <s v="RES"/>
    <x v="0"/>
    <s v="11"/>
    <s v="259"/>
    <s v="CO"/>
    <s v="A+"/>
    <s v="GD"/>
    <x v="10"/>
    <n v="104"/>
    <n v="58"/>
    <n v="1920"/>
    <n v="1966"/>
    <n v="1152"/>
    <n v="1172"/>
    <n v="1136"/>
    <n v="1136"/>
    <m/>
    <m/>
    <n v="2324"/>
    <n v="2500"/>
    <n v="8"/>
    <m/>
    <m/>
    <n v="224"/>
    <m/>
    <m/>
    <m/>
    <m/>
    <n v="406433"/>
    <n v="260117"/>
    <n v="6312"/>
    <n v="390100"/>
    <n v="58400"/>
    <n v="331700"/>
    <n v="0"/>
    <n v="0"/>
    <n v="89850.625589999996"/>
    <n v="-50946.13867709865"/>
    <n v="29814.093161000001"/>
    <n v="197752.34721000001"/>
    <n v="-12936.644829000001"/>
    <n v="56918.787698304004"/>
    <n v="52489.687593092"/>
    <n v="0"/>
    <n v="33037.033000591997"/>
    <n v="30336.176841600001"/>
    <n v="7458.1954218240007"/>
    <n v="6300"/>
    <n v="394900"/>
    <n v="38900"/>
    <n v="440100"/>
    <n v="0.12817226352217381"/>
    <n v="0.99970000000000003"/>
    <n v="1.0088999999999999"/>
    <n v="0.99650000000000005"/>
    <n v="0.98919999999999997"/>
    <n v="0.96040000000000003"/>
    <n v="0.94971499999999998"/>
    <n v="0.90709961275698836"/>
    <n v="394900"/>
    <n v="6000"/>
    <n v="400900"/>
    <n v="36900"/>
    <n v="437800"/>
    <n v="0.20862224902019896"/>
    <n v="-0.36815068493150682"/>
    <n v="0.12227633940015381"/>
  </r>
  <r>
    <n v="2025"/>
    <s v="18132324445    "/>
    <n v="-1.8325814637483102"/>
    <n v="0.16"/>
    <m/>
    <s v="6"/>
    <s v="RES"/>
    <x v="0"/>
    <s v="11"/>
    <s v="259"/>
    <s v="TD"/>
    <s v="A"/>
    <s v="GD"/>
    <x v="10"/>
    <n v="104"/>
    <n v="58"/>
    <n v="1920"/>
    <n v="1966"/>
    <n v="1160"/>
    <m/>
    <n v="580"/>
    <n v="580"/>
    <m/>
    <m/>
    <n v="1160"/>
    <n v="1500"/>
    <n v="5"/>
    <m/>
    <m/>
    <m/>
    <m/>
    <m/>
    <m/>
    <m/>
    <n v="212982"/>
    <n v="136308"/>
    <n v="4419"/>
    <n v="298200"/>
    <n v="50600"/>
    <n v="247600"/>
    <n v="0"/>
    <n v="0"/>
    <n v="89850.625589999996"/>
    <n v="-58009.662049032086"/>
    <n v="21557.329055999999"/>
    <n v="197752.34721000001"/>
    <n v="-12936.644829000001"/>
    <n v="57314.057057320002"/>
    <n v="0"/>
    <n v="0"/>
    <n v="16867.499243259997"/>
    <n v="18960.110526"/>
    <n v="0"/>
    <n v="4400"/>
    <n v="299500"/>
    <n v="31800"/>
    <n v="335700"/>
    <n v="0.12575452716297786"/>
    <n v="0.99970000000000003"/>
    <n v="1.0067999999999999"/>
    <n v="0.99650000000000005"/>
    <n v="1.0157"/>
    <n v="0.96040000000000003"/>
    <n v="0.94971499999999998"/>
    <n v="0.92946151271343602"/>
    <n v="299500"/>
    <n v="4200"/>
    <n v="303700"/>
    <n v="30200"/>
    <n v="333900"/>
    <n v="0.22657512116316639"/>
    <n v="-0.40316205533596838"/>
    <n v="0.11971830985915492"/>
  </r>
  <r>
    <n v="2025"/>
    <s v="18132342440    "/>
    <n v="-1.2729656758128873"/>
    <n v="0.28000000000000003"/>
    <m/>
    <s v="6"/>
    <s v="RES"/>
    <x v="0"/>
    <s v="11"/>
    <s v="259"/>
    <s v="CO"/>
    <s v="A+"/>
    <s v="GD"/>
    <x v="10"/>
    <n v="104"/>
    <n v="58"/>
    <n v="1920"/>
    <n v="1966"/>
    <n v="1866"/>
    <n v="1410"/>
    <n v="1482"/>
    <n v="1482"/>
    <m/>
    <m/>
    <n v="3276"/>
    <n v="3500"/>
    <n v="10"/>
    <m/>
    <n v="384"/>
    <n v="384"/>
    <m/>
    <m/>
    <m/>
    <m/>
    <n v="597256"/>
    <n v="382244"/>
    <n v="0"/>
    <n v="457400"/>
    <n v="70100"/>
    <n v="387300"/>
    <n v="0"/>
    <n v="0"/>
    <n v="89850.625589999996"/>
    <n v="-40295.239319339329"/>
    <n v="29814.093161000001"/>
    <n v="197752.34721000001"/>
    <n v="-12936.644829000001"/>
    <n v="92196.577990482008"/>
    <n v="63148.856234009996"/>
    <n v="0"/>
    <n v="43099.368756053998"/>
    <n v="37920.221052000001"/>
    <n v="12785.477865984001"/>
    <n v="0"/>
    <n v="463800"/>
    <n v="49600"/>
    <n v="513400"/>
    <n v="0.12243113248797552"/>
    <n v="0.99970000000000003"/>
    <n v="1.0088999999999999"/>
    <n v="0.99650000000000005"/>
    <n v="1.0126999999999999"/>
    <n v="0.96040000000000003"/>
    <n v="0.94971499999999998"/>
    <n v="0.92864918908107752"/>
    <n v="463800"/>
    <n v="0"/>
    <n v="463800"/>
    <n v="47100"/>
    <n v="510900"/>
    <n v="0.19752130131680867"/>
    <n v="-0.32810271041369471"/>
    <n v="0.11696545693047661"/>
  </r>
  <r>
    <n v="2025"/>
    <s v="18132341018    "/>
    <n v="-0.9942522733438669"/>
    <n v="0.37"/>
    <m/>
    <s v="6"/>
    <s v="RES"/>
    <x v="0"/>
    <s v="11"/>
    <s v="259"/>
    <s v="CL"/>
    <s v="G+"/>
    <s v="VG"/>
    <x v="10"/>
    <n v="104"/>
    <n v="58"/>
    <n v="1920"/>
    <n v="1966"/>
    <n v="2267"/>
    <n v="1572"/>
    <n v="1600"/>
    <n v="1600"/>
    <m/>
    <m/>
    <n v="3839"/>
    <n v="4000"/>
    <n v="14"/>
    <m/>
    <m/>
    <m/>
    <m/>
    <m/>
    <m/>
    <m/>
    <n v="828525"/>
    <n v="555112"/>
    <n v="47804"/>
    <n v="655300"/>
    <n v="79900"/>
    <n v="575400"/>
    <n v="0"/>
    <n v="0"/>
    <n v="89850.625589999996"/>
    <n v="-31472.673662315807"/>
    <n v="74268.409664999999"/>
    <n v="284810.60806"/>
    <n v="-12936.644829000001"/>
    <n v="112009.454611159"/>
    <n v="70404.256737492004"/>
    <n v="0"/>
    <n v="46531.032395199996"/>
    <n v="53088.3094728"/>
    <n v="0"/>
    <n v="47800"/>
    <n v="628200"/>
    <n v="58400"/>
    <n v="734400"/>
    <n v="0.12070807263848619"/>
    <n v="0.99970000000000003"/>
    <n v="0.98380000000000001"/>
    <n v="1.0158"/>
    <n v="0.94579999999999997"/>
    <n v="0.96040000000000003"/>
    <n v="0.94971499999999998"/>
    <n v="0.86210424820340892"/>
    <n v="628200"/>
    <n v="45400"/>
    <n v="673600"/>
    <n v="55400"/>
    <n v="729000"/>
    <n v="0.17066388599235316"/>
    <n v="-0.30663329161451813"/>
    <n v="0.11246757210437967"/>
  </r>
  <r>
    <n v="2025"/>
    <s v="18132344044    "/>
    <n v="-1.3862943611198906"/>
    <n v="0.25"/>
    <n v="10751"/>
    <s v="6"/>
    <s v="RES"/>
    <x v="0"/>
    <s v="11"/>
    <s v="259"/>
    <s v="CO"/>
    <s v="A+"/>
    <s v="GD"/>
    <x v="10"/>
    <n v="104"/>
    <n v="58"/>
    <n v="1920"/>
    <n v="1966"/>
    <n v="770"/>
    <n v="792"/>
    <n v="770"/>
    <n v="539"/>
    <n v="231"/>
    <m/>
    <n v="1793"/>
    <n v="2000"/>
    <n v="8"/>
    <m/>
    <m/>
    <n v="404"/>
    <m/>
    <m/>
    <m/>
    <m/>
    <n v="341716"/>
    <n v="218698"/>
    <n v="8886"/>
    <n v="365900"/>
    <n v="66200"/>
    <n v="299700"/>
    <n v="0"/>
    <n v="0"/>
    <n v="89850.625589999996"/>
    <n v="-43882.615305165229"/>
    <n v="29814.093161000001"/>
    <n v="197752.34721000001"/>
    <n v="-12936.644829000001"/>
    <n v="38044.675805290004"/>
    <n v="35470.846905911996"/>
    <n v="0"/>
    <n v="22393.059340190001"/>
    <n v="30336.176841600001"/>
    <n v="13451.388171504001"/>
    <n v="8900"/>
    <n v="354300"/>
    <n v="46000"/>
    <n v="409200"/>
    <n v="0.1183383438097841"/>
    <n v="0.99970000000000003"/>
    <n v="1.0088999999999999"/>
    <n v="0.99650000000000005"/>
    <n v="1.0093000000000001"/>
    <n v="0.96040000000000003"/>
    <n v="0.94971499999999998"/>
    <n v="0.92553137803844354"/>
    <n v="354300"/>
    <n v="8400"/>
    <n v="362700"/>
    <n v="43700"/>
    <n v="406400"/>
    <n v="0.21021021021021022"/>
    <n v="-0.33987915407854985"/>
    <n v="0.11068597977589505"/>
  </r>
  <r>
    <n v="2025"/>
    <s v="18132331423    "/>
    <n v="-1.8971199848858813"/>
    <n v="0.15"/>
    <m/>
    <s v="6"/>
    <s v="RES"/>
    <x v="0"/>
    <s v="11"/>
    <s v="259"/>
    <s v="TD"/>
    <s v="F+"/>
    <s v="GD"/>
    <x v="10"/>
    <n v="104"/>
    <n v="58"/>
    <n v="1920"/>
    <n v="1966"/>
    <n v="988"/>
    <m/>
    <n v="650"/>
    <n v="650"/>
    <m/>
    <m/>
    <n v="988"/>
    <n v="1000"/>
    <n v="5"/>
    <m/>
    <m/>
    <m/>
    <m/>
    <m/>
    <m/>
    <m/>
    <n v="179421"/>
    <n v="114829"/>
    <n v="4598"/>
    <n v="274100"/>
    <n v="48400"/>
    <n v="225700"/>
    <n v="0"/>
    <n v="0"/>
    <n v="89850.625589999996"/>
    <n v="-60052.604136134301"/>
    <n v="0"/>
    <n v="197752.34721000001"/>
    <n v="-12936.644829000001"/>
    <n v="48815.765838476"/>
    <n v="0"/>
    <n v="0"/>
    <n v="18903.231910549999"/>
    <n v="18960.110526"/>
    <n v="0"/>
    <n v="4600"/>
    <n v="271500"/>
    <n v="29800"/>
    <n v="305900"/>
    <n v="0.11601605253557096"/>
    <n v="0.99970000000000003"/>
    <n v="0.99180000000000001"/>
    <n v="0.99650000000000005"/>
    <n v="1.0148999999999999"/>
    <n v="0.96040000000000003"/>
    <n v="0.94971499999999998"/>
    <n v="0.91489258612078095"/>
    <n v="271500"/>
    <n v="4400"/>
    <n v="275900"/>
    <n v="28300"/>
    <n v="304200"/>
    <n v="0.22241914045192734"/>
    <n v="-0.41528925619834711"/>
    <n v="0.10981393651951843"/>
  </r>
  <r>
    <n v="2025"/>
    <s v="18132324443    "/>
    <n v="-1.8325814637483102"/>
    <n v="0.16"/>
    <m/>
    <s v="6"/>
    <s v="RES"/>
    <x v="0"/>
    <s v="11"/>
    <s v="259"/>
    <s v="BG"/>
    <s v="A"/>
    <s v="GD"/>
    <x v="10"/>
    <n v="104"/>
    <n v="58"/>
    <n v="1920"/>
    <n v="1966"/>
    <n v="1280"/>
    <m/>
    <n v="864"/>
    <n v="864"/>
    <m/>
    <m/>
    <n v="1280"/>
    <n v="1500"/>
    <n v="5"/>
    <m/>
    <m/>
    <m/>
    <m/>
    <m/>
    <m/>
    <m/>
    <n v="248657"/>
    <n v="159140"/>
    <n v="32609"/>
    <n v="339900"/>
    <n v="50600"/>
    <n v="289300"/>
    <n v="0"/>
    <n v="0"/>
    <n v="89850.625589999996"/>
    <n v="-58009.662049032086"/>
    <n v="21557.329055999999"/>
    <n v="197752.34721000001"/>
    <n v="-12936.644829000001"/>
    <n v="63243.09744256"/>
    <n v="0"/>
    <n v="0"/>
    <n v="25126.757493408"/>
    <n v="18960.110526"/>
    <n v="0"/>
    <n v="32600"/>
    <n v="313700"/>
    <n v="31800"/>
    <n v="378100"/>
    <n v="0.11238599588114151"/>
    <n v="0.99970000000000003"/>
    <n v="1.0067999999999999"/>
    <n v="0.99650000000000005"/>
    <n v="1.0157"/>
    <n v="0.96040000000000003"/>
    <n v="0.94971499999999998"/>
    <n v="0.92946151271343602"/>
    <n v="313700"/>
    <n v="31000"/>
    <n v="344700"/>
    <n v="30200"/>
    <n v="374900"/>
    <n v="0.1914967162115451"/>
    <n v="-0.40316205533596838"/>
    <n v="0.10297146219476316"/>
  </r>
  <r>
    <n v="2025"/>
    <s v="18132332469    "/>
    <n v="-1.5141277326297755"/>
    <n v="0.22"/>
    <n v="9741"/>
    <s v="6"/>
    <s v="RES"/>
    <x v="0"/>
    <s v="11"/>
    <s v="259"/>
    <s v="BG"/>
    <s v="A"/>
    <s v="GD"/>
    <x v="10"/>
    <n v="104"/>
    <n v="58"/>
    <n v="1920"/>
    <n v="1966"/>
    <n v="1192"/>
    <m/>
    <n v="895"/>
    <n v="895"/>
    <m/>
    <m/>
    <n v="1192"/>
    <n v="1500"/>
    <n v="6"/>
    <m/>
    <m/>
    <m/>
    <m/>
    <m/>
    <m/>
    <m/>
    <n v="241809"/>
    <n v="154758"/>
    <n v="6724"/>
    <n v="328200"/>
    <n v="61700"/>
    <n v="266500"/>
    <n v="0"/>
    <n v="0"/>
    <n v="89850.625589999996"/>
    <n v="-47929.131559187132"/>
    <n v="21557.329055999999"/>
    <n v="197752.34721000001"/>
    <n v="-12936.644829000001"/>
    <n v="58895.134493384001"/>
    <n v="0"/>
    <n v="0"/>
    <n v="26028.296246064998"/>
    <n v="22752.132631200002"/>
    <n v="0"/>
    <n v="6700"/>
    <n v="314000"/>
    <n v="41900"/>
    <n v="362600"/>
    <n v="0.1048141377209019"/>
    <n v="0.99970000000000003"/>
    <n v="1.0067999999999999"/>
    <n v="0.99650000000000005"/>
    <n v="1.0157"/>
    <n v="0.96040000000000003"/>
    <n v="0.94971499999999998"/>
    <n v="0.92946151271343602"/>
    <n v="314000"/>
    <n v="6400"/>
    <n v="320400"/>
    <n v="39800"/>
    <n v="360200"/>
    <n v="0.20225140712945591"/>
    <n v="-0.35494327390599678"/>
    <n v="9.7501523461304085E-2"/>
  </r>
  <r>
    <n v="2025"/>
    <s v="18132331435    "/>
    <n v="-1.8971199848858813"/>
    <n v="0.15"/>
    <m/>
    <s v="6"/>
    <s v="RES"/>
    <x v="0"/>
    <s v="11"/>
    <s v="259"/>
    <s v="TD"/>
    <s v="A"/>
    <s v="AV"/>
    <x v="10"/>
    <n v="104"/>
    <n v="58"/>
    <n v="1920"/>
    <n v="1966"/>
    <n v="1494"/>
    <m/>
    <n v="1080"/>
    <n v="1080"/>
    <m/>
    <m/>
    <n v="1494"/>
    <n v="1500"/>
    <n v="5"/>
    <m/>
    <m/>
    <m/>
    <m/>
    <m/>
    <m/>
    <m/>
    <n v="265886"/>
    <n v="164849"/>
    <n v="6957"/>
    <n v="300400"/>
    <n v="48400"/>
    <n v="252000"/>
    <n v="0"/>
    <n v="0"/>
    <n v="89850.625589999996"/>
    <n v="-60052.604136134301"/>
    <n v="21557.329055999999"/>
    <n v="160472.20319"/>
    <n v="-12936.644829000001"/>
    <n v="73816.552796238"/>
    <n v="0"/>
    <n v="0"/>
    <n v="31408.446866759998"/>
    <n v="18960.110526"/>
    <n v="0"/>
    <n v="7000"/>
    <n v="293300"/>
    <n v="29800"/>
    <n v="330100"/>
    <n v="9.8868175765645799E-2"/>
    <n v="0.99970000000000003"/>
    <n v="1.0067999999999999"/>
    <n v="0.99729999999999996"/>
    <n v="1.0157"/>
    <n v="0.96040000000000003"/>
    <n v="0.94971499999999998"/>
    <n v="0.93020769355655764"/>
    <n v="293300"/>
    <n v="6600"/>
    <n v="299900"/>
    <n v="28300"/>
    <n v="328200"/>
    <n v="0.19007936507936507"/>
    <n v="-0.41528925619834711"/>
    <n v="9.2543275632490013E-2"/>
  </r>
  <r>
    <n v="2025"/>
    <s v="18132334011    "/>
    <n v="-1.6094379124341003"/>
    <n v="0.2"/>
    <m/>
    <s v="6"/>
    <s v="RES"/>
    <x v="0"/>
    <s v="11"/>
    <s v="259"/>
    <s v="BG"/>
    <s v="A"/>
    <s v="GD"/>
    <x v="10"/>
    <n v="104"/>
    <n v="58"/>
    <n v="1920"/>
    <n v="1966"/>
    <n v="1102"/>
    <m/>
    <n v="1102"/>
    <n v="902"/>
    <n v="200"/>
    <m/>
    <n v="1302"/>
    <n v="1500"/>
    <n v="8"/>
    <m/>
    <m/>
    <m/>
    <m/>
    <m/>
    <m/>
    <m/>
    <n v="247852"/>
    <n v="158625"/>
    <n v="3195"/>
    <n v="332800"/>
    <n v="58400"/>
    <n v="274400"/>
    <n v="0"/>
    <n v="0"/>
    <n v="89850.625589999996"/>
    <n v="-50946.13867709865"/>
    <n v="21557.329055999999"/>
    <n v="197752.34721000001"/>
    <n v="-12936.644829000001"/>
    <n v="54448.354204454001"/>
    <n v="0"/>
    <n v="0"/>
    <n v="32048.248562194"/>
    <n v="30336.176841600001"/>
    <n v="0"/>
    <n v="3200"/>
    <n v="323200"/>
    <n v="38900"/>
    <n v="365300"/>
    <n v="9.765625E-2"/>
    <n v="0.99970000000000003"/>
    <n v="1.0067999999999999"/>
    <n v="0.99650000000000005"/>
    <n v="1.0157"/>
    <n v="0.96040000000000003"/>
    <n v="0.94971499999999998"/>
    <n v="0.92946151271343602"/>
    <n v="323200"/>
    <n v="3000"/>
    <n v="326200"/>
    <n v="36900"/>
    <n v="363100"/>
    <n v="0.18877551020408162"/>
    <n v="-0.36815068493150682"/>
    <n v="9.1045673076923073E-2"/>
  </r>
  <r>
    <n v="2025"/>
    <s v="18132344449    "/>
    <n v="-1.8971199848858813"/>
    <n v="0.15"/>
    <n v="6500"/>
    <s v="6"/>
    <s v="RES"/>
    <x v="0"/>
    <s v="11"/>
    <s v="259"/>
    <s v="TD"/>
    <s v="A"/>
    <s v="AV"/>
    <x v="10"/>
    <n v="104"/>
    <n v="58"/>
    <n v="1920"/>
    <n v="1966"/>
    <n v="960"/>
    <m/>
    <n v="144"/>
    <n v="144"/>
    <m/>
    <m/>
    <n v="960"/>
    <n v="1000"/>
    <n v="7"/>
    <m/>
    <m/>
    <n v="224"/>
    <m/>
    <m/>
    <m/>
    <m/>
    <n v="185797"/>
    <n v="115194"/>
    <n v="25357"/>
    <n v="281900"/>
    <n v="48400"/>
    <n v="233500"/>
    <n v="0"/>
    <n v="0"/>
    <n v="89850.625589999996"/>
    <n v="-60052.604136134301"/>
    <n v="21557.329055999999"/>
    <n v="160472.20319"/>
    <n v="-12936.644829000001"/>
    <n v="47432.323081920003"/>
    <n v="0"/>
    <n v="0"/>
    <n v="4187.7929155679994"/>
    <n v="26544.1547364"/>
    <n v="7458.1954218240007"/>
    <n v="25400"/>
    <n v="254700"/>
    <n v="29800"/>
    <n v="309900"/>
    <n v="9.9326002128414331E-2"/>
    <n v="0.99970000000000003"/>
    <n v="1.0067999999999999"/>
    <n v="0.99729999999999996"/>
    <n v="1.0148999999999999"/>
    <n v="0.96040000000000003"/>
    <n v="0.94971499999999998"/>
    <n v="0.92947503021615663"/>
    <n v="254700"/>
    <n v="24100"/>
    <n v="278800"/>
    <n v="28300"/>
    <n v="307100"/>
    <n v="0.19400428265524625"/>
    <n v="-0.41528925619834711"/>
    <n v="8.9393401915572893E-2"/>
  </r>
  <r>
    <n v="2025"/>
    <s v="18132344428    "/>
    <n v="-1.8971199848858813"/>
    <n v="0.15"/>
    <m/>
    <s v="6"/>
    <s v="RES"/>
    <x v="0"/>
    <s v="11"/>
    <s v="259"/>
    <s v="BG"/>
    <s v="A"/>
    <s v="AV"/>
    <x v="10"/>
    <n v="104"/>
    <n v="58"/>
    <n v="1920"/>
    <n v="1966"/>
    <n v="1302"/>
    <m/>
    <n v="1302"/>
    <n v="1302"/>
    <m/>
    <m/>
    <n v="1302"/>
    <n v="1500"/>
    <n v="7"/>
    <m/>
    <m/>
    <m/>
    <m/>
    <m/>
    <m/>
    <m/>
    <n v="260704"/>
    <n v="161636"/>
    <n v="6724"/>
    <n v="305500"/>
    <n v="48400"/>
    <n v="257100"/>
    <n v="0"/>
    <n v="0"/>
    <n v="89850.625589999996"/>
    <n v="-60052.604136134301"/>
    <n v="21557.329055999999"/>
    <n v="160472.20319"/>
    <n v="-12936.644829000001"/>
    <n v="64330.088179853999"/>
    <n v="0"/>
    <n v="0"/>
    <n v="37864.627611593998"/>
    <n v="26544.1547364"/>
    <n v="0"/>
    <n v="6700"/>
    <n v="297800"/>
    <n v="29800"/>
    <n v="334300"/>
    <n v="9.4271685761047469E-2"/>
    <n v="0.99970000000000003"/>
    <n v="1.0067999999999999"/>
    <n v="0.99729999999999996"/>
    <n v="1.0157"/>
    <n v="0.96040000000000003"/>
    <n v="0.94971499999999998"/>
    <n v="0.93020769355655764"/>
    <n v="297800"/>
    <n v="6400"/>
    <n v="304200"/>
    <n v="28300"/>
    <n v="332500"/>
    <n v="0.18319719953325556"/>
    <n v="-0.41528925619834711"/>
    <n v="8.8379705400982E-2"/>
  </r>
  <r>
    <n v="2025"/>
    <s v="18132242419    "/>
    <n v="-1.4271163556401458"/>
    <n v="0.24"/>
    <m/>
    <s v="6"/>
    <s v="RES"/>
    <x v="0"/>
    <s v="11"/>
    <s v="259"/>
    <s v="TD"/>
    <s v="F+"/>
    <s v="GD"/>
    <x v="10"/>
    <n v="104"/>
    <n v="58"/>
    <n v="1920"/>
    <n v="1966"/>
    <n v="1113"/>
    <m/>
    <n v="847"/>
    <n v="847"/>
    <m/>
    <m/>
    <n v="1113"/>
    <n v="1500"/>
    <n v="8"/>
    <m/>
    <m/>
    <m/>
    <m/>
    <m/>
    <m/>
    <m/>
    <n v="214326"/>
    <n v="137169"/>
    <n v="1215"/>
    <n v="311300"/>
    <n v="64800"/>
    <n v="246500"/>
    <n v="0"/>
    <n v="0"/>
    <n v="89850.625589999996"/>
    <n v="-45174.819855485119"/>
    <n v="0"/>
    <n v="197752.34721000001"/>
    <n v="-12936.644829000001"/>
    <n v="54991.849573101004"/>
    <n v="0"/>
    <n v="0"/>
    <n v="24632.365274208998"/>
    <n v="30336.176841600001"/>
    <n v="0"/>
    <n v="1200"/>
    <n v="294800"/>
    <n v="44700"/>
    <n v="340700"/>
    <n v="9.4442659813684549E-2"/>
    <n v="0.99970000000000003"/>
    <n v="0.99180000000000001"/>
    <n v="0.99650000000000005"/>
    <n v="1.0157"/>
    <n v="0.96040000000000003"/>
    <n v="0.94971499999999998"/>
    <n v="0.91561375477670459"/>
    <n v="294800"/>
    <n v="1200"/>
    <n v="296000"/>
    <n v="42400"/>
    <n v="338400"/>
    <n v="0.20081135902636918"/>
    <n v="-0.34567901234567899"/>
    <n v="8.7054288467716026E-2"/>
  </r>
  <r>
    <n v="2025"/>
    <s v="18132243024    "/>
    <n v="-1.7147984280919266"/>
    <n v="0.18"/>
    <n v="7837"/>
    <s v="6"/>
    <s v="RES"/>
    <x v="0"/>
    <s v="11"/>
    <s v="259"/>
    <s v="CO"/>
    <s v="A"/>
    <s v="GD"/>
    <x v="10"/>
    <n v="104"/>
    <n v="58"/>
    <n v="1920"/>
    <n v="1966"/>
    <n v="1133"/>
    <n v="450"/>
    <n v="1133"/>
    <n v="0"/>
    <n v="1133"/>
    <m/>
    <n v="2716"/>
    <n v="3000"/>
    <n v="8"/>
    <m/>
    <m/>
    <n v="506"/>
    <m/>
    <m/>
    <m/>
    <m/>
    <n v="337102"/>
    <n v="215745"/>
    <n v="0"/>
    <n v="365400"/>
    <n v="54700"/>
    <n v="310700"/>
    <n v="0"/>
    <n v="0"/>
    <n v="89850.625589999996"/>
    <n v="-54281.285314520763"/>
    <n v="21557.329055999999"/>
    <n v="197752.34721000001"/>
    <n v="-12936.644829000001"/>
    <n v="55980.022970641003"/>
    <n v="20153.890287449998"/>
    <n v="0"/>
    <n v="32949.787314850997"/>
    <n v="30336.176841600001"/>
    <n v="16847.530729656002"/>
    <n v="0"/>
    <n v="362600"/>
    <n v="35600"/>
    <n v="398200"/>
    <n v="8.9764641488779426E-2"/>
    <n v="0.99970000000000003"/>
    <n v="1.0067999999999999"/>
    <n v="0.99650000000000005"/>
    <n v="0.96179999999999999"/>
    <n v="0.96040000000000003"/>
    <n v="0.94971499999999998"/>
    <n v="0.88013791762113103"/>
    <n v="362600"/>
    <n v="0"/>
    <n v="362600"/>
    <n v="33800"/>
    <n v="396400"/>
    <n v="0.16704216285806245"/>
    <n v="-0.38208409506398539"/>
    <n v="8.4838533114395182E-2"/>
  </r>
  <r>
    <n v="2025"/>
    <s v="18132331023    "/>
    <n v="-1.3862943611198906"/>
    <n v="0.25"/>
    <m/>
    <s v="6"/>
    <s v="RES"/>
    <x v="0"/>
    <s v="11"/>
    <s v="259"/>
    <s v="FH"/>
    <s v="A+"/>
    <s v="GD"/>
    <x v="10"/>
    <n v="104"/>
    <n v="58"/>
    <n v="1920"/>
    <n v="1966"/>
    <n v="956"/>
    <n v="1002"/>
    <n v="336"/>
    <n v="336"/>
    <m/>
    <m/>
    <n v="1958"/>
    <n v="2000"/>
    <n v="7"/>
    <m/>
    <m/>
    <n v="66"/>
    <m/>
    <m/>
    <m/>
    <m/>
    <n v="379009"/>
    <n v="242566"/>
    <n v="8156"/>
    <n v="366300"/>
    <n v="66200"/>
    <n v="300100"/>
    <n v="0"/>
    <n v="0"/>
    <n v="89850.625589999996"/>
    <n v="-43882.615305165229"/>
    <n v="29814.093161000001"/>
    <n v="197752.34721000001"/>
    <n v="-12936.644829000001"/>
    <n v="47234.688402412001"/>
    <n v="44875.995706721995"/>
    <n v="0"/>
    <n v="9771.5168029919987"/>
    <n v="26544.1547364"/>
    <n v="2197.5040082160003"/>
    <n v="8200"/>
    <n v="345300"/>
    <n v="46000"/>
    <n v="399500"/>
    <n v="9.0636090636090641E-2"/>
    <n v="0.99970000000000003"/>
    <n v="1.0088999999999999"/>
    <n v="0.99650000000000005"/>
    <n v="1.0093000000000001"/>
    <n v="0.96040000000000003"/>
    <n v="0.94971499999999998"/>
    <n v="0.92553137803844354"/>
    <n v="345300"/>
    <n v="7700"/>
    <n v="353000"/>
    <n v="43700"/>
    <n v="396700"/>
    <n v="0.17627457514161946"/>
    <n v="-0.33987915407854985"/>
    <n v="8.2992082992082994E-2"/>
  </r>
  <r>
    <n v="2025"/>
    <s v="18132324446    "/>
    <n v="-1.8325814637483102"/>
    <n v="0.16"/>
    <m/>
    <s v="6"/>
    <s v="RES"/>
    <x v="0"/>
    <s v="11"/>
    <s v="259"/>
    <s v="BG"/>
    <s v="A"/>
    <s v="GD"/>
    <x v="10"/>
    <n v="104"/>
    <n v="58"/>
    <n v="1920"/>
    <n v="1966"/>
    <n v="987"/>
    <m/>
    <n v="494"/>
    <n v="0"/>
    <n v="494"/>
    <m/>
    <n v="1481"/>
    <n v="1500"/>
    <n v="5"/>
    <m/>
    <m/>
    <m/>
    <m/>
    <m/>
    <m/>
    <m/>
    <n v="214682"/>
    <n v="137396"/>
    <n v="6988"/>
    <n v="300400"/>
    <n v="50600"/>
    <n v="249800"/>
    <n v="0"/>
    <n v="0"/>
    <n v="89850.625589999996"/>
    <n v="-58009.662049032086"/>
    <n v="21557.329055999999"/>
    <n v="197752.34721000001"/>
    <n v="-12936.644829000001"/>
    <n v="48766.357168599003"/>
    <n v="0"/>
    <n v="0"/>
    <n v="14366.456252017999"/>
    <n v="18960.110526"/>
    <n v="0"/>
    <n v="7000"/>
    <n v="288500"/>
    <n v="31800"/>
    <n v="327300"/>
    <n v="8.9547270306258323E-2"/>
    <n v="0.99970000000000003"/>
    <n v="1.0067999999999999"/>
    <n v="0.99650000000000005"/>
    <n v="1.0157"/>
    <n v="0.96040000000000003"/>
    <n v="0.94971499999999998"/>
    <n v="0.92946151271343602"/>
    <n v="288500"/>
    <n v="6600"/>
    <n v="295100"/>
    <n v="30200"/>
    <n v="325300"/>
    <n v="0.18134507606084868"/>
    <n v="-0.40316205533596838"/>
    <n v="8.2889480692410117E-2"/>
  </r>
  <r>
    <n v="2025"/>
    <s v="18132341408    "/>
    <n v="-0.89159811928378363"/>
    <n v="0.41"/>
    <n v="17946"/>
    <s v="6"/>
    <s v="RES"/>
    <x v="0"/>
    <s v="11"/>
    <s v="259"/>
    <s v="BG"/>
    <s v="G"/>
    <s v="GD"/>
    <x v="10"/>
    <n v="104"/>
    <n v="58"/>
    <n v="1920"/>
    <n v="1966"/>
    <n v="1653"/>
    <n v="962"/>
    <n v="1184"/>
    <n v="0"/>
    <n v="1184"/>
    <m/>
    <n v="3799"/>
    <n v="4000"/>
    <n v="14"/>
    <m/>
    <m/>
    <n v="646"/>
    <m/>
    <m/>
    <m/>
    <m/>
    <n v="650316"/>
    <n v="416202"/>
    <n v="54494"/>
    <n v="529200"/>
    <n v="83400"/>
    <n v="445800"/>
    <n v="0"/>
    <n v="0"/>
    <n v="89850.625589999996"/>
    <n v="-28223.195861326454"/>
    <n v="44121.038090000002"/>
    <n v="197752.34721000001"/>
    <n v="-12936.644829000001"/>
    <n v="81672.531306681005"/>
    <n v="43084.538792282001"/>
    <n v="0"/>
    <n v="34432.963972448"/>
    <n v="53088.3094728"/>
    <n v="21508.902868296002"/>
    <n v="54500"/>
    <n v="462700"/>
    <n v="61600"/>
    <n v="578800"/>
    <n v="9.3726379440665156E-2"/>
    <n v="0.99970000000000003"/>
    <n v="0.98050000000000004"/>
    <n v="0.99650000000000005"/>
    <n v="0.94579999999999997"/>
    <n v="0.96040000000000003"/>
    <n v="0.94971499999999998"/>
    <n v="0.84288758965297927"/>
    <n v="462700"/>
    <n v="51800"/>
    <n v="514500"/>
    <n v="58500"/>
    <n v="573000"/>
    <n v="0.1541049798115747"/>
    <n v="-0.29856115107913667"/>
    <n v="8.2766439909297052E-2"/>
  </r>
  <r>
    <n v="2025"/>
    <s v="18132332430    "/>
    <n v="-2.0402208285265546"/>
    <n v="0.13"/>
    <m/>
    <s v="6"/>
    <s v="RES"/>
    <x v="0"/>
    <s v="11"/>
    <s v="259"/>
    <s v="BG"/>
    <s v="A"/>
    <s v="GD"/>
    <x v="10"/>
    <n v="104"/>
    <n v="58"/>
    <n v="1920"/>
    <n v="1966"/>
    <n v="1296"/>
    <n v="377"/>
    <n v="1192"/>
    <n v="0"/>
    <n v="1192"/>
    <m/>
    <n v="2865"/>
    <n v="3000"/>
    <n v="10"/>
    <m/>
    <m/>
    <n v="348"/>
    <m/>
    <m/>
    <m/>
    <m/>
    <n v="356372"/>
    <n v="228078"/>
    <n v="6542"/>
    <n v="371400"/>
    <n v="43400"/>
    <n v="328000"/>
    <n v="0"/>
    <n v="0"/>
    <n v="89850.625589999996"/>
    <n v="-64582.406353792743"/>
    <n v="21557.329055999999"/>
    <n v="197752.34721000001"/>
    <n v="-12936.644829000001"/>
    <n v="64033.636160592003"/>
    <n v="16884.481418596999"/>
    <n v="0"/>
    <n v="34665.619134424"/>
    <n v="37920.221052000001"/>
    <n v="11586.839316048001"/>
    <n v="6500"/>
    <n v="371500"/>
    <n v="25300"/>
    <n v="403300"/>
    <n v="8.5891222401723213E-2"/>
    <n v="0.99970000000000003"/>
    <n v="1.0067999999999999"/>
    <n v="0.99650000000000005"/>
    <n v="0.96179999999999999"/>
    <n v="0.96040000000000003"/>
    <n v="0.94971499999999998"/>
    <n v="0.88013791762113103"/>
    <n v="371500"/>
    <n v="6200"/>
    <n v="377700"/>
    <n v="24000"/>
    <n v="401700"/>
    <n v="0.15152439024390243"/>
    <n v="-0.44700460829493088"/>
    <n v="8.1583198707592897E-2"/>
  </r>
  <r>
    <n v="2025"/>
    <s v="18132344434    "/>
    <n v="-1.8971199848858813"/>
    <n v="0.15"/>
    <m/>
    <s v="6"/>
    <s v="RES"/>
    <x v="0"/>
    <s v="11"/>
    <s v="259"/>
    <s v="BG"/>
    <s v="F+"/>
    <s v="GD"/>
    <x v="10"/>
    <n v="104"/>
    <n v="58"/>
    <n v="1920"/>
    <n v="1966"/>
    <n v="736"/>
    <m/>
    <n v="72"/>
    <n v="0"/>
    <n v="72"/>
    <m/>
    <n v="808"/>
    <n v="1000"/>
    <n v="6"/>
    <m/>
    <m/>
    <m/>
    <m/>
    <m/>
    <m/>
    <m/>
    <n v="126308"/>
    <n v="80837"/>
    <n v="9040"/>
    <n v="261600"/>
    <n v="48400"/>
    <n v="213200"/>
    <n v="0"/>
    <n v="0"/>
    <n v="89850.625589999996"/>
    <n v="-60052.604136134301"/>
    <n v="0"/>
    <n v="197752.34721000001"/>
    <n v="-12936.644829000001"/>
    <n v="36364.781029472004"/>
    <n v="0"/>
    <n v="0"/>
    <n v="2093.8964577839997"/>
    <n v="22752.132631200002"/>
    <n v="0"/>
    <n v="9000"/>
    <n v="246000"/>
    <n v="29800"/>
    <n v="284800"/>
    <n v="8.8685015290519878E-2"/>
    <n v="0.99970000000000003"/>
    <n v="0.99180000000000001"/>
    <n v="0.99650000000000005"/>
    <n v="1.0148999999999999"/>
    <n v="0.96040000000000003"/>
    <n v="0.94971499999999998"/>
    <n v="0.91489258612078095"/>
    <n v="246000"/>
    <n v="8600"/>
    <n v="254600"/>
    <n v="28300"/>
    <n v="282900"/>
    <n v="0.19418386491557224"/>
    <n v="-0.41528925619834711"/>
    <n v="8.1422018348623851E-2"/>
  </r>
  <r>
    <n v="2025"/>
    <s v="18132214043    "/>
    <n v="-1.1394342831883648"/>
    <n v="0.32"/>
    <n v="13772"/>
    <s v="6"/>
    <s v="RES"/>
    <x v="0"/>
    <s v="11"/>
    <s v="259"/>
    <s v="FH"/>
    <s v="A"/>
    <s v="AV"/>
    <x v="10"/>
    <n v="104"/>
    <n v="58"/>
    <n v="1920"/>
    <n v="1966"/>
    <n v="972"/>
    <n v="780"/>
    <m/>
    <n v="0"/>
    <m/>
    <m/>
    <n v="1752"/>
    <n v="2000"/>
    <n v="9"/>
    <m/>
    <m/>
    <n v="432"/>
    <m/>
    <m/>
    <m/>
    <m/>
    <n v="270144"/>
    <n v="167489"/>
    <n v="0"/>
    <n v="325300"/>
    <n v="74800"/>
    <n v="250500"/>
    <n v="0"/>
    <n v="0"/>
    <n v="89850.625589999996"/>
    <n v="-36068.354396449467"/>
    <n v="21557.329055999999"/>
    <n v="160472.20319"/>
    <n v="-12936.644829000001"/>
    <n v="48025.227120444004"/>
    <n v="34933.40983158"/>
    <n v="0"/>
    <n v="0"/>
    <n v="34128.198946800003"/>
    <n v="14383.662599232001"/>
    <n v="0"/>
    <n v="300600"/>
    <n v="53800"/>
    <n v="354400"/>
    <n v="8.9455886873655091E-2"/>
    <n v="0.99970000000000003"/>
    <n v="1.0067999999999999"/>
    <n v="0.99729999999999996"/>
    <n v="1.0093000000000001"/>
    <n v="0.96040000000000003"/>
    <n v="0.94971499999999998"/>
    <n v="0.92434638683335013"/>
    <n v="300600"/>
    <n v="0"/>
    <n v="300600"/>
    <n v="51100"/>
    <n v="351700"/>
    <n v="0.2"/>
    <n v="-0.31684491978609625"/>
    <n v="8.1155856132800491E-2"/>
  </r>
  <r>
    <n v="2025"/>
    <s v="18132342429    "/>
    <n v="-1.9661128563728327"/>
    <n v="0.14000000000000001"/>
    <m/>
    <s v="6"/>
    <s v="RES"/>
    <x v="0"/>
    <s v="11"/>
    <s v="259"/>
    <s v="MS"/>
    <s v="A"/>
    <s v="AV"/>
    <x v="10"/>
    <n v="104"/>
    <n v="58"/>
    <n v="1920"/>
    <n v="1966"/>
    <n v="884"/>
    <m/>
    <n v="884"/>
    <n v="442"/>
    <n v="442"/>
    <m/>
    <n v="1326"/>
    <n v="1500"/>
    <n v="5"/>
    <m/>
    <m/>
    <n v="105"/>
    <m/>
    <m/>
    <m/>
    <m/>
    <n v="220195"/>
    <n v="136521"/>
    <n v="0"/>
    <n v="265600"/>
    <n v="46000"/>
    <n v="219600"/>
    <n v="0"/>
    <n v="0"/>
    <n v="89850.625589999996"/>
    <n v="-62236.546971921947"/>
    <n v="21557.329055999999"/>
    <n v="160472.20319"/>
    <n v="-12936.644829000001"/>
    <n v="43677.264171267998"/>
    <n v="0"/>
    <n v="0"/>
    <n v="25708.395398347999"/>
    <n v="18960.110526"/>
    <n v="3496.0291039800004"/>
    <n v="0"/>
    <n v="260900"/>
    <n v="27600"/>
    <n v="288500"/>
    <n v="8.6219879518072293E-2"/>
    <n v="0.99970000000000003"/>
    <n v="1.0067999999999999"/>
    <n v="0.99729999999999996"/>
    <n v="1.0157"/>
    <n v="0.96040000000000003"/>
    <n v="0.94971499999999998"/>
    <n v="0.93020769355655764"/>
    <n v="260900"/>
    <n v="0"/>
    <n v="260900"/>
    <n v="26200"/>
    <n v="287100"/>
    <n v="0.18806921675774135"/>
    <n v="-0.43043478260869567"/>
    <n v="8.0948795180722885E-2"/>
  </r>
  <r>
    <n v="2025"/>
    <s v="18132344415    "/>
    <n v="-1.8971199848858813"/>
    <n v="0.15"/>
    <m/>
    <s v="6"/>
    <s v="RES"/>
    <x v="0"/>
    <s v="11"/>
    <s v="259"/>
    <s v="BG"/>
    <s v="A"/>
    <s v="GD"/>
    <x v="10"/>
    <n v="104"/>
    <n v="58"/>
    <n v="1920"/>
    <n v="1966"/>
    <n v="920"/>
    <m/>
    <n v="460"/>
    <n v="0"/>
    <n v="460"/>
    <m/>
    <n v="1380"/>
    <n v="1500"/>
    <n v="5"/>
    <m/>
    <m/>
    <m/>
    <m/>
    <m/>
    <m/>
    <m/>
    <n v="199305"/>
    <n v="127555"/>
    <n v="10334"/>
    <n v="298200"/>
    <n v="48400"/>
    <n v="249800"/>
    <n v="0"/>
    <n v="0"/>
    <n v="89850.625589999996"/>
    <n v="-60052.604136134301"/>
    <n v="21557.329055999999"/>
    <n v="197752.34721000001"/>
    <n v="-12936.644829000001"/>
    <n v="45455.976286839999"/>
    <n v="0"/>
    <n v="0"/>
    <n v="13377.67181362"/>
    <n v="18960.110526"/>
    <n v="0"/>
    <n v="10300"/>
    <n v="284200"/>
    <n v="29800"/>
    <n v="324300"/>
    <n v="8.75251509054326E-2"/>
    <n v="0.99970000000000003"/>
    <n v="1.0067999999999999"/>
    <n v="0.99650000000000005"/>
    <n v="1.0157"/>
    <n v="0.96040000000000003"/>
    <n v="0.94971499999999998"/>
    <n v="0.92946151271343602"/>
    <n v="284200"/>
    <n v="9800"/>
    <n v="294000"/>
    <n v="28300"/>
    <n v="322300"/>
    <n v="0.17694155324259409"/>
    <n v="-0.41528925619834711"/>
    <n v="8.0818242790073783E-2"/>
  </r>
  <r>
    <n v="2025"/>
    <s v="18132332579    "/>
    <n v="-1.7719568419318752"/>
    <n v="0.17"/>
    <n v="7190"/>
    <s v="6"/>
    <s v="RES"/>
    <x v="0"/>
    <s v="11"/>
    <s v="259"/>
    <s v="BG"/>
    <s v="A"/>
    <s v="AV"/>
    <x v="10"/>
    <n v="104"/>
    <n v="58"/>
    <n v="1920"/>
    <n v="1966"/>
    <n v="1080"/>
    <n v="300"/>
    <n v="1080"/>
    <n v="1080"/>
    <m/>
    <m/>
    <n v="1380"/>
    <n v="1500"/>
    <n v="5"/>
    <m/>
    <m/>
    <m/>
    <m/>
    <m/>
    <m/>
    <m/>
    <n v="259184"/>
    <n v="160694"/>
    <n v="1760"/>
    <n v="296700"/>
    <n v="52700"/>
    <n v="244000"/>
    <n v="0"/>
    <n v="0"/>
    <n v="89850.625589999996"/>
    <n v="-56090.612940989391"/>
    <n v="21557.329055999999"/>
    <n v="160472.20319"/>
    <n v="-12936.644829000001"/>
    <n v="53361.363467160001"/>
    <n v="13435.926858299999"/>
    <n v="0"/>
    <n v="31408.446866759998"/>
    <n v="18960.110526"/>
    <n v="0"/>
    <n v="1800"/>
    <n v="286300"/>
    <n v="33800"/>
    <n v="321900"/>
    <n v="8.4934277047522752E-2"/>
    <n v="0.99970000000000003"/>
    <n v="1.0067999999999999"/>
    <n v="0.99729999999999996"/>
    <n v="1.0157"/>
    <n v="0.96040000000000003"/>
    <n v="0.94971499999999998"/>
    <n v="0.93020769355655764"/>
    <n v="286300"/>
    <n v="1700"/>
    <n v="288000"/>
    <n v="32100"/>
    <n v="320100"/>
    <n v="0.18032786885245902"/>
    <n v="-0.39089184060721061"/>
    <n v="7.8867542972699697E-2"/>
  </r>
  <r>
    <n v="2025"/>
    <s v="18132331438    "/>
    <n v="-1.8971199848858813"/>
    <n v="0.15"/>
    <m/>
    <s v="6"/>
    <s v="RES"/>
    <x v="0"/>
    <s v="11"/>
    <s v="259"/>
    <s v="BG"/>
    <s v="A"/>
    <s v="GD"/>
    <x v="10"/>
    <n v="104"/>
    <n v="58"/>
    <n v="1920"/>
    <n v="1966"/>
    <n v="1294"/>
    <n v="420"/>
    <n v="320"/>
    <n v="0"/>
    <n v="320"/>
    <n v="320"/>
    <n v="2354"/>
    <n v="2500"/>
    <n v="8"/>
    <n v="404"/>
    <m/>
    <m/>
    <m/>
    <m/>
    <m/>
    <m/>
    <n v="359309"/>
    <n v="229958"/>
    <n v="12536"/>
    <n v="362200"/>
    <n v="48400"/>
    <n v="313800"/>
    <n v="0"/>
    <n v="0"/>
    <n v="89850.625589999996"/>
    <n v="-60052.604136134301"/>
    <n v="21557.329055999999"/>
    <n v="197752.34721000001"/>
    <n v="-12936.644829000001"/>
    <n v="63934.818820838002"/>
    <n v="18810.297601620001"/>
    <n v="20830.29473632"/>
    <n v="9306.20647904"/>
    <n v="30336.176841600001"/>
    <n v="0"/>
    <n v="12500"/>
    <n v="349600"/>
    <n v="29800"/>
    <n v="391900"/>
    <n v="8.1998895637769187E-2"/>
    <n v="0.99970000000000003"/>
    <n v="1.0067999999999999"/>
    <n v="0.99650000000000005"/>
    <n v="0.98919999999999997"/>
    <n v="0.96040000000000003"/>
    <n v="0.94971499999999998"/>
    <n v="0.90521150770515979"/>
    <n v="349600"/>
    <n v="11900"/>
    <n v="361500"/>
    <n v="28300"/>
    <n v="389800"/>
    <n v="0.15200764818355642"/>
    <n v="-0.41528925619834711"/>
    <n v="7.6200993926007737E-2"/>
  </r>
  <r>
    <n v="2025"/>
    <s v="18132241055    "/>
    <n v="-0.73396917508020043"/>
    <n v="0.48"/>
    <n v="20904"/>
    <s v="6"/>
    <s v="RES"/>
    <x v="0"/>
    <s v="11"/>
    <s v="259"/>
    <s v="CC"/>
    <s v="A+"/>
    <s v="GD"/>
    <x v="10"/>
    <n v="104"/>
    <n v="58"/>
    <n v="1920"/>
    <n v="1966"/>
    <n v="1599"/>
    <n v="1050"/>
    <n v="1073"/>
    <n v="0"/>
    <n v="1073"/>
    <m/>
    <n v="3722"/>
    <n v="4000"/>
    <n v="14"/>
    <m/>
    <m/>
    <n v="626"/>
    <m/>
    <m/>
    <m/>
    <m/>
    <n v="549139"/>
    <n v="351449"/>
    <n v="0"/>
    <n v="473600"/>
    <n v="88900"/>
    <n v="384700"/>
    <n v="0"/>
    <n v="0"/>
    <n v="89850.625589999996"/>
    <n v="-23233.512202902497"/>
    <n v="29814.093161000001"/>
    <n v="197752.34721000001"/>
    <n v="-12936.644829000001"/>
    <n v="79004.463133323006"/>
    <n v="47025.744004050001"/>
    <n v="0"/>
    <n v="31204.873600030998"/>
    <n v="53088.3094728"/>
    <n v="20842.992562776002"/>
    <n v="0"/>
    <n v="445800"/>
    <n v="66600"/>
    <n v="512400"/>
    <n v="8.1925675675675672E-2"/>
    <n v="0.99970000000000003"/>
    <n v="1.0088999999999999"/>
    <n v="0.99650000000000005"/>
    <n v="0.94579999999999997"/>
    <n v="0.96040000000000003"/>
    <n v="0.94971499999999998"/>
    <n v="0.86730167180101037"/>
    <n v="445800"/>
    <n v="0"/>
    <n v="445800"/>
    <n v="63300"/>
    <n v="509100"/>
    <n v="0.15882505848713283"/>
    <n v="-0.2879640044994376"/>
    <n v="7.4957770270270271E-2"/>
  </r>
  <r>
    <n v="2025"/>
    <s v="18132324024    "/>
    <n v="-1.4696759700589417"/>
    <n v="0.23"/>
    <n v="9926"/>
    <s v="6"/>
    <s v="RES"/>
    <x v="0"/>
    <s v="11"/>
    <s v="259"/>
    <s v="CL"/>
    <s v="A+"/>
    <s v="AV"/>
    <x v="10"/>
    <n v="104"/>
    <n v="58"/>
    <n v="1920"/>
    <n v="1966"/>
    <n v="1156"/>
    <n v="888"/>
    <n v="1156"/>
    <n v="1156"/>
    <m/>
    <m/>
    <n v="2044"/>
    <n v="2500"/>
    <n v="7"/>
    <m/>
    <m/>
    <m/>
    <m/>
    <m/>
    <m/>
    <m/>
    <n v="377122"/>
    <n v="233816"/>
    <n v="10436"/>
    <n v="358900"/>
    <n v="63300"/>
    <n v="295600"/>
    <n v="0"/>
    <n v="0"/>
    <n v="89850.625589999996"/>
    <n v="-46522.028095997222"/>
    <n v="29814.093161000001"/>
    <n v="160472.20319"/>
    <n v="-12936.644829000001"/>
    <n v="57116.422377811999"/>
    <n v="39770.343500568"/>
    <n v="0"/>
    <n v="33618.670905531995"/>
    <n v="26544.1547364"/>
    <n v="0"/>
    <n v="10400"/>
    <n v="334400"/>
    <n v="43300"/>
    <n v="388100"/>
    <n v="8.1359710225689608E-2"/>
    <n v="0.99970000000000003"/>
    <n v="1.0088999999999999"/>
    <n v="0.99729999999999996"/>
    <n v="0.98919999999999997"/>
    <n v="0.96040000000000003"/>
    <n v="0.94971499999999998"/>
    <n v="0.90782784124690863"/>
    <n v="334400"/>
    <n v="9900"/>
    <n v="344300"/>
    <n v="41100"/>
    <n v="385400"/>
    <n v="0.16474966170500677"/>
    <n v="-0.35071090047393366"/>
    <n v="7.3836723321259401E-2"/>
  </r>
  <r>
    <n v="2025"/>
    <s v="18132331436    "/>
    <n v="-1.8971199848858813"/>
    <n v="0.15"/>
    <m/>
    <s v="6"/>
    <s v="RES"/>
    <x v="0"/>
    <s v="11"/>
    <s v="259"/>
    <s v="BG"/>
    <s v="A"/>
    <s v="GD"/>
    <x v="10"/>
    <n v="104"/>
    <n v="58"/>
    <n v="1920"/>
    <n v="1966"/>
    <n v="952"/>
    <m/>
    <n v="392"/>
    <n v="0"/>
    <n v="392"/>
    <m/>
    <n v="1344"/>
    <n v="1500"/>
    <n v="5"/>
    <m/>
    <m/>
    <m/>
    <m/>
    <m/>
    <m/>
    <m/>
    <n v="215239"/>
    <n v="137753"/>
    <n v="2661"/>
    <n v="293300"/>
    <n v="48400"/>
    <n v="244900"/>
    <n v="0"/>
    <n v="0"/>
    <n v="89850.625589999996"/>
    <n v="-60052.604136134301"/>
    <n v="21557.329055999999"/>
    <n v="197752.34721000001"/>
    <n v="-12936.644829000001"/>
    <n v="47037.053722903998"/>
    <n v="0"/>
    <n v="0"/>
    <n v="11400.102936824"/>
    <n v="18960.110526"/>
    <n v="0"/>
    <n v="2700"/>
    <n v="283800"/>
    <n v="29800"/>
    <n v="316300"/>
    <n v="7.841800204568701E-2"/>
    <n v="0.99970000000000003"/>
    <n v="1.0067999999999999"/>
    <n v="0.99650000000000005"/>
    <n v="1.0157"/>
    <n v="0.96040000000000003"/>
    <n v="0.94971499999999998"/>
    <n v="0.92946151271343602"/>
    <n v="283800"/>
    <n v="2500"/>
    <n v="286300"/>
    <n v="28300"/>
    <n v="314600"/>
    <n v="0.16904859126173949"/>
    <n v="-0.41528925619834711"/>
    <n v="7.2621888851005803E-2"/>
  </r>
  <r>
    <n v="2025"/>
    <s v="18132212013    "/>
    <n v="-0.86750056770472306"/>
    <n v="0.42"/>
    <n v="18135"/>
    <s v="6"/>
    <s v="RES"/>
    <x v="0"/>
    <s v="11"/>
    <s v="259"/>
    <s v="RN"/>
    <s v="G"/>
    <s v="GD"/>
    <x v="10"/>
    <n v="104"/>
    <n v="58"/>
    <n v="1920"/>
    <n v="1966"/>
    <n v="1748"/>
    <m/>
    <m/>
    <n v="0"/>
    <m/>
    <m/>
    <n v="1748"/>
    <n v="2000"/>
    <n v="9"/>
    <m/>
    <m/>
    <m/>
    <m/>
    <m/>
    <m/>
    <m/>
    <n v="370121"/>
    <n v="236877"/>
    <n v="26297"/>
    <n v="404700"/>
    <n v="84300"/>
    <n v="320400"/>
    <n v="0"/>
    <n v="0"/>
    <n v="89850.625589999996"/>
    <n v="-27460.397125792362"/>
    <n v="44121.038090000002"/>
    <n v="197752.34721000001"/>
    <n v="-12936.644829000001"/>
    <n v="86366.354944995997"/>
    <n v="0"/>
    <n v="0"/>
    <n v="0"/>
    <n v="34128.198946800003"/>
    <n v="0"/>
    <n v="26300"/>
    <n v="349400"/>
    <n v="62400"/>
    <n v="438100"/>
    <n v="8.2530269335310102E-2"/>
    <n v="0.99970000000000003"/>
    <n v="0.98050000000000004"/>
    <n v="0.99650000000000005"/>
    <n v="1.0093000000000001"/>
    <n v="0.96040000000000003"/>
    <n v="0.94971499999999998"/>
    <n v="0.89947816053790663"/>
    <n v="349400"/>
    <n v="25000"/>
    <n v="374400"/>
    <n v="59300"/>
    <n v="433700"/>
    <n v="0.16853932584269662"/>
    <n v="-0.29655990510083036"/>
    <n v="7.1658018285149491E-2"/>
  </r>
  <r>
    <n v="2025"/>
    <s v="18132344022    "/>
    <n v="-1.8971199848858813"/>
    <n v="0.15"/>
    <n v="6369"/>
    <s v="6"/>
    <s v="RES"/>
    <x v="0"/>
    <s v="11"/>
    <s v="259"/>
    <s v="BG"/>
    <s v="A"/>
    <s v="GD"/>
    <x v="10"/>
    <n v="104"/>
    <n v="58"/>
    <n v="1920"/>
    <n v="1966"/>
    <n v="1188"/>
    <m/>
    <n v="392"/>
    <n v="0"/>
    <n v="392"/>
    <m/>
    <n v="1580"/>
    <n v="2000"/>
    <n v="6"/>
    <m/>
    <m/>
    <m/>
    <m/>
    <m/>
    <m/>
    <m/>
    <n v="250561"/>
    <n v="160359"/>
    <n v="4877"/>
    <n v="310100"/>
    <n v="48400"/>
    <n v="261700"/>
    <n v="0"/>
    <n v="0"/>
    <n v="89850.625589999996"/>
    <n v="-60052.604136134301"/>
    <n v="21557.329055999999"/>
    <n v="197752.34721000001"/>
    <n v="-12936.644829000001"/>
    <n v="58697.499813875998"/>
    <n v="0"/>
    <n v="0"/>
    <n v="11400.102936824"/>
    <n v="22752.132631200002"/>
    <n v="0"/>
    <n v="4900"/>
    <n v="299200"/>
    <n v="29800"/>
    <n v="333900"/>
    <n v="7.6749435665914217E-2"/>
    <n v="0.99970000000000003"/>
    <n v="1.0067999999999999"/>
    <n v="0.99650000000000005"/>
    <n v="1.0093000000000001"/>
    <n v="0.96040000000000003"/>
    <n v="0.94971499999999998"/>
    <n v="0.92360490773030512"/>
    <n v="299200"/>
    <n v="4600"/>
    <n v="303800"/>
    <n v="28300"/>
    <n v="332100"/>
    <n v="0.16087122659533817"/>
    <n v="-0.41528925619834711"/>
    <n v="7.0944856497903899E-2"/>
  </r>
  <r>
    <n v="2025"/>
    <s v="18132331422    "/>
    <n v="-1.8971199848858813"/>
    <n v="0.15"/>
    <m/>
    <s v="6"/>
    <s v="RES"/>
    <x v="0"/>
    <s v="11"/>
    <s v="400"/>
    <s v="BG"/>
    <s v="A"/>
    <s v="GD"/>
    <x v="10"/>
    <n v="104"/>
    <n v="58"/>
    <n v="1920"/>
    <n v="1966"/>
    <n v="928"/>
    <m/>
    <n v="720"/>
    <n v="0"/>
    <n v="720"/>
    <m/>
    <n v="1648"/>
    <n v="2000"/>
    <n v="5"/>
    <m/>
    <m/>
    <m/>
    <m/>
    <m/>
    <m/>
    <m/>
    <n v="221368"/>
    <n v="141676"/>
    <n v="4877"/>
    <n v="303600"/>
    <n v="48400"/>
    <n v="255200"/>
    <n v="0"/>
    <n v="0"/>
    <n v="89850.625589999996"/>
    <n v="-60052.604136134301"/>
    <n v="21557.329055999999"/>
    <n v="197752.34721000001"/>
    <n v="-12936.644829000001"/>
    <n v="45851.245645856005"/>
    <n v="0"/>
    <n v="0"/>
    <n v="20938.964577839997"/>
    <n v="18960.110526"/>
    <n v="0"/>
    <n v="4900"/>
    <n v="292100"/>
    <n v="29800"/>
    <n v="326800"/>
    <n v="7.6416337285902497E-2"/>
    <n v="0.99970000000000003"/>
    <n v="1.0067999999999999"/>
    <n v="0.99650000000000005"/>
    <n v="1.0093000000000001"/>
    <n v="0.96040000000000003"/>
    <n v="0.94971499999999998"/>
    <n v="0.92360490773030512"/>
    <n v="292100"/>
    <n v="4600"/>
    <n v="296700"/>
    <n v="28300"/>
    <n v="325000"/>
    <n v="0.16261755485893417"/>
    <n v="-0.41528925619834711"/>
    <n v="7.0487483530961792E-2"/>
  </r>
  <r>
    <n v="2025"/>
    <s v="18132331519    "/>
    <n v="-1.6094379124341003"/>
    <n v="0.2"/>
    <m/>
    <s v="6"/>
    <s v="RES"/>
    <x v="0"/>
    <s v="11"/>
    <s v="259"/>
    <s v="FH"/>
    <s v="G"/>
    <s v="GD"/>
    <x v="10"/>
    <n v="104"/>
    <n v="58"/>
    <n v="1920"/>
    <n v="1966"/>
    <n v="1348"/>
    <n v="1348"/>
    <n v="1348"/>
    <n v="1348"/>
    <m/>
    <m/>
    <n v="2696"/>
    <n v="3000"/>
    <n v="8"/>
    <m/>
    <m/>
    <m/>
    <m/>
    <m/>
    <m/>
    <m/>
    <n v="543063"/>
    <n v="347560"/>
    <n v="6724"/>
    <n v="438200"/>
    <n v="58400"/>
    <n v="379800"/>
    <n v="0"/>
    <n v="0"/>
    <n v="89850.625589999996"/>
    <n v="-50946.13867709865"/>
    <n v="44121.038090000002"/>
    <n v="197752.34721000001"/>
    <n v="-12936.644829000001"/>
    <n v="66602.886994196"/>
    <n v="60372.098016627999"/>
    <n v="0"/>
    <n v="39202.394792955994"/>
    <n v="30336.176841600001"/>
    <n v="0"/>
    <n v="6700"/>
    <n v="425500"/>
    <n v="38900"/>
    <n v="471100"/>
    <n v="7.5079872204472847E-2"/>
    <n v="0.99970000000000003"/>
    <n v="0.98050000000000004"/>
    <n v="0.99650000000000005"/>
    <n v="0.96179999999999999"/>
    <n v="0.96040000000000003"/>
    <n v="0.94971499999999998"/>
    <n v="0.85714663113579559"/>
    <n v="425500"/>
    <n v="6400"/>
    <n v="431900"/>
    <n v="36900"/>
    <n v="468800"/>
    <n v="0.1371774618220116"/>
    <n v="-0.36815068493150682"/>
    <n v="6.9831127339114563E-2"/>
  </r>
  <r>
    <n v="2025"/>
    <s v="18132214411    "/>
    <n v="-1.7147984280919266"/>
    <n v="0.18"/>
    <n v="8036"/>
    <s v="6"/>
    <s v="RES"/>
    <x v="0"/>
    <s v="11"/>
    <s v="259"/>
    <s v="CO"/>
    <s v="F+"/>
    <s v="GD"/>
    <x v="10"/>
    <n v="104"/>
    <n v="58"/>
    <n v="1920"/>
    <n v="1966"/>
    <n v="1344"/>
    <n v="544"/>
    <n v="800"/>
    <n v="400"/>
    <n v="400"/>
    <m/>
    <n v="2288"/>
    <n v="2500"/>
    <n v="10"/>
    <n v="252"/>
    <m/>
    <n v="144"/>
    <m/>
    <m/>
    <m/>
    <m/>
    <n v="305719"/>
    <n v="195660"/>
    <n v="0"/>
    <n v="350900"/>
    <n v="54700"/>
    <n v="296200"/>
    <n v="0"/>
    <n v="0"/>
    <n v="89850.625589999996"/>
    <n v="-54281.285314520763"/>
    <n v="0"/>
    <n v="197752.34721000001"/>
    <n v="-12936.644829000001"/>
    <n v="66405.252314687998"/>
    <n v="24363.814036383999"/>
    <n v="0"/>
    <n v="23265.516197599998"/>
    <n v="37920.221052000001"/>
    <n v="4794.5541997440005"/>
    <n v="0"/>
    <n v="341600"/>
    <n v="35600"/>
    <n v="377200"/>
    <n v="7.4950128241664291E-2"/>
    <n v="0.99970000000000003"/>
    <n v="0.99180000000000001"/>
    <n v="0.99650000000000005"/>
    <n v="0.98919999999999997"/>
    <n v="0.96040000000000003"/>
    <n v="0.94971499999999998"/>
    <n v="0.89172504304924294"/>
    <n v="341600"/>
    <n v="0"/>
    <n v="341600"/>
    <n v="33800"/>
    <n v="375400"/>
    <n v="0.15327481431465226"/>
    <n v="-0.38208409506398539"/>
    <n v="6.9820461669991452E-2"/>
  </r>
  <r>
    <n v="2025"/>
    <s v="18132344412    "/>
    <n v="-1.8971199848858813"/>
    <n v="0.15"/>
    <m/>
    <s v="6"/>
    <s v="RES"/>
    <x v="0"/>
    <s v="11"/>
    <s v="259"/>
    <s v="BG"/>
    <s v="A"/>
    <s v="AV"/>
    <x v="10"/>
    <n v="104"/>
    <n v="58"/>
    <n v="1920"/>
    <n v="1966"/>
    <n v="1064"/>
    <m/>
    <n v="534"/>
    <n v="534"/>
    <n v="0"/>
    <m/>
    <n v="1064"/>
    <n v="1500"/>
    <n v="5"/>
    <m/>
    <m/>
    <m/>
    <m/>
    <m/>
    <m/>
    <m/>
    <n v="192855"/>
    <n v="119570"/>
    <n v="8502"/>
    <n v="273700"/>
    <n v="48400"/>
    <n v="225300"/>
    <n v="0"/>
    <n v="0"/>
    <n v="89850.625589999996"/>
    <n v="-60052.604136134301"/>
    <n v="21557.329055999999"/>
    <n v="160472.20319"/>
    <n v="-12936.644829000001"/>
    <n v="52570.824749127998"/>
    <n v="0"/>
    <n v="0"/>
    <n v="15529.732061897999"/>
    <n v="18960.110526"/>
    <n v="0"/>
    <n v="8500"/>
    <n v="256200"/>
    <n v="29800"/>
    <n v="294500"/>
    <n v="7.5995615637559369E-2"/>
    <n v="0.99970000000000003"/>
    <n v="1.0067999999999999"/>
    <n v="0.99729999999999996"/>
    <n v="1.0157"/>
    <n v="0.96040000000000003"/>
    <n v="0.94971499999999998"/>
    <n v="0.93020769355655764"/>
    <n v="256200"/>
    <n v="8100"/>
    <n v="264300"/>
    <n v="28300"/>
    <n v="292600"/>
    <n v="0.17310252996005326"/>
    <n v="-0.41528925619834711"/>
    <n v="6.9053708439897693E-2"/>
  </r>
  <r>
    <n v="2025"/>
    <s v="18132343417    "/>
    <n v="-1.1394342831883648"/>
    <n v="0.32"/>
    <n v="14000"/>
    <s v="6"/>
    <s v="RES"/>
    <x v="0"/>
    <s v="11"/>
    <s v="259"/>
    <s v="CL"/>
    <s v="G"/>
    <s v="GD"/>
    <x v="10"/>
    <n v="104"/>
    <n v="58"/>
    <n v="1920"/>
    <n v="1966"/>
    <n v="1630"/>
    <n v="1408"/>
    <n v="1408"/>
    <n v="704"/>
    <n v="704"/>
    <m/>
    <n v="3742"/>
    <n v="4000"/>
    <n v="15"/>
    <n v="717"/>
    <m/>
    <m/>
    <m/>
    <m/>
    <m/>
    <m/>
    <n v="705174"/>
    <n v="451311"/>
    <n v="58593"/>
    <n v="540300"/>
    <n v="74800"/>
    <n v="465500"/>
    <n v="0"/>
    <n v="0"/>
    <n v="89850.625589999996"/>
    <n v="-36068.354396449467"/>
    <n v="44121.038090000002"/>
    <n v="197752.34721000001"/>
    <n v="-12936.644829000001"/>
    <n v="80536.131899510001"/>
    <n v="63059.283388288"/>
    <n v="0"/>
    <n v="40947.308507775997"/>
    <n v="56880.331578000005"/>
    <n v="0"/>
    <n v="58600"/>
    <n v="470400"/>
    <n v="53800"/>
    <n v="582800"/>
    <n v="7.8660003701647233E-2"/>
    <n v="0.99970000000000003"/>
    <n v="0.98050000000000004"/>
    <n v="0.99650000000000005"/>
    <n v="0.94579999999999997"/>
    <n v="0.96040000000000003"/>
    <n v="0.94971499999999998"/>
    <n v="0.84288758965297927"/>
    <n v="470400"/>
    <n v="55600"/>
    <n v="526000"/>
    <n v="51100"/>
    <n v="577100"/>
    <n v="0.12996777658431793"/>
    <n v="-0.31684491978609625"/>
    <n v="6.8110309087543952E-2"/>
  </r>
  <r>
    <n v="2025"/>
    <s v="18132331421    "/>
    <n v="-1.8971199848858813"/>
    <n v="0.15"/>
    <m/>
    <s v="6"/>
    <s v="RES"/>
    <x v="0"/>
    <s v="11"/>
    <s v="259"/>
    <s v="BG"/>
    <s v="A"/>
    <s v="GD"/>
    <x v="10"/>
    <n v="104"/>
    <n v="58"/>
    <n v="1920"/>
    <n v="1966"/>
    <n v="1588"/>
    <n v="600"/>
    <n v="312"/>
    <n v="0"/>
    <n v="312"/>
    <m/>
    <n v="2500"/>
    <n v="3000"/>
    <n v="8"/>
    <m/>
    <m/>
    <n v="192"/>
    <m/>
    <m/>
    <m/>
    <m/>
    <n v="348504"/>
    <n v="223043"/>
    <n v="4877"/>
    <n v="365900"/>
    <n v="48400"/>
    <n v="317500"/>
    <n v="0"/>
    <n v="0"/>
    <n v="89850.625589999996"/>
    <n v="-60052.604136134301"/>
    <n v="21557.329055999999"/>
    <n v="197752.34721000001"/>
    <n v="-12936.644829000001"/>
    <n v="78460.967764675996"/>
    <n v="26871.853716599999"/>
    <n v="0"/>
    <n v="9073.5513170639988"/>
    <n v="30336.176841600001"/>
    <n v="6392.7389329920006"/>
    <n v="4900"/>
    <n v="357500"/>
    <n v="29800"/>
    <n v="392200"/>
    <n v="7.1877562175457779E-2"/>
    <n v="0.99970000000000003"/>
    <n v="1.0067999999999999"/>
    <n v="0.99650000000000005"/>
    <n v="0.96179999999999999"/>
    <n v="0.96040000000000003"/>
    <n v="0.94971499999999998"/>
    <n v="0.88013791762113103"/>
    <n v="357500"/>
    <n v="4600"/>
    <n v="362100"/>
    <n v="28300"/>
    <n v="390400"/>
    <n v="0.1404724409448819"/>
    <n v="-0.41528925619834711"/>
    <n v="6.695818529652911E-2"/>
  </r>
  <r>
    <n v="2025"/>
    <s v="18132244040    "/>
    <n v="-1.3862943611198906"/>
    <n v="0.25"/>
    <n v="10764"/>
    <s v="6"/>
    <s v="RES"/>
    <x v="0"/>
    <s v="11"/>
    <s v="259"/>
    <s v="FH"/>
    <s v="F+"/>
    <s v="GD"/>
    <x v="10"/>
    <n v="104"/>
    <n v="58"/>
    <n v="1920"/>
    <n v="1966"/>
    <n v="1048"/>
    <n v="785"/>
    <n v="1048"/>
    <n v="1048"/>
    <m/>
    <m/>
    <n v="1833"/>
    <n v="2000"/>
    <n v="8"/>
    <m/>
    <m/>
    <m/>
    <m/>
    <m/>
    <m/>
    <m/>
    <n v="298957"/>
    <n v="191332"/>
    <n v="32004"/>
    <n v="381600"/>
    <n v="66200"/>
    <n v="315400"/>
    <n v="0"/>
    <n v="0"/>
    <n v="89850.625589999996"/>
    <n v="-43882.615305165229"/>
    <n v="0"/>
    <n v="197752.34721000001"/>
    <n v="-12936.644829000001"/>
    <n v="51780.286031096002"/>
    <n v="35157.341945884997"/>
    <n v="0"/>
    <n v="30477.826218856"/>
    <n v="30336.176841600001"/>
    <n v="0"/>
    <n v="32000"/>
    <n v="332600"/>
    <n v="46000"/>
    <n v="410600"/>
    <n v="7.5995807127882606E-2"/>
    <n v="0.99970000000000003"/>
    <n v="0.99180000000000001"/>
    <n v="0.99650000000000005"/>
    <n v="1.0093000000000001"/>
    <n v="0.96040000000000003"/>
    <n v="0.94971499999999998"/>
    <n v="0.90984440552931756"/>
    <n v="332600"/>
    <n v="30400"/>
    <n v="363000"/>
    <n v="43700"/>
    <n v="406700"/>
    <n v="0.15091946734305645"/>
    <n v="-0.33987915407854985"/>
    <n v="6.5775681341719072E-2"/>
  </r>
  <r>
    <n v="2025"/>
    <s v="18132244488    "/>
    <n v="-1.5141277326297755"/>
    <n v="0.22"/>
    <n v="9535"/>
    <s v="6"/>
    <s v="RES"/>
    <x v="0"/>
    <s v="11"/>
    <s v="259"/>
    <s v="BG"/>
    <s v="F+"/>
    <s v="GD"/>
    <x v="10"/>
    <n v="104"/>
    <n v="58"/>
    <n v="1920"/>
    <n v="1966"/>
    <n v="1488"/>
    <m/>
    <n v="280"/>
    <n v="280"/>
    <m/>
    <m/>
    <n v="1488"/>
    <n v="1500"/>
    <n v="8"/>
    <m/>
    <m/>
    <m/>
    <m/>
    <m/>
    <m/>
    <m/>
    <n v="237242"/>
    <n v="151835"/>
    <n v="7609"/>
    <n v="322800"/>
    <n v="61700"/>
    <n v="261100"/>
    <n v="0"/>
    <n v="0"/>
    <n v="89850.625589999996"/>
    <n v="-47929.131559187132"/>
    <n v="0"/>
    <n v="197752.34721000001"/>
    <n v="-12936.644829000001"/>
    <n v="73520.100776976004"/>
    <n v="0"/>
    <n v="0"/>
    <n v="8142.9306691599995"/>
    <n v="30336.176841600001"/>
    <n v="0"/>
    <n v="7600"/>
    <n v="296800"/>
    <n v="41900"/>
    <n v="346300"/>
    <n v="7.2800495662949188E-2"/>
    <n v="0.99970000000000003"/>
    <n v="0.99180000000000001"/>
    <n v="0.99650000000000005"/>
    <n v="1.0157"/>
    <n v="0.96040000000000003"/>
    <n v="0.94971499999999998"/>
    <n v="0.91561375477670459"/>
    <n v="296800"/>
    <n v="7200"/>
    <n v="304000"/>
    <n v="39800"/>
    <n v="343800"/>
    <n v="0.16430486403676753"/>
    <n v="-0.35494327390599678"/>
    <n v="6.5055762081784388E-2"/>
  </r>
  <r>
    <n v="2025"/>
    <s v="18132342443    "/>
    <n v="-1.9661128563728327"/>
    <n v="0.14000000000000001"/>
    <m/>
    <s v="6"/>
    <s v="RES"/>
    <x v="0"/>
    <s v="11"/>
    <s v="259"/>
    <s v="CO"/>
    <s v="A"/>
    <s v="AV"/>
    <x v="10"/>
    <n v="104"/>
    <n v="58"/>
    <n v="1920"/>
    <n v="1966"/>
    <n v="958"/>
    <n v="958"/>
    <n v="958"/>
    <n v="958"/>
    <m/>
    <m/>
    <n v="1916"/>
    <n v="2000"/>
    <n v="10"/>
    <m/>
    <m/>
    <m/>
    <m/>
    <m/>
    <m/>
    <m/>
    <n v="311025"/>
    <n v="192836"/>
    <n v="25066"/>
    <n v="352300"/>
    <n v="46000"/>
    <n v="306300"/>
    <n v="0"/>
    <n v="0"/>
    <n v="89850.625589999996"/>
    <n v="-62236.546971921947"/>
    <n v="21557.329055999999"/>
    <n v="160472.20319"/>
    <n v="-12936.644829000001"/>
    <n v="47333.505742166002"/>
    <n v="42905.393100837995"/>
    <n v="0"/>
    <n v="27860.455646626"/>
    <n v="37920.221052000001"/>
    <n v="0"/>
    <n v="25100"/>
    <n v="325100"/>
    <n v="27600"/>
    <n v="377800"/>
    <n v="7.2381493045699685E-2"/>
    <n v="0.99970000000000003"/>
    <n v="1.0067999999999999"/>
    <n v="0.99729999999999996"/>
    <n v="1.0093000000000001"/>
    <n v="0.96040000000000003"/>
    <n v="0.94971499999999998"/>
    <n v="0.92434638683335013"/>
    <n v="325100"/>
    <n v="23800"/>
    <n v="348900"/>
    <n v="26200"/>
    <n v="375100"/>
    <n v="0.13907933398628794"/>
    <n v="-0.43043478260869567"/>
    <n v="6.4717570252625603E-2"/>
  </r>
  <r>
    <n v="2025"/>
    <s v="18132342015    "/>
    <n v="-1.5141277326297755"/>
    <n v="0.22"/>
    <n v="9695"/>
    <s v="6"/>
    <s v="RES"/>
    <x v="0"/>
    <s v="11"/>
    <s v="259"/>
    <s v="BG"/>
    <s v="A"/>
    <s v="AV"/>
    <x v="10"/>
    <n v="104"/>
    <n v="58"/>
    <n v="1920"/>
    <n v="1966"/>
    <n v="920"/>
    <m/>
    <n v="238"/>
    <n v="238"/>
    <m/>
    <m/>
    <n v="920"/>
    <n v="1000"/>
    <n v="5"/>
    <m/>
    <m/>
    <m/>
    <m/>
    <m/>
    <m/>
    <m/>
    <n v="166336"/>
    <n v="103128"/>
    <n v="6227"/>
    <n v="269300"/>
    <n v="61700"/>
    <n v="207600"/>
    <n v="0"/>
    <n v="0"/>
    <n v="89850.625589999996"/>
    <n v="-47929.131559187132"/>
    <n v="21557.329055999999"/>
    <n v="160472.20319"/>
    <n v="-12936.644829000001"/>
    <n v="45455.976286839999"/>
    <n v="0"/>
    <n v="0"/>
    <n v="6921.4910687859992"/>
    <n v="18960.110526"/>
    <n v="0"/>
    <n v="6200"/>
    <n v="240400"/>
    <n v="41900"/>
    <n v="288500"/>
    <n v="7.1295952469365015E-2"/>
    <n v="0.99970000000000003"/>
    <n v="1.0067999999999999"/>
    <n v="0.99729999999999996"/>
    <n v="1.0148999999999999"/>
    <n v="0.96040000000000003"/>
    <n v="0.94971499999999998"/>
    <n v="0.92947503021615663"/>
    <n v="240400"/>
    <n v="5900"/>
    <n v="246300"/>
    <n v="39800"/>
    <n v="286100"/>
    <n v="0.18641618497109827"/>
    <n v="-0.35494327390599678"/>
    <n v="6.2383958410694391E-2"/>
  </r>
  <r>
    <n v="2025"/>
    <s v="18132331424    "/>
    <n v="-1.8971199848858813"/>
    <n v="0.15"/>
    <m/>
    <s v="6"/>
    <s v="RES"/>
    <x v="0"/>
    <s v="11"/>
    <s v="259"/>
    <s v="BG"/>
    <s v="F+"/>
    <s v="GD"/>
    <x v="10"/>
    <n v="104"/>
    <n v="58"/>
    <n v="1920"/>
    <n v="1966"/>
    <n v="1288"/>
    <n v="760"/>
    <m/>
    <n v="0"/>
    <m/>
    <m/>
    <n v="2048"/>
    <n v="2500"/>
    <n v="5"/>
    <m/>
    <m/>
    <n v="160"/>
    <m/>
    <m/>
    <m/>
    <m/>
    <n v="283282"/>
    <n v="181300"/>
    <n v="4598"/>
    <n v="319900"/>
    <n v="48400"/>
    <n v="271500"/>
    <n v="0"/>
    <n v="0"/>
    <n v="89850.625589999996"/>
    <n v="-60052.604136134301"/>
    <n v="0"/>
    <n v="197752.34721000001"/>
    <n v="-12936.644829000001"/>
    <n v="63638.366801576005"/>
    <n v="34037.68137436"/>
    <n v="0"/>
    <n v="0"/>
    <n v="18960.110526"/>
    <n v="5327.2824441600005"/>
    <n v="4600"/>
    <n v="306800"/>
    <n v="29800"/>
    <n v="341200"/>
    <n v="6.65833072835261E-2"/>
    <n v="0.99970000000000003"/>
    <n v="0.99180000000000001"/>
    <n v="0.99650000000000005"/>
    <n v="0.98919999999999997"/>
    <n v="0.96040000000000003"/>
    <n v="0.94971499999999998"/>
    <n v="0.89172504304924294"/>
    <n v="306800"/>
    <n v="4400"/>
    <n v="311200"/>
    <n v="28300"/>
    <n v="339500"/>
    <n v="0.14622467771639042"/>
    <n v="-0.41528925619834711"/>
    <n v="6.1269146608315096E-2"/>
  </r>
  <r>
    <n v="2025"/>
    <s v="18132344416    "/>
    <n v="-1.8971199848858813"/>
    <n v="0.15"/>
    <n v="6402"/>
    <s v="6"/>
    <s v="RES"/>
    <x v="0"/>
    <s v="11"/>
    <s v="259"/>
    <s v="TD"/>
    <s v="F+"/>
    <s v="AV"/>
    <x v="10"/>
    <n v="104"/>
    <n v="58"/>
    <n v="1920"/>
    <n v="1966"/>
    <n v="1134"/>
    <m/>
    <n v="1134"/>
    <n v="1134"/>
    <m/>
    <m/>
    <n v="1134"/>
    <n v="1500"/>
    <n v="5"/>
    <m/>
    <m/>
    <m/>
    <m/>
    <m/>
    <m/>
    <m/>
    <n v="213533"/>
    <n v="132390"/>
    <n v="9004"/>
    <n v="276000"/>
    <n v="48400"/>
    <n v="227600"/>
    <n v="0"/>
    <n v="0"/>
    <n v="89850.625589999996"/>
    <n v="-60052.604136134301"/>
    <n v="0"/>
    <n v="160472.20319"/>
    <n v="-12936.644829000001"/>
    <n v="56029.431640518"/>
    <n v="0"/>
    <n v="0"/>
    <n v="32978.869210097997"/>
    <n v="18960.110526"/>
    <n v="0"/>
    <n v="9000"/>
    <n v="255500"/>
    <n v="29800"/>
    <n v="294300"/>
    <n v="6.6304347826086962E-2"/>
    <n v="0.99970000000000003"/>
    <n v="0.99180000000000001"/>
    <n v="0.99729999999999996"/>
    <n v="1.0157"/>
    <n v="0.96040000000000003"/>
    <n v="0.94971499999999998"/>
    <n v="0.91634881850356975"/>
    <n v="255500"/>
    <n v="8600"/>
    <n v="264100"/>
    <n v="28300"/>
    <n v="292400"/>
    <n v="0.16036906854130054"/>
    <n v="-0.41528925619834711"/>
    <n v="5.9420289855072465E-2"/>
  </r>
  <r>
    <n v="2025"/>
    <s v="18132331514    "/>
    <n v="-1.8325814637483102"/>
    <n v="0.16"/>
    <m/>
    <s v="6"/>
    <s v="RES"/>
    <x v="0"/>
    <s v="11"/>
    <s v="259"/>
    <s v="CO"/>
    <s v="A"/>
    <s v="GD"/>
    <x v="10"/>
    <n v="104"/>
    <n v="39"/>
    <n v="1920"/>
    <n v="1985"/>
    <n v="1048"/>
    <n v="390"/>
    <n v="1048"/>
    <n v="0"/>
    <n v="1048"/>
    <m/>
    <n v="2486"/>
    <n v="2500"/>
    <n v="10"/>
    <m/>
    <m/>
    <m/>
    <m/>
    <m/>
    <m/>
    <m/>
    <n v="314163"/>
    <n v="254472"/>
    <n v="0"/>
    <n v="357900"/>
    <n v="50600"/>
    <n v="307300"/>
    <n v="0"/>
    <n v="0"/>
    <n v="89850.625589999996"/>
    <n v="-58009.662049032086"/>
    <n v="21557.329055999999"/>
    <n v="197752.34721000001"/>
    <n v="-8698.7784195000004"/>
    <n v="51780.286031096002"/>
    <n v="17466.70491579"/>
    <n v="0"/>
    <n v="30477.826218856"/>
    <n v="37920.221052000001"/>
    <n v="0"/>
    <n v="0"/>
    <n v="348300"/>
    <n v="31800"/>
    <n v="380100"/>
    <n v="6.2028499580888519E-2"/>
    <n v="0.99970000000000003"/>
    <n v="1.0067999999999999"/>
    <n v="0.99650000000000005"/>
    <n v="0.98919999999999997"/>
    <n v="0.96040000000000003"/>
    <n v="0.94971499999999998"/>
    <n v="0.90521150770515979"/>
    <n v="348300"/>
    <n v="0"/>
    <n v="348300"/>
    <n v="30200"/>
    <n v="378500"/>
    <n v="0.13342011064106737"/>
    <n v="-0.40316205533596838"/>
    <n v="5.7557977088572229E-2"/>
  </r>
  <r>
    <n v="2025"/>
    <s v="18132344038    "/>
    <n v="-1.5141277326297755"/>
    <n v="0.22"/>
    <n v="9699"/>
    <s v="6"/>
    <s v="RES"/>
    <x v="0"/>
    <s v="11"/>
    <s v="259"/>
    <s v="TD"/>
    <s v="A"/>
    <s v="AV"/>
    <x v="10"/>
    <n v="104"/>
    <n v="58"/>
    <n v="1920"/>
    <n v="1966"/>
    <n v="950"/>
    <m/>
    <m/>
    <n v="0"/>
    <m/>
    <m/>
    <n v="950"/>
    <n v="1000"/>
    <n v="6"/>
    <m/>
    <m/>
    <m/>
    <m/>
    <m/>
    <m/>
    <m/>
    <n v="157187"/>
    <n v="97456"/>
    <n v="0"/>
    <n v="263700"/>
    <n v="61700"/>
    <n v="202000"/>
    <n v="0"/>
    <n v="0"/>
    <n v="89850.625589999996"/>
    <n v="-47929.131559187132"/>
    <n v="21557.329055999999"/>
    <n v="160472.20319"/>
    <n v="-12936.644829000001"/>
    <n v="46938.236383150004"/>
    <n v="0"/>
    <n v="0"/>
    <n v="0"/>
    <n v="22752.132631200002"/>
    <n v="0"/>
    <n v="0"/>
    <n v="238800"/>
    <n v="41900"/>
    <n v="280700"/>
    <n v="6.4467197572999624E-2"/>
    <n v="0.99970000000000003"/>
    <n v="1.0067999999999999"/>
    <n v="0.99729999999999996"/>
    <n v="1.0148999999999999"/>
    <n v="0.96040000000000003"/>
    <n v="0.94971499999999998"/>
    <n v="0.92947503021615663"/>
    <n v="238800"/>
    <n v="0"/>
    <n v="238800"/>
    <n v="39800"/>
    <n v="278600"/>
    <n v="0.18217821782178217"/>
    <n v="-0.35494327390599678"/>
    <n v="5.6503602578687903E-2"/>
  </r>
  <r>
    <n v="2025"/>
    <s v="18132331054    "/>
    <n v="-1.2378743560016174"/>
    <n v="0.28999999999999998"/>
    <n v="12505"/>
    <s v="6"/>
    <s v="RES"/>
    <x v="0"/>
    <s v="11"/>
    <s v="259"/>
    <s v="BG"/>
    <s v="A"/>
    <s v="GD"/>
    <x v="10"/>
    <n v="104"/>
    <n v="58"/>
    <n v="1920"/>
    <n v="1966"/>
    <n v="1280"/>
    <n v="510"/>
    <n v="630"/>
    <n v="230"/>
    <n v="400"/>
    <m/>
    <n v="2190"/>
    <n v="2500"/>
    <n v="10"/>
    <m/>
    <m/>
    <n v="108"/>
    <m/>
    <m/>
    <m/>
    <m/>
    <n v="328785"/>
    <n v="210422"/>
    <n v="10830"/>
    <n v="389100"/>
    <n v="71400"/>
    <n v="317700"/>
    <n v="0"/>
    <n v="0"/>
    <n v="89850.625589999996"/>
    <n v="-39184.437074869042"/>
    <n v="21557.329055999999"/>
    <n v="197752.34721000001"/>
    <n v="-12936.644829000001"/>
    <n v="63243.09744256"/>
    <n v="22841.07565911"/>
    <n v="0"/>
    <n v="18321.594005610001"/>
    <n v="37920.221052000001"/>
    <n v="3595.9156498080001"/>
    <n v="10800"/>
    <n v="352300"/>
    <n v="50700"/>
    <n v="413800"/>
    <n v="6.3479825237728091E-2"/>
    <n v="0.99970000000000003"/>
    <n v="1.0067999999999999"/>
    <n v="0.99650000000000005"/>
    <n v="0.98919999999999997"/>
    <n v="0.96040000000000003"/>
    <n v="0.94971499999999998"/>
    <n v="0.90521150770515979"/>
    <n v="352300"/>
    <n v="10300"/>
    <n v="362600"/>
    <n v="48100"/>
    <n v="410700"/>
    <n v="0.14132829713566258"/>
    <n v="-0.32633053221288516"/>
    <n v="5.5512721665381647E-2"/>
  </r>
  <r>
    <n v="2025"/>
    <s v="18132331040    "/>
    <n v="-1.8325814637483102"/>
    <n v="0.16"/>
    <m/>
    <s v="6"/>
    <s v="RES"/>
    <x v="0"/>
    <s v="11"/>
    <s v="259"/>
    <s v="BG"/>
    <s v="G"/>
    <s v="GD"/>
    <x v="10"/>
    <n v="104"/>
    <n v="58"/>
    <n v="1920"/>
    <n v="1966"/>
    <n v="1084"/>
    <m/>
    <n v="1064"/>
    <n v="0"/>
    <n v="1064"/>
    <m/>
    <n v="2148"/>
    <n v="2500"/>
    <n v="9"/>
    <m/>
    <m/>
    <m/>
    <m/>
    <m/>
    <m/>
    <m/>
    <n v="381763"/>
    <n v="244328"/>
    <n v="6724"/>
    <n v="364500"/>
    <n v="50600"/>
    <n v="313900"/>
    <n v="0"/>
    <n v="0"/>
    <n v="89850.625589999996"/>
    <n v="-58009.662049032086"/>
    <n v="44121.038090000002"/>
    <n v="197752.34721000001"/>
    <n v="-12936.644829000001"/>
    <n v="53558.998146668004"/>
    <n v="0"/>
    <n v="0"/>
    <n v="30943.136542807999"/>
    <n v="34128.198946800003"/>
    <n v="0"/>
    <n v="6700"/>
    <n v="347600"/>
    <n v="31800"/>
    <n v="386100"/>
    <n v="5.9259259259259262E-2"/>
    <n v="0.99970000000000003"/>
    <n v="0.98050000000000004"/>
    <n v="0.99650000000000005"/>
    <n v="0.98919999999999997"/>
    <n v="0.96040000000000003"/>
    <n v="0.94971499999999998"/>
    <n v="0.88156523967511857"/>
    <n v="347600"/>
    <n v="6400"/>
    <n v="354000"/>
    <n v="30200"/>
    <n v="384200"/>
    <n v="0.12774769034724434"/>
    <n v="-0.40316205533596838"/>
    <n v="5.4046639231824414E-2"/>
  </r>
  <r>
    <n v="2025"/>
    <s v="18132342428    "/>
    <n v="-1.9661128563728327"/>
    <n v="0.14000000000000001"/>
    <m/>
    <s v="6"/>
    <s v="RES"/>
    <x v="0"/>
    <s v="11"/>
    <s v="400"/>
    <s v="CO"/>
    <s v="A"/>
    <s v="AV"/>
    <x v="10"/>
    <n v="104"/>
    <n v="58"/>
    <n v="1920"/>
    <n v="1966"/>
    <n v="1080"/>
    <n v="522"/>
    <n v="1080"/>
    <n v="540"/>
    <n v="540"/>
    <m/>
    <n v="2142"/>
    <n v="2500"/>
    <n v="8"/>
    <m/>
    <m/>
    <n v="120"/>
    <m/>
    <m/>
    <m/>
    <m/>
    <n v="309411"/>
    <n v="191835"/>
    <n v="0"/>
    <n v="320600"/>
    <n v="46000"/>
    <n v="274600"/>
    <n v="0"/>
    <n v="0"/>
    <n v="89850.625589999996"/>
    <n v="-62236.546971921947"/>
    <n v="21557.329055999999"/>
    <n v="160472.20319"/>
    <n v="-12936.644829000001"/>
    <n v="53361.363467160001"/>
    <n v="23378.512733441999"/>
    <n v="0"/>
    <n v="31408.446866759998"/>
    <n v="30336.176841600001"/>
    <n v="3995.4618331200004"/>
    <n v="0"/>
    <n v="311600"/>
    <n v="27600"/>
    <n v="339200"/>
    <n v="5.8016219588271987E-2"/>
    <n v="0.99970000000000003"/>
    <n v="1.0067999999999999"/>
    <n v="0.99729999999999996"/>
    <n v="0.98919999999999997"/>
    <n v="0.96040000000000003"/>
    <n v="0.94971499999999998"/>
    <n v="0.90593822040577598"/>
    <n v="311600"/>
    <n v="0"/>
    <n v="311600"/>
    <n v="26200"/>
    <n v="337800"/>
    <n v="0.1347414420975965"/>
    <n v="-0.43043478260869567"/>
    <n v="5.3649407361197755E-2"/>
  </r>
  <r>
    <n v="2025"/>
    <s v="18132332547    "/>
    <n v="-1.1394342831883648"/>
    <n v="0.32"/>
    <m/>
    <s v="6"/>
    <s v="RES"/>
    <x v="0"/>
    <s v="11"/>
    <s v="259"/>
    <s v="CO"/>
    <s v="G"/>
    <s v="GD"/>
    <x v="10"/>
    <n v="104"/>
    <n v="58"/>
    <n v="1920"/>
    <n v="1966"/>
    <n v="1595"/>
    <n v="752"/>
    <n v="1595"/>
    <n v="301"/>
    <n v="1294"/>
    <m/>
    <n v="3641"/>
    <n v="4000"/>
    <n v="8"/>
    <m/>
    <m/>
    <m/>
    <m/>
    <m/>
    <m/>
    <m/>
    <n v="649629"/>
    <n v="415763"/>
    <n v="12110"/>
    <n v="457700"/>
    <n v="74800"/>
    <n v="382900"/>
    <n v="0"/>
    <n v="0"/>
    <n v="89850.625589999996"/>
    <n v="-36068.354396449467"/>
    <n v="44121.038090000002"/>
    <n v="197752.34721000001"/>
    <n v="-12936.644829000001"/>
    <n v="78806.828453815004"/>
    <n v="33679.389991472002"/>
    <n v="0"/>
    <n v="46385.622918964997"/>
    <n v="30336.176841600001"/>
    <n v="0"/>
    <n v="12100"/>
    <n v="418100"/>
    <n v="53800"/>
    <n v="484000"/>
    <n v="5.7461219139174131E-2"/>
    <n v="0.99970000000000003"/>
    <n v="0.98050000000000004"/>
    <n v="0.99650000000000005"/>
    <n v="0.94579999999999997"/>
    <n v="0.96040000000000003"/>
    <n v="0.94971499999999998"/>
    <n v="0.84288758965297927"/>
    <n v="418100"/>
    <n v="11500"/>
    <n v="429600"/>
    <n v="51100"/>
    <n v="480700"/>
    <n v="0.12196395925829198"/>
    <n v="-0.31684491978609625"/>
    <n v="5.0251256281407038E-2"/>
  </r>
  <r>
    <n v="2025"/>
    <s v="18132214486    "/>
    <n v="-1.6094379124341003"/>
    <n v="0.2"/>
    <n v="8916"/>
    <s v="6"/>
    <s v="RES"/>
    <x v="0"/>
    <s v="11"/>
    <s v="400"/>
    <s v="BG"/>
    <s v="F+"/>
    <s v="AV"/>
    <x v="10"/>
    <n v="104"/>
    <n v="58"/>
    <n v="1920"/>
    <n v="1966"/>
    <n v="816"/>
    <m/>
    <n v="816"/>
    <n v="816"/>
    <m/>
    <m/>
    <n v="816"/>
    <n v="1000"/>
    <n v="5"/>
    <n v="576"/>
    <m/>
    <m/>
    <m/>
    <m/>
    <m/>
    <m/>
    <n v="195607"/>
    <n v="121276"/>
    <n v="0"/>
    <n v="254700"/>
    <n v="58400"/>
    <n v="196300"/>
    <n v="0"/>
    <n v="0"/>
    <n v="89850.625589999996"/>
    <n v="-50946.13867709865"/>
    <n v="0"/>
    <n v="160472.20319"/>
    <n v="-12936.644829000001"/>
    <n v="40317.474619631997"/>
    <n v="0"/>
    <n v="0"/>
    <n v="23730.826521552"/>
    <n v="18960.110526"/>
    <n v="0"/>
    <n v="0"/>
    <n v="230500"/>
    <n v="38900"/>
    <n v="269400"/>
    <n v="5.7714958775029447E-2"/>
    <n v="0.99970000000000003"/>
    <n v="0.99180000000000001"/>
    <n v="0.99729999999999996"/>
    <n v="1.0148999999999999"/>
    <n v="0.96040000000000003"/>
    <n v="0.94971499999999998"/>
    <n v="0.91562707088635698"/>
    <n v="230500"/>
    <n v="0"/>
    <n v="230500"/>
    <n v="36900"/>
    <n v="267400"/>
    <n v="0.17422312786551197"/>
    <n v="-0.36815068493150682"/>
    <n v="4.9862583431488028E-2"/>
  </r>
  <r>
    <n v="2025"/>
    <s v="18132333468    "/>
    <n v="-1.5141277326297755"/>
    <n v="0.22"/>
    <m/>
    <s v="6"/>
    <s v="RES"/>
    <x v="0"/>
    <s v="11"/>
    <s v="259"/>
    <s v="BG"/>
    <s v="F+"/>
    <s v="GD"/>
    <x v="10"/>
    <n v="104"/>
    <n v="58"/>
    <n v="1920"/>
    <n v="1966"/>
    <n v="1232"/>
    <m/>
    <m/>
    <n v="0"/>
    <m/>
    <m/>
    <n v="1232"/>
    <n v="1500"/>
    <n v="8"/>
    <m/>
    <m/>
    <m/>
    <m/>
    <m/>
    <m/>
    <m/>
    <n v="211111"/>
    <n v="135111"/>
    <n v="5642"/>
    <n v="306400"/>
    <n v="61700"/>
    <n v="244700"/>
    <n v="0"/>
    <n v="0"/>
    <n v="89850.625589999996"/>
    <n v="-47929.131559187132"/>
    <n v="0"/>
    <n v="197752.34721000001"/>
    <n v="-12936.644829000001"/>
    <n v="60871.481288464005"/>
    <n v="0"/>
    <n v="0"/>
    <n v="0"/>
    <n v="30336.176841600001"/>
    <n v="0"/>
    <n v="5600"/>
    <n v="276000"/>
    <n v="41900"/>
    <n v="323500"/>
    <n v="5.580939947780679E-2"/>
    <n v="0.99970000000000003"/>
    <n v="0.99180000000000001"/>
    <n v="0.99650000000000005"/>
    <n v="1.0157"/>
    <n v="0.96040000000000003"/>
    <n v="0.94971499999999998"/>
    <n v="0.91561375477670459"/>
    <n v="276000"/>
    <n v="5400"/>
    <n v="281400"/>
    <n v="39800"/>
    <n v="321200"/>
    <n v="0.14997956681651001"/>
    <n v="-0.35494327390599678"/>
    <n v="4.8302872062663184E-2"/>
  </r>
  <r>
    <n v="2025"/>
    <s v="18132334001    "/>
    <n v="-1.0788096613719298"/>
    <n v="0.34"/>
    <n v="14671"/>
    <s v="6"/>
    <s v="RES"/>
    <x v="0"/>
    <s v="11"/>
    <s v="259"/>
    <s v="CL"/>
    <s v="G"/>
    <s v="GD"/>
    <x v="10"/>
    <n v="104"/>
    <n v="58"/>
    <n v="1920"/>
    <n v="1966"/>
    <n v="1702"/>
    <n v="1650"/>
    <n v="1590"/>
    <n v="397"/>
    <n v="1193"/>
    <m/>
    <n v="4545"/>
    <n v="4500"/>
    <n v="16"/>
    <m/>
    <m/>
    <n v="75"/>
    <m/>
    <m/>
    <m/>
    <m/>
    <n v="772888"/>
    <n v="494648"/>
    <n v="78016"/>
    <n v="594900"/>
    <n v="76900"/>
    <n v="518000"/>
    <n v="0"/>
    <n v="0"/>
    <n v="89850.625589999996"/>
    <n v="-34149.305288406773"/>
    <n v="44121.038090000002"/>
    <n v="197752.34721000001"/>
    <n v="-12936.644829000001"/>
    <n v="84093.556130654004"/>
    <n v="73897.597720649996"/>
    <n v="0"/>
    <n v="46240.213442729997"/>
    <n v="60672.353683200003"/>
    <n v="2497.1636457000004"/>
    <n v="78000"/>
    <n v="496300"/>
    <n v="55700"/>
    <n v="630000"/>
    <n v="5.9001512859304085E-2"/>
    <n v="0.99970000000000003"/>
    <n v="0.98050000000000004"/>
    <n v="0.99650000000000005"/>
    <n v="1"/>
    <n v="0.96040000000000003"/>
    <n v="0.94971499999999998"/>
    <n v="0.89119009267601956"/>
    <n v="496300"/>
    <n v="74100"/>
    <n v="570400"/>
    <n v="52900"/>
    <n v="623300"/>
    <n v="0.10115830115830116"/>
    <n v="-0.31209362808842656"/>
    <n v="4.7739115817784498E-2"/>
  </r>
  <r>
    <n v="2025"/>
    <s v="18132331025    "/>
    <n v="-1.8971199848858813"/>
    <n v="0.15"/>
    <n v="6520"/>
    <s v="6"/>
    <s v="RES"/>
    <x v="0"/>
    <s v="11"/>
    <s v="259"/>
    <s v="TD"/>
    <s v="A"/>
    <s v="AV"/>
    <x v="10"/>
    <n v="104"/>
    <n v="58"/>
    <n v="1920"/>
    <n v="1966"/>
    <n v="1298"/>
    <m/>
    <n v="1066"/>
    <n v="100"/>
    <n v="966"/>
    <m/>
    <n v="2264"/>
    <n v="2500"/>
    <n v="8"/>
    <m/>
    <m/>
    <n v="240"/>
    <m/>
    <m/>
    <m/>
    <m/>
    <n v="308888"/>
    <n v="191511"/>
    <n v="5613"/>
    <n v="321600"/>
    <n v="48400"/>
    <n v="273200"/>
    <n v="0"/>
    <n v="0"/>
    <n v="89850.625589999996"/>
    <n v="-60052.604136134301"/>
    <n v="21557.329055999999"/>
    <n v="160472.20319"/>
    <n v="-12936.644829000001"/>
    <n v="64132.453500346004"/>
    <n v="0"/>
    <n v="0"/>
    <n v="31001.300333301999"/>
    <n v="30336.176841600001"/>
    <n v="7990.9236662400008"/>
    <n v="5600"/>
    <n v="302600"/>
    <n v="29800"/>
    <n v="338000"/>
    <n v="5.0995024875621887E-2"/>
    <n v="0.99970000000000003"/>
    <n v="1.0067999999999999"/>
    <n v="0.99729999999999996"/>
    <n v="0.98919999999999997"/>
    <n v="0.96040000000000003"/>
    <n v="0.94971499999999998"/>
    <n v="0.90593822040577598"/>
    <n v="302600"/>
    <n v="5300"/>
    <n v="307900"/>
    <n v="28300"/>
    <n v="336200"/>
    <n v="0.12701317715959004"/>
    <n v="-0.41528925619834711"/>
    <n v="4.5398009950248758E-2"/>
  </r>
  <r>
    <n v="2025"/>
    <s v="18132331429    "/>
    <n v="-1.8325814637483102"/>
    <n v="0.16"/>
    <n v="6805"/>
    <s v="6"/>
    <s v="RES"/>
    <x v="0"/>
    <s v="11"/>
    <s v="259"/>
    <s v="BG"/>
    <s v="A"/>
    <s v="AV"/>
    <x v="10"/>
    <n v="104"/>
    <n v="58"/>
    <n v="1920"/>
    <n v="1966"/>
    <n v="1176"/>
    <n v="392"/>
    <n v="1176"/>
    <n v="588"/>
    <n v="588"/>
    <m/>
    <n v="2156"/>
    <n v="2500"/>
    <n v="7"/>
    <n v="392"/>
    <m/>
    <m/>
    <m/>
    <m/>
    <m/>
    <m/>
    <n v="323195"/>
    <n v="200381"/>
    <n v="0"/>
    <n v="323600"/>
    <n v="50600"/>
    <n v="273000"/>
    <n v="0"/>
    <n v="0"/>
    <n v="89850.625589999996"/>
    <n v="-58009.662049032086"/>
    <n v="21557.329055999999"/>
    <n v="160472.20319"/>
    <n v="-12936.644829000001"/>
    <n v="58104.595775351998"/>
    <n v="17556.277761511999"/>
    <n v="0"/>
    <n v="34200.308810472001"/>
    <n v="26544.1547364"/>
    <n v="0"/>
    <n v="0"/>
    <n v="305500"/>
    <n v="31800"/>
    <n v="337300"/>
    <n v="4.2336217552533993E-2"/>
    <n v="0.99970000000000003"/>
    <n v="1.0067999999999999"/>
    <n v="0.99729999999999996"/>
    <n v="0.98919999999999997"/>
    <n v="0.96040000000000003"/>
    <n v="0.94971499999999998"/>
    <n v="0.90593822040577598"/>
    <n v="305500"/>
    <n v="0"/>
    <n v="305500"/>
    <n v="30200"/>
    <n v="335700"/>
    <n v="0.11904761904761904"/>
    <n v="-0.40316205533596838"/>
    <n v="3.7391841779975281E-2"/>
  </r>
  <r>
    <n v="2025"/>
    <s v="18132333462    "/>
    <n v="-1.7719568419318752"/>
    <n v="0.17"/>
    <n v="7198"/>
    <s v="6"/>
    <s v="RES"/>
    <x v="0"/>
    <s v="11"/>
    <s v="259"/>
    <s v="TD"/>
    <s v="F+"/>
    <s v="GD"/>
    <x v="10"/>
    <n v="104"/>
    <n v="58"/>
    <n v="1920"/>
    <n v="1966"/>
    <n v="1187"/>
    <m/>
    <n v="864"/>
    <n v="0"/>
    <n v="864"/>
    <m/>
    <n v="2051"/>
    <n v="2500"/>
    <n v="7"/>
    <m/>
    <m/>
    <m/>
    <m/>
    <m/>
    <m/>
    <m/>
    <n v="248182"/>
    <n v="158836"/>
    <n v="6480"/>
    <n v="322100"/>
    <n v="52700"/>
    <n v="269400"/>
    <n v="0"/>
    <n v="0"/>
    <n v="89850.625589999996"/>
    <n v="-56090.612940989391"/>
    <n v="0"/>
    <n v="197752.34721000001"/>
    <n v="-12936.644829000001"/>
    <n v="58648.091143999001"/>
    <n v="0"/>
    <n v="0"/>
    <n v="25126.757493408"/>
    <n v="26544.1547364"/>
    <n v="0"/>
    <n v="6500"/>
    <n v="295100"/>
    <n v="33800"/>
    <n v="335400"/>
    <n v="4.1291524371313254E-2"/>
    <n v="0.99970000000000003"/>
    <n v="0.99180000000000001"/>
    <n v="0.99650000000000005"/>
    <n v="0.98919999999999997"/>
    <n v="0.96040000000000003"/>
    <n v="0.94971499999999998"/>
    <n v="0.89172504304924294"/>
    <n v="295100"/>
    <n v="6200"/>
    <n v="301300"/>
    <n v="32100"/>
    <n v="333400"/>
    <n v="0.1184112843355605"/>
    <n v="-0.39089184060721061"/>
    <n v="3.5082272586153367E-2"/>
  </r>
  <r>
    <n v="2025"/>
    <s v="18132324485    "/>
    <n v="-1.5141277326297755"/>
    <n v="0.22"/>
    <m/>
    <s v="6"/>
    <s v="RES"/>
    <x v="0"/>
    <s v="11"/>
    <s v="259"/>
    <s v="FH"/>
    <s v="A"/>
    <s v="AV"/>
    <x v="10"/>
    <n v="104"/>
    <n v="58"/>
    <n v="1920"/>
    <n v="1966"/>
    <n v="1349"/>
    <n v="500"/>
    <n v="485"/>
    <n v="485"/>
    <m/>
    <m/>
    <n v="1849"/>
    <n v="2000"/>
    <n v="7"/>
    <m/>
    <m/>
    <m/>
    <m/>
    <m/>
    <m/>
    <m/>
    <n v="294291"/>
    <n v="182460"/>
    <n v="7573"/>
    <n v="334700"/>
    <n v="61700"/>
    <n v="273000"/>
    <n v="0"/>
    <n v="0"/>
    <n v="89850.625589999996"/>
    <n v="-47929.131559187132"/>
    <n v="21557.329055999999"/>
    <n v="160472.20319"/>
    <n v="-12936.644829000001"/>
    <n v="66652.295664072997"/>
    <n v="22393.2114305"/>
    <n v="0"/>
    <n v="14104.719194795"/>
    <n v="26544.1547364"/>
    <n v="0"/>
    <n v="7600"/>
    <n v="298800"/>
    <n v="41900"/>
    <n v="348300"/>
    <n v="4.0633403047505227E-2"/>
    <n v="0.99970000000000003"/>
    <n v="1.0067999999999999"/>
    <n v="0.99729999999999996"/>
    <n v="1.0093000000000001"/>
    <n v="0.96040000000000003"/>
    <n v="0.94971499999999998"/>
    <n v="0.92434638683335013"/>
    <n v="298800"/>
    <n v="7200"/>
    <n v="306000"/>
    <n v="39800"/>
    <n v="345800"/>
    <n v="0.12087912087912088"/>
    <n v="-0.35494327390599678"/>
    <n v="3.3164027487302059E-2"/>
  </r>
  <r>
    <n v="2025"/>
    <s v="18132242451    "/>
    <n v="-1.2378743560016174"/>
    <n v="0.28999999999999998"/>
    <n v="12815"/>
    <s v="6"/>
    <s v="RES"/>
    <x v="0"/>
    <s v="11"/>
    <s v="259"/>
    <s v="BG"/>
    <s v="F+"/>
    <s v="AV"/>
    <x v="10"/>
    <n v="104"/>
    <n v="58"/>
    <n v="1920"/>
    <n v="1966"/>
    <n v="1552"/>
    <n v="430"/>
    <n v="1364"/>
    <n v="1364"/>
    <n v="0"/>
    <m/>
    <n v="1982"/>
    <n v="2000"/>
    <n v="10"/>
    <m/>
    <m/>
    <m/>
    <m/>
    <m/>
    <m/>
    <m/>
    <n v="338344"/>
    <n v="209773"/>
    <n v="35172"/>
    <n v="389700"/>
    <n v="71400"/>
    <n v="318300"/>
    <n v="0"/>
    <n v="0"/>
    <n v="89850.625589999996"/>
    <n v="-39184.437074869042"/>
    <n v="0"/>
    <n v="160472.20319"/>
    <n v="-12936.644829000001"/>
    <n v="76682.255649104001"/>
    <n v="19258.161830229998"/>
    <n v="0"/>
    <n v="39667.705116908"/>
    <n v="37920.221052000001"/>
    <n v="0"/>
    <n v="35200"/>
    <n v="321100"/>
    <n v="50700"/>
    <n v="407000"/>
    <n v="4.4393122915062866E-2"/>
    <n v="0.99970000000000003"/>
    <n v="0.99180000000000001"/>
    <n v="0.99729999999999996"/>
    <n v="1.0093000000000001"/>
    <n v="0.96040000000000003"/>
    <n v="0.94971499999999998"/>
    <n v="0.91057483756586888"/>
    <n v="321100"/>
    <n v="33400"/>
    <n v="354500"/>
    <n v="48100"/>
    <n v="402600"/>
    <n v="0.1137291863022306"/>
    <n v="-0.32633053221288516"/>
    <n v="3.3102386451116246E-2"/>
  </r>
  <r>
    <n v="2025"/>
    <s v="18132334402    "/>
    <n v="-1.6607312068216509"/>
    <n v="0.19"/>
    <n v="8158"/>
    <s v="6"/>
    <s v="RES"/>
    <x v="0"/>
    <s v="11"/>
    <s v="259"/>
    <s v="BG"/>
    <s v="A"/>
    <s v="GD"/>
    <x v="10"/>
    <n v="104"/>
    <n v="58"/>
    <n v="1920"/>
    <n v="1966"/>
    <n v="1288"/>
    <m/>
    <n v="1112"/>
    <n v="0"/>
    <n v="1112"/>
    <m/>
    <n v="2400"/>
    <n v="2500"/>
    <n v="9"/>
    <m/>
    <m/>
    <m/>
    <m/>
    <m/>
    <m/>
    <m/>
    <n v="312564"/>
    <n v="200041"/>
    <n v="9486"/>
    <n v="368800"/>
    <n v="56600"/>
    <n v="312200"/>
    <n v="0"/>
    <n v="0"/>
    <n v="89850.625589999996"/>
    <n v="-52569.808201026557"/>
    <n v="21557.329055999999"/>
    <n v="197752.34721000001"/>
    <n v="-12936.644829000001"/>
    <n v="63638.366801576005"/>
    <n v="0"/>
    <n v="0"/>
    <n v="32339.067514663999"/>
    <n v="34128.198946800003"/>
    <n v="0"/>
    <n v="9500"/>
    <n v="336500"/>
    <n v="37300"/>
    <n v="383300"/>
    <n v="3.9316702819956618E-2"/>
    <n v="0.99970000000000003"/>
    <n v="1.0067999999999999"/>
    <n v="0.99650000000000005"/>
    <n v="0.98919999999999997"/>
    <n v="0.96040000000000003"/>
    <n v="0.94971499999999998"/>
    <n v="0.90521150770515979"/>
    <n v="336500"/>
    <n v="9000"/>
    <n v="345500"/>
    <n v="35400"/>
    <n v="380900"/>
    <n v="0.10666239590006406"/>
    <n v="-0.37455830388692579"/>
    <n v="3.2809110629067245E-2"/>
  </r>
  <r>
    <n v="2025"/>
    <s v="18132332425    "/>
    <n v="-1.7147984280919266"/>
    <n v="0.18"/>
    <m/>
    <s v="6"/>
    <s v="RES"/>
    <x v="0"/>
    <s v="11"/>
    <s v="259"/>
    <s v="BG"/>
    <s v="A"/>
    <s v="AV"/>
    <x v="10"/>
    <n v="104"/>
    <n v="58"/>
    <n v="1920"/>
    <n v="1966"/>
    <n v="1247"/>
    <m/>
    <n v="1247"/>
    <n v="615"/>
    <n v="632"/>
    <m/>
    <n v="1879"/>
    <n v="2000"/>
    <n v="8"/>
    <n v="504"/>
    <m/>
    <m/>
    <m/>
    <m/>
    <m/>
    <m/>
    <n v="306877"/>
    <n v="190264"/>
    <n v="0"/>
    <n v="322500"/>
    <n v="54700"/>
    <n v="267800"/>
    <n v="0"/>
    <n v="0"/>
    <n v="89850.625589999996"/>
    <n v="-54281.285314520763"/>
    <n v="21557.329055999999"/>
    <n v="160472.20319"/>
    <n v="-12936.644829000001"/>
    <n v="61612.611336619004"/>
    <n v="0"/>
    <n v="0"/>
    <n v="36265.123373008995"/>
    <n v="30336.176841600001"/>
    <n v="0"/>
    <n v="0"/>
    <n v="297300"/>
    <n v="35600"/>
    <n v="332900"/>
    <n v="3.2248062015503877E-2"/>
    <n v="0.99970000000000003"/>
    <n v="1.0067999999999999"/>
    <n v="0.99729999999999996"/>
    <n v="1.0093000000000001"/>
    <n v="0.96040000000000003"/>
    <n v="0.94971499999999998"/>
    <n v="0.92434638683335013"/>
    <n v="297300"/>
    <n v="0"/>
    <n v="297300"/>
    <n v="33800"/>
    <n v="331100"/>
    <n v="0.11015683345780433"/>
    <n v="-0.38208409506398539"/>
    <n v="2.6666666666666668E-2"/>
  </r>
  <r>
    <n v="2025"/>
    <s v="18132344410    "/>
    <n v="-1.2729656758128873"/>
    <n v="0.28000000000000003"/>
    <m/>
    <s v="6"/>
    <s v="RES"/>
    <x v="0"/>
    <s v="11"/>
    <s v="259"/>
    <s v="TD"/>
    <s v="A"/>
    <s v="AV"/>
    <x v="10"/>
    <n v="104"/>
    <n v="58"/>
    <n v="1920"/>
    <n v="1966"/>
    <n v="1432"/>
    <m/>
    <n v="477"/>
    <n v="1"/>
    <n v="476"/>
    <m/>
    <n v="1908"/>
    <n v="2000"/>
    <n v="6"/>
    <m/>
    <m/>
    <m/>
    <m/>
    <m/>
    <m/>
    <m/>
    <n v="287242"/>
    <n v="178090"/>
    <n v="13191"/>
    <n v="327600"/>
    <n v="70100"/>
    <n v="257500"/>
    <n v="0"/>
    <n v="0"/>
    <n v="89850.625589999996"/>
    <n v="-40295.239319339329"/>
    <n v="21557.329055999999"/>
    <n v="160472.20319"/>
    <n v="-12936.644829000001"/>
    <n v="70753.215263863996"/>
    <n v="0"/>
    <n v="0"/>
    <n v="13872.064032818998"/>
    <n v="22752.132631200002"/>
    <n v="0"/>
    <n v="13200"/>
    <n v="276500"/>
    <n v="49600"/>
    <n v="339300"/>
    <n v="3.5714285714285712E-2"/>
    <n v="0.99970000000000003"/>
    <n v="1.0067999999999999"/>
    <n v="0.99729999999999996"/>
    <n v="1.0093000000000001"/>
    <n v="0.96040000000000003"/>
    <n v="0.94971499999999998"/>
    <n v="0.92434638683335013"/>
    <n v="276500"/>
    <n v="12500"/>
    <n v="289000"/>
    <n v="47100"/>
    <n v="336100"/>
    <n v="0.12233009708737864"/>
    <n v="-0.32810271041369471"/>
    <n v="2.5946275946275948E-2"/>
  </r>
  <r>
    <n v="2025"/>
    <s v="18132242421    "/>
    <n v="-0.89159811928378363"/>
    <n v="0.41"/>
    <n v="17922"/>
    <s v="6"/>
    <s v="RES"/>
    <x v="0"/>
    <s v="11"/>
    <s v="259"/>
    <s v="TD"/>
    <s v="F+"/>
    <s v="AV"/>
    <x v="10"/>
    <n v="104"/>
    <n v="58"/>
    <n v="1920"/>
    <n v="1966"/>
    <n v="1392"/>
    <m/>
    <n v="576"/>
    <n v="476"/>
    <n v="100"/>
    <m/>
    <n v="1492"/>
    <n v="1500"/>
    <n v="8"/>
    <m/>
    <m/>
    <m/>
    <m/>
    <m/>
    <m/>
    <m/>
    <n v="236654"/>
    <n v="146725"/>
    <n v="24426"/>
    <n v="337200"/>
    <n v="83400"/>
    <n v="253800"/>
    <n v="0"/>
    <n v="0"/>
    <n v="89850.625589999996"/>
    <n v="-28223.195861326454"/>
    <n v="0"/>
    <n v="160472.20319"/>
    <n v="-12936.644829000001"/>
    <n v="68776.868468784"/>
    <n v="0"/>
    <n v="0"/>
    <n v="16751.171662271998"/>
    <n v="30336.176841600001"/>
    <n v="0"/>
    <n v="24400"/>
    <n v="263400"/>
    <n v="61600"/>
    <n v="349400"/>
    <n v="3.6180308422301306E-2"/>
    <n v="0.99970000000000003"/>
    <n v="0.99180000000000001"/>
    <n v="0.99729999999999996"/>
    <n v="1.0157"/>
    <n v="0.96040000000000003"/>
    <n v="0.94971499999999998"/>
    <n v="0.91634881850356975"/>
    <n v="263400"/>
    <n v="23200"/>
    <n v="286600"/>
    <n v="58500"/>
    <n v="345100"/>
    <n v="0.12923561859732072"/>
    <n v="-0.29856115107913667"/>
    <n v="2.34282325029656E-2"/>
  </r>
  <r>
    <n v="2025"/>
    <s v="18132243468    "/>
    <n v="-1.0216512475319814"/>
    <n v="0.36"/>
    <n v="15772"/>
    <s v="6"/>
    <s v="RES"/>
    <x v="0"/>
    <s v="11"/>
    <s v="259"/>
    <s v="BG"/>
    <s v="A"/>
    <s v="AV"/>
    <x v="10"/>
    <n v="104"/>
    <n v="58"/>
    <n v="1920"/>
    <n v="1966"/>
    <n v="1567"/>
    <m/>
    <n v="160"/>
    <n v="160"/>
    <m/>
    <m/>
    <n v="1567"/>
    <n v="2000"/>
    <n v="6"/>
    <m/>
    <m/>
    <n v="180"/>
    <m/>
    <m/>
    <m/>
    <m/>
    <n v="275898"/>
    <n v="171057"/>
    <n v="5618"/>
    <n v="332100"/>
    <n v="78900"/>
    <n v="253200"/>
    <n v="0"/>
    <n v="0"/>
    <n v="89850.625589999996"/>
    <n v="-32339.977661938148"/>
    <n v="21557.329055999999"/>
    <n v="160472.20319"/>
    <n v="-12936.644829000001"/>
    <n v="77423.385697259"/>
    <n v="0"/>
    <n v="0"/>
    <n v="4653.10323952"/>
    <n v="22752.132631200002"/>
    <n v="5993.1927496800008"/>
    <n v="5600"/>
    <n v="279900"/>
    <n v="57500"/>
    <n v="343000"/>
    <n v="3.2821439325504367E-2"/>
    <n v="0.99970000000000003"/>
    <n v="1.0067999999999999"/>
    <n v="0.99729999999999996"/>
    <n v="1.0093000000000001"/>
    <n v="0.96040000000000003"/>
    <n v="0.94971499999999998"/>
    <n v="0.92434638683335013"/>
    <n v="279900"/>
    <n v="5300"/>
    <n v="285200"/>
    <n v="54600"/>
    <n v="339800"/>
    <n v="0.1263823064770932"/>
    <n v="-0.30798479087452474"/>
    <n v="2.3185787413429689E-2"/>
  </r>
  <r>
    <n v="2025"/>
    <s v="18132341418    "/>
    <n v="-0.96758402626170559"/>
    <n v="0.38"/>
    <n v="16400"/>
    <s v="6"/>
    <s v="RES"/>
    <x v="0"/>
    <s v="11"/>
    <s v="259"/>
    <s v="BG"/>
    <s v="A"/>
    <s v="GD"/>
    <x v="10"/>
    <n v="104"/>
    <n v="58"/>
    <n v="1920"/>
    <n v="1966"/>
    <n v="1680"/>
    <m/>
    <n v="1056"/>
    <n v="56"/>
    <n v="1000"/>
    <m/>
    <n v="2680"/>
    <n v="3000"/>
    <n v="11"/>
    <m/>
    <m/>
    <n v="80"/>
    <m/>
    <m/>
    <m/>
    <m/>
    <n v="353785"/>
    <n v="226422"/>
    <n v="9004"/>
    <n v="421700"/>
    <n v="80800"/>
    <n v="340900"/>
    <n v="0"/>
    <n v="0"/>
    <n v="89850.625589999996"/>
    <n v="-30628.500548443946"/>
    <n v="21557.329055999999"/>
    <n v="197752.34721000001"/>
    <n v="-12936.644829000001"/>
    <n v="83006.565393359997"/>
    <n v="0"/>
    <n v="0"/>
    <n v="30710.481380832"/>
    <n v="41712.243157199999"/>
    <n v="2663.6412220800003"/>
    <n v="9000"/>
    <n v="364500"/>
    <n v="59200"/>
    <n v="432700"/>
    <n v="2.6084894474745081E-2"/>
    <n v="0.99970000000000003"/>
    <n v="1.0067999999999999"/>
    <n v="0.99650000000000005"/>
    <n v="0.96179999999999999"/>
    <n v="0.96040000000000003"/>
    <n v="0.94971499999999998"/>
    <n v="0.88013791762113103"/>
    <n v="364500"/>
    <n v="8600"/>
    <n v="373100"/>
    <n v="56200"/>
    <n v="429300"/>
    <n v="9.4455852156057493E-2"/>
    <n v="-0.30445544554455445"/>
    <n v="1.802229072800569E-2"/>
  </r>
  <r>
    <n v="2025"/>
    <s v="18132332584    "/>
    <n v="-1.1711829815029451"/>
    <n v="0.31"/>
    <n v="13286"/>
    <s v="6"/>
    <s v="RES"/>
    <x v="0"/>
    <s v="11"/>
    <s v="259"/>
    <s v="TD"/>
    <s v="A"/>
    <s v="AV"/>
    <x v="10"/>
    <n v="104"/>
    <n v="58"/>
    <n v="1920"/>
    <n v="1966"/>
    <n v="1494"/>
    <m/>
    <n v="546"/>
    <n v="0"/>
    <n v="546"/>
    <m/>
    <n v="2040"/>
    <n v="2500"/>
    <n v="5"/>
    <m/>
    <m/>
    <m/>
    <m/>
    <m/>
    <m/>
    <m/>
    <n v="286710"/>
    <n v="177760"/>
    <n v="4877"/>
    <n v="327800"/>
    <n v="73700"/>
    <n v="254100"/>
    <n v="0"/>
    <n v="0"/>
    <n v="89850.625589999996"/>
    <n v="-37073.347241874442"/>
    <n v="21557.329055999999"/>
    <n v="160472.20319"/>
    <n v="-12936.644829000001"/>
    <n v="73816.552796238"/>
    <n v="0"/>
    <n v="0"/>
    <n v="15878.714804861998"/>
    <n v="18960.110526"/>
    <n v="0"/>
    <n v="4900"/>
    <n v="277700"/>
    <n v="52800"/>
    <n v="335400"/>
    <n v="2.3184868822452714E-2"/>
    <n v="0.99970000000000003"/>
    <n v="1.0067999999999999"/>
    <n v="0.99729999999999996"/>
    <n v="0.98919999999999997"/>
    <n v="0.96040000000000003"/>
    <n v="0.94971499999999998"/>
    <n v="0.90593822040577598"/>
    <n v="277700"/>
    <n v="4600"/>
    <n v="282300"/>
    <n v="50100"/>
    <n v="332400"/>
    <n v="0.11097992916174734"/>
    <n v="-0.32021709633649931"/>
    <n v="1.4032946918852958E-2"/>
  </r>
  <r>
    <n v="2025"/>
    <s v="18132213058    "/>
    <n v="-1.5606477482646683"/>
    <n v="0.21"/>
    <n v="9044"/>
    <s v="6"/>
    <s v="RES"/>
    <x v="0"/>
    <s v="11"/>
    <s v="259"/>
    <s v="TD"/>
    <s v="F+"/>
    <s v="AV"/>
    <x v="10"/>
    <n v="104"/>
    <n v="58"/>
    <n v="1920"/>
    <n v="1966"/>
    <n v="828"/>
    <m/>
    <n v="828"/>
    <n v="166"/>
    <n v="662"/>
    <m/>
    <n v="1490"/>
    <n v="1500"/>
    <n v="5"/>
    <m/>
    <m/>
    <m/>
    <m/>
    <m/>
    <m/>
    <m/>
    <n v="186315"/>
    <n v="115515"/>
    <n v="4603"/>
    <n v="272500"/>
    <n v="60100"/>
    <n v="212400"/>
    <n v="0"/>
    <n v="0"/>
    <n v="89850.625589999996"/>
    <n v="-49401.70477837498"/>
    <n v="0"/>
    <n v="160472.20319"/>
    <n v="-12936.644829000001"/>
    <n v="40910.378658155998"/>
    <n v="0"/>
    <n v="0"/>
    <n v="24079.809264516"/>
    <n v="18960.110526"/>
    <n v="0"/>
    <n v="4600"/>
    <n v="231500"/>
    <n v="40400"/>
    <n v="276500"/>
    <n v="1.4678899082568808E-2"/>
    <n v="0.99970000000000003"/>
    <n v="0.99180000000000001"/>
    <n v="0.99729999999999996"/>
    <n v="1.0157"/>
    <n v="0.96040000000000003"/>
    <n v="0.94971499999999998"/>
    <n v="0.91634881850356975"/>
    <n v="231500"/>
    <n v="4400"/>
    <n v="235900"/>
    <n v="38400"/>
    <n v="274300"/>
    <n v="0.11064030131826742"/>
    <n v="-0.36106489184692181"/>
    <n v="6.6055045871559635E-3"/>
  </r>
  <r>
    <n v="2025"/>
    <s v="18132324476    "/>
    <n v="-1.8325814637483102"/>
    <n v="0.16"/>
    <m/>
    <s v="6"/>
    <s v="RES"/>
    <x v="0"/>
    <s v="11"/>
    <s v="259"/>
    <s v="TD"/>
    <s v="A+"/>
    <s v="AV"/>
    <x v="10"/>
    <n v="104"/>
    <n v="58"/>
    <n v="1920"/>
    <n v="1966"/>
    <n v="1194"/>
    <m/>
    <n v="1194"/>
    <n v="0"/>
    <n v="1194"/>
    <m/>
    <n v="2388"/>
    <n v="2500"/>
    <n v="8"/>
    <n v="240"/>
    <m/>
    <m/>
    <m/>
    <m/>
    <m/>
    <m/>
    <n v="355027"/>
    <n v="220117"/>
    <n v="0"/>
    <n v="329700"/>
    <n v="50600"/>
    <n v="279100"/>
    <n v="0"/>
    <n v="0"/>
    <n v="89850.625589999996"/>
    <n v="-58009.662049032086"/>
    <n v="29814.093161000001"/>
    <n v="160472.20319"/>
    <n v="-12936.644829000001"/>
    <n v="58993.951833138002"/>
    <n v="0"/>
    <n v="0"/>
    <n v="34723.782924917999"/>
    <n v="30336.176841600001"/>
    <n v="0"/>
    <n v="0"/>
    <n v="301400"/>
    <n v="31800"/>
    <n v="333200"/>
    <n v="1.0615711252653927E-2"/>
    <n v="0.99970000000000003"/>
    <n v="1.0088999999999999"/>
    <n v="0.99729999999999996"/>
    <n v="0.98919999999999997"/>
    <n v="0.96040000000000003"/>
    <n v="0.94971499999999998"/>
    <n v="0.90782784124690863"/>
    <n v="301400"/>
    <n v="0"/>
    <n v="301400"/>
    <n v="30200"/>
    <n v="331600"/>
    <n v="7.9899677534933711E-2"/>
    <n v="-0.40316205533596838"/>
    <n v="5.7628146800121323E-3"/>
  </r>
  <r>
    <n v="2025"/>
    <s v="18132341005    "/>
    <n v="-1.2378743560016174"/>
    <n v="0.28999999999999998"/>
    <n v="12844"/>
    <s v="6"/>
    <s v="RES"/>
    <x v="0"/>
    <s v="11"/>
    <s v="259"/>
    <s v="MS"/>
    <s v="G"/>
    <s v="FR"/>
    <x v="10"/>
    <n v="104"/>
    <n v="58"/>
    <n v="1920"/>
    <n v="1966"/>
    <n v="1875"/>
    <m/>
    <n v="1875"/>
    <n v="395"/>
    <n v="1480"/>
    <m/>
    <n v="3355"/>
    <n v="3500"/>
    <n v="11"/>
    <n v="483"/>
    <n v="176"/>
    <m/>
    <m/>
    <m/>
    <m/>
    <m/>
    <n v="639296"/>
    <n v="383578"/>
    <n v="0"/>
    <n v="402000"/>
    <n v="71400"/>
    <n v="330600"/>
    <n v="0"/>
    <n v="0"/>
    <n v="89850.625589999996"/>
    <n v="-39184.437074869042"/>
    <n v="44121.038090000002"/>
    <n v="133714.53821"/>
    <n v="-12936.644829000001"/>
    <n v="92641.256019374996"/>
    <n v="0"/>
    <n v="0"/>
    <n v="54528.553588124996"/>
    <n v="41712.243157199999"/>
    <n v="0"/>
    <n v="0"/>
    <n v="353800"/>
    <n v="50700"/>
    <n v="404500"/>
    <n v="6.2189054726368162E-3"/>
    <n v="0.99970000000000003"/>
    <n v="0.98050000000000004"/>
    <n v="0.99329999999999996"/>
    <n v="1.0126999999999999"/>
    <n v="0.96040000000000003"/>
    <n v="0.94971499999999998"/>
    <n v="0.89961003699657771"/>
    <n v="353800"/>
    <n v="0"/>
    <n v="353800"/>
    <n v="48100"/>
    <n v="401900"/>
    <n v="7.0175438596491224E-2"/>
    <n v="-0.32633053221288516"/>
    <n v="-2.4875621890547262E-4"/>
  </r>
  <r>
    <n v="2025"/>
    <s v="18132313414    "/>
    <n v="-1.3093333199837622"/>
    <n v="0.27"/>
    <n v="11742"/>
    <s v="6"/>
    <s v="RES"/>
    <x v="0"/>
    <s v="11"/>
    <s v="259"/>
    <s v="CC"/>
    <s v="G+"/>
    <s v="GD"/>
    <x v="10"/>
    <n v="104"/>
    <n v="58"/>
    <n v="1920"/>
    <n v="1966"/>
    <n v="2350"/>
    <n v="680"/>
    <n v="2047"/>
    <n v="0"/>
    <n v="2047"/>
    <m/>
    <n v="5077"/>
    <n v="5000"/>
    <n v="14"/>
    <m/>
    <m/>
    <n v="113"/>
    <m/>
    <m/>
    <m/>
    <m/>
    <n v="870987"/>
    <n v="566142"/>
    <n v="0"/>
    <n v="587400"/>
    <n v="68900"/>
    <n v="518500"/>
    <n v="0"/>
    <n v="0"/>
    <n v="89850.625589999996"/>
    <n v="-41446.443120973789"/>
    <n v="74268.409664999999"/>
    <n v="197752.34721000001"/>
    <n v="-12936.644829000001"/>
    <n v="116110.37421095"/>
    <n v="30454.767545479997"/>
    <n v="0"/>
    <n v="59530.639570608997"/>
    <n v="53088.3094728"/>
    <n v="3762.3932261880004"/>
    <n v="0"/>
    <n v="522000"/>
    <n v="48400"/>
    <n v="570400"/>
    <n v="-2.8941096356826693E-2"/>
    <n v="0.99970000000000003"/>
    <n v="0.98380000000000001"/>
    <n v="0.99650000000000005"/>
    <n v="1"/>
    <n v="0.96040000000000003"/>
    <n v="0.94971499999999998"/>
    <n v="0.89418950859221624"/>
    <n v="522000"/>
    <n v="0"/>
    <n v="522000"/>
    <n v="46000"/>
    <n v="568000"/>
    <n v="6.7502410800385727E-3"/>
    <n v="-0.33236574746008707"/>
    <n v="-3.3026898195437519E-2"/>
  </r>
  <r>
    <n v="2025"/>
    <s v="18132322505    "/>
    <n v="-1.2039728043259361"/>
    <n v="0.3"/>
    <m/>
    <s v="6"/>
    <s v="RES"/>
    <x v="0"/>
    <s v="11"/>
    <s v="259"/>
    <s v="FH"/>
    <s v="A"/>
    <s v="FR"/>
    <x v="10"/>
    <n v="104"/>
    <n v="58"/>
    <n v="1920"/>
    <n v="1966"/>
    <n v="1252"/>
    <n v="1252"/>
    <n v="1252"/>
    <n v="0"/>
    <n v="1252"/>
    <m/>
    <n v="3756"/>
    <n v="4000"/>
    <n v="10"/>
    <m/>
    <m/>
    <m/>
    <m/>
    <m/>
    <m/>
    <m/>
    <n v="466403"/>
    <n v="279842"/>
    <n v="7693"/>
    <n v="409500"/>
    <n v="72500"/>
    <n v="337000"/>
    <n v="0"/>
    <n v="0"/>
    <n v="89850.625589999996"/>
    <n v="-38111.29648355169"/>
    <n v="21557.329055999999"/>
    <n v="133714.53821"/>
    <n v="-12936.644829000001"/>
    <n v="61859.654686004003"/>
    <n v="56072.601421971995"/>
    <n v="0"/>
    <n v="36410.532849243995"/>
    <n v="37920.221052000001"/>
    <n v="0"/>
    <n v="7700"/>
    <n v="334600"/>
    <n v="51700"/>
    <n v="394000"/>
    <n v="-3.7851037851037848E-2"/>
    <n v="0.99970000000000003"/>
    <n v="1.0067999999999999"/>
    <n v="0.99329999999999996"/>
    <n v="0.94579999999999997"/>
    <n v="0.96040000000000003"/>
    <n v="0.94971499999999998"/>
    <n v="0.86271708906042111"/>
    <n v="334600"/>
    <n v="7300"/>
    <n v="341900"/>
    <n v="49100"/>
    <n v="391000"/>
    <n v="1.4540059347181009E-2"/>
    <n v="-0.32275862068965516"/>
    <n v="-4.5177045177045176E-2"/>
  </r>
  <r>
    <n v="2025"/>
    <s v="18132324442    "/>
    <n v="-1.8325814637483102"/>
    <n v="0.16"/>
    <m/>
    <s v="6"/>
    <s v="RES"/>
    <x v="0"/>
    <s v="11"/>
    <s v="259"/>
    <s v="BG"/>
    <s v="A"/>
    <s v="AV"/>
    <x v="10"/>
    <n v="104"/>
    <n v="58"/>
    <n v="1920"/>
    <n v="1966"/>
    <n v="1390"/>
    <m/>
    <n v="700"/>
    <n v="700"/>
    <m/>
    <m/>
    <n v="1390"/>
    <n v="1500"/>
    <n v="5"/>
    <m/>
    <m/>
    <n v="50"/>
    <m/>
    <m/>
    <m/>
    <m/>
    <n v="259798"/>
    <n v="161075"/>
    <n v="1247"/>
    <n v="332400"/>
    <n v="50600"/>
    <n v="281800"/>
    <n v="0"/>
    <n v="0"/>
    <n v="89850.625589999996"/>
    <n v="-58009.662049032086"/>
    <n v="21557.329055999999"/>
    <n v="160472.20319"/>
    <n v="-12936.644829000001"/>
    <n v="68678.051129030006"/>
    <n v="0"/>
    <n v="0"/>
    <n v="20357.326672899999"/>
    <n v="18960.110526"/>
    <n v="1664.7757638000003"/>
    <n v="1200"/>
    <n v="278800"/>
    <n v="31800"/>
    <n v="311800"/>
    <n v="-6.1973525872442842E-2"/>
    <n v="0.99970000000000003"/>
    <n v="1.0067999999999999"/>
    <n v="0.99729999999999996"/>
    <n v="1.0157"/>
    <n v="0.96040000000000003"/>
    <n v="0.94971499999999998"/>
    <n v="0.93020769355655764"/>
    <n v="278800"/>
    <n v="1200"/>
    <n v="280000"/>
    <n v="30200"/>
    <n v="310200"/>
    <n v="-6.3875088715400997E-3"/>
    <n v="-0.40316205533596838"/>
    <n v="-6.6787003610108309E-2"/>
  </r>
  <r>
    <n v="2025"/>
    <s v="18132313440    "/>
    <n v="-2.3025850929940455"/>
    <n v="0.1"/>
    <m/>
    <s v="6"/>
    <s v="RES"/>
    <x v="0"/>
    <s v="11"/>
    <s v="259"/>
    <s v="CO"/>
    <s v="F"/>
    <s v="AV"/>
    <x v="10"/>
    <n v="104"/>
    <n v="58"/>
    <n v="1920"/>
    <n v="1966"/>
    <n v="861"/>
    <n v="432"/>
    <n v="861"/>
    <n v="586"/>
    <n v="275"/>
    <m/>
    <n v="1568"/>
    <n v="2000"/>
    <n v="8"/>
    <m/>
    <m/>
    <m/>
    <m/>
    <m/>
    <m/>
    <m/>
    <n v="216973"/>
    <n v="134523"/>
    <n v="0"/>
    <n v="259900"/>
    <n v="34200"/>
    <n v="225700"/>
    <n v="0"/>
    <n v="0"/>
    <n v="89850.625589999996"/>
    <n v="-72887.446329681261"/>
    <n v="-43578.886190266698"/>
    <n v="160472.20319"/>
    <n v="-12936.644829000001"/>
    <n v="42540.864764097001"/>
    <n v="19347.734675952001"/>
    <n v="0"/>
    <n v="25039.511807666997"/>
    <n v="30336.176841600001"/>
    <n v="0"/>
    <n v="0"/>
    <n v="221200"/>
    <n v="17000"/>
    <n v="238200"/>
    <n v="-8.3493651404386304E-2"/>
    <n v="0.99970000000000003"/>
    <n v="1"/>
    <n v="0.99729999999999996"/>
    <n v="1.0093000000000001"/>
    <n v="0.96040000000000003"/>
    <n v="0.94971499999999998"/>
    <n v="0.91810328449875866"/>
    <n v="221200"/>
    <n v="0"/>
    <n v="221200"/>
    <n v="16100"/>
    <n v="237300"/>
    <n v="-1.9937970757642889E-2"/>
    <n v="-0.5292397660818714"/>
    <n v="-8.6956521739130432E-2"/>
  </r>
  <r>
    <n v="2025"/>
    <s v="18132244493    "/>
    <n v="-1.5141277326297755"/>
    <n v="0.22"/>
    <n v="9555"/>
    <s v="6"/>
    <s v="RES"/>
    <x v="0"/>
    <s v="11"/>
    <s v="259"/>
    <s v="TD"/>
    <s v="F"/>
    <s v="FR"/>
    <x v="10"/>
    <n v="104"/>
    <n v="58"/>
    <n v="1920"/>
    <n v="1966"/>
    <n v="564"/>
    <m/>
    <n v="396"/>
    <n v="396"/>
    <m/>
    <m/>
    <n v="564"/>
    <n v="1000"/>
    <n v="5"/>
    <m/>
    <m/>
    <m/>
    <m/>
    <m/>
    <m/>
    <m/>
    <n v="105359"/>
    <n v="63215"/>
    <n v="0"/>
    <n v="194300"/>
    <n v="61700"/>
    <n v="132600"/>
    <n v="0"/>
    <n v="0"/>
    <n v="89850.625589999996"/>
    <n v="-47929.131559187132"/>
    <n v="-43578.886190266698"/>
    <n v="133714.53821"/>
    <n v="-12936.644829000001"/>
    <n v="27866.489810628002"/>
    <n v="0"/>
    <n v="0"/>
    <n v="11516.430517811999"/>
    <n v="18960.110526"/>
    <n v="0"/>
    <n v="0"/>
    <n v="135500"/>
    <n v="41900"/>
    <n v="177400"/>
    <n v="-8.6978898610396288E-2"/>
    <n v="0.99970000000000003"/>
    <n v="1"/>
    <n v="0.99329999999999996"/>
    <n v="1.0148999999999999"/>
    <n v="0.96040000000000003"/>
    <n v="0.94971499999999998"/>
    <n v="0.91949450197466853"/>
    <n v="135500"/>
    <n v="0"/>
    <n v="135500"/>
    <n v="39800"/>
    <n v="175300"/>
    <n v="2.1870286576168928E-2"/>
    <n v="-0.35494327390599678"/>
    <n v="-9.7786927431806489E-2"/>
  </r>
  <r>
    <n v="2025"/>
    <s v="18132344413    "/>
    <n v="-1.8971199848858813"/>
    <n v="0.15"/>
    <n v="6728"/>
    <s v="6"/>
    <s v="RES"/>
    <x v="0"/>
    <s v="11"/>
    <s v="259"/>
    <s v="TD"/>
    <s v="F"/>
    <s v="AV"/>
    <x v="10"/>
    <n v="104"/>
    <n v="58"/>
    <n v="1920"/>
    <n v="1966"/>
    <n v="1100"/>
    <m/>
    <m/>
    <n v="0"/>
    <m/>
    <m/>
    <n v="1100"/>
    <n v="1500"/>
    <n v="5"/>
    <m/>
    <m/>
    <m/>
    <m/>
    <m/>
    <m/>
    <m/>
    <n v="157566"/>
    <n v="97691"/>
    <n v="7919"/>
    <n v="238800"/>
    <n v="48400"/>
    <n v="190400"/>
    <n v="0"/>
    <n v="0"/>
    <n v="89850.625589999996"/>
    <n v="-60052.604136134301"/>
    <n v="-43578.886190266698"/>
    <n v="160472.20319"/>
    <n v="-12936.644829000001"/>
    <n v="54349.5368647"/>
    <n v="0"/>
    <n v="0"/>
    <n v="0"/>
    <n v="18960.110526"/>
    <n v="0"/>
    <n v="7900"/>
    <n v="177300"/>
    <n v="29800"/>
    <n v="215000"/>
    <n v="-9.9664991624790616E-2"/>
    <n v="0.99970000000000003"/>
    <n v="1"/>
    <n v="0.99729999999999996"/>
    <n v="1.0157"/>
    <n v="0.96040000000000003"/>
    <n v="0.94971499999999998"/>
    <n v="0.92392500353253648"/>
    <n v="177300"/>
    <n v="7500"/>
    <n v="184800"/>
    <n v="28300"/>
    <n v="213100"/>
    <n v="-2.9411764705882353E-2"/>
    <n v="-0.41528925619834711"/>
    <n v="-0.1076214405360134"/>
  </r>
  <r>
    <n v="2025"/>
    <s v="18132332538    "/>
    <n v="-1.8325814637483102"/>
    <n v="0.16"/>
    <m/>
    <s v="6"/>
    <s v="RES"/>
    <x v="0"/>
    <s v="11"/>
    <s v="259"/>
    <s v="BG"/>
    <s v="F"/>
    <s v="AV"/>
    <x v="10"/>
    <n v="104"/>
    <n v="58"/>
    <n v="1920"/>
    <n v="1966"/>
    <n v="860"/>
    <m/>
    <m/>
    <n v="0"/>
    <m/>
    <m/>
    <n v="860"/>
    <n v="1000"/>
    <n v="5"/>
    <m/>
    <m/>
    <m/>
    <m/>
    <m/>
    <m/>
    <m/>
    <n v="119482"/>
    <n v="74079"/>
    <n v="6681"/>
    <n v="227300"/>
    <n v="50600"/>
    <n v="176700"/>
    <n v="0"/>
    <n v="0"/>
    <n v="89850.625589999996"/>
    <n v="-58009.662049032086"/>
    <n v="-43578.886190266698"/>
    <n v="160472.20319"/>
    <n v="-12936.644829000001"/>
    <n v="42491.456094220004"/>
    <n v="0"/>
    <n v="0"/>
    <n v="0"/>
    <n v="18960.110526"/>
    <n v="0"/>
    <n v="6700"/>
    <n v="165400"/>
    <n v="31800"/>
    <n v="203900"/>
    <n v="-0.10294764628244611"/>
    <n v="0.99970000000000003"/>
    <n v="1"/>
    <n v="0.99729999999999996"/>
    <n v="1.0148999999999999"/>
    <n v="0.96040000000000003"/>
    <n v="0.94971499999999998"/>
    <n v="0.92319728865331407"/>
    <n v="165400"/>
    <n v="6300"/>
    <n v="171700"/>
    <n v="30200"/>
    <n v="201900"/>
    <n v="-2.8296547821165818E-2"/>
    <n v="-0.40316205533596838"/>
    <n v="-0.1117465904091509"/>
  </r>
  <r>
    <n v="2025"/>
    <s v="18132344446    "/>
    <n v="-2.0402208285265546"/>
    <n v="0.13"/>
    <n v="5750"/>
    <s v="6"/>
    <s v="RES"/>
    <x v="0"/>
    <s v="11"/>
    <s v="400"/>
    <s v="TD"/>
    <s v="F"/>
    <s v="AV"/>
    <x v="10"/>
    <n v="104"/>
    <n v="58"/>
    <n v="1920"/>
    <n v="1966"/>
    <n v="569"/>
    <m/>
    <m/>
    <n v="0"/>
    <m/>
    <m/>
    <n v="569"/>
    <n v="1000"/>
    <n v="5"/>
    <m/>
    <m/>
    <m/>
    <m/>
    <m/>
    <m/>
    <m/>
    <n v="83969"/>
    <n v="52061"/>
    <n v="0"/>
    <n v="199000"/>
    <n v="43400"/>
    <n v="155600"/>
    <n v="0"/>
    <n v="0"/>
    <n v="89850.625589999996"/>
    <n v="-64582.406353792743"/>
    <n v="-43578.886190266698"/>
    <n v="160472.20319"/>
    <n v="-12936.644829000001"/>
    <n v="28113.533160013001"/>
    <n v="0"/>
    <n v="0"/>
    <n v="0"/>
    <n v="18960.110526"/>
    <n v="0"/>
    <n v="0"/>
    <n v="151000"/>
    <n v="25300"/>
    <n v="176300"/>
    <n v="-0.11407035175879397"/>
    <n v="0.99970000000000003"/>
    <n v="1"/>
    <n v="0.99729999999999996"/>
    <n v="1.0148999999999999"/>
    <n v="0.96040000000000003"/>
    <n v="0.94971499999999998"/>
    <n v="0.92319728865331407"/>
    <n v="151000"/>
    <n v="0"/>
    <n v="151000"/>
    <n v="24000"/>
    <n v="175000"/>
    <n v="-2.9562982005141389E-2"/>
    <n v="-0.44700460829493088"/>
    <n v="-0.12060301507537688"/>
  </r>
  <r>
    <n v="2025"/>
    <s v="18132344447    "/>
    <n v="-3.912023005428146"/>
    <n v="0.02"/>
    <n v="750"/>
    <s v="6"/>
    <s v="RES"/>
    <x v="0"/>
    <s v="11"/>
    <s v="400"/>
    <s v="CA"/>
    <s v="F-"/>
    <s v="FR"/>
    <x v="10"/>
    <n v="104"/>
    <n v="58"/>
    <n v="1920"/>
    <n v="1966"/>
    <n v="360"/>
    <m/>
    <m/>
    <n v="0"/>
    <m/>
    <m/>
    <n v="360"/>
    <n v="500"/>
    <n v="5"/>
    <m/>
    <m/>
    <m/>
    <m/>
    <m/>
    <m/>
    <m/>
    <n v="45959"/>
    <n v="27575"/>
    <n v="0"/>
    <n v="120100"/>
    <n v="15000"/>
    <n v="105100"/>
    <n v="0"/>
    <n v="0"/>
    <n v="89850.625589999996"/>
    <n v="-123833.58500677992"/>
    <n v="-71917.896887580995"/>
    <n v="133714.53821"/>
    <n v="-12936.644829000001"/>
    <n v="17787.12115572"/>
    <n v="0"/>
    <n v="0"/>
    <n v="0"/>
    <n v="18960.110526"/>
    <n v="0"/>
    <n v="0"/>
    <n v="85600"/>
    <n v="-34000"/>
    <n v="51600"/>
    <n v="-0.57035803497085757"/>
    <n v="0.99970000000000003"/>
    <n v="1"/>
    <n v="0.99329999999999996"/>
    <n v="1"/>
    <n v="0.96040000000000003"/>
    <n v="0.94971499999999998"/>
    <n v="0.90599517388379991"/>
    <n v="85600"/>
    <n v="0"/>
    <n v="85600"/>
    <n v="-32300"/>
    <n v="53300"/>
    <n v="-0.18553758325404376"/>
    <n v="-3.1533333333333333"/>
    <n v="-0.55620316402997505"/>
  </r>
  <r>
    <n v="2025"/>
    <s v="18132313529    "/>
    <n v="-1.7719568419318752"/>
    <n v="0.17"/>
    <n v="7348"/>
    <s v="6"/>
    <s v="RES"/>
    <x v="0"/>
    <s v="11"/>
    <s v="259"/>
    <s v="RN"/>
    <s v="A"/>
    <s v="GD"/>
    <x v="10"/>
    <n v="105"/>
    <n v="59"/>
    <n v="1919"/>
    <n v="1965"/>
    <n v="1168"/>
    <m/>
    <m/>
    <n v="0"/>
    <m/>
    <m/>
    <n v="1168"/>
    <n v="1500"/>
    <n v="8"/>
    <m/>
    <m/>
    <m/>
    <m/>
    <m/>
    <m/>
    <m/>
    <n v="204329"/>
    <n v="128727"/>
    <n v="0"/>
    <n v="299000"/>
    <n v="52700"/>
    <n v="246300"/>
    <n v="0"/>
    <n v="0"/>
    <n v="89850.625589999996"/>
    <n v="-56090.612940989391"/>
    <n v="21557.329055999999"/>
    <n v="197752.34721000001"/>
    <n v="-13159.6904295"/>
    <n v="57709.326416336"/>
    <n v="0"/>
    <n v="0"/>
    <n v="0"/>
    <n v="30336.176841600001"/>
    <n v="0"/>
    <n v="0"/>
    <n v="294200"/>
    <n v="33800"/>
    <n v="328000"/>
    <n v="9.6989966555183951E-2"/>
    <n v="0.99970000000000003"/>
    <n v="1.0067999999999999"/>
    <n v="0.99650000000000005"/>
    <n v="1.0157"/>
    <n v="0.96040000000000003"/>
    <n v="0.94971499999999998"/>
    <n v="0.92946151271343602"/>
    <n v="294200"/>
    <n v="0"/>
    <n v="294200"/>
    <n v="32100"/>
    <n v="326300"/>
    <n v="0.19447827852212748"/>
    <n v="-0.39089184060721061"/>
    <n v="9.1304347826086957E-2"/>
  </r>
  <r>
    <n v="2025"/>
    <s v="18132244465    "/>
    <n v="-1.5606477482646683"/>
    <n v="0.21"/>
    <n v="9106"/>
    <s v="6"/>
    <s v="RES"/>
    <x v="0"/>
    <s v="11"/>
    <s v="259"/>
    <s v="FH"/>
    <s v="A"/>
    <s v="GD"/>
    <x v="10"/>
    <n v="105"/>
    <n v="59"/>
    <n v="1919"/>
    <n v="1965"/>
    <n v="1269"/>
    <n v="1148"/>
    <n v="774"/>
    <n v="774"/>
    <m/>
    <m/>
    <n v="2417"/>
    <n v="2500"/>
    <n v="9"/>
    <m/>
    <m/>
    <m/>
    <m/>
    <m/>
    <m/>
    <m/>
    <n v="355771"/>
    <n v="224136"/>
    <n v="13256"/>
    <n v="402800"/>
    <n v="60100"/>
    <n v="342700"/>
    <n v="0"/>
    <n v="0"/>
    <n v="89850.625589999996"/>
    <n v="-49401.70477837498"/>
    <n v="21557.329055999999"/>
    <n v="197752.34721000001"/>
    <n v="-13159.6904295"/>
    <n v="62699.602073913004"/>
    <n v="51414.813444428"/>
    <n v="0"/>
    <n v="22509.386921178"/>
    <n v="34128.198946800003"/>
    <n v="0"/>
    <n v="13300"/>
    <n v="376900"/>
    <n v="40400"/>
    <n v="430600"/>
    <n v="6.9016881827209539E-2"/>
    <n v="0.99970000000000003"/>
    <n v="1.0067999999999999"/>
    <n v="0.99650000000000005"/>
    <n v="0.98919999999999997"/>
    <n v="0.96040000000000003"/>
    <n v="0.94971499999999998"/>
    <n v="0.90521150770515979"/>
    <n v="376900"/>
    <n v="12600"/>
    <n v="389500"/>
    <n v="38400"/>
    <n v="427900"/>
    <n v="0.13656259118762767"/>
    <n v="-0.36106489184692181"/>
    <n v="6.231380337636544E-2"/>
  </r>
  <r>
    <n v="2025"/>
    <s v="18132344426    "/>
    <n v="-1.8971199848858813"/>
    <n v="0.15"/>
    <m/>
    <s v="6"/>
    <s v="RES"/>
    <x v="0"/>
    <s v="11"/>
    <s v="259"/>
    <s v="CO"/>
    <s v="G"/>
    <s v="GD"/>
    <x v="10"/>
    <n v="105"/>
    <n v="59"/>
    <n v="1919"/>
    <n v="1965"/>
    <n v="1402"/>
    <n v="964"/>
    <n v="702"/>
    <n v="0"/>
    <n v="702"/>
    <m/>
    <n v="3068"/>
    <n v="3500"/>
    <n v="12"/>
    <m/>
    <m/>
    <m/>
    <m/>
    <m/>
    <m/>
    <m/>
    <n v="531279"/>
    <n v="334706"/>
    <n v="8845"/>
    <n v="421300"/>
    <n v="48400"/>
    <n v="372900"/>
    <n v="0"/>
    <n v="0"/>
    <n v="89850.625589999996"/>
    <n v="-60052.604136134301"/>
    <n v="44121.038090000002"/>
    <n v="197752.34721000001"/>
    <n v="-13159.6904295"/>
    <n v="69270.955167553999"/>
    <n v="43174.111638003997"/>
    <n v="0"/>
    <n v="20415.490463393999"/>
    <n v="45504.265262400004"/>
    <n v="0"/>
    <n v="8800"/>
    <n v="407100"/>
    <n v="29800"/>
    <n v="445700"/>
    <n v="5.7915974365060525E-2"/>
    <n v="0.99970000000000003"/>
    <n v="0.98050000000000004"/>
    <n v="0.99650000000000005"/>
    <n v="1.0126999999999999"/>
    <n v="0.96040000000000003"/>
    <n v="0.94971499999999998"/>
    <n v="0.90250820685300492"/>
    <n v="407100"/>
    <n v="8400"/>
    <n v="415500"/>
    <n v="28300"/>
    <n v="443800"/>
    <n v="0.11423974255832663"/>
    <n v="-0.41528925619834711"/>
    <n v="5.3406123902207454E-2"/>
  </r>
  <r>
    <n v="2025"/>
    <s v="18132242434    "/>
    <n v="-0.9942522733438669"/>
    <n v="0.37"/>
    <n v="16259"/>
    <s v="6"/>
    <s v="RES"/>
    <x v="0"/>
    <s v="11"/>
    <s v="259"/>
    <s v="FH"/>
    <s v="A"/>
    <s v="GD"/>
    <x v="10"/>
    <n v="105"/>
    <n v="39"/>
    <n v="1919"/>
    <n v="1985"/>
    <n v="1482"/>
    <n v="480"/>
    <n v="800"/>
    <n v="0"/>
    <n v="800"/>
    <m/>
    <n v="2762"/>
    <n v="3000"/>
    <n v="9"/>
    <m/>
    <m/>
    <m/>
    <m/>
    <m/>
    <m/>
    <m/>
    <n v="366188"/>
    <n v="296612"/>
    <n v="39331"/>
    <n v="437600"/>
    <n v="79900"/>
    <n v="357700"/>
    <n v="0"/>
    <n v="0"/>
    <n v="89850.625589999996"/>
    <n v="-31472.673662315807"/>
    <n v="21557.329055999999"/>
    <n v="197752.34721000001"/>
    <n v="-8698.7784195000004"/>
    <n v="73223.648757714007"/>
    <n v="21497.482973279999"/>
    <n v="0"/>
    <n v="23265.516197599998"/>
    <n v="34128.198946800003"/>
    <n v="0"/>
    <n v="39300"/>
    <n v="362700"/>
    <n v="58400"/>
    <n v="460400"/>
    <n v="5.2102376599634369E-2"/>
    <n v="0.99970000000000003"/>
    <n v="1.0067999999999999"/>
    <n v="0.99650000000000005"/>
    <n v="0.96179999999999999"/>
    <n v="0.96040000000000003"/>
    <n v="0.94971499999999998"/>
    <n v="0.88013791762113103"/>
    <n v="362700"/>
    <n v="37400"/>
    <n v="400100"/>
    <n v="55400"/>
    <n v="455500"/>
    <n v="0.1185350852669835"/>
    <n v="-0.30663329161451813"/>
    <n v="4.0904936014625227E-2"/>
  </r>
  <r>
    <n v="2025"/>
    <s v="18132341020    "/>
    <n v="-0.9942522733438669"/>
    <n v="0.37"/>
    <n v="16207"/>
    <s v="6"/>
    <s v="RES"/>
    <x v="0"/>
    <s v="11"/>
    <s v="259"/>
    <s v="MS"/>
    <s v="G+"/>
    <s v="GD"/>
    <x v="10"/>
    <n v="105"/>
    <n v="49"/>
    <n v="1919"/>
    <n v="1975"/>
    <n v="2223"/>
    <n v="256"/>
    <n v="2223"/>
    <n v="0"/>
    <n v="2223"/>
    <m/>
    <n v="4702"/>
    <n v="4500"/>
    <n v="14"/>
    <m/>
    <m/>
    <m/>
    <m/>
    <m/>
    <m/>
    <m/>
    <n v="886662"/>
    <n v="656130"/>
    <n v="70888"/>
    <n v="651800"/>
    <n v="79900"/>
    <n v="571900"/>
    <n v="0"/>
    <n v="0"/>
    <n v="89850.625589999996"/>
    <n v="-31472.673662315807"/>
    <n v="74268.409664999999"/>
    <n v="197752.34721000001"/>
    <n v="-10929.2344245"/>
    <n v="109835.473136571"/>
    <n v="11465.324252416"/>
    <n v="0"/>
    <n v="64649.053134080998"/>
    <n v="53088.3094728"/>
    <n v="0"/>
    <n v="70900"/>
    <n v="500100"/>
    <n v="58400"/>
    <n v="629400"/>
    <n v="-3.4366370052163239E-2"/>
    <n v="0.99970000000000003"/>
    <n v="0.98380000000000001"/>
    <n v="0.99650000000000005"/>
    <n v="1"/>
    <n v="0.96040000000000003"/>
    <n v="0.94971499999999998"/>
    <n v="0.89418950859221624"/>
    <n v="500100"/>
    <n v="67300"/>
    <n v="567400"/>
    <n v="55400"/>
    <n v="622800"/>
    <n v="-7.8685084805035846E-3"/>
    <n v="-0.30663329161451813"/>
    <n v="-4.4492175513961341E-2"/>
  </r>
  <r>
    <n v="2025"/>
    <s v="18132341011    "/>
    <n v="-1.5606477482646683"/>
    <n v="0.21"/>
    <n v="8970"/>
    <s v="6"/>
    <s v="RES"/>
    <x v="0"/>
    <s v="11"/>
    <s v="259"/>
    <s v="CL"/>
    <s v="A+"/>
    <s v="VG"/>
    <x v="10"/>
    <n v="106"/>
    <n v="49"/>
    <n v="1918"/>
    <n v="1975"/>
    <n v="1264"/>
    <n v="1120"/>
    <n v="1264"/>
    <n v="0"/>
    <n v="1264"/>
    <m/>
    <n v="3648"/>
    <n v="4000"/>
    <n v="14"/>
    <m/>
    <m/>
    <m/>
    <m/>
    <m/>
    <m/>
    <m/>
    <n v="529020"/>
    <n v="391475"/>
    <n v="70433"/>
    <n v="531500"/>
    <n v="60100"/>
    <n v="471400"/>
    <n v="0"/>
    <n v="0"/>
    <n v="89850.625589999996"/>
    <n v="-49401.70477837498"/>
    <n v="29814.093161000001"/>
    <n v="284810.60806"/>
    <n v="-10929.2344245"/>
    <n v="62452.558724528004"/>
    <n v="50160.793604319995"/>
    <n v="0"/>
    <n v="36759.515592208001"/>
    <n v="53088.3094728"/>
    <n v="0"/>
    <n v="70400"/>
    <n v="506200"/>
    <n v="40400"/>
    <n v="617000"/>
    <n v="0.16086547507055504"/>
    <n v="0.99970000000000003"/>
    <n v="1.0088999999999999"/>
    <n v="1.0158"/>
    <n v="0.94579999999999997"/>
    <n v="0.96040000000000003"/>
    <n v="0.94971499999999998"/>
    <n v="0.8840993860666998"/>
    <n v="506200"/>
    <n v="66900"/>
    <n v="573100"/>
    <n v="38400"/>
    <n v="611500"/>
    <n v="0.21574034789987273"/>
    <n v="-0.36106489184692181"/>
    <n v="0.15051740357478832"/>
  </r>
  <r>
    <n v="2025"/>
    <s v="18132342507    "/>
    <n v="-1.6607312068216509"/>
    <n v="0.19"/>
    <m/>
    <s v="6"/>
    <s v="RES"/>
    <x v="0"/>
    <s v="11"/>
    <s v="259"/>
    <s v="CC"/>
    <s v="A+"/>
    <s v="AV"/>
    <x v="10"/>
    <n v="107"/>
    <n v="59"/>
    <n v="1917"/>
    <n v="1965"/>
    <n v="1518"/>
    <n v="600"/>
    <n v="755"/>
    <n v="755"/>
    <m/>
    <m/>
    <n v="2118"/>
    <n v="2500"/>
    <n v="8"/>
    <m/>
    <m/>
    <m/>
    <m/>
    <m/>
    <m/>
    <m/>
    <n v="385086"/>
    <n v="234902"/>
    <n v="29583"/>
    <n v="375400"/>
    <n v="56600"/>
    <n v="318800"/>
    <n v="0"/>
    <n v="0"/>
    <n v="89850.625589999996"/>
    <n v="-52569.808201026557"/>
    <n v="29814.093161000001"/>
    <n v="160472.20319"/>
    <n v="-13159.6904295"/>
    <n v="75002.360873286001"/>
    <n v="26871.853716599999"/>
    <n v="0"/>
    <n v="21956.830911484998"/>
    <n v="30336.176841600001"/>
    <n v="0"/>
    <n v="29600"/>
    <n v="331300"/>
    <n v="37300"/>
    <n v="398200"/>
    <n v="6.0735215769845495E-2"/>
    <n v="0.99970000000000003"/>
    <n v="1.0088999999999999"/>
    <n v="0.99729999999999996"/>
    <n v="0.98919999999999997"/>
    <n v="0.96040000000000003"/>
    <n v="0.94971499999999998"/>
    <n v="0.90782784124690863"/>
    <n v="331300"/>
    <n v="28100"/>
    <n v="359400"/>
    <n v="35400"/>
    <n v="394800"/>
    <n v="0.12735257214554579"/>
    <n v="-0.37455830388692579"/>
    <n v="5.1678209909429944E-2"/>
  </r>
  <r>
    <n v="2025"/>
    <s v="18132342405    "/>
    <n v="-1.7719568419318752"/>
    <n v="0.17"/>
    <m/>
    <s v="6"/>
    <s v="RES"/>
    <x v="0"/>
    <s v="11"/>
    <s v="259"/>
    <s v="BG"/>
    <s v="F+"/>
    <s v="AV"/>
    <x v="10"/>
    <n v="107"/>
    <n v="59"/>
    <n v="1917"/>
    <n v="1965"/>
    <n v="1314"/>
    <n v="187"/>
    <m/>
    <n v="0"/>
    <m/>
    <m/>
    <n v="1501"/>
    <n v="2000"/>
    <n v="8"/>
    <m/>
    <m/>
    <m/>
    <m/>
    <m/>
    <m/>
    <m/>
    <n v="211353"/>
    <n v="128925"/>
    <n v="0"/>
    <n v="276400"/>
    <n v="52700"/>
    <n v="223700"/>
    <n v="0"/>
    <n v="0"/>
    <n v="89850.625589999996"/>
    <n v="-56090.612940989391"/>
    <n v="0"/>
    <n v="160472.20319"/>
    <n v="-13159.6904295"/>
    <n v="64922.992218378"/>
    <n v="8375.0610750069991"/>
    <n v="0"/>
    <n v="0"/>
    <n v="30336.176841600001"/>
    <n v="0"/>
    <n v="0"/>
    <n v="250900"/>
    <n v="33800"/>
    <n v="284700"/>
    <n v="3.0028943560057888E-2"/>
    <n v="0.99970000000000003"/>
    <n v="0.99180000000000001"/>
    <n v="0.99729999999999996"/>
    <n v="1.0093000000000001"/>
    <n v="0.96040000000000003"/>
    <n v="0.94971499999999998"/>
    <n v="0.91057483756586888"/>
    <n v="250900"/>
    <n v="0"/>
    <n v="250900"/>
    <n v="32100"/>
    <n v="283000"/>
    <n v="0.12159141707644167"/>
    <n v="-0.39089184060721061"/>
    <n v="2.3878437047756874E-2"/>
  </r>
  <r>
    <n v="2025"/>
    <s v="18132241077    "/>
    <n v="-1.2378743560016174"/>
    <n v="0.28999999999999998"/>
    <n v="12575"/>
    <s v="6"/>
    <s v="RES"/>
    <x v="0"/>
    <s v="11"/>
    <s v="259"/>
    <s v="BG"/>
    <s v="A"/>
    <s v="AV"/>
    <x v="10"/>
    <n v="107"/>
    <n v="59"/>
    <n v="1917"/>
    <n v="1965"/>
    <n v="1278"/>
    <m/>
    <n v="904"/>
    <n v="0"/>
    <n v="904"/>
    <m/>
    <n v="2182"/>
    <n v="2500"/>
    <n v="8"/>
    <m/>
    <m/>
    <m/>
    <m/>
    <m/>
    <m/>
    <m/>
    <n v="305862"/>
    <n v="186576"/>
    <n v="56817"/>
    <n v="390100"/>
    <n v="71400"/>
    <n v="318700"/>
    <n v="0"/>
    <n v="0"/>
    <n v="89850.625589999996"/>
    <n v="-39184.437074869042"/>
    <n v="21557.329055999999"/>
    <n v="160472.20319"/>
    <n v="-13159.6904295"/>
    <n v="63144.280102805998"/>
    <n v="0"/>
    <n v="0"/>
    <n v="26290.033303287997"/>
    <n v="30336.176841600001"/>
    <n v="0"/>
    <n v="56800"/>
    <n v="288600"/>
    <n v="50700"/>
    <n v="396100"/>
    <n v="1.5380671622660855E-2"/>
    <n v="0.99970000000000003"/>
    <n v="1.0067999999999999"/>
    <n v="0.99729999999999996"/>
    <n v="0.98919999999999997"/>
    <n v="0.96040000000000003"/>
    <n v="0.94971499999999998"/>
    <n v="0.90593822040577598"/>
    <n v="288600"/>
    <n v="54000"/>
    <n v="342600"/>
    <n v="48100"/>
    <n v="390700"/>
    <n v="7.4992155632256044E-2"/>
    <n v="-0.32633053221288516"/>
    <n v="1.5380671622660857E-3"/>
  </r>
  <r>
    <n v="2025"/>
    <s v="18132214047    "/>
    <n v="-1.4696759700589417"/>
    <n v="0.23"/>
    <n v="10072"/>
    <s v="6"/>
    <s v="RES"/>
    <x v="0"/>
    <s v="11"/>
    <s v="400"/>
    <s v="FH"/>
    <s v="A+"/>
    <s v="FR"/>
    <x v="10"/>
    <n v="109"/>
    <n v="61"/>
    <n v="1915"/>
    <n v="1963"/>
    <n v="1475"/>
    <n v="472"/>
    <n v="696"/>
    <n v="696"/>
    <m/>
    <m/>
    <n v="1947"/>
    <n v="2000"/>
    <n v="8"/>
    <m/>
    <n v="720"/>
    <n v="416"/>
    <m/>
    <m/>
    <m/>
    <m/>
    <n v="384426"/>
    <n v="219123"/>
    <n v="0"/>
    <n v="311100"/>
    <n v="63300"/>
    <n v="247800"/>
    <n v="0"/>
    <n v="0"/>
    <n v="89850.625589999996"/>
    <n v="-46522.028095997222"/>
    <n v="29814.093161000001"/>
    <n v="133714.53821"/>
    <n v="-13605.7816305"/>
    <n v="72877.788068574999"/>
    <n v="21139.191590391998"/>
    <n v="0"/>
    <n v="20240.999091911999"/>
    <n v="30336.176841600001"/>
    <n v="13850.934354816001"/>
    <n v="0"/>
    <n v="308400"/>
    <n v="43300"/>
    <n v="351700"/>
    <n v="0.13050466088074575"/>
    <n v="0.99970000000000003"/>
    <n v="1.0088999999999999"/>
    <n v="0.99329999999999996"/>
    <n v="1.0093000000000001"/>
    <n v="0.96040000000000003"/>
    <n v="0.94971499999999998"/>
    <n v="0.92255927526902759"/>
    <n v="308400"/>
    <n v="0"/>
    <n v="308400"/>
    <n v="41100"/>
    <n v="349500"/>
    <n v="0.24455205811138014"/>
    <n v="-0.35071090047393366"/>
    <n v="0.12343297974927676"/>
  </r>
  <r>
    <n v="2025"/>
    <s v="18132344453    "/>
    <n v="-1.8971199848858813"/>
    <n v="0.15"/>
    <n v="6500"/>
    <s v="6"/>
    <s v="RES"/>
    <x v="0"/>
    <s v="11"/>
    <s v="259"/>
    <s v="CO"/>
    <s v="A"/>
    <s v="GD"/>
    <x v="10"/>
    <n v="109"/>
    <n v="39"/>
    <n v="1915"/>
    <n v="1985"/>
    <n v="1194"/>
    <n v="575"/>
    <n v="650"/>
    <n v="650"/>
    <m/>
    <m/>
    <n v="1769"/>
    <n v="2000"/>
    <n v="11"/>
    <m/>
    <m/>
    <m/>
    <m/>
    <m/>
    <m/>
    <m/>
    <n v="295179"/>
    <n v="239095"/>
    <n v="5647"/>
    <n v="352000"/>
    <n v="48400"/>
    <n v="303600"/>
    <n v="0"/>
    <n v="0"/>
    <n v="89850.625589999996"/>
    <n v="-60052.604136134301"/>
    <n v="21557.329055999999"/>
    <n v="197752.34721000001"/>
    <n v="-8698.7784195000004"/>
    <n v="58993.951833138002"/>
    <n v="25752.193145074998"/>
    <n v="0"/>
    <n v="18903.231910549999"/>
    <n v="41712.243157199999"/>
    <n v="0"/>
    <n v="5600"/>
    <n v="356000"/>
    <n v="29800"/>
    <n v="391400"/>
    <n v="0.11193181818181819"/>
    <n v="0.99970000000000003"/>
    <n v="1.0067999999999999"/>
    <n v="0.99650000000000005"/>
    <n v="1.0093000000000001"/>
    <n v="0.96040000000000003"/>
    <n v="0.94971499999999998"/>
    <n v="0.92360490773030512"/>
    <n v="356000"/>
    <n v="5400"/>
    <n v="361400"/>
    <n v="28300"/>
    <n v="389700"/>
    <n v="0.19038208168642951"/>
    <n v="-0.41528925619834711"/>
    <n v="0.10710227272727273"/>
  </r>
  <r>
    <n v="2025"/>
    <s v="18132333427    "/>
    <n v="-1.3470736479666092"/>
    <n v="0.26"/>
    <m/>
    <s v="6"/>
    <s v="RES"/>
    <x v="0"/>
    <s v="11"/>
    <s v="259"/>
    <s v="BG"/>
    <s v="A"/>
    <s v="AV"/>
    <x v="10"/>
    <n v="109"/>
    <n v="61"/>
    <n v="1915"/>
    <n v="1963"/>
    <n v="1158"/>
    <m/>
    <n v="1158"/>
    <n v="1158"/>
    <m/>
    <m/>
    <n v="1158"/>
    <n v="1500"/>
    <n v="7"/>
    <m/>
    <m/>
    <m/>
    <m/>
    <m/>
    <m/>
    <m/>
    <n v="251042"/>
    <n v="148115"/>
    <n v="6050"/>
    <n v="313000"/>
    <n v="67600"/>
    <n v="245400"/>
    <n v="0"/>
    <n v="0"/>
    <n v="89850.625589999996"/>
    <n v="-42641.098701210125"/>
    <n v="21557.329055999999"/>
    <n v="160472.20319"/>
    <n v="-13605.7816305"/>
    <n v="57215.239717566001"/>
    <n v="0"/>
    <n v="0"/>
    <n v="33676.834696025995"/>
    <n v="26544.1547364"/>
    <n v="0"/>
    <n v="6100"/>
    <n v="285900"/>
    <n v="47200"/>
    <n v="339200"/>
    <n v="8.370607028753993E-2"/>
    <n v="0.99970000000000003"/>
    <n v="1.0067999999999999"/>
    <n v="0.99729999999999996"/>
    <n v="1.0157"/>
    <n v="0.96040000000000003"/>
    <n v="0.94971499999999998"/>
    <n v="0.93020769355655764"/>
    <n v="285900"/>
    <n v="5700"/>
    <n v="291600"/>
    <n v="44800"/>
    <n v="336400"/>
    <n v="0.18826405867970661"/>
    <n v="-0.33727810650887574"/>
    <n v="7.4760383386581475E-2"/>
  </r>
  <r>
    <n v="2025"/>
    <s v="18132331524    "/>
    <n v="-0.6348782724359695"/>
    <n v="0.53"/>
    <n v="23074"/>
    <s v="6"/>
    <s v="RES"/>
    <x v="0"/>
    <s v="11"/>
    <s v="259"/>
    <s v="TU"/>
    <s v="G"/>
    <s v="GD"/>
    <x v="10"/>
    <n v="109"/>
    <n v="61"/>
    <n v="1915"/>
    <n v="1963"/>
    <n v="1230"/>
    <n v="922"/>
    <n v="1230"/>
    <n v="1230"/>
    <m/>
    <m/>
    <n v="2152"/>
    <n v="2500"/>
    <n v="9"/>
    <m/>
    <m/>
    <m/>
    <m/>
    <m/>
    <m/>
    <m/>
    <n v="514229"/>
    <n v="313680"/>
    <n v="9963"/>
    <n v="444400"/>
    <n v="92400"/>
    <n v="352000"/>
    <n v="0"/>
    <n v="0"/>
    <n v="89850.625589999996"/>
    <n v="-20096.827756270526"/>
    <n v="44121.038090000002"/>
    <n v="197752.34721000001"/>
    <n v="-13605.7816305"/>
    <n v="60772.663948710004"/>
    <n v="41293.081877842"/>
    <n v="0"/>
    <n v="35770.731153809997"/>
    <n v="34128.198946800003"/>
    <n v="0"/>
    <n v="10000"/>
    <n v="400200"/>
    <n v="69800"/>
    <n v="480000"/>
    <n v="8.0108010801080112E-2"/>
    <n v="0.99970000000000003"/>
    <n v="0.98050000000000004"/>
    <n v="0.99650000000000005"/>
    <n v="0.98919999999999997"/>
    <n v="0.96040000000000003"/>
    <n v="0.94971499999999998"/>
    <n v="0.88156523967511857"/>
    <n v="400200"/>
    <n v="9500"/>
    <n v="409700"/>
    <n v="66200"/>
    <n v="475900"/>
    <n v="0.16392045454545454"/>
    <n v="-0.28354978354978355"/>
    <n v="7.0882088208820887E-2"/>
  </r>
  <r>
    <n v="2025"/>
    <s v="18132331425    "/>
    <n v="-1.8971199848858813"/>
    <n v="0.15"/>
    <m/>
    <s v="6"/>
    <s v="RES"/>
    <x v="0"/>
    <s v="11"/>
    <s v="259"/>
    <s v="BG"/>
    <s v="A"/>
    <s v="GD"/>
    <x v="10"/>
    <n v="109"/>
    <n v="61"/>
    <n v="1915"/>
    <n v="1963"/>
    <n v="1184"/>
    <n v="416"/>
    <n v="600"/>
    <n v="360"/>
    <n v="240"/>
    <m/>
    <n v="1840"/>
    <n v="2000"/>
    <n v="7"/>
    <m/>
    <m/>
    <m/>
    <m/>
    <m/>
    <m/>
    <m/>
    <n v="288983"/>
    <n v="176280"/>
    <n v="10689"/>
    <n v="342400"/>
    <n v="48400"/>
    <n v="294000"/>
    <n v="0"/>
    <n v="0"/>
    <n v="89850.625589999996"/>
    <n v="-60052.604136134301"/>
    <n v="21557.329055999999"/>
    <n v="197752.34721000001"/>
    <n v="-13605.7816305"/>
    <n v="58499.865134368003"/>
    <n v="18631.151910175999"/>
    <n v="0"/>
    <n v="17449.1371482"/>
    <n v="26544.1547364"/>
    <n v="0"/>
    <n v="10700"/>
    <n v="326800"/>
    <n v="29800"/>
    <n v="367300"/>
    <n v="7.2721962616822428E-2"/>
    <n v="0.99970000000000003"/>
    <n v="1.0067999999999999"/>
    <n v="0.99650000000000005"/>
    <n v="1.0093000000000001"/>
    <n v="0.96040000000000003"/>
    <n v="0.94971499999999998"/>
    <n v="0.92360490773030512"/>
    <n v="326800"/>
    <n v="10200"/>
    <n v="337000"/>
    <n v="28300"/>
    <n v="365300"/>
    <n v="0.14625850340136054"/>
    <n v="-0.41528925619834711"/>
    <n v="6.6880841121495324E-2"/>
  </r>
  <r>
    <n v="2025"/>
    <s v="18132344488    "/>
    <n v="-1.8971199848858813"/>
    <n v="0.15"/>
    <m/>
    <s v="6"/>
    <s v="RES"/>
    <x v="0"/>
    <s v="11"/>
    <s v="259"/>
    <s v="BG"/>
    <s v="A"/>
    <s v="GD"/>
    <x v="10"/>
    <n v="109"/>
    <n v="61"/>
    <n v="1915"/>
    <n v="1963"/>
    <n v="1353"/>
    <n v="819"/>
    <n v="448"/>
    <n v="152"/>
    <n v="296"/>
    <m/>
    <n v="2468"/>
    <n v="2500"/>
    <n v="10"/>
    <m/>
    <m/>
    <m/>
    <m/>
    <m/>
    <m/>
    <m/>
    <n v="353916"/>
    <n v="215889"/>
    <n v="8623"/>
    <n v="373200"/>
    <n v="48400"/>
    <n v="324800"/>
    <n v="0"/>
    <n v="0"/>
    <n v="89850.625589999996"/>
    <n v="-60052.604136134301"/>
    <n v="21557.329055999999"/>
    <n v="197752.34721000001"/>
    <n v="-13605.7816305"/>
    <n v="66849.930343581"/>
    <n v="36680.080323158996"/>
    <n v="0"/>
    <n v="13028.689070655999"/>
    <n v="37920.221052000001"/>
    <n v="0"/>
    <n v="8600"/>
    <n v="360200"/>
    <n v="29800"/>
    <n v="398600"/>
    <n v="6.8060021436227219E-2"/>
    <n v="0.99970000000000003"/>
    <n v="1.0067999999999999"/>
    <n v="0.99650000000000005"/>
    <n v="0.98919999999999997"/>
    <n v="0.96040000000000003"/>
    <n v="0.94971499999999998"/>
    <n v="0.90521150770515979"/>
    <n v="360200"/>
    <n v="8200"/>
    <n v="368400"/>
    <n v="28300"/>
    <n v="396700"/>
    <n v="0.13423645320197045"/>
    <n v="-0.41528925619834711"/>
    <n v="6.2968917470525188E-2"/>
  </r>
  <r>
    <n v="2025"/>
    <s v="18132313469    "/>
    <n v="-0.75502258427803282"/>
    <n v="0.47"/>
    <m/>
    <s v="6"/>
    <s v="RES"/>
    <x v="0"/>
    <s v="11"/>
    <s v="259"/>
    <s v="BG"/>
    <s v="F+"/>
    <s v="GD"/>
    <x v="10"/>
    <n v="109"/>
    <n v="61"/>
    <n v="1915"/>
    <n v="1963"/>
    <n v="1444"/>
    <n v="729"/>
    <n v="1584"/>
    <n v="1584"/>
    <m/>
    <m/>
    <n v="2173"/>
    <n v="2500"/>
    <n v="5"/>
    <m/>
    <m/>
    <m/>
    <m/>
    <m/>
    <m/>
    <m/>
    <n v="326512"/>
    <n v="199172"/>
    <n v="11109"/>
    <n v="403800"/>
    <n v="88200"/>
    <n v="315600"/>
    <n v="0"/>
    <n v="0"/>
    <n v="89850.625589999996"/>
    <n v="-23899.949781097919"/>
    <n v="0"/>
    <n v="197752.34721000001"/>
    <n v="-13605.7816305"/>
    <n v="71346.119302388004"/>
    <n v="32649.302265668997"/>
    <n v="0"/>
    <n v="46065.722071247998"/>
    <n v="18960.110526"/>
    <n v="0"/>
    <n v="11100"/>
    <n v="353200"/>
    <n v="66000"/>
    <n v="430300"/>
    <n v="6.5626547795938586E-2"/>
    <n v="0.99970000000000003"/>
    <n v="0.99180000000000001"/>
    <n v="0.99650000000000005"/>
    <n v="0.98919999999999997"/>
    <n v="0.96040000000000003"/>
    <n v="0.94971499999999998"/>
    <n v="0.89172504304924294"/>
    <n v="353200"/>
    <n v="10600"/>
    <n v="363800"/>
    <n v="62600"/>
    <n v="426400"/>
    <n v="0.15272496831432192"/>
    <n v="-0.29024943310657597"/>
    <n v="5.5968301139177813E-2"/>
  </r>
  <r>
    <n v="2025"/>
    <s v="18132333436    "/>
    <n v="-1.3470736479666092"/>
    <n v="0.26"/>
    <m/>
    <s v="6"/>
    <s v="RES"/>
    <x v="0"/>
    <s v="11"/>
    <s v="259"/>
    <s v="BG"/>
    <s v="A+"/>
    <s v="GD"/>
    <x v="10"/>
    <n v="109"/>
    <n v="61"/>
    <n v="1915"/>
    <n v="1963"/>
    <n v="1893"/>
    <n v="631"/>
    <n v="473"/>
    <n v="473"/>
    <m/>
    <m/>
    <n v="2524"/>
    <n v="3000"/>
    <n v="10"/>
    <m/>
    <m/>
    <m/>
    <m/>
    <m/>
    <m/>
    <m/>
    <n v="462835"/>
    <n v="282329"/>
    <n v="0"/>
    <n v="409700"/>
    <n v="67600"/>
    <n v="342100"/>
    <n v="0"/>
    <n v="0"/>
    <n v="89850.625589999996"/>
    <n v="-42641.098701210125"/>
    <n v="29814.093161000001"/>
    <n v="197752.34721000001"/>
    <n v="-13605.7816305"/>
    <n v="93530.612077161"/>
    <n v="28260.232825290997"/>
    <n v="0"/>
    <n v="13755.736451830999"/>
    <n v="37920.221052000001"/>
    <n v="0"/>
    <n v="0"/>
    <n v="387400"/>
    <n v="47200"/>
    <n v="434600"/>
    <n v="6.0776177690993409E-2"/>
    <n v="0.99970000000000003"/>
    <n v="1.0088999999999999"/>
    <n v="0.99650000000000005"/>
    <n v="0.96179999999999999"/>
    <n v="0.96040000000000003"/>
    <n v="0.94971499999999998"/>
    <n v="0.88197372376634775"/>
    <n v="387400"/>
    <n v="0"/>
    <n v="387400"/>
    <n v="44800"/>
    <n v="432200"/>
    <n v="0.13241742180648933"/>
    <n v="-0.33727810650887574"/>
    <n v="5.4918232853307297E-2"/>
  </r>
  <r>
    <n v="2025"/>
    <s v="18132331427    "/>
    <n v="-1.8971199848858813"/>
    <n v="0.15"/>
    <m/>
    <s v="6"/>
    <s v="RES"/>
    <x v="0"/>
    <s v="11"/>
    <s v="259"/>
    <s v="FH"/>
    <s v="A"/>
    <s v="AV"/>
    <x v="10"/>
    <n v="109"/>
    <n v="61"/>
    <n v="1915"/>
    <n v="1963"/>
    <n v="1140"/>
    <n v="1040"/>
    <n v="520"/>
    <n v="520"/>
    <n v="0"/>
    <m/>
    <n v="2180"/>
    <n v="2500"/>
    <n v="7"/>
    <m/>
    <m/>
    <m/>
    <m/>
    <m/>
    <m/>
    <m/>
    <n v="326028"/>
    <n v="192357"/>
    <n v="21503"/>
    <n v="343300"/>
    <n v="48400"/>
    <n v="294900"/>
    <n v="0"/>
    <n v="0"/>
    <n v="89850.625589999996"/>
    <n v="-60052.604136134301"/>
    <n v="21557.329055999999"/>
    <n v="160472.20319"/>
    <n v="-13605.7816305"/>
    <n v="56325.883659780004"/>
    <n v="46577.87977544"/>
    <n v="0"/>
    <n v="15122.585528439999"/>
    <n v="26544.1547364"/>
    <n v="0"/>
    <n v="21500"/>
    <n v="313000"/>
    <n v="29800"/>
    <n v="364300"/>
    <n v="6.1170987474512085E-2"/>
    <n v="0.99970000000000003"/>
    <n v="1.0067999999999999"/>
    <n v="0.99729999999999996"/>
    <n v="0.98919999999999997"/>
    <n v="0.96040000000000003"/>
    <n v="0.94971499999999998"/>
    <n v="0.90593822040577598"/>
    <n v="313000"/>
    <n v="20400"/>
    <n v="333400"/>
    <n v="28300"/>
    <n v="361700"/>
    <n v="0.13055272973889454"/>
    <n v="-0.41528925619834711"/>
    <n v="5.3597436644334404E-2"/>
  </r>
  <r>
    <n v="2025"/>
    <s v="18132242438    "/>
    <n v="-0.94160853985844495"/>
    <n v="0.39"/>
    <m/>
    <s v="6"/>
    <s v="RES"/>
    <x v="0"/>
    <s v="11"/>
    <s v="259"/>
    <s v="CO"/>
    <s v="A"/>
    <s v="GD"/>
    <x v="10"/>
    <n v="109"/>
    <n v="61"/>
    <n v="1915"/>
    <n v="1963"/>
    <n v="1469"/>
    <n v="1037"/>
    <n v="518"/>
    <n v="518"/>
    <m/>
    <m/>
    <n v="2506"/>
    <n v="3000"/>
    <n v="8"/>
    <n v="650"/>
    <m/>
    <m/>
    <m/>
    <m/>
    <m/>
    <m/>
    <n v="404506"/>
    <n v="246749"/>
    <n v="0"/>
    <n v="405400"/>
    <n v="81700"/>
    <n v="323700"/>
    <n v="0"/>
    <n v="0"/>
    <n v="89850.625589999996"/>
    <n v="-29806.256507663158"/>
    <n v="21557.329055999999"/>
    <n v="197752.34721000001"/>
    <n v="-13605.7816305"/>
    <n v="72581.336049313002"/>
    <n v="46443.520506856999"/>
    <n v="0"/>
    <n v="15064.421737945999"/>
    <n v="30336.176841600001"/>
    <n v="0"/>
    <n v="0"/>
    <n v="370100"/>
    <n v="60000"/>
    <n v="430100"/>
    <n v="6.0927479033053775E-2"/>
    <n v="0.99970000000000003"/>
    <n v="1.0067999999999999"/>
    <n v="0.99650000000000005"/>
    <n v="0.96179999999999999"/>
    <n v="0.96040000000000003"/>
    <n v="0.94971499999999998"/>
    <n v="0.88013791762113103"/>
    <n v="370100"/>
    <n v="0"/>
    <n v="370100"/>
    <n v="57000"/>
    <n v="427100"/>
    <n v="0.14334260117392647"/>
    <n v="-0.30232558139534882"/>
    <n v="5.3527380365071535E-2"/>
  </r>
  <r>
    <n v="2025"/>
    <s v="18132331440    "/>
    <n v="-1.5141277326297755"/>
    <n v="0.22"/>
    <m/>
    <s v="6"/>
    <s v="RES"/>
    <x v="0"/>
    <s v="11"/>
    <s v="259"/>
    <s v="BG"/>
    <s v="A+"/>
    <s v="AV"/>
    <x v="10"/>
    <n v="109"/>
    <n v="61"/>
    <n v="1915"/>
    <n v="1963"/>
    <n v="1466"/>
    <n v="840"/>
    <n v="1466"/>
    <n v="1466"/>
    <m/>
    <m/>
    <n v="2306"/>
    <n v="2500"/>
    <n v="8"/>
    <m/>
    <m/>
    <m/>
    <m/>
    <m/>
    <m/>
    <m/>
    <n v="438401"/>
    <n v="258657"/>
    <n v="7465"/>
    <n v="388900"/>
    <n v="61700"/>
    <n v="327200"/>
    <n v="0"/>
    <n v="0"/>
    <n v="89850.625589999996"/>
    <n v="-47929.131559187132"/>
    <n v="29814.093161000001"/>
    <n v="160472.20319"/>
    <n v="-13605.7816305"/>
    <n v="72433.110039681997"/>
    <n v="37620.595203240002"/>
    <n v="0"/>
    <n v="42634.058432102"/>
    <n v="30336.176841600001"/>
    <n v="0"/>
    <n v="7500"/>
    <n v="359700"/>
    <n v="41900"/>
    <n v="409100"/>
    <n v="5.1941373103625614E-2"/>
    <n v="0.99970000000000003"/>
    <n v="1.0088999999999999"/>
    <n v="0.99729999999999996"/>
    <n v="0.98919999999999997"/>
    <n v="0.96040000000000003"/>
    <n v="0.94971499999999998"/>
    <n v="0.90782784124690863"/>
    <n v="359700"/>
    <n v="7100"/>
    <n v="366800"/>
    <n v="39800"/>
    <n v="406600"/>
    <n v="0.12102689486552567"/>
    <n v="-0.35494327390599678"/>
    <n v="4.5512985343275907E-2"/>
  </r>
  <r>
    <n v="2025"/>
    <s v="18132344409    "/>
    <n v="-1.5141277326297755"/>
    <n v="0.22"/>
    <n v="9509"/>
    <s v="6"/>
    <s v="RES"/>
    <x v="0"/>
    <s v="11"/>
    <s v="259"/>
    <s v="FH"/>
    <s v="A"/>
    <s v="AV"/>
    <x v="10"/>
    <n v="109"/>
    <n v="61"/>
    <n v="1915"/>
    <n v="1963"/>
    <n v="1201"/>
    <n v="611"/>
    <m/>
    <n v="0"/>
    <m/>
    <m/>
    <n v="1812"/>
    <n v="2000"/>
    <n v="8"/>
    <m/>
    <m/>
    <m/>
    <m/>
    <m/>
    <m/>
    <m/>
    <n v="282183"/>
    <n v="166488"/>
    <n v="0"/>
    <n v="313900"/>
    <n v="61700"/>
    <n v="252200"/>
    <n v="0"/>
    <n v="0"/>
    <n v="89850.625589999996"/>
    <n v="-47929.131559187132"/>
    <n v="21557.329055999999"/>
    <n v="160472.20319"/>
    <n v="-13605.7816305"/>
    <n v="59339.812522277003"/>
    <n v="27364.504368071"/>
    <n v="0"/>
    <n v="0"/>
    <n v="30336.176841600001"/>
    <n v="0"/>
    <n v="0"/>
    <n v="285500"/>
    <n v="41900"/>
    <n v="327400"/>
    <n v="4.300732717425932E-2"/>
    <n v="0.99970000000000003"/>
    <n v="1.0067999999999999"/>
    <n v="0.99729999999999996"/>
    <n v="1.0093000000000001"/>
    <n v="0.96040000000000003"/>
    <n v="0.94971499999999998"/>
    <n v="0.92434638683335013"/>
    <n v="285500"/>
    <n v="0"/>
    <n v="285500"/>
    <n v="39800"/>
    <n v="325300"/>
    <n v="0.13203806502775575"/>
    <n v="-0.35494327390599678"/>
    <n v="3.6317298502707866E-2"/>
  </r>
  <r>
    <n v="2025"/>
    <s v="18132331480    "/>
    <n v="-1.5141277326297755"/>
    <n v="0.22"/>
    <n v="9746"/>
    <s v="6"/>
    <s v="RES"/>
    <x v="0"/>
    <s v="11"/>
    <s v="259"/>
    <s v="BG"/>
    <s v="A"/>
    <s v="AV"/>
    <x v="10"/>
    <n v="109"/>
    <n v="61"/>
    <n v="1915"/>
    <n v="1963"/>
    <n v="1307"/>
    <n v="660"/>
    <n v="1307"/>
    <n v="907"/>
    <n v="400"/>
    <m/>
    <n v="2367"/>
    <n v="2500"/>
    <n v="5"/>
    <m/>
    <m/>
    <m/>
    <m/>
    <m/>
    <m/>
    <m/>
    <n v="341674"/>
    <n v="201588"/>
    <n v="8141"/>
    <n v="354400"/>
    <n v="61700"/>
    <n v="292700"/>
    <n v="0"/>
    <n v="0"/>
    <n v="89850.625589999996"/>
    <n v="-47929.131559187132"/>
    <n v="21557.329055999999"/>
    <n v="160472.20319"/>
    <n v="-13605.7816305"/>
    <n v="64577.131529238999"/>
    <n v="29559.03908826"/>
    <n v="0"/>
    <n v="38010.037087828998"/>
    <n v="18960.110526"/>
    <n v="0"/>
    <n v="8100"/>
    <n v="319500"/>
    <n v="41900"/>
    <n v="369500"/>
    <n v="4.2607223476297966E-2"/>
    <n v="0.99970000000000003"/>
    <n v="1.0067999999999999"/>
    <n v="0.99729999999999996"/>
    <n v="0.98919999999999997"/>
    <n v="0.96040000000000003"/>
    <n v="0.94971499999999998"/>
    <n v="0.90593822040577598"/>
    <n v="319500"/>
    <n v="7700"/>
    <n v="327200"/>
    <n v="39800"/>
    <n v="367000"/>
    <n v="0.11786812435941237"/>
    <n v="-0.35494327390599678"/>
    <n v="3.5553047404063204E-2"/>
  </r>
  <r>
    <n v="2025"/>
    <s v="18132242401    "/>
    <n v="-1.4271163556401458"/>
    <n v="0.24"/>
    <n v="10322"/>
    <s v="6"/>
    <s v="RES"/>
    <x v="0"/>
    <s v="11"/>
    <s v="259"/>
    <s v="TD"/>
    <s v="A"/>
    <s v="AV"/>
    <x v="10"/>
    <n v="109"/>
    <n v="61"/>
    <n v="1915"/>
    <n v="1963"/>
    <n v="1408"/>
    <m/>
    <n v="1116"/>
    <n v="266"/>
    <n v="850"/>
    <m/>
    <n v="2258"/>
    <n v="2500"/>
    <n v="8"/>
    <m/>
    <m/>
    <m/>
    <m/>
    <m/>
    <m/>
    <m/>
    <n v="297575"/>
    <n v="175569"/>
    <n v="6313"/>
    <n v="341700"/>
    <n v="64800"/>
    <n v="276900"/>
    <n v="0"/>
    <n v="0"/>
    <n v="89850.625589999996"/>
    <n v="-45174.819855485119"/>
    <n v="21557.329055999999"/>
    <n v="160472.20319"/>
    <n v="-13605.7816305"/>
    <n v="69567.407186815995"/>
    <n v="0"/>
    <n v="0"/>
    <n v="32455.395095651998"/>
    <n v="30336.176841600001"/>
    <n v="0"/>
    <n v="6300"/>
    <n v="300800"/>
    <n v="44700"/>
    <n v="351800"/>
    <n v="2.9558091893473807E-2"/>
    <n v="0.99970000000000003"/>
    <n v="1.0067999999999999"/>
    <n v="0.99729999999999996"/>
    <n v="0.98919999999999997"/>
    <n v="0.96040000000000003"/>
    <n v="0.94971499999999998"/>
    <n v="0.90593822040577598"/>
    <n v="300800"/>
    <n v="6000"/>
    <n v="306800"/>
    <n v="42400"/>
    <n v="349200"/>
    <n v="0.107981220657277"/>
    <n v="-0.34567901234567899"/>
    <n v="2.1949078138718173E-2"/>
  </r>
  <r>
    <n v="2025"/>
    <s v="18132344456    "/>
    <n v="-2.0402208285265546"/>
    <n v="0.13"/>
    <n v="5850"/>
    <s v="6"/>
    <s v="RES"/>
    <x v="0"/>
    <s v="11"/>
    <s v="259"/>
    <s v="BG"/>
    <s v="A"/>
    <s v="AV"/>
    <x v="10"/>
    <n v="109"/>
    <n v="61"/>
    <n v="1915"/>
    <n v="1963"/>
    <n v="1068"/>
    <m/>
    <n v="1068"/>
    <n v="168"/>
    <n v="900"/>
    <m/>
    <n v="1968"/>
    <n v="2000"/>
    <n v="7"/>
    <n v="216"/>
    <m/>
    <m/>
    <m/>
    <m/>
    <m/>
    <m/>
    <n v="282332"/>
    <n v="166576"/>
    <n v="0"/>
    <n v="297500"/>
    <n v="43400"/>
    <n v="254100"/>
    <n v="0"/>
    <n v="0"/>
    <n v="89850.625589999996"/>
    <n v="-64582.406353792743"/>
    <n v="21557.329055999999"/>
    <n v="160472.20319"/>
    <n v="-13605.7816305"/>
    <n v="52768.459428636001"/>
    <n v="0"/>
    <n v="0"/>
    <n v="31059.464123795999"/>
    <n v="26544.1547364"/>
    <n v="0"/>
    <n v="0"/>
    <n v="278800"/>
    <n v="25300"/>
    <n v="304100"/>
    <n v="2.2184873949579832E-2"/>
    <n v="0.99970000000000003"/>
    <n v="1.0067999999999999"/>
    <n v="0.99729999999999996"/>
    <n v="1.0093000000000001"/>
    <n v="0.96040000000000003"/>
    <n v="0.94971499999999998"/>
    <n v="0.92434638683335013"/>
    <n v="278800"/>
    <n v="0"/>
    <n v="278800"/>
    <n v="24000"/>
    <n v="302800"/>
    <n v="9.720582447855175E-2"/>
    <n v="-0.44700460829493088"/>
    <n v="1.7815126050420169E-2"/>
  </r>
  <r>
    <n v="2025"/>
    <s v="18132333434    "/>
    <n v="-1.1394342831883648"/>
    <n v="0.32"/>
    <m/>
    <s v="6"/>
    <s v="RES"/>
    <x v="0"/>
    <s v="11"/>
    <s v="259"/>
    <s v="CO"/>
    <s v="A+"/>
    <s v="AV"/>
    <x v="10"/>
    <n v="109"/>
    <n v="61"/>
    <n v="1915"/>
    <n v="1963"/>
    <n v="1842"/>
    <n v="1080"/>
    <n v="256"/>
    <n v="1"/>
    <n v="255"/>
    <m/>
    <n v="3177"/>
    <n v="3500"/>
    <n v="11"/>
    <m/>
    <m/>
    <m/>
    <m/>
    <m/>
    <m/>
    <m/>
    <n v="500163"/>
    <n v="295096"/>
    <n v="24344"/>
    <n v="439700"/>
    <n v="74800"/>
    <n v="364900"/>
    <n v="0"/>
    <n v="0"/>
    <n v="89850.625589999996"/>
    <n v="-36068.354396449467"/>
    <n v="29814.093161000001"/>
    <n v="160472.20319"/>
    <n v="-13605.7816305"/>
    <n v="91010.769913434007"/>
    <n v="48369.336689880001"/>
    <n v="0"/>
    <n v="7444.9651832319996"/>
    <n v="41712.243157199999"/>
    <n v="0"/>
    <n v="24300"/>
    <n v="365200"/>
    <n v="53800"/>
    <n v="443300"/>
    <n v="8.187400500341141E-3"/>
    <n v="0.99970000000000003"/>
    <n v="1.0088999999999999"/>
    <n v="0.99729999999999996"/>
    <n v="1.0126999999999999"/>
    <n v="0.96040000000000003"/>
    <n v="0.94971499999999998"/>
    <n v="0.92939471778279859"/>
    <n v="365200"/>
    <n v="23100"/>
    <n v="388300"/>
    <n v="51100"/>
    <n v="439400"/>
    <n v="6.4127158125513839E-2"/>
    <n v="-0.31684491978609625"/>
    <n v="-6.8228337502842845E-4"/>
  </r>
  <r>
    <n v="2025"/>
    <s v="18132313435    "/>
    <n v="-1.2039728043259361"/>
    <n v="0.3"/>
    <n v="12855"/>
    <s v="6"/>
    <s v="RES"/>
    <x v="0"/>
    <s v="11"/>
    <s v="259"/>
    <s v="BG"/>
    <s v="A"/>
    <s v="GD"/>
    <x v="10"/>
    <n v="110"/>
    <n v="62"/>
    <n v="1914"/>
    <n v="1962"/>
    <n v="1417"/>
    <m/>
    <n v="1250"/>
    <n v="1250"/>
    <m/>
    <m/>
    <n v="1417"/>
    <n v="1500"/>
    <n v="8"/>
    <m/>
    <m/>
    <n v="196"/>
    <m/>
    <m/>
    <m/>
    <m/>
    <n v="284147"/>
    <n v="170488"/>
    <n v="6724"/>
    <n v="361100"/>
    <n v="72500"/>
    <n v="288600"/>
    <n v="0"/>
    <n v="0"/>
    <n v="89850.625589999996"/>
    <n v="-38111.29648355169"/>
    <n v="21557.329055999999"/>
    <n v="197752.34721000001"/>
    <n v="-13828.827231000001"/>
    <n v="70012.085215708998"/>
    <n v="0"/>
    <n v="0"/>
    <n v="36352.369058749995"/>
    <n v="30336.176841600001"/>
    <n v="6525.9209940960009"/>
    <n v="6700"/>
    <n v="348700"/>
    <n v="51700"/>
    <n v="407100"/>
    <n v="0.12738853503184713"/>
    <n v="0.99970000000000003"/>
    <n v="1.0067999999999999"/>
    <n v="0.99650000000000005"/>
    <n v="1.0157"/>
    <n v="0.96040000000000003"/>
    <n v="0.94971499999999998"/>
    <n v="0.92946151271343602"/>
    <n v="348700"/>
    <n v="6400"/>
    <n v="355100"/>
    <n v="49100"/>
    <n v="404200"/>
    <n v="0.23042273042273043"/>
    <n v="-0.32275862068965516"/>
    <n v="0.11935751869288286"/>
  </r>
  <r>
    <n v="2025"/>
    <s v="18132342420    "/>
    <n v="-1.9661128563728327"/>
    <n v="0.14000000000000001"/>
    <m/>
    <s v="6"/>
    <s v="RES"/>
    <x v="0"/>
    <s v="11"/>
    <s v="259"/>
    <s v="TD"/>
    <s v="A"/>
    <s v="AV"/>
    <x v="10"/>
    <n v="110"/>
    <n v="62"/>
    <n v="1914"/>
    <n v="1962"/>
    <n v="1215"/>
    <m/>
    <n v="1065"/>
    <n v="999"/>
    <n v="66"/>
    <m/>
    <n v="1281"/>
    <n v="1500"/>
    <n v="5"/>
    <m/>
    <m/>
    <n v="216"/>
    <m/>
    <m/>
    <m/>
    <m/>
    <n v="247986"/>
    <n v="143832"/>
    <n v="4419"/>
    <n v="284900"/>
    <n v="46000"/>
    <n v="238900"/>
    <n v="0"/>
    <n v="0"/>
    <n v="89850.625589999996"/>
    <n v="-62236.546971921947"/>
    <n v="21557.329055999999"/>
    <n v="160472.20319"/>
    <n v="-13828.827231000001"/>
    <n v="60031.533900555005"/>
    <n v="0"/>
    <n v="0"/>
    <n v="30972.218438054999"/>
    <n v="18960.110526"/>
    <n v="7191.8312996160003"/>
    <n v="4400"/>
    <n v="285400"/>
    <n v="27600"/>
    <n v="317400"/>
    <n v="0.11407511407511407"/>
    <n v="0.99970000000000003"/>
    <n v="1.0067999999999999"/>
    <n v="0.99729999999999996"/>
    <n v="1.0157"/>
    <n v="0.96040000000000003"/>
    <n v="0.94971499999999998"/>
    <n v="0.93020769355655764"/>
    <n v="285400"/>
    <n v="4200"/>
    <n v="289600"/>
    <n v="26200"/>
    <n v="315800"/>
    <n v="0.212222687316869"/>
    <n v="-0.43043478260869567"/>
    <n v="0.10845910845910846"/>
  </r>
  <r>
    <n v="2025"/>
    <s v="18132243451    "/>
    <n v="-0.82098055206983023"/>
    <n v="0.44"/>
    <n v="19155"/>
    <s v="6"/>
    <s v="RES"/>
    <x v="0"/>
    <s v="11"/>
    <s v=""/>
    <s v="TU"/>
    <s v="G"/>
    <s v="GD"/>
    <x v="10"/>
    <n v="110"/>
    <n v="62"/>
    <n v="1914"/>
    <n v="1962"/>
    <n v="1851"/>
    <n v="1755"/>
    <n v="600"/>
    <n v="600"/>
    <m/>
    <m/>
    <n v="3606"/>
    <n v="4000"/>
    <n v="8"/>
    <m/>
    <m/>
    <m/>
    <m/>
    <m/>
    <m/>
    <m/>
    <n v="650170"/>
    <n v="390102"/>
    <n v="11952"/>
    <n v="480000"/>
    <n v="85900"/>
    <n v="394100"/>
    <n v="0"/>
    <n v="0"/>
    <n v="89850.625589999996"/>
    <n v="-25987.823906604521"/>
    <n v="44121.038090000002"/>
    <n v="197752.34721000001"/>
    <n v="-13828.827231000001"/>
    <n v="91455.44794232701"/>
    <n v="78600.172121055002"/>
    <n v="0"/>
    <n v="17449.1371482"/>
    <n v="30336.176841600001"/>
    <n v="0"/>
    <n v="12000"/>
    <n v="445900"/>
    <n v="63900"/>
    <n v="521800"/>
    <n v="8.7083333333333332E-2"/>
    <n v="0.99970000000000003"/>
    <n v="0.98050000000000004"/>
    <n v="0.99650000000000005"/>
    <n v="0.94579999999999997"/>
    <n v="0.96040000000000003"/>
    <n v="0.94971499999999998"/>
    <n v="0.84288758965297927"/>
    <n v="445900"/>
    <n v="11400"/>
    <n v="457300"/>
    <n v="60700"/>
    <n v="518000"/>
    <n v="0.16036538949505202"/>
    <n v="-0.29336437718277064"/>
    <n v="7.9166666666666663E-2"/>
  </r>
  <r>
    <n v="2025"/>
    <s v="18132332457    "/>
    <n v="-1.7719568419318752"/>
    <n v="0.17"/>
    <n v="7285"/>
    <s v="6"/>
    <s v="RES"/>
    <x v="0"/>
    <s v="11"/>
    <s v="259"/>
    <s v="BG"/>
    <s v="A"/>
    <s v="GD"/>
    <x v="11"/>
    <n v="111"/>
    <n v="63"/>
    <n v="1913"/>
    <n v="1961"/>
    <n v="884"/>
    <n v="390"/>
    <n v="300"/>
    <n v="0"/>
    <n v="300"/>
    <m/>
    <n v="1574"/>
    <n v="2000"/>
    <n v="10"/>
    <m/>
    <m/>
    <m/>
    <m/>
    <m/>
    <m/>
    <m/>
    <n v="256707"/>
    <n v="151457"/>
    <n v="11400"/>
    <n v="339800"/>
    <n v="52700"/>
    <n v="287100"/>
    <n v="0"/>
    <n v="0"/>
    <n v="89850.625589999996"/>
    <n v="-56090.612940989391"/>
    <n v="21557.329055999999"/>
    <n v="197752.34721000001"/>
    <n v="-14051.872831500001"/>
    <n v="43677.264171267998"/>
    <n v="17466.70491579"/>
    <n v="0"/>
    <n v="8724.5685740999998"/>
    <n v="37920.221052000001"/>
    <n v="0"/>
    <n v="11400"/>
    <n v="313000"/>
    <n v="33800"/>
    <n v="358200"/>
    <n v="5.4149499705709238E-2"/>
    <n v="0.99970000000000003"/>
    <n v="1.0067999999999999"/>
    <n v="0.99650000000000005"/>
    <n v="1.0093000000000001"/>
    <n v="0.93389999999999995"/>
    <n v="0.94971499999999998"/>
    <n v="0.89812018255865456"/>
    <n v="313000"/>
    <n v="10800"/>
    <n v="323800"/>
    <n v="32100"/>
    <n v="355900"/>
    <n v="0.12783002438174851"/>
    <n v="-0.39089184060721061"/>
    <n v="4.7380812242495587E-2"/>
  </r>
  <r>
    <n v="2025"/>
    <s v="18132341417    "/>
    <n v="-0.18632957819149348"/>
    <n v="0.83"/>
    <n v="36254"/>
    <s v="6"/>
    <s v="RES"/>
    <x v="0"/>
    <s v="11"/>
    <s v="259"/>
    <s v="FH"/>
    <s v="G+"/>
    <s v="AV"/>
    <x v="11"/>
    <n v="111"/>
    <n v="63"/>
    <n v="1913"/>
    <n v="1961"/>
    <n v="1364"/>
    <n v="1331"/>
    <n v="1331"/>
    <n v="399"/>
    <n v="932"/>
    <m/>
    <n v="3627"/>
    <n v="4000"/>
    <n v="15"/>
    <m/>
    <m/>
    <m/>
    <m/>
    <m/>
    <m/>
    <m/>
    <n v="680192"/>
    <n v="394511"/>
    <n v="20167"/>
    <n v="562400"/>
    <n v="108000"/>
    <n v="454400"/>
    <n v="0"/>
    <n v="0"/>
    <n v="89850.625589999996"/>
    <n v="-5898.19119883434"/>
    <n v="74268.409664999999"/>
    <n v="160472.20319"/>
    <n v="-14051.872831500001"/>
    <n v="67393.425712227996"/>
    <n v="59610.728827990999"/>
    <n v="0"/>
    <n v="38708.002573756996"/>
    <n v="56880.331578000005"/>
    <n v="0"/>
    <n v="20200"/>
    <n v="443300"/>
    <n v="84000"/>
    <n v="547500"/>
    <n v="-2.6493598862019914E-2"/>
    <n v="0.99970000000000003"/>
    <n v="0.98380000000000001"/>
    <n v="0.99729999999999996"/>
    <n v="0.94579999999999997"/>
    <n v="0.93389999999999995"/>
    <n v="0.94971499999999998"/>
    <n v="0.82304886384482856"/>
    <n v="443300"/>
    <n v="19200"/>
    <n v="462500"/>
    <n v="79700"/>
    <n v="542200"/>
    <n v="1.7825704225352113E-2"/>
    <n v="-0.26203703703703701"/>
    <n v="-3.591749644381223E-2"/>
  </r>
  <r>
    <n v="2025"/>
    <s v="18132313524    "/>
    <n v="-1.3862943611198906"/>
    <n v="0.25"/>
    <n v="10920"/>
    <s v="6"/>
    <s v="RES"/>
    <x v="0"/>
    <s v="11"/>
    <s v="259"/>
    <s v="TD"/>
    <s v="G"/>
    <s v="GD"/>
    <x v="11"/>
    <n v="112"/>
    <n v="64"/>
    <n v="1912"/>
    <n v="1960"/>
    <n v="1667"/>
    <n v="1256"/>
    <n v="1536"/>
    <n v="768"/>
    <n v="768"/>
    <m/>
    <n v="3691"/>
    <n v="4000"/>
    <n v="17"/>
    <m/>
    <m/>
    <m/>
    <m/>
    <m/>
    <m/>
    <m/>
    <n v="691359"/>
    <n v="400988"/>
    <n v="11621"/>
    <n v="497800"/>
    <n v="66200"/>
    <n v="431600"/>
    <n v="0"/>
    <n v="0"/>
    <n v="89850.625589999996"/>
    <n v="-43882.615305165229"/>
    <n v="44121.038090000002"/>
    <n v="197752.34721000001"/>
    <n v="-14274.918432"/>
    <n v="82364.252684959007"/>
    <n v="56251.747113416001"/>
    <n v="0"/>
    <n v="44669.791099391994"/>
    <n v="64464.375788400001"/>
    <n v="0"/>
    <n v="11600"/>
    <n v="475300"/>
    <n v="46000"/>
    <n v="532900"/>
    <n v="7.0510245078344719E-2"/>
    <n v="0.99970000000000003"/>
    <n v="0.98050000000000004"/>
    <n v="0.99650000000000005"/>
    <n v="0.94579999999999997"/>
    <n v="0.93389999999999995"/>
    <n v="0.94971499999999998"/>
    <n v="0.81963007077979733"/>
    <n v="475300"/>
    <n v="11000"/>
    <n v="486300"/>
    <n v="43700"/>
    <n v="530000"/>
    <n v="0.12673772011121409"/>
    <n v="-0.33987915407854985"/>
    <n v="6.4684612294094015E-2"/>
  </r>
  <r>
    <n v="2025"/>
    <s v="18132342447    "/>
    <n v="-1.2378743560016174"/>
    <n v="0.28999999999999998"/>
    <m/>
    <s v="6"/>
    <s v="RES"/>
    <x v="0"/>
    <s v="11"/>
    <s v="259"/>
    <s v="FH"/>
    <s v="A"/>
    <s v="GD"/>
    <x v="11"/>
    <n v="113"/>
    <n v="65"/>
    <n v="1911"/>
    <n v="1959"/>
    <n v="1101"/>
    <n v="990"/>
    <n v="930"/>
    <n v="930"/>
    <m/>
    <m/>
    <n v="2091"/>
    <n v="2500"/>
    <n v="8"/>
    <m/>
    <m/>
    <n v="160"/>
    <m/>
    <m/>
    <m/>
    <m/>
    <n v="338756"/>
    <n v="193091"/>
    <n v="0"/>
    <n v="378800"/>
    <n v="71400"/>
    <n v="307400"/>
    <n v="0"/>
    <n v="0"/>
    <n v="89850.625589999996"/>
    <n v="-39184.437074869042"/>
    <n v="21557.329055999999"/>
    <n v="197752.34721000001"/>
    <n v="-14497.9640325"/>
    <n v="54398.945534577004"/>
    <n v="44338.558632389999"/>
    <n v="0"/>
    <n v="27046.162579709999"/>
    <n v="30336.176841600001"/>
    <n v="5327.2824441600005"/>
    <n v="0"/>
    <n v="366300"/>
    <n v="50700"/>
    <n v="417000"/>
    <n v="0.10084477296726505"/>
    <n v="0.99970000000000003"/>
    <n v="1.0067999999999999"/>
    <n v="0.99650000000000005"/>
    <n v="0.98919999999999997"/>
    <n v="0.93389999999999995"/>
    <n v="0.94971499999999998"/>
    <n v="0.88023430554544835"/>
    <n v="366300"/>
    <n v="0"/>
    <n v="366300"/>
    <n v="48100"/>
    <n v="414400"/>
    <n v="0.19160702667534157"/>
    <n v="-0.32633053221288516"/>
    <n v="9.398099260823653E-2"/>
  </r>
  <r>
    <n v="2025"/>
    <s v="18132341401    "/>
    <n v="-0.77652878949899629"/>
    <n v="0.46"/>
    <n v="19841"/>
    <s v="6"/>
    <s v="RES"/>
    <x v="0"/>
    <s v="11"/>
    <s v="259"/>
    <s v="CU"/>
    <s v="A+"/>
    <s v="GD"/>
    <x v="11"/>
    <n v="113"/>
    <n v="45"/>
    <n v="1911"/>
    <n v="1979"/>
    <n v="1267"/>
    <n v="1056"/>
    <n v="840"/>
    <n v="840"/>
    <n v="0"/>
    <m/>
    <n v="2323"/>
    <n v="2500"/>
    <n v="8"/>
    <m/>
    <m/>
    <m/>
    <m/>
    <m/>
    <m/>
    <m/>
    <n v="438793"/>
    <n v="342259"/>
    <n v="10297"/>
    <n v="421200"/>
    <n v="87500"/>
    <n v="333700"/>
    <n v="0"/>
    <n v="0"/>
    <n v="89850.625589999996"/>
    <n v="-24580.720443414604"/>
    <n v="29814.093161000001"/>
    <n v="197752.34721000001"/>
    <n v="-10037.0520225"/>
    <n v="62600.784734159002"/>
    <n v="47294.462541215995"/>
    <n v="0"/>
    <n v="24428.792007479999"/>
    <n v="30336.176841600001"/>
    <n v="0"/>
    <n v="10300"/>
    <n v="382200"/>
    <n v="65300"/>
    <n v="457800"/>
    <n v="8.68945868945869E-2"/>
    <n v="0.99970000000000003"/>
    <n v="1.0088999999999999"/>
    <n v="0.99650000000000005"/>
    <n v="0.98919999999999997"/>
    <n v="0.93389999999999995"/>
    <n v="0.94971499999999998"/>
    <n v="0.88207031273818337"/>
    <n v="382200"/>
    <n v="9800"/>
    <n v="392000"/>
    <n v="62000"/>
    <n v="454000"/>
    <n v="0.1747078213964639"/>
    <n v="-0.29142857142857143"/>
    <n v="7.7872744539411204E-2"/>
  </r>
  <r>
    <n v="2025"/>
    <s v="18132342446    "/>
    <n v="-1.5606477482646683"/>
    <n v="0.21"/>
    <m/>
    <s v="6"/>
    <s v="RES"/>
    <x v="0"/>
    <s v="11"/>
    <s v="259"/>
    <s v="CL"/>
    <s v="G+"/>
    <s v="GD"/>
    <x v="11"/>
    <n v="113"/>
    <n v="65"/>
    <n v="1911"/>
    <n v="1959"/>
    <n v="1378"/>
    <n v="1056"/>
    <n v="1056"/>
    <n v="1056"/>
    <m/>
    <m/>
    <n v="2434"/>
    <n v="2500"/>
    <n v="11"/>
    <m/>
    <m/>
    <m/>
    <m/>
    <m/>
    <m/>
    <m/>
    <n v="577082"/>
    <n v="334708"/>
    <n v="10143"/>
    <n v="476600"/>
    <n v="60100"/>
    <n v="416500"/>
    <n v="0"/>
    <n v="0"/>
    <n v="89850.625589999996"/>
    <n v="-49401.70477837498"/>
    <n v="74268.409664999999"/>
    <n v="197752.34721000001"/>
    <n v="-14497.9640325"/>
    <n v="68085.147090505998"/>
    <n v="47294.462541215995"/>
    <n v="0"/>
    <n v="30710.481380832"/>
    <n v="41712.243157199999"/>
    <n v="0"/>
    <n v="10100"/>
    <n v="445300"/>
    <n v="40400"/>
    <n v="495800"/>
    <n v="4.0285354595048256E-2"/>
    <n v="0.99970000000000003"/>
    <n v="0.98380000000000001"/>
    <n v="0.99650000000000005"/>
    <n v="0.98919999999999997"/>
    <n v="0.93389999999999995"/>
    <n v="0.94971499999999998"/>
    <n v="0.86012565533930507"/>
    <n v="445300"/>
    <n v="9600"/>
    <n v="454900"/>
    <n v="38400"/>
    <n v="493300"/>
    <n v="9.2196878751500594E-2"/>
    <n v="-0.36106489184692181"/>
    <n v="3.5039865715484682E-2"/>
  </r>
  <r>
    <n v="2025"/>
    <s v="18132213025    "/>
    <n v="-1.2378743560016174"/>
    <n v="0.28999999999999998"/>
    <n v="12632"/>
    <s v="4"/>
    <s v="COM"/>
    <x v="0"/>
    <s v="65"/>
    <s v="61"/>
    <s v="BG"/>
    <s v="F"/>
    <s v="AV"/>
    <x v="11"/>
    <n v="114"/>
    <n v="66"/>
    <n v="1910"/>
    <n v="1958"/>
    <n v="736"/>
    <m/>
    <n v="736"/>
    <n v="0"/>
    <n v="736"/>
    <m/>
    <n v="1472"/>
    <n v="1500"/>
    <n v="7"/>
    <m/>
    <m/>
    <m/>
    <m/>
    <m/>
    <m/>
    <m/>
    <n v="167656"/>
    <n v="92211"/>
    <n v="5184"/>
    <n v="189750"/>
    <n v="102350"/>
    <n v="87400"/>
    <n v="0"/>
    <n v="0"/>
    <n v="89850.625589999996"/>
    <n v="-39184.437074869042"/>
    <n v="-43578.886190266698"/>
    <n v="160472.20319"/>
    <n v="-14721.009633"/>
    <n v="36364.781029472004"/>
    <n v="0"/>
    <n v="0"/>
    <n v="21404.274901792"/>
    <n v="26544.1547364"/>
    <n v="0"/>
    <n v="5200"/>
    <n v="186500"/>
    <n v="50700"/>
    <n v="242400"/>
    <n v="0.2774703557312253"/>
    <n v="0.99970000000000003"/>
    <n v="1"/>
    <n v="0.99729999999999996"/>
    <n v="1.0157"/>
    <n v="0.93389999999999995"/>
    <n v="0.94971499999999998"/>
    <n v="0.89843144606313596"/>
    <n v="186500"/>
    <n v="4900"/>
    <n v="191400"/>
    <n v="48100"/>
    <n v="239500"/>
    <n v="1.1899313501144164"/>
    <n v="-0.53004396678065457"/>
    <n v="0.2621870882740448"/>
  </r>
  <r>
    <n v="2025"/>
    <s v="18132331014    "/>
    <n v="-1.7719568419318752"/>
    <n v="0.17"/>
    <n v="7423"/>
    <s v="6"/>
    <s v="RES"/>
    <x v="0"/>
    <s v="11"/>
    <s v="259"/>
    <s v="CO"/>
    <s v="F+"/>
    <s v="GD"/>
    <x v="11"/>
    <n v="114"/>
    <n v="49"/>
    <n v="1910"/>
    <n v="1975"/>
    <n v="756"/>
    <n v="532"/>
    <m/>
    <n v="0"/>
    <m/>
    <m/>
    <n v="1288"/>
    <n v="1500"/>
    <n v="7"/>
    <m/>
    <m/>
    <m/>
    <m/>
    <m/>
    <m/>
    <m/>
    <n v="183739"/>
    <n v="132292"/>
    <n v="2316"/>
    <n v="280100"/>
    <n v="52700"/>
    <n v="227400"/>
    <n v="0"/>
    <n v="0"/>
    <n v="89850.625589999996"/>
    <n v="-56090.612940989391"/>
    <n v="0"/>
    <n v="197752.34721000001"/>
    <n v="-10929.2344245"/>
    <n v="37352.954427012002"/>
    <n v="23826.376962052"/>
    <n v="0"/>
    <n v="0"/>
    <n v="26544.1547364"/>
    <n v="0"/>
    <n v="2300"/>
    <n v="274500"/>
    <n v="33800"/>
    <n v="310600"/>
    <n v="0.10888968225633702"/>
    <n v="0.99970000000000003"/>
    <n v="0.99180000000000001"/>
    <n v="0.99650000000000005"/>
    <n v="1.0157"/>
    <n v="0.93389999999999995"/>
    <n v="0.94971499999999998"/>
    <n v="0.89034952684919233"/>
    <n v="274500"/>
    <n v="2200"/>
    <n v="276700"/>
    <n v="32100"/>
    <n v="308800"/>
    <n v="0.2167985927880387"/>
    <n v="-0.39089184060721061"/>
    <n v="0.10246340592645484"/>
  </r>
  <r>
    <n v="2025"/>
    <s v="18132331403    "/>
    <n v="-1.5606477482646683"/>
    <n v="0.21"/>
    <m/>
    <s v="6"/>
    <s v="RES"/>
    <x v="0"/>
    <s v="11"/>
    <s v="259"/>
    <s v="BG"/>
    <s v="A"/>
    <s v="GD"/>
    <x v="11"/>
    <n v="114"/>
    <n v="66"/>
    <n v="1910"/>
    <n v="1958"/>
    <n v="1260"/>
    <n v="950"/>
    <n v="646"/>
    <n v="646"/>
    <m/>
    <m/>
    <n v="2210"/>
    <n v="2500"/>
    <n v="8"/>
    <m/>
    <m/>
    <n v="192"/>
    <m/>
    <m/>
    <m/>
    <m/>
    <n v="353508"/>
    <n v="201500"/>
    <n v="9040"/>
    <n v="375600"/>
    <n v="60100"/>
    <n v="315500"/>
    <n v="0"/>
    <n v="0"/>
    <n v="89850.625589999996"/>
    <n v="-49401.70477837498"/>
    <n v="21557.329055999999"/>
    <n v="197752.34721000001"/>
    <n v="-14721.009633"/>
    <n v="62254.924045020001"/>
    <n v="42547.101717949998"/>
    <n v="0"/>
    <n v="18786.904329561999"/>
    <n v="30336.176841600001"/>
    <n v="6392.7389329920006"/>
    <n v="9000"/>
    <n v="364900"/>
    <n v="40400"/>
    <n v="414300"/>
    <n v="0.10303514376996806"/>
    <n v="0.99970000000000003"/>
    <n v="1.0067999999999999"/>
    <n v="0.99650000000000005"/>
    <n v="0.98919999999999997"/>
    <n v="0.93389999999999995"/>
    <n v="0.94971499999999998"/>
    <n v="0.88023430554544835"/>
    <n v="364900"/>
    <n v="8600"/>
    <n v="373500"/>
    <n v="38400"/>
    <n v="411900"/>
    <n v="0.18383518225039619"/>
    <n v="-0.36106489184692181"/>
    <n v="9.6645367412140581E-2"/>
  </r>
  <r>
    <n v="2025"/>
    <s v="18132342006    "/>
    <n v="-1.7719568419318752"/>
    <n v="0.17"/>
    <n v="7375"/>
    <s v="6"/>
    <s v="RES"/>
    <x v="0"/>
    <s v="11"/>
    <s v="259"/>
    <s v="FH"/>
    <s v="G"/>
    <s v="AV"/>
    <x v="11"/>
    <n v="114"/>
    <n v="66"/>
    <n v="1910"/>
    <n v="1958"/>
    <n v="1319"/>
    <n v="1257"/>
    <n v="1270"/>
    <n v="1270"/>
    <m/>
    <m/>
    <n v="2576"/>
    <n v="3000"/>
    <n v="8"/>
    <n v="758"/>
    <m/>
    <n v="63"/>
    <m/>
    <m/>
    <m/>
    <m/>
    <n v="581470"/>
    <n v="319809"/>
    <n v="0"/>
    <n v="379100"/>
    <n v="52700"/>
    <n v="326400"/>
    <n v="0"/>
    <n v="0"/>
    <n v="89850.625589999996"/>
    <n v="-56090.612940989391"/>
    <n v="44121.038090000002"/>
    <n v="160472.20319"/>
    <n v="-14721.009633"/>
    <n v="65170.035567763"/>
    <n v="56296.533536276998"/>
    <n v="0"/>
    <n v="36934.006963690001"/>
    <n v="30336.176841600001"/>
    <n v="2097.6174623880001"/>
    <n v="0"/>
    <n v="380700"/>
    <n v="33800"/>
    <n v="414500"/>
    <n v="9.33790556581377E-2"/>
    <n v="0.99970000000000003"/>
    <n v="0.98050000000000004"/>
    <n v="0.99729999999999996"/>
    <n v="0.96179999999999999"/>
    <n v="0.93389999999999995"/>
    <n v="0.94971499999999998"/>
    <n v="0.83416480575904839"/>
    <n v="380700"/>
    <n v="0"/>
    <n v="380700"/>
    <n v="32100"/>
    <n v="412800"/>
    <n v="0.16636029411764705"/>
    <n v="-0.39089184060721061"/>
    <n v="8.8894750725402275E-2"/>
  </r>
  <r>
    <n v="2025"/>
    <s v="18132333463    "/>
    <n v="-1.3093333199837622"/>
    <n v="0.27"/>
    <m/>
    <s v="6"/>
    <s v="RES"/>
    <x v="0"/>
    <s v="11"/>
    <s v="259"/>
    <s v="BG"/>
    <s v="A+"/>
    <s v="GD"/>
    <x v="11"/>
    <n v="114"/>
    <n v="66"/>
    <n v="1910"/>
    <n v="1958"/>
    <n v="1022"/>
    <n v="600"/>
    <n v="780"/>
    <n v="0"/>
    <n v="780"/>
    <m/>
    <n v="2402"/>
    <n v="2500"/>
    <n v="9"/>
    <m/>
    <m/>
    <n v="296"/>
    <m/>
    <m/>
    <m/>
    <m/>
    <n v="405026"/>
    <n v="230865"/>
    <n v="7601"/>
    <n v="381600"/>
    <n v="68900"/>
    <n v="312700"/>
    <n v="0"/>
    <n v="0"/>
    <n v="89850.625589999996"/>
    <n v="-41446.443120973789"/>
    <n v="29814.093161000001"/>
    <n v="197752.34721000001"/>
    <n v="-14721.009633"/>
    <n v="50495.660614294"/>
    <n v="26871.853716599999"/>
    <n v="0"/>
    <n v="22683.87829266"/>
    <n v="34128.198946800003"/>
    <n v="9855.4725216960014"/>
    <n v="7600"/>
    <n v="356900"/>
    <n v="48400"/>
    <n v="412900"/>
    <n v="8.2023060796645703E-2"/>
    <n v="0.99970000000000003"/>
    <n v="1.0088999999999999"/>
    <n v="0.99650000000000005"/>
    <n v="0.98919999999999997"/>
    <n v="0.93389999999999995"/>
    <n v="0.94971499999999998"/>
    <n v="0.88207031273818337"/>
    <n v="356900"/>
    <n v="7200"/>
    <n v="364100"/>
    <n v="46000"/>
    <n v="410100"/>
    <n v="0.16437480012791814"/>
    <n v="-0.33236574746008707"/>
    <n v="7.4685534591194966E-2"/>
  </r>
  <r>
    <n v="2025"/>
    <s v="18132242449    "/>
    <n v="-0.96758402626170559"/>
    <n v="0.38"/>
    <n v="16378"/>
    <s v="6"/>
    <s v="RES"/>
    <x v="0"/>
    <s v="11"/>
    <s v="259"/>
    <s v="CO"/>
    <s v="A"/>
    <s v="FR"/>
    <x v="11"/>
    <n v="114"/>
    <n v="59"/>
    <n v="1910"/>
    <n v="1965"/>
    <n v="901"/>
    <n v="650"/>
    <m/>
    <n v="0"/>
    <m/>
    <m/>
    <n v="1551"/>
    <n v="2000"/>
    <n v="7"/>
    <m/>
    <m/>
    <n v="108"/>
    <m/>
    <m/>
    <m/>
    <m/>
    <n v="228305"/>
    <n v="134700"/>
    <n v="22594"/>
    <n v="302300"/>
    <n v="80800"/>
    <n v="221500"/>
    <n v="0"/>
    <n v="0"/>
    <n v="89850.625589999996"/>
    <n v="-30628.500548443946"/>
    <n v="21557.329055999999"/>
    <n v="133714.53821"/>
    <n v="-13159.6904295"/>
    <n v="44517.211559176998"/>
    <n v="29111.17485965"/>
    <n v="0"/>
    <n v="0"/>
    <n v="26544.1547364"/>
    <n v="3595.9156498080001"/>
    <n v="22600"/>
    <n v="245900"/>
    <n v="59200"/>
    <n v="327700"/>
    <n v="8.4022494211048626E-2"/>
    <n v="0.99970000000000003"/>
    <n v="1.0067999999999999"/>
    <n v="0.99329999999999996"/>
    <n v="1.0093000000000001"/>
    <n v="0.93389999999999995"/>
    <n v="0.94971499999999998"/>
    <n v="0.89523610369845619"/>
    <n v="245900"/>
    <n v="21500"/>
    <n v="267400"/>
    <n v="56200"/>
    <n v="323600"/>
    <n v="0.20722347629796839"/>
    <n v="-0.30445544554455445"/>
    <n v="7.0459808137611643E-2"/>
  </r>
  <r>
    <n v="2025"/>
    <s v="18132344450    "/>
    <n v="-1.8971199848858813"/>
    <n v="0.15"/>
    <n v="6500"/>
    <s v="6"/>
    <s v="RES"/>
    <x v="0"/>
    <s v="11"/>
    <s v="259"/>
    <s v="FH"/>
    <s v="A"/>
    <s v="GD"/>
    <x v="11"/>
    <n v="114"/>
    <n v="66"/>
    <n v="1910"/>
    <n v="1958"/>
    <n v="1494"/>
    <n v="600"/>
    <n v="530"/>
    <n v="0"/>
    <n v="530"/>
    <m/>
    <n v="2624"/>
    <n v="3000"/>
    <n v="11"/>
    <m/>
    <m/>
    <m/>
    <m/>
    <m/>
    <m/>
    <m/>
    <n v="356983"/>
    <n v="203480"/>
    <n v="4462"/>
    <n v="370200"/>
    <n v="48400"/>
    <n v="321800"/>
    <n v="0"/>
    <n v="0"/>
    <n v="89850.625589999996"/>
    <n v="-60052.604136134301"/>
    <n v="21557.329055999999"/>
    <n v="197752.34721000001"/>
    <n v="-14721.009633"/>
    <n v="73816.552796238"/>
    <n v="26871.853716599999"/>
    <n v="0"/>
    <n v="15413.40448091"/>
    <n v="41712.243157199999"/>
    <n v="0"/>
    <n v="4500"/>
    <n v="362400"/>
    <n v="29800"/>
    <n v="396700"/>
    <n v="7.1582928146947597E-2"/>
    <n v="0.99970000000000003"/>
    <n v="1.0067999999999999"/>
    <n v="0.99650000000000005"/>
    <n v="0.96179999999999999"/>
    <n v="0.93389999999999995"/>
    <n v="0.94971499999999998"/>
    <n v="0.85585256275132671"/>
    <n v="362400"/>
    <n v="4200"/>
    <n v="366600"/>
    <n v="28300"/>
    <n v="394900"/>
    <n v="0.13921690490988192"/>
    <n v="-0.41528925619834711"/>
    <n v="6.6720691518098327E-2"/>
  </r>
  <r>
    <n v="2025"/>
    <s v="18132242407    "/>
    <n v="-1.3862943611198906"/>
    <n v="0.25"/>
    <n v="9749"/>
    <s v="6"/>
    <s v="RES"/>
    <x v="0"/>
    <s v="11"/>
    <s v="259"/>
    <s v="CO"/>
    <s v="A"/>
    <s v="GD"/>
    <x v="11"/>
    <n v="114"/>
    <n v="66"/>
    <n v="1910"/>
    <n v="1958"/>
    <n v="1028"/>
    <n v="697"/>
    <n v="784"/>
    <n v="0"/>
    <n v="784"/>
    <m/>
    <n v="2509"/>
    <n v="3000"/>
    <n v="10"/>
    <m/>
    <m/>
    <m/>
    <m/>
    <m/>
    <m/>
    <m/>
    <n v="339192"/>
    <n v="193339"/>
    <n v="8578"/>
    <n v="375300"/>
    <n v="66200"/>
    <n v="309100"/>
    <n v="0"/>
    <n v="0"/>
    <n v="89850.625589999996"/>
    <n v="-43882.615305165229"/>
    <n v="21557.329055999999"/>
    <n v="197752.34721000001"/>
    <n v="-14721.009633"/>
    <n v="50792.112633556004"/>
    <n v="31216.136734116997"/>
    <n v="0"/>
    <n v="22800.205873647999"/>
    <n v="37920.221052000001"/>
    <n v="0"/>
    <n v="8600"/>
    <n v="347300"/>
    <n v="46000"/>
    <n v="401900"/>
    <n v="7.0876632027711162E-2"/>
    <n v="0.99970000000000003"/>
    <n v="1.0067999999999999"/>
    <n v="0.99650000000000005"/>
    <n v="0.96179999999999999"/>
    <n v="0.93389999999999995"/>
    <n v="0.94971499999999998"/>
    <n v="0.85585256275132671"/>
    <n v="347300"/>
    <n v="8100"/>
    <n v="355400"/>
    <n v="43700"/>
    <n v="399100"/>
    <n v="0.14978971206729214"/>
    <n v="-0.33987915407854985"/>
    <n v="6.3415933919531042E-2"/>
  </r>
  <r>
    <n v="2025"/>
    <s v="18132341015    "/>
    <n v="-1.8325814637483102"/>
    <n v="0.16"/>
    <n v="7176"/>
    <s v="6"/>
    <s v="RES"/>
    <x v="0"/>
    <s v="11"/>
    <s v="259"/>
    <s v="BG"/>
    <s v="A"/>
    <s v="GD"/>
    <x v="11"/>
    <n v="114"/>
    <n v="56"/>
    <n v="1910"/>
    <n v="1968"/>
    <n v="1224"/>
    <n v="936"/>
    <n v="936"/>
    <n v="0"/>
    <n v="936"/>
    <m/>
    <n v="3096"/>
    <n v="3500"/>
    <n v="10"/>
    <m/>
    <m/>
    <m/>
    <m/>
    <m/>
    <m/>
    <m/>
    <n v="395231"/>
    <n v="260852"/>
    <n v="7465"/>
    <n v="388500"/>
    <n v="50600"/>
    <n v="337900"/>
    <n v="0"/>
    <n v="0"/>
    <n v="89850.625589999996"/>
    <n v="-58009.662049032086"/>
    <n v="21557.329055999999"/>
    <n v="197752.34721000001"/>
    <n v="-12490.553628"/>
    <n v="60476.211929448"/>
    <n v="41920.091797895999"/>
    <n v="0"/>
    <n v="27220.653951191998"/>
    <n v="37920.221052000001"/>
    <n v="0"/>
    <n v="7500"/>
    <n v="374400"/>
    <n v="31800"/>
    <n v="413700"/>
    <n v="6.4864864864864868E-2"/>
    <n v="0.99970000000000003"/>
    <n v="1.0067999999999999"/>
    <n v="0.99650000000000005"/>
    <n v="1.0126999999999999"/>
    <n v="0.93389999999999995"/>
    <n v="0.94971499999999998"/>
    <n v="0.9011456542922317"/>
    <n v="374400"/>
    <n v="7100"/>
    <n v="381500"/>
    <n v="30200"/>
    <n v="411700"/>
    <n v="0.12903225806451613"/>
    <n v="-0.40316205533596838"/>
    <n v="5.9716859716859715E-2"/>
  </r>
  <r>
    <n v="2025"/>
    <s v="18132332437    "/>
    <n v="-1.1394342831883648"/>
    <n v="0.32"/>
    <n v="13730"/>
    <s v="6"/>
    <s v="RES"/>
    <x v="0"/>
    <s v="11"/>
    <s v="259"/>
    <s v="BG"/>
    <s v="A"/>
    <s v="GD"/>
    <x v="11"/>
    <n v="114"/>
    <n v="66"/>
    <n v="1910"/>
    <n v="1958"/>
    <n v="1248"/>
    <n v="384"/>
    <n v="546"/>
    <n v="0"/>
    <n v="546"/>
    <m/>
    <n v="2178"/>
    <n v="2500"/>
    <n v="8"/>
    <m/>
    <m/>
    <m/>
    <m/>
    <m/>
    <m/>
    <m/>
    <n v="303796"/>
    <n v="173164"/>
    <n v="13149"/>
    <n v="371300"/>
    <n v="74800"/>
    <n v="296500"/>
    <n v="0"/>
    <n v="0"/>
    <n v="89850.625589999996"/>
    <n v="-36068.354396449467"/>
    <n v="21557.329055999999"/>
    <n v="197752.34721000001"/>
    <n v="-14721.009633"/>
    <n v="61662.020006496001"/>
    <n v="17197.986378623998"/>
    <n v="0"/>
    <n v="15878.714804861998"/>
    <n v="30336.176841600001"/>
    <n v="0"/>
    <n v="13100"/>
    <n v="329700"/>
    <n v="53800"/>
    <n v="396600"/>
    <n v="6.813897118233235E-2"/>
    <n v="0.99970000000000003"/>
    <n v="1.0067999999999999"/>
    <n v="0.99650000000000005"/>
    <n v="0.98919999999999997"/>
    <n v="0.93389999999999995"/>
    <n v="0.94971499999999998"/>
    <n v="0.88023430554544835"/>
    <n v="329700"/>
    <n v="12500"/>
    <n v="342200"/>
    <n v="51100"/>
    <n v="393300"/>
    <n v="0.15413153456998313"/>
    <n v="-0.31684491978609625"/>
    <n v="5.9251279288984646E-2"/>
  </r>
  <r>
    <n v="2025"/>
    <s v="18132241472    "/>
    <n v="-1.6094379124341003"/>
    <n v="0.2"/>
    <n v="8058"/>
    <s v="6"/>
    <s v="RES"/>
    <x v="0"/>
    <s v="11"/>
    <s v="400"/>
    <s v="TD"/>
    <s v="F+"/>
    <s v="GD"/>
    <x v="11"/>
    <n v="114"/>
    <n v="66"/>
    <n v="1910"/>
    <n v="1958"/>
    <n v="776"/>
    <m/>
    <n v="560"/>
    <n v="0"/>
    <n v="560"/>
    <m/>
    <n v="1336"/>
    <n v="1500"/>
    <n v="9"/>
    <m/>
    <m/>
    <m/>
    <m/>
    <m/>
    <m/>
    <m/>
    <n v="187414"/>
    <n v="106826"/>
    <n v="2186"/>
    <n v="294500"/>
    <n v="58400"/>
    <n v="236100"/>
    <n v="0"/>
    <n v="0"/>
    <n v="89850.625589999996"/>
    <n v="-50946.13867709865"/>
    <n v="0"/>
    <n v="197752.34721000001"/>
    <n v="-14721.009633"/>
    <n v="38341.127824552001"/>
    <n v="0"/>
    <n v="0"/>
    <n v="16285.861338319999"/>
    <n v="34128.198946800003"/>
    <n v="0"/>
    <n v="2200"/>
    <n v="271800"/>
    <n v="38900"/>
    <n v="312900"/>
    <n v="6.2478777589134123E-2"/>
    <n v="0.99970000000000003"/>
    <n v="0.99180000000000001"/>
    <n v="0.99650000000000005"/>
    <n v="1.0157"/>
    <n v="0.93389999999999995"/>
    <n v="0.94971499999999998"/>
    <n v="0.89034952684919233"/>
    <n v="271800"/>
    <n v="2100"/>
    <n v="273900"/>
    <n v="36900"/>
    <n v="310800"/>
    <n v="0.16010165184243966"/>
    <n v="-0.36815068493150682"/>
    <n v="5.5348047538200343E-2"/>
  </r>
  <r>
    <n v="2025"/>
    <s v="18132241418    "/>
    <n v="-1.3862943611198906"/>
    <n v="0.25"/>
    <n v="11043"/>
    <s v="6"/>
    <s v="RES"/>
    <x v="0"/>
    <s v="11"/>
    <s v="259"/>
    <s v="CO"/>
    <s v="A"/>
    <s v="AV"/>
    <x v="11"/>
    <n v="114"/>
    <n v="66"/>
    <n v="1910"/>
    <n v="1958"/>
    <n v="1090"/>
    <n v="727"/>
    <n v="1090"/>
    <n v="981"/>
    <n v="109"/>
    <m/>
    <n v="1926"/>
    <n v="2000"/>
    <n v="8"/>
    <m/>
    <m/>
    <m/>
    <m/>
    <m/>
    <m/>
    <m/>
    <n v="338200"/>
    <n v="186010"/>
    <n v="10354"/>
    <n v="350600"/>
    <n v="66200"/>
    <n v="284400"/>
    <n v="0"/>
    <n v="0"/>
    <n v="89850.625589999996"/>
    <n v="-43882.615305165229"/>
    <n v="21557.329055999999"/>
    <n v="160472.20319"/>
    <n v="-14721.009633"/>
    <n v="53855.45016593"/>
    <n v="32559.729419946998"/>
    <n v="0"/>
    <n v="31699.265819229997"/>
    <n v="30336.176841600001"/>
    <n v="0"/>
    <n v="10400"/>
    <n v="315800"/>
    <n v="46000"/>
    <n v="372200"/>
    <n v="6.1608670849971479E-2"/>
    <n v="0.99970000000000003"/>
    <n v="1.0067999999999999"/>
    <n v="0.99729999999999996"/>
    <n v="1.0093000000000001"/>
    <n v="0.93389999999999995"/>
    <n v="0.94971499999999998"/>
    <n v="0.89884120227370423"/>
    <n v="315800"/>
    <n v="9800"/>
    <n v="325600"/>
    <n v="43700"/>
    <n v="369300"/>
    <n v="0.14486638537271448"/>
    <n v="-0.33987915407854985"/>
    <n v="5.3337136337706786E-2"/>
  </r>
  <r>
    <n v="2025"/>
    <s v="18132214401    "/>
    <n v="-1.5141277326297755"/>
    <n v="0.22"/>
    <n v="9383"/>
    <s v="6"/>
    <s v="RES"/>
    <x v="0"/>
    <s v="11"/>
    <s v="259"/>
    <s v="FH"/>
    <s v="A"/>
    <s v="AV"/>
    <x v="11"/>
    <n v="114"/>
    <n v="66"/>
    <n v="1910"/>
    <n v="1958"/>
    <n v="1166"/>
    <n v="933"/>
    <n v="576"/>
    <n v="576"/>
    <m/>
    <m/>
    <n v="2099"/>
    <n v="2500"/>
    <n v="7"/>
    <m/>
    <m/>
    <m/>
    <m/>
    <m/>
    <m/>
    <m/>
    <n v="322182"/>
    <n v="177200"/>
    <n v="8098"/>
    <n v="339600"/>
    <n v="61700"/>
    <n v="277900"/>
    <n v="0"/>
    <n v="0"/>
    <n v="89850.625589999996"/>
    <n v="-47929.131559187132"/>
    <n v="21557.329055999999"/>
    <n v="160472.20319"/>
    <n v="-14721.009633"/>
    <n v="57610.509076581999"/>
    <n v="41785.732529312998"/>
    <n v="0"/>
    <n v="16751.171662271998"/>
    <n v="26544.1547364"/>
    <n v="0"/>
    <n v="8100"/>
    <n v="310000"/>
    <n v="41900"/>
    <n v="360000"/>
    <n v="6.0070671378091869E-2"/>
    <n v="0.99970000000000003"/>
    <n v="1.0067999999999999"/>
    <n v="0.99729999999999996"/>
    <n v="0.98919999999999997"/>
    <n v="0.93389999999999995"/>
    <n v="0.94971499999999998"/>
    <n v="0.88094096630253449"/>
    <n v="310000"/>
    <n v="7700"/>
    <n v="317700"/>
    <n v="39800"/>
    <n v="357500"/>
    <n v="0.1432169845268082"/>
    <n v="-0.35494327390599678"/>
    <n v="5.270906949352179E-2"/>
  </r>
  <r>
    <n v="2025"/>
    <s v="18132334466    "/>
    <n v="-1.3862943611198906"/>
    <n v="0.25"/>
    <n v="10950"/>
    <s v="6"/>
    <s v="RES"/>
    <x v="0"/>
    <s v="11"/>
    <s v="259"/>
    <s v="TU"/>
    <s v="G+"/>
    <s v="GD"/>
    <x v="11"/>
    <n v="114"/>
    <n v="66"/>
    <n v="1910"/>
    <n v="1958"/>
    <n v="1107"/>
    <n v="443"/>
    <n v="1107"/>
    <n v="553"/>
    <n v="554"/>
    <m/>
    <n v="2104"/>
    <n v="2500"/>
    <n v="10"/>
    <n v="741"/>
    <m/>
    <n v="161"/>
    <m/>
    <m/>
    <m/>
    <m/>
    <n v="559972"/>
    <n v="324784"/>
    <n v="0"/>
    <n v="437100"/>
    <n v="66200"/>
    <n v="370900"/>
    <n v="0"/>
    <n v="0"/>
    <n v="89850.625589999996"/>
    <n v="-43882.615305165229"/>
    <n v="74268.409664999999"/>
    <n v="197752.34721000001"/>
    <n v="-14721.009633"/>
    <n v="54695.397553839"/>
    <n v="19840.385327422999"/>
    <n v="0"/>
    <n v="32193.658038428999"/>
    <n v="37920.221052000001"/>
    <n v="5360.5779594360001"/>
    <n v="0"/>
    <n v="407300"/>
    <n v="46000"/>
    <n v="453300"/>
    <n v="3.7062457103637612E-2"/>
    <n v="0.99970000000000003"/>
    <n v="0.98380000000000001"/>
    <n v="0.99650000000000005"/>
    <n v="0.98919999999999997"/>
    <n v="0.93389999999999995"/>
    <n v="0.94971499999999998"/>
    <n v="0.86012565533930507"/>
    <n v="407300"/>
    <n v="0"/>
    <n v="407300"/>
    <n v="43700"/>
    <n v="451000"/>
    <n v="9.8139660285791325E-2"/>
    <n v="-0.33987915407854985"/>
    <n v="3.1800503317318693E-2"/>
  </r>
  <r>
    <n v="2025"/>
    <s v="18132242411    "/>
    <n v="-0.73396917508020043"/>
    <n v="0.48"/>
    <n v="20800"/>
    <s v="6"/>
    <s v="RES"/>
    <x v="0"/>
    <s v="11"/>
    <s v="259"/>
    <s v="FH"/>
    <s v="A"/>
    <s v="FR"/>
    <x v="11"/>
    <n v="114"/>
    <n v="66"/>
    <n v="1910"/>
    <n v="1958"/>
    <n v="1073"/>
    <n v="1073"/>
    <n v="1073"/>
    <n v="244"/>
    <n v="829"/>
    <m/>
    <n v="2975"/>
    <n v="3000"/>
    <n v="7"/>
    <m/>
    <m/>
    <n v="132"/>
    <m/>
    <m/>
    <m/>
    <m/>
    <n v="392755"/>
    <n v="208160"/>
    <n v="36386"/>
    <n v="390800"/>
    <n v="88900"/>
    <n v="301900"/>
    <n v="0"/>
    <n v="0"/>
    <n v="89850.625589999996"/>
    <n v="-23233.512202902497"/>
    <n v="21557.329055999999"/>
    <n v="133714.53821"/>
    <n v="-14721.009633"/>
    <n v="53015.502778021"/>
    <n v="48055.831729852995"/>
    <n v="0"/>
    <n v="31204.873600030998"/>
    <n v="26544.1547364"/>
    <n v="4395.0080164320007"/>
    <n v="36400"/>
    <n v="303800"/>
    <n v="66600"/>
    <n v="406800"/>
    <n v="4.0941658137154557E-2"/>
    <n v="0.99970000000000003"/>
    <n v="1.0067999999999999"/>
    <n v="0.99329999999999996"/>
    <n v="0.96179999999999999"/>
    <n v="0.93389999999999995"/>
    <n v="0.94971499999999998"/>
    <n v="0.85310421533456371"/>
    <n v="303800"/>
    <n v="34600"/>
    <n v="338400"/>
    <n v="63300"/>
    <n v="401700"/>
    <n v="0.12090096058297449"/>
    <n v="-0.2879640044994376"/>
    <n v="2.7891504605936542E-2"/>
  </r>
  <r>
    <n v="2025"/>
    <s v="18132333424    "/>
    <n v="-0.916290731874155"/>
    <n v="0.4"/>
    <n v="17552"/>
    <s v="6"/>
    <s v="RES"/>
    <x v="0"/>
    <s v="11"/>
    <s v="259"/>
    <s v="FH"/>
    <s v="A+"/>
    <s v="AV"/>
    <x v="11"/>
    <n v="114"/>
    <n v="66"/>
    <n v="1910"/>
    <n v="1958"/>
    <n v="1684"/>
    <n v="754"/>
    <n v="759"/>
    <n v="5"/>
    <n v="754"/>
    <m/>
    <n v="3192"/>
    <n v="3500"/>
    <n v="9"/>
    <m/>
    <m/>
    <n v="84"/>
    <m/>
    <m/>
    <m/>
    <m/>
    <n v="477825"/>
    <n v="262804"/>
    <n v="18765"/>
    <n v="420000"/>
    <n v="82600"/>
    <n v="337400"/>
    <n v="0"/>
    <n v="0"/>
    <n v="89850.625589999996"/>
    <n v="-29004.831024516039"/>
    <n v="29814.093161000001"/>
    <n v="160472.20319"/>
    <n v="-14721.009633"/>
    <n v="83204.200072868"/>
    <n v="33768.962837193998"/>
    <n v="0"/>
    <n v="22073.158492472998"/>
    <n v="34128.198946800003"/>
    <n v="2796.8232831840005"/>
    <n v="18800"/>
    <n v="351500"/>
    <n v="60800"/>
    <n v="431100"/>
    <n v="2.642857142857143E-2"/>
    <n v="0.99970000000000003"/>
    <n v="1.0088999999999999"/>
    <n v="0.99729999999999996"/>
    <n v="1.0126999999999999"/>
    <n v="0.93389999999999995"/>
    <n v="0.94971499999999998"/>
    <n v="0.9037502362946227"/>
    <n v="351500"/>
    <n v="17800"/>
    <n v="369300"/>
    <n v="57800"/>
    <n v="427100"/>
    <n v="9.4546532305868403E-2"/>
    <n v="-0.30024213075060535"/>
    <n v="1.6904761904761905E-2"/>
  </r>
  <r>
    <n v="2025"/>
    <s v="18132334441    "/>
    <n v="-1.1086626245216111"/>
    <n v="0.33"/>
    <n v="14254"/>
    <s v="6"/>
    <s v="RES"/>
    <x v="0"/>
    <s v="11"/>
    <s v="259"/>
    <s v="FH"/>
    <s v="A"/>
    <s v="AV"/>
    <x v="11"/>
    <n v="114"/>
    <n v="66"/>
    <n v="1910"/>
    <n v="1958"/>
    <n v="1540"/>
    <n v="1110"/>
    <n v="300"/>
    <n v="300"/>
    <m/>
    <m/>
    <n v="2650"/>
    <n v="3000"/>
    <n v="9"/>
    <m/>
    <m/>
    <m/>
    <m/>
    <m/>
    <m/>
    <m/>
    <n v="392555"/>
    <n v="215905"/>
    <n v="10334"/>
    <n v="399600"/>
    <n v="75900"/>
    <n v="323700"/>
    <n v="0"/>
    <n v="0"/>
    <n v="89850.625589999996"/>
    <n v="-35094.289365640165"/>
    <n v="21557.329055999999"/>
    <n v="160472.20319"/>
    <n v="-14721.009633"/>
    <n v="76089.351610580008"/>
    <n v="49712.929375709995"/>
    <n v="0"/>
    <n v="8724.5685740999998"/>
    <n v="34128.198946800003"/>
    <n v="0"/>
    <n v="10300"/>
    <n v="336000"/>
    <n v="54800"/>
    <n v="401100"/>
    <n v="3.7537537537537537E-3"/>
    <n v="0.99970000000000003"/>
    <n v="1.0067999999999999"/>
    <n v="0.99729999999999996"/>
    <n v="0.96179999999999999"/>
    <n v="0.93389999999999995"/>
    <n v="0.94971499999999998"/>
    <n v="0.85653964960551732"/>
    <n v="336000"/>
    <n v="9800"/>
    <n v="345800"/>
    <n v="52000"/>
    <n v="397800"/>
    <n v="6.8273092369477914E-2"/>
    <n v="-0.31488801054018445"/>
    <n v="-4.5045045045045045E-3"/>
  </r>
  <r>
    <n v="2025"/>
    <s v="18132344481    "/>
    <n v="-1.5141277326297755"/>
    <n v="0.22"/>
    <n v="9750"/>
    <s v="6"/>
    <s v="RES"/>
    <x v="0"/>
    <s v="11"/>
    <s v="259"/>
    <s v="CO"/>
    <s v="G"/>
    <s v="GD"/>
    <x v="11"/>
    <n v="114"/>
    <n v="66"/>
    <n v="1910"/>
    <n v="1958"/>
    <n v="1890"/>
    <n v="1890"/>
    <n v="1890"/>
    <n v="643"/>
    <n v="1247"/>
    <m/>
    <n v="5027"/>
    <n v="5000"/>
    <n v="12"/>
    <m/>
    <m/>
    <m/>
    <m/>
    <m/>
    <m/>
    <m/>
    <n v="786253"/>
    <n v="471752"/>
    <n v="11621"/>
    <n v="560600"/>
    <n v="61700"/>
    <n v="498900"/>
    <n v="0"/>
    <n v="0"/>
    <n v="89850.625589999996"/>
    <n v="-47929.131559187132"/>
    <n v="44121.038090000002"/>
    <n v="197752.34721000001"/>
    <n v="-14721.009633"/>
    <n v="93382.386067530009"/>
    <n v="84646.339207290002"/>
    <n v="0"/>
    <n v="54964.782016829995"/>
    <n v="45504.265262400004"/>
    <n v="0"/>
    <n v="11600"/>
    <n v="505700"/>
    <n v="41900"/>
    <n v="559200"/>
    <n v="-2.4973242953977882E-3"/>
    <n v="0.99970000000000003"/>
    <n v="0.98050000000000004"/>
    <n v="0.99650000000000005"/>
    <n v="1"/>
    <n v="0.93389999999999995"/>
    <n v="0.94971499999999998"/>
    <n v="0.86659977879022765"/>
    <n v="505700"/>
    <n v="11000"/>
    <n v="516700"/>
    <n v="39800"/>
    <n v="556500"/>
    <n v="3.5678492683904592E-2"/>
    <n v="-0.35494327390599678"/>
    <n v="-7.3135925793792363E-3"/>
  </r>
  <r>
    <n v="2025"/>
    <s v="18132214415    "/>
    <n v="-1.7147984280919266"/>
    <n v="0.18"/>
    <n v="7853"/>
    <s v="6"/>
    <s v="RES"/>
    <x v="0"/>
    <s v="11"/>
    <s v="400"/>
    <s v="TD"/>
    <s v="F"/>
    <s v="FR"/>
    <x v="11"/>
    <n v="114"/>
    <n v="66"/>
    <n v="1910"/>
    <n v="1958"/>
    <n v="768"/>
    <m/>
    <n v="768"/>
    <n v="768"/>
    <m/>
    <m/>
    <n v="768"/>
    <n v="1000"/>
    <n v="5"/>
    <m/>
    <m/>
    <m/>
    <m/>
    <m/>
    <m/>
    <m/>
    <n v="143283"/>
    <n v="75940"/>
    <n v="4598"/>
    <n v="205200"/>
    <n v="54700"/>
    <n v="150500"/>
    <n v="0"/>
    <n v="0"/>
    <n v="89850.625589999996"/>
    <n v="-54281.285314520763"/>
    <n v="-43578.886190266698"/>
    <n v="133714.53821"/>
    <n v="-14721.009633"/>
    <n v="37945.858465536003"/>
    <n v="0"/>
    <n v="0"/>
    <n v="22334.895549695997"/>
    <n v="18960.110526"/>
    <n v="0"/>
    <n v="4600"/>
    <n v="154700"/>
    <n v="35600"/>
    <n v="194900"/>
    <n v="-5.019493177387914E-2"/>
    <n v="0.99970000000000003"/>
    <n v="1"/>
    <n v="0.99329999999999996"/>
    <n v="1.0148999999999999"/>
    <n v="0.93389999999999995"/>
    <n v="0.94971499999999998"/>
    <n v="0.89412319387145245"/>
    <n v="154700"/>
    <n v="4400"/>
    <n v="159100"/>
    <n v="33800"/>
    <n v="192900"/>
    <n v="5.7142857142857141E-2"/>
    <n v="-0.38208409506398539"/>
    <n v="-5.9941520467836254E-2"/>
  </r>
  <r>
    <n v="2025"/>
    <s v="18132331401    "/>
    <n v="-1.3470736479666092"/>
    <n v="0.26"/>
    <n v="11182"/>
    <s v="6"/>
    <s v="RES"/>
    <x v="0"/>
    <s v="11"/>
    <s v="259"/>
    <s v="CO"/>
    <s v="F"/>
    <s v="FR"/>
    <x v="11"/>
    <n v="114"/>
    <n v="66"/>
    <n v="1910"/>
    <n v="1958"/>
    <n v="1478"/>
    <n v="396"/>
    <n v="396"/>
    <n v="396"/>
    <n v="0"/>
    <m/>
    <n v="1874"/>
    <n v="2000"/>
    <n v="8"/>
    <m/>
    <m/>
    <m/>
    <m/>
    <m/>
    <m/>
    <m/>
    <n v="250773"/>
    <n v="132910"/>
    <n v="8635"/>
    <n v="281000"/>
    <n v="67600"/>
    <n v="213400"/>
    <n v="0"/>
    <n v="0"/>
    <n v="89850.625589999996"/>
    <n v="-42641.098701210125"/>
    <n v="-43578.886190266698"/>
    <n v="133714.53821"/>
    <n v="-14721.009633"/>
    <n v="73026.014078206004"/>
    <n v="17735.423452955998"/>
    <n v="0"/>
    <n v="11516.430517811999"/>
    <n v="30336.176841600001"/>
    <n v="0"/>
    <n v="8600"/>
    <n v="208000"/>
    <n v="47200"/>
    <n v="263800"/>
    <n v="-6.1209964412811388E-2"/>
    <n v="0.99970000000000003"/>
    <n v="1"/>
    <n v="0.99329999999999996"/>
    <n v="1.0093000000000001"/>
    <n v="0.93389999999999995"/>
    <n v="0.94971499999999998"/>
    <n v="0.88918961432107313"/>
    <n v="208000"/>
    <n v="8200"/>
    <n v="216200"/>
    <n v="44800"/>
    <n v="261000"/>
    <n v="1.3120899718837863E-2"/>
    <n v="-0.33727810650887574"/>
    <n v="-7.1174377224199295E-2"/>
  </r>
  <r>
    <n v="2025"/>
    <s v="18132341403    "/>
    <n v="-0.6348782724359695"/>
    <n v="0.53"/>
    <n v="22890"/>
    <s v="6"/>
    <s v="RES"/>
    <x v="0"/>
    <s v="11"/>
    <s v="259"/>
    <s v="FH"/>
    <s v="V"/>
    <s v="EX"/>
    <x v="11"/>
    <n v="115"/>
    <n v="14"/>
    <n v="1909"/>
    <n v="2010"/>
    <n v="2377"/>
    <n v="1635"/>
    <n v="1600"/>
    <n v="0"/>
    <n v="1600"/>
    <m/>
    <n v="5612"/>
    <n v="5500"/>
    <n v="14"/>
    <m/>
    <m/>
    <m/>
    <m/>
    <m/>
    <m/>
    <m/>
    <n v="1053431"/>
    <n v="1011294"/>
    <n v="55555"/>
    <n v="837200"/>
    <n v="92400"/>
    <n v="744800"/>
    <n v="0"/>
    <n v="0"/>
    <n v="89850.625589999996"/>
    <n v="-20096.827756270526"/>
    <n v="163885.03753"/>
    <n v="354070.39217000001"/>
    <n v="-3122.6384069999999"/>
    <n v="117444.40829762901"/>
    <n v="73225.801377734999"/>
    <n v="0"/>
    <n v="46531.032395199996"/>
    <n v="53088.3094728"/>
    <n v="0"/>
    <n v="55600"/>
    <n v="805100"/>
    <n v="69800"/>
    <n v="930500"/>
    <n v="0.11144290492116579"/>
    <n v="0.99970000000000003"/>
    <n v="1"/>
    <n v="1.1303000000000001"/>
    <n v="1.1091"/>
    <n v="0.93389999999999995"/>
    <n v="0.94971499999999998"/>
    <n v="1.1118804794915296"/>
    <n v="805100"/>
    <n v="52800"/>
    <n v="857900"/>
    <n v="66200"/>
    <n v="924100"/>
    <n v="0.15185284640171859"/>
    <n v="-0.28354978354978355"/>
    <n v="0.10379837553750597"/>
  </r>
  <r>
    <n v="2025"/>
    <s v="18132241477    "/>
    <n v="-1.3093333199837622"/>
    <n v="0.27"/>
    <n v="11760"/>
    <s v="6"/>
    <s v="RES"/>
    <x v="0"/>
    <s v="11"/>
    <s v="259"/>
    <s v="FH"/>
    <s v="A"/>
    <s v="GD"/>
    <x v="11"/>
    <n v="115"/>
    <n v="67"/>
    <n v="1909"/>
    <n v="1957"/>
    <n v="1024"/>
    <n v="600"/>
    <n v="560"/>
    <n v="560"/>
    <n v="0"/>
    <m/>
    <n v="1624"/>
    <n v="2000"/>
    <n v="7"/>
    <m/>
    <m/>
    <m/>
    <m/>
    <m/>
    <m/>
    <m/>
    <n v="276654"/>
    <n v="157693"/>
    <n v="3923"/>
    <n v="346800"/>
    <n v="68900"/>
    <n v="277900"/>
    <n v="0"/>
    <n v="0"/>
    <n v="89850.625589999996"/>
    <n v="-41446.443120973789"/>
    <n v="21557.329055999999"/>
    <n v="197752.34721000001"/>
    <n v="-14944.055233500001"/>
    <n v="50594.477954048001"/>
    <n v="26871.853716599999"/>
    <n v="0"/>
    <n v="16285.861338319999"/>
    <n v="26544.1547364"/>
    <n v="0"/>
    <n v="3900"/>
    <n v="324700"/>
    <n v="48400"/>
    <n v="377000"/>
    <n v="8.7081891580161483E-2"/>
    <n v="0.99970000000000003"/>
    <n v="1.0067999999999999"/>
    <n v="0.99650000000000005"/>
    <n v="1.0093000000000001"/>
    <n v="0.93389999999999995"/>
    <n v="0.94971499999999998"/>
    <n v="0.89812018255865456"/>
    <n v="324700"/>
    <n v="3700"/>
    <n v="328400"/>
    <n v="46000"/>
    <n v="374400"/>
    <n v="0.18172004318100035"/>
    <n v="-0.33236574746008707"/>
    <n v="7.9584775086505188E-2"/>
  </r>
  <r>
    <n v="2025"/>
    <s v="18132244415    "/>
    <n v="-0.86750056770472306"/>
    <n v="0.42"/>
    <n v="18116"/>
    <s v="6"/>
    <s v="RES"/>
    <x v="0"/>
    <s v="11"/>
    <s v="259"/>
    <s v="FH"/>
    <s v="G+"/>
    <s v="GD"/>
    <x v="11"/>
    <n v="115"/>
    <n v="67"/>
    <n v="1909"/>
    <n v="1957"/>
    <n v="1216"/>
    <n v="1216"/>
    <n v="1168"/>
    <n v="292"/>
    <n v="876"/>
    <m/>
    <n v="3308"/>
    <n v="3500"/>
    <n v="11"/>
    <m/>
    <m/>
    <n v="687"/>
    <m/>
    <m/>
    <m/>
    <m/>
    <n v="647522"/>
    <n v="375563"/>
    <n v="33193"/>
    <n v="539900"/>
    <n v="84300"/>
    <n v="455600"/>
    <n v="0"/>
    <n v="0"/>
    <n v="89850.625589999996"/>
    <n v="-27460.397125792362"/>
    <n v="74268.409664999999"/>
    <n v="197752.34721000001"/>
    <n v="-14944.055233500001"/>
    <n v="60080.942570432002"/>
    <n v="54460.290198975999"/>
    <n v="0"/>
    <n v="33967.653648496002"/>
    <n v="41712.243157199999"/>
    <n v="22874.018994612001"/>
    <n v="33200"/>
    <n v="470200"/>
    <n v="62400"/>
    <n v="565800"/>
    <n v="4.7971846638266348E-2"/>
    <n v="0.99970000000000003"/>
    <n v="0.98380000000000001"/>
    <n v="0.99650000000000005"/>
    <n v="1.0126999999999999"/>
    <n v="0.93389999999999995"/>
    <n v="0.94971499999999998"/>
    <n v="0.88055929151042678"/>
    <n v="470200"/>
    <n v="31500"/>
    <n v="501700"/>
    <n v="59300"/>
    <n v="561000"/>
    <n v="0.10118525021949078"/>
    <n v="-0.29655990510083036"/>
    <n v="3.9081311353954436E-2"/>
  </r>
  <r>
    <n v="2025"/>
    <s v="18132341494    "/>
    <n v="0.18232155679395459"/>
    <n v="1.2"/>
    <m/>
    <s v="6"/>
    <s v="RES"/>
    <x v="0"/>
    <s v="11"/>
    <s v="331"/>
    <s v="CU"/>
    <s v="V"/>
    <s v="GD"/>
    <x v="11"/>
    <n v="115"/>
    <n v="59"/>
    <n v="1909"/>
    <n v="1965"/>
    <n v="2510"/>
    <n v="2705"/>
    <n v="2216"/>
    <n v="1662"/>
    <n v="554"/>
    <m/>
    <n v="5769"/>
    <n v="5500"/>
    <n v="17"/>
    <m/>
    <m/>
    <n v="184"/>
    <m/>
    <m/>
    <m/>
    <m/>
    <n v="1360821"/>
    <n v="870925"/>
    <n v="0"/>
    <n v="1007400"/>
    <n v="120000"/>
    <n v="887400"/>
    <n v="0"/>
    <n v="0"/>
    <n v="89850.625589999996"/>
    <n v="5771.3188216135404"/>
    <n v="163885.03753"/>
    <n v="197752.34721000001"/>
    <n v="-13159.6904295"/>
    <n v="124015.76139127"/>
    <n v="121147.27383900499"/>
    <n v="0"/>
    <n v="64445.479867351998"/>
    <n v="64464.375788400001"/>
    <n v="6126.3748107840001"/>
    <n v="0"/>
    <n v="728700"/>
    <n v="95600"/>
    <n v="824300"/>
    <n v="-0.18175501290450666"/>
    <n v="0.99970000000000003"/>
    <n v="1"/>
    <n v="0.99650000000000005"/>
    <n v="1.1091"/>
    <n v="0.93389999999999995"/>
    <n v="0.94971499999999998"/>
    <n v="0.98026090225011864"/>
    <n v="728700"/>
    <n v="0"/>
    <n v="728700"/>
    <n v="90800"/>
    <n v="819500"/>
    <n v="-0.17883705206220418"/>
    <n v="-0.24333333333333335"/>
    <n v="-0.18651975382171929"/>
  </r>
  <r>
    <n v="2025"/>
    <s v="18132341407    "/>
    <n v="-0.96758402626170559"/>
    <n v="0.38"/>
    <n v="16552"/>
    <s v="6"/>
    <s v="RES"/>
    <x v="0"/>
    <s v="11"/>
    <s v="259"/>
    <s v="BG"/>
    <s v="A+"/>
    <s v="GD"/>
    <x v="11"/>
    <n v="116"/>
    <n v="68"/>
    <n v="1908"/>
    <n v="1956"/>
    <n v="1902"/>
    <m/>
    <n v="1360"/>
    <n v="1360"/>
    <m/>
    <m/>
    <n v="1902"/>
    <n v="2000"/>
    <n v="5"/>
    <m/>
    <m/>
    <m/>
    <m/>
    <m/>
    <m/>
    <m/>
    <n v="404464"/>
    <n v="230544"/>
    <n v="57671"/>
    <n v="434100"/>
    <n v="80800"/>
    <n v="353300"/>
    <n v="0"/>
    <n v="0"/>
    <n v="89850.625589999996"/>
    <n v="-30628.500548443946"/>
    <n v="29814.093161000001"/>
    <n v="197752.34721000001"/>
    <n v="-15167.100834000001"/>
    <n v="93975.290106054003"/>
    <n v="0"/>
    <n v="0"/>
    <n v="39551.377535920001"/>
    <n v="18960.110526"/>
    <n v="0"/>
    <n v="57700"/>
    <n v="364900"/>
    <n v="59200"/>
    <n v="481800"/>
    <n v="0.10988251554941257"/>
    <n v="0.99970000000000003"/>
    <n v="1.0088999999999999"/>
    <n v="0.99650000000000005"/>
    <n v="1.0093000000000001"/>
    <n v="0.93389999999999995"/>
    <n v="0.94971499999999998"/>
    <n v="0.89999349640785331"/>
    <n v="364900"/>
    <n v="54800"/>
    <n v="419700"/>
    <n v="56200"/>
    <n v="475900"/>
    <n v="0.18794225870365128"/>
    <n v="-0.30445544554455445"/>
    <n v="9.6291177148122548E-2"/>
  </r>
  <r>
    <n v="2025"/>
    <s v="18132324017    "/>
    <n v="-0.94160853985844495"/>
    <n v="0.39"/>
    <n v="16813"/>
    <s v="6"/>
    <s v="RES"/>
    <x v="0"/>
    <s v="11"/>
    <s v="259"/>
    <s v="FH"/>
    <s v="F+"/>
    <s v="GD"/>
    <x v="11"/>
    <n v="116"/>
    <n v="68"/>
    <n v="1908"/>
    <n v="1956"/>
    <n v="1504"/>
    <n v="1504"/>
    <n v="1504"/>
    <n v="1504"/>
    <m/>
    <m/>
    <n v="3008"/>
    <n v="3500"/>
    <n v="10"/>
    <m/>
    <m/>
    <m/>
    <m/>
    <m/>
    <m/>
    <m/>
    <n v="461994"/>
    <n v="263337"/>
    <n v="43188"/>
    <n v="477600"/>
    <n v="81700"/>
    <n v="395900"/>
    <n v="0"/>
    <n v="0"/>
    <n v="89850.625589999996"/>
    <n v="-29806.256507663158"/>
    <n v="0"/>
    <n v="197752.34721000001"/>
    <n v="-15167.100834000001"/>
    <n v="74310.639495007999"/>
    <n v="67358.779982944005"/>
    <n v="0"/>
    <n v="43739.170451487997"/>
    <n v="37920.221052000001"/>
    <n v="0"/>
    <n v="43200"/>
    <n v="405900"/>
    <n v="60000"/>
    <n v="509100"/>
    <n v="6.5954773869346728E-2"/>
    <n v="0.99970000000000003"/>
    <n v="0.99180000000000001"/>
    <n v="0.99650000000000005"/>
    <n v="1.0126999999999999"/>
    <n v="0.93389999999999995"/>
    <n v="0.94971499999999998"/>
    <n v="0.88771976552148957"/>
    <n v="405900"/>
    <n v="41000"/>
    <n v="446900"/>
    <n v="57000"/>
    <n v="503900"/>
    <n v="0.12882040919424098"/>
    <n v="-0.30232558139534882"/>
    <n v="5.5067001675041874E-2"/>
  </r>
  <r>
    <n v="2025"/>
    <s v="18132331003    "/>
    <n v="-1.6607312068216509"/>
    <n v="0.19"/>
    <n v="8416"/>
    <s v="6"/>
    <s v="RES"/>
    <x v="0"/>
    <s v="11"/>
    <s v="259"/>
    <s v="CC"/>
    <s v="A+"/>
    <s v="AV"/>
    <x v="11"/>
    <n v="117"/>
    <n v="69"/>
    <n v="1907"/>
    <n v="1955"/>
    <n v="1388"/>
    <n v="416"/>
    <n v="1008"/>
    <n v="1008"/>
    <m/>
    <m/>
    <n v="1804"/>
    <n v="2000"/>
    <n v="11"/>
    <m/>
    <m/>
    <n v="496"/>
    <m/>
    <m/>
    <m/>
    <m/>
    <n v="362508"/>
    <n v="199379"/>
    <n v="21922"/>
    <n v="359600"/>
    <n v="56600"/>
    <n v="303000"/>
    <n v="0"/>
    <n v="0"/>
    <n v="89850.625589999996"/>
    <n v="-52569.808201026557"/>
    <n v="29814.093161000001"/>
    <n v="160472.20319"/>
    <n v="-15390.1464345"/>
    <n v="68579.233789275997"/>
    <n v="18631.151910175999"/>
    <n v="0"/>
    <n v="29314.550408976"/>
    <n v="41712.243157199999"/>
    <n v="16514.575576896001"/>
    <n v="21900"/>
    <n v="349600"/>
    <n v="37300"/>
    <n v="408800"/>
    <n v="0.13681868743047831"/>
    <n v="0.99970000000000003"/>
    <n v="1.0088999999999999"/>
    <n v="0.99729999999999996"/>
    <n v="1.0093000000000001"/>
    <n v="0.93389999999999995"/>
    <n v="0.94971499999999998"/>
    <n v="0.90071602003768403"/>
    <n v="349600"/>
    <n v="20800"/>
    <n v="370400"/>
    <n v="35400"/>
    <n v="405800"/>
    <n v="0.22244224422442244"/>
    <n v="-0.37455830388692579"/>
    <n v="0.12847608453837597"/>
  </r>
  <r>
    <n v="2025"/>
    <s v="18132342400    "/>
    <n v="-0.86750056770472306"/>
    <n v="0.42"/>
    <n v="18210"/>
    <s v="6"/>
    <s v="RES"/>
    <x v="0"/>
    <s v="11"/>
    <s v="259"/>
    <s v="VT"/>
    <s v="A+"/>
    <s v="GD"/>
    <x v="11"/>
    <n v="118"/>
    <n v="71"/>
    <n v="1906"/>
    <n v="1953"/>
    <n v="851"/>
    <n v="1388"/>
    <m/>
    <n v="0"/>
    <m/>
    <m/>
    <n v="2239"/>
    <n v="2500"/>
    <n v="8"/>
    <m/>
    <m/>
    <m/>
    <m/>
    <m/>
    <m/>
    <m/>
    <n v="356090"/>
    <n v="202971"/>
    <n v="50069"/>
    <n v="424800"/>
    <n v="84300"/>
    <n v="340500"/>
    <n v="0"/>
    <n v="0"/>
    <n v="89850.625589999996"/>
    <n v="-27460.397125792362"/>
    <n v="29814.093161000001"/>
    <n v="197752.34721000001"/>
    <n v="-15836.2376355"/>
    <n v="42046.778065327002"/>
    <n v="62163.554931068"/>
    <n v="0"/>
    <n v="0"/>
    <n v="30336.176841600001"/>
    <n v="0"/>
    <n v="50100"/>
    <n v="346300"/>
    <n v="62400"/>
    <n v="458800"/>
    <n v="8.0037664783427498E-2"/>
    <n v="0.99970000000000003"/>
    <n v="1.0088999999999999"/>
    <n v="0.99650000000000005"/>
    <n v="0.98919999999999997"/>
    <n v="0.93389999999999995"/>
    <n v="0.94971499999999998"/>
    <n v="0.88207031273818337"/>
    <n v="346300"/>
    <n v="47600"/>
    <n v="393900"/>
    <n v="59300"/>
    <n v="453200"/>
    <n v="0.15682819383259911"/>
    <n v="-0.29655990510083036"/>
    <n v="6.6854990583804147E-2"/>
  </r>
  <r>
    <n v="2025"/>
    <s v="18132333491    "/>
    <n v="-1.0788096613719298"/>
    <n v="0.34"/>
    <n v="14696"/>
    <s v="6"/>
    <s v="RES"/>
    <x v="0"/>
    <s v="11"/>
    <s v="259"/>
    <s v="VT"/>
    <s v="G"/>
    <s v="GD"/>
    <x v="11"/>
    <n v="118"/>
    <n v="70"/>
    <n v="1906"/>
    <n v="1954"/>
    <n v="1887"/>
    <n v="1068"/>
    <m/>
    <n v="0"/>
    <m/>
    <m/>
    <n v="2955"/>
    <n v="3000"/>
    <n v="8"/>
    <m/>
    <m/>
    <m/>
    <m/>
    <m/>
    <m/>
    <m/>
    <n v="544523"/>
    <n v="310378"/>
    <n v="28306"/>
    <n v="453300"/>
    <n v="76900"/>
    <n v="376400"/>
    <n v="0"/>
    <n v="0"/>
    <n v="89850.625589999996"/>
    <n v="-34149.305288406773"/>
    <n v="44121.038090000002"/>
    <n v="197752.34721000001"/>
    <n v="-15613.192035"/>
    <n v="93234.160057899004"/>
    <n v="47831.899615547998"/>
    <n v="0"/>
    <n v="0"/>
    <n v="30336.176841600001"/>
    <n v="0"/>
    <n v="28300"/>
    <n v="397700"/>
    <n v="55700"/>
    <n v="481700"/>
    <n v="6.265166556364439E-2"/>
    <n v="0.99970000000000003"/>
    <n v="0.98050000000000004"/>
    <n v="0.99650000000000005"/>
    <n v="0.96179999999999999"/>
    <n v="0.93389999999999995"/>
    <n v="0.94971499999999998"/>
    <n v="0.83349566724044089"/>
    <n v="397700"/>
    <n v="26900"/>
    <n v="424600"/>
    <n v="52900"/>
    <n v="477500"/>
    <n v="0.12805526036131776"/>
    <n v="-0.31209362808842656"/>
    <n v="5.3386278402823735E-2"/>
  </r>
  <r>
    <n v="2025"/>
    <s v="18132334422    "/>
    <n v="-1.2729656758128873"/>
    <n v="0.28000000000000003"/>
    <m/>
    <s v="6"/>
    <s v="RES"/>
    <x v="0"/>
    <s v="11"/>
    <s v="259"/>
    <s v="CC"/>
    <s v="A"/>
    <s v="AV"/>
    <x v="11"/>
    <n v="119"/>
    <n v="71"/>
    <n v="1905"/>
    <n v="1953"/>
    <n v="696"/>
    <n v="456"/>
    <n v="696"/>
    <n v="696"/>
    <m/>
    <m/>
    <n v="1152"/>
    <n v="1500"/>
    <n v="5"/>
    <m/>
    <m/>
    <m/>
    <m/>
    <m/>
    <m/>
    <m/>
    <n v="221529"/>
    <n v="121841"/>
    <n v="43914"/>
    <n v="322100"/>
    <n v="70100"/>
    <n v="252000"/>
    <n v="0"/>
    <n v="0"/>
    <n v="89850.625589999996"/>
    <n v="-40295.239319339329"/>
    <n v="21557.329055999999"/>
    <n v="160472.20319"/>
    <n v="-15836.2376355"/>
    <n v="34388.434234392"/>
    <n v="20422.608824616"/>
    <n v="0"/>
    <n v="20240.999091911999"/>
    <n v="18960.110526"/>
    <n v="0"/>
    <n v="43900"/>
    <n v="260200"/>
    <n v="49600"/>
    <n v="353700"/>
    <n v="9.8106178205526237E-2"/>
    <n v="0.99970000000000003"/>
    <n v="1.0067999999999999"/>
    <n v="0.99729999999999996"/>
    <n v="1.0157"/>
    <n v="0.93389999999999995"/>
    <n v="0.94971499999999998"/>
    <n v="0.90454077989636505"/>
    <n v="260200"/>
    <n v="41700"/>
    <n v="301900"/>
    <n v="47100"/>
    <n v="349000"/>
    <n v="0.19801587301587301"/>
    <n v="-0.32810271041369471"/>
    <n v="8.3514436510400497E-2"/>
  </r>
  <r>
    <n v="2025"/>
    <s v="18132324558    "/>
    <n v="-1.2729656758128873"/>
    <n v="0.28000000000000003"/>
    <n v="12069"/>
    <s v="6"/>
    <s v="RES"/>
    <x v="0"/>
    <s v="11"/>
    <s v="259"/>
    <s v="FH"/>
    <s v="G"/>
    <s v="AV"/>
    <x v="11"/>
    <n v="120"/>
    <n v="72"/>
    <n v="1904"/>
    <n v="1952"/>
    <n v="1015"/>
    <n v="1414"/>
    <n v="1015"/>
    <n v="1015"/>
    <m/>
    <m/>
    <n v="2429"/>
    <n v="2500"/>
    <n v="7"/>
    <m/>
    <m/>
    <m/>
    <m/>
    <m/>
    <m/>
    <m/>
    <n v="483912"/>
    <n v="266152"/>
    <n v="23819"/>
    <n v="408300"/>
    <n v="70100"/>
    <n v="338200"/>
    <n v="0"/>
    <n v="0"/>
    <n v="89850.625589999996"/>
    <n v="-40295.239319339329"/>
    <n v="44121.038090000002"/>
    <n v="160472.20319"/>
    <n v="-16059.283236000001"/>
    <n v="50149.799925154999"/>
    <n v="63328.001925453995"/>
    <n v="0"/>
    <n v="29518.123675704999"/>
    <n v="26544.1547364"/>
    <n v="0"/>
    <n v="23800"/>
    <n v="358100"/>
    <n v="49600"/>
    <n v="431500"/>
    <n v="5.6820964976732793E-2"/>
    <n v="0.99970000000000003"/>
    <n v="0.98050000000000004"/>
    <n v="0.99729999999999996"/>
    <n v="0.98919999999999997"/>
    <n v="0.93389999999999995"/>
    <n v="0.94971499999999998"/>
    <n v="0.85792870228410323"/>
    <n v="358100"/>
    <n v="22600"/>
    <n v="380700"/>
    <n v="47100"/>
    <n v="427800"/>
    <n v="0.12566528681253697"/>
    <n v="-0.32810271041369471"/>
    <n v="4.7759000734753858E-2"/>
  </r>
  <r>
    <n v="2025"/>
    <s v="18132341493    "/>
    <n v="-1.2039728043259361"/>
    <n v="0.3"/>
    <m/>
    <s v="6"/>
    <s v="RES"/>
    <x v="0"/>
    <s v="11"/>
    <s v=""/>
    <s v="TD"/>
    <s v="A"/>
    <s v="VG"/>
    <x v="12"/>
    <n v="122"/>
    <n v="64"/>
    <n v="1902"/>
    <n v="1960"/>
    <n v="1198"/>
    <n v="449"/>
    <m/>
    <n v="0"/>
    <m/>
    <m/>
    <n v="1647"/>
    <n v="2000"/>
    <n v="8"/>
    <m/>
    <n v="1198"/>
    <m/>
    <m/>
    <m/>
    <m/>
    <m/>
    <n v="279082"/>
    <n v="167449"/>
    <n v="0"/>
    <n v="377800"/>
    <n v="72500"/>
    <n v="305300"/>
    <n v="0"/>
    <n v="0"/>
    <n v="89850.625589999996"/>
    <n v="-38111.29648355169"/>
    <n v="21557.329055999999"/>
    <n v="284810.60806"/>
    <n v="-14274.918432"/>
    <n v="59191.586512646005"/>
    <n v="20109.103864589"/>
    <n v="0"/>
    <n v="0"/>
    <n v="30336.176841600001"/>
    <n v="0"/>
    <n v="0"/>
    <n v="401700"/>
    <n v="51700"/>
    <n v="453400"/>
    <n v="0.20010587612493383"/>
    <n v="0.99970000000000003"/>
    <n v="1.0067999999999999"/>
    <n v="1.0158"/>
    <n v="1.0093000000000001"/>
    <n v="0.74960000000000004"/>
    <n v="0.94971499999999998"/>
    <n v="0.73484300404207736"/>
    <n v="401700"/>
    <n v="0"/>
    <n v="401700"/>
    <n v="49100"/>
    <n v="450800"/>
    <n v="0.31575499508679988"/>
    <n v="-0.32275862068965516"/>
    <n v="0.19322392800423505"/>
  </r>
  <r>
    <n v="2025"/>
    <s v="18132313418    "/>
    <n v="-1.8971199848858813"/>
    <n v="0.15"/>
    <n v="6630"/>
    <s v="6"/>
    <s v="RES"/>
    <x v="0"/>
    <s v="11"/>
    <s v="259"/>
    <s v="BG"/>
    <s v="A"/>
    <s v="GD"/>
    <x v="12"/>
    <n v="122"/>
    <n v="74"/>
    <n v="1902"/>
    <n v="1950"/>
    <n v="1502"/>
    <n v="504"/>
    <n v="516"/>
    <n v="516"/>
    <n v="0"/>
    <m/>
    <n v="2006"/>
    <n v="2500"/>
    <n v="8"/>
    <m/>
    <m/>
    <m/>
    <m/>
    <m/>
    <m/>
    <m/>
    <n v="386365"/>
    <n v="220228"/>
    <n v="11333"/>
    <n v="362100"/>
    <n v="48400"/>
    <n v="313700"/>
    <n v="0"/>
    <n v="0"/>
    <n v="89850.625589999996"/>
    <n v="-60052.604136134301"/>
    <n v="21557.329055999999"/>
    <n v="197752.34721000001"/>
    <n v="-16505.374437000002"/>
    <n v="74211.822155254005"/>
    <n v="22572.357121943998"/>
    <n v="0"/>
    <n v="15006.257947451999"/>
    <n v="30336.176841600001"/>
    <n v="0"/>
    <n v="11300"/>
    <n v="344900"/>
    <n v="29800"/>
    <n v="386000"/>
    <n v="6.6003866335266503E-2"/>
    <n v="0.99970000000000003"/>
    <n v="1.0067999999999999"/>
    <n v="0.99650000000000005"/>
    <n v="0.98919999999999997"/>
    <n v="0.74960000000000004"/>
    <n v="0.94971499999999998"/>
    <n v="0.70652493354413559"/>
    <n v="344900"/>
    <n v="10800"/>
    <n v="355700"/>
    <n v="28300"/>
    <n v="384000"/>
    <n v="0.133885878227606"/>
    <n v="-0.41528925619834711"/>
    <n v="6.0480530240265118E-2"/>
  </r>
  <r>
    <n v="2025"/>
    <s v="18132241005    "/>
    <n v="-1.3093333199837622"/>
    <n v="0.27"/>
    <n v="11685"/>
    <s v="6"/>
    <s v="RES"/>
    <x v="0"/>
    <s v="11"/>
    <s v="259"/>
    <s v="VT"/>
    <s v="A"/>
    <s v="GD"/>
    <x v="12"/>
    <n v="122"/>
    <n v="54"/>
    <n v="1902"/>
    <n v="1970"/>
    <n v="1116"/>
    <n v="390"/>
    <m/>
    <n v="0"/>
    <m/>
    <m/>
    <n v="1506"/>
    <n v="2000"/>
    <n v="8"/>
    <m/>
    <m/>
    <m/>
    <m/>
    <m/>
    <m/>
    <m/>
    <n v="254932"/>
    <n v="173354"/>
    <n v="23506"/>
    <n v="361500"/>
    <n v="68900"/>
    <n v="292600"/>
    <n v="0"/>
    <n v="0"/>
    <n v="89850.625589999996"/>
    <n v="-41446.443120973789"/>
    <n v="21557.329055999999"/>
    <n v="197752.34721000001"/>
    <n v="-12044.462427"/>
    <n v="55140.075582732003"/>
    <n v="17466.70491579"/>
    <n v="0"/>
    <n v="0"/>
    <n v="30336.176841600001"/>
    <n v="0"/>
    <n v="23500"/>
    <n v="310200"/>
    <n v="48400"/>
    <n v="382100"/>
    <n v="5.6984785615491008E-2"/>
    <n v="0.99970000000000003"/>
    <n v="1.0067999999999999"/>
    <n v="0.99650000000000005"/>
    <n v="1.0093000000000001"/>
    <n v="0.74960000000000004"/>
    <n v="0.94971499999999998"/>
    <n v="0.72088113164789325"/>
    <n v="310200"/>
    <n v="22300"/>
    <n v="332500"/>
    <n v="46000"/>
    <n v="378500"/>
    <n v="0.13636363636363635"/>
    <n v="-0.33236574746008707"/>
    <n v="4.7026279391424619E-2"/>
  </r>
  <r>
    <n v="2025"/>
    <s v="18132244051    "/>
    <n v="-0.89159811928378363"/>
    <n v="0.41"/>
    <n v="17828"/>
    <s v="6"/>
    <s v="RES"/>
    <x v="0"/>
    <s v="11"/>
    <s v="259"/>
    <s v="FH"/>
    <s v="A+"/>
    <s v="AV"/>
    <x v="12"/>
    <n v="122"/>
    <n v="74"/>
    <n v="1902"/>
    <n v="1950"/>
    <n v="1552"/>
    <n v="1159"/>
    <n v="64"/>
    <n v="64"/>
    <m/>
    <m/>
    <n v="2711"/>
    <n v="3000"/>
    <n v="11"/>
    <m/>
    <m/>
    <n v="451"/>
    <m/>
    <m/>
    <m/>
    <m/>
    <n v="441330"/>
    <n v="242732"/>
    <n v="0"/>
    <n v="404700"/>
    <n v="83400"/>
    <n v="321300"/>
    <n v="0"/>
    <n v="0"/>
    <n v="89850.625589999996"/>
    <n v="-28223.195861326454"/>
    <n v="29814.093161000001"/>
    <n v="160472.20319"/>
    <n v="-16505.374437000002"/>
    <n v="76682.255649104001"/>
    <n v="51907.464095898998"/>
    <n v="0"/>
    <n v="1861.2412958079999"/>
    <n v="41712.243157199999"/>
    <n v="15016.277389476001"/>
    <n v="0"/>
    <n v="361000"/>
    <n v="61600"/>
    <n v="422600"/>
    <n v="4.4230294044971585E-2"/>
    <n v="0.99970000000000003"/>
    <n v="1.0088999999999999"/>
    <n v="0.99729999999999996"/>
    <n v="0.96179999999999999"/>
    <n v="0.74960000000000004"/>
    <n v="0.94971499999999998"/>
    <n v="0.68894029883042252"/>
    <n v="361000"/>
    <n v="0"/>
    <n v="361000"/>
    <n v="58500"/>
    <n v="419500"/>
    <n v="0.12356053532524121"/>
    <n v="-0.29856115107913667"/>
    <n v="3.6570298986903879E-2"/>
  </r>
  <r>
    <n v="2025"/>
    <s v="18132244487    "/>
    <n v="-1.2039728043259361"/>
    <n v="0.3"/>
    <n v="12946"/>
    <s v="6"/>
    <s v="RES"/>
    <x v="0"/>
    <s v="11"/>
    <s v="259"/>
    <s v="FH"/>
    <s v="A"/>
    <s v="GD"/>
    <x v="12"/>
    <n v="123"/>
    <n v="75"/>
    <n v="1901"/>
    <n v="1949"/>
    <n v="1368"/>
    <n v="793"/>
    <n v="1356"/>
    <n v="325"/>
    <n v="1031"/>
    <m/>
    <n v="3192"/>
    <n v="3500"/>
    <n v="7"/>
    <n v="550"/>
    <m/>
    <n v="360"/>
    <m/>
    <m/>
    <m/>
    <m/>
    <n v="425797"/>
    <n v="242704"/>
    <n v="0"/>
    <n v="412900"/>
    <n v="72500"/>
    <n v="340400"/>
    <n v="0"/>
    <n v="0"/>
    <n v="89850.625589999996"/>
    <n v="-38111.29648355169"/>
    <n v="21557.329055999999"/>
    <n v="197752.34721000001"/>
    <n v="-16728.4200375"/>
    <n v="67591.060391735999"/>
    <n v="35515.633328773001"/>
    <n v="0"/>
    <n v="39435.049954932001"/>
    <n v="26544.1547364"/>
    <n v="11986.385499360002"/>
    <n v="0"/>
    <n v="383700"/>
    <n v="51700"/>
    <n v="435400"/>
    <n v="5.4492613223540806E-2"/>
    <n v="0.99970000000000003"/>
    <n v="1.0067999999999999"/>
    <n v="0.99650000000000005"/>
    <n v="1.0126999999999999"/>
    <n v="0.74960000000000004"/>
    <n v="0.94971499999999998"/>
    <n v="0.72330954326743446"/>
    <n v="383700"/>
    <n v="0"/>
    <n v="383700"/>
    <n v="49100"/>
    <n v="432800"/>
    <n v="0.12720329024676852"/>
    <n v="-0.32275862068965516"/>
    <n v="4.8195689028820536E-2"/>
  </r>
  <r>
    <n v="2025"/>
    <s v="18132242430    "/>
    <n v="-1.3470736479666092"/>
    <n v="0.26"/>
    <n v="11401"/>
    <s v="6"/>
    <s v="RES"/>
    <x v="0"/>
    <s v="11"/>
    <s v="259"/>
    <s v="VT"/>
    <s v="A"/>
    <s v="GD"/>
    <x v="12"/>
    <n v="123"/>
    <n v="75"/>
    <n v="1901"/>
    <n v="1949"/>
    <n v="1300"/>
    <n v="1188"/>
    <n v="576"/>
    <n v="576"/>
    <m/>
    <m/>
    <n v="2488"/>
    <n v="2500"/>
    <n v="8"/>
    <m/>
    <m/>
    <m/>
    <m/>
    <m/>
    <m/>
    <m/>
    <n v="370552"/>
    <n v="211215"/>
    <n v="10334"/>
    <n v="404700"/>
    <n v="67600"/>
    <n v="337100"/>
    <n v="0"/>
    <n v="0"/>
    <n v="89850.625589999996"/>
    <n v="-42641.098701210125"/>
    <n v="21557.329055999999"/>
    <n v="197752.34721000001"/>
    <n v="-16728.4200375"/>
    <n v="64231.270840099998"/>
    <n v="53206.270358868001"/>
    <n v="0"/>
    <n v="16751.171662271998"/>
    <n v="30336.176841600001"/>
    <n v="0"/>
    <n v="10300"/>
    <n v="367100"/>
    <n v="47200"/>
    <n v="424600"/>
    <n v="4.9172226340499135E-2"/>
    <n v="0.99970000000000003"/>
    <n v="1.0067999999999999"/>
    <n v="0.99650000000000005"/>
    <n v="0.98919999999999997"/>
    <n v="0.74960000000000004"/>
    <n v="0.94971499999999998"/>
    <n v="0.70652493354413559"/>
    <n v="367100"/>
    <n v="9800"/>
    <n v="376900"/>
    <n v="44800"/>
    <n v="421700"/>
    <n v="0.11806585582913082"/>
    <n v="-0.33727810650887574"/>
    <n v="4.2006424511984185E-2"/>
  </r>
  <r>
    <n v="2025"/>
    <s v="18132341485    "/>
    <n v="-0.73396917508020043"/>
    <n v="0.48"/>
    <n v="20720"/>
    <s v="6"/>
    <s v="RES"/>
    <x v="0"/>
    <s v="11"/>
    <s v="259"/>
    <s v="CO"/>
    <s v="G"/>
    <s v="GD"/>
    <x v="12"/>
    <n v="123"/>
    <n v="75"/>
    <n v="1901"/>
    <n v="1949"/>
    <n v="1860"/>
    <n v="1309"/>
    <n v="198"/>
    <n v="198"/>
    <n v="0"/>
    <m/>
    <n v="3169"/>
    <n v="3500"/>
    <n v="11"/>
    <m/>
    <m/>
    <m/>
    <m/>
    <m/>
    <m/>
    <m/>
    <n v="592042"/>
    <n v="337464"/>
    <n v="0"/>
    <n v="477600"/>
    <n v="88900"/>
    <n v="388700"/>
    <n v="0"/>
    <n v="0"/>
    <n v="89850.625589999996"/>
    <n v="-23233.512202902497"/>
    <n v="44121.038090000002"/>
    <n v="197752.34721000001"/>
    <n v="-16728.4200375"/>
    <n v="91900.125971219997"/>
    <n v="58625.427525048995"/>
    <n v="0"/>
    <n v="5758.2152589059997"/>
    <n v="41712.243157199999"/>
    <n v="0"/>
    <n v="0"/>
    <n v="423100"/>
    <n v="66600"/>
    <n v="489700"/>
    <n v="2.533500837520938E-2"/>
    <n v="0.99970000000000003"/>
    <n v="0.98050000000000004"/>
    <n v="0.99650000000000005"/>
    <n v="1.0126999999999999"/>
    <n v="0.74960000000000004"/>
    <n v="0.94971499999999998"/>
    <n v="0.70441498527385726"/>
    <n v="423100"/>
    <n v="0"/>
    <n v="423100"/>
    <n v="63300"/>
    <n v="486400"/>
    <n v="8.8500128633907896E-2"/>
    <n v="-0.2879640044994376"/>
    <n v="1.8425460636515914E-2"/>
  </r>
  <r>
    <n v="2025"/>
    <s v="18132242505    "/>
    <n v="-1.0216512475319814"/>
    <n v="0.36"/>
    <n v="15807"/>
    <s v="6"/>
    <s v="RES"/>
    <x v="0"/>
    <s v="11"/>
    <s v="259"/>
    <s v="CO"/>
    <s v="F"/>
    <s v="AV"/>
    <x v="12"/>
    <n v="123"/>
    <n v="75"/>
    <n v="1901"/>
    <n v="1949"/>
    <n v="696"/>
    <n v="523"/>
    <n v="696"/>
    <n v="696"/>
    <m/>
    <m/>
    <n v="1219"/>
    <n v="1500"/>
    <n v="6"/>
    <m/>
    <m/>
    <m/>
    <m/>
    <m/>
    <m/>
    <m/>
    <n v="198564"/>
    <n v="109210"/>
    <n v="33228"/>
    <n v="321100"/>
    <n v="78900"/>
    <n v="242200"/>
    <n v="0"/>
    <n v="0"/>
    <n v="89850.625589999996"/>
    <n v="-32339.977661938148"/>
    <n v="-43578.886190266698"/>
    <n v="160472.20319"/>
    <n v="-16728.4200375"/>
    <n v="34388.434234392"/>
    <n v="23423.299156303001"/>
    <n v="0"/>
    <n v="20240.999091911999"/>
    <n v="22752.132631200002"/>
    <n v="0"/>
    <n v="33200"/>
    <n v="201000"/>
    <n v="57500"/>
    <n v="291700"/>
    <n v="-9.1560261600747428E-2"/>
    <n v="0.99970000000000003"/>
    <n v="1"/>
    <n v="0.99729999999999996"/>
    <n v="1.0157"/>
    <n v="0.74960000000000004"/>
    <n v="0.94971499999999998"/>
    <n v="0.72113096902123008"/>
    <n v="201000"/>
    <n v="31600"/>
    <n v="232600"/>
    <n v="54600"/>
    <n v="287200"/>
    <n v="-3.963666391412056E-2"/>
    <n v="-0.30798479087452474"/>
    <n v="-0.10557458735596388"/>
  </r>
  <r>
    <n v="2025"/>
    <s v="18132214514    "/>
    <n v="4.8790164169432049E-2"/>
    <n v="1.05"/>
    <m/>
    <s v="6"/>
    <s v="RES"/>
    <x v="0"/>
    <s v="11"/>
    <s v="259"/>
    <s v="CO"/>
    <s v="A+"/>
    <s v="GD"/>
    <x v="12"/>
    <n v="124"/>
    <n v="76"/>
    <n v="1900"/>
    <n v="1948"/>
    <n v="1335"/>
    <n v="1112"/>
    <n v="724"/>
    <n v="724"/>
    <m/>
    <m/>
    <n v="2447"/>
    <n v="2500"/>
    <n v="13"/>
    <m/>
    <n v="962"/>
    <n v="208"/>
    <m/>
    <m/>
    <m/>
    <m/>
    <n v="492468"/>
    <n v="280707"/>
    <n v="156921"/>
    <n v="616400"/>
    <n v="116200"/>
    <n v="500200"/>
    <n v="0"/>
    <n v="0"/>
    <n v="89850.625589999996"/>
    <n v="1544.4338987236779"/>
    <n v="29814.093161000001"/>
    <n v="197752.34721000001"/>
    <n v="-16951.465638000001"/>
    <n v="65960.574285794995"/>
    <n v="49802.502221431998"/>
    <n v="0"/>
    <n v="21055.292158828001"/>
    <n v="49296.287367600002"/>
    <n v="6925.4671774080007"/>
    <n v="156900"/>
    <n v="403700"/>
    <n v="91400"/>
    <n v="652000"/>
    <n v="5.7754704737183644E-2"/>
    <n v="0.99970000000000003"/>
    <n v="1.0088999999999999"/>
    <n v="0.99650000000000005"/>
    <n v="0.98919999999999997"/>
    <n v="0.74960000000000004"/>
    <n v="0.94971499999999998"/>
    <n v="0.70799861487155191"/>
    <n v="403700"/>
    <n v="149000"/>
    <n v="552700"/>
    <n v="86800"/>
    <n v="639500"/>
    <n v="0.10495801679328269"/>
    <n v="-0.25301204819277107"/>
    <n v="3.747566515249838E-2"/>
  </r>
  <r>
    <n v="2025"/>
    <s v="18132341488    "/>
    <n v="-1.1394342831883648"/>
    <n v="0.32"/>
    <n v="13738"/>
    <s v="6"/>
    <s v="RES"/>
    <x v="0"/>
    <s v="11"/>
    <s v="259"/>
    <s v="CO"/>
    <s v="A+"/>
    <s v="GD"/>
    <x v="12"/>
    <n v="124"/>
    <n v="76"/>
    <n v="1900"/>
    <n v="1948"/>
    <n v="1336"/>
    <n v="972"/>
    <n v="972"/>
    <n v="0"/>
    <n v="972"/>
    <m/>
    <n v="3280"/>
    <n v="3500"/>
    <n v="11"/>
    <m/>
    <n v="306"/>
    <n v="324"/>
    <m/>
    <m/>
    <m/>
    <m/>
    <n v="537690"/>
    <n v="306483"/>
    <n v="6957"/>
    <n v="456800"/>
    <n v="74800"/>
    <n v="382000"/>
    <n v="0"/>
    <n v="0"/>
    <n v="89850.625589999996"/>
    <n v="-36068.354396449467"/>
    <n v="29814.093161000001"/>
    <n v="197752.34721000001"/>
    <n v="-16951.465638000001"/>
    <n v="66009.982955672007"/>
    <n v="43532.403020892001"/>
    <n v="0"/>
    <n v="28267.602180083999"/>
    <n v="41712.243157199999"/>
    <n v="10787.746949424001"/>
    <n v="7000"/>
    <n v="400900"/>
    <n v="53800"/>
    <n v="461700"/>
    <n v="1.0726795096322241E-2"/>
    <n v="0.99970000000000003"/>
    <n v="1.0088999999999999"/>
    <n v="0.99650000000000005"/>
    <n v="1.0126999999999999"/>
    <n v="0.74960000000000004"/>
    <n v="0.94971499999999998"/>
    <n v="0.72481823420988734"/>
    <n v="400900"/>
    <n v="6600"/>
    <n v="407500"/>
    <n v="51100"/>
    <n v="458600"/>
    <n v="6.6753926701570682E-2"/>
    <n v="-0.31684491978609625"/>
    <n v="3.9404553415061296E-3"/>
  </r>
  <r>
    <n v="2025"/>
    <s v="18132332004    "/>
    <n v="-1.4271163556401458"/>
    <n v="0.24"/>
    <m/>
    <s v="6"/>
    <s v="RES"/>
    <x v="0"/>
    <s v="11"/>
    <s v="259"/>
    <s v="BG"/>
    <s v="A"/>
    <s v="GD"/>
    <x v="12"/>
    <n v="128"/>
    <n v="79"/>
    <n v="1896"/>
    <n v="1945"/>
    <n v="1244"/>
    <n v="600"/>
    <n v="648"/>
    <n v="648"/>
    <m/>
    <m/>
    <n v="1844"/>
    <n v="2000"/>
    <n v="10"/>
    <m/>
    <m/>
    <m/>
    <m/>
    <m/>
    <m/>
    <m/>
    <n v="298542"/>
    <n v="170169"/>
    <n v="6903"/>
    <n v="374900"/>
    <n v="64800"/>
    <n v="310100"/>
    <n v="0"/>
    <n v="0"/>
    <n v="89850.625589999996"/>
    <n v="-45174.819855485119"/>
    <n v="21557.329055999999"/>
    <n v="197752.34721000001"/>
    <n v="-17620.602439500002"/>
    <n v="61464.385326987998"/>
    <n v="26871.853716599999"/>
    <n v="0"/>
    <n v="18845.068120055999"/>
    <n v="37920.221052000001"/>
    <n v="0"/>
    <n v="6900"/>
    <n v="346800"/>
    <n v="44700"/>
    <n v="398400"/>
    <n v="6.2683382235262736E-2"/>
    <n v="0.99970000000000003"/>
    <n v="1.0067999999999999"/>
    <n v="0.99650000000000005"/>
    <n v="1.0093000000000001"/>
    <n v="0.74960000000000004"/>
    <n v="0.94971499999999998"/>
    <n v="0.72088113164789325"/>
    <n v="346800"/>
    <n v="6600"/>
    <n v="353400"/>
    <n v="42400"/>
    <n v="395800"/>
    <n v="0.13963237665269268"/>
    <n v="-0.34567901234567899"/>
    <n v="5.5748199519871963E-2"/>
  </r>
  <r>
    <n v="2025"/>
    <s v="18132332549    "/>
    <n v="-1.4271163556401458"/>
    <n v="0.24"/>
    <m/>
    <s v="6"/>
    <s v="RES"/>
    <x v="0"/>
    <s v="11"/>
    <s v="259"/>
    <s v="CO"/>
    <s v="A"/>
    <s v="AV"/>
    <x v="12"/>
    <n v="128"/>
    <n v="79"/>
    <n v="1896"/>
    <n v="1945"/>
    <n v="1196"/>
    <n v="690"/>
    <n v="800"/>
    <n v="800"/>
    <m/>
    <m/>
    <n v="1886"/>
    <n v="2000"/>
    <n v="8"/>
    <m/>
    <m/>
    <m/>
    <m/>
    <m/>
    <m/>
    <m/>
    <n v="314333"/>
    <n v="172883"/>
    <n v="6472"/>
    <n v="347700"/>
    <n v="64800"/>
    <n v="282900"/>
    <n v="0"/>
    <n v="0"/>
    <n v="89850.625589999996"/>
    <n v="-45174.819855485119"/>
    <n v="21557.329055999999"/>
    <n v="160472.20319"/>
    <n v="-17620.602439500002"/>
    <n v="59092.769172892004"/>
    <n v="30902.631774089998"/>
    <n v="0"/>
    <n v="23265.516197599998"/>
    <n v="30336.176841600001"/>
    <n v="0"/>
    <n v="6500"/>
    <n v="308000"/>
    <n v="44700"/>
    <n v="359200"/>
    <n v="3.3074489502444633E-2"/>
    <n v="0.99970000000000003"/>
    <n v="1.0067999999999999"/>
    <n v="0.99729999999999996"/>
    <n v="1.0093000000000001"/>
    <n v="0.74960000000000004"/>
    <n v="0.94971499999999998"/>
    <n v="0.72145986210982838"/>
    <n v="308000"/>
    <n v="6100"/>
    <n v="314100"/>
    <n v="42400"/>
    <n v="356500"/>
    <n v="0.11028632025450689"/>
    <n v="-0.34567901234567899"/>
    <n v="2.5309174575783723E-2"/>
  </r>
  <r>
    <n v="2025"/>
    <s v="18132313472    "/>
    <n v="-0.3285040669720361"/>
    <n v="0.72"/>
    <m/>
    <s v="6"/>
    <s v="RES"/>
    <x v="0"/>
    <s v="11"/>
    <s v="259"/>
    <s v="TD"/>
    <s v="A"/>
    <s v="AV"/>
    <x v="12"/>
    <n v="128"/>
    <n v="79"/>
    <n v="1896"/>
    <n v="1945"/>
    <n v="1441"/>
    <m/>
    <m/>
    <n v="0"/>
    <m/>
    <m/>
    <n v="1441"/>
    <n v="1500"/>
    <n v="7"/>
    <m/>
    <m/>
    <m/>
    <m/>
    <m/>
    <m/>
    <m/>
    <n v="227065"/>
    <n v="124886"/>
    <n v="31493"/>
    <n v="366100"/>
    <n v="103100"/>
    <n v="263000"/>
    <n v="0"/>
    <n v="0"/>
    <n v="89850.625589999996"/>
    <n v="-10398.670009355532"/>
    <n v="21557.329055999999"/>
    <n v="160472.20319"/>
    <n v="-17620.602439500002"/>
    <n v="71197.893292756999"/>
    <n v="0"/>
    <n v="0"/>
    <n v="0"/>
    <n v="26544.1547364"/>
    <n v="0"/>
    <n v="31500"/>
    <n v="262200"/>
    <n v="79500"/>
    <n v="373200"/>
    <n v="1.9393608303742146E-2"/>
    <n v="0.99970000000000003"/>
    <n v="1.0067999999999999"/>
    <n v="0.99729999999999996"/>
    <n v="1.0157"/>
    <n v="0.74960000000000004"/>
    <n v="0.94971499999999998"/>
    <n v="0.72603465961057434"/>
    <n v="262200"/>
    <n v="29900"/>
    <n v="292100"/>
    <n v="75500"/>
    <n v="367600"/>
    <n v="0.11064638783269962"/>
    <n v="-0.26770126091173618"/>
    <n v="4.0972411909314397E-3"/>
  </r>
  <r>
    <n v="2025"/>
    <s v="18132241054    "/>
    <n v="-0.89159811928378363"/>
    <n v="0.41"/>
    <n v="17869"/>
    <s v="6"/>
    <s v="RES"/>
    <x v="0"/>
    <s v="11"/>
    <s v="259"/>
    <s v="VT"/>
    <s v="A+"/>
    <s v="AV"/>
    <x v="13"/>
    <n v="135"/>
    <n v="77"/>
    <n v="1889"/>
    <n v="1947"/>
    <n v="1056"/>
    <n v="750"/>
    <m/>
    <n v="0"/>
    <m/>
    <m/>
    <n v="1806"/>
    <n v="2000"/>
    <n v="7"/>
    <m/>
    <m/>
    <m/>
    <m/>
    <m/>
    <m/>
    <m/>
    <n v="312076"/>
    <n v="171642"/>
    <n v="11351"/>
    <n v="352900"/>
    <n v="83400"/>
    <n v="269500"/>
    <n v="0"/>
    <n v="0"/>
    <n v="89850.625589999996"/>
    <n v="-28223.195861326454"/>
    <n v="29814.093161000001"/>
    <n v="160472.20319"/>
    <n v="-17174.511238499999"/>
    <n v="52175.555390112"/>
    <n v="33589.817145749999"/>
    <n v="0"/>
    <n v="0"/>
    <n v="26544.1547364"/>
    <n v="0"/>
    <n v="11400"/>
    <n v="285400"/>
    <n v="61600"/>
    <n v="358400"/>
    <n v="1.5585151601020119E-2"/>
    <n v="0.99970000000000003"/>
    <n v="1.0088999999999999"/>
    <n v="0.99729999999999996"/>
    <n v="1.0093000000000001"/>
    <n v="1"/>
    <n v="0.94971499999999998"/>
    <n v="0.96446730917409151"/>
    <n v="285400"/>
    <n v="10800"/>
    <n v="296200"/>
    <n v="58500"/>
    <n v="354700"/>
    <n v="9.9072356215213361E-2"/>
    <n v="-0.29856115107913667"/>
    <n v="5.1005950694247666E-3"/>
  </r>
  <r>
    <n v="2025"/>
    <s v="18132241006    "/>
    <n v="-1.8325814637483102"/>
    <n v="0.16"/>
    <n v="7118"/>
    <s v="6"/>
    <s v="RES"/>
    <x v="0"/>
    <s v="11"/>
    <s v="259"/>
    <s v="VT"/>
    <s v="A"/>
    <s v="GD"/>
    <x v="14"/>
    <n v="144"/>
    <n v="89"/>
    <n v="1880"/>
    <n v="1935"/>
    <n v="1047"/>
    <m/>
    <m/>
    <n v="0"/>
    <m/>
    <m/>
    <n v="1047"/>
    <n v="1500"/>
    <n v="7"/>
    <n v="198"/>
    <m/>
    <n v="192"/>
    <m/>
    <m/>
    <m/>
    <m/>
    <n v="189607"/>
    <n v="108076"/>
    <n v="0"/>
    <n v="287600"/>
    <n v="50600"/>
    <n v="237000"/>
    <n v="0"/>
    <n v="0"/>
    <n v="89850.625589999996"/>
    <n v="-58009.662049032086"/>
    <n v="21557.329055999999"/>
    <n v="197752.34721000001"/>
    <n v="-19851.058444500002"/>
    <n v="51730.877361218998"/>
    <n v="0"/>
    <n v="0"/>
    <n v="0"/>
    <n v="26544.1547364"/>
    <n v="6392.7389329920006"/>
    <n v="0"/>
    <n v="284100"/>
    <n v="31800"/>
    <n v="315900"/>
    <n v="9.8400556328233663E-2"/>
    <n v="0.99970000000000003"/>
    <n v="1.0067999999999999"/>
    <n v="0.99650000000000005"/>
    <n v="1.0157"/>
    <n v="1.0606"/>
    <n v="0.94971499999999998"/>
    <n v="1.0264336530444296"/>
    <n v="284100"/>
    <n v="0"/>
    <n v="284100"/>
    <n v="30200"/>
    <n v="314300"/>
    <n v="0.19873417721518988"/>
    <n v="-0.40316205533596838"/>
    <n v="9.2837273991655075E-2"/>
  </r>
  <r>
    <n v="2025"/>
    <s v="18132342501    "/>
    <n v="-0.57981849525294205"/>
    <n v="0.56000000000000005"/>
    <n v="24364"/>
    <s v="6"/>
    <s v="RES"/>
    <x v="0"/>
    <s v="11"/>
    <s v=""/>
    <s v="VT"/>
    <s v="G"/>
    <s v="GD"/>
    <x v="14"/>
    <n v="146"/>
    <n v="89"/>
    <n v="1878"/>
    <n v="1935"/>
    <n v="1868"/>
    <n v="759"/>
    <n v="572"/>
    <n v="572"/>
    <m/>
    <m/>
    <n v="2627"/>
    <n v="3000"/>
    <n v="9"/>
    <m/>
    <m/>
    <n v="588"/>
    <m/>
    <m/>
    <m/>
    <m/>
    <n v="613661"/>
    <n v="349787"/>
    <n v="0"/>
    <n v="446200"/>
    <n v="94300"/>
    <n v="351900"/>
    <n v="0"/>
    <n v="0"/>
    <n v="89850.625589999996"/>
    <n v="-18353.931666756715"/>
    <n v="44121.038090000002"/>
    <n v="197752.34721000001"/>
    <n v="-19851.058444500002"/>
    <n v="92295.395330236002"/>
    <n v="33992.894951499002"/>
    <n v="0"/>
    <n v="16634.844081283998"/>
    <n v="34128.198946800003"/>
    <n v="19577.762982288001"/>
    <n v="0"/>
    <n v="418700"/>
    <n v="71500"/>
    <n v="490200"/>
    <n v="9.8610488570147911E-2"/>
    <n v="0.99970000000000003"/>
    <n v="0.98050000000000004"/>
    <n v="0.99650000000000005"/>
    <n v="0.96179999999999999"/>
    <n v="1.0606"/>
    <n v="0.94971499999999998"/>
    <n v="0.94657404933634404"/>
    <n v="418700"/>
    <n v="0"/>
    <n v="418700"/>
    <n v="67900"/>
    <n v="486600"/>
    <n v="0.18982665529980108"/>
    <n v="-0.27995758218451749"/>
    <n v="9.054235768713581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6A5221-84FD-4D45-8A3A-61DE834F6F2B}" name="PivotTable3" cacheId="22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ales">
  <location ref="J3:M19" firstHeaderRow="0" firstDataRow="1" firstDataCol="1"/>
  <pivotFields count="73">
    <pivotField showAll="0"/>
    <pivotField dataField="1"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numFmtId="9" showAll="0"/>
    <pivotField dataField="1" showAll="0"/>
  </pivotFields>
  <rowFields count="1">
    <field x="1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Parcel" fld="1" subtotal="count" baseField="0" baseItem="0"/>
    <dataField name="Average of Unadj Diff" fld="57" subtotal="average" baseField="0" baseItem="0" numFmtId="9"/>
    <dataField name="Average of Adjusted Total Difference" fld="72" subtotal="average" baseField="0" baseItem="0" numFmtId="9"/>
  </dataFields>
  <formats count="5">
    <format dxfId="118">
      <pivotArea field="7" type="button" dataOnly="0" labelOnly="1" outline="0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5AAD06-91CB-47D0-99DC-A2887CCA9198}" name="PivotTable1" cacheId="22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ales">
  <location ref="A3:E17" firstHeaderRow="0" firstDataRow="1" firstDataCol="1"/>
  <pivotFields count="105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6">
        <item x="4"/>
        <item x="0"/>
        <item x="2"/>
        <item x="1"/>
        <item x="3"/>
        <item t="default"/>
      </items>
    </pivotField>
    <pivotField showAll="0"/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9" showAll="0"/>
    <pivotField numFmtId="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numFmtId="9" showAll="0"/>
    <pivotField dataField="1" numFmtId="9" showAll="0"/>
    <pivotField dataField="1" numFmtId="9" showAll="0"/>
  </pivotFields>
  <rowFields count="1">
    <field x="15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unt of Parcel" fld="1" subtotal="count" baseField="0" baseItem="0"/>
    <dataField name="Average of Unadj Ratio " fld="87" subtotal="average" baseField="0" baseItem="0" numFmtId="9"/>
    <dataField name="Average of Final Ratio" fld="104" subtotal="average" baseField="0" baseItem="0" numFmtId="9"/>
    <dataField name="Average of Adjusted Total Difference" fld="103" subtotal="average" baseField="0" baseItem="0" numFmtId="9"/>
  </dataFields>
  <formats count="8">
    <format dxfId="1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5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  <format dxfId="124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23">
      <pivotArea field="13" type="button" dataOnly="0" labelOnly="1" outline="0"/>
    </format>
    <format dxfId="122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F008A34-0DEE-4CC4-8DDB-82BC340F48FF}" name="Sales" displayName="Sales" ref="A1:DA308" totalsRowShown="0">
  <autoFilter ref="A1:DA308" xr:uid="{AF008A34-0DEE-4CC4-8DDB-82BC340F48FF}"/>
  <sortState xmlns:xlrd2="http://schemas.microsoft.com/office/spreadsheetml/2017/richdata2" ref="A2:DA308">
    <sortCondition ref="S1:S308"/>
  </sortState>
  <tableColumns count="105">
    <tableColumn id="1" xr3:uid="{B8F3C1F7-BEC1-4D17-894D-B7591C7AD46A}" name="Year"/>
    <tableColumn id="2" xr3:uid="{05DBD516-8DA6-46B1-8DDD-B87665A64467}" name="Parcel" dataDxfId="113"/>
    <tableColumn id="3" xr3:uid="{18BFA865-6A9B-4790-A348-47C2478AED86}" name="LnAcres"/>
    <tableColumn id="4" xr3:uid="{9162E7FC-E14F-4AE9-8855-45ED251110EE}" name="Acres"/>
    <tableColumn id="5" xr3:uid="{C1FC5A56-7EAC-495F-B68D-A280EC4898F7}" name="Sqft"/>
    <tableColumn id="6" xr3:uid="{B92ABA7B-0475-4799-9740-206B1F12365B}" name="Cycle"/>
    <tableColumn id="7" xr3:uid="{A2874154-665C-410A-B484-2D2F7E62DB0C}" name="Type"/>
    <tableColumn id="8" xr3:uid="{E3F63730-DD33-479F-A351-7BDF1AC68361}" name="Nbhd"/>
    <tableColumn id="9" xr3:uid="{881FBE8A-8A1D-45C0-A2B6-94113EF9A43F}" name="TNbhd"/>
    <tableColumn id="10" xr3:uid="{2FCFEE48-5A7F-4C46-BE9D-09B902726BB0}" name="Zone"/>
    <tableColumn id="11" xr3:uid="{A6E569F0-B8EB-4E5F-AB97-AB06F213AC71}" name="Use"/>
    <tableColumn id="12" xr3:uid="{71B61D8D-0B30-4C34-9453-797DFC49B19F}" name="Subtype"/>
    <tableColumn id="13" xr3:uid="{B45B130C-410C-4727-9137-044CAF89F8D8}" name="Style"/>
    <tableColumn id="14" xr3:uid="{F8DD1910-B37C-4C6F-B51C-7761F9E64C87}" name="Qlty"/>
    <tableColumn id="15" xr3:uid="{4F4321AE-BE9E-4FA8-9630-EC6749549F54}" name="Cnd"/>
    <tableColumn id="16" xr3:uid="{00D9BA22-08D7-441B-8653-D94EF4860A7B}" name="Decade"/>
    <tableColumn id="17" xr3:uid="{C2CF491A-5923-4420-B5BB-18774973F2EF}" name="YrBlt"/>
    <tableColumn id="18" xr3:uid="{7689C5AF-0436-44A1-AED7-F4E76CD05D72}" name="EffYr"/>
    <tableColumn id="19" xr3:uid="{DDCDAD8C-5B1F-4C9C-A662-E5F63A2AB424}" name="Age"/>
    <tableColumn id="20" xr3:uid="{AD7A2E8F-738C-4C89-80AE-69C56458F7F7}" name="EffAge"/>
    <tableColumn id="21" xr3:uid="{FB4648A2-B521-4714-8C58-11A9B5C2EF6C}" name="#Stories"/>
    <tableColumn id="22" xr3:uid="{6F0E2449-AD24-425E-9EF9-F87CC922D890}" name="MainFn"/>
    <tableColumn id="23" xr3:uid="{0CD0BF1A-043C-4524-8397-CDCDCB73F94A}" name="UpprFn"/>
    <tableColumn id="24" xr3:uid="{A305AE13-59F1-42A9-B6A7-76A84F2209DD}" name="AddFn"/>
    <tableColumn id="25" xr3:uid="{9C50EABC-962A-4914-82B4-2E0D11C84FED}" name="Bsmt"/>
    <tableColumn id="26" xr3:uid="{4F5B1809-DFA7-44B6-826F-0C7D56484DC4}" name="UnfinBsmt"/>
    <tableColumn id="27" xr3:uid="{5938ACB6-FB31-43FE-838E-65A8B8257434}" name="FnBsmt"/>
    <tableColumn id="28" xr3:uid="{47DF3550-0FC1-4A91-BB63-031DE57F2BCA}" name="Livign Area"/>
    <tableColumn id="29" xr3:uid="{7B9FBF31-AE1A-4876-8F05-E95FDC48ACB8}" name="LivArea Range"/>
    <tableColumn id="30" xr3:uid="{B53F39F0-8D57-4617-B8EE-DEAE4D27CF1C}" name="GarSpace"/>
    <tableColumn id="31" xr3:uid="{3A142A0B-C8E0-427A-9804-3094AC8ACD1C}" name="MsnryTrim"/>
    <tableColumn id="32" xr3:uid="{105DFAF9-B33B-498F-9E4F-60C11211FB24}" name="Heat"/>
    <tableColumn id="33" xr3:uid="{A0ADF390-A6FD-4F12-9150-DC40C1C34D92}" name="Fuel"/>
    <tableColumn id="34" xr3:uid="{2A0601F0-0F66-43DE-AC57-A5FBC27806FC}" name="AC"/>
    <tableColumn id="35" xr3:uid="{444725A3-BC7B-4BE7-A1B9-4D2F41D075A8}" name="WdStove"/>
    <tableColumn id="36" xr3:uid="{F092AEC7-26F4-44BD-9492-909BDD0FB709}" name="MsnryFP"/>
    <tableColumn id="37" xr3:uid="{11A8F0DE-50AB-4A70-A7EC-44D8F91036B5}" name="PrefabFP"/>
    <tableColumn id="38" xr3:uid="{4E40DC2A-51F6-45CE-9060-38DA16270BFB}" name="3/4Bath"/>
    <tableColumn id="39" xr3:uid="{0F006ACE-9550-4B25-890D-10F9EC23C395}" name="1/2Bath"/>
    <tableColumn id="40" xr3:uid="{87F78474-AE12-49CB-9CCC-939CEF13A86B}" name="Fixtures"/>
    <tableColumn id="41" xr3:uid="{3CE98867-9F64-4465-97C3-C5E6C4BE7DAC}" name="AttGar"/>
    <tableColumn id="42" xr3:uid="{0B311AEE-B0C1-408E-AE60-DD1263CDB548}" name="BltinGar"/>
    <tableColumn id="43" xr3:uid="{D706AE5E-C7A3-4F1E-ACFC-2776BDD808B2}" name="Carport"/>
    <tableColumn id="44" xr3:uid="{0D2A929D-8C07-43ED-9CDA-C3E5BB5A38F6}" name="WdDeck"/>
    <tableColumn id="45" xr3:uid="{05BAE488-7BC7-4F7B-89A3-692F73CA916D}" name="Patio"/>
    <tableColumn id="46" xr3:uid="{B57C16F7-7857-4983-BD1D-F78F0234797A}" name="CoverSf"/>
    <tableColumn id="47" xr3:uid="{691FAF0E-8B8A-4FA7-9E3F-F96DAF09865C}" name="%Comp"/>
    <tableColumn id="48" xr3:uid="{28C15A6A-DDA3-473A-848A-EC7C34C239EE}" name="Ecn"/>
    <tableColumn id="49" xr3:uid="{66199357-E1B6-44AE-A641-EEB807324B01}" name="Rcn"/>
    <tableColumn id="50" xr3:uid="{A52DB558-A306-4F3A-AB54-4ABBDEC0CDB7}" name="Rcnld"/>
    <tableColumn id="51" xr3:uid="{6E046956-37F1-4CFE-BC42-DEBE4EF871F2}" name="Days Prior"/>
    <tableColumn id="52" xr3:uid="{841B4F55-7E29-4D60-8457-508C2CAB0595}" name="DP1"/>
    <tableColumn id="53" xr3:uid="{242E4733-87B0-492F-9284-6D2F95F55D43}" name="DP2"/>
    <tableColumn id="54" xr3:uid="{505038B6-885F-4CF8-9DFE-E667DBB08213}" name="DP3"/>
    <tableColumn id="55" xr3:uid="{6790007C-C22A-4336-A567-81DF372266F4}" name="Date" dataDxfId="112"/>
    <tableColumn id="56" xr3:uid="{D53604EC-FC2A-4032-A714-35844433DDCD}" name="Excise"/>
    <tableColumn id="57" xr3:uid="{FDFEAF8C-69BB-409A-86AF-1CEC06F3A3A7}" name="Price"/>
    <tableColumn id="58" xr3:uid="{6100E3F7-7DB1-4C39-AE30-39B26DEECF76}" name="SP-Det"/>
    <tableColumn id="59" xr3:uid="{A8995102-93ED-427D-B265-E10B585FD192}" name="SaleType"/>
    <tableColumn id="60" xr3:uid="{834D0C2E-9F9C-451A-99F6-ED78D6243C29}" name="Verify"/>
    <tableColumn id="61" xr3:uid="{DD527598-EB6D-4BAD-9680-4538C49244DE}" name="Mult"/>
    <tableColumn id="62" xr3:uid="{6F01778F-E8E8-4A4C-9C26-0593647F1BE7}" name="Bench"/>
    <tableColumn id="63" xr3:uid="{DDC3AC65-C99B-4944-A2F7-A35BA56D6B61}" name="24Final"/>
    <tableColumn id="64" xr3:uid="{79CD4F2E-0F59-4D97-914F-9D120C5537FC}" name="24Lnd"/>
    <tableColumn id="65" xr3:uid="{AB24637C-64A2-4F6D-8383-F2BE084930F0}" name="24Bldg"/>
    <tableColumn id="66" xr3:uid="{BAAC5AC4-266C-4279-9970-9364649BA607}" name="25Det"/>
    <tableColumn id="67" xr3:uid="{29AE0B81-3384-4794-96E1-83B981A0C305}" name="Ratio"/>
    <tableColumn id="68" xr3:uid="{70791BAC-0F35-4B0D-923B-FB029BA36360}" name="Mdl Formula DP"/>
    <tableColumn id="69" xr3:uid="{B5D11053-EEC9-47C6-8280-5964EDC05773}" name="Mdl Formula Total"/>
    <tableColumn id="70" xr3:uid="{EB26DAAF-F117-456D-A7E8-B00EF97274BB}" name="Days Prior Total" dataDxfId="111">
      <calculatedColumnFormula>(Sales[[#This Row],[DP1]]*Lookups!$B$59)+(Sales[[#This Row],[DP2]]*Lookups!$B$60)+(Sales[[#This Row],[DP3]]*Lookups!$B$61)</calculatedColumnFormula>
    </tableColumn>
    <tableColumn id="71" xr3:uid="{52D4DAEA-98F1-41AE-B08E-F8D671BF51B3}" name="Mdl Res Intercept" dataDxfId="110">
      <calculatedColumnFormula>Lookups!$B$56*0</calculatedColumnFormula>
    </tableColumn>
    <tableColumn id="72" xr3:uid="{3331AC63-27D5-4928-99CB-B5C606275717}" name="Mdl Land Intercept" dataDxfId="109">
      <calculatedColumnFormula>Lookups!$B$56*1</calculatedColumnFormula>
    </tableColumn>
    <tableColumn id="73" xr3:uid="{33615DED-4EBA-4F8A-8B92-646B68048E70}" name="Mdl LnAcres" dataDxfId="108">
      <calculatedColumnFormula>Lookups!$B$57*Sales[[#This Row],[LnAcres]]</calculatedColumnFormula>
    </tableColumn>
    <tableColumn id="74" xr3:uid="{57710E27-504E-4F83-A9BE-81401EFBB0D4}" name="Mdl Qlty" dataDxfId="107">
      <calculatedColumnFormula>VLOOKUP(Sales[[#This Row],[Qlty]],Lookups!$A$62:$E$75,2,FALSE)</calculatedColumnFormula>
    </tableColumn>
    <tableColumn id="75" xr3:uid="{0D09EEF1-C31A-4267-BEA9-772D9BCE6125}" name="Mdl Condition" dataDxfId="106">
      <calculatedColumnFormula>VLOOKUP(Sales[[#This Row],[Cnd]],Lookups!$A$76:$E$84,2,FALSE)</calculatedColumnFormula>
    </tableColumn>
    <tableColumn id="76" xr3:uid="{816F98F7-FBE6-4730-B87E-D8877F08D166}" name="Mdl Age" dataDxfId="105">
      <calculatedColumnFormula>Sales[[#This Row],[EffAge]]*Lookups!$B$85</calculatedColumnFormula>
    </tableColumn>
    <tableColumn id="77" xr3:uid="{7FF14B8A-72B6-42F0-B71E-D57D752422FC}" name="Mdl MainFn" dataDxfId="104">
      <calculatedColumnFormula>Sales[[#This Row],[MainFn]]*Lookups!$B$86</calculatedColumnFormula>
    </tableColumn>
    <tableColumn id="78" xr3:uid="{6C9C2A51-D1A0-40BB-9B2F-279D6D427706}" name="Mdl UpprFn" dataDxfId="103">
      <calculatedColumnFormula>Sales[[#This Row],[UpprFn]]*Lookups!$B$87</calculatedColumnFormula>
    </tableColumn>
    <tableColumn id="79" xr3:uid="{2B230E2C-8C89-47A5-9F98-4903ACC76B97}" name="Mdl AddFn" dataDxfId="102">
      <calculatedColumnFormula>Sales[[#This Row],[AddFn]]*Lookups!$B$88</calculatedColumnFormula>
    </tableColumn>
    <tableColumn id="80" xr3:uid="{A360C0DF-EF8C-496D-A01F-7D743EDA487B}" name="Mdl Bsmt" dataDxfId="101">
      <calculatedColumnFormula>Sales[[#This Row],[Bsmt]]*Lookups!$B$89</calculatedColumnFormula>
    </tableColumn>
    <tableColumn id="82" xr3:uid="{AB43B56C-67F1-412F-AF7A-AABEAC780227}" name="Mdl Fixtures" dataDxfId="100">
      <calculatedColumnFormula>Sales[[#This Row],[Fixtures]]*Lookups!$B$90</calculatedColumnFormula>
    </tableColumn>
    <tableColumn id="83" xr3:uid="{67A80553-528A-4F17-BBC1-C29A9D5AB152}" name="Mdl WdDeck" dataDxfId="99">
      <calculatedColumnFormula>Sales[[#This Row],[WdDeck]]*Lookups!$B$91</calculatedColumnFormula>
    </tableColumn>
    <tableColumn id="85" xr3:uid="{3E56FA85-42CC-4AB7-B3AF-D878546CF43C}" name="Match Mdl Value" dataDxfId="98">
      <calculatedColumnFormula>SUM(Sales[[#This Row],[Days Prior Total]:[Mdl WdDeck]])</calculatedColumnFormula>
    </tableColumn>
    <tableColumn id="86" xr3:uid="{8D83050F-7E5B-4D15-B5D3-7ECBA50D7116}" name="Unadj Det Value" dataDxfId="97">
      <calculatedColumnFormula>ROUND(Sales[[#This Row],[25Det]],-2)</calculatedColumnFormula>
    </tableColumn>
    <tableColumn id="87" xr3:uid="{B863CEC1-FF7E-4CFB-A1AD-DAF3B62EA2AF}" name="Unadj Res Value" dataDxfId="96">
      <calculatedColumnFormula>ROUND(SUM(Sales[[#This Row],[Mdl Qlty]:[Mdl WdDeck]])+Sales[[#This Row],[Mdl Res Intercept]]+Sales[[#This Row],[Days Prior Total]],-2)</calculatedColumnFormula>
    </tableColumn>
    <tableColumn id="88" xr3:uid="{CB7C2C50-E0AD-477D-A8CB-1CE13EF17319}" name="Unadj Land Value" dataDxfId="95">
      <calculatedColumnFormula>ROUND(Sales[[#This Row],[Mdl Land Intercept]]+Sales[[#This Row],[Mdl LnAcres]],-2)</calculatedColumnFormula>
    </tableColumn>
    <tableColumn id="89" xr3:uid="{19DFEA47-ED83-43FF-9BEB-48B374561A22}" name="Unadj Total Value" dataDxfId="94">
      <calculatedColumnFormula>Sales[[#This Row],[Unadj Res Value]]+Sales[[#This Row],[Unadj Det Value]]+Sales[[#This Row],[Unadj Land Value]]</calculatedColumnFormula>
    </tableColumn>
    <tableColumn id="90" xr3:uid="{0B1CBD60-77AB-4611-A715-8E4E493EE41E}" name="Unadj Ratio " dataDxfId="93">
      <calculatedColumnFormula>Sales[[#This Row],[Unadj Total Value]]/Sales[[#This Row],[Price]]</calculatedColumnFormula>
    </tableColumn>
    <tableColumn id="91" xr3:uid="{A7C7D448-0285-4E23-8A4D-C8B026B82481}" name="Unadj Diff" dataDxfId="92">
      <calculatedColumnFormula>(Sales[[#This Row],[Unadj Total Value]]-Sales[[#This Row],[24Final]])/Sales[[#This Row],[24Final]]</calculatedColumnFormula>
    </tableColumn>
    <tableColumn id="92" xr3:uid="{C55C1330-77D5-4527-BE6D-9D46AB7F05C9}" name="Nbhd Adj" dataDxfId="91">
      <calculatedColumnFormula>VLOOKUP(Sales[[#This Row],[TNbhd]],Lookups!$Q$2:$T$4,4,FALSE)</calculatedColumnFormula>
    </tableColumn>
    <tableColumn id="93" xr3:uid="{54BC7EC8-2E5E-4D04-B461-256641D7AE90}" name="Quality Adj" dataDxfId="90">
      <calculatedColumnFormula>VLOOKUP(Sales[[#This Row],[Qlty]],Lookups!$O$7:$R$21,4,FALSE)</calculatedColumnFormula>
    </tableColumn>
    <tableColumn id="94" xr3:uid="{888C76E9-92EF-4CA5-A027-5FDEC51FDEED}" name="Condition Adj" dataDxfId="89">
      <calculatedColumnFormula>VLOOKUP(Sales[[#This Row],[Cnd]],Lookups!$T$7:$W$16,4,FALSE)</calculatedColumnFormula>
    </tableColumn>
    <tableColumn id="95" xr3:uid="{446B81B8-D1DE-4D22-8EF2-6F8979D36FEE}" name="Living Area Adj" dataDxfId="88">
      <calculatedColumnFormula>VLOOKUP(Sales[[#This Row],[LivArea Range]],Lookups!$T$25:$W$37,4,FALSE)</calculatedColumnFormula>
    </tableColumn>
    <tableColumn id="96" xr3:uid="{DC38072A-29B5-4E7D-80F9-E733BCCA8A67}" name="Decade Adj" dataDxfId="87">
      <calculatedColumnFormula>VLOOKUP(Sales[[#This Row],[Decade]],Lookups!$O$25:$R$42,4,FALSE)</calculatedColumnFormula>
    </tableColumn>
    <tableColumn id="97" xr3:uid="{4DA9DCF4-7996-4F03-9232-E1E7BC5C1DAC}" name="Det/Nbhd Adj" dataDxfId="86">
      <calculatedColumnFormula>Sales[[#This Row],[Nbhd Adj]]*0.95</calculatedColumnFormula>
    </tableColumn>
    <tableColumn id="98" xr3:uid="{501CC907-AEA8-4926-9D39-CCA1A10CCD6C}" name="Res Adj " dataDxfId="85">
      <calculatedColumnFormula>Sales[[#This Row],[Nbhd Adj]]*Sales[[#This Row],[Quality Adj]]*Sales[[#This Row],[Condition Adj]]*Sales[[#This Row],[Living Area Adj]]*Sales[[#This Row],[Decade Adj]]*0.95</calculatedColumnFormula>
    </tableColumn>
    <tableColumn id="99" xr3:uid="{17937ADC-204F-48EC-8CC1-B5336362221E}" name="Adjusted Res" dataDxfId="84">
      <calculatedColumnFormula>ROUND(SUM(Sales[[#This Row],[Mdl Qlty]:[Mdl WdDeck]])+Sales[[#This Row],[Mdl Res Intercept]]*Sales[[#This Row],[Res Adj ]],-2)</calculatedColumnFormula>
    </tableColumn>
    <tableColumn id="100" xr3:uid="{DCAF6322-EDAC-4312-92D6-D474531BCA2B}" name="Adj Det " dataDxfId="83">
      <calculatedColumnFormula>ROUND(Sales[[#This Row],[25Det]]*Sales[[#This Row],[Det/Nbhd Adj]],-2)</calculatedColumnFormula>
    </tableColumn>
    <tableColumn id="101" xr3:uid="{EB829923-E5D1-40C1-B3F9-3499C4B0B726}" name="Adjusted Impr Total" dataDxfId="82">
      <calculatedColumnFormula>Sales[[#This Row],[Adjusted Res]]+Sales[[#This Row],[Adj Det ]]</calculatedColumnFormula>
    </tableColumn>
    <tableColumn id="102" xr3:uid="{7B69F482-F1B3-400B-BFE5-F7F456497974}" name="Adjusted Land Total" dataDxfId="81">
      <calculatedColumnFormula>ROUND((Sales[[#This Row],[Mdl Land Intercept]]+Sales[[#This Row],[Mdl LnAcres]])*Sales[[#This Row],[Det/Nbhd Adj]],-2)</calculatedColumnFormula>
    </tableColumn>
    <tableColumn id="103" xr3:uid="{B758C7F5-C0D0-46C6-B0B4-E6868B23A7D3}" name="Adjusted Total" dataDxfId="80">
      <calculatedColumnFormula>Sales[[#This Row],[Adjusted Impr Total]]+Sales[[#This Row],[Adjusted Land Total]]</calculatedColumnFormula>
    </tableColumn>
    <tableColumn id="104" xr3:uid="{35BEA212-CD11-44CE-AE8A-484A1B389175}" name="Adjusted Imp Diff" dataDxfId="79">
      <calculatedColumnFormula>IFERROR((Sales[[#This Row],[Adjusted Impr Total]]-Sales[[#This Row],[24Bldg]])/Sales[[#This Row],[24Bldg]],0)</calculatedColumnFormula>
    </tableColumn>
    <tableColumn id="105" xr3:uid="{AB534724-0CB9-43C7-BB04-61A08921BB16}" name="Adjusted Lnd Diff" dataDxfId="78">
      <calculatedColumnFormula>(Sales[[#This Row],[Adjusted Land Total]]-Sales[[#This Row],[24Lnd]])/Sales[[#This Row],[24Lnd]]</calculatedColumnFormula>
    </tableColumn>
    <tableColumn id="106" xr3:uid="{BCCB2470-BC42-46F3-BAA8-67D0FA2B4ED3}" name="Adjusted Total Difference" dataDxfId="77">
      <calculatedColumnFormula>(Sales[[#This Row],[Adjusted Total]]-Sales[[#This Row],[24Final]])/Sales[[#This Row],[24Final]]</calculatedColumnFormula>
    </tableColumn>
    <tableColumn id="107" xr3:uid="{5D6F3FB8-D889-4424-B4DD-93CD5E1FF8D9}" name="Final Ratio" dataDxfId="76">
      <calculatedColumnFormula>(Sales[[#This Row],[Adjusted Total]]+Sales[[#This Row],[Days Prior Total]])/Sales[[#This Row],[Price]]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CD9EB40-E2A3-4B0A-84F8-95A0D4365E35}" name="Inventory" displayName="Inventory" ref="A1:BU2283" totalsRowShown="0" headerRowDxfId="75" dataDxfId="73" headerRowBorderDxfId="74" tableBorderDxfId="72" headerRowCellStyle="Percent" dataCellStyle="Normal_Inventory">
  <autoFilter ref="A1:BU2283" xr:uid="{BCD9EB40-E2A3-4B0A-84F8-95A0D4365E35}"/>
  <sortState xmlns:xlrd2="http://schemas.microsoft.com/office/spreadsheetml/2017/richdata2" ref="A2:BU2283">
    <sortCondition ref="O1:O2283"/>
  </sortState>
  <tableColumns count="73">
    <tableColumn id="1" xr3:uid="{636BE5F4-71F7-415B-95AB-D57634A927AA}" name="Year" dataDxfId="71" dataCellStyle="Normal_Inventory"/>
    <tableColumn id="2" xr3:uid="{0CB888EA-B537-40E5-AA75-1AB2FC9A8B02}" name="Parcel" dataDxfId="70" dataCellStyle="Normal_Inventory"/>
    <tableColumn id="75" xr3:uid="{61E23FBE-FDE5-47A7-8CDB-180B7C214DC6}" name="LnAcres" dataDxfId="69" dataCellStyle="Normal_Inventory">
      <calculatedColumnFormula>LN(Inventory[[#This Row],[Acres]])</calculatedColumnFormula>
    </tableColumn>
    <tableColumn id="3" xr3:uid="{BC90E218-D3B2-4C50-AFCA-490F219051FA}" name="Acres" dataDxfId="68" dataCellStyle="Normal_Inventory"/>
    <tableColumn id="4" xr3:uid="{F3232587-7BB7-4390-A9A3-8B209768CDEB}" name="Sqft" dataDxfId="67" dataCellStyle="Normal_Inventory"/>
    <tableColumn id="5" xr3:uid="{517E2F17-34F1-4574-B348-D88487A5C979}" name="Cycle" dataDxfId="66" dataCellStyle="Normal_Inventory"/>
    <tableColumn id="6" xr3:uid="{DC01F3F7-DE51-4F0A-921B-7F58092BB8EB}" name="Type" dataDxfId="65" dataCellStyle="Normal_Inventory"/>
    <tableColumn id="7" xr3:uid="{814B8532-19F3-4F7A-A876-690887C6600F}" name="Nbhd" dataDxfId="64" dataCellStyle="Normal_Inventory"/>
    <tableColumn id="8" xr3:uid="{D3E57761-FD0F-4409-BCA3-E4D6C94616B0}" name="Use" dataDxfId="63" dataCellStyle="Normal_Inventory"/>
    <tableColumn id="9" xr3:uid="{95C289AC-2214-4158-906F-5670ED091896}" name="Subtype" dataDxfId="62" dataCellStyle="Normal_Inventory"/>
    <tableColumn id="10" xr3:uid="{EFE2A05D-79D5-4DDE-9273-87DF8D81693D}" name="Style" dataDxfId="61" dataCellStyle="Normal_Inventory"/>
    <tableColumn id="11" xr3:uid="{AB7263D4-F9C3-4EC6-8B1F-290D83FC14EC}" name="Qlty" dataDxfId="60" dataCellStyle="Normal_Inventory"/>
    <tableColumn id="12" xr3:uid="{F266FD22-846D-45D4-9038-91F8CD2450CF}" name="Cnd" dataDxfId="59" dataCellStyle="Normal_Inventory"/>
    <tableColumn id="76" xr3:uid="{4CB8DB9C-9C18-44B1-9714-4A2B3EE776F1}" name="Decade" dataDxfId="58" dataCellStyle="Normal_Inventory"/>
    <tableColumn id="77" xr3:uid="{99A5F0DF-13B0-4639-9E4E-3E51D1E0406E}" name="Age" dataDxfId="57" dataCellStyle="Normal_Inventory">
      <calculatedColumnFormula>2024-Inventory[[#This Row],[YrBlt]]</calculatedColumnFormula>
    </tableColumn>
    <tableColumn id="78" xr3:uid="{A3EF0D8F-8C72-451A-9951-8124EA6F086C}" name="EffAge" dataDxfId="56" dataCellStyle="Normal_Inventory">
      <calculatedColumnFormula>2024-Inventory[[#This Row],[EffYr]]</calculatedColumnFormula>
    </tableColumn>
    <tableColumn id="13" xr3:uid="{D72C046B-1FF1-42DB-8665-A6726ACD781F}" name="YrBlt" dataDxfId="55" dataCellStyle="Normal_Inventory"/>
    <tableColumn id="14" xr3:uid="{D6E3DEDE-1058-40E8-879E-00135793AA8C}" name="EffYr" dataDxfId="54" dataCellStyle="Normal_Inventory"/>
    <tableColumn id="15" xr3:uid="{ECDFDD5C-B1C3-469B-ABA5-F7DE491753B5}" name="MainFn" dataDxfId="53" dataCellStyle="Normal_Inventory"/>
    <tableColumn id="16" xr3:uid="{9451E109-EE12-4150-917B-5F57B2A7C56D}" name="UpprFn" dataDxfId="52" dataCellStyle="Normal_Inventory"/>
    <tableColumn id="17" xr3:uid="{CBAE6323-59C5-409F-B2ED-E315E6757E6C}" name="Bsmt" dataDxfId="51" dataCellStyle="Normal_Inventory"/>
    <tableColumn id="79" xr3:uid="{1B3FBB4A-CDDE-42B9-90EB-00661D46287D}" name="UnfinBsmt" dataDxfId="50" dataCellStyle="Normal_Inventory">
      <calculatedColumnFormula>Inventory[[#This Row],[Bsmt]]-Inventory[[#This Row],[FnBsmt]]</calculatedColumnFormula>
    </tableColumn>
    <tableColumn id="18" xr3:uid="{4234C672-9FDA-4485-B53F-FBB7FE934E63}" name="FnBsmt" dataDxfId="49" dataCellStyle="Normal_Inventory"/>
    <tableColumn id="19" xr3:uid="{3625B632-60D0-4E9D-8948-C45E206047EB}" name="AddFn" dataCellStyle="Normal_Inventory"/>
    <tableColumn id="80" xr3:uid="{C014E069-7960-465F-8DF3-06A6A86D11F8}" name="Living Area" dataDxfId="48" dataCellStyle="Normal_Inventory">
      <calculatedColumnFormula>Inventory[[#This Row],[MainFn]]+Inventory[[#This Row],[UpprFn]]+Inventory[[#This Row],[FnBsmt]]+Inventory[[#This Row],[AddFn]]</calculatedColumnFormula>
    </tableColumn>
    <tableColumn id="81" xr3:uid="{49413142-4D39-4518-B2DF-CE6782E3F0F7}" name="LivArea Range" dataCellStyle="Normal_Inventory"/>
    <tableColumn id="20" xr3:uid="{0A17E121-F268-4C61-BF61-775D97DCCD12}" name="Fixtures" dataDxfId="47" dataCellStyle="Normal_Inventory"/>
    <tableColumn id="21" xr3:uid="{53EA3905-3A15-4769-ACB7-C0A17E2349A1}" name="AttGar" dataDxfId="46" dataCellStyle="Normal_Inventory"/>
    <tableColumn id="22" xr3:uid="{2F2E260C-6A70-46D4-BA34-AB0D3AF6BCA0}" name="BltinGar" dataCellStyle="Normal_Inventory"/>
    <tableColumn id="23" xr3:uid="{1F96A249-4E40-4EF7-A74A-48C685DFDCEC}" name="WdDeck" dataCellStyle="Normal_Inventory"/>
    <tableColumn id="24" xr3:uid="{14497A34-22DD-4907-B95F-697448EA2762}" name="Phy" dataCellStyle="Normal_Inventory"/>
    <tableColumn id="25" xr3:uid="{4EE2CAAE-A75B-4693-9661-664C133D6F76}" name="Fun" dataCellStyle="Normal_Inventory"/>
    <tableColumn id="26" xr3:uid="{63EB1296-9F21-4CDF-83BC-5ED6C836A636}" name="Ecn" dataCellStyle="Normal_Inventory"/>
    <tableColumn id="27" xr3:uid="{C7B2009D-B02A-4EF4-A843-5CF9E159A25C}" name="% Complete" dataCellStyle="Normal_Inventory"/>
    <tableColumn id="28" xr3:uid="{9C57E254-CF9C-4BA7-9FCA-1D089795D596}" name="Rcn" dataDxfId="45" dataCellStyle="Normal_Inventory"/>
    <tableColumn id="29" xr3:uid="{E2398EAA-A6B9-4E4B-9641-307FF16C84BC}" name="Rcnld" dataDxfId="44" dataCellStyle="Normal_Inventory"/>
    <tableColumn id="36" xr3:uid="{1A817FE2-57C2-4327-BF9C-4C4F76557B7F}" name="25Det" dataDxfId="43" dataCellStyle="Normal_Inventory"/>
    <tableColumn id="38" xr3:uid="{0C6EF3A3-0576-4FF5-8BF3-C19E166D34B4}" name="24Final" dataDxfId="42" dataCellStyle="Normal_Inventory"/>
    <tableColumn id="39" xr3:uid="{9CDEFAAB-4D57-4BD6-8ABA-FE9AE4ED07B3}" name="24Lnd" dataDxfId="41" dataCellStyle="Normal_Inventory"/>
    <tableColumn id="40" xr3:uid="{D6867718-1BC1-4861-A850-485E20491E92}" name="24Bldg" dataDxfId="40" dataCellStyle="Normal_Inventory"/>
    <tableColumn id="41" xr3:uid="{03BEB105-F5B7-494B-8DBF-1ABBC5BC22A9}" name="24Crop" dataDxfId="39" dataCellStyle="Normal_Inventory"/>
    <tableColumn id="42" xr3:uid="{E8C87DD3-F61B-4400-9BD7-6A2F7A2355C1}" name="Mdl Res Intercept" dataDxfId="38" dataCellStyle="Normal_Inventory">
      <calculatedColumnFormula>Lookups!$B$56*0</calculatedColumnFormula>
    </tableColumn>
    <tableColumn id="43" xr3:uid="{BE9A0E25-0502-43B4-AE2E-3940EDAD863A}" name="Mdl Land Intercept" dataDxfId="37" dataCellStyle="Normal_Inventory">
      <calculatedColumnFormula>Lookups!$B$56*1</calculatedColumnFormula>
    </tableColumn>
    <tableColumn id="44" xr3:uid="{39406BBA-E017-4C44-8253-314ED8B07797}" name="Mdl LnAcres" dataDxfId="36" dataCellStyle="Normal_Inventory">
      <calculatedColumnFormula>Lookups!$B$57*Inventory[[#This Row],[LnAcres]]</calculatedColumnFormula>
    </tableColumn>
    <tableColumn id="45" xr3:uid="{E9DBE877-CA4B-421B-B6EF-B9B27F4D6173}" name="Mdl Qlty" dataDxfId="35" dataCellStyle="Normal_Inventory">
      <calculatedColumnFormula>VLOOKUP(Inventory[[#This Row],[Qlty]],Lookups!$A$62:$E$75,2,FALSE)</calculatedColumnFormula>
    </tableColumn>
    <tableColumn id="46" xr3:uid="{06DDF06D-E690-4D72-A219-19500B06A372}" name="Mdl Condition" dataDxfId="34" dataCellStyle="Normal_Inventory">
      <calculatedColumnFormula>VLOOKUP(Inventory[[#This Row],[Cnd]],Lookups!$A$76:$E$84,2,FALSE)</calculatedColumnFormula>
    </tableColumn>
    <tableColumn id="47" xr3:uid="{B1A941FA-C2FA-4A69-B592-FCADB6C84D85}" name="Mdl EffAge" dataDxfId="33" dataCellStyle="Normal_Inventory">
      <calculatedColumnFormula>Inventory[[#This Row],[EffAge]]*Lookups!$B$85</calculatedColumnFormula>
    </tableColumn>
    <tableColumn id="48" xr3:uid="{9292D8C3-E9BF-4F9C-B6FF-A54897D12DCB}" name="Mdl MainFn" dataDxfId="32" dataCellStyle="Normal_Inventory">
      <calculatedColumnFormula>Inventory[[#This Row],[MainFn]]*Lookups!$B$86</calculatedColumnFormula>
    </tableColumn>
    <tableColumn id="49" xr3:uid="{9AF2F719-D67A-4E6A-B7DB-1E8868CAFAD0}" name="Mdl UpprFn" dataDxfId="31" dataCellStyle="Normal_Inventory">
      <calculatedColumnFormula>Inventory[[#This Row],[UpprFn]]*Lookups!$B$87</calculatedColumnFormula>
    </tableColumn>
    <tableColumn id="50" xr3:uid="{00D8D4AD-C2EF-4A70-A009-7BB7E63BD3AA}" name="Mdl AddFn" dataDxfId="30" dataCellStyle="Normal_Inventory">
      <calculatedColumnFormula>Inventory[[#This Row],[AddFn]]*Lookups!$B$88</calculatedColumnFormula>
    </tableColumn>
    <tableColumn id="51" xr3:uid="{F03D8F3A-D45B-4A0E-A75E-4ED625835A71}" name="Mdl Bsmt" dataDxfId="29" dataCellStyle="Normal_Inventory">
      <calculatedColumnFormula>Inventory[[#This Row],[Bsmt]]*Lookups!$B$89</calculatedColumnFormula>
    </tableColumn>
    <tableColumn id="52" xr3:uid="{B1066E4A-7943-45F2-992E-A24B61C2C12C}" name="Mdl Fixtures" dataDxfId="28" dataCellStyle="Normal_Inventory">
      <calculatedColumnFormula>Inventory[[#This Row],[Fixtures]]*Lookups!$B$90</calculatedColumnFormula>
    </tableColumn>
    <tableColumn id="53" xr3:uid="{FCFB51AB-0CE5-4082-A792-E8C023225AF8}" name="Mdl WdDeck" dataDxfId="27" dataCellStyle="Normal_Inventory">
      <calculatedColumnFormula>Inventory[[#This Row],[WdDeck]]*Lookups!$B$91</calculatedColumnFormula>
    </tableColumn>
    <tableColumn id="55" xr3:uid="{C20E18FE-0F5E-45BB-B7AA-116636455F15}" name="Unadj Det Value" dataDxfId="26" dataCellStyle="Normal_Inventory">
      <calculatedColumnFormula>ROUND(Inventory[[#This Row],[25Det]],-2)</calculatedColumnFormula>
    </tableColumn>
    <tableColumn id="56" xr3:uid="{BF36ED49-E325-4037-BB93-C9E5F9446085}" name="Unadj Res Value" dataDxfId="25" dataCellStyle="Normal_Inventory">
      <calculatedColumnFormula>ROUND(SUM(Inventory[[#This Row],[Mdl Qlty]:[Mdl WdDeck]])+Inventory[[#This Row],[Mdl Res Intercept]],-2)</calculatedColumnFormula>
    </tableColumn>
    <tableColumn id="57" xr3:uid="{83817902-8A96-42F0-AE12-2D2DEAA1A6D1}" name="Unadj Land Value" dataDxfId="24" dataCellStyle="Normal_Inventory">
      <calculatedColumnFormula>ROUND(Inventory[[#This Row],[Mdl Land Intercept]]+Inventory[[#This Row],[Mdl LnAcres]],-2)</calculatedColumnFormula>
    </tableColumn>
    <tableColumn id="58" xr3:uid="{3E65ADE6-5816-4440-AB17-B00B70B9811F}" name="Unadj Total Value" dataDxfId="23" dataCellStyle="Normal_Inventory">
      <calculatedColumnFormula>Inventory[[#This Row],[Unadj Res Value]]+Inventory[[#This Row],[Unadj Det Value]]+Inventory[[#This Row],[Unadj Land Value]]</calculatedColumnFormula>
    </tableColumn>
    <tableColumn id="59" xr3:uid="{39456539-E006-477A-A97B-38D947C7AD03}" name="Unadj Diff" dataDxfId="22" dataCellStyle="Percent">
      <calculatedColumnFormula>(Inventory[[#This Row],[Unadj Total Value]]-Inventory[[#This Row],[24Final]])/Inventory[[#This Row],[24Final]]</calculatedColumnFormula>
    </tableColumn>
    <tableColumn id="60" xr3:uid="{09A4A3B4-5B19-4B5E-B1D5-93513C11B25B}" name="Nbhd Adj" dataDxfId="21" dataCellStyle="Normal_Inventory">
      <calculatedColumnFormula>VLOOKUP(Inventory[[#This Row],[Nbhd]],Lookups!$Q$2:$T$4,4,FALSE)</calculatedColumnFormula>
    </tableColumn>
    <tableColumn id="61" xr3:uid="{A03A696F-6203-4072-B3F9-B71B82E41954}" name="Quality Adj" dataDxfId="20" dataCellStyle="Normal_Inventory">
      <calculatedColumnFormula>VLOOKUP(Inventory[[#This Row],[Qlty]],Lookups!$O$7:$R$21,4,FALSE)</calculatedColumnFormula>
    </tableColumn>
    <tableColumn id="62" xr3:uid="{C990AC08-EB21-4418-8F6A-99DD83E1B2A6}" name="Condition Adj" dataDxfId="19" dataCellStyle="Normal_Inventory">
      <calculatedColumnFormula>VLOOKUP(Inventory[[#This Row],[Cnd]],Lookups!$T$7:$W$16,4,FALSE)</calculatedColumnFormula>
    </tableColumn>
    <tableColumn id="63" xr3:uid="{15B06827-0CA5-4499-8684-6C398EF3BE6B}" name="Living Area Adj" dataDxfId="18" dataCellStyle="Normal_Inventory">
      <calculatedColumnFormula>VLOOKUP(Inventory[[#This Row],[LivArea Range]],Lookups!$T$25:$W$37,4,FALSE)</calculatedColumnFormula>
    </tableColumn>
    <tableColumn id="64" xr3:uid="{97815CC9-9CCB-410E-B34C-C51EA086B562}" name="Decade Adj" dataDxfId="17" dataCellStyle="Normal_Inventory">
      <calculatedColumnFormula>VLOOKUP(Inventory[[#This Row],[Decade]],Lookups!$O$25:$R$42,4,FALSE)</calculatedColumnFormula>
    </tableColumn>
    <tableColumn id="65" xr3:uid="{CD87A152-4B08-416E-A38C-78D62F443367}" name="Det/Nbhd Adj" dataDxfId="16" dataCellStyle="Normal_Inventory">
      <calculatedColumnFormula>Inventory[[#This Row],[Nbhd Adj]]*0.95</calculatedColumnFormula>
    </tableColumn>
    <tableColumn id="66" xr3:uid="{1C200445-6AF7-487E-A282-94B121BEA322}" name="Res Adj " dataDxfId="15" dataCellStyle="Normal_Inventory">
      <calculatedColumnFormula>Inventory[[#This Row],[Nbhd Adj]]*Inventory[[#This Row],[Quality Adj]]*Inventory[[#This Row],[Condition Adj]]*Inventory[[#This Row],[Living Area Adj]]*Inventory[[#This Row],[Decade Adj]]*0.95</calculatedColumnFormula>
    </tableColumn>
    <tableColumn id="67" xr3:uid="{06F1FDC8-11E8-43A5-821F-DDFDB45D91C0}" name="Adjusted Res" dataDxfId="14" dataCellStyle="Normal_Inventory">
      <calculatedColumnFormula>ROUND(SUM(Inventory[[#This Row],[Mdl Qlty]:[Mdl WdDeck]])+Inventory[[#This Row],[Mdl Res Intercept]]*Inventory[[#This Row],[Res Adj ]],-2)</calculatedColumnFormula>
    </tableColumn>
    <tableColumn id="68" xr3:uid="{3B7C0E31-3A04-47B0-AC02-1471738AE9BF}" name="Adj Det " dataDxfId="13" dataCellStyle="Normal_Inventory">
      <calculatedColumnFormula>ROUND(Inventory[[#This Row],[25Det]]*Inventory[[#This Row],[Det/Nbhd Adj]],-2)</calculatedColumnFormula>
    </tableColumn>
    <tableColumn id="69" xr3:uid="{D12841D3-8F06-4EEC-8AE1-E1E5B1A8F622}" name="Adjusted Impr Total" dataDxfId="12" dataCellStyle="Normal_Inventory">
      <calculatedColumnFormula>Inventory[[#This Row],[Adjusted Res]]+Inventory[[#This Row],[Adj Det ]]</calculatedColumnFormula>
    </tableColumn>
    <tableColumn id="70" xr3:uid="{D1B03CA6-2108-4B77-910E-44445691A654}" name="Adjusted Land Total" dataDxfId="11" dataCellStyle="Normal_Inventory">
      <calculatedColumnFormula>ROUND((Inventory[[#This Row],[Mdl Land Intercept]]+Inventory[[#This Row],[Mdl LnAcres]])*Inventory[[#This Row],[Det/Nbhd Adj]],-2)</calculatedColumnFormula>
    </tableColumn>
    <tableColumn id="71" xr3:uid="{8835C940-6E60-48A7-BE9E-720763ED56DE}" name="Adjusted Total" dataDxfId="10" dataCellStyle="Normal_Inventory">
      <calculatedColumnFormula>Inventory[[#This Row],[Adjusted Impr Total]]+Inventory[[#This Row],[Adjusted Land Total]]</calculatedColumnFormula>
    </tableColumn>
    <tableColumn id="72" xr3:uid="{08FF3D8B-D72E-4E8D-91B3-8FEDCC7485BC}" name="Adjusted Imp Diff" dataDxfId="9" dataCellStyle="Percent">
      <calculatedColumnFormula>IFERROR((Inventory[[#This Row],[Adjusted Impr Total]]-Inventory[[#This Row],[24Bldg]])/Inventory[[#This Row],[24Bldg]],0)</calculatedColumnFormula>
    </tableColumn>
    <tableColumn id="73" xr3:uid="{47A0E7C0-BA07-48E7-9BDE-80CB78915AB5}" name="Adjusted Lnd Diff" dataDxfId="8" dataCellStyle="Percent">
      <calculatedColumnFormula>(Inventory[[#This Row],[Adjusted Land Total]]-Inventory[[#This Row],[24Lnd]])/Inventory[[#This Row],[24Lnd]]</calculatedColumnFormula>
    </tableColumn>
    <tableColumn id="74" xr3:uid="{B3F8B6E2-007D-4E0F-A370-F04A6BE60E75}" name="Adjusted Total Difference" dataDxfId="7" dataCellStyle="Percent">
      <calculatedColumnFormula>(Inventory[[#This Row],[Adjusted Total]]-Inventory[[#This Row],[24Final]])/Inventory[[#This Row],[24Final]]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425C9-7B37-4ED9-B0FB-3BE587C3E41D}">
  <dimension ref="A2:AE91"/>
  <sheetViews>
    <sheetView tabSelected="1" topLeftCell="H24" workbookViewId="0">
      <selection activeCell="O25" sqref="O25:S42"/>
    </sheetView>
  </sheetViews>
  <sheetFormatPr defaultRowHeight="14.4" x14ac:dyDescent="0.3"/>
  <cols>
    <col min="15" max="15" width="10.77734375" bestFit="1" customWidth="1"/>
    <col min="18" max="18" width="10.5546875" bestFit="1" customWidth="1"/>
    <col min="20" max="20" width="10.77734375" bestFit="1" customWidth="1"/>
  </cols>
  <sheetData>
    <row r="2" spans="15:23" ht="43.2" x14ac:dyDescent="0.3">
      <c r="Q2" s="20" t="s">
        <v>532</v>
      </c>
      <c r="R2" s="20" t="s">
        <v>530</v>
      </c>
      <c r="S2" s="20" t="s">
        <v>531</v>
      </c>
      <c r="T2" s="19" t="s">
        <v>533</v>
      </c>
    </row>
    <row r="3" spans="15:23" x14ac:dyDescent="0.3">
      <c r="Q3" s="5" t="s">
        <v>349</v>
      </c>
      <c r="R3" s="5">
        <v>310</v>
      </c>
      <c r="S3" s="5">
        <v>1.0002909669239195</v>
      </c>
      <c r="T3" s="5">
        <f>ROUND(1/S3,4)</f>
        <v>0.99970000000000003</v>
      </c>
    </row>
    <row r="4" spans="15:23" x14ac:dyDescent="0.3">
      <c r="Q4" s="4" t="s">
        <v>529</v>
      </c>
      <c r="R4" s="4">
        <v>310</v>
      </c>
      <c r="S4" s="4">
        <v>1.0002909669239195</v>
      </c>
      <c r="T4" s="4"/>
    </row>
    <row r="7" spans="15:23" ht="43.2" x14ac:dyDescent="0.3">
      <c r="O7" s="20" t="s">
        <v>532</v>
      </c>
      <c r="P7" s="20" t="s">
        <v>530</v>
      </c>
      <c r="Q7" s="20" t="s">
        <v>531</v>
      </c>
      <c r="R7" s="20" t="s">
        <v>533</v>
      </c>
      <c r="T7" s="20" t="s">
        <v>532</v>
      </c>
      <c r="U7" s="20" t="s">
        <v>530</v>
      </c>
      <c r="V7" s="20" t="s">
        <v>531</v>
      </c>
      <c r="W7" s="20" t="s">
        <v>533</v>
      </c>
    </row>
    <row r="8" spans="15:23" x14ac:dyDescent="0.3">
      <c r="O8" s="24" t="s">
        <v>484</v>
      </c>
      <c r="P8" s="23"/>
      <c r="Q8" s="23"/>
      <c r="R8" s="23">
        <v>1</v>
      </c>
      <c r="T8" s="22" t="s">
        <v>350</v>
      </c>
      <c r="U8" s="22"/>
      <c r="V8" s="22"/>
      <c r="W8" s="22">
        <v>1</v>
      </c>
    </row>
    <row r="9" spans="15:23" x14ac:dyDescent="0.3">
      <c r="O9" s="24" t="s">
        <v>449</v>
      </c>
      <c r="P9" s="23"/>
      <c r="Q9" s="23"/>
      <c r="R9" s="23">
        <v>1</v>
      </c>
      <c r="T9" s="5" t="s">
        <v>32</v>
      </c>
      <c r="U9" s="5">
        <v>1</v>
      </c>
      <c r="V9" s="5">
        <v>0.99999411764705881</v>
      </c>
      <c r="W9" s="21">
        <f>ROUND(1/V9,4)</f>
        <v>1</v>
      </c>
    </row>
    <row r="10" spans="15:23" x14ac:dyDescent="0.3">
      <c r="O10" s="24" t="s">
        <v>31</v>
      </c>
      <c r="P10" s="23"/>
      <c r="Q10" s="23"/>
      <c r="R10" s="23">
        <v>1</v>
      </c>
      <c r="T10" s="5" t="s">
        <v>33</v>
      </c>
      <c r="U10" s="5">
        <v>2</v>
      </c>
      <c r="V10" s="5">
        <v>0.9979351198142502</v>
      </c>
      <c r="W10" s="21">
        <f t="shared" ref="W10:W15" si="0">ROUND(1/V10,4)</f>
        <v>1.0021</v>
      </c>
    </row>
    <row r="11" spans="15:23" x14ac:dyDescent="0.3">
      <c r="O11" s="5" t="s">
        <v>205</v>
      </c>
      <c r="P11" s="5">
        <v>19</v>
      </c>
      <c r="Q11" s="5">
        <v>1.0082940161397465</v>
      </c>
      <c r="R11" s="5">
        <f t="shared" ref="R11:R21" si="1">ROUND(1/Q11,4)</f>
        <v>0.99180000000000001</v>
      </c>
      <c r="T11" s="5" t="s">
        <v>206</v>
      </c>
      <c r="U11" s="5">
        <v>5</v>
      </c>
      <c r="V11" s="5">
        <v>1.0067224466406954</v>
      </c>
      <c r="W11" s="21">
        <f t="shared" si="0"/>
        <v>0.99329999999999996</v>
      </c>
    </row>
    <row r="12" spans="15:23" x14ac:dyDescent="0.3">
      <c r="O12" s="5" t="s">
        <v>351</v>
      </c>
      <c r="P12" s="5">
        <v>134</v>
      </c>
      <c r="Q12" s="5">
        <v>0.99320983262164098</v>
      </c>
      <c r="R12" s="5">
        <f t="shared" si="1"/>
        <v>1.0067999999999999</v>
      </c>
      <c r="T12" s="5" t="s">
        <v>323</v>
      </c>
      <c r="U12" s="5">
        <v>116</v>
      </c>
      <c r="V12" s="5">
        <v>1.0027472264897772</v>
      </c>
      <c r="W12" s="21">
        <f t="shared" si="0"/>
        <v>0.99729999999999996</v>
      </c>
    </row>
    <row r="13" spans="15:23" x14ac:dyDescent="0.3">
      <c r="O13" s="5" t="s">
        <v>302</v>
      </c>
      <c r="P13" s="5">
        <v>77</v>
      </c>
      <c r="Q13" s="5">
        <v>0.99113978584153872</v>
      </c>
      <c r="R13" s="5">
        <f t="shared" si="1"/>
        <v>1.0088999999999999</v>
      </c>
      <c r="T13" s="5" t="s">
        <v>303</v>
      </c>
      <c r="U13" s="5">
        <v>164</v>
      </c>
      <c r="V13" s="5">
        <v>1.0035565802287398</v>
      </c>
      <c r="W13" s="21">
        <f t="shared" si="0"/>
        <v>0.99650000000000005</v>
      </c>
    </row>
    <row r="14" spans="15:23" x14ac:dyDescent="0.3">
      <c r="O14" s="5" t="s">
        <v>148</v>
      </c>
      <c r="P14" s="5">
        <v>61</v>
      </c>
      <c r="Q14" s="5">
        <v>1.0198764142440384</v>
      </c>
      <c r="R14" s="5">
        <f t="shared" si="1"/>
        <v>0.98050000000000004</v>
      </c>
      <c r="T14" s="5" t="s">
        <v>352</v>
      </c>
      <c r="U14" s="5">
        <v>17</v>
      </c>
      <c r="V14" s="5">
        <v>0.98442077347515522</v>
      </c>
      <c r="W14" s="21">
        <f t="shared" si="0"/>
        <v>1.0158</v>
      </c>
    </row>
    <row r="15" spans="15:23" x14ac:dyDescent="0.3">
      <c r="O15" s="5" t="s">
        <v>95</v>
      </c>
      <c r="P15" s="5">
        <v>19</v>
      </c>
      <c r="Q15" s="5">
        <v>1.0164353205144923</v>
      </c>
      <c r="R15" s="5">
        <f>ROUND(1/Q15,4)</f>
        <v>0.98380000000000001</v>
      </c>
      <c r="T15" s="5" t="s">
        <v>96</v>
      </c>
      <c r="U15" s="5">
        <v>5</v>
      </c>
      <c r="V15" s="5">
        <v>0.88472251530619983</v>
      </c>
      <c r="W15" s="21">
        <f t="shared" si="0"/>
        <v>1.1303000000000001</v>
      </c>
    </row>
    <row r="16" spans="15:23" x14ac:dyDescent="0.3">
      <c r="O16" s="5" t="s">
        <v>64</v>
      </c>
      <c r="P16" s="5"/>
      <c r="Q16" s="5"/>
      <c r="R16" s="5">
        <v>1</v>
      </c>
      <c r="T16" s="4" t="s">
        <v>529</v>
      </c>
      <c r="U16" s="4">
        <v>310</v>
      </c>
      <c r="V16" s="4">
        <v>1.0002909669239197</v>
      </c>
      <c r="W16" s="4"/>
    </row>
    <row r="17" spans="15:31" x14ac:dyDescent="0.3">
      <c r="O17" s="5" t="s">
        <v>485</v>
      </c>
      <c r="P17" s="5"/>
      <c r="Q17" s="5"/>
      <c r="R17" s="5">
        <v>1</v>
      </c>
    </row>
    <row r="18" spans="15:31" x14ac:dyDescent="0.3">
      <c r="O18" s="5" t="s">
        <v>382</v>
      </c>
      <c r="P18" s="5"/>
      <c r="Q18" s="5"/>
      <c r="R18" s="5">
        <v>1</v>
      </c>
    </row>
    <row r="19" spans="15:31" x14ac:dyDescent="0.3">
      <c r="O19" s="5" t="s">
        <v>486</v>
      </c>
      <c r="P19" s="5"/>
      <c r="Q19" s="5"/>
      <c r="R19" s="5">
        <v>1</v>
      </c>
    </row>
    <row r="20" spans="15:31" x14ac:dyDescent="0.3">
      <c r="O20" s="5" t="s">
        <v>487</v>
      </c>
      <c r="P20" s="5"/>
      <c r="Q20" s="5"/>
      <c r="R20" s="5">
        <v>1</v>
      </c>
    </row>
    <row r="21" spans="15:31" x14ac:dyDescent="0.3">
      <c r="O21" s="4" t="s">
        <v>529</v>
      </c>
      <c r="P21" s="4">
        <v>310</v>
      </c>
      <c r="Q21" s="4">
        <v>1.0002909669239195</v>
      </c>
      <c r="R21" s="5">
        <f t="shared" si="1"/>
        <v>0.99970000000000003</v>
      </c>
    </row>
    <row r="25" spans="15:31" ht="43.2" x14ac:dyDescent="0.3">
      <c r="O25" s="20" t="s">
        <v>532</v>
      </c>
      <c r="P25" s="20" t="s">
        <v>530</v>
      </c>
      <c r="Q25" s="20" t="s">
        <v>531</v>
      </c>
      <c r="R25" s="20" t="s">
        <v>533</v>
      </c>
      <c r="T25" s="20" t="s">
        <v>532</v>
      </c>
      <c r="U25" s="20" t="s">
        <v>530</v>
      </c>
      <c r="V25" s="20" t="s">
        <v>531</v>
      </c>
      <c r="W25" s="20" t="s">
        <v>533</v>
      </c>
      <c r="AC25">
        <v>10</v>
      </c>
      <c r="AD25">
        <v>2</v>
      </c>
      <c r="AE25">
        <v>1.2998906009244993</v>
      </c>
    </row>
    <row r="26" spans="15:31" x14ac:dyDescent="0.3">
      <c r="O26" s="5">
        <v>0</v>
      </c>
      <c r="P26" s="5">
        <v>0</v>
      </c>
      <c r="Q26" s="5">
        <v>1</v>
      </c>
      <c r="R26" s="5">
        <v>1</v>
      </c>
      <c r="T26" s="24">
        <v>500</v>
      </c>
      <c r="U26" s="24"/>
      <c r="V26" s="24"/>
      <c r="W26" s="24">
        <v>1</v>
      </c>
      <c r="AC26">
        <v>30</v>
      </c>
      <c r="AD26">
        <v>4</v>
      </c>
      <c r="AE26">
        <v>1.0275299084778637</v>
      </c>
    </row>
    <row r="27" spans="15:31" x14ac:dyDescent="0.3">
      <c r="O27" s="5">
        <v>10</v>
      </c>
      <c r="P27" s="5">
        <v>2</v>
      </c>
      <c r="Q27" s="5">
        <v>1.2998906009244993</v>
      </c>
      <c r="R27" s="5">
        <v>1</v>
      </c>
      <c r="S27" t="s">
        <v>2965</v>
      </c>
      <c r="T27" s="5">
        <v>1000</v>
      </c>
      <c r="U27" s="5">
        <v>11</v>
      </c>
      <c r="V27" s="5">
        <v>0.98528348301862678</v>
      </c>
      <c r="W27" s="5">
        <f t="shared" ref="W27:W37" si="2">ROUND(1/V27,4)</f>
        <v>1.0148999999999999</v>
      </c>
      <c r="AC27">
        <v>40</v>
      </c>
      <c r="AD27">
        <v>6</v>
      </c>
      <c r="AE27">
        <v>0.98450116981783653</v>
      </c>
    </row>
    <row r="28" spans="15:31" x14ac:dyDescent="0.3">
      <c r="O28" s="5">
        <v>20</v>
      </c>
      <c r="P28" s="5"/>
      <c r="Q28" s="5">
        <v>1</v>
      </c>
      <c r="R28" s="5">
        <v>1</v>
      </c>
      <c r="T28" s="5">
        <v>1500</v>
      </c>
      <c r="U28" s="5">
        <v>88</v>
      </c>
      <c r="V28" s="5">
        <v>0.98454507413374526</v>
      </c>
      <c r="W28" s="5">
        <f t="shared" si="2"/>
        <v>1.0157</v>
      </c>
      <c r="AC28">
        <v>50</v>
      </c>
      <c r="AD28">
        <v>19</v>
      </c>
      <c r="AE28">
        <v>1.0317801371017694</v>
      </c>
    </row>
    <row r="29" spans="15:31" x14ac:dyDescent="0.3">
      <c r="O29" s="5">
        <v>30</v>
      </c>
      <c r="P29" s="5">
        <v>4</v>
      </c>
      <c r="Q29" s="5">
        <v>1.0275299084778637</v>
      </c>
      <c r="R29" s="5">
        <f t="shared" ref="R29:R42" si="3">ROUND(1/Q29,4)</f>
        <v>0.97319999999999995</v>
      </c>
      <c r="T29" s="5">
        <v>2000</v>
      </c>
      <c r="U29" s="5">
        <v>78</v>
      </c>
      <c r="V29" s="5">
        <v>0.9907799823477802</v>
      </c>
      <c r="W29" s="5">
        <f t="shared" si="2"/>
        <v>1.0093000000000001</v>
      </c>
      <c r="AC29">
        <v>60</v>
      </c>
      <c r="AD29">
        <v>19</v>
      </c>
      <c r="AE29">
        <v>1.0191096885270523</v>
      </c>
    </row>
    <row r="30" spans="15:31" x14ac:dyDescent="0.3">
      <c r="O30" s="5">
        <v>40</v>
      </c>
      <c r="P30" s="5">
        <v>6</v>
      </c>
      <c r="Q30" s="5">
        <v>0.98450116981783653</v>
      </c>
      <c r="R30" s="5">
        <f t="shared" si="3"/>
        <v>1.0157</v>
      </c>
      <c r="T30" s="5">
        <v>2500</v>
      </c>
      <c r="U30" s="5">
        <v>76</v>
      </c>
      <c r="V30" s="5">
        <v>1.0109338269938193</v>
      </c>
      <c r="W30" s="5">
        <f t="shared" si="2"/>
        <v>0.98919999999999997</v>
      </c>
      <c r="AC30">
        <v>70</v>
      </c>
      <c r="AD30">
        <v>41</v>
      </c>
      <c r="AE30">
        <v>0.98050092533061695</v>
      </c>
    </row>
    <row r="31" spans="15:31" x14ac:dyDescent="0.3">
      <c r="O31" s="5">
        <v>50</v>
      </c>
      <c r="P31" s="5">
        <v>19</v>
      </c>
      <c r="Q31" s="5">
        <v>1.0317801371017694</v>
      </c>
      <c r="R31" s="5">
        <f t="shared" si="3"/>
        <v>0.96919999999999995</v>
      </c>
      <c r="T31" s="5">
        <v>3000</v>
      </c>
      <c r="U31" s="5">
        <v>36</v>
      </c>
      <c r="V31" s="5">
        <v>1.0397331445242239</v>
      </c>
      <c r="W31" s="5">
        <f t="shared" si="2"/>
        <v>0.96179999999999999</v>
      </c>
      <c r="AC31">
        <v>80</v>
      </c>
      <c r="AD31">
        <v>58</v>
      </c>
      <c r="AE31">
        <v>1.0049945694140168</v>
      </c>
    </row>
    <row r="32" spans="15:31" x14ac:dyDescent="0.3">
      <c r="O32" s="5">
        <v>60</v>
      </c>
      <c r="P32" s="5">
        <v>19</v>
      </c>
      <c r="Q32" s="5">
        <v>1.0191096885270523</v>
      </c>
      <c r="R32" s="5">
        <f t="shared" si="3"/>
        <v>0.98119999999999996</v>
      </c>
      <c r="T32" s="5">
        <v>3500</v>
      </c>
      <c r="U32" s="5">
        <v>14</v>
      </c>
      <c r="V32" s="5">
        <v>0.9874423048588753</v>
      </c>
      <c r="W32" s="5">
        <f t="shared" si="2"/>
        <v>1.0126999999999999</v>
      </c>
      <c r="AC32">
        <v>90</v>
      </c>
      <c r="AD32">
        <v>63</v>
      </c>
      <c r="AE32">
        <v>1.0110040223975916</v>
      </c>
    </row>
    <row r="33" spans="15:31" x14ac:dyDescent="0.3">
      <c r="O33" s="5">
        <v>70</v>
      </c>
      <c r="P33" s="5">
        <v>41</v>
      </c>
      <c r="Q33" s="5">
        <v>0.98050092533061695</v>
      </c>
      <c r="R33" s="5">
        <f t="shared" si="3"/>
        <v>1.0199</v>
      </c>
      <c r="T33" s="5">
        <v>4000</v>
      </c>
      <c r="U33" s="5">
        <v>6</v>
      </c>
      <c r="V33" s="5">
        <v>1.0573489694548519</v>
      </c>
      <c r="W33" s="5">
        <f t="shared" si="2"/>
        <v>0.94579999999999997</v>
      </c>
      <c r="AC33">
        <v>100</v>
      </c>
      <c r="AD33">
        <v>66</v>
      </c>
      <c r="AE33">
        <v>0.99265170137192127</v>
      </c>
    </row>
    <row r="34" spans="15:31" x14ac:dyDescent="0.3">
      <c r="O34" s="5">
        <v>80</v>
      </c>
      <c r="P34" s="5">
        <v>58</v>
      </c>
      <c r="Q34" s="5">
        <v>1.0049945694140168</v>
      </c>
      <c r="R34" s="5">
        <f t="shared" si="3"/>
        <v>0.995</v>
      </c>
      <c r="T34" s="5">
        <v>4500</v>
      </c>
      <c r="U34" s="5"/>
      <c r="V34" s="5"/>
      <c r="W34" s="5">
        <v>1</v>
      </c>
      <c r="AC34">
        <v>110</v>
      </c>
      <c r="AD34">
        <v>23</v>
      </c>
      <c r="AE34">
        <v>1.0411849611902486</v>
      </c>
    </row>
    <row r="35" spans="15:31" x14ac:dyDescent="0.3">
      <c r="O35" s="5">
        <v>90</v>
      </c>
      <c r="P35" s="5">
        <v>63</v>
      </c>
      <c r="Q35" s="5">
        <v>1.0110040223975916</v>
      </c>
      <c r="R35" s="5">
        <f t="shared" si="3"/>
        <v>0.98909999999999998</v>
      </c>
      <c r="T35" s="5">
        <v>5000</v>
      </c>
      <c r="U35" s="5"/>
      <c r="V35" s="5"/>
      <c r="W35" s="5">
        <v>1</v>
      </c>
      <c r="AC35">
        <v>120</v>
      </c>
      <c r="AD35">
        <v>3</v>
      </c>
      <c r="AE35">
        <v>1.0707664844284563</v>
      </c>
    </row>
    <row r="36" spans="15:31" x14ac:dyDescent="0.3">
      <c r="O36" s="5">
        <v>100</v>
      </c>
      <c r="P36" s="5">
        <v>66</v>
      </c>
      <c r="Q36" s="5">
        <v>0.99265170137192127</v>
      </c>
      <c r="R36" s="5">
        <f t="shared" si="3"/>
        <v>1.0074000000000001</v>
      </c>
      <c r="T36" s="5">
        <v>5500</v>
      </c>
      <c r="U36" s="5">
        <v>1</v>
      </c>
      <c r="V36" s="5">
        <v>0.90162614715826761</v>
      </c>
      <c r="W36" s="5">
        <f t="shared" si="2"/>
        <v>1.1091</v>
      </c>
      <c r="AC36">
        <v>130</v>
      </c>
      <c r="AD36">
        <v>2</v>
      </c>
      <c r="AE36">
        <v>1.3341223908918407</v>
      </c>
    </row>
    <row r="37" spans="15:31" x14ac:dyDescent="0.3">
      <c r="O37" s="5">
        <v>110</v>
      </c>
      <c r="P37" s="5">
        <v>23</v>
      </c>
      <c r="Q37" s="5">
        <v>1.0411849611902486</v>
      </c>
      <c r="R37" s="5">
        <f t="shared" si="3"/>
        <v>0.96040000000000003</v>
      </c>
      <c r="T37" s="4" t="s">
        <v>529</v>
      </c>
      <c r="U37" s="4">
        <v>310</v>
      </c>
      <c r="V37" s="4">
        <v>1.0002909669239195</v>
      </c>
      <c r="W37" s="5">
        <f t="shared" si="2"/>
        <v>0.99970000000000003</v>
      </c>
      <c r="AC37">
        <v>150</v>
      </c>
      <c r="AD37">
        <v>1</v>
      </c>
      <c r="AE37">
        <v>0.94290322580645158</v>
      </c>
    </row>
    <row r="38" spans="15:31" x14ac:dyDescent="0.3">
      <c r="O38" s="5">
        <v>120</v>
      </c>
      <c r="P38" s="5">
        <v>3</v>
      </c>
      <c r="Q38" s="5">
        <v>1.0707664844284563</v>
      </c>
      <c r="R38" s="5">
        <f t="shared" si="3"/>
        <v>0.93389999999999995</v>
      </c>
    </row>
    <row r="39" spans="15:31" x14ac:dyDescent="0.3">
      <c r="O39" s="5">
        <v>130</v>
      </c>
      <c r="P39" s="5">
        <v>2</v>
      </c>
      <c r="Q39" s="5">
        <v>1.3341223908918407</v>
      </c>
      <c r="R39" s="5">
        <f t="shared" si="3"/>
        <v>0.74960000000000004</v>
      </c>
    </row>
    <row r="40" spans="15:31" x14ac:dyDescent="0.3">
      <c r="O40" s="5">
        <v>140</v>
      </c>
      <c r="P40" s="5"/>
      <c r="Q40" s="5"/>
      <c r="R40" s="5">
        <v>1</v>
      </c>
    </row>
    <row r="41" spans="15:31" x14ac:dyDescent="0.3">
      <c r="O41" s="5">
        <v>150</v>
      </c>
      <c r="P41" s="5">
        <v>1</v>
      </c>
      <c r="Q41" s="5">
        <v>0.94290322580645158</v>
      </c>
      <c r="R41" s="5">
        <f t="shared" si="3"/>
        <v>1.0606</v>
      </c>
    </row>
    <row r="42" spans="15:31" x14ac:dyDescent="0.3">
      <c r="O42" s="4" t="s">
        <v>529</v>
      </c>
      <c r="P42" s="4">
        <v>310</v>
      </c>
      <c r="Q42" s="4">
        <v>1.0002909669239197</v>
      </c>
      <c r="R42" s="5">
        <f t="shared" si="3"/>
        <v>0.99970000000000003</v>
      </c>
    </row>
    <row r="55" spans="1:5" x14ac:dyDescent="0.3">
      <c r="A55" s="6" t="s">
        <v>477</v>
      </c>
      <c r="B55" s="6" t="s">
        <v>478</v>
      </c>
      <c r="C55" s="6" t="s">
        <v>479</v>
      </c>
      <c r="D55" s="6" t="s">
        <v>480</v>
      </c>
      <c r="E55" s="6" t="s">
        <v>481</v>
      </c>
    </row>
    <row r="56" spans="1:5" x14ac:dyDescent="0.3">
      <c r="A56" s="4" t="s">
        <v>482</v>
      </c>
      <c r="B56" s="5">
        <v>89850.625589999996</v>
      </c>
      <c r="C56" s="5">
        <v>51231.56</v>
      </c>
      <c r="D56" s="5">
        <v>1.75</v>
      </c>
      <c r="E56" s="5">
        <v>8.0600000000000005E-2</v>
      </c>
    </row>
    <row r="57" spans="1:5" x14ac:dyDescent="0.3">
      <c r="A57" s="4" t="s">
        <v>264</v>
      </c>
      <c r="B57" s="5">
        <v>31654.615741000001</v>
      </c>
      <c r="C57" s="5">
        <v>4561.2790000000005</v>
      </c>
      <c r="D57" s="5">
        <v>6.94</v>
      </c>
      <c r="E57" s="8" t="s">
        <v>489</v>
      </c>
    </row>
    <row r="58" spans="1:5" x14ac:dyDescent="0.3">
      <c r="A58" s="87" t="s">
        <v>26</v>
      </c>
      <c r="B58" s="88"/>
      <c r="C58" s="88"/>
      <c r="D58" s="88"/>
      <c r="E58" s="89"/>
    </row>
    <row r="59" spans="1:5" x14ac:dyDescent="0.3">
      <c r="A59" s="5" t="s">
        <v>412</v>
      </c>
      <c r="B59" s="5">
        <v>-70.558196570000007</v>
      </c>
      <c r="C59" s="5">
        <v>35.377850000000002</v>
      </c>
      <c r="D59" s="5">
        <v>-1.99</v>
      </c>
      <c r="E59" s="7" t="s">
        <v>492</v>
      </c>
    </row>
    <row r="60" spans="1:5" x14ac:dyDescent="0.3">
      <c r="A60" s="5" t="s">
        <v>61</v>
      </c>
      <c r="B60" s="5">
        <v>11.483171651999999</v>
      </c>
      <c r="C60" s="5">
        <v>25.114190000000001</v>
      </c>
      <c r="D60" s="5">
        <v>0.46</v>
      </c>
      <c r="E60" s="5">
        <v>0.64790000000000003</v>
      </c>
    </row>
    <row r="61" spans="1:5" x14ac:dyDescent="0.3">
      <c r="A61" s="5" t="s">
        <v>171</v>
      </c>
      <c r="B61" s="5">
        <v>-133.7217129</v>
      </c>
      <c r="C61" s="5">
        <v>28.747260000000001</v>
      </c>
      <c r="D61" s="5">
        <v>-4.6500000000000004</v>
      </c>
      <c r="E61" s="8" t="s">
        <v>489</v>
      </c>
    </row>
    <row r="62" spans="1:5" x14ac:dyDescent="0.3">
      <c r="A62" s="87" t="s">
        <v>483</v>
      </c>
      <c r="B62" s="88"/>
      <c r="C62" s="88"/>
      <c r="D62" s="88"/>
      <c r="E62" s="89"/>
    </row>
    <row r="63" spans="1:5" x14ac:dyDescent="0.3">
      <c r="A63" s="5" t="s">
        <v>484</v>
      </c>
      <c r="B63" s="7">
        <v>-100256.907584895</v>
      </c>
      <c r="C63" s="5"/>
      <c r="D63" s="5"/>
      <c r="E63" s="5"/>
    </row>
    <row r="64" spans="1:5" x14ac:dyDescent="0.3">
      <c r="A64" s="5" t="s">
        <v>449</v>
      </c>
      <c r="B64" s="7">
        <v>-71917.896887580995</v>
      </c>
      <c r="C64" s="5"/>
      <c r="D64" s="5"/>
      <c r="E64" s="5"/>
    </row>
    <row r="65" spans="1:5" x14ac:dyDescent="0.3">
      <c r="A65" s="5" t="s">
        <v>31</v>
      </c>
      <c r="B65" s="7">
        <v>-43578.886190266698</v>
      </c>
      <c r="C65" s="5"/>
      <c r="D65" s="5"/>
      <c r="E65" s="5"/>
    </row>
    <row r="66" spans="1:5" x14ac:dyDescent="0.3">
      <c r="A66" s="5" t="s">
        <v>205</v>
      </c>
      <c r="B66" s="5">
        <v>0</v>
      </c>
      <c r="C66" s="5"/>
      <c r="D66" s="5"/>
      <c r="E66" s="5"/>
    </row>
    <row r="67" spans="1:5" x14ac:dyDescent="0.3">
      <c r="A67" s="5" t="s">
        <v>351</v>
      </c>
      <c r="B67" s="5">
        <v>21557.329055999999</v>
      </c>
      <c r="C67" s="5"/>
      <c r="D67" s="5"/>
      <c r="E67" s="5"/>
    </row>
    <row r="68" spans="1:5" x14ac:dyDescent="0.3">
      <c r="A68" s="5" t="s">
        <v>302</v>
      </c>
      <c r="B68" s="5">
        <v>29814.093161000001</v>
      </c>
      <c r="C68" s="5"/>
      <c r="D68" s="5"/>
      <c r="E68" s="5"/>
    </row>
    <row r="69" spans="1:5" x14ac:dyDescent="0.3">
      <c r="A69" s="5" t="s">
        <v>148</v>
      </c>
      <c r="B69" s="5">
        <v>44121.038090000002</v>
      </c>
      <c r="C69" s="5"/>
      <c r="D69" s="5"/>
      <c r="E69" s="5"/>
    </row>
    <row r="70" spans="1:5" x14ac:dyDescent="0.3">
      <c r="A70" s="5" t="s">
        <v>95</v>
      </c>
      <c r="B70" s="5">
        <v>74268.409664999999</v>
      </c>
      <c r="C70" s="5"/>
      <c r="D70" s="9"/>
      <c r="E70" s="5"/>
    </row>
    <row r="71" spans="1:5" x14ac:dyDescent="0.3">
      <c r="A71" s="5" t="s">
        <v>64</v>
      </c>
      <c r="B71" s="5">
        <v>163885.03753</v>
      </c>
      <c r="C71" s="5"/>
      <c r="D71" s="5"/>
      <c r="E71" s="5"/>
    </row>
    <row r="72" spans="1:5" x14ac:dyDescent="0.3">
      <c r="A72" s="5" t="s">
        <v>485</v>
      </c>
      <c r="B72" s="7">
        <v>253501.66539499999</v>
      </c>
      <c r="C72" s="5"/>
      <c r="D72" s="5"/>
      <c r="E72" s="5"/>
    </row>
    <row r="73" spans="1:5" x14ac:dyDescent="0.3">
      <c r="A73" s="5" t="s">
        <v>382</v>
      </c>
      <c r="B73" s="5">
        <v>315333.60131</v>
      </c>
      <c r="C73" s="5"/>
      <c r="D73" s="5"/>
      <c r="E73" s="5"/>
    </row>
    <row r="74" spans="1:5" x14ac:dyDescent="0.3">
      <c r="A74" s="5" t="s">
        <v>486</v>
      </c>
      <c r="B74" s="7">
        <v>395688.66519166698</v>
      </c>
      <c r="C74" s="5"/>
      <c r="D74" s="5"/>
      <c r="E74" s="5"/>
    </row>
    <row r="75" spans="1:5" x14ac:dyDescent="0.3">
      <c r="A75" s="5" t="s">
        <v>487</v>
      </c>
      <c r="B75" s="7">
        <v>471412.94708166702</v>
      </c>
      <c r="C75" s="5"/>
      <c r="D75" s="5"/>
      <c r="E75" s="5"/>
    </row>
    <row r="76" spans="1:5" x14ac:dyDescent="0.3">
      <c r="A76" s="87" t="s">
        <v>488</v>
      </c>
      <c r="B76" s="88"/>
      <c r="C76" s="88"/>
      <c r="D76" s="88"/>
      <c r="E76" s="89"/>
    </row>
    <row r="77" spans="1:5" x14ac:dyDescent="0.3">
      <c r="A77" s="5" t="s">
        <v>350</v>
      </c>
      <c r="B77" s="5"/>
      <c r="C77" s="5"/>
      <c r="D77" s="5"/>
      <c r="E77" s="5"/>
    </row>
    <row r="78" spans="1:5" x14ac:dyDescent="0.3">
      <c r="A78" s="5" t="s">
        <v>32</v>
      </c>
      <c r="B78" s="5">
        <v>0</v>
      </c>
      <c r="C78" s="5"/>
      <c r="D78" s="5"/>
      <c r="E78" s="5"/>
    </row>
    <row r="79" spans="1:5" x14ac:dyDescent="0.3">
      <c r="A79" s="5" t="s">
        <v>33</v>
      </c>
      <c r="B79" s="5">
        <v>39013.223933000001</v>
      </c>
      <c r="C79" s="5"/>
      <c r="D79" s="5"/>
      <c r="E79" s="5"/>
    </row>
    <row r="80" spans="1:5" x14ac:dyDescent="0.3">
      <c r="A80" s="5" t="s">
        <v>206</v>
      </c>
      <c r="B80" s="5">
        <v>133714.53821</v>
      </c>
      <c r="C80" s="5"/>
      <c r="D80" s="5"/>
      <c r="E80" s="5"/>
    </row>
    <row r="81" spans="1:5" x14ac:dyDescent="0.3">
      <c r="A81" s="5" t="s">
        <v>323</v>
      </c>
      <c r="B81" s="5">
        <v>160472.20319</v>
      </c>
      <c r="C81" s="5"/>
      <c r="D81" s="5"/>
      <c r="E81" s="5"/>
    </row>
    <row r="82" spans="1:5" x14ac:dyDescent="0.3">
      <c r="A82" s="5" t="s">
        <v>303</v>
      </c>
      <c r="B82" s="5">
        <v>197752.34721000001</v>
      </c>
      <c r="C82" s="5"/>
      <c r="D82" s="5"/>
      <c r="E82" s="5"/>
    </row>
    <row r="83" spans="1:5" x14ac:dyDescent="0.3">
      <c r="A83" s="5" t="s">
        <v>352</v>
      </c>
      <c r="B83" s="5">
        <v>284810.60806</v>
      </c>
      <c r="C83" s="5"/>
      <c r="D83" s="5"/>
      <c r="E83" s="5"/>
    </row>
    <row r="84" spans="1:5" x14ac:dyDescent="0.3">
      <c r="A84" s="5" t="s">
        <v>96</v>
      </c>
      <c r="B84" s="5">
        <v>354070.39217000001</v>
      </c>
      <c r="C84" s="5"/>
      <c r="D84" s="5"/>
      <c r="E84" s="5"/>
    </row>
    <row r="85" spans="1:5" x14ac:dyDescent="0.3">
      <c r="A85" s="4" t="s">
        <v>408</v>
      </c>
      <c r="B85" s="5">
        <v>-223.04560050000001</v>
      </c>
      <c r="C85" s="5">
        <v>364.10359999999997</v>
      </c>
      <c r="D85" s="5">
        <v>-0.61</v>
      </c>
      <c r="E85" s="5">
        <v>0.54059999999999997</v>
      </c>
    </row>
    <row r="86" spans="1:5" x14ac:dyDescent="0.3">
      <c r="A86" s="4" t="s">
        <v>236</v>
      </c>
      <c r="B86" s="5">
        <v>49.408669877000001</v>
      </c>
      <c r="C86" s="5">
        <v>8.3261260000000004</v>
      </c>
      <c r="D86" s="5">
        <v>5.93</v>
      </c>
      <c r="E86" s="8" t="s">
        <v>489</v>
      </c>
    </row>
    <row r="87" spans="1:5" x14ac:dyDescent="0.3">
      <c r="A87" s="4" t="s">
        <v>202</v>
      </c>
      <c r="B87" s="5">
        <v>44.786422860999998</v>
      </c>
      <c r="C87" s="5">
        <v>8.6318470000000005</v>
      </c>
      <c r="D87" s="5">
        <v>5.19</v>
      </c>
      <c r="E87" s="8" t="s">
        <v>489</v>
      </c>
    </row>
    <row r="88" spans="1:5" x14ac:dyDescent="0.3">
      <c r="A88" s="4" t="s">
        <v>378</v>
      </c>
      <c r="B88" s="5">
        <v>65.094671051000006</v>
      </c>
      <c r="C88" s="5">
        <v>65.892840000000007</v>
      </c>
      <c r="D88" s="5">
        <v>0.99</v>
      </c>
      <c r="E88" s="5">
        <v>0.3241</v>
      </c>
    </row>
    <row r="89" spans="1:5" x14ac:dyDescent="0.3">
      <c r="A89" s="4" t="s">
        <v>237</v>
      </c>
      <c r="B89" s="5">
        <v>29.081895246999999</v>
      </c>
      <c r="C89" s="5">
        <v>5.0108699999999997</v>
      </c>
      <c r="D89" s="5">
        <v>5.8</v>
      </c>
      <c r="E89" s="8" t="s">
        <v>489</v>
      </c>
    </row>
    <row r="90" spans="1:5" x14ac:dyDescent="0.3">
      <c r="A90" s="4" t="s">
        <v>24</v>
      </c>
      <c r="B90" s="5">
        <v>3792.0221052000002</v>
      </c>
      <c r="C90" s="5">
        <v>1333.9159999999999</v>
      </c>
      <c r="D90" s="5">
        <v>2.84</v>
      </c>
      <c r="E90" s="8" t="s">
        <v>491</v>
      </c>
    </row>
    <row r="91" spans="1:5" x14ac:dyDescent="0.3">
      <c r="A91" s="4" t="s">
        <v>410</v>
      </c>
      <c r="B91" s="5">
        <v>33.295515276000003</v>
      </c>
      <c r="C91" s="5">
        <v>15.33985</v>
      </c>
      <c r="D91" s="5">
        <v>2.17</v>
      </c>
      <c r="E91" s="7" t="s">
        <v>490</v>
      </c>
    </row>
  </sheetData>
  <mergeCells count="3">
    <mergeCell ref="A62:E62"/>
    <mergeCell ref="A76:E76"/>
    <mergeCell ref="A58:E5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C8B16-630B-4DA6-87B6-ABA94B3E5996}">
  <dimension ref="A3:M19"/>
  <sheetViews>
    <sheetView workbookViewId="0">
      <selection activeCell="J13" sqref="J13"/>
    </sheetView>
  </sheetViews>
  <sheetFormatPr defaultRowHeight="14.4" x14ac:dyDescent="0.3"/>
  <cols>
    <col min="1" max="1" width="10.77734375" bestFit="1" customWidth="1"/>
    <col min="2" max="2" width="8.33203125" bestFit="1" customWidth="1"/>
    <col min="3" max="4" width="10.109375" bestFit="1" customWidth="1"/>
    <col min="5" max="5" width="13.33203125" bestFit="1" customWidth="1"/>
    <col min="6" max="6" width="13.77734375" bestFit="1" customWidth="1"/>
    <col min="10" max="10" width="10.77734375" bestFit="1" customWidth="1"/>
    <col min="11" max="11" width="8.33203125" bestFit="1" customWidth="1"/>
    <col min="12" max="12" width="10.109375" bestFit="1" customWidth="1"/>
    <col min="13" max="13" width="13.33203125" bestFit="1" customWidth="1"/>
  </cols>
  <sheetData>
    <row r="3" spans="1:13" ht="43.2" x14ac:dyDescent="0.3">
      <c r="A3" s="16" t="s">
        <v>532</v>
      </c>
      <c r="B3" s="18" t="s">
        <v>530</v>
      </c>
      <c r="C3" s="17" t="s">
        <v>531</v>
      </c>
      <c r="D3" s="17" t="s">
        <v>535</v>
      </c>
      <c r="E3" s="17" t="s">
        <v>534</v>
      </c>
      <c r="J3" s="16" t="s">
        <v>532</v>
      </c>
      <c r="K3" s="18" t="s">
        <v>530</v>
      </c>
      <c r="L3" s="17" t="s">
        <v>2930</v>
      </c>
      <c r="M3" s="18" t="s">
        <v>534</v>
      </c>
    </row>
    <row r="4" spans="1:13" x14ac:dyDescent="0.3">
      <c r="A4" s="12">
        <v>10</v>
      </c>
      <c r="B4">
        <v>2</v>
      </c>
      <c r="C4" s="15">
        <v>1.2998906009244993</v>
      </c>
      <c r="D4" s="15">
        <v>1.2955929979931398</v>
      </c>
      <c r="E4" s="15">
        <v>0.40804650214060523</v>
      </c>
      <c r="J4" s="12">
        <v>10</v>
      </c>
      <c r="K4">
        <v>10</v>
      </c>
      <c r="L4" s="15">
        <v>0.84156269363916292</v>
      </c>
      <c r="M4" s="15">
        <v>0.14689013935253009</v>
      </c>
    </row>
    <row r="5" spans="1:13" x14ac:dyDescent="0.3">
      <c r="A5" s="12">
        <v>30</v>
      </c>
      <c r="B5">
        <v>4</v>
      </c>
      <c r="C5" s="15">
        <v>1.0275299084778637</v>
      </c>
      <c r="D5" s="15">
        <v>1.0285068473808194</v>
      </c>
      <c r="E5" s="15">
        <v>0.11932201653306866</v>
      </c>
      <c r="J5" s="12">
        <v>20</v>
      </c>
      <c r="K5">
        <v>12</v>
      </c>
      <c r="L5" s="15">
        <v>0.26978387660513664</v>
      </c>
      <c r="M5" s="15">
        <v>0.26387264572476377</v>
      </c>
    </row>
    <row r="6" spans="1:13" x14ac:dyDescent="0.3">
      <c r="A6" s="12">
        <v>40</v>
      </c>
      <c r="B6">
        <v>6</v>
      </c>
      <c r="C6" s="15">
        <v>0.98450116981783653</v>
      </c>
      <c r="D6" s="15">
        <v>0.98411370468891668</v>
      </c>
      <c r="E6" s="15">
        <v>0.12994164295039964</v>
      </c>
      <c r="J6" s="12">
        <v>30</v>
      </c>
      <c r="K6">
        <v>76</v>
      </c>
      <c r="L6" s="15">
        <v>8.0612266153347878E-2</v>
      </c>
      <c r="M6" s="15">
        <v>7.9629399116546234E-2</v>
      </c>
    </row>
    <row r="7" spans="1:13" x14ac:dyDescent="0.3">
      <c r="A7" s="12">
        <v>50</v>
      </c>
      <c r="B7">
        <v>19</v>
      </c>
      <c r="C7" s="15">
        <v>1.0317801371017694</v>
      </c>
      <c r="D7" s="15">
        <v>1.0326536865499343</v>
      </c>
      <c r="E7" s="15">
        <v>0.12461047474973484</v>
      </c>
      <c r="J7" s="12">
        <v>40</v>
      </c>
      <c r="K7">
        <v>46</v>
      </c>
      <c r="L7" s="15">
        <v>6.3399259122012636E-2</v>
      </c>
      <c r="M7" s="15">
        <v>6.1213196288583085E-2</v>
      </c>
    </row>
    <row r="8" spans="1:13" x14ac:dyDescent="0.3">
      <c r="A8" s="12">
        <v>60</v>
      </c>
      <c r="B8">
        <v>19</v>
      </c>
      <c r="C8" s="15">
        <v>1.0191096885270523</v>
      </c>
      <c r="D8" s="15">
        <v>1.0127197707324878</v>
      </c>
      <c r="E8" s="15">
        <v>4.4186435796945672E-2</v>
      </c>
      <c r="J8" s="12">
        <v>50</v>
      </c>
      <c r="K8">
        <v>95</v>
      </c>
      <c r="L8" s="15">
        <v>0.14519584128434618</v>
      </c>
      <c r="M8" s="15">
        <v>0.14805570134595186</v>
      </c>
    </row>
    <row r="9" spans="1:13" x14ac:dyDescent="0.3">
      <c r="A9" s="12">
        <v>70</v>
      </c>
      <c r="B9">
        <v>41</v>
      </c>
      <c r="C9" s="15">
        <v>0.98050092533061695</v>
      </c>
      <c r="D9" s="15">
        <v>0.97384967777734088</v>
      </c>
      <c r="E9" s="15">
        <v>1.7579147300968951E-2</v>
      </c>
      <c r="J9" s="12">
        <v>60</v>
      </c>
      <c r="K9">
        <v>127</v>
      </c>
      <c r="L9" s="15">
        <v>7.0477283458867224E-2</v>
      </c>
      <c r="M9" s="15">
        <v>6.4366705991475537E-2</v>
      </c>
    </row>
    <row r="10" spans="1:13" x14ac:dyDescent="0.3">
      <c r="A10" s="12">
        <v>80</v>
      </c>
      <c r="B10">
        <v>58</v>
      </c>
      <c r="C10" s="15">
        <v>1.0049945694140168</v>
      </c>
      <c r="D10" s="15">
        <v>0.99824868025641611</v>
      </c>
      <c r="E10" s="15">
        <v>4.9734750622810235E-2</v>
      </c>
      <c r="J10" s="12">
        <v>70</v>
      </c>
      <c r="K10">
        <v>344</v>
      </c>
      <c r="L10" s="15">
        <v>5.4681380713197301E-2</v>
      </c>
      <c r="M10" s="15">
        <v>4.819615713745392E-2</v>
      </c>
    </row>
    <row r="11" spans="1:13" x14ac:dyDescent="0.3">
      <c r="A11" s="12">
        <v>90</v>
      </c>
      <c r="B11">
        <v>63</v>
      </c>
      <c r="C11" s="15">
        <v>1.0110040223975916</v>
      </c>
      <c r="D11" s="15">
        <v>1.0043691239153267</v>
      </c>
      <c r="E11" s="15">
        <v>7.3826439779540717E-2</v>
      </c>
      <c r="J11" s="12">
        <v>80</v>
      </c>
      <c r="K11">
        <v>448</v>
      </c>
      <c r="L11" s="15">
        <v>5.3601022210641357E-2</v>
      </c>
      <c r="M11" s="15">
        <v>4.6571397391855597E-2</v>
      </c>
    </row>
    <row r="12" spans="1:13" x14ac:dyDescent="0.3">
      <c r="A12" s="12">
        <v>100</v>
      </c>
      <c r="B12">
        <v>66</v>
      </c>
      <c r="C12" s="15">
        <v>0.99265170137192127</v>
      </c>
      <c r="D12" s="15">
        <v>0.98623949408897504</v>
      </c>
      <c r="E12" s="15">
        <v>5.4066460482664822E-2</v>
      </c>
      <c r="J12" s="12">
        <v>90</v>
      </c>
      <c r="K12">
        <v>493</v>
      </c>
      <c r="L12" s="15">
        <v>7.3234314380483737E-2</v>
      </c>
      <c r="M12" s="15">
        <v>6.6418118726202208E-2</v>
      </c>
    </row>
    <row r="13" spans="1:13" x14ac:dyDescent="0.3">
      <c r="A13" s="12">
        <v>110</v>
      </c>
      <c r="B13">
        <v>23</v>
      </c>
      <c r="C13" s="15">
        <v>1.0411849611902486</v>
      </c>
      <c r="D13" s="15">
        <v>1.033709934302113</v>
      </c>
      <c r="E13" s="15">
        <v>8.5177288763799097E-2</v>
      </c>
      <c r="J13" s="12">
        <v>100</v>
      </c>
      <c r="K13">
        <v>451</v>
      </c>
      <c r="L13" s="15">
        <v>6.8429747536710314E-2</v>
      </c>
      <c r="M13" s="15">
        <v>6.1653671793713914E-2</v>
      </c>
    </row>
    <row r="14" spans="1:13" x14ac:dyDescent="0.3">
      <c r="A14" s="12">
        <v>120</v>
      </c>
      <c r="B14">
        <v>3</v>
      </c>
      <c r="C14" s="15">
        <v>1.0707664844284563</v>
      </c>
      <c r="D14" s="15">
        <v>1.0628526603985113</v>
      </c>
      <c r="E14" s="15">
        <v>5.953746837180296E-2</v>
      </c>
      <c r="J14" s="12">
        <v>110</v>
      </c>
      <c r="K14">
        <v>127</v>
      </c>
      <c r="L14" s="15">
        <v>6.5330943922806223E-2</v>
      </c>
      <c r="M14" s="15">
        <v>5.8219992139410939E-2</v>
      </c>
    </row>
    <row r="15" spans="1:13" x14ac:dyDescent="0.3">
      <c r="A15" s="12">
        <v>130</v>
      </c>
      <c r="B15">
        <v>2</v>
      </c>
      <c r="C15" s="15">
        <v>1.3341223908918407</v>
      </c>
      <c r="D15" s="15">
        <v>1.3259978619872532</v>
      </c>
      <c r="E15" s="15">
        <v>0.22611997750308854</v>
      </c>
      <c r="J15" s="12">
        <v>120</v>
      </c>
      <c r="K15">
        <v>37</v>
      </c>
      <c r="L15" s="15">
        <v>5.9565688362054982E-2</v>
      </c>
      <c r="M15" s="15">
        <v>5.1076566395603484E-2</v>
      </c>
    </row>
    <row r="16" spans="1:13" x14ac:dyDescent="0.3">
      <c r="A16" s="12">
        <v>150</v>
      </c>
      <c r="B16">
        <v>1</v>
      </c>
      <c r="C16" s="15">
        <v>0.94290322580645158</v>
      </c>
      <c r="D16" s="15">
        <v>0.93775836942750335</v>
      </c>
      <c r="E16" s="15">
        <v>9.2837273991655075E-2</v>
      </c>
      <c r="J16" s="12">
        <v>130</v>
      </c>
      <c r="K16">
        <v>13</v>
      </c>
      <c r="L16" s="15">
        <v>4.5261337564163097E-2</v>
      </c>
      <c r="M16" s="15">
        <v>3.59172891711367E-2</v>
      </c>
    </row>
    <row r="17" spans="1:13" x14ac:dyDescent="0.3">
      <c r="A17" s="12" t="s">
        <v>529</v>
      </c>
      <c r="B17">
        <v>307</v>
      </c>
      <c r="C17" s="15">
        <v>1.0099446409642654</v>
      </c>
      <c r="D17" s="15">
        <v>1.0039705326574473</v>
      </c>
      <c r="E17" s="15">
        <v>6.4455218819586671E-2</v>
      </c>
      <c r="J17" s="12">
        <v>140</v>
      </c>
      <c r="K17">
        <v>1</v>
      </c>
      <c r="L17" s="15">
        <v>1.5585151601020119E-2</v>
      </c>
      <c r="M17" s="15">
        <v>5.1005950694247666E-3</v>
      </c>
    </row>
    <row r="18" spans="1:13" x14ac:dyDescent="0.3">
      <c r="J18" s="12">
        <v>150</v>
      </c>
      <c r="K18">
        <v>2</v>
      </c>
      <c r="L18" s="15">
        <v>9.850552244919078E-2</v>
      </c>
      <c r="M18" s="15">
        <v>9.168981583939545E-2</v>
      </c>
    </row>
    <row r="19" spans="1:13" x14ac:dyDescent="0.3">
      <c r="J19" s="12" t="s">
        <v>529</v>
      </c>
      <c r="K19">
        <v>2282</v>
      </c>
      <c r="L19" s="15">
        <v>7.2099952454415972E-2</v>
      </c>
      <c r="M19" s="15">
        <v>6.2960323109233648E-2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A308"/>
  <sheetViews>
    <sheetView topLeftCell="A153" workbookViewId="0">
      <selection activeCell="P302" sqref="P302"/>
    </sheetView>
  </sheetViews>
  <sheetFormatPr defaultRowHeight="14.4" x14ac:dyDescent="0.3"/>
  <cols>
    <col min="2" max="2" width="12" bestFit="1" customWidth="1"/>
    <col min="3" max="3" width="9.44140625" customWidth="1"/>
    <col min="12" max="12" width="9.88671875" customWidth="1"/>
    <col min="16" max="16" width="9.109375" customWidth="1"/>
    <col min="21" max="21" width="9.5546875" customWidth="1"/>
    <col min="22" max="22" width="9.21875" customWidth="1"/>
    <col min="23" max="23" width="9.109375" customWidth="1"/>
    <col min="26" max="26" width="11.77734375" customWidth="1"/>
    <col min="27" max="27" width="9.109375" customWidth="1"/>
    <col min="28" max="28" width="12.109375" customWidth="1"/>
    <col min="29" max="29" width="14.77734375" customWidth="1"/>
    <col min="30" max="30" width="10.77734375" customWidth="1"/>
    <col min="31" max="31" width="12" customWidth="1"/>
    <col min="35" max="35" width="10.5546875" customWidth="1"/>
    <col min="36" max="36" width="10.21875" customWidth="1"/>
    <col min="37" max="37" width="10.44140625" customWidth="1"/>
    <col min="38" max="39" width="9.6640625" customWidth="1"/>
    <col min="40" max="40" width="9.33203125" customWidth="1"/>
    <col min="42" max="42" width="9.5546875" customWidth="1"/>
    <col min="43" max="43" width="9.21875" customWidth="1"/>
    <col min="44" max="44" width="9.88671875" customWidth="1"/>
    <col min="46" max="46" width="9.44140625" customWidth="1"/>
    <col min="47" max="47" width="9.33203125" customWidth="1"/>
    <col min="51" max="51" width="11.33203125" customWidth="1"/>
    <col min="55" max="55" width="10.5546875" bestFit="1" customWidth="1"/>
    <col min="59" max="59" width="10.44140625" customWidth="1"/>
    <col min="68" max="68" width="16.33203125" customWidth="1"/>
    <col min="69" max="69" width="18.21875" customWidth="1"/>
    <col min="92" max="92" width="10.33203125" bestFit="1" customWidth="1"/>
    <col min="104" max="104" width="11.6640625" customWidth="1"/>
  </cols>
  <sheetData>
    <row r="1" spans="1:105" ht="57.6" x14ac:dyDescent="0.3">
      <c r="A1" t="s">
        <v>121</v>
      </c>
      <c r="B1" t="s">
        <v>407</v>
      </c>
      <c r="C1" t="s">
        <v>264</v>
      </c>
      <c r="D1" t="s">
        <v>345</v>
      </c>
      <c r="E1" t="s">
        <v>0</v>
      </c>
      <c r="F1" t="s">
        <v>122</v>
      </c>
      <c r="G1" t="s">
        <v>320</v>
      </c>
      <c r="H1" t="s">
        <v>90</v>
      </c>
      <c r="I1" t="s">
        <v>57</v>
      </c>
      <c r="J1" t="s">
        <v>321</v>
      </c>
      <c r="K1" t="s">
        <v>168</v>
      </c>
      <c r="L1" t="s">
        <v>21</v>
      </c>
      <c r="M1" t="s">
        <v>169</v>
      </c>
      <c r="N1" t="s">
        <v>265</v>
      </c>
      <c r="O1" t="s">
        <v>123</v>
      </c>
      <c r="P1" t="s">
        <v>58</v>
      </c>
      <c r="Q1" t="s">
        <v>145</v>
      </c>
      <c r="R1" t="s">
        <v>377</v>
      </c>
      <c r="S1" t="s">
        <v>91</v>
      </c>
      <c r="T1" t="s">
        <v>408</v>
      </c>
      <c r="U1" t="s">
        <v>22</v>
      </c>
      <c r="V1" t="s">
        <v>236</v>
      </c>
      <c r="W1" t="s">
        <v>202</v>
      </c>
      <c r="X1" t="s">
        <v>378</v>
      </c>
      <c r="Y1" t="s">
        <v>237</v>
      </c>
      <c r="Z1" t="s">
        <v>1</v>
      </c>
      <c r="AA1" t="s">
        <v>59</v>
      </c>
      <c r="AB1" t="s">
        <v>124</v>
      </c>
      <c r="AC1" t="s">
        <v>238</v>
      </c>
      <c r="AD1" t="s">
        <v>170</v>
      </c>
      <c r="AE1" t="s">
        <v>203</v>
      </c>
      <c r="AF1" t="s">
        <v>447</v>
      </c>
      <c r="AG1" t="s">
        <v>23</v>
      </c>
      <c r="AH1" t="s">
        <v>346</v>
      </c>
      <c r="AI1" t="s">
        <v>60</v>
      </c>
      <c r="AJ1" t="s">
        <v>295</v>
      </c>
      <c r="AK1" t="s">
        <v>409</v>
      </c>
      <c r="AL1" t="s">
        <v>322</v>
      </c>
      <c r="AM1" t="s">
        <v>296</v>
      </c>
      <c r="AN1" t="s">
        <v>24</v>
      </c>
      <c r="AO1" t="s">
        <v>125</v>
      </c>
      <c r="AP1" t="s">
        <v>379</v>
      </c>
      <c r="AQ1" t="s">
        <v>92</v>
      </c>
      <c r="AR1" t="s">
        <v>410</v>
      </c>
      <c r="AS1" t="s">
        <v>347</v>
      </c>
      <c r="AT1" t="s">
        <v>266</v>
      </c>
      <c r="AU1" t="s">
        <v>25</v>
      </c>
      <c r="AV1" t="s">
        <v>239</v>
      </c>
      <c r="AW1" t="s">
        <v>2</v>
      </c>
      <c r="AX1" t="s">
        <v>411</v>
      </c>
      <c r="AY1" t="s">
        <v>26</v>
      </c>
      <c r="AZ1" t="s">
        <v>412</v>
      </c>
      <c r="BA1" t="s">
        <v>61</v>
      </c>
      <c r="BB1" t="s">
        <v>171</v>
      </c>
      <c r="BC1" t="s">
        <v>380</v>
      </c>
      <c r="BD1" t="s">
        <v>413</v>
      </c>
      <c r="BE1" t="s">
        <v>414</v>
      </c>
      <c r="BF1" t="s">
        <v>27</v>
      </c>
      <c r="BG1" t="s">
        <v>297</v>
      </c>
      <c r="BH1" t="s">
        <v>298</v>
      </c>
      <c r="BI1" t="s">
        <v>3</v>
      </c>
      <c r="BJ1" t="s">
        <v>93</v>
      </c>
      <c r="BK1" t="s">
        <v>62</v>
      </c>
      <c r="BL1" t="s">
        <v>94</v>
      </c>
      <c r="BM1" t="s">
        <v>240</v>
      </c>
      <c r="BN1" t="s">
        <v>172</v>
      </c>
      <c r="BO1" t="s">
        <v>267</v>
      </c>
      <c r="BP1" t="s">
        <v>348</v>
      </c>
      <c r="BQ1" t="s">
        <v>204</v>
      </c>
      <c r="BR1" s="10" t="s">
        <v>493</v>
      </c>
      <c r="BS1" s="10" t="s">
        <v>494</v>
      </c>
      <c r="BT1" s="10" t="s">
        <v>495</v>
      </c>
      <c r="BU1" s="10" t="s">
        <v>496</v>
      </c>
      <c r="BV1" s="10" t="s">
        <v>497</v>
      </c>
      <c r="BW1" s="10" t="s">
        <v>498</v>
      </c>
      <c r="BX1" s="10" t="s">
        <v>499</v>
      </c>
      <c r="BY1" s="10" t="s">
        <v>500</v>
      </c>
      <c r="BZ1" s="10" t="s">
        <v>501</v>
      </c>
      <c r="CA1" s="10" t="s">
        <v>502</v>
      </c>
      <c r="CB1" s="10" t="s">
        <v>527</v>
      </c>
      <c r="CC1" s="10" t="s">
        <v>503</v>
      </c>
      <c r="CD1" s="10" t="s">
        <v>528</v>
      </c>
      <c r="CE1" s="10" t="s">
        <v>504</v>
      </c>
      <c r="CF1" s="10" t="s">
        <v>505</v>
      </c>
      <c r="CG1" s="10" t="s">
        <v>506</v>
      </c>
      <c r="CH1" s="10" t="s">
        <v>507</v>
      </c>
      <c r="CI1" s="10" t="s">
        <v>508</v>
      </c>
      <c r="CJ1" s="11" t="s">
        <v>509</v>
      </c>
      <c r="CK1" s="11" t="s">
        <v>510</v>
      </c>
      <c r="CL1" s="10" t="s">
        <v>511</v>
      </c>
      <c r="CM1" s="10" t="s">
        <v>512</v>
      </c>
      <c r="CN1" s="10" t="s">
        <v>513</v>
      </c>
      <c r="CO1" s="10" t="s">
        <v>514</v>
      </c>
      <c r="CP1" s="10" t="s">
        <v>515</v>
      </c>
      <c r="CQ1" s="10" t="s">
        <v>516</v>
      </c>
      <c r="CR1" s="10" t="s">
        <v>517</v>
      </c>
      <c r="CS1" s="10" t="s">
        <v>518</v>
      </c>
      <c r="CT1" s="10" t="s">
        <v>519</v>
      </c>
      <c r="CU1" s="10" t="s">
        <v>520</v>
      </c>
      <c r="CV1" s="10" t="s">
        <v>521</v>
      </c>
      <c r="CW1" s="10" t="s">
        <v>522</v>
      </c>
      <c r="CX1" s="11" t="s">
        <v>523</v>
      </c>
      <c r="CY1" s="11" t="s">
        <v>524</v>
      </c>
      <c r="CZ1" s="11" t="s">
        <v>525</v>
      </c>
      <c r="DA1" s="11" t="s">
        <v>526</v>
      </c>
    </row>
    <row r="2" spans="1:105" x14ac:dyDescent="0.3">
      <c r="A2">
        <v>2025</v>
      </c>
      <c r="B2">
        <v>18132323018</v>
      </c>
      <c r="C2">
        <v>-2.0402208285265546</v>
      </c>
      <c r="D2">
        <v>0.13</v>
      </c>
      <c r="E2">
        <v>5500</v>
      </c>
      <c r="F2">
        <v>6</v>
      </c>
      <c r="G2" t="s">
        <v>126</v>
      </c>
      <c r="H2">
        <v>3033</v>
      </c>
      <c r="I2" t="s">
        <v>349</v>
      </c>
      <c r="J2" t="s">
        <v>30</v>
      </c>
      <c r="K2">
        <v>11</v>
      </c>
      <c r="L2">
        <v>259</v>
      </c>
      <c r="M2" t="s">
        <v>242</v>
      </c>
      <c r="N2" t="s">
        <v>351</v>
      </c>
      <c r="O2" t="s">
        <v>96</v>
      </c>
      <c r="P2">
        <v>10</v>
      </c>
      <c r="Q2">
        <v>2023</v>
      </c>
      <c r="R2">
        <v>2023</v>
      </c>
      <c r="S2">
        <v>1</v>
      </c>
      <c r="T2">
        <v>1</v>
      </c>
      <c r="U2">
        <v>1</v>
      </c>
      <c r="V2">
        <v>1288</v>
      </c>
      <c r="W2">
        <v>0</v>
      </c>
      <c r="X2">
        <v>0</v>
      </c>
      <c r="Y2">
        <v>0</v>
      </c>
      <c r="Z2">
        <v>0</v>
      </c>
      <c r="AA2">
        <v>0</v>
      </c>
      <c r="AB2">
        <v>1288</v>
      </c>
      <c r="AC2">
        <v>1500</v>
      </c>
      <c r="AD2">
        <v>0</v>
      </c>
      <c r="AF2" t="s">
        <v>97</v>
      </c>
      <c r="AG2" t="s">
        <v>382</v>
      </c>
      <c r="AI2">
        <v>0</v>
      </c>
      <c r="AJ2">
        <v>0</v>
      </c>
      <c r="AK2">
        <v>0</v>
      </c>
      <c r="AL2">
        <v>1</v>
      </c>
      <c r="AM2">
        <v>0</v>
      </c>
      <c r="AN2">
        <v>8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100</v>
      </c>
      <c r="AV2">
        <v>100</v>
      </c>
      <c r="AW2">
        <v>176666</v>
      </c>
      <c r="AX2">
        <v>139566</v>
      </c>
      <c r="AY2">
        <v>278</v>
      </c>
      <c r="AZ2">
        <v>278</v>
      </c>
      <c r="BA2">
        <v>0</v>
      </c>
      <c r="BB2">
        <v>0</v>
      </c>
      <c r="BC2" s="3">
        <v>45014</v>
      </c>
      <c r="BD2" t="s">
        <v>282</v>
      </c>
      <c r="BE2">
        <v>295000</v>
      </c>
      <c r="BF2">
        <v>295000</v>
      </c>
      <c r="BG2" t="s">
        <v>294</v>
      </c>
      <c r="BH2">
        <v>30</v>
      </c>
      <c r="BI2" t="s">
        <v>65</v>
      </c>
      <c r="BJ2" t="s">
        <v>450</v>
      </c>
      <c r="BK2">
        <v>333300</v>
      </c>
      <c r="BL2">
        <v>43400</v>
      </c>
      <c r="BM2">
        <v>289900</v>
      </c>
      <c r="BN2">
        <v>0</v>
      </c>
      <c r="BO2">
        <v>1.1298305084745763</v>
      </c>
      <c r="BP2">
        <v>475032.25985725992</v>
      </c>
      <c r="BQ2">
        <v>494647.43850254582</v>
      </c>
      <c r="BR2" s="12">
        <f>(Sales[[#This Row],[DP1]]*Lookups!$B$59)+(Sales[[#This Row],[DP2]]*Lookups!$B$60)+(Sales[[#This Row],[DP3]]*Lookups!$B$61)</f>
        <v>-19615.178646460001</v>
      </c>
      <c r="BS2" s="12">
        <f>Lookups!$B$56*0</f>
        <v>0</v>
      </c>
      <c r="BT2" s="12">
        <f>Lookups!$B$56*1</f>
        <v>89850.625589999996</v>
      </c>
      <c r="BU2" s="12">
        <f>Lookups!$B$57*Sales[[#This Row],[LnAcres]]</f>
        <v>-64582.406353792743</v>
      </c>
      <c r="BV2" s="12">
        <f>VLOOKUP(Sales[[#This Row],[Qlty]],Lookups!$A$62:$E$75,2,FALSE)</f>
        <v>21557.329055999999</v>
      </c>
      <c r="BW2" s="12">
        <f>VLOOKUP(Sales[[#This Row],[Cnd]],Lookups!$A$76:$E$84,2,FALSE)</f>
        <v>354070.39217000001</v>
      </c>
      <c r="BX2" s="12">
        <f>Sales[[#This Row],[EffAge]]*Lookups!$B$85</f>
        <v>-223.04560050000001</v>
      </c>
      <c r="BY2" s="12">
        <f>Sales[[#This Row],[MainFn]]*Lookups!$B$86</f>
        <v>63638.366801576005</v>
      </c>
      <c r="BZ2" s="12">
        <f>Sales[[#This Row],[UpprFn]]*Lookups!$B$87</f>
        <v>0</v>
      </c>
      <c r="CA2" s="12">
        <f>Sales[[#This Row],[AddFn]]*Lookups!$B$88</f>
        <v>0</v>
      </c>
      <c r="CB2" s="12">
        <f>Sales[[#This Row],[Bsmt]]*Lookups!$B$89</f>
        <v>0</v>
      </c>
      <c r="CC2" s="12">
        <f>Sales[[#This Row],[Fixtures]]*Lookups!$B$90</f>
        <v>30336.176841600001</v>
      </c>
      <c r="CD2" s="12">
        <f>Sales[[#This Row],[WdDeck]]*Lookups!$B$91</f>
        <v>0</v>
      </c>
      <c r="CE2" s="12">
        <f>SUM(Sales[[#This Row],[Days Prior Total]:[Mdl WdDeck]])</f>
        <v>475032.2598584232</v>
      </c>
      <c r="CF2" s="12">
        <f>ROUND(Sales[[#This Row],[25Det]],-2)</f>
        <v>0</v>
      </c>
      <c r="CG2" s="12">
        <f>ROUND(SUM(Sales[[#This Row],[Mdl Qlty]:[Mdl WdDeck]])+Sales[[#This Row],[Mdl Res Intercept]]+Sales[[#This Row],[Days Prior Total]],-2)</f>
        <v>449800</v>
      </c>
      <c r="CH2" s="12">
        <f>ROUND(Sales[[#This Row],[Mdl Land Intercept]]+Sales[[#This Row],[Mdl LnAcres]],-2)</f>
        <v>25300</v>
      </c>
      <c r="CI2" s="12">
        <f>Sales[[#This Row],[Unadj Res Value]]+Sales[[#This Row],[Unadj Det Value]]+Sales[[#This Row],[Unadj Land Value]]</f>
        <v>475100</v>
      </c>
      <c r="CJ2" s="13">
        <f>Sales[[#This Row],[Unadj Total Value]]/Sales[[#This Row],[Price]]</f>
        <v>1.6105084745762712</v>
      </c>
      <c r="CK2" s="13">
        <f>(Sales[[#This Row],[Unadj Total Value]]-Sales[[#This Row],[24Final]])/Sales[[#This Row],[24Final]]</f>
        <v>0.42544254425442546</v>
      </c>
      <c r="CL2">
        <f>VLOOKUP(Sales[[#This Row],[TNbhd]],Lookups!$Q$2:$T$4,4,FALSE)</f>
        <v>0.99970000000000003</v>
      </c>
      <c r="CM2">
        <f>VLOOKUP(Sales[[#This Row],[Qlty]],Lookups!$O$7:$R$21,4,FALSE)</f>
        <v>1.0067999999999999</v>
      </c>
      <c r="CN2">
        <f>VLOOKUP(Sales[[#This Row],[Cnd]],Lookups!$T$7:$W$16,4,FALSE)</f>
        <v>1.1303000000000001</v>
      </c>
      <c r="CO2">
        <f>VLOOKUP(Sales[[#This Row],[LivArea Range]],Lookups!$T$25:$W$37,4,FALSE)</f>
        <v>1.0157</v>
      </c>
      <c r="CP2">
        <f>VLOOKUP(Sales[[#This Row],[Decade]],Lookups!$O$25:$R$42,4,FALSE)</f>
        <v>1</v>
      </c>
      <c r="CQ2">
        <f>Sales[[#This Row],[Nbhd Adj]]*0.95</f>
        <v>0.94971499999999998</v>
      </c>
      <c r="CR2">
        <f>Sales[[#This Row],[Nbhd Adj]]*Sales[[#This Row],[Quality Adj]]*Sales[[#This Row],[Condition Adj]]*Sales[[#This Row],[Living Area Adj]]*Sales[[#This Row],[Decade Adj]]*0.95</f>
        <v>1.0977303818466639</v>
      </c>
      <c r="CS2">
        <f>ROUND(SUM(Sales[[#This Row],[Mdl Qlty]:[Mdl WdDeck]])+Sales[[#This Row],[Mdl Res Intercept]]*Sales[[#This Row],[Res Adj ]],-2)</f>
        <v>469400</v>
      </c>
      <c r="CT2">
        <f>ROUND(Sales[[#This Row],[25Det]]*Sales[[#This Row],[Det/Nbhd Adj]],-2)</f>
        <v>0</v>
      </c>
      <c r="CU2">
        <f>Sales[[#This Row],[Adjusted Res]]+Sales[[#This Row],[Adj Det ]]</f>
        <v>469400</v>
      </c>
      <c r="CV2">
        <f>ROUND((Sales[[#This Row],[Mdl Land Intercept]]+Sales[[#This Row],[Mdl LnAcres]])*Sales[[#This Row],[Det/Nbhd Adj]],-2)</f>
        <v>24000</v>
      </c>
      <c r="CW2">
        <f>Sales[[#This Row],[Adjusted Impr Total]]+Sales[[#This Row],[Adjusted Land Total]]</f>
        <v>493400</v>
      </c>
      <c r="CX2" s="15">
        <f>IFERROR((Sales[[#This Row],[Adjusted Impr Total]]-Sales[[#This Row],[24Bldg]])/Sales[[#This Row],[24Bldg]],0)</f>
        <v>0.61917902725077612</v>
      </c>
      <c r="CY2" s="15">
        <f>(Sales[[#This Row],[Adjusted Land Total]]-Sales[[#This Row],[24Lnd]])/Sales[[#This Row],[24Lnd]]</f>
        <v>-0.44700460829493088</v>
      </c>
      <c r="CZ2" s="15">
        <f>(Sales[[#This Row],[Adjusted Total]]-Sales[[#This Row],[24Final]])/Sales[[#This Row],[24Final]]</f>
        <v>0.48034803480348037</v>
      </c>
      <c r="DA2" s="15">
        <f>(Sales[[#This Row],[Adjusted Total]]+Sales[[#This Row],[Days Prior Total]])/Sales[[#This Row],[Price]]</f>
        <v>1.6060502418764069</v>
      </c>
    </row>
    <row r="3" spans="1:105" x14ac:dyDescent="0.3">
      <c r="A3">
        <v>2025</v>
      </c>
      <c r="B3">
        <v>18132244421</v>
      </c>
      <c r="C3">
        <v>-1.7147984280919266</v>
      </c>
      <c r="D3">
        <v>0.18</v>
      </c>
      <c r="E3">
        <v>7800</v>
      </c>
      <c r="F3">
        <v>6</v>
      </c>
      <c r="G3" t="s">
        <v>126</v>
      </c>
      <c r="H3">
        <v>3092</v>
      </c>
      <c r="I3" t="s">
        <v>349</v>
      </c>
      <c r="J3" t="s">
        <v>30</v>
      </c>
      <c r="K3">
        <v>11</v>
      </c>
      <c r="L3">
        <v>259</v>
      </c>
      <c r="M3" t="s">
        <v>173</v>
      </c>
      <c r="N3" t="s">
        <v>148</v>
      </c>
      <c r="O3" t="s">
        <v>96</v>
      </c>
      <c r="P3">
        <v>10</v>
      </c>
      <c r="Q3">
        <v>2019</v>
      </c>
      <c r="R3">
        <v>2019</v>
      </c>
      <c r="S3">
        <v>5</v>
      </c>
      <c r="T3">
        <v>5</v>
      </c>
      <c r="U3">
        <v>2</v>
      </c>
      <c r="V3">
        <v>1544</v>
      </c>
      <c r="W3">
        <v>304</v>
      </c>
      <c r="X3">
        <v>0</v>
      </c>
      <c r="Y3">
        <v>512</v>
      </c>
      <c r="Z3">
        <v>0</v>
      </c>
      <c r="AA3">
        <v>512</v>
      </c>
      <c r="AB3">
        <v>2360</v>
      </c>
      <c r="AC3">
        <v>2500</v>
      </c>
      <c r="AD3">
        <v>0</v>
      </c>
      <c r="AF3" t="s">
        <v>383</v>
      </c>
      <c r="AG3" t="s">
        <v>148</v>
      </c>
      <c r="AH3" t="s">
        <v>450</v>
      </c>
      <c r="AI3">
        <v>0</v>
      </c>
      <c r="AJ3">
        <v>0</v>
      </c>
      <c r="AK3">
        <v>1</v>
      </c>
      <c r="AL3">
        <v>0</v>
      </c>
      <c r="AM3">
        <v>1</v>
      </c>
      <c r="AN3">
        <v>12</v>
      </c>
      <c r="AO3">
        <v>0</v>
      </c>
      <c r="AP3">
        <v>0</v>
      </c>
      <c r="AQ3">
        <v>0</v>
      </c>
      <c r="AR3">
        <v>0</v>
      </c>
      <c r="AS3">
        <v>289</v>
      </c>
      <c r="AT3">
        <v>289</v>
      </c>
      <c r="AU3">
        <v>100</v>
      </c>
      <c r="AV3">
        <v>100</v>
      </c>
      <c r="AW3">
        <v>407755</v>
      </c>
      <c r="AX3">
        <v>399600</v>
      </c>
      <c r="AY3">
        <v>935</v>
      </c>
      <c r="AZ3">
        <v>365</v>
      </c>
      <c r="BA3">
        <v>365</v>
      </c>
      <c r="BB3">
        <v>205</v>
      </c>
      <c r="BC3" s="3">
        <v>44357</v>
      </c>
      <c r="BD3" t="s">
        <v>446</v>
      </c>
      <c r="BE3">
        <v>550000</v>
      </c>
      <c r="BF3">
        <v>539917</v>
      </c>
      <c r="BG3" t="s">
        <v>294</v>
      </c>
      <c r="BH3">
        <v>30</v>
      </c>
      <c r="BI3" t="s">
        <v>65</v>
      </c>
      <c r="BJ3" t="s">
        <v>450</v>
      </c>
      <c r="BK3">
        <v>442300</v>
      </c>
      <c r="BL3">
        <v>54700</v>
      </c>
      <c r="BM3">
        <v>387600</v>
      </c>
      <c r="BN3">
        <v>10083</v>
      </c>
      <c r="BO3">
        <v>0.80418181818181822</v>
      </c>
      <c r="BP3">
        <v>533966.46176708944</v>
      </c>
      <c r="BQ3">
        <v>582941.79699986672</v>
      </c>
      <c r="BR3" s="12">
        <f>(Sales[[#This Row],[DP1]]*Lookups!$B$59)+(Sales[[#This Row],[DP2]]*Lookups!$B$60)+(Sales[[#This Row],[DP3]]*Lookups!$B$61)</f>
        <v>-48975.335239570006</v>
      </c>
      <c r="BS3" s="12">
        <f>Lookups!$B$56*0</f>
        <v>0</v>
      </c>
      <c r="BT3" s="12">
        <f>Lookups!$B$56*1</f>
        <v>89850.625589999996</v>
      </c>
      <c r="BU3" s="12">
        <f>Lookups!$B$57*Sales[[#This Row],[LnAcres]]</f>
        <v>-54281.285314520763</v>
      </c>
      <c r="BV3" s="12">
        <f>VLOOKUP(Sales[[#This Row],[Qlty]],Lookups!$A$62:$E$75,2,FALSE)</f>
        <v>44121.038090000002</v>
      </c>
      <c r="BW3" s="12">
        <f>VLOOKUP(Sales[[#This Row],[Cnd]],Lookups!$A$76:$E$84,2,FALSE)</f>
        <v>354070.39217000001</v>
      </c>
      <c r="BX3" s="12">
        <f>Sales[[#This Row],[EffAge]]*Lookups!$B$85</f>
        <v>-1115.2280025</v>
      </c>
      <c r="BY3" s="12">
        <f>Sales[[#This Row],[MainFn]]*Lookups!$B$86</f>
        <v>76286.986290087996</v>
      </c>
      <c r="BZ3" s="12">
        <f>Sales[[#This Row],[UpprFn]]*Lookups!$B$87</f>
        <v>13615.072549744</v>
      </c>
      <c r="CA3" s="12">
        <f>Sales[[#This Row],[AddFn]]*Lookups!$B$88</f>
        <v>0</v>
      </c>
      <c r="CB3" s="12">
        <f>Sales[[#This Row],[Bsmt]]*Lookups!$B$89</f>
        <v>14889.930366463999</v>
      </c>
      <c r="CC3" s="12">
        <f>Sales[[#This Row],[Fixtures]]*Lookups!$B$90</f>
        <v>45504.265262400004</v>
      </c>
      <c r="CD3" s="12">
        <f>Sales[[#This Row],[WdDeck]]*Lookups!$B$91</f>
        <v>0</v>
      </c>
      <c r="CE3" s="12">
        <f>SUM(Sales[[#This Row],[Days Prior Total]:[Mdl WdDeck]])</f>
        <v>533966.46176210523</v>
      </c>
      <c r="CF3" s="12">
        <f>ROUND(Sales[[#This Row],[25Det]],-2)</f>
        <v>10100</v>
      </c>
      <c r="CG3" s="12">
        <f>ROUND(SUM(Sales[[#This Row],[Mdl Qlty]:[Mdl WdDeck]])+Sales[[#This Row],[Mdl Res Intercept]]+Sales[[#This Row],[Days Prior Total]],-2)</f>
        <v>498400</v>
      </c>
      <c r="CH3" s="12">
        <f>ROUND(Sales[[#This Row],[Mdl Land Intercept]]+Sales[[#This Row],[Mdl LnAcres]],-2)</f>
        <v>35600</v>
      </c>
      <c r="CI3" s="12">
        <f>Sales[[#This Row],[Unadj Res Value]]+Sales[[#This Row],[Unadj Det Value]]+Sales[[#This Row],[Unadj Land Value]]</f>
        <v>544100</v>
      </c>
      <c r="CJ3" s="13">
        <f>Sales[[#This Row],[Unadj Total Value]]/Sales[[#This Row],[Price]]</f>
        <v>0.9892727272727273</v>
      </c>
      <c r="CK3" s="13">
        <f>(Sales[[#This Row],[Unadj Total Value]]-Sales[[#This Row],[24Final]])/Sales[[#This Row],[24Final]]</f>
        <v>0.23016052453086142</v>
      </c>
      <c r="CL3">
        <f>VLOOKUP(Sales[[#This Row],[TNbhd]],Lookups!$Q$2:$T$4,4,FALSE)</f>
        <v>0.99970000000000003</v>
      </c>
      <c r="CM3">
        <f>VLOOKUP(Sales[[#This Row],[Qlty]],Lookups!$O$7:$R$21,4,FALSE)</f>
        <v>0.98050000000000004</v>
      </c>
      <c r="CN3">
        <f>VLOOKUP(Sales[[#This Row],[Cnd]],Lookups!$T$7:$W$16,4,FALSE)</f>
        <v>1.1303000000000001</v>
      </c>
      <c r="CO3">
        <f>VLOOKUP(Sales[[#This Row],[LivArea Range]],Lookups!$T$25:$W$37,4,FALSE)</f>
        <v>0.98919999999999997</v>
      </c>
      <c r="CP3">
        <f>VLOOKUP(Sales[[#This Row],[Decade]],Lookups!$O$25:$R$42,4,FALSE)</f>
        <v>1</v>
      </c>
      <c r="CQ3">
        <f>Sales[[#This Row],[Nbhd Adj]]*0.95</f>
        <v>0.94971499999999998</v>
      </c>
      <c r="CR3">
        <f>Sales[[#This Row],[Nbhd Adj]]*Sales[[#This Row],[Quality Adj]]*Sales[[#This Row],[Condition Adj]]*Sales[[#This Row],[Living Area Adj]]*Sales[[#This Row],[Decade Adj]]*0.95</f>
        <v>1.0411630109849137</v>
      </c>
      <c r="CS3">
        <f>ROUND(SUM(Sales[[#This Row],[Mdl Qlty]:[Mdl WdDeck]])+Sales[[#This Row],[Mdl Res Intercept]]*Sales[[#This Row],[Res Adj ]],-2)</f>
        <v>547400</v>
      </c>
      <c r="CT3">
        <f>ROUND(Sales[[#This Row],[25Det]]*Sales[[#This Row],[Det/Nbhd Adj]],-2)</f>
        <v>9600</v>
      </c>
      <c r="CU3">
        <f>Sales[[#This Row],[Adjusted Res]]+Sales[[#This Row],[Adj Det ]]</f>
        <v>557000</v>
      </c>
      <c r="CV3">
        <f>ROUND((Sales[[#This Row],[Mdl Land Intercept]]+Sales[[#This Row],[Mdl LnAcres]])*Sales[[#This Row],[Det/Nbhd Adj]],-2)</f>
        <v>33800</v>
      </c>
      <c r="CW3">
        <f>Sales[[#This Row],[Adjusted Impr Total]]+Sales[[#This Row],[Adjusted Land Total]]</f>
        <v>590800</v>
      </c>
      <c r="CX3" s="15">
        <f>IFERROR((Sales[[#This Row],[Adjusted Impr Total]]-Sales[[#This Row],[24Bldg]])/Sales[[#This Row],[24Bldg]],0)</f>
        <v>0.43704850361197112</v>
      </c>
      <c r="CY3" s="15">
        <f>(Sales[[#This Row],[Adjusted Land Total]]-Sales[[#This Row],[24Lnd]])/Sales[[#This Row],[24Lnd]]</f>
        <v>-0.38208409506398539</v>
      </c>
      <c r="CZ3" s="15">
        <f>(Sales[[#This Row],[Adjusted Total]]-Sales[[#This Row],[24Final]])/Sales[[#This Row],[24Final]]</f>
        <v>0.33574496947773003</v>
      </c>
      <c r="DA3" s="15">
        <f>(Sales[[#This Row],[Adjusted Total]]+Sales[[#This Row],[Days Prior Total]])/Sales[[#This Row],[Price]]</f>
        <v>0.98513575410987275</v>
      </c>
    </row>
    <row r="4" spans="1:105" x14ac:dyDescent="0.3">
      <c r="A4">
        <v>2025</v>
      </c>
      <c r="B4">
        <v>18131544476</v>
      </c>
      <c r="C4">
        <v>-3.912023005428146</v>
      </c>
      <c r="D4">
        <v>0.02</v>
      </c>
      <c r="E4">
        <v>1015</v>
      </c>
      <c r="F4">
        <v>6</v>
      </c>
      <c r="G4" t="s">
        <v>28</v>
      </c>
      <c r="H4">
        <v>3032</v>
      </c>
      <c r="I4" t="s">
        <v>349</v>
      </c>
      <c r="J4" t="s">
        <v>268</v>
      </c>
      <c r="K4">
        <v>11</v>
      </c>
      <c r="L4">
        <v>262</v>
      </c>
      <c r="M4" t="s">
        <v>381</v>
      </c>
      <c r="N4" t="s">
        <v>302</v>
      </c>
      <c r="O4" t="s">
        <v>303</v>
      </c>
      <c r="P4">
        <v>30</v>
      </c>
      <c r="Q4">
        <v>2001</v>
      </c>
      <c r="R4">
        <v>2001</v>
      </c>
      <c r="S4">
        <v>23</v>
      </c>
      <c r="T4">
        <v>23</v>
      </c>
      <c r="U4">
        <v>2</v>
      </c>
      <c r="V4">
        <v>581</v>
      </c>
      <c r="W4">
        <v>810</v>
      </c>
      <c r="X4">
        <v>0</v>
      </c>
      <c r="Y4">
        <v>0</v>
      </c>
      <c r="Z4">
        <v>0</v>
      </c>
      <c r="AA4">
        <v>0</v>
      </c>
      <c r="AB4">
        <v>1391</v>
      </c>
      <c r="AC4">
        <v>1500</v>
      </c>
      <c r="AD4">
        <v>2</v>
      </c>
      <c r="AF4" t="s">
        <v>383</v>
      </c>
      <c r="AG4" t="s">
        <v>148</v>
      </c>
      <c r="AH4" t="s">
        <v>450</v>
      </c>
      <c r="AI4">
        <v>0</v>
      </c>
      <c r="AJ4">
        <v>0</v>
      </c>
      <c r="AK4">
        <v>0</v>
      </c>
      <c r="AL4">
        <v>1</v>
      </c>
      <c r="AM4">
        <v>1</v>
      </c>
      <c r="AN4">
        <v>10</v>
      </c>
      <c r="AO4">
        <v>0</v>
      </c>
      <c r="AP4">
        <v>434</v>
      </c>
      <c r="AQ4">
        <v>0</v>
      </c>
      <c r="AR4">
        <v>0</v>
      </c>
      <c r="AS4">
        <v>0</v>
      </c>
      <c r="AT4">
        <v>0</v>
      </c>
      <c r="AU4">
        <v>100</v>
      </c>
      <c r="AV4">
        <v>100</v>
      </c>
      <c r="AW4">
        <v>190155</v>
      </c>
      <c r="AX4">
        <v>176844</v>
      </c>
      <c r="AY4">
        <v>777</v>
      </c>
      <c r="AZ4">
        <v>365</v>
      </c>
      <c r="BA4">
        <v>365</v>
      </c>
      <c r="BB4">
        <v>47</v>
      </c>
      <c r="BC4" s="3">
        <v>44515</v>
      </c>
      <c r="BD4" t="s">
        <v>314</v>
      </c>
      <c r="BE4">
        <v>269000</v>
      </c>
      <c r="BF4">
        <v>269000</v>
      </c>
      <c r="BG4" t="s">
        <v>294</v>
      </c>
      <c r="BH4">
        <v>30</v>
      </c>
      <c r="BI4" t="s">
        <v>65</v>
      </c>
      <c r="BJ4" t="s">
        <v>450</v>
      </c>
      <c r="BK4">
        <v>275600</v>
      </c>
      <c r="BL4">
        <v>41300</v>
      </c>
      <c r="BM4">
        <v>234300</v>
      </c>
      <c r="BN4">
        <v>0</v>
      </c>
      <c r="BO4">
        <v>1.02453531598513</v>
      </c>
      <c r="BP4">
        <v>263509.78831254382</v>
      </c>
      <c r="BQ4">
        <v>291357.09291109635</v>
      </c>
      <c r="BR4" s="12">
        <f>(Sales[[#This Row],[DP1]]*Lookups!$B$59)+(Sales[[#This Row],[DP2]]*Lookups!$B$60)+(Sales[[#This Row],[DP3]]*Lookups!$B$61)</f>
        <v>-27847.304601370004</v>
      </c>
      <c r="BS4" s="12">
        <f>Lookups!$B$56*0</f>
        <v>0</v>
      </c>
      <c r="BT4" s="12">
        <f>Lookups!$B$56*1</f>
        <v>89850.625589999996</v>
      </c>
      <c r="BU4" s="12">
        <f>Lookups!$B$57*Sales[[#This Row],[LnAcres]]</f>
        <v>-123833.58500677992</v>
      </c>
      <c r="BV4" s="12">
        <f>VLOOKUP(Sales[[#This Row],[Qlty]],Lookups!$A$62:$E$75,2,FALSE)</f>
        <v>29814.093161000001</v>
      </c>
      <c r="BW4" s="12">
        <f>VLOOKUP(Sales[[#This Row],[Cnd]],Lookups!$A$76:$E$84,2,FALSE)</f>
        <v>197752.34721000001</v>
      </c>
      <c r="BX4" s="12">
        <f>Sales[[#This Row],[EffAge]]*Lookups!$B$85</f>
        <v>-5130.0488114999998</v>
      </c>
      <c r="BY4" s="12">
        <f>Sales[[#This Row],[MainFn]]*Lookups!$B$86</f>
        <v>28706.437198537002</v>
      </c>
      <c r="BZ4" s="12">
        <f>Sales[[#This Row],[UpprFn]]*Lookups!$B$87</f>
        <v>36277.002517410001</v>
      </c>
      <c r="CA4" s="12">
        <f>Sales[[#This Row],[AddFn]]*Lookups!$B$88</f>
        <v>0</v>
      </c>
      <c r="CB4" s="12">
        <f>Sales[[#This Row],[Bsmt]]*Lookups!$B$89</f>
        <v>0</v>
      </c>
      <c r="CC4" s="12">
        <f>Sales[[#This Row],[Fixtures]]*Lookups!$B$90</f>
        <v>37920.221052000001</v>
      </c>
      <c r="CD4" s="12">
        <f>Sales[[#This Row],[WdDeck]]*Lookups!$B$91</f>
        <v>0</v>
      </c>
      <c r="CE4" s="12">
        <f>SUM(Sales[[#This Row],[Days Prior Total]:[Mdl WdDeck]])</f>
        <v>263509.78830929706</v>
      </c>
      <c r="CF4" s="12">
        <f>ROUND(Sales[[#This Row],[25Det]],-2)</f>
        <v>0</v>
      </c>
      <c r="CG4" s="12">
        <f>ROUND(SUM(Sales[[#This Row],[Mdl Qlty]:[Mdl WdDeck]])+Sales[[#This Row],[Mdl Res Intercept]]+Sales[[#This Row],[Days Prior Total]],-2)</f>
        <v>297500</v>
      </c>
      <c r="CH4" s="12">
        <f>ROUND(Sales[[#This Row],[Mdl Land Intercept]]+Sales[[#This Row],[Mdl LnAcres]],-2)</f>
        <v>-34000</v>
      </c>
      <c r="CI4" s="12">
        <f>Sales[[#This Row],[Unadj Res Value]]+Sales[[#This Row],[Unadj Det Value]]+Sales[[#This Row],[Unadj Land Value]]</f>
        <v>263500</v>
      </c>
      <c r="CJ4" s="13">
        <f>Sales[[#This Row],[Unadj Total Value]]/Sales[[#This Row],[Price]]</f>
        <v>0.9795539033457249</v>
      </c>
      <c r="CK4" s="13">
        <f>(Sales[[#This Row],[Unadj Total Value]]-Sales[[#This Row],[24Final]])/Sales[[#This Row],[24Final]]</f>
        <v>-4.3904208998548619E-2</v>
      </c>
      <c r="CL4">
        <f>VLOOKUP(Sales[[#This Row],[TNbhd]],Lookups!$Q$2:$T$4,4,FALSE)</f>
        <v>0.99970000000000003</v>
      </c>
      <c r="CM4">
        <f>VLOOKUP(Sales[[#This Row],[Qlty]],Lookups!$O$7:$R$21,4,FALSE)</f>
        <v>1.0088999999999999</v>
      </c>
      <c r="CN4">
        <f>VLOOKUP(Sales[[#This Row],[Cnd]],Lookups!$T$7:$W$16,4,FALSE)</f>
        <v>0.99650000000000005</v>
      </c>
      <c r="CO4">
        <f>VLOOKUP(Sales[[#This Row],[LivArea Range]],Lookups!$T$25:$W$37,4,FALSE)</f>
        <v>1.0157</v>
      </c>
      <c r="CP4">
        <f>VLOOKUP(Sales[[#This Row],[Decade]],Lookups!$O$25:$R$42,4,FALSE)</f>
        <v>0.97319999999999995</v>
      </c>
      <c r="CQ4">
        <f>Sales[[#This Row],[Nbhd Adj]]*0.95</f>
        <v>0.94971499999999998</v>
      </c>
      <c r="CR4">
        <f>Sales[[#This Row],[Nbhd Adj]]*Sales[[#This Row],[Quality Adj]]*Sales[[#This Row],[Condition Adj]]*Sales[[#This Row],[Living Area Adj]]*Sales[[#This Row],[Decade Adj]]*0.95</f>
        <v>0.94381369585181141</v>
      </c>
      <c r="CS4">
        <f>ROUND(SUM(Sales[[#This Row],[Mdl Qlty]:[Mdl WdDeck]])+Sales[[#This Row],[Mdl Res Intercept]]*Sales[[#This Row],[Res Adj ]],-2)</f>
        <v>325300</v>
      </c>
      <c r="CT4">
        <f>ROUND(Sales[[#This Row],[25Det]]*Sales[[#This Row],[Det/Nbhd Adj]],-2)</f>
        <v>0</v>
      </c>
      <c r="CU4">
        <f>Sales[[#This Row],[Adjusted Res]]+Sales[[#This Row],[Adj Det ]]</f>
        <v>325300</v>
      </c>
      <c r="CV4">
        <f>ROUND((Sales[[#This Row],[Mdl Land Intercept]]+Sales[[#This Row],[Mdl LnAcres]])*Sales[[#This Row],[Det/Nbhd Adj]],-2)</f>
        <v>-32300</v>
      </c>
      <c r="CW4">
        <f>Sales[[#This Row],[Adjusted Impr Total]]+Sales[[#This Row],[Adjusted Land Total]]</f>
        <v>293000</v>
      </c>
      <c r="CX4" s="15">
        <f>IFERROR((Sales[[#This Row],[Adjusted Impr Total]]-Sales[[#This Row],[24Bldg]])/Sales[[#This Row],[24Bldg]],0)</f>
        <v>0.38839095177123345</v>
      </c>
      <c r="CY4" s="15">
        <f>(Sales[[#This Row],[Adjusted Land Total]]-Sales[[#This Row],[24Lnd]])/Sales[[#This Row],[24Lnd]]</f>
        <v>-1.7820823244552058</v>
      </c>
      <c r="CZ4" s="15">
        <f>(Sales[[#This Row],[Adjusted Total]]-Sales[[#This Row],[24Final]])/Sales[[#This Row],[24Final]]</f>
        <v>6.3134978229317851E-2</v>
      </c>
      <c r="DA4" s="15">
        <f>(Sales[[#This Row],[Adjusted Total]]+Sales[[#This Row],[Days Prior Total]])/Sales[[#This Row],[Price]]</f>
        <v>0.98569775241126389</v>
      </c>
    </row>
    <row r="5" spans="1:105" x14ac:dyDescent="0.3">
      <c r="A5">
        <v>2025</v>
      </c>
      <c r="B5">
        <v>18131543430</v>
      </c>
      <c r="C5">
        <v>-3.2188758248682006</v>
      </c>
      <c r="D5">
        <v>0.04</v>
      </c>
      <c r="E5">
        <v>1460</v>
      </c>
      <c r="F5">
        <v>6</v>
      </c>
      <c r="G5" t="s">
        <v>28</v>
      </c>
      <c r="H5">
        <v>3032</v>
      </c>
      <c r="I5" t="s">
        <v>349</v>
      </c>
      <c r="J5" t="s">
        <v>268</v>
      </c>
      <c r="K5">
        <v>11</v>
      </c>
      <c r="L5">
        <v>262</v>
      </c>
      <c r="M5" t="s">
        <v>381</v>
      </c>
      <c r="N5" t="s">
        <v>302</v>
      </c>
      <c r="O5" t="s">
        <v>303</v>
      </c>
      <c r="P5">
        <v>30</v>
      </c>
      <c r="Q5">
        <v>1995</v>
      </c>
      <c r="R5">
        <v>1995</v>
      </c>
      <c r="S5">
        <v>29</v>
      </c>
      <c r="T5">
        <v>29</v>
      </c>
      <c r="U5">
        <v>1</v>
      </c>
      <c r="V5">
        <v>1460</v>
      </c>
      <c r="W5">
        <v>0</v>
      </c>
      <c r="X5">
        <v>0</v>
      </c>
      <c r="Y5">
        <v>0</v>
      </c>
      <c r="Z5">
        <v>0</v>
      </c>
      <c r="AA5">
        <v>0</v>
      </c>
      <c r="AB5">
        <v>1460</v>
      </c>
      <c r="AC5">
        <v>1500</v>
      </c>
      <c r="AD5">
        <v>0</v>
      </c>
      <c r="AF5" t="s">
        <v>383</v>
      </c>
      <c r="AG5" t="s">
        <v>382</v>
      </c>
      <c r="AH5" t="s">
        <v>450</v>
      </c>
      <c r="AI5">
        <v>0</v>
      </c>
      <c r="AJ5">
        <v>1</v>
      </c>
      <c r="AK5">
        <v>0</v>
      </c>
      <c r="AL5">
        <v>0</v>
      </c>
      <c r="AM5">
        <v>0</v>
      </c>
      <c r="AN5">
        <v>10</v>
      </c>
      <c r="AO5">
        <v>0</v>
      </c>
      <c r="AP5">
        <v>0</v>
      </c>
      <c r="AQ5">
        <v>0</v>
      </c>
      <c r="AR5">
        <v>0</v>
      </c>
      <c r="AS5">
        <v>185</v>
      </c>
      <c r="AT5">
        <v>0</v>
      </c>
      <c r="AU5">
        <v>100</v>
      </c>
      <c r="AV5">
        <v>100</v>
      </c>
      <c r="AW5">
        <v>246360</v>
      </c>
      <c r="AX5">
        <v>221724</v>
      </c>
      <c r="AY5">
        <v>160</v>
      </c>
      <c r="AZ5">
        <v>160</v>
      </c>
      <c r="BA5">
        <v>0</v>
      </c>
      <c r="BB5">
        <v>0</v>
      </c>
      <c r="BC5" s="3">
        <v>45132</v>
      </c>
      <c r="BD5" t="s">
        <v>287</v>
      </c>
      <c r="BE5">
        <v>325000</v>
      </c>
      <c r="BF5">
        <v>303432</v>
      </c>
      <c r="BG5" t="s">
        <v>294</v>
      </c>
      <c r="BH5">
        <v>30</v>
      </c>
      <c r="BI5" t="s">
        <v>65</v>
      </c>
      <c r="BJ5" t="s">
        <v>450</v>
      </c>
      <c r="BK5">
        <v>285400</v>
      </c>
      <c r="BL5">
        <v>42800</v>
      </c>
      <c r="BM5">
        <v>242600</v>
      </c>
      <c r="BN5">
        <v>21568</v>
      </c>
      <c r="BO5">
        <v>0.87815384615384617</v>
      </c>
      <c r="BP5">
        <v>307824.03381450876</v>
      </c>
      <c r="BQ5">
        <v>319113.34526503301</v>
      </c>
      <c r="BR5" s="12">
        <f>(Sales[[#This Row],[DP1]]*Lookups!$B$59)+(Sales[[#This Row],[DP2]]*Lookups!$B$60)+(Sales[[#This Row],[DP3]]*Lookups!$B$61)</f>
        <v>-11289.311451200001</v>
      </c>
      <c r="BS5" s="12">
        <f>Lookups!$B$56*0</f>
        <v>0</v>
      </c>
      <c r="BT5" s="12">
        <f>Lookups!$B$56*1</f>
        <v>89850.625589999996</v>
      </c>
      <c r="BU5" s="12">
        <f>Lookups!$B$57*Sales[[#This Row],[LnAcres]]</f>
        <v>-101892.2773541973</v>
      </c>
      <c r="BV5" s="12">
        <f>VLOOKUP(Sales[[#This Row],[Qlty]],Lookups!$A$62:$E$75,2,FALSE)</f>
        <v>29814.093161000001</v>
      </c>
      <c r="BW5" s="12">
        <f>VLOOKUP(Sales[[#This Row],[Cnd]],Lookups!$A$76:$E$84,2,FALSE)</f>
        <v>197752.34721000001</v>
      </c>
      <c r="BX5" s="12">
        <f>Sales[[#This Row],[EffAge]]*Lookups!$B$85</f>
        <v>-6468.3224145000004</v>
      </c>
      <c r="BY5" s="12">
        <f>Sales[[#This Row],[MainFn]]*Lookups!$B$86</f>
        <v>72136.65802042</v>
      </c>
      <c r="BZ5" s="12">
        <f>Sales[[#This Row],[UpprFn]]*Lookups!$B$87</f>
        <v>0</v>
      </c>
      <c r="CA5" s="12">
        <f>Sales[[#This Row],[AddFn]]*Lookups!$B$88</f>
        <v>0</v>
      </c>
      <c r="CB5" s="12">
        <f>Sales[[#This Row],[Bsmt]]*Lookups!$B$89</f>
        <v>0</v>
      </c>
      <c r="CC5" s="12">
        <f>Sales[[#This Row],[Fixtures]]*Lookups!$B$90</f>
        <v>37920.221052000001</v>
      </c>
      <c r="CD5" s="12">
        <f>Sales[[#This Row],[WdDeck]]*Lookups!$B$91</f>
        <v>0</v>
      </c>
      <c r="CE5" s="12">
        <f>SUM(Sales[[#This Row],[Days Prior Total]:[Mdl WdDeck]])</f>
        <v>307824.03381352272</v>
      </c>
      <c r="CF5" s="12">
        <f>ROUND(Sales[[#This Row],[25Det]],-2)</f>
        <v>21600</v>
      </c>
      <c r="CG5" s="12">
        <f>ROUND(SUM(Sales[[#This Row],[Mdl Qlty]:[Mdl WdDeck]])+Sales[[#This Row],[Mdl Res Intercept]]+Sales[[#This Row],[Days Prior Total]],-2)</f>
        <v>319900</v>
      </c>
      <c r="CH5" s="12">
        <f>ROUND(Sales[[#This Row],[Mdl Land Intercept]]+Sales[[#This Row],[Mdl LnAcres]],-2)</f>
        <v>-12000</v>
      </c>
      <c r="CI5" s="12">
        <f>Sales[[#This Row],[Unadj Res Value]]+Sales[[#This Row],[Unadj Det Value]]+Sales[[#This Row],[Unadj Land Value]]</f>
        <v>329500</v>
      </c>
      <c r="CJ5" s="13">
        <f>Sales[[#This Row],[Unadj Total Value]]/Sales[[#This Row],[Price]]</f>
        <v>1.0138461538461538</v>
      </c>
      <c r="CK5" s="13">
        <f>(Sales[[#This Row],[Unadj Total Value]]-Sales[[#This Row],[24Final]])/Sales[[#This Row],[24Final]]</f>
        <v>0.15451997196916609</v>
      </c>
      <c r="CL5">
        <f>VLOOKUP(Sales[[#This Row],[TNbhd]],Lookups!$Q$2:$T$4,4,FALSE)</f>
        <v>0.99970000000000003</v>
      </c>
      <c r="CM5">
        <f>VLOOKUP(Sales[[#This Row],[Qlty]],Lookups!$O$7:$R$21,4,FALSE)</f>
        <v>1.0088999999999999</v>
      </c>
      <c r="CN5">
        <f>VLOOKUP(Sales[[#This Row],[Cnd]],Lookups!$T$7:$W$16,4,FALSE)</f>
        <v>0.99650000000000005</v>
      </c>
      <c r="CO5">
        <f>VLOOKUP(Sales[[#This Row],[LivArea Range]],Lookups!$T$25:$W$37,4,FALSE)</f>
        <v>1.0157</v>
      </c>
      <c r="CP5">
        <f>VLOOKUP(Sales[[#This Row],[Decade]],Lookups!$O$25:$R$42,4,FALSE)</f>
        <v>0.97319999999999995</v>
      </c>
      <c r="CQ5">
        <f>Sales[[#This Row],[Nbhd Adj]]*0.95</f>
        <v>0.94971499999999998</v>
      </c>
      <c r="CR5">
        <f>Sales[[#This Row],[Nbhd Adj]]*Sales[[#This Row],[Quality Adj]]*Sales[[#This Row],[Condition Adj]]*Sales[[#This Row],[Living Area Adj]]*Sales[[#This Row],[Decade Adj]]*0.95</f>
        <v>0.94381369585181141</v>
      </c>
      <c r="CS5">
        <f>ROUND(SUM(Sales[[#This Row],[Mdl Qlty]:[Mdl WdDeck]])+Sales[[#This Row],[Mdl Res Intercept]]*Sales[[#This Row],[Res Adj ]],-2)</f>
        <v>331200</v>
      </c>
      <c r="CT5">
        <f>ROUND(Sales[[#This Row],[25Det]]*Sales[[#This Row],[Det/Nbhd Adj]],-2)</f>
        <v>20500</v>
      </c>
      <c r="CU5">
        <f>Sales[[#This Row],[Adjusted Res]]+Sales[[#This Row],[Adj Det ]]</f>
        <v>351700</v>
      </c>
      <c r="CV5">
        <f>ROUND((Sales[[#This Row],[Mdl Land Intercept]]+Sales[[#This Row],[Mdl LnAcres]])*Sales[[#This Row],[Det/Nbhd Adj]],-2)</f>
        <v>-11400</v>
      </c>
      <c r="CW5">
        <f>Sales[[#This Row],[Adjusted Impr Total]]+Sales[[#This Row],[Adjusted Land Total]]</f>
        <v>340300</v>
      </c>
      <c r="CX5" s="15">
        <f>IFERROR((Sales[[#This Row],[Adjusted Impr Total]]-Sales[[#This Row],[24Bldg]])/Sales[[#This Row],[24Bldg]],0)</f>
        <v>0.44971145919208572</v>
      </c>
      <c r="CY5" s="15">
        <f>(Sales[[#This Row],[Adjusted Land Total]]-Sales[[#This Row],[24Lnd]])/Sales[[#This Row],[24Lnd]]</f>
        <v>-1.266355140186916</v>
      </c>
      <c r="CZ5" s="15">
        <f>(Sales[[#This Row],[Adjusted Total]]-Sales[[#This Row],[24Final]])/Sales[[#This Row],[24Final]]</f>
        <v>0.19236159775753328</v>
      </c>
      <c r="DA5" s="15">
        <f>(Sales[[#This Row],[Adjusted Total]]+Sales[[#This Row],[Days Prior Total]])/Sales[[#This Row],[Price]]</f>
        <v>1.0123405801501539</v>
      </c>
    </row>
    <row r="6" spans="1:105" x14ac:dyDescent="0.3">
      <c r="A6">
        <v>2025</v>
      </c>
      <c r="B6">
        <v>18131543441</v>
      </c>
      <c r="C6">
        <v>-3.5065578973199818</v>
      </c>
      <c r="D6">
        <v>0.03</v>
      </c>
      <c r="E6">
        <v>1464</v>
      </c>
      <c r="F6">
        <v>6</v>
      </c>
      <c r="G6" t="s">
        <v>28</v>
      </c>
      <c r="H6">
        <v>3032</v>
      </c>
      <c r="I6" t="s">
        <v>349</v>
      </c>
      <c r="J6" t="s">
        <v>268</v>
      </c>
      <c r="K6">
        <v>11</v>
      </c>
      <c r="L6">
        <v>262</v>
      </c>
      <c r="M6" t="s">
        <v>381</v>
      </c>
      <c r="N6" t="s">
        <v>351</v>
      </c>
      <c r="O6" t="s">
        <v>303</v>
      </c>
      <c r="P6">
        <v>30</v>
      </c>
      <c r="Q6">
        <v>1995</v>
      </c>
      <c r="R6">
        <v>1995</v>
      </c>
      <c r="S6">
        <v>29</v>
      </c>
      <c r="T6">
        <v>29</v>
      </c>
      <c r="U6">
        <v>1</v>
      </c>
      <c r="V6">
        <v>1464</v>
      </c>
      <c r="W6">
        <v>0</v>
      </c>
      <c r="X6">
        <v>0</v>
      </c>
      <c r="Y6">
        <v>0</v>
      </c>
      <c r="Z6">
        <v>0</v>
      </c>
      <c r="AA6">
        <v>0</v>
      </c>
      <c r="AB6">
        <v>1464</v>
      </c>
      <c r="AC6">
        <v>1500</v>
      </c>
      <c r="AD6">
        <v>0</v>
      </c>
      <c r="AF6" t="s">
        <v>208</v>
      </c>
      <c r="AG6" t="s">
        <v>148</v>
      </c>
      <c r="AI6">
        <v>0</v>
      </c>
      <c r="AJ6">
        <v>0</v>
      </c>
      <c r="AK6">
        <v>1</v>
      </c>
      <c r="AL6">
        <v>0</v>
      </c>
      <c r="AM6">
        <v>0</v>
      </c>
      <c r="AN6">
        <v>8</v>
      </c>
      <c r="AO6">
        <v>0</v>
      </c>
      <c r="AP6">
        <v>0</v>
      </c>
      <c r="AQ6">
        <v>0</v>
      </c>
      <c r="AR6">
        <v>0</v>
      </c>
      <c r="AS6">
        <v>308</v>
      </c>
      <c r="AT6">
        <v>0</v>
      </c>
      <c r="AU6">
        <v>100</v>
      </c>
      <c r="AV6">
        <v>100</v>
      </c>
      <c r="AW6">
        <v>179444</v>
      </c>
      <c r="AX6">
        <v>161500</v>
      </c>
      <c r="AY6">
        <v>658</v>
      </c>
      <c r="AZ6">
        <v>365</v>
      </c>
      <c r="BA6">
        <v>293</v>
      </c>
      <c r="BB6">
        <v>0</v>
      </c>
      <c r="BC6" s="3">
        <v>44634</v>
      </c>
      <c r="BD6" t="s">
        <v>44</v>
      </c>
      <c r="BE6">
        <v>280000</v>
      </c>
      <c r="BF6">
        <v>258432</v>
      </c>
      <c r="BG6" t="s">
        <v>294</v>
      </c>
      <c r="BH6">
        <v>30</v>
      </c>
      <c r="BI6" t="s">
        <v>65</v>
      </c>
      <c r="BJ6" t="s">
        <v>450</v>
      </c>
      <c r="BK6">
        <v>284300</v>
      </c>
      <c r="BL6">
        <v>42600</v>
      </c>
      <c r="BM6">
        <v>241700</v>
      </c>
      <c r="BN6">
        <v>21568</v>
      </c>
      <c r="BO6">
        <v>1.0153571428571428</v>
      </c>
      <c r="BP6">
        <v>271974.533717821</v>
      </c>
      <c r="BQ6">
        <v>294363.70617021847</v>
      </c>
      <c r="BR6" s="12">
        <f>(Sales[[#This Row],[DP1]]*Lookups!$B$59)+(Sales[[#This Row],[DP2]]*Lookups!$B$60)+(Sales[[#This Row],[DP3]]*Lookups!$B$61)</f>
        <v>-22389.172454014002</v>
      </c>
      <c r="BS6" s="12">
        <f>Lookups!$B$56*0</f>
        <v>0</v>
      </c>
      <c r="BT6" s="12">
        <f>Lookups!$B$56*1</f>
        <v>89850.625589999996</v>
      </c>
      <c r="BU6" s="12">
        <f>Lookups!$B$57*Sales[[#This Row],[LnAcres]]</f>
        <v>-110998.74281323297</v>
      </c>
      <c r="BV6" s="12">
        <f>VLOOKUP(Sales[[#This Row],[Qlty]],Lookups!$A$62:$E$75,2,FALSE)</f>
        <v>21557.329055999999</v>
      </c>
      <c r="BW6" s="12">
        <f>VLOOKUP(Sales[[#This Row],[Cnd]],Lookups!$A$76:$E$84,2,FALSE)</f>
        <v>197752.34721000001</v>
      </c>
      <c r="BX6" s="12">
        <f>Sales[[#This Row],[EffAge]]*Lookups!$B$85</f>
        <v>-6468.3224145000004</v>
      </c>
      <c r="BY6" s="12">
        <f>Sales[[#This Row],[MainFn]]*Lookups!$B$86</f>
        <v>72334.292699928003</v>
      </c>
      <c r="BZ6" s="12">
        <f>Sales[[#This Row],[UpprFn]]*Lookups!$B$87</f>
        <v>0</v>
      </c>
      <c r="CA6" s="12">
        <f>Sales[[#This Row],[AddFn]]*Lookups!$B$88</f>
        <v>0</v>
      </c>
      <c r="CB6" s="12">
        <f>Sales[[#This Row],[Bsmt]]*Lookups!$B$89</f>
        <v>0</v>
      </c>
      <c r="CC6" s="12">
        <f>Sales[[#This Row],[Fixtures]]*Lookups!$B$90</f>
        <v>30336.176841600001</v>
      </c>
      <c r="CD6" s="12">
        <f>Sales[[#This Row],[WdDeck]]*Lookups!$B$91</f>
        <v>0</v>
      </c>
      <c r="CE6" s="12">
        <f>SUM(Sales[[#This Row],[Days Prior Total]:[Mdl WdDeck]])</f>
        <v>271974.533715781</v>
      </c>
      <c r="CF6" s="12">
        <f>ROUND(Sales[[#This Row],[25Det]],-2)</f>
        <v>21600</v>
      </c>
      <c r="CG6" s="12">
        <f>ROUND(SUM(Sales[[#This Row],[Mdl Qlty]:[Mdl WdDeck]])+Sales[[#This Row],[Mdl Res Intercept]]+Sales[[#This Row],[Days Prior Total]],-2)</f>
        <v>293100</v>
      </c>
      <c r="CH6" s="12">
        <f>ROUND(Sales[[#This Row],[Mdl Land Intercept]]+Sales[[#This Row],[Mdl LnAcres]],-2)</f>
        <v>-21100</v>
      </c>
      <c r="CI6" s="12">
        <f>Sales[[#This Row],[Unadj Res Value]]+Sales[[#This Row],[Unadj Det Value]]+Sales[[#This Row],[Unadj Land Value]]</f>
        <v>293600</v>
      </c>
      <c r="CJ6" s="13">
        <f>Sales[[#This Row],[Unadj Total Value]]/Sales[[#This Row],[Price]]</f>
        <v>1.0485714285714285</v>
      </c>
      <c r="CK6" s="13">
        <f>(Sales[[#This Row],[Unadj Total Value]]-Sales[[#This Row],[24Final]])/Sales[[#This Row],[24Final]]</f>
        <v>3.2711924023918398E-2</v>
      </c>
      <c r="CL6">
        <f>VLOOKUP(Sales[[#This Row],[TNbhd]],Lookups!$Q$2:$T$4,4,FALSE)</f>
        <v>0.99970000000000003</v>
      </c>
      <c r="CM6">
        <f>VLOOKUP(Sales[[#This Row],[Qlty]],Lookups!$O$7:$R$21,4,FALSE)</f>
        <v>1.0067999999999999</v>
      </c>
      <c r="CN6">
        <f>VLOOKUP(Sales[[#This Row],[Cnd]],Lookups!$T$7:$W$16,4,FALSE)</f>
        <v>0.99650000000000005</v>
      </c>
      <c r="CO6">
        <f>VLOOKUP(Sales[[#This Row],[LivArea Range]],Lookups!$T$25:$W$37,4,FALSE)</f>
        <v>1.0157</v>
      </c>
      <c r="CP6">
        <f>VLOOKUP(Sales[[#This Row],[Decade]],Lookups!$O$25:$R$42,4,FALSE)</f>
        <v>0.97319999999999995</v>
      </c>
      <c r="CQ6">
        <f>Sales[[#This Row],[Nbhd Adj]]*0.95</f>
        <v>0.94971499999999998</v>
      </c>
      <c r="CR6">
        <f>Sales[[#This Row],[Nbhd Adj]]*Sales[[#This Row],[Quality Adj]]*Sales[[#This Row],[Condition Adj]]*Sales[[#This Row],[Living Area Adj]]*Sales[[#This Row],[Decade Adj]]*0.95</f>
        <v>0.94184917135851298</v>
      </c>
      <c r="CS6">
        <f>ROUND(SUM(Sales[[#This Row],[Mdl Qlty]:[Mdl WdDeck]])+Sales[[#This Row],[Mdl Res Intercept]]*Sales[[#This Row],[Res Adj ]],-2)</f>
        <v>315500</v>
      </c>
      <c r="CT6">
        <f>ROUND(Sales[[#This Row],[25Det]]*Sales[[#This Row],[Det/Nbhd Adj]],-2)</f>
        <v>20500</v>
      </c>
      <c r="CU6">
        <f>Sales[[#This Row],[Adjusted Res]]+Sales[[#This Row],[Adj Det ]]</f>
        <v>336000</v>
      </c>
      <c r="CV6">
        <f>ROUND((Sales[[#This Row],[Mdl Land Intercept]]+Sales[[#This Row],[Mdl LnAcres]])*Sales[[#This Row],[Det/Nbhd Adj]],-2)</f>
        <v>-20100</v>
      </c>
      <c r="CW6">
        <f>Sales[[#This Row],[Adjusted Impr Total]]+Sales[[#This Row],[Adjusted Land Total]]</f>
        <v>315900</v>
      </c>
      <c r="CX6" s="15">
        <f>IFERROR((Sales[[#This Row],[Adjusted Impr Total]]-Sales[[#This Row],[24Bldg]])/Sales[[#This Row],[24Bldg]],0)</f>
        <v>0.39015308233347124</v>
      </c>
      <c r="CY6" s="15">
        <f>(Sales[[#This Row],[Adjusted Land Total]]-Sales[[#This Row],[24Lnd]])/Sales[[#This Row],[24Lnd]]</f>
        <v>-1.471830985915493</v>
      </c>
      <c r="CZ6" s="15">
        <f>(Sales[[#This Row],[Adjusted Total]]-Sales[[#This Row],[24Final]])/Sales[[#This Row],[24Final]]</f>
        <v>0.11115019345761519</v>
      </c>
      <c r="DA6" s="15">
        <f>(Sales[[#This Row],[Adjusted Total]]+Sales[[#This Row],[Days Prior Total]])/Sales[[#This Row],[Price]]</f>
        <v>1.0482529555213784</v>
      </c>
    </row>
    <row r="7" spans="1:105" x14ac:dyDescent="0.3">
      <c r="A7">
        <v>2025</v>
      </c>
      <c r="B7">
        <v>18131543438</v>
      </c>
      <c r="C7">
        <v>-3.5065578973199818</v>
      </c>
      <c r="D7">
        <v>0.03</v>
      </c>
      <c r="E7">
        <v>1446</v>
      </c>
      <c r="F7">
        <v>6</v>
      </c>
      <c r="G7" t="s">
        <v>28</v>
      </c>
      <c r="H7">
        <v>3032</v>
      </c>
      <c r="I7" t="s">
        <v>349</v>
      </c>
      <c r="J7" t="s">
        <v>268</v>
      </c>
      <c r="K7">
        <v>11</v>
      </c>
      <c r="L7">
        <v>262</v>
      </c>
      <c r="M7" t="s">
        <v>381</v>
      </c>
      <c r="N7" t="s">
        <v>148</v>
      </c>
      <c r="O7" t="s">
        <v>323</v>
      </c>
      <c r="P7">
        <v>30</v>
      </c>
      <c r="Q7">
        <v>1995</v>
      </c>
      <c r="R7">
        <v>1995</v>
      </c>
      <c r="S7">
        <v>29</v>
      </c>
      <c r="T7">
        <v>29</v>
      </c>
      <c r="U7">
        <v>1</v>
      </c>
      <c r="V7">
        <v>1446</v>
      </c>
      <c r="W7">
        <v>0</v>
      </c>
      <c r="X7">
        <v>0</v>
      </c>
      <c r="Y7">
        <v>0</v>
      </c>
      <c r="Z7">
        <v>0</v>
      </c>
      <c r="AA7">
        <v>0</v>
      </c>
      <c r="AB7">
        <v>1446</v>
      </c>
      <c r="AC7">
        <v>1500</v>
      </c>
      <c r="AD7">
        <v>0</v>
      </c>
      <c r="AF7" t="s">
        <v>383</v>
      </c>
      <c r="AG7" t="s">
        <v>148</v>
      </c>
      <c r="AH7" t="s">
        <v>450</v>
      </c>
      <c r="AI7">
        <v>0</v>
      </c>
      <c r="AJ7">
        <v>1</v>
      </c>
      <c r="AK7">
        <v>0</v>
      </c>
      <c r="AL7">
        <v>0</v>
      </c>
      <c r="AM7">
        <v>1</v>
      </c>
      <c r="AN7">
        <v>12</v>
      </c>
      <c r="AO7">
        <v>0</v>
      </c>
      <c r="AP7">
        <v>0</v>
      </c>
      <c r="AQ7">
        <v>0</v>
      </c>
      <c r="AR7">
        <v>0</v>
      </c>
      <c r="AS7">
        <v>243</v>
      </c>
      <c r="AT7">
        <v>0</v>
      </c>
      <c r="AU7">
        <v>100</v>
      </c>
      <c r="AV7">
        <v>100</v>
      </c>
      <c r="AW7">
        <v>233452</v>
      </c>
      <c r="AX7">
        <v>205438</v>
      </c>
      <c r="AY7">
        <v>770</v>
      </c>
      <c r="AZ7">
        <v>365</v>
      </c>
      <c r="BA7">
        <v>365</v>
      </c>
      <c r="BB7">
        <v>40</v>
      </c>
      <c r="BC7" s="3">
        <v>44522</v>
      </c>
      <c r="BD7" t="s">
        <v>163</v>
      </c>
      <c r="BE7">
        <v>270000</v>
      </c>
      <c r="BF7">
        <v>248705</v>
      </c>
      <c r="BG7" t="s">
        <v>294</v>
      </c>
      <c r="BH7">
        <v>30</v>
      </c>
      <c r="BI7" t="s">
        <v>65</v>
      </c>
      <c r="BJ7" t="s">
        <v>450</v>
      </c>
      <c r="BK7">
        <v>283800</v>
      </c>
      <c r="BL7">
        <v>42600</v>
      </c>
      <c r="BM7">
        <v>241200</v>
      </c>
      <c r="BN7">
        <v>21295</v>
      </c>
      <c r="BO7">
        <v>1.0511111111111111</v>
      </c>
      <c r="BP7">
        <v>267014.75093692838</v>
      </c>
      <c r="BQ7">
        <v>293926.00354535709</v>
      </c>
      <c r="BR7" s="12">
        <f>(Sales[[#This Row],[DP1]]*Lookups!$B$59)+(Sales[[#This Row],[DP2]]*Lookups!$B$60)+(Sales[[#This Row],[DP3]]*Lookups!$B$61)</f>
        <v>-26911.252611070006</v>
      </c>
      <c r="BS7" s="12">
        <f>Lookups!$B$56*0</f>
        <v>0</v>
      </c>
      <c r="BT7" s="12">
        <f>Lookups!$B$56*1</f>
        <v>89850.625589999996</v>
      </c>
      <c r="BU7" s="12">
        <f>Lookups!$B$57*Sales[[#This Row],[LnAcres]]</f>
        <v>-110998.74281323297</v>
      </c>
      <c r="BV7" s="12">
        <f>VLOOKUP(Sales[[#This Row],[Qlty]],Lookups!$A$62:$E$75,2,FALSE)</f>
        <v>44121.038090000002</v>
      </c>
      <c r="BW7" s="12">
        <f>VLOOKUP(Sales[[#This Row],[Cnd]],Lookups!$A$76:$E$84,2,FALSE)</f>
        <v>160472.20319</v>
      </c>
      <c r="BX7" s="12">
        <f>Sales[[#This Row],[EffAge]]*Lookups!$B$85</f>
        <v>-6468.3224145000004</v>
      </c>
      <c r="BY7" s="12">
        <f>Sales[[#This Row],[MainFn]]*Lookups!$B$86</f>
        <v>71444.936642141998</v>
      </c>
      <c r="BZ7" s="12">
        <f>Sales[[#This Row],[UpprFn]]*Lookups!$B$87</f>
        <v>0</v>
      </c>
      <c r="CA7" s="12">
        <f>Sales[[#This Row],[AddFn]]*Lookups!$B$88</f>
        <v>0</v>
      </c>
      <c r="CB7" s="12">
        <f>Sales[[#This Row],[Bsmt]]*Lookups!$B$89</f>
        <v>0</v>
      </c>
      <c r="CC7" s="12">
        <f>Sales[[#This Row],[Fixtures]]*Lookups!$B$90</f>
        <v>45504.265262400004</v>
      </c>
      <c r="CD7" s="12">
        <f>Sales[[#This Row],[WdDeck]]*Lookups!$B$91</f>
        <v>0</v>
      </c>
      <c r="CE7" s="12">
        <f>SUM(Sales[[#This Row],[Days Prior Total]:[Mdl WdDeck]])</f>
        <v>267014.75093573902</v>
      </c>
      <c r="CF7" s="12">
        <f>ROUND(Sales[[#This Row],[25Det]],-2)</f>
        <v>21300</v>
      </c>
      <c r="CG7" s="12">
        <f>ROUND(SUM(Sales[[#This Row],[Mdl Qlty]:[Mdl WdDeck]])+Sales[[#This Row],[Mdl Res Intercept]]+Sales[[#This Row],[Days Prior Total]],-2)</f>
        <v>288200</v>
      </c>
      <c r="CH7" s="12">
        <f>ROUND(Sales[[#This Row],[Mdl Land Intercept]]+Sales[[#This Row],[Mdl LnAcres]],-2)</f>
        <v>-21100</v>
      </c>
      <c r="CI7" s="12">
        <f>Sales[[#This Row],[Unadj Res Value]]+Sales[[#This Row],[Unadj Det Value]]+Sales[[#This Row],[Unadj Land Value]]</f>
        <v>288400</v>
      </c>
      <c r="CJ7" s="13">
        <f>Sales[[#This Row],[Unadj Total Value]]/Sales[[#This Row],[Price]]</f>
        <v>1.0681481481481481</v>
      </c>
      <c r="CK7" s="13">
        <f>(Sales[[#This Row],[Unadj Total Value]]-Sales[[#This Row],[24Final]])/Sales[[#This Row],[24Final]]</f>
        <v>1.620859760394644E-2</v>
      </c>
      <c r="CL7">
        <f>VLOOKUP(Sales[[#This Row],[TNbhd]],Lookups!$Q$2:$T$4,4,FALSE)</f>
        <v>0.99970000000000003</v>
      </c>
      <c r="CM7">
        <f>VLOOKUP(Sales[[#This Row],[Qlty]],Lookups!$O$7:$R$21,4,FALSE)</f>
        <v>0.98050000000000004</v>
      </c>
      <c r="CN7">
        <f>VLOOKUP(Sales[[#This Row],[Cnd]],Lookups!$T$7:$W$16,4,FALSE)</f>
        <v>0.99729999999999996</v>
      </c>
      <c r="CO7">
        <f>VLOOKUP(Sales[[#This Row],[LivArea Range]],Lookups!$T$25:$W$37,4,FALSE)</f>
        <v>1.0157</v>
      </c>
      <c r="CP7">
        <f>VLOOKUP(Sales[[#This Row],[Decade]],Lookups!$O$25:$R$42,4,FALSE)</f>
        <v>0.97319999999999995</v>
      </c>
      <c r="CQ7">
        <f>Sales[[#This Row],[Nbhd Adj]]*0.95</f>
        <v>0.94971499999999998</v>
      </c>
      <c r="CR7">
        <f>Sales[[#This Row],[Nbhd Adj]]*Sales[[#This Row],[Quality Adj]]*Sales[[#This Row],[Condition Adj]]*Sales[[#This Row],[Living Area Adj]]*Sales[[#This Row],[Decade Adj]]*0.95</f>
        <v>0.91798221478115993</v>
      </c>
      <c r="CS7">
        <f>ROUND(SUM(Sales[[#This Row],[Mdl Qlty]:[Mdl WdDeck]])+Sales[[#This Row],[Mdl Res Intercept]]*Sales[[#This Row],[Res Adj ]],-2)</f>
        <v>315100</v>
      </c>
      <c r="CT7">
        <f>ROUND(Sales[[#This Row],[25Det]]*Sales[[#This Row],[Det/Nbhd Adj]],-2)</f>
        <v>20200</v>
      </c>
      <c r="CU7">
        <f>Sales[[#This Row],[Adjusted Res]]+Sales[[#This Row],[Adj Det ]]</f>
        <v>335300</v>
      </c>
      <c r="CV7">
        <f>ROUND((Sales[[#This Row],[Mdl Land Intercept]]+Sales[[#This Row],[Mdl LnAcres]])*Sales[[#This Row],[Det/Nbhd Adj]],-2)</f>
        <v>-20100</v>
      </c>
      <c r="CW7">
        <f>Sales[[#This Row],[Adjusted Impr Total]]+Sales[[#This Row],[Adjusted Land Total]]</f>
        <v>315200</v>
      </c>
      <c r="CX7" s="15">
        <f>IFERROR((Sales[[#This Row],[Adjusted Impr Total]]-Sales[[#This Row],[24Bldg]])/Sales[[#This Row],[24Bldg]],0)</f>
        <v>0.39013266998341622</v>
      </c>
      <c r="CY7" s="15">
        <f>(Sales[[#This Row],[Adjusted Land Total]]-Sales[[#This Row],[24Lnd]])/Sales[[#This Row],[24Lnd]]</f>
        <v>-1.471830985915493</v>
      </c>
      <c r="CZ7" s="15">
        <f>(Sales[[#This Row],[Adjusted Total]]-Sales[[#This Row],[24Final]])/Sales[[#This Row],[24Final]]</f>
        <v>0.11064129668780831</v>
      </c>
      <c r="DA7" s="15">
        <f>(Sales[[#This Row],[Adjusted Total]]+Sales[[#This Row],[Days Prior Total]])/Sales[[#This Row],[Price]]</f>
        <v>1.0677361014404816</v>
      </c>
    </row>
    <row r="8" spans="1:105" x14ac:dyDescent="0.3">
      <c r="A8">
        <v>2025</v>
      </c>
      <c r="B8">
        <v>18131543422</v>
      </c>
      <c r="C8">
        <v>-3.5065578973199818</v>
      </c>
      <c r="D8">
        <v>0.03</v>
      </c>
      <c r="E8">
        <v>1382</v>
      </c>
      <c r="F8">
        <v>6</v>
      </c>
      <c r="G8" t="s">
        <v>28</v>
      </c>
      <c r="H8">
        <v>3032</v>
      </c>
      <c r="I8" t="s">
        <v>349</v>
      </c>
      <c r="J8" t="s">
        <v>268</v>
      </c>
      <c r="K8">
        <v>11</v>
      </c>
      <c r="L8">
        <v>262</v>
      </c>
      <c r="M8" t="s">
        <v>381</v>
      </c>
      <c r="N8" t="s">
        <v>351</v>
      </c>
      <c r="O8" t="s">
        <v>323</v>
      </c>
      <c r="P8">
        <v>40</v>
      </c>
      <c r="Q8">
        <v>1992</v>
      </c>
      <c r="R8">
        <v>1992</v>
      </c>
      <c r="S8">
        <v>32</v>
      </c>
      <c r="T8">
        <v>32</v>
      </c>
      <c r="U8">
        <v>1</v>
      </c>
      <c r="V8">
        <v>1471</v>
      </c>
      <c r="W8">
        <v>0</v>
      </c>
      <c r="X8">
        <v>0</v>
      </c>
      <c r="Y8">
        <v>0</v>
      </c>
      <c r="Z8">
        <v>0</v>
      </c>
      <c r="AA8">
        <v>0</v>
      </c>
      <c r="AB8">
        <v>1471</v>
      </c>
      <c r="AC8">
        <v>1500</v>
      </c>
      <c r="AD8">
        <v>0</v>
      </c>
      <c r="AF8" t="s">
        <v>383</v>
      </c>
      <c r="AG8" t="s">
        <v>382</v>
      </c>
      <c r="AH8" t="s">
        <v>450</v>
      </c>
      <c r="AI8">
        <v>0</v>
      </c>
      <c r="AJ8">
        <v>0</v>
      </c>
      <c r="AK8">
        <v>0</v>
      </c>
      <c r="AL8">
        <v>0</v>
      </c>
      <c r="AM8">
        <v>0</v>
      </c>
      <c r="AN8">
        <v>11</v>
      </c>
      <c r="AO8">
        <v>0</v>
      </c>
      <c r="AP8">
        <v>0</v>
      </c>
      <c r="AQ8">
        <v>0</v>
      </c>
      <c r="AR8">
        <v>0</v>
      </c>
      <c r="AS8">
        <v>394</v>
      </c>
      <c r="AT8">
        <v>0</v>
      </c>
      <c r="AU8">
        <v>100</v>
      </c>
      <c r="AV8">
        <v>100</v>
      </c>
      <c r="AW8">
        <v>171304</v>
      </c>
      <c r="AX8">
        <v>154174</v>
      </c>
      <c r="AY8">
        <v>854</v>
      </c>
      <c r="AZ8">
        <v>365</v>
      </c>
      <c r="BA8">
        <v>365</v>
      </c>
      <c r="BB8">
        <v>124</v>
      </c>
      <c r="BC8" s="3">
        <v>44438</v>
      </c>
      <c r="BD8" t="s">
        <v>389</v>
      </c>
      <c r="BE8">
        <v>275000</v>
      </c>
      <c r="BF8">
        <v>254251</v>
      </c>
      <c r="BG8" t="s">
        <v>294</v>
      </c>
      <c r="BH8">
        <v>30</v>
      </c>
      <c r="BI8" t="s">
        <v>65</v>
      </c>
      <c r="BJ8" t="s">
        <v>450</v>
      </c>
      <c r="BK8">
        <v>285100</v>
      </c>
      <c r="BL8">
        <v>42800</v>
      </c>
      <c r="BM8">
        <v>242300</v>
      </c>
      <c r="BN8">
        <v>20749</v>
      </c>
      <c r="BO8">
        <v>1.0367272727272727</v>
      </c>
      <c r="BP8">
        <v>229992.47586149751</v>
      </c>
      <c r="BQ8">
        <v>268136.35235141276</v>
      </c>
      <c r="BR8" s="12">
        <f>(Sales[[#This Row],[DP1]]*Lookups!$B$59)+(Sales[[#This Row],[DP2]]*Lookups!$B$60)+(Sales[[#This Row],[DP3]]*Lookups!$B$61)</f>
        <v>-38143.876494670003</v>
      </c>
      <c r="BS8" s="12">
        <f>Lookups!$B$56*0</f>
        <v>0</v>
      </c>
      <c r="BT8" s="12">
        <f>Lookups!$B$56*1</f>
        <v>89850.625589999996</v>
      </c>
      <c r="BU8" s="12">
        <f>Lookups!$B$57*Sales[[#This Row],[LnAcres]]</f>
        <v>-110998.74281323297</v>
      </c>
      <c r="BV8" s="12">
        <f>VLOOKUP(Sales[[#This Row],[Qlty]],Lookups!$A$62:$E$75,2,FALSE)</f>
        <v>21557.329055999999</v>
      </c>
      <c r="BW8" s="12">
        <f>VLOOKUP(Sales[[#This Row],[Cnd]],Lookups!$A$76:$E$84,2,FALSE)</f>
        <v>160472.20319</v>
      </c>
      <c r="BX8" s="12">
        <f>Sales[[#This Row],[EffAge]]*Lookups!$B$85</f>
        <v>-7137.4592160000002</v>
      </c>
      <c r="BY8" s="12">
        <f>Sales[[#This Row],[MainFn]]*Lookups!$B$86</f>
        <v>72680.153389066996</v>
      </c>
      <c r="BZ8" s="12">
        <f>Sales[[#This Row],[UpprFn]]*Lookups!$B$87</f>
        <v>0</v>
      </c>
      <c r="CA8" s="12">
        <f>Sales[[#This Row],[AddFn]]*Lookups!$B$88</f>
        <v>0</v>
      </c>
      <c r="CB8" s="12">
        <f>Sales[[#This Row],[Bsmt]]*Lookups!$B$89</f>
        <v>0</v>
      </c>
      <c r="CC8" s="12">
        <f>Sales[[#This Row],[Fixtures]]*Lookups!$B$90</f>
        <v>41712.243157199999</v>
      </c>
      <c r="CD8" s="12">
        <f>Sales[[#This Row],[WdDeck]]*Lookups!$B$91</f>
        <v>0</v>
      </c>
      <c r="CE8" s="12">
        <f>SUM(Sales[[#This Row],[Days Prior Total]:[Mdl WdDeck]])</f>
        <v>229992.47585836402</v>
      </c>
      <c r="CF8" s="12">
        <f>ROUND(Sales[[#This Row],[25Det]],-2)</f>
        <v>20700</v>
      </c>
      <c r="CG8" s="12">
        <f>ROUND(SUM(Sales[[#This Row],[Mdl Qlty]:[Mdl WdDeck]])+Sales[[#This Row],[Mdl Res Intercept]]+Sales[[#This Row],[Days Prior Total]],-2)</f>
        <v>251100</v>
      </c>
      <c r="CH8" s="12">
        <f>ROUND(Sales[[#This Row],[Mdl Land Intercept]]+Sales[[#This Row],[Mdl LnAcres]],-2)</f>
        <v>-21100</v>
      </c>
      <c r="CI8" s="12">
        <f>Sales[[#This Row],[Unadj Res Value]]+Sales[[#This Row],[Unadj Det Value]]+Sales[[#This Row],[Unadj Land Value]]</f>
        <v>250700</v>
      </c>
      <c r="CJ8" s="13">
        <f>Sales[[#This Row],[Unadj Total Value]]/Sales[[#This Row],[Price]]</f>
        <v>0.91163636363636369</v>
      </c>
      <c r="CK8" s="13">
        <f>(Sales[[#This Row],[Unadj Total Value]]-Sales[[#This Row],[24Final]])/Sales[[#This Row],[24Final]]</f>
        <v>-0.12065941774815854</v>
      </c>
      <c r="CL8">
        <f>VLOOKUP(Sales[[#This Row],[TNbhd]],Lookups!$Q$2:$T$4,4,FALSE)</f>
        <v>0.99970000000000003</v>
      </c>
      <c r="CM8">
        <f>VLOOKUP(Sales[[#This Row],[Qlty]],Lookups!$O$7:$R$21,4,FALSE)</f>
        <v>1.0067999999999999</v>
      </c>
      <c r="CN8">
        <f>VLOOKUP(Sales[[#This Row],[Cnd]],Lookups!$T$7:$W$16,4,FALSE)</f>
        <v>0.99729999999999996</v>
      </c>
      <c r="CO8">
        <f>VLOOKUP(Sales[[#This Row],[LivArea Range]],Lookups!$T$25:$W$37,4,FALSE)</f>
        <v>1.0157</v>
      </c>
      <c r="CP8">
        <f>VLOOKUP(Sales[[#This Row],[Decade]],Lookups!$O$25:$R$42,4,FALSE)</f>
        <v>1.0157</v>
      </c>
      <c r="CQ8">
        <f>Sales[[#This Row],[Nbhd Adj]]*0.95</f>
        <v>0.94971499999999998</v>
      </c>
      <c r="CR8">
        <f>Sales[[#This Row],[Nbhd Adj]]*Sales[[#This Row],[Quality Adj]]*Sales[[#This Row],[Condition Adj]]*Sales[[#This Row],[Living Area Adj]]*Sales[[#This Row],[Decade Adj]]*0.95</f>
        <v>0.9837692152700912</v>
      </c>
      <c r="CS8">
        <f>ROUND(SUM(Sales[[#This Row],[Mdl Qlty]:[Mdl WdDeck]])+Sales[[#This Row],[Mdl Res Intercept]]*Sales[[#This Row],[Res Adj ]],-2)</f>
        <v>289300</v>
      </c>
      <c r="CT8">
        <f>ROUND(Sales[[#This Row],[25Det]]*Sales[[#This Row],[Det/Nbhd Adj]],-2)</f>
        <v>19700</v>
      </c>
      <c r="CU8">
        <f>Sales[[#This Row],[Adjusted Res]]+Sales[[#This Row],[Adj Det ]]</f>
        <v>309000</v>
      </c>
      <c r="CV8">
        <f>ROUND((Sales[[#This Row],[Mdl Land Intercept]]+Sales[[#This Row],[Mdl LnAcres]])*Sales[[#This Row],[Det/Nbhd Adj]],-2)</f>
        <v>-20100</v>
      </c>
      <c r="CW8">
        <f>Sales[[#This Row],[Adjusted Impr Total]]+Sales[[#This Row],[Adjusted Land Total]]</f>
        <v>288900</v>
      </c>
      <c r="CX8" s="15">
        <f>IFERROR((Sales[[#This Row],[Adjusted Impr Total]]-Sales[[#This Row],[24Bldg]])/Sales[[#This Row],[24Bldg]],0)</f>
        <v>0.27527858027238961</v>
      </c>
      <c r="CY8" s="15">
        <f>(Sales[[#This Row],[Adjusted Land Total]]-Sales[[#This Row],[24Lnd]])/Sales[[#This Row],[24Lnd]]</f>
        <v>-1.469626168224299</v>
      </c>
      <c r="CZ8" s="15">
        <f>(Sales[[#This Row],[Adjusted Total]]-Sales[[#This Row],[24Final]])/Sales[[#This Row],[24Final]]</f>
        <v>1.3328656611715188E-2</v>
      </c>
      <c r="DA8" s="15">
        <f>(Sales[[#This Row],[Adjusted Total]]+Sales[[#This Row],[Days Prior Total]])/Sales[[#This Row],[Price]]</f>
        <v>0.91184044911029094</v>
      </c>
    </row>
    <row r="9" spans="1:105" x14ac:dyDescent="0.3">
      <c r="A9">
        <v>2025</v>
      </c>
      <c r="B9">
        <v>18131543415</v>
      </c>
      <c r="C9">
        <v>-3.5065578973199818</v>
      </c>
      <c r="D9">
        <v>0.03</v>
      </c>
      <c r="E9">
        <v>1469</v>
      </c>
      <c r="F9">
        <v>6</v>
      </c>
      <c r="G9" t="s">
        <v>28</v>
      </c>
      <c r="H9">
        <v>3032</v>
      </c>
      <c r="I9" t="s">
        <v>349</v>
      </c>
      <c r="J9" t="s">
        <v>268</v>
      </c>
      <c r="K9">
        <v>11</v>
      </c>
      <c r="L9">
        <v>262</v>
      </c>
      <c r="M9" t="s">
        <v>381</v>
      </c>
      <c r="N9" t="s">
        <v>351</v>
      </c>
      <c r="O9" t="s">
        <v>303</v>
      </c>
      <c r="P9">
        <v>40</v>
      </c>
      <c r="Q9">
        <v>1992</v>
      </c>
      <c r="R9">
        <v>1992</v>
      </c>
      <c r="S9">
        <v>32</v>
      </c>
      <c r="T9">
        <v>32</v>
      </c>
      <c r="U9">
        <v>1</v>
      </c>
      <c r="V9">
        <v>1288</v>
      </c>
      <c r="W9">
        <v>0</v>
      </c>
      <c r="X9">
        <v>0</v>
      </c>
      <c r="Y9">
        <v>0</v>
      </c>
      <c r="Z9">
        <v>0</v>
      </c>
      <c r="AA9">
        <v>0</v>
      </c>
      <c r="AB9">
        <v>1288</v>
      </c>
      <c r="AC9">
        <v>1500</v>
      </c>
      <c r="AD9">
        <v>0</v>
      </c>
      <c r="AF9" t="s">
        <v>383</v>
      </c>
      <c r="AG9" t="s">
        <v>382</v>
      </c>
      <c r="AH9" t="s">
        <v>450</v>
      </c>
      <c r="AI9">
        <v>0</v>
      </c>
      <c r="AJ9">
        <v>0</v>
      </c>
      <c r="AK9">
        <v>0</v>
      </c>
      <c r="AL9">
        <v>0</v>
      </c>
      <c r="AM9">
        <v>0</v>
      </c>
      <c r="AN9">
        <v>8</v>
      </c>
      <c r="AO9">
        <v>0</v>
      </c>
      <c r="AP9">
        <v>0</v>
      </c>
      <c r="AQ9">
        <v>0</v>
      </c>
      <c r="AR9">
        <v>0</v>
      </c>
      <c r="AS9">
        <v>344</v>
      </c>
      <c r="AT9">
        <v>0</v>
      </c>
      <c r="AU9">
        <v>100</v>
      </c>
      <c r="AV9">
        <v>100</v>
      </c>
      <c r="AW9">
        <v>149317</v>
      </c>
      <c r="AX9">
        <v>134385</v>
      </c>
      <c r="AY9">
        <v>1032</v>
      </c>
      <c r="AZ9">
        <v>365</v>
      </c>
      <c r="BA9">
        <v>365</v>
      </c>
      <c r="BB9">
        <v>302</v>
      </c>
      <c r="BC9" s="3">
        <v>44260</v>
      </c>
      <c r="BD9" t="s">
        <v>329</v>
      </c>
      <c r="BE9">
        <v>240000</v>
      </c>
      <c r="BF9">
        <v>219251</v>
      </c>
      <c r="BG9" t="s">
        <v>294</v>
      </c>
      <c r="BH9">
        <v>30</v>
      </c>
      <c r="BI9" t="s">
        <v>65</v>
      </c>
      <c r="BJ9" t="s">
        <v>450</v>
      </c>
      <c r="BK9">
        <v>250500</v>
      </c>
      <c r="BL9">
        <v>37600</v>
      </c>
      <c r="BM9">
        <v>212900</v>
      </c>
      <c r="BN9">
        <v>20749</v>
      </c>
      <c r="BO9">
        <v>1.04375</v>
      </c>
      <c r="BP9">
        <v>223052.3020888184</v>
      </c>
      <c r="BQ9">
        <v>284998.64347045531</v>
      </c>
      <c r="BR9" s="12">
        <f>(Sales[[#This Row],[DP1]]*Lookups!$B$59)+(Sales[[#This Row],[DP2]]*Lookups!$B$60)+(Sales[[#This Row],[DP3]]*Lookups!$B$61)</f>
        <v>-61946.341390870002</v>
      </c>
      <c r="BS9" s="12">
        <f>Lookups!$B$56*0</f>
        <v>0</v>
      </c>
      <c r="BT9" s="12">
        <f>Lookups!$B$56*1</f>
        <v>89850.625589999996</v>
      </c>
      <c r="BU9" s="12">
        <f>Lookups!$B$57*Sales[[#This Row],[LnAcres]]</f>
        <v>-110998.74281323297</v>
      </c>
      <c r="BV9" s="12">
        <f>VLOOKUP(Sales[[#This Row],[Qlty]],Lookups!$A$62:$E$75,2,FALSE)</f>
        <v>21557.329055999999</v>
      </c>
      <c r="BW9" s="12">
        <f>VLOOKUP(Sales[[#This Row],[Cnd]],Lookups!$A$76:$E$84,2,FALSE)</f>
        <v>197752.34721000001</v>
      </c>
      <c r="BX9" s="12">
        <f>Sales[[#This Row],[EffAge]]*Lookups!$B$85</f>
        <v>-7137.4592160000002</v>
      </c>
      <c r="BY9" s="12">
        <f>Sales[[#This Row],[MainFn]]*Lookups!$B$86</f>
        <v>63638.366801576005</v>
      </c>
      <c r="BZ9" s="12">
        <f>Sales[[#This Row],[UpprFn]]*Lookups!$B$87</f>
        <v>0</v>
      </c>
      <c r="CA9" s="12">
        <f>Sales[[#This Row],[AddFn]]*Lookups!$B$88</f>
        <v>0</v>
      </c>
      <c r="CB9" s="12">
        <f>Sales[[#This Row],[Bsmt]]*Lookups!$B$89</f>
        <v>0</v>
      </c>
      <c r="CC9" s="12">
        <f>Sales[[#This Row],[Fixtures]]*Lookups!$B$90</f>
        <v>30336.176841600001</v>
      </c>
      <c r="CD9" s="12">
        <f>Sales[[#This Row],[WdDeck]]*Lookups!$B$91</f>
        <v>0</v>
      </c>
      <c r="CE9" s="12">
        <f>SUM(Sales[[#This Row],[Days Prior Total]:[Mdl WdDeck]])</f>
        <v>223052.30207907307</v>
      </c>
      <c r="CF9" s="12">
        <f>ROUND(Sales[[#This Row],[25Det]],-2)</f>
        <v>20700</v>
      </c>
      <c r="CG9" s="12">
        <f>ROUND(SUM(Sales[[#This Row],[Mdl Qlty]:[Mdl WdDeck]])+Sales[[#This Row],[Mdl Res Intercept]]+Sales[[#This Row],[Days Prior Total]],-2)</f>
        <v>244200</v>
      </c>
      <c r="CH9" s="12">
        <f>ROUND(Sales[[#This Row],[Mdl Land Intercept]]+Sales[[#This Row],[Mdl LnAcres]],-2)</f>
        <v>-21100</v>
      </c>
      <c r="CI9" s="12">
        <f>Sales[[#This Row],[Unadj Res Value]]+Sales[[#This Row],[Unadj Det Value]]+Sales[[#This Row],[Unadj Land Value]]</f>
        <v>243800</v>
      </c>
      <c r="CJ9" s="13">
        <f>Sales[[#This Row],[Unadj Total Value]]/Sales[[#This Row],[Price]]</f>
        <v>1.0158333333333334</v>
      </c>
      <c r="CK9" s="13">
        <f>(Sales[[#This Row],[Unadj Total Value]]-Sales[[#This Row],[24Final]])/Sales[[#This Row],[24Final]]</f>
        <v>-2.6746506986027943E-2</v>
      </c>
      <c r="CL9">
        <f>VLOOKUP(Sales[[#This Row],[TNbhd]],Lookups!$Q$2:$T$4,4,FALSE)</f>
        <v>0.99970000000000003</v>
      </c>
      <c r="CM9">
        <f>VLOOKUP(Sales[[#This Row],[Qlty]],Lookups!$O$7:$R$21,4,FALSE)</f>
        <v>1.0067999999999999</v>
      </c>
      <c r="CN9">
        <f>VLOOKUP(Sales[[#This Row],[Cnd]],Lookups!$T$7:$W$16,4,FALSE)</f>
        <v>0.99650000000000005</v>
      </c>
      <c r="CO9">
        <f>VLOOKUP(Sales[[#This Row],[LivArea Range]],Lookups!$T$25:$W$37,4,FALSE)</f>
        <v>1.0157</v>
      </c>
      <c r="CP9">
        <f>VLOOKUP(Sales[[#This Row],[Decade]],Lookups!$O$25:$R$42,4,FALSE)</f>
        <v>1.0157</v>
      </c>
      <c r="CQ9">
        <f>Sales[[#This Row],[Nbhd Adj]]*0.95</f>
        <v>0.94971499999999998</v>
      </c>
      <c r="CR9">
        <f>Sales[[#This Row],[Nbhd Adj]]*Sales[[#This Row],[Quality Adj]]*Sales[[#This Row],[Condition Adj]]*Sales[[#This Row],[Living Area Adj]]*Sales[[#This Row],[Decade Adj]]*0.95</f>
        <v>0.98298006920349545</v>
      </c>
      <c r="CS9">
        <f>ROUND(SUM(Sales[[#This Row],[Mdl Qlty]:[Mdl WdDeck]])+Sales[[#This Row],[Mdl Res Intercept]]*Sales[[#This Row],[Res Adj ]],-2)</f>
        <v>306100</v>
      </c>
      <c r="CT9">
        <f>ROUND(Sales[[#This Row],[25Det]]*Sales[[#This Row],[Det/Nbhd Adj]],-2)</f>
        <v>19700</v>
      </c>
      <c r="CU9">
        <f>Sales[[#This Row],[Adjusted Res]]+Sales[[#This Row],[Adj Det ]]</f>
        <v>325800</v>
      </c>
      <c r="CV9">
        <f>ROUND((Sales[[#This Row],[Mdl Land Intercept]]+Sales[[#This Row],[Mdl LnAcres]])*Sales[[#This Row],[Det/Nbhd Adj]],-2)</f>
        <v>-20100</v>
      </c>
      <c r="CW9">
        <f>Sales[[#This Row],[Adjusted Impr Total]]+Sales[[#This Row],[Adjusted Land Total]]</f>
        <v>305700</v>
      </c>
      <c r="CX9" s="15">
        <f>IFERROR((Sales[[#This Row],[Adjusted Impr Total]]-Sales[[#This Row],[24Bldg]])/Sales[[#This Row],[24Bldg]],0)</f>
        <v>0.53029591357444805</v>
      </c>
      <c r="CY9" s="15">
        <f>(Sales[[#This Row],[Adjusted Land Total]]-Sales[[#This Row],[24Lnd]])/Sales[[#This Row],[24Lnd]]</f>
        <v>-1.5345744680851063</v>
      </c>
      <c r="CZ9" s="15">
        <f>(Sales[[#This Row],[Adjusted Total]]-Sales[[#This Row],[24Final]])/Sales[[#This Row],[24Final]]</f>
        <v>0.22035928143712574</v>
      </c>
      <c r="DA9" s="15">
        <f>(Sales[[#This Row],[Adjusted Total]]+Sales[[#This Row],[Days Prior Total]])/Sales[[#This Row],[Price]]</f>
        <v>1.0156402442047083</v>
      </c>
    </row>
    <row r="10" spans="1:105" x14ac:dyDescent="0.3">
      <c r="A10">
        <v>2025</v>
      </c>
      <c r="B10">
        <v>18131543422</v>
      </c>
      <c r="C10">
        <v>-3.5065578973199818</v>
      </c>
      <c r="D10">
        <v>0.03</v>
      </c>
      <c r="E10">
        <v>1382</v>
      </c>
      <c r="F10">
        <v>6</v>
      </c>
      <c r="G10" t="s">
        <v>28</v>
      </c>
      <c r="H10">
        <v>3032</v>
      </c>
      <c r="I10" t="s">
        <v>349</v>
      </c>
      <c r="J10" t="s">
        <v>268</v>
      </c>
      <c r="K10">
        <v>11</v>
      </c>
      <c r="L10">
        <v>262</v>
      </c>
      <c r="M10" t="s">
        <v>381</v>
      </c>
      <c r="N10" t="s">
        <v>351</v>
      </c>
      <c r="O10" t="s">
        <v>303</v>
      </c>
      <c r="P10">
        <v>40</v>
      </c>
      <c r="Q10">
        <v>1992</v>
      </c>
      <c r="R10">
        <v>1992</v>
      </c>
      <c r="S10">
        <v>32</v>
      </c>
      <c r="T10">
        <v>32</v>
      </c>
      <c r="U10">
        <v>1</v>
      </c>
      <c r="V10">
        <v>1471</v>
      </c>
      <c r="W10">
        <v>0</v>
      </c>
      <c r="X10">
        <v>0</v>
      </c>
      <c r="Y10">
        <v>0</v>
      </c>
      <c r="Z10">
        <v>0</v>
      </c>
      <c r="AA10">
        <v>0</v>
      </c>
      <c r="AB10">
        <v>1471</v>
      </c>
      <c r="AC10">
        <v>1500</v>
      </c>
      <c r="AD10">
        <v>0</v>
      </c>
      <c r="AF10" t="s">
        <v>383</v>
      </c>
      <c r="AG10" t="s">
        <v>382</v>
      </c>
      <c r="AH10" t="s">
        <v>450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11</v>
      </c>
      <c r="AO10">
        <v>0</v>
      </c>
      <c r="AP10">
        <v>0</v>
      </c>
      <c r="AQ10">
        <v>0</v>
      </c>
      <c r="AR10">
        <v>0</v>
      </c>
      <c r="AS10">
        <v>394</v>
      </c>
      <c r="AT10">
        <v>0</v>
      </c>
      <c r="AU10">
        <v>100</v>
      </c>
      <c r="AV10">
        <v>100</v>
      </c>
      <c r="AW10">
        <v>181483</v>
      </c>
      <c r="AX10">
        <v>154261</v>
      </c>
      <c r="AY10">
        <v>734</v>
      </c>
      <c r="AZ10">
        <v>365</v>
      </c>
      <c r="BA10">
        <v>365</v>
      </c>
      <c r="BB10">
        <v>4</v>
      </c>
      <c r="BC10" s="3">
        <v>44558</v>
      </c>
      <c r="BD10" t="s">
        <v>189</v>
      </c>
      <c r="BE10">
        <v>270000</v>
      </c>
      <c r="BF10">
        <v>249251</v>
      </c>
      <c r="BG10" t="s">
        <v>294</v>
      </c>
      <c r="BH10">
        <v>30</v>
      </c>
      <c r="BI10" t="s">
        <v>65</v>
      </c>
      <c r="BJ10" t="s">
        <v>450</v>
      </c>
      <c r="BK10">
        <v>285100</v>
      </c>
      <c r="BL10">
        <v>42800</v>
      </c>
      <c r="BM10">
        <v>242300</v>
      </c>
      <c r="BN10">
        <v>20749</v>
      </c>
      <c r="BO10">
        <v>1.0559259259259259</v>
      </c>
      <c r="BP10">
        <v>283319.22542866512</v>
      </c>
      <c r="BQ10">
        <v>305416.49637359951</v>
      </c>
      <c r="BR10" s="12">
        <f>(Sales[[#This Row],[DP1]]*Lookups!$B$59)+(Sales[[#This Row],[DP2]]*Lookups!$B$60)+(Sales[[#This Row],[DP3]]*Lookups!$B$61)</f>
        <v>-22097.270946670003</v>
      </c>
      <c r="BS10" s="12">
        <f>Lookups!$B$56*0</f>
        <v>0</v>
      </c>
      <c r="BT10" s="12">
        <f>Lookups!$B$56*1</f>
        <v>89850.625589999996</v>
      </c>
      <c r="BU10" s="12">
        <f>Lookups!$B$57*Sales[[#This Row],[LnAcres]]</f>
        <v>-110998.74281323297</v>
      </c>
      <c r="BV10" s="12">
        <f>VLOOKUP(Sales[[#This Row],[Qlty]],Lookups!$A$62:$E$75,2,FALSE)</f>
        <v>21557.329055999999</v>
      </c>
      <c r="BW10" s="12">
        <f>VLOOKUP(Sales[[#This Row],[Cnd]],Lookups!$A$76:$E$84,2,FALSE)</f>
        <v>197752.34721000001</v>
      </c>
      <c r="BX10" s="12">
        <f>Sales[[#This Row],[EffAge]]*Lookups!$B$85</f>
        <v>-7137.4592160000002</v>
      </c>
      <c r="BY10" s="12">
        <f>Sales[[#This Row],[MainFn]]*Lookups!$B$86</f>
        <v>72680.153389066996</v>
      </c>
      <c r="BZ10" s="12">
        <f>Sales[[#This Row],[UpprFn]]*Lookups!$B$87</f>
        <v>0</v>
      </c>
      <c r="CA10" s="12">
        <f>Sales[[#This Row],[AddFn]]*Lookups!$B$88</f>
        <v>0</v>
      </c>
      <c r="CB10" s="12">
        <f>Sales[[#This Row],[Bsmt]]*Lookups!$B$89</f>
        <v>0</v>
      </c>
      <c r="CC10" s="12">
        <f>Sales[[#This Row],[Fixtures]]*Lookups!$B$90</f>
        <v>41712.243157199999</v>
      </c>
      <c r="CD10" s="12">
        <f>Sales[[#This Row],[WdDeck]]*Lookups!$B$91</f>
        <v>0</v>
      </c>
      <c r="CE10" s="12">
        <f>SUM(Sales[[#This Row],[Days Prior Total]:[Mdl WdDeck]])</f>
        <v>283319.22542636405</v>
      </c>
      <c r="CF10" s="12">
        <f>ROUND(Sales[[#This Row],[25Det]],-2)</f>
        <v>20700</v>
      </c>
      <c r="CG10" s="12">
        <f>ROUND(SUM(Sales[[#This Row],[Mdl Qlty]:[Mdl WdDeck]])+Sales[[#This Row],[Mdl Res Intercept]]+Sales[[#This Row],[Days Prior Total]],-2)</f>
        <v>304500</v>
      </c>
      <c r="CH10" s="12">
        <f>ROUND(Sales[[#This Row],[Mdl Land Intercept]]+Sales[[#This Row],[Mdl LnAcres]],-2)</f>
        <v>-21100</v>
      </c>
      <c r="CI10" s="12">
        <f>Sales[[#This Row],[Unadj Res Value]]+Sales[[#This Row],[Unadj Det Value]]+Sales[[#This Row],[Unadj Land Value]]</f>
        <v>304100</v>
      </c>
      <c r="CJ10" s="13">
        <f>Sales[[#This Row],[Unadj Total Value]]/Sales[[#This Row],[Price]]</f>
        <v>1.1262962962962964</v>
      </c>
      <c r="CK10" s="13">
        <f>(Sales[[#This Row],[Unadj Total Value]]-Sales[[#This Row],[24Final]])/Sales[[#This Row],[24Final]]</f>
        <v>6.6643283058575933E-2</v>
      </c>
      <c r="CL10">
        <f>VLOOKUP(Sales[[#This Row],[TNbhd]],Lookups!$Q$2:$T$4,4,FALSE)</f>
        <v>0.99970000000000003</v>
      </c>
      <c r="CM10">
        <f>VLOOKUP(Sales[[#This Row],[Qlty]],Lookups!$O$7:$R$21,4,FALSE)</f>
        <v>1.0067999999999999</v>
      </c>
      <c r="CN10">
        <f>VLOOKUP(Sales[[#This Row],[Cnd]],Lookups!$T$7:$W$16,4,FALSE)</f>
        <v>0.99650000000000005</v>
      </c>
      <c r="CO10">
        <f>VLOOKUP(Sales[[#This Row],[LivArea Range]],Lookups!$T$25:$W$37,4,FALSE)</f>
        <v>1.0157</v>
      </c>
      <c r="CP10">
        <f>VLOOKUP(Sales[[#This Row],[Decade]],Lookups!$O$25:$R$42,4,FALSE)</f>
        <v>1.0157</v>
      </c>
      <c r="CQ10">
        <f>Sales[[#This Row],[Nbhd Adj]]*0.95</f>
        <v>0.94971499999999998</v>
      </c>
      <c r="CR10">
        <f>Sales[[#This Row],[Nbhd Adj]]*Sales[[#This Row],[Quality Adj]]*Sales[[#This Row],[Condition Adj]]*Sales[[#This Row],[Living Area Adj]]*Sales[[#This Row],[Decade Adj]]*0.95</f>
        <v>0.98298006920349545</v>
      </c>
      <c r="CS10">
        <f>ROUND(SUM(Sales[[#This Row],[Mdl Qlty]:[Mdl WdDeck]])+Sales[[#This Row],[Mdl Res Intercept]]*Sales[[#This Row],[Res Adj ]],-2)</f>
        <v>326600</v>
      </c>
      <c r="CT10">
        <f>ROUND(Sales[[#This Row],[25Det]]*Sales[[#This Row],[Det/Nbhd Adj]],-2)</f>
        <v>19700</v>
      </c>
      <c r="CU10">
        <f>Sales[[#This Row],[Adjusted Res]]+Sales[[#This Row],[Adj Det ]]</f>
        <v>346300</v>
      </c>
      <c r="CV10">
        <f>ROUND((Sales[[#This Row],[Mdl Land Intercept]]+Sales[[#This Row],[Mdl LnAcres]])*Sales[[#This Row],[Det/Nbhd Adj]],-2)</f>
        <v>-20100</v>
      </c>
      <c r="CW10">
        <f>Sales[[#This Row],[Adjusted Impr Total]]+Sales[[#This Row],[Adjusted Land Total]]</f>
        <v>326200</v>
      </c>
      <c r="CX10" s="15">
        <f>IFERROR((Sales[[#This Row],[Adjusted Impr Total]]-Sales[[#This Row],[24Bldg]])/Sales[[#This Row],[24Bldg]],0)</f>
        <v>0.42921997523730915</v>
      </c>
      <c r="CY10" s="15">
        <f>(Sales[[#This Row],[Adjusted Land Total]]-Sales[[#This Row],[24Lnd]])/Sales[[#This Row],[24Lnd]]</f>
        <v>-1.469626168224299</v>
      </c>
      <c r="CZ10" s="15">
        <f>(Sales[[#This Row],[Adjusted Total]]-Sales[[#This Row],[24Final]])/Sales[[#This Row],[24Final]]</f>
        <v>0.14415994387934059</v>
      </c>
      <c r="DA10" s="15">
        <f>(Sales[[#This Row],[Adjusted Total]]+Sales[[#This Row],[Days Prior Total]])/Sales[[#This Row],[Price]]</f>
        <v>1.1263064039012223</v>
      </c>
    </row>
    <row r="11" spans="1:105" x14ac:dyDescent="0.3">
      <c r="A11">
        <v>2025</v>
      </c>
      <c r="B11">
        <v>18132211438</v>
      </c>
      <c r="C11">
        <v>-2.4079456086518722</v>
      </c>
      <c r="D11">
        <v>0.09</v>
      </c>
      <c r="E11">
        <v>3726</v>
      </c>
      <c r="F11">
        <v>6</v>
      </c>
      <c r="G11" t="s">
        <v>28</v>
      </c>
      <c r="H11">
        <v>3032</v>
      </c>
      <c r="I11" t="s">
        <v>349</v>
      </c>
      <c r="J11" t="s">
        <v>30</v>
      </c>
      <c r="K11">
        <v>11</v>
      </c>
      <c r="L11">
        <v>262</v>
      </c>
      <c r="M11" t="s">
        <v>381</v>
      </c>
      <c r="N11" t="s">
        <v>148</v>
      </c>
      <c r="O11" t="s">
        <v>303</v>
      </c>
      <c r="P11">
        <v>40</v>
      </c>
      <c r="Q11">
        <v>1989</v>
      </c>
      <c r="R11">
        <v>1989</v>
      </c>
      <c r="S11">
        <v>35</v>
      </c>
      <c r="T11">
        <v>35</v>
      </c>
      <c r="U11">
        <v>1</v>
      </c>
      <c r="V11">
        <v>1292</v>
      </c>
      <c r="W11">
        <v>0</v>
      </c>
      <c r="X11">
        <v>0</v>
      </c>
      <c r="Y11">
        <v>588</v>
      </c>
      <c r="Z11">
        <v>0</v>
      </c>
      <c r="AA11">
        <v>588</v>
      </c>
      <c r="AB11">
        <v>1880</v>
      </c>
      <c r="AC11">
        <v>2000</v>
      </c>
      <c r="AD11">
        <v>2</v>
      </c>
      <c r="AE11" t="s">
        <v>6</v>
      </c>
      <c r="AF11" t="s">
        <v>383</v>
      </c>
      <c r="AG11" t="s">
        <v>382</v>
      </c>
      <c r="AH11" t="s">
        <v>450</v>
      </c>
      <c r="AI11">
        <v>0</v>
      </c>
      <c r="AJ11">
        <v>0</v>
      </c>
      <c r="AK11">
        <v>1</v>
      </c>
      <c r="AL11">
        <v>1</v>
      </c>
      <c r="AM11">
        <v>0</v>
      </c>
      <c r="AN11">
        <v>8</v>
      </c>
      <c r="AO11">
        <v>0</v>
      </c>
      <c r="AP11">
        <v>704</v>
      </c>
      <c r="AQ11">
        <v>0</v>
      </c>
      <c r="AR11">
        <v>96</v>
      </c>
      <c r="AS11">
        <v>0</v>
      </c>
      <c r="AT11">
        <v>0</v>
      </c>
      <c r="AU11">
        <v>100</v>
      </c>
      <c r="AV11">
        <v>100</v>
      </c>
      <c r="AW11">
        <v>353912</v>
      </c>
      <c r="AX11">
        <v>311443</v>
      </c>
      <c r="AY11">
        <v>237</v>
      </c>
      <c r="AZ11">
        <v>237</v>
      </c>
      <c r="BA11">
        <v>0</v>
      </c>
      <c r="BB11">
        <v>0</v>
      </c>
      <c r="BC11" s="3">
        <v>45055</v>
      </c>
      <c r="BD11" t="s">
        <v>402</v>
      </c>
      <c r="BE11">
        <v>390000</v>
      </c>
      <c r="BF11">
        <v>390000</v>
      </c>
      <c r="BG11" t="s">
        <v>294</v>
      </c>
      <c r="BH11">
        <v>30</v>
      </c>
      <c r="BI11" t="s">
        <v>65</v>
      </c>
      <c r="BJ11" t="s">
        <v>450</v>
      </c>
      <c r="BK11">
        <v>342600</v>
      </c>
      <c r="BL11">
        <v>51400</v>
      </c>
      <c r="BM11">
        <v>291200</v>
      </c>
      <c r="BN11">
        <v>0</v>
      </c>
      <c r="BO11">
        <v>0.87846153846153852</v>
      </c>
      <c r="BP11">
        <v>345441.23151460377</v>
      </c>
      <c r="BQ11">
        <v>362163.52410069283</v>
      </c>
      <c r="BR11" s="12">
        <f>(Sales[[#This Row],[DP1]]*Lookups!$B$59)+(Sales[[#This Row],[DP2]]*Lookups!$B$60)+(Sales[[#This Row],[DP3]]*Lookups!$B$61)</f>
        <v>-16722.29258709</v>
      </c>
      <c r="BS11" s="12">
        <f>Lookups!$B$56*0</f>
        <v>0</v>
      </c>
      <c r="BT11" s="12">
        <f>Lookups!$B$56*1</f>
        <v>89850.625589999996</v>
      </c>
      <c r="BU11" s="12">
        <f>Lookups!$B$57*Sales[[#This Row],[LnAcres]]</f>
        <v>-76222.592967103381</v>
      </c>
      <c r="BV11" s="12">
        <f>VLOOKUP(Sales[[#This Row],[Qlty]],Lookups!$A$62:$E$75,2,FALSE)</f>
        <v>44121.038090000002</v>
      </c>
      <c r="BW11" s="12">
        <f>VLOOKUP(Sales[[#This Row],[Cnd]],Lookups!$A$76:$E$84,2,FALSE)</f>
        <v>197752.34721000001</v>
      </c>
      <c r="BX11" s="12">
        <f>Sales[[#This Row],[EffAge]]*Lookups!$B$85</f>
        <v>-7806.5960175</v>
      </c>
      <c r="BY11" s="12">
        <f>Sales[[#This Row],[MainFn]]*Lookups!$B$86</f>
        <v>63836.001481084</v>
      </c>
      <c r="BZ11" s="12">
        <f>Sales[[#This Row],[UpprFn]]*Lookups!$B$87</f>
        <v>0</v>
      </c>
      <c r="CA11" s="12">
        <f>Sales[[#This Row],[AddFn]]*Lookups!$B$88</f>
        <v>0</v>
      </c>
      <c r="CB11" s="12">
        <f>Sales[[#This Row],[Bsmt]]*Lookups!$B$89</f>
        <v>17100.154405236</v>
      </c>
      <c r="CC11" s="12">
        <f>Sales[[#This Row],[Fixtures]]*Lookups!$B$90</f>
        <v>30336.176841600001</v>
      </c>
      <c r="CD11" s="12">
        <f>Sales[[#This Row],[WdDeck]]*Lookups!$B$91</f>
        <v>3196.3694664960003</v>
      </c>
      <c r="CE11" s="12">
        <f>SUM(Sales[[#This Row],[Days Prior Total]:[Mdl WdDeck]])</f>
        <v>345441.23151272262</v>
      </c>
      <c r="CF11" s="12">
        <f>ROUND(Sales[[#This Row],[25Det]],-2)</f>
        <v>0</v>
      </c>
      <c r="CG11" s="12">
        <f>ROUND(SUM(Sales[[#This Row],[Mdl Qlty]:[Mdl WdDeck]])+Sales[[#This Row],[Mdl Res Intercept]]+Sales[[#This Row],[Days Prior Total]],-2)</f>
        <v>331800</v>
      </c>
      <c r="CH11" s="12">
        <f>ROUND(Sales[[#This Row],[Mdl Land Intercept]]+Sales[[#This Row],[Mdl LnAcres]],-2)</f>
        <v>13600</v>
      </c>
      <c r="CI11" s="12">
        <f>Sales[[#This Row],[Unadj Res Value]]+Sales[[#This Row],[Unadj Det Value]]+Sales[[#This Row],[Unadj Land Value]]</f>
        <v>345400</v>
      </c>
      <c r="CJ11" s="13">
        <f>Sales[[#This Row],[Unadj Total Value]]/Sales[[#This Row],[Price]]</f>
        <v>0.88564102564102565</v>
      </c>
      <c r="CK11" s="13">
        <f>(Sales[[#This Row],[Unadj Total Value]]-Sales[[#This Row],[24Final]])/Sales[[#This Row],[24Final]]</f>
        <v>8.1727962638645651E-3</v>
      </c>
      <c r="CL11">
        <f>VLOOKUP(Sales[[#This Row],[TNbhd]],Lookups!$Q$2:$T$4,4,FALSE)</f>
        <v>0.99970000000000003</v>
      </c>
      <c r="CM11">
        <f>VLOOKUP(Sales[[#This Row],[Qlty]],Lookups!$O$7:$R$21,4,FALSE)</f>
        <v>0.98050000000000004</v>
      </c>
      <c r="CN11">
        <f>VLOOKUP(Sales[[#This Row],[Cnd]],Lookups!$T$7:$W$16,4,FALSE)</f>
        <v>0.99650000000000005</v>
      </c>
      <c r="CO11">
        <f>VLOOKUP(Sales[[#This Row],[LivArea Range]],Lookups!$T$25:$W$37,4,FALSE)</f>
        <v>1.0093000000000001</v>
      </c>
      <c r="CP11">
        <f>VLOOKUP(Sales[[#This Row],[Decade]],Lookups!$O$25:$R$42,4,FALSE)</f>
        <v>1.0157</v>
      </c>
      <c r="CQ11">
        <f>Sales[[#This Row],[Nbhd Adj]]*0.95</f>
        <v>0.94971499999999998</v>
      </c>
      <c r="CR11">
        <f>Sales[[#This Row],[Nbhd Adj]]*Sales[[#This Row],[Quality Adj]]*Sales[[#This Row],[Condition Adj]]*Sales[[#This Row],[Living Area Adj]]*Sales[[#This Row],[Decade Adj]]*0.95</f>
        <v>0.95127027036479783</v>
      </c>
      <c r="CS11">
        <f>ROUND(SUM(Sales[[#This Row],[Mdl Qlty]:[Mdl WdDeck]])+Sales[[#This Row],[Mdl Res Intercept]]*Sales[[#This Row],[Res Adj ]],-2)</f>
        <v>348500</v>
      </c>
      <c r="CT11">
        <f>ROUND(Sales[[#This Row],[25Det]]*Sales[[#This Row],[Det/Nbhd Adj]],-2)</f>
        <v>0</v>
      </c>
      <c r="CU11">
        <f>Sales[[#This Row],[Adjusted Res]]+Sales[[#This Row],[Adj Det ]]</f>
        <v>348500</v>
      </c>
      <c r="CV11">
        <f>ROUND((Sales[[#This Row],[Mdl Land Intercept]]+Sales[[#This Row],[Mdl LnAcres]])*Sales[[#This Row],[Det/Nbhd Adj]],-2)</f>
        <v>12900</v>
      </c>
      <c r="CW11">
        <f>Sales[[#This Row],[Adjusted Impr Total]]+Sales[[#This Row],[Adjusted Land Total]]</f>
        <v>361400</v>
      </c>
      <c r="CX11" s="15">
        <f>IFERROR((Sales[[#This Row],[Adjusted Impr Total]]-Sales[[#This Row],[24Bldg]])/Sales[[#This Row],[24Bldg]],0)</f>
        <v>0.19677197802197802</v>
      </c>
      <c r="CY11" s="15">
        <f>(Sales[[#This Row],[Adjusted Land Total]]-Sales[[#This Row],[24Lnd]])/Sales[[#This Row],[24Lnd]]</f>
        <v>-0.74902723735408561</v>
      </c>
      <c r="CZ11" s="15">
        <f>(Sales[[#This Row],[Adjusted Total]]-Sales[[#This Row],[24Final]])/Sales[[#This Row],[24Final]]</f>
        <v>5.4874489200233509E-2</v>
      </c>
      <c r="DA11" s="15">
        <f>(Sales[[#This Row],[Adjusted Total]]+Sales[[#This Row],[Days Prior Total]])/Sales[[#This Row],[Price]]</f>
        <v>0.8837889933664359</v>
      </c>
    </row>
    <row r="12" spans="1:105" x14ac:dyDescent="0.3">
      <c r="A12">
        <v>2025</v>
      </c>
      <c r="B12">
        <v>18132322498</v>
      </c>
      <c r="C12">
        <v>-1.7719568419318752</v>
      </c>
      <c r="D12">
        <v>0.17</v>
      </c>
      <c r="E12">
        <v>7501</v>
      </c>
      <c r="F12">
        <v>6</v>
      </c>
      <c r="G12" t="s">
        <v>126</v>
      </c>
      <c r="H12">
        <v>3033</v>
      </c>
      <c r="I12" t="s">
        <v>349</v>
      </c>
      <c r="J12" t="s">
        <v>30</v>
      </c>
      <c r="K12">
        <v>11</v>
      </c>
      <c r="L12">
        <v>259</v>
      </c>
      <c r="M12" t="s">
        <v>300</v>
      </c>
      <c r="N12" t="s">
        <v>302</v>
      </c>
      <c r="O12" t="s">
        <v>303</v>
      </c>
      <c r="P12">
        <v>40</v>
      </c>
      <c r="Q12">
        <v>1989</v>
      </c>
      <c r="R12">
        <v>1989</v>
      </c>
      <c r="S12">
        <v>35</v>
      </c>
      <c r="T12">
        <v>35</v>
      </c>
      <c r="U12">
        <v>1</v>
      </c>
      <c r="V12">
        <v>1142</v>
      </c>
      <c r="W12">
        <v>0</v>
      </c>
      <c r="X12">
        <v>0</v>
      </c>
      <c r="Y12">
        <v>686</v>
      </c>
      <c r="Z12">
        <v>0</v>
      </c>
      <c r="AA12">
        <v>686</v>
      </c>
      <c r="AB12">
        <v>1828</v>
      </c>
      <c r="AC12">
        <v>2000</v>
      </c>
      <c r="AD12">
        <v>2</v>
      </c>
      <c r="AF12" t="s">
        <v>383</v>
      </c>
      <c r="AG12" t="s">
        <v>148</v>
      </c>
      <c r="AH12" t="s">
        <v>450</v>
      </c>
      <c r="AI12">
        <v>0</v>
      </c>
      <c r="AJ12">
        <v>0</v>
      </c>
      <c r="AK12">
        <v>0</v>
      </c>
      <c r="AL12">
        <v>2</v>
      </c>
      <c r="AM12">
        <v>0</v>
      </c>
      <c r="AN12">
        <v>11</v>
      </c>
      <c r="AO12">
        <v>0</v>
      </c>
      <c r="AP12">
        <v>420</v>
      </c>
      <c r="AQ12">
        <v>0</v>
      </c>
      <c r="AR12">
        <v>558</v>
      </c>
      <c r="AS12">
        <v>260</v>
      </c>
      <c r="AT12">
        <v>0</v>
      </c>
      <c r="AU12">
        <v>100</v>
      </c>
      <c r="AV12">
        <v>100</v>
      </c>
      <c r="AW12">
        <v>292137</v>
      </c>
      <c r="AX12">
        <v>257081</v>
      </c>
      <c r="AY12">
        <v>504</v>
      </c>
      <c r="AZ12">
        <v>365</v>
      </c>
      <c r="BA12">
        <v>139</v>
      </c>
      <c r="BB12">
        <v>0</v>
      </c>
      <c r="BC12" s="3">
        <v>44788</v>
      </c>
      <c r="BD12" t="s">
        <v>113</v>
      </c>
      <c r="BE12">
        <v>350000</v>
      </c>
      <c r="BF12">
        <v>350000</v>
      </c>
      <c r="BG12" t="s">
        <v>294</v>
      </c>
      <c r="BH12">
        <v>30</v>
      </c>
      <c r="BI12" t="s">
        <v>65</v>
      </c>
      <c r="BJ12" t="s">
        <v>450</v>
      </c>
      <c r="BK12">
        <v>359100</v>
      </c>
      <c r="BL12">
        <v>52700</v>
      </c>
      <c r="BM12">
        <v>306400</v>
      </c>
      <c r="BN12">
        <v>0</v>
      </c>
      <c r="BO12">
        <v>1.026</v>
      </c>
      <c r="BP12">
        <v>366028.29793632287</v>
      </c>
      <c r="BQ12">
        <v>390185.87882316776</v>
      </c>
      <c r="BR12" s="12">
        <f>(Sales[[#This Row],[DP1]]*Lookups!$B$59)+(Sales[[#This Row],[DP2]]*Lookups!$B$60)+(Sales[[#This Row],[DP3]]*Lookups!$B$61)</f>
        <v>-24157.580888422002</v>
      </c>
      <c r="BS12" s="12">
        <f>Lookups!$B$56*0</f>
        <v>0</v>
      </c>
      <c r="BT12" s="12">
        <f>Lookups!$B$56*1</f>
        <v>89850.625589999996</v>
      </c>
      <c r="BU12" s="12">
        <f>Lookups!$B$57*Sales[[#This Row],[LnAcres]]</f>
        <v>-56090.612940989391</v>
      </c>
      <c r="BV12" s="12">
        <f>VLOOKUP(Sales[[#This Row],[Qlty]],Lookups!$A$62:$E$75,2,FALSE)</f>
        <v>29814.093161000001</v>
      </c>
      <c r="BW12" s="12">
        <f>VLOOKUP(Sales[[#This Row],[Cnd]],Lookups!$A$76:$E$84,2,FALSE)</f>
        <v>197752.34721000001</v>
      </c>
      <c r="BX12" s="12">
        <f>Sales[[#This Row],[EffAge]]*Lookups!$B$85</f>
        <v>-7806.5960175</v>
      </c>
      <c r="BY12" s="12">
        <f>Sales[[#This Row],[MainFn]]*Lookups!$B$86</f>
        <v>56424.700999534005</v>
      </c>
      <c r="BZ12" s="12">
        <f>Sales[[#This Row],[UpprFn]]*Lookups!$B$87</f>
        <v>0</v>
      </c>
      <c r="CA12" s="12">
        <f>Sales[[#This Row],[AddFn]]*Lookups!$B$88</f>
        <v>0</v>
      </c>
      <c r="CB12" s="12">
        <f>Sales[[#This Row],[Bsmt]]*Lookups!$B$89</f>
        <v>19950.180139442</v>
      </c>
      <c r="CC12" s="12">
        <f>Sales[[#This Row],[Fixtures]]*Lookups!$B$90</f>
        <v>41712.243157199999</v>
      </c>
      <c r="CD12" s="12">
        <f>Sales[[#This Row],[WdDeck]]*Lookups!$B$91</f>
        <v>18578.897524008004</v>
      </c>
      <c r="CE12" s="12">
        <f>SUM(Sales[[#This Row],[Days Prior Total]:[Mdl WdDeck]])</f>
        <v>366028.29793427256</v>
      </c>
      <c r="CF12" s="12">
        <f>ROUND(Sales[[#This Row],[25Det]],-2)</f>
        <v>0</v>
      </c>
      <c r="CG12" s="12">
        <f>ROUND(SUM(Sales[[#This Row],[Mdl Qlty]:[Mdl WdDeck]])+Sales[[#This Row],[Mdl Res Intercept]]+Sales[[#This Row],[Days Prior Total]],-2)</f>
        <v>332300</v>
      </c>
      <c r="CH12" s="12">
        <f>ROUND(Sales[[#This Row],[Mdl Land Intercept]]+Sales[[#This Row],[Mdl LnAcres]],-2)</f>
        <v>33800</v>
      </c>
      <c r="CI12" s="12">
        <f>Sales[[#This Row],[Unadj Res Value]]+Sales[[#This Row],[Unadj Det Value]]+Sales[[#This Row],[Unadj Land Value]]</f>
        <v>366100</v>
      </c>
      <c r="CJ12" s="13">
        <f>Sales[[#This Row],[Unadj Total Value]]/Sales[[#This Row],[Price]]</f>
        <v>1.046</v>
      </c>
      <c r="CK12" s="13">
        <f>(Sales[[#This Row],[Unadj Total Value]]-Sales[[#This Row],[24Final]])/Sales[[#This Row],[24Final]]</f>
        <v>1.9493177387914229E-2</v>
      </c>
      <c r="CL12">
        <f>VLOOKUP(Sales[[#This Row],[TNbhd]],Lookups!$Q$2:$T$4,4,FALSE)</f>
        <v>0.99970000000000003</v>
      </c>
      <c r="CM12">
        <f>VLOOKUP(Sales[[#This Row],[Qlty]],Lookups!$O$7:$R$21,4,FALSE)</f>
        <v>1.0088999999999999</v>
      </c>
      <c r="CN12">
        <f>VLOOKUP(Sales[[#This Row],[Cnd]],Lookups!$T$7:$W$16,4,FALSE)</f>
        <v>0.99650000000000005</v>
      </c>
      <c r="CO12">
        <f>VLOOKUP(Sales[[#This Row],[LivArea Range]],Lookups!$T$25:$W$37,4,FALSE)</f>
        <v>1.0093000000000001</v>
      </c>
      <c r="CP12">
        <f>VLOOKUP(Sales[[#This Row],[Decade]],Lookups!$O$25:$R$42,4,FALSE)</f>
        <v>1.0157</v>
      </c>
      <c r="CQ12">
        <f>Sales[[#This Row],[Nbhd Adj]]*0.95</f>
        <v>0.94971499999999998</v>
      </c>
      <c r="CR12">
        <f>Sales[[#This Row],[Nbhd Adj]]*Sales[[#This Row],[Quality Adj]]*Sales[[#This Row],[Condition Adj]]*Sales[[#This Row],[Living Area Adj]]*Sales[[#This Row],[Decade Adj]]*0.95</f>
        <v>0.97882363668642969</v>
      </c>
      <c r="CS12">
        <f>ROUND(SUM(Sales[[#This Row],[Mdl Qlty]:[Mdl WdDeck]])+Sales[[#This Row],[Mdl Res Intercept]]*Sales[[#This Row],[Res Adj ]],-2)</f>
        <v>356400</v>
      </c>
      <c r="CT12">
        <f>ROUND(Sales[[#This Row],[25Det]]*Sales[[#This Row],[Det/Nbhd Adj]],-2)</f>
        <v>0</v>
      </c>
      <c r="CU12">
        <f>Sales[[#This Row],[Adjusted Res]]+Sales[[#This Row],[Adj Det ]]</f>
        <v>356400</v>
      </c>
      <c r="CV12">
        <f>ROUND((Sales[[#This Row],[Mdl Land Intercept]]+Sales[[#This Row],[Mdl LnAcres]])*Sales[[#This Row],[Det/Nbhd Adj]],-2)</f>
        <v>32100</v>
      </c>
      <c r="CW12">
        <f>Sales[[#This Row],[Adjusted Impr Total]]+Sales[[#This Row],[Adjusted Land Total]]</f>
        <v>388500</v>
      </c>
      <c r="CX12" s="15">
        <f>IFERROR((Sales[[#This Row],[Adjusted Impr Total]]-Sales[[#This Row],[24Bldg]])/Sales[[#This Row],[24Bldg]],0)</f>
        <v>0.16318537859007834</v>
      </c>
      <c r="CY12" s="15">
        <f>(Sales[[#This Row],[Adjusted Land Total]]-Sales[[#This Row],[24Lnd]])/Sales[[#This Row],[24Lnd]]</f>
        <v>-0.39089184060721061</v>
      </c>
      <c r="CZ12" s="15">
        <f>(Sales[[#This Row],[Adjusted Total]]-Sales[[#This Row],[24Final]])/Sales[[#This Row],[24Final]]</f>
        <v>8.1871345029239762E-2</v>
      </c>
      <c r="DA12" s="15">
        <f>(Sales[[#This Row],[Adjusted Total]]+Sales[[#This Row],[Days Prior Total]])/Sales[[#This Row],[Price]]</f>
        <v>1.0409783403187944</v>
      </c>
    </row>
    <row r="13" spans="1:105" x14ac:dyDescent="0.3">
      <c r="A13">
        <v>2025</v>
      </c>
      <c r="B13">
        <v>18132211436</v>
      </c>
      <c r="C13">
        <v>-3.912023005428146</v>
      </c>
      <c r="D13">
        <v>0.02</v>
      </c>
      <c r="E13">
        <v>1600</v>
      </c>
      <c r="F13">
        <v>6</v>
      </c>
      <c r="G13" t="s">
        <v>28</v>
      </c>
      <c r="H13">
        <v>3032</v>
      </c>
      <c r="I13" t="s">
        <v>349</v>
      </c>
      <c r="J13" t="s">
        <v>146</v>
      </c>
      <c r="K13">
        <v>11</v>
      </c>
      <c r="L13">
        <v>262</v>
      </c>
      <c r="M13" t="s">
        <v>381</v>
      </c>
      <c r="N13" t="s">
        <v>148</v>
      </c>
      <c r="O13" t="s">
        <v>303</v>
      </c>
      <c r="P13">
        <v>40</v>
      </c>
      <c r="Q13">
        <v>1984</v>
      </c>
      <c r="R13">
        <v>1984</v>
      </c>
      <c r="S13">
        <v>40</v>
      </c>
      <c r="T13">
        <v>40</v>
      </c>
      <c r="U13">
        <v>1</v>
      </c>
      <c r="V13">
        <v>1600</v>
      </c>
      <c r="W13">
        <v>0</v>
      </c>
      <c r="X13">
        <v>0</v>
      </c>
      <c r="Y13">
        <v>1180</v>
      </c>
      <c r="Z13">
        <v>370</v>
      </c>
      <c r="AA13">
        <v>810</v>
      </c>
      <c r="AB13">
        <v>2410</v>
      </c>
      <c r="AC13">
        <v>2500</v>
      </c>
      <c r="AD13">
        <v>2</v>
      </c>
      <c r="AF13" t="s">
        <v>383</v>
      </c>
      <c r="AG13" t="s">
        <v>148</v>
      </c>
      <c r="AH13" t="s">
        <v>450</v>
      </c>
      <c r="AI13">
        <v>0</v>
      </c>
      <c r="AJ13">
        <v>1</v>
      </c>
      <c r="AK13">
        <v>0</v>
      </c>
      <c r="AL13">
        <v>1</v>
      </c>
      <c r="AM13">
        <v>0</v>
      </c>
      <c r="AN13">
        <v>11</v>
      </c>
      <c r="AO13">
        <v>0</v>
      </c>
      <c r="AP13">
        <v>596</v>
      </c>
      <c r="AQ13">
        <v>0</v>
      </c>
      <c r="AR13">
        <v>482</v>
      </c>
      <c r="AS13">
        <v>0</v>
      </c>
      <c r="AT13">
        <v>266</v>
      </c>
      <c r="AU13">
        <v>100</v>
      </c>
      <c r="AV13">
        <v>100</v>
      </c>
      <c r="AW13">
        <v>382728</v>
      </c>
      <c r="AX13">
        <v>332973</v>
      </c>
      <c r="AY13">
        <v>474</v>
      </c>
      <c r="AZ13">
        <v>365</v>
      </c>
      <c r="BA13">
        <v>109</v>
      </c>
      <c r="BB13">
        <v>0</v>
      </c>
      <c r="BC13" s="3">
        <v>44818</v>
      </c>
      <c r="BD13" t="s">
        <v>165</v>
      </c>
      <c r="BE13">
        <v>375000</v>
      </c>
      <c r="BF13">
        <v>375000</v>
      </c>
      <c r="BG13" t="s">
        <v>294</v>
      </c>
      <c r="BH13">
        <v>30</v>
      </c>
      <c r="BI13" t="s">
        <v>65</v>
      </c>
      <c r="BJ13" t="s">
        <v>450</v>
      </c>
      <c r="BK13">
        <v>293900</v>
      </c>
      <c r="BL13">
        <v>44100</v>
      </c>
      <c r="BM13">
        <v>249800</v>
      </c>
      <c r="BN13">
        <v>0</v>
      </c>
      <c r="BO13">
        <v>0.78373333333333328</v>
      </c>
      <c r="BP13">
        <v>345597.71554297523</v>
      </c>
      <c r="BQ13">
        <v>370099.79157938773</v>
      </c>
      <c r="BR13" s="12">
        <f>(Sales[[#This Row],[DP1]]*Lookups!$B$59)+(Sales[[#This Row],[DP2]]*Lookups!$B$60)+(Sales[[#This Row],[DP3]]*Lookups!$B$61)</f>
        <v>-24502.076037982002</v>
      </c>
      <c r="BS13" s="12">
        <f>Lookups!$B$56*0</f>
        <v>0</v>
      </c>
      <c r="BT13" s="12">
        <f>Lookups!$B$56*1</f>
        <v>89850.625589999996</v>
      </c>
      <c r="BU13" s="12">
        <f>Lookups!$B$57*Sales[[#This Row],[LnAcres]]</f>
        <v>-123833.58500677992</v>
      </c>
      <c r="BV13" s="12">
        <f>VLOOKUP(Sales[[#This Row],[Qlty]],Lookups!$A$62:$E$75,2,FALSE)</f>
        <v>44121.038090000002</v>
      </c>
      <c r="BW13" s="12">
        <f>VLOOKUP(Sales[[#This Row],[Cnd]],Lookups!$A$76:$E$84,2,FALSE)</f>
        <v>197752.34721000001</v>
      </c>
      <c r="BX13" s="12">
        <f>Sales[[#This Row],[EffAge]]*Lookups!$B$85</f>
        <v>-8921.82402</v>
      </c>
      <c r="BY13" s="12">
        <f>Sales[[#This Row],[MainFn]]*Lookups!$B$86</f>
        <v>79053.871803200003</v>
      </c>
      <c r="BZ13" s="12">
        <f>Sales[[#This Row],[UpprFn]]*Lookups!$B$87</f>
        <v>0</v>
      </c>
      <c r="CA13" s="12">
        <f>Sales[[#This Row],[AddFn]]*Lookups!$B$88</f>
        <v>0</v>
      </c>
      <c r="CB13" s="12">
        <f>Sales[[#This Row],[Bsmt]]*Lookups!$B$89</f>
        <v>34316.636391460001</v>
      </c>
      <c r="CC13" s="12">
        <f>Sales[[#This Row],[Fixtures]]*Lookups!$B$90</f>
        <v>41712.243157199999</v>
      </c>
      <c r="CD13" s="12">
        <f>Sales[[#This Row],[WdDeck]]*Lookups!$B$91</f>
        <v>16048.438363032001</v>
      </c>
      <c r="CE13" s="12">
        <f>SUM(Sales[[#This Row],[Days Prior Total]:[Mdl WdDeck]])</f>
        <v>345597.7155401301</v>
      </c>
      <c r="CF13" s="12">
        <f>ROUND(Sales[[#This Row],[25Det]],-2)</f>
        <v>0</v>
      </c>
      <c r="CG13" s="12">
        <f>ROUND(SUM(Sales[[#This Row],[Mdl Qlty]:[Mdl WdDeck]])+Sales[[#This Row],[Mdl Res Intercept]]+Sales[[#This Row],[Days Prior Total]],-2)</f>
        <v>379600</v>
      </c>
      <c r="CH13" s="12">
        <f>ROUND(Sales[[#This Row],[Mdl Land Intercept]]+Sales[[#This Row],[Mdl LnAcres]],-2)</f>
        <v>-34000</v>
      </c>
      <c r="CI13" s="12">
        <f>Sales[[#This Row],[Unadj Res Value]]+Sales[[#This Row],[Unadj Det Value]]+Sales[[#This Row],[Unadj Land Value]]</f>
        <v>345600</v>
      </c>
      <c r="CJ13" s="13">
        <f>Sales[[#This Row],[Unadj Total Value]]/Sales[[#This Row],[Price]]</f>
        <v>0.92159999999999997</v>
      </c>
      <c r="CK13" s="13">
        <f>(Sales[[#This Row],[Unadj Total Value]]-Sales[[#This Row],[24Final]])/Sales[[#This Row],[24Final]]</f>
        <v>0.17591017352841101</v>
      </c>
      <c r="CL13">
        <f>VLOOKUP(Sales[[#This Row],[TNbhd]],Lookups!$Q$2:$T$4,4,FALSE)</f>
        <v>0.99970000000000003</v>
      </c>
      <c r="CM13">
        <f>VLOOKUP(Sales[[#This Row],[Qlty]],Lookups!$O$7:$R$21,4,FALSE)</f>
        <v>0.98050000000000004</v>
      </c>
      <c r="CN13">
        <f>VLOOKUP(Sales[[#This Row],[Cnd]],Lookups!$T$7:$W$16,4,FALSE)</f>
        <v>0.99650000000000005</v>
      </c>
      <c r="CO13">
        <f>VLOOKUP(Sales[[#This Row],[LivArea Range]],Lookups!$T$25:$W$37,4,FALSE)</f>
        <v>0.98919999999999997</v>
      </c>
      <c r="CP13">
        <f>VLOOKUP(Sales[[#This Row],[Decade]],Lookups!$O$25:$R$42,4,FALSE)</f>
        <v>1.0157</v>
      </c>
      <c r="CQ13">
        <f>Sales[[#This Row],[Nbhd Adj]]*0.95</f>
        <v>0.94971499999999998</v>
      </c>
      <c r="CR13">
        <f>Sales[[#This Row],[Nbhd Adj]]*Sales[[#This Row],[Quality Adj]]*Sales[[#This Row],[Condition Adj]]*Sales[[#This Row],[Living Area Adj]]*Sales[[#This Row],[Decade Adj]]*0.95</f>
        <v>0.93232592038527484</v>
      </c>
      <c r="CS13">
        <f>ROUND(SUM(Sales[[#This Row],[Mdl Qlty]:[Mdl WdDeck]])+Sales[[#This Row],[Mdl Res Intercept]]*Sales[[#This Row],[Res Adj ]],-2)</f>
        <v>404100</v>
      </c>
      <c r="CT13">
        <f>ROUND(Sales[[#This Row],[25Det]]*Sales[[#This Row],[Det/Nbhd Adj]],-2)</f>
        <v>0</v>
      </c>
      <c r="CU13">
        <f>Sales[[#This Row],[Adjusted Res]]+Sales[[#This Row],[Adj Det ]]</f>
        <v>404100</v>
      </c>
      <c r="CV13">
        <f>ROUND((Sales[[#This Row],[Mdl Land Intercept]]+Sales[[#This Row],[Mdl LnAcres]])*Sales[[#This Row],[Det/Nbhd Adj]],-2)</f>
        <v>-32300</v>
      </c>
      <c r="CW13">
        <f>Sales[[#This Row],[Adjusted Impr Total]]+Sales[[#This Row],[Adjusted Land Total]]</f>
        <v>371800</v>
      </c>
      <c r="CX13" s="15">
        <f>IFERROR((Sales[[#This Row],[Adjusted Impr Total]]-Sales[[#This Row],[24Bldg]])/Sales[[#This Row],[24Bldg]],0)</f>
        <v>0.61769415532425942</v>
      </c>
      <c r="CY13" s="15">
        <f>(Sales[[#This Row],[Adjusted Land Total]]-Sales[[#This Row],[24Lnd]])/Sales[[#This Row],[24Lnd]]</f>
        <v>-1.7324263038548753</v>
      </c>
      <c r="CZ13" s="15">
        <f>(Sales[[#This Row],[Adjusted Total]]-Sales[[#This Row],[24Final]])/Sales[[#This Row],[24Final]]</f>
        <v>0.26505614154474311</v>
      </c>
      <c r="DA13" s="15">
        <f>(Sales[[#This Row],[Adjusted Total]]+Sales[[#This Row],[Days Prior Total]])/Sales[[#This Row],[Price]]</f>
        <v>0.92612779723204797</v>
      </c>
    </row>
    <row r="14" spans="1:105" x14ac:dyDescent="0.3">
      <c r="A14">
        <v>2025</v>
      </c>
      <c r="B14">
        <v>18132322477</v>
      </c>
      <c r="C14">
        <v>-3.5065578973199818</v>
      </c>
      <c r="D14">
        <v>0.03</v>
      </c>
      <c r="E14">
        <v>1474</v>
      </c>
      <c r="F14">
        <v>6</v>
      </c>
      <c r="G14" t="s">
        <v>28</v>
      </c>
      <c r="H14" t="s">
        <v>29</v>
      </c>
      <c r="I14" t="s">
        <v>349</v>
      </c>
      <c r="J14" t="s">
        <v>146</v>
      </c>
      <c r="K14">
        <v>11</v>
      </c>
      <c r="L14">
        <v>262</v>
      </c>
      <c r="M14" t="s">
        <v>381</v>
      </c>
      <c r="N14" t="s">
        <v>351</v>
      </c>
      <c r="O14" t="s">
        <v>323</v>
      </c>
      <c r="P14">
        <v>50</v>
      </c>
      <c r="Q14">
        <v>1980</v>
      </c>
      <c r="R14">
        <v>1980</v>
      </c>
      <c r="S14">
        <v>44</v>
      </c>
      <c r="T14">
        <v>44</v>
      </c>
      <c r="U14">
        <v>1</v>
      </c>
      <c r="V14">
        <v>1454</v>
      </c>
      <c r="W14">
        <v>0</v>
      </c>
      <c r="X14">
        <v>0</v>
      </c>
      <c r="Y14">
        <v>0</v>
      </c>
      <c r="Z14">
        <v>0</v>
      </c>
      <c r="AA14">
        <v>0</v>
      </c>
      <c r="AB14">
        <v>1454</v>
      </c>
      <c r="AC14">
        <v>1500</v>
      </c>
      <c r="AD14">
        <v>0</v>
      </c>
      <c r="AE14" t="s">
        <v>174</v>
      </c>
      <c r="AF14" t="s">
        <v>383</v>
      </c>
      <c r="AG14" t="s">
        <v>382</v>
      </c>
      <c r="AH14" t="s">
        <v>450</v>
      </c>
      <c r="AI14">
        <v>0</v>
      </c>
      <c r="AJ14">
        <v>0</v>
      </c>
      <c r="AK14">
        <v>1</v>
      </c>
      <c r="AL14">
        <v>0</v>
      </c>
      <c r="AM14">
        <v>0</v>
      </c>
      <c r="AN14">
        <v>8</v>
      </c>
      <c r="AO14">
        <v>0</v>
      </c>
      <c r="AP14">
        <v>0</v>
      </c>
      <c r="AQ14">
        <v>0</v>
      </c>
      <c r="AR14">
        <v>0</v>
      </c>
      <c r="AS14">
        <v>220</v>
      </c>
      <c r="AT14">
        <v>0</v>
      </c>
      <c r="AU14">
        <v>100</v>
      </c>
      <c r="AV14">
        <v>100</v>
      </c>
      <c r="AW14">
        <v>170574</v>
      </c>
      <c r="AX14">
        <v>144988</v>
      </c>
      <c r="AY14">
        <v>826</v>
      </c>
      <c r="AZ14">
        <v>365</v>
      </c>
      <c r="BA14">
        <v>365</v>
      </c>
      <c r="BB14">
        <v>96</v>
      </c>
      <c r="BC14" s="3">
        <v>44466</v>
      </c>
      <c r="BD14" t="s">
        <v>423</v>
      </c>
      <c r="BE14">
        <v>245000</v>
      </c>
      <c r="BF14">
        <v>230427</v>
      </c>
      <c r="BG14" t="s">
        <v>294</v>
      </c>
      <c r="BH14">
        <v>30</v>
      </c>
      <c r="BI14" t="s">
        <v>65</v>
      </c>
      <c r="BJ14" t="s">
        <v>450</v>
      </c>
      <c r="BK14">
        <v>261500</v>
      </c>
      <c r="BL14">
        <v>39200</v>
      </c>
      <c r="BM14">
        <v>222300</v>
      </c>
      <c r="BN14">
        <v>14573</v>
      </c>
      <c r="BO14">
        <v>1.0673469387755101</v>
      </c>
      <c r="BP14">
        <v>218844.12291261688</v>
      </c>
      <c r="BQ14">
        <v>253243.79144203663</v>
      </c>
      <c r="BR14" s="12">
        <f>(Sales[[#This Row],[DP1]]*Lookups!$B$59)+(Sales[[#This Row],[DP2]]*Lookups!$B$60)+(Sales[[#This Row],[DP3]]*Lookups!$B$61)</f>
        <v>-34399.668533470001</v>
      </c>
      <c r="BS14" s="12">
        <f>Lookups!$B$56*0</f>
        <v>0</v>
      </c>
      <c r="BT14" s="12">
        <f>Lookups!$B$56*1</f>
        <v>89850.625589999996</v>
      </c>
      <c r="BU14" s="12">
        <f>Lookups!$B$57*Sales[[#This Row],[LnAcres]]</f>
        <v>-110998.74281323297</v>
      </c>
      <c r="BV14" s="12">
        <f>VLOOKUP(Sales[[#This Row],[Qlty]],Lookups!$A$62:$E$75,2,FALSE)</f>
        <v>21557.329055999999</v>
      </c>
      <c r="BW14" s="12">
        <f>VLOOKUP(Sales[[#This Row],[Cnd]],Lookups!$A$76:$E$84,2,FALSE)</f>
        <v>160472.20319</v>
      </c>
      <c r="BX14" s="12">
        <f>Sales[[#This Row],[EffAge]]*Lookups!$B$85</f>
        <v>-9814.0064220000004</v>
      </c>
      <c r="BY14" s="12">
        <f>Sales[[#This Row],[MainFn]]*Lookups!$B$86</f>
        <v>71840.206001158003</v>
      </c>
      <c r="BZ14" s="12">
        <f>Sales[[#This Row],[UpprFn]]*Lookups!$B$87</f>
        <v>0</v>
      </c>
      <c r="CA14" s="12">
        <f>Sales[[#This Row],[AddFn]]*Lookups!$B$88</f>
        <v>0</v>
      </c>
      <c r="CB14" s="12">
        <f>Sales[[#This Row],[Bsmt]]*Lookups!$B$89</f>
        <v>0</v>
      </c>
      <c r="CC14" s="12">
        <f>Sales[[#This Row],[Fixtures]]*Lookups!$B$90</f>
        <v>30336.176841600001</v>
      </c>
      <c r="CD14" s="12">
        <f>Sales[[#This Row],[WdDeck]]*Lookups!$B$91</f>
        <v>0</v>
      </c>
      <c r="CE14" s="12">
        <f>SUM(Sales[[#This Row],[Days Prior Total]:[Mdl WdDeck]])</f>
        <v>218844.12291005504</v>
      </c>
      <c r="CF14" s="12">
        <f>ROUND(Sales[[#This Row],[25Det]],-2)</f>
        <v>14600</v>
      </c>
      <c r="CG14" s="12">
        <f>ROUND(SUM(Sales[[#This Row],[Mdl Qlty]:[Mdl WdDeck]])+Sales[[#This Row],[Mdl Res Intercept]]+Sales[[#This Row],[Days Prior Total]],-2)</f>
        <v>240000</v>
      </c>
      <c r="CH14" s="12">
        <f>ROUND(Sales[[#This Row],[Mdl Land Intercept]]+Sales[[#This Row],[Mdl LnAcres]],-2)</f>
        <v>-21100</v>
      </c>
      <c r="CI14" s="12">
        <f>Sales[[#This Row],[Unadj Res Value]]+Sales[[#This Row],[Unadj Det Value]]+Sales[[#This Row],[Unadj Land Value]]</f>
        <v>233500</v>
      </c>
      <c r="CJ14" s="13">
        <f>Sales[[#This Row],[Unadj Total Value]]/Sales[[#This Row],[Price]]</f>
        <v>0.95306122448979591</v>
      </c>
      <c r="CK14" s="13">
        <f>(Sales[[#This Row],[Unadj Total Value]]-Sales[[#This Row],[24Final]])/Sales[[#This Row],[24Final]]</f>
        <v>-0.10707456978967496</v>
      </c>
      <c r="CL14">
        <f>VLOOKUP(Sales[[#This Row],[TNbhd]],Lookups!$Q$2:$T$4,4,FALSE)</f>
        <v>0.99970000000000003</v>
      </c>
      <c r="CM14">
        <f>VLOOKUP(Sales[[#This Row],[Qlty]],Lookups!$O$7:$R$21,4,FALSE)</f>
        <v>1.0067999999999999</v>
      </c>
      <c r="CN14">
        <f>VLOOKUP(Sales[[#This Row],[Cnd]],Lookups!$T$7:$W$16,4,FALSE)</f>
        <v>0.99729999999999996</v>
      </c>
      <c r="CO14">
        <f>VLOOKUP(Sales[[#This Row],[LivArea Range]],Lookups!$T$25:$W$37,4,FALSE)</f>
        <v>1.0157</v>
      </c>
      <c r="CP14">
        <f>VLOOKUP(Sales[[#This Row],[Decade]],Lookups!$O$25:$R$42,4,FALSE)</f>
        <v>0.96919999999999995</v>
      </c>
      <c r="CQ14">
        <f>Sales[[#This Row],[Nbhd Adj]]*0.95</f>
        <v>0.94971499999999998</v>
      </c>
      <c r="CR14">
        <f>Sales[[#This Row],[Nbhd Adj]]*Sales[[#This Row],[Quality Adj]]*Sales[[#This Row],[Condition Adj]]*Sales[[#This Row],[Living Area Adj]]*Sales[[#This Row],[Decade Adj]]*0.95</f>
        <v>0.93873104601730073</v>
      </c>
      <c r="CS14">
        <f>ROUND(SUM(Sales[[#This Row],[Mdl Qlty]:[Mdl WdDeck]])+Sales[[#This Row],[Mdl Res Intercept]]*Sales[[#This Row],[Res Adj ]],-2)</f>
        <v>274400</v>
      </c>
      <c r="CT14">
        <f>ROUND(Sales[[#This Row],[25Det]]*Sales[[#This Row],[Det/Nbhd Adj]],-2)</f>
        <v>13800</v>
      </c>
      <c r="CU14">
        <f>Sales[[#This Row],[Adjusted Res]]+Sales[[#This Row],[Adj Det ]]</f>
        <v>288200</v>
      </c>
      <c r="CV14">
        <f>ROUND((Sales[[#This Row],[Mdl Land Intercept]]+Sales[[#This Row],[Mdl LnAcres]])*Sales[[#This Row],[Det/Nbhd Adj]],-2)</f>
        <v>-20100</v>
      </c>
      <c r="CW14">
        <f>Sales[[#This Row],[Adjusted Impr Total]]+Sales[[#This Row],[Adjusted Land Total]]</f>
        <v>268100</v>
      </c>
      <c r="CX14" s="15">
        <f>IFERROR((Sales[[#This Row],[Adjusted Impr Total]]-Sales[[#This Row],[24Bldg]])/Sales[[#This Row],[24Bldg]],0)</f>
        <v>0.29644624381466489</v>
      </c>
      <c r="CY14" s="15">
        <f>(Sales[[#This Row],[Adjusted Land Total]]-Sales[[#This Row],[24Lnd]])/Sales[[#This Row],[24Lnd]]</f>
        <v>-1.5127551020408163</v>
      </c>
      <c r="CZ14" s="15">
        <f>(Sales[[#This Row],[Adjusted Total]]-Sales[[#This Row],[24Final]])/Sales[[#This Row],[24Final]]</f>
        <v>2.5239005736137667E-2</v>
      </c>
      <c r="DA14" s="15">
        <f>(Sales[[#This Row],[Adjusted Total]]+Sales[[#This Row],[Days Prior Total]])/Sales[[#This Row],[Price]]</f>
        <v>0.9538789039450204</v>
      </c>
    </row>
    <row r="15" spans="1:105" x14ac:dyDescent="0.3">
      <c r="A15">
        <v>2025</v>
      </c>
      <c r="B15">
        <v>18132322463</v>
      </c>
      <c r="C15">
        <v>-3.5065578973199818</v>
      </c>
      <c r="D15">
        <v>0.03</v>
      </c>
      <c r="E15">
        <v>1348</v>
      </c>
      <c r="F15">
        <v>6</v>
      </c>
      <c r="G15" t="s">
        <v>28</v>
      </c>
      <c r="H15" t="s">
        <v>29</v>
      </c>
      <c r="I15" t="s">
        <v>349</v>
      </c>
      <c r="J15" t="s">
        <v>146</v>
      </c>
      <c r="K15">
        <v>11</v>
      </c>
      <c r="L15">
        <v>262</v>
      </c>
      <c r="M15" t="s">
        <v>381</v>
      </c>
      <c r="N15" t="s">
        <v>302</v>
      </c>
      <c r="O15" t="s">
        <v>303</v>
      </c>
      <c r="P15">
        <v>50</v>
      </c>
      <c r="Q15">
        <v>1980</v>
      </c>
      <c r="R15">
        <v>1980</v>
      </c>
      <c r="S15">
        <v>44</v>
      </c>
      <c r="T15">
        <v>44</v>
      </c>
      <c r="U15">
        <v>1</v>
      </c>
      <c r="V15">
        <v>1348</v>
      </c>
      <c r="W15">
        <v>0</v>
      </c>
      <c r="X15">
        <v>0</v>
      </c>
      <c r="Y15">
        <v>0</v>
      </c>
      <c r="Z15">
        <v>0</v>
      </c>
      <c r="AA15">
        <v>0</v>
      </c>
      <c r="AB15">
        <v>1348</v>
      </c>
      <c r="AC15">
        <v>1500</v>
      </c>
      <c r="AD15">
        <v>0</v>
      </c>
      <c r="AF15" t="s">
        <v>383</v>
      </c>
      <c r="AG15" t="s">
        <v>148</v>
      </c>
      <c r="AH15" t="s">
        <v>450</v>
      </c>
      <c r="AI15">
        <v>0</v>
      </c>
      <c r="AJ15">
        <v>0</v>
      </c>
      <c r="AK15">
        <v>1</v>
      </c>
      <c r="AL15">
        <v>1</v>
      </c>
      <c r="AM15">
        <v>0</v>
      </c>
      <c r="AN15">
        <v>9</v>
      </c>
      <c r="AO15">
        <v>0</v>
      </c>
      <c r="AP15">
        <v>0</v>
      </c>
      <c r="AQ15">
        <v>0</v>
      </c>
      <c r="AR15">
        <v>0</v>
      </c>
      <c r="AS15">
        <v>120</v>
      </c>
      <c r="AT15">
        <v>0</v>
      </c>
      <c r="AU15">
        <v>100</v>
      </c>
      <c r="AV15">
        <v>100</v>
      </c>
      <c r="AW15">
        <v>156974</v>
      </c>
      <c r="AX15">
        <v>133428</v>
      </c>
      <c r="AY15">
        <v>1063</v>
      </c>
      <c r="AZ15">
        <v>365</v>
      </c>
      <c r="BA15">
        <v>365</v>
      </c>
      <c r="BB15">
        <v>333</v>
      </c>
      <c r="BC15" s="3">
        <v>44229</v>
      </c>
      <c r="BD15" t="s">
        <v>313</v>
      </c>
      <c r="BE15">
        <v>255000</v>
      </c>
      <c r="BF15">
        <v>242170</v>
      </c>
      <c r="BG15" t="s">
        <v>294</v>
      </c>
      <c r="BH15">
        <v>30</v>
      </c>
      <c r="BI15" t="s">
        <v>65</v>
      </c>
      <c r="BJ15" t="s">
        <v>450</v>
      </c>
      <c r="BK15">
        <v>270600</v>
      </c>
      <c r="BL15">
        <v>40600</v>
      </c>
      <c r="BM15">
        <v>230000</v>
      </c>
      <c r="BN15">
        <v>12830</v>
      </c>
      <c r="BO15">
        <v>1.0611764705882354</v>
      </c>
      <c r="BP15">
        <v>231243.68818660997</v>
      </c>
      <c r="BQ15">
        <v>297335.40266736696</v>
      </c>
      <c r="BR15" s="12">
        <f>(Sales[[#This Row],[DP1]]*Lookups!$B$59)+(Sales[[#This Row],[DP2]]*Lookups!$B$60)+(Sales[[#This Row],[DP3]]*Lookups!$B$61)</f>
        <v>-66091.714490770013</v>
      </c>
      <c r="BS15" s="12">
        <f>Lookups!$B$56*0</f>
        <v>0</v>
      </c>
      <c r="BT15" s="12">
        <f>Lookups!$B$56*1</f>
        <v>89850.625589999996</v>
      </c>
      <c r="BU15" s="12">
        <f>Lookups!$B$57*Sales[[#This Row],[LnAcres]]</f>
        <v>-110998.74281323297</v>
      </c>
      <c r="BV15" s="12">
        <f>VLOOKUP(Sales[[#This Row],[Qlty]],Lookups!$A$62:$E$75,2,FALSE)</f>
        <v>29814.093161000001</v>
      </c>
      <c r="BW15" s="12">
        <f>VLOOKUP(Sales[[#This Row],[Cnd]],Lookups!$A$76:$E$84,2,FALSE)</f>
        <v>197752.34721000001</v>
      </c>
      <c r="BX15" s="12">
        <f>Sales[[#This Row],[EffAge]]*Lookups!$B$85</f>
        <v>-9814.0064220000004</v>
      </c>
      <c r="BY15" s="12">
        <f>Sales[[#This Row],[MainFn]]*Lookups!$B$86</f>
        <v>66602.886994196</v>
      </c>
      <c r="BZ15" s="12">
        <f>Sales[[#This Row],[UpprFn]]*Lookups!$B$87</f>
        <v>0</v>
      </c>
      <c r="CA15" s="12">
        <f>Sales[[#This Row],[AddFn]]*Lookups!$B$88</f>
        <v>0</v>
      </c>
      <c r="CB15" s="12">
        <f>Sales[[#This Row],[Bsmt]]*Lookups!$B$89</f>
        <v>0</v>
      </c>
      <c r="CC15" s="12">
        <f>Sales[[#This Row],[Fixtures]]*Lookups!$B$90</f>
        <v>34128.198946800003</v>
      </c>
      <c r="CD15" s="12">
        <f>Sales[[#This Row],[WdDeck]]*Lookups!$B$91</f>
        <v>0</v>
      </c>
      <c r="CE15" s="12">
        <f>SUM(Sales[[#This Row],[Days Prior Total]:[Mdl WdDeck]])</f>
        <v>231243.68817599301</v>
      </c>
      <c r="CF15" s="12">
        <f>ROUND(Sales[[#This Row],[25Det]],-2)</f>
        <v>12800</v>
      </c>
      <c r="CG15" s="12">
        <f>ROUND(SUM(Sales[[#This Row],[Mdl Qlty]:[Mdl WdDeck]])+Sales[[#This Row],[Mdl Res Intercept]]+Sales[[#This Row],[Days Prior Total]],-2)</f>
        <v>252400</v>
      </c>
      <c r="CH15" s="12">
        <f>ROUND(Sales[[#This Row],[Mdl Land Intercept]]+Sales[[#This Row],[Mdl LnAcres]],-2)</f>
        <v>-21100</v>
      </c>
      <c r="CI15" s="12">
        <f>Sales[[#This Row],[Unadj Res Value]]+Sales[[#This Row],[Unadj Det Value]]+Sales[[#This Row],[Unadj Land Value]]</f>
        <v>244100</v>
      </c>
      <c r="CJ15" s="13">
        <f>Sales[[#This Row],[Unadj Total Value]]/Sales[[#This Row],[Price]]</f>
        <v>0.95725490196078433</v>
      </c>
      <c r="CK15" s="13">
        <f>(Sales[[#This Row],[Unadj Total Value]]-Sales[[#This Row],[24Final]])/Sales[[#This Row],[24Final]]</f>
        <v>-9.7930524759793053E-2</v>
      </c>
      <c r="CL15">
        <f>VLOOKUP(Sales[[#This Row],[TNbhd]],Lookups!$Q$2:$T$4,4,FALSE)</f>
        <v>0.99970000000000003</v>
      </c>
      <c r="CM15">
        <f>VLOOKUP(Sales[[#This Row],[Qlty]],Lookups!$O$7:$R$21,4,FALSE)</f>
        <v>1.0088999999999999</v>
      </c>
      <c r="CN15">
        <f>VLOOKUP(Sales[[#This Row],[Cnd]],Lookups!$T$7:$W$16,4,FALSE)</f>
        <v>0.99650000000000005</v>
      </c>
      <c r="CO15">
        <f>VLOOKUP(Sales[[#This Row],[LivArea Range]],Lookups!$T$25:$W$37,4,FALSE)</f>
        <v>1.0157</v>
      </c>
      <c r="CP15">
        <f>VLOOKUP(Sales[[#This Row],[Decade]],Lookups!$O$25:$R$42,4,FALSE)</f>
        <v>0.96919999999999995</v>
      </c>
      <c r="CQ15">
        <f>Sales[[#This Row],[Nbhd Adj]]*0.95</f>
        <v>0.94971499999999998</v>
      </c>
      <c r="CR15">
        <f>Sales[[#This Row],[Nbhd Adj]]*Sales[[#This Row],[Quality Adj]]*Sales[[#This Row],[Condition Adj]]*Sales[[#This Row],[Living Area Adj]]*Sales[[#This Row],[Decade Adj]]*0.95</f>
        <v>0.9399344780308011</v>
      </c>
      <c r="CS15">
        <f>ROUND(SUM(Sales[[#This Row],[Mdl Qlty]:[Mdl WdDeck]])+Sales[[#This Row],[Mdl Res Intercept]]*Sales[[#This Row],[Res Adj ]],-2)</f>
        <v>318500</v>
      </c>
      <c r="CT15">
        <f>ROUND(Sales[[#This Row],[25Det]]*Sales[[#This Row],[Det/Nbhd Adj]],-2)</f>
        <v>12200</v>
      </c>
      <c r="CU15">
        <f>Sales[[#This Row],[Adjusted Res]]+Sales[[#This Row],[Adj Det ]]</f>
        <v>330700</v>
      </c>
      <c r="CV15">
        <f>ROUND((Sales[[#This Row],[Mdl Land Intercept]]+Sales[[#This Row],[Mdl LnAcres]])*Sales[[#This Row],[Det/Nbhd Adj]],-2)</f>
        <v>-20100</v>
      </c>
      <c r="CW15">
        <f>Sales[[#This Row],[Adjusted Impr Total]]+Sales[[#This Row],[Adjusted Land Total]]</f>
        <v>310600</v>
      </c>
      <c r="CX15" s="15">
        <f>IFERROR((Sales[[#This Row],[Adjusted Impr Total]]-Sales[[#This Row],[24Bldg]])/Sales[[#This Row],[24Bldg]],0)</f>
        <v>0.43782608695652175</v>
      </c>
      <c r="CY15" s="15">
        <f>(Sales[[#This Row],[Adjusted Land Total]]-Sales[[#This Row],[24Lnd]])/Sales[[#This Row],[24Lnd]]</f>
        <v>-1.4950738916256157</v>
      </c>
      <c r="CZ15" s="15">
        <f>(Sales[[#This Row],[Adjusted Total]]-Sales[[#This Row],[24Final]])/Sales[[#This Row],[24Final]]</f>
        <v>0.14781966001478197</v>
      </c>
      <c r="DA15" s="15">
        <f>(Sales[[#This Row],[Adjusted Total]]+Sales[[#This Row],[Days Prior Total]])/Sales[[#This Row],[Price]]</f>
        <v>0.95885602160482353</v>
      </c>
    </row>
    <row r="16" spans="1:105" x14ac:dyDescent="0.3">
      <c r="A16">
        <v>2025</v>
      </c>
      <c r="B16">
        <v>18132322478</v>
      </c>
      <c r="C16">
        <v>-3.2188758248682006</v>
      </c>
      <c r="D16">
        <v>0.04</v>
      </c>
      <c r="E16">
        <v>2002</v>
      </c>
      <c r="F16">
        <v>6</v>
      </c>
      <c r="G16" t="s">
        <v>28</v>
      </c>
      <c r="H16" t="s">
        <v>29</v>
      </c>
      <c r="I16" t="s">
        <v>349</v>
      </c>
      <c r="J16" t="s">
        <v>146</v>
      </c>
      <c r="K16">
        <v>11</v>
      </c>
      <c r="L16">
        <v>262</v>
      </c>
      <c r="M16" t="s">
        <v>381</v>
      </c>
      <c r="N16" t="s">
        <v>351</v>
      </c>
      <c r="O16" t="s">
        <v>303</v>
      </c>
      <c r="P16">
        <v>50</v>
      </c>
      <c r="Q16">
        <v>1980</v>
      </c>
      <c r="R16">
        <v>1980</v>
      </c>
      <c r="S16">
        <v>44</v>
      </c>
      <c r="T16">
        <v>44</v>
      </c>
      <c r="U16">
        <v>1</v>
      </c>
      <c r="V16">
        <v>1474</v>
      </c>
      <c r="W16">
        <v>0</v>
      </c>
      <c r="X16">
        <v>0</v>
      </c>
      <c r="Y16">
        <v>0</v>
      </c>
      <c r="Z16">
        <v>0</v>
      </c>
      <c r="AA16">
        <v>0</v>
      </c>
      <c r="AB16">
        <v>1474</v>
      </c>
      <c r="AC16">
        <v>1500</v>
      </c>
      <c r="AD16">
        <v>2</v>
      </c>
      <c r="AF16" t="s">
        <v>383</v>
      </c>
      <c r="AG16" t="s">
        <v>148</v>
      </c>
      <c r="AH16" t="s">
        <v>450</v>
      </c>
      <c r="AI16">
        <v>0</v>
      </c>
      <c r="AJ16">
        <v>0</v>
      </c>
      <c r="AK16">
        <v>1</v>
      </c>
      <c r="AL16">
        <v>1</v>
      </c>
      <c r="AM16">
        <v>0</v>
      </c>
      <c r="AN16">
        <v>8</v>
      </c>
      <c r="AO16">
        <v>528</v>
      </c>
      <c r="AP16">
        <v>0</v>
      </c>
      <c r="AQ16">
        <v>0</v>
      </c>
      <c r="AR16">
        <v>0</v>
      </c>
      <c r="AS16">
        <v>200</v>
      </c>
      <c r="AT16">
        <v>200</v>
      </c>
      <c r="AU16">
        <v>100</v>
      </c>
      <c r="AV16">
        <v>100</v>
      </c>
      <c r="AW16">
        <v>197515</v>
      </c>
      <c r="AX16">
        <v>165913</v>
      </c>
      <c r="AY16">
        <v>469</v>
      </c>
      <c r="AZ16">
        <v>365</v>
      </c>
      <c r="BA16">
        <v>104</v>
      </c>
      <c r="BB16">
        <v>0</v>
      </c>
      <c r="BC16" s="3">
        <v>44823</v>
      </c>
      <c r="BD16" t="s">
        <v>80</v>
      </c>
      <c r="BE16">
        <v>288000</v>
      </c>
      <c r="BF16">
        <v>288000</v>
      </c>
      <c r="BG16" t="s">
        <v>294</v>
      </c>
      <c r="BH16">
        <v>30</v>
      </c>
      <c r="BI16" t="s">
        <v>65</v>
      </c>
      <c r="BJ16" t="s">
        <v>450</v>
      </c>
      <c r="BK16">
        <v>299100</v>
      </c>
      <c r="BL16">
        <v>44900</v>
      </c>
      <c r="BM16">
        <v>254200</v>
      </c>
      <c r="BN16">
        <v>0</v>
      </c>
      <c r="BO16">
        <v>1.0385416666666667</v>
      </c>
      <c r="BP16">
        <v>276059.08242609282</v>
      </c>
      <c r="BQ16">
        <v>300618.57432076667</v>
      </c>
      <c r="BR16" s="12">
        <f>(Sales[[#This Row],[DP1]]*Lookups!$B$59)+(Sales[[#This Row],[DP2]]*Lookups!$B$60)+(Sales[[#This Row],[DP3]]*Lookups!$B$61)</f>
        <v>-24559.491896242002</v>
      </c>
      <c r="BS16" s="12">
        <f>Lookups!$B$56*0</f>
        <v>0</v>
      </c>
      <c r="BT16" s="12">
        <f>Lookups!$B$56*1</f>
        <v>89850.625589999996</v>
      </c>
      <c r="BU16" s="12">
        <f>Lookups!$B$57*Sales[[#This Row],[LnAcres]]</f>
        <v>-101892.2773541973</v>
      </c>
      <c r="BV16" s="12">
        <f>VLOOKUP(Sales[[#This Row],[Qlty]],Lookups!$A$62:$E$75,2,FALSE)</f>
        <v>21557.329055999999</v>
      </c>
      <c r="BW16" s="12">
        <f>VLOOKUP(Sales[[#This Row],[Cnd]],Lookups!$A$76:$E$84,2,FALSE)</f>
        <v>197752.34721000001</v>
      </c>
      <c r="BX16" s="12">
        <f>Sales[[#This Row],[EffAge]]*Lookups!$B$85</f>
        <v>-9814.0064220000004</v>
      </c>
      <c r="BY16" s="12">
        <f>Sales[[#This Row],[MainFn]]*Lookups!$B$86</f>
        <v>72828.379398698002</v>
      </c>
      <c r="BZ16" s="12">
        <f>Sales[[#This Row],[UpprFn]]*Lookups!$B$87</f>
        <v>0</v>
      </c>
      <c r="CA16" s="12">
        <f>Sales[[#This Row],[AddFn]]*Lookups!$B$88</f>
        <v>0</v>
      </c>
      <c r="CB16" s="12">
        <f>Sales[[#This Row],[Bsmt]]*Lookups!$B$89</f>
        <v>0</v>
      </c>
      <c r="CC16" s="12">
        <f>Sales[[#This Row],[Fixtures]]*Lookups!$B$90</f>
        <v>30336.176841600001</v>
      </c>
      <c r="CD16" s="12">
        <f>Sales[[#This Row],[WdDeck]]*Lookups!$B$91</f>
        <v>0</v>
      </c>
      <c r="CE16" s="12">
        <f>SUM(Sales[[#This Row],[Days Prior Total]:[Mdl WdDeck]])</f>
        <v>276059.08242385869</v>
      </c>
      <c r="CF16" s="12">
        <f>ROUND(Sales[[#This Row],[25Det]],-2)</f>
        <v>0</v>
      </c>
      <c r="CG16" s="12">
        <f>ROUND(SUM(Sales[[#This Row],[Mdl Qlty]:[Mdl WdDeck]])+Sales[[#This Row],[Mdl Res Intercept]]+Sales[[#This Row],[Days Prior Total]],-2)</f>
        <v>288100</v>
      </c>
      <c r="CH16" s="12">
        <f>ROUND(Sales[[#This Row],[Mdl Land Intercept]]+Sales[[#This Row],[Mdl LnAcres]],-2)</f>
        <v>-12000</v>
      </c>
      <c r="CI16" s="12">
        <f>Sales[[#This Row],[Unadj Res Value]]+Sales[[#This Row],[Unadj Det Value]]+Sales[[#This Row],[Unadj Land Value]]</f>
        <v>276100</v>
      </c>
      <c r="CJ16" s="13">
        <f>Sales[[#This Row],[Unadj Total Value]]/Sales[[#This Row],[Price]]</f>
        <v>0.95868055555555554</v>
      </c>
      <c r="CK16" s="13">
        <f>(Sales[[#This Row],[Unadj Total Value]]-Sales[[#This Row],[24Final]])/Sales[[#This Row],[24Final]]</f>
        <v>-7.6897358742895355E-2</v>
      </c>
      <c r="CL16">
        <f>VLOOKUP(Sales[[#This Row],[TNbhd]],Lookups!$Q$2:$T$4,4,FALSE)</f>
        <v>0.99970000000000003</v>
      </c>
      <c r="CM16">
        <f>VLOOKUP(Sales[[#This Row],[Qlty]],Lookups!$O$7:$R$21,4,FALSE)</f>
        <v>1.0067999999999999</v>
      </c>
      <c r="CN16">
        <f>VLOOKUP(Sales[[#This Row],[Cnd]],Lookups!$T$7:$W$16,4,FALSE)</f>
        <v>0.99650000000000005</v>
      </c>
      <c r="CO16">
        <f>VLOOKUP(Sales[[#This Row],[LivArea Range]],Lookups!$T$25:$W$37,4,FALSE)</f>
        <v>1.0157</v>
      </c>
      <c r="CP16">
        <f>VLOOKUP(Sales[[#This Row],[Decade]],Lookups!$O$25:$R$42,4,FALSE)</f>
        <v>0.96919999999999995</v>
      </c>
      <c r="CQ16">
        <f>Sales[[#This Row],[Nbhd Adj]]*0.95</f>
        <v>0.94971499999999998</v>
      </c>
      <c r="CR16">
        <f>Sales[[#This Row],[Nbhd Adj]]*Sales[[#This Row],[Quality Adj]]*Sales[[#This Row],[Condition Adj]]*Sales[[#This Row],[Living Area Adj]]*Sales[[#This Row],[Decade Adj]]*0.95</f>
        <v>0.93797802803192643</v>
      </c>
      <c r="CS16">
        <f>ROUND(SUM(Sales[[#This Row],[Mdl Qlty]:[Mdl WdDeck]])+Sales[[#This Row],[Mdl Res Intercept]]*Sales[[#This Row],[Res Adj ]],-2)</f>
        <v>312700</v>
      </c>
      <c r="CT16">
        <f>ROUND(Sales[[#This Row],[25Det]]*Sales[[#This Row],[Det/Nbhd Adj]],-2)</f>
        <v>0</v>
      </c>
      <c r="CU16">
        <f>Sales[[#This Row],[Adjusted Res]]+Sales[[#This Row],[Adj Det ]]</f>
        <v>312700</v>
      </c>
      <c r="CV16">
        <f>ROUND((Sales[[#This Row],[Mdl Land Intercept]]+Sales[[#This Row],[Mdl LnAcres]])*Sales[[#This Row],[Det/Nbhd Adj]],-2)</f>
        <v>-11400</v>
      </c>
      <c r="CW16">
        <f>Sales[[#This Row],[Adjusted Impr Total]]+Sales[[#This Row],[Adjusted Land Total]]</f>
        <v>301300</v>
      </c>
      <c r="CX16" s="15">
        <f>IFERROR((Sales[[#This Row],[Adjusted Impr Total]]-Sales[[#This Row],[24Bldg]])/Sales[[#This Row],[24Bldg]],0)</f>
        <v>0.23013375295043273</v>
      </c>
      <c r="CY16" s="15">
        <f>(Sales[[#This Row],[Adjusted Land Total]]-Sales[[#This Row],[24Lnd]])/Sales[[#This Row],[24Lnd]]</f>
        <v>-1.2538975501113585</v>
      </c>
      <c r="CZ16" s="15">
        <f>(Sales[[#This Row],[Adjusted Total]]-Sales[[#This Row],[24Final]])/Sales[[#This Row],[24Final]]</f>
        <v>7.3553995319291209E-3</v>
      </c>
      <c r="DA16" s="15">
        <f>(Sales[[#This Row],[Adjusted Total]]+Sales[[#This Row],[Days Prior Total]])/Sales[[#This Row],[Price]]</f>
        <v>0.96090454202693742</v>
      </c>
    </row>
    <row r="17" spans="1:105" x14ac:dyDescent="0.3">
      <c r="A17">
        <v>2025</v>
      </c>
      <c r="B17">
        <v>18132322483</v>
      </c>
      <c r="C17">
        <v>-3.912023005428146</v>
      </c>
      <c r="D17">
        <v>0.02</v>
      </c>
      <c r="E17">
        <v>840</v>
      </c>
      <c r="F17">
        <v>6</v>
      </c>
      <c r="G17" t="s">
        <v>28</v>
      </c>
      <c r="H17" t="s">
        <v>29</v>
      </c>
      <c r="I17" t="s">
        <v>349</v>
      </c>
      <c r="J17" t="s">
        <v>146</v>
      </c>
      <c r="K17">
        <v>11</v>
      </c>
      <c r="L17">
        <v>262</v>
      </c>
      <c r="M17" t="s">
        <v>381</v>
      </c>
      <c r="N17" t="s">
        <v>302</v>
      </c>
      <c r="O17" t="s">
        <v>323</v>
      </c>
      <c r="P17">
        <v>50</v>
      </c>
      <c r="Q17">
        <v>1980</v>
      </c>
      <c r="R17">
        <v>1980</v>
      </c>
      <c r="S17">
        <v>44</v>
      </c>
      <c r="T17">
        <v>44</v>
      </c>
      <c r="U17">
        <v>2</v>
      </c>
      <c r="V17">
        <v>840</v>
      </c>
      <c r="W17">
        <v>980</v>
      </c>
      <c r="X17">
        <v>0</v>
      </c>
      <c r="Y17">
        <v>0</v>
      </c>
      <c r="Z17">
        <v>0</v>
      </c>
      <c r="AA17">
        <v>0</v>
      </c>
      <c r="AB17">
        <v>1820</v>
      </c>
      <c r="AC17">
        <v>2000</v>
      </c>
      <c r="AD17">
        <v>2</v>
      </c>
      <c r="AF17" t="s">
        <v>383</v>
      </c>
      <c r="AG17" t="s">
        <v>382</v>
      </c>
      <c r="AH17" t="s">
        <v>450</v>
      </c>
      <c r="AI17">
        <v>0</v>
      </c>
      <c r="AJ17">
        <v>0</v>
      </c>
      <c r="AK17">
        <v>2</v>
      </c>
      <c r="AL17">
        <v>0</v>
      </c>
      <c r="AM17">
        <v>1</v>
      </c>
      <c r="AN17">
        <v>11</v>
      </c>
      <c r="AO17">
        <v>0</v>
      </c>
      <c r="AP17">
        <v>440</v>
      </c>
      <c r="AQ17">
        <v>0</v>
      </c>
      <c r="AR17">
        <v>0</v>
      </c>
      <c r="AS17">
        <v>220</v>
      </c>
      <c r="AT17">
        <v>180</v>
      </c>
      <c r="AU17">
        <v>100</v>
      </c>
      <c r="AV17">
        <v>100</v>
      </c>
      <c r="AW17">
        <v>246127</v>
      </c>
      <c r="AX17">
        <v>196902</v>
      </c>
      <c r="AY17">
        <v>881</v>
      </c>
      <c r="AZ17">
        <v>365</v>
      </c>
      <c r="BA17">
        <v>365</v>
      </c>
      <c r="BB17">
        <v>151</v>
      </c>
      <c r="BC17" s="3">
        <v>44411</v>
      </c>
      <c r="BD17" t="s">
        <v>137</v>
      </c>
      <c r="BE17">
        <v>240000</v>
      </c>
      <c r="BF17">
        <v>240000</v>
      </c>
      <c r="BG17" t="s">
        <v>294</v>
      </c>
      <c r="BH17">
        <v>30</v>
      </c>
      <c r="BI17" t="s">
        <v>65</v>
      </c>
      <c r="BJ17" t="s">
        <v>450</v>
      </c>
      <c r="BK17">
        <v>259500</v>
      </c>
      <c r="BL17">
        <v>38900</v>
      </c>
      <c r="BM17">
        <v>220600</v>
      </c>
      <c r="BN17">
        <v>0</v>
      </c>
      <c r="BO17">
        <v>1.08125</v>
      </c>
      <c r="BP17">
        <v>231841.1880309456</v>
      </c>
      <c r="BQ17">
        <v>273595.55076848163</v>
      </c>
      <c r="BR17" s="12">
        <f>(Sales[[#This Row],[DP1]]*Lookups!$B$59)+(Sales[[#This Row],[DP2]]*Lookups!$B$60)+(Sales[[#This Row],[DP3]]*Lookups!$B$61)</f>
        <v>-41754.362742969999</v>
      </c>
      <c r="BS17" s="12">
        <f>Lookups!$B$56*0</f>
        <v>0</v>
      </c>
      <c r="BT17" s="12">
        <f>Lookups!$B$56*1</f>
        <v>89850.625589999996</v>
      </c>
      <c r="BU17" s="12">
        <f>Lookups!$B$57*Sales[[#This Row],[LnAcres]]</f>
        <v>-123833.58500677992</v>
      </c>
      <c r="BV17" s="12">
        <f>VLOOKUP(Sales[[#This Row],[Qlty]],Lookups!$A$62:$E$75,2,FALSE)</f>
        <v>29814.093161000001</v>
      </c>
      <c r="BW17" s="12">
        <f>VLOOKUP(Sales[[#This Row],[Cnd]],Lookups!$A$76:$E$84,2,FALSE)</f>
        <v>160472.20319</v>
      </c>
      <c r="BX17" s="12">
        <f>Sales[[#This Row],[EffAge]]*Lookups!$B$85</f>
        <v>-9814.0064220000004</v>
      </c>
      <c r="BY17" s="12">
        <f>Sales[[#This Row],[MainFn]]*Lookups!$B$86</f>
        <v>41503.282696679998</v>
      </c>
      <c r="BZ17" s="12">
        <f>Sales[[#This Row],[UpprFn]]*Lookups!$B$87</f>
        <v>43890.694403779999</v>
      </c>
      <c r="CA17" s="12">
        <f>Sales[[#This Row],[AddFn]]*Lookups!$B$88</f>
        <v>0</v>
      </c>
      <c r="CB17" s="12">
        <f>Sales[[#This Row],[Bsmt]]*Lookups!$B$89</f>
        <v>0</v>
      </c>
      <c r="CC17" s="12">
        <f>Sales[[#This Row],[Fixtures]]*Lookups!$B$90</f>
        <v>41712.243157199999</v>
      </c>
      <c r="CD17" s="12">
        <f>Sales[[#This Row],[WdDeck]]*Lookups!$B$91</f>
        <v>0</v>
      </c>
      <c r="CE17" s="12">
        <f>SUM(Sales[[#This Row],[Days Prior Total]:[Mdl WdDeck]])</f>
        <v>231841.18802691007</v>
      </c>
      <c r="CF17" s="12">
        <f>ROUND(Sales[[#This Row],[25Det]],-2)</f>
        <v>0</v>
      </c>
      <c r="CG17" s="12">
        <f>ROUND(SUM(Sales[[#This Row],[Mdl Qlty]:[Mdl WdDeck]])+Sales[[#This Row],[Mdl Res Intercept]]+Sales[[#This Row],[Days Prior Total]],-2)</f>
        <v>265800</v>
      </c>
      <c r="CH17" s="12">
        <f>ROUND(Sales[[#This Row],[Mdl Land Intercept]]+Sales[[#This Row],[Mdl LnAcres]],-2)</f>
        <v>-34000</v>
      </c>
      <c r="CI17" s="12">
        <f>Sales[[#This Row],[Unadj Res Value]]+Sales[[#This Row],[Unadj Det Value]]+Sales[[#This Row],[Unadj Land Value]]</f>
        <v>231800</v>
      </c>
      <c r="CJ17" s="13">
        <f>Sales[[#This Row],[Unadj Total Value]]/Sales[[#This Row],[Price]]</f>
        <v>0.96583333333333332</v>
      </c>
      <c r="CK17" s="13">
        <f>(Sales[[#This Row],[Unadj Total Value]]-Sales[[#This Row],[24Final]])/Sales[[#This Row],[24Final]]</f>
        <v>-0.10674373795761079</v>
      </c>
      <c r="CL17">
        <f>VLOOKUP(Sales[[#This Row],[TNbhd]],Lookups!$Q$2:$T$4,4,FALSE)</f>
        <v>0.99970000000000003</v>
      </c>
      <c r="CM17">
        <f>VLOOKUP(Sales[[#This Row],[Qlty]],Lookups!$O$7:$R$21,4,FALSE)</f>
        <v>1.0088999999999999</v>
      </c>
      <c r="CN17">
        <f>VLOOKUP(Sales[[#This Row],[Cnd]],Lookups!$T$7:$W$16,4,FALSE)</f>
        <v>0.99729999999999996</v>
      </c>
      <c r="CO17">
        <f>VLOOKUP(Sales[[#This Row],[LivArea Range]],Lookups!$T$25:$W$37,4,FALSE)</f>
        <v>1.0093000000000001</v>
      </c>
      <c r="CP17">
        <f>VLOOKUP(Sales[[#This Row],[Decade]],Lookups!$O$25:$R$42,4,FALSE)</f>
        <v>0.96919999999999995</v>
      </c>
      <c r="CQ17">
        <f>Sales[[#This Row],[Nbhd Adj]]*0.95</f>
        <v>0.94971499999999998</v>
      </c>
      <c r="CR17">
        <f>Sales[[#This Row],[Nbhd Adj]]*Sales[[#This Row],[Quality Adj]]*Sales[[#This Row],[Condition Adj]]*Sales[[#This Row],[Living Area Adj]]*Sales[[#This Row],[Decade Adj]]*0.95</f>
        <v>0.93476171605152947</v>
      </c>
      <c r="CS17">
        <f>ROUND(SUM(Sales[[#This Row],[Mdl Qlty]:[Mdl WdDeck]])+Sales[[#This Row],[Mdl Res Intercept]]*Sales[[#This Row],[Res Adj ]],-2)</f>
        <v>307600</v>
      </c>
      <c r="CT17">
        <f>ROUND(Sales[[#This Row],[25Det]]*Sales[[#This Row],[Det/Nbhd Adj]],-2)</f>
        <v>0</v>
      </c>
      <c r="CU17">
        <f>Sales[[#This Row],[Adjusted Res]]+Sales[[#This Row],[Adj Det ]]</f>
        <v>307600</v>
      </c>
      <c r="CV17">
        <f>ROUND((Sales[[#This Row],[Mdl Land Intercept]]+Sales[[#This Row],[Mdl LnAcres]])*Sales[[#This Row],[Det/Nbhd Adj]],-2)</f>
        <v>-32300</v>
      </c>
      <c r="CW17">
        <f>Sales[[#This Row],[Adjusted Impr Total]]+Sales[[#This Row],[Adjusted Land Total]]</f>
        <v>275300</v>
      </c>
      <c r="CX17" s="15">
        <f>IFERROR((Sales[[#This Row],[Adjusted Impr Total]]-Sales[[#This Row],[24Bldg]])/Sales[[#This Row],[24Bldg]],0)</f>
        <v>0.39437896645512238</v>
      </c>
      <c r="CY17" s="15">
        <f>(Sales[[#This Row],[Adjusted Land Total]]-Sales[[#This Row],[24Lnd]])/Sales[[#This Row],[24Lnd]]</f>
        <v>-1.8303341902313626</v>
      </c>
      <c r="CZ17" s="15">
        <f>(Sales[[#This Row],[Adjusted Total]]-Sales[[#This Row],[24Final]])/Sales[[#This Row],[24Final]]</f>
        <v>6.088631984585742E-2</v>
      </c>
      <c r="DA17" s="15">
        <f>(Sales[[#This Row],[Adjusted Total]]+Sales[[#This Row],[Days Prior Total]])/Sales[[#This Row],[Price]]</f>
        <v>0.97310682190429165</v>
      </c>
    </row>
    <row r="18" spans="1:105" x14ac:dyDescent="0.3">
      <c r="A18">
        <v>2025</v>
      </c>
      <c r="B18">
        <v>18132322461</v>
      </c>
      <c r="C18">
        <v>-3.2188758248682006</v>
      </c>
      <c r="D18">
        <v>0.04</v>
      </c>
      <c r="E18">
        <v>1348</v>
      </c>
      <c r="F18">
        <v>6</v>
      </c>
      <c r="G18" t="s">
        <v>28</v>
      </c>
      <c r="H18" t="s">
        <v>29</v>
      </c>
      <c r="I18" t="s">
        <v>349</v>
      </c>
      <c r="J18" t="s">
        <v>146</v>
      </c>
      <c r="K18">
        <v>11</v>
      </c>
      <c r="L18">
        <v>262</v>
      </c>
      <c r="M18" t="s">
        <v>381</v>
      </c>
      <c r="N18" t="s">
        <v>351</v>
      </c>
      <c r="O18" t="s">
        <v>303</v>
      </c>
      <c r="P18">
        <v>50</v>
      </c>
      <c r="Q18">
        <v>1980</v>
      </c>
      <c r="R18">
        <v>1980</v>
      </c>
      <c r="S18">
        <v>44</v>
      </c>
      <c r="T18">
        <v>44</v>
      </c>
      <c r="U18">
        <v>1</v>
      </c>
      <c r="V18">
        <v>1348</v>
      </c>
      <c r="W18">
        <v>0</v>
      </c>
      <c r="X18">
        <v>0</v>
      </c>
      <c r="Y18">
        <v>0</v>
      </c>
      <c r="Z18">
        <v>0</v>
      </c>
      <c r="AA18">
        <v>0</v>
      </c>
      <c r="AB18">
        <v>1348</v>
      </c>
      <c r="AC18">
        <v>1500</v>
      </c>
      <c r="AD18">
        <v>0</v>
      </c>
      <c r="AF18" t="s">
        <v>208</v>
      </c>
      <c r="AG18" t="s">
        <v>382</v>
      </c>
      <c r="AI18">
        <v>0</v>
      </c>
      <c r="AJ18">
        <v>0</v>
      </c>
      <c r="AK18">
        <v>1</v>
      </c>
      <c r="AL18">
        <v>1</v>
      </c>
      <c r="AM18">
        <v>0</v>
      </c>
      <c r="AN18">
        <v>8</v>
      </c>
      <c r="AO18">
        <v>0</v>
      </c>
      <c r="AP18">
        <v>0</v>
      </c>
      <c r="AQ18">
        <v>0</v>
      </c>
      <c r="AR18">
        <v>0</v>
      </c>
      <c r="AS18">
        <v>180</v>
      </c>
      <c r="AT18">
        <v>96</v>
      </c>
      <c r="AU18">
        <v>100</v>
      </c>
      <c r="AV18">
        <v>100</v>
      </c>
      <c r="AW18">
        <v>198766</v>
      </c>
      <c r="AX18">
        <v>166963</v>
      </c>
      <c r="AY18">
        <v>347</v>
      </c>
      <c r="AZ18">
        <v>347</v>
      </c>
      <c r="BA18">
        <v>0</v>
      </c>
      <c r="BB18">
        <v>0</v>
      </c>
      <c r="BC18" s="3">
        <v>44945</v>
      </c>
      <c r="BD18" t="s">
        <v>45</v>
      </c>
      <c r="BE18">
        <v>290000</v>
      </c>
      <c r="BF18">
        <v>276736</v>
      </c>
      <c r="BG18" t="s">
        <v>294</v>
      </c>
      <c r="BH18">
        <v>30</v>
      </c>
      <c r="BI18" t="s">
        <v>65</v>
      </c>
      <c r="BJ18" t="s">
        <v>450</v>
      </c>
      <c r="BK18">
        <v>267000</v>
      </c>
      <c r="BL18">
        <v>40100</v>
      </c>
      <c r="BM18">
        <v>226900</v>
      </c>
      <c r="BN18">
        <v>13264</v>
      </c>
      <c r="BO18">
        <v>0.92068965517241375</v>
      </c>
      <c r="BP18">
        <v>269909.38770796475</v>
      </c>
      <c r="BQ18">
        <v>294393.08191628917</v>
      </c>
      <c r="BR18" s="12">
        <f>(Sales[[#This Row],[DP1]]*Lookups!$B$59)+(Sales[[#This Row],[DP2]]*Lookups!$B$60)+(Sales[[#This Row],[DP3]]*Lookups!$B$61)</f>
        <v>-24483.694209790003</v>
      </c>
      <c r="BS18" s="12">
        <f>Lookups!$B$56*0</f>
        <v>0</v>
      </c>
      <c r="BT18" s="12">
        <f>Lookups!$B$56*1</f>
        <v>89850.625589999996</v>
      </c>
      <c r="BU18" s="12">
        <f>Lookups!$B$57*Sales[[#This Row],[LnAcres]]</f>
        <v>-101892.2773541973</v>
      </c>
      <c r="BV18" s="12">
        <f>VLOOKUP(Sales[[#This Row],[Qlty]],Lookups!$A$62:$E$75,2,FALSE)</f>
        <v>21557.329055999999</v>
      </c>
      <c r="BW18" s="12">
        <f>VLOOKUP(Sales[[#This Row],[Cnd]],Lookups!$A$76:$E$84,2,FALSE)</f>
        <v>197752.34721000001</v>
      </c>
      <c r="BX18" s="12">
        <f>Sales[[#This Row],[EffAge]]*Lookups!$B$85</f>
        <v>-9814.0064220000004</v>
      </c>
      <c r="BY18" s="12">
        <f>Sales[[#This Row],[MainFn]]*Lookups!$B$86</f>
        <v>66602.886994196</v>
      </c>
      <c r="BZ18" s="12">
        <f>Sales[[#This Row],[UpprFn]]*Lookups!$B$87</f>
        <v>0</v>
      </c>
      <c r="CA18" s="12">
        <f>Sales[[#This Row],[AddFn]]*Lookups!$B$88</f>
        <v>0</v>
      </c>
      <c r="CB18" s="12">
        <f>Sales[[#This Row],[Bsmt]]*Lookups!$B$89</f>
        <v>0</v>
      </c>
      <c r="CC18" s="12">
        <f>Sales[[#This Row],[Fixtures]]*Lookups!$B$90</f>
        <v>30336.176841600001</v>
      </c>
      <c r="CD18" s="12">
        <f>Sales[[#This Row],[WdDeck]]*Lookups!$B$91</f>
        <v>0</v>
      </c>
      <c r="CE18" s="12">
        <f>SUM(Sales[[#This Row],[Days Prior Total]:[Mdl WdDeck]])</f>
        <v>269909.38770580868</v>
      </c>
      <c r="CF18" s="12">
        <f>ROUND(Sales[[#This Row],[25Det]],-2)</f>
        <v>13300</v>
      </c>
      <c r="CG18" s="12">
        <f>ROUND(SUM(Sales[[#This Row],[Mdl Qlty]:[Mdl WdDeck]])+Sales[[#This Row],[Mdl Res Intercept]]+Sales[[#This Row],[Days Prior Total]],-2)</f>
        <v>282000</v>
      </c>
      <c r="CH18" s="12">
        <f>ROUND(Sales[[#This Row],[Mdl Land Intercept]]+Sales[[#This Row],[Mdl LnAcres]],-2)</f>
        <v>-12000</v>
      </c>
      <c r="CI18" s="12">
        <f>Sales[[#This Row],[Unadj Res Value]]+Sales[[#This Row],[Unadj Det Value]]+Sales[[#This Row],[Unadj Land Value]]</f>
        <v>283300</v>
      </c>
      <c r="CJ18" s="13">
        <f>Sales[[#This Row],[Unadj Total Value]]/Sales[[#This Row],[Price]]</f>
        <v>0.97689655172413792</v>
      </c>
      <c r="CK18" s="13">
        <f>(Sales[[#This Row],[Unadj Total Value]]-Sales[[#This Row],[24Final]])/Sales[[#This Row],[24Final]]</f>
        <v>6.1048689138576778E-2</v>
      </c>
      <c r="CL18">
        <f>VLOOKUP(Sales[[#This Row],[TNbhd]],Lookups!$Q$2:$T$4,4,FALSE)</f>
        <v>0.99970000000000003</v>
      </c>
      <c r="CM18">
        <f>VLOOKUP(Sales[[#This Row],[Qlty]],Lookups!$O$7:$R$21,4,FALSE)</f>
        <v>1.0067999999999999</v>
      </c>
      <c r="CN18">
        <f>VLOOKUP(Sales[[#This Row],[Cnd]],Lookups!$T$7:$W$16,4,FALSE)</f>
        <v>0.99650000000000005</v>
      </c>
      <c r="CO18">
        <f>VLOOKUP(Sales[[#This Row],[LivArea Range]],Lookups!$T$25:$W$37,4,FALSE)</f>
        <v>1.0157</v>
      </c>
      <c r="CP18">
        <f>VLOOKUP(Sales[[#This Row],[Decade]],Lookups!$O$25:$R$42,4,FALSE)</f>
        <v>0.96919999999999995</v>
      </c>
      <c r="CQ18">
        <f>Sales[[#This Row],[Nbhd Adj]]*0.95</f>
        <v>0.94971499999999998</v>
      </c>
      <c r="CR18">
        <f>Sales[[#This Row],[Nbhd Adj]]*Sales[[#This Row],[Quality Adj]]*Sales[[#This Row],[Condition Adj]]*Sales[[#This Row],[Living Area Adj]]*Sales[[#This Row],[Decade Adj]]*0.95</f>
        <v>0.93797802803192643</v>
      </c>
      <c r="CS18">
        <f>ROUND(SUM(Sales[[#This Row],[Mdl Qlty]:[Mdl WdDeck]])+Sales[[#This Row],[Mdl Res Intercept]]*Sales[[#This Row],[Res Adj ]],-2)</f>
        <v>306400</v>
      </c>
      <c r="CT18">
        <f>ROUND(Sales[[#This Row],[25Det]]*Sales[[#This Row],[Det/Nbhd Adj]],-2)</f>
        <v>12600</v>
      </c>
      <c r="CU18">
        <f>Sales[[#This Row],[Adjusted Res]]+Sales[[#This Row],[Adj Det ]]</f>
        <v>319000</v>
      </c>
      <c r="CV18">
        <f>ROUND((Sales[[#This Row],[Mdl Land Intercept]]+Sales[[#This Row],[Mdl LnAcres]])*Sales[[#This Row],[Det/Nbhd Adj]],-2)</f>
        <v>-11400</v>
      </c>
      <c r="CW18">
        <f>Sales[[#This Row],[Adjusted Impr Total]]+Sales[[#This Row],[Adjusted Land Total]]</f>
        <v>307600</v>
      </c>
      <c r="CX18" s="15">
        <f>IFERROR((Sales[[#This Row],[Adjusted Impr Total]]-Sales[[#This Row],[24Bldg]])/Sales[[#This Row],[24Bldg]],0)</f>
        <v>0.40590568532393123</v>
      </c>
      <c r="CY18" s="15">
        <f>(Sales[[#This Row],[Adjusted Land Total]]-Sales[[#This Row],[24Lnd]])/Sales[[#This Row],[24Lnd]]</f>
        <v>-1.2842892768079801</v>
      </c>
      <c r="CZ18" s="15">
        <f>(Sales[[#This Row],[Adjusted Total]]-Sales[[#This Row],[24Final]])/Sales[[#This Row],[24Final]]</f>
        <v>0.15205992509363295</v>
      </c>
      <c r="DA18" s="15">
        <f>(Sales[[#This Row],[Adjusted Total]]+Sales[[#This Row],[Days Prior Total]])/Sales[[#This Row],[Price]]</f>
        <v>0.97626312341451738</v>
      </c>
    </row>
    <row r="19" spans="1:105" x14ac:dyDescent="0.3">
      <c r="A19">
        <v>2025</v>
      </c>
      <c r="B19">
        <v>18132322458</v>
      </c>
      <c r="C19">
        <v>-3.5065578973199818</v>
      </c>
      <c r="D19">
        <v>0.03</v>
      </c>
      <c r="E19">
        <v>1348</v>
      </c>
      <c r="F19">
        <v>6</v>
      </c>
      <c r="G19" t="s">
        <v>28</v>
      </c>
      <c r="H19" t="s">
        <v>29</v>
      </c>
      <c r="I19" t="s">
        <v>349</v>
      </c>
      <c r="J19" t="s">
        <v>146</v>
      </c>
      <c r="K19">
        <v>11</v>
      </c>
      <c r="L19">
        <v>262</v>
      </c>
      <c r="M19" t="s">
        <v>381</v>
      </c>
      <c r="N19" t="s">
        <v>351</v>
      </c>
      <c r="O19" t="s">
        <v>303</v>
      </c>
      <c r="P19">
        <v>50</v>
      </c>
      <c r="Q19">
        <v>1980</v>
      </c>
      <c r="R19">
        <v>1980</v>
      </c>
      <c r="S19">
        <v>44</v>
      </c>
      <c r="T19">
        <v>44</v>
      </c>
      <c r="U19">
        <v>1</v>
      </c>
      <c r="V19">
        <v>1348</v>
      </c>
      <c r="W19">
        <v>0</v>
      </c>
      <c r="X19">
        <v>0</v>
      </c>
      <c r="Y19">
        <v>0</v>
      </c>
      <c r="Z19">
        <v>0</v>
      </c>
      <c r="AA19">
        <v>0</v>
      </c>
      <c r="AB19">
        <v>1348</v>
      </c>
      <c r="AC19">
        <v>1500</v>
      </c>
      <c r="AD19">
        <v>0</v>
      </c>
      <c r="AF19" t="s">
        <v>383</v>
      </c>
      <c r="AG19" t="s">
        <v>148</v>
      </c>
      <c r="AH19" t="s">
        <v>450</v>
      </c>
      <c r="AI19">
        <v>0</v>
      </c>
      <c r="AJ19">
        <v>0</v>
      </c>
      <c r="AK19">
        <v>1</v>
      </c>
      <c r="AL19">
        <v>1</v>
      </c>
      <c r="AM19">
        <v>0</v>
      </c>
      <c r="AN19">
        <v>10</v>
      </c>
      <c r="AO19">
        <v>0</v>
      </c>
      <c r="AP19">
        <v>0</v>
      </c>
      <c r="AQ19">
        <v>0</v>
      </c>
      <c r="AR19">
        <v>70</v>
      </c>
      <c r="AS19">
        <v>120</v>
      </c>
      <c r="AT19">
        <v>120</v>
      </c>
      <c r="AU19">
        <v>100</v>
      </c>
      <c r="AV19">
        <v>100</v>
      </c>
      <c r="AW19">
        <v>164012</v>
      </c>
      <c r="AX19">
        <v>139410</v>
      </c>
      <c r="AY19">
        <v>917</v>
      </c>
      <c r="AZ19">
        <v>365</v>
      </c>
      <c r="BA19">
        <v>365</v>
      </c>
      <c r="BB19">
        <v>187</v>
      </c>
      <c r="BC19" s="3">
        <v>44375</v>
      </c>
      <c r="BD19" t="s">
        <v>331</v>
      </c>
      <c r="BE19">
        <v>266000</v>
      </c>
      <c r="BF19">
        <v>252736</v>
      </c>
      <c r="BG19" t="s">
        <v>294</v>
      </c>
      <c r="BH19">
        <v>30</v>
      </c>
      <c r="BI19" t="s">
        <v>65</v>
      </c>
      <c r="BJ19" t="s">
        <v>450</v>
      </c>
      <c r="BK19">
        <v>274100</v>
      </c>
      <c r="BL19">
        <v>41100</v>
      </c>
      <c r="BM19">
        <v>233000</v>
      </c>
      <c r="BN19">
        <v>13264</v>
      </c>
      <c r="BO19">
        <v>1.030451127819549</v>
      </c>
      <c r="BP19">
        <v>248633.00233600478</v>
      </c>
      <c r="BQ19">
        <v>295201.34673703497</v>
      </c>
      <c r="BR19" s="12">
        <f>(Sales[[#This Row],[DP1]]*Lookups!$B$59)+(Sales[[#This Row],[DP2]]*Lookups!$B$60)+(Sales[[#This Row],[DP3]]*Lookups!$B$61)</f>
        <v>-46568.344407370008</v>
      </c>
      <c r="BS19" s="12">
        <f>Lookups!$B$56*0</f>
        <v>0</v>
      </c>
      <c r="BT19" s="12">
        <f>Lookups!$B$56*1</f>
        <v>89850.625589999996</v>
      </c>
      <c r="BU19" s="12">
        <f>Lookups!$B$57*Sales[[#This Row],[LnAcres]]</f>
        <v>-110998.74281323297</v>
      </c>
      <c r="BV19" s="12">
        <f>VLOOKUP(Sales[[#This Row],[Qlty]],Lookups!$A$62:$E$75,2,FALSE)</f>
        <v>21557.329055999999</v>
      </c>
      <c r="BW19" s="12">
        <f>VLOOKUP(Sales[[#This Row],[Cnd]],Lookups!$A$76:$E$84,2,FALSE)</f>
        <v>197752.34721000001</v>
      </c>
      <c r="BX19" s="12">
        <f>Sales[[#This Row],[EffAge]]*Lookups!$B$85</f>
        <v>-9814.0064220000004</v>
      </c>
      <c r="BY19" s="12">
        <f>Sales[[#This Row],[MainFn]]*Lookups!$B$86</f>
        <v>66602.886994196</v>
      </c>
      <c r="BZ19" s="12">
        <f>Sales[[#This Row],[UpprFn]]*Lookups!$B$87</f>
        <v>0</v>
      </c>
      <c r="CA19" s="12">
        <f>Sales[[#This Row],[AddFn]]*Lookups!$B$88</f>
        <v>0</v>
      </c>
      <c r="CB19" s="12">
        <f>Sales[[#This Row],[Bsmt]]*Lookups!$B$89</f>
        <v>0</v>
      </c>
      <c r="CC19" s="12">
        <f>Sales[[#This Row],[Fixtures]]*Lookups!$B$90</f>
        <v>37920.221052000001</v>
      </c>
      <c r="CD19" s="12">
        <f>Sales[[#This Row],[WdDeck]]*Lookups!$B$91</f>
        <v>2330.6860693200001</v>
      </c>
      <c r="CE19" s="12">
        <f>SUM(Sales[[#This Row],[Days Prior Total]:[Mdl WdDeck]])</f>
        <v>248633.00232891302</v>
      </c>
      <c r="CF19" s="12">
        <f>ROUND(Sales[[#This Row],[25Det]],-2)</f>
        <v>13300</v>
      </c>
      <c r="CG19" s="12">
        <f>ROUND(SUM(Sales[[#This Row],[Mdl Qlty]:[Mdl WdDeck]])+Sales[[#This Row],[Mdl Res Intercept]]+Sales[[#This Row],[Days Prior Total]],-2)</f>
        <v>269800</v>
      </c>
      <c r="CH19" s="12">
        <f>ROUND(Sales[[#This Row],[Mdl Land Intercept]]+Sales[[#This Row],[Mdl LnAcres]],-2)</f>
        <v>-21100</v>
      </c>
      <c r="CI19" s="12">
        <f>Sales[[#This Row],[Unadj Res Value]]+Sales[[#This Row],[Unadj Det Value]]+Sales[[#This Row],[Unadj Land Value]]</f>
        <v>262000</v>
      </c>
      <c r="CJ19" s="13">
        <f>Sales[[#This Row],[Unadj Total Value]]/Sales[[#This Row],[Price]]</f>
        <v>0.98496240601503759</v>
      </c>
      <c r="CK19" s="13">
        <f>(Sales[[#This Row],[Unadj Total Value]]-Sales[[#This Row],[24Final]])/Sales[[#This Row],[24Final]]</f>
        <v>-4.4144472820138635E-2</v>
      </c>
      <c r="CL19">
        <f>VLOOKUP(Sales[[#This Row],[TNbhd]],Lookups!$Q$2:$T$4,4,FALSE)</f>
        <v>0.99970000000000003</v>
      </c>
      <c r="CM19">
        <f>VLOOKUP(Sales[[#This Row],[Qlty]],Lookups!$O$7:$R$21,4,FALSE)</f>
        <v>1.0067999999999999</v>
      </c>
      <c r="CN19">
        <f>VLOOKUP(Sales[[#This Row],[Cnd]],Lookups!$T$7:$W$16,4,FALSE)</f>
        <v>0.99650000000000005</v>
      </c>
      <c r="CO19">
        <f>VLOOKUP(Sales[[#This Row],[LivArea Range]],Lookups!$T$25:$W$37,4,FALSE)</f>
        <v>1.0157</v>
      </c>
      <c r="CP19">
        <f>VLOOKUP(Sales[[#This Row],[Decade]],Lookups!$O$25:$R$42,4,FALSE)</f>
        <v>0.96919999999999995</v>
      </c>
      <c r="CQ19">
        <f>Sales[[#This Row],[Nbhd Adj]]*0.95</f>
        <v>0.94971499999999998</v>
      </c>
      <c r="CR19">
        <f>Sales[[#This Row],[Nbhd Adj]]*Sales[[#This Row],[Quality Adj]]*Sales[[#This Row],[Condition Adj]]*Sales[[#This Row],[Living Area Adj]]*Sales[[#This Row],[Decade Adj]]*0.95</f>
        <v>0.93797802803192643</v>
      </c>
      <c r="CS19">
        <f>ROUND(SUM(Sales[[#This Row],[Mdl Qlty]:[Mdl WdDeck]])+Sales[[#This Row],[Mdl Res Intercept]]*Sales[[#This Row],[Res Adj ]],-2)</f>
        <v>316300</v>
      </c>
      <c r="CT19">
        <f>ROUND(Sales[[#This Row],[25Det]]*Sales[[#This Row],[Det/Nbhd Adj]],-2)</f>
        <v>12600</v>
      </c>
      <c r="CU19">
        <f>Sales[[#This Row],[Adjusted Res]]+Sales[[#This Row],[Adj Det ]]</f>
        <v>328900</v>
      </c>
      <c r="CV19">
        <f>ROUND((Sales[[#This Row],[Mdl Land Intercept]]+Sales[[#This Row],[Mdl LnAcres]])*Sales[[#This Row],[Det/Nbhd Adj]],-2)</f>
        <v>-20100</v>
      </c>
      <c r="CW19">
        <f>Sales[[#This Row],[Adjusted Impr Total]]+Sales[[#This Row],[Adjusted Land Total]]</f>
        <v>308800</v>
      </c>
      <c r="CX19" s="15">
        <f>IFERROR((Sales[[#This Row],[Adjusted Impr Total]]-Sales[[#This Row],[24Bldg]])/Sales[[#This Row],[24Bldg]],0)</f>
        <v>0.41158798283261805</v>
      </c>
      <c r="CY19" s="15">
        <f>(Sales[[#This Row],[Adjusted Land Total]]-Sales[[#This Row],[24Lnd]])/Sales[[#This Row],[24Lnd]]</f>
        <v>-1.4890510948905109</v>
      </c>
      <c r="CZ19" s="15">
        <f>(Sales[[#This Row],[Adjusted Total]]-Sales[[#This Row],[24Final]])/Sales[[#This Row],[24Final]]</f>
        <v>0.1265961327982488</v>
      </c>
      <c r="DA19" s="15">
        <f>(Sales[[#This Row],[Adjusted Total]]+Sales[[#This Row],[Days Prior Total]])/Sales[[#This Row],[Price]]</f>
        <v>0.98583329170161649</v>
      </c>
    </row>
    <row r="20" spans="1:105" x14ac:dyDescent="0.3">
      <c r="A20">
        <v>2025</v>
      </c>
      <c r="B20">
        <v>18132322472</v>
      </c>
      <c r="C20">
        <v>-3.2188758248682006</v>
      </c>
      <c r="D20">
        <v>0.04</v>
      </c>
      <c r="E20">
        <v>1348</v>
      </c>
      <c r="F20">
        <v>6</v>
      </c>
      <c r="G20" t="s">
        <v>28</v>
      </c>
      <c r="H20" t="s">
        <v>349</v>
      </c>
      <c r="I20" t="s">
        <v>349</v>
      </c>
      <c r="J20" t="s">
        <v>146</v>
      </c>
      <c r="K20">
        <v>11</v>
      </c>
      <c r="L20">
        <v>262</v>
      </c>
      <c r="M20" t="s">
        <v>381</v>
      </c>
      <c r="N20" t="s">
        <v>351</v>
      </c>
      <c r="O20" t="s">
        <v>323</v>
      </c>
      <c r="P20">
        <v>50</v>
      </c>
      <c r="Q20">
        <v>1980</v>
      </c>
      <c r="R20">
        <v>1980</v>
      </c>
      <c r="S20">
        <v>44</v>
      </c>
      <c r="T20">
        <v>44</v>
      </c>
      <c r="U20">
        <v>1</v>
      </c>
      <c r="V20">
        <v>1348</v>
      </c>
      <c r="W20">
        <v>0</v>
      </c>
      <c r="X20">
        <v>0</v>
      </c>
      <c r="Y20">
        <v>0</v>
      </c>
      <c r="Z20">
        <v>0</v>
      </c>
      <c r="AA20">
        <v>0</v>
      </c>
      <c r="AB20">
        <v>1348</v>
      </c>
      <c r="AC20">
        <v>1500</v>
      </c>
      <c r="AD20">
        <v>0</v>
      </c>
      <c r="AF20" t="s">
        <v>383</v>
      </c>
      <c r="AG20" t="s">
        <v>148</v>
      </c>
      <c r="AH20" t="s">
        <v>450</v>
      </c>
      <c r="AI20">
        <v>0</v>
      </c>
      <c r="AJ20">
        <v>0</v>
      </c>
      <c r="AK20">
        <v>1</v>
      </c>
      <c r="AL20">
        <v>0</v>
      </c>
      <c r="AM20">
        <v>0</v>
      </c>
      <c r="AN20">
        <v>8</v>
      </c>
      <c r="AO20">
        <v>0</v>
      </c>
      <c r="AP20">
        <v>0</v>
      </c>
      <c r="AQ20">
        <v>0</v>
      </c>
      <c r="AR20">
        <v>0</v>
      </c>
      <c r="AS20">
        <v>192</v>
      </c>
      <c r="AT20">
        <v>192</v>
      </c>
      <c r="AU20">
        <v>100</v>
      </c>
      <c r="AV20">
        <v>100</v>
      </c>
      <c r="AW20">
        <v>199309</v>
      </c>
      <c r="AX20">
        <v>167420</v>
      </c>
      <c r="AY20">
        <v>124</v>
      </c>
      <c r="AZ20">
        <v>124</v>
      </c>
      <c r="BA20">
        <v>0</v>
      </c>
      <c r="BB20">
        <v>0</v>
      </c>
      <c r="BC20" s="3">
        <v>45168</v>
      </c>
      <c r="BD20" t="s">
        <v>9</v>
      </c>
      <c r="BE20">
        <v>255000</v>
      </c>
      <c r="BF20">
        <v>241736</v>
      </c>
      <c r="BG20" t="s">
        <v>294</v>
      </c>
      <c r="BH20">
        <v>30</v>
      </c>
      <c r="BI20" t="s">
        <v>65</v>
      </c>
      <c r="BJ20" t="s">
        <v>450</v>
      </c>
      <c r="BK20">
        <v>267700</v>
      </c>
      <c r="BL20">
        <v>40200</v>
      </c>
      <c r="BM20">
        <v>227500</v>
      </c>
      <c r="BN20">
        <v>13264</v>
      </c>
      <c r="BO20">
        <v>1.0498039215686275</v>
      </c>
      <c r="BP20">
        <v>248363.72151994612</v>
      </c>
      <c r="BQ20">
        <v>257112.93789410242</v>
      </c>
      <c r="BR20" s="12">
        <f>(Sales[[#This Row],[DP1]]*Lookups!$B$59)+(Sales[[#This Row],[DP2]]*Lookups!$B$60)+(Sales[[#This Row],[DP3]]*Lookups!$B$61)</f>
        <v>-8749.2163746800015</v>
      </c>
      <c r="BS20" s="12">
        <f>Lookups!$B$56*0</f>
        <v>0</v>
      </c>
      <c r="BT20" s="12">
        <f>Lookups!$B$56*1</f>
        <v>89850.625589999996</v>
      </c>
      <c r="BU20" s="12">
        <f>Lookups!$B$57*Sales[[#This Row],[LnAcres]]</f>
        <v>-101892.2773541973</v>
      </c>
      <c r="BV20" s="12">
        <f>VLOOKUP(Sales[[#This Row],[Qlty]],Lookups!$A$62:$E$75,2,FALSE)</f>
        <v>21557.329055999999</v>
      </c>
      <c r="BW20" s="12">
        <f>VLOOKUP(Sales[[#This Row],[Cnd]],Lookups!$A$76:$E$84,2,FALSE)</f>
        <v>160472.20319</v>
      </c>
      <c r="BX20" s="12">
        <f>Sales[[#This Row],[EffAge]]*Lookups!$B$85</f>
        <v>-9814.0064220000004</v>
      </c>
      <c r="BY20" s="12">
        <f>Sales[[#This Row],[MainFn]]*Lookups!$B$86</f>
        <v>66602.886994196</v>
      </c>
      <c r="BZ20" s="12">
        <f>Sales[[#This Row],[UpprFn]]*Lookups!$B$87</f>
        <v>0</v>
      </c>
      <c r="CA20" s="12">
        <f>Sales[[#This Row],[AddFn]]*Lookups!$B$88</f>
        <v>0</v>
      </c>
      <c r="CB20" s="12">
        <f>Sales[[#This Row],[Bsmt]]*Lookups!$B$89</f>
        <v>0</v>
      </c>
      <c r="CC20" s="12">
        <f>Sales[[#This Row],[Fixtures]]*Lookups!$B$90</f>
        <v>30336.176841600001</v>
      </c>
      <c r="CD20" s="12">
        <f>Sales[[#This Row],[WdDeck]]*Lookups!$B$91</f>
        <v>0</v>
      </c>
      <c r="CE20" s="12">
        <f>SUM(Sales[[#This Row],[Days Prior Total]:[Mdl WdDeck]])</f>
        <v>248363.72152091868</v>
      </c>
      <c r="CF20" s="12">
        <f>ROUND(Sales[[#This Row],[25Det]],-2)</f>
        <v>13300</v>
      </c>
      <c r="CG20" s="12">
        <f>ROUND(SUM(Sales[[#This Row],[Mdl Qlty]:[Mdl WdDeck]])+Sales[[#This Row],[Mdl Res Intercept]]+Sales[[#This Row],[Days Prior Total]],-2)</f>
        <v>260400</v>
      </c>
      <c r="CH20" s="12">
        <f>ROUND(Sales[[#This Row],[Mdl Land Intercept]]+Sales[[#This Row],[Mdl LnAcres]],-2)</f>
        <v>-12000</v>
      </c>
      <c r="CI20" s="12">
        <f>Sales[[#This Row],[Unadj Res Value]]+Sales[[#This Row],[Unadj Det Value]]+Sales[[#This Row],[Unadj Land Value]]</f>
        <v>261700</v>
      </c>
      <c r="CJ20" s="13">
        <f>Sales[[#This Row],[Unadj Total Value]]/Sales[[#This Row],[Price]]</f>
        <v>1.0262745098039217</v>
      </c>
      <c r="CK20" s="13">
        <f>(Sales[[#This Row],[Unadj Total Value]]-Sales[[#This Row],[24Final]])/Sales[[#This Row],[24Final]]</f>
        <v>-2.2413149047441166E-2</v>
      </c>
      <c r="CL20">
        <f>VLOOKUP(Sales[[#This Row],[TNbhd]],Lookups!$Q$2:$T$4,4,FALSE)</f>
        <v>0.99970000000000003</v>
      </c>
      <c r="CM20">
        <f>VLOOKUP(Sales[[#This Row],[Qlty]],Lookups!$O$7:$R$21,4,FALSE)</f>
        <v>1.0067999999999999</v>
      </c>
      <c r="CN20">
        <f>VLOOKUP(Sales[[#This Row],[Cnd]],Lookups!$T$7:$W$16,4,FALSE)</f>
        <v>0.99729999999999996</v>
      </c>
      <c r="CO20">
        <f>VLOOKUP(Sales[[#This Row],[LivArea Range]],Lookups!$T$25:$W$37,4,FALSE)</f>
        <v>1.0157</v>
      </c>
      <c r="CP20">
        <f>VLOOKUP(Sales[[#This Row],[Decade]],Lookups!$O$25:$R$42,4,FALSE)</f>
        <v>0.96919999999999995</v>
      </c>
      <c r="CQ20">
        <f>Sales[[#This Row],[Nbhd Adj]]*0.95</f>
        <v>0.94971499999999998</v>
      </c>
      <c r="CR20">
        <f>Sales[[#This Row],[Nbhd Adj]]*Sales[[#This Row],[Quality Adj]]*Sales[[#This Row],[Condition Adj]]*Sales[[#This Row],[Living Area Adj]]*Sales[[#This Row],[Decade Adj]]*0.95</f>
        <v>0.93873104601730073</v>
      </c>
      <c r="CS20">
        <f>ROUND(SUM(Sales[[#This Row],[Mdl Qlty]:[Mdl WdDeck]])+Sales[[#This Row],[Mdl Res Intercept]]*Sales[[#This Row],[Res Adj ]],-2)</f>
        <v>269200</v>
      </c>
      <c r="CT20">
        <f>ROUND(Sales[[#This Row],[25Det]]*Sales[[#This Row],[Det/Nbhd Adj]],-2)</f>
        <v>12600</v>
      </c>
      <c r="CU20">
        <f>Sales[[#This Row],[Adjusted Res]]+Sales[[#This Row],[Adj Det ]]</f>
        <v>281800</v>
      </c>
      <c r="CV20">
        <f>ROUND((Sales[[#This Row],[Mdl Land Intercept]]+Sales[[#This Row],[Mdl LnAcres]])*Sales[[#This Row],[Det/Nbhd Adj]],-2)</f>
        <v>-11400</v>
      </c>
      <c r="CW20">
        <f>Sales[[#This Row],[Adjusted Impr Total]]+Sales[[#This Row],[Adjusted Land Total]]</f>
        <v>270400</v>
      </c>
      <c r="CX20" s="15">
        <f>IFERROR((Sales[[#This Row],[Adjusted Impr Total]]-Sales[[#This Row],[24Bldg]])/Sales[[#This Row],[24Bldg]],0)</f>
        <v>0.23868131868131867</v>
      </c>
      <c r="CY20" s="15">
        <f>(Sales[[#This Row],[Adjusted Land Total]]-Sales[[#This Row],[24Lnd]])/Sales[[#This Row],[24Lnd]]</f>
        <v>-1.2835820895522387</v>
      </c>
      <c r="CZ20" s="15">
        <f>(Sales[[#This Row],[Adjusted Total]]-Sales[[#This Row],[24Final]])/Sales[[#This Row],[24Final]]</f>
        <v>1.0085917071348524E-2</v>
      </c>
      <c r="DA20" s="15">
        <f>(Sales[[#This Row],[Adjusted Total]]+Sales[[#This Row],[Days Prior Total]])/Sales[[#This Row],[Price]]</f>
        <v>1.0260815044130196</v>
      </c>
    </row>
    <row r="21" spans="1:105" x14ac:dyDescent="0.3">
      <c r="A21">
        <v>2025</v>
      </c>
      <c r="B21">
        <v>18132322467</v>
      </c>
      <c r="C21">
        <v>-2.9957322735539909</v>
      </c>
      <c r="D21">
        <v>0.05</v>
      </c>
      <c r="E21">
        <v>1348</v>
      </c>
      <c r="F21">
        <v>6</v>
      </c>
      <c r="G21" t="s">
        <v>28</v>
      </c>
      <c r="H21" t="s">
        <v>29</v>
      </c>
      <c r="I21" t="s">
        <v>349</v>
      </c>
      <c r="J21" t="s">
        <v>146</v>
      </c>
      <c r="K21">
        <v>11</v>
      </c>
      <c r="L21">
        <v>262</v>
      </c>
      <c r="M21" t="s">
        <v>381</v>
      </c>
      <c r="N21" t="s">
        <v>351</v>
      </c>
      <c r="O21" t="s">
        <v>323</v>
      </c>
      <c r="P21">
        <v>50</v>
      </c>
      <c r="Q21">
        <v>1980</v>
      </c>
      <c r="R21">
        <v>1980</v>
      </c>
      <c r="S21">
        <v>44</v>
      </c>
      <c r="T21">
        <v>44</v>
      </c>
      <c r="U21">
        <v>1</v>
      </c>
      <c r="V21">
        <v>1348</v>
      </c>
      <c r="W21">
        <v>0</v>
      </c>
      <c r="X21">
        <v>0</v>
      </c>
      <c r="Y21">
        <v>0</v>
      </c>
      <c r="Z21">
        <v>0</v>
      </c>
      <c r="AA21">
        <v>0</v>
      </c>
      <c r="AB21">
        <v>1348</v>
      </c>
      <c r="AC21">
        <v>1500</v>
      </c>
      <c r="AD21">
        <v>0</v>
      </c>
      <c r="AF21" t="s">
        <v>383</v>
      </c>
      <c r="AG21" t="s">
        <v>148</v>
      </c>
      <c r="AH21" t="s">
        <v>450</v>
      </c>
      <c r="AI21">
        <v>0</v>
      </c>
      <c r="AJ21">
        <v>0</v>
      </c>
      <c r="AK21">
        <v>1</v>
      </c>
      <c r="AL21">
        <v>1</v>
      </c>
      <c r="AM21">
        <v>0</v>
      </c>
      <c r="AN21">
        <v>8</v>
      </c>
      <c r="AO21">
        <v>0</v>
      </c>
      <c r="AP21">
        <v>0</v>
      </c>
      <c r="AQ21">
        <v>0</v>
      </c>
      <c r="AR21">
        <v>0</v>
      </c>
      <c r="AS21">
        <v>196</v>
      </c>
      <c r="AT21">
        <v>196</v>
      </c>
      <c r="AU21">
        <v>100</v>
      </c>
      <c r="AV21">
        <v>100</v>
      </c>
      <c r="AW21">
        <v>199407</v>
      </c>
      <c r="AX21">
        <v>167502</v>
      </c>
      <c r="AY21">
        <v>96</v>
      </c>
      <c r="AZ21">
        <v>96</v>
      </c>
      <c r="BA21">
        <v>0</v>
      </c>
      <c r="BB21">
        <v>0</v>
      </c>
      <c r="BC21" s="3">
        <v>45196</v>
      </c>
      <c r="BD21" t="s">
        <v>457</v>
      </c>
      <c r="BE21">
        <v>255000</v>
      </c>
      <c r="BF21">
        <v>242170</v>
      </c>
      <c r="BG21" t="s">
        <v>294</v>
      </c>
      <c r="BH21">
        <v>30</v>
      </c>
      <c r="BI21" t="s">
        <v>65</v>
      </c>
      <c r="BJ21" t="s">
        <v>450</v>
      </c>
      <c r="BK21">
        <v>267400</v>
      </c>
      <c r="BL21">
        <v>40100</v>
      </c>
      <c r="BM21">
        <v>227300</v>
      </c>
      <c r="BN21">
        <v>12830</v>
      </c>
      <c r="BO21">
        <v>1.0486274509803921</v>
      </c>
      <c r="BP21">
        <v>257402.87439569924</v>
      </c>
      <c r="BQ21">
        <v>264176.46126601379</v>
      </c>
      <c r="BR21" s="12">
        <f>(Sales[[#This Row],[DP1]]*Lookups!$B$59)+(Sales[[#This Row],[DP2]]*Lookups!$B$60)+(Sales[[#This Row],[DP3]]*Lookups!$B$61)</f>
        <v>-6773.5868707200007</v>
      </c>
      <c r="BS21" s="12">
        <f>Lookups!$B$56*0</f>
        <v>0</v>
      </c>
      <c r="BT21" s="12">
        <f>Lookups!$B$56*1</f>
        <v>89850.625589999996</v>
      </c>
      <c r="BU21" s="12">
        <f>Lookups!$B$57*Sales[[#This Row],[LnAcres]]</f>
        <v>-94828.753982263879</v>
      </c>
      <c r="BV21" s="12">
        <f>VLOOKUP(Sales[[#This Row],[Qlty]],Lookups!$A$62:$E$75,2,FALSE)</f>
        <v>21557.329055999999</v>
      </c>
      <c r="BW21" s="12">
        <f>VLOOKUP(Sales[[#This Row],[Cnd]],Lookups!$A$76:$E$84,2,FALSE)</f>
        <v>160472.20319</v>
      </c>
      <c r="BX21" s="12">
        <f>Sales[[#This Row],[EffAge]]*Lookups!$B$85</f>
        <v>-9814.0064220000004</v>
      </c>
      <c r="BY21" s="12">
        <f>Sales[[#This Row],[MainFn]]*Lookups!$B$86</f>
        <v>66602.886994196</v>
      </c>
      <c r="BZ21" s="12">
        <f>Sales[[#This Row],[UpprFn]]*Lookups!$B$87</f>
        <v>0</v>
      </c>
      <c r="CA21" s="12">
        <f>Sales[[#This Row],[AddFn]]*Lookups!$B$88</f>
        <v>0</v>
      </c>
      <c r="CB21" s="12">
        <f>Sales[[#This Row],[Bsmt]]*Lookups!$B$89</f>
        <v>0</v>
      </c>
      <c r="CC21" s="12">
        <f>Sales[[#This Row],[Fixtures]]*Lookups!$B$90</f>
        <v>30336.176841600001</v>
      </c>
      <c r="CD21" s="12">
        <f>Sales[[#This Row],[WdDeck]]*Lookups!$B$91</f>
        <v>0</v>
      </c>
      <c r="CE21" s="12">
        <f>SUM(Sales[[#This Row],[Days Prior Total]:[Mdl WdDeck]])</f>
        <v>257402.87439681214</v>
      </c>
      <c r="CF21" s="12">
        <f>ROUND(Sales[[#This Row],[25Det]],-2)</f>
        <v>12800</v>
      </c>
      <c r="CG21" s="12">
        <f>ROUND(SUM(Sales[[#This Row],[Mdl Qlty]:[Mdl WdDeck]])+Sales[[#This Row],[Mdl Res Intercept]]+Sales[[#This Row],[Days Prior Total]],-2)</f>
        <v>262400</v>
      </c>
      <c r="CH21" s="12">
        <f>ROUND(Sales[[#This Row],[Mdl Land Intercept]]+Sales[[#This Row],[Mdl LnAcres]],-2)</f>
        <v>-5000</v>
      </c>
      <c r="CI21" s="12">
        <f>Sales[[#This Row],[Unadj Res Value]]+Sales[[#This Row],[Unadj Det Value]]+Sales[[#This Row],[Unadj Land Value]]</f>
        <v>270200</v>
      </c>
      <c r="CJ21" s="13">
        <f>Sales[[#This Row],[Unadj Total Value]]/Sales[[#This Row],[Price]]</f>
        <v>1.0596078431372549</v>
      </c>
      <c r="CK21" s="13">
        <f>(Sales[[#This Row],[Unadj Total Value]]-Sales[[#This Row],[24Final]])/Sales[[#This Row],[24Final]]</f>
        <v>1.0471204188481676E-2</v>
      </c>
      <c r="CL21">
        <f>VLOOKUP(Sales[[#This Row],[TNbhd]],Lookups!$Q$2:$T$4,4,FALSE)</f>
        <v>0.99970000000000003</v>
      </c>
      <c r="CM21">
        <f>VLOOKUP(Sales[[#This Row],[Qlty]],Lookups!$O$7:$R$21,4,FALSE)</f>
        <v>1.0067999999999999</v>
      </c>
      <c r="CN21">
        <f>VLOOKUP(Sales[[#This Row],[Cnd]],Lookups!$T$7:$W$16,4,FALSE)</f>
        <v>0.99729999999999996</v>
      </c>
      <c r="CO21">
        <f>VLOOKUP(Sales[[#This Row],[LivArea Range]],Lookups!$T$25:$W$37,4,FALSE)</f>
        <v>1.0157</v>
      </c>
      <c r="CP21">
        <f>VLOOKUP(Sales[[#This Row],[Decade]],Lookups!$O$25:$R$42,4,FALSE)</f>
        <v>0.96919999999999995</v>
      </c>
      <c r="CQ21">
        <f>Sales[[#This Row],[Nbhd Adj]]*0.95</f>
        <v>0.94971499999999998</v>
      </c>
      <c r="CR21">
        <f>Sales[[#This Row],[Nbhd Adj]]*Sales[[#This Row],[Quality Adj]]*Sales[[#This Row],[Condition Adj]]*Sales[[#This Row],[Living Area Adj]]*Sales[[#This Row],[Decade Adj]]*0.95</f>
        <v>0.93873104601730073</v>
      </c>
      <c r="CS21">
        <f>ROUND(SUM(Sales[[#This Row],[Mdl Qlty]:[Mdl WdDeck]])+Sales[[#This Row],[Mdl Res Intercept]]*Sales[[#This Row],[Res Adj ]],-2)</f>
        <v>269200</v>
      </c>
      <c r="CT21">
        <f>ROUND(Sales[[#This Row],[25Det]]*Sales[[#This Row],[Det/Nbhd Adj]],-2)</f>
        <v>12200</v>
      </c>
      <c r="CU21">
        <f>Sales[[#This Row],[Adjusted Res]]+Sales[[#This Row],[Adj Det ]]</f>
        <v>281400</v>
      </c>
      <c r="CV21">
        <f>ROUND((Sales[[#This Row],[Mdl Land Intercept]]+Sales[[#This Row],[Mdl LnAcres]])*Sales[[#This Row],[Det/Nbhd Adj]],-2)</f>
        <v>-4700</v>
      </c>
      <c r="CW21">
        <f>Sales[[#This Row],[Adjusted Impr Total]]+Sales[[#This Row],[Adjusted Land Total]]</f>
        <v>276700</v>
      </c>
      <c r="CX21" s="15">
        <f>IFERROR((Sales[[#This Row],[Adjusted Impr Total]]-Sales[[#This Row],[24Bldg]])/Sales[[#This Row],[24Bldg]],0)</f>
        <v>0.23801143862736471</v>
      </c>
      <c r="CY21" s="15">
        <f>(Sales[[#This Row],[Adjusted Land Total]]-Sales[[#This Row],[24Lnd]])/Sales[[#This Row],[24Lnd]]</f>
        <v>-1.1172069825436408</v>
      </c>
      <c r="CZ21" s="15">
        <f>(Sales[[#This Row],[Adjusted Total]]-Sales[[#This Row],[24Final]])/Sales[[#This Row],[24Final]]</f>
        <v>3.4779356768885564E-2</v>
      </c>
      <c r="DA21" s="15">
        <f>(Sales[[#This Row],[Adjusted Total]]+Sales[[#This Row],[Days Prior Total]])/Sales[[#This Row],[Price]]</f>
        <v>1.0585349534481567</v>
      </c>
    </row>
    <row r="22" spans="1:105" x14ac:dyDescent="0.3">
      <c r="A22">
        <v>2025</v>
      </c>
      <c r="B22">
        <v>18132322483</v>
      </c>
      <c r="C22">
        <v>-3.912023005428146</v>
      </c>
      <c r="D22">
        <v>0.02</v>
      </c>
      <c r="E22">
        <v>840</v>
      </c>
      <c r="F22">
        <v>6</v>
      </c>
      <c r="G22" t="s">
        <v>28</v>
      </c>
      <c r="H22" t="s">
        <v>29</v>
      </c>
      <c r="I22" t="s">
        <v>349</v>
      </c>
      <c r="J22" t="s">
        <v>146</v>
      </c>
      <c r="K22">
        <v>11</v>
      </c>
      <c r="L22">
        <v>262</v>
      </c>
      <c r="M22" t="s">
        <v>381</v>
      </c>
      <c r="N22" t="s">
        <v>302</v>
      </c>
      <c r="O22" t="s">
        <v>303</v>
      </c>
      <c r="P22">
        <v>50</v>
      </c>
      <c r="Q22">
        <v>1980</v>
      </c>
      <c r="R22">
        <v>1980</v>
      </c>
      <c r="S22">
        <v>44</v>
      </c>
      <c r="T22">
        <v>44</v>
      </c>
      <c r="U22">
        <v>2</v>
      </c>
      <c r="V22">
        <v>840</v>
      </c>
      <c r="W22">
        <v>980</v>
      </c>
      <c r="X22">
        <v>0</v>
      </c>
      <c r="Y22">
        <v>0</v>
      </c>
      <c r="Z22">
        <v>0</v>
      </c>
      <c r="AA22">
        <v>0</v>
      </c>
      <c r="AB22">
        <v>1820</v>
      </c>
      <c r="AC22">
        <v>2000</v>
      </c>
      <c r="AD22">
        <v>2</v>
      </c>
      <c r="AF22" t="s">
        <v>383</v>
      </c>
      <c r="AG22" t="s">
        <v>382</v>
      </c>
      <c r="AH22" t="s">
        <v>450</v>
      </c>
      <c r="AI22">
        <v>0</v>
      </c>
      <c r="AJ22">
        <v>0</v>
      </c>
      <c r="AK22">
        <v>2</v>
      </c>
      <c r="AL22">
        <v>0</v>
      </c>
      <c r="AM22">
        <v>0</v>
      </c>
      <c r="AN22">
        <v>12</v>
      </c>
      <c r="AO22">
        <v>0</v>
      </c>
      <c r="AP22">
        <v>440</v>
      </c>
      <c r="AQ22">
        <v>0</v>
      </c>
      <c r="AR22">
        <v>0</v>
      </c>
      <c r="AS22">
        <v>220</v>
      </c>
      <c r="AT22">
        <v>180</v>
      </c>
      <c r="AU22">
        <v>100</v>
      </c>
      <c r="AV22">
        <v>100</v>
      </c>
      <c r="AW22">
        <v>255330</v>
      </c>
      <c r="AX22">
        <v>201711</v>
      </c>
      <c r="AY22">
        <v>521</v>
      </c>
      <c r="AZ22">
        <v>365</v>
      </c>
      <c r="BA22">
        <v>156</v>
      </c>
      <c r="BB22">
        <v>0</v>
      </c>
      <c r="BC22" s="3">
        <v>44771</v>
      </c>
      <c r="BD22" t="s">
        <v>467</v>
      </c>
      <c r="BE22">
        <v>256000</v>
      </c>
      <c r="BF22">
        <v>256000</v>
      </c>
      <c r="BG22" t="s">
        <v>294</v>
      </c>
      <c r="BH22">
        <v>30</v>
      </c>
      <c r="BI22" t="s">
        <v>65</v>
      </c>
      <c r="BJ22" t="s">
        <v>450</v>
      </c>
      <c r="BK22">
        <v>259500</v>
      </c>
      <c r="BL22">
        <v>38900</v>
      </c>
      <c r="BM22">
        <v>220600</v>
      </c>
      <c r="BN22">
        <v>0</v>
      </c>
      <c r="BO22">
        <v>1.013671875</v>
      </c>
      <c r="BP22">
        <v>290705.34992714145</v>
      </c>
      <c r="BQ22">
        <v>314667.71689589799</v>
      </c>
      <c r="BR22" s="12">
        <f>(Sales[[#This Row],[DP1]]*Lookups!$B$59)+(Sales[[#This Row],[DP2]]*Lookups!$B$60)+(Sales[[#This Row],[DP3]]*Lookups!$B$61)</f>
        <v>-23962.366970338</v>
      </c>
      <c r="BS22" s="12">
        <f>Lookups!$B$56*0</f>
        <v>0</v>
      </c>
      <c r="BT22" s="12">
        <f>Lookups!$B$56*1</f>
        <v>89850.625589999996</v>
      </c>
      <c r="BU22" s="12">
        <f>Lookups!$B$57*Sales[[#This Row],[LnAcres]]</f>
        <v>-123833.58500677992</v>
      </c>
      <c r="BV22" s="12">
        <f>VLOOKUP(Sales[[#This Row],[Qlty]],Lookups!$A$62:$E$75,2,FALSE)</f>
        <v>29814.093161000001</v>
      </c>
      <c r="BW22" s="12">
        <f>VLOOKUP(Sales[[#This Row],[Cnd]],Lookups!$A$76:$E$84,2,FALSE)</f>
        <v>197752.34721000001</v>
      </c>
      <c r="BX22" s="12">
        <f>Sales[[#This Row],[EffAge]]*Lookups!$B$85</f>
        <v>-9814.0064220000004</v>
      </c>
      <c r="BY22" s="12">
        <f>Sales[[#This Row],[MainFn]]*Lookups!$B$86</f>
        <v>41503.282696679998</v>
      </c>
      <c r="BZ22" s="12">
        <f>Sales[[#This Row],[UpprFn]]*Lookups!$B$87</f>
        <v>43890.694403779999</v>
      </c>
      <c r="CA22" s="12">
        <f>Sales[[#This Row],[AddFn]]*Lookups!$B$88</f>
        <v>0</v>
      </c>
      <c r="CB22" s="12">
        <f>Sales[[#This Row],[Bsmt]]*Lookups!$B$89</f>
        <v>0</v>
      </c>
      <c r="CC22" s="12">
        <f>Sales[[#This Row],[Fixtures]]*Lookups!$B$90</f>
        <v>45504.265262400004</v>
      </c>
      <c r="CD22" s="12">
        <f>Sales[[#This Row],[WdDeck]]*Lookups!$B$91</f>
        <v>0</v>
      </c>
      <c r="CE22" s="12">
        <f>SUM(Sales[[#This Row],[Days Prior Total]:[Mdl WdDeck]])</f>
        <v>290705.34992474213</v>
      </c>
      <c r="CF22" s="12">
        <f>ROUND(Sales[[#This Row],[25Det]],-2)</f>
        <v>0</v>
      </c>
      <c r="CG22" s="12">
        <f>ROUND(SUM(Sales[[#This Row],[Mdl Qlty]:[Mdl WdDeck]])+Sales[[#This Row],[Mdl Res Intercept]]+Sales[[#This Row],[Days Prior Total]],-2)</f>
        <v>324700</v>
      </c>
      <c r="CH22" s="12">
        <f>ROUND(Sales[[#This Row],[Mdl Land Intercept]]+Sales[[#This Row],[Mdl LnAcres]],-2)</f>
        <v>-34000</v>
      </c>
      <c r="CI22" s="12">
        <f>Sales[[#This Row],[Unadj Res Value]]+Sales[[#This Row],[Unadj Det Value]]+Sales[[#This Row],[Unadj Land Value]]</f>
        <v>290700</v>
      </c>
      <c r="CJ22" s="13">
        <f>Sales[[#This Row],[Unadj Total Value]]/Sales[[#This Row],[Price]]</f>
        <v>1.135546875</v>
      </c>
      <c r="CK22" s="13">
        <f>(Sales[[#This Row],[Unadj Total Value]]-Sales[[#This Row],[24Final]])/Sales[[#This Row],[24Final]]</f>
        <v>0.12023121387283237</v>
      </c>
      <c r="CL22">
        <f>VLOOKUP(Sales[[#This Row],[TNbhd]],Lookups!$Q$2:$T$4,4,FALSE)</f>
        <v>0.99970000000000003</v>
      </c>
      <c r="CM22">
        <f>VLOOKUP(Sales[[#This Row],[Qlty]],Lookups!$O$7:$R$21,4,FALSE)</f>
        <v>1.0088999999999999</v>
      </c>
      <c r="CN22">
        <f>VLOOKUP(Sales[[#This Row],[Cnd]],Lookups!$T$7:$W$16,4,FALSE)</f>
        <v>0.99650000000000005</v>
      </c>
      <c r="CO22">
        <f>VLOOKUP(Sales[[#This Row],[LivArea Range]],Lookups!$T$25:$W$37,4,FALSE)</f>
        <v>1.0093000000000001</v>
      </c>
      <c r="CP22">
        <f>VLOOKUP(Sales[[#This Row],[Decade]],Lookups!$O$25:$R$42,4,FALSE)</f>
        <v>0.96919999999999995</v>
      </c>
      <c r="CQ22">
        <f>Sales[[#This Row],[Nbhd Adj]]*0.95</f>
        <v>0.94971499999999998</v>
      </c>
      <c r="CR22">
        <f>Sales[[#This Row],[Nbhd Adj]]*Sales[[#This Row],[Quality Adj]]*Sales[[#This Row],[Condition Adj]]*Sales[[#This Row],[Living Area Adj]]*Sales[[#This Row],[Decade Adj]]*0.95</f>
        <v>0.93401188212709219</v>
      </c>
      <c r="CS22">
        <f>ROUND(SUM(Sales[[#This Row],[Mdl Qlty]:[Mdl WdDeck]])+Sales[[#This Row],[Mdl Res Intercept]]*Sales[[#This Row],[Res Adj ]],-2)</f>
        <v>348700</v>
      </c>
      <c r="CT22">
        <f>ROUND(Sales[[#This Row],[25Det]]*Sales[[#This Row],[Det/Nbhd Adj]],-2)</f>
        <v>0</v>
      </c>
      <c r="CU22">
        <f>Sales[[#This Row],[Adjusted Res]]+Sales[[#This Row],[Adj Det ]]</f>
        <v>348700</v>
      </c>
      <c r="CV22">
        <f>ROUND((Sales[[#This Row],[Mdl Land Intercept]]+Sales[[#This Row],[Mdl LnAcres]])*Sales[[#This Row],[Det/Nbhd Adj]],-2)</f>
        <v>-32300</v>
      </c>
      <c r="CW22">
        <f>Sales[[#This Row],[Adjusted Impr Total]]+Sales[[#This Row],[Adjusted Land Total]]</f>
        <v>316400</v>
      </c>
      <c r="CX22" s="15">
        <f>IFERROR((Sales[[#This Row],[Adjusted Impr Total]]-Sales[[#This Row],[24Bldg]])/Sales[[#This Row],[24Bldg]],0)</f>
        <v>0.58068902991840432</v>
      </c>
      <c r="CY22" s="15">
        <f>(Sales[[#This Row],[Adjusted Land Total]]-Sales[[#This Row],[24Lnd]])/Sales[[#This Row],[24Lnd]]</f>
        <v>-1.8303341902313626</v>
      </c>
      <c r="CZ22" s="15">
        <f>(Sales[[#This Row],[Adjusted Total]]-Sales[[#This Row],[24Final]])/Sales[[#This Row],[24Final]]</f>
        <v>0.21926782273603082</v>
      </c>
      <c r="DA22" s="15">
        <f>(Sales[[#This Row],[Adjusted Total]]+Sales[[#This Row],[Days Prior Total]])/Sales[[#This Row],[Price]]</f>
        <v>1.1423345040221173</v>
      </c>
    </row>
    <row r="23" spans="1:105" x14ac:dyDescent="0.3">
      <c r="A23">
        <v>2025</v>
      </c>
      <c r="B23">
        <v>18132322463</v>
      </c>
      <c r="C23">
        <v>-3.2188758248682006</v>
      </c>
      <c r="D23">
        <v>0.04</v>
      </c>
      <c r="E23">
        <v>1348</v>
      </c>
      <c r="F23">
        <v>6</v>
      </c>
      <c r="G23" t="s">
        <v>28</v>
      </c>
      <c r="H23" t="s">
        <v>29</v>
      </c>
      <c r="I23" t="s">
        <v>349</v>
      </c>
      <c r="J23" t="s">
        <v>146</v>
      </c>
      <c r="K23">
        <v>11</v>
      </c>
      <c r="L23">
        <v>262</v>
      </c>
      <c r="M23" t="s">
        <v>381</v>
      </c>
      <c r="N23" t="s">
        <v>351</v>
      </c>
      <c r="O23" t="s">
        <v>352</v>
      </c>
      <c r="P23">
        <v>50</v>
      </c>
      <c r="Q23">
        <v>1980</v>
      </c>
      <c r="R23">
        <v>1980</v>
      </c>
      <c r="S23">
        <v>44</v>
      </c>
      <c r="T23">
        <v>44</v>
      </c>
      <c r="U23">
        <v>1</v>
      </c>
      <c r="V23">
        <v>1348</v>
      </c>
      <c r="W23">
        <v>0</v>
      </c>
      <c r="X23">
        <v>0</v>
      </c>
      <c r="Y23">
        <v>0</v>
      </c>
      <c r="Z23">
        <v>0</v>
      </c>
      <c r="AA23">
        <v>0</v>
      </c>
      <c r="AB23">
        <v>1348</v>
      </c>
      <c r="AC23">
        <v>1500</v>
      </c>
      <c r="AD23">
        <v>0</v>
      </c>
      <c r="AF23" t="s">
        <v>383</v>
      </c>
      <c r="AG23" t="s">
        <v>148</v>
      </c>
      <c r="AH23" t="s">
        <v>450</v>
      </c>
      <c r="AI23">
        <v>0</v>
      </c>
      <c r="AJ23">
        <v>0</v>
      </c>
      <c r="AK23">
        <v>1</v>
      </c>
      <c r="AL23">
        <v>2</v>
      </c>
      <c r="AM23">
        <v>0</v>
      </c>
      <c r="AN23">
        <v>8</v>
      </c>
      <c r="AO23">
        <v>0</v>
      </c>
      <c r="AP23">
        <v>0</v>
      </c>
      <c r="AQ23">
        <v>0</v>
      </c>
      <c r="AR23">
        <v>0</v>
      </c>
      <c r="AS23">
        <v>120</v>
      </c>
      <c r="AT23">
        <v>0</v>
      </c>
      <c r="AU23">
        <v>100</v>
      </c>
      <c r="AV23">
        <v>100</v>
      </c>
      <c r="AW23">
        <v>166101</v>
      </c>
      <c r="AX23">
        <v>139525</v>
      </c>
      <c r="AY23">
        <v>454</v>
      </c>
      <c r="AZ23">
        <v>365</v>
      </c>
      <c r="BA23">
        <v>89</v>
      </c>
      <c r="BB23">
        <v>0</v>
      </c>
      <c r="BC23" s="3">
        <v>44838</v>
      </c>
      <c r="BD23" t="s">
        <v>81</v>
      </c>
      <c r="BE23">
        <v>305000</v>
      </c>
      <c r="BF23">
        <v>292170</v>
      </c>
      <c r="BG23" t="s">
        <v>294</v>
      </c>
      <c r="BH23">
        <v>30</v>
      </c>
      <c r="BI23" t="s">
        <v>65</v>
      </c>
      <c r="BJ23" t="s">
        <v>450</v>
      </c>
      <c r="BK23">
        <v>270600</v>
      </c>
      <c r="BL23">
        <v>40600</v>
      </c>
      <c r="BM23">
        <v>230000</v>
      </c>
      <c r="BN23">
        <v>12830</v>
      </c>
      <c r="BO23">
        <v>0.88721311475409836</v>
      </c>
      <c r="BP23">
        <v>356719.60330096306</v>
      </c>
      <c r="BQ23">
        <v>381451.34277042071</v>
      </c>
      <c r="BR23" s="12">
        <f>(Sales[[#This Row],[DP1]]*Lookups!$B$59)+(Sales[[#This Row],[DP2]]*Lookups!$B$60)+(Sales[[#This Row],[DP3]]*Lookups!$B$61)</f>
        <v>-24731.739471022</v>
      </c>
      <c r="BS23" s="12">
        <f>Lookups!$B$56*0</f>
        <v>0</v>
      </c>
      <c r="BT23" s="12">
        <f>Lookups!$B$56*1</f>
        <v>89850.625589999996</v>
      </c>
      <c r="BU23" s="12">
        <f>Lookups!$B$57*Sales[[#This Row],[LnAcres]]</f>
        <v>-101892.2773541973</v>
      </c>
      <c r="BV23" s="12">
        <f>VLOOKUP(Sales[[#This Row],[Qlty]],Lookups!$A$62:$E$75,2,FALSE)</f>
        <v>21557.329055999999</v>
      </c>
      <c r="BW23" s="12">
        <f>VLOOKUP(Sales[[#This Row],[Cnd]],Lookups!$A$76:$E$84,2,FALSE)</f>
        <v>284810.60806</v>
      </c>
      <c r="BX23" s="12">
        <f>Sales[[#This Row],[EffAge]]*Lookups!$B$85</f>
        <v>-9814.0064220000004</v>
      </c>
      <c r="BY23" s="12">
        <f>Sales[[#This Row],[MainFn]]*Lookups!$B$86</f>
        <v>66602.886994196</v>
      </c>
      <c r="BZ23" s="12">
        <f>Sales[[#This Row],[UpprFn]]*Lookups!$B$87</f>
        <v>0</v>
      </c>
      <c r="CA23" s="12">
        <f>Sales[[#This Row],[AddFn]]*Lookups!$B$88</f>
        <v>0</v>
      </c>
      <c r="CB23" s="12">
        <f>Sales[[#This Row],[Bsmt]]*Lookups!$B$89</f>
        <v>0</v>
      </c>
      <c r="CC23" s="12">
        <f>Sales[[#This Row],[Fixtures]]*Lookups!$B$90</f>
        <v>30336.176841600001</v>
      </c>
      <c r="CD23" s="12">
        <f>Sales[[#This Row],[WdDeck]]*Lookups!$B$91</f>
        <v>0</v>
      </c>
      <c r="CE23" s="12">
        <f>SUM(Sales[[#This Row],[Days Prior Total]:[Mdl WdDeck]])</f>
        <v>356719.60329457663</v>
      </c>
      <c r="CF23" s="12">
        <f>ROUND(Sales[[#This Row],[25Det]],-2)</f>
        <v>12800</v>
      </c>
      <c r="CG23" s="12">
        <f>ROUND(SUM(Sales[[#This Row],[Mdl Qlty]:[Mdl WdDeck]])+Sales[[#This Row],[Mdl Res Intercept]]+Sales[[#This Row],[Days Prior Total]],-2)</f>
        <v>368800</v>
      </c>
      <c r="CH23" s="12">
        <f>ROUND(Sales[[#This Row],[Mdl Land Intercept]]+Sales[[#This Row],[Mdl LnAcres]],-2)</f>
        <v>-12000</v>
      </c>
      <c r="CI23" s="12">
        <f>Sales[[#This Row],[Unadj Res Value]]+Sales[[#This Row],[Unadj Det Value]]+Sales[[#This Row],[Unadj Land Value]]</f>
        <v>369600</v>
      </c>
      <c r="CJ23" s="13">
        <f>Sales[[#This Row],[Unadj Total Value]]/Sales[[#This Row],[Price]]</f>
        <v>1.2118032786885247</v>
      </c>
      <c r="CK23" s="13">
        <f>(Sales[[#This Row],[Unadj Total Value]]-Sales[[#This Row],[24Final]])/Sales[[#This Row],[24Final]]</f>
        <v>0.36585365853658536</v>
      </c>
      <c r="CL23">
        <f>VLOOKUP(Sales[[#This Row],[TNbhd]],Lookups!$Q$2:$T$4,4,FALSE)</f>
        <v>0.99970000000000003</v>
      </c>
      <c r="CM23">
        <f>VLOOKUP(Sales[[#This Row],[Qlty]],Lookups!$O$7:$R$21,4,FALSE)</f>
        <v>1.0067999999999999</v>
      </c>
      <c r="CN23">
        <f>VLOOKUP(Sales[[#This Row],[Cnd]],Lookups!$T$7:$W$16,4,FALSE)</f>
        <v>1.0158</v>
      </c>
      <c r="CO23">
        <f>VLOOKUP(Sales[[#This Row],[LivArea Range]],Lookups!$T$25:$W$37,4,FALSE)</f>
        <v>1.0157</v>
      </c>
      <c r="CP23">
        <f>VLOOKUP(Sales[[#This Row],[Decade]],Lookups!$O$25:$R$42,4,FALSE)</f>
        <v>0.96919999999999995</v>
      </c>
      <c r="CQ23">
        <f>Sales[[#This Row],[Nbhd Adj]]*0.95</f>
        <v>0.94971499999999998</v>
      </c>
      <c r="CR23">
        <f>Sales[[#This Row],[Nbhd Adj]]*Sales[[#This Row],[Quality Adj]]*Sales[[#This Row],[Condition Adj]]*Sales[[#This Row],[Living Area Adj]]*Sales[[#This Row],[Decade Adj]]*0.95</f>
        <v>0.95614458692908277</v>
      </c>
      <c r="CS23">
        <f>ROUND(SUM(Sales[[#This Row],[Mdl Qlty]:[Mdl WdDeck]])+Sales[[#This Row],[Mdl Res Intercept]]*Sales[[#This Row],[Res Adj ]],-2)</f>
        <v>393500</v>
      </c>
      <c r="CT23">
        <f>ROUND(Sales[[#This Row],[25Det]]*Sales[[#This Row],[Det/Nbhd Adj]],-2)</f>
        <v>12200</v>
      </c>
      <c r="CU23">
        <f>Sales[[#This Row],[Adjusted Res]]+Sales[[#This Row],[Adj Det ]]</f>
        <v>405700</v>
      </c>
      <c r="CV23">
        <f>ROUND((Sales[[#This Row],[Mdl Land Intercept]]+Sales[[#This Row],[Mdl LnAcres]])*Sales[[#This Row],[Det/Nbhd Adj]],-2)</f>
        <v>-11400</v>
      </c>
      <c r="CW23">
        <f>Sales[[#This Row],[Adjusted Impr Total]]+Sales[[#This Row],[Adjusted Land Total]]</f>
        <v>394300</v>
      </c>
      <c r="CX23" s="15">
        <f>IFERROR((Sales[[#This Row],[Adjusted Impr Total]]-Sales[[#This Row],[24Bldg]])/Sales[[#This Row],[24Bldg]],0)</f>
        <v>0.76391304347826083</v>
      </c>
      <c r="CY23" s="15">
        <f>(Sales[[#This Row],[Adjusted Land Total]]-Sales[[#This Row],[24Lnd]])/Sales[[#This Row],[24Lnd]]</f>
        <v>-1.2807881773399015</v>
      </c>
      <c r="CZ23" s="15">
        <f>(Sales[[#This Row],[Adjusted Total]]-Sales[[#This Row],[24Final]])/Sales[[#This Row],[24Final]]</f>
        <v>0.45713229859571325</v>
      </c>
      <c r="DA23" s="15">
        <f>(Sales[[#This Row],[Adjusted Total]]+Sales[[#This Row],[Days Prior Total]])/Sales[[#This Row],[Price]]</f>
        <v>1.2116992148491084</v>
      </c>
    </row>
    <row r="24" spans="1:105" x14ac:dyDescent="0.3">
      <c r="A24">
        <v>2025</v>
      </c>
      <c r="B24">
        <v>18132322473</v>
      </c>
      <c r="C24">
        <v>-3.2188758248682006</v>
      </c>
      <c r="D24">
        <v>0.04</v>
      </c>
      <c r="E24">
        <v>1348</v>
      </c>
      <c r="F24">
        <v>6</v>
      </c>
      <c r="G24" t="s">
        <v>28</v>
      </c>
      <c r="H24" t="s">
        <v>29</v>
      </c>
      <c r="I24" t="s">
        <v>349</v>
      </c>
      <c r="J24" t="s">
        <v>146</v>
      </c>
      <c r="K24">
        <v>11</v>
      </c>
      <c r="L24">
        <v>262</v>
      </c>
      <c r="M24" t="s">
        <v>381</v>
      </c>
      <c r="N24" t="s">
        <v>351</v>
      </c>
      <c r="O24" t="s">
        <v>303</v>
      </c>
      <c r="P24">
        <v>50</v>
      </c>
      <c r="Q24">
        <v>1980</v>
      </c>
      <c r="R24">
        <v>1980</v>
      </c>
      <c r="S24">
        <v>44</v>
      </c>
      <c r="T24">
        <v>44</v>
      </c>
      <c r="U24">
        <v>1</v>
      </c>
      <c r="V24">
        <v>1348</v>
      </c>
      <c r="W24">
        <v>0</v>
      </c>
      <c r="X24">
        <v>0</v>
      </c>
      <c r="Y24">
        <v>0</v>
      </c>
      <c r="Z24">
        <v>0</v>
      </c>
      <c r="AA24">
        <v>0</v>
      </c>
      <c r="AB24">
        <v>1348</v>
      </c>
      <c r="AC24">
        <v>1500</v>
      </c>
      <c r="AD24">
        <v>0</v>
      </c>
      <c r="AF24" t="s">
        <v>383</v>
      </c>
      <c r="AG24" t="s">
        <v>148</v>
      </c>
      <c r="AH24" t="s">
        <v>450</v>
      </c>
      <c r="AI24">
        <v>0</v>
      </c>
      <c r="AJ24">
        <v>0</v>
      </c>
      <c r="AK24">
        <v>1</v>
      </c>
      <c r="AL24">
        <v>1</v>
      </c>
      <c r="AM24">
        <v>0</v>
      </c>
      <c r="AN24">
        <v>9</v>
      </c>
      <c r="AO24">
        <v>0</v>
      </c>
      <c r="AP24">
        <v>0</v>
      </c>
      <c r="AQ24">
        <v>0</v>
      </c>
      <c r="AR24">
        <v>0</v>
      </c>
      <c r="AS24">
        <v>208</v>
      </c>
      <c r="AT24">
        <v>0</v>
      </c>
      <c r="AU24">
        <v>100</v>
      </c>
      <c r="AV24">
        <v>100</v>
      </c>
      <c r="AW24">
        <v>197807</v>
      </c>
      <c r="AX24">
        <v>166158</v>
      </c>
      <c r="AY24">
        <v>185</v>
      </c>
      <c r="AZ24">
        <v>185</v>
      </c>
      <c r="BA24">
        <v>0</v>
      </c>
      <c r="BB24">
        <v>0</v>
      </c>
      <c r="BC24" s="3">
        <v>45107</v>
      </c>
      <c r="BD24" t="s">
        <v>362</v>
      </c>
      <c r="BE24">
        <v>240250</v>
      </c>
      <c r="BF24">
        <v>226986</v>
      </c>
      <c r="BG24" t="s">
        <v>294</v>
      </c>
      <c r="BH24">
        <v>30</v>
      </c>
      <c r="BI24" t="s">
        <v>65</v>
      </c>
      <c r="BJ24" t="s">
        <v>450</v>
      </c>
      <c r="BK24">
        <v>265800</v>
      </c>
      <c r="BL24">
        <v>39900</v>
      </c>
      <c r="BM24">
        <v>225900</v>
      </c>
      <c r="BN24">
        <v>13264</v>
      </c>
      <c r="BO24">
        <v>1.1063475546305932</v>
      </c>
      <c r="BP24">
        <v>285131.83765685011</v>
      </c>
      <c r="BQ24">
        <v>298185.10402151878</v>
      </c>
      <c r="BR24" s="12">
        <f>(Sales[[#This Row],[DP1]]*Lookups!$B$59)+(Sales[[#This Row],[DP2]]*Lookups!$B$60)+(Sales[[#This Row],[DP3]]*Lookups!$B$61)</f>
        <v>-13053.266365450001</v>
      </c>
      <c r="BS24" s="12">
        <f>Lookups!$B$56*0</f>
        <v>0</v>
      </c>
      <c r="BT24" s="12">
        <f>Lookups!$B$56*1</f>
        <v>89850.625589999996</v>
      </c>
      <c r="BU24" s="12">
        <f>Lookups!$B$57*Sales[[#This Row],[LnAcres]]</f>
        <v>-101892.2773541973</v>
      </c>
      <c r="BV24" s="12">
        <f>VLOOKUP(Sales[[#This Row],[Qlty]],Lookups!$A$62:$E$75,2,FALSE)</f>
        <v>21557.329055999999</v>
      </c>
      <c r="BW24" s="12">
        <f>VLOOKUP(Sales[[#This Row],[Cnd]],Lookups!$A$76:$E$84,2,FALSE)</f>
        <v>197752.34721000001</v>
      </c>
      <c r="BX24" s="12">
        <f>Sales[[#This Row],[EffAge]]*Lookups!$B$85</f>
        <v>-9814.0064220000004</v>
      </c>
      <c r="BY24" s="12">
        <f>Sales[[#This Row],[MainFn]]*Lookups!$B$86</f>
        <v>66602.886994196</v>
      </c>
      <c r="BZ24" s="12">
        <f>Sales[[#This Row],[UpprFn]]*Lookups!$B$87</f>
        <v>0</v>
      </c>
      <c r="CA24" s="12">
        <f>Sales[[#This Row],[AddFn]]*Lookups!$B$88</f>
        <v>0</v>
      </c>
      <c r="CB24" s="12">
        <f>Sales[[#This Row],[Bsmt]]*Lookups!$B$89</f>
        <v>0</v>
      </c>
      <c r="CC24" s="12">
        <f>Sales[[#This Row],[Fixtures]]*Lookups!$B$90</f>
        <v>34128.198946800003</v>
      </c>
      <c r="CD24" s="12">
        <f>Sales[[#This Row],[WdDeck]]*Lookups!$B$91</f>
        <v>0</v>
      </c>
      <c r="CE24" s="12">
        <f>SUM(Sales[[#This Row],[Days Prior Total]:[Mdl WdDeck]])</f>
        <v>285131.8376553487</v>
      </c>
      <c r="CF24" s="12">
        <f>ROUND(Sales[[#This Row],[25Det]],-2)</f>
        <v>13300</v>
      </c>
      <c r="CG24" s="12">
        <f>ROUND(SUM(Sales[[#This Row],[Mdl Qlty]:[Mdl WdDeck]])+Sales[[#This Row],[Mdl Res Intercept]]+Sales[[#This Row],[Days Prior Total]],-2)</f>
        <v>297200</v>
      </c>
      <c r="CH24" s="12">
        <f>ROUND(Sales[[#This Row],[Mdl Land Intercept]]+Sales[[#This Row],[Mdl LnAcres]],-2)</f>
        <v>-12000</v>
      </c>
      <c r="CI24" s="12">
        <f>Sales[[#This Row],[Unadj Res Value]]+Sales[[#This Row],[Unadj Det Value]]+Sales[[#This Row],[Unadj Land Value]]</f>
        <v>298500</v>
      </c>
      <c r="CJ24" s="13">
        <f>Sales[[#This Row],[Unadj Total Value]]/Sales[[#This Row],[Price]]</f>
        <v>1.2424557752341312</v>
      </c>
      <c r="CK24" s="13">
        <f>(Sales[[#This Row],[Unadj Total Value]]-Sales[[#This Row],[24Final]])/Sales[[#This Row],[24Final]]</f>
        <v>0.12302483069977427</v>
      </c>
      <c r="CL24">
        <f>VLOOKUP(Sales[[#This Row],[TNbhd]],Lookups!$Q$2:$T$4,4,FALSE)</f>
        <v>0.99970000000000003</v>
      </c>
      <c r="CM24">
        <f>VLOOKUP(Sales[[#This Row],[Qlty]],Lookups!$O$7:$R$21,4,FALSE)</f>
        <v>1.0067999999999999</v>
      </c>
      <c r="CN24">
        <f>VLOOKUP(Sales[[#This Row],[Cnd]],Lookups!$T$7:$W$16,4,FALSE)</f>
        <v>0.99650000000000005</v>
      </c>
      <c r="CO24">
        <f>VLOOKUP(Sales[[#This Row],[LivArea Range]],Lookups!$T$25:$W$37,4,FALSE)</f>
        <v>1.0157</v>
      </c>
      <c r="CP24">
        <f>VLOOKUP(Sales[[#This Row],[Decade]],Lookups!$O$25:$R$42,4,FALSE)</f>
        <v>0.96919999999999995</v>
      </c>
      <c r="CQ24">
        <f>Sales[[#This Row],[Nbhd Adj]]*0.95</f>
        <v>0.94971499999999998</v>
      </c>
      <c r="CR24">
        <f>Sales[[#This Row],[Nbhd Adj]]*Sales[[#This Row],[Quality Adj]]*Sales[[#This Row],[Condition Adj]]*Sales[[#This Row],[Living Area Adj]]*Sales[[#This Row],[Decade Adj]]*0.95</f>
        <v>0.93797802803192643</v>
      </c>
      <c r="CS24">
        <f>ROUND(SUM(Sales[[#This Row],[Mdl Qlty]:[Mdl WdDeck]])+Sales[[#This Row],[Mdl Res Intercept]]*Sales[[#This Row],[Res Adj ]],-2)</f>
        <v>310200</v>
      </c>
      <c r="CT24">
        <f>ROUND(Sales[[#This Row],[25Det]]*Sales[[#This Row],[Det/Nbhd Adj]],-2)</f>
        <v>12600</v>
      </c>
      <c r="CU24">
        <f>Sales[[#This Row],[Adjusted Res]]+Sales[[#This Row],[Adj Det ]]</f>
        <v>322800</v>
      </c>
      <c r="CV24">
        <f>ROUND((Sales[[#This Row],[Mdl Land Intercept]]+Sales[[#This Row],[Mdl LnAcres]])*Sales[[#This Row],[Det/Nbhd Adj]],-2)</f>
        <v>-11400</v>
      </c>
      <c r="CW24">
        <f>Sales[[#This Row],[Adjusted Impr Total]]+Sales[[#This Row],[Adjusted Land Total]]</f>
        <v>311400</v>
      </c>
      <c r="CX24" s="15">
        <f>IFERROR((Sales[[#This Row],[Adjusted Impr Total]]-Sales[[#This Row],[24Bldg]])/Sales[[#This Row],[24Bldg]],0)</f>
        <v>0.42895086321381143</v>
      </c>
      <c r="CY24" s="15">
        <f>(Sales[[#This Row],[Adjusted Land Total]]-Sales[[#This Row],[24Lnd]])/Sales[[#This Row],[24Lnd]]</f>
        <v>-1.2857142857142858</v>
      </c>
      <c r="CZ24" s="15">
        <f>(Sales[[#This Row],[Adjusted Total]]-Sales[[#This Row],[24Final]])/Sales[[#This Row],[24Final]]</f>
        <v>0.17155756207674944</v>
      </c>
      <c r="DA24" s="15">
        <f>(Sales[[#This Row],[Adjusted Total]]+Sales[[#This Row],[Days Prior Total]])/Sales[[#This Row],[Price]]</f>
        <v>1.2418178299044746</v>
      </c>
    </row>
    <row r="25" spans="1:105" x14ac:dyDescent="0.3">
      <c r="A25">
        <v>2025</v>
      </c>
      <c r="B25">
        <v>18132322454</v>
      </c>
      <c r="C25">
        <v>-3.2188758248682006</v>
      </c>
      <c r="D25">
        <v>0.04</v>
      </c>
      <c r="E25">
        <v>1348</v>
      </c>
      <c r="F25">
        <v>6</v>
      </c>
      <c r="G25" t="s">
        <v>28</v>
      </c>
      <c r="H25" t="s">
        <v>29</v>
      </c>
      <c r="I25" t="s">
        <v>349</v>
      </c>
      <c r="J25" t="s">
        <v>146</v>
      </c>
      <c r="K25">
        <v>11</v>
      </c>
      <c r="L25">
        <v>262</v>
      </c>
      <c r="M25" t="s">
        <v>381</v>
      </c>
      <c r="N25" t="s">
        <v>351</v>
      </c>
      <c r="O25" t="s">
        <v>303</v>
      </c>
      <c r="P25">
        <v>50</v>
      </c>
      <c r="Q25">
        <v>1980</v>
      </c>
      <c r="R25">
        <v>1980</v>
      </c>
      <c r="S25">
        <v>44</v>
      </c>
      <c r="T25">
        <v>44</v>
      </c>
      <c r="U25">
        <v>1</v>
      </c>
      <c r="V25">
        <v>1348</v>
      </c>
      <c r="W25">
        <v>0</v>
      </c>
      <c r="X25">
        <v>0</v>
      </c>
      <c r="Y25">
        <v>0</v>
      </c>
      <c r="Z25">
        <v>0</v>
      </c>
      <c r="AA25">
        <v>0</v>
      </c>
      <c r="AB25">
        <v>1348</v>
      </c>
      <c r="AC25">
        <v>1500</v>
      </c>
      <c r="AD25">
        <v>0</v>
      </c>
      <c r="AF25" t="s">
        <v>383</v>
      </c>
      <c r="AG25" t="s">
        <v>148</v>
      </c>
      <c r="AH25" t="s">
        <v>450</v>
      </c>
      <c r="AI25">
        <v>0</v>
      </c>
      <c r="AJ25">
        <v>0</v>
      </c>
      <c r="AK25">
        <v>1</v>
      </c>
      <c r="AL25">
        <v>0</v>
      </c>
      <c r="AM25">
        <v>0</v>
      </c>
      <c r="AN25">
        <v>8</v>
      </c>
      <c r="AO25">
        <v>0</v>
      </c>
      <c r="AP25">
        <v>0</v>
      </c>
      <c r="AQ25">
        <v>0</v>
      </c>
      <c r="AR25">
        <v>0</v>
      </c>
      <c r="AS25">
        <v>112</v>
      </c>
      <c r="AT25">
        <v>112</v>
      </c>
      <c r="AU25">
        <v>100</v>
      </c>
      <c r="AV25">
        <v>100</v>
      </c>
      <c r="AW25">
        <v>197159</v>
      </c>
      <c r="AX25">
        <v>165614</v>
      </c>
      <c r="AY25">
        <v>173</v>
      </c>
      <c r="AZ25">
        <v>173</v>
      </c>
      <c r="BA25">
        <v>0</v>
      </c>
      <c r="BB25">
        <v>0</v>
      </c>
      <c r="BC25" s="3">
        <v>45119</v>
      </c>
      <c r="BD25" t="s">
        <v>134</v>
      </c>
      <c r="BE25">
        <v>230000</v>
      </c>
      <c r="BF25">
        <v>216736</v>
      </c>
      <c r="BG25" t="s">
        <v>294</v>
      </c>
      <c r="BH25">
        <v>30</v>
      </c>
      <c r="BI25" t="s">
        <v>65</v>
      </c>
      <c r="BJ25" t="s">
        <v>450</v>
      </c>
      <c r="BK25">
        <v>265000</v>
      </c>
      <c r="BL25">
        <v>39800</v>
      </c>
      <c r="BM25">
        <v>225200</v>
      </c>
      <c r="BN25">
        <v>13264</v>
      </c>
      <c r="BO25">
        <v>1.1521739130434783</v>
      </c>
      <c r="BP25">
        <v>282186.51391040982</v>
      </c>
      <c r="BQ25">
        <v>294393.08191628917</v>
      </c>
      <c r="BR25" s="12">
        <f>(Sales[[#This Row],[DP1]]*Lookups!$B$59)+(Sales[[#This Row],[DP2]]*Lookups!$B$60)+(Sales[[#This Row],[DP3]]*Lookups!$B$61)</f>
        <v>-12206.568006610001</v>
      </c>
      <c r="BS25" s="12">
        <f>Lookups!$B$56*0</f>
        <v>0</v>
      </c>
      <c r="BT25" s="12">
        <f>Lookups!$B$56*1</f>
        <v>89850.625589999996</v>
      </c>
      <c r="BU25" s="12">
        <f>Lookups!$B$57*Sales[[#This Row],[LnAcres]]</f>
        <v>-101892.2773541973</v>
      </c>
      <c r="BV25" s="12">
        <f>VLOOKUP(Sales[[#This Row],[Qlty]],Lookups!$A$62:$E$75,2,FALSE)</f>
        <v>21557.329055999999</v>
      </c>
      <c r="BW25" s="12">
        <f>VLOOKUP(Sales[[#This Row],[Cnd]],Lookups!$A$76:$E$84,2,FALSE)</f>
        <v>197752.34721000001</v>
      </c>
      <c r="BX25" s="12">
        <f>Sales[[#This Row],[EffAge]]*Lookups!$B$85</f>
        <v>-9814.0064220000004</v>
      </c>
      <c r="BY25" s="12">
        <f>Sales[[#This Row],[MainFn]]*Lookups!$B$86</f>
        <v>66602.886994196</v>
      </c>
      <c r="BZ25" s="12">
        <f>Sales[[#This Row],[UpprFn]]*Lookups!$B$87</f>
        <v>0</v>
      </c>
      <c r="CA25" s="12">
        <f>Sales[[#This Row],[AddFn]]*Lookups!$B$88</f>
        <v>0</v>
      </c>
      <c r="CB25" s="12">
        <f>Sales[[#This Row],[Bsmt]]*Lookups!$B$89</f>
        <v>0</v>
      </c>
      <c r="CC25" s="12">
        <f>Sales[[#This Row],[Fixtures]]*Lookups!$B$90</f>
        <v>30336.176841600001</v>
      </c>
      <c r="CD25" s="12">
        <f>Sales[[#This Row],[WdDeck]]*Lookups!$B$91</f>
        <v>0</v>
      </c>
      <c r="CE25" s="12">
        <f>SUM(Sales[[#This Row],[Days Prior Total]:[Mdl WdDeck]])</f>
        <v>282186.51390898868</v>
      </c>
      <c r="CF25" s="12">
        <f>ROUND(Sales[[#This Row],[25Det]],-2)</f>
        <v>13300</v>
      </c>
      <c r="CG25" s="12">
        <f>ROUND(SUM(Sales[[#This Row],[Mdl Qlty]:[Mdl WdDeck]])+Sales[[#This Row],[Mdl Res Intercept]]+Sales[[#This Row],[Days Prior Total]],-2)</f>
        <v>294200</v>
      </c>
      <c r="CH25" s="12">
        <f>ROUND(Sales[[#This Row],[Mdl Land Intercept]]+Sales[[#This Row],[Mdl LnAcres]],-2)</f>
        <v>-12000</v>
      </c>
      <c r="CI25" s="12">
        <f>Sales[[#This Row],[Unadj Res Value]]+Sales[[#This Row],[Unadj Det Value]]+Sales[[#This Row],[Unadj Land Value]]</f>
        <v>295500</v>
      </c>
      <c r="CJ25" s="13">
        <f>Sales[[#This Row],[Unadj Total Value]]/Sales[[#This Row],[Price]]</f>
        <v>1.2847826086956522</v>
      </c>
      <c r="CK25" s="13">
        <f>(Sales[[#This Row],[Unadj Total Value]]-Sales[[#This Row],[24Final]])/Sales[[#This Row],[24Final]]</f>
        <v>0.11509433962264151</v>
      </c>
      <c r="CL25">
        <f>VLOOKUP(Sales[[#This Row],[TNbhd]],Lookups!$Q$2:$T$4,4,FALSE)</f>
        <v>0.99970000000000003</v>
      </c>
      <c r="CM25">
        <f>VLOOKUP(Sales[[#This Row],[Qlty]],Lookups!$O$7:$R$21,4,FALSE)</f>
        <v>1.0067999999999999</v>
      </c>
      <c r="CN25">
        <f>VLOOKUP(Sales[[#This Row],[Cnd]],Lookups!$T$7:$W$16,4,FALSE)</f>
        <v>0.99650000000000005</v>
      </c>
      <c r="CO25">
        <f>VLOOKUP(Sales[[#This Row],[LivArea Range]],Lookups!$T$25:$W$37,4,FALSE)</f>
        <v>1.0157</v>
      </c>
      <c r="CP25">
        <f>VLOOKUP(Sales[[#This Row],[Decade]],Lookups!$O$25:$R$42,4,FALSE)</f>
        <v>0.96919999999999995</v>
      </c>
      <c r="CQ25">
        <f>Sales[[#This Row],[Nbhd Adj]]*0.95</f>
        <v>0.94971499999999998</v>
      </c>
      <c r="CR25">
        <f>Sales[[#This Row],[Nbhd Adj]]*Sales[[#This Row],[Quality Adj]]*Sales[[#This Row],[Condition Adj]]*Sales[[#This Row],[Living Area Adj]]*Sales[[#This Row],[Decade Adj]]*0.95</f>
        <v>0.93797802803192643</v>
      </c>
      <c r="CS25">
        <f>ROUND(SUM(Sales[[#This Row],[Mdl Qlty]:[Mdl WdDeck]])+Sales[[#This Row],[Mdl Res Intercept]]*Sales[[#This Row],[Res Adj ]],-2)</f>
        <v>306400</v>
      </c>
      <c r="CT25">
        <f>ROUND(Sales[[#This Row],[25Det]]*Sales[[#This Row],[Det/Nbhd Adj]],-2)</f>
        <v>12600</v>
      </c>
      <c r="CU25">
        <f>Sales[[#This Row],[Adjusted Res]]+Sales[[#This Row],[Adj Det ]]</f>
        <v>319000</v>
      </c>
      <c r="CV25">
        <f>ROUND((Sales[[#This Row],[Mdl Land Intercept]]+Sales[[#This Row],[Mdl LnAcres]])*Sales[[#This Row],[Det/Nbhd Adj]],-2)</f>
        <v>-11400</v>
      </c>
      <c r="CW25">
        <f>Sales[[#This Row],[Adjusted Impr Total]]+Sales[[#This Row],[Adjusted Land Total]]</f>
        <v>307600</v>
      </c>
      <c r="CX25" s="15">
        <f>IFERROR((Sales[[#This Row],[Adjusted Impr Total]]-Sales[[#This Row],[24Bldg]])/Sales[[#This Row],[24Bldg]],0)</f>
        <v>0.41651865008880995</v>
      </c>
      <c r="CY25" s="15">
        <f>(Sales[[#This Row],[Adjusted Land Total]]-Sales[[#This Row],[24Lnd]])/Sales[[#This Row],[24Lnd]]</f>
        <v>-1.2864321608040201</v>
      </c>
      <c r="CZ25" s="15">
        <f>(Sales[[#This Row],[Adjusted Total]]-Sales[[#This Row],[24Final]])/Sales[[#This Row],[24Final]]</f>
        <v>0.16075471698113208</v>
      </c>
      <c r="DA25" s="15">
        <f>(Sales[[#This Row],[Adjusted Total]]+Sales[[#This Row],[Days Prior Total]])/Sales[[#This Row],[Price]]</f>
        <v>1.2843192695364785</v>
      </c>
    </row>
    <row r="26" spans="1:105" x14ac:dyDescent="0.3">
      <c r="A26">
        <v>2025</v>
      </c>
      <c r="B26">
        <v>18132211433</v>
      </c>
      <c r="C26">
        <v>-3.912023005428146</v>
      </c>
      <c r="D26">
        <v>0.02</v>
      </c>
      <c r="E26">
        <v>901</v>
      </c>
      <c r="F26">
        <v>6</v>
      </c>
      <c r="G26" t="s">
        <v>28</v>
      </c>
      <c r="H26">
        <v>3032</v>
      </c>
      <c r="I26" t="s">
        <v>349</v>
      </c>
      <c r="J26" t="s">
        <v>146</v>
      </c>
      <c r="K26">
        <v>11</v>
      </c>
      <c r="L26">
        <v>262</v>
      </c>
      <c r="M26" t="s">
        <v>381</v>
      </c>
      <c r="N26" t="s">
        <v>148</v>
      </c>
      <c r="O26" t="s">
        <v>323</v>
      </c>
      <c r="P26">
        <v>50</v>
      </c>
      <c r="Q26">
        <v>1978</v>
      </c>
      <c r="R26">
        <v>1980</v>
      </c>
      <c r="S26">
        <v>46</v>
      </c>
      <c r="T26">
        <v>44</v>
      </c>
      <c r="U26">
        <v>2</v>
      </c>
      <c r="V26">
        <v>901</v>
      </c>
      <c r="W26">
        <v>896</v>
      </c>
      <c r="X26">
        <v>0</v>
      </c>
      <c r="Y26">
        <v>544</v>
      </c>
      <c r="Z26">
        <v>66</v>
      </c>
      <c r="AA26">
        <v>478</v>
      </c>
      <c r="AB26">
        <v>2275</v>
      </c>
      <c r="AC26">
        <v>2500</v>
      </c>
      <c r="AD26">
        <v>2</v>
      </c>
      <c r="AF26" t="s">
        <v>383</v>
      </c>
      <c r="AG26" t="s">
        <v>148</v>
      </c>
      <c r="AH26" t="s">
        <v>450</v>
      </c>
      <c r="AI26">
        <v>0</v>
      </c>
      <c r="AJ26">
        <v>2</v>
      </c>
      <c r="AK26">
        <v>0</v>
      </c>
      <c r="AL26">
        <v>1</v>
      </c>
      <c r="AM26">
        <v>1</v>
      </c>
      <c r="AN26">
        <v>11</v>
      </c>
      <c r="AO26">
        <v>0</v>
      </c>
      <c r="AP26">
        <v>528</v>
      </c>
      <c r="AQ26">
        <v>0</v>
      </c>
      <c r="AR26">
        <v>400</v>
      </c>
      <c r="AS26">
        <v>0</v>
      </c>
      <c r="AT26">
        <v>176</v>
      </c>
      <c r="AU26">
        <v>100</v>
      </c>
      <c r="AV26">
        <v>100</v>
      </c>
      <c r="AW26">
        <v>427795</v>
      </c>
      <c r="AX26">
        <v>333680</v>
      </c>
      <c r="AY26">
        <v>101</v>
      </c>
      <c r="AZ26">
        <v>101</v>
      </c>
      <c r="BA26">
        <v>0</v>
      </c>
      <c r="BB26">
        <v>0</v>
      </c>
      <c r="BC26" s="3">
        <v>45191</v>
      </c>
      <c r="BD26" t="s">
        <v>370</v>
      </c>
      <c r="BE26">
        <v>340000</v>
      </c>
      <c r="BF26">
        <v>340000</v>
      </c>
      <c r="BG26" t="s">
        <v>294</v>
      </c>
      <c r="BH26">
        <v>30</v>
      </c>
      <c r="BI26" t="s">
        <v>65</v>
      </c>
      <c r="BJ26" t="s">
        <v>450</v>
      </c>
      <c r="BK26">
        <v>273600</v>
      </c>
      <c r="BL26">
        <v>41000</v>
      </c>
      <c r="BM26">
        <v>232600</v>
      </c>
      <c r="BN26">
        <v>0</v>
      </c>
      <c r="BO26">
        <v>0.80470588235294116</v>
      </c>
      <c r="BP26">
        <v>309166.74431170209</v>
      </c>
      <c r="BQ26">
        <v>316293.12216484552</v>
      </c>
      <c r="BR26" s="12">
        <f>(Sales[[#This Row],[DP1]]*Lookups!$B$59)+(Sales[[#This Row],[DP2]]*Lookups!$B$60)+(Sales[[#This Row],[DP3]]*Lookups!$B$61)</f>
        <v>-7126.3778535700003</v>
      </c>
      <c r="BS26" s="12">
        <f>Lookups!$B$56*0</f>
        <v>0</v>
      </c>
      <c r="BT26" s="12">
        <f>Lookups!$B$56*1</f>
        <v>89850.625589999996</v>
      </c>
      <c r="BU26" s="12">
        <f>Lookups!$B$57*Sales[[#This Row],[LnAcres]]</f>
        <v>-123833.58500677992</v>
      </c>
      <c r="BV26" s="12">
        <f>VLOOKUP(Sales[[#This Row],[Qlty]],Lookups!$A$62:$E$75,2,FALSE)</f>
        <v>44121.038090000002</v>
      </c>
      <c r="BW26" s="12">
        <f>VLOOKUP(Sales[[#This Row],[Cnd]],Lookups!$A$76:$E$84,2,FALSE)</f>
        <v>160472.20319</v>
      </c>
      <c r="BX26" s="12">
        <f>Sales[[#This Row],[EffAge]]*Lookups!$B$85</f>
        <v>-9814.0064220000004</v>
      </c>
      <c r="BY26" s="12">
        <f>Sales[[#This Row],[MainFn]]*Lookups!$B$86</f>
        <v>44517.211559176998</v>
      </c>
      <c r="BZ26" s="12">
        <f>Sales[[#This Row],[UpprFn]]*Lookups!$B$87</f>
        <v>40128.634883455998</v>
      </c>
      <c r="CA26" s="12">
        <f>Sales[[#This Row],[AddFn]]*Lookups!$B$88</f>
        <v>0</v>
      </c>
      <c r="CB26" s="12">
        <f>Sales[[#This Row],[Bsmt]]*Lookups!$B$89</f>
        <v>15820.551014367999</v>
      </c>
      <c r="CC26" s="12">
        <f>Sales[[#This Row],[Fixtures]]*Lookups!$B$90</f>
        <v>41712.243157199999</v>
      </c>
      <c r="CD26" s="12">
        <f>Sales[[#This Row],[WdDeck]]*Lookups!$B$91</f>
        <v>13318.206110400002</v>
      </c>
      <c r="CE26" s="12">
        <f>SUM(Sales[[#This Row],[Days Prior Total]:[Mdl WdDeck]])</f>
        <v>309166.7443122511</v>
      </c>
      <c r="CF26" s="12">
        <f>ROUND(Sales[[#This Row],[25Det]],-2)</f>
        <v>0</v>
      </c>
      <c r="CG26" s="12">
        <f>ROUND(SUM(Sales[[#This Row],[Mdl Qlty]:[Mdl WdDeck]])+Sales[[#This Row],[Mdl Res Intercept]]+Sales[[#This Row],[Days Prior Total]],-2)</f>
        <v>343100</v>
      </c>
      <c r="CH26" s="12">
        <f>ROUND(Sales[[#This Row],[Mdl Land Intercept]]+Sales[[#This Row],[Mdl LnAcres]],-2)</f>
        <v>-34000</v>
      </c>
      <c r="CI26" s="12">
        <f>Sales[[#This Row],[Unadj Res Value]]+Sales[[#This Row],[Unadj Det Value]]+Sales[[#This Row],[Unadj Land Value]]</f>
        <v>309100</v>
      </c>
      <c r="CJ26" s="13">
        <f>Sales[[#This Row],[Unadj Total Value]]/Sales[[#This Row],[Price]]</f>
        <v>0.90911764705882347</v>
      </c>
      <c r="CK26" s="13">
        <f>(Sales[[#This Row],[Unadj Total Value]]-Sales[[#This Row],[24Final]])/Sales[[#This Row],[24Final]]</f>
        <v>0.12975146198830409</v>
      </c>
      <c r="CL26">
        <f>VLOOKUP(Sales[[#This Row],[TNbhd]],Lookups!$Q$2:$T$4,4,FALSE)</f>
        <v>0.99970000000000003</v>
      </c>
      <c r="CM26">
        <f>VLOOKUP(Sales[[#This Row],[Qlty]],Lookups!$O$7:$R$21,4,FALSE)</f>
        <v>0.98050000000000004</v>
      </c>
      <c r="CN26">
        <f>VLOOKUP(Sales[[#This Row],[Cnd]],Lookups!$T$7:$W$16,4,FALSE)</f>
        <v>0.99729999999999996</v>
      </c>
      <c r="CO26">
        <f>VLOOKUP(Sales[[#This Row],[LivArea Range]],Lookups!$T$25:$W$37,4,FALSE)</f>
        <v>0.98919999999999997</v>
      </c>
      <c r="CP26">
        <f>VLOOKUP(Sales[[#This Row],[Decade]],Lookups!$O$25:$R$42,4,FALSE)</f>
        <v>0.96919999999999995</v>
      </c>
      <c r="CQ26">
        <f>Sales[[#This Row],[Nbhd Adj]]*0.95</f>
        <v>0.94971499999999998</v>
      </c>
      <c r="CR26">
        <f>Sales[[#This Row],[Nbhd Adj]]*Sales[[#This Row],[Quality Adj]]*Sales[[#This Row],[Condition Adj]]*Sales[[#This Row],[Living Area Adj]]*Sales[[#This Row],[Decade Adj]]*0.95</f>
        <v>0.8903571027452114</v>
      </c>
      <c r="CS26">
        <f>ROUND(SUM(Sales[[#This Row],[Mdl Qlty]:[Mdl WdDeck]])+Sales[[#This Row],[Mdl Res Intercept]]*Sales[[#This Row],[Res Adj ]],-2)</f>
        <v>350300</v>
      </c>
      <c r="CT26">
        <f>ROUND(Sales[[#This Row],[25Det]]*Sales[[#This Row],[Det/Nbhd Adj]],-2)</f>
        <v>0</v>
      </c>
      <c r="CU26">
        <f>Sales[[#This Row],[Adjusted Res]]+Sales[[#This Row],[Adj Det ]]</f>
        <v>350300</v>
      </c>
      <c r="CV26">
        <f>ROUND((Sales[[#This Row],[Mdl Land Intercept]]+Sales[[#This Row],[Mdl LnAcres]])*Sales[[#This Row],[Det/Nbhd Adj]],-2)</f>
        <v>-32300</v>
      </c>
      <c r="CW26">
        <f>Sales[[#This Row],[Adjusted Impr Total]]+Sales[[#This Row],[Adjusted Land Total]]</f>
        <v>318000</v>
      </c>
      <c r="CX26" s="15">
        <f>IFERROR((Sales[[#This Row],[Adjusted Impr Total]]-Sales[[#This Row],[24Bldg]])/Sales[[#This Row],[24Bldg]],0)</f>
        <v>0.50601891659501286</v>
      </c>
      <c r="CY26" s="15">
        <f>(Sales[[#This Row],[Adjusted Land Total]]-Sales[[#This Row],[24Lnd]])/Sales[[#This Row],[24Lnd]]</f>
        <v>-1.7878048780487805</v>
      </c>
      <c r="CZ26" s="15">
        <f>(Sales[[#This Row],[Adjusted Total]]-Sales[[#This Row],[24Final]])/Sales[[#This Row],[24Final]]</f>
        <v>0.16228070175438597</v>
      </c>
      <c r="DA26" s="15">
        <f>(Sales[[#This Row],[Adjusted Total]]+Sales[[#This Row],[Days Prior Total]])/Sales[[#This Row],[Price]]</f>
        <v>0.91433418278361767</v>
      </c>
    </row>
    <row r="27" spans="1:105" x14ac:dyDescent="0.3">
      <c r="A27">
        <v>2025</v>
      </c>
      <c r="B27">
        <v>18132243056</v>
      </c>
      <c r="C27">
        <v>-1.6094379124341003</v>
      </c>
      <c r="D27">
        <v>0.2</v>
      </c>
      <c r="E27">
        <v>8724</v>
      </c>
      <c r="F27">
        <v>6</v>
      </c>
      <c r="G27" t="s">
        <v>126</v>
      </c>
      <c r="H27">
        <v>3093</v>
      </c>
      <c r="I27" t="s">
        <v>349</v>
      </c>
      <c r="J27" t="s">
        <v>30</v>
      </c>
      <c r="K27">
        <v>11</v>
      </c>
      <c r="L27">
        <v>259</v>
      </c>
      <c r="M27" t="s">
        <v>173</v>
      </c>
      <c r="N27" t="s">
        <v>351</v>
      </c>
      <c r="O27" t="s">
        <v>323</v>
      </c>
      <c r="P27">
        <v>50</v>
      </c>
      <c r="Q27">
        <v>1978</v>
      </c>
      <c r="R27">
        <v>1980</v>
      </c>
      <c r="S27">
        <v>46</v>
      </c>
      <c r="T27">
        <v>44</v>
      </c>
      <c r="U27">
        <v>2</v>
      </c>
      <c r="V27">
        <v>864</v>
      </c>
      <c r="W27">
        <v>864</v>
      </c>
      <c r="X27">
        <v>0</v>
      </c>
      <c r="Y27">
        <v>0</v>
      </c>
      <c r="Z27">
        <v>0</v>
      </c>
      <c r="AA27">
        <v>0</v>
      </c>
      <c r="AB27">
        <v>1728</v>
      </c>
      <c r="AC27">
        <v>2000</v>
      </c>
      <c r="AD27">
        <v>2</v>
      </c>
      <c r="AF27" t="s">
        <v>384</v>
      </c>
      <c r="AG27" t="s">
        <v>148</v>
      </c>
      <c r="AH27" t="s">
        <v>65</v>
      </c>
      <c r="AI27">
        <v>1</v>
      </c>
      <c r="AJ27">
        <v>0</v>
      </c>
      <c r="AK27">
        <v>0</v>
      </c>
      <c r="AL27">
        <v>0</v>
      </c>
      <c r="AM27">
        <v>1</v>
      </c>
      <c r="AN27">
        <v>7</v>
      </c>
      <c r="AO27">
        <v>460</v>
      </c>
      <c r="AP27">
        <v>0</v>
      </c>
      <c r="AQ27">
        <v>0</v>
      </c>
      <c r="AR27">
        <v>0</v>
      </c>
      <c r="AS27">
        <v>408</v>
      </c>
      <c r="AT27">
        <v>264</v>
      </c>
      <c r="AU27">
        <v>100</v>
      </c>
      <c r="AV27">
        <v>100</v>
      </c>
      <c r="AW27">
        <v>254741</v>
      </c>
      <c r="AX27">
        <v>198698</v>
      </c>
      <c r="AY27">
        <v>920</v>
      </c>
      <c r="AZ27">
        <v>365</v>
      </c>
      <c r="BA27">
        <v>365</v>
      </c>
      <c r="BB27">
        <v>190</v>
      </c>
      <c r="BC27" s="3">
        <v>44372</v>
      </c>
      <c r="BD27" t="s">
        <v>99</v>
      </c>
      <c r="BE27">
        <v>295000</v>
      </c>
      <c r="BF27">
        <v>295000</v>
      </c>
      <c r="BG27" t="s">
        <v>294</v>
      </c>
      <c r="BH27">
        <v>30</v>
      </c>
      <c r="BI27" t="s">
        <v>65</v>
      </c>
      <c r="BJ27" t="s">
        <v>450</v>
      </c>
      <c r="BK27">
        <v>310500</v>
      </c>
      <c r="BL27">
        <v>58400</v>
      </c>
      <c r="BM27">
        <v>252100</v>
      </c>
      <c r="BN27">
        <v>0</v>
      </c>
      <c r="BO27">
        <v>1.0525423728813559</v>
      </c>
      <c r="BP27">
        <v>272079.21805767546</v>
      </c>
      <c r="BQ27">
        <v>319048.72759733017</v>
      </c>
      <c r="BR27" s="12">
        <f>(Sales[[#This Row],[DP1]]*Lookups!$B$59)+(Sales[[#This Row],[DP2]]*Lookups!$B$60)+(Sales[[#This Row],[DP3]]*Lookups!$B$61)</f>
        <v>-46969.509546070003</v>
      </c>
      <c r="BS27" s="12">
        <f>Lookups!$B$56*0</f>
        <v>0</v>
      </c>
      <c r="BT27" s="12">
        <f>Lookups!$B$56*1</f>
        <v>89850.625589999996</v>
      </c>
      <c r="BU27" s="12">
        <f>Lookups!$B$57*Sales[[#This Row],[LnAcres]]</f>
        <v>-50946.13867709865</v>
      </c>
      <c r="BV27" s="12">
        <f>VLOOKUP(Sales[[#This Row],[Qlty]],Lookups!$A$62:$E$75,2,FALSE)</f>
        <v>21557.329055999999</v>
      </c>
      <c r="BW27" s="12">
        <f>VLOOKUP(Sales[[#This Row],[Cnd]],Lookups!$A$76:$E$84,2,FALSE)</f>
        <v>160472.20319</v>
      </c>
      <c r="BX27" s="12">
        <f>Sales[[#This Row],[EffAge]]*Lookups!$B$85</f>
        <v>-9814.0064220000004</v>
      </c>
      <c r="BY27" s="12">
        <f>Sales[[#This Row],[MainFn]]*Lookups!$B$86</f>
        <v>42689.090773727999</v>
      </c>
      <c r="BZ27" s="12">
        <f>Sales[[#This Row],[UpprFn]]*Lookups!$B$87</f>
        <v>38695.469351904001</v>
      </c>
      <c r="CA27" s="12">
        <f>Sales[[#This Row],[AddFn]]*Lookups!$B$88</f>
        <v>0</v>
      </c>
      <c r="CB27" s="12">
        <f>Sales[[#This Row],[Bsmt]]*Lookups!$B$89</f>
        <v>0</v>
      </c>
      <c r="CC27" s="12">
        <f>Sales[[#This Row],[Fixtures]]*Lookups!$B$90</f>
        <v>26544.1547364</v>
      </c>
      <c r="CD27" s="12">
        <f>Sales[[#This Row],[WdDeck]]*Lookups!$B$91</f>
        <v>0</v>
      </c>
      <c r="CE27" s="12">
        <f>SUM(Sales[[#This Row],[Days Prior Total]:[Mdl WdDeck]])</f>
        <v>272079.21805286338</v>
      </c>
      <c r="CF27" s="12">
        <f>ROUND(Sales[[#This Row],[25Det]],-2)</f>
        <v>0</v>
      </c>
      <c r="CG27" s="12">
        <f>ROUND(SUM(Sales[[#This Row],[Mdl Qlty]:[Mdl WdDeck]])+Sales[[#This Row],[Mdl Res Intercept]]+Sales[[#This Row],[Days Prior Total]],-2)</f>
        <v>233200</v>
      </c>
      <c r="CH27" s="12">
        <f>ROUND(Sales[[#This Row],[Mdl Land Intercept]]+Sales[[#This Row],[Mdl LnAcres]],-2)</f>
        <v>38900</v>
      </c>
      <c r="CI27" s="12">
        <f>Sales[[#This Row],[Unadj Res Value]]+Sales[[#This Row],[Unadj Det Value]]+Sales[[#This Row],[Unadj Land Value]]</f>
        <v>272100</v>
      </c>
      <c r="CJ27" s="13">
        <f>Sales[[#This Row],[Unadj Total Value]]/Sales[[#This Row],[Price]]</f>
        <v>0.92237288135593221</v>
      </c>
      <c r="CK27" s="13">
        <f>(Sales[[#This Row],[Unadj Total Value]]-Sales[[#This Row],[24Final]])/Sales[[#This Row],[24Final]]</f>
        <v>-0.12367149758454106</v>
      </c>
      <c r="CL27">
        <f>VLOOKUP(Sales[[#This Row],[TNbhd]],Lookups!$Q$2:$T$4,4,FALSE)</f>
        <v>0.99970000000000003</v>
      </c>
      <c r="CM27">
        <f>VLOOKUP(Sales[[#This Row],[Qlty]],Lookups!$O$7:$R$21,4,FALSE)</f>
        <v>1.0067999999999999</v>
      </c>
      <c r="CN27">
        <f>VLOOKUP(Sales[[#This Row],[Cnd]],Lookups!$T$7:$W$16,4,FALSE)</f>
        <v>0.99729999999999996</v>
      </c>
      <c r="CO27">
        <f>VLOOKUP(Sales[[#This Row],[LivArea Range]],Lookups!$T$25:$W$37,4,FALSE)</f>
        <v>1.0093000000000001</v>
      </c>
      <c r="CP27">
        <f>VLOOKUP(Sales[[#This Row],[Decade]],Lookups!$O$25:$R$42,4,FALSE)</f>
        <v>0.96919999999999995</v>
      </c>
      <c r="CQ27">
        <f>Sales[[#This Row],[Nbhd Adj]]*0.95</f>
        <v>0.94971499999999998</v>
      </c>
      <c r="CR27">
        <f>Sales[[#This Row],[Nbhd Adj]]*Sales[[#This Row],[Quality Adj]]*Sales[[#This Row],[Condition Adj]]*Sales[[#This Row],[Living Area Adj]]*Sales[[#This Row],[Decade Adj]]*0.95</f>
        <v>0.93281603302674176</v>
      </c>
      <c r="CS27">
        <f>ROUND(SUM(Sales[[#This Row],[Mdl Qlty]:[Mdl WdDeck]])+Sales[[#This Row],[Mdl Res Intercept]]*Sales[[#This Row],[Res Adj ]],-2)</f>
        <v>280100</v>
      </c>
      <c r="CT27">
        <f>ROUND(Sales[[#This Row],[25Det]]*Sales[[#This Row],[Det/Nbhd Adj]],-2)</f>
        <v>0</v>
      </c>
      <c r="CU27">
        <f>Sales[[#This Row],[Adjusted Res]]+Sales[[#This Row],[Adj Det ]]</f>
        <v>280100</v>
      </c>
      <c r="CV27">
        <f>ROUND((Sales[[#This Row],[Mdl Land Intercept]]+Sales[[#This Row],[Mdl LnAcres]])*Sales[[#This Row],[Det/Nbhd Adj]],-2)</f>
        <v>36900</v>
      </c>
      <c r="CW27">
        <f>Sales[[#This Row],[Adjusted Impr Total]]+Sales[[#This Row],[Adjusted Land Total]]</f>
        <v>317000</v>
      </c>
      <c r="CX27" s="15">
        <f>IFERROR((Sales[[#This Row],[Adjusted Impr Total]]-Sales[[#This Row],[24Bldg]])/Sales[[#This Row],[24Bldg]],0)</f>
        <v>0.11106703689012297</v>
      </c>
      <c r="CY27" s="15">
        <f>(Sales[[#This Row],[Adjusted Land Total]]-Sales[[#This Row],[24Lnd]])/Sales[[#This Row],[24Lnd]]</f>
        <v>-0.36815068493150682</v>
      </c>
      <c r="CZ27" s="15">
        <f>(Sales[[#This Row],[Adjusted Total]]-Sales[[#This Row],[24Final]])/Sales[[#This Row],[24Final]]</f>
        <v>2.0933977455716585E-2</v>
      </c>
      <c r="DA27" s="15">
        <f>(Sales[[#This Row],[Adjusted Total]]+Sales[[#This Row],[Days Prior Total]])/Sales[[#This Row],[Price]]</f>
        <v>0.91535759475908474</v>
      </c>
    </row>
    <row r="28" spans="1:105" x14ac:dyDescent="0.3">
      <c r="A28">
        <v>2025</v>
      </c>
      <c r="B28">
        <v>18132244047</v>
      </c>
      <c r="C28">
        <v>-1.3470736479666092</v>
      </c>
      <c r="D28">
        <v>0.26</v>
      </c>
      <c r="E28">
        <v>11489</v>
      </c>
      <c r="F28">
        <v>6</v>
      </c>
      <c r="G28" t="s">
        <v>126</v>
      </c>
      <c r="H28">
        <v>3093</v>
      </c>
      <c r="I28" t="s">
        <v>349</v>
      </c>
      <c r="J28" t="s">
        <v>30</v>
      </c>
      <c r="K28">
        <v>11</v>
      </c>
      <c r="L28">
        <v>259</v>
      </c>
      <c r="M28" t="s">
        <v>5</v>
      </c>
      <c r="N28" t="s">
        <v>302</v>
      </c>
      <c r="O28" t="s">
        <v>303</v>
      </c>
      <c r="P28">
        <v>50</v>
      </c>
      <c r="Q28">
        <v>1978</v>
      </c>
      <c r="R28">
        <v>1980</v>
      </c>
      <c r="S28">
        <v>46</v>
      </c>
      <c r="T28">
        <v>44</v>
      </c>
      <c r="U28">
        <v>1</v>
      </c>
      <c r="V28">
        <v>1291</v>
      </c>
      <c r="W28">
        <v>0</v>
      </c>
      <c r="X28">
        <v>0</v>
      </c>
      <c r="Y28">
        <v>575</v>
      </c>
      <c r="Z28">
        <v>0</v>
      </c>
      <c r="AA28">
        <v>575</v>
      </c>
      <c r="AB28">
        <v>1866</v>
      </c>
      <c r="AC28">
        <v>2000</v>
      </c>
      <c r="AD28">
        <v>2</v>
      </c>
      <c r="AE28" t="s">
        <v>174</v>
      </c>
      <c r="AF28" t="s">
        <v>383</v>
      </c>
      <c r="AG28" t="s">
        <v>382</v>
      </c>
      <c r="AH28" t="s">
        <v>450</v>
      </c>
      <c r="AI28">
        <v>0</v>
      </c>
      <c r="AJ28">
        <v>0</v>
      </c>
      <c r="AK28">
        <v>1</v>
      </c>
      <c r="AL28">
        <v>1</v>
      </c>
      <c r="AM28">
        <v>1</v>
      </c>
      <c r="AN28">
        <v>11</v>
      </c>
      <c r="AO28">
        <v>0</v>
      </c>
      <c r="AP28">
        <v>550</v>
      </c>
      <c r="AQ28">
        <v>0</v>
      </c>
      <c r="AR28">
        <v>280</v>
      </c>
      <c r="AS28">
        <v>0</v>
      </c>
      <c r="AT28">
        <v>0</v>
      </c>
      <c r="AU28">
        <v>100</v>
      </c>
      <c r="AV28">
        <v>100</v>
      </c>
      <c r="AW28">
        <v>302569</v>
      </c>
      <c r="AX28">
        <v>254158</v>
      </c>
      <c r="AY28">
        <v>545</v>
      </c>
      <c r="AZ28">
        <v>365</v>
      </c>
      <c r="BA28">
        <v>180</v>
      </c>
      <c r="BB28">
        <v>0</v>
      </c>
      <c r="BC28" s="3">
        <v>44747</v>
      </c>
      <c r="BD28" t="s">
        <v>286</v>
      </c>
      <c r="BE28">
        <v>362500</v>
      </c>
      <c r="BF28">
        <v>362500</v>
      </c>
      <c r="BG28" t="s">
        <v>294</v>
      </c>
      <c r="BH28">
        <v>30</v>
      </c>
      <c r="BI28" t="s">
        <v>65</v>
      </c>
      <c r="BJ28" t="s">
        <v>450</v>
      </c>
      <c r="BK28">
        <v>367700</v>
      </c>
      <c r="BL28">
        <v>67600</v>
      </c>
      <c r="BM28">
        <v>300100</v>
      </c>
      <c r="BN28">
        <v>0</v>
      </c>
      <c r="BO28">
        <v>1.0143448275862068</v>
      </c>
      <c r="BP28">
        <v>372818.86000201851</v>
      </c>
      <c r="BQ28">
        <v>396505.63085112092</v>
      </c>
      <c r="BR28" s="12">
        <f>(Sales[[#This Row],[DP1]]*Lookups!$B$59)+(Sales[[#This Row],[DP2]]*Lookups!$B$60)+(Sales[[#This Row],[DP3]]*Lookups!$B$61)</f>
        <v>-23686.770850690002</v>
      </c>
      <c r="BS28" s="12">
        <f>Lookups!$B$56*0</f>
        <v>0</v>
      </c>
      <c r="BT28" s="12">
        <f>Lookups!$B$56*1</f>
        <v>89850.625589999996</v>
      </c>
      <c r="BU28" s="12">
        <f>Lookups!$B$57*Sales[[#This Row],[LnAcres]]</f>
        <v>-42641.098701210125</v>
      </c>
      <c r="BV28" s="12">
        <f>VLOOKUP(Sales[[#This Row],[Qlty]],Lookups!$A$62:$E$75,2,FALSE)</f>
        <v>29814.093161000001</v>
      </c>
      <c r="BW28" s="12">
        <f>VLOOKUP(Sales[[#This Row],[Cnd]],Lookups!$A$76:$E$84,2,FALSE)</f>
        <v>197752.34721000001</v>
      </c>
      <c r="BX28" s="12">
        <f>Sales[[#This Row],[EffAge]]*Lookups!$B$85</f>
        <v>-9814.0064220000004</v>
      </c>
      <c r="BY28" s="12">
        <f>Sales[[#This Row],[MainFn]]*Lookups!$B$86</f>
        <v>63786.592811207003</v>
      </c>
      <c r="BZ28" s="12">
        <f>Sales[[#This Row],[UpprFn]]*Lookups!$B$87</f>
        <v>0</v>
      </c>
      <c r="CA28" s="12">
        <f>Sales[[#This Row],[AddFn]]*Lookups!$B$88</f>
        <v>0</v>
      </c>
      <c r="CB28" s="12">
        <f>Sales[[#This Row],[Bsmt]]*Lookups!$B$89</f>
        <v>16722.089767024998</v>
      </c>
      <c r="CC28" s="12">
        <f>Sales[[#This Row],[Fixtures]]*Lookups!$B$90</f>
        <v>41712.243157199999</v>
      </c>
      <c r="CD28" s="12">
        <f>Sales[[#This Row],[WdDeck]]*Lookups!$B$91</f>
        <v>9322.7442772800005</v>
      </c>
      <c r="CE28" s="12">
        <f>SUM(Sales[[#This Row],[Days Prior Total]:[Mdl WdDeck]])</f>
        <v>372818.85999981186</v>
      </c>
      <c r="CF28" s="12">
        <f>ROUND(Sales[[#This Row],[25Det]],-2)</f>
        <v>0</v>
      </c>
      <c r="CG28" s="12">
        <f>ROUND(SUM(Sales[[#This Row],[Mdl Qlty]:[Mdl WdDeck]])+Sales[[#This Row],[Mdl Res Intercept]]+Sales[[#This Row],[Days Prior Total]],-2)</f>
        <v>325600</v>
      </c>
      <c r="CH28" s="12">
        <f>ROUND(Sales[[#This Row],[Mdl Land Intercept]]+Sales[[#This Row],[Mdl LnAcres]],-2)</f>
        <v>47200</v>
      </c>
      <c r="CI28" s="12">
        <f>Sales[[#This Row],[Unadj Res Value]]+Sales[[#This Row],[Unadj Det Value]]+Sales[[#This Row],[Unadj Land Value]]</f>
        <v>372800</v>
      </c>
      <c r="CJ28" s="13">
        <f>Sales[[#This Row],[Unadj Total Value]]/Sales[[#This Row],[Price]]</f>
        <v>1.0284137931034483</v>
      </c>
      <c r="CK28" s="13">
        <f>(Sales[[#This Row],[Unadj Total Value]]-Sales[[#This Row],[24Final]])/Sales[[#This Row],[24Final]]</f>
        <v>1.3870002719608376E-2</v>
      </c>
      <c r="CL28">
        <f>VLOOKUP(Sales[[#This Row],[TNbhd]],Lookups!$Q$2:$T$4,4,FALSE)</f>
        <v>0.99970000000000003</v>
      </c>
      <c r="CM28">
        <f>VLOOKUP(Sales[[#This Row],[Qlty]],Lookups!$O$7:$R$21,4,FALSE)</f>
        <v>1.0088999999999999</v>
      </c>
      <c r="CN28">
        <f>VLOOKUP(Sales[[#This Row],[Cnd]],Lookups!$T$7:$W$16,4,FALSE)</f>
        <v>0.99650000000000005</v>
      </c>
      <c r="CO28">
        <f>VLOOKUP(Sales[[#This Row],[LivArea Range]],Lookups!$T$25:$W$37,4,FALSE)</f>
        <v>1.0093000000000001</v>
      </c>
      <c r="CP28">
        <f>VLOOKUP(Sales[[#This Row],[Decade]],Lookups!$O$25:$R$42,4,FALSE)</f>
        <v>0.96919999999999995</v>
      </c>
      <c r="CQ28">
        <f>Sales[[#This Row],[Nbhd Adj]]*0.95</f>
        <v>0.94971499999999998</v>
      </c>
      <c r="CR28">
        <f>Sales[[#This Row],[Nbhd Adj]]*Sales[[#This Row],[Quality Adj]]*Sales[[#This Row],[Condition Adj]]*Sales[[#This Row],[Living Area Adj]]*Sales[[#This Row],[Decade Adj]]*0.95</f>
        <v>0.93401188212709219</v>
      </c>
      <c r="CS28">
        <f>ROUND(SUM(Sales[[#This Row],[Mdl Qlty]:[Mdl WdDeck]])+Sales[[#This Row],[Mdl Res Intercept]]*Sales[[#This Row],[Res Adj ]],-2)</f>
        <v>349300</v>
      </c>
      <c r="CT28">
        <f>ROUND(Sales[[#This Row],[25Det]]*Sales[[#This Row],[Det/Nbhd Adj]],-2)</f>
        <v>0</v>
      </c>
      <c r="CU28">
        <f>Sales[[#This Row],[Adjusted Res]]+Sales[[#This Row],[Adj Det ]]</f>
        <v>349300</v>
      </c>
      <c r="CV28">
        <f>ROUND((Sales[[#This Row],[Mdl Land Intercept]]+Sales[[#This Row],[Mdl LnAcres]])*Sales[[#This Row],[Det/Nbhd Adj]],-2)</f>
        <v>44800</v>
      </c>
      <c r="CW28">
        <f>Sales[[#This Row],[Adjusted Impr Total]]+Sales[[#This Row],[Adjusted Land Total]]</f>
        <v>394100</v>
      </c>
      <c r="CX28" s="15">
        <f>IFERROR((Sales[[#This Row],[Adjusted Impr Total]]-Sales[[#This Row],[24Bldg]])/Sales[[#This Row],[24Bldg]],0)</f>
        <v>0.1639453515494835</v>
      </c>
      <c r="CY28" s="15">
        <f>(Sales[[#This Row],[Adjusted Land Total]]-Sales[[#This Row],[24Lnd]])/Sales[[#This Row],[24Lnd]]</f>
        <v>-0.33727810650887574</v>
      </c>
      <c r="CZ28" s="15">
        <f>(Sales[[#This Row],[Adjusted Total]]-Sales[[#This Row],[24Final]])/Sales[[#This Row],[24Final]]</f>
        <v>7.1797661136796295E-2</v>
      </c>
      <c r="DA28" s="15">
        <f>(Sales[[#This Row],[Adjusted Total]]+Sales[[#This Row],[Days Prior Total]])/Sales[[#This Row],[Price]]</f>
        <v>1.021829597653269</v>
      </c>
    </row>
    <row r="29" spans="1:105" x14ac:dyDescent="0.3">
      <c r="A29">
        <v>2025</v>
      </c>
      <c r="B29">
        <v>18132211411</v>
      </c>
      <c r="C29">
        <v>-1.7147984280919266</v>
      </c>
      <c r="D29">
        <v>0.18</v>
      </c>
      <c r="E29">
        <v>7874</v>
      </c>
      <c r="F29">
        <v>6</v>
      </c>
      <c r="G29" t="s">
        <v>126</v>
      </c>
      <c r="H29">
        <v>3032</v>
      </c>
      <c r="I29" t="s">
        <v>349</v>
      </c>
      <c r="J29" t="s">
        <v>30</v>
      </c>
      <c r="K29">
        <v>11</v>
      </c>
      <c r="L29">
        <v>259</v>
      </c>
      <c r="M29" t="s">
        <v>350</v>
      </c>
      <c r="N29" t="s">
        <v>148</v>
      </c>
      <c r="O29" t="s">
        <v>323</v>
      </c>
      <c r="P29">
        <v>50</v>
      </c>
      <c r="Q29">
        <v>1977</v>
      </c>
      <c r="R29">
        <v>1979</v>
      </c>
      <c r="S29">
        <v>47</v>
      </c>
      <c r="T29">
        <v>45</v>
      </c>
      <c r="U29">
        <v>1</v>
      </c>
      <c r="V29">
        <v>1628</v>
      </c>
      <c r="W29">
        <v>0</v>
      </c>
      <c r="X29">
        <v>0</v>
      </c>
      <c r="Y29">
        <v>308</v>
      </c>
      <c r="Z29">
        <v>0</v>
      </c>
      <c r="AA29">
        <v>308</v>
      </c>
      <c r="AB29">
        <v>1936</v>
      </c>
      <c r="AC29">
        <v>2000</v>
      </c>
      <c r="AD29">
        <v>2</v>
      </c>
      <c r="AE29" t="s">
        <v>6</v>
      </c>
      <c r="AF29" t="s">
        <v>383</v>
      </c>
      <c r="AG29" t="s">
        <v>148</v>
      </c>
      <c r="AH29" t="s">
        <v>450</v>
      </c>
      <c r="AI29">
        <v>0</v>
      </c>
      <c r="AJ29">
        <v>1</v>
      </c>
      <c r="AK29">
        <v>0</v>
      </c>
      <c r="AL29">
        <v>1</v>
      </c>
      <c r="AM29">
        <v>0</v>
      </c>
      <c r="AN29">
        <v>12</v>
      </c>
      <c r="AO29">
        <v>0</v>
      </c>
      <c r="AP29">
        <v>440</v>
      </c>
      <c r="AQ29">
        <v>0</v>
      </c>
      <c r="AR29">
        <v>66</v>
      </c>
      <c r="AS29">
        <v>590</v>
      </c>
      <c r="AT29">
        <v>240</v>
      </c>
      <c r="AU29">
        <v>100</v>
      </c>
      <c r="AV29">
        <v>100</v>
      </c>
      <c r="AW29">
        <v>384348</v>
      </c>
      <c r="AX29">
        <v>299791</v>
      </c>
      <c r="AY29">
        <v>885</v>
      </c>
      <c r="AZ29">
        <v>365</v>
      </c>
      <c r="BA29">
        <v>365</v>
      </c>
      <c r="BB29">
        <v>155</v>
      </c>
      <c r="BC29" s="3">
        <v>44407</v>
      </c>
      <c r="BD29" t="s">
        <v>49</v>
      </c>
      <c r="BE29">
        <v>315000</v>
      </c>
      <c r="BF29">
        <v>315000</v>
      </c>
      <c r="BG29" t="s">
        <v>294</v>
      </c>
      <c r="BH29">
        <v>30</v>
      </c>
      <c r="BI29" t="s">
        <v>65</v>
      </c>
      <c r="BJ29" t="s">
        <v>450</v>
      </c>
      <c r="BK29">
        <v>360400</v>
      </c>
      <c r="BL29">
        <v>54700</v>
      </c>
      <c r="BM29">
        <v>305700</v>
      </c>
      <c r="BN29">
        <v>0</v>
      </c>
      <c r="BO29">
        <v>1.1441269841269841</v>
      </c>
      <c r="BP29">
        <v>324932.58750913473</v>
      </c>
      <c r="BQ29">
        <v>367221.83709817013</v>
      </c>
      <c r="BR29" s="12">
        <f>(Sales[[#This Row],[DP1]]*Lookups!$B$59)+(Sales[[#This Row],[DP2]]*Lookups!$B$60)+(Sales[[#This Row],[DP3]]*Lookups!$B$61)</f>
        <v>-42289.249594570007</v>
      </c>
      <c r="BS29" s="12">
        <f>Lookups!$B$56*0</f>
        <v>0</v>
      </c>
      <c r="BT29" s="12">
        <f>Lookups!$B$56*1</f>
        <v>89850.625589999996</v>
      </c>
      <c r="BU29" s="12">
        <f>Lookups!$B$57*Sales[[#This Row],[LnAcres]]</f>
        <v>-54281.285314520763</v>
      </c>
      <c r="BV29" s="12">
        <f>VLOOKUP(Sales[[#This Row],[Qlty]],Lookups!$A$62:$E$75,2,FALSE)</f>
        <v>44121.038090000002</v>
      </c>
      <c r="BW29" s="12">
        <f>VLOOKUP(Sales[[#This Row],[Cnd]],Lookups!$A$76:$E$84,2,FALSE)</f>
        <v>160472.20319</v>
      </c>
      <c r="BX29" s="12">
        <f>Sales[[#This Row],[EffAge]]*Lookups!$B$85</f>
        <v>-10037.0520225</v>
      </c>
      <c r="BY29" s="12">
        <f>Sales[[#This Row],[MainFn]]*Lookups!$B$86</f>
        <v>80437.314559756007</v>
      </c>
      <c r="BZ29" s="12">
        <f>Sales[[#This Row],[UpprFn]]*Lookups!$B$87</f>
        <v>0</v>
      </c>
      <c r="CA29" s="12">
        <f>Sales[[#This Row],[AddFn]]*Lookups!$B$88</f>
        <v>0</v>
      </c>
      <c r="CB29" s="12">
        <f>Sales[[#This Row],[Bsmt]]*Lookups!$B$89</f>
        <v>8957.2237360759991</v>
      </c>
      <c r="CC29" s="12">
        <f>Sales[[#This Row],[Fixtures]]*Lookups!$B$90</f>
        <v>45504.265262400004</v>
      </c>
      <c r="CD29" s="12">
        <f>Sales[[#This Row],[WdDeck]]*Lookups!$B$91</f>
        <v>2197.5040082160003</v>
      </c>
      <c r="CE29" s="12">
        <f>SUM(Sales[[#This Row],[Days Prior Total]:[Mdl WdDeck]])</f>
        <v>324932.58750485728</v>
      </c>
      <c r="CF29" s="12">
        <f>ROUND(Sales[[#This Row],[25Det]],-2)</f>
        <v>0</v>
      </c>
      <c r="CG29" s="12">
        <f>ROUND(SUM(Sales[[#This Row],[Mdl Qlty]:[Mdl WdDeck]])+Sales[[#This Row],[Mdl Res Intercept]]+Sales[[#This Row],[Days Prior Total]],-2)</f>
        <v>289400</v>
      </c>
      <c r="CH29" s="12">
        <f>ROUND(Sales[[#This Row],[Mdl Land Intercept]]+Sales[[#This Row],[Mdl LnAcres]],-2)</f>
        <v>35600</v>
      </c>
      <c r="CI29" s="12">
        <f>Sales[[#This Row],[Unadj Res Value]]+Sales[[#This Row],[Unadj Det Value]]+Sales[[#This Row],[Unadj Land Value]]</f>
        <v>325000</v>
      </c>
      <c r="CJ29" s="13">
        <f>Sales[[#This Row],[Unadj Total Value]]/Sales[[#This Row],[Price]]</f>
        <v>1.0317460317460319</v>
      </c>
      <c r="CK29" s="13">
        <f>(Sales[[#This Row],[Unadj Total Value]]-Sales[[#This Row],[24Final]])/Sales[[#This Row],[24Final]]</f>
        <v>-9.822419533851276E-2</v>
      </c>
      <c r="CL29">
        <f>VLOOKUP(Sales[[#This Row],[TNbhd]],Lookups!$Q$2:$T$4,4,FALSE)</f>
        <v>0.99970000000000003</v>
      </c>
      <c r="CM29">
        <f>VLOOKUP(Sales[[#This Row],[Qlty]],Lookups!$O$7:$R$21,4,FALSE)</f>
        <v>0.98050000000000004</v>
      </c>
      <c r="CN29">
        <f>VLOOKUP(Sales[[#This Row],[Cnd]],Lookups!$T$7:$W$16,4,FALSE)</f>
        <v>0.99729999999999996</v>
      </c>
      <c r="CO29">
        <f>VLOOKUP(Sales[[#This Row],[LivArea Range]],Lookups!$T$25:$W$37,4,FALSE)</f>
        <v>1.0093000000000001</v>
      </c>
      <c r="CP29">
        <f>VLOOKUP(Sales[[#This Row],[Decade]],Lookups!$O$25:$R$42,4,FALSE)</f>
        <v>0.96919999999999995</v>
      </c>
      <c r="CQ29">
        <f>Sales[[#This Row],[Nbhd Adj]]*0.95</f>
        <v>0.94971499999999998</v>
      </c>
      <c r="CR29">
        <f>Sales[[#This Row],[Nbhd Adj]]*Sales[[#This Row],[Quality Adj]]*Sales[[#This Row],[Condition Adj]]*Sales[[#This Row],[Living Area Adj]]*Sales[[#This Row],[Decade Adj]]*0.95</f>
        <v>0.90844866943059244</v>
      </c>
      <c r="CS29">
        <f>ROUND(SUM(Sales[[#This Row],[Mdl Qlty]:[Mdl WdDeck]])+Sales[[#This Row],[Mdl Res Intercept]]*Sales[[#This Row],[Res Adj ]],-2)</f>
        <v>331700</v>
      </c>
      <c r="CT29">
        <f>ROUND(Sales[[#This Row],[25Det]]*Sales[[#This Row],[Det/Nbhd Adj]],-2)</f>
        <v>0</v>
      </c>
      <c r="CU29">
        <f>Sales[[#This Row],[Adjusted Res]]+Sales[[#This Row],[Adj Det ]]</f>
        <v>331700</v>
      </c>
      <c r="CV29">
        <f>ROUND((Sales[[#This Row],[Mdl Land Intercept]]+Sales[[#This Row],[Mdl LnAcres]])*Sales[[#This Row],[Det/Nbhd Adj]],-2)</f>
        <v>33800</v>
      </c>
      <c r="CW29">
        <f>Sales[[#This Row],[Adjusted Impr Total]]+Sales[[#This Row],[Adjusted Land Total]]</f>
        <v>365500</v>
      </c>
      <c r="CX29" s="15">
        <f>IFERROR((Sales[[#This Row],[Adjusted Impr Total]]-Sales[[#This Row],[24Bldg]])/Sales[[#This Row],[24Bldg]],0)</f>
        <v>8.5050703303892708E-2</v>
      </c>
      <c r="CY29" s="15">
        <f>(Sales[[#This Row],[Adjusted Land Total]]-Sales[[#This Row],[24Lnd]])/Sales[[#This Row],[24Lnd]]</f>
        <v>-0.38208409506398539</v>
      </c>
      <c r="CZ29" s="15">
        <f>(Sales[[#This Row],[Adjusted Total]]-Sales[[#This Row],[24Final]])/Sales[[#This Row],[24Final]]</f>
        <v>1.4150943396226415E-2</v>
      </c>
      <c r="DA29" s="15">
        <f>(Sales[[#This Row],[Adjusted Total]]+Sales[[#This Row],[Days Prior Total]])/Sales[[#This Row],[Price]]</f>
        <v>1.0260658743029523</v>
      </c>
    </row>
    <row r="30" spans="1:105" x14ac:dyDescent="0.3">
      <c r="A30">
        <v>2025</v>
      </c>
      <c r="B30">
        <v>18132211410</v>
      </c>
      <c r="C30">
        <v>-0.86750056770472306</v>
      </c>
      <c r="D30">
        <v>0.42</v>
      </c>
      <c r="E30">
        <v>18223</v>
      </c>
      <c r="F30">
        <v>6</v>
      </c>
      <c r="G30" t="s">
        <v>126</v>
      </c>
      <c r="H30">
        <v>3032</v>
      </c>
      <c r="I30" t="s">
        <v>349</v>
      </c>
      <c r="J30" t="s">
        <v>30</v>
      </c>
      <c r="K30">
        <v>11</v>
      </c>
      <c r="L30">
        <v>259</v>
      </c>
      <c r="M30" t="s">
        <v>241</v>
      </c>
      <c r="N30" t="s">
        <v>351</v>
      </c>
      <c r="O30" t="s">
        <v>303</v>
      </c>
      <c r="P30">
        <v>50</v>
      </c>
      <c r="Q30">
        <v>1975</v>
      </c>
      <c r="R30">
        <v>1979</v>
      </c>
      <c r="S30">
        <v>49</v>
      </c>
      <c r="T30">
        <v>45</v>
      </c>
      <c r="U30">
        <v>1</v>
      </c>
      <c r="V30">
        <v>1720</v>
      </c>
      <c r="W30">
        <v>0</v>
      </c>
      <c r="X30">
        <v>0</v>
      </c>
      <c r="Y30">
        <v>0</v>
      </c>
      <c r="Z30">
        <v>0</v>
      </c>
      <c r="AA30">
        <v>0</v>
      </c>
      <c r="AB30">
        <v>1720</v>
      </c>
      <c r="AC30">
        <v>2000</v>
      </c>
      <c r="AD30">
        <v>2</v>
      </c>
      <c r="AF30" t="s">
        <v>383</v>
      </c>
      <c r="AG30" t="s">
        <v>148</v>
      </c>
      <c r="AH30" t="s">
        <v>450</v>
      </c>
      <c r="AI30">
        <v>0</v>
      </c>
      <c r="AJ30">
        <v>0</v>
      </c>
      <c r="AK30">
        <v>1</v>
      </c>
      <c r="AL30">
        <v>1</v>
      </c>
      <c r="AM30">
        <v>0</v>
      </c>
      <c r="AN30">
        <v>8</v>
      </c>
      <c r="AO30">
        <v>552</v>
      </c>
      <c r="AP30">
        <v>0</v>
      </c>
      <c r="AQ30">
        <v>0</v>
      </c>
      <c r="AR30">
        <v>352</v>
      </c>
      <c r="AS30">
        <v>192</v>
      </c>
      <c r="AT30">
        <v>192</v>
      </c>
      <c r="AU30">
        <v>100</v>
      </c>
      <c r="AV30">
        <v>100</v>
      </c>
      <c r="AW30">
        <v>274241</v>
      </c>
      <c r="AX30">
        <v>230362</v>
      </c>
      <c r="AY30">
        <v>865</v>
      </c>
      <c r="AZ30">
        <v>365</v>
      </c>
      <c r="BA30">
        <v>365</v>
      </c>
      <c r="BB30">
        <v>135</v>
      </c>
      <c r="BC30" s="3">
        <v>44427</v>
      </c>
      <c r="BD30" t="s">
        <v>394</v>
      </c>
      <c r="BE30">
        <v>397500</v>
      </c>
      <c r="BF30">
        <v>397500</v>
      </c>
      <c r="BG30" t="s">
        <v>294</v>
      </c>
      <c r="BH30">
        <v>30</v>
      </c>
      <c r="BI30" t="s">
        <v>65</v>
      </c>
      <c r="BJ30" t="s">
        <v>450</v>
      </c>
      <c r="BK30">
        <v>370100</v>
      </c>
      <c r="BL30">
        <v>84300</v>
      </c>
      <c r="BM30">
        <v>285800</v>
      </c>
      <c r="BN30">
        <v>0</v>
      </c>
      <c r="BO30">
        <v>0.93106918238993708</v>
      </c>
      <c r="BP30">
        <v>359087.14778363303</v>
      </c>
      <c r="BQ30">
        <v>398701.96311517159</v>
      </c>
      <c r="BR30" s="12">
        <f>(Sales[[#This Row],[DP1]]*Lookups!$B$59)+(Sales[[#This Row],[DP2]]*Lookups!$B$60)+(Sales[[#This Row],[DP3]]*Lookups!$B$61)</f>
        <v>-39614.815336569998</v>
      </c>
      <c r="BS30" s="12">
        <f>Lookups!$B$56*0</f>
        <v>0</v>
      </c>
      <c r="BT30" s="12">
        <f>Lookups!$B$56*1</f>
        <v>89850.625589999996</v>
      </c>
      <c r="BU30" s="12">
        <f>Lookups!$B$57*Sales[[#This Row],[LnAcres]]</f>
        <v>-27460.397125792362</v>
      </c>
      <c r="BV30" s="12">
        <f>VLOOKUP(Sales[[#This Row],[Qlty]],Lookups!$A$62:$E$75,2,FALSE)</f>
        <v>21557.329055999999</v>
      </c>
      <c r="BW30" s="12">
        <f>VLOOKUP(Sales[[#This Row],[Cnd]],Lookups!$A$76:$E$84,2,FALSE)</f>
        <v>197752.34721000001</v>
      </c>
      <c r="BX30" s="12">
        <f>Sales[[#This Row],[EffAge]]*Lookups!$B$85</f>
        <v>-10037.0520225</v>
      </c>
      <c r="BY30" s="12">
        <f>Sales[[#This Row],[MainFn]]*Lookups!$B$86</f>
        <v>84982.912188440008</v>
      </c>
      <c r="BZ30" s="12">
        <f>Sales[[#This Row],[UpprFn]]*Lookups!$B$87</f>
        <v>0</v>
      </c>
      <c r="CA30" s="12">
        <f>Sales[[#This Row],[AddFn]]*Lookups!$B$88</f>
        <v>0</v>
      </c>
      <c r="CB30" s="12">
        <f>Sales[[#This Row],[Bsmt]]*Lookups!$B$89</f>
        <v>0</v>
      </c>
      <c r="CC30" s="12">
        <f>Sales[[#This Row],[Fixtures]]*Lookups!$B$90</f>
        <v>30336.176841600001</v>
      </c>
      <c r="CD30" s="12">
        <f>Sales[[#This Row],[WdDeck]]*Lookups!$B$91</f>
        <v>11720.021377152001</v>
      </c>
      <c r="CE30" s="12">
        <f>SUM(Sales[[#This Row],[Days Prior Total]:[Mdl WdDeck]])</f>
        <v>359087.14777832961</v>
      </c>
      <c r="CF30" s="12">
        <f>ROUND(Sales[[#This Row],[25Det]],-2)</f>
        <v>0</v>
      </c>
      <c r="CG30" s="12">
        <f>ROUND(SUM(Sales[[#This Row],[Mdl Qlty]:[Mdl WdDeck]])+Sales[[#This Row],[Mdl Res Intercept]]+Sales[[#This Row],[Days Prior Total]],-2)</f>
        <v>296700</v>
      </c>
      <c r="CH30" s="12">
        <f>ROUND(Sales[[#This Row],[Mdl Land Intercept]]+Sales[[#This Row],[Mdl LnAcres]],-2)</f>
        <v>62400</v>
      </c>
      <c r="CI30" s="12">
        <f>Sales[[#This Row],[Unadj Res Value]]+Sales[[#This Row],[Unadj Det Value]]+Sales[[#This Row],[Unadj Land Value]]</f>
        <v>359100</v>
      </c>
      <c r="CJ30" s="13">
        <f>Sales[[#This Row],[Unadj Total Value]]/Sales[[#This Row],[Price]]</f>
        <v>0.90339622641509432</v>
      </c>
      <c r="CK30" s="13">
        <f>(Sales[[#This Row],[Unadj Total Value]]-Sales[[#This Row],[24Final]])/Sales[[#This Row],[24Final]]</f>
        <v>-2.9721696838692246E-2</v>
      </c>
      <c r="CL30">
        <f>VLOOKUP(Sales[[#This Row],[TNbhd]],Lookups!$Q$2:$T$4,4,FALSE)</f>
        <v>0.99970000000000003</v>
      </c>
      <c r="CM30">
        <f>VLOOKUP(Sales[[#This Row],[Qlty]],Lookups!$O$7:$R$21,4,FALSE)</f>
        <v>1.0067999999999999</v>
      </c>
      <c r="CN30">
        <f>VLOOKUP(Sales[[#This Row],[Cnd]],Lookups!$T$7:$W$16,4,FALSE)</f>
        <v>0.99650000000000005</v>
      </c>
      <c r="CO30">
        <f>VLOOKUP(Sales[[#This Row],[LivArea Range]],Lookups!$T$25:$W$37,4,FALSE)</f>
        <v>1.0093000000000001</v>
      </c>
      <c r="CP30">
        <f>VLOOKUP(Sales[[#This Row],[Decade]],Lookups!$O$25:$R$42,4,FALSE)</f>
        <v>0.96919999999999995</v>
      </c>
      <c r="CQ30">
        <f>Sales[[#This Row],[Nbhd Adj]]*0.95</f>
        <v>0.94971499999999998</v>
      </c>
      <c r="CR30">
        <f>Sales[[#This Row],[Nbhd Adj]]*Sales[[#This Row],[Quality Adj]]*Sales[[#This Row],[Condition Adj]]*Sales[[#This Row],[Living Area Adj]]*Sales[[#This Row],[Decade Adj]]*0.95</f>
        <v>0.93206775986277757</v>
      </c>
      <c r="CS30">
        <f>ROUND(SUM(Sales[[#This Row],[Mdl Qlty]:[Mdl WdDeck]])+Sales[[#This Row],[Mdl Res Intercept]]*Sales[[#This Row],[Res Adj ]],-2)</f>
        <v>336300</v>
      </c>
      <c r="CT30">
        <f>ROUND(Sales[[#This Row],[25Det]]*Sales[[#This Row],[Det/Nbhd Adj]],-2)</f>
        <v>0</v>
      </c>
      <c r="CU30">
        <f>Sales[[#This Row],[Adjusted Res]]+Sales[[#This Row],[Adj Det ]]</f>
        <v>336300</v>
      </c>
      <c r="CV30">
        <f>ROUND((Sales[[#This Row],[Mdl Land Intercept]]+Sales[[#This Row],[Mdl LnAcres]])*Sales[[#This Row],[Det/Nbhd Adj]],-2)</f>
        <v>59300</v>
      </c>
      <c r="CW30">
        <f>Sales[[#This Row],[Adjusted Impr Total]]+Sales[[#This Row],[Adjusted Land Total]]</f>
        <v>395600</v>
      </c>
      <c r="CX30" s="15">
        <f>IFERROR((Sales[[#This Row],[Adjusted Impr Total]]-Sales[[#This Row],[24Bldg]])/Sales[[#This Row],[24Bldg]],0)</f>
        <v>0.17669699090272917</v>
      </c>
      <c r="CY30" s="15">
        <f>(Sales[[#This Row],[Adjusted Land Total]]-Sales[[#This Row],[24Lnd]])/Sales[[#This Row],[24Lnd]]</f>
        <v>-0.29655990510083036</v>
      </c>
      <c r="CZ30" s="15">
        <f>(Sales[[#This Row],[Adjusted Total]]-Sales[[#This Row],[24Final]])/Sales[[#This Row],[24Final]]</f>
        <v>6.8900297216968387E-2</v>
      </c>
      <c r="DA30" s="15">
        <f>(Sales[[#This Row],[Adjusted Total]]+Sales[[#This Row],[Days Prior Total]])/Sales[[#This Row],[Price]]</f>
        <v>0.89556021298976096</v>
      </c>
    </row>
    <row r="31" spans="1:105" x14ac:dyDescent="0.3">
      <c r="A31">
        <v>2025</v>
      </c>
      <c r="B31">
        <v>18132321514</v>
      </c>
      <c r="C31">
        <v>-3.912023005428146</v>
      </c>
      <c r="D31">
        <v>0.02</v>
      </c>
      <c r="E31">
        <v>612</v>
      </c>
      <c r="F31">
        <v>6</v>
      </c>
      <c r="G31" t="s">
        <v>28</v>
      </c>
      <c r="H31" t="s">
        <v>349</v>
      </c>
      <c r="I31" t="s">
        <v>349</v>
      </c>
      <c r="J31" t="s">
        <v>146</v>
      </c>
      <c r="K31">
        <v>11</v>
      </c>
      <c r="L31">
        <v>262</v>
      </c>
      <c r="M31" t="s">
        <v>415</v>
      </c>
      <c r="N31" t="s">
        <v>351</v>
      </c>
      <c r="O31" t="s">
        <v>323</v>
      </c>
      <c r="P31">
        <v>50</v>
      </c>
      <c r="Q31">
        <v>1975</v>
      </c>
      <c r="R31">
        <v>1979</v>
      </c>
      <c r="S31">
        <v>49</v>
      </c>
      <c r="T31">
        <v>45</v>
      </c>
      <c r="U31">
        <v>2</v>
      </c>
      <c r="V31">
        <v>612</v>
      </c>
      <c r="W31">
        <v>612</v>
      </c>
      <c r="X31">
        <v>0</v>
      </c>
      <c r="Y31">
        <v>0</v>
      </c>
      <c r="Z31">
        <v>0</v>
      </c>
      <c r="AA31">
        <v>0</v>
      </c>
      <c r="AB31">
        <v>1224</v>
      </c>
      <c r="AC31">
        <v>1500</v>
      </c>
      <c r="AD31">
        <v>0</v>
      </c>
      <c r="AF31" t="s">
        <v>97</v>
      </c>
      <c r="AG31" t="s">
        <v>382</v>
      </c>
      <c r="AI31">
        <v>0</v>
      </c>
      <c r="AJ31">
        <v>0</v>
      </c>
      <c r="AK31">
        <v>0</v>
      </c>
      <c r="AL31">
        <v>0</v>
      </c>
      <c r="AM31">
        <v>1</v>
      </c>
      <c r="AN31">
        <v>7</v>
      </c>
      <c r="AO31">
        <v>0</v>
      </c>
      <c r="AP31">
        <v>0</v>
      </c>
      <c r="AQ31">
        <v>408</v>
      </c>
      <c r="AR31">
        <v>0</v>
      </c>
      <c r="AS31">
        <v>136</v>
      </c>
      <c r="AT31">
        <v>0</v>
      </c>
      <c r="AU31">
        <v>100</v>
      </c>
      <c r="AV31">
        <v>100</v>
      </c>
      <c r="AW31">
        <v>167975</v>
      </c>
      <c r="AX31">
        <v>131021</v>
      </c>
      <c r="AY31">
        <v>133</v>
      </c>
      <c r="AZ31">
        <v>133</v>
      </c>
      <c r="BA31">
        <v>0</v>
      </c>
      <c r="BB31">
        <v>0</v>
      </c>
      <c r="BC31" s="3">
        <v>45159</v>
      </c>
      <c r="BD31" t="s">
        <v>251</v>
      </c>
      <c r="BE31">
        <v>220000</v>
      </c>
      <c r="BF31">
        <v>220000</v>
      </c>
      <c r="BG31" t="s">
        <v>294</v>
      </c>
      <c r="BH31">
        <v>30</v>
      </c>
      <c r="BI31" t="s">
        <v>65</v>
      </c>
      <c r="BJ31" t="s">
        <v>450</v>
      </c>
      <c r="BK31">
        <v>179500</v>
      </c>
      <c r="BL31">
        <v>26900</v>
      </c>
      <c r="BM31">
        <v>152600</v>
      </c>
      <c r="BN31">
        <v>0</v>
      </c>
      <c r="BO31">
        <v>0.81590909090909092</v>
      </c>
      <c r="BP31">
        <v>212816.8321542232</v>
      </c>
      <c r="BQ31">
        <v>222201.07229747146</v>
      </c>
      <c r="BR31" s="12">
        <f>(Sales[[#This Row],[DP1]]*Lookups!$B$59)+(Sales[[#This Row],[DP2]]*Lookups!$B$60)+(Sales[[#This Row],[DP3]]*Lookups!$B$61)</f>
        <v>-9384.2401438100005</v>
      </c>
      <c r="BS31" s="12">
        <f>Lookups!$B$56*0</f>
        <v>0</v>
      </c>
      <c r="BT31" s="12">
        <f>Lookups!$B$56*1</f>
        <v>89850.625589999996</v>
      </c>
      <c r="BU31" s="12">
        <f>Lookups!$B$57*Sales[[#This Row],[LnAcres]]</f>
        <v>-123833.58500677992</v>
      </c>
      <c r="BV31" s="12">
        <f>VLOOKUP(Sales[[#This Row],[Qlty]],Lookups!$A$62:$E$75,2,FALSE)</f>
        <v>21557.329055999999</v>
      </c>
      <c r="BW31" s="12">
        <f>VLOOKUP(Sales[[#This Row],[Cnd]],Lookups!$A$76:$E$84,2,FALSE)</f>
        <v>160472.20319</v>
      </c>
      <c r="BX31" s="12">
        <f>Sales[[#This Row],[EffAge]]*Lookups!$B$85</f>
        <v>-10037.0520225</v>
      </c>
      <c r="BY31" s="12">
        <f>Sales[[#This Row],[MainFn]]*Lookups!$B$86</f>
        <v>30238.105964724</v>
      </c>
      <c r="BZ31" s="12">
        <f>Sales[[#This Row],[UpprFn]]*Lookups!$B$87</f>
        <v>27409.290790931998</v>
      </c>
      <c r="CA31" s="12">
        <f>Sales[[#This Row],[AddFn]]*Lookups!$B$88</f>
        <v>0</v>
      </c>
      <c r="CB31" s="12">
        <f>Sales[[#This Row],[Bsmt]]*Lookups!$B$89</f>
        <v>0</v>
      </c>
      <c r="CC31" s="12">
        <f>Sales[[#This Row],[Fixtures]]*Lookups!$B$90</f>
        <v>26544.1547364</v>
      </c>
      <c r="CD31" s="12">
        <f>Sales[[#This Row],[WdDeck]]*Lookups!$B$91</f>
        <v>0</v>
      </c>
      <c r="CE31" s="12">
        <f>SUM(Sales[[#This Row],[Days Prior Total]:[Mdl WdDeck]])</f>
        <v>212816.83215496608</v>
      </c>
      <c r="CF31" s="12">
        <f>ROUND(Sales[[#This Row],[25Det]],-2)</f>
        <v>0</v>
      </c>
      <c r="CG31" s="12">
        <f>ROUND(SUM(Sales[[#This Row],[Mdl Qlty]:[Mdl WdDeck]])+Sales[[#This Row],[Mdl Res Intercept]]+Sales[[#This Row],[Days Prior Total]],-2)</f>
        <v>246800</v>
      </c>
      <c r="CH31" s="12">
        <f>ROUND(Sales[[#This Row],[Mdl Land Intercept]]+Sales[[#This Row],[Mdl LnAcres]],-2)</f>
        <v>-34000</v>
      </c>
      <c r="CI31" s="12">
        <f>Sales[[#This Row],[Unadj Res Value]]+Sales[[#This Row],[Unadj Det Value]]+Sales[[#This Row],[Unadj Land Value]]</f>
        <v>212800</v>
      </c>
      <c r="CJ31" s="13">
        <f>Sales[[#This Row],[Unadj Total Value]]/Sales[[#This Row],[Price]]</f>
        <v>0.96727272727272728</v>
      </c>
      <c r="CK31" s="13">
        <f>(Sales[[#This Row],[Unadj Total Value]]-Sales[[#This Row],[24Final]])/Sales[[#This Row],[24Final]]</f>
        <v>0.18551532033426185</v>
      </c>
      <c r="CL31">
        <f>VLOOKUP(Sales[[#This Row],[TNbhd]],Lookups!$Q$2:$T$4,4,FALSE)</f>
        <v>0.99970000000000003</v>
      </c>
      <c r="CM31">
        <f>VLOOKUP(Sales[[#This Row],[Qlty]],Lookups!$O$7:$R$21,4,FALSE)</f>
        <v>1.0067999999999999</v>
      </c>
      <c r="CN31">
        <f>VLOOKUP(Sales[[#This Row],[Cnd]],Lookups!$T$7:$W$16,4,FALSE)</f>
        <v>0.99729999999999996</v>
      </c>
      <c r="CO31">
        <f>VLOOKUP(Sales[[#This Row],[LivArea Range]],Lookups!$T$25:$W$37,4,FALSE)</f>
        <v>1.0157</v>
      </c>
      <c r="CP31">
        <f>VLOOKUP(Sales[[#This Row],[Decade]],Lookups!$O$25:$R$42,4,FALSE)</f>
        <v>0.96919999999999995</v>
      </c>
      <c r="CQ31">
        <f>Sales[[#This Row],[Nbhd Adj]]*0.95</f>
        <v>0.94971499999999998</v>
      </c>
      <c r="CR31">
        <f>Sales[[#This Row],[Nbhd Adj]]*Sales[[#This Row],[Quality Adj]]*Sales[[#This Row],[Condition Adj]]*Sales[[#This Row],[Living Area Adj]]*Sales[[#This Row],[Decade Adj]]*0.95</f>
        <v>0.93873104601730073</v>
      </c>
      <c r="CS31">
        <f>ROUND(SUM(Sales[[#This Row],[Mdl Qlty]:[Mdl WdDeck]])+Sales[[#This Row],[Mdl Res Intercept]]*Sales[[#This Row],[Res Adj ]],-2)</f>
        <v>256200</v>
      </c>
      <c r="CT31">
        <f>ROUND(Sales[[#This Row],[25Det]]*Sales[[#This Row],[Det/Nbhd Adj]],-2)</f>
        <v>0</v>
      </c>
      <c r="CU31">
        <f>Sales[[#This Row],[Adjusted Res]]+Sales[[#This Row],[Adj Det ]]</f>
        <v>256200</v>
      </c>
      <c r="CV31">
        <f>ROUND((Sales[[#This Row],[Mdl Land Intercept]]+Sales[[#This Row],[Mdl LnAcres]])*Sales[[#This Row],[Det/Nbhd Adj]],-2)</f>
        <v>-32300</v>
      </c>
      <c r="CW31">
        <f>Sales[[#This Row],[Adjusted Impr Total]]+Sales[[#This Row],[Adjusted Land Total]]</f>
        <v>223900</v>
      </c>
      <c r="CX31" s="15">
        <f>IFERROR((Sales[[#This Row],[Adjusted Impr Total]]-Sales[[#This Row],[24Bldg]])/Sales[[#This Row],[24Bldg]],0)</f>
        <v>0.67889908256880738</v>
      </c>
      <c r="CY31" s="15">
        <f>(Sales[[#This Row],[Adjusted Land Total]]-Sales[[#This Row],[24Lnd]])/Sales[[#This Row],[24Lnd]]</f>
        <v>-2.2007434944237918</v>
      </c>
      <c r="CZ31" s="15">
        <f>(Sales[[#This Row],[Adjusted Total]]-Sales[[#This Row],[24Final]])/Sales[[#This Row],[24Final]]</f>
        <v>0.24735376044568244</v>
      </c>
      <c r="DA31" s="15">
        <f>(Sales[[#This Row],[Adjusted Total]]+Sales[[#This Row],[Days Prior Total]])/Sales[[#This Row],[Price]]</f>
        <v>0.97507163570995459</v>
      </c>
    </row>
    <row r="32" spans="1:105" x14ac:dyDescent="0.3">
      <c r="A32">
        <v>2025</v>
      </c>
      <c r="B32">
        <v>18132321502</v>
      </c>
      <c r="C32">
        <v>-4.6051701859880909</v>
      </c>
      <c r="D32">
        <v>0.01</v>
      </c>
      <c r="E32">
        <v>612</v>
      </c>
      <c r="F32">
        <v>6</v>
      </c>
      <c r="G32" t="s">
        <v>28</v>
      </c>
      <c r="H32" t="s">
        <v>29</v>
      </c>
      <c r="I32" t="s">
        <v>349</v>
      </c>
      <c r="J32" t="s">
        <v>146</v>
      </c>
      <c r="K32">
        <v>11</v>
      </c>
      <c r="L32">
        <v>262</v>
      </c>
      <c r="M32" t="s">
        <v>415</v>
      </c>
      <c r="N32" t="s">
        <v>351</v>
      </c>
      <c r="O32" t="s">
        <v>303</v>
      </c>
      <c r="P32">
        <v>50</v>
      </c>
      <c r="Q32">
        <v>1975</v>
      </c>
      <c r="R32">
        <v>1979</v>
      </c>
      <c r="S32">
        <v>49</v>
      </c>
      <c r="T32">
        <v>45</v>
      </c>
      <c r="U32">
        <v>2</v>
      </c>
      <c r="V32">
        <v>612</v>
      </c>
      <c r="W32">
        <v>612</v>
      </c>
      <c r="X32">
        <v>0</v>
      </c>
      <c r="Y32">
        <v>0</v>
      </c>
      <c r="Z32">
        <v>0</v>
      </c>
      <c r="AA32">
        <v>0</v>
      </c>
      <c r="AB32">
        <v>1224</v>
      </c>
      <c r="AC32">
        <v>1500</v>
      </c>
      <c r="AD32">
        <v>0</v>
      </c>
      <c r="AF32" t="s">
        <v>383</v>
      </c>
      <c r="AG32" t="s">
        <v>382</v>
      </c>
      <c r="AH32" t="s">
        <v>450</v>
      </c>
      <c r="AI32">
        <v>0</v>
      </c>
      <c r="AJ32">
        <v>0</v>
      </c>
      <c r="AK32">
        <v>0</v>
      </c>
      <c r="AL32">
        <v>0</v>
      </c>
      <c r="AM32">
        <v>1</v>
      </c>
      <c r="AN32">
        <v>7</v>
      </c>
      <c r="AO32">
        <v>0</v>
      </c>
      <c r="AP32">
        <v>0</v>
      </c>
      <c r="AQ32">
        <v>408</v>
      </c>
      <c r="AR32">
        <v>0</v>
      </c>
      <c r="AS32">
        <v>136</v>
      </c>
      <c r="AT32">
        <v>0</v>
      </c>
      <c r="AU32">
        <v>100</v>
      </c>
      <c r="AV32">
        <v>100</v>
      </c>
      <c r="AW32">
        <v>145970</v>
      </c>
      <c r="AX32">
        <v>113857</v>
      </c>
      <c r="AY32">
        <v>615</v>
      </c>
      <c r="AZ32">
        <v>365</v>
      </c>
      <c r="BA32">
        <v>250</v>
      </c>
      <c r="BB32">
        <v>0</v>
      </c>
      <c r="BC32" s="3">
        <v>44677</v>
      </c>
      <c r="BD32" t="s">
        <v>11</v>
      </c>
      <c r="BE32">
        <v>198000</v>
      </c>
      <c r="BF32">
        <v>198000</v>
      </c>
      <c r="BG32" t="s">
        <v>294</v>
      </c>
      <c r="BH32">
        <v>30</v>
      </c>
      <c r="BI32" t="s">
        <v>65</v>
      </c>
      <c r="BJ32" t="s">
        <v>450</v>
      </c>
      <c r="BK32">
        <v>198900</v>
      </c>
      <c r="BL32">
        <v>29800</v>
      </c>
      <c r="BM32">
        <v>169100</v>
      </c>
      <c r="BN32">
        <v>0</v>
      </c>
      <c r="BO32">
        <v>1.0045454545454546</v>
      </c>
      <c r="BP32">
        <v>214656.95983369974</v>
      </c>
      <c r="BQ32">
        <v>237539.90866714425</v>
      </c>
      <c r="BR32" s="12">
        <f>(Sales[[#This Row],[DP1]]*Lookups!$B$59)+(Sales[[#This Row],[DP2]]*Lookups!$B$60)+(Sales[[#This Row],[DP3]]*Lookups!$B$61)</f>
        <v>-22882.94883505</v>
      </c>
      <c r="BS32" s="12">
        <f>Lookups!$B$56*0</f>
        <v>0</v>
      </c>
      <c r="BT32" s="12">
        <f>Lookups!$B$56*1</f>
        <v>89850.625589999996</v>
      </c>
      <c r="BU32" s="12">
        <f>Lookups!$B$57*Sales[[#This Row],[LnAcres]]</f>
        <v>-145774.89265936252</v>
      </c>
      <c r="BV32" s="12">
        <f>VLOOKUP(Sales[[#This Row],[Qlty]],Lookups!$A$62:$E$75,2,FALSE)</f>
        <v>21557.329055999999</v>
      </c>
      <c r="BW32" s="12">
        <f>VLOOKUP(Sales[[#This Row],[Cnd]],Lookups!$A$76:$E$84,2,FALSE)</f>
        <v>197752.34721000001</v>
      </c>
      <c r="BX32" s="12">
        <f>Sales[[#This Row],[EffAge]]*Lookups!$B$85</f>
        <v>-10037.0520225</v>
      </c>
      <c r="BY32" s="12">
        <f>Sales[[#This Row],[MainFn]]*Lookups!$B$86</f>
        <v>30238.105964724</v>
      </c>
      <c r="BZ32" s="12">
        <f>Sales[[#This Row],[UpprFn]]*Lookups!$B$87</f>
        <v>27409.290790931998</v>
      </c>
      <c r="CA32" s="12">
        <f>Sales[[#This Row],[AddFn]]*Lookups!$B$88</f>
        <v>0</v>
      </c>
      <c r="CB32" s="12">
        <f>Sales[[#This Row],[Bsmt]]*Lookups!$B$89</f>
        <v>0</v>
      </c>
      <c r="CC32" s="12">
        <f>Sales[[#This Row],[Fixtures]]*Lookups!$B$90</f>
        <v>26544.1547364</v>
      </c>
      <c r="CD32" s="12">
        <f>Sales[[#This Row],[WdDeck]]*Lookups!$B$91</f>
        <v>0</v>
      </c>
      <c r="CE32" s="12">
        <f>SUM(Sales[[#This Row],[Days Prior Total]:[Mdl WdDeck]])</f>
        <v>214656.95983114347</v>
      </c>
      <c r="CF32" s="12">
        <f>ROUND(Sales[[#This Row],[25Det]],-2)</f>
        <v>0</v>
      </c>
      <c r="CG32" s="12">
        <f>ROUND(SUM(Sales[[#This Row],[Mdl Qlty]:[Mdl WdDeck]])+Sales[[#This Row],[Mdl Res Intercept]]+Sales[[#This Row],[Days Prior Total]],-2)</f>
        <v>270600</v>
      </c>
      <c r="CH32" s="12">
        <f>ROUND(Sales[[#This Row],[Mdl Land Intercept]]+Sales[[#This Row],[Mdl LnAcres]],-2)</f>
        <v>-55900</v>
      </c>
      <c r="CI32" s="12">
        <f>Sales[[#This Row],[Unadj Res Value]]+Sales[[#This Row],[Unadj Det Value]]+Sales[[#This Row],[Unadj Land Value]]</f>
        <v>214700</v>
      </c>
      <c r="CJ32" s="13">
        <f>Sales[[#This Row],[Unadj Total Value]]/Sales[[#This Row],[Price]]</f>
        <v>1.0843434343434344</v>
      </c>
      <c r="CK32" s="13">
        <f>(Sales[[#This Row],[Unadj Total Value]]-Sales[[#This Row],[24Final]])/Sales[[#This Row],[24Final]]</f>
        <v>7.9436902966314726E-2</v>
      </c>
      <c r="CL32">
        <f>VLOOKUP(Sales[[#This Row],[TNbhd]],Lookups!$Q$2:$T$4,4,FALSE)</f>
        <v>0.99970000000000003</v>
      </c>
      <c r="CM32">
        <f>VLOOKUP(Sales[[#This Row],[Qlty]],Lookups!$O$7:$R$21,4,FALSE)</f>
        <v>1.0067999999999999</v>
      </c>
      <c r="CN32">
        <f>VLOOKUP(Sales[[#This Row],[Cnd]],Lookups!$T$7:$W$16,4,FALSE)</f>
        <v>0.99650000000000005</v>
      </c>
      <c r="CO32">
        <f>VLOOKUP(Sales[[#This Row],[LivArea Range]],Lookups!$T$25:$W$37,4,FALSE)</f>
        <v>1.0157</v>
      </c>
      <c r="CP32">
        <f>VLOOKUP(Sales[[#This Row],[Decade]],Lookups!$O$25:$R$42,4,FALSE)</f>
        <v>0.96919999999999995</v>
      </c>
      <c r="CQ32">
        <f>Sales[[#This Row],[Nbhd Adj]]*0.95</f>
        <v>0.94971499999999998</v>
      </c>
      <c r="CR32">
        <f>Sales[[#This Row],[Nbhd Adj]]*Sales[[#This Row],[Quality Adj]]*Sales[[#This Row],[Condition Adj]]*Sales[[#This Row],[Living Area Adj]]*Sales[[#This Row],[Decade Adj]]*0.95</f>
        <v>0.93797802803192643</v>
      </c>
      <c r="CS32">
        <f>ROUND(SUM(Sales[[#This Row],[Mdl Qlty]:[Mdl WdDeck]])+Sales[[#This Row],[Mdl Res Intercept]]*Sales[[#This Row],[Res Adj ]],-2)</f>
        <v>293500</v>
      </c>
      <c r="CT32">
        <f>ROUND(Sales[[#This Row],[25Det]]*Sales[[#This Row],[Det/Nbhd Adj]],-2)</f>
        <v>0</v>
      </c>
      <c r="CU32">
        <f>Sales[[#This Row],[Adjusted Res]]+Sales[[#This Row],[Adj Det ]]</f>
        <v>293500</v>
      </c>
      <c r="CV32">
        <f>ROUND((Sales[[#This Row],[Mdl Land Intercept]]+Sales[[#This Row],[Mdl LnAcres]])*Sales[[#This Row],[Det/Nbhd Adj]],-2)</f>
        <v>-53100</v>
      </c>
      <c r="CW32">
        <f>Sales[[#This Row],[Adjusted Impr Total]]+Sales[[#This Row],[Adjusted Land Total]]</f>
        <v>240400</v>
      </c>
      <c r="CX32" s="15">
        <f>IFERROR((Sales[[#This Row],[Adjusted Impr Total]]-Sales[[#This Row],[24Bldg]])/Sales[[#This Row],[24Bldg]],0)</f>
        <v>0.73565937315198104</v>
      </c>
      <c r="CY32" s="15">
        <f>(Sales[[#This Row],[Adjusted Land Total]]-Sales[[#This Row],[24Lnd]])/Sales[[#This Row],[24Lnd]]</f>
        <v>-2.7818791946308723</v>
      </c>
      <c r="CZ32" s="15">
        <f>(Sales[[#This Row],[Adjusted Total]]-Sales[[#This Row],[24Final]])/Sales[[#This Row],[24Final]]</f>
        <v>0.20864756158873807</v>
      </c>
      <c r="DA32" s="15">
        <f>(Sales[[#This Row],[Adjusted Total]]+Sales[[#This Row],[Days Prior Total]])/Sales[[#This Row],[Price]]</f>
        <v>1.0985709654795455</v>
      </c>
    </row>
    <row r="33" spans="1:105" x14ac:dyDescent="0.3">
      <c r="A33">
        <v>2025</v>
      </c>
      <c r="B33">
        <v>18132322450</v>
      </c>
      <c r="C33">
        <v>-1.4271163556401458</v>
      </c>
      <c r="D33">
        <v>0.24</v>
      </c>
      <c r="E33">
        <v>0</v>
      </c>
      <c r="F33">
        <v>6</v>
      </c>
      <c r="G33" t="s">
        <v>126</v>
      </c>
      <c r="H33">
        <v>3033</v>
      </c>
      <c r="I33" t="s">
        <v>349</v>
      </c>
      <c r="J33" t="s">
        <v>30</v>
      </c>
      <c r="K33">
        <v>11</v>
      </c>
      <c r="L33">
        <v>259</v>
      </c>
      <c r="M33" t="s">
        <v>241</v>
      </c>
      <c r="N33" t="s">
        <v>302</v>
      </c>
      <c r="O33" t="s">
        <v>303</v>
      </c>
      <c r="P33">
        <v>60</v>
      </c>
      <c r="Q33">
        <v>1972</v>
      </c>
      <c r="R33">
        <v>1978</v>
      </c>
      <c r="S33">
        <v>52</v>
      </c>
      <c r="T33">
        <v>46</v>
      </c>
      <c r="U33">
        <v>1</v>
      </c>
      <c r="V33">
        <v>2203</v>
      </c>
      <c r="W33">
        <v>0</v>
      </c>
      <c r="X33">
        <v>0</v>
      </c>
      <c r="Y33">
        <v>0</v>
      </c>
      <c r="Z33">
        <v>0</v>
      </c>
      <c r="AA33">
        <v>0</v>
      </c>
      <c r="AB33">
        <v>2203</v>
      </c>
      <c r="AC33">
        <v>2500</v>
      </c>
      <c r="AD33">
        <v>1</v>
      </c>
      <c r="AE33" t="s">
        <v>6</v>
      </c>
      <c r="AF33" t="s">
        <v>383</v>
      </c>
      <c r="AG33" t="s">
        <v>148</v>
      </c>
      <c r="AH33" t="s">
        <v>450</v>
      </c>
      <c r="AI33">
        <v>0</v>
      </c>
      <c r="AJ33">
        <v>0</v>
      </c>
      <c r="AK33">
        <v>0</v>
      </c>
      <c r="AL33">
        <v>1</v>
      </c>
      <c r="AM33">
        <v>0</v>
      </c>
      <c r="AN33">
        <v>8</v>
      </c>
      <c r="AO33">
        <v>416</v>
      </c>
      <c r="AP33">
        <v>0</v>
      </c>
      <c r="AQ33">
        <v>0</v>
      </c>
      <c r="AR33">
        <v>216</v>
      </c>
      <c r="AS33">
        <v>168</v>
      </c>
      <c r="AT33">
        <v>216</v>
      </c>
      <c r="AU33">
        <v>100</v>
      </c>
      <c r="AV33">
        <v>100</v>
      </c>
      <c r="AW33">
        <v>360637</v>
      </c>
      <c r="AX33">
        <v>299329</v>
      </c>
      <c r="AY33">
        <v>549</v>
      </c>
      <c r="AZ33">
        <v>365</v>
      </c>
      <c r="BA33">
        <v>184</v>
      </c>
      <c r="BB33">
        <v>0</v>
      </c>
      <c r="BC33" s="3">
        <v>44743</v>
      </c>
      <c r="BD33" t="s">
        <v>84</v>
      </c>
      <c r="BE33">
        <v>408000</v>
      </c>
      <c r="BF33">
        <v>391586</v>
      </c>
      <c r="BG33" t="s">
        <v>294</v>
      </c>
      <c r="BH33">
        <v>30</v>
      </c>
      <c r="BI33" t="s">
        <v>65</v>
      </c>
      <c r="BJ33" t="s">
        <v>450</v>
      </c>
      <c r="BK33">
        <v>389400</v>
      </c>
      <c r="BL33">
        <v>64800</v>
      </c>
      <c r="BM33">
        <v>324600</v>
      </c>
      <c r="BN33">
        <v>16414</v>
      </c>
      <c r="BO33">
        <v>0.9544117647058824</v>
      </c>
      <c r="BP33">
        <v>384716.61820042651</v>
      </c>
      <c r="BQ33">
        <v>408357.45636291982</v>
      </c>
      <c r="BR33" s="12">
        <f>(Sales[[#This Row],[DP1]]*Lookups!$B$59)+(Sales[[#This Row],[DP2]]*Lookups!$B$60)+(Sales[[#This Row],[DP3]]*Lookups!$B$61)</f>
        <v>-23640.838164082001</v>
      </c>
      <c r="BS33" s="12">
        <f>Lookups!$B$56*0</f>
        <v>0</v>
      </c>
      <c r="BT33" s="12">
        <f>Lookups!$B$56*1</f>
        <v>89850.625589999996</v>
      </c>
      <c r="BU33" s="12">
        <f>Lookups!$B$57*Sales[[#This Row],[LnAcres]]</f>
        <v>-45174.819855485119</v>
      </c>
      <c r="BV33" s="12">
        <f>VLOOKUP(Sales[[#This Row],[Qlty]],Lookups!$A$62:$E$75,2,FALSE)</f>
        <v>29814.093161000001</v>
      </c>
      <c r="BW33" s="12">
        <f>VLOOKUP(Sales[[#This Row],[Cnd]],Lookups!$A$76:$E$84,2,FALSE)</f>
        <v>197752.34721000001</v>
      </c>
      <c r="BX33" s="12">
        <f>Sales[[#This Row],[EffAge]]*Lookups!$B$85</f>
        <v>-10260.097623</v>
      </c>
      <c r="BY33" s="12">
        <f>Sales[[#This Row],[MainFn]]*Lookups!$B$86</f>
        <v>108847.299739031</v>
      </c>
      <c r="BZ33" s="12">
        <f>Sales[[#This Row],[UpprFn]]*Lookups!$B$87</f>
        <v>0</v>
      </c>
      <c r="CA33" s="12">
        <f>Sales[[#This Row],[AddFn]]*Lookups!$B$88</f>
        <v>0</v>
      </c>
      <c r="CB33" s="12">
        <f>Sales[[#This Row],[Bsmt]]*Lookups!$B$89</f>
        <v>0</v>
      </c>
      <c r="CC33" s="12">
        <f>Sales[[#This Row],[Fixtures]]*Lookups!$B$90</f>
        <v>30336.176841600001</v>
      </c>
      <c r="CD33" s="12">
        <f>Sales[[#This Row],[WdDeck]]*Lookups!$B$91</f>
        <v>7191.8312996160003</v>
      </c>
      <c r="CE33" s="12">
        <f>SUM(Sales[[#This Row],[Days Prior Total]:[Mdl WdDeck]])</f>
        <v>384716.61819867988</v>
      </c>
      <c r="CF33" s="12">
        <f>ROUND(Sales[[#This Row],[25Det]],-2)</f>
        <v>16400</v>
      </c>
      <c r="CG33" s="12">
        <f>ROUND(SUM(Sales[[#This Row],[Mdl Qlty]:[Mdl WdDeck]])+Sales[[#This Row],[Mdl Res Intercept]]+Sales[[#This Row],[Days Prior Total]],-2)</f>
        <v>340000</v>
      </c>
      <c r="CH33" s="12">
        <f>ROUND(Sales[[#This Row],[Mdl Land Intercept]]+Sales[[#This Row],[Mdl LnAcres]],-2)</f>
        <v>44700</v>
      </c>
      <c r="CI33" s="12">
        <f>Sales[[#This Row],[Unadj Res Value]]+Sales[[#This Row],[Unadj Det Value]]+Sales[[#This Row],[Unadj Land Value]]</f>
        <v>401100</v>
      </c>
      <c r="CJ33" s="13">
        <f>Sales[[#This Row],[Unadj Total Value]]/Sales[[#This Row],[Price]]</f>
        <v>0.9830882352941176</v>
      </c>
      <c r="CK33" s="13">
        <f>(Sales[[#This Row],[Unadj Total Value]]-Sales[[#This Row],[24Final]])/Sales[[#This Row],[24Final]]</f>
        <v>3.0046224961479198E-2</v>
      </c>
      <c r="CL33">
        <f>VLOOKUP(Sales[[#This Row],[TNbhd]],Lookups!$Q$2:$T$4,4,FALSE)</f>
        <v>0.99970000000000003</v>
      </c>
      <c r="CM33">
        <f>VLOOKUP(Sales[[#This Row],[Qlty]],Lookups!$O$7:$R$21,4,FALSE)</f>
        <v>1.0088999999999999</v>
      </c>
      <c r="CN33">
        <f>VLOOKUP(Sales[[#This Row],[Cnd]],Lookups!$T$7:$W$16,4,FALSE)</f>
        <v>0.99650000000000005</v>
      </c>
      <c r="CO33">
        <f>VLOOKUP(Sales[[#This Row],[LivArea Range]],Lookups!$T$25:$W$37,4,FALSE)</f>
        <v>0.98919999999999997</v>
      </c>
      <c r="CP33">
        <f>VLOOKUP(Sales[[#This Row],[Decade]],Lookups!$O$25:$R$42,4,FALSE)</f>
        <v>0.98119999999999996</v>
      </c>
      <c r="CQ33">
        <f>Sales[[#This Row],[Nbhd Adj]]*0.95</f>
        <v>0.94971499999999998</v>
      </c>
      <c r="CR33">
        <f>Sales[[#This Row],[Nbhd Adj]]*Sales[[#This Row],[Quality Adj]]*Sales[[#This Row],[Condition Adj]]*Sales[[#This Row],[Living Area Adj]]*Sales[[#This Row],[Decade Adj]]*0.95</f>
        <v>0.92674525201703128</v>
      </c>
      <c r="CS33">
        <f>ROUND(SUM(Sales[[#This Row],[Mdl Qlty]:[Mdl WdDeck]])+Sales[[#This Row],[Mdl Res Intercept]]*Sales[[#This Row],[Res Adj ]],-2)</f>
        <v>363700</v>
      </c>
      <c r="CT33">
        <f>ROUND(Sales[[#This Row],[25Det]]*Sales[[#This Row],[Det/Nbhd Adj]],-2)</f>
        <v>15600</v>
      </c>
      <c r="CU33">
        <f>Sales[[#This Row],[Adjusted Res]]+Sales[[#This Row],[Adj Det ]]</f>
        <v>379300</v>
      </c>
      <c r="CV33">
        <f>ROUND((Sales[[#This Row],[Mdl Land Intercept]]+Sales[[#This Row],[Mdl LnAcres]])*Sales[[#This Row],[Det/Nbhd Adj]],-2)</f>
        <v>42400</v>
      </c>
      <c r="CW33">
        <f>Sales[[#This Row],[Adjusted Impr Total]]+Sales[[#This Row],[Adjusted Land Total]]</f>
        <v>421700</v>
      </c>
      <c r="CX33" s="15">
        <f>IFERROR((Sales[[#This Row],[Adjusted Impr Total]]-Sales[[#This Row],[24Bldg]])/Sales[[#This Row],[24Bldg]],0)</f>
        <v>0.16851509550215649</v>
      </c>
      <c r="CY33" s="15">
        <f>(Sales[[#This Row],[Adjusted Land Total]]-Sales[[#This Row],[24Lnd]])/Sales[[#This Row],[24Lnd]]</f>
        <v>-0.34567901234567899</v>
      </c>
      <c r="CZ33" s="15">
        <f>(Sales[[#This Row],[Adjusted Total]]-Sales[[#This Row],[24Final]])/Sales[[#This Row],[24Final]]</f>
        <v>8.2948125321006677E-2</v>
      </c>
      <c r="DA33" s="15">
        <f>(Sales[[#This Row],[Adjusted Total]]+Sales[[#This Row],[Days Prior Total]])/Sales[[#This Row],[Price]]</f>
        <v>0.97563520057823028</v>
      </c>
    </row>
    <row r="34" spans="1:105" x14ac:dyDescent="0.3">
      <c r="A34">
        <v>2025</v>
      </c>
      <c r="B34">
        <v>18132324553</v>
      </c>
      <c r="C34">
        <v>-1.2378743560016174</v>
      </c>
      <c r="D34">
        <v>0.28999999999999998</v>
      </c>
      <c r="E34">
        <v>0</v>
      </c>
      <c r="F34">
        <v>6</v>
      </c>
      <c r="G34" t="s">
        <v>126</v>
      </c>
      <c r="H34">
        <v>3033</v>
      </c>
      <c r="I34" t="s">
        <v>349</v>
      </c>
      <c r="J34" t="s">
        <v>30</v>
      </c>
      <c r="K34">
        <v>11</v>
      </c>
      <c r="L34">
        <v>259</v>
      </c>
      <c r="M34" t="s">
        <v>241</v>
      </c>
      <c r="N34" t="s">
        <v>302</v>
      </c>
      <c r="O34" t="s">
        <v>323</v>
      </c>
      <c r="P34">
        <v>60</v>
      </c>
      <c r="Q34">
        <v>1972</v>
      </c>
      <c r="R34">
        <v>1978</v>
      </c>
      <c r="S34">
        <v>52</v>
      </c>
      <c r="T34">
        <v>46</v>
      </c>
      <c r="U34">
        <v>1</v>
      </c>
      <c r="V34">
        <v>1399</v>
      </c>
      <c r="W34">
        <v>0</v>
      </c>
      <c r="X34">
        <v>0</v>
      </c>
      <c r="Y34">
        <v>0</v>
      </c>
      <c r="Z34">
        <v>0</v>
      </c>
      <c r="AA34">
        <v>0</v>
      </c>
      <c r="AB34">
        <v>1399</v>
      </c>
      <c r="AC34">
        <v>1500</v>
      </c>
      <c r="AD34">
        <v>1</v>
      </c>
      <c r="AE34" t="s">
        <v>6</v>
      </c>
      <c r="AF34" t="s">
        <v>383</v>
      </c>
      <c r="AG34" t="s">
        <v>148</v>
      </c>
      <c r="AH34" t="s">
        <v>450</v>
      </c>
      <c r="AI34">
        <v>0</v>
      </c>
      <c r="AJ34">
        <v>0</v>
      </c>
      <c r="AK34">
        <v>0</v>
      </c>
      <c r="AL34">
        <v>1</v>
      </c>
      <c r="AM34">
        <v>0</v>
      </c>
      <c r="AN34">
        <v>9</v>
      </c>
      <c r="AO34">
        <v>327</v>
      </c>
      <c r="AP34">
        <v>0</v>
      </c>
      <c r="AQ34">
        <v>354</v>
      </c>
      <c r="AR34">
        <v>0</v>
      </c>
      <c r="AS34">
        <v>441</v>
      </c>
      <c r="AT34">
        <v>441</v>
      </c>
      <c r="AU34">
        <v>100</v>
      </c>
      <c r="AV34">
        <v>100</v>
      </c>
      <c r="AW34">
        <v>265834</v>
      </c>
      <c r="AX34">
        <v>204692</v>
      </c>
      <c r="AY34">
        <v>796</v>
      </c>
      <c r="AZ34">
        <v>365</v>
      </c>
      <c r="BA34">
        <v>365</v>
      </c>
      <c r="BB34">
        <v>66</v>
      </c>
      <c r="BC34" s="3">
        <v>44496</v>
      </c>
      <c r="BD34" t="s">
        <v>258</v>
      </c>
      <c r="BE34">
        <v>295000</v>
      </c>
      <c r="BF34">
        <v>295000</v>
      </c>
      <c r="BG34" t="s">
        <v>294</v>
      </c>
      <c r="BH34">
        <v>30</v>
      </c>
      <c r="BI34" t="s">
        <v>65</v>
      </c>
      <c r="BJ34" t="s">
        <v>450</v>
      </c>
      <c r="BK34">
        <v>322100</v>
      </c>
      <c r="BL34">
        <v>71400</v>
      </c>
      <c r="BM34">
        <v>250700</v>
      </c>
      <c r="BN34">
        <v>0</v>
      </c>
      <c r="BO34">
        <v>1.091864406779661</v>
      </c>
      <c r="BP34">
        <v>303555.29820289859</v>
      </c>
      <c r="BQ34">
        <v>333943.31534607313</v>
      </c>
      <c r="BR34" s="12">
        <f>(Sales[[#This Row],[DP1]]*Lookups!$B$59)+(Sales[[#This Row],[DP2]]*Lookups!$B$60)+(Sales[[#This Row],[DP3]]*Lookups!$B$61)</f>
        <v>-30388.017146470003</v>
      </c>
      <c r="BS34" s="12">
        <f>Lookups!$B$56*0</f>
        <v>0</v>
      </c>
      <c r="BT34" s="12">
        <f>Lookups!$B$56*1</f>
        <v>89850.625589999996</v>
      </c>
      <c r="BU34" s="12">
        <f>Lookups!$B$57*Sales[[#This Row],[LnAcres]]</f>
        <v>-39184.437074869042</v>
      </c>
      <c r="BV34" s="12">
        <f>VLOOKUP(Sales[[#This Row],[Qlty]],Lookups!$A$62:$E$75,2,FALSE)</f>
        <v>29814.093161000001</v>
      </c>
      <c r="BW34" s="12">
        <f>VLOOKUP(Sales[[#This Row],[Cnd]],Lookups!$A$76:$E$84,2,FALSE)</f>
        <v>160472.20319</v>
      </c>
      <c r="BX34" s="12">
        <f>Sales[[#This Row],[EffAge]]*Lookups!$B$85</f>
        <v>-10260.097623</v>
      </c>
      <c r="BY34" s="12">
        <f>Sales[[#This Row],[MainFn]]*Lookups!$B$86</f>
        <v>69122.729157923008</v>
      </c>
      <c r="BZ34" s="12">
        <f>Sales[[#This Row],[UpprFn]]*Lookups!$B$87</f>
        <v>0</v>
      </c>
      <c r="CA34" s="12">
        <f>Sales[[#This Row],[AddFn]]*Lookups!$B$88</f>
        <v>0</v>
      </c>
      <c r="CB34" s="12">
        <f>Sales[[#This Row],[Bsmt]]*Lookups!$B$89</f>
        <v>0</v>
      </c>
      <c r="CC34" s="12">
        <f>Sales[[#This Row],[Fixtures]]*Lookups!$B$90</f>
        <v>34128.198946800003</v>
      </c>
      <c r="CD34" s="12">
        <f>Sales[[#This Row],[WdDeck]]*Lookups!$B$91</f>
        <v>0</v>
      </c>
      <c r="CE34" s="12">
        <f>SUM(Sales[[#This Row],[Days Prior Total]:[Mdl WdDeck]])</f>
        <v>303555.29820138396</v>
      </c>
      <c r="CF34" s="12">
        <f>ROUND(Sales[[#This Row],[25Det]],-2)</f>
        <v>0</v>
      </c>
      <c r="CG34" s="12">
        <f>ROUND(SUM(Sales[[#This Row],[Mdl Qlty]:[Mdl WdDeck]])+Sales[[#This Row],[Mdl Res Intercept]]+Sales[[#This Row],[Days Prior Total]],-2)</f>
        <v>252900</v>
      </c>
      <c r="CH34" s="12">
        <f>ROUND(Sales[[#This Row],[Mdl Land Intercept]]+Sales[[#This Row],[Mdl LnAcres]],-2)</f>
        <v>50700</v>
      </c>
      <c r="CI34" s="12">
        <f>Sales[[#This Row],[Unadj Res Value]]+Sales[[#This Row],[Unadj Det Value]]+Sales[[#This Row],[Unadj Land Value]]</f>
        <v>303600</v>
      </c>
      <c r="CJ34" s="13">
        <f>Sales[[#This Row],[Unadj Total Value]]/Sales[[#This Row],[Price]]</f>
        <v>1.0291525423728813</v>
      </c>
      <c r="CK34" s="13">
        <f>(Sales[[#This Row],[Unadj Total Value]]-Sales[[#This Row],[24Final]])/Sales[[#This Row],[24Final]]</f>
        <v>-5.7435579012728964E-2</v>
      </c>
      <c r="CL34">
        <f>VLOOKUP(Sales[[#This Row],[TNbhd]],Lookups!$Q$2:$T$4,4,FALSE)</f>
        <v>0.99970000000000003</v>
      </c>
      <c r="CM34">
        <f>VLOOKUP(Sales[[#This Row],[Qlty]],Lookups!$O$7:$R$21,4,FALSE)</f>
        <v>1.0088999999999999</v>
      </c>
      <c r="CN34">
        <f>VLOOKUP(Sales[[#This Row],[Cnd]],Lookups!$T$7:$W$16,4,FALSE)</f>
        <v>0.99729999999999996</v>
      </c>
      <c r="CO34">
        <f>VLOOKUP(Sales[[#This Row],[LivArea Range]],Lookups!$T$25:$W$37,4,FALSE)</f>
        <v>1.0157</v>
      </c>
      <c r="CP34">
        <f>VLOOKUP(Sales[[#This Row],[Decade]],Lookups!$O$25:$R$42,4,FALSE)</f>
        <v>0.98119999999999996</v>
      </c>
      <c r="CQ34">
        <f>Sales[[#This Row],[Nbhd Adj]]*0.95</f>
        <v>0.94971499999999998</v>
      </c>
      <c r="CR34">
        <f>Sales[[#This Row],[Nbhd Adj]]*Sales[[#This Row],[Quality Adj]]*Sales[[#This Row],[Condition Adj]]*Sales[[#This Row],[Living Area Adj]]*Sales[[#This Row],[Decade Adj]]*0.95</f>
        <v>0.95233606295915574</v>
      </c>
      <c r="CS34">
        <f>ROUND(SUM(Sales[[#This Row],[Mdl Qlty]:[Mdl WdDeck]])+Sales[[#This Row],[Mdl Res Intercept]]*Sales[[#This Row],[Res Adj ]],-2)</f>
        <v>283300</v>
      </c>
      <c r="CT34">
        <f>ROUND(Sales[[#This Row],[25Det]]*Sales[[#This Row],[Det/Nbhd Adj]],-2)</f>
        <v>0</v>
      </c>
      <c r="CU34">
        <f>Sales[[#This Row],[Adjusted Res]]+Sales[[#This Row],[Adj Det ]]</f>
        <v>283300</v>
      </c>
      <c r="CV34">
        <f>ROUND((Sales[[#This Row],[Mdl Land Intercept]]+Sales[[#This Row],[Mdl LnAcres]])*Sales[[#This Row],[Det/Nbhd Adj]],-2)</f>
        <v>48100</v>
      </c>
      <c r="CW34">
        <f>Sales[[#This Row],[Adjusted Impr Total]]+Sales[[#This Row],[Adjusted Land Total]]</f>
        <v>331400</v>
      </c>
      <c r="CX34" s="15">
        <f>IFERROR((Sales[[#This Row],[Adjusted Impr Total]]-Sales[[#This Row],[24Bldg]])/Sales[[#This Row],[24Bldg]],0)</f>
        <v>0.13003589948145194</v>
      </c>
      <c r="CY34" s="15">
        <f>(Sales[[#This Row],[Adjusted Land Total]]-Sales[[#This Row],[24Lnd]])/Sales[[#This Row],[24Lnd]]</f>
        <v>-0.32633053221288516</v>
      </c>
      <c r="CZ34" s="15">
        <f>(Sales[[#This Row],[Adjusted Total]]-Sales[[#This Row],[24Final]])/Sales[[#This Row],[24Final]]</f>
        <v>2.8873020800993479E-2</v>
      </c>
      <c r="DA34" s="15">
        <f>(Sales[[#This Row],[Adjusted Total]]+Sales[[#This Row],[Days Prior Total]])/Sales[[#This Row],[Price]]</f>
        <v>1.0203796028933219</v>
      </c>
    </row>
    <row r="35" spans="1:105" x14ac:dyDescent="0.3">
      <c r="A35">
        <v>2025</v>
      </c>
      <c r="B35">
        <v>18132344008</v>
      </c>
      <c r="C35">
        <v>-2.5257286443082556</v>
      </c>
      <c r="D35">
        <v>0.08</v>
      </c>
      <c r="E35">
        <v>3679</v>
      </c>
      <c r="F35">
        <v>6</v>
      </c>
      <c r="G35" t="s">
        <v>126</v>
      </c>
      <c r="H35" t="s">
        <v>349</v>
      </c>
      <c r="I35" t="s">
        <v>349</v>
      </c>
      <c r="J35" t="s">
        <v>30</v>
      </c>
      <c r="K35">
        <v>11</v>
      </c>
      <c r="L35">
        <v>259</v>
      </c>
      <c r="M35" t="s">
        <v>241</v>
      </c>
      <c r="N35" t="s">
        <v>148</v>
      </c>
      <c r="O35" t="s">
        <v>323</v>
      </c>
      <c r="P35">
        <v>60</v>
      </c>
      <c r="Q35">
        <v>1972</v>
      </c>
      <c r="R35">
        <v>1978</v>
      </c>
      <c r="S35">
        <v>52</v>
      </c>
      <c r="T35">
        <v>46</v>
      </c>
      <c r="U35">
        <v>1</v>
      </c>
      <c r="V35">
        <v>1327</v>
      </c>
      <c r="W35">
        <v>0</v>
      </c>
      <c r="X35">
        <v>0</v>
      </c>
      <c r="Y35">
        <v>912</v>
      </c>
      <c r="Z35">
        <v>0</v>
      </c>
      <c r="AA35">
        <v>912</v>
      </c>
      <c r="AB35">
        <v>2239</v>
      </c>
      <c r="AC35">
        <v>2500</v>
      </c>
      <c r="AD35">
        <v>0</v>
      </c>
      <c r="AF35" t="s">
        <v>383</v>
      </c>
      <c r="AG35" t="s">
        <v>148</v>
      </c>
      <c r="AH35" t="s">
        <v>65</v>
      </c>
      <c r="AI35">
        <v>1</v>
      </c>
      <c r="AJ35">
        <v>0</v>
      </c>
      <c r="AK35">
        <v>0</v>
      </c>
      <c r="AL35">
        <v>1</v>
      </c>
      <c r="AM35">
        <v>0</v>
      </c>
      <c r="AN35">
        <v>15</v>
      </c>
      <c r="AO35">
        <v>0</v>
      </c>
      <c r="AP35">
        <v>0</v>
      </c>
      <c r="AQ35">
        <v>0</v>
      </c>
      <c r="AR35">
        <v>0</v>
      </c>
      <c r="AS35">
        <v>843</v>
      </c>
      <c r="AT35">
        <v>68</v>
      </c>
      <c r="AU35">
        <v>100</v>
      </c>
      <c r="AV35">
        <v>100</v>
      </c>
      <c r="AW35">
        <v>317816</v>
      </c>
      <c r="AX35">
        <v>244718</v>
      </c>
      <c r="AY35">
        <v>41</v>
      </c>
      <c r="AZ35">
        <v>41</v>
      </c>
      <c r="BA35">
        <v>0</v>
      </c>
      <c r="BB35">
        <v>0</v>
      </c>
      <c r="BC35" s="3">
        <v>45251</v>
      </c>
      <c r="BD35" t="s">
        <v>443</v>
      </c>
      <c r="BE35">
        <v>325000</v>
      </c>
      <c r="BF35">
        <v>325000</v>
      </c>
      <c r="BG35" t="s">
        <v>294</v>
      </c>
      <c r="BH35">
        <v>30</v>
      </c>
      <c r="BI35" t="s">
        <v>65</v>
      </c>
      <c r="BJ35" t="s">
        <v>450</v>
      </c>
      <c r="BK35">
        <v>326100</v>
      </c>
      <c r="BL35">
        <v>26500</v>
      </c>
      <c r="BM35">
        <v>299600</v>
      </c>
      <c r="BN35">
        <v>0</v>
      </c>
      <c r="BO35">
        <v>1.0033846153846153</v>
      </c>
      <c r="BP35">
        <v>350308.23845552141</v>
      </c>
      <c r="BQ35">
        <v>353201.12451471825</v>
      </c>
      <c r="BR35" s="12">
        <f>(Sales[[#This Row],[DP1]]*Lookups!$B$59)+(Sales[[#This Row],[DP2]]*Lookups!$B$60)+(Sales[[#This Row],[DP3]]*Lookups!$B$61)</f>
        <v>-2892.8860593700001</v>
      </c>
      <c r="BS35" s="12">
        <f>Lookups!$B$56*0</f>
        <v>0</v>
      </c>
      <c r="BT35" s="12">
        <f>Lookups!$B$56*1</f>
        <v>89850.625589999996</v>
      </c>
      <c r="BU35" s="12">
        <f>Lookups!$B$57*Sales[[#This Row],[LnAcres]]</f>
        <v>-79950.969701614697</v>
      </c>
      <c r="BV35" s="12">
        <f>VLOOKUP(Sales[[#This Row],[Qlty]],Lookups!$A$62:$E$75,2,FALSE)</f>
        <v>44121.038090000002</v>
      </c>
      <c r="BW35" s="12">
        <f>VLOOKUP(Sales[[#This Row],[Cnd]],Lookups!$A$76:$E$84,2,FALSE)</f>
        <v>160472.20319</v>
      </c>
      <c r="BX35" s="12">
        <f>Sales[[#This Row],[EffAge]]*Lookups!$B$85</f>
        <v>-10260.097623</v>
      </c>
      <c r="BY35" s="12">
        <f>Sales[[#This Row],[MainFn]]*Lookups!$B$86</f>
        <v>65565.304926779005</v>
      </c>
      <c r="BZ35" s="12">
        <f>Sales[[#This Row],[UpprFn]]*Lookups!$B$87</f>
        <v>0</v>
      </c>
      <c r="CA35" s="12">
        <f>Sales[[#This Row],[AddFn]]*Lookups!$B$88</f>
        <v>0</v>
      </c>
      <c r="CB35" s="12">
        <f>Sales[[#This Row],[Bsmt]]*Lookups!$B$89</f>
        <v>26522.688465264</v>
      </c>
      <c r="CC35" s="12">
        <f>Sales[[#This Row],[Fixtures]]*Lookups!$B$90</f>
        <v>56880.331578000005</v>
      </c>
      <c r="CD35" s="12">
        <f>Sales[[#This Row],[WdDeck]]*Lookups!$B$91</f>
        <v>0</v>
      </c>
      <c r="CE35" s="12">
        <f>SUM(Sales[[#This Row],[Days Prior Total]:[Mdl WdDeck]])</f>
        <v>350308.23845605826</v>
      </c>
      <c r="CF35" s="12">
        <f>ROUND(Sales[[#This Row],[25Det]],-2)</f>
        <v>0</v>
      </c>
      <c r="CG35" s="12">
        <f>ROUND(SUM(Sales[[#This Row],[Mdl Qlty]:[Mdl WdDeck]])+Sales[[#This Row],[Mdl Res Intercept]]+Sales[[#This Row],[Days Prior Total]],-2)</f>
        <v>340400</v>
      </c>
      <c r="CH35" s="12">
        <f>ROUND(Sales[[#This Row],[Mdl Land Intercept]]+Sales[[#This Row],[Mdl LnAcres]],-2)</f>
        <v>9900</v>
      </c>
      <c r="CI35" s="12">
        <f>Sales[[#This Row],[Unadj Res Value]]+Sales[[#This Row],[Unadj Det Value]]+Sales[[#This Row],[Unadj Land Value]]</f>
        <v>350300</v>
      </c>
      <c r="CJ35" s="13">
        <f>Sales[[#This Row],[Unadj Total Value]]/Sales[[#This Row],[Price]]</f>
        <v>1.0778461538461539</v>
      </c>
      <c r="CK35" s="13">
        <f>(Sales[[#This Row],[Unadj Total Value]]-Sales[[#This Row],[24Final]])/Sales[[#This Row],[24Final]]</f>
        <v>7.4210364918736588E-2</v>
      </c>
      <c r="CL35">
        <f>VLOOKUP(Sales[[#This Row],[TNbhd]],Lookups!$Q$2:$T$4,4,FALSE)</f>
        <v>0.99970000000000003</v>
      </c>
      <c r="CM35">
        <f>VLOOKUP(Sales[[#This Row],[Qlty]],Lookups!$O$7:$R$21,4,FALSE)</f>
        <v>0.98050000000000004</v>
      </c>
      <c r="CN35">
        <f>VLOOKUP(Sales[[#This Row],[Cnd]],Lookups!$T$7:$W$16,4,FALSE)</f>
        <v>0.99729999999999996</v>
      </c>
      <c r="CO35">
        <f>VLOOKUP(Sales[[#This Row],[LivArea Range]],Lookups!$T$25:$W$37,4,FALSE)</f>
        <v>0.98919999999999997</v>
      </c>
      <c r="CP35">
        <f>VLOOKUP(Sales[[#This Row],[Decade]],Lookups!$O$25:$R$42,4,FALSE)</f>
        <v>0.98119999999999996</v>
      </c>
      <c r="CQ35">
        <f>Sales[[#This Row],[Nbhd Adj]]*0.95</f>
        <v>0.94971499999999998</v>
      </c>
      <c r="CR35">
        <f>Sales[[#This Row],[Nbhd Adj]]*Sales[[#This Row],[Quality Adj]]*Sales[[#This Row],[Condition Adj]]*Sales[[#This Row],[Living Area Adj]]*Sales[[#This Row],[Decade Adj]]*0.95</f>
        <v>0.90138092159884586</v>
      </c>
      <c r="CS35">
        <f>ROUND(SUM(Sales[[#This Row],[Mdl Qlty]:[Mdl WdDeck]])+Sales[[#This Row],[Mdl Res Intercept]]*Sales[[#This Row],[Res Adj ]],-2)</f>
        <v>343300</v>
      </c>
      <c r="CT35">
        <f>ROUND(Sales[[#This Row],[25Det]]*Sales[[#This Row],[Det/Nbhd Adj]],-2)</f>
        <v>0</v>
      </c>
      <c r="CU35">
        <f>Sales[[#This Row],[Adjusted Res]]+Sales[[#This Row],[Adj Det ]]</f>
        <v>343300</v>
      </c>
      <c r="CV35">
        <f>ROUND((Sales[[#This Row],[Mdl Land Intercept]]+Sales[[#This Row],[Mdl LnAcres]])*Sales[[#This Row],[Det/Nbhd Adj]],-2)</f>
        <v>9400</v>
      </c>
      <c r="CW35">
        <f>Sales[[#This Row],[Adjusted Impr Total]]+Sales[[#This Row],[Adjusted Land Total]]</f>
        <v>352700</v>
      </c>
      <c r="CX35" s="15">
        <f>IFERROR((Sales[[#This Row],[Adjusted Impr Total]]-Sales[[#This Row],[24Bldg]])/Sales[[#This Row],[24Bldg]],0)</f>
        <v>0.1458611481975968</v>
      </c>
      <c r="CY35" s="15">
        <f>(Sales[[#This Row],[Adjusted Land Total]]-Sales[[#This Row],[24Lnd]])/Sales[[#This Row],[24Lnd]]</f>
        <v>-0.6452830188679245</v>
      </c>
      <c r="CZ35" s="15">
        <f>(Sales[[#This Row],[Adjusted Total]]-Sales[[#This Row],[24Final]])/Sales[[#This Row],[24Final]]</f>
        <v>8.1570070530512115E-2</v>
      </c>
      <c r="DA35" s="15">
        <f>(Sales[[#This Row],[Adjusted Total]]+Sales[[#This Row],[Days Prior Total]])/Sales[[#This Row],[Price]]</f>
        <v>1.0763295813557845</v>
      </c>
    </row>
    <row r="36" spans="1:105" x14ac:dyDescent="0.3">
      <c r="A36">
        <v>2025</v>
      </c>
      <c r="B36">
        <v>18132322027</v>
      </c>
      <c r="C36">
        <v>-1.5606477482646683</v>
      </c>
      <c r="D36">
        <v>0.21</v>
      </c>
      <c r="E36">
        <v>9024</v>
      </c>
      <c r="F36">
        <v>6</v>
      </c>
      <c r="G36" t="s">
        <v>126</v>
      </c>
      <c r="H36">
        <v>3033</v>
      </c>
      <c r="I36" t="s">
        <v>349</v>
      </c>
      <c r="J36" t="s">
        <v>30</v>
      </c>
      <c r="K36">
        <v>11</v>
      </c>
      <c r="L36">
        <v>259</v>
      </c>
      <c r="M36" t="s">
        <v>241</v>
      </c>
      <c r="N36" t="s">
        <v>351</v>
      </c>
      <c r="O36" t="s">
        <v>323</v>
      </c>
      <c r="P36">
        <v>60</v>
      </c>
      <c r="Q36">
        <v>1971</v>
      </c>
      <c r="R36">
        <v>1978</v>
      </c>
      <c r="S36">
        <v>53</v>
      </c>
      <c r="T36">
        <v>46</v>
      </c>
      <c r="U36">
        <v>1</v>
      </c>
      <c r="V36">
        <v>1403</v>
      </c>
      <c r="W36">
        <v>0</v>
      </c>
      <c r="X36">
        <v>0</v>
      </c>
      <c r="Y36">
        <v>0</v>
      </c>
      <c r="Z36">
        <v>0</v>
      </c>
      <c r="AA36">
        <v>0</v>
      </c>
      <c r="AB36">
        <v>1403</v>
      </c>
      <c r="AC36">
        <v>1500</v>
      </c>
      <c r="AD36">
        <v>0</v>
      </c>
      <c r="AE36" t="s">
        <v>6</v>
      </c>
      <c r="AF36" t="s">
        <v>383</v>
      </c>
      <c r="AG36" t="s">
        <v>148</v>
      </c>
      <c r="AH36" t="s">
        <v>450</v>
      </c>
      <c r="AI36">
        <v>1</v>
      </c>
      <c r="AJ36">
        <v>0</v>
      </c>
      <c r="AK36">
        <v>0</v>
      </c>
      <c r="AL36">
        <v>0</v>
      </c>
      <c r="AM36">
        <v>1</v>
      </c>
      <c r="AN36">
        <v>7</v>
      </c>
      <c r="AO36">
        <v>0</v>
      </c>
      <c r="AP36">
        <v>0</v>
      </c>
      <c r="AQ36">
        <v>0</v>
      </c>
      <c r="AR36">
        <v>0</v>
      </c>
      <c r="AS36">
        <v>88</v>
      </c>
      <c r="AT36">
        <v>0</v>
      </c>
      <c r="AU36">
        <v>100</v>
      </c>
      <c r="AV36">
        <v>100</v>
      </c>
      <c r="AW36">
        <v>199116</v>
      </c>
      <c r="AX36">
        <v>153319</v>
      </c>
      <c r="AY36">
        <v>518</v>
      </c>
      <c r="AZ36">
        <v>365</v>
      </c>
      <c r="BA36">
        <v>153</v>
      </c>
      <c r="BB36">
        <v>0</v>
      </c>
      <c r="BC36" s="3">
        <v>44774</v>
      </c>
      <c r="BD36" t="s">
        <v>308</v>
      </c>
      <c r="BE36">
        <v>330000</v>
      </c>
      <c r="BF36">
        <v>330000</v>
      </c>
      <c r="BG36" t="s">
        <v>294</v>
      </c>
      <c r="BH36">
        <v>30</v>
      </c>
      <c r="BI36" t="s">
        <v>65</v>
      </c>
      <c r="BJ36" t="s">
        <v>450</v>
      </c>
      <c r="BK36">
        <v>292700</v>
      </c>
      <c r="BL36">
        <v>60100</v>
      </c>
      <c r="BM36">
        <v>232600</v>
      </c>
      <c r="BN36">
        <v>0</v>
      </c>
      <c r="BO36">
        <v>0.88696969696969696</v>
      </c>
      <c r="BP36">
        <v>284086.0575230784</v>
      </c>
      <c r="BQ36">
        <v>308082.87400679174</v>
      </c>
      <c r="BR36" s="12">
        <f>(Sales[[#This Row],[DP1]]*Lookups!$B$59)+(Sales[[#This Row],[DP2]]*Lookups!$B$60)+(Sales[[#This Row],[DP3]]*Lookups!$B$61)</f>
        <v>-23996.816485294003</v>
      </c>
      <c r="BS36" s="12">
        <f>Lookups!$B$56*0</f>
        <v>0</v>
      </c>
      <c r="BT36" s="12">
        <f>Lookups!$B$56*1</f>
        <v>89850.625589999996</v>
      </c>
      <c r="BU36" s="12">
        <f>Lookups!$B$57*Sales[[#This Row],[LnAcres]]</f>
        <v>-49401.70477837498</v>
      </c>
      <c r="BV36" s="12">
        <f>VLOOKUP(Sales[[#This Row],[Qlty]],Lookups!$A$62:$E$75,2,FALSE)</f>
        <v>21557.329055999999</v>
      </c>
      <c r="BW36" s="12">
        <f>VLOOKUP(Sales[[#This Row],[Cnd]],Lookups!$A$76:$E$84,2,FALSE)</f>
        <v>160472.20319</v>
      </c>
      <c r="BX36" s="12">
        <f>Sales[[#This Row],[EffAge]]*Lookups!$B$85</f>
        <v>-10260.097623</v>
      </c>
      <c r="BY36" s="12">
        <f>Sales[[#This Row],[MainFn]]*Lookups!$B$86</f>
        <v>69320.363837430996</v>
      </c>
      <c r="BZ36" s="12">
        <f>Sales[[#This Row],[UpprFn]]*Lookups!$B$87</f>
        <v>0</v>
      </c>
      <c r="CA36" s="12">
        <f>Sales[[#This Row],[AddFn]]*Lookups!$B$88</f>
        <v>0</v>
      </c>
      <c r="CB36" s="12">
        <f>Sales[[#This Row],[Bsmt]]*Lookups!$B$89</f>
        <v>0</v>
      </c>
      <c r="CC36" s="12">
        <f>Sales[[#This Row],[Fixtures]]*Lookups!$B$90</f>
        <v>26544.1547364</v>
      </c>
      <c r="CD36" s="12">
        <f>Sales[[#This Row],[WdDeck]]*Lookups!$B$91</f>
        <v>0</v>
      </c>
      <c r="CE36" s="12">
        <f>SUM(Sales[[#This Row],[Days Prior Total]:[Mdl WdDeck]])</f>
        <v>284086.05752316199</v>
      </c>
      <c r="CF36" s="12">
        <f>ROUND(Sales[[#This Row],[25Det]],-2)</f>
        <v>0</v>
      </c>
      <c r="CG36" s="12">
        <f>ROUND(SUM(Sales[[#This Row],[Mdl Qlty]:[Mdl WdDeck]])+Sales[[#This Row],[Mdl Res Intercept]]+Sales[[#This Row],[Days Prior Total]],-2)</f>
        <v>243600</v>
      </c>
      <c r="CH36" s="12">
        <f>ROUND(Sales[[#This Row],[Mdl Land Intercept]]+Sales[[#This Row],[Mdl LnAcres]],-2)</f>
        <v>40400</v>
      </c>
      <c r="CI36" s="12">
        <f>Sales[[#This Row],[Unadj Res Value]]+Sales[[#This Row],[Unadj Det Value]]+Sales[[#This Row],[Unadj Land Value]]</f>
        <v>284000</v>
      </c>
      <c r="CJ36" s="13">
        <f>Sales[[#This Row],[Unadj Total Value]]/Sales[[#This Row],[Price]]</f>
        <v>0.8606060606060606</v>
      </c>
      <c r="CK36" s="13">
        <f>(Sales[[#This Row],[Unadj Total Value]]-Sales[[#This Row],[24Final]])/Sales[[#This Row],[24Final]]</f>
        <v>-2.9723266142808336E-2</v>
      </c>
      <c r="CL36">
        <f>VLOOKUP(Sales[[#This Row],[TNbhd]],Lookups!$Q$2:$T$4,4,FALSE)</f>
        <v>0.99970000000000003</v>
      </c>
      <c r="CM36">
        <f>VLOOKUP(Sales[[#This Row],[Qlty]],Lookups!$O$7:$R$21,4,FALSE)</f>
        <v>1.0067999999999999</v>
      </c>
      <c r="CN36">
        <f>VLOOKUP(Sales[[#This Row],[Cnd]],Lookups!$T$7:$W$16,4,FALSE)</f>
        <v>0.99729999999999996</v>
      </c>
      <c r="CO36">
        <f>VLOOKUP(Sales[[#This Row],[LivArea Range]],Lookups!$T$25:$W$37,4,FALSE)</f>
        <v>1.0157</v>
      </c>
      <c r="CP36">
        <f>VLOOKUP(Sales[[#This Row],[Decade]],Lookups!$O$25:$R$42,4,FALSE)</f>
        <v>0.98119999999999996</v>
      </c>
      <c r="CQ36">
        <f>Sales[[#This Row],[Nbhd Adj]]*0.95</f>
        <v>0.94971499999999998</v>
      </c>
      <c r="CR36">
        <f>Sales[[#This Row],[Nbhd Adj]]*Sales[[#This Row],[Quality Adj]]*Sales[[#This Row],[Condition Adj]]*Sales[[#This Row],[Living Area Adj]]*Sales[[#This Row],[Decade Adj]]*0.95</f>
        <v>0.95035379937285946</v>
      </c>
      <c r="CS36">
        <f>ROUND(SUM(Sales[[#This Row],[Mdl Qlty]:[Mdl WdDeck]])+Sales[[#This Row],[Mdl Res Intercept]]*Sales[[#This Row],[Res Adj ]],-2)</f>
        <v>267600</v>
      </c>
      <c r="CT36">
        <f>ROUND(Sales[[#This Row],[25Det]]*Sales[[#This Row],[Det/Nbhd Adj]],-2)</f>
        <v>0</v>
      </c>
      <c r="CU36">
        <f>Sales[[#This Row],[Adjusted Res]]+Sales[[#This Row],[Adj Det ]]</f>
        <v>267600</v>
      </c>
      <c r="CV36">
        <f>ROUND((Sales[[#This Row],[Mdl Land Intercept]]+Sales[[#This Row],[Mdl LnAcres]])*Sales[[#This Row],[Det/Nbhd Adj]],-2)</f>
        <v>38400</v>
      </c>
      <c r="CW36">
        <f>Sales[[#This Row],[Adjusted Impr Total]]+Sales[[#This Row],[Adjusted Land Total]]</f>
        <v>306000</v>
      </c>
      <c r="CX36" s="15">
        <f>IFERROR((Sales[[#This Row],[Adjusted Impr Total]]-Sales[[#This Row],[24Bldg]])/Sales[[#This Row],[24Bldg]],0)</f>
        <v>0.15047291487532244</v>
      </c>
      <c r="CY36" s="15">
        <f>(Sales[[#This Row],[Adjusted Land Total]]-Sales[[#This Row],[24Lnd]])/Sales[[#This Row],[24Lnd]]</f>
        <v>-0.36106489184692181</v>
      </c>
      <c r="CZ36" s="15">
        <f>(Sales[[#This Row],[Adjusted Total]]-Sales[[#This Row],[24Final]])/Sales[[#This Row],[24Final]]</f>
        <v>4.5439016057396649E-2</v>
      </c>
      <c r="DA36" s="15">
        <f>(Sales[[#This Row],[Adjusted Total]]+Sales[[#This Row],[Days Prior Total]])/Sales[[#This Row],[Price]]</f>
        <v>0.85455510155971504</v>
      </c>
    </row>
    <row r="37" spans="1:105" x14ac:dyDescent="0.3">
      <c r="A37">
        <v>2025</v>
      </c>
      <c r="B37">
        <v>18132323529</v>
      </c>
      <c r="C37">
        <v>-2.2072749131897207</v>
      </c>
      <c r="D37">
        <v>0.11</v>
      </c>
      <c r="E37">
        <v>4657</v>
      </c>
      <c r="F37">
        <v>6</v>
      </c>
      <c r="G37" t="s">
        <v>126</v>
      </c>
      <c r="H37">
        <v>3033</v>
      </c>
      <c r="I37" t="s">
        <v>349</v>
      </c>
      <c r="J37" t="s">
        <v>30</v>
      </c>
      <c r="K37">
        <v>11</v>
      </c>
      <c r="L37">
        <v>259</v>
      </c>
      <c r="M37" t="s">
        <v>241</v>
      </c>
      <c r="N37" t="s">
        <v>351</v>
      </c>
      <c r="O37" t="s">
        <v>303</v>
      </c>
      <c r="P37">
        <v>60</v>
      </c>
      <c r="Q37">
        <v>1971</v>
      </c>
      <c r="R37">
        <v>1978</v>
      </c>
      <c r="S37">
        <v>53</v>
      </c>
      <c r="T37">
        <v>46</v>
      </c>
      <c r="U37">
        <v>1</v>
      </c>
      <c r="V37">
        <v>1334</v>
      </c>
      <c r="W37">
        <v>0</v>
      </c>
      <c r="X37">
        <v>0</v>
      </c>
      <c r="Y37">
        <v>0</v>
      </c>
      <c r="Z37">
        <v>0</v>
      </c>
      <c r="AA37">
        <v>0</v>
      </c>
      <c r="AB37">
        <v>1334</v>
      </c>
      <c r="AC37">
        <v>1500</v>
      </c>
      <c r="AD37">
        <v>0</v>
      </c>
      <c r="AF37" t="s">
        <v>208</v>
      </c>
      <c r="AG37" t="s">
        <v>382</v>
      </c>
      <c r="AI37">
        <v>0</v>
      </c>
      <c r="AJ37">
        <v>0</v>
      </c>
      <c r="AK37">
        <v>0</v>
      </c>
      <c r="AL37">
        <v>1</v>
      </c>
      <c r="AM37">
        <v>0</v>
      </c>
      <c r="AN37">
        <v>8</v>
      </c>
      <c r="AO37">
        <v>0</v>
      </c>
      <c r="AP37">
        <v>0</v>
      </c>
      <c r="AQ37">
        <v>0</v>
      </c>
      <c r="AR37">
        <v>0</v>
      </c>
      <c r="AS37">
        <v>294</v>
      </c>
      <c r="AT37">
        <v>0</v>
      </c>
      <c r="AU37">
        <v>100</v>
      </c>
      <c r="AV37">
        <v>100</v>
      </c>
      <c r="AW37">
        <v>196898</v>
      </c>
      <c r="AX37">
        <v>163425</v>
      </c>
      <c r="AY37">
        <v>930</v>
      </c>
      <c r="AZ37">
        <v>365</v>
      </c>
      <c r="BA37">
        <v>365</v>
      </c>
      <c r="BB37">
        <v>200</v>
      </c>
      <c r="BC37" s="3">
        <v>44362</v>
      </c>
      <c r="BD37" t="s">
        <v>75</v>
      </c>
      <c r="BE37">
        <v>310000</v>
      </c>
      <c r="BF37">
        <v>310000</v>
      </c>
      <c r="BG37" t="s">
        <v>294</v>
      </c>
      <c r="BH37">
        <v>30</v>
      </c>
      <c r="BI37" t="s">
        <v>65</v>
      </c>
      <c r="BJ37" t="s">
        <v>450</v>
      </c>
      <c r="BK37">
        <v>297100</v>
      </c>
      <c r="BL37">
        <v>37600</v>
      </c>
      <c r="BM37">
        <v>259500</v>
      </c>
      <c r="BN37">
        <v>0</v>
      </c>
      <c r="BO37">
        <v>0.95838709677419354</v>
      </c>
      <c r="BP37">
        <v>276970.38081097457</v>
      </c>
      <c r="BQ37">
        <v>325277.10747937777</v>
      </c>
      <c r="BR37" s="12">
        <f>(Sales[[#This Row],[DP1]]*Lookups!$B$59)+(Sales[[#This Row],[DP2]]*Lookups!$B$60)+(Sales[[#This Row],[DP3]]*Lookups!$B$61)</f>
        <v>-48306.726675070007</v>
      </c>
      <c r="BS37" s="12">
        <f>Lookups!$B$56*0</f>
        <v>0</v>
      </c>
      <c r="BT37" s="12">
        <f>Lookups!$B$56*1</f>
        <v>89850.625589999996</v>
      </c>
      <c r="BU37" s="12">
        <f>Lookups!$B$57*Sales[[#This Row],[LnAcres]]</f>
        <v>-69870.439211769743</v>
      </c>
      <c r="BV37" s="12">
        <f>VLOOKUP(Sales[[#This Row],[Qlty]],Lookups!$A$62:$E$75,2,FALSE)</f>
        <v>21557.329055999999</v>
      </c>
      <c r="BW37" s="12">
        <f>VLOOKUP(Sales[[#This Row],[Cnd]],Lookups!$A$76:$E$84,2,FALSE)</f>
        <v>197752.34721000001</v>
      </c>
      <c r="BX37" s="12">
        <f>Sales[[#This Row],[EffAge]]*Lookups!$B$85</f>
        <v>-10260.097623</v>
      </c>
      <c r="BY37" s="12">
        <f>Sales[[#This Row],[MainFn]]*Lookups!$B$86</f>
        <v>65911.165615917998</v>
      </c>
      <c r="BZ37" s="12">
        <f>Sales[[#This Row],[UpprFn]]*Lookups!$B$87</f>
        <v>0</v>
      </c>
      <c r="CA37" s="12">
        <f>Sales[[#This Row],[AddFn]]*Lookups!$B$88</f>
        <v>0</v>
      </c>
      <c r="CB37" s="12">
        <f>Sales[[#This Row],[Bsmt]]*Lookups!$B$89</f>
        <v>0</v>
      </c>
      <c r="CC37" s="12">
        <f>Sales[[#This Row],[Fixtures]]*Lookups!$B$90</f>
        <v>30336.176841600001</v>
      </c>
      <c r="CD37" s="12">
        <f>Sales[[#This Row],[WdDeck]]*Lookups!$B$91</f>
        <v>0</v>
      </c>
      <c r="CE37" s="12">
        <f>SUM(Sales[[#This Row],[Days Prior Total]:[Mdl WdDeck]])</f>
        <v>276970.38080367824</v>
      </c>
      <c r="CF37" s="12">
        <f>ROUND(Sales[[#This Row],[25Det]],-2)</f>
        <v>0</v>
      </c>
      <c r="CG37" s="12">
        <f>ROUND(SUM(Sales[[#This Row],[Mdl Qlty]:[Mdl WdDeck]])+Sales[[#This Row],[Mdl Res Intercept]]+Sales[[#This Row],[Days Prior Total]],-2)</f>
        <v>257000</v>
      </c>
      <c r="CH37" s="12">
        <f>ROUND(Sales[[#This Row],[Mdl Land Intercept]]+Sales[[#This Row],[Mdl LnAcres]],-2)</f>
        <v>20000</v>
      </c>
      <c r="CI37" s="12">
        <f>Sales[[#This Row],[Unadj Res Value]]+Sales[[#This Row],[Unadj Det Value]]+Sales[[#This Row],[Unadj Land Value]]</f>
        <v>277000</v>
      </c>
      <c r="CJ37" s="13">
        <f>Sales[[#This Row],[Unadj Total Value]]/Sales[[#This Row],[Price]]</f>
        <v>0.8935483870967742</v>
      </c>
      <c r="CK37" s="13">
        <f>(Sales[[#This Row],[Unadj Total Value]]-Sales[[#This Row],[24Final]])/Sales[[#This Row],[24Final]]</f>
        <v>-6.7653988556041739E-2</v>
      </c>
      <c r="CL37">
        <f>VLOOKUP(Sales[[#This Row],[TNbhd]],Lookups!$Q$2:$T$4,4,FALSE)</f>
        <v>0.99970000000000003</v>
      </c>
      <c r="CM37">
        <f>VLOOKUP(Sales[[#This Row],[Qlty]],Lookups!$O$7:$R$21,4,FALSE)</f>
        <v>1.0067999999999999</v>
      </c>
      <c r="CN37">
        <f>VLOOKUP(Sales[[#This Row],[Cnd]],Lookups!$T$7:$W$16,4,FALSE)</f>
        <v>0.99650000000000005</v>
      </c>
      <c r="CO37">
        <f>VLOOKUP(Sales[[#This Row],[LivArea Range]],Lookups!$T$25:$W$37,4,FALSE)</f>
        <v>1.0157</v>
      </c>
      <c r="CP37">
        <f>VLOOKUP(Sales[[#This Row],[Decade]],Lookups!$O$25:$R$42,4,FALSE)</f>
        <v>0.98119999999999996</v>
      </c>
      <c r="CQ37">
        <f>Sales[[#This Row],[Nbhd Adj]]*0.95</f>
        <v>0.94971499999999998</v>
      </c>
      <c r="CR37">
        <f>Sales[[#This Row],[Nbhd Adj]]*Sales[[#This Row],[Quality Adj]]*Sales[[#This Row],[Condition Adj]]*Sales[[#This Row],[Living Area Adj]]*Sales[[#This Row],[Decade Adj]]*0.95</f>
        <v>0.9495914580116861</v>
      </c>
      <c r="CS37">
        <f>ROUND(SUM(Sales[[#This Row],[Mdl Qlty]:[Mdl WdDeck]])+Sales[[#This Row],[Mdl Res Intercept]]*Sales[[#This Row],[Res Adj ]],-2)</f>
        <v>305300</v>
      </c>
      <c r="CT37">
        <f>ROUND(Sales[[#This Row],[25Det]]*Sales[[#This Row],[Det/Nbhd Adj]],-2)</f>
        <v>0</v>
      </c>
      <c r="CU37">
        <f>Sales[[#This Row],[Adjusted Res]]+Sales[[#This Row],[Adj Det ]]</f>
        <v>305300</v>
      </c>
      <c r="CV37">
        <f>ROUND((Sales[[#This Row],[Mdl Land Intercept]]+Sales[[#This Row],[Mdl LnAcres]])*Sales[[#This Row],[Det/Nbhd Adj]],-2)</f>
        <v>19000</v>
      </c>
      <c r="CW37">
        <f>Sales[[#This Row],[Adjusted Impr Total]]+Sales[[#This Row],[Adjusted Land Total]]</f>
        <v>324300</v>
      </c>
      <c r="CX37" s="15">
        <f>IFERROR((Sales[[#This Row],[Adjusted Impr Total]]-Sales[[#This Row],[24Bldg]])/Sales[[#This Row],[24Bldg]],0)</f>
        <v>0.1764932562620424</v>
      </c>
      <c r="CY37" s="15">
        <f>(Sales[[#This Row],[Adjusted Land Total]]-Sales[[#This Row],[24Lnd]])/Sales[[#This Row],[24Lnd]]</f>
        <v>-0.49468085106382981</v>
      </c>
      <c r="CZ37" s="15">
        <f>(Sales[[#This Row],[Adjusted Total]]-Sales[[#This Row],[24Final]])/Sales[[#This Row],[24Final]]</f>
        <v>9.1551666105688323E-2</v>
      </c>
      <c r="DA37" s="15">
        <f>(Sales[[#This Row],[Adjusted Total]]+Sales[[#This Row],[Days Prior Total]])/Sales[[#This Row],[Price]]</f>
        <v>0.89030088169332255</v>
      </c>
    </row>
    <row r="38" spans="1:105" x14ac:dyDescent="0.3">
      <c r="A38">
        <v>2025</v>
      </c>
      <c r="B38">
        <v>18132322026</v>
      </c>
      <c r="C38">
        <v>-1.5606477482646683</v>
      </c>
      <c r="D38">
        <v>0.21</v>
      </c>
      <c r="E38">
        <v>0</v>
      </c>
      <c r="F38">
        <v>6</v>
      </c>
      <c r="G38" t="s">
        <v>126</v>
      </c>
      <c r="H38">
        <v>3033</v>
      </c>
      <c r="I38" t="s">
        <v>349</v>
      </c>
      <c r="J38" t="s">
        <v>30</v>
      </c>
      <c r="K38">
        <v>11</v>
      </c>
      <c r="L38">
        <v>259</v>
      </c>
      <c r="M38" t="s">
        <v>241</v>
      </c>
      <c r="N38" t="s">
        <v>351</v>
      </c>
      <c r="O38" t="s">
        <v>323</v>
      </c>
      <c r="P38">
        <v>60</v>
      </c>
      <c r="Q38">
        <v>1971</v>
      </c>
      <c r="R38">
        <v>1978</v>
      </c>
      <c r="S38">
        <v>53</v>
      </c>
      <c r="T38">
        <v>46</v>
      </c>
      <c r="U38">
        <v>1</v>
      </c>
      <c r="V38">
        <v>1032</v>
      </c>
      <c r="W38">
        <v>0</v>
      </c>
      <c r="X38">
        <v>0</v>
      </c>
      <c r="Y38">
        <v>0</v>
      </c>
      <c r="Z38">
        <v>0</v>
      </c>
      <c r="AA38">
        <v>0</v>
      </c>
      <c r="AB38">
        <v>1032</v>
      </c>
      <c r="AC38">
        <v>1500</v>
      </c>
      <c r="AD38">
        <v>1</v>
      </c>
      <c r="AF38" t="s">
        <v>383</v>
      </c>
      <c r="AG38" t="s">
        <v>148</v>
      </c>
      <c r="AI38">
        <v>0</v>
      </c>
      <c r="AJ38">
        <v>1</v>
      </c>
      <c r="AK38">
        <v>0</v>
      </c>
      <c r="AL38">
        <v>0</v>
      </c>
      <c r="AM38">
        <v>0</v>
      </c>
      <c r="AN38">
        <v>6</v>
      </c>
      <c r="AO38">
        <v>312</v>
      </c>
      <c r="AP38">
        <v>0</v>
      </c>
      <c r="AQ38">
        <v>0</v>
      </c>
      <c r="AR38">
        <v>0</v>
      </c>
      <c r="AS38">
        <v>128</v>
      </c>
      <c r="AT38">
        <v>0</v>
      </c>
      <c r="AU38">
        <v>100</v>
      </c>
      <c r="AV38">
        <v>100</v>
      </c>
      <c r="AW38">
        <v>175376</v>
      </c>
      <c r="AX38">
        <v>135040</v>
      </c>
      <c r="AY38">
        <v>896</v>
      </c>
      <c r="AZ38">
        <v>365</v>
      </c>
      <c r="BA38">
        <v>365</v>
      </c>
      <c r="BB38">
        <v>166</v>
      </c>
      <c r="BC38" s="3">
        <v>44396</v>
      </c>
      <c r="BD38" t="s">
        <v>273</v>
      </c>
      <c r="BE38">
        <v>260000</v>
      </c>
      <c r="BF38">
        <v>260000</v>
      </c>
      <c r="BG38" t="s">
        <v>294</v>
      </c>
      <c r="BH38">
        <v>30</v>
      </c>
      <c r="BI38" t="s">
        <v>65</v>
      </c>
      <c r="BJ38" t="s">
        <v>450</v>
      </c>
      <c r="BK38">
        <v>269800</v>
      </c>
      <c r="BL38">
        <v>60100</v>
      </c>
      <c r="BM38">
        <v>209700</v>
      </c>
      <c r="BN38">
        <v>0</v>
      </c>
      <c r="BO38">
        <v>1.0376923076923077</v>
      </c>
      <c r="BP38">
        <v>242200.04694660864</v>
      </c>
      <c r="BQ38">
        <v>285960.23537726724</v>
      </c>
      <c r="BR38" s="12">
        <f>(Sales[[#This Row],[DP1]]*Lookups!$B$59)+(Sales[[#This Row],[DP2]]*Lookups!$B$60)+(Sales[[#This Row],[DP3]]*Lookups!$B$61)</f>
        <v>-43760.188436470002</v>
      </c>
      <c r="BS38" s="12">
        <f>Lookups!$B$56*0</f>
        <v>0</v>
      </c>
      <c r="BT38" s="12">
        <f>Lookups!$B$56*1</f>
        <v>89850.625589999996</v>
      </c>
      <c r="BU38" s="12">
        <f>Lookups!$B$57*Sales[[#This Row],[LnAcres]]</f>
        <v>-49401.70477837498</v>
      </c>
      <c r="BV38" s="12">
        <f>VLOOKUP(Sales[[#This Row],[Qlty]],Lookups!$A$62:$E$75,2,FALSE)</f>
        <v>21557.329055999999</v>
      </c>
      <c r="BW38" s="12">
        <f>VLOOKUP(Sales[[#This Row],[Cnd]],Lookups!$A$76:$E$84,2,FALSE)</f>
        <v>160472.20319</v>
      </c>
      <c r="BX38" s="12">
        <f>Sales[[#This Row],[EffAge]]*Lookups!$B$85</f>
        <v>-10260.097623</v>
      </c>
      <c r="BY38" s="12">
        <f>Sales[[#This Row],[MainFn]]*Lookups!$B$86</f>
        <v>50989.747313063999</v>
      </c>
      <c r="BZ38" s="12">
        <f>Sales[[#This Row],[UpprFn]]*Lookups!$B$87</f>
        <v>0</v>
      </c>
      <c r="CA38" s="12">
        <f>Sales[[#This Row],[AddFn]]*Lookups!$B$88</f>
        <v>0</v>
      </c>
      <c r="CB38" s="12">
        <f>Sales[[#This Row],[Bsmt]]*Lookups!$B$89</f>
        <v>0</v>
      </c>
      <c r="CC38" s="12">
        <f>Sales[[#This Row],[Fixtures]]*Lookups!$B$90</f>
        <v>22752.132631200002</v>
      </c>
      <c r="CD38" s="12">
        <f>Sales[[#This Row],[WdDeck]]*Lookups!$B$91</f>
        <v>0</v>
      </c>
      <c r="CE38" s="12">
        <f>SUM(Sales[[#This Row],[Days Prior Total]:[Mdl WdDeck]])</f>
        <v>242200.04694241902</v>
      </c>
      <c r="CF38" s="12">
        <f>ROUND(Sales[[#This Row],[25Det]],-2)</f>
        <v>0</v>
      </c>
      <c r="CG38" s="12">
        <f>ROUND(SUM(Sales[[#This Row],[Mdl Qlty]:[Mdl WdDeck]])+Sales[[#This Row],[Mdl Res Intercept]]+Sales[[#This Row],[Days Prior Total]],-2)</f>
        <v>201800</v>
      </c>
      <c r="CH38" s="12">
        <f>ROUND(Sales[[#This Row],[Mdl Land Intercept]]+Sales[[#This Row],[Mdl LnAcres]],-2)</f>
        <v>40400</v>
      </c>
      <c r="CI38" s="12">
        <f>Sales[[#This Row],[Unadj Res Value]]+Sales[[#This Row],[Unadj Det Value]]+Sales[[#This Row],[Unadj Land Value]]</f>
        <v>242200</v>
      </c>
      <c r="CJ38" s="13">
        <f>Sales[[#This Row],[Unadj Total Value]]/Sales[[#This Row],[Price]]</f>
        <v>0.93153846153846154</v>
      </c>
      <c r="CK38" s="13">
        <f>(Sales[[#This Row],[Unadj Total Value]]-Sales[[#This Row],[24Final]])/Sales[[#This Row],[24Final]]</f>
        <v>-0.10229799851742032</v>
      </c>
      <c r="CL38">
        <f>VLOOKUP(Sales[[#This Row],[TNbhd]],Lookups!$Q$2:$T$4,4,FALSE)</f>
        <v>0.99970000000000003</v>
      </c>
      <c r="CM38">
        <f>VLOOKUP(Sales[[#This Row],[Qlty]],Lookups!$O$7:$R$21,4,FALSE)</f>
        <v>1.0067999999999999</v>
      </c>
      <c r="CN38">
        <f>VLOOKUP(Sales[[#This Row],[Cnd]],Lookups!$T$7:$W$16,4,FALSE)</f>
        <v>0.99729999999999996</v>
      </c>
      <c r="CO38">
        <f>VLOOKUP(Sales[[#This Row],[LivArea Range]],Lookups!$T$25:$W$37,4,FALSE)</f>
        <v>1.0157</v>
      </c>
      <c r="CP38">
        <f>VLOOKUP(Sales[[#This Row],[Decade]],Lookups!$O$25:$R$42,4,FALSE)</f>
        <v>0.98119999999999996</v>
      </c>
      <c r="CQ38">
        <f>Sales[[#This Row],[Nbhd Adj]]*0.95</f>
        <v>0.94971499999999998</v>
      </c>
      <c r="CR38">
        <f>Sales[[#This Row],[Nbhd Adj]]*Sales[[#This Row],[Quality Adj]]*Sales[[#This Row],[Condition Adj]]*Sales[[#This Row],[Living Area Adj]]*Sales[[#This Row],[Decade Adj]]*0.95</f>
        <v>0.95035379937285946</v>
      </c>
      <c r="CS38">
        <f>ROUND(SUM(Sales[[#This Row],[Mdl Qlty]:[Mdl WdDeck]])+Sales[[#This Row],[Mdl Res Intercept]]*Sales[[#This Row],[Res Adj ]],-2)</f>
        <v>245500</v>
      </c>
      <c r="CT38">
        <f>ROUND(Sales[[#This Row],[25Det]]*Sales[[#This Row],[Det/Nbhd Adj]],-2)</f>
        <v>0</v>
      </c>
      <c r="CU38">
        <f>Sales[[#This Row],[Adjusted Res]]+Sales[[#This Row],[Adj Det ]]</f>
        <v>245500</v>
      </c>
      <c r="CV38">
        <f>ROUND((Sales[[#This Row],[Mdl Land Intercept]]+Sales[[#This Row],[Mdl LnAcres]])*Sales[[#This Row],[Det/Nbhd Adj]],-2)</f>
        <v>38400</v>
      </c>
      <c r="CW38">
        <f>Sales[[#This Row],[Adjusted Impr Total]]+Sales[[#This Row],[Adjusted Land Total]]</f>
        <v>283900</v>
      </c>
      <c r="CX38" s="15">
        <f>IFERROR((Sales[[#This Row],[Adjusted Impr Total]]-Sales[[#This Row],[24Bldg]])/Sales[[#This Row],[24Bldg]],0)</f>
        <v>0.17072007629947544</v>
      </c>
      <c r="CY38" s="15">
        <f>(Sales[[#This Row],[Adjusted Land Total]]-Sales[[#This Row],[24Lnd]])/Sales[[#This Row],[24Lnd]]</f>
        <v>-0.36106489184692181</v>
      </c>
      <c r="CZ38" s="15">
        <f>(Sales[[#This Row],[Adjusted Total]]-Sales[[#This Row],[24Final]])/Sales[[#This Row],[24Final]]</f>
        <v>5.2260934025203855E-2</v>
      </c>
      <c r="DA38" s="15">
        <f>(Sales[[#This Row],[Adjusted Total]]+Sales[[#This Row],[Days Prior Total]])/Sales[[#This Row],[Price]]</f>
        <v>0.92361465985973079</v>
      </c>
    </row>
    <row r="39" spans="1:105" x14ac:dyDescent="0.3">
      <c r="A39">
        <v>2025</v>
      </c>
      <c r="B39">
        <v>18132212423</v>
      </c>
      <c r="C39">
        <v>-1.1086626245216111</v>
      </c>
      <c r="D39">
        <v>0.33</v>
      </c>
      <c r="E39">
        <v>14470</v>
      </c>
      <c r="F39">
        <v>6</v>
      </c>
      <c r="G39" t="s">
        <v>126</v>
      </c>
      <c r="H39">
        <v>3032</v>
      </c>
      <c r="I39" t="s">
        <v>349</v>
      </c>
      <c r="J39" t="s">
        <v>30</v>
      </c>
      <c r="K39">
        <v>11</v>
      </c>
      <c r="L39">
        <v>259</v>
      </c>
      <c r="M39" t="s">
        <v>241</v>
      </c>
      <c r="N39" t="s">
        <v>148</v>
      </c>
      <c r="O39" t="s">
        <v>303</v>
      </c>
      <c r="P39">
        <v>60</v>
      </c>
      <c r="Q39">
        <v>1968</v>
      </c>
      <c r="R39">
        <v>1987</v>
      </c>
      <c r="S39">
        <v>56</v>
      </c>
      <c r="T39">
        <v>37</v>
      </c>
      <c r="U39">
        <v>1</v>
      </c>
      <c r="V39">
        <v>1575</v>
      </c>
      <c r="W39">
        <v>0</v>
      </c>
      <c r="X39">
        <v>0</v>
      </c>
      <c r="Y39">
        <v>1575</v>
      </c>
      <c r="Z39">
        <v>0</v>
      </c>
      <c r="AA39">
        <v>1575</v>
      </c>
      <c r="AB39">
        <v>3150</v>
      </c>
      <c r="AC39">
        <v>3500</v>
      </c>
      <c r="AD39">
        <v>0</v>
      </c>
      <c r="AE39" t="s">
        <v>174</v>
      </c>
      <c r="AF39" t="s">
        <v>383</v>
      </c>
      <c r="AG39" t="s">
        <v>148</v>
      </c>
      <c r="AH39" t="s">
        <v>450</v>
      </c>
      <c r="AI39">
        <v>0</v>
      </c>
      <c r="AJ39">
        <v>1</v>
      </c>
      <c r="AK39">
        <v>0</v>
      </c>
      <c r="AL39">
        <v>1</v>
      </c>
      <c r="AM39">
        <v>0</v>
      </c>
      <c r="AN39">
        <v>14</v>
      </c>
      <c r="AO39">
        <v>0</v>
      </c>
      <c r="AP39">
        <v>0</v>
      </c>
      <c r="AQ39">
        <v>0</v>
      </c>
      <c r="AR39">
        <v>294</v>
      </c>
      <c r="AS39">
        <v>288</v>
      </c>
      <c r="AT39">
        <v>72</v>
      </c>
      <c r="AU39">
        <v>100</v>
      </c>
      <c r="AV39">
        <v>100</v>
      </c>
      <c r="AW39">
        <v>484564</v>
      </c>
      <c r="AX39">
        <v>426416</v>
      </c>
      <c r="AY39">
        <v>668</v>
      </c>
      <c r="AZ39">
        <v>365</v>
      </c>
      <c r="BA39">
        <v>303</v>
      </c>
      <c r="BB39">
        <v>0</v>
      </c>
      <c r="BC39" s="3">
        <v>44624</v>
      </c>
      <c r="BD39" t="s">
        <v>88</v>
      </c>
      <c r="BE39">
        <v>535000</v>
      </c>
      <c r="BF39">
        <v>511647</v>
      </c>
      <c r="BG39" t="s">
        <v>294</v>
      </c>
      <c r="BH39">
        <v>30</v>
      </c>
      <c r="BI39" t="s">
        <v>65</v>
      </c>
      <c r="BJ39" t="s">
        <v>450</v>
      </c>
      <c r="BK39">
        <v>478300</v>
      </c>
      <c r="BL39">
        <v>75900</v>
      </c>
      <c r="BM39">
        <v>402400</v>
      </c>
      <c r="BN39">
        <v>23353</v>
      </c>
      <c r="BO39">
        <v>0.894018691588785</v>
      </c>
      <c r="BP39">
        <v>452602.52460551751</v>
      </c>
      <c r="BQ39">
        <v>474876.8653413924</v>
      </c>
      <c r="BR39" s="12">
        <f>(Sales[[#This Row],[DP1]]*Lookups!$B$59)+(Sales[[#This Row],[DP2]]*Lookups!$B$60)+(Sales[[#This Row],[DP3]]*Lookups!$B$61)</f>
        <v>-22274.340737494</v>
      </c>
      <c r="BS39" s="12">
        <f>Lookups!$B$56*0</f>
        <v>0</v>
      </c>
      <c r="BT39" s="12">
        <f>Lookups!$B$56*1</f>
        <v>89850.625589999996</v>
      </c>
      <c r="BU39" s="12">
        <f>Lookups!$B$57*Sales[[#This Row],[LnAcres]]</f>
        <v>-35094.289365640165</v>
      </c>
      <c r="BV39" s="12">
        <f>VLOOKUP(Sales[[#This Row],[Qlty]],Lookups!$A$62:$E$75,2,FALSE)</f>
        <v>44121.038090000002</v>
      </c>
      <c r="BW39" s="12">
        <f>VLOOKUP(Sales[[#This Row],[Cnd]],Lookups!$A$76:$E$84,2,FALSE)</f>
        <v>197752.34721000001</v>
      </c>
      <c r="BX39" s="12">
        <f>Sales[[#This Row],[EffAge]]*Lookups!$B$85</f>
        <v>-8252.6872185000011</v>
      </c>
      <c r="BY39" s="12">
        <f>Sales[[#This Row],[MainFn]]*Lookups!$B$86</f>
        <v>77818.655056275005</v>
      </c>
      <c r="BZ39" s="12">
        <f>Sales[[#This Row],[UpprFn]]*Lookups!$B$87</f>
        <v>0</v>
      </c>
      <c r="CA39" s="12">
        <f>Sales[[#This Row],[AddFn]]*Lookups!$B$88</f>
        <v>0</v>
      </c>
      <c r="CB39" s="12">
        <f>Sales[[#This Row],[Bsmt]]*Lookups!$B$89</f>
        <v>45803.985014024998</v>
      </c>
      <c r="CC39" s="12">
        <f>Sales[[#This Row],[Fixtures]]*Lookups!$B$90</f>
        <v>53088.3094728</v>
      </c>
      <c r="CD39" s="12">
        <f>Sales[[#This Row],[WdDeck]]*Lookups!$B$91</f>
        <v>9788.8814911440004</v>
      </c>
      <c r="CE39" s="12">
        <f>SUM(Sales[[#This Row],[Days Prior Total]:[Mdl WdDeck]])</f>
        <v>452602.52460260986</v>
      </c>
      <c r="CF39" s="12">
        <f>ROUND(Sales[[#This Row],[25Det]],-2)</f>
        <v>23400</v>
      </c>
      <c r="CG39" s="12">
        <f>ROUND(SUM(Sales[[#This Row],[Mdl Qlty]:[Mdl WdDeck]])+Sales[[#This Row],[Mdl Res Intercept]]+Sales[[#This Row],[Days Prior Total]],-2)</f>
        <v>397800</v>
      </c>
      <c r="CH39" s="12">
        <f>ROUND(Sales[[#This Row],[Mdl Land Intercept]]+Sales[[#This Row],[Mdl LnAcres]],-2)</f>
        <v>54800</v>
      </c>
      <c r="CI39" s="12">
        <f>Sales[[#This Row],[Unadj Res Value]]+Sales[[#This Row],[Unadj Det Value]]+Sales[[#This Row],[Unadj Land Value]]</f>
        <v>476000</v>
      </c>
      <c r="CJ39" s="13">
        <f>Sales[[#This Row],[Unadj Total Value]]/Sales[[#This Row],[Price]]</f>
        <v>0.88971962616822431</v>
      </c>
      <c r="CK39" s="13">
        <f>(Sales[[#This Row],[Unadj Total Value]]-Sales[[#This Row],[24Final]])/Sales[[#This Row],[24Final]]</f>
        <v>-4.8086974702069834E-3</v>
      </c>
      <c r="CL39">
        <f>VLOOKUP(Sales[[#This Row],[TNbhd]],Lookups!$Q$2:$T$4,4,FALSE)</f>
        <v>0.99970000000000003</v>
      </c>
      <c r="CM39">
        <f>VLOOKUP(Sales[[#This Row],[Qlty]],Lookups!$O$7:$R$21,4,FALSE)</f>
        <v>0.98050000000000004</v>
      </c>
      <c r="CN39">
        <f>VLOOKUP(Sales[[#This Row],[Cnd]],Lookups!$T$7:$W$16,4,FALSE)</f>
        <v>0.99650000000000005</v>
      </c>
      <c r="CO39">
        <f>VLOOKUP(Sales[[#This Row],[LivArea Range]],Lookups!$T$25:$W$37,4,FALSE)</f>
        <v>1.0126999999999999</v>
      </c>
      <c r="CP39">
        <f>VLOOKUP(Sales[[#This Row],[Decade]],Lookups!$O$25:$R$42,4,FALSE)</f>
        <v>0.98119999999999996</v>
      </c>
      <c r="CQ39">
        <f>Sales[[#This Row],[Nbhd Adj]]*0.95</f>
        <v>0.94971499999999998</v>
      </c>
      <c r="CR39">
        <f>Sales[[#This Row],[Nbhd Adj]]*Sales[[#This Row],[Quality Adj]]*Sales[[#This Row],[Condition Adj]]*Sales[[#This Row],[Living Area Adj]]*Sales[[#This Row],[Decade Adj]]*0.95</f>
        <v>0.92205440708472342</v>
      </c>
      <c r="CS39">
        <f>ROUND(SUM(Sales[[#This Row],[Mdl Qlty]:[Mdl WdDeck]])+Sales[[#This Row],[Mdl Res Intercept]]*Sales[[#This Row],[Res Adj ]],-2)</f>
        <v>420100</v>
      </c>
      <c r="CT39">
        <f>ROUND(Sales[[#This Row],[25Det]]*Sales[[#This Row],[Det/Nbhd Adj]],-2)</f>
        <v>22200</v>
      </c>
      <c r="CU39">
        <f>Sales[[#This Row],[Adjusted Res]]+Sales[[#This Row],[Adj Det ]]</f>
        <v>442300</v>
      </c>
      <c r="CV39">
        <f>ROUND((Sales[[#This Row],[Mdl Land Intercept]]+Sales[[#This Row],[Mdl LnAcres]])*Sales[[#This Row],[Det/Nbhd Adj]],-2)</f>
        <v>52000</v>
      </c>
      <c r="CW39">
        <f>Sales[[#This Row],[Adjusted Impr Total]]+Sales[[#This Row],[Adjusted Land Total]]</f>
        <v>494300</v>
      </c>
      <c r="CX39" s="15">
        <f>IFERROR((Sales[[#This Row],[Adjusted Impr Total]]-Sales[[#This Row],[24Bldg]])/Sales[[#This Row],[24Bldg]],0)</f>
        <v>9.9155069582504973E-2</v>
      </c>
      <c r="CY39" s="15">
        <f>(Sales[[#This Row],[Adjusted Land Total]]-Sales[[#This Row],[24Lnd]])/Sales[[#This Row],[24Lnd]]</f>
        <v>-0.31488801054018445</v>
      </c>
      <c r="CZ39" s="15">
        <f>(Sales[[#This Row],[Adjusted Total]]-Sales[[#This Row],[24Final]])/Sales[[#This Row],[24Final]]</f>
        <v>3.3451808488396406E-2</v>
      </c>
      <c r="DA39" s="15">
        <f>(Sales[[#This Row],[Adjusted Total]]+Sales[[#This Row],[Days Prior Total]])/Sales[[#This Row],[Price]]</f>
        <v>0.88229095189253459</v>
      </c>
    </row>
    <row r="40" spans="1:105" x14ac:dyDescent="0.3">
      <c r="A40">
        <v>2025</v>
      </c>
      <c r="B40">
        <v>18132212419</v>
      </c>
      <c r="C40">
        <v>-1.4271163556401458</v>
      </c>
      <c r="D40">
        <v>0.24</v>
      </c>
      <c r="E40">
        <v>10450</v>
      </c>
      <c r="F40">
        <v>6</v>
      </c>
      <c r="G40" t="s">
        <v>126</v>
      </c>
      <c r="H40">
        <v>3032</v>
      </c>
      <c r="I40" t="s">
        <v>349</v>
      </c>
      <c r="J40" t="s">
        <v>30</v>
      </c>
      <c r="K40">
        <v>11</v>
      </c>
      <c r="L40">
        <v>259</v>
      </c>
      <c r="M40" t="s">
        <v>350</v>
      </c>
      <c r="N40" t="s">
        <v>95</v>
      </c>
      <c r="O40" t="s">
        <v>303</v>
      </c>
      <c r="P40">
        <v>60</v>
      </c>
      <c r="Q40">
        <v>1968</v>
      </c>
      <c r="R40">
        <v>1977</v>
      </c>
      <c r="S40">
        <v>56</v>
      </c>
      <c r="T40">
        <v>47</v>
      </c>
      <c r="U40">
        <v>1</v>
      </c>
      <c r="V40">
        <v>1706</v>
      </c>
      <c r="W40">
        <v>0</v>
      </c>
      <c r="X40">
        <v>0</v>
      </c>
      <c r="Y40">
        <v>864</v>
      </c>
      <c r="Z40">
        <v>0</v>
      </c>
      <c r="AA40">
        <v>864</v>
      </c>
      <c r="AB40">
        <v>2570</v>
      </c>
      <c r="AC40">
        <v>3000</v>
      </c>
      <c r="AD40">
        <v>2</v>
      </c>
      <c r="AE40" t="s">
        <v>6</v>
      </c>
      <c r="AF40" t="s">
        <v>383</v>
      </c>
      <c r="AG40" t="s">
        <v>148</v>
      </c>
      <c r="AH40" t="s">
        <v>450</v>
      </c>
      <c r="AI40">
        <v>0</v>
      </c>
      <c r="AJ40">
        <v>2</v>
      </c>
      <c r="AK40">
        <v>0</v>
      </c>
      <c r="AL40">
        <v>2</v>
      </c>
      <c r="AM40">
        <v>0</v>
      </c>
      <c r="AN40">
        <v>11</v>
      </c>
      <c r="AO40">
        <v>696</v>
      </c>
      <c r="AP40">
        <v>0</v>
      </c>
      <c r="AQ40">
        <v>0</v>
      </c>
      <c r="AR40">
        <v>0</v>
      </c>
      <c r="AS40">
        <v>102</v>
      </c>
      <c r="AT40">
        <v>0</v>
      </c>
      <c r="AU40">
        <v>100</v>
      </c>
      <c r="AV40">
        <v>100</v>
      </c>
      <c r="AW40">
        <v>503875</v>
      </c>
      <c r="AX40">
        <v>418216</v>
      </c>
      <c r="AY40">
        <v>664</v>
      </c>
      <c r="AZ40">
        <v>365</v>
      </c>
      <c r="BA40">
        <v>299</v>
      </c>
      <c r="BB40">
        <v>0</v>
      </c>
      <c r="BC40" s="3">
        <v>44628</v>
      </c>
      <c r="BD40" t="s">
        <v>319</v>
      </c>
      <c r="BE40">
        <v>448000</v>
      </c>
      <c r="BF40">
        <v>448000</v>
      </c>
      <c r="BG40" t="s">
        <v>294</v>
      </c>
      <c r="BH40">
        <v>30</v>
      </c>
      <c r="BI40" t="s">
        <v>65</v>
      </c>
      <c r="BJ40" t="s">
        <v>450</v>
      </c>
      <c r="BK40">
        <v>458900</v>
      </c>
      <c r="BL40">
        <v>64800</v>
      </c>
      <c r="BM40">
        <v>394100</v>
      </c>
      <c r="BN40">
        <v>0</v>
      </c>
      <c r="BO40">
        <v>1.0243303571428573</v>
      </c>
      <c r="BP40">
        <v>435023.33742502495</v>
      </c>
      <c r="BQ40">
        <v>457343.61084750888</v>
      </c>
      <c r="BR40" s="12">
        <f>(Sales[[#This Row],[DP1]]*Lookups!$B$59)+(Sales[[#This Row],[DP2]]*Lookups!$B$60)+(Sales[[#This Row],[DP3]]*Lookups!$B$61)</f>
        <v>-22320.273424102001</v>
      </c>
      <c r="BS40" s="12">
        <f>Lookups!$B$56*0</f>
        <v>0</v>
      </c>
      <c r="BT40" s="12">
        <f>Lookups!$B$56*1</f>
        <v>89850.625589999996</v>
      </c>
      <c r="BU40" s="12">
        <f>Lookups!$B$57*Sales[[#This Row],[LnAcres]]</f>
        <v>-45174.819855485119</v>
      </c>
      <c r="BV40" s="12">
        <f>VLOOKUP(Sales[[#This Row],[Qlty]],Lookups!$A$62:$E$75,2,FALSE)</f>
        <v>74268.409664999999</v>
      </c>
      <c r="BW40" s="12">
        <f>VLOOKUP(Sales[[#This Row],[Cnd]],Lookups!$A$76:$E$84,2,FALSE)</f>
        <v>197752.34721000001</v>
      </c>
      <c r="BX40" s="12">
        <f>Sales[[#This Row],[EffAge]]*Lookups!$B$85</f>
        <v>-10483.143223500001</v>
      </c>
      <c r="BY40" s="12">
        <f>Sales[[#This Row],[MainFn]]*Lookups!$B$86</f>
        <v>84291.190810162007</v>
      </c>
      <c r="BZ40" s="12">
        <f>Sales[[#This Row],[UpprFn]]*Lookups!$B$87</f>
        <v>0</v>
      </c>
      <c r="CA40" s="12">
        <f>Sales[[#This Row],[AddFn]]*Lookups!$B$88</f>
        <v>0</v>
      </c>
      <c r="CB40" s="12">
        <f>Sales[[#This Row],[Bsmt]]*Lookups!$B$89</f>
        <v>25126.757493408</v>
      </c>
      <c r="CC40" s="12">
        <f>Sales[[#This Row],[Fixtures]]*Lookups!$B$90</f>
        <v>41712.243157199999</v>
      </c>
      <c r="CD40" s="12">
        <f>Sales[[#This Row],[WdDeck]]*Lookups!$B$91</f>
        <v>0</v>
      </c>
      <c r="CE40" s="12">
        <f>SUM(Sales[[#This Row],[Days Prior Total]:[Mdl WdDeck]])</f>
        <v>435023.33742268285</v>
      </c>
      <c r="CF40" s="12">
        <f>ROUND(Sales[[#This Row],[25Det]],-2)</f>
        <v>0</v>
      </c>
      <c r="CG40" s="12">
        <f>ROUND(SUM(Sales[[#This Row],[Mdl Qlty]:[Mdl WdDeck]])+Sales[[#This Row],[Mdl Res Intercept]]+Sales[[#This Row],[Days Prior Total]],-2)</f>
        <v>390300</v>
      </c>
      <c r="CH40" s="12">
        <f>ROUND(Sales[[#This Row],[Mdl Land Intercept]]+Sales[[#This Row],[Mdl LnAcres]],-2)</f>
        <v>44700</v>
      </c>
      <c r="CI40" s="12">
        <f>Sales[[#This Row],[Unadj Res Value]]+Sales[[#This Row],[Unadj Det Value]]+Sales[[#This Row],[Unadj Land Value]]</f>
        <v>435000</v>
      </c>
      <c r="CJ40" s="13">
        <f>Sales[[#This Row],[Unadj Total Value]]/Sales[[#This Row],[Price]]</f>
        <v>0.9709821428571429</v>
      </c>
      <c r="CK40" s="13">
        <f>(Sales[[#This Row],[Unadj Total Value]]-Sales[[#This Row],[24Final]])/Sales[[#This Row],[24Final]]</f>
        <v>-5.208106341250817E-2</v>
      </c>
      <c r="CL40">
        <f>VLOOKUP(Sales[[#This Row],[TNbhd]],Lookups!$Q$2:$T$4,4,FALSE)</f>
        <v>0.99970000000000003</v>
      </c>
      <c r="CM40">
        <f>VLOOKUP(Sales[[#This Row],[Qlty]],Lookups!$O$7:$R$21,4,FALSE)</f>
        <v>0.98380000000000001</v>
      </c>
      <c r="CN40">
        <f>VLOOKUP(Sales[[#This Row],[Cnd]],Lookups!$T$7:$W$16,4,FALSE)</f>
        <v>0.99650000000000005</v>
      </c>
      <c r="CO40">
        <f>VLOOKUP(Sales[[#This Row],[LivArea Range]],Lookups!$T$25:$W$37,4,FALSE)</f>
        <v>0.96179999999999999</v>
      </c>
      <c r="CP40">
        <f>VLOOKUP(Sales[[#This Row],[Decade]],Lookups!$O$25:$R$42,4,FALSE)</f>
        <v>0.98119999999999996</v>
      </c>
      <c r="CQ40">
        <f>Sales[[#This Row],[Nbhd Adj]]*0.95</f>
        <v>0.94971499999999998</v>
      </c>
      <c r="CR40">
        <f>Sales[[#This Row],[Nbhd Adj]]*Sales[[#This Row],[Quality Adj]]*Sales[[#This Row],[Condition Adj]]*Sales[[#This Row],[Living Area Adj]]*Sales[[#This Row],[Decade Adj]]*0.95</f>
        <v>0.87865772359428407</v>
      </c>
      <c r="CS40">
        <f>ROUND(SUM(Sales[[#This Row],[Mdl Qlty]:[Mdl WdDeck]])+Sales[[#This Row],[Mdl Res Intercept]]*Sales[[#This Row],[Res Adj ]],-2)</f>
        <v>412700</v>
      </c>
      <c r="CT40">
        <f>ROUND(Sales[[#This Row],[25Det]]*Sales[[#This Row],[Det/Nbhd Adj]],-2)</f>
        <v>0</v>
      </c>
      <c r="CU40">
        <f>Sales[[#This Row],[Adjusted Res]]+Sales[[#This Row],[Adj Det ]]</f>
        <v>412700</v>
      </c>
      <c r="CV40">
        <f>ROUND((Sales[[#This Row],[Mdl Land Intercept]]+Sales[[#This Row],[Mdl LnAcres]])*Sales[[#This Row],[Det/Nbhd Adj]],-2)</f>
        <v>42400</v>
      </c>
      <c r="CW40">
        <f>Sales[[#This Row],[Adjusted Impr Total]]+Sales[[#This Row],[Adjusted Land Total]]</f>
        <v>455100</v>
      </c>
      <c r="CX40" s="15">
        <f>IFERROR((Sales[[#This Row],[Adjusted Impr Total]]-Sales[[#This Row],[24Bldg]])/Sales[[#This Row],[24Bldg]],0)</f>
        <v>4.7196143110885561E-2</v>
      </c>
      <c r="CY40" s="15">
        <f>(Sales[[#This Row],[Adjusted Land Total]]-Sales[[#This Row],[24Lnd]])/Sales[[#This Row],[24Lnd]]</f>
        <v>-0.34567901234567899</v>
      </c>
      <c r="CZ40" s="15">
        <f>(Sales[[#This Row],[Adjusted Total]]-Sales[[#This Row],[24Final]])/Sales[[#This Row],[24Final]]</f>
        <v>-8.2806711701895845E-3</v>
      </c>
      <c r="DA40" s="15">
        <f>(Sales[[#This Row],[Adjusted Total]]+Sales[[#This Row],[Days Prior Total]])/Sales[[#This Row],[Price]]</f>
        <v>0.96602617539262947</v>
      </c>
    </row>
    <row r="41" spans="1:105" x14ac:dyDescent="0.3">
      <c r="A41">
        <v>2025</v>
      </c>
      <c r="B41">
        <v>18132323534</v>
      </c>
      <c r="C41">
        <v>-1.7719568419318752</v>
      </c>
      <c r="D41">
        <v>0.17</v>
      </c>
      <c r="E41">
        <v>7256</v>
      </c>
      <c r="F41">
        <v>6</v>
      </c>
      <c r="G41" t="s">
        <v>126</v>
      </c>
      <c r="H41">
        <v>3033</v>
      </c>
      <c r="I41" t="s">
        <v>349</v>
      </c>
      <c r="J41" t="s">
        <v>30</v>
      </c>
      <c r="K41">
        <v>11</v>
      </c>
      <c r="L41">
        <v>259</v>
      </c>
      <c r="M41" t="s">
        <v>241</v>
      </c>
      <c r="N41" t="s">
        <v>148</v>
      </c>
      <c r="O41" t="s">
        <v>323</v>
      </c>
      <c r="P41">
        <v>60</v>
      </c>
      <c r="Q41">
        <v>1968</v>
      </c>
      <c r="R41">
        <v>1977</v>
      </c>
      <c r="S41">
        <v>56</v>
      </c>
      <c r="T41">
        <v>47</v>
      </c>
      <c r="U41">
        <v>1</v>
      </c>
      <c r="V41">
        <v>918</v>
      </c>
      <c r="W41">
        <v>0</v>
      </c>
      <c r="X41">
        <v>0</v>
      </c>
      <c r="Y41">
        <v>0</v>
      </c>
      <c r="Z41">
        <v>0</v>
      </c>
      <c r="AA41">
        <v>0</v>
      </c>
      <c r="AB41">
        <v>918</v>
      </c>
      <c r="AC41">
        <v>1000</v>
      </c>
      <c r="AD41">
        <v>1</v>
      </c>
      <c r="AF41" t="s">
        <v>383</v>
      </c>
      <c r="AG41" t="s">
        <v>148</v>
      </c>
      <c r="AH41" t="s">
        <v>450</v>
      </c>
      <c r="AI41">
        <v>0</v>
      </c>
      <c r="AJ41">
        <v>0</v>
      </c>
      <c r="AK41">
        <v>0</v>
      </c>
      <c r="AL41">
        <v>1</v>
      </c>
      <c r="AM41">
        <v>0</v>
      </c>
      <c r="AN41">
        <v>8</v>
      </c>
      <c r="AO41">
        <v>252</v>
      </c>
      <c r="AP41">
        <v>0</v>
      </c>
      <c r="AQ41">
        <v>0</v>
      </c>
      <c r="AR41">
        <v>0</v>
      </c>
      <c r="AS41">
        <v>510</v>
      </c>
      <c r="AT41">
        <v>342</v>
      </c>
      <c r="AU41">
        <v>100</v>
      </c>
      <c r="AV41">
        <v>100</v>
      </c>
      <c r="AW41">
        <v>224484</v>
      </c>
      <c r="AX41">
        <v>170608</v>
      </c>
      <c r="AY41">
        <v>831</v>
      </c>
      <c r="AZ41">
        <v>365</v>
      </c>
      <c r="BA41">
        <v>365</v>
      </c>
      <c r="BB41">
        <v>101</v>
      </c>
      <c r="BC41" s="3">
        <v>44461</v>
      </c>
      <c r="BD41" t="s">
        <v>471</v>
      </c>
      <c r="BE41">
        <v>276000</v>
      </c>
      <c r="BF41">
        <v>276000</v>
      </c>
      <c r="BG41" t="s">
        <v>294</v>
      </c>
      <c r="BH41">
        <v>30</v>
      </c>
      <c r="BI41" t="s">
        <v>65</v>
      </c>
      <c r="BJ41" t="s">
        <v>450</v>
      </c>
      <c r="BK41">
        <v>287100</v>
      </c>
      <c r="BL41">
        <v>52700</v>
      </c>
      <c r="BM41">
        <v>234400</v>
      </c>
      <c r="BN41">
        <v>0</v>
      </c>
      <c r="BO41">
        <v>1.0402173913043478</v>
      </c>
      <c r="BP41">
        <v>268495.16939909069</v>
      </c>
      <c r="BQ41">
        <v>303563.44649288466</v>
      </c>
      <c r="BR41" s="12">
        <f>(Sales[[#This Row],[DP1]]*Lookups!$B$59)+(Sales[[#This Row],[DP2]]*Lookups!$B$60)+(Sales[[#This Row],[DP3]]*Lookups!$B$61)</f>
        <v>-35068.27709797</v>
      </c>
      <c r="BS41" s="12">
        <f>Lookups!$B$56*0</f>
        <v>0</v>
      </c>
      <c r="BT41" s="12">
        <f>Lookups!$B$56*1</f>
        <v>89850.625589999996</v>
      </c>
      <c r="BU41" s="12">
        <f>Lookups!$B$57*Sales[[#This Row],[LnAcres]]</f>
        <v>-56090.612940989391</v>
      </c>
      <c r="BV41" s="12">
        <f>VLOOKUP(Sales[[#This Row],[Qlty]],Lookups!$A$62:$E$75,2,FALSE)</f>
        <v>44121.038090000002</v>
      </c>
      <c r="BW41" s="12">
        <f>VLOOKUP(Sales[[#This Row],[Cnd]],Lookups!$A$76:$E$84,2,FALSE)</f>
        <v>160472.20319</v>
      </c>
      <c r="BX41" s="12">
        <f>Sales[[#This Row],[EffAge]]*Lookups!$B$85</f>
        <v>-10483.143223500001</v>
      </c>
      <c r="BY41" s="12">
        <f>Sales[[#This Row],[MainFn]]*Lookups!$B$86</f>
        <v>45357.158947085998</v>
      </c>
      <c r="BZ41" s="12">
        <f>Sales[[#This Row],[UpprFn]]*Lookups!$B$87</f>
        <v>0</v>
      </c>
      <c r="CA41" s="12">
        <f>Sales[[#This Row],[AddFn]]*Lookups!$B$88</f>
        <v>0</v>
      </c>
      <c r="CB41" s="12">
        <f>Sales[[#This Row],[Bsmt]]*Lookups!$B$89</f>
        <v>0</v>
      </c>
      <c r="CC41" s="12">
        <f>Sales[[#This Row],[Fixtures]]*Lookups!$B$90</f>
        <v>30336.176841600001</v>
      </c>
      <c r="CD41" s="12">
        <f>Sales[[#This Row],[WdDeck]]*Lookups!$B$91</f>
        <v>0</v>
      </c>
      <c r="CE41" s="12">
        <f>SUM(Sales[[#This Row],[Days Prior Total]:[Mdl WdDeck]])</f>
        <v>268495.16939622659</v>
      </c>
      <c r="CF41" s="12">
        <f>ROUND(Sales[[#This Row],[25Det]],-2)</f>
        <v>0</v>
      </c>
      <c r="CG41" s="12">
        <f>ROUND(SUM(Sales[[#This Row],[Mdl Qlty]:[Mdl WdDeck]])+Sales[[#This Row],[Mdl Res Intercept]]+Sales[[#This Row],[Days Prior Total]],-2)</f>
        <v>234700</v>
      </c>
      <c r="CH41" s="12">
        <f>ROUND(Sales[[#This Row],[Mdl Land Intercept]]+Sales[[#This Row],[Mdl LnAcres]],-2)</f>
        <v>33800</v>
      </c>
      <c r="CI41" s="12">
        <f>Sales[[#This Row],[Unadj Res Value]]+Sales[[#This Row],[Unadj Det Value]]+Sales[[#This Row],[Unadj Land Value]]</f>
        <v>268500</v>
      </c>
      <c r="CJ41" s="13">
        <f>Sales[[#This Row],[Unadj Total Value]]/Sales[[#This Row],[Price]]</f>
        <v>0.97282608695652173</v>
      </c>
      <c r="CK41" s="13">
        <f>(Sales[[#This Row],[Unadj Total Value]]-Sales[[#This Row],[24Final]])/Sales[[#This Row],[24Final]]</f>
        <v>-6.4785788923719959E-2</v>
      </c>
      <c r="CL41">
        <f>VLOOKUP(Sales[[#This Row],[TNbhd]],Lookups!$Q$2:$T$4,4,FALSE)</f>
        <v>0.99970000000000003</v>
      </c>
      <c r="CM41">
        <f>VLOOKUP(Sales[[#This Row],[Qlty]],Lookups!$O$7:$R$21,4,FALSE)</f>
        <v>0.98050000000000004</v>
      </c>
      <c r="CN41">
        <f>VLOOKUP(Sales[[#This Row],[Cnd]],Lookups!$T$7:$W$16,4,FALSE)</f>
        <v>0.99729999999999996</v>
      </c>
      <c r="CO41">
        <f>VLOOKUP(Sales[[#This Row],[LivArea Range]],Lookups!$T$25:$W$37,4,FALSE)</f>
        <v>1.0148999999999999</v>
      </c>
      <c r="CP41">
        <f>VLOOKUP(Sales[[#This Row],[Decade]],Lookups!$O$25:$R$42,4,FALSE)</f>
        <v>0.98119999999999996</v>
      </c>
      <c r="CQ41">
        <f>Sales[[#This Row],[Nbhd Adj]]*0.95</f>
        <v>0.94971499999999998</v>
      </c>
      <c r="CR41">
        <f>Sales[[#This Row],[Nbhd Adj]]*Sales[[#This Row],[Quality Adj]]*Sales[[#This Row],[Condition Adj]]*Sales[[#This Row],[Living Area Adj]]*Sales[[#This Row],[Decade Adj]]*0.95</f>
        <v>0.92479933009570214</v>
      </c>
      <c r="CS41">
        <f>ROUND(SUM(Sales[[#This Row],[Mdl Qlty]:[Mdl WdDeck]])+Sales[[#This Row],[Mdl Res Intercept]]*Sales[[#This Row],[Res Adj ]],-2)</f>
        <v>269800</v>
      </c>
      <c r="CT41">
        <f>ROUND(Sales[[#This Row],[25Det]]*Sales[[#This Row],[Det/Nbhd Adj]],-2)</f>
        <v>0</v>
      </c>
      <c r="CU41">
        <f>Sales[[#This Row],[Adjusted Res]]+Sales[[#This Row],[Adj Det ]]</f>
        <v>269800</v>
      </c>
      <c r="CV41">
        <f>ROUND((Sales[[#This Row],[Mdl Land Intercept]]+Sales[[#This Row],[Mdl LnAcres]])*Sales[[#This Row],[Det/Nbhd Adj]],-2)</f>
        <v>32100</v>
      </c>
      <c r="CW41">
        <f>Sales[[#This Row],[Adjusted Impr Total]]+Sales[[#This Row],[Adjusted Land Total]]</f>
        <v>301900</v>
      </c>
      <c r="CX41" s="15">
        <f>IFERROR((Sales[[#This Row],[Adjusted Impr Total]]-Sales[[#This Row],[24Bldg]])/Sales[[#This Row],[24Bldg]],0)</f>
        <v>0.15102389078498293</v>
      </c>
      <c r="CY41" s="15">
        <f>(Sales[[#This Row],[Adjusted Land Total]]-Sales[[#This Row],[24Lnd]])/Sales[[#This Row],[24Lnd]]</f>
        <v>-0.39089184060721061</v>
      </c>
      <c r="CZ41" s="15">
        <f>(Sales[[#This Row],[Adjusted Total]]-Sales[[#This Row],[24Final]])/Sales[[#This Row],[24Final]]</f>
        <v>5.1549982584465345E-2</v>
      </c>
      <c r="DA41" s="15">
        <f>(Sales[[#This Row],[Adjusted Total]]+Sales[[#This Row],[Days Prior Total]])/Sales[[#This Row],[Price]]</f>
        <v>0.96678160471749996</v>
      </c>
    </row>
    <row r="42" spans="1:105" x14ac:dyDescent="0.3">
      <c r="A42">
        <v>2025</v>
      </c>
      <c r="B42">
        <v>18132323531</v>
      </c>
      <c r="C42">
        <v>-2.0402208285265546</v>
      </c>
      <c r="D42">
        <v>0.13</v>
      </c>
      <c r="E42">
        <v>5475</v>
      </c>
      <c r="F42">
        <v>6</v>
      </c>
      <c r="G42" t="s">
        <v>126</v>
      </c>
      <c r="H42">
        <v>3033</v>
      </c>
      <c r="I42" t="s">
        <v>349</v>
      </c>
      <c r="J42" t="s">
        <v>30</v>
      </c>
      <c r="K42">
        <v>11</v>
      </c>
      <c r="L42">
        <v>259</v>
      </c>
      <c r="M42" t="s">
        <v>241</v>
      </c>
      <c r="N42" t="s">
        <v>351</v>
      </c>
      <c r="O42" t="s">
        <v>323</v>
      </c>
      <c r="P42">
        <v>60</v>
      </c>
      <c r="Q42">
        <v>1967</v>
      </c>
      <c r="R42">
        <v>1976</v>
      </c>
      <c r="S42">
        <v>57</v>
      </c>
      <c r="T42">
        <v>48</v>
      </c>
      <c r="U42">
        <v>1</v>
      </c>
      <c r="V42">
        <v>1472</v>
      </c>
      <c r="W42">
        <v>0</v>
      </c>
      <c r="X42">
        <v>0</v>
      </c>
      <c r="Y42">
        <v>0</v>
      </c>
      <c r="Z42">
        <v>0</v>
      </c>
      <c r="AA42">
        <v>0</v>
      </c>
      <c r="AB42">
        <v>1472</v>
      </c>
      <c r="AC42">
        <v>1500</v>
      </c>
      <c r="AD42">
        <v>1</v>
      </c>
      <c r="AF42" t="s">
        <v>383</v>
      </c>
      <c r="AG42" t="s">
        <v>148</v>
      </c>
      <c r="AI42">
        <v>0</v>
      </c>
      <c r="AJ42">
        <v>1</v>
      </c>
      <c r="AK42">
        <v>0</v>
      </c>
      <c r="AL42">
        <v>1</v>
      </c>
      <c r="AM42">
        <v>0</v>
      </c>
      <c r="AN42">
        <v>8</v>
      </c>
      <c r="AO42">
        <v>264</v>
      </c>
      <c r="AP42">
        <v>0</v>
      </c>
      <c r="AQ42">
        <v>0</v>
      </c>
      <c r="AR42">
        <v>156</v>
      </c>
      <c r="AS42">
        <v>132</v>
      </c>
      <c r="AT42">
        <v>288</v>
      </c>
      <c r="AU42">
        <v>100</v>
      </c>
      <c r="AV42">
        <v>100</v>
      </c>
      <c r="AW42">
        <v>236417</v>
      </c>
      <c r="AX42">
        <v>174949</v>
      </c>
      <c r="AY42">
        <v>145</v>
      </c>
      <c r="AZ42">
        <v>145</v>
      </c>
      <c r="BA42">
        <v>0</v>
      </c>
      <c r="BB42">
        <v>0</v>
      </c>
      <c r="BC42" s="3">
        <v>45147</v>
      </c>
      <c r="BD42" t="s">
        <v>328</v>
      </c>
      <c r="BE42">
        <v>325000</v>
      </c>
      <c r="BF42">
        <v>325000</v>
      </c>
      <c r="BG42" t="s">
        <v>294</v>
      </c>
      <c r="BH42">
        <v>30</v>
      </c>
      <c r="BI42" t="s">
        <v>65</v>
      </c>
      <c r="BJ42" t="s">
        <v>450</v>
      </c>
      <c r="BK42">
        <v>287900</v>
      </c>
      <c r="BL42">
        <v>43400</v>
      </c>
      <c r="BM42">
        <v>244500</v>
      </c>
      <c r="BN42">
        <v>0</v>
      </c>
      <c r="BO42">
        <v>0.88584615384615384</v>
      </c>
      <c r="BP42">
        <v>294620.46343814704</v>
      </c>
      <c r="BQ42">
        <v>304851.40194018465</v>
      </c>
      <c r="BR42" s="12">
        <f>(Sales[[#This Row],[DP1]]*Lookups!$B$59)+(Sales[[#This Row],[DP2]]*Lookups!$B$60)+(Sales[[#This Row],[DP3]]*Lookups!$B$61)</f>
        <v>-10230.93850265</v>
      </c>
      <c r="BS42" s="12">
        <f>Lookups!$B$56*0</f>
        <v>0</v>
      </c>
      <c r="BT42" s="12">
        <f>Lookups!$B$56*1</f>
        <v>89850.625589999996</v>
      </c>
      <c r="BU42" s="12">
        <f>Lookups!$B$57*Sales[[#This Row],[LnAcres]]</f>
        <v>-64582.406353792743</v>
      </c>
      <c r="BV42" s="12">
        <f>VLOOKUP(Sales[[#This Row],[Qlty]],Lookups!$A$62:$E$75,2,FALSE)</f>
        <v>21557.329055999999</v>
      </c>
      <c r="BW42" s="12">
        <f>VLOOKUP(Sales[[#This Row],[Cnd]],Lookups!$A$76:$E$84,2,FALSE)</f>
        <v>160472.20319</v>
      </c>
      <c r="BX42" s="12">
        <f>Sales[[#This Row],[EffAge]]*Lookups!$B$85</f>
        <v>-10706.188824000001</v>
      </c>
      <c r="BY42" s="12">
        <f>Sales[[#This Row],[MainFn]]*Lookups!$B$86</f>
        <v>72729.562058944008</v>
      </c>
      <c r="BZ42" s="12">
        <f>Sales[[#This Row],[UpprFn]]*Lookups!$B$87</f>
        <v>0</v>
      </c>
      <c r="CA42" s="12">
        <f>Sales[[#This Row],[AddFn]]*Lookups!$B$88</f>
        <v>0</v>
      </c>
      <c r="CB42" s="12">
        <f>Sales[[#This Row],[Bsmt]]*Lookups!$B$89</f>
        <v>0</v>
      </c>
      <c r="CC42" s="12">
        <f>Sales[[#This Row],[Fixtures]]*Lookups!$B$90</f>
        <v>30336.176841600001</v>
      </c>
      <c r="CD42" s="12">
        <f>Sales[[#This Row],[WdDeck]]*Lookups!$B$91</f>
        <v>5194.1003830560003</v>
      </c>
      <c r="CE42" s="12">
        <f>SUM(Sales[[#This Row],[Days Prior Total]:[Mdl WdDeck]])</f>
        <v>294620.46343915723</v>
      </c>
      <c r="CF42" s="12">
        <f>ROUND(Sales[[#This Row],[25Det]],-2)</f>
        <v>0</v>
      </c>
      <c r="CG42" s="12">
        <f>ROUND(SUM(Sales[[#This Row],[Mdl Qlty]:[Mdl WdDeck]])+Sales[[#This Row],[Mdl Res Intercept]]+Sales[[#This Row],[Days Prior Total]],-2)</f>
        <v>269400</v>
      </c>
      <c r="CH42" s="12">
        <f>ROUND(Sales[[#This Row],[Mdl Land Intercept]]+Sales[[#This Row],[Mdl LnAcres]],-2)</f>
        <v>25300</v>
      </c>
      <c r="CI42" s="12">
        <f>Sales[[#This Row],[Unadj Res Value]]+Sales[[#This Row],[Unadj Det Value]]+Sales[[#This Row],[Unadj Land Value]]</f>
        <v>294700</v>
      </c>
      <c r="CJ42" s="13">
        <f>Sales[[#This Row],[Unadj Total Value]]/Sales[[#This Row],[Price]]</f>
        <v>0.90676923076923077</v>
      </c>
      <c r="CK42" s="13">
        <f>(Sales[[#This Row],[Unadj Total Value]]-Sales[[#This Row],[24Final]])/Sales[[#This Row],[24Final]]</f>
        <v>2.3619312261201807E-2</v>
      </c>
      <c r="CL42">
        <f>VLOOKUP(Sales[[#This Row],[TNbhd]],Lookups!$Q$2:$T$4,4,FALSE)</f>
        <v>0.99970000000000003</v>
      </c>
      <c r="CM42">
        <f>VLOOKUP(Sales[[#This Row],[Qlty]],Lookups!$O$7:$R$21,4,FALSE)</f>
        <v>1.0067999999999999</v>
      </c>
      <c r="CN42">
        <f>VLOOKUP(Sales[[#This Row],[Cnd]],Lookups!$T$7:$W$16,4,FALSE)</f>
        <v>0.99729999999999996</v>
      </c>
      <c r="CO42">
        <f>VLOOKUP(Sales[[#This Row],[LivArea Range]],Lookups!$T$25:$W$37,4,FALSE)</f>
        <v>1.0157</v>
      </c>
      <c r="CP42">
        <f>VLOOKUP(Sales[[#This Row],[Decade]],Lookups!$O$25:$R$42,4,FALSE)</f>
        <v>0.98119999999999996</v>
      </c>
      <c r="CQ42">
        <f>Sales[[#This Row],[Nbhd Adj]]*0.95</f>
        <v>0.94971499999999998</v>
      </c>
      <c r="CR42">
        <f>Sales[[#This Row],[Nbhd Adj]]*Sales[[#This Row],[Quality Adj]]*Sales[[#This Row],[Condition Adj]]*Sales[[#This Row],[Living Area Adj]]*Sales[[#This Row],[Decade Adj]]*0.95</f>
        <v>0.95035379937285946</v>
      </c>
      <c r="CS42">
        <f>ROUND(SUM(Sales[[#This Row],[Mdl Qlty]:[Mdl WdDeck]])+Sales[[#This Row],[Mdl Res Intercept]]*Sales[[#This Row],[Res Adj ]],-2)</f>
        <v>279600</v>
      </c>
      <c r="CT42">
        <f>ROUND(Sales[[#This Row],[25Det]]*Sales[[#This Row],[Det/Nbhd Adj]],-2)</f>
        <v>0</v>
      </c>
      <c r="CU42">
        <f>Sales[[#This Row],[Adjusted Res]]+Sales[[#This Row],[Adj Det ]]</f>
        <v>279600</v>
      </c>
      <c r="CV42">
        <f>ROUND((Sales[[#This Row],[Mdl Land Intercept]]+Sales[[#This Row],[Mdl LnAcres]])*Sales[[#This Row],[Det/Nbhd Adj]],-2)</f>
        <v>24000</v>
      </c>
      <c r="CW42">
        <f>Sales[[#This Row],[Adjusted Impr Total]]+Sales[[#This Row],[Adjusted Land Total]]</f>
        <v>303600</v>
      </c>
      <c r="CX42" s="15">
        <f>IFERROR((Sales[[#This Row],[Adjusted Impr Total]]-Sales[[#This Row],[24Bldg]])/Sales[[#This Row],[24Bldg]],0)</f>
        <v>0.14355828220858896</v>
      </c>
      <c r="CY42" s="15">
        <f>(Sales[[#This Row],[Adjusted Land Total]]-Sales[[#This Row],[24Lnd]])/Sales[[#This Row],[24Lnd]]</f>
        <v>-0.44700460829493088</v>
      </c>
      <c r="CZ42" s="15">
        <f>(Sales[[#This Row],[Adjusted Total]]-Sales[[#This Row],[24Final]])/Sales[[#This Row],[24Final]]</f>
        <v>5.4532823897186521E-2</v>
      </c>
      <c r="DA42" s="15">
        <f>(Sales[[#This Row],[Adjusted Total]]+Sales[[#This Row],[Days Prior Total]])/Sales[[#This Row],[Price]]</f>
        <v>0.90267403537646151</v>
      </c>
    </row>
    <row r="43" spans="1:105" x14ac:dyDescent="0.3">
      <c r="A43">
        <v>2025</v>
      </c>
      <c r="B43">
        <v>18132323015</v>
      </c>
      <c r="C43">
        <v>-2.0402208285265546</v>
      </c>
      <c r="D43">
        <v>0.13</v>
      </c>
      <c r="E43">
        <v>5507</v>
      </c>
      <c r="F43">
        <v>6</v>
      </c>
      <c r="G43" t="s">
        <v>126</v>
      </c>
      <c r="H43">
        <v>3033</v>
      </c>
      <c r="I43" t="s">
        <v>349</v>
      </c>
      <c r="J43" t="s">
        <v>30</v>
      </c>
      <c r="K43">
        <v>11</v>
      </c>
      <c r="L43">
        <v>259</v>
      </c>
      <c r="M43" t="s">
        <v>241</v>
      </c>
      <c r="N43" t="s">
        <v>351</v>
      </c>
      <c r="O43" t="s">
        <v>323</v>
      </c>
      <c r="P43">
        <v>60</v>
      </c>
      <c r="Q43">
        <v>1966</v>
      </c>
      <c r="R43">
        <v>1976</v>
      </c>
      <c r="S43">
        <v>58</v>
      </c>
      <c r="T43">
        <v>48</v>
      </c>
      <c r="U43">
        <v>1</v>
      </c>
      <c r="V43">
        <v>1267</v>
      </c>
      <c r="W43">
        <v>0</v>
      </c>
      <c r="X43">
        <v>0</v>
      </c>
      <c r="Y43">
        <v>0</v>
      </c>
      <c r="Z43">
        <v>0</v>
      </c>
      <c r="AA43">
        <v>0</v>
      </c>
      <c r="AB43">
        <v>1267</v>
      </c>
      <c r="AC43">
        <v>1500</v>
      </c>
      <c r="AD43">
        <v>1</v>
      </c>
      <c r="AF43" t="s">
        <v>383</v>
      </c>
      <c r="AG43" t="s">
        <v>148</v>
      </c>
      <c r="AH43" t="s">
        <v>450</v>
      </c>
      <c r="AI43">
        <v>0</v>
      </c>
      <c r="AJ43">
        <v>0</v>
      </c>
      <c r="AK43">
        <v>0</v>
      </c>
      <c r="AL43">
        <v>1</v>
      </c>
      <c r="AM43">
        <v>0</v>
      </c>
      <c r="AN43">
        <v>8</v>
      </c>
      <c r="AO43">
        <v>308</v>
      </c>
      <c r="AP43">
        <v>0</v>
      </c>
      <c r="AQ43">
        <v>0</v>
      </c>
      <c r="AR43">
        <v>160</v>
      </c>
      <c r="AS43">
        <v>286</v>
      </c>
      <c r="AT43">
        <v>286</v>
      </c>
      <c r="AU43">
        <v>100</v>
      </c>
      <c r="AV43">
        <v>100</v>
      </c>
      <c r="AW43">
        <v>207364</v>
      </c>
      <c r="AX43">
        <v>153449</v>
      </c>
      <c r="AY43">
        <v>493</v>
      </c>
      <c r="AZ43">
        <v>365</v>
      </c>
      <c r="BA43">
        <v>128</v>
      </c>
      <c r="BB43">
        <v>0</v>
      </c>
      <c r="BC43" s="3">
        <v>44799</v>
      </c>
      <c r="BD43" t="s">
        <v>425</v>
      </c>
      <c r="BE43">
        <v>295000</v>
      </c>
      <c r="BF43">
        <v>295000</v>
      </c>
      <c r="BG43" t="s">
        <v>294</v>
      </c>
      <c r="BH43">
        <v>30</v>
      </c>
      <c r="BI43" t="s">
        <v>65</v>
      </c>
      <c r="BJ43" t="s">
        <v>450</v>
      </c>
      <c r="BK43">
        <v>274300</v>
      </c>
      <c r="BL43">
        <v>43400</v>
      </c>
      <c r="BM43">
        <v>230900</v>
      </c>
      <c r="BN43">
        <v>0</v>
      </c>
      <c r="BO43">
        <v>0.92983050847457627</v>
      </c>
      <c r="BP43">
        <v>270571.91090152226</v>
      </c>
      <c r="BQ43">
        <v>294855.80667654198</v>
      </c>
      <c r="BR43" s="12">
        <f>(Sales[[#This Row],[DP1]]*Lookups!$B$59)+(Sales[[#This Row],[DP2]]*Lookups!$B$60)+(Sales[[#This Row],[DP3]]*Lookups!$B$61)</f>
        <v>-24283.895776593999</v>
      </c>
      <c r="BS43" s="12">
        <f>Lookups!$B$56*0</f>
        <v>0</v>
      </c>
      <c r="BT43" s="12">
        <f>Lookups!$B$56*1</f>
        <v>89850.625589999996</v>
      </c>
      <c r="BU43" s="12">
        <f>Lookups!$B$57*Sales[[#This Row],[LnAcres]]</f>
        <v>-64582.406353792743</v>
      </c>
      <c r="BV43" s="12">
        <f>VLOOKUP(Sales[[#This Row],[Qlty]],Lookups!$A$62:$E$75,2,FALSE)</f>
        <v>21557.329055999999</v>
      </c>
      <c r="BW43" s="12">
        <f>VLOOKUP(Sales[[#This Row],[Cnd]],Lookups!$A$76:$E$84,2,FALSE)</f>
        <v>160472.20319</v>
      </c>
      <c r="BX43" s="12">
        <f>Sales[[#This Row],[EffAge]]*Lookups!$B$85</f>
        <v>-10706.188824000001</v>
      </c>
      <c r="BY43" s="12">
        <f>Sales[[#This Row],[MainFn]]*Lookups!$B$86</f>
        <v>62600.784734159002</v>
      </c>
      <c r="BZ43" s="12">
        <f>Sales[[#This Row],[UpprFn]]*Lookups!$B$87</f>
        <v>0</v>
      </c>
      <c r="CA43" s="12">
        <f>Sales[[#This Row],[AddFn]]*Lookups!$B$88</f>
        <v>0</v>
      </c>
      <c r="CB43" s="12">
        <f>Sales[[#This Row],[Bsmt]]*Lookups!$B$89</f>
        <v>0</v>
      </c>
      <c r="CC43" s="12">
        <f>Sales[[#This Row],[Fixtures]]*Lookups!$B$90</f>
        <v>30336.176841600001</v>
      </c>
      <c r="CD43" s="12">
        <f>Sales[[#This Row],[WdDeck]]*Lookups!$B$91</f>
        <v>5327.2824441600005</v>
      </c>
      <c r="CE43" s="12">
        <f>SUM(Sales[[#This Row],[Days Prior Total]:[Mdl WdDeck]])</f>
        <v>270571.91090153228</v>
      </c>
      <c r="CF43" s="12">
        <f>ROUND(Sales[[#This Row],[25Det]],-2)</f>
        <v>0</v>
      </c>
      <c r="CG43" s="12">
        <f>ROUND(SUM(Sales[[#This Row],[Mdl Qlty]:[Mdl WdDeck]])+Sales[[#This Row],[Mdl Res Intercept]]+Sales[[#This Row],[Days Prior Total]],-2)</f>
        <v>245300</v>
      </c>
      <c r="CH43" s="12">
        <f>ROUND(Sales[[#This Row],[Mdl Land Intercept]]+Sales[[#This Row],[Mdl LnAcres]],-2)</f>
        <v>25300</v>
      </c>
      <c r="CI43" s="12">
        <f>Sales[[#This Row],[Unadj Res Value]]+Sales[[#This Row],[Unadj Det Value]]+Sales[[#This Row],[Unadj Land Value]]</f>
        <v>270600</v>
      </c>
      <c r="CJ43" s="13">
        <f>Sales[[#This Row],[Unadj Total Value]]/Sales[[#This Row],[Price]]</f>
        <v>0.91728813559322031</v>
      </c>
      <c r="CK43" s="13">
        <f>(Sales[[#This Row],[Unadj Total Value]]-Sales[[#This Row],[24Final]])/Sales[[#This Row],[24Final]]</f>
        <v>-1.3488880787458987E-2</v>
      </c>
      <c r="CL43">
        <f>VLOOKUP(Sales[[#This Row],[TNbhd]],Lookups!$Q$2:$T$4,4,FALSE)</f>
        <v>0.99970000000000003</v>
      </c>
      <c r="CM43">
        <f>VLOOKUP(Sales[[#This Row],[Qlty]],Lookups!$O$7:$R$21,4,FALSE)</f>
        <v>1.0067999999999999</v>
      </c>
      <c r="CN43">
        <f>VLOOKUP(Sales[[#This Row],[Cnd]],Lookups!$T$7:$W$16,4,FALSE)</f>
        <v>0.99729999999999996</v>
      </c>
      <c r="CO43">
        <f>VLOOKUP(Sales[[#This Row],[LivArea Range]],Lookups!$T$25:$W$37,4,FALSE)</f>
        <v>1.0157</v>
      </c>
      <c r="CP43">
        <f>VLOOKUP(Sales[[#This Row],[Decade]],Lookups!$O$25:$R$42,4,FALSE)</f>
        <v>0.98119999999999996</v>
      </c>
      <c r="CQ43">
        <f>Sales[[#This Row],[Nbhd Adj]]*0.95</f>
        <v>0.94971499999999998</v>
      </c>
      <c r="CR43">
        <f>Sales[[#This Row],[Nbhd Adj]]*Sales[[#This Row],[Quality Adj]]*Sales[[#This Row],[Condition Adj]]*Sales[[#This Row],[Living Area Adj]]*Sales[[#This Row],[Decade Adj]]*0.95</f>
        <v>0.95035379937285946</v>
      </c>
      <c r="CS43">
        <f>ROUND(SUM(Sales[[#This Row],[Mdl Qlty]:[Mdl WdDeck]])+Sales[[#This Row],[Mdl Res Intercept]]*Sales[[#This Row],[Res Adj ]],-2)</f>
        <v>269600</v>
      </c>
      <c r="CT43">
        <f>ROUND(Sales[[#This Row],[25Det]]*Sales[[#This Row],[Det/Nbhd Adj]],-2)</f>
        <v>0</v>
      </c>
      <c r="CU43">
        <f>Sales[[#This Row],[Adjusted Res]]+Sales[[#This Row],[Adj Det ]]</f>
        <v>269600</v>
      </c>
      <c r="CV43">
        <f>ROUND((Sales[[#This Row],[Mdl Land Intercept]]+Sales[[#This Row],[Mdl LnAcres]])*Sales[[#This Row],[Det/Nbhd Adj]],-2)</f>
        <v>24000</v>
      </c>
      <c r="CW43">
        <f>Sales[[#This Row],[Adjusted Impr Total]]+Sales[[#This Row],[Adjusted Land Total]]</f>
        <v>293600</v>
      </c>
      <c r="CX43" s="15">
        <f>IFERROR((Sales[[#This Row],[Adjusted Impr Total]]-Sales[[#This Row],[24Bldg]])/Sales[[#This Row],[24Bldg]],0)</f>
        <v>0.16760502381983541</v>
      </c>
      <c r="CY43" s="15">
        <f>(Sales[[#This Row],[Adjusted Land Total]]-Sales[[#This Row],[24Lnd]])/Sales[[#This Row],[24Lnd]]</f>
        <v>-0.44700460829493088</v>
      </c>
      <c r="CZ43" s="15">
        <f>(Sales[[#This Row],[Adjusted Total]]-Sales[[#This Row],[24Final]])/Sales[[#This Row],[24Final]]</f>
        <v>7.0360918702150929E-2</v>
      </c>
      <c r="DA43" s="15">
        <f>(Sales[[#This Row],[Adjusted Total]]+Sales[[#This Row],[Days Prior Total]])/Sales[[#This Row],[Price]]</f>
        <v>0.9129359465200203</v>
      </c>
    </row>
    <row r="44" spans="1:105" x14ac:dyDescent="0.3">
      <c r="A44">
        <v>2025</v>
      </c>
      <c r="B44">
        <v>18132212442</v>
      </c>
      <c r="C44">
        <v>-1.0216512475319814</v>
      </c>
      <c r="D44">
        <v>0.36</v>
      </c>
      <c r="E44">
        <v>15737</v>
      </c>
      <c r="F44">
        <v>6</v>
      </c>
      <c r="G44" t="s">
        <v>126</v>
      </c>
      <c r="H44">
        <v>3032</v>
      </c>
      <c r="I44" t="s">
        <v>349</v>
      </c>
      <c r="J44" t="s">
        <v>30</v>
      </c>
      <c r="K44">
        <v>11</v>
      </c>
      <c r="L44">
        <v>259</v>
      </c>
      <c r="M44" t="s">
        <v>241</v>
      </c>
      <c r="N44" t="s">
        <v>95</v>
      </c>
      <c r="O44" t="s">
        <v>303</v>
      </c>
      <c r="P44">
        <v>60</v>
      </c>
      <c r="Q44">
        <v>1966</v>
      </c>
      <c r="R44">
        <v>1976</v>
      </c>
      <c r="S44">
        <v>58</v>
      </c>
      <c r="T44">
        <v>48</v>
      </c>
      <c r="U44">
        <v>1</v>
      </c>
      <c r="V44">
        <v>1792</v>
      </c>
      <c r="W44">
        <v>0</v>
      </c>
      <c r="X44">
        <v>0</v>
      </c>
      <c r="Y44">
        <v>832</v>
      </c>
      <c r="Z44">
        <v>416</v>
      </c>
      <c r="AA44">
        <v>416</v>
      </c>
      <c r="AB44">
        <v>2208</v>
      </c>
      <c r="AC44">
        <v>2500</v>
      </c>
      <c r="AD44">
        <v>2</v>
      </c>
      <c r="AF44" t="s">
        <v>383</v>
      </c>
      <c r="AG44" t="s">
        <v>148</v>
      </c>
      <c r="AH44" t="s">
        <v>450</v>
      </c>
      <c r="AI44">
        <v>0</v>
      </c>
      <c r="AJ44">
        <v>2</v>
      </c>
      <c r="AK44">
        <v>0</v>
      </c>
      <c r="AL44">
        <v>1</v>
      </c>
      <c r="AM44">
        <v>0</v>
      </c>
      <c r="AN44">
        <v>12</v>
      </c>
      <c r="AO44">
        <v>768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100</v>
      </c>
      <c r="AV44">
        <v>100</v>
      </c>
      <c r="AW44">
        <v>540524</v>
      </c>
      <c r="AX44">
        <v>443230</v>
      </c>
      <c r="AY44">
        <v>1035</v>
      </c>
      <c r="AZ44">
        <v>365</v>
      </c>
      <c r="BA44">
        <v>365</v>
      </c>
      <c r="BB44">
        <v>305</v>
      </c>
      <c r="BC44" s="3">
        <v>44257</v>
      </c>
      <c r="BD44" t="s">
        <v>475</v>
      </c>
      <c r="BE44">
        <v>335000</v>
      </c>
      <c r="BF44">
        <v>335000</v>
      </c>
      <c r="BG44" t="s">
        <v>294</v>
      </c>
      <c r="BH44">
        <v>30</v>
      </c>
      <c r="BI44" t="s">
        <v>65</v>
      </c>
      <c r="BJ44" t="s">
        <v>450</v>
      </c>
      <c r="BK44">
        <v>487500</v>
      </c>
      <c r="BL44">
        <v>78900</v>
      </c>
      <c r="BM44">
        <v>408600</v>
      </c>
      <c r="BN44">
        <v>0</v>
      </c>
      <c r="BO44">
        <v>1.455223880597015</v>
      </c>
      <c r="BP44">
        <v>414718.44798698864</v>
      </c>
      <c r="BQ44">
        <v>477065.95450725016</v>
      </c>
      <c r="BR44" s="12">
        <f>(Sales[[#This Row],[DP1]]*Lookups!$B$59)+(Sales[[#This Row],[DP2]]*Lookups!$B$60)+(Sales[[#This Row],[DP3]]*Lookups!$B$61)</f>
        <v>-62347.506529570004</v>
      </c>
      <c r="BS44" s="12">
        <f>Lookups!$B$56*0</f>
        <v>0</v>
      </c>
      <c r="BT44" s="12">
        <f>Lookups!$B$56*1</f>
        <v>89850.625589999996</v>
      </c>
      <c r="BU44" s="12">
        <f>Lookups!$B$57*Sales[[#This Row],[LnAcres]]</f>
        <v>-32339.977661938148</v>
      </c>
      <c r="BV44" s="12">
        <f>VLOOKUP(Sales[[#This Row],[Qlty]],Lookups!$A$62:$E$75,2,FALSE)</f>
        <v>74268.409664999999</v>
      </c>
      <c r="BW44" s="12">
        <f>VLOOKUP(Sales[[#This Row],[Cnd]],Lookups!$A$76:$E$84,2,FALSE)</f>
        <v>197752.34721000001</v>
      </c>
      <c r="BX44" s="12">
        <f>Sales[[#This Row],[EffAge]]*Lookups!$B$85</f>
        <v>-10706.188824000001</v>
      </c>
      <c r="BY44" s="12">
        <f>Sales[[#This Row],[MainFn]]*Lookups!$B$86</f>
        <v>88540.336419583997</v>
      </c>
      <c r="BZ44" s="12">
        <f>Sales[[#This Row],[UpprFn]]*Lookups!$B$87</f>
        <v>0</v>
      </c>
      <c r="CA44" s="12">
        <f>Sales[[#This Row],[AddFn]]*Lookups!$B$88</f>
        <v>0</v>
      </c>
      <c r="CB44" s="12">
        <f>Sales[[#This Row],[Bsmt]]*Lookups!$B$89</f>
        <v>24196.136845503999</v>
      </c>
      <c r="CC44" s="12">
        <f>Sales[[#This Row],[Fixtures]]*Lookups!$B$90</f>
        <v>45504.265262400004</v>
      </c>
      <c r="CD44" s="12">
        <f>Sales[[#This Row],[WdDeck]]*Lookups!$B$91</f>
        <v>0</v>
      </c>
      <c r="CE44" s="12">
        <f>SUM(Sales[[#This Row],[Days Prior Total]:[Mdl WdDeck]])</f>
        <v>414718.44797697989</v>
      </c>
      <c r="CF44" s="12">
        <f>ROUND(Sales[[#This Row],[25Det]],-2)</f>
        <v>0</v>
      </c>
      <c r="CG44" s="12">
        <f>ROUND(SUM(Sales[[#This Row],[Mdl Qlty]:[Mdl WdDeck]])+Sales[[#This Row],[Mdl Res Intercept]]+Sales[[#This Row],[Days Prior Total]],-2)</f>
        <v>357200</v>
      </c>
      <c r="CH44" s="12">
        <f>ROUND(Sales[[#This Row],[Mdl Land Intercept]]+Sales[[#This Row],[Mdl LnAcres]],-2)</f>
        <v>57500</v>
      </c>
      <c r="CI44" s="12">
        <f>Sales[[#This Row],[Unadj Res Value]]+Sales[[#This Row],[Unadj Det Value]]+Sales[[#This Row],[Unadj Land Value]]</f>
        <v>414700</v>
      </c>
      <c r="CJ44" s="13">
        <f>Sales[[#This Row],[Unadj Total Value]]/Sales[[#This Row],[Price]]</f>
        <v>1.237910447761194</v>
      </c>
      <c r="CK44" s="13">
        <f>(Sales[[#This Row],[Unadj Total Value]]-Sales[[#This Row],[24Final]])/Sales[[#This Row],[24Final]]</f>
        <v>-0.14933333333333335</v>
      </c>
      <c r="CL44">
        <f>VLOOKUP(Sales[[#This Row],[TNbhd]],Lookups!$Q$2:$T$4,4,FALSE)</f>
        <v>0.99970000000000003</v>
      </c>
      <c r="CM44">
        <f>VLOOKUP(Sales[[#This Row],[Qlty]],Lookups!$O$7:$R$21,4,FALSE)</f>
        <v>0.98380000000000001</v>
      </c>
      <c r="CN44">
        <f>VLOOKUP(Sales[[#This Row],[Cnd]],Lookups!$T$7:$W$16,4,FALSE)</f>
        <v>0.99650000000000005</v>
      </c>
      <c r="CO44">
        <f>VLOOKUP(Sales[[#This Row],[LivArea Range]],Lookups!$T$25:$W$37,4,FALSE)</f>
        <v>0.98919999999999997</v>
      </c>
      <c r="CP44">
        <f>VLOOKUP(Sales[[#This Row],[Decade]],Lookups!$O$25:$R$42,4,FALSE)</f>
        <v>0.98119999999999996</v>
      </c>
      <c r="CQ44">
        <f>Sales[[#This Row],[Nbhd Adj]]*0.95</f>
        <v>0.94971499999999998</v>
      </c>
      <c r="CR44">
        <f>Sales[[#This Row],[Nbhd Adj]]*Sales[[#This Row],[Quality Adj]]*Sales[[#This Row],[Condition Adj]]*Sales[[#This Row],[Living Area Adj]]*Sales[[#This Row],[Decade Adj]]*0.95</f>
        <v>0.90368914553905788</v>
      </c>
      <c r="CS44">
        <f>ROUND(SUM(Sales[[#This Row],[Mdl Qlty]:[Mdl WdDeck]])+Sales[[#This Row],[Mdl Res Intercept]]*Sales[[#This Row],[Res Adj ]],-2)</f>
        <v>419600</v>
      </c>
      <c r="CT44">
        <f>ROUND(Sales[[#This Row],[25Det]]*Sales[[#This Row],[Det/Nbhd Adj]],-2)</f>
        <v>0</v>
      </c>
      <c r="CU44">
        <f>Sales[[#This Row],[Adjusted Res]]+Sales[[#This Row],[Adj Det ]]</f>
        <v>419600</v>
      </c>
      <c r="CV44">
        <f>ROUND((Sales[[#This Row],[Mdl Land Intercept]]+Sales[[#This Row],[Mdl LnAcres]])*Sales[[#This Row],[Det/Nbhd Adj]],-2)</f>
        <v>54600</v>
      </c>
      <c r="CW44">
        <f>Sales[[#This Row],[Adjusted Impr Total]]+Sales[[#This Row],[Adjusted Land Total]]</f>
        <v>474200</v>
      </c>
      <c r="CX44" s="15">
        <f>IFERROR((Sales[[#This Row],[Adjusted Impr Total]]-Sales[[#This Row],[24Bldg]])/Sales[[#This Row],[24Bldg]],0)</f>
        <v>2.6921194322075379E-2</v>
      </c>
      <c r="CY44" s="15">
        <f>(Sales[[#This Row],[Adjusted Land Total]]-Sales[[#This Row],[24Lnd]])/Sales[[#This Row],[24Lnd]]</f>
        <v>-0.30798479087452474</v>
      </c>
      <c r="CZ44" s="15">
        <f>(Sales[[#This Row],[Adjusted Total]]-Sales[[#This Row],[24Final]])/Sales[[#This Row],[24Final]]</f>
        <v>-2.7282051282051283E-2</v>
      </c>
      <c r="DA44" s="15">
        <f>(Sales[[#This Row],[Adjusted Total]]+Sales[[#This Row],[Days Prior Total]])/Sales[[#This Row],[Price]]</f>
        <v>1.2294104282699403</v>
      </c>
    </row>
    <row r="45" spans="1:105" x14ac:dyDescent="0.3">
      <c r="A45">
        <v>2025</v>
      </c>
      <c r="B45">
        <v>18132333010</v>
      </c>
      <c r="C45">
        <v>-1.5606477482646683</v>
      </c>
      <c r="D45">
        <v>0.21</v>
      </c>
      <c r="E45">
        <v>0</v>
      </c>
      <c r="F45">
        <v>6</v>
      </c>
      <c r="G45" t="s">
        <v>126</v>
      </c>
      <c r="H45">
        <v>3093</v>
      </c>
      <c r="I45" t="s">
        <v>349</v>
      </c>
      <c r="J45" t="s">
        <v>30</v>
      </c>
      <c r="K45">
        <v>11</v>
      </c>
      <c r="L45">
        <v>259</v>
      </c>
      <c r="M45" t="s">
        <v>241</v>
      </c>
      <c r="N45" t="s">
        <v>148</v>
      </c>
      <c r="O45" t="s">
        <v>303</v>
      </c>
      <c r="P45">
        <v>60</v>
      </c>
      <c r="Q45">
        <v>1965</v>
      </c>
      <c r="R45">
        <v>1976</v>
      </c>
      <c r="S45">
        <v>59</v>
      </c>
      <c r="T45">
        <v>48</v>
      </c>
      <c r="U45">
        <v>1</v>
      </c>
      <c r="V45">
        <v>1580</v>
      </c>
      <c r="W45">
        <v>0</v>
      </c>
      <c r="X45">
        <v>0</v>
      </c>
      <c r="Y45">
        <v>968</v>
      </c>
      <c r="Z45">
        <v>0</v>
      </c>
      <c r="AA45">
        <v>968</v>
      </c>
      <c r="AB45">
        <v>2548</v>
      </c>
      <c r="AC45">
        <v>3000</v>
      </c>
      <c r="AD45">
        <v>1</v>
      </c>
      <c r="AE45" t="s">
        <v>6</v>
      </c>
      <c r="AF45" t="s">
        <v>383</v>
      </c>
      <c r="AG45" t="s">
        <v>148</v>
      </c>
      <c r="AH45" t="s">
        <v>450</v>
      </c>
      <c r="AI45">
        <v>0</v>
      </c>
      <c r="AJ45">
        <v>1</v>
      </c>
      <c r="AK45">
        <v>0</v>
      </c>
      <c r="AL45">
        <v>1</v>
      </c>
      <c r="AM45">
        <v>0</v>
      </c>
      <c r="AN45">
        <v>8</v>
      </c>
      <c r="AO45">
        <v>336</v>
      </c>
      <c r="AP45">
        <v>0</v>
      </c>
      <c r="AQ45">
        <v>0</v>
      </c>
      <c r="AR45">
        <v>0</v>
      </c>
      <c r="AS45">
        <v>420</v>
      </c>
      <c r="AT45">
        <v>420</v>
      </c>
      <c r="AU45">
        <v>100</v>
      </c>
      <c r="AV45">
        <v>100</v>
      </c>
      <c r="AW45">
        <v>425698</v>
      </c>
      <c r="AX45">
        <v>344815</v>
      </c>
      <c r="AY45">
        <v>514</v>
      </c>
      <c r="AZ45">
        <v>365</v>
      </c>
      <c r="BA45">
        <v>149</v>
      </c>
      <c r="BB45">
        <v>0</v>
      </c>
      <c r="BC45" s="3">
        <v>44778</v>
      </c>
      <c r="BD45" t="s">
        <v>194</v>
      </c>
      <c r="BE45">
        <v>413500</v>
      </c>
      <c r="BF45">
        <v>390390</v>
      </c>
      <c r="BG45" t="s">
        <v>294</v>
      </c>
      <c r="BH45">
        <v>30</v>
      </c>
      <c r="BI45" t="s">
        <v>65</v>
      </c>
      <c r="BJ45" t="s">
        <v>450</v>
      </c>
      <c r="BK45">
        <v>411900</v>
      </c>
      <c r="BL45">
        <v>60100</v>
      </c>
      <c r="BM45">
        <v>351800</v>
      </c>
      <c r="BN45">
        <v>23110</v>
      </c>
      <c r="BO45">
        <v>0.99613059250302294</v>
      </c>
      <c r="BP45">
        <v>384126.51796484558</v>
      </c>
      <c r="BQ45">
        <v>408169.2671351679</v>
      </c>
      <c r="BR45" s="12">
        <f>(Sales[[#This Row],[DP1]]*Lookups!$B$59)+(Sales[[#This Row],[DP2]]*Lookups!$B$60)+(Sales[[#This Row],[DP3]]*Lookups!$B$61)</f>
        <v>-24042.749171902</v>
      </c>
      <c r="BS45" s="12">
        <f>Lookups!$B$56*0</f>
        <v>0</v>
      </c>
      <c r="BT45" s="12">
        <f>Lookups!$B$56*1</f>
        <v>89850.625589999996</v>
      </c>
      <c r="BU45" s="12">
        <f>Lookups!$B$57*Sales[[#This Row],[LnAcres]]</f>
        <v>-49401.70477837498</v>
      </c>
      <c r="BV45" s="12">
        <f>VLOOKUP(Sales[[#This Row],[Qlty]],Lookups!$A$62:$E$75,2,FALSE)</f>
        <v>44121.038090000002</v>
      </c>
      <c r="BW45" s="12">
        <f>VLOOKUP(Sales[[#This Row],[Cnd]],Lookups!$A$76:$E$84,2,FALSE)</f>
        <v>197752.34721000001</v>
      </c>
      <c r="BX45" s="12">
        <f>Sales[[#This Row],[EffAge]]*Lookups!$B$85</f>
        <v>-10706.188824000001</v>
      </c>
      <c r="BY45" s="12">
        <f>Sales[[#This Row],[MainFn]]*Lookups!$B$86</f>
        <v>78065.698405660005</v>
      </c>
      <c r="BZ45" s="12">
        <f>Sales[[#This Row],[UpprFn]]*Lookups!$B$87</f>
        <v>0</v>
      </c>
      <c r="CA45" s="12">
        <f>Sales[[#This Row],[AddFn]]*Lookups!$B$88</f>
        <v>0</v>
      </c>
      <c r="CB45" s="12">
        <f>Sales[[#This Row],[Bsmt]]*Lookups!$B$89</f>
        <v>28151.274599095999</v>
      </c>
      <c r="CC45" s="12">
        <f>Sales[[#This Row],[Fixtures]]*Lookups!$B$90</f>
        <v>30336.176841600001</v>
      </c>
      <c r="CD45" s="12">
        <f>Sales[[#This Row],[WdDeck]]*Lookups!$B$91</f>
        <v>0</v>
      </c>
      <c r="CE45" s="12">
        <f>SUM(Sales[[#This Row],[Days Prior Total]:[Mdl WdDeck]])</f>
        <v>384126.51796207897</v>
      </c>
      <c r="CF45" s="12">
        <f>ROUND(Sales[[#This Row],[25Det]],-2)</f>
        <v>23100</v>
      </c>
      <c r="CG45" s="12">
        <f>ROUND(SUM(Sales[[#This Row],[Mdl Qlty]:[Mdl WdDeck]])+Sales[[#This Row],[Mdl Res Intercept]]+Sales[[#This Row],[Days Prior Total]],-2)</f>
        <v>343700</v>
      </c>
      <c r="CH45" s="12">
        <f>ROUND(Sales[[#This Row],[Mdl Land Intercept]]+Sales[[#This Row],[Mdl LnAcres]],-2)</f>
        <v>40400</v>
      </c>
      <c r="CI45" s="12">
        <f>Sales[[#This Row],[Unadj Res Value]]+Sales[[#This Row],[Unadj Det Value]]+Sales[[#This Row],[Unadj Land Value]]</f>
        <v>407200</v>
      </c>
      <c r="CJ45" s="13">
        <f>Sales[[#This Row],[Unadj Total Value]]/Sales[[#This Row],[Price]]</f>
        <v>0.98476420798065301</v>
      </c>
      <c r="CK45" s="13">
        <f>(Sales[[#This Row],[Unadj Total Value]]-Sales[[#This Row],[24Final]])/Sales[[#This Row],[24Final]]</f>
        <v>-1.1410536537994658E-2</v>
      </c>
      <c r="CL45">
        <f>VLOOKUP(Sales[[#This Row],[TNbhd]],Lookups!$Q$2:$T$4,4,FALSE)</f>
        <v>0.99970000000000003</v>
      </c>
      <c r="CM45">
        <f>VLOOKUP(Sales[[#This Row],[Qlty]],Lookups!$O$7:$R$21,4,FALSE)</f>
        <v>0.98050000000000004</v>
      </c>
      <c r="CN45">
        <f>VLOOKUP(Sales[[#This Row],[Cnd]],Lookups!$T$7:$W$16,4,FALSE)</f>
        <v>0.99650000000000005</v>
      </c>
      <c r="CO45">
        <f>VLOOKUP(Sales[[#This Row],[LivArea Range]],Lookups!$T$25:$W$37,4,FALSE)</f>
        <v>0.96179999999999999</v>
      </c>
      <c r="CP45">
        <f>VLOOKUP(Sales[[#This Row],[Decade]],Lookups!$O$25:$R$42,4,FALSE)</f>
        <v>0.98119999999999996</v>
      </c>
      <c r="CQ45">
        <f>Sales[[#This Row],[Nbhd Adj]]*0.95</f>
        <v>0.94971499999999998</v>
      </c>
      <c r="CR45">
        <f>Sales[[#This Row],[Nbhd Adj]]*Sales[[#This Row],[Quality Adj]]*Sales[[#This Row],[Condition Adj]]*Sales[[#This Row],[Living Area Adj]]*Sales[[#This Row],[Decade Adj]]*0.95</f>
        <v>0.87571040657064003</v>
      </c>
      <c r="CS45">
        <f>ROUND(SUM(Sales[[#This Row],[Mdl Qlty]:[Mdl WdDeck]])+Sales[[#This Row],[Mdl Res Intercept]]*Sales[[#This Row],[Res Adj ]],-2)</f>
        <v>367700</v>
      </c>
      <c r="CT45">
        <f>ROUND(Sales[[#This Row],[25Det]]*Sales[[#This Row],[Det/Nbhd Adj]],-2)</f>
        <v>21900</v>
      </c>
      <c r="CU45">
        <f>Sales[[#This Row],[Adjusted Res]]+Sales[[#This Row],[Adj Det ]]</f>
        <v>389600</v>
      </c>
      <c r="CV45">
        <f>ROUND((Sales[[#This Row],[Mdl Land Intercept]]+Sales[[#This Row],[Mdl LnAcres]])*Sales[[#This Row],[Det/Nbhd Adj]],-2)</f>
        <v>38400</v>
      </c>
      <c r="CW45">
        <f>Sales[[#This Row],[Adjusted Impr Total]]+Sales[[#This Row],[Adjusted Land Total]]</f>
        <v>428000</v>
      </c>
      <c r="CX45" s="15">
        <f>IFERROR((Sales[[#This Row],[Adjusted Impr Total]]-Sales[[#This Row],[24Bldg]])/Sales[[#This Row],[24Bldg]],0)</f>
        <v>0.10744741330301308</v>
      </c>
      <c r="CY45" s="15">
        <f>(Sales[[#This Row],[Adjusted Land Total]]-Sales[[#This Row],[24Lnd]])/Sales[[#This Row],[24Lnd]]</f>
        <v>-0.36106489184692181</v>
      </c>
      <c r="CZ45" s="15">
        <f>(Sales[[#This Row],[Adjusted Total]]-Sales[[#This Row],[24Final]])/Sales[[#This Row],[24Final]]</f>
        <v>3.9087157076960428E-2</v>
      </c>
      <c r="DA45" s="15">
        <f>(Sales[[#This Row],[Adjusted Total]]+Sales[[#This Row],[Days Prior Total]])/Sales[[#This Row],[Price]]</f>
        <v>0.97692200925779438</v>
      </c>
    </row>
    <row r="46" spans="1:105" x14ac:dyDescent="0.3">
      <c r="A46">
        <v>2025</v>
      </c>
      <c r="B46">
        <v>18132323471</v>
      </c>
      <c r="C46">
        <v>-1.4271163556401458</v>
      </c>
      <c r="D46">
        <v>0.24</v>
      </c>
      <c r="E46">
        <v>10298</v>
      </c>
      <c r="F46">
        <v>6</v>
      </c>
      <c r="G46" t="s">
        <v>126</v>
      </c>
      <c r="H46">
        <v>3033</v>
      </c>
      <c r="I46" t="s">
        <v>349</v>
      </c>
      <c r="J46" t="s">
        <v>30</v>
      </c>
      <c r="K46">
        <v>11</v>
      </c>
      <c r="L46">
        <v>259</v>
      </c>
      <c r="M46" t="s">
        <v>241</v>
      </c>
      <c r="N46" t="s">
        <v>351</v>
      </c>
      <c r="O46" t="s">
        <v>323</v>
      </c>
      <c r="P46">
        <v>60</v>
      </c>
      <c r="Q46">
        <v>1965</v>
      </c>
      <c r="R46">
        <v>1976</v>
      </c>
      <c r="S46">
        <v>59</v>
      </c>
      <c r="T46">
        <v>48</v>
      </c>
      <c r="U46">
        <v>1</v>
      </c>
      <c r="V46">
        <v>1206</v>
      </c>
      <c r="W46">
        <v>0</v>
      </c>
      <c r="X46">
        <v>0</v>
      </c>
      <c r="Y46">
        <v>0</v>
      </c>
      <c r="Z46">
        <v>0</v>
      </c>
      <c r="AA46">
        <v>0</v>
      </c>
      <c r="AB46">
        <v>1206</v>
      </c>
      <c r="AC46">
        <v>1500</v>
      </c>
      <c r="AD46">
        <v>0</v>
      </c>
      <c r="AF46" t="s">
        <v>383</v>
      </c>
      <c r="AG46" t="s">
        <v>148</v>
      </c>
      <c r="AI46">
        <v>0</v>
      </c>
      <c r="AJ46">
        <v>0</v>
      </c>
      <c r="AK46">
        <v>1</v>
      </c>
      <c r="AL46">
        <v>0</v>
      </c>
      <c r="AM46">
        <v>1</v>
      </c>
      <c r="AN46">
        <v>7</v>
      </c>
      <c r="AO46">
        <v>0</v>
      </c>
      <c r="AP46">
        <v>0</v>
      </c>
      <c r="AQ46">
        <v>280</v>
      </c>
      <c r="AR46">
        <v>0</v>
      </c>
      <c r="AS46">
        <v>160</v>
      </c>
      <c r="AT46">
        <v>160</v>
      </c>
      <c r="AU46">
        <v>100</v>
      </c>
      <c r="AV46">
        <v>100</v>
      </c>
      <c r="AW46">
        <v>184733</v>
      </c>
      <c r="AX46">
        <v>136702</v>
      </c>
      <c r="AY46">
        <v>1042</v>
      </c>
      <c r="AZ46">
        <v>365</v>
      </c>
      <c r="BA46">
        <v>365</v>
      </c>
      <c r="BB46">
        <v>312</v>
      </c>
      <c r="BC46" s="3">
        <v>44250</v>
      </c>
      <c r="BD46" t="s">
        <v>422</v>
      </c>
      <c r="BE46">
        <v>218000</v>
      </c>
      <c r="BF46">
        <v>218000</v>
      </c>
      <c r="BG46" t="s">
        <v>294</v>
      </c>
      <c r="BH46">
        <v>30</v>
      </c>
      <c r="BI46" t="s">
        <v>65</v>
      </c>
      <c r="BJ46" t="s">
        <v>450</v>
      </c>
      <c r="BK46">
        <v>289400</v>
      </c>
      <c r="BL46">
        <v>64800</v>
      </c>
      <c r="BM46">
        <v>224600</v>
      </c>
      <c r="BN46">
        <v>0</v>
      </c>
      <c r="BO46">
        <v>1.3275229357798166</v>
      </c>
      <c r="BP46">
        <v>238846.60125258871</v>
      </c>
      <c r="BQ46">
        <v>302130.15976297401</v>
      </c>
      <c r="BR46" s="12">
        <f>(Sales[[#This Row],[DP1]]*Lookups!$B$59)+(Sales[[#This Row],[DP2]]*Lookups!$B$60)+(Sales[[#This Row],[DP3]]*Lookups!$B$61)</f>
        <v>-63283.558519870006</v>
      </c>
      <c r="BS46" s="12">
        <f>Lookups!$B$56*0</f>
        <v>0</v>
      </c>
      <c r="BT46" s="12">
        <f>Lookups!$B$56*1</f>
        <v>89850.625589999996</v>
      </c>
      <c r="BU46" s="12">
        <f>Lookups!$B$57*Sales[[#This Row],[LnAcres]]</f>
        <v>-45174.819855485119</v>
      </c>
      <c r="BV46" s="12">
        <f>VLOOKUP(Sales[[#This Row],[Qlty]],Lookups!$A$62:$E$75,2,FALSE)</f>
        <v>21557.329055999999</v>
      </c>
      <c r="BW46" s="12">
        <f>VLOOKUP(Sales[[#This Row],[Cnd]],Lookups!$A$76:$E$84,2,FALSE)</f>
        <v>160472.20319</v>
      </c>
      <c r="BX46" s="12">
        <f>Sales[[#This Row],[EffAge]]*Lookups!$B$85</f>
        <v>-10706.188824000001</v>
      </c>
      <c r="BY46" s="12">
        <f>Sales[[#This Row],[MainFn]]*Lookups!$B$86</f>
        <v>59586.855871662003</v>
      </c>
      <c r="BZ46" s="12">
        <f>Sales[[#This Row],[UpprFn]]*Lookups!$B$87</f>
        <v>0</v>
      </c>
      <c r="CA46" s="12">
        <f>Sales[[#This Row],[AddFn]]*Lookups!$B$88</f>
        <v>0</v>
      </c>
      <c r="CB46" s="12">
        <f>Sales[[#This Row],[Bsmt]]*Lookups!$B$89</f>
        <v>0</v>
      </c>
      <c r="CC46" s="12">
        <f>Sales[[#This Row],[Fixtures]]*Lookups!$B$90</f>
        <v>26544.1547364</v>
      </c>
      <c r="CD46" s="12">
        <f>Sales[[#This Row],[WdDeck]]*Lookups!$B$91</f>
        <v>0</v>
      </c>
      <c r="CE46" s="12">
        <f>SUM(Sales[[#This Row],[Days Prior Total]:[Mdl WdDeck]])</f>
        <v>238846.60124470686</v>
      </c>
      <c r="CF46" s="12">
        <f>ROUND(Sales[[#This Row],[25Det]],-2)</f>
        <v>0</v>
      </c>
      <c r="CG46" s="12">
        <f>ROUND(SUM(Sales[[#This Row],[Mdl Qlty]:[Mdl WdDeck]])+Sales[[#This Row],[Mdl Res Intercept]]+Sales[[#This Row],[Days Prior Total]],-2)</f>
        <v>194200</v>
      </c>
      <c r="CH46" s="12">
        <f>ROUND(Sales[[#This Row],[Mdl Land Intercept]]+Sales[[#This Row],[Mdl LnAcres]],-2)</f>
        <v>44700</v>
      </c>
      <c r="CI46" s="12">
        <f>Sales[[#This Row],[Unadj Res Value]]+Sales[[#This Row],[Unadj Det Value]]+Sales[[#This Row],[Unadj Land Value]]</f>
        <v>238900</v>
      </c>
      <c r="CJ46" s="13">
        <f>Sales[[#This Row],[Unadj Total Value]]/Sales[[#This Row],[Price]]</f>
        <v>1.0958715596330275</v>
      </c>
      <c r="CK46" s="13">
        <f>(Sales[[#This Row],[Unadj Total Value]]-Sales[[#This Row],[24Final]])/Sales[[#This Row],[24Final]]</f>
        <v>-0.17449896337249482</v>
      </c>
      <c r="CL46">
        <f>VLOOKUP(Sales[[#This Row],[TNbhd]],Lookups!$Q$2:$T$4,4,FALSE)</f>
        <v>0.99970000000000003</v>
      </c>
      <c r="CM46">
        <f>VLOOKUP(Sales[[#This Row],[Qlty]],Lookups!$O$7:$R$21,4,FALSE)</f>
        <v>1.0067999999999999</v>
      </c>
      <c r="CN46">
        <f>VLOOKUP(Sales[[#This Row],[Cnd]],Lookups!$T$7:$W$16,4,FALSE)</f>
        <v>0.99729999999999996</v>
      </c>
      <c r="CO46">
        <f>VLOOKUP(Sales[[#This Row],[LivArea Range]],Lookups!$T$25:$W$37,4,FALSE)</f>
        <v>1.0157</v>
      </c>
      <c r="CP46">
        <f>VLOOKUP(Sales[[#This Row],[Decade]],Lookups!$O$25:$R$42,4,FALSE)</f>
        <v>0.98119999999999996</v>
      </c>
      <c r="CQ46">
        <f>Sales[[#This Row],[Nbhd Adj]]*0.95</f>
        <v>0.94971499999999998</v>
      </c>
      <c r="CR46">
        <f>Sales[[#This Row],[Nbhd Adj]]*Sales[[#This Row],[Quality Adj]]*Sales[[#This Row],[Condition Adj]]*Sales[[#This Row],[Living Area Adj]]*Sales[[#This Row],[Decade Adj]]*0.95</f>
        <v>0.95035379937285946</v>
      </c>
      <c r="CS46">
        <f>ROUND(SUM(Sales[[#This Row],[Mdl Qlty]:[Mdl WdDeck]])+Sales[[#This Row],[Mdl Res Intercept]]*Sales[[#This Row],[Res Adj ]],-2)</f>
        <v>257500</v>
      </c>
      <c r="CT46">
        <f>ROUND(Sales[[#This Row],[25Det]]*Sales[[#This Row],[Det/Nbhd Adj]],-2)</f>
        <v>0</v>
      </c>
      <c r="CU46">
        <f>Sales[[#This Row],[Adjusted Res]]+Sales[[#This Row],[Adj Det ]]</f>
        <v>257500</v>
      </c>
      <c r="CV46">
        <f>ROUND((Sales[[#This Row],[Mdl Land Intercept]]+Sales[[#This Row],[Mdl LnAcres]])*Sales[[#This Row],[Det/Nbhd Adj]],-2)</f>
        <v>42400</v>
      </c>
      <c r="CW46">
        <f>Sales[[#This Row],[Adjusted Impr Total]]+Sales[[#This Row],[Adjusted Land Total]]</f>
        <v>299900</v>
      </c>
      <c r="CX46" s="15">
        <f>IFERROR((Sales[[#This Row],[Adjusted Impr Total]]-Sales[[#This Row],[24Bldg]])/Sales[[#This Row],[24Bldg]],0)</f>
        <v>0.1464826357969724</v>
      </c>
      <c r="CY46" s="15">
        <f>(Sales[[#This Row],[Adjusted Land Total]]-Sales[[#This Row],[24Lnd]])/Sales[[#This Row],[24Lnd]]</f>
        <v>-0.34567901234567899</v>
      </c>
      <c r="CZ46" s="15">
        <f>(Sales[[#This Row],[Adjusted Total]]-Sales[[#This Row],[24Final]])/Sales[[#This Row],[24Final]]</f>
        <v>3.6281962681409811E-2</v>
      </c>
      <c r="DA46" s="15">
        <f>(Sales[[#This Row],[Adjusted Total]]+Sales[[#This Row],[Days Prior Total]])/Sales[[#This Row],[Price]]</f>
        <v>1.085396520551055</v>
      </c>
    </row>
    <row r="47" spans="1:105" x14ac:dyDescent="0.3">
      <c r="A47">
        <v>2025</v>
      </c>
      <c r="B47">
        <v>18132322446</v>
      </c>
      <c r="C47">
        <v>-1.7147984280919266</v>
      </c>
      <c r="D47">
        <v>0.18</v>
      </c>
      <c r="E47">
        <v>0</v>
      </c>
      <c r="F47">
        <v>6</v>
      </c>
      <c r="G47" t="s">
        <v>126</v>
      </c>
      <c r="H47">
        <v>3033</v>
      </c>
      <c r="I47" t="s">
        <v>349</v>
      </c>
      <c r="J47" t="s">
        <v>30</v>
      </c>
      <c r="K47">
        <v>11</v>
      </c>
      <c r="L47">
        <v>259</v>
      </c>
      <c r="M47" t="s">
        <v>241</v>
      </c>
      <c r="N47" t="s">
        <v>148</v>
      </c>
      <c r="O47" t="s">
        <v>303</v>
      </c>
      <c r="P47">
        <v>60</v>
      </c>
      <c r="Q47">
        <v>1965</v>
      </c>
      <c r="R47">
        <v>1976</v>
      </c>
      <c r="S47">
        <v>59</v>
      </c>
      <c r="T47">
        <v>48</v>
      </c>
      <c r="U47">
        <v>1</v>
      </c>
      <c r="V47">
        <v>1050</v>
      </c>
      <c r="W47">
        <v>0</v>
      </c>
      <c r="X47">
        <v>0</v>
      </c>
      <c r="Y47">
        <v>0</v>
      </c>
      <c r="Z47">
        <v>0</v>
      </c>
      <c r="AA47">
        <v>0</v>
      </c>
      <c r="AB47">
        <v>1050</v>
      </c>
      <c r="AC47">
        <v>1500</v>
      </c>
      <c r="AD47">
        <v>1</v>
      </c>
      <c r="AE47" t="s">
        <v>6</v>
      </c>
      <c r="AF47" t="s">
        <v>383</v>
      </c>
      <c r="AG47" t="s">
        <v>148</v>
      </c>
      <c r="AH47" t="s">
        <v>450</v>
      </c>
      <c r="AI47">
        <v>0</v>
      </c>
      <c r="AJ47">
        <v>1</v>
      </c>
      <c r="AK47">
        <v>0</v>
      </c>
      <c r="AL47">
        <v>0</v>
      </c>
      <c r="AM47">
        <v>1</v>
      </c>
      <c r="AN47">
        <v>7</v>
      </c>
      <c r="AO47">
        <v>308</v>
      </c>
      <c r="AP47">
        <v>0</v>
      </c>
      <c r="AQ47">
        <v>150</v>
      </c>
      <c r="AR47">
        <v>0</v>
      </c>
      <c r="AS47">
        <v>280</v>
      </c>
      <c r="AT47">
        <v>280</v>
      </c>
      <c r="AU47">
        <v>100</v>
      </c>
      <c r="AV47">
        <v>100</v>
      </c>
      <c r="AW47">
        <v>243710</v>
      </c>
      <c r="AX47">
        <v>197405</v>
      </c>
      <c r="AY47">
        <v>843</v>
      </c>
      <c r="AZ47">
        <v>365</v>
      </c>
      <c r="BA47">
        <v>365</v>
      </c>
      <c r="BB47">
        <v>113</v>
      </c>
      <c r="BC47" s="3">
        <v>44449</v>
      </c>
      <c r="BD47" t="s">
        <v>473</v>
      </c>
      <c r="BE47">
        <v>235000</v>
      </c>
      <c r="BF47">
        <v>235000</v>
      </c>
      <c r="BG47" t="s">
        <v>294</v>
      </c>
      <c r="BH47">
        <v>30</v>
      </c>
      <c r="BI47" t="s">
        <v>65</v>
      </c>
      <c r="BJ47" t="s">
        <v>450</v>
      </c>
      <c r="BK47">
        <v>316300</v>
      </c>
      <c r="BL47">
        <v>54700</v>
      </c>
      <c r="BM47">
        <v>261600</v>
      </c>
      <c r="BN47">
        <v>0</v>
      </c>
      <c r="BO47">
        <v>1.3459574468085107</v>
      </c>
      <c r="BP47">
        <v>308486.85721126926</v>
      </c>
      <c r="BQ47">
        <v>345159.79485956131</v>
      </c>
      <c r="BR47" s="12">
        <f>(Sales[[#This Row],[DP1]]*Lookups!$B$59)+(Sales[[#This Row],[DP2]]*Lookups!$B$60)+(Sales[[#This Row],[DP3]]*Lookups!$B$61)</f>
        <v>-36672.937652770001</v>
      </c>
      <c r="BS47" s="12">
        <f>Lookups!$B$56*0</f>
        <v>0</v>
      </c>
      <c r="BT47" s="12">
        <f>Lookups!$B$56*1</f>
        <v>89850.625589999996</v>
      </c>
      <c r="BU47" s="12">
        <f>Lookups!$B$57*Sales[[#This Row],[LnAcres]]</f>
        <v>-54281.285314520763</v>
      </c>
      <c r="BV47" s="12">
        <f>VLOOKUP(Sales[[#This Row],[Qlty]],Lookups!$A$62:$E$75,2,FALSE)</f>
        <v>44121.038090000002</v>
      </c>
      <c r="BW47" s="12">
        <f>VLOOKUP(Sales[[#This Row],[Cnd]],Lookups!$A$76:$E$84,2,FALSE)</f>
        <v>197752.34721000001</v>
      </c>
      <c r="BX47" s="12">
        <f>Sales[[#This Row],[EffAge]]*Lookups!$B$85</f>
        <v>-10706.188824000001</v>
      </c>
      <c r="BY47" s="12">
        <f>Sales[[#This Row],[MainFn]]*Lookups!$B$86</f>
        <v>51879.103370850004</v>
      </c>
      <c r="BZ47" s="12">
        <f>Sales[[#This Row],[UpprFn]]*Lookups!$B$87</f>
        <v>0</v>
      </c>
      <c r="CA47" s="12">
        <f>Sales[[#This Row],[AddFn]]*Lookups!$B$88</f>
        <v>0</v>
      </c>
      <c r="CB47" s="12">
        <f>Sales[[#This Row],[Bsmt]]*Lookups!$B$89</f>
        <v>0</v>
      </c>
      <c r="CC47" s="12">
        <f>Sales[[#This Row],[Fixtures]]*Lookups!$B$90</f>
        <v>26544.1547364</v>
      </c>
      <c r="CD47" s="12">
        <f>Sales[[#This Row],[WdDeck]]*Lookups!$B$91</f>
        <v>0</v>
      </c>
      <c r="CE47" s="12">
        <f>SUM(Sales[[#This Row],[Days Prior Total]:[Mdl WdDeck]])</f>
        <v>308486.85720595927</v>
      </c>
      <c r="CF47" s="12">
        <f>ROUND(Sales[[#This Row],[25Det]],-2)</f>
        <v>0</v>
      </c>
      <c r="CG47" s="12">
        <f>ROUND(SUM(Sales[[#This Row],[Mdl Qlty]:[Mdl WdDeck]])+Sales[[#This Row],[Mdl Res Intercept]]+Sales[[#This Row],[Days Prior Total]],-2)</f>
        <v>272900</v>
      </c>
      <c r="CH47" s="12">
        <f>ROUND(Sales[[#This Row],[Mdl Land Intercept]]+Sales[[#This Row],[Mdl LnAcres]],-2)</f>
        <v>35600</v>
      </c>
      <c r="CI47" s="12">
        <f>Sales[[#This Row],[Unadj Res Value]]+Sales[[#This Row],[Unadj Det Value]]+Sales[[#This Row],[Unadj Land Value]]</f>
        <v>308500</v>
      </c>
      <c r="CJ47" s="13">
        <f>Sales[[#This Row],[Unadj Total Value]]/Sales[[#This Row],[Price]]</f>
        <v>1.3127659574468085</v>
      </c>
      <c r="CK47" s="13">
        <f>(Sales[[#This Row],[Unadj Total Value]]-Sales[[#This Row],[24Final]])/Sales[[#This Row],[24Final]]</f>
        <v>-2.4660132785330382E-2</v>
      </c>
      <c r="CL47">
        <f>VLOOKUP(Sales[[#This Row],[TNbhd]],Lookups!$Q$2:$T$4,4,FALSE)</f>
        <v>0.99970000000000003</v>
      </c>
      <c r="CM47">
        <f>VLOOKUP(Sales[[#This Row],[Qlty]],Lookups!$O$7:$R$21,4,FALSE)</f>
        <v>0.98050000000000004</v>
      </c>
      <c r="CN47">
        <f>VLOOKUP(Sales[[#This Row],[Cnd]],Lookups!$T$7:$W$16,4,FALSE)</f>
        <v>0.99650000000000005</v>
      </c>
      <c r="CO47">
        <f>VLOOKUP(Sales[[#This Row],[LivArea Range]],Lookups!$T$25:$W$37,4,FALSE)</f>
        <v>1.0157</v>
      </c>
      <c r="CP47">
        <f>VLOOKUP(Sales[[#This Row],[Decade]],Lookups!$O$25:$R$42,4,FALSE)</f>
        <v>0.98119999999999996</v>
      </c>
      <c r="CQ47">
        <f>Sales[[#This Row],[Nbhd Adj]]*0.95</f>
        <v>0.94971499999999998</v>
      </c>
      <c r="CR47">
        <f>Sales[[#This Row],[Nbhd Adj]]*Sales[[#This Row],[Quality Adj]]*Sales[[#This Row],[Condition Adj]]*Sales[[#This Row],[Living Area Adj]]*Sales[[#This Row],[Decade Adj]]*0.95</f>
        <v>0.92478588059242983</v>
      </c>
      <c r="CS47">
        <f>ROUND(SUM(Sales[[#This Row],[Mdl Qlty]:[Mdl WdDeck]])+Sales[[#This Row],[Mdl Res Intercept]]*Sales[[#This Row],[Res Adj ]],-2)</f>
        <v>309600</v>
      </c>
      <c r="CT47">
        <f>ROUND(Sales[[#This Row],[25Det]]*Sales[[#This Row],[Det/Nbhd Adj]],-2)</f>
        <v>0</v>
      </c>
      <c r="CU47">
        <f>Sales[[#This Row],[Adjusted Res]]+Sales[[#This Row],[Adj Det ]]</f>
        <v>309600</v>
      </c>
      <c r="CV47">
        <f>ROUND((Sales[[#This Row],[Mdl Land Intercept]]+Sales[[#This Row],[Mdl LnAcres]])*Sales[[#This Row],[Det/Nbhd Adj]],-2)</f>
        <v>33800</v>
      </c>
      <c r="CW47">
        <f>Sales[[#This Row],[Adjusted Impr Total]]+Sales[[#This Row],[Adjusted Land Total]]</f>
        <v>343400</v>
      </c>
      <c r="CX47" s="15">
        <f>IFERROR((Sales[[#This Row],[Adjusted Impr Total]]-Sales[[#This Row],[24Bldg]])/Sales[[#This Row],[24Bldg]],0)</f>
        <v>0.1834862385321101</v>
      </c>
      <c r="CY47" s="15">
        <f>(Sales[[#This Row],[Adjusted Land Total]]-Sales[[#This Row],[24Lnd]])/Sales[[#This Row],[24Lnd]]</f>
        <v>-0.38208409506398539</v>
      </c>
      <c r="CZ47" s="15">
        <f>(Sales[[#This Row],[Adjusted Total]]-Sales[[#This Row],[24Final]])/Sales[[#This Row],[24Final]]</f>
        <v>8.5678153651596589E-2</v>
      </c>
      <c r="DA47" s="15">
        <f>(Sales[[#This Row],[Adjusted Total]]+Sales[[#This Row],[Days Prior Total]])/Sales[[#This Row],[Price]]</f>
        <v>1.3052215419031064</v>
      </c>
    </row>
    <row r="48" spans="1:105" x14ac:dyDescent="0.3">
      <c r="A48">
        <v>2025</v>
      </c>
      <c r="B48">
        <v>18132331469</v>
      </c>
      <c r="C48">
        <v>-1.6607312068216509</v>
      </c>
      <c r="D48">
        <v>0.19</v>
      </c>
      <c r="E48">
        <v>0</v>
      </c>
      <c r="F48">
        <v>6</v>
      </c>
      <c r="G48" t="s">
        <v>126</v>
      </c>
      <c r="H48">
        <v>3032</v>
      </c>
      <c r="I48" t="s">
        <v>349</v>
      </c>
      <c r="J48" t="s">
        <v>30</v>
      </c>
      <c r="K48">
        <v>11</v>
      </c>
      <c r="L48">
        <v>259</v>
      </c>
      <c r="M48" t="s">
        <v>241</v>
      </c>
      <c r="N48" t="s">
        <v>351</v>
      </c>
      <c r="O48" t="s">
        <v>303</v>
      </c>
      <c r="P48">
        <v>60</v>
      </c>
      <c r="Q48">
        <v>1964</v>
      </c>
      <c r="R48">
        <v>1975</v>
      </c>
      <c r="S48">
        <v>60</v>
      </c>
      <c r="T48">
        <v>49</v>
      </c>
      <c r="U48">
        <v>1</v>
      </c>
      <c r="V48">
        <v>1262</v>
      </c>
      <c r="W48">
        <v>0</v>
      </c>
      <c r="X48">
        <v>0</v>
      </c>
      <c r="Y48">
        <v>0</v>
      </c>
      <c r="Z48">
        <v>0</v>
      </c>
      <c r="AA48">
        <v>0</v>
      </c>
      <c r="AB48">
        <v>1262</v>
      </c>
      <c r="AC48">
        <v>1500</v>
      </c>
      <c r="AD48">
        <v>2</v>
      </c>
      <c r="AE48" t="s">
        <v>6</v>
      </c>
      <c r="AF48" t="s">
        <v>383</v>
      </c>
      <c r="AG48" t="s">
        <v>148</v>
      </c>
      <c r="AH48" t="s">
        <v>450</v>
      </c>
      <c r="AI48">
        <v>0</v>
      </c>
      <c r="AJ48">
        <v>1</v>
      </c>
      <c r="AK48">
        <v>0</v>
      </c>
      <c r="AL48">
        <v>1</v>
      </c>
      <c r="AM48">
        <v>0</v>
      </c>
      <c r="AN48">
        <v>8</v>
      </c>
      <c r="AO48">
        <v>572</v>
      </c>
      <c r="AP48">
        <v>0</v>
      </c>
      <c r="AQ48">
        <v>0</v>
      </c>
      <c r="AR48">
        <v>0</v>
      </c>
      <c r="AS48">
        <v>170</v>
      </c>
      <c r="AT48">
        <v>0</v>
      </c>
      <c r="AU48">
        <v>100</v>
      </c>
      <c r="AV48">
        <v>100</v>
      </c>
      <c r="AW48">
        <v>208899</v>
      </c>
      <c r="AX48">
        <v>165030</v>
      </c>
      <c r="AY48">
        <v>258</v>
      </c>
      <c r="AZ48">
        <v>258</v>
      </c>
      <c r="BA48">
        <v>0</v>
      </c>
      <c r="BB48">
        <v>0</v>
      </c>
      <c r="BC48" s="3">
        <v>45034</v>
      </c>
      <c r="BD48" t="s">
        <v>395</v>
      </c>
      <c r="BE48">
        <v>365000</v>
      </c>
      <c r="BF48">
        <v>365000</v>
      </c>
      <c r="BG48" t="s">
        <v>294</v>
      </c>
      <c r="BH48">
        <v>30</v>
      </c>
      <c r="BI48" t="s">
        <v>65</v>
      </c>
      <c r="BJ48" t="s">
        <v>450</v>
      </c>
      <c r="BK48">
        <v>308700</v>
      </c>
      <c r="BL48">
        <v>56600</v>
      </c>
      <c r="BM48">
        <v>252100</v>
      </c>
      <c r="BN48">
        <v>0</v>
      </c>
      <c r="BO48">
        <v>0.84575342465753423</v>
      </c>
      <c r="BP48">
        <v>320147.16274352104</v>
      </c>
      <c r="BQ48">
        <v>338351.1774574914</v>
      </c>
      <c r="BR48" s="12">
        <f>(Sales[[#This Row],[DP1]]*Lookups!$B$59)+(Sales[[#This Row],[DP2]]*Lookups!$B$60)+(Sales[[#This Row],[DP3]]*Lookups!$B$61)</f>
        <v>-18204.014715060002</v>
      </c>
      <c r="BS48" s="12">
        <f>Lookups!$B$56*0</f>
        <v>0</v>
      </c>
      <c r="BT48" s="12">
        <f>Lookups!$B$56*1</f>
        <v>89850.625589999996</v>
      </c>
      <c r="BU48" s="12">
        <f>Lookups!$B$57*Sales[[#This Row],[LnAcres]]</f>
        <v>-52569.808201026557</v>
      </c>
      <c r="BV48" s="12">
        <f>VLOOKUP(Sales[[#This Row],[Qlty]],Lookups!$A$62:$E$75,2,FALSE)</f>
        <v>21557.329055999999</v>
      </c>
      <c r="BW48" s="12">
        <f>VLOOKUP(Sales[[#This Row],[Cnd]],Lookups!$A$76:$E$84,2,FALSE)</f>
        <v>197752.34721000001</v>
      </c>
      <c r="BX48" s="12">
        <f>Sales[[#This Row],[EffAge]]*Lookups!$B$85</f>
        <v>-10929.2344245</v>
      </c>
      <c r="BY48" s="12">
        <f>Sales[[#This Row],[MainFn]]*Lookups!$B$86</f>
        <v>62353.741384774003</v>
      </c>
      <c r="BZ48" s="12">
        <f>Sales[[#This Row],[UpprFn]]*Lookups!$B$87</f>
        <v>0</v>
      </c>
      <c r="CA48" s="12">
        <f>Sales[[#This Row],[AddFn]]*Lookups!$B$88</f>
        <v>0</v>
      </c>
      <c r="CB48" s="12">
        <f>Sales[[#This Row],[Bsmt]]*Lookups!$B$89</f>
        <v>0</v>
      </c>
      <c r="CC48" s="12">
        <f>Sales[[#This Row],[Fixtures]]*Lookups!$B$90</f>
        <v>30336.176841600001</v>
      </c>
      <c r="CD48" s="12">
        <f>Sales[[#This Row],[WdDeck]]*Lookups!$B$91</f>
        <v>0</v>
      </c>
      <c r="CE48" s="12">
        <f>SUM(Sales[[#This Row],[Days Prior Total]:[Mdl WdDeck]])</f>
        <v>320147.16274178744</v>
      </c>
      <c r="CF48" s="12">
        <f>ROUND(Sales[[#This Row],[25Det]],-2)</f>
        <v>0</v>
      </c>
      <c r="CG48" s="12">
        <f>ROUND(SUM(Sales[[#This Row],[Mdl Qlty]:[Mdl WdDeck]])+Sales[[#This Row],[Mdl Res Intercept]]+Sales[[#This Row],[Days Prior Total]],-2)</f>
        <v>282900</v>
      </c>
      <c r="CH48" s="12">
        <f>ROUND(Sales[[#This Row],[Mdl Land Intercept]]+Sales[[#This Row],[Mdl LnAcres]],-2)</f>
        <v>37300</v>
      </c>
      <c r="CI48" s="12">
        <f>Sales[[#This Row],[Unadj Res Value]]+Sales[[#This Row],[Unadj Det Value]]+Sales[[#This Row],[Unadj Land Value]]</f>
        <v>320200</v>
      </c>
      <c r="CJ48" s="13">
        <f>Sales[[#This Row],[Unadj Total Value]]/Sales[[#This Row],[Price]]</f>
        <v>0.87726027397260276</v>
      </c>
      <c r="CK48" s="13">
        <f>(Sales[[#This Row],[Unadj Total Value]]-Sales[[#This Row],[24Final]])/Sales[[#This Row],[24Final]]</f>
        <v>3.7252996436669905E-2</v>
      </c>
      <c r="CL48">
        <f>VLOOKUP(Sales[[#This Row],[TNbhd]],Lookups!$Q$2:$T$4,4,FALSE)</f>
        <v>0.99970000000000003</v>
      </c>
      <c r="CM48">
        <f>VLOOKUP(Sales[[#This Row],[Qlty]],Lookups!$O$7:$R$21,4,FALSE)</f>
        <v>1.0067999999999999</v>
      </c>
      <c r="CN48">
        <f>VLOOKUP(Sales[[#This Row],[Cnd]],Lookups!$T$7:$W$16,4,FALSE)</f>
        <v>0.99650000000000005</v>
      </c>
      <c r="CO48">
        <f>VLOOKUP(Sales[[#This Row],[LivArea Range]],Lookups!$T$25:$W$37,4,FALSE)</f>
        <v>1.0157</v>
      </c>
      <c r="CP48">
        <f>VLOOKUP(Sales[[#This Row],[Decade]],Lookups!$O$25:$R$42,4,FALSE)</f>
        <v>0.98119999999999996</v>
      </c>
      <c r="CQ48">
        <f>Sales[[#This Row],[Nbhd Adj]]*0.95</f>
        <v>0.94971499999999998</v>
      </c>
      <c r="CR48">
        <f>Sales[[#This Row],[Nbhd Adj]]*Sales[[#This Row],[Quality Adj]]*Sales[[#This Row],[Condition Adj]]*Sales[[#This Row],[Living Area Adj]]*Sales[[#This Row],[Decade Adj]]*0.95</f>
        <v>0.9495914580116861</v>
      </c>
      <c r="CS48">
        <f>ROUND(SUM(Sales[[#This Row],[Mdl Qlty]:[Mdl WdDeck]])+Sales[[#This Row],[Mdl Res Intercept]]*Sales[[#This Row],[Res Adj ]],-2)</f>
        <v>301100</v>
      </c>
      <c r="CT48">
        <f>ROUND(Sales[[#This Row],[25Det]]*Sales[[#This Row],[Det/Nbhd Adj]],-2)</f>
        <v>0</v>
      </c>
      <c r="CU48">
        <f>Sales[[#This Row],[Adjusted Res]]+Sales[[#This Row],[Adj Det ]]</f>
        <v>301100</v>
      </c>
      <c r="CV48">
        <f>ROUND((Sales[[#This Row],[Mdl Land Intercept]]+Sales[[#This Row],[Mdl LnAcres]])*Sales[[#This Row],[Det/Nbhd Adj]],-2)</f>
        <v>35400</v>
      </c>
      <c r="CW48">
        <f>Sales[[#This Row],[Adjusted Impr Total]]+Sales[[#This Row],[Adjusted Land Total]]</f>
        <v>336500</v>
      </c>
      <c r="CX48" s="15">
        <f>IFERROR((Sales[[#This Row],[Adjusted Impr Total]]-Sales[[#This Row],[24Bldg]])/Sales[[#This Row],[24Bldg]],0)</f>
        <v>0.19436731455771519</v>
      </c>
      <c r="CY48" s="15">
        <f>(Sales[[#This Row],[Adjusted Land Total]]-Sales[[#This Row],[24Lnd]])/Sales[[#This Row],[24Lnd]]</f>
        <v>-0.37455830388692579</v>
      </c>
      <c r="CZ48" s="15">
        <f>(Sales[[#This Row],[Adjusted Total]]-Sales[[#This Row],[24Final]])/Sales[[#This Row],[24Final]]</f>
        <v>9.0055069646906377E-2</v>
      </c>
      <c r="DA48" s="15">
        <f>(Sales[[#This Row],[Adjusted Total]]+Sales[[#This Row],[Days Prior Total]])/Sales[[#This Row],[Price]]</f>
        <v>0.87204379530120546</v>
      </c>
    </row>
    <row r="49" spans="1:105" x14ac:dyDescent="0.3">
      <c r="A49">
        <v>2025</v>
      </c>
      <c r="B49">
        <v>18132324424</v>
      </c>
      <c r="C49">
        <v>-1.7147984280919266</v>
      </c>
      <c r="D49">
        <v>0.18</v>
      </c>
      <c r="E49">
        <v>0</v>
      </c>
      <c r="F49">
        <v>6</v>
      </c>
      <c r="G49" t="s">
        <v>126</v>
      </c>
      <c r="H49">
        <v>3033</v>
      </c>
      <c r="I49" t="s">
        <v>349</v>
      </c>
      <c r="J49" t="s">
        <v>30</v>
      </c>
      <c r="K49">
        <v>11</v>
      </c>
      <c r="L49">
        <v>259</v>
      </c>
      <c r="M49" t="s">
        <v>241</v>
      </c>
      <c r="N49" t="s">
        <v>351</v>
      </c>
      <c r="O49" t="s">
        <v>303</v>
      </c>
      <c r="P49">
        <v>60</v>
      </c>
      <c r="Q49">
        <v>1964</v>
      </c>
      <c r="R49">
        <v>1975</v>
      </c>
      <c r="S49">
        <v>60</v>
      </c>
      <c r="T49">
        <v>49</v>
      </c>
      <c r="U49">
        <v>1</v>
      </c>
      <c r="V49">
        <v>1332</v>
      </c>
      <c r="W49">
        <v>0</v>
      </c>
      <c r="X49">
        <v>0</v>
      </c>
      <c r="Y49">
        <v>0</v>
      </c>
      <c r="Z49">
        <v>0</v>
      </c>
      <c r="AA49">
        <v>0</v>
      </c>
      <c r="AB49">
        <v>1332</v>
      </c>
      <c r="AC49">
        <v>1500</v>
      </c>
      <c r="AD49">
        <v>0</v>
      </c>
      <c r="AE49" t="s">
        <v>6</v>
      </c>
      <c r="AF49" t="s">
        <v>384</v>
      </c>
      <c r="AG49" t="s">
        <v>382</v>
      </c>
      <c r="AI49">
        <v>0</v>
      </c>
      <c r="AJ49">
        <v>0</v>
      </c>
      <c r="AK49">
        <v>0</v>
      </c>
      <c r="AL49">
        <v>0</v>
      </c>
      <c r="AM49">
        <v>1</v>
      </c>
      <c r="AN49">
        <v>8</v>
      </c>
      <c r="AO49">
        <v>0</v>
      </c>
      <c r="AP49">
        <v>0</v>
      </c>
      <c r="AQ49">
        <v>252</v>
      </c>
      <c r="AR49">
        <v>0</v>
      </c>
      <c r="AS49">
        <v>253</v>
      </c>
      <c r="AT49">
        <v>253</v>
      </c>
      <c r="AU49">
        <v>100</v>
      </c>
      <c r="AV49">
        <v>100</v>
      </c>
      <c r="AW49">
        <v>195738</v>
      </c>
      <c r="AX49">
        <v>154633</v>
      </c>
      <c r="AY49">
        <v>165</v>
      </c>
      <c r="AZ49">
        <v>165</v>
      </c>
      <c r="BA49">
        <v>0</v>
      </c>
      <c r="BB49">
        <v>0</v>
      </c>
      <c r="BC49" s="3">
        <v>45127</v>
      </c>
      <c r="BD49" t="s">
        <v>396</v>
      </c>
      <c r="BE49">
        <v>310000</v>
      </c>
      <c r="BF49">
        <v>310000</v>
      </c>
      <c r="BG49" t="s">
        <v>294</v>
      </c>
      <c r="BH49">
        <v>30</v>
      </c>
      <c r="BI49" t="s">
        <v>65</v>
      </c>
      <c r="BJ49" t="s">
        <v>450</v>
      </c>
      <c r="BK49">
        <v>311200</v>
      </c>
      <c r="BL49">
        <v>54700</v>
      </c>
      <c r="BM49">
        <v>256500</v>
      </c>
      <c r="BN49">
        <v>0</v>
      </c>
      <c r="BO49">
        <v>1.0038709677419355</v>
      </c>
      <c r="BP49">
        <v>328456.20480202581</v>
      </c>
      <c r="BQ49">
        <v>340098.30723537895</v>
      </c>
      <c r="BR49" s="12">
        <f>(Sales[[#This Row],[DP1]]*Lookups!$B$59)+(Sales[[#This Row],[DP2]]*Lookups!$B$60)+(Sales[[#This Row],[DP3]]*Lookups!$B$61)</f>
        <v>-11642.102434050001</v>
      </c>
      <c r="BS49" s="12">
        <f>Lookups!$B$56*0</f>
        <v>0</v>
      </c>
      <c r="BT49" s="12">
        <f>Lookups!$B$56*1</f>
        <v>89850.625589999996</v>
      </c>
      <c r="BU49" s="12">
        <f>Lookups!$B$57*Sales[[#This Row],[LnAcres]]</f>
        <v>-54281.285314520763</v>
      </c>
      <c r="BV49" s="12">
        <f>VLOOKUP(Sales[[#This Row],[Qlty]],Lookups!$A$62:$E$75,2,FALSE)</f>
        <v>21557.329055999999</v>
      </c>
      <c r="BW49" s="12">
        <f>VLOOKUP(Sales[[#This Row],[Cnd]],Lookups!$A$76:$E$84,2,FALSE)</f>
        <v>197752.34721000001</v>
      </c>
      <c r="BX49" s="12">
        <f>Sales[[#This Row],[EffAge]]*Lookups!$B$85</f>
        <v>-10929.2344245</v>
      </c>
      <c r="BY49" s="12">
        <f>Sales[[#This Row],[MainFn]]*Lookups!$B$86</f>
        <v>65812.348276164004</v>
      </c>
      <c r="BZ49" s="12">
        <f>Sales[[#This Row],[UpprFn]]*Lookups!$B$87</f>
        <v>0</v>
      </c>
      <c r="CA49" s="12">
        <f>Sales[[#This Row],[AddFn]]*Lookups!$B$88</f>
        <v>0</v>
      </c>
      <c r="CB49" s="12">
        <f>Sales[[#This Row],[Bsmt]]*Lookups!$B$89</f>
        <v>0</v>
      </c>
      <c r="CC49" s="12">
        <f>Sales[[#This Row],[Fixtures]]*Lookups!$B$90</f>
        <v>30336.176841600001</v>
      </c>
      <c r="CD49" s="12">
        <f>Sales[[#This Row],[WdDeck]]*Lookups!$B$91</f>
        <v>0</v>
      </c>
      <c r="CE49" s="12">
        <f>SUM(Sales[[#This Row],[Days Prior Total]:[Mdl WdDeck]])</f>
        <v>328456.2048006932</v>
      </c>
      <c r="CF49" s="12">
        <f>ROUND(Sales[[#This Row],[25Det]],-2)</f>
        <v>0</v>
      </c>
      <c r="CG49" s="12">
        <f>ROUND(SUM(Sales[[#This Row],[Mdl Qlty]:[Mdl WdDeck]])+Sales[[#This Row],[Mdl Res Intercept]]+Sales[[#This Row],[Days Prior Total]],-2)</f>
        <v>292900</v>
      </c>
      <c r="CH49" s="12">
        <f>ROUND(Sales[[#This Row],[Mdl Land Intercept]]+Sales[[#This Row],[Mdl LnAcres]],-2)</f>
        <v>35600</v>
      </c>
      <c r="CI49" s="12">
        <f>Sales[[#This Row],[Unadj Res Value]]+Sales[[#This Row],[Unadj Det Value]]+Sales[[#This Row],[Unadj Land Value]]</f>
        <v>328500</v>
      </c>
      <c r="CJ49" s="13">
        <f>Sales[[#This Row],[Unadj Total Value]]/Sales[[#This Row],[Price]]</f>
        <v>1.0596774193548386</v>
      </c>
      <c r="CK49" s="13">
        <f>(Sales[[#This Row],[Unadj Total Value]]-Sales[[#This Row],[24Final]])/Sales[[#This Row],[24Final]]</f>
        <v>5.5591259640102829E-2</v>
      </c>
      <c r="CL49">
        <f>VLOOKUP(Sales[[#This Row],[TNbhd]],Lookups!$Q$2:$T$4,4,FALSE)</f>
        <v>0.99970000000000003</v>
      </c>
      <c r="CM49">
        <f>VLOOKUP(Sales[[#This Row],[Qlty]],Lookups!$O$7:$R$21,4,FALSE)</f>
        <v>1.0067999999999999</v>
      </c>
      <c r="CN49">
        <f>VLOOKUP(Sales[[#This Row],[Cnd]],Lookups!$T$7:$W$16,4,FALSE)</f>
        <v>0.99650000000000005</v>
      </c>
      <c r="CO49">
        <f>VLOOKUP(Sales[[#This Row],[LivArea Range]],Lookups!$T$25:$W$37,4,FALSE)</f>
        <v>1.0157</v>
      </c>
      <c r="CP49">
        <f>VLOOKUP(Sales[[#This Row],[Decade]],Lookups!$O$25:$R$42,4,FALSE)</f>
        <v>0.98119999999999996</v>
      </c>
      <c r="CQ49">
        <f>Sales[[#This Row],[Nbhd Adj]]*0.95</f>
        <v>0.94971499999999998</v>
      </c>
      <c r="CR49">
        <f>Sales[[#This Row],[Nbhd Adj]]*Sales[[#This Row],[Quality Adj]]*Sales[[#This Row],[Condition Adj]]*Sales[[#This Row],[Living Area Adj]]*Sales[[#This Row],[Decade Adj]]*0.95</f>
        <v>0.9495914580116861</v>
      </c>
      <c r="CS49">
        <f>ROUND(SUM(Sales[[#This Row],[Mdl Qlty]:[Mdl WdDeck]])+Sales[[#This Row],[Mdl Res Intercept]]*Sales[[#This Row],[Res Adj ]],-2)</f>
        <v>304500</v>
      </c>
      <c r="CT49">
        <f>ROUND(Sales[[#This Row],[25Det]]*Sales[[#This Row],[Det/Nbhd Adj]],-2)</f>
        <v>0</v>
      </c>
      <c r="CU49">
        <f>Sales[[#This Row],[Adjusted Res]]+Sales[[#This Row],[Adj Det ]]</f>
        <v>304500</v>
      </c>
      <c r="CV49">
        <f>ROUND((Sales[[#This Row],[Mdl Land Intercept]]+Sales[[#This Row],[Mdl LnAcres]])*Sales[[#This Row],[Det/Nbhd Adj]],-2)</f>
        <v>33800</v>
      </c>
      <c r="CW49">
        <f>Sales[[#This Row],[Adjusted Impr Total]]+Sales[[#This Row],[Adjusted Land Total]]</f>
        <v>338300</v>
      </c>
      <c r="CX49" s="15">
        <f>IFERROR((Sales[[#This Row],[Adjusted Impr Total]]-Sales[[#This Row],[24Bldg]])/Sales[[#This Row],[24Bldg]],0)</f>
        <v>0.1871345029239766</v>
      </c>
      <c r="CY49" s="15">
        <f>(Sales[[#This Row],[Adjusted Land Total]]-Sales[[#This Row],[24Lnd]])/Sales[[#This Row],[24Lnd]]</f>
        <v>-0.38208409506398539</v>
      </c>
      <c r="CZ49" s="15">
        <f>(Sales[[#This Row],[Adjusted Total]]-Sales[[#This Row],[24Final]])/Sales[[#This Row],[24Final]]</f>
        <v>8.7082262210796915E-2</v>
      </c>
      <c r="DA49" s="15">
        <f>(Sales[[#This Row],[Adjusted Total]]+Sales[[#This Row],[Days Prior Total]])/Sales[[#This Row],[Price]]</f>
        <v>1.0537351534385484</v>
      </c>
    </row>
    <row r="50" spans="1:105" x14ac:dyDescent="0.3">
      <c r="A50">
        <v>2025</v>
      </c>
      <c r="B50">
        <v>18132212438</v>
      </c>
      <c r="C50">
        <v>-0.94160853985844495</v>
      </c>
      <c r="D50">
        <v>0.39</v>
      </c>
      <c r="E50">
        <v>16875</v>
      </c>
      <c r="F50">
        <v>6</v>
      </c>
      <c r="G50" t="s">
        <v>126</v>
      </c>
      <c r="H50">
        <v>3032</v>
      </c>
      <c r="I50" t="s">
        <v>349</v>
      </c>
      <c r="J50" t="s">
        <v>30</v>
      </c>
      <c r="K50">
        <v>11</v>
      </c>
      <c r="L50">
        <v>259</v>
      </c>
      <c r="M50" t="s">
        <v>241</v>
      </c>
      <c r="N50" t="s">
        <v>95</v>
      </c>
      <c r="O50" t="s">
        <v>303</v>
      </c>
      <c r="P50">
        <v>60</v>
      </c>
      <c r="Q50">
        <v>1964</v>
      </c>
      <c r="R50">
        <v>1975</v>
      </c>
      <c r="S50">
        <v>60</v>
      </c>
      <c r="T50">
        <v>49</v>
      </c>
      <c r="U50">
        <v>1</v>
      </c>
      <c r="V50">
        <v>2598</v>
      </c>
      <c r="W50">
        <v>0</v>
      </c>
      <c r="X50">
        <v>0</v>
      </c>
      <c r="Y50">
        <v>1274</v>
      </c>
      <c r="Z50">
        <v>374</v>
      </c>
      <c r="AA50">
        <v>900</v>
      </c>
      <c r="AB50">
        <v>3498</v>
      </c>
      <c r="AC50">
        <v>3500</v>
      </c>
      <c r="AD50">
        <v>2</v>
      </c>
      <c r="AF50" t="s">
        <v>383</v>
      </c>
      <c r="AG50" t="s">
        <v>148</v>
      </c>
      <c r="AH50" t="s">
        <v>450</v>
      </c>
      <c r="AI50">
        <v>0</v>
      </c>
      <c r="AJ50">
        <v>1</v>
      </c>
      <c r="AK50">
        <v>0</v>
      </c>
      <c r="AL50">
        <v>1</v>
      </c>
      <c r="AM50">
        <v>1</v>
      </c>
      <c r="AN50">
        <v>11</v>
      </c>
      <c r="AO50">
        <v>600</v>
      </c>
      <c r="AP50">
        <v>0</v>
      </c>
      <c r="AQ50">
        <v>0</v>
      </c>
      <c r="AR50">
        <v>0</v>
      </c>
      <c r="AS50">
        <v>544</v>
      </c>
      <c r="AT50">
        <v>0</v>
      </c>
      <c r="AU50">
        <v>100</v>
      </c>
      <c r="AV50">
        <v>100</v>
      </c>
      <c r="AW50">
        <v>665659</v>
      </c>
      <c r="AX50">
        <v>532527</v>
      </c>
      <c r="AY50">
        <v>906</v>
      </c>
      <c r="AZ50">
        <v>365</v>
      </c>
      <c r="BA50">
        <v>365</v>
      </c>
      <c r="BB50">
        <v>176</v>
      </c>
      <c r="BC50" s="3">
        <v>44386</v>
      </c>
      <c r="BD50" t="s">
        <v>20</v>
      </c>
      <c r="BE50">
        <v>439500</v>
      </c>
      <c r="BF50">
        <v>439500</v>
      </c>
      <c r="BG50" t="s">
        <v>294</v>
      </c>
      <c r="BH50">
        <v>30</v>
      </c>
      <c r="BI50" t="s">
        <v>65</v>
      </c>
      <c r="BJ50" t="s">
        <v>450</v>
      </c>
      <c r="BK50">
        <v>531100</v>
      </c>
      <c r="BL50">
        <v>81700</v>
      </c>
      <c r="BM50">
        <v>449400</v>
      </c>
      <c r="BN50">
        <v>0</v>
      </c>
      <c r="BO50">
        <v>1.2084186575654152</v>
      </c>
      <c r="BP50">
        <v>483164.78801648068</v>
      </c>
      <c r="BQ50">
        <v>528262.19357588771</v>
      </c>
      <c r="BR50" s="12">
        <f>(Sales[[#This Row],[DP1]]*Lookups!$B$59)+(Sales[[#This Row],[DP2]]*Lookups!$B$60)+(Sales[[#This Row],[DP3]]*Lookups!$B$61)</f>
        <v>-45097.405565470006</v>
      </c>
      <c r="BS50" s="12">
        <f>Lookups!$B$56*0</f>
        <v>0</v>
      </c>
      <c r="BT50" s="12">
        <f>Lookups!$B$56*1</f>
        <v>89850.625589999996</v>
      </c>
      <c r="BU50" s="12">
        <f>Lookups!$B$57*Sales[[#This Row],[LnAcres]]</f>
        <v>-29806.256507663158</v>
      </c>
      <c r="BV50" s="12">
        <f>VLOOKUP(Sales[[#This Row],[Qlty]],Lookups!$A$62:$E$75,2,FALSE)</f>
        <v>74268.409664999999</v>
      </c>
      <c r="BW50" s="12">
        <f>VLOOKUP(Sales[[#This Row],[Cnd]],Lookups!$A$76:$E$84,2,FALSE)</f>
        <v>197752.34721000001</v>
      </c>
      <c r="BX50" s="12">
        <f>Sales[[#This Row],[EffAge]]*Lookups!$B$85</f>
        <v>-10929.2344245</v>
      </c>
      <c r="BY50" s="12">
        <f>Sales[[#This Row],[MainFn]]*Lookups!$B$86</f>
        <v>128363.724340446</v>
      </c>
      <c r="BZ50" s="12">
        <f>Sales[[#This Row],[UpprFn]]*Lookups!$B$87</f>
        <v>0</v>
      </c>
      <c r="CA50" s="12">
        <f>Sales[[#This Row],[AddFn]]*Lookups!$B$88</f>
        <v>0</v>
      </c>
      <c r="CB50" s="12">
        <f>Sales[[#This Row],[Bsmt]]*Lookups!$B$89</f>
        <v>37050.334544678</v>
      </c>
      <c r="CC50" s="12">
        <f>Sales[[#This Row],[Fixtures]]*Lookups!$B$90</f>
        <v>41712.243157199999</v>
      </c>
      <c r="CD50" s="12">
        <f>Sales[[#This Row],[WdDeck]]*Lookups!$B$91</f>
        <v>0</v>
      </c>
      <c r="CE50" s="12">
        <f>SUM(Sales[[#This Row],[Days Prior Total]:[Mdl WdDeck]])</f>
        <v>483164.78800969082</v>
      </c>
      <c r="CF50" s="12">
        <f>ROUND(Sales[[#This Row],[25Det]],-2)</f>
        <v>0</v>
      </c>
      <c r="CG50" s="12">
        <f>ROUND(SUM(Sales[[#This Row],[Mdl Qlty]:[Mdl WdDeck]])+Sales[[#This Row],[Mdl Res Intercept]]+Sales[[#This Row],[Days Prior Total]],-2)</f>
        <v>423100</v>
      </c>
      <c r="CH50" s="12">
        <f>ROUND(Sales[[#This Row],[Mdl Land Intercept]]+Sales[[#This Row],[Mdl LnAcres]],-2)</f>
        <v>60000</v>
      </c>
      <c r="CI50" s="12">
        <f>Sales[[#This Row],[Unadj Res Value]]+Sales[[#This Row],[Unadj Det Value]]+Sales[[#This Row],[Unadj Land Value]]</f>
        <v>483100</v>
      </c>
      <c r="CJ50" s="13">
        <f>Sales[[#This Row],[Unadj Total Value]]/Sales[[#This Row],[Price]]</f>
        <v>1.0992036405005687</v>
      </c>
      <c r="CK50" s="13">
        <f>(Sales[[#This Row],[Unadj Total Value]]-Sales[[#This Row],[24Final]])/Sales[[#This Row],[24Final]]</f>
        <v>-9.0378459800414229E-2</v>
      </c>
      <c r="CL50">
        <f>VLOOKUP(Sales[[#This Row],[TNbhd]],Lookups!$Q$2:$T$4,4,FALSE)</f>
        <v>0.99970000000000003</v>
      </c>
      <c r="CM50">
        <f>VLOOKUP(Sales[[#This Row],[Qlty]],Lookups!$O$7:$R$21,4,FALSE)</f>
        <v>0.98380000000000001</v>
      </c>
      <c r="CN50">
        <f>VLOOKUP(Sales[[#This Row],[Cnd]],Lookups!$T$7:$W$16,4,FALSE)</f>
        <v>0.99650000000000005</v>
      </c>
      <c r="CO50">
        <f>VLOOKUP(Sales[[#This Row],[LivArea Range]],Lookups!$T$25:$W$37,4,FALSE)</f>
        <v>1.0126999999999999</v>
      </c>
      <c r="CP50">
        <f>VLOOKUP(Sales[[#This Row],[Decade]],Lookups!$O$25:$R$42,4,FALSE)</f>
        <v>0.98119999999999996</v>
      </c>
      <c r="CQ50">
        <f>Sales[[#This Row],[Nbhd Adj]]*0.95</f>
        <v>0.94971499999999998</v>
      </c>
      <c r="CR50">
        <f>Sales[[#This Row],[Nbhd Adj]]*Sales[[#This Row],[Quality Adj]]*Sales[[#This Row],[Condition Adj]]*Sales[[#This Row],[Living Area Adj]]*Sales[[#This Row],[Decade Adj]]*0.95</f>
        <v>0.92515770085665561</v>
      </c>
      <c r="CS50">
        <f>ROUND(SUM(Sales[[#This Row],[Mdl Qlty]:[Mdl WdDeck]])+Sales[[#This Row],[Mdl Res Intercept]]*Sales[[#This Row],[Res Adj ]],-2)</f>
        <v>468200</v>
      </c>
      <c r="CT50">
        <f>ROUND(Sales[[#This Row],[25Det]]*Sales[[#This Row],[Det/Nbhd Adj]],-2)</f>
        <v>0</v>
      </c>
      <c r="CU50">
        <f>Sales[[#This Row],[Adjusted Res]]+Sales[[#This Row],[Adj Det ]]</f>
        <v>468200</v>
      </c>
      <c r="CV50">
        <f>ROUND((Sales[[#This Row],[Mdl Land Intercept]]+Sales[[#This Row],[Mdl LnAcres]])*Sales[[#This Row],[Det/Nbhd Adj]],-2)</f>
        <v>57000</v>
      </c>
      <c r="CW50">
        <f>Sales[[#This Row],[Adjusted Impr Total]]+Sales[[#This Row],[Adjusted Land Total]]</f>
        <v>525200</v>
      </c>
      <c r="CX50" s="15">
        <f>IFERROR((Sales[[#This Row],[Adjusted Impr Total]]-Sales[[#This Row],[24Bldg]])/Sales[[#This Row],[24Bldg]],0)</f>
        <v>4.1833555852247441E-2</v>
      </c>
      <c r="CY50" s="15">
        <f>(Sales[[#This Row],[Adjusted Land Total]]-Sales[[#This Row],[24Lnd]])/Sales[[#This Row],[24Lnd]]</f>
        <v>-0.30232558139534882</v>
      </c>
      <c r="CZ50" s="15">
        <f>(Sales[[#This Row],[Adjusted Total]]-Sales[[#This Row],[24Final]])/Sales[[#This Row],[24Final]]</f>
        <v>-1.110901901713425E-2</v>
      </c>
      <c r="DA50" s="15">
        <f>(Sales[[#This Row],[Adjusted Total]]+Sales[[#This Row],[Days Prior Total]])/Sales[[#This Row],[Price]]</f>
        <v>1.0923836050842548</v>
      </c>
    </row>
    <row r="51" spans="1:105" x14ac:dyDescent="0.3">
      <c r="A51">
        <v>2025</v>
      </c>
      <c r="B51">
        <v>18132213024</v>
      </c>
      <c r="C51">
        <v>-1.5606477482646683</v>
      </c>
      <c r="D51">
        <v>0.21</v>
      </c>
      <c r="E51">
        <v>9176</v>
      </c>
      <c r="F51">
        <v>6</v>
      </c>
      <c r="G51" t="s">
        <v>126</v>
      </c>
      <c r="H51">
        <v>3033</v>
      </c>
      <c r="I51" t="s">
        <v>349</v>
      </c>
      <c r="J51" t="s">
        <v>146</v>
      </c>
      <c r="K51">
        <v>11</v>
      </c>
      <c r="L51">
        <v>259</v>
      </c>
      <c r="M51" t="s">
        <v>241</v>
      </c>
      <c r="N51" t="s">
        <v>95</v>
      </c>
      <c r="O51" t="s">
        <v>323</v>
      </c>
      <c r="P51">
        <v>60</v>
      </c>
      <c r="Q51">
        <v>1964</v>
      </c>
      <c r="R51">
        <v>1975</v>
      </c>
      <c r="S51">
        <v>60</v>
      </c>
      <c r="T51">
        <v>49</v>
      </c>
      <c r="U51">
        <v>1</v>
      </c>
      <c r="V51">
        <v>1606</v>
      </c>
      <c r="W51">
        <v>0</v>
      </c>
      <c r="X51">
        <v>0</v>
      </c>
      <c r="Y51">
        <v>535</v>
      </c>
      <c r="Z51">
        <v>0</v>
      </c>
      <c r="AA51">
        <v>535</v>
      </c>
      <c r="AB51">
        <v>2141</v>
      </c>
      <c r="AC51">
        <v>2500</v>
      </c>
      <c r="AD51">
        <v>2</v>
      </c>
      <c r="AF51" t="s">
        <v>383</v>
      </c>
      <c r="AG51" t="s">
        <v>382</v>
      </c>
      <c r="AH51" t="s">
        <v>450</v>
      </c>
      <c r="AI51">
        <v>1</v>
      </c>
      <c r="AJ51">
        <v>0</v>
      </c>
      <c r="AK51">
        <v>0</v>
      </c>
      <c r="AL51">
        <v>1</v>
      </c>
      <c r="AM51">
        <v>1</v>
      </c>
      <c r="AN51">
        <v>10</v>
      </c>
      <c r="AO51">
        <v>544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100</v>
      </c>
      <c r="AV51">
        <v>100</v>
      </c>
      <c r="AW51">
        <v>484083</v>
      </c>
      <c r="AX51">
        <v>358221</v>
      </c>
      <c r="AY51">
        <v>921</v>
      </c>
      <c r="AZ51">
        <v>365</v>
      </c>
      <c r="BA51">
        <v>365</v>
      </c>
      <c r="BB51">
        <v>191</v>
      </c>
      <c r="BC51" s="3">
        <v>44371</v>
      </c>
      <c r="BD51" t="s">
        <v>405</v>
      </c>
      <c r="BE51">
        <v>277200</v>
      </c>
      <c r="BF51">
        <v>277200</v>
      </c>
      <c r="BG51" t="s">
        <v>294</v>
      </c>
      <c r="BH51">
        <v>30</v>
      </c>
      <c r="BI51" t="s">
        <v>65</v>
      </c>
      <c r="BJ51" t="s">
        <v>450</v>
      </c>
      <c r="BK51">
        <v>413400</v>
      </c>
      <c r="BL51">
        <v>60100</v>
      </c>
      <c r="BM51">
        <v>353300</v>
      </c>
      <c r="BN51">
        <v>0</v>
      </c>
      <c r="BO51">
        <v>1.4913419913419914</v>
      </c>
      <c r="BP51">
        <v>349986.4268196284</v>
      </c>
      <c r="BQ51">
        <v>397089.65807215794</v>
      </c>
      <c r="BR51" s="12">
        <f>(Sales[[#This Row],[DP1]]*Lookups!$B$59)+(Sales[[#This Row],[DP2]]*Lookups!$B$60)+(Sales[[#This Row],[DP3]]*Lookups!$B$61)</f>
        <v>-47103.231258970001</v>
      </c>
      <c r="BS51" s="12">
        <f>Lookups!$B$56*0</f>
        <v>0</v>
      </c>
      <c r="BT51" s="12">
        <f>Lookups!$B$56*1</f>
        <v>89850.625589999996</v>
      </c>
      <c r="BU51" s="12">
        <f>Lookups!$B$57*Sales[[#This Row],[LnAcres]]</f>
        <v>-49401.70477837498</v>
      </c>
      <c r="BV51" s="12">
        <f>VLOOKUP(Sales[[#This Row],[Qlty]],Lookups!$A$62:$E$75,2,FALSE)</f>
        <v>74268.409664999999</v>
      </c>
      <c r="BW51" s="12">
        <f>VLOOKUP(Sales[[#This Row],[Cnd]],Lookups!$A$76:$E$84,2,FALSE)</f>
        <v>160472.20319</v>
      </c>
      <c r="BX51" s="12">
        <f>Sales[[#This Row],[EffAge]]*Lookups!$B$85</f>
        <v>-10929.2344245</v>
      </c>
      <c r="BY51" s="12">
        <f>Sales[[#This Row],[MainFn]]*Lookups!$B$86</f>
        <v>79350.323822462</v>
      </c>
      <c r="BZ51" s="12">
        <f>Sales[[#This Row],[UpprFn]]*Lookups!$B$87</f>
        <v>0</v>
      </c>
      <c r="CA51" s="12">
        <f>Sales[[#This Row],[AddFn]]*Lookups!$B$88</f>
        <v>0</v>
      </c>
      <c r="CB51" s="12">
        <f>Sales[[#This Row],[Bsmt]]*Lookups!$B$89</f>
        <v>15558.813957144999</v>
      </c>
      <c r="CC51" s="12">
        <f>Sales[[#This Row],[Fixtures]]*Lookups!$B$90</f>
        <v>37920.221052000001</v>
      </c>
      <c r="CD51" s="12">
        <f>Sales[[#This Row],[WdDeck]]*Lookups!$B$91</f>
        <v>0</v>
      </c>
      <c r="CE51" s="12">
        <f>SUM(Sales[[#This Row],[Days Prior Total]:[Mdl WdDeck]])</f>
        <v>349986.426814762</v>
      </c>
      <c r="CF51" s="12">
        <f>ROUND(Sales[[#This Row],[25Det]],-2)</f>
        <v>0</v>
      </c>
      <c r="CG51" s="12">
        <f>ROUND(SUM(Sales[[#This Row],[Mdl Qlty]:[Mdl WdDeck]])+Sales[[#This Row],[Mdl Res Intercept]]+Sales[[#This Row],[Days Prior Total]],-2)</f>
        <v>309500</v>
      </c>
      <c r="CH51" s="12">
        <f>ROUND(Sales[[#This Row],[Mdl Land Intercept]]+Sales[[#This Row],[Mdl LnAcres]],-2)</f>
        <v>40400</v>
      </c>
      <c r="CI51" s="12">
        <f>Sales[[#This Row],[Unadj Res Value]]+Sales[[#This Row],[Unadj Det Value]]+Sales[[#This Row],[Unadj Land Value]]</f>
        <v>349900</v>
      </c>
      <c r="CJ51" s="13">
        <f>Sales[[#This Row],[Unadj Total Value]]/Sales[[#This Row],[Price]]</f>
        <v>1.2622655122655122</v>
      </c>
      <c r="CK51" s="13">
        <f>(Sales[[#This Row],[Unadj Total Value]]-Sales[[#This Row],[24Final]])/Sales[[#This Row],[24Final]]</f>
        <v>-0.15360425737784228</v>
      </c>
      <c r="CL51">
        <f>VLOOKUP(Sales[[#This Row],[TNbhd]],Lookups!$Q$2:$T$4,4,FALSE)</f>
        <v>0.99970000000000003</v>
      </c>
      <c r="CM51">
        <f>VLOOKUP(Sales[[#This Row],[Qlty]],Lookups!$O$7:$R$21,4,FALSE)</f>
        <v>0.98380000000000001</v>
      </c>
      <c r="CN51">
        <f>VLOOKUP(Sales[[#This Row],[Cnd]],Lookups!$T$7:$W$16,4,FALSE)</f>
        <v>0.99729999999999996</v>
      </c>
      <c r="CO51">
        <f>VLOOKUP(Sales[[#This Row],[LivArea Range]],Lookups!$T$25:$W$37,4,FALSE)</f>
        <v>0.98919999999999997</v>
      </c>
      <c r="CP51">
        <f>VLOOKUP(Sales[[#This Row],[Decade]],Lookups!$O$25:$R$42,4,FALSE)</f>
        <v>0.98119999999999996</v>
      </c>
      <c r="CQ51">
        <f>Sales[[#This Row],[Nbhd Adj]]*0.95</f>
        <v>0.94971499999999998</v>
      </c>
      <c r="CR51">
        <f>Sales[[#This Row],[Nbhd Adj]]*Sales[[#This Row],[Quality Adj]]*Sales[[#This Row],[Condition Adj]]*Sales[[#This Row],[Living Area Adj]]*Sales[[#This Row],[Decade Adj]]*0.95</f>
        <v>0.9044146360723555</v>
      </c>
      <c r="CS51">
        <f>ROUND(SUM(Sales[[#This Row],[Mdl Qlty]:[Mdl WdDeck]])+Sales[[#This Row],[Mdl Res Intercept]]*Sales[[#This Row],[Res Adj ]],-2)</f>
        <v>356600</v>
      </c>
      <c r="CT51">
        <f>ROUND(Sales[[#This Row],[25Det]]*Sales[[#This Row],[Det/Nbhd Adj]],-2)</f>
        <v>0</v>
      </c>
      <c r="CU51">
        <f>Sales[[#This Row],[Adjusted Res]]+Sales[[#This Row],[Adj Det ]]</f>
        <v>356600</v>
      </c>
      <c r="CV51">
        <f>ROUND((Sales[[#This Row],[Mdl Land Intercept]]+Sales[[#This Row],[Mdl LnAcres]])*Sales[[#This Row],[Det/Nbhd Adj]],-2)</f>
        <v>38400</v>
      </c>
      <c r="CW51">
        <f>Sales[[#This Row],[Adjusted Impr Total]]+Sales[[#This Row],[Adjusted Land Total]]</f>
        <v>395000</v>
      </c>
      <c r="CX51" s="15">
        <f>IFERROR((Sales[[#This Row],[Adjusted Impr Total]]-Sales[[#This Row],[24Bldg]])/Sales[[#This Row],[24Bldg]],0)</f>
        <v>9.3405038211152001E-3</v>
      </c>
      <c r="CY51" s="15">
        <f>(Sales[[#This Row],[Adjusted Land Total]]-Sales[[#This Row],[24Lnd]])/Sales[[#This Row],[24Lnd]]</f>
        <v>-0.36106489184692181</v>
      </c>
      <c r="CZ51" s="15">
        <f>(Sales[[#This Row],[Adjusted Total]]-Sales[[#This Row],[24Final]])/Sales[[#This Row],[24Final]]</f>
        <v>-4.450895016932753E-2</v>
      </c>
      <c r="DA51" s="15">
        <f>(Sales[[#This Row],[Adjusted Total]]+Sales[[#This Row],[Days Prior Total]])/Sales[[#This Row],[Price]]</f>
        <v>1.255038848272114</v>
      </c>
    </row>
    <row r="52" spans="1:105" x14ac:dyDescent="0.3">
      <c r="A52">
        <v>2025</v>
      </c>
      <c r="B52">
        <v>18132244025</v>
      </c>
      <c r="C52">
        <v>-1.6094379124341003</v>
      </c>
      <c r="D52">
        <v>0.2</v>
      </c>
      <c r="E52">
        <v>8628</v>
      </c>
      <c r="F52">
        <v>6</v>
      </c>
      <c r="G52" t="s">
        <v>126</v>
      </c>
      <c r="H52">
        <v>3093</v>
      </c>
      <c r="I52" t="s">
        <v>349</v>
      </c>
      <c r="J52" t="s">
        <v>30</v>
      </c>
      <c r="K52">
        <v>11</v>
      </c>
      <c r="L52">
        <v>259</v>
      </c>
      <c r="M52" t="s">
        <v>241</v>
      </c>
      <c r="N52" t="s">
        <v>302</v>
      </c>
      <c r="O52" t="s">
        <v>303</v>
      </c>
      <c r="P52">
        <v>70</v>
      </c>
      <c r="Q52">
        <v>1963</v>
      </c>
      <c r="R52">
        <v>1975</v>
      </c>
      <c r="S52">
        <v>61</v>
      </c>
      <c r="T52">
        <v>49</v>
      </c>
      <c r="U52">
        <v>1</v>
      </c>
      <c r="V52">
        <v>1322</v>
      </c>
      <c r="W52">
        <v>0</v>
      </c>
      <c r="X52">
        <v>0</v>
      </c>
      <c r="Y52">
        <v>0</v>
      </c>
      <c r="Z52">
        <v>0</v>
      </c>
      <c r="AA52">
        <v>0</v>
      </c>
      <c r="AB52">
        <v>1322</v>
      </c>
      <c r="AC52">
        <v>1500</v>
      </c>
      <c r="AD52">
        <v>1</v>
      </c>
      <c r="AE52" t="s">
        <v>6</v>
      </c>
      <c r="AF52" t="s">
        <v>208</v>
      </c>
      <c r="AG52" t="s">
        <v>148</v>
      </c>
      <c r="AI52">
        <v>0</v>
      </c>
      <c r="AJ52">
        <v>0</v>
      </c>
      <c r="AK52">
        <v>0</v>
      </c>
      <c r="AL52">
        <v>1</v>
      </c>
      <c r="AM52">
        <v>1</v>
      </c>
      <c r="AN52">
        <v>7</v>
      </c>
      <c r="AO52">
        <v>350</v>
      </c>
      <c r="AP52">
        <v>0</v>
      </c>
      <c r="AQ52">
        <v>0</v>
      </c>
      <c r="AR52">
        <v>0</v>
      </c>
      <c r="AS52">
        <v>290</v>
      </c>
      <c r="AT52">
        <v>290</v>
      </c>
      <c r="AU52">
        <v>100</v>
      </c>
      <c r="AV52">
        <v>100</v>
      </c>
      <c r="AW52">
        <v>239328</v>
      </c>
      <c r="AX52">
        <v>189069</v>
      </c>
      <c r="AY52">
        <v>612</v>
      </c>
      <c r="AZ52">
        <v>365</v>
      </c>
      <c r="BA52">
        <v>247</v>
      </c>
      <c r="BB52">
        <v>0</v>
      </c>
      <c r="BC52" s="3">
        <v>44680</v>
      </c>
      <c r="BD52" t="s">
        <v>14</v>
      </c>
      <c r="BE52">
        <v>326000</v>
      </c>
      <c r="BF52">
        <v>326000</v>
      </c>
      <c r="BG52" t="s">
        <v>294</v>
      </c>
      <c r="BH52">
        <v>30</v>
      </c>
      <c r="BI52" t="s">
        <v>65</v>
      </c>
      <c r="BJ52" t="s">
        <v>450</v>
      </c>
      <c r="BK52">
        <v>317800</v>
      </c>
      <c r="BL52">
        <v>58400</v>
      </c>
      <c r="BM52">
        <v>259400</v>
      </c>
      <c r="BN52">
        <v>0</v>
      </c>
      <c r="BO52">
        <v>0.9748466257668712</v>
      </c>
      <c r="BP52">
        <v>324486.71082524711</v>
      </c>
      <c r="BQ52">
        <v>347404.10917364835</v>
      </c>
      <c r="BR52" s="12">
        <f>(Sales[[#This Row],[DP1]]*Lookups!$B$59)+(Sales[[#This Row],[DP2]]*Lookups!$B$60)+(Sales[[#This Row],[DP3]]*Lookups!$B$61)</f>
        <v>-22917.398350006002</v>
      </c>
      <c r="BS52" s="12">
        <f>Lookups!$B$56*0</f>
        <v>0</v>
      </c>
      <c r="BT52" s="12">
        <f>Lookups!$B$56*1</f>
        <v>89850.625589999996</v>
      </c>
      <c r="BU52" s="12">
        <f>Lookups!$B$57*Sales[[#This Row],[LnAcres]]</f>
        <v>-50946.13867709865</v>
      </c>
      <c r="BV52" s="12">
        <f>VLOOKUP(Sales[[#This Row],[Qlty]],Lookups!$A$62:$E$75,2,FALSE)</f>
        <v>29814.093161000001</v>
      </c>
      <c r="BW52" s="12">
        <f>VLOOKUP(Sales[[#This Row],[Cnd]],Lookups!$A$76:$E$84,2,FALSE)</f>
        <v>197752.34721000001</v>
      </c>
      <c r="BX52" s="12">
        <f>Sales[[#This Row],[EffAge]]*Lookups!$B$85</f>
        <v>-10929.2344245</v>
      </c>
      <c r="BY52" s="12">
        <f>Sales[[#This Row],[MainFn]]*Lookups!$B$86</f>
        <v>65318.261577394005</v>
      </c>
      <c r="BZ52" s="12">
        <f>Sales[[#This Row],[UpprFn]]*Lookups!$B$87</f>
        <v>0</v>
      </c>
      <c r="CA52" s="12">
        <f>Sales[[#This Row],[AddFn]]*Lookups!$B$88</f>
        <v>0</v>
      </c>
      <c r="CB52" s="12">
        <f>Sales[[#This Row],[Bsmt]]*Lookups!$B$89</f>
        <v>0</v>
      </c>
      <c r="CC52" s="12">
        <f>Sales[[#This Row],[Fixtures]]*Lookups!$B$90</f>
        <v>26544.1547364</v>
      </c>
      <c r="CD52" s="12">
        <f>Sales[[#This Row],[WdDeck]]*Lookups!$B$91</f>
        <v>0</v>
      </c>
      <c r="CE52" s="12">
        <f>SUM(Sales[[#This Row],[Days Prior Total]:[Mdl WdDeck]])</f>
        <v>324486.71082318935</v>
      </c>
      <c r="CF52" s="12">
        <f>ROUND(Sales[[#This Row],[25Det]],-2)</f>
        <v>0</v>
      </c>
      <c r="CG52" s="12">
        <f>ROUND(SUM(Sales[[#This Row],[Mdl Qlty]:[Mdl WdDeck]])+Sales[[#This Row],[Mdl Res Intercept]]+Sales[[#This Row],[Days Prior Total]],-2)</f>
        <v>285600</v>
      </c>
      <c r="CH52" s="12">
        <f>ROUND(Sales[[#This Row],[Mdl Land Intercept]]+Sales[[#This Row],[Mdl LnAcres]],-2)</f>
        <v>38900</v>
      </c>
      <c r="CI52" s="12">
        <f>Sales[[#This Row],[Unadj Res Value]]+Sales[[#This Row],[Unadj Det Value]]+Sales[[#This Row],[Unadj Land Value]]</f>
        <v>324500</v>
      </c>
      <c r="CJ52" s="13">
        <f>Sales[[#This Row],[Unadj Total Value]]/Sales[[#This Row],[Price]]</f>
        <v>0.995398773006135</v>
      </c>
      <c r="CK52" s="13">
        <f>(Sales[[#This Row],[Unadj Total Value]]-Sales[[#This Row],[24Final]])/Sales[[#This Row],[24Final]]</f>
        <v>2.1082441787287604E-2</v>
      </c>
      <c r="CL52">
        <f>VLOOKUP(Sales[[#This Row],[TNbhd]],Lookups!$Q$2:$T$4,4,FALSE)</f>
        <v>0.99970000000000003</v>
      </c>
      <c r="CM52">
        <f>VLOOKUP(Sales[[#This Row],[Qlty]],Lookups!$O$7:$R$21,4,FALSE)</f>
        <v>1.0088999999999999</v>
      </c>
      <c r="CN52">
        <f>VLOOKUP(Sales[[#This Row],[Cnd]],Lookups!$T$7:$W$16,4,FALSE)</f>
        <v>0.99650000000000005</v>
      </c>
      <c r="CO52">
        <f>VLOOKUP(Sales[[#This Row],[LivArea Range]],Lookups!$T$25:$W$37,4,FALSE)</f>
        <v>1.0157</v>
      </c>
      <c r="CP52">
        <f>VLOOKUP(Sales[[#This Row],[Decade]],Lookups!$O$25:$R$42,4,FALSE)</f>
        <v>1.0199</v>
      </c>
      <c r="CQ52">
        <f>Sales[[#This Row],[Nbhd Adj]]*0.95</f>
        <v>0.94971499999999998</v>
      </c>
      <c r="CR52">
        <f>Sales[[#This Row],[Nbhd Adj]]*Sales[[#This Row],[Quality Adj]]*Sales[[#This Row],[Condition Adj]]*Sales[[#This Row],[Living Area Adj]]*Sales[[#This Row],[Decade Adj]]*0.95</f>
        <v>0.98910356391210685</v>
      </c>
      <c r="CS52">
        <f>ROUND(SUM(Sales[[#This Row],[Mdl Qlty]:[Mdl WdDeck]])+Sales[[#This Row],[Mdl Res Intercept]]*Sales[[#This Row],[Res Adj ]],-2)</f>
        <v>308500</v>
      </c>
      <c r="CT52">
        <f>ROUND(Sales[[#This Row],[25Det]]*Sales[[#This Row],[Det/Nbhd Adj]],-2)</f>
        <v>0</v>
      </c>
      <c r="CU52">
        <f>Sales[[#This Row],[Adjusted Res]]+Sales[[#This Row],[Adj Det ]]</f>
        <v>308500</v>
      </c>
      <c r="CV52">
        <f>ROUND((Sales[[#This Row],[Mdl Land Intercept]]+Sales[[#This Row],[Mdl LnAcres]])*Sales[[#This Row],[Det/Nbhd Adj]],-2)</f>
        <v>36900</v>
      </c>
      <c r="CW52">
        <f>Sales[[#This Row],[Adjusted Impr Total]]+Sales[[#This Row],[Adjusted Land Total]]</f>
        <v>345400</v>
      </c>
      <c r="CX52" s="15">
        <f>IFERROR((Sales[[#This Row],[Adjusted Impr Total]]-Sales[[#This Row],[24Bldg]])/Sales[[#This Row],[24Bldg]],0)</f>
        <v>0.18928296067848882</v>
      </c>
      <c r="CY52" s="15">
        <f>(Sales[[#This Row],[Adjusted Land Total]]-Sales[[#This Row],[24Lnd]])/Sales[[#This Row],[24Lnd]]</f>
        <v>-0.36815068493150682</v>
      </c>
      <c r="CZ52" s="15">
        <f>(Sales[[#This Row],[Adjusted Total]]-Sales[[#This Row],[24Final]])/Sales[[#This Row],[24Final]]</f>
        <v>8.6847073631214605E-2</v>
      </c>
      <c r="DA52" s="15">
        <f>(Sales[[#This Row],[Adjusted Total]]+Sales[[#This Row],[Days Prior Total]])/Sales[[#This Row],[Price]]</f>
        <v>0.989210434509184</v>
      </c>
    </row>
    <row r="53" spans="1:105" x14ac:dyDescent="0.3">
      <c r="A53">
        <v>2025</v>
      </c>
      <c r="B53">
        <v>18132323414</v>
      </c>
      <c r="C53">
        <v>-1.5606477482646683</v>
      </c>
      <c r="D53">
        <v>0.21</v>
      </c>
      <c r="E53">
        <v>0</v>
      </c>
      <c r="F53">
        <v>6</v>
      </c>
      <c r="G53" t="s">
        <v>126</v>
      </c>
      <c r="H53">
        <v>3033</v>
      </c>
      <c r="I53" t="s">
        <v>349</v>
      </c>
      <c r="J53" t="s">
        <v>30</v>
      </c>
      <c r="K53">
        <v>11</v>
      </c>
      <c r="L53">
        <v>259</v>
      </c>
      <c r="M53" t="s">
        <v>241</v>
      </c>
      <c r="N53" t="s">
        <v>302</v>
      </c>
      <c r="O53" t="s">
        <v>323</v>
      </c>
      <c r="P53">
        <v>70</v>
      </c>
      <c r="Q53">
        <v>1962</v>
      </c>
      <c r="R53">
        <v>1975</v>
      </c>
      <c r="S53">
        <v>62</v>
      </c>
      <c r="T53">
        <v>49</v>
      </c>
      <c r="U53">
        <v>1</v>
      </c>
      <c r="V53">
        <v>1250</v>
      </c>
      <c r="W53">
        <v>0</v>
      </c>
      <c r="X53">
        <v>0</v>
      </c>
      <c r="Y53">
        <v>1250</v>
      </c>
      <c r="Z53">
        <v>0</v>
      </c>
      <c r="AA53">
        <v>1250</v>
      </c>
      <c r="AB53">
        <v>2500</v>
      </c>
      <c r="AC53">
        <v>3000</v>
      </c>
      <c r="AD53">
        <v>0</v>
      </c>
      <c r="AF53" t="s">
        <v>383</v>
      </c>
      <c r="AG53" t="s">
        <v>382</v>
      </c>
      <c r="AH53" t="s">
        <v>450</v>
      </c>
      <c r="AI53">
        <v>0</v>
      </c>
      <c r="AJ53">
        <v>2</v>
      </c>
      <c r="AK53">
        <v>0</v>
      </c>
      <c r="AL53">
        <v>0</v>
      </c>
      <c r="AM53">
        <v>0</v>
      </c>
      <c r="AN53">
        <v>8</v>
      </c>
      <c r="AO53">
        <v>0</v>
      </c>
      <c r="AP53">
        <v>0</v>
      </c>
      <c r="AQ53">
        <v>0</v>
      </c>
      <c r="AR53">
        <v>132</v>
      </c>
      <c r="AS53">
        <v>0</v>
      </c>
      <c r="AT53">
        <v>0</v>
      </c>
      <c r="AU53">
        <v>100</v>
      </c>
      <c r="AV53">
        <v>100</v>
      </c>
      <c r="AW53">
        <v>325572</v>
      </c>
      <c r="AX53">
        <v>234412</v>
      </c>
      <c r="AY53">
        <v>803</v>
      </c>
      <c r="AZ53">
        <v>365</v>
      </c>
      <c r="BA53">
        <v>365</v>
      </c>
      <c r="BB53">
        <v>73</v>
      </c>
      <c r="BC53" s="3">
        <v>44489</v>
      </c>
      <c r="BD53" t="s">
        <v>462</v>
      </c>
      <c r="BE53">
        <v>341000</v>
      </c>
      <c r="BF53">
        <v>334953</v>
      </c>
      <c r="BG53" t="s">
        <v>294</v>
      </c>
      <c r="BH53">
        <v>30</v>
      </c>
      <c r="BI53" t="s">
        <v>65</v>
      </c>
      <c r="BJ53" t="s">
        <v>450</v>
      </c>
      <c r="BK53">
        <v>352300</v>
      </c>
      <c r="BL53">
        <v>60100</v>
      </c>
      <c r="BM53">
        <v>292200</v>
      </c>
      <c r="BN53">
        <v>6047</v>
      </c>
      <c r="BO53">
        <v>1.0331378299120235</v>
      </c>
      <c r="BP53">
        <v>321326.30486668681</v>
      </c>
      <c r="BQ53">
        <v>352650.37399998523</v>
      </c>
      <c r="BR53" s="12">
        <f>(Sales[[#This Row],[DP1]]*Lookups!$B$59)+(Sales[[#This Row],[DP2]]*Lookups!$B$60)+(Sales[[#This Row],[DP3]]*Lookups!$B$61)</f>
        <v>-31324.069136770006</v>
      </c>
      <c r="BS53" s="12">
        <f>Lookups!$B$56*0</f>
        <v>0</v>
      </c>
      <c r="BT53" s="12">
        <f>Lookups!$B$56*1</f>
        <v>89850.625589999996</v>
      </c>
      <c r="BU53" s="12">
        <f>Lookups!$B$57*Sales[[#This Row],[LnAcres]]</f>
        <v>-49401.70477837498</v>
      </c>
      <c r="BV53" s="12">
        <f>VLOOKUP(Sales[[#This Row],[Qlty]],Lookups!$A$62:$E$75,2,FALSE)</f>
        <v>29814.093161000001</v>
      </c>
      <c r="BW53" s="12">
        <f>VLOOKUP(Sales[[#This Row],[Cnd]],Lookups!$A$76:$E$84,2,FALSE)</f>
        <v>160472.20319</v>
      </c>
      <c r="BX53" s="12">
        <f>Sales[[#This Row],[EffAge]]*Lookups!$B$85</f>
        <v>-10929.2344245</v>
      </c>
      <c r="BY53" s="12">
        <f>Sales[[#This Row],[MainFn]]*Lookups!$B$86</f>
        <v>61760.837346250002</v>
      </c>
      <c r="BZ53" s="12">
        <f>Sales[[#This Row],[UpprFn]]*Lookups!$B$87</f>
        <v>0</v>
      </c>
      <c r="CA53" s="12">
        <f>Sales[[#This Row],[AddFn]]*Lookups!$B$88</f>
        <v>0</v>
      </c>
      <c r="CB53" s="12">
        <f>Sales[[#This Row],[Bsmt]]*Lookups!$B$89</f>
        <v>36352.369058749995</v>
      </c>
      <c r="CC53" s="12">
        <f>Sales[[#This Row],[Fixtures]]*Lookups!$B$90</f>
        <v>30336.176841600001</v>
      </c>
      <c r="CD53" s="12">
        <f>Sales[[#This Row],[WdDeck]]*Lookups!$B$91</f>
        <v>4395.0080164320007</v>
      </c>
      <c r="CE53" s="12">
        <f>SUM(Sales[[#This Row],[Days Prior Total]:[Mdl WdDeck]])</f>
        <v>321326.30486438697</v>
      </c>
      <c r="CF53" s="12">
        <f>ROUND(Sales[[#This Row],[25Det]],-2)</f>
        <v>6000</v>
      </c>
      <c r="CG53" s="12">
        <f>ROUND(SUM(Sales[[#This Row],[Mdl Qlty]:[Mdl WdDeck]])+Sales[[#This Row],[Mdl Res Intercept]]+Sales[[#This Row],[Days Prior Total]],-2)</f>
        <v>280900</v>
      </c>
      <c r="CH53" s="12">
        <f>ROUND(Sales[[#This Row],[Mdl Land Intercept]]+Sales[[#This Row],[Mdl LnAcres]],-2)</f>
        <v>40400</v>
      </c>
      <c r="CI53" s="12">
        <f>Sales[[#This Row],[Unadj Res Value]]+Sales[[#This Row],[Unadj Det Value]]+Sales[[#This Row],[Unadj Land Value]]</f>
        <v>327300</v>
      </c>
      <c r="CJ53" s="13">
        <f>Sales[[#This Row],[Unadj Total Value]]/Sales[[#This Row],[Price]]</f>
        <v>0.95982404692082113</v>
      </c>
      <c r="CK53" s="13">
        <f>(Sales[[#This Row],[Unadj Total Value]]-Sales[[#This Row],[24Final]])/Sales[[#This Row],[24Final]]</f>
        <v>-7.0962248084019297E-2</v>
      </c>
      <c r="CL53">
        <f>VLOOKUP(Sales[[#This Row],[TNbhd]],Lookups!$Q$2:$T$4,4,FALSE)</f>
        <v>0.99970000000000003</v>
      </c>
      <c r="CM53">
        <f>VLOOKUP(Sales[[#This Row],[Qlty]],Lookups!$O$7:$R$21,4,FALSE)</f>
        <v>1.0088999999999999</v>
      </c>
      <c r="CN53">
        <f>VLOOKUP(Sales[[#This Row],[Cnd]],Lookups!$T$7:$W$16,4,FALSE)</f>
        <v>0.99729999999999996</v>
      </c>
      <c r="CO53">
        <f>VLOOKUP(Sales[[#This Row],[LivArea Range]],Lookups!$T$25:$W$37,4,FALSE)</f>
        <v>0.96179999999999999</v>
      </c>
      <c r="CP53">
        <f>VLOOKUP(Sales[[#This Row],[Decade]],Lookups!$O$25:$R$42,4,FALSE)</f>
        <v>1.0199</v>
      </c>
      <c r="CQ53">
        <f>Sales[[#This Row],[Nbhd Adj]]*0.95</f>
        <v>0.94971499999999998</v>
      </c>
      <c r="CR53">
        <f>Sales[[#This Row],[Nbhd Adj]]*Sales[[#This Row],[Quality Adj]]*Sales[[#This Row],[Condition Adj]]*Sales[[#This Row],[Living Area Adj]]*Sales[[#This Row],[Decade Adj]]*0.95</f>
        <v>0.93736687670377261</v>
      </c>
      <c r="CS53">
        <f>ROUND(SUM(Sales[[#This Row],[Mdl Qlty]:[Mdl WdDeck]])+Sales[[#This Row],[Mdl Res Intercept]]*Sales[[#This Row],[Res Adj ]],-2)</f>
        <v>312200</v>
      </c>
      <c r="CT53">
        <f>ROUND(Sales[[#This Row],[25Det]]*Sales[[#This Row],[Det/Nbhd Adj]],-2)</f>
        <v>5700</v>
      </c>
      <c r="CU53">
        <f>Sales[[#This Row],[Adjusted Res]]+Sales[[#This Row],[Adj Det ]]</f>
        <v>317900</v>
      </c>
      <c r="CV53">
        <f>ROUND((Sales[[#This Row],[Mdl Land Intercept]]+Sales[[#This Row],[Mdl LnAcres]])*Sales[[#This Row],[Det/Nbhd Adj]],-2)</f>
        <v>38400</v>
      </c>
      <c r="CW53">
        <f>Sales[[#This Row],[Adjusted Impr Total]]+Sales[[#This Row],[Adjusted Land Total]]</f>
        <v>356300</v>
      </c>
      <c r="CX53" s="15">
        <f>IFERROR((Sales[[#This Row],[Adjusted Impr Total]]-Sales[[#This Row],[24Bldg]])/Sales[[#This Row],[24Bldg]],0)</f>
        <v>8.7953456536618749E-2</v>
      </c>
      <c r="CY53" s="15">
        <f>(Sales[[#This Row],[Adjusted Land Total]]-Sales[[#This Row],[24Lnd]])/Sales[[#This Row],[24Lnd]]</f>
        <v>-0.36106489184692181</v>
      </c>
      <c r="CZ53" s="15">
        <f>(Sales[[#This Row],[Adjusted Total]]-Sales[[#This Row],[24Final]])/Sales[[#This Row],[24Final]]</f>
        <v>1.1353959693443088E-2</v>
      </c>
      <c r="DA53" s="15">
        <f>(Sales[[#This Row],[Adjusted Total]]+Sales[[#This Row],[Days Prior Total]])/Sales[[#This Row],[Price]]</f>
        <v>0.95300859490683287</v>
      </c>
    </row>
    <row r="54" spans="1:105" x14ac:dyDescent="0.3">
      <c r="A54">
        <v>2025</v>
      </c>
      <c r="B54">
        <v>18132212430</v>
      </c>
      <c r="C54">
        <v>-0.9942522733438669</v>
      </c>
      <c r="D54">
        <v>0.37</v>
      </c>
      <c r="E54">
        <v>16006</v>
      </c>
      <c r="F54">
        <v>6</v>
      </c>
      <c r="G54" t="s">
        <v>126</v>
      </c>
      <c r="H54">
        <v>3032</v>
      </c>
      <c r="I54" t="s">
        <v>349</v>
      </c>
      <c r="J54" t="s">
        <v>30</v>
      </c>
      <c r="K54">
        <v>11</v>
      </c>
      <c r="L54">
        <v>259</v>
      </c>
      <c r="M54" t="s">
        <v>241</v>
      </c>
      <c r="N54" t="s">
        <v>95</v>
      </c>
      <c r="O54" t="s">
        <v>323</v>
      </c>
      <c r="P54">
        <v>70</v>
      </c>
      <c r="Q54">
        <v>1962</v>
      </c>
      <c r="R54">
        <v>1975</v>
      </c>
      <c r="S54">
        <v>62</v>
      </c>
      <c r="T54">
        <v>49</v>
      </c>
      <c r="U54">
        <v>1</v>
      </c>
      <c r="V54">
        <v>2187</v>
      </c>
      <c r="W54">
        <v>0</v>
      </c>
      <c r="X54">
        <v>0</v>
      </c>
      <c r="Y54">
        <v>2187</v>
      </c>
      <c r="Z54">
        <v>660</v>
      </c>
      <c r="AA54">
        <v>1527</v>
      </c>
      <c r="AB54">
        <v>3714</v>
      </c>
      <c r="AC54">
        <v>4000</v>
      </c>
      <c r="AD54">
        <v>2</v>
      </c>
      <c r="AE54" t="s">
        <v>6</v>
      </c>
      <c r="AF54" t="s">
        <v>208</v>
      </c>
      <c r="AG54" t="s">
        <v>148</v>
      </c>
      <c r="AI54">
        <v>0</v>
      </c>
      <c r="AJ54">
        <v>2</v>
      </c>
      <c r="AK54">
        <v>0</v>
      </c>
      <c r="AL54">
        <v>2</v>
      </c>
      <c r="AM54">
        <v>0</v>
      </c>
      <c r="AN54">
        <v>13</v>
      </c>
      <c r="AO54">
        <v>506</v>
      </c>
      <c r="AP54">
        <v>0</v>
      </c>
      <c r="AQ54">
        <v>0</v>
      </c>
      <c r="AR54">
        <v>450</v>
      </c>
      <c r="AS54">
        <v>450</v>
      </c>
      <c r="AT54">
        <v>475</v>
      </c>
      <c r="AU54">
        <v>100</v>
      </c>
      <c r="AV54">
        <v>100</v>
      </c>
      <c r="AW54">
        <v>716174</v>
      </c>
      <c r="AX54">
        <v>529969</v>
      </c>
      <c r="AY54">
        <v>768</v>
      </c>
      <c r="AZ54">
        <v>365</v>
      </c>
      <c r="BA54">
        <v>365</v>
      </c>
      <c r="BB54">
        <v>38</v>
      </c>
      <c r="BC54" s="3">
        <v>44524</v>
      </c>
      <c r="BD54" t="s">
        <v>53</v>
      </c>
      <c r="BE54">
        <v>479500</v>
      </c>
      <c r="BF54">
        <v>479500</v>
      </c>
      <c r="BG54" t="s">
        <v>294</v>
      </c>
      <c r="BH54">
        <v>30</v>
      </c>
      <c r="BI54" t="s">
        <v>65</v>
      </c>
      <c r="BJ54" t="s">
        <v>450</v>
      </c>
      <c r="BK54">
        <v>535400</v>
      </c>
      <c r="BL54">
        <v>79900</v>
      </c>
      <c r="BM54">
        <v>455500</v>
      </c>
      <c r="BN54">
        <v>0</v>
      </c>
      <c r="BO54">
        <v>1.1165797705943692</v>
      </c>
      <c r="BP54">
        <v>491483.65634242736</v>
      </c>
      <c r="BQ54">
        <v>518127.46552510641</v>
      </c>
      <c r="BR54" s="12">
        <f>(Sales[[#This Row],[DP1]]*Lookups!$B$59)+(Sales[[#This Row],[DP2]]*Lookups!$B$60)+(Sales[[#This Row],[DP3]]*Lookups!$B$61)</f>
        <v>-26643.809185270002</v>
      </c>
      <c r="BS54" s="12">
        <f>Lookups!$B$56*0</f>
        <v>0</v>
      </c>
      <c r="BT54" s="12">
        <f>Lookups!$B$56*1</f>
        <v>89850.625589999996</v>
      </c>
      <c r="BU54" s="12">
        <f>Lookups!$B$57*Sales[[#This Row],[LnAcres]]</f>
        <v>-31472.673662315807</v>
      </c>
      <c r="BV54" s="12">
        <f>VLOOKUP(Sales[[#This Row],[Qlty]],Lookups!$A$62:$E$75,2,FALSE)</f>
        <v>74268.409664999999</v>
      </c>
      <c r="BW54" s="12">
        <f>VLOOKUP(Sales[[#This Row],[Cnd]],Lookups!$A$76:$E$84,2,FALSE)</f>
        <v>160472.20319</v>
      </c>
      <c r="BX54" s="12">
        <f>Sales[[#This Row],[EffAge]]*Lookups!$B$85</f>
        <v>-10929.2344245</v>
      </c>
      <c r="BY54" s="12">
        <f>Sales[[#This Row],[MainFn]]*Lookups!$B$86</f>
        <v>108056.76102099901</v>
      </c>
      <c r="BZ54" s="12">
        <f>Sales[[#This Row],[UpprFn]]*Lookups!$B$87</f>
        <v>0</v>
      </c>
      <c r="CA54" s="12">
        <f>Sales[[#This Row],[AddFn]]*Lookups!$B$88</f>
        <v>0</v>
      </c>
      <c r="CB54" s="12">
        <f>Sales[[#This Row],[Bsmt]]*Lookups!$B$89</f>
        <v>63602.104905188993</v>
      </c>
      <c r="CC54" s="12">
        <f>Sales[[#This Row],[Fixtures]]*Lookups!$B$90</f>
        <v>49296.287367600002</v>
      </c>
      <c r="CD54" s="12">
        <f>Sales[[#This Row],[WdDeck]]*Lookups!$B$91</f>
        <v>14982.981874200001</v>
      </c>
      <c r="CE54" s="12">
        <f>SUM(Sales[[#This Row],[Days Prior Total]:[Mdl WdDeck]])</f>
        <v>491483.65634090226</v>
      </c>
      <c r="CF54" s="12">
        <f>ROUND(Sales[[#This Row],[25Det]],-2)</f>
        <v>0</v>
      </c>
      <c r="CG54" s="12">
        <f>ROUND(SUM(Sales[[#This Row],[Mdl Qlty]:[Mdl WdDeck]])+Sales[[#This Row],[Mdl Res Intercept]]+Sales[[#This Row],[Days Prior Total]],-2)</f>
        <v>433100</v>
      </c>
      <c r="CH54" s="12">
        <f>ROUND(Sales[[#This Row],[Mdl Land Intercept]]+Sales[[#This Row],[Mdl LnAcres]],-2)</f>
        <v>58400</v>
      </c>
      <c r="CI54" s="12">
        <f>Sales[[#This Row],[Unadj Res Value]]+Sales[[#This Row],[Unadj Det Value]]+Sales[[#This Row],[Unadj Land Value]]</f>
        <v>491500</v>
      </c>
      <c r="CJ54" s="13">
        <f>Sales[[#This Row],[Unadj Total Value]]/Sales[[#This Row],[Price]]</f>
        <v>1.0250260688216892</v>
      </c>
      <c r="CK54" s="13">
        <f>(Sales[[#This Row],[Unadj Total Value]]-Sales[[#This Row],[24Final]])/Sales[[#This Row],[24Final]]</f>
        <v>-8.1994770265222269E-2</v>
      </c>
      <c r="CL54">
        <f>VLOOKUP(Sales[[#This Row],[TNbhd]],Lookups!$Q$2:$T$4,4,FALSE)</f>
        <v>0.99970000000000003</v>
      </c>
      <c r="CM54">
        <f>VLOOKUP(Sales[[#This Row],[Qlty]],Lookups!$O$7:$R$21,4,FALSE)</f>
        <v>0.98380000000000001</v>
      </c>
      <c r="CN54">
        <f>VLOOKUP(Sales[[#This Row],[Cnd]],Lookups!$T$7:$W$16,4,FALSE)</f>
        <v>0.99729999999999996</v>
      </c>
      <c r="CO54">
        <f>VLOOKUP(Sales[[#This Row],[LivArea Range]],Lookups!$T$25:$W$37,4,FALSE)</f>
        <v>0.94579999999999997</v>
      </c>
      <c r="CP54">
        <f>VLOOKUP(Sales[[#This Row],[Decade]],Lookups!$O$25:$R$42,4,FALSE)</f>
        <v>1.0199</v>
      </c>
      <c r="CQ54">
        <f>Sales[[#This Row],[Nbhd Adj]]*0.95</f>
        <v>0.94971499999999998</v>
      </c>
      <c r="CR54">
        <f>Sales[[#This Row],[Nbhd Adj]]*Sales[[#This Row],[Quality Adj]]*Sales[[#This Row],[Condition Adj]]*Sales[[#This Row],[Living Area Adj]]*Sales[[#This Row],[Decade Adj]]*0.95</f>
        <v>0.89884092112146985</v>
      </c>
      <c r="CS54">
        <f>ROUND(SUM(Sales[[#This Row],[Mdl Qlty]:[Mdl WdDeck]])+Sales[[#This Row],[Mdl Res Intercept]]*Sales[[#This Row],[Res Adj ]],-2)</f>
        <v>459700</v>
      </c>
      <c r="CT54">
        <f>ROUND(Sales[[#This Row],[25Det]]*Sales[[#This Row],[Det/Nbhd Adj]],-2)</f>
        <v>0</v>
      </c>
      <c r="CU54">
        <f>Sales[[#This Row],[Adjusted Res]]+Sales[[#This Row],[Adj Det ]]</f>
        <v>459700</v>
      </c>
      <c r="CV54">
        <f>ROUND((Sales[[#This Row],[Mdl Land Intercept]]+Sales[[#This Row],[Mdl LnAcres]])*Sales[[#This Row],[Det/Nbhd Adj]],-2)</f>
        <v>55400</v>
      </c>
      <c r="CW54">
        <f>Sales[[#This Row],[Adjusted Impr Total]]+Sales[[#This Row],[Adjusted Land Total]]</f>
        <v>515100</v>
      </c>
      <c r="CX54" s="15">
        <f>IFERROR((Sales[[#This Row],[Adjusted Impr Total]]-Sales[[#This Row],[24Bldg]])/Sales[[#This Row],[24Bldg]],0)</f>
        <v>9.2206366630076843E-3</v>
      </c>
      <c r="CY54" s="15">
        <f>(Sales[[#This Row],[Adjusted Land Total]]-Sales[[#This Row],[24Lnd]])/Sales[[#This Row],[24Lnd]]</f>
        <v>-0.30663329161451813</v>
      </c>
      <c r="CZ54" s="15">
        <f>(Sales[[#This Row],[Adjusted Total]]-Sales[[#This Row],[24Final]])/Sales[[#This Row],[24Final]]</f>
        <v>-3.7915577138587973E-2</v>
      </c>
      <c r="DA54" s="15">
        <f>(Sales[[#This Row],[Adjusted Total]]+Sales[[#This Row],[Days Prior Total]])/Sales[[#This Row],[Price]]</f>
        <v>1.0186781873091346</v>
      </c>
    </row>
    <row r="55" spans="1:105" x14ac:dyDescent="0.3">
      <c r="A55">
        <v>2025</v>
      </c>
      <c r="B55">
        <v>18132241478</v>
      </c>
      <c r="C55">
        <v>-1.6607312068216509</v>
      </c>
      <c r="D55">
        <v>0.19</v>
      </c>
      <c r="E55">
        <v>8400</v>
      </c>
      <c r="F55">
        <v>6</v>
      </c>
      <c r="G55" t="s">
        <v>126</v>
      </c>
      <c r="H55">
        <v>3033</v>
      </c>
      <c r="I55" t="s">
        <v>349</v>
      </c>
      <c r="J55" t="s">
        <v>30</v>
      </c>
      <c r="K55">
        <v>11</v>
      </c>
      <c r="L55">
        <v>259</v>
      </c>
      <c r="M55" t="s">
        <v>242</v>
      </c>
      <c r="N55" t="s">
        <v>302</v>
      </c>
      <c r="O55" t="s">
        <v>323</v>
      </c>
      <c r="P55">
        <v>70</v>
      </c>
      <c r="Q55">
        <v>1962</v>
      </c>
      <c r="R55">
        <v>1975</v>
      </c>
      <c r="S55">
        <v>62</v>
      </c>
      <c r="T55">
        <v>49</v>
      </c>
      <c r="U55">
        <v>1</v>
      </c>
      <c r="V55">
        <v>1116</v>
      </c>
      <c r="W55">
        <v>0</v>
      </c>
      <c r="X55">
        <v>0</v>
      </c>
      <c r="Y55">
        <v>1131</v>
      </c>
      <c r="Z55">
        <v>0</v>
      </c>
      <c r="AA55">
        <v>1131</v>
      </c>
      <c r="AB55">
        <v>2247</v>
      </c>
      <c r="AC55">
        <v>2500</v>
      </c>
      <c r="AD55">
        <v>2</v>
      </c>
      <c r="AF55" t="s">
        <v>384</v>
      </c>
      <c r="AG55" t="s">
        <v>382</v>
      </c>
      <c r="AH55" t="s">
        <v>65</v>
      </c>
      <c r="AI55">
        <v>0</v>
      </c>
      <c r="AJ55">
        <v>1</v>
      </c>
      <c r="AK55">
        <v>0</v>
      </c>
      <c r="AL55">
        <v>1</v>
      </c>
      <c r="AM55">
        <v>0</v>
      </c>
      <c r="AN55">
        <v>9</v>
      </c>
      <c r="AO55">
        <v>713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100</v>
      </c>
      <c r="AV55">
        <v>100</v>
      </c>
      <c r="AW55">
        <v>338059</v>
      </c>
      <c r="AX55">
        <v>243402</v>
      </c>
      <c r="AY55">
        <v>746</v>
      </c>
      <c r="AZ55">
        <v>365</v>
      </c>
      <c r="BA55">
        <v>365</v>
      </c>
      <c r="BB55">
        <v>16</v>
      </c>
      <c r="BC55" s="3">
        <v>44546</v>
      </c>
      <c r="BD55" t="s">
        <v>463</v>
      </c>
      <c r="BE55">
        <v>289000</v>
      </c>
      <c r="BF55">
        <v>289000</v>
      </c>
      <c r="BG55" t="s">
        <v>294</v>
      </c>
      <c r="BH55">
        <v>30</v>
      </c>
      <c r="BI55" t="s">
        <v>65</v>
      </c>
      <c r="BJ55" t="s">
        <v>450</v>
      </c>
      <c r="BK55">
        <v>336700</v>
      </c>
      <c r="BL55">
        <v>56600</v>
      </c>
      <c r="BM55">
        <v>280100</v>
      </c>
      <c r="BN55">
        <v>0</v>
      </c>
      <c r="BO55">
        <v>1.1650519031141868</v>
      </c>
      <c r="BP55">
        <v>315095.84586881852</v>
      </c>
      <c r="BQ55">
        <v>338797.777368251</v>
      </c>
      <c r="BR55" s="12">
        <f>(Sales[[#This Row],[DP1]]*Lookups!$B$59)+(Sales[[#This Row],[DP2]]*Lookups!$B$60)+(Sales[[#This Row],[DP3]]*Lookups!$B$61)</f>
        <v>-23701.931501470004</v>
      </c>
      <c r="BS55" s="12">
        <f>Lookups!$B$56*0</f>
        <v>0</v>
      </c>
      <c r="BT55" s="12">
        <f>Lookups!$B$56*1</f>
        <v>89850.625589999996</v>
      </c>
      <c r="BU55" s="12">
        <f>Lookups!$B$57*Sales[[#This Row],[LnAcres]]</f>
        <v>-52569.808201026557</v>
      </c>
      <c r="BV55" s="12">
        <f>VLOOKUP(Sales[[#This Row],[Qlty]],Lookups!$A$62:$E$75,2,FALSE)</f>
        <v>29814.093161000001</v>
      </c>
      <c r="BW55" s="12">
        <f>VLOOKUP(Sales[[#This Row],[Cnd]],Lookups!$A$76:$E$84,2,FALSE)</f>
        <v>160472.20319</v>
      </c>
      <c r="BX55" s="12">
        <f>Sales[[#This Row],[EffAge]]*Lookups!$B$85</f>
        <v>-10929.2344245</v>
      </c>
      <c r="BY55" s="12">
        <f>Sales[[#This Row],[MainFn]]*Lookups!$B$86</f>
        <v>55140.075582732003</v>
      </c>
      <c r="BZ55" s="12">
        <f>Sales[[#This Row],[UpprFn]]*Lookups!$B$87</f>
        <v>0</v>
      </c>
      <c r="CA55" s="12">
        <f>Sales[[#This Row],[AddFn]]*Lookups!$B$88</f>
        <v>0</v>
      </c>
      <c r="CB55" s="12">
        <f>Sales[[#This Row],[Bsmt]]*Lookups!$B$89</f>
        <v>32891.623524356997</v>
      </c>
      <c r="CC55" s="12">
        <f>Sales[[#This Row],[Fixtures]]*Lookups!$B$90</f>
        <v>34128.198946800003</v>
      </c>
      <c r="CD55" s="12">
        <f>Sales[[#This Row],[WdDeck]]*Lookups!$B$91</f>
        <v>0</v>
      </c>
      <c r="CE55" s="12">
        <f>SUM(Sales[[#This Row],[Days Prior Total]:[Mdl WdDeck]])</f>
        <v>315095.84586789249</v>
      </c>
      <c r="CF55" s="12">
        <f>ROUND(Sales[[#This Row],[25Det]],-2)</f>
        <v>0</v>
      </c>
      <c r="CG55" s="12">
        <f>ROUND(SUM(Sales[[#This Row],[Mdl Qlty]:[Mdl WdDeck]])+Sales[[#This Row],[Mdl Res Intercept]]+Sales[[#This Row],[Days Prior Total]],-2)</f>
        <v>277800</v>
      </c>
      <c r="CH55" s="12">
        <f>ROUND(Sales[[#This Row],[Mdl Land Intercept]]+Sales[[#This Row],[Mdl LnAcres]],-2)</f>
        <v>37300</v>
      </c>
      <c r="CI55" s="12">
        <f>Sales[[#This Row],[Unadj Res Value]]+Sales[[#This Row],[Unadj Det Value]]+Sales[[#This Row],[Unadj Land Value]]</f>
        <v>315100</v>
      </c>
      <c r="CJ55" s="13">
        <f>Sales[[#This Row],[Unadj Total Value]]/Sales[[#This Row],[Price]]</f>
        <v>1.090311418685121</v>
      </c>
      <c r="CK55" s="13">
        <f>(Sales[[#This Row],[Unadj Total Value]]-Sales[[#This Row],[24Final]])/Sales[[#This Row],[24Final]]</f>
        <v>-6.4152064152064148E-2</v>
      </c>
      <c r="CL55">
        <f>VLOOKUP(Sales[[#This Row],[TNbhd]],Lookups!$Q$2:$T$4,4,FALSE)</f>
        <v>0.99970000000000003</v>
      </c>
      <c r="CM55">
        <f>VLOOKUP(Sales[[#This Row],[Qlty]],Lookups!$O$7:$R$21,4,FALSE)</f>
        <v>1.0088999999999999</v>
      </c>
      <c r="CN55">
        <f>VLOOKUP(Sales[[#This Row],[Cnd]],Lookups!$T$7:$W$16,4,FALSE)</f>
        <v>0.99729999999999996</v>
      </c>
      <c r="CO55">
        <f>VLOOKUP(Sales[[#This Row],[LivArea Range]],Lookups!$T$25:$W$37,4,FALSE)</f>
        <v>0.98919999999999997</v>
      </c>
      <c r="CP55">
        <f>VLOOKUP(Sales[[#This Row],[Decade]],Lookups!$O$25:$R$42,4,FALSE)</f>
        <v>1.0199</v>
      </c>
      <c r="CQ55">
        <f>Sales[[#This Row],[Nbhd Adj]]*0.95</f>
        <v>0.94971499999999998</v>
      </c>
      <c r="CR55">
        <f>Sales[[#This Row],[Nbhd Adj]]*Sales[[#This Row],[Quality Adj]]*Sales[[#This Row],[Condition Adj]]*Sales[[#This Row],[Living Area Adj]]*Sales[[#This Row],[Decade Adj]]*0.95</f>
        <v>0.96407081974981479</v>
      </c>
      <c r="CS55">
        <f>ROUND(SUM(Sales[[#This Row],[Mdl Qlty]:[Mdl WdDeck]])+Sales[[#This Row],[Mdl Res Intercept]]*Sales[[#This Row],[Res Adj ]],-2)</f>
        <v>301500</v>
      </c>
      <c r="CT55">
        <f>ROUND(Sales[[#This Row],[25Det]]*Sales[[#This Row],[Det/Nbhd Adj]],-2)</f>
        <v>0</v>
      </c>
      <c r="CU55">
        <f>Sales[[#This Row],[Adjusted Res]]+Sales[[#This Row],[Adj Det ]]</f>
        <v>301500</v>
      </c>
      <c r="CV55">
        <f>ROUND((Sales[[#This Row],[Mdl Land Intercept]]+Sales[[#This Row],[Mdl LnAcres]])*Sales[[#This Row],[Det/Nbhd Adj]],-2)</f>
        <v>35400</v>
      </c>
      <c r="CW55">
        <f>Sales[[#This Row],[Adjusted Impr Total]]+Sales[[#This Row],[Adjusted Land Total]]</f>
        <v>336900</v>
      </c>
      <c r="CX55" s="15">
        <f>IFERROR((Sales[[#This Row],[Adjusted Impr Total]]-Sales[[#This Row],[24Bldg]])/Sales[[#This Row],[24Bldg]],0)</f>
        <v>7.6401285255265974E-2</v>
      </c>
      <c r="CY55" s="15">
        <f>(Sales[[#This Row],[Adjusted Land Total]]-Sales[[#This Row],[24Lnd]])/Sales[[#This Row],[24Lnd]]</f>
        <v>-0.37455830388692579</v>
      </c>
      <c r="CZ55" s="15">
        <f>(Sales[[#This Row],[Adjusted Total]]-Sales[[#This Row],[24Final]])/Sales[[#This Row],[24Final]]</f>
        <v>5.9400059400059396E-4</v>
      </c>
      <c r="DA55" s="15">
        <f>(Sales[[#This Row],[Adjusted Total]]+Sales[[#This Row],[Days Prior Total]])/Sales[[#This Row],[Price]]</f>
        <v>1.0837303408253633</v>
      </c>
    </row>
    <row r="56" spans="1:105" x14ac:dyDescent="0.3">
      <c r="A56">
        <v>2025</v>
      </c>
      <c r="B56">
        <v>18132322444</v>
      </c>
      <c r="C56">
        <v>-1.7719568419318752</v>
      </c>
      <c r="D56">
        <v>0.17</v>
      </c>
      <c r="E56">
        <v>0</v>
      </c>
      <c r="F56">
        <v>6</v>
      </c>
      <c r="G56" t="s">
        <v>126</v>
      </c>
      <c r="H56" t="s">
        <v>349</v>
      </c>
      <c r="I56" t="s">
        <v>349</v>
      </c>
      <c r="J56" t="s">
        <v>30</v>
      </c>
      <c r="K56">
        <v>11</v>
      </c>
      <c r="L56">
        <v>259</v>
      </c>
      <c r="M56" t="s">
        <v>241</v>
      </c>
      <c r="N56" t="s">
        <v>351</v>
      </c>
      <c r="O56" t="s">
        <v>206</v>
      </c>
      <c r="P56">
        <v>70</v>
      </c>
      <c r="Q56">
        <v>1961</v>
      </c>
      <c r="R56">
        <v>1975</v>
      </c>
      <c r="S56">
        <v>63</v>
      </c>
      <c r="T56">
        <v>49</v>
      </c>
      <c r="U56">
        <v>1</v>
      </c>
      <c r="V56">
        <v>1156</v>
      </c>
      <c r="W56">
        <v>0</v>
      </c>
      <c r="X56">
        <v>0</v>
      </c>
      <c r="Y56">
        <v>1056</v>
      </c>
      <c r="Z56">
        <v>556</v>
      </c>
      <c r="AA56">
        <v>500</v>
      </c>
      <c r="AB56">
        <v>1656</v>
      </c>
      <c r="AC56">
        <v>2000</v>
      </c>
      <c r="AD56">
        <v>1</v>
      </c>
      <c r="AE56" t="s">
        <v>6</v>
      </c>
      <c r="AF56" t="s">
        <v>383</v>
      </c>
      <c r="AG56" t="s">
        <v>148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5</v>
      </c>
      <c r="AO56">
        <v>288</v>
      </c>
      <c r="AP56">
        <v>0</v>
      </c>
      <c r="AQ56">
        <v>0</v>
      </c>
      <c r="AR56">
        <v>95</v>
      </c>
      <c r="AS56">
        <v>256</v>
      </c>
      <c r="AT56">
        <v>256</v>
      </c>
      <c r="AU56">
        <v>100</v>
      </c>
      <c r="AV56">
        <v>100</v>
      </c>
      <c r="AW56">
        <v>215222</v>
      </c>
      <c r="AX56">
        <v>154960</v>
      </c>
      <c r="AY56">
        <v>54</v>
      </c>
      <c r="AZ56">
        <v>54</v>
      </c>
      <c r="BA56">
        <v>0</v>
      </c>
      <c r="BB56">
        <v>0</v>
      </c>
      <c r="BC56" s="3">
        <v>45238</v>
      </c>
      <c r="BD56" t="s">
        <v>215</v>
      </c>
      <c r="BE56">
        <v>289000</v>
      </c>
      <c r="BF56">
        <v>289000</v>
      </c>
      <c r="BG56" t="s">
        <v>294</v>
      </c>
      <c r="BH56">
        <v>30</v>
      </c>
      <c r="BI56" t="s">
        <v>65</v>
      </c>
      <c r="BJ56" t="s">
        <v>450</v>
      </c>
      <c r="BK56">
        <v>287600</v>
      </c>
      <c r="BL56">
        <v>52700</v>
      </c>
      <c r="BM56">
        <v>234900</v>
      </c>
      <c r="BN56">
        <v>0</v>
      </c>
      <c r="BO56">
        <v>0.99515570934256059</v>
      </c>
      <c r="BP56">
        <v>284242.59111390426</v>
      </c>
      <c r="BQ56">
        <v>288052.73372845619</v>
      </c>
      <c r="BR56" s="12">
        <f>(Sales[[#This Row],[DP1]]*Lookups!$B$59)+(Sales[[#This Row],[DP2]]*Lookups!$B$60)+(Sales[[#This Row],[DP3]]*Lookups!$B$61)</f>
        <v>-3810.1426147800003</v>
      </c>
      <c r="BS56" s="12">
        <f>Lookups!$B$56*0</f>
        <v>0</v>
      </c>
      <c r="BT56" s="12">
        <f>Lookups!$B$56*1</f>
        <v>89850.625589999996</v>
      </c>
      <c r="BU56" s="12">
        <f>Lookups!$B$57*Sales[[#This Row],[LnAcres]]</f>
        <v>-56090.612940989391</v>
      </c>
      <c r="BV56" s="12">
        <f>VLOOKUP(Sales[[#This Row],[Qlty]],Lookups!$A$62:$E$75,2,FALSE)</f>
        <v>21557.329055999999</v>
      </c>
      <c r="BW56" s="12">
        <f>VLOOKUP(Sales[[#This Row],[Cnd]],Lookups!$A$76:$E$84,2,FALSE)</f>
        <v>133714.53821</v>
      </c>
      <c r="BX56" s="12">
        <f>Sales[[#This Row],[EffAge]]*Lookups!$B$85</f>
        <v>-10929.2344245</v>
      </c>
      <c r="BY56" s="12">
        <f>Sales[[#This Row],[MainFn]]*Lookups!$B$86</f>
        <v>57116.422377811999</v>
      </c>
      <c r="BZ56" s="12">
        <f>Sales[[#This Row],[UpprFn]]*Lookups!$B$87</f>
        <v>0</v>
      </c>
      <c r="CA56" s="12">
        <f>Sales[[#This Row],[AddFn]]*Lookups!$B$88</f>
        <v>0</v>
      </c>
      <c r="CB56" s="12">
        <f>Sales[[#This Row],[Bsmt]]*Lookups!$B$89</f>
        <v>30710.481380832</v>
      </c>
      <c r="CC56" s="12">
        <f>Sales[[#This Row],[Fixtures]]*Lookups!$B$90</f>
        <v>18960.110526</v>
      </c>
      <c r="CD56" s="12">
        <f>Sales[[#This Row],[WdDeck]]*Lookups!$B$91</f>
        <v>3163.0739512200003</v>
      </c>
      <c r="CE56" s="12">
        <f>SUM(Sales[[#This Row],[Days Prior Total]:[Mdl WdDeck]])</f>
        <v>284242.59111159464</v>
      </c>
      <c r="CF56" s="12">
        <f>ROUND(Sales[[#This Row],[25Det]],-2)</f>
        <v>0</v>
      </c>
      <c r="CG56" s="12">
        <f>ROUND(SUM(Sales[[#This Row],[Mdl Qlty]:[Mdl WdDeck]])+Sales[[#This Row],[Mdl Res Intercept]]+Sales[[#This Row],[Days Prior Total]],-2)</f>
        <v>250500</v>
      </c>
      <c r="CH56" s="12">
        <f>ROUND(Sales[[#This Row],[Mdl Land Intercept]]+Sales[[#This Row],[Mdl LnAcres]],-2)</f>
        <v>33800</v>
      </c>
      <c r="CI56" s="12">
        <f>Sales[[#This Row],[Unadj Res Value]]+Sales[[#This Row],[Unadj Det Value]]+Sales[[#This Row],[Unadj Land Value]]</f>
        <v>284300</v>
      </c>
      <c r="CJ56" s="13">
        <f>Sales[[#This Row],[Unadj Total Value]]/Sales[[#This Row],[Price]]</f>
        <v>0.98373702422145326</v>
      </c>
      <c r="CK56" s="13">
        <f>(Sales[[#This Row],[Unadj Total Value]]-Sales[[#This Row],[24Final]])/Sales[[#This Row],[24Final]]</f>
        <v>-1.1474269819193325E-2</v>
      </c>
      <c r="CL56">
        <f>VLOOKUP(Sales[[#This Row],[TNbhd]],Lookups!$Q$2:$T$4,4,FALSE)</f>
        <v>0.99970000000000003</v>
      </c>
      <c r="CM56">
        <f>VLOOKUP(Sales[[#This Row],[Qlty]],Lookups!$O$7:$R$21,4,FALSE)</f>
        <v>1.0067999999999999</v>
      </c>
      <c r="CN56">
        <f>VLOOKUP(Sales[[#This Row],[Cnd]],Lookups!$T$7:$W$16,4,FALSE)</f>
        <v>0.99329999999999996</v>
      </c>
      <c r="CO56">
        <f>VLOOKUP(Sales[[#This Row],[LivArea Range]],Lookups!$T$25:$W$37,4,FALSE)</f>
        <v>1.0093000000000001</v>
      </c>
      <c r="CP56">
        <f>VLOOKUP(Sales[[#This Row],[Decade]],Lookups!$O$25:$R$42,4,FALSE)</f>
        <v>1.0199</v>
      </c>
      <c r="CQ56">
        <f>Sales[[#This Row],[Nbhd Adj]]*0.95</f>
        <v>0.94971499999999998</v>
      </c>
      <c r="CR56">
        <f>Sales[[#This Row],[Nbhd Adj]]*Sales[[#This Row],[Quality Adj]]*Sales[[#This Row],[Condition Adj]]*Sales[[#This Row],[Living Area Adj]]*Sales[[#This Row],[Decade Adj]]*0.95</f>
        <v>0.97767566352077906</v>
      </c>
      <c r="CS56">
        <f>ROUND(SUM(Sales[[#This Row],[Mdl Qlty]:[Mdl WdDeck]])+Sales[[#This Row],[Mdl Res Intercept]]*Sales[[#This Row],[Res Adj ]],-2)</f>
        <v>254300</v>
      </c>
      <c r="CT56">
        <f>ROUND(Sales[[#This Row],[25Det]]*Sales[[#This Row],[Det/Nbhd Adj]],-2)</f>
        <v>0</v>
      </c>
      <c r="CU56">
        <f>Sales[[#This Row],[Adjusted Res]]+Sales[[#This Row],[Adj Det ]]</f>
        <v>254300</v>
      </c>
      <c r="CV56">
        <f>ROUND((Sales[[#This Row],[Mdl Land Intercept]]+Sales[[#This Row],[Mdl LnAcres]])*Sales[[#This Row],[Det/Nbhd Adj]],-2)</f>
        <v>32100</v>
      </c>
      <c r="CW56">
        <f>Sales[[#This Row],[Adjusted Impr Total]]+Sales[[#This Row],[Adjusted Land Total]]</f>
        <v>286400</v>
      </c>
      <c r="CX56" s="15">
        <f>IFERROR((Sales[[#This Row],[Adjusted Impr Total]]-Sales[[#This Row],[24Bldg]])/Sales[[#This Row],[24Bldg]],0)</f>
        <v>8.2588335461898685E-2</v>
      </c>
      <c r="CY56" s="15">
        <f>(Sales[[#This Row],[Adjusted Land Total]]-Sales[[#This Row],[24Lnd]])/Sales[[#This Row],[24Lnd]]</f>
        <v>-0.39089184060721061</v>
      </c>
      <c r="CZ56" s="15">
        <f>(Sales[[#This Row],[Adjusted Total]]-Sales[[#This Row],[24Final]])/Sales[[#This Row],[24Final]]</f>
        <v>-4.172461752433936E-3</v>
      </c>
      <c r="DA56" s="15">
        <f>(Sales[[#This Row],[Adjusted Total]]+Sales[[#This Row],[Days Prior Total]])/Sales[[#This Row],[Price]]</f>
        <v>0.97781957572740485</v>
      </c>
    </row>
    <row r="57" spans="1:105" x14ac:dyDescent="0.3">
      <c r="A57">
        <v>2025</v>
      </c>
      <c r="B57">
        <v>18132322443</v>
      </c>
      <c r="C57">
        <v>-1.7719568419318752</v>
      </c>
      <c r="D57">
        <v>0.17</v>
      </c>
      <c r="E57">
        <v>0</v>
      </c>
      <c r="F57">
        <v>6</v>
      </c>
      <c r="G57" t="s">
        <v>126</v>
      </c>
      <c r="H57">
        <v>3033</v>
      </c>
      <c r="I57" t="s">
        <v>349</v>
      </c>
      <c r="J57" t="s">
        <v>30</v>
      </c>
      <c r="K57">
        <v>11</v>
      </c>
      <c r="L57">
        <v>259</v>
      </c>
      <c r="M57" t="s">
        <v>241</v>
      </c>
      <c r="N57" t="s">
        <v>302</v>
      </c>
      <c r="O57" t="s">
        <v>323</v>
      </c>
      <c r="P57">
        <v>70</v>
      </c>
      <c r="Q57">
        <v>1961</v>
      </c>
      <c r="R57">
        <v>1975</v>
      </c>
      <c r="S57">
        <v>63</v>
      </c>
      <c r="T57">
        <v>49</v>
      </c>
      <c r="U57">
        <v>1</v>
      </c>
      <c r="V57">
        <v>1453</v>
      </c>
      <c r="W57">
        <v>0</v>
      </c>
      <c r="X57">
        <v>0</v>
      </c>
      <c r="Y57">
        <v>1153</v>
      </c>
      <c r="Z57">
        <v>0</v>
      </c>
      <c r="AA57">
        <v>1153</v>
      </c>
      <c r="AB57">
        <v>2606</v>
      </c>
      <c r="AC57">
        <v>3000</v>
      </c>
      <c r="AD57">
        <v>0</v>
      </c>
      <c r="AE57" t="s">
        <v>6</v>
      </c>
      <c r="AF57" t="s">
        <v>383</v>
      </c>
      <c r="AG57" t="s">
        <v>148</v>
      </c>
      <c r="AH57" t="s">
        <v>65</v>
      </c>
      <c r="AI57">
        <v>0</v>
      </c>
      <c r="AJ57">
        <v>1</v>
      </c>
      <c r="AK57">
        <v>0</v>
      </c>
      <c r="AL57">
        <v>2</v>
      </c>
      <c r="AM57">
        <v>1</v>
      </c>
      <c r="AN57">
        <v>10</v>
      </c>
      <c r="AO57">
        <v>0</v>
      </c>
      <c r="AP57">
        <v>0</v>
      </c>
      <c r="AQ57">
        <v>0</v>
      </c>
      <c r="AR57">
        <v>0</v>
      </c>
      <c r="AS57">
        <v>399</v>
      </c>
      <c r="AT57">
        <v>0</v>
      </c>
      <c r="AU57">
        <v>100</v>
      </c>
      <c r="AV57">
        <v>100</v>
      </c>
      <c r="AW57">
        <v>339914</v>
      </c>
      <c r="AX57">
        <v>244738</v>
      </c>
      <c r="AY57">
        <v>802</v>
      </c>
      <c r="AZ57">
        <v>365</v>
      </c>
      <c r="BA57">
        <v>365</v>
      </c>
      <c r="BB57">
        <v>72</v>
      </c>
      <c r="BC57" s="3">
        <v>44490</v>
      </c>
      <c r="BD57" t="s">
        <v>364</v>
      </c>
      <c r="BE57">
        <v>300000</v>
      </c>
      <c r="BF57">
        <v>300000</v>
      </c>
      <c r="BG57" t="s">
        <v>294</v>
      </c>
      <c r="BH57">
        <v>30</v>
      </c>
      <c r="BI57" t="s">
        <v>65</v>
      </c>
      <c r="BJ57" t="s">
        <v>450</v>
      </c>
      <c r="BK57">
        <v>357300</v>
      </c>
      <c r="BL57">
        <v>52700</v>
      </c>
      <c r="BM57">
        <v>304600</v>
      </c>
      <c r="BN57">
        <v>0</v>
      </c>
      <c r="BO57">
        <v>1.1910000000000001</v>
      </c>
      <c r="BP57">
        <v>325169.17075703276</v>
      </c>
      <c r="BQ57">
        <v>356359.51817745634</v>
      </c>
      <c r="BR57" s="12">
        <f>(Sales[[#This Row],[DP1]]*Lookups!$B$59)+(Sales[[#This Row],[DP2]]*Lookups!$B$60)+(Sales[[#This Row],[DP3]]*Lookups!$B$61)</f>
        <v>-31190.347423870004</v>
      </c>
      <c r="BS57" s="12">
        <f>Lookups!$B$56*0</f>
        <v>0</v>
      </c>
      <c r="BT57" s="12">
        <f>Lookups!$B$56*1</f>
        <v>89850.625589999996</v>
      </c>
      <c r="BU57" s="12">
        <f>Lookups!$B$57*Sales[[#This Row],[LnAcres]]</f>
        <v>-56090.612940989391</v>
      </c>
      <c r="BV57" s="12">
        <f>VLOOKUP(Sales[[#This Row],[Qlty]],Lookups!$A$62:$E$75,2,FALSE)</f>
        <v>29814.093161000001</v>
      </c>
      <c r="BW57" s="12">
        <f>VLOOKUP(Sales[[#This Row],[Cnd]],Lookups!$A$76:$E$84,2,FALSE)</f>
        <v>160472.20319</v>
      </c>
      <c r="BX57" s="12">
        <f>Sales[[#This Row],[EffAge]]*Lookups!$B$85</f>
        <v>-10929.2344245</v>
      </c>
      <c r="BY57" s="12">
        <f>Sales[[#This Row],[MainFn]]*Lookups!$B$86</f>
        <v>71790.797331281006</v>
      </c>
      <c r="BZ57" s="12">
        <f>Sales[[#This Row],[UpprFn]]*Lookups!$B$87</f>
        <v>0</v>
      </c>
      <c r="CA57" s="12">
        <f>Sales[[#This Row],[AddFn]]*Lookups!$B$88</f>
        <v>0</v>
      </c>
      <c r="CB57" s="12">
        <f>Sales[[#This Row],[Bsmt]]*Lookups!$B$89</f>
        <v>33531.425219790995</v>
      </c>
      <c r="CC57" s="12">
        <f>Sales[[#This Row],[Fixtures]]*Lookups!$B$90</f>
        <v>37920.221052000001</v>
      </c>
      <c r="CD57" s="12">
        <f>Sales[[#This Row],[WdDeck]]*Lookups!$B$91</f>
        <v>0</v>
      </c>
      <c r="CE57" s="12">
        <f>SUM(Sales[[#This Row],[Days Prior Total]:[Mdl WdDeck]])</f>
        <v>325169.1707547126</v>
      </c>
      <c r="CF57" s="12">
        <f>ROUND(Sales[[#This Row],[25Det]],-2)</f>
        <v>0</v>
      </c>
      <c r="CG57" s="12">
        <f>ROUND(SUM(Sales[[#This Row],[Mdl Qlty]:[Mdl WdDeck]])+Sales[[#This Row],[Mdl Res Intercept]]+Sales[[#This Row],[Days Prior Total]],-2)</f>
        <v>291400</v>
      </c>
      <c r="CH57" s="12">
        <f>ROUND(Sales[[#This Row],[Mdl Land Intercept]]+Sales[[#This Row],[Mdl LnAcres]],-2)</f>
        <v>33800</v>
      </c>
      <c r="CI57" s="12">
        <f>Sales[[#This Row],[Unadj Res Value]]+Sales[[#This Row],[Unadj Det Value]]+Sales[[#This Row],[Unadj Land Value]]</f>
        <v>325200</v>
      </c>
      <c r="CJ57" s="13">
        <f>Sales[[#This Row],[Unadj Total Value]]/Sales[[#This Row],[Price]]</f>
        <v>1.0840000000000001</v>
      </c>
      <c r="CK57" s="13">
        <f>(Sales[[#This Row],[Unadj Total Value]]-Sales[[#This Row],[24Final]])/Sales[[#This Row],[24Final]]</f>
        <v>-8.984047019311503E-2</v>
      </c>
      <c r="CL57">
        <f>VLOOKUP(Sales[[#This Row],[TNbhd]],Lookups!$Q$2:$T$4,4,FALSE)</f>
        <v>0.99970000000000003</v>
      </c>
      <c r="CM57">
        <f>VLOOKUP(Sales[[#This Row],[Qlty]],Lookups!$O$7:$R$21,4,FALSE)</f>
        <v>1.0088999999999999</v>
      </c>
      <c r="CN57">
        <f>VLOOKUP(Sales[[#This Row],[Cnd]],Lookups!$T$7:$W$16,4,FALSE)</f>
        <v>0.99729999999999996</v>
      </c>
      <c r="CO57">
        <f>VLOOKUP(Sales[[#This Row],[LivArea Range]],Lookups!$T$25:$W$37,4,FALSE)</f>
        <v>0.96179999999999999</v>
      </c>
      <c r="CP57">
        <f>VLOOKUP(Sales[[#This Row],[Decade]],Lookups!$O$25:$R$42,4,FALSE)</f>
        <v>1.0199</v>
      </c>
      <c r="CQ57">
        <f>Sales[[#This Row],[Nbhd Adj]]*0.95</f>
        <v>0.94971499999999998</v>
      </c>
      <c r="CR57">
        <f>Sales[[#This Row],[Nbhd Adj]]*Sales[[#This Row],[Quality Adj]]*Sales[[#This Row],[Condition Adj]]*Sales[[#This Row],[Living Area Adj]]*Sales[[#This Row],[Decade Adj]]*0.95</f>
        <v>0.93736687670377261</v>
      </c>
      <c r="CS57">
        <f>ROUND(SUM(Sales[[#This Row],[Mdl Qlty]:[Mdl WdDeck]])+Sales[[#This Row],[Mdl Res Intercept]]*Sales[[#This Row],[Res Adj ]],-2)</f>
        <v>322600</v>
      </c>
      <c r="CT57">
        <f>ROUND(Sales[[#This Row],[25Det]]*Sales[[#This Row],[Det/Nbhd Adj]],-2)</f>
        <v>0</v>
      </c>
      <c r="CU57">
        <f>Sales[[#This Row],[Adjusted Res]]+Sales[[#This Row],[Adj Det ]]</f>
        <v>322600</v>
      </c>
      <c r="CV57">
        <f>ROUND((Sales[[#This Row],[Mdl Land Intercept]]+Sales[[#This Row],[Mdl LnAcres]])*Sales[[#This Row],[Det/Nbhd Adj]],-2)</f>
        <v>32100</v>
      </c>
      <c r="CW57">
        <f>Sales[[#This Row],[Adjusted Impr Total]]+Sales[[#This Row],[Adjusted Land Total]]</f>
        <v>354700</v>
      </c>
      <c r="CX57" s="15">
        <f>IFERROR((Sales[[#This Row],[Adjusted Impr Total]]-Sales[[#This Row],[24Bldg]])/Sales[[#This Row],[24Bldg]],0)</f>
        <v>5.9093893630991462E-2</v>
      </c>
      <c r="CY57" s="15">
        <f>(Sales[[#This Row],[Adjusted Land Total]]-Sales[[#This Row],[24Lnd]])/Sales[[#This Row],[24Lnd]]</f>
        <v>-0.39089184060721061</v>
      </c>
      <c r="CZ57" s="15">
        <f>(Sales[[#This Row],[Adjusted Total]]-Sales[[#This Row],[24Final]])/Sales[[#This Row],[24Final]]</f>
        <v>-7.2767982087881336E-3</v>
      </c>
      <c r="DA57" s="15">
        <f>(Sales[[#This Row],[Adjusted Total]]+Sales[[#This Row],[Days Prior Total]])/Sales[[#This Row],[Price]]</f>
        <v>1.0783655085871</v>
      </c>
    </row>
    <row r="58" spans="1:105" x14ac:dyDescent="0.3">
      <c r="A58">
        <v>2025</v>
      </c>
      <c r="B58">
        <v>18132242488</v>
      </c>
      <c r="C58">
        <v>-1.5141277326297755</v>
      </c>
      <c r="D58">
        <v>0.22</v>
      </c>
      <c r="E58">
        <v>9732</v>
      </c>
      <c r="F58">
        <v>6</v>
      </c>
      <c r="G58" t="s">
        <v>126</v>
      </c>
      <c r="H58">
        <v>3033</v>
      </c>
      <c r="I58" t="s">
        <v>349</v>
      </c>
      <c r="J58" t="s">
        <v>30</v>
      </c>
      <c r="K58">
        <v>11</v>
      </c>
      <c r="L58">
        <v>259</v>
      </c>
      <c r="M58" t="s">
        <v>241</v>
      </c>
      <c r="N58" t="s">
        <v>148</v>
      </c>
      <c r="O58" t="s">
        <v>323</v>
      </c>
      <c r="P58">
        <v>70</v>
      </c>
      <c r="Q58">
        <v>1960</v>
      </c>
      <c r="R58">
        <v>1975</v>
      </c>
      <c r="S58">
        <v>64</v>
      </c>
      <c r="T58">
        <v>49</v>
      </c>
      <c r="U58">
        <v>1</v>
      </c>
      <c r="V58">
        <v>1316</v>
      </c>
      <c r="W58">
        <v>0</v>
      </c>
      <c r="X58">
        <v>0</v>
      </c>
      <c r="Y58">
        <v>1316</v>
      </c>
      <c r="Z58">
        <v>78</v>
      </c>
      <c r="AA58">
        <v>1238</v>
      </c>
      <c r="AB58">
        <v>2554</v>
      </c>
      <c r="AC58">
        <v>3000</v>
      </c>
      <c r="AD58">
        <v>1</v>
      </c>
      <c r="AF58" t="s">
        <v>383</v>
      </c>
      <c r="AG58" t="s">
        <v>175</v>
      </c>
      <c r="AH58" t="s">
        <v>65</v>
      </c>
      <c r="AI58">
        <v>0</v>
      </c>
      <c r="AJ58">
        <v>2</v>
      </c>
      <c r="AK58">
        <v>0</v>
      </c>
      <c r="AL58">
        <v>0</v>
      </c>
      <c r="AM58">
        <v>1</v>
      </c>
      <c r="AN58">
        <v>10</v>
      </c>
      <c r="AO58">
        <v>360</v>
      </c>
      <c r="AP58">
        <v>0</v>
      </c>
      <c r="AQ58">
        <v>0</v>
      </c>
      <c r="AR58">
        <v>0</v>
      </c>
      <c r="AS58">
        <v>40</v>
      </c>
      <c r="AT58">
        <v>40</v>
      </c>
      <c r="AU58">
        <v>100</v>
      </c>
      <c r="AV58">
        <v>100</v>
      </c>
      <c r="AW58">
        <v>445355</v>
      </c>
      <c r="AX58">
        <v>320656</v>
      </c>
      <c r="AY58">
        <v>412</v>
      </c>
      <c r="AZ58">
        <v>365</v>
      </c>
      <c r="BA58">
        <v>47</v>
      </c>
      <c r="BB58">
        <v>0</v>
      </c>
      <c r="BC58" s="3">
        <v>44880</v>
      </c>
      <c r="BD58" t="s">
        <v>86</v>
      </c>
      <c r="BE58">
        <v>500000</v>
      </c>
      <c r="BF58">
        <v>500000</v>
      </c>
      <c r="BG58" t="s">
        <v>294</v>
      </c>
      <c r="BH58">
        <v>30</v>
      </c>
      <c r="BI58" t="s">
        <v>65</v>
      </c>
      <c r="BJ58" t="s">
        <v>450</v>
      </c>
      <c r="BK58">
        <v>373800</v>
      </c>
      <c r="BL58">
        <v>61700</v>
      </c>
      <c r="BM58">
        <v>312100</v>
      </c>
      <c r="BN58">
        <v>0</v>
      </c>
      <c r="BO58">
        <v>0.74760000000000004</v>
      </c>
      <c r="BP58">
        <v>351585.27296192804</v>
      </c>
      <c r="BQ58">
        <v>376799.30564078048</v>
      </c>
      <c r="BR58" s="12">
        <f>(Sales[[#This Row],[DP1]]*Lookups!$B$59)+(Sales[[#This Row],[DP2]]*Lookups!$B$60)+(Sales[[#This Row],[DP3]]*Lookups!$B$61)</f>
        <v>-25214.032680406002</v>
      </c>
      <c r="BS58" s="12">
        <f>Lookups!$B$56*0</f>
        <v>0</v>
      </c>
      <c r="BT58" s="12">
        <f>Lookups!$B$56*1</f>
        <v>89850.625589999996</v>
      </c>
      <c r="BU58" s="12">
        <f>Lookups!$B$57*Sales[[#This Row],[LnAcres]]</f>
        <v>-47929.131559187132</v>
      </c>
      <c r="BV58" s="12">
        <f>VLOOKUP(Sales[[#This Row],[Qlty]],Lookups!$A$62:$E$75,2,FALSE)</f>
        <v>44121.038090000002</v>
      </c>
      <c r="BW58" s="12">
        <f>VLOOKUP(Sales[[#This Row],[Cnd]],Lookups!$A$76:$E$84,2,FALSE)</f>
        <v>160472.20319</v>
      </c>
      <c r="BX58" s="12">
        <f>Sales[[#This Row],[EffAge]]*Lookups!$B$85</f>
        <v>-10929.2344245</v>
      </c>
      <c r="BY58" s="12">
        <f>Sales[[#This Row],[MainFn]]*Lookups!$B$86</f>
        <v>65021.809558132001</v>
      </c>
      <c r="BZ58" s="12">
        <f>Sales[[#This Row],[UpprFn]]*Lookups!$B$87</f>
        <v>0</v>
      </c>
      <c r="CA58" s="12">
        <f>Sales[[#This Row],[AddFn]]*Lookups!$B$88</f>
        <v>0</v>
      </c>
      <c r="CB58" s="12">
        <f>Sales[[#This Row],[Bsmt]]*Lookups!$B$89</f>
        <v>38271.774145051997</v>
      </c>
      <c r="CC58" s="12">
        <f>Sales[[#This Row],[Fixtures]]*Lookups!$B$90</f>
        <v>37920.221052000001</v>
      </c>
      <c r="CD58" s="12">
        <f>Sales[[#This Row],[WdDeck]]*Lookups!$B$91</f>
        <v>0</v>
      </c>
      <c r="CE58" s="12">
        <f>SUM(Sales[[#This Row],[Days Prior Total]:[Mdl WdDeck]])</f>
        <v>351585.2729610909</v>
      </c>
      <c r="CF58" s="12">
        <f>ROUND(Sales[[#This Row],[25Det]],-2)</f>
        <v>0</v>
      </c>
      <c r="CG58" s="12">
        <f>ROUND(SUM(Sales[[#This Row],[Mdl Qlty]:[Mdl WdDeck]])+Sales[[#This Row],[Mdl Res Intercept]]+Sales[[#This Row],[Days Prior Total]],-2)</f>
        <v>309700</v>
      </c>
      <c r="CH58" s="12">
        <f>ROUND(Sales[[#This Row],[Mdl Land Intercept]]+Sales[[#This Row],[Mdl LnAcres]],-2)</f>
        <v>41900</v>
      </c>
      <c r="CI58" s="12">
        <f>Sales[[#This Row],[Unadj Res Value]]+Sales[[#This Row],[Unadj Det Value]]+Sales[[#This Row],[Unadj Land Value]]</f>
        <v>351600</v>
      </c>
      <c r="CJ58" s="13">
        <f>Sales[[#This Row],[Unadj Total Value]]/Sales[[#This Row],[Price]]</f>
        <v>0.70320000000000005</v>
      </c>
      <c r="CK58" s="13">
        <f>(Sales[[#This Row],[Unadj Total Value]]-Sales[[#This Row],[24Final]])/Sales[[#This Row],[24Final]]</f>
        <v>-5.93900481540931E-2</v>
      </c>
      <c r="CL58">
        <f>VLOOKUP(Sales[[#This Row],[TNbhd]],Lookups!$Q$2:$T$4,4,FALSE)</f>
        <v>0.99970000000000003</v>
      </c>
      <c r="CM58">
        <f>VLOOKUP(Sales[[#This Row],[Qlty]],Lookups!$O$7:$R$21,4,FALSE)</f>
        <v>0.98050000000000004</v>
      </c>
      <c r="CN58">
        <f>VLOOKUP(Sales[[#This Row],[Cnd]],Lookups!$T$7:$W$16,4,FALSE)</f>
        <v>0.99729999999999996</v>
      </c>
      <c r="CO58">
        <f>VLOOKUP(Sales[[#This Row],[LivArea Range]],Lookups!$T$25:$W$37,4,FALSE)</f>
        <v>0.96179999999999999</v>
      </c>
      <c r="CP58">
        <f>VLOOKUP(Sales[[#This Row],[Decade]],Lookups!$O$25:$R$42,4,FALSE)</f>
        <v>1.0199</v>
      </c>
      <c r="CQ58">
        <f>Sales[[#This Row],[Nbhd Adj]]*0.95</f>
        <v>0.94971499999999998</v>
      </c>
      <c r="CR58">
        <f>Sales[[#This Row],[Nbhd Adj]]*Sales[[#This Row],[Quality Adj]]*Sales[[#This Row],[Condition Adj]]*Sales[[#This Row],[Living Area Adj]]*Sales[[#This Row],[Decade Adj]]*0.95</f>
        <v>0.91098049619194077</v>
      </c>
      <c r="CS58">
        <f>ROUND(SUM(Sales[[#This Row],[Mdl Qlty]:[Mdl WdDeck]])+Sales[[#This Row],[Mdl Res Intercept]]*Sales[[#This Row],[Res Adj ]],-2)</f>
        <v>334900</v>
      </c>
      <c r="CT58">
        <f>ROUND(Sales[[#This Row],[25Det]]*Sales[[#This Row],[Det/Nbhd Adj]],-2)</f>
        <v>0</v>
      </c>
      <c r="CU58">
        <f>Sales[[#This Row],[Adjusted Res]]+Sales[[#This Row],[Adj Det ]]</f>
        <v>334900</v>
      </c>
      <c r="CV58">
        <f>ROUND((Sales[[#This Row],[Mdl Land Intercept]]+Sales[[#This Row],[Mdl LnAcres]])*Sales[[#This Row],[Det/Nbhd Adj]],-2)</f>
        <v>39800</v>
      </c>
      <c r="CW58">
        <f>Sales[[#This Row],[Adjusted Impr Total]]+Sales[[#This Row],[Adjusted Land Total]]</f>
        <v>374700</v>
      </c>
      <c r="CX58" s="15">
        <f>IFERROR((Sales[[#This Row],[Adjusted Impr Total]]-Sales[[#This Row],[24Bldg]])/Sales[[#This Row],[24Bldg]],0)</f>
        <v>7.3053508490868307E-2</v>
      </c>
      <c r="CY58" s="15">
        <f>(Sales[[#This Row],[Adjusted Land Total]]-Sales[[#This Row],[24Lnd]])/Sales[[#This Row],[24Lnd]]</f>
        <v>-0.35494327390599678</v>
      </c>
      <c r="CZ58" s="15">
        <f>(Sales[[#This Row],[Adjusted Total]]-Sales[[#This Row],[24Final]])/Sales[[#This Row],[24Final]]</f>
        <v>2.407704654895666E-3</v>
      </c>
      <c r="DA58" s="15">
        <f>(Sales[[#This Row],[Adjusted Total]]+Sales[[#This Row],[Days Prior Total]])/Sales[[#This Row],[Price]]</f>
        <v>0.69897193463918794</v>
      </c>
    </row>
    <row r="59" spans="1:105" x14ac:dyDescent="0.3">
      <c r="A59">
        <v>2025</v>
      </c>
      <c r="B59">
        <v>18132323541</v>
      </c>
      <c r="C59">
        <v>-1.9661128563728327</v>
      </c>
      <c r="D59">
        <v>0.14000000000000001</v>
      </c>
      <c r="E59">
        <v>0</v>
      </c>
      <c r="F59">
        <v>6</v>
      </c>
      <c r="G59" t="s">
        <v>126</v>
      </c>
      <c r="H59">
        <v>3033</v>
      </c>
      <c r="I59" t="s">
        <v>349</v>
      </c>
      <c r="J59" t="s">
        <v>30</v>
      </c>
      <c r="K59">
        <v>11</v>
      </c>
      <c r="L59">
        <v>259</v>
      </c>
      <c r="M59" t="s">
        <v>241</v>
      </c>
      <c r="N59" t="s">
        <v>351</v>
      </c>
      <c r="O59" t="s">
        <v>323</v>
      </c>
      <c r="P59">
        <v>70</v>
      </c>
      <c r="Q59">
        <v>1960</v>
      </c>
      <c r="R59">
        <v>1975</v>
      </c>
      <c r="S59">
        <v>64</v>
      </c>
      <c r="T59">
        <v>49</v>
      </c>
      <c r="U59">
        <v>1</v>
      </c>
      <c r="V59">
        <v>1128</v>
      </c>
      <c r="W59">
        <v>0</v>
      </c>
      <c r="X59">
        <v>0</v>
      </c>
      <c r="Y59">
        <v>0</v>
      </c>
      <c r="Z59">
        <v>0</v>
      </c>
      <c r="AA59">
        <v>0</v>
      </c>
      <c r="AB59">
        <v>1128</v>
      </c>
      <c r="AC59">
        <v>1500</v>
      </c>
      <c r="AD59">
        <v>1</v>
      </c>
      <c r="AF59" t="s">
        <v>383</v>
      </c>
      <c r="AG59" t="s">
        <v>148</v>
      </c>
      <c r="AH59" t="s">
        <v>450</v>
      </c>
      <c r="AI59">
        <v>0</v>
      </c>
      <c r="AJ59">
        <v>1</v>
      </c>
      <c r="AK59">
        <v>0</v>
      </c>
      <c r="AL59">
        <v>0</v>
      </c>
      <c r="AM59">
        <v>1</v>
      </c>
      <c r="AN59">
        <v>7</v>
      </c>
      <c r="AO59">
        <v>408</v>
      </c>
      <c r="AP59">
        <v>0</v>
      </c>
      <c r="AQ59">
        <v>0</v>
      </c>
      <c r="AR59">
        <v>0</v>
      </c>
      <c r="AS59">
        <v>153</v>
      </c>
      <c r="AT59">
        <v>345</v>
      </c>
      <c r="AU59">
        <v>100</v>
      </c>
      <c r="AV59">
        <v>100</v>
      </c>
      <c r="AW59">
        <v>197953</v>
      </c>
      <c r="AX59">
        <v>142526</v>
      </c>
      <c r="AY59">
        <v>487</v>
      </c>
      <c r="AZ59">
        <v>365</v>
      </c>
      <c r="BA59">
        <v>122</v>
      </c>
      <c r="BB59">
        <v>0</v>
      </c>
      <c r="BC59" s="3">
        <v>44805</v>
      </c>
      <c r="BD59" t="s">
        <v>72</v>
      </c>
      <c r="BE59">
        <v>290000</v>
      </c>
      <c r="BF59">
        <v>290000</v>
      </c>
      <c r="BG59" t="s">
        <v>294</v>
      </c>
      <c r="BH59">
        <v>30</v>
      </c>
      <c r="BI59" t="s">
        <v>65</v>
      </c>
      <c r="BJ59" t="s">
        <v>450</v>
      </c>
      <c r="BK59">
        <v>270400</v>
      </c>
      <c r="BL59">
        <v>46000</v>
      </c>
      <c r="BM59">
        <v>224400</v>
      </c>
      <c r="BN59">
        <v>0</v>
      </c>
      <c r="BO59">
        <v>0.9324137931034483</v>
      </c>
      <c r="BP59">
        <v>256638.71599078469</v>
      </c>
      <c r="BQ59">
        <v>280991.51079571788</v>
      </c>
      <c r="BR59" s="12">
        <f>(Sales[[#This Row],[DP1]]*Lookups!$B$59)+(Sales[[#This Row],[DP2]]*Lookups!$B$60)+(Sales[[#This Row],[DP3]]*Lookups!$B$61)</f>
        <v>-24352.794806506001</v>
      </c>
      <c r="BS59" s="12">
        <f>Lookups!$B$56*0</f>
        <v>0</v>
      </c>
      <c r="BT59" s="12">
        <f>Lookups!$B$56*1</f>
        <v>89850.625589999996</v>
      </c>
      <c r="BU59" s="12">
        <f>Lookups!$B$57*Sales[[#This Row],[LnAcres]]</f>
        <v>-62236.546971921947</v>
      </c>
      <c r="BV59" s="12">
        <f>VLOOKUP(Sales[[#This Row],[Qlty]],Lookups!$A$62:$E$75,2,FALSE)</f>
        <v>21557.329055999999</v>
      </c>
      <c r="BW59" s="12">
        <f>VLOOKUP(Sales[[#This Row],[Cnd]],Lookups!$A$76:$E$84,2,FALSE)</f>
        <v>160472.20319</v>
      </c>
      <c r="BX59" s="12">
        <f>Sales[[#This Row],[EffAge]]*Lookups!$B$85</f>
        <v>-10929.2344245</v>
      </c>
      <c r="BY59" s="12">
        <f>Sales[[#This Row],[MainFn]]*Lookups!$B$86</f>
        <v>55732.979621256003</v>
      </c>
      <c r="BZ59" s="12">
        <f>Sales[[#This Row],[UpprFn]]*Lookups!$B$87</f>
        <v>0</v>
      </c>
      <c r="CA59" s="12">
        <f>Sales[[#This Row],[AddFn]]*Lookups!$B$88</f>
        <v>0</v>
      </c>
      <c r="CB59" s="12">
        <f>Sales[[#This Row],[Bsmt]]*Lookups!$B$89</f>
        <v>0</v>
      </c>
      <c r="CC59" s="12">
        <f>Sales[[#This Row],[Fixtures]]*Lookups!$B$90</f>
        <v>26544.1547364</v>
      </c>
      <c r="CD59" s="12">
        <f>Sales[[#This Row],[WdDeck]]*Lookups!$B$91</f>
        <v>0</v>
      </c>
      <c r="CE59" s="12">
        <f>SUM(Sales[[#This Row],[Days Prior Total]:[Mdl WdDeck]])</f>
        <v>256638.71599072806</v>
      </c>
      <c r="CF59" s="12">
        <f>ROUND(Sales[[#This Row],[25Det]],-2)</f>
        <v>0</v>
      </c>
      <c r="CG59" s="12">
        <f>ROUND(SUM(Sales[[#This Row],[Mdl Qlty]:[Mdl WdDeck]])+Sales[[#This Row],[Mdl Res Intercept]]+Sales[[#This Row],[Days Prior Total]],-2)</f>
        <v>229000</v>
      </c>
      <c r="CH59" s="12">
        <f>ROUND(Sales[[#This Row],[Mdl Land Intercept]]+Sales[[#This Row],[Mdl LnAcres]],-2)</f>
        <v>27600</v>
      </c>
      <c r="CI59" s="12">
        <f>Sales[[#This Row],[Unadj Res Value]]+Sales[[#This Row],[Unadj Det Value]]+Sales[[#This Row],[Unadj Land Value]]</f>
        <v>256600</v>
      </c>
      <c r="CJ59" s="13">
        <f>Sales[[#This Row],[Unadj Total Value]]/Sales[[#This Row],[Price]]</f>
        <v>0.8848275862068965</v>
      </c>
      <c r="CK59" s="13">
        <f>(Sales[[#This Row],[Unadj Total Value]]-Sales[[#This Row],[24Final]])/Sales[[#This Row],[24Final]]</f>
        <v>-5.1035502958579879E-2</v>
      </c>
      <c r="CL59">
        <f>VLOOKUP(Sales[[#This Row],[TNbhd]],Lookups!$Q$2:$T$4,4,FALSE)</f>
        <v>0.99970000000000003</v>
      </c>
      <c r="CM59">
        <f>VLOOKUP(Sales[[#This Row],[Qlty]],Lookups!$O$7:$R$21,4,FALSE)</f>
        <v>1.0067999999999999</v>
      </c>
      <c r="CN59">
        <f>VLOOKUP(Sales[[#This Row],[Cnd]],Lookups!$T$7:$W$16,4,FALSE)</f>
        <v>0.99729999999999996</v>
      </c>
      <c r="CO59">
        <f>VLOOKUP(Sales[[#This Row],[LivArea Range]],Lookups!$T$25:$W$37,4,FALSE)</f>
        <v>1.0157</v>
      </c>
      <c r="CP59">
        <f>VLOOKUP(Sales[[#This Row],[Decade]],Lookups!$O$25:$R$42,4,FALSE)</f>
        <v>1.0199</v>
      </c>
      <c r="CQ59">
        <f>Sales[[#This Row],[Nbhd Adj]]*0.95</f>
        <v>0.94971499999999998</v>
      </c>
      <c r="CR59">
        <f>Sales[[#This Row],[Nbhd Adj]]*Sales[[#This Row],[Quality Adj]]*Sales[[#This Row],[Condition Adj]]*Sales[[#This Row],[Living Area Adj]]*Sales[[#This Row],[Decade Adj]]*0.95</f>
        <v>0.98783717894453682</v>
      </c>
      <c r="CS59">
        <f>ROUND(SUM(Sales[[#This Row],[Mdl Qlty]:[Mdl WdDeck]])+Sales[[#This Row],[Mdl Res Intercept]]*Sales[[#This Row],[Res Adj ]],-2)</f>
        <v>253400</v>
      </c>
      <c r="CT59">
        <f>ROUND(Sales[[#This Row],[25Det]]*Sales[[#This Row],[Det/Nbhd Adj]],-2)</f>
        <v>0</v>
      </c>
      <c r="CU59">
        <f>Sales[[#This Row],[Adjusted Res]]+Sales[[#This Row],[Adj Det ]]</f>
        <v>253400</v>
      </c>
      <c r="CV59">
        <f>ROUND((Sales[[#This Row],[Mdl Land Intercept]]+Sales[[#This Row],[Mdl LnAcres]])*Sales[[#This Row],[Det/Nbhd Adj]],-2)</f>
        <v>26200</v>
      </c>
      <c r="CW59">
        <f>Sales[[#This Row],[Adjusted Impr Total]]+Sales[[#This Row],[Adjusted Land Total]]</f>
        <v>279600</v>
      </c>
      <c r="CX59" s="15">
        <f>IFERROR((Sales[[#This Row],[Adjusted Impr Total]]-Sales[[#This Row],[24Bldg]])/Sales[[#This Row],[24Bldg]],0)</f>
        <v>0.12923351158645277</v>
      </c>
      <c r="CY59" s="15">
        <f>(Sales[[#This Row],[Adjusted Land Total]]-Sales[[#This Row],[24Lnd]])/Sales[[#This Row],[24Lnd]]</f>
        <v>-0.43043478260869567</v>
      </c>
      <c r="CZ59" s="15">
        <f>(Sales[[#This Row],[Adjusted Total]]-Sales[[#This Row],[24Final]])/Sales[[#This Row],[24Final]]</f>
        <v>3.4023668639053255E-2</v>
      </c>
      <c r="DA59" s="15">
        <f>(Sales[[#This Row],[Adjusted Total]]+Sales[[#This Row],[Days Prior Total]])/Sales[[#This Row],[Price]]</f>
        <v>0.88016277652928965</v>
      </c>
    </row>
    <row r="60" spans="1:105" x14ac:dyDescent="0.3">
      <c r="A60">
        <v>2025</v>
      </c>
      <c r="B60">
        <v>18132242486</v>
      </c>
      <c r="C60">
        <v>-0.916290731874155</v>
      </c>
      <c r="D60">
        <v>0.4</v>
      </c>
      <c r="E60">
        <v>17261</v>
      </c>
      <c r="F60">
        <v>6</v>
      </c>
      <c r="G60" t="s">
        <v>126</v>
      </c>
      <c r="H60">
        <v>3033</v>
      </c>
      <c r="I60" t="s">
        <v>349</v>
      </c>
      <c r="J60" t="s">
        <v>30</v>
      </c>
      <c r="K60">
        <v>11</v>
      </c>
      <c r="L60">
        <v>259</v>
      </c>
      <c r="M60" t="s">
        <v>241</v>
      </c>
      <c r="N60" t="s">
        <v>148</v>
      </c>
      <c r="O60" t="s">
        <v>323</v>
      </c>
      <c r="P60">
        <v>70</v>
      </c>
      <c r="Q60">
        <v>1960</v>
      </c>
      <c r="R60">
        <v>1975</v>
      </c>
      <c r="S60">
        <v>64</v>
      </c>
      <c r="T60">
        <v>49</v>
      </c>
      <c r="U60">
        <v>1</v>
      </c>
      <c r="V60">
        <v>1713</v>
      </c>
      <c r="W60">
        <v>0</v>
      </c>
      <c r="X60">
        <v>0</v>
      </c>
      <c r="Y60">
        <v>1713</v>
      </c>
      <c r="Z60">
        <v>435</v>
      </c>
      <c r="AA60">
        <v>1278</v>
      </c>
      <c r="AB60">
        <v>2991</v>
      </c>
      <c r="AC60">
        <v>3000</v>
      </c>
      <c r="AD60">
        <v>2</v>
      </c>
      <c r="AF60" t="s">
        <v>208</v>
      </c>
      <c r="AG60" t="s">
        <v>382</v>
      </c>
      <c r="AI60">
        <v>0</v>
      </c>
      <c r="AJ60">
        <v>2</v>
      </c>
      <c r="AK60">
        <v>0</v>
      </c>
      <c r="AL60">
        <v>1</v>
      </c>
      <c r="AM60">
        <v>0</v>
      </c>
      <c r="AN60">
        <v>11</v>
      </c>
      <c r="AO60">
        <v>552</v>
      </c>
      <c r="AP60">
        <v>0</v>
      </c>
      <c r="AQ60">
        <v>0</v>
      </c>
      <c r="AR60">
        <v>0</v>
      </c>
      <c r="AS60">
        <v>336</v>
      </c>
      <c r="AT60">
        <v>336</v>
      </c>
      <c r="AU60">
        <v>100</v>
      </c>
      <c r="AV60">
        <v>100</v>
      </c>
      <c r="AW60">
        <v>535565</v>
      </c>
      <c r="AX60">
        <v>385607</v>
      </c>
      <c r="AY60">
        <v>893</v>
      </c>
      <c r="AZ60">
        <v>365</v>
      </c>
      <c r="BA60">
        <v>365</v>
      </c>
      <c r="BB60">
        <v>163</v>
      </c>
      <c r="BC60" s="3">
        <v>44399</v>
      </c>
      <c r="BD60" t="s">
        <v>470</v>
      </c>
      <c r="BE60">
        <v>430000</v>
      </c>
      <c r="BF60">
        <v>430000</v>
      </c>
      <c r="BG60" t="s">
        <v>294</v>
      </c>
      <c r="BH60">
        <v>30</v>
      </c>
      <c r="BI60" t="s">
        <v>65</v>
      </c>
      <c r="BJ60" t="s">
        <v>450</v>
      </c>
      <c r="BK60">
        <v>430500</v>
      </c>
      <c r="BL60">
        <v>82600</v>
      </c>
      <c r="BM60">
        <v>347900</v>
      </c>
      <c r="BN60">
        <v>0</v>
      </c>
      <c r="BO60">
        <v>1.0011627906976743</v>
      </c>
      <c r="BP60">
        <v>387317.35934292059</v>
      </c>
      <c r="BQ60">
        <v>430676.38263495464</v>
      </c>
      <c r="BR60" s="12">
        <f>(Sales[[#This Row],[DP1]]*Lookups!$B$59)+(Sales[[#This Row],[DP2]]*Lookups!$B$60)+(Sales[[#This Row],[DP3]]*Lookups!$B$61)</f>
        <v>-43359.023297770007</v>
      </c>
      <c r="BS60" s="12">
        <f>Lookups!$B$56*0</f>
        <v>0</v>
      </c>
      <c r="BT60" s="12">
        <f>Lookups!$B$56*1</f>
        <v>89850.625589999996</v>
      </c>
      <c r="BU60" s="12">
        <f>Lookups!$B$57*Sales[[#This Row],[LnAcres]]</f>
        <v>-29004.831024516039</v>
      </c>
      <c r="BV60" s="12">
        <f>VLOOKUP(Sales[[#This Row],[Qlty]],Lookups!$A$62:$E$75,2,FALSE)</f>
        <v>44121.038090000002</v>
      </c>
      <c r="BW60" s="12">
        <f>VLOOKUP(Sales[[#This Row],[Cnd]],Lookups!$A$76:$E$84,2,FALSE)</f>
        <v>160472.20319</v>
      </c>
      <c r="BX60" s="12">
        <f>Sales[[#This Row],[EffAge]]*Lookups!$B$85</f>
        <v>-10929.2344245</v>
      </c>
      <c r="BY60" s="12">
        <f>Sales[[#This Row],[MainFn]]*Lookups!$B$86</f>
        <v>84637.051499301</v>
      </c>
      <c r="BZ60" s="12">
        <f>Sales[[#This Row],[UpprFn]]*Lookups!$B$87</f>
        <v>0</v>
      </c>
      <c r="CA60" s="12">
        <f>Sales[[#This Row],[AddFn]]*Lookups!$B$88</f>
        <v>0</v>
      </c>
      <c r="CB60" s="12">
        <f>Sales[[#This Row],[Bsmt]]*Lookups!$B$89</f>
        <v>49817.286558110995</v>
      </c>
      <c r="CC60" s="12">
        <f>Sales[[#This Row],[Fixtures]]*Lookups!$B$90</f>
        <v>41712.243157199999</v>
      </c>
      <c r="CD60" s="12">
        <f>Sales[[#This Row],[WdDeck]]*Lookups!$B$91</f>
        <v>0</v>
      </c>
      <c r="CE60" s="12">
        <f>SUM(Sales[[#This Row],[Days Prior Total]:[Mdl WdDeck]])</f>
        <v>387317.35933782597</v>
      </c>
      <c r="CF60" s="12">
        <f>ROUND(Sales[[#This Row],[25Det]],-2)</f>
        <v>0</v>
      </c>
      <c r="CG60" s="12">
        <f>ROUND(SUM(Sales[[#This Row],[Mdl Qlty]:[Mdl WdDeck]])+Sales[[#This Row],[Mdl Res Intercept]]+Sales[[#This Row],[Days Prior Total]],-2)</f>
        <v>326500</v>
      </c>
      <c r="CH60" s="12">
        <f>ROUND(Sales[[#This Row],[Mdl Land Intercept]]+Sales[[#This Row],[Mdl LnAcres]],-2)</f>
        <v>60800</v>
      </c>
      <c r="CI60" s="12">
        <f>Sales[[#This Row],[Unadj Res Value]]+Sales[[#This Row],[Unadj Det Value]]+Sales[[#This Row],[Unadj Land Value]]</f>
        <v>387300</v>
      </c>
      <c r="CJ60" s="13">
        <f>Sales[[#This Row],[Unadj Total Value]]/Sales[[#This Row],[Price]]</f>
        <v>0.9006976744186046</v>
      </c>
      <c r="CK60" s="13">
        <f>(Sales[[#This Row],[Unadj Total Value]]-Sales[[#This Row],[24Final]])/Sales[[#This Row],[24Final]]</f>
        <v>-0.10034843205574913</v>
      </c>
      <c r="CL60">
        <f>VLOOKUP(Sales[[#This Row],[TNbhd]],Lookups!$Q$2:$T$4,4,FALSE)</f>
        <v>0.99970000000000003</v>
      </c>
      <c r="CM60">
        <f>VLOOKUP(Sales[[#This Row],[Qlty]],Lookups!$O$7:$R$21,4,FALSE)</f>
        <v>0.98050000000000004</v>
      </c>
      <c r="CN60">
        <f>VLOOKUP(Sales[[#This Row],[Cnd]],Lookups!$T$7:$W$16,4,FALSE)</f>
        <v>0.99729999999999996</v>
      </c>
      <c r="CO60">
        <f>VLOOKUP(Sales[[#This Row],[LivArea Range]],Lookups!$T$25:$W$37,4,FALSE)</f>
        <v>0.96179999999999999</v>
      </c>
      <c r="CP60">
        <f>VLOOKUP(Sales[[#This Row],[Decade]],Lookups!$O$25:$R$42,4,FALSE)</f>
        <v>1.0199</v>
      </c>
      <c r="CQ60">
        <f>Sales[[#This Row],[Nbhd Adj]]*0.95</f>
        <v>0.94971499999999998</v>
      </c>
      <c r="CR60">
        <f>Sales[[#This Row],[Nbhd Adj]]*Sales[[#This Row],[Quality Adj]]*Sales[[#This Row],[Condition Adj]]*Sales[[#This Row],[Living Area Adj]]*Sales[[#This Row],[Decade Adj]]*0.95</f>
        <v>0.91098049619194077</v>
      </c>
      <c r="CS60">
        <f>ROUND(SUM(Sales[[#This Row],[Mdl Qlty]:[Mdl WdDeck]])+Sales[[#This Row],[Mdl Res Intercept]]*Sales[[#This Row],[Res Adj ]],-2)</f>
        <v>369800</v>
      </c>
      <c r="CT60">
        <f>ROUND(Sales[[#This Row],[25Det]]*Sales[[#This Row],[Det/Nbhd Adj]],-2)</f>
        <v>0</v>
      </c>
      <c r="CU60">
        <f>Sales[[#This Row],[Adjusted Res]]+Sales[[#This Row],[Adj Det ]]</f>
        <v>369800</v>
      </c>
      <c r="CV60">
        <f>ROUND((Sales[[#This Row],[Mdl Land Intercept]]+Sales[[#This Row],[Mdl LnAcres]])*Sales[[#This Row],[Det/Nbhd Adj]],-2)</f>
        <v>57800</v>
      </c>
      <c r="CW60">
        <f>Sales[[#This Row],[Adjusted Impr Total]]+Sales[[#This Row],[Adjusted Land Total]]</f>
        <v>427600</v>
      </c>
      <c r="CX60" s="15">
        <f>IFERROR((Sales[[#This Row],[Adjusted Impr Total]]-Sales[[#This Row],[24Bldg]])/Sales[[#This Row],[24Bldg]],0)</f>
        <v>6.2949123311296346E-2</v>
      </c>
      <c r="CY60" s="15">
        <f>(Sales[[#This Row],[Adjusted Land Total]]-Sales[[#This Row],[24Lnd]])/Sales[[#This Row],[24Lnd]]</f>
        <v>-0.30024213075060535</v>
      </c>
      <c r="CZ60" s="15">
        <f>(Sales[[#This Row],[Adjusted Total]]-Sales[[#This Row],[24Final]])/Sales[[#This Row],[24Final]]</f>
        <v>-6.7363530778164924E-3</v>
      </c>
      <c r="DA60" s="15">
        <f>(Sales[[#This Row],[Adjusted Total]]+Sales[[#This Row],[Days Prior Total]])/Sales[[#This Row],[Price]]</f>
        <v>0.89358366674937206</v>
      </c>
    </row>
    <row r="61" spans="1:105" x14ac:dyDescent="0.3">
      <c r="A61">
        <v>2025</v>
      </c>
      <c r="B61">
        <v>18132323024</v>
      </c>
      <c r="C61">
        <v>-2.0402208285265546</v>
      </c>
      <c r="D61">
        <v>0.13</v>
      </c>
      <c r="E61">
        <v>5750</v>
      </c>
      <c r="F61">
        <v>6</v>
      </c>
      <c r="G61" t="s">
        <v>126</v>
      </c>
      <c r="H61">
        <v>3033</v>
      </c>
      <c r="I61" t="s">
        <v>349</v>
      </c>
      <c r="J61" t="s">
        <v>30</v>
      </c>
      <c r="K61">
        <v>11</v>
      </c>
      <c r="L61">
        <v>259</v>
      </c>
      <c r="M61" t="s">
        <v>241</v>
      </c>
      <c r="N61" t="s">
        <v>351</v>
      </c>
      <c r="O61" t="s">
        <v>323</v>
      </c>
      <c r="P61">
        <v>70</v>
      </c>
      <c r="Q61">
        <v>1960</v>
      </c>
      <c r="R61">
        <v>1975</v>
      </c>
      <c r="S61">
        <v>64</v>
      </c>
      <c r="T61">
        <v>49</v>
      </c>
      <c r="U61">
        <v>1</v>
      </c>
      <c r="V61">
        <v>1348</v>
      </c>
      <c r="W61">
        <v>0</v>
      </c>
      <c r="X61">
        <v>0</v>
      </c>
      <c r="Y61">
        <v>0</v>
      </c>
      <c r="Z61">
        <v>0</v>
      </c>
      <c r="AA61">
        <v>0</v>
      </c>
      <c r="AB61">
        <v>1348</v>
      </c>
      <c r="AC61">
        <v>1500</v>
      </c>
      <c r="AD61">
        <v>0</v>
      </c>
      <c r="AE61" t="s">
        <v>6</v>
      </c>
      <c r="AF61" t="s">
        <v>383</v>
      </c>
      <c r="AG61" t="s">
        <v>382</v>
      </c>
      <c r="AH61" t="s">
        <v>450</v>
      </c>
      <c r="AI61">
        <v>0</v>
      </c>
      <c r="AJ61">
        <v>0</v>
      </c>
      <c r="AK61">
        <v>1</v>
      </c>
      <c r="AL61">
        <v>0</v>
      </c>
      <c r="AM61">
        <v>0</v>
      </c>
      <c r="AN61">
        <v>8</v>
      </c>
      <c r="AO61">
        <v>0</v>
      </c>
      <c r="AP61">
        <v>0</v>
      </c>
      <c r="AQ61">
        <v>261</v>
      </c>
      <c r="AR61">
        <v>0</v>
      </c>
      <c r="AS61">
        <v>160</v>
      </c>
      <c r="AT61">
        <v>160</v>
      </c>
      <c r="AU61">
        <v>100</v>
      </c>
      <c r="AV61">
        <v>100</v>
      </c>
      <c r="AW61">
        <v>234353</v>
      </c>
      <c r="AX61">
        <v>168734</v>
      </c>
      <c r="AY61">
        <v>635</v>
      </c>
      <c r="AZ61">
        <v>365</v>
      </c>
      <c r="BA61">
        <v>270</v>
      </c>
      <c r="BB61">
        <v>0</v>
      </c>
      <c r="BC61" s="3">
        <v>44657</v>
      </c>
      <c r="BD61" t="s">
        <v>249</v>
      </c>
      <c r="BE61">
        <v>301000</v>
      </c>
      <c r="BF61">
        <v>301000</v>
      </c>
      <c r="BG61" t="s">
        <v>294</v>
      </c>
      <c r="BH61">
        <v>30</v>
      </c>
      <c r="BI61" t="s">
        <v>65</v>
      </c>
      <c r="BJ61" t="s">
        <v>450</v>
      </c>
      <c r="BK61">
        <v>295600</v>
      </c>
      <c r="BL61">
        <v>43400</v>
      </c>
      <c r="BM61">
        <v>252200</v>
      </c>
      <c r="BN61">
        <v>0</v>
      </c>
      <c r="BO61">
        <v>0.98205980066445187</v>
      </c>
      <c r="BP61">
        <v>270654.29549158196</v>
      </c>
      <c r="BQ61">
        <v>293307.58089198131</v>
      </c>
      <c r="BR61" s="12">
        <f>(Sales[[#This Row],[DP1]]*Lookups!$B$59)+(Sales[[#This Row],[DP2]]*Lookups!$B$60)+(Sales[[#This Row],[DP3]]*Lookups!$B$61)</f>
        <v>-22653.285402010002</v>
      </c>
      <c r="BS61" s="12">
        <f>Lookups!$B$56*0</f>
        <v>0</v>
      </c>
      <c r="BT61" s="12">
        <f>Lookups!$B$56*1</f>
        <v>89850.625589999996</v>
      </c>
      <c r="BU61" s="12">
        <f>Lookups!$B$57*Sales[[#This Row],[LnAcres]]</f>
        <v>-64582.406353792743</v>
      </c>
      <c r="BV61" s="12">
        <f>VLOOKUP(Sales[[#This Row],[Qlty]],Lookups!$A$62:$E$75,2,FALSE)</f>
        <v>21557.329055999999</v>
      </c>
      <c r="BW61" s="12">
        <f>VLOOKUP(Sales[[#This Row],[Cnd]],Lookups!$A$76:$E$84,2,FALSE)</f>
        <v>160472.20319</v>
      </c>
      <c r="BX61" s="12">
        <f>Sales[[#This Row],[EffAge]]*Lookups!$B$85</f>
        <v>-10929.2344245</v>
      </c>
      <c r="BY61" s="12">
        <f>Sales[[#This Row],[MainFn]]*Lookups!$B$86</f>
        <v>66602.886994196</v>
      </c>
      <c r="BZ61" s="12">
        <f>Sales[[#This Row],[UpprFn]]*Lookups!$B$87</f>
        <v>0</v>
      </c>
      <c r="CA61" s="12">
        <f>Sales[[#This Row],[AddFn]]*Lookups!$B$88</f>
        <v>0</v>
      </c>
      <c r="CB61" s="12">
        <f>Sales[[#This Row],[Bsmt]]*Lookups!$B$89</f>
        <v>0</v>
      </c>
      <c r="CC61" s="12">
        <f>Sales[[#This Row],[Fixtures]]*Lookups!$B$90</f>
        <v>30336.176841600001</v>
      </c>
      <c r="CD61" s="12">
        <f>Sales[[#This Row],[WdDeck]]*Lookups!$B$91</f>
        <v>0</v>
      </c>
      <c r="CE61" s="12">
        <f>SUM(Sales[[#This Row],[Days Prior Total]:[Mdl WdDeck]])</f>
        <v>270654.29549149325</v>
      </c>
      <c r="CF61" s="12">
        <f>ROUND(Sales[[#This Row],[25Det]],-2)</f>
        <v>0</v>
      </c>
      <c r="CG61" s="12">
        <f>ROUND(SUM(Sales[[#This Row],[Mdl Qlty]:[Mdl WdDeck]])+Sales[[#This Row],[Mdl Res Intercept]]+Sales[[#This Row],[Days Prior Total]],-2)</f>
        <v>245400</v>
      </c>
      <c r="CH61" s="12">
        <f>ROUND(Sales[[#This Row],[Mdl Land Intercept]]+Sales[[#This Row],[Mdl LnAcres]],-2)</f>
        <v>25300</v>
      </c>
      <c r="CI61" s="12">
        <f>Sales[[#This Row],[Unadj Res Value]]+Sales[[#This Row],[Unadj Det Value]]+Sales[[#This Row],[Unadj Land Value]]</f>
        <v>270700</v>
      </c>
      <c r="CJ61" s="13">
        <f>Sales[[#This Row],[Unadj Total Value]]/Sales[[#This Row],[Price]]</f>
        <v>0.89933554817275752</v>
      </c>
      <c r="CK61" s="13">
        <f>(Sales[[#This Row],[Unadj Total Value]]-Sales[[#This Row],[24Final]])/Sales[[#This Row],[24Final]]</f>
        <v>-8.4235453315290934E-2</v>
      </c>
      <c r="CL61">
        <f>VLOOKUP(Sales[[#This Row],[TNbhd]],Lookups!$Q$2:$T$4,4,FALSE)</f>
        <v>0.99970000000000003</v>
      </c>
      <c r="CM61">
        <f>VLOOKUP(Sales[[#This Row],[Qlty]],Lookups!$O$7:$R$21,4,FALSE)</f>
        <v>1.0067999999999999</v>
      </c>
      <c r="CN61">
        <f>VLOOKUP(Sales[[#This Row],[Cnd]],Lookups!$T$7:$W$16,4,FALSE)</f>
        <v>0.99729999999999996</v>
      </c>
      <c r="CO61">
        <f>VLOOKUP(Sales[[#This Row],[LivArea Range]],Lookups!$T$25:$W$37,4,FALSE)</f>
        <v>1.0157</v>
      </c>
      <c r="CP61">
        <f>VLOOKUP(Sales[[#This Row],[Decade]],Lookups!$O$25:$R$42,4,FALSE)</f>
        <v>1.0199</v>
      </c>
      <c r="CQ61">
        <f>Sales[[#This Row],[Nbhd Adj]]*0.95</f>
        <v>0.94971499999999998</v>
      </c>
      <c r="CR61">
        <f>Sales[[#This Row],[Nbhd Adj]]*Sales[[#This Row],[Quality Adj]]*Sales[[#This Row],[Condition Adj]]*Sales[[#This Row],[Living Area Adj]]*Sales[[#This Row],[Decade Adj]]*0.95</f>
        <v>0.98783717894453682</v>
      </c>
      <c r="CS61">
        <f>ROUND(SUM(Sales[[#This Row],[Mdl Qlty]:[Mdl WdDeck]])+Sales[[#This Row],[Mdl Res Intercept]]*Sales[[#This Row],[Res Adj ]],-2)</f>
        <v>268000</v>
      </c>
      <c r="CT61">
        <f>ROUND(Sales[[#This Row],[25Det]]*Sales[[#This Row],[Det/Nbhd Adj]],-2)</f>
        <v>0</v>
      </c>
      <c r="CU61">
        <f>Sales[[#This Row],[Adjusted Res]]+Sales[[#This Row],[Adj Det ]]</f>
        <v>268000</v>
      </c>
      <c r="CV61">
        <f>ROUND((Sales[[#This Row],[Mdl Land Intercept]]+Sales[[#This Row],[Mdl LnAcres]])*Sales[[#This Row],[Det/Nbhd Adj]],-2)</f>
        <v>24000</v>
      </c>
      <c r="CW61">
        <f>Sales[[#This Row],[Adjusted Impr Total]]+Sales[[#This Row],[Adjusted Land Total]]</f>
        <v>292000</v>
      </c>
      <c r="CX61" s="15">
        <f>IFERROR((Sales[[#This Row],[Adjusted Impr Total]]-Sales[[#This Row],[24Bldg]])/Sales[[#This Row],[24Bldg]],0)</f>
        <v>6.2648691514670896E-2</v>
      </c>
      <c r="CY61" s="15">
        <f>(Sales[[#This Row],[Adjusted Land Total]]-Sales[[#This Row],[24Lnd]])/Sales[[#This Row],[24Lnd]]</f>
        <v>-0.44700460829493088</v>
      </c>
      <c r="CZ61" s="15">
        <f>(Sales[[#This Row],[Adjusted Total]]-Sales[[#This Row],[24Final]])/Sales[[#This Row],[24Final]]</f>
        <v>-1.2178619756427604E-2</v>
      </c>
      <c r="DA61" s="15">
        <f>(Sales[[#This Row],[Adjusted Total]]+Sales[[#This Row],[Days Prior Total]])/Sales[[#This Row],[Price]]</f>
        <v>0.89483958338202652</v>
      </c>
    </row>
    <row r="62" spans="1:105" x14ac:dyDescent="0.3">
      <c r="A62">
        <v>2025</v>
      </c>
      <c r="B62">
        <v>18132322445</v>
      </c>
      <c r="C62">
        <v>-1.7719568419318752</v>
      </c>
      <c r="D62">
        <v>0.17</v>
      </c>
      <c r="E62">
        <v>0</v>
      </c>
      <c r="F62">
        <v>6</v>
      </c>
      <c r="G62" t="s">
        <v>126</v>
      </c>
      <c r="H62">
        <v>3033</v>
      </c>
      <c r="I62" t="s">
        <v>349</v>
      </c>
      <c r="J62" t="s">
        <v>30</v>
      </c>
      <c r="K62">
        <v>11</v>
      </c>
      <c r="L62">
        <v>259</v>
      </c>
      <c r="M62" t="s">
        <v>241</v>
      </c>
      <c r="N62" t="s">
        <v>205</v>
      </c>
      <c r="O62" t="s">
        <v>303</v>
      </c>
      <c r="P62">
        <v>70</v>
      </c>
      <c r="Q62">
        <v>1960</v>
      </c>
      <c r="R62">
        <v>1975</v>
      </c>
      <c r="S62">
        <v>64</v>
      </c>
      <c r="T62">
        <v>49</v>
      </c>
      <c r="U62">
        <v>1</v>
      </c>
      <c r="V62">
        <v>1026</v>
      </c>
      <c r="W62">
        <v>0</v>
      </c>
      <c r="X62">
        <v>0</v>
      </c>
      <c r="Y62">
        <v>1026</v>
      </c>
      <c r="Z62">
        <v>0</v>
      </c>
      <c r="AA62">
        <v>1026</v>
      </c>
      <c r="AB62">
        <v>2052</v>
      </c>
      <c r="AC62">
        <v>2500</v>
      </c>
      <c r="AD62">
        <v>0</v>
      </c>
      <c r="AF62" t="s">
        <v>384</v>
      </c>
      <c r="AG62" t="s">
        <v>382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8</v>
      </c>
      <c r="AO62">
        <v>0</v>
      </c>
      <c r="AP62">
        <v>0</v>
      </c>
      <c r="AQ62">
        <v>0</v>
      </c>
      <c r="AR62">
        <v>0</v>
      </c>
      <c r="AS62">
        <v>494</v>
      </c>
      <c r="AT62">
        <v>296</v>
      </c>
      <c r="AU62">
        <v>100</v>
      </c>
      <c r="AV62">
        <v>100</v>
      </c>
      <c r="AW62">
        <v>218449</v>
      </c>
      <c r="AX62">
        <v>172575</v>
      </c>
      <c r="AY62">
        <v>805</v>
      </c>
      <c r="AZ62">
        <v>365</v>
      </c>
      <c r="BA62">
        <v>365</v>
      </c>
      <c r="BB62">
        <v>75</v>
      </c>
      <c r="BC62" s="3">
        <v>44487</v>
      </c>
      <c r="BD62" t="s">
        <v>211</v>
      </c>
      <c r="BE62">
        <v>340000</v>
      </c>
      <c r="BF62">
        <v>329132</v>
      </c>
      <c r="BG62" t="s">
        <v>294</v>
      </c>
      <c r="BH62">
        <v>30</v>
      </c>
      <c r="BI62" t="s">
        <v>65</v>
      </c>
      <c r="BJ62" t="s">
        <v>450</v>
      </c>
      <c r="BK62">
        <v>336200</v>
      </c>
      <c r="BL62">
        <v>52700</v>
      </c>
      <c r="BM62">
        <v>283500</v>
      </c>
      <c r="BN62">
        <v>10868</v>
      </c>
      <c r="BO62">
        <v>0.98882352941176466</v>
      </c>
      <c r="BP62">
        <v>299859.10953539168</v>
      </c>
      <c r="BQ62">
        <v>331450.62209443975</v>
      </c>
      <c r="BR62" s="12">
        <f>(Sales[[#This Row],[DP1]]*Lookups!$B$59)+(Sales[[#This Row],[DP2]]*Lookups!$B$60)+(Sales[[#This Row],[DP3]]*Lookups!$B$61)</f>
        <v>-31591.512562570002</v>
      </c>
      <c r="BS62" s="12">
        <f>Lookups!$B$56*0</f>
        <v>0</v>
      </c>
      <c r="BT62" s="12">
        <f>Lookups!$B$56*1</f>
        <v>89850.625589999996</v>
      </c>
      <c r="BU62" s="12">
        <f>Lookups!$B$57*Sales[[#This Row],[LnAcres]]</f>
        <v>-56090.612940989391</v>
      </c>
      <c r="BV62" s="12">
        <f>VLOOKUP(Sales[[#This Row],[Qlty]],Lookups!$A$62:$E$75,2,FALSE)</f>
        <v>0</v>
      </c>
      <c r="BW62" s="12">
        <f>VLOOKUP(Sales[[#This Row],[Cnd]],Lookups!$A$76:$E$84,2,FALSE)</f>
        <v>197752.34721000001</v>
      </c>
      <c r="BX62" s="12">
        <f>Sales[[#This Row],[EffAge]]*Lookups!$B$85</f>
        <v>-10929.2344245</v>
      </c>
      <c r="BY62" s="12">
        <f>Sales[[#This Row],[MainFn]]*Lookups!$B$86</f>
        <v>50693.295293802003</v>
      </c>
      <c r="BZ62" s="12">
        <f>Sales[[#This Row],[UpprFn]]*Lookups!$B$87</f>
        <v>0</v>
      </c>
      <c r="CA62" s="12">
        <f>Sales[[#This Row],[AddFn]]*Lookups!$B$88</f>
        <v>0</v>
      </c>
      <c r="CB62" s="12">
        <f>Sales[[#This Row],[Bsmt]]*Lookups!$B$89</f>
        <v>29838.024523421998</v>
      </c>
      <c r="CC62" s="12">
        <f>Sales[[#This Row],[Fixtures]]*Lookups!$B$90</f>
        <v>30336.176841600001</v>
      </c>
      <c r="CD62" s="12">
        <f>Sales[[#This Row],[WdDeck]]*Lookups!$B$91</f>
        <v>0</v>
      </c>
      <c r="CE62" s="12">
        <f>SUM(Sales[[#This Row],[Days Prior Total]:[Mdl WdDeck]])</f>
        <v>299859.10953076463</v>
      </c>
      <c r="CF62" s="12">
        <f>ROUND(Sales[[#This Row],[25Det]],-2)</f>
        <v>10900</v>
      </c>
      <c r="CG62" s="12">
        <f>ROUND(SUM(Sales[[#This Row],[Mdl Qlty]:[Mdl WdDeck]])+Sales[[#This Row],[Mdl Res Intercept]]+Sales[[#This Row],[Days Prior Total]],-2)</f>
        <v>266100</v>
      </c>
      <c r="CH62" s="12">
        <f>ROUND(Sales[[#This Row],[Mdl Land Intercept]]+Sales[[#This Row],[Mdl LnAcres]],-2)</f>
        <v>33800</v>
      </c>
      <c r="CI62" s="12">
        <f>Sales[[#This Row],[Unadj Res Value]]+Sales[[#This Row],[Unadj Det Value]]+Sales[[#This Row],[Unadj Land Value]]</f>
        <v>310800</v>
      </c>
      <c r="CJ62" s="13">
        <f>Sales[[#This Row],[Unadj Total Value]]/Sales[[#This Row],[Price]]</f>
        <v>0.91411764705882348</v>
      </c>
      <c r="CK62" s="13">
        <f>(Sales[[#This Row],[Unadj Total Value]]-Sales[[#This Row],[24Final]])/Sales[[#This Row],[24Final]]</f>
        <v>-7.5550267697798934E-2</v>
      </c>
      <c r="CL62">
        <f>VLOOKUP(Sales[[#This Row],[TNbhd]],Lookups!$Q$2:$T$4,4,FALSE)</f>
        <v>0.99970000000000003</v>
      </c>
      <c r="CM62">
        <f>VLOOKUP(Sales[[#This Row],[Qlty]],Lookups!$O$7:$R$21,4,FALSE)</f>
        <v>0.99180000000000001</v>
      </c>
      <c r="CN62">
        <f>VLOOKUP(Sales[[#This Row],[Cnd]],Lookups!$T$7:$W$16,4,FALSE)</f>
        <v>0.99650000000000005</v>
      </c>
      <c r="CO62">
        <f>VLOOKUP(Sales[[#This Row],[LivArea Range]],Lookups!$T$25:$W$37,4,FALSE)</f>
        <v>0.98919999999999997</v>
      </c>
      <c r="CP62">
        <f>VLOOKUP(Sales[[#This Row],[Decade]],Lookups!$O$25:$R$42,4,FALSE)</f>
        <v>1.0199</v>
      </c>
      <c r="CQ62">
        <f>Sales[[#This Row],[Nbhd Adj]]*0.95</f>
        <v>0.94971499999999998</v>
      </c>
      <c r="CR62">
        <f>Sales[[#This Row],[Nbhd Adj]]*Sales[[#This Row],[Quality Adj]]*Sales[[#This Row],[Condition Adj]]*Sales[[#This Row],[Living Area Adj]]*Sales[[#This Row],[Decade Adj]]*0.95</f>
        <v>0.94697039921483006</v>
      </c>
      <c r="CS62">
        <f>ROUND(SUM(Sales[[#This Row],[Mdl Qlty]:[Mdl WdDeck]])+Sales[[#This Row],[Mdl Res Intercept]]*Sales[[#This Row],[Res Adj ]],-2)</f>
        <v>297700</v>
      </c>
      <c r="CT62">
        <f>ROUND(Sales[[#This Row],[25Det]]*Sales[[#This Row],[Det/Nbhd Adj]],-2)</f>
        <v>10300</v>
      </c>
      <c r="CU62">
        <f>Sales[[#This Row],[Adjusted Res]]+Sales[[#This Row],[Adj Det ]]</f>
        <v>308000</v>
      </c>
      <c r="CV62">
        <f>ROUND((Sales[[#This Row],[Mdl Land Intercept]]+Sales[[#This Row],[Mdl LnAcres]])*Sales[[#This Row],[Det/Nbhd Adj]],-2)</f>
        <v>32100</v>
      </c>
      <c r="CW62">
        <f>Sales[[#This Row],[Adjusted Impr Total]]+Sales[[#This Row],[Adjusted Land Total]]</f>
        <v>340100</v>
      </c>
      <c r="CX62" s="15">
        <f>IFERROR((Sales[[#This Row],[Adjusted Impr Total]]-Sales[[#This Row],[24Bldg]])/Sales[[#This Row],[24Bldg]],0)</f>
        <v>8.6419753086419748E-2</v>
      </c>
      <c r="CY62" s="15">
        <f>(Sales[[#This Row],[Adjusted Land Total]]-Sales[[#This Row],[24Lnd]])/Sales[[#This Row],[24Lnd]]</f>
        <v>-0.39089184060721061</v>
      </c>
      <c r="CZ62" s="15">
        <f>(Sales[[#This Row],[Adjusted Total]]-Sales[[#This Row],[24Final]])/Sales[[#This Row],[24Final]]</f>
        <v>1.1600237953599048E-2</v>
      </c>
      <c r="DA62" s="15">
        <f>(Sales[[#This Row],[Adjusted Total]]+Sales[[#This Row],[Days Prior Total]])/Sales[[#This Row],[Price]]</f>
        <v>0.90737790422773534</v>
      </c>
    </row>
    <row r="63" spans="1:105" x14ac:dyDescent="0.3">
      <c r="A63">
        <v>2025</v>
      </c>
      <c r="B63">
        <v>18132212435</v>
      </c>
      <c r="C63">
        <v>-1.1711829815029451</v>
      </c>
      <c r="D63">
        <v>0.31</v>
      </c>
      <c r="E63">
        <v>13471</v>
      </c>
      <c r="F63">
        <v>6</v>
      </c>
      <c r="G63" t="s">
        <v>126</v>
      </c>
      <c r="H63" t="s">
        <v>349</v>
      </c>
      <c r="I63" t="s">
        <v>349</v>
      </c>
      <c r="J63" t="s">
        <v>30</v>
      </c>
      <c r="K63">
        <v>11</v>
      </c>
      <c r="L63">
        <v>259</v>
      </c>
      <c r="M63" t="s">
        <v>241</v>
      </c>
      <c r="N63" t="s">
        <v>95</v>
      </c>
      <c r="O63" t="s">
        <v>323</v>
      </c>
      <c r="P63">
        <v>70</v>
      </c>
      <c r="Q63">
        <v>1960</v>
      </c>
      <c r="R63">
        <v>1975</v>
      </c>
      <c r="S63">
        <v>64</v>
      </c>
      <c r="T63">
        <v>49</v>
      </c>
      <c r="U63">
        <v>1</v>
      </c>
      <c r="V63">
        <v>2187</v>
      </c>
      <c r="W63">
        <v>0</v>
      </c>
      <c r="X63">
        <v>0</v>
      </c>
      <c r="Y63">
        <v>2187</v>
      </c>
      <c r="Z63">
        <v>1162</v>
      </c>
      <c r="AA63">
        <v>1025</v>
      </c>
      <c r="AB63">
        <v>3212</v>
      </c>
      <c r="AC63">
        <v>3500</v>
      </c>
      <c r="AD63">
        <v>2</v>
      </c>
      <c r="AF63" t="s">
        <v>383</v>
      </c>
      <c r="AG63" t="s">
        <v>148</v>
      </c>
      <c r="AH63" t="s">
        <v>450</v>
      </c>
      <c r="AI63">
        <v>0</v>
      </c>
      <c r="AJ63">
        <v>2</v>
      </c>
      <c r="AK63">
        <v>0</v>
      </c>
      <c r="AL63">
        <v>2</v>
      </c>
      <c r="AM63">
        <v>1</v>
      </c>
      <c r="AN63">
        <v>14</v>
      </c>
      <c r="AO63">
        <v>728</v>
      </c>
      <c r="AP63">
        <v>0</v>
      </c>
      <c r="AQ63">
        <v>0</v>
      </c>
      <c r="AR63">
        <v>360</v>
      </c>
      <c r="AS63">
        <v>330</v>
      </c>
      <c r="AT63">
        <v>0</v>
      </c>
      <c r="AU63">
        <v>100</v>
      </c>
      <c r="AV63">
        <v>100</v>
      </c>
      <c r="AW63">
        <v>690656</v>
      </c>
      <c r="AX63">
        <v>511085</v>
      </c>
      <c r="AY63">
        <v>9</v>
      </c>
      <c r="AZ63">
        <v>9</v>
      </c>
      <c r="BA63">
        <v>0</v>
      </c>
      <c r="BB63">
        <v>0</v>
      </c>
      <c r="BC63" s="3">
        <v>45283</v>
      </c>
      <c r="BD63" t="s">
        <v>198</v>
      </c>
      <c r="BE63">
        <v>545000</v>
      </c>
      <c r="BF63">
        <v>545000</v>
      </c>
      <c r="BG63" t="s">
        <v>294</v>
      </c>
      <c r="BH63">
        <v>30</v>
      </c>
      <c r="BI63" t="s">
        <v>65</v>
      </c>
      <c r="BJ63" t="s">
        <v>450</v>
      </c>
      <c r="BK63">
        <v>527600</v>
      </c>
      <c r="BL63">
        <v>73700</v>
      </c>
      <c r="BM63">
        <v>453900</v>
      </c>
      <c r="BN63">
        <v>0</v>
      </c>
      <c r="BO63">
        <v>0.96807339449541285</v>
      </c>
      <c r="BP63">
        <v>512687.19390689651</v>
      </c>
      <c r="BQ63">
        <v>513322.21767598845</v>
      </c>
      <c r="BR63" s="12">
        <f>(Sales[[#This Row],[DP1]]*Lookups!$B$59)+(Sales[[#This Row],[DP2]]*Lookups!$B$60)+(Sales[[#This Row],[DP3]]*Lookups!$B$61)</f>
        <v>-635.02376913000012</v>
      </c>
      <c r="BS63" s="12">
        <f>Lookups!$B$56*0</f>
        <v>0</v>
      </c>
      <c r="BT63" s="12">
        <f>Lookups!$B$56*1</f>
        <v>89850.625589999996</v>
      </c>
      <c r="BU63" s="12">
        <f>Lookups!$B$57*Sales[[#This Row],[LnAcres]]</f>
        <v>-37073.347241874442</v>
      </c>
      <c r="BV63" s="12">
        <f>VLOOKUP(Sales[[#This Row],[Qlty]],Lookups!$A$62:$E$75,2,FALSE)</f>
        <v>74268.409664999999</v>
      </c>
      <c r="BW63" s="12">
        <f>VLOOKUP(Sales[[#This Row],[Cnd]],Lookups!$A$76:$E$84,2,FALSE)</f>
        <v>160472.20319</v>
      </c>
      <c r="BX63" s="12">
        <f>Sales[[#This Row],[EffAge]]*Lookups!$B$85</f>
        <v>-10929.2344245</v>
      </c>
      <c r="BY63" s="12">
        <f>Sales[[#This Row],[MainFn]]*Lookups!$B$86</f>
        <v>108056.76102099901</v>
      </c>
      <c r="BZ63" s="12">
        <f>Sales[[#This Row],[UpprFn]]*Lookups!$B$87</f>
        <v>0</v>
      </c>
      <c r="CA63" s="12">
        <f>Sales[[#This Row],[AddFn]]*Lookups!$B$88</f>
        <v>0</v>
      </c>
      <c r="CB63" s="12">
        <f>Sales[[#This Row],[Bsmt]]*Lookups!$B$89</f>
        <v>63602.104905188993</v>
      </c>
      <c r="CC63" s="12">
        <f>Sales[[#This Row],[Fixtures]]*Lookups!$B$90</f>
        <v>53088.3094728</v>
      </c>
      <c r="CD63" s="12">
        <f>Sales[[#This Row],[WdDeck]]*Lookups!$B$91</f>
        <v>11986.385499360002</v>
      </c>
      <c r="CE63" s="12">
        <f>SUM(Sales[[#This Row],[Days Prior Total]:[Mdl WdDeck]])</f>
        <v>512687.19390784355</v>
      </c>
      <c r="CF63" s="12">
        <f>ROUND(Sales[[#This Row],[25Det]],-2)</f>
        <v>0</v>
      </c>
      <c r="CG63" s="12">
        <f>ROUND(SUM(Sales[[#This Row],[Mdl Qlty]:[Mdl WdDeck]])+Sales[[#This Row],[Mdl Res Intercept]]+Sales[[#This Row],[Days Prior Total]],-2)</f>
        <v>459900</v>
      </c>
      <c r="CH63" s="12">
        <f>ROUND(Sales[[#This Row],[Mdl Land Intercept]]+Sales[[#This Row],[Mdl LnAcres]],-2)</f>
        <v>52800</v>
      </c>
      <c r="CI63" s="12">
        <f>Sales[[#This Row],[Unadj Res Value]]+Sales[[#This Row],[Unadj Det Value]]+Sales[[#This Row],[Unadj Land Value]]</f>
        <v>512700</v>
      </c>
      <c r="CJ63" s="13">
        <f>Sales[[#This Row],[Unadj Total Value]]/Sales[[#This Row],[Price]]</f>
        <v>0.94073394495412843</v>
      </c>
      <c r="CK63" s="13">
        <f>(Sales[[#This Row],[Unadj Total Value]]-Sales[[#This Row],[24Final]])/Sales[[#This Row],[24Final]]</f>
        <v>-2.8241091736163761E-2</v>
      </c>
      <c r="CL63">
        <f>VLOOKUP(Sales[[#This Row],[TNbhd]],Lookups!$Q$2:$T$4,4,FALSE)</f>
        <v>0.99970000000000003</v>
      </c>
      <c r="CM63">
        <f>VLOOKUP(Sales[[#This Row],[Qlty]],Lookups!$O$7:$R$21,4,FALSE)</f>
        <v>0.98380000000000001</v>
      </c>
      <c r="CN63">
        <f>VLOOKUP(Sales[[#This Row],[Cnd]],Lookups!$T$7:$W$16,4,FALSE)</f>
        <v>0.99729999999999996</v>
      </c>
      <c r="CO63">
        <f>VLOOKUP(Sales[[#This Row],[LivArea Range]],Lookups!$T$25:$W$37,4,FALSE)</f>
        <v>1.0126999999999999</v>
      </c>
      <c r="CP63">
        <f>VLOOKUP(Sales[[#This Row],[Decade]],Lookups!$O$25:$R$42,4,FALSE)</f>
        <v>1.0199</v>
      </c>
      <c r="CQ63">
        <f>Sales[[#This Row],[Nbhd Adj]]*0.95</f>
        <v>0.94971499999999998</v>
      </c>
      <c r="CR63">
        <f>Sales[[#This Row],[Nbhd Adj]]*Sales[[#This Row],[Quality Adj]]*Sales[[#This Row],[Condition Adj]]*Sales[[#This Row],[Living Area Adj]]*Sales[[#This Row],[Decade Adj]]*0.95</f>
        <v>0.96241932842008082</v>
      </c>
      <c r="CS63">
        <f>ROUND(SUM(Sales[[#This Row],[Mdl Qlty]:[Mdl WdDeck]])+Sales[[#This Row],[Mdl Res Intercept]]*Sales[[#This Row],[Res Adj ]],-2)</f>
        <v>460500</v>
      </c>
      <c r="CT63">
        <f>ROUND(Sales[[#This Row],[25Det]]*Sales[[#This Row],[Det/Nbhd Adj]],-2)</f>
        <v>0</v>
      </c>
      <c r="CU63">
        <f>Sales[[#This Row],[Adjusted Res]]+Sales[[#This Row],[Adj Det ]]</f>
        <v>460500</v>
      </c>
      <c r="CV63">
        <f>ROUND((Sales[[#This Row],[Mdl Land Intercept]]+Sales[[#This Row],[Mdl LnAcres]])*Sales[[#This Row],[Det/Nbhd Adj]],-2)</f>
        <v>50100</v>
      </c>
      <c r="CW63">
        <f>Sales[[#This Row],[Adjusted Impr Total]]+Sales[[#This Row],[Adjusted Land Total]]</f>
        <v>510600</v>
      </c>
      <c r="CX63" s="15">
        <f>IFERROR((Sales[[#This Row],[Adjusted Impr Total]]-Sales[[#This Row],[24Bldg]])/Sales[[#This Row],[24Bldg]],0)</f>
        <v>1.4540647719762063E-2</v>
      </c>
      <c r="CY63" s="15">
        <f>(Sales[[#This Row],[Adjusted Land Total]]-Sales[[#This Row],[24Lnd]])/Sales[[#This Row],[24Lnd]]</f>
        <v>-0.32021709633649931</v>
      </c>
      <c r="CZ63" s="15">
        <f>(Sales[[#This Row],[Adjusted Total]]-Sales[[#This Row],[24Final]])/Sales[[#This Row],[24Final]]</f>
        <v>-3.2221379833206977E-2</v>
      </c>
      <c r="DA63" s="15">
        <f>(Sales[[#This Row],[Adjusted Total]]+Sales[[#This Row],[Days Prior Total]])/Sales[[#This Row],[Price]]</f>
        <v>0.93571555271719264</v>
      </c>
    </row>
    <row r="64" spans="1:105" x14ac:dyDescent="0.3">
      <c r="A64">
        <v>2025</v>
      </c>
      <c r="B64">
        <v>18132213443</v>
      </c>
      <c r="C64">
        <v>-1.8971199848858813</v>
      </c>
      <c r="D64">
        <v>0.15</v>
      </c>
      <c r="E64">
        <v>6728</v>
      </c>
      <c r="F64">
        <v>6</v>
      </c>
      <c r="G64" t="s">
        <v>126</v>
      </c>
      <c r="H64">
        <v>3033</v>
      </c>
      <c r="I64" t="s">
        <v>349</v>
      </c>
      <c r="J64" t="s">
        <v>146</v>
      </c>
      <c r="K64">
        <v>11</v>
      </c>
      <c r="L64">
        <v>259</v>
      </c>
      <c r="M64" t="s">
        <v>241</v>
      </c>
      <c r="N64" t="s">
        <v>148</v>
      </c>
      <c r="O64" t="s">
        <v>323</v>
      </c>
      <c r="P64">
        <v>70</v>
      </c>
      <c r="Q64">
        <v>1960</v>
      </c>
      <c r="R64">
        <v>1975</v>
      </c>
      <c r="S64">
        <v>64</v>
      </c>
      <c r="T64">
        <v>49</v>
      </c>
      <c r="U64">
        <v>1</v>
      </c>
      <c r="V64">
        <v>1387</v>
      </c>
      <c r="W64">
        <v>0</v>
      </c>
      <c r="X64">
        <v>0</v>
      </c>
      <c r="Y64">
        <v>0</v>
      </c>
      <c r="Z64">
        <v>0</v>
      </c>
      <c r="AA64">
        <v>0</v>
      </c>
      <c r="AB64">
        <v>1387</v>
      </c>
      <c r="AC64">
        <v>1500</v>
      </c>
      <c r="AD64">
        <v>1</v>
      </c>
      <c r="AF64" t="s">
        <v>383</v>
      </c>
      <c r="AG64" t="s">
        <v>148</v>
      </c>
      <c r="AH64" t="s">
        <v>450</v>
      </c>
      <c r="AI64">
        <v>0</v>
      </c>
      <c r="AJ64">
        <v>1</v>
      </c>
      <c r="AK64">
        <v>0</v>
      </c>
      <c r="AL64">
        <v>1</v>
      </c>
      <c r="AM64">
        <v>0</v>
      </c>
      <c r="AN64">
        <v>8</v>
      </c>
      <c r="AO64">
        <v>308</v>
      </c>
      <c r="AP64">
        <v>0</v>
      </c>
      <c r="AQ64">
        <v>154</v>
      </c>
      <c r="AR64">
        <v>0</v>
      </c>
      <c r="AS64">
        <v>0</v>
      </c>
      <c r="AT64">
        <v>0</v>
      </c>
      <c r="AU64">
        <v>100</v>
      </c>
      <c r="AV64">
        <v>100</v>
      </c>
      <c r="AW64">
        <v>324222</v>
      </c>
      <c r="AX64">
        <v>233440</v>
      </c>
      <c r="AY64">
        <v>886</v>
      </c>
      <c r="AZ64">
        <v>365</v>
      </c>
      <c r="BA64">
        <v>365</v>
      </c>
      <c r="BB64">
        <v>156</v>
      </c>
      <c r="BC64" s="3">
        <v>44406</v>
      </c>
      <c r="BD64" t="s">
        <v>48</v>
      </c>
      <c r="BE64">
        <v>285000</v>
      </c>
      <c r="BF64">
        <v>285000</v>
      </c>
      <c r="BG64" t="s">
        <v>294</v>
      </c>
      <c r="BH64">
        <v>30</v>
      </c>
      <c r="BI64" t="s">
        <v>65</v>
      </c>
      <c r="BJ64" t="s">
        <v>450</v>
      </c>
      <c r="BK64">
        <v>304900</v>
      </c>
      <c r="BL64">
        <v>48400</v>
      </c>
      <c r="BM64">
        <v>256500</v>
      </c>
      <c r="BN64">
        <v>0</v>
      </c>
      <c r="BO64">
        <v>1.0698245614035087</v>
      </c>
      <c r="BP64">
        <v>279905.05896710022</v>
      </c>
      <c r="BQ64">
        <v>322328.0302690104</v>
      </c>
      <c r="BR64" s="12">
        <f>(Sales[[#This Row],[DP1]]*Lookups!$B$59)+(Sales[[#This Row],[DP2]]*Lookups!$B$60)+(Sales[[#This Row],[DP3]]*Lookups!$B$61)</f>
        <v>-42422.971307470005</v>
      </c>
      <c r="BS64" s="12">
        <f>Lookups!$B$56*0</f>
        <v>0</v>
      </c>
      <c r="BT64" s="12">
        <f>Lookups!$B$56*1</f>
        <v>89850.625589999996</v>
      </c>
      <c r="BU64" s="12">
        <f>Lookups!$B$57*Sales[[#This Row],[LnAcres]]</f>
        <v>-60052.604136134301</v>
      </c>
      <c r="BV64" s="12">
        <f>VLOOKUP(Sales[[#This Row],[Qlty]],Lookups!$A$62:$E$75,2,FALSE)</f>
        <v>44121.038090000002</v>
      </c>
      <c r="BW64" s="12">
        <f>VLOOKUP(Sales[[#This Row],[Cnd]],Lookups!$A$76:$E$84,2,FALSE)</f>
        <v>160472.20319</v>
      </c>
      <c r="BX64" s="12">
        <f>Sales[[#This Row],[EffAge]]*Lookups!$B$85</f>
        <v>-10929.2344245</v>
      </c>
      <c r="BY64" s="12">
        <f>Sales[[#This Row],[MainFn]]*Lookups!$B$86</f>
        <v>68529.825119399</v>
      </c>
      <c r="BZ64" s="12">
        <f>Sales[[#This Row],[UpprFn]]*Lookups!$B$87</f>
        <v>0</v>
      </c>
      <c r="CA64" s="12">
        <f>Sales[[#This Row],[AddFn]]*Lookups!$B$88</f>
        <v>0</v>
      </c>
      <c r="CB64" s="12">
        <f>Sales[[#This Row],[Bsmt]]*Lookups!$B$89</f>
        <v>0</v>
      </c>
      <c r="CC64" s="12">
        <f>Sales[[#This Row],[Fixtures]]*Lookups!$B$90</f>
        <v>30336.176841600001</v>
      </c>
      <c r="CD64" s="12">
        <f>Sales[[#This Row],[WdDeck]]*Lookups!$B$91</f>
        <v>0</v>
      </c>
      <c r="CE64" s="12">
        <f>SUM(Sales[[#This Row],[Days Prior Total]:[Mdl WdDeck]])</f>
        <v>279905.05896289472</v>
      </c>
      <c r="CF64" s="12">
        <f>ROUND(Sales[[#This Row],[25Det]],-2)</f>
        <v>0</v>
      </c>
      <c r="CG64" s="12">
        <f>ROUND(SUM(Sales[[#This Row],[Mdl Qlty]:[Mdl WdDeck]])+Sales[[#This Row],[Mdl Res Intercept]]+Sales[[#This Row],[Days Prior Total]],-2)</f>
        <v>250100</v>
      </c>
      <c r="CH64" s="12">
        <f>ROUND(Sales[[#This Row],[Mdl Land Intercept]]+Sales[[#This Row],[Mdl LnAcres]],-2)</f>
        <v>29800</v>
      </c>
      <c r="CI64" s="12">
        <f>Sales[[#This Row],[Unadj Res Value]]+Sales[[#This Row],[Unadj Det Value]]+Sales[[#This Row],[Unadj Land Value]]</f>
        <v>279900</v>
      </c>
      <c r="CJ64" s="13">
        <f>Sales[[#This Row],[Unadj Total Value]]/Sales[[#This Row],[Price]]</f>
        <v>0.9821052631578947</v>
      </c>
      <c r="CK64" s="13">
        <f>(Sales[[#This Row],[Unadj Total Value]]-Sales[[#This Row],[24Final]])/Sales[[#This Row],[24Final]]</f>
        <v>-8.1994096425057394E-2</v>
      </c>
      <c r="CL64">
        <f>VLOOKUP(Sales[[#This Row],[TNbhd]],Lookups!$Q$2:$T$4,4,FALSE)</f>
        <v>0.99970000000000003</v>
      </c>
      <c r="CM64">
        <f>VLOOKUP(Sales[[#This Row],[Qlty]],Lookups!$O$7:$R$21,4,FALSE)</f>
        <v>0.98050000000000004</v>
      </c>
      <c r="CN64">
        <f>VLOOKUP(Sales[[#This Row],[Cnd]],Lookups!$T$7:$W$16,4,FALSE)</f>
        <v>0.99729999999999996</v>
      </c>
      <c r="CO64">
        <f>VLOOKUP(Sales[[#This Row],[LivArea Range]],Lookups!$T$25:$W$37,4,FALSE)</f>
        <v>1.0157</v>
      </c>
      <c r="CP64">
        <f>VLOOKUP(Sales[[#This Row],[Decade]],Lookups!$O$25:$R$42,4,FALSE)</f>
        <v>1.0199</v>
      </c>
      <c r="CQ64">
        <f>Sales[[#This Row],[Nbhd Adj]]*0.95</f>
        <v>0.94971499999999998</v>
      </c>
      <c r="CR64">
        <f>Sales[[#This Row],[Nbhd Adj]]*Sales[[#This Row],[Quality Adj]]*Sales[[#This Row],[Condition Adj]]*Sales[[#This Row],[Living Area Adj]]*Sales[[#This Row],[Decade Adj]]*0.95</f>
        <v>0.96203253273253719</v>
      </c>
      <c r="CS64">
        <f>ROUND(SUM(Sales[[#This Row],[Mdl Qlty]:[Mdl WdDeck]])+Sales[[#This Row],[Mdl Res Intercept]]*Sales[[#This Row],[Res Adj ]],-2)</f>
        <v>292500</v>
      </c>
      <c r="CT64">
        <f>ROUND(Sales[[#This Row],[25Det]]*Sales[[#This Row],[Det/Nbhd Adj]],-2)</f>
        <v>0</v>
      </c>
      <c r="CU64">
        <f>Sales[[#This Row],[Adjusted Res]]+Sales[[#This Row],[Adj Det ]]</f>
        <v>292500</v>
      </c>
      <c r="CV64">
        <f>ROUND((Sales[[#This Row],[Mdl Land Intercept]]+Sales[[#This Row],[Mdl LnAcres]])*Sales[[#This Row],[Det/Nbhd Adj]],-2)</f>
        <v>28300</v>
      </c>
      <c r="CW64">
        <f>Sales[[#This Row],[Adjusted Impr Total]]+Sales[[#This Row],[Adjusted Land Total]]</f>
        <v>320800</v>
      </c>
      <c r="CX64" s="15">
        <f>IFERROR((Sales[[#This Row],[Adjusted Impr Total]]-Sales[[#This Row],[24Bldg]])/Sales[[#This Row],[24Bldg]],0)</f>
        <v>0.14035087719298245</v>
      </c>
      <c r="CY64" s="15">
        <f>(Sales[[#This Row],[Adjusted Land Total]]-Sales[[#This Row],[24Lnd]])/Sales[[#This Row],[24Lnd]]</f>
        <v>-0.41528925619834711</v>
      </c>
      <c r="CZ64" s="15">
        <f>(Sales[[#This Row],[Adjusted Total]]-Sales[[#This Row],[24Final]])/Sales[[#This Row],[24Final]]</f>
        <v>5.2148245326336502E-2</v>
      </c>
      <c r="DA64" s="15">
        <f>(Sales[[#This Row],[Adjusted Total]]+Sales[[#This Row],[Days Prior Total]])/Sales[[#This Row],[Price]]</f>
        <v>0.97676150418431584</v>
      </c>
    </row>
    <row r="65" spans="1:105" x14ac:dyDescent="0.3">
      <c r="A65">
        <v>2025</v>
      </c>
      <c r="B65">
        <v>18132324425</v>
      </c>
      <c r="C65">
        <v>-1.7147984280919266</v>
      </c>
      <c r="D65">
        <v>0.18</v>
      </c>
      <c r="E65">
        <v>0</v>
      </c>
      <c r="F65">
        <v>6</v>
      </c>
      <c r="G65" t="s">
        <v>126</v>
      </c>
      <c r="H65">
        <v>3033</v>
      </c>
      <c r="I65" t="s">
        <v>349</v>
      </c>
      <c r="J65" t="s">
        <v>30</v>
      </c>
      <c r="K65">
        <v>11</v>
      </c>
      <c r="L65">
        <v>259</v>
      </c>
      <c r="M65" t="s">
        <v>241</v>
      </c>
      <c r="N65" t="s">
        <v>302</v>
      </c>
      <c r="O65" t="s">
        <v>323</v>
      </c>
      <c r="P65">
        <v>70</v>
      </c>
      <c r="Q65">
        <v>1960</v>
      </c>
      <c r="R65">
        <v>1975</v>
      </c>
      <c r="S65">
        <v>64</v>
      </c>
      <c r="T65">
        <v>49</v>
      </c>
      <c r="U65">
        <v>1</v>
      </c>
      <c r="V65">
        <v>1248</v>
      </c>
      <c r="W65">
        <v>0</v>
      </c>
      <c r="X65">
        <v>0</v>
      </c>
      <c r="Y65">
        <v>1248</v>
      </c>
      <c r="Z65">
        <v>624</v>
      </c>
      <c r="AA65">
        <v>624</v>
      </c>
      <c r="AB65">
        <v>1872</v>
      </c>
      <c r="AC65">
        <v>2000</v>
      </c>
      <c r="AD65">
        <v>1</v>
      </c>
      <c r="AE65" t="s">
        <v>6</v>
      </c>
      <c r="AF65" t="s">
        <v>383</v>
      </c>
      <c r="AG65" t="s">
        <v>148</v>
      </c>
      <c r="AH65" t="s">
        <v>450</v>
      </c>
      <c r="AI65">
        <v>0</v>
      </c>
      <c r="AJ65">
        <v>1</v>
      </c>
      <c r="AK65">
        <v>0</v>
      </c>
      <c r="AL65">
        <v>0</v>
      </c>
      <c r="AM65">
        <v>1</v>
      </c>
      <c r="AN65">
        <v>8</v>
      </c>
      <c r="AO65">
        <v>300</v>
      </c>
      <c r="AP65">
        <v>0</v>
      </c>
      <c r="AQ65">
        <v>0</v>
      </c>
      <c r="AR65">
        <v>0</v>
      </c>
      <c r="AS65">
        <v>126</v>
      </c>
      <c r="AT65">
        <v>282</v>
      </c>
      <c r="AU65">
        <v>100</v>
      </c>
      <c r="AV65">
        <v>100</v>
      </c>
      <c r="AW65">
        <v>308565</v>
      </c>
      <c r="AX65">
        <v>222167</v>
      </c>
      <c r="AY65">
        <v>797</v>
      </c>
      <c r="AZ65">
        <v>365</v>
      </c>
      <c r="BA65">
        <v>365</v>
      </c>
      <c r="BB65">
        <v>67</v>
      </c>
      <c r="BC65" s="3">
        <v>44495</v>
      </c>
      <c r="BD65" t="s">
        <v>340</v>
      </c>
      <c r="BE65">
        <v>315000</v>
      </c>
      <c r="BF65">
        <v>315000</v>
      </c>
      <c r="BG65" t="s">
        <v>294</v>
      </c>
      <c r="BH65">
        <v>30</v>
      </c>
      <c r="BI65" t="s">
        <v>65</v>
      </c>
      <c r="BJ65" t="s">
        <v>450</v>
      </c>
      <c r="BK65">
        <v>328600</v>
      </c>
      <c r="BL65">
        <v>54700</v>
      </c>
      <c r="BM65">
        <v>273900</v>
      </c>
      <c r="BN65">
        <v>0</v>
      </c>
      <c r="BO65">
        <v>1.0431746031746032</v>
      </c>
      <c r="BP65">
        <v>312697.06546117412</v>
      </c>
      <c r="BQ65">
        <v>343218.80431722349</v>
      </c>
      <c r="BR65" s="12">
        <f>(Sales[[#This Row],[DP1]]*Lookups!$B$59)+(Sales[[#This Row],[DP2]]*Lookups!$B$60)+(Sales[[#This Row],[DP3]]*Lookups!$B$61)</f>
        <v>-30521.738859370002</v>
      </c>
      <c r="BS65" s="12">
        <f>Lookups!$B$56*0</f>
        <v>0</v>
      </c>
      <c r="BT65" s="12">
        <f>Lookups!$B$56*1</f>
        <v>89850.625589999996</v>
      </c>
      <c r="BU65" s="12">
        <f>Lookups!$B$57*Sales[[#This Row],[LnAcres]]</f>
        <v>-54281.285314520763</v>
      </c>
      <c r="BV65" s="12">
        <f>VLOOKUP(Sales[[#This Row],[Qlty]],Lookups!$A$62:$E$75,2,FALSE)</f>
        <v>29814.093161000001</v>
      </c>
      <c r="BW65" s="12">
        <f>VLOOKUP(Sales[[#This Row],[Cnd]],Lookups!$A$76:$E$84,2,FALSE)</f>
        <v>160472.20319</v>
      </c>
      <c r="BX65" s="12">
        <f>Sales[[#This Row],[EffAge]]*Lookups!$B$85</f>
        <v>-10929.2344245</v>
      </c>
      <c r="BY65" s="12">
        <f>Sales[[#This Row],[MainFn]]*Lookups!$B$86</f>
        <v>61662.020006496001</v>
      </c>
      <c r="BZ65" s="12">
        <f>Sales[[#This Row],[UpprFn]]*Lookups!$B$87</f>
        <v>0</v>
      </c>
      <c r="CA65" s="12">
        <f>Sales[[#This Row],[AddFn]]*Lookups!$B$88</f>
        <v>0</v>
      </c>
      <c r="CB65" s="12">
        <f>Sales[[#This Row],[Bsmt]]*Lookups!$B$89</f>
        <v>36294.205268255995</v>
      </c>
      <c r="CC65" s="12">
        <f>Sales[[#This Row],[Fixtures]]*Lookups!$B$90</f>
        <v>30336.176841600001</v>
      </c>
      <c r="CD65" s="12">
        <f>Sales[[#This Row],[WdDeck]]*Lookups!$B$91</f>
        <v>0</v>
      </c>
      <c r="CE65" s="12">
        <f>SUM(Sales[[#This Row],[Days Prior Total]:[Mdl WdDeck]])</f>
        <v>312697.06545896118</v>
      </c>
      <c r="CF65" s="12">
        <f>ROUND(Sales[[#This Row],[25Det]],-2)</f>
        <v>0</v>
      </c>
      <c r="CG65" s="12">
        <f>ROUND(SUM(Sales[[#This Row],[Mdl Qlty]:[Mdl WdDeck]])+Sales[[#This Row],[Mdl Res Intercept]]+Sales[[#This Row],[Days Prior Total]],-2)</f>
        <v>277100</v>
      </c>
      <c r="CH65" s="12">
        <f>ROUND(Sales[[#This Row],[Mdl Land Intercept]]+Sales[[#This Row],[Mdl LnAcres]],-2)</f>
        <v>35600</v>
      </c>
      <c r="CI65" s="12">
        <f>Sales[[#This Row],[Unadj Res Value]]+Sales[[#This Row],[Unadj Det Value]]+Sales[[#This Row],[Unadj Land Value]]</f>
        <v>312700</v>
      </c>
      <c r="CJ65" s="13">
        <f>Sales[[#This Row],[Unadj Total Value]]/Sales[[#This Row],[Price]]</f>
        <v>0.99269841269841275</v>
      </c>
      <c r="CK65" s="13">
        <f>(Sales[[#This Row],[Unadj Total Value]]-Sales[[#This Row],[24Final]])/Sales[[#This Row],[24Final]]</f>
        <v>-4.8387096774193547E-2</v>
      </c>
      <c r="CL65">
        <f>VLOOKUP(Sales[[#This Row],[TNbhd]],Lookups!$Q$2:$T$4,4,FALSE)</f>
        <v>0.99970000000000003</v>
      </c>
      <c r="CM65">
        <f>VLOOKUP(Sales[[#This Row],[Qlty]],Lookups!$O$7:$R$21,4,FALSE)</f>
        <v>1.0088999999999999</v>
      </c>
      <c r="CN65">
        <f>VLOOKUP(Sales[[#This Row],[Cnd]],Lookups!$T$7:$W$16,4,FALSE)</f>
        <v>0.99729999999999996</v>
      </c>
      <c r="CO65">
        <f>VLOOKUP(Sales[[#This Row],[LivArea Range]],Lookups!$T$25:$W$37,4,FALSE)</f>
        <v>1.0093000000000001</v>
      </c>
      <c r="CP65">
        <f>VLOOKUP(Sales[[#This Row],[Decade]],Lookups!$O$25:$R$42,4,FALSE)</f>
        <v>1.0199</v>
      </c>
      <c r="CQ65">
        <f>Sales[[#This Row],[Nbhd Adj]]*0.95</f>
        <v>0.94971499999999998</v>
      </c>
      <c r="CR65">
        <f>Sales[[#This Row],[Nbhd Adj]]*Sales[[#This Row],[Quality Adj]]*Sales[[#This Row],[Condition Adj]]*Sales[[#This Row],[Living Area Adj]]*Sales[[#This Row],[Decade Adj]]*0.95</f>
        <v>0.98366020862665582</v>
      </c>
      <c r="CS65">
        <f>ROUND(SUM(Sales[[#This Row],[Mdl Qlty]:[Mdl WdDeck]])+Sales[[#This Row],[Mdl Res Intercept]]*Sales[[#This Row],[Res Adj ]],-2)</f>
        <v>307600</v>
      </c>
      <c r="CT65">
        <f>ROUND(Sales[[#This Row],[25Det]]*Sales[[#This Row],[Det/Nbhd Adj]],-2)</f>
        <v>0</v>
      </c>
      <c r="CU65">
        <f>Sales[[#This Row],[Adjusted Res]]+Sales[[#This Row],[Adj Det ]]</f>
        <v>307600</v>
      </c>
      <c r="CV65">
        <f>ROUND((Sales[[#This Row],[Mdl Land Intercept]]+Sales[[#This Row],[Mdl LnAcres]])*Sales[[#This Row],[Det/Nbhd Adj]],-2)</f>
        <v>33800</v>
      </c>
      <c r="CW65">
        <f>Sales[[#This Row],[Adjusted Impr Total]]+Sales[[#This Row],[Adjusted Land Total]]</f>
        <v>341400</v>
      </c>
      <c r="CX65" s="15">
        <f>IFERROR((Sales[[#This Row],[Adjusted Impr Total]]-Sales[[#This Row],[24Bldg]])/Sales[[#This Row],[24Bldg]],0)</f>
        <v>0.12303760496531581</v>
      </c>
      <c r="CY65" s="15">
        <f>(Sales[[#This Row],[Adjusted Land Total]]-Sales[[#This Row],[24Lnd]])/Sales[[#This Row],[24Lnd]]</f>
        <v>-0.38208409506398539</v>
      </c>
      <c r="CZ65" s="15">
        <f>(Sales[[#This Row],[Adjusted Total]]-Sales[[#This Row],[24Final]])/Sales[[#This Row],[24Final]]</f>
        <v>3.8953134510042606E-2</v>
      </c>
      <c r="DA65" s="15">
        <f>(Sales[[#This Row],[Adjusted Total]]+Sales[[#This Row],[Days Prior Total]])/Sales[[#This Row],[Price]]</f>
        <v>0.98691511473215876</v>
      </c>
    </row>
    <row r="66" spans="1:105" x14ac:dyDescent="0.3">
      <c r="A66">
        <v>2025</v>
      </c>
      <c r="B66">
        <v>18132244017</v>
      </c>
      <c r="C66">
        <v>-1.5141277326297755</v>
      </c>
      <c r="D66">
        <v>0.22</v>
      </c>
      <c r="E66">
        <v>9672</v>
      </c>
      <c r="F66">
        <v>6</v>
      </c>
      <c r="G66" t="s">
        <v>126</v>
      </c>
      <c r="H66">
        <v>3093</v>
      </c>
      <c r="I66" t="s">
        <v>349</v>
      </c>
      <c r="J66" t="s">
        <v>30</v>
      </c>
      <c r="K66">
        <v>11</v>
      </c>
      <c r="L66">
        <v>259</v>
      </c>
      <c r="M66" t="s">
        <v>241</v>
      </c>
      <c r="N66" t="s">
        <v>148</v>
      </c>
      <c r="O66" t="s">
        <v>303</v>
      </c>
      <c r="P66">
        <v>70</v>
      </c>
      <c r="Q66">
        <v>1960</v>
      </c>
      <c r="R66">
        <v>1975</v>
      </c>
      <c r="S66">
        <v>64</v>
      </c>
      <c r="T66">
        <v>49</v>
      </c>
      <c r="U66">
        <v>1</v>
      </c>
      <c r="V66">
        <v>1217</v>
      </c>
      <c r="W66">
        <v>0</v>
      </c>
      <c r="X66">
        <v>0</v>
      </c>
      <c r="Y66">
        <v>1100</v>
      </c>
      <c r="Z66">
        <v>100</v>
      </c>
      <c r="AA66">
        <v>1000</v>
      </c>
      <c r="AB66">
        <v>2217</v>
      </c>
      <c r="AC66">
        <v>2500</v>
      </c>
      <c r="AD66">
        <v>2</v>
      </c>
      <c r="AF66" t="s">
        <v>383</v>
      </c>
      <c r="AG66" t="s">
        <v>148</v>
      </c>
      <c r="AH66" t="s">
        <v>450</v>
      </c>
      <c r="AI66">
        <v>0</v>
      </c>
      <c r="AJ66">
        <v>1</v>
      </c>
      <c r="AK66">
        <v>0</v>
      </c>
      <c r="AL66">
        <v>2</v>
      </c>
      <c r="AM66">
        <v>0</v>
      </c>
      <c r="AN66">
        <v>12</v>
      </c>
      <c r="AO66">
        <v>440</v>
      </c>
      <c r="AP66">
        <v>0</v>
      </c>
      <c r="AQ66">
        <v>0</v>
      </c>
      <c r="AR66">
        <v>0</v>
      </c>
      <c r="AS66">
        <v>410</v>
      </c>
      <c r="AT66">
        <v>352</v>
      </c>
      <c r="AU66">
        <v>100</v>
      </c>
      <c r="AV66">
        <v>100</v>
      </c>
      <c r="AW66">
        <v>386530</v>
      </c>
      <c r="AX66">
        <v>305359</v>
      </c>
      <c r="AY66">
        <v>668</v>
      </c>
      <c r="AZ66">
        <v>365</v>
      </c>
      <c r="BA66">
        <v>303</v>
      </c>
      <c r="BB66">
        <v>0</v>
      </c>
      <c r="BC66" s="3">
        <v>44624</v>
      </c>
      <c r="BD66" t="s">
        <v>372</v>
      </c>
      <c r="BE66">
        <v>391000</v>
      </c>
      <c r="BF66">
        <v>391000</v>
      </c>
      <c r="BG66" t="s">
        <v>294</v>
      </c>
      <c r="BH66">
        <v>30</v>
      </c>
      <c r="BI66" t="s">
        <v>65</v>
      </c>
      <c r="BJ66" t="s">
        <v>450</v>
      </c>
      <c r="BK66">
        <v>394100</v>
      </c>
      <c r="BL66">
        <v>61700</v>
      </c>
      <c r="BM66">
        <v>332400</v>
      </c>
      <c r="BN66">
        <v>0</v>
      </c>
      <c r="BO66">
        <v>1.0079283887468031</v>
      </c>
      <c r="BP66">
        <v>388216.00544629683</v>
      </c>
      <c r="BQ66">
        <v>410490.34618217172</v>
      </c>
      <c r="BR66" s="12">
        <f>(Sales[[#This Row],[DP1]]*Lookups!$B$59)+(Sales[[#This Row],[DP2]]*Lookups!$B$60)+(Sales[[#This Row],[DP3]]*Lookups!$B$61)</f>
        <v>-22274.340737494</v>
      </c>
      <c r="BS66" s="12">
        <f>Lookups!$B$56*0</f>
        <v>0</v>
      </c>
      <c r="BT66" s="12">
        <f>Lookups!$B$56*1</f>
        <v>89850.625589999996</v>
      </c>
      <c r="BU66" s="12">
        <f>Lookups!$B$57*Sales[[#This Row],[LnAcres]]</f>
        <v>-47929.131559187132</v>
      </c>
      <c r="BV66" s="12">
        <f>VLOOKUP(Sales[[#This Row],[Qlty]],Lookups!$A$62:$E$75,2,FALSE)</f>
        <v>44121.038090000002</v>
      </c>
      <c r="BW66" s="12">
        <f>VLOOKUP(Sales[[#This Row],[Cnd]],Lookups!$A$76:$E$84,2,FALSE)</f>
        <v>197752.34721000001</v>
      </c>
      <c r="BX66" s="12">
        <f>Sales[[#This Row],[EffAge]]*Lookups!$B$85</f>
        <v>-10929.2344245</v>
      </c>
      <c r="BY66" s="12">
        <f>Sales[[#This Row],[MainFn]]*Lookups!$B$86</f>
        <v>60130.351240308999</v>
      </c>
      <c r="BZ66" s="12">
        <f>Sales[[#This Row],[UpprFn]]*Lookups!$B$87</f>
        <v>0</v>
      </c>
      <c r="CA66" s="12">
        <f>Sales[[#This Row],[AddFn]]*Lookups!$B$88</f>
        <v>0</v>
      </c>
      <c r="CB66" s="12">
        <f>Sales[[#This Row],[Bsmt]]*Lookups!$B$89</f>
        <v>31990.0847717</v>
      </c>
      <c r="CC66" s="12">
        <f>Sales[[#This Row],[Fixtures]]*Lookups!$B$90</f>
        <v>45504.265262400004</v>
      </c>
      <c r="CD66" s="12">
        <f>Sales[[#This Row],[WdDeck]]*Lookups!$B$91</f>
        <v>0</v>
      </c>
      <c r="CE66" s="12">
        <f>SUM(Sales[[#This Row],[Days Prior Total]:[Mdl WdDeck]])</f>
        <v>388216.00544322794</v>
      </c>
      <c r="CF66" s="12">
        <f>ROUND(Sales[[#This Row],[25Det]],-2)</f>
        <v>0</v>
      </c>
      <c r="CG66" s="12">
        <f>ROUND(SUM(Sales[[#This Row],[Mdl Qlty]:[Mdl WdDeck]])+Sales[[#This Row],[Mdl Res Intercept]]+Sales[[#This Row],[Days Prior Total]],-2)</f>
        <v>346300</v>
      </c>
      <c r="CH66" s="12">
        <f>ROUND(Sales[[#This Row],[Mdl Land Intercept]]+Sales[[#This Row],[Mdl LnAcres]],-2)</f>
        <v>41900</v>
      </c>
      <c r="CI66" s="12">
        <f>Sales[[#This Row],[Unadj Res Value]]+Sales[[#This Row],[Unadj Det Value]]+Sales[[#This Row],[Unadj Land Value]]</f>
        <v>388200</v>
      </c>
      <c r="CJ66" s="13">
        <f>Sales[[#This Row],[Unadj Total Value]]/Sales[[#This Row],[Price]]</f>
        <v>0.99283887468030696</v>
      </c>
      <c r="CK66" s="13">
        <f>(Sales[[#This Row],[Unadj Total Value]]-Sales[[#This Row],[24Final]])/Sales[[#This Row],[24Final]]</f>
        <v>-1.4970819588936818E-2</v>
      </c>
      <c r="CL66">
        <f>VLOOKUP(Sales[[#This Row],[TNbhd]],Lookups!$Q$2:$T$4,4,FALSE)</f>
        <v>0.99970000000000003</v>
      </c>
      <c r="CM66">
        <f>VLOOKUP(Sales[[#This Row],[Qlty]],Lookups!$O$7:$R$21,4,FALSE)</f>
        <v>0.98050000000000004</v>
      </c>
      <c r="CN66">
        <f>VLOOKUP(Sales[[#This Row],[Cnd]],Lookups!$T$7:$W$16,4,FALSE)</f>
        <v>0.99650000000000005</v>
      </c>
      <c r="CO66">
        <f>VLOOKUP(Sales[[#This Row],[LivArea Range]],Lookups!$T$25:$W$37,4,FALSE)</f>
        <v>0.98919999999999997</v>
      </c>
      <c r="CP66">
        <f>VLOOKUP(Sales[[#This Row],[Decade]],Lookups!$O$25:$R$42,4,FALSE)</f>
        <v>1.0199</v>
      </c>
      <c r="CQ66">
        <f>Sales[[#This Row],[Nbhd Adj]]*0.95</f>
        <v>0.94971499999999998</v>
      </c>
      <c r="CR66">
        <f>Sales[[#This Row],[Nbhd Adj]]*Sales[[#This Row],[Quality Adj]]*Sales[[#This Row],[Condition Adj]]*Sales[[#This Row],[Living Area Adj]]*Sales[[#This Row],[Decade Adj]]*0.95</f>
        <v>0.936181161958198</v>
      </c>
      <c r="CS66">
        <f>ROUND(SUM(Sales[[#This Row],[Mdl Qlty]:[Mdl WdDeck]])+Sales[[#This Row],[Mdl Res Intercept]]*Sales[[#This Row],[Res Adj ]],-2)</f>
        <v>368600</v>
      </c>
      <c r="CT66">
        <f>ROUND(Sales[[#This Row],[25Det]]*Sales[[#This Row],[Det/Nbhd Adj]],-2)</f>
        <v>0</v>
      </c>
      <c r="CU66">
        <f>Sales[[#This Row],[Adjusted Res]]+Sales[[#This Row],[Adj Det ]]</f>
        <v>368600</v>
      </c>
      <c r="CV66">
        <f>ROUND((Sales[[#This Row],[Mdl Land Intercept]]+Sales[[#This Row],[Mdl LnAcres]])*Sales[[#This Row],[Det/Nbhd Adj]],-2)</f>
        <v>39800</v>
      </c>
      <c r="CW66">
        <f>Sales[[#This Row],[Adjusted Impr Total]]+Sales[[#This Row],[Adjusted Land Total]]</f>
        <v>408400</v>
      </c>
      <c r="CX66" s="15">
        <f>IFERROR((Sales[[#This Row],[Adjusted Impr Total]]-Sales[[#This Row],[24Bldg]])/Sales[[#This Row],[24Bldg]],0)</f>
        <v>0.10890493381468111</v>
      </c>
      <c r="CY66" s="15">
        <f>(Sales[[#This Row],[Adjusted Land Total]]-Sales[[#This Row],[24Lnd]])/Sales[[#This Row],[24Lnd]]</f>
        <v>-0.35494327390599678</v>
      </c>
      <c r="CZ66" s="15">
        <f>(Sales[[#This Row],[Adjusted Total]]-Sales[[#This Row],[24Final]])/Sales[[#This Row],[24Final]]</f>
        <v>3.628520680030449E-2</v>
      </c>
      <c r="DA66" s="15">
        <f>(Sales[[#This Row],[Adjusted Total]]+Sales[[#This Row],[Days Prior Total]])/Sales[[#This Row],[Price]]</f>
        <v>0.98753365540282867</v>
      </c>
    </row>
    <row r="67" spans="1:105" x14ac:dyDescent="0.3">
      <c r="A67">
        <v>2025</v>
      </c>
      <c r="B67">
        <v>18132332507</v>
      </c>
      <c r="C67">
        <v>-1.7719568419318752</v>
      </c>
      <c r="D67">
        <v>0.17</v>
      </c>
      <c r="E67">
        <v>0</v>
      </c>
      <c r="F67">
        <v>6</v>
      </c>
      <c r="G67" t="s">
        <v>126</v>
      </c>
      <c r="H67">
        <v>3032</v>
      </c>
      <c r="I67" t="s">
        <v>349</v>
      </c>
      <c r="J67" t="s">
        <v>30</v>
      </c>
      <c r="K67">
        <v>11</v>
      </c>
      <c r="L67">
        <v>259</v>
      </c>
      <c r="M67" t="s">
        <v>173</v>
      </c>
      <c r="N67" t="s">
        <v>351</v>
      </c>
      <c r="O67" t="s">
        <v>323</v>
      </c>
      <c r="P67">
        <v>70</v>
      </c>
      <c r="Q67">
        <v>1960</v>
      </c>
      <c r="R67">
        <v>1975</v>
      </c>
      <c r="S67">
        <v>64</v>
      </c>
      <c r="T67">
        <v>49</v>
      </c>
      <c r="U67">
        <v>2</v>
      </c>
      <c r="V67">
        <v>1192</v>
      </c>
      <c r="W67">
        <v>154</v>
      </c>
      <c r="X67">
        <v>0</v>
      </c>
      <c r="Y67">
        <v>132</v>
      </c>
      <c r="Z67">
        <v>0</v>
      </c>
      <c r="AA67">
        <v>132</v>
      </c>
      <c r="AB67">
        <v>1478</v>
      </c>
      <c r="AC67">
        <v>1500</v>
      </c>
      <c r="AD67">
        <v>0</v>
      </c>
      <c r="AF67" t="s">
        <v>383</v>
      </c>
      <c r="AG67" t="s">
        <v>148</v>
      </c>
      <c r="AI67">
        <v>1</v>
      </c>
      <c r="AJ67">
        <v>0</v>
      </c>
      <c r="AK67">
        <v>0</v>
      </c>
      <c r="AL67">
        <v>0</v>
      </c>
      <c r="AM67">
        <v>0</v>
      </c>
      <c r="AN67">
        <v>5</v>
      </c>
      <c r="AO67">
        <v>0</v>
      </c>
      <c r="AP67">
        <v>0</v>
      </c>
      <c r="AQ67">
        <v>0</v>
      </c>
      <c r="AR67">
        <v>320</v>
      </c>
      <c r="AS67">
        <v>0</v>
      </c>
      <c r="AT67">
        <v>320</v>
      </c>
      <c r="AU67">
        <v>100</v>
      </c>
      <c r="AV67">
        <v>100</v>
      </c>
      <c r="AW67">
        <v>200751</v>
      </c>
      <c r="AX67">
        <v>144541</v>
      </c>
      <c r="AY67">
        <v>922</v>
      </c>
      <c r="AZ67">
        <v>365</v>
      </c>
      <c r="BA67">
        <v>365</v>
      </c>
      <c r="BB67">
        <v>192</v>
      </c>
      <c r="BC67" s="3">
        <v>44370</v>
      </c>
      <c r="BD67" t="s">
        <v>37</v>
      </c>
      <c r="BE67">
        <v>256470</v>
      </c>
      <c r="BF67">
        <v>256470</v>
      </c>
      <c r="BG67" t="s">
        <v>294</v>
      </c>
      <c r="BH67">
        <v>30</v>
      </c>
      <c r="BI67" t="s">
        <v>65</v>
      </c>
      <c r="BJ67" t="s">
        <v>450</v>
      </c>
      <c r="BK67">
        <v>279800</v>
      </c>
      <c r="BL67">
        <v>52700</v>
      </c>
      <c r="BM67">
        <v>227100</v>
      </c>
      <c r="BN67">
        <v>0</v>
      </c>
      <c r="BO67">
        <v>1.0909658049674427</v>
      </c>
      <c r="BP67">
        <v>256869.08670433977</v>
      </c>
      <c r="BQ67">
        <v>304106.0396697442</v>
      </c>
      <c r="BR67" s="12">
        <f>(Sales[[#This Row],[DP1]]*Lookups!$B$59)+(Sales[[#This Row],[DP2]]*Lookups!$B$60)+(Sales[[#This Row],[DP3]]*Lookups!$B$61)</f>
        <v>-47236.952971870007</v>
      </c>
      <c r="BS67" s="12">
        <f>Lookups!$B$56*0</f>
        <v>0</v>
      </c>
      <c r="BT67" s="12">
        <f>Lookups!$B$56*1</f>
        <v>89850.625589999996</v>
      </c>
      <c r="BU67" s="12">
        <f>Lookups!$B$57*Sales[[#This Row],[LnAcres]]</f>
        <v>-56090.612940989391</v>
      </c>
      <c r="BV67" s="12">
        <f>VLOOKUP(Sales[[#This Row],[Qlty]],Lookups!$A$62:$E$75,2,FALSE)</f>
        <v>21557.329055999999</v>
      </c>
      <c r="BW67" s="12">
        <f>VLOOKUP(Sales[[#This Row],[Cnd]],Lookups!$A$76:$E$84,2,FALSE)</f>
        <v>160472.20319</v>
      </c>
      <c r="BX67" s="12">
        <f>Sales[[#This Row],[EffAge]]*Lookups!$B$85</f>
        <v>-10929.2344245</v>
      </c>
      <c r="BY67" s="12">
        <f>Sales[[#This Row],[MainFn]]*Lookups!$B$86</f>
        <v>58895.134493384001</v>
      </c>
      <c r="BZ67" s="12">
        <f>Sales[[#This Row],[UpprFn]]*Lookups!$B$87</f>
        <v>6897.1091205940002</v>
      </c>
      <c r="CA67" s="12">
        <f>Sales[[#This Row],[AddFn]]*Lookups!$B$88</f>
        <v>0</v>
      </c>
      <c r="CB67" s="12">
        <f>Sales[[#This Row],[Bsmt]]*Lookups!$B$89</f>
        <v>3838.8101726039999</v>
      </c>
      <c r="CC67" s="12">
        <f>Sales[[#This Row],[Fixtures]]*Lookups!$B$90</f>
        <v>18960.110526</v>
      </c>
      <c r="CD67" s="12">
        <f>Sales[[#This Row],[WdDeck]]*Lookups!$B$91</f>
        <v>10654.564888320001</v>
      </c>
      <c r="CE67" s="12">
        <f>SUM(Sales[[#This Row],[Days Prior Total]:[Mdl WdDeck]])</f>
        <v>256869.08669954256</v>
      </c>
      <c r="CF67" s="12">
        <f>ROUND(Sales[[#This Row],[25Det]],-2)</f>
        <v>0</v>
      </c>
      <c r="CG67" s="12">
        <f>ROUND(SUM(Sales[[#This Row],[Mdl Qlty]:[Mdl WdDeck]])+Sales[[#This Row],[Mdl Res Intercept]]+Sales[[#This Row],[Days Prior Total]],-2)</f>
        <v>223100</v>
      </c>
      <c r="CH67" s="12">
        <f>ROUND(Sales[[#This Row],[Mdl Land Intercept]]+Sales[[#This Row],[Mdl LnAcres]],-2)</f>
        <v>33800</v>
      </c>
      <c r="CI67" s="12">
        <f>Sales[[#This Row],[Unadj Res Value]]+Sales[[#This Row],[Unadj Det Value]]+Sales[[#This Row],[Unadj Land Value]]</f>
        <v>256900</v>
      </c>
      <c r="CJ67" s="13">
        <f>Sales[[#This Row],[Unadj Total Value]]/Sales[[#This Row],[Price]]</f>
        <v>1.0016766093500213</v>
      </c>
      <c r="CK67" s="13">
        <f>(Sales[[#This Row],[Unadj Total Value]]-Sales[[#This Row],[24Final]])/Sales[[#This Row],[24Final]]</f>
        <v>-8.1844174410293069E-2</v>
      </c>
      <c r="CL67">
        <f>VLOOKUP(Sales[[#This Row],[TNbhd]],Lookups!$Q$2:$T$4,4,FALSE)</f>
        <v>0.99970000000000003</v>
      </c>
      <c r="CM67">
        <f>VLOOKUP(Sales[[#This Row],[Qlty]],Lookups!$O$7:$R$21,4,FALSE)</f>
        <v>1.0067999999999999</v>
      </c>
      <c r="CN67">
        <f>VLOOKUP(Sales[[#This Row],[Cnd]],Lookups!$T$7:$W$16,4,FALSE)</f>
        <v>0.99729999999999996</v>
      </c>
      <c r="CO67">
        <f>VLOOKUP(Sales[[#This Row],[LivArea Range]],Lookups!$T$25:$W$37,4,FALSE)</f>
        <v>1.0157</v>
      </c>
      <c r="CP67">
        <f>VLOOKUP(Sales[[#This Row],[Decade]],Lookups!$O$25:$R$42,4,FALSE)</f>
        <v>1.0199</v>
      </c>
      <c r="CQ67">
        <f>Sales[[#This Row],[Nbhd Adj]]*0.95</f>
        <v>0.94971499999999998</v>
      </c>
      <c r="CR67">
        <f>Sales[[#This Row],[Nbhd Adj]]*Sales[[#This Row],[Quality Adj]]*Sales[[#This Row],[Condition Adj]]*Sales[[#This Row],[Living Area Adj]]*Sales[[#This Row],[Decade Adj]]*0.95</f>
        <v>0.98783717894453682</v>
      </c>
      <c r="CS67">
        <f>ROUND(SUM(Sales[[#This Row],[Mdl Qlty]:[Mdl WdDeck]])+Sales[[#This Row],[Mdl Res Intercept]]*Sales[[#This Row],[Res Adj ]],-2)</f>
        <v>270300</v>
      </c>
      <c r="CT67">
        <f>ROUND(Sales[[#This Row],[25Det]]*Sales[[#This Row],[Det/Nbhd Adj]],-2)</f>
        <v>0</v>
      </c>
      <c r="CU67">
        <f>Sales[[#This Row],[Adjusted Res]]+Sales[[#This Row],[Adj Det ]]</f>
        <v>270300</v>
      </c>
      <c r="CV67">
        <f>ROUND((Sales[[#This Row],[Mdl Land Intercept]]+Sales[[#This Row],[Mdl LnAcres]])*Sales[[#This Row],[Det/Nbhd Adj]],-2)</f>
        <v>32100</v>
      </c>
      <c r="CW67">
        <f>Sales[[#This Row],[Adjusted Impr Total]]+Sales[[#This Row],[Adjusted Land Total]]</f>
        <v>302400</v>
      </c>
      <c r="CX67" s="15">
        <f>IFERROR((Sales[[#This Row],[Adjusted Impr Total]]-Sales[[#This Row],[24Bldg]])/Sales[[#This Row],[24Bldg]],0)</f>
        <v>0.19022457067371201</v>
      </c>
      <c r="CY67" s="15">
        <f>(Sales[[#This Row],[Adjusted Land Total]]-Sales[[#This Row],[24Lnd]])/Sales[[#This Row],[24Lnd]]</f>
        <v>-0.39089184060721061</v>
      </c>
      <c r="CZ67" s="15">
        <f>(Sales[[#This Row],[Adjusted Total]]-Sales[[#This Row],[24Final]])/Sales[[#This Row],[24Final]]</f>
        <v>8.0771979985704068E-2</v>
      </c>
      <c r="DA67" s="15">
        <f>(Sales[[#This Row],[Adjusted Total]]+Sales[[#This Row],[Days Prior Total]])/Sales[[#This Row],[Price]]</f>
        <v>0.99490407076121956</v>
      </c>
    </row>
    <row r="68" spans="1:105" x14ac:dyDescent="0.3">
      <c r="A68">
        <v>2025</v>
      </c>
      <c r="B68">
        <v>18132242465</v>
      </c>
      <c r="C68">
        <v>-1.7719568419318752</v>
      </c>
      <c r="D68">
        <v>0.17</v>
      </c>
      <c r="E68">
        <v>7280</v>
      </c>
      <c r="F68">
        <v>6</v>
      </c>
      <c r="G68" t="s">
        <v>126</v>
      </c>
      <c r="H68" t="s">
        <v>349</v>
      </c>
      <c r="I68" t="s">
        <v>349</v>
      </c>
      <c r="J68" t="s">
        <v>30</v>
      </c>
      <c r="K68">
        <v>11</v>
      </c>
      <c r="L68">
        <v>259</v>
      </c>
      <c r="M68" t="s">
        <v>241</v>
      </c>
      <c r="N68" t="s">
        <v>302</v>
      </c>
      <c r="O68" t="s">
        <v>303</v>
      </c>
      <c r="P68">
        <v>70</v>
      </c>
      <c r="Q68">
        <v>1960</v>
      </c>
      <c r="R68">
        <v>1975</v>
      </c>
      <c r="S68">
        <v>64</v>
      </c>
      <c r="T68">
        <v>49</v>
      </c>
      <c r="U68">
        <v>1</v>
      </c>
      <c r="V68">
        <v>1398</v>
      </c>
      <c r="W68">
        <v>0</v>
      </c>
      <c r="X68">
        <v>0</v>
      </c>
      <c r="Y68">
        <v>725</v>
      </c>
      <c r="Z68">
        <v>0</v>
      </c>
      <c r="AA68">
        <v>725</v>
      </c>
      <c r="AB68">
        <v>2123</v>
      </c>
      <c r="AC68">
        <v>2500</v>
      </c>
      <c r="AD68">
        <v>1</v>
      </c>
      <c r="AF68" t="s">
        <v>383</v>
      </c>
      <c r="AG68" t="s">
        <v>148</v>
      </c>
      <c r="AH68" t="s">
        <v>450</v>
      </c>
      <c r="AI68">
        <v>0</v>
      </c>
      <c r="AJ68">
        <v>1</v>
      </c>
      <c r="AK68">
        <v>0</v>
      </c>
      <c r="AL68">
        <v>0</v>
      </c>
      <c r="AM68">
        <v>1</v>
      </c>
      <c r="AN68">
        <v>7</v>
      </c>
      <c r="AO68">
        <v>448</v>
      </c>
      <c r="AP68">
        <v>0</v>
      </c>
      <c r="AQ68">
        <v>0</v>
      </c>
      <c r="AR68">
        <v>0</v>
      </c>
      <c r="AS68">
        <v>792</v>
      </c>
      <c r="AT68">
        <v>792</v>
      </c>
      <c r="AU68">
        <v>100</v>
      </c>
      <c r="AV68">
        <v>100</v>
      </c>
      <c r="AW68">
        <v>340954</v>
      </c>
      <c r="AX68">
        <v>269354</v>
      </c>
      <c r="AY68">
        <v>54</v>
      </c>
      <c r="AZ68">
        <v>54</v>
      </c>
      <c r="BA68">
        <v>0</v>
      </c>
      <c r="BB68">
        <v>0</v>
      </c>
      <c r="BC68" s="3">
        <v>45238</v>
      </c>
      <c r="BD68" t="s">
        <v>436</v>
      </c>
      <c r="BE68">
        <v>345000</v>
      </c>
      <c r="BF68">
        <v>345000</v>
      </c>
      <c r="BG68" t="s">
        <v>294</v>
      </c>
      <c r="BH68">
        <v>30</v>
      </c>
      <c r="BI68" t="s">
        <v>65</v>
      </c>
      <c r="BJ68" t="s">
        <v>450</v>
      </c>
      <c r="BK68">
        <v>352500</v>
      </c>
      <c r="BL68">
        <v>52700</v>
      </c>
      <c r="BM68">
        <v>299800</v>
      </c>
      <c r="BN68">
        <v>0</v>
      </c>
      <c r="BO68">
        <v>1.0217391304347827</v>
      </c>
      <c r="BP68">
        <v>363288.925260266</v>
      </c>
      <c r="BQ68">
        <v>367099.06787481793</v>
      </c>
      <c r="BR68" s="12">
        <f>(Sales[[#This Row],[DP1]]*Lookups!$B$59)+(Sales[[#This Row],[DP2]]*Lookups!$B$60)+(Sales[[#This Row],[DP3]]*Lookups!$B$61)</f>
        <v>-3810.1426147800003</v>
      </c>
      <c r="BS68" s="12">
        <f>Lookups!$B$56*0</f>
        <v>0</v>
      </c>
      <c r="BT68" s="12">
        <f>Lookups!$B$56*1</f>
        <v>89850.625589999996</v>
      </c>
      <c r="BU68" s="12">
        <f>Lookups!$B$57*Sales[[#This Row],[LnAcres]]</f>
        <v>-56090.612940989391</v>
      </c>
      <c r="BV68" s="12">
        <f>VLOOKUP(Sales[[#This Row],[Qlty]],Lookups!$A$62:$E$75,2,FALSE)</f>
        <v>29814.093161000001</v>
      </c>
      <c r="BW68" s="12">
        <f>VLOOKUP(Sales[[#This Row],[Cnd]],Lookups!$A$76:$E$84,2,FALSE)</f>
        <v>197752.34721000001</v>
      </c>
      <c r="BX68" s="12">
        <f>Sales[[#This Row],[EffAge]]*Lookups!$B$85</f>
        <v>-10929.2344245</v>
      </c>
      <c r="BY68" s="12">
        <f>Sales[[#This Row],[MainFn]]*Lookups!$B$86</f>
        <v>69073.320488045996</v>
      </c>
      <c r="BZ68" s="12">
        <f>Sales[[#This Row],[UpprFn]]*Lookups!$B$87</f>
        <v>0</v>
      </c>
      <c r="CA68" s="12">
        <f>Sales[[#This Row],[AddFn]]*Lookups!$B$88</f>
        <v>0</v>
      </c>
      <c r="CB68" s="12">
        <f>Sales[[#This Row],[Bsmt]]*Lookups!$B$89</f>
        <v>21084.374054075</v>
      </c>
      <c r="CC68" s="12">
        <f>Sales[[#This Row],[Fixtures]]*Lookups!$B$90</f>
        <v>26544.1547364</v>
      </c>
      <c r="CD68" s="12">
        <f>Sales[[#This Row],[WdDeck]]*Lookups!$B$91</f>
        <v>0</v>
      </c>
      <c r="CE68" s="12">
        <f>SUM(Sales[[#This Row],[Days Prior Total]:[Mdl WdDeck]])</f>
        <v>363288.92525925161</v>
      </c>
      <c r="CF68" s="12">
        <f>ROUND(Sales[[#This Row],[25Det]],-2)</f>
        <v>0</v>
      </c>
      <c r="CG68" s="12">
        <f>ROUND(SUM(Sales[[#This Row],[Mdl Qlty]:[Mdl WdDeck]])+Sales[[#This Row],[Mdl Res Intercept]]+Sales[[#This Row],[Days Prior Total]],-2)</f>
        <v>329500</v>
      </c>
      <c r="CH68" s="12">
        <f>ROUND(Sales[[#This Row],[Mdl Land Intercept]]+Sales[[#This Row],[Mdl LnAcres]],-2)</f>
        <v>33800</v>
      </c>
      <c r="CI68" s="12">
        <f>Sales[[#This Row],[Unadj Res Value]]+Sales[[#This Row],[Unadj Det Value]]+Sales[[#This Row],[Unadj Land Value]]</f>
        <v>363300</v>
      </c>
      <c r="CJ68" s="13">
        <f>Sales[[#This Row],[Unadj Total Value]]/Sales[[#This Row],[Price]]</f>
        <v>1.0530434782608695</v>
      </c>
      <c r="CK68" s="13">
        <f>(Sales[[#This Row],[Unadj Total Value]]-Sales[[#This Row],[24Final]])/Sales[[#This Row],[24Final]]</f>
        <v>3.0638297872340424E-2</v>
      </c>
      <c r="CL68">
        <f>VLOOKUP(Sales[[#This Row],[TNbhd]],Lookups!$Q$2:$T$4,4,FALSE)</f>
        <v>0.99970000000000003</v>
      </c>
      <c r="CM68">
        <f>VLOOKUP(Sales[[#This Row],[Qlty]],Lookups!$O$7:$R$21,4,FALSE)</f>
        <v>1.0088999999999999</v>
      </c>
      <c r="CN68">
        <f>VLOOKUP(Sales[[#This Row],[Cnd]],Lookups!$T$7:$W$16,4,FALSE)</f>
        <v>0.99650000000000005</v>
      </c>
      <c r="CO68">
        <f>VLOOKUP(Sales[[#This Row],[LivArea Range]],Lookups!$T$25:$W$37,4,FALSE)</f>
        <v>0.98919999999999997</v>
      </c>
      <c r="CP68">
        <f>VLOOKUP(Sales[[#This Row],[Decade]],Lookups!$O$25:$R$42,4,FALSE)</f>
        <v>1.0199</v>
      </c>
      <c r="CQ68">
        <f>Sales[[#This Row],[Nbhd Adj]]*0.95</f>
        <v>0.94971499999999998</v>
      </c>
      <c r="CR68">
        <f>Sales[[#This Row],[Nbhd Adj]]*Sales[[#This Row],[Quality Adj]]*Sales[[#This Row],[Condition Adj]]*Sales[[#This Row],[Living Area Adj]]*Sales[[#This Row],[Decade Adj]]*0.95</f>
        <v>0.9632974750633615</v>
      </c>
      <c r="CS68">
        <f>ROUND(SUM(Sales[[#This Row],[Mdl Qlty]:[Mdl WdDeck]])+Sales[[#This Row],[Mdl Res Intercept]]*Sales[[#This Row],[Res Adj ]],-2)</f>
        <v>333300</v>
      </c>
      <c r="CT68">
        <f>ROUND(Sales[[#This Row],[25Det]]*Sales[[#This Row],[Det/Nbhd Adj]],-2)</f>
        <v>0</v>
      </c>
      <c r="CU68">
        <f>Sales[[#This Row],[Adjusted Res]]+Sales[[#This Row],[Adj Det ]]</f>
        <v>333300</v>
      </c>
      <c r="CV68">
        <f>ROUND((Sales[[#This Row],[Mdl Land Intercept]]+Sales[[#This Row],[Mdl LnAcres]])*Sales[[#This Row],[Det/Nbhd Adj]],-2)</f>
        <v>32100</v>
      </c>
      <c r="CW68">
        <f>Sales[[#This Row],[Adjusted Impr Total]]+Sales[[#This Row],[Adjusted Land Total]]</f>
        <v>365400</v>
      </c>
      <c r="CX68" s="15">
        <f>IFERROR((Sales[[#This Row],[Adjusted Impr Total]]-Sales[[#This Row],[24Bldg]])/Sales[[#This Row],[24Bldg]],0)</f>
        <v>0.11174116077384923</v>
      </c>
      <c r="CY68" s="15">
        <f>(Sales[[#This Row],[Adjusted Land Total]]-Sales[[#This Row],[24Lnd]])/Sales[[#This Row],[24Lnd]]</f>
        <v>-0.39089184060721061</v>
      </c>
      <c r="CZ68" s="15">
        <f>(Sales[[#This Row],[Adjusted Total]]-Sales[[#This Row],[24Final]])/Sales[[#This Row],[24Final]]</f>
        <v>3.6595744680851063E-2</v>
      </c>
      <c r="DA68" s="15">
        <f>(Sales[[#This Row],[Adjusted Total]]+Sales[[#This Row],[Days Prior Total]])/Sales[[#This Row],[Price]]</f>
        <v>1.0480865431455653</v>
      </c>
    </row>
    <row r="69" spans="1:105" x14ac:dyDescent="0.3">
      <c r="A69">
        <v>2025</v>
      </c>
      <c r="B69">
        <v>18132323407</v>
      </c>
      <c r="C69">
        <v>-1.5141277326297755</v>
      </c>
      <c r="D69">
        <v>0.22</v>
      </c>
      <c r="E69">
        <v>0</v>
      </c>
      <c r="F69">
        <v>6</v>
      </c>
      <c r="G69" t="s">
        <v>126</v>
      </c>
      <c r="H69">
        <v>3033</v>
      </c>
      <c r="I69" t="s">
        <v>349</v>
      </c>
      <c r="J69" t="s">
        <v>30</v>
      </c>
      <c r="K69">
        <v>11</v>
      </c>
      <c r="L69">
        <v>400</v>
      </c>
      <c r="M69" t="s">
        <v>241</v>
      </c>
      <c r="N69" t="s">
        <v>148</v>
      </c>
      <c r="O69" t="s">
        <v>323</v>
      </c>
      <c r="P69">
        <v>70</v>
      </c>
      <c r="Q69">
        <v>1960</v>
      </c>
      <c r="R69">
        <v>1975</v>
      </c>
      <c r="S69">
        <v>64</v>
      </c>
      <c r="T69">
        <v>49</v>
      </c>
      <c r="U69">
        <v>1</v>
      </c>
      <c r="V69">
        <v>1463</v>
      </c>
      <c r="W69">
        <v>0</v>
      </c>
      <c r="X69">
        <v>0</v>
      </c>
      <c r="Y69">
        <v>0</v>
      </c>
      <c r="Z69">
        <v>0</v>
      </c>
      <c r="AA69">
        <v>0</v>
      </c>
      <c r="AB69">
        <v>1463</v>
      </c>
      <c r="AC69">
        <v>1500</v>
      </c>
      <c r="AD69">
        <v>1</v>
      </c>
      <c r="AF69" t="s">
        <v>383</v>
      </c>
      <c r="AG69" t="s">
        <v>148</v>
      </c>
      <c r="AH69" t="s">
        <v>450</v>
      </c>
      <c r="AI69">
        <v>0</v>
      </c>
      <c r="AJ69">
        <v>1</v>
      </c>
      <c r="AK69">
        <v>0</v>
      </c>
      <c r="AL69">
        <v>0</v>
      </c>
      <c r="AM69">
        <v>1</v>
      </c>
      <c r="AN69">
        <v>7</v>
      </c>
      <c r="AO69">
        <v>432</v>
      </c>
      <c r="AP69">
        <v>0</v>
      </c>
      <c r="AQ69">
        <v>0</v>
      </c>
      <c r="AR69">
        <v>187</v>
      </c>
      <c r="AS69">
        <v>0</v>
      </c>
      <c r="AT69">
        <v>0</v>
      </c>
      <c r="AU69">
        <v>100</v>
      </c>
      <c r="AV69">
        <v>100</v>
      </c>
      <c r="AW69">
        <v>329919</v>
      </c>
      <c r="AX69">
        <v>237542</v>
      </c>
      <c r="AY69">
        <v>768</v>
      </c>
      <c r="AZ69">
        <v>365</v>
      </c>
      <c r="BA69">
        <v>365</v>
      </c>
      <c r="BB69">
        <v>38</v>
      </c>
      <c r="BC69" s="3">
        <v>44524</v>
      </c>
      <c r="BD69" t="s">
        <v>50</v>
      </c>
      <c r="BE69">
        <v>289900</v>
      </c>
      <c r="BF69">
        <v>289900</v>
      </c>
      <c r="BG69" t="s">
        <v>294</v>
      </c>
      <c r="BH69">
        <v>30</v>
      </c>
      <c r="BI69" t="s">
        <v>65</v>
      </c>
      <c r="BJ69" t="s">
        <v>450</v>
      </c>
      <c r="BK69">
        <v>321500</v>
      </c>
      <c r="BL69">
        <v>61700</v>
      </c>
      <c r="BM69">
        <v>259800</v>
      </c>
      <c r="BN69">
        <v>0</v>
      </c>
      <c r="BO69">
        <v>1.1090031045187996</v>
      </c>
      <c r="BP69">
        <v>313996.99182519031</v>
      </c>
      <c r="BQ69">
        <v>340640.80100786936</v>
      </c>
      <c r="BR69" s="12">
        <f>(Sales[[#This Row],[DP1]]*Lookups!$B$59)+(Sales[[#This Row],[DP2]]*Lookups!$B$60)+(Sales[[#This Row],[DP3]]*Lookups!$B$61)</f>
        <v>-26643.809185270002</v>
      </c>
      <c r="BS69" s="12">
        <f>Lookups!$B$56*0</f>
        <v>0</v>
      </c>
      <c r="BT69" s="12">
        <f>Lookups!$B$56*1</f>
        <v>89850.625589999996</v>
      </c>
      <c r="BU69" s="12">
        <f>Lookups!$B$57*Sales[[#This Row],[LnAcres]]</f>
        <v>-47929.131559187132</v>
      </c>
      <c r="BV69" s="12">
        <f>VLOOKUP(Sales[[#This Row],[Qlty]],Lookups!$A$62:$E$75,2,FALSE)</f>
        <v>44121.038090000002</v>
      </c>
      <c r="BW69" s="12">
        <f>VLOOKUP(Sales[[#This Row],[Cnd]],Lookups!$A$76:$E$84,2,FALSE)</f>
        <v>160472.20319</v>
      </c>
      <c r="BX69" s="12">
        <f>Sales[[#This Row],[EffAge]]*Lookups!$B$85</f>
        <v>-10929.2344245</v>
      </c>
      <c r="BY69" s="12">
        <f>Sales[[#This Row],[MainFn]]*Lookups!$B$86</f>
        <v>72284.884030051006</v>
      </c>
      <c r="BZ69" s="12">
        <f>Sales[[#This Row],[UpprFn]]*Lookups!$B$87</f>
        <v>0</v>
      </c>
      <c r="CA69" s="12">
        <f>Sales[[#This Row],[AddFn]]*Lookups!$B$88</f>
        <v>0</v>
      </c>
      <c r="CB69" s="12">
        <f>Sales[[#This Row],[Bsmt]]*Lookups!$B$89</f>
        <v>0</v>
      </c>
      <c r="CC69" s="12">
        <f>Sales[[#This Row],[Fixtures]]*Lookups!$B$90</f>
        <v>26544.1547364</v>
      </c>
      <c r="CD69" s="12">
        <f>Sales[[#This Row],[WdDeck]]*Lookups!$B$91</f>
        <v>6226.2613566120008</v>
      </c>
      <c r="CE69" s="12">
        <f>SUM(Sales[[#This Row],[Days Prior Total]:[Mdl WdDeck]])</f>
        <v>313996.99182410591</v>
      </c>
      <c r="CF69" s="12">
        <f>ROUND(Sales[[#This Row],[25Det]],-2)</f>
        <v>0</v>
      </c>
      <c r="CG69" s="12">
        <f>ROUND(SUM(Sales[[#This Row],[Mdl Qlty]:[Mdl WdDeck]])+Sales[[#This Row],[Mdl Res Intercept]]+Sales[[#This Row],[Days Prior Total]],-2)</f>
        <v>272100</v>
      </c>
      <c r="CH69" s="12">
        <f>ROUND(Sales[[#This Row],[Mdl Land Intercept]]+Sales[[#This Row],[Mdl LnAcres]],-2)</f>
        <v>41900</v>
      </c>
      <c r="CI69" s="12">
        <f>Sales[[#This Row],[Unadj Res Value]]+Sales[[#This Row],[Unadj Det Value]]+Sales[[#This Row],[Unadj Land Value]]</f>
        <v>314000</v>
      </c>
      <c r="CJ69" s="13">
        <f>Sales[[#This Row],[Unadj Total Value]]/Sales[[#This Row],[Price]]</f>
        <v>1.083132114522249</v>
      </c>
      <c r="CK69" s="13">
        <f>(Sales[[#This Row],[Unadj Total Value]]-Sales[[#This Row],[24Final]])/Sales[[#This Row],[24Final]]</f>
        <v>-2.3328149300155521E-2</v>
      </c>
      <c r="CL69">
        <f>VLOOKUP(Sales[[#This Row],[TNbhd]],Lookups!$Q$2:$T$4,4,FALSE)</f>
        <v>0.99970000000000003</v>
      </c>
      <c r="CM69">
        <f>VLOOKUP(Sales[[#This Row],[Qlty]],Lookups!$O$7:$R$21,4,FALSE)</f>
        <v>0.98050000000000004</v>
      </c>
      <c r="CN69">
        <f>VLOOKUP(Sales[[#This Row],[Cnd]],Lookups!$T$7:$W$16,4,FALSE)</f>
        <v>0.99729999999999996</v>
      </c>
      <c r="CO69">
        <f>VLOOKUP(Sales[[#This Row],[LivArea Range]],Lookups!$T$25:$W$37,4,FALSE)</f>
        <v>1.0157</v>
      </c>
      <c r="CP69">
        <f>VLOOKUP(Sales[[#This Row],[Decade]],Lookups!$O$25:$R$42,4,FALSE)</f>
        <v>1.0199</v>
      </c>
      <c r="CQ69">
        <f>Sales[[#This Row],[Nbhd Adj]]*0.95</f>
        <v>0.94971499999999998</v>
      </c>
      <c r="CR69">
        <f>Sales[[#This Row],[Nbhd Adj]]*Sales[[#This Row],[Quality Adj]]*Sales[[#This Row],[Condition Adj]]*Sales[[#This Row],[Living Area Adj]]*Sales[[#This Row],[Decade Adj]]*0.95</f>
        <v>0.96203253273253719</v>
      </c>
      <c r="CS69">
        <f>ROUND(SUM(Sales[[#This Row],[Mdl Qlty]:[Mdl WdDeck]])+Sales[[#This Row],[Mdl Res Intercept]]*Sales[[#This Row],[Res Adj ]],-2)</f>
        <v>298700</v>
      </c>
      <c r="CT69">
        <f>ROUND(Sales[[#This Row],[25Det]]*Sales[[#This Row],[Det/Nbhd Adj]],-2)</f>
        <v>0</v>
      </c>
      <c r="CU69">
        <f>Sales[[#This Row],[Adjusted Res]]+Sales[[#This Row],[Adj Det ]]</f>
        <v>298700</v>
      </c>
      <c r="CV69">
        <f>ROUND((Sales[[#This Row],[Mdl Land Intercept]]+Sales[[#This Row],[Mdl LnAcres]])*Sales[[#This Row],[Det/Nbhd Adj]],-2)</f>
        <v>39800</v>
      </c>
      <c r="CW69">
        <f>Sales[[#This Row],[Adjusted Impr Total]]+Sales[[#This Row],[Adjusted Land Total]]</f>
        <v>338500</v>
      </c>
      <c r="CX69" s="15">
        <f>IFERROR((Sales[[#This Row],[Adjusted Impr Total]]-Sales[[#This Row],[24Bldg]])/Sales[[#This Row],[24Bldg]],0)</f>
        <v>0.14973056197074672</v>
      </c>
      <c r="CY69" s="15">
        <f>(Sales[[#This Row],[Adjusted Land Total]]-Sales[[#This Row],[24Lnd]])/Sales[[#This Row],[24Lnd]]</f>
        <v>-0.35494327390599678</v>
      </c>
      <c r="CZ69" s="15">
        <f>(Sales[[#This Row],[Adjusted Total]]-Sales[[#This Row],[24Final]])/Sales[[#This Row],[24Final]]</f>
        <v>5.2877138413685847E-2</v>
      </c>
      <c r="DA69" s="15">
        <f>(Sales[[#This Row],[Adjusted Total]]+Sales[[#This Row],[Days Prior Total]])/Sales[[#This Row],[Price]]</f>
        <v>1.0757371190573646</v>
      </c>
    </row>
    <row r="70" spans="1:105" x14ac:dyDescent="0.3">
      <c r="A70">
        <v>2025</v>
      </c>
      <c r="B70">
        <v>18132212411</v>
      </c>
      <c r="C70">
        <v>-1.4271163556401458</v>
      </c>
      <c r="D70">
        <v>0.24</v>
      </c>
      <c r="E70">
        <v>10630</v>
      </c>
      <c r="F70">
        <v>6</v>
      </c>
      <c r="G70" t="s">
        <v>126</v>
      </c>
      <c r="H70">
        <v>3032</v>
      </c>
      <c r="I70" t="s">
        <v>349</v>
      </c>
      <c r="J70" t="s">
        <v>146</v>
      </c>
      <c r="K70">
        <v>11</v>
      </c>
      <c r="L70">
        <v>259</v>
      </c>
      <c r="M70" t="s">
        <v>241</v>
      </c>
      <c r="N70" t="s">
        <v>302</v>
      </c>
      <c r="O70" t="s">
        <v>303</v>
      </c>
      <c r="P70">
        <v>70</v>
      </c>
      <c r="Q70">
        <v>1960</v>
      </c>
      <c r="R70">
        <v>1975</v>
      </c>
      <c r="S70">
        <v>64</v>
      </c>
      <c r="T70">
        <v>49</v>
      </c>
      <c r="U70">
        <v>1</v>
      </c>
      <c r="V70">
        <v>1818</v>
      </c>
      <c r="W70">
        <v>0</v>
      </c>
      <c r="X70">
        <v>0</v>
      </c>
      <c r="Y70">
        <v>700</v>
      </c>
      <c r="Z70">
        <v>0</v>
      </c>
      <c r="AA70">
        <v>700</v>
      </c>
      <c r="AB70">
        <v>2518</v>
      </c>
      <c r="AC70">
        <v>3000</v>
      </c>
      <c r="AD70">
        <v>0</v>
      </c>
      <c r="AE70" t="s">
        <v>6</v>
      </c>
      <c r="AF70" t="s">
        <v>383</v>
      </c>
      <c r="AG70" t="s">
        <v>148</v>
      </c>
      <c r="AH70" t="s">
        <v>450</v>
      </c>
      <c r="AI70">
        <v>0</v>
      </c>
      <c r="AJ70">
        <v>2</v>
      </c>
      <c r="AK70">
        <v>0</v>
      </c>
      <c r="AL70">
        <v>1</v>
      </c>
      <c r="AM70">
        <v>0</v>
      </c>
      <c r="AN70">
        <v>9</v>
      </c>
      <c r="AO70">
        <v>0</v>
      </c>
      <c r="AP70">
        <v>0</v>
      </c>
      <c r="AQ70">
        <v>567</v>
      </c>
      <c r="AR70">
        <v>0</v>
      </c>
      <c r="AS70">
        <v>0</v>
      </c>
      <c r="AT70">
        <v>0</v>
      </c>
      <c r="AU70">
        <v>100</v>
      </c>
      <c r="AV70">
        <v>100</v>
      </c>
      <c r="AW70">
        <v>372711</v>
      </c>
      <c r="AX70">
        <v>294442</v>
      </c>
      <c r="AY70">
        <v>228</v>
      </c>
      <c r="AZ70">
        <v>228</v>
      </c>
      <c r="BA70">
        <v>0</v>
      </c>
      <c r="BB70">
        <v>0</v>
      </c>
      <c r="BC70" s="3">
        <v>45064</v>
      </c>
      <c r="BD70" t="s">
        <v>366</v>
      </c>
      <c r="BE70">
        <v>340000</v>
      </c>
      <c r="BF70">
        <v>340000</v>
      </c>
      <c r="BG70" t="s">
        <v>294</v>
      </c>
      <c r="BH70">
        <v>30</v>
      </c>
      <c r="BI70" t="s">
        <v>65</v>
      </c>
      <c r="BJ70" t="s">
        <v>450</v>
      </c>
      <c r="BK70">
        <v>386000</v>
      </c>
      <c r="BL70">
        <v>64800</v>
      </c>
      <c r="BM70">
        <v>321200</v>
      </c>
      <c r="BN70">
        <v>0</v>
      </c>
      <c r="BO70">
        <v>1.1352941176470588</v>
      </c>
      <c r="BP70">
        <v>389536.23032082221</v>
      </c>
      <c r="BQ70">
        <v>405623.49913781922</v>
      </c>
      <c r="BR70" s="12">
        <f>(Sales[[#This Row],[DP1]]*Lookups!$B$59)+(Sales[[#This Row],[DP2]]*Lookups!$B$60)+(Sales[[#This Row],[DP3]]*Lookups!$B$61)</f>
        <v>-16087.268817960001</v>
      </c>
      <c r="BS70" s="12">
        <f>Lookups!$B$56*0</f>
        <v>0</v>
      </c>
      <c r="BT70" s="12">
        <f>Lookups!$B$56*1</f>
        <v>89850.625589999996</v>
      </c>
      <c r="BU70" s="12">
        <f>Lookups!$B$57*Sales[[#This Row],[LnAcres]]</f>
        <v>-45174.819855485119</v>
      </c>
      <c r="BV70" s="12">
        <f>VLOOKUP(Sales[[#This Row],[Qlty]],Lookups!$A$62:$E$75,2,FALSE)</f>
        <v>29814.093161000001</v>
      </c>
      <c r="BW70" s="12">
        <f>VLOOKUP(Sales[[#This Row],[Cnd]],Lookups!$A$76:$E$84,2,FALSE)</f>
        <v>197752.34721000001</v>
      </c>
      <c r="BX70" s="12">
        <f>Sales[[#This Row],[EffAge]]*Lookups!$B$85</f>
        <v>-10929.2344245</v>
      </c>
      <c r="BY70" s="12">
        <f>Sales[[#This Row],[MainFn]]*Lookups!$B$86</f>
        <v>89824.961836386006</v>
      </c>
      <c r="BZ70" s="12">
        <f>Sales[[#This Row],[UpprFn]]*Lookups!$B$87</f>
        <v>0</v>
      </c>
      <c r="CA70" s="12">
        <f>Sales[[#This Row],[AddFn]]*Lookups!$B$88</f>
        <v>0</v>
      </c>
      <c r="CB70" s="12">
        <f>Sales[[#This Row],[Bsmt]]*Lookups!$B$89</f>
        <v>20357.326672899999</v>
      </c>
      <c r="CC70" s="12">
        <f>Sales[[#This Row],[Fixtures]]*Lookups!$B$90</f>
        <v>34128.198946800003</v>
      </c>
      <c r="CD70" s="12">
        <f>Sales[[#This Row],[WdDeck]]*Lookups!$B$91</f>
        <v>0</v>
      </c>
      <c r="CE70" s="12">
        <f>SUM(Sales[[#This Row],[Days Prior Total]:[Mdl WdDeck]])</f>
        <v>389536.23031914089</v>
      </c>
      <c r="CF70" s="12">
        <f>ROUND(Sales[[#This Row],[25Det]],-2)</f>
        <v>0</v>
      </c>
      <c r="CG70" s="12">
        <f>ROUND(SUM(Sales[[#This Row],[Mdl Qlty]:[Mdl WdDeck]])+Sales[[#This Row],[Mdl Res Intercept]]+Sales[[#This Row],[Days Prior Total]],-2)</f>
        <v>344900</v>
      </c>
      <c r="CH70" s="12">
        <f>ROUND(Sales[[#This Row],[Mdl Land Intercept]]+Sales[[#This Row],[Mdl LnAcres]],-2)</f>
        <v>44700</v>
      </c>
      <c r="CI70" s="12">
        <f>Sales[[#This Row],[Unadj Res Value]]+Sales[[#This Row],[Unadj Det Value]]+Sales[[#This Row],[Unadj Land Value]]</f>
        <v>389600</v>
      </c>
      <c r="CJ70" s="13">
        <f>Sales[[#This Row],[Unadj Total Value]]/Sales[[#This Row],[Price]]</f>
        <v>1.1458823529411766</v>
      </c>
      <c r="CK70" s="13">
        <f>(Sales[[#This Row],[Unadj Total Value]]-Sales[[#This Row],[24Final]])/Sales[[#This Row],[24Final]]</f>
        <v>9.3264248704663204E-3</v>
      </c>
      <c r="CL70">
        <f>VLOOKUP(Sales[[#This Row],[TNbhd]],Lookups!$Q$2:$T$4,4,FALSE)</f>
        <v>0.99970000000000003</v>
      </c>
      <c r="CM70">
        <f>VLOOKUP(Sales[[#This Row],[Qlty]],Lookups!$O$7:$R$21,4,FALSE)</f>
        <v>1.0088999999999999</v>
      </c>
      <c r="CN70">
        <f>VLOOKUP(Sales[[#This Row],[Cnd]],Lookups!$T$7:$W$16,4,FALSE)</f>
        <v>0.99650000000000005</v>
      </c>
      <c r="CO70">
        <f>VLOOKUP(Sales[[#This Row],[LivArea Range]],Lookups!$T$25:$W$37,4,FALSE)</f>
        <v>0.96179999999999999</v>
      </c>
      <c r="CP70">
        <f>VLOOKUP(Sales[[#This Row],[Decade]],Lookups!$O$25:$R$42,4,FALSE)</f>
        <v>1.0199</v>
      </c>
      <c r="CQ70">
        <f>Sales[[#This Row],[Nbhd Adj]]*0.95</f>
        <v>0.94971499999999998</v>
      </c>
      <c r="CR70">
        <f>Sales[[#This Row],[Nbhd Adj]]*Sales[[#This Row],[Quality Adj]]*Sales[[#This Row],[Condition Adj]]*Sales[[#This Row],[Living Area Adj]]*Sales[[#This Row],[Decade Adj]]*0.95</f>
        <v>0.93661495300843212</v>
      </c>
      <c r="CS70">
        <f>ROUND(SUM(Sales[[#This Row],[Mdl Qlty]:[Mdl WdDeck]])+Sales[[#This Row],[Mdl Res Intercept]]*Sales[[#This Row],[Res Adj ]],-2)</f>
        <v>360900</v>
      </c>
      <c r="CT70">
        <f>ROUND(Sales[[#This Row],[25Det]]*Sales[[#This Row],[Det/Nbhd Adj]],-2)</f>
        <v>0</v>
      </c>
      <c r="CU70">
        <f>Sales[[#This Row],[Adjusted Res]]+Sales[[#This Row],[Adj Det ]]</f>
        <v>360900</v>
      </c>
      <c r="CV70">
        <f>ROUND((Sales[[#This Row],[Mdl Land Intercept]]+Sales[[#This Row],[Mdl LnAcres]])*Sales[[#This Row],[Det/Nbhd Adj]],-2)</f>
        <v>42400</v>
      </c>
      <c r="CW70">
        <f>Sales[[#This Row],[Adjusted Impr Total]]+Sales[[#This Row],[Adjusted Land Total]]</f>
        <v>403300</v>
      </c>
      <c r="CX70" s="15">
        <f>IFERROR((Sales[[#This Row],[Adjusted Impr Total]]-Sales[[#This Row],[24Bldg]])/Sales[[#This Row],[24Bldg]],0)</f>
        <v>0.12359900373599003</v>
      </c>
      <c r="CY70" s="15">
        <f>(Sales[[#This Row],[Adjusted Land Total]]-Sales[[#This Row],[24Lnd]])/Sales[[#This Row],[24Lnd]]</f>
        <v>-0.34567901234567899</v>
      </c>
      <c r="CZ70" s="15">
        <f>(Sales[[#This Row],[Adjusted Total]]-Sales[[#This Row],[24Final]])/Sales[[#This Row],[24Final]]</f>
        <v>4.4818652849740931E-2</v>
      </c>
      <c r="DA70" s="15">
        <f>(Sales[[#This Row],[Adjusted Total]]+Sales[[#This Row],[Days Prior Total]])/Sales[[#This Row],[Price]]</f>
        <v>1.1388609740648235</v>
      </c>
    </row>
    <row r="71" spans="1:105" x14ac:dyDescent="0.3">
      <c r="A71">
        <v>2025</v>
      </c>
      <c r="B71">
        <v>18132243465</v>
      </c>
      <c r="C71">
        <v>-1.6094379124341003</v>
      </c>
      <c r="D71">
        <v>0.2</v>
      </c>
      <c r="E71">
        <v>8680</v>
      </c>
      <c r="F71">
        <v>6</v>
      </c>
      <c r="G71" t="s">
        <v>126</v>
      </c>
      <c r="H71">
        <v>3093</v>
      </c>
      <c r="I71" t="s">
        <v>349</v>
      </c>
      <c r="J71" t="s">
        <v>30</v>
      </c>
      <c r="K71">
        <v>11</v>
      </c>
      <c r="L71">
        <v>259</v>
      </c>
      <c r="M71" t="s">
        <v>241</v>
      </c>
      <c r="N71" t="s">
        <v>351</v>
      </c>
      <c r="O71" t="s">
        <v>323</v>
      </c>
      <c r="P71">
        <v>70</v>
      </c>
      <c r="Q71">
        <v>1959</v>
      </c>
      <c r="R71">
        <v>1974</v>
      </c>
      <c r="S71">
        <v>65</v>
      </c>
      <c r="T71">
        <v>50</v>
      </c>
      <c r="U71">
        <v>1</v>
      </c>
      <c r="V71">
        <v>1715</v>
      </c>
      <c r="W71">
        <v>0</v>
      </c>
      <c r="X71">
        <v>0</v>
      </c>
      <c r="Y71">
        <v>640</v>
      </c>
      <c r="Z71">
        <v>640</v>
      </c>
      <c r="AA71">
        <v>0</v>
      </c>
      <c r="AB71">
        <v>1715</v>
      </c>
      <c r="AC71">
        <v>2000</v>
      </c>
      <c r="AD71">
        <v>0</v>
      </c>
      <c r="AF71" t="s">
        <v>383</v>
      </c>
      <c r="AG71" t="s">
        <v>148</v>
      </c>
      <c r="AH71" t="s">
        <v>450</v>
      </c>
      <c r="AI71">
        <v>0</v>
      </c>
      <c r="AJ71">
        <v>1</v>
      </c>
      <c r="AK71">
        <v>0</v>
      </c>
      <c r="AL71">
        <v>0</v>
      </c>
      <c r="AM71">
        <v>0</v>
      </c>
      <c r="AN71">
        <v>8</v>
      </c>
      <c r="AO71">
        <v>0</v>
      </c>
      <c r="AP71">
        <v>0</v>
      </c>
      <c r="AQ71">
        <v>0</v>
      </c>
      <c r="AR71">
        <v>0</v>
      </c>
      <c r="AS71">
        <v>64</v>
      </c>
      <c r="AT71">
        <v>0</v>
      </c>
      <c r="AU71">
        <v>100</v>
      </c>
      <c r="AV71">
        <v>100</v>
      </c>
      <c r="AW71">
        <v>263786</v>
      </c>
      <c r="AX71">
        <v>187288</v>
      </c>
      <c r="AY71">
        <v>1006</v>
      </c>
      <c r="AZ71">
        <v>365</v>
      </c>
      <c r="BA71">
        <v>365</v>
      </c>
      <c r="BB71">
        <v>276</v>
      </c>
      <c r="BC71" s="3">
        <v>44286</v>
      </c>
      <c r="BD71">
        <v>459036</v>
      </c>
      <c r="BE71">
        <v>247200</v>
      </c>
      <c r="BF71">
        <v>237071</v>
      </c>
      <c r="BG71" t="s">
        <v>294</v>
      </c>
      <c r="BH71">
        <v>30</v>
      </c>
      <c r="BI71" t="s">
        <v>65</v>
      </c>
      <c r="BJ71" t="s">
        <v>450</v>
      </c>
      <c r="BK71">
        <v>334700</v>
      </c>
      <c r="BL71">
        <v>58400</v>
      </c>
      <c r="BM71">
        <v>276300</v>
      </c>
      <c r="BN71">
        <v>10129</v>
      </c>
      <c r="BO71">
        <v>1.3539644012944985</v>
      </c>
      <c r="BP71">
        <v>284996.62092442071</v>
      </c>
      <c r="BQ71">
        <v>343466.1977713118</v>
      </c>
      <c r="BR71" s="12">
        <f>(Sales[[#This Row],[DP1]]*Lookups!$B$59)+(Sales[[#This Row],[DP2]]*Lookups!$B$60)+(Sales[[#This Row],[DP3]]*Lookups!$B$61)</f>
        <v>-58469.576855470004</v>
      </c>
      <c r="BS71" s="12">
        <f>Lookups!$B$56*0</f>
        <v>0</v>
      </c>
      <c r="BT71" s="12">
        <f>Lookups!$B$56*1</f>
        <v>89850.625589999996</v>
      </c>
      <c r="BU71" s="12">
        <f>Lookups!$B$57*Sales[[#This Row],[LnAcres]]</f>
        <v>-50946.13867709865</v>
      </c>
      <c r="BV71" s="12">
        <f>VLOOKUP(Sales[[#This Row],[Qlty]],Lookups!$A$62:$E$75,2,FALSE)</f>
        <v>21557.329055999999</v>
      </c>
      <c r="BW71" s="12">
        <f>VLOOKUP(Sales[[#This Row],[Cnd]],Lookups!$A$76:$E$84,2,FALSE)</f>
        <v>160472.20319</v>
      </c>
      <c r="BX71" s="12">
        <f>Sales[[#This Row],[EffAge]]*Lookups!$B$85</f>
        <v>-11152.280025</v>
      </c>
      <c r="BY71" s="12">
        <f>Sales[[#This Row],[MainFn]]*Lookups!$B$86</f>
        <v>84735.868839055009</v>
      </c>
      <c r="BZ71" s="12">
        <f>Sales[[#This Row],[UpprFn]]*Lookups!$B$87</f>
        <v>0</v>
      </c>
      <c r="CA71" s="12">
        <f>Sales[[#This Row],[AddFn]]*Lookups!$B$88</f>
        <v>0</v>
      </c>
      <c r="CB71" s="12">
        <f>Sales[[#This Row],[Bsmt]]*Lookups!$B$89</f>
        <v>18612.41295808</v>
      </c>
      <c r="CC71" s="12">
        <f>Sales[[#This Row],[Fixtures]]*Lookups!$B$90</f>
        <v>30336.176841600001</v>
      </c>
      <c r="CD71" s="12">
        <f>Sales[[#This Row],[WdDeck]]*Lookups!$B$91</f>
        <v>0</v>
      </c>
      <c r="CE71" s="12">
        <f>SUM(Sales[[#This Row],[Days Prior Total]:[Mdl WdDeck]])</f>
        <v>284996.62091716635</v>
      </c>
      <c r="CF71" s="12">
        <f>ROUND(Sales[[#This Row],[25Det]],-2)</f>
        <v>10100</v>
      </c>
      <c r="CG71" s="12">
        <f>ROUND(SUM(Sales[[#This Row],[Mdl Qlty]:[Mdl WdDeck]])+Sales[[#This Row],[Mdl Res Intercept]]+Sales[[#This Row],[Days Prior Total]],-2)</f>
        <v>246100</v>
      </c>
      <c r="CH71" s="12">
        <f>ROUND(Sales[[#This Row],[Mdl Land Intercept]]+Sales[[#This Row],[Mdl LnAcres]],-2)</f>
        <v>38900</v>
      </c>
      <c r="CI71" s="12">
        <f>Sales[[#This Row],[Unadj Res Value]]+Sales[[#This Row],[Unadj Det Value]]+Sales[[#This Row],[Unadj Land Value]]</f>
        <v>295100</v>
      </c>
      <c r="CJ71" s="13">
        <f>Sales[[#This Row],[Unadj Total Value]]/Sales[[#This Row],[Price]]</f>
        <v>1.1937702265372168</v>
      </c>
      <c r="CK71" s="13">
        <f>(Sales[[#This Row],[Unadj Total Value]]-Sales[[#This Row],[24Final]])/Sales[[#This Row],[24Final]]</f>
        <v>-0.11831490887361816</v>
      </c>
      <c r="CL71">
        <f>VLOOKUP(Sales[[#This Row],[TNbhd]],Lookups!$Q$2:$T$4,4,FALSE)</f>
        <v>0.99970000000000003</v>
      </c>
      <c r="CM71">
        <f>VLOOKUP(Sales[[#This Row],[Qlty]],Lookups!$O$7:$R$21,4,FALSE)</f>
        <v>1.0067999999999999</v>
      </c>
      <c r="CN71">
        <f>VLOOKUP(Sales[[#This Row],[Cnd]],Lookups!$T$7:$W$16,4,FALSE)</f>
        <v>0.99729999999999996</v>
      </c>
      <c r="CO71">
        <f>VLOOKUP(Sales[[#This Row],[LivArea Range]],Lookups!$T$25:$W$37,4,FALSE)</f>
        <v>1.0093000000000001</v>
      </c>
      <c r="CP71">
        <f>VLOOKUP(Sales[[#This Row],[Decade]],Lookups!$O$25:$R$42,4,FALSE)</f>
        <v>1.0199</v>
      </c>
      <c r="CQ71">
        <f>Sales[[#This Row],[Nbhd Adj]]*0.95</f>
        <v>0.94971499999999998</v>
      </c>
      <c r="CR71">
        <f>Sales[[#This Row],[Nbhd Adj]]*Sales[[#This Row],[Quality Adj]]*Sales[[#This Row],[Condition Adj]]*Sales[[#This Row],[Living Area Adj]]*Sales[[#This Row],[Decade Adj]]*0.95</f>
        <v>0.98161274461821502</v>
      </c>
      <c r="CS71">
        <f>ROUND(SUM(Sales[[#This Row],[Mdl Qlty]:[Mdl WdDeck]])+Sales[[#This Row],[Mdl Res Intercept]]*Sales[[#This Row],[Res Adj ]],-2)</f>
        <v>304600</v>
      </c>
      <c r="CT71">
        <f>ROUND(Sales[[#This Row],[25Det]]*Sales[[#This Row],[Det/Nbhd Adj]],-2)</f>
        <v>9600</v>
      </c>
      <c r="CU71">
        <f>Sales[[#This Row],[Adjusted Res]]+Sales[[#This Row],[Adj Det ]]</f>
        <v>314200</v>
      </c>
      <c r="CV71">
        <f>ROUND((Sales[[#This Row],[Mdl Land Intercept]]+Sales[[#This Row],[Mdl LnAcres]])*Sales[[#This Row],[Det/Nbhd Adj]],-2)</f>
        <v>36900</v>
      </c>
      <c r="CW71">
        <f>Sales[[#This Row],[Adjusted Impr Total]]+Sales[[#This Row],[Adjusted Land Total]]</f>
        <v>351100</v>
      </c>
      <c r="CX71" s="15">
        <f>IFERROR((Sales[[#This Row],[Adjusted Impr Total]]-Sales[[#This Row],[24Bldg]])/Sales[[#This Row],[24Bldg]],0)</f>
        <v>0.13716974303293522</v>
      </c>
      <c r="CY71" s="15">
        <f>(Sales[[#This Row],[Adjusted Land Total]]-Sales[[#This Row],[24Lnd]])/Sales[[#This Row],[24Lnd]]</f>
        <v>-0.36815068493150682</v>
      </c>
      <c r="CZ71" s="15">
        <f>(Sales[[#This Row],[Adjusted Total]]-Sales[[#This Row],[24Final]])/Sales[[#This Row],[24Final]]</f>
        <v>4.8999103674932779E-2</v>
      </c>
      <c r="DA71" s="15">
        <f>(Sales[[#This Row],[Adjusted Total]]+Sales[[#This Row],[Days Prior Total]])/Sales[[#This Row],[Price]]</f>
        <v>1.1837800289018203</v>
      </c>
    </row>
    <row r="72" spans="1:105" x14ac:dyDescent="0.3">
      <c r="A72">
        <v>2025</v>
      </c>
      <c r="B72">
        <v>18132211404</v>
      </c>
      <c r="C72">
        <v>-1.1086626245216111</v>
      </c>
      <c r="D72">
        <v>0.33</v>
      </c>
      <c r="E72">
        <v>14412</v>
      </c>
      <c r="F72">
        <v>6</v>
      </c>
      <c r="G72" t="s">
        <v>126</v>
      </c>
      <c r="H72">
        <v>3032</v>
      </c>
      <c r="I72" t="s">
        <v>349</v>
      </c>
      <c r="J72" t="s">
        <v>30</v>
      </c>
      <c r="K72">
        <v>11</v>
      </c>
      <c r="L72">
        <v>259</v>
      </c>
      <c r="M72" t="s">
        <v>241</v>
      </c>
      <c r="N72" t="s">
        <v>148</v>
      </c>
      <c r="O72" t="s">
        <v>303</v>
      </c>
      <c r="P72">
        <v>70</v>
      </c>
      <c r="Q72">
        <v>1958</v>
      </c>
      <c r="R72">
        <v>1974</v>
      </c>
      <c r="S72">
        <v>66</v>
      </c>
      <c r="T72">
        <v>50</v>
      </c>
      <c r="U72">
        <v>1</v>
      </c>
      <c r="V72">
        <v>1825</v>
      </c>
      <c r="W72">
        <v>0</v>
      </c>
      <c r="X72">
        <v>0</v>
      </c>
      <c r="Y72">
        <v>0</v>
      </c>
      <c r="Z72">
        <v>0</v>
      </c>
      <c r="AA72">
        <v>0</v>
      </c>
      <c r="AB72">
        <v>1825</v>
      </c>
      <c r="AC72">
        <v>2000</v>
      </c>
      <c r="AD72">
        <v>2</v>
      </c>
      <c r="AF72" t="s">
        <v>208</v>
      </c>
      <c r="AG72" t="s">
        <v>382</v>
      </c>
      <c r="AI72">
        <v>0</v>
      </c>
      <c r="AJ72">
        <v>1</v>
      </c>
      <c r="AK72">
        <v>0</v>
      </c>
      <c r="AL72">
        <v>0</v>
      </c>
      <c r="AM72">
        <v>1</v>
      </c>
      <c r="AN72">
        <v>8</v>
      </c>
      <c r="AO72">
        <v>506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100</v>
      </c>
      <c r="AV72">
        <v>100</v>
      </c>
      <c r="AW72">
        <v>387459</v>
      </c>
      <c r="AX72">
        <v>302218</v>
      </c>
      <c r="AY72">
        <v>464</v>
      </c>
      <c r="AZ72">
        <v>365</v>
      </c>
      <c r="BA72">
        <v>99</v>
      </c>
      <c r="BB72">
        <v>0</v>
      </c>
      <c r="BC72" s="3">
        <v>44828</v>
      </c>
      <c r="BD72" t="s">
        <v>195</v>
      </c>
      <c r="BE72">
        <v>399000</v>
      </c>
      <c r="BF72">
        <v>399000</v>
      </c>
      <c r="BG72" t="s">
        <v>294</v>
      </c>
      <c r="BH72">
        <v>30</v>
      </c>
      <c r="BI72" t="s">
        <v>65</v>
      </c>
      <c r="BJ72" t="s">
        <v>450</v>
      </c>
      <c r="BK72">
        <v>378800</v>
      </c>
      <c r="BL72">
        <v>75900</v>
      </c>
      <c r="BM72">
        <v>302900</v>
      </c>
      <c r="BN72">
        <v>0</v>
      </c>
      <c r="BO72">
        <v>0.94937343358395987</v>
      </c>
      <c r="BP72">
        <v>381367.53311423725</v>
      </c>
      <c r="BQ72">
        <v>405984.44086717238</v>
      </c>
      <c r="BR72" s="12">
        <f>(Sales[[#This Row],[DP1]]*Lookups!$B$59)+(Sales[[#This Row],[DP2]]*Lookups!$B$60)+(Sales[[#This Row],[DP3]]*Lookups!$B$61)</f>
        <v>-24616.907754502001</v>
      </c>
      <c r="BS72" s="12">
        <f>Lookups!$B$56*0</f>
        <v>0</v>
      </c>
      <c r="BT72" s="12">
        <f>Lookups!$B$56*1</f>
        <v>89850.625589999996</v>
      </c>
      <c r="BU72" s="12">
        <f>Lookups!$B$57*Sales[[#This Row],[LnAcres]]</f>
        <v>-35094.289365640165</v>
      </c>
      <c r="BV72" s="12">
        <f>VLOOKUP(Sales[[#This Row],[Qlty]],Lookups!$A$62:$E$75,2,FALSE)</f>
        <v>44121.038090000002</v>
      </c>
      <c r="BW72" s="12">
        <f>VLOOKUP(Sales[[#This Row],[Cnd]],Lookups!$A$76:$E$84,2,FALSE)</f>
        <v>197752.34721000001</v>
      </c>
      <c r="BX72" s="12">
        <f>Sales[[#This Row],[EffAge]]*Lookups!$B$85</f>
        <v>-11152.280025</v>
      </c>
      <c r="BY72" s="12">
        <f>Sales[[#This Row],[MainFn]]*Lookups!$B$86</f>
        <v>90170.822525525</v>
      </c>
      <c r="BZ72" s="12">
        <f>Sales[[#This Row],[UpprFn]]*Lookups!$B$87</f>
        <v>0</v>
      </c>
      <c r="CA72" s="12">
        <f>Sales[[#This Row],[AddFn]]*Lookups!$B$88</f>
        <v>0</v>
      </c>
      <c r="CB72" s="12">
        <f>Sales[[#This Row],[Bsmt]]*Lookups!$B$89</f>
        <v>0</v>
      </c>
      <c r="CC72" s="12">
        <f>Sales[[#This Row],[Fixtures]]*Lookups!$B$90</f>
        <v>30336.176841600001</v>
      </c>
      <c r="CD72" s="12">
        <f>Sales[[#This Row],[WdDeck]]*Lookups!$B$91</f>
        <v>0</v>
      </c>
      <c r="CE72" s="12">
        <f>SUM(Sales[[#This Row],[Days Prior Total]:[Mdl WdDeck]])</f>
        <v>381367.53311198286</v>
      </c>
      <c r="CF72" s="12">
        <f>ROUND(Sales[[#This Row],[25Det]],-2)</f>
        <v>0</v>
      </c>
      <c r="CG72" s="12">
        <f>ROUND(SUM(Sales[[#This Row],[Mdl Qlty]:[Mdl WdDeck]])+Sales[[#This Row],[Mdl Res Intercept]]+Sales[[#This Row],[Days Prior Total]],-2)</f>
        <v>326600</v>
      </c>
      <c r="CH72" s="12">
        <f>ROUND(Sales[[#This Row],[Mdl Land Intercept]]+Sales[[#This Row],[Mdl LnAcres]],-2)</f>
        <v>54800</v>
      </c>
      <c r="CI72" s="12">
        <f>Sales[[#This Row],[Unadj Res Value]]+Sales[[#This Row],[Unadj Det Value]]+Sales[[#This Row],[Unadj Land Value]]</f>
        <v>381400</v>
      </c>
      <c r="CJ72" s="13">
        <f>Sales[[#This Row],[Unadj Total Value]]/Sales[[#This Row],[Price]]</f>
        <v>0.9558897243107769</v>
      </c>
      <c r="CK72" s="13">
        <f>(Sales[[#This Row],[Unadj Total Value]]-Sales[[#This Row],[24Final]])/Sales[[#This Row],[24Final]]</f>
        <v>6.8637803590285108E-3</v>
      </c>
      <c r="CL72">
        <f>VLOOKUP(Sales[[#This Row],[TNbhd]],Lookups!$Q$2:$T$4,4,FALSE)</f>
        <v>0.99970000000000003</v>
      </c>
      <c r="CM72">
        <f>VLOOKUP(Sales[[#This Row],[Qlty]],Lookups!$O$7:$R$21,4,FALSE)</f>
        <v>0.98050000000000004</v>
      </c>
      <c r="CN72">
        <f>VLOOKUP(Sales[[#This Row],[Cnd]],Lookups!$T$7:$W$16,4,FALSE)</f>
        <v>0.99650000000000005</v>
      </c>
      <c r="CO72">
        <f>VLOOKUP(Sales[[#This Row],[LivArea Range]],Lookups!$T$25:$W$37,4,FALSE)</f>
        <v>1.0093000000000001</v>
      </c>
      <c r="CP72">
        <f>VLOOKUP(Sales[[#This Row],[Decade]],Lookups!$O$25:$R$42,4,FALSE)</f>
        <v>1.0199</v>
      </c>
      <c r="CQ72">
        <f>Sales[[#This Row],[Nbhd Adj]]*0.95</f>
        <v>0.94971499999999998</v>
      </c>
      <c r="CR72">
        <f>Sales[[#This Row],[Nbhd Adj]]*Sales[[#This Row],[Quality Adj]]*Sales[[#This Row],[Condition Adj]]*Sales[[#This Row],[Living Area Adj]]*Sales[[#This Row],[Decade Adj]]*0.95</f>
        <v>0.95520384832633376</v>
      </c>
      <c r="CS72">
        <f>ROUND(SUM(Sales[[#This Row],[Mdl Qlty]:[Mdl WdDeck]])+Sales[[#This Row],[Mdl Res Intercept]]*Sales[[#This Row],[Res Adj ]],-2)</f>
        <v>351200</v>
      </c>
      <c r="CT72">
        <f>ROUND(Sales[[#This Row],[25Det]]*Sales[[#This Row],[Det/Nbhd Adj]],-2)</f>
        <v>0</v>
      </c>
      <c r="CU72">
        <f>Sales[[#This Row],[Adjusted Res]]+Sales[[#This Row],[Adj Det ]]</f>
        <v>351200</v>
      </c>
      <c r="CV72">
        <f>ROUND((Sales[[#This Row],[Mdl Land Intercept]]+Sales[[#This Row],[Mdl LnAcres]])*Sales[[#This Row],[Det/Nbhd Adj]],-2)</f>
        <v>52000</v>
      </c>
      <c r="CW72">
        <f>Sales[[#This Row],[Adjusted Impr Total]]+Sales[[#This Row],[Adjusted Land Total]]</f>
        <v>403200</v>
      </c>
      <c r="CX72" s="15">
        <f>IFERROR((Sales[[#This Row],[Adjusted Impr Total]]-Sales[[#This Row],[24Bldg]])/Sales[[#This Row],[24Bldg]],0)</f>
        <v>0.15945856718388907</v>
      </c>
      <c r="CY72" s="15">
        <f>(Sales[[#This Row],[Adjusted Land Total]]-Sales[[#This Row],[24Lnd]])/Sales[[#This Row],[24Lnd]]</f>
        <v>-0.31488801054018445</v>
      </c>
      <c r="CZ72" s="15">
        <f>(Sales[[#This Row],[Adjusted Total]]-Sales[[#This Row],[24Final]])/Sales[[#This Row],[24Final]]</f>
        <v>6.4413938753959871E-2</v>
      </c>
      <c r="DA72" s="15">
        <f>(Sales[[#This Row],[Adjusted Total]]+Sales[[#This Row],[Days Prior Total]])/Sales[[#This Row],[Price]]</f>
        <v>0.94882980512656134</v>
      </c>
    </row>
    <row r="73" spans="1:105" x14ac:dyDescent="0.3">
      <c r="A73">
        <v>2025</v>
      </c>
      <c r="B73">
        <v>18132323454</v>
      </c>
      <c r="C73">
        <v>-1.8971199848858813</v>
      </c>
      <c r="D73">
        <v>0.15</v>
      </c>
      <c r="E73">
        <v>0</v>
      </c>
      <c r="F73">
        <v>6</v>
      </c>
      <c r="G73" t="s">
        <v>126</v>
      </c>
      <c r="H73">
        <v>3033</v>
      </c>
      <c r="I73" t="s">
        <v>349</v>
      </c>
      <c r="J73" t="s">
        <v>30</v>
      </c>
      <c r="K73">
        <v>11</v>
      </c>
      <c r="L73">
        <v>259</v>
      </c>
      <c r="M73" t="s">
        <v>241</v>
      </c>
      <c r="N73" t="s">
        <v>148</v>
      </c>
      <c r="O73" t="s">
        <v>303</v>
      </c>
      <c r="P73">
        <v>70</v>
      </c>
      <c r="Q73">
        <v>1958</v>
      </c>
      <c r="R73">
        <v>1974</v>
      </c>
      <c r="S73">
        <v>66</v>
      </c>
      <c r="T73">
        <v>50</v>
      </c>
      <c r="U73">
        <v>1</v>
      </c>
      <c r="V73">
        <v>1865</v>
      </c>
      <c r="W73">
        <v>0</v>
      </c>
      <c r="X73">
        <v>0</v>
      </c>
      <c r="Y73">
        <v>0</v>
      </c>
      <c r="Z73">
        <v>0</v>
      </c>
      <c r="AA73">
        <v>0</v>
      </c>
      <c r="AB73">
        <v>1865</v>
      </c>
      <c r="AC73">
        <v>2000</v>
      </c>
      <c r="AD73">
        <v>1</v>
      </c>
      <c r="AE73" t="s">
        <v>6</v>
      </c>
      <c r="AF73" t="s">
        <v>383</v>
      </c>
      <c r="AG73" t="s">
        <v>148</v>
      </c>
      <c r="AH73" t="s">
        <v>450</v>
      </c>
      <c r="AI73">
        <v>0</v>
      </c>
      <c r="AJ73">
        <v>1</v>
      </c>
      <c r="AK73">
        <v>1</v>
      </c>
      <c r="AL73">
        <v>1</v>
      </c>
      <c r="AM73">
        <v>0</v>
      </c>
      <c r="AN73">
        <v>8</v>
      </c>
      <c r="AO73">
        <v>384</v>
      </c>
      <c r="AP73">
        <v>0</v>
      </c>
      <c r="AQ73">
        <v>0</v>
      </c>
      <c r="AR73">
        <v>0</v>
      </c>
      <c r="AS73">
        <v>576</v>
      </c>
      <c r="AT73">
        <v>0</v>
      </c>
      <c r="AU73">
        <v>100</v>
      </c>
      <c r="AV73">
        <v>100</v>
      </c>
      <c r="AW73">
        <v>367857</v>
      </c>
      <c r="AX73">
        <v>286928</v>
      </c>
      <c r="AY73">
        <v>487</v>
      </c>
      <c r="AZ73">
        <v>365</v>
      </c>
      <c r="BA73">
        <v>122</v>
      </c>
      <c r="BB73">
        <v>0</v>
      </c>
      <c r="BC73" s="3">
        <v>44805</v>
      </c>
      <c r="BD73" t="s">
        <v>17</v>
      </c>
      <c r="BE73">
        <v>370000</v>
      </c>
      <c r="BF73">
        <v>370000</v>
      </c>
      <c r="BG73" t="s">
        <v>294</v>
      </c>
      <c r="BH73">
        <v>30</v>
      </c>
      <c r="BI73" t="s">
        <v>65</v>
      </c>
      <c r="BJ73" t="s">
        <v>450</v>
      </c>
      <c r="BK73">
        <v>360400</v>
      </c>
      <c r="BL73">
        <v>48400</v>
      </c>
      <c r="BM73">
        <v>312000</v>
      </c>
      <c r="BN73">
        <v>0</v>
      </c>
      <c r="BO73">
        <v>0.9740540540540541</v>
      </c>
      <c r="BP73">
        <v>358649.67808689532</v>
      </c>
      <c r="BQ73">
        <v>383002.47289182851</v>
      </c>
      <c r="BR73" s="12">
        <f>(Sales[[#This Row],[DP1]]*Lookups!$B$59)+(Sales[[#This Row],[DP2]]*Lookups!$B$60)+(Sales[[#This Row],[DP3]]*Lookups!$B$61)</f>
        <v>-24352.794806506001</v>
      </c>
      <c r="BS73" s="12">
        <f>Lookups!$B$56*0</f>
        <v>0</v>
      </c>
      <c r="BT73" s="12">
        <f>Lookups!$B$56*1</f>
        <v>89850.625589999996</v>
      </c>
      <c r="BU73" s="12">
        <f>Lookups!$B$57*Sales[[#This Row],[LnAcres]]</f>
        <v>-60052.604136134301</v>
      </c>
      <c r="BV73" s="12">
        <f>VLOOKUP(Sales[[#This Row],[Qlty]],Lookups!$A$62:$E$75,2,FALSE)</f>
        <v>44121.038090000002</v>
      </c>
      <c r="BW73" s="12">
        <f>VLOOKUP(Sales[[#This Row],[Cnd]],Lookups!$A$76:$E$84,2,FALSE)</f>
        <v>197752.34721000001</v>
      </c>
      <c r="BX73" s="12">
        <f>Sales[[#This Row],[EffAge]]*Lookups!$B$85</f>
        <v>-11152.280025</v>
      </c>
      <c r="BY73" s="12">
        <f>Sales[[#This Row],[MainFn]]*Lookups!$B$86</f>
        <v>92147.169320604997</v>
      </c>
      <c r="BZ73" s="12">
        <f>Sales[[#This Row],[UpprFn]]*Lookups!$B$87</f>
        <v>0</v>
      </c>
      <c r="CA73" s="12">
        <f>Sales[[#This Row],[AddFn]]*Lookups!$B$88</f>
        <v>0</v>
      </c>
      <c r="CB73" s="12">
        <f>Sales[[#This Row],[Bsmt]]*Lookups!$B$89</f>
        <v>0</v>
      </c>
      <c r="CC73" s="12">
        <f>Sales[[#This Row],[Fixtures]]*Lookups!$B$90</f>
        <v>30336.176841600001</v>
      </c>
      <c r="CD73" s="12">
        <f>Sales[[#This Row],[WdDeck]]*Lookups!$B$91</f>
        <v>0</v>
      </c>
      <c r="CE73" s="12">
        <f>SUM(Sales[[#This Row],[Days Prior Total]:[Mdl WdDeck]])</f>
        <v>358649.67808456469</v>
      </c>
      <c r="CF73" s="12">
        <f>ROUND(Sales[[#This Row],[25Det]],-2)</f>
        <v>0</v>
      </c>
      <c r="CG73" s="12">
        <f>ROUND(SUM(Sales[[#This Row],[Mdl Qlty]:[Mdl WdDeck]])+Sales[[#This Row],[Mdl Res Intercept]]+Sales[[#This Row],[Days Prior Total]],-2)</f>
        <v>328900</v>
      </c>
      <c r="CH73" s="12">
        <f>ROUND(Sales[[#This Row],[Mdl Land Intercept]]+Sales[[#This Row],[Mdl LnAcres]],-2)</f>
        <v>29800</v>
      </c>
      <c r="CI73" s="12">
        <f>Sales[[#This Row],[Unadj Res Value]]+Sales[[#This Row],[Unadj Det Value]]+Sales[[#This Row],[Unadj Land Value]]</f>
        <v>358700</v>
      </c>
      <c r="CJ73" s="13">
        <f>Sales[[#This Row],[Unadj Total Value]]/Sales[[#This Row],[Price]]</f>
        <v>0.96945945945945944</v>
      </c>
      <c r="CK73" s="13">
        <f>(Sales[[#This Row],[Unadj Total Value]]-Sales[[#This Row],[24Final]])/Sales[[#This Row],[24Final]]</f>
        <v>-4.7169811320754715E-3</v>
      </c>
      <c r="CL73">
        <f>VLOOKUP(Sales[[#This Row],[TNbhd]],Lookups!$Q$2:$T$4,4,FALSE)</f>
        <v>0.99970000000000003</v>
      </c>
      <c r="CM73">
        <f>VLOOKUP(Sales[[#This Row],[Qlty]],Lookups!$O$7:$R$21,4,FALSE)</f>
        <v>0.98050000000000004</v>
      </c>
      <c r="CN73">
        <f>VLOOKUP(Sales[[#This Row],[Cnd]],Lookups!$T$7:$W$16,4,FALSE)</f>
        <v>0.99650000000000005</v>
      </c>
      <c r="CO73">
        <f>VLOOKUP(Sales[[#This Row],[LivArea Range]],Lookups!$T$25:$W$37,4,FALSE)</f>
        <v>1.0093000000000001</v>
      </c>
      <c r="CP73">
        <f>VLOOKUP(Sales[[#This Row],[Decade]],Lookups!$O$25:$R$42,4,FALSE)</f>
        <v>1.0199</v>
      </c>
      <c r="CQ73">
        <f>Sales[[#This Row],[Nbhd Adj]]*0.95</f>
        <v>0.94971499999999998</v>
      </c>
      <c r="CR73">
        <f>Sales[[#This Row],[Nbhd Adj]]*Sales[[#This Row],[Quality Adj]]*Sales[[#This Row],[Condition Adj]]*Sales[[#This Row],[Living Area Adj]]*Sales[[#This Row],[Decade Adj]]*0.95</f>
        <v>0.95520384832633376</v>
      </c>
      <c r="CS73">
        <f>ROUND(SUM(Sales[[#This Row],[Mdl Qlty]:[Mdl WdDeck]])+Sales[[#This Row],[Mdl Res Intercept]]*Sales[[#This Row],[Res Adj ]],-2)</f>
        <v>353200</v>
      </c>
      <c r="CT73">
        <f>ROUND(Sales[[#This Row],[25Det]]*Sales[[#This Row],[Det/Nbhd Adj]],-2)</f>
        <v>0</v>
      </c>
      <c r="CU73">
        <f>Sales[[#This Row],[Adjusted Res]]+Sales[[#This Row],[Adj Det ]]</f>
        <v>353200</v>
      </c>
      <c r="CV73">
        <f>ROUND((Sales[[#This Row],[Mdl Land Intercept]]+Sales[[#This Row],[Mdl LnAcres]])*Sales[[#This Row],[Det/Nbhd Adj]],-2)</f>
        <v>28300</v>
      </c>
      <c r="CW73">
        <f>Sales[[#This Row],[Adjusted Impr Total]]+Sales[[#This Row],[Adjusted Land Total]]</f>
        <v>381500</v>
      </c>
      <c r="CX73" s="15">
        <f>IFERROR((Sales[[#This Row],[Adjusted Impr Total]]-Sales[[#This Row],[24Bldg]])/Sales[[#This Row],[24Bldg]],0)</f>
        <v>0.13205128205128205</v>
      </c>
      <c r="CY73" s="15">
        <f>(Sales[[#This Row],[Adjusted Land Total]]-Sales[[#This Row],[24Lnd]])/Sales[[#This Row],[24Lnd]]</f>
        <v>-0.41528925619834711</v>
      </c>
      <c r="CZ73" s="15">
        <f>(Sales[[#This Row],[Adjusted Total]]-Sales[[#This Row],[24Final]])/Sales[[#This Row],[24Final]]</f>
        <v>5.8546059933407328E-2</v>
      </c>
      <c r="DA73" s="15">
        <f>(Sales[[#This Row],[Adjusted Total]]+Sales[[#This Row],[Days Prior Total]])/Sales[[#This Row],[Price]]</f>
        <v>0.96526271673917297</v>
      </c>
    </row>
    <row r="74" spans="1:105" x14ac:dyDescent="0.3">
      <c r="A74">
        <v>2025</v>
      </c>
      <c r="B74">
        <v>18132242456</v>
      </c>
      <c r="C74">
        <v>-1.6094379124341003</v>
      </c>
      <c r="D74">
        <v>0.2</v>
      </c>
      <c r="E74">
        <v>8501</v>
      </c>
      <c r="F74">
        <v>6</v>
      </c>
      <c r="G74" t="s">
        <v>126</v>
      </c>
      <c r="H74">
        <v>3033</v>
      </c>
      <c r="I74" t="s">
        <v>349</v>
      </c>
      <c r="J74" t="s">
        <v>30</v>
      </c>
      <c r="K74">
        <v>11</v>
      </c>
      <c r="L74">
        <v>259</v>
      </c>
      <c r="M74" t="s">
        <v>241</v>
      </c>
      <c r="N74" t="s">
        <v>302</v>
      </c>
      <c r="O74" t="s">
        <v>323</v>
      </c>
      <c r="P74">
        <v>70</v>
      </c>
      <c r="Q74">
        <v>1957</v>
      </c>
      <c r="R74">
        <v>1974</v>
      </c>
      <c r="S74">
        <v>67</v>
      </c>
      <c r="T74">
        <v>50</v>
      </c>
      <c r="U74">
        <v>1</v>
      </c>
      <c r="V74">
        <v>1328</v>
      </c>
      <c r="W74">
        <v>0</v>
      </c>
      <c r="X74">
        <v>0</v>
      </c>
      <c r="Y74">
        <v>0</v>
      </c>
      <c r="Z74">
        <v>0</v>
      </c>
      <c r="AA74">
        <v>0</v>
      </c>
      <c r="AB74">
        <v>1328</v>
      </c>
      <c r="AC74">
        <v>1500</v>
      </c>
      <c r="AD74">
        <v>1</v>
      </c>
      <c r="AE74" t="s">
        <v>6</v>
      </c>
      <c r="AF74" t="s">
        <v>383</v>
      </c>
      <c r="AG74" t="s">
        <v>148</v>
      </c>
      <c r="AH74" t="s">
        <v>450</v>
      </c>
      <c r="AI74">
        <v>0</v>
      </c>
      <c r="AJ74">
        <v>1</v>
      </c>
      <c r="AK74">
        <v>0</v>
      </c>
      <c r="AL74">
        <v>0</v>
      </c>
      <c r="AM74">
        <v>0</v>
      </c>
      <c r="AN74">
        <v>5</v>
      </c>
      <c r="AO74">
        <v>240</v>
      </c>
      <c r="AP74">
        <v>0</v>
      </c>
      <c r="AQ74">
        <v>0</v>
      </c>
      <c r="AR74">
        <v>0</v>
      </c>
      <c r="AS74">
        <v>423</v>
      </c>
      <c r="AT74">
        <v>55</v>
      </c>
      <c r="AU74">
        <v>100</v>
      </c>
      <c r="AV74">
        <v>100</v>
      </c>
      <c r="AW74">
        <v>232762</v>
      </c>
      <c r="AX74">
        <v>165261</v>
      </c>
      <c r="AY74">
        <v>938</v>
      </c>
      <c r="AZ74">
        <v>365</v>
      </c>
      <c r="BA74">
        <v>365</v>
      </c>
      <c r="BB74">
        <v>208</v>
      </c>
      <c r="BC74" s="3">
        <v>44354</v>
      </c>
      <c r="BD74" t="s">
        <v>337</v>
      </c>
      <c r="BE74">
        <v>293000</v>
      </c>
      <c r="BF74">
        <v>293000</v>
      </c>
      <c r="BG74" t="s">
        <v>294</v>
      </c>
      <c r="BH74">
        <v>30</v>
      </c>
      <c r="BI74" t="s">
        <v>65</v>
      </c>
      <c r="BJ74" t="s">
        <v>450</v>
      </c>
      <c r="BK74">
        <v>291200</v>
      </c>
      <c r="BL74">
        <v>58400</v>
      </c>
      <c r="BM74">
        <v>232800</v>
      </c>
      <c r="BN74">
        <v>0</v>
      </c>
      <c r="BO74">
        <v>0.99385665529010236</v>
      </c>
      <c r="BP74">
        <v>253236.82698837953</v>
      </c>
      <c r="BQ74">
        <v>302613.32735978143</v>
      </c>
      <c r="BR74" s="12">
        <f>(Sales[[#This Row],[DP1]]*Lookups!$B$59)+(Sales[[#This Row],[DP2]]*Lookups!$B$60)+(Sales[[#This Row],[DP3]]*Lookups!$B$61)</f>
        <v>-49376.500378270008</v>
      </c>
      <c r="BS74" s="12">
        <f>Lookups!$B$56*0</f>
        <v>0</v>
      </c>
      <c r="BT74" s="12">
        <f>Lookups!$B$56*1</f>
        <v>89850.625589999996</v>
      </c>
      <c r="BU74" s="12">
        <f>Lookups!$B$57*Sales[[#This Row],[LnAcres]]</f>
        <v>-50946.13867709865</v>
      </c>
      <c r="BV74" s="12">
        <f>VLOOKUP(Sales[[#This Row],[Qlty]],Lookups!$A$62:$E$75,2,FALSE)</f>
        <v>29814.093161000001</v>
      </c>
      <c r="BW74" s="12">
        <f>VLOOKUP(Sales[[#This Row],[Cnd]],Lookups!$A$76:$E$84,2,FALSE)</f>
        <v>160472.20319</v>
      </c>
      <c r="BX74" s="12">
        <f>Sales[[#This Row],[EffAge]]*Lookups!$B$85</f>
        <v>-11152.280025</v>
      </c>
      <c r="BY74" s="12">
        <f>Sales[[#This Row],[MainFn]]*Lookups!$B$86</f>
        <v>65614.713596656002</v>
      </c>
      <c r="BZ74" s="12">
        <f>Sales[[#This Row],[UpprFn]]*Lookups!$B$87</f>
        <v>0</v>
      </c>
      <c r="CA74" s="12">
        <f>Sales[[#This Row],[AddFn]]*Lookups!$B$88</f>
        <v>0</v>
      </c>
      <c r="CB74" s="12">
        <f>Sales[[#This Row],[Bsmt]]*Lookups!$B$89</f>
        <v>0</v>
      </c>
      <c r="CC74" s="12">
        <f>Sales[[#This Row],[Fixtures]]*Lookups!$B$90</f>
        <v>18960.110526</v>
      </c>
      <c r="CD74" s="12">
        <f>Sales[[#This Row],[WdDeck]]*Lookups!$B$91</f>
        <v>0</v>
      </c>
      <c r="CE74" s="12">
        <f>SUM(Sales[[#This Row],[Days Prior Total]:[Mdl WdDeck]])</f>
        <v>253236.82698328732</v>
      </c>
      <c r="CF74" s="12">
        <f>ROUND(Sales[[#This Row],[25Det]],-2)</f>
        <v>0</v>
      </c>
      <c r="CG74" s="12">
        <f>ROUND(SUM(Sales[[#This Row],[Mdl Qlty]:[Mdl WdDeck]])+Sales[[#This Row],[Mdl Res Intercept]]+Sales[[#This Row],[Days Prior Total]],-2)</f>
        <v>214300</v>
      </c>
      <c r="CH74" s="12">
        <f>ROUND(Sales[[#This Row],[Mdl Land Intercept]]+Sales[[#This Row],[Mdl LnAcres]],-2)</f>
        <v>38900</v>
      </c>
      <c r="CI74" s="12">
        <f>Sales[[#This Row],[Unadj Res Value]]+Sales[[#This Row],[Unadj Det Value]]+Sales[[#This Row],[Unadj Land Value]]</f>
        <v>253200</v>
      </c>
      <c r="CJ74" s="13">
        <f>Sales[[#This Row],[Unadj Total Value]]/Sales[[#This Row],[Price]]</f>
        <v>0.86416382252559731</v>
      </c>
      <c r="CK74" s="13">
        <f>(Sales[[#This Row],[Unadj Total Value]]-Sales[[#This Row],[24Final]])/Sales[[#This Row],[24Final]]</f>
        <v>-0.1304945054945055</v>
      </c>
      <c r="CL74">
        <f>VLOOKUP(Sales[[#This Row],[TNbhd]],Lookups!$Q$2:$T$4,4,FALSE)</f>
        <v>0.99970000000000003</v>
      </c>
      <c r="CM74">
        <f>VLOOKUP(Sales[[#This Row],[Qlty]],Lookups!$O$7:$R$21,4,FALSE)</f>
        <v>1.0088999999999999</v>
      </c>
      <c r="CN74">
        <f>VLOOKUP(Sales[[#This Row],[Cnd]],Lookups!$T$7:$W$16,4,FALSE)</f>
        <v>0.99729999999999996</v>
      </c>
      <c r="CO74">
        <f>VLOOKUP(Sales[[#This Row],[LivArea Range]],Lookups!$T$25:$W$37,4,FALSE)</f>
        <v>1.0157</v>
      </c>
      <c r="CP74">
        <f>VLOOKUP(Sales[[#This Row],[Decade]],Lookups!$O$25:$R$42,4,FALSE)</f>
        <v>1.0199</v>
      </c>
      <c r="CQ74">
        <f>Sales[[#This Row],[Nbhd Adj]]*0.95</f>
        <v>0.94971499999999998</v>
      </c>
      <c r="CR74">
        <f>Sales[[#This Row],[Nbhd Adj]]*Sales[[#This Row],[Quality Adj]]*Sales[[#This Row],[Condition Adj]]*Sales[[#This Row],[Living Area Adj]]*Sales[[#This Row],[Decade Adj]]*0.95</f>
        <v>0.98989762598047604</v>
      </c>
      <c r="CS74">
        <f>ROUND(SUM(Sales[[#This Row],[Mdl Qlty]:[Mdl WdDeck]])+Sales[[#This Row],[Mdl Res Intercept]]*Sales[[#This Row],[Res Adj ]],-2)</f>
        <v>263700</v>
      </c>
      <c r="CT74">
        <f>ROUND(Sales[[#This Row],[25Det]]*Sales[[#This Row],[Det/Nbhd Adj]],-2)</f>
        <v>0</v>
      </c>
      <c r="CU74">
        <f>Sales[[#This Row],[Adjusted Res]]+Sales[[#This Row],[Adj Det ]]</f>
        <v>263700</v>
      </c>
      <c r="CV74">
        <f>ROUND((Sales[[#This Row],[Mdl Land Intercept]]+Sales[[#This Row],[Mdl LnAcres]])*Sales[[#This Row],[Det/Nbhd Adj]],-2)</f>
        <v>36900</v>
      </c>
      <c r="CW74">
        <f>Sales[[#This Row],[Adjusted Impr Total]]+Sales[[#This Row],[Adjusted Land Total]]</f>
        <v>300600</v>
      </c>
      <c r="CX74" s="15">
        <f>IFERROR((Sales[[#This Row],[Adjusted Impr Total]]-Sales[[#This Row],[24Bldg]])/Sales[[#This Row],[24Bldg]],0)</f>
        <v>0.1327319587628866</v>
      </c>
      <c r="CY74" s="15">
        <f>(Sales[[#This Row],[Adjusted Land Total]]-Sales[[#This Row],[24Lnd]])/Sales[[#This Row],[24Lnd]]</f>
        <v>-0.36815068493150682</v>
      </c>
      <c r="CZ74" s="15">
        <f>(Sales[[#This Row],[Adjusted Total]]-Sales[[#This Row],[24Final]])/Sales[[#This Row],[24Final]]</f>
        <v>3.2280219780219783E-2</v>
      </c>
      <c r="DA74" s="15">
        <f>(Sales[[#This Row],[Adjusted Total]]+Sales[[#This Row],[Days Prior Total]])/Sales[[#This Row],[Price]]</f>
        <v>0.85741808744617753</v>
      </c>
    </row>
    <row r="75" spans="1:105" x14ac:dyDescent="0.3">
      <c r="A75">
        <v>2025</v>
      </c>
      <c r="B75">
        <v>18132243036</v>
      </c>
      <c r="C75">
        <v>-1.6607312068216509</v>
      </c>
      <c r="D75">
        <v>0.19</v>
      </c>
      <c r="E75">
        <v>8087</v>
      </c>
      <c r="F75">
        <v>6</v>
      </c>
      <c r="G75" t="s">
        <v>126</v>
      </c>
      <c r="H75">
        <v>3093</v>
      </c>
      <c r="I75" t="s">
        <v>349</v>
      </c>
      <c r="J75" t="s">
        <v>30</v>
      </c>
      <c r="K75">
        <v>11</v>
      </c>
      <c r="L75">
        <v>259</v>
      </c>
      <c r="M75" t="s">
        <v>173</v>
      </c>
      <c r="N75" t="s">
        <v>351</v>
      </c>
      <c r="O75" t="s">
        <v>33</v>
      </c>
      <c r="P75">
        <v>70</v>
      </c>
      <c r="Q75">
        <v>1956</v>
      </c>
      <c r="R75">
        <v>1974</v>
      </c>
      <c r="S75">
        <v>68</v>
      </c>
      <c r="T75">
        <v>50</v>
      </c>
      <c r="U75">
        <v>2</v>
      </c>
      <c r="V75">
        <v>1376</v>
      </c>
      <c r="W75">
        <v>972</v>
      </c>
      <c r="X75">
        <v>0</v>
      </c>
      <c r="Y75">
        <v>0</v>
      </c>
      <c r="Z75">
        <v>0</v>
      </c>
      <c r="AA75">
        <v>0</v>
      </c>
      <c r="AB75">
        <v>2348</v>
      </c>
      <c r="AC75">
        <v>2500</v>
      </c>
      <c r="AD75">
        <v>0</v>
      </c>
      <c r="AF75" t="s">
        <v>383</v>
      </c>
      <c r="AG75" t="s">
        <v>175</v>
      </c>
      <c r="AH75" t="s">
        <v>65</v>
      </c>
      <c r="AI75">
        <v>0</v>
      </c>
      <c r="AJ75">
        <v>1</v>
      </c>
      <c r="AK75">
        <v>0</v>
      </c>
      <c r="AL75">
        <v>1</v>
      </c>
      <c r="AM75">
        <v>0</v>
      </c>
      <c r="AN75">
        <v>8</v>
      </c>
      <c r="AO75">
        <v>0</v>
      </c>
      <c r="AP75">
        <v>0</v>
      </c>
      <c r="AQ75">
        <v>400</v>
      </c>
      <c r="AR75">
        <v>0</v>
      </c>
      <c r="AS75">
        <v>792</v>
      </c>
      <c r="AT75">
        <v>0</v>
      </c>
      <c r="AU75">
        <v>100</v>
      </c>
      <c r="AV75">
        <v>100</v>
      </c>
      <c r="AW75">
        <v>319307</v>
      </c>
      <c r="AX75">
        <v>153267</v>
      </c>
      <c r="AY75">
        <v>901</v>
      </c>
      <c r="AZ75">
        <v>365</v>
      </c>
      <c r="BA75">
        <v>365</v>
      </c>
      <c r="BB75">
        <v>171</v>
      </c>
      <c r="BC75" s="3">
        <v>44391</v>
      </c>
      <c r="BD75" t="s">
        <v>270</v>
      </c>
      <c r="BE75">
        <v>220000</v>
      </c>
      <c r="BF75">
        <v>189479</v>
      </c>
      <c r="BG75" t="s">
        <v>294</v>
      </c>
      <c r="BH75">
        <v>30</v>
      </c>
      <c r="BI75" t="s">
        <v>65</v>
      </c>
      <c r="BJ75" t="s">
        <v>450</v>
      </c>
      <c r="BK75">
        <v>374600</v>
      </c>
      <c r="BL75">
        <v>56600</v>
      </c>
      <c r="BM75">
        <v>318000</v>
      </c>
      <c r="BN75">
        <v>30521</v>
      </c>
      <c r="BO75">
        <v>1.7027272727272726</v>
      </c>
      <c r="BP75">
        <v>184125.20297257736</v>
      </c>
      <c r="BQ75">
        <v>228553.99996761014</v>
      </c>
      <c r="BR75" s="12">
        <f>(Sales[[#This Row],[DP1]]*Lookups!$B$59)+(Sales[[#This Row],[DP2]]*Lookups!$B$60)+(Sales[[#This Row],[DP3]]*Lookups!$B$61)</f>
        <v>-44428.797000970008</v>
      </c>
      <c r="BS75" s="12">
        <f>Lookups!$B$56*0</f>
        <v>0</v>
      </c>
      <c r="BT75" s="12">
        <f>Lookups!$B$56*1</f>
        <v>89850.625589999996</v>
      </c>
      <c r="BU75" s="12">
        <f>Lookups!$B$57*Sales[[#This Row],[LnAcres]]</f>
        <v>-52569.808201026557</v>
      </c>
      <c r="BV75" s="12">
        <f>VLOOKUP(Sales[[#This Row],[Qlty]],Lookups!$A$62:$E$75,2,FALSE)</f>
        <v>21557.329055999999</v>
      </c>
      <c r="BW75" s="12">
        <f>VLOOKUP(Sales[[#This Row],[Cnd]],Lookups!$A$76:$E$84,2,FALSE)</f>
        <v>39013.223933000001</v>
      </c>
      <c r="BX75" s="12">
        <f>Sales[[#This Row],[EffAge]]*Lookups!$B$85</f>
        <v>-11152.280025</v>
      </c>
      <c r="BY75" s="12">
        <f>Sales[[#This Row],[MainFn]]*Lookups!$B$86</f>
        <v>67986.329750752004</v>
      </c>
      <c r="BZ75" s="12">
        <f>Sales[[#This Row],[UpprFn]]*Lookups!$B$87</f>
        <v>43532.403020892001</v>
      </c>
      <c r="CA75" s="12">
        <f>Sales[[#This Row],[AddFn]]*Lookups!$B$88</f>
        <v>0</v>
      </c>
      <c r="CB75" s="12">
        <f>Sales[[#This Row],[Bsmt]]*Lookups!$B$89</f>
        <v>0</v>
      </c>
      <c r="CC75" s="12">
        <f>Sales[[#This Row],[Fixtures]]*Lookups!$B$90</f>
        <v>30336.176841600001</v>
      </c>
      <c r="CD75" s="12">
        <f>Sales[[#This Row],[WdDeck]]*Lookups!$B$91</f>
        <v>0</v>
      </c>
      <c r="CE75" s="12">
        <f>SUM(Sales[[#This Row],[Days Prior Total]:[Mdl WdDeck]])</f>
        <v>184125.20296524744</v>
      </c>
      <c r="CF75" s="12">
        <f>ROUND(Sales[[#This Row],[25Det]],-2)</f>
        <v>30500</v>
      </c>
      <c r="CG75" s="12">
        <f>ROUND(SUM(Sales[[#This Row],[Mdl Qlty]:[Mdl WdDeck]])+Sales[[#This Row],[Mdl Res Intercept]]+Sales[[#This Row],[Days Prior Total]],-2)</f>
        <v>146800</v>
      </c>
      <c r="CH75" s="12">
        <f>ROUND(Sales[[#This Row],[Mdl Land Intercept]]+Sales[[#This Row],[Mdl LnAcres]],-2)</f>
        <v>37300</v>
      </c>
      <c r="CI75" s="12">
        <f>Sales[[#This Row],[Unadj Res Value]]+Sales[[#This Row],[Unadj Det Value]]+Sales[[#This Row],[Unadj Land Value]]</f>
        <v>214600</v>
      </c>
      <c r="CJ75" s="13">
        <f>Sales[[#This Row],[Unadj Total Value]]/Sales[[#This Row],[Price]]</f>
        <v>0.97545454545454546</v>
      </c>
      <c r="CK75" s="13">
        <f>(Sales[[#This Row],[Unadj Total Value]]-Sales[[#This Row],[24Final]])/Sales[[#This Row],[24Final]]</f>
        <v>-0.42712226374799789</v>
      </c>
      <c r="CL75">
        <f>VLOOKUP(Sales[[#This Row],[TNbhd]],Lookups!$Q$2:$T$4,4,FALSE)</f>
        <v>0.99970000000000003</v>
      </c>
      <c r="CM75">
        <f>VLOOKUP(Sales[[#This Row],[Qlty]],Lookups!$O$7:$R$21,4,FALSE)</f>
        <v>1.0067999999999999</v>
      </c>
      <c r="CN75">
        <f>VLOOKUP(Sales[[#This Row],[Cnd]],Lookups!$T$7:$W$16,4,FALSE)</f>
        <v>1.0021</v>
      </c>
      <c r="CO75">
        <f>VLOOKUP(Sales[[#This Row],[LivArea Range]],Lookups!$T$25:$W$37,4,FALSE)</f>
        <v>0.98919999999999997</v>
      </c>
      <c r="CP75">
        <f>VLOOKUP(Sales[[#This Row],[Decade]],Lookups!$O$25:$R$42,4,FALSE)</f>
        <v>1.0199</v>
      </c>
      <c r="CQ75">
        <f>Sales[[#This Row],[Nbhd Adj]]*0.95</f>
        <v>0.94971499999999998</v>
      </c>
      <c r="CR75">
        <f>Sales[[#This Row],[Nbhd Adj]]*Sales[[#This Row],[Quality Adj]]*Sales[[#This Row],[Condition Adj]]*Sales[[#This Row],[Living Area Adj]]*Sales[[#This Row],[Decade Adj]]*0.95</f>
        <v>0.96669454049562931</v>
      </c>
      <c r="CS75">
        <f>ROUND(SUM(Sales[[#This Row],[Mdl Qlty]:[Mdl WdDeck]])+Sales[[#This Row],[Mdl Res Intercept]]*Sales[[#This Row],[Res Adj ]],-2)</f>
        <v>191300</v>
      </c>
      <c r="CT75">
        <f>ROUND(Sales[[#This Row],[25Det]]*Sales[[#This Row],[Det/Nbhd Adj]],-2)</f>
        <v>29000</v>
      </c>
      <c r="CU75">
        <f>Sales[[#This Row],[Adjusted Res]]+Sales[[#This Row],[Adj Det ]]</f>
        <v>220300</v>
      </c>
      <c r="CV75">
        <f>ROUND((Sales[[#This Row],[Mdl Land Intercept]]+Sales[[#This Row],[Mdl LnAcres]])*Sales[[#This Row],[Det/Nbhd Adj]],-2)</f>
        <v>35400</v>
      </c>
      <c r="CW75">
        <f>Sales[[#This Row],[Adjusted Impr Total]]+Sales[[#This Row],[Adjusted Land Total]]</f>
        <v>255700</v>
      </c>
      <c r="CX75" s="15">
        <f>IFERROR((Sales[[#This Row],[Adjusted Impr Total]]-Sales[[#This Row],[24Bldg]])/Sales[[#This Row],[24Bldg]],0)</f>
        <v>-0.30723270440251571</v>
      </c>
      <c r="CY75" s="15">
        <f>(Sales[[#This Row],[Adjusted Land Total]]-Sales[[#This Row],[24Lnd]])/Sales[[#This Row],[24Lnd]]</f>
        <v>-0.37455830388692579</v>
      </c>
      <c r="CZ75" s="15">
        <f>(Sales[[#This Row],[Adjusted Total]]-Sales[[#This Row],[24Final]])/Sales[[#This Row],[24Final]]</f>
        <v>-0.31740523224773093</v>
      </c>
      <c r="DA75" s="15">
        <f>(Sales[[#This Row],[Adjusted Total]]+Sales[[#This Row],[Days Prior Total]])/Sales[[#This Row],[Price]]</f>
        <v>0.96032364999559094</v>
      </c>
    </row>
    <row r="76" spans="1:105" x14ac:dyDescent="0.3">
      <c r="A76">
        <v>2025</v>
      </c>
      <c r="B76">
        <v>18132244413</v>
      </c>
      <c r="C76">
        <v>-1.5141277326297755</v>
      </c>
      <c r="D76">
        <v>0.22</v>
      </c>
      <c r="E76">
        <v>9470</v>
      </c>
      <c r="F76">
        <v>6</v>
      </c>
      <c r="G76" t="s">
        <v>126</v>
      </c>
      <c r="H76">
        <v>3092</v>
      </c>
      <c r="I76" t="s">
        <v>349</v>
      </c>
      <c r="J76" t="s">
        <v>30</v>
      </c>
      <c r="K76">
        <v>11</v>
      </c>
      <c r="L76">
        <v>259</v>
      </c>
      <c r="M76" t="s">
        <v>241</v>
      </c>
      <c r="N76" t="s">
        <v>302</v>
      </c>
      <c r="O76" t="s">
        <v>323</v>
      </c>
      <c r="P76">
        <v>70</v>
      </c>
      <c r="Q76">
        <v>1956</v>
      </c>
      <c r="R76">
        <v>1974</v>
      </c>
      <c r="S76">
        <v>68</v>
      </c>
      <c r="T76">
        <v>50</v>
      </c>
      <c r="U76">
        <v>1</v>
      </c>
      <c r="V76">
        <v>1696</v>
      </c>
      <c r="W76">
        <v>0</v>
      </c>
      <c r="X76">
        <v>0</v>
      </c>
      <c r="Y76">
        <v>0</v>
      </c>
      <c r="Z76">
        <v>0</v>
      </c>
      <c r="AA76">
        <v>0</v>
      </c>
      <c r="AB76">
        <v>1696</v>
      </c>
      <c r="AC76">
        <v>2000</v>
      </c>
      <c r="AD76">
        <v>2</v>
      </c>
      <c r="AE76" t="s">
        <v>6</v>
      </c>
      <c r="AF76" t="s">
        <v>383</v>
      </c>
      <c r="AG76" t="s">
        <v>148</v>
      </c>
      <c r="AH76" t="s">
        <v>450</v>
      </c>
      <c r="AI76">
        <v>0</v>
      </c>
      <c r="AJ76">
        <v>1</v>
      </c>
      <c r="AK76">
        <v>0</v>
      </c>
      <c r="AL76">
        <v>0</v>
      </c>
      <c r="AM76">
        <v>0</v>
      </c>
      <c r="AN76">
        <v>9</v>
      </c>
      <c r="AO76">
        <v>809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100</v>
      </c>
      <c r="AV76">
        <v>100</v>
      </c>
      <c r="AW76">
        <v>329383</v>
      </c>
      <c r="AX76">
        <v>233862</v>
      </c>
      <c r="AY76">
        <v>826</v>
      </c>
      <c r="AZ76">
        <v>365</v>
      </c>
      <c r="BA76">
        <v>365</v>
      </c>
      <c r="BB76">
        <v>96</v>
      </c>
      <c r="BC76" s="3">
        <v>44466</v>
      </c>
      <c r="BD76" t="s">
        <v>430</v>
      </c>
      <c r="BE76">
        <v>309000</v>
      </c>
      <c r="BF76">
        <v>309000</v>
      </c>
      <c r="BG76" t="s">
        <v>294</v>
      </c>
      <c r="BH76">
        <v>30</v>
      </c>
      <c r="BI76" t="s">
        <v>65</v>
      </c>
      <c r="BJ76" t="s">
        <v>450</v>
      </c>
      <c r="BK76">
        <v>325700</v>
      </c>
      <c r="BL76">
        <v>61700</v>
      </c>
      <c r="BM76">
        <v>264000</v>
      </c>
      <c r="BN76">
        <v>0</v>
      </c>
      <c r="BO76">
        <v>1.0540453074433658</v>
      </c>
      <c r="BP76">
        <v>304581.14488384669</v>
      </c>
      <c r="BQ76">
        <v>338980.81341326638</v>
      </c>
      <c r="BR76" s="12">
        <f>(Sales[[#This Row],[DP1]]*Lookups!$B$59)+(Sales[[#This Row],[DP2]]*Lookups!$B$60)+(Sales[[#This Row],[DP3]]*Lookups!$B$61)</f>
        <v>-34399.668533470001</v>
      </c>
      <c r="BS76" s="12">
        <f>Lookups!$B$56*0</f>
        <v>0</v>
      </c>
      <c r="BT76" s="12">
        <f>Lookups!$B$56*1</f>
        <v>89850.625589999996</v>
      </c>
      <c r="BU76" s="12">
        <f>Lookups!$B$57*Sales[[#This Row],[LnAcres]]</f>
        <v>-47929.131559187132</v>
      </c>
      <c r="BV76" s="12">
        <f>VLOOKUP(Sales[[#This Row],[Qlty]],Lookups!$A$62:$E$75,2,FALSE)</f>
        <v>29814.093161000001</v>
      </c>
      <c r="BW76" s="12">
        <f>VLOOKUP(Sales[[#This Row],[Cnd]],Lookups!$A$76:$E$84,2,FALSE)</f>
        <v>160472.20319</v>
      </c>
      <c r="BX76" s="12">
        <f>Sales[[#This Row],[EffAge]]*Lookups!$B$85</f>
        <v>-11152.280025</v>
      </c>
      <c r="BY76" s="12">
        <f>Sales[[#This Row],[MainFn]]*Lookups!$B$86</f>
        <v>83797.104111392007</v>
      </c>
      <c r="BZ76" s="12">
        <f>Sales[[#This Row],[UpprFn]]*Lookups!$B$87</f>
        <v>0</v>
      </c>
      <c r="CA76" s="12">
        <f>Sales[[#This Row],[AddFn]]*Lookups!$B$88</f>
        <v>0</v>
      </c>
      <c r="CB76" s="12">
        <f>Sales[[#This Row],[Bsmt]]*Lookups!$B$89</f>
        <v>0</v>
      </c>
      <c r="CC76" s="12">
        <f>Sales[[#This Row],[Fixtures]]*Lookups!$B$90</f>
        <v>34128.198946800003</v>
      </c>
      <c r="CD76" s="12">
        <f>Sales[[#This Row],[WdDeck]]*Lookups!$B$91</f>
        <v>0</v>
      </c>
      <c r="CE76" s="12">
        <f>SUM(Sales[[#This Row],[Days Prior Total]:[Mdl WdDeck]])</f>
        <v>304581.14488153491</v>
      </c>
      <c r="CF76" s="12">
        <f>ROUND(Sales[[#This Row],[25Det]],-2)</f>
        <v>0</v>
      </c>
      <c r="CG76" s="12">
        <f>ROUND(SUM(Sales[[#This Row],[Mdl Qlty]:[Mdl WdDeck]])+Sales[[#This Row],[Mdl Res Intercept]]+Sales[[#This Row],[Days Prior Total]],-2)</f>
        <v>262700</v>
      </c>
      <c r="CH76" s="12">
        <f>ROUND(Sales[[#This Row],[Mdl Land Intercept]]+Sales[[#This Row],[Mdl LnAcres]],-2)</f>
        <v>41900</v>
      </c>
      <c r="CI76" s="12">
        <f>Sales[[#This Row],[Unadj Res Value]]+Sales[[#This Row],[Unadj Det Value]]+Sales[[#This Row],[Unadj Land Value]]</f>
        <v>304600</v>
      </c>
      <c r="CJ76" s="13">
        <f>Sales[[#This Row],[Unadj Total Value]]/Sales[[#This Row],[Price]]</f>
        <v>0.9857605177993527</v>
      </c>
      <c r="CK76" s="13">
        <f>(Sales[[#This Row],[Unadj Total Value]]-Sales[[#This Row],[24Final]])/Sales[[#This Row],[24Final]]</f>
        <v>-6.4783543137856919E-2</v>
      </c>
      <c r="CL76">
        <f>VLOOKUP(Sales[[#This Row],[TNbhd]],Lookups!$Q$2:$T$4,4,FALSE)</f>
        <v>0.99970000000000003</v>
      </c>
      <c r="CM76">
        <f>VLOOKUP(Sales[[#This Row],[Qlty]],Lookups!$O$7:$R$21,4,FALSE)</f>
        <v>1.0088999999999999</v>
      </c>
      <c r="CN76">
        <f>VLOOKUP(Sales[[#This Row],[Cnd]],Lookups!$T$7:$W$16,4,FALSE)</f>
        <v>0.99729999999999996</v>
      </c>
      <c r="CO76">
        <f>VLOOKUP(Sales[[#This Row],[LivArea Range]],Lookups!$T$25:$W$37,4,FALSE)</f>
        <v>1.0093000000000001</v>
      </c>
      <c r="CP76">
        <f>VLOOKUP(Sales[[#This Row],[Decade]],Lookups!$O$25:$R$42,4,FALSE)</f>
        <v>1.0199</v>
      </c>
      <c r="CQ76">
        <f>Sales[[#This Row],[Nbhd Adj]]*0.95</f>
        <v>0.94971499999999998</v>
      </c>
      <c r="CR76">
        <f>Sales[[#This Row],[Nbhd Adj]]*Sales[[#This Row],[Quality Adj]]*Sales[[#This Row],[Condition Adj]]*Sales[[#This Row],[Living Area Adj]]*Sales[[#This Row],[Decade Adj]]*0.95</f>
        <v>0.98366020862665582</v>
      </c>
      <c r="CS76">
        <f>ROUND(SUM(Sales[[#This Row],[Mdl Qlty]:[Mdl WdDeck]])+Sales[[#This Row],[Mdl Res Intercept]]*Sales[[#This Row],[Res Adj ]],-2)</f>
        <v>297100</v>
      </c>
      <c r="CT76">
        <f>ROUND(Sales[[#This Row],[25Det]]*Sales[[#This Row],[Det/Nbhd Adj]],-2)</f>
        <v>0</v>
      </c>
      <c r="CU76">
        <f>Sales[[#This Row],[Adjusted Res]]+Sales[[#This Row],[Adj Det ]]</f>
        <v>297100</v>
      </c>
      <c r="CV76">
        <f>ROUND((Sales[[#This Row],[Mdl Land Intercept]]+Sales[[#This Row],[Mdl LnAcres]])*Sales[[#This Row],[Det/Nbhd Adj]],-2)</f>
        <v>39800</v>
      </c>
      <c r="CW76">
        <f>Sales[[#This Row],[Adjusted Impr Total]]+Sales[[#This Row],[Adjusted Land Total]]</f>
        <v>336900</v>
      </c>
      <c r="CX76" s="15">
        <f>IFERROR((Sales[[#This Row],[Adjusted Impr Total]]-Sales[[#This Row],[24Bldg]])/Sales[[#This Row],[24Bldg]],0)</f>
        <v>0.12537878787878787</v>
      </c>
      <c r="CY76" s="15">
        <f>(Sales[[#This Row],[Adjusted Land Total]]-Sales[[#This Row],[24Lnd]])/Sales[[#This Row],[24Lnd]]</f>
        <v>-0.35494327390599678</v>
      </c>
      <c r="CZ76" s="15">
        <f>(Sales[[#This Row],[Adjusted Total]]-Sales[[#This Row],[24Final]])/Sales[[#This Row],[24Final]]</f>
        <v>3.4387473134786614E-2</v>
      </c>
      <c r="DA76" s="15">
        <f>(Sales[[#This Row],[Adjusted Total]]+Sales[[#This Row],[Days Prior Total]])/Sales[[#This Row],[Price]]</f>
        <v>0.97896547400171519</v>
      </c>
    </row>
    <row r="77" spans="1:105" x14ac:dyDescent="0.3">
      <c r="A77">
        <v>2025</v>
      </c>
      <c r="B77">
        <v>18132321032</v>
      </c>
      <c r="C77">
        <v>-1.6607312068216509</v>
      </c>
      <c r="D77">
        <v>0.19</v>
      </c>
      <c r="E77">
        <v>8127</v>
      </c>
      <c r="F77">
        <v>6</v>
      </c>
      <c r="G77" t="s">
        <v>126</v>
      </c>
      <c r="H77" t="s">
        <v>29</v>
      </c>
      <c r="I77" t="s">
        <v>349</v>
      </c>
      <c r="J77" t="s">
        <v>30</v>
      </c>
      <c r="K77">
        <v>11</v>
      </c>
      <c r="L77">
        <v>259</v>
      </c>
      <c r="M77" t="s">
        <v>241</v>
      </c>
      <c r="N77" t="s">
        <v>302</v>
      </c>
      <c r="O77" t="s">
        <v>303</v>
      </c>
      <c r="P77">
        <v>70</v>
      </c>
      <c r="Q77">
        <v>1956</v>
      </c>
      <c r="R77">
        <v>1974</v>
      </c>
      <c r="S77">
        <v>68</v>
      </c>
      <c r="T77">
        <v>50</v>
      </c>
      <c r="U77">
        <v>1</v>
      </c>
      <c r="V77">
        <v>1195</v>
      </c>
      <c r="W77">
        <v>0</v>
      </c>
      <c r="X77">
        <v>0</v>
      </c>
      <c r="Y77">
        <v>0</v>
      </c>
      <c r="Z77">
        <v>0</v>
      </c>
      <c r="AA77">
        <v>0</v>
      </c>
      <c r="AB77">
        <v>1195</v>
      </c>
      <c r="AC77">
        <v>1500</v>
      </c>
      <c r="AD77">
        <v>0</v>
      </c>
      <c r="AF77" t="s">
        <v>383</v>
      </c>
      <c r="AG77" t="s">
        <v>175</v>
      </c>
      <c r="AH77" t="s">
        <v>450</v>
      </c>
      <c r="AI77">
        <v>0</v>
      </c>
      <c r="AJ77">
        <v>1</v>
      </c>
      <c r="AK77">
        <v>0</v>
      </c>
      <c r="AL77">
        <v>0</v>
      </c>
      <c r="AM77">
        <v>0</v>
      </c>
      <c r="AN77">
        <v>5</v>
      </c>
      <c r="AO77">
        <v>0</v>
      </c>
      <c r="AP77">
        <v>0</v>
      </c>
      <c r="AQ77">
        <v>210</v>
      </c>
      <c r="AR77">
        <v>0</v>
      </c>
      <c r="AS77">
        <v>100</v>
      </c>
      <c r="AT77">
        <v>100</v>
      </c>
      <c r="AU77">
        <v>100</v>
      </c>
      <c r="AV77">
        <v>100</v>
      </c>
      <c r="AW77">
        <v>228096</v>
      </c>
      <c r="AX77">
        <v>177915</v>
      </c>
      <c r="AY77">
        <v>1042</v>
      </c>
      <c r="AZ77">
        <v>365</v>
      </c>
      <c r="BA77">
        <v>365</v>
      </c>
      <c r="BB77">
        <v>312</v>
      </c>
      <c r="BC77" s="3">
        <v>44250</v>
      </c>
      <c r="BD77" t="s">
        <v>226</v>
      </c>
      <c r="BE77">
        <v>250000</v>
      </c>
      <c r="BF77">
        <v>250000</v>
      </c>
      <c r="BG77" t="s">
        <v>294</v>
      </c>
      <c r="BH77">
        <v>30</v>
      </c>
      <c r="BI77" t="s">
        <v>65</v>
      </c>
      <c r="BJ77" t="s">
        <v>450</v>
      </c>
      <c r="BK77">
        <v>305300</v>
      </c>
      <c r="BL77">
        <v>56600</v>
      </c>
      <c r="BM77">
        <v>248700</v>
      </c>
      <c r="BN77">
        <v>0</v>
      </c>
      <c r="BO77">
        <v>1.2212000000000001</v>
      </c>
      <c r="BP77">
        <v>268414.89025404485</v>
      </c>
      <c r="BQ77">
        <v>331698.44876443018</v>
      </c>
      <c r="BR77" s="12">
        <f>(Sales[[#This Row],[DP1]]*Lookups!$B$59)+(Sales[[#This Row],[DP2]]*Lookups!$B$60)+(Sales[[#This Row],[DP3]]*Lookups!$B$61)</f>
        <v>-63283.558519870006</v>
      </c>
      <c r="BS77" s="12">
        <f>Lookups!$B$56*0</f>
        <v>0</v>
      </c>
      <c r="BT77" s="12">
        <f>Lookups!$B$56*1</f>
        <v>89850.625589999996</v>
      </c>
      <c r="BU77" s="12">
        <f>Lookups!$B$57*Sales[[#This Row],[LnAcres]]</f>
        <v>-52569.808201026557</v>
      </c>
      <c r="BV77" s="12">
        <f>VLOOKUP(Sales[[#This Row],[Qlty]],Lookups!$A$62:$E$75,2,FALSE)</f>
        <v>29814.093161000001</v>
      </c>
      <c r="BW77" s="12">
        <f>VLOOKUP(Sales[[#This Row],[Cnd]],Lookups!$A$76:$E$84,2,FALSE)</f>
        <v>197752.34721000001</v>
      </c>
      <c r="BX77" s="12">
        <f>Sales[[#This Row],[EffAge]]*Lookups!$B$85</f>
        <v>-11152.280025</v>
      </c>
      <c r="BY77" s="12">
        <f>Sales[[#This Row],[MainFn]]*Lookups!$B$86</f>
        <v>59043.360503014999</v>
      </c>
      <c r="BZ77" s="12">
        <f>Sales[[#This Row],[UpprFn]]*Lookups!$B$87</f>
        <v>0</v>
      </c>
      <c r="CA77" s="12">
        <f>Sales[[#This Row],[AddFn]]*Lookups!$B$88</f>
        <v>0</v>
      </c>
      <c r="CB77" s="12">
        <f>Sales[[#This Row],[Bsmt]]*Lookups!$B$89</f>
        <v>0</v>
      </c>
      <c r="CC77" s="12">
        <f>Sales[[#This Row],[Fixtures]]*Lookups!$B$90</f>
        <v>18960.110526</v>
      </c>
      <c r="CD77" s="12">
        <f>Sales[[#This Row],[WdDeck]]*Lookups!$B$91</f>
        <v>0</v>
      </c>
      <c r="CE77" s="12">
        <f>SUM(Sales[[#This Row],[Days Prior Total]:[Mdl WdDeck]])</f>
        <v>268414.8902441184</v>
      </c>
      <c r="CF77" s="12">
        <f>ROUND(Sales[[#This Row],[25Det]],-2)</f>
        <v>0</v>
      </c>
      <c r="CG77" s="12">
        <f>ROUND(SUM(Sales[[#This Row],[Mdl Qlty]:[Mdl WdDeck]])+Sales[[#This Row],[Mdl Res Intercept]]+Sales[[#This Row],[Days Prior Total]],-2)</f>
        <v>231100</v>
      </c>
      <c r="CH77" s="12">
        <f>ROUND(Sales[[#This Row],[Mdl Land Intercept]]+Sales[[#This Row],[Mdl LnAcres]],-2)</f>
        <v>37300</v>
      </c>
      <c r="CI77" s="12">
        <f>Sales[[#This Row],[Unadj Res Value]]+Sales[[#This Row],[Unadj Det Value]]+Sales[[#This Row],[Unadj Land Value]]</f>
        <v>268400</v>
      </c>
      <c r="CJ77" s="13">
        <f>Sales[[#This Row],[Unadj Total Value]]/Sales[[#This Row],[Price]]</f>
        <v>1.0736000000000001</v>
      </c>
      <c r="CK77" s="13">
        <f>(Sales[[#This Row],[Unadj Total Value]]-Sales[[#This Row],[24Final]])/Sales[[#This Row],[24Final]]</f>
        <v>-0.12086472322305929</v>
      </c>
      <c r="CL77">
        <f>VLOOKUP(Sales[[#This Row],[TNbhd]],Lookups!$Q$2:$T$4,4,FALSE)</f>
        <v>0.99970000000000003</v>
      </c>
      <c r="CM77">
        <f>VLOOKUP(Sales[[#This Row],[Qlty]],Lookups!$O$7:$R$21,4,FALSE)</f>
        <v>1.0088999999999999</v>
      </c>
      <c r="CN77">
        <f>VLOOKUP(Sales[[#This Row],[Cnd]],Lookups!$T$7:$W$16,4,FALSE)</f>
        <v>0.99650000000000005</v>
      </c>
      <c r="CO77">
        <f>VLOOKUP(Sales[[#This Row],[LivArea Range]],Lookups!$T$25:$W$37,4,FALSE)</f>
        <v>1.0157</v>
      </c>
      <c r="CP77">
        <f>VLOOKUP(Sales[[#This Row],[Decade]],Lookups!$O$25:$R$42,4,FALSE)</f>
        <v>1.0199</v>
      </c>
      <c r="CQ77">
        <f>Sales[[#This Row],[Nbhd Adj]]*0.95</f>
        <v>0.94971499999999998</v>
      </c>
      <c r="CR77">
        <f>Sales[[#This Row],[Nbhd Adj]]*Sales[[#This Row],[Quality Adj]]*Sales[[#This Row],[Condition Adj]]*Sales[[#This Row],[Living Area Adj]]*Sales[[#This Row],[Decade Adj]]*0.95</f>
        <v>0.98910356391210685</v>
      </c>
      <c r="CS77">
        <f>ROUND(SUM(Sales[[#This Row],[Mdl Qlty]:[Mdl WdDeck]])+Sales[[#This Row],[Mdl Res Intercept]]*Sales[[#This Row],[Res Adj ]],-2)</f>
        <v>294400</v>
      </c>
      <c r="CT77">
        <f>ROUND(Sales[[#This Row],[25Det]]*Sales[[#This Row],[Det/Nbhd Adj]],-2)</f>
        <v>0</v>
      </c>
      <c r="CU77">
        <f>Sales[[#This Row],[Adjusted Res]]+Sales[[#This Row],[Adj Det ]]</f>
        <v>294400</v>
      </c>
      <c r="CV77">
        <f>ROUND((Sales[[#This Row],[Mdl Land Intercept]]+Sales[[#This Row],[Mdl LnAcres]])*Sales[[#This Row],[Det/Nbhd Adj]],-2)</f>
        <v>35400</v>
      </c>
      <c r="CW77">
        <f>Sales[[#This Row],[Adjusted Impr Total]]+Sales[[#This Row],[Adjusted Land Total]]</f>
        <v>329800</v>
      </c>
      <c r="CX77" s="15">
        <f>IFERROR((Sales[[#This Row],[Adjusted Impr Total]]-Sales[[#This Row],[24Bldg]])/Sales[[#This Row],[24Bldg]],0)</f>
        <v>0.18375552874949738</v>
      </c>
      <c r="CY77" s="15">
        <f>(Sales[[#This Row],[Adjusted Land Total]]-Sales[[#This Row],[24Lnd]])/Sales[[#This Row],[24Lnd]]</f>
        <v>-0.37455830388692579</v>
      </c>
      <c r="CZ77" s="15">
        <f>(Sales[[#This Row],[Adjusted Total]]-Sales[[#This Row],[24Final]])/Sales[[#This Row],[24Final]]</f>
        <v>8.0248935473304944E-2</v>
      </c>
      <c r="DA77" s="15">
        <f>(Sales[[#This Row],[Adjusted Total]]+Sales[[#This Row],[Days Prior Total]])/Sales[[#This Row],[Price]]</f>
        <v>1.0660657659205202</v>
      </c>
    </row>
    <row r="78" spans="1:105" x14ac:dyDescent="0.3">
      <c r="A78">
        <v>2025</v>
      </c>
      <c r="B78">
        <v>18132341006</v>
      </c>
      <c r="C78">
        <v>-1.2729656758128873</v>
      </c>
      <c r="D78">
        <v>0.28000000000000003</v>
      </c>
      <c r="E78">
        <v>0</v>
      </c>
      <c r="F78">
        <v>6</v>
      </c>
      <c r="G78" t="s">
        <v>126</v>
      </c>
      <c r="H78">
        <v>3031</v>
      </c>
      <c r="I78" t="s">
        <v>349</v>
      </c>
      <c r="J78" t="s">
        <v>30</v>
      </c>
      <c r="K78">
        <v>11</v>
      </c>
      <c r="L78">
        <v>259</v>
      </c>
      <c r="M78" t="s">
        <v>241</v>
      </c>
      <c r="N78" t="s">
        <v>95</v>
      </c>
      <c r="O78" t="s">
        <v>303</v>
      </c>
      <c r="P78">
        <v>70</v>
      </c>
      <c r="Q78">
        <v>1955</v>
      </c>
      <c r="R78">
        <v>1974</v>
      </c>
      <c r="S78">
        <v>69</v>
      </c>
      <c r="T78">
        <v>50</v>
      </c>
      <c r="U78">
        <v>1</v>
      </c>
      <c r="V78">
        <v>1632</v>
      </c>
      <c r="W78">
        <v>0</v>
      </c>
      <c r="X78">
        <v>0</v>
      </c>
      <c r="Y78">
        <v>1632</v>
      </c>
      <c r="Z78">
        <v>1132</v>
      </c>
      <c r="AA78">
        <v>500</v>
      </c>
      <c r="AB78">
        <v>2132</v>
      </c>
      <c r="AC78">
        <v>2500</v>
      </c>
      <c r="AD78">
        <v>0</v>
      </c>
      <c r="AF78" t="s">
        <v>383</v>
      </c>
      <c r="AG78" t="s">
        <v>148</v>
      </c>
      <c r="AH78" t="s">
        <v>450</v>
      </c>
      <c r="AI78">
        <v>0</v>
      </c>
      <c r="AJ78">
        <v>1</v>
      </c>
      <c r="AK78">
        <v>0</v>
      </c>
      <c r="AL78">
        <v>1</v>
      </c>
      <c r="AM78">
        <v>1</v>
      </c>
      <c r="AN78">
        <v>11</v>
      </c>
      <c r="AO78">
        <v>0</v>
      </c>
      <c r="AP78">
        <v>0</v>
      </c>
      <c r="AQ78">
        <v>0</v>
      </c>
      <c r="AR78">
        <v>0</v>
      </c>
      <c r="AS78">
        <v>244</v>
      </c>
      <c r="AT78">
        <v>96</v>
      </c>
      <c r="AU78">
        <v>100</v>
      </c>
      <c r="AV78">
        <v>100</v>
      </c>
      <c r="AW78">
        <v>496620</v>
      </c>
      <c r="AX78">
        <v>397296</v>
      </c>
      <c r="AY78">
        <v>585</v>
      </c>
      <c r="AZ78">
        <v>365</v>
      </c>
      <c r="BA78">
        <v>220</v>
      </c>
      <c r="BB78">
        <v>0</v>
      </c>
      <c r="BC78" s="3">
        <v>44707</v>
      </c>
      <c r="BD78" t="s">
        <v>262</v>
      </c>
      <c r="BE78">
        <v>580000</v>
      </c>
      <c r="BF78">
        <v>533434</v>
      </c>
      <c r="BG78" t="s">
        <v>294</v>
      </c>
      <c r="BH78">
        <v>30</v>
      </c>
      <c r="BI78" t="s">
        <v>65</v>
      </c>
      <c r="BJ78" t="s">
        <v>450</v>
      </c>
      <c r="BK78">
        <v>518200</v>
      </c>
      <c r="BL78">
        <v>70100</v>
      </c>
      <c r="BM78">
        <v>448100</v>
      </c>
      <c r="BN78">
        <v>46566</v>
      </c>
      <c r="BO78">
        <v>0.89344827586206899</v>
      </c>
      <c r="BP78">
        <v>457005.26457834599</v>
      </c>
      <c r="BQ78">
        <v>480232.70856135816</v>
      </c>
      <c r="BR78" s="12">
        <f>(Sales[[#This Row],[DP1]]*Lookups!$B$59)+(Sales[[#This Row],[DP2]]*Lookups!$B$60)+(Sales[[#This Row],[DP3]]*Lookups!$B$61)</f>
        <v>-23227.443984609999</v>
      </c>
      <c r="BS78" s="12">
        <f>Lookups!$B$56*0</f>
        <v>0</v>
      </c>
      <c r="BT78" s="12">
        <f>Lookups!$B$56*1</f>
        <v>89850.625589999996</v>
      </c>
      <c r="BU78" s="12">
        <f>Lookups!$B$57*Sales[[#This Row],[LnAcres]]</f>
        <v>-40295.239319339329</v>
      </c>
      <c r="BV78" s="12">
        <f>VLOOKUP(Sales[[#This Row],[Qlty]],Lookups!$A$62:$E$75,2,FALSE)</f>
        <v>74268.409664999999</v>
      </c>
      <c r="BW78" s="12">
        <f>VLOOKUP(Sales[[#This Row],[Cnd]],Lookups!$A$76:$E$84,2,FALSE)</f>
        <v>197752.34721000001</v>
      </c>
      <c r="BX78" s="12">
        <f>Sales[[#This Row],[EffAge]]*Lookups!$B$85</f>
        <v>-11152.280025</v>
      </c>
      <c r="BY78" s="12">
        <f>Sales[[#This Row],[MainFn]]*Lookups!$B$86</f>
        <v>80634.949239263995</v>
      </c>
      <c r="BZ78" s="12">
        <f>Sales[[#This Row],[UpprFn]]*Lookups!$B$87</f>
        <v>0</v>
      </c>
      <c r="CA78" s="12">
        <f>Sales[[#This Row],[AddFn]]*Lookups!$B$88</f>
        <v>0</v>
      </c>
      <c r="CB78" s="12">
        <f>Sales[[#This Row],[Bsmt]]*Lookups!$B$89</f>
        <v>47461.653043104001</v>
      </c>
      <c r="CC78" s="12">
        <f>Sales[[#This Row],[Fixtures]]*Lookups!$B$90</f>
        <v>41712.243157199999</v>
      </c>
      <c r="CD78" s="12">
        <f>Sales[[#This Row],[WdDeck]]*Lookups!$B$91</f>
        <v>0</v>
      </c>
      <c r="CE78" s="12">
        <f>SUM(Sales[[#This Row],[Days Prior Total]:[Mdl WdDeck]])</f>
        <v>457005.26457561867</v>
      </c>
      <c r="CF78" s="12">
        <f>ROUND(Sales[[#This Row],[25Det]],-2)</f>
        <v>46600</v>
      </c>
      <c r="CG78" s="12">
        <f>ROUND(SUM(Sales[[#This Row],[Mdl Qlty]:[Mdl WdDeck]])+Sales[[#This Row],[Mdl Res Intercept]]+Sales[[#This Row],[Days Prior Total]],-2)</f>
        <v>407400</v>
      </c>
      <c r="CH78" s="12">
        <f>ROUND(Sales[[#This Row],[Mdl Land Intercept]]+Sales[[#This Row],[Mdl LnAcres]],-2)</f>
        <v>49600</v>
      </c>
      <c r="CI78" s="12">
        <f>Sales[[#This Row],[Unadj Res Value]]+Sales[[#This Row],[Unadj Det Value]]+Sales[[#This Row],[Unadj Land Value]]</f>
        <v>503600</v>
      </c>
      <c r="CJ78" s="13">
        <f>Sales[[#This Row],[Unadj Total Value]]/Sales[[#This Row],[Price]]</f>
        <v>0.86827586206896556</v>
      </c>
      <c r="CK78" s="13">
        <f>(Sales[[#This Row],[Unadj Total Value]]-Sales[[#This Row],[24Final]])/Sales[[#This Row],[24Final]]</f>
        <v>-2.8174450019297567E-2</v>
      </c>
      <c r="CL78">
        <f>VLOOKUP(Sales[[#This Row],[TNbhd]],Lookups!$Q$2:$T$4,4,FALSE)</f>
        <v>0.99970000000000003</v>
      </c>
      <c r="CM78">
        <f>VLOOKUP(Sales[[#This Row],[Qlty]],Lookups!$O$7:$R$21,4,FALSE)</f>
        <v>0.98380000000000001</v>
      </c>
      <c r="CN78">
        <f>VLOOKUP(Sales[[#This Row],[Cnd]],Lookups!$T$7:$W$16,4,FALSE)</f>
        <v>0.99650000000000005</v>
      </c>
      <c r="CO78">
        <f>VLOOKUP(Sales[[#This Row],[LivArea Range]],Lookups!$T$25:$W$37,4,FALSE)</f>
        <v>0.98919999999999997</v>
      </c>
      <c r="CP78">
        <f>VLOOKUP(Sales[[#This Row],[Decade]],Lookups!$O$25:$R$42,4,FALSE)</f>
        <v>1.0199</v>
      </c>
      <c r="CQ78">
        <f>Sales[[#This Row],[Nbhd Adj]]*0.95</f>
        <v>0.94971499999999998</v>
      </c>
      <c r="CR78">
        <f>Sales[[#This Row],[Nbhd Adj]]*Sales[[#This Row],[Quality Adj]]*Sales[[#This Row],[Condition Adj]]*Sales[[#This Row],[Living Area Adj]]*Sales[[#This Row],[Decade Adj]]*0.95</f>
        <v>0.93933200115703741</v>
      </c>
      <c r="CS78">
        <f>ROUND(SUM(Sales[[#This Row],[Mdl Qlty]:[Mdl WdDeck]])+Sales[[#This Row],[Mdl Res Intercept]]*Sales[[#This Row],[Res Adj ]],-2)</f>
        <v>430700</v>
      </c>
      <c r="CT78">
        <f>ROUND(Sales[[#This Row],[25Det]]*Sales[[#This Row],[Det/Nbhd Adj]],-2)</f>
        <v>44200</v>
      </c>
      <c r="CU78">
        <f>Sales[[#This Row],[Adjusted Res]]+Sales[[#This Row],[Adj Det ]]</f>
        <v>474900</v>
      </c>
      <c r="CV78">
        <f>ROUND((Sales[[#This Row],[Mdl Land Intercept]]+Sales[[#This Row],[Mdl LnAcres]])*Sales[[#This Row],[Det/Nbhd Adj]],-2)</f>
        <v>47100</v>
      </c>
      <c r="CW78">
        <f>Sales[[#This Row],[Adjusted Impr Total]]+Sales[[#This Row],[Adjusted Land Total]]</f>
        <v>522000</v>
      </c>
      <c r="CX78" s="15">
        <f>IFERROR((Sales[[#This Row],[Adjusted Impr Total]]-Sales[[#This Row],[24Bldg]])/Sales[[#This Row],[24Bldg]],0)</f>
        <v>5.9808078553894223E-2</v>
      </c>
      <c r="CY78" s="15">
        <f>(Sales[[#This Row],[Adjusted Land Total]]-Sales[[#This Row],[24Lnd]])/Sales[[#This Row],[24Lnd]]</f>
        <v>-0.32810271041369471</v>
      </c>
      <c r="CZ78" s="15">
        <f>(Sales[[#This Row],[Adjusted Total]]-Sales[[#This Row],[24Final]])/Sales[[#This Row],[24Final]]</f>
        <v>7.3330760324199148E-3</v>
      </c>
      <c r="DA78" s="15">
        <f>(Sales[[#This Row],[Adjusted Total]]+Sales[[#This Row],[Days Prior Total]])/Sales[[#This Row],[Price]]</f>
        <v>0.85995268278515513</v>
      </c>
    </row>
    <row r="79" spans="1:105" x14ac:dyDescent="0.3">
      <c r="A79">
        <v>2025</v>
      </c>
      <c r="B79">
        <v>18132342494</v>
      </c>
      <c r="C79">
        <v>-1.7147984280919266</v>
      </c>
      <c r="D79">
        <v>0.18</v>
      </c>
      <c r="E79">
        <v>7969</v>
      </c>
      <c r="F79">
        <v>6</v>
      </c>
      <c r="G79" t="s">
        <v>126</v>
      </c>
      <c r="H79">
        <v>3032</v>
      </c>
      <c r="I79" t="s">
        <v>349</v>
      </c>
      <c r="J79" t="s">
        <v>30</v>
      </c>
      <c r="K79">
        <v>11</v>
      </c>
      <c r="L79">
        <v>259</v>
      </c>
      <c r="M79" t="s">
        <v>242</v>
      </c>
      <c r="N79" t="s">
        <v>148</v>
      </c>
      <c r="O79" t="s">
        <v>303</v>
      </c>
      <c r="P79">
        <v>70</v>
      </c>
      <c r="Q79">
        <v>1955</v>
      </c>
      <c r="R79">
        <v>1974</v>
      </c>
      <c r="S79">
        <v>69</v>
      </c>
      <c r="T79">
        <v>50</v>
      </c>
      <c r="U79">
        <v>1</v>
      </c>
      <c r="V79">
        <v>1771</v>
      </c>
      <c r="W79">
        <v>0</v>
      </c>
      <c r="X79">
        <v>0</v>
      </c>
      <c r="Y79">
        <v>905</v>
      </c>
      <c r="Z79">
        <v>0</v>
      </c>
      <c r="AA79">
        <v>905</v>
      </c>
      <c r="AB79">
        <v>2676</v>
      </c>
      <c r="AC79">
        <v>3000</v>
      </c>
      <c r="AD79">
        <v>2</v>
      </c>
      <c r="AF79" t="s">
        <v>383</v>
      </c>
      <c r="AG79" t="s">
        <v>148</v>
      </c>
      <c r="AH79" t="s">
        <v>450</v>
      </c>
      <c r="AI79">
        <v>0</v>
      </c>
      <c r="AJ79">
        <v>2</v>
      </c>
      <c r="AK79">
        <v>0</v>
      </c>
      <c r="AL79">
        <v>1</v>
      </c>
      <c r="AM79">
        <v>0</v>
      </c>
      <c r="AN79">
        <v>8</v>
      </c>
      <c r="AO79">
        <v>0</v>
      </c>
      <c r="AP79">
        <v>357</v>
      </c>
      <c r="AQ79">
        <v>0</v>
      </c>
      <c r="AR79">
        <v>80</v>
      </c>
      <c r="AS79">
        <v>711</v>
      </c>
      <c r="AT79">
        <v>0</v>
      </c>
      <c r="AU79">
        <v>100</v>
      </c>
      <c r="AV79">
        <v>100</v>
      </c>
      <c r="AW79">
        <v>481227</v>
      </c>
      <c r="AX79">
        <v>375357</v>
      </c>
      <c r="AY79">
        <v>875</v>
      </c>
      <c r="AZ79">
        <v>365</v>
      </c>
      <c r="BA79">
        <v>365</v>
      </c>
      <c r="BB79">
        <v>145</v>
      </c>
      <c r="BC79" s="3">
        <v>44417</v>
      </c>
      <c r="BD79" t="s">
        <v>118</v>
      </c>
      <c r="BE79">
        <v>420000</v>
      </c>
      <c r="BF79">
        <v>420000</v>
      </c>
      <c r="BG79" t="s">
        <v>294</v>
      </c>
      <c r="BH79">
        <v>30</v>
      </c>
      <c r="BI79" t="s">
        <v>65</v>
      </c>
      <c r="BJ79" t="s">
        <v>450</v>
      </c>
      <c r="BK79">
        <v>404300</v>
      </c>
      <c r="BL79">
        <v>54700</v>
      </c>
      <c r="BM79">
        <v>349600</v>
      </c>
      <c r="BN79">
        <v>0</v>
      </c>
      <c r="BO79">
        <v>0.9626190476190476</v>
      </c>
      <c r="BP79">
        <v>372160.10070571693</v>
      </c>
      <c r="BQ79">
        <v>413112.13316600386</v>
      </c>
      <c r="BR79" s="12">
        <f>(Sales[[#This Row],[DP1]]*Lookups!$B$59)+(Sales[[#This Row],[DP2]]*Lookups!$B$60)+(Sales[[#This Row],[DP3]]*Lookups!$B$61)</f>
        <v>-40952.032465570002</v>
      </c>
      <c r="BS79" s="12">
        <f>Lookups!$B$56*0</f>
        <v>0</v>
      </c>
      <c r="BT79" s="12">
        <f>Lookups!$B$56*1</f>
        <v>89850.625589999996</v>
      </c>
      <c r="BU79" s="12">
        <f>Lookups!$B$57*Sales[[#This Row],[LnAcres]]</f>
        <v>-54281.285314520763</v>
      </c>
      <c r="BV79" s="12">
        <f>VLOOKUP(Sales[[#This Row],[Qlty]],Lookups!$A$62:$E$75,2,FALSE)</f>
        <v>44121.038090000002</v>
      </c>
      <c r="BW79" s="12">
        <f>VLOOKUP(Sales[[#This Row],[Cnd]],Lookups!$A$76:$E$84,2,FALSE)</f>
        <v>197752.34721000001</v>
      </c>
      <c r="BX79" s="12">
        <f>Sales[[#This Row],[EffAge]]*Lookups!$B$85</f>
        <v>-11152.280025</v>
      </c>
      <c r="BY79" s="12">
        <f>Sales[[#This Row],[MainFn]]*Lookups!$B$86</f>
        <v>87502.754352167001</v>
      </c>
      <c r="BZ79" s="12">
        <f>Sales[[#This Row],[UpprFn]]*Lookups!$B$87</f>
        <v>0</v>
      </c>
      <c r="CA79" s="12">
        <f>Sales[[#This Row],[AddFn]]*Lookups!$B$88</f>
        <v>0</v>
      </c>
      <c r="CB79" s="12">
        <f>Sales[[#This Row],[Bsmt]]*Lookups!$B$89</f>
        <v>26319.115198534997</v>
      </c>
      <c r="CC79" s="12">
        <f>Sales[[#This Row],[Fixtures]]*Lookups!$B$90</f>
        <v>30336.176841600001</v>
      </c>
      <c r="CD79" s="12">
        <f>Sales[[#This Row],[WdDeck]]*Lookups!$B$91</f>
        <v>2663.6412220800003</v>
      </c>
      <c r="CE79" s="12">
        <f>SUM(Sales[[#This Row],[Days Prior Total]:[Mdl WdDeck]])</f>
        <v>372160.10069929122</v>
      </c>
      <c r="CF79" s="12">
        <f>ROUND(Sales[[#This Row],[25Det]],-2)</f>
        <v>0</v>
      </c>
      <c r="CG79" s="12">
        <f>ROUND(SUM(Sales[[#This Row],[Mdl Qlty]:[Mdl WdDeck]])+Sales[[#This Row],[Mdl Res Intercept]]+Sales[[#This Row],[Days Prior Total]],-2)</f>
        <v>336600</v>
      </c>
      <c r="CH79" s="12">
        <f>ROUND(Sales[[#This Row],[Mdl Land Intercept]]+Sales[[#This Row],[Mdl LnAcres]],-2)</f>
        <v>35600</v>
      </c>
      <c r="CI79" s="12">
        <f>Sales[[#This Row],[Unadj Res Value]]+Sales[[#This Row],[Unadj Det Value]]+Sales[[#This Row],[Unadj Land Value]]</f>
        <v>372200</v>
      </c>
      <c r="CJ79" s="13">
        <f>Sales[[#This Row],[Unadj Total Value]]/Sales[[#This Row],[Price]]</f>
        <v>0.8861904761904762</v>
      </c>
      <c r="CK79" s="13">
        <f>(Sales[[#This Row],[Unadj Total Value]]-Sales[[#This Row],[24Final]])/Sales[[#This Row],[24Final]]</f>
        <v>-7.9396487756616368E-2</v>
      </c>
      <c r="CL79">
        <f>VLOOKUP(Sales[[#This Row],[TNbhd]],Lookups!$Q$2:$T$4,4,FALSE)</f>
        <v>0.99970000000000003</v>
      </c>
      <c r="CM79">
        <f>VLOOKUP(Sales[[#This Row],[Qlty]],Lookups!$O$7:$R$21,4,FALSE)</f>
        <v>0.98050000000000004</v>
      </c>
      <c r="CN79">
        <f>VLOOKUP(Sales[[#This Row],[Cnd]],Lookups!$T$7:$W$16,4,FALSE)</f>
        <v>0.99650000000000005</v>
      </c>
      <c r="CO79">
        <f>VLOOKUP(Sales[[#This Row],[LivArea Range]],Lookups!$T$25:$W$37,4,FALSE)</f>
        <v>0.96179999999999999</v>
      </c>
      <c r="CP79">
        <f>VLOOKUP(Sales[[#This Row],[Decade]],Lookups!$O$25:$R$42,4,FALSE)</f>
        <v>1.0199</v>
      </c>
      <c r="CQ79">
        <f>Sales[[#This Row],[Nbhd Adj]]*0.95</f>
        <v>0.94971499999999998</v>
      </c>
      <c r="CR79">
        <f>Sales[[#This Row],[Nbhd Adj]]*Sales[[#This Row],[Quality Adj]]*Sales[[#This Row],[Condition Adj]]*Sales[[#This Row],[Living Area Adj]]*Sales[[#This Row],[Decade Adj]]*0.95</f>
        <v>0.91024973874989379</v>
      </c>
      <c r="CS79">
        <f>ROUND(SUM(Sales[[#This Row],[Mdl Qlty]:[Mdl WdDeck]])+Sales[[#This Row],[Mdl Res Intercept]]*Sales[[#This Row],[Res Adj ]],-2)</f>
        <v>377500</v>
      </c>
      <c r="CT79">
        <f>ROUND(Sales[[#This Row],[25Det]]*Sales[[#This Row],[Det/Nbhd Adj]],-2)</f>
        <v>0</v>
      </c>
      <c r="CU79">
        <f>Sales[[#This Row],[Adjusted Res]]+Sales[[#This Row],[Adj Det ]]</f>
        <v>377500</v>
      </c>
      <c r="CV79">
        <f>ROUND((Sales[[#This Row],[Mdl Land Intercept]]+Sales[[#This Row],[Mdl LnAcres]])*Sales[[#This Row],[Det/Nbhd Adj]],-2)</f>
        <v>33800</v>
      </c>
      <c r="CW79">
        <f>Sales[[#This Row],[Adjusted Impr Total]]+Sales[[#This Row],[Adjusted Land Total]]</f>
        <v>411300</v>
      </c>
      <c r="CX79" s="15">
        <f>IFERROR((Sales[[#This Row],[Adjusted Impr Total]]-Sales[[#This Row],[24Bldg]])/Sales[[#This Row],[24Bldg]],0)</f>
        <v>7.9805491990846689E-2</v>
      </c>
      <c r="CY79" s="15">
        <f>(Sales[[#This Row],[Adjusted Land Total]]-Sales[[#This Row],[24Lnd]])/Sales[[#This Row],[24Lnd]]</f>
        <v>-0.38208409506398539</v>
      </c>
      <c r="CZ79" s="15">
        <f>(Sales[[#This Row],[Adjusted Total]]-Sales[[#This Row],[24Final]])/Sales[[#This Row],[24Final]]</f>
        <v>1.7313875834776157E-2</v>
      </c>
      <c r="DA79" s="15">
        <f>(Sales[[#This Row],[Adjusted Total]]+Sales[[#This Row],[Days Prior Total]])/Sales[[#This Row],[Price]]</f>
        <v>0.88178087508197611</v>
      </c>
    </row>
    <row r="80" spans="1:105" x14ac:dyDescent="0.3">
      <c r="A80">
        <v>2025</v>
      </c>
      <c r="B80">
        <v>18132244456</v>
      </c>
      <c r="C80">
        <v>-1.8325814637483102</v>
      </c>
      <c r="D80">
        <v>0.16</v>
      </c>
      <c r="E80">
        <v>7000</v>
      </c>
      <c r="F80">
        <v>6</v>
      </c>
      <c r="G80" t="s">
        <v>126</v>
      </c>
      <c r="H80">
        <v>3092</v>
      </c>
      <c r="I80" t="s">
        <v>349</v>
      </c>
      <c r="J80" t="s">
        <v>30</v>
      </c>
      <c r="K80">
        <v>11</v>
      </c>
      <c r="L80">
        <v>259</v>
      </c>
      <c r="M80" t="s">
        <v>241</v>
      </c>
      <c r="N80" t="s">
        <v>302</v>
      </c>
      <c r="O80" t="s">
        <v>323</v>
      </c>
      <c r="P80">
        <v>70</v>
      </c>
      <c r="Q80">
        <v>1955</v>
      </c>
      <c r="R80">
        <v>1974</v>
      </c>
      <c r="S80">
        <v>69</v>
      </c>
      <c r="T80">
        <v>50</v>
      </c>
      <c r="U80">
        <v>1</v>
      </c>
      <c r="V80">
        <v>950</v>
      </c>
      <c r="W80">
        <v>0</v>
      </c>
      <c r="X80">
        <v>0</v>
      </c>
      <c r="Y80">
        <v>956</v>
      </c>
      <c r="Z80">
        <v>0</v>
      </c>
      <c r="AA80">
        <v>956</v>
      </c>
      <c r="AB80">
        <v>1906</v>
      </c>
      <c r="AC80">
        <v>2000</v>
      </c>
      <c r="AD80">
        <v>1</v>
      </c>
      <c r="AF80" t="s">
        <v>384</v>
      </c>
      <c r="AG80" t="s">
        <v>382</v>
      </c>
      <c r="AH80" t="s">
        <v>65</v>
      </c>
      <c r="AI80">
        <v>0</v>
      </c>
      <c r="AJ80">
        <v>0</v>
      </c>
      <c r="AK80">
        <v>0</v>
      </c>
      <c r="AL80">
        <v>3</v>
      </c>
      <c r="AM80">
        <v>1</v>
      </c>
      <c r="AN80">
        <v>14</v>
      </c>
      <c r="AO80">
        <v>276</v>
      </c>
      <c r="AP80">
        <v>0</v>
      </c>
      <c r="AQ80">
        <v>204</v>
      </c>
      <c r="AR80">
        <v>216</v>
      </c>
      <c r="AS80">
        <v>100</v>
      </c>
      <c r="AT80">
        <v>316</v>
      </c>
      <c r="AU80">
        <v>100</v>
      </c>
      <c r="AV80">
        <v>100</v>
      </c>
      <c r="AW80">
        <v>313823</v>
      </c>
      <c r="AX80">
        <v>222814</v>
      </c>
      <c r="AY80">
        <v>950</v>
      </c>
      <c r="AZ80">
        <v>365</v>
      </c>
      <c r="BA80">
        <v>365</v>
      </c>
      <c r="BB80">
        <v>220</v>
      </c>
      <c r="BC80" s="3">
        <v>44342</v>
      </c>
      <c r="BD80" t="s">
        <v>83</v>
      </c>
      <c r="BE80">
        <v>329000</v>
      </c>
      <c r="BF80">
        <v>329000</v>
      </c>
      <c r="BG80" t="s">
        <v>294</v>
      </c>
      <c r="BH80">
        <v>30</v>
      </c>
      <c r="BI80" t="s">
        <v>65</v>
      </c>
      <c r="BJ80" t="s">
        <v>450</v>
      </c>
      <c r="BK80">
        <v>337300</v>
      </c>
      <c r="BL80">
        <v>50600</v>
      </c>
      <c r="BM80">
        <v>286700</v>
      </c>
      <c r="BN80">
        <v>0</v>
      </c>
      <c r="BO80">
        <v>1.0252279635258359</v>
      </c>
      <c r="BP80">
        <v>295014.4879517089</v>
      </c>
      <c r="BQ80">
        <v>345995.64887760888</v>
      </c>
      <c r="BR80" s="12">
        <f>(Sales[[#This Row],[DP1]]*Lookups!$B$59)+(Sales[[#This Row],[DP2]]*Lookups!$B$60)+(Sales[[#This Row],[DP3]]*Lookups!$B$61)</f>
        <v>-50981.160933070001</v>
      </c>
      <c r="BS80" s="12">
        <f>Lookups!$B$56*0</f>
        <v>0</v>
      </c>
      <c r="BT80" s="12">
        <f>Lookups!$B$56*1</f>
        <v>89850.625589999996</v>
      </c>
      <c r="BU80" s="12">
        <f>Lookups!$B$57*Sales[[#This Row],[LnAcres]]</f>
        <v>-58009.662049032086</v>
      </c>
      <c r="BV80" s="12">
        <f>VLOOKUP(Sales[[#This Row],[Qlty]],Lookups!$A$62:$E$75,2,FALSE)</f>
        <v>29814.093161000001</v>
      </c>
      <c r="BW80" s="12">
        <f>VLOOKUP(Sales[[#This Row],[Cnd]],Lookups!$A$76:$E$84,2,FALSE)</f>
        <v>160472.20319</v>
      </c>
      <c r="BX80" s="12">
        <f>Sales[[#This Row],[EffAge]]*Lookups!$B$85</f>
        <v>-11152.280025</v>
      </c>
      <c r="BY80" s="12">
        <f>Sales[[#This Row],[MainFn]]*Lookups!$B$86</f>
        <v>46938.236383150004</v>
      </c>
      <c r="BZ80" s="12">
        <f>Sales[[#This Row],[UpprFn]]*Lookups!$B$87</f>
        <v>0</v>
      </c>
      <c r="CA80" s="12">
        <f>Sales[[#This Row],[AddFn]]*Lookups!$B$88</f>
        <v>0</v>
      </c>
      <c r="CB80" s="12">
        <f>Sales[[#This Row],[Bsmt]]*Lookups!$B$89</f>
        <v>27802.291856132</v>
      </c>
      <c r="CC80" s="12">
        <f>Sales[[#This Row],[Fixtures]]*Lookups!$B$90</f>
        <v>53088.3094728</v>
      </c>
      <c r="CD80" s="12">
        <f>Sales[[#This Row],[WdDeck]]*Lookups!$B$91</f>
        <v>7191.8312996160003</v>
      </c>
      <c r="CE80" s="12">
        <f>SUM(Sales[[#This Row],[Days Prior Total]:[Mdl WdDeck]])</f>
        <v>295014.48794559593</v>
      </c>
      <c r="CF80" s="12">
        <f>ROUND(Sales[[#This Row],[25Det]],-2)</f>
        <v>0</v>
      </c>
      <c r="CG80" s="12">
        <f>ROUND(SUM(Sales[[#This Row],[Mdl Qlty]:[Mdl WdDeck]])+Sales[[#This Row],[Mdl Res Intercept]]+Sales[[#This Row],[Days Prior Total]],-2)</f>
        <v>263200</v>
      </c>
      <c r="CH80" s="12">
        <f>ROUND(Sales[[#This Row],[Mdl Land Intercept]]+Sales[[#This Row],[Mdl LnAcres]],-2)</f>
        <v>31800</v>
      </c>
      <c r="CI80" s="12">
        <f>Sales[[#This Row],[Unadj Res Value]]+Sales[[#This Row],[Unadj Det Value]]+Sales[[#This Row],[Unadj Land Value]]</f>
        <v>295000</v>
      </c>
      <c r="CJ80" s="13">
        <f>Sales[[#This Row],[Unadj Total Value]]/Sales[[#This Row],[Price]]</f>
        <v>0.89665653495440734</v>
      </c>
      <c r="CK80" s="13">
        <f>(Sales[[#This Row],[Unadj Total Value]]-Sales[[#This Row],[24Final]])/Sales[[#This Row],[24Final]]</f>
        <v>-0.12540764897717166</v>
      </c>
      <c r="CL80">
        <f>VLOOKUP(Sales[[#This Row],[TNbhd]],Lookups!$Q$2:$T$4,4,FALSE)</f>
        <v>0.99970000000000003</v>
      </c>
      <c r="CM80">
        <f>VLOOKUP(Sales[[#This Row],[Qlty]],Lookups!$O$7:$R$21,4,FALSE)</f>
        <v>1.0088999999999999</v>
      </c>
      <c r="CN80">
        <f>VLOOKUP(Sales[[#This Row],[Cnd]],Lookups!$T$7:$W$16,4,FALSE)</f>
        <v>0.99729999999999996</v>
      </c>
      <c r="CO80">
        <f>VLOOKUP(Sales[[#This Row],[LivArea Range]],Lookups!$T$25:$W$37,4,FALSE)</f>
        <v>1.0093000000000001</v>
      </c>
      <c r="CP80">
        <f>VLOOKUP(Sales[[#This Row],[Decade]],Lookups!$O$25:$R$42,4,FALSE)</f>
        <v>1.0199</v>
      </c>
      <c r="CQ80">
        <f>Sales[[#This Row],[Nbhd Adj]]*0.95</f>
        <v>0.94971499999999998</v>
      </c>
      <c r="CR80">
        <f>Sales[[#This Row],[Nbhd Adj]]*Sales[[#This Row],[Quality Adj]]*Sales[[#This Row],[Condition Adj]]*Sales[[#This Row],[Living Area Adj]]*Sales[[#This Row],[Decade Adj]]*0.95</f>
        <v>0.98366020862665582</v>
      </c>
      <c r="CS80">
        <f>ROUND(SUM(Sales[[#This Row],[Mdl Qlty]:[Mdl WdDeck]])+Sales[[#This Row],[Mdl Res Intercept]]*Sales[[#This Row],[Res Adj ]],-2)</f>
        <v>314200</v>
      </c>
      <c r="CT80">
        <f>ROUND(Sales[[#This Row],[25Det]]*Sales[[#This Row],[Det/Nbhd Adj]],-2)</f>
        <v>0</v>
      </c>
      <c r="CU80">
        <f>Sales[[#This Row],[Adjusted Res]]+Sales[[#This Row],[Adj Det ]]</f>
        <v>314200</v>
      </c>
      <c r="CV80">
        <f>ROUND((Sales[[#This Row],[Mdl Land Intercept]]+Sales[[#This Row],[Mdl LnAcres]])*Sales[[#This Row],[Det/Nbhd Adj]],-2)</f>
        <v>30200</v>
      </c>
      <c r="CW80">
        <f>Sales[[#This Row],[Adjusted Impr Total]]+Sales[[#This Row],[Adjusted Land Total]]</f>
        <v>344400</v>
      </c>
      <c r="CX80" s="15">
        <f>IFERROR((Sales[[#This Row],[Adjusted Impr Total]]-Sales[[#This Row],[24Bldg]])/Sales[[#This Row],[24Bldg]],0)</f>
        <v>9.5919079176839908E-2</v>
      </c>
      <c r="CY80" s="15">
        <f>(Sales[[#This Row],[Adjusted Land Total]]-Sales[[#This Row],[24Lnd]])/Sales[[#This Row],[24Lnd]]</f>
        <v>-0.40316205533596838</v>
      </c>
      <c r="CZ80" s="15">
        <f>(Sales[[#This Row],[Adjusted Total]]-Sales[[#This Row],[24Final]])/Sales[[#This Row],[24Final]]</f>
        <v>2.1049510821227396E-2</v>
      </c>
      <c r="DA80" s="15">
        <f>(Sales[[#This Row],[Adjusted Total]]+Sales[[#This Row],[Days Prior Total]])/Sales[[#This Row],[Price]]</f>
        <v>0.89185057467151974</v>
      </c>
    </row>
    <row r="81" spans="1:105" x14ac:dyDescent="0.3">
      <c r="A81">
        <v>2025</v>
      </c>
      <c r="B81">
        <v>18132323525</v>
      </c>
      <c r="C81">
        <v>-1.6607312068216509</v>
      </c>
      <c r="D81">
        <v>0.19</v>
      </c>
      <c r="E81">
        <v>8400</v>
      </c>
      <c r="F81">
        <v>6</v>
      </c>
      <c r="G81" t="s">
        <v>126</v>
      </c>
      <c r="H81" t="s">
        <v>349</v>
      </c>
      <c r="I81" t="s">
        <v>349</v>
      </c>
      <c r="J81" t="s">
        <v>30</v>
      </c>
      <c r="K81">
        <v>11</v>
      </c>
      <c r="L81">
        <v>259</v>
      </c>
      <c r="M81" t="s">
        <v>242</v>
      </c>
      <c r="N81" t="s">
        <v>205</v>
      </c>
      <c r="O81" t="s">
        <v>303</v>
      </c>
      <c r="P81">
        <v>70</v>
      </c>
      <c r="Q81">
        <v>1955</v>
      </c>
      <c r="R81">
        <v>1974</v>
      </c>
      <c r="S81">
        <v>69</v>
      </c>
      <c r="T81">
        <v>50</v>
      </c>
      <c r="U81">
        <v>1</v>
      </c>
      <c r="V81">
        <v>1305</v>
      </c>
      <c r="W81">
        <v>0</v>
      </c>
      <c r="X81">
        <v>0</v>
      </c>
      <c r="Y81">
        <v>0</v>
      </c>
      <c r="Z81">
        <v>0</v>
      </c>
      <c r="AA81">
        <v>0</v>
      </c>
      <c r="AB81">
        <v>1305</v>
      </c>
      <c r="AC81">
        <v>1500</v>
      </c>
      <c r="AD81">
        <v>0</v>
      </c>
      <c r="AF81" t="s">
        <v>208</v>
      </c>
      <c r="AG81" t="s">
        <v>382</v>
      </c>
      <c r="AI81">
        <v>1</v>
      </c>
      <c r="AJ81">
        <v>0</v>
      </c>
      <c r="AK81">
        <v>0</v>
      </c>
      <c r="AL81">
        <v>0</v>
      </c>
      <c r="AM81">
        <v>0</v>
      </c>
      <c r="AN81">
        <v>5</v>
      </c>
      <c r="AO81">
        <v>0</v>
      </c>
      <c r="AP81">
        <v>0</v>
      </c>
      <c r="AQ81">
        <v>432</v>
      </c>
      <c r="AR81">
        <v>0</v>
      </c>
      <c r="AS81">
        <v>0</v>
      </c>
      <c r="AT81">
        <v>0</v>
      </c>
      <c r="AU81">
        <v>100</v>
      </c>
      <c r="AV81">
        <v>100</v>
      </c>
      <c r="AW81">
        <v>200428</v>
      </c>
      <c r="AX81">
        <v>156334</v>
      </c>
      <c r="AY81">
        <v>129</v>
      </c>
      <c r="AZ81">
        <v>129</v>
      </c>
      <c r="BA81">
        <v>0</v>
      </c>
      <c r="BB81">
        <v>0</v>
      </c>
      <c r="BC81" s="3">
        <v>45163</v>
      </c>
      <c r="BD81" t="s">
        <v>213</v>
      </c>
      <c r="BE81">
        <v>325000</v>
      </c>
      <c r="BF81">
        <v>325000</v>
      </c>
      <c r="BG81" t="s">
        <v>294</v>
      </c>
      <c r="BH81">
        <v>30</v>
      </c>
      <c r="BI81" t="s">
        <v>65</v>
      </c>
      <c r="BJ81" t="s">
        <v>450</v>
      </c>
      <c r="BK81">
        <v>308100</v>
      </c>
      <c r="BL81">
        <v>56600</v>
      </c>
      <c r="BM81">
        <v>251500</v>
      </c>
      <c r="BN81">
        <v>0</v>
      </c>
      <c r="BO81">
        <v>0.94799999999999995</v>
      </c>
      <c r="BP81">
        <v>298217.30193297268</v>
      </c>
      <c r="BQ81">
        <v>307319.30928995786</v>
      </c>
      <c r="BR81" s="12">
        <f>(Sales[[#This Row],[DP1]]*Lookups!$B$59)+(Sales[[#This Row],[DP2]]*Lookups!$B$60)+(Sales[[#This Row],[DP3]]*Lookups!$B$61)</f>
        <v>-9102.0073575300012</v>
      </c>
      <c r="BS81" s="12">
        <f>Lookups!$B$56*0</f>
        <v>0</v>
      </c>
      <c r="BT81" s="12">
        <f>Lookups!$B$56*1</f>
        <v>89850.625589999996</v>
      </c>
      <c r="BU81" s="12">
        <f>Lookups!$B$57*Sales[[#This Row],[LnAcres]]</f>
        <v>-52569.808201026557</v>
      </c>
      <c r="BV81" s="12">
        <f>VLOOKUP(Sales[[#This Row],[Qlty]],Lookups!$A$62:$E$75,2,FALSE)</f>
        <v>0</v>
      </c>
      <c r="BW81" s="12">
        <f>VLOOKUP(Sales[[#This Row],[Cnd]],Lookups!$A$76:$E$84,2,FALSE)</f>
        <v>197752.34721000001</v>
      </c>
      <c r="BX81" s="12">
        <f>Sales[[#This Row],[EffAge]]*Lookups!$B$85</f>
        <v>-11152.280025</v>
      </c>
      <c r="BY81" s="12">
        <f>Sales[[#This Row],[MainFn]]*Lookups!$B$86</f>
        <v>64478.314189485005</v>
      </c>
      <c r="BZ81" s="12">
        <f>Sales[[#This Row],[UpprFn]]*Lookups!$B$87</f>
        <v>0</v>
      </c>
      <c r="CA81" s="12">
        <f>Sales[[#This Row],[AddFn]]*Lookups!$B$88</f>
        <v>0</v>
      </c>
      <c r="CB81" s="12">
        <f>Sales[[#This Row],[Bsmt]]*Lookups!$B$89</f>
        <v>0</v>
      </c>
      <c r="CC81" s="12">
        <f>Sales[[#This Row],[Fixtures]]*Lookups!$B$90</f>
        <v>18960.110526</v>
      </c>
      <c r="CD81" s="12">
        <f>Sales[[#This Row],[WdDeck]]*Lookups!$B$91</f>
        <v>0</v>
      </c>
      <c r="CE81" s="12">
        <f>SUM(Sales[[#This Row],[Days Prior Total]:[Mdl WdDeck]])</f>
        <v>298217.30193192838</v>
      </c>
      <c r="CF81" s="12">
        <f>ROUND(Sales[[#This Row],[25Det]],-2)</f>
        <v>0</v>
      </c>
      <c r="CG81" s="12">
        <f>ROUND(SUM(Sales[[#This Row],[Mdl Qlty]:[Mdl WdDeck]])+Sales[[#This Row],[Mdl Res Intercept]]+Sales[[#This Row],[Days Prior Total]],-2)</f>
        <v>260900</v>
      </c>
      <c r="CH81" s="12">
        <f>ROUND(Sales[[#This Row],[Mdl Land Intercept]]+Sales[[#This Row],[Mdl LnAcres]],-2)</f>
        <v>37300</v>
      </c>
      <c r="CI81" s="12">
        <f>Sales[[#This Row],[Unadj Res Value]]+Sales[[#This Row],[Unadj Det Value]]+Sales[[#This Row],[Unadj Land Value]]</f>
        <v>298200</v>
      </c>
      <c r="CJ81" s="13">
        <f>Sales[[#This Row],[Unadj Total Value]]/Sales[[#This Row],[Price]]</f>
        <v>0.91753846153846153</v>
      </c>
      <c r="CK81" s="13">
        <f>(Sales[[#This Row],[Unadj Total Value]]-Sales[[#This Row],[24Final]])/Sales[[#This Row],[24Final]]</f>
        <v>-3.2132424537487832E-2</v>
      </c>
      <c r="CL81">
        <f>VLOOKUP(Sales[[#This Row],[TNbhd]],Lookups!$Q$2:$T$4,4,FALSE)</f>
        <v>0.99970000000000003</v>
      </c>
      <c r="CM81">
        <f>VLOOKUP(Sales[[#This Row],[Qlty]],Lookups!$O$7:$R$21,4,FALSE)</f>
        <v>0.99180000000000001</v>
      </c>
      <c r="CN81">
        <f>VLOOKUP(Sales[[#This Row],[Cnd]],Lookups!$T$7:$W$16,4,FALSE)</f>
        <v>0.99650000000000005</v>
      </c>
      <c r="CO81">
        <f>VLOOKUP(Sales[[#This Row],[LivArea Range]],Lookups!$T$25:$W$37,4,FALSE)</f>
        <v>1.0157</v>
      </c>
      <c r="CP81">
        <f>VLOOKUP(Sales[[#This Row],[Decade]],Lookups!$O$25:$R$42,4,FALSE)</f>
        <v>1.0199</v>
      </c>
      <c r="CQ81">
        <f>Sales[[#This Row],[Nbhd Adj]]*0.95</f>
        <v>0.94971499999999998</v>
      </c>
      <c r="CR81">
        <f>Sales[[#This Row],[Nbhd Adj]]*Sales[[#This Row],[Quality Adj]]*Sales[[#This Row],[Condition Adj]]*Sales[[#This Row],[Living Area Adj]]*Sales[[#This Row],[Decade Adj]]*0.95</f>
        <v>0.97233909672715635</v>
      </c>
      <c r="CS81">
        <f>ROUND(SUM(Sales[[#This Row],[Mdl Qlty]:[Mdl WdDeck]])+Sales[[#This Row],[Mdl Res Intercept]]*Sales[[#This Row],[Res Adj ]],-2)</f>
        <v>270000</v>
      </c>
      <c r="CT81">
        <f>ROUND(Sales[[#This Row],[25Det]]*Sales[[#This Row],[Det/Nbhd Adj]],-2)</f>
        <v>0</v>
      </c>
      <c r="CU81">
        <f>Sales[[#This Row],[Adjusted Res]]+Sales[[#This Row],[Adj Det ]]</f>
        <v>270000</v>
      </c>
      <c r="CV81">
        <f>ROUND((Sales[[#This Row],[Mdl Land Intercept]]+Sales[[#This Row],[Mdl LnAcres]])*Sales[[#This Row],[Det/Nbhd Adj]],-2)</f>
        <v>35400</v>
      </c>
      <c r="CW81">
        <f>Sales[[#This Row],[Adjusted Impr Total]]+Sales[[#This Row],[Adjusted Land Total]]</f>
        <v>305400</v>
      </c>
      <c r="CX81" s="15">
        <f>IFERROR((Sales[[#This Row],[Adjusted Impr Total]]-Sales[[#This Row],[24Bldg]])/Sales[[#This Row],[24Bldg]],0)</f>
        <v>7.3558648111332003E-2</v>
      </c>
      <c r="CY81" s="15">
        <f>(Sales[[#This Row],[Adjusted Land Total]]-Sales[[#This Row],[24Lnd]])/Sales[[#This Row],[24Lnd]]</f>
        <v>-0.37455830388692579</v>
      </c>
      <c r="CZ81" s="15">
        <f>(Sales[[#This Row],[Adjusted Total]]-Sales[[#This Row],[24Final]])/Sales[[#This Row],[24Final]]</f>
        <v>-8.7633885102239538E-3</v>
      </c>
      <c r="DA81" s="15">
        <f>(Sales[[#This Row],[Adjusted Total]]+Sales[[#This Row],[Days Prior Total]])/Sales[[#This Row],[Price]]</f>
        <v>0.9116861312076</v>
      </c>
    </row>
    <row r="82" spans="1:105" x14ac:dyDescent="0.3">
      <c r="A82">
        <v>2025</v>
      </c>
      <c r="B82">
        <v>18132213452</v>
      </c>
      <c r="C82">
        <v>-1.8971199848858813</v>
      </c>
      <c r="D82">
        <v>0.15</v>
      </c>
      <c r="E82">
        <v>6682</v>
      </c>
      <c r="F82">
        <v>6</v>
      </c>
      <c r="G82" t="s">
        <v>126</v>
      </c>
      <c r="H82" t="s">
        <v>349</v>
      </c>
      <c r="I82" t="s">
        <v>349</v>
      </c>
      <c r="J82" t="s">
        <v>30</v>
      </c>
      <c r="K82">
        <v>11</v>
      </c>
      <c r="L82">
        <v>259</v>
      </c>
      <c r="M82" t="s">
        <v>241</v>
      </c>
      <c r="N82" t="s">
        <v>148</v>
      </c>
      <c r="O82" t="s">
        <v>303</v>
      </c>
      <c r="P82">
        <v>70</v>
      </c>
      <c r="Q82">
        <v>1955</v>
      </c>
      <c r="R82">
        <v>1974</v>
      </c>
      <c r="S82">
        <v>69</v>
      </c>
      <c r="T82">
        <v>50</v>
      </c>
      <c r="U82">
        <v>1</v>
      </c>
      <c r="V82">
        <v>1336</v>
      </c>
      <c r="W82">
        <v>0</v>
      </c>
      <c r="X82">
        <v>0</v>
      </c>
      <c r="Y82">
        <v>0</v>
      </c>
      <c r="Z82">
        <v>0</v>
      </c>
      <c r="AA82">
        <v>0</v>
      </c>
      <c r="AB82">
        <v>1336</v>
      </c>
      <c r="AC82">
        <v>1500</v>
      </c>
      <c r="AD82">
        <v>0</v>
      </c>
      <c r="AF82" t="s">
        <v>383</v>
      </c>
      <c r="AG82" t="s">
        <v>382</v>
      </c>
      <c r="AH82" t="s">
        <v>450</v>
      </c>
      <c r="AI82">
        <v>0</v>
      </c>
      <c r="AJ82">
        <v>1</v>
      </c>
      <c r="AK82">
        <v>0</v>
      </c>
      <c r="AL82">
        <v>1</v>
      </c>
      <c r="AM82">
        <v>0</v>
      </c>
      <c r="AN82">
        <v>8</v>
      </c>
      <c r="AO82">
        <v>0</v>
      </c>
      <c r="AP82">
        <v>0</v>
      </c>
      <c r="AQ82">
        <v>572</v>
      </c>
      <c r="AR82">
        <v>0</v>
      </c>
      <c r="AS82">
        <v>192</v>
      </c>
      <c r="AT82">
        <v>0</v>
      </c>
      <c r="AU82">
        <v>100</v>
      </c>
      <c r="AV82">
        <v>100</v>
      </c>
      <c r="AW82">
        <v>297650</v>
      </c>
      <c r="AX82">
        <v>232167</v>
      </c>
      <c r="AY82">
        <v>89</v>
      </c>
      <c r="AZ82">
        <v>89</v>
      </c>
      <c r="BA82">
        <v>0</v>
      </c>
      <c r="BB82">
        <v>0</v>
      </c>
      <c r="BC82" s="3">
        <v>45203</v>
      </c>
      <c r="BD82" t="s">
        <v>291</v>
      </c>
      <c r="BE82">
        <v>380000</v>
      </c>
      <c r="BF82">
        <v>380000</v>
      </c>
      <c r="BG82" t="s">
        <v>294</v>
      </c>
      <c r="BH82">
        <v>30</v>
      </c>
      <c r="BI82" t="s">
        <v>65</v>
      </c>
      <c r="BJ82" t="s">
        <v>450</v>
      </c>
      <c r="BK82">
        <v>330200</v>
      </c>
      <c r="BL82">
        <v>48400</v>
      </c>
      <c r="BM82">
        <v>281800</v>
      </c>
      <c r="BN82">
        <v>0</v>
      </c>
      <c r="BO82">
        <v>0.86894736842105258</v>
      </c>
      <c r="BP82">
        <v>350585.60703264415</v>
      </c>
      <c r="BQ82">
        <v>356865.28652699827</v>
      </c>
      <c r="BR82" s="12">
        <f>(Sales[[#This Row],[DP1]]*Lookups!$B$59)+(Sales[[#This Row],[DP2]]*Lookups!$B$60)+(Sales[[#This Row],[DP3]]*Lookups!$B$61)</f>
        <v>-6279.6794947300004</v>
      </c>
      <c r="BS82" s="12">
        <f>Lookups!$B$56*0</f>
        <v>0</v>
      </c>
      <c r="BT82" s="12">
        <f>Lookups!$B$56*1</f>
        <v>89850.625589999996</v>
      </c>
      <c r="BU82" s="12">
        <f>Lookups!$B$57*Sales[[#This Row],[LnAcres]]</f>
        <v>-60052.604136134301</v>
      </c>
      <c r="BV82" s="12">
        <f>VLOOKUP(Sales[[#This Row],[Qlty]],Lookups!$A$62:$E$75,2,FALSE)</f>
        <v>44121.038090000002</v>
      </c>
      <c r="BW82" s="12">
        <f>VLOOKUP(Sales[[#This Row],[Cnd]],Lookups!$A$76:$E$84,2,FALSE)</f>
        <v>197752.34721000001</v>
      </c>
      <c r="BX82" s="12">
        <f>Sales[[#This Row],[EffAge]]*Lookups!$B$85</f>
        <v>-11152.280025</v>
      </c>
      <c r="BY82" s="12">
        <f>Sales[[#This Row],[MainFn]]*Lookups!$B$86</f>
        <v>66009.982955672007</v>
      </c>
      <c r="BZ82" s="12">
        <f>Sales[[#This Row],[UpprFn]]*Lookups!$B$87</f>
        <v>0</v>
      </c>
      <c r="CA82" s="12">
        <f>Sales[[#This Row],[AddFn]]*Lookups!$B$88</f>
        <v>0</v>
      </c>
      <c r="CB82" s="12">
        <f>Sales[[#This Row],[Bsmt]]*Lookups!$B$89</f>
        <v>0</v>
      </c>
      <c r="CC82" s="12">
        <f>Sales[[#This Row],[Fixtures]]*Lookups!$B$90</f>
        <v>30336.176841600001</v>
      </c>
      <c r="CD82" s="12">
        <f>Sales[[#This Row],[WdDeck]]*Lookups!$B$91</f>
        <v>0</v>
      </c>
      <c r="CE82" s="12">
        <f>SUM(Sales[[#This Row],[Days Prior Total]:[Mdl WdDeck]])</f>
        <v>350585.60703140771</v>
      </c>
      <c r="CF82" s="12">
        <f>ROUND(Sales[[#This Row],[25Det]],-2)</f>
        <v>0</v>
      </c>
      <c r="CG82" s="12">
        <f>ROUND(SUM(Sales[[#This Row],[Mdl Qlty]:[Mdl WdDeck]])+Sales[[#This Row],[Mdl Res Intercept]]+Sales[[#This Row],[Days Prior Total]],-2)</f>
        <v>320800</v>
      </c>
      <c r="CH82" s="12">
        <f>ROUND(Sales[[#This Row],[Mdl Land Intercept]]+Sales[[#This Row],[Mdl LnAcres]],-2)</f>
        <v>29800</v>
      </c>
      <c r="CI82" s="12">
        <f>Sales[[#This Row],[Unadj Res Value]]+Sales[[#This Row],[Unadj Det Value]]+Sales[[#This Row],[Unadj Land Value]]</f>
        <v>350600</v>
      </c>
      <c r="CJ82" s="13">
        <f>Sales[[#This Row],[Unadj Total Value]]/Sales[[#This Row],[Price]]</f>
        <v>0.92263157894736847</v>
      </c>
      <c r="CK82" s="13">
        <f>(Sales[[#This Row],[Unadj Total Value]]-Sales[[#This Row],[24Final]])/Sales[[#This Row],[24Final]]</f>
        <v>6.1780738946093275E-2</v>
      </c>
      <c r="CL82">
        <f>VLOOKUP(Sales[[#This Row],[TNbhd]],Lookups!$Q$2:$T$4,4,FALSE)</f>
        <v>0.99970000000000003</v>
      </c>
      <c r="CM82">
        <f>VLOOKUP(Sales[[#This Row],[Qlty]],Lookups!$O$7:$R$21,4,FALSE)</f>
        <v>0.98050000000000004</v>
      </c>
      <c r="CN82">
        <f>VLOOKUP(Sales[[#This Row],[Cnd]],Lookups!$T$7:$W$16,4,FALSE)</f>
        <v>0.99650000000000005</v>
      </c>
      <c r="CO82">
        <f>VLOOKUP(Sales[[#This Row],[LivArea Range]],Lookups!$T$25:$W$37,4,FALSE)</f>
        <v>1.0157</v>
      </c>
      <c r="CP82">
        <f>VLOOKUP(Sales[[#This Row],[Decade]],Lookups!$O$25:$R$42,4,FALSE)</f>
        <v>1.0199</v>
      </c>
      <c r="CQ82">
        <f>Sales[[#This Row],[Nbhd Adj]]*0.95</f>
        <v>0.94971499999999998</v>
      </c>
      <c r="CR82">
        <f>Sales[[#This Row],[Nbhd Adj]]*Sales[[#This Row],[Quality Adj]]*Sales[[#This Row],[Condition Adj]]*Sales[[#This Row],[Living Area Adj]]*Sales[[#This Row],[Decade Adj]]*0.95</f>
        <v>0.96126082309031724</v>
      </c>
      <c r="CS82">
        <f>ROUND(SUM(Sales[[#This Row],[Mdl Qlty]:[Mdl WdDeck]])+Sales[[#This Row],[Mdl Res Intercept]]*Sales[[#This Row],[Res Adj ]],-2)</f>
        <v>327100</v>
      </c>
      <c r="CT82">
        <f>ROUND(Sales[[#This Row],[25Det]]*Sales[[#This Row],[Det/Nbhd Adj]],-2)</f>
        <v>0</v>
      </c>
      <c r="CU82">
        <f>Sales[[#This Row],[Adjusted Res]]+Sales[[#This Row],[Adj Det ]]</f>
        <v>327100</v>
      </c>
      <c r="CV82">
        <f>ROUND((Sales[[#This Row],[Mdl Land Intercept]]+Sales[[#This Row],[Mdl LnAcres]])*Sales[[#This Row],[Det/Nbhd Adj]],-2)</f>
        <v>28300</v>
      </c>
      <c r="CW82">
        <f>Sales[[#This Row],[Adjusted Impr Total]]+Sales[[#This Row],[Adjusted Land Total]]</f>
        <v>355400</v>
      </c>
      <c r="CX82" s="15">
        <f>IFERROR((Sales[[#This Row],[Adjusted Impr Total]]-Sales[[#This Row],[24Bldg]])/Sales[[#This Row],[24Bldg]],0)</f>
        <v>0.16075230660042583</v>
      </c>
      <c r="CY82" s="15">
        <f>(Sales[[#This Row],[Adjusted Land Total]]-Sales[[#This Row],[24Lnd]])/Sales[[#This Row],[24Lnd]]</f>
        <v>-0.41528925619834711</v>
      </c>
      <c r="CZ82" s="15">
        <f>(Sales[[#This Row],[Adjusted Total]]-Sales[[#This Row],[24Final]])/Sales[[#This Row],[24Final]]</f>
        <v>7.6317383403997574E-2</v>
      </c>
      <c r="DA82" s="15">
        <f>(Sales[[#This Row],[Adjusted Total]]+Sales[[#This Row],[Days Prior Total]])/Sales[[#This Row],[Price]]</f>
        <v>0.9187376855401842</v>
      </c>
    </row>
    <row r="83" spans="1:105" x14ac:dyDescent="0.3">
      <c r="A83">
        <v>2025</v>
      </c>
      <c r="B83">
        <v>18132324495</v>
      </c>
      <c r="C83">
        <v>-1.6094379124341003</v>
      </c>
      <c r="D83">
        <v>0.2</v>
      </c>
      <c r="E83">
        <v>0</v>
      </c>
      <c r="F83">
        <v>6</v>
      </c>
      <c r="G83" t="s">
        <v>126</v>
      </c>
      <c r="H83">
        <v>3033</v>
      </c>
      <c r="I83" t="s">
        <v>349</v>
      </c>
      <c r="J83" t="s">
        <v>30</v>
      </c>
      <c r="K83">
        <v>11</v>
      </c>
      <c r="L83">
        <v>259</v>
      </c>
      <c r="M83" t="s">
        <v>241</v>
      </c>
      <c r="N83" t="s">
        <v>302</v>
      </c>
      <c r="O83" t="s">
        <v>303</v>
      </c>
      <c r="P83">
        <v>70</v>
      </c>
      <c r="Q83">
        <v>1955</v>
      </c>
      <c r="R83">
        <v>1974</v>
      </c>
      <c r="S83">
        <v>69</v>
      </c>
      <c r="T83">
        <v>50</v>
      </c>
      <c r="U83">
        <v>1</v>
      </c>
      <c r="V83">
        <v>1181</v>
      </c>
      <c r="W83">
        <v>0</v>
      </c>
      <c r="X83">
        <v>0</v>
      </c>
      <c r="Y83">
        <v>810</v>
      </c>
      <c r="Z83">
        <v>0</v>
      </c>
      <c r="AA83">
        <v>810</v>
      </c>
      <c r="AB83">
        <v>1991</v>
      </c>
      <c r="AC83">
        <v>2000</v>
      </c>
      <c r="AD83">
        <v>1</v>
      </c>
      <c r="AF83" t="s">
        <v>383</v>
      </c>
      <c r="AG83" t="s">
        <v>148</v>
      </c>
      <c r="AH83" t="s">
        <v>450</v>
      </c>
      <c r="AI83">
        <v>0</v>
      </c>
      <c r="AJ83">
        <v>2</v>
      </c>
      <c r="AK83">
        <v>0</v>
      </c>
      <c r="AL83">
        <v>1</v>
      </c>
      <c r="AM83">
        <v>0</v>
      </c>
      <c r="AN83">
        <v>10</v>
      </c>
      <c r="AO83">
        <v>0</v>
      </c>
      <c r="AP83">
        <v>351</v>
      </c>
      <c r="AQ83">
        <v>0</v>
      </c>
      <c r="AR83">
        <v>160</v>
      </c>
      <c r="AS83">
        <v>672</v>
      </c>
      <c r="AT83">
        <v>160</v>
      </c>
      <c r="AU83">
        <v>100</v>
      </c>
      <c r="AV83">
        <v>100</v>
      </c>
      <c r="AW83">
        <v>333621</v>
      </c>
      <c r="AX83">
        <v>260224</v>
      </c>
      <c r="AY83">
        <v>1006</v>
      </c>
      <c r="AZ83">
        <v>365</v>
      </c>
      <c r="BA83">
        <v>365</v>
      </c>
      <c r="BB83">
        <v>276</v>
      </c>
      <c r="BC83" s="3">
        <v>44286</v>
      </c>
      <c r="BD83" t="s">
        <v>110</v>
      </c>
      <c r="BE83">
        <v>355000</v>
      </c>
      <c r="BF83">
        <v>342483</v>
      </c>
      <c r="BG83" t="s">
        <v>294</v>
      </c>
      <c r="BH83">
        <v>30</v>
      </c>
      <c r="BI83" t="s">
        <v>65</v>
      </c>
      <c r="BJ83" t="s">
        <v>450</v>
      </c>
      <c r="BK83">
        <v>372400</v>
      </c>
      <c r="BL83">
        <v>58400</v>
      </c>
      <c r="BM83">
        <v>314000</v>
      </c>
      <c r="BN83">
        <v>12517</v>
      </c>
      <c r="BO83">
        <v>1.0490140845070421</v>
      </c>
      <c r="BP83">
        <v>322004.5481838758</v>
      </c>
      <c r="BQ83">
        <v>380474.12503076688</v>
      </c>
      <c r="BR83" s="12">
        <f>(Sales[[#This Row],[DP1]]*Lookups!$B$59)+(Sales[[#This Row],[DP2]]*Lookups!$B$60)+(Sales[[#This Row],[DP3]]*Lookups!$B$61)</f>
        <v>-58469.576855470004</v>
      </c>
      <c r="BS83" s="12">
        <f>Lookups!$B$56*0</f>
        <v>0</v>
      </c>
      <c r="BT83" s="12">
        <f>Lookups!$B$56*1</f>
        <v>89850.625589999996</v>
      </c>
      <c r="BU83" s="12">
        <f>Lookups!$B$57*Sales[[#This Row],[LnAcres]]</f>
        <v>-50946.13867709865</v>
      </c>
      <c r="BV83" s="12">
        <f>VLOOKUP(Sales[[#This Row],[Qlty]],Lookups!$A$62:$E$75,2,FALSE)</f>
        <v>29814.093161000001</v>
      </c>
      <c r="BW83" s="12">
        <f>VLOOKUP(Sales[[#This Row],[Cnd]],Lookups!$A$76:$E$84,2,FALSE)</f>
        <v>197752.34721000001</v>
      </c>
      <c r="BX83" s="12">
        <f>Sales[[#This Row],[EffAge]]*Lookups!$B$85</f>
        <v>-11152.280025</v>
      </c>
      <c r="BY83" s="12">
        <f>Sales[[#This Row],[MainFn]]*Lookups!$B$86</f>
        <v>58351.639124737005</v>
      </c>
      <c r="BZ83" s="12">
        <f>Sales[[#This Row],[UpprFn]]*Lookups!$B$87</f>
        <v>0</v>
      </c>
      <c r="CA83" s="12">
        <f>Sales[[#This Row],[AddFn]]*Lookups!$B$88</f>
        <v>0</v>
      </c>
      <c r="CB83" s="12">
        <f>Sales[[#This Row],[Bsmt]]*Lookups!$B$89</f>
        <v>23556.335150069997</v>
      </c>
      <c r="CC83" s="12">
        <f>Sales[[#This Row],[Fixtures]]*Lookups!$B$90</f>
        <v>37920.221052000001</v>
      </c>
      <c r="CD83" s="12">
        <f>Sales[[#This Row],[WdDeck]]*Lookups!$B$91</f>
        <v>5327.2824441600005</v>
      </c>
      <c r="CE83" s="12">
        <f>SUM(Sales[[#This Row],[Days Prior Total]:[Mdl WdDeck]])</f>
        <v>322004.54817439843</v>
      </c>
      <c r="CF83" s="12">
        <f>ROUND(Sales[[#This Row],[25Det]],-2)</f>
        <v>12500</v>
      </c>
      <c r="CG83" s="12">
        <f>ROUND(SUM(Sales[[#This Row],[Mdl Qlty]:[Mdl WdDeck]])+Sales[[#This Row],[Mdl Res Intercept]]+Sales[[#This Row],[Days Prior Total]],-2)</f>
        <v>283100</v>
      </c>
      <c r="CH83" s="12">
        <f>ROUND(Sales[[#This Row],[Mdl Land Intercept]]+Sales[[#This Row],[Mdl LnAcres]],-2)</f>
        <v>38900</v>
      </c>
      <c r="CI83" s="12">
        <f>Sales[[#This Row],[Unadj Res Value]]+Sales[[#This Row],[Unadj Det Value]]+Sales[[#This Row],[Unadj Land Value]]</f>
        <v>334500</v>
      </c>
      <c r="CJ83" s="13">
        <f>Sales[[#This Row],[Unadj Total Value]]/Sales[[#This Row],[Price]]</f>
        <v>0.94225352112676053</v>
      </c>
      <c r="CK83" s="13">
        <f>(Sales[[#This Row],[Unadj Total Value]]-Sales[[#This Row],[24Final]])/Sales[[#This Row],[24Final]]</f>
        <v>-0.10177228786251342</v>
      </c>
      <c r="CL83">
        <f>VLOOKUP(Sales[[#This Row],[TNbhd]],Lookups!$Q$2:$T$4,4,FALSE)</f>
        <v>0.99970000000000003</v>
      </c>
      <c r="CM83">
        <f>VLOOKUP(Sales[[#This Row],[Qlty]],Lookups!$O$7:$R$21,4,FALSE)</f>
        <v>1.0088999999999999</v>
      </c>
      <c r="CN83">
        <f>VLOOKUP(Sales[[#This Row],[Cnd]],Lookups!$T$7:$W$16,4,FALSE)</f>
        <v>0.99650000000000005</v>
      </c>
      <c r="CO83">
        <f>VLOOKUP(Sales[[#This Row],[LivArea Range]],Lookups!$T$25:$W$37,4,FALSE)</f>
        <v>1.0093000000000001</v>
      </c>
      <c r="CP83">
        <f>VLOOKUP(Sales[[#This Row],[Decade]],Lookups!$O$25:$R$42,4,FALSE)</f>
        <v>1.0199</v>
      </c>
      <c r="CQ83">
        <f>Sales[[#This Row],[Nbhd Adj]]*0.95</f>
        <v>0.94971499999999998</v>
      </c>
      <c r="CR83">
        <f>Sales[[#This Row],[Nbhd Adj]]*Sales[[#This Row],[Quality Adj]]*Sales[[#This Row],[Condition Adj]]*Sales[[#This Row],[Living Area Adj]]*Sales[[#This Row],[Decade Adj]]*0.95</f>
        <v>0.98287115000146663</v>
      </c>
      <c r="CS83">
        <f>ROUND(SUM(Sales[[#This Row],[Mdl Qlty]:[Mdl WdDeck]])+Sales[[#This Row],[Mdl Res Intercept]]*Sales[[#This Row],[Res Adj ]],-2)</f>
        <v>341600</v>
      </c>
      <c r="CT83">
        <f>ROUND(Sales[[#This Row],[25Det]]*Sales[[#This Row],[Det/Nbhd Adj]],-2)</f>
        <v>11900</v>
      </c>
      <c r="CU83">
        <f>Sales[[#This Row],[Adjusted Res]]+Sales[[#This Row],[Adj Det ]]</f>
        <v>353500</v>
      </c>
      <c r="CV83">
        <f>ROUND((Sales[[#This Row],[Mdl Land Intercept]]+Sales[[#This Row],[Mdl LnAcres]])*Sales[[#This Row],[Det/Nbhd Adj]],-2)</f>
        <v>36900</v>
      </c>
      <c r="CW83">
        <f>Sales[[#This Row],[Adjusted Impr Total]]+Sales[[#This Row],[Adjusted Land Total]]</f>
        <v>390400</v>
      </c>
      <c r="CX83" s="15">
        <f>IFERROR((Sales[[#This Row],[Adjusted Impr Total]]-Sales[[#This Row],[24Bldg]])/Sales[[#This Row],[24Bldg]],0)</f>
        <v>0.12579617834394904</v>
      </c>
      <c r="CY83" s="15">
        <f>(Sales[[#This Row],[Adjusted Land Total]]-Sales[[#This Row],[24Lnd]])/Sales[[#This Row],[24Lnd]]</f>
        <v>-0.36815068493150682</v>
      </c>
      <c r="CZ83" s="15">
        <f>(Sales[[#This Row],[Adjusted Total]]-Sales[[#This Row],[24Final]])/Sales[[#This Row],[24Final]]</f>
        <v>4.8335123523093451E-2</v>
      </c>
      <c r="DA83" s="15">
        <f>(Sales[[#This Row],[Adjusted Total]]+Sales[[#This Row],[Days Prior Total]])/Sales[[#This Row],[Price]]</f>
        <v>0.93501527646346472</v>
      </c>
    </row>
    <row r="84" spans="1:105" x14ac:dyDescent="0.3">
      <c r="A84">
        <v>2025</v>
      </c>
      <c r="B84">
        <v>18132322415</v>
      </c>
      <c r="C84">
        <v>-1.4271163556401458</v>
      </c>
      <c r="D84">
        <v>0.24</v>
      </c>
      <c r="E84">
        <v>0</v>
      </c>
      <c r="F84">
        <v>6</v>
      </c>
      <c r="G84" t="s">
        <v>126</v>
      </c>
      <c r="H84">
        <v>3033</v>
      </c>
      <c r="I84" t="s">
        <v>349</v>
      </c>
      <c r="J84" t="s">
        <v>30</v>
      </c>
      <c r="K84">
        <v>11</v>
      </c>
      <c r="L84">
        <v>259</v>
      </c>
      <c r="M84" t="s">
        <v>242</v>
      </c>
      <c r="N84" t="s">
        <v>351</v>
      </c>
      <c r="O84" t="s">
        <v>323</v>
      </c>
      <c r="P84">
        <v>70</v>
      </c>
      <c r="Q84">
        <v>1955</v>
      </c>
      <c r="R84">
        <v>1974</v>
      </c>
      <c r="S84">
        <v>69</v>
      </c>
      <c r="T84">
        <v>50</v>
      </c>
      <c r="U84">
        <v>1</v>
      </c>
      <c r="V84">
        <v>1657</v>
      </c>
      <c r="W84">
        <v>0</v>
      </c>
      <c r="X84">
        <v>0</v>
      </c>
      <c r="Y84">
        <v>0</v>
      </c>
      <c r="Z84">
        <v>0</v>
      </c>
      <c r="AA84">
        <v>0</v>
      </c>
      <c r="AB84">
        <v>1657</v>
      </c>
      <c r="AC84">
        <v>2000</v>
      </c>
      <c r="AD84">
        <v>0</v>
      </c>
      <c r="AF84" t="s">
        <v>383</v>
      </c>
      <c r="AG84" t="s">
        <v>148</v>
      </c>
      <c r="AI84">
        <v>1</v>
      </c>
      <c r="AJ84">
        <v>0</v>
      </c>
      <c r="AK84">
        <v>0</v>
      </c>
      <c r="AL84">
        <v>1</v>
      </c>
      <c r="AM84">
        <v>0</v>
      </c>
      <c r="AN84">
        <v>8</v>
      </c>
      <c r="AO84">
        <v>0</v>
      </c>
      <c r="AP84">
        <v>0</v>
      </c>
      <c r="AQ84">
        <v>520</v>
      </c>
      <c r="AR84">
        <v>540</v>
      </c>
      <c r="AS84">
        <v>352</v>
      </c>
      <c r="AT84">
        <v>422</v>
      </c>
      <c r="AU84">
        <v>100</v>
      </c>
      <c r="AV84">
        <v>100</v>
      </c>
      <c r="AW84">
        <v>254026</v>
      </c>
      <c r="AX84">
        <v>180358</v>
      </c>
      <c r="AY84">
        <v>851</v>
      </c>
      <c r="AZ84">
        <v>365</v>
      </c>
      <c r="BA84">
        <v>365</v>
      </c>
      <c r="BB84">
        <v>121</v>
      </c>
      <c r="BC84" s="3">
        <v>44441</v>
      </c>
      <c r="BD84">
        <v>460333</v>
      </c>
      <c r="BE84">
        <v>340000</v>
      </c>
      <c r="BF84">
        <v>321805</v>
      </c>
      <c r="BG84" t="s">
        <v>294</v>
      </c>
      <c r="BH84">
        <v>30</v>
      </c>
      <c r="BI84" t="s">
        <v>65</v>
      </c>
      <c r="BJ84" t="s">
        <v>450</v>
      </c>
      <c r="BK84">
        <v>336400</v>
      </c>
      <c r="BL84">
        <v>64800</v>
      </c>
      <c r="BM84">
        <v>271600</v>
      </c>
      <c r="BN84">
        <v>18195</v>
      </c>
      <c r="BO84">
        <v>0.98941176470588232</v>
      </c>
      <c r="BP84">
        <v>307996.26767922658</v>
      </c>
      <c r="BQ84">
        <v>345738.97903051734</v>
      </c>
      <c r="BR84" s="12">
        <f>(Sales[[#This Row],[DP1]]*Lookups!$B$59)+(Sales[[#This Row],[DP2]]*Lookups!$B$60)+(Sales[[#This Row],[DP3]]*Lookups!$B$61)</f>
        <v>-37742.711355970001</v>
      </c>
      <c r="BS84" s="12">
        <f>Lookups!$B$56*0</f>
        <v>0</v>
      </c>
      <c r="BT84" s="12">
        <f>Lookups!$B$56*1</f>
        <v>89850.625589999996</v>
      </c>
      <c r="BU84" s="12">
        <f>Lookups!$B$57*Sales[[#This Row],[LnAcres]]</f>
        <v>-45174.819855485119</v>
      </c>
      <c r="BV84" s="12">
        <f>VLOOKUP(Sales[[#This Row],[Qlty]],Lookups!$A$62:$E$75,2,FALSE)</f>
        <v>21557.329055999999</v>
      </c>
      <c r="BW84" s="12">
        <f>VLOOKUP(Sales[[#This Row],[Cnd]],Lookups!$A$76:$E$84,2,FALSE)</f>
        <v>160472.20319</v>
      </c>
      <c r="BX84" s="12">
        <f>Sales[[#This Row],[EffAge]]*Lookups!$B$85</f>
        <v>-11152.280025</v>
      </c>
      <c r="BY84" s="12">
        <f>Sales[[#This Row],[MainFn]]*Lookups!$B$86</f>
        <v>81870.165986189008</v>
      </c>
      <c r="BZ84" s="12">
        <f>Sales[[#This Row],[UpprFn]]*Lookups!$B$87</f>
        <v>0</v>
      </c>
      <c r="CA84" s="12">
        <f>Sales[[#This Row],[AddFn]]*Lookups!$B$88</f>
        <v>0</v>
      </c>
      <c r="CB84" s="12">
        <f>Sales[[#This Row],[Bsmt]]*Lookups!$B$89</f>
        <v>0</v>
      </c>
      <c r="CC84" s="12">
        <f>Sales[[#This Row],[Fixtures]]*Lookups!$B$90</f>
        <v>30336.176841600001</v>
      </c>
      <c r="CD84" s="12">
        <f>Sales[[#This Row],[WdDeck]]*Lookups!$B$91</f>
        <v>17979.578249040002</v>
      </c>
      <c r="CE84" s="12">
        <f>SUM(Sales[[#This Row],[Days Prior Total]:[Mdl WdDeck]])</f>
        <v>307996.26767637389</v>
      </c>
      <c r="CF84" s="12">
        <f>ROUND(Sales[[#This Row],[25Det]],-2)</f>
        <v>18200</v>
      </c>
      <c r="CG84" s="12">
        <f>ROUND(SUM(Sales[[#This Row],[Mdl Qlty]:[Mdl WdDeck]])+Sales[[#This Row],[Mdl Res Intercept]]+Sales[[#This Row],[Days Prior Total]],-2)</f>
        <v>263300</v>
      </c>
      <c r="CH84" s="12">
        <f>ROUND(Sales[[#This Row],[Mdl Land Intercept]]+Sales[[#This Row],[Mdl LnAcres]],-2)</f>
        <v>44700</v>
      </c>
      <c r="CI84" s="12">
        <f>Sales[[#This Row],[Unadj Res Value]]+Sales[[#This Row],[Unadj Det Value]]+Sales[[#This Row],[Unadj Land Value]]</f>
        <v>326200</v>
      </c>
      <c r="CJ84" s="13">
        <f>Sales[[#This Row],[Unadj Total Value]]/Sales[[#This Row],[Price]]</f>
        <v>0.95941176470588241</v>
      </c>
      <c r="CK84" s="13">
        <f>(Sales[[#This Row],[Unadj Total Value]]-Sales[[#This Row],[24Final]])/Sales[[#This Row],[24Final]]</f>
        <v>-3.0321046373365041E-2</v>
      </c>
      <c r="CL84">
        <f>VLOOKUP(Sales[[#This Row],[TNbhd]],Lookups!$Q$2:$T$4,4,FALSE)</f>
        <v>0.99970000000000003</v>
      </c>
      <c r="CM84">
        <f>VLOOKUP(Sales[[#This Row],[Qlty]],Lookups!$O$7:$R$21,4,FALSE)</f>
        <v>1.0067999999999999</v>
      </c>
      <c r="CN84">
        <f>VLOOKUP(Sales[[#This Row],[Cnd]],Lookups!$T$7:$W$16,4,FALSE)</f>
        <v>0.99729999999999996</v>
      </c>
      <c r="CO84">
        <f>VLOOKUP(Sales[[#This Row],[LivArea Range]],Lookups!$T$25:$W$37,4,FALSE)</f>
        <v>1.0093000000000001</v>
      </c>
      <c r="CP84">
        <f>VLOOKUP(Sales[[#This Row],[Decade]],Lookups!$O$25:$R$42,4,FALSE)</f>
        <v>1.0199</v>
      </c>
      <c r="CQ84">
        <f>Sales[[#This Row],[Nbhd Adj]]*0.95</f>
        <v>0.94971499999999998</v>
      </c>
      <c r="CR84">
        <f>Sales[[#This Row],[Nbhd Adj]]*Sales[[#This Row],[Quality Adj]]*Sales[[#This Row],[Condition Adj]]*Sales[[#This Row],[Living Area Adj]]*Sales[[#This Row],[Decade Adj]]*0.95</f>
        <v>0.98161274461821502</v>
      </c>
      <c r="CS84">
        <f>ROUND(SUM(Sales[[#This Row],[Mdl Qlty]:[Mdl WdDeck]])+Sales[[#This Row],[Mdl Res Intercept]]*Sales[[#This Row],[Res Adj ]],-2)</f>
        <v>301100</v>
      </c>
      <c r="CT84">
        <f>ROUND(Sales[[#This Row],[25Det]]*Sales[[#This Row],[Det/Nbhd Adj]],-2)</f>
        <v>17300</v>
      </c>
      <c r="CU84">
        <f>Sales[[#This Row],[Adjusted Res]]+Sales[[#This Row],[Adj Det ]]</f>
        <v>318400</v>
      </c>
      <c r="CV84">
        <f>ROUND((Sales[[#This Row],[Mdl Land Intercept]]+Sales[[#This Row],[Mdl LnAcres]])*Sales[[#This Row],[Det/Nbhd Adj]],-2)</f>
        <v>42400</v>
      </c>
      <c r="CW84">
        <f>Sales[[#This Row],[Adjusted Impr Total]]+Sales[[#This Row],[Adjusted Land Total]]</f>
        <v>360800</v>
      </c>
      <c r="CX84" s="15">
        <f>IFERROR((Sales[[#This Row],[Adjusted Impr Total]]-Sales[[#This Row],[24Bldg]])/Sales[[#This Row],[24Bldg]],0)</f>
        <v>0.17231222385861561</v>
      </c>
      <c r="CY84" s="15">
        <f>(Sales[[#This Row],[Adjusted Land Total]]-Sales[[#This Row],[24Lnd]])/Sales[[#This Row],[24Lnd]]</f>
        <v>-0.34567901234567899</v>
      </c>
      <c r="CZ84" s="15">
        <f>(Sales[[#This Row],[Adjusted Total]]-Sales[[#This Row],[24Final]])/Sales[[#This Row],[24Final]]</f>
        <v>7.2532699167657547E-2</v>
      </c>
      <c r="DA84" s="15">
        <f>(Sales[[#This Row],[Adjusted Total]]+Sales[[#This Row],[Days Prior Total]])/Sales[[#This Row],[Price]]</f>
        <v>0.95016849601185294</v>
      </c>
    </row>
    <row r="85" spans="1:105" x14ac:dyDescent="0.3">
      <c r="A85">
        <v>2025</v>
      </c>
      <c r="B85">
        <v>18132313503</v>
      </c>
      <c r="C85">
        <v>-1.8325814637483102</v>
      </c>
      <c r="D85">
        <v>0.16</v>
      </c>
      <c r="E85">
        <v>6981</v>
      </c>
      <c r="F85">
        <v>6</v>
      </c>
      <c r="G85" t="s">
        <v>126</v>
      </c>
      <c r="H85">
        <v>3033</v>
      </c>
      <c r="I85" t="s">
        <v>349</v>
      </c>
      <c r="J85" t="s">
        <v>30</v>
      </c>
      <c r="K85">
        <v>11</v>
      </c>
      <c r="L85">
        <v>259</v>
      </c>
      <c r="M85" t="s">
        <v>269</v>
      </c>
      <c r="N85" t="s">
        <v>302</v>
      </c>
      <c r="O85" t="s">
        <v>303</v>
      </c>
      <c r="P85">
        <v>70</v>
      </c>
      <c r="Q85">
        <v>1955</v>
      </c>
      <c r="R85">
        <v>1974</v>
      </c>
      <c r="S85">
        <v>69</v>
      </c>
      <c r="T85">
        <v>50</v>
      </c>
      <c r="U85">
        <v>1</v>
      </c>
      <c r="V85">
        <v>1406</v>
      </c>
      <c r="W85">
        <v>0</v>
      </c>
      <c r="X85">
        <v>0</v>
      </c>
      <c r="Y85">
        <v>722</v>
      </c>
      <c r="Z85">
        <v>0</v>
      </c>
      <c r="AA85">
        <v>722</v>
      </c>
      <c r="AB85">
        <v>2128</v>
      </c>
      <c r="AC85">
        <v>2500</v>
      </c>
      <c r="AD85">
        <v>0</v>
      </c>
      <c r="AF85" t="s">
        <v>383</v>
      </c>
      <c r="AG85" t="s">
        <v>148</v>
      </c>
      <c r="AH85" t="s">
        <v>450</v>
      </c>
      <c r="AI85">
        <v>0</v>
      </c>
      <c r="AJ85">
        <v>1</v>
      </c>
      <c r="AK85">
        <v>0</v>
      </c>
      <c r="AL85">
        <v>1</v>
      </c>
      <c r="AM85">
        <v>0</v>
      </c>
      <c r="AN85">
        <v>9</v>
      </c>
      <c r="AO85">
        <v>0</v>
      </c>
      <c r="AP85">
        <v>0</v>
      </c>
      <c r="AQ85">
        <v>0</v>
      </c>
      <c r="AR85">
        <v>0</v>
      </c>
      <c r="AS85">
        <v>115</v>
      </c>
      <c r="AT85">
        <v>15</v>
      </c>
      <c r="AU85">
        <v>100</v>
      </c>
      <c r="AV85">
        <v>100</v>
      </c>
      <c r="AW85">
        <v>302912</v>
      </c>
      <c r="AX85">
        <v>236271</v>
      </c>
      <c r="AY85">
        <v>809</v>
      </c>
      <c r="AZ85">
        <v>365</v>
      </c>
      <c r="BA85">
        <v>365</v>
      </c>
      <c r="BB85">
        <v>79</v>
      </c>
      <c r="BC85" s="3">
        <v>44483</v>
      </c>
      <c r="BD85" t="s">
        <v>432</v>
      </c>
      <c r="BE85">
        <v>360000</v>
      </c>
      <c r="BF85">
        <v>354485</v>
      </c>
      <c r="BG85" t="s">
        <v>294</v>
      </c>
      <c r="BH85">
        <v>30</v>
      </c>
      <c r="BI85" t="s">
        <v>65</v>
      </c>
      <c r="BJ85" t="s">
        <v>450</v>
      </c>
      <c r="BK85">
        <v>357300</v>
      </c>
      <c r="BL85">
        <v>50600</v>
      </c>
      <c r="BM85">
        <v>306700</v>
      </c>
      <c r="BN85">
        <v>5515</v>
      </c>
      <c r="BO85">
        <v>0.99250000000000005</v>
      </c>
      <c r="BP85">
        <v>340722.64163948328</v>
      </c>
      <c r="BQ85">
        <v>372849.04105003073</v>
      </c>
      <c r="BR85" s="12">
        <f>(Sales[[#This Row],[DP1]]*Lookups!$B$59)+(Sales[[#This Row],[DP2]]*Lookups!$B$60)+(Sales[[#This Row],[DP3]]*Lookups!$B$61)</f>
        <v>-32126.399414170002</v>
      </c>
      <c r="BS85" s="12">
        <f>Lookups!$B$56*0</f>
        <v>0</v>
      </c>
      <c r="BT85" s="12">
        <f>Lookups!$B$56*1</f>
        <v>89850.625589999996</v>
      </c>
      <c r="BU85" s="12">
        <f>Lookups!$B$57*Sales[[#This Row],[LnAcres]]</f>
        <v>-58009.662049032086</v>
      </c>
      <c r="BV85" s="12">
        <f>VLOOKUP(Sales[[#This Row],[Qlty]],Lookups!$A$62:$E$75,2,FALSE)</f>
        <v>29814.093161000001</v>
      </c>
      <c r="BW85" s="12">
        <f>VLOOKUP(Sales[[#This Row],[Cnd]],Lookups!$A$76:$E$84,2,FALSE)</f>
        <v>197752.34721000001</v>
      </c>
      <c r="BX85" s="12">
        <f>Sales[[#This Row],[EffAge]]*Lookups!$B$85</f>
        <v>-11152.280025</v>
      </c>
      <c r="BY85" s="12">
        <f>Sales[[#This Row],[MainFn]]*Lookups!$B$86</f>
        <v>69468.589847062001</v>
      </c>
      <c r="BZ85" s="12">
        <f>Sales[[#This Row],[UpprFn]]*Lookups!$B$87</f>
        <v>0</v>
      </c>
      <c r="CA85" s="12">
        <f>Sales[[#This Row],[AddFn]]*Lookups!$B$88</f>
        <v>0</v>
      </c>
      <c r="CB85" s="12">
        <f>Sales[[#This Row],[Bsmt]]*Lookups!$B$89</f>
        <v>20997.128368334001</v>
      </c>
      <c r="CC85" s="12">
        <f>Sales[[#This Row],[Fixtures]]*Lookups!$B$90</f>
        <v>34128.198946800003</v>
      </c>
      <c r="CD85" s="12">
        <f>Sales[[#This Row],[WdDeck]]*Lookups!$B$91</f>
        <v>0</v>
      </c>
      <c r="CE85" s="12">
        <f>SUM(Sales[[#This Row],[Days Prior Total]:[Mdl WdDeck]])</f>
        <v>340722.64163499401</v>
      </c>
      <c r="CF85" s="12">
        <f>ROUND(Sales[[#This Row],[25Det]],-2)</f>
        <v>5500</v>
      </c>
      <c r="CG85" s="12">
        <f>ROUND(SUM(Sales[[#This Row],[Mdl Qlty]:[Mdl WdDeck]])+Sales[[#This Row],[Mdl Res Intercept]]+Sales[[#This Row],[Days Prior Total]],-2)</f>
        <v>308900</v>
      </c>
      <c r="CH85" s="12">
        <f>ROUND(Sales[[#This Row],[Mdl Land Intercept]]+Sales[[#This Row],[Mdl LnAcres]],-2)</f>
        <v>31800</v>
      </c>
      <c r="CI85" s="12">
        <f>Sales[[#This Row],[Unadj Res Value]]+Sales[[#This Row],[Unadj Det Value]]+Sales[[#This Row],[Unadj Land Value]]</f>
        <v>346200</v>
      </c>
      <c r="CJ85" s="13">
        <f>Sales[[#This Row],[Unadj Total Value]]/Sales[[#This Row],[Price]]</f>
        <v>0.96166666666666667</v>
      </c>
      <c r="CK85" s="13">
        <f>(Sales[[#This Row],[Unadj Total Value]]-Sales[[#This Row],[24Final]])/Sales[[#This Row],[24Final]]</f>
        <v>-3.1066330814441646E-2</v>
      </c>
      <c r="CL85">
        <f>VLOOKUP(Sales[[#This Row],[TNbhd]],Lookups!$Q$2:$T$4,4,FALSE)</f>
        <v>0.99970000000000003</v>
      </c>
      <c r="CM85">
        <f>VLOOKUP(Sales[[#This Row],[Qlty]],Lookups!$O$7:$R$21,4,FALSE)</f>
        <v>1.0088999999999999</v>
      </c>
      <c r="CN85">
        <f>VLOOKUP(Sales[[#This Row],[Cnd]],Lookups!$T$7:$W$16,4,FALSE)</f>
        <v>0.99650000000000005</v>
      </c>
      <c r="CO85">
        <f>VLOOKUP(Sales[[#This Row],[LivArea Range]],Lookups!$T$25:$W$37,4,FALSE)</f>
        <v>0.98919999999999997</v>
      </c>
      <c r="CP85">
        <f>VLOOKUP(Sales[[#This Row],[Decade]],Lookups!$O$25:$R$42,4,FALSE)</f>
        <v>1.0199</v>
      </c>
      <c r="CQ85">
        <f>Sales[[#This Row],[Nbhd Adj]]*0.95</f>
        <v>0.94971499999999998</v>
      </c>
      <c r="CR85">
        <f>Sales[[#This Row],[Nbhd Adj]]*Sales[[#This Row],[Quality Adj]]*Sales[[#This Row],[Condition Adj]]*Sales[[#This Row],[Living Area Adj]]*Sales[[#This Row],[Decade Adj]]*0.95</f>
        <v>0.9632974750633615</v>
      </c>
      <c r="CS85">
        <f>ROUND(SUM(Sales[[#This Row],[Mdl Qlty]:[Mdl WdDeck]])+Sales[[#This Row],[Mdl Res Intercept]]*Sales[[#This Row],[Res Adj ]],-2)</f>
        <v>341000</v>
      </c>
      <c r="CT85">
        <f>ROUND(Sales[[#This Row],[25Det]]*Sales[[#This Row],[Det/Nbhd Adj]],-2)</f>
        <v>5200</v>
      </c>
      <c r="CU85">
        <f>Sales[[#This Row],[Adjusted Res]]+Sales[[#This Row],[Adj Det ]]</f>
        <v>346200</v>
      </c>
      <c r="CV85">
        <f>ROUND((Sales[[#This Row],[Mdl Land Intercept]]+Sales[[#This Row],[Mdl LnAcres]])*Sales[[#This Row],[Det/Nbhd Adj]],-2)</f>
        <v>30200</v>
      </c>
      <c r="CW85">
        <f>Sales[[#This Row],[Adjusted Impr Total]]+Sales[[#This Row],[Adjusted Land Total]]</f>
        <v>376400</v>
      </c>
      <c r="CX85" s="15">
        <f>IFERROR((Sales[[#This Row],[Adjusted Impr Total]]-Sales[[#This Row],[24Bldg]])/Sales[[#This Row],[24Bldg]],0)</f>
        <v>0.12879034887512228</v>
      </c>
      <c r="CY85" s="15">
        <f>(Sales[[#This Row],[Adjusted Land Total]]-Sales[[#This Row],[24Lnd]])/Sales[[#This Row],[24Lnd]]</f>
        <v>-0.40316205533596838</v>
      </c>
      <c r="CZ85" s="15">
        <f>(Sales[[#This Row],[Adjusted Total]]-Sales[[#This Row],[24Final]])/Sales[[#This Row],[24Final]]</f>
        <v>5.3456479149174362E-2</v>
      </c>
      <c r="DA85" s="15">
        <f>(Sales[[#This Row],[Adjusted Total]]+Sales[[#This Row],[Days Prior Total]])/Sales[[#This Row],[Price]]</f>
        <v>0.9563155571828611</v>
      </c>
    </row>
    <row r="86" spans="1:105" x14ac:dyDescent="0.3">
      <c r="A86">
        <v>2025</v>
      </c>
      <c r="B86">
        <v>18132242502</v>
      </c>
      <c r="C86">
        <v>-1.4696759700589417</v>
      </c>
      <c r="D86">
        <v>0.23</v>
      </c>
      <c r="E86">
        <v>10000</v>
      </c>
      <c r="F86">
        <v>6</v>
      </c>
      <c r="G86" t="s">
        <v>126</v>
      </c>
      <c r="H86">
        <v>3033</v>
      </c>
      <c r="I86" t="s">
        <v>349</v>
      </c>
      <c r="J86" t="s">
        <v>30</v>
      </c>
      <c r="K86">
        <v>11</v>
      </c>
      <c r="L86">
        <v>259</v>
      </c>
      <c r="M86" t="s">
        <v>241</v>
      </c>
      <c r="N86" t="s">
        <v>302</v>
      </c>
      <c r="O86" t="s">
        <v>303</v>
      </c>
      <c r="P86">
        <v>70</v>
      </c>
      <c r="Q86">
        <v>1955</v>
      </c>
      <c r="R86">
        <v>1974</v>
      </c>
      <c r="S86">
        <v>69</v>
      </c>
      <c r="T86">
        <v>50</v>
      </c>
      <c r="U86">
        <v>1</v>
      </c>
      <c r="V86">
        <v>1404</v>
      </c>
      <c r="W86">
        <v>0</v>
      </c>
      <c r="X86">
        <v>0</v>
      </c>
      <c r="Y86">
        <v>1404</v>
      </c>
      <c r="Z86">
        <v>0</v>
      </c>
      <c r="AA86">
        <v>1404</v>
      </c>
      <c r="AB86">
        <v>2808</v>
      </c>
      <c r="AC86">
        <v>3000</v>
      </c>
      <c r="AD86">
        <v>2</v>
      </c>
      <c r="AE86" t="s">
        <v>6</v>
      </c>
      <c r="AF86" t="s">
        <v>383</v>
      </c>
      <c r="AG86" t="s">
        <v>148</v>
      </c>
      <c r="AH86" t="s">
        <v>450</v>
      </c>
      <c r="AI86">
        <v>0</v>
      </c>
      <c r="AJ86">
        <v>2</v>
      </c>
      <c r="AK86">
        <v>0</v>
      </c>
      <c r="AL86">
        <v>1</v>
      </c>
      <c r="AM86">
        <v>0</v>
      </c>
      <c r="AN86">
        <v>9</v>
      </c>
      <c r="AO86">
        <v>442</v>
      </c>
      <c r="AP86">
        <v>0</v>
      </c>
      <c r="AQ86">
        <v>0</v>
      </c>
      <c r="AR86">
        <v>0</v>
      </c>
      <c r="AS86">
        <v>767</v>
      </c>
      <c r="AT86">
        <v>416</v>
      </c>
      <c r="AU86">
        <v>100</v>
      </c>
      <c r="AV86">
        <v>100</v>
      </c>
      <c r="AW86">
        <v>394279</v>
      </c>
      <c r="AX86">
        <v>307538</v>
      </c>
      <c r="AY86">
        <v>528</v>
      </c>
      <c r="AZ86">
        <v>365</v>
      </c>
      <c r="BA86">
        <v>163</v>
      </c>
      <c r="BB86">
        <v>0</v>
      </c>
      <c r="BC86" s="3">
        <v>44764</v>
      </c>
      <c r="BD86" t="s">
        <v>466</v>
      </c>
      <c r="BE86">
        <v>385000</v>
      </c>
      <c r="BF86">
        <v>385000</v>
      </c>
      <c r="BG86" t="s">
        <v>294</v>
      </c>
      <c r="BH86">
        <v>30</v>
      </c>
      <c r="BI86" t="s">
        <v>65</v>
      </c>
      <c r="BJ86" t="s">
        <v>450</v>
      </c>
      <c r="BK86">
        <v>397000</v>
      </c>
      <c r="BL86">
        <v>63300</v>
      </c>
      <c r="BM86">
        <v>333700</v>
      </c>
      <c r="BN86">
        <v>0</v>
      </c>
      <c r="BO86">
        <v>1.0311688311688312</v>
      </c>
      <c r="BP86">
        <v>380189.72545485175</v>
      </c>
      <c r="BQ86">
        <v>404071.71022204251</v>
      </c>
      <c r="BR86" s="12">
        <f>(Sales[[#This Row],[DP1]]*Lookups!$B$59)+(Sales[[#This Row],[DP2]]*Lookups!$B$60)+(Sales[[#This Row],[DP3]]*Lookups!$B$61)</f>
        <v>-23881.984768774</v>
      </c>
      <c r="BS86" s="12">
        <f>Lookups!$B$56*0</f>
        <v>0</v>
      </c>
      <c r="BT86" s="12">
        <f>Lookups!$B$56*1</f>
        <v>89850.625589999996</v>
      </c>
      <c r="BU86" s="12">
        <f>Lookups!$B$57*Sales[[#This Row],[LnAcres]]</f>
        <v>-46522.028095997222</v>
      </c>
      <c r="BV86" s="12">
        <f>VLOOKUP(Sales[[#This Row],[Qlty]],Lookups!$A$62:$E$75,2,FALSE)</f>
        <v>29814.093161000001</v>
      </c>
      <c r="BW86" s="12">
        <f>VLOOKUP(Sales[[#This Row],[Cnd]],Lookups!$A$76:$E$84,2,FALSE)</f>
        <v>197752.34721000001</v>
      </c>
      <c r="BX86" s="12">
        <f>Sales[[#This Row],[EffAge]]*Lookups!$B$85</f>
        <v>-11152.280025</v>
      </c>
      <c r="BY86" s="12">
        <f>Sales[[#This Row],[MainFn]]*Lookups!$B$86</f>
        <v>69369.772507308007</v>
      </c>
      <c r="BZ86" s="12">
        <f>Sales[[#This Row],[UpprFn]]*Lookups!$B$87</f>
        <v>0</v>
      </c>
      <c r="CA86" s="12">
        <f>Sales[[#This Row],[AddFn]]*Lookups!$B$88</f>
        <v>0</v>
      </c>
      <c r="CB86" s="12">
        <f>Sales[[#This Row],[Bsmt]]*Lookups!$B$89</f>
        <v>40830.980926787997</v>
      </c>
      <c r="CC86" s="12">
        <f>Sales[[#This Row],[Fixtures]]*Lookups!$B$90</f>
        <v>34128.198946800003</v>
      </c>
      <c r="CD86" s="12">
        <f>Sales[[#This Row],[WdDeck]]*Lookups!$B$91</f>
        <v>0</v>
      </c>
      <c r="CE86" s="12">
        <f>SUM(Sales[[#This Row],[Days Prior Total]:[Mdl WdDeck]])</f>
        <v>380189.72545212484</v>
      </c>
      <c r="CF86" s="12">
        <f>ROUND(Sales[[#This Row],[25Det]],-2)</f>
        <v>0</v>
      </c>
      <c r="CG86" s="12">
        <f>ROUND(SUM(Sales[[#This Row],[Mdl Qlty]:[Mdl WdDeck]])+Sales[[#This Row],[Mdl Res Intercept]]+Sales[[#This Row],[Days Prior Total]],-2)</f>
        <v>336900</v>
      </c>
      <c r="CH86" s="12">
        <f>ROUND(Sales[[#This Row],[Mdl Land Intercept]]+Sales[[#This Row],[Mdl LnAcres]],-2)</f>
        <v>43300</v>
      </c>
      <c r="CI86" s="12">
        <f>Sales[[#This Row],[Unadj Res Value]]+Sales[[#This Row],[Unadj Det Value]]+Sales[[#This Row],[Unadj Land Value]]</f>
        <v>380200</v>
      </c>
      <c r="CJ86" s="13">
        <f>Sales[[#This Row],[Unadj Total Value]]/Sales[[#This Row],[Price]]</f>
        <v>0.98753246753246748</v>
      </c>
      <c r="CK86" s="13">
        <f>(Sales[[#This Row],[Unadj Total Value]]-Sales[[#This Row],[24Final]])/Sales[[#This Row],[24Final]]</f>
        <v>-4.2317380352644839E-2</v>
      </c>
      <c r="CL86">
        <f>VLOOKUP(Sales[[#This Row],[TNbhd]],Lookups!$Q$2:$T$4,4,FALSE)</f>
        <v>0.99970000000000003</v>
      </c>
      <c r="CM86">
        <f>VLOOKUP(Sales[[#This Row],[Qlty]],Lookups!$O$7:$R$21,4,FALSE)</f>
        <v>1.0088999999999999</v>
      </c>
      <c r="CN86">
        <f>VLOOKUP(Sales[[#This Row],[Cnd]],Lookups!$T$7:$W$16,4,FALSE)</f>
        <v>0.99650000000000005</v>
      </c>
      <c r="CO86">
        <f>VLOOKUP(Sales[[#This Row],[LivArea Range]],Lookups!$T$25:$W$37,4,FALSE)</f>
        <v>0.96179999999999999</v>
      </c>
      <c r="CP86">
        <f>VLOOKUP(Sales[[#This Row],[Decade]],Lookups!$O$25:$R$42,4,FALSE)</f>
        <v>1.0199</v>
      </c>
      <c r="CQ86">
        <f>Sales[[#This Row],[Nbhd Adj]]*0.95</f>
        <v>0.94971499999999998</v>
      </c>
      <c r="CR86">
        <f>Sales[[#This Row],[Nbhd Adj]]*Sales[[#This Row],[Quality Adj]]*Sales[[#This Row],[Condition Adj]]*Sales[[#This Row],[Living Area Adj]]*Sales[[#This Row],[Decade Adj]]*0.95</f>
        <v>0.93661495300843212</v>
      </c>
      <c r="CS86">
        <f>ROUND(SUM(Sales[[#This Row],[Mdl Qlty]:[Mdl WdDeck]])+Sales[[#This Row],[Mdl Res Intercept]]*Sales[[#This Row],[Res Adj ]],-2)</f>
        <v>360700</v>
      </c>
      <c r="CT86">
        <f>ROUND(Sales[[#This Row],[25Det]]*Sales[[#This Row],[Det/Nbhd Adj]],-2)</f>
        <v>0</v>
      </c>
      <c r="CU86">
        <f>Sales[[#This Row],[Adjusted Res]]+Sales[[#This Row],[Adj Det ]]</f>
        <v>360700</v>
      </c>
      <c r="CV86">
        <f>ROUND((Sales[[#This Row],[Mdl Land Intercept]]+Sales[[#This Row],[Mdl LnAcres]])*Sales[[#This Row],[Det/Nbhd Adj]],-2)</f>
        <v>41100</v>
      </c>
      <c r="CW86">
        <f>Sales[[#This Row],[Adjusted Impr Total]]+Sales[[#This Row],[Adjusted Land Total]]</f>
        <v>401800</v>
      </c>
      <c r="CX86" s="15">
        <f>IFERROR((Sales[[#This Row],[Adjusted Impr Total]]-Sales[[#This Row],[24Bldg]])/Sales[[#This Row],[24Bldg]],0)</f>
        <v>8.0910997902307463E-2</v>
      </c>
      <c r="CY86" s="15">
        <f>(Sales[[#This Row],[Adjusted Land Total]]-Sales[[#This Row],[24Lnd]])/Sales[[#This Row],[24Lnd]]</f>
        <v>-0.35071090047393366</v>
      </c>
      <c r="CZ86" s="15">
        <f>(Sales[[#This Row],[Adjusted Total]]-Sales[[#This Row],[24Final]])/Sales[[#This Row],[24Final]]</f>
        <v>1.2090680100755667E-2</v>
      </c>
      <c r="DA86" s="15">
        <f>(Sales[[#This Row],[Adjusted Total]]+Sales[[#This Row],[Days Prior Total]])/Sales[[#This Row],[Price]]</f>
        <v>0.98160523436682079</v>
      </c>
    </row>
    <row r="87" spans="1:105" x14ac:dyDescent="0.3">
      <c r="A87">
        <v>2025</v>
      </c>
      <c r="B87">
        <v>18132323525</v>
      </c>
      <c r="C87">
        <v>-1.6607312068216509</v>
      </c>
      <c r="D87">
        <v>0.19</v>
      </c>
      <c r="E87">
        <v>8400</v>
      </c>
      <c r="F87">
        <v>6</v>
      </c>
      <c r="G87" t="s">
        <v>126</v>
      </c>
      <c r="H87">
        <v>3033</v>
      </c>
      <c r="I87" t="s">
        <v>349</v>
      </c>
      <c r="J87" t="s">
        <v>30</v>
      </c>
      <c r="K87">
        <v>11</v>
      </c>
      <c r="L87">
        <v>259</v>
      </c>
      <c r="M87" t="s">
        <v>242</v>
      </c>
      <c r="N87" t="s">
        <v>351</v>
      </c>
      <c r="O87" t="s">
        <v>303</v>
      </c>
      <c r="P87">
        <v>70</v>
      </c>
      <c r="Q87">
        <v>1955</v>
      </c>
      <c r="R87">
        <v>1974</v>
      </c>
      <c r="S87">
        <v>69</v>
      </c>
      <c r="T87">
        <v>50</v>
      </c>
      <c r="U87">
        <v>1</v>
      </c>
      <c r="V87">
        <v>1305</v>
      </c>
      <c r="W87">
        <v>0</v>
      </c>
      <c r="X87">
        <v>0</v>
      </c>
      <c r="Y87">
        <v>0</v>
      </c>
      <c r="Z87">
        <v>0</v>
      </c>
      <c r="AA87">
        <v>0</v>
      </c>
      <c r="AB87">
        <v>1305</v>
      </c>
      <c r="AC87">
        <v>1500</v>
      </c>
      <c r="AD87">
        <v>0</v>
      </c>
      <c r="AF87" t="s">
        <v>208</v>
      </c>
      <c r="AG87" t="s">
        <v>382</v>
      </c>
      <c r="AI87">
        <v>1</v>
      </c>
      <c r="AJ87">
        <v>0</v>
      </c>
      <c r="AK87">
        <v>0</v>
      </c>
      <c r="AL87">
        <v>0</v>
      </c>
      <c r="AM87">
        <v>1</v>
      </c>
      <c r="AN87">
        <v>7</v>
      </c>
      <c r="AO87">
        <v>0</v>
      </c>
      <c r="AP87">
        <v>0</v>
      </c>
      <c r="AQ87">
        <v>432</v>
      </c>
      <c r="AR87">
        <v>0</v>
      </c>
      <c r="AS87">
        <v>0</v>
      </c>
      <c r="AT87">
        <v>0</v>
      </c>
      <c r="AU87">
        <v>100</v>
      </c>
      <c r="AV87">
        <v>100</v>
      </c>
      <c r="AW87">
        <v>200428</v>
      </c>
      <c r="AX87">
        <v>156334</v>
      </c>
      <c r="AY87">
        <v>936</v>
      </c>
      <c r="AZ87">
        <v>365</v>
      </c>
      <c r="BA87">
        <v>365</v>
      </c>
      <c r="BB87">
        <v>206</v>
      </c>
      <c r="BC87" s="3">
        <v>44356</v>
      </c>
      <c r="BD87" t="s">
        <v>186</v>
      </c>
      <c r="BE87">
        <v>286000</v>
      </c>
      <c r="BF87">
        <v>286000</v>
      </c>
      <c r="BG87" t="s">
        <v>294</v>
      </c>
      <c r="BH87">
        <v>30</v>
      </c>
      <c r="BI87" t="s">
        <v>65</v>
      </c>
      <c r="BJ87" t="s">
        <v>450</v>
      </c>
      <c r="BK87">
        <v>308100</v>
      </c>
      <c r="BL87">
        <v>56600</v>
      </c>
      <c r="BM87">
        <v>251500</v>
      </c>
      <c r="BN87">
        <v>0</v>
      </c>
      <c r="BO87">
        <v>1.0772727272727274</v>
      </c>
      <c r="BP87">
        <v>287351.62561083038</v>
      </c>
      <c r="BQ87">
        <v>336460.68255648261</v>
      </c>
      <c r="BR87" s="12">
        <f>(Sales[[#This Row],[DP1]]*Lookups!$B$59)+(Sales[[#This Row],[DP2]]*Lookups!$B$60)+(Sales[[#This Row],[DP3]]*Lookups!$B$61)</f>
        <v>-49109.056952470004</v>
      </c>
      <c r="BS87" s="12">
        <f>Lookups!$B$56*0</f>
        <v>0</v>
      </c>
      <c r="BT87" s="12">
        <f>Lookups!$B$56*1</f>
        <v>89850.625589999996</v>
      </c>
      <c r="BU87" s="12">
        <f>Lookups!$B$57*Sales[[#This Row],[LnAcres]]</f>
        <v>-52569.808201026557</v>
      </c>
      <c r="BV87" s="12">
        <f>VLOOKUP(Sales[[#This Row],[Qlty]],Lookups!$A$62:$E$75,2,FALSE)</f>
        <v>21557.329055999999</v>
      </c>
      <c r="BW87" s="12">
        <f>VLOOKUP(Sales[[#This Row],[Cnd]],Lookups!$A$76:$E$84,2,FALSE)</f>
        <v>197752.34721000001</v>
      </c>
      <c r="BX87" s="12">
        <f>Sales[[#This Row],[EffAge]]*Lookups!$B$85</f>
        <v>-11152.280025</v>
      </c>
      <c r="BY87" s="12">
        <f>Sales[[#This Row],[MainFn]]*Lookups!$B$86</f>
        <v>64478.314189485005</v>
      </c>
      <c r="BZ87" s="12">
        <f>Sales[[#This Row],[UpprFn]]*Lookups!$B$87</f>
        <v>0</v>
      </c>
      <c r="CA87" s="12">
        <f>Sales[[#This Row],[AddFn]]*Lookups!$B$88</f>
        <v>0</v>
      </c>
      <c r="CB87" s="12">
        <f>Sales[[#This Row],[Bsmt]]*Lookups!$B$89</f>
        <v>0</v>
      </c>
      <c r="CC87" s="12">
        <f>Sales[[#This Row],[Fixtures]]*Lookups!$B$90</f>
        <v>26544.1547364</v>
      </c>
      <c r="CD87" s="12">
        <f>Sales[[#This Row],[WdDeck]]*Lookups!$B$91</f>
        <v>0</v>
      </c>
      <c r="CE87" s="12">
        <f>SUM(Sales[[#This Row],[Days Prior Total]:[Mdl WdDeck]])</f>
        <v>287351.62560338841</v>
      </c>
      <c r="CF87" s="12">
        <f>ROUND(Sales[[#This Row],[25Det]],-2)</f>
        <v>0</v>
      </c>
      <c r="CG87" s="12">
        <f>ROUND(SUM(Sales[[#This Row],[Mdl Qlty]:[Mdl WdDeck]])+Sales[[#This Row],[Mdl Res Intercept]]+Sales[[#This Row],[Days Prior Total]],-2)</f>
        <v>250100</v>
      </c>
      <c r="CH87" s="12">
        <f>ROUND(Sales[[#This Row],[Mdl Land Intercept]]+Sales[[#This Row],[Mdl LnAcres]],-2)</f>
        <v>37300</v>
      </c>
      <c r="CI87" s="12">
        <f>Sales[[#This Row],[Unadj Res Value]]+Sales[[#This Row],[Unadj Det Value]]+Sales[[#This Row],[Unadj Land Value]]</f>
        <v>287400</v>
      </c>
      <c r="CJ87" s="13">
        <f>Sales[[#This Row],[Unadj Total Value]]/Sales[[#This Row],[Price]]</f>
        <v>1.0048951048951049</v>
      </c>
      <c r="CK87" s="13">
        <f>(Sales[[#This Row],[Unadj Total Value]]-Sales[[#This Row],[24Final]])/Sales[[#This Row],[24Final]]</f>
        <v>-6.718597857838364E-2</v>
      </c>
      <c r="CL87">
        <f>VLOOKUP(Sales[[#This Row],[TNbhd]],Lookups!$Q$2:$T$4,4,FALSE)</f>
        <v>0.99970000000000003</v>
      </c>
      <c r="CM87">
        <f>VLOOKUP(Sales[[#This Row],[Qlty]],Lookups!$O$7:$R$21,4,FALSE)</f>
        <v>1.0067999999999999</v>
      </c>
      <c r="CN87">
        <f>VLOOKUP(Sales[[#This Row],[Cnd]],Lookups!$T$7:$W$16,4,FALSE)</f>
        <v>0.99650000000000005</v>
      </c>
      <c r="CO87">
        <f>VLOOKUP(Sales[[#This Row],[LivArea Range]],Lookups!$T$25:$W$37,4,FALSE)</f>
        <v>1.0157</v>
      </c>
      <c r="CP87">
        <f>VLOOKUP(Sales[[#This Row],[Decade]],Lookups!$O$25:$R$42,4,FALSE)</f>
        <v>1.0199</v>
      </c>
      <c r="CQ87">
        <f>Sales[[#This Row],[Nbhd Adj]]*0.95</f>
        <v>0.94971499999999998</v>
      </c>
      <c r="CR87">
        <f>Sales[[#This Row],[Nbhd Adj]]*Sales[[#This Row],[Quality Adj]]*Sales[[#This Row],[Condition Adj]]*Sales[[#This Row],[Living Area Adj]]*Sales[[#This Row],[Decade Adj]]*0.95</f>
        <v>0.98704476969641131</v>
      </c>
      <c r="CS87">
        <f>ROUND(SUM(Sales[[#This Row],[Mdl Qlty]:[Mdl WdDeck]])+Sales[[#This Row],[Mdl Res Intercept]]*Sales[[#This Row],[Res Adj ]],-2)</f>
        <v>299200</v>
      </c>
      <c r="CT87">
        <f>ROUND(Sales[[#This Row],[25Det]]*Sales[[#This Row],[Det/Nbhd Adj]],-2)</f>
        <v>0</v>
      </c>
      <c r="CU87">
        <f>Sales[[#This Row],[Adjusted Res]]+Sales[[#This Row],[Adj Det ]]</f>
        <v>299200</v>
      </c>
      <c r="CV87">
        <f>ROUND((Sales[[#This Row],[Mdl Land Intercept]]+Sales[[#This Row],[Mdl LnAcres]])*Sales[[#This Row],[Det/Nbhd Adj]],-2)</f>
        <v>35400</v>
      </c>
      <c r="CW87">
        <f>Sales[[#This Row],[Adjusted Impr Total]]+Sales[[#This Row],[Adjusted Land Total]]</f>
        <v>334600</v>
      </c>
      <c r="CX87" s="15">
        <f>IFERROR((Sales[[#This Row],[Adjusted Impr Total]]-Sales[[#This Row],[24Bldg]])/Sales[[#This Row],[24Bldg]],0)</f>
        <v>0.18966202783300198</v>
      </c>
      <c r="CY87" s="15">
        <f>(Sales[[#This Row],[Adjusted Land Total]]-Sales[[#This Row],[24Lnd]])/Sales[[#This Row],[24Lnd]]</f>
        <v>-0.37455830388692579</v>
      </c>
      <c r="CZ87" s="15">
        <f>(Sales[[#This Row],[Adjusted Total]]-Sales[[#This Row],[24Final]])/Sales[[#This Row],[24Final]]</f>
        <v>8.601103537812399E-2</v>
      </c>
      <c r="DA87" s="15">
        <f>(Sales[[#This Row],[Adjusted Total]]+Sales[[#This Row],[Days Prior Total]])/Sales[[#This Row],[Price]]</f>
        <v>0.99822008058576928</v>
      </c>
    </row>
    <row r="88" spans="1:105" x14ac:dyDescent="0.3">
      <c r="A88">
        <v>2025</v>
      </c>
      <c r="B88">
        <v>18132324421</v>
      </c>
      <c r="C88">
        <v>-1.6607312068216509</v>
      </c>
      <c r="D88">
        <v>0.19</v>
      </c>
      <c r="E88">
        <v>0</v>
      </c>
      <c r="F88">
        <v>6</v>
      </c>
      <c r="G88" t="s">
        <v>126</v>
      </c>
      <c r="H88">
        <v>3033</v>
      </c>
      <c r="I88" t="s">
        <v>349</v>
      </c>
      <c r="J88" t="s">
        <v>30</v>
      </c>
      <c r="K88">
        <v>11</v>
      </c>
      <c r="L88">
        <v>259</v>
      </c>
      <c r="M88" t="s">
        <v>241</v>
      </c>
      <c r="N88" t="s">
        <v>302</v>
      </c>
      <c r="O88" t="s">
        <v>33</v>
      </c>
      <c r="P88">
        <v>70</v>
      </c>
      <c r="Q88">
        <v>1955</v>
      </c>
      <c r="R88">
        <v>1974</v>
      </c>
      <c r="S88">
        <v>69</v>
      </c>
      <c r="T88">
        <v>50</v>
      </c>
      <c r="U88">
        <v>1</v>
      </c>
      <c r="V88">
        <v>1471</v>
      </c>
      <c r="W88">
        <v>0</v>
      </c>
      <c r="X88">
        <v>0</v>
      </c>
      <c r="Y88">
        <v>0</v>
      </c>
      <c r="Z88">
        <v>0</v>
      </c>
      <c r="AA88">
        <v>0</v>
      </c>
      <c r="AB88">
        <v>1471</v>
      </c>
      <c r="AC88">
        <v>1500</v>
      </c>
      <c r="AD88">
        <v>0</v>
      </c>
      <c r="AF88" t="s">
        <v>383</v>
      </c>
      <c r="AG88" t="s">
        <v>148</v>
      </c>
      <c r="AI88">
        <v>0</v>
      </c>
      <c r="AJ88">
        <v>1</v>
      </c>
      <c r="AK88">
        <v>0</v>
      </c>
      <c r="AL88">
        <v>1</v>
      </c>
      <c r="AM88">
        <v>0</v>
      </c>
      <c r="AN88">
        <v>8</v>
      </c>
      <c r="AO88">
        <v>0</v>
      </c>
      <c r="AP88">
        <v>0</v>
      </c>
      <c r="AQ88">
        <v>0</v>
      </c>
      <c r="AR88">
        <v>0</v>
      </c>
      <c r="AS88">
        <v>544</v>
      </c>
      <c r="AT88">
        <v>96</v>
      </c>
      <c r="AU88">
        <v>100</v>
      </c>
      <c r="AV88">
        <v>100</v>
      </c>
      <c r="AW88">
        <v>243312</v>
      </c>
      <c r="AX88">
        <v>138688</v>
      </c>
      <c r="AY88">
        <v>273</v>
      </c>
      <c r="AZ88">
        <v>273</v>
      </c>
      <c r="BA88">
        <v>0</v>
      </c>
      <c r="BB88">
        <v>0</v>
      </c>
      <c r="BC88" s="3">
        <v>45019</v>
      </c>
      <c r="BD88">
        <v>464663</v>
      </c>
      <c r="BE88">
        <v>182000</v>
      </c>
      <c r="BF88">
        <v>173356</v>
      </c>
      <c r="BG88" t="s">
        <v>294</v>
      </c>
      <c r="BH88">
        <v>30</v>
      </c>
      <c r="BI88" t="s">
        <v>65</v>
      </c>
      <c r="BJ88" t="s">
        <v>450</v>
      </c>
      <c r="BK88">
        <v>236900</v>
      </c>
      <c r="BL88">
        <v>56600</v>
      </c>
      <c r="BM88">
        <v>180300</v>
      </c>
      <c r="BN88">
        <v>8644</v>
      </c>
      <c r="BO88">
        <v>1.3016483516483517</v>
      </c>
      <c r="BP88">
        <v>178709.7970274266</v>
      </c>
      <c r="BQ88">
        <v>197972.18468988361</v>
      </c>
      <c r="BR88" s="12">
        <f>(Sales[[#This Row],[DP1]]*Lookups!$B$59)+(Sales[[#This Row],[DP2]]*Lookups!$B$60)+(Sales[[#This Row],[DP3]]*Lookups!$B$61)</f>
        <v>-19262.387663610003</v>
      </c>
      <c r="BS88" s="12">
        <f>Lookups!$B$56*0</f>
        <v>0</v>
      </c>
      <c r="BT88" s="12">
        <f>Lookups!$B$56*1</f>
        <v>89850.625589999996</v>
      </c>
      <c r="BU88" s="12">
        <f>Lookups!$B$57*Sales[[#This Row],[LnAcres]]</f>
        <v>-52569.808201026557</v>
      </c>
      <c r="BV88" s="12">
        <f>VLOOKUP(Sales[[#This Row],[Qlty]],Lookups!$A$62:$E$75,2,FALSE)</f>
        <v>29814.093161000001</v>
      </c>
      <c r="BW88" s="12">
        <f>VLOOKUP(Sales[[#This Row],[Cnd]],Lookups!$A$76:$E$84,2,FALSE)</f>
        <v>39013.223933000001</v>
      </c>
      <c r="BX88" s="12">
        <f>Sales[[#This Row],[EffAge]]*Lookups!$B$85</f>
        <v>-11152.280025</v>
      </c>
      <c r="BY88" s="12">
        <f>Sales[[#This Row],[MainFn]]*Lookups!$B$86</f>
        <v>72680.153389066996</v>
      </c>
      <c r="BZ88" s="12">
        <f>Sales[[#This Row],[UpprFn]]*Lookups!$B$87</f>
        <v>0</v>
      </c>
      <c r="CA88" s="12">
        <f>Sales[[#This Row],[AddFn]]*Lookups!$B$88</f>
        <v>0</v>
      </c>
      <c r="CB88" s="12">
        <f>Sales[[#This Row],[Bsmt]]*Lookups!$B$89</f>
        <v>0</v>
      </c>
      <c r="CC88" s="12">
        <f>Sales[[#This Row],[Fixtures]]*Lookups!$B$90</f>
        <v>30336.176841600001</v>
      </c>
      <c r="CD88" s="12">
        <f>Sales[[#This Row],[WdDeck]]*Lookups!$B$91</f>
        <v>0</v>
      </c>
      <c r="CE88" s="12">
        <f>SUM(Sales[[#This Row],[Days Prior Total]:[Mdl WdDeck]])</f>
        <v>178709.79702503045</v>
      </c>
      <c r="CF88" s="12">
        <f>ROUND(Sales[[#This Row],[25Det]],-2)</f>
        <v>8600</v>
      </c>
      <c r="CG88" s="12">
        <f>ROUND(SUM(Sales[[#This Row],[Mdl Qlty]:[Mdl WdDeck]])+Sales[[#This Row],[Mdl Res Intercept]]+Sales[[#This Row],[Days Prior Total]],-2)</f>
        <v>141400</v>
      </c>
      <c r="CH88" s="12">
        <f>ROUND(Sales[[#This Row],[Mdl Land Intercept]]+Sales[[#This Row],[Mdl LnAcres]],-2)</f>
        <v>37300</v>
      </c>
      <c r="CI88" s="12">
        <f>Sales[[#This Row],[Unadj Res Value]]+Sales[[#This Row],[Unadj Det Value]]+Sales[[#This Row],[Unadj Land Value]]</f>
        <v>187300</v>
      </c>
      <c r="CJ88" s="13">
        <f>Sales[[#This Row],[Unadj Total Value]]/Sales[[#This Row],[Price]]</f>
        <v>1.029120879120879</v>
      </c>
      <c r="CK88" s="13">
        <f>(Sales[[#This Row],[Unadj Total Value]]-Sales[[#This Row],[24Final]])/Sales[[#This Row],[24Final]]</f>
        <v>-0.20937104263402279</v>
      </c>
      <c r="CL88">
        <f>VLOOKUP(Sales[[#This Row],[TNbhd]],Lookups!$Q$2:$T$4,4,FALSE)</f>
        <v>0.99970000000000003</v>
      </c>
      <c r="CM88">
        <f>VLOOKUP(Sales[[#This Row],[Qlty]],Lookups!$O$7:$R$21,4,FALSE)</f>
        <v>1.0088999999999999</v>
      </c>
      <c r="CN88">
        <f>VLOOKUP(Sales[[#This Row],[Cnd]],Lookups!$T$7:$W$16,4,FALSE)</f>
        <v>1.0021</v>
      </c>
      <c r="CO88">
        <f>VLOOKUP(Sales[[#This Row],[LivArea Range]],Lookups!$T$25:$W$37,4,FALSE)</f>
        <v>1.0157</v>
      </c>
      <c r="CP88">
        <f>VLOOKUP(Sales[[#This Row],[Decade]],Lookups!$O$25:$R$42,4,FALSE)</f>
        <v>1.0199</v>
      </c>
      <c r="CQ88">
        <f>Sales[[#This Row],[Nbhd Adj]]*0.95</f>
        <v>0.94971499999999998</v>
      </c>
      <c r="CR88">
        <f>Sales[[#This Row],[Nbhd Adj]]*Sales[[#This Row],[Quality Adj]]*Sales[[#This Row],[Condition Adj]]*Sales[[#This Row],[Living Area Adj]]*Sales[[#This Row],[Decade Adj]]*0.95</f>
        <v>0.99466199839068981</v>
      </c>
      <c r="CS88">
        <f>ROUND(SUM(Sales[[#This Row],[Mdl Qlty]:[Mdl WdDeck]])+Sales[[#This Row],[Mdl Res Intercept]]*Sales[[#This Row],[Res Adj ]],-2)</f>
        <v>160700</v>
      </c>
      <c r="CT88">
        <f>ROUND(Sales[[#This Row],[25Det]]*Sales[[#This Row],[Det/Nbhd Adj]],-2)</f>
        <v>8200</v>
      </c>
      <c r="CU88">
        <f>Sales[[#This Row],[Adjusted Res]]+Sales[[#This Row],[Adj Det ]]</f>
        <v>168900</v>
      </c>
      <c r="CV88">
        <f>ROUND((Sales[[#This Row],[Mdl Land Intercept]]+Sales[[#This Row],[Mdl LnAcres]])*Sales[[#This Row],[Det/Nbhd Adj]],-2)</f>
        <v>35400</v>
      </c>
      <c r="CW88">
        <f>Sales[[#This Row],[Adjusted Impr Total]]+Sales[[#This Row],[Adjusted Land Total]]</f>
        <v>204300</v>
      </c>
      <c r="CX88" s="15">
        <f>IFERROR((Sales[[#This Row],[Adjusted Impr Total]]-Sales[[#This Row],[24Bldg]])/Sales[[#This Row],[24Bldg]],0)</f>
        <v>-6.3227953410981697E-2</v>
      </c>
      <c r="CY88" s="15">
        <f>(Sales[[#This Row],[Adjusted Land Total]]-Sales[[#This Row],[24Lnd]])/Sales[[#This Row],[24Lnd]]</f>
        <v>-0.37455830388692579</v>
      </c>
      <c r="CZ88" s="15">
        <f>(Sales[[#This Row],[Adjusted Total]]-Sales[[#This Row],[24Final]])/Sales[[#This Row],[24Final]]</f>
        <v>-0.13761080624736174</v>
      </c>
      <c r="DA88" s="15">
        <f>(Sales[[#This Row],[Adjusted Total]]+Sales[[#This Row],[Days Prior Total]])/Sales[[#This Row],[Price]]</f>
        <v>1.0166901776724726</v>
      </c>
    </row>
    <row r="89" spans="1:105" x14ac:dyDescent="0.3">
      <c r="A89">
        <v>2025</v>
      </c>
      <c r="B89">
        <v>18132244480</v>
      </c>
      <c r="C89">
        <v>-1.3470736479666092</v>
      </c>
      <c r="D89">
        <v>0.26</v>
      </c>
      <c r="E89">
        <v>11396</v>
      </c>
      <c r="F89">
        <v>6</v>
      </c>
      <c r="G89" t="s">
        <v>126</v>
      </c>
      <c r="H89">
        <v>3092</v>
      </c>
      <c r="I89" t="s">
        <v>349</v>
      </c>
      <c r="J89" t="s">
        <v>30</v>
      </c>
      <c r="K89">
        <v>11</v>
      </c>
      <c r="L89">
        <v>259</v>
      </c>
      <c r="M89" t="s">
        <v>241</v>
      </c>
      <c r="N89" t="s">
        <v>302</v>
      </c>
      <c r="O89" t="s">
        <v>303</v>
      </c>
      <c r="P89">
        <v>70</v>
      </c>
      <c r="Q89">
        <v>1955</v>
      </c>
      <c r="R89">
        <v>1974</v>
      </c>
      <c r="S89">
        <v>69</v>
      </c>
      <c r="T89">
        <v>50</v>
      </c>
      <c r="U89">
        <v>1</v>
      </c>
      <c r="V89">
        <v>1274</v>
      </c>
      <c r="W89">
        <v>0</v>
      </c>
      <c r="X89">
        <v>0</v>
      </c>
      <c r="Y89">
        <v>1274</v>
      </c>
      <c r="Z89">
        <v>0</v>
      </c>
      <c r="AA89">
        <v>1274</v>
      </c>
      <c r="AB89">
        <v>2548</v>
      </c>
      <c r="AC89">
        <v>3000</v>
      </c>
      <c r="AD89">
        <v>2</v>
      </c>
      <c r="AE89" t="s">
        <v>6</v>
      </c>
      <c r="AF89" t="s">
        <v>383</v>
      </c>
      <c r="AG89" t="s">
        <v>148</v>
      </c>
      <c r="AH89" t="s">
        <v>450</v>
      </c>
      <c r="AI89">
        <v>0</v>
      </c>
      <c r="AJ89">
        <v>2</v>
      </c>
      <c r="AK89">
        <v>0</v>
      </c>
      <c r="AL89">
        <v>1</v>
      </c>
      <c r="AM89">
        <v>0</v>
      </c>
      <c r="AN89">
        <v>8</v>
      </c>
      <c r="AO89">
        <v>620</v>
      </c>
      <c r="AP89">
        <v>0</v>
      </c>
      <c r="AQ89">
        <v>0</v>
      </c>
      <c r="AR89">
        <v>132</v>
      </c>
      <c r="AS89">
        <v>400</v>
      </c>
      <c r="AT89">
        <v>36</v>
      </c>
      <c r="AU89">
        <v>100</v>
      </c>
      <c r="AV89">
        <v>100</v>
      </c>
      <c r="AW89">
        <v>362725</v>
      </c>
      <c r="AX89">
        <v>282926</v>
      </c>
      <c r="AY89">
        <v>784</v>
      </c>
      <c r="AZ89">
        <v>365</v>
      </c>
      <c r="BA89">
        <v>365</v>
      </c>
      <c r="BB89">
        <v>54</v>
      </c>
      <c r="BC89" s="3">
        <v>44508</v>
      </c>
      <c r="BD89" t="s">
        <v>227</v>
      </c>
      <c r="BE89">
        <v>350000</v>
      </c>
      <c r="BF89">
        <v>350000</v>
      </c>
      <c r="BG89" t="s">
        <v>294</v>
      </c>
      <c r="BH89">
        <v>30</v>
      </c>
      <c r="BI89" t="s">
        <v>65</v>
      </c>
      <c r="BJ89" t="s">
        <v>450</v>
      </c>
      <c r="BK89">
        <v>381900</v>
      </c>
      <c r="BL89">
        <v>67600</v>
      </c>
      <c r="BM89">
        <v>314300</v>
      </c>
      <c r="BN89">
        <v>0</v>
      </c>
      <c r="BO89">
        <v>1.0911428571428572</v>
      </c>
      <c r="BP89">
        <v>369568.49547313974</v>
      </c>
      <c r="BQ89">
        <v>398351.8520618162</v>
      </c>
      <c r="BR89" s="12">
        <f>(Sales[[#This Row],[DP1]]*Lookups!$B$59)+(Sales[[#This Row],[DP2]]*Lookups!$B$60)+(Sales[[#This Row],[DP3]]*Lookups!$B$61)</f>
        <v>-28783.356591670003</v>
      </c>
      <c r="BS89" s="12">
        <f>Lookups!$B$56*0</f>
        <v>0</v>
      </c>
      <c r="BT89" s="12">
        <f>Lookups!$B$56*1</f>
        <v>89850.625589999996</v>
      </c>
      <c r="BU89" s="12">
        <f>Lookups!$B$57*Sales[[#This Row],[LnAcres]]</f>
        <v>-42641.098701210125</v>
      </c>
      <c r="BV89" s="12">
        <f>VLOOKUP(Sales[[#This Row],[Qlty]],Lookups!$A$62:$E$75,2,FALSE)</f>
        <v>29814.093161000001</v>
      </c>
      <c r="BW89" s="12">
        <f>VLOOKUP(Sales[[#This Row],[Cnd]],Lookups!$A$76:$E$84,2,FALSE)</f>
        <v>197752.34721000001</v>
      </c>
      <c r="BX89" s="12">
        <f>Sales[[#This Row],[EffAge]]*Lookups!$B$85</f>
        <v>-11152.280025</v>
      </c>
      <c r="BY89" s="12">
        <f>Sales[[#This Row],[MainFn]]*Lookups!$B$86</f>
        <v>62946.645423298003</v>
      </c>
      <c r="BZ89" s="12">
        <f>Sales[[#This Row],[UpprFn]]*Lookups!$B$87</f>
        <v>0</v>
      </c>
      <c r="CA89" s="12">
        <f>Sales[[#This Row],[AddFn]]*Lookups!$B$88</f>
        <v>0</v>
      </c>
      <c r="CB89" s="12">
        <f>Sales[[#This Row],[Bsmt]]*Lookups!$B$89</f>
        <v>37050.334544678</v>
      </c>
      <c r="CC89" s="12">
        <f>Sales[[#This Row],[Fixtures]]*Lookups!$B$90</f>
        <v>30336.176841600001</v>
      </c>
      <c r="CD89" s="12">
        <f>Sales[[#This Row],[WdDeck]]*Lookups!$B$91</f>
        <v>4395.0080164320007</v>
      </c>
      <c r="CE89" s="12">
        <f>SUM(Sales[[#This Row],[Days Prior Total]:[Mdl WdDeck]])</f>
        <v>369568.49546912784</v>
      </c>
      <c r="CF89" s="12">
        <f>ROUND(Sales[[#This Row],[25Det]],-2)</f>
        <v>0</v>
      </c>
      <c r="CG89" s="12">
        <f>ROUND(SUM(Sales[[#This Row],[Mdl Qlty]:[Mdl WdDeck]])+Sales[[#This Row],[Mdl Res Intercept]]+Sales[[#This Row],[Days Prior Total]],-2)</f>
        <v>322400</v>
      </c>
      <c r="CH89" s="12">
        <f>ROUND(Sales[[#This Row],[Mdl Land Intercept]]+Sales[[#This Row],[Mdl LnAcres]],-2)</f>
        <v>47200</v>
      </c>
      <c r="CI89" s="12">
        <f>Sales[[#This Row],[Unadj Res Value]]+Sales[[#This Row],[Unadj Det Value]]+Sales[[#This Row],[Unadj Land Value]]</f>
        <v>369600</v>
      </c>
      <c r="CJ89" s="13">
        <f>Sales[[#This Row],[Unadj Total Value]]/Sales[[#This Row],[Price]]</f>
        <v>1.056</v>
      </c>
      <c r="CK89" s="13">
        <f>(Sales[[#This Row],[Unadj Total Value]]-Sales[[#This Row],[24Final]])/Sales[[#This Row],[24Final]]</f>
        <v>-3.2207384131971717E-2</v>
      </c>
      <c r="CL89">
        <f>VLOOKUP(Sales[[#This Row],[TNbhd]],Lookups!$Q$2:$T$4,4,FALSE)</f>
        <v>0.99970000000000003</v>
      </c>
      <c r="CM89">
        <f>VLOOKUP(Sales[[#This Row],[Qlty]],Lookups!$O$7:$R$21,4,FALSE)</f>
        <v>1.0088999999999999</v>
      </c>
      <c r="CN89">
        <f>VLOOKUP(Sales[[#This Row],[Cnd]],Lookups!$T$7:$W$16,4,FALSE)</f>
        <v>0.99650000000000005</v>
      </c>
      <c r="CO89">
        <f>VLOOKUP(Sales[[#This Row],[LivArea Range]],Lookups!$T$25:$W$37,4,FALSE)</f>
        <v>0.96179999999999999</v>
      </c>
      <c r="CP89">
        <f>VLOOKUP(Sales[[#This Row],[Decade]],Lookups!$O$25:$R$42,4,FALSE)</f>
        <v>1.0199</v>
      </c>
      <c r="CQ89">
        <f>Sales[[#This Row],[Nbhd Adj]]*0.95</f>
        <v>0.94971499999999998</v>
      </c>
      <c r="CR89">
        <f>Sales[[#This Row],[Nbhd Adj]]*Sales[[#This Row],[Quality Adj]]*Sales[[#This Row],[Condition Adj]]*Sales[[#This Row],[Living Area Adj]]*Sales[[#This Row],[Decade Adj]]*0.95</f>
        <v>0.93661495300843212</v>
      </c>
      <c r="CS89">
        <f>ROUND(SUM(Sales[[#This Row],[Mdl Qlty]:[Mdl WdDeck]])+Sales[[#This Row],[Mdl Res Intercept]]*Sales[[#This Row],[Res Adj ]],-2)</f>
        <v>351100</v>
      </c>
      <c r="CT89">
        <f>ROUND(Sales[[#This Row],[25Det]]*Sales[[#This Row],[Det/Nbhd Adj]],-2)</f>
        <v>0</v>
      </c>
      <c r="CU89">
        <f>Sales[[#This Row],[Adjusted Res]]+Sales[[#This Row],[Adj Det ]]</f>
        <v>351100</v>
      </c>
      <c r="CV89">
        <f>ROUND((Sales[[#This Row],[Mdl Land Intercept]]+Sales[[#This Row],[Mdl LnAcres]])*Sales[[#This Row],[Det/Nbhd Adj]],-2)</f>
        <v>44800</v>
      </c>
      <c r="CW89">
        <f>Sales[[#This Row],[Adjusted Impr Total]]+Sales[[#This Row],[Adjusted Land Total]]</f>
        <v>395900</v>
      </c>
      <c r="CX89" s="15">
        <f>IFERROR((Sales[[#This Row],[Adjusted Impr Total]]-Sales[[#This Row],[24Bldg]])/Sales[[#This Row],[24Bldg]],0)</f>
        <v>0.11708558701877188</v>
      </c>
      <c r="CY89" s="15">
        <f>(Sales[[#This Row],[Adjusted Land Total]]-Sales[[#This Row],[24Lnd]])/Sales[[#This Row],[24Lnd]]</f>
        <v>-0.33727810650887574</v>
      </c>
      <c r="CZ89" s="15">
        <f>(Sales[[#This Row],[Adjusted Total]]-Sales[[#This Row],[24Final]])/Sales[[#This Row],[24Final]]</f>
        <v>3.6658811207122284E-2</v>
      </c>
      <c r="DA89" s="15">
        <f>(Sales[[#This Row],[Adjusted Total]]+Sales[[#This Row],[Days Prior Total]])/Sales[[#This Row],[Price]]</f>
        <v>1.0489046954523713</v>
      </c>
    </row>
    <row r="90" spans="1:105" x14ac:dyDescent="0.3">
      <c r="A90">
        <v>2025</v>
      </c>
      <c r="B90">
        <v>18132242454</v>
      </c>
      <c r="C90">
        <v>-1.6094379124341003</v>
      </c>
      <c r="D90">
        <v>0.2</v>
      </c>
      <c r="E90">
        <v>8525</v>
      </c>
      <c r="F90">
        <v>6</v>
      </c>
      <c r="G90" t="s">
        <v>126</v>
      </c>
      <c r="H90" t="s">
        <v>349</v>
      </c>
      <c r="I90" t="s">
        <v>349</v>
      </c>
      <c r="J90" t="s">
        <v>30</v>
      </c>
      <c r="K90">
        <v>11</v>
      </c>
      <c r="L90">
        <v>259</v>
      </c>
      <c r="M90" t="s">
        <v>241</v>
      </c>
      <c r="N90" t="s">
        <v>302</v>
      </c>
      <c r="O90" t="s">
        <v>323</v>
      </c>
      <c r="P90">
        <v>70</v>
      </c>
      <c r="Q90">
        <v>1955</v>
      </c>
      <c r="R90">
        <v>1974</v>
      </c>
      <c r="S90">
        <v>69</v>
      </c>
      <c r="T90">
        <v>50</v>
      </c>
      <c r="U90">
        <v>1</v>
      </c>
      <c r="V90">
        <v>1602</v>
      </c>
      <c r="W90">
        <v>0</v>
      </c>
      <c r="X90">
        <v>0</v>
      </c>
      <c r="Y90">
        <v>0</v>
      </c>
      <c r="Z90">
        <v>0</v>
      </c>
      <c r="AA90">
        <v>0</v>
      </c>
      <c r="AB90">
        <v>1602</v>
      </c>
      <c r="AC90">
        <v>2000</v>
      </c>
      <c r="AD90">
        <v>0</v>
      </c>
      <c r="AF90" t="s">
        <v>383</v>
      </c>
      <c r="AG90" t="s">
        <v>148</v>
      </c>
      <c r="AH90" t="s">
        <v>450</v>
      </c>
      <c r="AI90">
        <v>0</v>
      </c>
      <c r="AJ90">
        <v>2</v>
      </c>
      <c r="AK90">
        <v>0</v>
      </c>
      <c r="AL90">
        <v>0</v>
      </c>
      <c r="AM90">
        <v>1</v>
      </c>
      <c r="AN90">
        <v>7</v>
      </c>
      <c r="AO90">
        <v>0</v>
      </c>
      <c r="AP90">
        <v>0</v>
      </c>
      <c r="AQ90">
        <v>392</v>
      </c>
      <c r="AR90">
        <v>0</v>
      </c>
      <c r="AS90">
        <v>807</v>
      </c>
      <c r="AT90">
        <v>0</v>
      </c>
      <c r="AU90">
        <v>100</v>
      </c>
      <c r="AV90">
        <v>100</v>
      </c>
      <c r="AW90">
        <v>289967</v>
      </c>
      <c r="AX90">
        <v>205877</v>
      </c>
      <c r="AY90">
        <v>104</v>
      </c>
      <c r="AZ90">
        <v>104</v>
      </c>
      <c r="BA90">
        <v>0</v>
      </c>
      <c r="BB90">
        <v>0</v>
      </c>
      <c r="BC90" s="3">
        <v>45188</v>
      </c>
      <c r="BD90" t="s">
        <v>109</v>
      </c>
      <c r="BE90">
        <v>310000</v>
      </c>
      <c r="BF90">
        <v>297694</v>
      </c>
      <c r="BG90" t="s">
        <v>294</v>
      </c>
      <c r="BH90">
        <v>30</v>
      </c>
      <c r="BI90" t="s">
        <v>65</v>
      </c>
      <c r="BJ90" t="s">
        <v>450</v>
      </c>
      <c r="BK90">
        <v>328100</v>
      </c>
      <c r="BL90">
        <v>58400</v>
      </c>
      <c r="BM90">
        <v>269700</v>
      </c>
      <c r="BN90">
        <v>12306</v>
      </c>
      <c r="BO90">
        <v>1.0583870967741935</v>
      </c>
      <c r="BP90">
        <v>316397.29467364459</v>
      </c>
      <c r="BQ90">
        <v>323735.34711648535</v>
      </c>
      <c r="BR90" s="12">
        <f>(Sales[[#This Row],[DP1]]*Lookups!$B$59)+(Sales[[#This Row],[DP2]]*Lookups!$B$60)+(Sales[[#This Row],[DP3]]*Lookups!$B$61)</f>
        <v>-7338.0524432800012</v>
      </c>
      <c r="BS90" s="12">
        <f>Lookups!$B$56*0</f>
        <v>0</v>
      </c>
      <c r="BT90" s="12">
        <f>Lookups!$B$56*1</f>
        <v>89850.625589999996</v>
      </c>
      <c r="BU90" s="12">
        <f>Lookups!$B$57*Sales[[#This Row],[LnAcres]]</f>
        <v>-50946.13867709865</v>
      </c>
      <c r="BV90" s="12">
        <f>VLOOKUP(Sales[[#This Row],[Qlty]],Lookups!$A$62:$E$75,2,FALSE)</f>
        <v>29814.093161000001</v>
      </c>
      <c r="BW90" s="12">
        <f>VLOOKUP(Sales[[#This Row],[Cnd]],Lookups!$A$76:$E$84,2,FALSE)</f>
        <v>160472.20319</v>
      </c>
      <c r="BX90" s="12">
        <f>Sales[[#This Row],[EffAge]]*Lookups!$B$85</f>
        <v>-11152.280025</v>
      </c>
      <c r="BY90" s="12">
        <f>Sales[[#This Row],[MainFn]]*Lookups!$B$86</f>
        <v>79152.689142953997</v>
      </c>
      <c r="BZ90" s="12">
        <f>Sales[[#This Row],[UpprFn]]*Lookups!$B$87</f>
        <v>0</v>
      </c>
      <c r="CA90" s="12">
        <f>Sales[[#This Row],[AddFn]]*Lookups!$B$88</f>
        <v>0</v>
      </c>
      <c r="CB90" s="12">
        <f>Sales[[#This Row],[Bsmt]]*Lookups!$B$89</f>
        <v>0</v>
      </c>
      <c r="CC90" s="12">
        <f>Sales[[#This Row],[Fixtures]]*Lookups!$B$90</f>
        <v>26544.1547364</v>
      </c>
      <c r="CD90" s="12">
        <f>Sales[[#This Row],[WdDeck]]*Lookups!$B$91</f>
        <v>0</v>
      </c>
      <c r="CE90" s="12">
        <f>SUM(Sales[[#This Row],[Days Prior Total]:[Mdl WdDeck]])</f>
        <v>316397.29467497539</v>
      </c>
      <c r="CF90" s="12">
        <f>ROUND(Sales[[#This Row],[25Det]],-2)</f>
        <v>12300</v>
      </c>
      <c r="CG90" s="12">
        <f>ROUND(SUM(Sales[[#This Row],[Mdl Qlty]:[Mdl WdDeck]])+Sales[[#This Row],[Mdl Res Intercept]]+Sales[[#This Row],[Days Prior Total]],-2)</f>
        <v>277500</v>
      </c>
      <c r="CH90" s="12">
        <f>ROUND(Sales[[#This Row],[Mdl Land Intercept]]+Sales[[#This Row],[Mdl LnAcres]],-2)</f>
        <v>38900</v>
      </c>
      <c r="CI90" s="12">
        <f>Sales[[#This Row],[Unadj Res Value]]+Sales[[#This Row],[Unadj Det Value]]+Sales[[#This Row],[Unadj Land Value]]</f>
        <v>328700</v>
      </c>
      <c r="CJ90" s="13">
        <f>Sales[[#This Row],[Unadj Total Value]]/Sales[[#This Row],[Price]]</f>
        <v>1.0603225806451613</v>
      </c>
      <c r="CK90" s="13">
        <f>(Sales[[#This Row],[Unadj Total Value]]-Sales[[#This Row],[24Final]])/Sales[[#This Row],[24Final]]</f>
        <v>1.828710758914965E-3</v>
      </c>
      <c r="CL90">
        <f>VLOOKUP(Sales[[#This Row],[TNbhd]],Lookups!$Q$2:$T$4,4,FALSE)</f>
        <v>0.99970000000000003</v>
      </c>
      <c r="CM90">
        <f>VLOOKUP(Sales[[#This Row],[Qlty]],Lookups!$O$7:$R$21,4,FALSE)</f>
        <v>1.0088999999999999</v>
      </c>
      <c r="CN90">
        <f>VLOOKUP(Sales[[#This Row],[Cnd]],Lookups!$T$7:$W$16,4,FALSE)</f>
        <v>0.99729999999999996</v>
      </c>
      <c r="CO90">
        <f>VLOOKUP(Sales[[#This Row],[LivArea Range]],Lookups!$T$25:$W$37,4,FALSE)</f>
        <v>1.0093000000000001</v>
      </c>
      <c r="CP90">
        <f>VLOOKUP(Sales[[#This Row],[Decade]],Lookups!$O$25:$R$42,4,FALSE)</f>
        <v>1.0199</v>
      </c>
      <c r="CQ90">
        <f>Sales[[#This Row],[Nbhd Adj]]*0.95</f>
        <v>0.94971499999999998</v>
      </c>
      <c r="CR90">
        <f>Sales[[#This Row],[Nbhd Adj]]*Sales[[#This Row],[Quality Adj]]*Sales[[#This Row],[Condition Adj]]*Sales[[#This Row],[Living Area Adj]]*Sales[[#This Row],[Decade Adj]]*0.95</f>
        <v>0.98366020862665582</v>
      </c>
      <c r="CS90">
        <f>ROUND(SUM(Sales[[#This Row],[Mdl Qlty]:[Mdl WdDeck]])+Sales[[#This Row],[Mdl Res Intercept]]*Sales[[#This Row],[Res Adj ]],-2)</f>
        <v>284800</v>
      </c>
      <c r="CT90">
        <f>ROUND(Sales[[#This Row],[25Det]]*Sales[[#This Row],[Det/Nbhd Adj]],-2)</f>
        <v>11700</v>
      </c>
      <c r="CU90">
        <f>Sales[[#This Row],[Adjusted Res]]+Sales[[#This Row],[Adj Det ]]</f>
        <v>296500</v>
      </c>
      <c r="CV90">
        <f>ROUND((Sales[[#This Row],[Mdl Land Intercept]]+Sales[[#This Row],[Mdl LnAcres]])*Sales[[#This Row],[Det/Nbhd Adj]],-2)</f>
        <v>36900</v>
      </c>
      <c r="CW90">
        <f>Sales[[#This Row],[Adjusted Impr Total]]+Sales[[#This Row],[Adjusted Land Total]]</f>
        <v>333400</v>
      </c>
      <c r="CX90" s="15">
        <f>IFERROR((Sales[[#This Row],[Adjusted Impr Total]]-Sales[[#This Row],[24Bldg]])/Sales[[#This Row],[24Bldg]],0)</f>
        <v>9.9369670003707819E-2</v>
      </c>
      <c r="CY90" s="15">
        <f>(Sales[[#This Row],[Adjusted Land Total]]-Sales[[#This Row],[24Lnd]])/Sales[[#This Row],[24Lnd]]</f>
        <v>-0.36815068493150682</v>
      </c>
      <c r="CZ90" s="15">
        <f>(Sales[[#This Row],[Adjusted Total]]-Sales[[#This Row],[24Final]])/Sales[[#This Row],[24Final]]</f>
        <v>1.6153611703748856E-2</v>
      </c>
      <c r="DA90" s="15">
        <f>(Sales[[#This Row],[Adjusted Total]]+Sales[[#This Row],[Days Prior Total]])/Sales[[#This Row],[Price]]</f>
        <v>1.0518127340539354</v>
      </c>
    </row>
    <row r="91" spans="1:105" x14ac:dyDescent="0.3">
      <c r="A91">
        <v>2025</v>
      </c>
      <c r="B91">
        <v>18132243450</v>
      </c>
      <c r="C91">
        <v>-1.1086626245216111</v>
      </c>
      <c r="D91">
        <v>0.33</v>
      </c>
      <c r="E91">
        <v>14467</v>
      </c>
      <c r="F91">
        <v>6</v>
      </c>
      <c r="G91" t="s">
        <v>126</v>
      </c>
      <c r="H91">
        <v>3093</v>
      </c>
      <c r="I91" t="s">
        <v>349</v>
      </c>
      <c r="J91" t="s">
        <v>30</v>
      </c>
      <c r="K91">
        <v>11</v>
      </c>
      <c r="L91">
        <v>259</v>
      </c>
      <c r="M91" t="s">
        <v>241</v>
      </c>
      <c r="N91" t="s">
        <v>95</v>
      </c>
      <c r="O91" t="s">
        <v>303</v>
      </c>
      <c r="P91">
        <v>70</v>
      </c>
      <c r="Q91">
        <v>1955</v>
      </c>
      <c r="R91">
        <v>1974</v>
      </c>
      <c r="S91">
        <v>69</v>
      </c>
      <c r="T91">
        <v>50</v>
      </c>
      <c r="U91">
        <v>1</v>
      </c>
      <c r="V91">
        <v>1855</v>
      </c>
      <c r="W91">
        <v>0</v>
      </c>
      <c r="X91">
        <v>0</v>
      </c>
      <c r="Y91">
        <v>1277</v>
      </c>
      <c r="Z91">
        <v>638</v>
      </c>
      <c r="AA91">
        <v>639</v>
      </c>
      <c r="AB91">
        <v>2494</v>
      </c>
      <c r="AC91">
        <v>2500</v>
      </c>
      <c r="AD91">
        <v>0</v>
      </c>
      <c r="AF91" t="s">
        <v>208</v>
      </c>
      <c r="AG91" t="s">
        <v>382</v>
      </c>
      <c r="AI91">
        <v>0</v>
      </c>
      <c r="AJ91">
        <v>2</v>
      </c>
      <c r="AK91">
        <v>0</v>
      </c>
      <c r="AL91">
        <v>2</v>
      </c>
      <c r="AM91">
        <v>0</v>
      </c>
      <c r="AN91">
        <v>11</v>
      </c>
      <c r="AO91">
        <v>0</v>
      </c>
      <c r="AP91">
        <v>0</v>
      </c>
      <c r="AQ91">
        <v>0</v>
      </c>
      <c r="AR91">
        <v>0</v>
      </c>
      <c r="AS91">
        <v>228</v>
      </c>
      <c r="AT91">
        <v>0</v>
      </c>
      <c r="AU91">
        <v>100</v>
      </c>
      <c r="AV91">
        <v>100</v>
      </c>
      <c r="AW91">
        <v>375125</v>
      </c>
      <c r="AX91">
        <v>292598</v>
      </c>
      <c r="AY91">
        <v>251</v>
      </c>
      <c r="AZ91">
        <v>251</v>
      </c>
      <c r="BA91">
        <v>0</v>
      </c>
      <c r="BB91">
        <v>0</v>
      </c>
      <c r="BC91" s="3">
        <v>45041</v>
      </c>
      <c r="BD91" t="s">
        <v>293</v>
      </c>
      <c r="BE91">
        <v>428500</v>
      </c>
      <c r="BF91">
        <v>420752</v>
      </c>
      <c r="BG91" t="s">
        <v>294</v>
      </c>
      <c r="BH91">
        <v>30</v>
      </c>
      <c r="BI91" t="s">
        <v>65</v>
      </c>
      <c r="BJ91" t="s">
        <v>450</v>
      </c>
      <c r="BK91">
        <v>496900</v>
      </c>
      <c r="BL91">
        <v>75900</v>
      </c>
      <c r="BM91">
        <v>421000</v>
      </c>
      <c r="BN91">
        <v>7748</v>
      </c>
      <c r="BO91">
        <v>1.1596266044340724</v>
      </c>
      <c r="BP91">
        <v>468417.61174671119</v>
      </c>
      <c r="BQ91">
        <v>486127.71908472112</v>
      </c>
      <c r="BR91" s="12">
        <f>(Sales[[#This Row],[DP1]]*Lookups!$B$59)+(Sales[[#This Row],[DP2]]*Lookups!$B$60)+(Sales[[#This Row],[DP3]]*Lookups!$B$61)</f>
        <v>-17710.10733907</v>
      </c>
      <c r="BS91" s="12">
        <f>Lookups!$B$56*0</f>
        <v>0</v>
      </c>
      <c r="BT91" s="12">
        <f>Lookups!$B$56*1</f>
        <v>89850.625589999996</v>
      </c>
      <c r="BU91" s="12">
        <f>Lookups!$B$57*Sales[[#This Row],[LnAcres]]</f>
        <v>-35094.289365640165</v>
      </c>
      <c r="BV91" s="12">
        <f>VLOOKUP(Sales[[#This Row],[Qlty]],Lookups!$A$62:$E$75,2,FALSE)</f>
        <v>74268.409664999999</v>
      </c>
      <c r="BW91" s="12">
        <f>VLOOKUP(Sales[[#This Row],[Cnd]],Lookups!$A$76:$E$84,2,FALSE)</f>
        <v>197752.34721000001</v>
      </c>
      <c r="BX91" s="12">
        <f>Sales[[#This Row],[EffAge]]*Lookups!$B$85</f>
        <v>-11152.280025</v>
      </c>
      <c r="BY91" s="12">
        <f>Sales[[#This Row],[MainFn]]*Lookups!$B$86</f>
        <v>91653.082621834998</v>
      </c>
      <c r="BZ91" s="12">
        <f>Sales[[#This Row],[UpprFn]]*Lookups!$B$87</f>
        <v>0</v>
      </c>
      <c r="CA91" s="12">
        <f>Sales[[#This Row],[AddFn]]*Lookups!$B$88</f>
        <v>0</v>
      </c>
      <c r="CB91" s="12">
        <f>Sales[[#This Row],[Bsmt]]*Lookups!$B$89</f>
        <v>37137.580230419</v>
      </c>
      <c r="CC91" s="12">
        <f>Sales[[#This Row],[Fixtures]]*Lookups!$B$90</f>
        <v>41712.243157199999</v>
      </c>
      <c r="CD91" s="12">
        <f>Sales[[#This Row],[WdDeck]]*Lookups!$B$91</f>
        <v>0</v>
      </c>
      <c r="CE91" s="12">
        <f>SUM(Sales[[#This Row],[Days Prior Total]:[Mdl WdDeck]])</f>
        <v>468417.61174474383</v>
      </c>
      <c r="CF91" s="12">
        <f>ROUND(Sales[[#This Row],[25Det]],-2)</f>
        <v>7700</v>
      </c>
      <c r="CG91" s="12">
        <f>ROUND(SUM(Sales[[#This Row],[Mdl Qlty]:[Mdl WdDeck]])+Sales[[#This Row],[Mdl Res Intercept]]+Sales[[#This Row],[Days Prior Total]],-2)</f>
        <v>413700</v>
      </c>
      <c r="CH91" s="12">
        <f>ROUND(Sales[[#This Row],[Mdl Land Intercept]]+Sales[[#This Row],[Mdl LnAcres]],-2)</f>
        <v>54800</v>
      </c>
      <c r="CI91" s="12">
        <f>Sales[[#This Row],[Unadj Res Value]]+Sales[[#This Row],[Unadj Det Value]]+Sales[[#This Row],[Unadj Land Value]]</f>
        <v>476200</v>
      </c>
      <c r="CJ91" s="13">
        <f>Sales[[#This Row],[Unadj Total Value]]/Sales[[#This Row],[Price]]</f>
        <v>1.1113185530921821</v>
      </c>
      <c r="CK91" s="13">
        <f>(Sales[[#This Row],[Unadj Total Value]]-Sales[[#This Row],[24Final]])/Sales[[#This Row],[24Final]]</f>
        <v>-4.1658281344334878E-2</v>
      </c>
      <c r="CL91">
        <f>VLOOKUP(Sales[[#This Row],[TNbhd]],Lookups!$Q$2:$T$4,4,FALSE)</f>
        <v>0.99970000000000003</v>
      </c>
      <c r="CM91">
        <f>VLOOKUP(Sales[[#This Row],[Qlty]],Lookups!$O$7:$R$21,4,FALSE)</f>
        <v>0.98380000000000001</v>
      </c>
      <c r="CN91">
        <f>VLOOKUP(Sales[[#This Row],[Cnd]],Lookups!$T$7:$W$16,4,FALSE)</f>
        <v>0.99650000000000005</v>
      </c>
      <c r="CO91">
        <f>VLOOKUP(Sales[[#This Row],[LivArea Range]],Lookups!$T$25:$W$37,4,FALSE)</f>
        <v>0.98919999999999997</v>
      </c>
      <c r="CP91">
        <f>VLOOKUP(Sales[[#This Row],[Decade]],Lookups!$O$25:$R$42,4,FALSE)</f>
        <v>1.0199</v>
      </c>
      <c r="CQ91">
        <f>Sales[[#This Row],[Nbhd Adj]]*0.95</f>
        <v>0.94971499999999998</v>
      </c>
      <c r="CR91">
        <f>Sales[[#This Row],[Nbhd Adj]]*Sales[[#This Row],[Quality Adj]]*Sales[[#This Row],[Condition Adj]]*Sales[[#This Row],[Living Area Adj]]*Sales[[#This Row],[Decade Adj]]*0.95</f>
        <v>0.93933200115703741</v>
      </c>
      <c r="CS91">
        <f>ROUND(SUM(Sales[[#This Row],[Mdl Qlty]:[Mdl WdDeck]])+Sales[[#This Row],[Mdl Res Intercept]]*Sales[[#This Row],[Res Adj ]],-2)</f>
        <v>431400</v>
      </c>
      <c r="CT91">
        <f>ROUND(Sales[[#This Row],[25Det]]*Sales[[#This Row],[Det/Nbhd Adj]],-2)</f>
        <v>7400</v>
      </c>
      <c r="CU91">
        <f>Sales[[#This Row],[Adjusted Res]]+Sales[[#This Row],[Adj Det ]]</f>
        <v>438800</v>
      </c>
      <c r="CV91">
        <f>ROUND((Sales[[#This Row],[Mdl Land Intercept]]+Sales[[#This Row],[Mdl LnAcres]])*Sales[[#This Row],[Det/Nbhd Adj]],-2)</f>
        <v>52000</v>
      </c>
      <c r="CW91">
        <f>Sales[[#This Row],[Adjusted Impr Total]]+Sales[[#This Row],[Adjusted Land Total]]</f>
        <v>490800</v>
      </c>
      <c r="CX91" s="15">
        <f>IFERROR((Sales[[#This Row],[Adjusted Impr Total]]-Sales[[#This Row],[24Bldg]])/Sales[[#This Row],[24Bldg]],0)</f>
        <v>4.2280285035629452E-2</v>
      </c>
      <c r="CY91" s="15">
        <f>(Sales[[#This Row],[Adjusted Land Total]]-Sales[[#This Row],[24Lnd]])/Sales[[#This Row],[24Lnd]]</f>
        <v>-0.31488801054018445</v>
      </c>
      <c r="CZ91" s="15">
        <f>(Sales[[#This Row],[Adjusted Total]]-Sales[[#This Row],[24Final]])/Sales[[#This Row],[24Final]]</f>
        <v>-1.2276111893741195E-2</v>
      </c>
      <c r="DA91" s="15">
        <f>(Sales[[#This Row],[Adjusted Total]]+Sales[[#This Row],[Days Prior Total]])/Sales[[#This Row],[Price]]</f>
        <v>1.1040604262798832</v>
      </c>
    </row>
    <row r="92" spans="1:105" x14ac:dyDescent="0.3">
      <c r="A92">
        <v>2025</v>
      </c>
      <c r="B92">
        <v>18132324429</v>
      </c>
      <c r="C92">
        <v>-1.5606477482646683</v>
      </c>
      <c r="D92">
        <v>0.21</v>
      </c>
      <c r="E92">
        <v>0</v>
      </c>
      <c r="F92">
        <v>6</v>
      </c>
      <c r="G92" t="s">
        <v>126</v>
      </c>
      <c r="H92">
        <v>3033</v>
      </c>
      <c r="I92" t="s">
        <v>349</v>
      </c>
      <c r="J92" t="s">
        <v>30</v>
      </c>
      <c r="K92">
        <v>11</v>
      </c>
      <c r="L92">
        <v>259</v>
      </c>
      <c r="M92" t="s">
        <v>242</v>
      </c>
      <c r="N92" t="s">
        <v>302</v>
      </c>
      <c r="O92" t="s">
        <v>323</v>
      </c>
      <c r="P92">
        <v>70</v>
      </c>
      <c r="Q92">
        <v>1954</v>
      </c>
      <c r="R92">
        <v>1974</v>
      </c>
      <c r="S92">
        <v>70</v>
      </c>
      <c r="T92">
        <v>50</v>
      </c>
      <c r="U92">
        <v>1</v>
      </c>
      <c r="V92">
        <v>1220</v>
      </c>
      <c r="W92">
        <v>0</v>
      </c>
      <c r="X92">
        <v>0</v>
      </c>
      <c r="Y92">
        <v>1220</v>
      </c>
      <c r="Z92">
        <v>305</v>
      </c>
      <c r="AA92">
        <v>915</v>
      </c>
      <c r="AB92">
        <v>2135</v>
      </c>
      <c r="AC92">
        <v>2500</v>
      </c>
      <c r="AD92">
        <v>0</v>
      </c>
      <c r="AF92" t="s">
        <v>383</v>
      </c>
      <c r="AG92" t="s">
        <v>148</v>
      </c>
      <c r="AH92" t="s">
        <v>450</v>
      </c>
      <c r="AI92">
        <v>0</v>
      </c>
      <c r="AJ92">
        <v>2</v>
      </c>
      <c r="AK92">
        <v>0</v>
      </c>
      <c r="AL92">
        <v>1</v>
      </c>
      <c r="AM92">
        <v>0</v>
      </c>
      <c r="AN92">
        <v>9</v>
      </c>
      <c r="AO92">
        <v>0</v>
      </c>
      <c r="AP92">
        <v>0</v>
      </c>
      <c r="AQ92">
        <v>0</v>
      </c>
      <c r="AR92">
        <v>320</v>
      </c>
      <c r="AS92">
        <v>320</v>
      </c>
      <c r="AT92">
        <v>0</v>
      </c>
      <c r="AU92">
        <v>100</v>
      </c>
      <c r="AV92">
        <v>100</v>
      </c>
      <c r="AW92">
        <v>330065</v>
      </c>
      <c r="AX92">
        <v>234346</v>
      </c>
      <c r="AY92">
        <v>882</v>
      </c>
      <c r="AZ92">
        <v>365</v>
      </c>
      <c r="BA92">
        <v>365</v>
      </c>
      <c r="BB92">
        <v>152</v>
      </c>
      <c r="BC92" s="3">
        <v>44410</v>
      </c>
      <c r="BD92" t="s">
        <v>397</v>
      </c>
      <c r="BE92">
        <v>336350</v>
      </c>
      <c r="BF92">
        <v>336350</v>
      </c>
      <c r="BG92" t="s">
        <v>294</v>
      </c>
      <c r="BH92">
        <v>30</v>
      </c>
      <c r="BI92" t="s">
        <v>65</v>
      </c>
      <c r="BJ92" t="s">
        <v>450</v>
      </c>
      <c r="BK92">
        <v>343700</v>
      </c>
      <c r="BL92">
        <v>60100</v>
      </c>
      <c r="BM92">
        <v>283600</v>
      </c>
      <c r="BN92">
        <v>0</v>
      </c>
      <c r="BO92">
        <v>1.0218522372528616</v>
      </c>
      <c r="BP92">
        <v>318236.10597241193</v>
      </c>
      <c r="BQ92">
        <v>360124.19042282272</v>
      </c>
      <c r="BR92" s="12">
        <f>(Sales[[#This Row],[DP1]]*Lookups!$B$59)+(Sales[[#This Row],[DP2]]*Lookups!$B$60)+(Sales[[#This Row],[DP3]]*Lookups!$B$61)</f>
        <v>-41888.084455870005</v>
      </c>
      <c r="BS92" s="12">
        <f>Lookups!$B$56*0</f>
        <v>0</v>
      </c>
      <c r="BT92" s="12">
        <f>Lookups!$B$56*1</f>
        <v>89850.625589999996</v>
      </c>
      <c r="BU92" s="12">
        <f>Lookups!$B$57*Sales[[#This Row],[LnAcres]]</f>
        <v>-49401.70477837498</v>
      </c>
      <c r="BV92" s="12">
        <f>VLOOKUP(Sales[[#This Row],[Qlty]],Lookups!$A$62:$E$75,2,FALSE)</f>
        <v>29814.093161000001</v>
      </c>
      <c r="BW92" s="12">
        <f>VLOOKUP(Sales[[#This Row],[Cnd]],Lookups!$A$76:$E$84,2,FALSE)</f>
        <v>160472.20319</v>
      </c>
      <c r="BX92" s="12">
        <f>Sales[[#This Row],[EffAge]]*Lookups!$B$85</f>
        <v>-11152.280025</v>
      </c>
      <c r="BY92" s="12">
        <f>Sales[[#This Row],[MainFn]]*Lookups!$B$86</f>
        <v>60278.577249940005</v>
      </c>
      <c r="BZ92" s="12">
        <f>Sales[[#This Row],[UpprFn]]*Lookups!$B$87</f>
        <v>0</v>
      </c>
      <c r="CA92" s="12">
        <f>Sales[[#This Row],[AddFn]]*Lookups!$B$88</f>
        <v>0</v>
      </c>
      <c r="CB92" s="12">
        <f>Sales[[#This Row],[Bsmt]]*Lookups!$B$89</f>
        <v>35479.912201339997</v>
      </c>
      <c r="CC92" s="12">
        <f>Sales[[#This Row],[Fixtures]]*Lookups!$B$90</f>
        <v>34128.198946800003</v>
      </c>
      <c r="CD92" s="12">
        <f>Sales[[#This Row],[WdDeck]]*Lookups!$B$91</f>
        <v>10654.564888320001</v>
      </c>
      <c r="CE92" s="12">
        <f>SUM(Sales[[#This Row],[Days Prior Total]:[Mdl WdDeck]])</f>
        <v>318236.10596815508</v>
      </c>
      <c r="CF92" s="12">
        <f>ROUND(Sales[[#This Row],[25Det]],-2)</f>
        <v>0</v>
      </c>
      <c r="CG92" s="12">
        <f>ROUND(SUM(Sales[[#This Row],[Mdl Qlty]:[Mdl WdDeck]])+Sales[[#This Row],[Mdl Res Intercept]]+Sales[[#This Row],[Days Prior Total]],-2)</f>
        <v>277800</v>
      </c>
      <c r="CH92" s="12">
        <f>ROUND(Sales[[#This Row],[Mdl Land Intercept]]+Sales[[#This Row],[Mdl LnAcres]],-2)</f>
        <v>40400</v>
      </c>
      <c r="CI92" s="12">
        <f>Sales[[#This Row],[Unadj Res Value]]+Sales[[#This Row],[Unadj Det Value]]+Sales[[#This Row],[Unadj Land Value]]</f>
        <v>318200</v>
      </c>
      <c r="CJ92" s="13">
        <f>Sales[[#This Row],[Unadj Total Value]]/Sales[[#This Row],[Price]]</f>
        <v>0.94603835290619886</v>
      </c>
      <c r="CK92" s="13">
        <f>(Sales[[#This Row],[Unadj Total Value]]-Sales[[#This Row],[24Final]])/Sales[[#This Row],[24Final]]</f>
        <v>-7.4192609834157694E-2</v>
      </c>
      <c r="CL92">
        <f>VLOOKUP(Sales[[#This Row],[TNbhd]],Lookups!$Q$2:$T$4,4,FALSE)</f>
        <v>0.99970000000000003</v>
      </c>
      <c r="CM92">
        <f>VLOOKUP(Sales[[#This Row],[Qlty]],Lookups!$O$7:$R$21,4,FALSE)</f>
        <v>1.0088999999999999</v>
      </c>
      <c r="CN92">
        <f>VLOOKUP(Sales[[#This Row],[Cnd]],Lookups!$T$7:$W$16,4,FALSE)</f>
        <v>0.99729999999999996</v>
      </c>
      <c r="CO92">
        <f>VLOOKUP(Sales[[#This Row],[LivArea Range]],Lookups!$T$25:$W$37,4,FALSE)</f>
        <v>0.98919999999999997</v>
      </c>
      <c r="CP92">
        <f>VLOOKUP(Sales[[#This Row],[Decade]],Lookups!$O$25:$R$42,4,FALSE)</f>
        <v>1.0199</v>
      </c>
      <c r="CQ92">
        <f>Sales[[#This Row],[Nbhd Adj]]*0.95</f>
        <v>0.94971499999999998</v>
      </c>
      <c r="CR92">
        <f>Sales[[#This Row],[Nbhd Adj]]*Sales[[#This Row],[Quality Adj]]*Sales[[#This Row],[Condition Adj]]*Sales[[#This Row],[Living Area Adj]]*Sales[[#This Row],[Decade Adj]]*0.95</f>
        <v>0.96407081974981479</v>
      </c>
      <c r="CS92">
        <f>ROUND(SUM(Sales[[#This Row],[Mdl Qlty]:[Mdl WdDeck]])+Sales[[#This Row],[Mdl Res Intercept]]*Sales[[#This Row],[Res Adj ]],-2)</f>
        <v>319700</v>
      </c>
      <c r="CT92">
        <f>ROUND(Sales[[#This Row],[25Det]]*Sales[[#This Row],[Det/Nbhd Adj]],-2)</f>
        <v>0</v>
      </c>
      <c r="CU92">
        <f>Sales[[#This Row],[Adjusted Res]]+Sales[[#This Row],[Adj Det ]]</f>
        <v>319700</v>
      </c>
      <c r="CV92">
        <f>ROUND((Sales[[#This Row],[Mdl Land Intercept]]+Sales[[#This Row],[Mdl LnAcres]])*Sales[[#This Row],[Det/Nbhd Adj]],-2)</f>
        <v>38400</v>
      </c>
      <c r="CW92">
        <f>Sales[[#This Row],[Adjusted Impr Total]]+Sales[[#This Row],[Adjusted Land Total]]</f>
        <v>358100</v>
      </c>
      <c r="CX92" s="15">
        <f>IFERROR((Sales[[#This Row],[Adjusted Impr Total]]-Sales[[#This Row],[24Bldg]])/Sales[[#This Row],[24Bldg]],0)</f>
        <v>0.1272919605077574</v>
      </c>
      <c r="CY92" s="15">
        <f>(Sales[[#This Row],[Adjusted Land Total]]-Sales[[#This Row],[24Lnd]])/Sales[[#This Row],[24Lnd]]</f>
        <v>-0.36106489184692181</v>
      </c>
      <c r="CZ92" s="15">
        <f>(Sales[[#This Row],[Adjusted Total]]-Sales[[#This Row],[24Final]])/Sales[[#This Row],[24Final]]</f>
        <v>4.1897003200465521E-2</v>
      </c>
      <c r="DA92" s="15">
        <f>(Sales[[#This Row],[Adjusted Total]]+Sales[[#This Row],[Days Prior Total]])/Sales[[#This Row],[Price]]</f>
        <v>0.94012759192546458</v>
      </c>
    </row>
    <row r="93" spans="1:105" x14ac:dyDescent="0.3">
      <c r="A93">
        <v>2025</v>
      </c>
      <c r="B93">
        <v>18132244467</v>
      </c>
      <c r="C93">
        <v>-1.7719568419318752</v>
      </c>
      <c r="D93">
        <v>0.17</v>
      </c>
      <c r="E93">
        <v>7479</v>
      </c>
      <c r="F93">
        <v>6</v>
      </c>
      <c r="G93" t="s">
        <v>126</v>
      </c>
      <c r="H93">
        <v>3092</v>
      </c>
      <c r="I93" t="s">
        <v>349</v>
      </c>
      <c r="J93" t="s">
        <v>30</v>
      </c>
      <c r="K93">
        <v>11</v>
      </c>
      <c r="L93">
        <v>259</v>
      </c>
      <c r="M93" t="s">
        <v>241</v>
      </c>
      <c r="N93" t="s">
        <v>148</v>
      </c>
      <c r="O93" t="s">
        <v>323</v>
      </c>
      <c r="P93">
        <v>80</v>
      </c>
      <c r="Q93">
        <v>1953</v>
      </c>
      <c r="R93">
        <v>1973</v>
      </c>
      <c r="S93">
        <v>71</v>
      </c>
      <c r="T93">
        <v>51</v>
      </c>
      <c r="U93">
        <v>1</v>
      </c>
      <c r="V93">
        <v>1202</v>
      </c>
      <c r="W93">
        <v>0</v>
      </c>
      <c r="X93">
        <v>0</v>
      </c>
      <c r="Y93">
        <v>0</v>
      </c>
      <c r="Z93">
        <v>0</v>
      </c>
      <c r="AA93">
        <v>0</v>
      </c>
      <c r="AB93">
        <v>1202</v>
      </c>
      <c r="AC93">
        <v>1500</v>
      </c>
      <c r="AD93">
        <v>1</v>
      </c>
      <c r="AF93" t="s">
        <v>383</v>
      </c>
      <c r="AG93" t="s">
        <v>148</v>
      </c>
      <c r="AH93" t="s">
        <v>450</v>
      </c>
      <c r="AI93">
        <v>0</v>
      </c>
      <c r="AJ93">
        <v>1</v>
      </c>
      <c r="AK93">
        <v>0</v>
      </c>
      <c r="AL93">
        <v>0</v>
      </c>
      <c r="AM93">
        <v>1</v>
      </c>
      <c r="AN93">
        <v>7</v>
      </c>
      <c r="AO93">
        <v>242</v>
      </c>
      <c r="AP93">
        <v>0</v>
      </c>
      <c r="AQ93">
        <v>0</v>
      </c>
      <c r="AR93">
        <v>0</v>
      </c>
      <c r="AS93">
        <v>95</v>
      </c>
      <c r="AT93">
        <v>95</v>
      </c>
      <c r="AU93">
        <v>100</v>
      </c>
      <c r="AV93">
        <v>100</v>
      </c>
      <c r="AW93">
        <v>272996</v>
      </c>
      <c r="AX93">
        <v>191097</v>
      </c>
      <c r="AY93">
        <v>231</v>
      </c>
      <c r="AZ93">
        <v>231</v>
      </c>
      <c r="BA93">
        <v>0</v>
      </c>
      <c r="BB93">
        <v>0</v>
      </c>
      <c r="BC93" s="3">
        <v>45061</v>
      </c>
      <c r="BD93" t="s">
        <v>442</v>
      </c>
      <c r="BE93">
        <v>289000</v>
      </c>
      <c r="BF93">
        <v>289000</v>
      </c>
      <c r="BG93" t="s">
        <v>294</v>
      </c>
      <c r="BH93">
        <v>30</v>
      </c>
      <c r="BI93" t="s">
        <v>65</v>
      </c>
      <c r="BJ93" t="s">
        <v>450</v>
      </c>
      <c r="BK93">
        <v>297800</v>
      </c>
      <c r="BL93">
        <v>52700</v>
      </c>
      <c r="BM93">
        <v>245100</v>
      </c>
      <c r="BN93">
        <v>0</v>
      </c>
      <c r="BO93">
        <v>1.0304498269896194</v>
      </c>
      <c r="BP93">
        <v>296612.36082404631</v>
      </c>
      <c r="BQ93">
        <v>312911.3042307407</v>
      </c>
      <c r="BR93" s="12">
        <f>(Sales[[#This Row],[DP1]]*Lookups!$B$59)+(Sales[[#This Row],[DP2]]*Lookups!$B$60)+(Sales[[#This Row],[DP3]]*Lookups!$B$61)</f>
        <v>-16298.943407670002</v>
      </c>
      <c r="BS93" s="12">
        <f>Lookups!$B$56*0</f>
        <v>0</v>
      </c>
      <c r="BT93" s="12">
        <f>Lookups!$B$56*1</f>
        <v>89850.625589999996</v>
      </c>
      <c r="BU93" s="12">
        <f>Lookups!$B$57*Sales[[#This Row],[LnAcres]]</f>
        <v>-56090.612940989391</v>
      </c>
      <c r="BV93" s="12">
        <f>VLOOKUP(Sales[[#This Row],[Qlty]],Lookups!$A$62:$E$75,2,FALSE)</f>
        <v>44121.038090000002</v>
      </c>
      <c r="BW93" s="12">
        <f>VLOOKUP(Sales[[#This Row],[Cnd]],Lookups!$A$76:$E$84,2,FALSE)</f>
        <v>160472.20319</v>
      </c>
      <c r="BX93" s="12">
        <f>Sales[[#This Row],[EffAge]]*Lookups!$B$85</f>
        <v>-11375.3256255</v>
      </c>
      <c r="BY93" s="12">
        <f>Sales[[#This Row],[MainFn]]*Lookups!$B$86</f>
        <v>59389.221192154</v>
      </c>
      <c r="BZ93" s="12">
        <f>Sales[[#This Row],[UpprFn]]*Lookups!$B$87</f>
        <v>0</v>
      </c>
      <c r="CA93" s="12">
        <f>Sales[[#This Row],[AddFn]]*Lookups!$B$88</f>
        <v>0</v>
      </c>
      <c r="CB93" s="12">
        <f>Sales[[#This Row],[Bsmt]]*Lookups!$B$89</f>
        <v>0</v>
      </c>
      <c r="CC93" s="12">
        <f>Sales[[#This Row],[Fixtures]]*Lookups!$B$90</f>
        <v>26544.1547364</v>
      </c>
      <c r="CD93" s="12">
        <f>Sales[[#This Row],[WdDeck]]*Lookups!$B$91</f>
        <v>0</v>
      </c>
      <c r="CE93" s="12">
        <f>SUM(Sales[[#This Row],[Days Prior Total]:[Mdl WdDeck]])</f>
        <v>296612.36082439462</v>
      </c>
      <c r="CF93" s="12">
        <f>ROUND(Sales[[#This Row],[25Det]],-2)</f>
        <v>0</v>
      </c>
      <c r="CG93" s="12">
        <f>ROUND(SUM(Sales[[#This Row],[Mdl Qlty]:[Mdl WdDeck]])+Sales[[#This Row],[Mdl Res Intercept]]+Sales[[#This Row],[Days Prior Total]],-2)</f>
        <v>262900</v>
      </c>
      <c r="CH93" s="12">
        <f>ROUND(Sales[[#This Row],[Mdl Land Intercept]]+Sales[[#This Row],[Mdl LnAcres]],-2)</f>
        <v>33800</v>
      </c>
      <c r="CI93" s="12">
        <f>Sales[[#This Row],[Unadj Res Value]]+Sales[[#This Row],[Unadj Det Value]]+Sales[[#This Row],[Unadj Land Value]]</f>
        <v>296700</v>
      </c>
      <c r="CJ93" s="13">
        <f>Sales[[#This Row],[Unadj Total Value]]/Sales[[#This Row],[Price]]</f>
        <v>1.026643598615917</v>
      </c>
      <c r="CK93" s="13">
        <f>(Sales[[#This Row],[Unadj Total Value]]-Sales[[#This Row],[24Final]])/Sales[[#This Row],[24Final]]</f>
        <v>-3.6937541974479517E-3</v>
      </c>
      <c r="CL93">
        <f>VLOOKUP(Sales[[#This Row],[TNbhd]],Lookups!$Q$2:$T$4,4,FALSE)</f>
        <v>0.99970000000000003</v>
      </c>
      <c r="CM93">
        <f>VLOOKUP(Sales[[#This Row],[Qlty]],Lookups!$O$7:$R$21,4,FALSE)</f>
        <v>0.98050000000000004</v>
      </c>
      <c r="CN93">
        <f>VLOOKUP(Sales[[#This Row],[Cnd]],Lookups!$T$7:$W$16,4,FALSE)</f>
        <v>0.99729999999999996</v>
      </c>
      <c r="CO93">
        <f>VLOOKUP(Sales[[#This Row],[LivArea Range]],Lookups!$T$25:$W$37,4,FALSE)</f>
        <v>1.0157</v>
      </c>
      <c r="CP93">
        <f>VLOOKUP(Sales[[#This Row],[Decade]],Lookups!$O$25:$R$42,4,FALSE)</f>
        <v>0.995</v>
      </c>
      <c r="CQ93">
        <f>Sales[[#This Row],[Nbhd Adj]]*0.95</f>
        <v>0.94971499999999998</v>
      </c>
      <c r="CR93">
        <f>Sales[[#This Row],[Nbhd Adj]]*Sales[[#This Row],[Quality Adj]]*Sales[[#This Row],[Condition Adj]]*Sales[[#This Row],[Living Area Adj]]*Sales[[#This Row],[Decade Adj]]*0.95</f>
        <v>0.93854531823597842</v>
      </c>
      <c r="CS93">
        <f>ROUND(SUM(Sales[[#This Row],[Mdl Qlty]:[Mdl WdDeck]])+Sales[[#This Row],[Mdl Res Intercept]]*Sales[[#This Row],[Res Adj ]],-2)</f>
        <v>279200</v>
      </c>
      <c r="CT93">
        <f>ROUND(Sales[[#This Row],[25Det]]*Sales[[#This Row],[Det/Nbhd Adj]],-2)</f>
        <v>0</v>
      </c>
      <c r="CU93">
        <f>Sales[[#This Row],[Adjusted Res]]+Sales[[#This Row],[Adj Det ]]</f>
        <v>279200</v>
      </c>
      <c r="CV93">
        <f>ROUND((Sales[[#This Row],[Mdl Land Intercept]]+Sales[[#This Row],[Mdl LnAcres]])*Sales[[#This Row],[Det/Nbhd Adj]],-2)</f>
        <v>32100</v>
      </c>
      <c r="CW93">
        <f>Sales[[#This Row],[Adjusted Impr Total]]+Sales[[#This Row],[Adjusted Land Total]]</f>
        <v>311300</v>
      </c>
      <c r="CX93" s="15">
        <f>IFERROR((Sales[[#This Row],[Adjusted Impr Total]]-Sales[[#This Row],[24Bldg]])/Sales[[#This Row],[24Bldg]],0)</f>
        <v>0.13912688698490411</v>
      </c>
      <c r="CY93" s="15">
        <f>(Sales[[#This Row],[Adjusted Land Total]]-Sales[[#This Row],[24Lnd]])/Sales[[#This Row],[24Lnd]]</f>
        <v>-0.39089184060721061</v>
      </c>
      <c r="CZ93" s="15">
        <f>(Sales[[#This Row],[Adjusted Total]]-Sales[[#This Row],[24Final]])/Sales[[#This Row],[24Final]]</f>
        <v>4.5332437877770318E-2</v>
      </c>
      <c r="DA93" s="15">
        <f>(Sales[[#This Row],[Adjusted Total]]+Sales[[#This Row],[Days Prior Total]])/Sales[[#This Row],[Price]]</f>
        <v>1.020764901703564</v>
      </c>
    </row>
    <row r="94" spans="1:105" x14ac:dyDescent="0.3">
      <c r="A94">
        <v>2025</v>
      </c>
      <c r="B94">
        <v>18132333471</v>
      </c>
      <c r="C94">
        <v>-1.5141277326297755</v>
      </c>
      <c r="D94">
        <v>0.22</v>
      </c>
      <c r="E94">
        <v>0</v>
      </c>
      <c r="F94">
        <v>6</v>
      </c>
      <c r="G94" t="s">
        <v>126</v>
      </c>
      <c r="H94">
        <v>3093</v>
      </c>
      <c r="I94" t="s">
        <v>349</v>
      </c>
      <c r="J94" t="s">
        <v>30</v>
      </c>
      <c r="K94">
        <v>11</v>
      </c>
      <c r="L94">
        <v>259</v>
      </c>
      <c r="M94" t="s">
        <v>241</v>
      </c>
      <c r="N94" t="s">
        <v>302</v>
      </c>
      <c r="O94" t="s">
        <v>303</v>
      </c>
      <c r="P94">
        <v>80</v>
      </c>
      <c r="Q94">
        <v>1952</v>
      </c>
      <c r="R94">
        <v>1973</v>
      </c>
      <c r="S94">
        <v>72</v>
      </c>
      <c r="T94">
        <v>51</v>
      </c>
      <c r="U94">
        <v>1</v>
      </c>
      <c r="V94">
        <v>1380</v>
      </c>
      <c r="W94">
        <v>0</v>
      </c>
      <c r="X94">
        <v>0</v>
      </c>
      <c r="Y94">
        <v>1380</v>
      </c>
      <c r="Z94">
        <v>345</v>
      </c>
      <c r="AA94">
        <v>1035</v>
      </c>
      <c r="AB94">
        <v>2415</v>
      </c>
      <c r="AC94">
        <v>2500</v>
      </c>
      <c r="AD94">
        <v>0</v>
      </c>
      <c r="AF94" t="s">
        <v>383</v>
      </c>
      <c r="AG94" t="s">
        <v>148</v>
      </c>
      <c r="AH94" t="s">
        <v>450</v>
      </c>
      <c r="AI94">
        <v>0</v>
      </c>
      <c r="AJ94">
        <v>2</v>
      </c>
      <c r="AK94">
        <v>0</v>
      </c>
      <c r="AL94">
        <v>2</v>
      </c>
      <c r="AM94">
        <v>0</v>
      </c>
      <c r="AN94">
        <v>7</v>
      </c>
      <c r="AO94">
        <v>0</v>
      </c>
      <c r="AP94">
        <v>0</v>
      </c>
      <c r="AQ94">
        <v>0</v>
      </c>
      <c r="AR94">
        <v>0</v>
      </c>
      <c r="AS94">
        <v>652</v>
      </c>
      <c r="AT94">
        <v>329</v>
      </c>
      <c r="AU94">
        <v>100</v>
      </c>
      <c r="AV94">
        <v>100</v>
      </c>
      <c r="AW94">
        <v>346918</v>
      </c>
      <c r="AX94">
        <v>270596</v>
      </c>
      <c r="AY94">
        <v>185</v>
      </c>
      <c r="AZ94">
        <v>185</v>
      </c>
      <c r="BA94">
        <v>0</v>
      </c>
      <c r="BB94">
        <v>0</v>
      </c>
      <c r="BC94" s="3">
        <v>45107</v>
      </c>
      <c r="BD94" t="s">
        <v>162</v>
      </c>
      <c r="BE94">
        <v>475000</v>
      </c>
      <c r="BF94">
        <v>464080</v>
      </c>
      <c r="BG94" t="s">
        <v>294</v>
      </c>
      <c r="BH94">
        <v>30</v>
      </c>
      <c r="BI94" t="s">
        <v>65</v>
      </c>
      <c r="BJ94" t="s">
        <v>450</v>
      </c>
      <c r="BK94">
        <v>385900</v>
      </c>
      <c r="BL94">
        <v>61700</v>
      </c>
      <c r="BM94">
        <v>324200</v>
      </c>
      <c r="BN94">
        <v>10920</v>
      </c>
      <c r="BO94">
        <v>0.81242105263157893</v>
      </c>
      <c r="BP94">
        <v>379920.47702026495</v>
      </c>
      <c r="BQ94">
        <v>392973.74338493362</v>
      </c>
      <c r="BR94" s="12">
        <f>(Sales[[#This Row],[DP1]]*Lookups!$B$59)+(Sales[[#This Row],[DP2]]*Lookups!$B$60)+(Sales[[#This Row],[DP3]]*Lookups!$B$61)</f>
        <v>-13053.266365450001</v>
      </c>
      <c r="BS94" s="12">
        <f>Lookups!$B$56*0</f>
        <v>0</v>
      </c>
      <c r="BT94" s="12">
        <f>Lookups!$B$56*1</f>
        <v>89850.625589999996</v>
      </c>
      <c r="BU94" s="12">
        <f>Lookups!$B$57*Sales[[#This Row],[LnAcres]]</f>
        <v>-47929.131559187132</v>
      </c>
      <c r="BV94" s="12">
        <f>VLOOKUP(Sales[[#This Row],[Qlty]],Lookups!$A$62:$E$75,2,FALSE)</f>
        <v>29814.093161000001</v>
      </c>
      <c r="BW94" s="12">
        <f>VLOOKUP(Sales[[#This Row],[Cnd]],Lookups!$A$76:$E$84,2,FALSE)</f>
        <v>197752.34721000001</v>
      </c>
      <c r="BX94" s="12">
        <f>Sales[[#This Row],[EffAge]]*Lookups!$B$85</f>
        <v>-11375.3256255</v>
      </c>
      <c r="BY94" s="12">
        <f>Sales[[#This Row],[MainFn]]*Lookups!$B$86</f>
        <v>68183.964430260006</v>
      </c>
      <c r="BZ94" s="12">
        <f>Sales[[#This Row],[UpprFn]]*Lookups!$B$87</f>
        <v>0</v>
      </c>
      <c r="CA94" s="12">
        <f>Sales[[#This Row],[AddFn]]*Lookups!$B$88</f>
        <v>0</v>
      </c>
      <c r="CB94" s="12">
        <f>Sales[[#This Row],[Bsmt]]*Lookups!$B$89</f>
        <v>40133.015440859999</v>
      </c>
      <c r="CC94" s="12">
        <f>Sales[[#This Row],[Fixtures]]*Lookups!$B$90</f>
        <v>26544.1547364</v>
      </c>
      <c r="CD94" s="12">
        <f>Sales[[#This Row],[WdDeck]]*Lookups!$B$91</f>
        <v>0</v>
      </c>
      <c r="CE94" s="12">
        <f>SUM(Sales[[#This Row],[Days Prior Total]:[Mdl WdDeck]])</f>
        <v>379920.47701838287</v>
      </c>
      <c r="CF94" s="12">
        <f>ROUND(Sales[[#This Row],[25Det]],-2)</f>
        <v>10900</v>
      </c>
      <c r="CG94" s="12">
        <f>ROUND(SUM(Sales[[#This Row],[Mdl Qlty]:[Mdl WdDeck]])+Sales[[#This Row],[Mdl Res Intercept]]+Sales[[#This Row],[Days Prior Total]],-2)</f>
        <v>338000</v>
      </c>
      <c r="CH94" s="12">
        <f>ROUND(Sales[[#This Row],[Mdl Land Intercept]]+Sales[[#This Row],[Mdl LnAcres]],-2)</f>
        <v>41900</v>
      </c>
      <c r="CI94" s="12">
        <f>Sales[[#This Row],[Unadj Res Value]]+Sales[[#This Row],[Unadj Det Value]]+Sales[[#This Row],[Unadj Land Value]]</f>
        <v>390800</v>
      </c>
      <c r="CJ94" s="13">
        <f>Sales[[#This Row],[Unadj Total Value]]/Sales[[#This Row],[Price]]</f>
        <v>0.82273684210526321</v>
      </c>
      <c r="CK94" s="13">
        <f>(Sales[[#This Row],[Unadj Total Value]]-Sales[[#This Row],[24Final]])/Sales[[#This Row],[24Final]]</f>
        <v>1.2697590049235553E-2</v>
      </c>
      <c r="CL94">
        <f>VLOOKUP(Sales[[#This Row],[TNbhd]],Lookups!$Q$2:$T$4,4,FALSE)</f>
        <v>0.99970000000000003</v>
      </c>
      <c r="CM94">
        <f>VLOOKUP(Sales[[#This Row],[Qlty]],Lookups!$O$7:$R$21,4,FALSE)</f>
        <v>1.0088999999999999</v>
      </c>
      <c r="CN94">
        <f>VLOOKUP(Sales[[#This Row],[Cnd]],Lookups!$T$7:$W$16,4,FALSE)</f>
        <v>0.99650000000000005</v>
      </c>
      <c r="CO94">
        <f>VLOOKUP(Sales[[#This Row],[LivArea Range]],Lookups!$T$25:$W$37,4,FALSE)</f>
        <v>0.98919999999999997</v>
      </c>
      <c r="CP94">
        <f>VLOOKUP(Sales[[#This Row],[Decade]],Lookups!$O$25:$R$42,4,FALSE)</f>
        <v>0.995</v>
      </c>
      <c r="CQ94">
        <f>Sales[[#This Row],[Nbhd Adj]]*0.95</f>
        <v>0.94971499999999998</v>
      </c>
      <c r="CR94">
        <f>Sales[[#This Row],[Nbhd Adj]]*Sales[[#This Row],[Quality Adj]]*Sales[[#This Row],[Condition Adj]]*Sales[[#This Row],[Living Area Adj]]*Sales[[#This Row],[Decade Adj]]*0.95</f>
        <v>0.93977937806455991</v>
      </c>
      <c r="CS94">
        <f>ROUND(SUM(Sales[[#This Row],[Mdl Qlty]:[Mdl WdDeck]])+Sales[[#This Row],[Mdl Res Intercept]]*Sales[[#This Row],[Res Adj ]],-2)</f>
        <v>351100</v>
      </c>
      <c r="CT94">
        <f>ROUND(Sales[[#This Row],[25Det]]*Sales[[#This Row],[Det/Nbhd Adj]],-2)</f>
        <v>10400</v>
      </c>
      <c r="CU94">
        <f>Sales[[#This Row],[Adjusted Res]]+Sales[[#This Row],[Adj Det ]]</f>
        <v>361500</v>
      </c>
      <c r="CV94">
        <f>ROUND((Sales[[#This Row],[Mdl Land Intercept]]+Sales[[#This Row],[Mdl LnAcres]])*Sales[[#This Row],[Det/Nbhd Adj]],-2)</f>
        <v>39800</v>
      </c>
      <c r="CW94">
        <f>Sales[[#This Row],[Adjusted Impr Total]]+Sales[[#This Row],[Adjusted Land Total]]</f>
        <v>401300</v>
      </c>
      <c r="CX94" s="15">
        <f>IFERROR((Sales[[#This Row],[Adjusted Impr Total]]-Sales[[#This Row],[24Bldg]])/Sales[[#This Row],[24Bldg]],0)</f>
        <v>0.11505243676742752</v>
      </c>
      <c r="CY94" s="15">
        <f>(Sales[[#This Row],[Adjusted Land Total]]-Sales[[#This Row],[24Lnd]])/Sales[[#This Row],[24Lnd]]</f>
        <v>-0.35494327390599678</v>
      </c>
      <c r="CZ94" s="15">
        <f>(Sales[[#This Row],[Adjusted Total]]-Sales[[#This Row],[24Final]])/Sales[[#This Row],[24Final]]</f>
        <v>3.9906711583311737E-2</v>
      </c>
      <c r="DA94" s="15">
        <f>(Sales[[#This Row],[Adjusted Total]]+Sales[[#This Row],[Days Prior Total]])/Sales[[#This Row],[Price]]</f>
        <v>0.8173615444937895</v>
      </c>
    </row>
    <row r="95" spans="1:105" x14ac:dyDescent="0.3">
      <c r="A95">
        <v>2025</v>
      </c>
      <c r="B95">
        <v>18132214538</v>
      </c>
      <c r="C95">
        <v>-1.6607312068216509</v>
      </c>
      <c r="D95">
        <v>0.19</v>
      </c>
      <c r="E95">
        <v>8138</v>
      </c>
      <c r="F95">
        <v>6</v>
      </c>
      <c r="G95" t="s">
        <v>126</v>
      </c>
      <c r="H95">
        <v>3033</v>
      </c>
      <c r="I95" t="s">
        <v>349</v>
      </c>
      <c r="J95" t="s">
        <v>30</v>
      </c>
      <c r="K95">
        <v>11</v>
      </c>
      <c r="L95">
        <v>259</v>
      </c>
      <c r="M95" t="s">
        <v>241</v>
      </c>
      <c r="N95" t="s">
        <v>351</v>
      </c>
      <c r="O95" t="s">
        <v>323</v>
      </c>
      <c r="P95">
        <v>80</v>
      </c>
      <c r="Q95">
        <v>1952</v>
      </c>
      <c r="R95">
        <v>1988</v>
      </c>
      <c r="S95">
        <v>72</v>
      </c>
      <c r="T95">
        <v>36</v>
      </c>
      <c r="U95">
        <v>1</v>
      </c>
      <c r="V95">
        <v>1025</v>
      </c>
      <c r="W95">
        <v>0</v>
      </c>
      <c r="X95">
        <v>0</v>
      </c>
      <c r="Y95">
        <v>1025</v>
      </c>
      <c r="Z95">
        <v>0</v>
      </c>
      <c r="AA95">
        <v>1025</v>
      </c>
      <c r="AB95">
        <v>2050</v>
      </c>
      <c r="AC95">
        <v>2500</v>
      </c>
      <c r="AD95">
        <v>0</v>
      </c>
      <c r="AF95" t="s">
        <v>383</v>
      </c>
      <c r="AG95" t="s">
        <v>148</v>
      </c>
      <c r="AH95" t="s">
        <v>450</v>
      </c>
      <c r="AI95">
        <v>0</v>
      </c>
      <c r="AJ95">
        <v>0</v>
      </c>
      <c r="AK95">
        <v>0</v>
      </c>
      <c r="AL95">
        <v>1</v>
      </c>
      <c r="AM95">
        <v>0</v>
      </c>
      <c r="AN95">
        <v>9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100</v>
      </c>
      <c r="AV95">
        <v>100</v>
      </c>
      <c r="AW95">
        <v>228762</v>
      </c>
      <c r="AX95">
        <v>192160</v>
      </c>
      <c r="AY95">
        <v>777</v>
      </c>
      <c r="AZ95">
        <v>365</v>
      </c>
      <c r="BA95">
        <v>365</v>
      </c>
      <c r="BB95">
        <v>47</v>
      </c>
      <c r="BC95" s="3">
        <v>44515</v>
      </c>
      <c r="BD95" t="s">
        <v>38</v>
      </c>
      <c r="BE95">
        <v>310000</v>
      </c>
      <c r="BF95">
        <v>310000</v>
      </c>
      <c r="BG95" t="s">
        <v>294</v>
      </c>
      <c r="BH95">
        <v>30</v>
      </c>
      <c r="BI95" t="s">
        <v>65</v>
      </c>
      <c r="BJ95" t="s">
        <v>450</v>
      </c>
      <c r="BK95">
        <v>316800</v>
      </c>
      <c r="BL95">
        <v>56600</v>
      </c>
      <c r="BM95">
        <v>260200</v>
      </c>
      <c r="BN95">
        <v>0</v>
      </c>
      <c r="BO95">
        <v>1.0219354838709678</v>
      </c>
      <c r="BP95">
        <v>298014.43161608669</v>
      </c>
      <c r="BQ95">
        <v>325861.73621463933</v>
      </c>
      <c r="BR95" s="12">
        <f>(Sales[[#This Row],[DP1]]*Lookups!$B$59)+(Sales[[#This Row],[DP2]]*Lookups!$B$60)+(Sales[[#This Row],[DP3]]*Lookups!$B$61)</f>
        <v>-27847.304601370004</v>
      </c>
      <c r="BS95" s="12">
        <f>Lookups!$B$56*0</f>
        <v>0</v>
      </c>
      <c r="BT95" s="12">
        <f>Lookups!$B$56*1</f>
        <v>89850.625589999996</v>
      </c>
      <c r="BU95" s="12">
        <f>Lookups!$B$57*Sales[[#This Row],[LnAcres]]</f>
        <v>-52569.808201026557</v>
      </c>
      <c r="BV95" s="12">
        <f>VLOOKUP(Sales[[#This Row],[Qlty]],Lookups!$A$62:$E$75,2,FALSE)</f>
        <v>21557.329055999999</v>
      </c>
      <c r="BW95" s="12">
        <f>VLOOKUP(Sales[[#This Row],[Cnd]],Lookups!$A$76:$E$84,2,FALSE)</f>
        <v>160472.20319</v>
      </c>
      <c r="BX95" s="12">
        <f>Sales[[#This Row],[EffAge]]*Lookups!$B$85</f>
        <v>-8029.6416180000006</v>
      </c>
      <c r="BY95" s="12">
        <f>Sales[[#This Row],[MainFn]]*Lookups!$B$86</f>
        <v>50643.886623924998</v>
      </c>
      <c r="BZ95" s="12">
        <f>Sales[[#This Row],[UpprFn]]*Lookups!$B$87</f>
        <v>0</v>
      </c>
      <c r="CA95" s="12">
        <f>Sales[[#This Row],[AddFn]]*Lookups!$B$88</f>
        <v>0</v>
      </c>
      <c r="CB95" s="12">
        <f>Sales[[#This Row],[Bsmt]]*Lookups!$B$89</f>
        <v>29808.942628174998</v>
      </c>
      <c r="CC95" s="12">
        <f>Sales[[#This Row],[Fixtures]]*Lookups!$B$90</f>
        <v>34128.198946800003</v>
      </c>
      <c r="CD95" s="12">
        <f>Sales[[#This Row],[WdDeck]]*Lookups!$B$91</f>
        <v>0</v>
      </c>
      <c r="CE95" s="12">
        <f>SUM(Sales[[#This Row],[Days Prior Total]:[Mdl WdDeck]])</f>
        <v>298014.4316145035</v>
      </c>
      <c r="CF95" s="12">
        <f>ROUND(Sales[[#This Row],[25Det]],-2)</f>
        <v>0</v>
      </c>
      <c r="CG95" s="12">
        <f>ROUND(SUM(Sales[[#This Row],[Mdl Qlty]:[Mdl WdDeck]])+Sales[[#This Row],[Mdl Res Intercept]]+Sales[[#This Row],[Days Prior Total]],-2)</f>
        <v>260700</v>
      </c>
      <c r="CH95" s="12">
        <f>ROUND(Sales[[#This Row],[Mdl Land Intercept]]+Sales[[#This Row],[Mdl LnAcres]],-2)</f>
        <v>37300</v>
      </c>
      <c r="CI95" s="12">
        <f>Sales[[#This Row],[Unadj Res Value]]+Sales[[#This Row],[Unadj Det Value]]+Sales[[#This Row],[Unadj Land Value]]</f>
        <v>298000</v>
      </c>
      <c r="CJ95" s="13">
        <f>Sales[[#This Row],[Unadj Total Value]]/Sales[[#This Row],[Price]]</f>
        <v>0.96129032258064517</v>
      </c>
      <c r="CK95" s="13">
        <f>(Sales[[#This Row],[Unadj Total Value]]-Sales[[#This Row],[24Final]])/Sales[[#This Row],[24Final]]</f>
        <v>-5.9343434343434344E-2</v>
      </c>
      <c r="CL95">
        <f>VLOOKUP(Sales[[#This Row],[TNbhd]],Lookups!$Q$2:$T$4,4,FALSE)</f>
        <v>0.99970000000000003</v>
      </c>
      <c r="CM95">
        <f>VLOOKUP(Sales[[#This Row],[Qlty]],Lookups!$O$7:$R$21,4,FALSE)</f>
        <v>1.0067999999999999</v>
      </c>
      <c r="CN95">
        <f>VLOOKUP(Sales[[#This Row],[Cnd]],Lookups!$T$7:$W$16,4,FALSE)</f>
        <v>0.99729999999999996</v>
      </c>
      <c r="CO95">
        <f>VLOOKUP(Sales[[#This Row],[LivArea Range]],Lookups!$T$25:$W$37,4,FALSE)</f>
        <v>0.98919999999999997</v>
      </c>
      <c r="CP95">
        <f>VLOOKUP(Sales[[#This Row],[Decade]],Lookups!$O$25:$R$42,4,FALSE)</f>
        <v>0.995</v>
      </c>
      <c r="CQ95">
        <f>Sales[[#This Row],[Nbhd Adj]]*0.95</f>
        <v>0.94971499999999998</v>
      </c>
      <c r="CR95">
        <f>Sales[[#This Row],[Nbhd Adj]]*Sales[[#This Row],[Quality Adj]]*Sales[[#This Row],[Condition Adj]]*Sales[[#This Row],[Living Area Adj]]*Sales[[#This Row],[Decade Adj]]*0.95</f>
        <v>0.93857614463114025</v>
      </c>
      <c r="CS95">
        <f>ROUND(SUM(Sales[[#This Row],[Mdl Qlty]:[Mdl WdDeck]])+Sales[[#This Row],[Mdl Res Intercept]]*Sales[[#This Row],[Res Adj ]],-2)</f>
        <v>288600</v>
      </c>
      <c r="CT95">
        <f>ROUND(Sales[[#This Row],[25Det]]*Sales[[#This Row],[Det/Nbhd Adj]],-2)</f>
        <v>0</v>
      </c>
      <c r="CU95">
        <f>Sales[[#This Row],[Adjusted Res]]+Sales[[#This Row],[Adj Det ]]</f>
        <v>288600</v>
      </c>
      <c r="CV95">
        <f>ROUND((Sales[[#This Row],[Mdl Land Intercept]]+Sales[[#This Row],[Mdl LnAcres]])*Sales[[#This Row],[Det/Nbhd Adj]],-2)</f>
        <v>35400</v>
      </c>
      <c r="CW95">
        <f>Sales[[#This Row],[Adjusted Impr Total]]+Sales[[#This Row],[Adjusted Land Total]]</f>
        <v>324000</v>
      </c>
      <c r="CX95" s="15">
        <f>IFERROR((Sales[[#This Row],[Adjusted Impr Total]]-Sales[[#This Row],[24Bldg]])/Sales[[#This Row],[24Bldg]],0)</f>
        <v>0.10914681014604151</v>
      </c>
      <c r="CY95" s="15">
        <f>(Sales[[#This Row],[Adjusted Land Total]]-Sales[[#This Row],[24Lnd]])/Sales[[#This Row],[24Lnd]]</f>
        <v>-0.37455830388692579</v>
      </c>
      <c r="CZ95" s="15">
        <f>(Sales[[#This Row],[Adjusted Total]]-Sales[[#This Row],[24Final]])/Sales[[#This Row],[24Final]]</f>
        <v>2.2727272727272728E-2</v>
      </c>
      <c r="DA95" s="15">
        <f>(Sales[[#This Row],[Adjusted Total]]+Sales[[#This Row],[Days Prior Total]])/Sales[[#This Row],[Price]]</f>
        <v>0.95533127547945162</v>
      </c>
    </row>
    <row r="96" spans="1:105" x14ac:dyDescent="0.3">
      <c r="A96">
        <v>2025</v>
      </c>
      <c r="B96">
        <v>18132324407</v>
      </c>
      <c r="C96">
        <v>-1.4271163556401458</v>
      </c>
      <c r="D96">
        <v>0.24</v>
      </c>
      <c r="E96">
        <v>0</v>
      </c>
      <c r="F96">
        <v>6</v>
      </c>
      <c r="G96" t="s">
        <v>126</v>
      </c>
      <c r="H96">
        <v>3033</v>
      </c>
      <c r="I96" t="s">
        <v>349</v>
      </c>
      <c r="J96" t="s">
        <v>30</v>
      </c>
      <c r="K96">
        <v>11</v>
      </c>
      <c r="L96">
        <v>259</v>
      </c>
      <c r="M96" t="s">
        <v>242</v>
      </c>
      <c r="N96" t="s">
        <v>148</v>
      </c>
      <c r="O96" t="s">
        <v>323</v>
      </c>
      <c r="P96">
        <v>80</v>
      </c>
      <c r="Q96">
        <v>1952</v>
      </c>
      <c r="R96">
        <v>1973</v>
      </c>
      <c r="S96">
        <v>72</v>
      </c>
      <c r="T96">
        <v>51</v>
      </c>
      <c r="U96">
        <v>1</v>
      </c>
      <c r="V96">
        <v>1242</v>
      </c>
      <c r="W96">
        <v>0</v>
      </c>
      <c r="X96">
        <v>0</v>
      </c>
      <c r="Y96">
        <v>1242</v>
      </c>
      <c r="Z96">
        <v>0</v>
      </c>
      <c r="AA96">
        <v>1242</v>
      </c>
      <c r="AB96">
        <v>2484</v>
      </c>
      <c r="AC96">
        <v>2500</v>
      </c>
      <c r="AD96">
        <v>0</v>
      </c>
      <c r="AE96" t="s">
        <v>6</v>
      </c>
      <c r="AF96" t="s">
        <v>383</v>
      </c>
      <c r="AG96" t="s">
        <v>175</v>
      </c>
      <c r="AH96" t="s">
        <v>450</v>
      </c>
      <c r="AI96">
        <v>0</v>
      </c>
      <c r="AJ96">
        <v>2</v>
      </c>
      <c r="AK96">
        <v>0</v>
      </c>
      <c r="AL96">
        <v>1</v>
      </c>
      <c r="AM96">
        <v>0</v>
      </c>
      <c r="AN96">
        <v>8</v>
      </c>
      <c r="AO96">
        <v>0</v>
      </c>
      <c r="AP96">
        <v>0</v>
      </c>
      <c r="AQ96">
        <v>0</v>
      </c>
      <c r="AR96">
        <v>0</v>
      </c>
      <c r="AS96">
        <v>384</v>
      </c>
      <c r="AT96">
        <v>384</v>
      </c>
      <c r="AU96">
        <v>100</v>
      </c>
      <c r="AV96">
        <v>100</v>
      </c>
      <c r="AW96">
        <v>408690</v>
      </c>
      <c r="AX96">
        <v>286083</v>
      </c>
      <c r="AY96">
        <v>774</v>
      </c>
      <c r="AZ96">
        <v>365</v>
      </c>
      <c r="BA96">
        <v>365</v>
      </c>
      <c r="BB96">
        <v>44</v>
      </c>
      <c r="BC96" s="3">
        <v>44518</v>
      </c>
      <c r="BD96" t="s">
        <v>440</v>
      </c>
      <c r="BE96">
        <v>348000</v>
      </c>
      <c r="BF96">
        <v>341524</v>
      </c>
      <c r="BG96" t="s">
        <v>294</v>
      </c>
      <c r="BH96">
        <v>30</v>
      </c>
      <c r="BI96" t="s">
        <v>65</v>
      </c>
      <c r="BJ96" t="s">
        <v>450</v>
      </c>
      <c r="BK96">
        <v>373900</v>
      </c>
      <c r="BL96">
        <v>64800</v>
      </c>
      <c r="BM96">
        <v>309100</v>
      </c>
      <c r="BN96">
        <v>6476</v>
      </c>
      <c r="BO96">
        <v>1.0744252873563218</v>
      </c>
      <c r="BP96">
        <v>338269.04065392754</v>
      </c>
      <c r="BQ96">
        <v>365715.18011385557</v>
      </c>
      <c r="BR96" s="12">
        <f>(Sales[[#This Row],[DP1]]*Lookups!$B$59)+(Sales[[#This Row],[DP2]]*Lookups!$B$60)+(Sales[[#This Row],[DP3]]*Lookups!$B$61)</f>
        <v>-27446.139462670002</v>
      </c>
      <c r="BS96" s="12">
        <f>Lookups!$B$56*0</f>
        <v>0</v>
      </c>
      <c r="BT96" s="12">
        <f>Lookups!$B$56*1</f>
        <v>89850.625589999996</v>
      </c>
      <c r="BU96" s="12">
        <f>Lookups!$B$57*Sales[[#This Row],[LnAcres]]</f>
        <v>-45174.819855485119</v>
      </c>
      <c r="BV96" s="12">
        <f>VLOOKUP(Sales[[#This Row],[Qlty]],Lookups!$A$62:$E$75,2,FALSE)</f>
        <v>44121.038090000002</v>
      </c>
      <c r="BW96" s="12">
        <f>VLOOKUP(Sales[[#This Row],[Cnd]],Lookups!$A$76:$E$84,2,FALSE)</f>
        <v>160472.20319</v>
      </c>
      <c r="BX96" s="12">
        <f>Sales[[#This Row],[EffAge]]*Lookups!$B$85</f>
        <v>-11375.3256255</v>
      </c>
      <c r="BY96" s="12">
        <f>Sales[[#This Row],[MainFn]]*Lookups!$B$86</f>
        <v>61365.567987234004</v>
      </c>
      <c r="BZ96" s="12">
        <f>Sales[[#This Row],[UpprFn]]*Lookups!$B$87</f>
        <v>0</v>
      </c>
      <c r="CA96" s="12">
        <f>Sales[[#This Row],[AddFn]]*Lookups!$B$88</f>
        <v>0</v>
      </c>
      <c r="CB96" s="12">
        <f>Sales[[#This Row],[Bsmt]]*Lookups!$B$89</f>
        <v>36119.713896773996</v>
      </c>
      <c r="CC96" s="12">
        <f>Sales[[#This Row],[Fixtures]]*Lookups!$B$90</f>
        <v>30336.176841600001</v>
      </c>
      <c r="CD96" s="12">
        <f>Sales[[#This Row],[WdDeck]]*Lookups!$B$91</f>
        <v>0</v>
      </c>
      <c r="CE96" s="12">
        <f>SUM(Sales[[#This Row],[Days Prior Total]:[Mdl WdDeck]])</f>
        <v>338269.04065195285</v>
      </c>
      <c r="CF96" s="12">
        <f>ROUND(Sales[[#This Row],[25Det]],-2)</f>
        <v>6500</v>
      </c>
      <c r="CG96" s="12">
        <f>ROUND(SUM(Sales[[#This Row],[Mdl Qlty]:[Mdl WdDeck]])+Sales[[#This Row],[Mdl Res Intercept]]+Sales[[#This Row],[Days Prior Total]],-2)</f>
        <v>293600</v>
      </c>
      <c r="CH96" s="12">
        <f>ROUND(Sales[[#This Row],[Mdl Land Intercept]]+Sales[[#This Row],[Mdl LnAcres]],-2)</f>
        <v>44700</v>
      </c>
      <c r="CI96" s="12">
        <f>Sales[[#This Row],[Unadj Res Value]]+Sales[[#This Row],[Unadj Det Value]]+Sales[[#This Row],[Unadj Land Value]]</f>
        <v>344800</v>
      </c>
      <c r="CJ96" s="13">
        <f>Sales[[#This Row],[Unadj Total Value]]/Sales[[#This Row],[Price]]</f>
        <v>0.99080459770114937</v>
      </c>
      <c r="CK96" s="13">
        <f>(Sales[[#This Row],[Unadj Total Value]]-Sales[[#This Row],[24Final]])/Sales[[#This Row],[24Final]]</f>
        <v>-7.7828296335918701E-2</v>
      </c>
      <c r="CL96">
        <f>VLOOKUP(Sales[[#This Row],[TNbhd]],Lookups!$Q$2:$T$4,4,FALSE)</f>
        <v>0.99970000000000003</v>
      </c>
      <c r="CM96">
        <f>VLOOKUP(Sales[[#This Row],[Qlty]],Lookups!$O$7:$R$21,4,FALSE)</f>
        <v>0.98050000000000004</v>
      </c>
      <c r="CN96">
        <f>VLOOKUP(Sales[[#This Row],[Cnd]],Lookups!$T$7:$W$16,4,FALSE)</f>
        <v>0.99729999999999996</v>
      </c>
      <c r="CO96">
        <f>VLOOKUP(Sales[[#This Row],[LivArea Range]],Lookups!$T$25:$W$37,4,FALSE)</f>
        <v>0.98919999999999997</v>
      </c>
      <c r="CP96">
        <f>VLOOKUP(Sales[[#This Row],[Decade]],Lookups!$O$25:$R$42,4,FALSE)</f>
        <v>0.995</v>
      </c>
      <c r="CQ96">
        <f>Sales[[#This Row],[Nbhd Adj]]*0.95</f>
        <v>0.94971499999999998</v>
      </c>
      <c r="CR96">
        <f>Sales[[#This Row],[Nbhd Adj]]*Sales[[#This Row],[Quality Adj]]*Sales[[#This Row],[Condition Adj]]*Sales[[#This Row],[Living Area Adj]]*Sales[[#This Row],[Decade Adj]]*0.95</f>
        <v>0.91405831328052556</v>
      </c>
      <c r="CS96">
        <f>ROUND(SUM(Sales[[#This Row],[Mdl Qlty]:[Mdl WdDeck]])+Sales[[#This Row],[Mdl Res Intercept]]*Sales[[#This Row],[Res Adj ]],-2)</f>
        <v>321000</v>
      </c>
      <c r="CT96">
        <f>ROUND(Sales[[#This Row],[25Det]]*Sales[[#This Row],[Det/Nbhd Adj]],-2)</f>
        <v>6200</v>
      </c>
      <c r="CU96">
        <f>Sales[[#This Row],[Adjusted Res]]+Sales[[#This Row],[Adj Det ]]</f>
        <v>327200</v>
      </c>
      <c r="CV96">
        <f>ROUND((Sales[[#This Row],[Mdl Land Intercept]]+Sales[[#This Row],[Mdl LnAcres]])*Sales[[#This Row],[Det/Nbhd Adj]],-2)</f>
        <v>42400</v>
      </c>
      <c r="CW96">
        <f>Sales[[#This Row],[Adjusted Impr Total]]+Sales[[#This Row],[Adjusted Land Total]]</f>
        <v>369600</v>
      </c>
      <c r="CX96" s="15">
        <f>IFERROR((Sales[[#This Row],[Adjusted Impr Total]]-Sales[[#This Row],[24Bldg]])/Sales[[#This Row],[24Bldg]],0)</f>
        <v>5.8557101261727598E-2</v>
      </c>
      <c r="CY96" s="15">
        <f>(Sales[[#This Row],[Adjusted Land Total]]-Sales[[#This Row],[24Lnd]])/Sales[[#This Row],[24Lnd]]</f>
        <v>-0.34567901234567899</v>
      </c>
      <c r="CZ96" s="15">
        <f>(Sales[[#This Row],[Adjusted Total]]-Sales[[#This Row],[24Final]])/Sales[[#This Row],[24Final]]</f>
        <v>-1.1500401176785236E-2</v>
      </c>
      <c r="DA96" s="15">
        <f>(Sales[[#This Row],[Adjusted Total]]+Sales[[#This Row],[Days Prior Total]])/Sales[[#This Row],[Price]]</f>
        <v>0.98320074867048846</v>
      </c>
    </row>
    <row r="97" spans="1:105" x14ac:dyDescent="0.3">
      <c r="A97">
        <v>2025</v>
      </c>
      <c r="B97">
        <v>18132214502</v>
      </c>
      <c r="C97">
        <v>-1.4271163556401458</v>
      </c>
      <c r="D97">
        <v>0.24</v>
      </c>
      <c r="E97">
        <v>10426</v>
      </c>
      <c r="F97">
        <v>6</v>
      </c>
      <c r="G97" t="s">
        <v>126</v>
      </c>
      <c r="H97">
        <v>3033</v>
      </c>
      <c r="I97" t="s">
        <v>349</v>
      </c>
      <c r="J97" t="s">
        <v>30</v>
      </c>
      <c r="K97">
        <v>11</v>
      </c>
      <c r="L97">
        <v>259</v>
      </c>
      <c r="M97" t="s">
        <v>241</v>
      </c>
      <c r="N97" t="s">
        <v>148</v>
      </c>
      <c r="O97" t="s">
        <v>303</v>
      </c>
      <c r="P97">
        <v>80</v>
      </c>
      <c r="Q97">
        <v>1952</v>
      </c>
      <c r="R97">
        <v>1973</v>
      </c>
      <c r="S97">
        <v>72</v>
      </c>
      <c r="T97">
        <v>51</v>
      </c>
      <c r="U97">
        <v>1</v>
      </c>
      <c r="V97">
        <v>1562</v>
      </c>
      <c r="W97">
        <v>0</v>
      </c>
      <c r="X97">
        <v>0</v>
      </c>
      <c r="Y97">
        <v>1562</v>
      </c>
      <c r="Z97">
        <v>0</v>
      </c>
      <c r="AA97">
        <v>1562</v>
      </c>
      <c r="AB97">
        <v>3124</v>
      </c>
      <c r="AC97">
        <v>3500</v>
      </c>
      <c r="AD97">
        <v>1</v>
      </c>
      <c r="AF97" t="s">
        <v>383</v>
      </c>
      <c r="AG97" t="s">
        <v>148</v>
      </c>
      <c r="AH97" t="s">
        <v>450</v>
      </c>
      <c r="AI97">
        <v>0</v>
      </c>
      <c r="AJ97">
        <v>1</v>
      </c>
      <c r="AK97">
        <v>0</v>
      </c>
      <c r="AL97">
        <v>1</v>
      </c>
      <c r="AM97">
        <v>0</v>
      </c>
      <c r="AN97">
        <v>9</v>
      </c>
      <c r="AO97">
        <v>336</v>
      </c>
      <c r="AP97">
        <v>0</v>
      </c>
      <c r="AQ97">
        <v>0</v>
      </c>
      <c r="AR97">
        <v>0</v>
      </c>
      <c r="AS97">
        <v>144</v>
      </c>
      <c r="AT97">
        <v>144</v>
      </c>
      <c r="AU97">
        <v>100</v>
      </c>
      <c r="AV97">
        <v>100</v>
      </c>
      <c r="AW97">
        <v>488183</v>
      </c>
      <c r="AX97">
        <v>380783</v>
      </c>
      <c r="AY97">
        <v>718</v>
      </c>
      <c r="AZ97">
        <v>365</v>
      </c>
      <c r="BA97">
        <v>353</v>
      </c>
      <c r="BB97">
        <v>0</v>
      </c>
      <c r="BC97" s="3">
        <v>44574</v>
      </c>
      <c r="BD97" t="s">
        <v>445</v>
      </c>
      <c r="BE97">
        <v>390000</v>
      </c>
      <c r="BF97">
        <v>374777</v>
      </c>
      <c r="BG97" t="s">
        <v>294</v>
      </c>
      <c r="BH97">
        <v>30</v>
      </c>
      <c r="BI97" t="s">
        <v>65</v>
      </c>
      <c r="BJ97" t="s">
        <v>450</v>
      </c>
      <c r="BK97">
        <v>428900</v>
      </c>
      <c r="BL97">
        <v>64800</v>
      </c>
      <c r="BM97">
        <v>364100</v>
      </c>
      <c r="BN97">
        <v>15223</v>
      </c>
      <c r="BO97">
        <v>1.0997435897435897</v>
      </c>
      <c r="BP97">
        <v>410204.14492777421</v>
      </c>
      <c r="BQ97">
        <v>431904.32708103629</v>
      </c>
      <c r="BR97" s="12">
        <f>(Sales[[#This Row],[DP1]]*Lookups!$B$59)+(Sales[[#This Row],[DP2]]*Lookups!$B$60)+(Sales[[#This Row],[DP3]]*Lookups!$B$61)</f>
        <v>-21700.182154894002</v>
      </c>
      <c r="BS97" s="12">
        <f>Lookups!$B$56*0</f>
        <v>0</v>
      </c>
      <c r="BT97" s="12">
        <f>Lookups!$B$56*1</f>
        <v>89850.625589999996</v>
      </c>
      <c r="BU97" s="12">
        <f>Lookups!$B$57*Sales[[#This Row],[LnAcres]]</f>
        <v>-45174.819855485119</v>
      </c>
      <c r="BV97" s="12">
        <f>VLOOKUP(Sales[[#This Row],[Qlty]],Lookups!$A$62:$E$75,2,FALSE)</f>
        <v>44121.038090000002</v>
      </c>
      <c r="BW97" s="12">
        <f>VLOOKUP(Sales[[#This Row],[Cnd]],Lookups!$A$76:$E$84,2,FALSE)</f>
        <v>197752.34721000001</v>
      </c>
      <c r="BX97" s="12">
        <f>Sales[[#This Row],[EffAge]]*Lookups!$B$85</f>
        <v>-11375.3256255</v>
      </c>
      <c r="BY97" s="12">
        <f>Sales[[#This Row],[MainFn]]*Lookups!$B$86</f>
        <v>77176.342347874001</v>
      </c>
      <c r="BZ97" s="12">
        <f>Sales[[#This Row],[UpprFn]]*Lookups!$B$87</f>
        <v>0</v>
      </c>
      <c r="CA97" s="12">
        <f>Sales[[#This Row],[AddFn]]*Lookups!$B$88</f>
        <v>0</v>
      </c>
      <c r="CB97" s="12">
        <f>Sales[[#This Row],[Bsmt]]*Lookups!$B$89</f>
        <v>45425.920375813999</v>
      </c>
      <c r="CC97" s="12">
        <f>Sales[[#This Row],[Fixtures]]*Lookups!$B$90</f>
        <v>34128.198946800003</v>
      </c>
      <c r="CD97" s="12">
        <f>Sales[[#This Row],[WdDeck]]*Lookups!$B$91</f>
        <v>0</v>
      </c>
      <c r="CE97" s="12">
        <f>SUM(Sales[[#This Row],[Days Prior Total]:[Mdl WdDeck]])</f>
        <v>410204.14492460893</v>
      </c>
      <c r="CF97" s="12">
        <f>ROUND(Sales[[#This Row],[25Det]],-2)</f>
        <v>15200</v>
      </c>
      <c r="CG97" s="12">
        <f>ROUND(SUM(Sales[[#This Row],[Mdl Qlty]:[Mdl WdDeck]])+Sales[[#This Row],[Mdl Res Intercept]]+Sales[[#This Row],[Days Prior Total]],-2)</f>
        <v>365500</v>
      </c>
      <c r="CH97" s="12">
        <f>ROUND(Sales[[#This Row],[Mdl Land Intercept]]+Sales[[#This Row],[Mdl LnAcres]],-2)</f>
        <v>44700</v>
      </c>
      <c r="CI97" s="12">
        <f>Sales[[#This Row],[Unadj Res Value]]+Sales[[#This Row],[Unadj Det Value]]+Sales[[#This Row],[Unadj Land Value]]</f>
        <v>425400</v>
      </c>
      <c r="CJ97" s="13">
        <f>Sales[[#This Row],[Unadj Total Value]]/Sales[[#This Row],[Price]]</f>
        <v>1.0907692307692307</v>
      </c>
      <c r="CK97" s="13">
        <f>(Sales[[#This Row],[Unadj Total Value]]-Sales[[#This Row],[24Final]])/Sales[[#This Row],[24Final]]</f>
        <v>-8.1604103520634182E-3</v>
      </c>
      <c r="CL97">
        <f>VLOOKUP(Sales[[#This Row],[TNbhd]],Lookups!$Q$2:$T$4,4,FALSE)</f>
        <v>0.99970000000000003</v>
      </c>
      <c r="CM97">
        <f>VLOOKUP(Sales[[#This Row],[Qlty]],Lookups!$O$7:$R$21,4,FALSE)</f>
        <v>0.98050000000000004</v>
      </c>
      <c r="CN97">
        <f>VLOOKUP(Sales[[#This Row],[Cnd]],Lookups!$T$7:$W$16,4,FALSE)</f>
        <v>0.99650000000000005</v>
      </c>
      <c r="CO97">
        <f>VLOOKUP(Sales[[#This Row],[LivArea Range]],Lookups!$T$25:$W$37,4,FALSE)</f>
        <v>1.0126999999999999</v>
      </c>
      <c r="CP97">
        <f>VLOOKUP(Sales[[#This Row],[Decade]],Lookups!$O$25:$R$42,4,FALSE)</f>
        <v>0.995</v>
      </c>
      <c r="CQ97">
        <f>Sales[[#This Row],[Nbhd Adj]]*0.95</f>
        <v>0.94971499999999998</v>
      </c>
      <c r="CR97">
        <f>Sales[[#This Row],[Nbhd Adj]]*Sales[[#This Row],[Quality Adj]]*Sales[[#This Row],[Condition Adj]]*Sales[[#This Row],[Living Area Adj]]*Sales[[#This Row],[Decade Adj]]*0.95</f>
        <v>0.93502255916153676</v>
      </c>
      <c r="CS97">
        <f>ROUND(SUM(Sales[[#This Row],[Mdl Qlty]:[Mdl WdDeck]])+Sales[[#This Row],[Mdl Res Intercept]]*Sales[[#This Row],[Res Adj ]],-2)</f>
        <v>387200</v>
      </c>
      <c r="CT97">
        <f>ROUND(Sales[[#This Row],[25Det]]*Sales[[#This Row],[Det/Nbhd Adj]],-2)</f>
        <v>14500</v>
      </c>
      <c r="CU97">
        <f>Sales[[#This Row],[Adjusted Res]]+Sales[[#This Row],[Adj Det ]]</f>
        <v>401700</v>
      </c>
      <c r="CV97">
        <f>ROUND((Sales[[#This Row],[Mdl Land Intercept]]+Sales[[#This Row],[Mdl LnAcres]])*Sales[[#This Row],[Det/Nbhd Adj]],-2)</f>
        <v>42400</v>
      </c>
      <c r="CW97">
        <f>Sales[[#This Row],[Adjusted Impr Total]]+Sales[[#This Row],[Adjusted Land Total]]</f>
        <v>444100</v>
      </c>
      <c r="CX97" s="15">
        <f>IFERROR((Sales[[#This Row],[Adjusted Impr Total]]-Sales[[#This Row],[24Bldg]])/Sales[[#This Row],[24Bldg]],0)</f>
        <v>0.10326833287558364</v>
      </c>
      <c r="CY97" s="15">
        <f>(Sales[[#This Row],[Adjusted Land Total]]-Sales[[#This Row],[24Lnd]])/Sales[[#This Row],[24Lnd]]</f>
        <v>-0.34567901234567899</v>
      </c>
      <c r="CZ97" s="15">
        <f>(Sales[[#This Row],[Adjusted Total]]-Sales[[#This Row],[24Final]])/Sales[[#This Row],[24Final]]</f>
        <v>3.543949638610399E-2</v>
      </c>
      <c r="DA97" s="15">
        <f>(Sales[[#This Row],[Adjusted Total]]+Sales[[#This Row],[Days Prior Total]])/Sales[[#This Row],[Price]]</f>
        <v>1.0830764560130923</v>
      </c>
    </row>
    <row r="98" spans="1:105" x14ac:dyDescent="0.3">
      <c r="A98">
        <v>2025</v>
      </c>
      <c r="B98">
        <v>18132214400</v>
      </c>
      <c r="C98">
        <v>-1.8325814637483102</v>
      </c>
      <c r="D98">
        <v>0.16</v>
      </c>
      <c r="E98">
        <v>6906</v>
      </c>
      <c r="F98">
        <v>6</v>
      </c>
      <c r="G98" t="s">
        <v>126</v>
      </c>
      <c r="H98">
        <v>3033</v>
      </c>
      <c r="I98" t="s">
        <v>349</v>
      </c>
      <c r="J98" t="s">
        <v>30</v>
      </c>
      <c r="K98">
        <v>11</v>
      </c>
      <c r="L98">
        <v>259</v>
      </c>
      <c r="M98" t="s">
        <v>300</v>
      </c>
      <c r="N98" t="s">
        <v>351</v>
      </c>
      <c r="O98" t="s">
        <v>303</v>
      </c>
      <c r="P98">
        <v>80</v>
      </c>
      <c r="Q98">
        <v>1952</v>
      </c>
      <c r="R98">
        <v>1973</v>
      </c>
      <c r="S98">
        <v>72</v>
      </c>
      <c r="T98">
        <v>51</v>
      </c>
      <c r="U98">
        <v>1</v>
      </c>
      <c r="V98">
        <v>1146</v>
      </c>
      <c r="W98">
        <v>0</v>
      </c>
      <c r="X98">
        <v>0</v>
      </c>
      <c r="Y98">
        <v>0</v>
      </c>
      <c r="Z98">
        <v>0</v>
      </c>
      <c r="AA98">
        <v>0</v>
      </c>
      <c r="AB98">
        <v>1146</v>
      </c>
      <c r="AC98">
        <v>1500</v>
      </c>
      <c r="AD98">
        <v>0</v>
      </c>
      <c r="AE98" t="s">
        <v>6</v>
      </c>
      <c r="AF98" t="s">
        <v>383</v>
      </c>
      <c r="AG98" t="s">
        <v>382</v>
      </c>
      <c r="AH98" t="s">
        <v>450</v>
      </c>
      <c r="AI98">
        <v>0</v>
      </c>
      <c r="AJ98">
        <v>0</v>
      </c>
      <c r="AK98">
        <v>0</v>
      </c>
      <c r="AL98">
        <v>1</v>
      </c>
      <c r="AM98">
        <v>1</v>
      </c>
      <c r="AN98">
        <v>7</v>
      </c>
      <c r="AO98">
        <v>0</v>
      </c>
      <c r="AP98">
        <v>0</v>
      </c>
      <c r="AQ98">
        <v>782</v>
      </c>
      <c r="AR98">
        <v>0</v>
      </c>
      <c r="AS98">
        <v>958</v>
      </c>
      <c r="AT98">
        <v>0</v>
      </c>
      <c r="AU98">
        <v>100</v>
      </c>
      <c r="AV98">
        <v>100</v>
      </c>
      <c r="AW98">
        <v>188410</v>
      </c>
      <c r="AX98">
        <v>146960</v>
      </c>
      <c r="AY98">
        <v>591</v>
      </c>
      <c r="AZ98">
        <v>365</v>
      </c>
      <c r="BA98">
        <v>226</v>
      </c>
      <c r="BB98">
        <v>0</v>
      </c>
      <c r="BC98" s="3">
        <v>44701</v>
      </c>
      <c r="BD98" t="s">
        <v>335</v>
      </c>
      <c r="BE98">
        <v>275000</v>
      </c>
      <c r="BF98">
        <v>265219</v>
      </c>
      <c r="BG98" t="s">
        <v>294</v>
      </c>
      <c r="BH98">
        <v>30</v>
      </c>
      <c r="BI98" t="s">
        <v>65</v>
      </c>
      <c r="BJ98" t="s">
        <v>450</v>
      </c>
      <c r="BK98">
        <v>310500</v>
      </c>
      <c r="BL98">
        <v>50600</v>
      </c>
      <c r="BM98">
        <v>259900</v>
      </c>
      <c r="BN98">
        <v>9781</v>
      </c>
      <c r="BO98">
        <v>1.1290909090909091</v>
      </c>
      <c r="BP98">
        <v>299783.25964450155</v>
      </c>
      <c r="BQ98">
        <v>322941.80459760019</v>
      </c>
      <c r="BR98" s="12">
        <f>(Sales[[#This Row],[DP1]]*Lookups!$B$59)+(Sales[[#This Row],[DP2]]*Lookups!$B$60)+(Sales[[#This Row],[DP3]]*Lookups!$B$61)</f>
        <v>-23158.544954698002</v>
      </c>
      <c r="BS98" s="12">
        <f>Lookups!$B$56*0</f>
        <v>0</v>
      </c>
      <c r="BT98" s="12">
        <f>Lookups!$B$56*1</f>
        <v>89850.625589999996</v>
      </c>
      <c r="BU98" s="12">
        <f>Lookups!$B$57*Sales[[#This Row],[LnAcres]]</f>
        <v>-58009.662049032086</v>
      </c>
      <c r="BV98" s="12">
        <f>VLOOKUP(Sales[[#This Row],[Qlty]],Lookups!$A$62:$E$75,2,FALSE)</f>
        <v>21557.329055999999</v>
      </c>
      <c r="BW98" s="12">
        <f>VLOOKUP(Sales[[#This Row],[Cnd]],Lookups!$A$76:$E$84,2,FALSE)</f>
        <v>197752.34721000001</v>
      </c>
      <c r="BX98" s="12">
        <f>Sales[[#This Row],[EffAge]]*Lookups!$B$85</f>
        <v>-11375.3256255</v>
      </c>
      <c r="BY98" s="12">
        <f>Sales[[#This Row],[MainFn]]*Lookups!$B$86</f>
        <v>56622.335679042</v>
      </c>
      <c r="BZ98" s="12">
        <f>Sales[[#This Row],[UpprFn]]*Lookups!$B$87</f>
        <v>0</v>
      </c>
      <c r="CA98" s="12">
        <f>Sales[[#This Row],[AddFn]]*Lookups!$B$88</f>
        <v>0</v>
      </c>
      <c r="CB98" s="12">
        <f>Sales[[#This Row],[Bsmt]]*Lookups!$B$89</f>
        <v>0</v>
      </c>
      <c r="CC98" s="12">
        <f>Sales[[#This Row],[Fixtures]]*Lookups!$B$90</f>
        <v>26544.1547364</v>
      </c>
      <c r="CD98" s="12">
        <f>Sales[[#This Row],[WdDeck]]*Lookups!$B$91</f>
        <v>0</v>
      </c>
      <c r="CE98" s="12">
        <f>SUM(Sales[[#This Row],[Days Prior Total]:[Mdl WdDeck]])</f>
        <v>299783.25964221189</v>
      </c>
      <c r="CF98" s="12">
        <f>ROUND(Sales[[#This Row],[25Det]],-2)</f>
        <v>9800</v>
      </c>
      <c r="CG98" s="12">
        <f>ROUND(SUM(Sales[[#This Row],[Mdl Qlty]:[Mdl WdDeck]])+Sales[[#This Row],[Mdl Res Intercept]]+Sales[[#This Row],[Days Prior Total]],-2)</f>
        <v>267900</v>
      </c>
      <c r="CH98" s="12">
        <f>ROUND(Sales[[#This Row],[Mdl Land Intercept]]+Sales[[#This Row],[Mdl LnAcres]],-2)</f>
        <v>31800</v>
      </c>
      <c r="CI98" s="12">
        <f>Sales[[#This Row],[Unadj Res Value]]+Sales[[#This Row],[Unadj Det Value]]+Sales[[#This Row],[Unadj Land Value]]</f>
        <v>309500</v>
      </c>
      <c r="CJ98" s="13">
        <f>Sales[[#This Row],[Unadj Total Value]]/Sales[[#This Row],[Price]]</f>
        <v>1.1254545454545455</v>
      </c>
      <c r="CK98" s="13">
        <f>(Sales[[#This Row],[Unadj Total Value]]-Sales[[#This Row],[24Final]])/Sales[[#This Row],[24Final]]</f>
        <v>-3.2206119162640902E-3</v>
      </c>
      <c r="CL98">
        <f>VLOOKUP(Sales[[#This Row],[TNbhd]],Lookups!$Q$2:$T$4,4,FALSE)</f>
        <v>0.99970000000000003</v>
      </c>
      <c r="CM98">
        <f>VLOOKUP(Sales[[#This Row],[Qlty]],Lookups!$O$7:$R$21,4,FALSE)</f>
        <v>1.0067999999999999</v>
      </c>
      <c r="CN98">
        <f>VLOOKUP(Sales[[#This Row],[Cnd]],Lookups!$T$7:$W$16,4,FALSE)</f>
        <v>0.99650000000000005</v>
      </c>
      <c r="CO98">
        <f>VLOOKUP(Sales[[#This Row],[LivArea Range]],Lookups!$T$25:$W$37,4,FALSE)</f>
        <v>1.0157</v>
      </c>
      <c r="CP98">
        <f>VLOOKUP(Sales[[#This Row],[Decade]],Lookups!$O$25:$R$42,4,FALSE)</f>
        <v>0.995</v>
      </c>
      <c r="CQ98">
        <f>Sales[[#This Row],[Nbhd Adj]]*0.95</f>
        <v>0.94971499999999998</v>
      </c>
      <c r="CR98">
        <f>Sales[[#This Row],[Nbhd Adj]]*Sales[[#This Row],[Quality Adj]]*Sales[[#This Row],[Condition Adj]]*Sales[[#This Row],[Living Area Adj]]*Sales[[#This Row],[Decade Adj]]*0.95</f>
        <v>0.96294690248840986</v>
      </c>
      <c r="CS98">
        <f>ROUND(SUM(Sales[[#This Row],[Mdl Qlty]:[Mdl WdDeck]])+Sales[[#This Row],[Mdl Res Intercept]]*Sales[[#This Row],[Res Adj ]],-2)</f>
        <v>291100</v>
      </c>
      <c r="CT98">
        <f>ROUND(Sales[[#This Row],[25Det]]*Sales[[#This Row],[Det/Nbhd Adj]],-2)</f>
        <v>9300</v>
      </c>
      <c r="CU98">
        <f>Sales[[#This Row],[Adjusted Res]]+Sales[[#This Row],[Adj Det ]]</f>
        <v>300400</v>
      </c>
      <c r="CV98">
        <f>ROUND((Sales[[#This Row],[Mdl Land Intercept]]+Sales[[#This Row],[Mdl LnAcres]])*Sales[[#This Row],[Det/Nbhd Adj]],-2)</f>
        <v>30200</v>
      </c>
      <c r="CW98">
        <f>Sales[[#This Row],[Adjusted Impr Total]]+Sales[[#This Row],[Adjusted Land Total]]</f>
        <v>330600</v>
      </c>
      <c r="CX98" s="15">
        <f>IFERROR((Sales[[#This Row],[Adjusted Impr Total]]-Sales[[#This Row],[24Bldg]])/Sales[[#This Row],[24Bldg]],0)</f>
        <v>0.15582916506348596</v>
      </c>
      <c r="CY98" s="15">
        <f>(Sales[[#This Row],[Adjusted Land Total]]-Sales[[#This Row],[24Lnd]])/Sales[[#This Row],[24Lnd]]</f>
        <v>-0.40316205533596838</v>
      </c>
      <c r="CZ98" s="15">
        <f>(Sales[[#This Row],[Adjusted Total]]-Sales[[#This Row],[24Final]])/Sales[[#This Row],[24Final]]</f>
        <v>6.4734299516908206E-2</v>
      </c>
      <c r="DA98" s="15">
        <f>(Sales[[#This Row],[Adjusted Total]]+Sales[[#This Row],[Days Prior Total]])/Sales[[#This Row],[Price]]</f>
        <v>1.1179689274374618</v>
      </c>
    </row>
    <row r="99" spans="1:105" x14ac:dyDescent="0.3">
      <c r="A99">
        <v>2025</v>
      </c>
      <c r="B99">
        <v>18132241460</v>
      </c>
      <c r="C99">
        <v>-1.6607312068216509</v>
      </c>
      <c r="D99">
        <v>0.19</v>
      </c>
      <c r="E99">
        <v>8060</v>
      </c>
      <c r="F99">
        <v>6</v>
      </c>
      <c r="G99" t="s">
        <v>126</v>
      </c>
      <c r="H99">
        <v>3033</v>
      </c>
      <c r="I99" t="s">
        <v>349</v>
      </c>
      <c r="J99" t="s">
        <v>30</v>
      </c>
      <c r="K99">
        <v>11</v>
      </c>
      <c r="L99">
        <v>259</v>
      </c>
      <c r="M99" t="s">
        <v>241</v>
      </c>
      <c r="N99" t="s">
        <v>351</v>
      </c>
      <c r="O99" t="s">
        <v>303</v>
      </c>
      <c r="P99">
        <v>80</v>
      </c>
      <c r="Q99">
        <v>1950</v>
      </c>
      <c r="R99">
        <v>1973</v>
      </c>
      <c r="S99">
        <v>74</v>
      </c>
      <c r="T99">
        <v>51</v>
      </c>
      <c r="U99">
        <v>1</v>
      </c>
      <c r="V99">
        <v>1224</v>
      </c>
      <c r="W99">
        <v>0</v>
      </c>
      <c r="X99">
        <v>0</v>
      </c>
      <c r="Y99">
        <v>1009</v>
      </c>
      <c r="Z99">
        <v>202</v>
      </c>
      <c r="AA99">
        <v>807</v>
      </c>
      <c r="AB99">
        <v>2031</v>
      </c>
      <c r="AC99">
        <v>2500</v>
      </c>
      <c r="AD99">
        <v>1</v>
      </c>
      <c r="AF99" t="s">
        <v>208</v>
      </c>
      <c r="AG99" t="s">
        <v>382</v>
      </c>
      <c r="AI99">
        <v>0</v>
      </c>
      <c r="AJ99">
        <v>1</v>
      </c>
      <c r="AK99">
        <v>0</v>
      </c>
      <c r="AL99">
        <v>0</v>
      </c>
      <c r="AM99">
        <v>1</v>
      </c>
      <c r="AN99">
        <v>7</v>
      </c>
      <c r="AO99">
        <v>242</v>
      </c>
      <c r="AP99">
        <v>0</v>
      </c>
      <c r="AQ99">
        <v>0</v>
      </c>
      <c r="AR99">
        <v>288</v>
      </c>
      <c r="AS99">
        <v>0</v>
      </c>
      <c r="AT99">
        <v>0</v>
      </c>
      <c r="AU99">
        <v>100</v>
      </c>
      <c r="AV99">
        <v>100</v>
      </c>
      <c r="AW99">
        <v>266753</v>
      </c>
      <c r="AX99">
        <v>208067</v>
      </c>
      <c r="AY99">
        <v>592</v>
      </c>
      <c r="AZ99">
        <v>365</v>
      </c>
      <c r="BA99">
        <v>227</v>
      </c>
      <c r="BB99">
        <v>0</v>
      </c>
      <c r="BC99" s="3">
        <v>44700</v>
      </c>
      <c r="BD99" t="s">
        <v>334</v>
      </c>
      <c r="BE99">
        <v>420000</v>
      </c>
      <c r="BF99">
        <v>420000</v>
      </c>
      <c r="BG99" t="s">
        <v>294</v>
      </c>
      <c r="BH99">
        <v>30</v>
      </c>
      <c r="BI99" t="s">
        <v>65</v>
      </c>
      <c r="BJ99" t="s">
        <v>450</v>
      </c>
      <c r="BK99">
        <v>338800</v>
      </c>
      <c r="BL99">
        <v>56600</v>
      </c>
      <c r="BM99">
        <v>282200</v>
      </c>
      <c r="BN99">
        <v>0</v>
      </c>
      <c r="BO99">
        <v>0.80666666666666664</v>
      </c>
      <c r="BP99">
        <v>348021.21361859865</v>
      </c>
      <c r="BQ99">
        <v>371168.27540004498</v>
      </c>
      <c r="BR99" s="12">
        <f>(Sales[[#This Row],[DP1]]*Lookups!$B$59)+(Sales[[#This Row],[DP2]]*Lookups!$B$60)+(Sales[[#This Row],[DP3]]*Lookups!$B$61)</f>
        <v>-23147.061783046</v>
      </c>
      <c r="BS99" s="12">
        <f>Lookups!$B$56*0</f>
        <v>0</v>
      </c>
      <c r="BT99" s="12">
        <f>Lookups!$B$56*1</f>
        <v>89850.625589999996</v>
      </c>
      <c r="BU99" s="12">
        <f>Lookups!$B$57*Sales[[#This Row],[LnAcres]]</f>
        <v>-52569.808201026557</v>
      </c>
      <c r="BV99" s="12">
        <f>VLOOKUP(Sales[[#This Row],[Qlty]],Lookups!$A$62:$E$75,2,FALSE)</f>
        <v>21557.329055999999</v>
      </c>
      <c r="BW99" s="12">
        <f>VLOOKUP(Sales[[#This Row],[Cnd]],Lookups!$A$76:$E$84,2,FALSE)</f>
        <v>197752.34721000001</v>
      </c>
      <c r="BX99" s="12">
        <f>Sales[[#This Row],[EffAge]]*Lookups!$B$85</f>
        <v>-11375.3256255</v>
      </c>
      <c r="BY99" s="12">
        <f>Sales[[#This Row],[MainFn]]*Lookups!$B$86</f>
        <v>60476.211929448</v>
      </c>
      <c r="BZ99" s="12">
        <f>Sales[[#This Row],[UpprFn]]*Lookups!$B$87</f>
        <v>0</v>
      </c>
      <c r="CA99" s="12">
        <f>Sales[[#This Row],[AddFn]]*Lookups!$B$88</f>
        <v>0</v>
      </c>
      <c r="CB99" s="12">
        <f>Sales[[#This Row],[Bsmt]]*Lookups!$B$89</f>
        <v>29343.632304223</v>
      </c>
      <c r="CC99" s="12">
        <f>Sales[[#This Row],[Fixtures]]*Lookups!$B$90</f>
        <v>26544.1547364</v>
      </c>
      <c r="CD99" s="12">
        <f>Sales[[#This Row],[WdDeck]]*Lookups!$B$91</f>
        <v>9589.1083994880009</v>
      </c>
      <c r="CE99" s="12">
        <f>SUM(Sales[[#This Row],[Days Prior Total]:[Mdl WdDeck]])</f>
        <v>348021.21361598646</v>
      </c>
      <c r="CF99" s="12">
        <f>ROUND(Sales[[#This Row],[25Det]],-2)</f>
        <v>0</v>
      </c>
      <c r="CG99" s="12">
        <f>ROUND(SUM(Sales[[#This Row],[Mdl Qlty]:[Mdl WdDeck]])+Sales[[#This Row],[Mdl Res Intercept]]+Sales[[#This Row],[Days Prior Total]],-2)</f>
        <v>310700</v>
      </c>
      <c r="CH99" s="12">
        <f>ROUND(Sales[[#This Row],[Mdl Land Intercept]]+Sales[[#This Row],[Mdl LnAcres]],-2)</f>
        <v>37300</v>
      </c>
      <c r="CI99" s="12">
        <f>Sales[[#This Row],[Unadj Res Value]]+Sales[[#This Row],[Unadj Det Value]]+Sales[[#This Row],[Unadj Land Value]]</f>
        <v>348000</v>
      </c>
      <c r="CJ99" s="13">
        <f>Sales[[#This Row],[Unadj Total Value]]/Sales[[#This Row],[Price]]</f>
        <v>0.82857142857142863</v>
      </c>
      <c r="CK99" s="13">
        <f>(Sales[[#This Row],[Unadj Total Value]]-Sales[[#This Row],[24Final]])/Sales[[#This Row],[24Final]]</f>
        <v>2.7154663518299881E-2</v>
      </c>
      <c r="CL99">
        <f>VLOOKUP(Sales[[#This Row],[TNbhd]],Lookups!$Q$2:$T$4,4,FALSE)</f>
        <v>0.99970000000000003</v>
      </c>
      <c r="CM99">
        <f>VLOOKUP(Sales[[#This Row],[Qlty]],Lookups!$O$7:$R$21,4,FALSE)</f>
        <v>1.0067999999999999</v>
      </c>
      <c r="CN99">
        <f>VLOOKUP(Sales[[#This Row],[Cnd]],Lookups!$T$7:$W$16,4,FALSE)</f>
        <v>0.99650000000000005</v>
      </c>
      <c r="CO99">
        <f>VLOOKUP(Sales[[#This Row],[LivArea Range]],Lookups!$T$25:$W$37,4,FALSE)</f>
        <v>0.98919999999999997</v>
      </c>
      <c r="CP99">
        <f>VLOOKUP(Sales[[#This Row],[Decade]],Lookups!$O$25:$R$42,4,FALSE)</f>
        <v>0.995</v>
      </c>
      <c r="CQ99">
        <f>Sales[[#This Row],[Nbhd Adj]]*0.95</f>
        <v>0.94971499999999998</v>
      </c>
      <c r="CR99">
        <f>Sales[[#This Row],[Nbhd Adj]]*Sales[[#This Row],[Quality Adj]]*Sales[[#This Row],[Condition Adj]]*Sales[[#This Row],[Living Area Adj]]*Sales[[#This Row],[Decade Adj]]*0.95</f>
        <v>0.93782325090236773</v>
      </c>
      <c r="CS99">
        <f>ROUND(SUM(Sales[[#This Row],[Mdl Qlty]:[Mdl WdDeck]])+Sales[[#This Row],[Mdl Res Intercept]]*Sales[[#This Row],[Res Adj ]],-2)</f>
        <v>333900</v>
      </c>
      <c r="CT99">
        <f>ROUND(Sales[[#This Row],[25Det]]*Sales[[#This Row],[Det/Nbhd Adj]],-2)</f>
        <v>0</v>
      </c>
      <c r="CU99">
        <f>Sales[[#This Row],[Adjusted Res]]+Sales[[#This Row],[Adj Det ]]</f>
        <v>333900</v>
      </c>
      <c r="CV99">
        <f>ROUND((Sales[[#This Row],[Mdl Land Intercept]]+Sales[[#This Row],[Mdl LnAcres]])*Sales[[#This Row],[Det/Nbhd Adj]],-2)</f>
        <v>35400</v>
      </c>
      <c r="CW99">
        <f>Sales[[#This Row],[Adjusted Impr Total]]+Sales[[#This Row],[Adjusted Land Total]]</f>
        <v>369300</v>
      </c>
      <c r="CX99" s="15">
        <f>IFERROR((Sales[[#This Row],[Adjusted Impr Total]]-Sales[[#This Row],[24Bldg]])/Sales[[#This Row],[24Bldg]],0)</f>
        <v>0.18320340184266479</v>
      </c>
      <c r="CY99" s="15">
        <f>(Sales[[#This Row],[Adjusted Land Total]]-Sales[[#This Row],[24Lnd]])/Sales[[#This Row],[24Lnd]]</f>
        <v>-0.37455830388692579</v>
      </c>
      <c r="CZ99" s="15">
        <f>(Sales[[#This Row],[Adjusted Total]]-Sales[[#This Row],[24Final]])/Sales[[#This Row],[24Final]]</f>
        <v>9.0023612750885482E-2</v>
      </c>
      <c r="DA99" s="15">
        <f>(Sales[[#This Row],[Adjusted Total]]+Sales[[#This Row],[Days Prior Total]])/Sales[[#This Row],[Price]]</f>
        <v>0.82417366242131906</v>
      </c>
    </row>
    <row r="100" spans="1:105" x14ac:dyDescent="0.3">
      <c r="A100">
        <v>2025</v>
      </c>
      <c r="B100">
        <v>18132334004</v>
      </c>
      <c r="C100">
        <v>-2.120263536200091</v>
      </c>
      <c r="D100">
        <v>0.12</v>
      </c>
      <c r="E100">
        <v>5160</v>
      </c>
      <c r="F100">
        <v>6</v>
      </c>
      <c r="G100" t="s">
        <v>126</v>
      </c>
      <c r="H100">
        <v>3093</v>
      </c>
      <c r="I100" t="s">
        <v>349</v>
      </c>
      <c r="J100" t="s">
        <v>30</v>
      </c>
      <c r="K100">
        <v>11</v>
      </c>
      <c r="L100">
        <v>259</v>
      </c>
      <c r="M100" t="s">
        <v>147</v>
      </c>
      <c r="N100" t="s">
        <v>205</v>
      </c>
      <c r="O100" t="s">
        <v>323</v>
      </c>
      <c r="P100">
        <v>80</v>
      </c>
      <c r="Q100">
        <v>1950</v>
      </c>
      <c r="R100">
        <v>1973</v>
      </c>
      <c r="S100">
        <v>74</v>
      </c>
      <c r="T100">
        <v>51</v>
      </c>
      <c r="U100">
        <v>2</v>
      </c>
      <c r="V100">
        <v>1364</v>
      </c>
      <c r="W100">
        <v>176</v>
      </c>
      <c r="X100">
        <v>0</v>
      </c>
      <c r="Y100">
        <v>0</v>
      </c>
      <c r="Z100">
        <v>0</v>
      </c>
      <c r="AA100">
        <v>0</v>
      </c>
      <c r="AB100">
        <v>1540</v>
      </c>
      <c r="AC100">
        <v>2000</v>
      </c>
      <c r="AD100">
        <v>0</v>
      </c>
      <c r="AF100" t="s">
        <v>384</v>
      </c>
      <c r="AG100" t="s">
        <v>382</v>
      </c>
      <c r="AI100">
        <v>1</v>
      </c>
      <c r="AJ100">
        <v>0</v>
      </c>
      <c r="AK100">
        <v>0</v>
      </c>
      <c r="AL100">
        <v>0</v>
      </c>
      <c r="AM100">
        <v>0</v>
      </c>
      <c r="AN100">
        <v>5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100</v>
      </c>
      <c r="AV100">
        <v>100</v>
      </c>
      <c r="AW100">
        <v>185757</v>
      </c>
      <c r="AX100">
        <v>130030</v>
      </c>
      <c r="AY100">
        <v>1068</v>
      </c>
      <c r="AZ100">
        <v>365</v>
      </c>
      <c r="BA100">
        <v>365</v>
      </c>
      <c r="BB100">
        <v>338</v>
      </c>
      <c r="BC100" s="3">
        <v>44224</v>
      </c>
      <c r="BD100" t="s">
        <v>66</v>
      </c>
      <c r="BE100">
        <v>243000</v>
      </c>
      <c r="BF100">
        <v>237861</v>
      </c>
      <c r="BG100" t="s">
        <v>294</v>
      </c>
      <c r="BH100">
        <v>30</v>
      </c>
      <c r="BI100" t="s">
        <v>65</v>
      </c>
      <c r="BJ100" t="s">
        <v>450</v>
      </c>
      <c r="BK100">
        <v>263600</v>
      </c>
      <c r="BL100">
        <v>40600</v>
      </c>
      <c r="BM100">
        <v>223000</v>
      </c>
      <c r="BN100">
        <v>5139</v>
      </c>
      <c r="BO100">
        <v>1.0847736625514404</v>
      </c>
      <c r="BP100">
        <v>199306.99926142747</v>
      </c>
      <c r="BQ100">
        <v>266067.32230655866</v>
      </c>
      <c r="BR100" s="12">
        <f>(Sales[[#This Row],[DP1]]*Lookups!$B$59)+(Sales[[#This Row],[DP2]]*Lookups!$B$60)+(Sales[[#This Row],[DP3]]*Lookups!$B$61)</f>
        <v>-66760.323055270012</v>
      </c>
      <c r="BS100" s="12">
        <f>Lookups!$B$56*0</f>
        <v>0</v>
      </c>
      <c r="BT100" s="12">
        <f>Lookups!$B$56*1</f>
        <v>89850.625589999996</v>
      </c>
      <c r="BU100" s="12">
        <f>Lookups!$B$57*Sales[[#This Row],[LnAcres]]</f>
        <v>-67116.12750806773</v>
      </c>
      <c r="BV100" s="12">
        <f>VLOOKUP(Sales[[#This Row],[Qlty]],Lookups!$A$62:$E$75,2,FALSE)</f>
        <v>0</v>
      </c>
      <c r="BW100" s="12">
        <f>VLOOKUP(Sales[[#This Row],[Cnd]],Lookups!$A$76:$E$84,2,FALSE)</f>
        <v>160472.20319</v>
      </c>
      <c r="BX100" s="12">
        <f>Sales[[#This Row],[EffAge]]*Lookups!$B$85</f>
        <v>-11375.3256255</v>
      </c>
      <c r="BY100" s="12">
        <f>Sales[[#This Row],[MainFn]]*Lookups!$B$86</f>
        <v>67393.425712227996</v>
      </c>
      <c r="BZ100" s="12">
        <f>Sales[[#This Row],[UpprFn]]*Lookups!$B$87</f>
        <v>7882.4104235360001</v>
      </c>
      <c r="CA100" s="12">
        <f>Sales[[#This Row],[AddFn]]*Lookups!$B$88</f>
        <v>0</v>
      </c>
      <c r="CB100" s="12">
        <f>Sales[[#This Row],[Bsmt]]*Lookups!$B$89</f>
        <v>0</v>
      </c>
      <c r="CC100" s="12">
        <f>Sales[[#This Row],[Fixtures]]*Lookups!$B$90</f>
        <v>18960.110526</v>
      </c>
      <c r="CD100" s="12">
        <f>Sales[[#This Row],[WdDeck]]*Lookups!$B$91</f>
        <v>0</v>
      </c>
      <c r="CE100" s="12">
        <f>SUM(Sales[[#This Row],[Days Prior Total]:[Mdl WdDeck]])</f>
        <v>199306.99925292627</v>
      </c>
      <c r="CF100" s="12">
        <f>ROUND(Sales[[#This Row],[25Det]],-2)</f>
        <v>5100</v>
      </c>
      <c r="CG100" s="12">
        <f>ROUND(SUM(Sales[[#This Row],[Mdl Qlty]:[Mdl WdDeck]])+Sales[[#This Row],[Mdl Res Intercept]]+Sales[[#This Row],[Days Prior Total]],-2)</f>
        <v>176600</v>
      </c>
      <c r="CH100" s="12">
        <f>ROUND(Sales[[#This Row],[Mdl Land Intercept]]+Sales[[#This Row],[Mdl LnAcres]],-2)</f>
        <v>22700</v>
      </c>
      <c r="CI100" s="12">
        <f>Sales[[#This Row],[Unadj Res Value]]+Sales[[#This Row],[Unadj Det Value]]+Sales[[#This Row],[Unadj Land Value]]</f>
        <v>204400</v>
      </c>
      <c r="CJ100" s="13">
        <f>Sales[[#This Row],[Unadj Total Value]]/Sales[[#This Row],[Price]]</f>
        <v>0.84115226337448556</v>
      </c>
      <c r="CK100" s="13">
        <f>(Sales[[#This Row],[Unadj Total Value]]-Sales[[#This Row],[24Final]])/Sales[[#This Row],[24Final]]</f>
        <v>-0.22458270106221548</v>
      </c>
      <c r="CL100">
        <f>VLOOKUP(Sales[[#This Row],[TNbhd]],Lookups!$Q$2:$T$4,4,FALSE)</f>
        <v>0.99970000000000003</v>
      </c>
      <c r="CM100">
        <f>VLOOKUP(Sales[[#This Row],[Qlty]],Lookups!$O$7:$R$21,4,FALSE)</f>
        <v>0.99180000000000001</v>
      </c>
      <c r="CN100">
        <f>VLOOKUP(Sales[[#This Row],[Cnd]],Lookups!$T$7:$W$16,4,FALSE)</f>
        <v>0.99729999999999996</v>
      </c>
      <c r="CO100">
        <f>VLOOKUP(Sales[[#This Row],[LivArea Range]],Lookups!$T$25:$W$37,4,FALSE)</f>
        <v>1.0093000000000001</v>
      </c>
      <c r="CP100">
        <f>VLOOKUP(Sales[[#This Row],[Decade]],Lookups!$O$25:$R$42,4,FALSE)</f>
        <v>0.995</v>
      </c>
      <c r="CQ100">
        <f>Sales[[#This Row],[Nbhd Adj]]*0.95</f>
        <v>0.94971499999999998</v>
      </c>
      <c r="CR100">
        <f>Sales[[#This Row],[Nbhd Adj]]*Sales[[#This Row],[Quality Adj]]*Sales[[#This Row],[Condition Adj]]*Sales[[#This Row],[Living Area Adj]]*Sales[[#This Row],[Decade Adj]]*0.95</f>
        <v>0.94337980360062423</v>
      </c>
      <c r="CS100">
        <f>ROUND(SUM(Sales[[#This Row],[Mdl Qlty]:[Mdl WdDeck]])+Sales[[#This Row],[Mdl Res Intercept]]*Sales[[#This Row],[Res Adj ]],-2)</f>
        <v>243300</v>
      </c>
      <c r="CT100">
        <f>ROUND(Sales[[#This Row],[25Det]]*Sales[[#This Row],[Det/Nbhd Adj]],-2)</f>
        <v>4900</v>
      </c>
      <c r="CU100">
        <f>Sales[[#This Row],[Adjusted Res]]+Sales[[#This Row],[Adj Det ]]</f>
        <v>248200</v>
      </c>
      <c r="CV100">
        <f>ROUND((Sales[[#This Row],[Mdl Land Intercept]]+Sales[[#This Row],[Mdl LnAcres]])*Sales[[#This Row],[Det/Nbhd Adj]],-2)</f>
        <v>21600</v>
      </c>
      <c r="CW100">
        <f>Sales[[#This Row],[Adjusted Impr Total]]+Sales[[#This Row],[Adjusted Land Total]]</f>
        <v>269800</v>
      </c>
      <c r="CX100" s="15">
        <f>IFERROR((Sales[[#This Row],[Adjusted Impr Total]]-Sales[[#This Row],[24Bldg]])/Sales[[#This Row],[24Bldg]],0)</f>
        <v>0.11300448430493273</v>
      </c>
      <c r="CY100" s="15">
        <f>(Sales[[#This Row],[Adjusted Land Total]]-Sales[[#This Row],[24Lnd]])/Sales[[#This Row],[24Lnd]]</f>
        <v>-0.46798029556650245</v>
      </c>
      <c r="CZ100" s="15">
        <f>(Sales[[#This Row],[Adjusted Total]]-Sales[[#This Row],[24Final]])/Sales[[#This Row],[24Final]]</f>
        <v>2.3520485584218515E-2</v>
      </c>
      <c r="DA100" s="15">
        <f>(Sales[[#This Row],[Adjusted Total]]+Sales[[#This Row],[Days Prior Total]])/Sales[[#This Row],[Price]]</f>
        <v>0.83555422610999996</v>
      </c>
    </row>
    <row r="101" spans="1:105" x14ac:dyDescent="0.3">
      <c r="A101">
        <v>2025</v>
      </c>
      <c r="B101">
        <v>18132323448</v>
      </c>
      <c r="C101">
        <v>-1.8325814637483102</v>
      </c>
      <c r="D101">
        <v>0.16</v>
      </c>
      <c r="E101">
        <v>0</v>
      </c>
      <c r="F101">
        <v>6</v>
      </c>
      <c r="G101" t="s">
        <v>126</v>
      </c>
      <c r="H101">
        <v>3033</v>
      </c>
      <c r="I101" t="s">
        <v>349</v>
      </c>
      <c r="J101" t="s">
        <v>30</v>
      </c>
      <c r="K101">
        <v>11</v>
      </c>
      <c r="L101">
        <v>259</v>
      </c>
      <c r="M101" t="s">
        <v>242</v>
      </c>
      <c r="N101" t="s">
        <v>351</v>
      </c>
      <c r="O101" t="s">
        <v>303</v>
      </c>
      <c r="P101">
        <v>80</v>
      </c>
      <c r="Q101">
        <v>1950</v>
      </c>
      <c r="R101">
        <v>1973</v>
      </c>
      <c r="S101">
        <v>74</v>
      </c>
      <c r="T101">
        <v>51</v>
      </c>
      <c r="U101">
        <v>1</v>
      </c>
      <c r="V101">
        <v>1320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1320</v>
      </c>
      <c r="AC101">
        <v>1500</v>
      </c>
      <c r="AD101">
        <v>0</v>
      </c>
      <c r="AE101" t="s">
        <v>174</v>
      </c>
      <c r="AF101" t="s">
        <v>208</v>
      </c>
      <c r="AG101" t="s">
        <v>382</v>
      </c>
      <c r="AI101">
        <v>0</v>
      </c>
      <c r="AJ101">
        <v>0</v>
      </c>
      <c r="AK101">
        <v>0</v>
      </c>
      <c r="AL101">
        <v>1</v>
      </c>
      <c r="AM101">
        <v>0</v>
      </c>
      <c r="AN101">
        <v>9</v>
      </c>
      <c r="AO101">
        <v>0</v>
      </c>
      <c r="AP101">
        <v>0</v>
      </c>
      <c r="AQ101">
        <v>0</v>
      </c>
      <c r="AR101">
        <v>0</v>
      </c>
      <c r="AS101">
        <v>339</v>
      </c>
      <c r="AT101">
        <v>339</v>
      </c>
      <c r="AU101">
        <v>100</v>
      </c>
      <c r="AV101">
        <v>100</v>
      </c>
      <c r="AW101">
        <v>200089</v>
      </c>
      <c r="AX101">
        <v>156069</v>
      </c>
      <c r="AY101">
        <v>494</v>
      </c>
      <c r="AZ101">
        <v>365</v>
      </c>
      <c r="BA101">
        <v>129</v>
      </c>
      <c r="BB101">
        <v>0</v>
      </c>
      <c r="BC101" s="3">
        <v>44798</v>
      </c>
      <c r="BD101" t="s">
        <v>106</v>
      </c>
      <c r="BE101">
        <v>365000</v>
      </c>
      <c r="BF101">
        <v>359579</v>
      </c>
      <c r="BG101" t="s">
        <v>294</v>
      </c>
      <c r="BH101">
        <v>30</v>
      </c>
      <c r="BI101" t="s">
        <v>65</v>
      </c>
      <c r="BJ101" t="s">
        <v>450</v>
      </c>
      <c r="BK101">
        <v>317400</v>
      </c>
      <c r="BL101">
        <v>50600</v>
      </c>
      <c r="BM101">
        <v>266800</v>
      </c>
      <c r="BN101">
        <v>5421</v>
      </c>
      <c r="BO101">
        <v>0.86958904109589041</v>
      </c>
      <c r="BP101">
        <v>314850.54476325621</v>
      </c>
      <c r="BQ101">
        <v>339122.95736662362</v>
      </c>
      <c r="BR101" s="12">
        <f>(Sales[[#This Row],[DP1]]*Lookups!$B$59)+(Sales[[#This Row],[DP2]]*Lookups!$B$60)+(Sales[[#This Row],[DP3]]*Lookups!$B$61)</f>
        <v>-24272.412604942001</v>
      </c>
      <c r="BS101" s="12">
        <f>Lookups!$B$56*0</f>
        <v>0</v>
      </c>
      <c r="BT101" s="12">
        <f>Lookups!$B$56*1</f>
        <v>89850.625589999996</v>
      </c>
      <c r="BU101" s="12">
        <f>Lookups!$B$57*Sales[[#This Row],[LnAcres]]</f>
        <v>-58009.662049032086</v>
      </c>
      <c r="BV101" s="12">
        <f>VLOOKUP(Sales[[#This Row],[Qlty]],Lookups!$A$62:$E$75,2,FALSE)</f>
        <v>21557.329055999999</v>
      </c>
      <c r="BW101" s="12">
        <f>VLOOKUP(Sales[[#This Row],[Cnd]],Lookups!$A$76:$E$84,2,FALSE)</f>
        <v>197752.34721000001</v>
      </c>
      <c r="BX101" s="12">
        <f>Sales[[#This Row],[EffAge]]*Lookups!$B$85</f>
        <v>-11375.3256255</v>
      </c>
      <c r="BY101" s="12">
        <f>Sales[[#This Row],[MainFn]]*Lookups!$B$86</f>
        <v>65219.444237640004</v>
      </c>
      <c r="BZ101" s="12">
        <f>Sales[[#This Row],[UpprFn]]*Lookups!$B$87</f>
        <v>0</v>
      </c>
      <c r="CA101" s="12">
        <f>Sales[[#This Row],[AddFn]]*Lookups!$B$88</f>
        <v>0</v>
      </c>
      <c r="CB101" s="12">
        <f>Sales[[#This Row],[Bsmt]]*Lookups!$B$89</f>
        <v>0</v>
      </c>
      <c r="CC101" s="12">
        <f>Sales[[#This Row],[Fixtures]]*Lookups!$B$90</f>
        <v>34128.198946800003</v>
      </c>
      <c r="CD101" s="12">
        <f>Sales[[#This Row],[WdDeck]]*Lookups!$B$91</f>
        <v>0</v>
      </c>
      <c r="CE101" s="12">
        <f>SUM(Sales[[#This Row],[Days Prior Total]:[Mdl WdDeck]])</f>
        <v>314850.54476096592</v>
      </c>
      <c r="CF101" s="12">
        <f>ROUND(Sales[[#This Row],[25Det]],-2)</f>
        <v>5400</v>
      </c>
      <c r="CG101" s="12">
        <f>ROUND(SUM(Sales[[#This Row],[Mdl Qlty]:[Mdl WdDeck]])+Sales[[#This Row],[Mdl Res Intercept]]+Sales[[#This Row],[Days Prior Total]],-2)</f>
        <v>283000</v>
      </c>
      <c r="CH101" s="12">
        <f>ROUND(Sales[[#This Row],[Mdl Land Intercept]]+Sales[[#This Row],[Mdl LnAcres]],-2)</f>
        <v>31800</v>
      </c>
      <c r="CI101" s="12">
        <f>Sales[[#This Row],[Unadj Res Value]]+Sales[[#This Row],[Unadj Det Value]]+Sales[[#This Row],[Unadj Land Value]]</f>
        <v>320200</v>
      </c>
      <c r="CJ101" s="13">
        <f>Sales[[#This Row],[Unadj Total Value]]/Sales[[#This Row],[Price]]</f>
        <v>0.87726027397260276</v>
      </c>
      <c r="CK101" s="13">
        <f>(Sales[[#This Row],[Unadj Total Value]]-Sales[[#This Row],[24Final]])/Sales[[#This Row],[24Final]]</f>
        <v>8.8216761184625077E-3</v>
      </c>
      <c r="CL101">
        <f>VLOOKUP(Sales[[#This Row],[TNbhd]],Lookups!$Q$2:$T$4,4,FALSE)</f>
        <v>0.99970000000000003</v>
      </c>
      <c r="CM101">
        <f>VLOOKUP(Sales[[#This Row],[Qlty]],Lookups!$O$7:$R$21,4,FALSE)</f>
        <v>1.0067999999999999</v>
      </c>
      <c r="CN101">
        <f>VLOOKUP(Sales[[#This Row],[Cnd]],Lookups!$T$7:$W$16,4,FALSE)</f>
        <v>0.99650000000000005</v>
      </c>
      <c r="CO101">
        <f>VLOOKUP(Sales[[#This Row],[LivArea Range]],Lookups!$T$25:$W$37,4,FALSE)</f>
        <v>1.0157</v>
      </c>
      <c r="CP101">
        <f>VLOOKUP(Sales[[#This Row],[Decade]],Lookups!$O$25:$R$42,4,FALSE)</f>
        <v>0.995</v>
      </c>
      <c r="CQ101">
        <f>Sales[[#This Row],[Nbhd Adj]]*0.95</f>
        <v>0.94971499999999998</v>
      </c>
      <c r="CR101">
        <f>Sales[[#This Row],[Nbhd Adj]]*Sales[[#This Row],[Quality Adj]]*Sales[[#This Row],[Condition Adj]]*Sales[[#This Row],[Living Area Adj]]*Sales[[#This Row],[Decade Adj]]*0.95</f>
        <v>0.96294690248840986</v>
      </c>
      <c r="CS101">
        <f>ROUND(SUM(Sales[[#This Row],[Mdl Qlty]:[Mdl WdDeck]])+Sales[[#This Row],[Mdl Res Intercept]]*Sales[[#This Row],[Res Adj ]],-2)</f>
        <v>307300</v>
      </c>
      <c r="CT101">
        <f>ROUND(Sales[[#This Row],[25Det]]*Sales[[#This Row],[Det/Nbhd Adj]],-2)</f>
        <v>5100</v>
      </c>
      <c r="CU101">
        <f>Sales[[#This Row],[Adjusted Res]]+Sales[[#This Row],[Adj Det ]]</f>
        <v>312400</v>
      </c>
      <c r="CV101">
        <f>ROUND((Sales[[#This Row],[Mdl Land Intercept]]+Sales[[#This Row],[Mdl LnAcres]])*Sales[[#This Row],[Det/Nbhd Adj]],-2)</f>
        <v>30200</v>
      </c>
      <c r="CW101">
        <f>Sales[[#This Row],[Adjusted Impr Total]]+Sales[[#This Row],[Adjusted Land Total]]</f>
        <v>342600</v>
      </c>
      <c r="CX101" s="15">
        <f>IFERROR((Sales[[#This Row],[Adjusted Impr Total]]-Sales[[#This Row],[24Bldg]])/Sales[[#This Row],[24Bldg]],0)</f>
        <v>0.17091454272863568</v>
      </c>
      <c r="CY101" s="15">
        <f>(Sales[[#This Row],[Adjusted Land Total]]-Sales[[#This Row],[24Lnd]])/Sales[[#This Row],[24Lnd]]</f>
        <v>-0.40316205533596838</v>
      </c>
      <c r="CZ101" s="15">
        <f>(Sales[[#This Row],[Adjusted Total]]-Sales[[#This Row],[24Final]])/Sales[[#This Row],[24Final]]</f>
        <v>7.9395085066162566E-2</v>
      </c>
      <c r="DA101" s="15">
        <f>(Sales[[#This Row],[Adjusted Total]]+Sales[[#This Row],[Days Prior Total]])/Sales[[#This Row],[Price]]</f>
        <v>0.8721303764248165</v>
      </c>
    </row>
    <row r="102" spans="1:105" x14ac:dyDescent="0.3">
      <c r="A102">
        <v>2025</v>
      </c>
      <c r="B102">
        <v>18132322430</v>
      </c>
      <c r="C102">
        <v>-1.6094379124341003</v>
      </c>
      <c r="D102">
        <v>0.2</v>
      </c>
      <c r="E102">
        <v>0</v>
      </c>
      <c r="F102">
        <v>6</v>
      </c>
      <c r="G102" t="s">
        <v>126</v>
      </c>
      <c r="H102">
        <v>3033</v>
      </c>
      <c r="I102" t="s">
        <v>349</v>
      </c>
      <c r="J102" t="s">
        <v>30</v>
      </c>
      <c r="K102">
        <v>11</v>
      </c>
      <c r="L102">
        <v>259</v>
      </c>
      <c r="M102" t="s">
        <v>241</v>
      </c>
      <c r="N102" t="s">
        <v>205</v>
      </c>
      <c r="O102" t="s">
        <v>323</v>
      </c>
      <c r="P102">
        <v>80</v>
      </c>
      <c r="Q102">
        <v>1950</v>
      </c>
      <c r="R102">
        <v>1973</v>
      </c>
      <c r="S102">
        <v>74</v>
      </c>
      <c r="T102">
        <v>51</v>
      </c>
      <c r="U102">
        <v>1</v>
      </c>
      <c r="V102">
        <v>1286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1286</v>
      </c>
      <c r="AC102">
        <v>1500</v>
      </c>
      <c r="AD102">
        <v>1</v>
      </c>
      <c r="AF102" t="s">
        <v>383</v>
      </c>
      <c r="AG102" t="s">
        <v>148</v>
      </c>
      <c r="AI102">
        <v>0</v>
      </c>
      <c r="AJ102">
        <v>1</v>
      </c>
      <c r="AK102">
        <v>0</v>
      </c>
      <c r="AL102">
        <v>0</v>
      </c>
      <c r="AM102">
        <v>0</v>
      </c>
      <c r="AN102">
        <v>5</v>
      </c>
      <c r="AO102">
        <v>352</v>
      </c>
      <c r="AP102">
        <v>0</v>
      </c>
      <c r="AQ102">
        <v>0</v>
      </c>
      <c r="AR102">
        <v>0</v>
      </c>
      <c r="AS102">
        <v>156</v>
      </c>
      <c r="AT102">
        <v>0</v>
      </c>
      <c r="AU102">
        <v>100</v>
      </c>
      <c r="AV102">
        <v>100</v>
      </c>
      <c r="AW102">
        <v>186010</v>
      </c>
      <c r="AX102">
        <v>130207</v>
      </c>
      <c r="AY102">
        <v>200</v>
      </c>
      <c r="AZ102">
        <v>200</v>
      </c>
      <c r="BA102">
        <v>0</v>
      </c>
      <c r="BB102">
        <v>0</v>
      </c>
      <c r="BC102" s="3">
        <v>45092</v>
      </c>
      <c r="BD102" t="s">
        <v>36</v>
      </c>
      <c r="BE102">
        <v>285000</v>
      </c>
      <c r="BF102">
        <v>285000</v>
      </c>
      <c r="BG102" t="s">
        <v>294</v>
      </c>
      <c r="BH102">
        <v>30</v>
      </c>
      <c r="BI102" t="s">
        <v>65</v>
      </c>
      <c r="BJ102" t="s">
        <v>450</v>
      </c>
      <c r="BK102">
        <v>264200</v>
      </c>
      <c r="BL102">
        <v>58400</v>
      </c>
      <c r="BM102">
        <v>205800</v>
      </c>
      <c r="BN102">
        <v>0</v>
      </c>
      <c r="BO102">
        <v>0.92701754385964907</v>
      </c>
      <c r="BP102">
        <v>256389.38515039749</v>
      </c>
      <c r="BQ102">
        <v>270501.02446355281</v>
      </c>
      <c r="BR102" s="12">
        <f>(Sales[[#This Row],[DP1]]*Lookups!$B$59)+(Sales[[#This Row],[DP2]]*Lookups!$B$60)+(Sales[[#This Row],[DP3]]*Lookups!$B$61)</f>
        <v>-14111.639314000002</v>
      </c>
      <c r="BS102" s="12">
        <f>Lookups!$B$56*0</f>
        <v>0</v>
      </c>
      <c r="BT102" s="12">
        <f>Lookups!$B$56*1</f>
        <v>89850.625589999996</v>
      </c>
      <c r="BU102" s="12">
        <f>Lookups!$B$57*Sales[[#This Row],[LnAcres]]</f>
        <v>-50946.13867709865</v>
      </c>
      <c r="BV102" s="12">
        <f>VLOOKUP(Sales[[#This Row],[Qlty]],Lookups!$A$62:$E$75,2,FALSE)</f>
        <v>0</v>
      </c>
      <c r="BW102" s="12">
        <f>VLOOKUP(Sales[[#This Row],[Cnd]],Lookups!$A$76:$E$84,2,FALSE)</f>
        <v>160472.20319</v>
      </c>
      <c r="BX102" s="12">
        <f>Sales[[#This Row],[EffAge]]*Lookups!$B$85</f>
        <v>-11375.3256255</v>
      </c>
      <c r="BY102" s="12">
        <f>Sales[[#This Row],[MainFn]]*Lookups!$B$86</f>
        <v>63539.549461822004</v>
      </c>
      <c r="BZ102" s="12">
        <f>Sales[[#This Row],[UpprFn]]*Lookups!$B$87</f>
        <v>0</v>
      </c>
      <c r="CA102" s="12">
        <f>Sales[[#This Row],[AddFn]]*Lookups!$B$88</f>
        <v>0</v>
      </c>
      <c r="CB102" s="12">
        <f>Sales[[#This Row],[Bsmt]]*Lookups!$B$89</f>
        <v>0</v>
      </c>
      <c r="CC102" s="12">
        <f>Sales[[#This Row],[Fixtures]]*Lookups!$B$90</f>
        <v>18960.110526</v>
      </c>
      <c r="CD102" s="12">
        <f>Sales[[#This Row],[WdDeck]]*Lookups!$B$91</f>
        <v>0</v>
      </c>
      <c r="CE102" s="12">
        <f>SUM(Sales[[#This Row],[Days Prior Total]:[Mdl WdDeck]])</f>
        <v>256389.38515122334</v>
      </c>
      <c r="CF102" s="12">
        <f>ROUND(Sales[[#This Row],[25Det]],-2)</f>
        <v>0</v>
      </c>
      <c r="CG102" s="12">
        <f>ROUND(SUM(Sales[[#This Row],[Mdl Qlty]:[Mdl WdDeck]])+Sales[[#This Row],[Mdl Res Intercept]]+Sales[[#This Row],[Days Prior Total]],-2)</f>
        <v>217500</v>
      </c>
      <c r="CH102" s="12">
        <f>ROUND(Sales[[#This Row],[Mdl Land Intercept]]+Sales[[#This Row],[Mdl LnAcres]],-2)</f>
        <v>38900</v>
      </c>
      <c r="CI102" s="12">
        <f>Sales[[#This Row],[Unadj Res Value]]+Sales[[#This Row],[Unadj Det Value]]+Sales[[#This Row],[Unadj Land Value]]</f>
        <v>256400</v>
      </c>
      <c r="CJ102" s="13">
        <f>Sales[[#This Row],[Unadj Total Value]]/Sales[[#This Row],[Price]]</f>
        <v>0.89964912280701759</v>
      </c>
      <c r="CK102" s="13">
        <f>(Sales[[#This Row],[Unadj Total Value]]-Sales[[#This Row],[24Final]])/Sales[[#This Row],[24Final]]</f>
        <v>-2.9523088569265707E-2</v>
      </c>
      <c r="CL102">
        <f>VLOOKUP(Sales[[#This Row],[TNbhd]],Lookups!$Q$2:$T$4,4,FALSE)</f>
        <v>0.99970000000000003</v>
      </c>
      <c r="CM102">
        <f>VLOOKUP(Sales[[#This Row],[Qlty]],Lookups!$O$7:$R$21,4,FALSE)</f>
        <v>0.99180000000000001</v>
      </c>
      <c r="CN102">
        <f>VLOOKUP(Sales[[#This Row],[Cnd]],Lookups!$T$7:$W$16,4,FALSE)</f>
        <v>0.99729999999999996</v>
      </c>
      <c r="CO102">
        <f>VLOOKUP(Sales[[#This Row],[LivArea Range]],Lookups!$T$25:$W$37,4,FALSE)</f>
        <v>1.0157</v>
      </c>
      <c r="CP102">
        <f>VLOOKUP(Sales[[#This Row],[Decade]],Lookups!$O$25:$R$42,4,FALSE)</f>
        <v>0.995</v>
      </c>
      <c r="CQ102">
        <f>Sales[[#This Row],[Nbhd Adj]]*0.95</f>
        <v>0.94971499999999998</v>
      </c>
      <c r="CR102">
        <f>Sales[[#This Row],[Nbhd Adj]]*Sales[[#This Row],[Quality Adj]]*Sales[[#This Row],[Condition Adj]]*Sales[[#This Row],[Living Area Adj]]*Sales[[#This Row],[Decade Adj]]*0.95</f>
        <v>0.94936180176077878</v>
      </c>
      <c r="CS102">
        <f>ROUND(SUM(Sales[[#This Row],[Mdl Qlty]:[Mdl WdDeck]])+Sales[[#This Row],[Mdl Res Intercept]]*Sales[[#This Row],[Res Adj ]],-2)</f>
        <v>231600</v>
      </c>
      <c r="CT102">
        <f>ROUND(Sales[[#This Row],[25Det]]*Sales[[#This Row],[Det/Nbhd Adj]],-2)</f>
        <v>0</v>
      </c>
      <c r="CU102">
        <f>Sales[[#This Row],[Adjusted Res]]+Sales[[#This Row],[Adj Det ]]</f>
        <v>231600</v>
      </c>
      <c r="CV102">
        <f>ROUND((Sales[[#This Row],[Mdl Land Intercept]]+Sales[[#This Row],[Mdl LnAcres]])*Sales[[#This Row],[Det/Nbhd Adj]],-2)</f>
        <v>36900</v>
      </c>
      <c r="CW102">
        <f>Sales[[#This Row],[Adjusted Impr Total]]+Sales[[#This Row],[Adjusted Land Total]]</f>
        <v>268500</v>
      </c>
      <c r="CX102" s="15">
        <f>IFERROR((Sales[[#This Row],[Adjusted Impr Total]]-Sales[[#This Row],[24Bldg]])/Sales[[#This Row],[24Bldg]],0)</f>
        <v>0.12536443148688048</v>
      </c>
      <c r="CY102" s="15">
        <f>(Sales[[#This Row],[Adjusted Land Total]]-Sales[[#This Row],[24Lnd]])/Sales[[#This Row],[24Lnd]]</f>
        <v>-0.36815068493150682</v>
      </c>
      <c r="CZ102" s="15">
        <f>(Sales[[#This Row],[Adjusted Total]]-Sales[[#This Row],[24Final]])/Sales[[#This Row],[24Final]]</f>
        <v>1.6275548826646481E-2</v>
      </c>
      <c r="DA102" s="15">
        <f>(Sales[[#This Row],[Adjusted Total]]+Sales[[#This Row],[Days Prior Total]])/Sales[[#This Row],[Price]]</f>
        <v>0.8925907392491228</v>
      </c>
    </row>
    <row r="103" spans="1:105" x14ac:dyDescent="0.3">
      <c r="A103">
        <v>2025</v>
      </c>
      <c r="B103">
        <v>18132323520</v>
      </c>
      <c r="C103">
        <v>-1.7147984280919266</v>
      </c>
      <c r="D103">
        <v>0.18</v>
      </c>
      <c r="E103">
        <v>0</v>
      </c>
      <c r="F103">
        <v>6</v>
      </c>
      <c r="G103" t="s">
        <v>126</v>
      </c>
      <c r="H103">
        <v>3033</v>
      </c>
      <c r="I103" t="s">
        <v>349</v>
      </c>
      <c r="J103" t="s">
        <v>30</v>
      </c>
      <c r="K103">
        <v>11</v>
      </c>
      <c r="L103">
        <v>259</v>
      </c>
      <c r="M103" t="s">
        <v>242</v>
      </c>
      <c r="N103" t="s">
        <v>148</v>
      </c>
      <c r="O103" t="s">
        <v>323</v>
      </c>
      <c r="P103">
        <v>80</v>
      </c>
      <c r="Q103">
        <v>1950</v>
      </c>
      <c r="R103">
        <v>1973</v>
      </c>
      <c r="S103">
        <v>74</v>
      </c>
      <c r="T103">
        <v>51</v>
      </c>
      <c r="U103">
        <v>1</v>
      </c>
      <c r="V103">
        <v>1135</v>
      </c>
      <c r="W103">
        <v>0</v>
      </c>
      <c r="X103">
        <v>0</v>
      </c>
      <c r="Y103">
        <v>1135</v>
      </c>
      <c r="Z103">
        <v>0</v>
      </c>
      <c r="AA103">
        <v>1135</v>
      </c>
      <c r="AB103">
        <v>2270</v>
      </c>
      <c r="AC103">
        <v>2500</v>
      </c>
      <c r="AD103">
        <v>1</v>
      </c>
      <c r="AF103" t="s">
        <v>383</v>
      </c>
      <c r="AG103" t="s">
        <v>148</v>
      </c>
      <c r="AH103" t="s">
        <v>450</v>
      </c>
      <c r="AI103">
        <v>0</v>
      </c>
      <c r="AJ103">
        <v>1</v>
      </c>
      <c r="AK103">
        <v>0</v>
      </c>
      <c r="AL103">
        <v>1</v>
      </c>
      <c r="AM103">
        <v>0</v>
      </c>
      <c r="AN103">
        <v>8</v>
      </c>
      <c r="AO103">
        <v>252</v>
      </c>
      <c r="AP103">
        <v>0</v>
      </c>
      <c r="AQ103">
        <v>0</v>
      </c>
      <c r="AR103">
        <v>143</v>
      </c>
      <c r="AS103">
        <v>256</v>
      </c>
      <c r="AT103">
        <v>256</v>
      </c>
      <c r="AU103">
        <v>100</v>
      </c>
      <c r="AV103">
        <v>100</v>
      </c>
      <c r="AW103">
        <v>382026</v>
      </c>
      <c r="AX103">
        <v>267418</v>
      </c>
      <c r="AY103">
        <v>902</v>
      </c>
      <c r="AZ103">
        <v>365</v>
      </c>
      <c r="BA103">
        <v>365</v>
      </c>
      <c r="BB103">
        <v>172</v>
      </c>
      <c r="BC103" s="3">
        <v>44390</v>
      </c>
      <c r="BD103" t="s">
        <v>368</v>
      </c>
      <c r="BE103">
        <v>340000</v>
      </c>
      <c r="BF103">
        <v>340000</v>
      </c>
      <c r="BG103" t="s">
        <v>294</v>
      </c>
      <c r="BH103">
        <v>30</v>
      </c>
      <c r="BI103" t="s">
        <v>65</v>
      </c>
      <c r="BJ103" t="s">
        <v>450</v>
      </c>
      <c r="BK103">
        <v>342300</v>
      </c>
      <c r="BL103">
        <v>54700</v>
      </c>
      <c r="BM103">
        <v>287600</v>
      </c>
      <c r="BN103">
        <v>0</v>
      </c>
      <c r="BO103">
        <v>1.006764705882353</v>
      </c>
      <c r="BP103">
        <v>308408.96416305902</v>
      </c>
      <c r="BQ103">
        <v>352971.48287096666</v>
      </c>
      <c r="BR103" s="12">
        <f>(Sales[[#This Row],[DP1]]*Lookups!$B$59)+(Sales[[#This Row],[DP2]]*Lookups!$B$60)+(Sales[[#This Row],[DP3]]*Lookups!$B$61)</f>
        <v>-44562.518713869998</v>
      </c>
      <c r="BS103" s="12">
        <f>Lookups!$B$56*0</f>
        <v>0</v>
      </c>
      <c r="BT103" s="12">
        <f>Lookups!$B$56*1</f>
        <v>89850.625589999996</v>
      </c>
      <c r="BU103" s="12">
        <f>Lookups!$B$57*Sales[[#This Row],[LnAcres]]</f>
        <v>-54281.285314520763</v>
      </c>
      <c r="BV103" s="12">
        <f>VLOOKUP(Sales[[#This Row],[Qlty]],Lookups!$A$62:$E$75,2,FALSE)</f>
        <v>44121.038090000002</v>
      </c>
      <c r="BW103" s="12">
        <f>VLOOKUP(Sales[[#This Row],[Cnd]],Lookups!$A$76:$E$84,2,FALSE)</f>
        <v>160472.20319</v>
      </c>
      <c r="BX103" s="12">
        <f>Sales[[#This Row],[EffAge]]*Lookups!$B$85</f>
        <v>-11375.3256255</v>
      </c>
      <c r="BY103" s="12">
        <f>Sales[[#This Row],[MainFn]]*Lookups!$B$86</f>
        <v>56078.840310395004</v>
      </c>
      <c r="BZ103" s="12">
        <f>Sales[[#This Row],[UpprFn]]*Lookups!$B$87</f>
        <v>0</v>
      </c>
      <c r="CA103" s="12">
        <f>Sales[[#This Row],[AddFn]]*Lookups!$B$88</f>
        <v>0</v>
      </c>
      <c r="CB103" s="12">
        <f>Sales[[#This Row],[Bsmt]]*Lookups!$B$89</f>
        <v>33007.951105344997</v>
      </c>
      <c r="CC103" s="12">
        <f>Sales[[#This Row],[Fixtures]]*Lookups!$B$90</f>
        <v>30336.176841600001</v>
      </c>
      <c r="CD103" s="12">
        <f>Sales[[#This Row],[WdDeck]]*Lookups!$B$91</f>
        <v>4761.2586844680009</v>
      </c>
      <c r="CE103" s="12">
        <f>SUM(Sales[[#This Row],[Days Prior Total]:[Mdl WdDeck]])</f>
        <v>308408.96415791719</v>
      </c>
      <c r="CF103" s="12">
        <f>ROUND(Sales[[#This Row],[25Det]],-2)</f>
        <v>0</v>
      </c>
      <c r="CG103" s="12">
        <f>ROUND(SUM(Sales[[#This Row],[Mdl Qlty]:[Mdl WdDeck]])+Sales[[#This Row],[Mdl Res Intercept]]+Sales[[#This Row],[Days Prior Total]],-2)</f>
        <v>272800</v>
      </c>
      <c r="CH103" s="12">
        <f>ROUND(Sales[[#This Row],[Mdl Land Intercept]]+Sales[[#This Row],[Mdl LnAcres]],-2)</f>
        <v>35600</v>
      </c>
      <c r="CI103" s="12">
        <f>Sales[[#This Row],[Unadj Res Value]]+Sales[[#This Row],[Unadj Det Value]]+Sales[[#This Row],[Unadj Land Value]]</f>
        <v>308400</v>
      </c>
      <c r="CJ103" s="13">
        <f>Sales[[#This Row],[Unadj Total Value]]/Sales[[#This Row],[Price]]</f>
        <v>0.90705882352941181</v>
      </c>
      <c r="CK103" s="13">
        <f>(Sales[[#This Row],[Unadj Total Value]]-Sales[[#This Row],[24Final]])/Sales[[#This Row],[24Final]]</f>
        <v>-9.9035933391761616E-2</v>
      </c>
      <c r="CL103">
        <f>VLOOKUP(Sales[[#This Row],[TNbhd]],Lookups!$Q$2:$T$4,4,FALSE)</f>
        <v>0.99970000000000003</v>
      </c>
      <c r="CM103">
        <f>VLOOKUP(Sales[[#This Row],[Qlty]],Lookups!$O$7:$R$21,4,FALSE)</f>
        <v>0.98050000000000004</v>
      </c>
      <c r="CN103">
        <f>VLOOKUP(Sales[[#This Row],[Cnd]],Lookups!$T$7:$W$16,4,FALSE)</f>
        <v>0.99729999999999996</v>
      </c>
      <c r="CO103">
        <f>VLOOKUP(Sales[[#This Row],[LivArea Range]],Lookups!$T$25:$W$37,4,FALSE)</f>
        <v>0.98919999999999997</v>
      </c>
      <c r="CP103">
        <f>VLOOKUP(Sales[[#This Row],[Decade]],Lookups!$O$25:$R$42,4,FALSE)</f>
        <v>0.995</v>
      </c>
      <c r="CQ103">
        <f>Sales[[#This Row],[Nbhd Adj]]*0.95</f>
        <v>0.94971499999999998</v>
      </c>
      <c r="CR103">
        <f>Sales[[#This Row],[Nbhd Adj]]*Sales[[#This Row],[Quality Adj]]*Sales[[#This Row],[Condition Adj]]*Sales[[#This Row],[Living Area Adj]]*Sales[[#This Row],[Decade Adj]]*0.95</f>
        <v>0.91405831328052556</v>
      </c>
      <c r="CS103">
        <f>ROUND(SUM(Sales[[#This Row],[Mdl Qlty]:[Mdl WdDeck]])+Sales[[#This Row],[Mdl Res Intercept]]*Sales[[#This Row],[Res Adj ]],-2)</f>
        <v>317400</v>
      </c>
      <c r="CT103">
        <f>ROUND(Sales[[#This Row],[25Det]]*Sales[[#This Row],[Det/Nbhd Adj]],-2)</f>
        <v>0</v>
      </c>
      <c r="CU103">
        <f>Sales[[#This Row],[Adjusted Res]]+Sales[[#This Row],[Adj Det ]]</f>
        <v>317400</v>
      </c>
      <c r="CV103">
        <f>ROUND((Sales[[#This Row],[Mdl Land Intercept]]+Sales[[#This Row],[Mdl LnAcres]])*Sales[[#This Row],[Det/Nbhd Adj]],-2)</f>
        <v>33800</v>
      </c>
      <c r="CW103">
        <f>Sales[[#This Row],[Adjusted Impr Total]]+Sales[[#This Row],[Adjusted Land Total]]</f>
        <v>351200</v>
      </c>
      <c r="CX103" s="15">
        <f>IFERROR((Sales[[#This Row],[Adjusted Impr Total]]-Sales[[#This Row],[24Bldg]])/Sales[[#This Row],[24Bldg]],0)</f>
        <v>0.10361613351877608</v>
      </c>
      <c r="CY103" s="15">
        <f>(Sales[[#This Row],[Adjusted Land Total]]-Sales[[#This Row],[24Lnd]])/Sales[[#This Row],[24Lnd]]</f>
        <v>-0.38208409506398539</v>
      </c>
      <c r="CZ103" s="15">
        <f>(Sales[[#This Row],[Adjusted Total]]-Sales[[#This Row],[24Final]])/Sales[[#This Row],[24Final]]</f>
        <v>2.6000584282792873E-2</v>
      </c>
      <c r="DA103" s="15">
        <f>(Sales[[#This Row],[Adjusted Total]]+Sales[[#This Row],[Days Prior Total]])/Sales[[#This Row],[Price]]</f>
        <v>0.90187494495920595</v>
      </c>
    </row>
    <row r="104" spans="1:105" x14ac:dyDescent="0.3">
      <c r="A104">
        <v>2025</v>
      </c>
      <c r="B104">
        <v>18132334477</v>
      </c>
      <c r="C104">
        <v>-1.7719568419318752</v>
      </c>
      <c r="D104">
        <v>0.17</v>
      </c>
      <c r="E104">
        <v>0</v>
      </c>
      <c r="F104">
        <v>6</v>
      </c>
      <c r="G104" t="s">
        <v>126</v>
      </c>
      <c r="H104">
        <v>3093</v>
      </c>
      <c r="I104" t="s">
        <v>349</v>
      </c>
      <c r="J104" t="s">
        <v>30</v>
      </c>
      <c r="K104">
        <v>11</v>
      </c>
      <c r="L104">
        <v>259</v>
      </c>
      <c r="M104" t="s">
        <v>242</v>
      </c>
      <c r="N104" t="s">
        <v>351</v>
      </c>
      <c r="O104" t="s">
        <v>303</v>
      </c>
      <c r="P104">
        <v>80</v>
      </c>
      <c r="Q104">
        <v>1950</v>
      </c>
      <c r="R104">
        <v>1973</v>
      </c>
      <c r="S104">
        <v>74</v>
      </c>
      <c r="T104">
        <v>51</v>
      </c>
      <c r="U104">
        <v>1</v>
      </c>
      <c r="V104">
        <v>1147</v>
      </c>
      <c r="W104">
        <v>0</v>
      </c>
      <c r="X104">
        <v>0</v>
      </c>
      <c r="Y104">
        <v>1147</v>
      </c>
      <c r="Z104">
        <v>397</v>
      </c>
      <c r="AA104">
        <v>750</v>
      </c>
      <c r="AB104">
        <v>1897</v>
      </c>
      <c r="AC104">
        <v>2000</v>
      </c>
      <c r="AD104">
        <v>0</v>
      </c>
      <c r="AF104" t="s">
        <v>208</v>
      </c>
      <c r="AG104" t="s">
        <v>148</v>
      </c>
      <c r="AI104">
        <v>0</v>
      </c>
      <c r="AJ104">
        <v>0</v>
      </c>
      <c r="AK104">
        <v>0</v>
      </c>
      <c r="AL104">
        <v>0</v>
      </c>
      <c r="AM104">
        <v>1</v>
      </c>
      <c r="AN104">
        <v>7</v>
      </c>
      <c r="AO104">
        <v>0</v>
      </c>
      <c r="AP104">
        <v>0</v>
      </c>
      <c r="AQ104">
        <v>0</v>
      </c>
      <c r="AR104">
        <v>0</v>
      </c>
      <c r="AS104">
        <v>320</v>
      </c>
      <c r="AT104">
        <v>0</v>
      </c>
      <c r="AU104">
        <v>100</v>
      </c>
      <c r="AV104">
        <v>100</v>
      </c>
      <c r="AW104">
        <v>235675</v>
      </c>
      <c r="AX104">
        <v>183827</v>
      </c>
      <c r="AY104">
        <v>907</v>
      </c>
      <c r="AZ104">
        <v>365</v>
      </c>
      <c r="BA104">
        <v>365</v>
      </c>
      <c r="BB104">
        <v>177</v>
      </c>
      <c r="BC104" s="3">
        <v>44385</v>
      </c>
      <c r="BD104" t="s">
        <v>252</v>
      </c>
      <c r="BE104">
        <v>350000</v>
      </c>
      <c r="BF104">
        <v>343763</v>
      </c>
      <c r="BG104" t="s">
        <v>294</v>
      </c>
      <c r="BH104">
        <v>30</v>
      </c>
      <c r="BI104" t="s">
        <v>65</v>
      </c>
      <c r="BJ104" t="s">
        <v>450</v>
      </c>
      <c r="BK104">
        <v>339300</v>
      </c>
      <c r="BL104">
        <v>52700</v>
      </c>
      <c r="BM104">
        <v>286600</v>
      </c>
      <c r="BN104">
        <v>6237</v>
      </c>
      <c r="BO104">
        <v>0.96942857142857142</v>
      </c>
      <c r="BP104">
        <v>313036.06895206618</v>
      </c>
      <c r="BQ104">
        <v>358267.1962243481</v>
      </c>
      <c r="BR104" s="12">
        <f>(Sales[[#This Row],[DP1]]*Lookups!$B$59)+(Sales[[#This Row],[DP2]]*Lookups!$B$60)+(Sales[[#This Row],[DP3]]*Lookups!$B$61)</f>
        <v>-45231.127278370004</v>
      </c>
      <c r="BS104" s="12">
        <f>Lookups!$B$56*0</f>
        <v>0</v>
      </c>
      <c r="BT104" s="12">
        <f>Lookups!$B$56*1</f>
        <v>89850.625589999996</v>
      </c>
      <c r="BU104" s="12">
        <f>Lookups!$B$57*Sales[[#This Row],[LnAcres]]</f>
        <v>-56090.612940989391</v>
      </c>
      <c r="BV104" s="12">
        <f>VLOOKUP(Sales[[#This Row],[Qlty]],Lookups!$A$62:$E$75,2,FALSE)</f>
        <v>21557.329055999999</v>
      </c>
      <c r="BW104" s="12">
        <f>VLOOKUP(Sales[[#This Row],[Cnd]],Lookups!$A$76:$E$84,2,FALSE)</f>
        <v>197752.34721000001</v>
      </c>
      <c r="BX104" s="12">
        <f>Sales[[#This Row],[EffAge]]*Lookups!$B$85</f>
        <v>-11375.3256255</v>
      </c>
      <c r="BY104" s="12">
        <f>Sales[[#This Row],[MainFn]]*Lookups!$B$86</f>
        <v>56671.744348919005</v>
      </c>
      <c r="BZ104" s="12">
        <f>Sales[[#This Row],[UpprFn]]*Lookups!$B$87</f>
        <v>0</v>
      </c>
      <c r="CA104" s="12">
        <f>Sales[[#This Row],[AddFn]]*Lookups!$B$88</f>
        <v>0</v>
      </c>
      <c r="CB104" s="12">
        <f>Sales[[#This Row],[Bsmt]]*Lookups!$B$89</f>
        <v>33356.933848308996</v>
      </c>
      <c r="CC104" s="12">
        <f>Sales[[#This Row],[Fixtures]]*Lookups!$B$90</f>
        <v>26544.1547364</v>
      </c>
      <c r="CD104" s="12">
        <f>Sales[[#This Row],[WdDeck]]*Lookups!$B$91</f>
        <v>0</v>
      </c>
      <c r="CE104" s="12">
        <f>SUM(Sales[[#This Row],[Days Prior Total]:[Mdl WdDeck]])</f>
        <v>313036.06894476857</v>
      </c>
      <c r="CF104" s="12">
        <f>ROUND(Sales[[#This Row],[25Det]],-2)</f>
        <v>6200</v>
      </c>
      <c r="CG104" s="12">
        <f>ROUND(SUM(Sales[[#This Row],[Mdl Qlty]:[Mdl WdDeck]])+Sales[[#This Row],[Mdl Res Intercept]]+Sales[[#This Row],[Days Prior Total]],-2)</f>
        <v>279300</v>
      </c>
      <c r="CH104" s="12">
        <f>ROUND(Sales[[#This Row],[Mdl Land Intercept]]+Sales[[#This Row],[Mdl LnAcres]],-2)</f>
        <v>33800</v>
      </c>
      <c r="CI104" s="12">
        <f>Sales[[#This Row],[Unadj Res Value]]+Sales[[#This Row],[Unadj Det Value]]+Sales[[#This Row],[Unadj Land Value]]</f>
        <v>319300</v>
      </c>
      <c r="CJ104" s="13">
        <f>Sales[[#This Row],[Unadj Total Value]]/Sales[[#This Row],[Price]]</f>
        <v>0.91228571428571426</v>
      </c>
      <c r="CK104" s="13">
        <f>(Sales[[#This Row],[Unadj Total Value]]-Sales[[#This Row],[24Final]])/Sales[[#This Row],[24Final]]</f>
        <v>-5.8944886531093428E-2</v>
      </c>
      <c r="CL104">
        <f>VLOOKUP(Sales[[#This Row],[TNbhd]],Lookups!$Q$2:$T$4,4,FALSE)</f>
        <v>0.99970000000000003</v>
      </c>
      <c r="CM104">
        <f>VLOOKUP(Sales[[#This Row],[Qlty]],Lookups!$O$7:$R$21,4,FALSE)</f>
        <v>1.0067999999999999</v>
      </c>
      <c r="CN104">
        <f>VLOOKUP(Sales[[#This Row],[Cnd]],Lookups!$T$7:$W$16,4,FALSE)</f>
        <v>0.99650000000000005</v>
      </c>
      <c r="CO104">
        <f>VLOOKUP(Sales[[#This Row],[LivArea Range]],Lookups!$T$25:$W$37,4,FALSE)</f>
        <v>1.0093000000000001</v>
      </c>
      <c r="CP104">
        <f>VLOOKUP(Sales[[#This Row],[Decade]],Lookups!$O$25:$R$42,4,FALSE)</f>
        <v>0.995</v>
      </c>
      <c r="CQ104">
        <f>Sales[[#This Row],[Nbhd Adj]]*0.95</f>
        <v>0.94971499999999998</v>
      </c>
      <c r="CR104">
        <f>Sales[[#This Row],[Nbhd Adj]]*Sales[[#This Row],[Quality Adj]]*Sales[[#This Row],[Condition Adj]]*Sales[[#This Row],[Living Area Adj]]*Sales[[#This Row],[Decade Adj]]*0.95</f>
        <v>0.95687930361479956</v>
      </c>
      <c r="CS104">
        <f>ROUND(SUM(Sales[[#This Row],[Mdl Qlty]:[Mdl WdDeck]])+Sales[[#This Row],[Mdl Res Intercept]]*Sales[[#This Row],[Res Adj ]],-2)</f>
        <v>324500</v>
      </c>
      <c r="CT104">
        <f>ROUND(Sales[[#This Row],[25Det]]*Sales[[#This Row],[Det/Nbhd Adj]],-2)</f>
        <v>5900</v>
      </c>
      <c r="CU104">
        <f>Sales[[#This Row],[Adjusted Res]]+Sales[[#This Row],[Adj Det ]]</f>
        <v>330400</v>
      </c>
      <c r="CV104">
        <f>ROUND((Sales[[#This Row],[Mdl Land Intercept]]+Sales[[#This Row],[Mdl LnAcres]])*Sales[[#This Row],[Det/Nbhd Adj]],-2)</f>
        <v>32100</v>
      </c>
      <c r="CW104">
        <f>Sales[[#This Row],[Adjusted Impr Total]]+Sales[[#This Row],[Adjusted Land Total]]</f>
        <v>362500</v>
      </c>
      <c r="CX104" s="15">
        <f>IFERROR((Sales[[#This Row],[Adjusted Impr Total]]-Sales[[#This Row],[24Bldg]])/Sales[[#This Row],[24Bldg]],0)</f>
        <v>0.15282623866015352</v>
      </c>
      <c r="CY104" s="15">
        <f>(Sales[[#This Row],[Adjusted Land Total]]-Sales[[#This Row],[24Lnd]])/Sales[[#This Row],[24Lnd]]</f>
        <v>-0.39089184060721061</v>
      </c>
      <c r="CZ104" s="15">
        <f>(Sales[[#This Row],[Adjusted Total]]-Sales[[#This Row],[24Final]])/Sales[[#This Row],[24Final]]</f>
        <v>6.8376068376068383E-2</v>
      </c>
      <c r="DA104" s="15">
        <f>(Sales[[#This Row],[Adjusted Total]]+Sales[[#This Row],[Days Prior Total]])/Sales[[#This Row],[Price]]</f>
        <v>0.90648249349037135</v>
      </c>
    </row>
    <row r="105" spans="1:105" x14ac:dyDescent="0.3">
      <c r="A105">
        <v>2025</v>
      </c>
      <c r="B105">
        <v>18132323517</v>
      </c>
      <c r="C105">
        <v>-1.7147984280919266</v>
      </c>
      <c r="D105">
        <v>0.18</v>
      </c>
      <c r="E105">
        <v>0</v>
      </c>
      <c r="F105">
        <v>6</v>
      </c>
      <c r="G105" t="s">
        <v>126</v>
      </c>
      <c r="H105">
        <v>3033</v>
      </c>
      <c r="I105" t="s">
        <v>349</v>
      </c>
      <c r="J105" t="s">
        <v>30</v>
      </c>
      <c r="K105">
        <v>11</v>
      </c>
      <c r="L105">
        <v>259</v>
      </c>
      <c r="M105" t="s">
        <v>242</v>
      </c>
      <c r="N105" t="s">
        <v>351</v>
      </c>
      <c r="O105" t="s">
        <v>323</v>
      </c>
      <c r="P105">
        <v>80</v>
      </c>
      <c r="Q105">
        <v>1950</v>
      </c>
      <c r="R105">
        <v>1973</v>
      </c>
      <c r="S105">
        <v>74</v>
      </c>
      <c r="T105">
        <v>51</v>
      </c>
      <c r="U105">
        <v>1</v>
      </c>
      <c r="V105">
        <v>968</v>
      </c>
      <c r="W105">
        <v>0</v>
      </c>
      <c r="X105">
        <v>0</v>
      </c>
      <c r="Y105">
        <v>968</v>
      </c>
      <c r="Z105">
        <v>0</v>
      </c>
      <c r="AA105">
        <v>968</v>
      </c>
      <c r="AB105">
        <v>1936</v>
      </c>
      <c r="AC105">
        <v>2000</v>
      </c>
      <c r="AD105">
        <v>1</v>
      </c>
      <c r="AF105" t="s">
        <v>383</v>
      </c>
      <c r="AG105" t="s">
        <v>148</v>
      </c>
      <c r="AH105" t="s">
        <v>450</v>
      </c>
      <c r="AI105">
        <v>0</v>
      </c>
      <c r="AJ105">
        <v>1</v>
      </c>
      <c r="AK105">
        <v>0</v>
      </c>
      <c r="AL105">
        <v>1</v>
      </c>
      <c r="AM105">
        <v>0</v>
      </c>
      <c r="AN105">
        <v>8</v>
      </c>
      <c r="AO105">
        <v>242</v>
      </c>
      <c r="AP105">
        <v>0</v>
      </c>
      <c r="AQ105">
        <v>0</v>
      </c>
      <c r="AR105">
        <v>0</v>
      </c>
      <c r="AS105">
        <v>54</v>
      </c>
      <c r="AT105">
        <v>54</v>
      </c>
      <c r="AU105">
        <v>100</v>
      </c>
      <c r="AV105">
        <v>100</v>
      </c>
      <c r="AW105">
        <v>234902</v>
      </c>
      <c r="AX105">
        <v>164431</v>
      </c>
      <c r="AY105">
        <v>761</v>
      </c>
      <c r="AZ105">
        <v>365</v>
      </c>
      <c r="BA105">
        <v>365</v>
      </c>
      <c r="BB105">
        <v>31</v>
      </c>
      <c r="BC105" s="3">
        <v>44531</v>
      </c>
      <c r="BD105" t="s">
        <v>153</v>
      </c>
      <c r="BE105">
        <v>310000</v>
      </c>
      <c r="BF105">
        <v>310000</v>
      </c>
      <c r="BG105" t="s">
        <v>294</v>
      </c>
      <c r="BH105">
        <v>30</v>
      </c>
      <c r="BI105" t="s">
        <v>65</v>
      </c>
      <c r="BJ105" t="s">
        <v>450</v>
      </c>
      <c r="BK105">
        <v>305800</v>
      </c>
      <c r="BL105">
        <v>54700</v>
      </c>
      <c r="BM105">
        <v>251100</v>
      </c>
      <c r="BN105">
        <v>0</v>
      </c>
      <c r="BO105">
        <v>0.98645161290322581</v>
      </c>
      <c r="BP105">
        <v>286830.8335840556</v>
      </c>
      <c r="BQ105">
        <v>312538.59077661071</v>
      </c>
      <c r="BR105" s="12">
        <f>(Sales[[#This Row],[DP1]]*Lookups!$B$59)+(Sales[[#This Row],[DP2]]*Lookups!$B$60)+(Sales[[#This Row],[DP3]]*Lookups!$B$61)</f>
        <v>-25707.757194970003</v>
      </c>
      <c r="BS105" s="12">
        <f>Lookups!$B$56*0</f>
        <v>0</v>
      </c>
      <c r="BT105" s="12">
        <f>Lookups!$B$56*1</f>
        <v>89850.625589999996</v>
      </c>
      <c r="BU105" s="12">
        <f>Lookups!$B$57*Sales[[#This Row],[LnAcres]]</f>
        <v>-54281.285314520763</v>
      </c>
      <c r="BV105" s="12">
        <f>VLOOKUP(Sales[[#This Row],[Qlty]],Lookups!$A$62:$E$75,2,FALSE)</f>
        <v>21557.329055999999</v>
      </c>
      <c r="BW105" s="12">
        <f>VLOOKUP(Sales[[#This Row],[Cnd]],Lookups!$A$76:$E$84,2,FALSE)</f>
        <v>160472.20319</v>
      </c>
      <c r="BX105" s="12">
        <f>Sales[[#This Row],[EffAge]]*Lookups!$B$85</f>
        <v>-11375.3256255</v>
      </c>
      <c r="BY105" s="12">
        <f>Sales[[#This Row],[MainFn]]*Lookups!$B$86</f>
        <v>47827.592440936001</v>
      </c>
      <c r="BZ105" s="12">
        <f>Sales[[#This Row],[UpprFn]]*Lookups!$B$87</f>
        <v>0</v>
      </c>
      <c r="CA105" s="12">
        <f>Sales[[#This Row],[AddFn]]*Lookups!$B$88</f>
        <v>0</v>
      </c>
      <c r="CB105" s="12">
        <f>Sales[[#This Row],[Bsmt]]*Lookups!$B$89</f>
        <v>28151.274599095999</v>
      </c>
      <c r="CC105" s="12">
        <f>Sales[[#This Row],[Fixtures]]*Lookups!$B$90</f>
        <v>30336.176841600001</v>
      </c>
      <c r="CD105" s="12">
        <f>Sales[[#This Row],[WdDeck]]*Lookups!$B$91</f>
        <v>0</v>
      </c>
      <c r="CE105" s="12">
        <f>SUM(Sales[[#This Row],[Days Prior Total]:[Mdl WdDeck]])</f>
        <v>286830.83358264127</v>
      </c>
      <c r="CF105" s="12">
        <f>ROUND(Sales[[#This Row],[25Det]],-2)</f>
        <v>0</v>
      </c>
      <c r="CG105" s="12">
        <f>ROUND(SUM(Sales[[#This Row],[Mdl Qlty]:[Mdl WdDeck]])+Sales[[#This Row],[Mdl Res Intercept]]+Sales[[#This Row],[Days Prior Total]],-2)</f>
        <v>251300</v>
      </c>
      <c r="CH105" s="12">
        <f>ROUND(Sales[[#This Row],[Mdl Land Intercept]]+Sales[[#This Row],[Mdl LnAcres]],-2)</f>
        <v>35600</v>
      </c>
      <c r="CI105" s="12">
        <f>Sales[[#This Row],[Unadj Res Value]]+Sales[[#This Row],[Unadj Det Value]]+Sales[[#This Row],[Unadj Land Value]]</f>
        <v>286900</v>
      </c>
      <c r="CJ105" s="13">
        <f>Sales[[#This Row],[Unadj Total Value]]/Sales[[#This Row],[Price]]</f>
        <v>0.92548387096774198</v>
      </c>
      <c r="CK105" s="13">
        <f>(Sales[[#This Row],[Unadj Total Value]]-Sales[[#This Row],[24Final]])/Sales[[#This Row],[24Final]]</f>
        <v>-6.1805101373446698E-2</v>
      </c>
      <c r="CL105">
        <f>VLOOKUP(Sales[[#This Row],[TNbhd]],Lookups!$Q$2:$T$4,4,FALSE)</f>
        <v>0.99970000000000003</v>
      </c>
      <c r="CM105">
        <f>VLOOKUP(Sales[[#This Row],[Qlty]],Lookups!$O$7:$R$21,4,FALSE)</f>
        <v>1.0067999999999999</v>
      </c>
      <c r="CN105">
        <f>VLOOKUP(Sales[[#This Row],[Cnd]],Lookups!$T$7:$W$16,4,FALSE)</f>
        <v>0.99729999999999996</v>
      </c>
      <c r="CO105">
        <f>VLOOKUP(Sales[[#This Row],[LivArea Range]],Lookups!$T$25:$W$37,4,FALSE)</f>
        <v>1.0093000000000001</v>
      </c>
      <c r="CP105">
        <f>VLOOKUP(Sales[[#This Row],[Decade]],Lookups!$O$25:$R$42,4,FALSE)</f>
        <v>0.995</v>
      </c>
      <c r="CQ105">
        <f>Sales[[#This Row],[Nbhd Adj]]*0.95</f>
        <v>0.94971499999999998</v>
      </c>
      <c r="CR105">
        <f>Sales[[#This Row],[Nbhd Adj]]*Sales[[#This Row],[Quality Adj]]*Sales[[#This Row],[Condition Adj]]*Sales[[#This Row],[Living Area Adj]]*Sales[[#This Row],[Decade Adj]]*0.95</f>
        <v>0.957647495730095</v>
      </c>
      <c r="CS105">
        <f>ROUND(SUM(Sales[[#This Row],[Mdl Qlty]:[Mdl WdDeck]])+Sales[[#This Row],[Mdl Res Intercept]]*Sales[[#This Row],[Res Adj ]],-2)</f>
        <v>277000</v>
      </c>
      <c r="CT105">
        <f>ROUND(Sales[[#This Row],[25Det]]*Sales[[#This Row],[Det/Nbhd Adj]],-2)</f>
        <v>0</v>
      </c>
      <c r="CU105">
        <f>Sales[[#This Row],[Adjusted Res]]+Sales[[#This Row],[Adj Det ]]</f>
        <v>277000</v>
      </c>
      <c r="CV105">
        <f>ROUND((Sales[[#This Row],[Mdl Land Intercept]]+Sales[[#This Row],[Mdl LnAcres]])*Sales[[#This Row],[Det/Nbhd Adj]],-2)</f>
        <v>33800</v>
      </c>
      <c r="CW105">
        <f>Sales[[#This Row],[Adjusted Impr Total]]+Sales[[#This Row],[Adjusted Land Total]]</f>
        <v>310800</v>
      </c>
      <c r="CX105" s="15">
        <f>IFERROR((Sales[[#This Row],[Adjusted Impr Total]]-Sales[[#This Row],[24Bldg]])/Sales[[#This Row],[24Bldg]],0)</f>
        <v>0.10314615690959777</v>
      </c>
      <c r="CY105" s="15">
        <f>(Sales[[#This Row],[Adjusted Land Total]]-Sales[[#This Row],[24Lnd]])/Sales[[#This Row],[24Lnd]]</f>
        <v>-0.38208409506398539</v>
      </c>
      <c r="CZ105" s="15">
        <f>(Sales[[#This Row],[Adjusted Total]]-Sales[[#This Row],[24Final]])/Sales[[#This Row],[24Final]]</f>
        <v>1.6350555918901243E-2</v>
      </c>
      <c r="DA105" s="15">
        <f>(Sales[[#This Row],[Adjusted Total]]+Sales[[#This Row],[Days Prior Total]])/Sales[[#This Row],[Price]]</f>
        <v>0.91965239614525818</v>
      </c>
    </row>
    <row r="106" spans="1:105" x14ac:dyDescent="0.3">
      <c r="A106">
        <v>2025</v>
      </c>
      <c r="B106">
        <v>18132241074</v>
      </c>
      <c r="C106">
        <v>-1.7147984280919266</v>
      </c>
      <c r="D106">
        <v>0.18</v>
      </c>
      <c r="E106">
        <v>7746</v>
      </c>
      <c r="F106">
        <v>6</v>
      </c>
      <c r="G106" t="s">
        <v>126</v>
      </c>
      <c r="H106">
        <v>3093</v>
      </c>
      <c r="I106" t="s">
        <v>349</v>
      </c>
      <c r="J106" t="s">
        <v>30</v>
      </c>
      <c r="K106">
        <v>11</v>
      </c>
      <c r="L106">
        <v>259</v>
      </c>
      <c r="M106" t="s">
        <v>241</v>
      </c>
      <c r="N106" t="s">
        <v>148</v>
      </c>
      <c r="O106" t="s">
        <v>323</v>
      </c>
      <c r="P106">
        <v>80</v>
      </c>
      <c r="Q106">
        <v>1950</v>
      </c>
      <c r="R106">
        <v>1973</v>
      </c>
      <c r="S106">
        <v>74</v>
      </c>
      <c r="T106">
        <v>51</v>
      </c>
      <c r="U106">
        <v>1</v>
      </c>
      <c r="V106">
        <v>1613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1613</v>
      </c>
      <c r="AC106">
        <v>2000</v>
      </c>
      <c r="AD106">
        <v>0</v>
      </c>
      <c r="AF106" t="s">
        <v>207</v>
      </c>
      <c r="AG106" t="s">
        <v>175</v>
      </c>
      <c r="AH106" t="s">
        <v>65</v>
      </c>
      <c r="AI106">
        <v>0</v>
      </c>
      <c r="AJ106">
        <v>0</v>
      </c>
      <c r="AK106">
        <v>0</v>
      </c>
      <c r="AL106">
        <v>1</v>
      </c>
      <c r="AM106">
        <v>0</v>
      </c>
      <c r="AN106">
        <v>9</v>
      </c>
      <c r="AO106">
        <v>0</v>
      </c>
      <c r="AP106">
        <v>0</v>
      </c>
      <c r="AQ106">
        <v>528</v>
      </c>
      <c r="AR106">
        <v>0</v>
      </c>
      <c r="AS106">
        <v>144</v>
      </c>
      <c r="AT106">
        <v>204</v>
      </c>
      <c r="AU106">
        <v>100</v>
      </c>
      <c r="AV106">
        <v>100</v>
      </c>
      <c r="AW106">
        <v>341355</v>
      </c>
      <c r="AX106">
        <v>238949</v>
      </c>
      <c r="AY106">
        <v>916</v>
      </c>
      <c r="AZ106">
        <v>365</v>
      </c>
      <c r="BA106">
        <v>365</v>
      </c>
      <c r="BB106">
        <v>186</v>
      </c>
      <c r="BC106" s="3">
        <v>44376</v>
      </c>
      <c r="BD106" t="s">
        <v>439</v>
      </c>
      <c r="BE106">
        <v>325000</v>
      </c>
      <c r="BF106">
        <v>318306</v>
      </c>
      <c r="BG106" t="s">
        <v>294</v>
      </c>
      <c r="BH106">
        <v>30</v>
      </c>
      <c r="BI106" t="s">
        <v>65</v>
      </c>
      <c r="BJ106" t="s">
        <v>450</v>
      </c>
      <c r="BK106">
        <v>333500</v>
      </c>
      <c r="BL106">
        <v>54700</v>
      </c>
      <c r="BM106">
        <v>278800</v>
      </c>
      <c r="BN106">
        <v>6694</v>
      </c>
      <c r="BO106">
        <v>1.0261538461538462</v>
      </c>
      <c r="BP106">
        <v>296177.01669887459</v>
      </c>
      <c r="BQ106">
        <v>342611.63938703004</v>
      </c>
      <c r="BR106" s="12">
        <f>(Sales[[#This Row],[DP1]]*Lookups!$B$59)+(Sales[[#This Row],[DP2]]*Lookups!$B$60)+(Sales[[#This Row],[DP3]]*Lookups!$B$61)</f>
        <v>-46434.622694470003</v>
      </c>
      <c r="BS106" s="12">
        <f>Lookups!$B$56*0</f>
        <v>0</v>
      </c>
      <c r="BT106" s="12">
        <f>Lookups!$B$56*1</f>
        <v>89850.625589999996</v>
      </c>
      <c r="BU106" s="12">
        <f>Lookups!$B$57*Sales[[#This Row],[LnAcres]]</f>
        <v>-54281.285314520763</v>
      </c>
      <c r="BV106" s="12">
        <f>VLOOKUP(Sales[[#This Row],[Qlty]],Lookups!$A$62:$E$75,2,FALSE)</f>
        <v>44121.038090000002</v>
      </c>
      <c r="BW106" s="12">
        <f>VLOOKUP(Sales[[#This Row],[Cnd]],Lookups!$A$76:$E$84,2,FALSE)</f>
        <v>160472.20319</v>
      </c>
      <c r="BX106" s="12">
        <f>Sales[[#This Row],[EffAge]]*Lookups!$B$85</f>
        <v>-11375.3256255</v>
      </c>
      <c r="BY106" s="12">
        <f>Sales[[#This Row],[MainFn]]*Lookups!$B$86</f>
        <v>79696.184511601008</v>
      </c>
      <c r="BZ106" s="12">
        <f>Sales[[#This Row],[UpprFn]]*Lookups!$B$87</f>
        <v>0</v>
      </c>
      <c r="CA106" s="12">
        <f>Sales[[#This Row],[AddFn]]*Lookups!$B$88</f>
        <v>0</v>
      </c>
      <c r="CB106" s="12">
        <f>Sales[[#This Row],[Bsmt]]*Lookups!$B$89</f>
        <v>0</v>
      </c>
      <c r="CC106" s="12">
        <f>Sales[[#This Row],[Fixtures]]*Lookups!$B$90</f>
        <v>34128.198946800003</v>
      </c>
      <c r="CD106" s="12">
        <f>Sales[[#This Row],[WdDeck]]*Lookups!$B$91</f>
        <v>0</v>
      </c>
      <c r="CE106" s="12">
        <f>SUM(Sales[[#This Row],[Days Prior Total]:[Mdl WdDeck]])</f>
        <v>296177.01669391023</v>
      </c>
      <c r="CF106" s="12">
        <f>ROUND(Sales[[#This Row],[25Det]],-2)</f>
        <v>6700</v>
      </c>
      <c r="CG106" s="12">
        <f>ROUND(SUM(Sales[[#This Row],[Mdl Qlty]:[Mdl WdDeck]])+Sales[[#This Row],[Mdl Res Intercept]]+Sales[[#This Row],[Days Prior Total]],-2)</f>
        <v>260600</v>
      </c>
      <c r="CH106" s="12">
        <f>ROUND(Sales[[#This Row],[Mdl Land Intercept]]+Sales[[#This Row],[Mdl LnAcres]],-2)</f>
        <v>35600</v>
      </c>
      <c r="CI106" s="12">
        <f>Sales[[#This Row],[Unadj Res Value]]+Sales[[#This Row],[Unadj Det Value]]+Sales[[#This Row],[Unadj Land Value]]</f>
        <v>302900</v>
      </c>
      <c r="CJ106" s="13">
        <f>Sales[[#This Row],[Unadj Total Value]]/Sales[[#This Row],[Price]]</f>
        <v>0.93200000000000005</v>
      </c>
      <c r="CK106" s="13">
        <f>(Sales[[#This Row],[Unadj Total Value]]-Sales[[#This Row],[24Final]])/Sales[[#This Row],[24Final]]</f>
        <v>-9.1754122938530733E-2</v>
      </c>
      <c r="CL106">
        <f>VLOOKUP(Sales[[#This Row],[TNbhd]],Lookups!$Q$2:$T$4,4,FALSE)</f>
        <v>0.99970000000000003</v>
      </c>
      <c r="CM106">
        <f>VLOOKUP(Sales[[#This Row],[Qlty]],Lookups!$O$7:$R$21,4,FALSE)</f>
        <v>0.98050000000000004</v>
      </c>
      <c r="CN106">
        <f>VLOOKUP(Sales[[#This Row],[Cnd]],Lookups!$T$7:$W$16,4,FALSE)</f>
        <v>0.99729999999999996</v>
      </c>
      <c r="CO106">
        <f>VLOOKUP(Sales[[#This Row],[LivArea Range]],Lookups!$T$25:$W$37,4,FALSE)</f>
        <v>1.0093000000000001</v>
      </c>
      <c r="CP106">
        <f>VLOOKUP(Sales[[#This Row],[Decade]],Lookups!$O$25:$R$42,4,FALSE)</f>
        <v>0.995</v>
      </c>
      <c r="CQ106">
        <f>Sales[[#This Row],[Nbhd Adj]]*0.95</f>
        <v>0.94971499999999998</v>
      </c>
      <c r="CR106">
        <f>Sales[[#This Row],[Nbhd Adj]]*Sales[[#This Row],[Quality Adj]]*Sales[[#This Row],[Condition Adj]]*Sales[[#This Row],[Living Area Adj]]*Sales[[#This Row],[Decade Adj]]*0.95</f>
        <v>0.93263147552975589</v>
      </c>
      <c r="CS106">
        <f>ROUND(SUM(Sales[[#This Row],[Mdl Qlty]:[Mdl WdDeck]])+Sales[[#This Row],[Mdl Res Intercept]]*Sales[[#This Row],[Res Adj ]],-2)</f>
        <v>307000</v>
      </c>
      <c r="CT106">
        <f>ROUND(Sales[[#This Row],[25Det]]*Sales[[#This Row],[Det/Nbhd Adj]],-2)</f>
        <v>6400</v>
      </c>
      <c r="CU106">
        <f>Sales[[#This Row],[Adjusted Res]]+Sales[[#This Row],[Adj Det ]]</f>
        <v>313400</v>
      </c>
      <c r="CV106">
        <f>ROUND((Sales[[#This Row],[Mdl Land Intercept]]+Sales[[#This Row],[Mdl LnAcres]])*Sales[[#This Row],[Det/Nbhd Adj]],-2)</f>
        <v>33800</v>
      </c>
      <c r="CW106">
        <f>Sales[[#This Row],[Adjusted Impr Total]]+Sales[[#This Row],[Adjusted Land Total]]</f>
        <v>347200</v>
      </c>
      <c r="CX106" s="15">
        <f>IFERROR((Sales[[#This Row],[Adjusted Impr Total]]-Sales[[#This Row],[24Bldg]])/Sales[[#This Row],[24Bldg]],0)</f>
        <v>0.12410329985652797</v>
      </c>
      <c r="CY106" s="15">
        <f>(Sales[[#This Row],[Adjusted Land Total]]-Sales[[#This Row],[24Lnd]])/Sales[[#This Row],[24Lnd]]</f>
        <v>-0.38208409506398539</v>
      </c>
      <c r="CZ106" s="15">
        <f>(Sales[[#This Row],[Adjusted Total]]-Sales[[#This Row],[24Final]])/Sales[[#This Row],[24Final]]</f>
        <v>4.1079460269865066E-2</v>
      </c>
      <c r="DA106" s="15">
        <f>(Sales[[#This Row],[Adjusted Total]]+Sales[[#This Row],[Days Prior Total]])/Sales[[#This Row],[Price]]</f>
        <v>0.92543193017086156</v>
      </c>
    </row>
    <row r="107" spans="1:105" x14ac:dyDescent="0.3">
      <c r="A107">
        <v>2025</v>
      </c>
      <c r="B107">
        <v>18132343431</v>
      </c>
      <c r="C107">
        <v>-0.75502258427803282</v>
      </c>
      <c r="D107">
        <v>0.47</v>
      </c>
      <c r="E107">
        <v>20473</v>
      </c>
      <c r="F107">
        <v>6</v>
      </c>
      <c r="G107" t="s">
        <v>126</v>
      </c>
      <c r="H107" t="s">
        <v>349</v>
      </c>
      <c r="I107" t="s">
        <v>349</v>
      </c>
      <c r="J107" t="s">
        <v>30</v>
      </c>
      <c r="K107">
        <v>11</v>
      </c>
      <c r="L107">
        <v>259</v>
      </c>
      <c r="M107" t="s">
        <v>448</v>
      </c>
      <c r="N107" t="s">
        <v>95</v>
      </c>
      <c r="O107" t="s">
        <v>352</v>
      </c>
      <c r="P107">
        <v>80</v>
      </c>
      <c r="Q107">
        <v>1950</v>
      </c>
      <c r="R107">
        <v>1973</v>
      </c>
      <c r="S107">
        <v>74</v>
      </c>
      <c r="T107">
        <v>51</v>
      </c>
      <c r="U107">
        <v>1</v>
      </c>
      <c r="V107">
        <v>3903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3903</v>
      </c>
      <c r="AC107">
        <v>4000</v>
      </c>
      <c r="AD107">
        <v>2</v>
      </c>
      <c r="AE107" t="s">
        <v>6</v>
      </c>
      <c r="AF107" t="s">
        <v>207</v>
      </c>
      <c r="AG107" t="s">
        <v>148</v>
      </c>
      <c r="AI107">
        <v>0</v>
      </c>
      <c r="AJ107">
        <v>1</v>
      </c>
      <c r="AK107">
        <v>1</v>
      </c>
      <c r="AL107">
        <v>1</v>
      </c>
      <c r="AM107">
        <v>1</v>
      </c>
      <c r="AN107">
        <v>12</v>
      </c>
      <c r="AO107">
        <v>676</v>
      </c>
      <c r="AP107">
        <v>0</v>
      </c>
      <c r="AQ107">
        <v>0</v>
      </c>
      <c r="AR107">
        <v>388</v>
      </c>
      <c r="AS107">
        <v>74</v>
      </c>
      <c r="AT107">
        <v>462</v>
      </c>
      <c r="AU107">
        <v>100</v>
      </c>
      <c r="AV107">
        <v>100</v>
      </c>
      <c r="AW107">
        <v>772296</v>
      </c>
      <c r="AX107">
        <v>610114</v>
      </c>
      <c r="AY107">
        <v>82</v>
      </c>
      <c r="AZ107">
        <v>82</v>
      </c>
      <c r="BA107">
        <v>0</v>
      </c>
      <c r="BB107">
        <v>0</v>
      </c>
      <c r="BC107" s="3">
        <v>45210</v>
      </c>
      <c r="BD107" t="s">
        <v>375</v>
      </c>
      <c r="BE107">
        <v>750000</v>
      </c>
      <c r="BF107">
        <v>704345</v>
      </c>
      <c r="BG107" t="s">
        <v>294</v>
      </c>
      <c r="BH107">
        <v>30</v>
      </c>
      <c r="BI107" t="s">
        <v>65</v>
      </c>
      <c r="BJ107" t="s">
        <v>450</v>
      </c>
      <c r="BK107">
        <v>603400</v>
      </c>
      <c r="BL107">
        <v>88200</v>
      </c>
      <c r="BM107">
        <v>515200</v>
      </c>
      <c r="BN107">
        <v>45655</v>
      </c>
      <c r="BO107">
        <v>0.80453333333333332</v>
      </c>
      <c r="BP107">
        <v>659133.55951335095</v>
      </c>
      <c r="BQ107">
        <v>664919.33163174451</v>
      </c>
      <c r="BR107" s="12">
        <f>(Sales[[#This Row],[DP1]]*Lookups!$B$59)+(Sales[[#This Row],[DP2]]*Lookups!$B$60)+(Sales[[#This Row],[DP3]]*Lookups!$B$61)</f>
        <v>-5785.7721187400002</v>
      </c>
      <c r="BS107" s="12">
        <f>Lookups!$B$56*0</f>
        <v>0</v>
      </c>
      <c r="BT107" s="12">
        <f>Lookups!$B$56*1</f>
        <v>89850.625589999996</v>
      </c>
      <c r="BU107" s="12">
        <f>Lookups!$B$57*Sales[[#This Row],[LnAcres]]</f>
        <v>-23899.949781097919</v>
      </c>
      <c r="BV107" s="12">
        <f>VLOOKUP(Sales[[#This Row],[Qlty]],Lookups!$A$62:$E$75,2,FALSE)</f>
        <v>74268.409664999999</v>
      </c>
      <c r="BW107" s="12">
        <f>VLOOKUP(Sales[[#This Row],[Cnd]],Lookups!$A$76:$E$84,2,FALSE)</f>
        <v>284810.60806</v>
      </c>
      <c r="BX107" s="12">
        <f>Sales[[#This Row],[EffAge]]*Lookups!$B$85</f>
        <v>-11375.3256255</v>
      </c>
      <c r="BY107" s="12">
        <f>Sales[[#This Row],[MainFn]]*Lookups!$B$86</f>
        <v>192842.03852993101</v>
      </c>
      <c r="BZ107" s="12">
        <f>Sales[[#This Row],[UpprFn]]*Lookups!$B$87</f>
        <v>0</v>
      </c>
      <c r="CA107" s="12">
        <f>Sales[[#This Row],[AddFn]]*Lookups!$B$88</f>
        <v>0</v>
      </c>
      <c r="CB107" s="12">
        <f>Sales[[#This Row],[Bsmt]]*Lookups!$B$89</f>
        <v>0</v>
      </c>
      <c r="CC107" s="12">
        <f>Sales[[#This Row],[Fixtures]]*Lookups!$B$90</f>
        <v>45504.265262400004</v>
      </c>
      <c r="CD107" s="12">
        <f>Sales[[#This Row],[WdDeck]]*Lookups!$B$91</f>
        <v>12918.659927088001</v>
      </c>
      <c r="CE107" s="12">
        <f>SUM(Sales[[#This Row],[Days Prior Total]:[Mdl WdDeck]])</f>
        <v>659133.55950908107</v>
      </c>
      <c r="CF107" s="12">
        <f>ROUND(Sales[[#This Row],[25Det]],-2)</f>
        <v>45700</v>
      </c>
      <c r="CG107" s="12">
        <f>ROUND(SUM(Sales[[#This Row],[Mdl Qlty]:[Mdl WdDeck]])+Sales[[#This Row],[Mdl Res Intercept]]+Sales[[#This Row],[Days Prior Total]],-2)</f>
        <v>593200</v>
      </c>
      <c r="CH107" s="12">
        <f>ROUND(Sales[[#This Row],[Mdl Land Intercept]]+Sales[[#This Row],[Mdl LnAcres]],-2)</f>
        <v>66000</v>
      </c>
      <c r="CI107" s="12">
        <f>Sales[[#This Row],[Unadj Res Value]]+Sales[[#This Row],[Unadj Det Value]]+Sales[[#This Row],[Unadj Land Value]]</f>
        <v>704900</v>
      </c>
      <c r="CJ107" s="13">
        <f>Sales[[#This Row],[Unadj Total Value]]/Sales[[#This Row],[Price]]</f>
        <v>0.93986666666666663</v>
      </c>
      <c r="CK107" s="13">
        <f>(Sales[[#This Row],[Unadj Total Value]]-Sales[[#This Row],[24Final]])/Sales[[#This Row],[24Final]]</f>
        <v>0.16821345707656613</v>
      </c>
      <c r="CL107">
        <f>VLOOKUP(Sales[[#This Row],[TNbhd]],Lookups!$Q$2:$T$4,4,FALSE)</f>
        <v>0.99970000000000003</v>
      </c>
      <c r="CM107">
        <f>VLOOKUP(Sales[[#This Row],[Qlty]],Lookups!$O$7:$R$21,4,FALSE)</f>
        <v>0.98380000000000001</v>
      </c>
      <c r="CN107">
        <f>VLOOKUP(Sales[[#This Row],[Cnd]],Lookups!$T$7:$W$16,4,FALSE)</f>
        <v>1.0158</v>
      </c>
      <c r="CO107">
        <f>VLOOKUP(Sales[[#This Row],[LivArea Range]],Lookups!$T$25:$W$37,4,FALSE)</f>
        <v>0.94579999999999997</v>
      </c>
      <c r="CP107">
        <f>VLOOKUP(Sales[[#This Row],[Decade]],Lookups!$O$25:$R$42,4,FALSE)</f>
        <v>0.995</v>
      </c>
      <c r="CQ107">
        <f>Sales[[#This Row],[Nbhd Adj]]*0.95</f>
        <v>0.94971499999999998</v>
      </c>
      <c r="CR107">
        <f>Sales[[#This Row],[Nbhd Adj]]*Sales[[#This Row],[Quality Adj]]*Sales[[#This Row],[Condition Adj]]*Sales[[#This Row],[Living Area Adj]]*Sales[[#This Row],[Decade Adj]]*0.95</f>
        <v>0.89316298101040392</v>
      </c>
      <c r="CS107">
        <f>ROUND(SUM(Sales[[#This Row],[Mdl Qlty]:[Mdl WdDeck]])+Sales[[#This Row],[Mdl Res Intercept]]*Sales[[#This Row],[Res Adj ]],-2)</f>
        <v>599000</v>
      </c>
      <c r="CT107">
        <f>ROUND(Sales[[#This Row],[25Det]]*Sales[[#This Row],[Det/Nbhd Adj]],-2)</f>
        <v>43400</v>
      </c>
      <c r="CU107">
        <f>Sales[[#This Row],[Adjusted Res]]+Sales[[#This Row],[Adj Det ]]</f>
        <v>642400</v>
      </c>
      <c r="CV107">
        <f>ROUND((Sales[[#This Row],[Mdl Land Intercept]]+Sales[[#This Row],[Mdl LnAcres]])*Sales[[#This Row],[Det/Nbhd Adj]],-2)</f>
        <v>62600</v>
      </c>
      <c r="CW107">
        <f>Sales[[#This Row],[Adjusted Impr Total]]+Sales[[#This Row],[Adjusted Land Total]]</f>
        <v>705000</v>
      </c>
      <c r="CX107" s="15">
        <f>IFERROR((Sales[[#This Row],[Adjusted Impr Total]]-Sales[[#This Row],[24Bldg]])/Sales[[#This Row],[24Bldg]],0)</f>
        <v>0.24689440993788819</v>
      </c>
      <c r="CY107" s="15">
        <f>(Sales[[#This Row],[Adjusted Land Total]]-Sales[[#This Row],[24Lnd]])/Sales[[#This Row],[24Lnd]]</f>
        <v>-0.29024943310657597</v>
      </c>
      <c r="CZ107" s="15">
        <f>(Sales[[#This Row],[Adjusted Total]]-Sales[[#This Row],[24Final]])/Sales[[#This Row],[24Final]]</f>
        <v>0.16837918462048393</v>
      </c>
      <c r="DA107" s="15">
        <f>(Sales[[#This Row],[Adjusted Total]]+Sales[[#This Row],[Days Prior Total]])/Sales[[#This Row],[Price]]</f>
        <v>0.93228563717501334</v>
      </c>
    </row>
    <row r="108" spans="1:105" x14ac:dyDescent="0.3">
      <c r="A108">
        <v>2025</v>
      </c>
      <c r="B108">
        <v>18132323506</v>
      </c>
      <c r="C108">
        <v>-1.6094379124341003</v>
      </c>
      <c r="D108">
        <v>0.2</v>
      </c>
      <c r="E108">
        <v>0</v>
      </c>
      <c r="F108">
        <v>6</v>
      </c>
      <c r="G108" t="s">
        <v>126</v>
      </c>
      <c r="H108">
        <v>3033</v>
      </c>
      <c r="I108" t="s">
        <v>349</v>
      </c>
      <c r="J108" t="s">
        <v>30</v>
      </c>
      <c r="K108">
        <v>11</v>
      </c>
      <c r="L108">
        <v>259</v>
      </c>
      <c r="M108" t="s">
        <v>241</v>
      </c>
      <c r="N108" t="s">
        <v>351</v>
      </c>
      <c r="O108" t="s">
        <v>303</v>
      </c>
      <c r="P108">
        <v>80</v>
      </c>
      <c r="Q108">
        <v>1950</v>
      </c>
      <c r="R108">
        <v>1973</v>
      </c>
      <c r="S108">
        <v>74</v>
      </c>
      <c r="T108">
        <v>51</v>
      </c>
      <c r="U108">
        <v>1</v>
      </c>
      <c r="V108">
        <v>1257</v>
      </c>
      <c r="W108">
        <v>0</v>
      </c>
      <c r="X108">
        <v>0</v>
      </c>
      <c r="Y108">
        <v>306</v>
      </c>
      <c r="Z108">
        <v>1</v>
      </c>
      <c r="AA108">
        <v>305</v>
      </c>
      <c r="AB108">
        <v>1562</v>
      </c>
      <c r="AC108">
        <v>2000</v>
      </c>
      <c r="AD108">
        <v>0</v>
      </c>
      <c r="AE108" t="s">
        <v>6</v>
      </c>
      <c r="AF108" t="s">
        <v>383</v>
      </c>
      <c r="AG108" t="s">
        <v>148</v>
      </c>
      <c r="AH108" t="s">
        <v>450</v>
      </c>
      <c r="AI108">
        <v>0</v>
      </c>
      <c r="AJ108">
        <v>1</v>
      </c>
      <c r="AK108">
        <v>0</v>
      </c>
      <c r="AL108">
        <v>1</v>
      </c>
      <c r="AM108">
        <v>0</v>
      </c>
      <c r="AN108">
        <v>8</v>
      </c>
      <c r="AO108">
        <v>0</v>
      </c>
      <c r="AP108">
        <v>0</v>
      </c>
      <c r="AQ108">
        <v>240</v>
      </c>
      <c r="AR108">
        <v>0</v>
      </c>
      <c r="AS108">
        <v>0</v>
      </c>
      <c r="AT108">
        <v>0</v>
      </c>
      <c r="AU108">
        <v>100</v>
      </c>
      <c r="AV108">
        <v>100</v>
      </c>
      <c r="AW108">
        <v>220220</v>
      </c>
      <c r="AX108">
        <v>171772</v>
      </c>
      <c r="AY108">
        <v>615</v>
      </c>
      <c r="AZ108">
        <v>365</v>
      </c>
      <c r="BA108">
        <v>250</v>
      </c>
      <c r="BB108">
        <v>0</v>
      </c>
      <c r="BC108" s="3">
        <v>44677</v>
      </c>
      <c r="BD108" t="s">
        <v>104</v>
      </c>
      <c r="BE108">
        <v>350000</v>
      </c>
      <c r="BF108">
        <v>344343</v>
      </c>
      <c r="BG108" t="s">
        <v>294</v>
      </c>
      <c r="BH108">
        <v>30</v>
      </c>
      <c r="BI108" t="s">
        <v>65</v>
      </c>
      <c r="BJ108" t="s">
        <v>450</v>
      </c>
      <c r="BK108">
        <v>326700</v>
      </c>
      <c r="BL108">
        <v>58400</v>
      </c>
      <c r="BM108">
        <v>268300</v>
      </c>
      <c r="BN108">
        <v>5657</v>
      </c>
      <c r="BO108">
        <v>0.93342857142857139</v>
      </c>
      <c r="BP108">
        <v>325297.82354334428</v>
      </c>
      <c r="BQ108">
        <v>348180.77237678872</v>
      </c>
      <c r="BR108" s="12">
        <f>(Sales[[#This Row],[DP1]]*Lookups!$B$59)+(Sales[[#This Row],[DP2]]*Lookups!$B$60)+(Sales[[#This Row],[DP3]]*Lookups!$B$61)</f>
        <v>-22882.94883505</v>
      </c>
      <c r="BS108" s="12">
        <f>Lookups!$B$56*0</f>
        <v>0</v>
      </c>
      <c r="BT108" s="12">
        <f>Lookups!$B$56*1</f>
        <v>89850.625589999996</v>
      </c>
      <c r="BU108" s="12">
        <f>Lookups!$B$57*Sales[[#This Row],[LnAcres]]</f>
        <v>-50946.13867709865</v>
      </c>
      <c r="BV108" s="12">
        <f>VLOOKUP(Sales[[#This Row],[Qlty]],Lookups!$A$62:$E$75,2,FALSE)</f>
        <v>21557.329055999999</v>
      </c>
      <c r="BW108" s="12">
        <f>VLOOKUP(Sales[[#This Row],[Cnd]],Lookups!$A$76:$E$84,2,FALSE)</f>
        <v>197752.34721000001</v>
      </c>
      <c r="BX108" s="12">
        <f>Sales[[#This Row],[EffAge]]*Lookups!$B$85</f>
        <v>-11375.3256255</v>
      </c>
      <c r="BY108" s="12">
        <f>Sales[[#This Row],[MainFn]]*Lookups!$B$86</f>
        <v>62106.698035389003</v>
      </c>
      <c r="BZ108" s="12">
        <f>Sales[[#This Row],[UpprFn]]*Lookups!$B$87</f>
        <v>0</v>
      </c>
      <c r="CA108" s="12">
        <f>Sales[[#This Row],[AddFn]]*Lookups!$B$88</f>
        <v>0</v>
      </c>
      <c r="CB108" s="12">
        <f>Sales[[#This Row],[Bsmt]]*Lookups!$B$89</f>
        <v>8899.0599455819993</v>
      </c>
      <c r="CC108" s="12">
        <f>Sales[[#This Row],[Fixtures]]*Lookups!$B$90</f>
        <v>30336.176841600001</v>
      </c>
      <c r="CD108" s="12">
        <f>Sales[[#This Row],[WdDeck]]*Lookups!$B$91</f>
        <v>0</v>
      </c>
      <c r="CE108" s="12">
        <f>SUM(Sales[[#This Row],[Days Prior Total]:[Mdl WdDeck]])</f>
        <v>325297.82354092231</v>
      </c>
      <c r="CF108" s="12">
        <f>ROUND(Sales[[#This Row],[25Det]],-2)</f>
        <v>5700</v>
      </c>
      <c r="CG108" s="12">
        <f>ROUND(SUM(Sales[[#This Row],[Mdl Qlty]:[Mdl WdDeck]])+Sales[[#This Row],[Mdl Res Intercept]]+Sales[[#This Row],[Days Prior Total]],-2)</f>
        <v>286400</v>
      </c>
      <c r="CH108" s="12">
        <f>ROUND(Sales[[#This Row],[Mdl Land Intercept]]+Sales[[#This Row],[Mdl LnAcres]],-2)</f>
        <v>38900</v>
      </c>
      <c r="CI108" s="12">
        <f>Sales[[#This Row],[Unadj Res Value]]+Sales[[#This Row],[Unadj Det Value]]+Sales[[#This Row],[Unadj Land Value]]</f>
        <v>331000</v>
      </c>
      <c r="CJ108" s="13">
        <f>Sales[[#This Row],[Unadj Total Value]]/Sales[[#This Row],[Price]]</f>
        <v>0.94571428571428573</v>
      </c>
      <c r="CK108" s="13">
        <f>(Sales[[#This Row],[Unadj Total Value]]-Sales[[#This Row],[24Final]])/Sales[[#This Row],[24Final]]</f>
        <v>1.3161922252831344E-2</v>
      </c>
      <c r="CL108">
        <f>VLOOKUP(Sales[[#This Row],[TNbhd]],Lookups!$Q$2:$T$4,4,FALSE)</f>
        <v>0.99970000000000003</v>
      </c>
      <c r="CM108">
        <f>VLOOKUP(Sales[[#This Row],[Qlty]],Lookups!$O$7:$R$21,4,FALSE)</f>
        <v>1.0067999999999999</v>
      </c>
      <c r="CN108">
        <f>VLOOKUP(Sales[[#This Row],[Cnd]],Lookups!$T$7:$W$16,4,FALSE)</f>
        <v>0.99650000000000005</v>
      </c>
      <c r="CO108">
        <f>VLOOKUP(Sales[[#This Row],[LivArea Range]],Lookups!$T$25:$W$37,4,FALSE)</f>
        <v>1.0093000000000001</v>
      </c>
      <c r="CP108">
        <f>VLOOKUP(Sales[[#This Row],[Decade]],Lookups!$O$25:$R$42,4,FALSE)</f>
        <v>0.995</v>
      </c>
      <c r="CQ108">
        <f>Sales[[#This Row],[Nbhd Adj]]*0.95</f>
        <v>0.94971499999999998</v>
      </c>
      <c r="CR108">
        <f>Sales[[#This Row],[Nbhd Adj]]*Sales[[#This Row],[Quality Adj]]*Sales[[#This Row],[Condition Adj]]*Sales[[#This Row],[Living Area Adj]]*Sales[[#This Row],[Decade Adj]]*0.95</f>
        <v>0.95687930361479956</v>
      </c>
      <c r="CS108">
        <f>ROUND(SUM(Sales[[#This Row],[Mdl Qlty]:[Mdl WdDeck]])+Sales[[#This Row],[Mdl Res Intercept]]*Sales[[#This Row],[Res Adj ]],-2)</f>
        <v>309300</v>
      </c>
      <c r="CT108">
        <f>ROUND(Sales[[#This Row],[25Det]]*Sales[[#This Row],[Det/Nbhd Adj]],-2)</f>
        <v>5400</v>
      </c>
      <c r="CU108">
        <f>Sales[[#This Row],[Adjusted Res]]+Sales[[#This Row],[Adj Det ]]</f>
        <v>314700</v>
      </c>
      <c r="CV108">
        <f>ROUND((Sales[[#This Row],[Mdl Land Intercept]]+Sales[[#This Row],[Mdl LnAcres]])*Sales[[#This Row],[Det/Nbhd Adj]],-2)</f>
        <v>36900</v>
      </c>
      <c r="CW108">
        <f>Sales[[#This Row],[Adjusted Impr Total]]+Sales[[#This Row],[Adjusted Land Total]]</f>
        <v>351600</v>
      </c>
      <c r="CX108" s="15">
        <f>IFERROR((Sales[[#This Row],[Adjusted Impr Total]]-Sales[[#This Row],[24Bldg]])/Sales[[#This Row],[24Bldg]],0)</f>
        <v>0.17294073797987328</v>
      </c>
      <c r="CY108" s="15">
        <f>(Sales[[#This Row],[Adjusted Land Total]]-Sales[[#This Row],[24Lnd]])/Sales[[#This Row],[24Lnd]]</f>
        <v>-0.36815068493150682</v>
      </c>
      <c r="CZ108" s="15">
        <f>(Sales[[#This Row],[Adjusted Total]]-Sales[[#This Row],[24Final]])/Sales[[#This Row],[24Final]]</f>
        <v>7.6216712580348941E-2</v>
      </c>
      <c r="DA108" s="15">
        <f>(Sales[[#This Row],[Adjusted Total]]+Sales[[#This Row],[Days Prior Total]])/Sales[[#This Row],[Price]]</f>
        <v>0.93919157475699999</v>
      </c>
    </row>
    <row r="109" spans="1:105" x14ac:dyDescent="0.3">
      <c r="A109">
        <v>2025</v>
      </c>
      <c r="B109">
        <v>18132244445</v>
      </c>
      <c r="C109">
        <v>-1.4271163556401458</v>
      </c>
      <c r="D109">
        <v>0.24</v>
      </c>
      <c r="E109">
        <v>10500</v>
      </c>
      <c r="F109">
        <v>6</v>
      </c>
      <c r="G109" t="s">
        <v>126</v>
      </c>
      <c r="H109">
        <v>3092</v>
      </c>
      <c r="I109" t="s">
        <v>349</v>
      </c>
      <c r="J109" t="s">
        <v>30</v>
      </c>
      <c r="K109">
        <v>11</v>
      </c>
      <c r="L109">
        <v>259</v>
      </c>
      <c r="M109" t="s">
        <v>242</v>
      </c>
      <c r="N109" t="s">
        <v>351</v>
      </c>
      <c r="O109" t="s">
        <v>323</v>
      </c>
      <c r="P109">
        <v>80</v>
      </c>
      <c r="Q109">
        <v>1950</v>
      </c>
      <c r="R109">
        <v>1973</v>
      </c>
      <c r="S109">
        <v>74</v>
      </c>
      <c r="T109">
        <v>51</v>
      </c>
      <c r="U109">
        <v>1</v>
      </c>
      <c r="V109">
        <v>1260</v>
      </c>
      <c r="W109">
        <v>0</v>
      </c>
      <c r="X109">
        <v>0</v>
      </c>
      <c r="Y109">
        <v>1152</v>
      </c>
      <c r="Z109">
        <v>0</v>
      </c>
      <c r="AA109">
        <v>1152</v>
      </c>
      <c r="AB109">
        <v>2412</v>
      </c>
      <c r="AC109">
        <v>2500</v>
      </c>
      <c r="AD109">
        <v>1</v>
      </c>
      <c r="AF109" t="s">
        <v>383</v>
      </c>
      <c r="AG109" t="s">
        <v>148</v>
      </c>
      <c r="AH109" t="s">
        <v>450</v>
      </c>
      <c r="AI109">
        <v>1</v>
      </c>
      <c r="AJ109">
        <v>1</v>
      </c>
      <c r="AK109">
        <v>0</v>
      </c>
      <c r="AL109">
        <v>0</v>
      </c>
      <c r="AM109">
        <v>0</v>
      </c>
      <c r="AN109">
        <v>10</v>
      </c>
      <c r="AO109">
        <v>273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100</v>
      </c>
      <c r="AV109">
        <v>100</v>
      </c>
      <c r="AW109">
        <v>287753</v>
      </c>
      <c r="AX109">
        <v>201427</v>
      </c>
      <c r="AY109">
        <v>537</v>
      </c>
      <c r="AZ109">
        <v>365</v>
      </c>
      <c r="BA109">
        <v>172</v>
      </c>
      <c r="BB109">
        <v>0</v>
      </c>
      <c r="BC109" s="3">
        <v>44755</v>
      </c>
      <c r="BD109" t="s">
        <v>327</v>
      </c>
      <c r="BE109">
        <v>347000</v>
      </c>
      <c r="BF109">
        <v>342654</v>
      </c>
      <c r="BG109" t="s">
        <v>294</v>
      </c>
      <c r="BH109">
        <v>30</v>
      </c>
      <c r="BI109" t="s">
        <v>65</v>
      </c>
      <c r="BJ109" t="s">
        <v>450</v>
      </c>
      <c r="BK109">
        <v>350300</v>
      </c>
      <c r="BL109">
        <v>64800</v>
      </c>
      <c r="BM109">
        <v>285500</v>
      </c>
      <c r="BN109">
        <v>4346</v>
      </c>
      <c r="BO109">
        <v>1.0095100864553315</v>
      </c>
      <c r="BP109">
        <v>325228.86455331615</v>
      </c>
      <c r="BQ109">
        <v>349007.50077563658</v>
      </c>
      <c r="BR109" s="12">
        <f>(Sales[[#This Row],[DP1]]*Lookups!$B$59)+(Sales[[#This Row],[DP2]]*Lookups!$B$60)+(Sales[[#This Row],[DP3]]*Lookups!$B$61)</f>
        <v>-23778.636223906</v>
      </c>
      <c r="BS109" s="12">
        <f>Lookups!$B$56*0</f>
        <v>0</v>
      </c>
      <c r="BT109" s="12">
        <f>Lookups!$B$56*1</f>
        <v>89850.625589999996</v>
      </c>
      <c r="BU109" s="12">
        <f>Lookups!$B$57*Sales[[#This Row],[LnAcres]]</f>
        <v>-45174.819855485119</v>
      </c>
      <c r="BV109" s="12">
        <f>VLOOKUP(Sales[[#This Row],[Qlty]],Lookups!$A$62:$E$75,2,FALSE)</f>
        <v>21557.329055999999</v>
      </c>
      <c r="BW109" s="12">
        <f>VLOOKUP(Sales[[#This Row],[Cnd]],Lookups!$A$76:$E$84,2,FALSE)</f>
        <v>160472.20319</v>
      </c>
      <c r="BX109" s="12">
        <f>Sales[[#This Row],[EffAge]]*Lookups!$B$85</f>
        <v>-11375.3256255</v>
      </c>
      <c r="BY109" s="12">
        <f>Sales[[#This Row],[MainFn]]*Lookups!$B$86</f>
        <v>62254.924045020001</v>
      </c>
      <c r="BZ109" s="12">
        <f>Sales[[#This Row],[UpprFn]]*Lookups!$B$87</f>
        <v>0</v>
      </c>
      <c r="CA109" s="12">
        <f>Sales[[#This Row],[AddFn]]*Lookups!$B$88</f>
        <v>0</v>
      </c>
      <c r="CB109" s="12">
        <f>Sales[[#This Row],[Bsmt]]*Lookups!$B$89</f>
        <v>33502.343324543996</v>
      </c>
      <c r="CC109" s="12">
        <f>Sales[[#This Row],[Fixtures]]*Lookups!$B$90</f>
        <v>37920.221052000001</v>
      </c>
      <c r="CD109" s="12">
        <f>Sales[[#This Row],[WdDeck]]*Lookups!$B$91</f>
        <v>0</v>
      </c>
      <c r="CE109" s="12">
        <f>SUM(Sales[[#This Row],[Days Prior Total]:[Mdl WdDeck]])</f>
        <v>325228.86455267289</v>
      </c>
      <c r="CF109" s="12">
        <f>ROUND(Sales[[#This Row],[25Det]],-2)</f>
        <v>4300</v>
      </c>
      <c r="CG109" s="12">
        <f>ROUND(SUM(Sales[[#This Row],[Mdl Qlty]:[Mdl WdDeck]])+Sales[[#This Row],[Mdl Res Intercept]]+Sales[[#This Row],[Days Prior Total]],-2)</f>
        <v>280600</v>
      </c>
      <c r="CH109" s="12">
        <f>ROUND(Sales[[#This Row],[Mdl Land Intercept]]+Sales[[#This Row],[Mdl LnAcres]],-2)</f>
        <v>44700</v>
      </c>
      <c r="CI109" s="12">
        <f>Sales[[#This Row],[Unadj Res Value]]+Sales[[#This Row],[Unadj Det Value]]+Sales[[#This Row],[Unadj Land Value]]</f>
        <v>329600</v>
      </c>
      <c r="CJ109" s="13">
        <f>Sales[[#This Row],[Unadj Total Value]]/Sales[[#This Row],[Price]]</f>
        <v>0.94985590778097984</v>
      </c>
      <c r="CK109" s="13">
        <f>(Sales[[#This Row],[Unadj Total Value]]-Sales[[#This Row],[24Final]])/Sales[[#This Row],[24Final]]</f>
        <v>-5.9092206679988581E-2</v>
      </c>
      <c r="CL109">
        <f>VLOOKUP(Sales[[#This Row],[TNbhd]],Lookups!$Q$2:$T$4,4,FALSE)</f>
        <v>0.99970000000000003</v>
      </c>
      <c r="CM109">
        <f>VLOOKUP(Sales[[#This Row],[Qlty]],Lookups!$O$7:$R$21,4,FALSE)</f>
        <v>1.0067999999999999</v>
      </c>
      <c r="CN109">
        <f>VLOOKUP(Sales[[#This Row],[Cnd]],Lookups!$T$7:$W$16,4,FALSE)</f>
        <v>0.99729999999999996</v>
      </c>
      <c r="CO109">
        <f>VLOOKUP(Sales[[#This Row],[LivArea Range]],Lookups!$T$25:$W$37,4,FALSE)</f>
        <v>0.98919999999999997</v>
      </c>
      <c r="CP109">
        <f>VLOOKUP(Sales[[#This Row],[Decade]],Lookups!$O$25:$R$42,4,FALSE)</f>
        <v>0.995</v>
      </c>
      <c r="CQ109">
        <f>Sales[[#This Row],[Nbhd Adj]]*0.95</f>
        <v>0.94971499999999998</v>
      </c>
      <c r="CR109">
        <f>Sales[[#This Row],[Nbhd Adj]]*Sales[[#This Row],[Quality Adj]]*Sales[[#This Row],[Condition Adj]]*Sales[[#This Row],[Living Area Adj]]*Sales[[#This Row],[Decade Adj]]*0.95</f>
        <v>0.93857614463114025</v>
      </c>
      <c r="CS109">
        <f>ROUND(SUM(Sales[[#This Row],[Mdl Qlty]:[Mdl WdDeck]])+Sales[[#This Row],[Mdl Res Intercept]]*Sales[[#This Row],[Res Adj ]],-2)</f>
        <v>304300</v>
      </c>
      <c r="CT109">
        <f>ROUND(Sales[[#This Row],[25Det]]*Sales[[#This Row],[Det/Nbhd Adj]],-2)</f>
        <v>4100</v>
      </c>
      <c r="CU109">
        <f>Sales[[#This Row],[Adjusted Res]]+Sales[[#This Row],[Adj Det ]]</f>
        <v>308400</v>
      </c>
      <c r="CV109">
        <f>ROUND((Sales[[#This Row],[Mdl Land Intercept]]+Sales[[#This Row],[Mdl LnAcres]])*Sales[[#This Row],[Det/Nbhd Adj]],-2)</f>
        <v>42400</v>
      </c>
      <c r="CW109">
        <f>Sales[[#This Row],[Adjusted Impr Total]]+Sales[[#This Row],[Adjusted Land Total]]</f>
        <v>350800</v>
      </c>
      <c r="CX109" s="15">
        <f>IFERROR((Sales[[#This Row],[Adjusted Impr Total]]-Sales[[#This Row],[24Bldg]])/Sales[[#This Row],[24Bldg]],0)</f>
        <v>8.0210157618213665E-2</v>
      </c>
      <c r="CY109" s="15">
        <f>(Sales[[#This Row],[Adjusted Land Total]]-Sales[[#This Row],[24Lnd]])/Sales[[#This Row],[24Lnd]]</f>
        <v>-0.34567901234567899</v>
      </c>
      <c r="CZ109" s="15">
        <f>(Sales[[#This Row],[Adjusted Total]]-Sales[[#This Row],[24Final]])/Sales[[#This Row],[24Final]]</f>
        <v>1.4273479874393378E-3</v>
      </c>
      <c r="DA109" s="15">
        <f>(Sales[[#This Row],[Adjusted Total]]+Sales[[#This Row],[Days Prior Total]])/Sales[[#This Row],[Price]]</f>
        <v>0.94242467947001152</v>
      </c>
    </row>
    <row r="110" spans="1:105" x14ac:dyDescent="0.3">
      <c r="A110">
        <v>2025</v>
      </c>
      <c r="B110">
        <v>18132344400</v>
      </c>
      <c r="C110">
        <v>-1.5141277326297755</v>
      </c>
      <c r="D110">
        <v>0.22</v>
      </c>
      <c r="E110">
        <v>9488</v>
      </c>
      <c r="F110">
        <v>6</v>
      </c>
      <c r="G110" t="s">
        <v>126</v>
      </c>
      <c r="H110">
        <v>3093</v>
      </c>
      <c r="I110" t="s">
        <v>349</v>
      </c>
      <c r="J110" t="s">
        <v>30</v>
      </c>
      <c r="K110">
        <v>11</v>
      </c>
      <c r="L110">
        <v>259</v>
      </c>
      <c r="M110" t="s">
        <v>241</v>
      </c>
      <c r="N110" t="s">
        <v>302</v>
      </c>
      <c r="O110" t="s">
        <v>323</v>
      </c>
      <c r="P110">
        <v>80</v>
      </c>
      <c r="Q110">
        <v>1950</v>
      </c>
      <c r="R110">
        <v>1973</v>
      </c>
      <c r="S110">
        <v>74</v>
      </c>
      <c r="T110">
        <v>51</v>
      </c>
      <c r="U110">
        <v>1</v>
      </c>
      <c r="V110">
        <v>1632</v>
      </c>
      <c r="W110">
        <v>0</v>
      </c>
      <c r="X110">
        <v>0</v>
      </c>
      <c r="Y110">
        <v>1632</v>
      </c>
      <c r="Z110">
        <v>0</v>
      </c>
      <c r="AA110">
        <v>1632</v>
      </c>
      <c r="AB110">
        <v>3264</v>
      </c>
      <c r="AC110">
        <v>3500</v>
      </c>
      <c r="AD110">
        <v>0</v>
      </c>
      <c r="AE110" t="s">
        <v>6</v>
      </c>
      <c r="AF110" t="s">
        <v>383</v>
      </c>
      <c r="AG110" t="s">
        <v>148</v>
      </c>
      <c r="AH110" t="s">
        <v>450</v>
      </c>
      <c r="AI110">
        <v>0</v>
      </c>
      <c r="AJ110">
        <v>2</v>
      </c>
      <c r="AK110">
        <v>0</v>
      </c>
      <c r="AL110">
        <v>2</v>
      </c>
      <c r="AM110">
        <v>0</v>
      </c>
      <c r="AN110">
        <v>9</v>
      </c>
      <c r="AO110">
        <v>0</v>
      </c>
      <c r="AP110">
        <v>0</v>
      </c>
      <c r="AQ110">
        <v>0</v>
      </c>
      <c r="AR110">
        <v>0</v>
      </c>
      <c r="AS110">
        <v>486</v>
      </c>
      <c r="AT110">
        <v>486</v>
      </c>
      <c r="AU110">
        <v>100</v>
      </c>
      <c r="AV110">
        <v>100</v>
      </c>
      <c r="AW110">
        <v>422116</v>
      </c>
      <c r="AX110">
        <v>295481</v>
      </c>
      <c r="AY110">
        <v>896</v>
      </c>
      <c r="AZ110">
        <v>365</v>
      </c>
      <c r="BA110">
        <v>365</v>
      </c>
      <c r="BB110">
        <v>166</v>
      </c>
      <c r="BC110" s="3">
        <v>44396</v>
      </c>
      <c r="BD110" t="s">
        <v>363</v>
      </c>
      <c r="BE110">
        <v>365000</v>
      </c>
      <c r="BF110">
        <v>355120</v>
      </c>
      <c r="BG110" t="s">
        <v>294</v>
      </c>
      <c r="BH110">
        <v>30</v>
      </c>
      <c r="BI110" t="s">
        <v>65</v>
      </c>
      <c r="BJ110" t="s">
        <v>450</v>
      </c>
      <c r="BK110">
        <v>397500</v>
      </c>
      <c r="BL110">
        <v>61700</v>
      </c>
      <c r="BM110">
        <v>335800</v>
      </c>
      <c r="BN110">
        <v>9880</v>
      </c>
      <c r="BO110">
        <v>1.0890410958904109</v>
      </c>
      <c r="BP110">
        <v>339297.07755386201</v>
      </c>
      <c r="BQ110">
        <v>383057.26598452061</v>
      </c>
      <c r="BR110" s="12">
        <f>(Sales[[#This Row],[DP1]]*Lookups!$B$59)+(Sales[[#This Row],[DP2]]*Lookups!$B$60)+(Sales[[#This Row],[DP3]]*Lookups!$B$61)</f>
        <v>-43760.188436470002</v>
      </c>
      <c r="BS110" s="12">
        <f>Lookups!$B$56*0</f>
        <v>0</v>
      </c>
      <c r="BT110" s="12">
        <f>Lookups!$B$56*1</f>
        <v>89850.625589999996</v>
      </c>
      <c r="BU110" s="12">
        <f>Lookups!$B$57*Sales[[#This Row],[LnAcres]]</f>
        <v>-47929.131559187132</v>
      </c>
      <c r="BV110" s="12">
        <f>VLOOKUP(Sales[[#This Row],[Qlty]],Lookups!$A$62:$E$75,2,FALSE)</f>
        <v>29814.093161000001</v>
      </c>
      <c r="BW110" s="12">
        <f>VLOOKUP(Sales[[#This Row],[Cnd]],Lookups!$A$76:$E$84,2,FALSE)</f>
        <v>160472.20319</v>
      </c>
      <c r="BX110" s="12">
        <f>Sales[[#This Row],[EffAge]]*Lookups!$B$85</f>
        <v>-11375.3256255</v>
      </c>
      <c r="BY110" s="12">
        <f>Sales[[#This Row],[MainFn]]*Lookups!$B$86</f>
        <v>80634.949239263995</v>
      </c>
      <c r="BZ110" s="12">
        <f>Sales[[#This Row],[UpprFn]]*Lookups!$B$87</f>
        <v>0</v>
      </c>
      <c r="CA110" s="12">
        <f>Sales[[#This Row],[AddFn]]*Lookups!$B$88</f>
        <v>0</v>
      </c>
      <c r="CB110" s="12">
        <f>Sales[[#This Row],[Bsmt]]*Lookups!$B$89</f>
        <v>47461.653043104001</v>
      </c>
      <c r="CC110" s="12">
        <f>Sales[[#This Row],[Fixtures]]*Lookups!$B$90</f>
        <v>34128.198946800003</v>
      </c>
      <c r="CD110" s="12">
        <f>Sales[[#This Row],[WdDeck]]*Lookups!$B$91</f>
        <v>0</v>
      </c>
      <c r="CE110" s="12">
        <f>SUM(Sales[[#This Row],[Days Prior Total]:[Mdl WdDeck]])</f>
        <v>339297.07754901086</v>
      </c>
      <c r="CF110" s="12">
        <f>ROUND(Sales[[#This Row],[25Det]],-2)</f>
        <v>9900</v>
      </c>
      <c r="CG110" s="12">
        <f>ROUND(SUM(Sales[[#This Row],[Mdl Qlty]:[Mdl WdDeck]])+Sales[[#This Row],[Mdl Res Intercept]]+Sales[[#This Row],[Days Prior Total]],-2)</f>
        <v>297400</v>
      </c>
      <c r="CH110" s="12">
        <f>ROUND(Sales[[#This Row],[Mdl Land Intercept]]+Sales[[#This Row],[Mdl LnAcres]],-2)</f>
        <v>41900</v>
      </c>
      <c r="CI110" s="12">
        <f>Sales[[#This Row],[Unadj Res Value]]+Sales[[#This Row],[Unadj Det Value]]+Sales[[#This Row],[Unadj Land Value]]</f>
        <v>349200</v>
      </c>
      <c r="CJ110" s="13">
        <f>Sales[[#This Row],[Unadj Total Value]]/Sales[[#This Row],[Price]]</f>
        <v>0.95671232876712331</v>
      </c>
      <c r="CK110" s="13">
        <f>(Sales[[#This Row],[Unadj Total Value]]-Sales[[#This Row],[24Final]])/Sales[[#This Row],[24Final]]</f>
        <v>-0.12150943396226416</v>
      </c>
      <c r="CL110">
        <f>VLOOKUP(Sales[[#This Row],[TNbhd]],Lookups!$Q$2:$T$4,4,FALSE)</f>
        <v>0.99970000000000003</v>
      </c>
      <c r="CM110">
        <f>VLOOKUP(Sales[[#This Row],[Qlty]],Lookups!$O$7:$R$21,4,FALSE)</f>
        <v>1.0088999999999999</v>
      </c>
      <c r="CN110">
        <f>VLOOKUP(Sales[[#This Row],[Cnd]],Lookups!$T$7:$W$16,4,FALSE)</f>
        <v>0.99729999999999996</v>
      </c>
      <c r="CO110">
        <f>VLOOKUP(Sales[[#This Row],[LivArea Range]],Lookups!$T$25:$W$37,4,FALSE)</f>
        <v>1.0126999999999999</v>
      </c>
      <c r="CP110">
        <f>VLOOKUP(Sales[[#This Row],[Decade]],Lookups!$O$25:$R$42,4,FALSE)</f>
        <v>0.995</v>
      </c>
      <c r="CQ110">
        <f>Sales[[#This Row],[Nbhd Adj]]*0.95</f>
        <v>0.94971499999999998</v>
      </c>
      <c r="CR110">
        <f>Sales[[#This Row],[Nbhd Adj]]*Sales[[#This Row],[Quality Adj]]*Sales[[#This Row],[Condition Adj]]*Sales[[#This Row],[Living Area Adj]]*Sales[[#This Row],[Decade Adj]]*0.95</f>
        <v>0.96287770115981319</v>
      </c>
      <c r="CS110">
        <f>ROUND(SUM(Sales[[#This Row],[Mdl Qlty]:[Mdl WdDeck]])+Sales[[#This Row],[Mdl Res Intercept]]*Sales[[#This Row],[Res Adj ]],-2)</f>
        <v>341100</v>
      </c>
      <c r="CT110">
        <f>ROUND(Sales[[#This Row],[25Det]]*Sales[[#This Row],[Det/Nbhd Adj]],-2)</f>
        <v>9400</v>
      </c>
      <c r="CU110">
        <f>Sales[[#This Row],[Adjusted Res]]+Sales[[#This Row],[Adj Det ]]</f>
        <v>350500</v>
      </c>
      <c r="CV110">
        <f>ROUND((Sales[[#This Row],[Mdl Land Intercept]]+Sales[[#This Row],[Mdl LnAcres]])*Sales[[#This Row],[Det/Nbhd Adj]],-2)</f>
        <v>39800</v>
      </c>
      <c r="CW110">
        <f>Sales[[#This Row],[Adjusted Impr Total]]+Sales[[#This Row],[Adjusted Land Total]]</f>
        <v>390300</v>
      </c>
      <c r="CX110" s="15">
        <f>IFERROR((Sales[[#This Row],[Adjusted Impr Total]]-Sales[[#This Row],[24Bldg]])/Sales[[#This Row],[24Bldg]],0)</f>
        <v>4.3776057176891009E-2</v>
      </c>
      <c r="CY110" s="15">
        <f>(Sales[[#This Row],[Adjusted Land Total]]-Sales[[#This Row],[24Lnd]])/Sales[[#This Row],[24Lnd]]</f>
        <v>-0.35494327390599678</v>
      </c>
      <c r="CZ110" s="15">
        <f>(Sales[[#This Row],[Adjusted Total]]-Sales[[#This Row],[24Final]])/Sales[[#This Row],[24Final]]</f>
        <v>-1.8113207547169812E-2</v>
      </c>
      <c r="DA110" s="15">
        <f>(Sales[[#This Row],[Adjusted Total]]+Sales[[#This Row],[Days Prior Total]])/Sales[[#This Row],[Price]]</f>
        <v>0.94942414126994523</v>
      </c>
    </row>
    <row r="111" spans="1:105" x14ac:dyDescent="0.3">
      <c r="A111">
        <v>2025</v>
      </c>
      <c r="B111">
        <v>18132342479</v>
      </c>
      <c r="C111">
        <v>-1.1394342831883648</v>
      </c>
      <c r="D111">
        <v>0.32</v>
      </c>
      <c r="E111">
        <v>13900</v>
      </c>
      <c r="F111">
        <v>6</v>
      </c>
      <c r="G111" t="s">
        <v>126</v>
      </c>
      <c r="H111">
        <v>3031</v>
      </c>
      <c r="I111" t="s">
        <v>349</v>
      </c>
      <c r="J111" t="s">
        <v>30</v>
      </c>
      <c r="K111">
        <v>11</v>
      </c>
      <c r="L111">
        <v>259</v>
      </c>
      <c r="M111" t="s">
        <v>350</v>
      </c>
      <c r="N111" t="s">
        <v>302</v>
      </c>
      <c r="O111" t="s">
        <v>323</v>
      </c>
      <c r="P111">
        <v>80</v>
      </c>
      <c r="Q111">
        <v>1950</v>
      </c>
      <c r="R111">
        <v>1973</v>
      </c>
      <c r="S111">
        <v>74</v>
      </c>
      <c r="T111">
        <v>51</v>
      </c>
      <c r="U111">
        <v>1</v>
      </c>
      <c r="V111">
        <v>1263</v>
      </c>
      <c r="W111">
        <v>0</v>
      </c>
      <c r="X111">
        <v>0</v>
      </c>
      <c r="Y111">
        <v>480</v>
      </c>
      <c r="Z111">
        <v>0</v>
      </c>
      <c r="AA111">
        <v>480</v>
      </c>
      <c r="AB111">
        <v>1743</v>
      </c>
      <c r="AC111">
        <v>2000</v>
      </c>
      <c r="AD111">
        <v>0</v>
      </c>
      <c r="AE111" t="s">
        <v>6</v>
      </c>
      <c r="AF111" t="s">
        <v>208</v>
      </c>
      <c r="AG111" t="s">
        <v>382</v>
      </c>
      <c r="AI111">
        <v>0</v>
      </c>
      <c r="AJ111">
        <v>2</v>
      </c>
      <c r="AK111">
        <v>0</v>
      </c>
      <c r="AL111">
        <v>1</v>
      </c>
      <c r="AM111">
        <v>0</v>
      </c>
      <c r="AN111">
        <v>8</v>
      </c>
      <c r="AO111">
        <v>0</v>
      </c>
      <c r="AP111">
        <v>0</v>
      </c>
      <c r="AQ111">
        <v>0</v>
      </c>
      <c r="AR111">
        <v>0</v>
      </c>
      <c r="AS111">
        <v>694</v>
      </c>
      <c r="AT111">
        <v>484</v>
      </c>
      <c r="AU111">
        <v>100</v>
      </c>
      <c r="AV111">
        <v>100</v>
      </c>
      <c r="AW111">
        <v>291499</v>
      </c>
      <c r="AX111">
        <v>204049</v>
      </c>
      <c r="AY111">
        <v>577</v>
      </c>
      <c r="AZ111">
        <v>365</v>
      </c>
      <c r="BA111">
        <v>212</v>
      </c>
      <c r="BB111">
        <v>0</v>
      </c>
      <c r="BC111" s="3">
        <v>44715</v>
      </c>
      <c r="BD111" t="s">
        <v>223</v>
      </c>
      <c r="BE111">
        <v>349000</v>
      </c>
      <c r="BF111">
        <v>329982</v>
      </c>
      <c r="BG111" t="s">
        <v>294</v>
      </c>
      <c r="BH111">
        <v>30</v>
      </c>
      <c r="BI111" t="s">
        <v>65</v>
      </c>
      <c r="BJ111" t="s">
        <v>450</v>
      </c>
      <c r="BK111">
        <v>353700</v>
      </c>
      <c r="BL111">
        <v>74800</v>
      </c>
      <c r="BM111">
        <v>278900</v>
      </c>
      <c r="BN111">
        <v>19018</v>
      </c>
      <c r="BO111">
        <v>1.0134670487106017</v>
      </c>
      <c r="BP111">
        <v>316072.56917614839</v>
      </c>
      <c r="BQ111">
        <v>339391.87853237859</v>
      </c>
      <c r="BR111" s="12">
        <f>(Sales[[#This Row],[DP1]]*Lookups!$B$59)+(Sales[[#This Row],[DP2]]*Lookups!$B$60)+(Sales[[#This Row],[DP3]]*Lookups!$B$61)</f>
        <v>-23319.309357826001</v>
      </c>
      <c r="BS111" s="12">
        <f>Lookups!$B$56*0</f>
        <v>0</v>
      </c>
      <c r="BT111" s="12">
        <f>Lookups!$B$56*1</f>
        <v>89850.625589999996</v>
      </c>
      <c r="BU111" s="12">
        <f>Lookups!$B$57*Sales[[#This Row],[LnAcres]]</f>
        <v>-36068.354396449467</v>
      </c>
      <c r="BV111" s="12">
        <f>VLOOKUP(Sales[[#This Row],[Qlty]],Lookups!$A$62:$E$75,2,FALSE)</f>
        <v>29814.093161000001</v>
      </c>
      <c r="BW111" s="12">
        <f>VLOOKUP(Sales[[#This Row],[Cnd]],Lookups!$A$76:$E$84,2,FALSE)</f>
        <v>160472.20319</v>
      </c>
      <c r="BX111" s="12">
        <f>Sales[[#This Row],[EffAge]]*Lookups!$B$85</f>
        <v>-11375.3256255</v>
      </c>
      <c r="BY111" s="12">
        <f>Sales[[#This Row],[MainFn]]*Lookups!$B$86</f>
        <v>62403.150054651</v>
      </c>
      <c r="BZ111" s="12">
        <f>Sales[[#This Row],[UpprFn]]*Lookups!$B$87</f>
        <v>0</v>
      </c>
      <c r="CA111" s="12">
        <f>Sales[[#This Row],[AddFn]]*Lookups!$B$88</f>
        <v>0</v>
      </c>
      <c r="CB111" s="12">
        <f>Sales[[#This Row],[Bsmt]]*Lookups!$B$89</f>
        <v>13959.30971856</v>
      </c>
      <c r="CC111" s="12">
        <f>Sales[[#This Row],[Fixtures]]*Lookups!$B$90</f>
        <v>30336.176841600001</v>
      </c>
      <c r="CD111" s="12">
        <f>Sales[[#This Row],[WdDeck]]*Lookups!$B$91</f>
        <v>0</v>
      </c>
      <c r="CE111" s="12">
        <f>SUM(Sales[[#This Row],[Days Prior Total]:[Mdl WdDeck]])</f>
        <v>316072.56917603553</v>
      </c>
      <c r="CF111" s="12">
        <f>ROUND(Sales[[#This Row],[25Det]],-2)</f>
        <v>19000</v>
      </c>
      <c r="CG111" s="12">
        <f>ROUND(SUM(Sales[[#This Row],[Mdl Qlty]:[Mdl WdDeck]])+Sales[[#This Row],[Mdl Res Intercept]]+Sales[[#This Row],[Days Prior Total]],-2)</f>
        <v>262300</v>
      </c>
      <c r="CH111" s="12">
        <f>ROUND(Sales[[#This Row],[Mdl Land Intercept]]+Sales[[#This Row],[Mdl LnAcres]],-2)</f>
        <v>53800</v>
      </c>
      <c r="CI111" s="12">
        <f>Sales[[#This Row],[Unadj Res Value]]+Sales[[#This Row],[Unadj Det Value]]+Sales[[#This Row],[Unadj Land Value]]</f>
        <v>335100</v>
      </c>
      <c r="CJ111" s="13">
        <f>Sales[[#This Row],[Unadj Total Value]]/Sales[[#This Row],[Price]]</f>
        <v>0.96017191977077365</v>
      </c>
      <c r="CK111" s="13">
        <f>(Sales[[#This Row],[Unadj Total Value]]-Sales[[#This Row],[24Final]])/Sales[[#This Row],[24Final]]</f>
        <v>-5.2586938083121287E-2</v>
      </c>
      <c r="CL111">
        <f>VLOOKUP(Sales[[#This Row],[TNbhd]],Lookups!$Q$2:$T$4,4,FALSE)</f>
        <v>0.99970000000000003</v>
      </c>
      <c r="CM111">
        <f>VLOOKUP(Sales[[#This Row],[Qlty]],Lookups!$O$7:$R$21,4,FALSE)</f>
        <v>1.0088999999999999</v>
      </c>
      <c r="CN111">
        <f>VLOOKUP(Sales[[#This Row],[Cnd]],Lookups!$T$7:$W$16,4,FALSE)</f>
        <v>0.99729999999999996</v>
      </c>
      <c r="CO111">
        <f>VLOOKUP(Sales[[#This Row],[LivArea Range]],Lookups!$T$25:$W$37,4,FALSE)</f>
        <v>1.0093000000000001</v>
      </c>
      <c r="CP111">
        <f>VLOOKUP(Sales[[#This Row],[Decade]],Lookups!$O$25:$R$42,4,FALSE)</f>
        <v>0.995</v>
      </c>
      <c r="CQ111">
        <f>Sales[[#This Row],[Nbhd Adj]]*0.95</f>
        <v>0.94971499999999998</v>
      </c>
      <c r="CR111">
        <f>Sales[[#This Row],[Nbhd Adj]]*Sales[[#This Row],[Quality Adj]]*Sales[[#This Row],[Condition Adj]]*Sales[[#This Row],[Living Area Adj]]*Sales[[#This Row],[Decade Adj]]*0.95</f>
        <v>0.9596449726282209</v>
      </c>
      <c r="CS111">
        <f>ROUND(SUM(Sales[[#This Row],[Mdl Qlty]:[Mdl WdDeck]])+Sales[[#This Row],[Mdl Res Intercept]]*Sales[[#This Row],[Res Adj ]],-2)</f>
        <v>285600</v>
      </c>
      <c r="CT111">
        <f>ROUND(Sales[[#This Row],[25Det]]*Sales[[#This Row],[Det/Nbhd Adj]],-2)</f>
        <v>18100</v>
      </c>
      <c r="CU111">
        <f>Sales[[#This Row],[Adjusted Res]]+Sales[[#This Row],[Adj Det ]]</f>
        <v>303700</v>
      </c>
      <c r="CV111">
        <f>ROUND((Sales[[#This Row],[Mdl Land Intercept]]+Sales[[#This Row],[Mdl LnAcres]])*Sales[[#This Row],[Det/Nbhd Adj]],-2)</f>
        <v>51100</v>
      </c>
      <c r="CW111">
        <f>Sales[[#This Row],[Adjusted Impr Total]]+Sales[[#This Row],[Adjusted Land Total]]</f>
        <v>354800</v>
      </c>
      <c r="CX111" s="15">
        <f>IFERROR((Sales[[#This Row],[Adjusted Impr Total]]-Sales[[#This Row],[24Bldg]])/Sales[[#This Row],[24Bldg]],0)</f>
        <v>8.8920760129078527E-2</v>
      </c>
      <c r="CY111" s="15">
        <f>(Sales[[#This Row],[Adjusted Land Total]]-Sales[[#This Row],[24Lnd]])/Sales[[#This Row],[24Lnd]]</f>
        <v>-0.31684491978609625</v>
      </c>
      <c r="CZ111" s="15">
        <f>(Sales[[#This Row],[Adjusted Total]]-Sales[[#This Row],[24Final]])/Sales[[#This Row],[24Final]]</f>
        <v>3.1099802092168505E-3</v>
      </c>
      <c r="DA111" s="15">
        <f>(Sales[[#This Row],[Adjusted Total]]+Sales[[#This Row],[Days Prior Total]])/Sales[[#This Row],[Price]]</f>
        <v>0.94980140585150141</v>
      </c>
    </row>
    <row r="112" spans="1:105" x14ac:dyDescent="0.3">
      <c r="A112">
        <v>2025</v>
      </c>
      <c r="B112">
        <v>18132244446</v>
      </c>
      <c r="C112">
        <v>-1.1394342831883648</v>
      </c>
      <c r="D112">
        <v>0.32</v>
      </c>
      <c r="E112">
        <v>14000</v>
      </c>
      <c r="F112">
        <v>6</v>
      </c>
      <c r="G112" t="s">
        <v>126</v>
      </c>
      <c r="H112">
        <v>3092</v>
      </c>
      <c r="I112" t="s">
        <v>349</v>
      </c>
      <c r="J112" t="s">
        <v>30</v>
      </c>
      <c r="K112">
        <v>11</v>
      </c>
      <c r="L112">
        <v>259</v>
      </c>
      <c r="M112" t="s">
        <v>242</v>
      </c>
      <c r="N112" t="s">
        <v>351</v>
      </c>
      <c r="O112" t="s">
        <v>323</v>
      </c>
      <c r="P112">
        <v>80</v>
      </c>
      <c r="Q112">
        <v>1950</v>
      </c>
      <c r="R112">
        <v>1973</v>
      </c>
      <c r="S112">
        <v>74</v>
      </c>
      <c r="T112">
        <v>51</v>
      </c>
      <c r="U112">
        <v>1</v>
      </c>
      <c r="V112">
        <v>1137</v>
      </c>
      <c r="W112">
        <v>0</v>
      </c>
      <c r="X112">
        <v>0</v>
      </c>
      <c r="Y112">
        <v>1137</v>
      </c>
      <c r="Z112">
        <v>215</v>
      </c>
      <c r="AA112">
        <v>922</v>
      </c>
      <c r="AB112">
        <v>2059</v>
      </c>
      <c r="AC112">
        <v>2500</v>
      </c>
      <c r="AD112">
        <v>0</v>
      </c>
      <c r="AE112" t="s">
        <v>6</v>
      </c>
      <c r="AF112" t="s">
        <v>383</v>
      </c>
      <c r="AG112" t="s">
        <v>382</v>
      </c>
      <c r="AH112" t="s">
        <v>65</v>
      </c>
      <c r="AI112">
        <v>0</v>
      </c>
      <c r="AJ112">
        <v>1</v>
      </c>
      <c r="AK112">
        <v>0</v>
      </c>
      <c r="AL112">
        <v>1</v>
      </c>
      <c r="AM112">
        <v>0</v>
      </c>
      <c r="AN112">
        <v>9</v>
      </c>
      <c r="AO112">
        <v>0</v>
      </c>
      <c r="AP112">
        <v>0</v>
      </c>
      <c r="AQ112">
        <v>522</v>
      </c>
      <c r="AR112">
        <v>0</v>
      </c>
      <c r="AS112">
        <v>0</v>
      </c>
      <c r="AT112">
        <v>0</v>
      </c>
      <c r="AU112">
        <v>100</v>
      </c>
      <c r="AV112">
        <v>100</v>
      </c>
      <c r="AW112">
        <v>252292</v>
      </c>
      <c r="AX112">
        <v>176604</v>
      </c>
      <c r="AY112">
        <v>783</v>
      </c>
      <c r="AZ112">
        <v>365</v>
      </c>
      <c r="BA112">
        <v>365</v>
      </c>
      <c r="BB112">
        <v>53</v>
      </c>
      <c r="BC112" s="3">
        <v>44509</v>
      </c>
      <c r="BD112" t="s">
        <v>274</v>
      </c>
      <c r="BE112">
        <v>330000</v>
      </c>
      <c r="BF112">
        <v>323103</v>
      </c>
      <c r="BG112" t="s">
        <v>294</v>
      </c>
      <c r="BH112">
        <v>30</v>
      </c>
      <c r="BI112" t="s">
        <v>65</v>
      </c>
      <c r="BJ112" t="s">
        <v>450</v>
      </c>
      <c r="BK112">
        <v>347400</v>
      </c>
      <c r="BL112">
        <v>74800</v>
      </c>
      <c r="BM112">
        <v>272600</v>
      </c>
      <c r="BN112">
        <v>6897</v>
      </c>
      <c r="BO112">
        <v>1.0527272727272727</v>
      </c>
      <c r="BP112">
        <v>319158.81443005364</v>
      </c>
      <c r="BQ112">
        <v>347808.4493058552</v>
      </c>
      <c r="BR112" s="12">
        <f>(Sales[[#This Row],[DP1]]*Lookups!$B$59)+(Sales[[#This Row],[DP2]]*Lookups!$B$60)+(Sales[[#This Row],[DP3]]*Lookups!$B$61)</f>
        <v>-28649.634878770004</v>
      </c>
      <c r="BS112" s="12">
        <f>Lookups!$B$56*0</f>
        <v>0</v>
      </c>
      <c r="BT112" s="12">
        <f>Lookups!$B$56*1</f>
        <v>89850.625589999996</v>
      </c>
      <c r="BU112" s="12">
        <f>Lookups!$B$57*Sales[[#This Row],[LnAcres]]</f>
        <v>-36068.354396449467</v>
      </c>
      <c r="BV112" s="12">
        <f>VLOOKUP(Sales[[#This Row],[Qlty]],Lookups!$A$62:$E$75,2,FALSE)</f>
        <v>21557.329055999999</v>
      </c>
      <c r="BW112" s="12">
        <f>VLOOKUP(Sales[[#This Row],[Cnd]],Lookups!$A$76:$E$84,2,FALSE)</f>
        <v>160472.20319</v>
      </c>
      <c r="BX112" s="12">
        <f>Sales[[#This Row],[EffAge]]*Lookups!$B$85</f>
        <v>-11375.3256255</v>
      </c>
      <c r="BY112" s="12">
        <f>Sales[[#This Row],[MainFn]]*Lookups!$B$86</f>
        <v>56177.657650148998</v>
      </c>
      <c r="BZ112" s="12">
        <f>Sales[[#This Row],[UpprFn]]*Lookups!$B$87</f>
        <v>0</v>
      </c>
      <c r="CA112" s="12">
        <f>Sales[[#This Row],[AddFn]]*Lookups!$B$88</f>
        <v>0</v>
      </c>
      <c r="CB112" s="12">
        <f>Sales[[#This Row],[Bsmt]]*Lookups!$B$89</f>
        <v>33066.114895838997</v>
      </c>
      <c r="CC112" s="12">
        <f>Sales[[#This Row],[Fixtures]]*Lookups!$B$90</f>
        <v>34128.198946800003</v>
      </c>
      <c r="CD112" s="12">
        <f>Sales[[#This Row],[WdDeck]]*Lookups!$B$91</f>
        <v>0</v>
      </c>
      <c r="CE112" s="12">
        <f>SUM(Sales[[#This Row],[Days Prior Total]:[Mdl WdDeck]])</f>
        <v>319158.81442806852</v>
      </c>
      <c r="CF112" s="12">
        <f>ROUND(Sales[[#This Row],[25Det]],-2)</f>
        <v>6900</v>
      </c>
      <c r="CG112" s="12">
        <f>ROUND(SUM(Sales[[#This Row],[Mdl Qlty]:[Mdl WdDeck]])+Sales[[#This Row],[Mdl Res Intercept]]+Sales[[#This Row],[Days Prior Total]],-2)</f>
        <v>265400</v>
      </c>
      <c r="CH112" s="12">
        <f>ROUND(Sales[[#This Row],[Mdl Land Intercept]]+Sales[[#This Row],[Mdl LnAcres]],-2)</f>
        <v>53800</v>
      </c>
      <c r="CI112" s="12">
        <f>Sales[[#This Row],[Unadj Res Value]]+Sales[[#This Row],[Unadj Det Value]]+Sales[[#This Row],[Unadj Land Value]]</f>
        <v>326100</v>
      </c>
      <c r="CJ112" s="13">
        <f>Sales[[#This Row],[Unadj Total Value]]/Sales[[#This Row],[Price]]</f>
        <v>0.98818181818181816</v>
      </c>
      <c r="CK112" s="13">
        <f>(Sales[[#This Row],[Unadj Total Value]]-Sales[[#This Row],[24Final]])/Sales[[#This Row],[24Final]]</f>
        <v>-6.1312607944732297E-2</v>
      </c>
      <c r="CL112">
        <f>VLOOKUP(Sales[[#This Row],[TNbhd]],Lookups!$Q$2:$T$4,4,FALSE)</f>
        <v>0.99970000000000003</v>
      </c>
      <c r="CM112">
        <f>VLOOKUP(Sales[[#This Row],[Qlty]],Lookups!$O$7:$R$21,4,FALSE)</f>
        <v>1.0067999999999999</v>
      </c>
      <c r="CN112">
        <f>VLOOKUP(Sales[[#This Row],[Cnd]],Lookups!$T$7:$W$16,4,FALSE)</f>
        <v>0.99729999999999996</v>
      </c>
      <c r="CO112">
        <f>VLOOKUP(Sales[[#This Row],[LivArea Range]],Lookups!$T$25:$W$37,4,FALSE)</f>
        <v>0.98919999999999997</v>
      </c>
      <c r="CP112">
        <f>VLOOKUP(Sales[[#This Row],[Decade]],Lookups!$O$25:$R$42,4,FALSE)</f>
        <v>0.995</v>
      </c>
      <c r="CQ112">
        <f>Sales[[#This Row],[Nbhd Adj]]*0.95</f>
        <v>0.94971499999999998</v>
      </c>
      <c r="CR112">
        <f>Sales[[#This Row],[Nbhd Adj]]*Sales[[#This Row],[Quality Adj]]*Sales[[#This Row],[Condition Adj]]*Sales[[#This Row],[Living Area Adj]]*Sales[[#This Row],[Decade Adj]]*0.95</f>
        <v>0.93857614463114025</v>
      </c>
      <c r="CS112">
        <f>ROUND(SUM(Sales[[#This Row],[Mdl Qlty]:[Mdl WdDeck]])+Sales[[#This Row],[Mdl Res Intercept]]*Sales[[#This Row],[Res Adj ]],-2)</f>
        <v>294000</v>
      </c>
      <c r="CT112">
        <f>ROUND(Sales[[#This Row],[25Det]]*Sales[[#This Row],[Det/Nbhd Adj]],-2)</f>
        <v>6600</v>
      </c>
      <c r="CU112">
        <f>Sales[[#This Row],[Adjusted Res]]+Sales[[#This Row],[Adj Det ]]</f>
        <v>300600</v>
      </c>
      <c r="CV112">
        <f>ROUND((Sales[[#This Row],[Mdl Land Intercept]]+Sales[[#This Row],[Mdl LnAcres]])*Sales[[#This Row],[Det/Nbhd Adj]],-2)</f>
        <v>51100</v>
      </c>
      <c r="CW112">
        <f>Sales[[#This Row],[Adjusted Impr Total]]+Sales[[#This Row],[Adjusted Land Total]]</f>
        <v>351700</v>
      </c>
      <c r="CX112" s="15">
        <f>IFERROR((Sales[[#This Row],[Adjusted Impr Total]]-Sales[[#This Row],[24Bldg]])/Sales[[#This Row],[24Bldg]],0)</f>
        <v>0.10271460014673514</v>
      </c>
      <c r="CY112" s="15">
        <f>(Sales[[#This Row],[Adjusted Land Total]]-Sales[[#This Row],[24Lnd]])/Sales[[#This Row],[24Lnd]]</f>
        <v>-0.31684491978609625</v>
      </c>
      <c r="CZ112" s="15">
        <f>(Sales[[#This Row],[Adjusted Total]]-Sales[[#This Row],[24Final]])/Sales[[#This Row],[24Final]]</f>
        <v>1.2377662636729994E-2</v>
      </c>
      <c r="DA112" s="15">
        <f>(Sales[[#This Row],[Adjusted Total]]+Sales[[#This Row],[Days Prior Total]])/Sales[[#This Row],[Price]]</f>
        <v>0.97894050036736369</v>
      </c>
    </row>
    <row r="113" spans="1:105" x14ac:dyDescent="0.3">
      <c r="A113">
        <v>2025</v>
      </c>
      <c r="B113">
        <v>18132243462</v>
      </c>
      <c r="C113">
        <v>-1.6094379124341003</v>
      </c>
      <c r="D113">
        <v>0.2</v>
      </c>
      <c r="E113">
        <v>8680</v>
      </c>
      <c r="F113">
        <v>6</v>
      </c>
      <c r="G113" t="s">
        <v>126</v>
      </c>
      <c r="H113">
        <v>3093</v>
      </c>
      <c r="I113" t="s">
        <v>349</v>
      </c>
      <c r="J113" t="s">
        <v>30</v>
      </c>
      <c r="K113">
        <v>11</v>
      </c>
      <c r="L113">
        <v>259</v>
      </c>
      <c r="M113" t="s">
        <v>242</v>
      </c>
      <c r="N113" t="s">
        <v>302</v>
      </c>
      <c r="O113" t="s">
        <v>323</v>
      </c>
      <c r="P113">
        <v>80</v>
      </c>
      <c r="Q113">
        <v>1950</v>
      </c>
      <c r="R113">
        <v>1973</v>
      </c>
      <c r="S113">
        <v>74</v>
      </c>
      <c r="T113">
        <v>51</v>
      </c>
      <c r="U113">
        <v>1</v>
      </c>
      <c r="V113">
        <v>1034</v>
      </c>
      <c r="W113">
        <v>0</v>
      </c>
      <c r="X113">
        <v>0</v>
      </c>
      <c r="Y113">
        <v>455</v>
      </c>
      <c r="Z113">
        <v>455</v>
      </c>
      <c r="AA113">
        <v>0</v>
      </c>
      <c r="AB113">
        <v>1034</v>
      </c>
      <c r="AC113">
        <v>1500</v>
      </c>
      <c r="AD113">
        <v>1</v>
      </c>
      <c r="AF113" t="s">
        <v>383</v>
      </c>
      <c r="AG113" t="s">
        <v>148</v>
      </c>
      <c r="AH113" t="s">
        <v>450</v>
      </c>
      <c r="AI113">
        <v>0</v>
      </c>
      <c r="AJ113">
        <v>1</v>
      </c>
      <c r="AK113">
        <v>0</v>
      </c>
      <c r="AL113">
        <v>0</v>
      </c>
      <c r="AM113">
        <v>0</v>
      </c>
      <c r="AN113">
        <v>6</v>
      </c>
      <c r="AO113">
        <v>280</v>
      </c>
      <c r="AP113">
        <v>0</v>
      </c>
      <c r="AQ113">
        <v>0</v>
      </c>
      <c r="AR113">
        <v>0</v>
      </c>
      <c r="AS113">
        <v>72</v>
      </c>
      <c r="AT113">
        <v>0</v>
      </c>
      <c r="AU113">
        <v>100</v>
      </c>
      <c r="AV113">
        <v>100</v>
      </c>
      <c r="AW113">
        <v>222836</v>
      </c>
      <c r="AX113">
        <v>155985</v>
      </c>
      <c r="AY113">
        <v>867</v>
      </c>
      <c r="AZ113">
        <v>365</v>
      </c>
      <c r="BA113">
        <v>365</v>
      </c>
      <c r="BB113">
        <v>137</v>
      </c>
      <c r="BC113" s="3">
        <v>44425</v>
      </c>
      <c r="BD113" t="s">
        <v>338</v>
      </c>
      <c r="BE113">
        <v>268000</v>
      </c>
      <c r="BF113">
        <v>268000</v>
      </c>
      <c r="BG113" t="s">
        <v>294</v>
      </c>
      <c r="BH113">
        <v>30</v>
      </c>
      <c r="BI113" t="s">
        <v>65</v>
      </c>
      <c r="BJ113" t="s">
        <v>450</v>
      </c>
      <c r="BK113">
        <v>286700</v>
      </c>
      <c r="BL113">
        <v>58400</v>
      </c>
      <c r="BM113">
        <v>228300</v>
      </c>
      <c r="BN113">
        <v>0</v>
      </c>
      <c r="BO113">
        <v>1.0697761194029851</v>
      </c>
      <c r="BP113">
        <v>265006.15850105352</v>
      </c>
      <c r="BQ113">
        <v>304888.41725834174</v>
      </c>
      <c r="BR113" s="12">
        <f>(Sales[[#This Row],[DP1]]*Lookups!$B$59)+(Sales[[#This Row],[DP2]]*Lookups!$B$60)+(Sales[[#This Row],[DP3]]*Lookups!$B$61)</f>
        <v>-39882.258762370002</v>
      </c>
      <c r="BS113" s="12">
        <f>Lookups!$B$56*0</f>
        <v>0</v>
      </c>
      <c r="BT113" s="12">
        <f>Lookups!$B$56*1</f>
        <v>89850.625589999996</v>
      </c>
      <c r="BU113" s="12">
        <f>Lookups!$B$57*Sales[[#This Row],[LnAcres]]</f>
        <v>-50946.13867709865</v>
      </c>
      <c r="BV113" s="12">
        <f>VLOOKUP(Sales[[#This Row],[Qlty]],Lookups!$A$62:$E$75,2,FALSE)</f>
        <v>29814.093161000001</v>
      </c>
      <c r="BW113" s="12">
        <f>VLOOKUP(Sales[[#This Row],[Cnd]],Lookups!$A$76:$E$84,2,FALSE)</f>
        <v>160472.20319</v>
      </c>
      <c r="BX113" s="12">
        <f>Sales[[#This Row],[EffAge]]*Lookups!$B$85</f>
        <v>-11375.3256255</v>
      </c>
      <c r="BY113" s="12">
        <f>Sales[[#This Row],[MainFn]]*Lookups!$B$86</f>
        <v>51088.564652818</v>
      </c>
      <c r="BZ113" s="12">
        <f>Sales[[#This Row],[UpprFn]]*Lookups!$B$87</f>
        <v>0</v>
      </c>
      <c r="CA113" s="12">
        <f>Sales[[#This Row],[AddFn]]*Lookups!$B$88</f>
        <v>0</v>
      </c>
      <c r="CB113" s="12">
        <f>Sales[[#This Row],[Bsmt]]*Lookups!$B$89</f>
        <v>13232.262337385</v>
      </c>
      <c r="CC113" s="12">
        <f>Sales[[#This Row],[Fixtures]]*Lookups!$B$90</f>
        <v>22752.132631200002</v>
      </c>
      <c r="CD113" s="12">
        <f>Sales[[#This Row],[WdDeck]]*Lookups!$B$91</f>
        <v>0</v>
      </c>
      <c r="CE113" s="12">
        <f>SUM(Sales[[#This Row],[Days Prior Total]:[Mdl WdDeck]])</f>
        <v>265006.15849743434</v>
      </c>
      <c r="CF113" s="12">
        <f>ROUND(Sales[[#This Row],[25Det]],-2)</f>
        <v>0</v>
      </c>
      <c r="CG113" s="12">
        <f>ROUND(SUM(Sales[[#This Row],[Mdl Qlty]:[Mdl WdDeck]])+Sales[[#This Row],[Mdl Res Intercept]]+Sales[[#This Row],[Days Prior Total]],-2)</f>
        <v>226100</v>
      </c>
      <c r="CH113" s="12">
        <f>ROUND(Sales[[#This Row],[Mdl Land Intercept]]+Sales[[#This Row],[Mdl LnAcres]],-2)</f>
        <v>38900</v>
      </c>
      <c r="CI113" s="12">
        <f>Sales[[#This Row],[Unadj Res Value]]+Sales[[#This Row],[Unadj Det Value]]+Sales[[#This Row],[Unadj Land Value]]</f>
        <v>265000</v>
      </c>
      <c r="CJ113" s="13">
        <f>Sales[[#This Row],[Unadj Total Value]]/Sales[[#This Row],[Price]]</f>
        <v>0.98880597014925375</v>
      </c>
      <c r="CK113" s="13">
        <f>(Sales[[#This Row],[Unadj Total Value]]-Sales[[#This Row],[24Final]])/Sales[[#This Row],[24Final]]</f>
        <v>-7.5688873386815486E-2</v>
      </c>
      <c r="CL113">
        <f>VLOOKUP(Sales[[#This Row],[TNbhd]],Lookups!$Q$2:$T$4,4,FALSE)</f>
        <v>0.99970000000000003</v>
      </c>
      <c r="CM113">
        <f>VLOOKUP(Sales[[#This Row],[Qlty]],Lookups!$O$7:$R$21,4,FALSE)</f>
        <v>1.0088999999999999</v>
      </c>
      <c r="CN113">
        <f>VLOOKUP(Sales[[#This Row],[Cnd]],Lookups!$T$7:$W$16,4,FALSE)</f>
        <v>0.99729999999999996</v>
      </c>
      <c r="CO113">
        <f>VLOOKUP(Sales[[#This Row],[LivArea Range]],Lookups!$T$25:$W$37,4,FALSE)</f>
        <v>1.0157</v>
      </c>
      <c r="CP113">
        <f>VLOOKUP(Sales[[#This Row],[Decade]],Lookups!$O$25:$R$42,4,FALSE)</f>
        <v>0.995</v>
      </c>
      <c r="CQ113">
        <f>Sales[[#This Row],[Nbhd Adj]]*0.95</f>
        <v>0.94971499999999998</v>
      </c>
      <c r="CR113">
        <f>Sales[[#This Row],[Nbhd Adj]]*Sales[[#This Row],[Quality Adj]]*Sales[[#This Row],[Condition Adj]]*Sales[[#This Row],[Living Area Adj]]*Sales[[#This Row],[Decade Adj]]*0.95</f>
        <v>0.96573010868768849</v>
      </c>
      <c r="CS113">
        <f>ROUND(SUM(Sales[[#This Row],[Mdl Qlty]:[Mdl WdDeck]])+Sales[[#This Row],[Mdl Res Intercept]]*Sales[[#This Row],[Res Adj ]],-2)</f>
        <v>266000</v>
      </c>
      <c r="CT113">
        <f>ROUND(Sales[[#This Row],[25Det]]*Sales[[#This Row],[Det/Nbhd Adj]],-2)</f>
        <v>0</v>
      </c>
      <c r="CU113">
        <f>Sales[[#This Row],[Adjusted Res]]+Sales[[#This Row],[Adj Det ]]</f>
        <v>266000</v>
      </c>
      <c r="CV113">
        <f>ROUND((Sales[[#This Row],[Mdl Land Intercept]]+Sales[[#This Row],[Mdl LnAcres]])*Sales[[#This Row],[Det/Nbhd Adj]],-2)</f>
        <v>36900</v>
      </c>
      <c r="CW113">
        <f>Sales[[#This Row],[Adjusted Impr Total]]+Sales[[#This Row],[Adjusted Land Total]]</f>
        <v>302900</v>
      </c>
      <c r="CX113" s="15">
        <f>IFERROR((Sales[[#This Row],[Adjusted Impr Total]]-Sales[[#This Row],[24Bldg]])/Sales[[#This Row],[24Bldg]],0)</f>
        <v>0.1651335961454227</v>
      </c>
      <c r="CY113" s="15">
        <f>(Sales[[#This Row],[Adjusted Land Total]]-Sales[[#This Row],[24Lnd]])/Sales[[#This Row],[24Lnd]]</f>
        <v>-0.36815068493150682</v>
      </c>
      <c r="CZ113" s="15">
        <f>(Sales[[#This Row],[Adjusted Total]]-Sales[[#This Row],[24Final]])/Sales[[#This Row],[24Final]]</f>
        <v>5.6505057551447503E-2</v>
      </c>
      <c r="DA113" s="15">
        <f>(Sales[[#This Row],[Adjusted Total]]+Sales[[#This Row],[Days Prior Total]])/Sales[[#This Row],[Price]]</f>
        <v>0.98140948222996272</v>
      </c>
    </row>
    <row r="114" spans="1:105" x14ac:dyDescent="0.3">
      <c r="A114">
        <v>2025</v>
      </c>
      <c r="B114">
        <v>18132214471</v>
      </c>
      <c r="C114">
        <v>-1.1711829815029451</v>
      </c>
      <c r="D114">
        <v>0.31</v>
      </c>
      <c r="E114">
        <v>13387</v>
      </c>
      <c r="F114">
        <v>6</v>
      </c>
      <c r="G114" t="s">
        <v>126</v>
      </c>
      <c r="H114">
        <v>3033</v>
      </c>
      <c r="I114" t="s">
        <v>349</v>
      </c>
      <c r="J114" t="s">
        <v>30</v>
      </c>
      <c r="K114">
        <v>11</v>
      </c>
      <c r="L114">
        <v>259</v>
      </c>
      <c r="M114" t="s">
        <v>242</v>
      </c>
      <c r="N114" t="s">
        <v>205</v>
      </c>
      <c r="O114" t="s">
        <v>323</v>
      </c>
      <c r="P114">
        <v>80</v>
      </c>
      <c r="Q114">
        <v>1950</v>
      </c>
      <c r="R114">
        <v>1973</v>
      </c>
      <c r="S114">
        <v>74</v>
      </c>
      <c r="T114">
        <v>51</v>
      </c>
      <c r="U114">
        <v>1</v>
      </c>
      <c r="V114">
        <v>861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861</v>
      </c>
      <c r="AC114">
        <v>1000</v>
      </c>
      <c r="AD114">
        <v>0</v>
      </c>
      <c r="AF114" t="s">
        <v>384</v>
      </c>
      <c r="AG114" t="s">
        <v>382</v>
      </c>
      <c r="AI114">
        <v>0</v>
      </c>
      <c r="AJ114">
        <v>1</v>
      </c>
      <c r="AK114">
        <v>0</v>
      </c>
      <c r="AL114">
        <v>0</v>
      </c>
      <c r="AM114">
        <v>0</v>
      </c>
      <c r="AN114">
        <v>5</v>
      </c>
      <c r="AO114">
        <v>0</v>
      </c>
      <c r="AP114">
        <v>0</v>
      </c>
      <c r="AQ114">
        <v>0</v>
      </c>
      <c r="AR114">
        <v>72</v>
      </c>
      <c r="AS114">
        <v>0</v>
      </c>
      <c r="AT114">
        <v>0</v>
      </c>
      <c r="AU114">
        <v>100</v>
      </c>
      <c r="AV114">
        <v>100</v>
      </c>
      <c r="AW114">
        <v>128921</v>
      </c>
      <c r="AX114">
        <v>90245</v>
      </c>
      <c r="AY114">
        <v>557</v>
      </c>
      <c r="AZ114">
        <v>365</v>
      </c>
      <c r="BA114">
        <v>192</v>
      </c>
      <c r="BB114">
        <v>0</v>
      </c>
      <c r="BC114" s="3">
        <v>44735</v>
      </c>
      <c r="BD114" t="s">
        <v>67</v>
      </c>
      <c r="BE114">
        <v>251000</v>
      </c>
      <c r="BF114">
        <v>242756</v>
      </c>
      <c r="BG114" t="s">
        <v>294</v>
      </c>
      <c r="BH114">
        <v>30</v>
      </c>
      <c r="BI114" t="s">
        <v>65</v>
      </c>
      <c r="BJ114" t="s">
        <v>450</v>
      </c>
      <c r="BK114">
        <v>265600</v>
      </c>
      <c r="BL114">
        <v>73700</v>
      </c>
      <c r="BM114">
        <v>191900</v>
      </c>
      <c r="BN114">
        <v>8244</v>
      </c>
      <c r="BO114">
        <v>1.0581673306772907</v>
      </c>
      <c r="BP114">
        <v>242223.43551166097</v>
      </c>
      <c r="BQ114">
        <v>265772.40830093628</v>
      </c>
      <c r="BR114" s="12">
        <f>(Sales[[#This Row],[DP1]]*Lookups!$B$59)+(Sales[[#This Row],[DP2]]*Lookups!$B$60)+(Sales[[#This Row],[DP3]]*Lookups!$B$61)</f>
        <v>-23548.972790865999</v>
      </c>
      <c r="BS114" s="12">
        <f>Lookups!$B$56*0</f>
        <v>0</v>
      </c>
      <c r="BT114" s="12">
        <f>Lookups!$B$56*1</f>
        <v>89850.625589999996</v>
      </c>
      <c r="BU114" s="12">
        <f>Lookups!$B$57*Sales[[#This Row],[LnAcres]]</f>
        <v>-37073.347241874442</v>
      </c>
      <c r="BV114" s="12">
        <f>VLOOKUP(Sales[[#This Row],[Qlty]],Lookups!$A$62:$E$75,2,FALSE)</f>
        <v>0</v>
      </c>
      <c r="BW114" s="12">
        <f>VLOOKUP(Sales[[#This Row],[Cnd]],Lookups!$A$76:$E$84,2,FALSE)</f>
        <v>160472.20319</v>
      </c>
      <c r="BX114" s="12">
        <f>Sales[[#This Row],[EffAge]]*Lookups!$B$85</f>
        <v>-11375.3256255</v>
      </c>
      <c r="BY114" s="12">
        <f>Sales[[#This Row],[MainFn]]*Lookups!$B$86</f>
        <v>42540.864764097001</v>
      </c>
      <c r="BZ114" s="12">
        <f>Sales[[#This Row],[UpprFn]]*Lookups!$B$87</f>
        <v>0</v>
      </c>
      <c r="CA114" s="12">
        <f>Sales[[#This Row],[AddFn]]*Lookups!$B$88</f>
        <v>0</v>
      </c>
      <c r="CB114" s="12">
        <f>Sales[[#This Row],[Bsmt]]*Lookups!$B$89</f>
        <v>0</v>
      </c>
      <c r="CC114" s="12">
        <f>Sales[[#This Row],[Fixtures]]*Lookups!$B$90</f>
        <v>18960.110526</v>
      </c>
      <c r="CD114" s="12">
        <f>Sales[[#This Row],[WdDeck]]*Lookups!$B$91</f>
        <v>2397.2770998720002</v>
      </c>
      <c r="CE114" s="12">
        <f>SUM(Sales[[#This Row],[Days Prior Total]:[Mdl WdDeck]])</f>
        <v>242223.43551172857</v>
      </c>
      <c r="CF114" s="12">
        <f>ROUND(Sales[[#This Row],[25Det]],-2)</f>
        <v>8200</v>
      </c>
      <c r="CG114" s="12">
        <f>ROUND(SUM(Sales[[#This Row],[Mdl Qlty]:[Mdl WdDeck]])+Sales[[#This Row],[Mdl Res Intercept]]+Sales[[#This Row],[Days Prior Total]],-2)</f>
        <v>189400</v>
      </c>
      <c r="CH114" s="12">
        <f>ROUND(Sales[[#This Row],[Mdl Land Intercept]]+Sales[[#This Row],[Mdl LnAcres]],-2)</f>
        <v>52800</v>
      </c>
      <c r="CI114" s="12">
        <f>Sales[[#This Row],[Unadj Res Value]]+Sales[[#This Row],[Unadj Det Value]]+Sales[[#This Row],[Unadj Land Value]]</f>
        <v>250400</v>
      </c>
      <c r="CJ114" s="13">
        <f>Sales[[#This Row],[Unadj Total Value]]/Sales[[#This Row],[Price]]</f>
        <v>0.99760956175298809</v>
      </c>
      <c r="CK114" s="13">
        <f>(Sales[[#This Row],[Unadj Total Value]]-Sales[[#This Row],[24Final]])/Sales[[#This Row],[24Final]]</f>
        <v>-5.7228915662650599E-2</v>
      </c>
      <c r="CL114">
        <f>VLOOKUP(Sales[[#This Row],[TNbhd]],Lookups!$Q$2:$T$4,4,FALSE)</f>
        <v>0.99970000000000003</v>
      </c>
      <c r="CM114">
        <f>VLOOKUP(Sales[[#This Row],[Qlty]],Lookups!$O$7:$R$21,4,FALSE)</f>
        <v>0.99180000000000001</v>
      </c>
      <c r="CN114">
        <f>VLOOKUP(Sales[[#This Row],[Cnd]],Lookups!$T$7:$W$16,4,FALSE)</f>
        <v>0.99729999999999996</v>
      </c>
      <c r="CO114">
        <f>VLOOKUP(Sales[[#This Row],[LivArea Range]],Lookups!$T$25:$W$37,4,FALSE)</f>
        <v>1.0148999999999999</v>
      </c>
      <c r="CP114">
        <f>VLOOKUP(Sales[[#This Row],[Decade]],Lookups!$O$25:$R$42,4,FALSE)</f>
        <v>0.995</v>
      </c>
      <c r="CQ114">
        <f>Sales[[#This Row],[Nbhd Adj]]*0.95</f>
        <v>0.94971499999999998</v>
      </c>
      <c r="CR114">
        <f>Sales[[#This Row],[Nbhd Adj]]*Sales[[#This Row],[Quality Adj]]*Sales[[#This Row],[Condition Adj]]*Sales[[#This Row],[Living Area Adj]]*Sales[[#This Row],[Decade Adj]]*0.95</f>
        <v>0.94861405199075932</v>
      </c>
      <c r="CS114">
        <f>ROUND(SUM(Sales[[#This Row],[Mdl Qlty]:[Mdl WdDeck]])+Sales[[#This Row],[Mdl Res Intercept]]*Sales[[#This Row],[Res Adj ]],-2)</f>
        <v>213000</v>
      </c>
      <c r="CT114">
        <f>ROUND(Sales[[#This Row],[25Det]]*Sales[[#This Row],[Det/Nbhd Adj]],-2)</f>
        <v>7800</v>
      </c>
      <c r="CU114">
        <f>Sales[[#This Row],[Adjusted Res]]+Sales[[#This Row],[Adj Det ]]</f>
        <v>220800</v>
      </c>
      <c r="CV114">
        <f>ROUND((Sales[[#This Row],[Mdl Land Intercept]]+Sales[[#This Row],[Mdl LnAcres]])*Sales[[#This Row],[Det/Nbhd Adj]],-2)</f>
        <v>50100</v>
      </c>
      <c r="CW114">
        <f>Sales[[#This Row],[Adjusted Impr Total]]+Sales[[#This Row],[Adjusted Land Total]]</f>
        <v>270900</v>
      </c>
      <c r="CX114" s="15">
        <f>IFERROR((Sales[[#This Row],[Adjusted Impr Total]]-Sales[[#This Row],[24Bldg]])/Sales[[#This Row],[24Bldg]],0)</f>
        <v>0.15059927045336113</v>
      </c>
      <c r="CY114" s="15">
        <f>(Sales[[#This Row],[Adjusted Land Total]]-Sales[[#This Row],[24Lnd]])/Sales[[#This Row],[24Lnd]]</f>
        <v>-0.32021709633649931</v>
      </c>
      <c r="CZ114" s="15">
        <f>(Sales[[#This Row],[Adjusted Total]]-Sales[[#This Row],[24Final]])/Sales[[#This Row],[24Final]]</f>
        <v>1.9954819277108432E-2</v>
      </c>
      <c r="DA114" s="15">
        <f>(Sales[[#This Row],[Adjusted Total]]+Sales[[#This Row],[Days Prior Total]])/Sales[[#This Row],[Price]]</f>
        <v>0.9854622597973467</v>
      </c>
    </row>
    <row r="115" spans="1:105" x14ac:dyDescent="0.3">
      <c r="A115">
        <v>2025</v>
      </c>
      <c r="B115">
        <v>18132324548</v>
      </c>
      <c r="C115">
        <v>-1.5606477482646683</v>
      </c>
      <c r="D115">
        <v>0.21</v>
      </c>
      <c r="E115">
        <v>0</v>
      </c>
      <c r="F115">
        <v>6</v>
      </c>
      <c r="G115" t="s">
        <v>126</v>
      </c>
      <c r="H115">
        <v>3033</v>
      </c>
      <c r="I115" t="s">
        <v>349</v>
      </c>
      <c r="J115" t="s">
        <v>30</v>
      </c>
      <c r="K115">
        <v>11</v>
      </c>
      <c r="L115">
        <v>259</v>
      </c>
      <c r="M115" t="s">
        <v>241</v>
      </c>
      <c r="N115" t="s">
        <v>302</v>
      </c>
      <c r="O115" t="s">
        <v>303</v>
      </c>
      <c r="P115">
        <v>80</v>
      </c>
      <c r="Q115">
        <v>1950</v>
      </c>
      <c r="R115">
        <v>1973</v>
      </c>
      <c r="S115">
        <v>74</v>
      </c>
      <c r="T115">
        <v>51</v>
      </c>
      <c r="U115">
        <v>1</v>
      </c>
      <c r="V115">
        <v>1523</v>
      </c>
      <c r="W115">
        <v>0</v>
      </c>
      <c r="X115">
        <v>0</v>
      </c>
      <c r="Y115">
        <v>532</v>
      </c>
      <c r="Z115">
        <v>0</v>
      </c>
      <c r="AA115">
        <v>532</v>
      </c>
      <c r="AB115">
        <v>2055</v>
      </c>
      <c r="AC115">
        <v>2500</v>
      </c>
      <c r="AD115">
        <v>1</v>
      </c>
      <c r="AF115" t="s">
        <v>383</v>
      </c>
      <c r="AG115" t="s">
        <v>148</v>
      </c>
      <c r="AI115">
        <v>0</v>
      </c>
      <c r="AJ115">
        <v>1</v>
      </c>
      <c r="AK115">
        <v>0</v>
      </c>
      <c r="AL115">
        <v>1</v>
      </c>
      <c r="AM115">
        <v>0</v>
      </c>
      <c r="AN115">
        <v>10</v>
      </c>
      <c r="AO115">
        <v>286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100</v>
      </c>
      <c r="AV115">
        <v>100</v>
      </c>
      <c r="AW115">
        <v>330553</v>
      </c>
      <c r="AX115">
        <v>257831</v>
      </c>
      <c r="AY115">
        <v>833</v>
      </c>
      <c r="AZ115">
        <v>365</v>
      </c>
      <c r="BA115">
        <v>365</v>
      </c>
      <c r="BB115">
        <v>103</v>
      </c>
      <c r="BC115" s="3">
        <v>44459</v>
      </c>
      <c r="BD115" t="s">
        <v>111</v>
      </c>
      <c r="BE115">
        <v>342000</v>
      </c>
      <c r="BF115">
        <v>342000</v>
      </c>
      <c r="BG115" t="s">
        <v>294</v>
      </c>
      <c r="BH115">
        <v>30</v>
      </c>
      <c r="BI115" t="s">
        <v>65</v>
      </c>
      <c r="BJ115" t="s">
        <v>450</v>
      </c>
      <c r="BK115">
        <v>366500</v>
      </c>
      <c r="BL115">
        <v>60100</v>
      </c>
      <c r="BM115">
        <v>306400</v>
      </c>
      <c r="BN115">
        <v>0</v>
      </c>
      <c r="BO115">
        <v>1.0716374269005848</v>
      </c>
      <c r="BP115">
        <v>349945.50858443434</v>
      </c>
      <c r="BQ115">
        <v>385281.22910397791</v>
      </c>
      <c r="BR115" s="12">
        <f>(Sales[[#This Row],[DP1]]*Lookups!$B$59)+(Sales[[#This Row],[DP2]]*Lookups!$B$60)+(Sales[[#This Row],[DP3]]*Lookups!$B$61)</f>
        <v>-35335.720523770004</v>
      </c>
      <c r="BS115" s="12">
        <f>Lookups!$B$56*0</f>
        <v>0</v>
      </c>
      <c r="BT115" s="12">
        <f>Lookups!$B$56*1</f>
        <v>89850.625589999996</v>
      </c>
      <c r="BU115" s="12">
        <f>Lookups!$B$57*Sales[[#This Row],[LnAcres]]</f>
        <v>-49401.70477837498</v>
      </c>
      <c r="BV115" s="12">
        <f>VLOOKUP(Sales[[#This Row],[Qlty]],Lookups!$A$62:$E$75,2,FALSE)</f>
        <v>29814.093161000001</v>
      </c>
      <c r="BW115" s="12">
        <f>VLOOKUP(Sales[[#This Row],[Cnd]],Lookups!$A$76:$E$84,2,FALSE)</f>
        <v>197752.34721000001</v>
      </c>
      <c r="BX115" s="12">
        <f>Sales[[#This Row],[EffAge]]*Lookups!$B$85</f>
        <v>-11375.3256255</v>
      </c>
      <c r="BY115" s="12">
        <f>Sales[[#This Row],[MainFn]]*Lookups!$B$86</f>
        <v>75249.404222671001</v>
      </c>
      <c r="BZ115" s="12">
        <f>Sales[[#This Row],[UpprFn]]*Lookups!$B$87</f>
        <v>0</v>
      </c>
      <c r="CA115" s="12">
        <f>Sales[[#This Row],[AddFn]]*Lookups!$B$88</f>
        <v>0</v>
      </c>
      <c r="CB115" s="12">
        <f>Sales[[#This Row],[Bsmt]]*Lookups!$B$89</f>
        <v>15471.568271403999</v>
      </c>
      <c r="CC115" s="12">
        <f>Sales[[#This Row],[Fixtures]]*Lookups!$B$90</f>
        <v>37920.221052000001</v>
      </c>
      <c r="CD115" s="12">
        <f>Sales[[#This Row],[WdDeck]]*Lookups!$B$91</f>
        <v>0</v>
      </c>
      <c r="CE115" s="12">
        <f>SUM(Sales[[#This Row],[Days Prior Total]:[Mdl WdDeck]])</f>
        <v>349945.50857943005</v>
      </c>
      <c r="CF115" s="12">
        <f>ROUND(Sales[[#This Row],[25Det]],-2)</f>
        <v>0</v>
      </c>
      <c r="CG115" s="12">
        <f>ROUND(SUM(Sales[[#This Row],[Mdl Qlty]:[Mdl WdDeck]])+Sales[[#This Row],[Mdl Res Intercept]]+Sales[[#This Row],[Days Prior Total]],-2)</f>
        <v>309500</v>
      </c>
      <c r="CH115" s="12">
        <f>ROUND(Sales[[#This Row],[Mdl Land Intercept]]+Sales[[#This Row],[Mdl LnAcres]],-2)</f>
        <v>40400</v>
      </c>
      <c r="CI115" s="12">
        <f>Sales[[#This Row],[Unadj Res Value]]+Sales[[#This Row],[Unadj Det Value]]+Sales[[#This Row],[Unadj Land Value]]</f>
        <v>349900</v>
      </c>
      <c r="CJ115" s="13">
        <f>Sales[[#This Row],[Unadj Total Value]]/Sales[[#This Row],[Price]]</f>
        <v>1.0230994152046784</v>
      </c>
      <c r="CK115" s="13">
        <f>(Sales[[#This Row],[Unadj Total Value]]-Sales[[#This Row],[24Final]])/Sales[[#This Row],[24Final]]</f>
        <v>-4.5293315143246929E-2</v>
      </c>
      <c r="CL115">
        <f>VLOOKUP(Sales[[#This Row],[TNbhd]],Lookups!$Q$2:$T$4,4,FALSE)</f>
        <v>0.99970000000000003</v>
      </c>
      <c r="CM115">
        <f>VLOOKUP(Sales[[#This Row],[Qlty]],Lookups!$O$7:$R$21,4,FALSE)</f>
        <v>1.0088999999999999</v>
      </c>
      <c r="CN115">
        <f>VLOOKUP(Sales[[#This Row],[Cnd]],Lookups!$T$7:$W$16,4,FALSE)</f>
        <v>0.99650000000000005</v>
      </c>
      <c r="CO115">
        <f>VLOOKUP(Sales[[#This Row],[LivArea Range]],Lookups!$T$25:$W$37,4,FALSE)</f>
        <v>0.98919999999999997</v>
      </c>
      <c r="CP115">
        <f>VLOOKUP(Sales[[#This Row],[Decade]],Lookups!$O$25:$R$42,4,FALSE)</f>
        <v>0.995</v>
      </c>
      <c r="CQ115">
        <f>Sales[[#This Row],[Nbhd Adj]]*0.95</f>
        <v>0.94971499999999998</v>
      </c>
      <c r="CR115">
        <f>Sales[[#This Row],[Nbhd Adj]]*Sales[[#This Row],[Quality Adj]]*Sales[[#This Row],[Condition Adj]]*Sales[[#This Row],[Living Area Adj]]*Sales[[#This Row],[Decade Adj]]*0.95</f>
        <v>0.93977937806455991</v>
      </c>
      <c r="CS115">
        <f>ROUND(SUM(Sales[[#This Row],[Mdl Qlty]:[Mdl WdDeck]])+Sales[[#This Row],[Mdl Res Intercept]]*Sales[[#This Row],[Res Adj ]],-2)</f>
        <v>344800</v>
      </c>
      <c r="CT115">
        <f>ROUND(Sales[[#This Row],[25Det]]*Sales[[#This Row],[Det/Nbhd Adj]],-2)</f>
        <v>0</v>
      </c>
      <c r="CU115">
        <f>Sales[[#This Row],[Adjusted Res]]+Sales[[#This Row],[Adj Det ]]</f>
        <v>344800</v>
      </c>
      <c r="CV115">
        <f>ROUND((Sales[[#This Row],[Mdl Land Intercept]]+Sales[[#This Row],[Mdl LnAcres]])*Sales[[#This Row],[Det/Nbhd Adj]],-2)</f>
        <v>38400</v>
      </c>
      <c r="CW115">
        <f>Sales[[#This Row],[Adjusted Impr Total]]+Sales[[#This Row],[Adjusted Land Total]]</f>
        <v>383200</v>
      </c>
      <c r="CX115" s="15">
        <f>IFERROR((Sales[[#This Row],[Adjusted Impr Total]]-Sales[[#This Row],[24Bldg]])/Sales[[#This Row],[24Bldg]],0)</f>
        <v>0.12532637075718014</v>
      </c>
      <c r="CY115" s="15">
        <f>(Sales[[#This Row],[Adjusted Land Total]]-Sales[[#This Row],[24Lnd]])/Sales[[#This Row],[24Lnd]]</f>
        <v>-0.36106489184692181</v>
      </c>
      <c r="CZ115" s="15">
        <f>(Sales[[#This Row],[Adjusted Total]]-Sales[[#This Row],[24Final]])/Sales[[#This Row],[24Final]]</f>
        <v>4.5566166439290588E-2</v>
      </c>
      <c r="DA115" s="15">
        <f>(Sales[[#This Row],[Adjusted Total]]+Sales[[#This Row],[Days Prior Total]])/Sales[[#This Row],[Price]]</f>
        <v>1.0171470160123683</v>
      </c>
    </row>
    <row r="116" spans="1:105" x14ac:dyDescent="0.3">
      <c r="A116">
        <v>2025</v>
      </c>
      <c r="B116">
        <v>18132322022</v>
      </c>
      <c r="C116">
        <v>-1.6094379124341003</v>
      </c>
      <c r="D116">
        <v>0.2</v>
      </c>
      <c r="E116">
        <v>8734</v>
      </c>
      <c r="F116">
        <v>6</v>
      </c>
      <c r="G116" t="s">
        <v>126</v>
      </c>
      <c r="H116" t="s">
        <v>349</v>
      </c>
      <c r="I116" t="s">
        <v>349</v>
      </c>
      <c r="J116" t="s">
        <v>30</v>
      </c>
      <c r="K116">
        <v>11</v>
      </c>
      <c r="L116">
        <v>259</v>
      </c>
      <c r="M116" t="s">
        <v>242</v>
      </c>
      <c r="N116" t="s">
        <v>351</v>
      </c>
      <c r="O116" t="s">
        <v>303</v>
      </c>
      <c r="P116">
        <v>80</v>
      </c>
      <c r="Q116">
        <v>1950</v>
      </c>
      <c r="R116">
        <v>1973</v>
      </c>
      <c r="S116">
        <v>74</v>
      </c>
      <c r="T116">
        <v>51</v>
      </c>
      <c r="U116">
        <v>2</v>
      </c>
      <c r="V116">
        <v>1212</v>
      </c>
      <c r="W116">
        <v>684</v>
      </c>
      <c r="X116">
        <v>0</v>
      </c>
      <c r="Y116">
        <v>1212</v>
      </c>
      <c r="Z116">
        <v>0</v>
      </c>
      <c r="AA116">
        <v>1212</v>
      </c>
      <c r="AB116">
        <v>3108</v>
      </c>
      <c r="AC116">
        <v>3500</v>
      </c>
      <c r="AD116">
        <v>0</v>
      </c>
      <c r="AF116" t="s">
        <v>383</v>
      </c>
      <c r="AG116" t="s">
        <v>148</v>
      </c>
      <c r="AH116" t="s">
        <v>450</v>
      </c>
      <c r="AI116">
        <v>0</v>
      </c>
      <c r="AJ116">
        <v>1</v>
      </c>
      <c r="AK116">
        <v>0</v>
      </c>
      <c r="AL116">
        <v>1</v>
      </c>
      <c r="AM116">
        <v>1</v>
      </c>
      <c r="AN116">
        <v>12</v>
      </c>
      <c r="AO116">
        <v>0</v>
      </c>
      <c r="AP116">
        <v>0</v>
      </c>
      <c r="AQ116">
        <v>325</v>
      </c>
      <c r="AR116">
        <v>0</v>
      </c>
      <c r="AS116">
        <v>21</v>
      </c>
      <c r="AT116">
        <v>63</v>
      </c>
      <c r="AU116">
        <v>100</v>
      </c>
      <c r="AV116">
        <v>100</v>
      </c>
      <c r="AW116">
        <v>326727</v>
      </c>
      <c r="AX116">
        <v>254847</v>
      </c>
      <c r="AY116">
        <v>5</v>
      </c>
      <c r="AZ116">
        <v>5</v>
      </c>
      <c r="BA116">
        <v>0</v>
      </c>
      <c r="BB116">
        <v>0</v>
      </c>
      <c r="BC116" s="3">
        <v>45287</v>
      </c>
      <c r="BD116" t="s">
        <v>107</v>
      </c>
      <c r="BE116">
        <v>406900</v>
      </c>
      <c r="BF116">
        <v>406900</v>
      </c>
      <c r="BG116" t="s">
        <v>294</v>
      </c>
      <c r="BH116">
        <v>30</v>
      </c>
      <c r="BI116" t="s">
        <v>65</v>
      </c>
      <c r="BJ116" t="s">
        <v>450</v>
      </c>
      <c r="BK116">
        <v>386300</v>
      </c>
      <c r="BL116">
        <v>58400</v>
      </c>
      <c r="BM116">
        <v>327900</v>
      </c>
      <c r="BN116">
        <v>0</v>
      </c>
      <c r="BO116">
        <v>0.94937331039567463</v>
      </c>
      <c r="BP116">
        <v>417754.79000153346</v>
      </c>
      <c r="BQ116">
        <v>418107.58098436234</v>
      </c>
      <c r="BR116" s="12">
        <f>(Sales[[#This Row],[DP1]]*Lookups!$B$59)+(Sales[[#This Row],[DP2]]*Lookups!$B$60)+(Sales[[#This Row],[DP3]]*Lookups!$B$61)</f>
        <v>-352.79098285000003</v>
      </c>
      <c r="BS116" s="12">
        <f>Lookups!$B$56*0</f>
        <v>0</v>
      </c>
      <c r="BT116" s="12">
        <f>Lookups!$B$56*1</f>
        <v>89850.625589999996</v>
      </c>
      <c r="BU116" s="12">
        <f>Lookups!$B$57*Sales[[#This Row],[LnAcres]]</f>
        <v>-50946.13867709865</v>
      </c>
      <c r="BV116" s="12">
        <f>VLOOKUP(Sales[[#This Row],[Qlty]],Lookups!$A$62:$E$75,2,FALSE)</f>
        <v>21557.329055999999</v>
      </c>
      <c r="BW116" s="12">
        <f>VLOOKUP(Sales[[#This Row],[Cnd]],Lookups!$A$76:$E$84,2,FALSE)</f>
        <v>197752.34721000001</v>
      </c>
      <c r="BX116" s="12">
        <f>Sales[[#This Row],[EffAge]]*Lookups!$B$85</f>
        <v>-11375.3256255</v>
      </c>
      <c r="BY116" s="12">
        <f>Sales[[#This Row],[MainFn]]*Lookups!$B$86</f>
        <v>59883.307890923999</v>
      </c>
      <c r="BZ116" s="12">
        <f>Sales[[#This Row],[UpprFn]]*Lookups!$B$87</f>
        <v>30633.913236924</v>
      </c>
      <c r="CA116" s="12">
        <f>Sales[[#This Row],[AddFn]]*Lookups!$B$88</f>
        <v>0</v>
      </c>
      <c r="CB116" s="12">
        <f>Sales[[#This Row],[Bsmt]]*Lookups!$B$89</f>
        <v>35247.257039363998</v>
      </c>
      <c r="CC116" s="12">
        <f>Sales[[#This Row],[Fixtures]]*Lookups!$B$90</f>
        <v>45504.265262400004</v>
      </c>
      <c r="CD116" s="12">
        <f>Sales[[#This Row],[WdDeck]]*Lookups!$B$91</f>
        <v>0</v>
      </c>
      <c r="CE116" s="12">
        <f>SUM(Sales[[#This Row],[Days Prior Total]:[Mdl WdDeck]])</f>
        <v>417754.79000016337</v>
      </c>
      <c r="CF116" s="12">
        <f>ROUND(Sales[[#This Row],[25Det]],-2)</f>
        <v>0</v>
      </c>
      <c r="CG116" s="12">
        <f>ROUND(SUM(Sales[[#This Row],[Mdl Qlty]:[Mdl WdDeck]])+Sales[[#This Row],[Mdl Res Intercept]]+Sales[[#This Row],[Days Prior Total]],-2)</f>
        <v>378900</v>
      </c>
      <c r="CH116" s="12">
        <f>ROUND(Sales[[#This Row],[Mdl Land Intercept]]+Sales[[#This Row],[Mdl LnAcres]],-2)</f>
        <v>38900</v>
      </c>
      <c r="CI116" s="12">
        <f>Sales[[#This Row],[Unadj Res Value]]+Sales[[#This Row],[Unadj Det Value]]+Sales[[#This Row],[Unadj Land Value]]</f>
        <v>417800</v>
      </c>
      <c r="CJ116" s="13">
        <f>Sales[[#This Row],[Unadj Total Value]]/Sales[[#This Row],[Price]]</f>
        <v>1.0267879085770459</v>
      </c>
      <c r="CK116" s="13">
        <f>(Sales[[#This Row],[Unadj Total Value]]-Sales[[#This Row],[24Final]])/Sales[[#This Row],[24Final]]</f>
        <v>8.1542842350504782E-2</v>
      </c>
      <c r="CL116">
        <f>VLOOKUP(Sales[[#This Row],[TNbhd]],Lookups!$Q$2:$T$4,4,FALSE)</f>
        <v>0.99970000000000003</v>
      </c>
      <c r="CM116">
        <f>VLOOKUP(Sales[[#This Row],[Qlty]],Lookups!$O$7:$R$21,4,FALSE)</f>
        <v>1.0067999999999999</v>
      </c>
      <c r="CN116">
        <f>VLOOKUP(Sales[[#This Row],[Cnd]],Lookups!$T$7:$W$16,4,FALSE)</f>
        <v>0.99650000000000005</v>
      </c>
      <c r="CO116">
        <f>VLOOKUP(Sales[[#This Row],[LivArea Range]],Lookups!$T$25:$W$37,4,FALSE)</f>
        <v>1.0126999999999999</v>
      </c>
      <c r="CP116">
        <f>VLOOKUP(Sales[[#This Row],[Decade]],Lookups!$O$25:$R$42,4,FALSE)</f>
        <v>0.995</v>
      </c>
      <c r="CQ116">
        <f>Sales[[#This Row],[Nbhd Adj]]*0.95</f>
        <v>0.94971499999999998</v>
      </c>
      <c r="CR116">
        <f>Sales[[#This Row],[Nbhd Adj]]*Sales[[#This Row],[Quality Adj]]*Sales[[#This Row],[Condition Adj]]*Sales[[#This Row],[Living Area Adj]]*Sales[[#This Row],[Decade Adj]]*0.95</f>
        <v>0.96010271551640491</v>
      </c>
      <c r="CS116">
        <f>ROUND(SUM(Sales[[#This Row],[Mdl Qlty]:[Mdl WdDeck]])+Sales[[#This Row],[Mdl Res Intercept]]*Sales[[#This Row],[Res Adj ]],-2)</f>
        <v>379200</v>
      </c>
      <c r="CT116">
        <f>ROUND(Sales[[#This Row],[25Det]]*Sales[[#This Row],[Det/Nbhd Adj]],-2)</f>
        <v>0</v>
      </c>
      <c r="CU116">
        <f>Sales[[#This Row],[Adjusted Res]]+Sales[[#This Row],[Adj Det ]]</f>
        <v>379200</v>
      </c>
      <c r="CV116">
        <f>ROUND((Sales[[#This Row],[Mdl Land Intercept]]+Sales[[#This Row],[Mdl LnAcres]])*Sales[[#This Row],[Det/Nbhd Adj]],-2)</f>
        <v>36900</v>
      </c>
      <c r="CW116">
        <f>Sales[[#This Row],[Adjusted Impr Total]]+Sales[[#This Row],[Adjusted Land Total]]</f>
        <v>416100</v>
      </c>
      <c r="CX116" s="15">
        <f>IFERROR((Sales[[#This Row],[Adjusted Impr Total]]-Sales[[#This Row],[24Bldg]])/Sales[[#This Row],[24Bldg]],0)</f>
        <v>0.15645013723696249</v>
      </c>
      <c r="CY116" s="15">
        <f>(Sales[[#This Row],[Adjusted Land Total]]-Sales[[#This Row],[24Lnd]])/Sales[[#This Row],[24Lnd]]</f>
        <v>-0.36815068493150682</v>
      </c>
      <c r="CZ116" s="15">
        <f>(Sales[[#This Row],[Adjusted Total]]-Sales[[#This Row],[24Final]])/Sales[[#This Row],[24Final]]</f>
        <v>7.7142117525239445E-2</v>
      </c>
      <c r="DA116" s="15">
        <f>(Sales[[#This Row],[Adjusted Total]]+Sales[[#This Row],[Days Prior Total]])/Sales[[#This Row],[Price]]</f>
        <v>1.0217429565425165</v>
      </c>
    </row>
    <row r="117" spans="1:105" x14ac:dyDescent="0.3">
      <c r="A117">
        <v>2025</v>
      </c>
      <c r="B117">
        <v>18132241448</v>
      </c>
      <c r="C117">
        <v>-2.6592600369327779</v>
      </c>
      <c r="D117">
        <v>7.0000000000000007E-2</v>
      </c>
      <c r="E117">
        <v>3233</v>
      </c>
      <c r="F117">
        <v>6</v>
      </c>
      <c r="G117" t="s">
        <v>126</v>
      </c>
      <c r="H117">
        <v>3033</v>
      </c>
      <c r="I117" t="s">
        <v>349</v>
      </c>
      <c r="J117" t="s">
        <v>30</v>
      </c>
      <c r="K117">
        <v>11</v>
      </c>
      <c r="L117">
        <v>259</v>
      </c>
      <c r="M117" t="s">
        <v>242</v>
      </c>
      <c r="N117" t="s">
        <v>205</v>
      </c>
      <c r="O117" t="s">
        <v>323</v>
      </c>
      <c r="P117">
        <v>80</v>
      </c>
      <c r="Q117">
        <v>1950</v>
      </c>
      <c r="R117">
        <v>1973</v>
      </c>
      <c r="S117">
        <v>74</v>
      </c>
      <c r="T117">
        <v>51</v>
      </c>
      <c r="U117">
        <v>1</v>
      </c>
      <c r="V117">
        <v>905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905</v>
      </c>
      <c r="AC117">
        <v>1000</v>
      </c>
      <c r="AD117">
        <v>0</v>
      </c>
      <c r="AF117" t="s">
        <v>383</v>
      </c>
      <c r="AG117" t="s">
        <v>148</v>
      </c>
      <c r="AH117" t="s">
        <v>450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5</v>
      </c>
      <c r="AO117">
        <v>0</v>
      </c>
      <c r="AP117">
        <v>0</v>
      </c>
      <c r="AQ117">
        <v>312</v>
      </c>
      <c r="AR117">
        <v>0</v>
      </c>
      <c r="AS117">
        <v>0</v>
      </c>
      <c r="AT117">
        <v>0</v>
      </c>
      <c r="AU117">
        <v>100</v>
      </c>
      <c r="AV117">
        <v>100</v>
      </c>
      <c r="AW117">
        <v>142941</v>
      </c>
      <c r="AX117">
        <v>100059</v>
      </c>
      <c r="AY117">
        <v>892</v>
      </c>
      <c r="AZ117">
        <v>365</v>
      </c>
      <c r="BA117">
        <v>365</v>
      </c>
      <c r="BB117">
        <v>162</v>
      </c>
      <c r="BC117" s="3">
        <v>44400</v>
      </c>
      <c r="BD117" t="s">
        <v>353</v>
      </c>
      <c r="BE117">
        <v>171000</v>
      </c>
      <c r="BF117">
        <v>171000</v>
      </c>
      <c r="BG117" t="s">
        <v>294</v>
      </c>
      <c r="BH117">
        <v>30</v>
      </c>
      <c r="BI117" t="s">
        <v>65</v>
      </c>
      <c r="BJ117" t="s">
        <v>450</v>
      </c>
      <c r="BK117">
        <v>207200</v>
      </c>
      <c r="BL117">
        <v>21800</v>
      </c>
      <c r="BM117">
        <v>185400</v>
      </c>
      <c r="BN117">
        <v>0</v>
      </c>
      <c r="BO117">
        <v>1.2116959064327486</v>
      </c>
      <c r="BP117">
        <v>175219.30371402859</v>
      </c>
      <c r="BQ117">
        <v>218444.60529318781</v>
      </c>
      <c r="BR117" s="12">
        <f>(Sales[[#This Row],[DP1]]*Lookups!$B$59)+(Sales[[#This Row],[DP2]]*Lookups!$B$60)+(Sales[[#This Row],[DP3]]*Lookups!$B$61)</f>
        <v>-43225.301584870002</v>
      </c>
      <c r="BS117" s="12">
        <f>Lookups!$B$56*0</f>
        <v>0</v>
      </c>
      <c r="BT117" s="12">
        <f>Lookups!$B$56*1</f>
        <v>89850.625589999996</v>
      </c>
      <c r="BU117" s="12">
        <f>Lookups!$B$57*Sales[[#This Row],[LnAcres]]</f>
        <v>-84177.854624504558</v>
      </c>
      <c r="BV117" s="12">
        <f>VLOOKUP(Sales[[#This Row],[Qlty]],Lookups!$A$62:$E$75,2,FALSE)</f>
        <v>0</v>
      </c>
      <c r="BW117" s="12">
        <f>VLOOKUP(Sales[[#This Row],[Cnd]],Lookups!$A$76:$E$84,2,FALSE)</f>
        <v>160472.20319</v>
      </c>
      <c r="BX117" s="12">
        <f>Sales[[#This Row],[EffAge]]*Lookups!$B$85</f>
        <v>-11375.3256255</v>
      </c>
      <c r="BY117" s="12">
        <f>Sales[[#This Row],[MainFn]]*Lookups!$B$86</f>
        <v>44714.846238685001</v>
      </c>
      <c r="BZ117" s="12">
        <f>Sales[[#This Row],[UpprFn]]*Lookups!$B$87</f>
        <v>0</v>
      </c>
      <c r="CA117" s="12">
        <f>Sales[[#This Row],[AddFn]]*Lookups!$B$88</f>
        <v>0</v>
      </c>
      <c r="CB117" s="12">
        <f>Sales[[#This Row],[Bsmt]]*Lookups!$B$89</f>
        <v>0</v>
      </c>
      <c r="CC117" s="12">
        <f>Sales[[#This Row],[Fixtures]]*Lookups!$B$90</f>
        <v>18960.110526</v>
      </c>
      <c r="CD117" s="12">
        <f>Sales[[#This Row],[WdDeck]]*Lookups!$B$91</f>
        <v>0</v>
      </c>
      <c r="CE117" s="12">
        <f>SUM(Sales[[#This Row],[Days Prior Total]:[Mdl WdDeck]])</f>
        <v>175219.30370981045</v>
      </c>
      <c r="CF117" s="12">
        <f>ROUND(Sales[[#This Row],[25Det]],-2)</f>
        <v>0</v>
      </c>
      <c r="CG117" s="12">
        <f>ROUND(SUM(Sales[[#This Row],[Mdl Qlty]:[Mdl WdDeck]])+Sales[[#This Row],[Mdl Res Intercept]]+Sales[[#This Row],[Days Prior Total]],-2)</f>
        <v>169500</v>
      </c>
      <c r="CH117" s="12">
        <f>ROUND(Sales[[#This Row],[Mdl Land Intercept]]+Sales[[#This Row],[Mdl LnAcres]],-2)</f>
        <v>5700</v>
      </c>
      <c r="CI117" s="12">
        <f>Sales[[#This Row],[Unadj Res Value]]+Sales[[#This Row],[Unadj Det Value]]+Sales[[#This Row],[Unadj Land Value]]</f>
        <v>175200</v>
      </c>
      <c r="CJ117" s="13">
        <f>Sales[[#This Row],[Unadj Total Value]]/Sales[[#This Row],[Price]]</f>
        <v>1.024561403508772</v>
      </c>
      <c r="CK117" s="13">
        <f>(Sales[[#This Row],[Unadj Total Value]]-Sales[[#This Row],[24Final]])/Sales[[#This Row],[24Final]]</f>
        <v>-0.15444015444015444</v>
      </c>
      <c r="CL117">
        <f>VLOOKUP(Sales[[#This Row],[TNbhd]],Lookups!$Q$2:$T$4,4,FALSE)</f>
        <v>0.99970000000000003</v>
      </c>
      <c r="CM117">
        <f>VLOOKUP(Sales[[#This Row],[Qlty]],Lookups!$O$7:$R$21,4,FALSE)</f>
        <v>0.99180000000000001</v>
      </c>
      <c r="CN117">
        <f>VLOOKUP(Sales[[#This Row],[Cnd]],Lookups!$T$7:$W$16,4,FALSE)</f>
        <v>0.99729999999999996</v>
      </c>
      <c r="CO117">
        <f>VLOOKUP(Sales[[#This Row],[LivArea Range]],Lookups!$T$25:$W$37,4,FALSE)</f>
        <v>1.0148999999999999</v>
      </c>
      <c r="CP117">
        <f>VLOOKUP(Sales[[#This Row],[Decade]],Lookups!$O$25:$R$42,4,FALSE)</f>
        <v>0.995</v>
      </c>
      <c r="CQ117">
        <f>Sales[[#This Row],[Nbhd Adj]]*0.95</f>
        <v>0.94971499999999998</v>
      </c>
      <c r="CR117">
        <f>Sales[[#This Row],[Nbhd Adj]]*Sales[[#This Row],[Quality Adj]]*Sales[[#This Row],[Condition Adj]]*Sales[[#This Row],[Living Area Adj]]*Sales[[#This Row],[Decade Adj]]*0.95</f>
        <v>0.94861405199075932</v>
      </c>
      <c r="CS117">
        <f>ROUND(SUM(Sales[[#This Row],[Mdl Qlty]:[Mdl WdDeck]])+Sales[[#This Row],[Mdl Res Intercept]]*Sales[[#This Row],[Res Adj ]],-2)</f>
        <v>212800</v>
      </c>
      <c r="CT117">
        <f>ROUND(Sales[[#This Row],[25Det]]*Sales[[#This Row],[Det/Nbhd Adj]],-2)</f>
        <v>0</v>
      </c>
      <c r="CU117">
        <f>Sales[[#This Row],[Adjusted Res]]+Sales[[#This Row],[Adj Det ]]</f>
        <v>212800</v>
      </c>
      <c r="CV117">
        <f>ROUND((Sales[[#This Row],[Mdl Land Intercept]]+Sales[[#This Row],[Mdl LnAcres]])*Sales[[#This Row],[Det/Nbhd Adj]],-2)</f>
        <v>5400</v>
      </c>
      <c r="CW117">
        <f>Sales[[#This Row],[Adjusted Impr Total]]+Sales[[#This Row],[Adjusted Land Total]]</f>
        <v>218200</v>
      </c>
      <c r="CX117" s="15">
        <f>IFERROR((Sales[[#This Row],[Adjusted Impr Total]]-Sales[[#This Row],[24Bldg]])/Sales[[#This Row],[24Bldg]],0)</f>
        <v>0.14778856526429343</v>
      </c>
      <c r="CY117" s="15">
        <f>(Sales[[#This Row],[Adjusted Land Total]]-Sales[[#This Row],[24Lnd]])/Sales[[#This Row],[24Lnd]]</f>
        <v>-0.75229357798165142</v>
      </c>
      <c r="CZ117" s="15">
        <f>(Sales[[#This Row],[Adjusted Total]]-Sales[[#This Row],[24Final]])/Sales[[#This Row],[24Final]]</f>
        <v>5.3088803088803087E-2</v>
      </c>
      <c r="DA117" s="15">
        <f>(Sales[[#This Row],[Adjusted Total]]+Sales[[#This Row],[Days Prior Total]])/Sales[[#This Row],[Price]]</f>
        <v>1.0232438503808772</v>
      </c>
    </row>
    <row r="118" spans="1:105" x14ac:dyDescent="0.3">
      <c r="A118">
        <v>2025</v>
      </c>
      <c r="B118">
        <v>18132214501</v>
      </c>
      <c r="C118">
        <v>-1.3862943611198906</v>
      </c>
      <c r="D118">
        <v>0.25</v>
      </c>
      <c r="E118">
        <v>10799</v>
      </c>
      <c r="F118">
        <v>6</v>
      </c>
      <c r="G118" t="s">
        <v>126</v>
      </c>
      <c r="H118">
        <v>3033</v>
      </c>
      <c r="I118" t="s">
        <v>349</v>
      </c>
      <c r="J118" t="s">
        <v>30</v>
      </c>
      <c r="K118">
        <v>11</v>
      </c>
      <c r="L118">
        <v>259</v>
      </c>
      <c r="M118" t="s">
        <v>241</v>
      </c>
      <c r="N118" t="s">
        <v>148</v>
      </c>
      <c r="O118" t="s">
        <v>303</v>
      </c>
      <c r="P118">
        <v>80</v>
      </c>
      <c r="Q118">
        <v>1950</v>
      </c>
      <c r="R118">
        <v>1973</v>
      </c>
      <c r="S118">
        <v>74</v>
      </c>
      <c r="T118">
        <v>51</v>
      </c>
      <c r="U118">
        <v>1</v>
      </c>
      <c r="V118">
        <v>1931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1931</v>
      </c>
      <c r="AC118">
        <v>2000</v>
      </c>
      <c r="AD118">
        <v>2</v>
      </c>
      <c r="AF118" t="s">
        <v>383</v>
      </c>
      <c r="AG118" t="s">
        <v>148</v>
      </c>
      <c r="AH118" t="s">
        <v>450</v>
      </c>
      <c r="AI118">
        <v>0</v>
      </c>
      <c r="AJ118">
        <v>1</v>
      </c>
      <c r="AK118">
        <v>0</v>
      </c>
      <c r="AL118">
        <v>1</v>
      </c>
      <c r="AM118">
        <v>0</v>
      </c>
      <c r="AN118">
        <v>9</v>
      </c>
      <c r="AO118">
        <v>440</v>
      </c>
      <c r="AP118">
        <v>0</v>
      </c>
      <c r="AQ118">
        <v>0</v>
      </c>
      <c r="AR118">
        <v>294</v>
      </c>
      <c r="AS118">
        <v>0</v>
      </c>
      <c r="AT118">
        <v>168</v>
      </c>
      <c r="AU118">
        <v>100</v>
      </c>
      <c r="AV118">
        <v>100</v>
      </c>
      <c r="AW118">
        <v>440849</v>
      </c>
      <c r="AX118">
        <v>343862</v>
      </c>
      <c r="AY118">
        <v>189</v>
      </c>
      <c r="AZ118">
        <v>189</v>
      </c>
      <c r="BA118">
        <v>0</v>
      </c>
      <c r="BB118">
        <v>0</v>
      </c>
      <c r="BC118" s="3">
        <v>45103</v>
      </c>
      <c r="BD118" t="s">
        <v>142</v>
      </c>
      <c r="BE118">
        <v>390000</v>
      </c>
      <c r="BF118">
        <v>390000</v>
      </c>
      <c r="BG118" t="s">
        <v>294</v>
      </c>
      <c r="BH118">
        <v>30</v>
      </c>
      <c r="BI118" t="s">
        <v>65</v>
      </c>
      <c r="BJ118" t="s">
        <v>450</v>
      </c>
      <c r="BK118">
        <v>378300</v>
      </c>
      <c r="BL118">
        <v>66200</v>
      </c>
      <c r="BM118">
        <v>312100</v>
      </c>
      <c r="BN118">
        <v>0</v>
      </c>
      <c r="BO118">
        <v>0.97</v>
      </c>
      <c r="BP118">
        <v>402455.79277946625</v>
      </c>
      <c r="BQ118">
        <v>415791.29193039797</v>
      </c>
      <c r="BR118" s="12">
        <f>(Sales[[#This Row],[DP1]]*Lookups!$B$59)+(Sales[[#This Row],[DP2]]*Lookups!$B$60)+(Sales[[#This Row],[DP3]]*Lookups!$B$61)</f>
        <v>-13335.49915173</v>
      </c>
      <c r="BS118" s="12">
        <f>Lookups!$B$56*0</f>
        <v>0</v>
      </c>
      <c r="BT118" s="12">
        <f>Lookups!$B$56*1</f>
        <v>89850.625589999996</v>
      </c>
      <c r="BU118" s="12">
        <f>Lookups!$B$57*Sales[[#This Row],[LnAcres]]</f>
        <v>-43882.615305165229</v>
      </c>
      <c r="BV118" s="12">
        <f>VLOOKUP(Sales[[#This Row],[Qlty]],Lookups!$A$62:$E$75,2,FALSE)</f>
        <v>44121.038090000002</v>
      </c>
      <c r="BW118" s="12">
        <f>VLOOKUP(Sales[[#This Row],[Cnd]],Lookups!$A$76:$E$84,2,FALSE)</f>
        <v>197752.34721000001</v>
      </c>
      <c r="BX118" s="12">
        <f>Sales[[#This Row],[EffAge]]*Lookups!$B$85</f>
        <v>-11375.3256255</v>
      </c>
      <c r="BY118" s="12">
        <f>Sales[[#This Row],[MainFn]]*Lookups!$B$86</f>
        <v>95408.141532487003</v>
      </c>
      <c r="BZ118" s="12">
        <f>Sales[[#This Row],[UpprFn]]*Lookups!$B$87</f>
        <v>0</v>
      </c>
      <c r="CA118" s="12">
        <f>Sales[[#This Row],[AddFn]]*Lookups!$B$88</f>
        <v>0</v>
      </c>
      <c r="CB118" s="12">
        <f>Sales[[#This Row],[Bsmt]]*Lookups!$B$89</f>
        <v>0</v>
      </c>
      <c r="CC118" s="12">
        <f>Sales[[#This Row],[Fixtures]]*Lookups!$B$90</f>
        <v>34128.198946800003</v>
      </c>
      <c r="CD118" s="12">
        <f>Sales[[#This Row],[WdDeck]]*Lookups!$B$91</f>
        <v>9788.8814911440004</v>
      </c>
      <c r="CE118" s="12">
        <f>SUM(Sales[[#This Row],[Days Prior Total]:[Mdl WdDeck]])</f>
        <v>402455.7927780358</v>
      </c>
      <c r="CF118" s="12">
        <f>ROUND(Sales[[#This Row],[25Det]],-2)</f>
        <v>0</v>
      </c>
      <c r="CG118" s="12">
        <f>ROUND(SUM(Sales[[#This Row],[Mdl Qlty]:[Mdl WdDeck]])+Sales[[#This Row],[Mdl Res Intercept]]+Sales[[#This Row],[Days Prior Total]],-2)</f>
        <v>356500</v>
      </c>
      <c r="CH118" s="12">
        <f>ROUND(Sales[[#This Row],[Mdl Land Intercept]]+Sales[[#This Row],[Mdl LnAcres]],-2)</f>
        <v>46000</v>
      </c>
      <c r="CI118" s="12">
        <f>Sales[[#This Row],[Unadj Res Value]]+Sales[[#This Row],[Unadj Det Value]]+Sales[[#This Row],[Unadj Land Value]]</f>
        <v>402500</v>
      </c>
      <c r="CJ118" s="13">
        <f>Sales[[#This Row],[Unadj Total Value]]/Sales[[#This Row],[Price]]</f>
        <v>1.0320512820512822</v>
      </c>
      <c r="CK118" s="13">
        <f>(Sales[[#This Row],[Unadj Total Value]]-Sales[[#This Row],[24Final]])/Sales[[#This Row],[24Final]]</f>
        <v>6.3970393867301079E-2</v>
      </c>
      <c r="CL118">
        <f>VLOOKUP(Sales[[#This Row],[TNbhd]],Lookups!$Q$2:$T$4,4,FALSE)</f>
        <v>0.99970000000000003</v>
      </c>
      <c r="CM118">
        <f>VLOOKUP(Sales[[#This Row],[Qlty]],Lookups!$O$7:$R$21,4,FALSE)</f>
        <v>0.98050000000000004</v>
      </c>
      <c r="CN118">
        <f>VLOOKUP(Sales[[#This Row],[Cnd]],Lookups!$T$7:$W$16,4,FALSE)</f>
        <v>0.99650000000000005</v>
      </c>
      <c r="CO118">
        <f>VLOOKUP(Sales[[#This Row],[LivArea Range]],Lookups!$T$25:$W$37,4,FALSE)</f>
        <v>1.0093000000000001</v>
      </c>
      <c r="CP118">
        <f>VLOOKUP(Sales[[#This Row],[Decade]],Lookups!$O$25:$R$42,4,FALSE)</f>
        <v>0.995</v>
      </c>
      <c r="CQ118">
        <f>Sales[[#This Row],[Nbhd Adj]]*0.95</f>
        <v>0.94971499999999998</v>
      </c>
      <c r="CR118">
        <f>Sales[[#This Row],[Nbhd Adj]]*Sales[[#This Row],[Quality Adj]]*Sales[[#This Row],[Condition Adj]]*Sales[[#This Row],[Living Area Adj]]*Sales[[#This Row],[Decade Adj]]*0.95</f>
        <v>0.93188335041151293</v>
      </c>
      <c r="CS118">
        <f>ROUND(SUM(Sales[[#This Row],[Mdl Qlty]:[Mdl WdDeck]])+Sales[[#This Row],[Mdl Res Intercept]]*Sales[[#This Row],[Res Adj ]],-2)</f>
        <v>369800</v>
      </c>
      <c r="CT118">
        <f>ROUND(Sales[[#This Row],[25Det]]*Sales[[#This Row],[Det/Nbhd Adj]],-2)</f>
        <v>0</v>
      </c>
      <c r="CU118">
        <f>Sales[[#This Row],[Adjusted Res]]+Sales[[#This Row],[Adj Det ]]</f>
        <v>369800</v>
      </c>
      <c r="CV118">
        <f>ROUND((Sales[[#This Row],[Mdl Land Intercept]]+Sales[[#This Row],[Mdl LnAcres]])*Sales[[#This Row],[Det/Nbhd Adj]],-2)</f>
        <v>43700</v>
      </c>
      <c r="CW118">
        <f>Sales[[#This Row],[Adjusted Impr Total]]+Sales[[#This Row],[Adjusted Land Total]]</f>
        <v>413500</v>
      </c>
      <c r="CX118" s="15">
        <f>IFERROR((Sales[[#This Row],[Adjusted Impr Total]]-Sales[[#This Row],[24Bldg]])/Sales[[#This Row],[24Bldg]],0)</f>
        <v>0.18487664210189042</v>
      </c>
      <c r="CY118" s="15">
        <f>(Sales[[#This Row],[Adjusted Land Total]]-Sales[[#This Row],[24Lnd]])/Sales[[#This Row],[24Lnd]]</f>
        <v>-0.33987915407854985</v>
      </c>
      <c r="CZ118" s="15">
        <f>(Sales[[#This Row],[Adjusted Total]]-Sales[[#This Row],[24Final]])/Sales[[#This Row],[24Final]]</f>
        <v>9.3047845625165215E-2</v>
      </c>
      <c r="DA118" s="15">
        <f>(Sales[[#This Row],[Adjusted Total]]+Sales[[#This Row],[Days Prior Total]])/Sales[[#This Row],[Price]]</f>
        <v>1.0260628226878719</v>
      </c>
    </row>
    <row r="119" spans="1:105" x14ac:dyDescent="0.3">
      <c r="A119">
        <v>2025</v>
      </c>
      <c r="B119">
        <v>18132243447</v>
      </c>
      <c r="C119">
        <v>-1.5141277326297755</v>
      </c>
      <c r="D119">
        <v>0.22</v>
      </c>
      <c r="E119">
        <v>9471</v>
      </c>
      <c r="F119">
        <v>6</v>
      </c>
      <c r="G119" t="s">
        <v>126</v>
      </c>
      <c r="H119">
        <v>3093</v>
      </c>
      <c r="I119" t="s">
        <v>349</v>
      </c>
      <c r="J119" t="s">
        <v>30</v>
      </c>
      <c r="K119">
        <v>11</v>
      </c>
      <c r="L119">
        <v>259</v>
      </c>
      <c r="M119" t="s">
        <v>300</v>
      </c>
      <c r="N119" t="s">
        <v>95</v>
      </c>
      <c r="O119" t="s">
        <v>303</v>
      </c>
      <c r="P119">
        <v>80</v>
      </c>
      <c r="Q119">
        <v>1950</v>
      </c>
      <c r="R119">
        <v>1973</v>
      </c>
      <c r="S119">
        <v>74</v>
      </c>
      <c r="T119">
        <v>51</v>
      </c>
      <c r="U119">
        <v>1</v>
      </c>
      <c r="V119">
        <v>1639</v>
      </c>
      <c r="W119">
        <v>0</v>
      </c>
      <c r="X119">
        <v>0</v>
      </c>
      <c r="Y119">
        <v>844</v>
      </c>
      <c r="Z119">
        <v>0</v>
      </c>
      <c r="AA119">
        <v>844</v>
      </c>
      <c r="AB119">
        <v>2483</v>
      </c>
      <c r="AC119">
        <v>2500</v>
      </c>
      <c r="AD119">
        <v>0</v>
      </c>
      <c r="AF119" t="s">
        <v>383</v>
      </c>
      <c r="AG119" t="s">
        <v>382</v>
      </c>
      <c r="AH119" t="s">
        <v>450</v>
      </c>
      <c r="AI119">
        <v>0</v>
      </c>
      <c r="AJ119">
        <v>1</v>
      </c>
      <c r="AK119">
        <v>0</v>
      </c>
      <c r="AL119">
        <v>0</v>
      </c>
      <c r="AM119">
        <v>1</v>
      </c>
      <c r="AN119">
        <v>11</v>
      </c>
      <c r="AO119">
        <v>0</v>
      </c>
      <c r="AP119">
        <v>0</v>
      </c>
      <c r="AQ119">
        <v>0</v>
      </c>
      <c r="AR119">
        <v>0</v>
      </c>
      <c r="AS119">
        <v>317</v>
      </c>
      <c r="AT119">
        <v>317</v>
      </c>
      <c r="AU119">
        <v>100</v>
      </c>
      <c r="AV119">
        <v>100</v>
      </c>
      <c r="AW119">
        <v>461283</v>
      </c>
      <c r="AX119">
        <v>364414</v>
      </c>
      <c r="AY119">
        <v>147</v>
      </c>
      <c r="AZ119">
        <v>147</v>
      </c>
      <c r="BA119">
        <v>0</v>
      </c>
      <c r="BB119">
        <v>0</v>
      </c>
      <c r="BC119" s="3">
        <v>45145</v>
      </c>
      <c r="BD119" t="s">
        <v>56</v>
      </c>
      <c r="BE119">
        <v>435000</v>
      </c>
      <c r="BF119">
        <v>424990</v>
      </c>
      <c r="BG119" t="s">
        <v>294</v>
      </c>
      <c r="BH119">
        <v>30</v>
      </c>
      <c r="BI119" t="s">
        <v>65</v>
      </c>
      <c r="BJ119" t="s">
        <v>450</v>
      </c>
      <c r="BK119">
        <v>466800</v>
      </c>
      <c r="BL119">
        <v>61700</v>
      </c>
      <c r="BM119">
        <v>405100</v>
      </c>
      <c r="BN119">
        <v>10010</v>
      </c>
      <c r="BO119">
        <v>1.0731034482758621</v>
      </c>
      <c r="BP119">
        <v>439433.04306002398</v>
      </c>
      <c r="BQ119">
        <v>449805.09795519314</v>
      </c>
      <c r="BR119" s="12">
        <f>(Sales[[#This Row],[DP1]]*Lookups!$B$59)+(Sales[[#This Row],[DP2]]*Lookups!$B$60)+(Sales[[#This Row],[DP3]]*Lookups!$B$61)</f>
        <v>-10372.054895790001</v>
      </c>
      <c r="BS119" s="12">
        <f>Lookups!$B$56*0</f>
        <v>0</v>
      </c>
      <c r="BT119" s="12">
        <f>Lookups!$B$56*1</f>
        <v>89850.625589999996</v>
      </c>
      <c r="BU119" s="12">
        <f>Lookups!$B$57*Sales[[#This Row],[LnAcres]]</f>
        <v>-47929.131559187132</v>
      </c>
      <c r="BV119" s="12">
        <f>VLOOKUP(Sales[[#This Row],[Qlty]],Lookups!$A$62:$E$75,2,FALSE)</f>
        <v>74268.409664999999</v>
      </c>
      <c r="BW119" s="12">
        <f>VLOOKUP(Sales[[#This Row],[Cnd]],Lookups!$A$76:$E$84,2,FALSE)</f>
        <v>197752.34721000001</v>
      </c>
      <c r="BX119" s="12">
        <f>Sales[[#This Row],[EffAge]]*Lookups!$B$85</f>
        <v>-11375.3256255</v>
      </c>
      <c r="BY119" s="12">
        <f>Sales[[#This Row],[MainFn]]*Lookups!$B$86</f>
        <v>80980.809928403003</v>
      </c>
      <c r="BZ119" s="12">
        <f>Sales[[#This Row],[UpprFn]]*Lookups!$B$87</f>
        <v>0</v>
      </c>
      <c r="CA119" s="12">
        <f>Sales[[#This Row],[AddFn]]*Lookups!$B$88</f>
        <v>0</v>
      </c>
      <c r="CB119" s="12">
        <f>Sales[[#This Row],[Bsmt]]*Lookups!$B$89</f>
        <v>24545.119588467998</v>
      </c>
      <c r="CC119" s="12">
        <f>Sales[[#This Row],[Fixtures]]*Lookups!$B$90</f>
        <v>41712.243157199999</v>
      </c>
      <c r="CD119" s="12">
        <f>Sales[[#This Row],[WdDeck]]*Lookups!$B$91</f>
        <v>0</v>
      </c>
      <c r="CE119" s="12">
        <f>SUM(Sales[[#This Row],[Days Prior Total]:[Mdl WdDeck]])</f>
        <v>439433.04305859387</v>
      </c>
      <c r="CF119" s="12">
        <f>ROUND(Sales[[#This Row],[25Det]],-2)</f>
        <v>10000</v>
      </c>
      <c r="CG119" s="12">
        <f>ROUND(SUM(Sales[[#This Row],[Mdl Qlty]:[Mdl WdDeck]])+Sales[[#This Row],[Mdl Res Intercept]]+Sales[[#This Row],[Days Prior Total]],-2)</f>
        <v>397500</v>
      </c>
      <c r="CH119" s="12">
        <f>ROUND(Sales[[#This Row],[Mdl Land Intercept]]+Sales[[#This Row],[Mdl LnAcres]],-2)</f>
        <v>41900</v>
      </c>
      <c r="CI119" s="12">
        <f>Sales[[#This Row],[Unadj Res Value]]+Sales[[#This Row],[Unadj Det Value]]+Sales[[#This Row],[Unadj Land Value]]</f>
        <v>449400</v>
      </c>
      <c r="CJ119" s="13">
        <f>Sales[[#This Row],[Unadj Total Value]]/Sales[[#This Row],[Price]]</f>
        <v>1.0331034482758621</v>
      </c>
      <c r="CK119" s="13">
        <f>(Sales[[#This Row],[Unadj Total Value]]-Sales[[#This Row],[24Final]])/Sales[[#This Row],[24Final]]</f>
        <v>-3.7275064267352186E-2</v>
      </c>
      <c r="CL119">
        <f>VLOOKUP(Sales[[#This Row],[TNbhd]],Lookups!$Q$2:$T$4,4,FALSE)</f>
        <v>0.99970000000000003</v>
      </c>
      <c r="CM119">
        <f>VLOOKUP(Sales[[#This Row],[Qlty]],Lookups!$O$7:$R$21,4,FALSE)</f>
        <v>0.98380000000000001</v>
      </c>
      <c r="CN119">
        <f>VLOOKUP(Sales[[#This Row],[Cnd]],Lookups!$T$7:$W$16,4,FALSE)</f>
        <v>0.99650000000000005</v>
      </c>
      <c r="CO119">
        <f>VLOOKUP(Sales[[#This Row],[LivArea Range]],Lookups!$T$25:$W$37,4,FALSE)</f>
        <v>0.98919999999999997</v>
      </c>
      <c r="CP119">
        <f>VLOOKUP(Sales[[#This Row],[Decade]],Lookups!$O$25:$R$42,4,FALSE)</f>
        <v>0.995</v>
      </c>
      <c r="CQ119">
        <f>Sales[[#This Row],[Nbhd Adj]]*0.95</f>
        <v>0.94971499999999998</v>
      </c>
      <c r="CR119">
        <f>Sales[[#This Row],[Nbhd Adj]]*Sales[[#This Row],[Quality Adj]]*Sales[[#This Row],[Condition Adj]]*Sales[[#This Row],[Living Area Adj]]*Sales[[#This Row],[Decade Adj]]*0.95</f>
        <v>0.91639900103074046</v>
      </c>
      <c r="CS119">
        <f>ROUND(SUM(Sales[[#This Row],[Mdl Qlty]:[Mdl WdDeck]])+Sales[[#This Row],[Mdl Res Intercept]]*Sales[[#This Row],[Res Adj ]],-2)</f>
        <v>407900</v>
      </c>
      <c r="CT119">
        <f>ROUND(Sales[[#This Row],[25Det]]*Sales[[#This Row],[Det/Nbhd Adj]],-2)</f>
        <v>9500</v>
      </c>
      <c r="CU119">
        <f>Sales[[#This Row],[Adjusted Res]]+Sales[[#This Row],[Adj Det ]]</f>
        <v>417400</v>
      </c>
      <c r="CV119">
        <f>ROUND((Sales[[#This Row],[Mdl Land Intercept]]+Sales[[#This Row],[Mdl LnAcres]])*Sales[[#This Row],[Det/Nbhd Adj]],-2)</f>
        <v>39800</v>
      </c>
      <c r="CW119">
        <f>Sales[[#This Row],[Adjusted Impr Total]]+Sales[[#This Row],[Adjusted Land Total]]</f>
        <v>457200</v>
      </c>
      <c r="CX119" s="15">
        <f>IFERROR((Sales[[#This Row],[Adjusted Impr Total]]-Sales[[#This Row],[24Bldg]])/Sales[[#This Row],[24Bldg]],0)</f>
        <v>3.0362873364601334E-2</v>
      </c>
      <c r="CY119" s="15">
        <f>(Sales[[#This Row],[Adjusted Land Total]]-Sales[[#This Row],[24Lnd]])/Sales[[#This Row],[24Lnd]]</f>
        <v>-0.35494327390599678</v>
      </c>
      <c r="CZ119" s="15">
        <f>(Sales[[#This Row],[Adjusted Total]]-Sales[[#This Row],[24Final]])/Sales[[#This Row],[24Final]]</f>
        <v>-2.056555269922879E-2</v>
      </c>
      <c r="DA119" s="15">
        <f>(Sales[[#This Row],[Adjusted Total]]+Sales[[#This Row],[Days Prior Total]])/Sales[[#This Row],[Price]]</f>
        <v>1.0271906784004827</v>
      </c>
    </row>
    <row r="120" spans="1:105" x14ac:dyDescent="0.3">
      <c r="A120">
        <v>2025</v>
      </c>
      <c r="B120">
        <v>18132313486</v>
      </c>
      <c r="C120">
        <v>-1.8971199848858813</v>
      </c>
      <c r="D120">
        <v>0.15</v>
      </c>
      <c r="E120">
        <v>6701</v>
      </c>
      <c r="F120">
        <v>6</v>
      </c>
      <c r="G120" t="s">
        <v>126</v>
      </c>
      <c r="H120">
        <v>3033</v>
      </c>
      <c r="I120" t="s">
        <v>349</v>
      </c>
      <c r="J120" t="s">
        <v>30</v>
      </c>
      <c r="K120">
        <v>11</v>
      </c>
      <c r="L120">
        <v>259</v>
      </c>
      <c r="M120" t="s">
        <v>269</v>
      </c>
      <c r="N120" t="s">
        <v>351</v>
      </c>
      <c r="O120" t="s">
        <v>323</v>
      </c>
      <c r="P120">
        <v>80</v>
      </c>
      <c r="Q120">
        <v>1950</v>
      </c>
      <c r="R120">
        <v>1973</v>
      </c>
      <c r="S120">
        <v>74</v>
      </c>
      <c r="T120">
        <v>51</v>
      </c>
      <c r="U120">
        <v>1</v>
      </c>
      <c r="V120">
        <v>972</v>
      </c>
      <c r="W120">
        <v>0</v>
      </c>
      <c r="X120">
        <v>0</v>
      </c>
      <c r="Y120">
        <v>775</v>
      </c>
      <c r="Z120">
        <v>775</v>
      </c>
      <c r="AA120">
        <v>0</v>
      </c>
      <c r="AB120">
        <v>972</v>
      </c>
      <c r="AC120">
        <v>1000</v>
      </c>
      <c r="AD120">
        <v>0</v>
      </c>
      <c r="AF120" t="s">
        <v>383</v>
      </c>
      <c r="AG120" t="s">
        <v>148</v>
      </c>
      <c r="AI120">
        <v>0</v>
      </c>
      <c r="AJ120">
        <v>1</v>
      </c>
      <c r="AK120">
        <v>0</v>
      </c>
      <c r="AL120">
        <v>0</v>
      </c>
      <c r="AM120">
        <v>1</v>
      </c>
      <c r="AN120">
        <v>7</v>
      </c>
      <c r="AO120">
        <v>0</v>
      </c>
      <c r="AP120">
        <v>0</v>
      </c>
      <c r="AQ120">
        <v>192</v>
      </c>
      <c r="AR120">
        <v>0</v>
      </c>
      <c r="AS120">
        <v>550</v>
      </c>
      <c r="AT120">
        <v>0</v>
      </c>
      <c r="AU120">
        <v>100</v>
      </c>
      <c r="AV120">
        <v>100</v>
      </c>
      <c r="AW120">
        <v>182702</v>
      </c>
      <c r="AX120">
        <v>127891</v>
      </c>
      <c r="AY120">
        <v>833</v>
      </c>
      <c r="AZ120">
        <v>365</v>
      </c>
      <c r="BA120">
        <v>365</v>
      </c>
      <c r="BB120">
        <v>103</v>
      </c>
      <c r="BC120" s="3">
        <v>44459</v>
      </c>
      <c r="BD120" t="s">
        <v>216</v>
      </c>
      <c r="BE120">
        <v>270000</v>
      </c>
      <c r="BF120">
        <v>244077</v>
      </c>
      <c r="BG120" t="s">
        <v>294</v>
      </c>
      <c r="BH120">
        <v>30</v>
      </c>
      <c r="BI120" t="s">
        <v>65</v>
      </c>
      <c r="BJ120" t="s">
        <v>450</v>
      </c>
      <c r="BK120">
        <v>302900</v>
      </c>
      <c r="BL120">
        <v>48400</v>
      </c>
      <c r="BM120">
        <v>254500</v>
      </c>
      <c r="BN120">
        <v>25923</v>
      </c>
      <c r="BO120">
        <v>1.1218518518518519</v>
      </c>
      <c r="BP120">
        <v>262224.3582269898</v>
      </c>
      <c r="BQ120">
        <v>297560.07874653337</v>
      </c>
      <c r="BR120" s="12">
        <f>(Sales[[#This Row],[DP1]]*Lookups!$B$59)+(Sales[[#This Row],[DP2]]*Lookups!$B$60)+(Sales[[#This Row],[DP3]]*Lookups!$B$61)</f>
        <v>-35335.720523770004</v>
      </c>
      <c r="BS120" s="12">
        <f>Lookups!$B$56*0</f>
        <v>0</v>
      </c>
      <c r="BT120" s="12">
        <f>Lookups!$B$56*1</f>
        <v>89850.625589999996</v>
      </c>
      <c r="BU120" s="12">
        <f>Lookups!$B$57*Sales[[#This Row],[LnAcres]]</f>
        <v>-60052.604136134301</v>
      </c>
      <c r="BV120" s="12">
        <f>VLOOKUP(Sales[[#This Row],[Qlty]],Lookups!$A$62:$E$75,2,FALSE)</f>
        <v>21557.329055999999</v>
      </c>
      <c r="BW120" s="12">
        <f>VLOOKUP(Sales[[#This Row],[Cnd]],Lookups!$A$76:$E$84,2,FALSE)</f>
        <v>160472.20319</v>
      </c>
      <c r="BX120" s="12">
        <f>Sales[[#This Row],[EffAge]]*Lookups!$B$85</f>
        <v>-11375.3256255</v>
      </c>
      <c r="BY120" s="12">
        <f>Sales[[#This Row],[MainFn]]*Lookups!$B$86</f>
        <v>48025.227120444004</v>
      </c>
      <c r="BZ120" s="12">
        <f>Sales[[#This Row],[UpprFn]]*Lookups!$B$87</f>
        <v>0</v>
      </c>
      <c r="CA120" s="12">
        <f>Sales[[#This Row],[AddFn]]*Lookups!$B$88</f>
        <v>0</v>
      </c>
      <c r="CB120" s="12">
        <f>Sales[[#This Row],[Bsmt]]*Lookups!$B$89</f>
        <v>22538.468816425</v>
      </c>
      <c r="CC120" s="12">
        <f>Sales[[#This Row],[Fixtures]]*Lookups!$B$90</f>
        <v>26544.1547364</v>
      </c>
      <c r="CD120" s="12">
        <f>Sales[[#This Row],[WdDeck]]*Lookups!$B$91</f>
        <v>0</v>
      </c>
      <c r="CE120" s="12">
        <f>SUM(Sales[[#This Row],[Days Prior Total]:[Mdl WdDeck]])</f>
        <v>262224.35822386469</v>
      </c>
      <c r="CF120" s="12">
        <f>ROUND(Sales[[#This Row],[25Det]],-2)</f>
        <v>25900</v>
      </c>
      <c r="CG120" s="12">
        <f>ROUND(SUM(Sales[[#This Row],[Mdl Qlty]:[Mdl WdDeck]])+Sales[[#This Row],[Mdl Res Intercept]]+Sales[[#This Row],[Days Prior Total]],-2)</f>
        <v>232400</v>
      </c>
      <c r="CH120" s="12">
        <f>ROUND(Sales[[#This Row],[Mdl Land Intercept]]+Sales[[#This Row],[Mdl LnAcres]],-2)</f>
        <v>29800</v>
      </c>
      <c r="CI120" s="12">
        <f>Sales[[#This Row],[Unadj Res Value]]+Sales[[#This Row],[Unadj Det Value]]+Sales[[#This Row],[Unadj Land Value]]</f>
        <v>288100</v>
      </c>
      <c r="CJ120" s="13">
        <f>Sales[[#This Row],[Unadj Total Value]]/Sales[[#This Row],[Price]]</f>
        <v>1.067037037037037</v>
      </c>
      <c r="CK120" s="13">
        <f>(Sales[[#This Row],[Unadj Total Value]]-Sales[[#This Row],[24Final]])/Sales[[#This Row],[24Final]]</f>
        <v>-4.8861010234400794E-2</v>
      </c>
      <c r="CL120">
        <f>VLOOKUP(Sales[[#This Row],[TNbhd]],Lookups!$Q$2:$T$4,4,FALSE)</f>
        <v>0.99970000000000003</v>
      </c>
      <c r="CM120">
        <f>VLOOKUP(Sales[[#This Row],[Qlty]],Lookups!$O$7:$R$21,4,FALSE)</f>
        <v>1.0067999999999999</v>
      </c>
      <c r="CN120">
        <f>VLOOKUP(Sales[[#This Row],[Cnd]],Lookups!$T$7:$W$16,4,FALSE)</f>
        <v>0.99729999999999996</v>
      </c>
      <c r="CO120">
        <f>VLOOKUP(Sales[[#This Row],[LivArea Range]],Lookups!$T$25:$W$37,4,FALSE)</f>
        <v>1.0148999999999999</v>
      </c>
      <c r="CP120">
        <f>VLOOKUP(Sales[[#This Row],[Decade]],Lookups!$O$25:$R$42,4,FALSE)</f>
        <v>0.995</v>
      </c>
      <c r="CQ120">
        <f>Sales[[#This Row],[Nbhd Adj]]*0.95</f>
        <v>0.94971499999999998</v>
      </c>
      <c r="CR120">
        <f>Sales[[#This Row],[Nbhd Adj]]*Sales[[#This Row],[Quality Adj]]*Sales[[#This Row],[Condition Adj]]*Sales[[#This Row],[Living Area Adj]]*Sales[[#This Row],[Decade Adj]]*0.95</f>
        <v>0.96296090698154491</v>
      </c>
      <c r="CS120">
        <f>ROUND(SUM(Sales[[#This Row],[Mdl Qlty]:[Mdl WdDeck]])+Sales[[#This Row],[Mdl Res Intercept]]*Sales[[#This Row],[Res Adj ]],-2)</f>
        <v>267800</v>
      </c>
      <c r="CT120">
        <f>ROUND(Sales[[#This Row],[25Det]]*Sales[[#This Row],[Det/Nbhd Adj]],-2)</f>
        <v>24600</v>
      </c>
      <c r="CU120">
        <f>Sales[[#This Row],[Adjusted Res]]+Sales[[#This Row],[Adj Det ]]</f>
        <v>292400</v>
      </c>
      <c r="CV120">
        <f>ROUND((Sales[[#This Row],[Mdl Land Intercept]]+Sales[[#This Row],[Mdl LnAcres]])*Sales[[#This Row],[Det/Nbhd Adj]],-2)</f>
        <v>28300</v>
      </c>
      <c r="CW120">
        <f>Sales[[#This Row],[Adjusted Impr Total]]+Sales[[#This Row],[Adjusted Land Total]]</f>
        <v>320700</v>
      </c>
      <c r="CX120" s="15">
        <f>IFERROR((Sales[[#This Row],[Adjusted Impr Total]]-Sales[[#This Row],[24Bldg]])/Sales[[#This Row],[24Bldg]],0)</f>
        <v>0.14891944990176817</v>
      </c>
      <c r="CY120" s="15">
        <f>(Sales[[#This Row],[Adjusted Land Total]]-Sales[[#This Row],[24Lnd]])/Sales[[#This Row],[24Lnd]]</f>
        <v>-0.41528925619834711</v>
      </c>
      <c r="CZ120" s="15">
        <f>(Sales[[#This Row],[Adjusted Total]]-Sales[[#This Row],[24Final]])/Sales[[#This Row],[24Final]]</f>
        <v>5.8765269065698247E-2</v>
      </c>
      <c r="DA120" s="15">
        <f>(Sales[[#This Row],[Adjusted Total]]+Sales[[#This Row],[Days Prior Total]])/Sales[[#This Row],[Price]]</f>
        <v>1.0569047388008517</v>
      </c>
    </row>
    <row r="121" spans="1:105" x14ac:dyDescent="0.3">
      <c r="A121">
        <v>2025</v>
      </c>
      <c r="B121">
        <v>18132213001</v>
      </c>
      <c r="C121">
        <v>-1.7147984280919266</v>
      </c>
      <c r="D121">
        <v>0.18</v>
      </c>
      <c r="E121">
        <v>7968</v>
      </c>
      <c r="F121">
        <v>6</v>
      </c>
      <c r="G121" t="s">
        <v>126</v>
      </c>
      <c r="H121">
        <v>3033</v>
      </c>
      <c r="I121" t="s">
        <v>349</v>
      </c>
      <c r="J121" t="s">
        <v>30</v>
      </c>
      <c r="K121">
        <v>11</v>
      </c>
      <c r="L121">
        <v>259</v>
      </c>
      <c r="M121" t="s">
        <v>242</v>
      </c>
      <c r="N121" t="s">
        <v>351</v>
      </c>
      <c r="O121" t="s">
        <v>303</v>
      </c>
      <c r="P121">
        <v>80</v>
      </c>
      <c r="Q121">
        <v>1950</v>
      </c>
      <c r="R121">
        <v>1973</v>
      </c>
      <c r="S121">
        <v>74</v>
      </c>
      <c r="T121">
        <v>51</v>
      </c>
      <c r="U121">
        <v>1</v>
      </c>
      <c r="V121">
        <v>1016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1016</v>
      </c>
      <c r="AC121">
        <v>1500</v>
      </c>
      <c r="AD121">
        <v>1</v>
      </c>
      <c r="AF121" t="s">
        <v>383</v>
      </c>
      <c r="AG121" t="s">
        <v>148</v>
      </c>
      <c r="AH121" t="s">
        <v>450</v>
      </c>
      <c r="AI121">
        <v>0</v>
      </c>
      <c r="AJ121">
        <v>1</v>
      </c>
      <c r="AK121">
        <v>0</v>
      </c>
      <c r="AL121">
        <v>0</v>
      </c>
      <c r="AM121">
        <v>0</v>
      </c>
      <c r="AN121">
        <v>5</v>
      </c>
      <c r="AO121">
        <v>200</v>
      </c>
      <c r="AP121">
        <v>0</v>
      </c>
      <c r="AQ121">
        <v>0</v>
      </c>
      <c r="AR121">
        <v>0</v>
      </c>
      <c r="AS121">
        <v>200</v>
      </c>
      <c r="AT121">
        <v>0</v>
      </c>
      <c r="AU121">
        <v>100</v>
      </c>
      <c r="AV121">
        <v>100</v>
      </c>
      <c r="AW121">
        <v>161973</v>
      </c>
      <c r="AX121">
        <v>126339</v>
      </c>
      <c r="AY121">
        <v>595</v>
      </c>
      <c r="AZ121">
        <v>365</v>
      </c>
      <c r="BA121">
        <v>230</v>
      </c>
      <c r="BB121">
        <v>0</v>
      </c>
      <c r="BC121" s="3">
        <v>44697</v>
      </c>
      <c r="BD121" t="s">
        <v>278</v>
      </c>
      <c r="BE121">
        <v>265000</v>
      </c>
      <c r="BF121">
        <v>265000</v>
      </c>
      <c r="BG121" t="s">
        <v>294</v>
      </c>
      <c r="BH121">
        <v>30</v>
      </c>
      <c r="BI121" t="s">
        <v>65</v>
      </c>
      <c r="BJ121" t="s">
        <v>450</v>
      </c>
      <c r="BK121">
        <v>283100</v>
      </c>
      <c r="BL121">
        <v>54700</v>
      </c>
      <c r="BM121">
        <v>228400</v>
      </c>
      <c r="BN121">
        <v>0</v>
      </c>
      <c r="BO121">
        <v>1.0683018867924527</v>
      </c>
      <c r="BP121">
        <v>289550.39777116635</v>
      </c>
      <c r="BQ121">
        <v>312663.01003765594</v>
      </c>
      <c r="BR121" s="12">
        <f>(Sales[[#This Row],[DP1]]*Lookups!$B$59)+(Sales[[#This Row],[DP2]]*Lookups!$B$60)+(Sales[[#This Row],[DP3]]*Lookups!$B$61)</f>
        <v>-23112.612268090001</v>
      </c>
      <c r="BS121" s="12">
        <f>Lookups!$B$56*0</f>
        <v>0</v>
      </c>
      <c r="BT121" s="12">
        <f>Lookups!$B$56*1</f>
        <v>89850.625589999996</v>
      </c>
      <c r="BU121" s="12">
        <f>Lookups!$B$57*Sales[[#This Row],[LnAcres]]</f>
        <v>-54281.285314520763</v>
      </c>
      <c r="BV121" s="12">
        <f>VLOOKUP(Sales[[#This Row],[Qlty]],Lookups!$A$62:$E$75,2,FALSE)</f>
        <v>21557.329055999999</v>
      </c>
      <c r="BW121" s="12">
        <f>VLOOKUP(Sales[[#This Row],[Cnd]],Lookups!$A$76:$E$84,2,FALSE)</f>
        <v>197752.34721000001</v>
      </c>
      <c r="BX121" s="12">
        <f>Sales[[#This Row],[EffAge]]*Lookups!$B$85</f>
        <v>-11375.3256255</v>
      </c>
      <c r="BY121" s="12">
        <f>Sales[[#This Row],[MainFn]]*Lookups!$B$86</f>
        <v>50199.208595032003</v>
      </c>
      <c r="BZ121" s="12">
        <f>Sales[[#This Row],[UpprFn]]*Lookups!$B$87</f>
        <v>0</v>
      </c>
      <c r="CA121" s="12">
        <f>Sales[[#This Row],[AddFn]]*Lookups!$B$88</f>
        <v>0</v>
      </c>
      <c r="CB121" s="12">
        <f>Sales[[#This Row],[Bsmt]]*Lookups!$B$89</f>
        <v>0</v>
      </c>
      <c r="CC121" s="12">
        <f>Sales[[#This Row],[Fixtures]]*Lookups!$B$90</f>
        <v>18960.110526</v>
      </c>
      <c r="CD121" s="12">
        <f>Sales[[#This Row],[WdDeck]]*Lookups!$B$91</f>
        <v>0</v>
      </c>
      <c r="CE121" s="12">
        <f>SUM(Sales[[#This Row],[Days Prior Total]:[Mdl WdDeck]])</f>
        <v>289550.39776892122</v>
      </c>
      <c r="CF121" s="12">
        <f>ROUND(Sales[[#This Row],[25Det]],-2)</f>
        <v>0</v>
      </c>
      <c r="CG121" s="12">
        <f>ROUND(SUM(Sales[[#This Row],[Mdl Qlty]:[Mdl WdDeck]])+Sales[[#This Row],[Mdl Res Intercept]]+Sales[[#This Row],[Days Prior Total]],-2)</f>
        <v>254000</v>
      </c>
      <c r="CH121" s="12">
        <f>ROUND(Sales[[#This Row],[Mdl Land Intercept]]+Sales[[#This Row],[Mdl LnAcres]],-2)</f>
        <v>35600</v>
      </c>
      <c r="CI121" s="12">
        <f>Sales[[#This Row],[Unadj Res Value]]+Sales[[#This Row],[Unadj Det Value]]+Sales[[#This Row],[Unadj Land Value]]</f>
        <v>289600</v>
      </c>
      <c r="CJ121" s="13">
        <f>Sales[[#This Row],[Unadj Total Value]]/Sales[[#This Row],[Price]]</f>
        <v>1.0928301886792453</v>
      </c>
      <c r="CK121" s="13">
        <f>(Sales[[#This Row],[Unadj Total Value]]-Sales[[#This Row],[24Final]])/Sales[[#This Row],[24Final]]</f>
        <v>2.2960084775697633E-2</v>
      </c>
      <c r="CL121">
        <f>VLOOKUP(Sales[[#This Row],[TNbhd]],Lookups!$Q$2:$T$4,4,FALSE)</f>
        <v>0.99970000000000003</v>
      </c>
      <c r="CM121">
        <f>VLOOKUP(Sales[[#This Row],[Qlty]],Lookups!$O$7:$R$21,4,FALSE)</f>
        <v>1.0067999999999999</v>
      </c>
      <c r="CN121">
        <f>VLOOKUP(Sales[[#This Row],[Cnd]],Lookups!$T$7:$W$16,4,FALSE)</f>
        <v>0.99650000000000005</v>
      </c>
      <c r="CO121">
        <f>VLOOKUP(Sales[[#This Row],[LivArea Range]],Lookups!$T$25:$W$37,4,FALSE)</f>
        <v>1.0157</v>
      </c>
      <c r="CP121">
        <f>VLOOKUP(Sales[[#This Row],[Decade]],Lookups!$O$25:$R$42,4,FALSE)</f>
        <v>0.995</v>
      </c>
      <c r="CQ121">
        <f>Sales[[#This Row],[Nbhd Adj]]*0.95</f>
        <v>0.94971499999999998</v>
      </c>
      <c r="CR121">
        <f>Sales[[#This Row],[Nbhd Adj]]*Sales[[#This Row],[Quality Adj]]*Sales[[#This Row],[Condition Adj]]*Sales[[#This Row],[Living Area Adj]]*Sales[[#This Row],[Decade Adj]]*0.95</f>
        <v>0.96294690248840986</v>
      </c>
      <c r="CS121">
        <f>ROUND(SUM(Sales[[#This Row],[Mdl Qlty]:[Mdl WdDeck]])+Sales[[#This Row],[Mdl Res Intercept]]*Sales[[#This Row],[Res Adj ]],-2)</f>
        <v>277100</v>
      </c>
      <c r="CT121">
        <f>ROUND(Sales[[#This Row],[25Det]]*Sales[[#This Row],[Det/Nbhd Adj]],-2)</f>
        <v>0</v>
      </c>
      <c r="CU121">
        <f>Sales[[#This Row],[Adjusted Res]]+Sales[[#This Row],[Adj Det ]]</f>
        <v>277100</v>
      </c>
      <c r="CV121">
        <f>ROUND((Sales[[#This Row],[Mdl Land Intercept]]+Sales[[#This Row],[Mdl LnAcres]])*Sales[[#This Row],[Det/Nbhd Adj]],-2)</f>
        <v>33800</v>
      </c>
      <c r="CW121">
        <f>Sales[[#This Row],[Adjusted Impr Total]]+Sales[[#This Row],[Adjusted Land Total]]</f>
        <v>310900</v>
      </c>
      <c r="CX121" s="15">
        <f>IFERROR((Sales[[#This Row],[Adjusted Impr Total]]-Sales[[#This Row],[24Bldg]])/Sales[[#This Row],[24Bldg]],0)</f>
        <v>0.21322241681260945</v>
      </c>
      <c r="CY121" s="15">
        <f>(Sales[[#This Row],[Adjusted Land Total]]-Sales[[#This Row],[24Lnd]])/Sales[[#This Row],[24Lnd]]</f>
        <v>-0.38208409506398539</v>
      </c>
      <c r="CZ121" s="15">
        <f>(Sales[[#This Row],[Adjusted Total]]-Sales[[#This Row],[24Final]])/Sales[[#This Row],[24Final]]</f>
        <v>9.8198516425291413E-2</v>
      </c>
      <c r="DA121" s="15">
        <f>(Sales[[#This Row],[Adjusted Total]]+Sales[[#This Row],[Days Prior Total]])/Sales[[#This Row],[Price]]</f>
        <v>1.0859901423845659</v>
      </c>
    </row>
    <row r="122" spans="1:105" x14ac:dyDescent="0.3">
      <c r="A122">
        <v>2025</v>
      </c>
      <c r="B122">
        <v>18132322410</v>
      </c>
      <c r="C122">
        <v>-1.2378743560016174</v>
      </c>
      <c r="D122">
        <v>0.28999999999999998</v>
      </c>
      <c r="E122">
        <v>0</v>
      </c>
      <c r="F122">
        <v>6</v>
      </c>
      <c r="G122" t="s">
        <v>126</v>
      </c>
      <c r="H122">
        <v>3033</v>
      </c>
      <c r="I122" t="s">
        <v>349</v>
      </c>
      <c r="J122" t="s">
        <v>30</v>
      </c>
      <c r="K122">
        <v>11</v>
      </c>
      <c r="L122">
        <v>259</v>
      </c>
      <c r="M122" t="s">
        <v>147</v>
      </c>
      <c r="N122" t="s">
        <v>351</v>
      </c>
      <c r="O122" t="s">
        <v>323</v>
      </c>
      <c r="P122">
        <v>80</v>
      </c>
      <c r="Q122">
        <v>1950</v>
      </c>
      <c r="R122">
        <v>1973</v>
      </c>
      <c r="S122">
        <v>74</v>
      </c>
      <c r="T122">
        <v>51</v>
      </c>
      <c r="U122">
        <v>2</v>
      </c>
      <c r="V122">
        <v>952</v>
      </c>
      <c r="W122">
        <v>474</v>
      </c>
      <c r="X122">
        <v>0</v>
      </c>
      <c r="Y122">
        <v>280</v>
      </c>
      <c r="Z122">
        <v>280</v>
      </c>
      <c r="AA122">
        <v>0</v>
      </c>
      <c r="AB122">
        <v>1426</v>
      </c>
      <c r="AC122">
        <v>1500</v>
      </c>
      <c r="AD122">
        <v>1</v>
      </c>
      <c r="AF122" t="s">
        <v>383</v>
      </c>
      <c r="AG122" t="s">
        <v>382</v>
      </c>
      <c r="AI122">
        <v>0</v>
      </c>
      <c r="AJ122">
        <v>0</v>
      </c>
      <c r="AK122">
        <v>0</v>
      </c>
      <c r="AL122">
        <v>1</v>
      </c>
      <c r="AM122">
        <v>0</v>
      </c>
      <c r="AN122">
        <v>8</v>
      </c>
      <c r="AO122">
        <v>700</v>
      </c>
      <c r="AP122">
        <v>0</v>
      </c>
      <c r="AQ122">
        <v>0</v>
      </c>
      <c r="AR122">
        <v>0</v>
      </c>
      <c r="AS122">
        <v>408</v>
      </c>
      <c r="AT122">
        <v>408</v>
      </c>
      <c r="AU122">
        <v>100</v>
      </c>
      <c r="AV122">
        <v>100</v>
      </c>
      <c r="AW122">
        <v>237377</v>
      </c>
      <c r="AX122">
        <v>166164</v>
      </c>
      <c r="AY122">
        <v>902</v>
      </c>
      <c r="AZ122">
        <v>365</v>
      </c>
      <c r="BA122">
        <v>365</v>
      </c>
      <c r="BB122">
        <v>172</v>
      </c>
      <c r="BC122" s="3">
        <v>44390</v>
      </c>
      <c r="BD122" t="s">
        <v>246</v>
      </c>
      <c r="BE122">
        <v>257500</v>
      </c>
      <c r="BF122">
        <v>257500</v>
      </c>
      <c r="BG122" t="s">
        <v>294</v>
      </c>
      <c r="BH122">
        <v>30</v>
      </c>
      <c r="BI122" t="s">
        <v>65</v>
      </c>
      <c r="BJ122" t="s">
        <v>450</v>
      </c>
      <c r="BK122">
        <v>314300</v>
      </c>
      <c r="BL122">
        <v>71400</v>
      </c>
      <c r="BM122">
        <v>242900</v>
      </c>
      <c r="BN122">
        <v>0</v>
      </c>
      <c r="BO122">
        <v>1.2205825242718447</v>
      </c>
      <c r="BP122">
        <v>283502.80209613492</v>
      </c>
      <c r="BQ122">
        <v>328065.32080404263</v>
      </c>
      <c r="BR122" s="12">
        <f>(Sales[[#This Row],[DP1]]*Lookups!$B$59)+(Sales[[#This Row],[DP2]]*Lookups!$B$60)+(Sales[[#This Row],[DP3]]*Lookups!$B$61)</f>
        <v>-44562.518713869998</v>
      </c>
      <c r="BS122" s="12">
        <f>Lookups!$B$56*0</f>
        <v>0</v>
      </c>
      <c r="BT122" s="12">
        <f>Lookups!$B$56*1</f>
        <v>89850.625589999996</v>
      </c>
      <c r="BU122" s="12">
        <f>Lookups!$B$57*Sales[[#This Row],[LnAcres]]</f>
        <v>-39184.437074869042</v>
      </c>
      <c r="BV122" s="12">
        <f>VLOOKUP(Sales[[#This Row],[Qlty]],Lookups!$A$62:$E$75,2,FALSE)</f>
        <v>21557.329055999999</v>
      </c>
      <c r="BW122" s="12">
        <f>VLOOKUP(Sales[[#This Row],[Cnd]],Lookups!$A$76:$E$84,2,FALSE)</f>
        <v>160472.20319</v>
      </c>
      <c r="BX122" s="12">
        <f>Sales[[#This Row],[EffAge]]*Lookups!$B$85</f>
        <v>-11375.3256255</v>
      </c>
      <c r="BY122" s="12">
        <f>Sales[[#This Row],[MainFn]]*Lookups!$B$86</f>
        <v>47037.053722903998</v>
      </c>
      <c r="BZ122" s="12">
        <f>Sales[[#This Row],[UpprFn]]*Lookups!$B$87</f>
        <v>21228.764436114001</v>
      </c>
      <c r="CA122" s="12">
        <f>Sales[[#This Row],[AddFn]]*Lookups!$B$88</f>
        <v>0</v>
      </c>
      <c r="CB122" s="12">
        <f>Sales[[#This Row],[Bsmt]]*Lookups!$B$89</f>
        <v>8142.9306691599995</v>
      </c>
      <c r="CC122" s="12">
        <f>Sales[[#This Row],[Fixtures]]*Lookups!$B$90</f>
        <v>30336.176841600001</v>
      </c>
      <c r="CD122" s="12">
        <f>Sales[[#This Row],[WdDeck]]*Lookups!$B$91</f>
        <v>0</v>
      </c>
      <c r="CE122" s="12">
        <f>SUM(Sales[[#This Row],[Days Prior Total]:[Mdl WdDeck]])</f>
        <v>283502.80209153896</v>
      </c>
      <c r="CF122" s="12">
        <f>ROUND(Sales[[#This Row],[25Det]],-2)</f>
        <v>0</v>
      </c>
      <c r="CG122" s="12">
        <f>ROUND(SUM(Sales[[#This Row],[Mdl Qlty]:[Mdl WdDeck]])+Sales[[#This Row],[Mdl Res Intercept]]+Sales[[#This Row],[Days Prior Total]],-2)</f>
        <v>232800</v>
      </c>
      <c r="CH122" s="12">
        <f>ROUND(Sales[[#This Row],[Mdl Land Intercept]]+Sales[[#This Row],[Mdl LnAcres]],-2)</f>
        <v>50700</v>
      </c>
      <c r="CI122" s="12">
        <f>Sales[[#This Row],[Unadj Res Value]]+Sales[[#This Row],[Unadj Det Value]]+Sales[[#This Row],[Unadj Land Value]]</f>
        <v>283500</v>
      </c>
      <c r="CJ122" s="13">
        <f>Sales[[#This Row],[Unadj Total Value]]/Sales[[#This Row],[Price]]</f>
        <v>1.1009708737864077</v>
      </c>
      <c r="CK122" s="13">
        <f>(Sales[[#This Row],[Unadj Total Value]]-Sales[[#This Row],[24Final]])/Sales[[#This Row],[24Final]]</f>
        <v>-9.7995545657015584E-2</v>
      </c>
      <c r="CL122">
        <f>VLOOKUP(Sales[[#This Row],[TNbhd]],Lookups!$Q$2:$T$4,4,FALSE)</f>
        <v>0.99970000000000003</v>
      </c>
      <c r="CM122">
        <f>VLOOKUP(Sales[[#This Row],[Qlty]],Lookups!$O$7:$R$21,4,FALSE)</f>
        <v>1.0067999999999999</v>
      </c>
      <c r="CN122">
        <f>VLOOKUP(Sales[[#This Row],[Cnd]],Lookups!$T$7:$W$16,4,FALSE)</f>
        <v>0.99729999999999996</v>
      </c>
      <c r="CO122">
        <f>VLOOKUP(Sales[[#This Row],[LivArea Range]],Lookups!$T$25:$W$37,4,FALSE)</f>
        <v>1.0157</v>
      </c>
      <c r="CP122">
        <f>VLOOKUP(Sales[[#This Row],[Decade]],Lookups!$O$25:$R$42,4,FALSE)</f>
        <v>0.995</v>
      </c>
      <c r="CQ122">
        <f>Sales[[#This Row],[Nbhd Adj]]*0.95</f>
        <v>0.94971499999999998</v>
      </c>
      <c r="CR122">
        <f>Sales[[#This Row],[Nbhd Adj]]*Sales[[#This Row],[Quality Adj]]*Sales[[#This Row],[Condition Adj]]*Sales[[#This Row],[Living Area Adj]]*Sales[[#This Row],[Decade Adj]]*0.95</f>
        <v>0.96371996573175212</v>
      </c>
      <c r="CS122">
        <f>ROUND(SUM(Sales[[#This Row],[Mdl Qlty]:[Mdl WdDeck]])+Sales[[#This Row],[Mdl Res Intercept]]*Sales[[#This Row],[Res Adj ]],-2)</f>
        <v>277400</v>
      </c>
      <c r="CT122">
        <f>ROUND(Sales[[#This Row],[25Det]]*Sales[[#This Row],[Det/Nbhd Adj]],-2)</f>
        <v>0</v>
      </c>
      <c r="CU122">
        <f>Sales[[#This Row],[Adjusted Res]]+Sales[[#This Row],[Adj Det ]]</f>
        <v>277400</v>
      </c>
      <c r="CV122">
        <f>ROUND((Sales[[#This Row],[Mdl Land Intercept]]+Sales[[#This Row],[Mdl LnAcres]])*Sales[[#This Row],[Det/Nbhd Adj]],-2)</f>
        <v>48100</v>
      </c>
      <c r="CW122">
        <f>Sales[[#This Row],[Adjusted Impr Total]]+Sales[[#This Row],[Adjusted Land Total]]</f>
        <v>325500</v>
      </c>
      <c r="CX122" s="15">
        <f>IFERROR((Sales[[#This Row],[Adjusted Impr Total]]-Sales[[#This Row],[24Bldg]])/Sales[[#This Row],[24Bldg]],0)</f>
        <v>0.14203375874845617</v>
      </c>
      <c r="CY122" s="15">
        <f>(Sales[[#This Row],[Adjusted Land Total]]-Sales[[#This Row],[24Lnd]])/Sales[[#This Row],[24Lnd]]</f>
        <v>-0.32633053221288516</v>
      </c>
      <c r="CZ122" s="15">
        <f>(Sales[[#This Row],[Adjusted Total]]-Sales[[#This Row],[24Final]])/Sales[[#This Row],[24Final]]</f>
        <v>3.5634743875278395E-2</v>
      </c>
      <c r="DA122" s="15">
        <f>(Sales[[#This Row],[Adjusted Total]]+Sales[[#This Row],[Days Prior Total]])/Sales[[#This Row],[Price]]</f>
        <v>1.091019344800505</v>
      </c>
    </row>
    <row r="123" spans="1:105" x14ac:dyDescent="0.3">
      <c r="A123">
        <v>2025</v>
      </c>
      <c r="B123">
        <v>18132243446</v>
      </c>
      <c r="C123">
        <v>-1.2039728043259361</v>
      </c>
      <c r="D123">
        <v>0.3</v>
      </c>
      <c r="E123">
        <v>13027</v>
      </c>
      <c r="F123">
        <v>6</v>
      </c>
      <c r="G123" t="s">
        <v>126</v>
      </c>
      <c r="H123">
        <v>3093</v>
      </c>
      <c r="I123" t="s">
        <v>349</v>
      </c>
      <c r="J123" t="s">
        <v>30</v>
      </c>
      <c r="K123">
        <v>11</v>
      </c>
      <c r="L123">
        <v>259</v>
      </c>
      <c r="M123" t="s">
        <v>241</v>
      </c>
      <c r="N123" t="s">
        <v>148</v>
      </c>
      <c r="O123" t="s">
        <v>303</v>
      </c>
      <c r="P123">
        <v>80</v>
      </c>
      <c r="Q123">
        <v>1950</v>
      </c>
      <c r="R123">
        <v>1973</v>
      </c>
      <c r="S123">
        <v>74</v>
      </c>
      <c r="T123">
        <v>51</v>
      </c>
      <c r="U123">
        <v>1</v>
      </c>
      <c r="V123">
        <v>1804</v>
      </c>
      <c r="W123">
        <v>0</v>
      </c>
      <c r="X123">
        <v>0</v>
      </c>
      <c r="Y123">
        <v>1668</v>
      </c>
      <c r="Z123">
        <v>0</v>
      </c>
      <c r="AA123">
        <v>1668</v>
      </c>
      <c r="AB123">
        <v>3472</v>
      </c>
      <c r="AC123">
        <v>3500</v>
      </c>
      <c r="AD123">
        <v>2</v>
      </c>
      <c r="AF123" t="s">
        <v>208</v>
      </c>
      <c r="AG123" t="s">
        <v>382</v>
      </c>
      <c r="AI123">
        <v>0</v>
      </c>
      <c r="AJ123">
        <v>1</v>
      </c>
      <c r="AK123">
        <v>0</v>
      </c>
      <c r="AL123">
        <v>1</v>
      </c>
      <c r="AM123">
        <v>0</v>
      </c>
      <c r="AN123">
        <v>14</v>
      </c>
      <c r="AO123">
        <v>420</v>
      </c>
      <c r="AP123">
        <v>0</v>
      </c>
      <c r="AQ123">
        <v>0</v>
      </c>
      <c r="AR123">
        <v>272</v>
      </c>
      <c r="AS123">
        <v>240</v>
      </c>
      <c r="AT123">
        <v>0</v>
      </c>
      <c r="AU123">
        <v>100</v>
      </c>
      <c r="AV123">
        <v>100</v>
      </c>
      <c r="AW123">
        <v>531050</v>
      </c>
      <c r="AX123">
        <v>414219</v>
      </c>
      <c r="AY123">
        <v>329</v>
      </c>
      <c r="AZ123">
        <v>329</v>
      </c>
      <c r="BA123">
        <v>0</v>
      </c>
      <c r="BB123">
        <v>0</v>
      </c>
      <c r="BC123" s="3">
        <v>44963</v>
      </c>
      <c r="BD123" t="s">
        <v>373</v>
      </c>
      <c r="BE123">
        <v>428000</v>
      </c>
      <c r="BF123">
        <v>407893</v>
      </c>
      <c r="BG123" t="s">
        <v>294</v>
      </c>
      <c r="BH123">
        <v>30</v>
      </c>
      <c r="BI123" t="s">
        <v>65</v>
      </c>
      <c r="BJ123" t="s">
        <v>450</v>
      </c>
      <c r="BK123">
        <v>478500</v>
      </c>
      <c r="BL123">
        <v>72500</v>
      </c>
      <c r="BM123">
        <v>406000</v>
      </c>
      <c r="BN123">
        <v>20107</v>
      </c>
      <c r="BO123">
        <v>1.1179906542056075</v>
      </c>
      <c r="BP123">
        <v>458810.27347034292</v>
      </c>
      <c r="BQ123">
        <v>482023.92014048336</v>
      </c>
      <c r="BR123" s="12">
        <f>(Sales[[#This Row],[DP1]]*Lookups!$B$59)+(Sales[[#This Row],[DP2]]*Lookups!$B$60)+(Sales[[#This Row],[DP3]]*Lookups!$B$61)</f>
        <v>-23213.646671530001</v>
      </c>
      <c r="BS123" s="12">
        <f>Lookups!$B$56*0</f>
        <v>0</v>
      </c>
      <c r="BT123" s="12">
        <f>Lookups!$B$56*1</f>
        <v>89850.625589999996</v>
      </c>
      <c r="BU123" s="12">
        <f>Lookups!$B$57*Sales[[#This Row],[LnAcres]]</f>
        <v>-38111.29648355169</v>
      </c>
      <c r="BV123" s="12">
        <f>VLOOKUP(Sales[[#This Row],[Qlty]],Lookups!$A$62:$E$75,2,FALSE)</f>
        <v>44121.038090000002</v>
      </c>
      <c r="BW123" s="12">
        <f>VLOOKUP(Sales[[#This Row],[Cnd]],Lookups!$A$76:$E$84,2,FALSE)</f>
        <v>197752.34721000001</v>
      </c>
      <c r="BX123" s="12">
        <f>Sales[[#This Row],[EffAge]]*Lookups!$B$85</f>
        <v>-11375.3256255</v>
      </c>
      <c r="BY123" s="12">
        <f>Sales[[#This Row],[MainFn]]*Lookups!$B$86</f>
        <v>89133.240458108005</v>
      </c>
      <c r="BZ123" s="12">
        <f>Sales[[#This Row],[UpprFn]]*Lookups!$B$87</f>
        <v>0</v>
      </c>
      <c r="CA123" s="12">
        <f>Sales[[#This Row],[AddFn]]*Lookups!$B$88</f>
        <v>0</v>
      </c>
      <c r="CB123" s="12">
        <f>Sales[[#This Row],[Bsmt]]*Lookups!$B$89</f>
        <v>48508.601271995998</v>
      </c>
      <c r="CC123" s="12">
        <f>Sales[[#This Row],[Fixtures]]*Lookups!$B$90</f>
        <v>53088.3094728</v>
      </c>
      <c r="CD123" s="12">
        <f>Sales[[#This Row],[WdDeck]]*Lookups!$B$91</f>
        <v>9056.3801550720018</v>
      </c>
      <c r="CE123" s="12">
        <f>SUM(Sales[[#This Row],[Days Prior Total]:[Mdl WdDeck]])</f>
        <v>458810.27346739435</v>
      </c>
      <c r="CF123" s="12">
        <f>ROUND(Sales[[#This Row],[25Det]],-2)</f>
        <v>20100</v>
      </c>
      <c r="CG123" s="12">
        <f>ROUND(SUM(Sales[[#This Row],[Mdl Qlty]:[Mdl WdDeck]])+Sales[[#This Row],[Mdl Res Intercept]]+Sales[[#This Row],[Days Prior Total]],-2)</f>
        <v>407100</v>
      </c>
      <c r="CH123" s="12">
        <f>ROUND(Sales[[#This Row],[Mdl Land Intercept]]+Sales[[#This Row],[Mdl LnAcres]],-2)</f>
        <v>51700</v>
      </c>
      <c r="CI123" s="12">
        <f>Sales[[#This Row],[Unadj Res Value]]+Sales[[#This Row],[Unadj Det Value]]+Sales[[#This Row],[Unadj Land Value]]</f>
        <v>478900</v>
      </c>
      <c r="CJ123" s="13">
        <f>Sales[[#This Row],[Unadj Total Value]]/Sales[[#This Row],[Price]]</f>
        <v>1.1189252336448599</v>
      </c>
      <c r="CK123" s="13">
        <f>(Sales[[#This Row],[Unadj Total Value]]-Sales[[#This Row],[24Final]])/Sales[[#This Row],[24Final]]</f>
        <v>8.3594566353187045E-4</v>
      </c>
      <c r="CL123">
        <f>VLOOKUP(Sales[[#This Row],[TNbhd]],Lookups!$Q$2:$T$4,4,FALSE)</f>
        <v>0.99970000000000003</v>
      </c>
      <c r="CM123">
        <f>VLOOKUP(Sales[[#This Row],[Qlty]],Lookups!$O$7:$R$21,4,FALSE)</f>
        <v>0.98050000000000004</v>
      </c>
      <c r="CN123">
        <f>VLOOKUP(Sales[[#This Row],[Cnd]],Lookups!$T$7:$W$16,4,FALSE)</f>
        <v>0.99650000000000005</v>
      </c>
      <c r="CO123">
        <f>VLOOKUP(Sales[[#This Row],[LivArea Range]],Lookups!$T$25:$W$37,4,FALSE)</f>
        <v>1.0126999999999999</v>
      </c>
      <c r="CP123">
        <f>VLOOKUP(Sales[[#This Row],[Decade]],Lookups!$O$25:$R$42,4,FALSE)</f>
        <v>0.995</v>
      </c>
      <c r="CQ123">
        <f>Sales[[#This Row],[Nbhd Adj]]*0.95</f>
        <v>0.94971499999999998</v>
      </c>
      <c r="CR123">
        <f>Sales[[#This Row],[Nbhd Adj]]*Sales[[#This Row],[Quality Adj]]*Sales[[#This Row],[Condition Adj]]*Sales[[#This Row],[Living Area Adj]]*Sales[[#This Row],[Decade Adj]]*0.95</f>
        <v>0.93502255916153676</v>
      </c>
      <c r="CS123">
        <f>ROUND(SUM(Sales[[#This Row],[Mdl Qlty]:[Mdl WdDeck]])+Sales[[#This Row],[Mdl Res Intercept]]*Sales[[#This Row],[Res Adj ]],-2)</f>
        <v>430300</v>
      </c>
      <c r="CT123">
        <f>ROUND(Sales[[#This Row],[25Det]]*Sales[[#This Row],[Det/Nbhd Adj]],-2)</f>
        <v>19100</v>
      </c>
      <c r="CU123">
        <f>Sales[[#This Row],[Adjusted Res]]+Sales[[#This Row],[Adj Det ]]</f>
        <v>449400</v>
      </c>
      <c r="CV123">
        <f>ROUND((Sales[[#This Row],[Mdl Land Intercept]]+Sales[[#This Row],[Mdl LnAcres]])*Sales[[#This Row],[Det/Nbhd Adj]],-2)</f>
        <v>49100</v>
      </c>
      <c r="CW123">
        <f>Sales[[#This Row],[Adjusted Impr Total]]+Sales[[#This Row],[Adjusted Land Total]]</f>
        <v>498500</v>
      </c>
      <c r="CX123" s="15">
        <f>IFERROR((Sales[[#This Row],[Adjusted Impr Total]]-Sales[[#This Row],[24Bldg]])/Sales[[#This Row],[24Bldg]],0)</f>
        <v>0.10689655172413794</v>
      </c>
      <c r="CY123" s="15">
        <f>(Sales[[#This Row],[Adjusted Land Total]]-Sales[[#This Row],[24Lnd]])/Sales[[#This Row],[24Lnd]]</f>
        <v>-0.32275862068965516</v>
      </c>
      <c r="CZ123" s="15">
        <f>(Sales[[#This Row],[Adjusted Total]]-Sales[[#This Row],[24Final]])/Sales[[#This Row],[24Final]]</f>
        <v>4.1797283176593522E-2</v>
      </c>
      <c r="DA123" s="15">
        <f>(Sales[[#This Row],[Adjusted Total]]+Sales[[#This Row],[Days Prior Total]])/Sales[[#This Row],[Price]]</f>
        <v>1.1104821339450235</v>
      </c>
    </row>
    <row r="124" spans="1:105" x14ac:dyDescent="0.3">
      <c r="A124">
        <v>2025</v>
      </c>
      <c r="B124">
        <v>18132344402</v>
      </c>
      <c r="C124">
        <v>-1.5141277326297755</v>
      </c>
      <c r="D124">
        <v>0.22</v>
      </c>
      <c r="E124">
        <v>0</v>
      </c>
      <c r="F124">
        <v>6</v>
      </c>
      <c r="G124" t="s">
        <v>126</v>
      </c>
      <c r="H124">
        <v>3093</v>
      </c>
      <c r="I124" t="s">
        <v>349</v>
      </c>
      <c r="J124" t="s">
        <v>30</v>
      </c>
      <c r="K124">
        <v>11</v>
      </c>
      <c r="L124">
        <v>259</v>
      </c>
      <c r="M124" t="s">
        <v>241</v>
      </c>
      <c r="N124" t="s">
        <v>95</v>
      </c>
      <c r="O124" t="s">
        <v>323</v>
      </c>
      <c r="P124">
        <v>80</v>
      </c>
      <c r="Q124">
        <v>1950</v>
      </c>
      <c r="R124">
        <v>1973</v>
      </c>
      <c r="S124">
        <v>74</v>
      </c>
      <c r="T124">
        <v>51</v>
      </c>
      <c r="U124">
        <v>1</v>
      </c>
      <c r="V124">
        <v>1962</v>
      </c>
      <c r="W124">
        <v>0</v>
      </c>
      <c r="X124">
        <v>0</v>
      </c>
      <c r="Y124">
        <v>1962</v>
      </c>
      <c r="Z124">
        <v>1322</v>
      </c>
      <c r="AA124">
        <v>640</v>
      </c>
      <c r="AB124">
        <v>2602</v>
      </c>
      <c r="AC124">
        <v>3000</v>
      </c>
      <c r="AD124">
        <v>0</v>
      </c>
      <c r="AF124" t="s">
        <v>383</v>
      </c>
      <c r="AG124" t="s">
        <v>148</v>
      </c>
      <c r="AH124" t="s">
        <v>450</v>
      </c>
      <c r="AI124">
        <v>0</v>
      </c>
      <c r="AJ124">
        <v>2</v>
      </c>
      <c r="AK124">
        <v>0</v>
      </c>
      <c r="AL124">
        <v>1</v>
      </c>
      <c r="AM124">
        <v>1</v>
      </c>
      <c r="AN124">
        <v>11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100</v>
      </c>
      <c r="AV124">
        <v>100</v>
      </c>
      <c r="AW124">
        <v>564095</v>
      </c>
      <c r="AX124">
        <v>400507</v>
      </c>
      <c r="AY124">
        <v>976</v>
      </c>
      <c r="AZ124">
        <v>365</v>
      </c>
      <c r="BA124">
        <v>365</v>
      </c>
      <c r="BB124">
        <v>246</v>
      </c>
      <c r="BC124" s="3">
        <v>44316</v>
      </c>
      <c r="BD124" t="s">
        <v>292</v>
      </c>
      <c r="BE124">
        <v>370150</v>
      </c>
      <c r="BF124">
        <v>358351</v>
      </c>
      <c r="BG124" t="s">
        <v>294</v>
      </c>
      <c r="BH124">
        <v>30</v>
      </c>
      <c r="BI124" t="s">
        <v>65</v>
      </c>
      <c r="BJ124" t="s">
        <v>450</v>
      </c>
      <c r="BK124">
        <v>478900</v>
      </c>
      <c r="BL124">
        <v>61700</v>
      </c>
      <c r="BM124">
        <v>417200</v>
      </c>
      <c r="BN124">
        <v>11799</v>
      </c>
      <c r="BO124">
        <v>1.293799810887478</v>
      </c>
      <c r="BP124">
        <v>406539.5877292268</v>
      </c>
      <c r="BQ124">
        <v>460997.51318987273</v>
      </c>
      <c r="BR124" s="12">
        <f>(Sales[[#This Row],[DP1]]*Lookups!$B$59)+(Sales[[#This Row],[DP2]]*Lookups!$B$60)+(Sales[[#This Row],[DP3]]*Lookups!$B$61)</f>
        <v>-54457.925468470006</v>
      </c>
      <c r="BS124" s="12">
        <f>Lookups!$B$56*0</f>
        <v>0</v>
      </c>
      <c r="BT124" s="12">
        <f>Lookups!$B$56*1</f>
        <v>89850.625589999996</v>
      </c>
      <c r="BU124" s="12">
        <f>Lookups!$B$57*Sales[[#This Row],[LnAcres]]</f>
        <v>-47929.131559187132</v>
      </c>
      <c r="BV124" s="12">
        <f>VLOOKUP(Sales[[#This Row],[Qlty]],Lookups!$A$62:$E$75,2,FALSE)</f>
        <v>74268.409664999999</v>
      </c>
      <c r="BW124" s="12">
        <f>VLOOKUP(Sales[[#This Row],[Cnd]],Lookups!$A$76:$E$84,2,FALSE)</f>
        <v>160472.20319</v>
      </c>
      <c r="BX124" s="12">
        <f>Sales[[#This Row],[EffAge]]*Lookups!$B$85</f>
        <v>-11375.3256255</v>
      </c>
      <c r="BY124" s="12">
        <f>Sales[[#This Row],[MainFn]]*Lookups!$B$86</f>
        <v>96939.810298673998</v>
      </c>
      <c r="BZ124" s="12">
        <f>Sales[[#This Row],[UpprFn]]*Lookups!$B$87</f>
        <v>0</v>
      </c>
      <c r="CA124" s="12">
        <f>Sales[[#This Row],[AddFn]]*Lookups!$B$88</f>
        <v>0</v>
      </c>
      <c r="CB124" s="12">
        <f>Sales[[#This Row],[Bsmt]]*Lookups!$B$89</f>
        <v>57058.678474613997</v>
      </c>
      <c r="CC124" s="12">
        <f>Sales[[#This Row],[Fixtures]]*Lookups!$B$90</f>
        <v>41712.243157199999</v>
      </c>
      <c r="CD124" s="12">
        <f>Sales[[#This Row],[WdDeck]]*Lookups!$B$91</f>
        <v>0</v>
      </c>
      <c r="CE124" s="12">
        <f>SUM(Sales[[#This Row],[Days Prior Total]:[Mdl WdDeck]])</f>
        <v>406539.58772233082</v>
      </c>
      <c r="CF124" s="12">
        <f>ROUND(Sales[[#This Row],[25Det]],-2)</f>
        <v>11800</v>
      </c>
      <c r="CG124" s="12">
        <f>ROUND(SUM(Sales[[#This Row],[Mdl Qlty]:[Mdl WdDeck]])+Sales[[#This Row],[Mdl Res Intercept]]+Sales[[#This Row],[Days Prior Total]],-2)</f>
        <v>364600</v>
      </c>
      <c r="CH124" s="12">
        <f>ROUND(Sales[[#This Row],[Mdl Land Intercept]]+Sales[[#This Row],[Mdl LnAcres]],-2)</f>
        <v>41900</v>
      </c>
      <c r="CI124" s="12">
        <f>Sales[[#This Row],[Unadj Res Value]]+Sales[[#This Row],[Unadj Det Value]]+Sales[[#This Row],[Unadj Land Value]]</f>
        <v>418300</v>
      </c>
      <c r="CJ124" s="13">
        <f>Sales[[#This Row],[Unadj Total Value]]/Sales[[#This Row],[Price]]</f>
        <v>1.1300823990274214</v>
      </c>
      <c r="CK124" s="13">
        <f>(Sales[[#This Row],[Unadj Total Value]]-Sales[[#This Row],[24Final]])/Sales[[#This Row],[24Final]]</f>
        <v>-0.12653998747128836</v>
      </c>
      <c r="CL124">
        <f>VLOOKUP(Sales[[#This Row],[TNbhd]],Lookups!$Q$2:$T$4,4,FALSE)</f>
        <v>0.99970000000000003</v>
      </c>
      <c r="CM124">
        <f>VLOOKUP(Sales[[#This Row],[Qlty]],Lookups!$O$7:$R$21,4,FALSE)</f>
        <v>0.98380000000000001</v>
      </c>
      <c r="CN124">
        <f>VLOOKUP(Sales[[#This Row],[Cnd]],Lookups!$T$7:$W$16,4,FALSE)</f>
        <v>0.99729999999999996</v>
      </c>
      <c r="CO124">
        <f>VLOOKUP(Sales[[#This Row],[LivArea Range]],Lookups!$T$25:$W$37,4,FALSE)</f>
        <v>0.96179999999999999</v>
      </c>
      <c r="CP124">
        <f>VLOOKUP(Sales[[#This Row],[Decade]],Lookups!$O$25:$R$42,4,FALSE)</f>
        <v>0.995</v>
      </c>
      <c r="CQ124">
        <f>Sales[[#This Row],[Nbhd Adj]]*0.95</f>
        <v>0.94971499999999998</v>
      </c>
      <c r="CR124">
        <f>Sales[[#This Row],[Nbhd Adj]]*Sales[[#This Row],[Quality Adj]]*Sales[[#This Row],[Condition Adj]]*Sales[[#This Row],[Living Area Adj]]*Sales[[#This Row],[Decade Adj]]*0.95</f>
        <v>0.89173084290929039</v>
      </c>
      <c r="CS124">
        <f>ROUND(SUM(Sales[[#This Row],[Mdl Qlty]:[Mdl WdDeck]])+Sales[[#This Row],[Mdl Res Intercept]]*Sales[[#This Row],[Res Adj ]],-2)</f>
        <v>419100</v>
      </c>
      <c r="CT124">
        <f>ROUND(Sales[[#This Row],[25Det]]*Sales[[#This Row],[Det/Nbhd Adj]],-2)</f>
        <v>11200</v>
      </c>
      <c r="CU124">
        <f>Sales[[#This Row],[Adjusted Res]]+Sales[[#This Row],[Adj Det ]]</f>
        <v>430300</v>
      </c>
      <c r="CV124">
        <f>ROUND((Sales[[#This Row],[Mdl Land Intercept]]+Sales[[#This Row],[Mdl LnAcres]])*Sales[[#This Row],[Det/Nbhd Adj]],-2)</f>
        <v>39800</v>
      </c>
      <c r="CW124">
        <f>Sales[[#This Row],[Adjusted Impr Total]]+Sales[[#This Row],[Adjusted Land Total]]</f>
        <v>470100</v>
      </c>
      <c r="CX124" s="15">
        <f>IFERROR((Sales[[#This Row],[Adjusted Impr Total]]-Sales[[#This Row],[24Bldg]])/Sales[[#This Row],[24Bldg]],0)</f>
        <v>3.1399808245445832E-2</v>
      </c>
      <c r="CY124" s="15">
        <f>(Sales[[#This Row],[Adjusted Land Total]]-Sales[[#This Row],[24Lnd]])/Sales[[#This Row],[24Lnd]]</f>
        <v>-0.35494327390599678</v>
      </c>
      <c r="CZ124" s="15">
        <f>(Sales[[#This Row],[Adjusted Total]]-Sales[[#This Row],[24Final]])/Sales[[#This Row],[24Final]]</f>
        <v>-1.837544372520359E-2</v>
      </c>
      <c r="DA124" s="15">
        <f>(Sales[[#This Row],[Adjusted Total]]+Sales[[#This Row],[Days Prior Total]])/Sales[[#This Row],[Price]]</f>
        <v>1.1229017277631499</v>
      </c>
    </row>
    <row r="125" spans="1:105" x14ac:dyDescent="0.3">
      <c r="A125">
        <v>2025</v>
      </c>
      <c r="B125">
        <v>18132214480</v>
      </c>
      <c r="C125">
        <v>-1.7147984280919266</v>
      </c>
      <c r="D125">
        <v>0.18</v>
      </c>
      <c r="E125">
        <v>7853</v>
      </c>
      <c r="F125">
        <v>6</v>
      </c>
      <c r="G125" t="s">
        <v>126</v>
      </c>
      <c r="H125">
        <v>3033</v>
      </c>
      <c r="I125" t="s">
        <v>349</v>
      </c>
      <c r="J125" t="s">
        <v>30</v>
      </c>
      <c r="K125">
        <v>11</v>
      </c>
      <c r="L125">
        <v>259</v>
      </c>
      <c r="M125" t="s">
        <v>242</v>
      </c>
      <c r="N125" t="s">
        <v>302</v>
      </c>
      <c r="O125" t="s">
        <v>323</v>
      </c>
      <c r="P125">
        <v>80</v>
      </c>
      <c r="Q125">
        <v>1950</v>
      </c>
      <c r="R125">
        <v>1973</v>
      </c>
      <c r="S125">
        <v>74</v>
      </c>
      <c r="T125">
        <v>51</v>
      </c>
      <c r="U125">
        <v>1</v>
      </c>
      <c r="V125">
        <v>1388</v>
      </c>
      <c r="W125">
        <v>0</v>
      </c>
      <c r="X125">
        <v>0</v>
      </c>
      <c r="Y125">
        <v>1388</v>
      </c>
      <c r="Z125">
        <v>694</v>
      </c>
      <c r="AA125">
        <v>694</v>
      </c>
      <c r="AB125">
        <v>2082</v>
      </c>
      <c r="AC125">
        <v>2500</v>
      </c>
      <c r="AD125">
        <v>2</v>
      </c>
      <c r="AE125" t="s">
        <v>6</v>
      </c>
      <c r="AF125" t="s">
        <v>383</v>
      </c>
      <c r="AG125" t="s">
        <v>148</v>
      </c>
      <c r="AH125" t="s">
        <v>450</v>
      </c>
      <c r="AI125">
        <v>0</v>
      </c>
      <c r="AJ125">
        <v>1</v>
      </c>
      <c r="AK125">
        <v>0</v>
      </c>
      <c r="AL125">
        <v>0</v>
      </c>
      <c r="AM125">
        <v>1</v>
      </c>
      <c r="AN125">
        <v>7</v>
      </c>
      <c r="AO125">
        <v>704</v>
      </c>
      <c r="AP125">
        <v>0</v>
      </c>
      <c r="AQ125">
        <v>0</v>
      </c>
      <c r="AR125">
        <v>0</v>
      </c>
      <c r="AS125">
        <v>559</v>
      </c>
      <c r="AT125">
        <v>559</v>
      </c>
      <c r="AU125">
        <v>100</v>
      </c>
      <c r="AV125">
        <v>100</v>
      </c>
      <c r="AW125">
        <v>359567</v>
      </c>
      <c r="AX125">
        <v>251697</v>
      </c>
      <c r="AY125">
        <v>1081</v>
      </c>
      <c r="AZ125">
        <v>365</v>
      </c>
      <c r="BA125">
        <v>365</v>
      </c>
      <c r="BB125">
        <v>351</v>
      </c>
      <c r="BC125" s="3">
        <v>44211</v>
      </c>
      <c r="BD125" t="s">
        <v>283</v>
      </c>
      <c r="BE125">
        <v>248230</v>
      </c>
      <c r="BF125">
        <v>248230</v>
      </c>
      <c r="BG125" t="s">
        <v>294</v>
      </c>
      <c r="BH125">
        <v>30</v>
      </c>
      <c r="BI125" t="s">
        <v>65</v>
      </c>
      <c r="BJ125" t="s">
        <v>450</v>
      </c>
      <c r="BK125">
        <v>339700</v>
      </c>
      <c r="BL125">
        <v>54700</v>
      </c>
      <c r="BM125">
        <v>285000</v>
      </c>
      <c r="BN125">
        <v>0</v>
      </c>
      <c r="BO125">
        <v>1.3684889014220682</v>
      </c>
      <c r="BP125">
        <v>281470.66481592308</v>
      </c>
      <c r="BQ125">
        <v>349969.37012842722</v>
      </c>
      <c r="BR125" s="12">
        <f>(Sales[[#This Row],[DP1]]*Lookups!$B$59)+(Sales[[#This Row],[DP2]]*Lookups!$B$60)+(Sales[[#This Row],[DP3]]*Lookups!$B$61)</f>
        <v>-68498.705322969996</v>
      </c>
      <c r="BS125" s="12">
        <f>Lookups!$B$56*0</f>
        <v>0</v>
      </c>
      <c r="BT125" s="12">
        <f>Lookups!$B$56*1</f>
        <v>89850.625589999996</v>
      </c>
      <c r="BU125" s="12">
        <f>Lookups!$B$57*Sales[[#This Row],[LnAcres]]</f>
        <v>-54281.285314520763</v>
      </c>
      <c r="BV125" s="12">
        <f>VLOOKUP(Sales[[#This Row],[Qlty]],Lookups!$A$62:$E$75,2,FALSE)</f>
        <v>29814.093161000001</v>
      </c>
      <c r="BW125" s="12">
        <f>VLOOKUP(Sales[[#This Row],[Cnd]],Lookups!$A$76:$E$84,2,FALSE)</f>
        <v>160472.20319</v>
      </c>
      <c r="BX125" s="12">
        <f>Sales[[#This Row],[EffAge]]*Lookups!$B$85</f>
        <v>-11375.3256255</v>
      </c>
      <c r="BY125" s="12">
        <f>Sales[[#This Row],[MainFn]]*Lookups!$B$86</f>
        <v>68579.233789275997</v>
      </c>
      <c r="BZ125" s="12">
        <f>Sales[[#This Row],[UpprFn]]*Lookups!$B$87</f>
        <v>0</v>
      </c>
      <c r="CA125" s="12">
        <f>Sales[[#This Row],[AddFn]]*Lookups!$B$88</f>
        <v>0</v>
      </c>
      <c r="CB125" s="12">
        <f>Sales[[#This Row],[Bsmt]]*Lookups!$B$89</f>
        <v>40365.670602835999</v>
      </c>
      <c r="CC125" s="12">
        <f>Sales[[#This Row],[Fixtures]]*Lookups!$B$90</f>
        <v>26544.1547364</v>
      </c>
      <c r="CD125" s="12">
        <f>Sales[[#This Row],[WdDeck]]*Lookups!$B$91</f>
        <v>0</v>
      </c>
      <c r="CE125" s="12">
        <f>SUM(Sales[[#This Row],[Days Prior Total]:[Mdl WdDeck]])</f>
        <v>281470.66480652126</v>
      </c>
      <c r="CF125" s="12">
        <f>ROUND(Sales[[#This Row],[25Det]],-2)</f>
        <v>0</v>
      </c>
      <c r="CG125" s="12">
        <f>ROUND(SUM(Sales[[#This Row],[Mdl Qlty]:[Mdl WdDeck]])+Sales[[#This Row],[Mdl Res Intercept]]+Sales[[#This Row],[Days Prior Total]],-2)</f>
        <v>245900</v>
      </c>
      <c r="CH125" s="12">
        <f>ROUND(Sales[[#This Row],[Mdl Land Intercept]]+Sales[[#This Row],[Mdl LnAcres]],-2)</f>
        <v>35600</v>
      </c>
      <c r="CI125" s="12">
        <f>Sales[[#This Row],[Unadj Res Value]]+Sales[[#This Row],[Unadj Det Value]]+Sales[[#This Row],[Unadj Land Value]]</f>
        <v>281500</v>
      </c>
      <c r="CJ125" s="13">
        <f>Sales[[#This Row],[Unadj Total Value]]/Sales[[#This Row],[Price]]</f>
        <v>1.1340289247874955</v>
      </c>
      <c r="CK125" s="13">
        <f>(Sales[[#This Row],[Unadj Total Value]]-Sales[[#This Row],[24Final]])/Sales[[#This Row],[24Final]]</f>
        <v>-0.17132764203709155</v>
      </c>
      <c r="CL125">
        <f>VLOOKUP(Sales[[#This Row],[TNbhd]],Lookups!$Q$2:$T$4,4,FALSE)</f>
        <v>0.99970000000000003</v>
      </c>
      <c r="CM125">
        <f>VLOOKUP(Sales[[#This Row],[Qlty]],Lookups!$O$7:$R$21,4,FALSE)</f>
        <v>1.0088999999999999</v>
      </c>
      <c r="CN125">
        <f>VLOOKUP(Sales[[#This Row],[Cnd]],Lookups!$T$7:$W$16,4,FALSE)</f>
        <v>0.99729999999999996</v>
      </c>
      <c r="CO125">
        <f>VLOOKUP(Sales[[#This Row],[LivArea Range]],Lookups!$T$25:$W$37,4,FALSE)</f>
        <v>0.98919999999999997</v>
      </c>
      <c r="CP125">
        <f>VLOOKUP(Sales[[#This Row],[Decade]],Lookups!$O$25:$R$42,4,FALSE)</f>
        <v>0.995</v>
      </c>
      <c r="CQ125">
        <f>Sales[[#This Row],[Nbhd Adj]]*0.95</f>
        <v>0.94971499999999998</v>
      </c>
      <c r="CR125">
        <f>Sales[[#This Row],[Nbhd Adj]]*Sales[[#This Row],[Quality Adj]]*Sales[[#This Row],[Condition Adj]]*Sales[[#This Row],[Living Area Adj]]*Sales[[#This Row],[Decade Adj]]*0.95</f>
        <v>0.94053384219145564</v>
      </c>
      <c r="CS125">
        <f>ROUND(SUM(Sales[[#This Row],[Mdl Qlty]:[Mdl WdDeck]])+Sales[[#This Row],[Mdl Res Intercept]]*Sales[[#This Row],[Res Adj ]],-2)</f>
        <v>314400</v>
      </c>
      <c r="CT125">
        <f>ROUND(Sales[[#This Row],[25Det]]*Sales[[#This Row],[Det/Nbhd Adj]],-2)</f>
        <v>0</v>
      </c>
      <c r="CU125">
        <f>Sales[[#This Row],[Adjusted Res]]+Sales[[#This Row],[Adj Det ]]</f>
        <v>314400</v>
      </c>
      <c r="CV125">
        <f>ROUND((Sales[[#This Row],[Mdl Land Intercept]]+Sales[[#This Row],[Mdl LnAcres]])*Sales[[#This Row],[Det/Nbhd Adj]],-2)</f>
        <v>33800</v>
      </c>
      <c r="CW125">
        <f>Sales[[#This Row],[Adjusted Impr Total]]+Sales[[#This Row],[Adjusted Land Total]]</f>
        <v>348200</v>
      </c>
      <c r="CX125" s="15">
        <f>IFERROR((Sales[[#This Row],[Adjusted Impr Total]]-Sales[[#This Row],[24Bldg]])/Sales[[#This Row],[24Bldg]],0)</f>
        <v>0.1031578947368421</v>
      </c>
      <c r="CY125" s="15">
        <f>(Sales[[#This Row],[Adjusted Land Total]]-Sales[[#This Row],[24Lnd]])/Sales[[#This Row],[24Lnd]]</f>
        <v>-0.38208409506398539</v>
      </c>
      <c r="CZ125" s="15">
        <f>(Sales[[#This Row],[Adjusted Total]]-Sales[[#This Row],[24Final]])/Sales[[#This Row],[24Final]]</f>
        <v>2.5022078304386224E-2</v>
      </c>
      <c r="DA125" s="15">
        <f>(Sales[[#This Row],[Adjusted Total]]+Sales[[#This Row],[Days Prior Total]])/Sales[[#This Row],[Price]]</f>
        <v>1.1267828009387666</v>
      </c>
    </row>
    <row r="126" spans="1:105" x14ac:dyDescent="0.3">
      <c r="A126">
        <v>2025</v>
      </c>
      <c r="B126">
        <v>18132324427</v>
      </c>
      <c r="C126">
        <v>-1.4696759700589417</v>
      </c>
      <c r="D126">
        <v>0.23</v>
      </c>
      <c r="E126">
        <v>9863</v>
      </c>
      <c r="F126">
        <v>6</v>
      </c>
      <c r="G126" t="s">
        <v>126</v>
      </c>
      <c r="H126">
        <v>3033</v>
      </c>
      <c r="I126" t="s">
        <v>349</v>
      </c>
      <c r="J126" t="s">
        <v>30</v>
      </c>
      <c r="K126">
        <v>11</v>
      </c>
      <c r="L126">
        <v>259</v>
      </c>
      <c r="M126" t="s">
        <v>241</v>
      </c>
      <c r="N126" t="s">
        <v>148</v>
      </c>
      <c r="O126" t="s">
        <v>303</v>
      </c>
      <c r="P126">
        <v>80</v>
      </c>
      <c r="Q126">
        <v>1950</v>
      </c>
      <c r="R126">
        <v>1973</v>
      </c>
      <c r="S126">
        <v>74</v>
      </c>
      <c r="T126">
        <v>51</v>
      </c>
      <c r="U126">
        <v>1</v>
      </c>
      <c r="V126">
        <v>1449</v>
      </c>
      <c r="W126">
        <v>0</v>
      </c>
      <c r="X126">
        <v>0</v>
      </c>
      <c r="Y126">
        <v>1089</v>
      </c>
      <c r="Z126">
        <v>327</v>
      </c>
      <c r="AA126">
        <v>762</v>
      </c>
      <c r="AB126">
        <v>2211</v>
      </c>
      <c r="AC126">
        <v>2500</v>
      </c>
      <c r="AD126">
        <v>1</v>
      </c>
      <c r="AF126" t="s">
        <v>383</v>
      </c>
      <c r="AG126" t="s">
        <v>148</v>
      </c>
      <c r="AH126" t="s">
        <v>450</v>
      </c>
      <c r="AI126">
        <v>0</v>
      </c>
      <c r="AJ126">
        <v>2</v>
      </c>
      <c r="AK126">
        <v>0</v>
      </c>
      <c r="AL126">
        <v>1</v>
      </c>
      <c r="AM126">
        <v>1</v>
      </c>
      <c r="AN126">
        <v>12</v>
      </c>
      <c r="AO126">
        <v>0</v>
      </c>
      <c r="AP126">
        <v>360</v>
      </c>
      <c r="AQ126">
        <v>0</v>
      </c>
      <c r="AR126">
        <v>0</v>
      </c>
      <c r="AS126">
        <v>352</v>
      </c>
      <c r="AT126">
        <v>352</v>
      </c>
      <c r="AU126">
        <v>100</v>
      </c>
      <c r="AV126">
        <v>100</v>
      </c>
      <c r="AW126">
        <v>431386</v>
      </c>
      <c r="AX126">
        <v>336481</v>
      </c>
      <c r="AY126">
        <v>385</v>
      </c>
      <c r="AZ126">
        <v>365</v>
      </c>
      <c r="BA126">
        <v>20</v>
      </c>
      <c r="BB126">
        <v>0</v>
      </c>
      <c r="BC126" s="3">
        <v>44907</v>
      </c>
      <c r="BD126" t="s">
        <v>197</v>
      </c>
      <c r="BE126">
        <v>350000</v>
      </c>
      <c r="BF126">
        <v>350000</v>
      </c>
      <c r="BG126" t="s">
        <v>294</v>
      </c>
      <c r="BH126">
        <v>30</v>
      </c>
      <c r="BI126" t="s">
        <v>65</v>
      </c>
      <c r="BJ126" t="s">
        <v>450</v>
      </c>
      <c r="BK126">
        <v>398500</v>
      </c>
      <c r="BL126">
        <v>63300</v>
      </c>
      <c r="BM126">
        <v>335200</v>
      </c>
      <c r="BN126">
        <v>0</v>
      </c>
      <c r="BO126">
        <v>1.1385714285714286</v>
      </c>
      <c r="BP126">
        <v>397070.19069462718</v>
      </c>
      <c r="BQ126">
        <v>422594.26900809049</v>
      </c>
      <c r="BR126" s="12">
        <f>(Sales[[#This Row],[DP1]]*Lookups!$B$59)+(Sales[[#This Row],[DP2]]*Lookups!$B$60)+(Sales[[#This Row],[DP3]]*Lookups!$B$61)</f>
        <v>-25524.07831501</v>
      </c>
      <c r="BS126" s="12">
        <f>Lookups!$B$56*0</f>
        <v>0</v>
      </c>
      <c r="BT126" s="12">
        <f>Lookups!$B$56*1</f>
        <v>89850.625589999996</v>
      </c>
      <c r="BU126" s="12">
        <f>Lookups!$B$57*Sales[[#This Row],[LnAcres]]</f>
        <v>-46522.028095997222</v>
      </c>
      <c r="BV126" s="12">
        <f>VLOOKUP(Sales[[#This Row],[Qlty]],Lookups!$A$62:$E$75,2,FALSE)</f>
        <v>44121.038090000002</v>
      </c>
      <c r="BW126" s="12">
        <f>VLOOKUP(Sales[[#This Row],[Cnd]],Lookups!$A$76:$E$84,2,FALSE)</f>
        <v>197752.34721000001</v>
      </c>
      <c r="BX126" s="12">
        <f>Sales[[#This Row],[EffAge]]*Lookups!$B$85</f>
        <v>-11375.3256255</v>
      </c>
      <c r="BY126" s="12">
        <f>Sales[[#This Row],[MainFn]]*Lookups!$B$86</f>
        <v>71593.162651773004</v>
      </c>
      <c r="BZ126" s="12">
        <f>Sales[[#This Row],[UpprFn]]*Lookups!$B$87</f>
        <v>0</v>
      </c>
      <c r="CA126" s="12">
        <f>Sales[[#This Row],[AddFn]]*Lookups!$B$88</f>
        <v>0</v>
      </c>
      <c r="CB126" s="12">
        <f>Sales[[#This Row],[Bsmt]]*Lookups!$B$89</f>
        <v>31670.183923982997</v>
      </c>
      <c r="CC126" s="12">
        <f>Sales[[#This Row],[Fixtures]]*Lookups!$B$90</f>
        <v>45504.265262400004</v>
      </c>
      <c r="CD126" s="12">
        <f>Sales[[#This Row],[WdDeck]]*Lookups!$B$91</f>
        <v>0</v>
      </c>
      <c r="CE126" s="12">
        <f>SUM(Sales[[#This Row],[Days Prior Total]:[Mdl WdDeck]])</f>
        <v>397070.19069164875</v>
      </c>
      <c r="CF126" s="12">
        <f>ROUND(Sales[[#This Row],[25Det]],-2)</f>
        <v>0</v>
      </c>
      <c r="CG126" s="12">
        <f>ROUND(SUM(Sales[[#This Row],[Mdl Qlty]:[Mdl WdDeck]])+Sales[[#This Row],[Mdl Res Intercept]]+Sales[[#This Row],[Days Prior Total]],-2)</f>
        <v>353700</v>
      </c>
      <c r="CH126" s="12">
        <f>ROUND(Sales[[#This Row],[Mdl Land Intercept]]+Sales[[#This Row],[Mdl LnAcres]],-2)</f>
        <v>43300</v>
      </c>
      <c r="CI126" s="12">
        <f>Sales[[#This Row],[Unadj Res Value]]+Sales[[#This Row],[Unadj Det Value]]+Sales[[#This Row],[Unadj Land Value]]</f>
        <v>397000</v>
      </c>
      <c r="CJ126" s="13">
        <f>Sales[[#This Row],[Unadj Total Value]]/Sales[[#This Row],[Price]]</f>
        <v>1.1342857142857143</v>
      </c>
      <c r="CK126" s="13">
        <f>(Sales[[#This Row],[Unadj Total Value]]-Sales[[#This Row],[24Final]])/Sales[[#This Row],[24Final]]</f>
        <v>-3.7641154328732747E-3</v>
      </c>
      <c r="CL126">
        <f>VLOOKUP(Sales[[#This Row],[TNbhd]],Lookups!$Q$2:$T$4,4,FALSE)</f>
        <v>0.99970000000000003</v>
      </c>
      <c r="CM126">
        <f>VLOOKUP(Sales[[#This Row],[Qlty]],Lookups!$O$7:$R$21,4,FALSE)</f>
        <v>0.98050000000000004</v>
      </c>
      <c r="CN126">
        <f>VLOOKUP(Sales[[#This Row],[Cnd]],Lookups!$T$7:$W$16,4,FALSE)</f>
        <v>0.99650000000000005</v>
      </c>
      <c r="CO126">
        <f>VLOOKUP(Sales[[#This Row],[LivArea Range]],Lookups!$T$25:$W$37,4,FALSE)</f>
        <v>0.98919999999999997</v>
      </c>
      <c r="CP126">
        <f>VLOOKUP(Sales[[#This Row],[Decade]],Lookups!$O$25:$R$42,4,FALSE)</f>
        <v>0.995</v>
      </c>
      <c r="CQ126">
        <f>Sales[[#This Row],[Nbhd Adj]]*0.95</f>
        <v>0.94971499999999998</v>
      </c>
      <c r="CR126">
        <f>Sales[[#This Row],[Nbhd Adj]]*Sales[[#This Row],[Quality Adj]]*Sales[[#This Row],[Condition Adj]]*Sales[[#This Row],[Living Area Adj]]*Sales[[#This Row],[Decade Adj]]*0.95</f>
        <v>0.91332508691872449</v>
      </c>
      <c r="CS126">
        <f>ROUND(SUM(Sales[[#This Row],[Mdl Qlty]:[Mdl WdDeck]])+Sales[[#This Row],[Mdl Res Intercept]]*Sales[[#This Row],[Res Adj ]],-2)</f>
        <v>379300</v>
      </c>
      <c r="CT126">
        <f>ROUND(Sales[[#This Row],[25Det]]*Sales[[#This Row],[Det/Nbhd Adj]],-2)</f>
        <v>0</v>
      </c>
      <c r="CU126">
        <f>Sales[[#This Row],[Adjusted Res]]+Sales[[#This Row],[Adj Det ]]</f>
        <v>379300</v>
      </c>
      <c r="CV126">
        <f>ROUND((Sales[[#This Row],[Mdl Land Intercept]]+Sales[[#This Row],[Mdl LnAcres]])*Sales[[#This Row],[Det/Nbhd Adj]],-2)</f>
        <v>41100</v>
      </c>
      <c r="CW126">
        <f>Sales[[#This Row],[Adjusted Impr Total]]+Sales[[#This Row],[Adjusted Land Total]]</f>
        <v>420400</v>
      </c>
      <c r="CX126" s="15">
        <f>IFERROR((Sales[[#This Row],[Adjusted Impr Total]]-Sales[[#This Row],[24Bldg]])/Sales[[#This Row],[24Bldg]],0)</f>
        <v>0.13156324582338902</v>
      </c>
      <c r="CY126" s="15">
        <f>(Sales[[#This Row],[Adjusted Land Total]]-Sales[[#This Row],[24Lnd]])/Sales[[#This Row],[24Lnd]]</f>
        <v>-0.35071090047393366</v>
      </c>
      <c r="CZ126" s="15">
        <f>(Sales[[#This Row],[Adjusted Total]]-Sales[[#This Row],[24Final]])/Sales[[#This Row],[24Final]]</f>
        <v>5.4956085319949811E-2</v>
      </c>
      <c r="DA126" s="15">
        <f>(Sales[[#This Row],[Adjusted Total]]+Sales[[#This Row],[Days Prior Total]])/Sales[[#This Row],[Price]]</f>
        <v>1.1282169190999713</v>
      </c>
    </row>
    <row r="127" spans="1:105" x14ac:dyDescent="0.3">
      <c r="A127">
        <v>2025</v>
      </c>
      <c r="B127">
        <v>18132243047</v>
      </c>
      <c r="C127">
        <v>-0.89159811928378363</v>
      </c>
      <c r="D127">
        <v>0.41</v>
      </c>
      <c r="E127">
        <v>17755</v>
      </c>
      <c r="F127">
        <v>6</v>
      </c>
      <c r="G127" t="s">
        <v>126</v>
      </c>
      <c r="H127">
        <v>3093</v>
      </c>
      <c r="I127" t="s">
        <v>349</v>
      </c>
      <c r="J127" t="s">
        <v>30</v>
      </c>
      <c r="K127">
        <v>11</v>
      </c>
      <c r="L127">
        <v>259</v>
      </c>
      <c r="M127" t="s">
        <v>241</v>
      </c>
      <c r="N127" t="s">
        <v>351</v>
      </c>
      <c r="O127" t="s">
        <v>323</v>
      </c>
      <c r="P127">
        <v>80</v>
      </c>
      <c r="Q127">
        <v>1950</v>
      </c>
      <c r="R127">
        <v>1973</v>
      </c>
      <c r="S127">
        <v>74</v>
      </c>
      <c r="T127">
        <v>51</v>
      </c>
      <c r="U127">
        <v>1</v>
      </c>
      <c r="V127">
        <v>1167</v>
      </c>
      <c r="W127">
        <v>0</v>
      </c>
      <c r="X127">
        <v>0</v>
      </c>
      <c r="Y127">
        <v>1167</v>
      </c>
      <c r="Z127">
        <v>1167</v>
      </c>
      <c r="AA127">
        <v>0</v>
      </c>
      <c r="AB127">
        <v>1167</v>
      </c>
      <c r="AC127">
        <v>1500</v>
      </c>
      <c r="AD127">
        <v>0</v>
      </c>
      <c r="AF127" t="s">
        <v>383</v>
      </c>
      <c r="AG127" t="s">
        <v>148</v>
      </c>
      <c r="AH127" t="s">
        <v>450</v>
      </c>
      <c r="AI127">
        <v>0</v>
      </c>
      <c r="AJ127">
        <v>1</v>
      </c>
      <c r="AK127">
        <v>0</v>
      </c>
      <c r="AL127">
        <v>0</v>
      </c>
      <c r="AM127">
        <v>0</v>
      </c>
      <c r="AN127">
        <v>6</v>
      </c>
      <c r="AO127">
        <v>0</v>
      </c>
      <c r="AP127">
        <v>0</v>
      </c>
      <c r="AQ127">
        <v>0</v>
      </c>
      <c r="AR127">
        <v>0</v>
      </c>
      <c r="AS127">
        <v>488</v>
      </c>
      <c r="AT127">
        <v>488</v>
      </c>
      <c r="AU127">
        <v>100</v>
      </c>
      <c r="AV127">
        <v>100</v>
      </c>
      <c r="AW127">
        <v>217686</v>
      </c>
      <c r="AX127">
        <v>152380</v>
      </c>
      <c r="AY127">
        <v>194</v>
      </c>
      <c r="AZ127">
        <v>194</v>
      </c>
      <c r="BA127">
        <v>0</v>
      </c>
      <c r="BB127">
        <v>0</v>
      </c>
      <c r="BC127" s="3">
        <v>45098</v>
      </c>
      <c r="BD127" t="s">
        <v>41</v>
      </c>
      <c r="BE127">
        <v>290000</v>
      </c>
      <c r="BF127">
        <v>281302</v>
      </c>
      <c r="BG127" t="s">
        <v>294</v>
      </c>
      <c r="BH127">
        <v>30</v>
      </c>
      <c r="BI127" t="s">
        <v>65</v>
      </c>
      <c r="BJ127" t="s">
        <v>450</v>
      </c>
      <c r="BK127">
        <v>329200</v>
      </c>
      <c r="BL127">
        <v>83400</v>
      </c>
      <c r="BM127">
        <v>245800</v>
      </c>
      <c r="BN127">
        <v>8698</v>
      </c>
      <c r="BO127">
        <v>1.1351724137931034</v>
      </c>
      <c r="BP127">
        <v>332943.96834523213</v>
      </c>
      <c r="BQ127">
        <v>346632.25847899279</v>
      </c>
      <c r="BR127" s="12">
        <f>(Sales[[#This Row],[DP1]]*Lookups!$B$59)+(Sales[[#This Row],[DP2]]*Lookups!$B$60)+(Sales[[#This Row],[DP3]]*Lookups!$B$61)</f>
        <v>-13688.290134580002</v>
      </c>
      <c r="BS127" s="12">
        <f>Lookups!$B$56*0</f>
        <v>0</v>
      </c>
      <c r="BT127" s="12">
        <f>Lookups!$B$56*1</f>
        <v>89850.625589999996</v>
      </c>
      <c r="BU127" s="12">
        <f>Lookups!$B$57*Sales[[#This Row],[LnAcres]]</f>
        <v>-28223.195861326454</v>
      </c>
      <c r="BV127" s="12">
        <f>VLOOKUP(Sales[[#This Row],[Qlty]],Lookups!$A$62:$E$75,2,FALSE)</f>
        <v>21557.329055999999</v>
      </c>
      <c r="BW127" s="12">
        <f>VLOOKUP(Sales[[#This Row],[Cnd]],Lookups!$A$76:$E$84,2,FALSE)</f>
        <v>160472.20319</v>
      </c>
      <c r="BX127" s="12">
        <f>Sales[[#This Row],[EffAge]]*Lookups!$B$85</f>
        <v>-11375.3256255</v>
      </c>
      <c r="BY127" s="12">
        <f>Sales[[#This Row],[MainFn]]*Lookups!$B$86</f>
        <v>57659.917746459003</v>
      </c>
      <c r="BZ127" s="12">
        <f>Sales[[#This Row],[UpprFn]]*Lookups!$B$87</f>
        <v>0</v>
      </c>
      <c r="CA127" s="12">
        <f>Sales[[#This Row],[AddFn]]*Lookups!$B$88</f>
        <v>0</v>
      </c>
      <c r="CB127" s="12">
        <f>Sales[[#This Row],[Bsmt]]*Lookups!$B$89</f>
        <v>33938.571753249002</v>
      </c>
      <c r="CC127" s="12">
        <f>Sales[[#This Row],[Fixtures]]*Lookups!$B$90</f>
        <v>22752.132631200002</v>
      </c>
      <c r="CD127" s="12">
        <f>Sales[[#This Row],[WdDeck]]*Lookups!$B$91</f>
        <v>0</v>
      </c>
      <c r="CE127" s="12">
        <f>SUM(Sales[[#This Row],[Days Prior Total]:[Mdl WdDeck]])</f>
        <v>332943.96834550152</v>
      </c>
      <c r="CF127" s="12">
        <f>ROUND(Sales[[#This Row],[25Det]],-2)</f>
        <v>8700</v>
      </c>
      <c r="CG127" s="12">
        <f>ROUND(SUM(Sales[[#This Row],[Mdl Qlty]:[Mdl WdDeck]])+Sales[[#This Row],[Mdl Res Intercept]]+Sales[[#This Row],[Days Prior Total]],-2)</f>
        <v>271300</v>
      </c>
      <c r="CH127" s="12">
        <f>ROUND(Sales[[#This Row],[Mdl Land Intercept]]+Sales[[#This Row],[Mdl LnAcres]],-2)</f>
        <v>61600</v>
      </c>
      <c r="CI127" s="12">
        <f>Sales[[#This Row],[Unadj Res Value]]+Sales[[#This Row],[Unadj Det Value]]+Sales[[#This Row],[Unadj Land Value]]</f>
        <v>341600</v>
      </c>
      <c r="CJ127" s="13">
        <f>Sales[[#This Row],[Unadj Total Value]]/Sales[[#This Row],[Price]]</f>
        <v>1.1779310344827587</v>
      </c>
      <c r="CK127" s="13">
        <f>(Sales[[#This Row],[Unadj Total Value]]-Sales[[#This Row],[24Final]])/Sales[[#This Row],[24Final]]</f>
        <v>3.7667071688942892E-2</v>
      </c>
      <c r="CL127">
        <f>VLOOKUP(Sales[[#This Row],[TNbhd]],Lookups!$Q$2:$T$4,4,FALSE)</f>
        <v>0.99970000000000003</v>
      </c>
      <c r="CM127">
        <f>VLOOKUP(Sales[[#This Row],[Qlty]],Lookups!$O$7:$R$21,4,FALSE)</f>
        <v>1.0067999999999999</v>
      </c>
      <c r="CN127">
        <f>VLOOKUP(Sales[[#This Row],[Cnd]],Lookups!$T$7:$W$16,4,FALSE)</f>
        <v>0.99729999999999996</v>
      </c>
      <c r="CO127">
        <f>VLOOKUP(Sales[[#This Row],[LivArea Range]],Lookups!$T$25:$W$37,4,FALSE)</f>
        <v>1.0157</v>
      </c>
      <c r="CP127">
        <f>VLOOKUP(Sales[[#This Row],[Decade]],Lookups!$O$25:$R$42,4,FALSE)</f>
        <v>0.995</v>
      </c>
      <c r="CQ127">
        <f>Sales[[#This Row],[Nbhd Adj]]*0.95</f>
        <v>0.94971499999999998</v>
      </c>
      <c r="CR127">
        <f>Sales[[#This Row],[Nbhd Adj]]*Sales[[#This Row],[Quality Adj]]*Sales[[#This Row],[Condition Adj]]*Sales[[#This Row],[Living Area Adj]]*Sales[[#This Row],[Decade Adj]]*0.95</f>
        <v>0.96371996573175212</v>
      </c>
      <c r="CS127">
        <f>ROUND(SUM(Sales[[#This Row],[Mdl Qlty]:[Mdl WdDeck]])+Sales[[#This Row],[Mdl Res Intercept]]*Sales[[#This Row],[Res Adj ]],-2)</f>
        <v>285000</v>
      </c>
      <c r="CT127">
        <f>ROUND(Sales[[#This Row],[25Det]]*Sales[[#This Row],[Det/Nbhd Adj]],-2)</f>
        <v>8300</v>
      </c>
      <c r="CU127">
        <f>Sales[[#This Row],[Adjusted Res]]+Sales[[#This Row],[Adj Det ]]</f>
        <v>293300</v>
      </c>
      <c r="CV127">
        <f>ROUND((Sales[[#This Row],[Mdl Land Intercept]]+Sales[[#This Row],[Mdl LnAcres]])*Sales[[#This Row],[Det/Nbhd Adj]],-2)</f>
        <v>58500</v>
      </c>
      <c r="CW127">
        <f>Sales[[#This Row],[Adjusted Impr Total]]+Sales[[#This Row],[Adjusted Land Total]]</f>
        <v>351800</v>
      </c>
      <c r="CX127" s="15">
        <f>IFERROR((Sales[[#This Row],[Adjusted Impr Total]]-Sales[[#This Row],[24Bldg]])/Sales[[#This Row],[24Bldg]],0)</f>
        <v>0.19324654190398699</v>
      </c>
      <c r="CY127" s="15">
        <f>(Sales[[#This Row],[Adjusted Land Total]]-Sales[[#This Row],[24Lnd]])/Sales[[#This Row],[24Lnd]]</f>
        <v>-0.29856115107913667</v>
      </c>
      <c r="CZ127" s="15">
        <f>(Sales[[#This Row],[Adjusted Total]]-Sales[[#This Row],[24Final]])/Sales[[#This Row],[24Final]]</f>
        <v>6.865127582017011E-2</v>
      </c>
      <c r="DA127" s="15">
        <f>(Sales[[#This Row],[Adjusted Total]]+Sales[[#This Row],[Days Prior Total]])/Sales[[#This Row],[Price]]</f>
        <v>1.1659024478117932</v>
      </c>
    </row>
    <row r="128" spans="1:105" x14ac:dyDescent="0.3">
      <c r="A128">
        <v>2025</v>
      </c>
      <c r="B128">
        <v>18132244004</v>
      </c>
      <c r="C128">
        <v>-1.5606477482646683</v>
      </c>
      <c r="D128">
        <v>0.21</v>
      </c>
      <c r="E128">
        <v>9101</v>
      </c>
      <c r="F128">
        <v>6</v>
      </c>
      <c r="G128" t="s">
        <v>126</v>
      </c>
      <c r="H128">
        <v>3092</v>
      </c>
      <c r="I128" t="s">
        <v>349</v>
      </c>
      <c r="J128" t="s">
        <v>30</v>
      </c>
      <c r="K128">
        <v>11</v>
      </c>
      <c r="L128">
        <v>259</v>
      </c>
      <c r="M128" t="s">
        <v>242</v>
      </c>
      <c r="N128" t="s">
        <v>148</v>
      </c>
      <c r="O128" t="s">
        <v>303</v>
      </c>
      <c r="P128">
        <v>80</v>
      </c>
      <c r="Q128">
        <v>1949</v>
      </c>
      <c r="R128">
        <v>1973</v>
      </c>
      <c r="S128">
        <v>75</v>
      </c>
      <c r="T128">
        <v>51</v>
      </c>
      <c r="U128">
        <v>1</v>
      </c>
      <c r="V128">
        <v>1624</v>
      </c>
      <c r="W128">
        <v>0</v>
      </c>
      <c r="X128">
        <v>0</v>
      </c>
      <c r="Y128">
        <v>744</v>
      </c>
      <c r="Z128">
        <v>0</v>
      </c>
      <c r="AA128">
        <v>744</v>
      </c>
      <c r="AB128">
        <v>2368</v>
      </c>
      <c r="AC128">
        <v>2500</v>
      </c>
      <c r="AD128">
        <v>2</v>
      </c>
      <c r="AF128" t="s">
        <v>383</v>
      </c>
      <c r="AG128" t="s">
        <v>148</v>
      </c>
      <c r="AH128" t="s">
        <v>450</v>
      </c>
      <c r="AI128">
        <v>0</v>
      </c>
      <c r="AJ128">
        <v>0</v>
      </c>
      <c r="AK128">
        <v>1</v>
      </c>
      <c r="AL128">
        <v>0</v>
      </c>
      <c r="AM128">
        <v>0</v>
      </c>
      <c r="AN128">
        <v>13</v>
      </c>
      <c r="AO128">
        <v>500</v>
      </c>
      <c r="AP128">
        <v>0</v>
      </c>
      <c r="AQ128">
        <v>0</v>
      </c>
      <c r="AR128">
        <v>380</v>
      </c>
      <c r="AS128">
        <v>0</v>
      </c>
      <c r="AT128">
        <v>0</v>
      </c>
      <c r="AU128">
        <v>100</v>
      </c>
      <c r="AV128">
        <v>100</v>
      </c>
      <c r="AW128">
        <v>421729</v>
      </c>
      <c r="AX128">
        <v>328949</v>
      </c>
      <c r="AY128">
        <v>782</v>
      </c>
      <c r="AZ128">
        <v>365</v>
      </c>
      <c r="BA128">
        <v>365</v>
      </c>
      <c r="BB128">
        <v>52</v>
      </c>
      <c r="BC128" s="3">
        <v>44510</v>
      </c>
      <c r="BD128" t="s">
        <v>51</v>
      </c>
      <c r="BE128">
        <v>405000</v>
      </c>
      <c r="BF128">
        <v>405000</v>
      </c>
      <c r="BG128" t="s">
        <v>294</v>
      </c>
      <c r="BH128">
        <v>30</v>
      </c>
      <c r="BI128" t="s">
        <v>65</v>
      </c>
      <c r="BJ128" t="s">
        <v>450</v>
      </c>
      <c r="BK128">
        <v>398800</v>
      </c>
      <c r="BL128">
        <v>60100</v>
      </c>
      <c r="BM128">
        <v>338700</v>
      </c>
      <c r="BN128">
        <v>0</v>
      </c>
      <c r="BO128">
        <v>0.98469135802469132</v>
      </c>
      <c r="BP128">
        <v>406256.26044083043</v>
      </c>
      <c r="BQ128">
        <v>434772.17360375717</v>
      </c>
      <c r="BR128" s="12">
        <f>(Sales[[#This Row],[DP1]]*Lookups!$B$59)+(Sales[[#This Row],[DP2]]*Lookups!$B$60)+(Sales[[#This Row],[DP3]]*Lookups!$B$61)</f>
        <v>-28515.913165870003</v>
      </c>
      <c r="BS128" s="12">
        <f>Lookups!$B$56*0</f>
        <v>0</v>
      </c>
      <c r="BT128" s="12">
        <f>Lookups!$B$56*1</f>
        <v>89850.625589999996</v>
      </c>
      <c r="BU128" s="12">
        <f>Lookups!$B$57*Sales[[#This Row],[LnAcres]]</f>
        <v>-49401.70477837498</v>
      </c>
      <c r="BV128" s="12">
        <f>VLOOKUP(Sales[[#This Row],[Qlty]],Lookups!$A$62:$E$75,2,FALSE)</f>
        <v>44121.038090000002</v>
      </c>
      <c r="BW128" s="12">
        <f>VLOOKUP(Sales[[#This Row],[Cnd]],Lookups!$A$76:$E$84,2,FALSE)</f>
        <v>197752.34721000001</v>
      </c>
      <c r="BX128" s="12">
        <f>Sales[[#This Row],[EffAge]]*Lookups!$B$85</f>
        <v>-11375.3256255</v>
      </c>
      <c r="BY128" s="12">
        <f>Sales[[#This Row],[MainFn]]*Lookups!$B$86</f>
        <v>80239.679880248004</v>
      </c>
      <c r="BZ128" s="12">
        <f>Sales[[#This Row],[UpprFn]]*Lookups!$B$87</f>
        <v>0</v>
      </c>
      <c r="CA128" s="12">
        <f>Sales[[#This Row],[AddFn]]*Lookups!$B$88</f>
        <v>0</v>
      </c>
      <c r="CB128" s="12">
        <f>Sales[[#This Row],[Bsmt]]*Lookups!$B$89</f>
        <v>21636.930063767999</v>
      </c>
      <c r="CC128" s="12">
        <f>Sales[[#This Row],[Fixtures]]*Lookups!$B$90</f>
        <v>49296.287367600002</v>
      </c>
      <c r="CD128" s="12">
        <f>Sales[[#This Row],[WdDeck]]*Lookups!$B$91</f>
        <v>12652.295804880001</v>
      </c>
      <c r="CE128" s="12">
        <f>SUM(Sales[[#This Row],[Days Prior Total]:[Mdl WdDeck]])</f>
        <v>406256.26043675101</v>
      </c>
      <c r="CF128" s="12">
        <f>ROUND(Sales[[#This Row],[25Det]],-2)</f>
        <v>0</v>
      </c>
      <c r="CG128" s="12">
        <f>ROUND(SUM(Sales[[#This Row],[Mdl Qlty]:[Mdl WdDeck]])+Sales[[#This Row],[Mdl Res Intercept]]+Sales[[#This Row],[Days Prior Total]],-2)</f>
        <v>365800</v>
      </c>
      <c r="CH128" s="12">
        <f>ROUND(Sales[[#This Row],[Mdl Land Intercept]]+Sales[[#This Row],[Mdl LnAcres]],-2)</f>
        <v>40400</v>
      </c>
      <c r="CI128" s="12">
        <f>Sales[[#This Row],[Unadj Res Value]]+Sales[[#This Row],[Unadj Det Value]]+Sales[[#This Row],[Unadj Land Value]]</f>
        <v>406200</v>
      </c>
      <c r="CJ128" s="13">
        <f>Sales[[#This Row],[Unadj Total Value]]/Sales[[#This Row],[Price]]</f>
        <v>1.0029629629629631</v>
      </c>
      <c r="CK128" s="13">
        <f>(Sales[[#This Row],[Unadj Total Value]]-Sales[[#This Row],[24Final]])/Sales[[#This Row],[24Final]]</f>
        <v>1.8555667001003008E-2</v>
      </c>
      <c r="CL128">
        <f>VLOOKUP(Sales[[#This Row],[TNbhd]],Lookups!$Q$2:$T$4,4,FALSE)</f>
        <v>0.99970000000000003</v>
      </c>
      <c r="CM128">
        <f>VLOOKUP(Sales[[#This Row],[Qlty]],Lookups!$O$7:$R$21,4,FALSE)</f>
        <v>0.98050000000000004</v>
      </c>
      <c r="CN128">
        <f>VLOOKUP(Sales[[#This Row],[Cnd]],Lookups!$T$7:$W$16,4,FALSE)</f>
        <v>0.99650000000000005</v>
      </c>
      <c r="CO128">
        <f>VLOOKUP(Sales[[#This Row],[LivArea Range]],Lookups!$T$25:$W$37,4,FALSE)</f>
        <v>0.98919999999999997</v>
      </c>
      <c r="CP128">
        <f>VLOOKUP(Sales[[#This Row],[Decade]],Lookups!$O$25:$R$42,4,FALSE)</f>
        <v>0.995</v>
      </c>
      <c r="CQ128">
        <f>Sales[[#This Row],[Nbhd Adj]]*0.95</f>
        <v>0.94971499999999998</v>
      </c>
      <c r="CR128">
        <f>Sales[[#This Row],[Nbhd Adj]]*Sales[[#This Row],[Quality Adj]]*Sales[[#This Row],[Condition Adj]]*Sales[[#This Row],[Living Area Adj]]*Sales[[#This Row],[Decade Adj]]*0.95</f>
        <v>0.91332508691872449</v>
      </c>
      <c r="CS128">
        <f>ROUND(SUM(Sales[[#This Row],[Mdl Qlty]:[Mdl WdDeck]])+Sales[[#This Row],[Mdl Res Intercept]]*Sales[[#This Row],[Res Adj ]],-2)</f>
        <v>394300</v>
      </c>
      <c r="CT128">
        <f>ROUND(Sales[[#This Row],[25Det]]*Sales[[#This Row],[Det/Nbhd Adj]],-2)</f>
        <v>0</v>
      </c>
      <c r="CU128">
        <f>Sales[[#This Row],[Adjusted Res]]+Sales[[#This Row],[Adj Det ]]</f>
        <v>394300</v>
      </c>
      <c r="CV128">
        <f>ROUND((Sales[[#This Row],[Mdl Land Intercept]]+Sales[[#This Row],[Mdl LnAcres]])*Sales[[#This Row],[Det/Nbhd Adj]],-2)</f>
        <v>38400</v>
      </c>
      <c r="CW128">
        <f>Sales[[#This Row],[Adjusted Impr Total]]+Sales[[#This Row],[Adjusted Land Total]]</f>
        <v>432700</v>
      </c>
      <c r="CX128" s="15">
        <f>IFERROR((Sales[[#This Row],[Adjusted Impr Total]]-Sales[[#This Row],[24Bldg]])/Sales[[#This Row],[24Bldg]],0)</f>
        <v>0.16415707115441394</v>
      </c>
      <c r="CY128" s="15">
        <f>(Sales[[#This Row],[Adjusted Land Total]]-Sales[[#This Row],[24Lnd]])/Sales[[#This Row],[24Lnd]]</f>
        <v>-0.36106489184692181</v>
      </c>
      <c r="CZ128" s="15">
        <f>(Sales[[#This Row],[Adjusted Total]]-Sales[[#This Row],[24Final]])/Sales[[#This Row],[24Final]]</f>
        <v>8.5005015045135413E-2</v>
      </c>
      <c r="DA128" s="15">
        <f>(Sales[[#This Row],[Adjusted Total]]+Sales[[#This Row],[Days Prior Total]])/Sales[[#This Row],[Price]]</f>
        <v>0.99798539959044441</v>
      </c>
    </row>
    <row r="129" spans="1:105" x14ac:dyDescent="0.3">
      <c r="A129">
        <v>2025</v>
      </c>
      <c r="B129">
        <v>18132313532</v>
      </c>
      <c r="C129">
        <v>-1.7719568419318752</v>
      </c>
      <c r="D129">
        <v>0.17</v>
      </c>
      <c r="E129">
        <v>7348</v>
      </c>
      <c r="F129">
        <v>6</v>
      </c>
      <c r="G129" t="s">
        <v>126</v>
      </c>
      <c r="H129">
        <v>3033</v>
      </c>
      <c r="I129" t="s">
        <v>349</v>
      </c>
      <c r="J129" t="s">
        <v>30</v>
      </c>
      <c r="K129">
        <v>11</v>
      </c>
      <c r="L129">
        <v>259</v>
      </c>
      <c r="M129" t="s">
        <v>147</v>
      </c>
      <c r="N129" t="s">
        <v>351</v>
      </c>
      <c r="O129" t="s">
        <v>323</v>
      </c>
      <c r="P129">
        <v>80</v>
      </c>
      <c r="Q129">
        <v>1949</v>
      </c>
      <c r="R129">
        <v>1973</v>
      </c>
      <c r="S129">
        <v>75</v>
      </c>
      <c r="T129">
        <v>51</v>
      </c>
      <c r="U129">
        <v>2</v>
      </c>
      <c r="V129">
        <v>951</v>
      </c>
      <c r="W129">
        <v>713</v>
      </c>
      <c r="X129">
        <v>0</v>
      </c>
      <c r="Y129">
        <v>951</v>
      </c>
      <c r="Z129">
        <v>951</v>
      </c>
      <c r="AA129">
        <v>0</v>
      </c>
      <c r="AB129">
        <v>1664</v>
      </c>
      <c r="AC129">
        <v>2000</v>
      </c>
      <c r="AD129">
        <v>0</v>
      </c>
      <c r="AF129" t="s">
        <v>383</v>
      </c>
      <c r="AG129" t="s">
        <v>148</v>
      </c>
      <c r="AH129" t="s">
        <v>450</v>
      </c>
      <c r="AI129">
        <v>0</v>
      </c>
      <c r="AJ129">
        <v>1</v>
      </c>
      <c r="AK129">
        <v>0</v>
      </c>
      <c r="AL129">
        <v>0</v>
      </c>
      <c r="AM129">
        <v>1</v>
      </c>
      <c r="AN129">
        <v>8</v>
      </c>
      <c r="AO129">
        <v>0</v>
      </c>
      <c r="AP129">
        <v>0</v>
      </c>
      <c r="AQ129">
        <v>0</v>
      </c>
      <c r="AR129">
        <v>0</v>
      </c>
      <c r="AS129">
        <v>25</v>
      </c>
      <c r="AT129">
        <v>0</v>
      </c>
      <c r="AU129">
        <v>100</v>
      </c>
      <c r="AV129">
        <v>100</v>
      </c>
      <c r="AW129">
        <v>250624</v>
      </c>
      <c r="AX129">
        <v>175437</v>
      </c>
      <c r="AY129">
        <v>300</v>
      </c>
      <c r="AZ129">
        <v>300</v>
      </c>
      <c r="BA129">
        <v>0</v>
      </c>
      <c r="BB129">
        <v>0</v>
      </c>
      <c r="BC129" s="3">
        <v>44992</v>
      </c>
      <c r="BD129" t="s">
        <v>129</v>
      </c>
      <c r="BE129">
        <v>285000</v>
      </c>
      <c r="BF129">
        <v>279421</v>
      </c>
      <c r="BG129" t="s">
        <v>294</v>
      </c>
      <c r="BH129">
        <v>30</v>
      </c>
      <c r="BI129" t="s">
        <v>65</v>
      </c>
      <c r="BJ129" t="s">
        <v>450</v>
      </c>
      <c r="BK129">
        <v>320400</v>
      </c>
      <c r="BL129">
        <v>52700</v>
      </c>
      <c r="BM129">
        <v>267700</v>
      </c>
      <c r="BN129">
        <v>5579</v>
      </c>
      <c r="BO129">
        <v>1.1242105263157895</v>
      </c>
      <c r="BP129">
        <v>320160.18407318537</v>
      </c>
      <c r="BQ129">
        <v>341327.64304291835</v>
      </c>
      <c r="BR129" s="12">
        <f>(Sales[[#This Row],[DP1]]*Lookups!$B$59)+(Sales[[#This Row],[DP2]]*Lookups!$B$60)+(Sales[[#This Row],[DP3]]*Lookups!$B$61)</f>
        <v>-21167.458971000004</v>
      </c>
      <c r="BS129" s="12">
        <f>Lookups!$B$56*0</f>
        <v>0</v>
      </c>
      <c r="BT129" s="12">
        <f>Lookups!$B$56*1</f>
        <v>89850.625589999996</v>
      </c>
      <c r="BU129" s="12">
        <f>Lookups!$B$57*Sales[[#This Row],[LnAcres]]</f>
        <v>-56090.612940989391</v>
      </c>
      <c r="BV129" s="12">
        <f>VLOOKUP(Sales[[#This Row],[Qlty]],Lookups!$A$62:$E$75,2,FALSE)</f>
        <v>21557.329055999999</v>
      </c>
      <c r="BW129" s="12">
        <f>VLOOKUP(Sales[[#This Row],[Cnd]],Lookups!$A$76:$E$84,2,FALSE)</f>
        <v>160472.20319</v>
      </c>
      <c r="BX129" s="12">
        <f>Sales[[#This Row],[EffAge]]*Lookups!$B$85</f>
        <v>-11375.3256255</v>
      </c>
      <c r="BY129" s="12">
        <f>Sales[[#This Row],[MainFn]]*Lookups!$B$86</f>
        <v>46987.645053027001</v>
      </c>
      <c r="BZ129" s="12">
        <f>Sales[[#This Row],[UpprFn]]*Lookups!$B$87</f>
        <v>31932.719499892999</v>
      </c>
      <c r="CA129" s="12">
        <f>Sales[[#This Row],[AddFn]]*Lookups!$B$88</f>
        <v>0</v>
      </c>
      <c r="CB129" s="12">
        <f>Sales[[#This Row],[Bsmt]]*Lookups!$B$89</f>
        <v>27656.882379896997</v>
      </c>
      <c r="CC129" s="12">
        <f>Sales[[#This Row],[Fixtures]]*Lookups!$B$90</f>
        <v>30336.176841600001</v>
      </c>
      <c r="CD129" s="12">
        <f>Sales[[#This Row],[WdDeck]]*Lookups!$B$91</f>
        <v>0</v>
      </c>
      <c r="CE129" s="12">
        <f>SUM(Sales[[#This Row],[Days Prior Total]:[Mdl WdDeck]])</f>
        <v>320160.18407292757</v>
      </c>
      <c r="CF129" s="12">
        <f>ROUND(Sales[[#This Row],[25Det]],-2)</f>
        <v>5600</v>
      </c>
      <c r="CG129" s="12">
        <f>ROUND(SUM(Sales[[#This Row],[Mdl Qlty]:[Mdl WdDeck]])+Sales[[#This Row],[Mdl Res Intercept]]+Sales[[#This Row],[Days Prior Total]],-2)</f>
        <v>286400</v>
      </c>
      <c r="CH129" s="12">
        <f>ROUND(Sales[[#This Row],[Mdl Land Intercept]]+Sales[[#This Row],[Mdl LnAcres]],-2)</f>
        <v>33800</v>
      </c>
      <c r="CI129" s="12">
        <f>Sales[[#This Row],[Unadj Res Value]]+Sales[[#This Row],[Unadj Det Value]]+Sales[[#This Row],[Unadj Land Value]]</f>
        <v>325800</v>
      </c>
      <c r="CJ129" s="13">
        <f>Sales[[#This Row],[Unadj Total Value]]/Sales[[#This Row],[Price]]</f>
        <v>1.1431578947368422</v>
      </c>
      <c r="CK129" s="13">
        <f>(Sales[[#This Row],[Unadj Total Value]]-Sales[[#This Row],[24Final]])/Sales[[#This Row],[24Final]]</f>
        <v>1.6853932584269662E-2</v>
      </c>
      <c r="CL129">
        <f>VLOOKUP(Sales[[#This Row],[TNbhd]],Lookups!$Q$2:$T$4,4,FALSE)</f>
        <v>0.99970000000000003</v>
      </c>
      <c r="CM129">
        <f>VLOOKUP(Sales[[#This Row],[Qlty]],Lookups!$O$7:$R$21,4,FALSE)</f>
        <v>1.0067999999999999</v>
      </c>
      <c r="CN129">
        <f>VLOOKUP(Sales[[#This Row],[Cnd]],Lookups!$T$7:$W$16,4,FALSE)</f>
        <v>0.99729999999999996</v>
      </c>
      <c r="CO129">
        <f>VLOOKUP(Sales[[#This Row],[LivArea Range]],Lookups!$T$25:$W$37,4,FALSE)</f>
        <v>1.0093000000000001</v>
      </c>
      <c r="CP129">
        <f>VLOOKUP(Sales[[#This Row],[Decade]],Lookups!$O$25:$R$42,4,FALSE)</f>
        <v>0.995</v>
      </c>
      <c r="CQ129">
        <f>Sales[[#This Row],[Nbhd Adj]]*0.95</f>
        <v>0.94971499999999998</v>
      </c>
      <c r="CR129">
        <f>Sales[[#This Row],[Nbhd Adj]]*Sales[[#This Row],[Quality Adj]]*Sales[[#This Row],[Condition Adj]]*Sales[[#This Row],[Living Area Adj]]*Sales[[#This Row],[Decade Adj]]*0.95</f>
        <v>0.957647495730095</v>
      </c>
      <c r="CS129">
        <f>ROUND(SUM(Sales[[#This Row],[Mdl Qlty]:[Mdl WdDeck]])+Sales[[#This Row],[Mdl Res Intercept]]*Sales[[#This Row],[Res Adj ]],-2)</f>
        <v>307600</v>
      </c>
      <c r="CT129">
        <f>ROUND(Sales[[#This Row],[25Det]]*Sales[[#This Row],[Det/Nbhd Adj]],-2)</f>
        <v>5300</v>
      </c>
      <c r="CU129">
        <f>Sales[[#This Row],[Adjusted Res]]+Sales[[#This Row],[Adj Det ]]</f>
        <v>312900</v>
      </c>
      <c r="CV129">
        <f>ROUND((Sales[[#This Row],[Mdl Land Intercept]]+Sales[[#This Row],[Mdl LnAcres]])*Sales[[#This Row],[Det/Nbhd Adj]],-2)</f>
        <v>32100</v>
      </c>
      <c r="CW129">
        <f>Sales[[#This Row],[Adjusted Impr Total]]+Sales[[#This Row],[Adjusted Land Total]]</f>
        <v>345000</v>
      </c>
      <c r="CX129" s="15">
        <f>IFERROR((Sales[[#This Row],[Adjusted Impr Total]]-Sales[[#This Row],[24Bldg]])/Sales[[#This Row],[24Bldg]],0)</f>
        <v>0.16884572282405677</v>
      </c>
      <c r="CY129" s="15">
        <f>(Sales[[#This Row],[Adjusted Land Total]]-Sales[[#This Row],[24Lnd]])/Sales[[#This Row],[24Lnd]]</f>
        <v>-0.39089184060721061</v>
      </c>
      <c r="CZ129" s="15">
        <f>(Sales[[#This Row],[Adjusted Total]]-Sales[[#This Row],[24Final]])/Sales[[#This Row],[24Final]]</f>
        <v>7.6779026217228458E-2</v>
      </c>
      <c r="DA129" s="15">
        <f>(Sales[[#This Row],[Adjusted Total]]+Sales[[#This Row],[Days Prior Total]])/Sales[[#This Row],[Price]]</f>
        <v>1.1362545299263158</v>
      </c>
    </row>
    <row r="130" spans="1:105" x14ac:dyDescent="0.3">
      <c r="A130">
        <v>2025</v>
      </c>
      <c r="B130">
        <v>18132331462</v>
      </c>
      <c r="C130">
        <v>-1.7147984280919266</v>
      </c>
      <c r="D130">
        <v>0.18</v>
      </c>
      <c r="E130">
        <v>0</v>
      </c>
      <c r="F130">
        <v>6</v>
      </c>
      <c r="G130" t="s">
        <v>126</v>
      </c>
      <c r="H130">
        <v>3032</v>
      </c>
      <c r="I130" t="s">
        <v>349</v>
      </c>
      <c r="J130" t="s">
        <v>30</v>
      </c>
      <c r="K130">
        <v>11</v>
      </c>
      <c r="L130">
        <v>259</v>
      </c>
      <c r="M130" t="s">
        <v>242</v>
      </c>
      <c r="N130" t="s">
        <v>351</v>
      </c>
      <c r="O130" t="s">
        <v>323</v>
      </c>
      <c r="P130">
        <v>80</v>
      </c>
      <c r="Q130">
        <v>1948</v>
      </c>
      <c r="R130">
        <v>1973</v>
      </c>
      <c r="S130">
        <v>76</v>
      </c>
      <c r="T130">
        <v>51</v>
      </c>
      <c r="U130">
        <v>1</v>
      </c>
      <c r="V130">
        <v>950</v>
      </c>
      <c r="W130">
        <v>0</v>
      </c>
      <c r="X130">
        <v>0</v>
      </c>
      <c r="Y130">
        <v>950</v>
      </c>
      <c r="Z130">
        <v>200</v>
      </c>
      <c r="AA130">
        <v>750</v>
      </c>
      <c r="AB130">
        <v>1700</v>
      </c>
      <c r="AC130">
        <v>2000</v>
      </c>
      <c r="AD130">
        <v>0</v>
      </c>
      <c r="AF130" t="s">
        <v>383</v>
      </c>
      <c r="AG130" t="s">
        <v>382</v>
      </c>
      <c r="AH130" t="s">
        <v>450</v>
      </c>
      <c r="AI130">
        <v>0</v>
      </c>
      <c r="AJ130">
        <v>1</v>
      </c>
      <c r="AK130">
        <v>0</v>
      </c>
      <c r="AL130">
        <v>0</v>
      </c>
      <c r="AM130">
        <v>0</v>
      </c>
      <c r="AN130">
        <v>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100</v>
      </c>
      <c r="AV130">
        <v>100</v>
      </c>
      <c r="AW130">
        <v>214371</v>
      </c>
      <c r="AX130">
        <v>150060</v>
      </c>
      <c r="AY130">
        <v>915</v>
      </c>
      <c r="AZ130">
        <v>365</v>
      </c>
      <c r="BA130">
        <v>365</v>
      </c>
      <c r="BB130">
        <v>185</v>
      </c>
      <c r="BC130" s="3">
        <v>44377</v>
      </c>
      <c r="BD130" t="s">
        <v>456</v>
      </c>
      <c r="BE130">
        <v>318274</v>
      </c>
      <c r="BF130">
        <v>313560</v>
      </c>
      <c r="BG130" t="s">
        <v>294</v>
      </c>
      <c r="BH130">
        <v>30</v>
      </c>
      <c r="BI130" t="s">
        <v>65</v>
      </c>
      <c r="BJ130" t="s">
        <v>450</v>
      </c>
      <c r="BK130">
        <v>308600</v>
      </c>
      <c r="BL130">
        <v>54700</v>
      </c>
      <c r="BM130">
        <v>253900</v>
      </c>
      <c r="BN130">
        <v>4714</v>
      </c>
      <c r="BO130">
        <v>0.96960480592194143</v>
      </c>
      <c r="BP130">
        <v>268616.88173432293</v>
      </c>
      <c r="BQ130">
        <v>314917.78270960361</v>
      </c>
      <c r="BR130" s="12">
        <f>(Sales[[#This Row],[DP1]]*Lookups!$B$59)+(Sales[[#This Row],[DP2]]*Lookups!$B$60)+(Sales[[#This Row],[DP3]]*Lookups!$B$61)</f>
        <v>-46300.900981570005</v>
      </c>
      <c r="BS130" s="12">
        <f>Lookups!$B$56*0</f>
        <v>0</v>
      </c>
      <c r="BT130" s="12">
        <f>Lookups!$B$56*1</f>
        <v>89850.625589999996</v>
      </c>
      <c r="BU130" s="12">
        <f>Lookups!$B$57*Sales[[#This Row],[LnAcres]]</f>
        <v>-54281.285314520763</v>
      </c>
      <c r="BV130" s="12">
        <f>VLOOKUP(Sales[[#This Row],[Qlty]],Lookups!$A$62:$E$75,2,FALSE)</f>
        <v>21557.329055999999</v>
      </c>
      <c r="BW130" s="12">
        <f>VLOOKUP(Sales[[#This Row],[Cnd]],Lookups!$A$76:$E$84,2,FALSE)</f>
        <v>160472.20319</v>
      </c>
      <c r="BX130" s="12">
        <f>Sales[[#This Row],[EffAge]]*Lookups!$B$85</f>
        <v>-11375.3256255</v>
      </c>
      <c r="BY130" s="12">
        <f>Sales[[#This Row],[MainFn]]*Lookups!$B$86</f>
        <v>46938.236383150004</v>
      </c>
      <c r="BZ130" s="12">
        <f>Sales[[#This Row],[UpprFn]]*Lookups!$B$87</f>
        <v>0</v>
      </c>
      <c r="CA130" s="12">
        <f>Sales[[#This Row],[AddFn]]*Lookups!$B$88</f>
        <v>0</v>
      </c>
      <c r="CB130" s="12">
        <f>Sales[[#This Row],[Bsmt]]*Lookups!$B$89</f>
        <v>27627.800484649997</v>
      </c>
      <c r="CC130" s="12">
        <f>Sales[[#This Row],[Fixtures]]*Lookups!$B$90</f>
        <v>34128.198946800003</v>
      </c>
      <c r="CD130" s="12">
        <f>Sales[[#This Row],[WdDeck]]*Lookups!$B$91</f>
        <v>0</v>
      </c>
      <c r="CE130" s="12">
        <f>SUM(Sales[[#This Row],[Days Prior Total]:[Mdl WdDeck]])</f>
        <v>268616.88172900927</v>
      </c>
      <c r="CF130" s="12">
        <f>ROUND(Sales[[#This Row],[25Det]],-2)</f>
        <v>4700</v>
      </c>
      <c r="CG130" s="12">
        <f>ROUND(SUM(Sales[[#This Row],[Mdl Qlty]:[Mdl WdDeck]])+Sales[[#This Row],[Mdl Res Intercept]]+Sales[[#This Row],[Days Prior Total]],-2)</f>
        <v>233000</v>
      </c>
      <c r="CH130" s="12">
        <f>ROUND(Sales[[#This Row],[Mdl Land Intercept]]+Sales[[#This Row],[Mdl LnAcres]],-2)</f>
        <v>35600</v>
      </c>
      <c r="CI130" s="12">
        <f>Sales[[#This Row],[Unadj Res Value]]+Sales[[#This Row],[Unadj Det Value]]+Sales[[#This Row],[Unadj Land Value]]</f>
        <v>273300</v>
      </c>
      <c r="CJ130" s="13">
        <f>Sales[[#This Row],[Unadj Total Value]]/Sales[[#This Row],[Price]]</f>
        <v>0.85869408120047508</v>
      </c>
      <c r="CK130" s="13">
        <f>(Sales[[#This Row],[Unadj Total Value]]-Sales[[#This Row],[24Final]])/Sales[[#This Row],[24Final]]</f>
        <v>-0.11438755670771225</v>
      </c>
      <c r="CL130">
        <f>VLOOKUP(Sales[[#This Row],[TNbhd]],Lookups!$Q$2:$T$4,4,FALSE)</f>
        <v>0.99970000000000003</v>
      </c>
      <c r="CM130">
        <f>VLOOKUP(Sales[[#This Row],[Qlty]],Lookups!$O$7:$R$21,4,FALSE)</f>
        <v>1.0067999999999999</v>
      </c>
      <c r="CN130">
        <f>VLOOKUP(Sales[[#This Row],[Cnd]],Lookups!$T$7:$W$16,4,FALSE)</f>
        <v>0.99729999999999996</v>
      </c>
      <c r="CO130">
        <f>VLOOKUP(Sales[[#This Row],[LivArea Range]],Lookups!$T$25:$W$37,4,FALSE)</f>
        <v>1.0093000000000001</v>
      </c>
      <c r="CP130">
        <f>VLOOKUP(Sales[[#This Row],[Decade]],Lookups!$O$25:$R$42,4,FALSE)</f>
        <v>0.995</v>
      </c>
      <c r="CQ130">
        <f>Sales[[#This Row],[Nbhd Adj]]*0.95</f>
        <v>0.94971499999999998</v>
      </c>
      <c r="CR130">
        <f>Sales[[#This Row],[Nbhd Adj]]*Sales[[#This Row],[Quality Adj]]*Sales[[#This Row],[Condition Adj]]*Sales[[#This Row],[Living Area Adj]]*Sales[[#This Row],[Decade Adj]]*0.95</f>
        <v>0.957647495730095</v>
      </c>
      <c r="CS130">
        <f>ROUND(SUM(Sales[[#This Row],[Mdl Qlty]:[Mdl WdDeck]])+Sales[[#This Row],[Mdl Res Intercept]]*Sales[[#This Row],[Res Adj ]],-2)</f>
        <v>279300</v>
      </c>
      <c r="CT130">
        <f>ROUND(Sales[[#This Row],[25Det]]*Sales[[#This Row],[Det/Nbhd Adj]],-2)</f>
        <v>4500</v>
      </c>
      <c r="CU130">
        <f>Sales[[#This Row],[Adjusted Res]]+Sales[[#This Row],[Adj Det ]]</f>
        <v>283800</v>
      </c>
      <c r="CV130">
        <f>ROUND((Sales[[#This Row],[Mdl Land Intercept]]+Sales[[#This Row],[Mdl LnAcres]])*Sales[[#This Row],[Det/Nbhd Adj]],-2)</f>
        <v>33800</v>
      </c>
      <c r="CW130">
        <f>Sales[[#This Row],[Adjusted Impr Total]]+Sales[[#This Row],[Adjusted Land Total]]</f>
        <v>317600</v>
      </c>
      <c r="CX130" s="15">
        <f>IFERROR((Sales[[#This Row],[Adjusted Impr Total]]-Sales[[#This Row],[24Bldg]])/Sales[[#This Row],[24Bldg]],0)</f>
        <v>0.11776289877904687</v>
      </c>
      <c r="CY130" s="15">
        <f>(Sales[[#This Row],[Adjusted Land Total]]-Sales[[#This Row],[24Lnd]])/Sales[[#This Row],[24Lnd]]</f>
        <v>-0.38208409506398539</v>
      </c>
      <c r="CZ130" s="15">
        <f>(Sales[[#This Row],[Adjusted Total]]-Sales[[#This Row],[24Final]])/Sales[[#This Row],[24Final]]</f>
        <v>2.916396629941672E-2</v>
      </c>
      <c r="DA130" s="15">
        <f>(Sales[[#This Row],[Adjusted Total]]+Sales[[#This Row],[Days Prior Total]])/Sales[[#This Row],[Price]]</f>
        <v>0.85240735661232148</v>
      </c>
    </row>
    <row r="131" spans="1:105" x14ac:dyDescent="0.3">
      <c r="A131">
        <v>2025</v>
      </c>
      <c r="B131">
        <v>18132243470</v>
      </c>
      <c r="C131">
        <v>-1.7147984280919266</v>
      </c>
      <c r="D131">
        <v>0.18</v>
      </c>
      <c r="E131">
        <v>7917</v>
      </c>
      <c r="F131">
        <v>6</v>
      </c>
      <c r="G131" t="s">
        <v>126</v>
      </c>
      <c r="H131">
        <v>3093</v>
      </c>
      <c r="I131" t="s">
        <v>349</v>
      </c>
      <c r="J131" t="s">
        <v>30</v>
      </c>
      <c r="K131">
        <v>11</v>
      </c>
      <c r="L131">
        <v>259</v>
      </c>
      <c r="M131" t="s">
        <v>241</v>
      </c>
      <c r="N131" t="s">
        <v>351</v>
      </c>
      <c r="O131" t="s">
        <v>323</v>
      </c>
      <c r="P131">
        <v>80</v>
      </c>
      <c r="Q131">
        <v>1948</v>
      </c>
      <c r="R131">
        <v>1973</v>
      </c>
      <c r="S131">
        <v>76</v>
      </c>
      <c r="T131">
        <v>51</v>
      </c>
      <c r="U131">
        <v>1</v>
      </c>
      <c r="V131">
        <v>1364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1364</v>
      </c>
      <c r="AC131">
        <v>1500</v>
      </c>
      <c r="AD131">
        <v>0</v>
      </c>
      <c r="AE131" t="s">
        <v>6</v>
      </c>
      <c r="AF131" t="s">
        <v>383</v>
      </c>
      <c r="AG131" t="s">
        <v>148</v>
      </c>
      <c r="AH131" t="s">
        <v>65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5</v>
      </c>
      <c r="AO131">
        <v>0</v>
      </c>
      <c r="AP131">
        <v>0</v>
      </c>
      <c r="AQ131">
        <v>276</v>
      </c>
      <c r="AR131">
        <v>0</v>
      </c>
      <c r="AS131">
        <v>648</v>
      </c>
      <c r="AT131">
        <v>0</v>
      </c>
      <c r="AU131">
        <v>100</v>
      </c>
      <c r="AV131">
        <v>100</v>
      </c>
      <c r="AW131">
        <v>200028</v>
      </c>
      <c r="AX131">
        <v>140020</v>
      </c>
      <c r="AY131">
        <v>950</v>
      </c>
      <c r="AZ131">
        <v>365</v>
      </c>
      <c r="BA131">
        <v>365</v>
      </c>
      <c r="BB131">
        <v>220</v>
      </c>
      <c r="BC131" s="3">
        <v>44342</v>
      </c>
      <c r="BD131" t="s">
        <v>71</v>
      </c>
      <c r="BE131">
        <v>254000</v>
      </c>
      <c r="BF131">
        <v>254000</v>
      </c>
      <c r="BG131" t="s">
        <v>294</v>
      </c>
      <c r="BH131">
        <v>30</v>
      </c>
      <c r="BI131" t="s">
        <v>65</v>
      </c>
      <c r="BJ131" t="s">
        <v>450</v>
      </c>
      <c r="BK131">
        <v>284600</v>
      </c>
      <c r="BL131">
        <v>54700</v>
      </c>
      <c r="BM131">
        <v>229900</v>
      </c>
      <c r="BN131">
        <v>0</v>
      </c>
      <c r="BO131">
        <v>1.1204724409448819</v>
      </c>
      <c r="BP131">
        <v>241595.92220669755</v>
      </c>
      <c r="BQ131">
        <v>292577.08313259762</v>
      </c>
      <c r="BR131" s="12">
        <f>(Sales[[#This Row],[DP1]]*Lookups!$B$59)+(Sales[[#This Row],[DP2]]*Lookups!$B$60)+(Sales[[#This Row],[DP3]]*Lookups!$B$61)</f>
        <v>-50981.160933070001</v>
      </c>
      <c r="BS131" s="12">
        <f>Lookups!$B$56*0</f>
        <v>0</v>
      </c>
      <c r="BT131" s="12">
        <f>Lookups!$B$56*1</f>
        <v>89850.625589999996</v>
      </c>
      <c r="BU131" s="12">
        <f>Lookups!$B$57*Sales[[#This Row],[LnAcres]]</f>
        <v>-54281.285314520763</v>
      </c>
      <c r="BV131" s="12">
        <f>VLOOKUP(Sales[[#This Row],[Qlty]],Lookups!$A$62:$E$75,2,FALSE)</f>
        <v>21557.329055999999</v>
      </c>
      <c r="BW131" s="12">
        <f>VLOOKUP(Sales[[#This Row],[Cnd]],Lookups!$A$76:$E$84,2,FALSE)</f>
        <v>160472.20319</v>
      </c>
      <c r="BX131" s="12">
        <f>Sales[[#This Row],[EffAge]]*Lookups!$B$85</f>
        <v>-11375.3256255</v>
      </c>
      <c r="BY131" s="12">
        <f>Sales[[#This Row],[MainFn]]*Lookups!$B$86</f>
        <v>67393.425712227996</v>
      </c>
      <c r="BZ131" s="12">
        <f>Sales[[#This Row],[UpprFn]]*Lookups!$B$87</f>
        <v>0</v>
      </c>
      <c r="CA131" s="12">
        <f>Sales[[#This Row],[AddFn]]*Lookups!$B$88</f>
        <v>0</v>
      </c>
      <c r="CB131" s="12">
        <f>Sales[[#This Row],[Bsmt]]*Lookups!$B$89</f>
        <v>0</v>
      </c>
      <c r="CC131" s="12">
        <f>Sales[[#This Row],[Fixtures]]*Lookups!$B$90</f>
        <v>18960.110526</v>
      </c>
      <c r="CD131" s="12">
        <f>Sales[[#This Row],[WdDeck]]*Lookups!$B$91</f>
        <v>0</v>
      </c>
      <c r="CE131" s="12">
        <f>SUM(Sales[[#This Row],[Days Prior Total]:[Mdl WdDeck]])</f>
        <v>241595.92220113723</v>
      </c>
      <c r="CF131" s="12">
        <f>ROUND(Sales[[#This Row],[25Det]],-2)</f>
        <v>0</v>
      </c>
      <c r="CG131" s="12">
        <f>ROUND(SUM(Sales[[#This Row],[Mdl Qlty]:[Mdl WdDeck]])+Sales[[#This Row],[Mdl Res Intercept]]+Sales[[#This Row],[Days Prior Total]],-2)</f>
        <v>206000</v>
      </c>
      <c r="CH131" s="12">
        <f>ROUND(Sales[[#This Row],[Mdl Land Intercept]]+Sales[[#This Row],[Mdl LnAcres]],-2)</f>
        <v>35600</v>
      </c>
      <c r="CI131" s="12">
        <f>Sales[[#This Row],[Unadj Res Value]]+Sales[[#This Row],[Unadj Det Value]]+Sales[[#This Row],[Unadj Land Value]]</f>
        <v>241600</v>
      </c>
      <c r="CJ131" s="13">
        <f>Sales[[#This Row],[Unadj Total Value]]/Sales[[#This Row],[Price]]</f>
        <v>0.95118110236220477</v>
      </c>
      <c r="CK131" s="13">
        <f>(Sales[[#This Row],[Unadj Total Value]]-Sales[[#This Row],[24Final]])/Sales[[#This Row],[24Final]]</f>
        <v>-0.1510892480674631</v>
      </c>
      <c r="CL131">
        <f>VLOOKUP(Sales[[#This Row],[TNbhd]],Lookups!$Q$2:$T$4,4,FALSE)</f>
        <v>0.99970000000000003</v>
      </c>
      <c r="CM131">
        <f>VLOOKUP(Sales[[#This Row],[Qlty]],Lookups!$O$7:$R$21,4,FALSE)</f>
        <v>1.0067999999999999</v>
      </c>
      <c r="CN131">
        <f>VLOOKUP(Sales[[#This Row],[Cnd]],Lookups!$T$7:$W$16,4,FALSE)</f>
        <v>0.99729999999999996</v>
      </c>
      <c r="CO131">
        <f>VLOOKUP(Sales[[#This Row],[LivArea Range]],Lookups!$T$25:$W$37,4,FALSE)</f>
        <v>1.0157</v>
      </c>
      <c r="CP131">
        <f>VLOOKUP(Sales[[#This Row],[Decade]],Lookups!$O$25:$R$42,4,FALSE)</f>
        <v>0.995</v>
      </c>
      <c r="CQ131">
        <f>Sales[[#This Row],[Nbhd Adj]]*0.95</f>
        <v>0.94971499999999998</v>
      </c>
      <c r="CR131">
        <f>Sales[[#This Row],[Nbhd Adj]]*Sales[[#This Row],[Quality Adj]]*Sales[[#This Row],[Condition Adj]]*Sales[[#This Row],[Living Area Adj]]*Sales[[#This Row],[Decade Adj]]*0.95</f>
        <v>0.96371996573175212</v>
      </c>
      <c r="CS131">
        <f>ROUND(SUM(Sales[[#This Row],[Mdl Qlty]:[Mdl WdDeck]])+Sales[[#This Row],[Mdl Res Intercept]]*Sales[[#This Row],[Res Adj ]],-2)</f>
        <v>257000</v>
      </c>
      <c r="CT131">
        <f>ROUND(Sales[[#This Row],[25Det]]*Sales[[#This Row],[Det/Nbhd Adj]],-2)</f>
        <v>0</v>
      </c>
      <c r="CU131">
        <f>Sales[[#This Row],[Adjusted Res]]+Sales[[#This Row],[Adj Det ]]</f>
        <v>257000</v>
      </c>
      <c r="CV131">
        <f>ROUND((Sales[[#This Row],[Mdl Land Intercept]]+Sales[[#This Row],[Mdl LnAcres]])*Sales[[#This Row],[Det/Nbhd Adj]],-2)</f>
        <v>33800</v>
      </c>
      <c r="CW131">
        <f>Sales[[#This Row],[Adjusted Impr Total]]+Sales[[#This Row],[Adjusted Land Total]]</f>
        <v>290800</v>
      </c>
      <c r="CX131" s="15">
        <f>IFERROR((Sales[[#This Row],[Adjusted Impr Total]]-Sales[[#This Row],[24Bldg]])/Sales[[#This Row],[24Bldg]],0)</f>
        <v>0.11787733797303175</v>
      </c>
      <c r="CY131" s="15">
        <f>(Sales[[#This Row],[Adjusted Land Total]]-Sales[[#This Row],[24Lnd]])/Sales[[#This Row],[24Lnd]]</f>
        <v>-0.38208409506398539</v>
      </c>
      <c r="CZ131" s="15">
        <f>(Sales[[#This Row],[Adjusted Total]]-Sales[[#This Row],[24Final]])/Sales[[#This Row],[24Final]]</f>
        <v>2.1784961349262121E-2</v>
      </c>
      <c r="DA131" s="15">
        <f>(Sales[[#This Row],[Adjusted Total]]+Sales[[#This Row],[Days Prior Total]])/Sales[[#This Row],[Price]]</f>
        <v>0.94416865774381886</v>
      </c>
    </row>
    <row r="132" spans="1:105" x14ac:dyDescent="0.3">
      <c r="A132">
        <v>2025</v>
      </c>
      <c r="B132">
        <v>18132313511</v>
      </c>
      <c r="C132">
        <v>-1.8325814637483102</v>
      </c>
      <c r="D132">
        <v>0.16</v>
      </c>
      <c r="E132">
        <v>7001</v>
      </c>
      <c r="F132">
        <v>6</v>
      </c>
      <c r="G132" t="s">
        <v>126</v>
      </c>
      <c r="H132">
        <v>3033</v>
      </c>
      <c r="I132" t="s">
        <v>349</v>
      </c>
      <c r="J132" t="s">
        <v>30</v>
      </c>
      <c r="K132">
        <v>11</v>
      </c>
      <c r="L132">
        <v>400</v>
      </c>
      <c r="M132" t="s">
        <v>269</v>
      </c>
      <c r="N132" t="s">
        <v>351</v>
      </c>
      <c r="O132" t="s">
        <v>303</v>
      </c>
      <c r="P132">
        <v>80</v>
      </c>
      <c r="Q132">
        <v>1948</v>
      </c>
      <c r="R132">
        <v>1973</v>
      </c>
      <c r="S132">
        <v>76</v>
      </c>
      <c r="T132">
        <v>51</v>
      </c>
      <c r="U132">
        <v>1</v>
      </c>
      <c r="V132">
        <v>1101</v>
      </c>
      <c r="W132">
        <v>0</v>
      </c>
      <c r="X132">
        <v>0</v>
      </c>
      <c r="Y132">
        <v>672</v>
      </c>
      <c r="Z132">
        <v>21</v>
      </c>
      <c r="AA132">
        <v>651</v>
      </c>
      <c r="AB132">
        <v>1752</v>
      </c>
      <c r="AC132">
        <v>2000</v>
      </c>
      <c r="AD132">
        <v>0</v>
      </c>
      <c r="AF132" t="s">
        <v>383</v>
      </c>
      <c r="AG132" t="s">
        <v>148</v>
      </c>
      <c r="AH132" t="s">
        <v>450</v>
      </c>
      <c r="AI132">
        <v>0</v>
      </c>
      <c r="AJ132">
        <v>1</v>
      </c>
      <c r="AK132">
        <v>0</v>
      </c>
      <c r="AL132">
        <v>0</v>
      </c>
      <c r="AM132">
        <v>0</v>
      </c>
      <c r="AN132">
        <v>5</v>
      </c>
      <c r="AO132">
        <v>0</v>
      </c>
      <c r="AP132">
        <v>0</v>
      </c>
      <c r="AQ132">
        <v>0</v>
      </c>
      <c r="AR132">
        <v>0</v>
      </c>
      <c r="AS132">
        <v>360</v>
      </c>
      <c r="AT132">
        <v>144</v>
      </c>
      <c r="AU132">
        <v>100</v>
      </c>
      <c r="AV132">
        <v>100</v>
      </c>
      <c r="AW132">
        <v>226894</v>
      </c>
      <c r="AX132">
        <v>176977</v>
      </c>
      <c r="AY132">
        <v>509</v>
      </c>
      <c r="AZ132">
        <v>365</v>
      </c>
      <c r="BA132">
        <v>144</v>
      </c>
      <c r="BB132">
        <v>0</v>
      </c>
      <c r="BC132" s="3">
        <v>44783</v>
      </c>
      <c r="BD132" t="s">
        <v>79</v>
      </c>
      <c r="BE132">
        <v>330000</v>
      </c>
      <c r="BF132">
        <v>323076</v>
      </c>
      <c r="BG132" t="s">
        <v>294</v>
      </c>
      <c r="BH132">
        <v>30</v>
      </c>
      <c r="BI132" t="s">
        <v>65</v>
      </c>
      <c r="BJ132" t="s">
        <v>450</v>
      </c>
      <c r="BK132">
        <v>321300</v>
      </c>
      <c r="BL132">
        <v>50600</v>
      </c>
      <c r="BM132">
        <v>270700</v>
      </c>
      <c r="BN132">
        <v>6924</v>
      </c>
      <c r="BO132">
        <v>0.97363636363636363</v>
      </c>
      <c r="BP132">
        <v>308577.23882039299</v>
      </c>
      <c r="BQ132">
        <v>332677.4038489766</v>
      </c>
      <c r="BR132" s="12">
        <f>(Sales[[#This Row],[DP1]]*Lookups!$B$59)+(Sales[[#This Row],[DP2]]*Lookups!$B$60)+(Sales[[#This Row],[DP3]]*Lookups!$B$61)</f>
        <v>-24100.165030161999</v>
      </c>
      <c r="BS132" s="12">
        <f>Lookups!$B$56*0</f>
        <v>0</v>
      </c>
      <c r="BT132" s="12">
        <f>Lookups!$B$56*1</f>
        <v>89850.625589999996</v>
      </c>
      <c r="BU132" s="12">
        <f>Lookups!$B$57*Sales[[#This Row],[LnAcres]]</f>
        <v>-58009.662049032086</v>
      </c>
      <c r="BV132" s="12">
        <f>VLOOKUP(Sales[[#This Row],[Qlty]],Lookups!$A$62:$E$75,2,FALSE)</f>
        <v>21557.329055999999</v>
      </c>
      <c r="BW132" s="12">
        <f>VLOOKUP(Sales[[#This Row],[Cnd]],Lookups!$A$76:$E$84,2,FALSE)</f>
        <v>197752.34721000001</v>
      </c>
      <c r="BX132" s="12">
        <f>Sales[[#This Row],[EffAge]]*Lookups!$B$85</f>
        <v>-11375.3256255</v>
      </c>
      <c r="BY132" s="12">
        <f>Sales[[#This Row],[MainFn]]*Lookups!$B$86</f>
        <v>54398.945534577004</v>
      </c>
      <c r="BZ132" s="12">
        <f>Sales[[#This Row],[UpprFn]]*Lookups!$B$87</f>
        <v>0</v>
      </c>
      <c r="CA132" s="12">
        <f>Sales[[#This Row],[AddFn]]*Lookups!$B$88</f>
        <v>0</v>
      </c>
      <c r="CB132" s="12">
        <f>Sales[[#This Row],[Bsmt]]*Lookups!$B$89</f>
        <v>19543.033605983997</v>
      </c>
      <c r="CC132" s="12">
        <f>Sales[[#This Row],[Fixtures]]*Lookups!$B$90</f>
        <v>18960.110526</v>
      </c>
      <c r="CD132" s="12">
        <f>Sales[[#This Row],[WdDeck]]*Lookups!$B$91</f>
        <v>0</v>
      </c>
      <c r="CE132" s="12">
        <f>SUM(Sales[[#This Row],[Days Prior Total]:[Mdl WdDeck]])</f>
        <v>308577.23881786689</v>
      </c>
      <c r="CF132" s="12">
        <f>ROUND(Sales[[#This Row],[25Det]],-2)</f>
        <v>6900</v>
      </c>
      <c r="CG132" s="12">
        <f>ROUND(SUM(Sales[[#This Row],[Mdl Qlty]:[Mdl WdDeck]])+Sales[[#This Row],[Mdl Res Intercept]]+Sales[[#This Row],[Days Prior Total]],-2)</f>
        <v>276700</v>
      </c>
      <c r="CH132" s="12">
        <f>ROUND(Sales[[#This Row],[Mdl Land Intercept]]+Sales[[#This Row],[Mdl LnAcres]],-2)</f>
        <v>31800</v>
      </c>
      <c r="CI132" s="12">
        <f>Sales[[#This Row],[Unadj Res Value]]+Sales[[#This Row],[Unadj Det Value]]+Sales[[#This Row],[Unadj Land Value]]</f>
        <v>315400</v>
      </c>
      <c r="CJ132" s="13">
        <f>Sales[[#This Row],[Unadj Total Value]]/Sales[[#This Row],[Price]]</f>
        <v>0.95575757575757581</v>
      </c>
      <c r="CK132" s="13">
        <f>(Sales[[#This Row],[Unadj Total Value]]-Sales[[#This Row],[24Final]])/Sales[[#This Row],[24Final]]</f>
        <v>-1.8362900715841891E-2</v>
      </c>
      <c r="CL132">
        <f>VLOOKUP(Sales[[#This Row],[TNbhd]],Lookups!$Q$2:$T$4,4,FALSE)</f>
        <v>0.99970000000000003</v>
      </c>
      <c r="CM132">
        <f>VLOOKUP(Sales[[#This Row],[Qlty]],Lookups!$O$7:$R$21,4,FALSE)</f>
        <v>1.0067999999999999</v>
      </c>
      <c r="CN132">
        <f>VLOOKUP(Sales[[#This Row],[Cnd]],Lookups!$T$7:$W$16,4,FALSE)</f>
        <v>0.99650000000000005</v>
      </c>
      <c r="CO132">
        <f>VLOOKUP(Sales[[#This Row],[LivArea Range]],Lookups!$T$25:$W$37,4,FALSE)</f>
        <v>1.0093000000000001</v>
      </c>
      <c r="CP132">
        <f>VLOOKUP(Sales[[#This Row],[Decade]],Lookups!$O$25:$R$42,4,FALSE)</f>
        <v>0.995</v>
      </c>
      <c r="CQ132">
        <f>Sales[[#This Row],[Nbhd Adj]]*0.95</f>
        <v>0.94971499999999998</v>
      </c>
      <c r="CR132">
        <f>Sales[[#This Row],[Nbhd Adj]]*Sales[[#This Row],[Quality Adj]]*Sales[[#This Row],[Condition Adj]]*Sales[[#This Row],[Living Area Adj]]*Sales[[#This Row],[Decade Adj]]*0.95</f>
        <v>0.95687930361479956</v>
      </c>
      <c r="CS132">
        <f>ROUND(SUM(Sales[[#This Row],[Mdl Qlty]:[Mdl WdDeck]])+Sales[[#This Row],[Mdl Res Intercept]]*Sales[[#This Row],[Res Adj ]],-2)</f>
        <v>300800</v>
      </c>
      <c r="CT132">
        <f>ROUND(Sales[[#This Row],[25Det]]*Sales[[#This Row],[Det/Nbhd Adj]],-2)</f>
        <v>6600</v>
      </c>
      <c r="CU132">
        <f>Sales[[#This Row],[Adjusted Res]]+Sales[[#This Row],[Adj Det ]]</f>
        <v>307400</v>
      </c>
      <c r="CV132">
        <f>ROUND((Sales[[#This Row],[Mdl Land Intercept]]+Sales[[#This Row],[Mdl LnAcres]])*Sales[[#This Row],[Det/Nbhd Adj]],-2)</f>
        <v>30200</v>
      </c>
      <c r="CW132">
        <f>Sales[[#This Row],[Adjusted Impr Total]]+Sales[[#This Row],[Adjusted Land Total]]</f>
        <v>337600</v>
      </c>
      <c r="CX132" s="15">
        <f>IFERROR((Sales[[#This Row],[Adjusted Impr Total]]-Sales[[#This Row],[24Bldg]])/Sales[[#This Row],[24Bldg]],0)</f>
        <v>0.13557443664573329</v>
      </c>
      <c r="CY132" s="15">
        <f>(Sales[[#This Row],[Adjusted Land Total]]-Sales[[#This Row],[24Lnd]])/Sales[[#This Row],[24Lnd]]</f>
        <v>-0.40316205533596838</v>
      </c>
      <c r="CZ132" s="15">
        <f>(Sales[[#This Row],[Adjusted Total]]-Sales[[#This Row],[24Final]])/Sales[[#This Row],[24Final]]</f>
        <v>5.0731403672580146E-2</v>
      </c>
      <c r="DA132" s="15">
        <f>(Sales[[#This Row],[Adjusted Total]]+Sales[[#This Row],[Days Prior Total]])/Sales[[#This Row],[Price]]</f>
        <v>0.94999949990859989</v>
      </c>
    </row>
    <row r="133" spans="1:105" x14ac:dyDescent="0.3">
      <c r="A133">
        <v>2025</v>
      </c>
      <c r="B133">
        <v>18132241439</v>
      </c>
      <c r="C133">
        <v>-1.6094379124341003</v>
      </c>
      <c r="D133">
        <v>0.2</v>
      </c>
      <c r="E133">
        <v>8680</v>
      </c>
      <c r="F133">
        <v>6</v>
      </c>
      <c r="G133" t="s">
        <v>126</v>
      </c>
      <c r="H133">
        <v>3093</v>
      </c>
      <c r="I133" t="s">
        <v>349</v>
      </c>
      <c r="J133" t="s">
        <v>30</v>
      </c>
      <c r="K133">
        <v>11</v>
      </c>
      <c r="L133">
        <v>259</v>
      </c>
      <c r="M133" t="s">
        <v>242</v>
      </c>
      <c r="N133" t="s">
        <v>302</v>
      </c>
      <c r="O133" t="s">
        <v>323</v>
      </c>
      <c r="P133">
        <v>80</v>
      </c>
      <c r="Q133">
        <v>1948</v>
      </c>
      <c r="R133">
        <v>1973</v>
      </c>
      <c r="S133">
        <v>76</v>
      </c>
      <c r="T133">
        <v>51</v>
      </c>
      <c r="U133">
        <v>1</v>
      </c>
      <c r="V133">
        <v>1269</v>
      </c>
      <c r="W133">
        <v>0</v>
      </c>
      <c r="X133">
        <v>0</v>
      </c>
      <c r="Y133">
        <v>1259</v>
      </c>
      <c r="Z133">
        <v>659</v>
      </c>
      <c r="AA133">
        <v>600</v>
      </c>
      <c r="AB133">
        <v>1869</v>
      </c>
      <c r="AC133">
        <v>2000</v>
      </c>
      <c r="AD133">
        <v>0</v>
      </c>
      <c r="AF133" t="s">
        <v>383</v>
      </c>
      <c r="AG133" t="s">
        <v>148</v>
      </c>
      <c r="AH133" t="s">
        <v>450</v>
      </c>
      <c r="AI133">
        <v>0</v>
      </c>
      <c r="AJ133">
        <v>1</v>
      </c>
      <c r="AK133">
        <v>0</v>
      </c>
      <c r="AL133">
        <v>1</v>
      </c>
      <c r="AM133">
        <v>0</v>
      </c>
      <c r="AN133">
        <v>9</v>
      </c>
      <c r="AO133">
        <v>0</v>
      </c>
      <c r="AP133">
        <v>0</v>
      </c>
      <c r="AQ133">
        <v>0</v>
      </c>
      <c r="AR133">
        <v>0</v>
      </c>
      <c r="AS133">
        <v>340</v>
      </c>
      <c r="AT133">
        <v>200</v>
      </c>
      <c r="AU133">
        <v>100</v>
      </c>
      <c r="AV133">
        <v>100</v>
      </c>
      <c r="AW133">
        <v>316731</v>
      </c>
      <c r="AX133">
        <v>221712</v>
      </c>
      <c r="AY133">
        <v>293</v>
      </c>
      <c r="AZ133">
        <v>293</v>
      </c>
      <c r="BA133">
        <v>0</v>
      </c>
      <c r="BB133">
        <v>0</v>
      </c>
      <c r="BC133" s="3">
        <v>44999</v>
      </c>
      <c r="BD133" t="s">
        <v>138</v>
      </c>
      <c r="BE133">
        <v>330000</v>
      </c>
      <c r="BF133">
        <v>323976</v>
      </c>
      <c r="BG133" t="s">
        <v>294</v>
      </c>
      <c r="BH133">
        <v>30</v>
      </c>
      <c r="BI133" t="s">
        <v>65</v>
      </c>
      <c r="BJ133" t="s">
        <v>450</v>
      </c>
      <c r="BK133">
        <v>342400</v>
      </c>
      <c r="BL133">
        <v>58400</v>
      </c>
      <c r="BM133">
        <v>284000</v>
      </c>
      <c r="BN133">
        <v>6024</v>
      </c>
      <c r="BO133">
        <v>1.0375757575757576</v>
      </c>
      <c r="BP133">
        <v>330583.81318026368</v>
      </c>
      <c r="BQ133">
        <v>351257.36477403616</v>
      </c>
      <c r="BR133" s="12">
        <f>(Sales[[#This Row],[DP1]]*Lookups!$B$59)+(Sales[[#This Row],[DP2]]*Lookups!$B$60)+(Sales[[#This Row],[DP3]]*Lookups!$B$61)</f>
        <v>-20673.551595010002</v>
      </c>
      <c r="BS133" s="12">
        <f>Lookups!$B$56*0</f>
        <v>0</v>
      </c>
      <c r="BT133" s="12">
        <f>Lookups!$B$56*1</f>
        <v>89850.625589999996</v>
      </c>
      <c r="BU133" s="12">
        <f>Lookups!$B$57*Sales[[#This Row],[LnAcres]]</f>
        <v>-50946.13867709865</v>
      </c>
      <c r="BV133" s="12">
        <f>VLOOKUP(Sales[[#This Row],[Qlty]],Lookups!$A$62:$E$75,2,FALSE)</f>
        <v>29814.093161000001</v>
      </c>
      <c r="BW133" s="12">
        <f>VLOOKUP(Sales[[#This Row],[Cnd]],Lookups!$A$76:$E$84,2,FALSE)</f>
        <v>160472.20319</v>
      </c>
      <c r="BX133" s="12">
        <f>Sales[[#This Row],[EffAge]]*Lookups!$B$85</f>
        <v>-11375.3256255</v>
      </c>
      <c r="BY133" s="12">
        <f>Sales[[#This Row],[MainFn]]*Lookups!$B$86</f>
        <v>62699.602073913004</v>
      </c>
      <c r="BZ133" s="12">
        <f>Sales[[#This Row],[UpprFn]]*Lookups!$B$87</f>
        <v>0</v>
      </c>
      <c r="CA133" s="12">
        <f>Sales[[#This Row],[AddFn]]*Lookups!$B$88</f>
        <v>0</v>
      </c>
      <c r="CB133" s="12">
        <f>Sales[[#This Row],[Bsmt]]*Lookups!$B$89</f>
        <v>36614.106115973002</v>
      </c>
      <c r="CC133" s="12">
        <f>Sales[[#This Row],[Fixtures]]*Lookups!$B$90</f>
        <v>34128.198946800003</v>
      </c>
      <c r="CD133" s="12">
        <f>Sales[[#This Row],[WdDeck]]*Lookups!$B$91</f>
        <v>0</v>
      </c>
      <c r="CE133" s="12">
        <f>SUM(Sales[[#This Row],[Days Prior Total]:[Mdl WdDeck]])</f>
        <v>330583.81318007741</v>
      </c>
      <c r="CF133" s="12">
        <f>ROUND(Sales[[#This Row],[25Det]],-2)</f>
        <v>6000</v>
      </c>
      <c r="CG133" s="12">
        <f>ROUND(SUM(Sales[[#This Row],[Mdl Qlty]:[Mdl WdDeck]])+Sales[[#This Row],[Mdl Res Intercept]]+Sales[[#This Row],[Days Prior Total]],-2)</f>
        <v>291700</v>
      </c>
      <c r="CH133" s="12">
        <f>ROUND(Sales[[#This Row],[Mdl Land Intercept]]+Sales[[#This Row],[Mdl LnAcres]],-2)</f>
        <v>38900</v>
      </c>
      <c r="CI133" s="12">
        <f>Sales[[#This Row],[Unadj Res Value]]+Sales[[#This Row],[Unadj Det Value]]+Sales[[#This Row],[Unadj Land Value]]</f>
        <v>336600</v>
      </c>
      <c r="CJ133" s="13">
        <f>Sales[[#This Row],[Unadj Total Value]]/Sales[[#This Row],[Price]]</f>
        <v>1.02</v>
      </c>
      <c r="CK133" s="13">
        <f>(Sales[[#This Row],[Unadj Total Value]]-Sales[[#This Row],[24Final]])/Sales[[#This Row],[24Final]]</f>
        <v>-1.6939252336448597E-2</v>
      </c>
      <c r="CL133">
        <f>VLOOKUP(Sales[[#This Row],[TNbhd]],Lookups!$Q$2:$T$4,4,FALSE)</f>
        <v>0.99970000000000003</v>
      </c>
      <c r="CM133">
        <f>VLOOKUP(Sales[[#This Row],[Qlty]],Lookups!$O$7:$R$21,4,FALSE)</f>
        <v>1.0088999999999999</v>
      </c>
      <c r="CN133">
        <f>VLOOKUP(Sales[[#This Row],[Cnd]],Lookups!$T$7:$W$16,4,FALSE)</f>
        <v>0.99729999999999996</v>
      </c>
      <c r="CO133">
        <f>VLOOKUP(Sales[[#This Row],[LivArea Range]],Lookups!$T$25:$W$37,4,FALSE)</f>
        <v>1.0093000000000001</v>
      </c>
      <c r="CP133">
        <f>VLOOKUP(Sales[[#This Row],[Decade]],Lookups!$O$25:$R$42,4,FALSE)</f>
        <v>0.995</v>
      </c>
      <c r="CQ133">
        <f>Sales[[#This Row],[Nbhd Adj]]*0.95</f>
        <v>0.94971499999999998</v>
      </c>
      <c r="CR133">
        <f>Sales[[#This Row],[Nbhd Adj]]*Sales[[#This Row],[Quality Adj]]*Sales[[#This Row],[Condition Adj]]*Sales[[#This Row],[Living Area Adj]]*Sales[[#This Row],[Decade Adj]]*0.95</f>
        <v>0.9596449726282209</v>
      </c>
      <c r="CS133">
        <f>ROUND(SUM(Sales[[#This Row],[Mdl Qlty]:[Mdl WdDeck]])+Sales[[#This Row],[Mdl Res Intercept]]*Sales[[#This Row],[Res Adj ]],-2)</f>
        <v>312400</v>
      </c>
      <c r="CT133">
        <f>ROUND(Sales[[#This Row],[25Det]]*Sales[[#This Row],[Det/Nbhd Adj]],-2)</f>
        <v>5700</v>
      </c>
      <c r="CU133">
        <f>Sales[[#This Row],[Adjusted Res]]+Sales[[#This Row],[Adj Det ]]</f>
        <v>318100</v>
      </c>
      <c r="CV133">
        <f>ROUND((Sales[[#This Row],[Mdl Land Intercept]]+Sales[[#This Row],[Mdl LnAcres]])*Sales[[#This Row],[Det/Nbhd Adj]],-2)</f>
        <v>36900</v>
      </c>
      <c r="CW133">
        <f>Sales[[#This Row],[Adjusted Impr Total]]+Sales[[#This Row],[Adjusted Land Total]]</f>
        <v>355000</v>
      </c>
      <c r="CX133" s="15">
        <f>IFERROR((Sales[[#This Row],[Adjusted Impr Total]]-Sales[[#This Row],[24Bldg]])/Sales[[#This Row],[24Bldg]],0)</f>
        <v>0.12007042253521127</v>
      </c>
      <c r="CY133" s="15">
        <f>(Sales[[#This Row],[Adjusted Land Total]]-Sales[[#This Row],[24Lnd]])/Sales[[#This Row],[24Lnd]]</f>
        <v>-0.36815068493150682</v>
      </c>
      <c r="CZ133" s="15">
        <f>(Sales[[#This Row],[Adjusted Total]]-Sales[[#This Row],[24Final]])/Sales[[#This Row],[24Final]]</f>
        <v>3.6799065420560745E-2</v>
      </c>
      <c r="DA133" s="15">
        <f>(Sales[[#This Row],[Adjusted Total]]+Sales[[#This Row],[Days Prior Total]])/Sales[[#This Row],[Price]]</f>
        <v>1.0131104497120911</v>
      </c>
    </row>
    <row r="134" spans="1:105" x14ac:dyDescent="0.3">
      <c r="A134">
        <v>2025</v>
      </c>
      <c r="B134">
        <v>18132324012</v>
      </c>
      <c r="C134">
        <v>-1.7147984280919266</v>
      </c>
      <c r="D134">
        <v>0.18</v>
      </c>
      <c r="E134">
        <v>0</v>
      </c>
      <c r="F134">
        <v>6</v>
      </c>
      <c r="G134" t="s">
        <v>126</v>
      </c>
      <c r="H134">
        <v>3033</v>
      </c>
      <c r="I134" t="s">
        <v>349</v>
      </c>
      <c r="J134" t="s">
        <v>30</v>
      </c>
      <c r="K134">
        <v>11</v>
      </c>
      <c r="L134">
        <v>259</v>
      </c>
      <c r="M134" t="s">
        <v>242</v>
      </c>
      <c r="N134" t="s">
        <v>302</v>
      </c>
      <c r="O134" t="s">
        <v>303</v>
      </c>
      <c r="P134">
        <v>80</v>
      </c>
      <c r="Q134">
        <v>1948</v>
      </c>
      <c r="R134">
        <v>1973</v>
      </c>
      <c r="S134">
        <v>76</v>
      </c>
      <c r="T134">
        <v>51</v>
      </c>
      <c r="U134">
        <v>1</v>
      </c>
      <c r="V134">
        <v>814</v>
      </c>
      <c r="W134">
        <v>0</v>
      </c>
      <c r="X134">
        <v>0</v>
      </c>
      <c r="Y134">
        <v>814</v>
      </c>
      <c r="Z134">
        <v>114</v>
      </c>
      <c r="AA134">
        <v>700</v>
      </c>
      <c r="AB134">
        <v>1514</v>
      </c>
      <c r="AC134">
        <v>2000</v>
      </c>
      <c r="AD134">
        <v>0</v>
      </c>
      <c r="AF134" t="s">
        <v>208</v>
      </c>
      <c r="AG134" t="s">
        <v>382</v>
      </c>
      <c r="AI134">
        <v>0</v>
      </c>
      <c r="AJ134">
        <v>1</v>
      </c>
      <c r="AK134">
        <v>0</v>
      </c>
      <c r="AL134">
        <v>1</v>
      </c>
      <c r="AM134">
        <v>0</v>
      </c>
      <c r="AN134">
        <v>8</v>
      </c>
      <c r="AO134">
        <v>0</v>
      </c>
      <c r="AP134">
        <v>0</v>
      </c>
      <c r="AQ134">
        <v>0</v>
      </c>
      <c r="AR134">
        <v>0</v>
      </c>
      <c r="AS134">
        <v>220</v>
      </c>
      <c r="AT134">
        <v>0</v>
      </c>
      <c r="AU134">
        <v>100</v>
      </c>
      <c r="AV134">
        <v>100</v>
      </c>
      <c r="AW134">
        <v>219001</v>
      </c>
      <c r="AX134">
        <v>170821</v>
      </c>
      <c r="AY134">
        <v>187</v>
      </c>
      <c r="AZ134">
        <v>187</v>
      </c>
      <c r="BA134">
        <v>0</v>
      </c>
      <c r="BB134">
        <v>0</v>
      </c>
      <c r="BC134" s="3">
        <v>45105</v>
      </c>
      <c r="BD134" t="s">
        <v>435</v>
      </c>
      <c r="BE134">
        <v>315000</v>
      </c>
      <c r="BF134">
        <v>309579</v>
      </c>
      <c r="BG134" t="s">
        <v>294</v>
      </c>
      <c r="BH134">
        <v>30</v>
      </c>
      <c r="BI134" t="s">
        <v>65</v>
      </c>
      <c r="BJ134" t="s">
        <v>450</v>
      </c>
      <c r="BK134">
        <v>326000</v>
      </c>
      <c r="BL134">
        <v>54700</v>
      </c>
      <c r="BM134">
        <v>271300</v>
      </c>
      <c r="BN134">
        <v>5421</v>
      </c>
      <c r="BO134">
        <v>1.034920634920635</v>
      </c>
      <c r="BP134">
        <v>332793.56911671598</v>
      </c>
      <c r="BQ134">
        <v>345987.95187451621</v>
      </c>
      <c r="BR134" s="12">
        <f>(Sales[[#This Row],[DP1]]*Lookups!$B$59)+(Sales[[#This Row],[DP2]]*Lookups!$B$60)+(Sales[[#This Row],[DP3]]*Lookups!$B$61)</f>
        <v>-13194.382758590002</v>
      </c>
      <c r="BS134" s="12">
        <f>Lookups!$B$56*0</f>
        <v>0</v>
      </c>
      <c r="BT134" s="12">
        <f>Lookups!$B$56*1</f>
        <v>89850.625589999996</v>
      </c>
      <c r="BU134" s="12">
        <f>Lookups!$B$57*Sales[[#This Row],[LnAcres]]</f>
        <v>-54281.285314520763</v>
      </c>
      <c r="BV134" s="12">
        <f>VLOOKUP(Sales[[#This Row],[Qlty]],Lookups!$A$62:$E$75,2,FALSE)</f>
        <v>29814.093161000001</v>
      </c>
      <c r="BW134" s="12">
        <f>VLOOKUP(Sales[[#This Row],[Cnd]],Lookups!$A$76:$E$84,2,FALSE)</f>
        <v>197752.34721000001</v>
      </c>
      <c r="BX134" s="12">
        <f>Sales[[#This Row],[EffAge]]*Lookups!$B$85</f>
        <v>-11375.3256255</v>
      </c>
      <c r="BY134" s="12">
        <f>Sales[[#This Row],[MainFn]]*Lookups!$B$86</f>
        <v>40218.657279878003</v>
      </c>
      <c r="BZ134" s="12">
        <f>Sales[[#This Row],[UpprFn]]*Lookups!$B$87</f>
        <v>0</v>
      </c>
      <c r="CA134" s="12">
        <f>Sales[[#This Row],[AddFn]]*Lookups!$B$88</f>
        <v>0</v>
      </c>
      <c r="CB134" s="12">
        <f>Sales[[#This Row],[Bsmt]]*Lookups!$B$89</f>
        <v>23672.662731057997</v>
      </c>
      <c r="CC134" s="12">
        <f>Sales[[#This Row],[Fixtures]]*Lookups!$B$90</f>
        <v>30336.176841600001</v>
      </c>
      <c r="CD134" s="12">
        <f>Sales[[#This Row],[WdDeck]]*Lookups!$B$91</f>
        <v>0</v>
      </c>
      <c r="CE134" s="12">
        <f>SUM(Sales[[#This Row],[Days Prior Total]:[Mdl WdDeck]])</f>
        <v>332793.56911492522</v>
      </c>
      <c r="CF134" s="12">
        <f>ROUND(Sales[[#This Row],[25Det]],-2)</f>
        <v>5400</v>
      </c>
      <c r="CG134" s="12">
        <f>ROUND(SUM(Sales[[#This Row],[Mdl Qlty]:[Mdl WdDeck]])+Sales[[#This Row],[Mdl Res Intercept]]+Sales[[#This Row],[Days Prior Total]],-2)</f>
        <v>297200</v>
      </c>
      <c r="CH134" s="12">
        <f>ROUND(Sales[[#This Row],[Mdl Land Intercept]]+Sales[[#This Row],[Mdl LnAcres]],-2)</f>
        <v>35600</v>
      </c>
      <c r="CI134" s="12">
        <f>Sales[[#This Row],[Unadj Res Value]]+Sales[[#This Row],[Unadj Det Value]]+Sales[[#This Row],[Unadj Land Value]]</f>
        <v>338200</v>
      </c>
      <c r="CJ134" s="13">
        <f>Sales[[#This Row],[Unadj Total Value]]/Sales[[#This Row],[Price]]</f>
        <v>1.0736507936507937</v>
      </c>
      <c r="CK134" s="13">
        <f>(Sales[[#This Row],[Unadj Total Value]]-Sales[[#This Row],[24Final]])/Sales[[#This Row],[24Final]]</f>
        <v>3.7423312883435582E-2</v>
      </c>
      <c r="CL134">
        <f>VLOOKUP(Sales[[#This Row],[TNbhd]],Lookups!$Q$2:$T$4,4,FALSE)</f>
        <v>0.99970000000000003</v>
      </c>
      <c r="CM134">
        <f>VLOOKUP(Sales[[#This Row],[Qlty]],Lookups!$O$7:$R$21,4,FALSE)</f>
        <v>1.0088999999999999</v>
      </c>
      <c r="CN134">
        <f>VLOOKUP(Sales[[#This Row],[Cnd]],Lookups!$T$7:$W$16,4,FALSE)</f>
        <v>0.99650000000000005</v>
      </c>
      <c r="CO134">
        <f>VLOOKUP(Sales[[#This Row],[LivArea Range]],Lookups!$T$25:$W$37,4,FALSE)</f>
        <v>1.0093000000000001</v>
      </c>
      <c r="CP134">
        <f>VLOOKUP(Sales[[#This Row],[Decade]],Lookups!$O$25:$R$42,4,FALSE)</f>
        <v>0.995</v>
      </c>
      <c r="CQ134">
        <f>Sales[[#This Row],[Nbhd Adj]]*0.95</f>
        <v>0.94971499999999998</v>
      </c>
      <c r="CR134">
        <f>Sales[[#This Row],[Nbhd Adj]]*Sales[[#This Row],[Quality Adj]]*Sales[[#This Row],[Condition Adj]]*Sales[[#This Row],[Living Area Adj]]*Sales[[#This Row],[Decade Adj]]*0.95</f>
        <v>0.9588751782051762</v>
      </c>
      <c r="CS134">
        <f>ROUND(SUM(Sales[[#This Row],[Mdl Qlty]:[Mdl WdDeck]])+Sales[[#This Row],[Mdl Res Intercept]]*Sales[[#This Row],[Res Adj ]],-2)</f>
        <v>310400</v>
      </c>
      <c r="CT134">
        <f>ROUND(Sales[[#This Row],[25Det]]*Sales[[#This Row],[Det/Nbhd Adj]],-2)</f>
        <v>5100</v>
      </c>
      <c r="CU134">
        <f>Sales[[#This Row],[Adjusted Res]]+Sales[[#This Row],[Adj Det ]]</f>
        <v>315500</v>
      </c>
      <c r="CV134">
        <f>ROUND((Sales[[#This Row],[Mdl Land Intercept]]+Sales[[#This Row],[Mdl LnAcres]])*Sales[[#This Row],[Det/Nbhd Adj]],-2)</f>
        <v>33800</v>
      </c>
      <c r="CW134">
        <f>Sales[[#This Row],[Adjusted Impr Total]]+Sales[[#This Row],[Adjusted Land Total]]</f>
        <v>349300</v>
      </c>
      <c r="CX134" s="15">
        <f>IFERROR((Sales[[#This Row],[Adjusted Impr Total]]-Sales[[#This Row],[24Bldg]])/Sales[[#This Row],[24Bldg]],0)</f>
        <v>0.16291927755252489</v>
      </c>
      <c r="CY134" s="15">
        <f>(Sales[[#This Row],[Adjusted Land Total]]-Sales[[#This Row],[24Lnd]])/Sales[[#This Row],[24Lnd]]</f>
        <v>-0.38208409506398539</v>
      </c>
      <c r="CZ134" s="15">
        <f>(Sales[[#This Row],[Adjusted Total]]-Sales[[#This Row],[24Final]])/Sales[[#This Row],[24Final]]</f>
        <v>7.1472392638036814E-2</v>
      </c>
      <c r="DA134" s="15">
        <f>(Sales[[#This Row],[Adjusted Total]]+Sales[[#This Row],[Days Prior Total]])/Sales[[#This Row],[Price]]</f>
        <v>1.0670019594965396</v>
      </c>
    </row>
    <row r="135" spans="1:105" x14ac:dyDescent="0.3">
      <c r="A135">
        <v>2025</v>
      </c>
      <c r="B135">
        <v>18132342525</v>
      </c>
      <c r="C135">
        <v>-1.0498221244986778</v>
      </c>
      <c r="D135">
        <v>0.35</v>
      </c>
      <c r="E135">
        <v>15130</v>
      </c>
      <c r="F135">
        <v>6</v>
      </c>
      <c r="G135" t="s">
        <v>126</v>
      </c>
      <c r="H135">
        <v>3032</v>
      </c>
      <c r="I135" t="s">
        <v>349</v>
      </c>
      <c r="J135" t="s">
        <v>30</v>
      </c>
      <c r="K135">
        <v>11</v>
      </c>
      <c r="L135">
        <v>259</v>
      </c>
      <c r="M135" t="s">
        <v>241</v>
      </c>
      <c r="N135" t="s">
        <v>95</v>
      </c>
      <c r="O135" t="s">
        <v>303</v>
      </c>
      <c r="P135">
        <v>80</v>
      </c>
      <c r="Q135">
        <v>1947</v>
      </c>
      <c r="R135">
        <v>1973</v>
      </c>
      <c r="S135">
        <v>77</v>
      </c>
      <c r="T135">
        <v>51</v>
      </c>
      <c r="U135">
        <v>1</v>
      </c>
      <c r="V135">
        <v>1870</v>
      </c>
      <c r="W135">
        <v>0</v>
      </c>
      <c r="X135">
        <v>0</v>
      </c>
      <c r="Y135">
        <v>607</v>
      </c>
      <c r="Z135">
        <v>320</v>
      </c>
      <c r="AA135">
        <v>287</v>
      </c>
      <c r="AB135">
        <v>2157</v>
      </c>
      <c r="AC135">
        <v>2500</v>
      </c>
      <c r="AD135">
        <v>2</v>
      </c>
      <c r="AF135" t="s">
        <v>383</v>
      </c>
      <c r="AG135" t="s">
        <v>148</v>
      </c>
      <c r="AH135" t="s">
        <v>450</v>
      </c>
      <c r="AI135">
        <v>0</v>
      </c>
      <c r="AJ135">
        <v>1</v>
      </c>
      <c r="AK135">
        <v>0</v>
      </c>
      <c r="AL135">
        <v>2</v>
      </c>
      <c r="AM135">
        <v>0</v>
      </c>
      <c r="AN135">
        <v>11</v>
      </c>
      <c r="AO135">
        <v>0</v>
      </c>
      <c r="AP135">
        <v>440</v>
      </c>
      <c r="AQ135">
        <v>0</v>
      </c>
      <c r="AR135">
        <v>0</v>
      </c>
      <c r="AS135">
        <v>570</v>
      </c>
      <c r="AT135">
        <v>247</v>
      </c>
      <c r="AU135">
        <v>100</v>
      </c>
      <c r="AV135">
        <v>100</v>
      </c>
      <c r="AW135">
        <v>478980</v>
      </c>
      <c r="AX135">
        <v>378394</v>
      </c>
      <c r="AY135">
        <v>1081</v>
      </c>
      <c r="AZ135">
        <v>365</v>
      </c>
      <c r="BA135">
        <v>365</v>
      </c>
      <c r="BB135">
        <v>351</v>
      </c>
      <c r="BC135" s="3">
        <v>44211</v>
      </c>
      <c r="BD135" t="s">
        <v>55</v>
      </c>
      <c r="BE135">
        <v>445000</v>
      </c>
      <c r="BF135">
        <v>445000</v>
      </c>
      <c r="BG135" t="s">
        <v>294</v>
      </c>
      <c r="BH135">
        <v>30</v>
      </c>
      <c r="BI135" t="s">
        <v>65</v>
      </c>
      <c r="BJ135" t="s">
        <v>450</v>
      </c>
      <c r="BK135">
        <v>470300</v>
      </c>
      <c r="BL135">
        <v>77900</v>
      </c>
      <c r="BM135">
        <v>392400</v>
      </c>
      <c r="BN135">
        <v>0</v>
      </c>
      <c r="BO135">
        <v>1.0568539325842696</v>
      </c>
      <c r="BP135">
        <v>400524.80182231881</v>
      </c>
      <c r="BQ135">
        <v>469023.50713482295</v>
      </c>
      <c r="BR135" s="12">
        <f>(Sales[[#This Row],[DP1]]*Lookups!$B$59)+(Sales[[#This Row],[DP2]]*Lookups!$B$60)+(Sales[[#This Row],[DP3]]*Lookups!$B$61)</f>
        <v>-68498.705322969996</v>
      </c>
      <c r="BS135" s="12">
        <f>Lookups!$B$56*0</f>
        <v>0</v>
      </c>
      <c r="BT135" s="12">
        <f>Lookups!$B$56*1</f>
        <v>89850.625589999996</v>
      </c>
      <c r="BU135" s="12">
        <f>Lookups!$B$57*Sales[[#This Row],[LnAcres]]</f>
        <v>-33231.715947405908</v>
      </c>
      <c r="BV135" s="12">
        <f>VLOOKUP(Sales[[#This Row],[Qlty]],Lookups!$A$62:$E$75,2,FALSE)</f>
        <v>74268.409664999999</v>
      </c>
      <c r="BW135" s="12">
        <f>VLOOKUP(Sales[[#This Row],[Cnd]],Lookups!$A$76:$E$84,2,FALSE)</f>
        <v>197752.34721000001</v>
      </c>
      <c r="BX135" s="12">
        <f>Sales[[#This Row],[EffAge]]*Lookups!$B$85</f>
        <v>-11375.3256255</v>
      </c>
      <c r="BY135" s="12">
        <f>Sales[[#This Row],[MainFn]]*Lookups!$B$86</f>
        <v>92394.212669989996</v>
      </c>
      <c r="BZ135" s="12">
        <f>Sales[[#This Row],[UpprFn]]*Lookups!$B$87</f>
        <v>0</v>
      </c>
      <c r="CA135" s="12">
        <f>Sales[[#This Row],[AddFn]]*Lookups!$B$88</f>
        <v>0</v>
      </c>
      <c r="CB135" s="12">
        <f>Sales[[#This Row],[Bsmt]]*Lookups!$B$89</f>
        <v>17652.710414928999</v>
      </c>
      <c r="CC135" s="12">
        <f>Sales[[#This Row],[Fixtures]]*Lookups!$B$90</f>
        <v>41712.243157199999</v>
      </c>
      <c r="CD135" s="12">
        <f>Sales[[#This Row],[WdDeck]]*Lookups!$B$91</f>
        <v>0</v>
      </c>
      <c r="CE135" s="12">
        <f>SUM(Sales[[#This Row],[Days Prior Total]:[Mdl WdDeck]])</f>
        <v>400524.80181124312</v>
      </c>
      <c r="CF135" s="12">
        <f>ROUND(Sales[[#This Row],[25Det]],-2)</f>
        <v>0</v>
      </c>
      <c r="CG135" s="12">
        <f>ROUND(SUM(Sales[[#This Row],[Mdl Qlty]:[Mdl WdDeck]])+Sales[[#This Row],[Mdl Res Intercept]]+Sales[[#This Row],[Days Prior Total]],-2)</f>
        <v>343900</v>
      </c>
      <c r="CH135" s="12">
        <f>ROUND(Sales[[#This Row],[Mdl Land Intercept]]+Sales[[#This Row],[Mdl LnAcres]],-2)</f>
        <v>56600</v>
      </c>
      <c r="CI135" s="12">
        <f>Sales[[#This Row],[Unadj Res Value]]+Sales[[#This Row],[Unadj Det Value]]+Sales[[#This Row],[Unadj Land Value]]</f>
        <v>400500</v>
      </c>
      <c r="CJ135" s="13">
        <f>Sales[[#This Row],[Unadj Total Value]]/Sales[[#This Row],[Price]]</f>
        <v>0.9</v>
      </c>
      <c r="CK135" s="13">
        <f>(Sales[[#This Row],[Unadj Total Value]]-Sales[[#This Row],[24Final]])/Sales[[#This Row],[24Final]]</f>
        <v>-0.14841590474165425</v>
      </c>
      <c r="CL135">
        <f>VLOOKUP(Sales[[#This Row],[TNbhd]],Lookups!$Q$2:$T$4,4,FALSE)</f>
        <v>0.99970000000000003</v>
      </c>
      <c r="CM135">
        <f>VLOOKUP(Sales[[#This Row],[Qlty]],Lookups!$O$7:$R$21,4,FALSE)</f>
        <v>0.98380000000000001</v>
      </c>
      <c r="CN135">
        <f>VLOOKUP(Sales[[#This Row],[Cnd]],Lookups!$T$7:$W$16,4,FALSE)</f>
        <v>0.99650000000000005</v>
      </c>
      <c r="CO135">
        <f>VLOOKUP(Sales[[#This Row],[LivArea Range]],Lookups!$T$25:$W$37,4,FALSE)</f>
        <v>0.98919999999999997</v>
      </c>
      <c r="CP135">
        <f>VLOOKUP(Sales[[#This Row],[Decade]],Lookups!$O$25:$R$42,4,FALSE)</f>
        <v>0.995</v>
      </c>
      <c r="CQ135">
        <f>Sales[[#This Row],[Nbhd Adj]]*0.95</f>
        <v>0.94971499999999998</v>
      </c>
      <c r="CR135">
        <f>Sales[[#This Row],[Nbhd Adj]]*Sales[[#This Row],[Quality Adj]]*Sales[[#This Row],[Condition Adj]]*Sales[[#This Row],[Living Area Adj]]*Sales[[#This Row],[Decade Adj]]*0.95</f>
        <v>0.91639900103074046</v>
      </c>
      <c r="CS135">
        <f>ROUND(SUM(Sales[[#This Row],[Mdl Qlty]:[Mdl WdDeck]])+Sales[[#This Row],[Mdl Res Intercept]]*Sales[[#This Row],[Res Adj ]],-2)</f>
        <v>412400</v>
      </c>
      <c r="CT135">
        <f>ROUND(Sales[[#This Row],[25Det]]*Sales[[#This Row],[Det/Nbhd Adj]],-2)</f>
        <v>0</v>
      </c>
      <c r="CU135">
        <f>Sales[[#This Row],[Adjusted Res]]+Sales[[#This Row],[Adj Det ]]</f>
        <v>412400</v>
      </c>
      <c r="CV135">
        <f>ROUND((Sales[[#This Row],[Mdl Land Intercept]]+Sales[[#This Row],[Mdl LnAcres]])*Sales[[#This Row],[Det/Nbhd Adj]],-2)</f>
        <v>53800</v>
      </c>
      <c r="CW135">
        <f>Sales[[#This Row],[Adjusted Impr Total]]+Sales[[#This Row],[Adjusted Land Total]]</f>
        <v>466200</v>
      </c>
      <c r="CX135" s="15">
        <f>IFERROR((Sales[[#This Row],[Adjusted Impr Total]]-Sales[[#This Row],[24Bldg]])/Sales[[#This Row],[24Bldg]],0)</f>
        <v>5.09683995922528E-2</v>
      </c>
      <c r="CY135" s="15">
        <f>(Sales[[#This Row],[Adjusted Land Total]]-Sales[[#This Row],[24Lnd]])/Sales[[#This Row],[24Lnd]]</f>
        <v>-0.30937098844672656</v>
      </c>
      <c r="CZ135" s="15">
        <f>(Sales[[#This Row],[Adjusted Total]]-Sales[[#This Row],[24Final]])/Sales[[#This Row],[24Final]]</f>
        <v>-8.7178396768020413E-3</v>
      </c>
      <c r="DA135" s="15">
        <f>(Sales[[#This Row],[Adjusted Total]]+Sales[[#This Row],[Days Prior Total]])/Sales[[#This Row],[Price]]</f>
        <v>0.8937107745551236</v>
      </c>
    </row>
    <row r="136" spans="1:105" x14ac:dyDescent="0.3">
      <c r="A136">
        <v>2025</v>
      </c>
      <c r="B136">
        <v>18132344407</v>
      </c>
      <c r="C136">
        <v>-1.5141277326297755</v>
      </c>
      <c r="D136">
        <v>0.22</v>
      </c>
      <c r="E136">
        <v>0</v>
      </c>
      <c r="F136">
        <v>6</v>
      </c>
      <c r="G136" t="s">
        <v>126</v>
      </c>
      <c r="H136">
        <v>3093</v>
      </c>
      <c r="I136" t="s">
        <v>349</v>
      </c>
      <c r="J136" t="s">
        <v>30</v>
      </c>
      <c r="K136">
        <v>11</v>
      </c>
      <c r="L136">
        <v>400</v>
      </c>
      <c r="M136" t="s">
        <v>242</v>
      </c>
      <c r="N136" t="s">
        <v>302</v>
      </c>
      <c r="O136" t="s">
        <v>323</v>
      </c>
      <c r="P136">
        <v>80</v>
      </c>
      <c r="Q136">
        <v>1947</v>
      </c>
      <c r="R136">
        <v>1973</v>
      </c>
      <c r="S136">
        <v>77</v>
      </c>
      <c r="T136">
        <v>51</v>
      </c>
      <c r="U136">
        <v>1</v>
      </c>
      <c r="V136">
        <v>1184</v>
      </c>
      <c r="W136">
        <v>0</v>
      </c>
      <c r="X136">
        <v>0</v>
      </c>
      <c r="Y136">
        <v>1184</v>
      </c>
      <c r="Z136">
        <v>230</v>
      </c>
      <c r="AA136">
        <v>954</v>
      </c>
      <c r="AB136">
        <v>2138</v>
      </c>
      <c r="AC136">
        <v>2500</v>
      </c>
      <c r="AD136">
        <v>0</v>
      </c>
      <c r="AF136" t="s">
        <v>383</v>
      </c>
      <c r="AG136" t="s">
        <v>382</v>
      </c>
      <c r="AH136" t="s">
        <v>450</v>
      </c>
      <c r="AI136">
        <v>0</v>
      </c>
      <c r="AJ136">
        <v>2</v>
      </c>
      <c r="AK136">
        <v>0</v>
      </c>
      <c r="AL136">
        <v>1</v>
      </c>
      <c r="AM136">
        <v>0</v>
      </c>
      <c r="AN136">
        <v>10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100</v>
      </c>
      <c r="AV136">
        <v>100</v>
      </c>
      <c r="AW136">
        <v>312431</v>
      </c>
      <c r="AX136">
        <v>218702</v>
      </c>
      <c r="AY136">
        <v>815</v>
      </c>
      <c r="AZ136">
        <v>365</v>
      </c>
      <c r="BA136">
        <v>365</v>
      </c>
      <c r="BB136">
        <v>85</v>
      </c>
      <c r="BC136" s="3">
        <v>44477</v>
      </c>
      <c r="BD136" t="s">
        <v>257</v>
      </c>
      <c r="BE136">
        <v>330000</v>
      </c>
      <c r="BF136">
        <v>322745</v>
      </c>
      <c r="BG136" t="s">
        <v>294</v>
      </c>
      <c r="BH136">
        <v>30</v>
      </c>
      <c r="BI136" t="s">
        <v>65</v>
      </c>
      <c r="BJ136" t="s">
        <v>450</v>
      </c>
      <c r="BK136">
        <v>353200</v>
      </c>
      <c r="BL136">
        <v>61700</v>
      </c>
      <c r="BM136">
        <v>291500</v>
      </c>
      <c r="BN136">
        <v>7255</v>
      </c>
      <c r="BO136">
        <v>1.0703030303030303</v>
      </c>
      <c r="BP136">
        <v>318756.78522628342</v>
      </c>
      <c r="BQ136">
        <v>351685.51491407998</v>
      </c>
      <c r="BR136" s="12">
        <f>(Sales[[#This Row],[DP1]]*Lookups!$B$59)+(Sales[[#This Row],[DP2]]*Lookups!$B$60)+(Sales[[#This Row],[DP3]]*Lookups!$B$61)</f>
        <v>-32928.729691569999</v>
      </c>
      <c r="BS136" s="12">
        <f>Lookups!$B$56*0</f>
        <v>0</v>
      </c>
      <c r="BT136" s="12">
        <f>Lookups!$B$56*1</f>
        <v>89850.625589999996</v>
      </c>
      <c r="BU136" s="12">
        <f>Lookups!$B$57*Sales[[#This Row],[LnAcres]]</f>
        <v>-47929.131559187132</v>
      </c>
      <c r="BV136" s="12">
        <f>VLOOKUP(Sales[[#This Row],[Qlty]],Lookups!$A$62:$E$75,2,FALSE)</f>
        <v>29814.093161000001</v>
      </c>
      <c r="BW136" s="12">
        <f>VLOOKUP(Sales[[#This Row],[Cnd]],Lookups!$A$76:$E$84,2,FALSE)</f>
        <v>160472.20319</v>
      </c>
      <c r="BX136" s="12">
        <f>Sales[[#This Row],[EffAge]]*Lookups!$B$85</f>
        <v>-11375.3256255</v>
      </c>
      <c r="BY136" s="12">
        <f>Sales[[#This Row],[MainFn]]*Lookups!$B$86</f>
        <v>58499.865134368003</v>
      </c>
      <c r="BZ136" s="12">
        <f>Sales[[#This Row],[UpprFn]]*Lookups!$B$87</f>
        <v>0</v>
      </c>
      <c r="CA136" s="12">
        <f>Sales[[#This Row],[AddFn]]*Lookups!$B$88</f>
        <v>0</v>
      </c>
      <c r="CB136" s="12">
        <f>Sales[[#This Row],[Bsmt]]*Lookups!$B$89</f>
        <v>34432.963972448</v>
      </c>
      <c r="CC136" s="12">
        <f>Sales[[#This Row],[Fixtures]]*Lookups!$B$90</f>
        <v>37920.221052000001</v>
      </c>
      <c r="CD136" s="12">
        <f>Sales[[#This Row],[WdDeck]]*Lookups!$B$91</f>
        <v>0</v>
      </c>
      <c r="CE136" s="12">
        <f>SUM(Sales[[#This Row],[Days Prior Total]:[Mdl WdDeck]])</f>
        <v>318756.78522355889</v>
      </c>
      <c r="CF136" s="12">
        <f>ROUND(Sales[[#This Row],[25Det]],-2)</f>
        <v>7300</v>
      </c>
      <c r="CG136" s="12">
        <f>ROUND(SUM(Sales[[#This Row],[Mdl Qlty]:[Mdl WdDeck]])+Sales[[#This Row],[Mdl Res Intercept]]+Sales[[#This Row],[Days Prior Total]],-2)</f>
        <v>276800</v>
      </c>
      <c r="CH136" s="12">
        <f>ROUND(Sales[[#This Row],[Mdl Land Intercept]]+Sales[[#This Row],[Mdl LnAcres]],-2)</f>
        <v>41900</v>
      </c>
      <c r="CI136" s="12">
        <f>Sales[[#This Row],[Unadj Res Value]]+Sales[[#This Row],[Unadj Det Value]]+Sales[[#This Row],[Unadj Land Value]]</f>
        <v>326000</v>
      </c>
      <c r="CJ136" s="13">
        <f>Sales[[#This Row],[Unadj Total Value]]/Sales[[#This Row],[Price]]</f>
        <v>0.98787878787878791</v>
      </c>
      <c r="CK136" s="13">
        <f>(Sales[[#This Row],[Unadj Total Value]]-Sales[[#This Row],[24Final]])/Sales[[#This Row],[24Final]]</f>
        <v>-7.7010192525481316E-2</v>
      </c>
      <c r="CL136">
        <f>VLOOKUP(Sales[[#This Row],[TNbhd]],Lookups!$Q$2:$T$4,4,FALSE)</f>
        <v>0.99970000000000003</v>
      </c>
      <c r="CM136">
        <f>VLOOKUP(Sales[[#This Row],[Qlty]],Lookups!$O$7:$R$21,4,FALSE)</f>
        <v>1.0088999999999999</v>
      </c>
      <c r="CN136">
        <f>VLOOKUP(Sales[[#This Row],[Cnd]],Lookups!$T$7:$W$16,4,FALSE)</f>
        <v>0.99729999999999996</v>
      </c>
      <c r="CO136">
        <f>VLOOKUP(Sales[[#This Row],[LivArea Range]],Lookups!$T$25:$W$37,4,FALSE)</f>
        <v>0.98919999999999997</v>
      </c>
      <c r="CP136">
        <f>VLOOKUP(Sales[[#This Row],[Decade]],Lookups!$O$25:$R$42,4,FALSE)</f>
        <v>0.995</v>
      </c>
      <c r="CQ136">
        <f>Sales[[#This Row],[Nbhd Adj]]*0.95</f>
        <v>0.94971499999999998</v>
      </c>
      <c r="CR136">
        <f>Sales[[#This Row],[Nbhd Adj]]*Sales[[#This Row],[Quality Adj]]*Sales[[#This Row],[Condition Adj]]*Sales[[#This Row],[Living Area Adj]]*Sales[[#This Row],[Decade Adj]]*0.95</f>
        <v>0.94053384219145564</v>
      </c>
      <c r="CS136">
        <f>ROUND(SUM(Sales[[#This Row],[Mdl Qlty]:[Mdl WdDeck]])+Sales[[#This Row],[Mdl Res Intercept]]*Sales[[#This Row],[Res Adj ]],-2)</f>
        <v>309800</v>
      </c>
      <c r="CT136">
        <f>ROUND(Sales[[#This Row],[25Det]]*Sales[[#This Row],[Det/Nbhd Adj]],-2)</f>
        <v>6900</v>
      </c>
      <c r="CU136">
        <f>Sales[[#This Row],[Adjusted Res]]+Sales[[#This Row],[Adj Det ]]</f>
        <v>316700</v>
      </c>
      <c r="CV136">
        <f>ROUND((Sales[[#This Row],[Mdl Land Intercept]]+Sales[[#This Row],[Mdl LnAcres]])*Sales[[#This Row],[Det/Nbhd Adj]],-2)</f>
        <v>39800</v>
      </c>
      <c r="CW136">
        <f>Sales[[#This Row],[Adjusted Impr Total]]+Sales[[#This Row],[Adjusted Land Total]]</f>
        <v>356500</v>
      </c>
      <c r="CX136" s="15">
        <f>IFERROR((Sales[[#This Row],[Adjusted Impr Total]]-Sales[[#This Row],[24Bldg]])/Sales[[#This Row],[24Bldg]],0)</f>
        <v>8.6449399656946826E-2</v>
      </c>
      <c r="CY136" s="15">
        <f>(Sales[[#This Row],[Adjusted Land Total]]-Sales[[#This Row],[24Lnd]])/Sales[[#This Row],[24Lnd]]</f>
        <v>-0.35494327390599678</v>
      </c>
      <c r="CZ136" s="15">
        <f>(Sales[[#This Row],[Adjusted Total]]-Sales[[#This Row],[24Final]])/Sales[[#This Row],[24Final]]</f>
        <v>9.3431483578708951E-3</v>
      </c>
      <c r="DA136" s="15">
        <f>(Sales[[#This Row],[Adjusted Total]]+Sales[[#This Row],[Days Prior Total]])/Sales[[#This Row],[Price]]</f>
        <v>0.9805190009346364</v>
      </c>
    </row>
    <row r="137" spans="1:105" x14ac:dyDescent="0.3">
      <c r="A137">
        <v>2025</v>
      </c>
      <c r="B137">
        <v>18132243474</v>
      </c>
      <c r="C137">
        <v>-1.1711829815029451</v>
      </c>
      <c r="D137">
        <v>0.31</v>
      </c>
      <c r="E137">
        <v>13650</v>
      </c>
      <c r="F137">
        <v>6</v>
      </c>
      <c r="G137" t="s">
        <v>126</v>
      </c>
      <c r="H137">
        <v>3093</v>
      </c>
      <c r="I137" t="s">
        <v>349</v>
      </c>
      <c r="J137" t="s">
        <v>30</v>
      </c>
      <c r="K137">
        <v>11</v>
      </c>
      <c r="L137">
        <v>259</v>
      </c>
      <c r="M137" t="s">
        <v>241</v>
      </c>
      <c r="N137" t="s">
        <v>148</v>
      </c>
      <c r="O137" t="s">
        <v>303</v>
      </c>
      <c r="P137">
        <v>80</v>
      </c>
      <c r="Q137">
        <v>1947</v>
      </c>
      <c r="R137">
        <v>1973</v>
      </c>
      <c r="S137">
        <v>77</v>
      </c>
      <c r="T137">
        <v>51</v>
      </c>
      <c r="U137">
        <v>1</v>
      </c>
      <c r="V137">
        <v>1719</v>
      </c>
      <c r="W137">
        <v>0</v>
      </c>
      <c r="X137">
        <v>0</v>
      </c>
      <c r="Y137">
        <v>1062</v>
      </c>
      <c r="Z137">
        <v>216</v>
      </c>
      <c r="AA137">
        <v>846</v>
      </c>
      <c r="AB137">
        <v>2565</v>
      </c>
      <c r="AC137">
        <v>3000</v>
      </c>
      <c r="AD137">
        <v>0</v>
      </c>
      <c r="AF137" t="s">
        <v>383</v>
      </c>
      <c r="AG137" t="s">
        <v>148</v>
      </c>
      <c r="AH137" t="s">
        <v>450</v>
      </c>
      <c r="AI137">
        <v>0</v>
      </c>
      <c r="AJ137">
        <v>1</v>
      </c>
      <c r="AK137">
        <v>0</v>
      </c>
      <c r="AL137">
        <v>2</v>
      </c>
      <c r="AM137">
        <v>0</v>
      </c>
      <c r="AN137">
        <v>11</v>
      </c>
      <c r="AO137">
        <v>0</v>
      </c>
      <c r="AP137">
        <v>0</v>
      </c>
      <c r="AQ137">
        <v>491</v>
      </c>
      <c r="AR137">
        <v>0</v>
      </c>
      <c r="AS137">
        <v>1290</v>
      </c>
      <c r="AT137">
        <v>0</v>
      </c>
      <c r="AU137">
        <v>100</v>
      </c>
      <c r="AV137">
        <v>100</v>
      </c>
      <c r="AW137">
        <v>445074</v>
      </c>
      <c r="AX137">
        <v>347158</v>
      </c>
      <c r="AY137">
        <v>1012</v>
      </c>
      <c r="AZ137">
        <v>365</v>
      </c>
      <c r="BA137">
        <v>365</v>
      </c>
      <c r="BB137">
        <v>282</v>
      </c>
      <c r="BC137" s="3">
        <v>44280</v>
      </c>
      <c r="BD137">
        <v>458947</v>
      </c>
      <c r="BE137">
        <v>359000</v>
      </c>
      <c r="BF137">
        <v>359000</v>
      </c>
      <c r="BG137" t="s">
        <v>294</v>
      </c>
      <c r="BH137">
        <v>30</v>
      </c>
      <c r="BI137" t="s">
        <v>65</v>
      </c>
      <c r="BJ137" t="s">
        <v>450</v>
      </c>
      <c r="BK137">
        <v>428700</v>
      </c>
      <c r="BL137">
        <v>73700</v>
      </c>
      <c r="BM137">
        <v>355000</v>
      </c>
      <c r="BN137">
        <v>0</v>
      </c>
      <c r="BO137">
        <v>1.1941504178272981</v>
      </c>
      <c r="BP137">
        <v>381534.15032787021</v>
      </c>
      <c r="BQ137">
        <v>440806.05745201034</v>
      </c>
      <c r="BR137" s="12">
        <f>(Sales[[#This Row],[DP1]]*Lookups!$B$59)+(Sales[[#This Row],[DP2]]*Lookups!$B$60)+(Sales[[#This Row],[DP3]]*Lookups!$B$61)</f>
        <v>-59271.907132870001</v>
      </c>
      <c r="BS137" s="12">
        <f>Lookups!$B$56*0</f>
        <v>0</v>
      </c>
      <c r="BT137" s="12">
        <f>Lookups!$B$56*1</f>
        <v>89850.625589999996</v>
      </c>
      <c r="BU137" s="12">
        <f>Lookups!$B$57*Sales[[#This Row],[LnAcres]]</f>
        <v>-37073.347241874442</v>
      </c>
      <c r="BV137" s="12">
        <f>VLOOKUP(Sales[[#This Row],[Qlty]],Lookups!$A$62:$E$75,2,FALSE)</f>
        <v>44121.038090000002</v>
      </c>
      <c r="BW137" s="12">
        <f>VLOOKUP(Sales[[#This Row],[Cnd]],Lookups!$A$76:$E$84,2,FALSE)</f>
        <v>197752.34721000001</v>
      </c>
      <c r="BX137" s="12">
        <f>Sales[[#This Row],[EffAge]]*Lookups!$B$85</f>
        <v>-11375.3256255</v>
      </c>
      <c r="BY137" s="12">
        <f>Sales[[#This Row],[MainFn]]*Lookups!$B$86</f>
        <v>84933.503518562997</v>
      </c>
      <c r="BZ137" s="12">
        <f>Sales[[#This Row],[UpprFn]]*Lookups!$B$87</f>
        <v>0</v>
      </c>
      <c r="CA137" s="12">
        <f>Sales[[#This Row],[AddFn]]*Lookups!$B$88</f>
        <v>0</v>
      </c>
      <c r="CB137" s="12">
        <f>Sales[[#This Row],[Bsmt]]*Lookups!$B$89</f>
        <v>30884.972752313999</v>
      </c>
      <c r="CC137" s="12">
        <f>Sales[[#This Row],[Fixtures]]*Lookups!$B$90</f>
        <v>41712.243157199999</v>
      </c>
      <c r="CD137" s="12">
        <f>Sales[[#This Row],[WdDeck]]*Lookups!$B$91</f>
        <v>0</v>
      </c>
      <c r="CE137" s="12">
        <f>SUM(Sales[[#This Row],[Days Prior Total]:[Mdl WdDeck]])</f>
        <v>381534.15031783254</v>
      </c>
      <c r="CF137" s="12">
        <f>ROUND(Sales[[#This Row],[25Det]],-2)</f>
        <v>0</v>
      </c>
      <c r="CG137" s="12">
        <f>ROUND(SUM(Sales[[#This Row],[Mdl Qlty]:[Mdl WdDeck]])+Sales[[#This Row],[Mdl Res Intercept]]+Sales[[#This Row],[Days Prior Total]],-2)</f>
        <v>328800</v>
      </c>
      <c r="CH137" s="12">
        <f>ROUND(Sales[[#This Row],[Mdl Land Intercept]]+Sales[[#This Row],[Mdl LnAcres]],-2)</f>
        <v>52800</v>
      </c>
      <c r="CI137" s="12">
        <f>Sales[[#This Row],[Unadj Res Value]]+Sales[[#This Row],[Unadj Det Value]]+Sales[[#This Row],[Unadj Land Value]]</f>
        <v>381600</v>
      </c>
      <c r="CJ137" s="13">
        <f>Sales[[#This Row],[Unadj Total Value]]/Sales[[#This Row],[Price]]</f>
        <v>1.0629526462395542</v>
      </c>
      <c r="CK137" s="13">
        <f>(Sales[[#This Row],[Unadj Total Value]]-Sales[[#This Row],[24Final]])/Sales[[#This Row],[24Final]]</f>
        <v>-0.10986703988803359</v>
      </c>
      <c r="CL137">
        <f>VLOOKUP(Sales[[#This Row],[TNbhd]],Lookups!$Q$2:$T$4,4,FALSE)</f>
        <v>0.99970000000000003</v>
      </c>
      <c r="CM137">
        <f>VLOOKUP(Sales[[#This Row],[Qlty]],Lookups!$O$7:$R$21,4,FALSE)</f>
        <v>0.98050000000000004</v>
      </c>
      <c r="CN137">
        <f>VLOOKUP(Sales[[#This Row],[Cnd]],Lookups!$T$7:$W$16,4,FALSE)</f>
        <v>0.99650000000000005</v>
      </c>
      <c r="CO137">
        <f>VLOOKUP(Sales[[#This Row],[LivArea Range]],Lookups!$T$25:$W$37,4,FALSE)</f>
        <v>0.96179999999999999</v>
      </c>
      <c r="CP137">
        <f>VLOOKUP(Sales[[#This Row],[Decade]],Lookups!$O$25:$R$42,4,FALSE)</f>
        <v>0.995</v>
      </c>
      <c r="CQ137">
        <f>Sales[[#This Row],[Nbhd Adj]]*0.95</f>
        <v>0.94971499999999998</v>
      </c>
      <c r="CR137">
        <f>Sales[[#This Row],[Nbhd Adj]]*Sales[[#This Row],[Quality Adj]]*Sales[[#This Row],[Condition Adj]]*Sales[[#This Row],[Living Area Adj]]*Sales[[#This Row],[Decade Adj]]*0.95</f>
        <v>0.88802675758029637</v>
      </c>
      <c r="CS137">
        <f>ROUND(SUM(Sales[[#This Row],[Mdl Qlty]:[Mdl WdDeck]])+Sales[[#This Row],[Mdl Res Intercept]]*Sales[[#This Row],[Res Adj ]],-2)</f>
        <v>388000</v>
      </c>
      <c r="CT137">
        <f>ROUND(Sales[[#This Row],[25Det]]*Sales[[#This Row],[Det/Nbhd Adj]],-2)</f>
        <v>0</v>
      </c>
      <c r="CU137">
        <f>Sales[[#This Row],[Adjusted Res]]+Sales[[#This Row],[Adj Det ]]</f>
        <v>388000</v>
      </c>
      <c r="CV137">
        <f>ROUND((Sales[[#This Row],[Mdl Land Intercept]]+Sales[[#This Row],[Mdl LnAcres]])*Sales[[#This Row],[Det/Nbhd Adj]],-2)</f>
        <v>50100</v>
      </c>
      <c r="CW137">
        <f>Sales[[#This Row],[Adjusted Impr Total]]+Sales[[#This Row],[Adjusted Land Total]]</f>
        <v>438100</v>
      </c>
      <c r="CX137" s="15">
        <f>IFERROR((Sales[[#This Row],[Adjusted Impr Total]]-Sales[[#This Row],[24Bldg]])/Sales[[#This Row],[24Bldg]],0)</f>
        <v>9.295774647887324E-2</v>
      </c>
      <c r="CY137" s="15">
        <f>(Sales[[#This Row],[Adjusted Land Total]]-Sales[[#This Row],[24Lnd]])/Sales[[#This Row],[24Lnd]]</f>
        <v>-0.32021709633649931</v>
      </c>
      <c r="CZ137" s="15">
        <f>(Sales[[#This Row],[Adjusted Total]]-Sales[[#This Row],[24Final]])/Sales[[#This Row],[24Final]]</f>
        <v>2.1926755306741312E-2</v>
      </c>
      <c r="DA137" s="15">
        <f>(Sales[[#This Row],[Adjusted Total]]+Sales[[#This Row],[Days Prior Total]])/Sales[[#This Row],[Price]]</f>
        <v>1.0552314564544012</v>
      </c>
    </row>
    <row r="138" spans="1:105" x14ac:dyDescent="0.3">
      <c r="A138">
        <v>2025</v>
      </c>
      <c r="B138">
        <v>18132324457</v>
      </c>
      <c r="C138">
        <v>-1.6094379124341003</v>
      </c>
      <c r="D138">
        <v>0.2</v>
      </c>
      <c r="E138">
        <v>0</v>
      </c>
      <c r="F138">
        <v>6</v>
      </c>
      <c r="G138" t="s">
        <v>126</v>
      </c>
      <c r="H138">
        <v>3033</v>
      </c>
      <c r="I138" t="s">
        <v>349</v>
      </c>
      <c r="J138" t="s">
        <v>30</v>
      </c>
      <c r="K138">
        <v>11</v>
      </c>
      <c r="L138">
        <v>259</v>
      </c>
      <c r="M138" t="s">
        <v>242</v>
      </c>
      <c r="N138" t="s">
        <v>148</v>
      </c>
      <c r="O138" t="s">
        <v>323</v>
      </c>
      <c r="P138">
        <v>80</v>
      </c>
      <c r="Q138">
        <v>1947</v>
      </c>
      <c r="R138">
        <v>1973</v>
      </c>
      <c r="S138">
        <v>77</v>
      </c>
      <c r="T138">
        <v>51</v>
      </c>
      <c r="U138">
        <v>1</v>
      </c>
      <c r="V138">
        <v>1510</v>
      </c>
      <c r="W138">
        <v>0</v>
      </c>
      <c r="X138">
        <v>0</v>
      </c>
      <c r="Y138">
        <v>504</v>
      </c>
      <c r="Z138">
        <v>504</v>
      </c>
      <c r="AA138">
        <v>0</v>
      </c>
      <c r="AB138">
        <v>1510</v>
      </c>
      <c r="AC138">
        <v>2000</v>
      </c>
      <c r="AD138">
        <v>0</v>
      </c>
      <c r="AF138" t="s">
        <v>383</v>
      </c>
      <c r="AG138" t="s">
        <v>175</v>
      </c>
      <c r="AH138" t="s">
        <v>65</v>
      </c>
      <c r="AI138">
        <v>0</v>
      </c>
      <c r="AJ138">
        <v>1</v>
      </c>
      <c r="AK138">
        <v>0</v>
      </c>
      <c r="AL138">
        <v>0</v>
      </c>
      <c r="AM138">
        <v>1</v>
      </c>
      <c r="AN138">
        <v>8</v>
      </c>
      <c r="AO138">
        <v>0</v>
      </c>
      <c r="AP138">
        <v>0</v>
      </c>
      <c r="AQ138">
        <v>832</v>
      </c>
      <c r="AR138">
        <v>0</v>
      </c>
      <c r="AS138">
        <v>0</v>
      </c>
      <c r="AT138">
        <v>0</v>
      </c>
      <c r="AU138">
        <v>100</v>
      </c>
      <c r="AV138">
        <v>100</v>
      </c>
      <c r="AW138">
        <v>344818</v>
      </c>
      <c r="AX138">
        <v>241373</v>
      </c>
      <c r="AY138">
        <v>663</v>
      </c>
      <c r="AZ138">
        <v>365</v>
      </c>
      <c r="BA138">
        <v>298</v>
      </c>
      <c r="BB138">
        <v>0</v>
      </c>
      <c r="BC138" s="3">
        <v>44629</v>
      </c>
      <c r="BD138" t="s">
        <v>369</v>
      </c>
      <c r="BE138">
        <v>235000</v>
      </c>
      <c r="BF138">
        <v>233527</v>
      </c>
      <c r="BG138" t="s">
        <v>294</v>
      </c>
      <c r="BH138">
        <v>30</v>
      </c>
      <c r="BI138" t="s">
        <v>65</v>
      </c>
      <c r="BJ138" t="s">
        <v>450</v>
      </c>
      <c r="BK138">
        <v>329200</v>
      </c>
      <c r="BL138">
        <v>58400</v>
      </c>
      <c r="BM138">
        <v>270800</v>
      </c>
      <c r="BN138">
        <v>1473</v>
      </c>
      <c r="BO138">
        <v>1.4008510638297873</v>
      </c>
      <c r="BP138">
        <v>329391.18953248381</v>
      </c>
      <c r="BQ138">
        <v>351722.94612661999</v>
      </c>
      <c r="BR138" s="12">
        <f>(Sales[[#This Row],[DP1]]*Lookups!$B$59)+(Sales[[#This Row],[DP2]]*Lookups!$B$60)+(Sales[[#This Row],[DP3]]*Lookups!$B$61)</f>
        <v>-22331.756595753999</v>
      </c>
      <c r="BS138" s="12">
        <f>Lookups!$B$56*0</f>
        <v>0</v>
      </c>
      <c r="BT138" s="12">
        <f>Lookups!$B$56*1</f>
        <v>89850.625589999996</v>
      </c>
      <c r="BU138" s="12">
        <f>Lookups!$B$57*Sales[[#This Row],[LnAcres]]</f>
        <v>-50946.13867709865</v>
      </c>
      <c r="BV138" s="12">
        <f>VLOOKUP(Sales[[#This Row],[Qlty]],Lookups!$A$62:$E$75,2,FALSE)</f>
        <v>44121.038090000002</v>
      </c>
      <c r="BW138" s="12">
        <f>VLOOKUP(Sales[[#This Row],[Cnd]],Lookups!$A$76:$E$84,2,FALSE)</f>
        <v>160472.20319</v>
      </c>
      <c r="BX138" s="12">
        <f>Sales[[#This Row],[EffAge]]*Lookups!$B$85</f>
        <v>-11375.3256255</v>
      </c>
      <c r="BY138" s="12">
        <f>Sales[[#This Row],[MainFn]]*Lookups!$B$86</f>
        <v>74607.091514269996</v>
      </c>
      <c r="BZ138" s="12">
        <f>Sales[[#This Row],[UpprFn]]*Lookups!$B$87</f>
        <v>0</v>
      </c>
      <c r="CA138" s="12">
        <f>Sales[[#This Row],[AddFn]]*Lookups!$B$88</f>
        <v>0</v>
      </c>
      <c r="CB138" s="12">
        <f>Sales[[#This Row],[Bsmt]]*Lookups!$B$89</f>
        <v>14657.275204488</v>
      </c>
      <c r="CC138" s="12">
        <f>Sales[[#This Row],[Fixtures]]*Lookups!$B$90</f>
        <v>30336.176841600001</v>
      </c>
      <c r="CD138" s="12">
        <f>Sales[[#This Row],[WdDeck]]*Lookups!$B$91</f>
        <v>0</v>
      </c>
      <c r="CE138" s="12">
        <f>SUM(Sales[[#This Row],[Days Prior Total]:[Mdl WdDeck]])</f>
        <v>329391.18953200534</v>
      </c>
      <c r="CF138" s="12">
        <f>ROUND(Sales[[#This Row],[25Det]],-2)</f>
        <v>1500</v>
      </c>
      <c r="CG138" s="12">
        <f>ROUND(SUM(Sales[[#This Row],[Mdl Qlty]:[Mdl WdDeck]])+Sales[[#This Row],[Mdl Res Intercept]]+Sales[[#This Row],[Days Prior Total]],-2)</f>
        <v>290500</v>
      </c>
      <c r="CH138" s="12">
        <f>ROUND(Sales[[#This Row],[Mdl Land Intercept]]+Sales[[#This Row],[Mdl LnAcres]],-2)</f>
        <v>38900</v>
      </c>
      <c r="CI138" s="12">
        <f>Sales[[#This Row],[Unadj Res Value]]+Sales[[#This Row],[Unadj Det Value]]+Sales[[#This Row],[Unadj Land Value]]</f>
        <v>330900</v>
      </c>
      <c r="CJ138" s="13">
        <f>Sales[[#This Row],[Unadj Total Value]]/Sales[[#This Row],[Price]]</f>
        <v>1.4080851063829787</v>
      </c>
      <c r="CK138" s="13">
        <f>(Sales[[#This Row],[Unadj Total Value]]-Sales[[#This Row],[24Final]])/Sales[[#This Row],[24Final]]</f>
        <v>5.1640340218712033E-3</v>
      </c>
      <c r="CL138">
        <f>VLOOKUP(Sales[[#This Row],[TNbhd]],Lookups!$Q$2:$T$4,4,FALSE)</f>
        <v>0.99970000000000003</v>
      </c>
      <c r="CM138">
        <f>VLOOKUP(Sales[[#This Row],[Qlty]],Lookups!$O$7:$R$21,4,FALSE)</f>
        <v>0.98050000000000004</v>
      </c>
      <c r="CN138">
        <f>VLOOKUP(Sales[[#This Row],[Cnd]],Lookups!$T$7:$W$16,4,FALSE)</f>
        <v>0.99729999999999996</v>
      </c>
      <c r="CO138">
        <f>VLOOKUP(Sales[[#This Row],[LivArea Range]],Lookups!$T$25:$W$37,4,FALSE)</f>
        <v>1.0093000000000001</v>
      </c>
      <c r="CP138">
        <f>VLOOKUP(Sales[[#This Row],[Decade]],Lookups!$O$25:$R$42,4,FALSE)</f>
        <v>0.995</v>
      </c>
      <c r="CQ138">
        <f>Sales[[#This Row],[Nbhd Adj]]*0.95</f>
        <v>0.94971499999999998</v>
      </c>
      <c r="CR138">
        <f>Sales[[#This Row],[Nbhd Adj]]*Sales[[#This Row],[Quality Adj]]*Sales[[#This Row],[Condition Adj]]*Sales[[#This Row],[Living Area Adj]]*Sales[[#This Row],[Decade Adj]]*0.95</f>
        <v>0.93263147552975589</v>
      </c>
      <c r="CS138">
        <f>ROUND(SUM(Sales[[#This Row],[Mdl Qlty]:[Mdl WdDeck]])+Sales[[#This Row],[Mdl Res Intercept]]*Sales[[#This Row],[Res Adj ]],-2)</f>
        <v>312800</v>
      </c>
      <c r="CT138">
        <f>ROUND(Sales[[#This Row],[25Det]]*Sales[[#This Row],[Det/Nbhd Adj]],-2)</f>
        <v>1400</v>
      </c>
      <c r="CU138">
        <f>Sales[[#This Row],[Adjusted Res]]+Sales[[#This Row],[Adj Det ]]</f>
        <v>314200</v>
      </c>
      <c r="CV138">
        <f>ROUND((Sales[[#This Row],[Mdl Land Intercept]]+Sales[[#This Row],[Mdl LnAcres]])*Sales[[#This Row],[Det/Nbhd Adj]],-2)</f>
        <v>36900</v>
      </c>
      <c r="CW138">
        <f>Sales[[#This Row],[Adjusted Impr Total]]+Sales[[#This Row],[Adjusted Land Total]]</f>
        <v>351100</v>
      </c>
      <c r="CX138" s="15">
        <f>IFERROR((Sales[[#This Row],[Adjusted Impr Total]]-Sales[[#This Row],[24Bldg]])/Sales[[#This Row],[24Bldg]],0)</f>
        <v>0.16026587887740029</v>
      </c>
      <c r="CY138" s="15">
        <f>(Sales[[#This Row],[Adjusted Land Total]]-Sales[[#This Row],[24Lnd]])/Sales[[#This Row],[24Lnd]]</f>
        <v>-0.36815068493150682</v>
      </c>
      <c r="CZ138" s="15">
        <f>(Sales[[#This Row],[Adjusted Total]]-Sales[[#This Row],[24Final]])/Sales[[#This Row],[24Final]]</f>
        <v>6.6524908869987853E-2</v>
      </c>
      <c r="DA138" s="15">
        <f>(Sales[[#This Row],[Adjusted Total]]+Sales[[#This Row],[Days Prior Total]])/Sales[[#This Row],[Price]]</f>
        <v>1.3990138017201956</v>
      </c>
    </row>
    <row r="139" spans="1:105" x14ac:dyDescent="0.3">
      <c r="A139">
        <v>2025</v>
      </c>
      <c r="B139">
        <v>18132331408</v>
      </c>
      <c r="C139">
        <v>-1.6094379124341003</v>
      </c>
      <c r="D139">
        <v>0.2</v>
      </c>
      <c r="E139">
        <v>8583</v>
      </c>
      <c r="F139">
        <v>6</v>
      </c>
      <c r="G139" t="s">
        <v>126</v>
      </c>
      <c r="H139">
        <v>3032</v>
      </c>
      <c r="I139" t="s">
        <v>349</v>
      </c>
      <c r="J139" t="s">
        <v>30</v>
      </c>
      <c r="K139">
        <v>11</v>
      </c>
      <c r="L139">
        <v>259</v>
      </c>
      <c r="M139" t="s">
        <v>241</v>
      </c>
      <c r="N139" t="s">
        <v>205</v>
      </c>
      <c r="O139" t="s">
        <v>303</v>
      </c>
      <c r="P139">
        <v>80</v>
      </c>
      <c r="Q139">
        <v>1946</v>
      </c>
      <c r="R139">
        <v>1972</v>
      </c>
      <c r="S139">
        <v>78</v>
      </c>
      <c r="T139">
        <v>52</v>
      </c>
      <c r="U139">
        <v>1</v>
      </c>
      <c r="V139">
        <v>1152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1152</v>
      </c>
      <c r="AC139">
        <v>1500</v>
      </c>
      <c r="AD139">
        <v>0</v>
      </c>
      <c r="AF139" t="s">
        <v>383</v>
      </c>
      <c r="AG139" t="s">
        <v>148</v>
      </c>
      <c r="AH139" t="s">
        <v>65</v>
      </c>
      <c r="AI139">
        <v>0</v>
      </c>
      <c r="AJ139">
        <v>0</v>
      </c>
      <c r="AK139">
        <v>0</v>
      </c>
      <c r="AL139">
        <v>0</v>
      </c>
      <c r="AM139">
        <v>1</v>
      </c>
      <c r="AN139">
        <v>7</v>
      </c>
      <c r="AO139">
        <v>0</v>
      </c>
      <c r="AP139">
        <v>0</v>
      </c>
      <c r="AQ139">
        <v>192</v>
      </c>
      <c r="AR139">
        <v>0</v>
      </c>
      <c r="AS139">
        <v>288</v>
      </c>
      <c r="AT139">
        <v>0</v>
      </c>
      <c r="AU139">
        <v>100</v>
      </c>
      <c r="AV139">
        <v>100</v>
      </c>
      <c r="AW139">
        <v>161335</v>
      </c>
      <c r="AX139">
        <v>124228</v>
      </c>
      <c r="AY139">
        <v>552</v>
      </c>
      <c r="AZ139">
        <v>365</v>
      </c>
      <c r="BA139">
        <v>187</v>
      </c>
      <c r="BB139">
        <v>0</v>
      </c>
      <c r="BC139" s="3">
        <v>44740</v>
      </c>
      <c r="BD139" t="s">
        <v>212</v>
      </c>
      <c r="BE139">
        <v>325000</v>
      </c>
      <c r="BF139">
        <v>316908</v>
      </c>
      <c r="BG139" t="s">
        <v>294</v>
      </c>
      <c r="BH139">
        <v>30</v>
      </c>
      <c r="BI139" t="s">
        <v>65</v>
      </c>
      <c r="BJ139" t="s">
        <v>450</v>
      </c>
      <c r="BK139">
        <v>297800</v>
      </c>
      <c r="BL139">
        <v>58400</v>
      </c>
      <c r="BM139">
        <v>239400</v>
      </c>
      <c r="BN139">
        <v>8092</v>
      </c>
      <c r="BO139">
        <v>0.91630769230769227</v>
      </c>
      <c r="BP139">
        <v>284915.01668468839</v>
      </c>
      <c r="BQ139">
        <v>308521.40533222497</v>
      </c>
      <c r="BR139" s="12">
        <f>(Sales[[#This Row],[DP1]]*Lookups!$B$59)+(Sales[[#This Row],[DP2]]*Lookups!$B$60)+(Sales[[#This Row],[DP3]]*Lookups!$B$61)</f>
        <v>-23606.388649126002</v>
      </c>
      <c r="BS139" s="12">
        <f>Lookups!$B$56*0</f>
        <v>0</v>
      </c>
      <c r="BT139" s="12">
        <f>Lookups!$B$56*1</f>
        <v>89850.625589999996</v>
      </c>
      <c r="BU139" s="12">
        <f>Lookups!$B$57*Sales[[#This Row],[LnAcres]]</f>
        <v>-50946.13867709865</v>
      </c>
      <c r="BV139" s="12">
        <f>VLOOKUP(Sales[[#This Row],[Qlty]],Lookups!$A$62:$E$75,2,FALSE)</f>
        <v>0</v>
      </c>
      <c r="BW139" s="12">
        <f>VLOOKUP(Sales[[#This Row],[Cnd]],Lookups!$A$76:$E$84,2,FALSE)</f>
        <v>197752.34721000001</v>
      </c>
      <c r="BX139" s="12">
        <f>Sales[[#This Row],[EffAge]]*Lookups!$B$85</f>
        <v>-11598.371226000001</v>
      </c>
      <c r="BY139" s="12">
        <f>Sales[[#This Row],[MainFn]]*Lookups!$B$86</f>
        <v>56918.787698304004</v>
      </c>
      <c r="BZ139" s="12">
        <f>Sales[[#This Row],[UpprFn]]*Lookups!$B$87</f>
        <v>0</v>
      </c>
      <c r="CA139" s="12">
        <f>Sales[[#This Row],[AddFn]]*Lookups!$B$88</f>
        <v>0</v>
      </c>
      <c r="CB139" s="12">
        <f>Sales[[#This Row],[Bsmt]]*Lookups!$B$89</f>
        <v>0</v>
      </c>
      <c r="CC139" s="12">
        <f>Sales[[#This Row],[Fixtures]]*Lookups!$B$90</f>
        <v>26544.1547364</v>
      </c>
      <c r="CD139" s="12">
        <f>Sales[[#This Row],[WdDeck]]*Lookups!$B$91</f>
        <v>0</v>
      </c>
      <c r="CE139" s="12">
        <f>SUM(Sales[[#This Row],[Days Prior Total]:[Mdl WdDeck]])</f>
        <v>284915.01668247936</v>
      </c>
      <c r="CF139" s="12">
        <f>ROUND(Sales[[#This Row],[25Det]],-2)</f>
        <v>8100</v>
      </c>
      <c r="CG139" s="12">
        <f>ROUND(SUM(Sales[[#This Row],[Mdl Qlty]:[Mdl WdDeck]])+Sales[[#This Row],[Mdl Res Intercept]]+Sales[[#This Row],[Days Prior Total]],-2)</f>
        <v>246000</v>
      </c>
      <c r="CH139" s="12">
        <f>ROUND(Sales[[#This Row],[Mdl Land Intercept]]+Sales[[#This Row],[Mdl LnAcres]],-2)</f>
        <v>38900</v>
      </c>
      <c r="CI139" s="12">
        <f>Sales[[#This Row],[Unadj Res Value]]+Sales[[#This Row],[Unadj Det Value]]+Sales[[#This Row],[Unadj Land Value]]</f>
        <v>293000</v>
      </c>
      <c r="CJ139" s="13">
        <f>Sales[[#This Row],[Unadj Total Value]]/Sales[[#This Row],[Price]]</f>
        <v>0.90153846153846151</v>
      </c>
      <c r="CK139" s="13">
        <f>(Sales[[#This Row],[Unadj Total Value]]-Sales[[#This Row],[24Final]])/Sales[[#This Row],[24Final]]</f>
        <v>-1.6118200134318333E-2</v>
      </c>
      <c r="CL139">
        <f>VLOOKUP(Sales[[#This Row],[TNbhd]],Lookups!$Q$2:$T$4,4,FALSE)</f>
        <v>0.99970000000000003</v>
      </c>
      <c r="CM139">
        <f>VLOOKUP(Sales[[#This Row],[Qlty]],Lookups!$O$7:$R$21,4,FALSE)</f>
        <v>0.99180000000000001</v>
      </c>
      <c r="CN139">
        <f>VLOOKUP(Sales[[#This Row],[Cnd]],Lookups!$T$7:$W$16,4,FALSE)</f>
        <v>0.99650000000000005</v>
      </c>
      <c r="CO139">
        <f>VLOOKUP(Sales[[#This Row],[LivArea Range]],Lookups!$T$25:$W$37,4,FALSE)</f>
        <v>1.0157</v>
      </c>
      <c r="CP139">
        <f>VLOOKUP(Sales[[#This Row],[Decade]],Lookups!$O$25:$R$42,4,FALSE)</f>
        <v>0.995</v>
      </c>
      <c r="CQ139">
        <f>Sales[[#This Row],[Nbhd Adj]]*0.95</f>
        <v>0.94971499999999998</v>
      </c>
      <c r="CR139">
        <f>Sales[[#This Row],[Nbhd Adj]]*Sales[[#This Row],[Quality Adj]]*Sales[[#This Row],[Condition Adj]]*Sales[[#This Row],[Living Area Adj]]*Sales[[#This Row],[Decade Adj]]*0.95</f>
        <v>0.94860025614621091</v>
      </c>
      <c r="CS139">
        <f>ROUND(SUM(Sales[[#This Row],[Mdl Qlty]:[Mdl WdDeck]])+Sales[[#This Row],[Mdl Res Intercept]]*Sales[[#This Row],[Res Adj ]],-2)</f>
        <v>269600</v>
      </c>
      <c r="CT139">
        <f>ROUND(Sales[[#This Row],[25Det]]*Sales[[#This Row],[Det/Nbhd Adj]],-2)</f>
        <v>7700</v>
      </c>
      <c r="CU139">
        <f>Sales[[#This Row],[Adjusted Res]]+Sales[[#This Row],[Adj Det ]]</f>
        <v>277300</v>
      </c>
      <c r="CV139">
        <f>ROUND((Sales[[#This Row],[Mdl Land Intercept]]+Sales[[#This Row],[Mdl LnAcres]])*Sales[[#This Row],[Det/Nbhd Adj]],-2)</f>
        <v>36900</v>
      </c>
      <c r="CW139">
        <f>Sales[[#This Row],[Adjusted Impr Total]]+Sales[[#This Row],[Adjusted Land Total]]</f>
        <v>314200</v>
      </c>
      <c r="CX139" s="15">
        <f>IFERROR((Sales[[#This Row],[Adjusted Impr Total]]-Sales[[#This Row],[24Bldg]])/Sales[[#This Row],[24Bldg]],0)</f>
        <v>0.15831244778613199</v>
      </c>
      <c r="CY139" s="15">
        <f>(Sales[[#This Row],[Adjusted Land Total]]-Sales[[#This Row],[24Lnd]])/Sales[[#This Row],[24Lnd]]</f>
        <v>-0.36815068493150682</v>
      </c>
      <c r="CZ139" s="15">
        <f>(Sales[[#This Row],[Adjusted Total]]-Sales[[#This Row],[24Final]])/Sales[[#This Row],[24Final]]</f>
        <v>5.5070517125587644E-2</v>
      </c>
      <c r="DA139" s="15">
        <f>(Sales[[#This Row],[Adjusted Total]]+Sales[[#This Row],[Days Prior Total]])/Sales[[#This Row],[Price]]</f>
        <v>0.89413418877192008</v>
      </c>
    </row>
    <row r="140" spans="1:105" x14ac:dyDescent="0.3">
      <c r="A140">
        <v>2025</v>
      </c>
      <c r="B140">
        <v>18132344445</v>
      </c>
      <c r="C140">
        <v>-1.8971199848858813</v>
      </c>
      <c r="D140">
        <v>0.15</v>
      </c>
      <c r="E140">
        <v>6500</v>
      </c>
      <c r="F140">
        <v>6</v>
      </c>
      <c r="G140" t="s">
        <v>126</v>
      </c>
      <c r="H140">
        <v>3093</v>
      </c>
      <c r="I140" t="s">
        <v>349</v>
      </c>
      <c r="J140" t="s">
        <v>30</v>
      </c>
      <c r="K140">
        <v>11</v>
      </c>
      <c r="L140">
        <v>259</v>
      </c>
      <c r="M140" t="s">
        <v>242</v>
      </c>
      <c r="N140" t="s">
        <v>205</v>
      </c>
      <c r="O140" t="s">
        <v>323</v>
      </c>
      <c r="P140">
        <v>80</v>
      </c>
      <c r="Q140">
        <v>1945</v>
      </c>
      <c r="R140">
        <v>1972</v>
      </c>
      <c r="S140">
        <v>79</v>
      </c>
      <c r="T140">
        <v>52</v>
      </c>
      <c r="U140">
        <v>1</v>
      </c>
      <c r="V140">
        <v>1092</v>
      </c>
      <c r="W140">
        <v>0</v>
      </c>
      <c r="X140">
        <v>0</v>
      </c>
      <c r="Y140">
        <v>110</v>
      </c>
      <c r="Z140">
        <v>0</v>
      </c>
      <c r="AA140">
        <v>110</v>
      </c>
      <c r="AB140">
        <v>1202</v>
      </c>
      <c r="AC140">
        <v>1500</v>
      </c>
      <c r="AD140">
        <v>0</v>
      </c>
      <c r="AF140" t="s">
        <v>383</v>
      </c>
      <c r="AG140" t="s">
        <v>148</v>
      </c>
      <c r="AI140">
        <v>1</v>
      </c>
      <c r="AJ140">
        <v>0</v>
      </c>
      <c r="AK140">
        <v>0</v>
      </c>
      <c r="AL140">
        <v>0</v>
      </c>
      <c r="AM140">
        <v>0</v>
      </c>
      <c r="AN140">
        <v>5</v>
      </c>
      <c r="AO140">
        <v>0</v>
      </c>
      <c r="AP140">
        <v>0</v>
      </c>
      <c r="AQ140">
        <v>0</v>
      </c>
      <c r="AR140">
        <v>182</v>
      </c>
      <c r="AS140">
        <v>0</v>
      </c>
      <c r="AT140">
        <v>182</v>
      </c>
      <c r="AU140">
        <v>100</v>
      </c>
      <c r="AV140">
        <v>100</v>
      </c>
      <c r="AW140">
        <v>174928</v>
      </c>
      <c r="AX140">
        <v>120700</v>
      </c>
      <c r="AY140">
        <v>860</v>
      </c>
      <c r="AZ140">
        <v>365</v>
      </c>
      <c r="BA140">
        <v>365</v>
      </c>
      <c r="BB140">
        <v>130</v>
      </c>
      <c r="BC140" s="3">
        <v>44432</v>
      </c>
      <c r="BD140" t="s">
        <v>354</v>
      </c>
      <c r="BE140">
        <v>285000</v>
      </c>
      <c r="BF140">
        <v>278566</v>
      </c>
      <c r="BG140" t="s">
        <v>294</v>
      </c>
      <c r="BH140">
        <v>30</v>
      </c>
      <c r="BI140" t="s">
        <v>65</v>
      </c>
      <c r="BJ140" t="s">
        <v>450</v>
      </c>
      <c r="BK140">
        <v>252700</v>
      </c>
      <c r="BL140">
        <v>48400</v>
      </c>
      <c r="BM140">
        <v>204300</v>
      </c>
      <c r="BN140">
        <v>6434</v>
      </c>
      <c r="BO140">
        <v>0.88666666666666671</v>
      </c>
      <c r="BP140">
        <v>221898.81693818345</v>
      </c>
      <c r="BQ140">
        <v>260845.02370534782</v>
      </c>
      <c r="BR140" s="12">
        <f>(Sales[[#This Row],[DP1]]*Lookups!$B$59)+(Sales[[#This Row],[DP2]]*Lookups!$B$60)+(Sales[[#This Row],[DP3]]*Lookups!$B$61)</f>
        <v>-38946.20677207</v>
      </c>
      <c r="BS140" s="12">
        <f>Lookups!$B$56*0</f>
        <v>0</v>
      </c>
      <c r="BT140" s="12">
        <f>Lookups!$B$56*1</f>
        <v>89850.625589999996</v>
      </c>
      <c r="BU140" s="12">
        <f>Lookups!$B$57*Sales[[#This Row],[LnAcres]]</f>
        <v>-60052.604136134301</v>
      </c>
      <c r="BV140" s="12">
        <f>VLOOKUP(Sales[[#This Row],[Qlty]],Lookups!$A$62:$E$75,2,FALSE)</f>
        <v>0</v>
      </c>
      <c r="BW140" s="12">
        <f>VLOOKUP(Sales[[#This Row],[Cnd]],Lookups!$A$76:$E$84,2,FALSE)</f>
        <v>160472.20319</v>
      </c>
      <c r="BX140" s="12">
        <f>Sales[[#This Row],[EffAge]]*Lookups!$B$85</f>
        <v>-11598.371226000001</v>
      </c>
      <c r="BY140" s="12">
        <f>Sales[[#This Row],[MainFn]]*Lookups!$B$86</f>
        <v>53954.267505684002</v>
      </c>
      <c r="BZ140" s="12">
        <f>Sales[[#This Row],[UpprFn]]*Lookups!$B$87</f>
        <v>0</v>
      </c>
      <c r="CA140" s="12">
        <f>Sales[[#This Row],[AddFn]]*Lookups!$B$88</f>
        <v>0</v>
      </c>
      <c r="CB140" s="12">
        <f>Sales[[#This Row],[Bsmt]]*Lookups!$B$89</f>
        <v>3199.0084771699999</v>
      </c>
      <c r="CC140" s="12">
        <f>Sales[[#This Row],[Fixtures]]*Lookups!$B$90</f>
        <v>18960.110526</v>
      </c>
      <c r="CD140" s="12">
        <f>Sales[[#This Row],[WdDeck]]*Lookups!$B$91</f>
        <v>6059.7837802320009</v>
      </c>
      <c r="CE140" s="12">
        <f>SUM(Sales[[#This Row],[Days Prior Total]:[Mdl WdDeck]])</f>
        <v>221898.8169348817</v>
      </c>
      <c r="CF140" s="12">
        <f>ROUND(Sales[[#This Row],[25Det]],-2)</f>
        <v>6400</v>
      </c>
      <c r="CG140" s="12">
        <f>ROUND(SUM(Sales[[#This Row],[Mdl Qlty]:[Mdl WdDeck]])+Sales[[#This Row],[Mdl Res Intercept]]+Sales[[#This Row],[Days Prior Total]],-2)</f>
        <v>192100</v>
      </c>
      <c r="CH140" s="12">
        <f>ROUND(Sales[[#This Row],[Mdl Land Intercept]]+Sales[[#This Row],[Mdl LnAcres]],-2)</f>
        <v>29800</v>
      </c>
      <c r="CI140" s="12">
        <f>Sales[[#This Row],[Unadj Res Value]]+Sales[[#This Row],[Unadj Det Value]]+Sales[[#This Row],[Unadj Land Value]]</f>
        <v>228300</v>
      </c>
      <c r="CJ140" s="13">
        <f>Sales[[#This Row],[Unadj Total Value]]/Sales[[#This Row],[Price]]</f>
        <v>0.80105263157894735</v>
      </c>
      <c r="CK140" s="13">
        <f>(Sales[[#This Row],[Unadj Total Value]]-Sales[[#This Row],[24Final]])/Sales[[#This Row],[24Final]]</f>
        <v>-9.6557182429758609E-2</v>
      </c>
      <c r="CL140">
        <f>VLOOKUP(Sales[[#This Row],[TNbhd]],Lookups!$Q$2:$T$4,4,FALSE)</f>
        <v>0.99970000000000003</v>
      </c>
      <c r="CM140">
        <f>VLOOKUP(Sales[[#This Row],[Qlty]],Lookups!$O$7:$R$21,4,FALSE)</f>
        <v>0.99180000000000001</v>
      </c>
      <c r="CN140">
        <f>VLOOKUP(Sales[[#This Row],[Cnd]],Lookups!$T$7:$W$16,4,FALSE)</f>
        <v>0.99729999999999996</v>
      </c>
      <c r="CO140">
        <f>VLOOKUP(Sales[[#This Row],[LivArea Range]],Lookups!$T$25:$W$37,4,FALSE)</f>
        <v>1.0157</v>
      </c>
      <c r="CP140">
        <f>VLOOKUP(Sales[[#This Row],[Decade]],Lookups!$O$25:$R$42,4,FALSE)</f>
        <v>0.995</v>
      </c>
      <c r="CQ140">
        <f>Sales[[#This Row],[Nbhd Adj]]*0.95</f>
        <v>0.94971499999999998</v>
      </c>
      <c r="CR140">
        <f>Sales[[#This Row],[Nbhd Adj]]*Sales[[#This Row],[Quality Adj]]*Sales[[#This Row],[Condition Adj]]*Sales[[#This Row],[Living Area Adj]]*Sales[[#This Row],[Decade Adj]]*0.95</f>
        <v>0.94936180176077878</v>
      </c>
      <c r="CS140">
        <f>ROUND(SUM(Sales[[#This Row],[Mdl Qlty]:[Mdl WdDeck]])+Sales[[#This Row],[Mdl Res Intercept]]*Sales[[#This Row],[Res Adj ]],-2)</f>
        <v>231000</v>
      </c>
      <c r="CT140">
        <f>ROUND(Sales[[#This Row],[25Det]]*Sales[[#This Row],[Det/Nbhd Adj]],-2)</f>
        <v>6100</v>
      </c>
      <c r="CU140">
        <f>Sales[[#This Row],[Adjusted Res]]+Sales[[#This Row],[Adj Det ]]</f>
        <v>237100</v>
      </c>
      <c r="CV140">
        <f>ROUND((Sales[[#This Row],[Mdl Land Intercept]]+Sales[[#This Row],[Mdl LnAcres]])*Sales[[#This Row],[Det/Nbhd Adj]],-2)</f>
        <v>28300</v>
      </c>
      <c r="CW140">
        <f>Sales[[#This Row],[Adjusted Impr Total]]+Sales[[#This Row],[Adjusted Land Total]]</f>
        <v>265400</v>
      </c>
      <c r="CX140" s="15">
        <f>IFERROR((Sales[[#This Row],[Adjusted Impr Total]]-Sales[[#This Row],[24Bldg]])/Sales[[#This Row],[24Bldg]],0)</f>
        <v>0.16054821341164954</v>
      </c>
      <c r="CY140" s="15">
        <f>(Sales[[#This Row],[Adjusted Land Total]]-Sales[[#This Row],[24Lnd]])/Sales[[#This Row],[24Lnd]]</f>
        <v>-0.41528925619834711</v>
      </c>
      <c r="CZ140" s="15">
        <f>(Sales[[#This Row],[Adjusted Total]]-Sales[[#This Row],[24Final]])/Sales[[#This Row],[24Final]]</f>
        <v>5.0257222002374355E-2</v>
      </c>
      <c r="DA140" s="15">
        <f>(Sales[[#This Row],[Adjusted Total]]+Sales[[#This Row],[Days Prior Total]])/Sales[[#This Row],[Price]]</f>
        <v>0.79457471308045613</v>
      </c>
    </row>
    <row r="141" spans="1:105" x14ac:dyDescent="0.3">
      <c r="A141">
        <v>2025</v>
      </c>
      <c r="B141">
        <v>18132214026</v>
      </c>
      <c r="C141">
        <v>-1.8971199848858813</v>
      </c>
      <c r="D141">
        <v>0.15</v>
      </c>
      <c r="E141">
        <v>6641</v>
      </c>
      <c r="F141">
        <v>6</v>
      </c>
      <c r="G141" t="s">
        <v>126</v>
      </c>
      <c r="H141">
        <v>3033</v>
      </c>
      <c r="I141" t="s">
        <v>349</v>
      </c>
      <c r="J141" t="s">
        <v>30</v>
      </c>
      <c r="K141">
        <v>11</v>
      </c>
      <c r="L141">
        <v>259</v>
      </c>
      <c r="M141" t="s">
        <v>242</v>
      </c>
      <c r="N141" t="s">
        <v>302</v>
      </c>
      <c r="O141" t="s">
        <v>323</v>
      </c>
      <c r="P141">
        <v>80</v>
      </c>
      <c r="Q141">
        <v>1945</v>
      </c>
      <c r="R141">
        <v>1972</v>
      </c>
      <c r="S141">
        <v>79</v>
      </c>
      <c r="T141">
        <v>52</v>
      </c>
      <c r="U141">
        <v>1</v>
      </c>
      <c r="V141">
        <v>1068</v>
      </c>
      <c r="W141">
        <v>0</v>
      </c>
      <c r="X141">
        <v>0</v>
      </c>
      <c r="Y141">
        <v>1068</v>
      </c>
      <c r="Z141">
        <v>0</v>
      </c>
      <c r="AA141">
        <v>1068</v>
      </c>
      <c r="AB141">
        <v>2136</v>
      </c>
      <c r="AC141">
        <v>2500</v>
      </c>
      <c r="AD141">
        <v>0</v>
      </c>
      <c r="AF141" t="s">
        <v>383</v>
      </c>
      <c r="AG141" t="s">
        <v>148</v>
      </c>
      <c r="AH141" t="s">
        <v>450</v>
      </c>
      <c r="AI141">
        <v>0</v>
      </c>
      <c r="AJ141">
        <v>1</v>
      </c>
      <c r="AK141">
        <v>0</v>
      </c>
      <c r="AL141">
        <v>0</v>
      </c>
      <c r="AM141">
        <v>0</v>
      </c>
      <c r="AN141">
        <v>10</v>
      </c>
      <c r="AO141">
        <v>0</v>
      </c>
      <c r="AP141">
        <v>0</v>
      </c>
      <c r="AQ141">
        <v>0</v>
      </c>
      <c r="AR141">
        <v>0</v>
      </c>
      <c r="AS141">
        <v>280</v>
      </c>
      <c r="AT141">
        <v>0</v>
      </c>
      <c r="AU141">
        <v>100</v>
      </c>
      <c r="AV141">
        <v>100</v>
      </c>
      <c r="AW141">
        <v>285924</v>
      </c>
      <c r="AX141">
        <v>197288</v>
      </c>
      <c r="AY141">
        <v>783</v>
      </c>
      <c r="AZ141">
        <v>365</v>
      </c>
      <c r="BA141">
        <v>365</v>
      </c>
      <c r="BB141">
        <v>53</v>
      </c>
      <c r="BC141" s="3">
        <v>44509</v>
      </c>
      <c r="BD141" t="s">
        <v>398</v>
      </c>
      <c r="BE141">
        <v>337000</v>
      </c>
      <c r="BF141">
        <v>332286</v>
      </c>
      <c r="BG141" t="s">
        <v>294</v>
      </c>
      <c r="BH141">
        <v>30</v>
      </c>
      <c r="BI141" t="s">
        <v>65</v>
      </c>
      <c r="BJ141" t="s">
        <v>450</v>
      </c>
      <c r="BK141">
        <v>330800</v>
      </c>
      <c r="BL141">
        <v>48400</v>
      </c>
      <c r="BM141">
        <v>282400</v>
      </c>
      <c r="BN141">
        <v>4714</v>
      </c>
      <c r="BO141">
        <v>0.98160237388724036</v>
      </c>
      <c r="BP141">
        <v>301584.45630647271</v>
      </c>
      <c r="BQ141">
        <v>330234.09118227434</v>
      </c>
      <c r="BR141" s="12">
        <f>(Sales[[#This Row],[DP1]]*Lookups!$B$59)+(Sales[[#This Row],[DP2]]*Lookups!$B$60)+(Sales[[#This Row],[DP3]]*Lookups!$B$61)</f>
        <v>-28649.634878770004</v>
      </c>
      <c r="BS141" s="12">
        <f>Lookups!$B$56*0</f>
        <v>0</v>
      </c>
      <c r="BT141" s="12">
        <f>Lookups!$B$56*1</f>
        <v>89850.625589999996</v>
      </c>
      <c r="BU141" s="12">
        <f>Lookups!$B$57*Sales[[#This Row],[LnAcres]]</f>
        <v>-60052.604136134301</v>
      </c>
      <c r="BV141" s="12">
        <f>VLOOKUP(Sales[[#This Row],[Qlty]],Lookups!$A$62:$E$75,2,FALSE)</f>
        <v>29814.093161000001</v>
      </c>
      <c r="BW141" s="12">
        <f>VLOOKUP(Sales[[#This Row],[Cnd]],Lookups!$A$76:$E$84,2,FALSE)</f>
        <v>160472.20319</v>
      </c>
      <c r="BX141" s="12">
        <f>Sales[[#This Row],[EffAge]]*Lookups!$B$85</f>
        <v>-11598.371226000001</v>
      </c>
      <c r="BY141" s="12">
        <f>Sales[[#This Row],[MainFn]]*Lookups!$B$86</f>
        <v>52768.459428636001</v>
      </c>
      <c r="BZ141" s="12">
        <f>Sales[[#This Row],[UpprFn]]*Lookups!$B$87</f>
        <v>0</v>
      </c>
      <c r="CA141" s="12">
        <f>Sales[[#This Row],[AddFn]]*Lookups!$B$88</f>
        <v>0</v>
      </c>
      <c r="CB141" s="12">
        <f>Sales[[#This Row],[Bsmt]]*Lookups!$B$89</f>
        <v>31059.464123795999</v>
      </c>
      <c r="CC141" s="12">
        <f>Sales[[#This Row],[Fixtures]]*Lookups!$B$90</f>
        <v>37920.221052000001</v>
      </c>
      <c r="CD141" s="12">
        <f>Sales[[#This Row],[WdDeck]]*Lookups!$B$91</f>
        <v>0</v>
      </c>
      <c r="CE141" s="12">
        <f>SUM(Sales[[#This Row],[Days Prior Total]:[Mdl WdDeck]])</f>
        <v>301584.4563045277</v>
      </c>
      <c r="CF141" s="12">
        <f>ROUND(Sales[[#This Row],[25Det]],-2)</f>
        <v>4700</v>
      </c>
      <c r="CG141" s="12">
        <f>ROUND(SUM(Sales[[#This Row],[Mdl Qlty]:[Mdl WdDeck]])+Sales[[#This Row],[Mdl Res Intercept]]+Sales[[#This Row],[Days Prior Total]],-2)</f>
        <v>271800</v>
      </c>
      <c r="CH141" s="12">
        <f>ROUND(Sales[[#This Row],[Mdl Land Intercept]]+Sales[[#This Row],[Mdl LnAcres]],-2)</f>
        <v>29800</v>
      </c>
      <c r="CI141" s="12">
        <f>Sales[[#This Row],[Unadj Res Value]]+Sales[[#This Row],[Unadj Det Value]]+Sales[[#This Row],[Unadj Land Value]]</f>
        <v>306300</v>
      </c>
      <c r="CJ141" s="13">
        <f>Sales[[#This Row],[Unadj Total Value]]/Sales[[#This Row],[Price]]</f>
        <v>0.90890207715133531</v>
      </c>
      <c r="CK141" s="13">
        <f>(Sales[[#This Row],[Unadj Total Value]]-Sales[[#This Row],[24Final]])/Sales[[#This Row],[24Final]]</f>
        <v>-7.4062877871825875E-2</v>
      </c>
      <c r="CL141">
        <f>VLOOKUP(Sales[[#This Row],[TNbhd]],Lookups!$Q$2:$T$4,4,FALSE)</f>
        <v>0.99970000000000003</v>
      </c>
      <c r="CM141">
        <f>VLOOKUP(Sales[[#This Row],[Qlty]],Lookups!$O$7:$R$21,4,FALSE)</f>
        <v>1.0088999999999999</v>
      </c>
      <c r="CN141">
        <f>VLOOKUP(Sales[[#This Row],[Cnd]],Lookups!$T$7:$W$16,4,FALSE)</f>
        <v>0.99729999999999996</v>
      </c>
      <c r="CO141">
        <f>VLOOKUP(Sales[[#This Row],[LivArea Range]],Lookups!$T$25:$W$37,4,FALSE)</f>
        <v>0.98919999999999997</v>
      </c>
      <c r="CP141">
        <f>VLOOKUP(Sales[[#This Row],[Decade]],Lookups!$O$25:$R$42,4,FALSE)</f>
        <v>0.995</v>
      </c>
      <c r="CQ141">
        <f>Sales[[#This Row],[Nbhd Adj]]*0.95</f>
        <v>0.94971499999999998</v>
      </c>
      <c r="CR141">
        <f>Sales[[#This Row],[Nbhd Adj]]*Sales[[#This Row],[Quality Adj]]*Sales[[#This Row],[Condition Adj]]*Sales[[#This Row],[Living Area Adj]]*Sales[[#This Row],[Decade Adj]]*0.95</f>
        <v>0.94053384219145564</v>
      </c>
      <c r="CS141">
        <f>ROUND(SUM(Sales[[#This Row],[Mdl Qlty]:[Mdl WdDeck]])+Sales[[#This Row],[Mdl Res Intercept]]*Sales[[#This Row],[Res Adj ]],-2)</f>
        <v>300400</v>
      </c>
      <c r="CT141">
        <f>ROUND(Sales[[#This Row],[25Det]]*Sales[[#This Row],[Det/Nbhd Adj]],-2)</f>
        <v>4500</v>
      </c>
      <c r="CU141">
        <f>Sales[[#This Row],[Adjusted Res]]+Sales[[#This Row],[Adj Det ]]</f>
        <v>304900</v>
      </c>
      <c r="CV141">
        <f>ROUND((Sales[[#This Row],[Mdl Land Intercept]]+Sales[[#This Row],[Mdl LnAcres]])*Sales[[#This Row],[Det/Nbhd Adj]],-2)</f>
        <v>28300</v>
      </c>
      <c r="CW141">
        <f>Sales[[#This Row],[Adjusted Impr Total]]+Sales[[#This Row],[Adjusted Land Total]]</f>
        <v>333200</v>
      </c>
      <c r="CX141" s="15">
        <f>IFERROR((Sales[[#This Row],[Adjusted Impr Total]]-Sales[[#This Row],[24Bldg]])/Sales[[#This Row],[24Bldg]],0)</f>
        <v>7.9674220963172809E-2</v>
      </c>
      <c r="CY141" s="15">
        <f>(Sales[[#This Row],[Adjusted Land Total]]-Sales[[#This Row],[24Lnd]])/Sales[[#This Row],[24Lnd]]</f>
        <v>-0.41528925619834711</v>
      </c>
      <c r="CZ141" s="15">
        <f>(Sales[[#This Row],[Adjusted Total]]-Sales[[#This Row],[24Final]])/Sales[[#This Row],[24Final]]</f>
        <v>7.2551390568319227E-3</v>
      </c>
      <c r="DA141" s="15">
        <f>(Sales[[#This Row],[Adjusted Total]]+Sales[[#This Row],[Days Prior Total]])/Sales[[#This Row],[Price]]</f>
        <v>0.90371028225884276</v>
      </c>
    </row>
    <row r="142" spans="1:105" x14ac:dyDescent="0.3">
      <c r="A142">
        <v>2025</v>
      </c>
      <c r="B142">
        <v>18132343422</v>
      </c>
      <c r="C142">
        <v>-1.4696759700589417</v>
      </c>
      <c r="D142">
        <v>0.23</v>
      </c>
      <c r="E142">
        <v>10132</v>
      </c>
      <c r="F142">
        <v>6</v>
      </c>
      <c r="G142" t="s">
        <v>126</v>
      </c>
      <c r="H142" t="s">
        <v>349</v>
      </c>
      <c r="I142" t="s">
        <v>349</v>
      </c>
      <c r="J142" t="s">
        <v>30</v>
      </c>
      <c r="K142">
        <v>11</v>
      </c>
      <c r="L142">
        <v>259</v>
      </c>
      <c r="M142" t="s">
        <v>241</v>
      </c>
      <c r="N142" t="s">
        <v>148</v>
      </c>
      <c r="O142" t="s">
        <v>303</v>
      </c>
      <c r="P142">
        <v>80</v>
      </c>
      <c r="Q142">
        <v>1945</v>
      </c>
      <c r="R142">
        <v>1972</v>
      </c>
      <c r="S142">
        <v>79</v>
      </c>
      <c r="T142">
        <v>52</v>
      </c>
      <c r="U142">
        <v>1</v>
      </c>
      <c r="V142">
        <v>1474</v>
      </c>
      <c r="W142">
        <v>0</v>
      </c>
      <c r="X142">
        <v>0</v>
      </c>
      <c r="Y142">
        <v>1149</v>
      </c>
      <c r="Z142">
        <v>0</v>
      </c>
      <c r="AA142">
        <v>1149</v>
      </c>
      <c r="AB142">
        <v>2623</v>
      </c>
      <c r="AC142">
        <v>3000</v>
      </c>
      <c r="AD142">
        <v>1</v>
      </c>
      <c r="AF142" t="s">
        <v>383</v>
      </c>
      <c r="AG142" t="s">
        <v>148</v>
      </c>
      <c r="AH142" t="s">
        <v>65</v>
      </c>
      <c r="AI142">
        <v>0</v>
      </c>
      <c r="AJ142">
        <v>2</v>
      </c>
      <c r="AK142">
        <v>0</v>
      </c>
      <c r="AL142">
        <v>1</v>
      </c>
      <c r="AM142">
        <v>1</v>
      </c>
      <c r="AN142">
        <v>10</v>
      </c>
      <c r="AO142">
        <v>0</v>
      </c>
      <c r="AP142">
        <v>325</v>
      </c>
      <c r="AQ142">
        <v>0</v>
      </c>
      <c r="AR142">
        <v>0</v>
      </c>
      <c r="AS142">
        <v>340</v>
      </c>
      <c r="AT142">
        <v>340</v>
      </c>
      <c r="AU142">
        <v>100</v>
      </c>
      <c r="AV142">
        <v>100</v>
      </c>
      <c r="AW142">
        <v>450823</v>
      </c>
      <c r="AX142">
        <v>347134</v>
      </c>
      <c r="AY142">
        <v>76</v>
      </c>
      <c r="AZ142">
        <v>76</v>
      </c>
      <c r="BA142">
        <v>0</v>
      </c>
      <c r="BB142">
        <v>0</v>
      </c>
      <c r="BC142" s="3">
        <v>45216</v>
      </c>
      <c r="BD142" t="s">
        <v>166</v>
      </c>
      <c r="BE142">
        <v>435000</v>
      </c>
      <c r="BF142">
        <v>435000</v>
      </c>
      <c r="BG142" t="s">
        <v>294</v>
      </c>
      <c r="BH142">
        <v>30</v>
      </c>
      <c r="BI142" t="s">
        <v>65</v>
      </c>
      <c r="BJ142" t="s">
        <v>450</v>
      </c>
      <c r="BK142">
        <v>402300</v>
      </c>
      <c r="BL142">
        <v>63300</v>
      </c>
      <c r="BM142">
        <v>339000</v>
      </c>
      <c r="BN142">
        <v>0</v>
      </c>
      <c r="BO142">
        <v>0.92482758620689653</v>
      </c>
      <c r="BP142">
        <v>412404.88671991805</v>
      </c>
      <c r="BQ142">
        <v>417767.30965891707</v>
      </c>
      <c r="BR142" s="12">
        <f>(Sales[[#This Row],[DP1]]*Lookups!$B$59)+(Sales[[#This Row],[DP2]]*Lookups!$B$60)+(Sales[[#This Row],[DP3]]*Lookups!$B$61)</f>
        <v>-5362.4229393200003</v>
      </c>
      <c r="BS142" s="12">
        <f>Lookups!$B$56*0</f>
        <v>0</v>
      </c>
      <c r="BT142" s="12">
        <f>Lookups!$B$56*1</f>
        <v>89850.625589999996</v>
      </c>
      <c r="BU142" s="12">
        <f>Lookups!$B$57*Sales[[#This Row],[LnAcres]]</f>
        <v>-46522.028095997222</v>
      </c>
      <c r="BV142" s="12">
        <f>VLOOKUP(Sales[[#This Row],[Qlty]],Lookups!$A$62:$E$75,2,FALSE)</f>
        <v>44121.038090000002</v>
      </c>
      <c r="BW142" s="12">
        <f>VLOOKUP(Sales[[#This Row],[Cnd]],Lookups!$A$76:$E$84,2,FALSE)</f>
        <v>197752.34721000001</v>
      </c>
      <c r="BX142" s="12">
        <f>Sales[[#This Row],[EffAge]]*Lookups!$B$85</f>
        <v>-11598.371226000001</v>
      </c>
      <c r="BY142" s="12">
        <f>Sales[[#This Row],[MainFn]]*Lookups!$B$86</f>
        <v>72828.379398698002</v>
      </c>
      <c r="BZ142" s="12">
        <f>Sales[[#This Row],[UpprFn]]*Lookups!$B$87</f>
        <v>0</v>
      </c>
      <c r="CA142" s="12">
        <f>Sales[[#This Row],[AddFn]]*Lookups!$B$88</f>
        <v>0</v>
      </c>
      <c r="CB142" s="12">
        <f>Sales[[#This Row],[Bsmt]]*Lookups!$B$89</f>
        <v>33415.097638802996</v>
      </c>
      <c r="CC142" s="12">
        <f>Sales[[#This Row],[Fixtures]]*Lookups!$B$90</f>
        <v>37920.221052000001</v>
      </c>
      <c r="CD142" s="12">
        <f>Sales[[#This Row],[WdDeck]]*Lookups!$B$91</f>
        <v>0</v>
      </c>
      <c r="CE142" s="12">
        <f>SUM(Sales[[#This Row],[Days Prior Total]:[Mdl WdDeck]])</f>
        <v>412404.88671818376</v>
      </c>
      <c r="CF142" s="12">
        <f>ROUND(Sales[[#This Row],[25Det]],-2)</f>
        <v>0</v>
      </c>
      <c r="CG142" s="12">
        <f>ROUND(SUM(Sales[[#This Row],[Mdl Qlty]:[Mdl WdDeck]])+Sales[[#This Row],[Mdl Res Intercept]]+Sales[[#This Row],[Days Prior Total]],-2)</f>
        <v>369100</v>
      </c>
      <c r="CH142" s="12">
        <f>ROUND(Sales[[#This Row],[Mdl Land Intercept]]+Sales[[#This Row],[Mdl LnAcres]],-2)</f>
        <v>43300</v>
      </c>
      <c r="CI142" s="12">
        <f>Sales[[#This Row],[Unadj Res Value]]+Sales[[#This Row],[Unadj Det Value]]+Sales[[#This Row],[Unadj Land Value]]</f>
        <v>412400</v>
      </c>
      <c r="CJ142" s="13">
        <f>Sales[[#This Row],[Unadj Total Value]]/Sales[[#This Row],[Price]]</f>
        <v>0.94804597701149429</v>
      </c>
      <c r="CK142" s="13">
        <f>(Sales[[#This Row],[Unadj Total Value]]-Sales[[#This Row],[24Final]])/Sales[[#This Row],[24Final]]</f>
        <v>2.5105642555306985E-2</v>
      </c>
      <c r="CL142">
        <f>VLOOKUP(Sales[[#This Row],[TNbhd]],Lookups!$Q$2:$T$4,4,FALSE)</f>
        <v>0.99970000000000003</v>
      </c>
      <c r="CM142">
        <f>VLOOKUP(Sales[[#This Row],[Qlty]],Lookups!$O$7:$R$21,4,FALSE)</f>
        <v>0.98050000000000004</v>
      </c>
      <c r="CN142">
        <f>VLOOKUP(Sales[[#This Row],[Cnd]],Lookups!$T$7:$W$16,4,FALSE)</f>
        <v>0.99650000000000005</v>
      </c>
      <c r="CO142">
        <f>VLOOKUP(Sales[[#This Row],[LivArea Range]],Lookups!$T$25:$W$37,4,FALSE)</f>
        <v>0.96179999999999999</v>
      </c>
      <c r="CP142">
        <f>VLOOKUP(Sales[[#This Row],[Decade]],Lookups!$O$25:$R$42,4,FALSE)</f>
        <v>0.995</v>
      </c>
      <c r="CQ142">
        <f>Sales[[#This Row],[Nbhd Adj]]*0.95</f>
        <v>0.94971499999999998</v>
      </c>
      <c r="CR142">
        <f>Sales[[#This Row],[Nbhd Adj]]*Sales[[#This Row],[Quality Adj]]*Sales[[#This Row],[Condition Adj]]*Sales[[#This Row],[Living Area Adj]]*Sales[[#This Row],[Decade Adj]]*0.95</f>
        <v>0.88802675758029637</v>
      </c>
      <c r="CS142">
        <f>ROUND(SUM(Sales[[#This Row],[Mdl Qlty]:[Mdl WdDeck]])+Sales[[#This Row],[Mdl Res Intercept]]*Sales[[#This Row],[Res Adj ]],-2)</f>
        <v>374400</v>
      </c>
      <c r="CT142">
        <f>ROUND(Sales[[#This Row],[25Det]]*Sales[[#This Row],[Det/Nbhd Adj]],-2)</f>
        <v>0</v>
      </c>
      <c r="CU142">
        <f>Sales[[#This Row],[Adjusted Res]]+Sales[[#This Row],[Adj Det ]]</f>
        <v>374400</v>
      </c>
      <c r="CV142">
        <f>ROUND((Sales[[#This Row],[Mdl Land Intercept]]+Sales[[#This Row],[Mdl LnAcres]])*Sales[[#This Row],[Det/Nbhd Adj]],-2)</f>
        <v>41100</v>
      </c>
      <c r="CW142">
        <f>Sales[[#This Row],[Adjusted Impr Total]]+Sales[[#This Row],[Adjusted Land Total]]</f>
        <v>415500</v>
      </c>
      <c r="CX142" s="15">
        <f>IFERROR((Sales[[#This Row],[Adjusted Impr Total]]-Sales[[#This Row],[24Bldg]])/Sales[[#This Row],[24Bldg]],0)</f>
        <v>0.10442477876106195</v>
      </c>
      <c r="CY142" s="15">
        <f>(Sales[[#This Row],[Adjusted Land Total]]-Sales[[#This Row],[24Lnd]])/Sales[[#This Row],[24Lnd]]</f>
        <v>-0.35071090047393366</v>
      </c>
      <c r="CZ142" s="15">
        <f>(Sales[[#This Row],[Adjusted Total]]-Sales[[#This Row],[24Final]])/Sales[[#This Row],[24Final]]</f>
        <v>3.2811334824757642E-2</v>
      </c>
      <c r="DA142" s="15">
        <f>(Sales[[#This Row],[Adjusted Total]]+Sales[[#This Row],[Days Prior Total]])/Sales[[#This Row],[Price]]</f>
        <v>0.94284500473719546</v>
      </c>
    </row>
    <row r="143" spans="1:105" x14ac:dyDescent="0.3">
      <c r="A143">
        <v>2025</v>
      </c>
      <c r="B143">
        <v>18132214443</v>
      </c>
      <c r="C143">
        <v>-1.6607312068216509</v>
      </c>
      <c r="D143">
        <v>0.19</v>
      </c>
      <c r="E143">
        <v>8328</v>
      </c>
      <c r="F143">
        <v>6</v>
      </c>
      <c r="G143" t="s">
        <v>126</v>
      </c>
      <c r="H143">
        <v>3033</v>
      </c>
      <c r="I143" t="s">
        <v>349</v>
      </c>
      <c r="J143" t="s">
        <v>30</v>
      </c>
      <c r="K143">
        <v>11</v>
      </c>
      <c r="L143">
        <v>259</v>
      </c>
      <c r="M143" t="s">
        <v>242</v>
      </c>
      <c r="N143" t="s">
        <v>351</v>
      </c>
      <c r="O143" t="s">
        <v>303</v>
      </c>
      <c r="P143">
        <v>80</v>
      </c>
      <c r="Q143">
        <v>1945</v>
      </c>
      <c r="R143">
        <v>1972</v>
      </c>
      <c r="S143">
        <v>79</v>
      </c>
      <c r="T143">
        <v>52</v>
      </c>
      <c r="U143">
        <v>1</v>
      </c>
      <c r="V143">
        <v>984</v>
      </c>
      <c r="W143">
        <v>0</v>
      </c>
      <c r="X143">
        <v>0</v>
      </c>
      <c r="Y143">
        <v>984</v>
      </c>
      <c r="Z143">
        <v>0</v>
      </c>
      <c r="AA143">
        <v>984</v>
      </c>
      <c r="AB143">
        <v>1968</v>
      </c>
      <c r="AC143">
        <v>2000</v>
      </c>
      <c r="AD143">
        <v>1</v>
      </c>
      <c r="AF143" t="s">
        <v>383</v>
      </c>
      <c r="AG143" t="s">
        <v>148</v>
      </c>
      <c r="AH143" t="s">
        <v>450</v>
      </c>
      <c r="AI143">
        <v>0</v>
      </c>
      <c r="AJ143">
        <v>1</v>
      </c>
      <c r="AK143">
        <v>0</v>
      </c>
      <c r="AL143">
        <v>1</v>
      </c>
      <c r="AM143">
        <v>0</v>
      </c>
      <c r="AN143">
        <v>9</v>
      </c>
      <c r="AO143">
        <v>176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100</v>
      </c>
      <c r="AV143">
        <v>100</v>
      </c>
      <c r="AW143">
        <v>235353</v>
      </c>
      <c r="AX143">
        <v>181222</v>
      </c>
      <c r="AY143">
        <v>409</v>
      </c>
      <c r="AZ143">
        <v>365</v>
      </c>
      <c r="BA143">
        <v>44</v>
      </c>
      <c r="BB143">
        <v>0</v>
      </c>
      <c r="BC143" s="3">
        <v>44883</v>
      </c>
      <c r="BD143" t="s">
        <v>428</v>
      </c>
      <c r="BE143">
        <v>340000</v>
      </c>
      <c r="BF143">
        <v>340000</v>
      </c>
      <c r="BG143" t="s">
        <v>294</v>
      </c>
      <c r="BH143">
        <v>30</v>
      </c>
      <c r="BI143" t="s">
        <v>65</v>
      </c>
      <c r="BJ143" t="s">
        <v>450</v>
      </c>
      <c r="BK143">
        <v>335100</v>
      </c>
      <c r="BL143">
        <v>56600</v>
      </c>
      <c r="BM143">
        <v>278500</v>
      </c>
      <c r="BN143">
        <v>0</v>
      </c>
      <c r="BO143">
        <v>0.98558823529411765</v>
      </c>
      <c r="BP143">
        <v>331106.55526521319</v>
      </c>
      <c r="BQ143">
        <v>356355.03745902237</v>
      </c>
      <c r="BR143" s="12">
        <f>(Sales[[#This Row],[DP1]]*Lookups!$B$59)+(Sales[[#This Row],[DP2]]*Lookups!$B$60)+(Sales[[#This Row],[DP3]]*Lookups!$B$61)</f>
        <v>-25248.482195362001</v>
      </c>
      <c r="BS143" s="12">
        <f>Lookups!$B$56*0</f>
        <v>0</v>
      </c>
      <c r="BT143" s="12">
        <f>Lookups!$B$56*1</f>
        <v>89850.625589999996</v>
      </c>
      <c r="BU143" s="12">
        <f>Lookups!$B$57*Sales[[#This Row],[LnAcres]]</f>
        <v>-52569.808201026557</v>
      </c>
      <c r="BV143" s="12">
        <f>VLOOKUP(Sales[[#This Row],[Qlty]],Lookups!$A$62:$E$75,2,FALSE)</f>
        <v>21557.329055999999</v>
      </c>
      <c r="BW143" s="12">
        <f>VLOOKUP(Sales[[#This Row],[Cnd]],Lookups!$A$76:$E$84,2,FALSE)</f>
        <v>197752.34721000001</v>
      </c>
      <c r="BX143" s="12">
        <f>Sales[[#This Row],[EffAge]]*Lookups!$B$85</f>
        <v>-11598.371226000001</v>
      </c>
      <c r="BY143" s="12">
        <f>Sales[[#This Row],[MainFn]]*Lookups!$B$86</f>
        <v>48618.131158968004</v>
      </c>
      <c r="BZ143" s="12">
        <f>Sales[[#This Row],[UpprFn]]*Lookups!$B$87</f>
        <v>0</v>
      </c>
      <c r="CA143" s="12">
        <f>Sales[[#This Row],[AddFn]]*Lookups!$B$88</f>
        <v>0</v>
      </c>
      <c r="CB143" s="12">
        <f>Sales[[#This Row],[Bsmt]]*Lookups!$B$89</f>
        <v>28616.584923047998</v>
      </c>
      <c r="CC143" s="12">
        <f>Sales[[#This Row],[Fixtures]]*Lookups!$B$90</f>
        <v>34128.198946800003</v>
      </c>
      <c r="CD143" s="12">
        <f>Sales[[#This Row],[WdDeck]]*Lookups!$B$91</f>
        <v>0</v>
      </c>
      <c r="CE143" s="12">
        <f>SUM(Sales[[#This Row],[Days Prior Total]:[Mdl WdDeck]])</f>
        <v>331106.55526242749</v>
      </c>
      <c r="CF143" s="12">
        <f>ROUND(Sales[[#This Row],[25Det]],-2)</f>
        <v>0</v>
      </c>
      <c r="CG143" s="12">
        <f>ROUND(SUM(Sales[[#This Row],[Mdl Qlty]:[Mdl WdDeck]])+Sales[[#This Row],[Mdl Res Intercept]]+Sales[[#This Row],[Days Prior Total]],-2)</f>
        <v>293800</v>
      </c>
      <c r="CH143" s="12">
        <f>ROUND(Sales[[#This Row],[Mdl Land Intercept]]+Sales[[#This Row],[Mdl LnAcres]],-2)</f>
        <v>37300</v>
      </c>
      <c r="CI143" s="12">
        <f>Sales[[#This Row],[Unadj Res Value]]+Sales[[#This Row],[Unadj Det Value]]+Sales[[#This Row],[Unadj Land Value]]</f>
        <v>331100</v>
      </c>
      <c r="CJ143" s="13">
        <f>Sales[[#This Row],[Unadj Total Value]]/Sales[[#This Row],[Price]]</f>
        <v>0.97382352941176475</v>
      </c>
      <c r="CK143" s="13">
        <f>(Sales[[#This Row],[Unadj Total Value]]-Sales[[#This Row],[24Final]])/Sales[[#This Row],[24Final]]</f>
        <v>-1.1936735302894658E-2</v>
      </c>
      <c r="CL143">
        <f>VLOOKUP(Sales[[#This Row],[TNbhd]],Lookups!$Q$2:$T$4,4,FALSE)</f>
        <v>0.99970000000000003</v>
      </c>
      <c r="CM143">
        <f>VLOOKUP(Sales[[#This Row],[Qlty]],Lookups!$O$7:$R$21,4,FALSE)</f>
        <v>1.0067999999999999</v>
      </c>
      <c r="CN143">
        <f>VLOOKUP(Sales[[#This Row],[Cnd]],Lookups!$T$7:$W$16,4,FALSE)</f>
        <v>0.99650000000000005</v>
      </c>
      <c r="CO143">
        <f>VLOOKUP(Sales[[#This Row],[LivArea Range]],Lookups!$T$25:$W$37,4,FALSE)</f>
        <v>1.0093000000000001</v>
      </c>
      <c r="CP143">
        <f>VLOOKUP(Sales[[#This Row],[Decade]],Lookups!$O$25:$R$42,4,FALSE)</f>
        <v>0.995</v>
      </c>
      <c r="CQ143">
        <f>Sales[[#This Row],[Nbhd Adj]]*0.95</f>
        <v>0.94971499999999998</v>
      </c>
      <c r="CR143">
        <f>Sales[[#This Row],[Nbhd Adj]]*Sales[[#This Row],[Quality Adj]]*Sales[[#This Row],[Condition Adj]]*Sales[[#This Row],[Living Area Adj]]*Sales[[#This Row],[Decade Adj]]*0.95</f>
        <v>0.95687930361479956</v>
      </c>
      <c r="CS143">
        <f>ROUND(SUM(Sales[[#This Row],[Mdl Qlty]:[Mdl WdDeck]])+Sales[[#This Row],[Mdl Res Intercept]]*Sales[[#This Row],[Res Adj ]],-2)</f>
        <v>319100</v>
      </c>
      <c r="CT143">
        <f>ROUND(Sales[[#This Row],[25Det]]*Sales[[#This Row],[Det/Nbhd Adj]],-2)</f>
        <v>0</v>
      </c>
      <c r="CU143">
        <f>Sales[[#This Row],[Adjusted Res]]+Sales[[#This Row],[Adj Det ]]</f>
        <v>319100</v>
      </c>
      <c r="CV143">
        <f>ROUND((Sales[[#This Row],[Mdl Land Intercept]]+Sales[[#This Row],[Mdl LnAcres]])*Sales[[#This Row],[Det/Nbhd Adj]],-2)</f>
        <v>35400</v>
      </c>
      <c r="CW143">
        <f>Sales[[#This Row],[Adjusted Impr Total]]+Sales[[#This Row],[Adjusted Land Total]]</f>
        <v>354500</v>
      </c>
      <c r="CX143" s="15">
        <f>IFERROR((Sales[[#This Row],[Adjusted Impr Total]]-Sales[[#This Row],[24Bldg]])/Sales[[#This Row],[24Bldg]],0)</f>
        <v>0.14578096947935368</v>
      </c>
      <c r="CY143" s="15">
        <f>(Sales[[#This Row],[Adjusted Land Total]]-Sales[[#This Row],[24Lnd]])/Sales[[#This Row],[24Lnd]]</f>
        <v>-0.37455830388692579</v>
      </c>
      <c r="CZ143" s="15">
        <f>(Sales[[#This Row],[Adjusted Total]]-Sales[[#This Row],[24Final]])/Sales[[#This Row],[24Final]]</f>
        <v>5.7893166219039095E-2</v>
      </c>
      <c r="DA143" s="15">
        <f>(Sales[[#This Row],[Adjusted Total]]+Sales[[#This Row],[Days Prior Total]])/Sales[[#This Row],[Price]]</f>
        <v>0.96838681707246477</v>
      </c>
    </row>
    <row r="144" spans="1:105" x14ac:dyDescent="0.3">
      <c r="A144">
        <v>2025</v>
      </c>
      <c r="B144">
        <v>18132241456</v>
      </c>
      <c r="C144">
        <v>-1.6607312068216509</v>
      </c>
      <c r="D144">
        <v>0.19</v>
      </c>
      <c r="E144">
        <v>8060</v>
      </c>
      <c r="F144">
        <v>6</v>
      </c>
      <c r="G144" t="s">
        <v>126</v>
      </c>
      <c r="H144">
        <v>3033</v>
      </c>
      <c r="I144" t="s">
        <v>349</v>
      </c>
      <c r="J144" t="s">
        <v>30</v>
      </c>
      <c r="K144">
        <v>11</v>
      </c>
      <c r="L144">
        <v>259</v>
      </c>
      <c r="M144" t="s">
        <v>242</v>
      </c>
      <c r="N144" t="s">
        <v>351</v>
      </c>
      <c r="O144" t="s">
        <v>323</v>
      </c>
      <c r="P144">
        <v>80</v>
      </c>
      <c r="Q144">
        <v>1945</v>
      </c>
      <c r="R144">
        <v>1972</v>
      </c>
      <c r="S144">
        <v>79</v>
      </c>
      <c r="T144">
        <v>52</v>
      </c>
      <c r="U144">
        <v>1</v>
      </c>
      <c r="V144">
        <v>1248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1248</v>
      </c>
      <c r="AC144">
        <v>1500</v>
      </c>
      <c r="AD144">
        <v>0</v>
      </c>
      <c r="AF144" t="s">
        <v>208</v>
      </c>
      <c r="AG144" t="s">
        <v>382</v>
      </c>
      <c r="AI144">
        <v>0</v>
      </c>
      <c r="AJ144">
        <v>1</v>
      </c>
      <c r="AK144">
        <v>0</v>
      </c>
      <c r="AL144">
        <v>1</v>
      </c>
      <c r="AM144">
        <v>0</v>
      </c>
      <c r="AN144">
        <v>8</v>
      </c>
      <c r="AO144">
        <v>0</v>
      </c>
      <c r="AP144">
        <v>0</v>
      </c>
      <c r="AQ144">
        <v>0</v>
      </c>
      <c r="AR144">
        <v>300</v>
      </c>
      <c r="AS144">
        <v>0</v>
      </c>
      <c r="AT144">
        <v>300</v>
      </c>
      <c r="AU144">
        <v>100</v>
      </c>
      <c r="AV144">
        <v>100</v>
      </c>
      <c r="AW144">
        <v>204221</v>
      </c>
      <c r="AX144">
        <v>140912</v>
      </c>
      <c r="AY144">
        <v>430</v>
      </c>
      <c r="AZ144">
        <v>365</v>
      </c>
      <c r="BA144">
        <v>65</v>
      </c>
      <c r="BB144">
        <v>0</v>
      </c>
      <c r="BC144" s="3">
        <v>44862</v>
      </c>
      <c r="BD144" t="s">
        <v>391</v>
      </c>
      <c r="BE144">
        <v>295000</v>
      </c>
      <c r="BF144">
        <v>288566</v>
      </c>
      <c r="BG144" t="s">
        <v>294</v>
      </c>
      <c r="BH144">
        <v>30</v>
      </c>
      <c r="BI144" t="s">
        <v>65</v>
      </c>
      <c r="BJ144" t="s">
        <v>450</v>
      </c>
      <c r="BK144">
        <v>294800</v>
      </c>
      <c r="BL144">
        <v>56600</v>
      </c>
      <c r="BM144">
        <v>238200</v>
      </c>
      <c r="BN144">
        <v>6434</v>
      </c>
      <c r="BO144">
        <v>0.9993220338983051</v>
      </c>
      <c r="BP144">
        <v>284691.49424915994</v>
      </c>
      <c r="BQ144">
        <v>309698.82983827172</v>
      </c>
      <c r="BR144" s="12">
        <f>(Sales[[#This Row],[DP1]]*Lookups!$B$59)+(Sales[[#This Row],[DP2]]*Lookups!$B$60)+(Sales[[#This Row],[DP3]]*Lookups!$B$61)</f>
        <v>-25007.335590670002</v>
      </c>
      <c r="BS144" s="12">
        <f>Lookups!$B$56*0</f>
        <v>0</v>
      </c>
      <c r="BT144" s="12">
        <f>Lookups!$B$56*1</f>
        <v>89850.625589999996</v>
      </c>
      <c r="BU144" s="12">
        <f>Lookups!$B$57*Sales[[#This Row],[LnAcres]]</f>
        <v>-52569.808201026557</v>
      </c>
      <c r="BV144" s="12">
        <f>VLOOKUP(Sales[[#This Row],[Qlty]],Lookups!$A$62:$E$75,2,FALSE)</f>
        <v>21557.329055999999</v>
      </c>
      <c r="BW144" s="12">
        <f>VLOOKUP(Sales[[#This Row],[Cnd]],Lookups!$A$76:$E$84,2,FALSE)</f>
        <v>160472.20319</v>
      </c>
      <c r="BX144" s="12">
        <f>Sales[[#This Row],[EffAge]]*Lookups!$B$85</f>
        <v>-11598.371226000001</v>
      </c>
      <c r="BY144" s="12">
        <f>Sales[[#This Row],[MainFn]]*Lookups!$B$86</f>
        <v>61662.020006496001</v>
      </c>
      <c r="BZ144" s="12">
        <f>Sales[[#This Row],[UpprFn]]*Lookups!$B$87</f>
        <v>0</v>
      </c>
      <c r="CA144" s="12">
        <f>Sales[[#This Row],[AddFn]]*Lookups!$B$88</f>
        <v>0</v>
      </c>
      <c r="CB144" s="12">
        <f>Sales[[#This Row],[Bsmt]]*Lookups!$B$89</f>
        <v>0</v>
      </c>
      <c r="CC144" s="12">
        <f>Sales[[#This Row],[Fixtures]]*Lookups!$B$90</f>
        <v>30336.176841600001</v>
      </c>
      <c r="CD144" s="12">
        <f>Sales[[#This Row],[WdDeck]]*Lookups!$B$91</f>
        <v>9988.6545828000017</v>
      </c>
      <c r="CE144" s="12">
        <f>SUM(Sales[[#This Row],[Days Prior Total]:[Mdl WdDeck]])</f>
        <v>284691.49424919946</v>
      </c>
      <c r="CF144" s="12">
        <f>ROUND(Sales[[#This Row],[25Det]],-2)</f>
        <v>6400</v>
      </c>
      <c r="CG144" s="12">
        <f>ROUND(SUM(Sales[[#This Row],[Mdl Qlty]:[Mdl WdDeck]])+Sales[[#This Row],[Mdl Res Intercept]]+Sales[[#This Row],[Days Prior Total]],-2)</f>
        <v>247400</v>
      </c>
      <c r="CH144" s="12">
        <f>ROUND(Sales[[#This Row],[Mdl Land Intercept]]+Sales[[#This Row],[Mdl LnAcres]],-2)</f>
        <v>37300</v>
      </c>
      <c r="CI144" s="12">
        <f>Sales[[#This Row],[Unadj Res Value]]+Sales[[#This Row],[Unadj Det Value]]+Sales[[#This Row],[Unadj Land Value]]</f>
        <v>291100</v>
      </c>
      <c r="CJ144" s="13">
        <f>Sales[[#This Row],[Unadj Total Value]]/Sales[[#This Row],[Price]]</f>
        <v>0.98677966101694914</v>
      </c>
      <c r="CK144" s="13">
        <f>(Sales[[#This Row],[Unadj Total Value]]-Sales[[#This Row],[24Final]])/Sales[[#This Row],[24Final]]</f>
        <v>-1.2550881953867029E-2</v>
      </c>
      <c r="CL144">
        <f>VLOOKUP(Sales[[#This Row],[TNbhd]],Lookups!$Q$2:$T$4,4,FALSE)</f>
        <v>0.99970000000000003</v>
      </c>
      <c r="CM144">
        <f>VLOOKUP(Sales[[#This Row],[Qlty]],Lookups!$O$7:$R$21,4,FALSE)</f>
        <v>1.0067999999999999</v>
      </c>
      <c r="CN144">
        <f>VLOOKUP(Sales[[#This Row],[Cnd]],Lookups!$T$7:$W$16,4,FALSE)</f>
        <v>0.99729999999999996</v>
      </c>
      <c r="CO144">
        <f>VLOOKUP(Sales[[#This Row],[LivArea Range]],Lookups!$T$25:$W$37,4,FALSE)</f>
        <v>1.0157</v>
      </c>
      <c r="CP144">
        <f>VLOOKUP(Sales[[#This Row],[Decade]],Lookups!$O$25:$R$42,4,FALSE)</f>
        <v>0.995</v>
      </c>
      <c r="CQ144">
        <f>Sales[[#This Row],[Nbhd Adj]]*0.95</f>
        <v>0.94971499999999998</v>
      </c>
      <c r="CR144">
        <f>Sales[[#This Row],[Nbhd Adj]]*Sales[[#This Row],[Quality Adj]]*Sales[[#This Row],[Condition Adj]]*Sales[[#This Row],[Living Area Adj]]*Sales[[#This Row],[Decade Adj]]*0.95</f>
        <v>0.96371996573175212</v>
      </c>
      <c r="CS144">
        <f>ROUND(SUM(Sales[[#This Row],[Mdl Qlty]:[Mdl WdDeck]])+Sales[[#This Row],[Mdl Res Intercept]]*Sales[[#This Row],[Res Adj ]],-2)</f>
        <v>272400</v>
      </c>
      <c r="CT144">
        <f>ROUND(Sales[[#This Row],[25Det]]*Sales[[#This Row],[Det/Nbhd Adj]],-2)</f>
        <v>6100</v>
      </c>
      <c r="CU144">
        <f>Sales[[#This Row],[Adjusted Res]]+Sales[[#This Row],[Adj Det ]]</f>
        <v>278500</v>
      </c>
      <c r="CV144">
        <f>ROUND((Sales[[#This Row],[Mdl Land Intercept]]+Sales[[#This Row],[Mdl LnAcres]])*Sales[[#This Row],[Det/Nbhd Adj]],-2)</f>
        <v>35400</v>
      </c>
      <c r="CW144">
        <f>Sales[[#This Row],[Adjusted Impr Total]]+Sales[[#This Row],[Adjusted Land Total]]</f>
        <v>313900</v>
      </c>
      <c r="CX144" s="15">
        <f>IFERROR((Sales[[#This Row],[Adjusted Impr Total]]-Sales[[#This Row],[24Bldg]])/Sales[[#This Row],[24Bldg]],0)</f>
        <v>0.16918555835432408</v>
      </c>
      <c r="CY144" s="15">
        <f>(Sales[[#This Row],[Adjusted Land Total]]-Sales[[#This Row],[24Lnd]])/Sales[[#This Row],[24Lnd]]</f>
        <v>-0.37455830388692579</v>
      </c>
      <c r="CZ144" s="15">
        <f>(Sales[[#This Row],[Adjusted Total]]-Sales[[#This Row],[24Final]])/Sales[[#This Row],[24Final]]</f>
        <v>6.4789687924016279E-2</v>
      </c>
      <c r="DA144" s="15">
        <f>(Sales[[#This Row],[Adjusted Total]]+Sales[[#This Row],[Days Prior Total]])/Sales[[#This Row],[Price]]</f>
        <v>0.97929716748925422</v>
      </c>
    </row>
    <row r="145" spans="1:105" x14ac:dyDescent="0.3">
      <c r="A145">
        <v>2025</v>
      </c>
      <c r="B145">
        <v>18132241015</v>
      </c>
      <c r="C145">
        <v>-1.9661128563728327</v>
      </c>
      <c r="D145">
        <v>0.14000000000000001</v>
      </c>
      <c r="E145">
        <v>5963</v>
      </c>
      <c r="F145">
        <v>6</v>
      </c>
      <c r="G145" t="s">
        <v>126</v>
      </c>
      <c r="H145">
        <v>3033</v>
      </c>
      <c r="I145" t="s">
        <v>349</v>
      </c>
      <c r="J145" t="s">
        <v>30</v>
      </c>
      <c r="K145">
        <v>11</v>
      </c>
      <c r="L145">
        <v>259</v>
      </c>
      <c r="M145" t="s">
        <v>269</v>
      </c>
      <c r="N145" t="s">
        <v>351</v>
      </c>
      <c r="O145" t="s">
        <v>303</v>
      </c>
      <c r="P145">
        <v>80</v>
      </c>
      <c r="Q145">
        <v>1945</v>
      </c>
      <c r="R145">
        <v>1972</v>
      </c>
      <c r="S145">
        <v>79</v>
      </c>
      <c r="T145">
        <v>52</v>
      </c>
      <c r="U145">
        <v>1</v>
      </c>
      <c r="V145">
        <v>1325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1325</v>
      </c>
      <c r="AC145">
        <v>1500</v>
      </c>
      <c r="AD145">
        <v>0</v>
      </c>
      <c r="AF145" t="s">
        <v>383</v>
      </c>
      <c r="AG145" t="s">
        <v>175</v>
      </c>
      <c r="AH145" t="s">
        <v>450</v>
      </c>
      <c r="AI145">
        <v>0</v>
      </c>
      <c r="AJ145">
        <v>1</v>
      </c>
      <c r="AK145">
        <v>0</v>
      </c>
      <c r="AL145">
        <v>0</v>
      </c>
      <c r="AM145">
        <v>1</v>
      </c>
      <c r="AN145">
        <v>7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100</v>
      </c>
      <c r="AV145">
        <v>100</v>
      </c>
      <c r="AW145">
        <v>204826</v>
      </c>
      <c r="AX145">
        <v>141330</v>
      </c>
      <c r="AY145">
        <v>199</v>
      </c>
      <c r="AZ145">
        <v>199</v>
      </c>
      <c r="BA145">
        <v>0</v>
      </c>
      <c r="BB145">
        <v>0</v>
      </c>
      <c r="BC145" s="3">
        <v>45093</v>
      </c>
      <c r="BD145" t="s">
        <v>46</v>
      </c>
      <c r="BE145">
        <v>320000</v>
      </c>
      <c r="BF145">
        <v>315130</v>
      </c>
      <c r="BG145" t="s">
        <v>294</v>
      </c>
      <c r="BH145">
        <v>30</v>
      </c>
      <c r="BI145" t="s">
        <v>65</v>
      </c>
      <c r="BJ145" t="s">
        <v>450</v>
      </c>
      <c r="BK145">
        <v>285400</v>
      </c>
      <c r="BL145">
        <v>46000</v>
      </c>
      <c r="BM145">
        <v>239400</v>
      </c>
      <c r="BN145">
        <v>4870</v>
      </c>
      <c r="BO145">
        <v>0.89187499999999997</v>
      </c>
      <c r="BP145">
        <v>313294.94486560044</v>
      </c>
      <c r="BQ145">
        <v>327336.02598218998</v>
      </c>
      <c r="BR145" s="12">
        <f>(Sales[[#This Row],[DP1]]*Lookups!$B$59)+(Sales[[#This Row],[DP2]]*Lookups!$B$60)+(Sales[[#This Row],[DP3]]*Lookups!$B$61)</f>
        <v>-14041.081117430002</v>
      </c>
      <c r="BS145" s="12">
        <f>Lookups!$B$56*0</f>
        <v>0</v>
      </c>
      <c r="BT145" s="12">
        <f>Lookups!$B$56*1</f>
        <v>89850.625589999996</v>
      </c>
      <c r="BU145" s="12">
        <f>Lookups!$B$57*Sales[[#This Row],[LnAcres]]</f>
        <v>-62236.546971921947</v>
      </c>
      <c r="BV145" s="12">
        <f>VLOOKUP(Sales[[#This Row],[Qlty]],Lookups!$A$62:$E$75,2,FALSE)</f>
        <v>21557.329055999999</v>
      </c>
      <c r="BW145" s="12">
        <f>VLOOKUP(Sales[[#This Row],[Cnd]],Lookups!$A$76:$E$84,2,FALSE)</f>
        <v>197752.34721000001</v>
      </c>
      <c r="BX145" s="12">
        <f>Sales[[#This Row],[EffAge]]*Lookups!$B$85</f>
        <v>-11598.371226000001</v>
      </c>
      <c r="BY145" s="12">
        <f>Sales[[#This Row],[MainFn]]*Lookups!$B$86</f>
        <v>65466.487587025003</v>
      </c>
      <c r="BZ145" s="12">
        <f>Sales[[#This Row],[UpprFn]]*Lookups!$B$87</f>
        <v>0</v>
      </c>
      <c r="CA145" s="12">
        <f>Sales[[#This Row],[AddFn]]*Lookups!$B$88</f>
        <v>0</v>
      </c>
      <c r="CB145" s="12">
        <f>Sales[[#This Row],[Bsmt]]*Lookups!$B$89</f>
        <v>0</v>
      </c>
      <c r="CC145" s="12">
        <f>Sales[[#This Row],[Fixtures]]*Lookups!$B$90</f>
        <v>26544.1547364</v>
      </c>
      <c r="CD145" s="12">
        <f>Sales[[#This Row],[WdDeck]]*Lookups!$B$91</f>
        <v>0</v>
      </c>
      <c r="CE145" s="12">
        <f>SUM(Sales[[#This Row],[Days Prior Total]:[Mdl WdDeck]])</f>
        <v>313294.94486407307</v>
      </c>
      <c r="CF145" s="12">
        <f>ROUND(Sales[[#This Row],[25Det]],-2)</f>
        <v>4900</v>
      </c>
      <c r="CG145" s="12">
        <f>ROUND(SUM(Sales[[#This Row],[Mdl Qlty]:[Mdl WdDeck]])+Sales[[#This Row],[Mdl Res Intercept]]+Sales[[#This Row],[Days Prior Total]],-2)</f>
        <v>285700</v>
      </c>
      <c r="CH145" s="12">
        <f>ROUND(Sales[[#This Row],[Mdl Land Intercept]]+Sales[[#This Row],[Mdl LnAcres]],-2)</f>
        <v>27600</v>
      </c>
      <c r="CI145" s="12">
        <f>Sales[[#This Row],[Unadj Res Value]]+Sales[[#This Row],[Unadj Det Value]]+Sales[[#This Row],[Unadj Land Value]]</f>
        <v>318200</v>
      </c>
      <c r="CJ145" s="13">
        <f>Sales[[#This Row],[Unadj Total Value]]/Sales[[#This Row],[Price]]</f>
        <v>0.99437500000000001</v>
      </c>
      <c r="CK145" s="13">
        <f>(Sales[[#This Row],[Unadj Total Value]]-Sales[[#This Row],[24Final]])/Sales[[#This Row],[24Final]]</f>
        <v>0.11492641906096707</v>
      </c>
      <c r="CL145">
        <f>VLOOKUP(Sales[[#This Row],[TNbhd]],Lookups!$Q$2:$T$4,4,FALSE)</f>
        <v>0.99970000000000003</v>
      </c>
      <c r="CM145">
        <f>VLOOKUP(Sales[[#This Row],[Qlty]],Lookups!$O$7:$R$21,4,FALSE)</f>
        <v>1.0067999999999999</v>
      </c>
      <c r="CN145">
        <f>VLOOKUP(Sales[[#This Row],[Cnd]],Lookups!$T$7:$W$16,4,FALSE)</f>
        <v>0.99650000000000005</v>
      </c>
      <c r="CO145">
        <f>VLOOKUP(Sales[[#This Row],[LivArea Range]],Lookups!$T$25:$W$37,4,FALSE)</f>
        <v>1.0157</v>
      </c>
      <c r="CP145">
        <f>VLOOKUP(Sales[[#This Row],[Decade]],Lookups!$O$25:$R$42,4,FALSE)</f>
        <v>0.995</v>
      </c>
      <c r="CQ145">
        <f>Sales[[#This Row],[Nbhd Adj]]*0.95</f>
        <v>0.94971499999999998</v>
      </c>
      <c r="CR145">
        <f>Sales[[#This Row],[Nbhd Adj]]*Sales[[#This Row],[Quality Adj]]*Sales[[#This Row],[Condition Adj]]*Sales[[#This Row],[Living Area Adj]]*Sales[[#This Row],[Decade Adj]]*0.95</f>
        <v>0.96294690248840986</v>
      </c>
      <c r="CS145">
        <f>ROUND(SUM(Sales[[#This Row],[Mdl Qlty]:[Mdl WdDeck]])+Sales[[#This Row],[Mdl Res Intercept]]*Sales[[#This Row],[Res Adj ]],-2)</f>
        <v>299700</v>
      </c>
      <c r="CT145">
        <f>ROUND(Sales[[#This Row],[25Det]]*Sales[[#This Row],[Det/Nbhd Adj]],-2)</f>
        <v>4600</v>
      </c>
      <c r="CU145">
        <f>Sales[[#This Row],[Adjusted Res]]+Sales[[#This Row],[Adj Det ]]</f>
        <v>304300</v>
      </c>
      <c r="CV145">
        <f>ROUND((Sales[[#This Row],[Mdl Land Intercept]]+Sales[[#This Row],[Mdl LnAcres]])*Sales[[#This Row],[Det/Nbhd Adj]],-2)</f>
        <v>26200</v>
      </c>
      <c r="CW145">
        <f>Sales[[#This Row],[Adjusted Impr Total]]+Sales[[#This Row],[Adjusted Land Total]]</f>
        <v>330500</v>
      </c>
      <c r="CX145" s="15">
        <f>IFERROR((Sales[[#This Row],[Adjusted Impr Total]]-Sales[[#This Row],[24Bldg]])/Sales[[#This Row],[24Bldg]],0)</f>
        <v>0.27109440267335005</v>
      </c>
      <c r="CY145" s="15">
        <f>(Sales[[#This Row],[Adjusted Land Total]]-Sales[[#This Row],[24Lnd]])/Sales[[#This Row],[24Lnd]]</f>
        <v>-0.43043478260869567</v>
      </c>
      <c r="CZ145" s="15">
        <f>(Sales[[#This Row],[Adjusted Total]]-Sales[[#This Row],[24Final]])/Sales[[#This Row],[24Final]]</f>
        <v>0.15802382620882971</v>
      </c>
      <c r="DA145" s="15">
        <f>(Sales[[#This Row],[Adjusted Total]]+Sales[[#This Row],[Days Prior Total]])/Sales[[#This Row],[Price]]</f>
        <v>0.98893412150803128</v>
      </c>
    </row>
    <row r="146" spans="1:105" x14ac:dyDescent="0.3">
      <c r="A146">
        <v>2025</v>
      </c>
      <c r="B146">
        <v>18132313452</v>
      </c>
      <c r="C146">
        <v>-2.0402208285265546</v>
      </c>
      <c r="D146">
        <v>0.13</v>
      </c>
      <c r="E146">
        <v>0</v>
      </c>
      <c r="F146">
        <v>6</v>
      </c>
      <c r="G146" t="s">
        <v>126</v>
      </c>
      <c r="H146">
        <v>3033</v>
      </c>
      <c r="I146" t="s">
        <v>349</v>
      </c>
      <c r="J146" t="s">
        <v>30</v>
      </c>
      <c r="K146">
        <v>11</v>
      </c>
      <c r="L146">
        <v>259</v>
      </c>
      <c r="M146" t="s">
        <v>269</v>
      </c>
      <c r="N146" t="s">
        <v>302</v>
      </c>
      <c r="O146" t="s">
        <v>303</v>
      </c>
      <c r="P146">
        <v>80</v>
      </c>
      <c r="Q146">
        <v>1945</v>
      </c>
      <c r="R146">
        <v>1972</v>
      </c>
      <c r="S146">
        <v>79</v>
      </c>
      <c r="T146">
        <v>52</v>
      </c>
      <c r="U146">
        <v>1</v>
      </c>
      <c r="V146">
        <v>1563</v>
      </c>
      <c r="W146">
        <v>0</v>
      </c>
      <c r="X146">
        <v>0</v>
      </c>
      <c r="Y146">
        <v>663</v>
      </c>
      <c r="Z146">
        <v>0</v>
      </c>
      <c r="AA146">
        <v>663</v>
      </c>
      <c r="AB146">
        <v>2226</v>
      </c>
      <c r="AC146">
        <v>2500</v>
      </c>
      <c r="AD146">
        <v>0</v>
      </c>
      <c r="AF146" t="s">
        <v>383</v>
      </c>
      <c r="AG146" t="s">
        <v>148</v>
      </c>
      <c r="AH146" t="s">
        <v>450</v>
      </c>
      <c r="AI146">
        <v>0</v>
      </c>
      <c r="AJ146">
        <v>0</v>
      </c>
      <c r="AK146">
        <v>1</v>
      </c>
      <c r="AL146">
        <v>0</v>
      </c>
      <c r="AM146">
        <v>1</v>
      </c>
      <c r="AN146">
        <v>8</v>
      </c>
      <c r="AO146">
        <v>0</v>
      </c>
      <c r="AP146">
        <v>0</v>
      </c>
      <c r="AQ146">
        <v>0</v>
      </c>
      <c r="AR146">
        <v>240</v>
      </c>
      <c r="AS146">
        <v>0</v>
      </c>
      <c r="AT146">
        <v>0</v>
      </c>
      <c r="AU146">
        <v>100</v>
      </c>
      <c r="AV146">
        <v>100</v>
      </c>
      <c r="AW146">
        <v>327304</v>
      </c>
      <c r="AX146">
        <v>252024</v>
      </c>
      <c r="AY146">
        <v>685</v>
      </c>
      <c r="AZ146">
        <v>365</v>
      </c>
      <c r="BA146">
        <v>320</v>
      </c>
      <c r="BB146">
        <v>0</v>
      </c>
      <c r="BC146" s="3">
        <v>44607</v>
      </c>
      <c r="BD146" t="s">
        <v>159</v>
      </c>
      <c r="BE146">
        <v>349900</v>
      </c>
      <c r="BF146">
        <v>345186</v>
      </c>
      <c r="BG146" t="s">
        <v>294</v>
      </c>
      <c r="BH146">
        <v>30</v>
      </c>
      <c r="BI146" t="s">
        <v>65</v>
      </c>
      <c r="BJ146" t="s">
        <v>450</v>
      </c>
      <c r="BK146">
        <v>350300</v>
      </c>
      <c r="BL146">
        <v>43400</v>
      </c>
      <c r="BM146">
        <v>306900</v>
      </c>
      <c r="BN146">
        <v>4714</v>
      </c>
      <c r="BO146">
        <v>1.0011431837667906</v>
      </c>
      <c r="BP146">
        <v>353991.30963851954</v>
      </c>
      <c r="BQ146">
        <v>376070.43645630614</v>
      </c>
      <c r="BR146" s="12">
        <f>(Sales[[#This Row],[DP1]]*Lookups!$B$59)+(Sales[[#This Row],[DP2]]*Lookups!$B$60)+(Sales[[#This Row],[DP3]]*Lookups!$B$61)</f>
        <v>-22079.126819410001</v>
      </c>
      <c r="BS146" s="12">
        <f>Lookups!$B$56*0</f>
        <v>0</v>
      </c>
      <c r="BT146" s="12">
        <f>Lookups!$B$56*1</f>
        <v>89850.625589999996</v>
      </c>
      <c r="BU146" s="12">
        <f>Lookups!$B$57*Sales[[#This Row],[LnAcres]]</f>
        <v>-64582.406353792743</v>
      </c>
      <c r="BV146" s="12">
        <f>VLOOKUP(Sales[[#This Row],[Qlty]],Lookups!$A$62:$E$75,2,FALSE)</f>
        <v>29814.093161000001</v>
      </c>
      <c r="BW146" s="12">
        <f>VLOOKUP(Sales[[#This Row],[Cnd]],Lookups!$A$76:$E$84,2,FALSE)</f>
        <v>197752.34721000001</v>
      </c>
      <c r="BX146" s="12">
        <f>Sales[[#This Row],[EffAge]]*Lookups!$B$85</f>
        <v>-11598.371226000001</v>
      </c>
      <c r="BY146" s="12">
        <f>Sales[[#This Row],[MainFn]]*Lookups!$B$86</f>
        <v>77225.751017750998</v>
      </c>
      <c r="BZ146" s="12">
        <f>Sales[[#This Row],[UpprFn]]*Lookups!$B$87</f>
        <v>0</v>
      </c>
      <c r="CA146" s="12">
        <f>Sales[[#This Row],[AddFn]]*Lookups!$B$88</f>
        <v>0</v>
      </c>
      <c r="CB146" s="12">
        <f>Sales[[#This Row],[Bsmt]]*Lookups!$B$89</f>
        <v>19281.296548760998</v>
      </c>
      <c r="CC146" s="12">
        <f>Sales[[#This Row],[Fixtures]]*Lookups!$B$90</f>
        <v>30336.176841600001</v>
      </c>
      <c r="CD146" s="12">
        <f>Sales[[#This Row],[WdDeck]]*Lookups!$B$91</f>
        <v>7990.9236662400008</v>
      </c>
      <c r="CE146" s="12">
        <f>SUM(Sales[[#This Row],[Days Prior Total]:[Mdl WdDeck]])</f>
        <v>353991.30963614932</v>
      </c>
      <c r="CF146" s="12">
        <f>ROUND(Sales[[#This Row],[25Det]],-2)</f>
        <v>4700</v>
      </c>
      <c r="CG146" s="12">
        <f>ROUND(SUM(Sales[[#This Row],[Mdl Qlty]:[Mdl WdDeck]])+Sales[[#This Row],[Mdl Res Intercept]]+Sales[[#This Row],[Days Prior Total]],-2)</f>
        <v>328700</v>
      </c>
      <c r="CH146" s="12">
        <f>ROUND(Sales[[#This Row],[Mdl Land Intercept]]+Sales[[#This Row],[Mdl LnAcres]],-2)</f>
        <v>25300</v>
      </c>
      <c r="CI146" s="12">
        <f>Sales[[#This Row],[Unadj Res Value]]+Sales[[#This Row],[Unadj Det Value]]+Sales[[#This Row],[Unadj Land Value]]</f>
        <v>358700</v>
      </c>
      <c r="CJ146" s="13">
        <f>Sales[[#This Row],[Unadj Total Value]]/Sales[[#This Row],[Price]]</f>
        <v>1.0251500428693912</v>
      </c>
      <c r="CK146" s="13">
        <f>(Sales[[#This Row],[Unadj Total Value]]-Sales[[#This Row],[24Final]])/Sales[[#This Row],[24Final]]</f>
        <v>2.3979446188980874E-2</v>
      </c>
      <c r="CL146">
        <f>VLOOKUP(Sales[[#This Row],[TNbhd]],Lookups!$Q$2:$T$4,4,FALSE)</f>
        <v>0.99970000000000003</v>
      </c>
      <c r="CM146">
        <f>VLOOKUP(Sales[[#This Row],[Qlty]],Lookups!$O$7:$R$21,4,FALSE)</f>
        <v>1.0088999999999999</v>
      </c>
      <c r="CN146">
        <f>VLOOKUP(Sales[[#This Row],[Cnd]],Lookups!$T$7:$W$16,4,FALSE)</f>
        <v>0.99650000000000005</v>
      </c>
      <c r="CO146">
        <f>VLOOKUP(Sales[[#This Row],[LivArea Range]],Lookups!$T$25:$W$37,4,FALSE)</f>
        <v>0.98919999999999997</v>
      </c>
      <c r="CP146">
        <f>VLOOKUP(Sales[[#This Row],[Decade]],Lookups!$O$25:$R$42,4,FALSE)</f>
        <v>0.995</v>
      </c>
      <c r="CQ146">
        <f>Sales[[#This Row],[Nbhd Adj]]*0.95</f>
        <v>0.94971499999999998</v>
      </c>
      <c r="CR146">
        <f>Sales[[#This Row],[Nbhd Adj]]*Sales[[#This Row],[Quality Adj]]*Sales[[#This Row],[Condition Adj]]*Sales[[#This Row],[Living Area Adj]]*Sales[[#This Row],[Decade Adj]]*0.95</f>
        <v>0.93977937806455991</v>
      </c>
      <c r="CS146">
        <f>ROUND(SUM(Sales[[#This Row],[Mdl Qlty]:[Mdl WdDeck]])+Sales[[#This Row],[Mdl Res Intercept]]*Sales[[#This Row],[Res Adj ]],-2)</f>
        <v>350800</v>
      </c>
      <c r="CT146">
        <f>ROUND(Sales[[#This Row],[25Det]]*Sales[[#This Row],[Det/Nbhd Adj]],-2)</f>
        <v>4500</v>
      </c>
      <c r="CU146">
        <f>Sales[[#This Row],[Adjusted Res]]+Sales[[#This Row],[Adj Det ]]</f>
        <v>355300</v>
      </c>
      <c r="CV146">
        <f>ROUND((Sales[[#This Row],[Mdl Land Intercept]]+Sales[[#This Row],[Mdl LnAcres]])*Sales[[#This Row],[Det/Nbhd Adj]],-2)</f>
        <v>24000</v>
      </c>
      <c r="CW146">
        <f>Sales[[#This Row],[Adjusted Impr Total]]+Sales[[#This Row],[Adjusted Land Total]]</f>
        <v>379300</v>
      </c>
      <c r="CX146" s="15">
        <f>IFERROR((Sales[[#This Row],[Adjusted Impr Total]]-Sales[[#This Row],[24Bldg]])/Sales[[#This Row],[24Bldg]],0)</f>
        <v>0.15770609318996415</v>
      </c>
      <c r="CY146" s="15">
        <f>(Sales[[#This Row],[Adjusted Land Total]]-Sales[[#This Row],[24Lnd]])/Sales[[#This Row],[24Lnd]]</f>
        <v>-0.44700460829493088</v>
      </c>
      <c r="CZ146" s="15">
        <f>(Sales[[#This Row],[Adjusted Total]]-Sales[[#This Row],[24Final]])/Sales[[#This Row],[24Final]]</f>
        <v>8.2786183271481587E-2</v>
      </c>
      <c r="DA146" s="15">
        <f>(Sales[[#This Row],[Adjusted Total]]+Sales[[#This Row],[Days Prior Total]])/Sales[[#This Row],[Price]]</f>
        <v>1.0209227584469562</v>
      </c>
    </row>
    <row r="147" spans="1:105" x14ac:dyDescent="0.3">
      <c r="A147">
        <v>2025</v>
      </c>
      <c r="B147">
        <v>18132323429</v>
      </c>
      <c r="C147">
        <v>-1.7719568419318752</v>
      </c>
      <c r="D147">
        <v>0.17</v>
      </c>
      <c r="E147">
        <v>0</v>
      </c>
      <c r="F147">
        <v>6</v>
      </c>
      <c r="G147" t="s">
        <v>126</v>
      </c>
      <c r="H147">
        <v>3033</v>
      </c>
      <c r="I147" t="s">
        <v>349</v>
      </c>
      <c r="J147" t="s">
        <v>30</v>
      </c>
      <c r="K147">
        <v>11</v>
      </c>
      <c r="L147">
        <v>259</v>
      </c>
      <c r="M147" t="s">
        <v>242</v>
      </c>
      <c r="N147" t="s">
        <v>351</v>
      </c>
      <c r="O147" t="s">
        <v>303</v>
      </c>
      <c r="P147">
        <v>80</v>
      </c>
      <c r="Q147">
        <v>1945</v>
      </c>
      <c r="R147">
        <v>1995</v>
      </c>
      <c r="S147">
        <v>79</v>
      </c>
      <c r="T147">
        <v>29</v>
      </c>
      <c r="U147">
        <v>1</v>
      </c>
      <c r="V147">
        <v>860</v>
      </c>
      <c r="W147">
        <v>0</v>
      </c>
      <c r="X147">
        <v>0</v>
      </c>
      <c r="Y147">
        <v>860</v>
      </c>
      <c r="Z147">
        <v>0</v>
      </c>
      <c r="AA147">
        <v>860</v>
      </c>
      <c r="AB147">
        <v>1720</v>
      </c>
      <c r="AC147">
        <v>2000</v>
      </c>
      <c r="AD147">
        <v>0</v>
      </c>
      <c r="AF147" t="s">
        <v>383</v>
      </c>
      <c r="AG147" t="s">
        <v>148</v>
      </c>
      <c r="AH147" t="s">
        <v>450</v>
      </c>
      <c r="AI147">
        <v>0</v>
      </c>
      <c r="AJ147">
        <v>0</v>
      </c>
      <c r="AK147">
        <v>0</v>
      </c>
      <c r="AL147">
        <v>1</v>
      </c>
      <c r="AM147">
        <v>0</v>
      </c>
      <c r="AN147">
        <v>8</v>
      </c>
      <c r="AO147">
        <v>0</v>
      </c>
      <c r="AP147">
        <v>0</v>
      </c>
      <c r="AQ147">
        <v>0</v>
      </c>
      <c r="AR147">
        <v>192</v>
      </c>
      <c r="AS147">
        <v>0</v>
      </c>
      <c r="AT147">
        <v>0</v>
      </c>
      <c r="AU147">
        <v>100</v>
      </c>
      <c r="AV147">
        <v>100</v>
      </c>
      <c r="AW147">
        <v>200873</v>
      </c>
      <c r="AX147">
        <v>180786</v>
      </c>
      <c r="AY147">
        <v>882</v>
      </c>
      <c r="AZ147">
        <v>365</v>
      </c>
      <c r="BA147">
        <v>365</v>
      </c>
      <c r="BB147">
        <v>152</v>
      </c>
      <c r="BC147" s="3">
        <v>44410</v>
      </c>
      <c r="BD147" t="s">
        <v>276</v>
      </c>
      <c r="BE147">
        <v>295000</v>
      </c>
      <c r="BF147">
        <v>295000</v>
      </c>
      <c r="BG147" t="s">
        <v>294</v>
      </c>
      <c r="BH147">
        <v>30</v>
      </c>
      <c r="BI147" t="s">
        <v>65</v>
      </c>
      <c r="BJ147" t="s">
        <v>450</v>
      </c>
      <c r="BK147">
        <v>315900</v>
      </c>
      <c r="BL147">
        <v>52700</v>
      </c>
      <c r="BM147">
        <v>263200</v>
      </c>
      <c r="BN147">
        <v>0</v>
      </c>
      <c r="BO147">
        <v>1.0708474576271187</v>
      </c>
      <c r="BP147">
        <v>308944.08383202303</v>
      </c>
      <c r="BQ147">
        <v>350832.16828243388</v>
      </c>
      <c r="BR147" s="12">
        <f>(Sales[[#This Row],[DP1]]*Lookups!$B$59)+(Sales[[#This Row],[DP2]]*Lookups!$B$60)+(Sales[[#This Row],[DP3]]*Lookups!$B$61)</f>
        <v>-41888.084455870005</v>
      </c>
      <c r="BS147" s="12">
        <f>Lookups!$B$56*0</f>
        <v>0</v>
      </c>
      <c r="BT147" s="12">
        <f>Lookups!$B$56*1</f>
        <v>89850.625589999996</v>
      </c>
      <c r="BU147" s="12">
        <f>Lookups!$B$57*Sales[[#This Row],[LnAcres]]</f>
        <v>-56090.612940989391</v>
      </c>
      <c r="BV147" s="12">
        <f>VLOOKUP(Sales[[#This Row],[Qlty]],Lookups!$A$62:$E$75,2,FALSE)</f>
        <v>21557.329055999999</v>
      </c>
      <c r="BW147" s="12">
        <f>VLOOKUP(Sales[[#This Row],[Cnd]],Lookups!$A$76:$E$84,2,FALSE)</f>
        <v>197752.34721000001</v>
      </c>
      <c r="BX147" s="12">
        <f>Sales[[#This Row],[EffAge]]*Lookups!$B$85</f>
        <v>-6468.3224145000004</v>
      </c>
      <c r="BY147" s="12">
        <f>Sales[[#This Row],[MainFn]]*Lookups!$B$86</f>
        <v>42491.456094220004</v>
      </c>
      <c r="BZ147" s="12">
        <f>Sales[[#This Row],[UpprFn]]*Lookups!$B$87</f>
        <v>0</v>
      </c>
      <c r="CA147" s="12">
        <f>Sales[[#This Row],[AddFn]]*Lookups!$B$88</f>
        <v>0</v>
      </c>
      <c r="CB147" s="12">
        <f>Sales[[#This Row],[Bsmt]]*Lookups!$B$89</f>
        <v>25010.429912419997</v>
      </c>
      <c r="CC147" s="12">
        <f>Sales[[#This Row],[Fixtures]]*Lookups!$B$90</f>
        <v>30336.176841600001</v>
      </c>
      <c r="CD147" s="12">
        <f>Sales[[#This Row],[WdDeck]]*Lookups!$B$91</f>
        <v>6392.7389329920006</v>
      </c>
      <c r="CE147" s="12">
        <f>SUM(Sales[[#This Row],[Days Prior Total]:[Mdl WdDeck]])</f>
        <v>308944.08382587257</v>
      </c>
      <c r="CF147" s="12">
        <f>ROUND(Sales[[#This Row],[25Det]],-2)</f>
        <v>0</v>
      </c>
      <c r="CG147" s="12">
        <f>ROUND(SUM(Sales[[#This Row],[Mdl Qlty]:[Mdl WdDeck]])+Sales[[#This Row],[Mdl Res Intercept]]+Sales[[#This Row],[Days Prior Total]],-2)</f>
        <v>275200</v>
      </c>
      <c r="CH147" s="12">
        <f>ROUND(Sales[[#This Row],[Mdl Land Intercept]]+Sales[[#This Row],[Mdl LnAcres]],-2)</f>
        <v>33800</v>
      </c>
      <c r="CI147" s="12">
        <f>Sales[[#This Row],[Unadj Res Value]]+Sales[[#This Row],[Unadj Det Value]]+Sales[[#This Row],[Unadj Land Value]]</f>
        <v>309000</v>
      </c>
      <c r="CJ147" s="13">
        <f>Sales[[#This Row],[Unadj Total Value]]/Sales[[#This Row],[Price]]</f>
        <v>1.047457627118644</v>
      </c>
      <c r="CK147" s="13">
        <f>(Sales[[#This Row],[Unadj Total Value]]-Sales[[#This Row],[24Final]])/Sales[[#This Row],[24Final]]</f>
        <v>-2.184235517568851E-2</v>
      </c>
      <c r="CL147">
        <f>VLOOKUP(Sales[[#This Row],[TNbhd]],Lookups!$Q$2:$T$4,4,FALSE)</f>
        <v>0.99970000000000003</v>
      </c>
      <c r="CM147">
        <f>VLOOKUP(Sales[[#This Row],[Qlty]],Lookups!$O$7:$R$21,4,FALSE)</f>
        <v>1.0067999999999999</v>
      </c>
      <c r="CN147">
        <f>VLOOKUP(Sales[[#This Row],[Cnd]],Lookups!$T$7:$W$16,4,FALSE)</f>
        <v>0.99650000000000005</v>
      </c>
      <c r="CO147">
        <f>VLOOKUP(Sales[[#This Row],[LivArea Range]],Lookups!$T$25:$W$37,4,FALSE)</f>
        <v>1.0093000000000001</v>
      </c>
      <c r="CP147">
        <f>VLOOKUP(Sales[[#This Row],[Decade]],Lookups!$O$25:$R$42,4,FALSE)</f>
        <v>0.995</v>
      </c>
      <c r="CQ147">
        <f>Sales[[#This Row],[Nbhd Adj]]*0.95</f>
        <v>0.94971499999999998</v>
      </c>
      <c r="CR147">
        <f>Sales[[#This Row],[Nbhd Adj]]*Sales[[#This Row],[Quality Adj]]*Sales[[#This Row],[Condition Adj]]*Sales[[#This Row],[Living Area Adj]]*Sales[[#This Row],[Decade Adj]]*0.95</f>
        <v>0.95687930361479956</v>
      </c>
      <c r="CS147">
        <f>ROUND(SUM(Sales[[#This Row],[Mdl Qlty]:[Mdl WdDeck]])+Sales[[#This Row],[Mdl Res Intercept]]*Sales[[#This Row],[Res Adj ]],-2)</f>
        <v>317100</v>
      </c>
      <c r="CT147">
        <f>ROUND(Sales[[#This Row],[25Det]]*Sales[[#This Row],[Det/Nbhd Adj]],-2)</f>
        <v>0</v>
      </c>
      <c r="CU147">
        <f>Sales[[#This Row],[Adjusted Res]]+Sales[[#This Row],[Adj Det ]]</f>
        <v>317100</v>
      </c>
      <c r="CV147">
        <f>ROUND((Sales[[#This Row],[Mdl Land Intercept]]+Sales[[#This Row],[Mdl LnAcres]])*Sales[[#This Row],[Det/Nbhd Adj]],-2)</f>
        <v>32100</v>
      </c>
      <c r="CW147">
        <f>Sales[[#This Row],[Adjusted Impr Total]]+Sales[[#This Row],[Adjusted Land Total]]</f>
        <v>349200</v>
      </c>
      <c r="CX147" s="15">
        <f>IFERROR((Sales[[#This Row],[Adjusted Impr Total]]-Sales[[#This Row],[24Bldg]])/Sales[[#This Row],[24Bldg]],0)</f>
        <v>0.2047872340425532</v>
      </c>
      <c r="CY147" s="15">
        <f>(Sales[[#This Row],[Adjusted Land Total]]-Sales[[#This Row],[24Lnd]])/Sales[[#This Row],[24Lnd]]</f>
        <v>-0.39089184060721061</v>
      </c>
      <c r="CZ147" s="15">
        <f>(Sales[[#This Row],[Adjusted Total]]-Sales[[#This Row],[24Final]])/Sales[[#This Row],[24Final]]</f>
        <v>0.10541310541310542</v>
      </c>
      <c r="DA147" s="15">
        <f>(Sales[[#This Row],[Adjusted Total]]+Sales[[#This Row],[Days Prior Total]])/Sales[[#This Row],[Price]]</f>
        <v>1.0417353069292543</v>
      </c>
    </row>
    <row r="148" spans="1:105" x14ac:dyDescent="0.3">
      <c r="A148">
        <v>2025</v>
      </c>
      <c r="B148">
        <v>18132334407</v>
      </c>
      <c r="C148">
        <v>-1.7147984280919266</v>
      </c>
      <c r="D148">
        <v>0.18</v>
      </c>
      <c r="E148">
        <v>0</v>
      </c>
      <c r="F148">
        <v>6</v>
      </c>
      <c r="G148" t="s">
        <v>126</v>
      </c>
      <c r="H148">
        <v>3093</v>
      </c>
      <c r="I148" t="s">
        <v>349</v>
      </c>
      <c r="J148" t="s">
        <v>30</v>
      </c>
      <c r="K148">
        <v>11</v>
      </c>
      <c r="L148">
        <v>259</v>
      </c>
      <c r="M148" t="s">
        <v>242</v>
      </c>
      <c r="N148" t="s">
        <v>302</v>
      </c>
      <c r="O148" t="s">
        <v>303</v>
      </c>
      <c r="P148">
        <v>80</v>
      </c>
      <c r="Q148">
        <v>1945</v>
      </c>
      <c r="R148">
        <v>1972</v>
      </c>
      <c r="S148">
        <v>79</v>
      </c>
      <c r="T148">
        <v>52</v>
      </c>
      <c r="U148">
        <v>1</v>
      </c>
      <c r="V148">
        <v>1020</v>
      </c>
      <c r="W148">
        <v>0</v>
      </c>
      <c r="X148">
        <v>0</v>
      </c>
      <c r="Y148">
        <v>500</v>
      </c>
      <c r="Z148">
        <v>0</v>
      </c>
      <c r="AA148">
        <v>500</v>
      </c>
      <c r="AB148">
        <v>1520</v>
      </c>
      <c r="AC148">
        <v>2000</v>
      </c>
      <c r="AD148">
        <v>1</v>
      </c>
      <c r="AF148" t="s">
        <v>383</v>
      </c>
      <c r="AG148" t="s">
        <v>148</v>
      </c>
      <c r="AH148" t="s">
        <v>450</v>
      </c>
      <c r="AI148">
        <v>0</v>
      </c>
      <c r="AJ148">
        <v>1</v>
      </c>
      <c r="AK148">
        <v>0</v>
      </c>
      <c r="AL148">
        <v>0</v>
      </c>
      <c r="AM148">
        <v>1</v>
      </c>
      <c r="AN148">
        <v>7</v>
      </c>
      <c r="AO148">
        <v>180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100</v>
      </c>
      <c r="AV148">
        <v>100</v>
      </c>
      <c r="AW148">
        <v>236562</v>
      </c>
      <c r="AX148">
        <v>182153</v>
      </c>
      <c r="AY148">
        <v>859</v>
      </c>
      <c r="AZ148">
        <v>365</v>
      </c>
      <c r="BA148">
        <v>365</v>
      </c>
      <c r="BB148">
        <v>129</v>
      </c>
      <c r="BC148" s="3">
        <v>44433</v>
      </c>
      <c r="BD148" t="s">
        <v>139</v>
      </c>
      <c r="BE148">
        <v>280000</v>
      </c>
      <c r="BF148">
        <v>280000</v>
      </c>
      <c r="BG148" t="s">
        <v>294</v>
      </c>
      <c r="BH148">
        <v>30</v>
      </c>
      <c r="BI148" t="s">
        <v>65</v>
      </c>
      <c r="BJ148" t="s">
        <v>450</v>
      </c>
      <c r="BK148">
        <v>315400</v>
      </c>
      <c r="BL148">
        <v>54700</v>
      </c>
      <c r="BM148">
        <v>260700</v>
      </c>
      <c r="BN148">
        <v>0</v>
      </c>
      <c r="BO148">
        <v>1.1264285714285713</v>
      </c>
      <c r="BP148">
        <v>304206.87000143545</v>
      </c>
      <c r="BQ148">
        <v>343019.35505572497</v>
      </c>
      <c r="BR148" s="12">
        <f>(Sales[[#This Row],[DP1]]*Lookups!$B$59)+(Sales[[#This Row],[DP2]]*Lookups!$B$60)+(Sales[[#This Row],[DP3]]*Lookups!$B$61)</f>
        <v>-38812.485059170001</v>
      </c>
      <c r="BS148" s="12">
        <f>Lookups!$B$56*0</f>
        <v>0</v>
      </c>
      <c r="BT148" s="12">
        <f>Lookups!$B$56*1</f>
        <v>89850.625589999996</v>
      </c>
      <c r="BU148" s="12">
        <f>Lookups!$B$57*Sales[[#This Row],[LnAcres]]</f>
        <v>-54281.285314520763</v>
      </c>
      <c r="BV148" s="12">
        <f>VLOOKUP(Sales[[#This Row],[Qlty]],Lookups!$A$62:$E$75,2,FALSE)</f>
        <v>29814.093161000001</v>
      </c>
      <c r="BW148" s="12">
        <f>VLOOKUP(Sales[[#This Row],[Cnd]],Lookups!$A$76:$E$84,2,FALSE)</f>
        <v>197752.34721000001</v>
      </c>
      <c r="BX148" s="12">
        <f>Sales[[#This Row],[EffAge]]*Lookups!$B$85</f>
        <v>-11598.371226000001</v>
      </c>
      <c r="BY148" s="12">
        <f>Sales[[#This Row],[MainFn]]*Lookups!$B$86</f>
        <v>50396.843274539999</v>
      </c>
      <c r="BZ148" s="12">
        <f>Sales[[#This Row],[UpprFn]]*Lookups!$B$87</f>
        <v>0</v>
      </c>
      <c r="CA148" s="12">
        <f>Sales[[#This Row],[AddFn]]*Lookups!$B$88</f>
        <v>0</v>
      </c>
      <c r="CB148" s="12">
        <f>Sales[[#This Row],[Bsmt]]*Lookups!$B$89</f>
        <v>14540.947623499998</v>
      </c>
      <c r="CC148" s="12">
        <f>Sales[[#This Row],[Fixtures]]*Lookups!$B$90</f>
        <v>26544.1547364</v>
      </c>
      <c r="CD148" s="12">
        <f>Sales[[#This Row],[WdDeck]]*Lookups!$B$91</f>
        <v>0</v>
      </c>
      <c r="CE148" s="12">
        <f>SUM(Sales[[#This Row],[Days Prior Total]:[Mdl WdDeck]])</f>
        <v>304206.86999574926</v>
      </c>
      <c r="CF148" s="12">
        <f>ROUND(Sales[[#This Row],[25Det]],-2)</f>
        <v>0</v>
      </c>
      <c r="CG148" s="12">
        <f>ROUND(SUM(Sales[[#This Row],[Mdl Qlty]:[Mdl WdDeck]])+Sales[[#This Row],[Mdl Res Intercept]]+Sales[[#This Row],[Days Prior Total]],-2)</f>
        <v>268600</v>
      </c>
      <c r="CH148" s="12">
        <f>ROUND(Sales[[#This Row],[Mdl Land Intercept]]+Sales[[#This Row],[Mdl LnAcres]],-2)</f>
        <v>35600</v>
      </c>
      <c r="CI148" s="12">
        <f>Sales[[#This Row],[Unadj Res Value]]+Sales[[#This Row],[Unadj Det Value]]+Sales[[#This Row],[Unadj Land Value]]</f>
        <v>304200</v>
      </c>
      <c r="CJ148" s="13">
        <f>Sales[[#This Row],[Unadj Total Value]]/Sales[[#This Row],[Price]]</f>
        <v>1.0864285714285715</v>
      </c>
      <c r="CK148" s="13">
        <f>(Sales[[#This Row],[Unadj Total Value]]-Sales[[#This Row],[24Final]])/Sales[[#This Row],[24Final]]</f>
        <v>-3.5510462904248571E-2</v>
      </c>
      <c r="CL148">
        <f>VLOOKUP(Sales[[#This Row],[TNbhd]],Lookups!$Q$2:$T$4,4,FALSE)</f>
        <v>0.99970000000000003</v>
      </c>
      <c r="CM148">
        <f>VLOOKUP(Sales[[#This Row],[Qlty]],Lookups!$O$7:$R$21,4,FALSE)</f>
        <v>1.0088999999999999</v>
      </c>
      <c r="CN148">
        <f>VLOOKUP(Sales[[#This Row],[Cnd]],Lookups!$T$7:$W$16,4,FALSE)</f>
        <v>0.99650000000000005</v>
      </c>
      <c r="CO148">
        <f>VLOOKUP(Sales[[#This Row],[LivArea Range]],Lookups!$T$25:$W$37,4,FALSE)</f>
        <v>1.0093000000000001</v>
      </c>
      <c r="CP148">
        <f>VLOOKUP(Sales[[#This Row],[Decade]],Lookups!$O$25:$R$42,4,FALSE)</f>
        <v>0.995</v>
      </c>
      <c r="CQ148">
        <f>Sales[[#This Row],[Nbhd Adj]]*0.95</f>
        <v>0.94971499999999998</v>
      </c>
      <c r="CR148">
        <f>Sales[[#This Row],[Nbhd Adj]]*Sales[[#This Row],[Quality Adj]]*Sales[[#This Row],[Condition Adj]]*Sales[[#This Row],[Living Area Adj]]*Sales[[#This Row],[Decade Adj]]*0.95</f>
        <v>0.9588751782051762</v>
      </c>
      <c r="CS148">
        <f>ROUND(SUM(Sales[[#This Row],[Mdl Qlty]:[Mdl WdDeck]])+Sales[[#This Row],[Mdl Res Intercept]]*Sales[[#This Row],[Res Adj ]],-2)</f>
        <v>307500</v>
      </c>
      <c r="CT148">
        <f>ROUND(Sales[[#This Row],[25Det]]*Sales[[#This Row],[Det/Nbhd Adj]],-2)</f>
        <v>0</v>
      </c>
      <c r="CU148">
        <f>Sales[[#This Row],[Adjusted Res]]+Sales[[#This Row],[Adj Det ]]</f>
        <v>307500</v>
      </c>
      <c r="CV148">
        <f>ROUND((Sales[[#This Row],[Mdl Land Intercept]]+Sales[[#This Row],[Mdl LnAcres]])*Sales[[#This Row],[Det/Nbhd Adj]],-2)</f>
        <v>33800</v>
      </c>
      <c r="CW148">
        <f>Sales[[#This Row],[Adjusted Impr Total]]+Sales[[#This Row],[Adjusted Land Total]]</f>
        <v>341300</v>
      </c>
      <c r="CX148" s="15">
        <f>IFERROR((Sales[[#This Row],[Adjusted Impr Total]]-Sales[[#This Row],[24Bldg]])/Sales[[#This Row],[24Bldg]],0)</f>
        <v>0.17951668584579977</v>
      </c>
      <c r="CY148" s="15">
        <f>(Sales[[#This Row],[Adjusted Land Total]]-Sales[[#This Row],[24Lnd]])/Sales[[#This Row],[24Lnd]]</f>
        <v>-0.38208409506398539</v>
      </c>
      <c r="CZ148" s="15">
        <f>(Sales[[#This Row],[Adjusted Total]]-Sales[[#This Row],[24Final]])/Sales[[#This Row],[24Final]]</f>
        <v>8.2117945466074829E-2</v>
      </c>
      <c r="DA148" s="15">
        <f>(Sales[[#This Row],[Adjusted Total]]+Sales[[#This Row],[Days Prior Total]])/Sales[[#This Row],[Price]]</f>
        <v>1.0803125533601072</v>
      </c>
    </row>
    <row r="149" spans="1:105" x14ac:dyDescent="0.3">
      <c r="A149">
        <v>2025</v>
      </c>
      <c r="B149">
        <v>18132313450</v>
      </c>
      <c r="C149">
        <v>-1.7147984280919266</v>
      </c>
      <c r="D149">
        <v>0.18</v>
      </c>
      <c r="E149">
        <v>7923</v>
      </c>
      <c r="F149">
        <v>6</v>
      </c>
      <c r="G149" t="s">
        <v>126</v>
      </c>
      <c r="H149">
        <v>3033</v>
      </c>
      <c r="I149" t="s">
        <v>349</v>
      </c>
      <c r="J149" t="s">
        <v>30</v>
      </c>
      <c r="K149">
        <v>11</v>
      </c>
      <c r="L149">
        <v>259</v>
      </c>
      <c r="M149" t="s">
        <v>269</v>
      </c>
      <c r="N149" t="s">
        <v>351</v>
      </c>
      <c r="O149" t="s">
        <v>303</v>
      </c>
      <c r="P149">
        <v>80</v>
      </c>
      <c r="Q149">
        <v>1945</v>
      </c>
      <c r="R149">
        <v>1972</v>
      </c>
      <c r="S149">
        <v>79</v>
      </c>
      <c r="T149">
        <v>52</v>
      </c>
      <c r="U149">
        <v>1</v>
      </c>
      <c r="V149">
        <v>1041</v>
      </c>
      <c r="W149">
        <v>0</v>
      </c>
      <c r="X149">
        <v>0</v>
      </c>
      <c r="Y149">
        <v>1041</v>
      </c>
      <c r="Z149">
        <v>1041</v>
      </c>
      <c r="AA149">
        <v>0</v>
      </c>
      <c r="AB149">
        <v>1041</v>
      </c>
      <c r="AC149">
        <v>1500</v>
      </c>
      <c r="AD149">
        <v>0</v>
      </c>
      <c r="AE149" t="s">
        <v>174</v>
      </c>
      <c r="AF149" t="s">
        <v>383</v>
      </c>
      <c r="AG149" t="s">
        <v>175</v>
      </c>
      <c r="AH149" t="s">
        <v>65</v>
      </c>
      <c r="AI149">
        <v>0</v>
      </c>
      <c r="AJ149">
        <v>1</v>
      </c>
      <c r="AK149">
        <v>0</v>
      </c>
      <c r="AL149">
        <v>0</v>
      </c>
      <c r="AM149">
        <v>0</v>
      </c>
      <c r="AN149">
        <v>6</v>
      </c>
      <c r="AO149">
        <v>0</v>
      </c>
      <c r="AP149">
        <v>0</v>
      </c>
      <c r="AQ149">
        <v>0</v>
      </c>
      <c r="AR149">
        <v>266</v>
      </c>
      <c r="AS149">
        <v>0</v>
      </c>
      <c r="AT149">
        <v>0</v>
      </c>
      <c r="AU149">
        <v>100</v>
      </c>
      <c r="AV149">
        <v>100</v>
      </c>
      <c r="AW149">
        <v>198216</v>
      </c>
      <c r="AX149">
        <v>152626</v>
      </c>
      <c r="AY149">
        <v>558</v>
      </c>
      <c r="AZ149">
        <v>365</v>
      </c>
      <c r="BA149">
        <v>193</v>
      </c>
      <c r="BB149">
        <v>0</v>
      </c>
      <c r="BC149" s="3">
        <v>44734</v>
      </c>
      <c r="BD149" t="s">
        <v>312</v>
      </c>
      <c r="BE149">
        <v>293000</v>
      </c>
      <c r="BF149">
        <v>293000</v>
      </c>
      <c r="BG149" t="s">
        <v>294</v>
      </c>
      <c r="BH149">
        <v>30</v>
      </c>
      <c r="BI149" t="s">
        <v>65</v>
      </c>
      <c r="BJ149" t="s">
        <v>450</v>
      </c>
      <c r="BK149">
        <v>308900</v>
      </c>
      <c r="BL149">
        <v>54700</v>
      </c>
      <c r="BM149">
        <v>254200</v>
      </c>
      <c r="BN149">
        <v>0</v>
      </c>
      <c r="BO149">
        <v>1.0542662116040955</v>
      </c>
      <c r="BP149">
        <v>333060.5736876211</v>
      </c>
      <c r="BQ149">
        <v>356598.06330524414</v>
      </c>
      <c r="BR149" s="12">
        <f>(Sales[[#This Row],[DP1]]*Lookups!$B$59)+(Sales[[#This Row],[DP2]]*Lookups!$B$60)+(Sales[[#This Row],[DP3]]*Lookups!$B$61)</f>
        <v>-23537.489619214</v>
      </c>
      <c r="BS149" s="12">
        <f>Lookups!$B$56*0</f>
        <v>0</v>
      </c>
      <c r="BT149" s="12">
        <f>Lookups!$B$56*1</f>
        <v>89850.625589999996</v>
      </c>
      <c r="BU149" s="12">
        <f>Lookups!$B$57*Sales[[#This Row],[LnAcres]]</f>
        <v>-54281.285314520763</v>
      </c>
      <c r="BV149" s="12">
        <f>VLOOKUP(Sales[[#This Row],[Qlty]],Lookups!$A$62:$E$75,2,FALSE)</f>
        <v>21557.329055999999</v>
      </c>
      <c r="BW149" s="12">
        <f>VLOOKUP(Sales[[#This Row],[Cnd]],Lookups!$A$76:$E$84,2,FALSE)</f>
        <v>197752.34721000001</v>
      </c>
      <c r="BX149" s="12">
        <f>Sales[[#This Row],[EffAge]]*Lookups!$B$85</f>
        <v>-11598.371226000001</v>
      </c>
      <c r="BY149" s="12">
        <f>Sales[[#This Row],[MainFn]]*Lookups!$B$86</f>
        <v>51434.425341957001</v>
      </c>
      <c r="BZ149" s="12">
        <f>Sales[[#This Row],[UpprFn]]*Lookups!$B$87</f>
        <v>0</v>
      </c>
      <c r="CA149" s="12">
        <f>Sales[[#This Row],[AddFn]]*Lookups!$B$88</f>
        <v>0</v>
      </c>
      <c r="CB149" s="12">
        <f>Sales[[#This Row],[Bsmt]]*Lookups!$B$89</f>
        <v>30274.252952126997</v>
      </c>
      <c r="CC149" s="12">
        <f>Sales[[#This Row],[Fixtures]]*Lookups!$B$90</f>
        <v>22752.132631200002</v>
      </c>
      <c r="CD149" s="12">
        <f>Sales[[#This Row],[WdDeck]]*Lookups!$B$91</f>
        <v>8856.6070634160005</v>
      </c>
      <c r="CE149" s="12">
        <f>SUM(Sales[[#This Row],[Days Prior Total]:[Mdl WdDeck]])</f>
        <v>333060.57368496526</v>
      </c>
      <c r="CF149" s="12">
        <f>ROUND(Sales[[#This Row],[25Det]],-2)</f>
        <v>0</v>
      </c>
      <c r="CG149" s="12">
        <f>ROUND(SUM(Sales[[#This Row],[Mdl Qlty]:[Mdl WdDeck]])+Sales[[#This Row],[Mdl Res Intercept]]+Sales[[#This Row],[Days Prior Total]],-2)</f>
        <v>297500</v>
      </c>
      <c r="CH149" s="12">
        <f>ROUND(Sales[[#This Row],[Mdl Land Intercept]]+Sales[[#This Row],[Mdl LnAcres]],-2)</f>
        <v>35600</v>
      </c>
      <c r="CI149" s="12">
        <f>Sales[[#This Row],[Unadj Res Value]]+Sales[[#This Row],[Unadj Det Value]]+Sales[[#This Row],[Unadj Land Value]]</f>
        <v>333100</v>
      </c>
      <c r="CJ149" s="13">
        <f>Sales[[#This Row],[Unadj Total Value]]/Sales[[#This Row],[Price]]</f>
        <v>1.1368600682593857</v>
      </c>
      <c r="CK149" s="13">
        <f>(Sales[[#This Row],[Unadj Total Value]]-Sales[[#This Row],[24Final]])/Sales[[#This Row],[24Final]]</f>
        <v>7.8342505665263837E-2</v>
      </c>
      <c r="CL149">
        <f>VLOOKUP(Sales[[#This Row],[TNbhd]],Lookups!$Q$2:$T$4,4,FALSE)</f>
        <v>0.99970000000000003</v>
      </c>
      <c r="CM149">
        <f>VLOOKUP(Sales[[#This Row],[Qlty]],Lookups!$O$7:$R$21,4,FALSE)</f>
        <v>1.0067999999999999</v>
      </c>
      <c r="CN149">
        <f>VLOOKUP(Sales[[#This Row],[Cnd]],Lookups!$T$7:$W$16,4,FALSE)</f>
        <v>0.99650000000000005</v>
      </c>
      <c r="CO149">
        <f>VLOOKUP(Sales[[#This Row],[LivArea Range]],Lookups!$T$25:$W$37,4,FALSE)</f>
        <v>1.0157</v>
      </c>
      <c r="CP149">
        <f>VLOOKUP(Sales[[#This Row],[Decade]],Lookups!$O$25:$R$42,4,FALSE)</f>
        <v>0.995</v>
      </c>
      <c r="CQ149">
        <f>Sales[[#This Row],[Nbhd Adj]]*0.95</f>
        <v>0.94971499999999998</v>
      </c>
      <c r="CR149">
        <f>Sales[[#This Row],[Nbhd Adj]]*Sales[[#This Row],[Quality Adj]]*Sales[[#This Row],[Condition Adj]]*Sales[[#This Row],[Living Area Adj]]*Sales[[#This Row],[Decade Adj]]*0.95</f>
        <v>0.96294690248840986</v>
      </c>
      <c r="CS149">
        <f>ROUND(SUM(Sales[[#This Row],[Mdl Qlty]:[Mdl WdDeck]])+Sales[[#This Row],[Mdl Res Intercept]]*Sales[[#This Row],[Res Adj ]],-2)</f>
        <v>321000</v>
      </c>
      <c r="CT149">
        <f>ROUND(Sales[[#This Row],[25Det]]*Sales[[#This Row],[Det/Nbhd Adj]],-2)</f>
        <v>0</v>
      </c>
      <c r="CU149">
        <f>Sales[[#This Row],[Adjusted Res]]+Sales[[#This Row],[Adj Det ]]</f>
        <v>321000</v>
      </c>
      <c r="CV149">
        <f>ROUND((Sales[[#This Row],[Mdl Land Intercept]]+Sales[[#This Row],[Mdl LnAcres]])*Sales[[#This Row],[Det/Nbhd Adj]],-2)</f>
        <v>33800</v>
      </c>
      <c r="CW149">
        <f>Sales[[#This Row],[Adjusted Impr Total]]+Sales[[#This Row],[Adjusted Land Total]]</f>
        <v>354800</v>
      </c>
      <c r="CX149" s="15">
        <f>IFERROR((Sales[[#This Row],[Adjusted Impr Total]]-Sales[[#This Row],[24Bldg]])/Sales[[#This Row],[24Bldg]],0)</f>
        <v>0.26278520849724624</v>
      </c>
      <c r="CY149" s="15">
        <f>(Sales[[#This Row],[Adjusted Land Total]]-Sales[[#This Row],[24Lnd]])/Sales[[#This Row],[24Lnd]]</f>
        <v>-0.38208409506398539</v>
      </c>
      <c r="CZ149" s="15">
        <f>(Sales[[#This Row],[Adjusted Total]]-Sales[[#This Row],[24Final]])/Sales[[#This Row],[24Final]]</f>
        <v>0.14859177727419878</v>
      </c>
      <c r="DA149" s="15">
        <f>(Sales[[#This Row],[Adjusted Total]]+Sales[[#This Row],[Days Prior Total]])/Sales[[#This Row],[Price]]</f>
        <v>1.1305887726306691</v>
      </c>
    </row>
    <row r="150" spans="1:105" x14ac:dyDescent="0.3">
      <c r="A150">
        <v>2025</v>
      </c>
      <c r="B150">
        <v>18132313442</v>
      </c>
      <c r="C150">
        <v>-1.7147984280919266</v>
      </c>
      <c r="D150">
        <v>0.18</v>
      </c>
      <c r="E150">
        <v>0</v>
      </c>
      <c r="F150">
        <v>6</v>
      </c>
      <c r="G150" t="s">
        <v>126</v>
      </c>
      <c r="H150">
        <v>3033</v>
      </c>
      <c r="I150" t="s">
        <v>349</v>
      </c>
      <c r="J150" t="s">
        <v>30</v>
      </c>
      <c r="K150">
        <v>11</v>
      </c>
      <c r="L150">
        <v>259</v>
      </c>
      <c r="M150" t="s">
        <v>416</v>
      </c>
      <c r="N150" t="s">
        <v>351</v>
      </c>
      <c r="O150" t="s">
        <v>303</v>
      </c>
      <c r="P150">
        <v>80</v>
      </c>
      <c r="Q150">
        <v>1945</v>
      </c>
      <c r="R150">
        <v>1972</v>
      </c>
      <c r="S150">
        <v>79</v>
      </c>
      <c r="T150">
        <v>52</v>
      </c>
      <c r="U150">
        <v>2</v>
      </c>
      <c r="V150">
        <v>1344</v>
      </c>
      <c r="W150">
        <v>924</v>
      </c>
      <c r="X150">
        <v>0</v>
      </c>
      <c r="Y150">
        <v>528</v>
      </c>
      <c r="Z150">
        <v>398</v>
      </c>
      <c r="AA150">
        <v>130</v>
      </c>
      <c r="AB150">
        <v>2398</v>
      </c>
      <c r="AC150">
        <v>2500</v>
      </c>
      <c r="AD150">
        <v>0</v>
      </c>
      <c r="AF150" t="s">
        <v>383</v>
      </c>
      <c r="AG150" t="s">
        <v>148</v>
      </c>
      <c r="AH150" t="s">
        <v>450</v>
      </c>
      <c r="AI150">
        <v>0</v>
      </c>
      <c r="AJ150">
        <v>1</v>
      </c>
      <c r="AK150">
        <v>0</v>
      </c>
      <c r="AL150">
        <v>1</v>
      </c>
      <c r="AM150">
        <v>0</v>
      </c>
      <c r="AN150">
        <v>9</v>
      </c>
      <c r="AO150">
        <v>0</v>
      </c>
      <c r="AP150">
        <v>0</v>
      </c>
      <c r="AQ150">
        <v>0</v>
      </c>
      <c r="AR150">
        <v>180</v>
      </c>
      <c r="AS150">
        <v>0</v>
      </c>
      <c r="AT150">
        <v>0</v>
      </c>
      <c r="AU150">
        <v>100</v>
      </c>
      <c r="AV150">
        <v>100</v>
      </c>
      <c r="AW150">
        <v>315813</v>
      </c>
      <c r="AX150">
        <v>217911</v>
      </c>
      <c r="AY150">
        <v>277</v>
      </c>
      <c r="AZ150">
        <v>277</v>
      </c>
      <c r="BA150">
        <v>0</v>
      </c>
      <c r="BB150">
        <v>0</v>
      </c>
      <c r="BC150" s="3">
        <v>45015</v>
      </c>
      <c r="BD150" t="s">
        <v>255</v>
      </c>
      <c r="BE150">
        <v>340000</v>
      </c>
      <c r="BF150">
        <v>335630</v>
      </c>
      <c r="BG150" t="s">
        <v>294</v>
      </c>
      <c r="BH150">
        <v>30</v>
      </c>
      <c r="BI150" t="s">
        <v>65</v>
      </c>
      <c r="BJ150" t="s">
        <v>450</v>
      </c>
      <c r="BK150">
        <v>375800</v>
      </c>
      <c r="BL150">
        <v>54700</v>
      </c>
      <c r="BM150">
        <v>321100</v>
      </c>
      <c r="BN150">
        <v>4370</v>
      </c>
      <c r="BO150">
        <v>1.1052941176470588</v>
      </c>
      <c r="BP150">
        <v>387000.56429278641</v>
      </c>
      <c r="BQ150">
        <v>406545.18474150647</v>
      </c>
      <c r="BR150" s="12">
        <f>(Sales[[#This Row],[DP1]]*Lookups!$B$59)+(Sales[[#This Row],[DP2]]*Lookups!$B$60)+(Sales[[#This Row],[DP3]]*Lookups!$B$61)</f>
        <v>-19544.620449890001</v>
      </c>
      <c r="BS150" s="12">
        <f>Lookups!$B$56*0</f>
        <v>0</v>
      </c>
      <c r="BT150" s="12">
        <f>Lookups!$B$56*1</f>
        <v>89850.625589999996</v>
      </c>
      <c r="BU150" s="12">
        <f>Lookups!$B$57*Sales[[#This Row],[LnAcres]]</f>
        <v>-54281.285314520763</v>
      </c>
      <c r="BV150" s="12">
        <f>VLOOKUP(Sales[[#This Row],[Qlty]],Lookups!$A$62:$E$75,2,FALSE)</f>
        <v>21557.329055999999</v>
      </c>
      <c r="BW150" s="12">
        <f>VLOOKUP(Sales[[#This Row],[Cnd]],Lookups!$A$76:$E$84,2,FALSE)</f>
        <v>197752.34721000001</v>
      </c>
      <c r="BX150" s="12">
        <f>Sales[[#This Row],[EffAge]]*Lookups!$B$85</f>
        <v>-11598.371226000001</v>
      </c>
      <c r="BY150" s="12">
        <f>Sales[[#This Row],[MainFn]]*Lookups!$B$86</f>
        <v>66405.252314687998</v>
      </c>
      <c r="BZ150" s="12">
        <f>Sales[[#This Row],[UpprFn]]*Lookups!$B$87</f>
        <v>41382.654723563996</v>
      </c>
      <c r="CA150" s="12">
        <f>Sales[[#This Row],[AddFn]]*Lookups!$B$88</f>
        <v>0</v>
      </c>
      <c r="CB150" s="12">
        <f>Sales[[#This Row],[Bsmt]]*Lookups!$B$89</f>
        <v>15355.240690416</v>
      </c>
      <c r="CC150" s="12">
        <f>Sales[[#This Row],[Fixtures]]*Lookups!$B$90</f>
        <v>34128.198946800003</v>
      </c>
      <c r="CD150" s="12">
        <f>Sales[[#This Row],[WdDeck]]*Lookups!$B$91</f>
        <v>5993.1927496800008</v>
      </c>
      <c r="CE150" s="12">
        <f>SUM(Sales[[#This Row],[Days Prior Total]:[Mdl WdDeck]])</f>
        <v>387000.56429073733</v>
      </c>
      <c r="CF150" s="12">
        <f>ROUND(Sales[[#This Row],[25Det]],-2)</f>
        <v>4400</v>
      </c>
      <c r="CG150" s="12">
        <f>ROUND(SUM(Sales[[#This Row],[Mdl Qlty]:[Mdl WdDeck]])+Sales[[#This Row],[Mdl Res Intercept]]+Sales[[#This Row],[Days Prior Total]],-2)</f>
        <v>351400</v>
      </c>
      <c r="CH150" s="12">
        <f>ROUND(Sales[[#This Row],[Mdl Land Intercept]]+Sales[[#This Row],[Mdl LnAcres]],-2)</f>
        <v>35600</v>
      </c>
      <c r="CI150" s="12">
        <f>Sales[[#This Row],[Unadj Res Value]]+Sales[[#This Row],[Unadj Det Value]]+Sales[[#This Row],[Unadj Land Value]]</f>
        <v>391400</v>
      </c>
      <c r="CJ150" s="13">
        <f>Sales[[#This Row],[Unadj Total Value]]/Sales[[#This Row],[Price]]</f>
        <v>1.1511764705882352</v>
      </c>
      <c r="CK150" s="13">
        <f>(Sales[[#This Row],[Unadj Total Value]]-Sales[[#This Row],[24Final]])/Sales[[#This Row],[24Final]]</f>
        <v>4.1511442256519426E-2</v>
      </c>
      <c r="CL150">
        <f>VLOOKUP(Sales[[#This Row],[TNbhd]],Lookups!$Q$2:$T$4,4,FALSE)</f>
        <v>0.99970000000000003</v>
      </c>
      <c r="CM150">
        <f>VLOOKUP(Sales[[#This Row],[Qlty]],Lookups!$O$7:$R$21,4,FALSE)</f>
        <v>1.0067999999999999</v>
      </c>
      <c r="CN150">
        <f>VLOOKUP(Sales[[#This Row],[Cnd]],Lookups!$T$7:$W$16,4,FALSE)</f>
        <v>0.99650000000000005</v>
      </c>
      <c r="CO150">
        <f>VLOOKUP(Sales[[#This Row],[LivArea Range]],Lookups!$T$25:$W$37,4,FALSE)</f>
        <v>0.98919999999999997</v>
      </c>
      <c r="CP150">
        <f>VLOOKUP(Sales[[#This Row],[Decade]],Lookups!$O$25:$R$42,4,FALSE)</f>
        <v>0.995</v>
      </c>
      <c r="CQ150">
        <f>Sales[[#This Row],[Nbhd Adj]]*0.95</f>
        <v>0.94971499999999998</v>
      </c>
      <c r="CR150">
        <f>Sales[[#This Row],[Nbhd Adj]]*Sales[[#This Row],[Quality Adj]]*Sales[[#This Row],[Condition Adj]]*Sales[[#This Row],[Living Area Adj]]*Sales[[#This Row],[Decade Adj]]*0.95</f>
        <v>0.93782325090236773</v>
      </c>
      <c r="CS150">
        <f>ROUND(SUM(Sales[[#This Row],[Mdl Qlty]:[Mdl WdDeck]])+Sales[[#This Row],[Mdl Res Intercept]]*Sales[[#This Row],[Res Adj ]],-2)</f>
        <v>371000</v>
      </c>
      <c r="CT150">
        <f>ROUND(Sales[[#This Row],[25Det]]*Sales[[#This Row],[Det/Nbhd Adj]],-2)</f>
        <v>4200</v>
      </c>
      <c r="CU150">
        <f>Sales[[#This Row],[Adjusted Res]]+Sales[[#This Row],[Adj Det ]]</f>
        <v>375200</v>
      </c>
      <c r="CV150">
        <f>ROUND((Sales[[#This Row],[Mdl Land Intercept]]+Sales[[#This Row],[Mdl LnAcres]])*Sales[[#This Row],[Det/Nbhd Adj]],-2)</f>
        <v>33800</v>
      </c>
      <c r="CW150">
        <f>Sales[[#This Row],[Adjusted Impr Total]]+Sales[[#This Row],[Adjusted Land Total]]</f>
        <v>409000</v>
      </c>
      <c r="CX150" s="15">
        <f>IFERROR((Sales[[#This Row],[Adjusted Impr Total]]-Sales[[#This Row],[24Bldg]])/Sales[[#This Row],[24Bldg]],0)</f>
        <v>0.16848333852382436</v>
      </c>
      <c r="CY150" s="15">
        <f>(Sales[[#This Row],[Adjusted Land Total]]-Sales[[#This Row],[24Lnd]])/Sales[[#This Row],[24Lnd]]</f>
        <v>-0.38208409506398539</v>
      </c>
      <c r="CZ150" s="15">
        <f>(Sales[[#This Row],[Adjusted Total]]-Sales[[#This Row],[24Final]])/Sales[[#This Row],[24Final]]</f>
        <v>8.8344864289515698E-2</v>
      </c>
      <c r="DA150" s="15">
        <f>(Sales[[#This Row],[Adjusted Total]]+Sales[[#This Row],[Days Prior Total]])/Sales[[#This Row],[Price]]</f>
        <v>1.1454569986767942</v>
      </c>
    </row>
    <row r="151" spans="1:105" x14ac:dyDescent="0.3">
      <c r="A151">
        <v>2025</v>
      </c>
      <c r="B151">
        <v>18132214427</v>
      </c>
      <c r="C151">
        <v>-1.7147984280919266</v>
      </c>
      <c r="D151">
        <v>0.18</v>
      </c>
      <c r="E151">
        <v>7861</v>
      </c>
      <c r="F151">
        <v>6</v>
      </c>
      <c r="G151" t="s">
        <v>126</v>
      </c>
      <c r="H151">
        <v>3033</v>
      </c>
      <c r="I151" t="s">
        <v>349</v>
      </c>
      <c r="J151" t="s">
        <v>30</v>
      </c>
      <c r="K151">
        <v>11</v>
      </c>
      <c r="L151">
        <v>400</v>
      </c>
      <c r="M151" t="s">
        <v>242</v>
      </c>
      <c r="N151" t="s">
        <v>205</v>
      </c>
      <c r="O151" t="s">
        <v>323</v>
      </c>
      <c r="P151">
        <v>90</v>
      </c>
      <c r="Q151">
        <v>1943</v>
      </c>
      <c r="R151">
        <v>1972</v>
      </c>
      <c r="S151">
        <v>81</v>
      </c>
      <c r="T151">
        <v>52</v>
      </c>
      <c r="U151">
        <v>1</v>
      </c>
      <c r="V151">
        <v>1050</v>
      </c>
      <c r="W151">
        <v>0</v>
      </c>
      <c r="X151">
        <v>0</v>
      </c>
      <c r="Y151">
        <v>1050</v>
      </c>
      <c r="Z151">
        <v>0</v>
      </c>
      <c r="AA151">
        <v>1050</v>
      </c>
      <c r="AB151">
        <v>2100</v>
      </c>
      <c r="AC151">
        <v>2500</v>
      </c>
      <c r="AD151">
        <v>0</v>
      </c>
      <c r="AF151" t="s">
        <v>383</v>
      </c>
      <c r="AG151" t="s">
        <v>175</v>
      </c>
      <c r="AH151" t="s">
        <v>65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5</v>
      </c>
      <c r="AO151">
        <v>0</v>
      </c>
      <c r="AP151">
        <v>0</v>
      </c>
      <c r="AQ151">
        <v>0</v>
      </c>
      <c r="AR151">
        <v>0</v>
      </c>
      <c r="AS151">
        <v>140</v>
      </c>
      <c r="AT151">
        <v>140</v>
      </c>
      <c r="AU151">
        <v>100</v>
      </c>
      <c r="AV151">
        <v>100</v>
      </c>
      <c r="AW151">
        <v>213140</v>
      </c>
      <c r="AX151">
        <v>147067</v>
      </c>
      <c r="AY151">
        <v>690</v>
      </c>
      <c r="AZ151">
        <v>365</v>
      </c>
      <c r="BA151">
        <v>325</v>
      </c>
      <c r="BB151">
        <v>0</v>
      </c>
      <c r="BC151" s="3">
        <v>44602</v>
      </c>
      <c r="BD151" t="s">
        <v>355</v>
      </c>
      <c r="BE151">
        <v>245000</v>
      </c>
      <c r="BF151">
        <v>245000</v>
      </c>
      <c r="BG151" t="s">
        <v>294</v>
      </c>
      <c r="BH151">
        <v>30</v>
      </c>
      <c r="BI151" t="s">
        <v>65</v>
      </c>
      <c r="BJ151" t="s">
        <v>450</v>
      </c>
      <c r="BK151">
        <v>288500</v>
      </c>
      <c r="BL151">
        <v>54700</v>
      </c>
      <c r="BM151">
        <v>233800</v>
      </c>
      <c r="BN151">
        <v>0</v>
      </c>
      <c r="BO151">
        <v>1.1775510204081632</v>
      </c>
      <c r="BP151">
        <v>263796.66518503882</v>
      </c>
      <c r="BQ151">
        <v>285818.37614456413</v>
      </c>
      <c r="BR151" s="12">
        <f>(Sales[[#This Row],[DP1]]*Lookups!$B$59)+(Sales[[#This Row],[DP2]]*Lookups!$B$60)+(Sales[[#This Row],[DP3]]*Lookups!$B$61)</f>
        <v>-22021.710961150002</v>
      </c>
      <c r="BS151" s="12">
        <f>Lookups!$B$56*0</f>
        <v>0</v>
      </c>
      <c r="BT151" s="12">
        <f>Lookups!$B$56*1</f>
        <v>89850.625589999996</v>
      </c>
      <c r="BU151" s="12">
        <f>Lookups!$B$57*Sales[[#This Row],[LnAcres]]</f>
        <v>-54281.285314520763</v>
      </c>
      <c r="BV151" s="12">
        <f>VLOOKUP(Sales[[#This Row],[Qlty]],Lookups!$A$62:$E$75,2,FALSE)</f>
        <v>0</v>
      </c>
      <c r="BW151" s="12">
        <f>VLOOKUP(Sales[[#This Row],[Cnd]],Lookups!$A$76:$E$84,2,FALSE)</f>
        <v>160472.20319</v>
      </c>
      <c r="BX151" s="12">
        <f>Sales[[#This Row],[EffAge]]*Lookups!$B$85</f>
        <v>-11598.371226000001</v>
      </c>
      <c r="BY151" s="12">
        <f>Sales[[#This Row],[MainFn]]*Lookups!$B$86</f>
        <v>51879.103370850004</v>
      </c>
      <c r="BZ151" s="12">
        <f>Sales[[#This Row],[UpprFn]]*Lookups!$B$87</f>
        <v>0</v>
      </c>
      <c r="CA151" s="12">
        <f>Sales[[#This Row],[AddFn]]*Lookups!$B$88</f>
        <v>0</v>
      </c>
      <c r="CB151" s="12">
        <f>Sales[[#This Row],[Bsmt]]*Lookups!$B$89</f>
        <v>30535.99000935</v>
      </c>
      <c r="CC151" s="12">
        <f>Sales[[#This Row],[Fixtures]]*Lookups!$B$90</f>
        <v>18960.110526</v>
      </c>
      <c r="CD151" s="12">
        <f>Sales[[#This Row],[WdDeck]]*Lookups!$B$91</f>
        <v>0</v>
      </c>
      <c r="CE151" s="12">
        <f>SUM(Sales[[#This Row],[Days Prior Total]:[Mdl WdDeck]])</f>
        <v>263796.66518452921</v>
      </c>
      <c r="CF151" s="12">
        <f>ROUND(Sales[[#This Row],[25Det]],-2)</f>
        <v>0</v>
      </c>
      <c r="CG151" s="12">
        <f>ROUND(SUM(Sales[[#This Row],[Mdl Qlty]:[Mdl WdDeck]])+Sales[[#This Row],[Mdl Res Intercept]]+Sales[[#This Row],[Days Prior Total]],-2)</f>
        <v>228200</v>
      </c>
      <c r="CH151" s="12">
        <f>ROUND(Sales[[#This Row],[Mdl Land Intercept]]+Sales[[#This Row],[Mdl LnAcres]],-2)</f>
        <v>35600</v>
      </c>
      <c r="CI151" s="12">
        <f>Sales[[#This Row],[Unadj Res Value]]+Sales[[#This Row],[Unadj Det Value]]+Sales[[#This Row],[Unadj Land Value]]</f>
        <v>263800</v>
      </c>
      <c r="CJ151" s="13">
        <f>Sales[[#This Row],[Unadj Total Value]]/Sales[[#This Row],[Price]]</f>
        <v>1.0767346938775511</v>
      </c>
      <c r="CK151" s="13">
        <f>(Sales[[#This Row],[Unadj Total Value]]-Sales[[#This Row],[24Final]])/Sales[[#This Row],[24Final]]</f>
        <v>-8.5615251299826695E-2</v>
      </c>
      <c r="CL151">
        <f>VLOOKUP(Sales[[#This Row],[TNbhd]],Lookups!$Q$2:$T$4,4,FALSE)</f>
        <v>0.99970000000000003</v>
      </c>
      <c r="CM151">
        <f>VLOOKUP(Sales[[#This Row],[Qlty]],Lookups!$O$7:$R$21,4,FALSE)</f>
        <v>0.99180000000000001</v>
      </c>
      <c r="CN151">
        <f>VLOOKUP(Sales[[#This Row],[Cnd]],Lookups!$T$7:$W$16,4,FALSE)</f>
        <v>0.99729999999999996</v>
      </c>
      <c r="CO151">
        <f>VLOOKUP(Sales[[#This Row],[LivArea Range]],Lookups!$T$25:$W$37,4,FALSE)</f>
        <v>0.98919999999999997</v>
      </c>
      <c r="CP151">
        <f>VLOOKUP(Sales[[#This Row],[Decade]],Lookups!$O$25:$R$42,4,FALSE)</f>
        <v>0.98909999999999998</v>
      </c>
      <c r="CQ151">
        <f>Sales[[#This Row],[Nbhd Adj]]*0.95</f>
        <v>0.94971499999999998</v>
      </c>
      <c r="CR151">
        <f>Sales[[#This Row],[Nbhd Adj]]*Sales[[#This Row],[Quality Adj]]*Sales[[#This Row],[Condition Adj]]*Sales[[#This Row],[Living Area Adj]]*Sales[[#This Row],[Decade Adj]]*0.95</f>
        <v>0.91911008180003395</v>
      </c>
      <c r="CS151">
        <f>ROUND(SUM(Sales[[#This Row],[Mdl Qlty]:[Mdl WdDeck]])+Sales[[#This Row],[Mdl Res Intercept]]*Sales[[#This Row],[Res Adj ]],-2)</f>
        <v>250200</v>
      </c>
      <c r="CT151">
        <f>ROUND(Sales[[#This Row],[25Det]]*Sales[[#This Row],[Det/Nbhd Adj]],-2)</f>
        <v>0</v>
      </c>
      <c r="CU151">
        <f>Sales[[#This Row],[Adjusted Res]]+Sales[[#This Row],[Adj Det ]]</f>
        <v>250200</v>
      </c>
      <c r="CV151">
        <f>ROUND((Sales[[#This Row],[Mdl Land Intercept]]+Sales[[#This Row],[Mdl LnAcres]])*Sales[[#This Row],[Det/Nbhd Adj]],-2)</f>
        <v>33800</v>
      </c>
      <c r="CW151">
        <f>Sales[[#This Row],[Adjusted Impr Total]]+Sales[[#This Row],[Adjusted Land Total]]</f>
        <v>284000</v>
      </c>
      <c r="CX151" s="15">
        <f>IFERROR((Sales[[#This Row],[Adjusted Impr Total]]-Sales[[#This Row],[24Bldg]])/Sales[[#This Row],[24Bldg]],0)</f>
        <v>7.0145423438836618E-2</v>
      </c>
      <c r="CY151" s="15">
        <f>(Sales[[#This Row],[Adjusted Land Total]]-Sales[[#This Row],[24Lnd]])/Sales[[#This Row],[24Lnd]]</f>
        <v>-0.38208409506398539</v>
      </c>
      <c r="CZ151" s="15">
        <f>(Sales[[#This Row],[Adjusted Total]]-Sales[[#This Row],[24Final]])/Sales[[#This Row],[24Final]]</f>
        <v>-1.5597920277296361E-2</v>
      </c>
      <c r="DA151" s="15">
        <f>(Sales[[#This Row],[Adjusted Total]]+Sales[[#This Row],[Days Prior Total]])/Sales[[#This Row],[Price]]</f>
        <v>1.0692991389340816</v>
      </c>
    </row>
    <row r="152" spans="1:105" x14ac:dyDescent="0.3">
      <c r="A152">
        <v>2025</v>
      </c>
      <c r="B152">
        <v>18132342424</v>
      </c>
      <c r="C152">
        <v>-2.4079456086518722</v>
      </c>
      <c r="D152">
        <v>0.09</v>
      </c>
      <c r="E152">
        <v>3794</v>
      </c>
      <c r="F152">
        <v>6</v>
      </c>
      <c r="G152" t="s">
        <v>126</v>
      </c>
      <c r="H152">
        <v>3033</v>
      </c>
      <c r="I152" t="s">
        <v>349</v>
      </c>
      <c r="J152" t="s">
        <v>30</v>
      </c>
      <c r="K152">
        <v>11</v>
      </c>
      <c r="L152">
        <v>259</v>
      </c>
      <c r="M152" t="s">
        <v>242</v>
      </c>
      <c r="N152" t="s">
        <v>351</v>
      </c>
      <c r="O152" t="s">
        <v>206</v>
      </c>
      <c r="P152">
        <v>90</v>
      </c>
      <c r="Q152">
        <v>1942</v>
      </c>
      <c r="R152">
        <v>1972</v>
      </c>
      <c r="S152">
        <v>82</v>
      </c>
      <c r="T152">
        <v>52</v>
      </c>
      <c r="U152">
        <v>1</v>
      </c>
      <c r="V152">
        <v>960</v>
      </c>
      <c r="W152">
        <v>0</v>
      </c>
      <c r="X152">
        <v>0</v>
      </c>
      <c r="Y152">
        <v>624</v>
      </c>
      <c r="Z152">
        <v>624</v>
      </c>
      <c r="AA152">
        <v>0</v>
      </c>
      <c r="AB152">
        <v>960</v>
      </c>
      <c r="AC152">
        <v>1000</v>
      </c>
      <c r="AD152">
        <v>2</v>
      </c>
      <c r="AF152" t="s">
        <v>383</v>
      </c>
      <c r="AG152" t="s">
        <v>382</v>
      </c>
      <c r="AH152" t="s">
        <v>65</v>
      </c>
      <c r="AI152">
        <v>0</v>
      </c>
      <c r="AJ152">
        <v>1</v>
      </c>
      <c r="AK152">
        <v>0</v>
      </c>
      <c r="AL152">
        <v>0</v>
      </c>
      <c r="AM152">
        <v>0</v>
      </c>
      <c r="AN152">
        <v>5</v>
      </c>
      <c r="AO152">
        <v>234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100</v>
      </c>
      <c r="AV152">
        <v>100</v>
      </c>
      <c r="AW152">
        <v>184002</v>
      </c>
      <c r="AX152">
        <v>99361</v>
      </c>
      <c r="AY152">
        <v>860</v>
      </c>
      <c r="AZ152">
        <v>365</v>
      </c>
      <c r="BA152">
        <v>365</v>
      </c>
      <c r="BB152">
        <v>130</v>
      </c>
      <c r="BC152" s="3">
        <v>44432</v>
      </c>
      <c r="BD152" t="s">
        <v>214</v>
      </c>
      <c r="BE152">
        <v>242000</v>
      </c>
      <c r="BF152">
        <v>242000</v>
      </c>
      <c r="BG152" t="s">
        <v>294</v>
      </c>
      <c r="BH152">
        <v>30</v>
      </c>
      <c r="BI152" t="s">
        <v>65</v>
      </c>
      <c r="BJ152" t="s">
        <v>450</v>
      </c>
      <c r="BK152">
        <v>211700</v>
      </c>
      <c r="BL152">
        <v>30600</v>
      </c>
      <c r="BM152">
        <v>181100</v>
      </c>
      <c r="BN152">
        <v>0</v>
      </c>
      <c r="BO152">
        <v>0.87479338842975207</v>
      </c>
      <c r="BP152">
        <v>202894.85813985515</v>
      </c>
      <c r="BQ152">
        <v>241841.06490701943</v>
      </c>
      <c r="BR152" s="12">
        <f>(Sales[[#This Row],[DP1]]*Lookups!$B$59)+(Sales[[#This Row],[DP2]]*Lookups!$B$60)+(Sales[[#This Row],[DP3]]*Lookups!$B$61)</f>
        <v>-38946.20677207</v>
      </c>
      <c r="BS152" s="12">
        <f>Lookups!$B$56*0</f>
        <v>0</v>
      </c>
      <c r="BT152" s="12">
        <f>Lookups!$B$56*1</f>
        <v>89850.625589999996</v>
      </c>
      <c r="BU152" s="12">
        <f>Lookups!$B$57*Sales[[#This Row],[LnAcres]]</f>
        <v>-76222.592967103381</v>
      </c>
      <c r="BV152" s="12">
        <f>VLOOKUP(Sales[[#This Row],[Qlty]],Lookups!$A$62:$E$75,2,FALSE)</f>
        <v>21557.329055999999</v>
      </c>
      <c r="BW152" s="12">
        <f>VLOOKUP(Sales[[#This Row],[Cnd]],Lookups!$A$76:$E$84,2,FALSE)</f>
        <v>133714.53821</v>
      </c>
      <c r="BX152" s="12">
        <f>Sales[[#This Row],[EffAge]]*Lookups!$B$85</f>
        <v>-11598.371226000001</v>
      </c>
      <c r="BY152" s="12">
        <f>Sales[[#This Row],[MainFn]]*Lookups!$B$86</f>
        <v>47432.323081920003</v>
      </c>
      <c r="BZ152" s="12">
        <f>Sales[[#This Row],[UpprFn]]*Lookups!$B$87</f>
        <v>0</v>
      </c>
      <c r="CA152" s="12">
        <f>Sales[[#This Row],[AddFn]]*Lookups!$B$88</f>
        <v>0</v>
      </c>
      <c r="CB152" s="12">
        <f>Sales[[#This Row],[Bsmt]]*Lookups!$B$89</f>
        <v>18147.102634127998</v>
      </c>
      <c r="CC152" s="12">
        <f>Sales[[#This Row],[Fixtures]]*Lookups!$B$90</f>
        <v>18960.110526</v>
      </c>
      <c r="CD152" s="12">
        <f>Sales[[#This Row],[WdDeck]]*Lookups!$B$91</f>
        <v>0</v>
      </c>
      <c r="CE152" s="12">
        <f>SUM(Sales[[#This Row],[Days Prior Total]:[Mdl WdDeck]])</f>
        <v>202894.85813287462</v>
      </c>
      <c r="CF152" s="12">
        <f>ROUND(Sales[[#This Row],[25Det]],-2)</f>
        <v>0</v>
      </c>
      <c r="CG152" s="12">
        <f>ROUND(SUM(Sales[[#This Row],[Mdl Qlty]:[Mdl WdDeck]])+Sales[[#This Row],[Mdl Res Intercept]]+Sales[[#This Row],[Days Prior Total]],-2)</f>
        <v>189300</v>
      </c>
      <c r="CH152" s="12">
        <f>ROUND(Sales[[#This Row],[Mdl Land Intercept]]+Sales[[#This Row],[Mdl LnAcres]],-2)</f>
        <v>13600</v>
      </c>
      <c r="CI152" s="12">
        <f>Sales[[#This Row],[Unadj Res Value]]+Sales[[#This Row],[Unadj Det Value]]+Sales[[#This Row],[Unadj Land Value]]</f>
        <v>202900</v>
      </c>
      <c r="CJ152" s="13">
        <f>Sales[[#This Row],[Unadj Total Value]]/Sales[[#This Row],[Price]]</f>
        <v>0.8384297520661157</v>
      </c>
      <c r="CK152" s="13">
        <f>(Sales[[#This Row],[Unadj Total Value]]-Sales[[#This Row],[24Final]])/Sales[[#This Row],[24Final]]</f>
        <v>-4.1568256967406708E-2</v>
      </c>
      <c r="CL152">
        <f>VLOOKUP(Sales[[#This Row],[TNbhd]],Lookups!$Q$2:$T$4,4,FALSE)</f>
        <v>0.99970000000000003</v>
      </c>
      <c r="CM152">
        <f>VLOOKUP(Sales[[#This Row],[Qlty]],Lookups!$O$7:$R$21,4,FALSE)</f>
        <v>1.0067999999999999</v>
      </c>
      <c r="CN152">
        <f>VLOOKUP(Sales[[#This Row],[Cnd]],Lookups!$T$7:$W$16,4,FALSE)</f>
        <v>0.99329999999999996</v>
      </c>
      <c r="CO152">
        <f>VLOOKUP(Sales[[#This Row],[LivArea Range]],Lookups!$T$25:$W$37,4,FALSE)</f>
        <v>1.0148999999999999</v>
      </c>
      <c r="CP152">
        <f>VLOOKUP(Sales[[#This Row],[Decade]],Lookups!$O$25:$R$42,4,FALSE)</f>
        <v>0.98909999999999998</v>
      </c>
      <c r="CQ152">
        <f>Sales[[#This Row],[Nbhd Adj]]*0.95</f>
        <v>0.94971499999999998</v>
      </c>
      <c r="CR152">
        <f>Sales[[#This Row],[Nbhd Adj]]*Sales[[#This Row],[Quality Adj]]*Sales[[#This Row],[Condition Adj]]*Sales[[#This Row],[Living Area Adj]]*Sales[[#This Row],[Decade Adj]]*0.95</f>
        <v>0.95341151768438748</v>
      </c>
      <c r="CS152">
        <f>ROUND(SUM(Sales[[#This Row],[Mdl Qlty]:[Mdl WdDeck]])+Sales[[#This Row],[Mdl Res Intercept]]*Sales[[#This Row],[Res Adj ]],-2)</f>
        <v>228200</v>
      </c>
      <c r="CT152">
        <f>ROUND(Sales[[#This Row],[25Det]]*Sales[[#This Row],[Det/Nbhd Adj]],-2)</f>
        <v>0</v>
      </c>
      <c r="CU152">
        <f>Sales[[#This Row],[Adjusted Res]]+Sales[[#This Row],[Adj Det ]]</f>
        <v>228200</v>
      </c>
      <c r="CV152">
        <f>ROUND((Sales[[#This Row],[Mdl Land Intercept]]+Sales[[#This Row],[Mdl LnAcres]])*Sales[[#This Row],[Det/Nbhd Adj]],-2)</f>
        <v>12900</v>
      </c>
      <c r="CW152">
        <f>Sales[[#This Row],[Adjusted Impr Total]]+Sales[[#This Row],[Adjusted Land Total]]</f>
        <v>241100</v>
      </c>
      <c r="CX152" s="15">
        <f>IFERROR((Sales[[#This Row],[Adjusted Impr Total]]-Sales[[#This Row],[24Bldg]])/Sales[[#This Row],[24Bldg]],0)</f>
        <v>0.26007730535615681</v>
      </c>
      <c r="CY152" s="15">
        <f>(Sales[[#This Row],[Adjusted Land Total]]-Sales[[#This Row],[24Lnd]])/Sales[[#This Row],[24Lnd]]</f>
        <v>-0.57843137254901966</v>
      </c>
      <c r="CZ152" s="15">
        <f>(Sales[[#This Row],[Adjusted Total]]-Sales[[#This Row],[24Final]])/Sales[[#This Row],[24Final]]</f>
        <v>0.13887576759565423</v>
      </c>
      <c r="DA152" s="15">
        <f>(Sales[[#This Row],[Adjusted Total]]+Sales[[#This Row],[Days Prior Total]])/Sales[[#This Row],[Price]]</f>
        <v>0.83534625300797516</v>
      </c>
    </row>
    <row r="153" spans="1:105" x14ac:dyDescent="0.3">
      <c r="A153">
        <v>2025</v>
      </c>
      <c r="B153">
        <v>18132243464</v>
      </c>
      <c r="C153">
        <v>-1.6094379124341003</v>
      </c>
      <c r="D153">
        <v>0.2</v>
      </c>
      <c r="E153">
        <v>8680</v>
      </c>
      <c r="F153">
        <v>6</v>
      </c>
      <c r="G153" t="s">
        <v>126</v>
      </c>
      <c r="H153">
        <v>3093</v>
      </c>
      <c r="I153" t="s">
        <v>349</v>
      </c>
      <c r="J153" t="s">
        <v>30</v>
      </c>
      <c r="K153">
        <v>11</v>
      </c>
      <c r="L153">
        <v>259</v>
      </c>
      <c r="M153" t="s">
        <v>242</v>
      </c>
      <c r="N153" t="s">
        <v>302</v>
      </c>
      <c r="O153" t="s">
        <v>303</v>
      </c>
      <c r="P153">
        <v>90</v>
      </c>
      <c r="Q153">
        <v>1941</v>
      </c>
      <c r="R153">
        <v>1972</v>
      </c>
      <c r="S153">
        <v>83</v>
      </c>
      <c r="T153">
        <v>52</v>
      </c>
      <c r="U153">
        <v>1</v>
      </c>
      <c r="V153">
        <v>910</v>
      </c>
      <c r="W153">
        <v>0</v>
      </c>
      <c r="X153">
        <v>0</v>
      </c>
      <c r="Y153">
        <v>624</v>
      </c>
      <c r="Z153">
        <v>624</v>
      </c>
      <c r="AA153">
        <v>0</v>
      </c>
      <c r="AB153">
        <v>910</v>
      </c>
      <c r="AC153">
        <v>1000</v>
      </c>
      <c r="AD153">
        <v>1</v>
      </c>
      <c r="AF153" t="s">
        <v>383</v>
      </c>
      <c r="AG153" t="s">
        <v>148</v>
      </c>
      <c r="AH153" t="s">
        <v>450</v>
      </c>
      <c r="AI153">
        <v>0</v>
      </c>
      <c r="AJ153">
        <v>1</v>
      </c>
      <c r="AK153">
        <v>0</v>
      </c>
      <c r="AL153">
        <v>0</v>
      </c>
      <c r="AM153">
        <v>0</v>
      </c>
      <c r="AN153">
        <v>6</v>
      </c>
      <c r="AO153">
        <v>291</v>
      </c>
      <c r="AP153">
        <v>0</v>
      </c>
      <c r="AQ153">
        <v>0</v>
      </c>
      <c r="AR153">
        <v>0</v>
      </c>
      <c r="AS153">
        <v>170</v>
      </c>
      <c r="AT153">
        <v>170</v>
      </c>
      <c r="AU153">
        <v>100</v>
      </c>
      <c r="AV153">
        <v>100</v>
      </c>
      <c r="AW153">
        <v>205107</v>
      </c>
      <c r="AX153">
        <v>157932</v>
      </c>
      <c r="AY153">
        <v>734</v>
      </c>
      <c r="AZ153">
        <v>365</v>
      </c>
      <c r="BA153">
        <v>365</v>
      </c>
      <c r="BB153">
        <v>4</v>
      </c>
      <c r="BC153" s="3">
        <v>44558</v>
      </c>
      <c r="BD153" t="s">
        <v>228</v>
      </c>
      <c r="BE153">
        <v>325000</v>
      </c>
      <c r="BF153">
        <v>322970</v>
      </c>
      <c r="BG153" t="s">
        <v>294</v>
      </c>
      <c r="BH153">
        <v>30</v>
      </c>
      <c r="BI153" t="s">
        <v>65</v>
      </c>
      <c r="BJ153" t="s">
        <v>450</v>
      </c>
      <c r="BK153">
        <v>304900</v>
      </c>
      <c r="BL153">
        <v>58400</v>
      </c>
      <c r="BM153">
        <v>246500</v>
      </c>
      <c r="BN153">
        <v>2030</v>
      </c>
      <c r="BO153">
        <v>0.93815384615384612</v>
      </c>
      <c r="BP153">
        <v>318636.40996720875</v>
      </c>
      <c r="BQ153">
        <v>340733.6809121432</v>
      </c>
      <c r="BR153" s="12">
        <f>(Sales[[#This Row],[DP1]]*Lookups!$B$59)+(Sales[[#This Row],[DP2]]*Lookups!$B$60)+(Sales[[#This Row],[DP3]]*Lookups!$B$61)</f>
        <v>-22097.270946670003</v>
      </c>
      <c r="BS153" s="12">
        <f>Lookups!$B$56*0</f>
        <v>0</v>
      </c>
      <c r="BT153" s="12">
        <f>Lookups!$B$56*1</f>
        <v>89850.625589999996</v>
      </c>
      <c r="BU153" s="12">
        <f>Lookups!$B$57*Sales[[#This Row],[LnAcres]]</f>
        <v>-50946.13867709865</v>
      </c>
      <c r="BV153" s="12">
        <f>VLOOKUP(Sales[[#This Row],[Qlty]],Lookups!$A$62:$E$75,2,FALSE)</f>
        <v>29814.093161000001</v>
      </c>
      <c r="BW153" s="12">
        <f>VLOOKUP(Sales[[#This Row],[Cnd]],Lookups!$A$76:$E$84,2,FALSE)</f>
        <v>197752.34721000001</v>
      </c>
      <c r="BX153" s="12">
        <f>Sales[[#This Row],[EffAge]]*Lookups!$B$85</f>
        <v>-11598.371226000001</v>
      </c>
      <c r="BY153" s="12">
        <f>Sales[[#This Row],[MainFn]]*Lookups!$B$86</f>
        <v>44961.88958807</v>
      </c>
      <c r="BZ153" s="12">
        <f>Sales[[#This Row],[UpprFn]]*Lookups!$B$87</f>
        <v>0</v>
      </c>
      <c r="CA153" s="12">
        <f>Sales[[#This Row],[AddFn]]*Lookups!$B$88</f>
        <v>0</v>
      </c>
      <c r="CB153" s="12">
        <f>Sales[[#This Row],[Bsmt]]*Lookups!$B$89</f>
        <v>18147.102634127998</v>
      </c>
      <c r="CC153" s="12">
        <f>Sales[[#This Row],[Fixtures]]*Lookups!$B$90</f>
        <v>22752.132631200002</v>
      </c>
      <c r="CD153" s="12">
        <f>Sales[[#This Row],[WdDeck]]*Lookups!$B$91</f>
        <v>0</v>
      </c>
      <c r="CE153" s="12">
        <f>SUM(Sales[[#This Row],[Days Prior Total]:[Mdl WdDeck]])</f>
        <v>318636.40996462939</v>
      </c>
      <c r="CF153" s="12">
        <f>ROUND(Sales[[#This Row],[25Det]],-2)</f>
        <v>2000</v>
      </c>
      <c r="CG153" s="12">
        <f>ROUND(SUM(Sales[[#This Row],[Mdl Qlty]:[Mdl WdDeck]])+Sales[[#This Row],[Mdl Res Intercept]]+Sales[[#This Row],[Days Prior Total]],-2)</f>
        <v>279700</v>
      </c>
      <c r="CH153" s="12">
        <f>ROUND(Sales[[#This Row],[Mdl Land Intercept]]+Sales[[#This Row],[Mdl LnAcres]],-2)</f>
        <v>38900</v>
      </c>
      <c r="CI153" s="12">
        <f>Sales[[#This Row],[Unadj Res Value]]+Sales[[#This Row],[Unadj Det Value]]+Sales[[#This Row],[Unadj Land Value]]</f>
        <v>320600</v>
      </c>
      <c r="CJ153" s="13">
        <f>Sales[[#This Row],[Unadj Total Value]]/Sales[[#This Row],[Price]]</f>
        <v>0.9864615384615385</v>
      </c>
      <c r="CK153" s="13">
        <f>(Sales[[#This Row],[Unadj Total Value]]-Sales[[#This Row],[24Final]])/Sales[[#This Row],[24Final]]</f>
        <v>5.1492292554936044E-2</v>
      </c>
      <c r="CL153">
        <f>VLOOKUP(Sales[[#This Row],[TNbhd]],Lookups!$Q$2:$T$4,4,FALSE)</f>
        <v>0.99970000000000003</v>
      </c>
      <c r="CM153">
        <f>VLOOKUP(Sales[[#This Row],[Qlty]],Lookups!$O$7:$R$21,4,FALSE)</f>
        <v>1.0088999999999999</v>
      </c>
      <c r="CN153">
        <f>VLOOKUP(Sales[[#This Row],[Cnd]],Lookups!$T$7:$W$16,4,FALSE)</f>
        <v>0.99650000000000005</v>
      </c>
      <c r="CO153">
        <f>VLOOKUP(Sales[[#This Row],[LivArea Range]],Lookups!$T$25:$W$37,4,FALSE)</f>
        <v>1.0148999999999999</v>
      </c>
      <c r="CP153">
        <f>VLOOKUP(Sales[[#This Row],[Decade]],Lookups!$O$25:$R$42,4,FALSE)</f>
        <v>0.98909999999999998</v>
      </c>
      <c r="CQ153">
        <f>Sales[[#This Row],[Nbhd Adj]]*0.95</f>
        <v>0.94971499999999998</v>
      </c>
      <c r="CR153">
        <f>Sales[[#This Row],[Nbhd Adj]]*Sales[[#This Row],[Quality Adj]]*Sales[[#This Row],[Condition Adj]]*Sales[[#This Row],[Living Area Adj]]*Sales[[#This Row],[Decade Adj]]*0.95</f>
        <v>0.9584780615654358</v>
      </c>
      <c r="CS153">
        <f>ROUND(SUM(Sales[[#This Row],[Mdl Qlty]:[Mdl WdDeck]])+Sales[[#This Row],[Mdl Res Intercept]]*Sales[[#This Row],[Res Adj ]],-2)</f>
        <v>301800</v>
      </c>
      <c r="CT153">
        <f>ROUND(Sales[[#This Row],[25Det]]*Sales[[#This Row],[Det/Nbhd Adj]],-2)</f>
        <v>1900</v>
      </c>
      <c r="CU153">
        <f>Sales[[#This Row],[Adjusted Res]]+Sales[[#This Row],[Adj Det ]]</f>
        <v>303700</v>
      </c>
      <c r="CV153">
        <f>ROUND((Sales[[#This Row],[Mdl Land Intercept]]+Sales[[#This Row],[Mdl LnAcres]])*Sales[[#This Row],[Det/Nbhd Adj]],-2)</f>
        <v>36900</v>
      </c>
      <c r="CW153">
        <f>Sales[[#This Row],[Adjusted Impr Total]]+Sales[[#This Row],[Adjusted Land Total]]</f>
        <v>340600</v>
      </c>
      <c r="CX153" s="15">
        <f>IFERROR((Sales[[#This Row],[Adjusted Impr Total]]-Sales[[#This Row],[24Bldg]])/Sales[[#This Row],[24Bldg]],0)</f>
        <v>0.23204868154158215</v>
      </c>
      <c r="CY153" s="15">
        <f>(Sales[[#This Row],[Adjusted Land Total]]-Sales[[#This Row],[24Lnd]])/Sales[[#This Row],[24Lnd]]</f>
        <v>-0.36815068493150682</v>
      </c>
      <c r="CZ153" s="15">
        <f>(Sales[[#This Row],[Adjusted Total]]-Sales[[#This Row],[24Final]])/Sales[[#This Row],[24Final]]</f>
        <v>0.11708756969498196</v>
      </c>
      <c r="DA153" s="15">
        <f>(Sales[[#This Row],[Adjusted Total]]+Sales[[#This Row],[Days Prior Total]])/Sales[[#This Row],[Price]]</f>
        <v>0.98000839708716936</v>
      </c>
    </row>
    <row r="154" spans="1:105" x14ac:dyDescent="0.3">
      <c r="A154">
        <v>2025</v>
      </c>
      <c r="B154">
        <v>18132343008</v>
      </c>
      <c r="C154">
        <v>-1.4271163556401458</v>
      </c>
      <c r="D154">
        <v>0.24</v>
      </c>
      <c r="E154">
        <v>0</v>
      </c>
      <c r="F154">
        <v>6</v>
      </c>
      <c r="G154" t="s">
        <v>126</v>
      </c>
      <c r="H154">
        <v>3032</v>
      </c>
      <c r="I154" t="s">
        <v>349</v>
      </c>
      <c r="J154" t="s">
        <v>30</v>
      </c>
      <c r="K154">
        <v>11</v>
      </c>
      <c r="L154">
        <v>259</v>
      </c>
      <c r="M154" t="s">
        <v>242</v>
      </c>
      <c r="N154" t="s">
        <v>148</v>
      </c>
      <c r="O154" t="s">
        <v>352</v>
      </c>
      <c r="P154">
        <v>90</v>
      </c>
      <c r="Q154">
        <v>1941</v>
      </c>
      <c r="R154">
        <v>1972</v>
      </c>
      <c r="S154">
        <v>83</v>
      </c>
      <c r="T154">
        <v>52</v>
      </c>
      <c r="U154">
        <v>1</v>
      </c>
      <c r="V154">
        <v>2196</v>
      </c>
      <c r="W154">
        <v>0</v>
      </c>
      <c r="X154">
        <v>0</v>
      </c>
      <c r="Y154">
        <v>620</v>
      </c>
      <c r="Z154">
        <v>0</v>
      </c>
      <c r="AA154">
        <v>620</v>
      </c>
      <c r="AB154">
        <v>2816</v>
      </c>
      <c r="AC154">
        <v>3000</v>
      </c>
      <c r="AD154">
        <v>0</v>
      </c>
      <c r="AF154" t="s">
        <v>208</v>
      </c>
      <c r="AG154" t="s">
        <v>382</v>
      </c>
      <c r="AI154">
        <v>0</v>
      </c>
      <c r="AJ154">
        <v>1</v>
      </c>
      <c r="AK154">
        <v>0</v>
      </c>
      <c r="AL154">
        <v>1</v>
      </c>
      <c r="AM154">
        <v>0</v>
      </c>
      <c r="AN154">
        <v>12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100</v>
      </c>
      <c r="AV154">
        <v>100</v>
      </c>
      <c r="AW154">
        <v>524620</v>
      </c>
      <c r="AX154">
        <v>424942</v>
      </c>
      <c r="AY154">
        <v>567</v>
      </c>
      <c r="AZ154">
        <v>365</v>
      </c>
      <c r="BA154">
        <v>202</v>
      </c>
      <c r="BB154">
        <v>0</v>
      </c>
      <c r="BC154" s="3">
        <v>44725</v>
      </c>
      <c r="BD154" t="s">
        <v>143</v>
      </c>
      <c r="BE154">
        <v>500000</v>
      </c>
      <c r="BF154">
        <v>488194</v>
      </c>
      <c r="BG154" t="s">
        <v>294</v>
      </c>
      <c r="BH154">
        <v>30</v>
      </c>
      <c r="BI154" t="s">
        <v>65</v>
      </c>
      <c r="BJ154" t="s">
        <v>450</v>
      </c>
      <c r="BK154">
        <v>475600</v>
      </c>
      <c r="BL154">
        <v>64800</v>
      </c>
      <c r="BM154">
        <v>410800</v>
      </c>
      <c r="BN154">
        <v>11806</v>
      </c>
      <c r="BO154">
        <v>0.95120000000000005</v>
      </c>
      <c r="BP154">
        <v>510611.41895641142</v>
      </c>
      <c r="BQ154">
        <v>534045.56002916419</v>
      </c>
      <c r="BR154" s="12">
        <f>(Sales[[#This Row],[DP1]]*Lookups!$B$59)+(Sales[[#This Row],[DP2]]*Lookups!$B$60)+(Sales[[#This Row],[DP3]]*Lookups!$B$61)</f>
        <v>-23434.141074346</v>
      </c>
      <c r="BS154" s="12">
        <f>Lookups!$B$56*0</f>
        <v>0</v>
      </c>
      <c r="BT154" s="12">
        <f>Lookups!$B$56*1</f>
        <v>89850.625589999996</v>
      </c>
      <c r="BU154" s="12">
        <f>Lookups!$B$57*Sales[[#This Row],[LnAcres]]</f>
        <v>-45174.819855485119</v>
      </c>
      <c r="BV154" s="12">
        <f>VLOOKUP(Sales[[#This Row],[Qlty]],Lookups!$A$62:$E$75,2,FALSE)</f>
        <v>44121.038090000002</v>
      </c>
      <c r="BW154" s="12">
        <f>VLOOKUP(Sales[[#This Row],[Cnd]],Lookups!$A$76:$E$84,2,FALSE)</f>
        <v>284810.60806</v>
      </c>
      <c r="BX154" s="12">
        <f>Sales[[#This Row],[EffAge]]*Lookups!$B$85</f>
        <v>-11598.371226000001</v>
      </c>
      <c r="BY154" s="12">
        <f>Sales[[#This Row],[MainFn]]*Lookups!$B$86</f>
        <v>108501.439049892</v>
      </c>
      <c r="BZ154" s="12">
        <f>Sales[[#This Row],[UpprFn]]*Lookups!$B$87</f>
        <v>0</v>
      </c>
      <c r="CA154" s="12">
        <f>Sales[[#This Row],[AddFn]]*Lookups!$B$88</f>
        <v>0</v>
      </c>
      <c r="CB154" s="12">
        <f>Sales[[#This Row],[Bsmt]]*Lookups!$B$89</f>
        <v>18030.775053139998</v>
      </c>
      <c r="CC154" s="12">
        <f>Sales[[#This Row],[Fixtures]]*Lookups!$B$90</f>
        <v>45504.265262400004</v>
      </c>
      <c r="CD154" s="12">
        <f>Sales[[#This Row],[WdDeck]]*Lookups!$B$91</f>
        <v>0</v>
      </c>
      <c r="CE154" s="12">
        <f>SUM(Sales[[#This Row],[Days Prior Total]:[Mdl WdDeck]])</f>
        <v>510611.41894960089</v>
      </c>
      <c r="CF154" s="12">
        <f>ROUND(Sales[[#This Row],[25Det]],-2)</f>
        <v>11800</v>
      </c>
      <c r="CG154" s="12">
        <f>ROUND(SUM(Sales[[#This Row],[Mdl Qlty]:[Mdl WdDeck]])+Sales[[#This Row],[Mdl Res Intercept]]+Sales[[#This Row],[Days Prior Total]],-2)</f>
        <v>465900</v>
      </c>
      <c r="CH154" s="12">
        <f>ROUND(Sales[[#This Row],[Mdl Land Intercept]]+Sales[[#This Row],[Mdl LnAcres]],-2)</f>
        <v>44700</v>
      </c>
      <c r="CI154" s="12">
        <f>Sales[[#This Row],[Unadj Res Value]]+Sales[[#This Row],[Unadj Det Value]]+Sales[[#This Row],[Unadj Land Value]]</f>
        <v>522400</v>
      </c>
      <c r="CJ154" s="13">
        <f>Sales[[#This Row],[Unadj Total Value]]/Sales[[#This Row],[Price]]</f>
        <v>1.0448</v>
      </c>
      <c r="CK154" s="13">
        <f>(Sales[[#This Row],[Unadj Total Value]]-Sales[[#This Row],[24Final]])/Sales[[#This Row],[24Final]]</f>
        <v>9.8402018502943653E-2</v>
      </c>
      <c r="CL154">
        <f>VLOOKUP(Sales[[#This Row],[TNbhd]],Lookups!$Q$2:$T$4,4,FALSE)</f>
        <v>0.99970000000000003</v>
      </c>
      <c r="CM154">
        <f>VLOOKUP(Sales[[#This Row],[Qlty]],Lookups!$O$7:$R$21,4,FALSE)</f>
        <v>0.98050000000000004</v>
      </c>
      <c r="CN154">
        <f>VLOOKUP(Sales[[#This Row],[Cnd]],Lookups!$T$7:$W$16,4,FALSE)</f>
        <v>1.0158</v>
      </c>
      <c r="CO154">
        <f>VLOOKUP(Sales[[#This Row],[LivArea Range]],Lookups!$T$25:$W$37,4,FALSE)</f>
        <v>0.96179999999999999</v>
      </c>
      <c r="CP154">
        <f>VLOOKUP(Sales[[#This Row],[Decade]],Lookups!$O$25:$R$42,4,FALSE)</f>
        <v>0.98909999999999998</v>
      </c>
      <c r="CQ154">
        <f>Sales[[#This Row],[Nbhd Adj]]*0.95</f>
        <v>0.94971499999999998</v>
      </c>
      <c r="CR154">
        <f>Sales[[#This Row],[Nbhd Adj]]*Sales[[#This Row],[Quality Adj]]*Sales[[#This Row],[Condition Adj]]*Sales[[#This Row],[Living Area Adj]]*Sales[[#This Row],[Decade Adj]]*0.95</f>
        <v>0.89985819990494287</v>
      </c>
      <c r="CS154">
        <f>ROUND(SUM(Sales[[#This Row],[Mdl Qlty]:[Mdl WdDeck]])+Sales[[#This Row],[Mdl Res Intercept]]*Sales[[#This Row],[Res Adj ]],-2)</f>
        <v>489400</v>
      </c>
      <c r="CT154">
        <f>ROUND(Sales[[#This Row],[25Det]]*Sales[[#This Row],[Det/Nbhd Adj]],-2)</f>
        <v>11200</v>
      </c>
      <c r="CU154">
        <f>Sales[[#This Row],[Adjusted Res]]+Sales[[#This Row],[Adj Det ]]</f>
        <v>500600</v>
      </c>
      <c r="CV154">
        <f>ROUND((Sales[[#This Row],[Mdl Land Intercept]]+Sales[[#This Row],[Mdl LnAcres]])*Sales[[#This Row],[Det/Nbhd Adj]],-2)</f>
        <v>42400</v>
      </c>
      <c r="CW154">
        <f>Sales[[#This Row],[Adjusted Impr Total]]+Sales[[#This Row],[Adjusted Land Total]]</f>
        <v>543000</v>
      </c>
      <c r="CX154" s="15">
        <f>IFERROR((Sales[[#This Row],[Adjusted Impr Total]]-Sales[[#This Row],[24Bldg]])/Sales[[#This Row],[24Bldg]],0)</f>
        <v>0.21859785783836416</v>
      </c>
      <c r="CY154" s="15">
        <f>(Sales[[#This Row],[Adjusted Land Total]]-Sales[[#This Row],[24Lnd]])/Sales[[#This Row],[24Lnd]]</f>
        <v>-0.34567901234567899</v>
      </c>
      <c r="CZ154" s="15">
        <f>(Sales[[#This Row],[Adjusted Total]]-Sales[[#This Row],[24Final]])/Sales[[#This Row],[24Final]]</f>
        <v>0.1417157275021026</v>
      </c>
      <c r="DA154" s="15">
        <f>(Sales[[#This Row],[Adjusted Total]]+Sales[[#This Row],[Days Prior Total]])/Sales[[#This Row],[Price]]</f>
        <v>1.039131717851308</v>
      </c>
    </row>
    <row r="155" spans="1:105" x14ac:dyDescent="0.3">
      <c r="A155">
        <v>2025</v>
      </c>
      <c r="B155">
        <v>18132214445</v>
      </c>
      <c r="C155">
        <v>-1.6094379124341003</v>
      </c>
      <c r="D155">
        <v>0.2</v>
      </c>
      <c r="E155">
        <v>8781</v>
      </c>
      <c r="F155">
        <v>6</v>
      </c>
      <c r="G155" t="s">
        <v>126</v>
      </c>
      <c r="H155">
        <v>3033</v>
      </c>
      <c r="I155" t="s">
        <v>349</v>
      </c>
      <c r="J155" t="s">
        <v>30</v>
      </c>
      <c r="K155">
        <v>11</v>
      </c>
      <c r="L155">
        <v>259</v>
      </c>
      <c r="M155" t="s">
        <v>242</v>
      </c>
      <c r="N155" t="s">
        <v>351</v>
      </c>
      <c r="O155" t="s">
        <v>323</v>
      </c>
      <c r="P155">
        <v>90</v>
      </c>
      <c r="Q155">
        <v>1940</v>
      </c>
      <c r="R155">
        <v>1972</v>
      </c>
      <c r="S155">
        <v>84</v>
      </c>
      <c r="T155">
        <v>52</v>
      </c>
      <c r="U155">
        <v>1</v>
      </c>
      <c r="V155">
        <v>1130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1130</v>
      </c>
      <c r="AC155">
        <v>1500</v>
      </c>
      <c r="AD155">
        <v>0</v>
      </c>
      <c r="AF155" t="s">
        <v>383</v>
      </c>
      <c r="AG155" t="s">
        <v>175</v>
      </c>
      <c r="AI155">
        <v>0</v>
      </c>
      <c r="AJ155">
        <v>1</v>
      </c>
      <c r="AK155">
        <v>0</v>
      </c>
      <c r="AL155">
        <v>0</v>
      </c>
      <c r="AM155">
        <v>0</v>
      </c>
      <c r="AN155">
        <v>5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100</v>
      </c>
      <c r="AV155">
        <v>100</v>
      </c>
      <c r="AW155">
        <v>167591</v>
      </c>
      <c r="AX155">
        <v>115638</v>
      </c>
      <c r="AY155">
        <v>157</v>
      </c>
      <c r="AZ155">
        <v>157</v>
      </c>
      <c r="BA155">
        <v>0</v>
      </c>
      <c r="BB155">
        <v>0</v>
      </c>
      <c r="BC155" s="3">
        <v>45135</v>
      </c>
      <c r="BD155" t="s">
        <v>183</v>
      </c>
      <c r="BE155">
        <v>332000</v>
      </c>
      <c r="BF155">
        <v>326776</v>
      </c>
      <c r="BG155" t="s">
        <v>294</v>
      </c>
      <c r="BH155">
        <v>30</v>
      </c>
      <c r="BI155" t="s">
        <v>65</v>
      </c>
      <c r="BJ155" t="s">
        <v>450</v>
      </c>
      <c r="BK155">
        <v>275600</v>
      </c>
      <c r="BL155">
        <v>58400</v>
      </c>
      <c r="BM155">
        <v>217200</v>
      </c>
      <c r="BN155">
        <v>5224</v>
      </c>
      <c r="BO155">
        <v>0.83012048192771082</v>
      </c>
      <c r="BP155">
        <v>273049.91855752806</v>
      </c>
      <c r="BQ155">
        <v>284127.55541835492</v>
      </c>
      <c r="BR155" s="12">
        <f>(Sales[[#This Row],[DP1]]*Lookups!$B$59)+(Sales[[#This Row],[DP2]]*Lookups!$B$60)+(Sales[[#This Row],[DP3]]*Lookups!$B$61)</f>
        <v>-11077.63686149</v>
      </c>
      <c r="BS155" s="12">
        <f>Lookups!$B$56*0</f>
        <v>0</v>
      </c>
      <c r="BT155" s="12">
        <f>Lookups!$B$56*1</f>
        <v>89850.625589999996</v>
      </c>
      <c r="BU155" s="12">
        <f>Lookups!$B$57*Sales[[#This Row],[LnAcres]]</f>
        <v>-50946.13867709865</v>
      </c>
      <c r="BV155" s="12">
        <f>VLOOKUP(Sales[[#This Row],[Qlty]],Lookups!$A$62:$E$75,2,FALSE)</f>
        <v>21557.329055999999</v>
      </c>
      <c r="BW155" s="12">
        <f>VLOOKUP(Sales[[#This Row],[Cnd]],Lookups!$A$76:$E$84,2,FALSE)</f>
        <v>160472.20319</v>
      </c>
      <c r="BX155" s="12">
        <f>Sales[[#This Row],[EffAge]]*Lookups!$B$85</f>
        <v>-11598.371226000001</v>
      </c>
      <c r="BY155" s="12">
        <f>Sales[[#This Row],[MainFn]]*Lookups!$B$86</f>
        <v>55831.796961010004</v>
      </c>
      <c r="BZ155" s="12">
        <f>Sales[[#This Row],[UpprFn]]*Lookups!$B$87</f>
        <v>0</v>
      </c>
      <c r="CA155" s="12">
        <f>Sales[[#This Row],[AddFn]]*Lookups!$B$88</f>
        <v>0</v>
      </c>
      <c r="CB155" s="12">
        <f>Sales[[#This Row],[Bsmt]]*Lookups!$B$89</f>
        <v>0</v>
      </c>
      <c r="CC155" s="12">
        <f>Sales[[#This Row],[Fixtures]]*Lookups!$B$90</f>
        <v>18960.110526</v>
      </c>
      <c r="CD155" s="12">
        <f>Sales[[#This Row],[WdDeck]]*Lookups!$B$91</f>
        <v>0</v>
      </c>
      <c r="CE155" s="12">
        <f>SUM(Sales[[#This Row],[Days Prior Total]:[Mdl WdDeck]])</f>
        <v>273049.91855842131</v>
      </c>
      <c r="CF155" s="12">
        <f>ROUND(Sales[[#This Row],[25Det]],-2)</f>
        <v>5200</v>
      </c>
      <c r="CG155" s="12">
        <f>ROUND(SUM(Sales[[#This Row],[Mdl Qlty]:[Mdl WdDeck]])+Sales[[#This Row],[Mdl Res Intercept]]+Sales[[#This Row],[Days Prior Total]],-2)</f>
        <v>234100</v>
      </c>
      <c r="CH155" s="12">
        <f>ROUND(Sales[[#This Row],[Mdl Land Intercept]]+Sales[[#This Row],[Mdl LnAcres]],-2)</f>
        <v>38900</v>
      </c>
      <c r="CI155" s="12">
        <f>Sales[[#This Row],[Unadj Res Value]]+Sales[[#This Row],[Unadj Det Value]]+Sales[[#This Row],[Unadj Land Value]]</f>
        <v>278200</v>
      </c>
      <c r="CJ155" s="13">
        <f>Sales[[#This Row],[Unadj Total Value]]/Sales[[#This Row],[Price]]</f>
        <v>0.83795180722891571</v>
      </c>
      <c r="CK155" s="13">
        <f>(Sales[[#This Row],[Unadj Total Value]]-Sales[[#This Row],[24Final]])/Sales[[#This Row],[24Final]]</f>
        <v>9.433962264150943E-3</v>
      </c>
      <c r="CL155">
        <f>VLOOKUP(Sales[[#This Row],[TNbhd]],Lookups!$Q$2:$T$4,4,FALSE)</f>
        <v>0.99970000000000003</v>
      </c>
      <c r="CM155">
        <f>VLOOKUP(Sales[[#This Row],[Qlty]],Lookups!$O$7:$R$21,4,FALSE)</f>
        <v>1.0067999999999999</v>
      </c>
      <c r="CN155">
        <f>VLOOKUP(Sales[[#This Row],[Cnd]],Lookups!$T$7:$W$16,4,FALSE)</f>
        <v>0.99729999999999996</v>
      </c>
      <c r="CO155">
        <f>VLOOKUP(Sales[[#This Row],[LivArea Range]],Lookups!$T$25:$W$37,4,FALSE)</f>
        <v>1.0157</v>
      </c>
      <c r="CP155">
        <f>VLOOKUP(Sales[[#This Row],[Decade]],Lookups!$O$25:$R$42,4,FALSE)</f>
        <v>0.98909999999999998</v>
      </c>
      <c r="CQ155">
        <f>Sales[[#This Row],[Nbhd Adj]]*0.95</f>
        <v>0.94971499999999998</v>
      </c>
      <c r="CR155">
        <f>Sales[[#This Row],[Nbhd Adj]]*Sales[[#This Row],[Quality Adj]]*Sales[[#This Row],[Condition Adj]]*Sales[[#This Row],[Living Area Adj]]*Sales[[#This Row],[Decade Adj]]*0.95</f>
        <v>0.95800544533193577</v>
      </c>
      <c r="CS155">
        <f>ROUND(SUM(Sales[[#This Row],[Mdl Qlty]:[Mdl WdDeck]])+Sales[[#This Row],[Mdl Res Intercept]]*Sales[[#This Row],[Res Adj ]],-2)</f>
        <v>245200</v>
      </c>
      <c r="CT155">
        <f>ROUND(Sales[[#This Row],[25Det]]*Sales[[#This Row],[Det/Nbhd Adj]],-2)</f>
        <v>5000</v>
      </c>
      <c r="CU155">
        <f>Sales[[#This Row],[Adjusted Res]]+Sales[[#This Row],[Adj Det ]]</f>
        <v>250200</v>
      </c>
      <c r="CV155">
        <f>ROUND((Sales[[#This Row],[Mdl Land Intercept]]+Sales[[#This Row],[Mdl LnAcres]])*Sales[[#This Row],[Det/Nbhd Adj]],-2)</f>
        <v>36900</v>
      </c>
      <c r="CW155">
        <f>Sales[[#This Row],[Adjusted Impr Total]]+Sales[[#This Row],[Adjusted Land Total]]</f>
        <v>287100</v>
      </c>
      <c r="CX155" s="15">
        <f>IFERROR((Sales[[#This Row],[Adjusted Impr Total]]-Sales[[#This Row],[24Bldg]])/Sales[[#This Row],[24Bldg]],0)</f>
        <v>0.15193370165745856</v>
      </c>
      <c r="CY155" s="15">
        <f>(Sales[[#This Row],[Adjusted Land Total]]-Sales[[#This Row],[24Lnd]])/Sales[[#This Row],[24Lnd]]</f>
        <v>-0.36815068493150682</v>
      </c>
      <c r="CZ155" s="15">
        <f>(Sales[[#This Row],[Adjusted Total]]-Sales[[#This Row],[24Final]])/Sales[[#This Row],[24Final]]</f>
        <v>4.1727140783744558E-2</v>
      </c>
      <c r="DA155" s="15">
        <f>(Sales[[#This Row],[Adjusted Total]]+Sales[[#This Row],[Days Prior Total]])/Sales[[#This Row],[Price]]</f>
        <v>0.83139266005575296</v>
      </c>
    </row>
    <row r="156" spans="1:105" x14ac:dyDescent="0.3">
      <c r="A156">
        <v>2025</v>
      </c>
      <c r="B156">
        <v>18132241405</v>
      </c>
      <c r="C156">
        <v>-1.5141277326297755</v>
      </c>
      <c r="D156">
        <v>0.22</v>
      </c>
      <c r="E156">
        <v>9723</v>
      </c>
      <c r="F156">
        <v>6</v>
      </c>
      <c r="G156" t="s">
        <v>126</v>
      </c>
      <c r="H156">
        <v>3033</v>
      </c>
      <c r="I156" t="s">
        <v>349</v>
      </c>
      <c r="J156" t="s">
        <v>30</v>
      </c>
      <c r="K156">
        <v>11</v>
      </c>
      <c r="L156">
        <v>259</v>
      </c>
      <c r="M156" t="s">
        <v>241</v>
      </c>
      <c r="N156" t="s">
        <v>95</v>
      </c>
      <c r="O156" t="s">
        <v>303</v>
      </c>
      <c r="P156">
        <v>90</v>
      </c>
      <c r="Q156">
        <v>1940</v>
      </c>
      <c r="R156">
        <v>1972</v>
      </c>
      <c r="S156">
        <v>84</v>
      </c>
      <c r="T156">
        <v>52</v>
      </c>
      <c r="U156">
        <v>1</v>
      </c>
      <c r="V156">
        <v>1530</v>
      </c>
      <c r="W156">
        <v>0</v>
      </c>
      <c r="X156">
        <v>0</v>
      </c>
      <c r="Y156">
        <v>1012</v>
      </c>
      <c r="Z156">
        <v>0</v>
      </c>
      <c r="AA156">
        <v>1012</v>
      </c>
      <c r="AB156">
        <v>2542</v>
      </c>
      <c r="AC156">
        <v>3000</v>
      </c>
      <c r="AD156">
        <v>0</v>
      </c>
      <c r="AF156" t="s">
        <v>383</v>
      </c>
      <c r="AG156" t="s">
        <v>148</v>
      </c>
      <c r="AH156" t="s">
        <v>450</v>
      </c>
      <c r="AI156">
        <v>0</v>
      </c>
      <c r="AJ156">
        <v>1</v>
      </c>
      <c r="AK156">
        <v>0</v>
      </c>
      <c r="AL156">
        <v>1</v>
      </c>
      <c r="AM156">
        <v>0</v>
      </c>
      <c r="AN156">
        <v>9</v>
      </c>
      <c r="AO156">
        <v>0</v>
      </c>
      <c r="AP156">
        <v>0</v>
      </c>
      <c r="AQ156">
        <v>0</v>
      </c>
      <c r="AR156">
        <v>0</v>
      </c>
      <c r="AS156">
        <v>373</v>
      </c>
      <c r="AT156">
        <v>277</v>
      </c>
      <c r="AU156">
        <v>100</v>
      </c>
      <c r="AV156">
        <v>100</v>
      </c>
      <c r="AW156">
        <v>476478</v>
      </c>
      <c r="AX156">
        <v>371653</v>
      </c>
      <c r="AY156">
        <v>991</v>
      </c>
      <c r="AZ156">
        <v>365</v>
      </c>
      <c r="BA156">
        <v>365</v>
      </c>
      <c r="BB156">
        <v>261</v>
      </c>
      <c r="BC156" s="3">
        <v>44301</v>
      </c>
      <c r="BD156" t="s">
        <v>199</v>
      </c>
      <c r="BE156">
        <v>445000</v>
      </c>
      <c r="BF156">
        <v>437693</v>
      </c>
      <c r="BG156" t="s">
        <v>294</v>
      </c>
      <c r="BH156">
        <v>30</v>
      </c>
      <c r="BI156" t="s">
        <v>65</v>
      </c>
      <c r="BJ156" t="s">
        <v>450</v>
      </c>
      <c r="BK156">
        <v>454800</v>
      </c>
      <c r="BL156">
        <v>61700</v>
      </c>
      <c r="BM156">
        <v>393100</v>
      </c>
      <c r="BN156">
        <v>7307</v>
      </c>
      <c r="BO156">
        <v>1.0220224719101123</v>
      </c>
      <c r="BP156">
        <v>385034.47037548485</v>
      </c>
      <c r="BQ156">
        <v>441498.22152925329</v>
      </c>
      <c r="BR156" s="12">
        <f>(Sales[[#This Row],[DP1]]*Lookups!$B$59)+(Sales[[#This Row],[DP2]]*Lookups!$B$60)+(Sales[[#This Row],[DP3]]*Lookups!$B$61)</f>
        <v>-56463.751161970002</v>
      </c>
      <c r="BS156" s="12">
        <f>Lookups!$B$56*0</f>
        <v>0</v>
      </c>
      <c r="BT156" s="12">
        <f>Lookups!$B$56*1</f>
        <v>89850.625589999996</v>
      </c>
      <c r="BU156" s="12">
        <f>Lookups!$B$57*Sales[[#This Row],[LnAcres]]</f>
        <v>-47929.131559187132</v>
      </c>
      <c r="BV156" s="12">
        <f>VLOOKUP(Sales[[#This Row],[Qlty]],Lookups!$A$62:$E$75,2,FALSE)</f>
        <v>74268.409664999999</v>
      </c>
      <c r="BW156" s="12">
        <f>VLOOKUP(Sales[[#This Row],[Cnd]],Lookups!$A$76:$E$84,2,FALSE)</f>
        <v>197752.34721000001</v>
      </c>
      <c r="BX156" s="12">
        <f>Sales[[#This Row],[EffAge]]*Lookups!$B$85</f>
        <v>-11598.371226000001</v>
      </c>
      <c r="BY156" s="12">
        <f>Sales[[#This Row],[MainFn]]*Lookups!$B$86</f>
        <v>75595.264911810009</v>
      </c>
      <c r="BZ156" s="12">
        <f>Sales[[#This Row],[UpprFn]]*Lookups!$B$87</f>
        <v>0</v>
      </c>
      <c r="CA156" s="12">
        <f>Sales[[#This Row],[AddFn]]*Lookups!$B$88</f>
        <v>0</v>
      </c>
      <c r="CB156" s="12">
        <f>Sales[[#This Row],[Bsmt]]*Lookups!$B$89</f>
        <v>29430.877989963999</v>
      </c>
      <c r="CC156" s="12">
        <f>Sales[[#This Row],[Fixtures]]*Lookups!$B$90</f>
        <v>34128.198946800003</v>
      </c>
      <c r="CD156" s="12">
        <f>Sales[[#This Row],[WdDeck]]*Lookups!$B$91</f>
        <v>0</v>
      </c>
      <c r="CE156" s="12">
        <f>SUM(Sales[[#This Row],[Days Prior Total]:[Mdl WdDeck]])</f>
        <v>385034.47036641691</v>
      </c>
      <c r="CF156" s="12">
        <f>ROUND(Sales[[#This Row],[25Det]],-2)</f>
        <v>7300</v>
      </c>
      <c r="CG156" s="12">
        <f>ROUND(SUM(Sales[[#This Row],[Mdl Qlty]:[Mdl WdDeck]])+Sales[[#This Row],[Mdl Res Intercept]]+Sales[[#This Row],[Days Prior Total]],-2)</f>
        <v>343100</v>
      </c>
      <c r="CH156" s="12">
        <f>ROUND(Sales[[#This Row],[Mdl Land Intercept]]+Sales[[#This Row],[Mdl LnAcres]],-2)</f>
        <v>41900</v>
      </c>
      <c r="CI156" s="12">
        <f>Sales[[#This Row],[Unadj Res Value]]+Sales[[#This Row],[Unadj Det Value]]+Sales[[#This Row],[Unadj Land Value]]</f>
        <v>392300</v>
      </c>
      <c r="CJ156" s="13">
        <f>Sales[[#This Row],[Unadj Total Value]]/Sales[[#This Row],[Price]]</f>
        <v>0.88157303370786522</v>
      </c>
      <c r="CK156" s="13">
        <f>(Sales[[#This Row],[Unadj Total Value]]-Sales[[#This Row],[24Final]])/Sales[[#This Row],[24Final]]</f>
        <v>-0.13742304309586631</v>
      </c>
      <c r="CL156">
        <f>VLOOKUP(Sales[[#This Row],[TNbhd]],Lookups!$Q$2:$T$4,4,FALSE)</f>
        <v>0.99970000000000003</v>
      </c>
      <c r="CM156">
        <f>VLOOKUP(Sales[[#This Row],[Qlty]],Lookups!$O$7:$R$21,4,FALSE)</f>
        <v>0.98380000000000001</v>
      </c>
      <c r="CN156">
        <f>VLOOKUP(Sales[[#This Row],[Cnd]],Lookups!$T$7:$W$16,4,FALSE)</f>
        <v>0.99650000000000005</v>
      </c>
      <c r="CO156">
        <f>VLOOKUP(Sales[[#This Row],[LivArea Range]],Lookups!$T$25:$W$37,4,FALSE)</f>
        <v>0.96179999999999999</v>
      </c>
      <c r="CP156">
        <f>VLOOKUP(Sales[[#This Row],[Decade]],Lookups!$O$25:$R$42,4,FALSE)</f>
        <v>0.98909999999999998</v>
      </c>
      <c r="CQ156">
        <f>Sales[[#This Row],[Nbhd Adj]]*0.95</f>
        <v>0.94971499999999998</v>
      </c>
      <c r="CR156">
        <f>Sales[[#This Row],[Nbhd Adj]]*Sales[[#This Row],[Quality Adj]]*Sales[[#This Row],[Condition Adj]]*Sales[[#This Row],[Living Area Adj]]*Sales[[#This Row],[Decade Adj]]*0.95</f>
        <v>0.88573211822982711</v>
      </c>
      <c r="CS156">
        <f>ROUND(SUM(Sales[[#This Row],[Mdl Qlty]:[Mdl WdDeck]])+Sales[[#This Row],[Mdl Res Intercept]]*Sales[[#This Row],[Res Adj ]],-2)</f>
        <v>399600</v>
      </c>
      <c r="CT156">
        <f>ROUND(Sales[[#This Row],[25Det]]*Sales[[#This Row],[Det/Nbhd Adj]],-2)</f>
        <v>6900</v>
      </c>
      <c r="CU156">
        <f>Sales[[#This Row],[Adjusted Res]]+Sales[[#This Row],[Adj Det ]]</f>
        <v>406500</v>
      </c>
      <c r="CV156">
        <f>ROUND((Sales[[#This Row],[Mdl Land Intercept]]+Sales[[#This Row],[Mdl LnAcres]])*Sales[[#This Row],[Det/Nbhd Adj]],-2)</f>
        <v>39800</v>
      </c>
      <c r="CW156">
        <f>Sales[[#This Row],[Adjusted Impr Total]]+Sales[[#This Row],[Adjusted Land Total]]</f>
        <v>446300</v>
      </c>
      <c r="CX156" s="15">
        <f>IFERROR((Sales[[#This Row],[Adjusted Impr Total]]-Sales[[#This Row],[24Bldg]])/Sales[[#This Row],[24Bldg]],0)</f>
        <v>3.4088018315950139E-2</v>
      </c>
      <c r="CY156" s="15">
        <f>(Sales[[#This Row],[Adjusted Land Total]]-Sales[[#This Row],[24Lnd]])/Sales[[#This Row],[24Lnd]]</f>
        <v>-0.35494327390599678</v>
      </c>
      <c r="CZ156" s="15">
        <f>(Sales[[#This Row],[Adjusted Total]]-Sales[[#This Row],[24Final]])/Sales[[#This Row],[24Final]]</f>
        <v>-1.8689533861037819E-2</v>
      </c>
      <c r="DA156" s="15">
        <f>(Sales[[#This Row],[Adjusted Total]]+Sales[[#This Row],[Days Prior Total]])/Sales[[#This Row],[Price]]</f>
        <v>0.87603651424276396</v>
      </c>
    </row>
    <row r="157" spans="1:105" x14ac:dyDescent="0.3">
      <c r="A157">
        <v>2025</v>
      </c>
      <c r="B157">
        <v>18132334476</v>
      </c>
      <c r="C157">
        <v>-1.7719568419318752</v>
      </c>
      <c r="D157">
        <v>0.17</v>
      </c>
      <c r="E157">
        <v>0</v>
      </c>
      <c r="F157">
        <v>6</v>
      </c>
      <c r="G157" t="s">
        <v>126</v>
      </c>
      <c r="H157">
        <v>3093</v>
      </c>
      <c r="I157" t="s">
        <v>349</v>
      </c>
      <c r="J157" t="s">
        <v>30</v>
      </c>
      <c r="K157">
        <v>11</v>
      </c>
      <c r="L157">
        <v>259</v>
      </c>
      <c r="M157" t="s">
        <v>242</v>
      </c>
      <c r="N157" t="s">
        <v>351</v>
      </c>
      <c r="O157" t="s">
        <v>303</v>
      </c>
      <c r="P157">
        <v>90</v>
      </c>
      <c r="Q157">
        <v>1940</v>
      </c>
      <c r="R157">
        <v>1972</v>
      </c>
      <c r="S157">
        <v>84</v>
      </c>
      <c r="T157">
        <v>52</v>
      </c>
      <c r="U157">
        <v>1</v>
      </c>
      <c r="V157">
        <v>992</v>
      </c>
      <c r="W157">
        <v>0</v>
      </c>
      <c r="X157">
        <v>0</v>
      </c>
      <c r="Y157">
        <v>992</v>
      </c>
      <c r="Z157">
        <v>0</v>
      </c>
      <c r="AA157">
        <v>992</v>
      </c>
      <c r="AB157">
        <v>1984</v>
      </c>
      <c r="AC157">
        <v>2000</v>
      </c>
      <c r="AD157">
        <v>0</v>
      </c>
      <c r="AF157" t="s">
        <v>383</v>
      </c>
      <c r="AG157" t="s">
        <v>148</v>
      </c>
      <c r="AH157" t="s">
        <v>450</v>
      </c>
      <c r="AI157">
        <v>0</v>
      </c>
      <c r="AJ157">
        <v>1</v>
      </c>
      <c r="AK157">
        <v>0</v>
      </c>
      <c r="AL157">
        <v>1</v>
      </c>
      <c r="AM157">
        <v>0</v>
      </c>
      <c r="AN157">
        <v>9</v>
      </c>
      <c r="AO157">
        <v>0</v>
      </c>
      <c r="AP157">
        <v>0</v>
      </c>
      <c r="AQ157">
        <v>0</v>
      </c>
      <c r="AR157">
        <v>108</v>
      </c>
      <c r="AS157">
        <v>453</v>
      </c>
      <c r="AT157">
        <v>108</v>
      </c>
      <c r="AU157">
        <v>100</v>
      </c>
      <c r="AV157">
        <v>100</v>
      </c>
      <c r="AW157">
        <v>241108</v>
      </c>
      <c r="AX157">
        <v>185653</v>
      </c>
      <c r="AY157">
        <v>763</v>
      </c>
      <c r="AZ157">
        <v>365</v>
      </c>
      <c r="BA157">
        <v>365</v>
      </c>
      <c r="BB157">
        <v>33</v>
      </c>
      <c r="BC157" s="3">
        <v>44529</v>
      </c>
      <c r="BD157" t="s">
        <v>310</v>
      </c>
      <c r="BE157">
        <v>380000</v>
      </c>
      <c r="BF157">
        <v>374579</v>
      </c>
      <c r="BG157" t="s">
        <v>294</v>
      </c>
      <c r="BH157">
        <v>30</v>
      </c>
      <c r="BI157" t="s">
        <v>65</v>
      </c>
      <c r="BJ157" t="s">
        <v>450</v>
      </c>
      <c r="BK157">
        <v>342400</v>
      </c>
      <c r="BL157">
        <v>52700</v>
      </c>
      <c r="BM157">
        <v>289700</v>
      </c>
      <c r="BN157">
        <v>5421</v>
      </c>
      <c r="BO157">
        <v>0.90105263157894733</v>
      </c>
      <c r="BP157">
        <v>331082.87227152748</v>
      </c>
      <c r="BQ157">
        <v>357058.07288983226</v>
      </c>
      <c r="BR157" s="12">
        <f>(Sales[[#This Row],[DP1]]*Lookups!$B$59)+(Sales[[#This Row],[DP2]]*Lookups!$B$60)+(Sales[[#This Row],[DP3]]*Lookups!$B$61)</f>
        <v>-25975.200620770003</v>
      </c>
      <c r="BS157" s="12">
        <f>Lookups!$B$56*0</f>
        <v>0</v>
      </c>
      <c r="BT157" s="12">
        <f>Lookups!$B$56*1</f>
        <v>89850.625589999996</v>
      </c>
      <c r="BU157" s="12">
        <f>Lookups!$B$57*Sales[[#This Row],[LnAcres]]</f>
        <v>-56090.612940989391</v>
      </c>
      <c r="BV157" s="12">
        <f>VLOOKUP(Sales[[#This Row],[Qlty]],Lookups!$A$62:$E$75,2,FALSE)</f>
        <v>21557.329055999999</v>
      </c>
      <c r="BW157" s="12">
        <f>VLOOKUP(Sales[[#This Row],[Cnd]],Lookups!$A$76:$E$84,2,FALSE)</f>
        <v>197752.34721000001</v>
      </c>
      <c r="BX157" s="12">
        <f>Sales[[#This Row],[EffAge]]*Lookups!$B$85</f>
        <v>-11598.371226000001</v>
      </c>
      <c r="BY157" s="12">
        <f>Sales[[#This Row],[MainFn]]*Lookups!$B$86</f>
        <v>49013.400517984002</v>
      </c>
      <c r="BZ157" s="12">
        <f>Sales[[#This Row],[UpprFn]]*Lookups!$B$87</f>
        <v>0</v>
      </c>
      <c r="CA157" s="12">
        <f>Sales[[#This Row],[AddFn]]*Lookups!$B$88</f>
        <v>0</v>
      </c>
      <c r="CB157" s="12">
        <f>Sales[[#This Row],[Bsmt]]*Lookups!$B$89</f>
        <v>28849.240085023997</v>
      </c>
      <c r="CC157" s="12">
        <f>Sales[[#This Row],[Fixtures]]*Lookups!$B$90</f>
        <v>34128.198946800003</v>
      </c>
      <c r="CD157" s="12">
        <f>Sales[[#This Row],[WdDeck]]*Lookups!$B$91</f>
        <v>3595.9156498080001</v>
      </c>
      <c r="CE157" s="12">
        <f>SUM(Sales[[#This Row],[Days Prior Total]:[Mdl WdDeck]])</f>
        <v>331082.87226785661</v>
      </c>
      <c r="CF157" s="12">
        <f>ROUND(Sales[[#This Row],[25Det]],-2)</f>
        <v>5400</v>
      </c>
      <c r="CG157" s="12">
        <f>ROUND(SUM(Sales[[#This Row],[Mdl Qlty]:[Mdl WdDeck]])+Sales[[#This Row],[Mdl Res Intercept]]+Sales[[#This Row],[Days Prior Total]],-2)</f>
        <v>297300</v>
      </c>
      <c r="CH157" s="12">
        <f>ROUND(Sales[[#This Row],[Mdl Land Intercept]]+Sales[[#This Row],[Mdl LnAcres]],-2)</f>
        <v>33800</v>
      </c>
      <c r="CI157" s="12">
        <f>Sales[[#This Row],[Unadj Res Value]]+Sales[[#This Row],[Unadj Det Value]]+Sales[[#This Row],[Unadj Land Value]]</f>
        <v>336500</v>
      </c>
      <c r="CJ157" s="13">
        <f>Sales[[#This Row],[Unadj Total Value]]/Sales[[#This Row],[Price]]</f>
        <v>0.88552631578947372</v>
      </c>
      <c r="CK157" s="13">
        <f>(Sales[[#This Row],[Unadj Total Value]]-Sales[[#This Row],[24Final]])/Sales[[#This Row],[24Final]]</f>
        <v>-1.7231308411214952E-2</v>
      </c>
      <c r="CL157">
        <f>VLOOKUP(Sales[[#This Row],[TNbhd]],Lookups!$Q$2:$T$4,4,FALSE)</f>
        <v>0.99970000000000003</v>
      </c>
      <c r="CM157">
        <f>VLOOKUP(Sales[[#This Row],[Qlty]],Lookups!$O$7:$R$21,4,FALSE)</f>
        <v>1.0067999999999999</v>
      </c>
      <c r="CN157">
        <f>VLOOKUP(Sales[[#This Row],[Cnd]],Lookups!$T$7:$W$16,4,FALSE)</f>
        <v>0.99650000000000005</v>
      </c>
      <c r="CO157">
        <f>VLOOKUP(Sales[[#This Row],[LivArea Range]],Lookups!$T$25:$W$37,4,FALSE)</f>
        <v>1.0093000000000001</v>
      </c>
      <c r="CP157">
        <f>VLOOKUP(Sales[[#This Row],[Decade]],Lookups!$O$25:$R$42,4,FALSE)</f>
        <v>0.98909999999999998</v>
      </c>
      <c r="CQ157">
        <f>Sales[[#This Row],[Nbhd Adj]]*0.95</f>
        <v>0.94971499999999998</v>
      </c>
      <c r="CR157">
        <f>Sales[[#This Row],[Nbhd Adj]]*Sales[[#This Row],[Quality Adj]]*Sales[[#This Row],[Condition Adj]]*Sales[[#This Row],[Living Area Adj]]*Sales[[#This Row],[Decade Adj]]*0.95</f>
        <v>0.95120534593507355</v>
      </c>
      <c r="CS157">
        <f>ROUND(SUM(Sales[[#This Row],[Mdl Qlty]:[Mdl WdDeck]])+Sales[[#This Row],[Mdl Res Intercept]]*Sales[[#This Row],[Res Adj ]],-2)</f>
        <v>323300</v>
      </c>
      <c r="CT157">
        <f>ROUND(Sales[[#This Row],[25Det]]*Sales[[#This Row],[Det/Nbhd Adj]],-2)</f>
        <v>5100</v>
      </c>
      <c r="CU157">
        <f>Sales[[#This Row],[Adjusted Res]]+Sales[[#This Row],[Adj Det ]]</f>
        <v>328400</v>
      </c>
      <c r="CV157">
        <f>ROUND((Sales[[#This Row],[Mdl Land Intercept]]+Sales[[#This Row],[Mdl LnAcres]])*Sales[[#This Row],[Det/Nbhd Adj]],-2)</f>
        <v>32100</v>
      </c>
      <c r="CW157">
        <f>Sales[[#This Row],[Adjusted Impr Total]]+Sales[[#This Row],[Adjusted Land Total]]</f>
        <v>360500</v>
      </c>
      <c r="CX157" s="15">
        <f>IFERROR((Sales[[#This Row],[Adjusted Impr Total]]-Sales[[#This Row],[24Bldg]])/Sales[[#This Row],[24Bldg]],0)</f>
        <v>0.13358646876078703</v>
      </c>
      <c r="CY157" s="15">
        <f>(Sales[[#This Row],[Adjusted Land Total]]-Sales[[#This Row],[24Lnd]])/Sales[[#This Row],[24Lnd]]</f>
        <v>-0.39089184060721061</v>
      </c>
      <c r="CZ157" s="15">
        <f>(Sales[[#This Row],[Adjusted Total]]-Sales[[#This Row],[24Final]])/Sales[[#This Row],[24Final]]</f>
        <v>5.2862149532710283E-2</v>
      </c>
      <c r="DA157" s="15">
        <f>(Sales[[#This Row],[Adjusted Total]]+Sales[[#This Row],[Days Prior Total]])/Sales[[#This Row],[Price]]</f>
        <v>0.8803284194190264</v>
      </c>
    </row>
    <row r="158" spans="1:105" x14ac:dyDescent="0.3">
      <c r="A158">
        <v>2025</v>
      </c>
      <c r="B158">
        <v>18132214445</v>
      </c>
      <c r="C158">
        <v>-1.6094379124341003</v>
      </c>
      <c r="D158">
        <v>0.2</v>
      </c>
      <c r="E158">
        <v>8781</v>
      </c>
      <c r="F158">
        <v>6</v>
      </c>
      <c r="G158" t="s">
        <v>126</v>
      </c>
      <c r="H158">
        <v>3033</v>
      </c>
      <c r="I158" t="s">
        <v>349</v>
      </c>
      <c r="J158" t="s">
        <v>30</v>
      </c>
      <c r="K158">
        <v>11</v>
      </c>
      <c r="L158">
        <v>259</v>
      </c>
      <c r="M158" t="s">
        <v>242</v>
      </c>
      <c r="N158" t="s">
        <v>351</v>
      </c>
      <c r="O158" t="s">
        <v>323</v>
      </c>
      <c r="P158">
        <v>90</v>
      </c>
      <c r="Q158">
        <v>1940</v>
      </c>
      <c r="R158">
        <v>1972</v>
      </c>
      <c r="S158">
        <v>84</v>
      </c>
      <c r="T158">
        <v>52</v>
      </c>
      <c r="U158">
        <v>1</v>
      </c>
      <c r="V158">
        <v>1130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1130</v>
      </c>
      <c r="AC158">
        <v>1500</v>
      </c>
      <c r="AD158">
        <v>0</v>
      </c>
      <c r="AF158" t="s">
        <v>383</v>
      </c>
      <c r="AG158" t="s">
        <v>175</v>
      </c>
      <c r="AI158">
        <v>0</v>
      </c>
      <c r="AJ158">
        <v>1</v>
      </c>
      <c r="AK158">
        <v>0</v>
      </c>
      <c r="AL158">
        <v>0</v>
      </c>
      <c r="AM158">
        <v>0</v>
      </c>
      <c r="AN158">
        <v>5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100</v>
      </c>
      <c r="AV158">
        <v>100</v>
      </c>
      <c r="AW158">
        <v>167591</v>
      </c>
      <c r="AX158">
        <v>115638</v>
      </c>
      <c r="AY158">
        <v>972</v>
      </c>
      <c r="AZ158">
        <v>365</v>
      </c>
      <c r="BA158">
        <v>365</v>
      </c>
      <c r="BB158">
        <v>242</v>
      </c>
      <c r="BC158" s="3">
        <v>44320</v>
      </c>
      <c r="BD158" t="s">
        <v>70</v>
      </c>
      <c r="BE158">
        <v>260000</v>
      </c>
      <c r="BF158">
        <v>254776</v>
      </c>
      <c r="BG158" t="s">
        <v>294</v>
      </c>
      <c r="BH158">
        <v>30</v>
      </c>
      <c r="BI158" t="s">
        <v>65</v>
      </c>
      <c r="BJ158" t="s">
        <v>450</v>
      </c>
      <c r="BK158">
        <v>275600</v>
      </c>
      <c r="BL158">
        <v>58400</v>
      </c>
      <c r="BM158">
        <v>217200</v>
      </c>
      <c r="BN158">
        <v>5224</v>
      </c>
      <c r="BO158">
        <v>1.06</v>
      </c>
      <c r="BP158">
        <v>230204.51680920838</v>
      </c>
      <c r="BQ158">
        <v>284127.55541835492</v>
      </c>
      <c r="BR158" s="12">
        <f>(Sales[[#This Row],[DP1]]*Lookups!$B$59)+(Sales[[#This Row],[DP2]]*Lookups!$B$60)+(Sales[[#This Row],[DP3]]*Lookups!$B$61)</f>
        <v>-53923.038616870006</v>
      </c>
      <c r="BS158" s="12">
        <f>Lookups!$B$56*0</f>
        <v>0</v>
      </c>
      <c r="BT158" s="12">
        <f>Lookups!$B$56*1</f>
        <v>89850.625589999996</v>
      </c>
      <c r="BU158" s="12">
        <f>Lookups!$B$57*Sales[[#This Row],[LnAcres]]</f>
        <v>-50946.13867709865</v>
      </c>
      <c r="BV158" s="12">
        <f>VLOOKUP(Sales[[#This Row],[Qlty]],Lookups!$A$62:$E$75,2,FALSE)</f>
        <v>21557.329055999999</v>
      </c>
      <c r="BW158" s="12">
        <f>VLOOKUP(Sales[[#This Row],[Cnd]],Lookups!$A$76:$E$84,2,FALSE)</f>
        <v>160472.20319</v>
      </c>
      <c r="BX158" s="12">
        <f>Sales[[#This Row],[EffAge]]*Lookups!$B$85</f>
        <v>-11598.371226000001</v>
      </c>
      <c r="BY158" s="12">
        <f>Sales[[#This Row],[MainFn]]*Lookups!$B$86</f>
        <v>55831.796961010004</v>
      </c>
      <c r="BZ158" s="12">
        <f>Sales[[#This Row],[UpprFn]]*Lookups!$B$87</f>
        <v>0</v>
      </c>
      <c r="CA158" s="12">
        <f>Sales[[#This Row],[AddFn]]*Lookups!$B$88</f>
        <v>0</v>
      </c>
      <c r="CB158" s="12">
        <f>Sales[[#This Row],[Bsmt]]*Lookups!$B$89</f>
        <v>0</v>
      </c>
      <c r="CC158" s="12">
        <f>Sales[[#This Row],[Fixtures]]*Lookups!$B$90</f>
        <v>18960.110526</v>
      </c>
      <c r="CD158" s="12">
        <f>Sales[[#This Row],[WdDeck]]*Lookups!$B$91</f>
        <v>0</v>
      </c>
      <c r="CE158" s="12">
        <f>SUM(Sales[[#This Row],[Days Prior Total]:[Mdl WdDeck]])</f>
        <v>230204.51680304136</v>
      </c>
      <c r="CF158" s="12">
        <f>ROUND(Sales[[#This Row],[25Det]],-2)</f>
        <v>5200</v>
      </c>
      <c r="CG158" s="12">
        <f>ROUND(SUM(Sales[[#This Row],[Mdl Qlty]:[Mdl WdDeck]])+Sales[[#This Row],[Mdl Res Intercept]]+Sales[[#This Row],[Days Prior Total]],-2)</f>
        <v>191300</v>
      </c>
      <c r="CH158" s="12">
        <f>ROUND(Sales[[#This Row],[Mdl Land Intercept]]+Sales[[#This Row],[Mdl LnAcres]],-2)</f>
        <v>38900</v>
      </c>
      <c r="CI158" s="12">
        <f>Sales[[#This Row],[Unadj Res Value]]+Sales[[#This Row],[Unadj Det Value]]+Sales[[#This Row],[Unadj Land Value]]</f>
        <v>235400</v>
      </c>
      <c r="CJ158" s="13">
        <f>Sales[[#This Row],[Unadj Total Value]]/Sales[[#This Row],[Price]]</f>
        <v>0.90538461538461534</v>
      </c>
      <c r="CK158" s="13">
        <f>(Sales[[#This Row],[Unadj Total Value]]-Sales[[#This Row],[24Final]])/Sales[[#This Row],[24Final]]</f>
        <v>-0.14586357039187228</v>
      </c>
      <c r="CL158">
        <f>VLOOKUP(Sales[[#This Row],[TNbhd]],Lookups!$Q$2:$T$4,4,FALSE)</f>
        <v>0.99970000000000003</v>
      </c>
      <c r="CM158">
        <f>VLOOKUP(Sales[[#This Row],[Qlty]],Lookups!$O$7:$R$21,4,FALSE)</f>
        <v>1.0067999999999999</v>
      </c>
      <c r="CN158">
        <f>VLOOKUP(Sales[[#This Row],[Cnd]],Lookups!$T$7:$W$16,4,FALSE)</f>
        <v>0.99729999999999996</v>
      </c>
      <c r="CO158">
        <f>VLOOKUP(Sales[[#This Row],[LivArea Range]],Lookups!$T$25:$W$37,4,FALSE)</f>
        <v>1.0157</v>
      </c>
      <c r="CP158">
        <f>VLOOKUP(Sales[[#This Row],[Decade]],Lookups!$O$25:$R$42,4,FALSE)</f>
        <v>0.98909999999999998</v>
      </c>
      <c r="CQ158">
        <f>Sales[[#This Row],[Nbhd Adj]]*0.95</f>
        <v>0.94971499999999998</v>
      </c>
      <c r="CR158">
        <f>Sales[[#This Row],[Nbhd Adj]]*Sales[[#This Row],[Quality Adj]]*Sales[[#This Row],[Condition Adj]]*Sales[[#This Row],[Living Area Adj]]*Sales[[#This Row],[Decade Adj]]*0.95</f>
        <v>0.95800544533193577</v>
      </c>
      <c r="CS158">
        <f>ROUND(SUM(Sales[[#This Row],[Mdl Qlty]:[Mdl WdDeck]])+Sales[[#This Row],[Mdl Res Intercept]]*Sales[[#This Row],[Res Adj ]],-2)</f>
        <v>245200</v>
      </c>
      <c r="CT158">
        <f>ROUND(Sales[[#This Row],[25Det]]*Sales[[#This Row],[Det/Nbhd Adj]],-2)</f>
        <v>5000</v>
      </c>
      <c r="CU158">
        <f>Sales[[#This Row],[Adjusted Res]]+Sales[[#This Row],[Adj Det ]]</f>
        <v>250200</v>
      </c>
      <c r="CV158">
        <f>ROUND((Sales[[#This Row],[Mdl Land Intercept]]+Sales[[#This Row],[Mdl LnAcres]])*Sales[[#This Row],[Det/Nbhd Adj]],-2)</f>
        <v>36900</v>
      </c>
      <c r="CW158">
        <f>Sales[[#This Row],[Adjusted Impr Total]]+Sales[[#This Row],[Adjusted Land Total]]</f>
        <v>287100</v>
      </c>
      <c r="CX158" s="15">
        <f>IFERROR((Sales[[#This Row],[Adjusted Impr Total]]-Sales[[#This Row],[24Bldg]])/Sales[[#This Row],[24Bldg]],0)</f>
        <v>0.15193370165745856</v>
      </c>
      <c r="CY158" s="15">
        <f>(Sales[[#This Row],[Adjusted Land Total]]-Sales[[#This Row],[24Lnd]])/Sales[[#This Row],[24Lnd]]</f>
        <v>-0.36815068493150682</v>
      </c>
      <c r="CZ158" s="15">
        <f>(Sales[[#This Row],[Adjusted Total]]-Sales[[#This Row],[24Final]])/Sales[[#This Row],[24Final]]</f>
        <v>4.1727140783744558E-2</v>
      </c>
      <c r="DA158" s="15">
        <f>(Sales[[#This Row],[Adjusted Total]]+Sales[[#This Row],[Days Prior Total]])/Sales[[#This Row],[Price]]</f>
        <v>0.89683446685819224</v>
      </c>
    </row>
    <row r="159" spans="1:105" x14ac:dyDescent="0.3">
      <c r="A159">
        <v>2025</v>
      </c>
      <c r="B159">
        <v>18132241411</v>
      </c>
      <c r="C159">
        <v>-2.120263536200091</v>
      </c>
      <c r="D159">
        <v>0.12</v>
      </c>
      <c r="E159">
        <v>5444</v>
      </c>
      <c r="F159">
        <v>6</v>
      </c>
      <c r="G159" t="s">
        <v>126</v>
      </c>
      <c r="H159">
        <v>3093</v>
      </c>
      <c r="I159" t="s">
        <v>349</v>
      </c>
      <c r="J159" t="s">
        <v>30</v>
      </c>
      <c r="K159">
        <v>11</v>
      </c>
      <c r="L159">
        <v>259</v>
      </c>
      <c r="M159" t="s">
        <v>269</v>
      </c>
      <c r="N159" t="s">
        <v>351</v>
      </c>
      <c r="O159" t="s">
        <v>323</v>
      </c>
      <c r="P159">
        <v>90</v>
      </c>
      <c r="Q159">
        <v>1940</v>
      </c>
      <c r="R159">
        <v>1972</v>
      </c>
      <c r="S159">
        <v>84</v>
      </c>
      <c r="T159">
        <v>52</v>
      </c>
      <c r="U159">
        <v>1</v>
      </c>
      <c r="V159">
        <v>968</v>
      </c>
      <c r="W159">
        <v>0</v>
      </c>
      <c r="X159">
        <v>0</v>
      </c>
      <c r="Y159">
        <v>984</v>
      </c>
      <c r="Z159">
        <v>734</v>
      </c>
      <c r="AA159">
        <v>250</v>
      </c>
      <c r="AB159">
        <v>1218</v>
      </c>
      <c r="AC159">
        <v>1500</v>
      </c>
      <c r="AD159">
        <v>0</v>
      </c>
      <c r="AF159" t="s">
        <v>383</v>
      </c>
      <c r="AG159" t="s">
        <v>148</v>
      </c>
      <c r="AH159" t="s">
        <v>450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5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100</v>
      </c>
      <c r="AV159">
        <v>100</v>
      </c>
      <c r="AW159">
        <v>190787</v>
      </c>
      <c r="AX159">
        <v>131643</v>
      </c>
      <c r="AY159">
        <v>571</v>
      </c>
      <c r="AZ159">
        <v>365</v>
      </c>
      <c r="BA159">
        <v>206</v>
      </c>
      <c r="BB159">
        <v>0</v>
      </c>
      <c r="BC159" s="3">
        <v>44721</v>
      </c>
      <c r="BD159" t="s">
        <v>217</v>
      </c>
      <c r="BE159">
        <v>295000</v>
      </c>
      <c r="BF159">
        <v>286934</v>
      </c>
      <c r="BG159" t="s">
        <v>294</v>
      </c>
      <c r="BH159">
        <v>30</v>
      </c>
      <c r="BI159" t="s">
        <v>65</v>
      </c>
      <c r="BJ159" t="s">
        <v>450</v>
      </c>
      <c r="BK159">
        <v>272400</v>
      </c>
      <c r="BL159">
        <v>40600</v>
      </c>
      <c r="BM159">
        <v>231800</v>
      </c>
      <c r="BN159">
        <v>8066</v>
      </c>
      <c r="BO159">
        <v>0.92338983050847456</v>
      </c>
      <c r="BP159">
        <v>265181.73860474885</v>
      </c>
      <c r="BQ159">
        <v>288569.94699089258</v>
      </c>
      <c r="BR159" s="12">
        <f>(Sales[[#This Row],[DP1]]*Lookups!$B$59)+(Sales[[#This Row],[DP2]]*Lookups!$B$60)+(Sales[[#This Row],[DP3]]*Lookups!$B$61)</f>
        <v>-23388.208387737999</v>
      </c>
      <c r="BS159" s="12">
        <f>Lookups!$B$56*0</f>
        <v>0</v>
      </c>
      <c r="BT159" s="12">
        <f>Lookups!$B$56*1</f>
        <v>89850.625589999996</v>
      </c>
      <c r="BU159" s="12">
        <f>Lookups!$B$57*Sales[[#This Row],[LnAcres]]</f>
        <v>-67116.12750806773</v>
      </c>
      <c r="BV159" s="12">
        <f>VLOOKUP(Sales[[#This Row],[Qlty]],Lookups!$A$62:$E$75,2,FALSE)</f>
        <v>21557.329055999999</v>
      </c>
      <c r="BW159" s="12">
        <f>VLOOKUP(Sales[[#This Row],[Cnd]],Lookups!$A$76:$E$84,2,FALSE)</f>
        <v>160472.20319</v>
      </c>
      <c r="BX159" s="12">
        <f>Sales[[#This Row],[EffAge]]*Lookups!$B$85</f>
        <v>-11598.371226000001</v>
      </c>
      <c r="BY159" s="12">
        <f>Sales[[#This Row],[MainFn]]*Lookups!$B$86</f>
        <v>47827.592440936001</v>
      </c>
      <c r="BZ159" s="12">
        <f>Sales[[#This Row],[UpprFn]]*Lookups!$B$87</f>
        <v>0</v>
      </c>
      <c r="CA159" s="12">
        <f>Sales[[#This Row],[AddFn]]*Lookups!$B$88</f>
        <v>0</v>
      </c>
      <c r="CB159" s="12">
        <f>Sales[[#This Row],[Bsmt]]*Lookups!$B$89</f>
        <v>28616.584923047998</v>
      </c>
      <c r="CC159" s="12">
        <f>Sales[[#This Row],[Fixtures]]*Lookups!$B$90</f>
        <v>18960.110526</v>
      </c>
      <c r="CD159" s="12">
        <f>Sales[[#This Row],[WdDeck]]*Lookups!$B$91</f>
        <v>0</v>
      </c>
      <c r="CE159" s="12">
        <f>SUM(Sales[[#This Row],[Days Prior Total]:[Mdl WdDeck]])</f>
        <v>265181.7386041783</v>
      </c>
      <c r="CF159" s="12">
        <f>ROUND(Sales[[#This Row],[25Det]],-2)</f>
        <v>8100</v>
      </c>
      <c r="CG159" s="12">
        <f>ROUND(SUM(Sales[[#This Row],[Mdl Qlty]:[Mdl WdDeck]])+Sales[[#This Row],[Mdl Res Intercept]]+Sales[[#This Row],[Days Prior Total]],-2)</f>
        <v>242400</v>
      </c>
      <c r="CH159" s="12">
        <f>ROUND(Sales[[#This Row],[Mdl Land Intercept]]+Sales[[#This Row],[Mdl LnAcres]],-2)</f>
        <v>22700</v>
      </c>
      <c r="CI159" s="12">
        <f>Sales[[#This Row],[Unadj Res Value]]+Sales[[#This Row],[Unadj Det Value]]+Sales[[#This Row],[Unadj Land Value]]</f>
        <v>273200</v>
      </c>
      <c r="CJ159" s="13">
        <f>Sales[[#This Row],[Unadj Total Value]]/Sales[[#This Row],[Price]]</f>
        <v>0.92610169491525429</v>
      </c>
      <c r="CK159" s="13">
        <f>(Sales[[#This Row],[Unadj Total Value]]-Sales[[#This Row],[24Final]])/Sales[[#This Row],[24Final]]</f>
        <v>2.936857562408223E-3</v>
      </c>
      <c r="CL159">
        <f>VLOOKUP(Sales[[#This Row],[TNbhd]],Lookups!$Q$2:$T$4,4,FALSE)</f>
        <v>0.99970000000000003</v>
      </c>
      <c r="CM159">
        <f>VLOOKUP(Sales[[#This Row],[Qlty]],Lookups!$O$7:$R$21,4,FALSE)</f>
        <v>1.0067999999999999</v>
      </c>
      <c r="CN159">
        <f>VLOOKUP(Sales[[#This Row],[Cnd]],Lookups!$T$7:$W$16,4,FALSE)</f>
        <v>0.99729999999999996</v>
      </c>
      <c r="CO159">
        <f>VLOOKUP(Sales[[#This Row],[LivArea Range]],Lookups!$T$25:$W$37,4,FALSE)</f>
        <v>1.0157</v>
      </c>
      <c r="CP159">
        <f>VLOOKUP(Sales[[#This Row],[Decade]],Lookups!$O$25:$R$42,4,FALSE)</f>
        <v>0.98909999999999998</v>
      </c>
      <c r="CQ159">
        <f>Sales[[#This Row],[Nbhd Adj]]*0.95</f>
        <v>0.94971499999999998</v>
      </c>
      <c r="CR159">
        <f>Sales[[#This Row],[Nbhd Adj]]*Sales[[#This Row],[Quality Adj]]*Sales[[#This Row],[Condition Adj]]*Sales[[#This Row],[Living Area Adj]]*Sales[[#This Row],[Decade Adj]]*0.95</f>
        <v>0.95800544533193577</v>
      </c>
      <c r="CS159">
        <f>ROUND(SUM(Sales[[#This Row],[Mdl Qlty]:[Mdl WdDeck]])+Sales[[#This Row],[Mdl Res Intercept]]*Sales[[#This Row],[Res Adj ]],-2)</f>
        <v>265800</v>
      </c>
      <c r="CT159">
        <f>ROUND(Sales[[#This Row],[25Det]]*Sales[[#This Row],[Det/Nbhd Adj]],-2)</f>
        <v>7700</v>
      </c>
      <c r="CU159">
        <f>Sales[[#This Row],[Adjusted Res]]+Sales[[#This Row],[Adj Det ]]</f>
        <v>273500</v>
      </c>
      <c r="CV159">
        <f>ROUND((Sales[[#This Row],[Mdl Land Intercept]]+Sales[[#This Row],[Mdl LnAcres]])*Sales[[#This Row],[Det/Nbhd Adj]],-2)</f>
        <v>21600</v>
      </c>
      <c r="CW159">
        <f>Sales[[#This Row],[Adjusted Impr Total]]+Sales[[#This Row],[Adjusted Land Total]]</f>
        <v>295100</v>
      </c>
      <c r="CX159" s="15">
        <f>IFERROR((Sales[[#This Row],[Adjusted Impr Total]]-Sales[[#This Row],[24Bldg]])/Sales[[#This Row],[24Bldg]],0)</f>
        <v>0.17989646246764451</v>
      </c>
      <c r="CY159" s="15">
        <f>(Sales[[#This Row],[Adjusted Land Total]]-Sales[[#This Row],[24Lnd]])/Sales[[#This Row],[24Lnd]]</f>
        <v>-0.46798029556650245</v>
      </c>
      <c r="CZ159" s="15">
        <f>(Sales[[#This Row],[Adjusted Total]]-Sales[[#This Row],[24Final]])/Sales[[#This Row],[24Final]]</f>
        <v>8.3333333333333329E-2</v>
      </c>
      <c r="DA159" s="15">
        <f>(Sales[[#This Row],[Adjusted Total]]+Sales[[#This Row],[Days Prior Total]])/Sales[[#This Row],[Price]]</f>
        <v>0.92105692071953227</v>
      </c>
    </row>
    <row r="160" spans="1:105" x14ac:dyDescent="0.3">
      <c r="A160">
        <v>2025</v>
      </c>
      <c r="B160">
        <v>18132334408</v>
      </c>
      <c r="C160">
        <v>-1.8971199848858813</v>
      </c>
      <c r="D160">
        <v>0.15</v>
      </c>
      <c r="E160">
        <v>0</v>
      </c>
      <c r="F160">
        <v>6</v>
      </c>
      <c r="G160" t="s">
        <v>126</v>
      </c>
      <c r="H160">
        <v>3093</v>
      </c>
      <c r="I160" t="s">
        <v>349</v>
      </c>
      <c r="J160" t="s">
        <v>30</v>
      </c>
      <c r="K160">
        <v>11</v>
      </c>
      <c r="L160">
        <v>259</v>
      </c>
      <c r="M160" t="s">
        <v>173</v>
      </c>
      <c r="N160" t="s">
        <v>302</v>
      </c>
      <c r="O160" t="s">
        <v>303</v>
      </c>
      <c r="P160">
        <v>90</v>
      </c>
      <c r="Q160">
        <v>1940</v>
      </c>
      <c r="R160">
        <v>1972</v>
      </c>
      <c r="S160">
        <v>84</v>
      </c>
      <c r="T160">
        <v>52</v>
      </c>
      <c r="U160">
        <v>1</v>
      </c>
      <c r="V160">
        <v>1091</v>
      </c>
      <c r="W160">
        <v>0</v>
      </c>
      <c r="X160">
        <v>264</v>
      </c>
      <c r="Y160">
        <v>1125</v>
      </c>
      <c r="Z160">
        <v>0</v>
      </c>
      <c r="AA160">
        <v>1125</v>
      </c>
      <c r="AB160">
        <v>2480</v>
      </c>
      <c r="AC160">
        <v>2500</v>
      </c>
      <c r="AD160">
        <v>1</v>
      </c>
      <c r="AF160" t="s">
        <v>383</v>
      </c>
      <c r="AG160" t="s">
        <v>148</v>
      </c>
      <c r="AH160" t="s">
        <v>450</v>
      </c>
      <c r="AI160">
        <v>0</v>
      </c>
      <c r="AJ160">
        <v>1</v>
      </c>
      <c r="AK160">
        <v>1</v>
      </c>
      <c r="AL160">
        <v>0</v>
      </c>
      <c r="AM160">
        <v>1</v>
      </c>
      <c r="AN160">
        <v>14</v>
      </c>
      <c r="AO160">
        <v>264</v>
      </c>
      <c r="AP160">
        <v>0</v>
      </c>
      <c r="AQ160">
        <v>0</v>
      </c>
      <c r="AR160">
        <v>0</v>
      </c>
      <c r="AS160">
        <v>99</v>
      </c>
      <c r="AT160">
        <v>0</v>
      </c>
      <c r="AU160">
        <v>100</v>
      </c>
      <c r="AV160">
        <v>100</v>
      </c>
      <c r="AW160">
        <v>349652</v>
      </c>
      <c r="AX160">
        <v>269232</v>
      </c>
      <c r="AY160">
        <v>530</v>
      </c>
      <c r="AZ160">
        <v>365</v>
      </c>
      <c r="BA160">
        <v>165</v>
      </c>
      <c r="BB160">
        <v>0</v>
      </c>
      <c r="BC160" s="3">
        <v>44762</v>
      </c>
      <c r="BD160" t="s">
        <v>230</v>
      </c>
      <c r="BE160">
        <v>435000</v>
      </c>
      <c r="BF160">
        <v>409736</v>
      </c>
      <c r="BG160" t="s">
        <v>294</v>
      </c>
      <c r="BH160">
        <v>30</v>
      </c>
      <c r="BI160" t="s">
        <v>65</v>
      </c>
      <c r="BJ160" t="s">
        <v>450</v>
      </c>
      <c r="BK160">
        <v>406900</v>
      </c>
      <c r="BL160">
        <v>48400</v>
      </c>
      <c r="BM160">
        <v>358500</v>
      </c>
      <c r="BN160">
        <v>25264</v>
      </c>
      <c r="BO160">
        <v>0.93540229885057469</v>
      </c>
      <c r="BP160">
        <v>378802.36579534406</v>
      </c>
      <c r="BQ160">
        <v>402661.38421923027</v>
      </c>
      <c r="BR160" s="12">
        <f>(Sales[[#This Row],[DP1]]*Lookups!$B$59)+(Sales[[#This Row],[DP2]]*Lookups!$B$60)+(Sales[[#This Row],[DP3]]*Lookups!$B$61)</f>
        <v>-23859.01842547</v>
      </c>
      <c r="BS160" s="12">
        <f>Lookups!$B$56*0</f>
        <v>0</v>
      </c>
      <c r="BT160" s="12">
        <f>Lookups!$B$56*1</f>
        <v>89850.625589999996</v>
      </c>
      <c r="BU160" s="12">
        <f>Lookups!$B$57*Sales[[#This Row],[LnAcres]]</f>
        <v>-60052.604136134301</v>
      </c>
      <c r="BV160" s="12">
        <f>VLOOKUP(Sales[[#This Row],[Qlty]],Lookups!$A$62:$E$75,2,FALSE)</f>
        <v>29814.093161000001</v>
      </c>
      <c r="BW160" s="12">
        <f>VLOOKUP(Sales[[#This Row],[Cnd]],Lookups!$A$76:$E$84,2,FALSE)</f>
        <v>197752.34721000001</v>
      </c>
      <c r="BX160" s="12">
        <f>Sales[[#This Row],[EffAge]]*Lookups!$B$85</f>
        <v>-11598.371226000001</v>
      </c>
      <c r="BY160" s="12">
        <f>Sales[[#This Row],[MainFn]]*Lookups!$B$86</f>
        <v>53904.858835807005</v>
      </c>
      <c r="BZ160" s="12">
        <f>Sales[[#This Row],[UpprFn]]*Lookups!$B$87</f>
        <v>0</v>
      </c>
      <c r="CA160" s="12">
        <f>Sales[[#This Row],[AddFn]]*Lookups!$B$88</f>
        <v>17184.993157464003</v>
      </c>
      <c r="CB160" s="12">
        <f>Sales[[#This Row],[Bsmt]]*Lookups!$B$89</f>
        <v>32717.132152874998</v>
      </c>
      <c r="CC160" s="12">
        <f>Sales[[#This Row],[Fixtures]]*Lookups!$B$90</f>
        <v>53088.3094728</v>
      </c>
      <c r="CD160" s="12">
        <f>Sales[[#This Row],[WdDeck]]*Lookups!$B$91</f>
        <v>0</v>
      </c>
      <c r="CE160" s="12">
        <f>SUM(Sales[[#This Row],[Days Prior Total]:[Mdl WdDeck]])</f>
        <v>378802.36579234176</v>
      </c>
      <c r="CF160" s="12">
        <f>ROUND(Sales[[#This Row],[25Det]],-2)</f>
        <v>25300</v>
      </c>
      <c r="CG160" s="12">
        <f>ROUND(SUM(Sales[[#This Row],[Mdl Qlty]:[Mdl WdDeck]])+Sales[[#This Row],[Mdl Res Intercept]]+Sales[[#This Row],[Days Prior Total]],-2)</f>
        <v>349000</v>
      </c>
      <c r="CH160" s="12">
        <f>ROUND(Sales[[#This Row],[Mdl Land Intercept]]+Sales[[#This Row],[Mdl LnAcres]],-2)</f>
        <v>29800</v>
      </c>
      <c r="CI160" s="12">
        <f>Sales[[#This Row],[Unadj Res Value]]+Sales[[#This Row],[Unadj Det Value]]+Sales[[#This Row],[Unadj Land Value]]</f>
        <v>404100</v>
      </c>
      <c r="CJ160" s="13">
        <f>Sales[[#This Row],[Unadj Total Value]]/Sales[[#This Row],[Price]]</f>
        <v>0.92896551724137932</v>
      </c>
      <c r="CK160" s="13">
        <f>(Sales[[#This Row],[Unadj Total Value]]-Sales[[#This Row],[24Final]])/Sales[[#This Row],[24Final]]</f>
        <v>-6.8812976161218972E-3</v>
      </c>
      <c r="CL160">
        <f>VLOOKUP(Sales[[#This Row],[TNbhd]],Lookups!$Q$2:$T$4,4,FALSE)</f>
        <v>0.99970000000000003</v>
      </c>
      <c r="CM160">
        <f>VLOOKUP(Sales[[#This Row],[Qlty]],Lookups!$O$7:$R$21,4,FALSE)</f>
        <v>1.0088999999999999</v>
      </c>
      <c r="CN160">
        <f>VLOOKUP(Sales[[#This Row],[Cnd]],Lookups!$T$7:$W$16,4,FALSE)</f>
        <v>0.99650000000000005</v>
      </c>
      <c r="CO160">
        <f>VLOOKUP(Sales[[#This Row],[LivArea Range]],Lookups!$T$25:$W$37,4,FALSE)</f>
        <v>0.98919999999999997</v>
      </c>
      <c r="CP160">
        <f>VLOOKUP(Sales[[#This Row],[Decade]],Lookups!$O$25:$R$42,4,FALSE)</f>
        <v>0.98909999999999998</v>
      </c>
      <c r="CQ160">
        <f>Sales[[#This Row],[Nbhd Adj]]*0.95</f>
        <v>0.94971499999999998</v>
      </c>
      <c r="CR160">
        <f>Sales[[#This Row],[Nbhd Adj]]*Sales[[#This Row],[Quality Adj]]*Sales[[#This Row],[Condition Adj]]*Sales[[#This Row],[Living Area Adj]]*Sales[[#This Row],[Decade Adj]]*0.95</f>
        <v>0.93420681692829766</v>
      </c>
      <c r="CS160">
        <f>ROUND(SUM(Sales[[#This Row],[Mdl Qlty]:[Mdl WdDeck]])+Sales[[#This Row],[Mdl Res Intercept]]*Sales[[#This Row],[Res Adj ]],-2)</f>
        <v>372900</v>
      </c>
      <c r="CT160">
        <f>ROUND(Sales[[#This Row],[25Det]]*Sales[[#This Row],[Det/Nbhd Adj]],-2)</f>
        <v>24000</v>
      </c>
      <c r="CU160">
        <f>Sales[[#This Row],[Adjusted Res]]+Sales[[#This Row],[Adj Det ]]</f>
        <v>396900</v>
      </c>
      <c r="CV160">
        <f>ROUND((Sales[[#This Row],[Mdl Land Intercept]]+Sales[[#This Row],[Mdl LnAcres]])*Sales[[#This Row],[Det/Nbhd Adj]],-2)</f>
        <v>28300</v>
      </c>
      <c r="CW160">
        <f>Sales[[#This Row],[Adjusted Impr Total]]+Sales[[#This Row],[Adjusted Land Total]]</f>
        <v>425200</v>
      </c>
      <c r="CX160" s="15">
        <f>IFERROR((Sales[[#This Row],[Adjusted Impr Total]]-Sales[[#This Row],[24Bldg]])/Sales[[#This Row],[24Bldg]],0)</f>
        <v>0.10711297071129706</v>
      </c>
      <c r="CY160" s="15">
        <f>(Sales[[#This Row],[Adjusted Land Total]]-Sales[[#This Row],[24Lnd]])/Sales[[#This Row],[24Lnd]]</f>
        <v>-0.41528925619834711</v>
      </c>
      <c r="CZ160" s="15">
        <f>(Sales[[#This Row],[Adjusted Total]]-Sales[[#This Row],[24Final]])/Sales[[#This Row],[24Final]]</f>
        <v>4.4974195133939542E-2</v>
      </c>
      <c r="DA160" s="15">
        <f>(Sales[[#This Row],[Adjusted Total]]+Sales[[#This Row],[Days Prior Total]])/Sales[[#This Row],[Price]]</f>
        <v>0.92262294614834484</v>
      </c>
    </row>
    <row r="161" spans="1:105" x14ac:dyDescent="0.3">
      <c r="A161">
        <v>2025</v>
      </c>
      <c r="B161">
        <v>18132334408</v>
      </c>
      <c r="C161">
        <v>-1.8971199848858813</v>
      </c>
      <c r="D161">
        <v>0.15</v>
      </c>
      <c r="E161">
        <v>0</v>
      </c>
      <c r="F161">
        <v>6</v>
      </c>
      <c r="G161" t="s">
        <v>126</v>
      </c>
      <c r="H161">
        <v>3093</v>
      </c>
      <c r="I161" t="s">
        <v>349</v>
      </c>
      <c r="J161" t="s">
        <v>30</v>
      </c>
      <c r="K161">
        <v>11</v>
      </c>
      <c r="L161">
        <v>259</v>
      </c>
      <c r="M161" t="s">
        <v>173</v>
      </c>
      <c r="N161" t="s">
        <v>351</v>
      </c>
      <c r="O161" t="s">
        <v>323</v>
      </c>
      <c r="P161">
        <v>90</v>
      </c>
      <c r="Q161">
        <v>1940</v>
      </c>
      <c r="R161">
        <v>1972</v>
      </c>
      <c r="S161">
        <v>84</v>
      </c>
      <c r="T161">
        <v>52</v>
      </c>
      <c r="U161">
        <v>1</v>
      </c>
      <c r="V161">
        <v>1091</v>
      </c>
      <c r="W161">
        <v>0</v>
      </c>
      <c r="X161">
        <v>264</v>
      </c>
      <c r="Y161">
        <v>1125</v>
      </c>
      <c r="Z161">
        <v>0</v>
      </c>
      <c r="AA161">
        <v>1125</v>
      </c>
      <c r="AB161">
        <v>2480</v>
      </c>
      <c r="AC161">
        <v>2500</v>
      </c>
      <c r="AD161">
        <v>1</v>
      </c>
      <c r="AF161" t="s">
        <v>383</v>
      </c>
      <c r="AG161" t="s">
        <v>148</v>
      </c>
      <c r="AI161">
        <v>0</v>
      </c>
      <c r="AJ161">
        <v>1</v>
      </c>
      <c r="AK161">
        <v>1</v>
      </c>
      <c r="AL161">
        <v>2</v>
      </c>
      <c r="AM161">
        <v>0</v>
      </c>
      <c r="AN161">
        <v>11</v>
      </c>
      <c r="AO161">
        <v>264</v>
      </c>
      <c r="AP161">
        <v>0</v>
      </c>
      <c r="AQ161">
        <v>0</v>
      </c>
      <c r="AR161">
        <v>0</v>
      </c>
      <c r="AS161">
        <v>99</v>
      </c>
      <c r="AT161">
        <v>0</v>
      </c>
      <c r="AU161">
        <v>100</v>
      </c>
      <c r="AV161">
        <v>100</v>
      </c>
      <c r="AW161">
        <v>300355</v>
      </c>
      <c r="AX161">
        <v>207245</v>
      </c>
      <c r="AY161">
        <v>938</v>
      </c>
      <c r="AZ161">
        <v>365</v>
      </c>
      <c r="BA161">
        <v>365</v>
      </c>
      <c r="BB161">
        <v>208</v>
      </c>
      <c r="BC161" s="3">
        <v>44354</v>
      </c>
      <c r="BD161" t="s">
        <v>181</v>
      </c>
      <c r="BE161">
        <v>340000</v>
      </c>
      <c r="BF161">
        <v>314736</v>
      </c>
      <c r="BG161" t="s">
        <v>294</v>
      </c>
      <c r="BH161">
        <v>30</v>
      </c>
      <c r="BI161" t="s">
        <v>65</v>
      </c>
      <c r="BJ161" t="s">
        <v>450</v>
      </c>
      <c r="BK161">
        <v>406900</v>
      </c>
      <c r="BL161">
        <v>48400</v>
      </c>
      <c r="BM161">
        <v>358500</v>
      </c>
      <c r="BN161">
        <v>25264</v>
      </c>
      <c r="BO161">
        <v>1.196764705882353</v>
      </c>
      <c r="BP161">
        <v>296371.90940509742</v>
      </c>
      <c r="BQ161">
        <v>345748.40977649932</v>
      </c>
      <c r="BR161" s="12">
        <f>(Sales[[#This Row],[DP1]]*Lookups!$B$59)+(Sales[[#This Row],[DP2]]*Lookups!$B$60)+(Sales[[#This Row],[DP3]]*Lookups!$B$61)</f>
        <v>-49376.500378270008</v>
      </c>
      <c r="BS161" s="12">
        <f>Lookups!$B$56*0</f>
        <v>0</v>
      </c>
      <c r="BT161" s="12">
        <f>Lookups!$B$56*1</f>
        <v>89850.625589999996</v>
      </c>
      <c r="BU161" s="12">
        <f>Lookups!$B$57*Sales[[#This Row],[LnAcres]]</f>
        <v>-60052.604136134301</v>
      </c>
      <c r="BV161" s="12">
        <f>VLOOKUP(Sales[[#This Row],[Qlty]],Lookups!$A$62:$E$75,2,FALSE)</f>
        <v>21557.329055999999</v>
      </c>
      <c r="BW161" s="12">
        <f>VLOOKUP(Sales[[#This Row],[Cnd]],Lookups!$A$76:$E$84,2,FALSE)</f>
        <v>160472.20319</v>
      </c>
      <c r="BX161" s="12">
        <f>Sales[[#This Row],[EffAge]]*Lookups!$B$85</f>
        <v>-11598.371226000001</v>
      </c>
      <c r="BY161" s="12">
        <f>Sales[[#This Row],[MainFn]]*Lookups!$B$86</f>
        <v>53904.858835807005</v>
      </c>
      <c r="BZ161" s="12">
        <f>Sales[[#This Row],[UpprFn]]*Lookups!$B$87</f>
        <v>0</v>
      </c>
      <c r="CA161" s="12">
        <f>Sales[[#This Row],[AddFn]]*Lookups!$B$88</f>
        <v>17184.993157464003</v>
      </c>
      <c r="CB161" s="12">
        <f>Sales[[#This Row],[Bsmt]]*Lookups!$B$89</f>
        <v>32717.132152874998</v>
      </c>
      <c r="CC161" s="12">
        <f>Sales[[#This Row],[Fixtures]]*Lookups!$B$90</f>
        <v>41712.243157199999</v>
      </c>
      <c r="CD161" s="12">
        <f>Sales[[#This Row],[WdDeck]]*Lookups!$B$91</f>
        <v>0</v>
      </c>
      <c r="CE161" s="12">
        <f>SUM(Sales[[#This Row],[Days Prior Total]:[Mdl WdDeck]])</f>
        <v>296371.90939894167</v>
      </c>
      <c r="CF161" s="12">
        <f>ROUND(Sales[[#This Row],[25Det]],-2)</f>
        <v>25300</v>
      </c>
      <c r="CG161" s="12">
        <f>ROUND(SUM(Sales[[#This Row],[Mdl Qlty]:[Mdl WdDeck]])+Sales[[#This Row],[Mdl Res Intercept]]+Sales[[#This Row],[Days Prior Total]],-2)</f>
        <v>266600</v>
      </c>
      <c r="CH161" s="12">
        <f>ROUND(Sales[[#This Row],[Mdl Land Intercept]]+Sales[[#This Row],[Mdl LnAcres]],-2)</f>
        <v>29800</v>
      </c>
      <c r="CI161" s="12">
        <f>Sales[[#This Row],[Unadj Res Value]]+Sales[[#This Row],[Unadj Det Value]]+Sales[[#This Row],[Unadj Land Value]]</f>
        <v>321700</v>
      </c>
      <c r="CJ161" s="13">
        <f>Sales[[#This Row],[Unadj Total Value]]/Sales[[#This Row],[Price]]</f>
        <v>0.94617647058823529</v>
      </c>
      <c r="CK161" s="13">
        <f>(Sales[[#This Row],[Unadj Total Value]]-Sales[[#This Row],[24Final]])/Sales[[#This Row],[24Final]]</f>
        <v>-0.20938805603342345</v>
      </c>
      <c r="CL161">
        <f>VLOOKUP(Sales[[#This Row],[TNbhd]],Lookups!$Q$2:$T$4,4,FALSE)</f>
        <v>0.99970000000000003</v>
      </c>
      <c r="CM161">
        <f>VLOOKUP(Sales[[#This Row],[Qlty]],Lookups!$O$7:$R$21,4,FALSE)</f>
        <v>1.0067999999999999</v>
      </c>
      <c r="CN161">
        <f>VLOOKUP(Sales[[#This Row],[Cnd]],Lookups!$T$7:$W$16,4,FALSE)</f>
        <v>0.99729999999999996</v>
      </c>
      <c r="CO161">
        <f>VLOOKUP(Sales[[#This Row],[LivArea Range]],Lookups!$T$25:$W$37,4,FALSE)</f>
        <v>0.98919999999999997</v>
      </c>
      <c r="CP161">
        <f>VLOOKUP(Sales[[#This Row],[Decade]],Lookups!$O$25:$R$42,4,FALSE)</f>
        <v>0.98909999999999998</v>
      </c>
      <c r="CQ161">
        <f>Sales[[#This Row],[Nbhd Adj]]*0.95</f>
        <v>0.94971499999999998</v>
      </c>
      <c r="CR161">
        <f>Sales[[#This Row],[Nbhd Adj]]*Sales[[#This Row],[Quality Adj]]*Sales[[#This Row],[Condition Adj]]*Sales[[#This Row],[Living Area Adj]]*Sales[[#This Row],[Decade Adj]]*0.95</f>
        <v>0.93301071824589021</v>
      </c>
      <c r="CS161">
        <f>ROUND(SUM(Sales[[#This Row],[Mdl Qlty]:[Mdl WdDeck]])+Sales[[#This Row],[Mdl Res Intercept]]*Sales[[#This Row],[Res Adj ]],-2)</f>
        <v>316000</v>
      </c>
      <c r="CT161">
        <f>ROUND(Sales[[#This Row],[25Det]]*Sales[[#This Row],[Det/Nbhd Adj]],-2)</f>
        <v>24000</v>
      </c>
      <c r="CU161">
        <f>Sales[[#This Row],[Adjusted Res]]+Sales[[#This Row],[Adj Det ]]</f>
        <v>340000</v>
      </c>
      <c r="CV161">
        <f>ROUND((Sales[[#This Row],[Mdl Land Intercept]]+Sales[[#This Row],[Mdl LnAcres]])*Sales[[#This Row],[Det/Nbhd Adj]],-2)</f>
        <v>28300</v>
      </c>
      <c r="CW161">
        <f>Sales[[#This Row],[Adjusted Impr Total]]+Sales[[#This Row],[Adjusted Land Total]]</f>
        <v>368300</v>
      </c>
      <c r="CX161" s="15">
        <f>IFERROR((Sales[[#This Row],[Adjusted Impr Total]]-Sales[[#This Row],[24Bldg]])/Sales[[#This Row],[24Bldg]],0)</f>
        <v>-5.1603905160390519E-2</v>
      </c>
      <c r="CY161" s="15">
        <f>(Sales[[#This Row],[Adjusted Land Total]]-Sales[[#This Row],[24Lnd]])/Sales[[#This Row],[24Lnd]]</f>
        <v>-0.41528925619834711</v>
      </c>
      <c r="CZ161" s="15">
        <f>(Sales[[#This Row],[Adjusted Total]]-Sales[[#This Row],[24Final]])/Sales[[#This Row],[24Final]]</f>
        <v>-9.4863602850823292E-2</v>
      </c>
      <c r="DA161" s="15">
        <f>(Sales[[#This Row],[Adjusted Total]]+Sales[[#This Row],[Days Prior Total]])/Sales[[#This Row],[Price]]</f>
        <v>0.9380102930050882</v>
      </c>
    </row>
    <row r="162" spans="1:105" x14ac:dyDescent="0.3">
      <c r="A162">
        <v>2025</v>
      </c>
      <c r="B162">
        <v>18132324492</v>
      </c>
      <c r="C162">
        <v>-1.8325814637483102</v>
      </c>
      <c r="D162">
        <v>0.16</v>
      </c>
      <c r="E162">
        <v>0</v>
      </c>
      <c r="F162">
        <v>6</v>
      </c>
      <c r="G162" t="s">
        <v>126</v>
      </c>
      <c r="H162">
        <v>3033</v>
      </c>
      <c r="I162" t="s">
        <v>349</v>
      </c>
      <c r="J162" t="s">
        <v>30</v>
      </c>
      <c r="K162">
        <v>11</v>
      </c>
      <c r="L162">
        <v>259</v>
      </c>
      <c r="M162" t="s">
        <v>147</v>
      </c>
      <c r="N162" t="s">
        <v>302</v>
      </c>
      <c r="O162" t="s">
        <v>303</v>
      </c>
      <c r="P162">
        <v>90</v>
      </c>
      <c r="Q162">
        <v>1940</v>
      </c>
      <c r="R162">
        <v>1972</v>
      </c>
      <c r="S162">
        <v>84</v>
      </c>
      <c r="T162">
        <v>52</v>
      </c>
      <c r="U162">
        <v>2</v>
      </c>
      <c r="V162">
        <v>832</v>
      </c>
      <c r="W162">
        <v>544</v>
      </c>
      <c r="X162">
        <v>0</v>
      </c>
      <c r="Y162">
        <v>832</v>
      </c>
      <c r="Z162">
        <v>0</v>
      </c>
      <c r="AA162">
        <v>832</v>
      </c>
      <c r="AB162">
        <v>2208</v>
      </c>
      <c r="AC162">
        <v>2500</v>
      </c>
      <c r="AD162">
        <v>0</v>
      </c>
      <c r="AF162" t="s">
        <v>383</v>
      </c>
      <c r="AG162" t="s">
        <v>175</v>
      </c>
      <c r="AH162" t="s">
        <v>450</v>
      </c>
      <c r="AI162">
        <v>0</v>
      </c>
      <c r="AJ162">
        <v>1</v>
      </c>
      <c r="AK162">
        <v>0</v>
      </c>
      <c r="AL162">
        <v>1</v>
      </c>
      <c r="AM162">
        <v>0</v>
      </c>
      <c r="AN162">
        <v>12</v>
      </c>
      <c r="AO162">
        <v>0</v>
      </c>
      <c r="AP162">
        <v>0</v>
      </c>
      <c r="AQ162">
        <v>440</v>
      </c>
      <c r="AR162">
        <v>160</v>
      </c>
      <c r="AS162">
        <v>0</v>
      </c>
      <c r="AT162">
        <v>0</v>
      </c>
      <c r="AU162">
        <v>100</v>
      </c>
      <c r="AV162">
        <v>100</v>
      </c>
      <c r="AW162">
        <v>325240</v>
      </c>
      <c r="AX162">
        <v>250435</v>
      </c>
      <c r="AY162">
        <v>706</v>
      </c>
      <c r="AZ162">
        <v>365</v>
      </c>
      <c r="BA162">
        <v>341</v>
      </c>
      <c r="BB162">
        <v>0</v>
      </c>
      <c r="BC162" s="3">
        <v>44586</v>
      </c>
      <c r="BD162" t="s">
        <v>13</v>
      </c>
      <c r="BE162">
        <v>380000</v>
      </c>
      <c r="BF162">
        <v>373632</v>
      </c>
      <c r="BG162" t="s">
        <v>294</v>
      </c>
      <c r="BH162">
        <v>30</v>
      </c>
      <c r="BI162" t="s">
        <v>65</v>
      </c>
      <c r="BJ162" t="s">
        <v>450</v>
      </c>
      <c r="BK162">
        <v>365300</v>
      </c>
      <c r="BL162">
        <v>50600</v>
      </c>
      <c r="BM162">
        <v>314700</v>
      </c>
      <c r="BN162">
        <v>6368</v>
      </c>
      <c r="BO162">
        <v>0.96131578947368423</v>
      </c>
      <c r="BP162">
        <v>366470.56440007722</v>
      </c>
      <c r="BQ162">
        <v>388308.54461316642</v>
      </c>
      <c r="BR162" s="12">
        <f>(Sales[[#This Row],[DP1]]*Lookups!$B$59)+(Sales[[#This Row],[DP2]]*Lookups!$B$60)+(Sales[[#This Row],[DP3]]*Lookups!$B$61)</f>
        <v>-21837.980214718002</v>
      </c>
      <c r="BS162" s="12">
        <f>Lookups!$B$56*0</f>
        <v>0</v>
      </c>
      <c r="BT162" s="12">
        <f>Lookups!$B$56*1</f>
        <v>89850.625589999996</v>
      </c>
      <c r="BU162" s="12">
        <f>Lookups!$B$57*Sales[[#This Row],[LnAcres]]</f>
        <v>-58009.662049032086</v>
      </c>
      <c r="BV162" s="12">
        <f>VLOOKUP(Sales[[#This Row],[Qlty]],Lookups!$A$62:$E$75,2,FALSE)</f>
        <v>29814.093161000001</v>
      </c>
      <c r="BW162" s="12">
        <f>VLOOKUP(Sales[[#This Row],[Cnd]],Lookups!$A$76:$E$84,2,FALSE)</f>
        <v>197752.34721000001</v>
      </c>
      <c r="BX162" s="12">
        <f>Sales[[#This Row],[EffAge]]*Lookups!$B$85</f>
        <v>-11598.371226000001</v>
      </c>
      <c r="BY162" s="12">
        <f>Sales[[#This Row],[MainFn]]*Lookups!$B$86</f>
        <v>41108.013337664001</v>
      </c>
      <c r="BZ162" s="12">
        <f>Sales[[#This Row],[UpprFn]]*Lookups!$B$87</f>
        <v>24363.814036383999</v>
      </c>
      <c r="CA162" s="12">
        <f>Sales[[#This Row],[AddFn]]*Lookups!$B$88</f>
        <v>0</v>
      </c>
      <c r="CB162" s="12">
        <f>Sales[[#This Row],[Bsmt]]*Lookups!$B$89</f>
        <v>24196.136845503999</v>
      </c>
      <c r="CC162" s="12">
        <f>Sales[[#This Row],[Fixtures]]*Lookups!$B$90</f>
        <v>45504.265262400004</v>
      </c>
      <c r="CD162" s="12">
        <f>Sales[[#This Row],[WdDeck]]*Lookups!$B$91</f>
        <v>5327.2824441600005</v>
      </c>
      <c r="CE162" s="12">
        <f>SUM(Sales[[#This Row],[Days Prior Total]:[Mdl WdDeck]])</f>
        <v>366470.56439736189</v>
      </c>
      <c r="CF162" s="12">
        <f>ROUND(Sales[[#This Row],[25Det]],-2)</f>
        <v>6400</v>
      </c>
      <c r="CG162" s="12">
        <f>ROUND(SUM(Sales[[#This Row],[Mdl Qlty]:[Mdl WdDeck]])+Sales[[#This Row],[Mdl Res Intercept]]+Sales[[#This Row],[Days Prior Total]],-2)</f>
        <v>334600</v>
      </c>
      <c r="CH162" s="12">
        <f>ROUND(Sales[[#This Row],[Mdl Land Intercept]]+Sales[[#This Row],[Mdl LnAcres]],-2)</f>
        <v>31800</v>
      </c>
      <c r="CI162" s="12">
        <f>Sales[[#This Row],[Unadj Res Value]]+Sales[[#This Row],[Unadj Det Value]]+Sales[[#This Row],[Unadj Land Value]]</f>
        <v>372800</v>
      </c>
      <c r="CJ162" s="13">
        <f>Sales[[#This Row],[Unadj Total Value]]/Sales[[#This Row],[Price]]</f>
        <v>0.9810526315789474</v>
      </c>
      <c r="CK162" s="13">
        <f>(Sales[[#This Row],[Unadj Total Value]]-Sales[[#This Row],[24Final]])/Sales[[#This Row],[24Final]]</f>
        <v>2.0531070353134409E-2</v>
      </c>
      <c r="CL162">
        <f>VLOOKUP(Sales[[#This Row],[TNbhd]],Lookups!$Q$2:$T$4,4,FALSE)</f>
        <v>0.99970000000000003</v>
      </c>
      <c r="CM162">
        <f>VLOOKUP(Sales[[#This Row],[Qlty]],Lookups!$O$7:$R$21,4,FALSE)</f>
        <v>1.0088999999999999</v>
      </c>
      <c r="CN162">
        <f>VLOOKUP(Sales[[#This Row],[Cnd]],Lookups!$T$7:$W$16,4,FALSE)</f>
        <v>0.99650000000000005</v>
      </c>
      <c r="CO162">
        <f>VLOOKUP(Sales[[#This Row],[LivArea Range]],Lookups!$T$25:$W$37,4,FALSE)</f>
        <v>0.98919999999999997</v>
      </c>
      <c r="CP162">
        <f>VLOOKUP(Sales[[#This Row],[Decade]],Lookups!$O$25:$R$42,4,FALSE)</f>
        <v>0.98909999999999998</v>
      </c>
      <c r="CQ162">
        <f>Sales[[#This Row],[Nbhd Adj]]*0.95</f>
        <v>0.94971499999999998</v>
      </c>
      <c r="CR162">
        <f>Sales[[#This Row],[Nbhd Adj]]*Sales[[#This Row],[Quality Adj]]*Sales[[#This Row],[Condition Adj]]*Sales[[#This Row],[Living Area Adj]]*Sales[[#This Row],[Decade Adj]]*0.95</f>
        <v>0.93420681692829766</v>
      </c>
      <c r="CS162">
        <f>ROUND(SUM(Sales[[#This Row],[Mdl Qlty]:[Mdl WdDeck]])+Sales[[#This Row],[Mdl Res Intercept]]*Sales[[#This Row],[Res Adj ]],-2)</f>
        <v>356500</v>
      </c>
      <c r="CT162">
        <f>ROUND(Sales[[#This Row],[25Det]]*Sales[[#This Row],[Det/Nbhd Adj]],-2)</f>
        <v>6000</v>
      </c>
      <c r="CU162">
        <f>Sales[[#This Row],[Adjusted Res]]+Sales[[#This Row],[Adj Det ]]</f>
        <v>362500</v>
      </c>
      <c r="CV162">
        <f>ROUND((Sales[[#This Row],[Mdl Land Intercept]]+Sales[[#This Row],[Mdl LnAcres]])*Sales[[#This Row],[Det/Nbhd Adj]],-2)</f>
        <v>30200</v>
      </c>
      <c r="CW162">
        <f>Sales[[#This Row],[Adjusted Impr Total]]+Sales[[#This Row],[Adjusted Land Total]]</f>
        <v>392700</v>
      </c>
      <c r="CX162" s="15">
        <f>IFERROR((Sales[[#This Row],[Adjusted Impr Total]]-Sales[[#This Row],[24Bldg]])/Sales[[#This Row],[24Bldg]],0)</f>
        <v>0.15189068954559898</v>
      </c>
      <c r="CY162" s="15">
        <f>(Sales[[#This Row],[Adjusted Land Total]]-Sales[[#This Row],[24Lnd]])/Sales[[#This Row],[24Lnd]]</f>
        <v>-0.40316205533596838</v>
      </c>
      <c r="CZ162" s="15">
        <f>(Sales[[#This Row],[Adjusted Total]]-Sales[[#This Row],[24Final]])/Sales[[#This Row],[24Final]]</f>
        <v>7.5006843690117717E-2</v>
      </c>
      <c r="DA162" s="15">
        <f>(Sales[[#This Row],[Adjusted Total]]+Sales[[#This Row],[Days Prior Total]])/Sales[[#This Row],[Price]]</f>
        <v>0.97595268364547882</v>
      </c>
    </row>
    <row r="163" spans="1:105" x14ac:dyDescent="0.3">
      <c r="A163">
        <v>2025</v>
      </c>
      <c r="B163">
        <v>18132334509</v>
      </c>
      <c r="C163">
        <v>-1.9661128563728327</v>
      </c>
      <c r="D163">
        <v>0.14000000000000001</v>
      </c>
      <c r="E163">
        <v>0</v>
      </c>
      <c r="F163">
        <v>6</v>
      </c>
      <c r="G163" t="s">
        <v>126</v>
      </c>
      <c r="H163" t="s">
        <v>349</v>
      </c>
      <c r="I163" t="s">
        <v>349</v>
      </c>
      <c r="J163" t="s">
        <v>30</v>
      </c>
      <c r="K163">
        <v>11</v>
      </c>
      <c r="L163">
        <v>259</v>
      </c>
      <c r="M163" t="s">
        <v>242</v>
      </c>
      <c r="N163" t="s">
        <v>351</v>
      </c>
      <c r="O163" t="s">
        <v>303</v>
      </c>
      <c r="P163">
        <v>90</v>
      </c>
      <c r="Q163">
        <v>1940</v>
      </c>
      <c r="R163">
        <v>1972</v>
      </c>
      <c r="S163">
        <v>84</v>
      </c>
      <c r="T163">
        <v>52</v>
      </c>
      <c r="U163">
        <v>1</v>
      </c>
      <c r="V163">
        <v>960</v>
      </c>
      <c r="W163">
        <v>0</v>
      </c>
      <c r="X163">
        <v>0</v>
      </c>
      <c r="Y163">
        <v>960</v>
      </c>
      <c r="Z163">
        <v>760</v>
      </c>
      <c r="AA163">
        <v>200</v>
      </c>
      <c r="AB163">
        <v>1160</v>
      </c>
      <c r="AC163">
        <v>1500</v>
      </c>
      <c r="AD163">
        <v>0</v>
      </c>
      <c r="AF163" t="s">
        <v>208</v>
      </c>
      <c r="AG163" t="s">
        <v>148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9</v>
      </c>
      <c r="AO163">
        <v>0</v>
      </c>
      <c r="AP163">
        <v>0</v>
      </c>
      <c r="AQ163">
        <v>0</v>
      </c>
      <c r="AR163">
        <v>256</v>
      </c>
      <c r="AS163">
        <v>256</v>
      </c>
      <c r="AT163">
        <v>0</v>
      </c>
      <c r="AU163">
        <v>100</v>
      </c>
      <c r="AV163">
        <v>100</v>
      </c>
      <c r="AW163">
        <v>170028</v>
      </c>
      <c r="AX163">
        <v>130922</v>
      </c>
      <c r="AY163">
        <v>28</v>
      </c>
      <c r="AZ163">
        <v>28</v>
      </c>
      <c r="BA163">
        <v>0</v>
      </c>
      <c r="BB163">
        <v>0</v>
      </c>
      <c r="BC163" s="3">
        <v>45264</v>
      </c>
      <c r="BD163" t="s">
        <v>221</v>
      </c>
      <c r="BE163">
        <v>356000</v>
      </c>
      <c r="BF163">
        <v>356000</v>
      </c>
      <c r="BG163" t="s">
        <v>294</v>
      </c>
      <c r="BH163">
        <v>30</v>
      </c>
      <c r="BI163" t="s">
        <v>65</v>
      </c>
      <c r="BJ163" t="s">
        <v>450</v>
      </c>
      <c r="BK163">
        <v>277200</v>
      </c>
      <c r="BL163">
        <v>46000</v>
      </c>
      <c r="BM163">
        <v>231200</v>
      </c>
      <c r="BN163">
        <v>0</v>
      </c>
      <c r="BO163">
        <v>0.77865168539325846</v>
      </c>
      <c r="BP163">
        <v>351352.5475318933</v>
      </c>
      <c r="BQ163">
        <v>353328.17703573505</v>
      </c>
      <c r="BR163" s="12">
        <f>(Sales[[#This Row],[DP1]]*Lookups!$B$59)+(Sales[[#This Row],[DP2]]*Lookups!$B$60)+(Sales[[#This Row],[DP3]]*Lookups!$B$61)</f>
        <v>-1975.6295039600002</v>
      </c>
      <c r="BS163" s="12">
        <f>Lookups!$B$56*0</f>
        <v>0</v>
      </c>
      <c r="BT163" s="12">
        <f>Lookups!$B$56*1</f>
        <v>89850.625589999996</v>
      </c>
      <c r="BU163" s="12">
        <f>Lookups!$B$57*Sales[[#This Row],[LnAcres]]</f>
        <v>-62236.546971921947</v>
      </c>
      <c r="BV163" s="12">
        <f>VLOOKUP(Sales[[#This Row],[Qlty]],Lookups!$A$62:$E$75,2,FALSE)</f>
        <v>21557.329055999999</v>
      </c>
      <c r="BW163" s="12">
        <f>VLOOKUP(Sales[[#This Row],[Cnd]],Lookups!$A$76:$E$84,2,FALSE)</f>
        <v>197752.34721000001</v>
      </c>
      <c r="BX163" s="12">
        <f>Sales[[#This Row],[EffAge]]*Lookups!$B$85</f>
        <v>-11598.371226000001</v>
      </c>
      <c r="BY163" s="12">
        <f>Sales[[#This Row],[MainFn]]*Lookups!$B$86</f>
        <v>47432.323081920003</v>
      </c>
      <c r="BZ163" s="12">
        <f>Sales[[#This Row],[UpprFn]]*Lookups!$B$87</f>
        <v>0</v>
      </c>
      <c r="CA163" s="12">
        <f>Sales[[#This Row],[AddFn]]*Lookups!$B$88</f>
        <v>0</v>
      </c>
      <c r="CB163" s="12">
        <f>Sales[[#This Row],[Bsmt]]*Lookups!$B$89</f>
        <v>27918.61943712</v>
      </c>
      <c r="CC163" s="12">
        <f>Sales[[#This Row],[Fixtures]]*Lookups!$B$90</f>
        <v>34128.198946800003</v>
      </c>
      <c r="CD163" s="12">
        <f>Sales[[#This Row],[WdDeck]]*Lookups!$B$91</f>
        <v>8523.6519106560008</v>
      </c>
      <c r="CE163" s="12">
        <f>SUM(Sales[[#This Row],[Days Prior Total]:[Mdl WdDeck]])</f>
        <v>351352.54753061407</v>
      </c>
      <c r="CF163" s="12">
        <f>ROUND(Sales[[#This Row],[25Det]],-2)</f>
        <v>0</v>
      </c>
      <c r="CG163" s="12">
        <f>ROUND(SUM(Sales[[#This Row],[Mdl Qlty]:[Mdl WdDeck]])+Sales[[#This Row],[Mdl Res Intercept]]+Sales[[#This Row],[Days Prior Total]],-2)</f>
        <v>323700</v>
      </c>
      <c r="CH163" s="12">
        <f>ROUND(Sales[[#This Row],[Mdl Land Intercept]]+Sales[[#This Row],[Mdl LnAcres]],-2)</f>
        <v>27600</v>
      </c>
      <c r="CI163" s="12">
        <f>Sales[[#This Row],[Unadj Res Value]]+Sales[[#This Row],[Unadj Det Value]]+Sales[[#This Row],[Unadj Land Value]]</f>
        <v>351300</v>
      </c>
      <c r="CJ163" s="13">
        <f>Sales[[#This Row],[Unadj Total Value]]/Sales[[#This Row],[Price]]</f>
        <v>0.98679775280898874</v>
      </c>
      <c r="CK163" s="13">
        <f>(Sales[[#This Row],[Unadj Total Value]]-Sales[[#This Row],[24Final]])/Sales[[#This Row],[24Final]]</f>
        <v>0.26731601731601734</v>
      </c>
      <c r="CL163">
        <f>VLOOKUP(Sales[[#This Row],[TNbhd]],Lookups!$Q$2:$T$4,4,FALSE)</f>
        <v>0.99970000000000003</v>
      </c>
      <c r="CM163">
        <f>VLOOKUP(Sales[[#This Row],[Qlty]],Lookups!$O$7:$R$21,4,FALSE)</f>
        <v>1.0067999999999999</v>
      </c>
      <c r="CN163">
        <f>VLOOKUP(Sales[[#This Row],[Cnd]],Lookups!$T$7:$W$16,4,FALSE)</f>
        <v>0.99650000000000005</v>
      </c>
      <c r="CO163">
        <f>VLOOKUP(Sales[[#This Row],[LivArea Range]],Lookups!$T$25:$W$37,4,FALSE)</f>
        <v>1.0157</v>
      </c>
      <c r="CP163">
        <f>VLOOKUP(Sales[[#This Row],[Decade]],Lookups!$O$25:$R$42,4,FALSE)</f>
        <v>0.98909999999999998</v>
      </c>
      <c r="CQ163">
        <f>Sales[[#This Row],[Nbhd Adj]]*0.95</f>
        <v>0.94971499999999998</v>
      </c>
      <c r="CR163">
        <f>Sales[[#This Row],[Nbhd Adj]]*Sales[[#This Row],[Quality Adj]]*Sales[[#This Row],[Condition Adj]]*Sales[[#This Row],[Living Area Adj]]*Sales[[#This Row],[Decade Adj]]*0.95</f>
        <v>0.95723696608169473</v>
      </c>
      <c r="CS163">
        <f>ROUND(SUM(Sales[[#This Row],[Mdl Qlty]:[Mdl WdDeck]])+Sales[[#This Row],[Mdl Res Intercept]]*Sales[[#This Row],[Res Adj ]],-2)</f>
        <v>325700</v>
      </c>
      <c r="CT163">
        <f>ROUND(Sales[[#This Row],[25Det]]*Sales[[#This Row],[Det/Nbhd Adj]],-2)</f>
        <v>0</v>
      </c>
      <c r="CU163">
        <f>Sales[[#This Row],[Adjusted Res]]+Sales[[#This Row],[Adj Det ]]</f>
        <v>325700</v>
      </c>
      <c r="CV163">
        <f>ROUND((Sales[[#This Row],[Mdl Land Intercept]]+Sales[[#This Row],[Mdl LnAcres]])*Sales[[#This Row],[Det/Nbhd Adj]],-2)</f>
        <v>26200</v>
      </c>
      <c r="CW163">
        <f>Sales[[#This Row],[Adjusted Impr Total]]+Sales[[#This Row],[Adjusted Land Total]]</f>
        <v>351900</v>
      </c>
      <c r="CX163" s="15">
        <f>IFERROR((Sales[[#This Row],[Adjusted Impr Total]]-Sales[[#This Row],[24Bldg]])/Sales[[#This Row],[24Bldg]],0)</f>
        <v>0.4087370242214533</v>
      </c>
      <c r="CY163" s="15">
        <f>(Sales[[#This Row],[Adjusted Land Total]]-Sales[[#This Row],[24Lnd]])/Sales[[#This Row],[24Lnd]]</f>
        <v>-0.43043478260869567</v>
      </c>
      <c r="CZ163" s="15">
        <f>(Sales[[#This Row],[Adjusted Total]]-Sales[[#This Row],[24Final]])/Sales[[#This Row],[24Final]]</f>
        <v>0.26948051948051949</v>
      </c>
      <c r="DA163" s="15">
        <f>(Sales[[#This Row],[Adjusted Total]]+Sales[[#This Row],[Days Prior Total]])/Sales[[#This Row],[Price]]</f>
        <v>0.98293362498887638</v>
      </c>
    </row>
    <row r="164" spans="1:105" x14ac:dyDescent="0.3">
      <c r="A164">
        <v>2025</v>
      </c>
      <c r="B164">
        <v>18132213453</v>
      </c>
      <c r="C164">
        <v>-1.6607312068216509</v>
      </c>
      <c r="D164">
        <v>0.19</v>
      </c>
      <c r="E164">
        <v>8486</v>
      </c>
      <c r="F164">
        <v>6</v>
      </c>
      <c r="G164" t="s">
        <v>126</v>
      </c>
      <c r="H164">
        <v>3033</v>
      </c>
      <c r="I164" t="s">
        <v>349</v>
      </c>
      <c r="J164" t="s">
        <v>30</v>
      </c>
      <c r="K164">
        <v>11</v>
      </c>
      <c r="L164">
        <v>259</v>
      </c>
      <c r="M164" t="s">
        <v>173</v>
      </c>
      <c r="N164" t="s">
        <v>302</v>
      </c>
      <c r="O164" t="s">
        <v>303</v>
      </c>
      <c r="P164">
        <v>90</v>
      </c>
      <c r="Q164">
        <v>1940</v>
      </c>
      <c r="R164">
        <v>1972</v>
      </c>
      <c r="S164">
        <v>84</v>
      </c>
      <c r="T164">
        <v>52</v>
      </c>
      <c r="U164">
        <v>2</v>
      </c>
      <c r="V164">
        <v>1326</v>
      </c>
      <c r="W164">
        <v>692</v>
      </c>
      <c r="X164">
        <v>0</v>
      </c>
      <c r="Y164">
        <v>0</v>
      </c>
      <c r="Z164">
        <v>0</v>
      </c>
      <c r="AA164">
        <v>0</v>
      </c>
      <c r="AB164">
        <v>2018</v>
      </c>
      <c r="AC164">
        <v>2500</v>
      </c>
      <c r="AD164">
        <v>0</v>
      </c>
      <c r="AE164" t="s">
        <v>174</v>
      </c>
      <c r="AF164" t="s">
        <v>208</v>
      </c>
      <c r="AG164" t="s">
        <v>148</v>
      </c>
      <c r="AI164">
        <v>0</v>
      </c>
      <c r="AJ164">
        <v>1</v>
      </c>
      <c r="AK164">
        <v>0</v>
      </c>
      <c r="AL164">
        <v>1</v>
      </c>
      <c r="AM164">
        <v>1</v>
      </c>
      <c r="AN164">
        <v>11</v>
      </c>
      <c r="AO164">
        <v>0</v>
      </c>
      <c r="AP164">
        <v>0</v>
      </c>
      <c r="AQ164">
        <v>0</v>
      </c>
      <c r="AR164">
        <v>0</v>
      </c>
      <c r="AS164">
        <v>280</v>
      </c>
      <c r="AT164">
        <v>0</v>
      </c>
      <c r="AU164">
        <v>100</v>
      </c>
      <c r="AV164">
        <v>100</v>
      </c>
      <c r="AW164">
        <v>312800</v>
      </c>
      <c r="AX164">
        <v>240856</v>
      </c>
      <c r="AY164">
        <v>748</v>
      </c>
      <c r="AZ164">
        <v>365</v>
      </c>
      <c r="BA164">
        <v>365</v>
      </c>
      <c r="BB164">
        <v>18</v>
      </c>
      <c r="BC164" s="3">
        <v>44544</v>
      </c>
      <c r="BD164" t="s">
        <v>433</v>
      </c>
      <c r="BE164">
        <v>371000</v>
      </c>
      <c r="BF164">
        <v>369390</v>
      </c>
      <c r="BG164" t="s">
        <v>294</v>
      </c>
      <c r="BH164">
        <v>30</v>
      </c>
      <c r="BI164" t="s">
        <v>65</v>
      </c>
      <c r="BJ164" t="s">
        <v>450</v>
      </c>
      <c r="BK164">
        <v>365400</v>
      </c>
      <c r="BL164">
        <v>56600</v>
      </c>
      <c r="BM164">
        <v>308800</v>
      </c>
      <c r="BN164">
        <v>1610</v>
      </c>
      <c r="BO164">
        <v>0.98490566037735849</v>
      </c>
      <c r="BP164">
        <v>367499.85564332589</v>
      </c>
      <c r="BQ164">
        <v>391469.23056850809</v>
      </c>
      <c r="BR164" s="12">
        <f>(Sales[[#This Row],[DP1]]*Lookups!$B$59)+(Sales[[#This Row],[DP2]]*Lookups!$B$60)+(Sales[[#This Row],[DP3]]*Lookups!$B$61)</f>
        <v>-23969.374927270004</v>
      </c>
      <c r="BS164" s="12">
        <f>Lookups!$B$56*0</f>
        <v>0</v>
      </c>
      <c r="BT164" s="12">
        <f>Lookups!$B$56*1</f>
        <v>89850.625589999996</v>
      </c>
      <c r="BU164" s="12">
        <f>Lookups!$B$57*Sales[[#This Row],[LnAcres]]</f>
        <v>-52569.808201026557</v>
      </c>
      <c r="BV164" s="12">
        <f>VLOOKUP(Sales[[#This Row],[Qlty]],Lookups!$A$62:$E$75,2,FALSE)</f>
        <v>29814.093161000001</v>
      </c>
      <c r="BW164" s="12">
        <f>VLOOKUP(Sales[[#This Row],[Cnd]],Lookups!$A$76:$E$84,2,FALSE)</f>
        <v>197752.34721000001</v>
      </c>
      <c r="BX164" s="12">
        <f>Sales[[#This Row],[EffAge]]*Lookups!$B$85</f>
        <v>-11598.371226000001</v>
      </c>
      <c r="BY164" s="12">
        <f>Sales[[#This Row],[MainFn]]*Lookups!$B$86</f>
        <v>65515.896256902</v>
      </c>
      <c r="BZ164" s="12">
        <f>Sales[[#This Row],[UpprFn]]*Lookups!$B$87</f>
        <v>30992.204619812001</v>
      </c>
      <c r="CA164" s="12">
        <f>Sales[[#This Row],[AddFn]]*Lookups!$B$88</f>
        <v>0</v>
      </c>
      <c r="CB164" s="12">
        <f>Sales[[#This Row],[Bsmt]]*Lookups!$B$89</f>
        <v>0</v>
      </c>
      <c r="CC164" s="12">
        <f>Sales[[#This Row],[Fixtures]]*Lookups!$B$90</f>
        <v>41712.243157199999</v>
      </c>
      <c r="CD164" s="12">
        <f>Sales[[#This Row],[WdDeck]]*Lookups!$B$91</f>
        <v>0</v>
      </c>
      <c r="CE164" s="12">
        <f>SUM(Sales[[#This Row],[Days Prior Total]:[Mdl WdDeck]])</f>
        <v>367499.85564061749</v>
      </c>
      <c r="CF164" s="12">
        <f>ROUND(Sales[[#This Row],[25Det]],-2)</f>
        <v>1600</v>
      </c>
      <c r="CG164" s="12">
        <f>ROUND(SUM(Sales[[#This Row],[Mdl Qlty]:[Mdl WdDeck]])+Sales[[#This Row],[Mdl Res Intercept]]+Sales[[#This Row],[Days Prior Total]],-2)</f>
        <v>330200</v>
      </c>
      <c r="CH164" s="12">
        <f>ROUND(Sales[[#This Row],[Mdl Land Intercept]]+Sales[[#This Row],[Mdl LnAcres]],-2)</f>
        <v>37300</v>
      </c>
      <c r="CI164" s="12">
        <f>Sales[[#This Row],[Unadj Res Value]]+Sales[[#This Row],[Unadj Det Value]]+Sales[[#This Row],[Unadj Land Value]]</f>
        <v>369100</v>
      </c>
      <c r="CJ164" s="13">
        <f>Sales[[#This Row],[Unadj Total Value]]/Sales[[#This Row],[Price]]</f>
        <v>0.99487870619946095</v>
      </c>
      <c r="CK164" s="13">
        <f>(Sales[[#This Row],[Unadj Total Value]]-Sales[[#This Row],[24Final]])/Sales[[#This Row],[24Final]]</f>
        <v>1.0125889436234263E-2</v>
      </c>
      <c r="CL164">
        <f>VLOOKUP(Sales[[#This Row],[TNbhd]],Lookups!$Q$2:$T$4,4,FALSE)</f>
        <v>0.99970000000000003</v>
      </c>
      <c r="CM164">
        <f>VLOOKUP(Sales[[#This Row],[Qlty]],Lookups!$O$7:$R$21,4,FALSE)</f>
        <v>1.0088999999999999</v>
      </c>
      <c r="CN164">
        <f>VLOOKUP(Sales[[#This Row],[Cnd]],Lookups!$T$7:$W$16,4,FALSE)</f>
        <v>0.99650000000000005</v>
      </c>
      <c r="CO164">
        <f>VLOOKUP(Sales[[#This Row],[LivArea Range]],Lookups!$T$25:$W$37,4,FALSE)</f>
        <v>0.98919999999999997</v>
      </c>
      <c r="CP164">
        <f>VLOOKUP(Sales[[#This Row],[Decade]],Lookups!$O$25:$R$42,4,FALSE)</f>
        <v>0.98909999999999998</v>
      </c>
      <c r="CQ164">
        <f>Sales[[#This Row],[Nbhd Adj]]*0.95</f>
        <v>0.94971499999999998</v>
      </c>
      <c r="CR164">
        <f>Sales[[#This Row],[Nbhd Adj]]*Sales[[#This Row],[Quality Adj]]*Sales[[#This Row],[Condition Adj]]*Sales[[#This Row],[Living Area Adj]]*Sales[[#This Row],[Decade Adj]]*0.95</f>
        <v>0.93420681692829766</v>
      </c>
      <c r="CS164">
        <f>ROUND(SUM(Sales[[#This Row],[Mdl Qlty]:[Mdl WdDeck]])+Sales[[#This Row],[Mdl Res Intercept]]*Sales[[#This Row],[Res Adj ]],-2)</f>
        <v>354200</v>
      </c>
      <c r="CT164">
        <f>ROUND(Sales[[#This Row],[25Det]]*Sales[[#This Row],[Det/Nbhd Adj]],-2)</f>
        <v>1500</v>
      </c>
      <c r="CU164">
        <f>Sales[[#This Row],[Adjusted Res]]+Sales[[#This Row],[Adj Det ]]</f>
        <v>355700</v>
      </c>
      <c r="CV164">
        <f>ROUND((Sales[[#This Row],[Mdl Land Intercept]]+Sales[[#This Row],[Mdl LnAcres]])*Sales[[#This Row],[Det/Nbhd Adj]],-2)</f>
        <v>35400</v>
      </c>
      <c r="CW164">
        <f>Sales[[#This Row],[Adjusted Impr Total]]+Sales[[#This Row],[Adjusted Land Total]]</f>
        <v>391100</v>
      </c>
      <c r="CX164" s="15">
        <f>IFERROR((Sales[[#This Row],[Adjusted Impr Total]]-Sales[[#This Row],[24Bldg]])/Sales[[#This Row],[24Bldg]],0)</f>
        <v>0.15187823834196892</v>
      </c>
      <c r="CY164" s="15">
        <f>(Sales[[#This Row],[Adjusted Land Total]]-Sales[[#This Row],[24Lnd]])/Sales[[#This Row],[24Lnd]]</f>
        <v>-0.37455830388692579</v>
      </c>
      <c r="CZ164" s="15">
        <f>(Sales[[#This Row],[Adjusted Total]]-Sales[[#This Row],[24Final]])/Sales[[#This Row],[24Final]]</f>
        <v>7.0333880678708272E-2</v>
      </c>
      <c r="DA164" s="15">
        <f>(Sales[[#This Row],[Adjusted Total]]+Sales[[#This Row],[Days Prior Total]])/Sales[[#This Row],[Price]]</f>
        <v>0.98957041798579515</v>
      </c>
    </row>
    <row r="165" spans="1:105" x14ac:dyDescent="0.3">
      <c r="A165">
        <v>2025</v>
      </c>
      <c r="B165">
        <v>18132244492</v>
      </c>
      <c r="C165">
        <v>-1.5141277326297755</v>
      </c>
      <c r="D165">
        <v>0.22</v>
      </c>
      <c r="E165">
        <v>9441</v>
      </c>
      <c r="F165">
        <v>6</v>
      </c>
      <c r="G165" t="s">
        <v>126</v>
      </c>
      <c r="H165" t="s">
        <v>349</v>
      </c>
      <c r="I165" t="s">
        <v>349</v>
      </c>
      <c r="J165" t="s">
        <v>30</v>
      </c>
      <c r="K165">
        <v>11</v>
      </c>
      <c r="L165">
        <v>259</v>
      </c>
      <c r="M165" t="s">
        <v>242</v>
      </c>
      <c r="N165" t="s">
        <v>351</v>
      </c>
      <c r="O165" t="s">
        <v>323</v>
      </c>
      <c r="P165">
        <v>90</v>
      </c>
      <c r="Q165">
        <v>1940</v>
      </c>
      <c r="R165">
        <v>1972</v>
      </c>
      <c r="S165">
        <v>84</v>
      </c>
      <c r="T165">
        <v>52</v>
      </c>
      <c r="U165">
        <v>1</v>
      </c>
      <c r="V165">
        <v>922</v>
      </c>
      <c r="W165">
        <v>0</v>
      </c>
      <c r="X165">
        <v>0</v>
      </c>
      <c r="Y165">
        <v>922</v>
      </c>
      <c r="Z165">
        <v>222</v>
      </c>
      <c r="AA165">
        <v>700</v>
      </c>
      <c r="AB165">
        <v>1622</v>
      </c>
      <c r="AC165">
        <v>2000</v>
      </c>
      <c r="AD165">
        <v>0</v>
      </c>
      <c r="AF165" t="s">
        <v>383</v>
      </c>
      <c r="AG165" t="s">
        <v>148</v>
      </c>
      <c r="AH165" t="s">
        <v>450</v>
      </c>
      <c r="AI165">
        <v>0</v>
      </c>
      <c r="AJ165">
        <v>1</v>
      </c>
      <c r="AK165">
        <v>0</v>
      </c>
      <c r="AL165">
        <v>1</v>
      </c>
      <c r="AM165">
        <v>0</v>
      </c>
      <c r="AN165">
        <v>9</v>
      </c>
      <c r="AO165">
        <v>0</v>
      </c>
      <c r="AP165">
        <v>0</v>
      </c>
      <c r="AQ165">
        <v>0</v>
      </c>
      <c r="AR165">
        <v>150</v>
      </c>
      <c r="AS165">
        <v>0</v>
      </c>
      <c r="AT165">
        <v>150</v>
      </c>
      <c r="AU165">
        <v>100</v>
      </c>
      <c r="AV165">
        <v>100</v>
      </c>
      <c r="AW165">
        <v>226916</v>
      </c>
      <c r="AX165">
        <v>156572</v>
      </c>
      <c r="AY165">
        <v>41</v>
      </c>
      <c r="AZ165">
        <v>41</v>
      </c>
      <c r="BA165">
        <v>0</v>
      </c>
      <c r="BB165">
        <v>0</v>
      </c>
      <c r="BC165" s="3">
        <v>45251</v>
      </c>
      <c r="BD165" t="s">
        <v>184</v>
      </c>
      <c r="BE165">
        <v>355000</v>
      </c>
      <c r="BF165">
        <v>320516</v>
      </c>
      <c r="BG165" t="s">
        <v>294</v>
      </c>
      <c r="BH165">
        <v>30</v>
      </c>
      <c r="BI165" t="s">
        <v>65</v>
      </c>
      <c r="BJ165" t="s">
        <v>450</v>
      </c>
      <c r="BK165">
        <v>339900</v>
      </c>
      <c r="BL165">
        <v>61700</v>
      </c>
      <c r="BM165">
        <v>278200</v>
      </c>
      <c r="BN165">
        <v>34484</v>
      </c>
      <c r="BO165">
        <v>0.95746478873239438</v>
      </c>
      <c r="BP165">
        <v>320950.59627310315</v>
      </c>
      <c r="BQ165">
        <v>323843.48233229999</v>
      </c>
      <c r="BR165" s="12">
        <f>(Sales[[#This Row],[DP1]]*Lookups!$B$59)+(Sales[[#This Row],[DP2]]*Lookups!$B$60)+(Sales[[#This Row],[DP3]]*Lookups!$B$61)</f>
        <v>-2892.8860593700001</v>
      </c>
      <c r="BS165" s="12">
        <f>Lookups!$B$56*0</f>
        <v>0</v>
      </c>
      <c r="BT165" s="12">
        <f>Lookups!$B$56*1</f>
        <v>89850.625589999996</v>
      </c>
      <c r="BU165" s="12">
        <f>Lookups!$B$57*Sales[[#This Row],[LnAcres]]</f>
        <v>-47929.131559187132</v>
      </c>
      <c r="BV165" s="12">
        <f>VLOOKUP(Sales[[#This Row],[Qlty]],Lookups!$A$62:$E$75,2,FALSE)</f>
        <v>21557.329055999999</v>
      </c>
      <c r="BW165" s="12">
        <f>VLOOKUP(Sales[[#This Row],[Cnd]],Lookups!$A$76:$E$84,2,FALSE)</f>
        <v>160472.20319</v>
      </c>
      <c r="BX165" s="12">
        <f>Sales[[#This Row],[EffAge]]*Lookups!$B$85</f>
        <v>-11598.371226000001</v>
      </c>
      <c r="BY165" s="12">
        <f>Sales[[#This Row],[MainFn]]*Lookups!$B$86</f>
        <v>45554.793626594001</v>
      </c>
      <c r="BZ165" s="12">
        <f>Sales[[#This Row],[UpprFn]]*Lookups!$B$87</f>
        <v>0</v>
      </c>
      <c r="CA165" s="12">
        <f>Sales[[#This Row],[AddFn]]*Lookups!$B$88</f>
        <v>0</v>
      </c>
      <c r="CB165" s="12">
        <f>Sales[[#This Row],[Bsmt]]*Lookups!$B$89</f>
        <v>26813.507417733999</v>
      </c>
      <c r="CC165" s="12">
        <f>Sales[[#This Row],[Fixtures]]*Lookups!$B$90</f>
        <v>34128.198946800003</v>
      </c>
      <c r="CD165" s="12">
        <f>Sales[[#This Row],[WdDeck]]*Lookups!$B$91</f>
        <v>4994.3272914000008</v>
      </c>
      <c r="CE165" s="12">
        <f>SUM(Sales[[#This Row],[Days Prior Total]:[Mdl WdDeck]])</f>
        <v>320950.59627397091</v>
      </c>
      <c r="CF165" s="12">
        <f>ROUND(Sales[[#This Row],[25Det]],-2)</f>
        <v>34500</v>
      </c>
      <c r="CG165" s="12">
        <f>ROUND(SUM(Sales[[#This Row],[Mdl Qlty]:[Mdl WdDeck]])+Sales[[#This Row],[Mdl Res Intercept]]+Sales[[#This Row],[Days Prior Total]],-2)</f>
        <v>279000</v>
      </c>
      <c r="CH165" s="12">
        <f>ROUND(Sales[[#This Row],[Mdl Land Intercept]]+Sales[[#This Row],[Mdl LnAcres]],-2)</f>
        <v>41900</v>
      </c>
      <c r="CI165" s="12">
        <f>Sales[[#This Row],[Unadj Res Value]]+Sales[[#This Row],[Unadj Det Value]]+Sales[[#This Row],[Unadj Land Value]]</f>
        <v>355400</v>
      </c>
      <c r="CJ165" s="13">
        <f>Sales[[#This Row],[Unadj Total Value]]/Sales[[#This Row],[Price]]</f>
        <v>1.0011267605633802</v>
      </c>
      <c r="CK165" s="13">
        <f>(Sales[[#This Row],[Unadj Total Value]]-Sales[[#This Row],[24Final]])/Sales[[#This Row],[24Final]]</f>
        <v>4.5601647543395116E-2</v>
      </c>
      <c r="CL165">
        <f>VLOOKUP(Sales[[#This Row],[TNbhd]],Lookups!$Q$2:$T$4,4,FALSE)</f>
        <v>0.99970000000000003</v>
      </c>
      <c r="CM165">
        <f>VLOOKUP(Sales[[#This Row],[Qlty]],Lookups!$O$7:$R$21,4,FALSE)</f>
        <v>1.0067999999999999</v>
      </c>
      <c r="CN165">
        <f>VLOOKUP(Sales[[#This Row],[Cnd]],Lookups!$T$7:$W$16,4,FALSE)</f>
        <v>0.99729999999999996</v>
      </c>
      <c r="CO165">
        <f>VLOOKUP(Sales[[#This Row],[LivArea Range]],Lookups!$T$25:$W$37,4,FALSE)</f>
        <v>1.0093000000000001</v>
      </c>
      <c r="CP165">
        <f>VLOOKUP(Sales[[#This Row],[Decade]],Lookups!$O$25:$R$42,4,FALSE)</f>
        <v>0.98909999999999998</v>
      </c>
      <c r="CQ165">
        <f>Sales[[#This Row],[Nbhd Adj]]*0.95</f>
        <v>0.94971499999999998</v>
      </c>
      <c r="CR165">
        <f>Sales[[#This Row],[Nbhd Adj]]*Sales[[#This Row],[Quality Adj]]*Sales[[#This Row],[Condition Adj]]*Sales[[#This Row],[Living Area Adj]]*Sales[[#This Row],[Decade Adj]]*0.95</f>
        <v>0.95196898294134369</v>
      </c>
      <c r="CS165">
        <f>ROUND(SUM(Sales[[#This Row],[Mdl Qlty]:[Mdl WdDeck]])+Sales[[#This Row],[Mdl Res Intercept]]*Sales[[#This Row],[Res Adj ]],-2)</f>
        <v>281900</v>
      </c>
      <c r="CT165">
        <f>ROUND(Sales[[#This Row],[25Det]]*Sales[[#This Row],[Det/Nbhd Adj]],-2)</f>
        <v>32700</v>
      </c>
      <c r="CU165">
        <f>Sales[[#This Row],[Adjusted Res]]+Sales[[#This Row],[Adj Det ]]</f>
        <v>314600</v>
      </c>
      <c r="CV165">
        <f>ROUND((Sales[[#This Row],[Mdl Land Intercept]]+Sales[[#This Row],[Mdl LnAcres]])*Sales[[#This Row],[Det/Nbhd Adj]],-2)</f>
        <v>39800</v>
      </c>
      <c r="CW165">
        <f>Sales[[#This Row],[Adjusted Impr Total]]+Sales[[#This Row],[Adjusted Land Total]]</f>
        <v>354400</v>
      </c>
      <c r="CX165" s="15">
        <f>IFERROR((Sales[[#This Row],[Adjusted Impr Total]]-Sales[[#This Row],[24Bldg]])/Sales[[#This Row],[24Bldg]],0)</f>
        <v>0.13084112149532709</v>
      </c>
      <c r="CY165" s="15">
        <f>(Sales[[#This Row],[Adjusted Land Total]]-Sales[[#This Row],[24Lnd]])/Sales[[#This Row],[24Lnd]]</f>
        <v>-0.35494327390599678</v>
      </c>
      <c r="CZ165" s="15">
        <f>(Sales[[#This Row],[Adjusted Total]]-Sales[[#This Row],[24Final]])/Sales[[#This Row],[24Final]]</f>
        <v>4.2659605766401883E-2</v>
      </c>
      <c r="DA165" s="15">
        <f>(Sales[[#This Row],[Adjusted Total]]+Sales[[#This Row],[Days Prior Total]])/Sales[[#This Row],[Price]]</f>
        <v>0.99016088433980276</v>
      </c>
    </row>
    <row r="166" spans="1:105" x14ac:dyDescent="0.3">
      <c r="A166">
        <v>2025</v>
      </c>
      <c r="B166">
        <v>18132333403</v>
      </c>
      <c r="C166">
        <v>-1.6094379124341003</v>
      </c>
      <c r="D166">
        <v>0.2</v>
      </c>
      <c r="E166">
        <v>8845</v>
      </c>
      <c r="F166">
        <v>6</v>
      </c>
      <c r="G166" t="s">
        <v>126</v>
      </c>
      <c r="H166">
        <v>3093</v>
      </c>
      <c r="I166" t="s">
        <v>349</v>
      </c>
      <c r="J166" t="s">
        <v>30</v>
      </c>
      <c r="K166">
        <v>11</v>
      </c>
      <c r="L166">
        <v>400</v>
      </c>
      <c r="M166" t="s">
        <v>269</v>
      </c>
      <c r="N166" t="s">
        <v>351</v>
      </c>
      <c r="O166" t="s">
        <v>323</v>
      </c>
      <c r="P166">
        <v>90</v>
      </c>
      <c r="Q166">
        <v>1940</v>
      </c>
      <c r="R166">
        <v>1972</v>
      </c>
      <c r="S166">
        <v>84</v>
      </c>
      <c r="T166">
        <v>52</v>
      </c>
      <c r="U166">
        <v>1</v>
      </c>
      <c r="V166">
        <v>932</v>
      </c>
      <c r="W166">
        <v>0</v>
      </c>
      <c r="X166">
        <v>0</v>
      </c>
      <c r="Y166">
        <v>932</v>
      </c>
      <c r="Z166">
        <v>932</v>
      </c>
      <c r="AA166">
        <v>0</v>
      </c>
      <c r="AB166">
        <v>932</v>
      </c>
      <c r="AC166">
        <v>1000</v>
      </c>
      <c r="AD166">
        <v>0</v>
      </c>
      <c r="AF166" t="s">
        <v>383</v>
      </c>
      <c r="AG166" t="s">
        <v>148</v>
      </c>
      <c r="AI166">
        <v>0</v>
      </c>
      <c r="AJ166">
        <v>1</v>
      </c>
      <c r="AK166">
        <v>0</v>
      </c>
      <c r="AL166">
        <v>0</v>
      </c>
      <c r="AM166">
        <v>0</v>
      </c>
      <c r="AN166">
        <v>5</v>
      </c>
      <c r="AO166">
        <v>0</v>
      </c>
      <c r="AP166">
        <v>0</v>
      </c>
      <c r="AQ166">
        <v>0</v>
      </c>
      <c r="AR166">
        <v>0</v>
      </c>
      <c r="AS166">
        <v>91</v>
      </c>
      <c r="AT166">
        <v>91</v>
      </c>
      <c r="AU166">
        <v>100</v>
      </c>
      <c r="AV166">
        <v>100</v>
      </c>
      <c r="AW166">
        <v>175682</v>
      </c>
      <c r="AX166">
        <v>121221</v>
      </c>
      <c r="AY166">
        <v>252</v>
      </c>
      <c r="AZ166">
        <v>252</v>
      </c>
      <c r="BA166">
        <v>0</v>
      </c>
      <c r="BB166">
        <v>0</v>
      </c>
      <c r="BC166" s="3">
        <v>45040</v>
      </c>
      <c r="BD166" t="s">
        <v>40</v>
      </c>
      <c r="BE166">
        <v>285000</v>
      </c>
      <c r="BF166">
        <v>280630</v>
      </c>
      <c r="BG166" t="s">
        <v>294</v>
      </c>
      <c r="BH166">
        <v>30</v>
      </c>
      <c r="BI166" t="s">
        <v>65</v>
      </c>
      <c r="BJ166" t="s">
        <v>450</v>
      </c>
      <c r="BK166">
        <v>282200</v>
      </c>
      <c r="BL166">
        <v>58400</v>
      </c>
      <c r="BM166">
        <v>223800</v>
      </c>
      <c r="BN166">
        <v>4370</v>
      </c>
      <c r="BO166">
        <v>0.99017543859649126</v>
      </c>
      <c r="BP166">
        <v>283668.29961880262</v>
      </c>
      <c r="BQ166">
        <v>301448.96515337826</v>
      </c>
      <c r="BR166" s="12">
        <f>(Sales[[#This Row],[DP1]]*Lookups!$B$59)+(Sales[[#This Row],[DP2]]*Lookups!$B$60)+(Sales[[#This Row],[DP3]]*Lookups!$B$61)</f>
        <v>-17780.665535640001</v>
      </c>
      <c r="BS166" s="12">
        <f>Lookups!$B$56*0</f>
        <v>0</v>
      </c>
      <c r="BT166" s="12">
        <f>Lookups!$B$56*1</f>
        <v>89850.625589999996</v>
      </c>
      <c r="BU166" s="12">
        <f>Lookups!$B$57*Sales[[#This Row],[LnAcres]]</f>
        <v>-50946.13867709865</v>
      </c>
      <c r="BV166" s="12">
        <f>VLOOKUP(Sales[[#This Row],[Qlty]],Lookups!$A$62:$E$75,2,FALSE)</f>
        <v>21557.329055999999</v>
      </c>
      <c r="BW166" s="12">
        <f>VLOOKUP(Sales[[#This Row],[Cnd]],Lookups!$A$76:$E$84,2,FALSE)</f>
        <v>160472.20319</v>
      </c>
      <c r="BX166" s="12">
        <f>Sales[[#This Row],[EffAge]]*Lookups!$B$85</f>
        <v>-11598.371226000001</v>
      </c>
      <c r="BY166" s="12">
        <f>Sales[[#This Row],[MainFn]]*Lookups!$B$86</f>
        <v>46048.880325364</v>
      </c>
      <c r="BZ166" s="12">
        <f>Sales[[#This Row],[UpprFn]]*Lookups!$B$87</f>
        <v>0</v>
      </c>
      <c r="CA166" s="12">
        <f>Sales[[#This Row],[AddFn]]*Lookups!$B$88</f>
        <v>0</v>
      </c>
      <c r="CB166" s="12">
        <f>Sales[[#This Row],[Bsmt]]*Lookups!$B$89</f>
        <v>27104.326370203999</v>
      </c>
      <c r="CC166" s="12">
        <f>Sales[[#This Row],[Fixtures]]*Lookups!$B$90</f>
        <v>18960.110526</v>
      </c>
      <c r="CD166" s="12">
        <f>Sales[[#This Row],[WdDeck]]*Lookups!$B$91</f>
        <v>0</v>
      </c>
      <c r="CE166" s="12">
        <f>SUM(Sales[[#This Row],[Days Prior Total]:[Mdl WdDeck]])</f>
        <v>283668.29961882933</v>
      </c>
      <c r="CF166" s="12">
        <f>ROUND(Sales[[#This Row],[25Det]],-2)</f>
        <v>4400</v>
      </c>
      <c r="CG166" s="12">
        <f>ROUND(SUM(Sales[[#This Row],[Mdl Qlty]:[Mdl WdDeck]])+Sales[[#This Row],[Mdl Res Intercept]]+Sales[[#This Row],[Days Prior Total]],-2)</f>
        <v>244800</v>
      </c>
      <c r="CH166" s="12">
        <f>ROUND(Sales[[#This Row],[Mdl Land Intercept]]+Sales[[#This Row],[Mdl LnAcres]],-2)</f>
        <v>38900</v>
      </c>
      <c r="CI166" s="12">
        <f>Sales[[#This Row],[Unadj Res Value]]+Sales[[#This Row],[Unadj Det Value]]+Sales[[#This Row],[Unadj Land Value]]</f>
        <v>288100</v>
      </c>
      <c r="CJ166" s="13">
        <f>Sales[[#This Row],[Unadj Total Value]]/Sales[[#This Row],[Price]]</f>
        <v>1.010877192982456</v>
      </c>
      <c r="CK166" s="13">
        <f>(Sales[[#This Row],[Unadj Total Value]]-Sales[[#This Row],[24Final]])/Sales[[#This Row],[24Final]]</f>
        <v>2.0907158043940468E-2</v>
      </c>
      <c r="CL166">
        <f>VLOOKUP(Sales[[#This Row],[TNbhd]],Lookups!$Q$2:$T$4,4,FALSE)</f>
        <v>0.99970000000000003</v>
      </c>
      <c r="CM166">
        <f>VLOOKUP(Sales[[#This Row],[Qlty]],Lookups!$O$7:$R$21,4,FALSE)</f>
        <v>1.0067999999999999</v>
      </c>
      <c r="CN166">
        <f>VLOOKUP(Sales[[#This Row],[Cnd]],Lookups!$T$7:$W$16,4,FALSE)</f>
        <v>0.99729999999999996</v>
      </c>
      <c r="CO166">
        <f>VLOOKUP(Sales[[#This Row],[LivArea Range]],Lookups!$T$25:$W$37,4,FALSE)</f>
        <v>1.0148999999999999</v>
      </c>
      <c r="CP166">
        <f>VLOOKUP(Sales[[#This Row],[Decade]],Lookups!$O$25:$R$42,4,FALSE)</f>
        <v>0.98909999999999998</v>
      </c>
      <c r="CQ166">
        <f>Sales[[#This Row],[Nbhd Adj]]*0.95</f>
        <v>0.94971499999999998</v>
      </c>
      <c r="CR166">
        <f>Sales[[#This Row],[Nbhd Adj]]*Sales[[#This Row],[Quality Adj]]*Sales[[#This Row],[Condition Adj]]*Sales[[#This Row],[Living Area Adj]]*Sales[[#This Row],[Decade Adj]]*0.95</f>
        <v>0.95725088753311172</v>
      </c>
      <c r="CS166">
        <f>ROUND(SUM(Sales[[#This Row],[Mdl Qlty]:[Mdl WdDeck]])+Sales[[#This Row],[Mdl Res Intercept]]*Sales[[#This Row],[Res Adj ]],-2)</f>
        <v>262500</v>
      </c>
      <c r="CT166">
        <f>ROUND(Sales[[#This Row],[25Det]]*Sales[[#This Row],[Det/Nbhd Adj]],-2)</f>
        <v>4200</v>
      </c>
      <c r="CU166">
        <f>Sales[[#This Row],[Adjusted Res]]+Sales[[#This Row],[Adj Det ]]</f>
        <v>266700</v>
      </c>
      <c r="CV166">
        <f>ROUND((Sales[[#This Row],[Mdl Land Intercept]]+Sales[[#This Row],[Mdl LnAcres]])*Sales[[#This Row],[Det/Nbhd Adj]],-2)</f>
        <v>36900</v>
      </c>
      <c r="CW166">
        <f>Sales[[#This Row],[Adjusted Impr Total]]+Sales[[#This Row],[Adjusted Land Total]]</f>
        <v>303600</v>
      </c>
      <c r="CX166" s="15">
        <f>IFERROR((Sales[[#This Row],[Adjusted Impr Total]]-Sales[[#This Row],[24Bldg]])/Sales[[#This Row],[24Bldg]],0)</f>
        <v>0.19168900804289543</v>
      </c>
      <c r="CY166" s="15">
        <f>(Sales[[#This Row],[Adjusted Land Total]]-Sales[[#This Row],[24Lnd]])/Sales[[#This Row],[24Lnd]]</f>
        <v>-0.36815068493150682</v>
      </c>
      <c r="CZ166" s="15">
        <f>(Sales[[#This Row],[Adjusted Total]]-Sales[[#This Row],[24Final]])/Sales[[#This Row],[24Final]]</f>
        <v>7.5832742735648481E-2</v>
      </c>
      <c r="DA166" s="15">
        <f>(Sales[[#This Row],[Adjusted Total]]+Sales[[#This Row],[Days Prior Total]])/Sales[[#This Row],[Price]]</f>
        <v>1.0028748577696842</v>
      </c>
    </row>
    <row r="167" spans="1:105" x14ac:dyDescent="0.3">
      <c r="A167">
        <v>2025</v>
      </c>
      <c r="B167">
        <v>18132342522</v>
      </c>
      <c r="C167">
        <v>-1.9661128563728327</v>
      </c>
      <c r="D167">
        <v>0.14000000000000001</v>
      </c>
      <c r="E167">
        <v>5986</v>
      </c>
      <c r="F167">
        <v>6</v>
      </c>
      <c r="G167" t="s">
        <v>126</v>
      </c>
      <c r="H167">
        <v>3032</v>
      </c>
      <c r="I167" t="s">
        <v>349</v>
      </c>
      <c r="J167" t="s">
        <v>30</v>
      </c>
      <c r="K167">
        <v>11</v>
      </c>
      <c r="L167">
        <v>259</v>
      </c>
      <c r="M167" t="s">
        <v>269</v>
      </c>
      <c r="N167" t="s">
        <v>148</v>
      </c>
      <c r="O167" t="s">
        <v>303</v>
      </c>
      <c r="P167">
        <v>90</v>
      </c>
      <c r="Q167">
        <v>1940</v>
      </c>
      <c r="R167">
        <v>1972</v>
      </c>
      <c r="S167">
        <v>84</v>
      </c>
      <c r="T167">
        <v>52</v>
      </c>
      <c r="U167">
        <v>1</v>
      </c>
      <c r="V167">
        <v>1218</v>
      </c>
      <c r="W167">
        <v>0</v>
      </c>
      <c r="X167">
        <v>0</v>
      </c>
      <c r="Y167">
        <v>662</v>
      </c>
      <c r="Z167">
        <v>0</v>
      </c>
      <c r="AA167">
        <v>662</v>
      </c>
      <c r="AB167">
        <v>1880</v>
      </c>
      <c r="AC167">
        <v>2000</v>
      </c>
      <c r="AD167">
        <v>0</v>
      </c>
      <c r="AF167" t="s">
        <v>383</v>
      </c>
      <c r="AG167" t="s">
        <v>148</v>
      </c>
      <c r="AH167" t="s">
        <v>450</v>
      </c>
      <c r="AI167">
        <v>0</v>
      </c>
      <c r="AJ167">
        <v>2</v>
      </c>
      <c r="AK167">
        <v>0</v>
      </c>
      <c r="AL167">
        <v>0</v>
      </c>
      <c r="AM167">
        <v>0</v>
      </c>
      <c r="AN167">
        <v>8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100</v>
      </c>
      <c r="AV167">
        <v>100</v>
      </c>
      <c r="AW167">
        <v>338388</v>
      </c>
      <c r="AX167">
        <v>260559</v>
      </c>
      <c r="AY167">
        <v>704</v>
      </c>
      <c r="AZ167">
        <v>365</v>
      </c>
      <c r="BA167">
        <v>339</v>
      </c>
      <c r="BB167">
        <v>0</v>
      </c>
      <c r="BC167" s="3">
        <v>44588</v>
      </c>
      <c r="BD167" t="s">
        <v>119</v>
      </c>
      <c r="BE167">
        <v>349900</v>
      </c>
      <c r="BF167">
        <v>339489</v>
      </c>
      <c r="BG167" t="s">
        <v>294</v>
      </c>
      <c r="BH167">
        <v>30</v>
      </c>
      <c r="BI167" t="s">
        <v>65</v>
      </c>
      <c r="BJ167" t="s">
        <v>450</v>
      </c>
      <c r="BK167">
        <v>351100</v>
      </c>
      <c r="BL167">
        <v>46000</v>
      </c>
      <c r="BM167">
        <v>305100</v>
      </c>
      <c r="BN167">
        <v>10411</v>
      </c>
      <c r="BO167">
        <v>1.0034295513003715</v>
      </c>
      <c r="BP167">
        <v>345796.29754221434</v>
      </c>
      <c r="BQ167">
        <v>367657.24409860803</v>
      </c>
      <c r="BR167" s="12">
        <f>(Sales[[#This Row],[DP1]]*Lookups!$B$59)+(Sales[[#This Row],[DP2]]*Lookups!$B$60)+(Sales[[#This Row],[DP3]]*Lookups!$B$61)</f>
        <v>-21860.946558022002</v>
      </c>
      <c r="BS167" s="12">
        <f>Lookups!$B$56*0</f>
        <v>0</v>
      </c>
      <c r="BT167" s="12">
        <f>Lookups!$B$56*1</f>
        <v>89850.625589999996</v>
      </c>
      <c r="BU167" s="12">
        <f>Lookups!$B$57*Sales[[#This Row],[LnAcres]]</f>
        <v>-62236.546971921947</v>
      </c>
      <c r="BV167" s="12">
        <f>VLOOKUP(Sales[[#This Row],[Qlty]],Lookups!$A$62:$E$75,2,FALSE)</f>
        <v>44121.038090000002</v>
      </c>
      <c r="BW167" s="12">
        <f>VLOOKUP(Sales[[#This Row],[Cnd]],Lookups!$A$76:$E$84,2,FALSE)</f>
        <v>197752.34721000001</v>
      </c>
      <c r="BX167" s="12">
        <f>Sales[[#This Row],[EffAge]]*Lookups!$B$85</f>
        <v>-11598.371226000001</v>
      </c>
      <c r="BY167" s="12">
        <f>Sales[[#This Row],[MainFn]]*Lookups!$B$86</f>
        <v>60179.759910186003</v>
      </c>
      <c r="BZ167" s="12">
        <f>Sales[[#This Row],[UpprFn]]*Lookups!$B$87</f>
        <v>0</v>
      </c>
      <c r="CA167" s="12">
        <f>Sales[[#This Row],[AddFn]]*Lookups!$B$88</f>
        <v>0</v>
      </c>
      <c r="CB167" s="12">
        <f>Sales[[#This Row],[Bsmt]]*Lookups!$B$89</f>
        <v>19252.214653513998</v>
      </c>
      <c r="CC167" s="12">
        <f>Sales[[#This Row],[Fixtures]]*Lookups!$B$90</f>
        <v>30336.176841600001</v>
      </c>
      <c r="CD167" s="12">
        <f>Sales[[#This Row],[WdDeck]]*Lookups!$B$91</f>
        <v>0</v>
      </c>
      <c r="CE167" s="12">
        <f>SUM(Sales[[#This Row],[Days Prior Total]:[Mdl WdDeck]])</f>
        <v>345796.29753935605</v>
      </c>
      <c r="CF167" s="12">
        <f>ROUND(Sales[[#This Row],[25Det]],-2)</f>
        <v>10400</v>
      </c>
      <c r="CG167" s="12">
        <f>ROUND(SUM(Sales[[#This Row],[Mdl Qlty]:[Mdl WdDeck]])+Sales[[#This Row],[Mdl Res Intercept]]+Sales[[#This Row],[Days Prior Total]],-2)</f>
        <v>318200</v>
      </c>
      <c r="CH167" s="12">
        <f>ROUND(Sales[[#This Row],[Mdl Land Intercept]]+Sales[[#This Row],[Mdl LnAcres]],-2)</f>
        <v>27600</v>
      </c>
      <c r="CI167" s="12">
        <f>Sales[[#This Row],[Unadj Res Value]]+Sales[[#This Row],[Unadj Det Value]]+Sales[[#This Row],[Unadj Land Value]]</f>
        <v>356200</v>
      </c>
      <c r="CJ167" s="13">
        <f>Sales[[#This Row],[Unadj Total Value]]/Sales[[#This Row],[Price]]</f>
        <v>1.0180051443269507</v>
      </c>
      <c r="CK167" s="13">
        <f>(Sales[[#This Row],[Unadj Total Value]]-Sales[[#This Row],[24Final]])/Sales[[#This Row],[24Final]]</f>
        <v>1.452577613215608E-2</v>
      </c>
      <c r="CL167">
        <f>VLOOKUP(Sales[[#This Row],[TNbhd]],Lookups!$Q$2:$T$4,4,FALSE)</f>
        <v>0.99970000000000003</v>
      </c>
      <c r="CM167">
        <f>VLOOKUP(Sales[[#This Row],[Qlty]],Lookups!$O$7:$R$21,4,FALSE)</f>
        <v>0.98050000000000004</v>
      </c>
      <c r="CN167">
        <f>VLOOKUP(Sales[[#This Row],[Cnd]],Lookups!$T$7:$W$16,4,FALSE)</f>
        <v>0.99650000000000005</v>
      </c>
      <c r="CO167">
        <f>VLOOKUP(Sales[[#This Row],[LivArea Range]],Lookups!$T$25:$W$37,4,FALSE)</f>
        <v>1.0093000000000001</v>
      </c>
      <c r="CP167">
        <f>VLOOKUP(Sales[[#This Row],[Decade]],Lookups!$O$25:$R$42,4,FALSE)</f>
        <v>0.98909999999999998</v>
      </c>
      <c r="CQ167">
        <f>Sales[[#This Row],[Nbhd Adj]]*0.95</f>
        <v>0.94971499999999998</v>
      </c>
      <c r="CR167">
        <f>Sales[[#This Row],[Nbhd Adj]]*Sales[[#This Row],[Quality Adj]]*Sales[[#This Row],[Condition Adj]]*Sales[[#This Row],[Living Area Adj]]*Sales[[#This Row],[Decade Adj]]*0.95</f>
        <v>0.92635760994173622</v>
      </c>
      <c r="CS167">
        <f>ROUND(SUM(Sales[[#This Row],[Mdl Qlty]:[Mdl WdDeck]])+Sales[[#This Row],[Mdl Res Intercept]]*Sales[[#This Row],[Res Adj ]],-2)</f>
        <v>340000</v>
      </c>
      <c r="CT167">
        <f>ROUND(Sales[[#This Row],[25Det]]*Sales[[#This Row],[Det/Nbhd Adj]],-2)</f>
        <v>9900</v>
      </c>
      <c r="CU167">
        <f>Sales[[#This Row],[Adjusted Res]]+Sales[[#This Row],[Adj Det ]]</f>
        <v>349900</v>
      </c>
      <c r="CV167">
        <f>ROUND((Sales[[#This Row],[Mdl Land Intercept]]+Sales[[#This Row],[Mdl LnAcres]])*Sales[[#This Row],[Det/Nbhd Adj]],-2)</f>
        <v>26200</v>
      </c>
      <c r="CW167">
        <f>Sales[[#This Row],[Adjusted Impr Total]]+Sales[[#This Row],[Adjusted Land Total]]</f>
        <v>376100</v>
      </c>
      <c r="CX167" s="15">
        <f>IFERROR((Sales[[#This Row],[Adjusted Impr Total]]-Sales[[#This Row],[24Bldg]])/Sales[[#This Row],[24Bldg]],0)</f>
        <v>0.14683710258931498</v>
      </c>
      <c r="CY167" s="15">
        <f>(Sales[[#This Row],[Adjusted Land Total]]-Sales[[#This Row],[24Lnd]])/Sales[[#This Row],[24Lnd]]</f>
        <v>-0.43043478260869567</v>
      </c>
      <c r="CZ167" s="15">
        <f>(Sales[[#This Row],[Adjusted Total]]-Sales[[#This Row],[24Final]])/Sales[[#This Row],[24Final]]</f>
        <v>7.1204784961549417E-2</v>
      </c>
      <c r="DA167" s="15">
        <f>(Sales[[#This Row],[Adjusted Total]]+Sales[[#This Row],[Days Prior Total]])/Sales[[#This Row],[Price]]</f>
        <v>1.0124008386452643</v>
      </c>
    </row>
    <row r="168" spans="1:105" x14ac:dyDescent="0.3">
      <c r="A168">
        <v>2025</v>
      </c>
      <c r="B168">
        <v>18132342466</v>
      </c>
      <c r="C168">
        <v>-1.1394342831883648</v>
      </c>
      <c r="D168">
        <v>0.32</v>
      </c>
      <c r="E168">
        <v>13900</v>
      </c>
      <c r="F168">
        <v>6</v>
      </c>
      <c r="G168" t="s">
        <v>126</v>
      </c>
      <c r="H168">
        <v>3032</v>
      </c>
      <c r="I168" t="s">
        <v>349</v>
      </c>
      <c r="J168" t="s">
        <v>30</v>
      </c>
      <c r="K168">
        <v>11</v>
      </c>
      <c r="L168">
        <v>259</v>
      </c>
      <c r="M168" t="s">
        <v>241</v>
      </c>
      <c r="N168" t="s">
        <v>148</v>
      </c>
      <c r="O168" t="s">
        <v>303</v>
      </c>
      <c r="P168">
        <v>90</v>
      </c>
      <c r="Q168">
        <v>1940</v>
      </c>
      <c r="R168">
        <v>1972</v>
      </c>
      <c r="S168">
        <v>84</v>
      </c>
      <c r="T168">
        <v>52</v>
      </c>
      <c r="U168">
        <v>1</v>
      </c>
      <c r="V168">
        <v>1710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1710</v>
      </c>
      <c r="AC168">
        <v>2000</v>
      </c>
      <c r="AD168">
        <v>2</v>
      </c>
      <c r="AF168" t="s">
        <v>383</v>
      </c>
      <c r="AG168" t="s">
        <v>382</v>
      </c>
      <c r="AH168" t="s">
        <v>450</v>
      </c>
      <c r="AI168">
        <v>0</v>
      </c>
      <c r="AJ168">
        <v>1</v>
      </c>
      <c r="AK168">
        <v>0</v>
      </c>
      <c r="AL168">
        <v>1</v>
      </c>
      <c r="AM168">
        <v>0</v>
      </c>
      <c r="AN168">
        <v>8</v>
      </c>
      <c r="AO168">
        <v>441</v>
      </c>
      <c r="AP168">
        <v>0</v>
      </c>
      <c r="AQ168">
        <v>0</v>
      </c>
      <c r="AR168">
        <v>0</v>
      </c>
      <c r="AS168">
        <v>100</v>
      </c>
      <c r="AT168">
        <v>0</v>
      </c>
      <c r="AU168">
        <v>100</v>
      </c>
      <c r="AV168">
        <v>100</v>
      </c>
      <c r="AW168">
        <v>385914</v>
      </c>
      <c r="AX168">
        <v>297154</v>
      </c>
      <c r="AY168">
        <v>907</v>
      </c>
      <c r="AZ168">
        <v>365</v>
      </c>
      <c r="BA168">
        <v>365</v>
      </c>
      <c r="BB168">
        <v>177</v>
      </c>
      <c r="BC168" s="3">
        <v>44385</v>
      </c>
      <c r="BD168" t="s">
        <v>371</v>
      </c>
      <c r="BE168">
        <v>345000</v>
      </c>
      <c r="BF168">
        <v>345000</v>
      </c>
      <c r="BG168" t="s">
        <v>294</v>
      </c>
      <c r="BH168">
        <v>30</v>
      </c>
      <c r="BI168" t="s">
        <v>65</v>
      </c>
      <c r="BJ168" t="s">
        <v>450</v>
      </c>
      <c r="BK168">
        <v>426500</v>
      </c>
      <c r="BL168">
        <v>74800</v>
      </c>
      <c r="BM168">
        <v>351700</v>
      </c>
      <c r="BN168">
        <v>0</v>
      </c>
      <c r="BO168">
        <v>1.2362318840579709</v>
      </c>
      <c r="BP168">
        <v>353651.16032728809</v>
      </c>
      <c r="BQ168">
        <v>398882.28759956989</v>
      </c>
      <c r="BR168" s="12">
        <f>(Sales[[#This Row],[DP1]]*Lookups!$B$59)+(Sales[[#This Row],[DP2]]*Lookups!$B$60)+(Sales[[#This Row],[DP3]]*Lookups!$B$61)</f>
        <v>-45231.127278370004</v>
      </c>
      <c r="BS168" s="12">
        <f>Lookups!$B$56*0</f>
        <v>0</v>
      </c>
      <c r="BT168" s="12">
        <f>Lookups!$B$56*1</f>
        <v>89850.625589999996</v>
      </c>
      <c r="BU168" s="12">
        <f>Lookups!$B$57*Sales[[#This Row],[LnAcres]]</f>
        <v>-36068.354396449467</v>
      </c>
      <c r="BV168" s="12">
        <f>VLOOKUP(Sales[[#This Row],[Qlty]],Lookups!$A$62:$E$75,2,FALSE)</f>
        <v>44121.038090000002</v>
      </c>
      <c r="BW168" s="12">
        <f>VLOOKUP(Sales[[#This Row],[Cnd]],Lookups!$A$76:$E$84,2,FALSE)</f>
        <v>197752.34721000001</v>
      </c>
      <c r="BX168" s="12">
        <f>Sales[[#This Row],[EffAge]]*Lookups!$B$85</f>
        <v>-11598.371226000001</v>
      </c>
      <c r="BY168" s="12">
        <f>Sales[[#This Row],[MainFn]]*Lookups!$B$86</f>
        <v>84488.825489670009</v>
      </c>
      <c r="BZ168" s="12">
        <f>Sales[[#This Row],[UpprFn]]*Lookups!$B$87</f>
        <v>0</v>
      </c>
      <c r="CA168" s="12">
        <f>Sales[[#This Row],[AddFn]]*Lookups!$B$88</f>
        <v>0</v>
      </c>
      <c r="CB168" s="12">
        <f>Sales[[#This Row],[Bsmt]]*Lookups!$B$89</f>
        <v>0</v>
      </c>
      <c r="CC168" s="12">
        <f>Sales[[#This Row],[Fixtures]]*Lookups!$B$90</f>
        <v>30336.176841600001</v>
      </c>
      <c r="CD168" s="12">
        <f>Sales[[#This Row],[WdDeck]]*Lookups!$B$91</f>
        <v>0</v>
      </c>
      <c r="CE168" s="12">
        <f>SUM(Sales[[#This Row],[Days Prior Total]:[Mdl WdDeck]])</f>
        <v>353651.16032045055</v>
      </c>
      <c r="CF168" s="12">
        <f>ROUND(Sales[[#This Row],[25Det]],-2)</f>
        <v>0</v>
      </c>
      <c r="CG168" s="12">
        <f>ROUND(SUM(Sales[[#This Row],[Mdl Qlty]:[Mdl WdDeck]])+Sales[[#This Row],[Mdl Res Intercept]]+Sales[[#This Row],[Days Prior Total]],-2)</f>
        <v>299900</v>
      </c>
      <c r="CH168" s="12">
        <f>ROUND(Sales[[#This Row],[Mdl Land Intercept]]+Sales[[#This Row],[Mdl LnAcres]],-2)</f>
        <v>53800</v>
      </c>
      <c r="CI168" s="12">
        <f>Sales[[#This Row],[Unadj Res Value]]+Sales[[#This Row],[Unadj Det Value]]+Sales[[#This Row],[Unadj Land Value]]</f>
        <v>353700</v>
      </c>
      <c r="CJ168" s="13">
        <f>Sales[[#This Row],[Unadj Total Value]]/Sales[[#This Row],[Price]]</f>
        <v>1.0252173913043479</v>
      </c>
      <c r="CK168" s="13">
        <f>(Sales[[#This Row],[Unadj Total Value]]-Sales[[#This Row],[24Final]])/Sales[[#This Row],[24Final]]</f>
        <v>-0.17069167643610786</v>
      </c>
      <c r="CL168">
        <f>VLOOKUP(Sales[[#This Row],[TNbhd]],Lookups!$Q$2:$T$4,4,FALSE)</f>
        <v>0.99970000000000003</v>
      </c>
      <c r="CM168">
        <f>VLOOKUP(Sales[[#This Row],[Qlty]],Lookups!$O$7:$R$21,4,FALSE)</f>
        <v>0.98050000000000004</v>
      </c>
      <c r="CN168">
        <f>VLOOKUP(Sales[[#This Row],[Cnd]],Lookups!$T$7:$W$16,4,FALSE)</f>
        <v>0.99650000000000005</v>
      </c>
      <c r="CO168">
        <f>VLOOKUP(Sales[[#This Row],[LivArea Range]],Lookups!$T$25:$W$37,4,FALSE)</f>
        <v>1.0093000000000001</v>
      </c>
      <c r="CP168">
        <f>VLOOKUP(Sales[[#This Row],[Decade]],Lookups!$O$25:$R$42,4,FALSE)</f>
        <v>0.98909999999999998</v>
      </c>
      <c r="CQ168">
        <f>Sales[[#This Row],[Nbhd Adj]]*0.95</f>
        <v>0.94971499999999998</v>
      </c>
      <c r="CR168">
        <f>Sales[[#This Row],[Nbhd Adj]]*Sales[[#This Row],[Quality Adj]]*Sales[[#This Row],[Condition Adj]]*Sales[[#This Row],[Living Area Adj]]*Sales[[#This Row],[Decade Adj]]*0.95</f>
        <v>0.92635760994173622</v>
      </c>
      <c r="CS168">
        <f>ROUND(SUM(Sales[[#This Row],[Mdl Qlty]:[Mdl WdDeck]])+Sales[[#This Row],[Mdl Res Intercept]]*Sales[[#This Row],[Res Adj ]],-2)</f>
        <v>345100</v>
      </c>
      <c r="CT168">
        <f>ROUND(Sales[[#This Row],[25Det]]*Sales[[#This Row],[Det/Nbhd Adj]],-2)</f>
        <v>0</v>
      </c>
      <c r="CU168">
        <f>Sales[[#This Row],[Adjusted Res]]+Sales[[#This Row],[Adj Det ]]</f>
        <v>345100</v>
      </c>
      <c r="CV168">
        <f>ROUND((Sales[[#This Row],[Mdl Land Intercept]]+Sales[[#This Row],[Mdl LnAcres]])*Sales[[#This Row],[Det/Nbhd Adj]],-2)</f>
        <v>51100</v>
      </c>
      <c r="CW168">
        <f>Sales[[#This Row],[Adjusted Impr Total]]+Sales[[#This Row],[Adjusted Land Total]]</f>
        <v>396200</v>
      </c>
      <c r="CX168" s="15">
        <f>IFERROR((Sales[[#This Row],[Adjusted Impr Total]]-Sales[[#This Row],[24Bldg]])/Sales[[#This Row],[24Bldg]],0)</f>
        <v>-1.8765993744668752E-2</v>
      </c>
      <c r="CY168" s="15">
        <f>(Sales[[#This Row],[Adjusted Land Total]]-Sales[[#This Row],[24Lnd]])/Sales[[#This Row],[24Lnd]]</f>
        <v>-0.31684491978609625</v>
      </c>
      <c r="CZ168" s="15">
        <f>(Sales[[#This Row],[Adjusted Total]]-Sales[[#This Row],[24Final]])/Sales[[#This Row],[24Final]]</f>
        <v>-7.1043376318874557E-2</v>
      </c>
      <c r="DA168" s="15">
        <f>(Sales[[#This Row],[Adjusted Total]]+Sales[[#This Row],[Days Prior Total]])/Sales[[#This Row],[Price]]</f>
        <v>1.0173010803525506</v>
      </c>
    </row>
    <row r="169" spans="1:105" x14ac:dyDescent="0.3">
      <c r="A169">
        <v>2025</v>
      </c>
      <c r="B169">
        <v>18132214017</v>
      </c>
      <c r="C169">
        <v>-2.0402208285265546</v>
      </c>
      <c r="D169">
        <v>0.13</v>
      </c>
      <c r="E169">
        <v>5692</v>
      </c>
      <c r="F169">
        <v>6</v>
      </c>
      <c r="G169" t="s">
        <v>126</v>
      </c>
      <c r="H169">
        <v>3033</v>
      </c>
      <c r="I169" t="s">
        <v>349</v>
      </c>
      <c r="J169" t="s">
        <v>30</v>
      </c>
      <c r="K169">
        <v>11</v>
      </c>
      <c r="L169">
        <v>259</v>
      </c>
      <c r="M169" t="s">
        <v>242</v>
      </c>
      <c r="N169" t="s">
        <v>205</v>
      </c>
      <c r="O169" t="s">
        <v>323</v>
      </c>
      <c r="P169">
        <v>90</v>
      </c>
      <c r="Q169">
        <v>1940</v>
      </c>
      <c r="R169">
        <v>1972</v>
      </c>
      <c r="S169">
        <v>84</v>
      </c>
      <c r="T169">
        <v>52</v>
      </c>
      <c r="U169">
        <v>1</v>
      </c>
      <c r="V169">
        <v>706</v>
      </c>
      <c r="W169">
        <v>0</v>
      </c>
      <c r="X169">
        <v>0</v>
      </c>
      <c r="Y169">
        <v>706</v>
      </c>
      <c r="Z169">
        <v>356</v>
      </c>
      <c r="AA169">
        <v>350</v>
      </c>
      <c r="AB169">
        <v>1056</v>
      </c>
      <c r="AC169">
        <v>1500</v>
      </c>
      <c r="AD169">
        <v>0</v>
      </c>
      <c r="AF169" t="s">
        <v>383</v>
      </c>
      <c r="AG169" t="s">
        <v>175</v>
      </c>
      <c r="AH169" t="s">
        <v>65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5</v>
      </c>
      <c r="AO169">
        <v>0</v>
      </c>
      <c r="AP169">
        <v>0</v>
      </c>
      <c r="AQ169">
        <v>0</v>
      </c>
      <c r="AR169">
        <v>225</v>
      </c>
      <c r="AS169">
        <v>0</v>
      </c>
      <c r="AT169">
        <v>9</v>
      </c>
      <c r="AU169">
        <v>100</v>
      </c>
      <c r="AV169">
        <v>100</v>
      </c>
      <c r="AW169">
        <v>145992</v>
      </c>
      <c r="AX169">
        <v>100734</v>
      </c>
      <c r="AY169">
        <v>384</v>
      </c>
      <c r="AZ169">
        <v>365</v>
      </c>
      <c r="BA169">
        <v>19</v>
      </c>
      <c r="BB169">
        <v>0</v>
      </c>
      <c r="BC169" s="3">
        <v>44908</v>
      </c>
      <c r="BD169" t="s">
        <v>210</v>
      </c>
      <c r="BE169">
        <v>227000</v>
      </c>
      <c r="BF169">
        <v>221579</v>
      </c>
      <c r="BG169" t="s">
        <v>294</v>
      </c>
      <c r="BH169">
        <v>30</v>
      </c>
      <c r="BI169" t="s">
        <v>65</v>
      </c>
      <c r="BJ169" t="s">
        <v>450</v>
      </c>
      <c r="BK169">
        <v>243400</v>
      </c>
      <c r="BL169">
        <v>43400</v>
      </c>
      <c r="BM169">
        <v>200000</v>
      </c>
      <c r="BN169">
        <v>5421</v>
      </c>
      <c r="BO169">
        <v>1.0722466960352424</v>
      </c>
      <c r="BP169">
        <v>230472.4301544778</v>
      </c>
      <c r="BQ169">
        <v>256007.99163959335</v>
      </c>
      <c r="BR169" s="12">
        <f>(Sales[[#This Row],[DP1]]*Lookups!$B$59)+(Sales[[#This Row],[DP2]]*Lookups!$B$60)+(Sales[[#This Row],[DP3]]*Lookups!$B$61)</f>
        <v>-25535.561486662002</v>
      </c>
      <c r="BS169" s="12">
        <f>Lookups!$B$56*0</f>
        <v>0</v>
      </c>
      <c r="BT169" s="12">
        <f>Lookups!$B$56*1</f>
        <v>89850.625589999996</v>
      </c>
      <c r="BU169" s="12">
        <f>Lookups!$B$57*Sales[[#This Row],[LnAcres]]</f>
        <v>-64582.406353792743</v>
      </c>
      <c r="BV169" s="12">
        <f>VLOOKUP(Sales[[#This Row],[Qlty]],Lookups!$A$62:$E$75,2,FALSE)</f>
        <v>0</v>
      </c>
      <c r="BW169" s="12">
        <f>VLOOKUP(Sales[[#This Row],[Cnd]],Lookups!$A$76:$E$84,2,FALSE)</f>
        <v>160472.20319</v>
      </c>
      <c r="BX169" s="12">
        <f>Sales[[#This Row],[EffAge]]*Lookups!$B$85</f>
        <v>-11598.371226000001</v>
      </c>
      <c r="BY169" s="12">
        <f>Sales[[#This Row],[MainFn]]*Lookups!$B$86</f>
        <v>34882.520933161999</v>
      </c>
      <c r="BZ169" s="12">
        <f>Sales[[#This Row],[UpprFn]]*Lookups!$B$87</f>
        <v>0</v>
      </c>
      <c r="CA169" s="12">
        <f>Sales[[#This Row],[AddFn]]*Lookups!$B$88</f>
        <v>0</v>
      </c>
      <c r="CB169" s="12">
        <f>Sales[[#This Row],[Bsmt]]*Lookups!$B$89</f>
        <v>20531.818044381998</v>
      </c>
      <c r="CC169" s="12">
        <f>Sales[[#This Row],[Fixtures]]*Lookups!$B$90</f>
        <v>18960.110526</v>
      </c>
      <c r="CD169" s="12">
        <f>Sales[[#This Row],[WdDeck]]*Lookups!$B$91</f>
        <v>7491.4909371000003</v>
      </c>
      <c r="CE169" s="12">
        <f>SUM(Sales[[#This Row],[Days Prior Total]:[Mdl WdDeck]])</f>
        <v>230472.43015418926</v>
      </c>
      <c r="CF169" s="12">
        <f>ROUND(Sales[[#This Row],[25Det]],-2)</f>
        <v>5400</v>
      </c>
      <c r="CG169" s="12">
        <f>ROUND(SUM(Sales[[#This Row],[Mdl Qlty]:[Mdl WdDeck]])+Sales[[#This Row],[Mdl Res Intercept]]+Sales[[#This Row],[Days Prior Total]],-2)</f>
        <v>205200</v>
      </c>
      <c r="CH169" s="12">
        <f>ROUND(Sales[[#This Row],[Mdl Land Intercept]]+Sales[[#This Row],[Mdl LnAcres]],-2)</f>
        <v>25300</v>
      </c>
      <c r="CI169" s="12">
        <f>Sales[[#This Row],[Unadj Res Value]]+Sales[[#This Row],[Unadj Det Value]]+Sales[[#This Row],[Unadj Land Value]]</f>
        <v>235900</v>
      </c>
      <c r="CJ169" s="13">
        <f>Sales[[#This Row],[Unadj Total Value]]/Sales[[#This Row],[Price]]</f>
        <v>1.0392070484581497</v>
      </c>
      <c r="CK169" s="13">
        <f>(Sales[[#This Row],[Unadj Total Value]]-Sales[[#This Row],[24Final]])/Sales[[#This Row],[24Final]]</f>
        <v>-3.0813475760065736E-2</v>
      </c>
      <c r="CL169">
        <f>VLOOKUP(Sales[[#This Row],[TNbhd]],Lookups!$Q$2:$T$4,4,FALSE)</f>
        <v>0.99970000000000003</v>
      </c>
      <c r="CM169">
        <f>VLOOKUP(Sales[[#This Row],[Qlty]],Lookups!$O$7:$R$21,4,FALSE)</f>
        <v>0.99180000000000001</v>
      </c>
      <c r="CN169">
        <f>VLOOKUP(Sales[[#This Row],[Cnd]],Lookups!$T$7:$W$16,4,FALSE)</f>
        <v>0.99729999999999996</v>
      </c>
      <c r="CO169">
        <f>VLOOKUP(Sales[[#This Row],[LivArea Range]],Lookups!$T$25:$W$37,4,FALSE)</f>
        <v>1.0157</v>
      </c>
      <c r="CP169">
        <f>VLOOKUP(Sales[[#This Row],[Decade]],Lookups!$O$25:$R$42,4,FALSE)</f>
        <v>0.98909999999999998</v>
      </c>
      <c r="CQ169">
        <f>Sales[[#This Row],[Nbhd Adj]]*0.95</f>
        <v>0.94971499999999998</v>
      </c>
      <c r="CR169">
        <f>Sales[[#This Row],[Nbhd Adj]]*Sales[[#This Row],[Quality Adj]]*Sales[[#This Row],[Condition Adj]]*Sales[[#This Row],[Living Area Adj]]*Sales[[#This Row],[Decade Adj]]*0.95</f>
        <v>0.94373242022269987</v>
      </c>
      <c r="CS169">
        <f>ROUND(SUM(Sales[[#This Row],[Mdl Qlty]:[Mdl WdDeck]])+Sales[[#This Row],[Mdl Res Intercept]]*Sales[[#This Row],[Res Adj ]],-2)</f>
        <v>230700</v>
      </c>
      <c r="CT169">
        <f>ROUND(Sales[[#This Row],[25Det]]*Sales[[#This Row],[Det/Nbhd Adj]],-2)</f>
        <v>5100</v>
      </c>
      <c r="CU169">
        <f>Sales[[#This Row],[Adjusted Res]]+Sales[[#This Row],[Adj Det ]]</f>
        <v>235800</v>
      </c>
      <c r="CV169">
        <f>ROUND((Sales[[#This Row],[Mdl Land Intercept]]+Sales[[#This Row],[Mdl LnAcres]])*Sales[[#This Row],[Det/Nbhd Adj]],-2)</f>
        <v>24000</v>
      </c>
      <c r="CW169">
        <f>Sales[[#This Row],[Adjusted Impr Total]]+Sales[[#This Row],[Adjusted Land Total]]</f>
        <v>259800</v>
      </c>
      <c r="CX169" s="15">
        <f>IFERROR((Sales[[#This Row],[Adjusted Impr Total]]-Sales[[#This Row],[24Bldg]])/Sales[[#This Row],[24Bldg]],0)</f>
        <v>0.17899999999999999</v>
      </c>
      <c r="CY169" s="15">
        <f>(Sales[[#This Row],[Adjusted Land Total]]-Sales[[#This Row],[24Lnd]])/Sales[[#This Row],[24Lnd]]</f>
        <v>-0.44700460829493088</v>
      </c>
      <c r="CZ169" s="15">
        <f>(Sales[[#This Row],[Adjusted Total]]-Sales[[#This Row],[24Final]])/Sales[[#This Row],[24Final]]</f>
        <v>6.7378800328677074E-2</v>
      </c>
      <c r="DA169" s="15">
        <f>(Sales[[#This Row],[Adjusted Total]]+Sales[[#This Row],[Days Prior Total]])/Sales[[#This Row],[Price]]</f>
        <v>1.0320019317768192</v>
      </c>
    </row>
    <row r="170" spans="1:105" x14ac:dyDescent="0.3">
      <c r="A170">
        <v>2025</v>
      </c>
      <c r="B170">
        <v>18132243050</v>
      </c>
      <c r="C170">
        <v>-1.7147984280919266</v>
      </c>
      <c r="D170">
        <v>0.18</v>
      </c>
      <c r="E170">
        <v>7691</v>
      </c>
      <c r="F170">
        <v>6</v>
      </c>
      <c r="G170" t="s">
        <v>126</v>
      </c>
      <c r="H170">
        <v>3093</v>
      </c>
      <c r="I170" t="s">
        <v>349</v>
      </c>
      <c r="J170" t="s">
        <v>30</v>
      </c>
      <c r="K170">
        <v>11</v>
      </c>
      <c r="L170">
        <v>259</v>
      </c>
      <c r="M170" t="s">
        <v>242</v>
      </c>
      <c r="N170" t="s">
        <v>351</v>
      </c>
      <c r="O170" t="s">
        <v>323</v>
      </c>
      <c r="P170">
        <v>90</v>
      </c>
      <c r="Q170">
        <v>1940</v>
      </c>
      <c r="R170">
        <v>1972</v>
      </c>
      <c r="S170">
        <v>84</v>
      </c>
      <c r="T170">
        <v>52</v>
      </c>
      <c r="U170">
        <v>1</v>
      </c>
      <c r="V170">
        <v>1012</v>
      </c>
      <c r="W170">
        <v>0</v>
      </c>
      <c r="X170">
        <v>0</v>
      </c>
      <c r="Y170">
        <v>812</v>
      </c>
      <c r="Z170">
        <v>812</v>
      </c>
      <c r="AA170">
        <v>0</v>
      </c>
      <c r="AB170">
        <v>1012</v>
      </c>
      <c r="AC170">
        <v>1500</v>
      </c>
      <c r="AD170">
        <v>0</v>
      </c>
      <c r="AF170" t="s">
        <v>383</v>
      </c>
      <c r="AG170" t="s">
        <v>148</v>
      </c>
      <c r="AH170" t="s">
        <v>450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6</v>
      </c>
      <c r="AO170">
        <v>0</v>
      </c>
      <c r="AP170">
        <v>0</v>
      </c>
      <c r="AQ170">
        <v>0</v>
      </c>
      <c r="AR170">
        <v>0</v>
      </c>
      <c r="AS170">
        <v>450</v>
      </c>
      <c r="AT170">
        <v>450</v>
      </c>
      <c r="AU170">
        <v>100</v>
      </c>
      <c r="AV170">
        <v>100</v>
      </c>
      <c r="AW170">
        <v>186368</v>
      </c>
      <c r="AX170">
        <v>128594</v>
      </c>
      <c r="AY170">
        <v>1054</v>
      </c>
      <c r="AZ170">
        <v>365</v>
      </c>
      <c r="BA170">
        <v>365</v>
      </c>
      <c r="BB170">
        <v>324</v>
      </c>
      <c r="BC170" s="3">
        <v>44238</v>
      </c>
      <c r="BD170" t="s">
        <v>307</v>
      </c>
      <c r="BE170">
        <v>235000</v>
      </c>
      <c r="BF170">
        <v>226302</v>
      </c>
      <c r="BG170" t="s">
        <v>294</v>
      </c>
      <c r="BH170">
        <v>30</v>
      </c>
      <c r="BI170" t="s">
        <v>65</v>
      </c>
      <c r="BJ170" t="s">
        <v>450</v>
      </c>
      <c r="BK170">
        <v>288600</v>
      </c>
      <c r="BL170">
        <v>54700</v>
      </c>
      <c r="BM170">
        <v>233900</v>
      </c>
      <c r="BN170">
        <v>8698</v>
      </c>
      <c r="BO170">
        <v>1.2280851063829787</v>
      </c>
      <c r="BP170">
        <v>237480.48771676226</v>
      </c>
      <c r="BQ170">
        <v>302368.70678164565</v>
      </c>
      <c r="BR170" s="12">
        <f>(Sales[[#This Row],[DP1]]*Lookups!$B$59)+(Sales[[#This Row],[DP2]]*Lookups!$B$60)+(Sales[[#This Row],[DP3]]*Lookups!$B$61)</f>
        <v>-64888.21907467</v>
      </c>
      <c r="BS170" s="12">
        <f>Lookups!$B$56*0</f>
        <v>0</v>
      </c>
      <c r="BT170" s="12">
        <f>Lookups!$B$56*1</f>
        <v>89850.625589999996</v>
      </c>
      <c r="BU170" s="12">
        <f>Lookups!$B$57*Sales[[#This Row],[LnAcres]]</f>
        <v>-54281.285314520763</v>
      </c>
      <c r="BV170" s="12">
        <f>VLOOKUP(Sales[[#This Row],[Qlty]],Lookups!$A$62:$E$75,2,FALSE)</f>
        <v>21557.329055999999</v>
      </c>
      <c r="BW170" s="12">
        <f>VLOOKUP(Sales[[#This Row],[Cnd]],Lookups!$A$76:$E$84,2,FALSE)</f>
        <v>160472.20319</v>
      </c>
      <c r="BX170" s="12">
        <f>Sales[[#This Row],[EffAge]]*Lookups!$B$85</f>
        <v>-11598.371226000001</v>
      </c>
      <c r="BY170" s="12">
        <f>Sales[[#This Row],[MainFn]]*Lookups!$B$86</f>
        <v>50001.573915524001</v>
      </c>
      <c r="BZ170" s="12">
        <f>Sales[[#This Row],[UpprFn]]*Lookups!$B$87</f>
        <v>0</v>
      </c>
      <c r="CA170" s="12">
        <f>Sales[[#This Row],[AddFn]]*Lookups!$B$88</f>
        <v>0</v>
      </c>
      <c r="CB170" s="12">
        <f>Sales[[#This Row],[Bsmt]]*Lookups!$B$89</f>
        <v>23614.498940563997</v>
      </c>
      <c r="CC170" s="12">
        <f>Sales[[#This Row],[Fixtures]]*Lookups!$B$90</f>
        <v>22752.132631200002</v>
      </c>
      <c r="CD170" s="12">
        <f>Sales[[#This Row],[WdDeck]]*Lookups!$B$91</f>
        <v>0</v>
      </c>
      <c r="CE170" s="12">
        <f>SUM(Sales[[#This Row],[Days Prior Total]:[Mdl WdDeck]])</f>
        <v>237480.48770809727</v>
      </c>
      <c r="CF170" s="12">
        <f>ROUND(Sales[[#This Row],[25Det]],-2)</f>
        <v>8700</v>
      </c>
      <c r="CG170" s="12">
        <f>ROUND(SUM(Sales[[#This Row],[Mdl Qlty]:[Mdl WdDeck]])+Sales[[#This Row],[Mdl Res Intercept]]+Sales[[#This Row],[Days Prior Total]],-2)</f>
        <v>201900</v>
      </c>
      <c r="CH170" s="12">
        <f>ROUND(Sales[[#This Row],[Mdl Land Intercept]]+Sales[[#This Row],[Mdl LnAcres]],-2)</f>
        <v>35600</v>
      </c>
      <c r="CI170" s="12">
        <f>Sales[[#This Row],[Unadj Res Value]]+Sales[[#This Row],[Unadj Det Value]]+Sales[[#This Row],[Unadj Land Value]]</f>
        <v>246200</v>
      </c>
      <c r="CJ170" s="13">
        <f>Sales[[#This Row],[Unadj Total Value]]/Sales[[#This Row],[Price]]</f>
        <v>1.047659574468085</v>
      </c>
      <c r="CK170" s="13">
        <f>(Sales[[#This Row],[Unadj Total Value]]-Sales[[#This Row],[24Final]])/Sales[[#This Row],[24Final]]</f>
        <v>-0.14691614691614691</v>
      </c>
      <c r="CL170">
        <f>VLOOKUP(Sales[[#This Row],[TNbhd]],Lookups!$Q$2:$T$4,4,FALSE)</f>
        <v>0.99970000000000003</v>
      </c>
      <c r="CM170">
        <f>VLOOKUP(Sales[[#This Row],[Qlty]],Lookups!$O$7:$R$21,4,FALSE)</f>
        <v>1.0067999999999999</v>
      </c>
      <c r="CN170">
        <f>VLOOKUP(Sales[[#This Row],[Cnd]],Lookups!$T$7:$W$16,4,FALSE)</f>
        <v>0.99729999999999996</v>
      </c>
      <c r="CO170">
        <f>VLOOKUP(Sales[[#This Row],[LivArea Range]],Lookups!$T$25:$W$37,4,FALSE)</f>
        <v>1.0157</v>
      </c>
      <c r="CP170">
        <f>VLOOKUP(Sales[[#This Row],[Decade]],Lookups!$O$25:$R$42,4,FALSE)</f>
        <v>0.98909999999999998</v>
      </c>
      <c r="CQ170">
        <f>Sales[[#This Row],[Nbhd Adj]]*0.95</f>
        <v>0.94971499999999998</v>
      </c>
      <c r="CR170">
        <f>Sales[[#This Row],[Nbhd Adj]]*Sales[[#This Row],[Quality Adj]]*Sales[[#This Row],[Condition Adj]]*Sales[[#This Row],[Living Area Adj]]*Sales[[#This Row],[Decade Adj]]*0.95</f>
        <v>0.95800544533193577</v>
      </c>
      <c r="CS170">
        <f>ROUND(SUM(Sales[[#This Row],[Mdl Qlty]:[Mdl WdDeck]])+Sales[[#This Row],[Mdl Res Intercept]]*Sales[[#This Row],[Res Adj ]],-2)</f>
        <v>266800</v>
      </c>
      <c r="CT170">
        <f>ROUND(Sales[[#This Row],[25Det]]*Sales[[#This Row],[Det/Nbhd Adj]],-2)</f>
        <v>8300</v>
      </c>
      <c r="CU170">
        <f>Sales[[#This Row],[Adjusted Res]]+Sales[[#This Row],[Adj Det ]]</f>
        <v>275100</v>
      </c>
      <c r="CV170">
        <f>ROUND((Sales[[#This Row],[Mdl Land Intercept]]+Sales[[#This Row],[Mdl LnAcres]])*Sales[[#This Row],[Det/Nbhd Adj]],-2)</f>
        <v>33800</v>
      </c>
      <c r="CW170">
        <f>Sales[[#This Row],[Adjusted Impr Total]]+Sales[[#This Row],[Adjusted Land Total]]</f>
        <v>308900</v>
      </c>
      <c r="CX170" s="15">
        <f>IFERROR((Sales[[#This Row],[Adjusted Impr Total]]-Sales[[#This Row],[24Bldg]])/Sales[[#This Row],[24Bldg]],0)</f>
        <v>0.17614365113296279</v>
      </c>
      <c r="CY170" s="15">
        <f>(Sales[[#This Row],[Adjusted Land Total]]-Sales[[#This Row],[24Lnd]])/Sales[[#This Row],[24Lnd]]</f>
        <v>-0.38208409506398539</v>
      </c>
      <c r="CZ170" s="15">
        <f>(Sales[[#This Row],[Adjusted Total]]-Sales[[#This Row],[24Final]])/Sales[[#This Row],[24Final]]</f>
        <v>7.0339570339570334E-2</v>
      </c>
      <c r="DA170" s="15">
        <f>(Sales[[#This Row],[Adjusted Total]]+Sales[[#This Row],[Days Prior Total]])/Sales[[#This Row],[Price]]</f>
        <v>1.0383480039375745</v>
      </c>
    </row>
    <row r="171" spans="1:105" x14ac:dyDescent="0.3">
      <c r="A171">
        <v>2025</v>
      </c>
      <c r="B171">
        <v>18132334491</v>
      </c>
      <c r="C171">
        <v>-1.9661128563728327</v>
      </c>
      <c r="D171">
        <v>0.14000000000000001</v>
      </c>
      <c r="E171">
        <v>6031</v>
      </c>
      <c r="F171">
        <v>6</v>
      </c>
      <c r="G171" t="s">
        <v>126</v>
      </c>
      <c r="H171" t="s">
        <v>349</v>
      </c>
      <c r="I171" t="s">
        <v>349</v>
      </c>
      <c r="J171" t="s">
        <v>30</v>
      </c>
      <c r="K171">
        <v>11</v>
      </c>
      <c r="L171">
        <v>259</v>
      </c>
      <c r="M171" t="s">
        <v>242</v>
      </c>
      <c r="N171" t="s">
        <v>148</v>
      </c>
      <c r="O171" t="s">
        <v>323</v>
      </c>
      <c r="P171">
        <v>90</v>
      </c>
      <c r="Q171">
        <v>1940</v>
      </c>
      <c r="R171">
        <v>1972</v>
      </c>
      <c r="S171">
        <v>84</v>
      </c>
      <c r="T171">
        <v>52</v>
      </c>
      <c r="U171">
        <v>1</v>
      </c>
      <c r="V171">
        <v>1009</v>
      </c>
      <c r="W171">
        <v>0</v>
      </c>
      <c r="X171">
        <v>0</v>
      </c>
      <c r="Y171">
        <v>1009</v>
      </c>
      <c r="Z171">
        <v>0</v>
      </c>
      <c r="AA171">
        <v>1009</v>
      </c>
      <c r="AB171">
        <v>2018</v>
      </c>
      <c r="AC171">
        <v>2500</v>
      </c>
      <c r="AD171">
        <v>0</v>
      </c>
      <c r="AF171" t="s">
        <v>383</v>
      </c>
      <c r="AG171" t="s">
        <v>175</v>
      </c>
      <c r="AI171">
        <v>0</v>
      </c>
      <c r="AJ171">
        <v>1</v>
      </c>
      <c r="AK171">
        <v>0</v>
      </c>
      <c r="AL171">
        <v>0</v>
      </c>
      <c r="AM171">
        <v>1</v>
      </c>
      <c r="AN171">
        <v>7</v>
      </c>
      <c r="AO171">
        <v>0</v>
      </c>
      <c r="AP171">
        <v>0</v>
      </c>
      <c r="AQ171">
        <v>0</v>
      </c>
      <c r="AR171">
        <v>0</v>
      </c>
      <c r="AS171">
        <v>315</v>
      </c>
      <c r="AT171">
        <v>315</v>
      </c>
      <c r="AU171">
        <v>100</v>
      </c>
      <c r="AV171">
        <v>100</v>
      </c>
      <c r="AW171">
        <v>251788</v>
      </c>
      <c r="AX171">
        <v>193877</v>
      </c>
      <c r="AY171">
        <v>33</v>
      </c>
      <c r="AZ171">
        <v>33</v>
      </c>
      <c r="BA171">
        <v>0</v>
      </c>
      <c r="BB171">
        <v>0</v>
      </c>
      <c r="BC171" s="3">
        <v>45259</v>
      </c>
      <c r="BD171" t="s">
        <v>472</v>
      </c>
      <c r="BE171">
        <v>317000</v>
      </c>
      <c r="BF171">
        <v>303414</v>
      </c>
      <c r="BG171" t="s">
        <v>294</v>
      </c>
      <c r="BH171">
        <v>30</v>
      </c>
      <c r="BI171" t="s">
        <v>65</v>
      </c>
      <c r="BJ171" t="s">
        <v>450</v>
      </c>
      <c r="BK171">
        <v>337300</v>
      </c>
      <c r="BL171">
        <v>46000</v>
      </c>
      <c r="BM171">
        <v>291300</v>
      </c>
      <c r="BN171">
        <v>13586</v>
      </c>
      <c r="BO171">
        <v>1.0640378548895899</v>
      </c>
      <c r="BP171">
        <v>324021.66313113662</v>
      </c>
      <c r="BQ171">
        <v>326350.08361780725</v>
      </c>
      <c r="BR171" s="12">
        <f>(Sales[[#This Row],[DP1]]*Lookups!$B$59)+(Sales[[#This Row],[DP2]]*Lookups!$B$60)+(Sales[[#This Row],[DP3]]*Lookups!$B$61)</f>
        <v>-2328.4204868100001</v>
      </c>
      <c r="BS171" s="12">
        <f>Lookups!$B$56*0</f>
        <v>0</v>
      </c>
      <c r="BT171" s="12">
        <f>Lookups!$B$56*1</f>
        <v>89850.625589999996</v>
      </c>
      <c r="BU171" s="12">
        <f>Lookups!$B$57*Sales[[#This Row],[LnAcres]]</f>
        <v>-62236.546971921947</v>
      </c>
      <c r="BV171" s="12">
        <f>VLOOKUP(Sales[[#This Row],[Qlty]],Lookups!$A$62:$E$75,2,FALSE)</f>
        <v>44121.038090000002</v>
      </c>
      <c r="BW171" s="12">
        <f>VLOOKUP(Sales[[#This Row],[Cnd]],Lookups!$A$76:$E$84,2,FALSE)</f>
        <v>160472.20319</v>
      </c>
      <c r="BX171" s="12">
        <f>Sales[[#This Row],[EffAge]]*Lookups!$B$85</f>
        <v>-11598.371226000001</v>
      </c>
      <c r="BY171" s="12">
        <f>Sales[[#This Row],[MainFn]]*Lookups!$B$86</f>
        <v>49853.347905893002</v>
      </c>
      <c r="BZ171" s="12">
        <f>Sales[[#This Row],[UpprFn]]*Lookups!$B$87</f>
        <v>0</v>
      </c>
      <c r="CA171" s="12">
        <f>Sales[[#This Row],[AddFn]]*Lookups!$B$88</f>
        <v>0</v>
      </c>
      <c r="CB171" s="12">
        <f>Sales[[#This Row],[Bsmt]]*Lookups!$B$89</f>
        <v>29343.632304223</v>
      </c>
      <c r="CC171" s="12">
        <f>Sales[[#This Row],[Fixtures]]*Lookups!$B$90</f>
        <v>26544.1547364</v>
      </c>
      <c r="CD171" s="12">
        <f>Sales[[#This Row],[WdDeck]]*Lookups!$B$91</f>
        <v>0</v>
      </c>
      <c r="CE171" s="12">
        <f>SUM(Sales[[#This Row],[Days Prior Total]:[Mdl WdDeck]])</f>
        <v>324021.66313178407</v>
      </c>
      <c r="CF171" s="12">
        <f>ROUND(Sales[[#This Row],[25Det]],-2)</f>
        <v>13600</v>
      </c>
      <c r="CG171" s="12">
        <f>ROUND(SUM(Sales[[#This Row],[Mdl Qlty]:[Mdl WdDeck]])+Sales[[#This Row],[Mdl Res Intercept]]+Sales[[#This Row],[Days Prior Total]],-2)</f>
        <v>296400</v>
      </c>
      <c r="CH171" s="12">
        <f>ROUND(Sales[[#This Row],[Mdl Land Intercept]]+Sales[[#This Row],[Mdl LnAcres]],-2)</f>
        <v>27600</v>
      </c>
      <c r="CI171" s="12">
        <f>Sales[[#This Row],[Unadj Res Value]]+Sales[[#This Row],[Unadj Det Value]]+Sales[[#This Row],[Unadj Land Value]]</f>
        <v>337600</v>
      </c>
      <c r="CJ171" s="13">
        <f>Sales[[#This Row],[Unadj Total Value]]/Sales[[#This Row],[Price]]</f>
        <v>1.0649842271293375</v>
      </c>
      <c r="CK171" s="13">
        <f>(Sales[[#This Row],[Unadj Total Value]]-Sales[[#This Row],[24Final]])/Sales[[#This Row],[24Final]]</f>
        <v>8.8941595019270681E-4</v>
      </c>
      <c r="CL171">
        <f>VLOOKUP(Sales[[#This Row],[TNbhd]],Lookups!$Q$2:$T$4,4,FALSE)</f>
        <v>0.99970000000000003</v>
      </c>
      <c r="CM171">
        <f>VLOOKUP(Sales[[#This Row],[Qlty]],Lookups!$O$7:$R$21,4,FALSE)</f>
        <v>0.98050000000000004</v>
      </c>
      <c r="CN171">
        <f>VLOOKUP(Sales[[#This Row],[Cnd]],Lookups!$T$7:$W$16,4,FALSE)</f>
        <v>0.99729999999999996</v>
      </c>
      <c r="CO171">
        <f>VLOOKUP(Sales[[#This Row],[LivArea Range]],Lookups!$T$25:$W$37,4,FALSE)</f>
        <v>0.98919999999999997</v>
      </c>
      <c r="CP171">
        <f>VLOOKUP(Sales[[#This Row],[Decade]],Lookups!$O$25:$R$42,4,FALSE)</f>
        <v>0.98909999999999998</v>
      </c>
      <c r="CQ171">
        <f>Sales[[#This Row],[Nbhd Adj]]*0.95</f>
        <v>0.94971499999999998</v>
      </c>
      <c r="CR171">
        <f>Sales[[#This Row],[Nbhd Adj]]*Sales[[#This Row],[Quality Adj]]*Sales[[#This Row],[Condition Adj]]*Sales[[#This Row],[Living Area Adj]]*Sales[[#This Row],[Decade Adj]]*0.95</f>
        <v>0.9086382690108219</v>
      </c>
      <c r="CS171">
        <f>ROUND(SUM(Sales[[#This Row],[Mdl Qlty]:[Mdl WdDeck]])+Sales[[#This Row],[Mdl Res Intercept]]*Sales[[#This Row],[Res Adj ]],-2)</f>
        <v>298700</v>
      </c>
      <c r="CT171">
        <f>ROUND(Sales[[#This Row],[25Det]]*Sales[[#This Row],[Det/Nbhd Adj]],-2)</f>
        <v>12900</v>
      </c>
      <c r="CU171">
        <f>Sales[[#This Row],[Adjusted Res]]+Sales[[#This Row],[Adj Det ]]</f>
        <v>311600</v>
      </c>
      <c r="CV171">
        <f>ROUND((Sales[[#This Row],[Mdl Land Intercept]]+Sales[[#This Row],[Mdl LnAcres]])*Sales[[#This Row],[Det/Nbhd Adj]],-2)</f>
        <v>26200</v>
      </c>
      <c r="CW171">
        <f>Sales[[#This Row],[Adjusted Impr Total]]+Sales[[#This Row],[Adjusted Land Total]]</f>
        <v>337800</v>
      </c>
      <c r="CX171" s="15">
        <f>IFERROR((Sales[[#This Row],[Adjusted Impr Total]]-Sales[[#This Row],[24Bldg]])/Sales[[#This Row],[24Bldg]],0)</f>
        <v>6.9687607277720567E-2</v>
      </c>
      <c r="CY171" s="15">
        <f>(Sales[[#This Row],[Adjusted Land Total]]-Sales[[#This Row],[24Lnd]])/Sales[[#This Row],[24Lnd]]</f>
        <v>-0.43043478260869567</v>
      </c>
      <c r="CZ171" s="15">
        <f>(Sales[[#This Row],[Adjusted Total]]-Sales[[#This Row],[24Final]])/Sales[[#This Row],[24Final]]</f>
        <v>1.4823599169878447E-3</v>
      </c>
      <c r="DA171" s="15">
        <f>(Sales[[#This Row],[Adjusted Total]]+Sales[[#This Row],[Days Prior Total]])/Sales[[#This Row],[Price]]</f>
        <v>1.0582699669185804</v>
      </c>
    </row>
    <row r="172" spans="1:105" x14ac:dyDescent="0.3">
      <c r="A172">
        <v>2025</v>
      </c>
      <c r="B172">
        <v>18132214449</v>
      </c>
      <c r="C172">
        <v>-1.6607312068216509</v>
      </c>
      <c r="D172">
        <v>0.19</v>
      </c>
      <c r="E172">
        <v>8490</v>
      </c>
      <c r="F172">
        <v>6</v>
      </c>
      <c r="G172" t="s">
        <v>126</v>
      </c>
      <c r="H172">
        <v>3033</v>
      </c>
      <c r="I172" t="s">
        <v>349</v>
      </c>
      <c r="J172" t="s">
        <v>30</v>
      </c>
      <c r="K172">
        <v>11</v>
      </c>
      <c r="L172">
        <v>259</v>
      </c>
      <c r="M172" t="s">
        <v>242</v>
      </c>
      <c r="N172" t="s">
        <v>351</v>
      </c>
      <c r="O172" t="s">
        <v>303</v>
      </c>
      <c r="P172">
        <v>90</v>
      </c>
      <c r="Q172">
        <v>1940</v>
      </c>
      <c r="R172">
        <v>1972</v>
      </c>
      <c r="S172">
        <v>84</v>
      </c>
      <c r="T172">
        <v>52</v>
      </c>
      <c r="U172">
        <v>1</v>
      </c>
      <c r="V172">
        <v>1016</v>
      </c>
      <c r="W172">
        <v>0</v>
      </c>
      <c r="X172">
        <v>0</v>
      </c>
      <c r="Y172">
        <v>1016</v>
      </c>
      <c r="Z172">
        <v>266</v>
      </c>
      <c r="AA172">
        <v>750</v>
      </c>
      <c r="AB172">
        <v>1766</v>
      </c>
      <c r="AC172">
        <v>2000</v>
      </c>
      <c r="AD172">
        <v>0</v>
      </c>
      <c r="AF172" t="s">
        <v>208</v>
      </c>
      <c r="AG172" t="s">
        <v>382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10</v>
      </c>
      <c r="AO172">
        <v>0</v>
      </c>
      <c r="AP172">
        <v>0</v>
      </c>
      <c r="AQ172">
        <v>0</v>
      </c>
      <c r="AR172">
        <v>108</v>
      </c>
      <c r="AS172">
        <v>0</v>
      </c>
      <c r="AT172">
        <v>0</v>
      </c>
      <c r="AU172">
        <v>100</v>
      </c>
      <c r="AV172">
        <v>100</v>
      </c>
      <c r="AW172">
        <v>223401</v>
      </c>
      <c r="AX172">
        <v>172019</v>
      </c>
      <c r="AY172">
        <v>1064</v>
      </c>
      <c r="AZ172">
        <v>365</v>
      </c>
      <c r="BA172">
        <v>365</v>
      </c>
      <c r="BB172">
        <v>334</v>
      </c>
      <c r="BC172" s="3">
        <v>44228</v>
      </c>
      <c r="BD172" t="s">
        <v>73</v>
      </c>
      <c r="BE172">
        <v>282000</v>
      </c>
      <c r="BF172">
        <v>277286</v>
      </c>
      <c r="BG172" t="s">
        <v>294</v>
      </c>
      <c r="BH172">
        <v>30</v>
      </c>
      <c r="BI172" t="s">
        <v>65</v>
      </c>
      <c r="BJ172" t="s">
        <v>450</v>
      </c>
      <c r="BK172">
        <v>340600</v>
      </c>
      <c r="BL172">
        <v>56600</v>
      </c>
      <c r="BM172">
        <v>284000</v>
      </c>
      <c r="BN172">
        <v>4714</v>
      </c>
      <c r="BO172">
        <v>1.2078014184397163</v>
      </c>
      <c r="BP172">
        <v>300029.23710436415</v>
      </c>
      <c r="BQ172">
        <v>366254.67329799599</v>
      </c>
      <c r="BR172" s="12">
        <f>(Sales[[#This Row],[DP1]]*Lookups!$B$59)+(Sales[[#This Row],[DP2]]*Lookups!$B$60)+(Sales[[#This Row],[DP3]]*Lookups!$B$61)</f>
        <v>-66225.436203670004</v>
      </c>
      <c r="BS172" s="12">
        <f>Lookups!$B$56*0</f>
        <v>0</v>
      </c>
      <c r="BT172" s="12">
        <f>Lookups!$B$56*1</f>
        <v>89850.625589999996</v>
      </c>
      <c r="BU172" s="12">
        <f>Lookups!$B$57*Sales[[#This Row],[LnAcres]]</f>
        <v>-52569.808201026557</v>
      </c>
      <c r="BV172" s="12">
        <f>VLOOKUP(Sales[[#This Row],[Qlty]],Lookups!$A$62:$E$75,2,FALSE)</f>
        <v>21557.329055999999</v>
      </c>
      <c r="BW172" s="12">
        <f>VLOOKUP(Sales[[#This Row],[Cnd]],Lookups!$A$76:$E$84,2,FALSE)</f>
        <v>197752.34721000001</v>
      </c>
      <c r="BX172" s="12">
        <f>Sales[[#This Row],[EffAge]]*Lookups!$B$85</f>
        <v>-11598.371226000001</v>
      </c>
      <c r="BY172" s="12">
        <f>Sales[[#This Row],[MainFn]]*Lookups!$B$86</f>
        <v>50199.208595032003</v>
      </c>
      <c r="BZ172" s="12">
        <f>Sales[[#This Row],[UpprFn]]*Lookups!$B$87</f>
        <v>0</v>
      </c>
      <c r="CA172" s="12">
        <f>Sales[[#This Row],[AddFn]]*Lookups!$B$88</f>
        <v>0</v>
      </c>
      <c r="CB172" s="12">
        <f>Sales[[#This Row],[Bsmt]]*Lookups!$B$89</f>
        <v>29547.205570951999</v>
      </c>
      <c r="CC172" s="12">
        <f>Sales[[#This Row],[Fixtures]]*Lookups!$B$90</f>
        <v>37920.221052000001</v>
      </c>
      <c r="CD172" s="12">
        <f>Sales[[#This Row],[WdDeck]]*Lookups!$B$91</f>
        <v>3595.9156498080001</v>
      </c>
      <c r="CE172" s="12">
        <f>SUM(Sales[[#This Row],[Days Prior Total]:[Mdl WdDeck]])</f>
        <v>300029.23709309543</v>
      </c>
      <c r="CF172" s="12">
        <f>ROUND(Sales[[#This Row],[25Det]],-2)</f>
        <v>4700</v>
      </c>
      <c r="CG172" s="12">
        <f>ROUND(SUM(Sales[[#This Row],[Mdl Qlty]:[Mdl WdDeck]])+Sales[[#This Row],[Mdl Res Intercept]]+Sales[[#This Row],[Days Prior Total]],-2)</f>
        <v>262700</v>
      </c>
      <c r="CH172" s="12">
        <f>ROUND(Sales[[#This Row],[Mdl Land Intercept]]+Sales[[#This Row],[Mdl LnAcres]],-2)</f>
        <v>37300</v>
      </c>
      <c r="CI172" s="12">
        <f>Sales[[#This Row],[Unadj Res Value]]+Sales[[#This Row],[Unadj Det Value]]+Sales[[#This Row],[Unadj Land Value]]</f>
        <v>304700</v>
      </c>
      <c r="CJ172" s="13">
        <f>Sales[[#This Row],[Unadj Total Value]]/Sales[[#This Row],[Price]]</f>
        <v>1.0804964539007091</v>
      </c>
      <c r="CK172" s="13">
        <f>(Sales[[#This Row],[Unadj Total Value]]-Sales[[#This Row],[24Final]])/Sales[[#This Row],[24Final]]</f>
        <v>-0.10540223135642983</v>
      </c>
      <c r="CL172">
        <f>VLOOKUP(Sales[[#This Row],[TNbhd]],Lookups!$Q$2:$T$4,4,FALSE)</f>
        <v>0.99970000000000003</v>
      </c>
      <c r="CM172">
        <f>VLOOKUP(Sales[[#This Row],[Qlty]],Lookups!$O$7:$R$21,4,FALSE)</f>
        <v>1.0067999999999999</v>
      </c>
      <c r="CN172">
        <f>VLOOKUP(Sales[[#This Row],[Cnd]],Lookups!$T$7:$W$16,4,FALSE)</f>
        <v>0.99650000000000005</v>
      </c>
      <c r="CO172">
        <f>VLOOKUP(Sales[[#This Row],[LivArea Range]],Lookups!$T$25:$W$37,4,FALSE)</f>
        <v>1.0093000000000001</v>
      </c>
      <c r="CP172">
        <f>VLOOKUP(Sales[[#This Row],[Decade]],Lookups!$O$25:$R$42,4,FALSE)</f>
        <v>0.98909999999999998</v>
      </c>
      <c r="CQ172">
        <f>Sales[[#This Row],[Nbhd Adj]]*0.95</f>
        <v>0.94971499999999998</v>
      </c>
      <c r="CR172">
        <f>Sales[[#This Row],[Nbhd Adj]]*Sales[[#This Row],[Quality Adj]]*Sales[[#This Row],[Condition Adj]]*Sales[[#This Row],[Living Area Adj]]*Sales[[#This Row],[Decade Adj]]*0.95</f>
        <v>0.95120534593507355</v>
      </c>
      <c r="CS172">
        <f>ROUND(SUM(Sales[[#This Row],[Mdl Qlty]:[Mdl WdDeck]])+Sales[[#This Row],[Mdl Res Intercept]]*Sales[[#This Row],[Res Adj ]],-2)</f>
        <v>329000</v>
      </c>
      <c r="CT172">
        <f>ROUND(Sales[[#This Row],[25Det]]*Sales[[#This Row],[Det/Nbhd Adj]],-2)</f>
        <v>4500</v>
      </c>
      <c r="CU172">
        <f>Sales[[#This Row],[Adjusted Res]]+Sales[[#This Row],[Adj Det ]]</f>
        <v>333500</v>
      </c>
      <c r="CV172">
        <f>ROUND((Sales[[#This Row],[Mdl Land Intercept]]+Sales[[#This Row],[Mdl LnAcres]])*Sales[[#This Row],[Det/Nbhd Adj]],-2)</f>
        <v>35400</v>
      </c>
      <c r="CW172">
        <f>Sales[[#This Row],[Adjusted Impr Total]]+Sales[[#This Row],[Adjusted Land Total]]</f>
        <v>368900</v>
      </c>
      <c r="CX172" s="15">
        <f>IFERROR((Sales[[#This Row],[Adjusted Impr Total]]-Sales[[#This Row],[24Bldg]])/Sales[[#This Row],[24Bldg]],0)</f>
        <v>0.17429577464788731</v>
      </c>
      <c r="CY172" s="15">
        <f>(Sales[[#This Row],[Adjusted Land Total]]-Sales[[#This Row],[24Lnd]])/Sales[[#This Row],[24Lnd]]</f>
        <v>-0.37455830388692579</v>
      </c>
      <c r="CZ172" s="15">
        <f>(Sales[[#This Row],[Adjusted Total]]-Sales[[#This Row],[24Final]])/Sales[[#This Row],[24Final]]</f>
        <v>8.3088667058132712E-2</v>
      </c>
      <c r="DA172" s="15">
        <f>(Sales[[#This Row],[Adjusted Total]]+Sales[[#This Row],[Days Prior Total]])/Sales[[#This Row],[Price]]</f>
        <v>1.0733140560153547</v>
      </c>
    </row>
    <row r="173" spans="1:105" x14ac:dyDescent="0.3">
      <c r="A173">
        <v>2025</v>
      </c>
      <c r="B173">
        <v>18132241434</v>
      </c>
      <c r="C173">
        <v>-1.6094379124341003</v>
      </c>
      <c r="D173">
        <v>0.2</v>
      </c>
      <c r="E173">
        <v>8519</v>
      </c>
      <c r="F173">
        <v>6</v>
      </c>
      <c r="G173" t="s">
        <v>126</v>
      </c>
      <c r="H173">
        <v>3093</v>
      </c>
      <c r="I173" t="s">
        <v>349</v>
      </c>
      <c r="J173" t="s">
        <v>30</v>
      </c>
      <c r="K173">
        <v>11</v>
      </c>
      <c r="L173">
        <v>259</v>
      </c>
      <c r="M173" t="s">
        <v>242</v>
      </c>
      <c r="N173" t="s">
        <v>302</v>
      </c>
      <c r="O173" t="s">
        <v>303</v>
      </c>
      <c r="P173">
        <v>90</v>
      </c>
      <c r="Q173">
        <v>1940</v>
      </c>
      <c r="R173">
        <v>1972</v>
      </c>
      <c r="S173">
        <v>84</v>
      </c>
      <c r="T173">
        <v>52</v>
      </c>
      <c r="U173">
        <v>1</v>
      </c>
      <c r="V173">
        <v>962</v>
      </c>
      <c r="W173">
        <v>0</v>
      </c>
      <c r="X173">
        <v>0</v>
      </c>
      <c r="Y173">
        <v>995</v>
      </c>
      <c r="Z173">
        <v>0</v>
      </c>
      <c r="AA173">
        <v>995</v>
      </c>
      <c r="AB173">
        <v>1957</v>
      </c>
      <c r="AC173">
        <v>2000</v>
      </c>
      <c r="AD173">
        <v>1</v>
      </c>
      <c r="AF173" t="s">
        <v>383</v>
      </c>
      <c r="AG173" t="s">
        <v>148</v>
      </c>
      <c r="AH173" t="s">
        <v>450</v>
      </c>
      <c r="AI173">
        <v>0</v>
      </c>
      <c r="AJ173">
        <v>1</v>
      </c>
      <c r="AK173">
        <v>0</v>
      </c>
      <c r="AL173">
        <v>1</v>
      </c>
      <c r="AM173">
        <v>0</v>
      </c>
      <c r="AN173">
        <v>9</v>
      </c>
      <c r="AO173">
        <v>360</v>
      </c>
      <c r="AP173">
        <v>0</v>
      </c>
      <c r="AQ173">
        <v>0</v>
      </c>
      <c r="AR173">
        <v>0</v>
      </c>
      <c r="AS173">
        <v>282</v>
      </c>
      <c r="AT173">
        <v>30</v>
      </c>
      <c r="AU173">
        <v>100</v>
      </c>
      <c r="AV173">
        <v>100</v>
      </c>
      <c r="AW173">
        <v>290685</v>
      </c>
      <c r="AX173">
        <v>223827</v>
      </c>
      <c r="AY173">
        <v>564</v>
      </c>
      <c r="AZ173">
        <v>365</v>
      </c>
      <c r="BA173">
        <v>199</v>
      </c>
      <c r="BB173">
        <v>0</v>
      </c>
      <c r="BC173" s="3">
        <v>44728</v>
      </c>
      <c r="BD173" t="s">
        <v>112</v>
      </c>
      <c r="BE173">
        <v>315000</v>
      </c>
      <c r="BF173">
        <v>315000</v>
      </c>
      <c r="BG173" t="s">
        <v>294</v>
      </c>
      <c r="BH173">
        <v>30</v>
      </c>
      <c r="BI173" t="s">
        <v>65</v>
      </c>
      <c r="BJ173" t="s">
        <v>450</v>
      </c>
      <c r="BK173">
        <v>345400</v>
      </c>
      <c r="BL173">
        <v>58400</v>
      </c>
      <c r="BM173">
        <v>287000</v>
      </c>
      <c r="BN173">
        <v>0</v>
      </c>
      <c r="BO173">
        <v>1.0965079365079364</v>
      </c>
      <c r="BP173">
        <v>341999.79061052331</v>
      </c>
      <c r="BQ173">
        <v>365468.38119823288</v>
      </c>
      <c r="BR173" s="12">
        <f>(Sales[[#This Row],[DP1]]*Lookups!$B$59)+(Sales[[#This Row],[DP2]]*Lookups!$B$60)+(Sales[[#This Row],[DP3]]*Lookups!$B$61)</f>
        <v>-23468.590589302003</v>
      </c>
      <c r="BS173" s="12">
        <f>Lookups!$B$56*0</f>
        <v>0</v>
      </c>
      <c r="BT173" s="12">
        <f>Lookups!$B$56*1</f>
        <v>89850.625589999996</v>
      </c>
      <c r="BU173" s="12">
        <f>Lookups!$B$57*Sales[[#This Row],[LnAcres]]</f>
        <v>-50946.13867709865</v>
      </c>
      <c r="BV173" s="12">
        <f>VLOOKUP(Sales[[#This Row],[Qlty]],Lookups!$A$62:$E$75,2,FALSE)</f>
        <v>29814.093161000001</v>
      </c>
      <c r="BW173" s="12">
        <f>VLOOKUP(Sales[[#This Row],[Cnd]],Lookups!$A$76:$E$84,2,FALSE)</f>
        <v>197752.34721000001</v>
      </c>
      <c r="BX173" s="12">
        <f>Sales[[#This Row],[EffAge]]*Lookups!$B$85</f>
        <v>-11598.371226000001</v>
      </c>
      <c r="BY173" s="12">
        <f>Sales[[#This Row],[MainFn]]*Lookups!$B$86</f>
        <v>47531.140421674005</v>
      </c>
      <c r="BZ173" s="12">
        <f>Sales[[#This Row],[UpprFn]]*Lookups!$B$87</f>
        <v>0</v>
      </c>
      <c r="CA173" s="12">
        <f>Sales[[#This Row],[AddFn]]*Lookups!$B$88</f>
        <v>0</v>
      </c>
      <c r="CB173" s="12">
        <f>Sales[[#This Row],[Bsmt]]*Lookups!$B$89</f>
        <v>28936.485770764997</v>
      </c>
      <c r="CC173" s="12">
        <f>Sales[[#This Row],[Fixtures]]*Lookups!$B$90</f>
        <v>34128.198946800003</v>
      </c>
      <c r="CD173" s="12">
        <f>Sales[[#This Row],[WdDeck]]*Lookups!$B$91</f>
        <v>0</v>
      </c>
      <c r="CE173" s="12">
        <f>SUM(Sales[[#This Row],[Days Prior Total]:[Mdl WdDeck]])</f>
        <v>341999.79060783837</v>
      </c>
      <c r="CF173" s="12">
        <f>ROUND(Sales[[#This Row],[25Det]],-2)</f>
        <v>0</v>
      </c>
      <c r="CG173" s="12">
        <f>ROUND(SUM(Sales[[#This Row],[Mdl Qlty]:[Mdl WdDeck]])+Sales[[#This Row],[Mdl Res Intercept]]+Sales[[#This Row],[Days Prior Total]],-2)</f>
        <v>303100</v>
      </c>
      <c r="CH173" s="12">
        <f>ROUND(Sales[[#This Row],[Mdl Land Intercept]]+Sales[[#This Row],[Mdl LnAcres]],-2)</f>
        <v>38900</v>
      </c>
      <c r="CI173" s="12">
        <f>Sales[[#This Row],[Unadj Res Value]]+Sales[[#This Row],[Unadj Det Value]]+Sales[[#This Row],[Unadj Land Value]]</f>
        <v>342000</v>
      </c>
      <c r="CJ173" s="13">
        <f>Sales[[#This Row],[Unadj Total Value]]/Sales[[#This Row],[Price]]</f>
        <v>1.0857142857142856</v>
      </c>
      <c r="CK173" s="13">
        <f>(Sales[[#This Row],[Unadj Total Value]]-Sales[[#This Row],[24Final]])/Sales[[#This Row],[24Final]]</f>
        <v>-9.8436595251881875E-3</v>
      </c>
      <c r="CL173">
        <f>VLOOKUP(Sales[[#This Row],[TNbhd]],Lookups!$Q$2:$T$4,4,FALSE)</f>
        <v>0.99970000000000003</v>
      </c>
      <c r="CM173">
        <f>VLOOKUP(Sales[[#This Row],[Qlty]],Lookups!$O$7:$R$21,4,FALSE)</f>
        <v>1.0088999999999999</v>
      </c>
      <c r="CN173">
        <f>VLOOKUP(Sales[[#This Row],[Cnd]],Lookups!$T$7:$W$16,4,FALSE)</f>
        <v>0.99650000000000005</v>
      </c>
      <c r="CO173">
        <f>VLOOKUP(Sales[[#This Row],[LivArea Range]],Lookups!$T$25:$W$37,4,FALSE)</f>
        <v>1.0093000000000001</v>
      </c>
      <c r="CP173">
        <f>VLOOKUP(Sales[[#This Row],[Decade]],Lookups!$O$25:$R$42,4,FALSE)</f>
        <v>0.98909999999999998</v>
      </c>
      <c r="CQ173">
        <f>Sales[[#This Row],[Nbhd Adj]]*0.95</f>
        <v>0.94971499999999998</v>
      </c>
      <c r="CR173">
        <f>Sales[[#This Row],[Nbhd Adj]]*Sales[[#This Row],[Quality Adj]]*Sales[[#This Row],[Condition Adj]]*Sales[[#This Row],[Living Area Adj]]*Sales[[#This Row],[Decade Adj]]*0.95</f>
        <v>0.95318938569119571</v>
      </c>
      <c r="CS173">
        <f>ROUND(SUM(Sales[[#This Row],[Mdl Qlty]:[Mdl WdDeck]])+Sales[[#This Row],[Mdl Res Intercept]]*Sales[[#This Row],[Res Adj ]],-2)</f>
        <v>326600</v>
      </c>
      <c r="CT173">
        <f>ROUND(Sales[[#This Row],[25Det]]*Sales[[#This Row],[Det/Nbhd Adj]],-2)</f>
        <v>0</v>
      </c>
      <c r="CU173">
        <f>Sales[[#This Row],[Adjusted Res]]+Sales[[#This Row],[Adj Det ]]</f>
        <v>326600</v>
      </c>
      <c r="CV173">
        <f>ROUND((Sales[[#This Row],[Mdl Land Intercept]]+Sales[[#This Row],[Mdl LnAcres]])*Sales[[#This Row],[Det/Nbhd Adj]],-2)</f>
        <v>36900</v>
      </c>
      <c r="CW173">
        <f>Sales[[#This Row],[Adjusted Impr Total]]+Sales[[#This Row],[Adjusted Land Total]]</f>
        <v>363500</v>
      </c>
      <c r="CX173" s="15">
        <f>IFERROR((Sales[[#This Row],[Adjusted Impr Total]]-Sales[[#This Row],[24Bldg]])/Sales[[#This Row],[24Bldg]],0)</f>
        <v>0.13797909407665504</v>
      </c>
      <c r="CY173" s="15">
        <f>(Sales[[#This Row],[Adjusted Land Total]]-Sales[[#This Row],[24Lnd]])/Sales[[#This Row],[24Lnd]]</f>
        <v>-0.36815068493150682</v>
      </c>
      <c r="CZ173" s="15">
        <f>(Sales[[#This Row],[Adjusted Total]]-Sales[[#This Row],[24Final]])/Sales[[#This Row],[24Final]]</f>
        <v>5.2403011001737117E-2</v>
      </c>
      <c r="DA173" s="15">
        <f>(Sales[[#This Row],[Adjusted Total]]+Sales[[#This Row],[Days Prior Total]])/Sales[[#This Row],[Price]]</f>
        <v>1.0794647917799935</v>
      </c>
    </row>
    <row r="174" spans="1:105" x14ac:dyDescent="0.3">
      <c r="A174">
        <v>2025</v>
      </c>
      <c r="B174">
        <v>18132211025</v>
      </c>
      <c r="C174">
        <v>-2.0202707317519466E-2</v>
      </c>
      <c r="D174">
        <v>0.98</v>
      </c>
      <c r="E174">
        <v>42478</v>
      </c>
      <c r="F174">
        <v>6</v>
      </c>
      <c r="G174" t="s">
        <v>126</v>
      </c>
      <c r="H174">
        <v>3032</v>
      </c>
      <c r="I174" t="s">
        <v>349</v>
      </c>
      <c r="J174" t="s">
        <v>30</v>
      </c>
      <c r="K174">
        <v>11</v>
      </c>
      <c r="L174">
        <v>259</v>
      </c>
      <c r="M174" t="s">
        <v>147</v>
      </c>
      <c r="N174" t="s">
        <v>148</v>
      </c>
      <c r="O174" t="s">
        <v>323</v>
      </c>
      <c r="P174">
        <v>90</v>
      </c>
      <c r="Q174">
        <v>1940</v>
      </c>
      <c r="R174">
        <v>1972</v>
      </c>
      <c r="S174">
        <v>84</v>
      </c>
      <c r="T174">
        <v>52</v>
      </c>
      <c r="U174">
        <v>2</v>
      </c>
      <c r="V174">
        <v>2412</v>
      </c>
      <c r="W174">
        <v>1191</v>
      </c>
      <c r="X174">
        <v>0</v>
      </c>
      <c r="Y174">
        <v>2151</v>
      </c>
      <c r="Z174">
        <v>656</v>
      </c>
      <c r="AA174">
        <v>1495</v>
      </c>
      <c r="AB174">
        <v>5098</v>
      </c>
      <c r="AC174">
        <v>5500</v>
      </c>
      <c r="AD174">
        <v>0</v>
      </c>
      <c r="AF174" t="s">
        <v>383</v>
      </c>
      <c r="AG174" t="s">
        <v>148</v>
      </c>
      <c r="AH174" t="s">
        <v>450</v>
      </c>
      <c r="AI174">
        <v>0</v>
      </c>
      <c r="AJ174">
        <v>3</v>
      </c>
      <c r="AK174">
        <v>0</v>
      </c>
      <c r="AL174">
        <v>2</v>
      </c>
      <c r="AM174">
        <v>1</v>
      </c>
      <c r="AN174">
        <v>15</v>
      </c>
      <c r="AO174">
        <v>0</v>
      </c>
      <c r="AP174">
        <v>0</v>
      </c>
      <c r="AQ174">
        <v>486</v>
      </c>
      <c r="AR174">
        <v>0</v>
      </c>
      <c r="AS174">
        <v>1536</v>
      </c>
      <c r="AT174">
        <v>0</v>
      </c>
      <c r="AU174">
        <v>100</v>
      </c>
      <c r="AV174">
        <v>100</v>
      </c>
      <c r="AW174">
        <v>771056</v>
      </c>
      <c r="AX174">
        <v>532029</v>
      </c>
      <c r="AY174">
        <v>518</v>
      </c>
      <c r="AZ174">
        <v>365</v>
      </c>
      <c r="BA174">
        <v>153</v>
      </c>
      <c r="BB174">
        <v>0</v>
      </c>
      <c r="BC174" s="3">
        <v>44774</v>
      </c>
      <c r="BD174">
        <v>462938</v>
      </c>
      <c r="BE174">
        <v>560000</v>
      </c>
      <c r="BF174">
        <v>489098</v>
      </c>
      <c r="BG174" t="s">
        <v>294</v>
      </c>
      <c r="BH174">
        <v>30</v>
      </c>
      <c r="BI174" t="s">
        <v>65</v>
      </c>
      <c r="BJ174" t="s">
        <v>450</v>
      </c>
      <c r="BK174">
        <v>655800</v>
      </c>
      <c r="BL174">
        <v>113800</v>
      </c>
      <c r="BM174">
        <v>542000</v>
      </c>
      <c r="BN174">
        <v>70902</v>
      </c>
      <c r="BO174">
        <v>1.1710714285714285</v>
      </c>
      <c r="BP174">
        <v>550158.99984778604</v>
      </c>
      <c r="BQ174">
        <v>574155.81633149937</v>
      </c>
      <c r="BR174" s="12">
        <f>(Sales[[#This Row],[DP1]]*Lookups!$B$59)+(Sales[[#This Row],[DP2]]*Lookups!$B$60)+(Sales[[#This Row],[DP3]]*Lookups!$B$61)</f>
        <v>-23996.816485294003</v>
      </c>
      <c r="BS174" s="12">
        <f>Lookups!$B$56*0</f>
        <v>0</v>
      </c>
      <c r="BT174" s="12">
        <f>Lookups!$B$56*1</f>
        <v>89850.625589999996</v>
      </c>
      <c r="BU174" s="12">
        <f>Lookups!$B$57*Sales[[#This Row],[LnAcres]]</f>
        <v>-639.50893706396755</v>
      </c>
      <c r="BV174" s="12">
        <f>VLOOKUP(Sales[[#This Row],[Qlty]],Lookups!$A$62:$E$75,2,FALSE)</f>
        <v>44121.038090000002</v>
      </c>
      <c r="BW174" s="12">
        <f>VLOOKUP(Sales[[#This Row],[Cnd]],Lookups!$A$76:$E$84,2,FALSE)</f>
        <v>160472.20319</v>
      </c>
      <c r="BX174" s="12">
        <f>Sales[[#This Row],[EffAge]]*Lookups!$B$85</f>
        <v>-11598.371226000001</v>
      </c>
      <c r="BY174" s="12">
        <f>Sales[[#This Row],[MainFn]]*Lookups!$B$86</f>
        <v>119173.71174332401</v>
      </c>
      <c r="BZ174" s="12">
        <f>Sales[[#This Row],[UpprFn]]*Lookups!$B$87</f>
        <v>53340.629627450995</v>
      </c>
      <c r="CA174" s="12">
        <f>Sales[[#This Row],[AddFn]]*Lookups!$B$88</f>
        <v>0</v>
      </c>
      <c r="CB174" s="12">
        <f>Sales[[#This Row],[Bsmt]]*Lookups!$B$89</f>
        <v>62555.156676296996</v>
      </c>
      <c r="CC174" s="12">
        <f>Sales[[#This Row],[Fixtures]]*Lookups!$B$90</f>
        <v>56880.331578000005</v>
      </c>
      <c r="CD174" s="12">
        <f>Sales[[#This Row],[WdDeck]]*Lookups!$B$91</f>
        <v>0</v>
      </c>
      <c r="CE174" s="12">
        <f>SUM(Sales[[#This Row],[Days Prior Total]:[Mdl WdDeck]])</f>
        <v>550158.99984671408</v>
      </c>
      <c r="CF174" s="12">
        <f>ROUND(Sales[[#This Row],[25Det]],-2)</f>
        <v>70900</v>
      </c>
      <c r="CG174" s="12">
        <f>ROUND(SUM(Sales[[#This Row],[Mdl Qlty]:[Mdl WdDeck]])+Sales[[#This Row],[Mdl Res Intercept]]+Sales[[#This Row],[Days Prior Total]],-2)</f>
        <v>460900</v>
      </c>
      <c r="CH174" s="12">
        <f>ROUND(Sales[[#This Row],[Mdl Land Intercept]]+Sales[[#This Row],[Mdl LnAcres]],-2)</f>
        <v>89200</v>
      </c>
      <c r="CI174" s="12">
        <f>Sales[[#This Row],[Unadj Res Value]]+Sales[[#This Row],[Unadj Det Value]]+Sales[[#This Row],[Unadj Land Value]]</f>
        <v>621000</v>
      </c>
      <c r="CJ174" s="13">
        <f>Sales[[#This Row],[Unadj Total Value]]/Sales[[#This Row],[Price]]</f>
        <v>1.1089285714285715</v>
      </c>
      <c r="CK174" s="13">
        <f>(Sales[[#This Row],[Unadj Total Value]]-Sales[[#This Row],[24Final]])/Sales[[#This Row],[24Final]]</f>
        <v>-5.3064958828911254E-2</v>
      </c>
      <c r="CL174">
        <f>VLOOKUP(Sales[[#This Row],[TNbhd]],Lookups!$Q$2:$T$4,4,FALSE)</f>
        <v>0.99970000000000003</v>
      </c>
      <c r="CM174">
        <f>VLOOKUP(Sales[[#This Row],[Qlty]],Lookups!$O$7:$R$21,4,FALSE)</f>
        <v>0.98050000000000004</v>
      </c>
      <c r="CN174">
        <f>VLOOKUP(Sales[[#This Row],[Cnd]],Lookups!$T$7:$W$16,4,FALSE)</f>
        <v>0.99729999999999996</v>
      </c>
      <c r="CO174">
        <f>VLOOKUP(Sales[[#This Row],[LivArea Range]],Lookups!$T$25:$W$37,4,FALSE)</f>
        <v>1.1091</v>
      </c>
      <c r="CP174">
        <f>VLOOKUP(Sales[[#This Row],[Decade]],Lookups!$O$25:$R$42,4,FALSE)</f>
        <v>0.98909999999999998</v>
      </c>
      <c r="CQ174">
        <f>Sales[[#This Row],[Nbhd Adj]]*0.95</f>
        <v>0.94971499999999998</v>
      </c>
      <c r="CR174">
        <f>Sales[[#This Row],[Nbhd Adj]]*Sales[[#This Row],[Quality Adj]]*Sales[[#This Row],[Condition Adj]]*Sales[[#This Row],[Living Area Adj]]*Sales[[#This Row],[Decade Adj]]*0.95</f>
        <v>1.0187734575009122</v>
      </c>
      <c r="CS174">
        <f>ROUND(SUM(Sales[[#This Row],[Mdl Qlty]:[Mdl WdDeck]])+Sales[[#This Row],[Mdl Res Intercept]]*Sales[[#This Row],[Res Adj ]],-2)</f>
        <v>484900</v>
      </c>
      <c r="CT174">
        <f>ROUND(Sales[[#This Row],[25Det]]*Sales[[#This Row],[Det/Nbhd Adj]],-2)</f>
        <v>67300</v>
      </c>
      <c r="CU174">
        <f>Sales[[#This Row],[Adjusted Res]]+Sales[[#This Row],[Adj Det ]]</f>
        <v>552200</v>
      </c>
      <c r="CV174">
        <f>ROUND((Sales[[#This Row],[Mdl Land Intercept]]+Sales[[#This Row],[Mdl LnAcres]])*Sales[[#This Row],[Det/Nbhd Adj]],-2)</f>
        <v>84700</v>
      </c>
      <c r="CW174">
        <f>Sales[[#This Row],[Adjusted Impr Total]]+Sales[[#This Row],[Adjusted Land Total]]</f>
        <v>636900</v>
      </c>
      <c r="CX174" s="15">
        <f>IFERROR((Sales[[#This Row],[Adjusted Impr Total]]-Sales[[#This Row],[24Bldg]])/Sales[[#This Row],[24Bldg]],0)</f>
        <v>1.8819188191881917E-2</v>
      </c>
      <c r="CY174" s="15">
        <f>(Sales[[#This Row],[Adjusted Land Total]]-Sales[[#This Row],[24Lnd]])/Sales[[#This Row],[24Lnd]]</f>
        <v>-0.25571177504393672</v>
      </c>
      <c r="CZ174" s="15">
        <f>(Sales[[#This Row],[Adjusted Total]]-Sales[[#This Row],[24Final]])/Sales[[#This Row],[24Final]]</f>
        <v>-2.8819762122598354E-2</v>
      </c>
      <c r="DA174" s="15">
        <f>(Sales[[#This Row],[Adjusted Total]]+Sales[[#This Row],[Days Prior Total]])/Sales[[#This Row],[Price]]</f>
        <v>1.0944699705619749</v>
      </c>
    </row>
    <row r="175" spans="1:105" x14ac:dyDescent="0.3">
      <c r="A175">
        <v>2025</v>
      </c>
      <c r="B175">
        <v>18132324542</v>
      </c>
      <c r="C175">
        <v>-1.6094379124341003</v>
      </c>
      <c r="D175">
        <v>0.2</v>
      </c>
      <c r="E175">
        <v>0</v>
      </c>
      <c r="F175">
        <v>6</v>
      </c>
      <c r="G175" t="s">
        <v>126</v>
      </c>
      <c r="H175">
        <v>3033</v>
      </c>
      <c r="I175" t="s">
        <v>349</v>
      </c>
      <c r="J175" t="s">
        <v>30</v>
      </c>
      <c r="K175">
        <v>11</v>
      </c>
      <c r="L175">
        <v>259</v>
      </c>
      <c r="M175" t="s">
        <v>242</v>
      </c>
      <c r="N175" t="s">
        <v>302</v>
      </c>
      <c r="O175" t="s">
        <v>303</v>
      </c>
      <c r="P175">
        <v>90</v>
      </c>
      <c r="Q175">
        <v>1940</v>
      </c>
      <c r="R175">
        <v>1972</v>
      </c>
      <c r="S175">
        <v>84</v>
      </c>
      <c r="T175">
        <v>52</v>
      </c>
      <c r="U175">
        <v>1</v>
      </c>
      <c r="V175">
        <v>1148</v>
      </c>
      <c r="W175">
        <v>0</v>
      </c>
      <c r="X175">
        <v>0</v>
      </c>
      <c r="Y175">
        <v>1148</v>
      </c>
      <c r="Z175">
        <v>574</v>
      </c>
      <c r="AA175">
        <v>574</v>
      </c>
      <c r="AB175">
        <v>1722</v>
      </c>
      <c r="AC175">
        <v>2000</v>
      </c>
      <c r="AD175">
        <v>1</v>
      </c>
      <c r="AF175" t="s">
        <v>383</v>
      </c>
      <c r="AG175" t="s">
        <v>148</v>
      </c>
      <c r="AH175" t="s">
        <v>450</v>
      </c>
      <c r="AI175">
        <v>0</v>
      </c>
      <c r="AJ175">
        <v>1</v>
      </c>
      <c r="AK175">
        <v>0</v>
      </c>
      <c r="AL175">
        <v>1</v>
      </c>
      <c r="AM175">
        <v>0</v>
      </c>
      <c r="AN175">
        <v>9</v>
      </c>
      <c r="AO175">
        <v>372</v>
      </c>
      <c r="AP175">
        <v>0</v>
      </c>
      <c r="AQ175">
        <v>0</v>
      </c>
      <c r="AR175">
        <v>0</v>
      </c>
      <c r="AS175">
        <v>262</v>
      </c>
      <c r="AT175">
        <v>262</v>
      </c>
      <c r="AU175">
        <v>100</v>
      </c>
      <c r="AV175">
        <v>100</v>
      </c>
      <c r="AW175">
        <v>296006</v>
      </c>
      <c r="AX175">
        <v>227925</v>
      </c>
      <c r="AY175">
        <v>1089</v>
      </c>
      <c r="AZ175">
        <v>365</v>
      </c>
      <c r="BA175">
        <v>365</v>
      </c>
      <c r="BB175">
        <v>359</v>
      </c>
      <c r="BC175" s="3">
        <v>44203</v>
      </c>
      <c r="BD175" t="s">
        <v>285</v>
      </c>
      <c r="BE175">
        <v>270000</v>
      </c>
      <c r="BF175">
        <v>270000</v>
      </c>
      <c r="BG175" t="s">
        <v>294</v>
      </c>
      <c r="BH175">
        <v>30</v>
      </c>
      <c r="BI175" t="s">
        <v>65</v>
      </c>
      <c r="BJ175" t="s">
        <v>450</v>
      </c>
      <c r="BK175">
        <v>349100</v>
      </c>
      <c r="BL175">
        <v>58400</v>
      </c>
      <c r="BM175">
        <v>290700</v>
      </c>
      <c r="BN175">
        <v>0</v>
      </c>
      <c r="BO175">
        <v>1.2929629629629629</v>
      </c>
      <c r="BP175">
        <v>309539.44475267694</v>
      </c>
      <c r="BQ175">
        <v>379107.92376817978</v>
      </c>
      <c r="BR175" s="12">
        <f>(Sales[[#This Row],[DP1]]*Lookups!$B$59)+(Sales[[#This Row],[DP2]]*Lookups!$B$60)+(Sales[[#This Row],[DP3]]*Lookups!$B$61)</f>
        <v>-69568.479026170011</v>
      </c>
      <c r="BS175" s="12">
        <f>Lookups!$B$56*0</f>
        <v>0</v>
      </c>
      <c r="BT175" s="12">
        <f>Lookups!$B$56*1</f>
        <v>89850.625589999996</v>
      </c>
      <c r="BU175" s="12">
        <f>Lookups!$B$57*Sales[[#This Row],[LnAcres]]</f>
        <v>-50946.13867709865</v>
      </c>
      <c r="BV175" s="12">
        <f>VLOOKUP(Sales[[#This Row],[Qlty]],Lookups!$A$62:$E$75,2,FALSE)</f>
        <v>29814.093161000001</v>
      </c>
      <c r="BW175" s="12">
        <f>VLOOKUP(Sales[[#This Row],[Cnd]],Lookups!$A$76:$E$84,2,FALSE)</f>
        <v>197752.34721000001</v>
      </c>
      <c r="BX175" s="12">
        <f>Sales[[#This Row],[EffAge]]*Lookups!$B$85</f>
        <v>-11598.371226000001</v>
      </c>
      <c r="BY175" s="12">
        <f>Sales[[#This Row],[MainFn]]*Lookups!$B$86</f>
        <v>56721.153018796002</v>
      </c>
      <c r="BZ175" s="12">
        <f>Sales[[#This Row],[UpprFn]]*Lookups!$B$87</f>
        <v>0</v>
      </c>
      <c r="CA175" s="12">
        <f>Sales[[#This Row],[AddFn]]*Lookups!$B$88</f>
        <v>0</v>
      </c>
      <c r="CB175" s="12">
        <f>Sales[[#This Row],[Bsmt]]*Lookups!$B$89</f>
        <v>33386.015743555996</v>
      </c>
      <c r="CC175" s="12">
        <f>Sales[[#This Row],[Fixtures]]*Lookups!$B$90</f>
        <v>34128.198946800003</v>
      </c>
      <c r="CD175" s="12">
        <f>Sales[[#This Row],[WdDeck]]*Lookups!$B$91</f>
        <v>0</v>
      </c>
      <c r="CE175" s="12">
        <f>SUM(Sales[[#This Row],[Days Prior Total]:[Mdl WdDeck]])</f>
        <v>309539.44474088337</v>
      </c>
      <c r="CF175" s="12">
        <f>ROUND(Sales[[#This Row],[25Det]],-2)</f>
        <v>0</v>
      </c>
      <c r="CG175" s="12">
        <f>ROUND(SUM(Sales[[#This Row],[Mdl Qlty]:[Mdl WdDeck]])+Sales[[#This Row],[Mdl Res Intercept]]+Sales[[#This Row],[Days Prior Total]],-2)</f>
        <v>270600</v>
      </c>
      <c r="CH175" s="12">
        <f>ROUND(Sales[[#This Row],[Mdl Land Intercept]]+Sales[[#This Row],[Mdl LnAcres]],-2)</f>
        <v>38900</v>
      </c>
      <c r="CI175" s="12">
        <f>Sales[[#This Row],[Unadj Res Value]]+Sales[[#This Row],[Unadj Det Value]]+Sales[[#This Row],[Unadj Land Value]]</f>
        <v>309500</v>
      </c>
      <c r="CJ175" s="13">
        <f>Sales[[#This Row],[Unadj Total Value]]/Sales[[#This Row],[Price]]</f>
        <v>1.1462962962962964</v>
      </c>
      <c r="CK175" s="13">
        <f>(Sales[[#This Row],[Unadj Total Value]]-Sales[[#This Row],[24Final]])/Sales[[#This Row],[24Final]]</f>
        <v>-0.11343454597536523</v>
      </c>
      <c r="CL175">
        <f>VLOOKUP(Sales[[#This Row],[TNbhd]],Lookups!$Q$2:$T$4,4,FALSE)</f>
        <v>0.99970000000000003</v>
      </c>
      <c r="CM175">
        <f>VLOOKUP(Sales[[#This Row],[Qlty]],Lookups!$O$7:$R$21,4,FALSE)</f>
        <v>1.0088999999999999</v>
      </c>
      <c r="CN175">
        <f>VLOOKUP(Sales[[#This Row],[Cnd]],Lookups!$T$7:$W$16,4,FALSE)</f>
        <v>0.99650000000000005</v>
      </c>
      <c r="CO175">
        <f>VLOOKUP(Sales[[#This Row],[LivArea Range]],Lookups!$T$25:$W$37,4,FALSE)</f>
        <v>1.0093000000000001</v>
      </c>
      <c r="CP175">
        <f>VLOOKUP(Sales[[#This Row],[Decade]],Lookups!$O$25:$R$42,4,FALSE)</f>
        <v>0.98909999999999998</v>
      </c>
      <c r="CQ175">
        <f>Sales[[#This Row],[Nbhd Adj]]*0.95</f>
        <v>0.94971499999999998</v>
      </c>
      <c r="CR175">
        <f>Sales[[#This Row],[Nbhd Adj]]*Sales[[#This Row],[Quality Adj]]*Sales[[#This Row],[Condition Adj]]*Sales[[#This Row],[Living Area Adj]]*Sales[[#This Row],[Decade Adj]]*0.95</f>
        <v>0.95318938569119571</v>
      </c>
      <c r="CS175">
        <f>ROUND(SUM(Sales[[#This Row],[Mdl Qlty]:[Mdl WdDeck]])+Sales[[#This Row],[Mdl Res Intercept]]*Sales[[#This Row],[Res Adj ]],-2)</f>
        <v>340200</v>
      </c>
      <c r="CT175">
        <f>ROUND(Sales[[#This Row],[25Det]]*Sales[[#This Row],[Det/Nbhd Adj]],-2)</f>
        <v>0</v>
      </c>
      <c r="CU175">
        <f>Sales[[#This Row],[Adjusted Res]]+Sales[[#This Row],[Adj Det ]]</f>
        <v>340200</v>
      </c>
      <c r="CV175">
        <f>ROUND((Sales[[#This Row],[Mdl Land Intercept]]+Sales[[#This Row],[Mdl LnAcres]])*Sales[[#This Row],[Det/Nbhd Adj]],-2)</f>
        <v>36900</v>
      </c>
      <c r="CW175">
        <f>Sales[[#This Row],[Adjusted Impr Total]]+Sales[[#This Row],[Adjusted Land Total]]</f>
        <v>377100</v>
      </c>
      <c r="CX175" s="15">
        <f>IFERROR((Sales[[#This Row],[Adjusted Impr Total]]-Sales[[#This Row],[24Bldg]])/Sales[[#This Row],[24Bldg]],0)</f>
        <v>0.17027863777089783</v>
      </c>
      <c r="CY175" s="15">
        <f>(Sales[[#This Row],[Adjusted Land Total]]-Sales[[#This Row],[24Lnd]])/Sales[[#This Row],[24Lnd]]</f>
        <v>-0.36815068493150682</v>
      </c>
      <c r="CZ175" s="15">
        <f>(Sales[[#This Row],[Adjusted Total]]-Sales[[#This Row],[24Final]])/Sales[[#This Row],[24Final]]</f>
        <v>8.0206244629046117E-2</v>
      </c>
      <c r="DA175" s="15">
        <f>(Sales[[#This Row],[Adjusted Total]]+Sales[[#This Row],[Days Prior Total]])/Sales[[#This Row],[Price]]</f>
        <v>1.1390056332364076</v>
      </c>
    </row>
    <row r="176" spans="1:105" x14ac:dyDescent="0.3">
      <c r="A176">
        <v>2025</v>
      </c>
      <c r="B176">
        <v>18132214429</v>
      </c>
      <c r="C176">
        <v>-1.7147984280919266</v>
      </c>
      <c r="D176">
        <v>0.18</v>
      </c>
      <c r="E176">
        <v>7730</v>
      </c>
      <c r="F176">
        <v>6</v>
      </c>
      <c r="G176" t="s">
        <v>126</v>
      </c>
      <c r="H176">
        <v>3033</v>
      </c>
      <c r="I176" t="s">
        <v>349</v>
      </c>
      <c r="J176" t="s">
        <v>30</v>
      </c>
      <c r="K176">
        <v>11</v>
      </c>
      <c r="L176">
        <v>259</v>
      </c>
      <c r="M176" t="s">
        <v>241</v>
      </c>
      <c r="N176" t="s">
        <v>205</v>
      </c>
      <c r="O176" t="s">
        <v>352</v>
      </c>
      <c r="P176">
        <v>90</v>
      </c>
      <c r="Q176">
        <v>1940</v>
      </c>
      <c r="R176">
        <v>1987</v>
      </c>
      <c r="S176">
        <v>84</v>
      </c>
      <c r="T176">
        <v>37</v>
      </c>
      <c r="U176">
        <v>1</v>
      </c>
      <c r="V176">
        <v>1017</v>
      </c>
      <c r="W176">
        <v>0</v>
      </c>
      <c r="X176">
        <v>0</v>
      </c>
      <c r="Y176">
        <v>1017</v>
      </c>
      <c r="Z176">
        <v>0</v>
      </c>
      <c r="AA176">
        <v>1017</v>
      </c>
      <c r="AB176">
        <v>2034</v>
      </c>
      <c r="AC176">
        <v>2500</v>
      </c>
      <c r="AD176">
        <v>0</v>
      </c>
      <c r="AF176" t="s">
        <v>383</v>
      </c>
      <c r="AG176" t="s">
        <v>382</v>
      </c>
      <c r="AH176" t="s">
        <v>65</v>
      </c>
      <c r="AI176">
        <v>1</v>
      </c>
      <c r="AJ176">
        <v>0</v>
      </c>
      <c r="AK176">
        <v>0</v>
      </c>
      <c r="AL176">
        <v>1</v>
      </c>
      <c r="AM176">
        <v>0</v>
      </c>
      <c r="AN176">
        <v>8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100</v>
      </c>
      <c r="AV176">
        <v>100</v>
      </c>
      <c r="AW176">
        <v>210644</v>
      </c>
      <c r="AX176">
        <v>189580</v>
      </c>
      <c r="AY176">
        <v>914</v>
      </c>
      <c r="AZ176">
        <v>365</v>
      </c>
      <c r="BA176">
        <v>365</v>
      </c>
      <c r="BB176">
        <v>184</v>
      </c>
      <c r="BC176" s="3">
        <v>44378</v>
      </c>
      <c r="BD176" t="s">
        <v>356</v>
      </c>
      <c r="BE176">
        <v>319900</v>
      </c>
      <c r="BF176">
        <v>319900</v>
      </c>
      <c r="BG176" t="s">
        <v>294</v>
      </c>
      <c r="BH176">
        <v>30</v>
      </c>
      <c r="BI176" t="s">
        <v>65</v>
      </c>
      <c r="BJ176" t="s">
        <v>450</v>
      </c>
      <c r="BK176">
        <v>352400</v>
      </c>
      <c r="BL176">
        <v>54700</v>
      </c>
      <c r="BM176">
        <v>297700</v>
      </c>
      <c r="BN176">
        <v>0</v>
      </c>
      <c r="BO176">
        <v>1.1015942482025634</v>
      </c>
      <c r="BP176">
        <v>376121.16343229188</v>
      </c>
      <c r="BQ176">
        <v>422288.34269469761</v>
      </c>
      <c r="BR176" s="12">
        <f>(Sales[[#This Row],[DP1]]*Lookups!$B$59)+(Sales[[#This Row],[DP2]]*Lookups!$B$60)+(Sales[[#This Row],[DP3]]*Lookups!$B$61)</f>
        <v>-46167.179268670006</v>
      </c>
      <c r="BS176" s="12">
        <f>Lookups!$B$56*0</f>
        <v>0</v>
      </c>
      <c r="BT176" s="12">
        <f>Lookups!$B$56*1</f>
        <v>89850.625589999996</v>
      </c>
      <c r="BU176" s="12">
        <f>Lookups!$B$57*Sales[[#This Row],[LnAcres]]</f>
        <v>-54281.285314520763</v>
      </c>
      <c r="BV176" s="12">
        <f>VLOOKUP(Sales[[#This Row],[Qlty]],Lookups!$A$62:$E$75,2,FALSE)</f>
        <v>0</v>
      </c>
      <c r="BW176" s="12">
        <f>VLOOKUP(Sales[[#This Row],[Cnd]],Lookups!$A$76:$E$84,2,FALSE)</f>
        <v>284810.60806</v>
      </c>
      <c r="BX176" s="12">
        <f>Sales[[#This Row],[EffAge]]*Lookups!$B$85</f>
        <v>-8252.6872185000011</v>
      </c>
      <c r="BY176" s="12">
        <f>Sales[[#This Row],[MainFn]]*Lookups!$B$86</f>
        <v>50248.617264909</v>
      </c>
      <c r="BZ176" s="12">
        <f>Sales[[#This Row],[UpprFn]]*Lookups!$B$87</f>
        <v>0</v>
      </c>
      <c r="CA176" s="12">
        <f>Sales[[#This Row],[AddFn]]*Lookups!$B$88</f>
        <v>0</v>
      </c>
      <c r="CB176" s="12">
        <f>Sales[[#This Row],[Bsmt]]*Lookups!$B$89</f>
        <v>29576.287466198999</v>
      </c>
      <c r="CC176" s="12">
        <f>Sales[[#This Row],[Fixtures]]*Lookups!$B$90</f>
        <v>30336.176841600001</v>
      </c>
      <c r="CD176" s="12">
        <f>Sales[[#This Row],[WdDeck]]*Lookups!$B$91</f>
        <v>0</v>
      </c>
      <c r="CE176" s="12">
        <f>SUM(Sales[[#This Row],[Days Prior Total]:[Mdl WdDeck]])</f>
        <v>376121.16342101723</v>
      </c>
      <c r="CF176" s="12">
        <f>ROUND(Sales[[#This Row],[25Det]],-2)</f>
        <v>0</v>
      </c>
      <c r="CG176" s="12">
        <f>ROUND(SUM(Sales[[#This Row],[Mdl Qlty]:[Mdl WdDeck]])+Sales[[#This Row],[Mdl Res Intercept]]+Sales[[#This Row],[Days Prior Total]],-2)</f>
        <v>340600</v>
      </c>
      <c r="CH176" s="12">
        <f>ROUND(Sales[[#This Row],[Mdl Land Intercept]]+Sales[[#This Row],[Mdl LnAcres]],-2)</f>
        <v>35600</v>
      </c>
      <c r="CI176" s="12">
        <f>Sales[[#This Row],[Unadj Res Value]]+Sales[[#This Row],[Unadj Det Value]]+Sales[[#This Row],[Unadj Land Value]]</f>
        <v>376200</v>
      </c>
      <c r="CJ176" s="13">
        <f>Sales[[#This Row],[Unadj Total Value]]/Sales[[#This Row],[Price]]</f>
        <v>1.1759924976555174</v>
      </c>
      <c r="CK176" s="13">
        <f>(Sales[[#This Row],[Unadj Total Value]]-Sales[[#This Row],[24Final]])/Sales[[#This Row],[24Final]]</f>
        <v>6.7536889897843358E-2</v>
      </c>
      <c r="CL176">
        <f>VLOOKUP(Sales[[#This Row],[TNbhd]],Lookups!$Q$2:$T$4,4,FALSE)</f>
        <v>0.99970000000000003</v>
      </c>
      <c r="CM176">
        <f>VLOOKUP(Sales[[#This Row],[Qlty]],Lookups!$O$7:$R$21,4,FALSE)</f>
        <v>0.99180000000000001</v>
      </c>
      <c r="CN176">
        <f>VLOOKUP(Sales[[#This Row],[Cnd]],Lookups!$T$7:$W$16,4,FALSE)</f>
        <v>1.0158</v>
      </c>
      <c r="CO176">
        <f>VLOOKUP(Sales[[#This Row],[LivArea Range]],Lookups!$T$25:$W$37,4,FALSE)</f>
        <v>0.98919999999999997</v>
      </c>
      <c r="CP176">
        <f>VLOOKUP(Sales[[#This Row],[Decade]],Lookups!$O$25:$R$42,4,FALSE)</f>
        <v>0.98909999999999998</v>
      </c>
      <c r="CQ176">
        <f>Sales[[#This Row],[Nbhd Adj]]*0.95</f>
        <v>0.94971499999999998</v>
      </c>
      <c r="CR176">
        <f>Sales[[#This Row],[Nbhd Adj]]*Sales[[#This Row],[Quality Adj]]*Sales[[#This Row],[Condition Adj]]*Sales[[#This Row],[Living Area Adj]]*Sales[[#This Row],[Decade Adj]]*0.95</f>
        <v>0.93615965215328845</v>
      </c>
      <c r="CS176">
        <f>ROUND(SUM(Sales[[#This Row],[Mdl Qlty]:[Mdl WdDeck]])+Sales[[#This Row],[Mdl Res Intercept]]*Sales[[#This Row],[Res Adj ]],-2)</f>
        <v>386700</v>
      </c>
      <c r="CT176">
        <f>ROUND(Sales[[#This Row],[25Det]]*Sales[[#This Row],[Det/Nbhd Adj]],-2)</f>
        <v>0</v>
      </c>
      <c r="CU176">
        <f>Sales[[#This Row],[Adjusted Res]]+Sales[[#This Row],[Adj Det ]]</f>
        <v>386700</v>
      </c>
      <c r="CV176">
        <f>ROUND((Sales[[#This Row],[Mdl Land Intercept]]+Sales[[#This Row],[Mdl LnAcres]])*Sales[[#This Row],[Det/Nbhd Adj]],-2)</f>
        <v>33800</v>
      </c>
      <c r="CW176">
        <f>Sales[[#This Row],[Adjusted Impr Total]]+Sales[[#This Row],[Adjusted Land Total]]</f>
        <v>420500</v>
      </c>
      <c r="CX176" s="15">
        <f>IFERROR((Sales[[#This Row],[Adjusted Impr Total]]-Sales[[#This Row],[24Bldg]])/Sales[[#This Row],[24Bldg]],0)</f>
        <v>0.29895868323815922</v>
      </c>
      <c r="CY176" s="15">
        <f>(Sales[[#This Row],[Adjusted Land Total]]-Sales[[#This Row],[24Lnd]])/Sales[[#This Row],[24Lnd]]</f>
        <v>-0.38208409506398539</v>
      </c>
      <c r="CZ176" s="15">
        <f>(Sales[[#This Row],[Adjusted Total]]-Sales[[#This Row],[24Final]])/Sales[[#This Row],[24Final]]</f>
        <v>0.19324631101021567</v>
      </c>
      <c r="DA176" s="15">
        <f>(Sales[[#This Row],[Adjusted Total]]+Sales[[#This Row],[Days Prior Total]])/Sales[[#This Row],[Price]]</f>
        <v>1.1701557384536729</v>
      </c>
    </row>
    <row r="177" spans="1:105" x14ac:dyDescent="0.3">
      <c r="A177">
        <v>2025</v>
      </c>
      <c r="B177">
        <v>18132322015</v>
      </c>
      <c r="C177">
        <v>-1.7719568419318752</v>
      </c>
      <c r="D177">
        <v>0.17</v>
      </c>
      <c r="E177">
        <v>7313</v>
      </c>
      <c r="F177">
        <v>6</v>
      </c>
      <c r="G177" t="s">
        <v>126</v>
      </c>
      <c r="H177">
        <v>3033</v>
      </c>
      <c r="I177" t="s">
        <v>349</v>
      </c>
      <c r="J177" t="s">
        <v>30</v>
      </c>
      <c r="K177">
        <v>11</v>
      </c>
      <c r="L177">
        <v>259</v>
      </c>
      <c r="M177" t="s">
        <v>242</v>
      </c>
      <c r="N177" t="s">
        <v>351</v>
      </c>
      <c r="O177" t="s">
        <v>206</v>
      </c>
      <c r="P177">
        <v>90</v>
      </c>
      <c r="Q177">
        <v>1940</v>
      </c>
      <c r="R177">
        <v>1972</v>
      </c>
      <c r="S177">
        <v>84</v>
      </c>
      <c r="T177">
        <v>52</v>
      </c>
      <c r="U177">
        <v>1</v>
      </c>
      <c r="V177">
        <v>656</v>
      </c>
      <c r="W177">
        <v>0</v>
      </c>
      <c r="X177">
        <v>0</v>
      </c>
      <c r="Y177">
        <v>656</v>
      </c>
      <c r="Z177">
        <v>519</v>
      </c>
      <c r="AA177">
        <v>137</v>
      </c>
      <c r="AB177">
        <v>793</v>
      </c>
      <c r="AC177">
        <v>1000</v>
      </c>
      <c r="AD177">
        <v>0</v>
      </c>
      <c r="AF177" t="s">
        <v>383</v>
      </c>
      <c r="AG177" t="s">
        <v>175</v>
      </c>
      <c r="AI177">
        <v>0</v>
      </c>
      <c r="AJ177">
        <v>0</v>
      </c>
      <c r="AK177">
        <v>0</v>
      </c>
      <c r="AL177">
        <v>1</v>
      </c>
      <c r="AM177">
        <v>0</v>
      </c>
      <c r="AN177">
        <v>8</v>
      </c>
      <c r="AO177">
        <v>0</v>
      </c>
      <c r="AP177">
        <v>0</v>
      </c>
      <c r="AQ177">
        <v>0</v>
      </c>
      <c r="AR177">
        <v>0</v>
      </c>
      <c r="AS177">
        <v>126</v>
      </c>
      <c r="AT177">
        <v>138</v>
      </c>
      <c r="AU177">
        <v>100</v>
      </c>
      <c r="AV177">
        <v>100</v>
      </c>
      <c r="AW177">
        <v>139390</v>
      </c>
      <c r="AX177">
        <v>75271</v>
      </c>
      <c r="AY177">
        <v>439</v>
      </c>
      <c r="AZ177">
        <v>365</v>
      </c>
      <c r="BA177">
        <v>74</v>
      </c>
      <c r="BB177">
        <v>0</v>
      </c>
      <c r="BC177" s="3">
        <v>44853</v>
      </c>
      <c r="BD177" t="s">
        <v>8</v>
      </c>
      <c r="BE177">
        <v>190000</v>
      </c>
      <c r="BF177">
        <v>187098</v>
      </c>
      <c r="BG177" t="s">
        <v>294</v>
      </c>
      <c r="BH177">
        <v>30</v>
      </c>
      <c r="BI177" t="s">
        <v>65</v>
      </c>
      <c r="BJ177" t="s">
        <v>450</v>
      </c>
      <c r="BK177">
        <v>237100</v>
      </c>
      <c r="BL177">
        <v>52700</v>
      </c>
      <c r="BM177">
        <v>184400</v>
      </c>
      <c r="BN177">
        <v>2902</v>
      </c>
      <c r="BO177">
        <v>1.2478947368421052</v>
      </c>
      <c r="BP177">
        <v>234355.50920988753</v>
      </c>
      <c r="BQ177">
        <v>259259.49625412902</v>
      </c>
      <c r="BR177" s="12">
        <f>(Sales[[#This Row],[DP1]]*Lookups!$B$59)+(Sales[[#This Row],[DP2]]*Lookups!$B$60)+(Sales[[#This Row],[DP3]]*Lookups!$B$61)</f>
        <v>-24903.987045802001</v>
      </c>
      <c r="BS177" s="12">
        <f>Lookups!$B$56*0</f>
        <v>0</v>
      </c>
      <c r="BT177" s="12">
        <f>Lookups!$B$56*1</f>
        <v>89850.625589999996</v>
      </c>
      <c r="BU177" s="12">
        <f>Lookups!$B$57*Sales[[#This Row],[LnAcres]]</f>
        <v>-56090.612940989391</v>
      </c>
      <c r="BV177" s="12">
        <f>VLOOKUP(Sales[[#This Row],[Qlty]],Lookups!$A$62:$E$75,2,FALSE)</f>
        <v>21557.329055999999</v>
      </c>
      <c r="BW177" s="12">
        <f>VLOOKUP(Sales[[#This Row],[Cnd]],Lookups!$A$76:$E$84,2,FALSE)</f>
        <v>133714.53821</v>
      </c>
      <c r="BX177" s="12">
        <f>Sales[[#This Row],[EffAge]]*Lookups!$B$85</f>
        <v>-11598.371226000001</v>
      </c>
      <c r="BY177" s="12">
        <f>Sales[[#This Row],[MainFn]]*Lookups!$B$86</f>
        <v>32412.087439311999</v>
      </c>
      <c r="BZ177" s="12">
        <f>Sales[[#This Row],[UpprFn]]*Lookups!$B$87</f>
        <v>0</v>
      </c>
      <c r="CA177" s="12">
        <f>Sales[[#This Row],[AddFn]]*Lookups!$B$88</f>
        <v>0</v>
      </c>
      <c r="CB177" s="12">
        <f>Sales[[#This Row],[Bsmt]]*Lookups!$B$89</f>
        <v>19077.723282031999</v>
      </c>
      <c r="CC177" s="12">
        <f>Sales[[#This Row],[Fixtures]]*Lookups!$B$90</f>
        <v>30336.176841600001</v>
      </c>
      <c r="CD177" s="12">
        <f>Sales[[#This Row],[WdDeck]]*Lookups!$B$91</f>
        <v>0</v>
      </c>
      <c r="CE177" s="12">
        <f>SUM(Sales[[#This Row],[Days Prior Total]:[Mdl WdDeck]])</f>
        <v>234355.50920615261</v>
      </c>
      <c r="CF177" s="12">
        <f>ROUND(Sales[[#This Row],[25Det]],-2)</f>
        <v>2900</v>
      </c>
      <c r="CG177" s="12">
        <f>ROUND(SUM(Sales[[#This Row],[Mdl Qlty]:[Mdl WdDeck]])+Sales[[#This Row],[Mdl Res Intercept]]+Sales[[#This Row],[Days Prior Total]],-2)</f>
        <v>200600</v>
      </c>
      <c r="CH177" s="12">
        <f>ROUND(Sales[[#This Row],[Mdl Land Intercept]]+Sales[[#This Row],[Mdl LnAcres]],-2)</f>
        <v>33800</v>
      </c>
      <c r="CI177" s="12">
        <f>Sales[[#This Row],[Unadj Res Value]]+Sales[[#This Row],[Unadj Det Value]]+Sales[[#This Row],[Unadj Land Value]]</f>
        <v>237300</v>
      </c>
      <c r="CJ177" s="13">
        <f>Sales[[#This Row],[Unadj Total Value]]/Sales[[#This Row],[Price]]</f>
        <v>1.2489473684210526</v>
      </c>
      <c r="CK177" s="13">
        <f>(Sales[[#This Row],[Unadj Total Value]]-Sales[[#This Row],[24Final]])/Sales[[#This Row],[24Final]]</f>
        <v>8.4352593842260647E-4</v>
      </c>
      <c r="CL177">
        <f>VLOOKUP(Sales[[#This Row],[TNbhd]],Lookups!$Q$2:$T$4,4,FALSE)</f>
        <v>0.99970000000000003</v>
      </c>
      <c r="CM177">
        <f>VLOOKUP(Sales[[#This Row],[Qlty]],Lookups!$O$7:$R$21,4,FALSE)</f>
        <v>1.0067999999999999</v>
      </c>
      <c r="CN177">
        <f>VLOOKUP(Sales[[#This Row],[Cnd]],Lookups!$T$7:$W$16,4,FALSE)</f>
        <v>0.99329999999999996</v>
      </c>
      <c r="CO177">
        <f>VLOOKUP(Sales[[#This Row],[LivArea Range]],Lookups!$T$25:$W$37,4,FALSE)</f>
        <v>1.0148999999999999</v>
      </c>
      <c r="CP177">
        <f>VLOOKUP(Sales[[#This Row],[Decade]],Lookups!$O$25:$R$42,4,FALSE)</f>
        <v>0.98909999999999998</v>
      </c>
      <c r="CQ177">
        <f>Sales[[#This Row],[Nbhd Adj]]*0.95</f>
        <v>0.94971499999999998</v>
      </c>
      <c r="CR177">
        <f>Sales[[#This Row],[Nbhd Adj]]*Sales[[#This Row],[Quality Adj]]*Sales[[#This Row],[Condition Adj]]*Sales[[#This Row],[Living Area Adj]]*Sales[[#This Row],[Decade Adj]]*0.95</f>
        <v>0.95341151768438748</v>
      </c>
      <c r="CS177">
        <f>ROUND(SUM(Sales[[#This Row],[Mdl Qlty]:[Mdl WdDeck]])+Sales[[#This Row],[Mdl Res Intercept]]*Sales[[#This Row],[Res Adj ]],-2)</f>
        <v>225500</v>
      </c>
      <c r="CT177">
        <f>ROUND(Sales[[#This Row],[25Det]]*Sales[[#This Row],[Det/Nbhd Adj]],-2)</f>
        <v>2800</v>
      </c>
      <c r="CU177">
        <f>Sales[[#This Row],[Adjusted Res]]+Sales[[#This Row],[Adj Det ]]</f>
        <v>228300</v>
      </c>
      <c r="CV177">
        <f>ROUND((Sales[[#This Row],[Mdl Land Intercept]]+Sales[[#This Row],[Mdl LnAcres]])*Sales[[#This Row],[Det/Nbhd Adj]],-2)</f>
        <v>32100</v>
      </c>
      <c r="CW177">
        <f>Sales[[#This Row],[Adjusted Impr Total]]+Sales[[#This Row],[Adjusted Land Total]]</f>
        <v>260400</v>
      </c>
      <c r="CX177" s="15">
        <f>IFERROR((Sales[[#This Row],[Adjusted Impr Total]]-Sales[[#This Row],[24Bldg]])/Sales[[#This Row],[24Bldg]],0)</f>
        <v>0.23806941431670281</v>
      </c>
      <c r="CY177" s="15">
        <f>(Sales[[#This Row],[Adjusted Land Total]]-Sales[[#This Row],[24Lnd]])/Sales[[#This Row],[24Lnd]]</f>
        <v>-0.39089184060721061</v>
      </c>
      <c r="CZ177" s="15">
        <f>(Sales[[#This Row],[Adjusted Total]]-Sales[[#This Row],[24Final]])/Sales[[#This Row],[24Final]]</f>
        <v>9.8270771826233658E-2</v>
      </c>
      <c r="DA177" s="15">
        <f>(Sales[[#This Row],[Adjusted Total]]+Sales[[#This Row],[Days Prior Total]])/Sales[[#This Row],[Price]]</f>
        <v>1.2394526997589368</v>
      </c>
    </row>
    <row r="178" spans="1:105" x14ac:dyDescent="0.3">
      <c r="A178">
        <v>2025</v>
      </c>
      <c r="B178">
        <v>18132241032</v>
      </c>
      <c r="C178">
        <v>-1.4696759700589417</v>
      </c>
      <c r="D178">
        <v>0.23</v>
      </c>
      <c r="E178">
        <v>9968</v>
      </c>
      <c r="F178">
        <v>6</v>
      </c>
      <c r="G178" t="s">
        <v>126</v>
      </c>
      <c r="H178">
        <v>3033</v>
      </c>
      <c r="I178" t="s">
        <v>349</v>
      </c>
      <c r="J178" t="s">
        <v>30</v>
      </c>
      <c r="K178">
        <v>11</v>
      </c>
      <c r="L178">
        <v>259</v>
      </c>
      <c r="M178" t="s">
        <v>147</v>
      </c>
      <c r="N178" t="s">
        <v>351</v>
      </c>
      <c r="O178" t="s">
        <v>303</v>
      </c>
      <c r="P178">
        <v>90</v>
      </c>
      <c r="Q178">
        <v>1938</v>
      </c>
      <c r="R178">
        <v>1971</v>
      </c>
      <c r="S178">
        <v>86</v>
      </c>
      <c r="T178">
        <v>53</v>
      </c>
      <c r="U178">
        <v>2</v>
      </c>
      <c r="V178">
        <v>1003</v>
      </c>
      <c r="W178">
        <v>669</v>
      </c>
      <c r="X178">
        <v>0</v>
      </c>
      <c r="Y178">
        <v>1003</v>
      </c>
      <c r="Z178">
        <v>0</v>
      </c>
      <c r="AA178">
        <v>1003</v>
      </c>
      <c r="AB178">
        <v>2675</v>
      </c>
      <c r="AC178">
        <v>3000</v>
      </c>
      <c r="AD178">
        <v>0</v>
      </c>
      <c r="AF178" t="s">
        <v>383</v>
      </c>
      <c r="AG178" t="s">
        <v>148</v>
      </c>
      <c r="AH178" t="s">
        <v>450</v>
      </c>
      <c r="AI178">
        <v>0</v>
      </c>
      <c r="AJ178">
        <v>1</v>
      </c>
      <c r="AK178">
        <v>0</v>
      </c>
      <c r="AL178">
        <v>1</v>
      </c>
      <c r="AM178">
        <v>0</v>
      </c>
      <c r="AN178">
        <v>9</v>
      </c>
      <c r="AO178">
        <v>0</v>
      </c>
      <c r="AP178">
        <v>0</v>
      </c>
      <c r="AQ178">
        <v>0</v>
      </c>
      <c r="AR178">
        <v>0</v>
      </c>
      <c r="AS178">
        <v>414</v>
      </c>
      <c r="AT178">
        <v>0</v>
      </c>
      <c r="AU178">
        <v>100</v>
      </c>
      <c r="AV178">
        <v>100</v>
      </c>
      <c r="AW178">
        <v>317121</v>
      </c>
      <c r="AX178">
        <v>241012</v>
      </c>
      <c r="AY178">
        <v>224</v>
      </c>
      <c r="AZ178">
        <v>224</v>
      </c>
      <c r="BA178">
        <v>0</v>
      </c>
      <c r="BB178">
        <v>0</v>
      </c>
      <c r="BC178" s="3">
        <v>45068</v>
      </c>
      <c r="BD178" t="s">
        <v>361</v>
      </c>
      <c r="BE178">
        <v>435000</v>
      </c>
      <c r="BF178">
        <v>421533</v>
      </c>
      <c r="BG178" t="s">
        <v>294</v>
      </c>
      <c r="BH178">
        <v>30</v>
      </c>
      <c r="BI178" t="s">
        <v>65</v>
      </c>
      <c r="BJ178" t="s">
        <v>450</v>
      </c>
      <c r="BK178">
        <v>390400</v>
      </c>
      <c r="BL178">
        <v>63300</v>
      </c>
      <c r="BM178">
        <v>327100</v>
      </c>
      <c r="BN178">
        <v>13467</v>
      </c>
      <c r="BO178">
        <v>0.8974712643678161</v>
      </c>
      <c r="BP178">
        <v>377828.1735641777</v>
      </c>
      <c r="BQ178">
        <v>393633.20959491166</v>
      </c>
      <c r="BR178" s="12">
        <f>(Sales[[#This Row],[DP1]]*Lookups!$B$59)+(Sales[[#This Row],[DP2]]*Lookups!$B$60)+(Sales[[#This Row],[DP3]]*Lookups!$B$61)</f>
        <v>-15805.036031680002</v>
      </c>
      <c r="BS178" s="12">
        <f>Lookups!$B$56*0</f>
        <v>0</v>
      </c>
      <c r="BT178" s="12">
        <f>Lookups!$B$56*1</f>
        <v>89850.625589999996</v>
      </c>
      <c r="BU178" s="12">
        <f>Lookups!$B$57*Sales[[#This Row],[LnAcres]]</f>
        <v>-46522.028095997222</v>
      </c>
      <c r="BV178" s="12">
        <f>VLOOKUP(Sales[[#This Row],[Qlty]],Lookups!$A$62:$E$75,2,FALSE)</f>
        <v>21557.329055999999</v>
      </c>
      <c r="BW178" s="12">
        <f>VLOOKUP(Sales[[#This Row],[Cnd]],Lookups!$A$76:$E$84,2,FALSE)</f>
        <v>197752.34721000001</v>
      </c>
      <c r="BX178" s="12">
        <f>Sales[[#This Row],[EffAge]]*Lookups!$B$85</f>
        <v>-11821.416826500001</v>
      </c>
      <c r="BY178" s="12">
        <f>Sales[[#This Row],[MainFn]]*Lookups!$B$86</f>
        <v>49556.895886630999</v>
      </c>
      <c r="BZ178" s="12">
        <f>Sales[[#This Row],[UpprFn]]*Lookups!$B$87</f>
        <v>29962.116894008999</v>
      </c>
      <c r="CA178" s="12">
        <f>Sales[[#This Row],[AddFn]]*Lookups!$B$88</f>
        <v>0</v>
      </c>
      <c r="CB178" s="12">
        <f>Sales[[#This Row],[Bsmt]]*Lookups!$B$89</f>
        <v>29169.140932741</v>
      </c>
      <c r="CC178" s="12">
        <f>Sales[[#This Row],[Fixtures]]*Lookups!$B$90</f>
        <v>34128.198946800003</v>
      </c>
      <c r="CD178" s="12">
        <f>Sales[[#This Row],[WdDeck]]*Lookups!$B$91</f>
        <v>0</v>
      </c>
      <c r="CE178" s="12">
        <f>SUM(Sales[[#This Row],[Days Prior Total]:[Mdl WdDeck]])</f>
        <v>377828.17356200377</v>
      </c>
      <c r="CF178" s="12">
        <f>ROUND(Sales[[#This Row],[25Det]],-2)</f>
        <v>13500</v>
      </c>
      <c r="CG178" s="12">
        <f>ROUND(SUM(Sales[[#This Row],[Mdl Qlty]:[Mdl WdDeck]])+Sales[[#This Row],[Mdl Res Intercept]]+Sales[[#This Row],[Days Prior Total]],-2)</f>
        <v>334500</v>
      </c>
      <c r="CH178" s="12">
        <f>ROUND(Sales[[#This Row],[Mdl Land Intercept]]+Sales[[#This Row],[Mdl LnAcres]],-2)</f>
        <v>43300</v>
      </c>
      <c r="CI178" s="12">
        <f>Sales[[#This Row],[Unadj Res Value]]+Sales[[#This Row],[Unadj Det Value]]+Sales[[#This Row],[Unadj Land Value]]</f>
        <v>391300</v>
      </c>
      <c r="CJ178" s="13">
        <f>Sales[[#This Row],[Unadj Total Value]]/Sales[[#This Row],[Price]]</f>
        <v>0.89954022988505744</v>
      </c>
      <c r="CK178" s="13">
        <f>(Sales[[#This Row],[Unadj Total Value]]-Sales[[#This Row],[24Final]])/Sales[[#This Row],[24Final]]</f>
        <v>2.305327868852459E-3</v>
      </c>
      <c r="CL178">
        <f>VLOOKUP(Sales[[#This Row],[TNbhd]],Lookups!$Q$2:$T$4,4,FALSE)</f>
        <v>0.99970000000000003</v>
      </c>
      <c r="CM178">
        <f>VLOOKUP(Sales[[#This Row],[Qlty]],Lookups!$O$7:$R$21,4,FALSE)</f>
        <v>1.0067999999999999</v>
      </c>
      <c r="CN178">
        <f>VLOOKUP(Sales[[#This Row],[Cnd]],Lookups!$T$7:$W$16,4,FALSE)</f>
        <v>0.99650000000000005</v>
      </c>
      <c r="CO178">
        <f>VLOOKUP(Sales[[#This Row],[LivArea Range]],Lookups!$T$25:$W$37,4,FALSE)</f>
        <v>0.96179999999999999</v>
      </c>
      <c r="CP178">
        <f>VLOOKUP(Sales[[#This Row],[Decade]],Lookups!$O$25:$R$42,4,FALSE)</f>
        <v>0.98909999999999998</v>
      </c>
      <c r="CQ178">
        <f>Sales[[#This Row],[Nbhd Adj]]*0.95</f>
        <v>0.94971499999999998</v>
      </c>
      <c r="CR178">
        <f>Sales[[#This Row],[Nbhd Adj]]*Sales[[#This Row],[Quality Adj]]*Sales[[#This Row],[Condition Adj]]*Sales[[#This Row],[Living Area Adj]]*Sales[[#This Row],[Decade Adj]]*0.95</f>
        <v>0.90643941515937176</v>
      </c>
      <c r="CS178">
        <f>ROUND(SUM(Sales[[#This Row],[Mdl Qlty]:[Mdl WdDeck]])+Sales[[#This Row],[Mdl Res Intercept]]*Sales[[#This Row],[Res Adj ]],-2)</f>
        <v>350300</v>
      </c>
      <c r="CT178">
        <f>ROUND(Sales[[#This Row],[25Det]]*Sales[[#This Row],[Det/Nbhd Adj]],-2)</f>
        <v>12800</v>
      </c>
      <c r="CU178">
        <f>Sales[[#This Row],[Adjusted Res]]+Sales[[#This Row],[Adj Det ]]</f>
        <v>363100</v>
      </c>
      <c r="CV178">
        <f>ROUND((Sales[[#This Row],[Mdl Land Intercept]]+Sales[[#This Row],[Mdl LnAcres]])*Sales[[#This Row],[Det/Nbhd Adj]],-2)</f>
        <v>41100</v>
      </c>
      <c r="CW178">
        <f>Sales[[#This Row],[Adjusted Impr Total]]+Sales[[#This Row],[Adjusted Land Total]]</f>
        <v>404200</v>
      </c>
      <c r="CX178" s="15">
        <f>IFERROR((Sales[[#This Row],[Adjusted Impr Total]]-Sales[[#This Row],[24Bldg]])/Sales[[#This Row],[24Bldg]],0)</f>
        <v>0.11005808621216753</v>
      </c>
      <c r="CY178" s="15">
        <f>(Sales[[#This Row],[Adjusted Land Total]]-Sales[[#This Row],[24Lnd]])/Sales[[#This Row],[24Lnd]]</f>
        <v>-0.35071090047393366</v>
      </c>
      <c r="CZ178" s="15">
        <f>(Sales[[#This Row],[Adjusted Total]]-Sales[[#This Row],[24Final]])/Sales[[#This Row],[24Final]]</f>
        <v>3.5348360655737703E-2</v>
      </c>
      <c r="DA178" s="15">
        <f>(Sales[[#This Row],[Adjusted Total]]+Sales[[#This Row],[Days Prior Total]])/Sales[[#This Row],[Price]]</f>
        <v>0.89286198613406897</v>
      </c>
    </row>
    <row r="179" spans="1:105" x14ac:dyDescent="0.3">
      <c r="A179">
        <v>2025</v>
      </c>
      <c r="B179">
        <v>18132243046</v>
      </c>
      <c r="C179">
        <v>-1.3862943611198906</v>
      </c>
      <c r="D179">
        <v>0.25</v>
      </c>
      <c r="E179">
        <v>10824</v>
      </c>
      <c r="F179">
        <v>6</v>
      </c>
      <c r="G179" t="s">
        <v>126</v>
      </c>
      <c r="H179" t="s">
        <v>349</v>
      </c>
      <c r="I179" t="s">
        <v>349</v>
      </c>
      <c r="J179" t="s">
        <v>30</v>
      </c>
      <c r="K179">
        <v>11</v>
      </c>
      <c r="L179">
        <v>259</v>
      </c>
      <c r="M179" t="s">
        <v>173</v>
      </c>
      <c r="N179" t="s">
        <v>351</v>
      </c>
      <c r="O179" t="s">
        <v>206</v>
      </c>
      <c r="P179">
        <v>90</v>
      </c>
      <c r="Q179">
        <v>1938</v>
      </c>
      <c r="R179">
        <v>1971</v>
      </c>
      <c r="S179">
        <v>86</v>
      </c>
      <c r="T179">
        <v>53</v>
      </c>
      <c r="U179">
        <v>2</v>
      </c>
      <c r="V179">
        <v>1105</v>
      </c>
      <c r="W179">
        <v>724</v>
      </c>
      <c r="X179">
        <v>0</v>
      </c>
      <c r="Y179">
        <v>400</v>
      </c>
      <c r="Z179">
        <v>200</v>
      </c>
      <c r="AA179">
        <v>200</v>
      </c>
      <c r="AB179">
        <v>2029</v>
      </c>
      <c r="AC179">
        <v>2500</v>
      </c>
      <c r="AD179">
        <v>0</v>
      </c>
      <c r="AF179" t="s">
        <v>383</v>
      </c>
      <c r="AG179" t="s">
        <v>148</v>
      </c>
      <c r="AH179" t="s">
        <v>65</v>
      </c>
      <c r="AI179">
        <v>0</v>
      </c>
      <c r="AJ179">
        <v>1</v>
      </c>
      <c r="AK179">
        <v>0</v>
      </c>
      <c r="AL179">
        <v>0</v>
      </c>
      <c r="AM179">
        <v>0</v>
      </c>
      <c r="AN179">
        <v>8</v>
      </c>
      <c r="AO179">
        <v>0</v>
      </c>
      <c r="AP179">
        <v>0</v>
      </c>
      <c r="AQ179">
        <v>270</v>
      </c>
      <c r="AR179">
        <v>0</v>
      </c>
      <c r="AS179">
        <v>540</v>
      </c>
      <c r="AT179">
        <v>240</v>
      </c>
      <c r="AU179">
        <v>100</v>
      </c>
      <c r="AV179">
        <v>100</v>
      </c>
      <c r="AW179">
        <v>273921</v>
      </c>
      <c r="AX179">
        <v>142439</v>
      </c>
      <c r="AY179">
        <v>126</v>
      </c>
      <c r="AZ179">
        <v>126</v>
      </c>
      <c r="BA179">
        <v>0</v>
      </c>
      <c r="BB179">
        <v>0</v>
      </c>
      <c r="BC179" s="3">
        <v>45166</v>
      </c>
      <c r="BD179" t="s">
        <v>454</v>
      </c>
      <c r="BE179">
        <v>305000</v>
      </c>
      <c r="BF179">
        <v>303729</v>
      </c>
      <c r="BG179" t="s">
        <v>294</v>
      </c>
      <c r="BH179">
        <v>30</v>
      </c>
      <c r="BI179" t="s">
        <v>65</v>
      </c>
      <c r="BJ179" t="s">
        <v>450</v>
      </c>
      <c r="BK179">
        <v>328700</v>
      </c>
      <c r="BL179">
        <v>66200</v>
      </c>
      <c r="BM179">
        <v>262500</v>
      </c>
      <c r="BN179">
        <v>1271</v>
      </c>
      <c r="BO179">
        <v>1.0777049180327869</v>
      </c>
      <c r="BP179">
        <v>309519.01326483581</v>
      </c>
      <c r="BQ179">
        <v>318409.34603212366</v>
      </c>
      <c r="BR179" s="12">
        <f>(Sales[[#This Row],[DP1]]*Lookups!$B$59)+(Sales[[#This Row],[DP2]]*Lookups!$B$60)+(Sales[[#This Row],[DP3]]*Lookups!$B$61)</f>
        <v>-8890.3327678200003</v>
      </c>
      <c r="BS179" s="12">
        <f>Lookups!$B$56*0</f>
        <v>0</v>
      </c>
      <c r="BT179" s="12">
        <f>Lookups!$B$56*1</f>
        <v>89850.625589999996</v>
      </c>
      <c r="BU179" s="12">
        <f>Lookups!$B$57*Sales[[#This Row],[LnAcres]]</f>
        <v>-43882.615305165229</v>
      </c>
      <c r="BV179" s="12">
        <f>VLOOKUP(Sales[[#This Row],[Qlty]],Lookups!$A$62:$E$75,2,FALSE)</f>
        <v>21557.329055999999</v>
      </c>
      <c r="BW179" s="12">
        <f>VLOOKUP(Sales[[#This Row],[Cnd]],Lookups!$A$76:$E$84,2,FALSE)</f>
        <v>133714.53821</v>
      </c>
      <c r="BX179" s="12">
        <f>Sales[[#This Row],[EffAge]]*Lookups!$B$85</f>
        <v>-11821.416826500001</v>
      </c>
      <c r="BY179" s="12">
        <f>Sales[[#This Row],[MainFn]]*Lookups!$B$86</f>
        <v>54596.580214084999</v>
      </c>
      <c r="BZ179" s="12">
        <f>Sales[[#This Row],[UpprFn]]*Lookups!$B$87</f>
        <v>32425.370151363997</v>
      </c>
      <c r="CA179" s="12">
        <f>Sales[[#This Row],[AddFn]]*Lookups!$B$88</f>
        <v>0</v>
      </c>
      <c r="CB179" s="12">
        <f>Sales[[#This Row],[Bsmt]]*Lookups!$B$89</f>
        <v>11632.758098799999</v>
      </c>
      <c r="CC179" s="12">
        <f>Sales[[#This Row],[Fixtures]]*Lookups!$B$90</f>
        <v>30336.176841600001</v>
      </c>
      <c r="CD179" s="12">
        <f>Sales[[#This Row],[WdDeck]]*Lookups!$B$91</f>
        <v>0</v>
      </c>
      <c r="CE179" s="12">
        <f>SUM(Sales[[#This Row],[Days Prior Total]:[Mdl WdDeck]])</f>
        <v>309519.01326236373</v>
      </c>
      <c r="CF179" s="12">
        <f>ROUND(Sales[[#This Row],[25Det]],-2)</f>
        <v>1300</v>
      </c>
      <c r="CG179" s="12">
        <f>ROUND(SUM(Sales[[#This Row],[Mdl Qlty]:[Mdl WdDeck]])+Sales[[#This Row],[Mdl Res Intercept]]+Sales[[#This Row],[Days Prior Total]],-2)</f>
        <v>263600</v>
      </c>
      <c r="CH179" s="12">
        <f>ROUND(Sales[[#This Row],[Mdl Land Intercept]]+Sales[[#This Row],[Mdl LnAcres]],-2)</f>
        <v>46000</v>
      </c>
      <c r="CI179" s="12">
        <f>Sales[[#This Row],[Unadj Res Value]]+Sales[[#This Row],[Unadj Det Value]]+Sales[[#This Row],[Unadj Land Value]]</f>
        <v>310900</v>
      </c>
      <c r="CJ179" s="13">
        <f>Sales[[#This Row],[Unadj Total Value]]/Sales[[#This Row],[Price]]</f>
        <v>1.0193442622950819</v>
      </c>
      <c r="CK179" s="13">
        <f>(Sales[[#This Row],[Unadj Total Value]]-Sales[[#This Row],[24Final]])/Sales[[#This Row],[24Final]]</f>
        <v>-5.415272284758138E-2</v>
      </c>
      <c r="CL179">
        <f>VLOOKUP(Sales[[#This Row],[TNbhd]],Lookups!$Q$2:$T$4,4,FALSE)</f>
        <v>0.99970000000000003</v>
      </c>
      <c r="CM179">
        <f>VLOOKUP(Sales[[#This Row],[Qlty]],Lookups!$O$7:$R$21,4,FALSE)</f>
        <v>1.0067999999999999</v>
      </c>
      <c r="CN179">
        <f>VLOOKUP(Sales[[#This Row],[Cnd]],Lookups!$T$7:$W$16,4,FALSE)</f>
        <v>0.99329999999999996</v>
      </c>
      <c r="CO179">
        <f>VLOOKUP(Sales[[#This Row],[LivArea Range]],Lookups!$T$25:$W$37,4,FALSE)</f>
        <v>0.98919999999999997</v>
      </c>
      <c r="CP179">
        <f>VLOOKUP(Sales[[#This Row],[Decade]],Lookups!$O$25:$R$42,4,FALSE)</f>
        <v>0.98909999999999998</v>
      </c>
      <c r="CQ179">
        <f>Sales[[#This Row],[Nbhd Adj]]*0.95</f>
        <v>0.94971499999999998</v>
      </c>
      <c r="CR179">
        <f>Sales[[#This Row],[Nbhd Adj]]*Sales[[#This Row],[Quality Adj]]*Sales[[#This Row],[Condition Adj]]*Sales[[#This Row],[Living Area Adj]]*Sales[[#This Row],[Decade Adj]]*0.95</f>
        <v>0.92926857157690035</v>
      </c>
      <c r="CS179">
        <f>ROUND(SUM(Sales[[#This Row],[Mdl Qlty]:[Mdl WdDeck]])+Sales[[#This Row],[Mdl Res Intercept]]*Sales[[#This Row],[Res Adj ]],-2)</f>
        <v>272400</v>
      </c>
      <c r="CT179">
        <f>ROUND(Sales[[#This Row],[25Det]]*Sales[[#This Row],[Det/Nbhd Adj]],-2)</f>
        <v>1200</v>
      </c>
      <c r="CU179">
        <f>Sales[[#This Row],[Adjusted Res]]+Sales[[#This Row],[Adj Det ]]</f>
        <v>273600</v>
      </c>
      <c r="CV179">
        <f>ROUND((Sales[[#This Row],[Mdl Land Intercept]]+Sales[[#This Row],[Mdl LnAcres]])*Sales[[#This Row],[Det/Nbhd Adj]],-2)</f>
        <v>43700</v>
      </c>
      <c r="CW179">
        <f>Sales[[#This Row],[Adjusted Impr Total]]+Sales[[#This Row],[Adjusted Land Total]]</f>
        <v>317300</v>
      </c>
      <c r="CX179" s="15">
        <f>IFERROR((Sales[[#This Row],[Adjusted Impr Total]]-Sales[[#This Row],[24Bldg]])/Sales[[#This Row],[24Bldg]],0)</f>
        <v>4.2285714285714288E-2</v>
      </c>
      <c r="CY179" s="15">
        <f>(Sales[[#This Row],[Adjusted Land Total]]-Sales[[#This Row],[24Lnd]])/Sales[[#This Row],[24Lnd]]</f>
        <v>-0.33987915407854985</v>
      </c>
      <c r="CZ179" s="15">
        <f>(Sales[[#This Row],[Adjusted Total]]-Sales[[#This Row],[24Final]])/Sales[[#This Row],[24Final]]</f>
        <v>-3.4682080924855488E-2</v>
      </c>
      <c r="DA179" s="15">
        <f>(Sales[[#This Row],[Adjusted Total]]+Sales[[#This Row],[Days Prior Total]])/Sales[[#This Row],[Price]]</f>
        <v>1.0111792368268198</v>
      </c>
    </row>
    <row r="180" spans="1:105" x14ac:dyDescent="0.3">
      <c r="A180">
        <v>2025</v>
      </c>
      <c r="B180">
        <v>18132342408</v>
      </c>
      <c r="C180">
        <v>-1.7147984280919266</v>
      </c>
      <c r="D180">
        <v>0.18</v>
      </c>
      <c r="E180">
        <v>0</v>
      </c>
      <c r="F180">
        <v>6</v>
      </c>
      <c r="G180" t="s">
        <v>126</v>
      </c>
      <c r="H180">
        <v>3033</v>
      </c>
      <c r="I180" t="s">
        <v>349</v>
      </c>
      <c r="J180" t="s">
        <v>30</v>
      </c>
      <c r="K180">
        <v>11</v>
      </c>
      <c r="L180">
        <v>259</v>
      </c>
      <c r="M180" t="s">
        <v>173</v>
      </c>
      <c r="N180" t="s">
        <v>148</v>
      </c>
      <c r="O180" t="s">
        <v>323</v>
      </c>
      <c r="P180">
        <v>90</v>
      </c>
      <c r="Q180">
        <v>1938</v>
      </c>
      <c r="R180">
        <v>1971</v>
      </c>
      <c r="S180">
        <v>86</v>
      </c>
      <c r="T180">
        <v>53</v>
      </c>
      <c r="U180">
        <v>2</v>
      </c>
      <c r="V180">
        <v>1326</v>
      </c>
      <c r="W180">
        <v>270</v>
      </c>
      <c r="X180">
        <v>0</v>
      </c>
      <c r="Y180">
        <v>1018</v>
      </c>
      <c r="Z180">
        <v>418</v>
      </c>
      <c r="AA180">
        <v>600</v>
      </c>
      <c r="AB180">
        <v>2196</v>
      </c>
      <c r="AC180">
        <v>2500</v>
      </c>
      <c r="AD180">
        <v>1</v>
      </c>
      <c r="AF180" t="s">
        <v>383</v>
      </c>
      <c r="AG180" t="s">
        <v>148</v>
      </c>
      <c r="AH180" t="s">
        <v>450</v>
      </c>
      <c r="AI180">
        <v>0</v>
      </c>
      <c r="AJ180">
        <v>1</v>
      </c>
      <c r="AK180">
        <v>0</v>
      </c>
      <c r="AL180">
        <v>1</v>
      </c>
      <c r="AM180">
        <v>1</v>
      </c>
      <c r="AN180">
        <v>10</v>
      </c>
      <c r="AO180">
        <v>0</v>
      </c>
      <c r="AP180">
        <v>238</v>
      </c>
      <c r="AQ180">
        <v>0</v>
      </c>
      <c r="AR180">
        <v>0</v>
      </c>
      <c r="AS180">
        <v>0</v>
      </c>
      <c r="AT180">
        <v>0</v>
      </c>
      <c r="AU180">
        <v>100</v>
      </c>
      <c r="AV180">
        <v>100</v>
      </c>
      <c r="AW180">
        <v>379860</v>
      </c>
      <c r="AX180">
        <v>258305</v>
      </c>
      <c r="AY180">
        <v>250</v>
      </c>
      <c r="AZ180">
        <v>250</v>
      </c>
      <c r="BA180">
        <v>0</v>
      </c>
      <c r="BB180">
        <v>0</v>
      </c>
      <c r="BC180" s="3">
        <v>45042</v>
      </c>
      <c r="BD180" t="s">
        <v>164</v>
      </c>
      <c r="BE180">
        <v>359500</v>
      </c>
      <c r="BF180">
        <v>339762</v>
      </c>
      <c r="BG180" t="s">
        <v>294</v>
      </c>
      <c r="BH180">
        <v>30</v>
      </c>
      <c r="BI180" t="s">
        <v>65</v>
      </c>
      <c r="BJ180" t="s">
        <v>450</v>
      </c>
      <c r="BK180">
        <v>376700</v>
      </c>
      <c r="BL180">
        <v>54700</v>
      </c>
      <c r="BM180">
        <v>322000</v>
      </c>
      <c r="BN180">
        <v>19738</v>
      </c>
      <c r="BO180">
        <v>1.0478442280945759</v>
      </c>
      <c r="BP180">
        <v>355835.43642958713</v>
      </c>
      <c r="BQ180">
        <v>373474.98557103128</v>
      </c>
      <c r="BR180" s="12">
        <f>(Sales[[#This Row],[DP1]]*Lookups!$B$59)+(Sales[[#This Row],[DP2]]*Lookups!$B$60)+(Sales[[#This Row],[DP3]]*Lookups!$B$61)</f>
        <v>-17639.5491425</v>
      </c>
      <c r="BS180" s="12">
        <f>Lookups!$B$56*0</f>
        <v>0</v>
      </c>
      <c r="BT180" s="12">
        <f>Lookups!$B$56*1</f>
        <v>89850.625589999996</v>
      </c>
      <c r="BU180" s="12">
        <f>Lookups!$B$57*Sales[[#This Row],[LnAcres]]</f>
        <v>-54281.285314520763</v>
      </c>
      <c r="BV180" s="12">
        <f>VLOOKUP(Sales[[#This Row],[Qlty]],Lookups!$A$62:$E$75,2,FALSE)</f>
        <v>44121.038090000002</v>
      </c>
      <c r="BW180" s="12">
        <f>VLOOKUP(Sales[[#This Row],[Cnd]],Lookups!$A$76:$E$84,2,FALSE)</f>
        <v>160472.20319</v>
      </c>
      <c r="BX180" s="12">
        <f>Sales[[#This Row],[EffAge]]*Lookups!$B$85</f>
        <v>-11821.416826500001</v>
      </c>
      <c r="BY180" s="12">
        <f>Sales[[#This Row],[MainFn]]*Lookups!$B$86</f>
        <v>65515.896256902</v>
      </c>
      <c r="BZ180" s="12">
        <f>Sales[[#This Row],[UpprFn]]*Lookups!$B$87</f>
        <v>12092.33417247</v>
      </c>
      <c r="CA180" s="12">
        <f>Sales[[#This Row],[AddFn]]*Lookups!$B$88</f>
        <v>0</v>
      </c>
      <c r="CB180" s="12">
        <f>Sales[[#This Row],[Bsmt]]*Lookups!$B$89</f>
        <v>29605.369361445999</v>
      </c>
      <c r="CC180" s="12">
        <f>Sales[[#This Row],[Fixtures]]*Lookups!$B$90</f>
        <v>37920.221052000001</v>
      </c>
      <c r="CD180" s="12">
        <f>Sales[[#This Row],[WdDeck]]*Lookups!$B$91</f>
        <v>0</v>
      </c>
      <c r="CE180" s="12">
        <f>SUM(Sales[[#This Row],[Days Prior Total]:[Mdl WdDeck]])</f>
        <v>355835.43642929726</v>
      </c>
      <c r="CF180" s="12">
        <f>ROUND(Sales[[#This Row],[25Det]],-2)</f>
        <v>19700</v>
      </c>
      <c r="CG180" s="12">
        <f>ROUND(SUM(Sales[[#This Row],[Mdl Qlty]:[Mdl WdDeck]])+Sales[[#This Row],[Mdl Res Intercept]]+Sales[[#This Row],[Days Prior Total]],-2)</f>
        <v>320300</v>
      </c>
      <c r="CH180" s="12">
        <f>ROUND(Sales[[#This Row],[Mdl Land Intercept]]+Sales[[#This Row],[Mdl LnAcres]],-2)</f>
        <v>35600</v>
      </c>
      <c r="CI180" s="12">
        <f>Sales[[#This Row],[Unadj Res Value]]+Sales[[#This Row],[Unadj Det Value]]+Sales[[#This Row],[Unadj Land Value]]</f>
        <v>375600</v>
      </c>
      <c r="CJ180" s="13">
        <f>Sales[[#This Row],[Unadj Total Value]]/Sales[[#This Row],[Price]]</f>
        <v>1.0447844228094576</v>
      </c>
      <c r="CK180" s="13">
        <f>(Sales[[#This Row],[Unadj Total Value]]-Sales[[#This Row],[24Final]])/Sales[[#This Row],[24Final]]</f>
        <v>-2.9200955667640031E-3</v>
      </c>
      <c r="CL180">
        <f>VLOOKUP(Sales[[#This Row],[TNbhd]],Lookups!$Q$2:$T$4,4,FALSE)</f>
        <v>0.99970000000000003</v>
      </c>
      <c r="CM180">
        <f>VLOOKUP(Sales[[#This Row],[Qlty]],Lookups!$O$7:$R$21,4,FALSE)</f>
        <v>0.98050000000000004</v>
      </c>
      <c r="CN180">
        <f>VLOOKUP(Sales[[#This Row],[Cnd]],Lookups!$T$7:$W$16,4,FALSE)</f>
        <v>0.99729999999999996</v>
      </c>
      <c r="CO180">
        <f>VLOOKUP(Sales[[#This Row],[LivArea Range]],Lookups!$T$25:$W$37,4,FALSE)</f>
        <v>0.98919999999999997</v>
      </c>
      <c r="CP180">
        <f>VLOOKUP(Sales[[#This Row],[Decade]],Lookups!$O$25:$R$42,4,FALSE)</f>
        <v>0.98909999999999998</v>
      </c>
      <c r="CQ180">
        <f>Sales[[#This Row],[Nbhd Adj]]*0.95</f>
        <v>0.94971499999999998</v>
      </c>
      <c r="CR180">
        <f>Sales[[#This Row],[Nbhd Adj]]*Sales[[#This Row],[Quality Adj]]*Sales[[#This Row],[Condition Adj]]*Sales[[#This Row],[Living Area Adj]]*Sales[[#This Row],[Decade Adj]]*0.95</f>
        <v>0.9086382690108219</v>
      </c>
      <c r="CS180">
        <f>ROUND(SUM(Sales[[#This Row],[Mdl Qlty]:[Mdl WdDeck]])+Sales[[#This Row],[Mdl Res Intercept]]*Sales[[#This Row],[Res Adj ]],-2)</f>
        <v>337900</v>
      </c>
      <c r="CT180">
        <f>ROUND(Sales[[#This Row],[25Det]]*Sales[[#This Row],[Det/Nbhd Adj]],-2)</f>
        <v>18700</v>
      </c>
      <c r="CU180">
        <f>Sales[[#This Row],[Adjusted Res]]+Sales[[#This Row],[Adj Det ]]</f>
        <v>356600</v>
      </c>
      <c r="CV180">
        <f>ROUND((Sales[[#This Row],[Mdl Land Intercept]]+Sales[[#This Row],[Mdl LnAcres]])*Sales[[#This Row],[Det/Nbhd Adj]],-2)</f>
        <v>33800</v>
      </c>
      <c r="CW180">
        <f>Sales[[#This Row],[Adjusted Impr Total]]+Sales[[#This Row],[Adjusted Land Total]]</f>
        <v>390400</v>
      </c>
      <c r="CX180" s="15">
        <f>IFERROR((Sales[[#This Row],[Adjusted Impr Total]]-Sales[[#This Row],[24Bldg]])/Sales[[#This Row],[24Bldg]],0)</f>
        <v>0.10745341614906832</v>
      </c>
      <c r="CY180" s="15">
        <f>(Sales[[#This Row],[Adjusted Land Total]]-Sales[[#This Row],[24Lnd]])/Sales[[#This Row],[24Lnd]]</f>
        <v>-0.38208409506398539</v>
      </c>
      <c r="CZ180" s="15">
        <f>(Sales[[#This Row],[Adjusted Total]]-Sales[[#This Row],[24Final]])/Sales[[#This Row],[24Final]]</f>
        <v>3.6368462967878948E-2</v>
      </c>
      <c r="DA180" s="15">
        <f>(Sales[[#This Row],[Adjusted Total]]+Sales[[#This Row],[Days Prior Total]])/Sales[[#This Row],[Price]]</f>
        <v>1.0368858160152992</v>
      </c>
    </row>
    <row r="181" spans="1:105" x14ac:dyDescent="0.3">
      <c r="A181">
        <v>2025</v>
      </c>
      <c r="B181">
        <v>18132331419</v>
      </c>
      <c r="C181">
        <v>-1.8971199848858813</v>
      </c>
      <c r="D181">
        <v>0.15</v>
      </c>
      <c r="E181">
        <v>0</v>
      </c>
      <c r="F181">
        <v>6</v>
      </c>
      <c r="G181" t="s">
        <v>126</v>
      </c>
      <c r="H181">
        <v>3033</v>
      </c>
      <c r="I181" t="s">
        <v>349</v>
      </c>
      <c r="J181" t="s">
        <v>30</v>
      </c>
      <c r="K181">
        <v>11</v>
      </c>
      <c r="L181">
        <v>259</v>
      </c>
      <c r="M181" t="s">
        <v>242</v>
      </c>
      <c r="N181" t="s">
        <v>351</v>
      </c>
      <c r="O181" t="s">
        <v>303</v>
      </c>
      <c r="P181">
        <v>90</v>
      </c>
      <c r="Q181">
        <v>1938</v>
      </c>
      <c r="R181">
        <v>1971</v>
      </c>
      <c r="S181">
        <v>86</v>
      </c>
      <c r="T181">
        <v>53</v>
      </c>
      <c r="U181">
        <v>1</v>
      </c>
      <c r="V181">
        <v>1912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1912</v>
      </c>
      <c r="AC181">
        <v>2000</v>
      </c>
      <c r="AD181">
        <v>0</v>
      </c>
      <c r="AF181" t="s">
        <v>383</v>
      </c>
      <c r="AG181" t="s">
        <v>148</v>
      </c>
      <c r="AH181" t="s">
        <v>450</v>
      </c>
      <c r="AI181">
        <v>0</v>
      </c>
      <c r="AJ181">
        <v>1</v>
      </c>
      <c r="AK181">
        <v>0</v>
      </c>
      <c r="AL181">
        <v>2</v>
      </c>
      <c r="AM181">
        <v>0</v>
      </c>
      <c r="AN181">
        <v>11</v>
      </c>
      <c r="AO181">
        <v>0</v>
      </c>
      <c r="AP181">
        <v>0</v>
      </c>
      <c r="AQ181">
        <v>624</v>
      </c>
      <c r="AR181">
        <v>0</v>
      </c>
      <c r="AS181">
        <v>0</v>
      </c>
      <c r="AT181">
        <v>0</v>
      </c>
      <c r="AU181">
        <v>100</v>
      </c>
      <c r="AV181">
        <v>100</v>
      </c>
      <c r="AW181">
        <v>277123</v>
      </c>
      <c r="AX181">
        <v>210613</v>
      </c>
      <c r="AY181">
        <v>565</v>
      </c>
      <c r="AZ181">
        <v>365</v>
      </c>
      <c r="BA181">
        <v>200</v>
      </c>
      <c r="BB181">
        <v>0</v>
      </c>
      <c r="BC181" s="3">
        <v>44727</v>
      </c>
      <c r="BD181" t="s">
        <v>77</v>
      </c>
      <c r="BE181">
        <v>335000</v>
      </c>
      <c r="BF181">
        <v>335000</v>
      </c>
      <c r="BG181" t="s">
        <v>294</v>
      </c>
      <c r="BH181">
        <v>30</v>
      </c>
      <c r="BI181" t="s">
        <v>65</v>
      </c>
      <c r="BJ181" t="s">
        <v>450</v>
      </c>
      <c r="BK181">
        <v>344400</v>
      </c>
      <c r="BL181">
        <v>48400</v>
      </c>
      <c r="BM181">
        <v>296000</v>
      </c>
      <c r="BN181">
        <v>0</v>
      </c>
      <c r="BO181">
        <v>1.0280597014925372</v>
      </c>
      <c r="BP181">
        <v>350010.79344003508</v>
      </c>
      <c r="BQ181">
        <v>373467.90085609234</v>
      </c>
      <c r="BR181" s="12">
        <f>(Sales[[#This Row],[DP1]]*Lookups!$B$59)+(Sales[[#This Row],[DP2]]*Lookups!$B$60)+(Sales[[#This Row],[DP3]]*Lookups!$B$61)</f>
        <v>-23457.107417650001</v>
      </c>
      <c r="BS181" s="12">
        <f>Lookups!$B$56*0</f>
        <v>0</v>
      </c>
      <c r="BT181" s="12">
        <f>Lookups!$B$56*1</f>
        <v>89850.625589999996</v>
      </c>
      <c r="BU181" s="12">
        <f>Lookups!$B$57*Sales[[#This Row],[LnAcres]]</f>
        <v>-60052.604136134301</v>
      </c>
      <c r="BV181" s="12">
        <f>VLOOKUP(Sales[[#This Row],[Qlty]],Lookups!$A$62:$E$75,2,FALSE)</f>
        <v>21557.329055999999</v>
      </c>
      <c r="BW181" s="12">
        <f>VLOOKUP(Sales[[#This Row],[Cnd]],Lookups!$A$76:$E$84,2,FALSE)</f>
        <v>197752.34721000001</v>
      </c>
      <c r="BX181" s="12">
        <f>Sales[[#This Row],[EffAge]]*Lookups!$B$85</f>
        <v>-11821.416826500001</v>
      </c>
      <c r="BY181" s="12">
        <f>Sales[[#This Row],[MainFn]]*Lookups!$B$86</f>
        <v>94469.376804824002</v>
      </c>
      <c r="BZ181" s="12">
        <f>Sales[[#This Row],[UpprFn]]*Lookups!$B$87</f>
        <v>0</v>
      </c>
      <c r="CA181" s="12">
        <f>Sales[[#This Row],[AddFn]]*Lookups!$B$88</f>
        <v>0</v>
      </c>
      <c r="CB181" s="12">
        <f>Sales[[#This Row],[Bsmt]]*Lookups!$B$89</f>
        <v>0</v>
      </c>
      <c r="CC181" s="12">
        <f>Sales[[#This Row],[Fixtures]]*Lookups!$B$90</f>
        <v>41712.243157199999</v>
      </c>
      <c r="CD181" s="12">
        <f>Sales[[#This Row],[WdDeck]]*Lookups!$B$91</f>
        <v>0</v>
      </c>
      <c r="CE181" s="12">
        <f>SUM(Sales[[#This Row],[Days Prior Total]:[Mdl WdDeck]])</f>
        <v>350010.79343773972</v>
      </c>
      <c r="CF181" s="12">
        <f>ROUND(Sales[[#This Row],[25Det]],-2)</f>
        <v>0</v>
      </c>
      <c r="CG181" s="12">
        <f>ROUND(SUM(Sales[[#This Row],[Mdl Qlty]:[Mdl WdDeck]])+Sales[[#This Row],[Mdl Res Intercept]]+Sales[[#This Row],[Days Prior Total]],-2)</f>
        <v>320200</v>
      </c>
      <c r="CH181" s="12">
        <f>ROUND(Sales[[#This Row],[Mdl Land Intercept]]+Sales[[#This Row],[Mdl LnAcres]],-2)</f>
        <v>29800</v>
      </c>
      <c r="CI181" s="12">
        <f>Sales[[#This Row],[Unadj Res Value]]+Sales[[#This Row],[Unadj Det Value]]+Sales[[#This Row],[Unadj Land Value]]</f>
        <v>350000</v>
      </c>
      <c r="CJ181" s="13">
        <f>Sales[[#This Row],[Unadj Total Value]]/Sales[[#This Row],[Price]]</f>
        <v>1.044776119402985</v>
      </c>
      <c r="CK181" s="13">
        <f>(Sales[[#This Row],[Unadj Total Value]]-Sales[[#This Row],[24Final]])/Sales[[#This Row],[24Final]]</f>
        <v>1.6260162601626018E-2</v>
      </c>
      <c r="CL181">
        <f>VLOOKUP(Sales[[#This Row],[TNbhd]],Lookups!$Q$2:$T$4,4,FALSE)</f>
        <v>0.99970000000000003</v>
      </c>
      <c r="CM181">
        <f>VLOOKUP(Sales[[#This Row],[Qlty]],Lookups!$O$7:$R$21,4,FALSE)</f>
        <v>1.0067999999999999</v>
      </c>
      <c r="CN181">
        <f>VLOOKUP(Sales[[#This Row],[Cnd]],Lookups!$T$7:$W$16,4,FALSE)</f>
        <v>0.99650000000000005</v>
      </c>
      <c r="CO181">
        <f>VLOOKUP(Sales[[#This Row],[LivArea Range]],Lookups!$T$25:$W$37,4,FALSE)</f>
        <v>1.0093000000000001</v>
      </c>
      <c r="CP181">
        <f>VLOOKUP(Sales[[#This Row],[Decade]],Lookups!$O$25:$R$42,4,FALSE)</f>
        <v>0.98909999999999998</v>
      </c>
      <c r="CQ181">
        <f>Sales[[#This Row],[Nbhd Adj]]*0.95</f>
        <v>0.94971499999999998</v>
      </c>
      <c r="CR181">
        <f>Sales[[#This Row],[Nbhd Adj]]*Sales[[#This Row],[Quality Adj]]*Sales[[#This Row],[Condition Adj]]*Sales[[#This Row],[Living Area Adj]]*Sales[[#This Row],[Decade Adj]]*0.95</f>
        <v>0.95120534593507355</v>
      </c>
      <c r="CS181">
        <f>ROUND(SUM(Sales[[#This Row],[Mdl Qlty]:[Mdl WdDeck]])+Sales[[#This Row],[Mdl Res Intercept]]*Sales[[#This Row],[Res Adj ]],-2)</f>
        <v>343700</v>
      </c>
      <c r="CT181">
        <f>ROUND(Sales[[#This Row],[25Det]]*Sales[[#This Row],[Det/Nbhd Adj]],-2)</f>
        <v>0</v>
      </c>
      <c r="CU181">
        <f>Sales[[#This Row],[Adjusted Res]]+Sales[[#This Row],[Adj Det ]]</f>
        <v>343700</v>
      </c>
      <c r="CV181">
        <f>ROUND((Sales[[#This Row],[Mdl Land Intercept]]+Sales[[#This Row],[Mdl LnAcres]])*Sales[[#This Row],[Det/Nbhd Adj]],-2)</f>
        <v>28300</v>
      </c>
      <c r="CW181">
        <f>Sales[[#This Row],[Adjusted Impr Total]]+Sales[[#This Row],[Adjusted Land Total]]</f>
        <v>372000</v>
      </c>
      <c r="CX181" s="15">
        <f>IFERROR((Sales[[#This Row],[Adjusted Impr Total]]-Sales[[#This Row],[24Bldg]])/Sales[[#This Row],[24Bldg]],0)</f>
        <v>0.16114864864864864</v>
      </c>
      <c r="CY181" s="15">
        <f>(Sales[[#This Row],[Adjusted Land Total]]-Sales[[#This Row],[24Lnd]])/Sales[[#This Row],[24Lnd]]</f>
        <v>-0.41528925619834711</v>
      </c>
      <c r="CZ181" s="15">
        <f>(Sales[[#This Row],[Adjusted Total]]-Sales[[#This Row],[24Final]])/Sales[[#This Row],[24Final]]</f>
        <v>8.0139372822299645E-2</v>
      </c>
      <c r="DA181" s="15">
        <f>(Sales[[#This Row],[Adjusted Total]]+Sales[[#This Row],[Days Prior Total]])/Sales[[#This Row],[Price]]</f>
        <v>1.0404265450219403</v>
      </c>
    </row>
    <row r="182" spans="1:105" x14ac:dyDescent="0.3">
      <c r="A182">
        <v>2025</v>
      </c>
      <c r="B182">
        <v>18132331488</v>
      </c>
      <c r="C182">
        <v>-1.4696759700589417</v>
      </c>
      <c r="D182">
        <v>0.23</v>
      </c>
      <c r="E182">
        <v>9914</v>
      </c>
      <c r="F182">
        <v>6</v>
      </c>
      <c r="G182" t="s">
        <v>126</v>
      </c>
      <c r="H182">
        <v>3032</v>
      </c>
      <c r="I182" t="s">
        <v>349</v>
      </c>
      <c r="J182" t="s">
        <v>30</v>
      </c>
      <c r="K182">
        <v>11</v>
      </c>
      <c r="L182">
        <v>259</v>
      </c>
      <c r="M182" t="s">
        <v>241</v>
      </c>
      <c r="N182" t="s">
        <v>148</v>
      </c>
      <c r="O182" t="s">
        <v>352</v>
      </c>
      <c r="P182">
        <v>90</v>
      </c>
      <c r="Q182">
        <v>1938</v>
      </c>
      <c r="R182">
        <v>1971</v>
      </c>
      <c r="S182">
        <v>86</v>
      </c>
      <c r="T182">
        <v>53</v>
      </c>
      <c r="U182">
        <v>1</v>
      </c>
      <c r="V182">
        <v>1977</v>
      </c>
      <c r="W182">
        <v>0</v>
      </c>
      <c r="X182">
        <v>0</v>
      </c>
      <c r="Y182">
        <v>770</v>
      </c>
      <c r="Z182">
        <v>0</v>
      </c>
      <c r="AA182">
        <v>770</v>
      </c>
      <c r="AB182">
        <v>2747</v>
      </c>
      <c r="AC182">
        <v>3000</v>
      </c>
      <c r="AD182">
        <v>0</v>
      </c>
      <c r="AF182" t="s">
        <v>208</v>
      </c>
      <c r="AG182" t="s">
        <v>382</v>
      </c>
      <c r="AI182">
        <v>0</v>
      </c>
      <c r="AJ182">
        <v>1</v>
      </c>
      <c r="AK182">
        <v>0</v>
      </c>
      <c r="AL182">
        <v>1</v>
      </c>
      <c r="AM182">
        <v>0</v>
      </c>
      <c r="AN182">
        <v>10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100</v>
      </c>
      <c r="AV182">
        <v>100</v>
      </c>
      <c r="AW182">
        <v>451456</v>
      </c>
      <c r="AX182">
        <v>365679</v>
      </c>
      <c r="AY182">
        <v>818</v>
      </c>
      <c r="AZ182">
        <v>365</v>
      </c>
      <c r="BA182">
        <v>365</v>
      </c>
      <c r="BB182">
        <v>88</v>
      </c>
      <c r="BC182" s="3">
        <v>44474</v>
      </c>
      <c r="BD182" t="s">
        <v>233</v>
      </c>
      <c r="BE182">
        <v>485000</v>
      </c>
      <c r="BF182">
        <v>442325</v>
      </c>
      <c r="BG182" t="s">
        <v>294</v>
      </c>
      <c r="BH182">
        <v>30</v>
      </c>
      <c r="BI182" t="s">
        <v>65</v>
      </c>
      <c r="BJ182" t="s">
        <v>450</v>
      </c>
      <c r="BK182">
        <v>490900</v>
      </c>
      <c r="BL182">
        <v>63300</v>
      </c>
      <c r="BM182">
        <v>427600</v>
      </c>
      <c r="BN182">
        <v>42675</v>
      </c>
      <c r="BO182">
        <v>1.0121649484536082</v>
      </c>
      <c r="BP182">
        <v>485103.15273539256</v>
      </c>
      <c r="BQ182">
        <v>518433.0475618135</v>
      </c>
      <c r="BR182" s="12">
        <f>(Sales[[#This Row],[DP1]]*Lookups!$B$59)+(Sales[[#This Row],[DP2]]*Lookups!$B$60)+(Sales[[#This Row],[DP3]]*Lookups!$B$61)</f>
        <v>-33329.894830270001</v>
      </c>
      <c r="BS182" s="12">
        <f>Lookups!$B$56*0</f>
        <v>0</v>
      </c>
      <c r="BT182" s="12">
        <f>Lookups!$B$56*1</f>
        <v>89850.625589999996</v>
      </c>
      <c r="BU182" s="12">
        <f>Lookups!$B$57*Sales[[#This Row],[LnAcres]]</f>
        <v>-46522.028095997222</v>
      </c>
      <c r="BV182" s="12">
        <f>VLOOKUP(Sales[[#This Row],[Qlty]],Lookups!$A$62:$E$75,2,FALSE)</f>
        <v>44121.038090000002</v>
      </c>
      <c r="BW182" s="12">
        <f>VLOOKUP(Sales[[#This Row],[Cnd]],Lookups!$A$76:$E$84,2,FALSE)</f>
        <v>284810.60806</v>
      </c>
      <c r="BX182" s="12">
        <f>Sales[[#This Row],[EffAge]]*Lookups!$B$85</f>
        <v>-11821.416826500001</v>
      </c>
      <c r="BY182" s="12">
        <f>Sales[[#This Row],[MainFn]]*Lookups!$B$86</f>
        <v>97680.940346828997</v>
      </c>
      <c r="BZ182" s="12">
        <f>Sales[[#This Row],[UpprFn]]*Lookups!$B$87</f>
        <v>0</v>
      </c>
      <c r="CA182" s="12">
        <f>Sales[[#This Row],[AddFn]]*Lookups!$B$88</f>
        <v>0</v>
      </c>
      <c r="CB182" s="12">
        <f>Sales[[#This Row],[Bsmt]]*Lookups!$B$89</f>
        <v>22393.059340190001</v>
      </c>
      <c r="CC182" s="12">
        <f>Sales[[#This Row],[Fixtures]]*Lookups!$B$90</f>
        <v>37920.221052000001</v>
      </c>
      <c r="CD182" s="12">
        <f>Sales[[#This Row],[WdDeck]]*Lookups!$B$91</f>
        <v>0</v>
      </c>
      <c r="CE182" s="12">
        <f>SUM(Sales[[#This Row],[Days Prior Total]:[Mdl WdDeck]])</f>
        <v>485103.15272625186</v>
      </c>
      <c r="CF182" s="12">
        <f>ROUND(Sales[[#This Row],[25Det]],-2)</f>
        <v>42700</v>
      </c>
      <c r="CG182" s="12">
        <f>ROUND(SUM(Sales[[#This Row],[Mdl Qlty]:[Mdl WdDeck]])+Sales[[#This Row],[Mdl Res Intercept]]+Sales[[#This Row],[Days Prior Total]],-2)</f>
        <v>441800</v>
      </c>
      <c r="CH182" s="12">
        <f>ROUND(Sales[[#This Row],[Mdl Land Intercept]]+Sales[[#This Row],[Mdl LnAcres]],-2)</f>
        <v>43300</v>
      </c>
      <c r="CI182" s="12">
        <f>Sales[[#This Row],[Unadj Res Value]]+Sales[[#This Row],[Unadj Det Value]]+Sales[[#This Row],[Unadj Land Value]]</f>
        <v>527800</v>
      </c>
      <c r="CJ182" s="13">
        <f>Sales[[#This Row],[Unadj Total Value]]/Sales[[#This Row],[Price]]</f>
        <v>1.0882474226804124</v>
      </c>
      <c r="CK182" s="13">
        <f>(Sales[[#This Row],[Unadj Total Value]]-Sales[[#This Row],[24Final]])/Sales[[#This Row],[24Final]]</f>
        <v>7.5168058667753113E-2</v>
      </c>
      <c r="CL182">
        <f>VLOOKUP(Sales[[#This Row],[TNbhd]],Lookups!$Q$2:$T$4,4,FALSE)</f>
        <v>0.99970000000000003</v>
      </c>
      <c r="CM182">
        <f>VLOOKUP(Sales[[#This Row],[Qlty]],Lookups!$O$7:$R$21,4,FALSE)</f>
        <v>0.98050000000000004</v>
      </c>
      <c r="CN182">
        <f>VLOOKUP(Sales[[#This Row],[Cnd]],Lookups!$T$7:$W$16,4,FALSE)</f>
        <v>1.0158</v>
      </c>
      <c r="CO182">
        <f>VLOOKUP(Sales[[#This Row],[LivArea Range]],Lookups!$T$25:$W$37,4,FALSE)</f>
        <v>0.96179999999999999</v>
      </c>
      <c r="CP182">
        <f>VLOOKUP(Sales[[#This Row],[Decade]],Lookups!$O$25:$R$42,4,FALSE)</f>
        <v>0.98909999999999998</v>
      </c>
      <c r="CQ182">
        <f>Sales[[#This Row],[Nbhd Adj]]*0.95</f>
        <v>0.94971499999999998</v>
      </c>
      <c r="CR182">
        <f>Sales[[#This Row],[Nbhd Adj]]*Sales[[#This Row],[Quality Adj]]*Sales[[#This Row],[Condition Adj]]*Sales[[#This Row],[Living Area Adj]]*Sales[[#This Row],[Decade Adj]]*0.95</f>
        <v>0.89985819990494287</v>
      </c>
      <c r="CS182">
        <f>ROUND(SUM(Sales[[#This Row],[Mdl Qlty]:[Mdl WdDeck]])+Sales[[#This Row],[Mdl Res Intercept]]*Sales[[#This Row],[Res Adj ]],-2)</f>
        <v>475100</v>
      </c>
      <c r="CT182">
        <f>ROUND(Sales[[#This Row],[25Det]]*Sales[[#This Row],[Det/Nbhd Adj]],-2)</f>
        <v>40500</v>
      </c>
      <c r="CU182">
        <f>Sales[[#This Row],[Adjusted Res]]+Sales[[#This Row],[Adj Det ]]</f>
        <v>515600</v>
      </c>
      <c r="CV182">
        <f>ROUND((Sales[[#This Row],[Mdl Land Intercept]]+Sales[[#This Row],[Mdl LnAcres]])*Sales[[#This Row],[Det/Nbhd Adj]],-2)</f>
        <v>41100</v>
      </c>
      <c r="CW182">
        <f>Sales[[#This Row],[Adjusted Impr Total]]+Sales[[#This Row],[Adjusted Land Total]]</f>
        <v>556700</v>
      </c>
      <c r="CX182" s="15">
        <f>IFERROR((Sales[[#This Row],[Adjusted Impr Total]]-Sales[[#This Row],[24Bldg]])/Sales[[#This Row],[24Bldg]],0)</f>
        <v>0.205799812909261</v>
      </c>
      <c r="CY182" s="15">
        <f>(Sales[[#This Row],[Adjusted Land Total]]-Sales[[#This Row],[24Lnd]])/Sales[[#This Row],[24Lnd]]</f>
        <v>-0.35071090047393366</v>
      </c>
      <c r="CZ182" s="15">
        <f>(Sales[[#This Row],[Adjusted Total]]-Sales[[#This Row],[24Final]])/Sales[[#This Row],[24Final]]</f>
        <v>0.13403951925035648</v>
      </c>
      <c r="DA182" s="15">
        <f>(Sales[[#This Row],[Adjusted Total]]+Sales[[#This Row],[Days Prior Total]])/Sales[[#This Row],[Price]]</f>
        <v>1.0791136189066599</v>
      </c>
    </row>
    <row r="183" spans="1:105" x14ac:dyDescent="0.3">
      <c r="A183">
        <v>2025</v>
      </c>
      <c r="B183">
        <v>18132213005</v>
      </c>
      <c r="C183">
        <v>-1.7147984280919266</v>
      </c>
      <c r="D183">
        <v>0.18</v>
      </c>
      <c r="E183">
        <v>7750</v>
      </c>
      <c r="F183">
        <v>6</v>
      </c>
      <c r="G183" t="s">
        <v>126</v>
      </c>
      <c r="H183">
        <v>3033</v>
      </c>
      <c r="I183" t="s">
        <v>349</v>
      </c>
      <c r="J183" t="s">
        <v>30</v>
      </c>
      <c r="K183">
        <v>11</v>
      </c>
      <c r="L183">
        <v>259</v>
      </c>
      <c r="M183" t="s">
        <v>242</v>
      </c>
      <c r="N183" t="s">
        <v>351</v>
      </c>
      <c r="O183" t="s">
        <v>303</v>
      </c>
      <c r="P183">
        <v>90</v>
      </c>
      <c r="Q183">
        <v>1938</v>
      </c>
      <c r="R183">
        <v>1981</v>
      </c>
      <c r="S183">
        <v>86</v>
      </c>
      <c r="T183">
        <v>43</v>
      </c>
      <c r="U183">
        <v>1</v>
      </c>
      <c r="V183">
        <v>929</v>
      </c>
      <c r="W183">
        <v>0</v>
      </c>
      <c r="X183">
        <v>0</v>
      </c>
      <c r="Y183">
        <v>896</v>
      </c>
      <c r="Z183">
        <v>150</v>
      </c>
      <c r="AA183">
        <v>746</v>
      </c>
      <c r="AB183">
        <v>1675</v>
      </c>
      <c r="AC183">
        <v>2000</v>
      </c>
      <c r="AD183">
        <v>0</v>
      </c>
      <c r="AF183" t="s">
        <v>383</v>
      </c>
      <c r="AG183" t="s">
        <v>148</v>
      </c>
      <c r="AH183" t="s">
        <v>450</v>
      </c>
      <c r="AI183">
        <v>0</v>
      </c>
      <c r="AJ183">
        <v>0</v>
      </c>
      <c r="AK183">
        <v>0</v>
      </c>
      <c r="AL183">
        <v>1</v>
      </c>
      <c r="AM183">
        <v>0</v>
      </c>
      <c r="AN183">
        <v>8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100</v>
      </c>
      <c r="AV183">
        <v>100</v>
      </c>
      <c r="AW183">
        <v>201188</v>
      </c>
      <c r="AX183">
        <v>168998</v>
      </c>
      <c r="AY183">
        <v>1026</v>
      </c>
      <c r="AZ183">
        <v>365</v>
      </c>
      <c r="BA183">
        <v>365</v>
      </c>
      <c r="BB183">
        <v>296</v>
      </c>
      <c r="BC183" s="3">
        <v>44266</v>
      </c>
      <c r="BD183" t="s">
        <v>74</v>
      </c>
      <c r="BE183">
        <v>230000</v>
      </c>
      <c r="BF183">
        <v>225286</v>
      </c>
      <c r="BG183" t="s">
        <v>294</v>
      </c>
      <c r="BH183">
        <v>30</v>
      </c>
      <c r="BI183" t="s">
        <v>65</v>
      </c>
      <c r="BJ183" t="s">
        <v>450</v>
      </c>
      <c r="BK183">
        <v>323700</v>
      </c>
      <c r="BL183">
        <v>54700</v>
      </c>
      <c r="BM183">
        <v>269000</v>
      </c>
      <c r="BN183">
        <v>4714</v>
      </c>
      <c r="BO183">
        <v>1.4073913043478261</v>
      </c>
      <c r="BP183">
        <v>286438.25391525158</v>
      </c>
      <c r="BQ183">
        <v>347582.26501963945</v>
      </c>
      <c r="BR183" s="12">
        <f>(Sales[[#This Row],[DP1]]*Lookups!$B$59)+(Sales[[#This Row],[DP2]]*Lookups!$B$60)+(Sales[[#This Row],[DP3]]*Lookups!$B$61)</f>
        <v>-61144.011113470006</v>
      </c>
      <c r="BS183" s="12">
        <f>Lookups!$B$56*0</f>
        <v>0</v>
      </c>
      <c r="BT183" s="12">
        <f>Lookups!$B$56*1</f>
        <v>89850.625589999996</v>
      </c>
      <c r="BU183" s="12">
        <f>Lookups!$B$57*Sales[[#This Row],[LnAcres]]</f>
        <v>-54281.285314520763</v>
      </c>
      <c r="BV183" s="12">
        <f>VLOOKUP(Sales[[#This Row],[Qlty]],Lookups!$A$62:$E$75,2,FALSE)</f>
        <v>21557.329055999999</v>
      </c>
      <c r="BW183" s="12">
        <f>VLOOKUP(Sales[[#This Row],[Cnd]],Lookups!$A$76:$E$84,2,FALSE)</f>
        <v>197752.34721000001</v>
      </c>
      <c r="BX183" s="12">
        <f>Sales[[#This Row],[EffAge]]*Lookups!$B$85</f>
        <v>-9590.9608215000007</v>
      </c>
      <c r="BY183" s="12">
        <f>Sales[[#This Row],[MainFn]]*Lookups!$B$86</f>
        <v>45900.654315733002</v>
      </c>
      <c r="BZ183" s="12">
        <f>Sales[[#This Row],[UpprFn]]*Lookups!$B$87</f>
        <v>0</v>
      </c>
      <c r="CA183" s="12">
        <f>Sales[[#This Row],[AddFn]]*Lookups!$B$88</f>
        <v>0</v>
      </c>
      <c r="CB183" s="12">
        <f>Sales[[#This Row],[Bsmt]]*Lookups!$B$89</f>
        <v>26057.378141311998</v>
      </c>
      <c r="CC183" s="12">
        <f>Sales[[#This Row],[Fixtures]]*Lookups!$B$90</f>
        <v>30336.176841600001</v>
      </c>
      <c r="CD183" s="12">
        <f>Sales[[#This Row],[WdDeck]]*Lookups!$B$91</f>
        <v>0</v>
      </c>
      <c r="CE183" s="12">
        <f>SUM(Sales[[#This Row],[Days Prior Total]:[Mdl WdDeck]])</f>
        <v>286438.25390515424</v>
      </c>
      <c r="CF183" s="12">
        <f>ROUND(Sales[[#This Row],[25Det]],-2)</f>
        <v>4700</v>
      </c>
      <c r="CG183" s="12">
        <f>ROUND(SUM(Sales[[#This Row],[Mdl Qlty]:[Mdl WdDeck]])+Sales[[#This Row],[Mdl Res Intercept]]+Sales[[#This Row],[Days Prior Total]],-2)</f>
        <v>250900</v>
      </c>
      <c r="CH183" s="12">
        <f>ROUND(Sales[[#This Row],[Mdl Land Intercept]]+Sales[[#This Row],[Mdl LnAcres]],-2)</f>
        <v>35600</v>
      </c>
      <c r="CI183" s="12">
        <f>Sales[[#This Row],[Unadj Res Value]]+Sales[[#This Row],[Unadj Det Value]]+Sales[[#This Row],[Unadj Land Value]]</f>
        <v>291200</v>
      </c>
      <c r="CJ183" s="13">
        <f>Sales[[#This Row],[Unadj Total Value]]/Sales[[#This Row],[Price]]</f>
        <v>1.2660869565217392</v>
      </c>
      <c r="CK183" s="13">
        <f>(Sales[[#This Row],[Unadj Total Value]]-Sales[[#This Row],[24Final]])/Sales[[#This Row],[24Final]]</f>
        <v>-0.10040160642570281</v>
      </c>
      <c r="CL183">
        <f>VLOOKUP(Sales[[#This Row],[TNbhd]],Lookups!$Q$2:$T$4,4,FALSE)</f>
        <v>0.99970000000000003</v>
      </c>
      <c r="CM183">
        <f>VLOOKUP(Sales[[#This Row],[Qlty]],Lookups!$O$7:$R$21,4,FALSE)</f>
        <v>1.0067999999999999</v>
      </c>
      <c r="CN183">
        <f>VLOOKUP(Sales[[#This Row],[Cnd]],Lookups!$T$7:$W$16,4,FALSE)</f>
        <v>0.99650000000000005</v>
      </c>
      <c r="CO183">
        <f>VLOOKUP(Sales[[#This Row],[LivArea Range]],Lookups!$T$25:$W$37,4,FALSE)</f>
        <v>1.0093000000000001</v>
      </c>
      <c r="CP183">
        <f>VLOOKUP(Sales[[#This Row],[Decade]],Lookups!$O$25:$R$42,4,FALSE)</f>
        <v>0.98909999999999998</v>
      </c>
      <c r="CQ183">
        <f>Sales[[#This Row],[Nbhd Adj]]*0.95</f>
        <v>0.94971499999999998</v>
      </c>
      <c r="CR183">
        <f>Sales[[#This Row],[Nbhd Adj]]*Sales[[#This Row],[Quality Adj]]*Sales[[#This Row],[Condition Adj]]*Sales[[#This Row],[Living Area Adj]]*Sales[[#This Row],[Decade Adj]]*0.95</f>
        <v>0.95120534593507355</v>
      </c>
      <c r="CS183">
        <f>ROUND(SUM(Sales[[#This Row],[Mdl Qlty]:[Mdl WdDeck]])+Sales[[#This Row],[Mdl Res Intercept]]*Sales[[#This Row],[Res Adj ]],-2)</f>
        <v>312000</v>
      </c>
      <c r="CT183">
        <f>ROUND(Sales[[#This Row],[25Det]]*Sales[[#This Row],[Det/Nbhd Adj]],-2)</f>
        <v>4500</v>
      </c>
      <c r="CU183">
        <f>Sales[[#This Row],[Adjusted Res]]+Sales[[#This Row],[Adj Det ]]</f>
        <v>316500</v>
      </c>
      <c r="CV183">
        <f>ROUND((Sales[[#This Row],[Mdl Land Intercept]]+Sales[[#This Row],[Mdl LnAcres]])*Sales[[#This Row],[Det/Nbhd Adj]],-2)</f>
        <v>33800</v>
      </c>
      <c r="CW183">
        <f>Sales[[#This Row],[Adjusted Impr Total]]+Sales[[#This Row],[Adjusted Land Total]]</f>
        <v>350300</v>
      </c>
      <c r="CX183" s="15">
        <f>IFERROR((Sales[[#This Row],[Adjusted Impr Total]]-Sales[[#This Row],[24Bldg]])/Sales[[#This Row],[24Bldg]],0)</f>
        <v>0.17657992565055763</v>
      </c>
      <c r="CY183" s="15">
        <f>(Sales[[#This Row],[Adjusted Land Total]]-Sales[[#This Row],[24Lnd]])/Sales[[#This Row],[24Lnd]]</f>
        <v>-0.38208409506398539</v>
      </c>
      <c r="CZ183" s="15">
        <f>(Sales[[#This Row],[Adjusted Total]]-Sales[[#This Row],[24Final]])/Sales[[#This Row],[24Final]]</f>
        <v>8.2174853259190606E-2</v>
      </c>
      <c r="DA183" s="15">
        <f>(Sales[[#This Row],[Adjusted Total]]+Sales[[#This Row],[Days Prior Total]])/Sales[[#This Row],[Price]]</f>
        <v>1.2571999516805652</v>
      </c>
    </row>
    <row r="184" spans="1:105" x14ac:dyDescent="0.3">
      <c r="A184">
        <v>2025</v>
      </c>
      <c r="B184">
        <v>18132242019</v>
      </c>
      <c r="C184">
        <v>-1.2039728043259361</v>
      </c>
      <c r="D184">
        <v>0.3</v>
      </c>
      <c r="E184">
        <v>12997</v>
      </c>
      <c r="F184">
        <v>6</v>
      </c>
      <c r="G184" t="s">
        <v>126</v>
      </c>
      <c r="H184">
        <v>3033</v>
      </c>
      <c r="I184" t="s">
        <v>349</v>
      </c>
      <c r="J184" t="s">
        <v>30</v>
      </c>
      <c r="K184">
        <v>11</v>
      </c>
      <c r="L184">
        <v>259</v>
      </c>
      <c r="M184" t="s">
        <v>269</v>
      </c>
      <c r="N184" t="s">
        <v>148</v>
      </c>
      <c r="O184" t="s">
        <v>323</v>
      </c>
      <c r="P184">
        <v>90</v>
      </c>
      <c r="Q184">
        <v>1937</v>
      </c>
      <c r="R184">
        <v>1971</v>
      </c>
      <c r="S184">
        <v>87</v>
      </c>
      <c r="T184">
        <v>53</v>
      </c>
      <c r="U184">
        <v>1</v>
      </c>
      <c r="V184">
        <v>1904</v>
      </c>
      <c r="W184">
        <v>0</v>
      </c>
      <c r="X184">
        <v>0</v>
      </c>
      <c r="Y184">
        <v>1904</v>
      </c>
      <c r="Z184">
        <v>563</v>
      </c>
      <c r="AA184">
        <v>1341</v>
      </c>
      <c r="AB184">
        <v>3245</v>
      </c>
      <c r="AC184">
        <v>3500</v>
      </c>
      <c r="AD184">
        <v>0</v>
      </c>
      <c r="AF184" t="s">
        <v>383</v>
      </c>
      <c r="AG184" t="s">
        <v>175</v>
      </c>
      <c r="AH184" t="s">
        <v>450</v>
      </c>
      <c r="AI184">
        <v>0</v>
      </c>
      <c r="AJ184">
        <v>1</v>
      </c>
      <c r="AK184">
        <v>0</v>
      </c>
      <c r="AL184">
        <v>1</v>
      </c>
      <c r="AM184">
        <v>0</v>
      </c>
      <c r="AN184">
        <v>11</v>
      </c>
      <c r="AO184">
        <v>0</v>
      </c>
      <c r="AP184">
        <v>0</v>
      </c>
      <c r="AQ184">
        <v>0</v>
      </c>
      <c r="AR184">
        <v>785</v>
      </c>
      <c r="AS184">
        <v>364</v>
      </c>
      <c r="AT184">
        <v>0</v>
      </c>
      <c r="AU184">
        <v>100</v>
      </c>
      <c r="AV184">
        <v>100</v>
      </c>
      <c r="AW184">
        <v>550619</v>
      </c>
      <c r="AX184">
        <v>374421</v>
      </c>
      <c r="AY184">
        <v>1055</v>
      </c>
      <c r="AZ184">
        <v>365</v>
      </c>
      <c r="BA184">
        <v>365</v>
      </c>
      <c r="BB184">
        <v>325</v>
      </c>
      <c r="BC184" s="3">
        <v>44237</v>
      </c>
      <c r="BD184" t="s">
        <v>438</v>
      </c>
      <c r="BE184">
        <v>345000</v>
      </c>
      <c r="BF184">
        <v>333488</v>
      </c>
      <c r="BG184" t="s">
        <v>294</v>
      </c>
      <c r="BH184">
        <v>30</v>
      </c>
      <c r="BI184" t="s">
        <v>65</v>
      </c>
      <c r="BJ184" t="s">
        <v>450</v>
      </c>
      <c r="BK184">
        <v>441200</v>
      </c>
      <c r="BL184">
        <v>72500</v>
      </c>
      <c r="BM184">
        <v>368700</v>
      </c>
      <c r="BN184">
        <v>11512</v>
      </c>
      <c r="BO184">
        <v>1.278840579710145</v>
      </c>
      <c r="BP184">
        <v>396784.4714263627</v>
      </c>
      <c r="BQ184">
        <v>461806.41220412095</v>
      </c>
      <c r="BR184" s="12">
        <f>(Sales[[#This Row],[DP1]]*Lookups!$B$59)+(Sales[[#This Row],[DP2]]*Lookups!$B$60)+(Sales[[#This Row],[DP3]]*Lookups!$B$61)</f>
        <v>-65021.940787570005</v>
      </c>
      <c r="BS184" s="12">
        <f>Lookups!$B$56*0</f>
        <v>0</v>
      </c>
      <c r="BT184" s="12">
        <f>Lookups!$B$56*1</f>
        <v>89850.625589999996</v>
      </c>
      <c r="BU184" s="12">
        <f>Lookups!$B$57*Sales[[#This Row],[LnAcres]]</f>
        <v>-38111.29648355169</v>
      </c>
      <c r="BV184" s="12">
        <f>VLOOKUP(Sales[[#This Row],[Qlty]],Lookups!$A$62:$E$75,2,FALSE)</f>
        <v>44121.038090000002</v>
      </c>
      <c r="BW184" s="12">
        <f>VLOOKUP(Sales[[#This Row],[Cnd]],Lookups!$A$76:$E$84,2,FALSE)</f>
        <v>160472.20319</v>
      </c>
      <c r="BX184" s="12">
        <f>Sales[[#This Row],[EffAge]]*Lookups!$B$85</f>
        <v>-11821.416826500001</v>
      </c>
      <c r="BY184" s="12">
        <f>Sales[[#This Row],[MainFn]]*Lookups!$B$86</f>
        <v>94074.107445807997</v>
      </c>
      <c r="BZ184" s="12">
        <f>Sales[[#This Row],[UpprFn]]*Lookups!$B$87</f>
        <v>0</v>
      </c>
      <c r="CA184" s="12">
        <f>Sales[[#This Row],[AddFn]]*Lookups!$B$88</f>
        <v>0</v>
      </c>
      <c r="CB184" s="12">
        <f>Sales[[#This Row],[Bsmt]]*Lookups!$B$89</f>
        <v>55371.928550287994</v>
      </c>
      <c r="CC184" s="12">
        <f>Sales[[#This Row],[Fixtures]]*Lookups!$B$90</f>
        <v>41712.243157199999</v>
      </c>
      <c r="CD184" s="12">
        <f>Sales[[#This Row],[WdDeck]]*Lookups!$B$91</f>
        <v>26136.979491660004</v>
      </c>
      <c r="CE184" s="12">
        <f>SUM(Sales[[#This Row],[Days Prior Total]:[Mdl WdDeck]])</f>
        <v>396784.47141733434</v>
      </c>
      <c r="CF184" s="12">
        <f>ROUND(Sales[[#This Row],[25Det]],-2)</f>
        <v>11500</v>
      </c>
      <c r="CG184" s="12">
        <f>ROUND(SUM(Sales[[#This Row],[Mdl Qlty]:[Mdl WdDeck]])+Sales[[#This Row],[Mdl Res Intercept]]+Sales[[#This Row],[Days Prior Total]],-2)</f>
        <v>345000</v>
      </c>
      <c r="CH184" s="12">
        <f>ROUND(Sales[[#This Row],[Mdl Land Intercept]]+Sales[[#This Row],[Mdl LnAcres]],-2)</f>
        <v>51700</v>
      </c>
      <c r="CI184" s="12">
        <f>Sales[[#This Row],[Unadj Res Value]]+Sales[[#This Row],[Unadj Det Value]]+Sales[[#This Row],[Unadj Land Value]]</f>
        <v>408200</v>
      </c>
      <c r="CJ184" s="13">
        <f>Sales[[#This Row],[Unadj Total Value]]/Sales[[#This Row],[Price]]</f>
        <v>1.1831884057971014</v>
      </c>
      <c r="CK184" s="13">
        <f>(Sales[[#This Row],[Unadj Total Value]]-Sales[[#This Row],[24Final]])/Sales[[#This Row],[24Final]]</f>
        <v>-7.4796010879419769E-2</v>
      </c>
      <c r="CL184">
        <f>VLOOKUP(Sales[[#This Row],[TNbhd]],Lookups!$Q$2:$T$4,4,FALSE)</f>
        <v>0.99970000000000003</v>
      </c>
      <c r="CM184">
        <f>VLOOKUP(Sales[[#This Row],[Qlty]],Lookups!$O$7:$R$21,4,FALSE)</f>
        <v>0.98050000000000004</v>
      </c>
      <c r="CN184">
        <f>VLOOKUP(Sales[[#This Row],[Cnd]],Lookups!$T$7:$W$16,4,FALSE)</f>
        <v>0.99729999999999996</v>
      </c>
      <c r="CO184">
        <f>VLOOKUP(Sales[[#This Row],[LivArea Range]],Lookups!$T$25:$W$37,4,FALSE)</f>
        <v>1.0126999999999999</v>
      </c>
      <c r="CP184">
        <f>VLOOKUP(Sales[[#This Row],[Decade]],Lookups!$O$25:$R$42,4,FALSE)</f>
        <v>0.98909999999999998</v>
      </c>
      <c r="CQ184">
        <f>Sales[[#This Row],[Nbhd Adj]]*0.95</f>
        <v>0.94971499999999998</v>
      </c>
      <c r="CR184">
        <f>Sales[[#This Row],[Nbhd Adj]]*Sales[[#This Row],[Quality Adj]]*Sales[[#This Row],[Condition Adj]]*Sales[[#This Row],[Living Area Adj]]*Sales[[#This Row],[Decade Adj]]*0.95</f>
        <v>0.93022439853139849</v>
      </c>
      <c r="CS184">
        <f>ROUND(SUM(Sales[[#This Row],[Mdl Qlty]:[Mdl WdDeck]])+Sales[[#This Row],[Mdl Res Intercept]]*Sales[[#This Row],[Res Adj ]],-2)</f>
        <v>410100</v>
      </c>
      <c r="CT184">
        <f>ROUND(Sales[[#This Row],[25Det]]*Sales[[#This Row],[Det/Nbhd Adj]],-2)</f>
        <v>10900</v>
      </c>
      <c r="CU184">
        <f>Sales[[#This Row],[Adjusted Res]]+Sales[[#This Row],[Adj Det ]]</f>
        <v>421000</v>
      </c>
      <c r="CV184">
        <f>ROUND((Sales[[#This Row],[Mdl Land Intercept]]+Sales[[#This Row],[Mdl LnAcres]])*Sales[[#This Row],[Det/Nbhd Adj]],-2)</f>
        <v>49100</v>
      </c>
      <c r="CW184">
        <f>Sales[[#This Row],[Adjusted Impr Total]]+Sales[[#This Row],[Adjusted Land Total]]</f>
        <v>470100</v>
      </c>
      <c r="CX184" s="15">
        <f>IFERROR((Sales[[#This Row],[Adjusted Impr Total]]-Sales[[#This Row],[24Bldg]])/Sales[[#This Row],[24Bldg]],0)</f>
        <v>0.14184974233794412</v>
      </c>
      <c r="CY184" s="15">
        <f>(Sales[[#This Row],[Adjusted Land Total]]-Sales[[#This Row],[24Lnd]])/Sales[[#This Row],[24Lnd]]</f>
        <v>-0.32275862068965516</v>
      </c>
      <c r="CZ184" s="15">
        <f>(Sales[[#This Row],[Adjusted Total]]-Sales[[#This Row],[24Final]])/Sales[[#This Row],[24Final]]</f>
        <v>6.5503173164097914E-2</v>
      </c>
      <c r="DA184" s="15">
        <f>(Sales[[#This Row],[Adjusted Total]]+Sales[[#This Row],[Days Prior Total]])/Sales[[#This Row],[Price]]</f>
        <v>1.1741393020650144</v>
      </c>
    </row>
    <row r="185" spans="1:105" x14ac:dyDescent="0.3">
      <c r="A185">
        <v>2025</v>
      </c>
      <c r="B185">
        <v>18132332543</v>
      </c>
      <c r="C185">
        <v>-1.6094379124341003</v>
      </c>
      <c r="D185">
        <v>0.2</v>
      </c>
      <c r="E185">
        <v>8580</v>
      </c>
      <c r="F185">
        <v>6</v>
      </c>
      <c r="G185" t="s">
        <v>126</v>
      </c>
      <c r="H185">
        <v>3032</v>
      </c>
      <c r="I185" t="s">
        <v>349</v>
      </c>
      <c r="J185" t="s">
        <v>30</v>
      </c>
      <c r="K185">
        <v>11</v>
      </c>
      <c r="L185">
        <v>259</v>
      </c>
      <c r="M185" t="s">
        <v>173</v>
      </c>
      <c r="N185" t="s">
        <v>351</v>
      </c>
      <c r="O185" t="s">
        <v>303</v>
      </c>
      <c r="P185">
        <v>90</v>
      </c>
      <c r="Q185">
        <v>1936</v>
      </c>
      <c r="R185">
        <v>1971</v>
      </c>
      <c r="S185">
        <v>88</v>
      </c>
      <c r="T185">
        <v>53</v>
      </c>
      <c r="U185">
        <v>2</v>
      </c>
      <c r="V185">
        <v>1007</v>
      </c>
      <c r="W185">
        <v>493</v>
      </c>
      <c r="X185">
        <v>0</v>
      </c>
      <c r="Y185">
        <v>1007</v>
      </c>
      <c r="Z185">
        <v>507</v>
      </c>
      <c r="AA185">
        <v>500</v>
      </c>
      <c r="AB185">
        <v>2000</v>
      </c>
      <c r="AC185">
        <v>2500</v>
      </c>
      <c r="AD185">
        <v>0</v>
      </c>
      <c r="AF185" t="s">
        <v>208</v>
      </c>
      <c r="AG185" t="s">
        <v>382</v>
      </c>
      <c r="AI185">
        <v>0</v>
      </c>
      <c r="AJ185">
        <v>1</v>
      </c>
      <c r="AK185">
        <v>0</v>
      </c>
      <c r="AL185">
        <v>1</v>
      </c>
      <c r="AM185">
        <v>0</v>
      </c>
      <c r="AN185">
        <v>9</v>
      </c>
      <c r="AO185">
        <v>0</v>
      </c>
      <c r="AP185">
        <v>0</v>
      </c>
      <c r="AQ185">
        <v>0</v>
      </c>
      <c r="AR185">
        <v>126</v>
      </c>
      <c r="AS185">
        <v>0</v>
      </c>
      <c r="AT185">
        <v>0</v>
      </c>
      <c r="AU185">
        <v>100</v>
      </c>
      <c r="AV185">
        <v>100</v>
      </c>
      <c r="AW185">
        <v>264651</v>
      </c>
      <c r="AX185">
        <v>201135</v>
      </c>
      <c r="AY185">
        <v>222</v>
      </c>
      <c r="AZ185">
        <v>222</v>
      </c>
      <c r="BA185">
        <v>0</v>
      </c>
      <c r="BB185">
        <v>0</v>
      </c>
      <c r="BC185" s="3">
        <v>45070</v>
      </c>
      <c r="BD185" t="s">
        <v>280</v>
      </c>
      <c r="BE185">
        <v>407500</v>
      </c>
      <c r="BF185">
        <v>401476</v>
      </c>
      <c r="BG185" t="s">
        <v>294</v>
      </c>
      <c r="BH185">
        <v>30</v>
      </c>
      <c r="BI185" t="s">
        <v>65</v>
      </c>
      <c r="BJ185" t="s">
        <v>450</v>
      </c>
      <c r="BK185">
        <v>356100</v>
      </c>
      <c r="BL185">
        <v>58400</v>
      </c>
      <c r="BM185">
        <v>297700</v>
      </c>
      <c r="BN185">
        <v>6024</v>
      </c>
      <c r="BO185">
        <v>0.87386503067484667</v>
      </c>
      <c r="BP185">
        <v>370171.96613791405</v>
      </c>
      <c r="BQ185">
        <v>385835.88577551645</v>
      </c>
      <c r="BR185" s="12">
        <f>(Sales[[#This Row],[DP1]]*Lookups!$B$59)+(Sales[[#This Row],[DP2]]*Lookups!$B$60)+(Sales[[#This Row],[DP3]]*Lookups!$B$61)</f>
        <v>-15663.919638540001</v>
      </c>
      <c r="BS185" s="12">
        <f>Lookups!$B$56*0</f>
        <v>0</v>
      </c>
      <c r="BT185" s="12">
        <f>Lookups!$B$56*1</f>
        <v>89850.625589999996</v>
      </c>
      <c r="BU185" s="12">
        <f>Lookups!$B$57*Sales[[#This Row],[LnAcres]]</f>
        <v>-50946.13867709865</v>
      </c>
      <c r="BV185" s="12">
        <f>VLOOKUP(Sales[[#This Row],[Qlty]],Lookups!$A$62:$E$75,2,FALSE)</f>
        <v>21557.329055999999</v>
      </c>
      <c r="BW185" s="12">
        <f>VLOOKUP(Sales[[#This Row],[Cnd]],Lookups!$A$76:$E$84,2,FALSE)</f>
        <v>197752.34721000001</v>
      </c>
      <c r="BX185" s="12">
        <f>Sales[[#This Row],[EffAge]]*Lookups!$B$85</f>
        <v>-11821.416826500001</v>
      </c>
      <c r="BY185" s="12">
        <f>Sales[[#This Row],[MainFn]]*Lookups!$B$86</f>
        <v>49754.530566139001</v>
      </c>
      <c r="BZ185" s="12">
        <f>Sales[[#This Row],[UpprFn]]*Lookups!$B$87</f>
        <v>22079.706470473</v>
      </c>
      <c r="CA185" s="12">
        <f>Sales[[#This Row],[AddFn]]*Lookups!$B$88</f>
        <v>0</v>
      </c>
      <c r="CB185" s="12">
        <f>Sales[[#This Row],[Bsmt]]*Lookups!$B$89</f>
        <v>29285.468513729</v>
      </c>
      <c r="CC185" s="12">
        <f>Sales[[#This Row],[Fixtures]]*Lookups!$B$90</f>
        <v>34128.198946800003</v>
      </c>
      <c r="CD185" s="12">
        <f>Sales[[#This Row],[WdDeck]]*Lookups!$B$91</f>
        <v>4195.2349247760003</v>
      </c>
      <c r="CE185" s="12">
        <f>SUM(Sales[[#This Row],[Days Prior Total]:[Mdl WdDeck]])</f>
        <v>370171.96613577835</v>
      </c>
      <c r="CF185" s="12">
        <f>ROUND(Sales[[#This Row],[25Det]],-2)</f>
        <v>6000</v>
      </c>
      <c r="CG185" s="12">
        <f>ROUND(SUM(Sales[[#This Row],[Mdl Qlty]:[Mdl WdDeck]])+Sales[[#This Row],[Mdl Res Intercept]]+Sales[[#This Row],[Days Prior Total]],-2)</f>
        <v>331300</v>
      </c>
      <c r="CH185" s="12">
        <f>ROUND(Sales[[#This Row],[Mdl Land Intercept]]+Sales[[#This Row],[Mdl LnAcres]],-2)</f>
        <v>38900</v>
      </c>
      <c r="CI185" s="12">
        <f>Sales[[#This Row],[Unadj Res Value]]+Sales[[#This Row],[Unadj Det Value]]+Sales[[#This Row],[Unadj Land Value]]</f>
        <v>376200</v>
      </c>
      <c r="CJ185" s="13">
        <f>Sales[[#This Row],[Unadj Total Value]]/Sales[[#This Row],[Price]]</f>
        <v>0.92319018404907971</v>
      </c>
      <c r="CK185" s="13">
        <f>(Sales[[#This Row],[Unadj Total Value]]-Sales[[#This Row],[24Final]])/Sales[[#This Row],[24Final]]</f>
        <v>5.6444818871103621E-2</v>
      </c>
      <c r="CL185">
        <f>VLOOKUP(Sales[[#This Row],[TNbhd]],Lookups!$Q$2:$T$4,4,FALSE)</f>
        <v>0.99970000000000003</v>
      </c>
      <c r="CM185">
        <f>VLOOKUP(Sales[[#This Row],[Qlty]],Lookups!$O$7:$R$21,4,FALSE)</f>
        <v>1.0067999999999999</v>
      </c>
      <c r="CN185">
        <f>VLOOKUP(Sales[[#This Row],[Cnd]],Lookups!$T$7:$W$16,4,FALSE)</f>
        <v>0.99650000000000005</v>
      </c>
      <c r="CO185">
        <f>VLOOKUP(Sales[[#This Row],[LivArea Range]],Lookups!$T$25:$W$37,4,FALSE)</f>
        <v>0.98919999999999997</v>
      </c>
      <c r="CP185">
        <f>VLOOKUP(Sales[[#This Row],[Decade]],Lookups!$O$25:$R$42,4,FALSE)</f>
        <v>0.98909999999999998</v>
      </c>
      <c r="CQ185">
        <f>Sales[[#This Row],[Nbhd Adj]]*0.95</f>
        <v>0.94971499999999998</v>
      </c>
      <c r="CR185">
        <f>Sales[[#This Row],[Nbhd Adj]]*Sales[[#This Row],[Quality Adj]]*Sales[[#This Row],[Condition Adj]]*Sales[[#This Row],[Living Area Adj]]*Sales[[#This Row],[Decade Adj]]*0.95</f>
        <v>0.9322622889120924</v>
      </c>
      <c r="CS185">
        <f>ROUND(SUM(Sales[[#This Row],[Mdl Qlty]:[Mdl WdDeck]])+Sales[[#This Row],[Mdl Res Intercept]]*Sales[[#This Row],[Res Adj ]],-2)</f>
        <v>346900</v>
      </c>
      <c r="CT185">
        <f>ROUND(Sales[[#This Row],[25Det]]*Sales[[#This Row],[Det/Nbhd Adj]],-2)</f>
        <v>5700</v>
      </c>
      <c r="CU185">
        <f>Sales[[#This Row],[Adjusted Res]]+Sales[[#This Row],[Adj Det ]]</f>
        <v>352600</v>
      </c>
      <c r="CV185">
        <f>ROUND((Sales[[#This Row],[Mdl Land Intercept]]+Sales[[#This Row],[Mdl LnAcres]])*Sales[[#This Row],[Det/Nbhd Adj]],-2)</f>
        <v>36900</v>
      </c>
      <c r="CW185">
        <f>Sales[[#This Row],[Adjusted Impr Total]]+Sales[[#This Row],[Adjusted Land Total]]</f>
        <v>389500</v>
      </c>
      <c r="CX185" s="15">
        <f>IFERROR((Sales[[#This Row],[Adjusted Impr Total]]-Sales[[#This Row],[24Bldg]])/Sales[[#This Row],[24Bldg]],0)</f>
        <v>0.18441383943567349</v>
      </c>
      <c r="CY185" s="15">
        <f>(Sales[[#This Row],[Adjusted Land Total]]-Sales[[#This Row],[24Lnd]])/Sales[[#This Row],[24Lnd]]</f>
        <v>-0.36815068493150682</v>
      </c>
      <c r="CZ185" s="15">
        <f>(Sales[[#This Row],[Adjusted Total]]-Sales[[#This Row],[24Final]])/Sales[[#This Row],[24Final]]</f>
        <v>9.3793878124122432E-2</v>
      </c>
      <c r="DA185" s="15">
        <f>(Sales[[#This Row],[Adjusted Total]]+Sales[[#This Row],[Days Prior Total]])/Sales[[#This Row],[Price]]</f>
        <v>0.91738915426125145</v>
      </c>
    </row>
    <row r="186" spans="1:105" x14ac:dyDescent="0.3">
      <c r="A186">
        <v>2025</v>
      </c>
      <c r="B186">
        <v>18132331413</v>
      </c>
      <c r="C186">
        <v>-1.1086626245216111</v>
      </c>
      <c r="D186">
        <v>0.33</v>
      </c>
      <c r="E186">
        <v>14171</v>
      </c>
      <c r="F186">
        <v>6</v>
      </c>
      <c r="G186" t="s">
        <v>126</v>
      </c>
      <c r="H186">
        <v>3032</v>
      </c>
      <c r="I186" t="s">
        <v>349</v>
      </c>
      <c r="J186" t="s">
        <v>30</v>
      </c>
      <c r="K186">
        <v>11</v>
      </c>
      <c r="L186">
        <v>259</v>
      </c>
      <c r="M186" t="s">
        <v>301</v>
      </c>
      <c r="N186" t="s">
        <v>95</v>
      </c>
      <c r="O186" t="s">
        <v>352</v>
      </c>
      <c r="P186">
        <v>90</v>
      </c>
      <c r="Q186">
        <v>1935</v>
      </c>
      <c r="R186">
        <v>1971</v>
      </c>
      <c r="S186">
        <v>89</v>
      </c>
      <c r="T186">
        <v>53</v>
      </c>
      <c r="U186">
        <v>2</v>
      </c>
      <c r="V186">
        <v>1299</v>
      </c>
      <c r="W186">
        <v>984</v>
      </c>
      <c r="X186">
        <v>0</v>
      </c>
      <c r="Y186">
        <v>1038</v>
      </c>
      <c r="Z186">
        <v>726</v>
      </c>
      <c r="AA186">
        <v>312</v>
      </c>
      <c r="AB186">
        <v>2595</v>
      </c>
      <c r="AC186">
        <v>3000</v>
      </c>
      <c r="AD186">
        <v>0</v>
      </c>
      <c r="AF186" t="s">
        <v>383</v>
      </c>
      <c r="AG186" t="s">
        <v>148</v>
      </c>
      <c r="AH186" t="s">
        <v>450</v>
      </c>
      <c r="AI186">
        <v>0</v>
      </c>
      <c r="AJ186">
        <v>2</v>
      </c>
      <c r="AK186">
        <v>0</v>
      </c>
      <c r="AL186">
        <v>1</v>
      </c>
      <c r="AM186">
        <v>2</v>
      </c>
      <c r="AN186">
        <v>16</v>
      </c>
      <c r="AO186">
        <v>0</v>
      </c>
      <c r="AP186">
        <v>0</v>
      </c>
      <c r="AQ186">
        <v>0</v>
      </c>
      <c r="AR186">
        <v>0</v>
      </c>
      <c r="AS186">
        <v>146</v>
      </c>
      <c r="AT186">
        <v>80</v>
      </c>
      <c r="AU186">
        <v>100</v>
      </c>
      <c r="AV186">
        <v>100</v>
      </c>
      <c r="AW186">
        <v>524636</v>
      </c>
      <c r="AX186">
        <v>403970</v>
      </c>
      <c r="AY186">
        <v>180</v>
      </c>
      <c r="AZ186">
        <v>180</v>
      </c>
      <c r="BA186">
        <v>0</v>
      </c>
      <c r="BB186">
        <v>0</v>
      </c>
      <c r="BC186" s="3">
        <v>45112</v>
      </c>
      <c r="BD186" t="s">
        <v>406</v>
      </c>
      <c r="BE186">
        <v>730000</v>
      </c>
      <c r="BF186">
        <v>722314</v>
      </c>
      <c r="BG186" t="s">
        <v>294</v>
      </c>
      <c r="BH186">
        <v>30</v>
      </c>
      <c r="BI186" t="s">
        <v>65</v>
      </c>
      <c r="BJ186" t="s">
        <v>450</v>
      </c>
      <c r="BK186">
        <v>546900</v>
      </c>
      <c r="BL186">
        <v>75900</v>
      </c>
      <c r="BM186">
        <v>471000</v>
      </c>
      <c r="BN186">
        <v>7686</v>
      </c>
      <c r="BO186">
        <v>0.74917808219178084</v>
      </c>
      <c r="BP186">
        <v>588424.52496127936</v>
      </c>
      <c r="BQ186">
        <v>601125.00034311914</v>
      </c>
      <c r="BR186" s="12">
        <f>(Sales[[#This Row],[DP1]]*Lookups!$B$59)+(Sales[[#This Row],[DP2]]*Lookups!$B$60)+(Sales[[#This Row],[DP3]]*Lookups!$B$61)</f>
        <v>-12700.475382600001</v>
      </c>
      <c r="BS186" s="12">
        <f>Lookups!$B$56*0</f>
        <v>0</v>
      </c>
      <c r="BT186" s="12">
        <f>Lookups!$B$56*1</f>
        <v>89850.625589999996</v>
      </c>
      <c r="BU186" s="12">
        <f>Lookups!$B$57*Sales[[#This Row],[LnAcres]]</f>
        <v>-35094.289365640165</v>
      </c>
      <c r="BV186" s="12">
        <f>VLOOKUP(Sales[[#This Row],[Qlty]],Lookups!$A$62:$E$75,2,FALSE)</f>
        <v>74268.409664999999</v>
      </c>
      <c r="BW186" s="12">
        <f>VLOOKUP(Sales[[#This Row],[Cnd]],Lookups!$A$76:$E$84,2,FALSE)</f>
        <v>284810.60806</v>
      </c>
      <c r="BX186" s="12">
        <f>Sales[[#This Row],[EffAge]]*Lookups!$B$85</f>
        <v>-11821.416826500001</v>
      </c>
      <c r="BY186" s="12">
        <f>Sales[[#This Row],[MainFn]]*Lookups!$B$86</f>
        <v>64181.862170223001</v>
      </c>
      <c r="BZ186" s="12">
        <f>Sales[[#This Row],[UpprFn]]*Lookups!$B$87</f>
        <v>44069.840095223997</v>
      </c>
      <c r="CA186" s="12">
        <f>Sales[[#This Row],[AddFn]]*Lookups!$B$88</f>
        <v>0</v>
      </c>
      <c r="CB186" s="12">
        <f>Sales[[#This Row],[Bsmt]]*Lookups!$B$89</f>
        <v>30187.007266385997</v>
      </c>
      <c r="CC186" s="12">
        <f>Sales[[#This Row],[Fixtures]]*Lookups!$B$90</f>
        <v>60672.353683200003</v>
      </c>
      <c r="CD186" s="12">
        <f>Sales[[#This Row],[WdDeck]]*Lookups!$B$91</f>
        <v>0</v>
      </c>
      <c r="CE186" s="12">
        <f>SUM(Sales[[#This Row],[Days Prior Total]:[Mdl WdDeck]])</f>
        <v>588424.52495529281</v>
      </c>
      <c r="CF186" s="12">
        <f>ROUND(Sales[[#This Row],[25Det]],-2)</f>
        <v>7700</v>
      </c>
      <c r="CG186" s="12">
        <f>ROUND(SUM(Sales[[#This Row],[Mdl Qlty]:[Mdl WdDeck]])+Sales[[#This Row],[Mdl Res Intercept]]+Sales[[#This Row],[Days Prior Total]],-2)</f>
        <v>533700</v>
      </c>
      <c r="CH186" s="12">
        <f>ROUND(Sales[[#This Row],[Mdl Land Intercept]]+Sales[[#This Row],[Mdl LnAcres]],-2)</f>
        <v>54800</v>
      </c>
      <c r="CI186" s="12">
        <f>Sales[[#This Row],[Unadj Res Value]]+Sales[[#This Row],[Unadj Det Value]]+Sales[[#This Row],[Unadj Land Value]]</f>
        <v>596200</v>
      </c>
      <c r="CJ186" s="13">
        <f>Sales[[#This Row],[Unadj Total Value]]/Sales[[#This Row],[Price]]</f>
        <v>0.8167123287671233</v>
      </c>
      <c r="CK186" s="13">
        <f>(Sales[[#This Row],[Unadj Total Value]]-Sales[[#This Row],[24Final]])/Sales[[#This Row],[24Final]]</f>
        <v>9.0144450539403911E-2</v>
      </c>
      <c r="CL186">
        <f>VLOOKUP(Sales[[#This Row],[TNbhd]],Lookups!$Q$2:$T$4,4,FALSE)</f>
        <v>0.99970000000000003</v>
      </c>
      <c r="CM186">
        <f>VLOOKUP(Sales[[#This Row],[Qlty]],Lookups!$O$7:$R$21,4,FALSE)</f>
        <v>0.98380000000000001</v>
      </c>
      <c r="CN186">
        <f>VLOOKUP(Sales[[#This Row],[Cnd]],Lookups!$T$7:$W$16,4,FALSE)</f>
        <v>1.0158</v>
      </c>
      <c r="CO186">
        <f>VLOOKUP(Sales[[#This Row],[LivArea Range]],Lookups!$T$25:$W$37,4,FALSE)</f>
        <v>0.96179999999999999</v>
      </c>
      <c r="CP186">
        <f>VLOOKUP(Sales[[#This Row],[Decade]],Lookups!$O$25:$R$42,4,FALSE)</f>
        <v>0.98909999999999998</v>
      </c>
      <c r="CQ186">
        <f>Sales[[#This Row],[Nbhd Adj]]*0.95</f>
        <v>0.94971499999999998</v>
      </c>
      <c r="CR186">
        <f>Sales[[#This Row],[Nbhd Adj]]*Sales[[#This Row],[Quality Adj]]*Sales[[#This Row],[Condition Adj]]*Sales[[#This Row],[Living Area Adj]]*Sales[[#This Row],[Decade Adj]]*0.95</f>
        <v>0.90288678946097178</v>
      </c>
      <c r="CS186">
        <f>ROUND(SUM(Sales[[#This Row],[Mdl Qlty]:[Mdl WdDeck]])+Sales[[#This Row],[Mdl Res Intercept]]*Sales[[#This Row],[Res Adj ]],-2)</f>
        <v>546400</v>
      </c>
      <c r="CT186">
        <f>ROUND(Sales[[#This Row],[25Det]]*Sales[[#This Row],[Det/Nbhd Adj]],-2)</f>
        <v>7300</v>
      </c>
      <c r="CU186">
        <f>Sales[[#This Row],[Adjusted Res]]+Sales[[#This Row],[Adj Det ]]</f>
        <v>553700</v>
      </c>
      <c r="CV186">
        <f>ROUND((Sales[[#This Row],[Mdl Land Intercept]]+Sales[[#This Row],[Mdl LnAcres]])*Sales[[#This Row],[Det/Nbhd Adj]],-2)</f>
        <v>52000</v>
      </c>
      <c r="CW186">
        <f>Sales[[#This Row],[Adjusted Impr Total]]+Sales[[#This Row],[Adjusted Land Total]]</f>
        <v>605700</v>
      </c>
      <c r="CX186" s="15">
        <f>IFERROR((Sales[[#This Row],[Adjusted Impr Total]]-Sales[[#This Row],[24Bldg]])/Sales[[#This Row],[24Bldg]],0)</f>
        <v>0.17558386411889595</v>
      </c>
      <c r="CY186" s="15">
        <f>(Sales[[#This Row],[Adjusted Land Total]]-Sales[[#This Row],[24Lnd]])/Sales[[#This Row],[24Lnd]]</f>
        <v>-0.31488801054018445</v>
      </c>
      <c r="CZ186" s="15">
        <f>(Sales[[#This Row],[Adjusted Total]]-Sales[[#This Row],[24Final]])/Sales[[#This Row],[24Final]]</f>
        <v>0.10751508502468458</v>
      </c>
      <c r="DA186" s="15">
        <f>(Sales[[#This Row],[Adjusted Total]]+Sales[[#This Row],[Days Prior Total]])/Sales[[#This Row],[Price]]</f>
        <v>0.81232811591424658</v>
      </c>
    </row>
    <row r="187" spans="1:105" x14ac:dyDescent="0.3">
      <c r="A187">
        <v>2025</v>
      </c>
      <c r="B187">
        <v>18132334005</v>
      </c>
      <c r="C187">
        <v>-1.4271163556401458</v>
      </c>
      <c r="D187">
        <v>0.24</v>
      </c>
      <c r="E187">
        <v>10273</v>
      </c>
      <c r="F187">
        <v>6</v>
      </c>
      <c r="G187" t="s">
        <v>126</v>
      </c>
      <c r="H187">
        <v>3032</v>
      </c>
      <c r="I187" t="s">
        <v>349</v>
      </c>
      <c r="J187" t="s">
        <v>30</v>
      </c>
      <c r="K187">
        <v>11</v>
      </c>
      <c r="L187">
        <v>259</v>
      </c>
      <c r="M187" t="s">
        <v>241</v>
      </c>
      <c r="N187" t="s">
        <v>148</v>
      </c>
      <c r="O187" t="s">
        <v>303</v>
      </c>
      <c r="P187">
        <v>90</v>
      </c>
      <c r="Q187">
        <v>1935</v>
      </c>
      <c r="R187">
        <v>1971</v>
      </c>
      <c r="S187">
        <v>89</v>
      </c>
      <c r="T187">
        <v>53</v>
      </c>
      <c r="U187">
        <v>1</v>
      </c>
      <c r="V187">
        <v>1627</v>
      </c>
      <c r="W187">
        <v>0</v>
      </c>
      <c r="X187">
        <v>0</v>
      </c>
      <c r="Y187">
        <v>910</v>
      </c>
      <c r="Z187">
        <v>0</v>
      </c>
      <c r="AA187">
        <v>910</v>
      </c>
      <c r="AB187">
        <v>2537</v>
      </c>
      <c r="AC187">
        <v>3000</v>
      </c>
      <c r="AD187">
        <v>0</v>
      </c>
      <c r="AF187" t="s">
        <v>383</v>
      </c>
      <c r="AG187" t="s">
        <v>148</v>
      </c>
      <c r="AH187" t="s">
        <v>450</v>
      </c>
      <c r="AI187">
        <v>0</v>
      </c>
      <c r="AJ187">
        <v>1</v>
      </c>
      <c r="AK187">
        <v>0</v>
      </c>
      <c r="AL187">
        <v>1</v>
      </c>
      <c r="AM187">
        <v>0</v>
      </c>
      <c r="AN187">
        <v>8</v>
      </c>
      <c r="AO187">
        <v>0</v>
      </c>
      <c r="AP187">
        <v>0</v>
      </c>
      <c r="AQ187">
        <v>0</v>
      </c>
      <c r="AR187">
        <v>0</v>
      </c>
      <c r="AS187">
        <v>440</v>
      </c>
      <c r="AT187">
        <v>0</v>
      </c>
      <c r="AU187">
        <v>100</v>
      </c>
      <c r="AV187">
        <v>100</v>
      </c>
      <c r="AW187">
        <v>419097</v>
      </c>
      <c r="AX187">
        <v>318514</v>
      </c>
      <c r="AY187">
        <v>697</v>
      </c>
      <c r="AZ187">
        <v>365</v>
      </c>
      <c r="BA187">
        <v>332</v>
      </c>
      <c r="BB187">
        <v>0</v>
      </c>
      <c r="BC187" s="3">
        <v>44595</v>
      </c>
      <c r="BD187" t="s">
        <v>289</v>
      </c>
      <c r="BE187">
        <v>468769</v>
      </c>
      <c r="BF187">
        <v>457372</v>
      </c>
      <c r="BG187" t="s">
        <v>294</v>
      </c>
      <c r="BH187">
        <v>30</v>
      </c>
      <c r="BI187" t="s">
        <v>65</v>
      </c>
      <c r="BJ187" t="s">
        <v>450</v>
      </c>
      <c r="BK187">
        <v>403000</v>
      </c>
      <c r="BL187">
        <v>64800</v>
      </c>
      <c r="BM187">
        <v>338200</v>
      </c>
      <c r="BN187">
        <v>11397</v>
      </c>
      <c r="BO187">
        <v>0.8596984868879981</v>
      </c>
      <c r="BP187">
        <v>389975.05285753345</v>
      </c>
      <c r="BQ187">
        <v>411916.38161549286</v>
      </c>
      <c r="BR187" s="12">
        <f>(Sales[[#This Row],[DP1]]*Lookups!$B$59)+(Sales[[#This Row],[DP2]]*Lookups!$B$60)+(Sales[[#This Row],[DP3]]*Lookups!$B$61)</f>
        <v>-21941.328759586002</v>
      </c>
      <c r="BS187" s="12">
        <f>Lookups!$B$56*0</f>
        <v>0</v>
      </c>
      <c r="BT187" s="12">
        <f>Lookups!$B$56*1</f>
        <v>89850.625589999996</v>
      </c>
      <c r="BU187" s="12">
        <f>Lookups!$B$57*Sales[[#This Row],[LnAcres]]</f>
        <v>-45174.819855485119</v>
      </c>
      <c r="BV187" s="12">
        <f>VLOOKUP(Sales[[#This Row],[Qlty]],Lookups!$A$62:$E$75,2,FALSE)</f>
        <v>44121.038090000002</v>
      </c>
      <c r="BW187" s="12">
        <f>VLOOKUP(Sales[[#This Row],[Cnd]],Lookups!$A$76:$E$84,2,FALSE)</f>
        <v>197752.34721000001</v>
      </c>
      <c r="BX187" s="12">
        <f>Sales[[#This Row],[EffAge]]*Lookups!$B$85</f>
        <v>-11821.416826500001</v>
      </c>
      <c r="BY187" s="12">
        <f>Sales[[#This Row],[MainFn]]*Lookups!$B$86</f>
        <v>80387.905889878995</v>
      </c>
      <c r="BZ187" s="12">
        <f>Sales[[#This Row],[UpprFn]]*Lookups!$B$87</f>
        <v>0</v>
      </c>
      <c r="CA187" s="12">
        <f>Sales[[#This Row],[AddFn]]*Lookups!$B$88</f>
        <v>0</v>
      </c>
      <c r="CB187" s="12">
        <f>Sales[[#This Row],[Bsmt]]*Lookups!$B$89</f>
        <v>26464.52467477</v>
      </c>
      <c r="CC187" s="12">
        <f>Sales[[#This Row],[Fixtures]]*Lookups!$B$90</f>
        <v>30336.176841600001</v>
      </c>
      <c r="CD187" s="12">
        <f>Sales[[#This Row],[WdDeck]]*Lookups!$B$91</f>
        <v>0</v>
      </c>
      <c r="CE187" s="12">
        <f>SUM(Sales[[#This Row],[Days Prior Total]:[Mdl WdDeck]])</f>
        <v>389975.0528546779</v>
      </c>
      <c r="CF187" s="12">
        <f>ROUND(Sales[[#This Row],[25Det]],-2)</f>
        <v>11400</v>
      </c>
      <c r="CG187" s="12">
        <f>ROUND(SUM(Sales[[#This Row],[Mdl Qlty]:[Mdl WdDeck]])+Sales[[#This Row],[Mdl Res Intercept]]+Sales[[#This Row],[Days Prior Total]],-2)</f>
        <v>345300</v>
      </c>
      <c r="CH187" s="12">
        <f>ROUND(Sales[[#This Row],[Mdl Land Intercept]]+Sales[[#This Row],[Mdl LnAcres]],-2)</f>
        <v>44700</v>
      </c>
      <c r="CI187" s="12">
        <f>Sales[[#This Row],[Unadj Res Value]]+Sales[[#This Row],[Unadj Det Value]]+Sales[[#This Row],[Unadj Land Value]]</f>
        <v>401400</v>
      </c>
      <c r="CJ187" s="13">
        <f>Sales[[#This Row],[Unadj Total Value]]/Sales[[#This Row],[Price]]</f>
        <v>0.85628529190283487</v>
      </c>
      <c r="CK187" s="13">
        <f>(Sales[[#This Row],[Unadj Total Value]]-Sales[[#This Row],[24Final]])/Sales[[#This Row],[24Final]]</f>
        <v>-3.9702233250620347E-3</v>
      </c>
      <c r="CL187">
        <f>VLOOKUP(Sales[[#This Row],[TNbhd]],Lookups!$Q$2:$T$4,4,FALSE)</f>
        <v>0.99970000000000003</v>
      </c>
      <c r="CM187">
        <f>VLOOKUP(Sales[[#This Row],[Qlty]],Lookups!$O$7:$R$21,4,FALSE)</f>
        <v>0.98050000000000004</v>
      </c>
      <c r="CN187">
        <f>VLOOKUP(Sales[[#This Row],[Cnd]],Lookups!$T$7:$W$16,4,FALSE)</f>
        <v>0.99650000000000005</v>
      </c>
      <c r="CO187">
        <f>VLOOKUP(Sales[[#This Row],[LivArea Range]],Lookups!$T$25:$W$37,4,FALSE)</f>
        <v>0.96179999999999999</v>
      </c>
      <c r="CP187">
        <f>VLOOKUP(Sales[[#This Row],[Decade]],Lookups!$O$25:$R$42,4,FALSE)</f>
        <v>0.98909999999999998</v>
      </c>
      <c r="CQ187">
        <f>Sales[[#This Row],[Nbhd Adj]]*0.95</f>
        <v>0.94971499999999998</v>
      </c>
      <c r="CR187">
        <f>Sales[[#This Row],[Nbhd Adj]]*Sales[[#This Row],[Quality Adj]]*Sales[[#This Row],[Condition Adj]]*Sales[[#This Row],[Living Area Adj]]*Sales[[#This Row],[Decade Adj]]*0.95</f>
        <v>0.88276107127906644</v>
      </c>
      <c r="CS187">
        <f>ROUND(SUM(Sales[[#This Row],[Mdl Qlty]:[Mdl WdDeck]])+Sales[[#This Row],[Mdl Res Intercept]]*Sales[[#This Row],[Res Adj ]],-2)</f>
        <v>367200</v>
      </c>
      <c r="CT187">
        <f>ROUND(Sales[[#This Row],[25Det]]*Sales[[#This Row],[Det/Nbhd Adj]],-2)</f>
        <v>10800</v>
      </c>
      <c r="CU187">
        <f>Sales[[#This Row],[Adjusted Res]]+Sales[[#This Row],[Adj Det ]]</f>
        <v>378000</v>
      </c>
      <c r="CV187">
        <f>ROUND((Sales[[#This Row],[Mdl Land Intercept]]+Sales[[#This Row],[Mdl LnAcres]])*Sales[[#This Row],[Det/Nbhd Adj]],-2)</f>
        <v>42400</v>
      </c>
      <c r="CW187">
        <f>Sales[[#This Row],[Adjusted Impr Total]]+Sales[[#This Row],[Adjusted Land Total]]</f>
        <v>420400</v>
      </c>
      <c r="CX187" s="15">
        <f>IFERROR((Sales[[#This Row],[Adjusted Impr Total]]-Sales[[#This Row],[24Bldg]])/Sales[[#This Row],[24Bldg]],0)</f>
        <v>0.11768184506209343</v>
      </c>
      <c r="CY187" s="15">
        <f>(Sales[[#This Row],[Adjusted Land Total]]-Sales[[#This Row],[24Lnd]])/Sales[[#This Row],[24Lnd]]</f>
        <v>-0.34567901234567899</v>
      </c>
      <c r="CZ187" s="15">
        <f>(Sales[[#This Row],[Adjusted Total]]-Sales[[#This Row],[24Final]])/Sales[[#This Row],[24Final]]</f>
        <v>4.3176178660049629E-2</v>
      </c>
      <c r="DA187" s="15">
        <f>(Sales[[#This Row],[Adjusted Total]]+Sales[[#This Row],[Days Prior Total]])/Sales[[#This Row],[Price]]</f>
        <v>0.85001071154537533</v>
      </c>
    </row>
    <row r="188" spans="1:105" x14ac:dyDescent="0.3">
      <c r="A188">
        <v>2025</v>
      </c>
      <c r="B188">
        <v>18132241003</v>
      </c>
      <c r="C188">
        <v>-1.6094379124341003</v>
      </c>
      <c r="D188">
        <v>0.2</v>
      </c>
      <c r="E188">
        <v>8534</v>
      </c>
      <c r="F188">
        <v>6</v>
      </c>
      <c r="G188" t="s">
        <v>126</v>
      </c>
      <c r="H188">
        <v>3033</v>
      </c>
      <c r="I188" t="s">
        <v>349</v>
      </c>
      <c r="J188" t="s">
        <v>30</v>
      </c>
      <c r="K188">
        <v>11</v>
      </c>
      <c r="L188">
        <v>259</v>
      </c>
      <c r="M188" t="s">
        <v>147</v>
      </c>
      <c r="N188" t="s">
        <v>351</v>
      </c>
      <c r="O188" t="s">
        <v>303</v>
      </c>
      <c r="P188">
        <v>90</v>
      </c>
      <c r="Q188">
        <v>1935</v>
      </c>
      <c r="R188">
        <v>1971</v>
      </c>
      <c r="S188">
        <v>89</v>
      </c>
      <c r="T188">
        <v>53</v>
      </c>
      <c r="U188">
        <v>2</v>
      </c>
      <c r="V188">
        <v>975</v>
      </c>
      <c r="W188">
        <v>510</v>
      </c>
      <c r="X188">
        <v>0</v>
      </c>
      <c r="Y188">
        <v>978</v>
      </c>
      <c r="Z188">
        <v>489</v>
      </c>
      <c r="AA188">
        <v>489</v>
      </c>
      <c r="AB188">
        <v>1974</v>
      </c>
      <c r="AC188">
        <v>2000</v>
      </c>
      <c r="AD188">
        <v>0</v>
      </c>
      <c r="AE188" t="s">
        <v>174</v>
      </c>
      <c r="AF188" t="s">
        <v>383</v>
      </c>
      <c r="AG188" t="s">
        <v>175</v>
      </c>
      <c r="AH188" t="s">
        <v>65</v>
      </c>
      <c r="AI188">
        <v>0</v>
      </c>
      <c r="AJ188">
        <v>1</v>
      </c>
      <c r="AK188">
        <v>0</v>
      </c>
      <c r="AL188">
        <v>1</v>
      </c>
      <c r="AM188">
        <v>0</v>
      </c>
      <c r="AN188">
        <v>8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100</v>
      </c>
      <c r="AV188">
        <v>100</v>
      </c>
      <c r="AW188">
        <v>255103</v>
      </c>
      <c r="AX188">
        <v>193878</v>
      </c>
      <c r="AY188">
        <v>277</v>
      </c>
      <c r="AZ188">
        <v>277</v>
      </c>
      <c r="BA188">
        <v>0</v>
      </c>
      <c r="BB188">
        <v>0</v>
      </c>
      <c r="BC188" s="3">
        <v>45015</v>
      </c>
      <c r="BD188" t="s">
        <v>220</v>
      </c>
      <c r="BE188">
        <v>415000</v>
      </c>
      <c r="BF188">
        <v>406901</v>
      </c>
      <c r="BG188" t="s">
        <v>294</v>
      </c>
      <c r="BH188">
        <v>30</v>
      </c>
      <c r="BI188" t="s">
        <v>65</v>
      </c>
      <c r="BJ188" t="s">
        <v>450</v>
      </c>
      <c r="BK188">
        <v>354400</v>
      </c>
      <c r="BL188">
        <v>58400</v>
      </c>
      <c r="BM188">
        <v>296000</v>
      </c>
      <c r="BN188">
        <v>8099</v>
      </c>
      <c r="BO188">
        <v>0.85397590361445785</v>
      </c>
      <c r="BP188">
        <v>356640.92508724052</v>
      </c>
      <c r="BQ188">
        <v>376185.54553596064</v>
      </c>
      <c r="BR188" s="12">
        <f>(Sales[[#This Row],[DP1]]*Lookups!$B$59)+(Sales[[#This Row],[DP2]]*Lookups!$B$60)+(Sales[[#This Row],[DP3]]*Lookups!$B$61)</f>
        <v>-19544.620449890001</v>
      </c>
      <c r="BS188" s="12">
        <f>Lookups!$B$56*0</f>
        <v>0</v>
      </c>
      <c r="BT188" s="12">
        <f>Lookups!$B$56*1</f>
        <v>89850.625589999996</v>
      </c>
      <c r="BU188" s="12">
        <f>Lookups!$B$57*Sales[[#This Row],[LnAcres]]</f>
        <v>-50946.13867709865</v>
      </c>
      <c r="BV188" s="12">
        <f>VLOOKUP(Sales[[#This Row],[Qlty]],Lookups!$A$62:$E$75,2,FALSE)</f>
        <v>21557.329055999999</v>
      </c>
      <c r="BW188" s="12">
        <f>VLOOKUP(Sales[[#This Row],[Cnd]],Lookups!$A$76:$E$84,2,FALSE)</f>
        <v>197752.34721000001</v>
      </c>
      <c r="BX188" s="12">
        <f>Sales[[#This Row],[EffAge]]*Lookups!$B$85</f>
        <v>-11821.416826500001</v>
      </c>
      <c r="BY188" s="12">
        <f>Sales[[#This Row],[MainFn]]*Lookups!$B$86</f>
        <v>48173.453130075002</v>
      </c>
      <c r="BZ188" s="12">
        <f>Sales[[#This Row],[UpprFn]]*Lookups!$B$87</f>
        <v>22841.07565911</v>
      </c>
      <c r="CA188" s="12">
        <f>Sales[[#This Row],[AddFn]]*Lookups!$B$88</f>
        <v>0</v>
      </c>
      <c r="CB188" s="12">
        <f>Sales[[#This Row],[Bsmt]]*Lookups!$B$89</f>
        <v>28442.093551565998</v>
      </c>
      <c r="CC188" s="12">
        <f>Sales[[#This Row],[Fixtures]]*Lookups!$B$90</f>
        <v>30336.176841600001</v>
      </c>
      <c r="CD188" s="12">
        <f>Sales[[#This Row],[WdDeck]]*Lookups!$B$91</f>
        <v>0</v>
      </c>
      <c r="CE188" s="12">
        <f>SUM(Sales[[#This Row],[Days Prior Total]:[Mdl WdDeck]])</f>
        <v>356640.92508486228</v>
      </c>
      <c r="CF188" s="12">
        <f>ROUND(Sales[[#This Row],[25Det]],-2)</f>
        <v>8100</v>
      </c>
      <c r="CG188" s="12">
        <f>ROUND(SUM(Sales[[#This Row],[Mdl Qlty]:[Mdl WdDeck]])+Sales[[#This Row],[Mdl Res Intercept]]+Sales[[#This Row],[Days Prior Total]],-2)</f>
        <v>317700</v>
      </c>
      <c r="CH188" s="12">
        <f>ROUND(Sales[[#This Row],[Mdl Land Intercept]]+Sales[[#This Row],[Mdl LnAcres]],-2)</f>
        <v>38900</v>
      </c>
      <c r="CI188" s="12">
        <f>Sales[[#This Row],[Unadj Res Value]]+Sales[[#This Row],[Unadj Det Value]]+Sales[[#This Row],[Unadj Land Value]]</f>
        <v>364700</v>
      </c>
      <c r="CJ188" s="13">
        <f>Sales[[#This Row],[Unadj Total Value]]/Sales[[#This Row],[Price]]</f>
        <v>0.87879518072289153</v>
      </c>
      <c r="CK188" s="13">
        <f>(Sales[[#This Row],[Unadj Total Value]]-Sales[[#This Row],[24Final]])/Sales[[#This Row],[24Final]]</f>
        <v>2.9063205417607225E-2</v>
      </c>
      <c r="CL188">
        <f>VLOOKUP(Sales[[#This Row],[TNbhd]],Lookups!$Q$2:$T$4,4,FALSE)</f>
        <v>0.99970000000000003</v>
      </c>
      <c r="CM188">
        <f>VLOOKUP(Sales[[#This Row],[Qlty]],Lookups!$O$7:$R$21,4,FALSE)</f>
        <v>1.0067999999999999</v>
      </c>
      <c r="CN188">
        <f>VLOOKUP(Sales[[#This Row],[Cnd]],Lookups!$T$7:$W$16,4,FALSE)</f>
        <v>0.99650000000000005</v>
      </c>
      <c r="CO188">
        <f>VLOOKUP(Sales[[#This Row],[LivArea Range]],Lookups!$T$25:$W$37,4,FALSE)</f>
        <v>1.0093000000000001</v>
      </c>
      <c r="CP188">
        <f>VLOOKUP(Sales[[#This Row],[Decade]],Lookups!$O$25:$R$42,4,FALSE)</f>
        <v>0.98909999999999998</v>
      </c>
      <c r="CQ188">
        <f>Sales[[#This Row],[Nbhd Adj]]*0.95</f>
        <v>0.94971499999999998</v>
      </c>
      <c r="CR188">
        <f>Sales[[#This Row],[Nbhd Adj]]*Sales[[#This Row],[Quality Adj]]*Sales[[#This Row],[Condition Adj]]*Sales[[#This Row],[Living Area Adj]]*Sales[[#This Row],[Decade Adj]]*0.95</f>
        <v>0.95120534593507355</v>
      </c>
      <c r="CS188">
        <f>ROUND(SUM(Sales[[#This Row],[Mdl Qlty]:[Mdl WdDeck]])+Sales[[#This Row],[Mdl Res Intercept]]*Sales[[#This Row],[Res Adj ]],-2)</f>
        <v>337300</v>
      </c>
      <c r="CT188">
        <f>ROUND(Sales[[#This Row],[25Det]]*Sales[[#This Row],[Det/Nbhd Adj]],-2)</f>
        <v>7700</v>
      </c>
      <c r="CU188">
        <f>Sales[[#This Row],[Adjusted Res]]+Sales[[#This Row],[Adj Det ]]</f>
        <v>345000</v>
      </c>
      <c r="CV188">
        <f>ROUND((Sales[[#This Row],[Mdl Land Intercept]]+Sales[[#This Row],[Mdl LnAcres]])*Sales[[#This Row],[Det/Nbhd Adj]],-2)</f>
        <v>36900</v>
      </c>
      <c r="CW188">
        <f>Sales[[#This Row],[Adjusted Impr Total]]+Sales[[#This Row],[Adjusted Land Total]]</f>
        <v>381900</v>
      </c>
      <c r="CX188" s="15">
        <f>IFERROR((Sales[[#This Row],[Adjusted Impr Total]]-Sales[[#This Row],[24Bldg]])/Sales[[#This Row],[24Bldg]],0)</f>
        <v>0.16554054054054054</v>
      </c>
      <c r="CY188" s="15">
        <f>(Sales[[#This Row],[Adjusted Land Total]]-Sales[[#This Row],[24Lnd]])/Sales[[#This Row],[24Lnd]]</f>
        <v>-0.36815068493150682</v>
      </c>
      <c r="CZ188" s="15">
        <f>(Sales[[#This Row],[Adjusted Total]]-Sales[[#This Row],[24Final]])/Sales[[#This Row],[24Final]]</f>
        <v>7.759593679458239E-2</v>
      </c>
      <c r="DA188" s="15">
        <f>(Sales[[#This Row],[Adjusted Total]]+Sales[[#This Row],[Days Prior Total]])/Sales[[#This Row],[Price]]</f>
        <v>0.87314549289183141</v>
      </c>
    </row>
    <row r="189" spans="1:105" x14ac:dyDescent="0.3">
      <c r="A189">
        <v>2025</v>
      </c>
      <c r="B189">
        <v>18132323028</v>
      </c>
      <c r="C189">
        <v>-1.6094379124341003</v>
      </c>
      <c r="D189">
        <v>0.2</v>
      </c>
      <c r="E189">
        <v>8597</v>
      </c>
      <c r="F189">
        <v>6</v>
      </c>
      <c r="G189" t="s">
        <v>126</v>
      </c>
      <c r="H189">
        <v>3033</v>
      </c>
      <c r="I189" t="s">
        <v>349</v>
      </c>
      <c r="J189" t="s">
        <v>30</v>
      </c>
      <c r="K189">
        <v>11</v>
      </c>
      <c r="L189">
        <v>259</v>
      </c>
      <c r="M189" t="s">
        <v>147</v>
      </c>
      <c r="N189" t="s">
        <v>351</v>
      </c>
      <c r="O189" t="s">
        <v>303</v>
      </c>
      <c r="P189">
        <v>90</v>
      </c>
      <c r="Q189">
        <v>1935</v>
      </c>
      <c r="R189">
        <v>1973</v>
      </c>
      <c r="S189">
        <v>89</v>
      </c>
      <c r="T189">
        <v>51</v>
      </c>
      <c r="U189">
        <v>2</v>
      </c>
      <c r="V189">
        <v>1124</v>
      </c>
      <c r="W189">
        <v>384</v>
      </c>
      <c r="X189">
        <v>0</v>
      </c>
      <c r="Y189">
        <v>928</v>
      </c>
      <c r="Z189">
        <v>0</v>
      </c>
      <c r="AA189">
        <v>928</v>
      </c>
      <c r="AB189">
        <v>2436</v>
      </c>
      <c r="AC189">
        <v>2500</v>
      </c>
      <c r="AD189">
        <v>1</v>
      </c>
      <c r="AF189" t="s">
        <v>208</v>
      </c>
      <c r="AG189" t="s">
        <v>382</v>
      </c>
      <c r="AI189">
        <v>0</v>
      </c>
      <c r="AJ189">
        <v>0</v>
      </c>
      <c r="AK189">
        <v>2</v>
      </c>
      <c r="AL189">
        <v>1</v>
      </c>
      <c r="AM189">
        <v>1</v>
      </c>
      <c r="AN189">
        <v>11</v>
      </c>
      <c r="AO189">
        <v>448</v>
      </c>
      <c r="AP189">
        <v>0</v>
      </c>
      <c r="AQ189">
        <v>0</v>
      </c>
      <c r="AR189">
        <v>0</v>
      </c>
      <c r="AS189">
        <v>720</v>
      </c>
      <c r="AT189">
        <v>320</v>
      </c>
      <c r="AU189">
        <v>100</v>
      </c>
      <c r="AV189">
        <v>100</v>
      </c>
      <c r="AW189">
        <v>310840</v>
      </c>
      <c r="AX189">
        <v>242455</v>
      </c>
      <c r="AY189">
        <v>606</v>
      </c>
      <c r="AZ189">
        <v>365</v>
      </c>
      <c r="BA189">
        <v>241</v>
      </c>
      <c r="BB189">
        <v>0</v>
      </c>
      <c r="BC189" s="3">
        <v>44686</v>
      </c>
      <c r="BD189" t="s">
        <v>333</v>
      </c>
      <c r="BE189">
        <v>420000</v>
      </c>
      <c r="BF189">
        <v>413945</v>
      </c>
      <c r="BG189" t="s">
        <v>294</v>
      </c>
      <c r="BH189">
        <v>30</v>
      </c>
      <c r="BI189" t="s">
        <v>65</v>
      </c>
      <c r="BJ189" t="s">
        <v>450</v>
      </c>
      <c r="BK189">
        <v>379600</v>
      </c>
      <c r="BL189">
        <v>58400</v>
      </c>
      <c r="BM189">
        <v>321200</v>
      </c>
      <c r="BN189">
        <v>6055</v>
      </c>
      <c r="BO189">
        <v>0.90380952380952384</v>
      </c>
      <c r="BP189">
        <v>365286.11344308511</v>
      </c>
      <c r="BQ189">
        <v>388272.41082139988</v>
      </c>
      <c r="BR189" s="12">
        <f>(Sales[[#This Row],[DP1]]*Lookups!$B$59)+(Sales[[#This Row],[DP2]]*Lookups!$B$60)+(Sales[[#This Row],[DP3]]*Lookups!$B$61)</f>
        <v>-22986.297379918</v>
      </c>
      <c r="BS189" s="12">
        <f>Lookups!$B$56*0</f>
        <v>0</v>
      </c>
      <c r="BT189" s="12">
        <f>Lookups!$B$56*1</f>
        <v>89850.625589999996</v>
      </c>
      <c r="BU189" s="12">
        <f>Lookups!$B$57*Sales[[#This Row],[LnAcres]]</f>
        <v>-50946.13867709865</v>
      </c>
      <c r="BV189" s="12">
        <f>VLOOKUP(Sales[[#This Row],[Qlty]],Lookups!$A$62:$E$75,2,FALSE)</f>
        <v>21557.329055999999</v>
      </c>
      <c r="BW189" s="12">
        <f>VLOOKUP(Sales[[#This Row],[Cnd]],Lookups!$A$76:$E$84,2,FALSE)</f>
        <v>197752.34721000001</v>
      </c>
      <c r="BX189" s="12">
        <f>Sales[[#This Row],[EffAge]]*Lookups!$B$85</f>
        <v>-11375.3256255</v>
      </c>
      <c r="BY189" s="12">
        <f>Sales[[#This Row],[MainFn]]*Lookups!$B$86</f>
        <v>55535.344941748001</v>
      </c>
      <c r="BZ189" s="12">
        <f>Sales[[#This Row],[UpprFn]]*Lookups!$B$87</f>
        <v>17197.986378623998</v>
      </c>
      <c r="CA189" s="12">
        <f>Sales[[#This Row],[AddFn]]*Lookups!$B$88</f>
        <v>0</v>
      </c>
      <c r="CB189" s="12">
        <f>Sales[[#This Row],[Bsmt]]*Lookups!$B$89</f>
        <v>26987.998789215999</v>
      </c>
      <c r="CC189" s="12">
        <f>Sales[[#This Row],[Fixtures]]*Lookups!$B$90</f>
        <v>41712.243157199999</v>
      </c>
      <c r="CD189" s="12">
        <f>Sales[[#This Row],[WdDeck]]*Lookups!$B$91</f>
        <v>0</v>
      </c>
      <c r="CE189" s="12">
        <f>SUM(Sales[[#This Row],[Days Prior Total]:[Mdl WdDeck]])</f>
        <v>365286.11344027129</v>
      </c>
      <c r="CF189" s="12">
        <f>ROUND(Sales[[#This Row],[25Det]],-2)</f>
        <v>6100</v>
      </c>
      <c r="CG189" s="12">
        <f>ROUND(SUM(Sales[[#This Row],[Mdl Qlty]:[Mdl WdDeck]])+Sales[[#This Row],[Mdl Res Intercept]]+Sales[[#This Row],[Days Prior Total]],-2)</f>
        <v>326400</v>
      </c>
      <c r="CH189" s="12">
        <f>ROUND(Sales[[#This Row],[Mdl Land Intercept]]+Sales[[#This Row],[Mdl LnAcres]],-2)</f>
        <v>38900</v>
      </c>
      <c r="CI189" s="12">
        <f>Sales[[#This Row],[Unadj Res Value]]+Sales[[#This Row],[Unadj Det Value]]+Sales[[#This Row],[Unadj Land Value]]</f>
        <v>371400</v>
      </c>
      <c r="CJ189" s="13">
        <f>Sales[[#This Row],[Unadj Total Value]]/Sales[[#This Row],[Price]]</f>
        <v>0.88428571428571423</v>
      </c>
      <c r="CK189" s="13">
        <f>(Sales[[#This Row],[Unadj Total Value]]-Sales[[#This Row],[24Final]])/Sales[[#This Row],[24Final]]</f>
        <v>-2.1601685985247629E-2</v>
      </c>
      <c r="CL189">
        <f>VLOOKUP(Sales[[#This Row],[TNbhd]],Lookups!$Q$2:$T$4,4,FALSE)</f>
        <v>0.99970000000000003</v>
      </c>
      <c r="CM189">
        <f>VLOOKUP(Sales[[#This Row],[Qlty]],Lookups!$O$7:$R$21,4,FALSE)</f>
        <v>1.0067999999999999</v>
      </c>
      <c r="CN189">
        <f>VLOOKUP(Sales[[#This Row],[Cnd]],Lookups!$T$7:$W$16,4,FALSE)</f>
        <v>0.99650000000000005</v>
      </c>
      <c r="CO189">
        <f>VLOOKUP(Sales[[#This Row],[LivArea Range]],Lookups!$T$25:$W$37,4,FALSE)</f>
        <v>0.98919999999999997</v>
      </c>
      <c r="CP189">
        <f>VLOOKUP(Sales[[#This Row],[Decade]],Lookups!$O$25:$R$42,4,FALSE)</f>
        <v>0.98909999999999998</v>
      </c>
      <c r="CQ189">
        <f>Sales[[#This Row],[Nbhd Adj]]*0.95</f>
        <v>0.94971499999999998</v>
      </c>
      <c r="CR189">
        <f>Sales[[#This Row],[Nbhd Adj]]*Sales[[#This Row],[Quality Adj]]*Sales[[#This Row],[Condition Adj]]*Sales[[#This Row],[Living Area Adj]]*Sales[[#This Row],[Decade Adj]]*0.95</f>
        <v>0.9322622889120924</v>
      </c>
      <c r="CS189">
        <f>ROUND(SUM(Sales[[#This Row],[Mdl Qlty]:[Mdl WdDeck]])+Sales[[#This Row],[Mdl Res Intercept]]*Sales[[#This Row],[Res Adj ]],-2)</f>
        <v>349400</v>
      </c>
      <c r="CT189">
        <f>ROUND(Sales[[#This Row],[25Det]]*Sales[[#This Row],[Det/Nbhd Adj]],-2)</f>
        <v>5800</v>
      </c>
      <c r="CU189">
        <f>Sales[[#This Row],[Adjusted Res]]+Sales[[#This Row],[Adj Det ]]</f>
        <v>355200</v>
      </c>
      <c r="CV189">
        <f>ROUND((Sales[[#This Row],[Mdl Land Intercept]]+Sales[[#This Row],[Mdl LnAcres]])*Sales[[#This Row],[Det/Nbhd Adj]],-2)</f>
        <v>36900</v>
      </c>
      <c r="CW189">
        <f>Sales[[#This Row],[Adjusted Impr Total]]+Sales[[#This Row],[Adjusted Land Total]]</f>
        <v>392100</v>
      </c>
      <c r="CX189" s="15">
        <f>IFERROR((Sales[[#This Row],[Adjusted Impr Total]]-Sales[[#This Row],[24Bldg]])/Sales[[#This Row],[24Bldg]],0)</f>
        <v>0.10585305105853052</v>
      </c>
      <c r="CY189" s="15">
        <f>(Sales[[#This Row],[Adjusted Land Total]]-Sales[[#This Row],[24Lnd]])/Sales[[#This Row],[24Lnd]]</f>
        <v>-0.36815068493150682</v>
      </c>
      <c r="CZ189" s="15">
        <f>(Sales[[#This Row],[Adjusted Total]]-Sales[[#This Row],[24Final]])/Sales[[#This Row],[24Final]]</f>
        <v>3.2929399367755532E-2</v>
      </c>
      <c r="DA189" s="15">
        <f>(Sales[[#This Row],[Adjusted Total]]+Sales[[#This Row],[Days Prior Total]])/Sales[[#This Row],[Price]]</f>
        <v>0.87884214909543334</v>
      </c>
    </row>
    <row r="190" spans="1:105" x14ac:dyDescent="0.3">
      <c r="A190">
        <v>2025</v>
      </c>
      <c r="B190">
        <v>18132334520</v>
      </c>
      <c r="C190">
        <v>-1.8971199848858813</v>
      </c>
      <c r="D190">
        <v>0.15</v>
      </c>
      <c r="E190">
        <v>0</v>
      </c>
      <c r="F190">
        <v>6</v>
      </c>
      <c r="G190" t="s">
        <v>126</v>
      </c>
      <c r="H190">
        <v>3093</v>
      </c>
      <c r="I190" t="s">
        <v>349</v>
      </c>
      <c r="J190" t="s">
        <v>30</v>
      </c>
      <c r="K190">
        <v>11</v>
      </c>
      <c r="L190">
        <v>259</v>
      </c>
      <c r="M190" t="s">
        <v>242</v>
      </c>
      <c r="N190" t="s">
        <v>351</v>
      </c>
      <c r="O190" t="s">
        <v>303</v>
      </c>
      <c r="P190">
        <v>90</v>
      </c>
      <c r="Q190">
        <v>1935</v>
      </c>
      <c r="R190">
        <v>1971</v>
      </c>
      <c r="S190">
        <v>89</v>
      </c>
      <c r="T190">
        <v>53</v>
      </c>
      <c r="U190">
        <v>1</v>
      </c>
      <c r="V190">
        <v>1380</v>
      </c>
      <c r="W190">
        <v>0</v>
      </c>
      <c r="X190">
        <v>0</v>
      </c>
      <c r="Y190">
        <v>672</v>
      </c>
      <c r="Z190">
        <v>0</v>
      </c>
      <c r="AA190">
        <v>672</v>
      </c>
      <c r="AB190">
        <v>2052</v>
      </c>
      <c r="AC190">
        <v>2500</v>
      </c>
      <c r="AD190">
        <v>1</v>
      </c>
      <c r="AF190" t="s">
        <v>383</v>
      </c>
      <c r="AG190" t="s">
        <v>148</v>
      </c>
      <c r="AH190" t="s">
        <v>450</v>
      </c>
      <c r="AI190">
        <v>0</v>
      </c>
      <c r="AJ190">
        <v>1</v>
      </c>
      <c r="AK190">
        <v>0</v>
      </c>
      <c r="AL190">
        <v>1</v>
      </c>
      <c r="AM190">
        <v>0</v>
      </c>
      <c r="AN190">
        <v>9</v>
      </c>
      <c r="AO190">
        <v>276</v>
      </c>
      <c r="AP190">
        <v>0</v>
      </c>
      <c r="AQ190">
        <v>0</v>
      </c>
      <c r="AR190">
        <v>0</v>
      </c>
      <c r="AS190">
        <v>108</v>
      </c>
      <c r="AT190">
        <v>108</v>
      </c>
      <c r="AU190">
        <v>100</v>
      </c>
      <c r="AV190">
        <v>100</v>
      </c>
      <c r="AW190">
        <v>272115</v>
      </c>
      <c r="AX190">
        <v>206807</v>
      </c>
      <c r="AY190">
        <v>887</v>
      </c>
      <c r="AZ190">
        <v>365</v>
      </c>
      <c r="BA190">
        <v>365</v>
      </c>
      <c r="BB190">
        <v>157</v>
      </c>
      <c r="BC190" s="3">
        <v>44405</v>
      </c>
      <c r="BD190" t="s">
        <v>130</v>
      </c>
      <c r="BE190">
        <v>355000</v>
      </c>
      <c r="BF190">
        <v>355000</v>
      </c>
      <c r="BG190" t="s">
        <v>294</v>
      </c>
      <c r="BH190">
        <v>30</v>
      </c>
      <c r="BI190" t="s">
        <v>65</v>
      </c>
      <c r="BJ190" t="s">
        <v>450</v>
      </c>
      <c r="BK190">
        <v>335800</v>
      </c>
      <c r="BL190">
        <v>48400</v>
      </c>
      <c r="BM190">
        <v>287400</v>
      </c>
      <c r="BN190">
        <v>0</v>
      </c>
      <c r="BO190">
        <v>0.94591549295774646</v>
      </c>
      <c r="BP190">
        <v>316584.78486267931</v>
      </c>
      <c r="BQ190">
        <v>359141.47787746432</v>
      </c>
      <c r="BR190" s="12">
        <f>(Sales[[#This Row],[DP1]]*Lookups!$B$59)+(Sales[[#This Row],[DP2]]*Lookups!$B$60)+(Sales[[#This Row],[DP3]]*Lookups!$B$61)</f>
        <v>-42556.693020370003</v>
      </c>
      <c r="BS190" s="12">
        <f>Lookups!$B$56*0</f>
        <v>0</v>
      </c>
      <c r="BT190" s="12">
        <f>Lookups!$B$56*1</f>
        <v>89850.625589999996</v>
      </c>
      <c r="BU190" s="12">
        <f>Lookups!$B$57*Sales[[#This Row],[LnAcres]]</f>
        <v>-60052.604136134301</v>
      </c>
      <c r="BV190" s="12">
        <f>VLOOKUP(Sales[[#This Row],[Qlty]],Lookups!$A$62:$E$75,2,FALSE)</f>
        <v>21557.329055999999</v>
      </c>
      <c r="BW190" s="12">
        <f>VLOOKUP(Sales[[#This Row],[Cnd]],Lookups!$A$76:$E$84,2,FALSE)</f>
        <v>197752.34721000001</v>
      </c>
      <c r="BX190" s="12">
        <f>Sales[[#This Row],[EffAge]]*Lookups!$B$85</f>
        <v>-11821.416826500001</v>
      </c>
      <c r="BY190" s="12">
        <f>Sales[[#This Row],[MainFn]]*Lookups!$B$86</f>
        <v>68183.964430260006</v>
      </c>
      <c r="BZ190" s="12">
        <f>Sales[[#This Row],[UpprFn]]*Lookups!$B$87</f>
        <v>0</v>
      </c>
      <c r="CA190" s="12">
        <f>Sales[[#This Row],[AddFn]]*Lookups!$B$88</f>
        <v>0</v>
      </c>
      <c r="CB190" s="12">
        <f>Sales[[#This Row],[Bsmt]]*Lookups!$B$89</f>
        <v>19543.033605983997</v>
      </c>
      <c r="CC190" s="12">
        <f>Sales[[#This Row],[Fixtures]]*Lookups!$B$90</f>
        <v>34128.198946800003</v>
      </c>
      <c r="CD190" s="12">
        <f>Sales[[#This Row],[WdDeck]]*Lookups!$B$91</f>
        <v>0</v>
      </c>
      <c r="CE190" s="12">
        <f>SUM(Sales[[#This Row],[Days Prior Total]:[Mdl WdDeck]])</f>
        <v>316584.78485603974</v>
      </c>
      <c r="CF190" s="12">
        <f>ROUND(Sales[[#This Row],[25Det]],-2)</f>
        <v>0</v>
      </c>
      <c r="CG190" s="12">
        <f>ROUND(SUM(Sales[[#This Row],[Mdl Qlty]:[Mdl WdDeck]])+Sales[[#This Row],[Mdl Res Intercept]]+Sales[[#This Row],[Days Prior Total]],-2)</f>
        <v>286800</v>
      </c>
      <c r="CH190" s="12">
        <f>ROUND(Sales[[#This Row],[Mdl Land Intercept]]+Sales[[#This Row],[Mdl LnAcres]],-2)</f>
        <v>29800</v>
      </c>
      <c r="CI190" s="12">
        <f>Sales[[#This Row],[Unadj Res Value]]+Sales[[#This Row],[Unadj Det Value]]+Sales[[#This Row],[Unadj Land Value]]</f>
        <v>316600</v>
      </c>
      <c r="CJ190" s="13">
        <f>Sales[[#This Row],[Unadj Total Value]]/Sales[[#This Row],[Price]]</f>
        <v>0.89183098591549292</v>
      </c>
      <c r="CK190" s="13">
        <f>(Sales[[#This Row],[Unadj Total Value]]-Sales[[#This Row],[24Final]])/Sales[[#This Row],[24Final]]</f>
        <v>-5.7176891006551517E-2</v>
      </c>
      <c r="CL190">
        <f>VLOOKUP(Sales[[#This Row],[TNbhd]],Lookups!$Q$2:$T$4,4,FALSE)</f>
        <v>0.99970000000000003</v>
      </c>
      <c r="CM190">
        <f>VLOOKUP(Sales[[#This Row],[Qlty]],Lookups!$O$7:$R$21,4,FALSE)</f>
        <v>1.0067999999999999</v>
      </c>
      <c r="CN190">
        <f>VLOOKUP(Sales[[#This Row],[Cnd]],Lookups!$T$7:$W$16,4,FALSE)</f>
        <v>0.99650000000000005</v>
      </c>
      <c r="CO190">
        <f>VLOOKUP(Sales[[#This Row],[LivArea Range]],Lookups!$T$25:$W$37,4,FALSE)</f>
        <v>0.98919999999999997</v>
      </c>
      <c r="CP190">
        <f>VLOOKUP(Sales[[#This Row],[Decade]],Lookups!$O$25:$R$42,4,FALSE)</f>
        <v>0.98909999999999998</v>
      </c>
      <c r="CQ190">
        <f>Sales[[#This Row],[Nbhd Adj]]*0.95</f>
        <v>0.94971499999999998</v>
      </c>
      <c r="CR190">
        <f>Sales[[#This Row],[Nbhd Adj]]*Sales[[#This Row],[Quality Adj]]*Sales[[#This Row],[Condition Adj]]*Sales[[#This Row],[Living Area Adj]]*Sales[[#This Row],[Decade Adj]]*0.95</f>
        <v>0.9322622889120924</v>
      </c>
      <c r="CS190">
        <f>ROUND(SUM(Sales[[#This Row],[Mdl Qlty]:[Mdl WdDeck]])+Sales[[#This Row],[Mdl Res Intercept]]*Sales[[#This Row],[Res Adj ]],-2)</f>
        <v>329300</v>
      </c>
      <c r="CT190">
        <f>ROUND(Sales[[#This Row],[25Det]]*Sales[[#This Row],[Det/Nbhd Adj]],-2)</f>
        <v>0</v>
      </c>
      <c r="CU190">
        <f>Sales[[#This Row],[Adjusted Res]]+Sales[[#This Row],[Adj Det ]]</f>
        <v>329300</v>
      </c>
      <c r="CV190">
        <f>ROUND((Sales[[#This Row],[Mdl Land Intercept]]+Sales[[#This Row],[Mdl LnAcres]])*Sales[[#This Row],[Det/Nbhd Adj]],-2)</f>
        <v>28300</v>
      </c>
      <c r="CW190">
        <f>Sales[[#This Row],[Adjusted Impr Total]]+Sales[[#This Row],[Adjusted Land Total]]</f>
        <v>357600</v>
      </c>
      <c r="CX190" s="15">
        <f>IFERROR((Sales[[#This Row],[Adjusted Impr Total]]-Sales[[#This Row],[24Bldg]])/Sales[[#This Row],[24Bldg]],0)</f>
        <v>0.14578983994432845</v>
      </c>
      <c r="CY190" s="15">
        <f>(Sales[[#This Row],[Adjusted Land Total]]-Sales[[#This Row],[24Lnd]])/Sales[[#This Row],[24Lnd]]</f>
        <v>-0.41528925619834711</v>
      </c>
      <c r="CZ190" s="15">
        <f>(Sales[[#This Row],[Adjusted Total]]-Sales[[#This Row],[24Final]])/Sales[[#This Row],[24Final]]</f>
        <v>6.4919594997022032E-2</v>
      </c>
      <c r="DA190" s="15">
        <f>(Sales[[#This Row],[Adjusted Total]]+Sales[[#This Row],[Days Prior Total]])/Sales[[#This Row],[Price]]</f>
        <v>0.88744593515388737</v>
      </c>
    </row>
    <row r="191" spans="1:105" x14ac:dyDescent="0.3">
      <c r="A191">
        <v>2025</v>
      </c>
      <c r="B191">
        <v>18132334415</v>
      </c>
      <c r="C191">
        <v>-1.8971199848858813</v>
      </c>
      <c r="D191">
        <v>0.15</v>
      </c>
      <c r="E191">
        <v>0</v>
      </c>
      <c r="F191">
        <v>6</v>
      </c>
      <c r="G191" t="s">
        <v>126</v>
      </c>
      <c r="H191">
        <v>3093</v>
      </c>
      <c r="I191" t="s">
        <v>349</v>
      </c>
      <c r="J191" t="s">
        <v>30</v>
      </c>
      <c r="K191">
        <v>11</v>
      </c>
      <c r="L191">
        <v>259</v>
      </c>
      <c r="M191" t="s">
        <v>242</v>
      </c>
      <c r="N191" t="s">
        <v>302</v>
      </c>
      <c r="O191" t="s">
        <v>303</v>
      </c>
      <c r="P191">
        <v>90</v>
      </c>
      <c r="Q191">
        <v>1935</v>
      </c>
      <c r="R191">
        <v>1971</v>
      </c>
      <c r="S191">
        <v>89</v>
      </c>
      <c r="T191">
        <v>53</v>
      </c>
      <c r="U191">
        <v>1</v>
      </c>
      <c r="V191">
        <v>1395</v>
      </c>
      <c r="W191">
        <v>0</v>
      </c>
      <c r="X191">
        <v>0</v>
      </c>
      <c r="Y191">
        <v>1395</v>
      </c>
      <c r="Z191">
        <v>0</v>
      </c>
      <c r="AA191">
        <v>1395</v>
      </c>
      <c r="AB191">
        <v>2790</v>
      </c>
      <c r="AC191">
        <v>3000</v>
      </c>
      <c r="AD191">
        <v>0</v>
      </c>
      <c r="AF191" t="s">
        <v>383</v>
      </c>
      <c r="AG191" t="s">
        <v>148</v>
      </c>
      <c r="AH191" t="s">
        <v>450</v>
      </c>
      <c r="AI191">
        <v>0</v>
      </c>
      <c r="AJ191">
        <v>2</v>
      </c>
      <c r="AK191">
        <v>0</v>
      </c>
      <c r="AL191">
        <v>0</v>
      </c>
      <c r="AM191">
        <v>0</v>
      </c>
      <c r="AN191">
        <v>8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100</v>
      </c>
      <c r="AV191">
        <v>100</v>
      </c>
      <c r="AW191">
        <v>377671</v>
      </c>
      <c r="AX191">
        <v>287030</v>
      </c>
      <c r="AY191">
        <v>854</v>
      </c>
      <c r="AZ191">
        <v>365</v>
      </c>
      <c r="BA191">
        <v>365</v>
      </c>
      <c r="BB191">
        <v>124</v>
      </c>
      <c r="BC191" s="3">
        <v>44438</v>
      </c>
      <c r="BD191" t="s">
        <v>259</v>
      </c>
      <c r="BE191">
        <v>401200</v>
      </c>
      <c r="BF191">
        <v>389401</v>
      </c>
      <c r="BG191" t="s">
        <v>294</v>
      </c>
      <c r="BH191">
        <v>30</v>
      </c>
      <c r="BI191" t="s">
        <v>65</v>
      </c>
      <c r="BJ191" t="s">
        <v>450</v>
      </c>
      <c r="BK191">
        <v>380600</v>
      </c>
      <c r="BL191">
        <v>48400</v>
      </c>
      <c r="BM191">
        <v>332200</v>
      </c>
      <c r="BN191">
        <v>11799</v>
      </c>
      <c r="BO191">
        <v>0.94865403788634095</v>
      </c>
      <c r="BP191">
        <v>347229.68369923905</v>
      </c>
      <c r="BQ191">
        <v>385373.56018915435</v>
      </c>
      <c r="BR191" s="12">
        <f>(Sales[[#This Row],[DP1]]*Lookups!$B$59)+(Sales[[#This Row],[DP2]]*Lookups!$B$60)+(Sales[[#This Row],[DP3]]*Lookups!$B$61)</f>
        <v>-38143.876494670003</v>
      </c>
      <c r="BS191" s="12">
        <f>Lookups!$B$56*0</f>
        <v>0</v>
      </c>
      <c r="BT191" s="12">
        <f>Lookups!$B$56*1</f>
        <v>89850.625589999996</v>
      </c>
      <c r="BU191" s="12">
        <f>Lookups!$B$57*Sales[[#This Row],[LnAcres]]</f>
        <v>-60052.604136134301</v>
      </c>
      <c r="BV191" s="12">
        <f>VLOOKUP(Sales[[#This Row],[Qlty]],Lookups!$A$62:$E$75,2,FALSE)</f>
        <v>29814.093161000001</v>
      </c>
      <c r="BW191" s="12">
        <f>VLOOKUP(Sales[[#This Row],[Cnd]],Lookups!$A$76:$E$84,2,FALSE)</f>
        <v>197752.34721000001</v>
      </c>
      <c r="BX191" s="12">
        <f>Sales[[#This Row],[EffAge]]*Lookups!$B$85</f>
        <v>-11821.416826500001</v>
      </c>
      <c r="BY191" s="12">
        <f>Sales[[#This Row],[MainFn]]*Lookups!$B$86</f>
        <v>68925.094478415005</v>
      </c>
      <c r="BZ191" s="12">
        <f>Sales[[#This Row],[UpprFn]]*Lookups!$B$87</f>
        <v>0</v>
      </c>
      <c r="CA191" s="12">
        <f>Sales[[#This Row],[AddFn]]*Lookups!$B$88</f>
        <v>0</v>
      </c>
      <c r="CB191" s="12">
        <f>Sales[[#This Row],[Bsmt]]*Lookups!$B$89</f>
        <v>40569.243869564998</v>
      </c>
      <c r="CC191" s="12">
        <f>Sales[[#This Row],[Fixtures]]*Lookups!$B$90</f>
        <v>30336.176841600001</v>
      </c>
      <c r="CD191" s="12">
        <f>Sales[[#This Row],[WdDeck]]*Lookups!$B$91</f>
        <v>0</v>
      </c>
      <c r="CE191" s="12">
        <f>SUM(Sales[[#This Row],[Days Prior Total]:[Mdl WdDeck]])</f>
        <v>347229.68369327573</v>
      </c>
      <c r="CF191" s="12">
        <f>ROUND(Sales[[#This Row],[25Det]],-2)</f>
        <v>11800</v>
      </c>
      <c r="CG191" s="12">
        <f>ROUND(SUM(Sales[[#This Row],[Mdl Qlty]:[Mdl WdDeck]])+Sales[[#This Row],[Mdl Res Intercept]]+Sales[[#This Row],[Days Prior Total]],-2)</f>
        <v>317400</v>
      </c>
      <c r="CH191" s="12">
        <f>ROUND(Sales[[#This Row],[Mdl Land Intercept]]+Sales[[#This Row],[Mdl LnAcres]],-2)</f>
        <v>29800</v>
      </c>
      <c r="CI191" s="12">
        <f>Sales[[#This Row],[Unadj Res Value]]+Sales[[#This Row],[Unadj Det Value]]+Sales[[#This Row],[Unadj Land Value]]</f>
        <v>359000</v>
      </c>
      <c r="CJ191" s="13">
        <f>Sales[[#This Row],[Unadj Total Value]]/Sales[[#This Row],[Price]]</f>
        <v>0.89481555333998009</v>
      </c>
      <c r="CK191" s="13">
        <f>(Sales[[#This Row],[Unadj Total Value]]-Sales[[#This Row],[24Final]])/Sales[[#This Row],[24Final]]</f>
        <v>-5.6752496058854442E-2</v>
      </c>
      <c r="CL191">
        <f>VLOOKUP(Sales[[#This Row],[TNbhd]],Lookups!$Q$2:$T$4,4,FALSE)</f>
        <v>0.99970000000000003</v>
      </c>
      <c r="CM191">
        <f>VLOOKUP(Sales[[#This Row],[Qlty]],Lookups!$O$7:$R$21,4,FALSE)</f>
        <v>1.0088999999999999</v>
      </c>
      <c r="CN191">
        <f>VLOOKUP(Sales[[#This Row],[Cnd]],Lookups!$T$7:$W$16,4,FALSE)</f>
        <v>0.99650000000000005</v>
      </c>
      <c r="CO191">
        <f>VLOOKUP(Sales[[#This Row],[LivArea Range]],Lookups!$T$25:$W$37,4,FALSE)</f>
        <v>0.96179999999999999</v>
      </c>
      <c r="CP191">
        <f>VLOOKUP(Sales[[#This Row],[Decade]],Lookups!$O$25:$R$42,4,FALSE)</f>
        <v>0.98909999999999998</v>
      </c>
      <c r="CQ191">
        <f>Sales[[#This Row],[Nbhd Adj]]*0.95</f>
        <v>0.94971499999999998</v>
      </c>
      <c r="CR191">
        <f>Sales[[#This Row],[Nbhd Adj]]*Sales[[#This Row],[Quality Adj]]*Sales[[#This Row],[Condition Adj]]*Sales[[#This Row],[Living Area Adj]]*Sales[[#This Row],[Decade Adj]]*0.95</f>
        <v>0.90833008140076499</v>
      </c>
      <c r="CS191">
        <f>ROUND(SUM(Sales[[#This Row],[Mdl Qlty]:[Mdl WdDeck]])+Sales[[#This Row],[Mdl Res Intercept]]*Sales[[#This Row],[Res Adj ]],-2)</f>
        <v>355600</v>
      </c>
      <c r="CT191">
        <f>ROUND(Sales[[#This Row],[25Det]]*Sales[[#This Row],[Det/Nbhd Adj]],-2)</f>
        <v>11200</v>
      </c>
      <c r="CU191">
        <f>Sales[[#This Row],[Adjusted Res]]+Sales[[#This Row],[Adj Det ]]</f>
        <v>366800</v>
      </c>
      <c r="CV191">
        <f>ROUND((Sales[[#This Row],[Mdl Land Intercept]]+Sales[[#This Row],[Mdl LnAcres]])*Sales[[#This Row],[Det/Nbhd Adj]],-2)</f>
        <v>28300</v>
      </c>
      <c r="CW191">
        <f>Sales[[#This Row],[Adjusted Impr Total]]+Sales[[#This Row],[Adjusted Land Total]]</f>
        <v>395100</v>
      </c>
      <c r="CX191" s="15">
        <f>IFERROR((Sales[[#This Row],[Adjusted Impr Total]]-Sales[[#This Row],[24Bldg]])/Sales[[#This Row],[24Bldg]],0)</f>
        <v>0.10415412402167369</v>
      </c>
      <c r="CY191" s="15">
        <f>(Sales[[#This Row],[Adjusted Land Total]]-Sales[[#This Row],[24Lnd]])/Sales[[#This Row],[24Lnd]]</f>
        <v>-0.41528925619834711</v>
      </c>
      <c r="CZ191" s="15">
        <f>(Sales[[#This Row],[Adjusted Total]]-Sales[[#This Row],[24Final]])/Sales[[#This Row],[24Final]]</f>
        <v>3.8097740409879136E-2</v>
      </c>
      <c r="DA191" s="15">
        <f>(Sales[[#This Row],[Adjusted Total]]+Sales[[#This Row],[Days Prior Total]])/Sales[[#This Row],[Price]]</f>
        <v>0.88972114532734303</v>
      </c>
    </row>
    <row r="192" spans="1:105" x14ac:dyDescent="0.3">
      <c r="A192">
        <v>2025</v>
      </c>
      <c r="B192">
        <v>18132331499</v>
      </c>
      <c r="C192">
        <v>-1.8971199848858813</v>
      </c>
      <c r="D192">
        <v>0.15</v>
      </c>
      <c r="E192">
        <v>0</v>
      </c>
      <c r="F192">
        <v>6</v>
      </c>
      <c r="G192" t="s">
        <v>126</v>
      </c>
      <c r="H192">
        <v>3032</v>
      </c>
      <c r="I192" t="s">
        <v>349</v>
      </c>
      <c r="J192" t="s">
        <v>30</v>
      </c>
      <c r="K192">
        <v>11</v>
      </c>
      <c r="L192">
        <v>259</v>
      </c>
      <c r="M192" t="s">
        <v>242</v>
      </c>
      <c r="N192" t="s">
        <v>302</v>
      </c>
      <c r="O192" t="s">
        <v>323</v>
      </c>
      <c r="P192">
        <v>90</v>
      </c>
      <c r="Q192">
        <v>1935</v>
      </c>
      <c r="R192">
        <v>1971</v>
      </c>
      <c r="S192">
        <v>89</v>
      </c>
      <c r="T192">
        <v>53</v>
      </c>
      <c r="U192">
        <v>1</v>
      </c>
      <c r="V192">
        <v>1443</v>
      </c>
      <c r="W192">
        <v>0</v>
      </c>
      <c r="X192">
        <v>0</v>
      </c>
      <c r="Y192">
        <v>859</v>
      </c>
      <c r="Z192">
        <v>0</v>
      </c>
      <c r="AA192">
        <v>859</v>
      </c>
      <c r="AB192">
        <v>2302</v>
      </c>
      <c r="AC192">
        <v>2500</v>
      </c>
      <c r="AD192">
        <v>0</v>
      </c>
      <c r="AF192" t="s">
        <v>383</v>
      </c>
      <c r="AG192" t="s">
        <v>148</v>
      </c>
      <c r="AH192" t="s">
        <v>450</v>
      </c>
      <c r="AI192">
        <v>0</v>
      </c>
      <c r="AJ192">
        <v>1</v>
      </c>
      <c r="AK192">
        <v>0</v>
      </c>
      <c r="AL192">
        <v>1</v>
      </c>
      <c r="AM192">
        <v>0</v>
      </c>
      <c r="AN192">
        <v>10</v>
      </c>
      <c r="AO192">
        <v>0</v>
      </c>
      <c r="AP192">
        <v>0</v>
      </c>
      <c r="AQ192">
        <v>0</v>
      </c>
      <c r="AR192">
        <v>0</v>
      </c>
      <c r="AS192">
        <v>304</v>
      </c>
      <c r="AT192">
        <v>0</v>
      </c>
      <c r="AU192">
        <v>100</v>
      </c>
      <c r="AV192">
        <v>100</v>
      </c>
      <c r="AW192">
        <v>313452</v>
      </c>
      <c r="AX192">
        <v>213147</v>
      </c>
      <c r="AY192">
        <v>957</v>
      </c>
      <c r="AZ192">
        <v>365</v>
      </c>
      <c r="BA192">
        <v>365</v>
      </c>
      <c r="BB192">
        <v>227</v>
      </c>
      <c r="BC192" s="3">
        <v>44335</v>
      </c>
      <c r="BD192" t="s">
        <v>157</v>
      </c>
      <c r="BE192">
        <v>329900</v>
      </c>
      <c r="BF192">
        <v>324606</v>
      </c>
      <c r="BG192" t="s">
        <v>294</v>
      </c>
      <c r="BH192">
        <v>30</v>
      </c>
      <c r="BI192" t="s">
        <v>65</v>
      </c>
      <c r="BJ192" t="s">
        <v>450</v>
      </c>
      <c r="BK192">
        <v>342900</v>
      </c>
      <c r="BL192">
        <v>48400</v>
      </c>
      <c r="BM192">
        <v>294500</v>
      </c>
      <c r="BN192">
        <v>5294</v>
      </c>
      <c r="BO192">
        <v>1.0394058805698696</v>
      </c>
      <c r="BP192">
        <v>290543.96776285209</v>
      </c>
      <c r="BQ192">
        <v>342461.18067887594</v>
      </c>
      <c r="BR192" s="12">
        <f>(Sales[[#This Row],[DP1]]*Lookups!$B$59)+(Sales[[#This Row],[DP2]]*Lookups!$B$60)+(Sales[[#This Row],[DP3]]*Lookups!$B$61)</f>
        <v>-51917.212923370003</v>
      </c>
      <c r="BS192" s="12">
        <f>Lookups!$B$56*0</f>
        <v>0</v>
      </c>
      <c r="BT192" s="12">
        <f>Lookups!$B$56*1</f>
        <v>89850.625589999996</v>
      </c>
      <c r="BU192" s="12">
        <f>Lookups!$B$57*Sales[[#This Row],[LnAcres]]</f>
        <v>-60052.604136134301</v>
      </c>
      <c r="BV192" s="12">
        <f>VLOOKUP(Sales[[#This Row],[Qlty]],Lookups!$A$62:$E$75,2,FALSE)</f>
        <v>29814.093161000001</v>
      </c>
      <c r="BW192" s="12">
        <f>VLOOKUP(Sales[[#This Row],[Cnd]],Lookups!$A$76:$E$84,2,FALSE)</f>
        <v>160472.20319</v>
      </c>
      <c r="BX192" s="12">
        <f>Sales[[#This Row],[EffAge]]*Lookups!$B$85</f>
        <v>-11821.416826500001</v>
      </c>
      <c r="BY192" s="12">
        <f>Sales[[#This Row],[MainFn]]*Lookups!$B$86</f>
        <v>71296.710632511007</v>
      </c>
      <c r="BZ192" s="12">
        <f>Sales[[#This Row],[UpprFn]]*Lookups!$B$87</f>
        <v>0</v>
      </c>
      <c r="CA192" s="12">
        <f>Sales[[#This Row],[AddFn]]*Lookups!$B$88</f>
        <v>0</v>
      </c>
      <c r="CB192" s="12">
        <f>Sales[[#This Row],[Bsmt]]*Lookups!$B$89</f>
        <v>24981.348017172997</v>
      </c>
      <c r="CC192" s="12">
        <f>Sales[[#This Row],[Fixtures]]*Lookups!$B$90</f>
        <v>37920.221052000001</v>
      </c>
      <c r="CD192" s="12">
        <f>Sales[[#This Row],[WdDeck]]*Lookups!$B$91</f>
        <v>0</v>
      </c>
      <c r="CE192" s="12">
        <f>SUM(Sales[[#This Row],[Days Prior Total]:[Mdl WdDeck]])</f>
        <v>290543.96775667969</v>
      </c>
      <c r="CF192" s="12">
        <f>ROUND(Sales[[#This Row],[25Det]],-2)</f>
        <v>5300</v>
      </c>
      <c r="CG192" s="12">
        <f>ROUND(SUM(Sales[[#This Row],[Mdl Qlty]:[Mdl WdDeck]])+Sales[[#This Row],[Mdl Res Intercept]]+Sales[[#This Row],[Days Prior Total]],-2)</f>
        <v>260700</v>
      </c>
      <c r="CH192" s="12">
        <f>ROUND(Sales[[#This Row],[Mdl Land Intercept]]+Sales[[#This Row],[Mdl LnAcres]],-2)</f>
        <v>29800</v>
      </c>
      <c r="CI192" s="12">
        <f>Sales[[#This Row],[Unadj Res Value]]+Sales[[#This Row],[Unadj Det Value]]+Sales[[#This Row],[Unadj Land Value]]</f>
        <v>295800</v>
      </c>
      <c r="CJ192" s="13">
        <f>Sales[[#This Row],[Unadj Total Value]]/Sales[[#This Row],[Price]]</f>
        <v>0.89663534404364964</v>
      </c>
      <c r="CK192" s="13">
        <f>(Sales[[#This Row],[Unadj Total Value]]-Sales[[#This Row],[24Final]])/Sales[[#This Row],[24Final]]</f>
        <v>-0.13735783027121609</v>
      </c>
      <c r="CL192">
        <f>VLOOKUP(Sales[[#This Row],[TNbhd]],Lookups!$Q$2:$T$4,4,FALSE)</f>
        <v>0.99970000000000003</v>
      </c>
      <c r="CM192">
        <f>VLOOKUP(Sales[[#This Row],[Qlty]],Lookups!$O$7:$R$21,4,FALSE)</f>
        <v>1.0088999999999999</v>
      </c>
      <c r="CN192">
        <f>VLOOKUP(Sales[[#This Row],[Cnd]],Lookups!$T$7:$W$16,4,FALSE)</f>
        <v>0.99729999999999996</v>
      </c>
      <c r="CO192">
        <f>VLOOKUP(Sales[[#This Row],[LivArea Range]],Lookups!$T$25:$W$37,4,FALSE)</f>
        <v>0.98919999999999997</v>
      </c>
      <c r="CP192">
        <f>VLOOKUP(Sales[[#This Row],[Decade]],Lookups!$O$25:$R$42,4,FALSE)</f>
        <v>0.98909999999999998</v>
      </c>
      <c r="CQ192">
        <f>Sales[[#This Row],[Nbhd Adj]]*0.95</f>
        <v>0.94971499999999998</v>
      </c>
      <c r="CR192">
        <f>Sales[[#This Row],[Nbhd Adj]]*Sales[[#This Row],[Quality Adj]]*Sales[[#This Row],[Condition Adj]]*Sales[[#This Row],[Living Area Adj]]*Sales[[#This Row],[Decade Adj]]*0.95</f>
        <v>0.93495680734831033</v>
      </c>
      <c r="CS192">
        <f>ROUND(SUM(Sales[[#This Row],[Mdl Qlty]:[Mdl WdDeck]])+Sales[[#This Row],[Mdl Res Intercept]]*Sales[[#This Row],[Res Adj ]],-2)</f>
        <v>312700</v>
      </c>
      <c r="CT192">
        <f>ROUND(Sales[[#This Row],[25Det]]*Sales[[#This Row],[Det/Nbhd Adj]],-2)</f>
        <v>5000</v>
      </c>
      <c r="CU192">
        <f>Sales[[#This Row],[Adjusted Res]]+Sales[[#This Row],[Adj Det ]]</f>
        <v>317700</v>
      </c>
      <c r="CV192">
        <f>ROUND((Sales[[#This Row],[Mdl Land Intercept]]+Sales[[#This Row],[Mdl LnAcres]])*Sales[[#This Row],[Det/Nbhd Adj]],-2)</f>
        <v>28300</v>
      </c>
      <c r="CW192">
        <f>Sales[[#This Row],[Adjusted Impr Total]]+Sales[[#This Row],[Adjusted Land Total]]</f>
        <v>346000</v>
      </c>
      <c r="CX192" s="15">
        <f>IFERROR((Sales[[#This Row],[Adjusted Impr Total]]-Sales[[#This Row],[24Bldg]])/Sales[[#This Row],[24Bldg]],0)</f>
        <v>7.8777589134125636E-2</v>
      </c>
      <c r="CY192" s="15">
        <f>(Sales[[#This Row],[Adjusted Land Total]]-Sales[[#This Row],[24Lnd]])/Sales[[#This Row],[24Lnd]]</f>
        <v>-0.41528925619834711</v>
      </c>
      <c r="CZ192" s="15">
        <f>(Sales[[#This Row],[Adjusted Total]]-Sales[[#This Row],[24Final]])/Sales[[#This Row],[24Final]]</f>
        <v>9.0405365995917183E-3</v>
      </c>
      <c r="DA192" s="15">
        <f>(Sales[[#This Row],[Adjusted Total]]+Sales[[#This Row],[Days Prior Total]])/Sales[[#This Row],[Price]]</f>
        <v>0.89143009116892991</v>
      </c>
    </row>
    <row r="193" spans="1:105" x14ac:dyDescent="0.3">
      <c r="A193">
        <v>2025</v>
      </c>
      <c r="B193">
        <v>18132331491</v>
      </c>
      <c r="C193">
        <v>-1.8325814637483102</v>
      </c>
      <c r="D193">
        <v>0.16</v>
      </c>
      <c r="E193">
        <v>0</v>
      </c>
      <c r="F193">
        <v>6</v>
      </c>
      <c r="G193" t="s">
        <v>126</v>
      </c>
      <c r="H193">
        <v>3032</v>
      </c>
      <c r="I193" t="s">
        <v>349</v>
      </c>
      <c r="J193" t="s">
        <v>30</v>
      </c>
      <c r="K193">
        <v>11</v>
      </c>
      <c r="L193">
        <v>259</v>
      </c>
      <c r="M193" t="s">
        <v>147</v>
      </c>
      <c r="N193" t="s">
        <v>95</v>
      </c>
      <c r="O193" t="s">
        <v>352</v>
      </c>
      <c r="P193">
        <v>90</v>
      </c>
      <c r="Q193">
        <v>1935</v>
      </c>
      <c r="R193">
        <v>1971</v>
      </c>
      <c r="S193">
        <v>89</v>
      </c>
      <c r="T193">
        <v>53</v>
      </c>
      <c r="U193">
        <v>2</v>
      </c>
      <c r="V193">
        <v>1011</v>
      </c>
      <c r="W193">
        <v>851</v>
      </c>
      <c r="X193">
        <v>0</v>
      </c>
      <c r="Y193">
        <v>828</v>
      </c>
      <c r="Z193">
        <v>0</v>
      </c>
      <c r="AA193">
        <v>828</v>
      </c>
      <c r="AB193">
        <v>2690</v>
      </c>
      <c r="AC193">
        <v>3000</v>
      </c>
      <c r="AD193">
        <v>0</v>
      </c>
      <c r="AE193" t="s">
        <v>174</v>
      </c>
      <c r="AF193" t="s">
        <v>383</v>
      </c>
      <c r="AG193" t="s">
        <v>148</v>
      </c>
      <c r="AH193" t="s">
        <v>450</v>
      </c>
      <c r="AI193">
        <v>0</v>
      </c>
      <c r="AJ193">
        <v>2</v>
      </c>
      <c r="AK193">
        <v>0</v>
      </c>
      <c r="AL193">
        <v>0</v>
      </c>
      <c r="AM193">
        <v>1</v>
      </c>
      <c r="AN193">
        <v>16</v>
      </c>
      <c r="AO193">
        <v>0</v>
      </c>
      <c r="AP193">
        <v>0</v>
      </c>
      <c r="AQ193">
        <v>0</v>
      </c>
      <c r="AR193">
        <v>30</v>
      </c>
      <c r="AS193">
        <v>153</v>
      </c>
      <c r="AT193">
        <v>0</v>
      </c>
      <c r="AU193">
        <v>100</v>
      </c>
      <c r="AV193">
        <v>100</v>
      </c>
      <c r="AW193">
        <v>476526</v>
      </c>
      <c r="AX193">
        <v>385986</v>
      </c>
      <c r="AY193">
        <v>543</v>
      </c>
      <c r="AZ193">
        <v>365</v>
      </c>
      <c r="BA193">
        <v>178</v>
      </c>
      <c r="BB193">
        <v>0</v>
      </c>
      <c r="BC193" s="3">
        <v>44749</v>
      </c>
      <c r="BD193" t="s">
        <v>476</v>
      </c>
      <c r="BE193">
        <v>631500</v>
      </c>
      <c r="BF193">
        <v>586126</v>
      </c>
      <c r="BG193" t="s">
        <v>294</v>
      </c>
      <c r="BH193">
        <v>30</v>
      </c>
      <c r="BI193" t="s">
        <v>65</v>
      </c>
      <c r="BJ193" t="s">
        <v>450</v>
      </c>
      <c r="BK193">
        <v>488100</v>
      </c>
      <c r="BL193">
        <v>50600</v>
      </c>
      <c r="BM193">
        <v>437500</v>
      </c>
      <c r="BN193">
        <v>45374</v>
      </c>
      <c r="BO193">
        <v>0.77292161520190028</v>
      </c>
      <c r="BP193">
        <v>529205.26675866335</v>
      </c>
      <c r="BQ193">
        <v>552915.00395107025</v>
      </c>
      <c r="BR193" s="12">
        <f>(Sales[[#This Row],[DP1]]*Lookups!$B$59)+(Sales[[#This Row],[DP2]]*Lookups!$B$60)+(Sales[[#This Row],[DP3]]*Lookups!$B$61)</f>
        <v>-23709.737193994002</v>
      </c>
      <c r="BS193" s="12">
        <f>Lookups!$B$56*0</f>
        <v>0</v>
      </c>
      <c r="BT193" s="12">
        <f>Lookups!$B$56*1</f>
        <v>89850.625589999996</v>
      </c>
      <c r="BU193" s="12">
        <f>Lookups!$B$57*Sales[[#This Row],[LnAcres]]</f>
        <v>-58009.662049032086</v>
      </c>
      <c r="BV193" s="12">
        <f>VLOOKUP(Sales[[#This Row],[Qlty]],Lookups!$A$62:$E$75,2,FALSE)</f>
        <v>74268.409664999999</v>
      </c>
      <c r="BW193" s="12">
        <f>VLOOKUP(Sales[[#This Row],[Cnd]],Lookups!$A$76:$E$84,2,FALSE)</f>
        <v>284810.60806</v>
      </c>
      <c r="BX193" s="12">
        <f>Sales[[#This Row],[EffAge]]*Lookups!$B$85</f>
        <v>-11821.416826500001</v>
      </c>
      <c r="BY193" s="12">
        <f>Sales[[#This Row],[MainFn]]*Lookups!$B$86</f>
        <v>49952.165245647004</v>
      </c>
      <c r="BZ193" s="12">
        <f>Sales[[#This Row],[UpprFn]]*Lookups!$B$87</f>
        <v>38113.245854711</v>
      </c>
      <c r="CA193" s="12">
        <f>Sales[[#This Row],[AddFn]]*Lookups!$B$88</f>
        <v>0</v>
      </c>
      <c r="CB193" s="12">
        <f>Sales[[#This Row],[Bsmt]]*Lookups!$B$89</f>
        <v>24079.809264516</v>
      </c>
      <c r="CC193" s="12">
        <f>Sales[[#This Row],[Fixtures]]*Lookups!$B$90</f>
        <v>60672.353683200003</v>
      </c>
      <c r="CD193" s="12">
        <f>Sales[[#This Row],[WdDeck]]*Lookups!$B$91</f>
        <v>998.8654582800001</v>
      </c>
      <c r="CE193" s="12">
        <f>SUM(Sales[[#This Row],[Days Prior Total]:[Mdl WdDeck]])</f>
        <v>529205.2667518279</v>
      </c>
      <c r="CF193" s="12">
        <f>ROUND(Sales[[#This Row],[25Det]],-2)</f>
        <v>45400</v>
      </c>
      <c r="CG193" s="12">
        <f>ROUND(SUM(Sales[[#This Row],[Mdl Qlty]:[Mdl WdDeck]])+Sales[[#This Row],[Mdl Res Intercept]]+Sales[[#This Row],[Days Prior Total]],-2)</f>
        <v>497400</v>
      </c>
      <c r="CH193" s="12">
        <f>ROUND(Sales[[#This Row],[Mdl Land Intercept]]+Sales[[#This Row],[Mdl LnAcres]],-2)</f>
        <v>31800</v>
      </c>
      <c r="CI193" s="12">
        <f>Sales[[#This Row],[Unadj Res Value]]+Sales[[#This Row],[Unadj Det Value]]+Sales[[#This Row],[Unadj Land Value]]</f>
        <v>574600</v>
      </c>
      <c r="CJ193" s="13">
        <f>Sales[[#This Row],[Unadj Total Value]]/Sales[[#This Row],[Price]]</f>
        <v>0.90989707046714174</v>
      </c>
      <c r="CK193" s="13">
        <f>(Sales[[#This Row],[Unadj Total Value]]-Sales[[#This Row],[24Final]])/Sales[[#This Row],[24Final]]</f>
        <v>0.1772177832411391</v>
      </c>
      <c r="CL193">
        <f>VLOOKUP(Sales[[#This Row],[TNbhd]],Lookups!$Q$2:$T$4,4,FALSE)</f>
        <v>0.99970000000000003</v>
      </c>
      <c r="CM193">
        <f>VLOOKUP(Sales[[#This Row],[Qlty]],Lookups!$O$7:$R$21,4,FALSE)</f>
        <v>0.98380000000000001</v>
      </c>
      <c r="CN193">
        <f>VLOOKUP(Sales[[#This Row],[Cnd]],Lookups!$T$7:$W$16,4,FALSE)</f>
        <v>1.0158</v>
      </c>
      <c r="CO193">
        <f>VLOOKUP(Sales[[#This Row],[LivArea Range]],Lookups!$T$25:$W$37,4,FALSE)</f>
        <v>0.96179999999999999</v>
      </c>
      <c r="CP193">
        <f>VLOOKUP(Sales[[#This Row],[Decade]],Lookups!$O$25:$R$42,4,FALSE)</f>
        <v>0.98909999999999998</v>
      </c>
      <c r="CQ193">
        <f>Sales[[#This Row],[Nbhd Adj]]*0.95</f>
        <v>0.94971499999999998</v>
      </c>
      <c r="CR193">
        <f>Sales[[#This Row],[Nbhd Adj]]*Sales[[#This Row],[Quality Adj]]*Sales[[#This Row],[Condition Adj]]*Sales[[#This Row],[Living Area Adj]]*Sales[[#This Row],[Decade Adj]]*0.95</f>
        <v>0.90288678946097178</v>
      </c>
      <c r="CS193">
        <f>ROUND(SUM(Sales[[#This Row],[Mdl Qlty]:[Mdl WdDeck]])+Sales[[#This Row],[Mdl Res Intercept]]*Sales[[#This Row],[Res Adj ]],-2)</f>
        <v>521100</v>
      </c>
      <c r="CT193">
        <f>ROUND(Sales[[#This Row],[25Det]]*Sales[[#This Row],[Det/Nbhd Adj]],-2)</f>
        <v>43100</v>
      </c>
      <c r="CU193">
        <f>Sales[[#This Row],[Adjusted Res]]+Sales[[#This Row],[Adj Det ]]</f>
        <v>564200</v>
      </c>
      <c r="CV193">
        <f>ROUND((Sales[[#This Row],[Mdl Land Intercept]]+Sales[[#This Row],[Mdl LnAcres]])*Sales[[#This Row],[Det/Nbhd Adj]],-2)</f>
        <v>30200</v>
      </c>
      <c r="CW193">
        <f>Sales[[#This Row],[Adjusted Impr Total]]+Sales[[#This Row],[Adjusted Land Total]]</f>
        <v>594400</v>
      </c>
      <c r="CX193" s="15">
        <f>IFERROR((Sales[[#This Row],[Adjusted Impr Total]]-Sales[[#This Row],[24Bldg]])/Sales[[#This Row],[24Bldg]],0)</f>
        <v>0.28960000000000002</v>
      </c>
      <c r="CY193" s="15">
        <f>(Sales[[#This Row],[Adjusted Land Total]]-Sales[[#This Row],[24Lnd]])/Sales[[#This Row],[24Lnd]]</f>
        <v>-0.40316205533596838</v>
      </c>
      <c r="CZ193" s="15">
        <f>(Sales[[#This Row],[Adjusted Total]]-Sales[[#This Row],[24Final]])/Sales[[#This Row],[24Final]]</f>
        <v>0.21778324113911085</v>
      </c>
      <c r="DA193" s="15">
        <f>(Sales[[#This Row],[Adjusted Total]]+Sales[[#This Row],[Days Prior Total]])/Sales[[#This Row],[Price]]</f>
        <v>0.90370587934442759</v>
      </c>
    </row>
    <row r="194" spans="1:105" x14ac:dyDescent="0.3">
      <c r="A194">
        <v>2025</v>
      </c>
      <c r="B194">
        <v>18132313491</v>
      </c>
      <c r="C194">
        <v>-1.8971199848858813</v>
      </c>
      <c r="D194">
        <v>0.15</v>
      </c>
      <c r="E194">
        <v>6737</v>
      </c>
      <c r="F194">
        <v>6</v>
      </c>
      <c r="G194" t="s">
        <v>126</v>
      </c>
      <c r="H194">
        <v>3033</v>
      </c>
      <c r="I194" t="s">
        <v>349</v>
      </c>
      <c r="J194" t="s">
        <v>30</v>
      </c>
      <c r="K194">
        <v>11</v>
      </c>
      <c r="L194">
        <v>259</v>
      </c>
      <c r="M194" t="s">
        <v>269</v>
      </c>
      <c r="N194" t="s">
        <v>351</v>
      </c>
      <c r="O194" t="s">
        <v>303</v>
      </c>
      <c r="P194">
        <v>90</v>
      </c>
      <c r="Q194">
        <v>1935</v>
      </c>
      <c r="R194">
        <v>1986</v>
      </c>
      <c r="S194">
        <v>89</v>
      </c>
      <c r="T194">
        <v>38</v>
      </c>
      <c r="U194">
        <v>1</v>
      </c>
      <c r="V194">
        <v>1072</v>
      </c>
      <c r="W194">
        <v>0</v>
      </c>
      <c r="X194">
        <v>0</v>
      </c>
      <c r="Y194">
        <v>1072</v>
      </c>
      <c r="Z194">
        <v>0</v>
      </c>
      <c r="AA194">
        <v>1072</v>
      </c>
      <c r="AB194">
        <v>2144</v>
      </c>
      <c r="AC194">
        <v>2500</v>
      </c>
      <c r="AD194">
        <v>0</v>
      </c>
      <c r="AF194" t="s">
        <v>208</v>
      </c>
      <c r="AG194" t="s">
        <v>174</v>
      </c>
      <c r="AI194">
        <v>0</v>
      </c>
      <c r="AJ194">
        <v>1</v>
      </c>
      <c r="AK194">
        <v>0</v>
      </c>
      <c r="AL194">
        <v>0</v>
      </c>
      <c r="AM194">
        <v>0</v>
      </c>
      <c r="AN194">
        <v>9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190</v>
      </c>
      <c r="AU194">
        <v>100</v>
      </c>
      <c r="AV194">
        <v>100</v>
      </c>
      <c r="AW194">
        <v>248832</v>
      </c>
      <c r="AX194">
        <v>218972</v>
      </c>
      <c r="AY194">
        <v>959</v>
      </c>
      <c r="AZ194">
        <v>365</v>
      </c>
      <c r="BA194">
        <v>365</v>
      </c>
      <c r="BB194">
        <v>229</v>
      </c>
      <c r="BC194" s="3">
        <v>44333</v>
      </c>
      <c r="BD194" t="s">
        <v>393</v>
      </c>
      <c r="BE194">
        <v>336000</v>
      </c>
      <c r="BF194">
        <v>330421</v>
      </c>
      <c r="BG194" t="s">
        <v>294</v>
      </c>
      <c r="BH194">
        <v>30</v>
      </c>
      <c r="BI194" t="s">
        <v>65</v>
      </c>
      <c r="BJ194" t="s">
        <v>450</v>
      </c>
      <c r="BK194">
        <v>340300</v>
      </c>
      <c r="BL194">
        <v>48400</v>
      </c>
      <c r="BM194">
        <v>291900</v>
      </c>
      <c r="BN194">
        <v>5579</v>
      </c>
      <c r="BO194">
        <v>1.0127976190476191</v>
      </c>
      <c r="BP194">
        <v>306717.39331984491</v>
      </c>
      <c r="BQ194">
        <v>358902.04966161842</v>
      </c>
      <c r="BR194" s="12">
        <f>(Sales[[#This Row],[DP1]]*Lookups!$B$59)+(Sales[[#This Row],[DP2]]*Lookups!$B$60)+(Sales[[#This Row],[DP3]]*Lookups!$B$61)</f>
        <v>-52184.656349170007</v>
      </c>
      <c r="BS194" s="12">
        <f>Lookups!$B$56*0</f>
        <v>0</v>
      </c>
      <c r="BT194" s="12">
        <f>Lookups!$B$56*1</f>
        <v>89850.625589999996</v>
      </c>
      <c r="BU194" s="12">
        <f>Lookups!$B$57*Sales[[#This Row],[LnAcres]]</f>
        <v>-60052.604136134301</v>
      </c>
      <c r="BV194" s="12">
        <f>VLOOKUP(Sales[[#This Row],[Qlty]],Lookups!$A$62:$E$75,2,FALSE)</f>
        <v>21557.329055999999</v>
      </c>
      <c r="BW194" s="12">
        <f>VLOOKUP(Sales[[#This Row],[Cnd]],Lookups!$A$76:$E$84,2,FALSE)</f>
        <v>197752.34721000001</v>
      </c>
      <c r="BX194" s="12">
        <f>Sales[[#This Row],[EffAge]]*Lookups!$B$85</f>
        <v>-8475.7328190000007</v>
      </c>
      <c r="BY194" s="12">
        <f>Sales[[#This Row],[MainFn]]*Lookups!$B$86</f>
        <v>52966.094108144003</v>
      </c>
      <c r="BZ194" s="12">
        <f>Sales[[#This Row],[UpprFn]]*Lookups!$B$87</f>
        <v>0</v>
      </c>
      <c r="CA194" s="12">
        <f>Sales[[#This Row],[AddFn]]*Lookups!$B$88</f>
        <v>0</v>
      </c>
      <c r="CB194" s="12">
        <f>Sales[[#This Row],[Bsmt]]*Lookups!$B$89</f>
        <v>31175.791704783998</v>
      </c>
      <c r="CC194" s="12">
        <f>Sales[[#This Row],[Fixtures]]*Lookups!$B$90</f>
        <v>34128.198946800003</v>
      </c>
      <c r="CD194" s="12">
        <f>Sales[[#This Row],[WdDeck]]*Lookups!$B$91</f>
        <v>0</v>
      </c>
      <c r="CE194" s="12">
        <f>SUM(Sales[[#This Row],[Days Prior Total]:[Mdl WdDeck]])</f>
        <v>306717.39331142372</v>
      </c>
      <c r="CF194" s="12">
        <f>ROUND(Sales[[#This Row],[25Det]],-2)</f>
        <v>5600</v>
      </c>
      <c r="CG194" s="12">
        <f>ROUND(SUM(Sales[[#This Row],[Mdl Qlty]:[Mdl WdDeck]])+Sales[[#This Row],[Mdl Res Intercept]]+Sales[[#This Row],[Days Prior Total]],-2)</f>
        <v>276900</v>
      </c>
      <c r="CH194" s="12">
        <f>ROUND(Sales[[#This Row],[Mdl Land Intercept]]+Sales[[#This Row],[Mdl LnAcres]],-2)</f>
        <v>29800</v>
      </c>
      <c r="CI194" s="12">
        <f>Sales[[#This Row],[Unadj Res Value]]+Sales[[#This Row],[Unadj Det Value]]+Sales[[#This Row],[Unadj Land Value]]</f>
        <v>312300</v>
      </c>
      <c r="CJ194" s="13">
        <f>Sales[[#This Row],[Unadj Total Value]]/Sales[[#This Row],[Price]]</f>
        <v>0.92946428571428574</v>
      </c>
      <c r="CK194" s="13">
        <f>(Sales[[#This Row],[Unadj Total Value]]-Sales[[#This Row],[24Final]])/Sales[[#This Row],[24Final]]</f>
        <v>-8.228034087569791E-2</v>
      </c>
      <c r="CL194">
        <f>VLOOKUP(Sales[[#This Row],[TNbhd]],Lookups!$Q$2:$T$4,4,FALSE)</f>
        <v>0.99970000000000003</v>
      </c>
      <c r="CM194">
        <f>VLOOKUP(Sales[[#This Row],[Qlty]],Lookups!$O$7:$R$21,4,FALSE)</f>
        <v>1.0067999999999999</v>
      </c>
      <c r="CN194">
        <f>VLOOKUP(Sales[[#This Row],[Cnd]],Lookups!$T$7:$W$16,4,FALSE)</f>
        <v>0.99650000000000005</v>
      </c>
      <c r="CO194">
        <f>VLOOKUP(Sales[[#This Row],[LivArea Range]],Lookups!$T$25:$W$37,4,FALSE)</f>
        <v>0.98919999999999997</v>
      </c>
      <c r="CP194">
        <f>VLOOKUP(Sales[[#This Row],[Decade]],Lookups!$O$25:$R$42,4,FALSE)</f>
        <v>0.98909999999999998</v>
      </c>
      <c r="CQ194">
        <f>Sales[[#This Row],[Nbhd Adj]]*0.95</f>
        <v>0.94971499999999998</v>
      </c>
      <c r="CR194">
        <f>Sales[[#This Row],[Nbhd Adj]]*Sales[[#This Row],[Quality Adj]]*Sales[[#This Row],[Condition Adj]]*Sales[[#This Row],[Living Area Adj]]*Sales[[#This Row],[Decade Adj]]*0.95</f>
        <v>0.9322622889120924</v>
      </c>
      <c r="CS194">
        <f>ROUND(SUM(Sales[[#This Row],[Mdl Qlty]:[Mdl WdDeck]])+Sales[[#This Row],[Mdl Res Intercept]]*Sales[[#This Row],[Res Adj ]],-2)</f>
        <v>329100</v>
      </c>
      <c r="CT194">
        <f>ROUND(Sales[[#This Row],[25Det]]*Sales[[#This Row],[Det/Nbhd Adj]],-2)</f>
        <v>5300</v>
      </c>
      <c r="CU194">
        <f>Sales[[#This Row],[Adjusted Res]]+Sales[[#This Row],[Adj Det ]]</f>
        <v>334400</v>
      </c>
      <c r="CV194">
        <f>ROUND((Sales[[#This Row],[Mdl Land Intercept]]+Sales[[#This Row],[Mdl LnAcres]])*Sales[[#This Row],[Det/Nbhd Adj]],-2)</f>
        <v>28300</v>
      </c>
      <c r="CW194">
        <f>Sales[[#This Row],[Adjusted Impr Total]]+Sales[[#This Row],[Adjusted Land Total]]</f>
        <v>362700</v>
      </c>
      <c r="CX194" s="15">
        <f>IFERROR((Sales[[#This Row],[Adjusted Impr Total]]-Sales[[#This Row],[24Bldg]])/Sales[[#This Row],[24Bldg]],0)</f>
        <v>0.14559780746831105</v>
      </c>
      <c r="CY194" s="15">
        <f>(Sales[[#This Row],[Adjusted Land Total]]-Sales[[#This Row],[24Lnd]])/Sales[[#This Row],[24Lnd]]</f>
        <v>-0.41528925619834711</v>
      </c>
      <c r="CZ194" s="15">
        <f>(Sales[[#This Row],[Adjusted Total]]-Sales[[#This Row],[24Final]])/Sales[[#This Row],[24Final]]</f>
        <v>6.5824272700558337E-2</v>
      </c>
      <c r="DA194" s="15">
        <f>(Sales[[#This Row],[Adjusted Total]]+Sales[[#This Row],[Days Prior Total]])/Sales[[#This Row],[Price]]</f>
        <v>0.92415280848461301</v>
      </c>
    </row>
    <row r="195" spans="1:105" x14ac:dyDescent="0.3">
      <c r="A195">
        <v>2025</v>
      </c>
      <c r="B195">
        <v>18132213002</v>
      </c>
      <c r="C195">
        <v>-1.6607312068216509</v>
      </c>
      <c r="D195">
        <v>0.19</v>
      </c>
      <c r="E195">
        <v>8200</v>
      </c>
      <c r="F195">
        <v>6</v>
      </c>
      <c r="G195" t="s">
        <v>126</v>
      </c>
      <c r="H195" t="s">
        <v>349</v>
      </c>
      <c r="I195" t="s">
        <v>349</v>
      </c>
      <c r="J195" t="s">
        <v>30</v>
      </c>
      <c r="K195">
        <v>11</v>
      </c>
      <c r="L195">
        <v>259</v>
      </c>
      <c r="M195" t="s">
        <v>242</v>
      </c>
      <c r="N195" t="s">
        <v>351</v>
      </c>
      <c r="O195" t="s">
        <v>323</v>
      </c>
      <c r="P195">
        <v>90</v>
      </c>
      <c r="Q195">
        <v>1935</v>
      </c>
      <c r="R195">
        <v>1971</v>
      </c>
      <c r="S195">
        <v>89</v>
      </c>
      <c r="T195">
        <v>53</v>
      </c>
      <c r="U195">
        <v>1</v>
      </c>
      <c r="V195">
        <v>900</v>
      </c>
      <c r="W195">
        <v>0</v>
      </c>
      <c r="X195">
        <v>0</v>
      </c>
      <c r="Y195">
        <v>810</v>
      </c>
      <c r="Z195">
        <v>0</v>
      </c>
      <c r="AA195">
        <v>810</v>
      </c>
      <c r="AB195">
        <v>1710</v>
      </c>
      <c r="AC195">
        <v>2000</v>
      </c>
      <c r="AD195">
        <v>0</v>
      </c>
      <c r="AF195" t="s">
        <v>383</v>
      </c>
      <c r="AG195" t="s">
        <v>148</v>
      </c>
      <c r="AH195" t="s">
        <v>450</v>
      </c>
      <c r="AI195">
        <v>0</v>
      </c>
      <c r="AJ195">
        <v>1</v>
      </c>
      <c r="AK195">
        <v>0</v>
      </c>
      <c r="AL195">
        <v>0</v>
      </c>
      <c r="AM195">
        <v>0</v>
      </c>
      <c r="AN195">
        <v>6</v>
      </c>
      <c r="AO195">
        <v>0</v>
      </c>
      <c r="AP195">
        <v>0</v>
      </c>
      <c r="AQ195">
        <v>0</v>
      </c>
      <c r="AR195">
        <v>459</v>
      </c>
      <c r="AS195">
        <v>0</v>
      </c>
      <c r="AT195">
        <v>0</v>
      </c>
      <c r="AU195">
        <v>100</v>
      </c>
      <c r="AV195">
        <v>100</v>
      </c>
      <c r="AW195">
        <v>190755</v>
      </c>
      <c r="AX195">
        <v>144974</v>
      </c>
      <c r="AY195">
        <v>123</v>
      </c>
      <c r="AZ195">
        <v>123</v>
      </c>
      <c r="BA195">
        <v>0</v>
      </c>
      <c r="BB195">
        <v>0</v>
      </c>
      <c r="BC195" s="3">
        <v>45169</v>
      </c>
      <c r="BD195" t="s">
        <v>10</v>
      </c>
      <c r="BE195">
        <v>325000</v>
      </c>
      <c r="BF195">
        <v>320876</v>
      </c>
      <c r="BG195" t="s">
        <v>294</v>
      </c>
      <c r="BH195">
        <v>30</v>
      </c>
      <c r="BI195" t="s">
        <v>65</v>
      </c>
      <c r="BJ195" t="s">
        <v>450</v>
      </c>
      <c r="BK195">
        <v>302900</v>
      </c>
      <c r="BL195">
        <v>56600</v>
      </c>
      <c r="BM195">
        <v>246300</v>
      </c>
      <c r="BN195">
        <v>4124</v>
      </c>
      <c r="BO195">
        <v>0.93200000000000005</v>
      </c>
      <c r="BP195">
        <v>304869.1868118773</v>
      </c>
      <c r="BQ195">
        <v>313547.84498946782</v>
      </c>
      <c r="BR195" s="12">
        <f>(Sales[[#This Row],[DP1]]*Lookups!$B$59)+(Sales[[#This Row],[DP2]]*Lookups!$B$60)+(Sales[[#This Row],[DP3]]*Lookups!$B$61)</f>
        <v>-8678.6581781100012</v>
      </c>
      <c r="BS195" s="12">
        <f>Lookups!$B$56*0</f>
        <v>0</v>
      </c>
      <c r="BT195" s="12">
        <f>Lookups!$B$56*1</f>
        <v>89850.625589999996</v>
      </c>
      <c r="BU195" s="12">
        <f>Lookups!$B$57*Sales[[#This Row],[LnAcres]]</f>
        <v>-52569.808201026557</v>
      </c>
      <c r="BV195" s="12">
        <f>VLOOKUP(Sales[[#This Row],[Qlty]],Lookups!$A$62:$E$75,2,FALSE)</f>
        <v>21557.329055999999</v>
      </c>
      <c r="BW195" s="12">
        <f>VLOOKUP(Sales[[#This Row],[Cnd]],Lookups!$A$76:$E$84,2,FALSE)</f>
        <v>160472.20319</v>
      </c>
      <c r="BX195" s="12">
        <f>Sales[[#This Row],[EffAge]]*Lookups!$B$85</f>
        <v>-11821.416826500001</v>
      </c>
      <c r="BY195" s="12">
        <f>Sales[[#This Row],[MainFn]]*Lookups!$B$86</f>
        <v>44467.802889300001</v>
      </c>
      <c r="BZ195" s="12">
        <f>Sales[[#This Row],[UpprFn]]*Lookups!$B$87</f>
        <v>0</v>
      </c>
      <c r="CA195" s="12">
        <f>Sales[[#This Row],[AddFn]]*Lookups!$B$88</f>
        <v>0</v>
      </c>
      <c r="CB195" s="12">
        <f>Sales[[#This Row],[Bsmt]]*Lookups!$B$89</f>
        <v>23556.335150069997</v>
      </c>
      <c r="CC195" s="12">
        <f>Sales[[#This Row],[Fixtures]]*Lookups!$B$90</f>
        <v>22752.132631200002</v>
      </c>
      <c r="CD195" s="12">
        <f>Sales[[#This Row],[WdDeck]]*Lookups!$B$91</f>
        <v>15282.641511684002</v>
      </c>
      <c r="CE195" s="12">
        <f>SUM(Sales[[#This Row],[Days Prior Total]:[Mdl WdDeck]])</f>
        <v>304869.18681261747</v>
      </c>
      <c r="CF195" s="12">
        <f>ROUND(Sales[[#This Row],[25Det]],-2)</f>
        <v>4100</v>
      </c>
      <c r="CG195" s="12">
        <f>ROUND(SUM(Sales[[#This Row],[Mdl Qlty]:[Mdl WdDeck]])+Sales[[#This Row],[Mdl Res Intercept]]+Sales[[#This Row],[Days Prior Total]],-2)</f>
        <v>267600</v>
      </c>
      <c r="CH195" s="12">
        <f>ROUND(Sales[[#This Row],[Mdl Land Intercept]]+Sales[[#This Row],[Mdl LnAcres]],-2)</f>
        <v>37300</v>
      </c>
      <c r="CI195" s="12">
        <f>Sales[[#This Row],[Unadj Res Value]]+Sales[[#This Row],[Unadj Det Value]]+Sales[[#This Row],[Unadj Land Value]]</f>
        <v>309000</v>
      </c>
      <c r="CJ195" s="13">
        <f>Sales[[#This Row],[Unadj Total Value]]/Sales[[#This Row],[Price]]</f>
        <v>0.95076923076923081</v>
      </c>
      <c r="CK195" s="13">
        <f>(Sales[[#This Row],[Unadj Total Value]]-Sales[[#This Row],[24Final]])/Sales[[#This Row],[24Final]]</f>
        <v>2.0138659623638165E-2</v>
      </c>
      <c r="CL195">
        <f>VLOOKUP(Sales[[#This Row],[TNbhd]],Lookups!$Q$2:$T$4,4,FALSE)</f>
        <v>0.99970000000000003</v>
      </c>
      <c r="CM195">
        <f>VLOOKUP(Sales[[#This Row],[Qlty]],Lookups!$O$7:$R$21,4,FALSE)</f>
        <v>1.0067999999999999</v>
      </c>
      <c r="CN195">
        <f>VLOOKUP(Sales[[#This Row],[Cnd]],Lookups!$T$7:$W$16,4,FALSE)</f>
        <v>0.99729999999999996</v>
      </c>
      <c r="CO195">
        <f>VLOOKUP(Sales[[#This Row],[LivArea Range]],Lookups!$T$25:$W$37,4,FALSE)</f>
        <v>1.0093000000000001</v>
      </c>
      <c r="CP195">
        <f>VLOOKUP(Sales[[#This Row],[Decade]],Lookups!$O$25:$R$42,4,FALSE)</f>
        <v>0.98909999999999998</v>
      </c>
      <c r="CQ195">
        <f>Sales[[#This Row],[Nbhd Adj]]*0.95</f>
        <v>0.94971499999999998</v>
      </c>
      <c r="CR195">
        <f>Sales[[#This Row],[Nbhd Adj]]*Sales[[#This Row],[Quality Adj]]*Sales[[#This Row],[Condition Adj]]*Sales[[#This Row],[Living Area Adj]]*Sales[[#This Row],[Decade Adj]]*0.95</f>
        <v>0.95196898294134369</v>
      </c>
      <c r="CS195">
        <f>ROUND(SUM(Sales[[#This Row],[Mdl Qlty]:[Mdl WdDeck]])+Sales[[#This Row],[Mdl Res Intercept]]*Sales[[#This Row],[Res Adj ]],-2)</f>
        <v>276300</v>
      </c>
      <c r="CT195">
        <f>ROUND(Sales[[#This Row],[25Det]]*Sales[[#This Row],[Det/Nbhd Adj]],-2)</f>
        <v>3900</v>
      </c>
      <c r="CU195">
        <f>Sales[[#This Row],[Adjusted Res]]+Sales[[#This Row],[Adj Det ]]</f>
        <v>280200</v>
      </c>
      <c r="CV195">
        <f>ROUND((Sales[[#This Row],[Mdl Land Intercept]]+Sales[[#This Row],[Mdl LnAcres]])*Sales[[#This Row],[Det/Nbhd Adj]],-2)</f>
        <v>35400</v>
      </c>
      <c r="CW195">
        <f>Sales[[#This Row],[Adjusted Impr Total]]+Sales[[#This Row],[Adjusted Land Total]]</f>
        <v>315600</v>
      </c>
      <c r="CX195" s="15">
        <f>IFERROR((Sales[[#This Row],[Adjusted Impr Total]]-Sales[[#This Row],[24Bldg]])/Sales[[#This Row],[24Bldg]],0)</f>
        <v>0.13763702801461633</v>
      </c>
      <c r="CY195" s="15">
        <f>(Sales[[#This Row],[Adjusted Land Total]]-Sales[[#This Row],[24Lnd]])/Sales[[#This Row],[24Lnd]]</f>
        <v>-0.37455830388692579</v>
      </c>
      <c r="CZ195" s="15">
        <f>(Sales[[#This Row],[Adjusted Total]]-Sales[[#This Row],[24Final]])/Sales[[#This Row],[24Final]]</f>
        <v>4.1928029052492571E-2</v>
      </c>
      <c r="DA195" s="15">
        <f>(Sales[[#This Row],[Adjusted Total]]+Sales[[#This Row],[Days Prior Total]])/Sales[[#This Row],[Price]]</f>
        <v>0.94437335945196921</v>
      </c>
    </row>
    <row r="196" spans="1:105" x14ac:dyDescent="0.3">
      <c r="A196">
        <v>2025</v>
      </c>
      <c r="B196">
        <v>18132241063</v>
      </c>
      <c r="C196">
        <v>-1.6094379124341003</v>
      </c>
      <c r="D196">
        <v>0.2</v>
      </c>
      <c r="E196">
        <v>8618</v>
      </c>
      <c r="F196">
        <v>6</v>
      </c>
      <c r="G196" t="s">
        <v>126</v>
      </c>
      <c r="H196">
        <v>3033</v>
      </c>
      <c r="I196" t="s">
        <v>349</v>
      </c>
      <c r="J196" t="s">
        <v>30</v>
      </c>
      <c r="K196">
        <v>11</v>
      </c>
      <c r="L196">
        <v>259</v>
      </c>
      <c r="M196" t="s">
        <v>242</v>
      </c>
      <c r="N196" t="s">
        <v>351</v>
      </c>
      <c r="O196" t="s">
        <v>323</v>
      </c>
      <c r="P196">
        <v>90</v>
      </c>
      <c r="Q196">
        <v>1935</v>
      </c>
      <c r="R196">
        <v>1971</v>
      </c>
      <c r="S196">
        <v>89</v>
      </c>
      <c r="T196">
        <v>53</v>
      </c>
      <c r="U196">
        <v>1</v>
      </c>
      <c r="V196">
        <v>1297</v>
      </c>
      <c r="W196">
        <v>0</v>
      </c>
      <c r="X196">
        <v>0</v>
      </c>
      <c r="Y196">
        <v>815</v>
      </c>
      <c r="Z196">
        <v>815</v>
      </c>
      <c r="AA196">
        <v>0</v>
      </c>
      <c r="AB196">
        <v>1297</v>
      </c>
      <c r="AC196">
        <v>1500</v>
      </c>
      <c r="AD196">
        <v>0</v>
      </c>
      <c r="AF196" t="s">
        <v>383</v>
      </c>
      <c r="AG196" t="s">
        <v>148</v>
      </c>
      <c r="AH196" t="s">
        <v>450</v>
      </c>
      <c r="AI196">
        <v>0</v>
      </c>
      <c r="AJ196">
        <v>1</v>
      </c>
      <c r="AK196">
        <v>0</v>
      </c>
      <c r="AL196">
        <v>1</v>
      </c>
      <c r="AM196">
        <v>0</v>
      </c>
      <c r="AN196">
        <v>8</v>
      </c>
      <c r="AO196">
        <v>0</v>
      </c>
      <c r="AP196">
        <v>0</v>
      </c>
      <c r="AQ196">
        <v>0</v>
      </c>
      <c r="AR196">
        <v>0</v>
      </c>
      <c r="AS196">
        <v>96</v>
      </c>
      <c r="AT196">
        <v>96</v>
      </c>
      <c r="AU196">
        <v>100</v>
      </c>
      <c r="AV196">
        <v>100</v>
      </c>
      <c r="AW196">
        <v>223015</v>
      </c>
      <c r="AX196">
        <v>151650</v>
      </c>
      <c r="AY196">
        <v>840</v>
      </c>
      <c r="AZ196">
        <v>365</v>
      </c>
      <c r="BA196">
        <v>365</v>
      </c>
      <c r="BB196">
        <v>110</v>
      </c>
      <c r="BC196" s="3">
        <v>44452</v>
      </c>
      <c r="BD196" t="s">
        <v>247</v>
      </c>
      <c r="BE196">
        <v>312000</v>
      </c>
      <c r="BF196">
        <v>302416</v>
      </c>
      <c r="BG196" t="s">
        <v>294</v>
      </c>
      <c r="BH196">
        <v>30</v>
      </c>
      <c r="BI196" t="s">
        <v>65</v>
      </c>
      <c r="BJ196" t="s">
        <v>450</v>
      </c>
      <c r="BK196">
        <v>313100</v>
      </c>
      <c r="BL196">
        <v>58400</v>
      </c>
      <c r="BM196">
        <v>254700</v>
      </c>
      <c r="BN196">
        <v>9584</v>
      </c>
      <c r="BO196">
        <v>1.003525641025641</v>
      </c>
      <c r="BP196">
        <v>290961.79611999926</v>
      </c>
      <c r="BQ196">
        <v>327233.56862966676</v>
      </c>
      <c r="BR196" s="12">
        <f>(Sales[[#This Row],[DP1]]*Lookups!$B$59)+(Sales[[#This Row],[DP2]]*Lookups!$B$60)+(Sales[[#This Row],[DP3]]*Lookups!$B$61)</f>
        <v>-36271.772514070006</v>
      </c>
      <c r="BS196" s="12">
        <f>Lookups!$B$56*0</f>
        <v>0</v>
      </c>
      <c r="BT196" s="12">
        <f>Lookups!$B$56*1</f>
        <v>89850.625589999996</v>
      </c>
      <c r="BU196" s="12">
        <f>Lookups!$B$57*Sales[[#This Row],[LnAcres]]</f>
        <v>-50946.13867709865</v>
      </c>
      <c r="BV196" s="12">
        <f>VLOOKUP(Sales[[#This Row],[Qlty]],Lookups!$A$62:$E$75,2,FALSE)</f>
        <v>21557.329055999999</v>
      </c>
      <c r="BW196" s="12">
        <f>VLOOKUP(Sales[[#This Row],[Cnd]],Lookups!$A$76:$E$84,2,FALSE)</f>
        <v>160472.20319</v>
      </c>
      <c r="BX196" s="12">
        <f>Sales[[#This Row],[EffAge]]*Lookups!$B$85</f>
        <v>-11821.416826500001</v>
      </c>
      <c r="BY196" s="12">
        <f>Sales[[#This Row],[MainFn]]*Lookups!$B$86</f>
        <v>64083.044830469</v>
      </c>
      <c r="BZ196" s="12">
        <f>Sales[[#This Row],[UpprFn]]*Lookups!$B$87</f>
        <v>0</v>
      </c>
      <c r="CA196" s="12">
        <f>Sales[[#This Row],[AddFn]]*Lookups!$B$88</f>
        <v>0</v>
      </c>
      <c r="CB196" s="12">
        <f>Sales[[#This Row],[Bsmt]]*Lookups!$B$89</f>
        <v>23701.744626305001</v>
      </c>
      <c r="CC196" s="12">
        <f>Sales[[#This Row],[Fixtures]]*Lookups!$B$90</f>
        <v>30336.176841600001</v>
      </c>
      <c r="CD196" s="12">
        <f>Sales[[#This Row],[WdDeck]]*Lookups!$B$91</f>
        <v>0</v>
      </c>
      <c r="CE196" s="12">
        <f>SUM(Sales[[#This Row],[Days Prior Total]:[Mdl WdDeck]])</f>
        <v>290961.79611670534</v>
      </c>
      <c r="CF196" s="12">
        <f>ROUND(Sales[[#This Row],[25Det]],-2)</f>
        <v>9600</v>
      </c>
      <c r="CG196" s="12">
        <f>ROUND(SUM(Sales[[#This Row],[Mdl Qlty]:[Mdl WdDeck]])+Sales[[#This Row],[Mdl Res Intercept]]+Sales[[#This Row],[Days Prior Total]],-2)</f>
        <v>252100</v>
      </c>
      <c r="CH196" s="12">
        <f>ROUND(Sales[[#This Row],[Mdl Land Intercept]]+Sales[[#This Row],[Mdl LnAcres]],-2)</f>
        <v>38900</v>
      </c>
      <c r="CI196" s="12">
        <f>Sales[[#This Row],[Unadj Res Value]]+Sales[[#This Row],[Unadj Det Value]]+Sales[[#This Row],[Unadj Land Value]]</f>
        <v>300600</v>
      </c>
      <c r="CJ196" s="13">
        <f>Sales[[#This Row],[Unadj Total Value]]/Sales[[#This Row],[Price]]</f>
        <v>0.96346153846153848</v>
      </c>
      <c r="CK196" s="13">
        <f>(Sales[[#This Row],[Unadj Total Value]]-Sales[[#This Row],[24Final]])/Sales[[#This Row],[24Final]]</f>
        <v>-3.9923347173427021E-2</v>
      </c>
      <c r="CL196">
        <f>VLOOKUP(Sales[[#This Row],[TNbhd]],Lookups!$Q$2:$T$4,4,FALSE)</f>
        <v>0.99970000000000003</v>
      </c>
      <c r="CM196">
        <f>VLOOKUP(Sales[[#This Row],[Qlty]],Lookups!$O$7:$R$21,4,FALSE)</f>
        <v>1.0067999999999999</v>
      </c>
      <c r="CN196">
        <f>VLOOKUP(Sales[[#This Row],[Cnd]],Lookups!$T$7:$W$16,4,FALSE)</f>
        <v>0.99729999999999996</v>
      </c>
      <c r="CO196">
        <f>VLOOKUP(Sales[[#This Row],[LivArea Range]],Lookups!$T$25:$W$37,4,FALSE)</f>
        <v>1.0157</v>
      </c>
      <c r="CP196">
        <f>VLOOKUP(Sales[[#This Row],[Decade]],Lookups!$O$25:$R$42,4,FALSE)</f>
        <v>0.98909999999999998</v>
      </c>
      <c r="CQ196">
        <f>Sales[[#This Row],[Nbhd Adj]]*0.95</f>
        <v>0.94971499999999998</v>
      </c>
      <c r="CR196">
        <f>Sales[[#This Row],[Nbhd Adj]]*Sales[[#This Row],[Quality Adj]]*Sales[[#This Row],[Condition Adj]]*Sales[[#This Row],[Living Area Adj]]*Sales[[#This Row],[Decade Adj]]*0.95</f>
        <v>0.95800544533193577</v>
      </c>
      <c r="CS196">
        <f>ROUND(SUM(Sales[[#This Row],[Mdl Qlty]:[Mdl WdDeck]])+Sales[[#This Row],[Mdl Res Intercept]]*Sales[[#This Row],[Res Adj ]],-2)</f>
        <v>288300</v>
      </c>
      <c r="CT196">
        <f>ROUND(Sales[[#This Row],[25Det]]*Sales[[#This Row],[Det/Nbhd Adj]],-2)</f>
        <v>9100</v>
      </c>
      <c r="CU196">
        <f>Sales[[#This Row],[Adjusted Res]]+Sales[[#This Row],[Adj Det ]]</f>
        <v>297400</v>
      </c>
      <c r="CV196">
        <f>ROUND((Sales[[#This Row],[Mdl Land Intercept]]+Sales[[#This Row],[Mdl LnAcres]])*Sales[[#This Row],[Det/Nbhd Adj]],-2)</f>
        <v>36900</v>
      </c>
      <c r="CW196">
        <f>Sales[[#This Row],[Adjusted Impr Total]]+Sales[[#This Row],[Adjusted Land Total]]</f>
        <v>334300</v>
      </c>
      <c r="CX196" s="15">
        <f>IFERROR((Sales[[#This Row],[Adjusted Impr Total]]-Sales[[#This Row],[24Bldg]])/Sales[[#This Row],[24Bldg]],0)</f>
        <v>0.16764821358460935</v>
      </c>
      <c r="CY196" s="15">
        <f>(Sales[[#This Row],[Adjusted Land Total]]-Sales[[#This Row],[24Lnd]])/Sales[[#This Row],[24Lnd]]</f>
        <v>-0.36815068493150682</v>
      </c>
      <c r="CZ196" s="15">
        <f>(Sales[[#This Row],[Adjusted Total]]-Sales[[#This Row],[24Final]])/Sales[[#This Row],[24Final]]</f>
        <v>6.7709996806132225E-2</v>
      </c>
      <c r="DA196" s="15">
        <f>(Sales[[#This Row],[Adjusted Total]]+Sales[[#This Row],[Days Prior Total]])/Sales[[#This Row],[Price]]</f>
        <v>0.95521867783951908</v>
      </c>
    </row>
    <row r="197" spans="1:105" x14ac:dyDescent="0.3">
      <c r="A197">
        <v>2025</v>
      </c>
      <c r="B197">
        <v>18132332484</v>
      </c>
      <c r="C197">
        <v>-1.6094379124341003</v>
      </c>
      <c r="D197">
        <v>0.2</v>
      </c>
      <c r="E197">
        <v>0</v>
      </c>
      <c r="F197">
        <v>6</v>
      </c>
      <c r="G197" t="s">
        <v>126</v>
      </c>
      <c r="H197">
        <v>3032</v>
      </c>
      <c r="I197" t="s">
        <v>349</v>
      </c>
      <c r="J197" t="s">
        <v>30</v>
      </c>
      <c r="K197">
        <v>11</v>
      </c>
      <c r="L197">
        <v>259</v>
      </c>
      <c r="M197" t="s">
        <v>147</v>
      </c>
      <c r="N197" t="s">
        <v>148</v>
      </c>
      <c r="O197" t="s">
        <v>303</v>
      </c>
      <c r="P197">
        <v>90</v>
      </c>
      <c r="Q197">
        <v>1935</v>
      </c>
      <c r="R197">
        <v>1971</v>
      </c>
      <c r="S197">
        <v>89</v>
      </c>
      <c r="T197">
        <v>53</v>
      </c>
      <c r="U197">
        <v>2</v>
      </c>
      <c r="V197">
        <v>1080</v>
      </c>
      <c r="W197">
        <v>432</v>
      </c>
      <c r="X197">
        <v>0</v>
      </c>
      <c r="Y197">
        <v>0</v>
      </c>
      <c r="Z197">
        <v>0</v>
      </c>
      <c r="AA197">
        <v>0</v>
      </c>
      <c r="AB197">
        <v>1512</v>
      </c>
      <c r="AC197">
        <v>2000</v>
      </c>
      <c r="AD197">
        <v>0</v>
      </c>
      <c r="AF197" t="s">
        <v>383</v>
      </c>
      <c r="AG197" t="s">
        <v>148</v>
      </c>
      <c r="AH197" t="s">
        <v>450</v>
      </c>
      <c r="AI197">
        <v>0</v>
      </c>
      <c r="AJ197">
        <v>1</v>
      </c>
      <c r="AK197">
        <v>0</v>
      </c>
      <c r="AL197">
        <v>0</v>
      </c>
      <c r="AM197">
        <v>1</v>
      </c>
      <c r="AN197">
        <v>8</v>
      </c>
      <c r="AO197">
        <v>0</v>
      </c>
      <c r="AP197">
        <v>0</v>
      </c>
      <c r="AQ197">
        <v>0</v>
      </c>
      <c r="AR197">
        <v>171</v>
      </c>
      <c r="AS197">
        <v>188</v>
      </c>
      <c r="AT197">
        <v>0</v>
      </c>
      <c r="AU197">
        <v>100</v>
      </c>
      <c r="AV197">
        <v>100</v>
      </c>
      <c r="AW197">
        <v>297336</v>
      </c>
      <c r="AX197">
        <v>225975</v>
      </c>
      <c r="AY197">
        <v>266</v>
      </c>
      <c r="AZ197">
        <v>266</v>
      </c>
      <c r="BA197">
        <v>0</v>
      </c>
      <c r="BB197">
        <v>0</v>
      </c>
      <c r="BC197" s="3">
        <v>45026</v>
      </c>
      <c r="BD197" t="s">
        <v>290</v>
      </c>
      <c r="BE197">
        <v>377000</v>
      </c>
      <c r="BF197">
        <v>368901</v>
      </c>
      <c r="BG197" t="s">
        <v>294</v>
      </c>
      <c r="BH197">
        <v>30</v>
      </c>
      <c r="BI197" t="s">
        <v>65</v>
      </c>
      <c r="BJ197" t="s">
        <v>450</v>
      </c>
      <c r="BK197">
        <v>347100</v>
      </c>
      <c r="BL197">
        <v>58400</v>
      </c>
      <c r="BM197">
        <v>288700</v>
      </c>
      <c r="BN197">
        <v>8099</v>
      </c>
      <c r="BO197">
        <v>0.92068965517241375</v>
      </c>
      <c r="BP197">
        <v>358926.78319767927</v>
      </c>
      <c r="BQ197">
        <v>377695.26348417584</v>
      </c>
      <c r="BR197" s="12">
        <f>(Sales[[#This Row],[DP1]]*Lookups!$B$59)+(Sales[[#This Row],[DP2]]*Lookups!$B$60)+(Sales[[#This Row],[DP3]]*Lookups!$B$61)</f>
        <v>-18768.480287620001</v>
      </c>
      <c r="BS197" s="12">
        <f>Lookups!$B$56*0</f>
        <v>0</v>
      </c>
      <c r="BT197" s="12">
        <f>Lookups!$B$56*1</f>
        <v>89850.625589999996</v>
      </c>
      <c r="BU197" s="12">
        <f>Lookups!$B$57*Sales[[#This Row],[LnAcres]]</f>
        <v>-50946.13867709865</v>
      </c>
      <c r="BV197" s="12">
        <f>VLOOKUP(Sales[[#This Row],[Qlty]],Lookups!$A$62:$E$75,2,FALSE)</f>
        <v>44121.038090000002</v>
      </c>
      <c r="BW197" s="12">
        <f>VLOOKUP(Sales[[#This Row],[Cnd]],Lookups!$A$76:$E$84,2,FALSE)</f>
        <v>197752.34721000001</v>
      </c>
      <c r="BX197" s="12">
        <f>Sales[[#This Row],[EffAge]]*Lookups!$B$85</f>
        <v>-11821.416826500001</v>
      </c>
      <c r="BY197" s="12">
        <f>Sales[[#This Row],[MainFn]]*Lookups!$B$86</f>
        <v>53361.363467160001</v>
      </c>
      <c r="BZ197" s="12">
        <f>Sales[[#This Row],[UpprFn]]*Lookups!$B$87</f>
        <v>19347.734675952001</v>
      </c>
      <c r="CA197" s="12">
        <f>Sales[[#This Row],[AddFn]]*Lookups!$B$88</f>
        <v>0</v>
      </c>
      <c r="CB197" s="12">
        <f>Sales[[#This Row],[Bsmt]]*Lookups!$B$89</f>
        <v>0</v>
      </c>
      <c r="CC197" s="12">
        <f>Sales[[#This Row],[Fixtures]]*Lookups!$B$90</f>
        <v>30336.176841600001</v>
      </c>
      <c r="CD197" s="12">
        <f>Sales[[#This Row],[WdDeck]]*Lookups!$B$91</f>
        <v>5693.5331121960007</v>
      </c>
      <c r="CE197" s="12">
        <f>SUM(Sales[[#This Row],[Days Prior Total]:[Mdl WdDeck]])</f>
        <v>358926.78319568932</v>
      </c>
      <c r="CF197" s="12">
        <f>ROUND(Sales[[#This Row],[25Det]],-2)</f>
        <v>8100</v>
      </c>
      <c r="CG197" s="12">
        <f>ROUND(SUM(Sales[[#This Row],[Mdl Qlty]:[Mdl WdDeck]])+Sales[[#This Row],[Mdl Res Intercept]]+Sales[[#This Row],[Days Prior Total]],-2)</f>
        <v>320000</v>
      </c>
      <c r="CH197" s="12">
        <f>ROUND(Sales[[#This Row],[Mdl Land Intercept]]+Sales[[#This Row],[Mdl LnAcres]],-2)</f>
        <v>38900</v>
      </c>
      <c r="CI197" s="12">
        <f>Sales[[#This Row],[Unadj Res Value]]+Sales[[#This Row],[Unadj Det Value]]+Sales[[#This Row],[Unadj Land Value]]</f>
        <v>367000</v>
      </c>
      <c r="CJ197" s="13">
        <f>Sales[[#This Row],[Unadj Total Value]]/Sales[[#This Row],[Price]]</f>
        <v>0.97347480106100792</v>
      </c>
      <c r="CK197" s="13">
        <f>(Sales[[#This Row],[Unadj Total Value]]-Sales[[#This Row],[24Final]])/Sales[[#This Row],[24Final]]</f>
        <v>5.7332180927686549E-2</v>
      </c>
      <c r="CL197">
        <f>VLOOKUP(Sales[[#This Row],[TNbhd]],Lookups!$Q$2:$T$4,4,FALSE)</f>
        <v>0.99970000000000003</v>
      </c>
      <c r="CM197">
        <f>VLOOKUP(Sales[[#This Row],[Qlty]],Lookups!$O$7:$R$21,4,FALSE)</f>
        <v>0.98050000000000004</v>
      </c>
      <c r="CN197">
        <f>VLOOKUP(Sales[[#This Row],[Cnd]],Lookups!$T$7:$W$16,4,FALSE)</f>
        <v>0.99650000000000005</v>
      </c>
      <c r="CO197">
        <f>VLOOKUP(Sales[[#This Row],[LivArea Range]],Lookups!$T$25:$W$37,4,FALSE)</f>
        <v>1.0093000000000001</v>
      </c>
      <c r="CP197">
        <f>VLOOKUP(Sales[[#This Row],[Decade]],Lookups!$O$25:$R$42,4,FALSE)</f>
        <v>0.98909999999999998</v>
      </c>
      <c r="CQ197">
        <f>Sales[[#This Row],[Nbhd Adj]]*0.95</f>
        <v>0.94971499999999998</v>
      </c>
      <c r="CR197">
        <f>Sales[[#This Row],[Nbhd Adj]]*Sales[[#This Row],[Quality Adj]]*Sales[[#This Row],[Condition Adj]]*Sales[[#This Row],[Living Area Adj]]*Sales[[#This Row],[Decade Adj]]*0.95</f>
        <v>0.92635760994173622</v>
      </c>
      <c r="CS197">
        <f>ROUND(SUM(Sales[[#This Row],[Mdl Qlty]:[Mdl WdDeck]])+Sales[[#This Row],[Mdl Res Intercept]]*Sales[[#This Row],[Res Adj ]],-2)</f>
        <v>338800</v>
      </c>
      <c r="CT197">
        <f>ROUND(Sales[[#This Row],[25Det]]*Sales[[#This Row],[Det/Nbhd Adj]],-2)</f>
        <v>7700</v>
      </c>
      <c r="CU197">
        <f>Sales[[#This Row],[Adjusted Res]]+Sales[[#This Row],[Adj Det ]]</f>
        <v>346500</v>
      </c>
      <c r="CV197">
        <f>ROUND((Sales[[#This Row],[Mdl Land Intercept]]+Sales[[#This Row],[Mdl LnAcres]])*Sales[[#This Row],[Det/Nbhd Adj]],-2)</f>
        <v>36900</v>
      </c>
      <c r="CW197">
        <f>Sales[[#This Row],[Adjusted Impr Total]]+Sales[[#This Row],[Adjusted Land Total]]</f>
        <v>383400</v>
      </c>
      <c r="CX197" s="15">
        <f>IFERROR((Sales[[#This Row],[Adjusted Impr Total]]-Sales[[#This Row],[24Bldg]])/Sales[[#This Row],[24Bldg]],0)</f>
        <v>0.20020782819535851</v>
      </c>
      <c r="CY197" s="15">
        <f>(Sales[[#This Row],[Adjusted Land Total]]-Sales[[#This Row],[24Lnd]])/Sales[[#This Row],[24Lnd]]</f>
        <v>-0.36815068493150682</v>
      </c>
      <c r="CZ197" s="15">
        <f>(Sales[[#This Row],[Adjusted Total]]-Sales[[#This Row],[24Final]])/Sales[[#This Row],[24Final]]</f>
        <v>0.10458081244598098</v>
      </c>
      <c r="DA197" s="15">
        <f>(Sales[[#This Row],[Adjusted Total]]+Sales[[#This Row],[Days Prior Total]])/Sales[[#This Row],[Price]]</f>
        <v>0.96719235997978781</v>
      </c>
    </row>
    <row r="198" spans="1:105" x14ac:dyDescent="0.3">
      <c r="A198">
        <v>2025</v>
      </c>
      <c r="B198">
        <v>18132331492</v>
      </c>
      <c r="C198">
        <v>-1.8325814637483102</v>
      </c>
      <c r="D198">
        <v>0.16</v>
      </c>
      <c r="E198">
        <v>0</v>
      </c>
      <c r="F198">
        <v>6</v>
      </c>
      <c r="G198" t="s">
        <v>126</v>
      </c>
      <c r="H198">
        <v>3032</v>
      </c>
      <c r="I198" t="s">
        <v>349</v>
      </c>
      <c r="J198" t="s">
        <v>30</v>
      </c>
      <c r="K198">
        <v>11</v>
      </c>
      <c r="L198">
        <v>259</v>
      </c>
      <c r="M198" t="s">
        <v>242</v>
      </c>
      <c r="N198" t="s">
        <v>148</v>
      </c>
      <c r="O198" t="s">
        <v>352</v>
      </c>
      <c r="P198">
        <v>90</v>
      </c>
      <c r="Q198">
        <v>1935</v>
      </c>
      <c r="R198">
        <v>1971</v>
      </c>
      <c r="S198">
        <v>89</v>
      </c>
      <c r="T198">
        <v>53</v>
      </c>
      <c r="U198">
        <v>1</v>
      </c>
      <c r="V198">
        <v>1351</v>
      </c>
      <c r="W198">
        <v>0</v>
      </c>
      <c r="X198">
        <v>0</v>
      </c>
      <c r="Y198">
        <v>672</v>
      </c>
      <c r="Z198">
        <v>0</v>
      </c>
      <c r="AA198">
        <v>672</v>
      </c>
      <c r="AB198">
        <v>2023</v>
      </c>
      <c r="AC198">
        <v>2500</v>
      </c>
      <c r="AD198">
        <v>0</v>
      </c>
      <c r="AF198" t="s">
        <v>383</v>
      </c>
      <c r="AG198" t="s">
        <v>148</v>
      </c>
      <c r="AH198" t="s">
        <v>450</v>
      </c>
      <c r="AI198">
        <v>0</v>
      </c>
      <c r="AJ198">
        <v>1</v>
      </c>
      <c r="AK198">
        <v>0</v>
      </c>
      <c r="AL198">
        <v>1</v>
      </c>
      <c r="AM198">
        <v>0</v>
      </c>
      <c r="AN198">
        <v>8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100</v>
      </c>
      <c r="AV198">
        <v>100</v>
      </c>
      <c r="AW198">
        <v>362755</v>
      </c>
      <c r="AX198">
        <v>293832</v>
      </c>
      <c r="AY198">
        <v>1028</v>
      </c>
      <c r="AZ198">
        <v>365</v>
      </c>
      <c r="BA198">
        <v>365</v>
      </c>
      <c r="BB198">
        <v>298</v>
      </c>
      <c r="BC198" s="3">
        <v>44264</v>
      </c>
      <c r="BD198" t="s">
        <v>403</v>
      </c>
      <c r="BE198">
        <v>420000</v>
      </c>
      <c r="BF198">
        <v>412005</v>
      </c>
      <c r="BG198" t="s">
        <v>294</v>
      </c>
      <c r="BH198">
        <v>30</v>
      </c>
      <c r="BI198" t="s">
        <v>65</v>
      </c>
      <c r="BJ198" t="s">
        <v>450</v>
      </c>
      <c r="BK198">
        <v>399000</v>
      </c>
      <c r="BL198">
        <v>50600</v>
      </c>
      <c r="BM198">
        <v>348400</v>
      </c>
      <c r="BN198">
        <v>7995</v>
      </c>
      <c r="BO198">
        <v>0.95</v>
      </c>
      <c r="BP198">
        <v>404170.06179108663</v>
      </c>
      <c r="BQ198">
        <v>465581.51632122422</v>
      </c>
      <c r="BR198" s="12">
        <f>(Sales[[#This Row],[DP1]]*Lookups!$B$59)+(Sales[[#This Row],[DP2]]*Lookups!$B$60)+(Sales[[#This Row],[DP3]]*Lookups!$B$61)</f>
        <v>-61411.454539270002</v>
      </c>
      <c r="BS198" s="12">
        <f>Lookups!$B$56*0</f>
        <v>0</v>
      </c>
      <c r="BT198" s="12">
        <f>Lookups!$B$56*1</f>
        <v>89850.625589999996</v>
      </c>
      <c r="BU198" s="12">
        <f>Lookups!$B$57*Sales[[#This Row],[LnAcres]]</f>
        <v>-58009.662049032086</v>
      </c>
      <c r="BV198" s="12">
        <f>VLOOKUP(Sales[[#This Row],[Qlty]],Lookups!$A$62:$E$75,2,FALSE)</f>
        <v>44121.038090000002</v>
      </c>
      <c r="BW198" s="12">
        <f>VLOOKUP(Sales[[#This Row],[Cnd]],Lookups!$A$76:$E$84,2,FALSE)</f>
        <v>284810.60806</v>
      </c>
      <c r="BX198" s="12">
        <f>Sales[[#This Row],[EffAge]]*Lookups!$B$85</f>
        <v>-11821.416826500001</v>
      </c>
      <c r="BY198" s="12">
        <f>Sales[[#This Row],[MainFn]]*Lookups!$B$86</f>
        <v>66751.113003827006</v>
      </c>
      <c r="BZ198" s="12">
        <f>Sales[[#This Row],[UpprFn]]*Lookups!$B$87</f>
        <v>0</v>
      </c>
      <c r="CA198" s="12">
        <f>Sales[[#This Row],[AddFn]]*Lookups!$B$88</f>
        <v>0</v>
      </c>
      <c r="CB198" s="12">
        <f>Sales[[#This Row],[Bsmt]]*Lookups!$B$89</f>
        <v>19543.033605983997</v>
      </c>
      <c r="CC198" s="12">
        <f>Sales[[#This Row],[Fixtures]]*Lookups!$B$90</f>
        <v>30336.176841600001</v>
      </c>
      <c r="CD198" s="12">
        <f>Sales[[#This Row],[WdDeck]]*Lookups!$B$91</f>
        <v>0</v>
      </c>
      <c r="CE198" s="12">
        <f>SUM(Sales[[#This Row],[Days Prior Total]:[Mdl WdDeck]])</f>
        <v>404170.06177660893</v>
      </c>
      <c r="CF198" s="12">
        <f>ROUND(Sales[[#This Row],[25Det]],-2)</f>
        <v>8000</v>
      </c>
      <c r="CG198" s="12">
        <f>ROUND(SUM(Sales[[#This Row],[Mdl Qlty]:[Mdl WdDeck]])+Sales[[#This Row],[Mdl Res Intercept]]+Sales[[#This Row],[Days Prior Total]],-2)</f>
        <v>372300</v>
      </c>
      <c r="CH198" s="12">
        <f>ROUND(Sales[[#This Row],[Mdl Land Intercept]]+Sales[[#This Row],[Mdl LnAcres]],-2)</f>
        <v>31800</v>
      </c>
      <c r="CI198" s="12">
        <f>Sales[[#This Row],[Unadj Res Value]]+Sales[[#This Row],[Unadj Det Value]]+Sales[[#This Row],[Unadj Land Value]]</f>
        <v>412100</v>
      </c>
      <c r="CJ198" s="13">
        <f>Sales[[#This Row],[Unadj Total Value]]/Sales[[#This Row],[Price]]</f>
        <v>0.98119047619047617</v>
      </c>
      <c r="CK198" s="13">
        <f>(Sales[[#This Row],[Unadj Total Value]]-Sales[[#This Row],[24Final]])/Sales[[#This Row],[24Final]]</f>
        <v>3.2832080200501254E-2</v>
      </c>
      <c r="CL198">
        <f>VLOOKUP(Sales[[#This Row],[TNbhd]],Lookups!$Q$2:$T$4,4,FALSE)</f>
        <v>0.99970000000000003</v>
      </c>
      <c r="CM198">
        <f>VLOOKUP(Sales[[#This Row],[Qlty]],Lookups!$O$7:$R$21,4,FALSE)</f>
        <v>0.98050000000000004</v>
      </c>
      <c r="CN198">
        <f>VLOOKUP(Sales[[#This Row],[Cnd]],Lookups!$T$7:$W$16,4,FALSE)</f>
        <v>1.0158</v>
      </c>
      <c r="CO198">
        <f>VLOOKUP(Sales[[#This Row],[LivArea Range]],Lookups!$T$25:$W$37,4,FALSE)</f>
        <v>0.98919999999999997</v>
      </c>
      <c r="CP198">
        <f>VLOOKUP(Sales[[#This Row],[Decade]],Lookups!$O$25:$R$42,4,FALSE)</f>
        <v>0.98909999999999998</v>
      </c>
      <c r="CQ198">
        <f>Sales[[#This Row],[Nbhd Adj]]*0.95</f>
        <v>0.94971499999999998</v>
      </c>
      <c r="CR198">
        <f>Sales[[#This Row],[Nbhd Adj]]*Sales[[#This Row],[Quality Adj]]*Sales[[#This Row],[Condition Adj]]*Sales[[#This Row],[Living Area Adj]]*Sales[[#This Row],[Decade Adj]]*0.95</f>
        <v>0.92549358634432277</v>
      </c>
      <c r="CS198">
        <f>ROUND(SUM(Sales[[#This Row],[Mdl Qlty]:[Mdl WdDeck]])+Sales[[#This Row],[Mdl Res Intercept]]*Sales[[#This Row],[Res Adj ]],-2)</f>
        <v>433700</v>
      </c>
      <c r="CT198">
        <f>ROUND(Sales[[#This Row],[25Det]]*Sales[[#This Row],[Det/Nbhd Adj]],-2)</f>
        <v>7600</v>
      </c>
      <c r="CU198">
        <f>Sales[[#This Row],[Adjusted Res]]+Sales[[#This Row],[Adj Det ]]</f>
        <v>441300</v>
      </c>
      <c r="CV198">
        <f>ROUND((Sales[[#This Row],[Mdl Land Intercept]]+Sales[[#This Row],[Mdl LnAcres]])*Sales[[#This Row],[Det/Nbhd Adj]],-2)</f>
        <v>30200</v>
      </c>
      <c r="CW198">
        <f>Sales[[#This Row],[Adjusted Impr Total]]+Sales[[#This Row],[Adjusted Land Total]]</f>
        <v>471500</v>
      </c>
      <c r="CX198" s="15">
        <f>IFERROR((Sales[[#This Row],[Adjusted Impr Total]]-Sales[[#This Row],[24Bldg]])/Sales[[#This Row],[24Bldg]],0)</f>
        <v>0.26664753157290472</v>
      </c>
      <c r="CY198" s="15">
        <f>(Sales[[#This Row],[Adjusted Land Total]]-Sales[[#This Row],[24Lnd]])/Sales[[#This Row],[24Lnd]]</f>
        <v>-0.40316205533596838</v>
      </c>
      <c r="CZ198" s="15">
        <f>(Sales[[#This Row],[Adjusted Total]]-Sales[[#This Row],[24Final]])/Sales[[#This Row],[24Final]]</f>
        <v>0.18170426065162906</v>
      </c>
      <c r="DA198" s="15">
        <f>(Sales[[#This Row],[Adjusted Total]]+Sales[[#This Row],[Days Prior Total]])/Sales[[#This Row],[Price]]</f>
        <v>0.97640129871602377</v>
      </c>
    </row>
    <row r="199" spans="1:105" x14ac:dyDescent="0.3">
      <c r="A199">
        <v>2025</v>
      </c>
      <c r="B199">
        <v>18132331494</v>
      </c>
      <c r="C199">
        <v>-1.7147984280919266</v>
      </c>
      <c r="D199">
        <v>0.18</v>
      </c>
      <c r="E199">
        <v>0</v>
      </c>
      <c r="F199">
        <v>6</v>
      </c>
      <c r="G199" t="s">
        <v>126</v>
      </c>
      <c r="H199">
        <v>3032</v>
      </c>
      <c r="I199" t="s">
        <v>349</v>
      </c>
      <c r="J199" t="s">
        <v>30</v>
      </c>
      <c r="K199">
        <v>11</v>
      </c>
      <c r="L199">
        <v>259</v>
      </c>
      <c r="M199" t="s">
        <v>147</v>
      </c>
      <c r="N199" t="s">
        <v>302</v>
      </c>
      <c r="O199" t="s">
        <v>303</v>
      </c>
      <c r="P199">
        <v>90</v>
      </c>
      <c r="Q199">
        <v>1935</v>
      </c>
      <c r="R199">
        <v>1971</v>
      </c>
      <c r="S199">
        <v>89</v>
      </c>
      <c r="T199">
        <v>53</v>
      </c>
      <c r="U199">
        <v>2</v>
      </c>
      <c r="V199">
        <v>1172</v>
      </c>
      <c r="W199">
        <v>309</v>
      </c>
      <c r="X199">
        <v>0</v>
      </c>
      <c r="Y199">
        <v>420</v>
      </c>
      <c r="Z199">
        <v>0</v>
      </c>
      <c r="AA199">
        <v>420</v>
      </c>
      <c r="AB199">
        <v>1901</v>
      </c>
      <c r="AC199">
        <v>2000</v>
      </c>
      <c r="AD199">
        <v>0</v>
      </c>
      <c r="AF199" t="s">
        <v>383</v>
      </c>
      <c r="AG199" t="s">
        <v>148</v>
      </c>
      <c r="AI199">
        <v>0</v>
      </c>
      <c r="AJ199">
        <v>1</v>
      </c>
      <c r="AK199">
        <v>0</v>
      </c>
      <c r="AL199">
        <v>0</v>
      </c>
      <c r="AM199">
        <v>1</v>
      </c>
      <c r="AN199">
        <v>8</v>
      </c>
      <c r="AO199">
        <v>0</v>
      </c>
      <c r="AP199">
        <v>0</v>
      </c>
      <c r="AQ199">
        <v>0</v>
      </c>
      <c r="AR199">
        <v>0</v>
      </c>
      <c r="AS199">
        <v>346</v>
      </c>
      <c r="AT199">
        <v>346</v>
      </c>
      <c r="AU199">
        <v>100</v>
      </c>
      <c r="AV199">
        <v>100</v>
      </c>
      <c r="AW199">
        <v>281801</v>
      </c>
      <c r="AX199">
        <v>214169</v>
      </c>
      <c r="AY199">
        <v>630</v>
      </c>
      <c r="AZ199">
        <v>365</v>
      </c>
      <c r="BA199">
        <v>265</v>
      </c>
      <c r="BB199">
        <v>0</v>
      </c>
      <c r="BC199" s="3">
        <v>44662</v>
      </c>
      <c r="BD199" t="s">
        <v>229</v>
      </c>
      <c r="BE199">
        <v>356200</v>
      </c>
      <c r="BF199">
        <v>348109</v>
      </c>
      <c r="BG199" t="s">
        <v>294</v>
      </c>
      <c r="BH199">
        <v>30</v>
      </c>
      <c r="BI199" t="s">
        <v>65</v>
      </c>
      <c r="BJ199" t="s">
        <v>450</v>
      </c>
      <c r="BK199">
        <v>348400</v>
      </c>
      <c r="BL199">
        <v>54700</v>
      </c>
      <c r="BM199">
        <v>293700</v>
      </c>
      <c r="BN199">
        <v>8091</v>
      </c>
      <c r="BO199">
        <v>0.97810218978102192</v>
      </c>
      <c r="BP199">
        <v>342900.20116733469</v>
      </c>
      <c r="BQ199">
        <v>365610.90242599533</v>
      </c>
      <c r="BR199" s="12">
        <f>(Sales[[#This Row],[DP1]]*Lookups!$B$59)+(Sales[[#This Row],[DP2]]*Lookups!$B$60)+(Sales[[#This Row],[DP3]]*Lookups!$B$61)</f>
        <v>-22710.701260270002</v>
      </c>
      <c r="BS199" s="12">
        <f>Lookups!$B$56*0</f>
        <v>0</v>
      </c>
      <c r="BT199" s="12">
        <f>Lookups!$B$56*1</f>
        <v>89850.625589999996</v>
      </c>
      <c r="BU199" s="12">
        <f>Lookups!$B$57*Sales[[#This Row],[LnAcres]]</f>
        <v>-54281.285314520763</v>
      </c>
      <c r="BV199" s="12">
        <f>VLOOKUP(Sales[[#This Row],[Qlty]],Lookups!$A$62:$E$75,2,FALSE)</f>
        <v>29814.093161000001</v>
      </c>
      <c r="BW199" s="12">
        <f>VLOOKUP(Sales[[#This Row],[Cnd]],Lookups!$A$76:$E$84,2,FALSE)</f>
        <v>197752.34721000001</v>
      </c>
      <c r="BX199" s="12">
        <f>Sales[[#This Row],[EffAge]]*Lookups!$B$85</f>
        <v>-11821.416826500001</v>
      </c>
      <c r="BY199" s="12">
        <f>Sales[[#This Row],[MainFn]]*Lookups!$B$86</f>
        <v>57906.961095844003</v>
      </c>
      <c r="BZ199" s="12">
        <f>Sales[[#This Row],[UpprFn]]*Lookups!$B$87</f>
        <v>13839.004664049</v>
      </c>
      <c r="CA199" s="12">
        <f>Sales[[#This Row],[AddFn]]*Lookups!$B$88</f>
        <v>0</v>
      </c>
      <c r="CB199" s="12">
        <f>Sales[[#This Row],[Bsmt]]*Lookups!$B$89</f>
        <v>12214.396003739999</v>
      </c>
      <c r="CC199" s="12">
        <f>Sales[[#This Row],[Fixtures]]*Lookups!$B$90</f>
        <v>30336.176841600001</v>
      </c>
      <c r="CD199" s="12">
        <f>Sales[[#This Row],[WdDeck]]*Lookups!$B$91</f>
        <v>0</v>
      </c>
      <c r="CE199" s="12">
        <f>SUM(Sales[[#This Row],[Days Prior Total]:[Mdl WdDeck]])</f>
        <v>342900.20116494229</v>
      </c>
      <c r="CF199" s="12">
        <f>ROUND(Sales[[#This Row],[25Det]],-2)</f>
        <v>8100</v>
      </c>
      <c r="CG199" s="12">
        <f>ROUND(SUM(Sales[[#This Row],[Mdl Qlty]:[Mdl WdDeck]])+Sales[[#This Row],[Mdl Res Intercept]]+Sales[[#This Row],[Days Prior Total]],-2)</f>
        <v>307300</v>
      </c>
      <c r="CH199" s="12">
        <f>ROUND(Sales[[#This Row],[Mdl Land Intercept]]+Sales[[#This Row],[Mdl LnAcres]],-2)</f>
        <v>35600</v>
      </c>
      <c r="CI199" s="12">
        <f>Sales[[#This Row],[Unadj Res Value]]+Sales[[#This Row],[Unadj Det Value]]+Sales[[#This Row],[Unadj Land Value]]</f>
        <v>351000</v>
      </c>
      <c r="CJ199" s="13">
        <f>Sales[[#This Row],[Unadj Total Value]]/Sales[[#This Row],[Price]]</f>
        <v>0.98540145985401462</v>
      </c>
      <c r="CK199" s="13">
        <f>(Sales[[#This Row],[Unadj Total Value]]-Sales[[#This Row],[24Final]])/Sales[[#This Row],[24Final]]</f>
        <v>7.462686567164179E-3</v>
      </c>
      <c r="CL199">
        <f>VLOOKUP(Sales[[#This Row],[TNbhd]],Lookups!$Q$2:$T$4,4,FALSE)</f>
        <v>0.99970000000000003</v>
      </c>
      <c r="CM199">
        <f>VLOOKUP(Sales[[#This Row],[Qlty]],Lookups!$O$7:$R$21,4,FALSE)</f>
        <v>1.0088999999999999</v>
      </c>
      <c r="CN199">
        <f>VLOOKUP(Sales[[#This Row],[Cnd]],Lookups!$T$7:$W$16,4,FALSE)</f>
        <v>0.99650000000000005</v>
      </c>
      <c r="CO199">
        <f>VLOOKUP(Sales[[#This Row],[LivArea Range]],Lookups!$T$25:$W$37,4,FALSE)</f>
        <v>1.0093000000000001</v>
      </c>
      <c r="CP199">
        <f>VLOOKUP(Sales[[#This Row],[Decade]],Lookups!$O$25:$R$42,4,FALSE)</f>
        <v>0.98909999999999998</v>
      </c>
      <c r="CQ199">
        <f>Sales[[#This Row],[Nbhd Adj]]*0.95</f>
        <v>0.94971499999999998</v>
      </c>
      <c r="CR199">
        <f>Sales[[#This Row],[Nbhd Adj]]*Sales[[#This Row],[Quality Adj]]*Sales[[#This Row],[Condition Adj]]*Sales[[#This Row],[Living Area Adj]]*Sales[[#This Row],[Decade Adj]]*0.95</f>
        <v>0.95318938569119571</v>
      </c>
      <c r="CS199">
        <f>ROUND(SUM(Sales[[#This Row],[Mdl Qlty]:[Mdl WdDeck]])+Sales[[#This Row],[Mdl Res Intercept]]*Sales[[#This Row],[Res Adj ]],-2)</f>
        <v>330000</v>
      </c>
      <c r="CT199">
        <f>ROUND(Sales[[#This Row],[25Det]]*Sales[[#This Row],[Det/Nbhd Adj]],-2)</f>
        <v>7700</v>
      </c>
      <c r="CU199">
        <f>Sales[[#This Row],[Adjusted Res]]+Sales[[#This Row],[Adj Det ]]</f>
        <v>337700</v>
      </c>
      <c r="CV199">
        <f>ROUND((Sales[[#This Row],[Mdl Land Intercept]]+Sales[[#This Row],[Mdl LnAcres]])*Sales[[#This Row],[Det/Nbhd Adj]],-2)</f>
        <v>33800</v>
      </c>
      <c r="CW199">
        <f>Sales[[#This Row],[Adjusted Impr Total]]+Sales[[#This Row],[Adjusted Land Total]]</f>
        <v>371500</v>
      </c>
      <c r="CX199" s="15">
        <f>IFERROR((Sales[[#This Row],[Adjusted Impr Total]]-Sales[[#This Row],[24Bldg]])/Sales[[#This Row],[24Bldg]],0)</f>
        <v>0.14981273408239701</v>
      </c>
      <c r="CY199" s="15">
        <f>(Sales[[#This Row],[Adjusted Land Total]]-Sales[[#This Row],[24Lnd]])/Sales[[#This Row],[24Lnd]]</f>
        <v>-0.38208409506398539</v>
      </c>
      <c r="CZ199" s="15">
        <f>(Sales[[#This Row],[Adjusted Total]]-Sales[[#This Row],[24Final]])/Sales[[#This Row],[24Final]]</f>
        <v>6.630309988518944E-2</v>
      </c>
      <c r="DA199" s="15">
        <f>(Sales[[#This Row],[Adjusted Total]]+Sales[[#This Row],[Days Prior Total]])/Sales[[#This Row],[Price]]</f>
        <v>0.97919511156577754</v>
      </c>
    </row>
    <row r="200" spans="1:105" x14ac:dyDescent="0.3">
      <c r="A200">
        <v>2025</v>
      </c>
      <c r="B200">
        <v>18132214408</v>
      </c>
      <c r="C200">
        <v>-1.9661128563728327</v>
      </c>
      <c r="D200">
        <v>0.14000000000000001</v>
      </c>
      <c r="E200">
        <v>6298</v>
      </c>
      <c r="F200">
        <v>6</v>
      </c>
      <c r="G200" t="s">
        <v>126</v>
      </c>
      <c r="H200">
        <v>3033</v>
      </c>
      <c r="I200" t="s">
        <v>349</v>
      </c>
      <c r="J200" t="s">
        <v>30</v>
      </c>
      <c r="K200">
        <v>11</v>
      </c>
      <c r="L200">
        <v>259</v>
      </c>
      <c r="M200" t="s">
        <v>242</v>
      </c>
      <c r="N200" t="s">
        <v>302</v>
      </c>
      <c r="O200" t="s">
        <v>303</v>
      </c>
      <c r="P200">
        <v>90</v>
      </c>
      <c r="Q200">
        <v>1935</v>
      </c>
      <c r="R200">
        <v>1971</v>
      </c>
      <c r="S200">
        <v>89</v>
      </c>
      <c r="T200">
        <v>53</v>
      </c>
      <c r="U200">
        <v>1</v>
      </c>
      <c r="V200">
        <v>1357</v>
      </c>
      <c r="W200">
        <v>0</v>
      </c>
      <c r="X200">
        <v>0</v>
      </c>
      <c r="Y200">
        <v>1097</v>
      </c>
      <c r="Z200">
        <v>0</v>
      </c>
      <c r="AA200">
        <v>1097</v>
      </c>
      <c r="AB200">
        <v>2454</v>
      </c>
      <c r="AC200">
        <v>2500</v>
      </c>
      <c r="AD200">
        <v>0</v>
      </c>
      <c r="AF200" t="s">
        <v>383</v>
      </c>
      <c r="AG200" t="s">
        <v>148</v>
      </c>
      <c r="AH200" t="s">
        <v>450</v>
      </c>
      <c r="AI200">
        <v>0</v>
      </c>
      <c r="AJ200">
        <v>1</v>
      </c>
      <c r="AK200">
        <v>0</v>
      </c>
      <c r="AL200">
        <v>0</v>
      </c>
      <c r="AM200">
        <v>0</v>
      </c>
      <c r="AN200">
        <v>10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100</v>
      </c>
      <c r="AV200">
        <v>100</v>
      </c>
      <c r="AW200">
        <v>325972</v>
      </c>
      <c r="AX200">
        <v>247739</v>
      </c>
      <c r="AY200">
        <v>203</v>
      </c>
      <c r="AZ200">
        <v>203</v>
      </c>
      <c r="BA200">
        <v>0</v>
      </c>
      <c r="BB200">
        <v>0</v>
      </c>
      <c r="BC200" s="3">
        <v>45089</v>
      </c>
      <c r="BD200" t="s">
        <v>161</v>
      </c>
      <c r="BE200">
        <v>370000</v>
      </c>
      <c r="BF200">
        <v>369297</v>
      </c>
      <c r="BG200" t="s">
        <v>294</v>
      </c>
      <c r="BH200">
        <v>30</v>
      </c>
      <c r="BI200" t="s">
        <v>65</v>
      </c>
      <c r="BJ200" t="s">
        <v>450</v>
      </c>
      <c r="BK200">
        <v>360400</v>
      </c>
      <c r="BL200">
        <v>46000</v>
      </c>
      <c r="BM200">
        <v>314400</v>
      </c>
      <c r="BN200">
        <v>703</v>
      </c>
      <c r="BO200">
        <v>0.9740540540540541</v>
      </c>
      <c r="BP200">
        <v>365906.41342191893</v>
      </c>
      <c r="BQ200">
        <v>380229.72732477158</v>
      </c>
      <c r="BR200" s="12">
        <f>(Sales[[#This Row],[DP1]]*Lookups!$B$59)+(Sales[[#This Row],[DP2]]*Lookups!$B$60)+(Sales[[#This Row],[DP3]]*Lookups!$B$61)</f>
        <v>-14323.313903710001</v>
      </c>
      <c r="BS200" s="12">
        <f>Lookups!$B$56*0</f>
        <v>0</v>
      </c>
      <c r="BT200" s="12">
        <f>Lookups!$B$56*1</f>
        <v>89850.625589999996</v>
      </c>
      <c r="BU200" s="12">
        <f>Lookups!$B$57*Sales[[#This Row],[LnAcres]]</f>
        <v>-62236.546971921947</v>
      </c>
      <c r="BV200" s="12">
        <f>VLOOKUP(Sales[[#This Row],[Qlty]],Lookups!$A$62:$E$75,2,FALSE)</f>
        <v>29814.093161000001</v>
      </c>
      <c r="BW200" s="12">
        <f>VLOOKUP(Sales[[#This Row],[Cnd]],Lookups!$A$76:$E$84,2,FALSE)</f>
        <v>197752.34721000001</v>
      </c>
      <c r="BX200" s="12">
        <f>Sales[[#This Row],[EffAge]]*Lookups!$B$85</f>
        <v>-11821.416826500001</v>
      </c>
      <c r="BY200" s="12">
        <f>Sales[[#This Row],[MainFn]]*Lookups!$B$86</f>
        <v>67047.565023089002</v>
      </c>
      <c r="BZ200" s="12">
        <f>Sales[[#This Row],[UpprFn]]*Lookups!$B$87</f>
        <v>0</v>
      </c>
      <c r="CA200" s="12">
        <f>Sales[[#This Row],[AddFn]]*Lookups!$B$88</f>
        <v>0</v>
      </c>
      <c r="CB200" s="12">
        <f>Sales[[#This Row],[Bsmt]]*Lookups!$B$89</f>
        <v>31902.839085959</v>
      </c>
      <c r="CC200" s="12">
        <f>Sales[[#This Row],[Fixtures]]*Lookups!$B$90</f>
        <v>37920.221052000001</v>
      </c>
      <c r="CD200" s="12">
        <f>Sales[[#This Row],[WdDeck]]*Lookups!$B$91</f>
        <v>0</v>
      </c>
      <c r="CE200" s="12">
        <f>SUM(Sales[[#This Row],[Days Prior Total]:[Mdl WdDeck]])</f>
        <v>365906.41341991612</v>
      </c>
      <c r="CF200" s="12">
        <f>ROUND(Sales[[#This Row],[25Det]],-2)</f>
        <v>700</v>
      </c>
      <c r="CG200" s="12">
        <f>ROUND(SUM(Sales[[#This Row],[Mdl Qlty]:[Mdl WdDeck]])+Sales[[#This Row],[Mdl Res Intercept]]+Sales[[#This Row],[Days Prior Total]],-2)</f>
        <v>338300</v>
      </c>
      <c r="CH200" s="12">
        <f>ROUND(Sales[[#This Row],[Mdl Land Intercept]]+Sales[[#This Row],[Mdl LnAcres]],-2)</f>
        <v>27600</v>
      </c>
      <c r="CI200" s="12">
        <f>Sales[[#This Row],[Unadj Res Value]]+Sales[[#This Row],[Unadj Det Value]]+Sales[[#This Row],[Unadj Land Value]]</f>
        <v>366600</v>
      </c>
      <c r="CJ200" s="13">
        <f>Sales[[#This Row],[Unadj Total Value]]/Sales[[#This Row],[Price]]</f>
        <v>0.99081081081081079</v>
      </c>
      <c r="CK200" s="13">
        <f>(Sales[[#This Row],[Unadj Total Value]]-Sales[[#This Row],[24Final]])/Sales[[#This Row],[24Final]]</f>
        <v>1.7203107658157604E-2</v>
      </c>
      <c r="CL200">
        <f>VLOOKUP(Sales[[#This Row],[TNbhd]],Lookups!$Q$2:$T$4,4,FALSE)</f>
        <v>0.99970000000000003</v>
      </c>
      <c r="CM200">
        <f>VLOOKUP(Sales[[#This Row],[Qlty]],Lookups!$O$7:$R$21,4,FALSE)</f>
        <v>1.0088999999999999</v>
      </c>
      <c r="CN200">
        <f>VLOOKUP(Sales[[#This Row],[Cnd]],Lookups!$T$7:$W$16,4,FALSE)</f>
        <v>0.99650000000000005</v>
      </c>
      <c r="CO200">
        <f>VLOOKUP(Sales[[#This Row],[LivArea Range]],Lookups!$T$25:$W$37,4,FALSE)</f>
        <v>0.98919999999999997</v>
      </c>
      <c r="CP200">
        <f>VLOOKUP(Sales[[#This Row],[Decade]],Lookups!$O$25:$R$42,4,FALSE)</f>
        <v>0.98909999999999998</v>
      </c>
      <c r="CQ200">
        <f>Sales[[#This Row],[Nbhd Adj]]*0.95</f>
        <v>0.94971499999999998</v>
      </c>
      <c r="CR200">
        <f>Sales[[#This Row],[Nbhd Adj]]*Sales[[#This Row],[Quality Adj]]*Sales[[#This Row],[Condition Adj]]*Sales[[#This Row],[Living Area Adj]]*Sales[[#This Row],[Decade Adj]]*0.95</f>
        <v>0.93420681692829766</v>
      </c>
      <c r="CS200">
        <f>ROUND(SUM(Sales[[#This Row],[Mdl Qlty]:[Mdl WdDeck]])+Sales[[#This Row],[Mdl Res Intercept]]*Sales[[#This Row],[Res Adj ]],-2)</f>
        <v>352600</v>
      </c>
      <c r="CT200">
        <f>ROUND(Sales[[#This Row],[25Det]]*Sales[[#This Row],[Det/Nbhd Adj]],-2)</f>
        <v>700</v>
      </c>
      <c r="CU200">
        <f>Sales[[#This Row],[Adjusted Res]]+Sales[[#This Row],[Adj Det ]]</f>
        <v>353300</v>
      </c>
      <c r="CV200">
        <f>ROUND((Sales[[#This Row],[Mdl Land Intercept]]+Sales[[#This Row],[Mdl LnAcres]])*Sales[[#This Row],[Det/Nbhd Adj]],-2)</f>
        <v>26200</v>
      </c>
      <c r="CW200">
        <f>Sales[[#This Row],[Adjusted Impr Total]]+Sales[[#This Row],[Adjusted Land Total]]</f>
        <v>379500</v>
      </c>
      <c r="CX200" s="15">
        <f>IFERROR((Sales[[#This Row],[Adjusted Impr Total]]-Sales[[#This Row],[24Bldg]])/Sales[[#This Row],[24Bldg]],0)</f>
        <v>0.12372773536895675</v>
      </c>
      <c r="CY200" s="15">
        <f>(Sales[[#This Row],[Adjusted Land Total]]-Sales[[#This Row],[24Lnd]])/Sales[[#This Row],[24Lnd]]</f>
        <v>-0.43043478260869567</v>
      </c>
      <c r="CZ200" s="15">
        <f>(Sales[[#This Row],[Adjusted Total]]-Sales[[#This Row],[24Final]])/Sales[[#This Row],[24Final]]</f>
        <v>5.2996670366259713E-2</v>
      </c>
      <c r="DA200" s="15">
        <f>(Sales[[#This Row],[Adjusted Total]]+Sales[[#This Row],[Days Prior Total]])/Sales[[#This Row],[Price]]</f>
        <v>0.98696401647645948</v>
      </c>
    </row>
    <row r="201" spans="1:105" x14ac:dyDescent="0.3">
      <c r="A201">
        <v>2025</v>
      </c>
      <c r="B201">
        <v>18132331413</v>
      </c>
      <c r="C201">
        <v>-1.1086626245216111</v>
      </c>
      <c r="D201">
        <v>0.33</v>
      </c>
      <c r="E201">
        <v>14171</v>
      </c>
      <c r="F201">
        <v>6</v>
      </c>
      <c r="G201" t="s">
        <v>126</v>
      </c>
      <c r="H201">
        <v>3032</v>
      </c>
      <c r="I201" t="s">
        <v>349</v>
      </c>
      <c r="J201" t="s">
        <v>30</v>
      </c>
      <c r="K201">
        <v>11</v>
      </c>
      <c r="L201">
        <v>259</v>
      </c>
      <c r="M201" t="s">
        <v>301</v>
      </c>
      <c r="N201" t="s">
        <v>95</v>
      </c>
      <c r="O201" t="s">
        <v>303</v>
      </c>
      <c r="P201">
        <v>90</v>
      </c>
      <c r="Q201">
        <v>1935</v>
      </c>
      <c r="R201">
        <v>1971</v>
      </c>
      <c r="S201">
        <v>89</v>
      </c>
      <c r="T201">
        <v>53</v>
      </c>
      <c r="U201">
        <v>2</v>
      </c>
      <c r="V201">
        <v>1299</v>
      </c>
      <c r="W201">
        <v>984</v>
      </c>
      <c r="X201">
        <v>0</v>
      </c>
      <c r="Y201">
        <v>1038</v>
      </c>
      <c r="Z201">
        <v>726</v>
      </c>
      <c r="AA201">
        <v>312</v>
      </c>
      <c r="AB201">
        <v>2595</v>
      </c>
      <c r="AC201">
        <v>3000</v>
      </c>
      <c r="AD201">
        <v>0</v>
      </c>
      <c r="AF201" t="s">
        <v>383</v>
      </c>
      <c r="AG201" t="s">
        <v>148</v>
      </c>
      <c r="AH201" t="s">
        <v>450</v>
      </c>
      <c r="AI201">
        <v>0</v>
      </c>
      <c r="AJ201">
        <v>2</v>
      </c>
      <c r="AK201">
        <v>0</v>
      </c>
      <c r="AL201">
        <v>1</v>
      </c>
      <c r="AM201">
        <v>2</v>
      </c>
      <c r="AN201">
        <v>16</v>
      </c>
      <c r="AO201">
        <v>0</v>
      </c>
      <c r="AP201">
        <v>0</v>
      </c>
      <c r="AQ201">
        <v>0</v>
      </c>
      <c r="AR201">
        <v>0</v>
      </c>
      <c r="AS201">
        <v>146</v>
      </c>
      <c r="AT201">
        <v>80</v>
      </c>
      <c r="AU201">
        <v>100</v>
      </c>
      <c r="AV201">
        <v>100</v>
      </c>
      <c r="AW201">
        <v>524636</v>
      </c>
      <c r="AX201">
        <v>403970</v>
      </c>
      <c r="AY201">
        <v>844</v>
      </c>
      <c r="AZ201">
        <v>365</v>
      </c>
      <c r="BA201">
        <v>365</v>
      </c>
      <c r="BB201">
        <v>114</v>
      </c>
      <c r="BC201" s="3">
        <v>44448</v>
      </c>
      <c r="BD201" t="s">
        <v>234</v>
      </c>
      <c r="BE201">
        <v>480000</v>
      </c>
      <c r="BF201">
        <v>472314</v>
      </c>
      <c r="BG201" t="s">
        <v>294</v>
      </c>
      <c r="BH201">
        <v>30</v>
      </c>
      <c r="BI201" t="s">
        <v>65</v>
      </c>
      <c r="BJ201" t="s">
        <v>450</v>
      </c>
      <c r="BK201">
        <v>546900</v>
      </c>
      <c r="BL201">
        <v>75900</v>
      </c>
      <c r="BM201">
        <v>471000</v>
      </c>
      <c r="BN201">
        <v>7686</v>
      </c>
      <c r="BO201">
        <v>1.139375</v>
      </c>
      <c r="BP201">
        <v>477260.08012782066</v>
      </c>
      <c r="BQ201">
        <v>514066.73948898748</v>
      </c>
      <c r="BR201" s="12">
        <f>(Sales[[#This Row],[DP1]]*Lookups!$B$59)+(Sales[[#This Row],[DP2]]*Lookups!$B$60)+(Sales[[#This Row],[DP3]]*Lookups!$B$61)</f>
        <v>-36806.659365669999</v>
      </c>
      <c r="BS201" s="12">
        <f>Lookups!$B$56*0</f>
        <v>0</v>
      </c>
      <c r="BT201" s="12">
        <f>Lookups!$B$56*1</f>
        <v>89850.625589999996</v>
      </c>
      <c r="BU201" s="12">
        <f>Lookups!$B$57*Sales[[#This Row],[LnAcres]]</f>
        <v>-35094.289365640165</v>
      </c>
      <c r="BV201" s="12">
        <f>VLOOKUP(Sales[[#This Row],[Qlty]],Lookups!$A$62:$E$75,2,FALSE)</f>
        <v>74268.409664999999</v>
      </c>
      <c r="BW201" s="12">
        <f>VLOOKUP(Sales[[#This Row],[Cnd]],Lookups!$A$76:$E$84,2,FALSE)</f>
        <v>197752.34721000001</v>
      </c>
      <c r="BX201" s="12">
        <f>Sales[[#This Row],[EffAge]]*Lookups!$B$85</f>
        <v>-11821.416826500001</v>
      </c>
      <c r="BY201" s="12">
        <f>Sales[[#This Row],[MainFn]]*Lookups!$B$86</f>
        <v>64181.862170223001</v>
      </c>
      <c r="BZ201" s="12">
        <f>Sales[[#This Row],[UpprFn]]*Lookups!$B$87</f>
        <v>44069.840095223997</v>
      </c>
      <c r="CA201" s="12">
        <f>Sales[[#This Row],[AddFn]]*Lookups!$B$88</f>
        <v>0</v>
      </c>
      <c r="CB201" s="12">
        <f>Sales[[#This Row],[Bsmt]]*Lookups!$B$89</f>
        <v>30187.007266385997</v>
      </c>
      <c r="CC201" s="12">
        <f>Sales[[#This Row],[Fixtures]]*Lookups!$B$90</f>
        <v>60672.353683200003</v>
      </c>
      <c r="CD201" s="12">
        <f>Sales[[#This Row],[WdDeck]]*Lookups!$B$91</f>
        <v>0</v>
      </c>
      <c r="CE201" s="12">
        <f>SUM(Sales[[#This Row],[Days Prior Total]:[Mdl WdDeck]])</f>
        <v>477260.08012222289</v>
      </c>
      <c r="CF201" s="12">
        <f>ROUND(Sales[[#This Row],[25Det]],-2)</f>
        <v>7700</v>
      </c>
      <c r="CG201" s="12">
        <f>ROUND(SUM(Sales[[#This Row],[Mdl Qlty]:[Mdl WdDeck]])+Sales[[#This Row],[Mdl Res Intercept]]+Sales[[#This Row],[Days Prior Total]],-2)</f>
        <v>422500</v>
      </c>
      <c r="CH201" s="12">
        <f>ROUND(Sales[[#This Row],[Mdl Land Intercept]]+Sales[[#This Row],[Mdl LnAcres]],-2)</f>
        <v>54800</v>
      </c>
      <c r="CI201" s="12">
        <f>Sales[[#This Row],[Unadj Res Value]]+Sales[[#This Row],[Unadj Det Value]]+Sales[[#This Row],[Unadj Land Value]]</f>
        <v>485000</v>
      </c>
      <c r="CJ201" s="13">
        <f>Sales[[#This Row],[Unadj Total Value]]/Sales[[#This Row],[Price]]</f>
        <v>1.0104166666666667</v>
      </c>
      <c r="CK201" s="13">
        <f>(Sales[[#This Row],[Unadj Total Value]]-Sales[[#This Row],[24Final]])/Sales[[#This Row],[24Final]]</f>
        <v>-0.11318339733040775</v>
      </c>
      <c r="CL201">
        <f>VLOOKUP(Sales[[#This Row],[TNbhd]],Lookups!$Q$2:$T$4,4,FALSE)</f>
        <v>0.99970000000000003</v>
      </c>
      <c r="CM201">
        <f>VLOOKUP(Sales[[#This Row],[Qlty]],Lookups!$O$7:$R$21,4,FALSE)</f>
        <v>0.98380000000000001</v>
      </c>
      <c r="CN201">
        <f>VLOOKUP(Sales[[#This Row],[Cnd]],Lookups!$T$7:$W$16,4,FALSE)</f>
        <v>0.99650000000000005</v>
      </c>
      <c r="CO201">
        <f>VLOOKUP(Sales[[#This Row],[LivArea Range]],Lookups!$T$25:$W$37,4,FALSE)</f>
        <v>0.96179999999999999</v>
      </c>
      <c r="CP201">
        <f>VLOOKUP(Sales[[#This Row],[Decade]],Lookups!$O$25:$R$42,4,FALSE)</f>
        <v>0.98909999999999998</v>
      </c>
      <c r="CQ201">
        <f>Sales[[#This Row],[Nbhd Adj]]*0.95</f>
        <v>0.94971499999999998</v>
      </c>
      <c r="CR201">
        <f>Sales[[#This Row],[Nbhd Adj]]*Sales[[#This Row],[Quality Adj]]*Sales[[#This Row],[Condition Adj]]*Sales[[#This Row],[Living Area Adj]]*Sales[[#This Row],[Decade Adj]]*0.95</f>
        <v>0.88573211822982711</v>
      </c>
      <c r="CS201">
        <f>ROUND(SUM(Sales[[#This Row],[Mdl Qlty]:[Mdl WdDeck]])+Sales[[#This Row],[Mdl Res Intercept]]*Sales[[#This Row],[Res Adj ]],-2)</f>
        <v>459300</v>
      </c>
      <c r="CT201">
        <f>ROUND(Sales[[#This Row],[25Det]]*Sales[[#This Row],[Det/Nbhd Adj]],-2)</f>
        <v>7300</v>
      </c>
      <c r="CU201">
        <f>Sales[[#This Row],[Adjusted Res]]+Sales[[#This Row],[Adj Det ]]</f>
        <v>466600</v>
      </c>
      <c r="CV201">
        <f>ROUND((Sales[[#This Row],[Mdl Land Intercept]]+Sales[[#This Row],[Mdl LnAcres]])*Sales[[#This Row],[Det/Nbhd Adj]],-2)</f>
        <v>52000</v>
      </c>
      <c r="CW201">
        <f>Sales[[#This Row],[Adjusted Impr Total]]+Sales[[#This Row],[Adjusted Land Total]]</f>
        <v>518600</v>
      </c>
      <c r="CX201" s="15">
        <f>IFERROR((Sales[[#This Row],[Adjusted Impr Total]]-Sales[[#This Row],[24Bldg]])/Sales[[#This Row],[24Bldg]],0)</f>
        <v>-9.3418259023354561E-3</v>
      </c>
      <c r="CY201" s="15">
        <f>(Sales[[#This Row],[Adjusted Land Total]]-Sales[[#This Row],[24Lnd]])/Sales[[#This Row],[24Lnd]]</f>
        <v>-0.31488801054018445</v>
      </c>
      <c r="CZ201" s="15">
        <f>(Sales[[#This Row],[Adjusted Total]]-Sales[[#This Row],[24Final]])/Sales[[#This Row],[24Final]]</f>
        <v>-5.1746205887730844E-2</v>
      </c>
      <c r="DA201" s="15">
        <f>(Sales[[#This Row],[Adjusted Total]]+Sales[[#This Row],[Days Prior Total]])/Sales[[#This Row],[Price]]</f>
        <v>1.0037361263215208</v>
      </c>
    </row>
    <row r="202" spans="1:105" x14ac:dyDescent="0.3">
      <c r="A202">
        <v>2025</v>
      </c>
      <c r="B202">
        <v>18132331493</v>
      </c>
      <c r="C202">
        <v>-1.8325814637483102</v>
      </c>
      <c r="D202">
        <v>0.16</v>
      </c>
      <c r="E202">
        <v>0</v>
      </c>
      <c r="F202">
        <v>6</v>
      </c>
      <c r="G202" t="s">
        <v>126</v>
      </c>
      <c r="H202">
        <v>3032</v>
      </c>
      <c r="I202" t="s">
        <v>349</v>
      </c>
      <c r="J202" t="s">
        <v>30</v>
      </c>
      <c r="K202">
        <v>11</v>
      </c>
      <c r="L202">
        <v>259</v>
      </c>
      <c r="M202" t="s">
        <v>147</v>
      </c>
      <c r="N202" t="s">
        <v>302</v>
      </c>
      <c r="O202" t="s">
        <v>323</v>
      </c>
      <c r="P202">
        <v>90</v>
      </c>
      <c r="Q202">
        <v>1935</v>
      </c>
      <c r="R202">
        <v>1971</v>
      </c>
      <c r="S202">
        <v>89</v>
      </c>
      <c r="T202">
        <v>53</v>
      </c>
      <c r="U202">
        <v>2</v>
      </c>
      <c r="V202">
        <v>818</v>
      </c>
      <c r="W202">
        <v>368</v>
      </c>
      <c r="X202">
        <v>0</v>
      </c>
      <c r="Y202">
        <v>818</v>
      </c>
      <c r="Z202">
        <v>518</v>
      </c>
      <c r="AA202">
        <v>300</v>
      </c>
      <c r="AB202">
        <v>1486</v>
      </c>
      <c r="AC202">
        <v>1500</v>
      </c>
      <c r="AD202">
        <v>0</v>
      </c>
      <c r="AF202" t="s">
        <v>208</v>
      </c>
      <c r="AG202" t="s">
        <v>382</v>
      </c>
      <c r="AI202">
        <v>1</v>
      </c>
      <c r="AJ202">
        <v>1</v>
      </c>
      <c r="AK202">
        <v>0</v>
      </c>
      <c r="AL202">
        <v>0</v>
      </c>
      <c r="AM202">
        <v>0</v>
      </c>
      <c r="AN202">
        <v>6</v>
      </c>
      <c r="AO202">
        <v>0</v>
      </c>
      <c r="AP202">
        <v>0</v>
      </c>
      <c r="AQ202">
        <v>0</v>
      </c>
      <c r="AR202">
        <v>288</v>
      </c>
      <c r="AS202">
        <v>0</v>
      </c>
      <c r="AT202">
        <v>0</v>
      </c>
      <c r="AU202">
        <v>100</v>
      </c>
      <c r="AV202">
        <v>100</v>
      </c>
      <c r="AW202">
        <v>247319</v>
      </c>
      <c r="AX202">
        <v>168177</v>
      </c>
      <c r="AY202">
        <v>773</v>
      </c>
      <c r="AZ202">
        <v>365</v>
      </c>
      <c r="BA202">
        <v>365</v>
      </c>
      <c r="BB202">
        <v>43</v>
      </c>
      <c r="BC202" s="3">
        <v>44519</v>
      </c>
      <c r="BD202" t="s">
        <v>399</v>
      </c>
      <c r="BE202">
        <v>298000</v>
      </c>
      <c r="BF202">
        <v>292421</v>
      </c>
      <c r="BG202" t="s">
        <v>294</v>
      </c>
      <c r="BH202">
        <v>30</v>
      </c>
      <c r="BI202" t="s">
        <v>65</v>
      </c>
      <c r="BJ202" t="s">
        <v>450</v>
      </c>
      <c r="BK202">
        <v>297000</v>
      </c>
      <c r="BL202">
        <v>50600</v>
      </c>
      <c r="BM202">
        <v>246400</v>
      </c>
      <c r="BN202">
        <v>5579</v>
      </c>
      <c r="BO202">
        <v>0.99664429530201337</v>
      </c>
      <c r="BP202">
        <v>296021.3522320739</v>
      </c>
      <c r="BQ202">
        <v>323333.76997912716</v>
      </c>
      <c r="BR202" s="12">
        <f>(Sales[[#This Row],[DP1]]*Lookups!$B$59)+(Sales[[#This Row],[DP2]]*Lookups!$B$60)+(Sales[[#This Row],[DP3]]*Lookups!$B$61)</f>
        <v>-27312.417749770004</v>
      </c>
      <c r="BS202" s="12">
        <f>Lookups!$B$56*0</f>
        <v>0</v>
      </c>
      <c r="BT202" s="12">
        <f>Lookups!$B$56*1</f>
        <v>89850.625589999996</v>
      </c>
      <c r="BU202" s="12">
        <f>Lookups!$B$57*Sales[[#This Row],[LnAcres]]</f>
        <v>-58009.662049032086</v>
      </c>
      <c r="BV202" s="12">
        <f>VLOOKUP(Sales[[#This Row],[Qlty]],Lookups!$A$62:$E$75,2,FALSE)</f>
        <v>29814.093161000001</v>
      </c>
      <c r="BW202" s="12">
        <f>VLOOKUP(Sales[[#This Row],[Cnd]],Lookups!$A$76:$E$84,2,FALSE)</f>
        <v>160472.20319</v>
      </c>
      <c r="BX202" s="12">
        <f>Sales[[#This Row],[EffAge]]*Lookups!$B$85</f>
        <v>-11821.416826500001</v>
      </c>
      <c r="BY202" s="12">
        <f>Sales[[#This Row],[MainFn]]*Lookups!$B$86</f>
        <v>40416.291959385999</v>
      </c>
      <c r="BZ202" s="12">
        <f>Sales[[#This Row],[UpprFn]]*Lookups!$B$87</f>
        <v>16481.403612848</v>
      </c>
      <c r="CA202" s="12">
        <f>Sales[[#This Row],[AddFn]]*Lookups!$B$88</f>
        <v>0</v>
      </c>
      <c r="CB202" s="12">
        <f>Sales[[#This Row],[Bsmt]]*Lookups!$B$89</f>
        <v>23788.990312046</v>
      </c>
      <c r="CC202" s="12">
        <f>Sales[[#This Row],[Fixtures]]*Lookups!$B$90</f>
        <v>22752.132631200002</v>
      </c>
      <c r="CD202" s="12">
        <f>Sales[[#This Row],[WdDeck]]*Lookups!$B$91</f>
        <v>9589.1083994880009</v>
      </c>
      <c r="CE202" s="12">
        <f>SUM(Sales[[#This Row],[Days Prior Total]:[Mdl WdDeck]])</f>
        <v>296021.35223066591</v>
      </c>
      <c r="CF202" s="12">
        <f>ROUND(Sales[[#This Row],[25Det]],-2)</f>
        <v>5600</v>
      </c>
      <c r="CG202" s="12">
        <f>ROUND(SUM(Sales[[#This Row],[Mdl Qlty]:[Mdl WdDeck]])+Sales[[#This Row],[Mdl Res Intercept]]+Sales[[#This Row],[Days Prior Total]],-2)</f>
        <v>264200</v>
      </c>
      <c r="CH202" s="12">
        <f>ROUND(Sales[[#This Row],[Mdl Land Intercept]]+Sales[[#This Row],[Mdl LnAcres]],-2)</f>
        <v>31800</v>
      </c>
      <c r="CI202" s="12">
        <f>Sales[[#This Row],[Unadj Res Value]]+Sales[[#This Row],[Unadj Det Value]]+Sales[[#This Row],[Unadj Land Value]]</f>
        <v>301600</v>
      </c>
      <c r="CJ202" s="13">
        <f>Sales[[#This Row],[Unadj Total Value]]/Sales[[#This Row],[Price]]</f>
        <v>1.0120805369127517</v>
      </c>
      <c r="CK202" s="13">
        <f>(Sales[[#This Row],[Unadj Total Value]]-Sales[[#This Row],[24Final]])/Sales[[#This Row],[24Final]]</f>
        <v>1.5488215488215488E-2</v>
      </c>
      <c r="CL202">
        <f>VLOOKUP(Sales[[#This Row],[TNbhd]],Lookups!$Q$2:$T$4,4,FALSE)</f>
        <v>0.99970000000000003</v>
      </c>
      <c r="CM202">
        <f>VLOOKUP(Sales[[#This Row],[Qlty]],Lookups!$O$7:$R$21,4,FALSE)</f>
        <v>1.0088999999999999</v>
      </c>
      <c r="CN202">
        <f>VLOOKUP(Sales[[#This Row],[Cnd]],Lookups!$T$7:$W$16,4,FALSE)</f>
        <v>0.99729999999999996</v>
      </c>
      <c r="CO202">
        <f>VLOOKUP(Sales[[#This Row],[LivArea Range]],Lookups!$T$25:$W$37,4,FALSE)</f>
        <v>1.0157</v>
      </c>
      <c r="CP202">
        <f>VLOOKUP(Sales[[#This Row],[Decade]],Lookups!$O$25:$R$42,4,FALSE)</f>
        <v>0.98909999999999998</v>
      </c>
      <c r="CQ202">
        <f>Sales[[#This Row],[Nbhd Adj]]*0.95</f>
        <v>0.94971499999999998</v>
      </c>
      <c r="CR202">
        <f>Sales[[#This Row],[Nbhd Adj]]*Sales[[#This Row],[Quality Adj]]*Sales[[#This Row],[Condition Adj]]*Sales[[#This Row],[Living Area Adj]]*Sales[[#This Row],[Decade Adj]]*0.95</f>
        <v>0.96000366884722899</v>
      </c>
      <c r="CS202">
        <f>ROUND(SUM(Sales[[#This Row],[Mdl Qlty]:[Mdl WdDeck]])+Sales[[#This Row],[Mdl Res Intercept]]*Sales[[#This Row],[Res Adj ]],-2)</f>
        <v>291500</v>
      </c>
      <c r="CT202">
        <f>ROUND(Sales[[#This Row],[25Det]]*Sales[[#This Row],[Det/Nbhd Adj]],-2)</f>
        <v>5300</v>
      </c>
      <c r="CU202">
        <f>Sales[[#This Row],[Adjusted Res]]+Sales[[#This Row],[Adj Det ]]</f>
        <v>296800</v>
      </c>
      <c r="CV202">
        <f>ROUND((Sales[[#This Row],[Mdl Land Intercept]]+Sales[[#This Row],[Mdl LnAcres]])*Sales[[#This Row],[Det/Nbhd Adj]],-2)</f>
        <v>30200</v>
      </c>
      <c r="CW202">
        <f>Sales[[#This Row],[Adjusted Impr Total]]+Sales[[#This Row],[Adjusted Land Total]]</f>
        <v>327000</v>
      </c>
      <c r="CX202" s="15">
        <f>IFERROR((Sales[[#This Row],[Adjusted Impr Total]]-Sales[[#This Row],[24Bldg]])/Sales[[#This Row],[24Bldg]],0)</f>
        <v>0.20454545454545456</v>
      </c>
      <c r="CY202" s="15">
        <f>(Sales[[#This Row],[Adjusted Land Total]]-Sales[[#This Row],[24Lnd]])/Sales[[#This Row],[24Lnd]]</f>
        <v>-0.40316205533596838</v>
      </c>
      <c r="CZ202" s="15">
        <f>(Sales[[#This Row],[Adjusted Total]]-Sales[[#This Row],[24Final]])/Sales[[#This Row],[24Final]]</f>
        <v>0.10101010101010101</v>
      </c>
      <c r="DA202" s="15">
        <f>(Sales[[#This Row],[Adjusted Total]]+Sales[[#This Row],[Days Prior Total]])/Sales[[#This Row],[Price]]</f>
        <v>1.0056630276853356</v>
      </c>
    </row>
    <row r="203" spans="1:105" x14ac:dyDescent="0.3">
      <c r="A203">
        <v>2025</v>
      </c>
      <c r="B203">
        <v>18132331406</v>
      </c>
      <c r="C203">
        <v>-1.4696759700589417</v>
      </c>
      <c r="D203">
        <v>0.23</v>
      </c>
      <c r="E203">
        <v>0</v>
      </c>
      <c r="F203">
        <v>6</v>
      </c>
      <c r="G203" t="s">
        <v>126</v>
      </c>
      <c r="H203">
        <v>3032</v>
      </c>
      <c r="I203" t="s">
        <v>349</v>
      </c>
      <c r="J203" t="s">
        <v>30</v>
      </c>
      <c r="K203">
        <v>11</v>
      </c>
      <c r="L203">
        <v>259</v>
      </c>
      <c r="M203" t="s">
        <v>242</v>
      </c>
      <c r="N203" t="s">
        <v>148</v>
      </c>
      <c r="O203" t="s">
        <v>303</v>
      </c>
      <c r="P203">
        <v>90</v>
      </c>
      <c r="Q203">
        <v>1935</v>
      </c>
      <c r="R203">
        <v>1971</v>
      </c>
      <c r="S203">
        <v>89</v>
      </c>
      <c r="T203">
        <v>53</v>
      </c>
      <c r="U203">
        <v>1</v>
      </c>
      <c r="V203">
        <v>1380</v>
      </c>
      <c r="W203">
        <v>0</v>
      </c>
      <c r="X203">
        <v>0</v>
      </c>
      <c r="Y203">
        <v>1358</v>
      </c>
      <c r="Z203">
        <v>1358</v>
      </c>
      <c r="AA203">
        <v>0</v>
      </c>
      <c r="AB203">
        <v>1380</v>
      </c>
      <c r="AC203">
        <v>1500</v>
      </c>
      <c r="AD203">
        <v>0</v>
      </c>
      <c r="AF203" t="s">
        <v>208</v>
      </c>
      <c r="AG203" t="s">
        <v>382</v>
      </c>
      <c r="AI203">
        <v>0</v>
      </c>
      <c r="AJ203">
        <v>2</v>
      </c>
      <c r="AK203">
        <v>0</v>
      </c>
      <c r="AL203">
        <v>1</v>
      </c>
      <c r="AM203">
        <v>0</v>
      </c>
      <c r="AN203">
        <v>9</v>
      </c>
      <c r="AO203">
        <v>0</v>
      </c>
      <c r="AP203">
        <v>0</v>
      </c>
      <c r="AQ203">
        <v>0</v>
      </c>
      <c r="AR203">
        <v>0</v>
      </c>
      <c r="AS203">
        <v>826</v>
      </c>
      <c r="AT203">
        <v>0</v>
      </c>
      <c r="AU203">
        <v>100</v>
      </c>
      <c r="AV203">
        <v>100</v>
      </c>
      <c r="AW203">
        <v>365807</v>
      </c>
      <c r="AX203">
        <v>278013</v>
      </c>
      <c r="AY203">
        <v>452</v>
      </c>
      <c r="AZ203">
        <v>365</v>
      </c>
      <c r="BA203">
        <v>87</v>
      </c>
      <c r="BB203">
        <v>0</v>
      </c>
      <c r="BC203" s="3">
        <v>44840</v>
      </c>
      <c r="BD203" t="s">
        <v>317</v>
      </c>
      <c r="BE203">
        <v>390000</v>
      </c>
      <c r="BF203">
        <v>377362</v>
      </c>
      <c r="BG203" t="s">
        <v>294</v>
      </c>
      <c r="BH203">
        <v>30</v>
      </c>
      <c r="BI203" t="s">
        <v>65</v>
      </c>
      <c r="BJ203" t="s">
        <v>450</v>
      </c>
      <c r="BK203">
        <v>387200</v>
      </c>
      <c r="BL203">
        <v>63300</v>
      </c>
      <c r="BM203">
        <v>323900</v>
      </c>
      <c r="BN203">
        <v>12638</v>
      </c>
      <c r="BO203">
        <v>0.99282051282051287</v>
      </c>
      <c r="BP203">
        <v>390431.23727874266</v>
      </c>
      <c r="BQ203">
        <v>415185.9430915048</v>
      </c>
      <c r="BR203" s="12">
        <f>(Sales[[#This Row],[DP1]]*Lookups!$B$59)+(Sales[[#This Row],[DP2]]*Lookups!$B$60)+(Sales[[#This Row],[DP3]]*Lookups!$B$61)</f>
        <v>-24754.705814326</v>
      </c>
      <c r="BS203" s="12">
        <f>Lookups!$B$56*0</f>
        <v>0</v>
      </c>
      <c r="BT203" s="12">
        <f>Lookups!$B$56*1</f>
        <v>89850.625589999996</v>
      </c>
      <c r="BU203" s="12">
        <f>Lookups!$B$57*Sales[[#This Row],[LnAcres]]</f>
        <v>-46522.028095997222</v>
      </c>
      <c r="BV203" s="12">
        <f>VLOOKUP(Sales[[#This Row],[Qlty]],Lookups!$A$62:$E$75,2,FALSE)</f>
        <v>44121.038090000002</v>
      </c>
      <c r="BW203" s="12">
        <f>VLOOKUP(Sales[[#This Row],[Cnd]],Lookups!$A$76:$E$84,2,FALSE)</f>
        <v>197752.34721000001</v>
      </c>
      <c r="BX203" s="12">
        <f>Sales[[#This Row],[EffAge]]*Lookups!$B$85</f>
        <v>-11821.416826500001</v>
      </c>
      <c r="BY203" s="12">
        <f>Sales[[#This Row],[MainFn]]*Lookups!$B$86</f>
        <v>68183.964430260006</v>
      </c>
      <c r="BZ203" s="12">
        <f>Sales[[#This Row],[UpprFn]]*Lookups!$B$87</f>
        <v>0</v>
      </c>
      <c r="CA203" s="12">
        <f>Sales[[#This Row],[AddFn]]*Lookups!$B$88</f>
        <v>0</v>
      </c>
      <c r="CB203" s="12">
        <f>Sales[[#This Row],[Bsmt]]*Lookups!$B$89</f>
        <v>39493.213745426001</v>
      </c>
      <c r="CC203" s="12">
        <f>Sales[[#This Row],[Fixtures]]*Lookups!$B$90</f>
        <v>34128.198946800003</v>
      </c>
      <c r="CD203" s="12">
        <f>Sales[[#This Row],[WdDeck]]*Lookups!$B$91</f>
        <v>0</v>
      </c>
      <c r="CE203" s="12">
        <f>SUM(Sales[[#This Row],[Days Prior Total]:[Mdl WdDeck]])</f>
        <v>390431.23727566283</v>
      </c>
      <c r="CF203" s="12">
        <f>ROUND(Sales[[#This Row],[25Det]],-2)</f>
        <v>12600</v>
      </c>
      <c r="CG203" s="12">
        <f>ROUND(SUM(Sales[[#This Row],[Mdl Qlty]:[Mdl WdDeck]])+Sales[[#This Row],[Mdl Res Intercept]]+Sales[[#This Row],[Days Prior Total]],-2)</f>
        <v>347100</v>
      </c>
      <c r="CH203" s="12">
        <f>ROUND(Sales[[#This Row],[Mdl Land Intercept]]+Sales[[#This Row],[Mdl LnAcres]],-2)</f>
        <v>43300</v>
      </c>
      <c r="CI203" s="12">
        <f>Sales[[#This Row],[Unadj Res Value]]+Sales[[#This Row],[Unadj Det Value]]+Sales[[#This Row],[Unadj Land Value]]</f>
        <v>403000</v>
      </c>
      <c r="CJ203" s="13">
        <f>Sales[[#This Row],[Unadj Total Value]]/Sales[[#This Row],[Price]]</f>
        <v>1.0333333333333334</v>
      </c>
      <c r="CK203" s="13">
        <f>(Sales[[#This Row],[Unadj Total Value]]-Sales[[#This Row],[24Final]])/Sales[[#This Row],[24Final]]</f>
        <v>4.0805785123966945E-2</v>
      </c>
      <c r="CL203">
        <f>VLOOKUP(Sales[[#This Row],[TNbhd]],Lookups!$Q$2:$T$4,4,FALSE)</f>
        <v>0.99970000000000003</v>
      </c>
      <c r="CM203">
        <f>VLOOKUP(Sales[[#This Row],[Qlty]],Lookups!$O$7:$R$21,4,FALSE)</f>
        <v>0.98050000000000004</v>
      </c>
      <c r="CN203">
        <f>VLOOKUP(Sales[[#This Row],[Cnd]],Lookups!$T$7:$W$16,4,FALSE)</f>
        <v>0.99650000000000005</v>
      </c>
      <c r="CO203">
        <f>VLOOKUP(Sales[[#This Row],[LivArea Range]],Lookups!$T$25:$W$37,4,FALSE)</f>
        <v>1.0157</v>
      </c>
      <c r="CP203">
        <f>VLOOKUP(Sales[[#This Row],[Decade]],Lookups!$O$25:$R$42,4,FALSE)</f>
        <v>0.98909999999999998</v>
      </c>
      <c r="CQ203">
        <f>Sales[[#This Row],[Nbhd Adj]]*0.95</f>
        <v>0.94971499999999998</v>
      </c>
      <c r="CR203">
        <f>Sales[[#This Row],[Nbhd Adj]]*Sales[[#This Row],[Quality Adj]]*Sales[[#This Row],[Condition Adj]]*Sales[[#This Row],[Living Area Adj]]*Sales[[#This Row],[Decade Adj]]*0.95</f>
        <v>0.93223166988786421</v>
      </c>
      <c r="CS203">
        <f>ROUND(SUM(Sales[[#This Row],[Mdl Qlty]:[Mdl WdDeck]])+Sales[[#This Row],[Mdl Res Intercept]]*Sales[[#This Row],[Res Adj ]],-2)</f>
        <v>371900</v>
      </c>
      <c r="CT203">
        <f>ROUND(Sales[[#This Row],[25Det]]*Sales[[#This Row],[Det/Nbhd Adj]],-2)</f>
        <v>12000</v>
      </c>
      <c r="CU203">
        <f>Sales[[#This Row],[Adjusted Res]]+Sales[[#This Row],[Adj Det ]]</f>
        <v>383900</v>
      </c>
      <c r="CV203">
        <f>ROUND((Sales[[#This Row],[Mdl Land Intercept]]+Sales[[#This Row],[Mdl LnAcres]])*Sales[[#This Row],[Det/Nbhd Adj]],-2)</f>
        <v>41100</v>
      </c>
      <c r="CW203">
        <f>Sales[[#This Row],[Adjusted Impr Total]]+Sales[[#This Row],[Adjusted Land Total]]</f>
        <v>425000</v>
      </c>
      <c r="CX203" s="15">
        <f>IFERROR((Sales[[#This Row],[Adjusted Impr Total]]-Sales[[#This Row],[24Bldg]])/Sales[[#This Row],[24Bldg]],0)</f>
        <v>0.18524235875270145</v>
      </c>
      <c r="CY203" s="15">
        <f>(Sales[[#This Row],[Adjusted Land Total]]-Sales[[#This Row],[24Lnd]])/Sales[[#This Row],[24Lnd]]</f>
        <v>-0.35071090047393366</v>
      </c>
      <c r="CZ203" s="15">
        <f>(Sales[[#This Row],[Adjusted Total]]-Sales[[#This Row],[24Final]])/Sales[[#This Row],[24Final]]</f>
        <v>9.7623966942148754E-2</v>
      </c>
      <c r="DA203" s="15">
        <f>(Sales[[#This Row],[Adjusted Total]]+Sales[[#This Row],[Days Prior Total]])/Sales[[#This Row],[Price]]</f>
        <v>1.0262699850914718</v>
      </c>
    </row>
    <row r="204" spans="1:105" x14ac:dyDescent="0.3">
      <c r="A204">
        <v>2025</v>
      </c>
      <c r="B204">
        <v>18132331492</v>
      </c>
      <c r="C204">
        <v>-1.8325814637483102</v>
      </c>
      <c r="D204">
        <v>0.16</v>
      </c>
      <c r="E204">
        <v>0</v>
      </c>
      <c r="F204">
        <v>6</v>
      </c>
      <c r="G204" t="s">
        <v>126</v>
      </c>
      <c r="H204" t="s">
        <v>349</v>
      </c>
      <c r="I204" t="s">
        <v>349</v>
      </c>
      <c r="J204" t="s">
        <v>30</v>
      </c>
      <c r="K204">
        <v>11</v>
      </c>
      <c r="L204">
        <v>259</v>
      </c>
      <c r="M204" t="s">
        <v>242</v>
      </c>
      <c r="N204" t="s">
        <v>148</v>
      </c>
      <c r="O204" t="s">
        <v>352</v>
      </c>
      <c r="P204">
        <v>90</v>
      </c>
      <c r="Q204">
        <v>1935</v>
      </c>
      <c r="R204">
        <v>1971</v>
      </c>
      <c r="S204">
        <v>89</v>
      </c>
      <c r="T204">
        <v>53</v>
      </c>
      <c r="U204">
        <v>1</v>
      </c>
      <c r="V204">
        <v>1351</v>
      </c>
      <c r="W204">
        <v>0</v>
      </c>
      <c r="X204">
        <v>0</v>
      </c>
      <c r="Y204">
        <v>672</v>
      </c>
      <c r="Z204">
        <v>0</v>
      </c>
      <c r="AA204">
        <v>672</v>
      </c>
      <c r="AB204">
        <v>2023</v>
      </c>
      <c r="AC204">
        <v>2500</v>
      </c>
      <c r="AD204">
        <v>0</v>
      </c>
      <c r="AF204" t="s">
        <v>383</v>
      </c>
      <c r="AG204" t="s">
        <v>148</v>
      </c>
      <c r="AH204" t="s">
        <v>450</v>
      </c>
      <c r="AI204">
        <v>0</v>
      </c>
      <c r="AJ204">
        <v>1</v>
      </c>
      <c r="AK204">
        <v>0</v>
      </c>
      <c r="AL204">
        <v>2</v>
      </c>
      <c r="AM204">
        <v>0</v>
      </c>
      <c r="AN204">
        <v>13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100</v>
      </c>
      <c r="AV204">
        <v>100</v>
      </c>
      <c r="AW204">
        <v>362755</v>
      </c>
      <c r="AX204">
        <v>293832</v>
      </c>
      <c r="AY204">
        <v>118</v>
      </c>
      <c r="AZ204">
        <v>118</v>
      </c>
      <c r="BA204">
        <v>0</v>
      </c>
      <c r="BB204">
        <v>0</v>
      </c>
      <c r="BC204" s="3">
        <v>45174</v>
      </c>
      <c r="BD204" t="s">
        <v>261</v>
      </c>
      <c r="BE204">
        <v>465000</v>
      </c>
      <c r="BF204">
        <v>457005</v>
      </c>
      <c r="BG204" t="s">
        <v>294</v>
      </c>
      <c r="BH204">
        <v>30</v>
      </c>
      <c r="BI204" t="s">
        <v>65</v>
      </c>
      <c r="BJ204" t="s">
        <v>450</v>
      </c>
      <c r="BK204">
        <v>399000</v>
      </c>
      <c r="BL204">
        <v>50600</v>
      </c>
      <c r="BM204">
        <v>348400</v>
      </c>
      <c r="BN204">
        <v>7995</v>
      </c>
      <c r="BO204">
        <v>0.85806451612903223</v>
      </c>
      <c r="BP204">
        <v>476215.75965261058</v>
      </c>
      <c r="BQ204">
        <v>484541.62684737222</v>
      </c>
      <c r="BR204" s="12">
        <f>(Sales[[#This Row],[DP1]]*Lookups!$B$59)+(Sales[[#This Row],[DP2]]*Lookups!$B$60)+(Sales[[#This Row],[DP3]]*Lookups!$B$61)</f>
        <v>-8325.8671952600016</v>
      </c>
      <c r="BS204" s="12">
        <f>Lookups!$B$56*0</f>
        <v>0</v>
      </c>
      <c r="BT204" s="12">
        <f>Lookups!$B$56*1</f>
        <v>89850.625589999996</v>
      </c>
      <c r="BU204" s="12">
        <f>Lookups!$B$57*Sales[[#This Row],[LnAcres]]</f>
        <v>-58009.662049032086</v>
      </c>
      <c r="BV204" s="12">
        <f>VLOOKUP(Sales[[#This Row],[Qlty]],Lookups!$A$62:$E$75,2,FALSE)</f>
        <v>44121.038090000002</v>
      </c>
      <c r="BW204" s="12">
        <f>VLOOKUP(Sales[[#This Row],[Cnd]],Lookups!$A$76:$E$84,2,FALSE)</f>
        <v>284810.60806</v>
      </c>
      <c r="BX204" s="12">
        <f>Sales[[#This Row],[EffAge]]*Lookups!$B$85</f>
        <v>-11821.416826500001</v>
      </c>
      <c r="BY204" s="12">
        <f>Sales[[#This Row],[MainFn]]*Lookups!$B$86</f>
        <v>66751.113003827006</v>
      </c>
      <c r="BZ204" s="12">
        <f>Sales[[#This Row],[UpprFn]]*Lookups!$B$87</f>
        <v>0</v>
      </c>
      <c r="CA204" s="12">
        <f>Sales[[#This Row],[AddFn]]*Lookups!$B$88</f>
        <v>0</v>
      </c>
      <c r="CB204" s="12">
        <f>Sales[[#This Row],[Bsmt]]*Lookups!$B$89</f>
        <v>19543.033605983997</v>
      </c>
      <c r="CC204" s="12">
        <f>Sales[[#This Row],[Fixtures]]*Lookups!$B$90</f>
        <v>49296.287367600002</v>
      </c>
      <c r="CD204" s="12">
        <f>Sales[[#This Row],[WdDeck]]*Lookups!$B$91</f>
        <v>0</v>
      </c>
      <c r="CE204" s="12">
        <f>SUM(Sales[[#This Row],[Days Prior Total]:[Mdl WdDeck]])</f>
        <v>476215.75964661897</v>
      </c>
      <c r="CF204" s="12">
        <f>ROUND(Sales[[#This Row],[25Det]],-2)</f>
        <v>8000</v>
      </c>
      <c r="CG204" s="12">
        <f>ROUND(SUM(Sales[[#This Row],[Mdl Qlty]:[Mdl WdDeck]])+Sales[[#This Row],[Mdl Res Intercept]]+Sales[[#This Row],[Days Prior Total]],-2)</f>
        <v>444400</v>
      </c>
      <c r="CH204" s="12">
        <f>ROUND(Sales[[#This Row],[Mdl Land Intercept]]+Sales[[#This Row],[Mdl LnAcres]],-2)</f>
        <v>31800</v>
      </c>
      <c r="CI204" s="12">
        <f>Sales[[#This Row],[Unadj Res Value]]+Sales[[#This Row],[Unadj Det Value]]+Sales[[#This Row],[Unadj Land Value]]</f>
        <v>484200</v>
      </c>
      <c r="CJ204" s="13">
        <f>Sales[[#This Row],[Unadj Total Value]]/Sales[[#This Row],[Price]]</f>
        <v>1.0412903225806451</v>
      </c>
      <c r="CK204" s="13">
        <f>(Sales[[#This Row],[Unadj Total Value]]-Sales[[#This Row],[24Final]])/Sales[[#This Row],[24Final]]</f>
        <v>0.21353383458646616</v>
      </c>
      <c r="CL204">
        <f>VLOOKUP(Sales[[#This Row],[TNbhd]],Lookups!$Q$2:$T$4,4,FALSE)</f>
        <v>0.99970000000000003</v>
      </c>
      <c r="CM204">
        <f>VLOOKUP(Sales[[#This Row],[Qlty]],Lookups!$O$7:$R$21,4,FALSE)</f>
        <v>0.98050000000000004</v>
      </c>
      <c r="CN204">
        <f>VLOOKUP(Sales[[#This Row],[Cnd]],Lookups!$T$7:$W$16,4,FALSE)</f>
        <v>1.0158</v>
      </c>
      <c r="CO204">
        <f>VLOOKUP(Sales[[#This Row],[LivArea Range]],Lookups!$T$25:$W$37,4,FALSE)</f>
        <v>0.98919999999999997</v>
      </c>
      <c r="CP204">
        <f>VLOOKUP(Sales[[#This Row],[Decade]],Lookups!$O$25:$R$42,4,FALSE)</f>
        <v>0.98909999999999998</v>
      </c>
      <c r="CQ204">
        <f>Sales[[#This Row],[Nbhd Adj]]*0.95</f>
        <v>0.94971499999999998</v>
      </c>
      <c r="CR204">
        <f>Sales[[#This Row],[Nbhd Adj]]*Sales[[#This Row],[Quality Adj]]*Sales[[#This Row],[Condition Adj]]*Sales[[#This Row],[Living Area Adj]]*Sales[[#This Row],[Decade Adj]]*0.95</f>
        <v>0.92549358634432277</v>
      </c>
      <c r="CS204">
        <f>ROUND(SUM(Sales[[#This Row],[Mdl Qlty]:[Mdl WdDeck]])+Sales[[#This Row],[Mdl Res Intercept]]*Sales[[#This Row],[Res Adj ]],-2)</f>
        <v>452700</v>
      </c>
      <c r="CT204">
        <f>ROUND(Sales[[#This Row],[25Det]]*Sales[[#This Row],[Det/Nbhd Adj]],-2)</f>
        <v>7600</v>
      </c>
      <c r="CU204">
        <f>Sales[[#This Row],[Adjusted Res]]+Sales[[#This Row],[Adj Det ]]</f>
        <v>460300</v>
      </c>
      <c r="CV204">
        <f>ROUND((Sales[[#This Row],[Mdl Land Intercept]]+Sales[[#This Row],[Mdl LnAcres]])*Sales[[#This Row],[Det/Nbhd Adj]],-2)</f>
        <v>30200</v>
      </c>
      <c r="CW204">
        <f>Sales[[#This Row],[Adjusted Impr Total]]+Sales[[#This Row],[Adjusted Land Total]]</f>
        <v>490500</v>
      </c>
      <c r="CX204" s="15">
        <f>IFERROR((Sales[[#This Row],[Adjusted Impr Total]]-Sales[[#This Row],[24Bldg]])/Sales[[#This Row],[24Bldg]],0)</f>
        <v>0.3211825487944891</v>
      </c>
      <c r="CY204" s="15">
        <f>(Sales[[#This Row],[Adjusted Land Total]]-Sales[[#This Row],[24Lnd]])/Sales[[#This Row],[24Lnd]]</f>
        <v>-0.40316205533596838</v>
      </c>
      <c r="CZ204" s="15">
        <f>(Sales[[#This Row],[Adjusted Total]]-Sales[[#This Row],[24Final]])/Sales[[#This Row],[24Final]]</f>
        <v>0.22932330827067668</v>
      </c>
      <c r="DA204" s="15">
        <f>(Sales[[#This Row],[Adjusted Total]]+Sales[[#This Row],[Days Prior Total]])/Sales[[#This Row],[Price]]</f>
        <v>1.0369336189349248</v>
      </c>
    </row>
    <row r="205" spans="1:105" x14ac:dyDescent="0.3">
      <c r="A205">
        <v>2025</v>
      </c>
      <c r="B205">
        <v>18132241016</v>
      </c>
      <c r="C205">
        <v>-1.0216512475319814</v>
      </c>
      <c r="D205">
        <v>0.36</v>
      </c>
      <c r="E205">
        <v>15754</v>
      </c>
      <c r="F205">
        <v>6</v>
      </c>
      <c r="G205" t="s">
        <v>126</v>
      </c>
      <c r="H205">
        <v>3033</v>
      </c>
      <c r="I205" t="s">
        <v>349</v>
      </c>
      <c r="J205" t="s">
        <v>30</v>
      </c>
      <c r="K205">
        <v>11</v>
      </c>
      <c r="L205">
        <v>259</v>
      </c>
      <c r="M205" t="s">
        <v>173</v>
      </c>
      <c r="N205" t="s">
        <v>148</v>
      </c>
      <c r="O205" t="s">
        <v>352</v>
      </c>
      <c r="P205">
        <v>90</v>
      </c>
      <c r="Q205">
        <v>1935</v>
      </c>
      <c r="R205">
        <v>1971</v>
      </c>
      <c r="S205">
        <v>89</v>
      </c>
      <c r="T205">
        <v>53</v>
      </c>
      <c r="U205">
        <v>2</v>
      </c>
      <c r="V205">
        <v>1338</v>
      </c>
      <c r="W205">
        <v>1144</v>
      </c>
      <c r="X205">
        <v>0</v>
      </c>
      <c r="Y205">
        <v>634</v>
      </c>
      <c r="Z205">
        <v>0</v>
      </c>
      <c r="AA205">
        <v>634</v>
      </c>
      <c r="AB205">
        <v>3116</v>
      </c>
      <c r="AC205">
        <v>3500</v>
      </c>
      <c r="AD205">
        <v>0</v>
      </c>
      <c r="AF205" t="s">
        <v>383</v>
      </c>
      <c r="AG205" t="s">
        <v>148</v>
      </c>
      <c r="AH205" t="s">
        <v>450</v>
      </c>
      <c r="AI205">
        <v>0</v>
      </c>
      <c r="AJ205">
        <v>2</v>
      </c>
      <c r="AK205">
        <v>0</v>
      </c>
      <c r="AL205">
        <v>1</v>
      </c>
      <c r="AM205">
        <v>0</v>
      </c>
      <c r="AN205">
        <v>13</v>
      </c>
      <c r="AO205">
        <v>0</v>
      </c>
      <c r="AP205">
        <v>0</v>
      </c>
      <c r="AQ205">
        <v>0</v>
      </c>
      <c r="AR205">
        <v>0</v>
      </c>
      <c r="AS205">
        <v>156</v>
      </c>
      <c r="AT205">
        <v>0</v>
      </c>
      <c r="AU205">
        <v>100</v>
      </c>
      <c r="AV205">
        <v>100</v>
      </c>
      <c r="AW205">
        <v>508904</v>
      </c>
      <c r="AX205">
        <v>412212</v>
      </c>
      <c r="AY205">
        <v>633</v>
      </c>
      <c r="AZ205">
        <v>365</v>
      </c>
      <c r="BA205">
        <v>268</v>
      </c>
      <c r="BB205">
        <v>0</v>
      </c>
      <c r="BC205" s="3">
        <v>44659</v>
      </c>
      <c r="BD205" t="s">
        <v>19</v>
      </c>
      <c r="BE205">
        <v>540000</v>
      </c>
      <c r="BF205">
        <v>508559</v>
      </c>
      <c r="BG205" t="s">
        <v>294</v>
      </c>
      <c r="BH205">
        <v>30</v>
      </c>
      <c r="BI205" t="s">
        <v>65</v>
      </c>
      <c r="BJ205" t="s">
        <v>450</v>
      </c>
      <c r="BK205">
        <v>519500</v>
      </c>
      <c r="BL205">
        <v>78900</v>
      </c>
      <c r="BM205">
        <v>440600</v>
      </c>
      <c r="BN205">
        <v>31441</v>
      </c>
      <c r="BO205">
        <v>0.96203703703703702</v>
      </c>
      <c r="BP205">
        <v>537023.30251584819</v>
      </c>
      <c r="BQ205">
        <v>559699.55425955204</v>
      </c>
      <c r="BR205" s="12">
        <f>(Sales[[#This Row],[DP1]]*Lookups!$B$59)+(Sales[[#This Row],[DP2]]*Lookups!$B$60)+(Sales[[#This Row],[DP3]]*Lookups!$B$61)</f>
        <v>-22676.251745314003</v>
      </c>
      <c r="BS205" s="12">
        <f>Lookups!$B$56*0</f>
        <v>0</v>
      </c>
      <c r="BT205" s="12">
        <f>Lookups!$B$56*1</f>
        <v>89850.625589999996</v>
      </c>
      <c r="BU205" s="12">
        <f>Lookups!$B$57*Sales[[#This Row],[LnAcres]]</f>
        <v>-32339.977661938148</v>
      </c>
      <c r="BV205" s="12">
        <f>VLOOKUP(Sales[[#This Row],[Qlty]],Lookups!$A$62:$E$75,2,FALSE)</f>
        <v>44121.038090000002</v>
      </c>
      <c r="BW205" s="12">
        <f>VLOOKUP(Sales[[#This Row],[Cnd]],Lookups!$A$76:$E$84,2,FALSE)</f>
        <v>284810.60806</v>
      </c>
      <c r="BX205" s="12">
        <f>Sales[[#This Row],[EffAge]]*Lookups!$B$85</f>
        <v>-11821.416826500001</v>
      </c>
      <c r="BY205" s="12">
        <f>Sales[[#This Row],[MainFn]]*Lookups!$B$86</f>
        <v>66108.800295426001</v>
      </c>
      <c r="BZ205" s="12">
        <f>Sales[[#This Row],[UpprFn]]*Lookups!$B$87</f>
        <v>51235.667752984002</v>
      </c>
      <c r="CA205" s="12">
        <f>Sales[[#This Row],[AddFn]]*Lookups!$B$88</f>
        <v>0</v>
      </c>
      <c r="CB205" s="12">
        <f>Sales[[#This Row],[Bsmt]]*Lookups!$B$89</f>
        <v>18437.921586598</v>
      </c>
      <c r="CC205" s="12">
        <f>Sales[[#This Row],[Fixtures]]*Lookups!$B$90</f>
        <v>49296.287367600002</v>
      </c>
      <c r="CD205" s="12">
        <f>Sales[[#This Row],[WdDeck]]*Lookups!$B$91</f>
        <v>0</v>
      </c>
      <c r="CE205" s="12">
        <f>SUM(Sales[[#This Row],[Days Prior Total]:[Mdl WdDeck]])</f>
        <v>537023.30250885582</v>
      </c>
      <c r="CF205" s="12">
        <f>ROUND(Sales[[#This Row],[25Det]],-2)</f>
        <v>31400</v>
      </c>
      <c r="CG205" s="12">
        <f>ROUND(SUM(Sales[[#This Row],[Mdl Qlty]:[Mdl WdDeck]])+Sales[[#This Row],[Mdl Res Intercept]]+Sales[[#This Row],[Days Prior Total]],-2)</f>
        <v>479500</v>
      </c>
      <c r="CH205" s="12">
        <f>ROUND(Sales[[#This Row],[Mdl Land Intercept]]+Sales[[#This Row],[Mdl LnAcres]],-2)</f>
        <v>57500</v>
      </c>
      <c r="CI205" s="12">
        <f>Sales[[#This Row],[Unadj Res Value]]+Sales[[#This Row],[Unadj Det Value]]+Sales[[#This Row],[Unadj Land Value]]</f>
        <v>568400</v>
      </c>
      <c r="CJ205" s="13">
        <f>Sales[[#This Row],[Unadj Total Value]]/Sales[[#This Row],[Price]]</f>
        <v>1.0525925925925925</v>
      </c>
      <c r="CK205" s="13">
        <f>(Sales[[#This Row],[Unadj Total Value]]-Sales[[#This Row],[24Final]])/Sales[[#This Row],[24Final]]</f>
        <v>9.4128970163618861E-2</v>
      </c>
      <c r="CL205">
        <f>VLOOKUP(Sales[[#This Row],[TNbhd]],Lookups!$Q$2:$T$4,4,FALSE)</f>
        <v>0.99970000000000003</v>
      </c>
      <c r="CM205">
        <f>VLOOKUP(Sales[[#This Row],[Qlty]],Lookups!$O$7:$R$21,4,FALSE)</f>
        <v>0.98050000000000004</v>
      </c>
      <c r="CN205">
        <f>VLOOKUP(Sales[[#This Row],[Cnd]],Lookups!$T$7:$W$16,4,FALSE)</f>
        <v>1.0158</v>
      </c>
      <c r="CO205">
        <f>VLOOKUP(Sales[[#This Row],[LivArea Range]],Lookups!$T$25:$W$37,4,FALSE)</f>
        <v>1.0126999999999999</v>
      </c>
      <c r="CP205">
        <f>VLOOKUP(Sales[[#This Row],[Decade]],Lookups!$O$25:$R$42,4,FALSE)</f>
        <v>0.98909999999999998</v>
      </c>
      <c r="CQ205">
        <f>Sales[[#This Row],[Nbhd Adj]]*0.95</f>
        <v>0.94971499999999998</v>
      </c>
      <c r="CR205">
        <f>Sales[[#This Row],[Nbhd Adj]]*Sales[[#This Row],[Quality Adj]]*Sales[[#This Row],[Condition Adj]]*Sales[[#This Row],[Living Area Adj]]*Sales[[#This Row],[Decade Adj]]*0.95</f>
        <v>0.94748014040729434</v>
      </c>
      <c r="CS205">
        <f>ROUND(SUM(Sales[[#This Row],[Mdl Qlty]:[Mdl WdDeck]])+Sales[[#This Row],[Mdl Res Intercept]]*Sales[[#This Row],[Res Adj ]],-2)</f>
        <v>502200</v>
      </c>
      <c r="CT205">
        <f>ROUND(Sales[[#This Row],[25Det]]*Sales[[#This Row],[Det/Nbhd Adj]],-2)</f>
        <v>29900</v>
      </c>
      <c r="CU205">
        <f>Sales[[#This Row],[Adjusted Res]]+Sales[[#This Row],[Adj Det ]]</f>
        <v>532100</v>
      </c>
      <c r="CV205">
        <f>ROUND((Sales[[#This Row],[Mdl Land Intercept]]+Sales[[#This Row],[Mdl LnAcres]])*Sales[[#This Row],[Det/Nbhd Adj]],-2)</f>
        <v>54600</v>
      </c>
      <c r="CW205">
        <f>Sales[[#This Row],[Adjusted Impr Total]]+Sales[[#This Row],[Adjusted Land Total]]</f>
        <v>586700</v>
      </c>
      <c r="CX205" s="15">
        <f>IFERROR((Sales[[#This Row],[Adjusted Impr Total]]-Sales[[#This Row],[24Bldg]])/Sales[[#This Row],[24Bldg]],0)</f>
        <v>0.20767135724012709</v>
      </c>
      <c r="CY205" s="15">
        <f>(Sales[[#This Row],[Adjusted Land Total]]-Sales[[#This Row],[24Lnd]])/Sales[[#This Row],[24Lnd]]</f>
        <v>-0.30798479087452474</v>
      </c>
      <c r="CZ205" s="15">
        <f>(Sales[[#This Row],[Adjusted Total]]-Sales[[#This Row],[24Final]])/Sales[[#This Row],[24Final]]</f>
        <v>0.12935514918190569</v>
      </c>
      <c r="DA205" s="15">
        <f>(Sales[[#This Row],[Adjusted Total]]+Sales[[#This Row],[Days Prior Total]])/Sales[[#This Row],[Price]]</f>
        <v>1.0444884226938629</v>
      </c>
    </row>
    <row r="206" spans="1:105" x14ac:dyDescent="0.3">
      <c r="A206">
        <v>2025</v>
      </c>
      <c r="B206">
        <v>18132243042</v>
      </c>
      <c r="C206">
        <v>-1.6607312068216509</v>
      </c>
      <c r="D206">
        <v>0.19</v>
      </c>
      <c r="E206">
        <v>8335</v>
      </c>
      <c r="F206">
        <v>6</v>
      </c>
      <c r="G206" t="s">
        <v>126</v>
      </c>
      <c r="H206">
        <v>3093</v>
      </c>
      <c r="I206" t="s">
        <v>349</v>
      </c>
      <c r="J206" t="s">
        <v>30</v>
      </c>
      <c r="K206">
        <v>11</v>
      </c>
      <c r="L206">
        <v>259</v>
      </c>
      <c r="M206" t="s">
        <v>242</v>
      </c>
      <c r="N206" t="s">
        <v>351</v>
      </c>
      <c r="O206" t="s">
        <v>323</v>
      </c>
      <c r="P206">
        <v>90</v>
      </c>
      <c r="Q206">
        <v>1935</v>
      </c>
      <c r="R206">
        <v>1971</v>
      </c>
      <c r="S206">
        <v>89</v>
      </c>
      <c r="T206">
        <v>53</v>
      </c>
      <c r="U206">
        <v>1</v>
      </c>
      <c r="V206">
        <v>1176</v>
      </c>
      <c r="W206">
        <v>0</v>
      </c>
      <c r="X206">
        <v>0</v>
      </c>
      <c r="Y206">
        <v>951</v>
      </c>
      <c r="Z206">
        <v>951</v>
      </c>
      <c r="AA206">
        <v>0</v>
      </c>
      <c r="AB206">
        <v>1176</v>
      </c>
      <c r="AC206">
        <v>1500</v>
      </c>
      <c r="AD206">
        <v>0</v>
      </c>
      <c r="AF206" t="s">
        <v>383</v>
      </c>
      <c r="AG206" t="s">
        <v>148</v>
      </c>
      <c r="AH206" t="s">
        <v>450</v>
      </c>
      <c r="AI206">
        <v>0</v>
      </c>
      <c r="AJ206">
        <v>0</v>
      </c>
      <c r="AK206">
        <v>1</v>
      </c>
      <c r="AL206">
        <v>0</v>
      </c>
      <c r="AM206">
        <v>0</v>
      </c>
      <c r="AN206">
        <v>5</v>
      </c>
      <c r="AO206">
        <v>0</v>
      </c>
      <c r="AP206">
        <v>0</v>
      </c>
      <c r="AQ206">
        <v>0</v>
      </c>
      <c r="AR206">
        <v>0</v>
      </c>
      <c r="AS206">
        <v>660</v>
      </c>
      <c r="AT206">
        <v>732</v>
      </c>
      <c r="AU206">
        <v>100</v>
      </c>
      <c r="AV206">
        <v>100</v>
      </c>
      <c r="AW206">
        <v>208547</v>
      </c>
      <c r="AX206">
        <v>141812</v>
      </c>
      <c r="AY206">
        <v>147</v>
      </c>
      <c r="AZ206">
        <v>147</v>
      </c>
      <c r="BA206">
        <v>0</v>
      </c>
      <c r="BB206">
        <v>0</v>
      </c>
      <c r="BC206" s="3">
        <v>45145</v>
      </c>
      <c r="BD206" t="s">
        <v>250</v>
      </c>
      <c r="BE206">
        <v>294500</v>
      </c>
      <c r="BF206">
        <v>285242</v>
      </c>
      <c r="BG206" t="s">
        <v>294</v>
      </c>
      <c r="BH206">
        <v>30</v>
      </c>
      <c r="BI206" t="s">
        <v>65</v>
      </c>
      <c r="BJ206" t="s">
        <v>450</v>
      </c>
      <c r="BK206">
        <v>289200</v>
      </c>
      <c r="BL206">
        <v>56600</v>
      </c>
      <c r="BM206">
        <v>232600</v>
      </c>
      <c r="BN206">
        <v>9258</v>
      </c>
      <c r="BO206">
        <v>0.98200339558573857</v>
      </c>
      <c r="BP206">
        <v>301838.46659344685</v>
      </c>
      <c r="BQ206">
        <v>312210.52148861601</v>
      </c>
      <c r="BR206" s="12">
        <f>(Sales[[#This Row],[DP1]]*Lookups!$B$59)+(Sales[[#This Row],[DP2]]*Lookups!$B$60)+(Sales[[#This Row],[DP3]]*Lookups!$B$61)</f>
        <v>-10372.054895790001</v>
      </c>
      <c r="BS206" s="12">
        <f>Lookups!$B$56*0</f>
        <v>0</v>
      </c>
      <c r="BT206" s="12">
        <f>Lookups!$B$56*1</f>
        <v>89850.625589999996</v>
      </c>
      <c r="BU206" s="12">
        <f>Lookups!$B$57*Sales[[#This Row],[LnAcres]]</f>
        <v>-52569.808201026557</v>
      </c>
      <c r="BV206" s="12">
        <f>VLOOKUP(Sales[[#This Row],[Qlty]],Lookups!$A$62:$E$75,2,FALSE)</f>
        <v>21557.329055999999</v>
      </c>
      <c r="BW206" s="12">
        <f>VLOOKUP(Sales[[#This Row],[Cnd]],Lookups!$A$76:$E$84,2,FALSE)</f>
        <v>160472.20319</v>
      </c>
      <c r="BX206" s="12">
        <f>Sales[[#This Row],[EffAge]]*Lookups!$B$85</f>
        <v>-11821.416826500001</v>
      </c>
      <c r="BY206" s="12">
        <f>Sales[[#This Row],[MainFn]]*Lookups!$B$86</f>
        <v>58104.595775351998</v>
      </c>
      <c r="BZ206" s="12">
        <f>Sales[[#This Row],[UpprFn]]*Lookups!$B$87</f>
        <v>0</v>
      </c>
      <c r="CA206" s="12">
        <f>Sales[[#This Row],[AddFn]]*Lookups!$B$88</f>
        <v>0</v>
      </c>
      <c r="CB206" s="12">
        <f>Sales[[#This Row],[Bsmt]]*Lookups!$B$89</f>
        <v>27656.882379896997</v>
      </c>
      <c r="CC206" s="12">
        <f>Sales[[#This Row],[Fixtures]]*Lookups!$B$90</f>
        <v>18960.110526</v>
      </c>
      <c r="CD206" s="12">
        <f>Sales[[#This Row],[WdDeck]]*Lookups!$B$91</f>
        <v>0</v>
      </c>
      <c r="CE206" s="12">
        <f>SUM(Sales[[#This Row],[Days Prior Total]:[Mdl WdDeck]])</f>
        <v>301838.46659393242</v>
      </c>
      <c r="CF206" s="12">
        <f>ROUND(Sales[[#This Row],[25Det]],-2)</f>
        <v>9300</v>
      </c>
      <c r="CG206" s="12">
        <f>ROUND(SUM(Sales[[#This Row],[Mdl Qlty]:[Mdl WdDeck]])+Sales[[#This Row],[Mdl Res Intercept]]+Sales[[#This Row],[Days Prior Total]],-2)</f>
        <v>264600</v>
      </c>
      <c r="CH206" s="12">
        <f>ROUND(Sales[[#This Row],[Mdl Land Intercept]]+Sales[[#This Row],[Mdl LnAcres]],-2)</f>
        <v>37300</v>
      </c>
      <c r="CI206" s="12">
        <f>Sales[[#This Row],[Unadj Res Value]]+Sales[[#This Row],[Unadj Det Value]]+Sales[[#This Row],[Unadj Land Value]]</f>
        <v>311200</v>
      </c>
      <c r="CJ206" s="13">
        <f>Sales[[#This Row],[Unadj Total Value]]/Sales[[#This Row],[Price]]</f>
        <v>1.0567062818336164</v>
      </c>
      <c r="CK206" s="13">
        <f>(Sales[[#This Row],[Unadj Total Value]]-Sales[[#This Row],[24Final]])/Sales[[#This Row],[24Final]]</f>
        <v>7.6071922544951584E-2</v>
      </c>
      <c r="CL206">
        <f>VLOOKUP(Sales[[#This Row],[TNbhd]],Lookups!$Q$2:$T$4,4,FALSE)</f>
        <v>0.99970000000000003</v>
      </c>
      <c r="CM206">
        <f>VLOOKUP(Sales[[#This Row],[Qlty]],Lookups!$O$7:$R$21,4,FALSE)</f>
        <v>1.0067999999999999</v>
      </c>
      <c r="CN206">
        <f>VLOOKUP(Sales[[#This Row],[Cnd]],Lookups!$T$7:$W$16,4,FALSE)</f>
        <v>0.99729999999999996</v>
      </c>
      <c r="CO206">
        <f>VLOOKUP(Sales[[#This Row],[LivArea Range]],Lookups!$T$25:$W$37,4,FALSE)</f>
        <v>1.0157</v>
      </c>
      <c r="CP206">
        <f>VLOOKUP(Sales[[#This Row],[Decade]],Lookups!$O$25:$R$42,4,FALSE)</f>
        <v>0.98909999999999998</v>
      </c>
      <c r="CQ206">
        <f>Sales[[#This Row],[Nbhd Adj]]*0.95</f>
        <v>0.94971499999999998</v>
      </c>
      <c r="CR206">
        <f>Sales[[#This Row],[Nbhd Adj]]*Sales[[#This Row],[Quality Adj]]*Sales[[#This Row],[Condition Adj]]*Sales[[#This Row],[Living Area Adj]]*Sales[[#This Row],[Decade Adj]]*0.95</f>
        <v>0.95800544533193577</v>
      </c>
      <c r="CS206">
        <f>ROUND(SUM(Sales[[#This Row],[Mdl Qlty]:[Mdl WdDeck]])+Sales[[#This Row],[Mdl Res Intercept]]*Sales[[#This Row],[Res Adj ]],-2)</f>
        <v>274900</v>
      </c>
      <c r="CT206">
        <f>ROUND(Sales[[#This Row],[25Det]]*Sales[[#This Row],[Det/Nbhd Adj]],-2)</f>
        <v>8800</v>
      </c>
      <c r="CU206">
        <f>Sales[[#This Row],[Adjusted Res]]+Sales[[#This Row],[Adj Det ]]</f>
        <v>283700</v>
      </c>
      <c r="CV206">
        <f>ROUND((Sales[[#This Row],[Mdl Land Intercept]]+Sales[[#This Row],[Mdl LnAcres]])*Sales[[#This Row],[Det/Nbhd Adj]],-2)</f>
        <v>35400</v>
      </c>
      <c r="CW206">
        <f>Sales[[#This Row],[Adjusted Impr Total]]+Sales[[#This Row],[Adjusted Land Total]]</f>
        <v>319100</v>
      </c>
      <c r="CX206" s="15">
        <f>IFERROR((Sales[[#This Row],[Adjusted Impr Total]]-Sales[[#This Row],[24Bldg]])/Sales[[#This Row],[24Bldg]],0)</f>
        <v>0.21969045571797077</v>
      </c>
      <c r="CY206" s="15">
        <f>(Sales[[#This Row],[Adjusted Land Total]]-Sales[[#This Row],[24Lnd]])/Sales[[#This Row],[24Lnd]]</f>
        <v>-0.37455830388692579</v>
      </c>
      <c r="CZ206" s="15">
        <f>(Sales[[#This Row],[Adjusted Total]]-Sales[[#This Row],[24Final]])/Sales[[#This Row],[24Final]]</f>
        <v>0.10338865836791147</v>
      </c>
      <c r="DA206" s="15">
        <f>(Sales[[#This Row],[Adjusted Total]]+Sales[[#This Row],[Days Prior Total]])/Sales[[#This Row],[Price]]</f>
        <v>1.0483122074845841</v>
      </c>
    </row>
    <row r="207" spans="1:105" x14ac:dyDescent="0.3">
      <c r="A207">
        <v>2025</v>
      </c>
      <c r="B207">
        <v>18132334463</v>
      </c>
      <c r="C207">
        <v>-1.6094379124341003</v>
      </c>
      <c r="D207">
        <v>0.2</v>
      </c>
      <c r="E207">
        <v>0</v>
      </c>
      <c r="F207">
        <v>6</v>
      </c>
      <c r="G207" t="s">
        <v>126</v>
      </c>
      <c r="H207">
        <v>3093</v>
      </c>
      <c r="I207" t="s">
        <v>349</v>
      </c>
      <c r="J207" t="s">
        <v>30</v>
      </c>
      <c r="K207">
        <v>11</v>
      </c>
      <c r="L207">
        <v>259</v>
      </c>
      <c r="M207" t="s">
        <v>147</v>
      </c>
      <c r="N207" t="s">
        <v>302</v>
      </c>
      <c r="O207" t="s">
        <v>352</v>
      </c>
      <c r="P207">
        <v>90</v>
      </c>
      <c r="Q207">
        <v>1935</v>
      </c>
      <c r="R207">
        <v>1971</v>
      </c>
      <c r="S207">
        <v>89</v>
      </c>
      <c r="T207">
        <v>53</v>
      </c>
      <c r="U207">
        <v>2</v>
      </c>
      <c r="V207">
        <v>1230</v>
      </c>
      <c r="W207">
        <v>500</v>
      </c>
      <c r="X207">
        <v>0</v>
      </c>
      <c r="Y207">
        <v>1230</v>
      </c>
      <c r="Z207">
        <v>0</v>
      </c>
      <c r="AA207">
        <v>1230</v>
      </c>
      <c r="AB207">
        <v>2960</v>
      </c>
      <c r="AC207">
        <v>3000</v>
      </c>
      <c r="AD207">
        <v>0</v>
      </c>
      <c r="AF207" t="s">
        <v>383</v>
      </c>
      <c r="AG207" t="s">
        <v>148</v>
      </c>
      <c r="AH207" t="s">
        <v>450</v>
      </c>
      <c r="AI207">
        <v>0</v>
      </c>
      <c r="AJ207">
        <v>2</v>
      </c>
      <c r="AK207">
        <v>0</v>
      </c>
      <c r="AL207">
        <v>1</v>
      </c>
      <c r="AM207">
        <v>1</v>
      </c>
      <c r="AN207">
        <v>10</v>
      </c>
      <c r="AO207">
        <v>0</v>
      </c>
      <c r="AP207">
        <v>0</v>
      </c>
      <c r="AQ207">
        <v>200</v>
      </c>
      <c r="AR207">
        <v>0</v>
      </c>
      <c r="AS207">
        <v>0</v>
      </c>
      <c r="AT207">
        <v>0</v>
      </c>
      <c r="AU207">
        <v>100</v>
      </c>
      <c r="AV207">
        <v>100</v>
      </c>
      <c r="AW207">
        <v>382538</v>
      </c>
      <c r="AX207">
        <v>309856</v>
      </c>
      <c r="AY207">
        <v>598</v>
      </c>
      <c r="AZ207">
        <v>365</v>
      </c>
      <c r="BA207">
        <v>233</v>
      </c>
      <c r="BB207">
        <v>0</v>
      </c>
      <c r="BC207" s="3">
        <v>44694</v>
      </c>
      <c r="BD207" t="s">
        <v>468</v>
      </c>
      <c r="BE207">
        <v>445000</v>
      </c>
      <c r="BF207">
        <v>445000</v>
      </c>
      <c r="BG207" t="s">
        <v>294</v>
      </c>
      <c r="BH207">
        <v>30</v>
      </c>
      <c r="BI207" t="s">
        <v>65</v>
      </c>
      <c r="BJ207" t="s">
        <v>450</v>
      </c>
      <c r="BK207">
        <v>425900</v>
      </c>
      <c r="BL207">
        <v>58400</v>
      </c>
      <c r="BM207">
        <v>367500</v>
      </c>
      <c r="BN207">
        <v>0</v>
      </c>
      <c r="BO207">
        <v>0.9570786516853933</v>
      </c>
      <c r="BP207">
        <v>475486.4361462089</v>
      </c>
      <c r="BQ207">
        <v>498564.59889774176</v>
      </c>
      <c r="BR207" s="12">
        <f>(Sales[[#This Row],[DP1]]*Lookups!$B$59)+(Sales[[#This Row],[DP2]]*Lookups!$B$60)+(Sales[[#This Row],[DP3]]*Lookups!$B$61)</f>
        <v>-23078.162753134002</v>
      </c>
      <c r="BS207" s="12">
        <f>Lookups!$B$56*0</f>
        <v>0</v>
      </c>
      <c r="BT207" s="12">
        <f>Lookups!$B$56*1</f>
        <v>89850.625589999996</v>
      </c>
      <c r="BU207" s="12">
        <f>Lookups!$B$57*Sales[[#This Row],[LnAcres]]</f>
        <v>-50946.13867709865</v>
      </c>
      <c r="BV207" s="12">
        <f>VLOOKUP(Sales[[#This Row],[Qlty]],Lookups!$A$62:$E$75,2,FALSE)</f>
        <v>29814.093161000001</v>
      </c>
      <c r="BW207" s="12">
        <f>VLOOKUP(Sales[[#This Row],[Cnd]],Lookups!$A$76:$E$84,2,FALSE)</f>
        <v>284810.60806</v>
      </c>
      <c r="BX207" s="12">
        <f>Sales[[#This Row],[EffAge]]*Lookups!$B$85</f>
        <v>-11821.416826500001</v>
      </c>
      <c r="BY207" s="12">
        <f>Sales[[#This Row],[MainFn]]*Lookups!$B$86</f>
        <v>60772.663948710004</v>
      </c>
      <c r="BZ207" s="12">
        <f>Sales[[#This Row],[UpprFn]]*Lookups!$B$87</f>
        <v>22393.2114305</v>
      </c>
      <c r="CA207" s="12">
        <f>Sales[[#This Row],[AddFn]]*Lookups!$B$88</f>
        <v>0</v>
      </c>
      <c r="CB207" s="12">
        <f>Sales[[#This Row],[Bsmt]]*Lookups!$B$89</f>
        <v>35770.731153809997</v>
      </c>
      <c r="CC207" s="12">
        <f>Sales[[#This Row],[Fixtures]]*Lookups!$B$90</f>
        <v>37920.221052000001</v>
      </c>
      <c r="CD207" s="12">
        <f>Sales[[#This Row],[WdDeck]]*Lookups!$B$91</f>
        <v>0</v>
      </c>
      <c r="CE207" s="12">
        <f>SUM(Sales[[#This Row],[Days Prior Total]:[Mdl WdDeck]])</f>
        <v>475486.43613928743</v>
      </c>
      <c r="CF207" s="12">
        <f>ROUND(Sales[[#This Row],[25Det]],-2)</f>
        <v>0</v>
      </c>
      <c r="CG207" s="12">
        <f>ROUND(SUM(Sales[[#This Row],[Mdl Qlty]:[Mdl WdDeck]])+Sales[[#This Row],[Mdl Res Intercept]]+Sales[[#This Row],[Days Prior Total]],-2)</f>
        <v>436600</v>
      </c>
      <c r="CH207" s="12">
        <f>ROUND(Sales[[#This Row],[Mdl Land Intercept]]+Sales[[#This Row],[Mdl LnAcres]],-2)</f>
        <v>38900</v>
      </c>
      <c r="CI207" s="12">
        <f>Sales[[#This Row],[Unadj Res Value]]+Sales[[#This Row],[Unadj Det Value]]+Sales[[#This Row],[Unadj Land Value]]</f>
        <v>475500</v>
      </c>
      <c r="CJ207" s="13">
        <f>Sales[[#This Row],[Unadj Total Value]]/Sales[[#This Row],[Price]]</f>
        <v>1.0685393258426967</v>
      </c>
      <c r="CK207" s="13">
        <f>(Sales[[#This Row],[Unadj Total Value]]-Sales[[#This Row],[24Final]])/Sales[[#This Row],[24Final]]</f>
        <v>0.11645926273773186</v>
      </c>
      <c r="CL207">
        <f>VLOOKUP(Sales[[#This Row],[TNbhd]],Lookups!$Q$2:$T$4,4,FALSE)</f>
        <v>0.99970000000000003</v>
      </c>
      <c r="CM207">
        <f>VLOOKUP(Sales[[#This Row],[Qlty]],Lookups!$O$7:$R$21,4,FALSE)</f>
        <v>1.0088999999999999</v>
      </c>
      <c r="CN207">
        <f>VLOOKUP(Sales[[#This Row],[Cnd]],Lookups!$T$7:$W$16,4,FALSE)</f>
        <v>1.0158</v>
      </c>
      <c r="CO207">
        <f>VLOOKUP(Sales[[#This Row],[LivArea Range]],Lookups!$T$25:$W$37,4,FALSE)</f>
        <v>0.96179999999999999</v>
      </c>
      <c r="CP207">
        <f>VLOOKUP(Sales[[#This Row],[Decade]],Lookups!$O$25:$R$42,4,FALSE)</f>
        <v>0.98909999999999998</v>
      </c>
      <c r="CQ207">
        <f>Sales[[#This Row],[Nbhd Adj]]*0.95</f>
        <v>0.94971499999999998</v>
      </c>
      <c r="CR207">
        <f>Sales[[#This Row],[Nbhd Adj]]*Sales[[#This Row],[Quality Adj]]*Sales[[#This Row],[Condition Adj]]*Sales[[#This Row],[Living Area Adj]]*Sales[[#This Row],[Decade Adj]]*0.95</f>
        <v>0.92592242517500944</v>
      </c>
      <c r="CS207">
        <f>ROUND(SUM(Sales[[#This Row],[Mdl Qlty]:[Mdl WdDeck]])+Sales[[#This Row],[Mdl Res Intercept]]*Sales[[#This Row],[Res Adj ]],-2)</f>
        <v>459700</v>
      </c>
      <c r="CT207">
        <f>ROUND(Sales[[#This Row],[25Det]]*Sales[[#This Row],[Det/Nbhd Adj]],-2)</f>
        <v>0</v>
      </c>
      <c r="CU207">
        <f>Sales[[#This Row],[Adjusted Res]]+Sales[[#This Row],[Adj Det ]]</f>
        <v>459700</v>
      </c>
      <c r="CV207">
        <f>ROUND((Sales[[#This Row],[Mdl Land Intercept]]+Sales[[#This Row],[Mdl LnAcres]])*Sales[[#This Row],[Det/Nbhd Adj]],-2)</f>
        <v>36900</v>
      </c>
      <c r="CW207">
        <f>Sales[[#This Row],[Adjusted Impr Total]]+Sales[[#This Row],[Adjusted Land Total]]</f>
        <v>496600</v>
      </c>
      <c r="CX207" s="15">
        <f>IFERROR((Sales[[#This Row],[Adjusted Impr Total]]-Sales[[#This Row],[24Bldg]])/Sales[[#This Row],[24Bldg]],0)</f>
        <v>0.25088435374149659</v>
      </c>
      <c r="CY207" s="15">
        <f>(Sales[[#This Row],[Adjusted Land Total]]-Sales[[#This Row],[24Lnd]])/Sales[[#This Row],[24Lnd]]</f>
        <v>-0.36815068493150682</v>
      </c>
      <c r="CZ207" s="15">
        <f>(Sales[[#This Row],[Adjusted Total]]-Sales[[#This Row],[24Final]])/Sales[[#This Row],[24Final]]</f>
        <v>0.1660014087814041</v>
      </c>
      <c r="DA207" s="15">
        <f>(Sales[[#This Row],[Adjusted Total]]+Sales[[#This Row],[Days Prior Total]])/Sales[[#This Row],[Price]]</f>
        <v>1.0640940162850923</v>
      </c>
    </row>
    <row r="208" spans="1:105" x14ac:dyDescent="0.3">
      <c r="A208">
        <v>2025</v>
      </c>
      <c r="B208">
        <v>18132332517</v>
      </c>
      <c r="C208">
        <v>-1.7719568419318752</v>
      </c>
      <c r="D208">
        <v>0.17</v>
      </c>
      <c r="E208">
        <v>0</v>
      </c>
      <c r="F208">
        <v>6</v>
      </c>
      <c r="G208" t="s">
        <v>126</v>
      </c>
      <c r="H208">
        <v>3032</v>
      </c>
      <c r="I208" t="s">
        <v>349</v>
      </c>
      <c r="J208" t="s">
        <v>30</v>
      </c>
      <c r="K208">
        <v>11</v>
      </c>
      <c r="L208">
        <v>259</v>
      </c>
      <c r="M208" t="s">
        <v>242</v>
      </c>
      <c r="N208" t="s">
        <v>351</v>
      </c>
      <c r="O208" t="s">
        <v>303</v>
      </c>
      <c r="P208">
        <v>90</v>
      </c>
      <c r="Q208">
        <v>1935</v>
      </c>
      <c r="R208">
        <v>1971</v>
      </c>
      <c r="S208">
        <v>89</v>
      </c>
      <c r="T208">
        <v>53</v>
      </c>
      <c r="U208">
        <v>1</v>
      </c>
      <c r="V208">
        <v>1066</v>
      </c>
      <c r="W208">
        <v>0</v>
      </c>
      <c r="X208">
        <v>0</v>
      </c>
      <c r="Y208">
        <v>1066</v>
      </c>
      <c r="Z208">
        <v>0</v>
      </c>
      <c r="AA208">
        <v>1066</v>
      </c>
      <c r="AB208">
        <v>2132</v>
      </c>
      <c r="AC208">
        <v>2500</v>
      </c>
      <c r="AD208">
        <v>0</v>
      </c>
      <c r="AF208" t="s">
        <v>383</v>
      </c>
      <c r="AG208" t="s">
        <v>148</v>
      </c>
      <c r="AH208" t="s">
        <v>450</v>
      </c>
      <c r="AI208">
        <v>0</v>
      </c>
      <c r="AJ208">
        <v>1</v>
      </c>
      <c r="AK208">
        <v>0</v>
      </c>
      <c r="AL208">
        <v>1</v>
      </c>
      <c r="AM208">
        <v>0</v>
      </c>
      <c r="AN208">
        <v>9</v>
      </c>
      <c r="AO208">
        <v>0</v>
      </c>
      <c r="AP208">
        <v>0</v>
      </c>
      <c r="AQ208">
        <v>0</v>
      </c>
      <c r="AR208">
        <v>0</v>
      </c>
      <c r="AS208">
        <v>240</v>
      </c>
      <c r="AT208">
        <v>240</v>
      </c>
      <c r="AU208">
        <v>100</v>
      </c>
      <c r="AV208">
        <v>100</v>
      </c>
      <c r="AW208">
        <v>248435</v>
      </c>
      <c r="AX208">
        <v>188811</v>
      </c>
      <c r="AY208">
        <v>836</v>
      </c>
      <c r="AZ208">
        <v>365</v>
      </c>
      <c r="BA208">
        <v>365</v>
      </c>
      <c r="BB208">
        <v>106</v>
      </c>
      <c r="BC208" s="3">
        <v>44456</v>
      </c>
      <c r="BD208" t="s">
        <v>332</v>
      </c>
      <c r="BE208">
        <v>300000</v>
      </c>
      <c r="BF208">
        <v>300000</v>
      </c>
      <c r="BG208" t="s">
        <v>294</v>
      </c>
      <c r="BH208">
        <v>30</v>
      </c>
      <c r="BI208" t="s">
        <v>65</v>
      </c>
      <c r="BJ208" t="s">
        <v>450</v>
      </c>
      <c r="BK208">
        <v>340300</v>
      </c>
      <c r="BL208">
        <v>52700</v>
      </c>
      <c r="BM208">
        <v>287600</v>
      </c>
      <c r="BN208">
        <v>0</v>
      </c>
      <c r="BO208">
        <v>1.1343333333333334</v>
      </c>
      <c r="BP208">
        <v>323310.52780061011</v>
      </c>
      <c r="BQ208">
        <v>359047.41345877835</v>
      </c>
      <c r="BR208" s="12">
        <f>(Sales[[#This Row],[DP1]]*Lookups!$B$59)+(Sales[[#This Row],[DP2]]*Lookups!$B$60)+(Sales[[#This Row],[DP3]]*Lookups!$B$61)</f>
        <v>-35736.885662470006</v>
      </c>
      <c r="BS208" s="12">
        <f>Lookups!$B$56*0</f>
        <v>0</v>
      </c>
      <c r="BT208" s="12">
        <f>Lookups!$B$56*1</f>
        <v>89850.625589999996</v>
      </c>
      <c r="BU208" s="12">
        <f>Lookups!$B$57*Sales[[#This Row],[LnAcres]]</f>
        <v>-56090.612940989391</v>
      </c>
      <c r="BV208" s="12">
        <f>VLOOKUP(Sales[[#This Row],[Qlty]],Lookups!$A$62:$E$75,2,FALSE)</f>
        <v>21557.329055999999</v>
      </c>
      <c r="BW208" s="12">
        <f>VLOOKUP(Sales[[#This Row],[Cnd]],Lookups!$A$76:$E$84,2,FALSE)</f>
        <v>197752.34721000001</v>
      </c>
      <c r="BX208" s="12">
        <f>Sales[[#This Row],[EffAge]]*Lookups!$B$85</f>
        <v>-11821.416826500001</v>
      </c>
      <c r="BY208" s="12">
        <f>Sales[[#This Row],[MainFn]]*Lookups!$B$86</f>
        <v>52669.642088881999</v>
      </c>
      <c r="BZ208" s="12">
        <f>Sales[[#This Row],[UpprFn]]*Lookups!$B$87</f>
        <v>0</v>
      </c>
      <c r="CA208" s="12">
        <f>Sales[[#This Row],[AddFn]]*Lookups!$B$88</f>
        <v>0</v>
      </c>
      <c r="CB208" s="12">
        <f>Sales[[#This Row],[Bsmt]]*Lookups!$B$89</f>
        <v>31001.300333301999</v>
      </c>
      <c r="CC208" s="12">
        <f>Sales[[#This Row],[Fixtures]]*Lookups!$B$90</f>
        <v>34128.198946800003</v>
      </c>
      <c r="CD208" s="12">
        <f>Sales[[#This Row],[WdDeck]]*Lookups!$B$91</f>
        <v>0</v>
      </c>
      <c r="CE208" s="12">
        <f>SUM(Sales[[#This Row],[Days Prior Total]:[Mdl WdDeck]])</f>
        <v>323310.52779502462</v>
      </c>
      <c r="CF208" s="12">
        <f>ROUND(Sales[[#This Row],[25Det]],-2)</f>
        <v>0</v>
      </c>
      <c r="CG208" s="12">
        <f>ROUND(SUM(Sales[[#This Row],[Mdl Qlty]:[Mdl WdDeck]])+Sales[[#This Row],[Mdl Res Intercept]]+Sales[[#This Row],[Days Prior Total]],-2)</f>
        <v>289600</v>
      </c>
      <c r="CH208" s="12">
        <f>ROUND(Sales[[#This Row],[Mdl Land Intercept]]+Sales[[#This Row],[Mdl LnAcres]],-2)</f>
        <v>33800</v>
      </c>
      <c r="CI208" s="12">
        <f>Sales[[#This Row],[Unadj Res Value]]+Sales[[#This Row],[Unadj Det Value]]+Sales[[#This Row],[Unadj Land Value]]</f>
        <v>323400</v>
      </c>
      <c r="CJ208" s="13">
        <f>Sales[[#This Row],[Unadj Total Value]]/Sales[[#This Row],[Price]]</f>
        <v>1.0780000000000001</v>
      </c>
      <c r="CK208" s="13">
        <f>(Sales[[#This Row],[Unadj Total Value]]-Sales[[#This Row],[24Final]])/Sales[[#This Row],[24Final]]</f>
        <v>-4.9662062885689098E-2</v>
      </c>
      <c r="CL208">
        <f>VLOOKUP(Sales[[#This Row],[TNbhd]],Lookups!$Q$2:$T$4,4,FALSE)</f>
        <v>0.99970000000000003</v>
      </c>
      <c r="CM208">
        <f>VLOOKUP(Sales[[#This Row],[Qlty]],Lookups!$O$7:$R$21,4,FALSE)</f>
        <v>1.0067999999999999</v>
      </c>
      <c r="CN208">
        <f>VLOOKUP(Sales[[#This Row],[Cnd]],Lookups!$T$7:$W$16,4,FALSE)</f>
        <v>0.99650000000000005</v>
      </c>
      <c r="CO208">
        <f>VLOOKUP(Sales[[#This Row],[LivArea Range]],Lookups!$T$25:$W$37,4,FALSE)</f>
        <v>0.98919999999999997</v>
      </c>
      <c r="CP208">
        <f>VLOOKUP(Sales[[#This Row],[Decade]],Lookups!$O$25:$R$42,4,FALSE)</f>
        <v>0.98909999999999998</v>
      </c>
      <c r="CQ208">
        <f>Sales[[#This Row],[Nbhd Adj]]*0.95</f>
        <v>0.94971499999999998</v>
      </c>
      <c r="CR208">
        <f>Sales[[#This Row],[Nbhd Adj]]*Sales[[#This Row],[Quality Adj]]*Sales[[#This Row],[Condition Adj]]*Sales[[#This Row],[Living Area Adj]]*Sales[[#This Row],[Decade Adj]]*0.95</f>
        <v>0.9322622889120924</v>
      </c>
      <c r="CS208">
        <f>ROUND(SUM(Sales[[#This Row],[Mdl Qlty]:[Mdl WdDeck]])+Sales[[#This Row],[Mdl Res Intercept]]*Sales[[#This Row],[Res Adj ]],-2)</f>
        <v>325300</v>
      </c>
      <c r="CT208">
        <f>ROUND(Sales[[#This Row],[25Det]]*Sales[[#This Row],[Det/Nbhd Adj]],-2)</f>
        <v>0</v>
      </c>
      <c r="CU208">
        <f>Sales[[#This Row],[Adjusted Res]]+Sales[[#This Row],[Adj Det ]]</f>
        <v>325300</v>
      </c>
      <c r="CV208">
        <f>ROUND((Sales[[#This Row],[Mdl Land Intercept]]+Sales[[#This Row],[Mdl LnAcres]])*Sales[[#This Row],[Det/Nbhd Adj]],-2)</f>
        <v>32100</v>
      </c>
      <c r="CW208">
        <f>Sales[[#This Row],[Adjusted Impr Total]]+Sales[[#This Row],[Adjusted Land Total]]</f>
        <v>357400</v>
      </c>
      <c r="CX208" s="15">
        <f>IFERROR((Sales[[#This Row],[Adjusted Impr Total]]-Sales[[#This Row],[24Bldg]])/Sales[[#This Row],[24Bldg]],0)</f>
        <v>0.13108484005563281</v>
      </c>
      <c r="CY208" s="15">
        <f>(Sales[[#This Row],[Adjusted Land Total]]-Sales[[#This Row],[24Lnd]])/Sales[[#This Row],[24Lnd]]</f>
        <v>-0.39089184060721061</v>
      </c>
      <c r="CZ208" s="15">
        <f>(Sales[[#This Row],[Adjusted Total]]-Sales[[#This Row],[24Final]])/Sales[[#This Row],[24Final]]</f>
        <v>5.0249779606229797E-2</v>
      </c>
      <c r="DA208" s="15">
        <f>(Sales[[#This Row],[Adjusted Total]]+Sales[[#This Row],[Days Prior Total]])/Sales[[#This Row],[Price]]</f>
        <v>1.0722103811251</v>
      </c>
    </row>
    <row r="209" spans="1:105" x14ac:dyDescent="0.3">
      <c r="A209">
        <v>2025</v>
      </c>
      <c r="B209">
        <v>18132214408</v>
      </c>
      <c r="C209">
        <v>-1.9661128563728327</v>
      </c>
      <c r="D209">
        <v>0.14000000000000001</v>
      </c>
      <c r="E209">
        <v>6298</v>
      </c>
      <c r="F209">
        <v>6</v>
      </c>
      <c r="G209" t="s">
        <v>126</v>
      </c>
      <c r="H209">
        <v>3033</v>
      </c>
      <c r="I209" t="s">
        <v>349</v>
      </c>
      <c r="J209" t="s">
        <v>30</v>
      </c>
      <c r="K209">
        <v>11</v>
      </c>
      <c r="L209">
        <v>259</v>
      </c>
      <c r="M209" t="s">
        <v>242</v>
      </c>
      <c r="N209" t="s">
        <v>302</v>
      </c>
      <c r="O209" t="s">
        <v>303</v>
      </c>
      <c r="P209">
        <v>90</v>
      </c>
      <c r="Q209">
        <v>1935</v>
      </c>
      <c r="R209">
        <v>1971</v>
      </c>
      <c r="S209">
        <v>89</v>
      </c>
      <c r="T209">
        <v>53</v>
      </c>
      <c r="U209">
        <v>1</v>
      </c>
      <c r="V209">
        <v>1357</v>
      </c>
      <c r="W209">
        <v>0</v>
      </c>
      <c r="X209">
        <v>0</v>
      </c>
      <c r="Y209">
        <v>1097</v>
      </c>
      <c r="Z209">
        <v>0</v>
      </c>
      <c r="AA209">
        <v>1097</v>
      </c>
      <c r="AB209">
        <v>2454</v>
      </c>
      <c r="AC209">
        <v>2500</v>
      </c>
      <c r="AD209">
        <v>0</v>
      </c>
      <c r="AF209" t="s">
        <v>383</v>
      </c>
      <c r="AG209" t="s">
        <v>148</v>
      </c>
      <c r="AH209" t="s">
        <v>450</v>
      </c>
      <c r="AI209">
        <v>0</v>
      </c>
      <c r="AJ209">
        <v>1</v>
      </c>
      <c r="AK209">
        <v>0</v>
      </c>
      <c r="AL209">
        <v>0</v>
      </c>
      <c r="AM209">
        <v>0</v>
      </c>
      <c r="AN209">
        <v>10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100</v>
      </c>
      <c r="AV209">
        <v>100</v>
      </c>
      <c r="AW209">
        <v>325972</v>
      </c>
      <c r="AX209">
        <v>247739</v>
      </c>
      <c r="AY209">
        <v>700</v>
      </c>
      <c r="AZ209">
        <v>365</v>
      </c>
      <c r="BA209">
        <v>335</v>
      </c>
      <c r="BB209">
        <v>0</v>
      </c>
      <c r="BC209" s="3">
        <v>44592</v>
      </c>
      <c r="BD209" t="s">
        <v>434</v>
      </c>
      <c r="BE209">
        <v>328000</v>
      </c>
      <c r="BF209">
        <v>327297</v>
      </c>
      <c r="BG209" t="s">
        <v>294</v>
      </c>
      <c r="BH209">
        <v>30</v>
      </c>
      <c r="BI209" t="s">
        <v>65</v>
      </c>
      <c r="BJ209" t="s">
        <v>450</v>
      </c>
      <c r="BK209">
        <v>360400</v>
      </c>
      <c r="BL209">
        <v>46000</v>
      </c>
      <c r="BM209">
        <v>314400</v>
      </c>
      <c r="BN209">
        <v>703</v>
      </c>
      <c r="BO209">
        <v>1.0987804878048781</v>
      </c>
      <c r="BP209">
        <v>358322.84808176884</v>
      </c>
      <c r="BQ209">
        <v>380229.72732477158</v>
      </c>
      <c r="BR209" s="12">
        <f>(Sales[[#This Row],[DP1]]*Lookups!$B$59)+(Sales[[#This Row],[DP2]]*Lookups!$B$60)+(Sales[[#This Row],[DP3]]*Lookups!$B$61)</f>
        <v>-21906.879244629999</v>
      </c>
      <c r="BS209" s="12">
        <f>Lookups!$B$56*0</f>
        <v>0</v>
      </c>
      <c r="BT209" s="12">
        <f>Lookups!$B$56*1</f>
        <v>89850.625589999996</v>
      </c>
      <c r="BU209" s="12">
        <f>Lookups!$B$57*Sales[[#This Row],[LnAcres]]</f>
        <v>-62236.546971921947</v>
      </c>
      <c r="BV209" s="12">
        <f>VLOOKUP(Sales[[#This Row],[Qlty]],Lookups!$A$62:$E$75,2,FALSE)</f>
        <v>29814.093161000001</v>
      </c>
      <c r="BW209" s="12">
        <f>VLOOKUP(Sales[[#This Row],[Cnd]],Lookups!$A$76:$E$84,2,FALSE)</f>
        <v>197752.34721000001</v>
      </c>
      <c r="BX209" s="12">
        <f>Sales[[#This Row],[EffAge]]*Lookups!$B$85</f>
        <v>-11821.416826500001</v>
      </c>
      <c r="BY209" s="12">
        <f>Sales[[#This Row],[MainFn]]*Lookups!$B$86</f>
        <v>67047.565023089002</v>
      </c>
      <c r="BZ209" s="12">
        <f>Sales[[#This Row],[UpprFn]]*Lookups!$B$87</f>
        <v>0</v>
      </c>
      <c r="CA209" s="12">
        <f>Sales[[#This Row],[AddFn]]*Lookups!$B$88</f>
        <v>0</v>
      </c>
      <c r="CB209" s="12">
        <f>Sales[[#This Row],[Bsmt]]*Lookups!$B$89</f>
        <v>31902.839085959</v>
      </c>
      <c r="CC209" s="12">
        <f>Sales[[#This Row],[Fixtures]]*Lookups!$B$90</f>
        <v>37920.221052000001</v>
      </c>
      <c r="CD209" s="12">
        <f>Sales[[#This Row],[WdDeck]]*Lookups!$B$91</f>
        <v>0</v>
      </c>
      <c r="CE209" s="12">
        <f>SUM(Sales[[#This Row],[Days Prior Total]:[Mdl WdDeck]])</f>
        <v>358322.84807899612</v>
      </c>
      <c r="CF209" s="12">
        <f>ROUND(Sales[[#This Row],[25Det]],-2)</f>
        <v>700</v>
      </c>
      <c r="CG209" s="12">
        <f>ROUND(SUM(Sales[[#This Row],[Mdl Qlty]:[Mdl WdDeck]])+Sales[[#This Row],[Mdl Res Intercept]]+Sales[[#This Row],[Days Prior Total]],-2)</f>
        <v>330700</v>
      </c>
      <c r="CH209" s="12">
        <f>ROUND(Sales[[#This Row],[Mdl Land Intercept]]+Sales[[#This Row],[Mdl LnAcres]],-2)</f>
        <v>27600</v>
      </c>
      <c r="CI209" s="12">
        <f>Sales[[#This Row],[Unadj Res Value]]+Sales[[#This Row],[Unadj Det Value]]+Sales[[#This Row],[Unadj Land Value]]</f>
        <v>359000</v>
      </c>
      <c r="CJ209" s="13">
        <f>Sales[[#This Row],[Unadj Total Value]]/Sales[[#This Row],[Price]]</f>
        <v>1.0945121951219512</v>
      </c>
      <c r="CK209" s="13">
        <f>(Sales[[#This Row],[Unadj Total Value]]-Sales[[#This Row],[24Final]])/Sales[[#This Row],[24Final]]</f>
        <v>-3.8845726970033298E-3</v>
      </c>
      <c r="CL209">
        <f>VLOOKUP(Sales[[#This Row],[TNbhd]],Lookups!$Q$2:$T$4,4,FALSE)</f>
        <v>0.99970000000000003</v>
      </c>
      <c r="CM209">
        <f>VLOOKUP(Sales[[#This Row],[Qlty]],Lookups!$O$7:$R$21,4,FALSE)</f>
        <v>1.0088999999999999</v>
      </c>
      <c r="CN209">
        <f>VLOOKUP(Sales[[#This Row],[Cnd]],Lookups!$T$7:$W$16,4,FALSE)</f>
        <v>0.99650000000000005</v>
      </c>
      <c r="CO209">
        <f>VLOOKUP(Sales[[#This Row],[LivArea Range]],Lookups!$T$25:$W$37,4,FALSE)</f>
        <v>0.98919999999999997</v>
      </c>
      <c r="CP209">
        <f>VLOOKUP(Sales[[#This Row],[Decade]],Lookups!$O$25:$R$42,4,FALSE)</f>
        <v>0.98909999999999998</v>
      </c>
      <c r="CQ209">
        <f>Sales[[#This Row],[Nbhd Adj]]*0.95</f>
        <v>0.94971499999999998</v>
      </c>
      <c r="CR209">
        <f>Sales[[#This Row],[Nbhd Adj]]*Sales[[#This Row],[Quality Adj]]*Sales[[#This Row],[Condition Adj]]*Sales[[#This Row],[Living Area Adj]]*Sales[[#This Row],[Decade Adj]]*0.95</f>
        <v>0.93420681692829766</v>
      </c>
      <c r="CS209">
        <f>ROUND(SUM(Sales[[#This Row],[Mdl Qlty]:[Mdl WdDeck]])+Sales[[#This Row],[Mdl Res Intercept]]*Sales[[#This Row],[Res Adj ]],-2)</f>
        <v>352600</v>
      </c>
      <c r="CT209">
        <f>ROUND(Sales[[#This Row],[25Det]]*Sales[[#This Row],[Det/Nbhd Adj]],-2)</f>
        <v>700</v>
      </c>
      <c r="CU209">
        <f>Sales[[#This Row],[Adjusted Res]]+Sales[[#This Row],[Adj Det ]]</f>
        <v>353300</v>
      </c>
      <c r="CV209">
        <f>ROUND((Sales[[#This Row],[Mdl Land Intercept]]+Sales[[#This Row],[Mdl LnAcres]])*Sales[[#This Row],[Det/Nbhd Adj]],-2)</f>
        <v>26200</v>
      </c>
      <c r="CW209">
        <f>Sales[[#This Row],[Adjusted Impr Total]]+Sales[[#This Row],[Adjusted Land Total]]</f>
        <v>379500</v>
      </c>
      <c r="CX209" s="15">
        <f>IFERROR((Sales[[#This Row],[Adjusted Impr Total]]-Sales[[#This Row],[24Bldg]])/Sales[[#This Row],[24Bldg]],0)</f>
        <v>0.12372773536895675</v>
      </c>
      <c r="CY209" s="15">
        <f>(Sales[[#This Row],[Adjusted Land Total]]-Sales[[#This Row],[24Lnd]])/Sales[[#This Row],[24Lnd]]</f>
        <v>-0.43043478260869567</v>
      </c>
      <c r="CZ209" s="15">
        <f>(Sales[[#This Row],[Adjusted Total]]-Sales[[#This Row],[24Final]])/Sales[[#This Row],[24Final]]</f>
        <v>5.2996670366259713E-2</v>
      </c>
      <c r="DA209" s="15">
        <f>(Sales[[#This Row],[Adjusted Total]]+Sales[[#This Row],[Days Prior Total]])/Sales[[#This Row],[Price]]</f>
        <v>1.0902229291322256</v>
      </c>
    </row>
    <row r="210" spans="1:105" x14ac:dyDescent="0.3">
      <c r="A210">
        <v>2025</v>
      </c>
      <c r="B210">
        <v>18132334479</v>
      </c>
      <c r="C210">
        <v>-1.7719568419318752</v>
      </c>
      <c r="D210">
        <v>0.17</v>
      </c>
      <c r="E210">
        <v>7439</v>
      </c>
      <c r="F210">
        <v>6</v>
      </c>
      <c r="G210" t="s">
        <v>126</v>
      </c>
      <c r="H210">
        <v>3093</v>
      </c>
      <c r="I210" t="s">
        <v>349</v>
      </c>
      <c r="J210" t="s">
        <v>30</v>
      </c>
      <c r="K210">
        <v>11</v>
      </c>
      <c r="L210">
        <v>259</v>
      </c>
      <c r="M210" t="s">
        <v>242</v>
      </c>
      <c r="N210" t="s">
        <v>351</v>
      </c>
      <c r="O210" t="s">
        <v>323</v>
      </c>
      <c r="P210">
        <v>90</v>
      </c>
      <c r="Q210">
        <v>1935</v>
      </c>
      <c r="R210">
        <v>1971</v>
      </c>
      <c r="S210">
        <v>89</v>
      </c>
      <c r="T210">
        <v>53</v>
      </c>
      <c r="U210">
        <v>1</v>
      </c>
      <c r="V210">
        <v>1140</v>
      </c>
      <c r="W210">
        <v>0</v>
      </c>
      <c r="X210">
        <v>0</v>
      </c>
      <c r="Y210">
        <v>1140</v>
      </c>
      <c r="Z210">
        <v>114</v>
      </c>
      <c r="AA210">
        <v>1026</v>
      </c>
      <c r="AB210">
        <v>2166</v>
      </c>
      <c r="AC210">
        <v>2500</v>
      </c>
      <c r="AD210">
        <v>0</v>
      </c>
      <c r="AF210" t="s">
        <v>383</v>
      </c>
      <c r="AG210" t="s">
        <v>148</v>
      </c>
      <c r="AI210">
        <v>0</v>
      </c>
      <c r="AJ210">
        <v>1</v>
      </c>
      <c r="AK210">
        <v>0</v>
      </c>
      <c r="AL210">
        <v>1</v>
      </c>
      <c r="AM210">
        <v>0</v>
      </c>
      <c r="AN210">
        <v>10</v>
      </c>
      <c r="AO210">
        <v>0</v>
      </c>
      <c r="AP210">
        <v>0</v>
      </c>
      <c r="AQ210">
        <v>576</v>
      </c>
      <c r="AR210">
        <v>885</v>
      </c>
      <c r="AS210">
        <v>0</v>
      </c>
      <c r="AT210">
        <v>0</v>
      </c>
      <c r="AU210">
        <v>100</v>
      </c>
      <c r="AV210">
        <v>100</v>
      </c>
      <c r="AW210">
        <v>276416</v>
      </c>
      <c r="AX210">
        <v>187963</v>
      </c>
      <c r="AY210">
        <v>794</v>
      </c>
      <c r="AZ210">
        <v>365</v>
      </c>
      <c r="BA210">
        <v>365</v>
      </c>
      <c r="BB210">
        <v>64</v>
      </c>
      <c r="BC210" s="3">
        <v>44498</v>
      </c>
      <c r="BD210" t="s">
        <v>358</v>
      </c>
      <c r="BE210">
        <v>295000</v>
      </c>
      <c r="BF210">
        <v>295000</v>
      </c>
      <c r="BG210" t="s">
        <v>294</v>
      </c>
      <c r="BH210">
        <v>30</v>
      </c>
      <c r="BI210" t="s">
        <v>65</v>
      </c>
      <c r="BJ210" t="s">
        <v>450</v>
      </c>
      <c r="BK210">
        <v>323500</v>
      </c>
      <c r="BL210">
        <v>52700</v>
      </c>
      <c r="BM210">
        <v>270800</v>
      </c>
      <c r="BN210">
        <v>0</v>
      </c>
      <c r="BO210">
        <v>1.0966101694915253</v>
      </c>
      <c r="BP210">
        <v>330713.55066252063</v>
      </c>
      <c r="BQ210">
        <v>360834.12437994551</v>
      </c>
      <c r="BR210" s="12">
        <f>(Sales[[#This Row],[DP1]]*Lookups!$B$59)+(Sales[[#This Row],[DP2]]*Lookups!$B$60)+(Sales[[#This Row],[DP3]]*Lookups!$B$61)</f>
        <v>-30120.573720670003</v>
      </c>
      <c r="BS210" s="12">
        <f>Lookups!$B$56*0</f>
        <v>0</v>
      </c>
      <c r="BT210" s="12">
        <f>Lookups!$B$56*1</f>
        <v>89850.625589999996</v>
      </c>
      <c r="BU210" s="12">
        <f>Lookups!$B$57*Sales[[#This Row],[LnAcres]]</f>
        <v>-56090.612940989391</v>
      </c>
      <c r="BV210" s="12">
        <f>VLOOKUP(Sales[[#This Row],[Qlty]],Lookups!$A$62:$E$75,2,FALSE)</f>
        <v>21557.329055999999</v>
      </c>
      <c r="BW210" s="12">
        <f>VLOOKUP(Sales[[#This Row],[Cnd]],Lookups!$A$76:$E$84,2,FALSE)</f>
        <v>160472.20319</v>
      </c>
      <c r="BX210" s="12">
        <f>Sales[[#This Row],[EffAge]]*Lookups!$B$85</f>
        <v>-11821.416826500001</v>
      </c>
      <c r="BY210" s="12">
        <f>Sales[[#This Row],[MainFn]]*Lookups!$B$86</f>
        <v>56325.883659780004</v>
      </c>
      <c r="BZ210" s="12">
        <f>Sales[[#This Row],[UpprFn]]*Lookups!$B$87</f>
        <v>0</v>
      </c>
      <c r="CA210" s="12">
        <f>Sales[[#This Row],[AddFn]]*Lookups!$B$88</f>
        <v>0</v>
      </c>
      <c r="CB210" s="12">
        <f>Sales[[#This Row],[Bsmt]]*Lookups!$B$89</f>
        <v>33153.360581579997</v>
      </c>
      <c r="CC210" s="12">
        <f>Sales[[#This Row],[Fixtures]]*Lookups!$B$90</f>
        <v>37920.221052000001</v>
      </c>
      <c r="CD210" s="12">
        <f>Sales[[#This Row],[WdDeck]]*Lookups!$B$91</f>
        <v>29466.531019260005</v>
      </c>
      <c r="CE210" s="12">
        <f>SUM(Sales[[#This Row],[Days Prior Total]:[Mdl WdDeck]])</f>
        <v>330713.55066046061</v>
      </c>
      <c r="CF210" s="12">
        <f>ROUND(Sales[[#This Row],[25Det]],-2)</f>
        <v>0</v>
      </c>
      <c r="CG210" s="12">
        <f>ROUND(SUM(Sales[[#This Row],[Mdl Qlty]:[Mdl WdDeck]])+Sales[[#This Row],[Mdl Res Intercept]]+Sales[[#This Row],[Days Prior Total]],-2)</f>
        <v>297000</v>
      </c>
      <c r="CH210" s="12">
        <f>ROUND(Sales[[#This Row],[Mdl Land Intercept]]+Sales[[#This Row],[Mdl LnAcres]],-2)</f>
        <v>33800</v>
      </c>
      <c r="CI210" s="12">
        <f>Sales[[#This Row],[Unadj Res Value]]+Sales[[#This Row],[Unadj Det Value]]+Sales[[#This Row],[Unadj Land Value]]</f>
        <v>330800</v>
      </c>
      <c r="CJ210" s="13">
        <f>Sales[[#This Row],[Unadj Total Value]]/Sales[[#This Row],[Price]]</f>
        <v>1.1213559322033899</v>
      </c>
      <c r="CK210" s="13">
        <f>(Sales[[#This Row],[Unadj Total Value]]-Sales[[#This Row],[24Final]])/Sales[[#This Row],[24Final]]</f>
        <v>2.2565687789799074E-2</v>
      </c>
      <c r="CL210">
        <f>VLOOKUP(Sales[[#This Row],[TNbhd]],Lookups!$Q$2:$T$4,4,FALSE)</f>
        <v>0.99970000000000003</v>
      </c>
      <c r="CM210">
        <f>VLOOKUP(Sales[[#This Row],[Qlty]],Lookups!$O$7:$R$21,4,FALSE)</f>
        <v>1.0067999999999999</v>
      </c>
      <c r="CN210">
        <f>VLOOKUP(Sales[[#This Row],[Cnd]],Lookups!$T$7:$W$16,4,FALSE)</f>
        <v>0.99729999999999996</v>
      </c>
      <c r="CO210">
        <f>VLOOKUP(Sales[[#This Row],[LivArea Range]],Lookups!$T$25:$W$37,4,FALSE)</f>
        <v>0.98919999999999997</v>
      </c>
      <c r="CP210">
        <f>VLOOKUP(Sales[[#This Row],[Decade]],Lookups!$O$25:$R$42,4,FALSE)</f>
        <v>0.98909999999999998</v>
      </c>
      <c r="CQ210">
        <f>Sales[[#This Row],[Nbhd Adj]]*0.95</f>
        <v>0.94971499999999998</v>
      </c>
      <c r="CR210">
        <f>Sales[[#This Row],[Nbhd Adj]]*Sales[[#This Row],[Quality Adj]]*Sales[[#This Row],[Condition Adj]]*Sales[[#This Row],[Living Area Adj]]*Sales[[#This Row],[Decade Adj]]*0.95</f>
        <v>0.93301071824589021</v>
      </c>
      <c r="CS210">
        <f>ROUND(SUM(Sales[[#This Row],[Mdl Qlty]:[Mdl WdDeck]])+Sales[[#This Row],[Mdl Res Intercept]]*Sales[[#This Row],[Res Adj ]],-2)</f>
        <v>327100</v>
      </c>
      <c r="CT210">
        <f>ROUND(Sales[[#This Row],[25Det]]*Sales[[#This Row],[Det/Nbhd Adj]],-2)</f>
        <v>0</v>
      </c>
      <c r="CU210">
        <f>Sales[[#This Row],[Adjusted Res]]+Sales[[#This Row],[Adj Det ]]</f>
        <v>327100</v>
      </c>
      <c r="CV210">
        <f>ROUND((Sales[[#This Row],[Mdl Land Intercept]]+Sales[[#This Row],[Mdl LnAcres]])*Sales[[#This Row],[Det/Nbhd Adj]],-2)</f>
        <v>32100</v>
      </c>
      <c r="CW210">
        <f>Sales[[#This Row],[Adjusted Impr Total]]+Sales[[#This Row],[Adjusted Land Total]]</f>
        <v>359200</v>
      </c>
      <c r="CX210" s="15">
        <f>IFERROR((Sales[[#This Row],[Adjusted Impr Total]]-Sales[[#This Row],[24Bldg]])/Sales[[#This Row],[24Bldg]],0)</f>
        <v>0.20790251107828656</v>
      </c>
      <c r="CY210" s="15">
        <f>(Sales[[#This Row],[Adjusted Land Total]]-Sales[[#This Row],[24Lnd]])/Sales[[#This Row],[24Lnd]]</f>
        <v>-0.39089184060721061</v>
      </c>
      <c r="CZ210" s="15">
        <f>(Sales[[#This Row],[Adjusted Total]]-Sales[[#This Row],[24Final]])/Sales[[#This Row],[24Final]]</f>
        <v>0.11035548686244204</v>
      </c>
      <c r="DA210" s="15">
        <f>(Sales[[#This Row],[Adjusted Total]]+Sales[[#This Row],[Days Prior Total]])/Sales[[#This Row],[Price]]</f>
        <v>1.1155234789129831</v>
      </c>
    </row>
    <row r="211" spans="1:105" x14ac:dyDescent="0.3">
      <c r="A211">
        <v>2025</v>
      </c>
      <c r="B211">
        <v>18132313470</v>
      </c>
      <c r="C211">
        <v>-0.75502258427803282</v>
      </c>
      <c r="D211">
        <v>0.47</v>
      </c>
      <c r="E211">
        <v>0</v>
      </c>
      <c r="F211">
        <v>6</v>
      </c>
      <c r="G211" t="s">
        <v>126</v>
      </c>
      <c r="H211">
        <v>3033</v>
      </c>
      <c r="I211" t="s">
        <v>349</v>
      </c>
      <c r="J211" t="s">
        <v>30</v>
      </c>
      <c r="K211">
        <v>11</v>
      </c>
      <c r="L211">
        <v>259</v>
      </c>
      <c r="M211" t="s">
        <v>147</v>
      </c>
      <c r="N211" t="s">
        <v>302</v>
      </c>
      <c r="O211" t="s">
        <v>323</v>
      </c>
      <c r="P211">
        <v>90</v>
      </c>
      <c r="Q211">
        <v>1935</v>
      </c>
      <c r="R211">
        <v>1975</v>
      </c>
      <c r="S211">
        <v>89</v>
      </c>
      <c r="T211">
        <v>49</v>
      </c>
      <c r="U211">
        <v>2</v>
      </c>
      <c r="V211">
        <v>1341</v>
      </c>
      <c r="W211">
        <v>421</v>
      </c>
      <c r="X211">
        <v>0</v>
      </c>
      <c r="Y211">
        <v>845</v>
      </c>
      <c r="Z211">
        <v>13</v>
      </c>
      <c r="AA211">
        <v>832</v>
      </c>
      <c r="AB211">
        <v>2594</v>
      </c>
      <c r="AC211">
        <v>3000</v>
      </c>
      <c r="AD211">
        <v>0</v>
      </c>
      <c r="AF211" t="s">
        <v>383</v>
      </c>
      <c r="AG211" t="s">
        <v>148</v>
      </c>
      <c r="AI211">
        <v>0</v>
      </c>
      <c r="AJ211">
        <v>1</v>
      </c>
      <c r="AK211">
        <v>0</v>
      </c>
      <c r="AL211">
        <v>1</v>
      </c>
      <c r="AM211">
        <v>1</v>
      </c>
      <c r="AN211">
        <v>10</v>
      </c>
      <c r="AO211">
        <v>0</v>
      </c>
      <c r="AP211">
        <v>0</v>
      </c>
      <c r="AQ211">
        <v>0</v>
      </c>
      <c r="AR211">
        <v>84</v>
      </c>
      <c r="AS211">
        <v>182</v>
      </c>
      <c r="AT211">
        <v>182</v>
      </c>
      <c r="AU211">
        <v>100</v>
      </c>
      <c r="AV211">
        <v>100</v>
      </c>
      <c r="AW211">
        <v>349819</v>
      </c>
      <c r="AX211">
        <v>251870</v>
      </c>
      <c r="AY211">
        <v>836</v>
      </c>
      <c r="AZ211">
        <v>365</v>
      </c>
      <c r="BA211">
        <v>365</v>
      </c>
      <c r="BB211">
        <v>106</v>
      </c>
      <c r="BC211" s="3">
        <v>44456</v>
      </c>
      <c r="BD211" t="s">
        <v>222</v>
      </c>
      <c r="BE211">
        <v>325000</v>
      </c>
      <c r="BF211">
        <v>314576</v>
      </c>
      <c r="BG211" t="s">
        <v>294</v>
      </c>
      <c r="BH211">
        <v>30</v>
      </c>
      <c r="BI211" t="s">
        <v>65</v>
      </c>
      <c r="BJ211" t="s">
        <v>450</v>
      </c>
      <c r="BK211">
        <v>398000</v>
      </c>
      <c r="BL211">
        <v>88200</v>
      </c>
      <c r="BM211">
        <v>309800</v>
      </c>
      <c r="BN211">
        <v>10424</v>
      </c>
      <c r="BO211">
        <v>1.2246153846153847</v>
      </c>
      <c r="BP211">
        <v>359974.20822428743</v>
      </c>
      <c r="BQ211">
        <v>395711.09388245561</v>
      </c>
      <c r="BR211" s="12">
        <f>(Sales[[#This Row],[DP1]]*Lookups!$B$59)+(Sales[[#This Row],[DP2]]*Lookups!$B$60)+(Sales[[#This Row],[DP3]]*Lookups!$B$61)</f>
        <v>-35736.885662470006</v>
      </c>
      <c r="BS211" s="12">
        <f>Lookups!$B$56*0</f>
        <v>0</v>
      </c>
      <c r="BT211" s="12">
        <f>Lookups!$B$56*1</f>
        <v>89850.625589999996</v>
      </c>
      <c r="BU211" s="12">
        <f>Lookups!$B$57*Sales[[#This Row],[LnAcres]]</f>
        <v>-23899.949781097919</v>
      </c>
      <c r="BV211" s="12">
        <f>VLOOKUP(Sales[[#This Row],[Qlty]],Lookups!$A$62:$E$75,2,FALSE)</f>
        <v>29814.093161000001</v>
      </c>
      <c r="BW211" s="12">
        <f>VLOOKUP(Sales[[#This Row],[Cnd]],Lookups!$A$76:$E$84,2,FALSE)</f>
        <v>160472.20319</v>
      </c>
      <c r="BX211" s="12">
        <f>Sales[[#This Row],[EffAge]]*Lookups!$B$85</f>
        <v>-10929.2344245</v>
      </c>
      <c r="BY211" s="12">
        <f>Sales[[#This Row],[MainFn]]*Lookups!$B$86</f>
        <v>66257.026305057007</v>
      </c>
      <c r="BZ211" s="12">
        <f>Sales[[#This Row],[UpprFn]]*Lookups!$B$87</f>
        <v>18855.084024480999</v>
      </c>
      <c r="CA211" s="12">
        <f>Sales[[#This Row],[AddFn]]*Lookups!$B$88</f>
        <v>0</v>
      </c>
      <c r="CB211" s="12">
        <f>Sales[[#This Row],[Bsmt]]*Lookups!$B$89</f>
        <v>24574.201483714998</v>
      </c>
      <c r="CC211" s="12">
        <f>Sales[[#This Row],[Fixtures]]*Lookups!$B$90</f>
        <v>37920.221052000001</v>
      </c>
      <c r="CD211" s="12">
        <f>Sales[[#This Row],[WdDeck]]*Lookups!$B$91</f>
        <v>2796.8232831840005</v>
      </c>
      <c r="CE211" s="12">
        <f>SUM(Sales[[#This Row],[Days Prior Total]:[Mdl WdDeck]])</f>
        <v>359974.20822136913</v>
      </c>
      <c r="CF211" s="12">
        <f>ROUND(Sales[[#This Row],[25Det]],-2)</f>
        <v>10400</v>
      </c>
      <c r="CG211" s="12">
        <f>ROUND(SUM(Sales[[#This Row],[Mdl Qlty]:[Mdl WdDeck]])+Sales[[#This Row],[Mdl Res Intercept]]+Sales[[#This Row],[Days Prior Total]],-2)</f>
        <v>294000</v>
      </c>
      <c r="CH211" s="12">
        <f>ROUND(Sales[[#This Row],[Mdl Land Intercept]]+Sales[[#This Row],[Mdl LnAcres]],-2)</f>
        <v>66000</v>
      </c>
      <c r="CI211" s="12">
        <f>Sales[[#This Row],[Unadj Res Value]]+Sales[[#This Row],[Unadj Det Value]]+Sales[[#This Row],[Unadj Land Value]]</f>
        <v>370400</v>
      </c>
      <c r="CJ211" s="13">
        <f>Sales[[#This Row],[Unadj Total Value]]/Sales[[#This Row],[Price]]</f>
        <v>1.1396923076923078</v>
      </c>
      <c r="CK211" s="13">
        <f>(Sales[[#This Row],[Unadj Total Value]]-Sales[[#This Row],[24Final]])/Sales[[#This Row],[24Final]]</f>
        <v>-6.9346733668341709E-2</v>
      </c>
      <c r="CL211">
        <f>VLOOKUP(Sales[[#This Row],[TNbhd]],Lookups!$Q$2:$T$4,4,FALSE)</f>
        <v>0.99970000000000003</v>
      </c>
      <c r="CM211">
        <f>VLOOKUP(Sales[[#This Row],[Qlty]],Lookups!$O$7:$R$21,4,FALSE)</f>
        <v>1.0088999999999999</v>
      </c>
      <c r="CN211">
        <f>VLOOKUP(Sales[[#This Row],[Cnd]],Lookups!$T$7:$W$16,4,FALSE)</f>
        <v>0.99729999999999996</v>
      </c>
      <c r="CO211">
        <f>VLOOKUP(Sales[[#This Row],[LivArea Range]],Lookups!$T$25:$W$37,4,FALSE)</f>
        <v>0.96179999999999999</v>
      </c>
      <c r="CP211">
        <f>VLOOKUP(Sales[[#This Row],[Decade]],Lookups!$O$25:$R$42,4,FALSE)</f>
        <v>0.98909999999999998</v>
      </c>
      <c r="CQ211">
        <f>Sales[[#This Row],[Nbhd Adj]]*0.95</f>
        <v>0.94971499999999998</v>
      </c>
      <c r="CR211">
        <f>Sales[[#This Row],[Nbhd Adj]]*Sales[[#This Row],[Quality Adj]]*Sales[[#This Row],[Condition Adj]]*Sales[[#This Row],[Living Area Adj]]*Sales[[#This Row],[Decade Adj]]*0.95</f>
        <v>0.90905929772301342</v>
      </c>
      <c r="CS211">
        <f>ROUND(SUM(Sales[[#This Row],[Mdl Qlty]:[Mdl WdDeck]])+Sales[[#This Row],[Mdl Res Intercept]]*Sales[[#This Row],[Res Adj ]],-2)</f>
        <v>329800</v>
      </c>
      <c r="CT211">
        <f>ROUND(Sales[[#This Row],[25Det]]*Sales[[#This Row],[Det/Nbhd Adj]],-2)</f>
        <v>9900</v>
      </c>
      <c r="CU211">
        <f>Sales[[#This Row],[Adjusted Res]]+Sales[[#This Row],[Adj Det ]]</f>
        <v>339700</v>
      </c>
      <c r="CV211">
        <f>ROUND((Sales[[#This Row],[Mdl Land Intercept]]+Sales[[#This Row],[Mdl LnAcres]])*Sales[[#This Row],[Det/Nbhd Adj]],-2)</f>
        <v>62600</v>
      </c>
      <c r="CW211">
        <f>Sales[[#This Row],[Adjusted Impr Total]]+Sales[[#This Row],[Adjusted Land Total]]</f>
        <v>402300</v>
      </c>
      <c r="CX211" s="15">
        <f>IFERROR((Sales[[#This Row],[Adjusted Impr Total]]-Sales[[#This Row],[24Bldg]])/Sales[[#This Row],[24Bldg]],0)</f>
        <v>9.651387992253066E-2</v>
      </c>
      <c r="CY211" s="15">
        <f>(Sales[[#This Row],[Adjusted Land Total]]-Sales[[#This Row],[24Lnd]])/Sales[[#This Row],[24Lnd]]</f>
        <v>-0.29024943310657597</v>
      </c>
      <c r="CZ211" s="15">
        <f>(Sales[[#This Row],[Adjusted Total]]-Sales[[#This Row],[24Final]])/Sales[[#This Row],[24Final]]</f>
        <v>1.0804020100502512E-2</v>
      </c>
      <c r="DA211" s="15">
        <f>(Sales[[#This Row],[Adjusted Total]]+Sales[[#This Row],[Days Prior Total]])/Sales[[#This Row],[Price]]</f>
        <v>1.1278865056539384</v>
      </c>
    </row>
    <row r="212" spans="1:105" x14ac:dyDescent="0.3">
      <c r="A212">
        <v>2025</v>
      </c>
      <c r="B212">
        <v>18132322400</v>
      </c>
      <c r="C212">
        <v>-2.0402208285265546</v>
      </c>
      <c r="D212">
        <v>0.13</v>
      </c>
      <c r="E212">
        <v>5701</v>
      </c>
      <c r="F212">
        <v>6</v>
      </c>
      <c r="G212" t="s">
        <v>126</v>
      </c>
      <c r="H212">
        <v>3033</v>
      </c>
      <c r="I212" t="s">
        <v>349</v>
      </c>
      <c r="J212" t="s">
        <v>30</v>
      </c>
      <c r="K212">
        <v>11</v>
      </c>
      <c r="L212">
        <v>259</v>
      </c>
      <c r="M212" t="s">
        <v>269</v>
      </c>
      <c r="N212" t="s">
        <v>351</v>
      </c>
      <c r="O212" t="s">
        <v>303</v>
      </c>
      <c r="P212">
        <v>90</v>
      </c>
      <c r="Q212">
        <v>1935</v>
      </c>
      <c r="R212">
        <v>1971</v>
      </c>
      <c r="S212">
        <v>89</v>
      </c>
      <c r="T212">
        <v>53</v>
      </c>
      <c r="U212">
        <v>2</v>
      </c>
      <c r="V212">
        <v>921</v>
      </c>
      <c r="W212">
        <v>217</v>
      </c>
      <c r="X212">
        <v>0</v>
      </c>
      <c r="Y212">
        <v>921</v>
      </c>
      <c r="Z212">
        <v>640</v>
      </c>
      <c r="AA212">
        <v>281</v>
      </c>
      <c r="AB212">
        <v>1419</v>
      </c>
      <c r="AC212">
        <v>1500</v>
      </c>
      <c r="AD212">
        <v>0</v>
      </c>
      <c r="AF212" t="s">
        <v>383</v>
      </c>
      <c r="AG212" t="s">
        <v>382</v>
      </c>
      <c r="AH212" t="s">
        <v>65</v>
      </c>
      <c r="AI212">
        <v>0</v>
      </c>
      <c r="AJ212">
        <v>1</v>
      </c>
      <c r="AK212">
        <v>0</v>
      </c>
      <c r="AL212">
        <v>1</v>
      </c>
      <c r="AM212">
        <v>0</v>
      </c>
      <c r="AN212">
        <v>8</v>
      </c>
      <c r="AO212">
        <v>0</v>
      </c>
      <c r="AP212">
        <v>0</v>
      </c>
      <c r="AQ212">
        <v>0</v>
      </c>
      <c r="AR212">
        <v>636</v>
      </c>
      <c r="AS212">
        <v>90</v>
      </c>
      <c r="AT212">
        <v>0</v>
      </c>
      <c r="AU212">
        <v>100</v>
      </c>
      <c r="AV212">
        <v>100</v>
      </c>
      <c r="AW212">
        <v>219331</v>
      </c>
      <c r="AX212">
        <v>166692</v>
      </c>
      <c r="AY212">
        <v>703</v>
      </c>
      <c r="AZ212">
        <v>365</v>
      </c>
      <c r="BA212">
        <v>338</v>
      </c>
      <c r="BB212">
        <v>0</v>
      </c>
      <c r="BC212" s="3">
        <v>44589</v>
      </c>
      <c r="BD212" t="s">
        <v>43</v>
      </c>
      <c r="BE212">
        <v>287500</v>
      </c>
      <c r="BF212">
        <v>287500</v>
      </c>
      <c r="BG212" t="s">
        <v>294</v>
      </c>
      <c r="BH212">
        <v>30</v>
      </c>
      <c r="BI212" t="s">
        <v>65</v>
      </c>
      <c r="BJ212" t="s">
        <v>450</v>
      </c>
      <c r="BK212">
        <v>309000</v>
      </c>
      <c r="BL212">
        <v>43400</v>
      </c>
      <c r="BM212">
        <v>265600</v>
      </c>
      <c r="BN212">
        <v>0</v>
      </c>
      <c r="BO212">
        <v>1.0747826086956522</v>
      </c>
      <c r="BP212">
        <v>344404.63774583972</v>
      </c>
      <c r="BQ212">
        <v>366277.06747388566</v>
      </c>
      <c r="BR212" s="12">
        <f>(Sales[[#This Row],[DP1]]*Lookups!$B$59)+(Sales[[#This Row],[DP2]]*Lookups!$B$60)+(Sales[[#This Row],[DP3]]*Lookups!$B$61)</f>
        <v>-21872.429729674001</v>
      </c>
      <c r="BS212" s="12">
        <f>Lookups!$B$56*0</f>
        <v>0</v>
      </c>
      <c r="BT212" s="12">
        <f>Lookups!$B$56*1</f>
        <v>89850.625589999996</v>
      </c>
      <c r="BU212" s="12">
        <f>Lookups!$B$57*Sales[[#This Row],[LnAcres]]</f>
        <v>-64582.406353792743</v>
      </c>
      <c r="BV212" s="12">
        <f>VLOOKUP(Sales[[#This Row],[Qlty]],Lookups!$A$62:$E$75,2,FALSE)</f>
        <v>21557.329055999999</v>
      </c>
      <c r="BW212" s="12">
        <f>VLOOKUP(Sales[[#This Row],[Cnd]],Lookups!$A$76:$E$84,2,FALSE)</f>
        <v>197752.34721000001</v>
      </c>
      <c r="BX212" s="12">
        <f>Sales[[#This Row],[EffAge]]*Lookups!$B$85</f>
        <v>-11821.416826500001</v>
      </c>
      <c r="BY212" s="12">
        <f>Sales[[#This Row],[MainFn]]*Lookups!$B$86</f>
        <v>45505.384956717004</v>
      </c>
      <c r="BZ212" s="12">
        <f>Sales[[#This Row],[UpprFn]]*Lookups!$B$87</f>
        <v>9718.6537608369999</v>
      </c>
      <c r="CA212" s="12">
        <f>Sales[[#This Row],[AddFn]]*Lookups!$B$88</f>
        <v>0</v>
      </c>
      <c r="CB212" s="12">
        <f>Sales[[#This Row],[Bsmt]]*Lookups!$B$89</f>
        <v>26784.425522486999</v>
      </c>
      <c r="CC212" s="12">
        <f>Sales[[#This Row],[Fixtures]]*Lookups!$B$90</f>
        <v>30336.176841600001</v>
      </c>
      <c r="CD212" s="12">
        <f>Sales[[#This Row],[WdDeck]]*Lookups!$B$91</f>
        <v>21175.947715536004</v>
      </c>
      <c r="CE212" s="12">
        <f>SUM(Sales[[#This Row],[Days Prior Total]:[Mdl WdDeck]])</f>
        <v>344404.63774321019</v>
      </c>
      <c r="CF212" s="12">
        <f>ROUND(Sales[[#This Row],[25Det]],-2)</f>
        <v>0</v>
      </c>
      <c r="CG212" s="12">
        <f>ROUND(SUM(Sales[[#This Row],[Mdl Qlty]:[Mdl WdDeck]])+Sales[[#This Row],[Mdl Res Intercept]]+Sales[[#This Row],[Days Prior Total]],-2)</f>
        <v>319100</v>
      </c>
      <c r="CH212" s="12">
        <f>ROUND(Sales[[#This Row],[Mdl Land Intercept]]+Sales[[#This Row],[Mdl LnAcres]],-2)</f>
        <v>25300</v>
      </c>
      <c r="CI212" s="12">
        <f>Sales[[#This Row],[Unadj Res Value]]+Sales[[#This Row],[Unadj Det Value]]+Sales[[#This Row],[Unadj Land Value]]</f>
        <v>344400</v>
      </c>
      <c r="CJ212" s="13">
        <f>Sales[[#This Row],[Unadj Total Value]]/Sales[[#This Row],[Price]]</f>
        <v>1.1979130434782608</v>
      </c>
      <c r="CK212" s="13">
        <f>(Sales[[#This Row],[Unadj Total Value]]-Sales[[#This Row],[24Final]])/Sales[[#This Row],[24Final]]</f>
        <v>0.1145631067961165</v>
      </c>
      <c r="CL212">
        <f>VLOOKUP(Sales[[#This Row],[TNbhd]],Lookups!$Q$2:$T$4,4,FALSE)</f>
        <v>0.99970000000000003</v>
      </c>
      <c r="CM212">
        <f>VLOOKUP(Sales[[#This Row],[Qlty]],Lookups!$O$7:$R$21,4,FALSE)</f>
        <v>1.0067999999999999</v>
      </c>
      <c r="CN212">
        <f>VLOOKUP(Sales[[#This Row],[Cnd]],Lookups!$T$7:$W$16,4,FALSE)</f>
        <v>0.99650000000000005</v>
      </c>
      <c r="CO212">
        <f>VLOOKUP(Sales[[#This Row],[LivArea Range]],Lookups!$T$25:$W$37,4,FALSE)</f>
        <v>1.0157</v>
      </c>
      <c r="CP212">
        <f>VLOOKUP(Sales[[#This Row],[Decade]],Lookups!$O$25:$R$42,4,FALSE)</f>
        <v>0.98909999999999998</v>
      </c>
      <c r="CQ212">
        <f>Sales[[#This Row],[Nbhd Adj]]*0.95</f>
        <v>0.94971499999999998</v>
      </c>
      <c r="CR212">
        <f>Sales[[#This Row],[Nbhd Adj]]*Sales[[#This Row],[Quality Adj]]*Sales[[#This Row],[Condition Adj]]*Sales[[#This Row],[Living Area Adj]]*Sales[[#This Row],[Decade Adj]]*0.95</f>
        <v>0.95723696608169473</v>
      </c>
      <c r="CS212">
        <f>ROUND(SUM(Sales[[#This Row],[Mdl Qlty]:[Mdl WdDeck]])+Sales[[#This Row],[Mdl Res Intercept]]*Sales[[#This Row],[Res Adj ]],-2)</f>
        <v>341000</v>
      </c>
      <c r="CT212">
        <f>ROUND(Sales[[#This Row],[25Det]]*Sales[[#This Row],[Det/Nbhd Adj]],-2)</f>
        <v>0</v>
      </c>
      <c r="CU212">
        <f>Sales[[#This Row],[Adjusted Res]]+Sales[[#This Row],[Adj Det ]]</f>
        <v>341000</v>
      </c>
      <c r="CV212">
        <f>ROUND((Sales[[#This Row],[Mdl Land Intercept]]+Sales[[#This Row],[Mdl LnAcres]])*Sales[[#This Row],[Det/Nbhd Adj]],-2)</f>
        <v>24000</v>
      </c>
      <c r="CW212">
        <f>Sales[[#This Row],[Adjusted Impr Total]]+Sales[[#This Row],[Adjusted Land Total]]</f>
        <v>365000</v>
      </c>
      <c r="CX212" s="15">
        <f>IFERROR((Sales[[#This Row],[Adjusted Impr Total]]-Sales[[#This Row],[24Bldg]])/Sales[[#This Row],[24Bldg]],0)</f>
        <v>0.28388554216867468</v>
      </c>
      <c r="CY212" s="15">
        <f>(Sales[[#This Row],[Adjusted Land Total]]-Sales[[#This Row],[24Lnd]])/Sales[[#This Row],[24Lnd]]</f>
        <v>-0.44700460829493088</v>
      </c>
      <c r="CZ212" s="15">
        <f>(Sales[[#This Row],[Adjusted Total]]-Sales[[#This Row],[24Final]])/Sales[[#This Row],[24Final]]</f>
        <v>0.18122977346278318</v>
      </c>
      <c r="DA212" s="15">
        <f>(Sales[[#This Row],[Adjusted Total]]+Sales[[#This Row],[Days Prior Total]])/Sales[[#This Row],[Price]]</f>
        <v>1.1934872009402644</v>
      </c>
    </row>
    <row r="213" spans="1:105" x14ac:dyDescent="0.3">
      <c r="A213">
        <v>2025</v>
      </c>
      <c r="B213">
        <v>18132344491</v>
      </c>
      <c r="C213">
        <v>-1.8971199848858813</v>
      </c>
      <c r="D213">
        <v>0.15</v>
      </c>
      <c r="E213">
        <v>6500</v>
      </c>
      <c r="F213">
        <v>6</v>
      </c>
      <c r="G213" t="s">
        <v>126</v>
      </c>
      <c r="H213">
        <v>3093</v>
      </c>
      <c r="I213" t="s">
        <v>349</v>
      </c>
      <c r="J213" t="s">
        <v>30</v>
      </c>
      <c r="K213">
        <v>11</v>
      </c>
      <c r="L213">
        <v>259</v>
      </c>
      <c r="M213" t="s">
        <v>269</v>
      </c>
      <c r="N213" t="s">
        <v>351</v>
      </c>
      <c r="O213" t="s">
        <v>303</v>
      </c>
      <c r="P213">
        <v>90</v>
      </c>
      <c r="Q213">
        <v>1935</v>
      </c>
      <c r="R213">
        <v>1971</v>
      </c>
      <c r="S213">
        <v>89</v>
      </c>
      <c r="T213">
        <v>53</v>
      </c>
      <c r="U213">
        <v>1</v>
      </c>
      <c r="V213">
        <v>1014</v>
      </c>
      <c r="W213">
        <v>0</v>
      </c>
      <c r="X213">
        <v>0</v>
      </c>
      <c r="Y213">
        <v>507</v>
      </c>
      <c r="Z213">
        <v>507</v>
      </c>
      <c r="AA213">
        <v>0</v>
      </c>
      <c r="AB213">
        <v>1014</v>
      </c>
      <c r="AC213">
        <v>1500</v>
      </c>
      <c r="AD213">
        <v>0</v>
      </c>
      <c r="AF213" t="s">
        <v>383</v>
      </c>
      <c r="AG213" t="s">
        <v>148</v>
      </c>
      <c r="AH213" t="s">
        <v>450</v>
      </c>
      <c r="AI213">
        <v>0</v>
      </c>
      <c r="AJ213">
        <v>1</v>
      </c>
      <c r="AK213">
        <v>0</v>
      </c>
      <c r="AL213">
        <v>0</v>
      </c>
      <c r="AM213">
        <v>0</v>
      </c>
      <c r="AN213">
        <v>6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100</v>
      </c>
      <c r="AV213">
        <v>100</v>
      </c>
      <c r="AW213">
        <v>174726</v>
      </c>
      <c r="AX213">
        <v>132792</v>
      </c>
      <c r="AY213">
        <v>1001</v>
      </c>
      <c r="AZ213">
        <v>365</v>
      </c>
      <c r="BA213">
        <v>365</v>
      </c>
      <c r="BB213">
        <v>271</v>
      </c>
      <c r="BC213" s="3">
        <v>44291</v>
      </c>
      <c r="BD213" t="s">
        <v>330</v>
      </c>
      <c r="BE213">
        <v>220000</v>
      </c>
      <c r="BF213">
        <v>214421</v>
      </c>
      <c r="BG213" t="s">
        <v>294</v>
      </c>
      <c r="BH213">
        <v>30</v>
      </c>
      <c r="BI213" t="s">
        <v>65</v>
      </c>
      <c r="BJ213" t="s">
        <v>450</v>
      </c>
      <c r="BK213">
        <v>293100</v>
      </c>
      <c r="BL213">
        <v>48400</v>
      </c>
      <c r="BM213">
        <v>244700</v>
      </c>
      <c r="BN213">
        <v>5579</v>
      </c>
      <c r="BO213">
        <v>1.3322727272727273</v>
      </c>
      <c r="BP213">
        <v>267082.35738851718</v>
      </c>
      <c r="BQ213">
        <v>324883.32567103399</v>
      </c>
      <c r="BR213" s="12">
        <f>(Sales[[#This Row],[DP1]]*Lookups!$B$59)+(Sales[[#This Row],[DP2]]*Lookups!$B$60)+(Sales[[#This Row],[DP3]]*Lookups!$B$61)</f>
        <v>-57800.968290970006</v>
      </c>
      <c r="BS213" s="12">
        <f>Lookups!$B$56*0</f>
        <v>0</v>
      </c>
      <c r="BT213" s="12">
        <f>Lookups!$B$56*1</f>
        <v>89850.625589999996</v>
      </c>
      <c r="BU213" s="12">
        <f>Lookups!$B$57*Sales[[#This Row],[LnAcres]]</f>
        <v>-60052.604136134301</v>
      </c>
      <c r="BV213" s="12">
        <f>VLOOKUP(Sales[[#This Row],[Qlty]],Lookups!$A$62:$E$75,2,FALSE)</f>
        <v>21557.329055999999</v>
      </c>
      <c r="BW213" s="12">
        <f>VLOOKUP(Sales[[#This Row],[Cnd]],Lookups!$A$76:$E$84,2,FALSE)</f>
        <v>197752.34721000001</v>
      </c>
      <c r="BX213" s="12">
        <f>Sales[[#This Row],[EffAge]]*Lookups!$B$85</f>
        <v>-11821.416826500001</v>
      </c>
      <c r="BY213" s="12">
        <f>Sales[[#This Row],[MainFn]]*Lookups!$B$86</f>
        <v>50100.391255278002</v>
      </c>
      <c r="BZ213" s="12">
        <f>Sales[[#This Row],[UpprFn]]*Lookups!$B$87</f>
        <v>0</v>
      </c>
      <c r="CA213" s="12">
        <f>Sales[[#This Row],[AddFn]]*Lookups!$B$88</f>
        <v>0</v>
      </c>
      <c r="CB213" s="12">
        <f>Sales[[#This Row],[Bsmt]]*Lookups!$B$89</f>
        <v>14744.520890229</v>
      </c>
      <c r="CC213" s="12">
        <f>Sales[[#This Row],[Fixtures]]*Lookups!$B$90</f>
        <v>22752.132631200002</v>
      </c>
      <c r="CD213" s="12">
        <f>Sales[[#This Row],[WdDeck]]*Lookups!$B$91</f>
        <v>0</v>
      </c>
      <c r="CE213" s="12">
        <f>SUM(Sales[[#This Row],[Days Prior Total]:[Mdl WdDeck]])</f>
        <v>267082.35737910267</v>
      </c>
      <c r="CF213" s="12">
        <f>ROUND(Sales[[#This Row],[25Det]],-2)</f>
        <v>5600</v>
      </c>
      <c r="CG213" s="12">
        <f>ROUND(SUM(Sales[[#This Row],[Mdl Qlty]:[Mdl WdDeck]])+Sales[[#This Row],[Mdl Res Intercept]]+Sales[[#This Row],[Days Prior Total]],-2)</f>
        <v>237300</v>
      </c>
      <c r="CH213" s="12">
        <f>ROUND(Sales[[#This Row],[Mdl Land Intercept]]+Sales[[#This Row],[Mdl LnAcres]],-2)</f>
        <v>29800</v>
      </c>
      <c r="CI213" s="12">
        <f>Sales[[#This Row],[Unadj Res Value]]+Sales[[#This Row],[Unadj Det Value]]+Sales[[#This Row],[Unadj Land Value]]</f>
        <v>272700</v>
      </c>
      <c r="CJ213" s="13">
        <f>Sales[[#This Row],[Unadj Total Value]]/Sales[[#This Row],[Price]]</f>
        <v>1.2395454545454545</v>
      </c>
      <c r="CK213" s="13">
        <f>(Sales[[#This Row],[Unadj Total Value]]-Sales[[#This Row],[24Final]])/Sales[[#This Row],[24Final]]</f>
        <v>-6.9600818833162742E-2</v>
      </c>
      <c r="CL213">
        <f>VLOOKUP(Sales[[#This Row],[TNbhd]],Lookups!$Q$2:$T$4,4,FALSE)</f>
        <v>0.99970000000000003</v>
      </c>
      <c r="CM213">
        <f>VLOOKUP(Sales[[#This Row],[Qlty]],Lookups!$O$7:$R$21,4,FALSE)</f>
        <v>1.0067999999999999</v>
      </c>
      <c r="CN213">
        <f>VLOOKUP(Sales[[#This Row],[Cnd]],Lookups!$T$7:$W$16,4,FALSE)</f>
        <v>0.99650000000000005</v>
      </c>
      <c r="CO213">
        <f>VLOOKUP(Sales[[#This Row],[LivArea Range]],Lookups!$T$25:$W$37,4,FALSE)</f>
        <v>1.0157</v>
      </c>
      <c r="CP213">
        <f>VLOOKUP(Sales[[#This Row],[Decade]],Lookups!$O$25:$R$42,4,FALSE)</f>
        <v>0.98909999999999998</v>
      </c>
      <c r="CQ213">
        <f>Sales[[#This Row],[Nbhd Adj]]*0.95</f>
        <v>0.94971499999999998</v>
      </c>
      <c r="CR213">
        <f>Sales[[#This Row],[Nbhd Adj]]*Sales[[#This Row],[Quality Adj]]*Sales[[#This Row],[Condition Adj]]*Sales[[#This Row],[Living Area Adj]]*Sales[[#This Row],[Decade Adj]]*0.95</f>
        <v>0.95723696608169473</v>
      </c>
      <c r="CS213">
        <f>ROUND(SUM(Sales[[#This Row],[Mdl Qlty]:[Mdl WdDeck]])+Sales[[#This Row],[Mdl Res Intercept]]*Sales[[#This Row],[Res Adj ]],-2)</f>
        <v>295100</v>
      </c>
      <c r="CT213">
        <f>ROUND(Sales[[#This Row],[25Det]]*Sales[[#This Row],[Det/Nbhd Adj]],-2)</f>
        <v>5300</v>
      </c>
      <c r="CU213">
        <f>Sales[[#This Row],[Adjusted Res]]+Sales[[#This Row],[Adj Det ]]</f>
        <v>300400</v>
      </c>
      <c r="CV213">
        <f>ROUND((Sales[[#This Row],[Mdl Land Intercept]]+Sales[[#This Row],[Mdl LnAcres]])*Sales[[#This Row],[Det/Nbhd Adj]],-2)</f>
        <v>28300</v>
      </c>
      <c r="CW213">
        <f>Sales[[#This Row],[Adjusted Impr Total]]+Sales[[#This Row],[Adjusted Land Total]]</f>
        <v>328700</v>
      </c>
      <c r="CX213" s="15">
        <f>IFERROR((Sales[[#This Row],[Adjusted Impr Total]]-Sales[[#This Row],[24Bldg]])/Sales[[#This Row],[24Bldg]],0)</f>
        <v>0.22762566407846344</v>
      </c>
      <c r="CY213" s="15">
        <f>(Sales[[#This Row],[Adjusted Land Total]]-Sales[[#This Row],[24Lnd]])/Sales[[#This Row],[24Lnd]]</f>
        <v>-0.41528925619834711</v>
      </c>
      <c r="CZ213" s="15">
        <f>(Sales[[#This Row],[Adjusted Total]]-Sales[[#This Row],[24Final]])/Sales[[#This Row],[24Final]]</f>
        <v>0.12146025247355852</v>
      </c>
      <c r="DA213" s="15">
        <f>(Sales[[#This Row],[Adjusted Total]]+Sales[[#This Row],[Days Prior Total]])/Sales[[#This Row],[Price]]</f>
        <v>1.2313592350410454</v>
      </c>
    </row>
    <row r="214" spans="1:105" x14ac:dyDescent="0.3">
      <c r="A214">
        <v>2025</v>
      </c>
      <c r="B214">
        <v>18132332416</v>
      </c>
      <c r="C214">
        <v>-1.7719568419318752</v>
      </c>
      <c r="D214">
        <v>0.17</v>
      </c>
      <c r="E214">
        <v>7280</v>
      </c>
      <c r="F214">
        <v>6</v>
      </c>
      <c r="G214" t="s">
        <v>126</v>
      </c>
      <c r="H214">
        <v>3032</v>
      </c>
      <c r="I214" t="s">
        <v>349</v>
      </c>
      <c r="J214" t="s">
        <v>30</v>
      </c>
      <c r="K214">
        <v>11</v>
      </c>
      <c r="L214">
        <v>259</v>
      </c>
      <c r="M214" t="s">
        <v>269</v>
      </c>
      <c r="N214" t="s">
        <v>148</v>
      </c>
      <c r="O214" t="s">
        <v>323</v>
      </c>
      <c r="P214">
        <v>100</v>
      </c>
      <c r="Q214">
        <v>1932</v>
      </c>
      <c r="R214">
        <v>1970</v>
      </c>
      <c r="S214">
        <v>92</v>
      </c>
      <c r="T214">
        <v>54</v>
      </c>
      <c r="U214">
        <v>2</v>
      </c>
      <c r="V214">
        <v>1125</v>
      </c>
      <c r="W214">
        <v>378</v>
      </c>
      <c r="X214">
        <v>0</v>
      </c>
      <c r="Y214">
        <v>486</v>
      </c>
      <c r="Z214">
        <v>3</v>
      </c>
      <c r="AA214">
        <v>483</v>
      </c>
      <c r="AB214">
        <v>1986</v>
      </c>
      <c r="AC214">
        <v>2000</v>
      </c>
      <c r="AD214">
        <v>0</v>
      </c>
      <c r="AF214" t="s">
        <v>383</v>
      </c>
      <c r="AG214" t="s">
        <v>175</v>
      </c>
      <c r="AH214" t="s">
        <v>450</v>
      </c>
      <c r="AI214">
        <v>0</v>
      </c>
      <c r="AJ214">
        <v>1</v>
      </c>
      <c r="AK214">
        <v>0</v>
      </c>
      <c r="AL214">
        <v>1</v>
      </c>
      <c r="AM214">
        <v>1</v>
      </c>
      <c r="AN214">
        <v>11</v>
      </c>
      <c r="AO214">
        <v>0</v>
      </c>
      <c r="AP214">
        <v>0</v>
      </c>
      <c r="AQ214">
        <v>144</v>
      </c>
      <c r="AR214">
        <v>160</v>
      </c>
      <c r="AS214">
        <v>216</v>
      </c>
      <c r="AT214">
        <v>160</v>
      </c>
      <c r="AU214">
        <v>100</v>
      </c>
      <c r="AV214">
        <v>100</v>
      </c>
      <c r="AW214">
        <v>385330</v>
      </c>
      <c r="AX214">
        <v>258171</v>
      </c>
      <c r="AY214">
        <v>465</v>
      </c>
      <c r="AZ214">
        <v>365</v>
      </c>
      <c r="BA214">
        <v>100</v>
      </c>
      <c r="BB214">
        <v>0</v>
      </c>
      <c r="BC214" s="3">
        <v>44827</v>
      </c>
      <c r="BD214" t="s">
        <v>441</v>
      </c>
      <c r="BE214">
        <v>310000</v>
      </c>
      <c r="BF214">
        <v>294876</v>
      </c>
      <c r="BG214" t="s">
        <v>294</v>
      </c>
      <c r="BH214">
        <v>30</v>
      </c>
      <c r="BI214" t="s">
        <v>65</v>
      </c>
      <c r="BJ214" t="s">
        <v>450</v>
      </c>
      <c r="BK214">
        <v>360200</v>
      </c>
      <c r="BL214">
        <v>52700</v>
      </c>
      <c r="BM214">
        <v>307500</v>
      </c>
      <c r="BN214">
        <v>15124</v>
      </c>
      <c r="BO214">
        <v>1.1619354838709677</v>
      </c>
      <c r="BP214">
        <v>335390.71506423422</v>
      </c>
      <c r="BQ214">
        <v>359996.13964551711</v>
      </c>
      <c r="BR214" s="12">
        <f>(Sales[[#This Row],[DP1]]*Lookups!$B$59)+(Sales[[#This Row],[DP2]]*Lookups!$B$60)+(Sales[[#This Row],[DP3]]*Lookups!$B$61)</f>
        <v>-24605.424582850002</v>
      </c>
      <c r="BS214" s="12">
        <f>Lookups!$B$56*0</f>
        <v>0</v>
      </c>
      <c r="BT214" s="12">
        <f>Lookups!$B$56*1</f>
        <v>89850.625589999996</v>
      </c>
      <c r="BU214" s="12">
        <f>Lookups!$B$57*Sales[[#This Row],[LnAcres]]</f>
        <v>-56090.612940989391</v>
      </c>
      <c r="BV214" s="12">
        <f>VLOOKUP(Sales[[#This Row],[Qlty]],Lookups!$A$62:$E$75,2,FALSE)</f>
        <v>44121.038090000002</v>
      </c>
      <c r="BW214" s="12">
        <f>VLOOKUP(Sales[[#This Row],[Cnd]],Lookups!$A$76:$E$84,2,FALSE)</f>
        <v>160472.20319</v>
      </c>
      <c r="BX214" s="12">
        <f>Sales[[#This Row],[EffAge]]*Lookups!$B$85</f>
        <v>-12044.462427</v>
      </c>
      <c r="BY214" s="12">
        <f>Sales[[#This Row],[MainFn]]*Lookups!$B$86</f>
        <v>55584.753611625005</v>
      </c>
      <c r="BZ214" s="12">
        <f>Sales[[#This Row],[UpprFn]]*Lookups!$B$87</f>
        <v>16929.267841458</v>
      </c>
      <c r="CA214" s="12">
        <f>Sales[[#This Row],[AddFn]]*Lookups!$B$88</f>
        <v>0</v>
      </c>
      <c r="CB214" s="12">
        <f>Sales[[#This Row],[Bsmt]]*Lookups!$B$89</f>
        <v>14133.801090041999</v>
      </c>
      <c r="CC214" s="12">
        <f>Sales[[#This Row],[Fixtures]]*Lookups!$B$90</f>
        <v>41712.243157199999</v>
      </c>
      <c r="CD214" s="12">
        <f>Sales[[#This Row],[WdDeck]]*Lookups!$B$91</f>
        <v>5327.2824441600005</v>
      </c>
      <c r="CE214" s="12">
        <f>SUM(Sales[[#This Row],[Days Prior Total]:[Mdl WdDeck]])</f>
        <v>335390.71506364562</v>
      </c>
      <c r="CF214" s="12">
        <f>ROUND(Sales[[#This Row],[25Det]],-2)</f>
        <v>15100</v>
      </c>
      <c r="CG214" s="12">
        <f>ROUND(SUM(Sales[[#This Row],[Mdl Qlty]:[Mdl WdDeck]])+Sales[[#This Row],[Mdl Res Intercept]]+Sales[[#This Row],[Days Prior Total]],-2)</f>
        <v>301600</v>
      </c>
      <c r="CH214" s="12">
        <f>ROUND(Sales[[#This Row],[Mdl Land Intercept]]+Sales[[#This Row],[Mdl LnAcres]],-2)</f>
        <v>33800</v>
      </c>
      <c r="CI214" s="12">
        <f>Sales[[#This Row],[Unadj Res Value]]+Sales[[#This Row],[Unadj Det Value]]+Sales[[#This Row],[Unadj Land Value]]</f>
        <v>350500</v>
      </c>
      <c r="CJ214" s="13">
        <f>Sales[[#This Row],[Unadj Total Value]]/Sales[[#This Row],[Price]]</f>
        <v>1.1306451612903226</v>
      </c>
      <c r="CK214" s="13">
        <f>(Sales[[#This Row],[Unadj Total Value]]-Sales[[#This Row],[24Final]])/Sales[[#This Row],[24Final]]</f>
        <v>-2.6929483620210994E-2</v>
      </c>
      <c r="CL214">
        <f>VLOOKUP(Sales[[#This Row],[TNbhd]],Lookups!$Q$2:$T$4,4,FALSE)</f>
        <v>0.99970000000000003</v>
      </c>
      <c r="CM214">
        <f>VLOOKUP(Sales[[#This Row],[Qlty]],Lookups!$O$7:$R$21,4,FALSE)</f>
        <v>0.98050000000000004</v>
      </c>
      <c r="CN214">
        <f>VLOOKUP(Sales[[#This Row],[Cnd]],Lookups!$T$7:$W$16,4,FALSE)</f>
        <v>0.99729999999999996</v>
      </c>
      <c r="CO214">
        <f>VLOOKUP(Sales[[#This Row],[LivArea Range]],Lookups!$T$25:$W$37,4,FALSE)</f>
        <v>1.0093000000000001</v>
      </c>
      <c r="CP214">
        <f>VLOOKUP(Sales[[#This Row],[Decade]],Lookups!$O$25:$R$42,4,FALSE)</f>
        <v>1.0074000000000001</v>
      </c>
      <c r="CQ214">
        <f>Sales[[#This Row],[Nbhd Adj]]*0.95</f>
        <v>0.94971499999999998</v>
      </c>
      <c r="CR214">
        <f>Sales[[#This Row],[Nbhd Adj]]*Sales[[#This Row],[Quality Adj]]*Sales[[#This Row],[Condition Adj]]*Sales[[#This Row],[Living Area Adj]]*Sales[[#This Row],[Decade Adj]]*0.95</f>
        <v>0.9442542195464082</v>
      </c>
      <c r="CS214">
        <f>ROUND(SUM(Sales[[#This Row],[Mdl Qlty]:[Mdl WdDeck]])+Sales[[#This Row],[Mdl Res Intercept]]*Sales[[#This Row],[Res Adj ]],-2)</f>
        <v>326200</v>
      </c>
      <c r="CT214">
        <f>ROUND(Sales[[#This Row],[25Det]]*Sales[[#This Row],[Det/Nbhd Adj]],-2)</f>
        <v>14400</v>
      </c>
      <c r="CU214">
        <f>Sales[[#This Row],[Adjusted Res]]+Sales[[#This Row],[Adj Det ]]</f>
        <v>340600</v>
      </c>
      <c r="CV214">
        <f>ROUND((Sales[[#This Row],[Mdl Land Intercept]]+Sales[[#This Row],[Mdl LnAcres]])*Sales[[#This Row],[Det/Nbhd Adj]],-2)</f>
        <v>32100</v>
      </c>
      <c r="CW214">
        <f>Sales[[#This Row],[Adjusted Impr Total]]+Sales[[#This Row],[Adjusted Land Total]]</f>
        <v>372700</v>
      </c>
      <c r="CX214" s="15">
        <f>IFERROR((Sales[[#This Row],[Adjusted Impr Total]]-Sales[[#This Row],[24Bldg]])/Sales[[#This Row],[24Bldg]],0)</f>
        <v>0.10764227642276422</v>
      </c>
      <c r="CY214" s="15">
        <f>(Sales[[#This Row],[Adjusted Land Total]]-Sales[[#This Row],[24Lnd]])/Sales[[#This Row],[24Lnd]]</f>
        <v>-0.39089184060721061</v>
      </c>
      <c r="CZ214" s="15">
        <f>(Sales[[#This Row],[Adjusted Total]]-Sales[[#This Row],[24Final]])/Sales[[#This Row],[24Final]]</f>
        <v>3.4702942809550247E-2</v>
      </c>
      <c r="DA214" s="15">
        <f>(Sales[[#This Row],[Adjusted Total]]+Sales[[#This Row],[Days Prior Total]])/Sales[[#This Row],[Price]]</f>
        <v>1.1228857271520967</v>
      </c>
    </row>
    <row r="215" spans="1:105" x14ac:dyDescent="0.3">
      <c r="A215">
        <v>2025</v>
      </c>
      <c r="B215">
        <v>18132332552</v>
      </c>
      <c r="C215">
        <v>-1.4696759700589417</v>
      </c>
      <c r="D215">
        <v>0.23</v>
      </c>
      <c r="E215">
        <v>10215</v>
      </c>
      <c r="F215">
        <v>6</v>
      </c>
      <c r="G215" t="s">
        <v>126</v>
      </c>
      <c r="H215">
        <v>3032</v>
      </c>
      <c r="I215" t="s">
        <v>349</v>
      </c>
      <c r="J215" t="s">
        <v>30</v>
      </c>
      <c r="K215">
        <v>11</v>
      </c>
      <c r="L215">
        <v>259</v>
      </c>
      <c r="M215" t="s">
        <v>417</v>
      </c>
      <c r="N215" t="s">
        <v>148</v>
      </c>
      <c r="O215" t="s">
        <v>303</v>
      </c>
      <c r="P215">
        <v>100</v>
      </c>
      <c r="Q215">
        <v>1930</v>
      </c>
      <c r="R215">
        <v>1970</v>
      </c>
      <c r="S215">
        <v>94</v>
      </c>
      <c r="T215">
        <v>54</v>
      </c>
      <c r="U215">
        <v>2</v>
      </c>
      <c r="V215">
        <v>1525</v>
      </c>
      <c r="W215">
        <v>768</v>
      </c>
      <c r="X215">
        <v>0</v>
      </c>
      <c r="Y215">
        <v>1525</v>
      </c>
      <c r="Z215">
        <v>1525</v>
      </c>
      <c r="AA215">
        <v>0</v>
      </c>
      <c r="AB215">
        <v>2293</v>
      </c>
      <c r="AC215">
        <v>2500</v>
      </c>
      <c r="AD215">
        <v>1</v>
      </c>
      <c r="AF215" t="s">
        <v>383</v>
      </c>
      <c r="AG215" t="s">
        <v>175</v>
      </c>
      <c r="AH215" t="s">
        <v>450</v>
      </c>
      <c r="AI215">
        <v>0</v>
      </c>
      <c r="AJ215">
        <v>1</v>
      </c>
      <c r="AK215">
        <v>0</v>
      </c>
      <c r="AL215">
        <v>0</v>
      </c>
      <c r="AM215">
        <v>0</v>
      </c>
      <c r="AN215">
        <v>9</v>
      </c>
      <c r="AO215">
        <v>340</v>
      </c>
      <c r="AP215">
        <v>0</v>
      </c>
      <c r="AQ215">
        <v>0</v>
      </c>
      <c r="AR215">
        <v>0</v>
      </c>
      <c r="AS215">
        <v>240</v>
      </c>
      <c r="AT215">
        <v>0</v>
      </c>
      <c r="AU215">
        <v>100</v>
      </c>
      <c r="AV215">
        <v>100</v>
      </c>
      <c r="AW215">
        <v>491823</v>
      </c>
      <c r="AX215">
        <v>368867</v>
      </c>
      <c r="AY215">
        <v>728</v>
      </c>
      <c r="AZ215">
        <v>365</v>
      </c>
      <c r="BA215">
        <v>363</v>
      </c>
      <c r="BB215">
        <v>0</v>
      </c>
      <c r="BC215" s="3">
        <v>44564</v>
      </c>
      <c r="BD215" t="s">
        <v>288</v>
      </c>
      <c r="BE215">
        <v>580000</v>
      </c>
      <c r="BF215">
        <v>580000</v>
      </c>
      <c r="BG215" t="s">
        <v>294</v>
      </c>
      <c r="BH215">
        <v>30</v>
      </c>
      <c r="BI215" t="s">
        <v>65</v>
      </c>
      <c r="BJ215" t="s">
        <v>450</v>
      </c>
      <c r="BK215">
        <v>415900</v>
      </c>
      <c r="BL215">
        <v>63300</v>
      </c>
      <c r="BM215">
        <v>352600</v>
      </c>
      <c r="BN215">
        <v>0</v>
      </c>
      <c r="BO215">
        <v>0.71706896551724142</v>
      </c>
      <c r="BP215">
        <v>439794.45344998298</v>
      </c>
      <c r="BQ215">
        <v>461379.80388672254</v>
      </c>
      <c r="BR215" s="12">
        <f>(Sales[[#This Row],[DP1]]*Lookups!$B$59)+(Sales[[#This Row],[DP2]]*Lookups!$B$60)+(Sales[[#This Row],[DP3]]*Lookups!$B$61)</f>
        <v>-21585.350438374</v>
      </c>
      <c r="BS215" s="12">
        <f>Lookups!$B$56*0</f>
        <v>0</v>
      </c>
      <c r="BT215" s="12">
        <f>Lookups!$B$56*1</f>
        <v>89850.625589999996</v>
      </c>
      <c r="BU215" s="12">
        <f>Lookups!$B$57*Sales[[#This Row],[LnAcres]]</f>
        <v>-46522.028095997222</v>
      </c>
      <c r="BV215" s="12">
        <f>VLOOKUP(Sales[[#This Row],[Qlty]],Lookups!$A$62:$E$75,2,FALSE)</f>
        <v>44121.038090000002</v>
      </c>
      <c r="BW215" s="12">
        <f>VLOOKUP(Sales[[#This Row],[Cnd]],Lookups!$A$76:$E$84,2,FALSE)</f>
        <v>197752.34721000001</v>
      </c>
      <c r="BX215" s="12">
        <f>Sales[[#This Row],[EffAge]]*Lookups!$B$85</f>
        <v>-12044.462427</v>
      </c>
      <c r="BY215" s="12">
        <f>Sales[[#This Row],[MainFn]]*Lookups!$B$86</f>
        <v>75348.221562424995</v>
      </c>
      <c r="BZ215" s="12">
        <f>Sales[[#This Row],[UpprFn]]*Lookups!$B$87</f>
        <v>34395.972757247997</v>
      </c>
      <c r="CA215" s="12">
        <f>Sales[[#This Row],[AddFn]]*Lookups!$B$88</f>
        <v>0</v>
      </c>
      <c r="CB215" s="12">
        <f>Sales[[#This Row],[Bsmt]]*Lookups!$B$89</f>
        <v>44349.890251674995</v>
      </c>
      <c r="CC215" s="12">
        <f>Sales[[#This Row],[Fixtures]]*Lookups!$B$90</f>
        <v>34128.198946800003</v>
      </c>
      <c r="CD215" s="12">
        <f>Sales[[#This Row],[WdDeck]]*Lookups!$B$91</f>
        <v>0</v>
      </c>
      <c r="CE215" s="12">
        <f>SUM(Sales[[#This Row],[Days Prior Total]:[Mdl WdDeck]])</f>
        <v>439794.45344677672</v>
      </c>
      <c r="CF215" s="12">
        <f>ROUND(Sales[[#This Row],[25Det]],-2)</f>
        <v>0</v>
      </c>
      <c r="CG215" s="12">
        <f>ROUND(SUM(Sales[[#This Row],[Mdl Qlty]:[Mdl WdDeck]])+Sales[[#This Row],[Mdl Res Intercept]]+Sales[[#This Row],[Days Prior Total]],-2)</f>
        <v>396500</v>
      </c>
      <c r="CH215" s="12">
        <f>ROUND(Sales[[#This Row],[Mdl Land Intercept]]+Sales[[#This Row],[Mdl LnAcres]],-2)</f>
        <v>43300</v>
      </c>
      <c r="CI215" s="12">
        <f>Sales[[#This Row],[Unadj Res Value]]+Sales[[#This Row],[Unadj Det Value]]+Sales[[#This Row],[Unadj Land Value]]</f>
        <v>439800</v>
      </c>
      <c r="CJ215" s="13">
        <f>Sales[[#This Row],[Unadj Total Value]]/Sales[[#This Row],[Price]]</f>
        <v>0.75827586206896547</v>
      </c>
      <c r="CK215" s="13">
        <f>(Sales[[#This Row],[Unadj Total Value]]-Sales[[#This Row],[24Final]])/Sales[[#This Row],[24Final]]</f>
        <v>5.746573695599904E-2</v>
      </c>
      <c r="CL215">
        <f>VLOOKUP(Sales[[#This Row],[TNbhd]],Lookups!$Q$2:$T$4,4,FALSE)</f>
        <v>0.99970000000000003</v>
      </c>
      <c r="CM215">
        <f>VLOOKUP(Sales[[#This Row],[Qlty]],Lookups!$O$7:$R$21,4,FALSE)</f>
        <v>0.98050000000000004</v>
      </c>
      <c r="CN215">
        <f>VLOOKUP(Sales[[#This Row],[Cnd]],Lookups!$T$7:$W$16,4,FALSE)</f>
        <v>0.99650000000000005</v>
      </c>
      <c r="CO215">
        <f>VLOOKUP(Sales[[#This Row],[LivArea Range]],Lookups!$T$25:$W$37,4,FALSE)</f>
        <v>0.98919999999999997</v>
      </c>
      <c r="CP215">
        <f>VLOOKUP(Sales[[#This Row],[Decade]],Lookups!$O$25:$R$42,4,FALSE)</f>
        <v>1.0074000000000001</v>
      </c>
      <c r="CQ215">
        <f>Sales[[#This Row],[Nbhd Adj]]*0.95</f>
        <v>0.94971499999999998</v>
      </c>
      <c r="CR215">
        <f>Sales[[#This Row],[Nbhd Adj]]*Sales[[#This Row],[Quality Adj]]*Sales[[#This Row],[Condition Adj]]*Sales[[#This Row],[Living Area Adj]]*Sales[[#This Row],[Decade Adj]]*0.95</f>
        <v>0.9247072287054503</v>
      </c>
      <c r="CS215">
        <f>ROUND(SUM(Sales[[#This Row],[Mdl Qlty]:[Mdl WdDeck]])+Sales[[#This Row],[Mdl Res Intercept]]*Sales[[#This Row],[Res Adj ]],-2)</f>
        <v>418100</v>
      </c>
      <c r="CT215">
        <f>ROUND(Sales[[#This Row],[25Det]]*Sales[[#This Row],[Det/Nbhd Adj]],-2)</f>
        <v>0</v>
      </c>
      <c r="CU215">
        <f>Sales[[#This Row],[Adjusted Res]]+Sales[[#This Row],[Adj Det ]]</f>
        <v>418100</v>
      </c>
      <c r="CV215">
        <f>ROUND((Sales[[#This Row],[Mdl Land Intercept]]+Sales[[#This Row],[Mdl LnAcres]])*Sales[[#This Row],[Det/Nbhd Adj]],-2)</f>
        <v>41100</v>
      </c>
      <c r="CW215">
        <f>Sales[[#This Row],[Adjusted Impr Total]]+Sales[[#This Row],[Adjusted Land Total]]</f>
        <v>459200</v>
      </c>
      <c r="CX215" s="15">
        <f>IFERROR((Sales[[#This Row],[Adjusted Impr Total]]-Sales[[#This Row],[24Bldg]])/Sales[[#This Row],[24Bldg]],0)</f>
        <v>0.18576290414066932</v>
      </c>
      <c r="CY215" s="15">
        <f>(Sales[[#This Row],[Adjusted Land Total]]-Sales[[#This Row],[24Lnd]])/Sales[[#This Row],[24Lnd]]</f>
        <v>-0.35071090047393366</v>
      </c>
      <c r="CZ215" s="15">
        <f>(Sales[[#This Row],[Adjusted Total]]-Sales[[#This Row],[24Final]])/Sales[[#This Row],[24Final]]</f>
        <v>0.10411156528011541</v>
      </c>
      <c r="DA215" s="15">
        <f>(Sales[[#This Row],[Adjusted Total]]+Sales[[#This Row],[Days Prior Total]])/Sales[[#This Row],[Price]]</f>
        <v>0.75450801648556209</v>
      </c>
    </row>
    <row r="216" spans="1:105" x14ac:dyDescent="0.3">
      <c r="A216">
        <v>2025</v>
      </c>
      <c r="B216">
        <v>18132331512</v>
      </c>
      <c r="C216">
        <v>-1.3470736479666092</v>
      </c>
      <c r="D216">
        <v>0.26</v>
      </c>
      <c r="E216">
        <v>0</v>
      </c>
      <c r="F216">
        <v>6</v>
      </c>
      <c r="G216" t="s">
        <v>126</v>
      </c>
      <c r="H216">
        <v>3032</v>
      </c>
      <c r="I216" t="s">
        <v>349</v>
      </c>
      <c r="J216" t="s">
        <v>30</v>
      </c>
      <c r="K216">
        <v>11</v>
      </c>
      <c r="L216">
        <v>259</v>
      </c>
      <c r="M216" t="s">
        <v>147</v>
      </c>
      <c r="N216" t="s">
        <v>148</v>
      </c>
      <c r="O216" t="s">
        <v>303</v>
      </c>
      <c r="P216">
        <v>100</v>
      </c>
      <c r="Q216">
        <v>1930</v>
      </c>
      <c r="R216">
        <v>1970</v>
      </c>
      <c r="S216">
        <v>94</v>
      </c>
      <c r="T216">
        <v>54</v>
      </c>
      <c r="U216">
        <v>2</v>
      </c>
      <c r="V216">
        <v>1428</v>
      </c>
      <c r="W216">
        <v>710</v>
      </c>
      <c r="X216">
        <v>0</v>
      </c>
      <c r="Y216">
        <v>1428</v>
      </c>
      <c r="Z216">
        <v>714</v>
      </c>
      <c r="AA216">
        <v>714</v>
      </c>
      <c r="AB216">
        <v>2852</v>
      </c>
      <c r="AC216">
        <v>3000</v>
      </c>
      <c r="AD216">
        <v>0</v>
      </c>
      <c r="AF216" t="s">
        <v>383</v>
      </c>
      <c r="AG216" t="s">
        <v>148</v>
      </c>
      <c r="AH216" t="s">
        <v>450</v>
      </c>
      <c r="AI216">
        <v>0</v>
      </c>
      <c r="AJ216">
        <v>2</v>
      </c>
      <c r="AK216">
        <v>0</v>
      </c>
      <c r="AL216">
        <v>0</v>
      </c>
      <c r="AM216">
        <v>1</v>
      </c>
      <c r="AN216">
        <v>8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100</v>
      </c>
      <c r="AV216">
        <v>100</v>
      </c>
      <c r="AW216">
        <v>486283</v>
      </c>
      <c r="AX216">
        <v>364712</v>
      </c>
      <c r="AY216">
        <v>915</v>
      </c>
      <c r="AZ216">
        <v>365</v>
      </c>
      <c r="BA216">
        <v>365</v>
      </c>
      <c r="BB216">
        <v>185</v>
      </c>
      <c r="BC216" s="3">
        <v>44377</v>
      </c>
      <c r="BD216" t="s">
        <v>117</v>
      </c>
      <c r="BE216">
        <v>525000</v>
      </c>
      <c r="BF216">
        <v>511666</v>
      </c>
      <c r="BG216" t="s">
        <v>294</v>
      </c>
      <c r="BH216">
        <v>30</v>
      </c>
      <c r="BI216" t="s">
        <v>65</v>
      </c>
      <c r="BJ216" t="s">
        <v>450</v>
      </c>
      <c r="BK216">
        <v>432800</v>
      </c>
      <c r="BL216">
        <v>67600</v>
      </c>
      <c r="BM216">
        <v>365200</v>
      </c>
      <c r="BN216">
        <v>13334</v>
      </c>
      <c r="BO216">
        <v>0.82438095238095244</v>
      </c>
      <c r="BP216">
        <v>404956.61285799654</v>
      </c>
      <c r="BQ216">
        <v>451257.5138332771</v>
      </c>
      <c r="BR216" s="12">
        <f>(Sales[[#This Row],[DP1]]*Lookups!$B$59)+(Sales[[#This Row],[DP2]]*Lookups!$B$60)+(Sales[[#This Row],[DP3]]*Lookups!$B$61)</f>
        <v>-46300.900981570005</v>
      </c>
      <c r="BS216" s="12">
        <f>Lookups!$B$56*0</f>
        <v>0</v>
      </c>
      <c r="BT216" s="12">
        <f>Lookups!$B$56*1</f>
        <v>89850.625589999996</v>
      </c>
      <c r="BU216" s="12">
        <f>Lookups!$B$57*Sales[[#This Row],[LnAcres]]</f>
        <v>-42641.098701210125</v>
      </c>
      <c r="BV216" s="12">
        <f>VLOOKUP(Sales[[#This Row],[Qlty]],Lookups!$A$62:$E$75,2,FALSE)</f>
        <v>44121.038090000002</v>
      </c>
      <c r="BW216" s="12">
        <f>VLOOKUP(Sales[[#This Row],[Cnd]],Lookups!$A$76:$E$84,2,FALSE)</f>
        <v>197752.34721000001</v>
      </c>
      <c r="BX216" s="12">
        <f>Sales[[#This Row],[EffAge]]*Lookups!$B$85</f>
        <v>-12044.462427</v>
      </c>
      <c r="BY216" s="12">
        <f>Sales[[#This Row],[MainFn]]*Lookups!$B$86</f>
        <v>70555.580584356008</v>
      </c>
      <c r="BZ216" s="12">
        <f>Sales[[#This Row],[UpprFn]]*Lookups!$B$87</f>
        <v>31798.360231309998</v>
      </c>
      <c r="CA216" s="12">
        <f>Sales[[#This Row],[AddFn]]*Lookups!$B$88</f>
        <v>0</v>
      </c>
      <c r="CB216" s="12">
        <f>Sales[[#This Row],[Bsmt]]*Lookups!$B$89</f>
        <v>41528.946412715995</v>
      </c>
      <c r="CC216" s="12">
        <f>Sales[[#This Row],[Fixtures]]*Lookups!$B$90</f>
        <v>30336.176841600001</v>
      </c>
      <c r="CD216" s="12">
        <f>Sales[[#This Row],[WdDeck]]*Lookups!$B$91</f>
        <v>0</v>
      </c>
      <c r="CE216" s="12">
        <f>SUM(Sales[[#This Row],[Days Prior Total]:[Mdl WdDeck]])</f>
        <v>404956.6128502019</v>
      </c>
      <c r="CF216" s="12">
        <f>ROUND(Sales[[#This Row],[25Det]],-2)</f>
        <v>13300</v>
      </c>
      <c r="CG216" s="12">
        <f>ROUND(SUM(Sales[[#This Row],[Mdl Qlty]:[Mdl WdDeck]])+Sales[[#This Row],[Mdl Res Intercept]]+Sales[[#This Row],[Days Prior Total]],-2)</f>
        <v>357700</v>
      </c>
      <c r="CH216" s="12">
        <f>ROUND(Sales[[#This Row],[Mdl Land Intercept]]+Sales[[#This Row],[Mdl LnAcres]],-2)</f>
        <v>47200</v>
      </c>
      <c r="CI216" s="12">
        <f>Sales[[#This Row],[Unadj Res Value]]+Sales[[#This Row],[Unadj Det Value]]+Sales[[#This Row],[Unadj Land Value]]</f>
        <v>418200</v>
      </c>
      <c r="CJ216" s="13">
        <f>Sales[[#This Row],[Unadj Total Value]]/Sales[[#This Row],[Price]]</f>
        <v>0.7965714285714286</v>
      </c>
      <c r="CK216" s="13">
        <f>(Sales[[#This Row],[Unadj Total Value]]-Sales[[#This Row],[24Final]])/Sales[[#This Row],[24Final]]</f>
        <v>-3.3733826247689461E-2</v>
      </c>
      <c r="CL216">
        <f>VLOOKUP(Sales[[#This Row],[TNbhd]],Lookups!$Q$2:$T$4,4,FALSE)</f>
        <v>0.99970000000000003</v>
      </c>
      <c r="CM216">
        <f>VLOOKUP(Sales[[#This Row],[Qlty]],Lookups!$O$7:$R$21,4,FALSE)</f>
        <v>0.98050000000000004</v>
      </c>
      <c r="CN216">
        <f>VLOOKUP(Sales[[#This Row],[Cnd]],Lookups!$T$7:$W$16,4,FALSE)</f>
        <v>0.99650000000000005</v>
      </c>
      <c r="CO216">
        <f>VLOOKUP(Sales[[#This Row],[LivArea Range]],Lookups!$T$25:$W$37,4,FALSE)</f>
        <v>0.96179999999999999</v>
      </c>
      <c r="CP216">
        <f>VLOOKUP(Sales[[#This Row],[Decade]],Lookups!$O$25:$R$42,4,FALSE)</f>
        <v>1.0074000000000001</v>
      </c>
      <c r="CQ216">
        <f>Sales[[#This Row],[Nbhd Adj]]*0.95</f>
        <v>0.94971499999999998</v>
      </c>
      <c r="CR216">
        <f>Sales[[#This Row],[Nbhd Adj]]*Sales[[#This Row],[Quality Adj]]*Sales[[#This Row],[Condition Adj]]*Sales[[#This Row],[Living Area Adj]]*Sales[[#This Row],[Decade Adj]]*0.95</f>
        <v>0.89909362370491519</v>
      </c>
      <c r="CS216">
        <f>ROUND(SUM(Sales[[#This Row],[Mdl Qlty]:[Mdl WdDeck]])+Sales[[#This Row],[Mdl Res Intercept]]*Sales[[#This Row],[Res Adj ]],-2)</f>
        <v>404000</v>
      </c>
      <c r="CT216">
        <f>ROUND(Sales[[#This Row],[25Det]]*Sales[[#This Row],[Det/Nbhd Adj]],-2)</f>
        <v>12700</v>
      </c>
      <c r="CU216">
        <f>Sales[[#This Row],[Adjusted Res]]+Sales[[#This Row],[Adj Det ]]</f>
        <v>416700</v>
      </c>
      <c r="CV216">
        <f>ROUND((Sales[[#This Row],[Mdl Land Intercept]]+Sales[[#This Row],[Mdl LnAcres]])*Sales[[#This Row],[Det/Nbhd Adj]],-2)</f>
        <v>44800</v>
      </c>
      <c r="CW216">
        <f>Sales[[#This Row],[Adjusted Impr Total]]+Sales[[#This Row],[Adjusted Land Total]]</f>
        <v>461500</v>
      </c>
      <c r="CX216" s="15">
        <f>IFERROR((Sales[[#This Row],[Adjusted Impr Total]]-Sales[[#This Row],[24Bldg]])/Sales[[#This Row],[24Bldg]],0)</f>
        <v>0.14101861993428258</v>
      </c>
      <c r="CY216" s="15">
        <f>(Sales[[#This Row],[Adjusted Land Total]]-Sales[[#This Row],[24Lnd]])/Sales[[#This Row],[24Lnd]]</f>
        <v>-0.33727810650887574</v>
      </c>
      <c r="CZ216" s="15">
        <f>(Sales[[#This Row],[Adjusted Total]]-Sales[[#This Row],[24Final]])/Sales[[#This Row],[24Final]]</f>
        <v>6.6312384473197789E-2</v>
      </c>
      <c r="DA216" s="15">
        <f>(Sales[[#This Row],[Adjusted Total]]+Sales[[#This Row],[Days Prior Total]])/Sales[[#This Row],[Price]]</f>
        <v>0.79085542670177145</v>
      </c>
    </row>
    <row r="217" spans="1:105" x14ac:dyDescent="0.3">
      <c r="A217">
        <v>2025</v>
      </c>
      <c r="B217">
        <v>18132342014</v>
      </c>
      <c r="C217">
        <v>-1.5141277326297755</v>
      </c>
      <c r="D217">
        <v>0.22</v>
      </c>
      <c r="E217">
        <v>9755</v>
      </c>
      <c r="F217">
        <v>6</v>
      </c>
      <c r="G217" t="s">
        <v>126</v>
      </c>
      <c r="H217">
        <v>3092</v>
      </c>
      <c r="I217" t="s">
        <v>349</v>
      </c>
      <c r="J217" t="s">
        <v>30</v>
      </c>
      <c r="K217">
        <v>11</v>
      </c>
      <c r="L217">
        <v>259</v>
      </c>
      <c r="M217" t="s">
        <v>301</v>
      </c>
      <c r="N217" t="s">
        <v>148</v>
      </c>
      <c r="O217" t="s">
        <v>303</v>
      </c>
      <c r="P217">
        <v>100</v>
      </c>
      <c r="Q217">
        <v>1930</v>
      </c>
      <c r="R217">
        <v>1970</v>
      </c>
      <c r="S217">
        <v>94</v>
      </c>
      <c r="T217">
        <v>54</v>
      </c>
      <c r="U217">
        <v>2</v>
      </c>
      <c r="V217">
        <v>1356</v>
      </c>
      <c r="W217">
        <v>952</v>
      </c>
      <c r="X217">
        <v>0</v>
      </c>
      <c r="Y217">
        <v>996</v>
      </c>
      <c r="Z217">
        <v>0</v>
      </c>
      <c r="AA217">
        <v>996</v>
      </c>
      <c r="AB217">
        <v>3304</v>
      </c>
      <c r="AC217">
        <v>3500</v>
      </c>
      <c r="AD217">
        <v>2</v>
      </c>
      <c r="AF217" t="s">
        <v>383</v>
      </c>
      <c r="AG217" t="s">
        <v>148</v>
      </c>
      <c r="AH217" t="s">
        <v>450</v>
      </c>
      <c r="AI217">
        <v>0</v>
      </c>
      <c r="AJ217">
        <v>1</v>
      </c>
      <c r="AK217">
        <v>0</v>
      </c>
      <c r="AL217">
        <v>0</v>
      </c>
      <c r="AM217">
        <v>1</v>
      </c>
      <c r="AN217">
        <v>10</v>
      </c>
      <c r="AO217">
        <v>0</v>
      </c>
      <c r="AP217">
        <v>360</v>
      </c>
      <c r="AQ217">
        <v>0</v>
      </c>
      <c r="AR217">
        <v>0</v>
      </c>
      <c r="AS217">
        <v>171</v>
      </c>
      <c r="AT217">
        <v>171</v>
      </c>
      <c r="AU217">
        <v>100</v>
      </c>
      <c r="AV217">
        <v>100</v>
      </c>
      <c r="AW217">
        <v>538097</v>
      </c>
      <c r="AX217">
        <v>403573</v>
      </c>
      <c r="AY217">
        <v>873</v>
      </c>
      <c r="AZ217">
        <v>365</v>
      </c>
      <c r="BA217">
        <v>365</v>
      </c>
      <c r="BB217">
        <v>143</v>
      </c>
      <c r="BC217" s="3">
        <v>44419</v>
      </c>
      <c r="BD217" t="s">
        <v>16</v>
      </c>
      <c r="BE217">
        <v>500000</v>
      </c>
      <c r="BF217">
        <v>500000</v>
      </c>
      <c r="BG217" t="s">
        <v>294</v>
      </c>
      <c r="BH217">
        <v>30</v>
      </c>
      <c r="BI217" t="s">
        <v>65</v>
      </c>
      <c r="BJ217" t="s">
        <v>450</v>
      </c>
      <c r="BK217">
        <v>425000</v>
      </c>
      <c r="BL217">
        <v>61700</v>
      </c>
      <c r="BM217">
        <v>363300</v>
      </c>
      <c r="BN217">
        <v>0</v>
      </c>
      <c r="BO217">
        <v>0.85</v>
      </c>
      <c r="BP217">
        <v>407586.44750556524</v>
      </c>
      <c r="BQ217">
        <v>448271.03654010256</v>
      </c>
      <c r="BR217" s="12">
        <f>(Sales[[#This Row],[DP1]]*Lookups!$B$59)+(Sales[[#This Row],[DP2]]*Lookups!$B$60)+(Sales[[#This Row],[DP3]]*Lookups!$B$61)</f>
        <v>-40684.589039769999</v>
      </c>
      <c r="BS217" s="12">
        <f>Lookups!$B$56*0</f>
        <v>0</v>
      </c>
      <c r="BT217" s="12">
        <f>Lookups!$B$56*1</f>
        <v>89850.625589999996</v>
      </c>
      <c r="BU217" s="12">
        <f>Lookups!$B$57*Sales[[#This Row],[LnAcres]]</f>
        <v>-47929.131559187132</v>
      </c>
      <c r="BV217" s="12">
        <f>VLOOKUP(Sales[[#This Row],[Qlty]],Lookups!$A$62:$E$75,2,FALSE)</f>
        <v>44121.038090000002</v>
      </c>
      <c r="BW217" s="12">
        <f>VLOOKUP(Sales[[#This Row],[Cnd]],Lookups!$A$76:$E$84,2,FALSE)</f>
        <v>197752.34721000001</v>
      </c>
      <c r="BX217" s="12">
        <f>Sales[[#This Row],[EffAge]]*Lookups!$B$85</f>
        <v>-12044.462427</v>
      </c>
      <c r="BY217" s="12">
        <f>Sales[[#This Row],[MainFn]]*Lookups!$B$86</f>
        <v>66998.156353212005</v>
      </c>
      <c r="BZ217" s="12">
        <f>Sales[[#This Row],[UpprFn]]*Lookups!$B$87</f>
        <v>42636.674563672001</v>
      </c>
      <c r="CA217" s="12">
        <f>Sales[[#This Row],[AddFn]]*Lookups!$B$88</f>
        <v>0</v>
      </c>
      <c r="CB217" s="12">
        <f>Sales[[#This Row],[Bsmt]]*Lookups!$B$89</f>
        <v>28965.567666011997</v>
      </c>
      <c r="CC217" s="12">
        <f>Sales[[#This Row],[Fixtures]]*Lookups!$B$90</f>
        <v>37920.221052000001</v>
      </c>
      <c r="CD217" s="12">
        <f>Sales[[#This Row],[WdDeck]]*Lookups!$B$91</f>
        <v>0</v>
      </c>
      <c r="CE217" s="12">
        <f>SUM(Sales[[#This Row],[Days Prior Total]:[Mdl WdDeck]])</f>
        <v>407586.44749893888</v>
      </c>
      <c r="CF217" s="12">
        <f>ROUND(Sales[[#This Row],[25Det]],-2)</f>
        <v>0</v>
      </c>
      <c r="CG217" s="12">
        <f>ROUND(SUM(Sales[[#This Row],[Mdl Qlty]:[Mdl WdDeck]])+Sales[[#This Row],[Mdl Res Intercept]]+Sales[[#This Row],[Days Prior Total]],-2)</f>
        <v>365700</v>
      </c>
      <c r="CH217" s="12">
        <f>ROUND(Sales[[#This Row],[Mdl Land Intercept]]+Sales[[#This Row],[Mdl LnAcres]],-2)</f>
        <v>41900</v>
      </c>
      <c r="CI217" s="12">
        <f>Sales[[#This Row],[Unadj Res Value]]+Sales[[#This Row],[Unadj Det Value]]+Sales[[#This Row],[Unadj Land Value]]</f>
        <v>407600</v>
      </c>
      <c r="CJ217" s="13">
        <f>Sales[[#This Row],[Unadj Total Value]]/Sales[[#This Row],[Price]]</f>
        <v>0.81520000000000004</v>
      </c>
      <c r="CK217" s="13">
        <f>(Sales[[#This Row],[Unadj Total Value]]-Sales[[#This Row],[24Final]])/Sales[[#This Row],[24Final]]</f>
        <v>-4.0941176470588238E-2</v>
      </c>
      <c r="CL217">
        <f>VLOOKUP(Sales[[#This Row],[TNbhd]],Lookups!$Q$2:$T$4,4,FALSE)</f>
        <v>0.99970000000000003</v>
      </c>
      <c r="CM217">
        <f>VLOOKUP(Sales[[#This Row],[Qlty]],Lookups!$O$7:$R$21,4,FALSE)</f>
        <v>0.98050000000000004</v>
      </c>
      <c r="CN217">
        <f>VLOOKUP(Sales[[#This Row],[Cnd]],Lookups!$T$7:$W$16,4,FALSE)</f>
        <v>0.99650000000000005</v>
      </c>
      <c r="CO217">
        <f>VLOOKUP(Sales[[#This Row],[LivArea Range]],Lookups!$T$25:$W$37,4,FALSE)</f>
        <v>1.0126999999999999</v>
      </c>
      <c r="CP217">
        <f>VLOOKUP(Sales[[#This Row],[Decade]],Lookups!$O$25:$R$42,4,FALSE)</f>
        <v>1.0074000000000001</v>
      </c>
      <c r="CQ217">
        <f>Sales[[#This Row],[Nbhd Adj]]*0.95</f>
        <v>0.94971499999999998</v>
      </c>
      <c r="CR217">
        <f>Sales[[#This Row],[Nbhd Adj]]*Sales[[#This Row],[Quality Adj]]*Sales[[#This Row],[Condition Adj]]*Sales[[#This Row],[Living Area Adj]]*Sales[[#This Row],[Decade Adj]]*0.95</f>
        <v>0.94667510160736901</v>
      </c>
      <c r="CS217">
        <f>ROUND(SUM(Sales[[#This Row],[Mdl Qlty]:[Mdl WdDeck]])+Sales[[#This Row],[Mdl Res Intercept]]*Sales[[#This Row],[Res Adj ]],-2)</f>
        <v>406300</v>
      </c>
      <c r="CT217">
        <f>ROUND(Sales[[#This Row],[25Det]]*Sales[[#This Row],[Det/Nbhd Adj]],-2)</f>
        <v>0</v>
      </c>
      <c r="CU217">
        <f>Sales[[#This Row],[Adjusted Res]]+Sales[[#This Row],[Adj Det ]]</f>
        <v>406300</v>
      </c>
      <c r="CV217">
        <f>ROUND((Sales[[#This Row],[Mdl Land Intercept]]+Sales[[#This Row],[Mdl LnAcres]])*Sales[[#This Row],[Det/Nbhd Adj]],-2)</f>
        <v>39800</v>
      </c>
      <c r="CW217">
        <f>Sales[[#This Row],[Adjusted Impr Total]]+Sales[[#This Row],[Adjusted Land Total]]</f>
        <v>446100</v>
      </c>
      <c r="CX217" s="15">
        <f>IFERROR((Sales[[#This Row],[Adjusted Impr Total]]-Sales[[#This Row],[24Bldg]])/Sales[[#This Row],[24Bldg]],0)</f>
        <v>0.11835948252133223</v>
      </c>
      <c r="CY217" s="15">
        <f>(Sales[[#This Row],[Adjusted Land Total]]-Sales[[#This Row],[24Lnd]])/Sales[[#This Row],[24Lnd]]</f>
        <v>-0.35494327390599678</v>
      </c>
      <c r="CZ217" s="15">
        <f>(Sales[[#This Row],[Adjusted Total]]-Sales[[#This Row],[24Final]])/Sales[[#This Row],[24Final]]</f>
        <v>4.9647058823529412E-2</v>
      </c>
      <c r="DA217" s="15">
        <f>(Sales[[#This Row],[Adjusted Total]]+Sales[[#This Row],[Days Prior Total]])/Sales[[#This Row],[Price]]</f>
        <v>0.81083082192045997</v>
      </c>
    </row>
    <row r="218" spans="1:105" x14ac:dyDescent="0.3">
      <c r="A218">
        <v>2025</v>
      </c>
      <c r="B218">
        <v>18132323003</v>
      </c>
      <c r="C218">
        <v>-1.7147984280919266</v>
      </c>
      <c r="D218">
        <v>0.18</v>
      </c>
      <c r="E218">
        <v>7700</v>
      </c>
      <c r="F218">
        <v>6</v>
      </c>
      <c r="G218" t="s">
        <v>126</v>
      </c>
      <c r="H218">
        <v>3033</v>
      </c>
      <c r="I218" t="s">
        <v>349</v>
      </c>
      <c r="J218" t="s">
        <v>30</v>
      </c>
      <c r="K218">
        <v>11</v>
      </c>
      <c r="L218">
        <v>259</v>
      </c>
      <c r="M218" t="s">
        <v>242</v>
      </c>
      <c r="N218" t="s">
        <v>205</v>
      </c>
      <c r="O218" t="s">
        <v>323</v>
      </c>
      <c r="P218">
        <v>100</v>
      </c>
      <c r="Q218">
        <v>1930</v>
      </c>
      <c r="R218">
        <v>1970</v>
      </c>
      <c r="S218">
        <v>94</v>
      </c>
      <c r="T218">
        <v>54</v>
      </c>
      <c r="U218">
        <v>1</v>
      </c>
      <c r="V218">
        <v>788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788</v>
      </c>
      <c r="AC218">
        <v>1000</v>
      </c>
      <c r="AD218">
        <v>0</v>
      </c>
      <c r="AF218" t="s">
        <v>383</v>
      </c>
      <c r="AG218" t="s">
        <v>382</v>
      </c>
      <c r="AH218" t="s">
        <v>450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5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100</v>
      </c>
      <c r="AV218">
        <v>100</v>
      </c>
      <c r="AW218">
        <v>108787</v>
      </c>
      <c r="AX218">
        <v>72887</v>
      </c>
      <c r="AY218">
        <v>425</v>
      </c>
      <c r="AZ218">
        <v>365</v>
      </c>
      <c r="BA218">
        <v>60</v>
      </c>
      <c r="BB218">
        <v>0</v>
      </c>
      <c r="BC218" s="3">
        <v>44867</v>
      </c>
      <c r="BD218" t="s">
        <v>180</v>
      </c>
      <c r="BE218">
        <v>249900</v>
      </c>
      <c r="BF218">
        <v>248511</v>
      </c>
      <c r="BG218" t="s">
        <v>294</v>
      </c>
      <c r="BH218">
        <v>30</v>
      </c>
      <c r="BI218" t="s">
        <v>65</v>
      </c>
      <c r="BJ218" t="s">
        <v>450</v>
      </c>
      <c r="BK218">
        <v>233300</v>
      </c>
      <c r="BL218">
        <v>54700</v>
      </c>
      <c r="BM218">
        <v>178600</v>
      </c>
      <c r="BN218">
        <v>1389</v>
      </c>
      <c r="BO218">
        <v>0.9335734293717487</v>
      </c>
      <c r="BP218">
        <v>216826.47197867336</v>
      </c>
      <c r="BQ218">
        <v>241891.22342604643</v>
      </c>
      <c r="BR218" s="12">
        <f>(Sales[[#This Row],[DP1]]*Lookups!$B$59)+(Sales[[#This Row],[DP2]]*Lookups!$B$60)+(Sales[[#This Row],[DP3]]*Lookups!$B$61)</f>
        <v>-25064.751448930001</v>
      </c>
      <c r="BS218" s="12">
        <f>Lookups!$B$56*0</f>
        <v>0</v>
      </c>
      <c r="BT218" s="12">
        <f>Lookups!$B$56*1</f>
        <v>89850.625589999996</v>
      </c>
      <c r="BU218" s="12">
        <f>Lookups!$B$57*Sales[[#This Row],[LnAcres]]</f>
        <v>-54281.285314520763</v>
      </c>
      <c r="BV218" s="12">
        <f>VLOOKUP(Sales[[#This Row],[Qlty]],Lookups!$A$62:$E$75,2,FALSE)</f>
        <v>0</v>
      </c>
      <c r="BW218" s="12">
        <f>VLOOKUP(Sales[[#This Row],[Cnd]],Lookups!$A$76:$E$84,2,FALSE)</f>
        <v>160472.20319</v>
      </c>
      <c r="BX218" s="12">
        <f>Sales[[#This Row],[EffAge]]*Lookups!$B$85</f>
        <v>-12044.462427</v>
      </c>
      <c r="BY218" s="12">
        <f>Sales[[#This Row],[MainFn]]*Lookups!$B$86</f>
        <v>38934.031863076001</v>
      </c>
      <c r="BZ218" s="12">
        <f>Sales[[#This Row],[UpprFn]]*Lookups!$B$87</f>
        <v>0</v>
      </c>
      <c r="CA218" s="12">
        <f>Sales[[#This Row],[AddFn]]*Lookups!$B$88</f>
        <v>0</v>
      </c>
      <c r="CB218" s="12">
        <f>Sales[[#This Row],[Bsmt]]*Lookups!$B$89</f>
        <v>0</v>
      </c>
      <c r="CC218" s="12">
        <f>Sales[[#This Row],[Fixtures]]*Lookups!$B$90</f>
        <v>18960.110526</v>
      </c>
      <c r="CD218" s="12">
        <f>Sales[[#This Row],[WdDeck]]*Lookups!$B$91</f>
        <v>0</v>
      </c>
      <c r="CE218" s="12">
        <f>SUM(Sales[[#This Row],[Days Prior Total]:[Mdl WdDeck]])</f>
        <v>216826.47197862525</v>
      </c>
      <c r="CF218" s="12">
        <f>ROUND(Sales[[#This Row],[25Det]],-2)</f>
        <v>1400</v>
      </c>
      <c r="CG218" s="12">
        <f>ROUND(SUM(Sales[[#This Row],[Mdl Qlty]:[Mdl WdDeck]])+Sales[[#This Row],[Mdl Res Intercept]]+Sales[[#This Row],[Days Prior Total]],-2)</f>
        <v>181300</v>
      </c>
      <c r="CH218" s="12">
        <f>ROUND(Sales[[#This Row],[Mdl Land Intercept]]+Sales[[#This Row],[Mdl LnAcres]],-2)</f>
        <v>35600</v>
      </c>
      <c r="CI218" s="12">
        <f>Sales[[#This Row],[Unadj Res Value]]+Sales[[#This Row],[Unadj Det Value]]+Sales[[#This Row],[Unadj Land Value]]</f>
        <v>218300</v>
      </c>
      <c r="CJ218" s="13">
        <f>Sales[[#This Row],[Unadj Total Value]]/Sales[[#This Row],[Price]]</f>
        <v>0.87354941976790712</v>
      </c>
      <c r="CK218" s="13">
        <f>(Sales[[#This Row],[Unadj Total Value]]-Sales[[#This Row],[24Final]])/Sales[[#This Row],[24Final]]</f>
        <v>-6.4294899271324479E-2</v>
      </c>
      <c r="CL218">
        <f>VLOOKUP(Sales[[#This Row],[TNbhd]],Lookups!$Q$2:$T$4,4,FALSE)</f>
        <v>0.99970000000000003</v>
      </c>
      <c r="CM218">
        <f>VLOOKUP(Sales[[#This Row],[Qlty]],Lookups!$O$7:$R$21,4,FALSE)</f>
        <v>0.99180000000000001</v>
      </c>
      <c r="CN218">
        <f>VLOOKUP(Sales[[#This Row],[Cnd]],Lookups!$T$7:$W$16,4,FALSE)</f>
        <v>0.99729999999999996</v>
      </c>
      <c r="CO218">
        <f>VLOOKUP(Sales[[#This Row],[LivArea Range]],Lookups!$T$25:$W$37,4,FALSE)</f>
        <v>1.0148999999999999</v>
      </c>
      <c r="CP218">
        <f>VLOOKUP(Sales[[#This Row],[Decade]],Lookups!$O$25:$R$42,4,FALSE)</f>
        <v>1.0074000000000001</v>
      </c>
      <c r="CQ218">
        <f>Sales[[#This Row],[Nbhd Adj]]*0.95</f>
        <v>0.94971499999999998</v>
      </c>
      <c r="CR218">
        <f>Sales[[#This Row],[Nbhd Adj]]*Sales[[#This Row],[Quality Adj]]*Sales[[#This Row],[Condition Adj]]*Sales[[#This Row],[Living Area Adj]]*Sales[[#This Row],[Decade Adj]]*0.95</f>
        <v>0.96043597585476481</v>
      </c>
      <c r="CS218">
        <f>ROUND(SUM(Sales[[#This Row],[Mdl Qlty]:[Mdl WdDeck]])+Sales[[#This Row],[Mdl Res Intercept]]*Sales[[#This Row],[Res Adj ]],-2)</f>
        <v>206300</v>
      </c>
      <c r="CT218">
        <f>ROUND(Sales[[#This Row],[25Det]]*Sales[[#This Row],[Det/Nbhd Adj]],-2)</f>
        <v>1300</v>
      </c>
      <c r="CU218">
        <f>Sales[[#This Row],[Adjusted Res]]+Sales[[#This Row],[Adj Det ]]</f>
        <v>207600</v>
      </c>
      <c r="CV218">
        <f>ROUND((Sales[[#This Row],[Mdl Land Intercept]]+Sales[[#This Row],[Mdl LnAcres]])*Sales[[#This Row],[Det/Nbhd Adj]],-2)</f>
        <v>33800</v>
      </c>
      <c r="CW218">
        <f>Sales[[#This Row],[Adjusted Impr Total]]+Sales[[#This Row],[Adjusted Land Total]]</f>
        <v>241400</v>
      </c>
      <c r="CX218" s="15">
        <f>IFERROR((Sales[[#This Row],[Adjusted Impr Total]]-Sales[[#This Row],[24Bldg]])/Sales[[#This Row],[24Bldg]],0)</f>
        <v>0.16237402015677491</v>
      </c>
      <c r="CY218" s="15">
        <f>(Sales[[#This Row],[Adjusted Land Total]]-Sales[[#This Row],[24Lnd]])/Sales[[#This Row],[24Lnd]]</f>
        <v>-0.38208409506398539</v>
      </c>
      <c r="CZ218" s="15">
        <f>(Sales[[#This Row],[Adjusted Total]]-Sales[[#This Row],[24Final]])/Sales[[#This Row],[24Final]]</f>
        <v>3.4719245606515216E-2</v>
      </c>
      <c r="DA218" s="15">
        <f>(Sales[[#This Row],[Adjusted Total]]+Sales[[#This Row],[Days Prior Total]])/Sales[[#This Row],[Price]]</f>
        <v>0.86568726911192473</v>
      </c>
    </row>
    <row r="219" spans="1:105" x14ac:dyDescent="0.3">
      <c r="A219">
        <v>2025</v>
      </c>
      <c r="B219">
        <v>18132334460</v>
      </c>
      <c r="C219">
        <v>-1.7719568419318752</v>
      </c>
      <c r="D219">
        <v>0.17</v>
      </c>
      <c r="E219">
        <v>0</v>
      </c>
      <c r="F219">
        <v>6</v>
      </c>
      <c r="G219" t="s">
        <v>126</v>
      </c>
      <c r="H219">
        <v>3093</v>
      </c>
      <c r="I219" t="s">
        <v>349</v>
      </c>
      <c r="J219" t="s">
        <v>30</v>
      </c>
      <c r="K219">
        <v>11</v>
      </c>
      <c r="L219">
        <v>259</v>
      </c>
      <c r="M219" t="s">
        <v>269</v>
      </c>
      <c r="N219" t="s">
        <v>302</v>
      </c>
      <c r="O219" t="s">
        <v>303</v>
      </c>
      <c r="P219">
        <v>100</v>
      </c>
      <c r="Q219">
        <v>1930</v>
      </c>
      <c r="R219">
        <v>1970</v>
      </c>
      <c r="S219">
        <v>94</v>
      </c>
      <c r="T219">
        <v>54</v>
      </c>
      <c r="U219">
        <v>2</v>
      </c>
      <c r="V219">
        <v>870</v>
      </c>
      <c r="W219">
        <v>200</v>
      </c>
      <c r="X219">
        <v>0</v>
      </c>
      <c r="Y219">
        <v>870</v>
      </c>
      <c r="Z219">
        <v>0</v>
      </c>
      <c r="AA219">
        <v>870</v>
      </c>
      <c r="AB219">
        <v>1940</v>
      </c>
      <c r="AC219">
        <v>2000</v>
      </c>
      <c r="AD219">
        <v>0</v>
      </c>
      <c r="AF219" t="s">
        <v>383</v>
      </c>
      <c r="AG219" t="s">
        <v>148</v>
      </c>
      <c r="AI219">
        <v>0</v>
      </c>
      <c r="AJ219">
        <v>1</v>
      </c>
      <c r="AK219">
        <v>0</v>
      </c>
      <c r="AL219">
        <v>0</v>
      </c>
      <c r="AM219">
        <v>0</v>
      </c>
      <c r="AN219">
        <v>8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100</v>
      </c>
      <c r="AV219">
        <v>100</v>
      </c>
      <c r="AW219">
        <v>275149</v>
      </c>
      <c r="AX219">
        <v>206362</v>
      </c>
      <c r="AY219">
        <v>368</v>
      </c>
      <c r="AZ219">
        <v>365</v>
      </c>
      <c r="BA219">
        <v>3</v>
      </c>
      <c r="BB219">
        <v>0</v>
      </c>
      <c r="BC219" s="3">
        <v>44924</v>
      </c>
      <c r="BD219" t="s">
        <v>15</v>
      </c>
      <c r="BE219">
        <v>389000</v>
      </c>
      <c r="BF219">
        <v>379439</v>
      </c>
      <c r="BG219" t="s">
        <v>294</v>
      </c>
      <c r="BH219">
        <v>30</v>
      </c>
      <c r="BI219" t="s">
        <v>65</v>
      </c>
      <c r="BJ219" t="s">
        <v>450</v>
      </c>
      <c r="BK219">
        <v>341700</v>
      </c>
      <c r="BL219">
        <v>52700</v>
      </c>
      <c r="BM219">
        <v>289000</v>
      </c>
      <c r="BN219">
        <v>9561</v>
      </c>
      <c r="BO219">
        <v>0.87840616966580976</v>
      </c>
      <c r="BP219">
        <v>331142.95143421215</v>
      </c>
      <c r="BQ219">
        <v>356862.24366576382</v>
      </c>
      <c r="BR219" s="12">
        <f>(Sales[[#This Row],[DP1]]*Lookups!$B$59)+(Sales[[#This Row],[DP2]]*Lookups!$B$60)+(Sales[[#This Row],[DP3]]*Lookups!$B$61)</f>
        <v>-25719.292233094002</v>
      </c>
      <c r="BS219" s="12">
        <f>Lookups!$B$56*0</f>
        <v>0</v>
      </c>
      <c r="BT219" s="12">
        <f>Lookups!$B$56*1</f>
        <v>89850.625589999996</v>
      </c>
      <c r="BU219" s="12">
        <f>Lookups!$B$57*Sales[[#This Row],[LnAcres]]</f>
        <v>-56090.612940989391</v>
      </c>
      <c r="BV219" s="12">
        <f>VLOOKUP(Sales[[#This Row],[Qlty]],Lookups!$A$62:$E$75,2,FALSE)</f>
        <v>29814.093161000001</v>
      </c>
      <c r="BW219" s="12">
        <f>VLOOKUP(Sales[[#This Row],[Cnd]],Lookups!$A$76:$E$84,2,FALSE)</f>
        <v>197752.34721000001</v>
      </c>
      <c r="BX219" s="12">
        <f>Sales[[#This Row],[EffAge]]*Lookups!$B$85</f>
        <v>-12044.462427</v>
      </c>
      <c r="BY219" s="12">
        <f>Sales[[#This Row],[MainFn]]*Lookups!$B$86</f>
        <v>42985.542792990003</v>
      </c>
      <c r="BZ219" s="12">
        <f>Sales[[#This Row],[UpprFn]]*Lookups!$B$87</f>
        <v>8957.2845722000002</v>
      </c>
      <c r="CA219" s="12">
        <f>Sales[[#This Row],[AddFn]]*Lookups!$B$88</f>
        <v>0</v>
      </c>
      <c r="CB219" s="12">
        <f>Sales[[#This Row],[Bsmt]]*Lookups!$B$89</f>
        <v>25301.24886489</v>
      </c>
      <c r="CC219" s="12">
        <f>Sales[[#This Row],[Fixtures]]*Lookups!$B$90</f>
        <v>30336.176841600001</v>
      </c>
      <c r="CD219" s="12">
        <f>Sales[[#This Row],[WdDeck]]*Lookups!$B$91</f>
        <v>0</v>
      </c>
      <c r="CE219" s="12">
        <f>SUM(Sales[[#This Row],[Days Prior Total]:[Mdl WdDeck]])</f>
        <v>331142.95143159659</v>
      </c>
      <c r="CF219" s="12">
        <f>ROUND(Sales[[#This Row],[25Det]],-2)</f>
        <v>9600</v>
      </c>
      <c r="CG219" s="12">
        <f>ROUND(SUM(Sales[[#This Row],[Mdl Qlty]:[Mdl WdDeck]])+Sales[[#This Row],[Mdl Res Intercept]]+Sales[[#This Row],[Days Prior Total]],-2)</f>
        <v>297400</v>
      </c>
      <c r="CH219" s="12">
        <f>ROUND(Sales[[#This Row],[Mdl Land Intercept]]+Sales[[#This Row],[Mdl LnAcres]],-2)</f>
        <v>33800</v>
      </c>
      <c r="CI219" s="12">
        <f>Sales[[#This Row],[Unadj Res Value]]+Sales[[#This Row],[Unadj Det Value]]+Sales[[#This Row],[Unadj Land Value]]</f>
        <v>340800</v>
      </c>
      <c r="CJ219" s="13">
        <f>Sales[[#This Row],[Unadj Total Value]]/Sales[[#This Row],[Price]]</f>
        <v>0.8760925449871465</v>
      </c>
      <c r="CK219" s="13">
        <f>(Sales[[#This Row],[Unadj Total Value]]-Sales[[#This Row],[24Final]])/Sales[[#This Row],[24Final]]</f>
        <v>-2.6338893766461808E-3</v>
      </c>
      <c r="CL219">
        <f>VLOOKUP(Sales[[#This Row],[TNbhd]],Lookups!$Q$2:$T$4,4,FALSE)</f>
        <v>0.99970000000000003</v>
      </c>
      <c r="CM219">
        <f>VLOOKUP(Sales[[#This Row],[Qlty]],Lookups!$O$7:$R$21,4,FALSE)</f>
        <v>1.0088999999999999</v>
      </c>
      <c r="CN219">
        <f>VLOOKUP(Sales[[#This Row],[Cnd]],Lookups!$T$7:$W$16,4,FALSE)</f>
        <v>0.99650000000000005</v>
      </c>
      <c r="CO219">
        <f>VLOOKUP(Sales[[#This Row],[LivArea Range]],Lookups!$T$25:$W$37,4,FALSE)</f>
        <v>1.0093000000000001</v>
      </c>
      <c r="CP219">
        <f>VLOOKUP(Sales[[#This Row],[Decade]],Lookups!$O$25:$R$42,4,FALSE)</f>
        <v>1.0074000000000001</v>
      </c>
      <c r="CQ219">
        <f>Sales[[#This Row],[Nbhd Adj]]*0.95</f>
        <v>0.94971499999999998</v>
      </c>
      <c r="CR219">
        <f>Sales[[#This Row],[Nbhd Adj]]*Sales[[#This Row],[Quality Adj]]*Sales[[#This Row],[Condition Adj]]*Sales[[#This Row],[Living Area Adj]]*Sales[[#This Row],[Decade Adj]]*0.95</f>
        <v>0.97082497942099955</v>
      </c>
      <c r="CS219">
        <f>ROUND(SUM(Sales[[#This Row],[Mdl Qlty]:[Mdl WdDeck]])+Sales[[#This Row],[Mdl Res Intercept]]*Sales[[#This Row],[Res Adj ]],-2)</f>
        <v>323100</v>
      </c>
      <c r="CT219">
        <f>ROUND(Sales[[#This Row],[25Det]]*Sales[[#This Row],[Det/Nbhd Adj]],-2)</f>
        <v>9100</v>
      </c>
      <c r="CU219">
        <f>Sales[[#This Row],[Adjusted Res]]+Sales[[#This Row],[Adj Det ]]</f>
        <v>332200</v>
      </c>
      <c r="CV219">
        <f>ROUND((Sales[[#This Row],[Mdl Land Intercept]]+Sales[[#This Row],[Mdl LnAcres]])*Sales[[#This Row],[Det/Nbhd Adj]],-2)</f>
        <v>32100</v>
      </c>
      <c r="CW219">
        <f>Sales[[#This Row],[Adjusted Impr Total]]+Sales[[#This Row],[Adjusted Land Total]]</f>
        <v>364300</v>
      </c>
      <c r="CX219" s="15">
        <f>IFERROR((Sales[[#This Row],[Adjusted Impr Total]]-Sales[[#This Row],[24Bldg]])/Sales[[#This Row],[24Bldg]],0)</f>
        <v>0.14948096885813147</v>
      </c>
      <c r="CY219" s="15">
        <f>(Sales[[#This Row],[Adjusted Land Total]]-Sales[[#This Row],[24Lnd]])/Sales[[#This Row],[24Lnd]]</f>
        <v>-0.39089184060721061</v>
      </c>
      <c r="CZ219" s="15">
        <f>(Sales[[#This Row],[Adjusted Total]]-Sales[[#This Row],[24Final]])/Sales[[#This Row],[24Final]]</f>
        <v>6.6139888791337434E-2</v>
      </c>
      <c r="DA219" s="15">
        <f>(Sales[[#This Row],[Adjusted Total]]+Sales[[#This Row],[Days Prior Total]])/Sales[[#This Row],[Price]]</f>
        <v>0.87038742356531107</v>
      </c>
    </row>
    <row r="220" spans="1:105" x14ac:dyDescent="0.3">
      <c r="A220">
        <v>2025</v>
      </c>
      <c r="B220">
        <v>18132242420</v>
      </c>
      <c r="C220">
        <v>-1.4271163556401458</v>
      </c>
      <c r="D220">
        <v>0.24</v>
      </c>
      <c r="E220">
        <v>10582</v>
      </c>
      <c r="F220">
        <v>6</v>
      </c>
      <c r="G220" t="s">
        <v>126</v>
      </c>
      <c r="H220">
        <v>3033</v>
      </c>
      <c r="I220" t="s">
        <v>349</v>
      </c>
      <c r="J220" t="s">
        <v>30</v>
      </c>
      <c r="K220">
        <v>11</v>
      </c>
      <c r="L220">
        <v>259</v>
      </c>
      <c r="M220" t="s">
        <v>242</v>
      </c>
      <c r="N220" t="s">
        <v>205</v>
      </c>
      <c r="O220" t="s">
        <v>303</v>
      </c>
      <c r="P220">
        <v>100</v>
      </c>
      <c r="Q220">
        <v>1930</v>
      </c>
      <c r="R220">
        <v>1970</v>
      </c>
      <c r="S220">
        <v>94</v>
      </c>
      <c r="T220">
        <v>54</v>
      </c>
      <c r="U220">
        <v>1</v>
      </c>
      <c r="V220">
        <v>1066</v>
      </c>
      <c r="W220">
        <v>0</v>
      </c>
      <c r="X220">
        <v>0</v>
      </c>
      <c r="Y220">
        <v>771</v>
      </c>
      <c r="Z220">
        <v>0</v>
      </c>
      <c r="AA220">
        <v>771</v>
      </c>
      <c r="AB220">
        <v>1837</v>
      </c>
      <c r="AC220">
        <v>2000</v>
      </c>
      <c r="AD220">
        <v>0</v>
      </c>
      <c r="AF220" t="s">
        <v>383</v>
      </c>
      <c r="AG220" t="s">
        <v>148</v>
      </c>
      <c r="AH220" t="s">
        <v>65</v>
      </c>
      <c r="AI220">
        <v>1</v>
      </c>
      <c r="AJ220">
        <v>0</v>
      </c>
      <c r="AK220">
        <v>1</v>
      </c>
      <c r="AL220">
        <v>1</v>
      </c>
      <c r="AM220">
        <v>1</v>
      </c>
      <c r="AN220">
        <v>11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100</v>
      </c>
      <c r="AV220">
        <v>100</v>
      </c>
      <c r="AW220">
        <v>218284</v>
      </c>
      <c r="AX220">
        <v>163713</v>
      </c>
      <c r="AY220">
        <v>370</v>
      </c>
      <c r="AZ220">
        <v>365</v>
      </c>
      <c r="BA220">
        <v>5</v>
      </c>
      <c r="BB220">
        <v>0</v>
      </c>
      <c r="BC220" s="3">
        <v>44922</v>
      </c>
      <c r="BD220" t="s">
        <v>150</v>
      </c>
      <c r="BE220">
        <v>359000</v>
      </c>
      <c r="BF220">
        <v>356907</v>
      </c>
      <c r="BG220" t="s">
        <v>294</v>
      </c>
      <c r="BH220">
        <v>30</v>
      </c>
      <c r="BI220" t="s">
        <v>65</v>
      </c>
      <c r="BJ220" t="s">
        <v>450</v>
      </c>
      <c r="BK220">
        <v>341300</v>
      </c>
      <c r="BL220">
        <v>64800</v>
      </c>
      <c r="BM220">
        <v>276500</v>
      </c>
      <c r="BN220">
        <v>2093</v>
      </c>
      <c r="BO220">
        <v>0.95069637883008351</v>
      </c>
      <c r="BP220">
        <v>321491.3911119129</v>
      </c>
      <c r="BQ220">
        <v>347187.71700016008</v>
      </c>
      <c r="BR220" s="12">
        <f>(Sales[[#This Row],[DP1]]*Lookups!$B$59)+(Sales[[#This Row],[DP2]]*Lookups!$B$60)+(Sales[[#This Row],[DP3]]*Lookups!$B$61)</f>
        <v>-25696.325889790001</v>
      </c>
      <c r="BS220" s="12">
        <f>Lookups!$B$56*0</f>
        <v>0</v>
      </c>
      <c r="BT220" s="12">
        <f>Lookups!$B$56*1</f>
        <v>89850.625589999996</v>
      </c>
      <c r="BU220" s="12">
        <f>Lookups!$B$57*Sales[[#This Row],[LnAcres]]</f>
        <v>-45174.819855485119</v>
      </c>
      <c r="BV220" s="12">
        <f>VLOOKUP(Sales[[#This Row],[Qlty]],Lookups!$A$62:$E$75,2,FALSE)</f>
        <v>0</v>
      </c>
      <c r="BW220" s="12">
        <f>VLOOKUP(Sales[[#This Row],[Cnd]],Lookups!$A$76:$E$84,2,FALSE)</f>
        <v>197752.34721000001</v>
      </c>
      <c r="BX220" s="12">
        <f>Sales[[#This Row],[EffAge]]*Lookups!$B$85</f>
        <v>-12044.462427</v>
      </c>
      <c r="BY220" s="12">
        <f>Sales[[#This Row],[MainFn]]*Lookups!$B$86</f>
        <v>52669.642088881999</v>
      </c>
      <c r="BZ220" s="12">
        <f>Sales[[#This Row],[UpprFn]]*Lookups!$B$87</f>
        <v>0</v>
      </c>
      <c r="CA220" s="12">
        <f>Sales[[#This Row],[AddFn]]*Lookups!$B$88</f>
        <v>0</v>
      </c>
      <c r="CB220" s="12">
        <f>Sales[[#This Row],[Bsmt]]*Lookups!$B$89</f>
        <v>22422.141235437</v>
      </c>
      <c r="CC220" s="12">
        <f>Sales[[#This Row],[Fixtures]]*Lookups!$B$90</f>
        <v>41712.243157199999</v>
      </c>
      <c r="CD220" s="12">
        <f>Sales[[#This Row],[WdDeck]]*Lookups!$B$91</f>
        <v>0</v>
      </c>
      <c r="CE220" s="12">
        <f>SUM(Sales[[#This Row],[Days Prior Total]:[Mdl WdDeck]])</f>
        <v>321491.39110924391</v>
      </c>
      <c r="CF220" s="12">
        <f>ROUND(Sales[[#This Row],[25Det]],-2)</f>
        <v>2100</v>
      </c>
      <c r="CG220" s="12">
        <f>ROUND(SUM(Sales[[#This Row],[Mdl Qlty]:[Mdl WdDeck]])+Sales[[#This Row],[Mdl Res Intercept]]+Sales[[#This Row],[Days Prior Total]],-2)</f>
        <v>276800</v>
      </c>
      <c r="CH220" s="12">
        <f>ROUND(Sales[[#This Row],[Mdl Land Intercept]]+Sales[[#This Row],[Mdl LnAcres]],-2)</f>
        <v>44700</v>
      </c>
      <c r="CI220" s="12">
        <f>Sales[[#This Row],[Unadj Res Value]]+Sales[[#This Row],[Unadj Det Value]]+Sales[[#This Row],[Unadj Land Value]]</f>
        <v>323600</v>
      </c>
      <c r="CJ220" s="13">
        <f>Sales[[#This Row],[Unadj Total Value]]/Sales[[#This Row],[Price]]</f>
        <v>0.90139275766016713</v>
      </c>
      <c r="CK220" s="13">
        <f>(Sales[[#This Row],[Unadj Total Value]]-Sales[[#This Row],[24Final]])/Sales[[#This Row],[24Final]]</f>
        <v>-5.1860533255200701E-2</v>
      </c>
      <c r="CL220">
        <f>VLOOKUP(Sales[[#This Row],[TNbhd]],Lookups!$Q$2:$T$4,4,FALSE)</f>
        <v>0.99970000000000003</v>
      </c>
      <c r="CM220">
        <f>VLOOKUP(Sales[[#This Row],[Qlty]],Lookups!$O$7:$R$21,4,FALSE)</f>
        <v>0.99180000000000001</v>
      </c>
      <c r="CN220">
        <f>VLOOKUP(Sales[[#This Row],[Cnd]],Lookups!$T$7:$W$16,4,FALSE)</f>
        <v>0.99650000000000005</v>
      </c>
      <c r="CO220">
        <f>VLOOKUP(Sales[[#This Row],[LivArea Range]],Lookups!$T$25:$W$37,4,FALSE)</f>
        <v>1.0093000000000001</v>
      </c>
      <c r="CP220">
        <f>VLOOKUP(Sales[[#This Row],[Decade]],Lookups!$O$25:$R$42,4,FALSE)</f>
        <v>1.0074000000000001</v>
      </c>
      <c r="CQ220">
        <f>Sales[[#This Row],[Nbhd Adj]]*0.95</f>
        <v>0.94971499999999998</v>
      </c>
      <c r="CR220">
        <f>Sales[[#This Row],[Nbhd Adj]]*Sales[[#This Row],[Quality Adj]]*Sales[[#This Row],[Condition Adj]]*Sales[[#This Row],[Living Area Adj]]*Sales[[#This Row],[Decade Adj]]*0.95</f>
        <v>0.95437031875284728</v>
      </c>
      <c r="CS220">
        <f>ROUND(SUM(Sales[[#This Row],[Mdl Qlty]:[Mdl WdDeck]])+Sales[[#This Row],[Mdl Res Intercept]]*Sales[[#This Row],[Res Adj ]],-2)</f>
        <v>302500</v>
      </c>
      <c r="CT220">
        <f>ROUND(Sales[[#This Row],[25Det]]*Sales[[#This Row],[Det/Nbhd Adj]],-2)</f>
        <v>2000</v>
      </c>
      <c r="CU220">
        <f>Sales[[#This Row],[Adjusted Res]]+Sales[[#This Row],[Adj Det ]]</f>
        <v>304500</v>
      </c>
      <c r="CV220">
        <f>ROUND((Sales[[#This Row],[Mdl Land Intercept]]+Sales[[#This Row],[Mdl LnAcres]])*Sales[[#This Row],[Det/Nbhd Adj]],-2)</f>
        <v>42400</v>
      </c>
      <c r="CW220">
        <f>Sales[[#This Row],[Adjusted Impr Total]]+Sales[[#This Row],[Adjusted Land Total]]</f>
        <v>346900</v>
      </c>
      <c r="CX220" s="15">
        <f>IFERROR((Sales[[#This Row],[Adjusted Impr Total]]-Sales[[#This Row],[24Bldg]])/Sales[[#This Row],[24Bldg]],0)</f>
        <v>0.10126582278481013</v>
      </c>
      <c r="CY220" s="15">
        <f>(Sales[[#This Row],[Adjusted Land Total]]-Sales[[#This Row],[24Lnd]])/Sales[[#This Row],[24Lnd]]</f>
        <v>-0.34567901234567899</v>
      </c>
      <c r="CZ220" s="15">
        <f>(Sales[[#This Row],[Adjusted Total]]-Sales[[#This Row],[24Final]])/Sales[[#This Row],[24Final]]</f>
        <v>1.6407852329329037E-2</v>
      </c>
      <c r="DA220" s="15">
        <f>(Sales[[#This Row],[Adjusted Total]]+Sales[[#This Row],[Days Prior Total]])/Sales[[#This Row],[Price]]</f>
        <v>0.89471775518164343</v>
      </c>
    </row>
    <row r="221" spans="1:105" x14ac:dyDescent="0.3">
      <c r="A221">
        <v>2025</v>
      </c>
      <c r="B221">
        <v>18132331452</v>
      </c>
      <c r="C221">
        <v>-1.8971199848858813</v>
      </c>
      <c r="D221">
        <v>0.15</v>
      </c>
      <c r="E221">
        <v>0</v>
      </c>
      <c r="F221">
        <v>6</v>
      </c>
      <c r="G221" t="s">
        <v>126</v>
      </c>
      <c r="H221">
        <v>3032</v>
      </c>
      <c r="I221" t="s">
        <v>349</v>
      </c>
      <c r="J221" t="s">
        <v>30</v>
      </c>
      <c r="K221">
        <v>11</v>
      </c>
      <c r="L221">
        <v>259</v>
      </c>
      <c r="M221" t="s">
        <v>242</v>
      </c>
      <c r="N221" t="s">
        <v>351</v>
      </c>
      <c r="O221" t="s">
        <v>323</v>
      </c>
      <c r="P221">
        <v>100</v>
      </c>
      <c r="Q221">
        <v>1930</v>
      </c>
      <c r="R221">
        <v>1970</v>
      </c>
      <c r="S221">
        <v>94</v>
      </c>
      <c r="T221">
        <v>54</v>
      </c>
      <c r="U221">
        <v>1</v>
      </c>
      <c r="V221">
        <v>868</v>
      </c>
      <c r="W221">
        <v>0</v>
      </c>
      <c r="X221">
        <v>0</v>
      </c>
      <c r="Y221">
        <v>868</v>
      </c>
      <c r="Z221">
        <v>608</v>
      </c>
      <c r="AA221">
        <v>260</v>
      </c>
      <c r="AB221">
        <v>1128</v>
      </c>
      <c r="AC221">
        <v>1500</v>
      </c>
      <c r="AD221">
        <v>0</v>
      </c>
      <c r="AF221" t="s">
        <v>383</v>
      </c>
      <c r="AG221" t="s">
        <v>175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5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100</v>
      </c>
      <c r="AV221">
        <v>100</v>
      </c>
      <c r="AW221">
        <v>166773</v>
      </c>
      <c r="AX221">
        <v>111738</v>
      </c>
      <c r="AY221">
        <v>1020</v>
      </c>
      <c r="AZ221">
        <v>365</v>
      </c>
      <c r="BA221">
        <v>365</v>
      </c>
      <c r="BB221">
        <v>290</v>
      </c>
      <c r="BC221" s="3">
        <v>44272</v>
      </c>
      <c r="BD221" t="s">
        <v>455</v>
      </c>
      <c r="BE221">
        <v>255000</v>
      </c>
      <c r="BF221">
        <v>248847</v>
      </c>
      <c r="BG221" t="s">
        <v>294</v>
      </c>
      <c r="BH221">
        <v>30</v>
      </c>
      <c r="BI221" t="s">
        <v>65</v>
      </c>
      <c r="BJ221" t="s">
        <v>450</v>
      </c>
      <c r="BK221">
        <v>270200</v>
      </c>
      <c r="BL221">
        <v>48400</v>
      </c>
      <c r="BM221">
        <v>221800</v>
      </c>
      <c r="BN221">
        <v>6153</v>
      </c>
      <c r="BO221">
        <v>1.0596078431372549</v>
      </c>
      <c r="BP221">
        <v>226531.33149831576</v>
      </c>
      <c r="BQ221">
        <v>286873.01232545462</v>
      </c>
      <c r="BR221" s="12">
        <f>(Sales[[#This Row],[DP1]]*Lookups!$B$59)+(Sales[[#This Row],[DP2]]*Lookups!$B$60)+(Sales[[#This Row],[DP3]]*Lookups!$B$61)</f>
        <v>-60341.680836070002</v>
      </c>
      <c r="BS221" s="12">
        <f>Lookups!$B$56*0</f>
        <v>0</v>
      </c>
      <c r="BT221" s="12">
        <f>Lookups!$B$56*1</f>
        <v>89850.625589999996</v>
      </c>
      <c r="BU221" s="12">
        <f>Lookups!$B$57*Sales[[#This Row],[LnAcres]]</f>
        <v>-60052.604136134301</v>
      </c>
      <c r="BV221" s="12">
        <f>VLOOKUP(Sales[[#This Row],[Qlty]],Lookups!$A$62:$E$75,2,FALSE)</f>
        <v>21557.329055999999</v>
      </c>
      <c r="BW221" s="12">
        <f>VLOOKUP(Sales[[#This Row],[Cnd]],Lookups!$A$76:$E$84,2,FALSE)</f>
        <v>160472.20319</v>
      </c>
      <c r="BX221" s="12">
        <f>Sales[[#This Row],[EffAge]]*Lookups!$B$85</f>
        <v>-12044.462427</v>
      </c>
      <c r="BY221" s="12">
        <f>Sales[[#This Row],[MainFn]]*Lookups!$B$86</f>
        <v>42886.725453236002</v>
      </c>
      <c r="BZ221" s="12">
        <f>Sales[[#This Row],[UpprFn]]*Lookups!$B$87</f>
        <v>0</v>
      </c>
      <c r="CA221" s="12">
        <f>Sales[[#This Row],[AddFn]]*Lookups!$B$88</f>
        <v>0</v>
      </c>
      <c r="CB221" s="12">
        <f>Sales[[#This Row],[Bsmt]]*Lookups!$B$89</f>
        <v>25243.085074396</v>
      </c>
      <c r="CC221" s="12">
        <f>Sales[[#This Row],[Fixtures]]*Lookups!$B$90</f>
        <v>18960.110526</v>
      </c>
      <c r="CD221" s="12">
        <f>Sales[[#This Row],[WdDeck]]*Lookups!$B$91</f>
        <v>0</v>
      </c>
      <c r="CE221" s="12">
        <f>SUM(Sales[[#This Row],[Days Prior Total]:[Mdl WdDeck]])</f>
        <v>226531.33149042769</v>
      </c>
      <c r="CF221" s="12">
        <f>ROUND(Sales[[#This Row],[25Det]],-2)</f>
        <v>6200</v>
      </c>
      <c r="CG221" s="12">
        <f>ROUND(SUM(Sales[[#This Row],[Mdl Qlty]:[Mdl WdDeck]])+Sales[[#This Row],[Mdl Res Intercept]]+Sales[[#This Row],[Days Prior Total]],-2)</f>
        <v>196700</v>
      </c>
      <c r="CH221" s="12">
        <f>ROUND(Sales[[#This Row],[Mdl Land Intercept]]+Sales[[#This Row],[Mdl LnAcres]],-2)</f>
        <v>29800</v>
      </c>
      <c r="CI221" s="12">
        <f>Sales[[#This Row],[Unadj Res Value]]+Sales[[#This Row],[Unadj Det Value]]+Sales[[#This Row],[Unadj Land Value]]</f>
        <v>232700</v>
      </c>
      <c r="CJ221" s="13">
        <f>Sales[[#This Row],[Unadj Total Value]]/Sales[[#This Row],[Price]]</f>
        <v>0.91254901960784318</v>
      </c>
      <c r="CK221" s="13">
        <f>(Sales[[#This Row],[Unadj Total Value]]-Sales[[#This Row],[24Final]])/Sales[[#This Row],[24Final]]</f>
        <v>-0.13878608438193932</v>
      </c>
      <c r="CL221">
        <f>VLOOKUP(Sales[[#This Row],[TNbhd]],Lookups!$Q$2:$T$4,4,FALSE)</f>
        <v>0.99970000000000003</v>
      </c>
      <c r="CM221">
        <f>VLOOKUP(Sales[[#This Row],[Qlty]],Lookups!$O$7:$R$21,4,FALSE)</f>
        <v>1.0067999999999999</v>
      </c>
      <c r="CN221">
        <f>VLOOKUP(Sales[[#This Row],[Cnd]],Lookups!$T$7:$W$16,4,FALSE)</f>
        <v>0.99729999999999996</v>
      </c>
      <c r="CO221">
        <f>VLOOKUP(Sales[[#This Row],[LivArea Range]],Lookups!$T$25:$W$37,4,FALSE)</f>
        <v>1.0157</v>
      </c>
      <c r="CP221">
        <f>VLOOKUP(Sales[[#This Row],[Decade]],Lookups!$O$25:$R$42,4,FALSE)</f>
        <v>1.0074000000000001</v>
      </c>
      <c r="CQ221">
        <f>Sales[[#This Row],[Nbhd Adj]]*0.95</f>
        <v>0.94971499999999998</v>
      </c>
      <c r="CR221">
        <f>Sales[[#This Row],[Nbhd Adj]]*Sales[[#This Row],[Quality Adj]]*Sales[[#This Row],[Condition Adj]]*Sales[[#This Row],[Living Area Adj]]*Sales[[#This Row],[Decade Adj]]*0.95</f>
        <v>0.97573014419916293</v>
      </c>
      <c r="CS221">
        <f>ROUND(SUM(Sales[[#This Row],[Mdl Qlty]:[Mdl WdDeck]])+Sales[[#This Row],[Mdl Res Intercept]]*Sales[[#This Row],[Res Adj ]],-2)</f>
        <v>257100</v>
      </c>
      <c r="CT221">
        <f>ROUND(Sales[[#This Row],[25Det]]*Sales[[#This Row],[Det/Nbhd Adj]],-2)</f>
        <v>5800</v>
      </c>
      <c r="CU221">
        <f>Sales[[#This Row],[Adjusted Res]]+Sales[[#This Row],[Adj Det ]]</f>
        <v>262900</v>
      </c>
      <c r="CV221">
        <f>ROUND((Sales[[#This Row],[Mdl Land Intercept]]+Sales[[#This Row],[Mdl LnAcres]])*Sales[[#This Row],[Det/Nbhd Adj]],-2)</f>
        <v>28300</v>
      </c>
      <c r="CW221">
        <f>Sales[[#This Row],[Adjusted Impr Total]]+Sales[[#This Row],[Adjusted Land Total]]</f>
        <v>291200</v>
      </c>
      <c r="CX221" s="15">
        <f>IFERROR((Sales[[#This Row],[Adjusted Impr Total]]-Sales[[#This Row],[24Bldg]])/Sales[[#This Row],[24Bldg]],0)</f>
        <v>0.18530207394048692</v>
      </c>
      <c r="CY221" s="15">
        <f>(Sales[[#This Row],[Adjusted Land Total]]-Sales[[#This Row],[24Lnd]])/Sales[[#This Row],[24Lnd]]</f>
        <v>-0.41528925619834711</v>
      </c>
      <c r="CZ221" s="15">
        <f>(Sales[[#This Row],[Adjusted Total]]-Sales[[#This Row],[24Final]])/Sales[[#This Row],[24Final]]</f>
        <v>7.7720207253886009E-2</v>
      </c>
      <c r="DA221" s="15">
        <f>(Sales[[#This Row],[Adjusted Total]]+Sales[[#This Row],[Days Prior Total]])/Sales[[#This Row],[Price]]</f>
        <v>0.90532674181933326</v>
      </c>
    </row>
    <row r="222" spans="1:105" x14ac:dyDescent="0.3">
      <c r="A222">
        <v>2025</v>
      </c>
      <c r="B222">
        <v>18132332486</v>
      </c>
      <c r="C222">
        <v>-1.7719568419318752</v>
      </c>
      <c r="D222">
        <v>0.17</v>
      </c>
      <c r="E222">
        <v>0</v>
      </c>
      <c r="F222">
        <v>6</v>
      </c>
      <c r="G222" t="s">
        <v>126</v>
      </c>
      <c r="H222">
        <v>3032</v>
      </c>
      <c r="I222" t="s">
        <v>349</v>
      </c>
      <c r="J222" t="s">
        <v>30</v>
      </c>
      <c r="K222">
        <v>11</v>
      </c>
      <c r="L222">
        <v>259</v>
      </c>
      <c r="M222" t="s">
        <v>173</v>
      </c>
      <c r="N222" t="s">
        <v>302</v>
      </c>
      <c r="O222" t="s">
        <v>323</v>
      </c>
      <c r="P222">
        <v>100</v>
      </c>
      <c r="Q222">
        <v>1930</v>
      </c>
      <c r="R222">
        <v>1970</v>
      </c>
      <c r="S222">
        <v>94</v>
      </c>
      <c r="T222">
        <v>54</v>
      </c>
      <c r="U222">
        <v>2</v>
      </c>
      <c r="V222">
        <v>928</v>
      </c>
      <c r="W222">
        <v>468</v>
      </c>
      <c r="X222">
        <v>0</v>
      </c>
      <c r="Y222">
        <v>928</v>
      </c>
      <c r="Z222">
        <v>0</v>
      </c>
      <c r="AA222">
        <v>928</v>
      </c>
      <c r="AB222">
        <v>2324</v>
      </c>
      <c r="AC222">
        <v>2500</v>
      </c>
      <c r="AD222">
        <v>0</v>
      </c>
      <c r="AF222" t="s">
        <v>383</v>
      </c>
      <c r="AG222" t="s">
        <v>175</v>
      </c>
      <c r="AH222" t="s">
        <v>450</v>
      </c>
      <c r="AI222">
        <v>0</v>
      </c>
      <c r="AJ222">
        <v>2</v>
      </c>
      <c r="AK222">
        <v>0</v>
      </c>
      <c r="AL222">
        <v>1</v>
      </c>
      <c r="AM222">
        <v>1</v>
      </c>
      <c r="AN222">
        <v>10</v>
      </c>
      <c r="AO222">
        <v>0</v>
      </c>
      <c r="AP222">
        <v>0</v>
      </c>
      <c r="AQ222">
        <v>0</v>
      </c>
      <c r="AR222">
        <v>0</v>
      </c>
      <c r="AS222">
        <v>147</v>
      </c>
      <c r="AT222">
        <v>147</v>
      </c>
      <c r="AU222">
        <v>100</v>
      </c>
      <c r="AV222">
        <v>100</v>
      </c>
      <c r="AW222">
        <v>332463</v>
      </c>
      <c r="AX222">
        <v>222750</v>
      </c>
      <c r="AY222">
        <v>850</v>
      </c>
      <c r="AZ222">
        <v>365</v>
      </c>
      <c r="BA222">
        <v>365</v>
      </c>
      <c r="BB222">
        <v>120</v>
      </c>
      <c r="BC222" s="3">
        <v>44442</v>
      </c>
      <c r="BD222" t="s">
        <v>108</v>
      </c>
      <c r="BE222">
        <v>340000</v>
      </c>
      <c r="BF222">
        <v>332693</v>
      </c>
      <c r="BG222" t="s">
        <v>294</v>
      </c>
      <c r="BH222">
        <v>30</v>
      </c>
      <c r="BI222" t="s">
        <v>65</v>
      </c>
      <c r="BJ222" t="s">
        <v>450</v>
      </c>
      <c r="BK222">
        <v>350600</v>
      </c>
      <c r="BL222">
        <v>52700</v>
      </c>
      <c r="BM222">
        <v>297900</v>
      </c>
      <c r="BN222">
        <v>7307</v>
      </c>
      <c r="BO222">
        <v>1.0311764705882354</v>
      </c>
      <c r="BP222">
        <v>306112.36831957183</v>
      </c>
      <c r="BQ222">
        <v>343721.3579579877</v>
      </c>
      <c r="BR222" s="12">
        <f>(Sales[[#This Row],[DP1]]*Lookups!$B$59)+(Sales[[#This Row],[DP2]]*Lookups!$B$60)+(Sales[[#This Row],[DP3]]*Lookups!$B$61)</f>
        <v>-37608.989643070003</v>
      </c>
      <c r="BS222" s="12">
        <f>Lookups!$B$56*0</f>
        <v>0</v>
      </c>
      <c r="BT222" s="12">
        <f>Lookups!$B$56*1</f>
        <v>89850.625589999996</v>
      </c>
      <c r="BU222" s="12">
        <f>Lookups!$B$57*Sales[[#This Row],[LnAcres]]</f>
        <v>-56090.612940989391</v>
      </c>
      <c r="BV222" s="12">
        <f>VLOOKUP(Sales[[#This Row],[Qlty]],Lookups!$A$62:$E$75,2,FALSE)</f>
        <v>29814.093161000001</v>
      </c>
      <c r="BW222" s="12">
        <f>VLOOKUP(Sales[[#This Row],[Cnd]],Lookups!$A$76:$E$84,2,FALSE)</f>
        <v>160472.20319</v>
      </c>
      <c r="BX222" s="12">
        <f>Sales[[#This Row],[EffAge]]*Lookups!$B$85</f>
        <v>-12044.462427</v>
      </c>
      <c r="BY222" s="12">
        <f>Sales[[#This Row],[MainFn]]*Lookups!$B$86</f>
        <v>45851.245645856005</v>
      </c>
      <c r="BZ222" s="12">
        <f>Sales[[#This Row],[UpprFn]]*Lookups!$B$87</f>
        <v>20960.045898947999</v>
      </c>
      <c r="CA222" s="12">
        <f>Sales[[#This Row],[AddFn]]*Lookups!$B$88</f>
        <v>0</v>
      </c>
      <c r="CB222" s="12">
        <f>Sales[[#This Row],[Bsmt]]*Lookups!$B$89</f>
        <v>26987.998789215999</v>
      </c>
      <c r="CC222" s="12">
        <f>Sales[[#This Row],[Fixtures]]*Lookups!$B$90</f>
        <v>37920.221052000001</v>
      </c>
      <c r="CD222" s="12">
        <f>Sales[[#This Row],[WdDeck]]*Lookups!$B$91</f>
        <v>0</v>
      </c>
      <c r="CE222" s="12">
        <f>SUM(Sales[[#This Row],[Days Prior Total]:[Mdl WdDeck]])</f>
        <v>306112.36831596063</v>
      </c>
      <c r="CF222" s="12">
        <f>ROUND(Sales[[#This Row],[25Det]],-2)</f>
        <v>7300</v>
      </c>
      <c r="CG222" s="12">
        <f>ROUND(SUM(Sales[[#This Row],[Mdl Qlty]:[Mdl WdDeck]])+Sales[[#This Row],[Mdl Res Intercept]]+Sales[[#This Row],[Days Prior Total]],-2)</f>
        <v>272400</v>
      </c>
      <c r="CH222" s="12">
        <f>ROUND(Sales[[#This Row],[Mdl Land Intercept]]+Sales[[#This Row],[Mdl LnAcres]],-2)</f>
        <v>33800</v>
      </c>
      <c r="CI222" s="12">
        <f>Sales[[#This Row],[Unadj Res Value]]+Sales[[#This Row],[Unadj Det Value]]+Sales[[#This Row],[Unadj Land Value]]</f>
        <v>313500</v>
      </c>
      <c r="CJ222" s="13">
        <f>Sales[[#This Row],[Unadj Total Value]]/Sales[[#This Row],[Price]]</f>
        <v>0.92205882352941182</v>
      </c>
      <c r="CK222" s="13">
        <f>(Sales[[#This Row],[Unadj Total Value]]-Sales[[#This Row],[24Final]])/Sales[[#This Row],[24Final]]</f>
        <v>-0.1058185966913862</v>
      </c>
      <c r="CL222">
        <f>VLOOKUP(Sales[[#This Row],[TNbhd]],Lookups!$Q$2:$T$4,4,FALSE)</f>
        <v>0.99970000000000003</v>
      </c>
      <c r="CM222">
        <f>VLOOKUP(Sales[[#This Row],[Qlty]],Lookups!$O$7:$R$21,4,FALSE)</f>
        <v>1.0088999999999999</v>
      </c>
      <c r="CN222">
        <f>VLOOKUP(Sales[[#This Row],[Cnd]],Lookups!$T$7:$W$16,4,FALSE)</f>
        <v>0.99729999999999996</v>
      </c>
      <c r="CO222">
        <f>VLOOKUP(Sales[[#This Row],[LivArea Range]],Lookups!$T$25:$W$37,4,FALSE)</f>
        <v>0.98919999999999997</v>
      </c>
      <c r="CP222">
        <f>VLOOKUP(Sales[[#This Row],[Decade]],Lookups!$O$25:$R$42,4,FALSE)</f>
        <v>1.0074000000000001</v>
      </c>
      <c r="CQ222">
        <f>Sales[[#This Row],[Nbhd Adj]]*0.95</f>
        <v>0.94971499999999998</v>
      </c>
      <c r="CR222">
        <f>Sales[[#This Row],[Nbhd Adj]]*Sales[[#This Row],[Quality Adj]]*Sales[[#This Row],[Condition Adj]]*Sales[[#This Row],[Living Area Adj]]*Sales[[#This Row],[Decade Adj]]*0.95</f>
        <v>0.95225506796349002</v>
      </c>
      <c r="CS222">
        <f>ROUND(SUM(Sales[[#This Row],[Mdl Qlty]:[Mdl WdDeck]])+Sales[[#This Row],[Mdl Res Intercept]]*Sales[[#This Row],[Res Adj ]],-2)</f>
        <v>310000</v>
      </c>
      <c r="CT222">
        <f>ROUND(Sales[[#This Row],[25Det]]*Sales[[#This Row],[Det/Nbhd Adj]],-2)</f>
        <v>6900</v>
      </c>
      <c r="CU222">
        <f>Sales[[#This Row],[Adjusted Res]]+Sales[[#This Row],[Adj Det ]]</f>
        <v>316900</v>
      </c>
      <c r="CV222">
        <f>ROUND((Sales[[#This Row],[Mdl Land Intercept]]+Sales[[#This Row],[Mdl LnAcres]])*Sales[[#This Row],[Det/Nbhd Adj]],-2)</f>
        <v>32100</v>
      </c>
      <c r="CW222">
        <f>Sales[[#This Row],[Adjusted Impr Total]]+Sales[[#This Row],[Adjusted Land Total]]</f>
        <v>349000</v>
      </c>
      <c r="CX222" s="15">
        <f>IFERROR((Sales[[#This Row],[Adjusted Impr Total]]-Sales[[#This Row],[24Bldg]])/Sales[[#This Row],[24Bldg]],0)</f>
        <v>6.3779791876468608E-2</v>
      </c>
      <c r="CY222" s="15">
        <f>(Sales[[#This Row],[Adjusted Land Total]]-Sales[[#This Row],[24Lnd]])/Sales[[#This Row],[24Lnd]]</f>
        <v>-0.39089184060721061</v>
      </c>
      <c r="CZ222" s="15">
        <f>(Sales[[#This Row],[Adjusted Total]]-Sales[[#This Row],[24Final]])/Sales[[#This Row],[24Final]]</f>
        <v>-4.5636052481460351E-3</v>
      </c>
      <c r="DA222" s="15">
        <f>(Sales[[#This Row],[Adjusted Total]]+Sales[[#This Row],[Days Prior Total]])/Sales[[#This Row],[Price]]</f>
        <v>0.91585591281449996</v>
      </c>
    </row>
    <row r="223" spans="1:105" x14ac:dyDescent="0.3">
      <c r="A223">
        <v>2025</v>
      </c>
      <c r="B223">
        <v>18132214402</v>
      </c>
      <c r="C223">
        <v>-1.6094379124341003</v>
      </c>
      <c r="D223">
        <v>0.2</v>
      </c>
      <c r="E223">
        <v>8773</v>
      </c>
      <c r="F223">
        <v>6</v>
      </c>
      <c r="G223" t="s">
        <v>126</v>
      </c>
      <c r="H223">
        <v>3033</v>
      </c>
      <c r="I223" t="s">
        <v>349</v>
      </c>
      <c r="J223" t="s">
        <v>30</v>
      </c>
      <c r="K223">
        <v>11</v>
      </c>
      <c r="L223">
        <v>259</v>
      </c>
      <c r="M223" t="s">
        <v>242</v>
      </c>
      <c r="N223" t="s">
        <v>205</v>
      </c>
      <c r="O223" t="s">
        <v>323</v>
      </c>
      <c r="P223">
        <v>100</v>
      </c>
      <c r="Q223">
        <v>1930</v>
      </c>
      <c r="R223">
        <v>1970</v>
      </c>
      <c r="S223">
        <v>94</v>
      </c>
      <c r="T223">
        <v>54</v>
      </c>
      <c r="U223">
        <v>1</v>
      </c>
      <c r="V223">
        <v>1284</v>
      </c>
      <c r="W223">
        <v>0</v>
      </c>
      <c r="X223">
        <v>0</v>
      </c>
      <c r="Y223">
        <v>642</v>
      </c>
      <c r="Z223">
        <v>642</v>
      </c>
      <c r="AA223">
        <v>0</v>
      </c>
      <c r="AB223">
        <v>1284</v>
      </c>
      <c r="AC223">
        <v>1500</v>
      </c>
      <c r="AD223">
        <v>0</v>
      </c>
      <c r="AF223" t="s">
        <v>383</v>
      </c>
      <c r="AG223" t="s">
        <v>148</v>
      </c>
      <c r="AH223" t="s">
        <v>65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6</v>
      </c>
      <c r="AO223">
        <v>0</v>
      </c>
      <c r="AP223">
        <v>0</v>
      </c>
      <c r="AQ223">
        <v>0</v>
      </c>
      <c r="AR223">
        <v>0</v>
      </c>
      <c r="AS223">
        <v>264</v>
      </c>
      <c r="AT223">
        <v>264</v>
      </c>
      <c r="AU223">
        <v>100</v>
      </c>
      <c r="AV223">
        <v>100</v>
      </c>
      <c r="AW223">
        <v>196837</v>
      </c>
      <c r="AX223">
        <v>131881</v>
      </c>
      <c r="AY223">
        <v>627</v>
      </c>
      <c r="AZ223">
        <v>365</v>
      </c>
      <c r="BA223">
        <v>262</v>
      </c>
      <c r="BB223">
        <v>0</v>
      </c>
      <c r="BC223" s="3">
        <v>44665</v>
      </c>
      <c r="BD223" t="s">
        <v>179</v>
      </c>
      <c r="BE223">
        <v>291000</v>
      </c>
      <c r="BF223">
        <v>291000</v>
      </c>
      <c r="BG223" t="s">
        <v>294</v>
      </c>
      <c r="BH223">
        <v>30</v>
      </c>
      <c r="BI223" t="s">
        <v>65</v>
      </c>
      <c r="BJ223" t="s">
        <v>450</v>
      </c>
      <c r="BK223">
        <v>280200</v>
      </c>
      <c r="BL223">
        <v>58400</v>
      </c>
      <c r="BM223">
        <v>221800</v>
      </c>
      <c r="BN223">
        <v>0</v>
      </c>
      <c r="BO223">
        <v>0.96288659793814435</v>
      </c>
      <c r="BP223">
        <v>269450.51840283402</v>
      </c>
      <c r="BQ223">
        <v>292195.66917645134</v>
      </c>
      <c r="BR223" s="12">
        <f>(Sales[[#This Row],[DP1]]*Lookups!$B$59)+(Sales[[#This Row],[DP2]]*Lookups!$B$60)+(Sales[[#This Row],[DP3]]*Lookups!$B$61)</f>
        <v>-22745.150775226</v>
      </c>
      <c r="BS223" s="12">
        <f>Lookups!$B$56*0</f>
        <v>0</v>
      </c>
      <c r="BT223" s="12">
        <f>Lookups!$B$56*1</f>
        <v>89850.625589999996</v>
      </c>
      <c r="BU223" s="12">
        <f>Lookups!$B$57*Sales[[#This Row],[LnAcres]]</f>
        <v>-50946.13867709865</v>
      </c>
      <c r="BV223" s="12">
        <f>VLOOKUP(Sales[[#This Row],[Qlty]],Lookups!$A$62:$E$75,2,FALSE)</f>
        <v>0</v>
      </c>
      <c r="BW223" s="12">
        <f>VLOOKUP(Sales[[#This Row],[Cnd]],Lookups!$A$76:$E$84,2,FALSE)</f>
        <v>160472.20319</v>
      </c>
      <c r="BX223" s="12">
        <f>Sales[[#This Row],[EffAge]]*Lookups!$B$85</f>
        <v>-12044.462427</v>
      </c>
      <c r="BY223" s="12">
        <f>Sales[[#This Row],[MainFn]]*Lookups!$B$86</f>
        <v>63440.732122068002</v>
      </c>
      <c r="BZ223" s="12">
        <f>Sales[[#This Row],[UpprFn]]*Lookups!$B$87</f>
        <v>0</v>
      </c>
      <c r="CA223" s="12">
        <f>Sales[[#This Row],[AddFn]]*Lookups!$B$88</f>
        <v>0</v>
      </c>
      <c r="CB223" s="12">
        <f>Sales[[#This Row],[Bsmt]]*Lookups!$B$89</f>
        <v>18670.576748574</v>
      </c>
      <c r="CC223" s="12">
        <f>Sales[[#This Row],[Fixtures]]*Lookups!$B$90</f>
        <v>22752.132631200002</v>
      </c>
      <c r="CD223" s="12">
        <f>Sales[[#This Row],[WdDeck]]*Lookups!$B$91</f>
        <v>0</v>
      </c>
      <c r="CE223" s="12">
        <f>SUM(Sales[[#This Row],[Days Prior Total]:[Mdl WdDeck]])</f>
        <v>269450.51840251737</v>
      </c>
      <c r="CF223" s="12">
        <f>ROUND(Sales[[#This Row],[25Det]],-2)</f>
        <v>0</v>
      </c>
      <c r="CG223" s="12">
        <f>ROUND(SUM(Sales[[#This Row],[Mdl Qlty]:[Mdl WdDeck]])+Sales[[#This Row],[Mdl Res Intercept]]+Sales[[#This Row],[Days Prior Total]],-2)</f>
        <v>230500</v>
      </c>
      <c r="CH223" s="12">
        <f>ROUND(Sales[[#This Row],[Mdl Land Intercept]]+Sales[[#This Row],[Mdl LnAcres]],-2)</f>
        <v>38900</v>
      </c>
      <c r="CI223" s="12">
        <f>Sales[[#This Row],[Unadj Res Value]]+Sales[[#This Row],[Unadj Det Value]]+Sales[[#This Row],[Unadj Land Value]]</f>
        <v>269400</v>
      </c>
      <c r="CJ223" s="13">
        <f>Sales[[#This Row],[Unadj Total Value]]/Sales[[#This Row],[Price]]</f>
        <v>0.9257731958762887</v>
      </c>
      <c r="CK223" s="13">
        <f>(Sales[[#This Row],[Unadj Total Value]]-Sales[[#This Row],[24Final]])/Sales[[#This Row],[24Final]]</f>
        <v>-3.8543897216274089E-2</v>
      </c>
      <c r="CL223">
        <f>VLOOKUP(Sales[[#This Row],[TNbhd]],Lookups!$Q$2:$T$4,4,FALSE)</f>
        <v>0.99970000000000003</v>
      </c>
      <c r="CM223">
        <f>VLOOKUP(Sales[[#This Row],[Qlty]],Lookups!$O$7:$R$21,4,FALSE)</f>
        <v>0.99180000000000001</v>
      </c>
      <c r="CN223">
        <f>VLOOKUP(Sales[[#This Row],[Cnd]],Lookups!$T$7:$W$16,4,FALSE)</f>
        <v>0.99729999999999996</v>
      </c>
      <c r="CO223">
        <f>VLOOKUP(Sales[[#This Row],[LivArea Range]],Lookups!$T$25:$W$37,4,FALSE)</f>
        <v>1.0157</v>
      </c>
      <c r="CP223">
        <f>VLOOKUP(Sales[[#This Row],[Decade]],Lookups!$O$25:$R$42,4,FALSE)</f>
        <v>1.0074000000000001</v>
      </c>
      <c r="CQ223">
        <f>Sales[[#This Row],[Nbhd Adj]]*0.95</f>
        <v>0.94971499999999998</v>
      </c>
      <c r="CR223">
        <f>Sales[[#This Row],[Nbhd Adj]]*Sales[[#This Row],[Quality Adj]]*Sales[[#This Row],[Condition Adj]]*Sales[[#This Row],[Living Area Adj]]*Sales[[#This Row],[Decade Adj]]*0.95</f>
        <v>0.96119304431538555</v>
      </c>
      <c r="CS223">
        <f>ROUND(SUM(Sales[[#This Row],[Mdl Qlty]:[Mdl WdDeck]])+Sales[[#This Row],[Mdl Res Intercept]]*Sales[[#This Row],[Res Adj ]],-2)</f>
        <v>253300</v>
      </c>
      <c r="CT223">
        <f>ROUND(Sales[[#This Row],[25Det]]*Sales[[#This Row],[Det/Nbhd Adj]],-2)</f>
        <v>0</v>
      </c>
      <c r="CU223">
        <f>Sales[[#This Row],[Adjusted Res]]+Sales[[#This Row],[Adj Det ]]</f>
        <v>253300</v>
      </c>
      <c r="CV223">
        <f>ROUND((Sales[[#This Row],[Mdl Land Intercept]]+Sales[[#This Row],[Mdl LnAcres]])*Sales[[#This Row],[Det/Nbhd Adj]],-2)</f>
        <v>36900</v>
      </c>
      <c r="CW223">
        <f>Sales[[#This Row],[Adjusted Impr Total]]+Sales[[#This Row],[Adjusted Land Total]]</f>
        <v>290200</v>
      </c>
      <c r="CX223" s="15">
        <f>IFERROR((Sales[[#This Row],[Adjusted Impr Total]]-Sales[[#This Row],[24Bldg]])/Sales[[#This Row],[24Bldg]],0)</f>
        <v>0.14201983769161405</v>
      </c>
      <c r="CY223" s="15">
        <f>(Sales[[#This Row],[Adjusted Land Total]]-Sales[[#This Row],[24Lnd]])/Sales[[#This Row],[24Lnd]]</f>
        <v>-0.36815068493150682</v>
      </c>
      <c r="CZ223" s="15">
        <f>(Sales[[#This Row],[Adjusted Total]]-Sales[[#This Row],[24Final]])/Sales[[#This Row],[24Final]]</f>
        <v>3.5688793718772309E-2</v>
      </c>
      <c r="DA223" s="15">
        <f>(Sales[[#This Row],[Adjusted Total]]+Sales[[#This Row],[Days Prior Total]])/Sales[[#This Row],[Price]]</f>
        <v>0.91908882895111332</v>
      </c>
    </row>
    <row r="224" spans="1:105" x14ac:dyDescent="0.3">
      <c r="A224">
        <v>2025</v>
      </c>
      <c r="B224">
        <v>18132324468</v>
      </c>
      <c r="C224">
        <v>-1.8325814637483102</v>
      </c>
      <c r="D224">
        <v>0.16</v>
      </c>
      <c r="E224">
        <v>0</v>
      </c>
      <c r="F224">
        <v>6</v>
      </c>
      <c r="G224" t="s">
        <v>126</v>
      </c>
      <c r="H224">
        <v>3033</v>
      </c>
      <c r="I224" t="s">
        <v>349</v>
      </c>
      <c r="J224" t="s">
        <v>30</v>
      </c>
      <c r="K224">
        <v>11</v>
      </c>
      <c r="L224">
        <v>259</v>
      </c>
      <c r="M224" t="s">
        <v>269</v>
      </c>
      <c r="N224" t="s">
        <v>302</v>
      </c>
      <c r="O224" t="s">
        <v>303</v>
      </c>
      <c r="P224">
        <v>100</v>
      </c>
      <c r="Q224">
        <v>1930</v>
      </c>
      <c r="R224">
        <v>1970</v>
      </c>
      <c r="S224">
        <v>94</v>
      </c>
      <c r="T224">
        <v>54</v>
      </c>
      <c r="U224">
        <v>1</v>
      </c>
      <c r="V224">
        <v>1288</v>
      </c>
      <c r="W224">
        <v>0</v>
      </c>
      <c r="X224">
        <v>0</v>
      </c>
      <c r="Y224">
        <v>676</v>
      </c>
      <c r="Z224">
        <v>0</v>
      </c>
      <c r="AA224">
        <v>676</v>
      </c>
      <c r="AB224">
        <v>1964</v>
      </c>
      <c r="AC224">
        <v>2000</v>
      </c>
      <c r="AD224">
        <v>0</v>
      </c>
      <c r="AF224" t="s">
        <v>383</v>
      </c>
      <c r="AG224" t="s">
        <v>148</v>
      </c>
      <c r="AH224" t="s">
        <v>450</v>
      </c>
      <c r="AI224">
        <v>0</v>
      </c>
      <c r="AJ224">
        <v>1</v>
      </c>
      <c r="AK224">
        <v>0</v>
      </c>
      <c r="AL224">
        <v>0</v>
      </c>
      <c r="AM224">
        <v>0</v>
      </c>
      <c r="AN224">
        <v>6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100</v>
      </c>
      <c r="AV224">
        <v>100</v>
      </c>
      <c r="AW224">
        <v>273678</v>
      </c>
      <c r="AX224">
        <v>205259</v>
      </c>
      <c r="AY224">
        <v>1049</v>
      </c>
      <c r="AZ224">
        <v>365</v>
      </c>
      <c r="BA224">
        <v>365</v>
      </c>
      <c r="BB224">
        <v>319</v>
      </c>
      <c r="BC224" s="3">
        <v>44243</v>
      </c>
      <c r="BD224" t="s">
        <v>225</v>
      </c>
      <c r="BE224">
        <v>315000</v>
      </c>
      <c r="BF224">
        <v>311494</v>
      </c>
      <c r="BG224" t="s">
        <v>294</v>
      </c>
      <c r="BH224">
        <v>30</v>
      </c>
      <c r="BI224" t="s">
        <v>65</v>
      </c>
      <c r="BJ224" t="s">
        <v>450</v>
      </c>
      <c r="BK224">
        <v>329600</v>
      </c>
      <c r="BL224">
        <v>50600</v>
      </c>
      <c r="BM224">
        <v>279000</v>
      </c>
      <c r="BN224">
        <v>3506</v>
      </c>
      <c r="BO224">
        <v>1.0463492063492064</v>
      </c>
      <c r="BP224">
        <v>289193.19160505937</v>
      </c>
      <c r="BQ224">
        <v>353412.80210556852</v>
      </c>
      <c r="BR224" s="12">
        <f>(Sales[[#This Row],[DP1]]*Lookups!$B$59)+(Sales[[#This Row],[DP2]]*Lookups!$B$60)+(Sales[[#This Row],[DP3]]*Lookups!$B$61)</f>
        <v>-64219.610510170001</v>
      </c>
      <c r="BS224" s="12">
        <f>Lookups!$B$56*0</f>
        <v>0</v>
      </c>
      <c r="BT224" s="12">
        <f>Lookups!$B$56*1</f>
        <v>89850.625589999996</v>
      </c>
      <c r="BU224" s="12">
        <f>Lookups!$B$57*Sales[[#This Row],[LnAcres]]</f>
        <v>-58009.662049032086</v>
      </c>
      <c r="BV224" s="12">
        <f>VLOOKUP(Sales[[#This Row],[Qlty]],Lookups!$A$62:$E$75,2,FALSE)</f>
        <v>29814.093161000001</v>
      </c>
      <c r="BW224" s="12">
        <f>VLOOKUP(Sales[[#This Row],[Cnd]],Lookups!$A$76:$E$84,2,FALSE)</f>
        <v>197752.34721000001</v>
      </c>
      <c r="BX224" s="12">
        <f>Sales[[#This Row],[EffAge]]*Lookups!$B$85</f>
        <v>-12044.462427</v>
      </c>
      <c r="BY224" s="12">
        <f>Sales[[#This Row],[MainFn]]*Lookups!$B$86</f>
        <v>63638.366801576005</v>
      </c>
      <c r="BZ224" s="12">
        <f>Sales[[#This Row],[UpprFn]]*Lookups!$B$87</f>
        <v>0</v>
      </c>
      <c r="CA224" s="12">
        <f>Sales[[#This Row],[AddFn]]*Lookups!$B$88</f>
        <v>0</v>
      </c>
      <c r="CB224" s="12">
        <f>Sales[[#This Row],[Bsmt]]*Lookups!$B$89</f>
        <v>19659.361186972001</v>
      </c>
      <c r="CC224" s="12">
        <f>Sales[[#This Row],[Fixtures]]*Lookups!$B$90</f>
        <v>22752.132631200002</v>
      </c>
      <c r="CD224" s="12">
        <f>Sales[[#This Row],[WdDeck]]*Lookups!$B$91</f>
        <v>0</v>
      </c>
      <c r="CE224" s="12">
        <f>SUM(Sales[[#This Row],[Days Prior Total]:[Mdl WdDeck]])</f>
        <v>289193.19159454596</v>
      </c>
      <c r="CF224" s="12">
        <f>ROUND(Sales[[#This Row],[25Det]],-2)</f>
        <v>3500</v>
      </c>
      <c r="CG224" s="12">
        <f>ROUND(SUM(Sales[[#This Row],[Mdl Qlty]:[Mdl WdDeck]])+Sales[[#This Row],[Mdl Res Intercept]]+Sales[[#This Row],[Days Prior Total]],-2)</f>
        <v>257400</v>
      </c>
      <c r="CH224" s="12">
        <f>ROUND(Sales[[#This Row],[Mdl Land Intercept]]+Sales[[#This Row],[Mdl LnAcres]],-2)</f>
        <v>31800</v>
      </c>
      <c r="CI224" s="12">
        <f>Sales[[#This Row],[Unadj Res Value]]+Sales[[#This Row],[Unadj Det Value]]+Sales[[#This Row],[Unadj Land Value]]</f>
        <v>292700</v>
      </c>
      <c r="CJ224" s="13">
        <f>Sales[[#This Row],[Unadj Total Value]]/Sales[[#This Row],[Price]]</f>
        <v>0.92920634920634926</v>
      </c>
      <c r="CK224" s="13">
        <f>(Sales[[#This Row],[Unadj Total Value]]-Sales[[#This Row],[24Final]])/Sales[[#This Row],[24Final]]</f>
        <v>-0.11195388349514564</v>
      </c>
      <c r="CL224">
        <f>VLOOKUP(Sales[[#This Row],[TNbhd]],Lookups!$Q$2:$T$4,4,FALSE)</f>
        <v>0.99970000000000003</v>
      </c>
      <c r="CM224">
        <f>VLOOKUP(Sales[[#This Row],[Qlty]],Lookups!$O$7:$R$21,4,FALSE)</f>
        <v>1.0088999999999999</v>
      </c>
      <c r="CN224">
        <f>VLOOKUP(Sales[[#This Row],[Cnd]],Lookups!$T$7:$W$16,4,FALSE)</f>
        <v>0.99650000000000005</v>
      </c>
      <c r="CO224">
        <f>VLOOKUP(Sales[[#This Row],[LivArea Range]],Lookups!$T$25:$W$37,4,FALSE)</f>
        <v>1.0093000000000001</v>
      </c>
      <c r="CP224">
        <f>VLOOKUP(Sales[[#This Row],[Decade]],Lookups!$O$25:$R$42,4,FALSE)</f>
        <v>1.0074000000000001</v>
      </c>
      <c r="CQ224">
        <f>Sales[[#This Row],[Nbhd Adj]]*0.95</f>
        <v>0.94971499999999998</v>
      </c>
      <c r="CR224">
        <f>Sales[[#This Row],[Nbhd Adj]]*Sales[[#This Row],[Quality Adj]]*Sales[[#This Row],[Condition Adj]]*Sales[[#This Row],[Living Area Adj]]*Sales[[#This Row],[Decade Adj]]*0.95</f>
        <v>0.97082497942099955</v>
      </c>
      <c r="CS224">
        <f>ROUND(SUM(Sales[[#This Row],[Mdl Qlty]:[Mdl WdDeck]])+Sales[[#This Row],[Mdl Res Intercept]]*Sales[[#This Row],[Res Adj ]],-2)</f>
        <v>321600</v>
      </c>
      <c r="CT224">
        <f>ROUND(Sales[[#This Row],[25Det]]*Sales[[#This Row],[Det/Nbhd Adj]],-2)</f>
        <v>3300</v>
      </c>
      <c r="CU224">
        <f>Sales[[#This Row],[Adjusted Res]]+Sales[[#This Row],[Adj Det ]]</f>
        <v>324900</v>
      </c>
      <c r="CV224">
        <f>ROUND((Sales[[#This Row],[Mdl Land Intercept]]+Sales[[#This Row],[Mdl LnAcres]])*Sales[[#This Row],[Det/Nbhd Adj]],-2)</f>
        <v>30200</v>
      </c>
      <c r="CW224">
        <f>Sales[[#This Row],[Adjusted Impr Total]]+Sales[[#This Row],[Adjusted Land Total]]</f>
        <v>355100</v>
      </c>
      <c r="CX224" s="15">
        <f>IFERROR((Sales[[#This Row],[Adjusted Impr Total]]-Sales[[#This Row],[24Bldg]])/Sales[[#This Row],[24Bldg]],0)</f>
        <v>0.16451612903225807</v>
      </c>
      <c r="CY224" s="15">
        <f>(Sales[[#This Row],[Adjusted Land Total]]-Sales[[#This Row],[24Lnd]])/Sales[[#This Row],[24Lnd]]</f>
        <v>-0.40316205533596838</v>
      </c>
      <c r="CZ224" s="15">
        <f>(Sales[[#This Row],[Adjusted Total]]-Sales[[#This Row],[24Final]])/Sales[[#This Row],[24Final]]</f>
        <v>7.7366504854368925E-2</v>
      </c>
      <c r="DA224" s="15">
        <f>(Sales[[#This Row],[Adjusted Total]]+Sales[[#This Row],[Days Prior Total]])/Sales[[#This Row],[Price]]</f>
        <v>0.92342980790422224</v>
      </c>
    </row>
    <row r="225" spans="1:105" x14ac:dyDescent="0.3">
      <c r="A225">
        <v>2025</v>
      </c>
      <c r="B225">
        <v>18132214412</v>
      </c>
      <c r="C225">
        <v>-1.6094379124341003</v>
      </c>
      <c r="D225">
        <v>0.2</v>
      </c>
      <c r="E225">
        <v>8580</v>
      </c>
      <c r="F225">
        <v>6</v>
      </c>
      <c r="G225" t="s">
        <v>126</v>
      </c>
      <c r="H225">
        <v>3033</v>
      </c>
      <c r="I225" t="s">
        <v>349</v>
      </c>
      <c r="J225" t="s">
        <v>30</v>
      </c>
      <c r="K225">
        <v>11</v>
      </c>
      <c r="L225">
        <v>259</v>
      </c>
      <c r="M225" t="s">
        <v>269</v>
      </c>
      <c r="N225" t="s">
        <v>302</v>
      </c>
      <c r="O225" t="s">
        <v>323</v>
      </c>
      <c r="P225">
        <v>100</v>
      </c>
      <c r="Q225">
        <v>1930</v>
      </c>
      <c r="R225">
        <v>1970</v>
      </c>
      <c r="S225">
        <v>94</v>
      </c>
      <c r="T225">
        <v>54</v>
      </c>
      <c r="U225">
        <v>1</v>
      </c>
      <c r="V225">
        <v>1460</v>
      </c>
      <c r="W225">
        <v>0</v>
      </c>
      <c r="X225">
        <v>0</v>
      </c>
      <c r="Y225">
        <v>966</v>
      </c>
      <c r="Z225">
        <v>0</v>
      </c>
      <c r="AA225">
        <v>966</v>
      </c>
      <c r="AB225">
        <v>2426</v>
      </c>
      <c r="AC225">
        <v>2500</v>
      </c>
      <c r="AD225">
        <v>0</v>
      </c>
      <c r="AF225" t="s">
        <v>383</v>
      </c>
      <c r="AG225" t="s">
        <v>148</v>
      </c>
      <c r="AH225" t="s">
        <v>450</v>
      </c>
      <c r="AI225">
        <v>0</v>
      </c>
      <c r="AJ225">
        <v>1</v>
      </c>
      <c r="AK225">
        <v>0</v>
      </c>
      <c r="AL225">
        <v>0</v>
      </c>
      <c r="AM225">
        <v>0</v>
      </c>
      <c r="AN225">
        <v>9</v>
      </c>
      <c r="AO225">
        <v>0</v>
      </c>
      <c r="AP225">
        <v>0</v>
      </c>
      <c r="AQ225">
        <v>0</v>
      </c>
      <c r="AR225">
        <v>0</v>
      </c>
      <c r="AS225">
        <v>336</v>
      </c>
      <c r="AT225">
        <v>0</v>
      </c>
      <c r="AU225">
        <v>100</v>
      </c>
      <c r="AV225">
        <v>100</v>
      </c>
      <c r="AW225">
        <v>319501</v>
      </c>
      <c r="AX225">
        <v>214066</v>
      </c>
      <c r="AY225">
        <v>956</v>
      </c>
      <c r="AZ225">
        <v>365</v>
      </c>
      <c r="BA225">
        <v>365</v>
      </c>
      <c r="BB225">
        <v>226</v>
      </c>
      <c r="BC225" s="3">
        <v>44336</v>
      </c>
      <c r="BD225" t="s">
        <v>191</v>
      </c>
      <c r="BE225">
        <v>325000</v>
      </c>
      <c r="BF225">
        <v>320286</v>
      </c>
      <c r="BG225" t="s">
        <v>294</v>
      </c>
      <c r="BH225">
        <v>30</v>
      </c>
      <c r="BI225" t="s">
        <v>65</v>
      </c>
      <c r="BJ225" t="s">
        <v>450</v>
      </c>
      <c r="BK225">
        <v>375700</v>
      </c>
      <c r="BL225">
        <v>58400</v>
      </c>
      <c r="BM225">
        <v>317300</v>
      </c>
      <c r="BN225">
        <v>4714</v>
      </c>
      <c r="BO225">
        <v>1.1559999999999999</v>
      </c>
      <c r="BP225">
        <v>299720.79740840633</v>
      </c>
      <c r="BQ225">
        <v>351504.28861155536</v>
      </c>
      <c r="BR225" s="12">
        <f>(Sales[[#This Row],[DP1]]*Lookups!$B$59)+(Sales[[#This Row],[DP2]]*Lookups!$B$60)+(Sales[[#This Row],[DP3]]*Lookups!$B$61)</f>
        <v>-51783.491210470005</v>
      </c>
      <c r="BS225" s="12">
        <f>Lookups!$B$56*0</f>
        <v>0</v>
      </c>
      <c r="BT225" s="12">
        <f>Lookups!$B$56*1</f>
        <v>89850.625589999996</v>
      </c>
      <c r="BU225" s="12">
        <f>Lookups!$B$57*Sales[[#This Row],[LnAcres]]</f>
        <v>-50946.13867709865</v>
      </c>
      <c r="BV225" s="12">
        <f>VLOOKUP(Sales[[#This Row],[Qlty]],Lookups!$A$62:$E$75,2,FALSE)</f>
        <v>29814.093161000001</v>
      </c>
      <c r="BW225" s="12">
        <f>VLOOKUP(Sales[[#This Row],[Cnd]],Lookups!$A$76:$E$84,2,FALSE)</f>
        <v>160472.20319</v>
      </c>
      <c r="BX225" s="12">
        <f>Sales[[#This Row],[EffAge]]*Lookups!$B$85</f>
        <v>-12044.462427</v>
      </c>
      <c r="BY225" s="12">
        <f>Sales[[#This Row],[MainFn]]*Lookups!$B$86</f>
        <v>72136.65802042</v>
      </c>
      <c r="BZ225" s="12">
        <f>Sales[[#This Row],[UpprFn]]*Lookups!$B$87</f>
        <v>0</v>
      </c>
      <c r="CA225" s="12">
        <f>Sales[[#This Row],[AddFn]]*Lookups!$B$88</f>
        <v>0</v>
      </c>
      <c r="CB225" s="12">
        <f>Sales[[#This Row],[Bsmt]]*Lookups!$B$89</f>
        <v>28093.110808601999</v>
      </c>
      <c r="CC225" s="12">
        <f>Sales[[#This Row],[Fixtures]]*Lookups!$B$90</f>
        <v>34128.198946800003</v>
      </c>
      <c r="CD225" s="12">
        <f>Sales[[#This Row],[WdDeck]]*Lookups!$B$91</f>
        <v>0</v>
      </c>
      <c r="CE225" s="12">
        <f>SUM(Sales[[#This Row],[Days Prior Total]:[Mdl WdDeck]])</f>
        <v>299720.79740225337</v>
      </c>
      <c r="CF225" s="12">
        <f>ROUND(Sales[[#This Row],[25Det]],-2)</f>
        <v>4700</v>
      </c>
      <c r="CG225" s="12">
        <f>ROUND(SUM(Sales[[#This Row],[Mdl Qlty]:[Mdl WdDeck]])+Sales[[#This Row],[Mdl Res Intercept]]+Sales[[#This Row],[Days Prior Total]],-2)</f>
        <v>260800</v>
      </c>
      <c r="CH225" s="12">
        <f>ROUND(Sales[[#This Row],[Mdl Land Intercept]]+Sales[[#This Row],[Mdl LnAcres]],-2)</f>
        <v>38900</v>
      </c>
      <c r="CI225" s="12">
        <f>Sales[[#This Row],[Unadj Res Value]]+Sales[[#This Row],[Unadj Det Value]]+Sales[[#This Row],[Unadj Land Value]]</f>
        <v>304400</v>
      </c>
      <c r="CJ225" s="13">
        <f>Sales[[#This Row],[Unadj Total Value]]/Sales[[#This Row],[Price]]</f>
        <v>0.93661538461538463</v>
      </c>
      <c r="CK225" s="13">
        <f>(Sales[[#This Row],[Unadj Total Value]]-Sales[[#This Row],[24Final]])/Sales[[#This Row],[24Final]]</f>
        <v>-0.18977907905243546</v>
      </c>
      <c r="CL225">
        <f>VLOOKUP(Sales[[#This Row],[TNbhd]],Lookups!$Q$2:$T$4,4,FALSE)</f>
        <v>0.99970000000000003</v>
      </c>
      <c r="CM225">
        <f>VLOOKUP(Sales[[#This Row],[Qlty]],Lookups!$O$7:$R$21,4,FALSE)</f>
        <v>1.0088999999999999</v>
      </c>
      <c r="CN225">
        <f>VLOOKUP(Sales[[#This Row],[Cnd]],Lookups!$T$7:$W$16,4,FALSE)</f>
        <v>0.99729999999999996</v>
      </c>
      <c r="CO225">
        <f>VLOOKUP(Sales[[#This Row],[LivArea Range]],Lookups!$T$25:$W$37,4,FALSE)</f>
        <v>0.98919999999999997</v>
      </c>
      <c r="CP225">
        <f>VLOOKUP(Sales[[#This Row],[Decade]],Lookups!$O$25:$R$42,4,FALSE)</f>
        <v>1.0074000000000001</v>
      </c>
      <c r="CQ225">
        <f>Sales[[#This Row],[Nbhd Adj]]*0.95</f>
        <v>0.94971499999999998</v>
      </c>
      <c r="CR225">
        <f>Sales[[#This Row],[Nbhd Adj]]*Sales[[#This Row],[Quality Adj]]*Sales[[#This Row],[Condition Adj]]*Sales[[#This Row],[Living Area Adj]]*Sales[[#This Row],[Decade Adj]]*0.95</f>
        <v>0.95225506796349002</v>
      </c>
      <c r="CS225">
        <f>ROUND(SUM(Sales[[#This Row],[Mdl Qlty]:[Mdl WdDeck]])+Sales[[#This Row],[Mdl Res Intercept]]*Sales[[#This Row],[Res Adj ]],-2)</f>
        <v>312600</v>
      </c>
      <c r="CT225">
        <f>ROUND(Sales[[#This Row],[25Det]]*Sales[[#This Row],[Det/Nbhd Adj]],-2)</f>
        <v>4500</v>
      </c>
      <c r="CU225">
        <f>Sales[[#This Row],[Adjusted Res]]+Sales[[#This Row],[Adj Det ]]</f>
        <v>317100</v>
      </c>
      <c r="CV225">
        <f>ROUND((Sales[[#This Row],[Mdl Land Intercept]]+Sales[[#This Row],[Mdl LnAcres]])*Sales[[#This Row],[Det/Nbhd Adj]],-2)</f>
        <v>36900</v>
      </c>
      <c r="CW225">
        <f>Sales[[#This Row],[Adjusted Impr Total]]+Sales[[#This Row],[Adjusted Land Total]]</f>
        <v>354000</v>
      </c>
      <c r="CX225" s="15">
        <f>IFERROR((Sales[[#This Row],[Adjusted Impr Total]]-Sales[[#This Row],[24Bldg]])/Sales[[#This Row],[24Bldg]],0)</f>
        <v>-6.3031831074692715E-4</v>
      </c>
      <c r="CY225" s="15">
        <f>(Sales[[#This Row],[Adjusted Land Total]]-Sales[[#This Row],[24Lnd]])/Sales[[#This Row],[24Lnd]]</f>
        <v>-0.36815068493150682</v>
      </c>
      <c r="CZ225" s="15">
        <f>(Sales[[#This Row],[Adjusted Total]]-Sales[[#This Row],[24Final]])/Sales[[#This Row],[24Final]]</f>
        <v>-5.7758850146393398E-2</v>
      </c>
      <c r="DA225" s="15">
        <f>(Sales[[#This Row],[Adjusted Total]]+Sales[[#This Row],[Days Prior Total]])/Sales[[#This Row],[Price]]</f>
        <v>0.92989695012163087</v>
      </c>
    </row>
    <row r="226" spans="1:105" x14ac:dyDescent="0.3">
      <c r="A226">
        <v>2025</v>
      </c>
      <c r="B226">
        <v>18132331052</v>
      </c>
      <c r="C226">
        <v>-1.8325814637483102</v>
      </c>
      <c r="D226">
        <v>0.16</v>
      </c>
      <c r="E226">
        <v>6975</v>
      </c>
      <c r="F226">
        <v>6</v>
      </c>
      <c r="G226" t="s">
        <v>126</v>
      </c>
      <c r="H226">
        <v>3032</v>
      </c>
      <c r="I226" t="s">
        <v>349</v>
      </c>
      <c r="J226" t="s">
        <v>30</v>
      </c>
      <c r="K226">
        <v>11</v>
      </c>
      <c r="L226">
        <v>259</v>
      </c>
      <c r="M226" t="s">
        <v>269</v>
      </c>
      <c r="N226" t="s">
        <v>351</v>
      </c>
      <c r="O226" t="s">
        <v>303</v>
      </c>
      <c r="P226">
        <v>100</v>
      </c>
      <c r="Q226">
        <v>1930</v>
      </c>
      <c r="R226">
        <v>1970</v>
      </c>
      <c r="S226">
        <v>94</v>
      </c>
      <c r="T226">
        <v>54</v>
      </c>
      <c r="U226">
        <v>1</v>
      </c>
      <c r="V226">
        <v>982</v>
      </c>
      <c r="W226">
        <v>0</v>
      </c>
      <c r="X226">
        <v>0</v>
      </c>
      <c r="Y226">
        <v>648</v>
      </c>
      <c r="Z226">
        <v>0</v>
      </c>
      <c r="AA226">
        <v>648</v>
      </c>
      <c r="AB226">
        <v>1630</v>
      </c>
      <c r="AC226">
        <v>2000</v>
      </c>
      <c r="AD226">
        <v>1</v>
      </c>
      <c r="AF226" t="s">
        <v>383</v>
      </c>
      <c r="AG226" t="s">
        <v>148</v>
      </c>
      <c r="AI226">
        <v>0</v>
      </c>
      <c r="AJ226">
        <v>1</v>
      </c>
      <c r="AK226">
        <v>0</v>
      </c>
      <c r="AL226">
        <v>0</v>
      </c>
      <c r="AM226">
        <v>0</v>
      </c>
      <c r="AN226">
        <v>5</v>
      </c>
      <c r="AO226">
        <v>180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100</v>
      </c>
      <c r="AV226">
        <v>100</v>
      </c>
      <c r="AW226">
        <v>203927</v>
      </c>
      <c r="AX226">
        <v>152945</v>
      </c>
      <c r="AY226">
        <v>824</v>
      </c>
      <c r="AZ226">
        <v>365</v>
      </c>
      <c r="BA226">
        <v>365</v>
      </c>
      <c r="BB226">
        <v>94</v>
      </c>
      <c r="BC226" s="3">
        <v>44468</v>
      </c>
      <c r="BD226" t="s">
        <v>76</v>
      </c>
      <c r="BE226">
        <v>310000</v>
      </c>
      <c r="BF226">
        <v>310000</v>
      </c>
      <c r="BG226" t="s">
        <v>294</v>
      </c>
      <c r="BH226">
        <v>30</v>
      </c>
      <c r="BI226" t="s">
        <v>65</v>
      </c>
      <c r="BJ226" t="s">
        <v>450</v>
      </c>
      <c r="BK226">
        <v>299200</v>
      </c>
      <c r="BL226">
        <v>50600</v>
      </c>
      <c r="BM226">
        <v>248600</v>
      </c>
      <c r="BN226">
        <v>0</v>
      </c>
      <c r="BO226">
        <v>0.96516129032258069</v>
      </c>
      <c r="BP226">
        <v>291298.44474258221</v>
      </c>
      <c r="BQ226">
        <v>325430.66984625225</v>
      </c>
      <c r="BR226" s="12">
        <f>(Sales[[#This Row],[DP1]]*Lookups!$B$59)+(Sales[[#This Row],[DP2]]*Lookups!$B$60)+(Sales[[#This Row],[DP3]]*Lookups!$B$61)</f>
        <v>-34132.225107670005</v>
      </c>
      <c r="BS226" s="12">
        <f>Lookups!$B$56*0</f>
        <v>0</v>
      </c>
      <c r="BT226" s="12">
        <f>Lookups!$B$56*1</f>
        <v>89850.625589999996</v>
      </c>
      <c r="BU226" s="12">
        <f>Lookups!$B$57*Sales[[#This Row],[LnAcres]]</f>
        <v>-58009.662049032086</v>
      </c>
      <c r="BV226" s="12">
        <f>VLOOKUP(Sales[[#This Row],[Qlty]],Lookups!$A$62:$E$75,2,FALSE)</f>
        <v>21557.329055999999</v>
      </c>
      <c r="BW226" s="12">
        <f>VLOOKUP(Sales[[#This Row],[Cnd]],Lookups!$A$76:$E$84,2,FALSE)</f>
        <v>197752.34721000001</v>
      </c>
      <c r="BX226" s="12">
        <f>Sales[[#This Row],[EffAge]]*Lookups!$B$85</f>
        <v>-12044.462427</v>
      </c>
      <c r="BY226" s="12">
        <f>Sales[[#This Row],[MainFn]]*Lookups!$B$86</f>
        <v>48519.313819214003</v>
      </c>
      <c r="BZ226" s="12">
        <f>Sales[[#This Row],[UpprFn]]*Lookups!$B$87</f>
        <v>0</v>
      </c>
      <c r="CA226" s="12">
        <f>Sales[[#This Row],[AddFn]]*Lookups!$B$88</f>
        <v>0</v>
      </c>
      <c r="CB226" s="12">
        <f>Sales[[#This Row],[Bsmt]]*Lookups!$B$89</f>
        <v>18845.068120055999</v>
      </c>
      <c r="CC226" s="12">
        <f>Sales[[#This Row],[Fixtures]]*Lookups!$B$90</f>
        <v>18960.110526</v>
      </c>
      <c r="CD226" s="12">
        <f>Sales[[#This Row],[WdDeck]]*Lookups!$B$91</f>
        <v>0</v>
      </c>
      <c r="CE226" s="12">
        <f>SUM(Sales[[#This Row],[Days Prior Total]:[Mdl WdDeck]])</f>
        <v>291298.44473756792</v>
      </c>
      <c r="CF226" s="12">
        <f>ROUND(Sales[[#This Row],[25Det]],-2)</f>
        <v>0</v>
      </c>
      <c r="CG226" s="12">
        <f>ROUND(SUM(Sales[[#This Row],[Mdl Qlty]:[Mdl WdDeck]])+Sales[[#This Row],[Mdl Res Intercept]]+Sales[[#This Row],[Days Prior Total]],-2)</f>
        <v>259500</v>
      </c>
      <c r="CH226" s="12">
        <f>ROUND(Sales[[#This Row],[Mdl Land Intercept]]+Sales[[#This Row],[Mdl LnAcres]],-2)</f>
        <v>31800</v>
      </c>
      <c r="CI226" s="12">
        <f>Sales[[#This Row],[Unadj Res Value]]+Sales[[#This Row],[Unadj Det Value]]+Sales[[#This Row],[Unadj Land Value]]</f>
        <v>291300</v>
      </c>
      <c r="CJ226" s="13">
        <f>Sales[[#This Row],[Unadj Total Value]]/Sales[[#This Row],[Price]]</f>
        <v>0.93967741935483873</v>
      </c>
      <c r="CK226" s="13">
        <f>(Sales[[#This Row],[Unadj Total Value]]-Sales[[#This Row],[24Final]])/Sales[[#This Row],[24Final]]</f>
        <v>-2.6403743315508023E-2</v>
      </c>
      <c r="CL226">
        <f>VLOOKUP(Sales[[#This Row],[TNbhd]],Lookups!$Q$2:$T$4,4,FALSE)</f>
        <v>0.99970000000000003</v>
      </c>
      <c r="CM226">
        <f>VLOOKUP(Sales[[#This Row],[Qlty]],Lookups!$O$7:$R$21,4,FALSE)</f>
        <v>1.0067999999999999</v>
      </c>
      <c r="CN226">
        <f>VLOOKUP(Sales[[#This Row],[Cnd]],Lookups!$T$7:$W$16,4,FALSE)</f>
        <v>0.99650000000000005</v>
      </c>
      <c r="CO226">
        <f>VLOOKUP(Sales[[#This Row],[LivArea Range]],Lookups!$T$25:$W$37,4,FALSE)</f>
        <v>1.0093000000000001</v>
      </c>
      <c r="CP226">
        <f>VLOOKUP(Sales[[#This Row],[Decade]],Lookups!$O$25:$R$42,4,FALSE)</f>
        <v>1.0074000000000001</v>
      </c>
      <c r="CQ226">
        <f>Sales[[#This Row],[Nbhd Adj]]*0.95</f>
        <v>0.94971499999999998</v>
      </c>
      <c r="CR226">
        <f>Sales[[#This Row],[Nbhd Adj]]*Sales[[#This Row],[Quality Adj]]*Sales[[#This Row],[Condition Adj]]*Sales[[#This Row],[Living Area Adj]]*Sales[[#This Row],[Decade Adj]]*0.95</f>
        <v>0.96880423161964746</v>
      </c>
      <c r="CS226">
        <f>ROUND(SUM(Sales[[#This Row],[Mdl Qlty]:[Mdl WdDeck]])+Sales[[#This Row],[Mdl Res Intercept]]*Sales[[#This Row],[Res Adj ]],-2)</f>
        <v>293600</v>
      </c>
      <c r="CT226">
        <f>ROUND(Sales[[#This Row],[25Det]]*Sales[[#This Row],[Det/Nbhd Adj]],-2)</f>
        <v>0</v>
      </c>
      <c r="CU226">
        <f>Sales[[#This Row],[Adjusted Res]]+Sales[[#This Row],[Adj Det ]]</f>
        <v>293600</v>
      </c>
      <c r="CV226">
        <f>ROUND((Sales[[#This Row],[Mdl Land Intercept]]+Sales[[#This Row],[Mdl LnAcres]])*Sales[[#This Row],[Det/Nbhd Adj]],-2)</f>
        <v>30200</v>
      </c>
      <c r="CW226">
        <f>Sales[[#This Row],[Adjusted Impr Total]]+Sales[[#This Row],[Adjusted Land Total]]</f>
        <v>323800</v>
      </c>
      <c r="CX226" s="15">
        <f>IFERROR((Sales[[#This Row],[Adjusted Impr Total]]-Sales[[#This Row],[24Bldg]])/Sales[[#This Row],[24Bldg]],0)</f>
        <v>0.18101367658889783</v>
      </c>
      <c r="CY226" s="15">
        <f>(Sales[[#This Row],[Adjusted Land Total]]-Sales[[#This Row],[24Lnd]])/Sales[[#This Row],[24Lnd]]</f>
        <v>-0.40316205533596838</v>
      </c>
      <c r="CZ226" s="15">
        <f>(Sales[[#This Row],[Adjusted Total]]-Sales[[#This Row],[24Final]])/Sales[[#This Row],[24Final]]</f>
        <v>8.2219251336898391E-2</v>
      </c>
      <c r="DA226" s="15">
        <f>(Sales[[#This Row],[Adjusted Total]]+Sales[[#This Row],[Days Prior Total]])/Sales[[#This Row],[Price]]</f>
        <v>0.93441217707203228</v>
      </c>
    </row>
    <row r="227" spans="1:105" x14ac:dyDescent="0.3">
      <c r="A227">
        <v>2025</v>
      </c>
      <c r="B227">
        <v>18132324473</v>
      </c>
      <c r="C227">
        <v>-1.8325814637483102</v>
      </c>
      <c r="D227">
        <v>0.16</v>
      </c>
      <c r="E227">
        <v>0</v>
      </c>
      <c r="F227">
        <v>6</v>
      </c>
      <c r="G227" t="s">
        <v>126</v>
      </c>
      <c r="H227">
        <v>3033</v>
      </c>
      <c r="I227" t="s">
        <v>349</v>
      </c>
      <c r="J227" t="s">
        <v>30</v>
      </c>
      <c r="K227">
        <v>11</v>
      </c>
      <c r="L227">
        <v>259</v>
      </c>
      <c r="M227" t="s">
        <v>242</v>
      </c>
      <c r="N227" t="s">
        <v>351</v>
      </c>
      <c r="O227" t="s">
        <v>206</v>
      </c>
      <c r="P227">
        <v>100</v>
      </c>
      <c r="Q227">
        <v>1930</v>
      </c>
      <c r="R227">
        <v>1970</v>
      </c>
      <c r="S227">
        <v>94</v>
      </c>
      <c r="T227">
        <v>54</v>
      </c>
      <c r="U227">
        <v>1</v>
      </c>
      <c r="V227">
        <v>1130</v>
      </c>
      <c r="W227">
        <v>0</v>
      </c>
      <c r="X227">
        <v>0</v>
      </c>
      <c r="Y227">
        <v>560</v>
      </c>
      <c r="Z227">
        <v>560</v>
      </c>
      <c r="AA227">
        <v>0</v>
      </c>
      <c r="AB227">
        <v>1130</v>
      </c>
      <c r="AC227">
        <v>1500</v>
      </c>
      <c r="AD227">
        <v>0</v>
      </c>
      <c r="AF227" t="s">
        <v>383</v>
      </c>
      <c r="AG227" t="s">
        <v>148</v>
      </c>
      <c r="AH227" t="s">
        <v>450</v>
      </c>
      <c r="AI227">
        <v>0</v>
      </c>
      <c r="AJ227">
        <v>1</v>
      </c>
      <c r="AK227">
        <v>0</v>
      </c>
      <c r="AL227">
        <v>0</v>
      </c>
      <c r="AM227">
        <v>0</v>
      </c>
      <c r="AN227">
        <v>5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100</v>
      </c>
      <c r="AV227">
        <v>100</v>
      </c>
      <c r="AW227">
        <v>190652</v>
      </c>
      <c r="AX227">
        <v>97233</v>
      </c>
      <c r="AY227">
        <v>943</v>
      </c>
      <c r="AZ227">
        <v>365</v>
      </c>
      <c r="BA227">
        <v>365</v>
      </c>
      <c r="BB227">
        <v>213</v>
      </c>
      <c r="BC227" s="3">
        <v>44349</v>
      </c>
      <c r="BD227" t="s">
        <v>420</v>
      </c>
      <c r="BE227">
        <v>230000</v>
      </c>
      <c r="BF227">
        <v>225286</v>
      </c>
      <c r="BG227" t="s">
        <v>294</v>
      </c>
      <c r="BH227">
        <v>30</v>
      </c>
      <c r="BI227" t="s">
        <v>65</v>
      </c>
      <c r="BJ227" t="s">
        <v>450</v>
      </c>
      <c r="BK227">
        <v>245600</v>
      </c>
      <c r="BL227">
        <v>50600</v>
      </c>
      <c r="BM227">
        <v>195000</v>
      </c>
      <c r="BN227">
        <v>4714</v>
      </c>
      <c r="BO227">
        <v>1.0678260869565217</v>
      </c>
      <c r="BP227">
        <v>216101.02827151376</v>
      </c>
      <c r="BQ227">
        <v>266146.13720728987</v>
      </c>
      <c r="BR227" s="12">
        <f>(Sales[[#This Row],[DP1]]*Lookups!$B$59)+(Sales[[#This Row],[DP2]]*Lookups!$B$60)+(Sales[[#This Row],[DP3]]*Lookups!$B$61)</f>
        <v>-50045.108942770006</v>
      </c>
      <c r="BS227" s="12">
        <f>Lookups!$B$56*0</f>
        <v>0</v>
      </c>
      <c r="BT227" s="12">
        <f>Lookups!$B$56*1</f>
        <v>89850.625589999996</v>
      </c>
      <c r="BU227" s="12">
        <f>Lookups!$B$57*Sales[[#This Row],[LnAcres]]</f>
        <v>-58009.662049032086</v>
      </c>
      <c r="BV227" s="12">
        <f>VLOOKUP(Sales[[#This Row],[Qlty]],Lookups!$A$62:$E$75,2,FALSE)</f>
        <v>21557.329055999999</v>
      </c>
      <c r="BW227" s="12">
        <f>VLOOKUP(Sales[[#This Row],[Cnd]],Lookups!$A$76:$E$84,2,FALSE)</f>
        <v>133714.53821</v>
      </c>
      <c r="BX227" s="12">
        <f>Sales[[#This Row],[EffAge]]*Lookups!$B$85</f>
        <v>-12044.462427</v>
      </c>
      <c r="BY227" s="12">
        <f>Sales[[#This Row],[MainFn]]*Lookups!$B$86</f>
        <v>55831.796961010004</v>
      </c>
      <c r="BZ227" s="12">
        <f>Sales[[#This Row],[UpprFn]]*Lookups!$B$87</f>
        <v>0</v>
      </c>
      <c r="CA227" s="12">
        <f>Sales[[#This Row],[AddFn]]*Lookups!$B$88</f>
        <v>0</v>
      </c>
      <c r="CB227" s="12">
        <f>Sales[[#This Row],[Bsmt]]*Lookups!$B$89</f>
        <v>16285.861338319999</v>
      </c>
      <c r="CC227" s="12">
        <f>Sales[[#This Row],[Fixtures]]*Lookups!$B$90</f>
        <v>18960.110526</v>
      </c>
      <c r="CD227" s="12">
        <f>Sales[[#This Row],[WdDeck]]*Lookups!$B$91</f>
        <v>0</v>
      </c>
      <c r="CE227" s="12">
        <f>SUM(Sales[[#This Row],[Days Prior Total]:[Mdl WdDeck]])</f>
        <v>216101.02826252792</v>
      </c>
      <c r="CF227" s="12">
        <f>ROUND(Sales[[#This Row],[25Det]],-2)</f>
        <v>4700</v>
      </c>
      <c r="CG227" s="12">
        <f>ROUND(SUM(Sales[[#This Row],[Mdl Qlty]:[Mdl WdDeck]])+Sales[[#This Row],[Mdl Res Intercept]]+Sales[[#This Row],[Days Prior Total]],-2)</f>
        <v>184300</v>
      </c>
      <c r="CH227" s="12">
        <f>ROUND(Sales[[#This Row],[Mdl Land Intercept]]+Sales[[#This Row],[Mdl LnAcres]],-2)</f>
        <v>31800</v>
      </c>
      <c r="CI227" s="12">
        <f>Sales[[#This Row],[Unadj Res Value]]+Sales[[#This Row],[Unadj Det Value]]+Sales[[#This Row],[Unadj Land Value]]</f>
        <v>220800</v>
      </c>
      <c r="CJ227" s="13">
        <f>Sales[[#This Row],[Unadj Total Value]]/Sales[[#This Row],[Price]]</f>
        <v>0.96</v>
      </c>
      <c r="CK227" s="13">
        <f>(Sales[[#This Row],[Unadj Total Value]]-Sales[[#This Row],[24Final]])/Sales[[#This Row],[24Final]]</f>
        <v>-0.10097719869706841</v>
      </c>
      <c r="CL227">
        <f>VLOOKUP(Sales[[#This Row],[TNbhd]],Lookups!$Q$2:$T$4,4,FALSE)</f>
        <v>0.99970000000000003</v>
      </c>
      <c r="CM227">
        <f>VLOOKUP(Sales[[#This Row],[Qlty]],Lookups!$O$7:$R$21,4,FALSE)</f>
        <v>1.0067999999999999</v>
      </c>
      <c r="CN227">
        <f>VLOOKUP(Sales[[#This Row],[Cnd]],Lookups!$T$7:$W$16,4,FALSE)</f>
        <v>0.99329999999999996</v>
      </c>
      <c r="CO227">
        <f>VLOOKUP(Sales[[#This Row],[LivArea Range]],Lookups!$T$25:$W$37,4,FALSE)</f>
        <v>1.0157</v>
      </c>
      <c r="CP227">
        <f>VLOOKUP(Sales[[#This Row],[Decade]],Lookups!$O$25:$R$42,4,FALSE)</f>
        <v>1.0074000000000001</v>
      </c>
      <c r="CQ227">
        <f>Sales[[#This Row],[Nbhd Adj]]*0.95</f>
        <v>0.94971499999999998</v>
      </c>
      <c r="CR227">
        <f>Sales[[#This Row],[Nbhd Adj]]*Sales[[#This Row],[Quality Adj]]*Sales[[#This Row],[Condition Adj]]*Sales[[#This Row],[Living Area Adj]]*Sales[[#This Row],[Decade Adj]]*0.95</f>
        <v>0.971816657207489</v>
      </c>
      <c r="CS227">
        <f>ROUND(SUM(Sales[[#This Row],[Mdl Qlty]:[Mdl WdDeck]])+Sales[[#This Row],[Mdl Res Intercept]]*Sales[[#This Row],[Res Adj ]],-2)</f>
        <v>234300</v>
      </c>
      <c r="CT227">
        <f>ROUND(Sales[[#This Row],[25Det]]*Sales[[#This Row],[Det/Nbhd Adj]],-2)</f>
        <v>4500</v>
      </c>
      <c r="CU227">
        <f>Sales[[#This Row],[Adjusted Res]]+Sales[[#This Row],[Adj Det ]]</f>
        <v>238800</v>
      </c>
      <c r="CV227">
        <f>ROUND((Sales[[#This Row],[Mdl Land Intercept]]+Sales[[#This Row],[Mdl LnAcres]])*Sales[[#This Row],[Det/Nbhd Adj]],-2)</f>
        <v>30200</v>
      </c>
      <c r="CW227">
        <f>Sales[[#This Row],[Adjusted Impr Total]]+Sales[[#This Row],[Adjusted Land Total]]</f>
        <v>269000</v>
      </c>
      <c r="CX227" s="15">
        <f>IFERROR((Sales[[#This Row],[Adjusted Impr Total]]-Sales[[#This Row],[24Bldg]])/Sales[[#This Row],[24Bldg]],0)</f>
        <v>0.22461538461538461</v>
      </c>
      <c r="CY227" s="15">
        <f>(Sales[[#This Row],[Adjusted Land Total]]-Sales[[#This Row],[24Lnd]])/Sales[[#This Row],[24Lnd]]</f>
        <v>-0.40316205533596838</v>
      </c>
      <c r="CZ227" s="15">
        <f>(Sales[[#This Row],[Adjusted Total]]-Sales[[#This Row],[24Final]])/Sales[[#This Row],[24Final]]</f>
        <v>9.5276872964169382E-2</v>
      </c>
      <c r="DA227" s="15">
        <f>(Sales[[#This Row],[Adjusted Total]]+Sales[[#This Row],[Days Prior Total]])/Sales[[#This Row],[Price]]</f>
        <v>0.95197778720534787</v>
      </c>
    </row>
    <row r="228" spans="1:105" x14ac:dyDescent="0.3">
      <c r="A228">
        <v>2025</v>
      </c>
      <c r="B228">
        <v>18132332413</v>
      </c>
      <c r="C228">
        <v>-1.6607312068216509</v>
      </c>
      <c r="D228">
        <v>0.19</v>
      </c>
      <c r="E228">
        <v>0</v>
      </c>
      <c r="F228">
        <v>6</v>
      </c>
      <c r="G228" t="s">
        <v>126</v>
      </c>
      <c r="H228">
        <v>3032</v>
      </c>
      <c r="I228" t="s">
        <v>349</v>
      </c>
      <c r="J228" t="s">
        <v>30</v>
      </c>
      <c r="K228">
        <v>11</v>
      </c>
      <c r="L228">
        <v>259</v>
      </c>
      <c r="M228" t="s">
        <v>417</v>
      </c>
      <c r="N228" t="s">
        <v>95</v>
      </c>
      <c r="O228" t="s">
        <v>303</v>
      </c>
      <c r="P228">
        <v>100</v>
      </c>
      <c r="Q228">
        <v>1930</v>
      </c>
      <c r="R228">
        <v>1970</v>
      </c>
      <c r="S228">
        <v>94</v>
      </c>
      <c r="T228">
        <v>54</v>
      </c>
      <c r="U228">
        <v>2</v>
      </c>
      <c r="V228">
        <v>1140</v>
      </c>
      <c r="W228">
        <v>760</v>
      </c>
      <c r="X228">
        <v>0</v>
      </c>
      <c r="Y228">
        <v>740</v>
      </c>
      <c r="Z228">
        <v>0</v>
      </c>
      <c r="AA228">
        <v>740</v>
      </c>
      <c r="AB228">
        <v>2640</v>
      </c>
      <c r="AC228">
        <v>3000</v>
      </c>
      <c r="AD228">
        <v>2</v>
      </c>
      <c r="AF228" t="s">
        <v>383</v>
      </c>
      <c r="AG228" t="s">
        <v>148</v>
      </c>
      <c r="AH228" t="s">
        <v>450</v>
      </c>
      <c r="AI228">
        <v>0</v>
      </c>
      <c r="AJ228">
        <v>1</v>
      </c>
      <c r="AK228">
        <v>0</v>
      </c>
      <c r="AL228">
        <v>2</v>
      </c>
      <c r="AM228">
        <v>0</v>
      </c>
      <c r="AN228">
        <v>11</v>
      </c>
      <c r="AO228">
        <v>0</v>
      </c>
      <c r="AP228">
        <v>400</v>
      </c>
      <c r="AQ228">
        <v>0</v>
      </c>
      <c r="AR228">
        <v>183</v>
      </c>
      <c r="AS228">
        <v>0</v>
      </c>
      <c r="AT228">
        <v>183</v>
      </c>
      <c r="AU228">
        <v>100</v>
      </c>
      <c r="AV228">
        <v>100</v>
      </c>
      <c r="AW228">
        <v>515928</v>
      </c>
      <c r="AX228">
        <v>392105</v>
      </c>
      <c r="AY228">
        <v>1049</v>
      </c>
      <c r="AZ228">
        <v>365</v>
      </c>
      <c r="BA228">
        <v>365</v>
      </c>
      <c r="BB228">
        <v>319</v>
      </c>
      <c r="BC228" s="3">
        <v>44243</v>
      </c>
      <c r="BD228" t="s">
        <v>318</v>
      </c>
      <c r="BE228">
        <v>400000</v>
      </c>
      <c r="BF228">
        <v>400000</v>
      </c>
      <c r="BG228" t="s">
        <v>294</v>
      </c>
      <c r="BH228">
        <v>30</v>
      </c>
      <c r="BI228" t="s">
        <v>65</v>
      </c>
      <c r="BJ228" t="s">
        <v>450</v>
      </c>
      <c r="BK228">
        <v>451100</v>
      </c>
      <c r="BL228">
        <v>56600</v>
      </c>
      <c r="BM228">
        <v>394500</v>
      </c>
      <c r="BN228">
        <v>0</v>
      </c>
      <c r="BO228">
        <v>1.12775</v>
      </c>
      <c r="BP228">
        <v>392726.99130694073</v>
      </c>
      <c r="BQ228">
        <v>456946.60180744994</v>
      </c>
      <c r="BR228" s="12">
        <f>(Sales[[#This Row],[DP1]]*Lookups!$B$59)+(Sales[[#This Row],[DP2]]*Lookups!$B$60)+(Sales[[#This Row],[DP3]]*Lookups!$B$61)</f>
        <v>-64219.610510170001</v>
      </c>
      <c r="BS228" s="12">
        <f>Lookups!$B$56*0</f>
        <v>0</v>
      </c>
      <c r="BT228" s="12">
        <f>Lookups!$B$56*1</f>
        <v>89850.625589999996</v>
      </c>
      <c r="BU228" s="12">
        <f>Lookups!$B$57*Sales[[#This Row],[LnAcres]]</f>
        <v>-52569.808201026557</v>
      </c>
      <c r="BV228" s="12">
        <f>VLOOKUP(Sales[[#This Row],[Qlty]],Lookups!$A$62:$E$75,2,FALSE)</f>
        <v>74268.409664999999</v>
      </c>
      <c r="BW228" s="12">
        <f>VLOOKUP(Sales[[#This Row],[Cnd]],Lookups!$A$76:$E$84,2,FALSE)</f>
        <v>197752.34721000001</v>
      </c>
      <c r="BX228" s="12">
        <f>Sales[[#This Row],[EffAge]]*Lookups!$B$85</f>
        <v>-12044.462427</v>
      </c>
      <c r="BY228" s="12">
        <f>Sales[[#This Row],[MainFn]]*Lookups!$B$86</f>
        <v>56325.883659780004</v>
      </c>
      <c r="BZ228" s="12">
        <f>Sales[[#This Row],[UpprFn]]*Lookups!$B$87</f>
        <v>34037.68137436</v>
      </c>
      <c r="CA228" s="12">
        <f>Sales[[#This Row],[AddFn]]*Lookups!$B$88</f>
        <v>0</v>
      </c>
      <c r="CB228" s="12">
        <f>Sales[[#This Row],[Bsmt]]*Lookups!$B$89</f>
        <v>21520.602482779999</v>
      </c>
      <c r="CC228" s="12">
        <f>Sales[[#This Row],[Fixtures]]*Lookups!$B$90</f>
        <v>41712.243157199999</v>
      </c>
      <c r="CD228" s="12">
        <f>Sales[[#This Row],[WdDeck]]*Lookups!$B$91</f>
        <v>6093.0792955080005</v>
      </c>
      <c r="CE228" s="12">
        <f>SUM(Sales[[#This Row],[Days Prior Total]:[Mdl WdDeck]])</f>
        <v>392726.99129643146</v>
      </c>
      <c r="CF228" s="12">
        <f>ROUND(Sales[[#This Row],[25Det]],-2)</f>
        <v>0</v>
      </c>
      <c r="CG228" s="12">
        <f>ROUND(SUM(Sales[[#This Row],[Mdl Qlty]:[Mdl WdDeck]])+Sales[[#This Row],[Mdl Res Intercept]]+Sales[[#This Row],[Days Prior Total]],-2)</f>
        <v>355400</v>
      </c>
      <c r="CH228" s="12">
        <f>ROUND(Sales[[#This Row],[Mdl Land Intercept]]+Sales[[#This Row],[Mdl LnAcres]],-2)</f>
        <v>37300</v>
      </c>
      <c r="CI228" s="12">
        <f>Sales[[#This Row],[Unadj Res Value]]+Sales[[#This Row],[Unadj Det Value]]+Sales[[#This Row],[Unadj Land Value]]</f>
        <v>392700</v>
      </c>
      <c r="CJ228" s="13">
        <f>Sales[[#This Row],[Unadj Total Value]]/Sales[[#This Row],[Price]]</f>
        <v>0.98175000000000001</v>
      </c>
      <c r="CK228" s="13">
        <f>(Sales[[#This Row],[Unadj Total Value]]-Sales[[#This Row],[24Final]])/Sales[[#This Row],[24Final]]</f>
        <v>-0.12946131678120151</v>
      </c>
      <c r="CL228">
        <f>VLOOKUP(Sales[[#This Row],[TNbhd]],Lookups!$Q$2:$T$4,4,FALSE)</f>
        <v>0.99970000000000003</v>
      </c>
      <c r="CM228">
        <f>VLOOKUP(Sales[[#This Row],[Qlty]],Lookups!$O$7:$R$21,4,FALSE)</f>
        <v>0.98380000000000001</v>
      </c>
      <c r="CN228">
        <f>VLOOKUP(Sales[[#This Row],[Cnd]],Lookups!$T$7:$W$16,4,FALSE)</f>
        <v>0.99650000000000005</v>
      </c>
      <c r="CO228">
        <f>VLOOKUP(Sales[[#This Row],[LivArea Range]],Lookups!$T$25:$W$37,4,FALSE)</f>
        <v>0.96179999999999999</v>
      </c>
      <c r="CP228">
        <f>VLOOKUP(Sales[[#This Row],[Decade]],Lookups!$O$25:$R$42,4,FALSE)</f>
        <v>1.0074000000000001</v>
      </c>
      <c r="CQ228">
        <f>Sales[[#This Row],[Nbhd Adj]]*0.95</f>
        <v>0.94971499999999998</v>
      </c>
      <c r="CR228">
        <f>Sales[[#This Row],[Nbhd Adj]]*Sales[[#This Row],[Quality Adj]]*Sales[[#This Row],[Condition Adj]]*Sales[[#This Row],[Living Area Adj]]*Sales[[#This Row],[Decade Adj]]*0.95</f>
        <v>0.90211963998051559</v>
      </c>
      <c r="CS228">
        <f>ROUND(SUM(Sales[[#This Row],[Mdl Qlty]:[Mdl WdDeck]])+Sales[[#This Row],[Mdl Res Intercept]]*Sales[[#This Row],[Res Adj ]],-2)</f>
        <v>419700</v>
      </c>
      <c r="CT228">
        <f>ROUND(Sales[[#This Row],[25Det]]*Sales[[#This Row],[Det/Nbhd Adj]],-2)</f>
        <v>0</v>
      </c>
      <c r="CU228">
        <f>Sales[[#This Row],[Adjusted Res]]+Sales[[#This Row],[Adj Det ]]</f>
        <v>419700</v>
      </c>
      <c r="CV228">
        <f>ROUND((Sales[[#This Row],[Mdl Land Intercept]]+Sales[[#This Row],[Mdl LnAcres]])*Sales[[#This Row],[Det/Nbhd Adj]],-2)</f>
        <v>35400</v>
      </c>
      <c r="CW228">
        <f>Sales[[#This Row],[Adjusted Impr Total]]+Sales[[#This Row],[Adjusted Land Total]]</f>
        <v>455100</v>
      </c>
      <c r="CX228" s="15">
        <f>IFERROR((Sales[[#This Row],[Adjusted Impr Total]]-Sales[[#This Row],[24Bldg]])/Sales[[#This Row],[24Bldg]],0)</f>
        <v>6.3878326996197721E-2</v>
      </c>
      <c r="CY228" s="15">
        <f>(Sales[[#This Row],[Adjusted Land Total]]-Sales[[#This Row],[24Lnd]])/Sales[[#This Row],[24Lnd]]</f>
        <v>-0.37455830388692579</v>
      </c>
      <c r="CZ228" s="15">
        <f>(Sales[[#This Row],[Adjusted Total]]-Sales[[#This Row],[24Final]])/Sales[[#This Row],[24Final]]</f>
        <v>8.867213478164486E-3</v>
      </c>
      <c r="DA228" s="15">
        <f>(Sales[[#This Row],[Adjusted Total]]+Sales[[#This Row],[Days Prior Total]])/Sales[[#This Row],[Price]]</f>
        <v>0.97720097372457504</v>
      </c>
    </row>
    <row r="229" spans="1:105" x14ac:dyDescent="0.3">
      <c r="A229">
        <v>2025</v>
      </c>
      <c r="B229">
        <v>18132214412</v>
      </c>
      <c r="C229">
        <v>-1.6094379124341003</v>
      </c>
      <c r="D229">
        <v>0.2</v>
      </c>
      <c r="E229">
        <v>8580</v>
      </c>
      <c r="F229">
        <v>6</v>
      </c>
      <c r="G229" t="s">
        <v>126</v>
      </c>
      <c r="H229">
        <v>3033</v>
      </c>
      <c r="I229" t="s">
        <v>349</v>
      </c>
      <c r="J229" t="s">
        <v>30</v>
      </c>
      <c r="K229">
        <v>11</v>
      </c>
      <c r="L229">
        <v>259</v>
      </c>
      <c r="M229" t="s">
        <v>269</v>
      </c>
      <c r="N229" t="s">
        <v>302</v>
      </c>
      <c r="O229" t="s">
        <v>303</v>
      </c>
      <c r="P229">
        <v>100</v>
      </c>
      <c r="Q229">
        <v>1930</v>
      </c>
      <c r="R229">
        <v>1970</v>
      </c>
      <c r="S229">
        <v>94</v>
      </c>
      <c r="T229">
        <v>54</v>
      </c>
      <c r="U229">
        <v>1</v>
      </c>
      <c r="V229">
        <v>1460</v>
      </c>
      <c r="W229">
        <v>0</v>
      </c>
      <c r="X229">
        <v>0</v>
      </c>
      <c r="Y229">
        <v>966</v>
      </c>
      <c r="Z229">
        <v>0</v>
      </c>
      <c r="AA229">
        <v>966</v>
      </c>
      <c r="AB229">
        <v>2426</v>
      </c>
      <c r="AC229">
        <v>2500</v>
      </c>
      <c r="AD229">
        <v>0</v>
      </c>
      <c r="AF229" t="s">
        <v>383</v>
      </c>
      <c r="AG229" t="s">
        <v>148</v>
      </c>
      <c r="AH229" t="s">
        <v>450</v>
      </c>
      <c r="AI229">
        <v>0</v>
      </c>
      <c r="AJ229">
        <v>1</v>
      </c>
      <c r="AK229">
        <v>0</v>
      </c>
      <c r="AL229">
        <v>0</v>
      </c>
      <c r="AM229">
        <v>0</v>
      </c>
      <c r="AN229">
        <v>9</v>
      </c>
      <c r="AO229">
        <v>0</v>
      </c>
      <c r="AP229">
        <v>0</v>
      </c>
      <c r="AQ229">
        <v>0</v>
      </c>
      <c r="AR229">
        <v>0</v>
      </c>
      <c r="AS229">
        <v>336</v>
      </c>
      <c r="AT229">
        <v>0</v>
      </c>
      <c r="AU229">
        <v>100</v>
      </c>
      <c r="AV229">
        <v>100</v>
      </c>
      <c r="AW229">
        <v>319501</v>
      </c>
      <c r="AX229">
        <v>239626</v>
      </c>
      <c r="AY229">
        <v>824</v>
      </c>
      <c r="AZ229">
        <v>365</v>
      </c>
      <c r="BA229">
        <v>365</v>
      </c>
      <c r="BB229">
        <v>94</v>
      </c>
      <c r="BC229" s="3">
        <v>44468</v>
      </c>
      <c r="BD229" t="s">
        <v>431</v>
      </c>
      <c r="BE229">
        <v>361000</v>
      </c>
      <c r="BF229">
        <v>356286</v>
      </c>
      <c r="BG229" t="s">
        <v>294</v>
      </c>
      <c r="BH229">
        <v>30</v>
      </c>
      <c r="BI229" t="s">
        <v>65</v>
      </c>
      <c r="BJ229" t="s">
        <v>450</v>
      </c>
      <c r="BK229">
        <v>375700</v>
      </c>
      <c r="BL229">
        <v>58400</v>
      </c>
      <c r="BM229">
        <v>317300</v>
      </c>
      <c r="BN229">
        <v>4714</v>
      </c>
      <c r="BO229">
        <v>1.0407202216066482</v>
      </c>
      <c r="BP229">
        <v>354652.20753007208</v>
      </c>
      <c r="BQ229">
        <v>388784.43263374211</v>
      </c>
      <c r="BR229" s="12">
        <f>(Sales[[#This Row],[DP1]]*Lookups!$B$59)+(Sales[[#This Row],[DP2]]*Lookups!$B$60)+(Sales[[#This Row],[DP3]]*Lookups!$B$61)</f>
        <v>-34132.225107670005</v>
      </c>
      <c r="BS229" s="12">
        <f>Lookups!$B$56*0</f>
        <v>0</v>
      </c>
      <c r="BT229" s="12">
        <f>Lookups!$B$56*1</f>
        <v>89850.625589999996</v>
      </c>
      <c r="BU229" s="12">
        <f>Lookups!$B$57*Sales[[#This Row],[LnAcres]]</f>
        <v>-50946.13867709865</v>
      </c>
      <c r="BV229" s="12">
        <f>VLOOKUP(Sales[[#This Row],[Qlty]],Lookups!$A$62:$E$75,2,FALSE)</f>
        <v>29814.093161000001</v>
      </c>
      <c r="BW229" s="12">
        <f>VLOOKUP(Sales[[#This Row],[Cnd]],Lookups!$A$76:$E$84,2,FALSE)</f>
        <v>197752.34721000001</v>
      </c>
      <c r="BX229" s="12">
        <f>Sales[[#This Row],[EffAge]]*Lookups!$B$85</f>
        <v>-12044.462427</v>
      </c>
      <c r="BY229" s="12">
        <f>Sales[[#This Row],[MainFn]]*Lookups!$B$86</f>
        <v>72136.65802042</v>
      </c>
      <c r="BZ229" s="12">
        <f>Sales[[#This Row],[UpprFn]]*Lookups!$B$87</f>
        <v>0</v>
      </c>
      <c r="CA229" s="12">
        <f>Sales[[#This Row],[AddFn]]*Lookups!$B$88</f>
        <v>0</v>
      </c>
      <c r="CB229" s="12">
        <f>Sales[[#This Row],[Bsmt]]*Lookups!$B$89</f>
        <v>28093.110808601999</v>
      </c>
      <c r="CC229" s="12">
        <f>Sales[[#This Row],[Fixtures]]*Lookups!$B$90</f>
        <v>34128.198946800003</v>
      </c>
      <c r="CD229" s="12">
        <f>Sales[[#This Row],[WdDeck]]*Lookups!$B$91</f>
        <v>0</v>
      </c>
      <c r="CE229" s="12">
        <f>SUM(Sales[[#This Row],[Days Prior Total]:[Mdl WdDeck]])</f>
        <v>354652.20752505341</v>
      </c>
      <c r="CF229" s="12">
        <f>ROUND(Sales[[#This Row],[25Det]],-2)</f>
        <v>4700</v>
      </c>
      <c r="CG229" s="12">
        <f>ROUND(SUM(Sales[[#This Row],[Mdl Qlty]:[Mdl WdDeck]])+Sales[[#This Row],[Mdl Res Intercept]]+Sales[[#This Row],[Days Prior Total]],-2)</f>
        <v>315700</v>
      </c>
      <c r="CH229" s="12">
        <f>ROUND(Sales[[#This Row],[Mdl Land Intercept]]+Sales[[#This Row],[Mdl LnAcres]],-2)</f>
        <v>38900</v>
      </c>
      <c r="CI229" s="12">
        <f>Sales[[#This Row],[Unadj Res Value]]+Sales[[#This Row],[Unadj Det Value]]+Sales[[#This Row],[Unadj Land Value]]</f>
        <v>359300</v>
      </c>
      <c r="CJ229" s="13">
        <f>Sales[[#This Row],[Unadj Total Value]]/Sales[[#This Row],[Price]]</f>
        <v>0.99529085872576173</v>
      </c>
      <c r="CK229" s="13">
        <f>(Sales[[#This Row],[Unadj Total Value]]-Sales[[#This Row],[24Final]])/Sales[[#This Row],[24Final]]</f>
        <v>-4.3651849880223581E-2</v>
      </c>
      <c r="CL229">
        <f>VLOOKUP(Sales[[#This Row],[TNbhd]],Lookups!$Q$2:$T$4,4,FALSE)</f>
        <v>0.99970000000000003</v>
      </c>
      <c r="CM229">
        <f>VLOOKUP(Sales[[#This Row],[Qlty]],Lookups!$O$7:$R$21,4,FALSE)</f>
        <v>1.0088999999999999</v>
      </c>
      <c r="CN229">
        <f>VLOOKUP(Sales[[#This Row],[Cnd]],Lookups!$T$7:$W$16,4,FALSE)</f>
        <v>0.99650000000000005</v>
      </c>
      <c r="CO229">
        <f>VLOOKUP(Sales[[#This Row],[LivArea Range]],Lookups!$T$25:$W$37,4,FALSE)</f>
        <v>0.98919999999999997</v>
      </c>
      <c r="CP229">
        <f>VLOOKUP(Sales[[#This Row],[Decade]],Lookups!$O$25:$R$42,4,FALSE)</f>
        <v>1.0074000000000001</v>
      </c>
      <c r="CQ229">
        <f>Sales[[#This Row],[Nbhd Adj]]*0.95</f>
        <v>0.94971499999999998</v>
      </c>
      <c r="CR229">
        <f>Sales[[#This Row],[Nbhd Adj]]*Sales[[#This Row],[Quality Adj]]*Sales[[#This Row],[Condition Adj]]*Sales[[#This Row],[Living Area Adj]]*Sales[[#This Row],[Decade Adj]]*0.95</f>
        <v>0.95149120146958555</v>
      </c>
      <c r="CS229">
        <f>ROUND(SUM(Sales[[#This Row],[Mdl Qlty]:[Mdl WdDeck]])+Sales[[#This Row],[Mdl Res Intercept]]*Sales[[#This Row],[Res Adj ]],-2)</f>
        <v>349900</v>
      </c>
      <c r="CT229">
        <f>ROUND(Sales[[#This Row],[25Det]]*Sales[[#This Row],[Det/Nbhd Adj]],-2)</f>
        <v>4500</v>
      </c>
      <c r="CU229">
        <f>Sales[[#This Row],[Adjusted Res]]+Sales[[#This Row],[Adj Det ]]</f>
        <v>354400</v>
      </c>
      <c r="CV229">
        <f>ROUND((Sales[[#This Row],[Mdl Land Intercept]]+Sales[[#This Row],[Mdl LnAcres]])*Sales[[#This Row],[Det/Nbhd Adj]],-2)</f>
        <v>36900</v>
      </c>
      <c r="CW229">
        <f>Sales[[#This Row],[Adjusted Impr Total]]+Sales[[#This Row],[Adjusted Land Total]]</f>
        <v>391300</v>
      </c>
      <c r="CX229" s="15">
        <f>IFERROR((Sales[[#This Row],[Adjusted Impr Total]]-Sales[[#This Row],[24Bldg]])/Sales[[#This Row],[24Bldg]],0)</f>
        <v>0.11692404664355499</v>
      </c>
      <c r="CY229" s="15">
        <f>(Sales[[#This Row],[Adjusted Land Total]]-Sales[[#This Row],[24Lnd]])/Sales[[#This Row],[24Lnd]]</f>
        <v>-0.36815068493150682</v>
      </c>
      <c r="CZ229" s="15">
        <f>(Sales[[#This Row],[Adjusted Total]]-Sales[[#This Row],[24Final]])/Sales[[#This Row],[24Final]]</f>
        <v>4.1522491349480967E-2</v>
      </c>
      <c r="DA229" s="15">
        <f>(Sales[[#This Row],[Adjusted Total]]+Sales[[#This Row],[Days Prior Total]])/Sales[[#This Row],[Price]]</f>
        <v>0.98938441798429366</v>
      </c>
    </row>
    <row r="230" spans="1:105" x14ac:dyDescent="0.3">
      <c r="A230">
        <v>2025</v>
      </c>
      <c r="B230">
        <v>18132323006</v>
      </c>
      <c r="C230">
        <v>-1.3470736479666092</v>
      </c>
      <c r="D230">
        <v>0.26</v>
      </c>
      <c r="E230">
        <v>0</v>
      </c>
      <c r="F230">
        <v>6</v>
      </c>
      <c r="G230" t="s">
        <v>126</v>
      </c>
      <c r="H230">
        <v>3033</v>
      </c>
      <c r="I230" t="s">
        <v>349</v>
      </c>
      <c r="J230" t="s">
        <v>30</v>
      </c>
      <c r="K230">
        <v>11</v>
      </c>
      <c r="L230">
        <v>259</v>
      </c>
      <c r="M230" t="s">
        <v>416</v>
      </c>
      <c r="N230" t="s">
        <v>351</v>
      </c>
      <c r="O230" t="s">
        <v>303</v>
      </c>
      <c r="P230">
        <v>100</v>
      </c>
      <c r="Q230">
        <v>1930</v>
      </c>
      <c r="R230">
        <v>1970</v>
      </c>
      <c r="S230">
        <v>94</v>
      </c>
      <c r="T230">
        <v>54</v>
      </c>
      <c r="U230">
        <v>2</v>
      </c>
      <c r="V230">
        <v>1034</v>
      </c>
      <c r="W230">
        <v>1024</v>
      </c>
      <c r="X230">
        <v>0</v>
      </c>
      <c r="Y230">
        <v>1024</v>
      </c>
      <c r="Z230">
        <v>0</v>
      </c>
      <c r="AA230">
        <v>1024</v>
      </c>
      <c r="AB230">
        <v>3082</v>
      </c>
      <c r="AC230">
        <v>3500</v>
      </c>
      <c r="AD230">
        <v>1</v>
      </c>
      <c r="AF230" t="s">
        <v>383</v>
      </c>
      <c r="AG230" t="s">
        <v>148</v>
      </c>
      <c r="AH230" t="s">
        <v>450</v>
      </c>
      <c r="AI230">
        <v>0</v>
      </c>
      <c r="AJ230">
        <v>1</v>
      </c>
      <c r="AK230">
        <v>0</v>
      </c>
      <c r="AL230">
        <v>1</v>
      </c>
      <c r="AM230">
        <v>2</v>
      </c>
      <c r="AN230">
        <v>12</v>
      </c>
      <c r="AO230">
        <v>384</v>
      </c>
      <c r="AP230">
        <v>0</v>
      </c>
      <c r="AQ230">
        <v>0</v>
      </c>
      <c r="AR230">
        <v>0</v>
      </c>
      <c r="AS230">
        <v>0</v>
      </c>
      <c r="AT230">
        <v>384</v>
      </c>
      <c r="AU230">
        <v>100</v>
      </c>
      <c r="AV230">
        <v>100</v>
      </c>
      <c r="AW230">
        <v>372521</v>
      </c>
      <c r="AX230">
        <v>279391</v>
      </c>
      <c r="AY230">
        <v>776</v>
      </c>
      <c r="AZ230">
        <v>365</v>
      </c>
      <c r="BA230">
        <v>365</v>
      </c>
      <c r="BB230">
        <v>46</v>
      </c>
      <c r="BC230" s="3">
        <v>44516</v>
      </c>
      <c r="BD230" t="s">
        <v>187</v>
      </c>
      <c r="BE230">
        <v>420000</v>
      </c>
      <c r="BF230">
        <v>398846</v>
      </c>
      <c r="BG230" t="s">
        <v>294</v>
      </c>
      <c r="BH230">
        <v>30</v>
      </c>
      <c r="BI230" t="s">
        <v>65</v>
      </c>
      <c r="BJ230" t="s">
        <v>450</v>
      </c>
      <c r="BK230">
        <v>434000</v>
      </c>
      <c r="BL230">
        <v>67600</v>
      </c>
      <c r="BM230">
        <v>366400</v>
      </c>
      <c r="BN230">
        <v>21154</v>
      </c>
      <c r="BO230">
        <v>1.0333333333333334</v>
      </c>
      <c r="BP230">
        <v>398995.14550124347</v>
      </c>
      <c r="BQ230">
        <v>426708.72838692117</v>
      </c>
      <c r="BR230" s="12">
        <f>(Sales[[#This Row],[DP1]]*Lookups!$B$59)+(Sales[[#This Row],[DP2]]*Lookups!$B$60)+(Sales[[#This Row],[DP3]]*Lookups!$B$61)</f>
        <v>-27713.582888470002</v>
      </c>
      <c r="BS230" s="12">
        <f>Lookups!$B$56*0</f>
        <v>0</v>
      </c>
      <c r="BT230" s="12">
        <f>Lookups!$B$56*1</f>
        <v>89850.625589999996</v>
      </c>
      <c r="BU230" s="12">
        <f>Lookups!$B$57*Sales[[#This Row],[LnAcres]]</f>
        <v>-42641.098701210125</v>
      </c>
      <c r="BV230" s="12">
        <f>VLOOKUP(Sales[[#This Row],[Qlty]],Lookups!$A$62:$E$75,2,FALSE)</f>
        <v>21557.329055999999</v>
      </c>
      <c r="BW230" s="12">
        <f>VLOOKUP(Sales[[#This Row],[Cnd]],Lookups!$A$76:$E$84,2,FALSE)</f>
        <v>197752.34721000001</v>
      </c>
      <c r="BX230" s="12">
        <f>Sales[[#This Row],[EffAge]]*Lookups!$B$85</f>
        <v>-12044.462427</v>
      </c>
      <c r="BY230" s="12">
        <f>Sales[[#This Row],[MainFn]]*Lookups!$B$86</f>
        <v>51088.564652818</v>
      </c>
      <c r="BZ230" s="12">
        <f>Sales[[#This Row],[UpprFn]]*Lookups!$B$87</f>
        <v>45861.297009663998</v>
      </c>
      <c r="CA230" s="12">
        <f>Sales[[#This Row],[AddFn]]*Lookups!$B$88</f>
        <v>0</v>
      </c>
      <c r="CB230" s="12">
        <f>Sales[[#This Row],[Bsmt]]*Lookups!$B$89</f>
        <v>29779.860732927998</v>
      </c>
      <c r="CC230" s="12">
        <f>Sales[[#This Row],[Fixtures]]*Lookups!$B$90</f>
        <v>45504.265262400004</v>
      </c>
      <c r="CD230" s="12">
        <f>Sales[[#This Row],[WdDeck]]*Lookups!$B$91</f>
        <v>0</v>
      </c>
      <c r="CE230" s="12">
        <f>SUM(Sales[[#This Row],[Days Prior Total]:[Mdl WdDeck]])</f>
        <v>398995.14549712988</v>
      </c>
      <c r="CF230" s="12">
        <f>ROUND(Sales[[#This Row],[25Det]],-2)</f>
        <v>21200</v>
      </c>
      <c r="CG230" s="12">
        <f>ROUND(SUM(Sales[[#This Row],[Mdl Qlty]:[Mdl WdDeck]])+Sales[[#This Row],[Mdl Res Intercept]]+Sales[[#This Row],[Days Prior Total]],-2)</f>
        <v>351800</v>
      </c>
      <c r="CH230" s="12">
        <f>ROUND(Sales[[#This Row],[Mdl Land Intercept]]+Sales[[#This Row],[Mdl LnAcres]],-2)</f>
        <v>47200</v>
      </c>
      <c r="CI230" s="12">
        <f>Sales[[#This Row],[Unadj Res Value]]+Sales[[#This Row],[Unadj Det Value]]+Sales[[#This Row],[Unadj Land Value]]</f>
        <v>420200</v>
      </c>
      <c r="CJ230" s="13">
        <f>Sales[[#This Row],[Unadj Total Value]]/Sales[[#This Row],[Price]]</f>
        <v>1.0004761904761905</v>
      </c>
      <c r="CK230" s="13">
        <f>(Sales[[#This Row],[Unadj Total Value]]-Sales[[#This Row],[24Final]])/Sales[[#This Row],[24Final]]</f>
        <v>-3.1797235023041472E-2</v>
      </c>
      <c r="CL230">
        <f>VLOOKUP(Sales[[#This Row],[TNbhd]],Lookups!$Q$2:$T$4,4,FALSE)</f>
        <v>0.99970000000000003</v>
      </c>
      <c r="CM230">
        <f>VLOOKUP(Sales[[#This Row],[Qlty]],Lookups!$O$7:$R$21,4,FALSE)</f>
        <v>1.0067999999999999</v>
      </c>
      <c r="CN230">
        <f>VLOOKUP(Sales[[#This Row],[Cnd]],Lookups!$T$7:$W$16,4,FALSE)</f>
        <v>0.99650000000000005</v>
      </c>
      <c r="CO230">
        <f>VLOOKUP(Sales[[#This Row],[LivArea Range]],Lookups!$T$25:$W$37,4,FALSE)</f>
        <v>1.0126999999999999</v>
      </c>
      <c r="CP230">
        <f>VLOOKUP(Sales[[#This Row],[Decade]],Lookups!$O$25:$R$42,4,FALSE)</f>
        <v>1.0074000000000001</v>
      </c>
      <c r="CQ230">
        <f>Sales[[#This Row],[Nbhd Adj]]*0.95</f>
        <v>0.94971499999999998</v>
      </c>
      <c r="CR230">
        <f>Sales[[#This Row],[Nbhd Adj]]*Sales[[#This Row],[Quality Adj]]*Sales[[#This Row],[Condition Adj]]*Sales[[#This Row],[Living Area Adj]]*Sales[[#This Row],[Decade Adj]]*0.95</f>
        <v>0.97206781468464976</v>
      </c>
      <c r="CS230">
        <f>ROUND(SUM(Sales[[#This Row],[Mdl Qlty]:[Mdl WdDeck]])+Sales[[#This Row],[Mdl Res Intercept]]*Sales[[#This Row],[Res Adj ]],-2)</f>
        <v>379500</v>
      </c>
      <c r="CT230">
        <f>ROUND(Sales[[#This Row],[25Det]]*Sales[[#This Row],[Det/Nbhd Adj]],-2)</f>
        <v>20100</v>
      </c>
      <c r="CU230">
        <f>Sales[[#This Row],[Adjusted Res]]+Sales[[#This Row],[Adj Det ]]</f>
        <v>399600</v>
      </c>
      <c r="CV230">
        <f>ROUND((Sales[[#This Row],[Mdl Land Intercept]]+Sales[[#This Row],[Mdl LnAcres]])*Sales[[#This Row],[Det/Nbhd Adj]],-2)</f>
        <v>44800</v>
      </c>
      <c r="CW230">
        <f>Sales[[#This Row],[Adjusted Impr Total]]+Sales[[#This Row],[Adjusted Land Total]]</f>
        <v>444400</v>
      </c>
      <c r="CX230" s="15">
        <f>IFERROR((Sales[[#This Row],[Adjusted Impr Total]]-Sales[[#This Row],[24Bldg]])/Sales[[#This Row],[24Bldg]],0)</f>
        <v>9.0611353711790396E-2</v>
      </c>
      <c r="CY230" s="15">
        <f>(Sales[[#This Row],[Adjusted Land Total]]-Sales[[#This Row],[24Lnd]])/Sales[[#This Row],[24Lnd]]</f>
        <v>-0.33727810650887574</v>
      </c>
      <c r="CZ230" s="15">
        <f>(Sales[[#This Row],[Adjusted Total]]-Sales[[#This Row],[24Final]])/Sales[[#This Row],[24Final]]</f>
        <v>2.3963133640552997E-2</v>
      </c>
      <c r="DA230" s="15">
        <f>(Sales[[#This Row],[Adjusted Total]]+Sales[[#This Row],[Days Prior Total]])/Sales[[#This Row],[Price]]</f>
        <v>0.99211051693221419</v>
      </c>
    </row>
    <row r="231" spans="1:105" x14ac:dyDescent="0.3">
      <c r="A231">
        <v>2025</v>
      </c>
      <c r="B231">
        <v>18132342011</v>
      </c>
      <c r="C231">
        <v>-1.3862943611198906</v>
      </c>
      <c r="D231">
        <v>0.25</v>
      </c>
      <c r="E231">
        <v>11106</v>
      </c>
      <c r="F231">
        <v>6</v>
      </c>
      <c r="G231" t="s">
        <v>126</v>
      </c>
      <c r="H231">
        <v>3092</v>
      </c>
      <c r="I231" t="s">
        <v>349</v>
      </c>
      <c r="J231" t="s">
        <v>30</v>
      </c>
      <c r="K231">
        <v>11</v>
      </c>
      <c r="L231">
        <v>259</v>
      </c>
      <c r="M231" t="s">
        <v>173</v>
      </c>
      <c r="N231" t="s">
        <v>95</v>
      </c>
      <c r="O231" t="s">
        <v>323</v>
      </c>
      <c r="P231">
        <v>100</v>
      </c>
      <c r="Q231">
        <v>1930</v>
      </c>
      <c r="R231">
        <v>1970</v>
      </c>
      <c r="S231">
        <v>94</v>
      </c>
      <c r="T231">
        <v>54</v>
      </c>
      <c r="U231">
        <v>2</v>
      </c>
      <c r="V231">
        <v>1291</v>
      </c>
      <c r="W231">
        <v>967</v>
      </c>
      <c r="X231">
        <v>336</v>
      </c>
      <c r="Y231">
        <v>1117</v>
      </c>
      <c r="Z231">
        <v>848</v>
      </c>
      <c r="AA231">
        <v>269</v>
      </c>
      <c r="AB231">
        <v>2863</v>
      </c>
      <c r="AC231">
        <v>3000</v>
      </c>
      <c r="AD231">
        <v>2</v>
      </c>
      <c r="AF231" t="s">
        <v>383</v>
      </c>
      <c r="AG231" t="s">
        <v>148</v>
      </c>
      <c r="AH231" t="s">
        <v>450</v>
      </c>
      <c r="AI231">
        <v>0</v>
      </c>
      <c r="AJ231">
        <v>1</v>
      </c>
      <c r="AK231">
        <v>0</v>
      </c>
      <c r="AL231">
        <v>1</v>
      </c>
      <c r="AM231">
        <v>1</v>
      </c>
      <c r="AN231">
        <v>14</v>
      </c>
      <c r="AO231">
        <v>672</v>
      </c>
      <c r="AP231">
        <v>0</v>
      </c>
      <c r="AQ231">
        <v>0</v>
      </c>
      <c r="AR231">
        <v>1059</v>
      </c>
      <c r="AS231">
        <v>0</v>
      </c>
      <c r="AT231">
        <v>0</v>
      </c>
      <c r="AU231">
        <v>100</v>
      </c>
      <c r="AV231">
        <v>100</v>
      </c>
      <c r="AW231">
        <v>620574</v>
      </c>
      <c r="AX231">
        <v>421990</v>
      </c>
      <c r="AY231">
        <v>1007</v>
      </c>
      <c r="AZ231">
        <v>365</v>
      </c>
      <c r="BA231">
        <v>365</v>
      </c>
      <c r="BB231">
        <v>277</v>
      </c>
      <c r="BC231" s="3">
        <v>44285</v>
      </c>
      <c r="BD231" t="s">
        <v>52</v>
      </c>
      <c r="BE231">
        <v>455000</v>
      </c>
      <c r="BF231">
        <v>455000</v>
      </c>
      <c r="BG231" t="s">
        <v>294</v>
      </c>
      <c r="BH231">
        <v>30</v>
      </c>
      <c r="BI231" t="s">
        <v>65</v>
      </c>
      <c r="BJ231" t="s">
        <v>450</v>
      </c>
      <c r="BK231">
        <v>479800</v>
      </c>
      <c r="BL231">
        <v>66200</v>
      </c>
      <c r="BM231">
        <v>413600</v>
      </c>
      <c r="BN231">
        <v>0</v>
      </c>
      <c r="BO231">
        <v>1.0545054945054946</v>
      </c>
      <c r="BP231">
        <v>459860.47248366446</v>
      </c>
      <c r="BQ231">
        <v>518463.77104343049</v>
      </c>
      <c r="BR231" s="12">
        <f>(Sales[[#This Row],[DP1]]*Lookups!$B$59)+(Sales[[#This Row],[DP2]]*Lookups!$B$60)+(Sales[[#This Row],[DP3]]*Lookups!$B$61)</f>
        <v>-58603.298568370003</v>
      </c>
      <c r="BS231" s="12">
        <f>Lookups!$B$56*0</f>
        <v>0</v>
      </c>
      <c r="BT231" s="12">
        <f>Lookups!$B$56*1</f>
        <v>89850.625589999996</v>
      </c>
      <c r="BU231" s="12">
        <f>Lookups!$B$57*Sales[[#This Row],[LnAcres]]</f>
        <v>-43882.615305165229</v>
      </c>
      <c r="BV231" s="12">
        <f>VLOOKUP(Sales[[#This Row],[Qlty]],Lookups!$A$62:$E$75,2,FALSE)</f>
        <v>74268.409664999999</v>
      </c>
      <c r="BW231" s="12">
        <f>VLOOKUP(Sales[[#This Row],[Cnd]],Lookups!$A$76:$E$84,2,FALSE)</f>
        <v>160472.20319</v>
      </c>
      <c r="BX231" s="12">
        <f>Sales[[#This Row],[EffAge]]*Lookups!$B$85</f>
        <v>-12044.462427</v>
      </c>
      <c r="BY231" s="12">
        <f>Sales[[#This Row],[MainFn]]*Lookups!$B$86</f>
        <v>63786.592811207003</v>
      </c>
      <c r="BZ231" s="12">
        <f>Sales[[#This Row],[UpprFn]]*Lookups!$B$87</f>
        <v>43308.470906586997</v>
      </c>
      <c r="CA231" s="12">
        <f>Sales[[#This Row],[AddFn]]*Lookups!$B$88</f>
        <v>21871.809473136003</v>
      </c>
      <c r="CB231" s="12">
        <f>Sales[[#This Row],[Bsmt]]*Lookups!$B$89</f>
        <v>32484.476990898998</v>
      </c>
      <c r="CC231" s="12">
        <f>Sales[[#This Row],[Fixtures]]*Lookups!$B$90</f>
        <v>53088.3094728</v>
      </c>
      <c r="CD231" s="12">
        <f>Sales[[#This Row],[WdDeck]]*Lookups!$B$91</f>
        <v>35259.950677284003</v>
      </c>
      <c r="CE231" s="12">
        <f>SUM(Sales[[#This Row],[Days Prior Total]:[Mdl WdDeck]])</f>
        <v>459860.47247637773</v>
      </c>
      <c r="CF231" s="12">
        <f>ROUND(Sales[[#This Row],[25Det]],-2)</f>
        <v>0</v>
      </c>
      <c r="CG231" s="12">
        <f>ROUND(SUM(Sales[[#This Row],[Mdl Qlty]:[Mdl WdDeck]])+Sales[[#This Row],[Mdl Res Intercept]]+Sales[[#This Row],[Days Prior Total]],-2)</f>
        <v>413900</v>
      </c>
      <c r="CH231" s="12">
        <f>ROUND(Sales[[#This Row],[Mdl Land Intercept]]+Sales[[#This Row],[Mdl LnAcres]],-2)</f>
        <v>46000</v>
      </c>
      <c r="CI231" s="12">
        <f>Sales[[#This Row],[Unadj Res Value]]+Sales[[#This Row],[Unadj Det Value]]+Sales[[#This Row],[Unadj Land Value]]</f>
        <v>459900</v>
      </c>
      <c r="CJ231" s="13">
        <f>Sales[[#This Row],[Unadj Total Value]]/Sales[[#This Row],[Price]]</f>
        <v>1.0107692307692309</v>
      </c>
      <c r="CK231" s="13">
        <f>(Sales[[#This Row],[Unadj Total Value]]-Sales[[#This Row],[24Final]])/Sales[[#This Row],[24Final]]</f>
        <v>-4.1475614839516464E-2</v>
      </c>
      <c r="CL231">
        <f>VLOOKUP(Sales[[#This Row],[TNbhd]],Lookups!$Q$2:$T$4,4,FALSE)</f>
        <v>0.99970000000000003</v>
      </c>
      <c r="CM231">
        <f>VLOOKUP(Sales[[#This Row],[Qlty]],Lookups!$O$7:$R$21,4,FALSE)</f>
        <v>0.98380000000000001</v>
      </c>
      <c r="CN231">
        <f>VLOOKUP(Sales[[#This Row],[Cnd]],Lookups!$T$7:$W$16,4,FALSE)</f>
        <v>0.99729999999999996</v>
      </c>
      <c r="CO231">
        <f>VLOOKUP(Sales[[#This Row],[LivArea Range]],Lookups!$T$25:$W$37,4,FALSE)</f>
        <v>0.96179999999999999</v>
      </c>
      <c r="CP231">
        <f>VLOOKUP(Sales[[#This Row],[Decade]],Lookups!$O$25:$R$42,4,FALSE)</f>
        <v>1.0074000000000001</v>
      </c>
      <c r="CQ231">
        <f>Sales[[#This Row],[Nbhd Adj]]*0.95</f>
        <v>0.94971499999999998</v>
      </c>
      <c r="CR231">
        <f>Sales[[#This Row],[Nbhd Adj]]*Sales[[#This Row],[Quality Adj]]*Sales[[#This Row],[Condition Adj]]*Sales[[#This Row],[Living Area Adj]]*Sales[[#This Row],[Decade Adj]]*0.95</f>
        <v>0.90284387049931569</v>
      </c>
      <c r="CS231">
        <f>ROUND(SUM(Sales[[#This Row],[Mdl Qlty]:[Mdl WdDeck]])+Sales[[#This Row],[Mdl Res Intercept]]*Sales[[#This Row],[Res Adj ]],-2)</f>
        <v>472500</v>
      </c>
      <c r="CT231">
        <f>ROUND(Sales[[#This Row],[25Det]]*Sales[[#This Row],[Det/Nbhd Adj]],-2)</f>
        <v>0</v>
      </c>
      <c r="CU231">
        <f>Sales[[#This Row],[Adjusted Res]]+Sales[[#This Row],[Adj Det ]]</f>
        <v>472500</v>
      </c>
      <c r="CV231">
        <f>ROUND((Sales[[#This Row],[Mdl Land Intercept]]+Sales[[#This Row],[Mdl LnAcres]])*Sales[[#This Row],[Det/Nbhd Adj]],-2)</f>
        <v>43700</v>
      </c>
      <c r="CW231">
        <f>Sales[[#This Row],[Adjusted Impr Total]]+Sales[[#This Row],[Adjusted Land Total]]</f>
        <v>516200</v>
      </c>
      <c r="CX231" s="15">
        <f>IFERROR((Sales[[#This Row],[Adjusted Impr Total]]-Sales[[#This Row],[24Bldg]])/Sales[[#This Row],[24Bldg]],0)</f>
        <v>0.14240812379110251</v>
      </c>
      <c r="CY231" s="15">
        <f>(Sales[[#This Row],[Adjusted Land Total]]-Sales[[#This Row],[24Lnd]])/Sales[[#This Row],[24Lnd]]</f>
        <v>-0.33987915407854985</v>
      </c>
      <c r="CZ231" s="15">
        <f>(Sales[[#This Row],[Adjusted Total]]-Sales[[#This Row],[24Final]])/Sales[[#This Row],[24Final]]</f>
        <v>7.5864943726552725E-2</v>
      </c>
      <c r="DA231" s="15">
        <f>(Sales[[#This Row],[Adjusted Total]]+Sales[[#This Row],[Days Prior Total]])/Sales[[#This Row],[Price]]</f>
        <v>1.0057070361134726</v>
      </c>
    </row>
    <row r="232" spans="1:105" x14ac:dyDescent="0.3">
      <c r="A232">
        <v>2025</v>
      </c>
      <c r="B232">
        <v>18132332531</v>
      </c>
      <c r="C232">
        <v>-1.3470736479666092</v>
      </c>
      <c r="D232">
        <v>0.26</v>
      </c>
      <c r="E232">
        <v>0</v>
      </c>
      <c r="F232">
        <v>6</v>
      </c>
      <c r="G232" t="s">
        <v>126</v>
      </c>
      <c r="H232">
        <v>3032</v>
      </c>
      <c r="I232" t="s">
        <v>349</v>
      </c>
      <c r="J232" t="s">
        <v>30</v>
      </c>
      <c r="K232">
        <v>11</v>
      </c>
      <c r="L232">
        <v>259</v>
      </c>
      <c r="M232" t="s">
        <v>269</v>
      </c>
      <c r="N232" t="s">
        <v>148</v>
      </c>
      <c r="O232" t="s">
        <v>303</v>
      </c>
      <c r="P232">
        <v>100</v>
      </c>
      <c r="Q232">
        <v>1930</v>
      </c>
      <c r="R232">
        <v>1970</v>
      </c>
      <c r="S232">
        <v>94</v>
      </c>
      <c r="T232">
        <v>54</v>
      </c>
      <c r="U232">
        <v>1</v>
      </c>
      <c r="V232">
        <v>1337</v>
      </c>
      <c r="W232">
        <v>0</v>
      </c>
      <c r="X232">
        <v>0</v>
      </c>
      <c r="Y232">
        <v>1205</v>
      </c>
      <c r="Z232">
        <v>604</v>
      </c>
      <c r="AA232">
        <v>601</v>
      </c>
      <c r="AB232">
        <v>1938</v>
      </c>
      <c r="AC232">
        <v>2000</v>
      </c>
      <c r="AD232">
        <v>0</v>
      </c>
      <c r="AE232" t="s">
        <v>6</v>
      </c>
      <c r="AF232" t="s">
        <v>383</v>
      </c>
      <c r="AG232" t="s">
        <v>148</v>
      </c>
      <c r="AH232" t="s">
        <v>450</v>
      </c>
      <c r="AI232">
        <v>0</v>
      </c>
      <c r="AJ232">
        <v>1</v>
      </c>
      <c r="AK232">
        <v>0</v>
      </c>
      <c r="AL232">
        <v>0</v>
      </c>
      <c r="AM232">
        <v>1</v>
      </c>
      <c r="AN232">
        <v>7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100</v>
      </c>
      <c r="AV232">
        <v>100</v>
      </c>
      <c r="AW232">
        <v>329078</v>
      </c>
      <c r="AX232">
        <v>246809</v>
      </c>
      <c r="AY232">
        <v>568</v>
      </c>
      <c r="AZ232">
        <v>365</v>
      </c>
      <c r="BA232">
        <v>203</v>
      </c>
      <c r="BB232">
        <v>0</v>
      </c>
      <c r="BC232" s="3">
        <v>44724</v>
      </c>
      <c r="BD232" t="s">
        <v>89</v>
      </c>
      <c r="BE232">
        <v>382000</v>
      </c>
      <c r="BF232">
        <v>375190</v>
      </c>
      <c r="BG232" t="s">
        <v>294</v>
      </c>
      <c r="BH232">
        <v>30</v>
      </c>
      <c r="BI232" t="s">
        <v>65</v>
      </c>
      <c r="BJ232" t="s">
        <v>450</v>
      </c>
      <c r="BK232">
        <v>377700</v>
      </c>
      <c r="BL232">
        <v>67600</v>
      </c>
      <c r="BM232">
        <v>310100</v>
      </c>
      <c r="BN232">
        <v>6810</v>
      </c>
      <c r="BO232">
        <v>0.98874345549738218</v>
      </c>
      <c r="BP232">
        <v>381263.02199667442</v>
      </c>
      <c r="BQ232">
        <v>404685.67989777488</v>
      </c>
      <c r="BR232" s="12">
        <f>(Sales[[#This Row],[DP1]]*Lookups!$B$59)+(Sales[[#This Row],[DP2]]*Lookups!$B$60)+(Sales[[#This Row],[DP3]]*Lookups!$B$61)</f>
        <v>-23422.657902694002</v>
      </c>
      <c r="BS232" s="12">
        <f>Lookups!$B$56*0</f>
        <v>0</v>
      </c>
      <c r="BT232" s="12">
        <f>Lookups!$B$56*1</f>
        <v>89850.625589999996</v>
      </c>
      <c r="BU232" s="12">
        <f>Lookups!$B$57*Sales[[#This Row],[LnAcres]]</f>
        <v>-42641.098701210125</v>
      </c>
      <c r="BV232" s="12">
        <f>VLOOKUP(Sales[[#This Row],[Qlty]],Lookups!$A$62:$E$75,2,FALSE)</f>
        <v>44121.038090000002</v>
      </c>
      <c r="BW232" s="12">
        <f>VLOOKUP(Sales[[#This Row],[Cnd]],Lookups!$A$76:$E$84,2,FALSE)</f>
        <v>197752.34721000001</v>
      </c>
      <c r="BX232" s="12">
        <f>Sales[[#This Row],[EffAge]]*Lookups!$B$85</f>
        <v>-12044.462427</v>
      </c>
      <c r="BY232" s="12">
        <f>Sales[[#This Row],[MainFn]]*Lookups!$B$86</f>
        <v>66059.391625549004</v>
      </c>
      <c r="BZ232" s="12">
        <f>Sales[[#This Row],[UpprFn]]*Lookups!$B$87</f>
        <v>0</v>
      </c>
      <c r="CA232" s="12">
        <f>Sales[[#This Row],[AddFn]]*Lookups!$B$88</f>
        <v>0</v>
      </c>
      <c r="CB232" s="12">
        <f>Sales[[#This Row],[Bsmt]]*Lookups!$B$89</f>
        <v>35043.683772634999</v>
      </c>
      <c r="CC232" s="12">
        <f>Sales[[#This Row],[Fixtures]]*Lookups!$B$90</f>
        <v>26544.1547364</v>
      </c>
      <c r="CD232" s="12">
        <f>Sales[[#This Row],[WdDeck]]*Lookups!$B$91</f>
        <v>0</v>
      </c>
      <c r="CE232" s="12">
        <f>SUM(Sales[[#This Row],[Days Prior Total]:[Mdl WdDeck]])</f>
        <v>381263.02199367987</v>
      </c>
      <c r="CF232" s="12">
        <f>ROUND(Sales[[#This Row],[25Det]],-2)</f>
        <v>6800</v>
      </c>
      <c r="CG232" s="12">
        <f>ROUND(SUM(Sales[[#This Row],[Mdl Qlty]:[Mdl WdDeck]])+Sales[[#This Row],[Mdl Res Intercept]]+Sales[[#This Row],[Days Prior Total]],-2)</f>
        <v>334100</v>
      </c>
      <c r="CH232" s="12">
        <f>ROUND(Sales[[#This Row],[Mdl Land Intercept]]+Sales[[#This Row],[Mdl LnAcres]],-2)</f>
        <v>47200</v>
      </c>
      <c r="CI232" s="12">
        <f>Sales[[#This Row],[Unadj Res Value]]+Sales[[#This Row],[Unadj Det Value]]+Sales[[#This Row],[Unadj Land Value]]</f>
        <v>388100</v>
      </c>
      <c r="CJ232" s="13">
        <f>Sales[[#This Row],[Unadj Total Value]]/Sales[[#This Row],[Price]]</f>
        <v>1.0159685863874346</v>
      </c>
      <c r="CK232" s="13">
        <f>(Sales[[#This Row],[Unadj Total Value]]-Sales[[#This Row],[24Final]])/Sales[[#This Row],[24Final]]</f>
        <v>2.7535080751919513E-2</v>
      </c>
      <c r="CL232">
        <f>VLOOKUP(Sales[[#This Row],[TNbhd]],Lookups!$Q$2:$T$4,4,FALSE)</f>
        <v>0.99970000000000003</v>
      </c>
      <c r="CM232">
        <f>VLOOKUP(Sales[[#This Row],[Qlty]],Lookups!$O$7:$R$21,4,FALSE)</f>
        <v>0.98050000000000004</v>
      </c>
      <c r="CN232">
        <f>VLOOKUP(Sales[[#This Row],[Cnd]],Lookups!$T$7:$W$16,4,FALSE)</f>
        <v>0.99650000000000005</v>
      </c>
      <c r="CO232">
        <f>VLOOKUP(Sales[[#This Row],[LivArea Range]],Lookups!$T$25:$W$37,4,FALSE)</f>
        <v>1.0093000000000001</v>
      </c>
      <c r="CP232">
        <f>VLOOKUP(Sales[[#This Row],[Decade]],Lookups!$O$25:$R$42,4,FALSE)</f>
        <v>1.0074000000000001</v>
      </c>
      <c r="CQ232">
        <f>Sales[[#This Row],[Nbhd Adj]]*0.95</f>
        <v>0.94971499999999998</v>
      </c>
      <c r="CR232">
        <f>Sales[[#This Row],[Nbhd Adj]]*Sales[[#This Row],[Quality Adj]]*Sales[[#This Row],[Condition Adj]]*Sales[[#This Row],[Living Area Adj]]*Sales[[#This Row],[Decade Adj]]*0.95</f>
        <v>0.94349677105985763</v>
      </c>
      <c r="CS232">
        <f>ROUND(SUM(Sales[[#This Row],[Mdl Qlty]:[Mdl WdDeck]])+Sales[[#This Row],[Mdl Res Intercept]]*Sales[[#This Row],[Res Adj ]],-2)</f>
        <v>357500</v>
      </c>
      <c r="CT232">
        <f>ROUND(Sales[[#This Row],[25Det]]*Sales[[#This Row],[Det/Nbhd Adj]],-2)</f>
        <v>6500</v>
      </c>
      <c r="CU232">
        <f>Sales[[#This Row],[Adjusted Res]]+Sales[[#This Row],[Adj Det ]]</f>
        <v>364000</v>
      </c>
      <c r="CV232">
        <f>ROUND((Sales[[#This Row],[Mdl Land Intercept]]+Sales[[#This Row],[Mdl LnAcres]])*Sales[[#This Row],[Det/Nbhd Adj]],-2)</f>
        <v>44800</v>
      </c>
      <c r="CW232">
        <f>Sales[[#This Row],[Adjusted Impr Total]]+Sales[[#This Row],[Adjusted Land Total]]</f>
        <v>408800</v>
      </c>
      <c r="CX232" s="15">
        <f>IFERROR((Sales[[#This Row],[Adjusted Impr Total]]-Sales[[#This Row],[24Bldg]])/Sales[[#This Row],[24Bldg]],0)</f>
        <v>0.17381489841986456</v>
      </c>
      <c r="CY232" s="15">
        <f>(Sales[[#This Row],[Adjusted Land Total]]-Sales[[#This Row],[24Lnd]])/Sales[[#This Row],[24Lnd]]</f>
        <v>-0.33727810650887574</v>
      </c>
      <c r="CZ232" s="15">
        <f>(Sales[[#This Row],[Adjusted Total]]-Sales[[#This Row],[24Final]])/Sales[[#This Row],[24Final]]</f>
        <v>8.2340481863913156E-2</v>
      </c>
      <c r="DA232" s="15">
        <f>(Sales[[#This Row],[Adjusted Total]]+Sales[[#This Row],[Days Prior Total]])/Sales[[#This Row],[Price]]</f>
        <v>1.0088412096788115</v>
      </c>
    </row>
    <row r="233" spans="1:105" x14ac:dyDescent="0.3">
      <c r="A233">
        <v>2025</v>
      </c>
      <c r="B233">
        <v>18132342003</v>
      </c>
      <c r="C233">
        <v>-1.9661128563728327</v>
      </c>
      <c r="D233">
        <v>0.14000000000000001</v>
      </c>
      <c r="E233">
        <v>0</v>
      </c>
      <c r="F233">
        <v>6</v>
      </c>
      <c r="G233" t="s">
        <v>126</v>
      </c>
      <c r="H233" t="s">
        <v>349</v>
      </c>
      <c r="I233" t="s">
        <v>349</v>
      </c>
      <c r="J233" t="s">
        <v>30</v>
      </c>
      <c r="K233">
        <v>11</v>
      </c>
      <c r="L233">
        <v>259</v>
      </c>
      <c r="M233" t="s">
        <v>4</v>
      </c>
      <c r="N233" t="s">
        <v>302</v>
      </c>
      <c r="O233" t="s">
        <v>323</v>
      </c>
      <c r="P233">
        <v>100</v>
      </c>
      <c r="Q233">
        <v>1930</v>
      </c>
      <c r="R233">
        <v>1970</v>
      </c>
      <c r="S233">
        <v>94</v>
      </c>
      <c r="T233">
        <v>54</v>
      </c>
      <c r="U233">
        <v>1</v>
      </c>
      <c r="V233">
        <v>1249</v>
      </c>
      <c r="W233">
        <v>0</v>
      </c>
      <c r="X233">
        <v>0</v>
      </c>
      <c r="Y233">
        <v>694</v>
      </c>
      <c r="Z233">
        <v>174</v>
      </c>
      <c r="AA233">
        <v>520</v>
      </c>
      <c r="AB233">
        <v>1769</v>
      </c>
      <c r="AC233">
        <v>2000</v>
      </c>
      <c r="AD233">
        <v>0</v>
      </c>
      <c r="AF233" t="s">
        <v>383</v>
      </c>
      <c r="AG233" t="s">
        <v>148</v>
      </c>
      <c r="AH233" t="s">
        <v>450</v>
      </c>
      <c r="AI233">
        <v>0</v>
      </c>
      <c r="AJ233">
        <v>1</v>
      </c>
      <c r="AK233">
        <v>0</v>
      </c>
      <c r="AL233">
        <v>0</v>
      </c>
      <c r="AM233">
        <v>0</v>
      </c>
      <c r="AN233">
        <v>6</v>
      </c>
      <c r="AO233">
        <v>0</v>
      </c>
      <c r="AP233">
        <v>0</v>
      </c>
      <c r="AQ233">
        <v>0</v>
      </c>
      <c r="AR233">
        <v>120</v>
      </c>
      <c r="AS233">
        <v>0</v>
      </c>
      <c r="AT233">
        <v>0</v>
      </c>
      <c r="AU233">
        <v>100</v>
      </c>
      <c r="AV233">
        <v>100</v>
      </c>
      <c r="AW233">
        <v>268191</v>
      </c>
      <c r="AX233">
        <v>201143</v>
      </c>
      <c r="AY233">
        <v>62</v>
      </c>
      <c r="AZ233">
        <v>62</v>
      </c>
      <c r="BA233">
        <v>0</v>
      </c>
      <c r="BB233">
        <v>0</v>
      </c>
      <c r="BC233" s="3">
        <v>45230</v>
      </c>
      <c r="BD233" t="s">
        <v>158</v>
      </c>
      <c r="BE233">
        <v>310000</v>
      </c>
      <c r="BF233">
        <v>304192</v>
      </c>
      <c r="BG233" t="s">
        <v>294</v>
      </c>
      <c r="BH233">
        <v>30</v>
      </c>
      <c r="BI233" t="s">
        <v>65</v>
      </c>
      <c r="BJ233" t="s">
        <v>450</v>
      </c>
      <c r="BK233">
        <v>301800</v>
      </c>
      <c r="BL233">
        <v>46000</v>
      </c>
      <c r="BM233">
        <v>255800</v>
      </c>
      <c r="BN233">
        <v>5808</v>
      </c>
      <c r="BO233">
        <v>0.97354838709677416</v>
      </c>
      <c r="BP233">
        <v>310123.16279576096</v>
      </c>
      <c r="BQ233">
        <v>314497.77098283911</v>
      </c>
      <c r="BR233" s="12">
        <f>(Sales[[#This Row],[DP1]]*Lookups!$B$59)+(Sales[[#This Row],[DP2]]*Lookups!$B$60)+(Sales[[#This Row],[DP3]]*Lookups!$B$61)</f>
        <v>-4374.6081873400008</v>
      </c>
      <c r="BS233" s="12">
        <f>Lookups!$B$56*0</f>
        <v>0</v>
      </c>
      <c r="BT233" s="12">
        <f>Lookups!$B$56*1</f>
        <v>89850.625589999996</v>
      </c>
      <c r="BU233" s="12">
        <f>Lookups!$B$57*Sales[[#This Row],[LnAcres]]</f>
        <v>-62236.546971921947</v>
      </c>
      <c r="BV233" s="12">
        <f>VLOOKUP(Sales[[#This Row],[Qlty]],Lookups!$A$62:$E$75,2,FALSE)</f>
        <v>29814.093161000001</v>
      </c>
      <c r="BW233" s="12">
        <f>VLOOKUP(Sales[[#This Row],[Cnd]],Lookups!$A$76:$E$84,2,FALSE)</f>
        <v>160472.20319</v>
      </c>
      <c r="BX233" s="12">
        <f>Sales[[#This Row],[EffAge]]*Lookups!$B$85</f>
        <v>-12044.462427</v>
      </c>
      <c r="BY233" s="12">
        <f>Sales[[#This Row],[MainFn]]*Lookups!$B$86</f>
        <v>61711.428676373005</v>
      </c>
      <c r="BZ233" s="12">
        <f>Sales[[#This Row],[UpprFn]]*Lookups!$B$87</f>
        <v>0</v>
      </c>
      <c r="CA233" s="12">
        <f>Sales[[#This Row],[AddFn]]*Lookups!$B$88</f>
        <v>0</v>
      </c>
      <c r="CB233" s="12">
        <f>Sales[[#This Row],[Bsmt]]*Lookups!$B$89</f>
        <v>20182.835301417999</v>
      </c>
      <c r="CC233" s="12">
        <f>Sales[[#This Row],[Fixtures]]*Lookups!$B$90</f>
        <v>22752.132631200002</v>
      </c>
      <c r="CD233" s="12">
        <f>Sales[[#This Row],[WdDeck]]*Lookups!$B$91</f>
        <v>3995.4618331200004</v>
      </c>
      <c r="CE233" s="12">
        <f>SUM(Sales[[#This Row],[Days Prior Total]:[Mdl WdDeck]])</f>
        <v>310123.16279684904</v>
      </c>
      <c r="CF233" s="12">
        <f>ROUND(Sales[[#This Row],[25Det]],-2)</f>
        <v>5800</v>
      </c>
      <c r="CG233" s="12">
        <f>ROUND(SUM(Sales[[#This Row],[Mdl Qlty]:[Mdl WdDeck]])+Sales[[#This Row],[Mdl Res Intercept]]+Sales[[#This Row],[Days Prior Total]],-2)</f>
        <v>282500</v>
      </c>
      <c r="CH233" s="12">
        <f>ROUND(Sales[[#This Row],[Mdl Land Intercept]]+Sales[[#This Row],[Mdl LnAcres]],-2)</f>
        <v>27600</v>
      </c>
      <c r="CI233" s="12">
        <f>Sales[[#This Row],[Unadj Res Value]]+Sales[[#This Row],[Unadj Det Value]]+Sales[[#This Row],[Unadj Land Value]]</f>
        <v>315900</v>
      </c>
      <c r="CJ233" s="13">
        <f>Sales[[#This Row],[Unadj Total Value]]/Sales[[#This Row],[Price]]</f>
        <v>1.0190322580645161</v>
      </c>
      <c r="CK233" s="13">
        <f>(Sales[[#This Row],[Unadj Total Value]]-Sales[[#This Row],[24Final]])/Sales[[#This Row],[24Final]]</f>
        <v>4.6719681908548708E-2</v>
      </c>
      <c r="CL233">
        <f>VLOOKUP(Sales[[#This Row],[TNbhd]],Lookups!$Q$2:$T$4,4,FALSE)</f>
        <v>0.99970000000000003</v>
      </c>
      <c r="CM233">
        <f>VLOOKUP(Sales[[#This Row],[Qlty]],Lookups!$O$7:$R$21,4,FALSE)</f>
        <v>1.0088999999999999</v>
      </c>
      <c r="CN233">
        <f>VLOOKUP(Sales[[#This Row],[Cnd]],Lookups!$T$7:$W$16,4,FALSE)</f>
        <v>0.99729999999999996</v>
      </c>
      <c r="CO233">
        <f>VLOOKUP(Sales[[#This Row],[LivArea Range]],Lookups!$T$25:$W$37,4,FALSE)</f>
        <v>1.0093000000000001</v>
      </c>
      <c r="CP233">
        <f>VLOOKUP(Sales[[#This Row],[Decade]],Lookups!$O$25:$R$42,4,FALSE)</f>
        <v>1.0074000000000001</v>
      </c>
      <c r="CQ233">
        <f>Sales[[#This Row],[Nbhd Adj]]*0.95</f>
        <v>0.94971499999999998</v>
      </c>
      <c r="CR233">
        <f>Sales[[#This Row],[Nbhd Adj]]*Sales[[#This Row],[Quality Adj]]*Sales[[#This Row],[Condition Adj]]*Sales[[#This Row],[Living Area Adj]]*Sales[[#This Row],[Decade Adj]]*0.95</f>
        <v>0.97160436726197974</v>
      </c>
      <c r="CS233">
        <f>ROUND(SUM(Sales[[#This Row],[Mdl Qlty]:[Mdl WdDeck]])+Sales[[#This Row],[Mdl Res Intercept]]*Sales[[#This Row],[Res Adj ]],-2)</f>
        <v>286900</v>
      </c>
      <c r="CT233">
        <f>ROUND(Sales[[#This Row],[25Det]]*Sales[[#This Row],[Det/Nbhd Adj]],-2)</f>
        <v>5500</v>
      </c>
      <c r="CU233">
        <f>Sales[[#This Row],[Adjusted Res]]+Sales[[#This Row],[Adj Det ]]</f>
        <v>292400</v>
      </c>
      <c r="CV233">
        <f>ROUND((Sales[[#This Row],[Mdl Land Intercept]]+Sales[[#This Row],[Mdl LnAcres]])*Sales[[#This Row],[Det/Nbhd Adj]],-2)</f>
        <v>26200</v>
      </c>
      <c r="CW233">
        <f>Sales[[#This Row],[Adjusted Impr Total]]+Sales[[#This Row],[Adjusted Land Total]]</f>
        <v>318600</v>
      </c>
      <c r="CX233" s="15">
        <f>IFERROR((Sales[[#This Row],[Adjusted Impr Total]]-Sales[[#This Row],[24Bldg]])/Sales[[#This Row],[24Bldg]],0)</f>
        <v>0.14308053166536355</v>
      </c>
      <c r="CY233" s="15">
        <f>(Sales[[#This Row],[Adjusted Land Total]]-Sales[[#This Row],[24Lnd]])/Sales[[#This Row],[24Lnd]]</f>
        <v>-0.43043478260869567</v>
      </c>
      <c r="CZ233" s="15">
        <f>(Sales[[#This Row],[Adjusted Total]]-Sales[[#This Row],[24Final]])/Sales[[#This Row],[24Final]]</f>
        <v>5.5666003976143144E-2</v>
      </c>
      <c r="DA233" s="15">
        <f>(Sales[[#This Row],[Adjusted Total]]+Sales[[#This Row],[Days Prior Total]])/Sales[[#This Row],[Price]]</f>
        <v>1.0136302961698709</v>
      </c>
    </row>
    <row r="234" spans="1:105" x14ac:dyDescent="0.3">
      <c r="A234">
        <v>2025</v>
      </c>
      <c r="B234">
        <v>18132333008</v>
      </c>
      <c r="C234">
        <v>-1.6094379124341003</v>
      </c>
      <c r="D234">
        <v>0.2</v>
      </c>
      <c r="E234">
        <v>8505</v>
      </c>
      <c r="F234">
        <v>6</v>
      </c>
      <c r="G234" t="s">
        <v>126</v>
      </c>
      <c r="H234">
        <v>3093</v>
      </c>
      <c r="I234" t="s">
        <v>349</v>
      </c>
      <c r="J234" t="s">
        <v>30</v>
      </c>
      <c r="K234">
        <v>11</v>
      </c>
      <c r="L234">
        <v>259</v>
      </c>
      <c r="M234" t="s">
        <v>242</v>
      </c>
      <c r="N234" t="s">
        <v>302</v>
      </c>
      <c r="O234" t="s">
        <v>323</v>
      </c>
      <c r="P234">
        <v>100</v>
      </c>
      <c r="Q234">
        <v>1930</v>
      </c>
      <c r="R234">
        <v>1970</v>
      </c>
      <c r="S234">
        <v>94</v>
      </c>
      <c r="T234">
        <v>54</v>
      </c>
      <c r="U234">
        <v>1</v>
      </c>
      <c r="V234">
        <v>1280</v>
      </c>
      <c r="W234">
        <v>0</v>
      </c>
      <c r="X234">
        <v>0</v>
      </c>
      <c r="Y234">
        <v>1000</v>
      </c>
      <c r="Z234">
        <v>0</v>
      </c>
      <c r="AA234">
        <v>1000</v>
      </c>
      <c r="AB234">
        <v>2280</v>
      </c>
      <c r="AC234">
        <v>2500</v>
      </c>
      <c r="AD234">
        <v>0</v>
      </c>
      <c r="AF234" t="s">
        <v>383</v>
      </c>
      <c r="AG234" t="s">
        <v>148</v>
      </c>
      <c r="AH234" t="s">
        <v>450</v>
      </c>
      <c r="AI234">
        <v>0</v>
      </c>
      <c r="AJ234">
        <v>0</v>
      </c>
      <c r="AK234">
        <v>0</v>
      </c>
      <c r="AL234">
        <v>1</v>
      </c>
      <c r="AM234">
        <v>0</v>
      </c>
      <c r="AN234">
        <v>9</v>
      </c>
      <c r="AO234">
        <v>0</v>
      </c>
      <c r="AP234">
        <v>0</v>
      </c>
      <c r="AQ234">
        <v>0</v>
      </c>
      <c r="AR234">
        <v>0</v>
      </c>
      <c r="AS234">
        <v>448</v>
      </c>
      <c r="AT234">
        <v>0</v>
      </c>
      <c r="AU234">
        <v>100</v>
      </c>
      <c r="AV234">
        <v>100</v>
      </c>
      <c r="AW234">
        <v>301581</v>
      </c>
      <c r="AX234">
        <v>202059</v>
      </c>
      <c r="AY234">
        <v>481</v>
      </c>
      <c r="AZ234">
        <v>365</v>
      </c>
      <c r="BA234">
        <v>116</v>
      </c>
      <c r="BB234">
        <v>0</v>
      </c>
      <c r="BC234" s="3">
        <v>44811</v>
      </c>
      <c r="BD234" t="s">
        <v>224</v>
      </c>
      <c r="BE234">
        <v>310000</v>
      </c>
      <c r="BF234">
        <v>310000</v>
      </c>
      <c r="BG234" t="s">
        <v>294</v>
      </c>
      <c r="BH234">
        <v>30</v>
      </c>
      <c r="BI234" t="s">
        <v>65</v>
      </c>
      <c r="BJ234" t="s">
        <v>450</v>
      </c>
      <c r="BK234">
        <v>341000</v>
      </c>
      <c r="BL234">
        <v>58400</v>
      </c>
      <c r="BM234">
        <v>282600</v>
      </c>
      <c r="BN234">
        <v>0</v>
      </c>
      <c r="BO234">
        <v>1.1000000000000001</v>
      </c>
      <c r="BP234">
        <v>319177.8186372972</v>
      </c>
      <c r="BQ234">
        <v>343599.51247214398</v>
      </c>
      <c r="BR234" s="12">
        <f>(Sales[[#This Row],[DP1]]*Lookups!$B$59)+(Sales[[#This Row],[DP2]]*Lookups!$B$60)+(Sales[[#This Row],[DP3]]*Lookups!$B$61)</f>
        <v>-24421.693836418002</v>
      </c>
      <c r="BS234" s="12">
        <f>Lookups!$B$56*0</f>
        <v>0</v>
      </c>
      <c r="BT234" s="12">
        <f>Lookups!$B$56*1</f>
        <v>89850.625589999996</v>
      </c>
      <c r="BU234" s="12">
        <f>Lookups!$B$57*Sales[[#This Row],[LnAcres]]</f>
        <v>-50946.13867709865</v>
      </c>
      <c r="BV234" s="12">
        <f>VLOOKUP(Sales[[#This Row],[Qlty]],Lookups!$A$62:$E$75,2,FALSE)</f>
        <v>29814.093161000001</v>
      </c>
      <c r="BW234" s="12">
        <f>VLOOKUP(Sales[[#This Row],[Cnd]],Lookups!$A$76:$E$84,2,FALSE)</f>
        <v>160472.20319</v>
      </c>
      <c r="BX234" s="12">
        <f>Sales[[#This Row],[EffAge]]*Lookups!$B$85</f>
        <v>-12044.462427</v>
      </c>
      <c r="BY234" s="12">
        <f>Sales[[#This Row],[MainFn]]*Lookups!$B$86</f>
        <v>63243.09744256</v>
      </c>
      <c r="BZ234" s="12">
        <f>Sales[[#This Row],[UpprFn]]*Lookups!$B$87</f>
        <v>0</v>
      </c>
      <c r="CA234" s="12">
        <f>Sales[[#This Row],[AddFn]]*Lookups!$B$88</f>
        <v>0</v>
      </c>
      <c r="CB234" s="12">
        <f>Sales[[#This Row],[Bsmt]]*Lookups!$B$89</f>
        <v>29081.895246999997</v>
      </c>
      <c r="CC234" s="12">
        <f>Sales[[#This Row],[Fixtures]]*Lookups!$B$90</f>
        <v>34128.198946800003</v>
      </c>
      <c r="CD234" s="12">
        <f>Sales[[#This Row],[WdDeck]]*Lookups!$B$91</f>
        <v>0</v>
      </c>
      <c r="CE234" s="12">
        <f>SUM(Sales[[#This Row],[Days Prior Total]:[Mdl WdDeck]])</f>
        <v>319177.81863684335</v>
      </c>
      <c r="CF234" s="12">
        <f>ROUND(Sales[[#This Row],[25Det]],-2)</f>
        <v>0</v>
      </c>
      <c r="CG234" s="12">
        <f>ROUND(SUM(Sales[[#This Row],[Mdl Qlty]:[Mdl WdDeck]])+Sales[[#This Row],[Mdl Res Intercept]]+Sales[[#This Row],[Days Prior Total]],-2)</f>
        <v>280300</v>
      </c>
      <c r="CH234" s="12">
        <f>ROUND(Sales[[#This Row],[Mdl Land Intercept]]+Sales[[#This Row],[Mdl LnAcres]],-2)</f>
        <v>38900</v>
      </c>
      <c r="CI234" s="12">
        <f>Sales[[#This Row],[Unadj Res Value]]+Sales[[#This Row],[Unadj Det Value]]+Sales[[#This Row],[Unadj Land Value]]</f>
        <v>319200</v>
      </c>
      <c r="CJ234" s="13">
        <f>Sales[[#This Row],[Unadj Total Value]]/Sales[[#This Row],[Price]]</f>
        <v>1.0296774193548388</v>
      </c>
      <c r="CK234" s="13">
        <f>(Sales[[#This Row],[Unadj Total Value]]-Sales[[#This Row],[24Final]])/Sales[[#This Row],[24Final]]</f>
        <v>-6.392961876832845E-2</v>
      </c>
      <c r="CL234">
        <f>VLOOKUP(Sales[[#This Row],[TNbhd]],Lookups!$Q$2:$T$4,4,FALSE)</f>
        <v>0.99970000000000003</v>
      </c>
      <c r="CM234">
        <f>VLOOKUP(Sales[[#This Row],[Qlty]],Lookups!$O$7:$R$21,4,FALSE)</f>
        <v>1.0088999999999999</v>
      </c>
      <c r="CN234">
        <f>VLOOKUP(Sales[[#This Row],[Cnd]],Lookups!$T$7:$W$16,4,FALSE)</f>
        <v>0.99729999999999996</v>
      </c>
      <c r="CO234">
        <f>VLOOKUP(Sales[[#This Row],[LivArea Range]],Lookups!$T$25:$W$37,4,FALSE)</f>
        <v>0.98919999999999997</v>
      </c>
      <c r="CP234">
        <f>VLOOKUP(Sales[[#This Row],[Decade]],Lookups!$O$25:$R$42,4,FALSE)</f>
        <v>1.0074000000000001</v>
      </c>
      <c r="CQ234">
        <f>Sales[[#This Row],[Nbhd Adj]]*0.95</f>
        <v>0.94971499999999998</v>
      </c>
      <c r="CR234">
        <f>Sales[[#This Row],[Nbhd Adj]]*Sales[[#This Row],[Quality Adj]]*Sales[[#This Row],[Condition Adj]]*Sales[[#This Row],[Living Area Adj]]*Sales[[#This Row],[Decade Adj]]*0.95</f>
        <v>0.95225506796349002</v>
      </c>
      <c r="CS234">
        <f>ROUND(SUM(Sales[[#This Row],[Mdl Qlty]:[Mdl WdDeck]])+Sales[[#This Row],[Mdl Res Intercept]]*Sales[[#This Row],[Res Adj ]],-2)</f>
        <v>304700</v>
      </c>
      <c r="CT234">
        <f>ROUND(Sales[[#This Row],[25Det]]*Sales[[#This Row],[Det/Nbhd Adj]],-2)</f>
        <v>0</v>
      </c>
      <c r="CU234">
        <f>Sales[[#This Row],[Adjusted Res]]+Sales[[#This Row],[Adj Det ]]</f>
        <v>304700</v>
      </c>
      <c r="CV234">
        <f>ROUND((Sales[[#This Row],[Mdl Land Intercept]]+Sales[[#This Row],[Mdl LnAcres]])*Sales[[#This Row],[Det/Nbhd Adj]],-2)</f>
        <v>36900</v>
      </c>
      <c r="CW234">
        <f>Sales[[#This Row],[Adjusted Impr Total]]+Sales[[#This Row],[Adjusted Land Total]]</f>
        <v>341600</v>
      </c>
      <c r="CX234" s="15">
        <f>IFERROR((Sales[[#This Row],[Adjusted Impr Total]]-Sales[[#This Row],[24Bldg]])/Sales[[#This Row],[24Bldg]],0)</f>
        <v>7.8202406227883936E-2</v>
      </c>
      <c r="CY234" s="15">
        <f>(Sales[[#This Row],[Adjusted Land Total]]-Sales[[#This Row],[24Lnd]])/Sales[[#This Row],[24Lnd]]</f>
        <v>-0.36815068493150682</v>
      </c>
      <c r="CZ234" s="15">
        <f>(Sales[[#This Row],[Adjusted Total]]-Sales[[#This Row],[24Final]])/Sales[[#This Row],[24Final]]</f>
        <v>1.7595307917888563E-3</v>
      </c>
      <c r="DA234" s="15">
        <f>(Sales[[#This Row],[Adjusted Total]]+Sales[[#This Row],[Days Prior Total]])/Sales[[#This Row],[Price]]</f>
        <v>1.0231558263341356</v>
      </c>
    </row>
    <row r="235" spans="1:105" x14ac:dyDescent="0.3">
      <c r="A235">
        <v>2025</v>
      </c>
      <c r="B235">
        <v>18132334454</v>
      </c>
      <c r="C235">
        <v>-1.7719568419318752</v>
      </c>
      <c r="D235">
        <v>0.17</v>
      </c>
      <c r="E235">
        <v>0</v>
      </c>
      <c r="F235">
        <v>6</v>
      </c>
      <c r="G235" t="s">
        <v>126</v>
      </c>
      <c r="H235">
        <v>3093</v>
      </c>
      <c r="I235" t="s">
        <v>349</v>
      </c>
      <c r="J235" t="s">
        <v>30</v>
      </c>
      <c r="K235">
        <v>11</v>
      </c>
      <c r="L235">
        <v>259</v>
      </c>
      <c r="M235" t="s">
        <v>147</v>
      </c>
      <c r="N235" t="s">
        <v>351</v>
      </c>
      <c r="O235" t="s">
        <v>323</v>
      </c>
      <c r="P235">
        <v>100</v>
      </c>
      <c r="Q235">
        <v>1930</v>
      </c>
      <c r="R235">
        <v>1970</v>
      </c>
      <c r="S235">
        <v>94</v>
      </c>
      <c r="T235">
        <v>54</v>
      </c>
      <c r="U235">
        <v>2</v>
      </c>
      <c r="V235">
        <v>884</v>
      </c>
      <c r="W235">
        <v>442</v>
      </c>
      <c r="X235">
        <v>0</v>
      </c>
      <c r="Y235">
        <v>884</v>
      </c>
      <c r="Z235">
        <v>884</v>
      </c>
      <c r="AA235">
        <v>0</v>
      </c>
      <c r="AB235">
        <v>1326</v>
      </c>
      <c r="AC235">
        <v>1500</v>
      </c>
      <c r="AD235">
        <v>0</v>
      </c>
      <c r="AF235" t="s">
        <v>383</v>
      </c>
      <c r="AG235" t="s">
        <v>148</v>
      </c>
      <c r="AH235" t="s">
        <v>450</v>
      </c>
      <c r="AI235">
        <v>0</v>
      </c>
      <c r="AJ235">
        <v>1</v>
      </c>
      <c r="AK235">
        <v>0</v>
      </c>
      <c r="AL235">
        <v>0</v>
      </c>
      <c r="AM235">
        <v>0</v>
      </c>
      <c r="AN235">
        <v>5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100</v>
      </c>
      <c r="AV235">
        <v>100</v>
      </c>
      <c r="AW235">
        <v>208964</v>
      </c>
      <c r="AX235">
        <v>140006</v>
      </c>
      <c r="AY235">
        <v>172</v>
      </c>
      <c r="AZ235">
        <v>172</v>
      </c>
      <c r="BA235">
        <v>0</v>
      </c>
      <c r="BB235">
        <v>0</v>
      </c>
      <c r="BC235" s="3">
        <v>45120</v>
      </c>
      <c r="BD235" t="s">
        <v>155</v>
      </c>
      <c r="BE235">
        <v>295000</v>
      </c>
      <c r="BF235">
        <v>288976</v>
      </c>
      <c r="BG235" t="s">
        <v>294</v>
      </c>
      <c r="BH235">
        <v>30</v>
      </c>
      <c r="BI235" t="s">
        <v>65</v>
      </c>
      <c r="BJ235" t="s">
        <v>450</v>
      </c>
      <c r="BK235">
        <v>290400</v>
      </c>
      <c r="BL235">
        <v>52700</v>
      </c>
      <c r="BM235">
        <v>237700</v>
      </c>
      <c r="BN235">
        <v>6024</v>
      </c>
      <c r="BO235">
        <v>0.98440677966101697</v>
      </c>
      <c r="BP235">
        <v>299750.44165781763</v>
      </c>
      <c r="BQ235">
        <v>311886.45146713121</v>
      </c>
      <c r="BR235" s="12">
        <f>(Sales[[#This Row],[DP1]]*Lookups!$B$59)+(Sales[[#This Row],[DP2]]*Lookups!$B$60)+(Sales[[#This Row],[DP3]]*Lookups!$B$61)</f>
        <v>-12136.009810040001</v>
      </c>
      <c r="BS235" s="12">
        <f>Lookups!$B$56*0</f>
        <v>0</v>
      </c>
      <c r="BT235" s="12">
        <f>Lookups!$B$56*1</f>
        <v>89850.625589999996</v>
      </c>
      <c r="BU235" s="12">
        <f>Lookups!$B$57*Sales[[#This Row],[LnAcres]]</f>
        <v>-56090.612940989391</v>
      </c>
      <c r="BV235" s="12">
        <f>VLOOKUP(Sales[[#This Row],[Qlty]],Lookups!$A$62:$E$75,2,FALSE)</f>
        <v>21557.329055999999</v>
      </c>
      <c r="BW235" s="12">
        <f>VLOOKUP(Sales[[#This Row],[Cnd]],Lookups!$A$76:$E$84,2,FALSE)</f>
        <v>160472.20319</v>
      </c>
      <c r="BX235" s="12">
        <f>Sales[[#This Row],[EffAge]]*Lookups!$B$85</f>
        <v>-12044.462427</v>
      </c>
      <c r="BY235" s="12">
        <f>Sales[[#This Row],[MainFn]]*Lookups!$B$86</f>
        <v>43677.264171267998</v>
      </c>
      <c r="BZ235" s="12">
        <f>Sales[[#This Row],[UpprFn]]*Lookups!$B$87</f>
        <v>19795.598904562001</v>
      </c>
      <c r="CA235" s="12">
        <f>Sales[[#This Row],[AddFn]]*Lookups!$B$88</f>
        <v>0</v>
      </c>
      <c r="CB235" s="12">
        <f>Sales[[#This Row],[Bsmt]]*Lookups!$B$89</f>
        <v>25708.395398347999</v>
      </c>
      <c r="CC235" s="12">
        <f>Sales[[#This Row],[Fixtures]]*Lookups!$B$90</f>
        <v>18960.110526</v>
      </c>
      <c r="CD235" s="12">
        <f>Sales[[#This Row],[WdDeck]]*Lookups!$B$91</f>
        <v>0</v>
      </c>
      <c r="CE235" s="12">
        <f>SUM(Sales[[#This Row],[Days Prior Total]:[Mdl WdDeck]])</f>
        <v>299750.4416581486</v>
      </c>
      <c r="CF235" s="12">
        <f>ROUND(Sales[[#This Row],[25Det]],-2)</f>
        <v>6000</v>
      </c>
      <c r="CG235" s="12">
        <f>ROUND(SUM(Sales[[#This Row],[Mdl Qlty]:[Mdl WdDeck]])+Sales[[#This Row],[Mdl Res Intercept]]+Sales[[#This Row],[Days Prior Total]],-2)</f>
        <v>266000</v>
      </c>
      <c r="CH235" s="12">
        <f>ROUND(Sales[[#This Row],[Mdl Land Intercept]]+Sales[[#This Row],[Mdl LnAcres]],-2)</f>
        <v>33800</v>
      </c>
      <c r="CI235" s="12">
        <f>Sales[[#This Row],[Unadj Res Value]]+Sales[[#This Row],[Unadj Det Value]]+Sales[[#This Row],[Unadj Land Value]]</f>
        <v>305800</v>
      </c>
      <c r="CJ235" s="13">
        <f>Sales[[#This Row],[Unadj Total Value]]/Sales[[#This Row],[Price]]</f>
        <v>1.0366101694915255</v>
      </c>
      <c r="CK235" s="13">
        <f>(Sales[[#This Row],[Unadj Total Value]]-Sales[[#This Row],[24Final]])/Sales[[#This Row],[24Final]]</f>
        <v>5.3030303030303032E-2</v>
      </c>
      <c r="CL235">
        <f>VLOOKUP(Sales[[#This Row],[TNbhd]],Lookups!$Q$2:$T$4,4,FALSE)</f>
        <v>0.99970000000000003</v>
      </c>
      <c r="CM235">
        <f>VLOOKUP(Sales[[#This Row],[Qlty]],Lookups!$O$7:$R$21,4,FALSE)</f>
        <v>1.0067999999999999</v>
      </c>
      <c r="CN235">
        <f>VLOOKUP(Sales[[#This Row],[Cnd]],Lookups!$T$7:$W$16,4,FALSE)</f>
        <v>0.99729999999999996</v>
      </c>
      <c r="CO235">
        <f>VLOOKUP(Sales[[#This Row],[LivArea Range]],Lookups!$T$25:$W$37,4,FALSE)</f>
        <v>1.0157</v>
      </c>
      <c r="CP235">
        <f>VLOOKUP(Sales[[#This Row],[Decade]],Lookups!$O$25:$R$42,4,FALSE)</f>
        <v>1.0074000000000001</v>
      </c>
      <c r="CQ235">
        <f>Sales[[#This Row],[Nbhd Adj]]*0.95</f>
        <v>0.94971499999999998</v>
      </c>
      <c r="CR235">
        <f>Sales[[#This Row],[Nbhd Adj]]*Sales[[#This Row],[Quality Adj]]*Sales[[#This Row],[Condition Adj]]*Sales[[#This Row],[Living Area Adj]]*Sales[[#This Row],[Decade Adj]]*0.95</f>
        <v>0.97573014419916293</v>
      </c>
      <c r="CS235">
        <f>ROUND(SUM(Sales[[#This Row],[Mdl Qlty]:[Mdl WdDeck]])+Sales[[#This Row],[Mdl Res Intercept]]*Sales[[#This Row],[Res Adj ]],-2)</f>
        <v>278100</v>
      </c>
      <c r="CT235">
        <f>ROUND(Sales[[#This Row],[25Det]]*Sales[[#This Row],[Det/Nbhd Adj]],-2)</f>
        <v>5700</v>
      </c>
      <c r="CU235">
        <f>Sales[[#This Row],[Adjusted Res]]+Sales[[#This Row],[Adj Det ]]</f>
        <v>283800</v>
      </c>
      <c r="CV235">
        <f>ROUND((Sales[[#This Row],[Mdl Land Intercept]]+Sales[[#This Row],[Mdl LnAcres]])*Sales[[#This Row],[Det/Nbhd Adj]],-2)</f>
        <v>32100</v>
      </c>
      <c r="CW235">
        <f>Sales[[#This Row],[Adjusted Impr Total]]+Sales[[#This Row],[Adjusted Land Total]]</f>
        <v>315900</v>
      </c>
      <c r="CX235" s="15">
        <f>IFERROR((Sales[[#This Row],[Adjusted Impr Total]]-Sales[[#This Row],[24Bldg]])/Sales[[#This Row],[24Bldg]],0)</f>
        <v>0.19394194362641987</v>
      </c>
      <c r="CY235" s="15">
        <f>(Sales[[#This Row],[Adjusted Land Total]]-Sales[[#This Row],[24Lnd]])/Sales[[#This Row],[24Lnd]]</f>
        <v>-0.39089184060721061</v>
      </c>
      <c r="CZ235" s="15">
        <f>(Sales[[#This Row],[Adjusted Total]]-Sales[[#This Row],[24Final]])/Sales[[#This Row],[24Final]]</f>
        <v>8.78099173553719E-2</v>
      </c>
      <c r="DA235" s="15">
        <f>(Sales[[#This Row],[Adjusted Total]]+Sales[[#This Row],[Days Prior Total]])/Sales[[#This Row],[Price]]</f>
        <v>1.0297084413218982</v>
      </c>
    </row>
    <row r="236" spans="1:105" x14ac:dyDescent="0.3">
      <c r="A236">
        <v>2025</v>
      </c>
      <c r="B236">
        <v>18132213050</v>
      </c>
      <c r="C236">
        <v>-1.6094379124341003</v>
      </c>
      <c r="D236">
        <v>0.2</v>
      </c>
      <c r="E236">
        <v>8851</v>
      </c>
      <c r="F236">
        <v>6</v>
      </c>
      <c r="G236" t="s">
        <v>126</v>
      </c>
      <c r="H236">
        <v>3033</v>
      </c>
      <c r="I236" t="s">
        <v>349</v>
      </c>
      <c r="J236" t="s">
        <v>30</v>
      </c>
      <c r="K236">
        <v>11</v>
      </c>
      <c r="L236">
        <v>259</v>
      </c>
      <c r="M236" t="s">
        <v>242</v>
      </c>
      <c r="N236" t="s">
        <v>351</v>
      </c>
      <c r="O236" t="s">
        <v>303</v>
      </c>
      <c r="P236">
        <v>100</v>
      </c>
      <c r="Q236">
        <v>1930</v>
      </c>
      <c r="R236">
        <v>1970</v>
      </c>
      <c r="S236">
        <v>94</v>
      </c>
      <c r="T236">
        <v>54</v>
      </c>
      <c r="U236">
        <v>1</v>
      </c>
      <c r="V236">
        <v>816</v>
      </c>
      <c r="W236">
        <v>0</v>
      </c>
      <c r="X236">
        <v>0</v>
      </c>
      <c r="Y236">
        <v>547</v>
      </c>
      <c r="Z236">
        <v>211</v>
      </c>
      <c r="AA236">
        <v>336</v>
      </c>
      <c r="AB236">
        <v>1152</v>
      </c>
      <c r="AC236">
        <v>1500</v>
      </c>
      <c r="AD236">
        <v>0</v>
      </c>
      <c r="AF236" t="s">
        <v>383</v>
      </c>
      <c r="AG236" t="s">
        <v>148</v>
      </c>
      <c r="AH236" t="s">
        <v>450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8</v>
      </c>
      <c r="AO236">
        <v>0</v>
      </c>
      <c r="AP236">
        <v>0</v>
      </c>
      <c r="AQ236">
        <v>176</v>
      </c>
      <c r="AR236">
        <v>0</v>
      </c>
      <c r="AS236">
        <v>99</v>
      </c>
      <c r="AT236">
        <v>99</v>
      </c>
      <c r="AU236">
        <v>100</v>
      </c>
      <c r="AV236">
        <v>100</v>
      </c>
      <c r="AW236">
        <v>170146</v>
      </c>
      <c r="AX236">
        <v>127610</v>
      </c>
      <c r="AY236">
        <v>439</v>
      </c>
      <c r="AZ236">
        <v>365</v>
      </c>
      <c r="BA236">
        <v>74</v>
      </c>
      <c r="BB236">
        <v>0</v>
      </c>
      <c r="BC236" s="3">
        <v>44853</v>
      </c>
      <c r="BD236" t="s">
        <v>360</v>
      </c>
      <c r="BE236">
        <v>300000</v>
      </c>
      <c r="BF236">
        <v>295630</v>
      </c>
      <c r="BG236" t="s">
        <v>294</v>
      </c>
      <c r="BH236">
        <v>30</v>
      </c>
      <c r="BI236" t="s">
        <v>65</v>
      </c>
      <c r="BJ236" t="s">
        <v>450</v>
      </c>
      <c r="BK236">
        <v>307500</v>
      </c>
      <c r="BL236">
        <v>58400</v>
      </c>
      <c r="BM236">
        <v>249100</v>
      </c>
      <c r="BN236">
        <v>4370</v>
      </c>
      <c r="BO236">
        <v>1.0249999999999999</v>
      </c>
      <c r="BP236">
        <v>307827.16187006788</v>
      </c>
      <c r="BQ236">
        <v>332731.14891430939</v>
      </c>
      <c r="BR236" s="12">
        <f>(Sales[[#This Row],[DP1]]*Lookups!$B$59)+(Sales[[#This Row],[DP2]]*Lookups!$B$60)+(Sales[[#This Row],[DP3]]*Lookups!$B$61)</f>
        <v>-24903.987045802001</v>
      </c>
      <c r="BS236" s="12">
        <f>Lookups!$B$56*0</f>
        <v>0</v>
      </c>
      <c r="BT236" s="12">
        <f>Lookups!$B$56*1</f>
        <v>89850.625589999996</v>
      </c>
      <c r="BU236" s="12">
        <f>Lookups!$B$57*Sales[[#This Row],[LnAcres]]</f>
        <v>-50946.13867709865</v>
      </c>
      <c r="BV236" s="12">
        <f>VLOOKUP(Sales[[#This Row],[Qlty]],Lookups!$A$62:$E$75,2,FALSE)</f>
        <v>21557.329055999999</v>
      </c>
      <c r="BW236" s="12">
        <f>VLOOKUP(Sales[[#This Row],[Cnd]],Lookups!$A$76:$E$84,2,FALSE)</f>
        <v>197752.34721000001</v>
      </c>
      <c r="BX236" s="12">
        <f>Sales[[#This Row],[EffAge]]*Lookups!$B$85</f>
        <v>-12044.462427</v>
      </c>
      <c r="BY236" s="12">
        <f>Sales[[#This Row],[MainFn]]*Lookups!$B$86</f>
        <v>40317.474619631997</v>
      </c>
      <c r="BZ236" s="12">
        <f>Sales[[#This Row],[UpprFn]]*Lookups!$B$87</f>
        <v>0</v>
      </c>
      <c r="CA236" s="12">
        <f>Sales[[#This Row],[AddFn]]*Lookups!$B$88</f>
        <v>0</v>
      </c>
      <c r="CB236" s="12">
        <f>Sales[[#This Row],[Bsmt]]*Lookups!$B$89</f>
        <v>15907.796700109</v>
      </c>
      <c r="CC236" s="12">
        <f>Sales[[#This Row],[Fixtures]]*Lookups!$B$90</f>
        <v>30336.176841600001</v>
      </c>
      <c r="CD236" s="12">
        <f>Sales[[#This Row],[WdDeck]]*Lookups!$B$91</f>
        <v>0</v>
      </c>
      <c r="CE236" s="12">
        <f>SUM(Sales[[#This Row],[Days Prior Total]:[Mdl WdDeck]])</f>
        <v>307827.16186744033</v>
      </c>
      <c r="CF236" s="12">
        <f>ROUND(Sales[[#This Row],[25Det]],-2)</f>
        <v>4400</v>
      </c>
      <c r="CG236" s="12">
        <f>ROUND(SUM(Sales[[#This Row],[Mdl Qlty]:[Mdl WdDeck]])+Sales[[#This Row],[Mdl Res Intercept]]+Sales[[#This Row],[Days Prior Total]],-2)</f>
        <v>268900</v>
      </c>
      <c r="CH236" s="12">
        <f>ROUND(Sales[[#This Row],[Mdl Land Intercept]]+Sales[[#This Row],[Mdl LnAcres]],-2)</f>
        <v>38900</v>
      </c>
      <c r="CI236" s="12">
        <f>Sales[[#This Row],[Unadj Res Value]]+Sales[[#This Row],[Unadj Det Value]]+Sales[[#This Row],[Unadj Land Value]]</f>
        <v>312200</v>
      </c>
      <c r="CJ236" s="13">
        <f>Sales[[#This Row],[Unadj Total Value]]/Sales[[#This Row],[Price]]</f>
        <v>1.0406666666666666</v>
      </c>
      <c r="CK236" s="13">
        <f>(Sales[[#This Row],[Unadj Total Value]]-Sales[[#This Row],[24Final]])/Sales[[#This Row],[24Final]]</f>
        <v>1.5284552845528456E-2</v>
      </c>
      <c r="CL236">
        <f>VLOOKUP(Sales[[#This Row],[TNbhd]],Lookups!$Q$2:$T$4,4,FALSE)</f>
        <v>0.99970000000000003</v>
      </c>
      <c r="CM236">
        <f>VLOOKUP(Sales[[#This Row],[Qlty]],Lookups!$O$7:$R$21,4,FALSE)</f>
        <v>1.0067999999999999</v>
      </c>
      <c r="CN236">
        <f>VLOOKUP(Sales[[#This Row],[Cnd]],Lookups!$T$7:$W$16,4,FALSE)</f>
        <v>0.99650000000000005</v>
      </c>
      <c r="CO236">
        <f>VLOOKUP(Sales[[#This Row],[LivArea Range]],Lookups!$T$25:$W$37,4,FALSE)</f>
        <v>1.0157</v>
      </c>
      <c r="CP236">
        <f>VLOOKUP(Sales[[#This Row],[Decade]],Lookups!$O$25:$R$42,4,FALSE)</f>
        <v>1.0074000000000001</v>
      </c>
      <c r="CQ236">
        <f>Sales[[#This Row],[Nbhd Adj]]*0.95</f>
        <v>0.94971499999999998</v>
      </c>
      <c r="CR236">
        <f>Sales[[#This Row],[Nbhd Adj]]*Sales[[#This Row],[Quality Adj]]*Sales[[#This Row],[Condition Adj]]*Sales[[#This Row],[Living Area Adj]]*Sales[[#This Row],[Decade Adj]]*0.95</f>
        <v>0.97494744680082823</v>
      </c>
      <c r="CS236">
        <f>ROUND(SUM(Sales[[#This Row],[Mdl Qlty]:[Mdl WdDeck]])+Sales[[#This Row],[Mdl Res Intercept]]*Sales[[#This Row],[Res Adj ]],-2)</f>
        <v>293800</v>
      </c>
      <c r="CT236">
        <f>ROUND(Sales[[#This Row],[25Det]]*Sales[[#This Row],[Det/Nbhd Adj]],-2)</f>
        <v>4200</v>
      </c>
      <c r="CU236">
        <f>Sales[[#This Row],[Adjusted Res]]+Sales[[#This Row],[Adj Det ]]</f>
        <v>298000</v>
      </c>
      <c r="CV236">
        <f>ROUND((Sales[[#This Row],[Mdl Land Intercept]]+Sales[[#This Row],[Mdl LnAcres]])*Sales[[#This Row],[Det/Nbhd Adj]],-2)</f>
        <v>36900</v>
      </c>
      <c r="CW236">
        <f>Sales[[#This Row],[Adjusted Impr Total]]+Sales[[#This Row],[Adjusted Land Total]]</f>
        <v>334900</v>
      </c>
      <c r="CX236" s="15">
        <f>IFERROR((Sales[[#This Row],[Adjusted Impr Total]]-Sales[[#This Row],[24Bldg]])/Sales[[#This Row],[24Bldg]],0)</f>
        <v>0.1963067041348856</v>
      </c>
      <c r="CY236" s="15">
        <f>(Sales[[#This Row],[Adjusted Land Total]]-Sales[[#This Row],[24Lnd]])/Sales[[#This Row],[24Lnd]]</f>
        <v>-0.36815068493150682</v>
      </c>
      <c r="CZ236" s="15">
        <f>(Sales[[#This Row],[Adjusted Total]]-Sales[[#This Row],[24Final]])/Sales[[#This Row],[24Final]]</f>
        <v>8.9105691056910574E-2</v>
      </c>
      <c r="DA236" s="15">
        <f>(Sales[[#This Row],[Adjusted Total]]+Sales[[#This Row],[Days Prior Total]])/Sales[[#This Row],[Price]]</f>
        <v>1.03332004318066</v>
      </c>
    </row>
    <row r="237" spans="1:105" x14ac:dyDescent="0.3">
      <c r="A237">
        <v>2025</v>
      </c>
      <c r="B237">
        <v>18132242015</v>
      </c>
      <c r="C237">
        <v>-0.82098055206983023</v>
      </c>
      <c r="D237">
        <v>0.44</v>
      </c>
      <c r="E237">
        <v>18993</v>
      </c>
      <c r="F237">
        <v>6</v>
      </c>
      <c r="G237" t="s">
        <v>126</v>
      </c>
      <c r="H237" t="s">
        <v>349</v>
      </c>
      <c r="I237" t="s">
        <v>349</v>
      </c>
      <c r="J237" t="s">
        <v>30</v>
      </c>
      <c r="K237">
        <v>11</v>
      </c>
      <c r="L237">
        <v>259</v>
      </c>
      <c r="M237" t="s">
        <v>173</v>
      </c>
      <c r="N237" t="s">
        <v>148</v>
      </c>
      <c r="O237" t="s">
        <v>96</v>
      </c>
      <c r="P237">
        <v>100</v>
      </c>
      <c r="Q237">
        <v>1930</v>
      </c>
      <c r="R237">
        <v>1970</v>
      </c>
      <c r="S237">
        <v>94</v>
      </c>
      <c r="T237">
        <v>54</v>
      </c>
      <c r="U237">
        <v>2</v>
      </c>
      <c r="V237">
        <v>1326</v>
      </c>
      <c r="W237">
        <v>1614</v>
      </c>
      <c r="X237">
        <v>0</v>
      </c>
      <c r="Y237">
        <v>0</v>
      </c>
      <c r="Z237">
        <v>0</v>
      </c>
      <c r="AA237">
        <v>0</v>
      </c>
      <c r="AB237">
        <v>2940</v>
      </c>
      <c r="AC237">
        <v>3000</v>
      </c>
      <c r="AD237">
        <v>0</v>
      </c>
      <c r="AF237" t="s">
        <v>208</v>
      </c>
      <c r="AG237" t="s">
        <v>382</v>
      </c>
      <c r="AI237">
        <v>0</v>
      </c>
      <c r="AJ237">
        <v>0</v>
      </c>
      <c r="AK237">
        <v>0</v>
      </c>
      <c r="AL237">
        <v>1</v>
      </c>
      <c r="AM237">
        <v>0</v>
      </c>
      <c r="AN237">
        <v>14</v>
      </c>
      <c r="AO237">
        <v>0</v>
      </c>
      <c r="AP237">
        <v>0</v>
      </c>
      <c r="AQ237">
        <v>0</v>
      </c>
      <c r="AR237">
        <v>160</v>
      </c>
      <c r="AS237">
        <v>0</v>
      </c>
      <c r="AT237">
        <v>0</v>
      </c>
      <c r="AU237">
        <v>100</v>
      </c>
      <c r="AV237">
        <v>100</v>
      </c>
      <c r="AW237">
        <v>404905</v>
      </c>
      <c r="AX237">
        <v>327973</v>
      </c>
      <c r="AY237">
        <v>110</v>
      </c>
      <c r="AZ237">
        <v>110</v>
      </c>
      <c r="BA237">
        <v>0</v>
      </c>
      <c r="BB237">
        <v>0</v>
      </c>
      <c r="BC237" s="3">
        <v>45182</v>
      </c>
      <c r="BD237" t="s">
        <v>167</v>
      </c>
      <c r="BE237">
        <v>632000</v>
      </c>
      <c r="BF237">
        <v>608218</v>
      </c>
      <c r="BG237" t="s">
        <v>294</v>
      </c>
      <c r="BH237">
        <v>30</v>
      </c>
      <c r="BI237" t="s">
        <v>65</v>
      </c>
      <c r="BJ237" t="s">
        <v>450</v>
      </c>
      <c r="BK237">
        <v>494400</v>
      </c>
      <c r="BL237">
        <v>85900</v>
      </c>
      <c r="BM237">
        <v>408500</v>
      </c>
      <c r="BN237">
        <v>23782</v>
      </c>
      <c r="BO237">
        <v>0.78227848101265818</v>
      </c>
      <c r="BP237">
        <v>638465.14256445959</v>
      </c>
      <c r="BQ237">
        <v>646226.54418669501</v>
      </c>
      <c r="BR237" s="12">
        <f>(Sales[[#This Row],[DP1]]*Lookups!$B$59)+(Sales[[#This Row],[DP2]]*Lookups!$B$60)+(Sales[[#This Row],[DP3]]*Lookups!$B$61)</f>
        <v>-7761.4016227000011</v>
      </c>
      <c r="BS237" s="12">
        <f>Lookups!$B$56*0</f>
        <v>0</v>
      </c>
      <c r="BT237" s="12">
        <f>Lookups!$B$56*1</f>
        <v>89850.625589999996</v>
      </c>
      <c r="BU237" s="12">
        <f>Lookups!$B$57*Sales[[#This Row],[LnAcres]]</f>
        <v>-25987.823906604521</v>
      </c>
      <c r="BV237" s="12">
        <f>VLOOKUP(Sales[[#This Row],[Qlty]],Lookups!$A$62:$E$75,2,FALSE)</f>
        <v>44121.038090000002</v>
      </c>
      <c r="BW237" s="12">
        <f>VLOOKUP(Sales[[#This Row],[Cnd]],Lookups!$A$76:$E$84,2,FALSE)</f>
        <v>354070.39217000001</v>
      </c>
      <c r="BX237" s="12">
        <f>Sales[[#This Row],[EffAge]]*Lookups!$B$85</f>
        <v>-12044.462427</v>
      </c>
      <c r="BY237" s="12">
        <f>Sales[[#This Row],[MainFn]]*Lookups!$B$86</f>
        <v>65515.896256902</v>
      </c>
      <c r="BZ237" s="12">
        <f>Sales[[#This Row],[UpprFn]]*Lookups!$B$87</f>
        <v>72285.286497654</v>
      </c>
      <c r="CA237" s="12">
        <f>Sales[[#This Row],[AddFn]]*Lookups!$B$88</f>
        <v>0</v>
      </c>
      <c r="CB237" s="12">
        <f>Sales[[#This Row],[Bsmt]]*Lookups!$B$89</f>
        <v>0</v>
      </c>
      <c r="CC237" s="12">
        <f>Sales[[#This Row],[Fixtures]]*Lookups!$B$90</f>
        <v>53088.3094728</v>
      </c>
      <c r="CD237" s="12">
        <f>Sales[[#This Row],[WdDeck]]*Lookups!$B$91</f>
        <v>5327.2824441600005</v>
      </c>
      <c r="CE237" s="12">
        <f>SUM(Sales[[#This Row],[Days Prior Total]:[Mdl WdDeck]])</f>
        <v>638465.14256521151</v>
      </c>
      <c r="CF237" s="12">
        <f>ROUND(Sales[[#This Row],[25Det]],-2)</f>
        <v>23800</v>
      </c>
      <c r="CG237" s="12">
        <f>ROUND(SUM(Sales[[#This Row],[Mdl Qlty]:[Mdl WdDeck]])+Sales[[#This Row],[Mdl Res Intercept]]+Sales[[#This Row],[Days Prior Total]],-2)</f>
        <v>574600</v>
      </c>
      <c r="CH237" s="12">
        <f>ROUND(Sales[[#This Row],[Mdl Land Intercept]]+Sales[[#This Row],[Mdl LnAcres]],-2)</f>
        <v>63900</v>
      </c>
      <c r="CI237" s="12">
        <f>Sales[[#This Row],[Unadj Res Value]]+Sales[[#This Row],[Unadj Det Value]]+Sales[[#This Row],[Unadj Land Value]]</f>
        <v>662300</v>
      </c>
      <c r="CJ237" s="13">
        <f>Sales[[#This Row],[Unadj Total Value]]/Sales[[#This Row],[Price]]</f>
        <v>1.0479430379746835</v>
      </c>
      <c r="CK237" s="13">
        <f>(Sales[[#This Row],[Unadj Total Value]]-Sales[[#This Row],[24Final]])/Sales[[#This Row],[24Final]]</f>
        <v>0.33960355987055019</v>
      </c>
      <c r="CL237">
        <f>VLOOKUP(Sales[[#This Row],[TNbhd]],Lookups!$Q$2:$T$4,4,FALSE)</f>
        <v>0.99970000000000003</v>
      </c>
      <c r="CM237">
        <f>VLOOKUP(Sales[[#This Row],[Qlty]],Lookups!$O$7:$R$21,4,FALSE)</f>
        <v>0.98050000000000004</v>
      </c>
      <c r="CN237">
        <f>VLOOKUP(Sales[[#This Row],[Cnd]],Lookups!$T$7:$W$16,4,FALSE)</f>
        <v>1.1303000000000001</v>
      </c>
      <c r="CO237">
        <f>VLOOKUP(Sales[[#This Row],[LivArea Range]],Lookups!$T$25:$W$37,4,FALSE)</f>
        <v>0.96179999999999999</v>
      </c>
      <c r="CP237">
        <f>VLOOKUP(Sales[[#This Row],[Decade]],Lookups!$O$25:$R$42,4,FALSE)</f>
        <v>1.0074000000000001</v>
      </c>
      <c r="CQ237">
        <f>Sales[[#This Row],[Nbhd Adj]]*0.95</f>
        <v>0.94971499999999998</v>
      </c>
      <c r="CR237">
        <f>Sales[[#This Row],[Nbhd Adj]]*Sales[[#This Row],[Quality Adj]]*Sales[[#This Row],[Condition Adj]]*Sales[[#This Row],[Living Area Adj]]*Sales[[#This Row],[Decade Adj]]*0.95</f>
        <v>1.0198148749359415</v>
      </c>
      <c r="CS237">
        <f>ROUND(SUM(Sales[[#This Row],[Mdl Qlty]:[Mdl WdDeck]])+Sales[[#This Row],[Mdl Res Intercept]]*Sales[[#This Row],[Res Adj ]],-2)</f>
        <v>582400</v>
      </c>
      <c r="CT237">
        <f>ROUND(Sales[[#This Row],[25Det]]*Sales[[#This Row],[Det/Nbhd Adj]],-2)</f>
        <v>22600</v>
      </c>
      <c r="CU237">
        <f>Sales[[#This Row],[Adjusted Res]]+Sales[[#This Row],[Adj Det ]]</f>
        <v>605000</v>
      </c>
      <c r="CV237">
        <f>ROUND((Sales[[#This Row],[Mdl Land Intercept]]+Sales[[#This Row],[Mdl LnAcres]])*Sales[[#This Row],[Det/Nbhd Adj]],-2)</f>
        <v>60700</v>
      </c>
      <c r="CW237">
        <f>Sales[[#This Row],[Adjusted Impr Total]]+Sales[[#This Row],[Adjusted Land Total]]</f>
        <v>665700</v>
      </c>
      <c r="CX237" s="15">
        <f>IFERROR((Sales[[#This Row],[Adjusted Impr Total]]-Sales[[#This Row],[24Bldg]])/Sales[[#This Row],[24Bldg]],0)</f>
        <v>0.48102815177478581</v>
      </c>
      <c r="CY237" s="15">
        <f>(Sales[[#This Row],[Adjusted Land Total]]-Sales[[#This Row],[24Lnd]])/Sales[[#This Row],[24Lnd]]</f>
        <v>-0.29336437718277064</v>
      </c>
      <c r="CZ237" s="15">
        <f>(Sales[[#This Row],[Adjusted Total]]-Sales[[#This Row],[24Final]])/Sales[[#This Row],[24Final]]</f>
        <v>0.34648058252427183</v>
      </c>
      <c r="DA237" s="15">
        <f>(Sales[[#This Row],[Adjusted Total]]+Sales[[#This Row],[Days Prior Total]])/Sales[[#This Row],[Price]]</f>
        <v>1.0410420860400316</v>
      </c>
    </row>
    <row r="238" spans="1:105" x14ac:dyDescent="0.3">
      <c r="A238">
        <v>2025</v>
      </c>
      <c r="B238">
        <v>18132344013</v>
      </c>
      <c r="C238">
        <v>-1.8971199848858813</v>
      </c>
      <c r="D238">
        <v>0.15</v>
      </c>
      <c r="E238">
        <v>6580</v>
      </c>
      <c r="F238">
        <v>6</v>
      </c>
      <c r="G238" t="s">
        <v>126</v>
      </c>
      <c r="H238">
        <v>3093</v>
      </c>
      <c r="I238" t="s">
        <v>349</v>
      </c>
      <c r="J238" t="s">
        <v>30</v>
      </c>
      <c r="K238">
        <v>11</v>
      </c>
      <c r="L238">
        <v>259</v>
      </c>
      <c r="M238" t="s">
        <v>242</v>
      </c>
      <c r="N238" t="s">
        <v>351</v>
      </c>
      <c r="O238" t="s">
        <v>323</v>
      </c>
      <c r="P238">
        <v>100</v>
      </c>
      <c r="Q238">
        <v>1930</v>
      </c>
      <c r="R238">
        <v>1970</v>
      </c>
      <c r="S238">
        <v>94</v>
      </c>
      <c r="T238">
        <v>54</v>
      </c>
      <c r="U238">
        <v>1</v>
      </c>
      <c r="V238">
        <v>930</v>
      </c>
      <c r="W238">
        <v>0</v>
      </c>
      <c r="X238">
        <v>0</v>
      </c>
      <c r="Y238">
        <v>930</v>
      </c>
      <c r="Z238">
        <v>0</v>
      </c>
      <c r="AA238">
        <v>930</v>
      </c>
      <c r="AB238">
        <v>1860</v>
      </c>
      <c r="AC238">
        <v>2000</v>
      </c>
      <c r="AD238">
        <v>0</v>
      </c>
      <c r="AF238" t="s">
        <v>383</v>
      </c>
      <c r="AG238" t="s">
        <v>148</v>
      </c>
      <c r="AI238">
        <v>0</v>
      </c>
      <c r="AJ238">
        <v>1</v>
      </c>
      <c r="AK238">
        <v>0</v>
      </c>
      <c r="AL238">
        <v>0</v>
      </c>
      <c r="AM238">
        <v>0</v>
      </c>
      <c r="AN238">
        <v>6</v>
      </c>
      <c r="AO238">
        <v>0</v>
      </c>
      <c r="AP238">
        <v>0</v>
      </c>
      <c r="AQ238">
        <v>0</v>
      </c>
      <c r="AR238">
        <v>0</v>
      </c>
      <c r="AS238">
        <v>189</v>
      </c>
      <c r="AT238">
        <v>0</v>
      </c>
      <c r="AU238">
        <v>100</v>
      </c>
      <c r="AV238">
        <v>100</v>
      </c>
      <c r="AW238">
        <v>204276</v>
      </c>
      <c r="AX238">
        <v>136865</v>
      </c>
      <c r="AY238">
        <v>705</v>
      </c>
      <c r="AZ238">
        <v>365</v>
      </c>
      <c r="BA238">
        <v>340</v>
      </c>
      <c r="BB238">
        <v>0</v>
      </c>
      <c r="BC238" s="3">
        <v>44587</v>
      </c>
      <c r="BD238" t="s">
        <v>248</v>
      </c>
      <c r="BE238">
        <v>269100</v>
      </c>
      <c r="BF238">
        <v>259842</v>
      </c>
      <c r="BG238" t="s">
        <v>294</v>
      </c>
      <c r="BH238">
        <v>30</v>
      </c>
      <c r="BI238" t="s">
        <v>65</v>
      </c>
      <c r="BJ238" t="s">
        <v>450</v>
      </c>
      <c r="BK238">
        <v>297000</v>
      </c>
      <c r="BL238">
        <v>48400</v>
      </c>
      <c r="BM238">
        <v>248600</v>
      </c>
      <c r="BN238">
        <v>9258</v>
      </c>
      <c r="BO238">
        <v>1.1036789297658862</v>
      </c>
      <c r="BP238">
        <v>273681.98608364706</v>
      </c>
      <c r="BQ238">
        <v>295531.44946838851</v>
      </c>
      <c r="BR238" s="12">
        <f>(Sales[[#This Row],[DP1]]*Lookups!$B$59)+(Sales[[#This Row],[DP2]]*Lookups!$B$60)+(Sales[[#This Row],[DP3]]*Lookups!$B$61)</f>
        <v>-21849.46338637</v>
      </c>
      <c r="BS238" s="12">
        <f>Lookups!$B$56*0</f>
        <v>0</v>
      </c>
      <c r="BT238" s="12">
        <f>Lookups!$B$56*1</f>
        <v>89850.625589999996</v>
      </c>
      <c r="BU238" s="12">
        <f>Lookups!$B$57*Sales[[#This Row],[LnAcres]]</f>
        <v>-60052.604136134301</v>
      </c>
      <c r="BV238" s="12">
        <f>VLOOKUP(Sales[[#This Row],[Qlty]],Lookups!$A$62:$E$75,2,FALSE)</f>
        <v>21557.329055999999</v>
      </c>
      <c r="BW238" s="12">
        <f>VLOOKUP(Sales[[#This Row],[Cnd]],Lookups!$A$76:$E$84,2,FALSE)</f>
        <v>160472.20319</v>
      </c>
      <c r="BX238" s="12">
        <f>Sales[[#This Row],[EffAge]]*Lookups!$B$85</f>
        <v>-12044.462427</v>
      </c>
      <c r="BY238" s="12">
        <f>Sales[[#This Row],[MainFn]]*Lookups!$B$86</f>
        <v>45950.062985609999</v>
      </c>
      <c r="BZ238" s="12">
        <f>Sales[[#This Row],[UpprFn]]*Lookups!$B$87</f>
        <v>0</v>
      </c>
      <c r="CA238" s="12">
        <f>Sales[[#This Row],[AddFn]]*Lookups!$B$88</f>
        <v>0</v>
      </c>
      <c r="CB238" s="12">
        <f>Sales[[#This Row],[Bsmt]]*Lookups!$B$89</f>
        <v>27046.162579709999</v>
      </c>
      <c r="CC238" s="12">
        <f>Sales[[#This Row],[Fixtures]]*Lookups!$B$90</f>
        <v>22752.132631200002</v>
      </c>
      <c r="CD238" s="12">
        <f>Sales[[#This Row],[WdDeck]]*Lookups!$B$91</f>
        <v>0</v>
      </c>
      <c r="CE238" s="12">
        <f>SUM(Sales[[#This Row],[Days Prior Total]:[Mdl WdDeck]])</f>
        <v>273681.98608301574</v>
      </c>
      <c r="CF238" s="12">
        <f>ROUND(Sales[[#This Row],[25Det]],-2)</f>
        <v>9300</v>
      </c>
      <c r="CG238" s="12">
        <f>ROUND(SUM(Sales[[#This Row],[Mdl Qlty]:[Mdl WdDeck]])+Sales[[#This Row],[Mdl Res Intercept]]+Sales[[#This Row],[Days Prior Total]],-2)</f>
        <v>243900</v>
      </c>
      <c r="CH238" s="12">
        <f>ROUND(Sales[[#This Row],[Mdl Land Intercept]]+Sales[[#This Row],[Mdl LnAcres]],-2)</f>
        <v>29800</v>
      </c>
      <c r="CI238" s="12">
        <f>Sales[[#This Row],[Unadj Res Value]]+Sales[[#This Row],[Unadj Det Value]]+Sales[[#This Row],[Unadj Land Value]]</f>
        <v>283000</v>
      </c>
      <c r="CJ238" s="13">
        <f>Sales[[#This Row],[Unadj Total Value]]/Sales[[#This Row],[Price]]</f>
        <v>1.0516536603493125</v>
      </c>
      <c r="CK238" s="13">
        <f>(Sales[[#This Row],[Unadj Total Value]]-Sales[[#This Row],[24Final]])/Sales[[#This Row],[24Final]]</f>
        <v>-4.7138047138047139E-2</v>
      </c>
      <c r="CL238">
        <f>VLOOKUP(Sales[[#This Row],[TNbhd]],Lookups!$Q$2:$T$4,4,FALSE)</f>
        <v>0.99970000000000003</v>
      </c>
      <c r="CM238">
        <f>VLOOKUP(Sales[[#This Row],[Qlty]],Lookups!$O$7:$R$21,4,FALSE)</f>
        <v>1.0067999999999999</v>
      </c>
      <c r="CN238">
        <f>VLOOKUP(Sales[[#This Row],[Cnd]],Lookups!$T$7:$W$16,4,FALSE)</f>
        <v>0.99729999999999996</v>
      </c>
      <c r="CO238">
        <f>VLOOKUP(Sales[[#This Row],[LivArea Range]],Lookups!$T$25:$W$37,4,FALSE)</f>
        <v>1.0093000000000001</v>
      </c>
      <c r="CP238">
        <f>VLOOKUP(Sales[[#This Row],[Decade]],Lookups!$O$25:$R$42,4,FALSE)</f>
        <v>1.0074000000000001</v>
      </c>
      <c r="CQ238">
        <f>Sales[[#This Row],[Nbhd Adj]]*0.95</f>
        <v>0.94971499999999998</v>
      </c>
      <c r="CR238">
        <f>Sales[[#This Row],[Nbhd Adj]]*Sales[[#This Row],[Quality Adj]]*Sales[[#This Row],[Condition Adj]]*Sales[[#This Row],[Living Area Adj]]*Sales[[#This Row],[Decade Adj]]*0.95</f>
        <v>0.96958199718441984</v>
      </c>
      <c r="CS238">
        <f>ROUND(SUM(Sales[[#This Row],[Mdl Qlty]:[Mdl WdDeck]])+Sales[[#This Row],[Mdl Res Intercept]]*Sales[[#This Row],[Res Adj ]],-2)</f>
        <v>265700</v>
      </c>
      <c r="CT238">
        <f>ROUND(Sales[[#This Row],[25Det]]*Sales[[#This Row],[Det/Nbhd Adj]],-2)</f>
        <v>8800</v>
      </c>
      <c r="CU238">
        <f>Sales[[#This Row],[Adjusted Res]]+Sales[[#This Row],[Adj Det ]]</f>
        <v>274500</v>
      </c>
      <c r="CV238">
        <f>ROUND((Sales[[#This Row],[Mdl Land Intercept]]+Sales[[#This Row],[Mdl LnAcres]])*Sales[[#This Row],[Det/Nbhd Adj]],-2)</f>
        <v>28300</v>
      </c>
      <c r="CW238">
        <f>Sales[[#This Row],[Adjusted Impr Total]]+Sales[[#This Row],[Adjusted Land Total]]</f>
        <v>302800</v>
      </c>
      <c r="CX238" s="15">
        <f>IFERROR((Sales[[#This Row],[Adjusted Impr Total]]-Sales[[#This Row],[24Bldg]])/Sales[[#This Row],[24Bldg]],0)</f>
        <v>0.10418342719227675</v>
      </c>
      <c r="CY238" s="15">
        <f>(Sales[[#This Row],[Adjusted Land Total]]-Sales[[#This Row],[24Lnd]])/Sales[[#This Row],[24Lnd]]</f>
        <v>-0.41528925619834711</v>
      </c>
      <c r="CZ238" s="15">
        <f>(Sales[[#This Row],[Adjusted Total]]-Sales[[#This Row],[24Final]])/Sales[[#This Row],[24Final]]</f>
        <v>1.9528619528619527E-2</v>
      </c>
      <c r="DA238" s="15">
        <f>(Sales[[#This Row],[Adjusted Total]]+Sales[[#This Row],[Days Prior Total]])/Sales[[#This Row],[Price]]</f>
        <v>1.0440376685753623</v>
      </c>
    </row>
    <row r="239" spans="1:105" x14ac:dyDescent="0.3">
      <c r="A239">
        <v>2025</v>
      </c>
      <c r="B239">
        <v>18132213048</v>
      </c>
      <c r="C239">
        <v>-1.5606477482646683</v>
      </c>
      <c r="D239">
        <v>0.21</v>
      </c>
      <c r="E239">
        <v>9104</v>
      </c>
      <c r="F239">
        <v>6</v>
      </c>
      <c r="G239" t="s">
        <v>126</v>
      </c>
      <c r="H239">
        <v>3033</v>
      </c>
      <c r="I239" t="s">
        <v>349</v>
      </c>
      <c r="J239" t="s">
        <v>30</v>
      </c>
      <c r="K239">
        <v>11</v>
      </c>
      <c r="L239">
        <v>259</v>
      </c>
      <c r="M239" t="s">
        <v>4</v>
      </c>
      <c r="N239" t="s">
        <v>351</v>
      </c>
      <c r="O239" t="s">
        <v>303</v>
      </c>
      <c r="P239">
        <v>100</v>
      </c>
      <c r="Q239">
        <v>1930</v>
      </c>
      <c r="R239">
        <v>1970</v>
      </c>
      <c r="S239">
        <v>94</v>
      </c>
      <c r="T239">
        <v>54</v>
      </c>
      <c r="U239">
        <v>1</v>
      </c>
      <c r="V239">
        <v>752</v>
      </c>
      <c r="W239">
        <v>0</v>
      </c>
      <c r="X239">
        <v>0</v>
      </c>
      <c r="Y239">
        <v>672</v>
      </c>
      <c r="Z239">
        <v>0</v>
      </c>
      <c r="AA239">
        <v>672</v>
      </c>
      <c r="AB239">
        <v>1424</v>
      </c>
      <c r="AC239">
        <v>1500</v>
      </c>
      <c r="AD239">
        <v>0</v>
      </c>
      <c r="AF239" t="s">
        <v>383</v>
      </c>
      <c r="AG239" t="s">
        <v>148</v>
      </c>
      <c r="AI239">
        <v>1</v>
      </c>
      <c r="AJ239">
        <v>0</v>
      </c>
      <c r="AK239">
        <v>0</v>
      </c>
      <c r="AL239">
        <v>1</v>
      </c>
      <c r="AM239">
        <v>0</v>
      </c>
      <c r="AN239">
        <v>8</v>
      </c>
      <c r="AO239">
        <v>0</v>
      </c>
      <c r="AP239">
        <v>0</v>
      </c>
      <c r="AQ239">
        <v>0</v>
      </c>
      <c r="AR239">
        <v>0</v>
      </c>
      <c r="AS239">
        <v>112</v>
      </c>
      <c r="AT239">
        <v>112</v>
      </c>
      <c r="AU239">
        <v>100</v>
      </c>
      <c r="AV239">
        <v>100</v>
      </c>
      <c r="AW239">
        <v>178007</v>
      </c>
      <c r="AX239">
        <v>133505</v>
      </c>
      <c r="AY239">
        <v>768</v>
      </c>
      <c r="AZ239">
        <v>365</v>
      </c>
      <c r="BA239">
        <v>365</v>
      </c>
      <c r="BB239">
        <v>38</v>
      </c>
      <c r="BC239" s="3">
        <v>44524</v>
      </c>
      <c r="BD239" t="s">
        <v>188</v>
      </c>
      <c r="BE239">
        <v>295000</v>
      </c>
      <c r="BF239">
        <v>291701</v>
      </c>
      <c r="BG239" t="s">
        <v>294</v>
      </c>
      <c r="BH239">
        <v>30</v>
      </c>
      <c r="BI239" t="s">
        <v>65</v>
      </c>
      <c r="BJ239" t="s">
        <v>450</v>
      </c>
      <c r="BK239">
        <v>315100</v>
      </c>
      <c r="BL239">
        <v>60100</v>
      </c>
      <c r="BM239">
        <v>255000</v>
      </c>
      <c r="BN239">
        <v>3299</v>
      </c>
      <c r="BO239">
        <v>1.0681355932203389</v>
      </c>
      <c r="BP239">
        <v>308104.85566416592</v>
      </c>
      <c r="BQ239">
        <v>334748.66484684491</v>
      </c>
      <c r="BR239" s="12">
        <f>(Sales[[#This Row],[DP1]]*Lookups!$B$59)+(Sales[[#This Row],[DP2]]*Lookups!$B$60)+(Sales[[#This Row],[DP3]]*Lookups!$B$61)</f>
        <v>-26643.809185270002</v>
      </c>
      <c r="BS239" s="12">
        <f>Lookups!$B$56*0</f>
        <v>0</v>
      </c>
      <c r="BT239" s="12">
        <f>Lookups!$B$56*1</f>
        <v>89850.625589999996</v>
      </c>
      <c r="BU239" s="12">
        <f>Lookups!$B$57*Sales[[#This Row],[LnAcres]]</f>
        <v>-49401.70477837498</v>
      </c>
      <c r="BV239" s="12">
        <f>VLOOKUP(Sales[[#This Row],[Qlty]],Lookups!$A$62:$E$75,2,FALSE)</f>
        <v>21557.329055999999</v>
      </c>
      <c r="BW239" s="12">
        <f>VLOOKUP(Sales[[#This Row],[Cnd]],Lookups!$A$76:$E$84,2,FALSE)</f>
        <v>197752.34721000001</v>
      </c>
      <c r="BX239" s="12">
        <f>Sales[[#This Row],[EffAge]]*Lookups!$B$85</f>
        <v>-12044.462427</v>
      </c>
      <c r="BY239" s="12">
        <f>Sales[[#This Row],[MainFn]]*Lookups!$B$86</f>
        <v>37155.319747504</v>
      </c>
      <c r="BZ239" s="12">
        <f>Sales[[#This Row],[UpprFn]]*Lookups!$B$87</f>
        <v>0</v>
      </c>
      <c r="CA239" s="12">
        <f>Sales[[#This Row],[AddFn]]*Lookups!$B$88</f>
        <v>0</v>
      </c>
      <c r="CB239" s="12">
        <f>Sales[[#This Row],[Bsmt]]*Lookups!$B$89</f>
        <v>19543.033605983997</v>
      </c>
      <c r="CC239" s="12">
        <f>Sales[[#This Row],[Fixtures]]*Lookups!$B$90</f>
        <v>30336.176841600001</v>
      </c>
      <c r="CD239" s="12">
        <f>Sales[[#This Row],[WdDeck]]*Lookups!$B$91</f>
        <v>0</v>
      </c>
      <c r="CE239" s="12">
        <f>SUM(Sales[[#This Row],[Days Prior Total]:[Mdl WdDeck]])</f>
        <v>308104.85566044296</v>
      </c>
      <c r="CF239" s="12">
        <f>ROUND(Sales[[#This Row],[25Det]],-2)</f>
        <v>3300</v>
      </c>
      <c r="CG239" s="12">
        <f>ROUND(SUM(Sales[[#This Row],[Mdl Qlty]:[Mdl WdDeck]])+Sales[[#This Row],[Mdl Res Intercept]]+Sales[[#This Row],[Days Prior Total]],-2)</f>
        <v>267700</v>
      </c>
      <c r="CH239" s="12">
        <f>ROUND(Sales[[#This Row],[Mdl Land Intercept]]+Sales[[#This Row],[Mdl LnAcres]],-2)</f>
        <v>40400</v>
      </c>
      <c r="CI239" s="12">
        <f>Sales[[#This Row],[Unadj Res Value]]+Sales[[#This Row],[Unadj Det Value]]+Sales[[#This Row],[Unadj Land Value]]</f>
        <v>311400</v>
      </c>
      <c r="CJ239" s="13">
        <f>Sales[[#This Row],[Unadj Total Value]]/Sales[[#This Row],[Price]]</f>
        <v>1.0555932203389831</v>
      </c>
      <c r="CK239" s="13">
        <f>(Sales[[#This Row],[Unadj Total Value]]-Sales[[#This Row],[24Final]])/Sales[[#This Row],[24Final]]</f>
        <v>-1.1742304030466518E-2</v>
      </c>
      <c r="CL239">
        <f>VLOOKUP(Sales[[#This Row],[TNbhd]],Lookups!$Q$2:$T$4,4,FALSE)</f>
        <v>0.99970000000000003</v>
      </c>
      <c r="CM239">
        <f>VLOOKUP(Sales[[#This Row],[Qlty]],Lookups!$O$7:$R$21,4,FALSE)</f>
        <v>1.0067999999999999</v>
      </c>
      <c r="CN239">
        <f>VLOOKUP(Sales[[#This Row],[Cnd]],Lookups!$T$7:$W$16,4,FALSE)</f>
        <v>0.99650000000000005</v>
      </c>
      <c r="CO239">
        <f>VLOOKUP(Sales[[#This Row],[LivArea Range]],Lookups!$T$25:$W$37,4,FALSE)</f>
        <v>1.0157</v>
      </c>
      <c r="CP239">
        <f>VLOOKUP(Sales[[#This Row],[Decade]],Lookups!$O$25:$R$42,4,FALSE)</f>
        <v>1.0074000000000001</v>
      </c>
      <c r="CQ239">
        <f>Sales[[#This Row],[Nbhd Adj]]*0.95</f>
        <v>0.94971499999999998</v>
      </c>
      <c r="CR239">
        <f>Sales[[#This Row],[Nbhd Adj]]*Sales[[#This Row],[Quality Adj]]*Sales[[#This Row],[Condition Adj]]*Sales[[#This Row],[Living Area Adj]]*Sales[[#This Row],[Decade Adj]]*0.95</f>
        <v>0.97494744680082823</v>
      </c>
      <c r="CS239">
        <f>ROUND(SUM(Sales[[#This Row],[Mdl Qlty]:[Mdl WdDeck]])+Sales[[#This Row],[Mdl Res Intercept]]*Sales[[#This Row],[Res Adj ]],-2)</f>
        <v>294300</v>
      </c>
      <c r="CT239">
        <f>ROUND(Sales[[#This Row],[25Det]]*Sales[[#This Row],[Det/Nbhd Adj]],-2)</f>
        <v>3100</v>
      </c>
      <c r="CU239">
        <f>Sales[[#This Row],[Adjusted Res]]+Sales[[#This Row],[Adj Det ]]</f>
        <v>297400</v>
      </c>
      <c r="CV239">
        <f>ROUND((Sales[[#This Row],[Mdl Land Intercept]]+Sales[[#This Row],[Mdl LnAcres]])*Sales[[#This Row],[Det/Nbhd Adj]],-2)</f>
        <v>38400</v>
      </c>
      <c r="CW239">
        <f>Sales[[#This Row],[Adjusted Impr Total]]+Sales[[#This Row],[Adjusted Land Total]]</f>
        <v>335800</v>
      </c>
      <c r="CX239" s="15">
        <f>IFERROR((Sales[[#This Row],[Adjusted Impr Total]]-Sales[[#This Row],[24Bldg]])/Sales[[#This Row],[24Bldg]],0)</f>
        <v>0.16627450980392156</v>
      </c>
      <c r="CY239" s="15">
        <f>(Sales[[#This Row],[Adjusted Land Total]]-Sales[[#This Row],[24Lnd]])/Sales[[#This Row],[24Lnd]]</f>
        <v>-0.36106489184692181</v>
      </c>
      <c r="CZ239" s="15">
        <f>(Sales[[#This Row],[Adjusted Total]]-Sales[[#This Row],[24Final]])/Sales[[#This Row],[24Final]]</f>
        <v>6.569343065693431E-2</v>
      </c>
      <c r="DA239" s="15">
        <f>(Sales[[#This Row],[Adjusted Total]]+Sales[[#This Row],[Days Prior Total]])/Sales[[#This Row],[Price]]</f>
        <v>1.0479870875075594</v>
      </c>
    </row>
    <row r="240" spans="1:105" x14ac:dyDescent="0.3">
      <c r="A240">
        <v>2025</v>
      </c>
      <c r="B240">
        <v>18132344429</v>
      </c>
      <c r="C240">
        <v>-1.8971199848858813</v>
      </c>
      <c r="D240">
        <v>0.15</v>
      </c>
      <c r="E240">
        <v>0</v>
      </c>
      <c r="F240">
        <v>6</v>
      </c>
      <c r="G240" t="s">
        <v>126</v>
      </c>
      <c r="H240">
        <v>3093</v>
      </c>
      <c r="I240" t="s">
        <v>349</v>
      </c>
      <c r="J240" t="s">
        <v>30</v>
      </c>
      <c r="K240">
        <v>11</v>
      </c>
      <c r="L240">
        <v>259</v>
      </c>
      <c r="M240" t="s">
        <v>173</v>
      </c>
      <c r="N240" t="s">
        <v>351</v>
      </c>
      <c r="O240" t="s">
        <v>303</v>
      </c>
      <c r="P240">
        <v>100</v>
      </c>
      <c r="Q240">
        <v>1930</v>
      </c>
      <c r="R240">
        <v>1970</v>
      </c>
      <c r="S240">
        <v>94</v>
      </c>
      <c r="T240">
        <v>54</v>
      </c>
      <c r="U240">
        <v>2</v>
      </c>
      <c r="V240">
        <v>1148</v>
      </c>
      <c r="W240">
        <v>300</v>
      </c>
      <c r="X240">
        <v>0</v>
      </c>
      <c r="Y240">
        <v>1148</v>
      </c>
      <c r="Z240">
        <v>0</v>
      </c>
      <c r="AA240">
        <v>1148</v>
      </c>
      <c r="AB240">
        <v>2596</v>
      </c>
      <c r="AC240">
        <v>3000</v>
      </c>
      <c r="AD240">
        <v>0</v>
      </c>
      <c r="AF240" t="s">
        <v>383</v>
      </c>
      <c r="AG240" t="s">
        <v>148</v>
      </c>
      <c r="AH240" t="s">
        <v>450</v>
      </c>
      <c r="AI240">
        <v>0</v>
      </c>
      <c r="AJ240">
        <v>1</v>
      </c>
      <c r="AK240">
        <v>0</v>
      </c>
      <c r="AL240">
        <v>0</v>
      </c>
      <c r="AM240">
        <v>0</v>
      </c>
      <c r="AN240">
        <v>8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100</v>
      </c>
      <c r="AV240">
        <v>100</v>
      </c>
      <c r="AW240">
        <v>281849</v>
      </c>
      <c r="AX240">
        <v>211387</v>
      </c>
      <c r="AY240">
        <v>693</v>
      </c>
      <c r="AZ240">
        <v>365</v>
      </c>
      <c r="BA240">
        <v>328</v>
      </c>
      <c r="BB240">
        <v>0</v>
      </c>
      <c r="BC240" s="3">
        <v>44599</v>
      </c>
      <c r="BD240" t="s">
        <v>131</v>
      </c>
      <c r="BE240">
        <v>339000</v>
      </c>
      <c r="BF240">
        <v>330302</v>
      </c>
      <c r="BG240" t="s">
        <v>294</v>
      </c>
      <c r="BH240">
        <v>30</v>
      </c>
      <c r="BI240" t="s">
        <v>65</v>
      </c>
      <c r="BJ240" t="s">
        <v>450</v>
      </c>
      <c r="BK240">
        <v>359300</v>
      </c>
      <c r="BL240">
        <v>48400</v>
      </c>
      <c r="BM240">
        <v>310900</v>
      </c>
      <c r="BN240">
        <v>8698</v>
      </c>
      <c r="BO240">
        <v>1.0598820058997049</v>
      </c>
      <c r="BP240">
        <v>348955.24631185125</v>
      </c>
      <c r="BQ240">
        <v>370942.50775641977</v>
      </c>
      <c r="BR240" s="12">
        <f>(Sales[[#This Row],[DP1]]*Lookups!$B$59)+(Sales[[#This Row],[DP2]]*Lookups!$B$60)+(Sales[[#This Row],[DP3]]*Lookups!$B$61)</f>
        <v>-21987.261446194003</v>
      </c>
      <c r="BS240" s="12">
        <f>Lookups!$B$56*0</f>
        <v>0</v>
      </c>
      <c r="BT240" s="12">
        <f>Lookups!$B$56*1</f>
        <v>89850.625589999996</v>
      </c>
      <c r="BU240" s="12">
        <f>Lookups!$B$57*Sales[[#This Row],[LnAcres]]</f>
        <v>-60052.604136134301</v>
      </c>
      <c r="BV240" s="12">
        <f>VLOOKUP(Sales[[#This Row],[Qlty]],Lookups!$A$62:$E$75,2,FALSE)</f>
        <v>21557.329055999999</v>
      </c>
      <c r="BW240" s="12">
        <f>VLOOKUP(Sales[[#This Row],[Cnd]],Lookups!$A$76:$E$84,2,FALSE)</f>
        <v>197752.34721000001</v>
      </c>
      <c r="BX240" s="12">
        <f>Sales[[#This Row],[EffAge]]*Lookups!$B$85</f>
        <v>-12044.462427</v>
      </c>
      <c r="BY240" s="12">
        <f>Sales[[#This Row],[MainFn]]*Lookups!$B$86</f>
        <v>56721.153018796002</v>
      </c>
      <c r="BZ240" s="12">
        <f>Sales[[#This Row],[UpprFn]]*Lookups!$B$87</f>
        <v>13435.926858299999</v>
      </c>
      <c r="CA240" s="12">
        <f>Sales[[#This Row],[AddFn]]*Lookups!$B$88</f>
        <v>0</v>
      </c>
      <c r="CB240" s="12">
        <f>Sales[[#This Row],[Bsmt]]*Lookups!$B$89</f>
        <v>33386.015743555996</v>
      </c>
      <c r="CC240" s="12">
        <f>Sales[[#This Row],[Fixtures]]*Lookups!$B$90</f>
        <v>30336.176841600001</v>
      </c>
      <c r="CD240" s="12">
        <f>Sales[[#This Row],[WdDeck]]*Lookups!$B$91</f>
        <v>0</v>
      </c>
      <c r="CE240" s="12">
        <f>SUM(Sales[[#This Row],[Days Prior Total]:[Mdl WdDeck]])</f>
        <v>348955.2463089237</v>
      </c>
      <c r="CF240" s="12">
        <f>ROUND(Sales[[#This Row],[25Det]],-2)</f>
        <v>8700</v>
      </c>
      <c r="CG240" s="12">
        <f>ROUND(SUM(Sales[[#This Row],[Mdl Qlty]:[Mdl WdDeck]])+Sales[[#This Row],[Mdl Res Intercept]]+Sales[[#This Row],[Days Prior Total]],-2)</f>
        <v>319200</v>
      </c>
      <c r="CH240" s="12">
        <f>ROUND(Sales[[#This Row],[Mdl Land Intercept]]+Sales[[#This Row],[Mdl LnAcres]],-2)</f>
        <v>29800</v>
      </c>
      <c r="CI240" s="12">
        <f>Sales[[#This Row],[Unadj Res Value]]+Sales[[#This Row],[Unadj Det Value]]+Sales[[#This Row],[Unadj Land Value]]</f>
        <v>357700</v>
      </c>
      <c r="CJ240" s="13">
        <f>Sales[[#This Row],[Unadj Total Value]]/Sales[[#This Row],[Price]]</f>
        <v>1.0551622418879056</v>
      </c>
      <c r="CK240" s="13">
        <f>(Sales[[#This Row],[Unadj Total Value]]-Sales[[#This Row],[24Final]])/Sales[[#This Row],[24Final]]</f>
        <v>-4.4531032563317561E-3</v>
      </c>
      <c r="CL240">
        <f>VLOOKUP(Sales[[#This Row],[TNbhd]],Lookups!$Q$2:$T$4,4,FALSE)</f>
        <v>0.99970000000000003</v>
      </c>
      <c r="CM240">
        <f>VLOOKUP(Sales[[#This Row],[Qlty]],Lookups!$O$7:$R$21,4,FALSE)</f>
        <v>1.0067999999999999</v>
      </c>
      <c r="CN240">
        <f>VLOOKUP(Sales[[#This Row],[Cnd]],Lookups!$T$7:$W$16,4,FALSE)</f>
        <v>0.99650000000000005</v>
      </c>
      <c r="CO240">
        <f>VLOOKUP(Sales[[#This Row],[LivArea Range]],Lookups!$T$25:$W$37,4,FALSE)</f>
        <v>0.96179999999999999</v>
      </c>
      <c r="CP240">
        <f>VLOOKUP(Sales[[#This Row],[Decade]],Lookups!$O$25:$R$42,4,FALSE)</f>
        <v>1.0074000000000001</v>
      </c>
      <c r="CQ240">
        <f>Sales[[#This Row],[Nbhd Adj]]*0.95</f>
        <v>0.94971499999999998</v>
      </c>
      <c r="CR240">
        <f>Sales[[#This Row],[Nbhd Adj]]*Sales[[#This Row],[Quality Adj]]*Sales[[#This Row],[Condition Adj]]*Sales[[#This Row],[Living Area Adj]]*Sales[[#This Row],[Decade Adj]]*0.95</f>
        <v>0.92321005644682153</v>
      </c>
      <c r="CS240">
        <f>ROUND(SUM(Sales[[#This Row],[Mdl Qlty]:[Mdl WdDeck]])+Sales[[#This Row],[Mdl Res Intercept]]*Sales[[#This Row],[Res Adj ]],-2)</f>
        <v>341100</v>
      </c>
      <c r="CT240">
        <f>ROUND(Sales[[#This Row],[25Det]]*Sales[[#This Row],[Det/Nbhd Adj]],-2)</f>
        <v>8300</v>
      </c>
      <c r="CU240">
        <f>Sales[[#This Row],[Adjusted Res]]+Sales[[#This Row],[Adj Det ]]</f>
        <v>349400</v>
      </c>
      <c r="CV240">
        <f>ROUND((Sales[[#This Row],[Mdl Land Intercept]]+Sales[[#This Row],[Mdl LnAcres]])*Sales[[#This Row],[Det/Nbhd Adj]],-2)</f>
        <v>28300</v>
      </c>
      <c r="CW240">
        <f>Sales[[#This Row],[Adjusted Impr Total]]+Sales[[#This Row],[Adjusted Land Total]]</f>
        <v>377700</v>
      </c>
      <c r="CX240" s="15">
        <f>IFERROR((Sales[[#This Row],[Adjusted Impr Total]]-Sales[[#This Row],[24Bldg]])/Sales[[#This Row],[24Bldg]],0)</f>
        <v>0.12383403023480219</v>
      </c>
      <c r="CY240" s="15">
        <f>(Sales[[#This Row],[Adjusted Land Total]]-Sales[[#This Row],[24Lnd]])/Sales[[#This Row],[24Lnd]]</f>
        <v>-0.41528925619834711</v>
      </c>
      <c r="CZ240" s="15">
        <f>(Sales[[#This Row],[Adjusted Total]]-Sales[[#This Row],[24Final]])/Sales[[#This Row],[24Final]]</f>
        <v>5.1210687447815199E-2</v>
      </c>
      <c r="DA240" s="15">
        <f>(Sales[[#This Row],[Adjusted Total]]+Sales[[#This Row],[Days Prior Total]])/Sales[[#This Row],[Price]]</f>
        <v>1.0493001137280413</v>
      </c>
    </row>
    <row r="241" spans="1:105" x14ac:dyDescent="0.3">
      <c r="A241">
        <v>2025</v>
      </c>
      <c r="B241">
        <v>18132344477</v>
      </c>
      <c r="C241">
        <v>-1.8971199848858813</v>
      </c>
      <c r="D241">
        <v>0.15</v>
      </c>
      <c r="E241">
        <v>0</v>
      </c>
      <c r="F241">
        <v>6</v>
      </c>
      <c r="G241" t="s">
        <v>126</v>
      </c>
      <c r="H241">
        <v>3093</v>
      </c>
      <c r="I241" t="s">
        <v>349</v>
      </c>
      <c r="J241" t="s">
        <v>30</v>
      </c>
      <c r="K241">
        <v>11</v>
      </c>
      <c r="L241">
        <v>400</v>
      </c>
      <c r="M241" t="s">
        <v>173</v>
      </c>
      <c r="N241" t="s">
        <v>302</v>
      </c>
      <c r="O241" t="s">
        <v>323</v>
      </c>
      <c r="P241">
        <v>100</v>
      </c>
      <c r="Q241">
        <v>1930</v>
      </c>
      <c r="R241">
        <v>1970</v>
      </c>
      <c r="S241">
        <v>94</v>
      </c>
      <c r="T241">
        <v>54</v>
      </c>
      <c r="U241">
        <v>2</v>
      </c>
      <c r="V241">
        <v>1110</v>
      </c>
      <c r="W241">
        <v>498</v>
      </c>
      <c r="X241">
        <v>0</v>
      </c>
      <c r="Y241">
        <v>750</v>
      </c>
      <c r="Z241">
        <v>750</v>
      </c>
      <c r="AA241">
        <v>0</v>
      </c>
      <c r="AB241">
        <v>1608</v>
      </c>
      <c r="AC241">
        <v>2000</v>
      </c>
      <c r="AD241">
        <v>0</v>
      </c>
      <c r="AF241" t="s">
        <v>383</v>
      </c>
      <c r="AG241" t="s">
        <v>382</v>
      </c>
      <c r="AH241" t="s">
        <v>450</v>
      </c>
      <c r="AI241">
        <v>0</v>
      </c>
      <c r="AJ241">
        <v>1</v>
      </c>
      <c r="AK241">
        <v>0</v>
      </c>
      <c r="AL241">
        <v>0</v>
      </c>
      <c r="AM241">
        <v>1</v>
      </c>
      <c r="AN241">
        <v>8</v>
      </c>
      <c r="AO241">
        <v>0</v>
      </c>
      <c r="AP241">
        <v>0</v>
      </c>
      <c r="AQ241">
        <v>720</v>
      </c>
      <c r="AR241">
        <v>0</v>
      </c>
      <c r="AS241">
        <v>216</v>
      </c>
      <c r="AT241">
        <v>216</v>
      </c>
      <c r="AU241">
        <v>100</v>
      </c>
      <c r="AV241">
        <v>100</v>
      </c>
      <c r="AW241">
        <v>299089</v>
      </c>
      <c r="AX241">
        <v>200390</v>
      </c>
      <c r="AY241">
        <v>1041</v>
      </c>
      <c r="AZ241">
        <v>365</v>
      </c>
      <c r="BA241">
        <v>365</v>
      </c>
      <c r="BB241">
        <v>311</v>
      </c>
      <c r="BC241" s="3">
        <v>44251</v>
      </c>
      <c r="BD241" t="s">
        <v>82</v>
      </c>
      <c r="BE241">
        <v>257500</v>
      </c>
      <c r="BF241">
        <v>257500</v>
      </c>
      <c r="BG241" t="s">
        <v>294</v>
      </c>
      <c r="BH241">
        <v>30</v>
      </c>
      <c r="BI241" t="s">
        <v>65</v>
      </c>
      <c r="BJ241" t="s">
        <v>450</v>
      </c>
      <c r="BK241">
        <v>313300</v>
      </c>
      <c r="BL241">
        <v>48400</v>
      </c>
      <c r="BM241">
        <v>264900</v>
      </c>
      <c r="BN241">
        <v>0</v>
      </c>
      <c r="BO241">
        <v>1.2166990291262136</v>
      </c>
      <c r="BP241">
        <v>274184.87900424626</v>
      </c>
      <c r="BQ241">
        <v>337334.71580175671</v>
      </c>
      <c r="BR241" s="12">
        <f>(Sales[[#This Row],[DP1]]*Lookups!$B$59)+(Sales[[#This Row],[DP2]]*Lookups!$B$60)+(Sales[[#This Row],[DP3]]*Lookups!$B$61)</f>
        <v>-63149.836806970001</v>
      </c>
      <c r="BS241" s="12">
        <f>Lookups!$B$56*0</f>
        <v>0</v>
      </c>
      <c r="BT241" s="12">
        <f>Lookups!$B$56*1</f>
        <v>89850.625589999996</v>
      </c>
      <c r="BU241" s="12">
        <f>Lookups!$B$57*Sales[[#This Row],[LnAcres]]</f>
        <v>-60052.604136134301</v>
      </c>
      <c r="BV241" s="12">
        <f>VLOOKUP(Sales[[#This Row],[Qlty]],Lookups!$A$62:$E$75,2,FALSE)</f>
        <v>29814.093161000001</v>
      </c>
      <c r="BW241" s="12">
        <f>VLOOKUP(Sales[[#This Row],[Cnd]],Lookups!$A$76:$E$84,2,FALSE)</f>
        <v>160472.20319</v>
      </c>
      <c r="BX241" s="12">
        <f>Sales[[#This Row],[EffAge]]*Lookups!$B$85</f>
        <v>-12044.462427</v>
      </c>
      <c r="BY241" s="12">
        <f>Sales[[#This Row],[MainFn]]*Lookups!$B$86</f>
        <v>54843.623563469999</v>
      </c>
      <c r="BZ241" s="12">
        <f>Sales[[#This Row],[UpprFn]]*Lookups!$B$87</f>
        <v>22303.638584778</v>
      </c>
      <c r="CA241" s="12">
        <f>Sales[[#This Row],[AddFn]]*Lookups!$B$88</f>
        <v>0</v>
      </c>
      <c r="CB241" s="12">
        <f>Sales[[#This Row],[Bsmt]]*Lookups!$B$89</f>
        <v>21811.421435249998</v>
      </c>
      <c r="CC241" s="12">
        <f>Sales[[#This Row],[Fixtures]]*Lookups!$B$90</f>
        <v>30336.176841600001</v>
      </c>
      <c r="CD241" s="12">
        <f>Sales[[#This Row],[WdDeck]]*Lookups!$B$91</f>
        <v>0</v>
      </c>
      <c r="CE241" s="12">
        <f>SUM(Sales[[#This Row],[Days Prior Total]:[Mdl WdDeck]])</f>
        <v>274184.8789959937</v>
      </c>
      <c r="CF241" s="12">
        <f>ROUND(Sales[[#This Row],[25Det]],-2)</f>
        <v>0</v>
      </c>
      <c r="CG241" s="12">
        <f>ROUND(SUM(Sales[[#This Row],[Mdl Qlty]:[Mdl WdDeck]])+Sales[[#This Row],[Mdl Res Intercept]]+Sales[[#This Row],[Days Prior Total]],-2)</f>
        <v>244400</v>
      </c>
      <c r="CH241" s="12">
        <f>ROUND(Sales[[#This Row],[Mdl Land Intercept]]+Sales[[#This Row],[Mdl LnAcres]],-2)</f>
        <v>29800</v>
      </c>
      <c r="CI241" s="12">
        <f>Sales[[#This Row],[Unadj Res Value]]+Sales[[#This Row],[Unadj Det Value]]+Sales[[#This Row],[Unadj Land Value]]</f>
        <v>274200</v>
      </c>
      <c r="CJ241" s="13">
        <f>Sales[[#This Row],[Unadj Total Value]]/Sales[[#This Row],[Price]]</f>
        <v>1.0648543689320389</v>
      </c>
      <c r="CK241" s="13">
        <f>(Sales[[#This Row],[Unadj Total Value]]-Sales[[#This Row],[24Final]])/Sales[[#This Row],[24Final]]</f>
        <v>-0.12480051069262688</v>
      </c>
      <c r="CL241">
        <f>VLOOKUP(Sales[[#This Row],[TNbhd]],Lookups!$Q$2:$T$4,4,FALSE)</f>
        <v>0.99970000000000003</v>
      </c>
      <c r="CM241">
        <f>VLOOKUP(Sales[[#This Row],[Qlty]],Lookups!$O$7:$R$21,4,FALSE)</f>
        <v>1.0088999999999999</v>
      </c>
      <c r="CN241">
        <f>VLOOKUP(Sales[[#This Row],[Cnd]],Lookups!$T$7:$W$16,4,FALSE)</f>
        <v>0.99729999999999996</v>
      </c>
      <c r="CO241">
        <f>VLOOKUP(Sales[[#This Row],[LivArea Range]],Lookups!$T$25:$W$37,4,FALSE)</f>
        <v>1.0093000000000001</v>
      </c>
      <c r="CP241">
        <f>VLOOKUP(Sales[[#This Row],[Decade]],Lookups!$O$25:$R$42,4,FALSE)</f>
        <v>1.0074000000000001</v>
      </c>
      <c r="CQ241">
        <f>Sales[[#This Row],[Nbhd Adj]]*0.95</f>
        <v>0.94971499999999998</v>
      </c>
      <c r="CR241">
        <f>Sales[[#This Row],[Nbhd Adj]]*Sales[[#This Row],[Quality Adj]]*Sales[[#This Row],[Condition Adj]]*Sales[[#This Row],[Living Area Adj]]*Sales[[#This Row],[Decade Adj]]*0.95</f>
        <v>0.97160436726197974</v>
      </c>
      <c r="CS241">
        <f>ROUND(SUM(Sales[[#This Row],[Mdl Qlty]:[Mdl WdDeck]])+Sales[[#This Row],[Mdl Res Intercept]]*Sales[[#This Row],[Res Adj ]],-2)</f>
        <v>307500</v>
      </c>
      <c r="CT241">
        <f>ROUND(Sales[[#This Row],[25Det]]*Sales[[#This Row],[Det/Nbhd Adj]],-2)</f>
        <v>0</v>
      </c>
      <c r="CU241">
        <f>Sales[[#This Row],[Adjusted Res]]+Sales[[#This Row],[Adj Det ]]</f>
        <v>307500</v>
      </c>
      <c r="CV241">
        <f>ROUND((Sales[[#This Row],[Mdl Land Intercept]]+Sales[[#This Row],[Mdl LnAcres]])*Sales[[#This Row],[Det/Nbhd Adj]],-2)</f>
        <v>28300</v>
      </c>
      <c r="CW241">
        <f>Sales[[#This Row],[Adjusted Impr Total]]+Sales[[#This Row],[Adjusted Land Total]]</f>
        <v>335800</v>
      </c>
      <c r="CX241" s="15">
        <f>IFERROR((Sales[[#This Row],[Adjusted Impr Total]]-Sales[[#This Row],[24Bldg]])/Sales[[#This Row],[24Bldg]],0)</f>
        <v>0.16081540203850508</v>
      </c>
      <c r="CY241" s="15">
        <f>(Sales[[#This Row],[Adjusted Land Total]]-Sales[[#This Row],[24Lnd]])/Sales[[#This Row],[24Lnd]]</f>
        <v>-0.41528925619834711</v>
      </c>
      <c r="CZ241" s="15">
        <f>(Sales[[#This Row],[Adjusted Total]]-Sales[[#This Row],[24Final]])/Sales[[#This Row],[24Final]]</f>
        <v>7.1816150654324923E-2</v>
      </c>
      <c r="DA241" s="15">
        <f>(Sales[[#This Row],[Adjusted Total]]+Sales[[#This Row],[Days Prior Total]])/Sales[[#This Row],[Price]]</f>
        <v>1.0588355852156504</v>
      </c>
    </row>
    <row r="242" spans="1:105" x14ac:dyDescent="0.3">
      <c r="A242">
        <v>2025</v>
      </c>
      <c r="B242">
        <v>18132214474</v>
      </c>
      <c r="C242">
        <v>-1.5606477482646683</v>
      </c>
      <c r="D242">
        <v>0.21</v>
      </c>
      <c r="E242">
        <v>8989</v>
      </c>
      <c r="F242">
        <v>6</v>
      </c>
      <c r="G242" t="s">
        <v>126</v>
      </c>
      <c r="H242">
        <v>3033</v>
      </c>
      <c r="I242" t="s">
        <v>349</v>
      </c>
      <c r="J242" t="s">
        <v>30</v>
      </c>
      <c r="K242">
        <v>11</v>
      </c>
      <c r="L242">
        <v>259</v>
      </c>
      <c r="M242" t="s">
        <v>241</v>
      </c>
      <c r="N242" t="s">
        <v>351</v>
      </c>
      <c r="O242" t="s">
        <v>303</v>
      </c>
      <c r="P242">
        <v>100</v>
      </c>
      <c r="Q242">
        <v>1930</v>
      </c>
      <c r="R242">
        <v>1970</v>
      </c>
      <c r="S242">
        <v>94</v>
      </c>
      <c r="T242">
        <v>54</v>
      </c>
      <c r="U242">
        <v>1</v>
      </c>
      <c r="V242">
        <v>1490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1490</v>
      </c>
      <c r="AC242">
        <v>1500</v>
      </c>
      <c r="AD242">
        <v>0</v>
      </c>
      <c r="AF242" t="s">
        <v>383</v>
      </c>
      <c r="AG242" t="s">
        <v>382</v>
      </c>
      <c r="AH242" t="s">
        <v>450</v>
      </c>
      <c r="AI242">
        <v>0</v>
      </c>
      <c r="AJ242">
        <v>0</v>
      </c>
      <c r="AK242">
        <v>0</v>
      </c>
      <c r="AL242">
        <v>1</v>
      </c>
      <c r="AM242">
        <v>0</v>
      </c>
      <c r="AN242">
        <v>9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100</v>
      </c>
      <c r="AV242">
        <v>100</v>
      </c>
      <c r="AW242">
        <v>216244</v>
      </c>
      <c r="AX242">
        <v>162183</v>
      </c>
      <c r="AY242">
        <v>644</v>
      </c>
      <c r="AZ242">
        <v>365</v>
      </c>
      <c r="BA242">
        <v>279</v>
      </c>
      <c r="BB242">
        <v>0</v>
      </c>
      <c r="BC242" s="3">
        <v>44648</v>
      </c>
      <c r="BD242" t="s">
        <v>277</v>
      </c>
      <c r="BE242">
        <v>316000</v>
      </c>
      <c r="BF242">
        <v>311630</v>
      </c>
      <c r="BG242" t="s">
        <v>294</v>
      </c>
      <c r="BH242">
        <v>30</v>
      </c>
      <c r="BI242" t="s">
        <v>65</v>
      </c>
      <c r="BJ242" t="s">
        <v>450</v>
      </c>
      <c r="BK242">
        <v>334600</v>
      </c>
      <c r="BL242">
        <v>60100</v>
      </c>
      <c r="BM242">
        <v>274500</v>
      </c>
      <c r="BN242">
        <v>4370</v>
      </c>
      <c r="BO242">
        <v>1.058860759493671</v>
      </c>
      <c r="BP242">
        <v>332911.31485933624</v>
      </c>
      <c r="BQ242">
        <v>355461.25171486533</v>
      </c>
      <c r="BR242" s="12">
        <f>(Sales[[#This Row],[DP1]]*Lookups!$B$59)+(Sales[[#This Row],[DP2]]*Lookups!$B$60)+(Sales[[#This Row],[DP3]]*Lookups!$B$61)</f>
        <v>-22549.936857142002</v>
      </c>
      <c r="BS242" s="12">
        <f>Lookups!$B$56*0</f>
        <v>0</v>
      </c>
      <c r="BT242" s="12">
        <f>Lookups!$B$56*1</f>
        <v>89850.625589999996</v>
      </c>
      <c r="BU242" s="12">
        <f>Lookups!$B$57*Sales[[#This Row],[LnAcres]]</f>
        <v>-49401.70477837498</v>
      </c>
      <c r="BV242" s="12">
        <f>VLOOKUP(Sales[[#This Row],[Qlty]],Lookups!$A$62:$E$75,2,FALSE)</f>
        <v>21557.329055999999</v>
      </c>
      <c r="BW242" s="12">
        <f>VLOOKUP(Sales[[#This Row],[Cnd]],Lookups!$A$76:$E$84,2,FALSE)</f>
        <v>197752.34721000001</v>
      </c>
      <c r="BX242" s="12">
        <f>Sales[[#This Row],[EffAge]]*Lookups!$B$85</f>
        <v>-12044.462427</v>
      </c>
      <c r="BY242" s="12">
        <f>Sales[[#This Row],[MainFn]]*Lookups!$B$86</f>
        <v>73618.918116729998</v>
      </c>
      <c r="BZ242" s="12">
        <f>Sales[[#This Row],[UpprFn]]*Lookups!$B$87</f>
        <v>0</v>
      </c>
      <c r="CA242" s="12">
        <f>Sales[[#This Row],[AddFn]]*Lookups!$B$88</f>
        <v>0</v>
      </c>
      <c r="CB242" s="12">
        <f>Sales[[#This Row],[Bsmt]]*Lookups!$B$89</f>
        <v>0</v>
      </c>
      <c r="CC242" s="12">
        <f>Sales[[#This Row],[Fixtures]]*Lookups!$B$90</f>
        <v>34128.198946800003</v>
      </c>
      <c r="CD242" s="12">
        <f>Sales[[#This Row],[WdDeck]]*Lookups!$B$91</f>
        <v>0</v>
      </c>
      <c r="CE242" s="12">
        <f>SUM(Sales[[#This Row],[Days Prior Total]:[Mdl WdDeck]])</f>
        <v>332911.31485701306</v>
      </c>
      <c r="CF242" s="12">
        <f>ROUND(Sales[[#This Row],[25Det]],-2)</f>
        <v>4400</v>
      </c>
      <c r="CG242" s="12">
        <f>ROUND(SUM(Sales[[#This Row],[Mdl Qlty]:[Mdl WdDeck]])+Sales[[#This Row],[Mdl Res Intercept]]+Sales[[#This Row],[Days Prior Total]],-2)</f>
        <v>292500</v>
      </c>
      <c r="CH242" s="12">
        <f>ROUND(Sales[[#This Row],[Mdl Land Intercept]]+Sales[[#This Row],[Mdl LnAcres]],-2)</f>
        <v>40400</v>
      </c>
      <c r="CI242" s="12">
        <f>Sales[[#This Row],[Unadj Res Value]]+Sales[[#This Row],[Unadj Det Value]]+Sales[[#This Row],[Unadj Land Value]]</f>
        <v>337300</v>
      </c>
      <c r="CJ242" s="13">
        <f>Sales[[#This Row],[Unadj Total Value]]/Sales[[#This Row],[Price]]</f>
        <v>1.0674050632911392</v>
      </c>
      <c r="CK242" s="13">
        <f>(Sales[[#This Row],[Unadj Total Value]]-Sales[[#This Row],[24Final]])/Sales[[#This Row],[24Final]]</f>
        <v>8.0693365212193661E-3</v>
      </c>
      <c r="CL242">
        <f>VLOOKUP(Sales[[#This Row],[TNbhd]],Lookups!$Q$2:$T$4,4,FALSE)</f>
        <v>0.99970000000000003</v>
      </c>
      <c r="CM242">
        <f>VLOOKUP(Sales[[#This Row],[Qlty]],Lookups!$O$7:$R$21,4,FALSE)</f>
        <v>1.0067999999999999</v>
      </c>
      <c r="CN242">
        <f>VLOOKUP(Sales[[#This Row],[Cnd]],Lookups!$T$7:$W$16,4,FALSE)</f>
        <v>0.99650000000000005</v>
      </c>
      <c r="CO242">
        <f>VLOOKUP(Sales[[#This Row],[LivArea Range]],Lookups!$T$25:$W$37,4,FALSE)</f>
        <v>1.0157</v>
      </c>
      <c r="CP242">
        <f>VLOOKUP(Sales[[#This Row],[Decade]],Lookups!$O$25:$R$42,4,FALSE)</f>
        <v>1.0074000000000001</v>
      </c>
      <c r="CQ242">
        <f>Sales[[#This Row],[Nbhd Adj]]*0.95</f>
        <v>0.94971499999999998</v>
      </c>
      <c r="CR242">
        <f>Sales[[#This Row],[Nbhd Adj]]*Sales[[#This Row],[Quality Adj]]*Sales[[#This Row],[Condition Adj]]*Sales[[#This Row],[Living Area Adj]]*Sales[[#This Row],[Decade Adj]]*0.95</f>
        <v>0.97494744680082823</v>
      </c>
      <c r="CS242">
        <f>ROUND(SUM(Sales[[#This Row],[Mdl Qlty]:[Mdl WdDeck]])+Sales[[#This Row],[Mdl Res Intercept]]*Sales[[#This Row],[Res Adj ]],-2)</f>
        <v>315000</v>
      </c>
      <c r="CT242">
        <f>ROUND(Sales[[#This Row],[25Det]]*Sales[[#This Row],[Det/Nbhd Adj]],-2)</f>
        <v>4200</v>
      </c>
      <c r="CU242">
        <f>Sales[[#This Row],[Adjusted Res]]+Sales[[#This Row],[Adj Det ]]</f>
        <v>319200</v>
      </c>
      <c r="CV242">
        <f>ROUND((Sales[[#This Row],[Mdl Land Intercept]]+Sales[[#This Row],[Mdl LnAcres]])*Sales[[#This Row],[Det/Nbhd Adj]],-2)</f>
        <v>38400</v>
      </c>
      <c r="CW242">
        <f>Sales[[#This Row],[Adjusted Impr Total]]+Sales[[#This Row],[Adjusted Land Total]]</f>
        <v>357600</v>
      </c>
      <c r="CX242" s="15">
        <f>IFERROR((Sales[[#This Row],[Adjusted Impr Total]]-Sales[[#This Row],[24Bldg]])/Sales[[#This Row],[24Bldg]],0)</f>
        <v>0.1628415300546448</v>
      </c>
      <c r="CY242" s="15">
        <f>(Sales[[#This Row],[Adjusted Land Total]]-Sales[[#This Row],[24Lnd]])/Sales[[#This Row],[24Lnd]]</f>
        <v>-0.36106489184692181</v>
      </c>
      <c r="CZ242" s="15">
        <f>(Sales[[#This Row],[Adjusted Total]]-Sales[[#This Row],[24Final]])/Sales[[#This Row],[24Final]]</f>
        <v>6.8738792588164968E-2</v>
      </c>
      <c r="DA242" s="15">
        <f>(Sales[[#This Row],[Adjusted Total]]+Sales[[#This Row],[Days Prior Total]])/Sales[[#This Row],[Price]]</f>
        <v>1.060285009945753</v>
      </c>
    </row>
    <row r="243" spans="1:105" x14ac:dyDescent="0.3">
      <c r="A243">
        <v>2025</v>
      </c>
      <c r="B243">
        <v>18132323443</v>
      </c>
      <c r="C243">
        <v>-1.5606477482646683</v>
      </c>
      <c r="D243">
        <v>0.21</v>
      </c>
      <c r="E243">
        <v>0</v>
      </c>
      <c r="F243">
        <v>6</v>
      </c>
      <c r="G243" t="s">
        <v>126</v>
      </c>
      <c r="H243">
        <v>3033</v>
      </c>
      <c r="I243" t="s">
        <v>349</v>
      </c>
      <c r="J243" t="s">
        <v>30</v>
      </c>
      <c r="K243">
        <v>11</v>
      </c>
      <c r="L243">
        <v>259</v>
      </c>
      <c r="M243" t="s">
        <v>241</v>
      </c>
      <c r="N243" t="s">
        <v>351</v>
      </c>
      <c r="O243" t="s">
        <v>323</v>
      </c>
      <c r="P243">
        <v>100</v>
      </c>
      <c r="Q243">
        <v>1930</v>
      </c>
      <c r="R243">
        <v>1970</v>
      </c>
      <c r="S243">
        <v>94</v>
      </c>
      <c r="T243">
        <v>54</v>
      </c>
      <c r="U243">
        <v>1</v>
      </c>
      <c r="V243">
        <v>1364</v>
      </c>
      <c r="W243">
        <v>0</v>
      </c>
      <c r="X243">
        <v>0</v>
      </c>
      <c r="Y243">
        <v>1364</v>
      </c>
      <c r="Z243">
        <v>1364</v>
      </c>
      <c r="AA243">
        <v>0</v>
      </c>
      <c r="AB243">
        <v>1364</v>
      </c>
      <c r="AC243">
        <v>1500</v>
      </c>
      <c r="AD243">
        <v>0</v>
      </c>
      <c r="AF243" t="s">
        <v>383</v>
      </c>
      <c r="AG243" t="s">
        <v>148</v>
      </c>
      <c r="AH243" t="s">
        <v>450</v>
      </c>
      <c r="AI243">
        <v>1</v>
      </c>
      <c r="AJ243">
        <v>0</v>
      </c>
      <c r="AK243">
        <v>0</v>
      </c>
      <c r="AL243">
        <v>0</v>
      </c>
      <c r="AM243">
        <v>0</v>
      </c>
      <c r="AN243">
        <v>6</v>
      </c>
      <c r="AO243">
        <v>0</v>
      </c>
      <c r="AP243">
        <v>0</v>
      </c>
      <c r="AQ243">
        <v>0</v>
      </c>
      <c r="AR243">
        <v>180</v>
      </c>
      <c r="AS243">
        <v>600</v>
      </c>
      <c r="AT243">
        <v>0</v>
      </c>
      <c r="AU243">
        <v>100</v>
      </c>
      <c r="AV243">
        <v>100</v>
      </c>
      <c r="AW243">
        <v>248624</v>
      </c>
      <c r="AX243">
        <v>166578</v>
      </c>
      <c r="AY243">
        <v>689</v>
      </c>
      <c r="AZ243">
        <v>365</v>
      </c>
      <c r="BA243">
        <v>324</v>
      </c>
      <c r="BB243">
        <v>0</v>
      </c>
      <c r="BC243" s="3">
        <v>44603</v>
      </c>
      <c r="BD243" t="s">
        <v>390</v>
      </c>
      <c r="BE243">
        <v>285000</v>
      </c>
      <c r="BF243">
        <v>285000</v>
      </c>
      <c r="BG243" t="s">
        <v>294</v>
      </c>
      <c r="BH243">
        <v>30</v>
      </c>
      <c r="BI243" t="s">
        <v>65</v>
      </c>
      <c r="BJ243" t="s">
        <v>450</v>
      </c>
      <c r="BK243">
        <v>318900</v>
      </c>
      <c r="BL243">
        <v>60100</v>
      </c>
      <c r="BM243">
        <v>258800</v>
      </c>
      <c r="BN243">
        <v>0</v>
      </c>
      <c r="BO243">
        <v>1.1189473684210527</v>
      </c>
      <c r="BP243">
        <v>324207.25270848011</v>
      </c>
      <c r="BQ243">
        <v>346240.44683965761</v>
      </c>
      <c r="BR243" s="12">
        <f>(Sales[[#This Row],[DP1]]*Lookups!$B$59)+(Sales[[#This Row],[DP2]]*Lookups!$B$60)+(Sales[[#This Row],[DP3]]*Lookups!$B$61)</f>
        <v>-22033.194132802</v>
      </c>
      <c r="BS243" s="12">
        <f>Lookups!$B$56*0</f>
        <v>0</v>
      </c>
      <c r="BT243" s="12">
        <f>Lookups!$B$56*1</f>
        <v>89850.625589999996</v>
      </c>
      <c r="BU243" s="12">
        <f>Lookups!$B$57*Sales[[#This Row],[LnAcres]]</f>
        <v>-49401.70477837498</v>
      </c>
      <c r="BV243" s="12">
        <f>VLOOKUP(Sales[[#This Row],[Qlty]],Lookups!$A$62:$E$75,2,FALSE)</f>
        <v>21557.329055999999</v>
      </c>
      <c r="BW243" s="12">
        <f>VLOOKUP(Sales[[#This Row],[Cnd]],Lookups!$A$76:$E$84,2,FALSE)</f>
        <v>160472.20319</v>
      </c>
      <c r="BX243" s="12">
        <f>Sales[[#This Row],[EffAge]]*Lookups!$B$85</f>
        <v>-12044.462427</v>
      </c>
      <c r="BY243" s="12">
        <f>Sales[[#This Row],[MainFn]]*Lookups!$B$86</f>
        <v>67393.425712227996</v>
      </c>
      <c r="BZ243" s="12">
        <f>Sales[[#This Row],[UpprFn]]*Lookups!$B$87</f>
        <v>0</v>
      </c>
      <c r="CA243" s="12">
        <f>Sales[[#This Row],[AddFn]]*Lookups!$B$88</f>
        <v>0</v>
      </c>
      <c r="CB243" s="12">
        <f>Sales[[#This Row],[Bsmt]]*Lookups!$B$89</f>
        <v>39667.705116908</v>
      </c>
      <c r="CC243" s="12">
        <f>Sales[[#This Row],[Fixtures]]*Lookups!$B$90</f>
        <v>22752.132631200002</v>
      </c>
      <c r="CD243" s="12">
        <f>Sales[[#This Row],[WdDeck]]*Lookups!$B$91</f>
        <v>5993.1927496800008</v>
      </c>
      <c r="CE243" s="12">
        <f>SUM(Sales[[#This Row],[Days Prior Total]:[Mdl WdDeck]])</f>
        <v>324207.25270783907</v>
      </c>
      <c r="CF243" s="12">
        <f>ROUND(Sales[[#This Row],[25Det]],-2)</f>
        <v>0</v>
      </c>
      <c r="CG243" s="12">
        <f>ROUND(SUM(Sales[[#This Row],[Mdl Qlty]:[Mdl WdDeck]])+Sales[[#This Row],[Mdl Res Intercept]]+Sales[[#This Row],[Days Prior Total]],-2)</f>
        <v>283800</v>
      </c>
      <c r="CH243" s="12">
        <f>ROUND(Sales[[#This Row],[Mdl Land Intercept]]+Sales[[#This Row],[Mdl LnAcres]],-2)</f>
        <v>40400</v>
      </c>
      <c r="CI243" s="12">
        <f>Sales[[#This Row],[Unadj Res Value]]+Sales[[#This Row],[Unadj Det Value]]+Sales[[#This Row],[Unadj Land Value]]</f>
        <v>324200</v>
      </c>
      <c r="CJ243" s="13">
        <f>Sales[[#This Row],[Unadj Total Value]]/Sales[[#This Row],[Price]]</f>
        <v>1.1375438596491227</v>
      </c>
      <c r="CK243" s="13">
        <f>(Sales[[#This Row],[Unadj Total Value]]-Sales[[#This Row],[24Final]])/Sales[[#This Row],[24Final]]</f>
        <v>1.6619629978049544E-2</v>
      </c>
      <c r="CL243">
        <f>VLOOKUP(Sales[[#This Row],[TNbhd]],Lookups!$Q$2:$T$4,4,FALSE)</f>
        <v>0.99970000000000003</v>
      </c>
      <c r="CM243">
        <f>VLOOKUP(Sales[[#This Row],[Qlty]],Lookups!$O$7:$R$21,4,FALSE)</f>
        <v>1.0067999999999999</v>
      </c>
      <c r="CN243">
        <f>VLOOKUP(Sales[[#This Row],[Cnd]],Lookups!$T$7:$W$16,4,FALSE)</f>
        <v>0.99729999999999996</v>
      </c>
      <c r="CO243">
        <f>VLOOKUP(Sales[[#This Row],[LivArea Range]],Lookups!$T$25:$W$37,4,FALSE)</f>
        <v>1.0157</v>
      </c>
      <c r="CP243">
        <f>VLOOKUP(Sales[[#This Row],[Decade]],Lookups!$O$25:$R$42,4,FALSE)</f>
        <v>1.0074000000000001</v>
      </c>
      <c r="CQ243">
        <f>Sales[[#This Row],[Nbhd Adj]]*0.95</f>
        <v>0.94971499999999998</v>
      </c>
      <c r="CR243">
        <f>Sales[[#This Row],[Nbhd Adj]]*Sales[[#This Row],[Quality Adj]]*Sales[[#This Row],[Condition Adj]]*Sales[[#This Row],[Living Area Adj]]*Sales[[#This Row],[Decade Adj]]*0.95</f>
        <v>0.97573014419916293</v>
      </c>
      <c r="CS243">
        <f>ROUND(SUM(Sales[[#This Row],[Mdl Qlty]:[Mdl WdDeck]])+Sales[[#This Row],[Mdl Res Intercept]]*Sales[[#This Row],[Res Adj ]],-2)</f>
        <v>305800</v>
      </c>
      <c r="CT243">
        <f>ROUND(Sales[[#This Row],[25Det]]*Sales[[#This Row],[Det/Nbhd Adj]],-2)</f>
        <v>0</v>
      </c>
      <c r="CU243">
        <f>Sales[[#This Row],[Adjusted Res]]+Sales[[#This Row],[Adj Det ]]</f>
        <v>305800</v>
      </c>
      <c r="CV243">
        <f>ROUND((Sales[[#This Row],[Mdl Land Intercept]]+Sales[[#This Row],[Mdl LnAcres]])*Sales[[#This Row],[Det/Nbhd Adj]],-2)</f>
        <v>38400</v>
      </c>
      <c r="CW243">
        <f>Sales[[#This Row],[Adjusted Impr Total]]+Sales[[#This Row],[Adjusted Land Total]]</f>
        <v>344200</v>
      </c>
      <c r="CX243" s="15">
        <f>IFERROR((Sales[[#This Row],[Adjusted Impr Total]]-Sales[[#This Row],[24Bldg]])/Sales[[#This Row],[24Bldg]],0)</f>
        <v>0.18160741885625967</v>
      </c>
      <c r="CY243" s="15">
        <f>(Sales[[#This Row],[Adjusted Land Total]]-Sales[[#This Row],[24Lnd]])/Sales[[#This Row],[24Lnd]]</f>
        <v>-0.36106489184692181</v>
      </c>
      <c r="CZ243" s="15">
        <f>(Sales[[#This Row],[Adjusted Total]]-Sales[[#This Row],[24Final]])/Sales[[#This Row],[24Final]]</f>
        <v>7.9335214800878018E-2</v>
      </c>
      <c r="DA243" s="15">
        <f>(Sales[[#This Row],[Adjusted Total]]+Sales[[#This Row],[Days Prior Total]])/Sales[[#This Row],[Price]]</f>
        <v>1.1304098451480631</v>
      </c>
    </row>
    <row r="244" spans="1:105" x14ac:dyDescent="0.3">
      <c r="A244">
        <v>2025</v>
      </c>
      <c r="B244">
        <v>18132241033</v>
      </c>
      <c r="C244">
        <v>-1.3470736479666092</v>
      </c>
      <c r="D244">
        <v>0.26</v>
      </c>
      <c r="E244">
        <v>11388</v>
      </c>
      <c r="F244">
        <v>6</v>
      </c>
      <c r="G244" t="s">
        <v>126</v>
      </c>
      <c r="H244">
        <v>3033</v>
      </c>
      <c r="I244" t="s">
        <v>349</v>
      </c>
      <c r="J244" t="s">
        <v>30</v>
      </c>
      <c r="K244">
        <v>11</v>
      </c>
      <c r="L244">
        <v>259</v>
      </c>
      <c r="M244" t="s">
        <v>269</v>
      </c>
      <c r="N244" t="s">
        <v>148</v>
      </c>
      <c r="O244" t="s">
        <v>303</v>
      </c>
      <c r="P244">
        <v>100</v>
      </c>
      <c r="Q244">
        <v>1930</v>
      </c>
      <c r="R244">
        <v>1970</v>
      </c>
      <c r="S244">
        <v>94</v>
      </c>
      <c r="T244">
        <v>54</v>
      </c>
      <c r="U244">
        <v>2</v>
      </c>
      <c r="V244">
        <v>1216</v>
      </c>
      <c r="W244">
        <v>940</v>
      </c>
      <c r="X244">
        <v>0</v>
      </c>
      <c r="Y244">
        <v>1176</v>
      </c>
      <c r="Z244">
        <v>176</v>
      </c>
      <c r="AA244">
        <v>1000</v>
      </c>
      <c r="AB244">
        <v>3156</v>
      </c>
      <c r="AC244">
        <v>3500</v>
      </c>
      <c r="AD244">
        <v>0</v>
      </c>
      <c r="AE244" t="s">
        <v>6</v>
      </c>
      <c r="AF244" t="s">
        <v>383</v>
      </c>
      <c r="AG244" t="s">
        <v>148</v>
      </c>
      <c r="AH244" t="s">
        <v>450</v>
      </c>
      <c r="AI244">
        <v>0</v>
      </c>
      <c r="AJ244">
        <v>2</v>
      </c>
      <c r="AK244">
        <v>0</v>
      </c>
      <c r="AL244">
        <v>1</v>
      </c>
      <c r="AM244">
        <v>1</v>
      </c>
      <c r="AN244">
        <v>13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100</v>
      </c>
      <c r="AV244">
        <v>100</v>
      </c>
      <c r="AW244">
        <v>485186</v>
      </c>
      <c r="AX244">
        <v>363890</v>
      </c>
      <c r="AY244">
        <v>832</v>
      </c>
      <c r="AZ244">
        <v>365</v>
      </c>
      <c r="BA244">
        <v>365</v>
      </c>
      <c r="BB244">
        <v>102</v>
      </c>
      <c r="BC244" s="3">
        <v>44460</v>
      </c>
      <c r="BD244" t="s">
        <v>193</v>
      </c>
      <c r="BE244">
        <v>385000</v>
      </c>
      <c r="BF244">
        <v>373037</v>
      </c>
      <c r="BG244" t="s">
        <v>294</v>
      </c>
      <c r="BH244">
        <v>30</v>
      </c>
      <c r="BI244" t="s">
        <v>65</v>
      </c>
      <c r="BJ244" t="s">
        <v>450</v>
      </c>
      <c r="BK244">
        <v>450300</v>
      </c>
      <c r="BL244">
        <v>67600</v>
      </c>
      <c r="BM244">
        <v>382700</v>
      </c>
      <c r="BN244">
        <v>11963</v>
      </c>
      <c r="BO244">
        <v>1.1696103896103895</v>
      </c>
      <c r="BP244">
        <v>427513.2271945409</v>
      </c>
      <c r="BQ244">
        <v>462715.2260012097</v>
      </c>
      <c r="BR244" s="12">
        <f>(Sales[[#This Row],[DP1]]*Lookups!$B$59)+(Sales[[#This Row],[DP2]]*Lookups!$B$60)+(Sales[[#This Row],[DP3]]*Lookups!$B$61)</f>
        <v>-35201.998810870005</v>
      </c>
      <c r="BS244" s="12">
        <f>Lookups!$B$56*0</f>
        <v>0</v>
      </c>
      <c r="BT244" s="12">
        <f>Lookups!$B$56*1</f>
        <v>89850.625589999996</v>
      </c>
      <c r="BU244" s="12">
        <f>Lookups!$B$57*Sales[[#This Row],[LnAcres]]</f>
        <v>-42641.098701210125</v>
      </c>
      <c r="BV244" s="12">
        <f>VLOOKUP(Sales[[#This Row],[Qlty]],Lookups!$A$62:$E$75,2,FALSE)</f>
        <v>44121.038090000002</v>
      </c>
      <c r="BW244" s="12">
        <f>VLOOKUP(Sales[[#This Row],[Cnd]],Lookups!$A$76:$E$84,2,FALSE)</f>
        <v>197752.34721000001</v>
      </c>
      <c r="BX244" s="12">
        <f>Sales[[#This Row],[EffAge]]*Lookups!$B$85</f>
        <v>-12044.462427</v>
      </c>
      <c r="BY244" s="12">
        <f>Sales[[#This Row],[MainFn]]*Lookups!$B$86</f>
        <v>60080.942570432002</v>
      </c>
      <c r="BZ244" s="12">
        <f>Sales[[#This Row],[UpprFn]]*Lookups!$B$87</f>
        <v>42099.237489339997</v>
      </c>
      <c r="CA244" s="12">
        <f>Sales[[#This Row],[AddFn]]*Lookups!$B$88</f>
        <v>0</v>
      </c>
      <c r="CB244" s="12">
        <f>Sales[[#This Row],[Bsmt]]*Lookups!$B$89</f>
        <v>34200.308810472001</v>
      </c>
      <c r="CC244" s="12">
        <f>Sales[[#This Row],[Fixtures]]*Lookups!$B$90</f>
        <v>49296.287367600002</v>
      </c>
      <c r="CD244" s="12">
        <f>Sales[[#This Row],[WdDeck]]*Lookups!$B$91</f>
        <v>0</v>
      </c>
      <c r="CE244" s="12">
        <f>SUM(Sales[[#This Row],[Days Prior Total]:[Mdl WdDeck]])</f>
        <v>427513.22718876391</v>
      </c>
      <c r="CF244" s="12">
        <f>ROUND(Sales[[#This Row],[25Det]],-2)</f>
        <v>12000</v>
      </c>
      <c r="CG244" s="12">
        <f>ROUND(SUM(Sales[[#This Row],[Mdl Qlty]:[Mdl WdDeck]])+Sales[[#This Row],[Mdl Res Intercept]]+Sales[[#This Row],[Days Prior Total]],-2)</f>
        <v>380300</v>
      </c>
      <c r="CH244" s="12">
        <f>ROUND(Sales[[#This Row],[Mdl Land Intercept]]+Sales[[#This Row],[Mdl LnAcres]],-2)</f>
        <v>47200</v>
      </c>
      <c r="CI244" s="12">
        <f>Sales[[#This Row],[Unadj Res Value]]+Sales[[#This Row],[Unadj Det Value]]+Sales[[#This Row],[Unadj Land Value]]</f>
        <v>439500</v>
      </c>
      <c r="CJ244" s="13">
        <f>Sales[[#This Row],[Unadj Total Value]]/Sales[[#This Row],[Price]]</f>
        <v>1.1415584415584417</v>
      </c>
      <c r="CK244" s="13">
        <f>(Sales[[#This Row],[Unadj Total Value]]-Sales[[#This Row],[24Final]])/Sales[[#This Row],[24Final]]</f>
        <v>-2.3984010659560292E-2</v>
      </c>
      <c r="CL244">
        <f>VLOOKUP(Sales[[#This Row],[TNbhd]],Lookups!$Q$2:$T$4,4,FALSE)</f>
        <v>0.99970000000000003</v>
      </c>
      <c r="CM244">
        <f>VLOOKUP(Sales[[#This Row],[Qlty]],Lookups!$O$7:$R$21,4,FALSE)</f>
        <v>0.98050000000000004</v>
      </c>
      <c r="CN244">
        <f>VLOOKUP(Sales[[#This Row],[Cnd]],Lookups!$T$7:$W$16,4,FALSE)</f>
        <v>0.99650000000000005</v>
      </c>
      <c r="CO244">
        <f>VLOOKUP(Sales[[#This Row],[LivArea Range]],Lookups!$T$25:$W$37,4,FALSE)</f>
        <v>1.0126999999999999</v>
      </c>
      <c r="CP244">
        <f>VLOOKUP(Sales[[#This Row],[Decade]],Lookups!$O$25:$R$42,4,FALSE)</f>
        <v>1.0074000000000001</v>
      </c>
      <c r="CQ244">
        <f>Sales[[#This Row],[Nbhd Adj]]*0.95</f>
        <v>0.94971499999999998</v>
      </c>
      <c r="CR244">
        <f>Sales[[#This Row],[Nbhd Adj]]*Sales[[#This Row],[Quality Adj]]*Sales[[#This Row],[Condition Adj]]*Sales[[#This Row],[Living Area Adj]]*Sales[[#This Row],[Decade Adj]]*0.95</f>
        <v>0.94667510160736901</v>
      </c>
      <c r="CS244">
        <f>ROUND(SUM(Sales[[#This Row],[Mdl Qlty]:[Mdl WdDeck]])+Sales[[#This Row],[Mdl Res Intercept]]*Sales[[#This Row],[Res Adj ]],-2)</f>
        <v>415500</v>
      </c>
      <c r="CT244">
        <f>ROUND(Sales[[#This Row],[25Det]]*Sales[[#This Row],[Det/Nbhd Adj]],-2)</f>
        <v>11400</v>
      </c>
      <c r="CU244">
        <f>Sales[[#This Row],[Adjusted Res]]+Sales[[#This Row],[Adj Det ]]</f>
        <v>426900</v>
      </c>
      <c r="CV244">
        <f>ROUND((Sales[[#This Row],[Mdl Land Intercept]]+Sales[[#This Row],[Mdl LnAcres]])*Sales[[#This Row],[Det/Nbhd Adj]],-2)</f>
        <v>44800</v>
      </c>
      <c r="CW244">
        <f>Sales[[#This Row],[Adjusted Impr Total]]+Sales[[#This Row],[Adjusted Land Total]]</f>
        <v>471700</v>
      </c>
      <c r="CX244" s="15">
        <f>IFERROR((Sales[[#This Row],[Adjusted Impr Total]]-Sales[[#This Row],[24Bldg]])/Sales[[#This Row],[24Bldg]],0)</f>
        <v>0.11549516592631304</v>
      </c>
      <c r="CY244" s="15">
        <f>(Sales[[#This Row],[Adjusted Land Total]]-Sales[[#This Row],[24Lnd]])/Sales[[#This Row],[24Lnd]]</f>
        <v>-0.33727810650887574</v>
      </c>
      <c r="CZ244" s="15">
        <f>(Sales[[#This Row],[Adjusted Total]]-Sales[[#This Row],[24Final]])/Sales[[#This Row],[24Final]]</f>
        <v>4.7523872973573175E-2</v>
      </c>
      <c r="DA244" s="15">
        <f>(Sales[[#This Row],[Adjusted Total]]+Sales[[#This Row],[Days Prior Total]])/Sales[[#This Row],[Price]]</f>
        <v>1.1337610420496884</v>
      </c>
    </row>
    <row r="245" spans="1:105" x14ac:dyDescent="0.3">
      <c r="A245">
        <v>2025</v>
      </c>
      <c r="B245">
        <v>18132243453</v>
      </c>
      <c r="C245">
        <v>-1.5141277326297755</v>
      </c>
      <c r="D245">
        <v>0.22</v>
      </c>
      <c r="E245">
        <v>9779</v>
      </c>
      <c r="F245">
        <v>6</v>
      </c>
      <c r="G245" t="s">
        <v>126</v>
      </c>
      <c r="H245">
        <v>3093</v>
      </c>
      <c r="I245" t="s">
        <v>349</v>
      </c>
      <c r="J245" t="s">
        <v>30</v>
      </c>
      <c r="K245">
        <v>11</v>
      </c>
      <c r="L245">
        <v>259</v>
      </c>
      <c r="M245" t="s">
        <v>242</v>
      </c>
      <c r="N245" t="s">
        <v>351</v>
      </c>
      <c r="O245" t="s">
        <v>303</v>
      </c>
      <c r="P245">
        <v>100</v>
      </c>
      <c r="Q245">
        <v>1930</v>
      </c>
      <c r="R245">
        <v>1970</v>
      </c>
      <c r="S245">
        <v>94</v>
      </c>
      <c r="T245">
        <v>54</v>
      </c>
      <c r="U245">
        <v>1</v>
      </c>
      <c r="V245">
        <v>972</v>
      </c>
      <c r="W245">
        <v>0</v>
      </c>
      <c r="X245">
        <v>0</v>
      </c>
      <c r="Y245">
        <v>985</v>
      </c>
      <c r="Z245">
        <v>788</v>
      </c>
      <c r="AA245">
        <v>197</v>
      </c>
      <c r="AB245">
        <v>1169</v>
      </c>
      <c r="AC245">
        <v>1500</v>
      </c>
      <c r="AD245">
        <v>0</v>
      </c>
      <c r="AF245" t="s">
        <v>383</v>
      </c>
      <c r="AG245" t="s">
        <v>148</v>
      </c>
      <c r="AH245" t="s">
        <v>450</v>
      </c>
      <c r="AI245">
        <v>0</v>
      </c>
      <c r="AJ245">
        <v>1</v>
      </c>
      <c r="AK245">
        <v>0</v>
      </c>
      <c r="AL245">
        <v>0</v>
      </c>
      <c r="AM245">
        <v>0</v>
      </c>
      <c r="AN245">
        <v>5</v>
      </c>
      <c r="AO245">
        <v>0</v>
      </c>
      <c r="AP245">
        <v>0</v>
      </c>
      <c r="AQ245">
        <v>0</v>
      </c>
      <c r="AR245">
        <v>198</v>
      </c>
      <c r="AS245">
        <v>0</v>
      </c>
      <c r="AT245">
        <v>0</v>
      </c>
      <c r="AU245">
        <v>100</v>
      </c>
      <c r="AV245">
        <v>100</v>
      </c>
      <c r="AW245">
        <v>196374</v>
      </c>
      <c r="AX245">
        <v>147281</v>
      </c>
      <c r="AY245">
        <v>285</v>
      </c>
      <c r="AZ245">
        <v>285</v>
      </c>
      <c r="BA245">
        <v>0</v>
      </c>
      <c r="BB245">
        <v>0</v>
      </c>
      <c r="BC245" s="3">
        <v>45007</v>
      </c>
      <c r="BD245" t="s">
        <v>254</v>
      </c>
      <c r="BE245">
        <v>282000</v>
      </c>
      <c r="BF245">
        <v>274039</v>
      </c>
      <c r="BG245" t="s">
        <v>294</v>
      </c>
      <c r="BH245">
        <v>30</v>
      </c>
      <c r="BI245" t="s">
        <v>65</v>
      </c>
      <c r="BJ245" t="s">
        <v>450</v>
      </c>
      <c r="BK245">
        <v>316800</v>
      </c>
      <c r="BL245">
        <v>61700</v>
      </c>
      <c r="BM245">
        <v>255100</v>
      </c>
      <c r="BN245">
        <v>7961</v>
      </c>
      <c r="BO245">
        <v>1.123404255319149</v>
      </c>
      <c r="BP245">
        <v>331301.13833901862</v>
      </c>
      <c r="BQ245">
        <v>351410.2243602649</v>
      </c>
      <c r="BR245" s="12">
        <f>(Sales[[#This Row],[DP1]]*Lookups!$B$59)+(Sales[[#This Row],[DP2]]*Lookups!$B$60)+(Sales[[#This Row],[DP3]]*Lookups!$B$61)</f>
        <v>-20109.086022450003</v>
      </c>
      <c r="BS245" s="12">
        <f>Lookups!$B$56*0</f>
        <v>0</v>
      </c>
      <c r="BT245" s="12">
        <f>Lookups!$B$56*1</f>
        <v>89850.625589999996</v>
      </c>
      <c r="BU245" s="12">
        <f>Lookups!$B$57*Sales[[#This Row],[LnAcres]]</f>
        <v>-47929.131559187132</v>
      </c>
      <c r="BV245" s="12">
        <f>VLOOKUP(Sales[[#This Row],[Qlty]],Lookups!$A$62:$E$75,2,FALSE)</f>
        <v>21557.329055999999</v>
      </c>
      <c r="BW245" s="12">
        <f>VLOOKUP(Sales[[#This Row],[Cnd]],Lookups!$A$76:$E$84,2,FALSE)</f>
        <v>197752.34721000001</v>
      </c>
      <c r="BX245" s="12">
        <f>Sales[[#This Row],[EffAge]]*Lookups!$B$85</f>
        <v>-12044.462427</v>
      </c>
      <c r="BY245" s="12">
        <f>Sales[[#This Row],[MainFn]]*Lookups!$B$86</f>
        <v>48025.227120444004</v>
      </c>
      <c r="BZ245" s="12">
        <f>Sales[[#This Row],[UpprFn]]*Lookups!$B$87</f>
        <v>0</v>
      </c>
      <c r="CA245" s="12">
        <f>Sales[[#This Row],[AddFn]]*Lookups!$B$88</f>
        <v>0</v>
      </c>
      <c r="CB245" s="12">
        <f>Sales[[#This Row],[Bsmt]]*Lookups!$B$89</f>
        <v>28645.666818294998</v>
      </c>
      <c r="CC245" s="12">
        <f>Sales[[#This Row],[Fixtures]]*Lookups!$B$90</f>
        <v>18960.110526</v>
      </c>
      <c r="CD245" s="12">
        <f>Sales[[#This Row],[WdDeck]]*Lookups!$B$91</f>
        <v>6592.512024648001</v>
      </c>
      <c r="CE245" s="12">
        <f>SUM(Sales[[#This Row],[Days Prior Total]:[Mdl WdDeck]])</f>
        <v>331301.13833674992</v>
      </c>
      <c r="CF245" s="12">
        <f>ROUND(Sales[[#This Row],[25Det]],-2)</f>
        <v>8000</v>
      </c>
      <c r="CG245" s="12">
        <f>ROUND(SUM(Sales[[#This Row],[Mdl Qlty]:[Mdl WdDeck]])+Sales[[#This Row],[Mdl Res Intercept]]+Sales[[#This Row],[Days Prior Total]],-2)</f>
        <v>289400</v>
      </c>
      <c r="CH245" s="12">
        <f>ROUND(Sales[[#This Row],[Mdl Land Intercept]]+Sales[[#This Row],[Mdl LnAcres]],-2)</f>
        <v>41900</v>
      </c>
      <c r="CI245" s="12">
        <f>Sales[[#This Row],[Unadj Res Value]]+Sales[[#This Row],[Unadj Det Value]]+Sales[[#This Row],[Unadj Land Value]]</f>
        <v>339300</v>
      </c>
      <c r="CJ245" s="13">
        <f>Sales[[#This Row],[Unadj Total Value]]/Sales[[#This Row],[Price]]</f>
        <v>1.2031914893617022</v>
      </c>
      <c r="CK245" s="13">
        <f>(Sales[[#This Row],[Unadj Total Value]]-Sales[[#This Row],[24Final]])/Sales[[#This Row],[24Final]]</f>
        <v>7.1022727272727279E-2</v>
      </c>
      <c r="CL245">
        <f>VLOOKUP(Sales[[#This Row],[TNbhd]],Lookups!$Q$2:$T$4,4,FALSE)</f>
        <v>0.99970000000000003</v>
      </c>
      <c r="CM245">
        <f>VLOOKUP(Sales[[#This Row],[Qlty]],Lookups!$O$7:$R$21,4,FALSE)</f>
        <v>1.0067999999999999</v>
      </c>
      <c r="CN245">
        <f>VLOOKUP(Sales[[#This Row],[Cnd]],Lookups!$T$7:$W$16,4,FALSE)</f>
        <v>0.99650000000000005</v>
      </c>
      <c r="CO245">
        <f>VLOOKUP(Sales[[#This Row],[LivArea Range]],Lookups!$T$25:$W$37,4,FALSE)</f>
        <v>1.0157</v>
      </c>
      <c r="CP245">
        <f>VLOOKUP(Sales[[#This Row],[Decade]],Lookups!$O$25:$R$42,4,FALSE)</f>
        <v>1.0074000000000001</v>
      </c>
      <c r="CQ245">
        <f>Sales[[#This Row],[Nbhd Adj]]*0.95</f>
        <v>0.94971499999999998</v>
      </c>
      <c r="CR245">
        <f>Sales[[#This Row],[Nbhd Adj]]*Sales[[#This Row],[Quality Adj]]*Sales[[#This Row],[Condition Adj]]*Sales[[#This Row],[Living Area Adj]]*Sales[[#This Row],[Decade Adj]]*0.95</f>
        <v>0.97494744680082823</v>
      </c>
      <c r="CS245">
        <f>ROUND(SUM(Sales[[#This Row],[Mdl Qlty]:[Mdl WdDeck]])+Sales[[#This Row],[Mdl Res Intercept]]*Sales[[#This Row],[Res Adj ]],-2)</f>
        <v>309500</v>
      </c>
      <c r="CT245">
        <f>ROUND(Sales[[#This Row],[25Det]]*Sales[[#This Row],[Det/Nbhd Adj]],-2)</f>
        <v>7600</v>
      </c>
      <c r="CU245">
        <f>Sales[[#This Row],[Adjusted Res]]+Sales[[#This Row],[Adj Det ]]</f>
        <v>317100</v>
      </c>
      <c r="CV245">
        <f>ROUND((Sales[[#This Row],[Mdl Land Intercept]]+Sales[[#This Row],[Mdl LnAcres]])*Sales[[#This Row],[Det/Nbhd Adj]],-2)</f>
        <v>39800</v>
      </c>
      <c r="CW245">
        <f>Sales[[#This Row],[Adjusted Impr Total]]+Sales[[#This Row],[Adjusted Land Total]]</f>
        <v>356900</v>
      </c>
      <c r="CX245" s="15">
        <f>IFERROR((Sales[[#This Row],[Adjusted Impr Total]]-Sales[[#This Row],[24Bldg]])/Sales[[#This Row],[24Bldg]],0)</f>
        <v>0.24304194433555468</v>
      </c>
      <c r="CY245" s="15">
        <f>(Sales[[#This Row],[Adjusted Land Total]]-Sales[[#This Row],[24Lnd]])/Sales[[#This Row],[24Lnd]]</f>
        <v>-0.35494327390599678</v>
      </c>
      <c r="CZ245" s="15">
        <f>(Sales[[#This Row],[Adjusted Total]]-Sales[[#This Row],[24Final]])/Sales[[#This Row],[24Final]]</f>
        <v>0.12657828282828282</v>
      </c>
      <c r="DA245" s="15">
        <f>(Sales[[#This Row],[Adjusted Total]]+Sales[[#This Row],[Days Prior Total]])/Sales[[#This Row],[Price]]</f>
        <v>1.1942940211969857</v>
      </c>
    </row>
    <row r="246" spans="1:105" x14ac:dyDescent="0.3">
      <c r="A246">
        <v>2025</v>
      </c>
      <c r="B246">
        <v>18132332449</v>
      </c>
      <c r="C246">
        <v>-1.2378743560016174</v>
      </c>
      <c r="D246">
        <v>0.28999999999999998</v>
      </c>
      <c r="E246">
        <v>12529</v>
      </c>
      <c r="F246">
        <v>6</v>
      </c>
      <c r="G246" t="s">
        <v>126</v>
      </c>
      <c r="H246">
        <v>3033</v>
      </c>
      <c r="I246" t="s">
        <v>349</v>
      </c>
      <c r="J246" t="s">
        <v>30</v>
      </c>
      <c r="K246">
        <v>11</v>
      </c>
      <c r="L246">
        <v>259</v>
      </c>
      <c r="M246" t="s">
        <v>242</v>
      </c>
      <c r="N246" t="s">
        <v>205</v>
      </c>
      <c r="O246" t="s">
        <v>303</v>
      </c>
      <c r="P246">
        <v>100</v>
      </c>
      <c r="Q246">
        <v>1930</v>
      </c>
      <c r="R246">
        <v>1970</v>
      </c>
      <c r="S246">
        <v>94</v>
      </c>
      <c r="T246">
        <v>54</v>
      </c>
      <c r="U246">
        <v>1</v>
      </c>
      <c r="V246">
        <v>768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768</v>
      </c>
      <c r="AC246">
        <v>1000</v>
      </c>
      <c r="AD246">
        <v>0</v>
      </c>
      <c r="AF246" t="s">
        <v>383</v>
      </c>
      <c r="AG246" t="s">
        <v>148</v>
      </c>
      <c r="AI246">
        <v>0</v>
      </c>
      <c r="AJ246">
        <v>0</v>
      </c>
      <c r="AK246">
        <v>0</v>
      </c>
      <c r="AL246">
        <v>1</v>
      </c>
      <c r="AM246">
        <v>0</v>
      </c>
      <c r="AN246">
        <v>8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100</v>
      </c>
      <c r="AV246">
        <v>100</v>
      </c>
      <c r="AW246">
        <v>114607</v>
      </c>
      <c r="AX246">
        <v>85955</v>
      </c>
      <c r="AY246">
        <v>532</v>
      </c>
      <c r="AZ246">
        <v>365</v>
      </c>
      <c r="BA246">
        <v>167</v>
      </c>
      <c r="BB246">
        <v>0</v>
      </c>
      <c r="BC246" s="3">
        <v>44760</v>
      </c>
      <c r="BD246" t="s">
        <v>69</v>
      </c>
      <c r="BE246">
        <v>215000</v>
      </c>
      <c r="BF246">
        <v>208990</v>
      </c>
      <c r="BG246" t="s">
        <v>294</v>
      </c>
      <c r="BH246">
        <v>30</v>
      </c>
      <c r="BI246" t="s">
        <v>65</v>
      </c>
      <c r="BJ246" t="s">
        <v>450</v>
      </c>
      <c r="BK246">
        <v>291700</v>
      </c>
      <c r="BL246">
        <v>71400</v>
      </c>
      <c r="BM246">
        <v>220300</v>
      </c>
      <c r="BN246">
        <v>6010</v>
      </c>
      <c r="BO246">
        <v>1.3567441860465117</v>
      </c>
      <c r="BP246">
        <v>280820.0565254087</v>
      </c>
      <c r="BQ246">
        <v>304656.10860599036</v>
      </c>
      <c r="BR246" s="12">
        <f>(Sales[[#This Row],[DP1]]*Lookups!$B$59)+(Sales[[#This Row],[DP2]]*Lookups!$B$60)+(Sales[[#This Row],[DP3]]*Lookups!$B$61)</f>
        <v>-23836.052082165999</v>
      </c>
      <c r="BS246" s="12">
        <f>Lookups!$B$56*0</f>
        <v>0</v>
      </c>
      <c r="BT246" s="12">
        <f>Lookups!$B$56*1</f>
        <v>89850.625589999996</v>
      </c>
      <c r="BU246" s="12">
        <f>Lookups!$B$57*Sales[[#This Row],[LnAcres]]</f>
        <v>-39184.437074869042</v>
      </c>
      <c r="BV246" s="12">
        <f>VLOOKUP(Sales[[#This Row],[Qlty]],Lookups!$A$62:$E$75,2,FALSE)</f>
        <v>0</v>
      </c>
      <c r="BW246" s="12">
        <f>VLOOKUP(Sales[[#This Row],[Cnd]],Lookups!$A$76:$E$84,2,FALSE)</f>
        <v>197752.34721000001</v>
      </c>
      <c r="BX246" s="12">
        <f>Sales[[#This Row],[EffAge]]*Lookups!$B$85</f>
        <v>-12044.462427</v>
      </c>
      <c r="BY246" s="12">
        <f>Sales[[#This Row],[MainFn]]*Lookups!$B$86</f>
        <v>37945.858465536003</v>
      </c>
      <c r="BZ246" s="12">
        <f>Sales[[#This Row],[UpprFn]]*Lookups!$B$87</f>
        <v>0</v>
      </c>
      <c r="CA246" s="12">
        <f>Sales[[#This Row],[AddFn]]*Lookups!$B$88</f>
        <v>0</v>
      </c>
      <c r="CB246" s="12">
        <f>Sales[[#This Row],[Bsmt]]*Lookups!$B$89</f>
        <v>0</v>
      </c>
      <c r="CC246" s="12">
        <f>Sales[[#This Row],[Fixtures]]*Lookups!$B$90</f>
        <v>30336.176841600001</v>
      </c>
      <c r="CD246" s="12">
        <f>Sales[[#This Row],[WdDeck]]*Lookups!$B$91</f>
        <v>0</v>
      </c>
      <c r="CE246" s="12">
        <f>SUM(Sales[[#This Row],[Days Prior Total]:[Mdl WdDeck]])</f>
        <v>280820.056523101</v>
      </c>
      <c r="CF246" s="12">
        <f>ROUND(Sales[[#This Row],[25Det]],-2)</f>
        <v>6000</v>
      </c>
      <c r="CG246" s="12">
        <f>ROUND(SUM(Sales[[#This Row],[Mdl Qlty]:[Mdl WdDeck]])+Sales[[#This Row],[Mdl Res Intercept]]+Sales[[#This Row],[Days Prior Total]],-2)</f>
        <v>230200</v>
      </c>
      <c r="CH246" s="12">
        <f>ROUND(Sales[[#This Row],[Mdl Land Intercept]]+Sales[[#This Row],[Mdl LnAcres]],-2)</f>
        <v>50700</v>
      </c>
      <c r="CI246" s="12">
        <f>Sales[[#This Row],[Unadj Res Value]]+Sales[[#This Row],[Unadj Det Value]]+Sales[[#This Row],[Unadj Land Value]]</f>
        <v>286900</v>
      </c>
      <c r="CJ246" s="13">
        <f>Sales[[#This Row],[Unadj Total Value]]/Sales[[#This Row],[Price]]</f>
        <v>1.3344186046511628</v>
      </c>
      <c r="CK246" s="13">
        <f>(Sales[[#This Row],[Unadj Total Value]]-Sales[[#This Row],[24Final]])/Sales[[#This Row],[24Final]]</f>
        <v>-1.64552622557422E-2</v>
      </c>
      <c r="CL246">
        <f>VLOOKUP(Sales[[#This Row],[TNbhd]],Lookups!$Q$2:$T$4,4,FALSE)</f>
        <v>0.99970000000000003</v>
      </c>
      <c r="CM246">
        <f>VLOOKUP(Sales[[#This Row],[Qlty]],Lookups!$O$7:$R$21,4,FALSE)</f>
        <v>0.99180000000000001</v>
      </c>
      <c r="CN246">
        <f>VLOOKUP(Sales[[#This Row],[Cnd]],Lookups!$T$7:$W$16,4,FALSE)</f>
        <v>0.99650000000000005</v>
      </c>
      <c r="CO246">
        <f>VLOOKUP(Sales[[#This Row],[LivArea Range]],Lookups!$T$25:$W$37,4,FALSE)</f>
        <v>1.0148999999999999</v>
      </c>
      <c r="CP246">
        <f>VLOOKUP(Sales[[#This Row],[Decade]],Lookups!$O$25:$R$42,4,FALSE)</f>
        <v>1.0074000000000001</v>
      </c>
      <c r="CQ246">
        <f>Sales[[#This Row],[Nbhd Adj]]*0.95</f>
        <v>0.94971499999999998</v>
      </c>
      <c r="CR246">
        <f>Sales[[#This Row],[Nbhd Adj]]*Sales[[#This Row],[Quality Adj]]*Sales[[#This Row],[Condition Adj]]*Sales[[#This Row],[Living Area Adj]]*Sales[[#This Row],[Decade Adj]]*0.95</f>
        <v>0.9596655469159463</v>
      </c>
      <c r="CS246">
        <f>ROUND(SUM(Sales[[#This Row],[Mdl Qlty]:[Mdl WdDeck]])+Sales[[#This Row],[Mdl Res Intercept]]*Sales[[#This Row],[Res Adj ]],-2)</f>
        <v>254000</v>
      </c>
      <c r="CT246">
        <f>ROUND(Sales[[#This Row],[25Det]]*Sales[[#This Row],[Det/Nbhd Adj]],-2)</f>
        <v>5700</v>
      </c>
      <c r="CU246">
        <f>Sales[[#This Row],[Adjusted Res]]+Sales[[#This Row],[Adj Det ]]</f>
        <v>259700</v>
      </c>
      <c r="CV246">
        <f>ROUND((Sales[[#This Row],[Mdl Land Intercept]]+Sales[[#This Row],[Mdl LnAcres]])*Sales[[#This Row],[Det/Nbhd Adj]],-2)</f>
        <v>48100</v>
      </c>
      <c r="CW246">
        <f>Sales[[#This Row],[Adjusted Impr Total]]+Sales[[#This Row],[Adjusted Land Total]]</f>
        <v>307800</v>
      </c>
      <c r="CX246" s="15">
        <f>IFERROR((Sales[[#This Row],[Adjusted Impr Total]]-Sales[[#This Row],[24Bldg]])/Sales[[#This Row],[24Bldg]],0)</f>
        <v>0.17884702678166137</v>
      </c>
      <c r="CY246" s="15">
        <f>(Sales[[#This Row],[Adjusted Land Total]]-Sales[[#This Row],[24Lnd]])/Sales[[#This Row],[24Lnd]]</f>
        <v>-0.32633053221288516</v>
      </c>
      <c r="CZ246" s="15">
        <f>(Sales[[#This Row],[Adjusted Total]]-Sales[[#This Row],[24Final]])/Sales[[#This Row],[24Final]]</f>
        <v>5.5193692149468634E-2</v>
      </c>
      <c r="DA246" s="15">
        <f>(Sales[[#This Row],[Adjusted Total]]+Sales[[#This Row],[Days Prior Total]])/Sales[[#This Row],[Price]]</f>
        <v>1.3207625484550418</v>
      </c>
    </row>
    <row r="247" spans="1:105" x14ac:dyDescent="0.3">
      <c r="A247">
        <v>2025</v>
      </c>
      <c r="B247">
        <v>18132244027</v>
      </c>
      <c r="C247">
        <v>-1.1086626245216111</v>
      </c>
      <c r="D247">
        <v>0.33</v>
      </c>
      <c r="E247">
        <v>14496</v>
      </c>
      <c r="F247">
        <v>6</v>
      </c>
      <c r="G247" t="s">
        <v>126</v>
      </c>
      <c r="H247">
        <v>3093</v>
      </c>
      <c r="I247" t="s">
        <v>349</v>
      </c>
      <c r="J247" t="s">
        <v>30</v>
      </c>
      <c r="K247">
        <v>11</v>
      </c>
      <c r="L247">
        <v>259</v>
      </c>
      <c r="M247" t="s">
        <v>242</v>
      </c>
      <c r="N247" t="s">
        <v>351</v>
      </c>
      <c r="O247" t="s">
        <v>352</v>
      </c>
      <c r="P247">
        <v>100</v>
      </c>
      <c r="Q247">
        <v>1930</v>
      </c>
      <c r="R247">
        <v>2009</v>
      </c>
      <c r="S247">
        <v>94</v>
      </c>
      <c r="T247">
        <v>15</v>
      </c>
      <c r="U247">
        <v>1</v>
      </c>
      <c r="V247">
        <v>1050</v>
      </c>
      <c r="W247">
        <v>0</v>
      </c>
      <c r="X247">
        <v>0</v>
      </c>
      <c r="Y247">
        <v>1050</v>
      </c>
      <c r="Z247">
        <v>0</v>
      </c>
      <c r="AA247">
        <v>1050</v>
      </c>
      <c r="AB247">
        <v>2100</v>
      </c>
      <c r="AC247">
        <v>2500</v>
      </c>
      <c r="AD247">
        <v>0</v>
      </c>
      <c r="AF247" t="s">
        <v>97</v>
      </c>
      <c r="AG247" t="s">
        <v>148</v>
      </c>
      <c r="AH247" t="s">
        <v>65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11</v>
      </c>
      <c r="AO247">
        <v>0</v>
      </c>
      <c r="AP247">
        <v>0</v>
      </c>
      <c r="AQ247">
        <v>0</v>
      </c>
      <c r="AR247">
        <v>0</v>
      </c>
      <c r="AS247">
        <v>587</v>
      </c>
      <c r="AT247">
        <v>242</v>
      </c>
      <c r="AU247">
        <v>100</v>
      </c>
      <c r="AV247">
        <v>100</v>
      </c>
      <c r="AW247">
        <v>245600</v>
      </c>
      <c r="AX247">
        <v>235776</v>
      </c>
      <c r="AY247">
        <v>385</v>
      </c>
      <c r="AZ247">
        <v>365</v>
      </c>
      <c r="BA247">
        <v>20</v>
      </c>
      <c r="BB247">
        <v>0</v>
      </c>
      <c r="BC247" s="3">
        <v>44907</v>
      </c>
      <c r="BD247" t="s">
        <v>461</v>
      </c>
      <c r="BE247">
        <v>340000</v>
      </c>
      <c r="BF247">
        <v>318706</v>
      </c>
      <c r="BG247" t="s">
        <v>294</v>
      </c>
      <c r="BH247">
        <v>30</v>
      </c>
      <c r="BI247" t="s">
        <v>65</v>
      </c>
      <c r="BJ247" t="s">
        <v>450</v>
      </c>
      <c r="BK247">
        <v>428900</v>
      </c>
      <c r="BL247">
        <v>75900</v>
      </c>
      <c r="BM247">
        <v>353000</v>
      </c>
      <c r="BN247">
        <v>21294</v>
      </c>
      <c r="BO247">
        <v>1.2614705882352941</v>
      </c>
      <c r="BP247">
        <v>456381.84756150976</v>
      </c>
      <c r="BQ247">
        <v>481905.92587497312</v>
      </c>
      <c r="BR247" s="12">
        <f>(Sales[[#This Row],[DP1]]*Lookups!$B$59)+(Sales[[#This Row],[DP2]]*Lookups!$B$60)+(Sales[[#This Row],[DP3]]*Lookups!$B$61)</f>
        <v>-25524.07831501</v>
      </c>
      <c r="BS247" s="12">
        <f>Lookups!$B$56*0</f>
        <v>0</v>
      </c>
      <c r="BT247" s="12">
        <f>Lookups!$B$56*1</f>
        <v>89850.625589999996</v>
      </c>
      <c r="BU247" s="12">
        <f>Lookups!$B$57*Sales[[#This Row],[LnAcres]]</f>
        <v>-35094.289365640165</v>
      </c>
      <c r="BV247" s="12">
        <f>VLOOKUP(Sales[[#This Row],[Qlty]],Lookups!$A$62:$E$75,2,FALSE)</f>
        <v>21557.329055999999</v>
      </c>
      <c r="BW247" s="12">
        <f>VLOOKUP(Sales[[#This Row],[Cnd]],Lookups!$A$76:$E$84,2,FALSE)</f>
        <v>284810.60806</v>
      </c>
      <c r="BX247" s="12">
        <f>Sales[[#This Row],[EffAge]]*Lookups!$B$85</f>
        <v>-3345.6840075</v>
      </c>
      <c r="BY247" s="12">
        <f>Sales[[#This Row],[MainFn]]*Lookups!$B$86</f>
        <v>51879.103370850004</v>
      </c>
      <c r="BZ247" s="12">
        <f>Sales[[#This Row],[UpprFn]]*Lookups!$B$87</f>
        <v>0</v>
      </c>
      <c r="CA247" s="12">
        <f>Sales[[#This Row],[AddFn]]*Lookups!$B$88</f>
        <v>0</v>
      </c>
      <c r="CB247" s="12">
        <f>Sales[[#This Row],[Bsmt]]*Lookups!$B$89</f>
        <v>30535.99000935</v>
      </c>
      <c r="CC247" s="12">
        <f>Sales[[#This Row],[Fixtures]]*Lookups!$B$90</f>
        <v>41712.243157199999</v>
      </c>
      <c r="CD247" s="12">
        <f>Sales[[#This Row],[WdDeck]]*Lookups!$B$91</f>
        <v>0</v>
      </c>
      <c r="CE247" s="12">
        <f>SUM(Sales[[#This Row],[Days Prior Total]:[Mdl WdDeck]])</f>
        <v>456381.84755524987</v>
      </c>
      <c r="CF247" s="12">
        <f>ROUND(Sales[[#This Row],[25Det]],-2)</f>
        <v>21300</v>
      </c>
      <c r="CG247" s="12">
        <f>ROUND(SUM(Sales[[#This Row],[Mdl Qlty]:[Mdl WdDeck]])+Sales[[#This Row],[Mdl Res Intercept]]+Sales[[#This Row],[Days Prior Total]],-2)</f>
        <v>401600</v>
      </c>
      <c r="CH247" s="12">
        <f>ROUND(Sales[[#This Row],[Mdl Land Intercept]]+Sales[[#This Row],[Mdl LnAcres]],-2)</f>
        <v>54800</v>
      </c>
      <c r="CI247" s="12">
        <f>Sales[[#This Row],[Unadj Res Value]]+Sales[[#This Row],[Unadj Det Value]]+Sales[[#This Row],[Unadj Land Value]]</f>
        <v>477700</v>
      </c>
      <c r="CJ247" s="13">
        <f>Sales[[#This Row],[Unadj Total Value]]/Sales[[#This Row],[Price]]</f>
        <v>1.405</v>
      </c>
      <c r="CK247" s="13">
        <f>(Sales[[#This Row],[Unadj Total Value]]-Sales[[#This Row],[24Final]])/Sales[[#This Row],[24Final]]</f>
        <v>0.1137794357659128</v>
      </c>
      <c r="CL247">
        <f>VLOOKUP(Sales[[#This Row],[TNbhd]],Lookups!$Q$2:$T$4,4,FALSE)</f>
        <v>0.99970000000000003</v>
      </c>
      <c r="CM247">
        <f>VLOOKUP(Sales[[#This Row],[Qlty]],Lookups!$O$7:$R$21,4,FALSE)</f>
        <v>1.0067999999999999</v>
      </c>
      <c r="CN247">
        <f>VLOOKUP(Sales[[#This Row],[Cnd]],Lookups!$T$7:$W$16,4,FALSE)</f>
        <v>1.0158</v>
      </c>
      <c r="CO247">
        <f>VLOOKUP(Sales[[#This Row],[LivArea Range]],Lookups!$T$25:$W$37,4,FALSE)</f>
        <v>0.98919999999999997</v>
      </c>
      <c r="CP247">
        <f>VLOOKUP(Sales[[#This Row],[Decade]],Lookups!$O$25:$R$42,4,FALSE)</f>
        <v>1.0074000000000001</v>
      </c>
      <c r="CQ247">
        <f>Sales[[#This Row],[Nbhd Adj]]*0.95</f>
        <v>0.94971499999999998</v>
      </c>
      <c r="CR247">
        <f>Sales[[#This Row],[Nbhd Adj]]*Sales[[#This Row],[Quality Adj]]*Sales[[#This Row],[Condition Adj]]*Sales[[#This Row],[Living Area Adj]]*Sales[[#This Row],[Decade Adj]]*0.95</f>
        <v>0.9679006176066467</v>
      </c>
      <c r="CS247">
        <f>ROUND(SUM(Sales[[#This Row],[Mdl Qlty]:[Mdl WdDeck]])+Sales[[#This Row],[Mdl Res Intercept]]*Sales[[#This Row],[Res Adj ]],-2)</f>
        <v>427100</v>
      </c>
      <c r="CT247">
        <f>ROUND(Sales[[#This Row],[25Det]]*Sales[[#This Row],[Det/Nbhd Adj]],-2)</f>
        <v>20200</v>
      </c>
      <c r="CU247">
        <f>Sales[[#This Row],[Adjusted Res]]+Sales[[#This Row],[Adj Det ]]</f>
        <v>447300</v>
      </c>
      <c r="CV247">
        <f>ROUND((Sales[[#This Row],[Mdl Land Intercept]]+Sales[[#This Row],[Mdl LnAcres]])*Sales[[#This Row],[Det/Nbhd Adj]],-2)</f>
        <v>52000</v>
      </c>
      <c r="CW247">
        <f>Sales[[#This Row],[Adjusted Impr Total]]+Sales[[#This Row],[Adjusted Land Total]]</f>
        <v>499300</v>
      </c>
      <c r="CX247" s="15">
        <f>IFERROR((Sales[[#This Row],[Adjusted Impr Total]]-Sales[[#This Row],[24Bldg]])/Sales[[#This Row],[24Bldg]],0)</f>
        <v>0.26713881019830027</v>
      </c>
      <c r="CY247" s="15">
        <f>(Sales[[#This Row],[Adjusted Land Total]]-Sales[[#This Row],[24Lnd]])/Sales[[#This Row],[24Lnd]]</f>
        <v>-0.31488801054018445</v>
      </c>
      <c r="CZ247" s="15">
        <f>(Sales[[#This Row],[Adjusted Total]]-Sales[[#This Row],[24Final]])/Sales[[#This Row],[24Final]]</f>
        <v>0.16414082536721847</v>
      </c>
      <c r="DA247" s="15">
        <f>(Sales[[#This Row],[Adjusted Total]]+Sales[[#This Row],[Days Prior Total]])/Sales[[#This Row],[Price]]</f>
        <v>1.393458593191147</v>
      </c>
    </row>
    <row r="248" spans="1:105" x14ac:dyDescent="0.3">
      <c r="A248">
        <v>2025</v>
      </c>
      <c r="B248">
        <v>18132332422</v>
      </c>
      <c r="C248">
        <v>-1.8971199848858813</v>
      </c>
      <c r="D248">
        <v>0.15</v>
      </c>
      <c r="E248">
        <v>0</v>
      </c>
      <c r="F248">
        <v>6</v>
      </c>
      <c r="G248" t="s">
        <v>126</v>
      </c>
      <c r="H248">
        <v>3032</v>
      </c>
      <c r="I248" t="s">
        <v>349</v>
      </c>
      <c r="J248" t="s">
        <v>30</v>
      </c>
      <c r="K248">
        <v>11</v>
      </c>
      <c r="L248">
        <v>259</v>
      </c>
      <c r="M248" t="s">
        <v>269</v>
      </c>
      <c r="N248" t="s">
        <v>351</v>
      </c>
      <c r="O248" t="s">
        <v>323</v>
      </c>
      <c r="P248">
        <v>100</v>
      </c>
      <c r="Q248">
        <v>1928</v>
      </c>
      <c r="R248">
        <v>1969</v>
      </c>
      <c r="S248">
        <v>96</v>
      </c>
      <c r="T248">
        <v>55</v>
      </c>
      <c r="U248">
        <v>1</v>
      </c>
      <c r="V248">
        <v>1212</v>
      </c>
      <c r="W248">
        <v>0</v>
      </c>
      <c r="X248">
        <v>0</v>
      </c>
      <c r="Y248">
        <v>1212</v>
      </c>
      <c r="Z248">
        <v>0</v>
      </c>
      <c r="AA248">
        <v>1212</v>
      </c>
      <c r="AB248">
        <v>2424</v>
      </c>
      <c r="AC248">
        <v>2500</v>
      </c>
      <c r="AD248">
        <v>0</v>
      </c>
      <c r="AF248" t="s">
        <v>383</v>
      </c>
      <c r="AG248" t="s">
        <v>148</v>
      </c>
      <c r="AH248" t="s">
        <v>450</v>
      </c>
      <c r="AI248">
        <v>0</v>
      </c>
      <c r="AJ248">
        <v>1</v>
      </c>
      <c r="AK248">
        <v>0</v>
      </c>
      <c r="AL248">
        <v>2</v>
      </c>
      <c r="AM248">
        <v>0</v>
      </c>
      <c r="AN248">
        <v>8</v>
      </c>
      <c r="AO248">
        <v>0</v>
      </c>
      <c r="AP248">
        <v>0</v>
      </c>
      <c r="AQ248">
        <v>0</v>
      </c>
      <c r="AR248">
        <v>0</v>
      </c>
      <c r="AS248">
        <v>120</v>
      </c>
      <c r="AT248">
        <v>0</v>
      </c>
      <c r="AU248">
        <v>100</v>
      </c>
      <c r="AV248">
        <v>100</v>
      </c>
      <c r="AW248">
        <v>278185</v>
      </c>
      <c r="AX248">
        <v>183602</v>
      </c>
      <c r="AY248">
        <v>187</v>
      </c>
      <c r="AZ248">
        <v>187</v>
      </c>
      <c r="BA248">
        <v>0</v>
      </c>
      <c r="BB248">
        <v>0</v>
      </c>
      <c r="BC248" s="3">
        <v>45105</v>
      </c>
      <c r="BD248" t="s">
        <v>275</v>
      </c>
      <c r="BE248">
        <v>395000</v>
      </c>
      <c r="BF248">
        <v>390286</v>
      </c>
      <c r="BG248" t="s">
        <v>294</v>
      </c>
      <c r="BH248">
        <v>30</v>
      </c>
      <c r="BI248" t="s">
        <v>65</v>
      </c>
      <c r="BJ248" t="s">
        <v>450</v>
      </c>
      <c r="BK248">
        <v>325900</v>
      </c>
      <c r="BL248">
        <v>48400</v>
      </c>
      <c r="BM248">
        <v>277500</v>
      </c>
      <c r="BN248">
        <v>4714</v>
      </c>
      <c r="BO248">
        <v>0.82506329113924048</v>
      </c>
      <c r="BP248">
        <v>311832.40468560811</v>
      </c>
      <c r="BQ248">
        <v>325026.78744340828</v>
      </c>
      <c r="BR248" s="12">
        <f>(Sales[[#This Row],[DP1]]*Lookups!$B$59)+(Sales[[#This Row],[DP2]]*Lookups!$B$60)+(Sales[[#This Row],[DP3]]*Lookups!$B$61)</f>
        <v>-13194.382758590002</v>
      </c>
      <c r="BS248" s="12">
        <f>Lookups!$B$56*0</f>
        <v>0</v>
      </c>
      <c r="BT248" s="12">
        <f>Lookups!$B$56*1</f>
        <v>89850.625589999996</v>
      </c>
      <c r="BU248" s="12">
        <f>Lookups!$B$57*Sales[[#This Row],[LnAcres]]</f>
        <v>-60052.604136134301</v>
      </c>
      <c r="BV248" s="12">
        <f>VLOOKUP(Sales[[#This Row],[Qlty]],Lookups!$A$62:$E$75,2,FALSE)</f>
        <v>21557.329055999999</v>
      </c>
      <c r="BW248" s="12">
        <f>VLOOKUP(Sales[[#This Row],[Cnd]],Lookups!$A$76:$E$84,2,FALSE)</f>
        <v>160472.20319</v>
      </c>
      <c r="BX248" s="12">
        <f>Sales[[#This Row],[EffAge]]*Lookups!$B$85</f>
        <v>-12267.5080275</v>
      </c>
      <c r="BY248" s="12">
        <f>Sales[[#This Row],[MainFn]]*Lookups!$B$86</f>
        <v>59883.307890923999</v>
      </c>
      <c r="BZ248" s="12">
        <f>Sales[[#This Row],[UpprFn]]*Lookups!$B$87</f>
        <v>0</v>
      </c>
      <c r="CA248" s="12">
        <f>Sales[[#This Row],[AddFn]]*Lookups!$B$88</f>
        <v>0</v>
      </c>
      <c r="CB248" s="12">
        <f>Sales[[#This Row],[Bsmt]]*Lookups!$B$89</f>
        <v>35247.257039363998</v>
      </c>
      <c r="CC248" s="12">
        <f>Sales[[#This Row],[Fixtures]]*Lookups!$B$90</f>
        <v>30336.176841600001</v>
      </c>
      <c r="CD248" s="12">
        <f>Sales[[#This Row],[WdDeck]]*Lookups!$B$91</f>
        <v>0</v>
      </c>
      <c r="CE248" s="12">
        <f>SUM(Sales[[#This Row],[Days Prior Total]:[Mdl WdDeck]])</f>
        <v>311832.4046856637</v>
      </c>
      <c r="CF248" s="12">
        <f>ROUND(Sales[[#This Row],[25Det]],-2)</f>
        <v>4700</v>
      </c>
      <c r="CG248" s="12">
        <f>ROUND(SUM(Sales[[#This Row],[Mdl Qlty]:[Mdl WdDeck]])+Sales[[#This Row],[Mdl Res Intercept]]+Sales[[#This Row],[Days Prior Total]],-2)</f>
        <v>282000</v>
      </c>
      <c r="CH248" s="12">
        <f>ROUND(Sales[[#This Row],[Mdl Land Intercept]]+Sales[[#This Row],[Mdl LnAcres]],-2)</f>
        <v>29800</v>
      </c>
      <c r="CI248" s="12">
        <f>Sales[[#This Row],[Unadj Res Value]]+Sales[[#This Row],[Unadj Det Value]]+Sales[[#This Row],[Unadj Land Value]]</f>
        <v>316500</v>
      </c>
      <c r="CJ248" s="13">
        <f>Sales[[#This Row],[Unadj Total Value]]/Sales[[#This Row],[Price]]</f>
        <v>0.80126582278481018</v>
      </c>
      <c r="CK248" s="13">
        <f>(Sales[[#This Row],[Unadj Total Value]]-Sales[[#This Row],[24Final]])/Sales[[#This Row],[24Final]]</f>
        <v>-2.8843203436637006E-2</v>
      </c>
      <c r="CL248">
        <f>VLOOKUP(Sales[[#This Row],[TNbhd]],Lookups!$Q$2:$T$4,4,FALSE)</f>
        <v>0.99970000000000003</v>
      </c>
      <c r="CM248">
        <f>VLOOKUP(Sales[[#This Row],[Qlty]],Lookups!$O$7:$R$21,4,FALSE)</f>
        <v>1.0067999999999999</v>
      </c>
      <c r="CN248">
        <f>VLOOKUP(Sales[[#This Row],[Cnd]],Lookups!$T$7:$W$16,4,FALSE)</f>
        <v>0.99729999999999996</v>
      </c>
      <c r="CO248">
        <f>VLOOKUP(Sales[[#This Row],[LivArea Range]],Lookups!$T$25:$W$37,4,FALSE)</f>
        <v>0.98919999999999997</v>
      </c>
      <c r="CP248">
        <f>VLOOKUP(Sales[[#This Row],[Decade]],Lookups!$O$25:$R$42,4,FALSE)</f>
        <v>1.0074000000000001</v>
      </c>
      <c r="CQ248">
        <f>Sales[[#This Row],[Nbhd Adj]]*0.95</f>
        <v>0.94971499999999998</v>
      </c>
      <c r="CR248">
        <f>Sales[[#This Row],[Nbhd Adj]]*Sales[[#This Row],[Quality Adj]]*Sales[[#This Row],[Condition Adj]]*Sales[[#This Row],[Living Area Adj]]*Sales[[#This Row],[Decade Adj]]*0.95</f>
        <v>0.95027297296624202</v>
      </c>
      <c r="CS248">
        <f>ROUND(SUM(Sales[[#This Row],[Mdl Qlty]:[Mdl WdDeck]])+Sales[[#This Row],[Mdl Res Intercept]]*Sales[[#This Row],[Res Adj ]],-2)</f>
        <v>295200</v>
      </c>
      <c r="CT248">
        <f>ROUND(Sales[[#This Row],[25Det]]*Sales[[#This Row],[Det/Nbhd Adj]],-2)</f>
        <v>4500</v>
      </c>
      <c r="CU248">
        <f>Sales[[#This Row],[Adjusted Res]]+Sales[[#This Row],[Adj Det ]]</f>
        <v>299700</v>
      </c>
      <c r="CV248">
        <f>ROUND((Sales[[#This Row],[Mdl Land Intercept]]+Sales[[#This Row],[Mdl LnAcres]])*Sales[[#This Row],[Det/Nbhd Adj]],-2)</f>
        <v>28300</v>
      </c>
      <c r="CW248">
        <f>Sales[[#This Row],[Adjusted Impr Total]]+Sales[[#This Row],[Adjusted Land Total]]</f>
        <v>328000</v>
      </c>
      <c r="CX248" s="15">
        <f>IFERROR((Sales[[#This Row],[Adjusted Impr Total]]-Sales[[#This Row],[24Bldg]])/Sales[[#This Row],[24Bldg]],0)</f>
        <v>0.08</v>
      </c>
      <c r="CY248" s="15">
        <f>(Sales[[#This Row],[Adjusted Land Total]]-Sales[[#This Row],[24Lnd]])/Sales[[#This Row],[24Lnd]]</f>
        <v>-0.41528925619834711</v>
      </c>
      <c r="CZ248" s="15">
        <f>(Sales[[#This Row],[Adjusted Total]]-Sales[[#This Row],[24Final]])/Sales[[#This Row],[24Final]]</f>
        <v>6.4436943847806074E-3</v>
      </c>
      <c r="DA248" s="15">
        <f>(Sales[[#This Row],[Adjusted Total]]+Sales[[#This Row],[Days Prior Total]])/Sales[[#This Row],[Price]]</f>
        <v>0.79697624618078489</v>
      </c>
    </row>
    <row r="249" spans="1:105" x14ac:dyDescent="0.3">
      <c r="A249">
        <v>2025</v>
      </c>
      <c r="B249">
        <v>18132331432</v>
      </c>
      <c r="C249">
        <v>-1.8971199848858813</v>
      </c>
      <c r="D249">
        <v>0.15</v>
      </c>
      <c r="E249">
        <v>0</v>
      </c>
      <c r="F249">
        <v>6</v>
      </c>
      <c r="G249" t="s">
        <v>126</v>
      </c>
      <c r="H249">
        <v>3032</v>
      </c>
      <c r="I249" t="s">
        <v>349</v>
      </c>
      <c r="J249" t="s">
        <v>30</v>
      </c>
      <c r="K249">
        <v>11</v>
      </c>
      <c r="L249">
        <v>259</v>
      </c>
      <c r="M249" t="s">
        <v>242</v>
      </c>
      <c r="N249" t="s">
        <v>351</v>
      </c>
      <c r="O249" t="s">
        <v>303</v>
      </c>
      <c r="P249">
        <v>100</v>
      </c>
      <c r="Q249">
        <v>1928</v>
      </c>
      <c r="R249">
        <v>1984</v>
      </c>
      <c r="S249">
        <v>96</v>
      </c>
      <c r="T249">
        <v>40</v>
      </c>
      <c r="U249">
        <v>1</v>
      </c>
      <c r="V249">
        <v>1344</v>
      </c>
      <c r="W249">
        <v>0</v>
      </c>
      <c r="X249">
        <v>0</v>
      </c>
      <c r="Y249">
        <v>850</v>
      </c>
      <c r="Z249">
        <v>0</v>
      </c>
      <c r="AA249">
        <v>850</v>
      </c>
      <c r="AB249">
        <v>2194</v>
      </c>
      <c r="AC249">
        <v>2500</v>
      </c>
      <c r="AD249">
        <v>0</v>
      </c>
      <c r="AF249" t="s">
        <v>383</v>
      </c>
      <c r="AG249" t="s">
        <v>148</v>
      </c>
      <c r="AH249" t="s">
        <v>450</v>
      </c>
      <c r="AI249">
        <v>0</v>
      </c>
      <c r="AJ249">
        <v>1</v>
      </c>
      <c r="AK249">
        <v>0</v>
      </c>
      <c r="AL249">
        <v>1</v>
      </c>
      <c r="AM249">
        <v>0</v>
      </c>
      <c r="AN249">
        <v>9</v>
      </c>
      <c r="AO249">
        <v>0</v>
      </c>
      <c r="AP249">
        <v>0</v>
      </c>
      <c r="AQ249">
        <v>0</v>
      </c>
      <c r="AR249">
        <v>0</v>
      </c>
      <c r="AS249">
        <v>420</v>
      </c>
      <c r="AT249">
        <v>0</v>
      </c>
      <c r="AU249">
        <v>100</v>
      </c>
      <c r="AV249">
        <v>100</v>
      </c>
      <c r="AW249">
        <v>301503</v>
      </c>
      <c r="AX249">
        <v>256278</v>
      </c>
      <c r="AY249">
        <v>270</v>
      </c>
      <c r="AZ249">
        <v>270</v>
      </c>
      <c r="BA249">
        <v>0</v>
      </c>
      <c r="BB249">
        <v>0</v>
      </c>
      <c r="BC249" s="3">
        <v>45022</v>
      </c>
      <c r="BD249" t="s">
        <v>256</v>
      </c>
      <c r="BE249">
        <v>430000</v>
      </c>
      <c r="BF249">
        <v>423976</v>
      </c>
      <c r="BG249" t="s">
        <v>294</v>
      </c>
      <c r="BH249">
        <v>30</v>
      </c>
      <c r="BI249" t="s">
        <v>65</v>
      </c>
      <c r="BJ249" t="s">
        <v>450</v>
      </c>
      <c r="BK249">
        <v>351400</v>
      </c>
      <c r="BL249">
        <v>48400</v>
      </c>
      <c r="BM249">
        <v>303000</v>
      </c>
      <c r="BN249">
        <v>6024</v>
      </c>
      <c r="BO249">
        <v>0.81720930232558142</v>
      </c>
      <c r="BP249">
        <v>346388.22284945066</v>
      </c>
      <c r="BQ249">
        <v>365438.93592221028</v>
      </c>
      <c r="BR249" s="12">
        <f>(Sales[[#This Row],[DP1]]*Lookups!$B$59)+(Sales[[#This Row],[DP2]]*Lookups!$B$60)+(Sales[[#This Row],[DP3]]*Lookups!$B$61)</f>
        <v>-19050.713073900002</v>
      </c>
      <c r="BS249" s="12">
        <f>Lookups!$B$56*0</f>
        <v>0</v>
      </c>
      <c r="BT249" s="12">
        <f>Lookups!$B$56*1</f>
        <v>89850.625589999996</v>
      </c>
      <c r="BU249" s="12">
        <f>Lookups!$B$57*Sales[[#This Row],[LnAcres]]</f>
        <v>-60052.604136134301</v>
      </c>
      <c r="BV249" s="12">
        <f>VLOOKUP(Sales[[#This Row],[Qlty]],Lookups!$A$62:$E$75,2,FALSE)</f>
        <v>21557.329055999999</v>
      </c>
      <c r="BW249" s="12">
        <f>VLOOKUP(Sales[[#This Row],[Cnd]],Lookups!$A$76:$E$84,2,FALSE)</f>
        <v>197752.34721000001</v>
      </c>
      <c r="BX249" s="12">
        <f>Sales[[#This Row],[EffAge]]*Lookups!$B$85</f>
        <v>-8921.82402</v>
      </c>
      <c r="BY249" s="12">
        <f>Sales[[#This Row],[MainFn]]*Lookups!$B$86</f>
        <v>66405.252314687998</v>
      </c>
      <c r="BZ249" s="12">
        <f>Sales[[#This Row],[UpprFn]]*Lookups!$B$87</f>
        <v>0</v>
      </c>
      <c r="CA249" s="12">
        <f>Sales[[#This Row],[AddFn]]*Lookups!$B$88</f>
        <v>0</v>
      </c>
      <c r="CB249" s="12">
        <f>Sales[[#This Row],[Bsmt]]*Lookups!$B$89</f>
        <v>24719.610959949998</v>
      </c>
      <c r="CC249" s="12">
        <f>Sales[[#This Row],[Fixtures]]*Lookups!$B$90</f>
        <v>34128.198946800003</v>
      </c>
      <c r="CD249" s="12">
        <f>Sales[[#This Row],[WdDeck]]*Lookups!$B$91</f>
        <v>0</v>
      </c>
      <c r="CE249" s="12">
        <f>SUM(Sales[[#This Row],[Days Prior Total]:[Mdl WdDeck]])</f>
        <v>346388.22284740378</v>
      </c>
      <c r="CF249" s="12">
        <f>ROUND(Sales[[#This Row],[25Det]],-2)</f>
        <v>6000</v>
      </c>
      <c r="CG249" s="12">
        <f>ROUND(SUM(Sales[[#This Row],[Mdl Qlty]:[Mdl WdDeck]])+Sales[[#This Row],[Mdl Res Intercept]]+Sales[[#This Row],[Days Prior Total]],-2)</f>
        <v>316600</v>
      </c>
      <c r="CH249" s="12">
        <f>ROUND(Sales[[#This Row],[Mdl Land Intercept]]+Sales[[#This Row],[Mdl LnAcres]],-2)</f>
        <v>29800</v>
      </c>
      <c r="CI249" s="12">
        <f>Sales[[#This Row],[Unadj Res Value]]+Sales[[#This Row],[Unadj Det Value]]+Sales[[#This Row],[Unadj Land Value]]</f>
        <v>352400</v>
      </c>
      <c r="CJ249" s="13">
        <f>Sales[[#This Row],[Unadj Total Value]]/Sales[[#This Row],[Price]]</f>
        <v>0.8195348837209302</v>
      </c>
      <c r="CK249" s="13">
        <f>(Sales[[#This Row],[Unadj Total Value]]-Sales[[#This Row],[24Final]])/Sales[[#This Row],[24Final]]</f>
        <v>2.8457598178713715E-3</v>
      </c>
      <c r="CL249">
        <f>VLOOKUP(Sales[[#This Row],[TNbhd]],Lookups!$Q$2:$T$4,4,FALSE)</f>
        <v>0.99970000000000003</v>
      </c>
      <c r="CM249">
        <f>VLOOKUP(Sales[[#This Row],[Qlty]],Lookups!$O$7:$R$21,4,FALSE)</f>
        <v>1.0067999999999999</v>
      </c>
      <c r="CN249">
        <f>VLOOKUP(Sales[[#This Row],[Cnd]],Lookups!$T$7:$W$16,4,FALSE)</f>
        <v>0.99650000000000005</v>
      </c>
      <c r="CO249">
        <f>VLOOKUP(Sales[[#This Row],[LivArea Range]],Lookups!$T$25:$W$37,4,FALSE)</f>
        <v>0.98919999999999997</v>
      </c>
      <c r="CP249">
        <f>VLOOKUP(Sales[[#This Row],[Decade]],Lookups!$O$25:$R$42,4,FALSE)</f>
        <v>1.0074000000000001</v>
      </c>
      <c r="CQ249">
        <f>Sales[[#This Row],[Nbhd Adj]]*0.95</f>
        <v>0.94971499999999998</v>
      </c>
      <c r="CR249">
        <f>Sales[[#This Row],[Nbhd Adj]]*Sales[[#This Row],[Quality Adj]]*Sales[[#This Row],[Condition Adj]]*Sales[[#This Row],[Living Area Adj]]*Sales[[#This Row],[Decade Adj]]*0.95</f>
        <v>0.94951069644125163</v>
      </c>
      <c r="CS249">
        <f>ROUND(SUM(Sales[[#This Row],[Mdl Qlty]:[Mdl WdDeck]])+Sales[[#This Row],[Mdl Res Intercept]]*Sales[[#This Row],[Res Adj ]],-2)</f>
        <v>335600</v>
      </c>
      <c r="CT249">
        <f>ROUND(Sales[[#This Row],[25Det]]*Sales[[#This Row],[Det/Nbhd Adj]],-2)</f>
        <v>5700</v>
      </c>
      <c r="CU249">
        <f>Sales[[#This Row],[Adjusted Res]]+Sales[[#This Row],[Adj Det ]]</f>
        <v>341300</v>
      </c>
      <c r="CV249">
        <f>ROUND((Sales[[#This Row],[Mdl Land Intercept]]+Sales[[#This Row],[Mdl LnAcres]])*Sales[[#This Row],[Det/Nbhd Adj]],-2)</f>
        <v>28300</v>
      </c>
      <c r="CW249">
        <f>Sales[[#This Row],[Adjusted Impr Total]]+Sales[[#This Row],[Adjusted Land Total]]</f>
        <v>369600</v>
      </c>
      <c r="CX249" s="15">
        <f>IFERROR((Sales[[#This Row],[Adjusted Impr Total]]-Sales[[#This Row],[24Bldg]])/Sales[[#This Row],[24Bldg]],0)</f>
        <v>0.12640264026402639</v>
      </c>
      <c r="CY249" s="15">
        <f>(Sales[[#This Row],[Adjusted Land Total]]-Sales[[#This Row],[24Lnd]])/Sales[[#This Row],[24Lnd]]</f>
        <v>-0.41528925619834711</v>
      </c>
      <c r="CZ249" s="15">
        <f>(Sales[[#This Row],[Adjusted Total]]-Sales[[#This Row],[24Final]])/Sales[[#This Row],[24Final]]</f>
        <v>5.1792828685258967E-2</v>
      </c>
      <c r="DA249" s="15">
        <f>(Sales[[#This Row],[Adjusted Total]]+Sales[[#This Row],[Days Prior Total]])/Sales[[#This Row],[Price]]</f>
        <v>0.81523089982813945</v>
      </c>
    </row>
    <row r="250" spans="1:105" x14ac:dyDescent="0.3">
      <c r="A250">
        <v>2025</v>
      </c>
      <c r="B250">
        <v>18132332434</v>
      </c>
      <c r="C250">
        <v>-2.0402208285265546</v>
      </c>
      <c r="D250">
        <v>0.13</v>
      </c>
      <c r="E250">
        <v>0</v>
      </c>
      <c r="F250">
        <v>6</v>
      </c>
      <c r="G250" t="s">
        <v>126</v>
      </c>
      <c r="H250">
        <v>3032</v>
      </c>
      <c r="I250" t="s">
        <v>349</v>
      </c>
      <c r="J250" t="s">
        <v>30</v>
      </c>
      <c r="K250">
        <v>11</v>
      </c>
      <c r="L250">
        <v>259</v>
      </c>
      <c r="M250" t="s">
        <v>147</v>
      </c>
      <c r="N250" t="s">
        <v>148</v>
      </c>
      <c r="O250" t="s">
        <v>303</v>
      </c>
      <c r="P250">
        <v>100</v>
      </c>
      <c r="Q250">
        <v>1928</v>
      </c>
      <c r="R250">
        <v>1969</v>
      </c>
      <c r="S250">
        <v>96</v>
      </c>
      <c r="T250">
        <v>55</v>
      </c>
      <c r="U250">
        <v>2</v>
      </c>
      <c r="V250">
        <v>986</v>
      </c>
      <c r="W250">
        <v>336</v>
      </c>
      <c r="X250">
        <v>0</v>
      </c>
      <c r="Y250">
        <v>986</v>
      </c>
      <c r="Z250">
        <v>416</v>
      </c>
      <c r="AA250">
        <v>570</v>
      </c>
      <c r="AB250">
        <v>1892</v>
      </c>
      <c r="AC250">
        <v>2000</v>
      </c>
      <c r="AD250">
        <v>0</v>
      </c>
      <c r="AF250" t="s">
        <v>383</v>
      </c>
      <c r="AG250" t="s">
        <v>148</v>
      </c>
      <c r="AH250" t="s">
        <v>450</v>
      </c>
      <c r="AI250">
        <v>0</v>
      </c>
      <c r="AJ250">
        <v>1</v>
      </c>
      <c r="AK250">
        <v>0</v>
      </c>
      <c r="AL250">
        <v>1</v>
      </c>
      <c r="AM250">
        <v>0</v>
      </c>
      <c r="AN250">
        <v>9</v>
      </c>
      <c r="AO250">
        <v>0</v>
      </c>
      <c r="AP250">
        <v>0</v>
      </c>
      <c r="AQ250">
        <v>0</v>
      </c>
      <c r="AR250">
        <v>0</v>
      </c>
      <c r="AS250">
        <v>198</v>
      </c>
      <c r="AT250">
        <v>0</v>
      </c>
      <c r="AU250">
        <v>100</v>
      </c>
      <c r="AV250">
        <v>100</v>
      </c>
      <c r="AW250">
        <v>321321</v>
      </c>
      <c r="AX250">
        <v>240991</v>
      </c>
      <c r="AY250">
        <v>614</v>
      </c>
      <c r="AZ250">
        <v>365</v>
      </c>
      <c r="BA250">
        <v>249</v>
      </c>
      <c r="BB250">
        <v>0</v>
      </c>
      <c r="BC250" s="3">
        <v>44678</v>
      </c>
      <c r="BD250" t="s">
        <v>232</v>
      </c>
      <c r="BE250">
        <v>395000</v>
      </c>
      <c r="BF250">
        <v>390009</v>
      </c>
      <c r="BG250" t="s">
        <v>294</v>
      </c>
      <c r="BH250">
        <v>30</v>
      </c>
      <c r="BI250" t="s">
        <v>65</v>
      </c>
      <c r="BJ250" t="s">
        <v>450</v>
      </c>
      <c r="BK250">
        <v>353800</v>
      </c>
      <c r="BL250">
        <v>43400</v>
      </c>
      <c r="BM250">
        <v>310400</v>
      </c>
      <c r="BN250">
        <v>4991</v>
      </c>
      <c r="BO250">
        <v>0.89569620253164561</v>
      </c>
      <c r="BP250">
        <v>358547.79874548083</v>
      </c>
      <c r="BQ250">
        <v>381442.23075057758</v>
      </c>
      <c r="BR250" s="12">
        <f>(Sales[[#This Row],[DP1]]*Lookups!$B$59)+(Sales[[#This Row],[DP2]]*Lookups!$B$60)+(Sales[[#This Row],[DP3]]*Lookups!$B$61)</f>
        <v>-22894.432006702002</v>
      </c>
      <c r="BS250" s="12">
        <f>Lookups!$B$56*0</f>
        <v>0</v>
      </c>
      <c r="BT250" s="12">
        <f>Lookups!$B$56*1</f>
        <v>89850.625589999996</v>
      </c>
      <c r="BU250" s="12">
        <f>Lookups!$B$57*Sales[[#This Row],[LnAcres]]</f>
        <v>-64582.406353792743</v>
      </c>
      <c r="BV250" s="12">
        <f>VLOOKUP(Sales[[#This Row],[Qlty]],Lookups!$A$62:$E$75,2,FALSE)</f>
        <v>44121.038090000002</v>
      </c>
      <c r="BW250" s="12">
        <f>VLOOKUP(Sales[[#This Row],[Cnd]],Lookups!$A$76:$E$84,2,FALSE)</f>
        <v>197752.34721000001</v>
      </c>
      <c r="BX250" s="12">
        <f>Sales[[#This Row],[EffAge]]*Lookups!$B$85</f>
        <v>-12267.5080275</v>
      </c>
      <c r="BY250" s="12">
        <f>Sales[[#This Row],[MainFn]]*Lookups!$B$86</f>
        <v>48716.948498721998</v>
      </c>
      <c r="BZ250" s="12">
        <f>Sales[[#This Row],[UpprFn]]*Lookups!$B$87</f>
        <v>15048.238081296</v>
      </c>
      <c r="CA250" s="12">
        <f>Sales[[#This Row],[AddFn]]*Lookups!$B$88</f>
        <v>0</v>
      </c>
      <c r="CB250" s="12">
        <f>Sales[[#This Row],[Bsmt]]*Lookups!$B$89</f>
        <v>28674.748713541998</v>
      </c>
      <c r="CC250" s="12">
        <f>Sales[[#This Row],[Fixtures]]*Lookups!$B$90</f>
        <v>34128.198946800003</v>
      </c>
      <c r="CD250" s="12">
        <f>Sales[[#This Row],[WdDeck]]*Lookups!$B$91</f>
        <v>0</v>
      </c>
      <c r="CE250" s="12">
        <f>SUM(Sales[[#This Row],[Days Prior Total]:[Mdl WdDeck]])</f>
        <v>358547.79874236527</v>
      </c>
      <c r="CF250" s="12">
        <f>ROUND(Sales[[#This Row],[25Det]],-2)</f>
        <v>5000</v>
      </c>
      <c r="CG250" s="12">
        <f>ROUND(SUM(Sales[[#This Row],[Mdl Qlty]:[Mdl WdDeck]])+Sales[[#This Row],[Mdl Res Intercept]]+Sales[[#This Row],[Days Prior Total]],-2)</f>
        <v>333300</v>
      </c>
      <c r="CH250" s="12">
        <f>ROUND(Sales[[#This Row],[Mdl Land Intercept]]+Sales[[#This Row],[Mdl LnAcres]],-2)</f>
        <v>25300</v>
      </c>
      <c r="CI250" s="12">
        <f>Sales[[#This Row],[Unadj Res Value]]+Sales[[#This Row],[Unadj Det Value]]+Sales[[#This Row],[Unadj Land Value]]</f>
        <v>363600</v>
      </c>
      <c r="CJ250" s="13">
        <f>Sales[[#This Row],[Unadj Total Value]]/Sales[[#This Row],[Price]]</f>
        <v>0.92050632911392405</v>
      </c>
      <c r="CK250" s="13">
        <f>(Sales[[#This Row],[Unadj Total Value]]-Sales[[#This Row],[24Final]])/Sales[[#This Row],[24Final]]</f>
        <v>2.7699265121537593E-2</v>
      </c>
      <c r="CL250">
        <f>VLOOKUP(Sales[[#This Row],[TNbhd]],Lookups!$Q$2:$T$4,4,FALSE)</f>
        <v>0.99970000000000003</v>
      </c>
      <c r="CM250">
        <f>VLOOKUP(Sales[[#This Row],[Qlty]],Lookups!$O$7:$R$21,4,FALSE)</f>
        <v>0.98050000000000004</v>
      </c>
      <c r="CN250">
        <f>VLOOKUP(Sales[[#This Row],[Cnd]],Lookups!$T$7:$W$16,4,FALSE)</f>
        <v>0.99650000000000005</v>
      </c>
      <c r="CO250">
        <f>VLOOKUP(Sales[[#This Row],[LivArea Range]],Lookups!$T$25:$W$37,4,FALSE)</f>
        <v>1.0093000000000001</v>
      </c>
      <c r="CP250">
        <f>VLOOKUP(Sales[[#This Row],[Decade]],Lookups!$O$25:$R$42,4,FALSE)</f>
        <v>1.0074000000000001</v>
      </c>
      <c r="CQ250">
        <f>Sales[[#This Row],[Nbhd Adj]]*0.95</f>
        <v>0.94971499999999998</v>
      </c>
      <c r="CR250">
        <f>Sales[[#This Row],[Nbhd Adj]]*Sales[[#This Row],[Quality Adj]]*Sales[[#This Row],[Condition Adj]]*Sales[[#This Row],[Living Area Adj]]*Sales[[#This Row],[Decade Adj]]*0.95</f>
        <v>0.94349677105985763</v>
      </c>
      <c r="CS250">
        <f>ROUND(SUM(Sales[[#This Row],[Mdl Qlty]:[Mdl WdDeck]])+Sales[[#This Row],[Mdl Res Intercept]]*Sales[[#This Row],[Res Adj ]],-2)</f>
        <v>356200</v>
      </c>
      <c r="CT250">
        <f>ROUND(Sales[[#This Row],[25Det]]*Sales[[#This Row],[Det/Nbhd Adj]],-2)</f>
        <v>4700</v>
      </c>
      <c r="CU250">
        <f>Sales[[#This Row],[Adjusted Res]]+Sales[[#This Row],[Adj Det ]]</f>
        <v>360900</v>
      </c>
      <c r="CV250">
        <f>ROUND((Sales[[#This Row],[Mdl Land Intercept]]+Sales[[#This Row],[Mdl LnAcres]])*Sales[[#This Row],[Det/Nbhd Adj]],-2)</f>
        <v>24000</v>
      </c>
      <c r="CW250">
        <f>Sales[[#This Row],[Adjusted Impr Total]]+Sales[[#This Row],[Adjusted Land Total]]</f>
        <v>384900</v>
      </c>
      <c r="CX250" s="15">
        <f>IFERROR((Sales[[#This Row],[Adjusted Impr Total]]-Sales[[#This Row],[24Bldg]])/Sales[[#This Row],[24Bldg]],0)</f>
        <v>0.16269329896907217</v>
      </c>
      <c r="CY250" s="15">
        <f>(Sales[[#This Row],[Adjusted Land Total]]-Sales[[#This Row],[24Lnd]])/Sales[[#This Row],[24Lnd]]</f>
        <v>-0.44700460829493088</v>
      </c>
      <c r="CZ250" s="15">
        <f>(Sales[[#This Row],[Adjusted Total]]-Sales[[#This Row],[24Final]])/Sales[[#This Row],[24Final]]</f>
        <v>8.790276992651215E-2</v>
      </c>
      <c r="DA250" s="15">
        <f>(Sales[[#This Row],[Adjusted Total]]+Sales[[#This Row],[Days Prior Total]])/Sales[[#This Row],[Price]]</f>
        <v>0.91646979238809623</v>
      </c>
    </row>
    <row r="251" spans="1:105" x14ac:dyDescent="0.3">
      <c r="A251">
        <v>2025</v>
      </c>
      <c r="B251">
        <v>18132332439</v>
      </c>
      <c r="C251">
        <v>-1.7719568419318752</v>
      </c>
      <c r="D251">
        <v>0.17</v>
      </c>
      <c r="E251">
        <v>7368</v>
      </c>
      <c r="F251">
        <v>6</v>
      </c>
      <c r="G251" t="s">
        <v>126</v>
      </c>
      <c r="H251">
        <v>3032</v>
      </c>
      <c r="I251" t="s">
        <v>349</v>
      </c>
      <c r="J251" t="s">
        <v>30</v>
      </c>
      <c r="K251">
        <v>11</v>
      </c>
      <c r="L251">
        <v>259</v>
      </c>
      <c r="M251" t="s">
        <v>173</v>
      </c>
      <c r="N251" t="s">
        <v>302</v>
      </c>
      <c r="O251" t="s">
        <v>303</v>
      </c>
      <c r="P251">
        <v>100</v>
      </c>
      <c r="Q251">
        <v>1928</v>
      </c>
      <c r="R251">
        <v>1969</v>
      </c>
      <c r="S251">
        <v>96</v>
      </c>
      <c r="T251">
        <v>55</v>
      </c>
      <c r="U251">
        <v>2</v>
      </c>
      <c r="V251">
        <v>880</v>
      </c>
      <c r="W251">
        <v>572</v>
      </c>
      <c r="X251">
        <v>0</v>
      </c>
      <c r="Y251">
        <v>780</v>
      </c>
      <c r="Z251">
        <v>481</v>
      </c>
      <c r="AA251">
        <v>299</v>
      </c>
      <c r="AB251">
        <v>1751</v>
      </c>
      <c r="AC251">
        <v>2000</v>
      </c>
      <c r="AD251">
        <v>0</v>
      </c>
      <c r="AF251" t="s">
        <v>383</v>
      </c>
      <c r="AG251" t="s">
        <v>148</v>
      </c>
      <c r="AI251">
        <v>0</v>
      </c>
      <c r="AJ251">
        <v>1</v>
      </c>
      <c r="AK251">
        <v>0</v>
      </c>
      <c r="AL251">
        <v>0</v>
      </c>
      <c r="AM251">
        <v>1</v>
      </c>
      <c r="AN251">
        <v>11</v>
      </c>
      <c r="AO251">
        <v>0</v>
      </c>
      <c r="AP251">
        <v>0</v>
      </c>
      <c r="AQ251">
        <v>492</v>
      </c>
      <c r="AR251">
        <v>300</v>
      </c>
      <c r="AS251">
        <v>0</v>
      </c>
      <c r="AT251">
        <v>0</v>
      </c>
      <c r="AU251">
        <v>100</v>
      </c>
      <c r="AV251">
        <v>100</v>
      </c>
      <c r="AW251">
        <v>311137</v>
      </c>
      <c r="AX251">
        <v>233353</v>
      </c>
      <c r="AY251">
        <v>195</v>
      </c>
      <c r="AZ251">
        <v>195</v>
      </c>
      <c r="BA251">
        <v>0</v>
      </c>
      <c r="BB251">
        <v>0</v>
      </c>
      <c r="BC251" s="3">
        <v>45097</v>
      </c>
      <c r="BD251" t="s">
        <v>85</v>
      </c>
      <c r="BE251">
        <v>410000</v>
      </c>
      <c r="BF251">
        <v>410000</v>
      </c>
      <c r="BG251" t="s">
        <v>294</v>
      </c>
      <c r="BH251">
        <v>30</v>
      </c>
      <c r="BI251" t="s">
        <v>65</v>
      </c>
      <c r="BJ251" t="s">
        <v>450</v>
      </c>
      <c r="BK251">
        <v>350700</v>
      </c>
      <c r="BL251">
        <v>52700</v>
      </c>
      <c r="BM251">
        <v>298000</v>
      </c>
      <c r="BN251">
        <v>0</v>
      </c>
      <c r="BO251">
        <v>0.85536585365853657</v>
      </c>
      <c r="BP251">
        <v>378782.33606411575</v>
      </c>
      <c r="BQ251">
        <v>392541.18439444213</v>
      </c>
      <c r="BR251" s="12">
        <f>(Sales[[#This Row],[DP1]]*Lookups!$B$59)+(Sales[[#This Row],[DP2]]*Lookups!$B$60)+(Sales[[#This Row],[DP3]]*Lookups!$B$61)</f>
        <v>-13758.848331150002</v>
      </c>
      <c r="BS251" s="12">
        <f>Lookups!$B$56*0</f>
        <v>0</v>
      </c>
      <c r="BT251" s="12">
        <f>Lookups!$B$56*1</f>
        <v>89850.625589999996</v>
      </c>
      <c r="BU251" s="12">
        <f>Lookups!$B$57*Sales[[#This Row],[LnAcres]]</f>
        <v>-56090.612940989391</v>
      </c>
      <c r="BV251" s="12">
        <f>VLOOKUP(Sales[[#This Row],[Qlty]],Lookups!$A$62:$E$75,2,FALSE)</f>
        <v>29814.093161000001</v>
      </c>
      <c r="BW251" s="12">
        <f>VLOOKUP(Sales[[#This Row],[Cnd]],Lookups!$A$76:$E$84,2,FALSE)</f>
        <v>197752.34721000001</v>
      </c>
      <c r="BX251" s="12">
        <f>Sales[[#This Row],[EffAge]]*Lookups!$B$85</f>
        <v>-12267.5080275</v>
      </c>
      <c r="BY251" s="12">
        <f>Sales[[#This Row],[MainFn]]*Lookups!$B$86</f>
        <v>43479.629491760003</v>
      </c>
      <c r="BZ251" s="12">
        <f>Sales[[#This Row],[UpprFn]]*Lookups!$B$87</f>
        <v>25617.833876492001</v>
      </c>
      <c r="CA251" s="12">
        <f>Sales[[#This Row],[AddFn]]*Lookups!$B$88</f>
        <v>0</v>
      </c>
      <c r="CB251" s="12">
        <f>Sales[[#This Row],[Bsmt]]*Lookups!$B$89</f>
        <v>22683.87829266</v>
      </c>
      <c r="CC251" s="12">
        <f>Sales[[#This Row],[Fixtures]]*Lookups!$B$90</f>
        <v>41712.243157199999</v>
      </c>
      <c r="CD251" s="12">
        <f>Sales[[#This Row],[WdDeck]]*Lookups!$B$91</f>
        <v>9988.6545828000017</v>
      </c>
      <c r="CE251" s="12">
        <f>SUM(Sales[[#This Row],[Days Prior Total]:[Mdl WdDeck]])</f>
        <v>378782.33606227254</v>
      </c>
      <c r="CF251" s="12">
        <f>ROUND(Sales[[#This Row],[25Det]],-2)</f>
        <v>0</v>
      </c>
      <c r="CG251" s="12">
        <f>ROUND(SUM(Sales[[#This Row],[Mdl Qlty]:[Mdl WdDeck]])+Sales[[#This Row],[Mdl Res Intercept]]+Sales[[#This Row],[Days Prior Total]],-2)</f>
        <v>345000</v>
      </c>
      <c r="CH251" s="12">
        <f>ROUND(Sales[[#This Row],[Mdl Land Intercept]]+Sales[[#This Row],[Mdl LnAcres]],-2)</f>
        <v>33800</v>
      </c>
      <c r="CI251" s="12">
        <f>Sales[[#This Row],[Unadj Res Value]]+Sales[[#This Row],[Unadj Det Value]]+Sales[[#This Row],[Unadj Land Value]]</f>
        <v>378800</v>
      </c>
      <c r="CJ251" s="13">
        <f>Sales[[#This Row],[Unadj Total Value]]/Sales[[#This Row],[Price]]</f>
        <v>0.92390243902439029</v>
      </c>
      <c r="CK251" s="13">
        <f>(Sales[[#This Row],[Unadj Total Value]]-Sales[[#This Row],[24Final]])/Sales[[#This Row],[24Final]]</f>
        <v>8.0125463358996299E-2</v>
      </c>
      <c r="CL251">
        <f>VLOOKUP(Sales[[#This Row],[TNbhd]],Lookups!$Q$2:$T$4,4,FALSE)</f>
        <v>0.99970000000000003</v>
      </c>
      <c r="CM251">
        <f>VLOOKUP(Sales[[#This Row],[Qlty]],Lookups!$O$7:$R$21,4,FALSE)</f>
        <v>1.0088999999999999</v>
      </c>
      <c r="CN251">
        <f>VLOOKUP(Sales[[#This Row],[Cnd]],Lookups!$T$7:$W$16,4,FALSE)</f>
        <v>0.99650000000000005</v>
      </c>
      <c r="CO251">
        <f>VLOOKUP(Sales[[#This Row],[LivArea Range]],Lookups!$T$25:$W$37,4,FALSE)</f>
        <v>1.0093000000000001</v>
      </c>
      <c r="CP251">
        <f>VLOOKUP(Sales[[#This Row],[Decade]],Lookups!$O$25:$R$42,4,FALSE)</f>
        <v>1.0074000000000001</v>
      </c>
      <c r="CQ251">
        <f>Sales[[#This Row],[Nbhd Adj]]*0.95</f>
        <v>0.94971499999999998</v>
      </c>
      <c r="CR251">
        <f>Sales[[#This Row],[Nbhd Adj]]*Sales[[#This Row],[Quality Adj]]*Sales[[#This Row],[Condition Adj]]*Sales[[#This Row],[Living Area Adj]]*Sales[[#This Row],[Decade Adj]]*0.95</f>
        <v>0.97082497942099955</v>
      </c>
      <c r="CS251">
        <f>ROUND(SUM(Sales[[#This Row],[Mdl Qlty]:[Mdl WdDeck]])+Sales[[#This Row],[Mdl Res Intercept]]*Sales[[#This Row],[Res Adj ]],-2)</f>
        <v>358800</v>
      </c>
      <c r="CT251">
        <f>ROUND(Sales[[#This Row],[25Det]]*Sales[[#This Row],[Det/Nbhd Adj]],-2)</f>
        <v>0</v>
      </c>
      <c r="CU251">
        <f>Sales[[#This Row],[Adjusted Res]]+Sales[[#This Row],[Adj Det ]]</f>
        <v>358800</v>
      </c>
      <c r="CV251">
        <f>ROUND((Sales[[#This Row],[Mdl Land Intercept]]+Sales[[#This Row],[Mdl LnAcres]])*Sales[[#This Row],[Det/Nbhd Adj]],-2)</f>
        <v>32100</v>
      </c>
      <c r="CW251">
        <f>Sales[[#This Row],[Adjusted Impr Total]]+Sales[[#This Row],[Adjusted Land Total]]</f>
        <v>390900</v>
      </c>
      <c r="CX251" s="15">
        <f>IFERROR((Sales[[#This Row],[Adjusted Impr Total]]-Sales[[#This Row],[24Bldg]])/Sales[[#This Row],[24Bldg]],0)</f>
        <v>0.20402684563758389</v>
      </c>
      <c r="CY251" s="15">
        <f>(Sales[[#This Row],[Adjusted Land Total]]-Sales[[#This Row],[24Lnd]])/Sales[[#This Row],[24Lnd]]</f>
        <v>-0.39089184060721061</v>
      </c>
      <c r="CZ251" s="15">
        <f>(Sales[[#This Row],[Adjusted Total]]-Sales[[#This Row],[24Final]])/Sales[[#This Row],[24Final]]</f>
        <v>0.1146278870829769</v>
      </c>
      <c r="DA251" s="15">
        <f>(Sales[[#This Row],[Adjusted Total]]+Sales[[#This Row],[Days Prior Total]])/Sales[[#This Row],[Price]]</f>
        <v>0.91985646748499994</v>
      </c>
    </row>
    <row r="252" spans="1:105" x14ac:dyDescent="0.3">
      <c r="A252">
        <v>2025</v>
      </c>
      <c r="B252">
        <v>18132331441</v>
      </c>
      <c r="C252">
        <v>-1.5141277326297755</v>
      </c>
      <c r="D252">
        <v>0.22</v>
      </c>
      <c r="E252">
        <v>9687</v>
      </c>
      <c r="F252">
        <v>6</v>
      </c>
      <c r="G252" t="s">
        <v>126</v>
      </c>
      <c r="H252">
        <v>3033</v>
      </c>
      <c r="I252" t="s">
        <v>349</v>
      </c>
      <c r="J252" t="s">
        <v>30</v>
      </c>
      <c r="K252">
        <v>11</v>
      </c>
      <c r="L252">
        <v>259</v>
      </c>
      <c r="M252" t="s">
        <v>269</v>
      </c>
      <c r="N252" t="s">
        <v>148</v>
      </c>
      <c r="O252" t="s">
        <v>303</v>
      </c>
      <c r="P252">
        <v>100</v>
      </c>
      <c r="Q252">
        <v>1928</v>
      </c>
      <c r="R252">
        <v>1969</v>
      </c>
      <c r="S252">
        <v>96</v>
      </c>
      <c r="T252">
        <v>55</v>
      </c>
      <c r="U252">
        <v>2</v>
      </c>
      <c r="V252">
        <v>1516</v>
      </c>
      <c r="W252">
        <v>870</v>
      </c>
      <c r="X252">
        <v>0</v>
      </c>
      <c r="Y252">
        <v>1516</v>
      </c>
      <c r="Z252">
        <v>0</v>
      </c>
      <c r="AA252">
        <v>1516</v>
      </c>
      <c r="AB252">
        <v>3902</v>
      </c>
      <c r="AC252">
        <v>4000</v>
      </c>
      <c r="AD252">
        <v>1</v>
      </c>
      <c r="AF252" t="s">
        <v>383</v>
      </c>
      <c r="AG252" t="s">
        <v>148</v>
      </c>
      <c r="AH252" t="s">
        <v>450</v>
      </c>
      <c r="AI252">
        <v>0</v>
      </c>
      <c r="AJ252">
        <v>1</v>
      </c>
      <c r="AK252">
        <v>0</v>
      </c>
      <c r="AL252">
        <v>1</v>
      </c>
      <c r="AM252">
        <v>0</v>
      </c>
      <c r="AN252">
        <v>9</v>
      </c>
      <c r="AO252">
        <v>280</v>
      </c>
      <c r="AP252">
        <v>0</v>
      </c>
      <c r="AQ252">
        <v>0</v>
      </c>
      <c r="AR252">
        <v>480</v>
      </c>
      <c r="AS252">
        <v>270</v>
      </c>
      <c r="AT252">
        <v>270</v>
      </c>
      <c r="AU252">
        <v>100</v>
      </c>
      <c r="AV252">
        <v>100</v>
      </c>
      <c r="AW252">
        <v>584139</v>
      </c>
      <c r="AX252">
        <v>438104</v>
      </c>
      <c r="AY252">
        <v>455</v>
      </c>
      <c r="AZ252">
        <v>365</v>
      </c>
      <c r="BA252">
        <v>90</v>
      </c>
      <c r="BB252">
        <v>0</v>
      </c>
      <c r="BC252" s="3">
        <v>44837</v>
      </c>
      <c r="BD252" t="s">
        <v>196</v>
      </c>
      <c r="BE252">
        <v>430000</v>
      </c>
      <c r="BF252">
        <v>430000</v>
      </c>
      <c r="BG252" t="s">
        <v>294</v>
      </c>
      <c r="BH252">
        <v>30</v>
      </c>
      <c r="BI252" t="s">
        <v>65</v>
      </c>
      <c r="BJ252" t="s">
        <v>450</v>
      </c>
      <c r="BK252">
        <v>449600</v>
      </c>
      <c r="BL252">
        <v>61700</v>
      </c>
      <c r="BM252">
        <v>387900</v>
      </c>
      <c r="BN252">
        <v>0</v>
      </c>
      <c r="BO252">
        <v>1.0455813953488373</v>
      </c>
      <c r="BP252">
        <v>454873.0459032525</v>
      </c>
      <c r="BQ252">
        <v>479593.30220105784</v>
      </c>
      <c r="BR252" s="12">
        <f>(Sales[[#This Row],[DP1]]*Lookups!$B$59)+(Sales[[#This Row],[DP2]]*Lookups!$B$60)+(Sales[[#This Row],[DP3]]*Lookups!$B$61)</f>
        <v>-24720.256299370001</v>
      </c>
      <c r="BS252" s="12">
        <f>Lookups!$B$56*0</f>
        <v>0</v>
      </c>
      <c r="BT252" s="12">
        <f>Lookups!$B$56*1</f>
        <v>89850.625589999996</v>
      </c>
      <c r="BU252" s="12">
        <f>Lookups!$B$57*Sales[[#This Row],[LnAcres]]</f>
        <v>-47929.131559187132</v>
      </c>
      <c r="BV252" s="12">
        <f>VLOOKUP(Sales[[#This Row],[Qlty]],Lookups!$A$62:$E$75,2,FALSE)</f>
        <v>44121.038090000002</v>
      </c>
      <c r="BW252" s="12">
        <f>VLOOKUP(Sales[[#This Row],[Cnd]],Lookups!$A$76:$E$84,2,FALSE)</f>
        <v>197752.34721000001</v>
      </c>
      <c r="BX252" s="12">
        <f>Sales[[#This Row],[EffAge]]*Lookups!$B$85</f>
        <v>-12267.5080275</v>
      </c>
      <c r="BY252" s="12">
        <f>Sales[[#This Row],[MainFn]]*Lookups!$B$86</f>
        <v>74903.543533532007</v>
      </c>
      <c r="BZ252" s="12">
        <f>Sales[[#This Row],[UpprFn]]*Lookups!$B$87</f>
        <v>38964.187889069995</v>
      </c>
      <c r="CA252" s="12">
        <f>Sales[[#This Row],[AddFn]]*Lookups!$B$88</f>
        <v>0</v>
      </c>
      <c r="CB252" s="12">
        <f>Sales[[#This Row],[Bsmt]]*Lookups!$B$89</f>
        <v>44088.153194451996</v>
      </c>
      <c r="CC252" s="12">
        <f>Sales[[#This Row],[Fixtures]]*Lookups!$B$90</f>
        <v>34128.198946800003</v>
      </c>
      <c r="CD252" s="12">
        <f>Sales[[#This Row],[WdDeck]]*Lookups!$B$91</f>
        <v>15981.847332480002</v>
      </c>
      <c r="CE252" s="12">
        <f>SUM(Sales[[#This Row],[Days Prior Total]:[Mdl WdDeck]])</f>
        <v>454873.04590027692</v>
      </c>
      <c r="CF252" s="12">
        <f>ROUND(Sales[[#This Row],[25Det]],-2)</f>
        <v>0</v>
      </c>
      <c r="CG252" s="12">
        <f>ROUND(SUM(Sales[[#This Row],[Mdl Qlty]:[Mdl WdDeck]])+Sales[[#This Row],[Mdl Res Intercept]]+Sales[[#This Row],[Days Prior Total]],-2)</f>
        <v>413000</v>
      </c>
      <c r="CH252" s="12">
        <f>ROUND(Sales[[#This Row],[Mdl Land Intercept]]+Sales[[#This Row],[Mdl LnAcres]],-2)</f>
        <v>41900</v>
      </c>
      <c r="CI252" s="12">
        <f>Sales[[#This Row],[Unadj Res Value]]+Sales[[#This Row],[Unadj Det Value]]+Sales[[#This Row],[Unadj Land Value]]</f>
        <v>454900</v>
      </c>
      <c r="CJ252" s="13">
        <f>Sales[[#This Row],[Unadj Total Value]]/Sales[[#This Row],[Price]]</f>
        <v>1.057906976744186</v>
      </c>
      <c r="CK252" s="13">
        <f>(Sales[[#This Row],[Unadj Total Value]]-Sales[[#This Row],[24Final]])/Sales[[#This Row],[24Final]]</f>
        <v>1.1788256227758007E-2</v>
      </c>
      <c r="CL252">
        <f>VLOOKUP(Sales[[#This Row],[TNbhd]],Lookups!$Q$2:$T$4,4,FALSE)</f>
        <v>0.99970000000000003</v>
      </c>
      <c r="CM252">
        <f>VLOOKUP(Sales[[#This Row],[Qlty]],Lookups!$O$7:$R$21,4,FALSE)</f>
        <v>0.98050000000000004</v>
      </c>
      <c r="CN252">
        <f>VLOOKUP(Sales[[#This Row],[Cnd]],Lookups!$T$7:$W$16,4,FALSE)</f>
        <v>0.99650000000000005</v>
      </c>
      <c r="CO252">
        <f>VLOOKUP(Sales[[#This Row],[LivArea Range]],Lookups!$T$25:$W$37,4,FALSE)</f>
        <v>0.94579999999999997</v>
      </c>
      <c r="CP252">
        <f>VLOOKUP(Sales[[#This Row],[Decade]],Lookups!$O$25:$R$42,4,FALSE)</f>
        <v>1.0074000000000001</v>
      </c>
      <c r="CQ252">
        <f>Sales[[#This Row],[Nbhd Adj]]*0.95</f>
        <v>0.94971499999999998</v>
      </c>
      <c r="CR252">
        <f>Sales[[#This Row],[Nbhd Adj]]*Sales[[#This Row],[Quality Adj]]*Sales[[#This Row],[Condition Adj]]*Sales[[#This Row],[Living Area Adj]]*Sales[[#This Row],[Decade Adj]]*0.95</f>
        <v>0.88413677406956614</v>
      </c>
      <c r="CS252">
        <f>ROUND(SUM(Sales[[#This Row],[Mdl Qlty]:[Mdl WdDeck]])+Sales[[#This Row],[Mdl Res Intercept]]*Sales[[#This Row],[Res Adj ]],-2)</f>
        <v>437700</v>
      </c>
      <c r="CT252">
        <f>ROUND(Sales[[#This Row],[25Det]]*Sales[[#This Row],[Det/Nbhd Adj]],-2)</f>
        <v>0</v>
      </c>
      <c r="CU252">
        <f>Sales[[#This Row],[Adjusted Res]]+Sales[[#This Row],[Adj Det ]]</f>
        <v>437700</v>
      </c>
      <c r="CV252">
        <f>ROUND((Sales[[#This Row],[Mdl Land Intercept]]+Sales[[#This Row],[Mdl LnAcres]])*Sales[[#This Row],[Det/Nbhd Adj]],-2)</f>
        <v>39800</v>
      </c>
      <c r="CW252">
        <f>Sales[[#This Row],[Adjusted Impr Total]]+Sales[[#This Row],[Adjusted Land Total]]</f>
        <v>477500</v>
      </c>
      <c r="CX252" s="15">
        <f>IFERROR((Sales[[#This Row],[Adjusted Impr Total]]-Sales[[#This Row],[24Bldg]])/Sales[[#This Row],[24Bldg]],0)</f>
        <v>0.12838360402165508</v>
      </c>
      <c r="CY252" s="15">
        <f>(Sales[[#This Row],[Adjusted Land Total]]-Sales[[#This Row],[24Lnd]])/Sales[[#This Row],[24Lnd]]</f>
        <v>-0.35494327390599678</v>
      </c>
      <c r="CZ252" s="15">
        <f>(Sales[[#This Row],[Adjusted Total]]-Sales[[#This Row],[24Final]])/Sales[[#This Row],[24Final]]</f>
        <v>6.2055160142348756E-2</v>
      </c>
      <c r="DA252" s="15">
        <f>(Sales[[#This Row],[Adjusted Total]]+Sales[[#This Row],[Days Prior Total]])/Sales[[#This Row],[Price]]</f>
        <v>1.052976148141</v>
      </c>
    </row>
    <row r="253" spans="1:105" x14ac:dyDescent="0.3">
      <c r="A253">
        <v>2025</v>
      </c>
      <c r="B253">
        <v>18132313510</v>
      </c>
      <c r="C253">
        <v>-1.8325814637483102</v>
      </c>
      <c r="D253">
        <v>0.16</v>
      </c>
      <c r="E253">
        <v>6999</v>
      </c>
      <c r="F253">
        <v>6</v>
      </c>
      <c r="G253" t="s">
        <v>126</v>
      </c>
      <c r="H253">
        <v>3033</v>
      </c>
      <c r="I253" t="s">
        <v>349</v>
      </c>
      <c r="J253" t="s">
        <v>30</v>
      </c>
      <c r="K253">
        <v>11</v>
      </c>
      <c r="L253">
        <v>259</v>
      </c>
      <c r="M253" t="s">
        <v>269</v>
      </c>
      <c r="N253" t="s">
        <v>302</v>
      </c>
      <c r="O253" t="s">
        <v>303</v>
      </c>
      <c r="P253">
        <v>100</v>
      </c>
      <c r="Q253">
        <v>1928</v>
      </c>
      <c r="R253">
        <v>1995</v>
      </c>
      <c r="S253">
        <v>96</v>
      </c>
      <c r="T253">
        <v>29</v>
      </c>
      <c r="U253">
        <v>1</v>
      </c>
      <c r="V253">
        <v>1104</v>
      </c>
      <c r="W253">
        <v>0</v>
      </c>
      <c r="X253">
        <v>0</v>
      </c>
      <c r="Y253">
        <v>1104</v>
      </c>
      <c r="Z253">
        <v>0</v>
      </c>
      <c r="AA253">
        <v>1104</v>
      </c>
      <c r="AB253">
        <v>2208</v>
      </c>
      <c r="AC253">
        <v>2500</v>
      </c>
      <c r="AD253">
        <v>0</v>
      </c>
      <c r="AF253" t="s">
        <v>383</v>
      </c>
      <c r="AG253" t="s">
        <v>148</v>
      </c>
      <c r="AH253" t="s">
        <v>450</v>
      </c>
      <c r="AI253">
        <v>0</v>
      </c>
      <c r="AJ253">
        <v>1</v>
      </c>
      <c r="AK253">
        <v>0</v>
      </c>
      <c r="AL253">
        <v>0</v>
      </c>
      <c r="AM253">
        <v>0</v>
      </c>
      <c r="AN253">
        <v>6</v>
      </c>
      <c r="AO253">
        <v>0</v>
      </c>
      <c r="AP253">
        <v>0</v>
      </c>
      <c r="AQ253">
        <v>0</v>
      </c>
      <c r="AR253">
        <v>0</v>
      </c>
      <c r="AS253">
        <v>275</v>
      </c>
      <c r="AT253">
        <v>149</v>
      </c>
      <c r="AU253">
        <v>100</v>
      </c>
      <c r="AV253">
        <v>100</v>
      </c>
      <c r="AW253">
        <v>299683</v>
      </c>
      <c r="AX253">
        <v>269715</v>
      </c>
      <c r="AY253">
        <v>607</v>
      </c>
      <c r="AZ253">
        <v>365</v>
      </c>
      <c r="BA253">
        <v>242</v>
      </c>
      <c r="BB253">
        <v>0</v>
      </c>
      <c r="BC253" s="3">
        <v>44685</v>
      </c>
      <c r="BD253" t="s">
        <v>465</v>
      </c>
      <c r="BE253">
        <v>300000</v>
      </c>
      <c r="BF253">
        <v>295455</v>
      </c>
      <c r="BG253" t="s">
        <v>294</v>
      </c>
      <c r="BH253">
        <v>30</v>
      </c>
      <c r="BI253" t="s">
        <v>65</v>
      </c>
      <c r="BJ253" t="s">
        <v>450</v>
      </c>
      <c r="BK253">
        <v>343200</v>
      </c>
      <c r="BL253">
        <v>50600</v>
      </c>
      <c r="BM253">
        <v>292600</v>
      </c>
      <c r="BN253">
        <v>4545</v>
      </c>
      <c r="BO253">
        <v>1.1439999999999999</v>
      </c>
      <c r="BP253">
        <v>339369.98381953099</v>
      </c>
      <c r="BQ253">
        <v>362344.79802619352</v>
      </c>
      <c r="BR253" s="12">
        <f>(Sales[[#This Row],[DP1]]*Lookups!$B$59)+(Sales[[#This Row],[DP2]]*Lookups!$B$60)+(Sales[[#This Row],[DP3]]*Lookups!$B$61)</f>
        <v>-22974.814208266002</v>
      </c>
      <c r="BS253" s="12">
        <f>Lookups!$B$56*0</f>
        <v>0</v>
      </c>
      <c r="BT253" s="12">
        <f>Lookups!$B$56*1</f>
        <v>89850.625589999996</v>
      </c>
      <c r="BU253" s="12">
        <f>Lookups!$B$57*Sales[[#This Row],[LnAcres]]</f>
        <v>-58009.662049032086</v>
      </c>
      <c r="BV253" s="12">
        <f>VLOOKUP(Sales[[#This Row],[Qlty]],Lookups!$A$62:$E$75,2,FALSE)</f>
        <v>29814.093161000001</v>
      </c>
      <c r="BW253" s="12">
        <f>VLOOKUP(Sales[[#This Row],[Cnd]],Lookups!$A$76:$E$84,2,FALSE)</f>
        <v>197752.34721000001</v>
      </c>
      <c r="BX253" s="12">
        <f>Sales[[#This Row],[EffAge]]*Lookups!$B$85</f>
        <v>-6468.3224145000004</v>
      </c>
      <c r="BY253" s="12">
        <f>Sales[[#This Row],[MainFn]]*Lookups!$B$86</f>
        <v>54547.171544208002</v>
      </c>
      <c r="BZ253" s="12">
        <f>Sales[[#This Row],[UpprFn]]*Lookups!$B$87</f>
        <v>0</v>
      </c>
      <c r="CA253" s="12">
        <f>Sales[[#This Row],[AddFn]]*Lookups!$B$88</f>
        <v>0</v>
      </c>
      <c r="CB253" s="12">
        <f>Sales[[#This Row],[Bsmt]]*Lookups!$B$89</f>
        <v>32106.412352687999</v>
      </c>
      <c r="CC253" s="12">
        <f>Sales[[#This Row],[Fixtures]]*Lookups!$B$90</f>
        <v>22752.132631200002</v>
      </c>
      <c r="CD253" s="12">
        <f>Sales[[#This Row],[WdDeck]]*Lookups!$B$91</f>
        <v>0</v>
      </c>
      <c r="CE253" s="12">
        <f>SUM(Sales[[#This Row],[Days Prior Total]:[Mdl WdDeck]])</f>
        <v>339369.98381729797</v>
      </c>
      <c r="CF253" s="12">
        <f>ROUND(Sales[[#This Row],[25Det]],-2)</f>
        <v>4500</v>
      </c>
      <c r="CG253" s="12">
        <f>ROUND(SUM(Sales[[#This Row],[Mdl Qlty]:[Mdl WdDeck]])+Sales[[#This Row],[Mdl Res Intercept]]+Sales[[#This Row],[Days Prior Total]],-2)</f>
        <v>307500</v>
      </c>
      <c r="CH253" s="12">
        <f>ROUND(Sales[[#This Row],[Mdl Land Intercept]]+Sales[[#This Row],[Mdl LnAcres]],-2)</f>
        <v>31800</v>
      </c>
      <c r="CI253" s="12">
        <f>Sales[[#This Row],[Unadj Res Value]]+Sales[[#This Row],[Unadj Det Value]]+Sales[[#This Row],[Unadj Land Value]]</f>
        <v>343800</v>
      </c>
      <c r="CJ253" s="13">
        <f>Sales[[#This Row],[Unadj Total Value]]/Sales[[#This Row],[Price]]</f>
        <v>1.1459999999999999</v>
      </c>
      <c r="CK253" s="13">
        <f>(Sales[[#This Row],[Unadj Total Value]]-Sales[[#This Row],[24Final]])/Sales[[#This Row],[24Final]]</f>
        <v>1.7482517482517483E-3</v>
      </c>
      <c r="CL253">
        <f>VLOOKUP(Sales[[#This Row],[TNbhd]],Lookups!$Q$2:$T$4,4,FALSE)</f>
        <v>0.99970000000000003</v>
      </c>
      <c r="CM253">
        <f>VLOOKUP(Sales[[#This Row],[Qlty]],Lookups!$O$7:$R$21,4,FALSE)</f>
        <v>1.0088999999999999</v>
      </c>
      <c r="CN253">
        <f>VLOOKUP(Sales[[#This Row],[Cnd]],Lookups!$T$7:$W$16,4,FALSE)</f>
        <v>0.99650000000000005</v>
      </c>
      <c r="CO253">
        <f>VLOOKUP(Sales[[#This Row],[LivArea Range]],Lookups!$T$25:$W$37,4,FALSE)</f>
        <v>0.98919999999999997</v>
      </c>
      <c r="CP253">
        <f>VLOOKUP(Sales[[#This Row],[Decade]],Lookups!$O$25:$R$42,4,FALSE)</f>
        <v>1.0074000000000001</v>
      </c>
      <c r="CQ253">
        <f>Sales[[#This Row],[Nbhd Adj]]*0.95</f>
        <v>0.94971499999999998</v>
      </c>
      <c r="CR253">
        <f>Sales[[#This Row],[Nbhd Adj]]*Sales[[#This Row],[Quality Adj]]*Sales[[#This Row],[Condition Adj]]*Sales[[#This Row],[Living Area Adj]]*Sales[[#This Row],[Decade Adj]]*0.95</f>
        <v>0.95149120146958555</v>
      </c>
      <c r="CS253">
        <f>ROUND(SUM(Sales[[#This Row],[Mdl Qlty]:[Mdl WdDeck]])+Sales[[#This Row],[Mdl Res Intercept]]*Sales[[#This Row],[Res Adj ]],-2)</f>
        <v>330500</v>
      </c>
      <c r="CT253">
        <f>ROUND(Sales[[#This Row],[25Det]]*Sales[[#This Row],[Det/Nbhd Adj]],-2)</f>
        <v>4300</v>
      </c>
      <c r="CU253">
        <f>Sales[[#This Row],[Adjusted Res]]+Sales[[#This Row],[Adj Det ]]</f>
        <v>334800</v>
      </c>
      <c r="CV253">
        <f>ROUND((Sales[[#This Row],[Mdl Land Intercept]]+Sales[[#This Row],[Mdl LnAcres]])*Sales[[#This Row],[Det/Nbhd Adj]],-2)</f>
        <v>30200</v>
      </c>
      <c r="CW253">
        <f>Sales[[#This Row],[Adjusted Impr Total]]+Sales[[#This Row],[Adjusted Land Total]]</f>
        <v>365000</v>
      </c>
      <c r="CX253" s="15">
        <f>IFERROR((Sales[[#This Row],[Adjusted Impr Total]]-Sales[[#This Row],[24Bldg]])/Sales[[#This Row],[24Bldg]],0)</f>
        <v>0.14422419685577581</v>
      </c>
      <c r="CY253" s="15">
        <f>(Sales[[#This Row],[Adjusted Land Total]]-Sales[[#This Row],[24Lnd]])/Sales[[#This Row],[24Lnd]]</f>
        <v>-0.40316205533596838</v>
      </c>
      <c r="CZ253" s="15">
        <f>(Sales[[#This Row],[Adjusted Total]]-Sales[[#This Row],[24Final]])/Sales[[#This Row],[24Final]]</f>
        <v>6.351981351981352E-2</v>
      </c>
      <c r="DA253" s="15">
        <f>(Sales[[#This Row],[Adjusted Total]]+Sales[[#This Row],[Days Prior Total]])/Sales[[#This Row],[Price]]</f>
        <v>1.1400839526391133</v>
      </c>
    </row>
    <row r="254" spans="1:105" x14ac:dyDescent="0.3">
      <c r="A254">
        <v>2025</v>
      </c>
      <c r="B254">
        <v>18132332412</v>
      </c>
      <c r="C254">
        <v>-1.6094379124341003</v>
      </c>
      <c r="D254">
        <v>0.2</v>
      </c>
      <c r="E254">
        <v>8552</v>
      </c>
      <c r="F254">
        <v>6</v>
      </c>
      <c r="G254" t="s">
        <v>126</v>
      </c>
      <c r="H254">
        <v>3032</v>
      </c>
      <c r="I254" t="s">
        <v>349</v>
      </c>
      <c r="J254" t="s">
        <v>30</v>
      </c>
      <c r="K254">
        <v>11</v>
      </c>
      <c r="L254">
        <v>259</v>
      </c>
      <c r="M254" t="s">
        <v>269</v>
      </c>
      <c r="N254" t="s">
        <v>351</v>
      </c>
      <c r="O254" t="s">
        <v>323</v>
      </c>
      <c r="P254">
        <v>100</v>
      </c>
      <c r="Q254">
        <v>1926</v>
      </c>
      <c r="R254">
        <v>1968</v>
      </c>
      <c r="S254">
        <v>98</v>
      </c>
      <c r="T254">
        <v>56</v>
      </c>
      <c r="U254">
        <v>1</v>
      </c>
      <c r="V254">
        <v>1232</v>
      </c>
      <c r="W254">
        <v>0</v>
      </c>
      <c r="X254">
        <v>0</v>
      </c>
      <c r="Y254">
        <v>784</v>
      </c>
      <c r="Z254">
        <v>0</v>
      </c>
      <c r="AA254">
        <v>784</v>
      </c>
      <c r="AB254">
        <v>2016</v>
      </c>
      <c r="AC254">
        <v>2500</v>
      </c>
      <c r="AD254">
        <v>0</v>
      </c>
      <c r="AE254" t="s">
        <v>174</v>
      </c>
      <c r="AF254" t="s">
        <v>208</v>
      </c>
      <c r="AG254" t="s">
        <v>382</v>
      </c>
      <c r="AI254">
        <v>0</v>
      </c>
      <c r="AJ254">
        <v>1</v>
      </c>
      <c r="AK254">
        <v>0</v>
      </c>
      <c r="AL254">
        <v>0</v>
      </c>
      <c r="AM254">
        <v>0</v>
      </c>
      <c r="AN254">
        <v>6</v>
      </c>
      <c r="AO254">
        <v>0</v>
      </c>
      <c r="AP254">
        <v>0</v>
      </c>
      <c r="AQ254">
        <v>0</v>
      </c>
      <c r="AR254">
        <v>144</v>
      </c>
      <c r="AS254">
        <v>0</v>
      </c>
      <c r="AT254">
        <v>144</v>
      </c>
      <c r="AU254">
        <v>100</v>
      </c>
      <c r="AV254">
        <v>100</v>
      </c>
      <c r="AW254">
        <v>251739</v>
      </c>
      <c r="AX254">
        <v>163630</v>
      </c>
      <c r="AY254">
        <v>921</v>
      </c>
      <c r="AZ254">
        <v>365</v>
      </c>
      <c r="BA254">
        <v>365</v>
      </c>
      <c r="BB254">
        <v>191</v>
      </c>
      <c r="BC254" s="3">
        <v>44371</v>
      </c>
      <c r="BD254" t="s">
        <v>272</v>
      </c>
      <c r="BE254">
        <v>380000</v>
      </c>
      <c r="BF254">
        <v>372745</v>
      </c>
      <c r="BG254" t="s">
        <v>294</v>
      </c>
      <c r="BH254">
        <v>30</v>
      </c>
      <c r="BI254" t="s">
        <v>65</v>
      </c>
      <c r="BJ254" t="s">
        <v>450</v>
      </c>
      <c r="BK254">
        <v>316700</v>
      </c>
      <c r="BL254">
        <v>58400</v>
      </c>
      <c r="BM254">
        <v>258300</v>
      </c>
      <c r="BN254">
        <v>7255</v>
      </c>
      <c r="BO254">
        <v>0.83342105263157895</v>
      </c>
      <c r="BP254">
        <v>272558.60827025905</v>
      </c>
      <c r="BQ254">
        <v>319661.83952278859</v>
      </c>
      <c r="BR254" s="12">
        <f>(Sales[[#This Row],[DP1]]*Lookups!$B$59)+(Sales[[#This Row],[DP2]]*Lookups!$B$60)+(Sales[[#This Row],[DP3]]*Lookups!$B$61)</f>
        <v>-47103.231258970001</v>
      </c>
      <c r="BS254" s="12">
        <f>Lookups!$B$56*0</f>
        <v>0</v>
      </c>
      <c r="BT254" s="12">
        <f>Lookups!$B$56*1</f>
        <v>89850.625589999996</v>
      </c>
      <c r="BU254" s="12">
        <f>Lookups!$B$57*Sales[[#This Row],[LnAcres]]</f>
        <v>-50946.13867709865</v>
      </c>
      <c r="BV254" s="12">
        <f>VLOOKUP(Sales[[#This Row],[Qlty]],Lookups!$A$62:$E$75,2,FALSE)</f>
        <v>21557.329055999999</v>
      </c>
      <c r="BW254" s="12">
        <f>VLOOKUP(Sales[[#This Row],[Cnd]],Lookups!$A$76:$E$84,2,FALSE)</f>
        <v>160472.20319</v>
      </c>
      <c r="BX254" s="12">
        <f>Sales[[#This Row],[EffAge]]*Lookups!$B$85</f>
        <v>-12490.553628</v>
      </c>
      <c r="BY254" s="12">
        <f>Sales[[#This Row],[MainFn]]*Lookups!$B$86</f>
        <v>60871.481288464005</v>
      </c>
      <c r="BZ254" s="12">
        <f>Sales[[#This Row],[UpprFn]]*Lookups!$B$87</f>
        <v>0</v>
      </c>
      <c r="CA254" s="12">
        <f>Sales[[#This Row],[AddFn]]*Lookups!$B$88</f>
        <v>0</v>
      </c>
      <c r="CB254" s="12">
        <f>Sales[[#This Row],[Bsmt]]*Lookups!$B$89</f>
        <v>22800.205873647999</v>
      </c>
      <c r="CC254" s="12">
        <f>Sales[[#This Row],[Fixtures]]*Lookups!$B$90</f>
        <v>22752.132631200002</v>
      </c>
      <c r="CD254" s="12">
        <f>Sales[[#This Row],[WdDeck]]*Lookups!$B$91</f>
        <v>4794.5541997440005</v>
      </c>
      <c r="CE254" s="12">
        <f>SUM(Sales[[#This Row],[Days Prior Total]:[Mdl WdDeck]])</f>
        <v>272558.60826498736</v>
      </c>
      <c r="CF254" s="12">
        <f>ROUND(Sales[[#This Row],[25Det]],-2)</f>
        <v>7300</v>
      </c>
      <c r="CG254" s="12">
        <f>ROUND(SUM(Sales[[#This Row],[Mdl Qlty]:[Mdl WdDeck]])+Sales[[#This Row],[Mdl Res Intercept]]+Sales[[#This Row],[Days Prior Total]],-2)</f>
        <v>233700</v>
      </c>
      <c r="CH254" s="12">
        <f>ROUND(Sales[[#This Row],[Mdl Land Intercept]]+Sales[[#This Row],[Mdl LnAcres]],-2)</f>
        <v>38900</v>
      </c>
      <c r="CI254" s="12">
        <f>Sales[[#This Row],[Unadj Res Value]]+Sales[[#This Row],[Unadj Det Value]]+Sales[[#This Row],[Unadj Land Value]]</f>
        <v>279900</v>
      </c>
      <c r="CJ254" s="13">
        <f>Sales[[#This Row],[Unadj Total Value]]/Sales[[#This Row],[Price]]</f>
        <v>0.736578947368421</v>
      </c>
      <c r="CK254" s="13">
        <f>(Sales[[#This Row],[Unadj Total Value]]-Sales[[#This Row],[24Final]])/Sales[[#This Row],[24Final]]</f>
        <v>-0.11619829491632459</v>
      </c>
      <c r="CL254">
        <f>VLOOKUP(Sales[[#This Row],[TNbhd]],Lookups!$Q$2:$T$4,4,FALSE)</f>
        <v>0.99970000000000003</v>
      </c>
      <c r="CM254">
        <f>VLOOKUP(Sales[[#This Row],[Qlty]],Lookups!$O$7:$R$21,4,FALSE)</f>
        <v>1.0067999999999999</v>
      </c>
      <c r="CN254">
        <f>VLOOKUP(Sales[[#This Row],[Cnd]],Lookups!$T$7:$W$16,4,FALSE)</f>
        <v>0.99729999999999996</v>
      </c>
      <c r="CO254">
        <f>VLOOKUP(Sales[[#This Row],[LivArea Range]],Lookups!$T$25:$W$37,4,FALSE)</f>
        <v>0.98919999999999997</v>
      </c>
      <c r="CP254">
        <f>VLOOKUP(Sales[[#This Row],[Decade]],Lookups!$O$25:$R$42,4,FALSE)</f>
        <v>1.0074000000000001</v>
      </c>
      <c r="CQ254">
        <f>Sales[[#This Row],[Nbhd Adj]]*0.95</f>
        <v>0.94971499999999998</v>
      </c>
      <c r="CR254">
        <f>Sales[[#This Row],[Nbhd Adj]]*Sales[[#This Row],[Quality Adj]]*Sales[[#This Row],[Condition Adj]]*Sales[[#This Row],[Living Area Adj]]*Sales[[#This Row],[Decade Adj]]*0.95</f>
        <v>0.95027297296624202</v>
      </c>
      <c r="CS254">
        <f>ROUND(SUM(Sales[[#This Row],[Mdl Qlty]:[Mdl WdDeck]])+Sales[[#This Row],[Mdl Res Intercept]]*Sales[[#This Row],[Res Adj ]],-2)</f>
        <v>280800</v>
      </c>
      <c r="CT254">
        <f>ROUND(Sales[[#This Row],[25Det]]*Sales[[#This Row],[Det/Nbhd Adj]],-2)</f>
        <v>6900</v>
      </c>
      <c r="CU254">
        <f>Sales[[#This Row],[Adjusted Res]]+Sales[[#This Row],[Adj Det ]]</f>
        <v>287700</v>
      </c>
      <c r="CV254">
        <f>ROUND((Sales[[#This Row],[Mdl Land Intercept]]+Sales[[#This Row],[Mdl LnAcres]])*Sales[[#This Row],[Det/Nbhd Adj]],-2)</f>
        <v>36900</v>
      </c>
      <c r="CW254">
        <f>Sales[[#This Row],[Adjusted Impr Total]]+Sales[[#This Row],[Adjusted Land Total]]</f>
        <v>324600</v>
      </c>
      <c r="CX254" s="15">
        <f>IFERROR((Sales[[#This Row],[Adjusted Impr Total]]-Sales[[#This Row],[24Bldg]])/Sales[[#This Row],[24Bldg]],0)</f>
        <v>0.11382113821138211</v>
      </c>
      <c r="CY254" s="15">
        <f>(Sales[[#This Row],[Adjusted Land Total]]-Sales[[#This Row],[24Lnd]])/Sales[[#This Row],[24Lnd]]</f>
        <v>-0.36815068493150682</v>
      </c>
      <c r="CZ254" s="15">
        <f>(Sales[[#This Row],[Adjusted Total]]-Sales[[#This Row],[24Final]])/Sales[[#This Row],[24Final]]</f>
        <v>2.4944742658667508E-2</v>
      </c>
      <c r="DA254" s="15">
        <f>(Sales[[#This Row],[Adjusted Total]]+Sales[[#This Row],[Days Prior Total]])/Sales[[#This Row],[Price]]</f>
        <v>0.73025465458165795</v>
      </c>
    </row>
    <row r="255" spans="1:105" x14ac:dyDescent="0.3">
      <c r="A255">
        <v>2025</v>
      </c>
      <c r="B255">
        <v>18132333422</v>
      </c>
      <c r="C255">
        <v>-2.3025850929940455</v>
      </c>
      <c r="D255">
        <v>0.1</v>
      </c>
      <c r="E255">
        <v>0</v>
      </c>
      <c r="F255">
        <v>6</v>
      </c>
      <c r="G255" t="s">
        <v>126</v>
      </c>
      <c r="H255">
        <v>3032</v>
      </c>
      <c r="I255" t="s">
        <v>349</v>
      </c>
      <c r="J255" t="s">
        <v>30</v>
      </c>
      <c r="K255">
        <v>11</v>
      </c>
      <c r="L255">
        <v>259</v>
      </c>
      <c r="M255" t="s">
        <v>269</v>
      </c>
      <c r="N255" t="s">
        <v>351</v>
      </c>
      <c r="O255" t="s">
        <v>303</v>
      </c>
      <c r="P255">
        <v>100</v>
      </c>
      <c r="Q255">
        <v>1925</v>
      </c>
      <c r="R255">
        <v>1968</v>
      </c>
      <c r="S255">
        <v>99</v>
      </c>
      <c r="T255">
        <v>56</v>
      </c>
      <c r="U255">
        <v>1</v>
      </c>
      <c r="V255">
        <v>958</v>
      </c>
      <c r="W255">
        <v>0</v>
      </c>
      <c r="X255">
        <v>0</v>
      </c>
      <c r="Y255">
        <v>958</v>
      </c>
      <c r="Z255">
        <v>285</v>
      </c>
      <c r="AA255">
        <v>673</v>
      </c>
      <c r="AB255">
        <v>1631</v>
      </c>
      <c r="AC255">
        <v>2000</v>
      </c>
      <c r="AD255">
        <v>0</v>
      </c>
      <c r="AF255" t="s">
        <v>383</v>
      </c>
      <c r="AG255" t="s">
        <v>382</v>
      </c>
      <c r="AH255" t="s">
        <v>450</v>
      </c>
      <c r="AI255">
        <v>1</v>
      </c>
      <c r="AJ255">
        <v>1</v>
      </c>
      <c r="AK255">
        <v>0</v>
      </c>
      <c r="AL255">
        <v>1</v>
      </c>
      <c r="AM255">
        <v>0</v>
      </c>
      <c r="AN255">
        <v>8</v>
      </c>
      <c r="AO255">
        <v>0</v>
      </c>
      <c r="AP255">
        <v>0</v>
      </c>
      <c r="AQ255">
        <v>0</v>
      </c>
      <c r="AR255">
        <v>0</v>
      </c>
      <c r="AS255">
        <v>378</v>
      </c>
      <c r="AT255">
        <v>378</v>
      </c>
      <c r="AU255">
        <v>100</v>
      </c>
      <c r="AV255">
        <v>100</v>
      </c>
      <c r="AW255">
        <v>226559</v>
      </c>
      <c r="AX255">
        <v>167654</v>
      </c>
      <c r="AY255">
        <v>959</v>
      </c>
      <c r="AZ255">
        <v>365</v>
      </c>
      <c r="BA255">
        <v>365</v>
      </c>
      <c r="BB255">
        <v>229</v>
      </c>
      <c r="BC255" s="3">
        <v>44333</v>
      </c>
      <c r="BD255" t="s">
        <v>392</v>
      </c>
      <c r="BE255">
        <v>400000</v>
      </c>
      <c r="BF255">
        <v>400000</v>
      </c>
      <c r="BG255" t="s">
        <v>294</v>
      </c>
      <c r="BH255">
        <v>30</v>
      </c>
      <c r="BI255" t="s">
        <v>65</v>
      </c>
      <c r="BJ255" t="s">
        <v>450</v>
      </c>
      <c r="BK255">
        <v>302800</v>
      </c>
      <c r="BL255">
        <v>34200</v>
      </c>
      <c r="BM255">
        <v>268600</v>
      </c>
      <c r="BN255">
        <v>0</v>
      </c>
      <c r="BO255">
        <v>0.75700000000000001</v>
      </c>
      <c r="BP255">
        <v>277127.78378826985</v>
      </c>
      <c r="BQ255">
        <v>329312.44013004348</v>
      </c>
      <c r="BR255" s="12">
        <f>(Sales[[#This Row],[DP1]]*Lookups!$B$59)+(Sales[[#This Row],[DP2]]*Lookups!$B$60)+(Sales[[#This Row],[DP3]]*Lookups!$B$61)</f>
        <v>-52184.656349170007</v>
      </c>
      <c r="BS255" s="12">
        <f>Lookups!$B$56*0</f>
        <v>0</v>
      </c>
      <c r="BT255" s="12">
        <f>Lookups!$B$56*1</f>
        <v>89850.625589999996</v>
      </c>
      <c r="BU255" s="12">
        <f>Lookups!$B$57*Sales[[#This Row],[LnAcres]]</f>
        <v>-72887.446329681261</v>
      </c>
      <c r="BV255" s="12">
        <f>VLOOKUP(Sales[[#This Row],[Qlty]],Lookups!$A$62:$E$75,2,FALSE)</f>
        <v>21557.329055999999</v>
      </c>
      <c r="BW255" s="12">
        <f>VLOOKUP(Sales[[#This Row],[Cnd]],Lookups!$A$76:$E$84,2,FALSE)</f>
        <v>197752.34721000001</v>
      </c>
      <c r="BX255" s="12">
        <f>Sales[[#This Row],[EffAge]]*Lookups!$B$85</f>
        <v>-12490.553628</v>
      </c>
      <c r="BY255" s="12">
        <f>Sales[[#This Row],[MainFn]]*Lookups!$B$86</f>
        <v>47333.505742166002</v>
      </c>
      <c r="BZ255" s="12">
        <f>Sales[[#This Row],[UpprFn]]*Lookups!$B$87</f>
        <v>0</v>
      </c>
      <c r="CA255" s="12">
        <f>Sales[[#This Row],[AddFn]]*Lookups!$B$88</f>
        <v>0</v>
      </c>
      <c r="CB255" s="12">
        <f>Sales[[#This Row],[Bsmt]]*Lookups!$B$89</f>
        <v>27860.455646626</v>
      </c>
      <c r="CC255" s="12">
        <f>Sales[[#This Row],[Fixtures]]*Lookups!$B$90</f>
        <v>30336.176841600001</v>
      </c>
      <c r="CD255" s="12">
        <f>Sales[[#This Row],[WdDeck]]*Lookups!$B$91</f>
        <v>0</v>
      </c>
      <c r="CE255" s="12">
        <f>SUM(Sales[[#This Row],[Days Prior Total]:[Mdl WdDeck]])</f>
        <v>277127.78377954074</v>
      </c>
      <c r="CF255" s="12">
        <f>ROUND(Sales[[#This Row],[25Det]],-2)</f>
        <v>0</v>
      </c>
      <c r="CG255" s="12">
        <f>ROUND(SUM(Sales[[#This Row],[Mdl Qlty]:[Mdl WdDeck]])+Sales[[#This Row],[Mdl Res Intercept]]+Sales[[#This Row],[Days Prior Total]],-2)</f>
        <v>260200</v>
      </c>
      <c r="CH255" s="12">
        <f>ROUND(Sales[[#This Row],[Mdl Land Intercept]]+Sales[[#This Row],[Mdl LnAcres]],-2)</f>
        <v>17000</v>
      </c>
      <c r="CI255" s="12">
        <f>Sales[[#This Row],[Unadj Res Value]]+Sales[[#This Row],[Unadj Det Value]]+Sales[[#This Row],[Unadj Land Value]]</f>
        <v>277200</v>
      </c>
      <c r="CJ255" s="13">
        <f>Sales[[#This Row],[Unadj Total Value]]/Sales[[#This Row],[Price]]</f>
        <v>0.69299999999999995</v>
      </c>
      <c r="CK255" s="13">
        <f>(Sales[[#This Row],[Unadj Total Value]]-Sales[[#This Row],[24Final]])/Sales[[#This Row],[24Final]]</f>
        <v>-8.4544253632760899E-2</v>
      </c>
      <c r="CL255">
        <f>VLOOKUP(Sales[[#This Row],[TNbhd]],Lookups!$Q$2:$T$4,4,FALSE)</f>
        <v>0.99970000000000003</v>
      </c>
      <c r="CM255">
        <f>VLOOKUP(Sales[[#This Row],[Qlty]],Lookups!$O$7:$R$21,4,FALSE)</f>
        <v>1.0067999999999999</v>
      </c>
      <c r="CN255">
        <f>VLOOKUP(Sales[[#This Row],[Cnd]],Lookups!$T$7:$W$16,4,FALSE)</f>
        <v>0.99650000000000005</v>
      </c>
      <c r="CO255">
        <f>VLOOKUP(Sales[[#This Row],[LivArea Range]],Lookups!$T$25:$W$37,4,FALSE)</f>
        <v>1.0093000000000001</v>
      </c>
      <c r="CP255">
        <f>VLOOKUP(Sales[[#This Row],[Decade]],Lookups!$O$25:$R$42,4,FALSE)</f>
        <v>1.0074000000000001</v>
      </c>
      <c r="CQ255">
        <f>Sales[[#This Row],[Nbhd Adj]]*0.95</f>
        <v>0.94971499999999998</v>
      </c>
      <c r="CR255">
        <f>Sales[[#This Row],[Nbhd Adj]]*Sales[[#This Row],[Quality Adj]]*Sales[[#This Row],[Condition Adj]]*Sales[[#This Row],[Living Area Adj]]*Sales[[#This Row],[Decade Adj]]*0.95</f>
        <v>0.96880423161964746</v>
      </c>
      <c r="CS255">
        <f>ROUND(SUM(Sales[[#This Row],[Mdl Qlty]:[Mdl WdDeck]])+Sales[[#This Row],[Mdl Res Intercept]]*Sales[[#This Row],[Res Adj ]],-2)</f>
        <v>312300</v>
      </c>
      <c r="CT255">
        <f>ROUND(Sales[[#This Row],[25Det]]*Sales[[#This Row],[Det/Nbhd Adj]],-2)</f>
        <v>0</v>
      </c>
      <c r="CU255">
        <f>Sales[[#This Row],[Adjusted Res]]+Sales[[#This Row],[Adj Det ]]</f>
        <v>312300</v>
      </c>
      <c r="CV255">
        <f>ROUND((Sales[[#This Row],[Mdl Land Intercept]]+Sales[[#This Row],[Mdl LnAcres]])*Sales[[#This Row],[Det/Nbhd Adj]],-2)</f>
        <v>16100</v>
      </c>
      <c r="CW255">
        <f>Sales[[#This Row],[Adjusted Impr Total]]+Sales[[#This Row],[Adjusted Land Total]]</f>
        <v>328400</v>
      </c>
      <c r="CX255" s="15">
        <f>IFERROR((Sales[[#This Row],[Adjusted Impr Total]]-Sales[[#This Row],[24Bldg]])/Sales[[#This Row],[24Bldg]],0)</f>
        <v>0.16269545793000745</v>
      </c>
      <c r="CY255" s="15">
        <f>(Sales[[#This Row],[Adjusted Land Total]]-Sales[[#This Row],[24Lnd]])/Sales[[#This Row],[24Lnd]]</f>
        <v>-0.5292397660818714</v>
      </c>
      <c r="CZ255" s="15">
        <f>(Sales[[#This Row],[Adjusted Total]]-Sales[[#This Row],[24Final]])/Sales[[#This Row],[24Final]]</f>
        <v>8.4544253632760899E-2</v>
      </c>
      <c r="DA255" s="15">
        <f>(Sales[[#This Row],[Adjusted Total]]+Sales[[#This Row],[Days Prior Total]])/Sales[[#This Row],[Price]]</f>
        <v>0.69053835912707495</v>
      </c>
    </row>
    <row r="256" spans="1:105" x14ac:dyDescent="0.3">
      <c r="A256">
        <v>2025</v>
      </c>
      <c r="B256">
        <v>18132334003</v>
      </c>
      <c r="C256">
        <v>-1.6607312068216509</v>
      </c>
      <c r="D256">
        <v>0.19</v>
      </c>
      <c r="E256">
        <v>0</v>
      </c>
      <c r="F256">
        <v>6</v>
      </c>
      <c r="G256" t="s">
        <v>126</v>
      </c>
      <c r="H256">
        <v>3093</v>
      </c>
      <c r="I256" t="s">
        <v>349</v>
      </c>
      <c r="J256" t="s">
        <v>30</v>
      </c>
      <c r="K256">
        <v>11</v>
      </c>
      <c r="L256">
        <v>259</v>
      </c>
      <c r="M256" t="s">
        <v>301</v>
      </c>
      <c r="N256" t="s">
        <v>148</v>
      </c>
      <c r="O256" t="s">
        <v>303</v>
      </c>
      <c r="P256">
        <v>100</v>
      </c>
      <c r="Q256">
        <v>1925</v>
      </c>
      <c r="R256">
        <v>1968</v>
      </c>
      <c r="S256">
        <v>99</v>
      </c>
      <c r="T256">
        <v>56</v>
      </c>
      <c r="U256">
        <v>2</v>
      </c>
      <c r="V256">
        <v>1336</v>
      </c>
      <c r="W256">
        <v>718</v>
      </c>
      <c r="X256">
        <v>0</v>
      </c>
      <c r="Y256">
        <v>522</v>
      </c>
      <c r="Z256">
        <v>522</v>
      </c>
      <c r="AA256">
        <v>0</v>
      </c>
      <c r="AB256">
        <v>2054</v>
      </c>
      <c r="AC256">
        <v>2500</v>
      </c>
      <c r="AD256">
        <v>0</v>
      </c>
      <c r="AF256" t="s">
        <v>383</v>
      </c>
      <c r="AG256" t="s">
        <v>148</v>
      </c>
      <c r="AH256" t="s">
        <v>450</v>
      </c>
      <c r="AI256">
        <v>0</v>
      </c>
      <c r="AJ256">
        <v>1</v>
      </c>
      <c r="AK256">
        <v>0</v>
      </c>
      <c r="AL256">
        <v>1</v>
      </c>
      <c r="AM256">
        <v>1</v>
      </c>
      <c r="AN256">
        <v>12</v>
      </c>
      <c r="AO256">
        <v>0</v>
      </c>
      <c r="AP256">
        <v>0</v>
      </c>
      <c r="AQ256">
        <v>0</v>
      </c>
      <c r="AR256">
        <v>0</v>
      </c>
      <c r="AS256">
        <v>480</v>
      </c>
      <c r="AT256">
        <v>0</v>
      </c>
      <c r="AU256">
        <v>100</v>
      </c>
      <c r="AV256">
        <v>100</v>
      </c>
      <c r="AW256">
        <v>390187</v>
      </c>
      <c r="AX256">
        <v>288738</v>
      </c>
      <c r="AY256">
        <v>878</v>
      </c>
      <c r="AZ256">
        <v>365</v>
      </c>
      <c r="BA256">
        <v>365</v>
      </c>
      <c r="BB256">
        <v>148</v>
      </c>
      <c r="BC256" s="3">
        <v>44414</v>
      </c>
      <c r="BD256" t="s">
        <v>401</v>
      </c>
      <c r="BE256">
        <v>490000</v>
      </c>
      <c r="BF256">
        <v>467463</v>
      </c>
      <c r="BG256" t="s">
        <v>294</v>
      </c>
      <c r="BH256">
        <v>30</v>
      </c>
      <c r="BI256" t="s">
        <v>65</v>
      </c>
      <c r="BJ256" t="s">
        <v>450</v>
      </c>
      <c r="BK256">
        <v>417700</v>
      </c>
      <c r="BL256">
        <v>56600</v>
      </c>
      <c r="BM256">
        <v>361100</v>
      </c>
      <c r="BN256">
        <v>22537</v>
      </c>
      <c r="BO256">
        <v>0.85244897959183674</v>
      </c>
      <c r="BP256">
        <v>384162.10061455978</v>
      </c>
      <c r="BQ256">
        <v>425515.29821347125</v>
      </c>
      <c r="BR256" s="12">
        <f>(Sales[[#This Row],[DP1]]*Lookups!$B$59)+(Sales[[#This Row],[DP2]]*Lookups!$B$60)+(Sales[[#This Row],[DP3]]*Lookups!$B$61)</f>
        <v>-41353.197604270004</v>
      </c>
      <c r="BS256" s="12">
        <f>Lookups!$B$56*0</f>
        <v>0</v>
      </c>
      <c r="BT256" s="12">
        <f>Lookups!$B$56*1</f>
        <v>89850.625589999996</v>
      </c>
      <c r="BU256" s="12">
        <f>Lookups!$B$57*Sales[[#This Row],[LnAcres]]</f>
        <v>-52569.808201026557</v>
      </c>
      <c r="BV256" s="12">
        <f>VLOOKUP(Sales[[#This Row],[Qlty]],Lookups!$A$62:$E$75,2,FALSE)</f>
        <v>44121.038090000002</v>
      </c>
      <c r="BW256" s="12">
        <f>VLOOKUP(Sales[[#This Row],[Cnd]],Lookups!$A$76:$E$84,2,FALSE)</f>
        <v>197752.34721000001</v>
      </c>
      <c r="BX256" s="12">
        <f>Sales[[#This Row],[EffAge]]*Lookups!$B$85</f>
        <v>-12490.553628</v>
      </c>
      <c r="BY256" s="12">
        <f>Sales[[#This Row],[MainFn]]*Lookups!$B$86</f>
        <v>66009.982955672007</v>
      </c>
      <c r="BZ256" s="12">
        <f>Sales[[#This Row],[UpprFn]]*Lookups!$B$87</f>
        <v>32156.651614197999</v>
      </c>
      <c r="CA256" s="12">
        <f>Sales[[#This Row],[AddFn]]*Lookups!$B$88</f>
        <v>0</v>
      </c>
      <c r="CB256" s="12">
        <f>Sales[[#This Row],[Bsmt]]*Lookups!$B$89</f>
        <v>15180.749318933998</v>
      </c>
      <c r="CC256" s="12">
        <f>Sales[[#This Row],[Fixtures]]*Lookups!$B$90</f>
        <v>45504.265262400004</v>
      </c>
      <c r="CD256" s="12">
        <f>Sales[[#This Row],[WdDeck]]*Lookups!$B$91</f>
        <v>0</v>
      </c>
      <c r="CE256" s="12">
        <f>SUM(Sales[[#This Row],[Days Prior Total]:[Mdl WdDeck]])</f>
        <v>384162.1006079074</v>
      </c>
      <c r="CF256" s="12">
        <f>ROUND(Sales[[#This Row],[25Det]],-2)</f>
        <v>22500</v>
      </c>
      <c r="CG256" s="12">
        <f>ROUND(SUM(Sales[[#This Row],[Mdl Qlty]:[Mdl WdDeck]])+Sales[[#This Row],[Mdl Res Intercept]]+Sales[[#This Row],[Days Prior Total]],-2)</f>
        <v>346900</v>
      </c>
      <c r="CH256" s="12">
        <f>ROUND(Sales[[#This Row],[Mdl Land Intercept]]+Sales[[#This Row],[Mdl LnAcres]],-2)</f>
        <v>37300</v>
      </c>
      <c r="CI256" s="12">
        <f>Sales[[#This Row],[Unadj Res Value]]+Sales[[#This Row],[Unadj Det Value]]+Sales[[#This Row],[Unadj Land Value]]</f>
        <v>406700</v>
      </c>
      <c r="CJ256" s="13">
        <f>Sales[[#This Row],[Unadj Total Value]]/Sales[[#This Row],[Price]]</f>
        <v>0.83</v>
      </c>
      <c r="CK256" s="13">
        <f>(Sales[[#This Row],[Unadj Total Value]]-Sales[[#This Row],[24Final]])/Sales[[#This Row],[24Final]]</f>
        <v>-2.6334689968877185E-2</v>
      </c>
      <c r="CL256">
        <f>VLOOKUP(Sales[[#This Row],[TNbhd]],Lookups!$Q$2:$T$4,4,FALSE)</f>
        <v>0.99970000000000003</v>
      </c>
      <c r="CM256">
        <f>VLOOKUP(Sales[[#This Row],[Qlty]],Lookups!$O$7:$R$21,4,FALSE)</f>
        <v>0.98050000000000004</v>
      </c>
      <c r="CN256">
        <f>VLOOKUP(Sales[[#This Row],[Cnd]],Lookups!$T$7:$W$16,4,FALSE)</f>
        <v>0.99650000000000005</v>
      </c>
      <c r="CO256">
        <f>VLOOKUP(Sales[[#This Row],[LivArea Range]],Lookups!$T$25:$W$37,4,FALSE)</f>
        <v>0.98919999999999997</v>
      </c>
      <c r="CP256">
        <f>VLOOKUP(Sales[[#This Row],[Decade]],Lookups!$O$25:$R$42,4,FALSE)</f>
        <v>1.0074000000000001</v>
      </c>
      <c r="CQ256">
        <f>Sales[[#This Row],[Nbhd Adj]]*0.95</f>
        <v>0.94971499999999998</v>
      </c>
      <c r="CR256">
        <f>Sales[[#This Row],[Nbhd Adj]]*Sales[[#This Row],[Quality Adj]]*Sales[[#This Row],[Condition Adj]]*Sales[[#This Row],[Living Area Adj]]*Sales[[#This Row],[Decade Adj]]*0.95</f>
        <v>0.9247072287054503</v>
      </c>
      <c r="CS256">
        <f>ROUND(SUM(Sales[[#This Row],[Mdl Qlty]:[Mdl WdDeck]])+Sales[[#This Row],[Mdl Res Intercept]]*Sales[[#This Row],[Res Adj ]],-2)</f>
        <v>388200</v>
      </c>
      <c r="CT256">
        <f>ROUND(Sales[[#This Row],[25Det]]*Sales[[#This Row],[Det/Nbhd Adj]],-2)</f>
        <v>21400</v>
      </c>
      <c r="CU256">
        <f>Sales[[#This Row],[Adjusted Res]]+Sales[[#This Row],[Adj Det ]]</f>
        <v>409600</v>
      </c>
      <c r="CV256">
        <f>ROUND((Sales[[#This Row],[Mdl Land Intercept]]+Sales[[#This Row],[Mdl LnAcres]])*Sales[[#This Row],[Det/Nbhd Adj]],-2)</f>
        <v>35400</v>
      </c>
      <c r="CW256">
        <f>Sales[[#This Row],[Adjusted Impr Total]]+Sales[[#This Row],[Adjusted Land Total]]</f>
        <v>445000</v>
      </c>
      <c r="CX256" s="15">
        <f>IFERROR((Sales[[#This Row],[Adjusted Impr Total]]-Sales[[#This Row],[24Bldg]])/Sales[[#This Row],[24Bldg]],0)</f>
        <v>0.13431182497923014</v>
      </c>
      <c r="CY256" s="15">
        <f>(Sales[[#This Row],[Adjusted Land Total]]-Sales[[#This Row],[24Lnd]])/Sales[[#This Row],[24Lnd]]</f>
        <v>-0.37455830388692579</v>
      </c>
      <c r="CZ256" s="15">
        <f>(Sales[[#This Row],[Adjusted Total]]-Sales[[#This Row],[24Final]])/Sales[[#This Row],[24Final]]</f>
        <v>6.5357912377304289E-2</v>
      </c>
      <c r="DA256" s="15">
        <f>(Sales[[#This Row],[Adjusted Total]]+Sales[[#This Row],[Days Prior Total]])/Sales[[#This Row],[Price]]</f>
        <v>0.8237689844810816</v>
      </c>
    </row>
    <row r="257" spans="1:105" x14ac:dyDescent="0.3">
      <c r="A257">
        <v>2025</v>
      </c>
      <c r="B257">
        <v>18132313431</v>
      </c>
      <c r="C257">
        <v>-1.2729656758128873</v>
      </c>
      <c r="D257">
        <v>0.28000000000000003</v>
      </c>
      <c r="E257">
        <v>12046</v>
      </c>
      <c r="F257">
        <v>6</v>
      </c>
      <c r="G257" t="s">
        <v>126</v>
      </c>
      <c r="H257" t="s">
        <v>299</v>
      </c>
      <c r="I257" t="s">
        <v>349</v>
      </c>
      <c r="J257" t="s">
        <v>30</v>
      </c>
      <c r="K257">
        <v>11</v>
      </c>
      <c r="L257">
        <v>259</v>
      </c>
      <c r="M257" t="s">
        <v>301</v>
      </c>
      <c r="N257" t="s">
        <v>95</v>
      </c>
      <c r="O257" t="s">
        <v>96</v>
      </c>
      <c r="P257">
        <v>100</v>
      </c>
      <c r="Q257">
        <v>1925</v>
      </c>
      <c r="R257">
        <v>1998</v>
      </c>
      <c r="S257">
        <v>99</v>
      </c>
      <c r="T257">
        <v>26</v>
      </c>
      <c r="U257">
        <v>2</v>
      </c>
      <c r="V257">
        <v>1716</v>
      </c>
      <c r="W257">
        <v>1610</v>
      </c>
      <c r="X257">
        <v>0</v>
      </c>
      <c r="Y257">
        <v>1196</v>
      </c>
      <c r="Z257">
        <v>954</v>
      </c>
      <c r="AA257">
        <v>242</v>
      </c>
      <c r="AB257">
        <v>3568</v>
      </c>
      <c r="AC257">
        <v>4000</v>
      </c>
      <c r="AD257">
        <v>1</v>
      </c>
      <c r="AF257" t="s">
        <v>383</v>
      </c>
      <c r="AG257" t="s">
        <v>148</v>
      </c>
      <c r="AH257" t="s">
        <v>450</v>
      </c>
      <c r="AI257">
        <v>0</v>
      </c>
      <c r="AJ257">
        <v>3</v>
      </c>
      <c r="AK257">
        <v>0</v>
      </c>
      <c r="AL257">
        <v>1</v>
      </c>
      <c r="AM257">
        <v>1</v>
      </c>
      <c r="AN257">
        <v>13</v>
      </c>
      <c r="AO257">
        <v>209</v>
      </c>
      <c r="AP257">
        <v>0</v>
      </c>
      <c r="AQ257">
        <v>0</v>
      </c>
      <c r="AR257">
        <v>0</v>
      </c>
      <c r="AS257">
        <v>735</v>
      </c>
      <c r="AT257">
        <v>0</v>
      </c>
      <c r="AU257">
        <v>100</v>
      </c>
      <c r="AV257">
        <v>100</v>
      </c>
      <c r="AW257">
        <v>748395</v>
      </c>
      <c r="AX257">
        <v>710975</v>
      </c>
      <c r="AY257">
        <v>1018</v>
      </c>
      <c r="AZ257">
        <v>365</v>
      </c>
      <c r="BA257">
        <v>365</v>
      </c>
      <c r="BB257">
        <v>288</v>
      </c>
      <c r="BC257" s="3">
        <v>44274</v>
      </c>
      <c r="BD257" t="s">
        <v>235</v>
      </c>
      <c r="BE257">
        <v>815000</v>
      </c>
      <c r="BF257">
        <v>788151</v>
      </c>
      <c r="BG257" t="s">
        <v>294</v>
      </c>
      <c r="BH257">
        <v>30</v>
      </c>
      <c r="BI257" t="s">
        <v>65</v>
      </c>
      <c r="BJ257" t="s">
        <v>450</v>
      </c>
      <c r="BK257">
        <v>852100</v>
      </c>
      <c r="BL257">
        <v>70000</v>
      </c>
      <c r="BM257">
        <v>782100</v>
      </c>
      <c r="BN257">
        <v>26849</v>
      </c>
      <c r="BO257">
        <v>1.045521472392638</v>
      </c>
      <c r="BP257">
        <v>652990.41748779849</v>
      </c>
      <c r="BQ257">
        <v>713064.65488918766</v>
      </c>
      <c r="BR257" s="12">
        <f>(Sales[[#This Row],[DP1]]*Lookups!$B$59)+(Sales[[#This Row],[DP2]]*Lookups!$B$60)+(Sales[[#This Row],[DP3]]*Lookups!$B$61)</f>
        <v>-60074.237410270005</v>
      </c>
      <c r="BS257" s="12">
        <f>Lookups!$B$56*0</f>
        <v>0</v>
      </c>
      <c r="BT257" s="12">
        <f>Lookups!$B$56*1</f>
        <v>89850.625589999996</v>
      </c>
      <c r="BU257" s="12">
        <f>Lookups!$B$57*Sales[[#This Row],[LnAcres]]</f>
        <v>-40295.239319339329</v>
      </c>
      <c r="BV257" s="12">
        <f>VLOOKUP(Sales[[#This Row],[Qlty]],Lookups!$A$62:$E$75,2,FALSE)</f>
        <v>74268.409664999999</v>
      </c>
      <c r="BW257" s="12">
        <f>VLOOKUP(Sales[[#This Row],[Cnd]],Lookups!$A$76:$E$84,2,FALSE)</f>
        <v>354070.39217000001</v>
      </c>
      <c r="BX257" s="12">
        <f>Sales[[#This Row],[EffAge]]*Lookups!$B$85</f>
        <v>-5799.1856130000006</v>
      </c>
      <c r="BY257" s="12">
        <f>Sales[[#This Row],[MainFn]]*Lookups!$B$86</f>
        <v>84785.277508932006</v>
      </c>
      <c r="BZ257" s="12">
        <f>Sales[[#This Row],[UpprFn]]*Lookups!$B$87</f>
        <v>72106.140806209994</v>
      </c>
      <c r="CA257" s="12">
        <f>Sales[[#This Row],[AddFn]]*Lookups!$B$88</f>
        <v>0</v>
      </c>
      <c r="CB257" s="12">
        <f>Sales[[#This Row],[Bsmt]]*Lookups!$B$89</f>
        <v>34781.946715411999</v>
      </c>
      <c r="CC257" s="12">
        <f>Sales[[#This Row],[Fixtures]]*Lookups!$B$90</f>
        <v>49296.287367600002</v>
      </c>
      <c r="CD257" s="12">
        <f>Sales[[#This Row],[WdDeck]]*Lookups!$B$91</f>
        <v>0</v>
      </c>
      <c r="CE257" s="12">
        <f>SUM(Sales[[#This Row],[Days Prior Total]:[Mdl WdDeck]])</f>
        <v>652990.41748054465</v>
      </c>
      <c r="CF257" s="12">
        <f>ROUND(Sales[[#This Row],[25Det]],-2)</f>
        <v>26800</v>
      </c>
      <c r="CG257" s="12">
        <f>ROUND(SUM(Sales[[#This Row],[Mdl Qlty]:[Mdl WdDeck]])+Sales[[#This Row],[Mdl Res Intercept]]+Sales[[#This Row],[Days Prior Total]],-2)</f>
        <v>603400</v>
      </c>
      <c r="CH257" s="12">
        <f>ROUND(Sales[[#This Row],[Mdl Land Intercept]]+Sales[[#This Row],[Mdl LnAcres]],-2)</f>
        <v>49600</v>
      </c>
      <c r="CI257" s="12">
        <f>Sales[[#This Row],[Unadj Res Value]]+Sales[[#This Row],[Unadj Det Value]]+Sales[[#This Row],[Unadj Land Value]]</f>
        <v>679800</v>
      </c>
      <c r="CJ257" s="13">
        <f>Sales[[#This Row],[Unadj Total Value]]/Sales[[#This Row],[Price]]</f>
        <v>0.83411042944785274</v>
      </c>
      <c r="CK257" s="13">
        <f>(Sales[[#This Row],[Unadj Total Value]]-Sales[[#This Row],[24Final]])/Sales[[#This Row],[24Final]]</f>
        <v>-0.20220631381293275</v>
      </c>
      <c r="CL257">
        <f>VLOOKUP(Sales[[#This Row],[TNbhd]],Lookups!$Q$2:$T$4,4,FALSE)</f>
        <v>0.99970000000000003</v>
      </c>
      <c r="CM257">
        <f>VLOOKUP(Sales[[#This Row],[Qlty]],Lookups!$O$7:$R$21,4,FALSE)</f>
        <v>0.98380000000000001</v>
      </c>
      <c r="CN257">
        <f>VLOOKUP(Sales[[#This Row],[Cnd]],Lookups!$T$7:$W$16,4,FALSE)</f>
        <v>1.1303000000000001</v>
      </c>
      <c r="CO257">
        <f>VLOOKUP(Sales[[#This Row],[LivArea Range]],Lookups!$T$25:$W$37,4,FALSE)</f>
        <v>0.94579999999999997</v>
      </c>
      <c r="CP257">
        <f>VLOOKUP(Sales[[#This Row],[Decade]],Lookups!$O$25:$R$42,4,FALSE)</f>
        <v>1.0074000000000001</v>
      </c>
      <c r="CQ257">
        <f>Sales[[#This Row],[Nbhd Adj]]*0.95</f>
        <v>0.94971499999999998</v>
      </c>
      <c r="CR257">
        <f>Sales[[#This Row],[Nbhd Adj]]*Sales[[#This Row],[Quality Adj]]*Sales[[#This Row],[Condition Adj]]*Sales[[#This Row],[Living Area Adj]]*Sales[[#This Row],[Decade Adj]]*0.95</f>
        <v>1.0062249909768242</v>
      </c>
      <c r="CS257">
        <f>ROUND(SUM(Sales[[#This Row],[Mdl Qlty]:[Mdl WdDeck]])+Sales[[#This Row],[Mdl Res Intercept]]*Sales[[#This Row],[Res Adj ]],-2)</f>
        <v>663500</v>
      </c>
      <c r="CT257">
        <f>ROUND(Sales[[#This Row],[25Det]]*Sales[[#This Row],[Det/Nbhd Adj]],-2)</f>
        <v>25500</v>
      </c>
      <c r="CU257">
        <f>Sales[[#This Row],[Adjusted Res]]+Sales[[#This Row],[Adj Det ]]</f>
        <v>689000</v>
      </c>
      <c r="CV257">
        <f>ROUND((Sales[[#This Row],[Mdl Land Intercept]]+Sales[[#This Row],[Mdl LnAcres]])*Sales[[#This Row],[Det/Nbhd Adj]],-2)</f>
        <v>47100</v>
      </c>
      <c r="CW257">
        <f>Sales[[#This Row],[Adjusted Impr Total]]+Sales[[#This Row],[Adjusted Land Total]]</f>
        <v>736100</v>
      </c>
      <c r="CX257" s="15">
        <f>IFERROR((Sales[[#This Row],[Adjusted Impr Total]]-Sales[[#This Row],[24Bldg]])/Sales[[#This Row],[24Bldg]],0)</f>
        <v>-0.11903848612709372</v>
      </c>
      <c r="CY257" s="15">
        <f>(Sales[[#This Row],[Adjusted Land Total]]-Sales[[#This Row],[24Lnd]])/Sales[[#This Row],[24Lnd]]</f>
        <v>-0.32714285714285712</v>
      </c>
      <c r="CZ257" s="15">
        <f>(Sales[[#This Row],[Adjusted Total]]-Sales[[#This Row],[24Final]])/Sales[[#This Row],[24Final]]</f>
        <v>-0.13613425654265932</v>
      </c>
      <c r="DA257" s="15">
        <f>(Sales[[#This Row],[Adjusted Total]]+Sales[[#This Row],[Days Prior Total]])/Sales[[#This Row],[Price]]</f>
        <v>0.82947946330028222</v>
      </c>
    </row>
    <row r="258" spans="1:105" x14ac:dyDescent="0.3">
      <c r="A258">
        <v>2025</v>
      </c>
      <c r="B258">
        <v>18132332465</v>
      </c>
      <c r="C258">
        <v>-1.8971199848858813</v>
      </c>
      <c r="D258">
        <v>0.15</v>
      </c>
      <c r="E258">
        <v>0</v>
      </c>
      <c r="F258">
        <v>6</v>
      </c>
      <c r="G258" t="s">
        <v>126</v>
      </c>
      <c r="H258">
        <v>3032</v>
      </c>
      <c r="I258" t="s">
        <v>349</v>
      </c>
      <c r="J258" t="s">
        <v>30</v>
      </c>
      <c r="K258">
        <v>11</v>
      </c>
      <c r="L258">
        <v>259</v>
      </c>
      <c r="M258" t="s">
        <v>269</v>
      </c>
      <c r="N258" t="s">
        <v>351</v>
      </c>
      <c r="O258" t="s">
        <v>303</v>
      </c>
      <c r="P258">
        <v>100</v>
      </c>
      <c r="Q258">
        <v>1925</v>
      </c>
      <c r="R258">
        <v>1968</v>
      </c>
      <c r="S258">
        <v>99</v>
      </c>
      <c r="T258">
        <v>56</v>
      </c>
      <c r="U258">
        <v>1</v>
      </c>
      <c r="V258">
        <v>936</v>
      </c>
      <c r="W258">
        <v>0</v>
      </c>
      <c r="X258">
        <v>0</v>
      </c>
      <c r="Y258">
        <v>936</v>
      </c>
      <c r="Z258">
        <v>233</v>
      </c>
      <c r="AA258">
        <v>703</v>
      </c>
      <c r="AB258">
        <v>1639</v>
      </c>
      <c r="AC258">
        <v>2000</v>
      </c>
      <c r="AD258">
        <v>0</v>
      </c>
      <c r="AE258" t="s">
        <v>174</v>
      </c>
      <c r="AF258" t="s">
        <v>383</v>
      </c>
      <c r="AG258" t="s">
        <v>148</v>
      </c>
      <c r="AH258" t="s">
        <v>450</v>
      </c>
      <c r="AI258">
        <v>0</v>
      </c>
      <c r="AJ258">
        <v>1</v>
      </c>
      <c r="AK258">
        <v>0</v>
      </c>
      <c r="AL258">
        <v>1</v>
      </c>
      <c r="AM258">
        <v>0</v>
      </c>
      <c r="AN258">
        <v>8</v>
      </c>
      <c r="AO258">
        <v>0</v>
      </c>
      <c r="AP258">
        <v>0</v>
      </c>
      <c r="AQ258">
        <v>0</v>
      </c>
      <c r="AR258">
        <v>0</v>
      </c>
      <c r="AS258">
        <v>452</v>
      </c>
      <c r="AT258">
        <v>0</v>
      </c>
      <c r="AU258">
        <v>100</v>
      </c>
      <c r="AV258">
        <v>100</v>
      </c>
      <c r="AW258">
        <v>223503</v>
      </c>
      <c r="AX258">
        <v>165392</v>
      </c>
      <c r="AY258">
        <v>986</v>
      </c>
      <c r="AZ258">
        <v>365</v>
      </c>
      <c r="BA258">
        <v>365</v>
      </c>
      <c r="BB258">
        <v>256</v>
      </c>
      <c r="BC258" s="3">
        <v>44306</v>
      </c>
      <c r="BD258" t="s">
        <v>458</v>
      </c>
      <c r="BE258">
        <v>342000</v>
      </c>
      <c r="BF258">
        <v>336776</v>
      </c>
      <c r="BG258" t="s">
        <v>294</v>
      </c>
      <c r="BH258">
        <v>30</v>
      </c>
      <c r="BI258" t="s">
        <v>65</v>
      </c>
      <c r="BJ258" t="s">
        <v>450</v>
      </c>
      <c r="BK258">
        <v>327300</v>
      </c>
      <c r="BL258">
        <v>48400</v>
      </c>
      <c r="BM258">
        <v>278900</v>
      </c>
      <c r="BN258">
        <v>5224</v>
      </c>
      <c r="BO258">
        <v>0.9570175438596491</v>
      </c>
      <c r="BP258">
        <v>284625.34730142221</v>
      </c>
      <c r="BQ258">
        <v>340420.48989081645</v>
      </c>
      <c r="BR258" s="12">
        <f>(Sales[[#This Row],[DP1]]*Lookups!$B$59)+(Sales[[#This Row],[DP2]]*Lookups!$B$60)+(Sales[[#This Row],[DP3]]*Lookups!$B$61)</f>
        <v>-55795.142597470003</v>
      </c>
      <c r="BS258" s="12">
        <f>Lookups!$B$56*0</f>
        <v>0</v>
      </c>
      <c r="BT258" s="12">
        <f>Lookups!$B$56*1</f>
        <v>89850.625589999996</v>
      </c>
      <c r="BU258" s="12">
        <f>Lookups!$B$57*Sales[[#This Row],[LnAcres]]</f>
        <v>-60052.604136134301</v>
      </c>
      <c r="BV258" s="12">
        <f>VLOOKUP(Sales[[#This Row],[Qlty]],Lookups!$A$62:$E$75,2,FALSE)</f>
        <v>21557.329055999999</v>
      </c>
      <c r="BW258" s="12">
        <f>VLOOKUP(Sales[[#This Row],[Cnd]],Lookups!$A$76:$E$84,2,FALSE)</f>
        <v>197752.34721000001</v>
      </c>
      <c r="BX258" s="12">
        <f>Sales[[#This Row],[EffAge]]*Lookups!$B$85</f>
        <v>-12490.553628</v>
      </c>
      <c r="BY258" s="12">
        <f>Sales[[#This Row],[MainFn]]*Lookups!$B$86</f>
        <v>46246.515004872002</v>
      </c>
      <c r="BZ258" s="12">
        <f>Sales[[#This Row],[UpprFn]]*Lookups!$B$87</f>
        <v>0</v>
      </c>
      <c r="CA258" s="12">
        <f>Sales[[#This Row],[AddFn]]*Lookups!$B$88</f>
        <v>0</v>
      </c>
      <c r="CB258" s="12">
        <f>Sales[[#This Row],[Bsmt]]*Lookups!$B$89</f>
        <v>27220.653951191998</v>
      </c>
      <c r="CC258" s="12">
        <f>Sales[[#This Row],[Fixtures]]*Lookups!$B$90</f>
        <v>30336.176841600001</v>
      </c>
      <c r="CD258" s="12">
        <f>Sales[[#This Row],[WdDeck]]*Lookups!$B$91</f>
        <v>0</v>
      </c>
      <c r="CE258" s="12">
        <f>SUM(Sales[[#This Row],[Days Prior Total]:[Mdl WdDeck]])</f>
        <v>284625.34729205968</v>
      </c>
      <c r="CF258" s="12">
        <f>ROUND(Sales[[#This Row],[25Det]],-2)</f>
        <v>5200</v>
      </c>
      <c r="CG258" s="12">
        <f>ROUND(SUM(Sales[[#This Row],[Mdl Qlty]:[Mdl WdDeck]])+Sales[[#This Row],[Mdl Res Intercept]]+Sales[[#This Row],[Days Prior Total]],-2)</f>
        <v>254800</v>
      </c>
      <c r="CH258" s="12">
        <f>ROUND(Sales[[#This Row],[Mdl Land Intercept]]+Sales[[#This Row],[Mdl LnAcres]],-2)</f>
        <v>29800</v>
      </c>
      <c r="CI258" s="12">
        <f>Sales[[#This Row],[Unadj Res Value]]+Sales[[#This Row],[Unadj Det Value]]+Sales[[#This Row],[Unadj Land Value]]</f>
        <v>289800</v>
      </c>
      <c r="CJ258" s="13">
        <f>Sales[[#This Row],[Unadj Total Value]]/Sales[[#This Row],[Price]]</f>
        <v>0.84736842105263155</v>
      </c>
      <c r="CK258" s="13">
        <f>(Sales[[#This Row],[Unadj Total Value]]-Sales[[#This Row],[24Final]])/Sales[[#This Row],[24Final]]</f>
        <v>-0.11457378551787351</v>
      </c>
      <c r="CL258">
        <f>VLOOKUP(Sales[[#This Row],[TNbhd]],Lookups!$Q$2:$T$4,4,FALSE)</f>
        <v>0.99970000000000003</v>
      </c>
      <c r="CM258">
        <f>VLOOKUP(Sales[[#This Row],[Qlty]],Lookups!$O$7:$R$21,4,FALSE)</f>
        <v>1.0067999999999999</v>
      </c>
      <c r="CN258">
        <f>VLOOKUP(Sales[[#This Row],[Cnd]],Lookups!$T$7:$W$16,4,FALSE)</f>
        <v>0.99650000000000005</v>
      </c>
      <c r="CO258">
        <f>VLOOKUP(Sales[[#This Row],[LivArea Range]],Lookups!$T$25:$W$37,4,FALSE)</f>
        <v>1.0093000000000001</v>
      </c>
      <c r="CP258">
        <f>VLOOKUP(Sales[[#This Row],[Decade]],Lookups!$O$25:$R$42,4,FALSE)</f>
        <v>1.0074000000000001</v>
      </c>
      <c r="CQ258">
        <f>Sales[[#This Row],[Nbhd Adj]]*0.95</f>
        <v>0.94971499999999998</v>
      </c>
      <c r="CR258">
        <f>Sales[[#This Row],[Nbhd Adj]]*Sales[[#This Row],[Quality Adj]]*Sales[[#This Row],[Condition Adj]]*Sales[[#This Row],[Living Area Adj]]*Sales[[#This Row],[Decade Adj]]*0.95</f>
        <v>0.96880423161964746</v>
      </c>
      <c r="CS258">
        <f>ROUND(SUM(Sales[[#This Row],[Mdl Qlty]:[Mdl WdDeck]])+Sales[[#This Row],[Mdl Res Intercept]]*Sales[[#This Row],[Res Adj ]],-2)</f>
        <v>310600</v>
      </c>
      <c r="CT258">
        <f>ROUND(Sales[[#This Row],[25Det]]*Sales[[#This Row],[Det/Nbhd Adj]],-2)</f>
        <v>5000</v>
      </c>
      <c r="CU258">
        <f>Sales[[#This Row],[Adjusted Res]]+Sales[[#This Row],[Adj Det ]]</f>
        <v>315600</v>
      </c>
      <c r="CV258">
        <f>ROUND((Sales[[#This Row],[Mdl Land Intercept]]+Sales[[#This Row],[Mdl LnAcres]])*Sales[[#This Row],[Det/Nbhd Adj]],-2)</f>
        <v>28300</v>
      </c>
      <c r="CW258">
        <f>Sales[[#This Row],[Adjusted Impr Total]]+Sales[[#This Row],[Adjusted Land Total]]</f>
        <v>343900</v>
      </c>
      <c r="CX258" s="15">
        <f>IFERROR((Sales[[#This Row],[Adjusted Impr Total]]-Sales[[#This Row],[24Bldg]])/Sales[[#This Row],[24Bldg]],0)</f>
        <v>0.13158838293295089</v>
      </c>
      <c r="CY258" s="15">
        <f>(Sales[[#This Row],[Adjusted Land Total]]-Sales[[#This Row],[24Lnd]])/Sales[[#This Row],[24Lnd]]</f>
        <v>-0.41528925619834711</v>
      </c>
      <c r="CZ258" s="15">
        <f>(Sales[[#This Row],[Adjusted Total]]-Sales[[#This Row],[24Final]])/Sales[[#This Row],[24Final]]</f>
        <v>5.0717995722578672E-2</v>
      </c>
      <c r="DA258" s="15">
        <f>(Sales[[#This Row],[Adjusted Total]]+Sales[[#This Row],[Days Prior Total]])/Sales[[#This Row],[Price]]</f>
        <v>0.8424118637500877</v>
      </c>
    </row>
    <row r="259" spans="1:105" x14ac:dyDescent="0.3">
      <c r="A259">
        <v>2025</v>
      </c>
      <c r="B259">
        <v>18132332433</v>
      </c>
      <c r="C259">
        <v>-2.0402208285265546</v>
      </c>
      <c r="D259">
        <v>0.13</v>
      </c>
      <c r="E259">
        <v>0</v>
      </c>
      <c r="F259">
        <v>6</v>
      </c>
      <c r="G259" t="s">
        <v>126</v>
      </c>
      <c r="H259">
        <v>3032</v>
      </c>
      <c r="I259" t="s">
        <v>349</v>
      </c>
      <c r="J259" t="s">
        <v>30</v>
      </c>
      <c r="K259">
        <v>11</v>
      </c>
      <c r="L259">
        <v>259</v>
      </c>
      <c r="M259" t="s">
        <v>269</v>
      </c>
      <c r="N259" t="s">
        <v>351</v>
      </c>
      <c r="O259" t="s">
        <v>323</v>
      </c>
      <c r="P259">
        <v>100</v>
      </c>
      <c r="Q259">
        <v>1925</v>
      </c>
      <c r="R259">
        <v>1968</v>
      </c>
      <c r="S259">
        <v>99</v>
      </c>
      <c r="T259">
        <v>56</v>
      </c>
      <c r="U259">
        <v>1</v>
      </c>
      <c r="V259">
        <v>1242</v>
      </c>
      <c r="W259">
        <v>0</v>
      </c>
      <c r="X259">
        <v>0</v>
      </c>
      <c r="Y259">
        <v>745</v>
      </c>
      <c r="Z259">
        <v>0</v>
      </c>
      <c r="AA259">
        <v>745</v>
      </c>
      <c r="AB259">
        <v>1987</v>
      </c>
      <c r="AC259">
        <v>2000</v>
      </c>
      <c r="AD259">
        <v>0</v>
      </c>
      <c r="AF259" t="s">
        <v>383</v>
      </c>
      <c r="AG259" t="s">
        <v>148</v>
      </c>
      <c r="AH259" t="s">
        <v>450</v>
      </c>
      <c r="AI259">
        <v>0</v>
      </c>
      <c r="AJ259">
        <v>1</v>
      </c>
      <c r="AK259">
        <v>0</v>
      </c>
      <c r="AL259">
        <v>1</v>
      </c>
      <c r="AM259">
        <v>0</v>
      </c>
      <c r="AN259">
        <v>9</v>
      </c>
      <c r="AO259">
        <v>0</v>
      </c>
      <c r="AP259">
        <v>0</v>
      </c>
      <c r="AQ259">
        <v>0</v>
      </c>
      <c r="AR259">
        <v>0</v>
      </c>
      <c r="AS259">
        <v>54</v>
      </c>
      <c r="AT259">
        <v>54</v>
      </c>
      <c r="AU259">
        <v>100</v>
      </c>
      <c r="AV259">
        <v>100</v>
      </c>
      <c r="AW259">
        <v>249570</v>
      </c>
      <c r="AX259">
        <v>162221</v>
      </c>
      <c r="AY259">
        <v>690</v>
      </c>
      <c r="AZ259">
        <v>365</v>
      </c>
      <c r="BA259">
        <v>325</v>
      </c>
      <c r="BB259">
        <v>0</v>
      </c>
      <c r="BC259" s="3">
        <v>44602</v>
      </c>
      <c r="BD259" t="s">
        <v>154</v>
      </c>
      <c r="BE259">
        <v>324000</v>
      </c>
      <c r="BF259">
        <v>316451</v>
      </c>
      <c r="BG259" t="s">
        <v>294</v>
      </c>
      <c r="BH259">
        <v>30</v>
      </c>
      <c r="BI259" t="s">
        <v>65</v>
      </c>
      <c r="BJ259" t="s">
        <v>450</v>
      </c>
      <c r="BK259">
        <v>312200</v>
      </c>
      <c r="BL259">
        <v>43400</v>
      </c>
      <c r="BM259">
        <v>268800</v>
      </c>
      <c r="BN259">
        <v>7549</v>
      </c>
      <c r="BO259">
        <v>0.96358024691358024</v>
      </c>
      <c r="BP259">
        <v>289945.26578672783</v>
      </c>
      <c r="BQ259">
        <v>311966.97674625309</v>
      </c>
      <c r="BR259" s="12">
        <f>(Sales[[#This Row],[DP1]]*Lookups!$B$59)+(Sales[[#This Row],[DP2]]*Lookups!$B$60)+(Sales[[#This Row],[DP3]]*Lookups!$B$61)</f>
        <v>-22021.710961150002</v>
      </c>
      <c r="BS259" s="12">
        <f>Lookups!$B$56*0</f>
        <v>0</v>
      </c>
      <c r="BT259" s="12">
        <f>Lookups!$B$56*1</f>
        <v>89850.625589999996</v>
      </c>
      <c r="BU259" s="12">
        <f>Lookups!$B$57*Sales[[#This Row],[LnAcres]]</f>
        <v>-64582.406353792743</v>
      </c>
      <c r="BV259" s="12">
        <f>VLOOKUP(Sales[[#This Row],[Qlty]],Lookups!$A$62:$E$75,2,FALSE)</f>
        <v>21557.329055999999</v>
      </c>
      <c r="BW259" s="12">
        <f>VLOOKUP(Sales[[#This Row],[Cnd]],Lookups!$A$76:$E$84,2,FALSE)</f>
        <v>160472.20319</v>
      </c>
      <c r="BX259" s="12">
        <f>Sales[[#This Row],[EffAge]]*Lookups!$B$85</f>
        <v>-12490.553628</v>
      </c>
      <c r="BY259" s="12">
        <f>Sales[[#This Row],[MainFn]]*Lookups!$B$86</f>
        <v>61365.567987234004</v>
      </c>
      <c r="BZ259" s="12">
        <f>Sales[[#This Row],[UpprFn]]*Lookups!$B$87</f>
        <v>0</v>
      </c>
      <c r="CA259" s="12">
        <f>Sales[[#This Row],[AddFn]]*Lookups!$B$88</f>
        <v>0</v>
      </c>
      <c r="CB259" s="12">
        <f>Sales[[#This Row],[Bsmt]]*Lookups!$B$89</f>
        <v>21666.011959014999</v>
      </c>
      <c r="CC259" s="12">
        <f>Sales[[#This Row],[Fixtures]]*Lookups!$B$90</f>
        <v>34128.198946800003</v>
      </c>
      <c r="CD259" s="12">
        <f>Sales[[#This Row],[WdDeck]]*Lookups!$B$91</f>
        <v>0</v>
      </c>
      <c r="CE259" s="12">
        <f>SUM(Sales[[#This Row],[Days Prior Total]:[Mdl WdDeck]])</f>
        <v>289945.26578610629</v>
      </c>
      <c r="CF259" s="12">
        <f>ROUND(Sales[[#This Row],[25Det]],-2)</f>
        <v>7500</v>
      </c>
      <c r="CG259" s="12">
        <f>ROUND(SUM(Sales[[#This Row],[Mdl Qlty]:[Mdl WdDeck]])+Sales[[#This Row],[Mdl Res Intercept]]+Sales[[#This Row],[Days Prior Total]],-2)</f>
        <v>264700</v>
      </c>
      <c r="CH259" s="12">
        <f>ROUND(Sales[[#This Row],[Mdl Land Intercept]]+Sales[[#This Row],[Mdl LnAcres]],-2)</f>
        <v>25300</v>
      </c>
      <c r="CI259" s="12">
        <f>Sales[[#This Row],[Unadj Res Value]]+Sales[[#This Row],[Unadj Det Value]]+Sales[[#This Row],[Unadj Land Value]]</f>
        <v>297500</v>
      </c>
      <c r="CJ259" s="13">
        <f>Sales[[#This Row],[Unadj Total Value]]/Sales[[#This Row],[Price]]</f>
        <v>0.91820987654320985</v>
      </c>
      <c r="CK259" s="13">
        <f>(Sales[[#This Row],[Unadj Total Value]]-Sales[[#This Row],[24Final]])/Sales[[#This Row],[24Final]]</f>
        <v>-4.708520179372197E-2</v>
      </c>
      <c r="CL259">
        <f>VLOOKUP(Sales[[#This Row],[TNbhd]],Lookups!$Q$2:$T$4,4,FALSE)</f>
        <v>0.99970000000000003</v>
      </c>
      <c r="CM259">
        <f>VLOOKUP(Sales[[#This Row],[Qlty]],Lookups!$O$7:$R$21,4,FALSE)</f>
        <v>1.0067999999999999</v>
      </c>
      <c r="CN259">
        <f>VLOOKUP(Sales[[#This Row],[Cnd]],Lookups!$T$7:$W$16,4,FALSE)</f>
        <v>0.99729999999999996</v>
      </c>
      <c r="CO259">
        <f>VLOOKUP(Sales[[#This Row],[LivArea Range]],Lookups!$T$25:$W$37,4,FALSE)</f>
        <v>1.0093000000000001</v>
      </c>
      <c r="CP259">
        <f>VLOOKUP(Sales[[#This Row],[Decade]],Lookups!$O$25:$R$42,4,FALSE)</f>
        <v>1.0074000000000001</v>
      </c>
      <c r="CQ259">
        <f>Sales[[#This Row],[Nbhd Adj]]*0.95</f>
        <v>0.94971499999999998</v>
      </c>
      <c r="CR259">
        <f>Sales[[#This Row],[Nbhd Adj]]*Sales[[#This Row],[Quality Adj]]*Sales[[#This Row],[Condition Adj]]*Sales[[#This Row],[Living Area Adj]]*Sales[[#This Row],[Decade Adj]]*0.95</f>
        <v>0.96958199718441984</v>
      </c>
      <c r="CS259">
        <f>ROUND(SUM(Sales[[#This Row],[Mdl Qlty]:[Mdl WdDeck]])+Sales[[#This Row],[Mdl Res Intercept]]*Sales[[#This Row],[Res Adj ]],-2)</f>
        <v>286700</v>
      </c>
      <c r="CT259">
        <f>ROUND(Sales[[#This Row],[25Det]]*Sales[[#This Row],[Det/Nbhd Adj]],-2)</f>
        <v>7200</v>
      </c>
      <c r="CU259">
        <f>Sales[[#This Row],[Adjusted Res]]+Sales[[#This Row],[Adj Det ]]</f>
        <v>293900</v>
      </c>
      <c r="CV259">
        <f>ROUND((Sales[[#This Row],[Mdl Land Intercept]]+Sales[[#This Row],[Mdl LnAcres]])*Sales[[#This Row],[Det/Nbhd Adj]],-2)</f>
        <v>24000</v>
      </c>
      <c r="CW259">
        <f>Sales[[#This Row],[Adjusted Impr Total]]+Sales[[#This Row],[Adjusted Land Total]]</f>
        <v>317900</v>
      </c>
      <c r="CX259" s="15">
        <f>IFERROR((Sales[[#This Row],[Adjusted Impr Total]]-Sales[[#This Row],[24Bldg]])/Sales[[#This Row],[24Bldg]],0)</f>
        <v>9.3377976190476192E-2</v>
      </c>
      <c r="CY259" s="15">
        <f>(Sales[[#This Row],[Adjusted Land Total]]-Sales[[#This Row],[24Lnd]])/Sales[[#This Row],[24Lnd]]</f>
        <v>-0.44700460829493088</v>
      </c>
      <c r="CZ259" s="15">
        <f>(Sales[[#This Row],[Adjusted Total]]-Sales[[#This Row],[24Final]])/Sales[[#This Row],[24Final]]</f>
        <v>1.8257527226137091E-2</v>
      </c>
      <c r="DA259" s="15">
        <f>(Sales[[#This Row],[Adjusted Total]]+Sales[[#This Row],[Days Prior Total]])/Sales[[#This Row],[Price]]</f>
        <v>0.91320459579891977</v>
      </c>
    </row>
    <row r="260" spans="1:105" x14ac:dyDescent="0.3">
      <c r="A260">
        <v>2025</v>
      </c>
      <c r="B260">
        <v>18132313521</v>
      </c>
      <c r="C260">
        <v>-1.5606477482646683</v>
      </c>
      <c r="D260">
        <v>0.21</v>
      </c>
      <c r="E260">
        <v>9135</v>
      </c>
      <c r="F260">
        <v>6</v>
      </c>
      <c r="G260" t="s">
        <v>126</v>
      </c>
      <c r="H260">
        <v>3033</v>
      </c>
      <c r="I260" t="s">
        <v>349</v>
      </c>
      <c r="J260" t="s">
        <v>30</v>
      </c>
      <c r="K260">
        <v>11</v>
      </c>
      <c r="L260">
        <v>259</v>
      </c>
      <c r="M260" t="s">
        <v>269</v>
      </c>
      <c r="N260" t="s">
        <v>351</v>
      </c>
      <c r="O260" t="s">
        <v>303</v>
      </c>
      <c r="P260">
        <v>100</v>
      </c>
      <c r="Q260">
        <v>1925</v>
      </c>
      <c r="R260">
        <v>1968</v>
      </c>
      <c r="S260">
        <v>99</v>
      </c>
      <c r="T260">
        <v>56</v>
      </c>
      <c r="U260">
        <v>1</v>
      </c>
      <c r="V260">
        <v>1314</v>
      </c>
      <c r="W260">
        <v>0</v>
      </c>
      <c r="X260">
        <v>0</v>
      </c>
      <c r="Y260">
        <v>390</v>
      </c>
      <c r="Z260">
        <v>0</v>
      </c>
      <c r="AA260">
        <v>390</v>
      </c>
      <c r="AB260">
        <v>1704</v>
      </c>
      <c r="AC260">
        <v>2000</v>
      </c>
      <c r="AD260">
        <v>0</v>
      </c>
      <c r="AF260" t="s">
        <v>383</v>
      </c>
      <c r="AG260" t="s">
        <v>148</v>
      </c>
      <c r="AH260" t="s">
        <v>450</v>
      </c>
      <c r="AI260">
        <v>0</v>
      </c>
      <c r="AJ260">
        <v>1</v>
      </c>
      <c r="AK260">
        <v>0</v>
      </c>
      <c r="AL260">
        <v>0</v>
      </c>
      <c r="AM260">
        <v>1</v>
      </c>
      <c r="AN260">
        <v>12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100</v>
      </c>
      <c r="AV260">
        <v>100</v>
      </c>
      <c r="AW260">
        <v>246716</v>
      </c>
      <c r="AX260">
        <v>182570</v>
      </c>
      <c r="AY260">
        <v>518</v>
      </c>
      <c r="AZ260">
        <v>365</v>
      </c>
      <c r="BA260">
        <v>153</v>
      </c>
      <c r="BB260">
        <v>0</v>
      </c>
      <c r="BC260" s="3">
        <v>44774</v>
      </c>
      <c r="BD260" t="s">
        <v>460</v>
      </c>
      <c r="BE260">
        <v>385000</v>
      </c>
      <c r="BF260">
        <v>372700</v>
      </c>
      <c r="BG260" t="s">
        <v>294</v>
      </c>
      <c r="BH260">
        <v>30</v>
      </c>
      <c r="BI260" t="s">
        <v>65</v>
      </c>
      <c r="BJ260" t="s">
        <v>450</v>
      </c>
      <c r="BK260">
        <v>357100</v>
      </c>
      <c r="BL260">
        <v>60100</v>
      </c>
      <c r="BM260">
        <v>297000</v>
      </c>
      <c r="BN260">
        <v>12300</v>
      </c>
      <c r="BO260">
        <v>0.92753246753246754</v>
      </c>
      <c r="BP260">
        <v>345040.42359406804</v>
      </c>
      <c r="BQ260">
        <v>369037.24007778132</v>
      </c>
      <c r="BR260" s="12">
        <f>(Sales[[#This Row],[DP1]]*Lookups!$B$59)+(Sales[[#This Row],[DP2]]*Lookups!$B$60)+(Sales[[#This Row],[DP3]]*Lookups!$B$61)</f>
        <v>-23996.816485294003</v>
      </c>
      <c r="BS260" s="12">
        <f>Lookups!$B$56*0</f>
        <v>0</v>
      </c>
      <c r="BT260" s="12">
        <f>Lookups!$B$56*1</f>
        <v>89850.625589999996</v>
      </c>
      <c r="BU260" s="12">
        <f>Lookups!$B$57*Sales[[#This Row],[LnAcres]]</f>
        <v>-49401.70477837498</v>
      </c>
      <c r="BV260" s="12">
        <f>VLOOKUP(Sales[[#This Row],[Qlty]],Lookups!$A$62:$E$75,2,FALSE)</f>
        <v>21557.329055999999</v>
      </c>
      <c r="BW260" s="12">
        <f>VLOOKUP(Sales[[#This Row],[Cnd]],Lookups!$A$76:$E$84,2,FALSE)</f>
        <v>197752.34721000001</v>
      </c>
      <c r="BX260" s="12">
        <f>Sales[[#This Row],[EffAge]]*Lookups!$B$85</f>
        <v>-12490.553628</v>
      </c>
      <c r="BY260" s="12">
        <f>Sales[[#This Row],[MainFn]]*Lookups!$B$86</f>
        <v>64922.992218378</v>
      </c>
      <c r="BZ260" s="12">
        <f>Sales[[#This Row],[UpprFn]]*Lookups!$B$87</f>
        <v>0</v>
      </c>
      <c r="CA260" s="12">
        <f>Sales[[#This Row],[AddFn]]*Lookups!$B$88</f>
        <v>0</v>
      </c>
      <c r="CB260" s="12">
        <f>Sales[[#This Row],[Bsmt]]*Lookups!$B$89</f>
        <v>11341.93914633</v>
      </c>
      <c r="CC260" s="12">
        <f>Sales[[#This Row],[Fixtures]]*Lookups!$B$90</f>
        <v>45504.265262400004</v>
      </c>
      <c r="CD260" s="12">
        <f>Sales[[#This Row],[WdDeck]]*Lookups!$B$91</f>
        <v>0</v>
      </c>
      <c r="CE260" s="12">
        <f>SUM(Sales[[#This Row],[Days Prior Total]:[Mdl WdDeck]])</f>
        <v>345040.42359143903</v>
      </c>
      <c r="CF260" s="12">
        <f>ROUND(Sales[[#This Row],[25Det]],-2)</f>
        <v>12300</v>
      </c>
      <c r="CG260" s="12">
        <f>ROUND(SUM(Sales[[#This Row],[Mdl Qlty]:[Mdl WdDeck]])+Sales[[#This Row],[Mdl Res Intercept]]+Sales[[#This Row],[Days Prior Total]],-2)</f>
        <v>304600</v>
      </c>
      <c r="CH260" s="12">
        <f>ROUND(Sales[[#This Row],[Mdl Land Intercept]]+Sales[[#This Row],[Mdl LnAcres]],-2)</f>
        <v>40400</v>
      </c>
      <c r="CI260" s="12">
        <f>Sales[[#This Row],[Unadj Res Value]]+Sales[[#This Row],[Unadj Det Value]]+Sales[[#This Row],[Unadj Land Value]]</f>
        <v>357300</v>
      </c>
      <c r="CJ260" s="13">
        <f>Sales[[#This Row],[Unadj Total Value]]/Sales[[#This Row],[Price]]</f>
        <v>0.92805194805194802</v>
      </c>
      <c r="CK260" s="13">
        <f>(Sales[[#This Row],[Unadj Total Value]]-Sales[[#This Row],[24Final]])/Sales[[#This Row],[24Final]]</f>
        <v>5.6006720806496785E-4</v>
      </c>
      <c r="CL260">
        <f>VLOOKUP(Sales[[#This Row],[TNbhd]],Lookups!$Q$2:$T$4,4,FALSE)</f>
        <v>0.99970000000000003</v>
      </c>
      <c r="CM260">
        <f>VLOOKUP(Sales[[#This Row],[Qlty]],Lookups!$O$7:$R$21,4,FALSE)</f>
        <v>1.0067999999999999</v>
      </c>
      <c r="CN260">
        <f>VLOOKUP(Sales[[#This Row],[Cnd]],Lookups!$T$7:$W$16,4,FALSE)</f>
        <v>0.99650000000000005</v>
      </c>
      <c r="CO260">
        <f>VLOOKUP(Sales[[#This Row],[LivArea Range]],Lookups!$T$25:$W$37,4,FALSE)</f>
        <v>1.0093000000000001</v>
      </c>
      <c r="CP260">
        <f>VLOOKUP(Sales[[#This Row],[Decade]],Lookups!$O$25:$R$42,4,FALSE)</f>
        <v>1.0074000000000001</v>
      </c>
      <c r="CQ260">
        <f>Sales[[#This Row],[Nbhd Adj]]*0.95</f>
        <v>0.94971499999999998</v>
      </c>
      <c r="CR260">
        <f>Sales[[#This Row],[Nbhd Adj]]*Sales[[#This Row],[Quality Adj]]*Sales[[#This Row],[Condition Adj]]*Sales[[#This Row],[Living Area Adj]]*Sales[[#This Row],[Decade Adj]]*0.95</f>
        <v>0.96880423161964746</v>
      </c>
      <c r="CS260">
        <f>ROUND(SUM(Sales[[#This Row],[Mdl Qlty]:[Mdl WdDeck]])+Sales[[#This Row],[Mdl Res Intercept]]*Sales[[#This Row],[Res Adj ]],-2)</f>
        <v>328600</v>
      </c>
      <c r="CT260">
        <f>ROUND(Sales[[#This Row],[25Det]]*Sales[[#This Row],[Det/Nbhd Adj]],-2)</f>
        <v>11700</v>
      </c>
      <c r="CU260">
        <f>Sales[[#This Row],[Adjusted Res]]+Sales[[#This Row],[Adj Det ]]</f>
        <v>340300</v>
      </c>
      <c r="CV260">
        <f>ROUND((Sales[[#This Row],[Mdl Land Intercept]]+Sales[[#This Row],[Mdl LnAcres]])*Sales[[#This Row],[Det/Nbhd Adj]],-2)</f>
        <v>38400</v>
      </c>
      <c r="CW260">
        <f>Sales[[#This Row],[Adjusted Impr Total]]+Sales[[#This Row],[Adjusted Land Total]]</f>
        <v>378700</v>
      </c>
      <c r="CX260" s="15">
        <f>IFERROR((Sales[[#This Row],[Adjusted Impr Total]]-Sales[[#This Row],[24Bldg]])/Sales[[#This Row],[24Bldg]],0)</f>
        <v>0.1457912457912458</v>
      </c>
      <c r="CY260" s="15">
        <f>(Sales[[#This Row],[Adjusted Land Total]]-Sales[[#This Row],[24Lnd]])/Sales[[#This Row],[24Lnd]]</f>
        <v>-0.36106489184692181</v>
      </c>
      <c r="CZ260" s="15">
        <f>(Sales[[#This Row],[Adjusted Total]]-Sales[[#This Row],[24Final]])/Sales[[#This Row],[24Final]]</f>
        <v>6.048725847101652E-2</v>
      </c>
      <c r="DA260" s="15">
        <f>(Sales[[#This Row],[Adjusted Total]]+Sales[[#This Row],[Days Prior Total]])/Sales[[#This Row],[Price]]</f>
        <v>0.92130697016806751</v>
      </c>
    </row>
    <row r="261" spans="1:105" x14ac:dyDescent="0.3">
      <c r="A261">
        <v>2025</v>
      </c>
      <c r="B261">
        <v>18132313481</v>
      </c>
      <c r="C261">
        <v>-1.8971199848858813</v>
      </c>
      <c r="D261">
        <v>0.15</v>
      </c>
      <c r="E261">
        <v>6701</v>
      </c>
      <c r="F261">
        <v>6</v>
      </c>
      <c r="G261" t="s">
        <v>126</v>
      </c>
      <c r="H261">
        <v>3033</v>
      </c>
      <c r="I261" t="s">
        <v>349</v>
      </c>
      <c r="J261" t="s">
        <v>30</v>
      </c>
      <c r="K261">
        <v>11</v>
      </c>
      <c r="L261">
        <v>259</v>
      </c>
      <c r="M261" t="s">
        <v>242</v>
      </c>
      <c r="N261" t="s">
        <v>205</v>
      </c>
      <c r="O261" t="s">
        <v>323</v>
      </c>
      <c r="P261">
        <v>100</v>
      </c>
      <c r="Q261">
        <v>1925</v>
      </c>
      <c r="R261">
        <v>1968</v>
      </c>
      <c r="S261">
        <v>99</v>
      </c>
      <c r="T261">
        <v>56</v>
      </c>
      <c r="U261">
        <v>1</v>
      </c>
      <c r="V261">
        <v>870</v>
      </c>
      <c r="W261">
        <v>0</v>
      </c>
      <c r="X261">
        <v>0</v>
      </c>
      <c r="Y261">
        <v>406</v>
      </c>
      <c r="Z261">
        <v>0</v>
      </c>
      <c r="AA261">
        <v>406</v>
      </c>
      <c r="AB261">
        <v>1276</v>
      </c>
      <c r="AC261">
        <v>1500</v>
      </c>
      <c r="AD261">
        <v>0</v>
      </c>
      <c r="AF261" t="s">
        <v>383</v>
      </c>
      <c r="AG261" t="s">
        <v>148</v>
      </c>
      <c r="AH261" t="s">
        <v>450</v>
      </c>
      <c r="AI261">
        <v>0</v>
      </c>
      <c r="AJ261">
        <v>0</v>
      </c>
      <c r="AK261">
        <v>1</v>
      </c>
      <c r="AL261">
        <v>0</v>
      </c>
      <c r="AM261">
        <v>0</v>
      </c>
      <c r="AN261">
        <v>5</v>
      </c>
      <c r="AO261">
        <v>0</v>
      </c>
      <c r="AP261">
        <v>0</v>
      </c>
      <c r="AQ261">
        <v>0</v>
      </c>
      <c r="AR261">
        <v>234</v>
      </c>
      <c r="AS261">
        <v>0</v>
      </c>
      <c r="AT261">
        <v>0</v>
      </c>
      <c r="AU261">
        <v>100</v>
      </c>
      <c r="AV261">
        <v>100</v>
      </c>
      <c r="AW261">
        <v>160325</v>
      </c>
      <c r="AX261">
        <v>104211</v>
      </c>
      <c r="AY261">
        <v>775</v>
      </c>
      <c r="AZ261">
        <v>365</v>
      </c>
      <c r="BA261">
        <v>365</v>
      </c>
      <c r="BB261">
        <v>45</v>
      </c>
      <c r="BC261" s="3">
        <v>44517</v>
      </c>
      <c r="BD261" t="s">
        <v>386</v>
      </c>
      <c r="BE261">
        <v>253500</v>
      </c>
      <c r="BF261">
        <v>247921</v>
      </c>
      <c r="BG261" t="s">
        <v>294</v>
      </c>
      <c r="BH261">
        <v>30</v>
      </c>
      <c r="BI261" t="s">
        <v>65</v>
      </c>
      <c r="BJ261" t="s">
        <v>450</v>
      </c>
      <c r="BK261">
        <v>250500</v>
      </c>
      <c r="BL261">
        <v>48400</v>
      </c>
      <c r="BM261">
        <v>202100</v>
      </c>
      <c r="BN261">
        <v>5579</v>
      </c>
      <c r="BO261">
        <v>0.98816568047337283</v>
      </c>
      <c r="BP261">
        <v>231743.86320554692</v>
      </c>
      <c r="BQ261">
        <v>259323.72437834978</v>
      </c>
      <c r="BR261" s="12">
        <f>(Sales[[#This Row],[DP1]]*Lookups!$B$59)+(Sales[[#This Row],[DP2]]*Lookups!$B$60)+(Sales[[#This Row],[DP3]]*Lookups!$B$61)</f>
        <v>-27579.861175570004</v>
      </c>
      <c r="BS261" s="12">
        <f>Lookups!$B$56*0</f>
        <v>0</v>
      </c>
      <c r="BT261" s="12">
        <f>Lookups!$B$56*1</f>
        <v>89850.625589999996</v>
      </c>
      <c r="BU261" s="12">
        <f>Lookups!$B$57*Sales[[#This Row],[LnAcres]]</f>
        <v>-60052.604136134301</v>
      </c>
      <c r="BV261" s="12">
        <f>VLOOKUP(Sales[[#This Row],[Qlty]],Lookups!$A$62:$E$75,2,FALSE)</f>
        <v>0</v>
      </c>
      <c r="BW261" s="12">
        <f>VLOOKUP(Sales[[#This Row],[Cnd]],Lookups!$A$76:$E$84,2,FALSE)</f>
        <v>160472.20319</v>
      </c>
      <c r="BX261" s="12">
        <f>Sales[[#This Row],[EffAge]]*Lookups!$B$85</f>
        <v>-12490.553628</v>
      </c>
      <c r="BY261" s="12">
        <f>Sales[[#This Row],[MainFn]]*Lookups!$B$86</f>
        <v>42985.542792990003</v>
      </c>
      <c r="BZ261" s="12">
        <f>Sales[[#This Row],[UpprFn]]*Lookups!$B$87</f>
        <v>0</v>
      </c>
      <c r="CA261" s="12">
        <f>Sales[[#This Row],[AddFn]]*Lookups!$B$88</f>
        <v>0</v>
      </c>
      <c r="CB261" s="12">
        <f>Sales[[#This Row],[Bsmt]]*Lookups!$B$89</f>
        <v>11807.249470281999</v>
      </c>
      <c r="CC261" s="12">
        <f>Sales[[#This Row],[Fixtures]]*Lookups!$B$90</f>
        <v>18960.110526</v>
      </c>
      <c r="CD261" s="12">
        <f>Sales[[#This Row],[WdDeck]]*Lookups!$B$91</f>
        <v>7791.1505745840004</v>
      </c>
      <c r="CE261" s="12">
        <f>SUM(Sales[[#This Row],[Days Prior Total]:[Mdl WdDeck]])</f>
        <v>231743.86320415168</v>
      </c>
      <c r="CF261" s="12">
        <f>ROUND(Sales[[#This Row],[25Det]],-2)</f>
        <v>5600</v>
      </c>
      <c r="CG261" s="12">
        <f>ROUND(SUM(Sales[[#This Row],[Mdl Qlty]:[Mdl WdDeck]])+Sales[[#This Row],[Mdl Res Intercept]]+Sales[[#This Row],[Days Prior Total]],-2)</f>
        <v>201900</v>
      </c>
      <c r="CH261" s="12">
        <f>ROUND(Sales[[#This Row],[Mdl Land Intercept]]+Sales[[#This Row],[Mdl LnAcres]],-2)</f>
        <v>29800</v>
      </c>
      <c r="CI261" s="12">
        <f>Sales[[#This Row],[Unadj Res Value]]+Sales[[#This Row],[Unadj Det Value]]+Sales[[#This Row],[Unadj Land Value]]</f>
        <v>237300</v>
      </c>
      <c r="CJ261" s="13">
        <f>Sales[[#This Row],[Unadj Total Value]]/Sales[[#This Row],[Price]]</f>
        <v>0.93609467455621298</v>
      </c>
      <c r="CK261" s="13">
        <f>(Sales[[#This Row],[Unadj Total Value]]-Sales[[#This Row],[24Final]])/Sales[[#This Row],[24Final]]</f>
        <v>-5.2694610778443111E-2</v>
      </c>
      <c r="CL261">
        <f>VLOOKUP(Sales[[#This Row],[TNbhd]],Lookups!$Q$2:$T$4,4,FALSE)</f>
        <v>0.99970000000000003</v>
      </c>
      <c r="CM261">
        <f>VLOOKUP(Sales[[#This Row],[Qlty]],Lookups!$O$7:$R$21,4,FALSE)</f>
        <v>0.99180000000000001</v>
      </c>
      <c r="CN261">
        <f>VLOOKUP(Sales[[#This Row],[Cnd]],Lookups!$T$7:$W$16,4,FALSE)</f>
        <v>0.99729999999999996</v>
      </c>
      <c r="CO261">
        <f>VLOOKUP(Sales[[#This Row],[LivArea Range]],Lookups!$T$25:$W$37,4,FALSE)</f>
        <v>1.0157</v>
      </c>
      <c r="CP261">
        <f>VLOOKUP(Sales[[#This Row],[Decade]],Lookups!$O$25:$R$42,4,FALSE)</f>
        <v>1.0074000000000001</v>
      </c>
      <c r="CQ261">
        <f>Sales[[#This Row],[Nbhd Adj]]*0.95</f>
        <v>0.94971499999999998</v>
      </c>
      <c r="CR261">
        <f>Sales[[#This Row],[Nbhd Adj]]*Sales[[#This Row],[Quality Adj]]*Sales[[#This Row],[Condition Adj]]*Sales[[#This Row],[Living Area Adj]]*Sales[[#This Row],[Decade Adj]]*0.95</f>
        <v>0.96119304431538555</v>
      </c>
      <c r="CS261">
        <f>ROUND(SUM(Sales[[#This Row],[Mdl Qlty]:[Mdl WdDeck]])+Sales[[#This Row],[Mdl Res Intercept]]*Sales[[#This Row],[Res Adj ]],-2)</f>
        <v>229500</v>
      </c>
      <c r="CT261">
        <f>ROUND(Sales[[#This Row],[25Det]]*Sales[[#This Row],[Det/Nbhd Adj]],-2)</f>
        <v>5300</v>
      </c>
      <c r="CU261">
        <f>Sales[[#This Row],[Adjusted Res]]+Sales[[#This Row],[Adj Det ]]</f>
        <v>234800</v>
      </c>
      <c r="CV261">
        <f>ROUND((Sales[[#This Row],[Mdl Land Intercept]]+Sales[[#This Row],[Mdl LnAcres]])*Sales[[#This Row],[Det/Nbhd Adj]],-2)</f>
        <v>28300</v>
      </c>
      <c r="CW261">
        <f>Sales[[#This Row],[Adjusted Impr Total]]+Sales[[#This Row],[Adjusted Land Total]]</f>
        <v>263100</v>
      </c>
      <c r="CX261" s="15">
        <f>IFERROR((Sales[[#This Row],[Adjusted Impr Total]]-Sales[[#This Row],[24Bldg]])/Sales[[#This Row],[24Bldg]],0)</f>
        <v>0.16180108857001485</v>
      </c>
      <c r="CY261" s="15">
        <f>(Sales[[#This Row],[Adjusted Land Total]]-Sales[[#This Row],[24Lnd]])/Sales[[#This Row],[24Lnd]]</f>
        <v>-0.41528925619834711</v>
      </c>
      <c r="CZ261" s="15">
        <f>(Sales[[#This Row],[Adjusted Total]]-Sales[[#This Row],[24Final]])/Sales[[#This Row],[24Final]]</f>
        <v>5.0299401197604787E-2</v>
      </c>
      <c r="DA261" s="15">
        <f>(Sales[[#This Row],[Adjusted Total]]+Sales[[#This Row],[Days Prior Total]])/Sales[[#This Row],[Price]]</f>
        <v>0.9290735259346351</v>
      </c>
    </row>
    <row r="262" spans="1:105" x14ac:dyDescent="0.3">
      <c r="A262">
        <v>2025</v>
      </c>
      <c r="B262">
        <v>18132244472</v>
      </c>
      <c r="C262">
        <v>-1.6607312068216509</v>
      </c>
      <c r="D262">
        <v>0.19</v>
      </c>
      <c r="E262">
        <v>8266</v>
      </c>
      <c r="F262">
        <v>6</v>
      </c>
      <c r="G262" t="s">
        <v>126</v>
      </c>
      <c r="H262">
        <v>3092</v>
      </c>
      <c r="I262" t="s">
        <v>349</v>
      </c>
      <c r="J262" t="s">
        <v>30</v>
      </c>
      <c r="K262">
        <v>11</v>
      </c>
      <c r="L262">
        <v>259</v>
      </c>
      <c r="M262" t="s">
        <v>242</v>
      </c>
      <c r="N262" t="s">
        <v>302</v>
      </c>
      <c r="O262" t="s">
        <v>303</v>
      </c>
      <c r="P262">
        <v>100</v>
      </c>
      <c r="Q262">
        <v>1925</v>
      </c>
      <c r="R262">
        <v>1968</v>
      </c>
      <c r="S262">
        <v>99</v>
      </c>
      <c r="T262">
        <v>56</v>
      </c>
      <c r="U262">
        <v>1</v>
      </c>
      <c r="V262">
        <v>1048</v>
      </c>
      <c r="W262">
        <v>0</v>
      </c>
      <c r="X262">
        <v>0</v>
      </c>
      <c r="Y262">
        <v>1051</v>
      </c>
      <c r="Z262">
        <v>301</v>
      </c>
      <c r="AA262">
        <v>750</v>
      </c>
      <c r="AB262">
        <v>1798</v>
      </c>
      <c r="AC262">
        <v>2000</v>
      </c>
      <c r="AD262">
        <v>0</v>
      </c>
      <c r="AF262" t="s">
        <v>383</v>
      </c>
      <c r="AG262" t="s">
        <v>148</v>
      </c>
      <c r="AH262" t="s">
        <v>450</v>
      </c>
      <c r="AI262">
        <v>0</v>
      </c>
      <c r="AJ262">
        <v>2</v>
      </c>
      <c r="AK262">
        <v>0</v>
      </c>
      <c r="AL262">
        <v>1</v>
      </c>
      <c r="AM262">
        <v>0</v>
      </c>
      <c r="AN262">
        <v>10</v>
      </c>
      <c r="AO262">
        <v>0</v>
      </c>
      <c r="AP262">
        <v>0</v>
      </c>
      <c r="AQ262">
        <v>0</v>
      </c>
      <c r="AR262">
        <v>0</v>
      </c>
      <c r="AS262">
        <v>377</v>
      </c>
      <c r="AT262">
        <v>131</v>
      </c>
      <c r="AU262">
        <v>100</v>
      </c>
      <c r="AV262">
        <v>100</v>
      </c>
      <c r="AW262">
        <v>277124</v>
      </c>
      <c r="AX262">
        <v>205072</v>
      </c>
      <c r="AY262">
        <v>593</v>
      </c>
      <c r="AZ262">
        <v>365</v>
      </c>
      <c r="BA262">
        <v>228</v>
      </c>
      <c r="BB262">
        <v>0</v>
      </c>
      <c r="BC262" s="3">
        <v>44699</v>
      </c>
      <c r="BD262" t="s">
        <v>140</v>
      </c>
      <c r="BE262">
        <v>379900</v>
      </c>
      <c r="BF262">
        <v>369914</v>
      </c>
      <c r="BG262" t="s">
        <v>294</v>
      </c>
      <c r="BH262">
        <v>30</v>
      </c>
      <c r="BI262" t="s">
        <v>65</v>
      </c>
      <c r="BJ262" t="s">
        <v>450</v>
      </c>
      <c r="BK262">
        <v>358100</v>
      </c>
      <c r="BL262">
        <v>56600</v>
      </c>
      <c r="BM262">
        <v>301500</v>
      </c>
      <c r="BN262">
        <v>9986</v>
      </c>
      <c r="BO262">
        <v>0.94261647802053172</v>
      </c>
      <c r="BP262">
        <v>349486.70451108122</v>
      </c>
      <c r="BQ262">
        <v>372622.28312087531</v>
      </c>
      <c r="BR262" s="12">
        <f>(Sales[[#This Row],[DP1]]*Lookups!$B$59)+(Sales[[#This Row],[DP2]]*Lookups!$B$60)+(Sales[[#This Row],[DP3]]*Lookups!$B$61)</f>
        <v>-23135.578611394001</v>
      </c>
      <c r="BS262" s="12">
        <f>Lookups!$B$56*0</f>
        <v>0</v>
      </c>
      <c r="BT262" s="12">
        <f>Lookups!$B$56*1</f>
        <v>89850.625589999996</v>
      </c>
      <c r="BU262" s="12">
        <f>Lookups!$B$57*Sales[[#This Row],[LnAcres]]</f>
        <v>-52569.808201026557</v>
      </c>
      <c r="BV262" s="12">
        <f>VLOOKUP(Sales[[#This Row],[Qlty]],Lookups!$A$62:$E$75,2,FALSE)</f>
        <v>29814.093161000001</v>
      </c>
      <c r="BW262" s="12">
        <f>VLOOKUP(Sales[[#This Row],[Cnd]],Lookups!$A$76:$E$84,2,FALSE)</f>
        <v>197752.34721000001</v>
      </c>
      <c r="BX262" s="12">
        <f>Sales[[#This Row],[EffAge]]*Lookups!$B$85</f>
        <v>-12490.553628</v>
      </c>
      <c r="BY262" s="12">
        <f>Sales[[#This Row],[MainFn]]*Lookups!$B$86</f>
        <v>51780.286031096002</v>
      </c>
      <c r="BZ262" s="12">
        <f>Sales[[#This Row],[UpprFn]]*Lookups!$B$87</f>
        <v>0</v>
      </c>
      <c r="CA262" s="12">
        <f>Sales[[#This Row],[AddFn]]*Lookups!$B$88</f>
        <v>0</v>
      </c>
      <c r="CB262" s="12">
        <f>Sales[[#This Row],[Bsmt]]*Lookups!$B$89</f>
        <v>30565.071904597</v>
      </c>
      <c r="CC262" s="12">
        <f>Sales[[#This Row],[Fixtures]]*Lookups!$B$90</f>
        <v>37920.221052000001</v>
      </c>
      <c r="CD262" s="12">
        <f>Sales[[#This Row],[WdDeck]]*Lookups!$B$91</f>
        <v>0</v>
      </c>
      <c r="CE262" s="12">
        <f>SUM(Sales[[#This Row],[Days Prior Total]:[Mdl WdDeck]])</f>
        <v>349486.70450827247</v>
      </c>
      <c r="CF262" s="12">
        <f>ROUND(Sales[[#This Row],[25Det]],-2)</f>
        <v>10000</v>
      </c>
      <c r="CG262" s="12">
        <f>ROUND(SUM(Sales[[#This Row],[Mdl Qlty]:[Mdl WdDeck]])+Sales[[#This Row],[Mdl Res Intercept]]+Sales[[#This Row],[Days Prior Total]],-2)</f>
        <v>312200</v>
      </c>
      <c r="CH262" s="12">
        <f>ROUND(Sales[[#This Row],[Mdl Land Intercept]]+Sales[[#This Row],[Mdl LnAcres]],-2)</f>
        <v>37300</v>
      </c>
      <c r="CI262" s="12">
        <f>Sales[[#This Row],[Unadj Res Value]]+Sales[[#This Row],[Unadj Det Value]]+Sales[[#This Row],[Unadj Land Value]]</f>
        <v>359500</v>
      </c>
      <c r="CJ262" s="13">
        <f>Sales[[#This Row],[Unadj Total Value]]/Sales[[#This Row],[Price]]</f>
        <v>0.94630165833113977</v>
      </c>
      <c r="CK262" s="13">
        <f>(Sales[[#This Row],[Unadj Total Value]]-Sales[[#This Row],[24Final]])/Sales[[#This Row],[24Final]]</f>
        <v>3.9095224797542584E-3</v>
      </c>
      <c r="CL262">
        <f>VLOOKUP(Sales[[#This Row],[TNbhd]],Lookups!$Q$2:$T$4,4,FALSE)</f>
        <v>0.99970000000000003</v>
      </c>
      <c r="CM262">
        <f>VLOOKUP(Sales[[#This Row],[Qlty]],Lookups!$O$7:$R$21,4,FALSE)</f>
        <v>1.0088999999999999</v>
      </c>
      <c r="CN262">
        <f>VLOOKUP(Sales[[#This Row],[Cnd]],Lookups!$T$7:$W$16,4,FALSE)</f>
        <v>0.99650000000000005</v>
      </c>
      <c r="CO262">
        <f>VLOOKUP(Sales[[#This Row],[LivArea Range]],Lookups!$T$25:$W$37,4,FALSE)</f>
        <v>1.0093000000000001</v>
      </c>
      <c r="CP262">
        <f>VLOOKUP(Sales[[#This Row],[Decade]],Lookups!$O$25:$R$42,4,FALSE)</f>
        <v>1.0074000000000001</v>
      </c>
      <c r="CQ262">
        <f>Sales[[#This Row],[Nbhd Adj]]*0.95</f>
        <v>0.94971499999999998</v>
      </c>
      <c r="CR262">
        <f>Sales[[#This Row],[Nbhd Adj]]*Sales[[#This Row],[Quality Adj]]*Sales[[#This Row],[Condition Adj]]*Sales[[#This Row],[Living Area Adj]]*Sales[[#This Row],[Decade Adj]]*0.95</f>
        <v>0.97082497942099955</v>
      </c>
      <c r="CS262">
        <f>ROUND(SUM(Sales[[#This Row],[Mdl Qlty]:[Mdl WdDeck]])+Sales[[#This Row],[Mdl Res Intercept]]*Sales[[#This Row],[Res Adj ]],-2)</f>
        <v>335300</v>
      </c>
      <c r="CT262">
        <f>ROUND(Sales[[#This Row],[25Det]]*Sales[[#This Row],[Det/Nbhd Adj]],-2)</f>
        <v>9500</v>
      </c>
      <c r="CU262">
        <f>Sales[[#This Row],[Adjusted Res]]+Sales[[#This Row],[Adj Det ]]</f>
        <v>344800</v>
      </c>
      <c r="CV262">
        <f>ROUND((Sales[[#This Row],[Mdl Land Intercept]]+Sales[[#This Row],[Mdl LnAcres]])*Sales[[#This Row],[Det/Nbhd Adj]],-2)</f>
        <v>35400</v>
      </c>
      <c r="CW262">
        <f>Sales[[#This Row],[Adjusted Impr Total]]+Sales[[#This Row],[Adjusted Land Total]]</f>
        <v>380200</v>
      </c>
      <c r="CX262" s="15">
        <f>IFERROR((Sales[[#This Row],[Adjusted Impr Total]]-Sales[[#This Row],[24Bldg]])/Sales[[#This Row],[24Bldg]],0)</f>
        <v>0.14361525704809286</v>
      </c>
      <c r="CY262" s="15">
        <f>(Sales[[#This Row],[Adjusted Land Total]]-Sales[[#This Row],[24Lnd]])/Sales[[#This Row],[24Lnd]]</f>
        <v>-0.37455830388692579</v>
      </c>
      <c r="CZ262" s="15">
        <f>(Sales[[#This Row],[Adjusted Total]]-Sales[[#This Row],[24Final]])/Sales[[#This Row],[24Final]]</f>
        <v>6.1714604858977937E-2</v>
      </c>
      <c r="DA262" s="15">
        <f>(Sales[[#This Row],[Adjusted Total]]+Sales[[#This Row],[Days Prior Total]])/Sales[[#This Row],[Price]]</f>
        <v>0.93989055379996322</v>
      </c>
    </row>
    <row r="263" spans="1:105" x14ac:dyDescent="0.3">
      <c r="A263">
        <v>2025</v>
      </c>
      <c r="B263">
        <v>18132333400</v>
      </c>
      <c r="C263">
        <v>-2.5257286443082556</v>
      </c>
      <c r="D263">
        <v>0.08</v>
      </c>
      <c r="E263">
        <v>0</v>
      </c>
      <c r="F263">
        <v>6</v>
      </c>
      <c r="G263" t="s">
        <v>126</v>
      </c>
      <c r="H263">
        <v>3032</v>
      </c>
      <c r="I263" t="s">
        <v>349</v>
      </c>
      <c r="J263" t="s">
        <v>30</v>
      </c>
      <c r="K263">
        <v>11</v>
      </c>
      <c r="L263">
        <v>259</v>
      </c>
      <c r="M263" t="s">
        <v>269</v>
      </c>
      <c r="N263" t="s">
        <v>351</v>
      </c>
      <c r="O263" t="s">
        <v>303</v>
      </c>
      <c r="P263">
        <v>100</v>
      </c>
      <c r="Q263">
        <v>1925</v>
      </c>
      <c r="R263">
        <v>1968</v>
      </c>
      <c r="S263">
        <v>99</v>
      </c>
      <c r="T263">
        <v>56</v>
      </c>
      <c r="U263">
        <v>1</v>
      </c>
      <c r="V263">
        <v>1135</v>
      </c>
      <c r="W263">
        <v>0</v>
      </c>
      <c r="X263">
        <v>0</v>
      </c>
      <c r="Y263">
        <v>1135</v>
      </c>
      <c r="Z263">
        <v>0</v>
      </c>
      <c r="AA263">
        <v>1135</v>
      </c>
      <c r="AB263">
        <v>2270</v>
      </c>
      <c r="AC263">
        <v>2500</v>
      </c>
      <c r="AD263">
        <v>0</v>
      </c>
      <c r="AF263" t="s">
        <v>383</v>
      </c>
      <c r="AG263" t="s">
        <v>148</v>
      </c>
      <c r="AH263" t="s">
        <v>450</v>
      </c>
      <c r="AI263">
        <v>0</v>
      </c>
      <c r="AJ263">
        <v>1</v>
      </c>
      <c r="AK263">
        <v>0</v>
      </c>
      <c r="AL263">
        <v>1</v>
      </c>
      <c r="AM263">
        <v>0</v>
      </c>
      <c r="AN263">
        <v>8</v>
      </c>
      <c r="AO263">
        <v>0</v>
      </c>
      <c r="AP263">
        <v>0</v>
      </c>
      <c r="AQ263">
        <v>0</v>
      </c>
      <c r="AR263">
        <v>170</v>
      </c>
      <c r="AS263">
        <v>0</v>
      </c>
      <c r="AT263">
        <v>0</v>
      </c>
      <c r="AU263">
        <v>100</v>
      </c>
      <c r="AV263">
        <v>100</v>
      </c>
      <c r="AW263">
        <v>258927</v>
      </c>
      <c r="AX263">
        <v>191606</v>
      </c>
      <c r="AY263">
        <v>210</v>
      </c>
      <c r="AZ263">
        <v>210</v>
      </c>
      <c r="BA263">
        <v>0</v>
      </c>
      <c r="BB263">
        <v>0</v>
      </c>
      <c r="BC263" s="3">
        <v>45082</v>
      </c>
      <c r="BD263" t="s">
        <v>281</v>
      </c>
      <c r="BE263">
        <v>340000</v>
      </c>
      <c r="BF263">
        <v>340000</v>
      </c>
      <c r="BG263" t="s">
        <v>294</v>
      </c>
      <c r="BH263">
        <v>30</v>
      </c>
      <c r="BI263" t="s">
        <v>65</v>
      </c>
      <c r="BJ263" t="s">
        <v>450</v>
      </c>
      <c r="BK263">
        <v>314000</v>
      </c>
      <c r="BL263">
        <v>26500</v>
      </c>
      <c r="BM263">
        <v>287500</v>
      </c>
      <c r="BN263">
        <v>0</v>
      </c>
      <c r="BO263">
        <v>0.92352941176470593</v>
      </c>
      <c r="BP263">
        <v>326984.76310317009</v>
      </c>
      <c r="BQ263">
        <v>341801.98438198311</v>
      </c>
      <c r="BR263" s="12">
        <f>(Sales[[#This Row],[DP1]]*Lookups!$B$59)+(Sales[[#This Row],[DP2]]*Lookups!$B$60)+(Sales[[#This Row],[DP3]]*Lookups!$B$61)</f>
        <v>-14817.221279700001</v>
      </c>
      <c r="BS263" s="12">
        <f>Lookups!$B$56*0</f>
        <v>0</v>
      </c>
      <c r="BT263" s="12">
        <f>Lookups!$B$56*1</f>
        <v>89850.625589999996</v>
      </c>
      <c r="BU263" s="12">
        <f>Lookups!$B$57*Sales[[#This Row],[LnAcres]]</f>
        <v>-79950.969701614697</v>
      </c>
      <c r="BV263" s="12">
        <f>VLOOKUP(Sales[[#This Row],[Qlty]],Lookups!$A$62:$E$75,2,FALSE)</f>
        <v>21557.329055999999</v>
      </c>
      <c r="BW263" s="12">
        <f>VLOOKUP(Sales[[#This Row],[Cnd]],Lookups!$A$76:$E$84,2,FALSE)</f>
        <v>197752.34721000001</v>
      </c>
      <c r="BX263" s="12">
        <f>Sales[[#This Row],[EffAge]]*Lookups!$B$85</f>
        <v>-12490.553628</v>
      </c>
      <c r="BY263" s="12">
        <f>Sales[[#This Row],[MainFn]]*Lookups!$B$86</f>
        <v>56078.840310395004</v>
      </c>
      <c r="BZ263" s="12">
        <f>Sales[[#This Row],[UpprFn]]*Lookups!$B$87</f>
        <v>0</v>
      </c>
      <c r="CA263" s="12">
        <f>Sales[[#This Row],[AddFn]]*Lookups!$B$88</f>
        <v>0</v>
      </c>
      <c r="CB263" s="12">
        <f>Sales[[#This Row],[Bsmt]]*Lookups!$B$89</f>
        <v>33007.951105344997</v>
      </c>
      <c r="CC263" s="12">
        <f>Sales[[#This Row],[Fixtures]]*Lookups!$B$90</f>
        <v>30336.176841600001</v>
      </c>
      <c r="CD263" s="12">
        <f>Sales[[#This Row],[WdDeck]]*Lookups!$B$91</f>
        <v>5660.2375969200002</v>
      </c>
      <c r="CE263" s="12">
        <f>SUM(Sales[[#This Row],[Days Prior Total]:[Mdl WdDeck]])</f>
        <v>326984.76310094527</v>
      </c>
      <c r="CF263" s="12">
        <f>ROUND(Sales[[#This Row],[25Det]],-2)</f>
        <v>0</v>
      </c>
      <c r="CG263" s="12">
        <f>ROUND(SUM(Sales[[#This Row],[Mdl Qlty]:[Mdl WdDeck]])+Sales[[#This Row],[Mdl Res Intercept]]+Sales[[#This Row],[Days Prior Total]],-2)</f>
        <v>317100</v>
      </c>
      <c r="CH263" s="12">
        <f>ROUND(Sales[[#This Row],[Mdl Land Intercept]]+Sales[[#This Row],[Mdl LnAcres]],-2)</f>
        <v>9900</v>
      </c>
      <c r="CI263" s="12">
        <f>Sales[[#This Row],[Unadj Res Value]]+Sales[[#This Row],[Unadj Det Value]]+Sales[[#This Row],[Unadj Land Value]]</f>
        <v>327000</v>
      </c>
      <c r="CJ263" s="13">
        <f>Sales[[#This Row],[Unadj Total Value]]/Sales[[#This Row],[Price]]</f>
        <v>0.96176470588235297</v>
      </c>
      <c r="CK263" s="13">
        <f>(Sales[[#This Row],[Unadj Total Value]]-Sales[[#This Row],[24Final]])/Sales[[#This Row],[24Final]]</f>
        <v>4.1401273885350316E-2</v>
      </c>
      <c r="CL263">
        <f>VLOOKUP(Sales[[#This Row],[TNbhd]],Lookups!$Q$2:$T$4,4,FALSE)</f>
        <v>0.99970000000000003</v>
      </c>
      <c r="CM263">
        <f>VLOOKUP(Sales[[#This Row],[Qlty]],Lookups!$O$7:$R$21,4,FALSE)</f>
        <v>1.0067999999999999</v>
      </c>
      <c r="CN263">
        <f>VLOOKUP(Sales[[#This Row],[Cnd]],Lookups!$T$7:$W$16,4,FALSE)</f>
        <v>0.99650000000000005</v>
      </c>
      <c r="CO263">
        <f>VLOOKUP(Sales[[#This Row],[LivArea Range]],Lookups!$T$25:$W$37,4,FALSE)</f>
        <v>0.98919999999999997</v>
      </c>
      <c r="CP263">
        <f>VLOOKUP(Sales[[#This Row],[Decade]],Lookups!$O$25:$R$42,4,FALSE)</f>
        <v>1.0074000000000001</v>
      </c>
      <c r="CQ263">
        <f>Sales[[#This Row],[Nbhd Adj]]*0.95</f>
        <v>0.94971499999999998</v>
      </c>
      <c r="CR263">
        <f>Sales[[#This Row],[Nbhd Adj]]*Sales[[#This Row],[Quality Adj]]*Sales[[#This Row],[Condition Adj]]*Sales[[#This Row],[Living Area Adj]]*Sales[[#This Row],[Decade Adj]]*0.95</f>
        <v>0.94951069644125163</v>
      </c>
      <c r="CS263">
        <f>ROUND(SUM(Sales[[#This Row],[Mdl Qlty]:[Mdl WdDeck]])+Sales[[#This Row],[Mdl Res Intercept]]*Sales[[#This Row],[Res Adj ]],-2)</f>
        <v>331900</v>
      </c>
      <c r="CT263">
        <f>ROUND(Sales[[#This Row],[25Det]]*Sales[[#This Row],[Det/Nbhd Adj]],-2)</f>
        <v>0</v>
      </c>
      <c r="CU263">
        <f>Sales[[#This Row],[Adjusted Res]]+Sales[[#This Row],[Adj Det ]]</f>
        <v>331900</v>
      </c>
      <c r="CV263">
        <f>ROUND((Sales[[#This Row],[Mdl Land Intercept]]+Sales[[#This Row],[Mdl LnAcres]])*Sales[[#This Row],[Det/Nbhd Adj]],-2)</f>
        <v>9400</v>
      </c>
      <c r="CW263">
        <f>Sales[[#This Row],[Adjusted Impr Total]]+Sales[[#This Row],[Adjusted Land Total]]</f>
        <v>341300</v>
      </c>
      <c r="CX263" s="15">
        <f>IFERROR((Sales[[#This Row],[Adjusted Impr Total]]-Sales[[#This Row],[24Bldg]])/Sales[[#This Row],[24Bldg]],0)</f>
        <v>0.15443478260869564</v>
      </c>
      <c r="CY263" s="15">
        <f>(Sales[[#This Row],[Adjusted Land Total]]-Sales[[#This Row],[24Lnd]])/Sales[[#This Row],[24Lnd]]</f>
        <v>-0.6452830188679245</v>
      </c>
      <c r="CZ263" s="15">
        <f>(Sales[[#This Row],[Adjusted Total]]-Sales[[#This Row],[24Final]])/Sales[[#This Row],[24Final]]</f>
        <v>8.6942675159235663E-2</v>
      </c>
      <c r="DA263" s="15">
        <f>(Sales[[#This Row],[Adjusted Total]]+Sales[[#This Row],[Days Prior Total]])/Sales[[#This Row],[Price]]</f>
        <v>0.96024346682441175</v>
      </c>
    </row>
    <row r="264" spans="1:105" x14ac:dyDescent="0.3">
      <c r="A264">
        <v>2025</v>
      </c>
      <c r="B264">
        <v>18132331445</v>
      </c>
      <c r="C264">
        <v>-1.5141277326297755</v>
      </c>
      <c r="D264">
        <v>0.22</v>
      </c>
      <c r="E264">
        <v>0</v>
      </c>
      <c r="F264">
        <v>6</v>
      </c>
      <c r="G264" t="s">
        <v>126</v>
      </c>
      <c r="H264">
        <v>3032</v>
      </c>
      <c r="I264" t="s">
        <v>349</v>
      </c>
      <c r="J264" t="s">
        <v>30</v>
      </c>
      <c r="K264">
        <v>11</v>
      </c>
      <c r="L264">
        <v>259</v>
      </c>
      <c r="M264" t="s">
        <v>269</v>
      </c>
      <c r="N264" t="s">
        <v>148</v>
      </c>
      <c r="O264" t="s">
        <v>352</v>
      </c>
      <c r="P264">
        <v>100</v>
      </c>
      <c r="Q264">
        <v>1925</v>
      </c>
      <c r="R264">
        <v>1968</v>
      </c>
      <c r="S264">
        <v>99</v>
      </c>
      <c r="T264">
        <v>56</v>
      </c>
      <c r="U264">
        <v>2</v>
      </c>
      <c r="V264">
        <v>1902</v>
      </c>
      <c r="W264">
        <v>496</v>
      </c>
      <c r="X264">
        <v>0</v>
      </c>
      <c r="Y264">
        <v>840</v>
      </c>
      <c r="Z264">
        <v>0</v>
      </c>
      <c r="AA264">
        <v>840</v>
      </c>
      <c r="AB264">
        <v>3238</v>
      </c>
      <c r="AC264">
        <v>3500</v>
      </c>
      <c r="AD264">
        <v>0</v>
      </c>
      <c r="AF264" t="s">
        <v>383</v>
      </c>
      <c r="AG264" t="s">
        <v>148</v>
      </c>
      <c r="AH264" t="s">
        <v>450</v>
      </c>
      <c r="AI264">
        <v>0</v>
      </c>
      <c r="AJ264">
        <v>1</v>
      </c>
      <c r="AK264">
        <v>2</v>
      </c>
      <c r="AL264">
        <v>1</v>
      </c>
      <c r="AM264">
        <v>1</v>
      </c>
      <c r="AN264">
        <v>12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100</v>
      </c>
      <c r="AV264">
        <v>100</v>
      </c>
      <c r="AW264">
        <v>541170</v>
      </c>
      <c r="AX264">
        <v>427524</v>
      </c>
      <c r="AY264">
        <v>399</v>
      </c>
      <c r="AZ264">
        <v>365</v>
      </c>
      <c r="BA264">
        <v>34</v>
      </c>
      <c r="BB264">
        <v>0</v>
      </c>
      <c r="BC264" s="3">
        <v>44893</v>
      </c>
      <c r="BD264" t="s">
        <v>404</v>
      </c>
      <c r="BE264">
        <v>575000</v>
      </c>
      <c r="BF264">
        <v>536998</v>
      </c>
      <c r="BG264" t="s">
        <v>294</v>
      </c>
      <c r="BH264">
        <v>30</v>
      </c>
      <c r="BI264" t="s">
        <v>65</v>
      </c>
      <c r="BJ264" t="s">
        <v>450</v>
      </c>
      <c r="BK264">
        <v>519200</v>
      </c>
      <c r="BL264">
        <v>61700</v>
      </c>
      <c r="BM264">
        <v>457500</v>
      </c>
      <c r="BN264">
        <v>38002</v>
      </c>
      <c r="BO264">
        <v>0.90295652173913044</v>
      </c>
      <c r="BP264">
        <v>519121.68576292071</v>
      </c>
      <c r="BQ264">
        <v>544484.99967325258</v>
      </c>
      <c r="BR264" s="12">
        <f>(Sales[[#This Row],[DP1]]*Lookups!$B$59)+(Sales[[#This Row],[DP2]]*Lookups!$B$60)+(Sales[[#This Row],[DP3]]*Lookups!$B$61)</f>
        <v>-25363.313911882</v>
      </c>
      <c r="BS264" s="12">
        <f>Lookups!$B$56*0</f>
        <v>0</v>
      </c>
      <c r="BT264" s="12">
        <f>Lookups!$B$56*1</f>
        <v>89850.625589999996</v>
      </c>
      <c r="BU264" s="12">
        <f>Lookups!$B$57*Sales[[#This Row],[LnAcres]]</f>
        <v>-47929.131559187132</v>
      </c>
      <c r="BV264" s="12">
        <f>VLOOKUP(Sales[[#This Row],[Qlty]],Lookups!$A$62:$E$75,2,FALSE)</f>
        <v>44121.038090000002</v>
      </c>
      <c r="BW264" s="12">
        <f>VLOOKUP(Sales[[#This Row],[Cnd]],Lookups!$A$76:$E$84,2,FALSE)</f>
        <v>284810.60806</v>
      </c>
      <c r="BX264" s="12">
        <f>Sales[[#This Row],[EffAge]]*Lookups!$B$85</f>
        <v>-12490.553628</v>
      </c>
      <c r="BY264" s="12">
        <f>Sales[[#This Row],[MainFn]]*Lookups!$B$86</f>
        <v>93975.290106054003</v>
      </c>
      <c r="BZ264" s="12">
        <f>Sales[[#This Row],[UpprFn]]*Lookups!$B$87</f>
        <v>22214.065739056001</v>
      </c>
      <c r="CA264" s="12">
        <f>Sales[[#This Row],[AddFn]]*Lookups!$B$88</f>
        <v>0</v>
      </c>
      <c r="CB264" s="12">
        <f>Sales[[#This Row],[Bsmt]]*Lookups!$B$89</f>
        <v>24428.792007479999</v>
      </c>
      <c r="CC264" s="12">
        <f>Sales[[#This Row],[Fixtures]]*Lookups!$B$90</f>
        <v>45504.265262400004</v>
      </c>
      <c r="CD264" s="12">
        <f>Sales[[#This Row],[WdDeck]]*Lookups!$B$91</f>
        <v>0</v>
      </c>
      <c r="CE264" s="12">
        <f>SUM(Sales[[#This Row],[Days Prior Total]:[Mdl WdDeck]])</f>
        <v>519121.68575592083</v>
      </c>
      <c r="CF264" s="12">
        <f>ROUND(Sales[[#This Row],[25Det]],-2)</f>
        <v>38000</v>
      </c>
      <c r="CG264" s="12">
        <f>ROUND(SUM(Sales[[#This Row],[Mdl Qlty]:[Mdl WdDeck]])+Sales[[#This Row],[Mdl Res Intercept]]+Sales[[#This Row],[Days Prior Total]],-2)</f>
        <v>477200</v>
      </c>
      <c r="CH264" s="12">
        <f>ROUND(Sales[[#This Row],[Mdl Land Intercept]]+Sales[[#This Row],[Mdl LnAcres]],-2)</f>
        <v>41900</v>
      </c>
      <c r="CI264" s="12">
        <f>Sales[[#This Row],[Unadj Res Value]]+Sales[[#This Row],[Unadj Det Value]]+Sales[[#This Row],[Unadj Land Value]]</f>
        <v>557100</v>
      </c>
      <c r="CJ264" s="13">
        <f>Sales[[#This Row],[Unadj Total Value]]/Sales[[#This Row],[Price]]</f>
        <v>0.96886956521739132</v>
      </c>
      <c r="CK264" s="13">
        <f>(Sales[[#This Row],[Unadj Total Value]]-Sales[[#This Row],[24Final]])/Sales[[#This Row],[24Final]]</f>
        <v>7.2996918335901384E-2</v>
      </c>
      <c r="CL264">
        <f>VLOOKUP(Sales[[#This Row],[TNbhd]],Lookups!$Q$2:$T$4,4,FALSE)</f>
        <v>0.99970000000000003</v>
      </c>
      <c r="CM264">
        <f>VLOOKUP(Sales[[#This Row],[Qlty]],Lookups!$O$7:$R$21,4,FALSE)</f>
        <v>0.98050000000000004</v>
      </c>
      <c r="CN264">
        <f>VLOOKUP(Sales[[#This Row],[Cnd]],Lookups!$T$7:$W$16,4,FALSE)</f>
        <v>1.0158</v>
      </c>
      <c r="CO264">
        <f>VLOOKUP(Sales[[#This Row],[LivArea Range]],Lookups!$T$25:$W$37,4,FALSE)</f>
        <v>1.0126999999999999</v>
      </c>
      <c r="CP264">
        <f>VLOOKUP(Sales[[#This Row],[Decade]],Lookups!$O$25:$R$42,4,FALSE)</f>
        <v>1.0074000000000001</v>
      </c>
      <c r="CQ264">
        <f>Sales[[#This Row],[Nbhd Adj]]*0.95</f>
        <v>0.94971499999999998</v>
      </c>
      <c r="CR264">
        <f>Sales[[#This Row],[Nbhd Adj]]*Sales[[#This Row],[Quality Adj]]*Sales[[#This Row],[Condition Adj]]*Sales[[#This Row],[Living Area Adj]]*Sales[[#This Row],[Decade Adj]]*0.95</f>
        <v>0.96501010357527905</v>
      </c>
      <c r="CS264">
        <f>ROUND(SUM(Sales[[#This Row],[Mdl Qlty]:[Mdl WdDeck]])+Sales[[#This Row],[Mdl Res Intercept]]*Sales[[#This Row],[Res Adj ]],-2)</f>
        <v>502600</v>
      </c>
      <c r="CT264">
        <f>ROUND(Sales[[#This Row],[25Det]]*Sales[[#This Row],[Det/Nbhd Adj]],-2)</f>
        <v>36100</v>
      </c>
      <c r="CU264">
        <f>Sales[[#This Row],[Adjusted Res]]+Sales[[#This Row],[Adj Det ]]</f>
        <v>538700</v>
      </c>
      <c r="CV264">
        <f>ROUND((Sales[[#This Row],[Mdl Land Intercept]]+Sales[[#This Row],[Mdl LnAcres]])*Sales[[#This Row],[Det/Nbhd Adj]],-2)</f>
        <v>39800</v>
      </c>
      <c r="CW264">
        <f>Sales[[#This Row],[Adjusted Impr Total]]+Sales[[#This Row],[Adjusted Land Total]]</f>
        <v>578500</v>
      </c>
      <c r="CX264" s="15">
        <f>IFERROR((Sales[[#This Row],[Adjusted Impr Total]]-Sales[[#This Row],[24Bldg]])/Sales[[#This Row],[24Bldg]],0)</f>
        <v>0.1774863387978142</v>
      </c>
      <c r="CY264" s="15">
        <f>(Sales[[#This Row],[Adjusted Land Total]]-Sales[[#This Row],[24Lnd]])/Sales[[#This Row],[24Lnd]]</f>
        <v>-0.35494327390599678</v>
      </c>
      <c r="CZ264" s="15">
        <f>(Sales[[#This Row],[Adjusted Total]]-Sales[[#This Row],[24Final]])/Sales[[#This Row],[24Final]]</f>
        <v>0.11421417565485362</v>
      </c>
      <c r="DA264" s="15">
        <f>(Sales[[#This Row],[Adjusted Total]]+Sales[[#This Row],[Days Prior Total]])/Sales[[#This Row],[Price]]</f>
        <v>0.96197684537063999</v>
      </c>
    </row>
    <row r="265" spans="1:105" x14ac:dyDescent="0.3">
      <c r="A265">
        <v>2025</v>
      </c>
      <c r="B265">
        <v>18132342410</v>
      </c>
      <c r="C265">
        <v>-1.6607312068216509</v>
      </c>
      <c r="D265">
        <v>0.19</v>
      </c>
      <c r="E265">
        <v>0</v>
      </c>
      <c r="F265">
        <v>6</v>
      </c>
      <c r="G265" t="s">
        <v>126</v>
      </c>
      <c r="H265">
        <v>3033</v>
      </c>
      <c r="I265" t="s">
        <v>349</v>
      </c>
      <c r="J265" t="s">
        <v>30</v>
      </c>
      <c r="K265">
        <v>11</v>
      </c>
      <c r="L265">
        <v>259</v>
      </c>
      <c r="M265" t="s">
        <v>242</v>
      </c>
      <c r="N265" t="s">
        <v>351</v>
      </c>
      <c r="O265" t="s">
        <v>32</v>
      </c>
      <c r="P265">
        <v>100</v>
      </c>
      <c r="Q265">
        <v>1925</v>
      </c>
      <c r="R265">
        <v>1968</v>
      </c>
      <c r="S265">
        <v>99</v>
      </c>
      <c r="T265">
        <v>56</v>
      </c>
      <c r="U265">
        <v>1</v>
      </c>
      <c r="V265">
        <v>1588</v>
      </c>
      <c r="W265">
        <v>0</v>
      </c>
      <c r="X265">
        <v>0</v>
      </c>
      <c r="Y265">
        <v>1272</v>
      </c>
      <c r="Z265">
        <v>320</v>
      </c>
      <c r="AA265">
        <v>952</v>
      </c>
      <c r="AB265">
        <v>2540</v>
      </c>
      <c r="AC265">
        <v>3000</v>
      </c>
      <c r="AD265">
        <v>0</v>
      </c>
      <c r="AF265" t="s">
        <v>383</v>
      </c>
      <c r="AG265" t="s">
        <v>148</v>
      </c>
      <c r="AH265" t="s">
        <v>65</v>
      </c>
      <c r="AI265">
        <v>0</v>
      </c>
      <c r="AJ265">
        <v>1</v>
      </c>
      <c r="AK265">
        <v>0</v>
      </c>
      <c r="AL265">
        <v>0</v>
      </c>
      <c r="AM265">
        <v>1</v>
      </c>
      <c r="AN265">
        <v>7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100</v>
      </c>
      <c r="AV265">
        <v>100</v>
      </c>
      <c r="AW265">
        <v>294860</v>
      </c>
      <c r="AX265">
        <v>100252</v>
      </c>
      <c r="AY265">
        <v>433</v>
      </c>
      <c r="AZ265">
        <v>365</v>
      </c>
      <c r="BA265">
        <v>68</v>
      </c>
      <c r="BB265">
        <v>0</v>
      </c>
      <c r="BC265" s="3">
        <v>44859</v>
      </c>
      <c r="BD265" t="s">
        <v>419</v>
      </c>
      <c r="BE265">
        <v>169999</v>
      </c>
      <c r="BF265">
        <v>163372</v>
      </c>
      <c r="BG265" t="s">
        <v>294</v>
      </c>
      <c r="BH265">
        <v>30</v>
      </c>
      <c r="BI265" t="s">
        <v>65</v>
      </c>
      <c r="BJ265" t="s">
        <v>450</v>
      </c>
      <c r="BK265">
        <v>349100</v>
      </c>
      <c r="BL265">
        <v>56600</v>
      </c>
      <c r="BM265">
        <v>292500</v>
      </c>
      <c r="BN265">
        <v>6627</v>
      </c>
      <c r="BO265">
        <v>2.0535414914205377</v>
      </c>
      <c r="BP265">
        <v>163371.99999999919</v>
      </c>
      <c r="BQ265">
        <v>188344.88607415423</v>
      </c>
      <c r="BR265" s="12">
        <f>(Sales[[#This Row],[DP1]]*Lookups!$B$59)+(Sales[[#This Row],[DP2]]*Lookups!$B$60)+(Sales[[#This Row],[DP3]]*Lookups!$B$61)</f>
        <v>-24972.886075713999</v>
      </c>
      <c r="BS265" s="12">
        <f>Lookups!$B$56*0</f>
        <v>0</v>
      </c>
      <c r="BT265" s="12">
        <f>Lookups!$B$56*1</f>
        <v>89850.625589999996</v>
      </c>
      <c r="BU265" s="12">
        <f>Lookups!$B$57*Sales[[#This Row],[LnAcres]]</f>
        <v>-52569.808201026557</v>
      </c>
      <c r="BV265" s="12">
        <f>VLOOKUP(Sales[[#This Row],[Qlty]],Lookups!$A$62:$E$75,2,FALSE)</f>
        <v>21557.329055999999</v>
      </c>
      <c r="BW265" s="12">
        <f>VLOOKUP(Sales[[#This Row],[Cnd]],Lookups!$A$76:$E$84,2,FALSE)</f>
        <v>0</v>
      </c>
      <c r="BX265" s="12">
        <f>Sales[[#This Row],[EffAge]]*Lookups!$B$85</f>
        <v>-12490.553628</v>
      </c>
      <c r="BY265" s="12">
        <f>Sales[[#This Row],[MainFn]]*Lookups!$B$86</f>
        <v>78460.967764675996</v>
      </c>
      <c r="BZ265" s="12">
        <f>Sales[[#This Row],[UpprFn]]*Lookups!$B$87</f>
        <v>0</v>
      </c>
      <c r="CA265" s="12">
        <f>Sales[[#This Row],[AddFn]]*Lookups!$B$88</f>
        <v>0</v>
      </c>
      <c r="CB265" s="12">
        <f>Sales[[#This Row],[Bsmt]]*Lookups!$B$89</f>
        <v>36992.170754184001</v>
      </c>
      <c r="CC265" s="12">
        <f>Sales[[#This Row],[Fixtures]]*Lookups!$B$90</f>
        <v>26544.1547364</v>
      </c>
      <c r="CD265" s="12">
        <f>Sales[[#This Row],[WdDeck]]*Lookups!$B$91</f>
        <v>0</v>
      </c>
      <c r="CE265" s="12">
        <f>SUM(Sales[[#This Row],[Days Prior Total]:[Mdl WdDeck]])</f>
        <v>163371.99999651941</v>
      </c>
      <c r="CF265" s="12">
        <f>ROUND(Sales[[#This Row],[25Det]],-2)</f>
        <v>6600</v>
      </c>
      <c r="CG265" s="12">
        <f>ROUND(SUM(Sales[[#This Row],[Mdl Qlty]:[Mdl WdDeck]])+Sales[[#This Row],[Mdl Res Intercept]]+Sales[[#This Row],[Days Prior Total]],-2)</f>
        <v>126100</v>
      </c>
      <c r="CH265" s="12">
        <f>ROUND(Sales[[#This Row],[Mdl Land Intercept]]+Sales[[#This Row],[Mdl LnAcres]],-2)</f>
        <v>37300</v>
      </c>
      <c r="CI265" s="12">
        <f>Sales[[#This Row],[Unadj Res Value]]+Sales[[#This Row],[Unadj Det Value]]+Sales[[#This Row],[Unadj Land Value]]</f>
        <v>170000</v>
      </c>
      <c r="CJ265" s="13">
        <f>Sales[[#This Row],[Unadj Total Value]]/Sales[[#This Row],[Price]]</f>
        <v>1.0000058823875435</v>
      </c>
      <c r="CK265" s="13">
        <f>(Sales[[#This Row],[Unadj Total Value]]-Sales[[#This Row],[24Final]])/Sales[[#This Row],[24Final]]</f>
        <v>-0.51303351475222003</v>
      </c>
      <c r="CL265">
        <f>VLOOKUP(Sales[[#This Row],[TNbhd]],Lookups!$Q$2:$T$4,4,FALSE)</f>
        <v>0.99970000000000003</v>
      </c>
      <c r="CM265">
        <f>VLOOKUP(Sales[[#This Row],[Qlty]],Lookups!$O$7:$R$21,4,FALSE)</f>
        <v>1.0067999999999999</v>
      </c>
      <c r="CN265">
        <f>VLOOKUP(Sales[[#This Row],[Cnd]],Lookups!$T$7:$W$16,4,FALSE)</f>
        <v>1</v>
      </c>
      <c r="CO265">
        <f>VLOOKUP(Sales[[#This Row],[LivArea Range]],Lookups!$T$25:$W$37,4,FALSE)</f>
        <v>0.96179999999999999</v>
      </c>
      <c r="CP265">
        <f>VLOOKUP(Sales[[#This Row],[Decade]],Lookups!$O$25:$R$42,4,FALSE)</f>
        <v>1.0074000000000001</v>
      </c>
      <c r="CQ265">
        <f>Sales[[#This Row],[Nbhd Adj]]*0.95</f>
        <v>0.94971499999999998</v>
      </c>
      <c r="CR265">
        <f>Sales[[#This Row],[Nbhd Adj]]*Sales[[#This Row],[Quality Adj]]*Sales[[#This Row],[Condition Adj]]*Sales[[#This Row],[Living Area Adj]]*Sales[[#This Row],[Decade Adj]]*0.95</f>
        <v>0.92645264068923383</v>
      </c>
      <c r="CS265">
        <f>ROUND(SUM(Sales[[#This Row],[Mdl Qlty]:[Mdl WdDeck]])+Sales[[#This Row],[Mdl Res Intercept]]*Sales[[#This Row],[Res Adj ]],-2)</f>
        <v>151100</v>
      </c>
      <c r="CT265">
        <f>ROUND(Sales[[#This Row],[25Det]]*Sales[[#This Row],[Det/Nbhd Adj]],-2)</f>
        <v>6300</v>
      </c>
      <c r="CU265">
        <f>Sales[[#This Row],[Adjusted Res]]+Sales[[#This Row],[Adj Det ]]</f>
        <v>157400</v>
      </c>
      <c r="CV265">
        <f>ROUND((Sales[[#This Row],[Mdl Land Intercept]]+Sales[[#This Row],[Mdl LnAcres]])*Sales[[#This Row],[Det/Nbhd Adj]],-2)</f>
        <v>35400</v>
      </c>
      <c r="CW265">
        <f>Sales[[#This Row],[Adjusted Impr Total]]+Sales[[#This Row],[Adjusted Land Total]]</f>
        <v>192800</v>
      </c>
      <c r="CX265" s="15">
        <f>IFERROR((Sales[[#This Row],[Adjusted Impr Total]]-Sales[[#This Row],[24Bldg]])/Sales[[#This Row],[24Bldg]],0)</f>
        <v>-0.46188034188034188</v>
      </c>
      <c r="CY265" s="15">
        <f>(Sales[[#This Row],[Adjusted Land Total]]-Sales[[#This Row],[24Lnd]])/Sales[[#This Row],[24Lnd]]</f>
        <v>-0.37455830388692579</v>
      </c>
      <c r="CZ265" s="15">
        <f>(Sales[[#This Row],[Adjusted Total]]-Sales[[#This Row],[24Final]])/Sales[[#This Row],[24Final]]</f>
        <v>-0.44772271555428245</v>
      </c>
      <c r="DA265" s="15">
        <f>(Sales[[#This Row],[Adjusted Total]]+Sales[[#This Row],[Days Prior Total]])/Sales[[#This Row],[Price]]</f>
        <v>0.98722412440241414</v>
      </c>
    </row>
    <row r="266" spans="1:105" x14ac:dyDescent="0.3">
      <c r="A266">
        <v>2025</v>
      </c>
      <c r="B266">
        <v>18132342431</v>
      </c>
      <c r="C266">
        <v>-1.9661128563728327</v>
      </c>
      <c r="D266">
        <v>0.14000000000000001</v>
      </c>
      <c r="E266">
        <v>0</v>
      </c>
      <c r="F266">
        <v>6</v>
      </c>
      <c r="G266" t="s">
        <v>126</v>
      </c>
      <c r="H266">
        <v>3032</v>
      </c>
      <c r="I266" t="s">
        <v>349</v>
      </c>
      <c r="J266" t="s">
        <v>30</v>
      </c>
      <c r="K266">
        <v>11</v>
      </c>
      <c r="L266">
        <v>259</v>
      </c>
      <c r="M266" t="s">
        <v>242</v>
      </c>
      <c r="N266" t="s">
        <v>351</v>
      </c>
      <c r="O266" t="s">
        <v>303</v>
      </c>
      <c r="P266">
        <v>100</v>
      </c>
      <c r="Q266">
        <v>1925</v>
      </c>
      <c r="R266">
        <v>1968</v>
      </c>
      <c r="S266">
        <v>99</v>
      </c>
      <c r="T266">
        <v>56</v>
      </c>
      <c r="U266">
        <v>1</v>
      </c>
      <c r="V266">
        <v>664</v>
      </c>
      <c r="W266">
        <v>0</v>
      </c>
      <c r="X266">
        <v>0</v>
      </c>
      <c r="Y266">
        <v>372</v>
      </c>
      <c r="Z266">
        <v>372</v>
      </c>
      <c r="AA266">
        <v>0</v>
      </c>
      <c r="AB266">
        <v>664</v>
      </c>
      <c r="AC266">
        <v>1000</v>
      </c>
      <c r="AD266">
        <v>1</v>
      </c>
      <c r="AF266" t="s">
        <v>208</v>
      </c>
      <c r="AG266" t="s">
        <v>148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5</v>
      </c>
      <c r="AO266">
        <v>187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100</v>
      </c>
      <c r="AV266">
        <v>100</v>
      </c>
      <c r="AW266">
        <v>126515</v>
      </c>
      <c r="AX266">
        <v>93621</v>
      </c>
      <c r="AY266">
        <v>593</v>
      </c>
      <c r="AZ266">
        <v>365</v>
      </c>
      <c r="BA266">
        <v>228</v>
      </c>
      <c r="BB266">
        <v>0</v>
      </c>
      <c r="BC266" s="3">
        <v>44699</v>
      </c>
      <c r="BD266" t="s">
        <v>132</v>
      </c>
      <c r="BE266">
        <v>275000</v>
      </c>
      <c r="BF266">
        <v>275000</v>
      </c>
      <c r="BG266" t="s">
        <v>294</v>
      </c>
      <c r="BH266">
        <v>30</v>
      </c>
      <c r="BI266" t="s">
        <v>65</v>
      </c>
      <c r="BJ266" t="s">
        <v>450</v>
      </c>
      <c r="BK266">
        <v>259500</v>
      </c>
      <c r="BL266">
        <v>46000</v>
      </c>
      <c r="BM266">
        <v>213500</v>
      </c>
      <c r="BN266">
        <v>0</v>
      </c>
      <c r="BO266">
        <v>0.94363636363636361</v>
      </c>
      <c r="BP266">
        <v>273883.55500349525</v>
      </c>
      <c r="BQ266">
        <v>297019.13361328939</v>
      </c>
      <c r="BR266" s="12">
        <f>(Sales[[#This Row],[DP1]]*Lookups!$B$59)+(Sales[[#This Row],[DP2]]*Lookups!$B$60)+(Sales[[#This Row],[DP3]]*Lookups!$B$61)</f>
        <v>-23135.578611394001</v>
      </c>
      <c r="BS266" s="12">
        <f>Lookups!$B$56*0</f>
        <v>0</v>
      </c>
      <c r="BT266" s="12">
        <f>Lookups!$B$56*1</f>
        <v>89850.625589999996</v>
      </c>
      <c r="BU266" s="12">
        <f>Lookups!$B$57*Sales[[#This Row],[LnAcres]]</f>
        <v>-62236.546971921947</v>
      </c>
      <c r="BV266" s="12">
        <f>VLOOKUP(Sales[[#This Row],[Qlty]],Lookups!$A$62:$E$75,2,FALSE)</f>
        <v>21557.329055999999</v>
      </c>
      <c r="BW266" s="12">
        <f>VLOOKUP(Sales[[#This Row],[Cnd]],Lookups!$A$76:$E$84,2,FALSE)</f>
        <v>197752.34721000001</v>
      </c>
      <c r="BX266" s="12">
        <f>Sales[[#This Row],[EffAge]]*Lookups!$B$85</f>
        <v>-12490.553628</v>
      </c>
      <c r="BY266" s="12">
        <f>Sales[[#This Row],[MainFn]]*Lookups!$B$86</f>
        <v>32807.356798328001</v>
      </c>
      <c r="BZ266" s="12">
        <f>Sales[[#This Row],[UpprFn]]*Lookups!$B$87</f>
        <v>0</v>
      </c>
      <c r="CA266" s="12">
        <f>Sales[[#This Row],[AddFn]]*Lookups!$B$88</f>
        <v>0</v>
      </c>
      <c r="CB266" s="12">
        <f>Sales[[#This Row],[Bsmt]]*Lookups!$B$89</f>
        <v>10818.465031883999</v>
      </c>
      <c r="CC266" s="12">
        <f>Sales[[#This Row],[Fixtures]]*Lookups!$B$90</f>
        <v>18960.110526</v>
      </c>
      <c r="CD266" s="12">
        <f>Sales[[#This Row],[WdDeck]]*Lookups!$B$91</f>
        <v>0</v>
      </c>
      <c r="CE266" s="12">
        <f>SUM(Sales[[#This Row],[Days Prior Total]:[Mdl WdDeck]])</f>
        <v>273883.55500089604</v>
      </c>
      <c r="CF266" s="12">
        <f>ROUND(Sales[[#This Row],[25Det]],-2)</f>
        <v>0</v>
      </c>
      <c r="CG266" s="12">
        <f>ROUND(SUM(Sales[[#This Row],[Mdl Qlty]:[Mdl WdDeck]])+Sales[[#This Row],[Mdl Res Intercept]]+Sales[[#This Row],[Days Prior Total]],-2)</f>
        <v>246300</v>
      </c>
      <c r="CH266" s="12">
        <f>ROUND(Sales[[#This Row],[Mdl Land Intercept]]+Sales[[#This Row],[Mdl LnAcres]],-2)</f>
        <v>27600</v>
      </c>
      <c r="CI266" s="12">
        <f>Sales[[#This Row],[Unadj Res Value]]+Sales[[#This Row],[Unadj Det Value]]+Sales[[#This Row],[Unadj Land Value]]</f>
        <v>273900</v>
      </c>
      <c r="CJ266" s="13">
        <f>Sales[[#This Row],[Unadj Total Value]]/Sales[[#This Row],[Price]]</f>
        <v>0.996</v>
      </c>
      <c r="CK266" s="13">
        <f>(Sales[[#This Row],[Unadj Total Value]]-Sales[[#This Row],[24Final]])/Sales[[#This Row],[24Final]]</f>
        <v>5.5491329479768786E-2</v>
      </c>
      <c r="CL266">
        <f>VLOOKUP(Sales[[#This Row],[TNbhd]],Lookups!$Q$2:$T$4,4,FALSE)</f>
        <v>0.99970000000000003</v>
      </c>
      <c r="CM266">
        <f>VLOOKUP(Sales[[#This Row],[Qlty]],Lookups!$O$7:$R$21,4,FALSE)</f>
        <v>1.0067999999999999</v>
      </c>
      <c r="CN266">
        <f>VLOOKUP(Sales[[#This Row],[Cnd]],Lookups!$T$7:$W$16,4,FALSE)</f>
        <v>0.99650000000000005</v>
      </c>
      <c r="CO266">
        <f>VLOOKUP(Sales[[#This Row],[LivArea Range]],Lookups!$T$25:$W$37,4,FALSE)</f>
        <v>1.0148999999999999</v>
      </c>
      <c r="CP266">
        <f>VLOOKUP(Sales[[#This Row],[Decade]],Lookups!$O$25:$R$42,4,FALSE)</f>
        <v>1.0074000000000001</v>
      </c>
      <c r="CQ266">
        <f>Sales[[#This Row],[Nbhd Adj]]*0.95</f>
        <v>0.94971499999999998</v>
      </c>
      <c r="CR266">
        <f>Sales[[#This Row],[Nbhd Adj]]*Sales[[#This Row],[Quality Adj]]*Sales[[#This Row],[Condition Adj]]*Sales[[#This Row],[Living Area Adj]]*Sales[[#This Row],[Decade Adj]]*0.95</f>
        <v>0.97417954490318037</v>
      </c>
      <c r="CS266">
        <f>ROUND(SUM(Sales[[#This Row],[Mdl Qlty]:[Mdl WdDeck]])+Sales[[#This Row],[Mdl Res Intercept]]*Sales[[#This Row],[Res Adj ]],-2)</f>
        <v>269400</v>
      </c>
      <c r="CT266">
        <f>ROUND(Sales[[#This Row],[25Det]]*Sales[[#This Row],[Det/Nbhd Adj]],-2)</f>
        <v>0</v>
      </c>
      <c r="CU266">
        <f>Sales[[#This Row],[Adjusted Res]]+Sales[[#This Row],[Adj Det ]]</f>
        <v>269400</v>
      </c>
      <c r="CV266">
        <f>ROUND((Sales[[#This Row],[Mdl Land Intercept]]+Sales[[#This Row],[Mdl LnAcres]])*Sales[[#This Row],[Det/Nbhd Adj]],-2)</f>
        <v>26200</v>
      </c>
      <c r="CW266">
        <f>Sales[[#This Row],[Adjusted Impr Total]]+Sales[[#This Row],[Adjusted Land Total]]</f>
        <v>295600</v>
      </c>
      <c r="CX266" s="15">
        <f>IFERROR((Sales[[#This Row],[Adjusted Impr Total]]-Sales[[#This Row],[24Bldg]])/Sales[[#This Row],[24Bldg]],0)</f>
        <v>0.26182669789227164</v>
      </c>
      <c r="CY266" s="15">
        <f>(Sales[[#This Row],[Adjusted Land Total]]-Sales[[#This Row],[24Lnd]])/Sales[[#This Row],[24Lnd]]</f>
        <v>-0.43043478260869567</v>
      </c>
      <c r="CZ266" s="15">
        <f>(Sales[[#This Row],[Adjusted Total]]-Sales[[#This Row],[24Final]])/Sales[[#This Row],[24Final]]</f>
        <v>0.13911368015414258</v>
      </c>
      <c r="DA266" s="15">
        <f>(Sales[[#This Row],[Adjusted Total]]+Sales[[#This Row],[Days Prior Total]])/Sales[[#This Row],[Price]]</f>
        <v>0.99077971414038557</v>
      </c>
    </row>
    <row r="267" spans="1:105" x14ac:dyDescent="0.3">
      <c r="A267">
        <v>2025</v>
      </c>
      <c r="B267">
        <v>18132313484</v>
      </c>
      <c r="C267">
        <v>-1.8971199848858813</v>
      </c>
      <c r="D267">
        <v>0.15</v>
      </c>
      <c r="E267">
        <v>6737</v>
      </c>
      <c r="F267">
        <v>6</v>
      </c>
      <c r="G267" t="s">
        <v>126</v>
      </c>
      <c r="H267">
        <v>3033</v>
      </c>
      <c r="I267" t="s">
        <v>349</v>
      </c>
      <c r="J267" t="s">
        <v>30</v>
      </c>
      <c r="K267">
        <v>11</v>
      </c>
      <c r="L267">
        <v>259</v>
      </c>
      <c r="M267" t="s">
        <v>269</v>
      </c>
      <c r="N267" t="s">
        <v>351</v>
      </c>
      <c r="O267" t="s">
        <v>303</v>
      </c>
      <c r="P267">
        <v>100</v>
      </c>
      <c r="Q267">
        <v>1925</v>
      </c>
      <c r="R267">
        <v>1968</v>
      </c>
      <c r="S267">
        <v>99</v>
      </c>
      <c r="T267">
        <v>56</v>
      </c>
      <c r="U267">
        <v>1</v>
      </c>
      <c r="V267">
        <v>840</v>
      </c>
      <c r="W267">
        <v>0</v>
      </c>
      <c r="X267">
        <v>0</v>
      </c>
      <c r="Y267">
        <v>840</v>
      </c>
      <c r="Z267">
        <v>209</v>
      </c>
      <c r="AA267">
        <v>631</v>
      </c>
      <c r="AB267">
        <v>1471</v>
      </c>
      <c r="AC267">
        <v>1500</v>
      </c>
      <c r="AD267">
        <v>0</v>
      </c>
      <c r="AF267" t="s">
        <v>208</v>
      </c>
      <c r="AG267" t="s">
        <v>148</v>
      </c>
      <c r="AI267">
        <v>0</v>
      </c>
      <c r="AJ267">
        <v>1</v>
      </c>
      <c r="AK267">
        <v>0</v>
      </c>
      <c r="AL267">
        <v>1</v>
      </c>
      <c r="AM267">
        <v>0</v>
      </c>
      <c r="AN267">
        <v>8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16</v>
      </c>
      <c r="AU267">
        <v>100</v>
      </c>
      <c r="AV267">
        <v>100</v>
      </c>
      <c r="AW267">
        <v>192950</v>
      </c>
      <c r="AX267">
        <v>142783</v>
      </c>
      <c r="AY267">
        <v>376</v>
      </c>
      <c r="AZ267">
        <v>365</v>
      </c>
      <c r="BA267">
        <v>11</v>
      </c>
      <c r="BB267">
        <v>0</v>
      </c>
      <c r="BC267" s="3">
        <v>44916</v>
      </c>
      <c r="BD267" t="s">
        <v>156</v>
      </c>
      <c r="BE267">
        <v>310000</v>
      </c>
      <c r="BF267">
        <v>304683</v>
      </c>
      <c r="BG267" t="s">
        <v>294</v>
      </c>
      <c r="BH267">
        <v>30</v>
      </c>
      <c r="BI267" t="s">
        <v>65</v>
      </c>
      <c r="BJ267" t="s">
        <v>450</v>
      </c>
      <c r="BK267">
        <v>310300</v>
      </c>
      <c r="BL267">
        <v>48400</v>
      </c>
      <c r="BM267">
        <v>261900</v>
      </c>
      <c r="BN267">
        <v>5317</v>
      </c>
      <c r="BO267">
        <v>1.0009677419354839</v>
      </c>
      <c r="BP267">
        <v>307257.96878055349</v>
      </c>
      <c r="BQ267">
        <v>332885.39563888713</v>
      </c>
      <c r="BR267" s="12">
        <f>(Sales[[#This Row],[DP1]]*Lookups!$B$59)+(Sales[[#This Row],[DP2]]*Lookups!$B$60)+(Sales[[#This Row],[DP3]]*Lookups!$B$61)</f>
        <v>-25627.426859878</v>
      </c>
      <c r="BS267" s="12">
        <f>Lookups!$B$56*0</f>
        <v>0</v>
      </c>
      <c r="BT267" s="12">
        <f>Lookups!$B$56*1</f>
        <v>89850.625589999996</v>
      </c>
      <c r="BU267" s="12">
        <f>Lookups!$B$57*Sales[[#This Row],[LnAcres]]</f>
        <v>-60052.604136134301</v>
      </c>
      <c r="BV267" s="12">
        <f>VLOOKUP(Sales[[#This Row],[Qlty]],Lookups!$A$62:$E$75,2,FALSE)</f>
        <v>21557.329055999999</v>
      </c>
      <c r="BW267" s="12">
        <f>VLOOKUP(Sales[[#This Row],[Cnd]],Lookups!$A$76:$E$84,2,FALSE)</f>
        <v>197752.34721000001</v>
      </c>
      <c r="BX267" s="12">
        <f>Sales[[#This Row],[EffAge]]*Lookups!$B$85</f>
        <v>-12490.553628</v>
      </c>
      <c r="BY267" s="12">
        <f>Sales[[#This Row],[MainFn]]*Lookups!$B$86</f>
        <v>41503.282696679998</v>
      </c>
      <c r="BZ267" s="12">
        <f>Sales[[#This Row],[UpprFn]]*Lookups!$B$87</f>
        <v>0</v>
      </c>
      <c r="CA267" s="12">
        <f>Sales[[#This Row],[AddFn]]*Lookups!$B$88</f>
        <v>0</v>
      </c>
      <c r="CB267" s="12">
        <f>Sales[[#This Row],[Bsmt]]*Lookups!$B$89</f>
        <v>24428.792007479999</v>
      </c>
      <c r="CC267" s="12">
        <f>Sales[[#This Row],[Fixtures]]*Lookups!$B$90</f>
        <v>30336.176841600001</v>
      </c>
      <c r="CD267" s="12">
        <f>Sales[[#This Row],[WdDeck]]*Lookups!$B$91</f>
        <v>0</v>
      </c>
      <c r="CE267" s="12">
        <f>SUM(Sales[[#This Row],[Days Prior Total]:[Mdl WdDeck]])</f>
        <v>307257.96877774771</v>
      </c>
      <c r="CF267" s="12">
        <f>ROUND(Sales[[#This Row],[25Det]],-2)</f>
        <v>5300</v>
      </c>
      <c r="CG267" s="12">
        <f>ROUND(SUM(Sales[[#This Row],[Mdl Qlty]:[Mdl WdDeck]])+Sales[[#This Row],[Mdl Res Intercept]]+Sales[[#This Row],[Days Prior Total]],-2)</f>
        <v>277500</v>
      </c>
      <c r="CH267" s="12">
        <f>ROUND(Sales[[#This Row],[Mdl Land Intercept]]+Sales[[#This Row],[Mdl LnAcres]],-2)</f>
        <v>29800</v>
      </c>
      <c r="CI267" s="12">
        <f>Sales[[#This Row],[Unadj Res Value]]+Sales[[#This Row],[Unadj Det Value]]+Sales[[#This Row],[Unadj Land Value]]</f>
        <v>312600</v>
      </c>
      <c r="CJ267" s="13">
        <f>Sales[[#This Row],[Unadj Total Value]]/Sales[[#This Row],[Price]]</f>
        <v>1.0083870967741935</v>
      </c>
      <c r="CK267" s="13">
        <f>(Sales[[#This Row],[Unadj Total Value]]-Sales[[#This Row],[24Final]])/Sales[[#This Row],[24Final]]</f>
        <v>7.4121817595874957E-3</v>
      </c>
      <c r="CL267">
        <f>VLOOKUP(Sales[[#This Row],[TNbhd]],Lookups!$Q$2:$T$4,4,FALSE)</f>
        <v>0.99970000000000003</v>
      </c>
      <c r="CM267">
        <f>VLOOKUP(Sales[[#This Row],[Qlty]],Lookups!$O$7:$R$21,4,FALSE)</f>
        <v>1.0067999999999999</v>
      </c>
      <c r="CN267">
        <f>VLOOKUP(Sales[[#This Row],[Cnd]],Lookups!$T$7:$W$16,4,FALSE)</f>
        <v>0.99650000000000005</v>
      </c>
      <c r="CO267">
        <f>VLOOKUP(Sales[[#This Row],[LivArea Range]],Lookups!$T$25:$W$37,4,FALSE)</f>
        <v>1.0157</v>
      </c>
      <c r="CP267">
        <f>VLOOKUP(Sales[[#This Row],[Decade]],Lookups!$O$25:$R$42,4,FALSE)</f>
        <v>1.0074000000000001</v>
      </c>
      <c r="CQ267">
        <f>Sales[[#This Row],[Nbhd Adj]]*0.95</f>
        <v>0.94971499999999998</v>
      </c>
      <c r="CR267">
        <f>Sales[[#This Row],[Nbhd Adj]]*Sales[[#This Row],[Quality Adj]]*Sales[[#This Row],[Condition Adj]]*Sales[[#This Row],[Living Area Adj]]*Sales[[#This Row],[Decade Adj]]*0.95</f>
        <v>0.97494744680082823</v>
      </c>
      <c r="CS267">
        <f>ROUND(SUM(Sales[[#This Row],[Mdl Qlty]:[Mdl WdDeck]])+Sales[[#This Row],[Mdl Res Intercept]]*Sales[[#This Row],[Res Adj ]],-2)</f>
        <v>303100</v>
      </c>
      <c r="CT267">
        <f>ROUND(Sales[[#This Row],[25Det]]*Sales[[#This Row],[Det/Nbhd Adj]],-2)</f>
        <v>5000</v>
      </c>
      <c r="CU267">
        <f>Sales[[#This Row],[Adjusted Res]]+Sales[[#This Row],[Adj Det ]]</f>
        <v>308100</v>
      </c>
      <c r="CV267">
        <f>ROUND((Sales[[#This Row],[Mdl Land Intercept]]+Sales[[#This Row],[Mdl LnAcres]])*Sales[[#This Row],[Det/Nbhd Adj]],-2)</f>
        <v>28300</v>
      </c>
      <c r="CW267">
        <f>Sales[[#This Row],[Adjusted Impr Total]]+Sales[[#This Row],[Adjusted Land Total]]</f>
        <v>336400</v>
      </c>
      <c r="CX267" s="15">
        <f>IFERROR((Sales[[#This Row],[Adjusted Impr Total]]-Sales[[#This Row],[24Bldg]])/Sales[[#This Row],[24Bldg]],0)</f>
        <v>0.17640320733104239</v>
      </c>
      <c r="CY267" s="15">
        <f>(Sales[[#This Row],[Adjusted Land Total]]-Sales[[#This Row],[24Lnd]])/Sales[[#This Row],[24Lnd]]</f>
        <v>-0.41528925619834711</v>
      </c>
      <c r="CZ267" s="15">
        <f>(Sales[[#This Row],[Adjusted Total]]-Sales[[#This Row],[24Final]])/Sales[[#This Row],[24Final]]</f>
        <v>8.4112149532710276E-2</v>
      </c>
      <c r="DA267" s="15">
        <f>(Sales[[#This Row],[Adjusted Total]]+Sales[[#This Row],[Days Prior Total]])/Sales[[#This Row],[Price]]</f>
        <v>1.0024921714197483</v>
      </c>
    </row>
    <row r="268" spans="1:105" x14ac:dyDescent="0.3">
      <c r="A268">
        <v>2025</v>
      </c>
      <c r="B268">
        <v>18132332580</v>
      </c>
      <c r="C268">
        <v>-1.7719568419318752</v>
      </c>
      <c r="D268">
        <v>0.17</v>
      </c>
      <c r="E268">
        <v>7194</v>
      </c>
      <c r="F268">
        <v>6</v>
      </c>
      <c r="G268" t="s">
        <v>126</v>
      </c>
      <c r="H268">
        <v>3032</v>
      </c>
      <c r="I268" t="s">
        <v>349</v>
      </c>
      <c r="J268" t="s">
        <v>30</v>
      </c>
      <c r="K268">
        <v>11</v>
      </c>
      <c r="L268">
        <v>259</v>
      </c>
      <c r="M268" t="s">
        <v>147</v>
      </c>
      <c r="N268" t="s">
        <v>148</v>
      </c>
      <c r="O268" t="s">
        <v>303</v>
      </c>
      <c r="P268">
        <v>100</v>
      </c>
      <c r="Q268">
        <v>1925</v>
      </c>
      <c r="R268">
        <v>1968</v>
      </c>
      <c r="S268">
        <v>99</v>
      </c>
      <c r="T268">
        <v>56</v>
      </c>
      <c r="U268">
        <v>2</v>
      </c>
      <c r="V268">
        <v>1116</v>
      </c>
      <c r="W268">
        <v>300</v>
      </c>
      <c r="X268">
        <v>0</v>
      </c>
      <c r="Y268">
        <v>837</v>
      </c>
      <c r="Z268">
        <v>0</v>
      </c>
      <c r="AA268">
        <v>837</v>
      </c>
      <c r="AB268">
        <v>2253</v>
      </c>
      <c r="AC268">
        <v>2500</v>
      </c>
      <c r="AD268">
        <v>0</v>
      </c>
      <c r="AF268" t="s">
        <v>383</v>
      </c>
      <c r="AG268" t="s">
        <v>148</v>
      </c>
      <c r="AH268" t="s">
        <v>450</v>
      </c>
      <c r="AI268">
        <v>0</v>
      </c>
      <c r="AJ268">
        <v>1</v>
      </c>
      <c r="AK268">
        <v>0</v>
      </c>
      <c r="AL268">
        <v>2</v>
      </c>
      <c r="AM268">
        <v>0</v>
      </c>
      <c r="AN268">
        <v>12</v>
      </c>
      <c r="AO268">
        <v>0</v>
      </c>
      <c r="AP268">
        <v>0</v>
      </c>
      <c r="AQ268">
        <v>0</v>
      </c>
      <c r="AR268">
        <v>0</v>
      </c>
      <c r="AS268">
        <v>192</v>
      </c>
      <c r="AT268">
        <v>0</v>
      </c>
      <c r="AU268">
        <v>100</v>
      </c>
      <c r="AV268">
        <v>100</v>
      </c>
      <c r="AW268">
        <v>366837</v>
      </c>
      <c r="AX268">
        <v>271459</v>
      </c>
      <c r="AY268">
        <v>1013</v>
      </c>
      <c r="AZ268">
        <v>365</v>
      </c>
      <c r="BA268">
        <v>365</v>
      </c>
      <c r="BB268">
        <v>283</v>
      </c>
      <c r="BC268" s="3">
        <v>44279</v>
      </c>
      <c r="BD268" t="s">
        <v>87</v>
      </c>
      <c r="BE268">
        <v>345000</v>
      </c>
      <c r="BF268">
        <v>338445</v>
      </c>
      <c r="BG268" t="s">
        <v>294</v>
      </c>
      <c r="BH268">
        <v>30</v>
      </c>
      <c r="BI268" t="s">
        <v>65</v>
      </c>
      <c r="BJ268" t="s">
        <v>450</v>
      </c>
      <c r="BK268">
        <v>384600</v>
      </c>
      <c r="BL268">
        <v>52700</v>
      </c>
      <c r="BM268">
        <v>331900</v>
      </c>
      <c r="BN268">
        <v>6555</v>
      </c>
      <c r="BO268">
        <v>1.1147826086956523</v>
      </c>
      <c r="BP268">
        <v>342159.02951066435</v>
      </c>
      <c r="BQ268">
        <v>401564.6583476793</v>
      </c>
      <c r="BR268" s="12">
        <f>(Sales[[#This Row],[DP1]]*Lookups!$B$59)+(Sales[[#This Row],[DP2]]*Lookups!$B$60)+(Sales[[#This Row],[DP3]]*Lookups!$B$61)</f>
        <v>-59405.628845770007</v>
      </c>
      <c r="BS268" s="12">
        <f>Lookups!$B$56*0</f>
        <v>0</v>
      </c>
      <c r="BT268" s="12">
        <f>Lookups!$B$56*1</f>
        <v>89850.625589999996</v>
      </c>
      <c r="BU268" s="12">
        <f>Lookups!$B$57*Sales[[#This Row],[LnAcres]]</f>
        <v>-56090.612940989391</v>
      </c>
      <c r="BV268" s="12">
        <f>VLOOKUP(Sales[[#This Row],[Qlty]],Lookups!$A$62:$E$75,2,FALSE)</f>
        <v>44121.038090000002</v>
      </c>
      <c r="BW268" s="12">
        <f>VLOOKUP(Sales[[#This Row],[Cnd]],Lookups!$A$76:$E$84,2,FALSE)</f>
        <v>197752.34721000001</v>
      </c>
      <c r="BX268" s="12">
        <f>Sales[[#This Row],[EffAge]]*Lookups!$B$85</f>
        <v>-12490.553628</v>
      </c>
      <c r="BY268" s="12">
        <f>Sales[[#This Row],[MainFn]]*Lookups!$B$86</f>
        <v>55140.075582732003</v>
      </c>
      <c r="BZ268" s="12">
        <f>Sales[[#This Row],[UpprFn]]*Lookups!$B$87</f>
        <v>13435.926858299999</v>
      </c>
      <c r="CA268" s="12">
        <f>Sales[[#This Row],[AddFn]]*Lookups!$B$88</f>
        <v>0</v>
      </c>
      <c r="CB268" s="12">
        <f>Sales[[#This Row],[Bsmt]]*Lookups!$B$89</f>
        <v>24341.546321738999</v>
      </c>
      <c r="CC268" s="12">
        <f>Sales[[#This Row],[Fixtures]]*Lookups!$B$90</f>
        <v>45504.265262400004</v>
      </c>
      <c r="CD268" s="12">
        <f>Sales[[#This Row],[WdDeck]]*Lookups!$B$91</f>
        <v>0</v>
      </c>
      <c r="CE268" s="12">
        <f>SUM(Sales[[#This Row],[Days Prior Total]:[Mdl WdDeck]])</f>
        <v>342159.02950041159</v>
      </c>
      <c r="CF268" s="12">
        <f>ROUND(Sales[[#This Row],[25Det]],-2)</f>
        <v>6600</v>
      </c>
      <c r="CG268" s="12">
        <f>ROUND(SUM(Sales[[#This Row],[Mdl Qlty]:[Mdl WdDeck]])+Sales[[#This Row],[Mdl Res Intercept]]+Sales[[#This Row],[Days Prior Total]],-2)</f>
        <v>308400</v>
      </c>
      <c r="CH268" s="12">
        <f>ROUND(Sales[[#This Row],[Mdl Land Intercept]]+Sales[[#This Row],[Mdl LnAcres]],-2)</f>
        <v>33800</v>
      </c>
      <c r="CI268" s="12">
        <f>Sales[[#This Row],[Unadj Res Value]]+Sales[[#This Row],[Unadj Det Value]]+Sales[[#This Row],[Unadj Land Value]]</f>
        <v>348800</v>
      </c>
      <c r="CJ268" s="13">
        <f>Sales[[#This Row],[Unadj Total Value]]/Sales[[#This Row],[Price]]</f>
        <v>1.0110144927536231</v>
      </c>
      <c r="CK268" s="13">
        <f>(Sales[[#This Row],[Unadj Total Value]]-Sales[[#This Row],[24Final]])/Sales[[#This Row],[24Final]]</f>
        <v>-9.3083723348933958E-2</v>
      </c>
      <c r="CL268">
        <f>VLOOKUP(Sales[[#This Row],[TNbhd]],Lookups!$Q$2:$T$4,4,FALSE)</f>
        <v>0.99970000000000003</v>
      </c>
      <c r="CM268">
        <f>VLOOKUP(Sales[[#This Row],[Qlty]],Lookups!$O$7:$R$21,4,FALSE)</f>
        <v>0.98050000000000004</v>
      </c>
      <c r="CN268">
        <f>VLOOKUP(Sales[[#This Row],[Cnd]],Lookups!$T$7:$W$16,4,FALSE)</f>
        <v>0.99650000000000005</v>
      </c>
      <c r="CO268">
        <f>VLOOKUP(Sales[[#This Row],[LivArea Range]],Lookups!$T$25:$W$37,4,FALSE)</f>
        <v>0.98919999999999997</v>
      </c>
      <c r="CP268">
        <f>VLOOKUP(Sales[[#This Row],[Decade]],Lookups!$O$25:$R$42,4,FALSE)</f>
        <v>1.0074000000000001</v>
      </c>
      <c r="CQ268">
        <f>Sales[[#This Row],[Nbhd Adj]]*0.95</f>
        <v>0.94971499999999998</v>
      </c>
      <c r="CR268">
        <f>Sales[[#This Row],[Nbhd Adj]]*Sales[[#This Row],[Quality Adj]]*Sales[[#This Row],[Condition Adj]]*Sales[[#This Row],[Living Area Adj]]*Sales[[#This Row],[Decade Adj]]*0.95</f>
        <v>0.9247072287054503</v>
      </c>
      <c r="CS268">
        <f>ROUND(SUM(Sales[[#This Row],[Mdl Qlty]:[Mdl WdDeck]])+Sales[[#This Row],[Mdl Res Intercept]]*Sales[[#This Row],[Res Adj ]],-2)</f>
        <v>367800</v>
      </c>
      <c r="CT268">
        <f>ROUND(Sales[[#This Row],[25Det]]*Sales[[#This Row],[Det/Nbhd Adj]],-2)</f>
        <v>6200</v>
      </c>
      <c r="CU268">
        <f>Sales[[#This Row],[Adjusted Res]]+Sales[[#This Row],[Adj Det ]]</f>
        <v>374000</v>
      </c>
      <c r="CV268">
        <f>ROUND((Sales[[#This Row],[Mdl Land Intercept]]+Sales[[#This Row],[Mdl LnAcres]])*Sales[[#This Row],[Det/Nbhd Adj]],-2)</f>
        <v>32100</v>
      </c>
      <c r="CW268">
        <f>Sales[[#This Row],[Adjusted Impr Total]]+Sales[[#This Row],[Adjusted Land Total]]</f>
        <v>406100</v>
      </c>
      <c r="CX268" s="15">
        <f>IFERROR((Sales[[#This Row],[Adjusted Impr Total]]-Sales[[#This Row],[24Bldg]])/Sales[[#This Row],[24Bldg]],0)</f>
        <v>0.12684543537210002</v>
      </c>
      <c r="CY268" s="15">
        <f>(Sales[[#This Row],[Adjusted Land Total]]-Sales[[#This Row],[24Lnd]])/Sales[[#This Row],[24Lnd]]</f>
        <v>-0.39089184060721061</v>
      </c>
      <c r="CZ268" s="15">
        <f>(Sales[[#This Row],[Adjusted Total]]-Sales[[#This Row],[24Final]])/Sales[[#This Row],[24Final]]</f>
        <v>5.5902236089443579E-2</v>
      </c>
      <c r="DA268" s="15">
        <f>(Sales[[#This Row],[Adjusted Total]]+Sales[[#This Row],[Days Prior Total]])/Sales[[#This Row],[Price]]</f>
        <v>1.0049112207368984</v>
      </c>
    </row>
    <row r="269" spans="1:105" x14ac:dyDescent="0.3">
      <c r="A269">
        <v>2025</v>
      </c>
      <c r="B269">
        <v>18132342419</v>
      </c>
      <c r="C269">
        <v>-1.9661128563728327</v>
      </c>
      <c r="D269">
        <v>0.14000000000000001</v>
      </c>
      <c r="E269">
        <v>0</v>
      </c>
      <c r="F269">
        <v>6</v>
      </c>
      <c r="G269" t="s">
        <v>126</v>
      </c>
      <c r="H269">
        <v>3033</v>
      </c>
      <c r="I269" t="s">
        <v>349</v>
      </c>
      <c r="J269" t="s">
        <v>30</v>
      </c>
      <c r="K269">
        <v>11</v>
      </c>
      <c r="L269">
        <v>259</v>
      </c>
      <c r="M269" t="s">
        <v>269</v>
      </c>
      <c r="N269" t="s">
        <v>351</v>
      </c>
      <c r="O269" t="s">
        <v>323</v>
      </c>
      <c r="P269">
        <v>100</v>
      </c>
      <c r="Q269">
        <v>1925</v>
      </c>
      <c r="R269">
        <v>1968</v>
      </c>
      <c r="S269">
        <v>99</v>
      </c>
      <c r="T269">
        <v>56</v>
      </c>
      <c r="U269">
        <v>2</v>
      </c>
      <c r="V269">
        <v>1320</v>
      </c>
      <c r="W269">
        <v>660</v>
      </c>
      <c r="X269">
        <v>0</v>
      </c>
      <c r="Y269">
        <v>1320</v>
      </c>
      <c r="Z269">
        <v>0</v>
      </c>
      <c r="AA269">
        <v>1320</v>
      </c>
      <c r="AB269">
        <v>3300</v>
      </c>
      <c r="AC269">
        <v>3500</v>
      </c>
      <c r="AD269">
        <v>0</v>
      </c>
      <c r="AF269" t="s">
        <v>383</v>
      </c>
      <c r="AG269" t="s">
        <v>148</v>
      </c>
      <c r="AH269" t="s">
        <v>450</v>
      </c>
      <c r="AI269">
        <v>0</v>
      </c>
      <c r="AJ269">
        <v>1</v>
      </c>
      <c r="AK269">
        <v>0</v>
      </c>
      <c r="AL269">
        <v>0</v>
      </c>
      <c r="AM269">
        <v>0</v>
      </c>
      <c r="AN269">
        <v>11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100</v>
      </c>
      <c r="AV269">
        <v>100</v>
      </c>
      <c r="AW269">
        <v>350778</v>
      </c>
      <c r="AX269">
        <v>259576</v>
      </c>
      <c r="AY269">
        <v>173</v>
      </c>
      <c r="AZ269">
        <v>173</v>
      </c>
      <c r="BA269">
        <v>0</v>
      </c>
      <c r="BB269">
        <v>0</v>
      </c>
      <c r="BC269" s="3">
        <v>45119</v>
      </c>
      <c r="BD269" t="s">
        <v>182</v>
      </c>
      <c r="BE269">
        <v>356000</v>
      </c>
      <c r="BF269">
        <v>348274</v>
      </c>
      <c r="BG269" t="s">
        <v>294</v>
      </c>
      <c r="BH269">
        <v>30</v>
      </c>
      <c r="BI269" t="s">
        <v>65</v>
      </c>
      <c r="BJ269" t="s">
        <v>450</v>
      </c>
      <c r="BK269">
        <v>401300</v>
      </c>
      <c r="BL269">
        <v>46000</v>
      </c>
      <c r="BM269">
        <v>355300</v>
      </c>
      <c r="BN269">
        <v>7726</v>
      </c>
      <c r="BO269">
        <v>1.127247191011236</v>
      </c>
      <c r="BP269">
        <v>359825.31743862643</v>
      </c>
      <c r="BQ269">
        <v>372031.88544450578</v>
      </c>
      <c r="BR269" s="12">
        <f>(Sales[[#This Row],[DP1]]*Lookups!$B$59)+(Sales[[#This Row],[DP2]]*Lookups!$B$60)+(Sales[[#This Row],[DP3]]*Lookups!$B$61)</f>
        <v>-12206.568006610001</v>
      </c>
      <c r="BS269" s="12">
        <f>Lookups!$B$56*0</f>
        <v>0</v>
      </c>
      <c r="BT269" s="12">
        <f>Lookups!$B$56*1</f>
        <v>89850.625589999996</v>
      </c>
      <c r="BU269" s="12">
        <f>Lookups!$B$57*Sales[[#This Row],[LnAcres]]</f>
        <v>-62236.546971921947</v>
      </c>
      <c r="BV269" s="12">
        <f>VLOOKUP(Sales[[#This Row],[Qlty]],Lookups!$A$62:$E$75,2,FALSE)</f>
        <v>21557.329055999999</v>
      </c>
      <c r="BW269" s="12">
        <f>VLOOKUP(Sales[[#This Row],[Cnd]],Lookups!$A$76:$E$84,2,FALSE)</f>
        <v>160472.20319</v>
      </c>
      <c r="BX269" s="12">
        <f>Sales[[#This Row],[EffAge]]*Lookups!$B$85</f>
        <v>-12490.553628</v>
      </c>
      <c r="BY269" s="12">
        <f>Sales[[#This Row],[MainFn]]*Lookups!$B$86</f>
        <v>65219.444237640004</v>
      </c>
      <c r="BZ269" s="12">
        <f>Sales[[#This Row],[UpprFn]]*Lookups!$B$87</f>
        <v>29559.03908826</v>
      </c>
      <c r="CA269" s="12">
        <f>Sales[[#This Row],[AddFn]]*Lookups!$B$88</f>
        <v>0</v>
      </c>
      <c r="CB269" s="12">
        <f>Sales[[#This Row],[Bsmt]]*Lookups!$B$89</f>
        <v>38388.101726039997</v>
      </c>
      <c r="CC269" s="12">
        <f>Sales[[#This Row],[Fixtures]]*Lookups!$B$90</f>
        <v>41712.243157199999</v>
      </c>
      <c r="CD269" s="12">
        <f>Sales[[#This Row],[WdDeck]]*Lookups!$B$91</f>
        <v>0</v>
      </c>
      <c r="CE269" s="12">
        <f>SUM(Sales[[#This Row],[Days Prior Total]:[Mdl WdDeck]])</f>
        <v>359825.31743860804</v>
      </c>
      <c r="CF269" s="12">
        <f>ROUND(Sales[[#This Row],[25Det]],-2)</f>
        <v>7700</v>
      </c>
      <c r="CG269" s="12">
        <f>ROUND(SUM(Sales[[#This Row],[Mdl Qlty]:[Mdl WdDeck]])+Sales[[#This Row],[Mdl Res Intercept]]+Sales[[#This Row],[Days Prior Total]],-2)</f>
        <v>332200</v>
      </c>
      <c r="CH269" s="12">
        <f>ROUND(Sales[[#This Row],[Mdl Land Intercept]]+Sales[[#This Row],[Mdl LnAcres]],-2)</f>
        <v>27600</v>
      </c>
      <c r="CI269" s="12">
        <f>Sales[[#This Row],[Unadj Res Value]]+Sales[[#This Row],[Unadj Det Value]]+Sales[[#This Row],[Unadj Land Value]]</f>
        <v>367500</v>
      </c>
      <c r="CJ269" s="13">
        <f>Sales[[#This Row],[Unadj Total Value]]/Sales[[#This Row],[Price]]</f>
        <v>1.0323033707865168</v>
      </c>
      <c r="CK269" s="13">
        <f>(Sales[[#This Row],[Unadj Total Value]]-Sales[[#This Row],[24Final]])/Sales[[#This Row],[24Final]]</f>
        <v>-8.4226264639920265E-2</v>
      </c>
      <c r="CL269">
        <f>VLOOKUP(Sales[[#This Row],[TNbhd]],Lookups!$Q$2:$T$4,4,FALSE)</f>
        <v>0.99970000000000003</v>
      </c>
      <c r="CM269">
        <f>VLOOKUP(Sales[[#This Row],[Qlty]],Lookups!$O$7:$R$21,4,FALSE)</f>
        <v>1.0067999999999999</v>
      </c>
      <c r="CN269">
        <f>VLOOKUP(Sales[[#This Row],[Cnd]],Lookups!$T$7:$W$16,4,FALSE)</f>
        <v>0.99729999999999996</v>
      </c>
      <c r="CO269">
        <f>VLOOKUP(Sales[[#This Row],[LivArea Range]],Lookups!$T$25:$W$37,4,FALSE)</f>
        <v>1.0126999999999999</v>
      </c>
      <c r="CP269">
        <f>VLOOKUP(Sales[[#This Row],[Decade]],Lookups!$O$25:$R$42,4,FALSE)</f>
        <v>1.0074000000000001</v>
      </c>
      <c r="CQ269">
        <f>Sales[[#This Row],[Nbhd Adj]]*0.95</f>
        <v>0.94971499999999998</v>
      </c>
      <c r="CR269">
        <f>Sales[[#This Row],[Nbhd Adj]]*Sales[[#This Row],[Quality Adj]]*Sales[[#This Row],[Condition Adj]]*Sales[[#This Row],[Living Area Adj]]*Sales[[#This Row],[Decade Adj]]*0.95</f>
        <v>0.97284820028600216</v>
      </c>
      <c r="CS269">
        <f>ROUND(SUM(Sales[[#This Row],[Mdl Qlty]:[Mdl WdDeck]])+Sales[[#This Row],[Mdl Res Intercept]]*Sales[[#This Row],[Res Adj ]],-2)</f>
        <v>344400</v>
      </c>
      <c r="CT269">
        <f>ROUND(Sales[[#This Row],[25Det]]*Sales[[#This Row],[Det/Nbhd Adj]],-2)</f>
        <v>7300</v>
      </c>
      <c r="CU269">
        <f>Sales[[#This Row],[Adjusted Res]]+Sales[[#This Row],[Adj Det ]]</f>
        <v>351700</v>
      </c>
      <c r="CV269">
        <f>ROUND((Sales[[#This Row],[Mdl Land Intercept]]+Sales[[#This Row],[Mdl LnAcres]])*Sales[[#This Row],[Det/Nbhd Adj]],-2)</f>
        <v>26200</v>
      </c>
      <c r="CW269">
        <f>Sales[[#This Row],[Adjusted Impr Total]]+Sales[[#This Row],[Adjusted Land Total]]</f>
        <v>377900</v>
      </c>
      <c r="CX269" s="15">
        <f>IFERROR((Sales[[#This Row],[Adjusted Impr Total]]-Sales[[#This Row],[24Bldg]])/Sales[[#This Row],[24Bldg]],0)</f>
        <v>-1.0132282578103011E-2</v>
      </c>
      <c r="CY269" s="15">
        <f>(Sales[[#This Row],[Adjusted Land Total]]-Sales[[#This Row],[24Lnd]])/Sales[[#This Row],[24Lnd]]</f>
        <v>-0.43043478260869567</v>
      </c>
      <c r="CZ269" s="15">
        <f>(Sales[[#This Row],[Adjusted Total]]-Sales[[#This Row],[24Final]])/Sales[[#This Row],[24Final]]</f>
        <v>-5.8310490904560176E-2</v>
      </c>
      <c r="DA269" s="15">
        <f>(Sales[[#This Row],[Adjusted Total]]+Sales[[#This Row],[Days Prior Total]])/Sales[[#This Row],[Price]]</f>
        <v>1.0272287415544663</v>
      </c>
    </row>
    <row r="270" spans="1:105" x14ac:dyDescent="0.3">
      <c r="A270">
        <v>2025</v>
      </c>
      <c r="B270">
        <v>18132344042</v>
      </c>
      <c r="C270">
        <v>-1.8325814637483102</v>
      </c>
      <c r="D270">
        <v>0.16</v>
      </c>
      <c r="E270">
        <v>6859</v>
      </c>
      <c r="F270">
        <v>6</v>
      </c>
      <c r="G270" t="s">
        <v>126</v>
      </c>
      <c r="H270">
        <v>3093</v>
      </c>
      <c r="I270" t="s">
        <v>349</v>
      </c>
      <c r="J270" t="s">
        <v>30</v>
      </c>
      <c r="K270">
        <v>11</v>
      </c>
      <c r="L270">
        <v>259</v>
      </c>
      <c r="M270" t="s">
        <v>269</v>
      </c>
      <c r="N270" t="s">
        <v>302</v>
      </c>
      <c r="O270" t="s">
        <v>303</v>
      </c>
      <c r="P270">
        <v>100</v>
      </c>
      <c r="Q270">
        <v>1925</v>
      </c>
      <c r="R270">
        <v>1968</v>
      </c>
      <c r="S270">
        <v>99</v>
      </c>
      <c r="T270">
        <v>56</v>
      </c>
      <c r="U270">
        <v>2</v>
      </c>
      <c r="V270">
        <v>1278</v>
      </c>
      <c r="W270">
        <v>426</v>
      </c>
      <c r="X270">
        <v>0</v>
      </c>
      <c r="Y270">
        <v>1278</v>
      </c>
      <c r="Z270">
        <v>0</v>
      </c>
      <c r="AA270">
        <v>1278</v>
      </c>
      <c r="AB270">
        <v>2982</v>
      </c>
      <c r="AC270">
        <v>3000</v>
      </c>
      <c r="AD270">
        <v>1</v>
      </c>
      <c r="AF270" t="s">
        <v>383</v>
      </c>
      <c r="AG270" t="s">
        <v>148</v>
      </c>
      <c r="AH270" t="s">
        <v>450</v>
      </c>
      <c r="AI270">
        <v>0</v>
      </c>
      <c r="AJ270">
        <v>1</v>
      </c>
      <c r="AK270">
        <v>0</v>
      </c>
      <c r="AL270">
        <v>0</v>
      </c>
      <c r="AM270">
        <v>0</v>
      </c>
      <c r="AN270">
        <v>12</v>
      </c>
      <c r="AO270">
        <v>209</v>
      </c>
      <c r="AP270">
        <v>0</v>
      </c>
      <c r="AQ270">
        <v>280</v>
      </c>
      <c r="AR270">
        <v>0</v>
      </c>
      <c r="AS270">
        <v>192</v>
      </c>
      <c r="AT270">
        <v>192</v>
      </c>
      <c r="AU270">
        <v>100</v>
      </c>
      <c r="AV270">
        <v>100</v>
      </c>
      <c r="AW270">
        <v>413793</v>
      </c>
      <c r="AX270">
        <v>306207</v>
      </c>
      <c r="AY270">
        <v>445</v>
      </c>
      <c r="AZ270">
        <v>365</v>
      </c>
      <c r="BA270">
        <v>80</v>
      </c>
      <c r="BB270">
        <v>0</v>
      </c>
      <c r="BC270" s="3">
        <v>44847</v>
      </c>
      <c r="BD270" t="s">
        <v>192</v>
      </c>
      <c r="BE270">
        <v>375000</v>
      </c>
      <c r="BF270">
        <v>375000</v>
      </c>
      <c r="BG270" t="s">
        <v>294</v>
      </c>
      <c r="BH270">
        <v>30</v>
      </c>
      <c r="BI270" t="s">
        <v>65</v>
      </c>
      <c r="BJ270" t="s">
        <v>450</v>
      </c>
      <c r="BK270">
        <v>402200</v>
      </c>
      <c r="BL270">
        <v>50600</v>
      </c>
      <c r="BM270">
        <v>351600</v>
      </c>
      <c r="BN270">
        <v>0</v>
      </c>
      <c r="BO270">
        <v>1.0725333333333333</v>
      </c>
      <c r="BP270">
        <v>386975.98590063635</v>
      </c>
      <c r="BQ270">
        <v>411811.07391496428</v>
      </c>
      <c r="BR270" s="12">
        <f>(Sales[[#This Row],[DP1]]*Lookups!$B$59)+(Sales[[#This Row],[DP2]]*Lookups!$B$60)+(Sales[[#This Row],[DP3]]*Lookups!$B$61)</f>
        <v>-24835.08801589</v>
      </c>
      <c r="BS270" s="12">
        <f>Lookups!$B$56*0</f>
        <v>0</v>
      </c>
      <c r="BT270" s="12">
        <f>Lookups!$B$56*1</f>
        <v>89850.625589999996</v>
      </c>
      <c r="BU270" s="12">
        <f>Lookups!$B$57*Sales[[#This Row],[LnAcres]]</f>
        <v>-58009.662049032086</v>
      </c>
      <c r="BV270" s="12">
        <f>VLOOKUP(Sales[[#This Row],[Qlty]],Lookups!$A$62:$E$75,2,FALSE)</f>
        <v>29814.093161000001</v>
      </c>
      <c r="BW270" s="12">
        <f>VLOOKUP(Sales[[#This Row],[Cnd]],Lookups!$A$76:$E$84,2,FALSE)</f>
        <v>197752.34721000001</v>
      </c>
      <c r="BX270" s="12">
        <f>Sales[[#This Row],[EffAge]]*Lookups!$B$85</f>
        <v>-12490.553628</v>
      </c>
      <c r="BY270" s="12">
        <f>Sales[[#This Row],[MainFn]]*Lookups!$B$86</f>
        <v>63144.280102805998</v>
      </c>
      <c r="BZ270" s="12">
        <f>Sales[[#This Row],[UpprFn]]*Lookups!$B$87</f>
        <v>19079.016138785999</v>
      </c>
      <c r="CA270" s="12">
        <f>Sales[[#This Row],[AddFn]]*Lookups!$B$88</f>
        <v>0</v>
      </c>
      <c r="CB270" s="12">
        <f>Sales[[#This Row],[Bsmt]]*Lookups!$B$89</f>
        <v>37166.662125666</v>
      </c>
      <c r="CC270" s="12">
        <f>Sales[[#This Row],[Fixtures]]*Lookups!$B$90</f>
        <v>45504.265262400004</v>
      </c>
      <c r="CD270" s="12">
        <f>Sales[[#This Row],[WdDeck]]*Lookups!$B$91</f>
        <v>0</v>
      </c>
      <c r="CE270" s="12">
        <f>SUM(Sales[[#This Row],[Days Prior Total]:[Mdl WdDeck]])</f>
        <v>386975.98589773593</v>
      </c>
      <c r="CF270" s="12">
        <f>ROUND(Sales[[#This Row],[25Det]],-2)</f>
        <v>0</v>
      </c>
      <c r="CG270" s="12">
        <f>ROUND(SUM(Sales[[#This Row],[Mdl Qlty]:[Mdl WdDeck]])+Sales[[#This Row],[Mdl Res Intercept]]+Sales[[#This Row],[Days Prior Total]],-2)</f>
        <v>355100</v>
      </c>
      <c r="CH270" s="12">
        <f>ROUND(Sales[[#This Row],[Mdl Land Intercept]]+Sales[[#This Row],[Mdl LnAcres]],-2)</f>
        <v>31800</v>
      </c>
      <c r="CI270" s="12">
        <f>Sales[[#This Row],[Unadj Res Value]]+Sales[[#This Row],[Unadj Det Value]]+Sales[[#This Row],[Unadj Land Value]]</f>
        <v>386900</v>
      </c>
      <c r="CJ270" s="13">
        <f>Sales[[#This Row],[Unadj Total Value]]/Sales[[#This Row],[Price]]</f>
        <v>1.0317333333333334</v>
      </c>
      <c r="CK270" s="13">
        <f>(Sales[[#This Row],[Unadj Total Value]]-Sales[[#This Row],[24Final]])/Sales[[#This Row],[24Final]]</f>
        <v>-3.804077573346594E-2</v>
      </c>
      <c r="CL270">
        <f>VLOOKUP(Sales[[#This Row],[TNbhd]],Lookups!$Q$2:$T$4,4,FALSE)</f>
        <v>0.99970000000000003</v>
      </c>
      <c r="CM270">
        <f>VLOOKUP(Sales[[#This Row],[Qlty]],Lookups!$O$7:$R$21,4,FALSE)</f>
        <v>1.0088999999999999</v>
      </c>
      <c r="CN270">
        <f>VLOOKUP(Sales[[#This Row],[Cnd]],Lookups!$T$7:$W$16,4,FALSE)</f>
        <v>0.99650000000000005</v>
      </c>
      <c r="CO270">
        <f>VLOOKUP(Sales[[#This Row],[LivArea Range]],Lookups!$T$25:$W$37,4,FALSE)</f>
        <v>0.96179999999999999</v>
      </c>
      <c r="CP270">
        <f>VLOOKUP(Sales[[#This Row],[Decade]],Lookups!$O$25:$R$42,4,FALSE)</f>
        <v>1.0074000000000001</v>
      </c>
      <c r="CQ270">
        <f>Sales[[#This Row],[Nbhd Adj]]*0.95</f>
        <v>0.94971499999999998</v>
      </c>
      <c r="CR270">
        <f>Sales[[#This Row],[Nbhd Adj]]*Sales[[#This Row],[Quality Adj]]*Sales[[#This Row],[Condition Adj]]*Sales[[#This Row],[Living Area Adj]]*Sales[[#This Row],[Decade Adj]]*0.95</f>
        <v>0.92513570316765814</v>
      </c>
      <c r="CS270">
        <f>ROUND(SUM(Sales[[#This Row],[Mdl Qlty]:[Mdl WdDeck]])+Sales[[#This Row],[Mdl Res Intercept]]*Sales[[#This Row],[Res Adj ]],-2)</f>
        <v>380000</v>
      </c>
      <c r="CT270">
        <f>ROUND(Sales[[#This Row],[25Det]]*Sales[[#This Row],[Det/Nbhd Adj]],-2)</f>
        <v>0</v>
      </c>
      <c r="CU270">
        <f>Sales[[#This Row],[Adjusted Res]]+Sales[[#This Row],[Adj Det ]]</f>
        <v>380000</v>
      </c>
      <c r="CV270">
        <f>ROUND((Sales[[#This Row],[Mdl Land Intercept]]+Sales[[#This Row],[Mdl LnAcres]])*Sales[[#This Row],[Det/Nbhd Adj]],-2)</f>
        <v>30200</v>
      </c>
      <c r="CW270">
        <f>Sales[[#This Row],[Adjusted Impr Total]]+Sales[[#This Row],[Adjusted Land Total]]</f>
        <v>410200</v>
      </c>
      <c r="CX270" s="15">
        <f>IFERROR((Sales[[#This Row],[Adjusted Impr Total]]-Sales[[#This Row],[24Bldg]])/Sales[[#This Row],[24Bldg]],0)</f>
        <v>8.0773606370875994E-2</v>
      </c>
      <c r="CY270" s="15">
        <f>(Sales[[#This Row],[Adjusted Land Total]]-Sales[[#This Row],[24Lnd]])/Sales[[#This Row],[24Lnd]]</f>
        <v>-0.40316205533596838</v>
      </c>
      <c r="CZ270" s="15">
        <f>(Sales[[#This Row],[Adjusted Total]]-Sales[[#This Row],[24Final]])/Sales[[#This Row],[24Final]]</f>
        <v>1.9890601690701143E-2</v>
      </c>
      <c r="DA270" s="15">
        <f>(Sales[[#This Row],[Adjusted Total]]+Sales[[#This Row],[Days Prior Total]])/Sales[[#This Row],[Price]]</f>
        <v>1.0276397652909601</v>
      </c>
    </row>
    <row r="271" spans="1:105" x14ac:dyDescent="0.3">
      <c r="A271">
        <v>2025</v>
      </c>
      <c r="B271">
        <v>18132333402</v>
      </c>
      <c r="C271">
        <v>-1.5141277326297755</v>
      </c>
      <c r="D271">
        <v>0.22</v>
      </c>
      <c r="E271">
        <v>0</v>
      </c>
      <c r="F271">
        <v>6</v>
      </c>
      <c r="G271" t="s">
        <v>126</v>
      </c>
      <c r="H271">
        <v>3093</v>
      </c>
      <c r="I271" t="s">
        <v>349</v>
      </c>
      <c r="J271" t="s">
        <v>30</v>
      </c>
      <c r="K271">
        <v>11</v>
      </c>
      <c r="L271">
        <v>259</v>
      </c>
      <c r="M271" t="s">
        <v>242</v>
      </c>
      <c r="N271" t="s">
        <v>302</v>
      </c>
      <c r="O271" t="s">
        <v>323</v>
      </c>
      <c r="P271">
        <v>100</v>
      </c>
      <c r="Q271">
        <v>1925</v>
      </c>
      <c r="R271">
        <v>2002</v>
      </c>
      <c r="S271">
        <v>99</v>
      </c>
      <c r="T271">
        <v>22</v>
      </c>
      <c r="U271">
        <v>1</v>
      </c>
      <c r="V271">
        <v>1205</v>
      </c>
      <c r="W271">
        <v>0</v>
      </c>
      <c r="X271">
        <v>0</v>
      </c>
      <c r="Y271">
        <v>1205</v>
      </c>
      <c r="Z271">
        <v>0</v>
      </c>
      <c r="AA271">
        <v>1205</v>
      </c>
      <c r="AB271">
        <v>2410</v>
      </c>
      <c r="AC271">
        <v>2500</v>
      </c>
      <c r="AD271">
        <v>0</v>
      </c>
      <c r="AF271" t="s">
        <v>383</v>
      </c>
      <c r="AG271" t="s">
        <v>148</v>
      </c>
      <c r="AH271" t="s">
        <v>450</v>
      </c>
      <c r="AI271">
        <v>0</v>
      </c>
      <c r="AJ271">
        <v>1</v>
      </c>
      <c r="AK271">
        <v>1</v>
      </c>
      <c r="AL271">
        <v>0</v>
      </c>
      <c r="AM271">
        <v>0</v>
      </c>
      <c r="AN271">
        <v>9</v>
      </c>
      <c r="AO271">
        <v>0</v>
      </c>
      <c r="AP271">
        <v>0</v>
      </c>
      <c r="AQ271">
        <v>0</v>
      </c>
      <c r="AR271">
        <v>0</v>
      </c>
      <c r="AS271">
        <v>220</v>
      </c>
      <c r="AT271">
        <v>220</v>
      </c>
      <c r="AU271">
        <v>100</v>
      </c>
      <c r="AV271">
        <v>100</v>
      </c>
      <c r="AW271">
        <v>324753</v>
      </c>
      <c r="AX271">
        <v>295525</v>
      </c>
      <c r="AY271">
        <v>829</v>
      </c>
      <c r="AZ271">
        <v>365</v>
      </c>
      <c r="BA271">
        <v>365</v>
      </c>
      <c r="BB271">
        <v>99</v>
      </c>
      <c r="BC271" s="3">
        <v>44463</v>
      </c>
      <c r="BD271" t="s">
        <v>339</v>
      </c>
      <c r="BE271">
        <v>325000</v>
      </c>
      <c r="BF271">
        <v>306125</v>
      </c>
      <c r="BG271" t="s">
        <v>294</v>
      </c>
      <c r="BH271">
        <v>30</v>
      </c>
      <c r="BI271" t="s">
        <v>65</v>
      </c>
      <c r="BJ271" t="s">
        <v>450</v>
      </c>
      <c r="BK271">
        <v>367600</v>
      </c>
      <c r="BL271">
        <v>61700</v>
      </c>
      <c r="BM271">
        <v>305900</v>
      </c>
      <c r="BN271">
        <v>18875</v>
      </c>
      <c r="BO271">
        <v>1.1310769230769231</v>
      </c>
      <c r="BP271">
        <v>321209.28342238802</v>
      </c>
      <c r="BQ271">
        <v>356010.11709043226</v>
      </c>
      <c r="BR271" s="12">
        <f>(Sales[[#This Row],[DP1]]*Lookups!$B$59)+(Sales[[#This Row],[DP2]]*Lookups!$B$60)+(Sales[[#This Row],[DP3]]*Lookups!$B$61)</f>
        <v>-34800.833672170003</v>
      </c>
      <c r="BS271" s="12">
        <f>Lookups!$B$56*0</f>
        <v>0</v>
      </c>
      <c r="BT271" s="12">
        <f>Lookups!$B$56*1</f>
        <v>89850.625589999996</v>
      </c>
      <c r="BU271" s="12">
        <f>Lookups!$B$57*Sales[[#This Row],[LnAcres]]</f>
        <v>-47929.131559187132</v>
      </c>
      <c r="BV271" s="12">
        <f>VLOOKUP(Sales[[#This Row],[Qlty]],Lookups!$A$62:$E$75,2,FALSE)</f>
        <v>29814.093161000001</v>
      </c>
      <c r="BW271" s="12">
        <f>VLOOKUP(Sales[[#This Row],[Cnd]],Lookups!$A$76:$E$84,2,FALSE)</f>
        <v>160472.20319</v>
      </c>
      <c r="BX271" s="12">
        <f>Sales[[#This Row],[EffAge]]*Lookups!$B$85</f>
        <v>-4907.0032110000002</v>
      </c>
      <c r="BY271" s="12">
        <f>Sales[[#This Row],[MainFn]]*Lookups!$B$86</f>
        <v>59537.447201784998</v>
      </c>
      <c r="BZ271" s="12">
        <f>Sales[[#This Row],[UpprFn]]*Lookups!$B$87</f>
        <v>0</v>
      </c>
      <c r="CA271" s="12">
        <f>Sales[[#This Row],[AddFn]]*Lookups!$B$88</f>
        <v>0</v>
      </c>
      <c r="CB271" s="12">
        <f>Sales[[#This Row],[Bsmt]]*Lookups!$B$89</f>
        <v>35043.683772634999</v>
      </c>
      <c r="CC271" s="12">
        <f>Sales[[#This Row],[Fixtures]]*Lookups!$B$90</f>
        <v>34128.198946800003</v>
      </c>
      <c r="CD271" s="12">
        <f>Sales[[#This Row],[WdDeck]]*Lookups!$B$91</f>
        <v>0</v>
      </c>
      <c r="CE271" s="12">
        <f>SUM(Sales[[#This Row],[Days Prior Total]:[Mdl WdDeck]])</f>
        <v>321209.28341986286</v>
      </c>
      <c r="CF271" s="12">
        <f>ROUND(Sales[[#This Row],[25Det]],-2)</f>
        <v>18900</v>
      </c>
      <c r="CG271" s="12">
        <f>ROUND(SUM(Sales[[#This Row],[Mdl Qlty]:[Mdl WdDeck]])+Sales[[#This Row],[Mdl Res Intercept]]+Sales[[#This Row],[Days Prior Total]],-2)</f>
        <v>279300</v>
      </c>
      <c r="CH271" s="12">
        <f>ROUND(Sales[[#This Row],[Mdl Land Intercept]]+Sales[[#This Row],[Mdl LnAcres]],-2)</f>
        <v>41900</v>
      </c>
      <c r="CI271" s="12">
        <f>Sales[[#This Row],[Unadj Res Value]]+Sales[[#This Row],[Unadj Det Value]]+Sales[[#This Row],[Unadj Land Value]]</f>
        <v>340100</v>
      </c>
      <c r="CJ271" s="13">
        <f>Sales[[#This Row],[Unadj Total Value]]/Sales[[#This Row],[Price]]</f>
        <v>1.0464615384615386</v>
      </c>
      <c r="CK271" s="13">
        <f>(Sales[[#This Row],[Unadj Total Value]]-Sales[[#This Row],[24Final]])/Sales[[#This Row],[24Final]]</f>
        <v>-7.480957562568008E-2</v>
      </c>
      <c r="CL271">
        <f>VLOOKUP(Sales[[#This Row],[TNbhd]],Lookups!$Q$2:$T$4,4,FALSE)</f>
        <v>0.99970000000000003</v>
      </c>
      <c r="CM271">
        <f>VLOOKUP(Sales[[#This Row],[Qlty]],Lookups!$O$7:$R$21,4,FALSE)</f>
        <v>1.0088999999999999</v>
      </c>
      <c r="CN271">
        <f>VLOOKUP(Sales[[#This Row],[Cnd]],Lookups!$T$7:$W$16,4,FALSE)</f>
        <v>0.99729999999999996</v>
      </c>
      <c r="CO271">
        <f>VLOOKUP(Sales[[#This Row],[LivArea Range]],Lookups!$T$25:$W$37,4,FALSE)</f>
        <v>0.98919999999999997</v>
      </c>
      <c r="CP271">
        <f>VLOOKUP(Sales[[#This Row],[Decade]],Lookups!$O$25:$R$42,4,FALSE)</f>
        <v>1.0074000000000001</v>
      </c>
      <c r="CQ271">
        <f>Sales[[#This Row],[Nbhd Adj]]*0.95</f>
        <v>0.94971499999999998</v>
      </c>
      <c r="CR271">
        <f>Sales[[#This Row],[Nbhd Adj]]*Sales[[#This Row],[Quality Adj]]*Sales[[#This Row],[Condition Adj]]*Sales[[#This Row],[Living Area Adj]]*Sales[[#This Row],[Decade Adj]]*0.95</f>
        <v>0.95225506796349002</v>
      </c>
      <c r="CS271">
        <f>ROUND(SUM(Sales[[#This Row],[Mdl Qlty]:[Mdl WdDeck]])+Sales[[#This Row],[Mdl Res Intercept]]*Sales[[#This Row],[Res Adj ]],-2)</f>
        <v>314100</v>
      </c>
      <c r="CT271">
        <f>ROUND(Sales[[#This Row],[25Det]]*Sales[[#This Row],[Det/Nbhd Adj]],-2)</f>
        <v>17900</v>
      </c>
      <c r="CU271">
        <f>Sales[[#This Row],[Adjusted Res]]+Sales[[#This Row],[Adj Det ]]</f>
        <v>332000</v>
      </c>
      <c r="CV271">
        <f>ROUND((Sales[[#This Row],[Mdl Land Intercept]]+Sales[[#This Row],[Mdl LnAcres]])*Sales[[#This Row],[Det/Nbhd Adj]],-2)</f>
        <v>39800</v>
      </c>
      <c r="CW271">
        <f>Sales[[#This Row],[Adjusted Impr Total]]+Sales[[#This Row],[Adjusted Land Total]]</f>
        <v>371800</v>
      </c>
      <c r="CX271" s="15">
        <f>IFERROR((Sales[[#This Row],[Adjusted Impr Total]]-Sales[[#This Row],[24Bldg]])/Sales[[#This Row],[24Bldg]],0)</f>
        <v>8.5322000653808433E-2</v>
      </c>
      <c r="CY271" s="15">
        <f>(Sales[[#This Row],[Adjusted Land Total]]-Sales[[#This Row],[24Lnd]])/Sales[[#This Row],[24Lnd]]</f>
        <v>-0.35494327390599678</v>
      </c>
      <c r="CZ271" s="15">
        <f>(Sales[[#This Row],[Adjusted Total]]-Sales[[#This Row],[24Final]])/Sales[[#This Row],[24Final]]</f>
        <v>1.1425462459194777E-2</v>
      </c>
      <c r="DA271" s="15">
        <f>(Sales[[#This Row],[Adjusted Total]]+Sales[[#This Row],[Days Prior Total]])/Sales[[#This Row],[Price]]</f>
        <v>1.0369205117779385</v>
      </c>
    </row>
    <row r="272" spans="1:105" x14ac:dyDescent="0.3">
      <c r="A272">
        <v>2025</v>
      </c>
      <c r="B272">
        <v>18132344421</v>
      </c>
      <c r="C272">
        <v>-1.8971199848858813</v>
      </c>
      <c r="D272">
        <v>0.15</v>
      </c>
      <c r="E272">
        <v>0</v>
      </c>
      <c r="F272">
        <v>6</v>
      </c>
      <c r="G272" t="s">
        <v>126</v>
      </c>
      <c r="H272">
        <v>3093</v>
      </c>
      <c r="I272" t="s">
        <v>349</v>
      </c>
      <c r="J272" t="s">
        <v>30</v>
      </c>
      <c r="K272">
        <v>11</v>
      </c>
      <c r="L272">
        <v>400</v>
      </c>
      <c r="M272" t="s">
        <v>4</v>
      </c>
      <c r="N272" t="s">
        <v>302</v>
      </c>
      <c r="O272" t="s">
        <v>303</v>
      </c>
      <c r="P272">
        <v>100</v>
      </c>
      <c r="Q272">
        <v>1925</v>
      </c>
      <c r="R272">
        <v>1968</v>
      </c>
      <c r="S272">
        <v>99</v>
      </c>
      <c r="T272">
        <v>56</v>
      </c>
      <c r="U272">
        <v>1</v>
      </c>
      <c r="V272">
        <v>934</v>
      </c>
      <c r="W272">
        <v>0</v>
      </c>
      <c r="X272">
        <v>0</v>
      </c>
      <c r="Y272">
        <v>934</v>
      </c>
      <c r="Z272">
        <v>0</v>
      </c>
      <c r="AA272">
        <v>934</v>
      </c>
      <c r="AB272">
        <v>1868</v>
      </c>
      <c r="AC272">
        <v>2000</v>
      </c>
      <c r="AD272">
        <v>0</v>
      </c>
      <c r="AF272" t="s">
        <v>383</v>
      </c>
      <c r="AG272" t="s">
        <v>148</v>
      </c>
      <c r="AH272" t="s">
        <v>65</v>
      </c>
      <c r="AI272">
        <v>0</v>
      </c>
      <c r="AJ272">
        <v>1</v>
      </c>
      <c r="AK272">
        <v>0</v>
      </c>
      <c r="AL272">
        <v>0</v>
      </c>
      <c r="AM272">
        <v>0</v>
      </c>
      <c r="AN272">
        <v>8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102</v>
      </c>
      <c r="AU272">
        <v>100</v>
      </c>
      <c r="AV272">
        <v>100</v>
      </c>
      <c r="AW272">
        <v>251319</v>
      </c>
      <c r="AX272">
        <v>185976</v>
      </c>
      <c r="AY272">
        <v>291</v>
      </c>
      <c r="AZ272">
        <v>291</v>
      </c>
      <c r="BA272">
        <v>0</v>
      </c>
      <c r="BB272">
        <v>0</v>
      </c>
      <c r="BC272" s="3">
        <v>45001</v>
      </c>
      <c r="BD272" t="s">
        <v>160</v>
      </c>
      <c r="BE272">
        <v>315000</v>
      </c>
      <c r="BF272">
        <v>309421</v>
      </c>
      <c r="BG272" t="s">
        <v>294</v>
      </c>
      <c r="BH272">
        <v>30</v>
      </c>
      <c r="BI272" t="s">
        <v>65</v>
      </c>
      <c r="BJ272" t="s">
        <v>450</v>
      </c>
      <c r="BK272">
        <v>331700</v>
      </c>
      <c r="BL272">
        <v>48400</v>
      </c>
      <c r="BM272">
        <v>283300</v>
      </c>
      <c r="BN272">
        <v>5579</v>
      </c>
      <c r="BO272">
        <v>1.053015873015873</v>
      </c>
      <c r="BP272">
        <v>327987.83766478236</v>
      </c>
      <c r="BQ272">
        <v>348520.27286542335</v>
      </c>
      <c r="BR272" s="12">
        <f>(Sales[[#This Row],[DP1]]*Lookups!$B$59)+(Sales[[#This Row],[DP2]]*Lookups!$B$60)+(Sales[[#This Row],[DP3]]*Lookups!$B$61)</f>
        <v>-20532.435201870001</v>
      </c>
      <c r="BS272" s="12">
        <f>Lookups!$B$56*0</f>
        <v>0</v>
      </c>
      <c r="BT272" s="12">
        <f>Lookups!$B$56*1</f>
        <v>89850.625589999996</v>
      </c>
      <c r="BU272" s="12">
        <f>Lookups!$B$57*Sales[[#This Row],[LnAcres]]</f>
        <v>-60052.604136134301</v>
      </c>
      <c r="BV272" s="12">
        <f>VLOOKUP(Sales[[#This Row],[Qlty]],Lookups!$A$62:$E$75,2,FALSE)</f>
        <v>29814.093161000001</v>
      </c>
      <c r="BW272" s="12">
        <f>VLOOKUP(Sales[[#This Row],[Cnd]],Lookups!$A$76:$E$84,2,FALSE)</f>
        <v>197752.34721000001</v>
      </c>
      <c r="BX272" s="12">
        <f>Sales[[#This Row],[EffAge]]*Lookups!$B$85</f>
        <v>-12490.553628</v>
      </c>
      <c r="BY272" s="12">
        <f>Sales[[#This Row],[MainFn]]*Lookups!$B$86</f>
        <v>46147.697665118001</v>
      </c>
      <c r="BZ272" s="12">
        <f>Sales[[#This Row],[UpprFn]]*Lookups!$B$87</f>
        <v>0</v>
      </c>
      <c r="CA272" s="12">
        <f>Sales[[#This Row],[AddFn]]*Lookups!$B$88</f>
        <v>0</v>
      </c>
      <c r="CB272" s="12">
        <f>Sales[[#This Row],[Bsmt]]*Lookups!$B$89</f>
        <v>27162.490160697998</v>
      </c>
      <c r="CC272" s="12">
        <f>Sales[[#This Row],[Fixtures]]*Lookups!$B$90</f>
        <v>30336.176841600001</v>
      </c>
      <c r="CD272" s="12">
        <f>Sales[[#This Row],[WdDeck]]*Lookups!$B$91</f>
        <v>0</v>
      </c>
      <c r="CE272" s="12">
        <f>SUM(Sales[[#This Row],[Days Prior Total]:[Mdl WdDeck]])</f>
        <v>327987.83766241168</v>
      </c>
      <c r="CF272" s="12">
        <f>ROUND(Sales[[#This Row],[25Det]],-2)</f>
        <v>5600</v>
      </c>
      <c r="CG272" s="12">
        <f>ROUND(SUM(Sales[[#This Row],[Mdl Qlty]:[Mdl WdDeck]])+Sales[[#This Row],[Mdl Res Intercept]]+Sales[[#This Row],[Days Prior Total]],-2)</f>
        <v>298200</v>
      </c>
      <c r="CH272" s="12">
        <f>ROUND(Sales[[#This Row],[Mdl Land Intercept]]+Sales[[#This Row],[Mdl LnAcres]],-2)</f>
        <v>29800</v>
      </c>
      <c r="CI272" s="12">
        <f>Sales[[#This Row],[Unadj Res Value]]+Sales[[#This Row],[Unadj Det Value]]+Sales[[#This Row],[Unadj Land Value]]</f>
        <v>333600</v>
      </c>
      <c r="CJ272" s="13">
        <f>Sales[[#This Row],[Unadj Total Value]]/Sales[[#This Row],[Price]]</f>
        <v>1.059047619047619</v>
      </c>
      <c r="CK272" s="13">
        <f>(Sales[[#This Row],[Unadj Total Value]]-Sales[[#This Row],[24Final]])/Sales[[#This Row],[24Final]]</f>
        <v>5.7280675309014173E-3</v>
      </c>
      <c r="CL272">
        <f>VLOOKUP(Sales[[#This Row],[TNbhd]],Lookups!$Q$2:$T$4,4,FALSE)</f>
        <v>0.99970000000000003</v>
      </c>
      <c r="CM272">
        <f>VLOOKUP(Sales[[#This Row],[Qlty]],Lookups!$O$7:$R$21,4,FALSE)</f>
        <v>1.0088999999999999</v>
      </c>
      <c r="CN272">
        <f>VLOOKUP(Sales[[#This Row],[Cnd]],Lookups!$T$7:$W$16,4,FALSE)</f>
        <v>0.99650000000000005</v>
      </c>
      <c r="CO272">
        <f>VLOOKUP(Sales[[#This Row],[LivArea Range]],Lookups!$T$25:$W$37,4,FALSE)</f>
        <v>1.0093000000000001</v>
      </c>
      <c r="CP272">
        <f>VLOOKUP(Sales[[#This Row],[Decade]],Lookups!$O$25:$R$42,4,FALSE)</f>
        <v>1.0074000000000001</v>
      </c>
      <c r="CQ272">
        <f>Sales[[#This Row],[Nbhd Adj]]*0.95</f>
        <v>0.94971499999999998</v>
      </c>
      <c r="CR272">
        <f>Sales[[#This Row],[Nbhd Adj]]*Sales[[#This Row],[Quality Adj]]*Sales[[#This Row],[Condition Adj]]*Sales[[#This Row],[Living Area Adj]]*Sales[[#This Row],[Decade Adj]]*0.95</f>
        <v>0.97082497942099955</v>
      </c>
      <c r="CS272">
        <f>ROUND(SUM(Sales[[#This Row],[Mdl Qlty]:[Mdl WdDeck]])+Sales[[#This Row],[Mdl Res Intercept]]*Sales[[#This Row],[Res Adj ]],-2)</f>
        <v>318700</v>
      </c>
      <c r="CT272">
        <f>ROUND(Sales[[#This Row],[25Det]]*Sales[[#This Row],[Det/Nbhd Adj]],-2)</f>
        <v>5300</v>
      </c>
      <c r="CU272">
        <f>Sales[[#This Row],[Adjusted Res]]+Sales[[#This Row],[Adj Det ]]</f>
        <v>324000</v>
      </c>
      <c r="CV272">
        <f>ROUND((Sales[[#This Row],[Mdl Land Intercept]]+Sales[[#This Row],[Mdl LnAcres]])*Sales[[#This Row],[Det/Nbhd Adj]],-2)</f>
        <v>28300</v>
      </c>
      <c r="CW272">
        <f>Sales[[#This Row],[Adjusted Impr Total]]+Sales[[#This Row],[Adjusted Land Total]]</f>
        <v>352300</v>
      </c>
      <c r="CX272" s="15">
        <f>IFERROR((Sales[[#This Row],[Adjusted Impr Total]]-Sales[[#This Row],[24Bldg]])/Sales[[#This Row],[24Bldg]],0)</f>
        <v>0.14366396046593716</v>
      </c>
      <c r="CY272" s="15">
        <f>(Sales[[#This Row],[Adjusted Land Total]]-Sales[[#This Row],[24Lnd]])/Sales[[#This Row],[24Lnd]]</f>
        <v>-0.41528925619834711</v>
      </c>
      <c r="CZ272" s="15">
        <f>(Sales[[#This Row],[Adjusted Total]]-Sales[[#This Row],[24Final]])/Sales[[#This Row],[24Final]]</f>
        <v>6.2104311124510099E-2</v>
      </c>
      <c r="DA272" s="15">
        <f>(Sales[[#This Row],[Adjusted Total]]+Sales[[#This Row],[Days Prior Total]])/Sales[[#This Row],[Price]]</f>
        <v>1.0532303644385079</v>
      </c>
    </row>
    <row r="273" spans="1:105" x14ac:dyDescent="0.3">
      <c r="A273">
        <v>2025</v>
      </c>
      <c r="B273">
        <v>18132342442</v>
      </c>
      <c r="C273">
        <v>-1.9661128563728327</v>
      </c>
      <c r="D273">
        <v>0.14000000000000001</v>
      </c>
      <c r="E273">
        <v>0</v>
      </c>
      <c r="F273">
        <v>6</v>
      </c>
      <c r="G273" t="s">
        <v>126</v>
      </c>
      <c r="H273">
        <v>3033</v>
      </c>
      <c r="I273" t="s">
        <v>349</v>
      </c>
      <c r="J273" t="s">
        <v>30</v>
      </c>
      <c r="K273">
        <v>11</v>
      </c>
      <c r="L273">
        <v>259</v>
      </c>
      <c r="M273" t="s">
        <v>269</v>
      </c>
      <c r="N273" t="s">
        <v>302</v>
      </c>
      <c r="O273" t="s">
        <v>323</v>
      </c>
      <c r="P273">
        <v>100</v>
      </c>
      <c r="Q273">
        <v>1925</v>
      </c>
      <c r="R273">
        <v>1968</v>
      </c>
      <c r="S273">
        <v>99</v>
      </c>
      <c r="T273">
        <v>56</v>
      </c>
      <c r="U273">
        <v>1</v>
      </c>
      <c r="V273">
        <v>984</v>
      </c>
      <c r="W273">
        <v>0</v>
      </c>
      <c r="X273">
        <v>0</v>
      </c>
      <c r="Y273">
        <v>780</v>
      </c>
      <c r="Z273">
        <v>0</v>
      </c>
      <c r="AA273">
        <v>780</v>
      </c>
      <c r="AB273">
        <v>1764</v>
      </c>
      <c r="AC273">
        <v>2000</v>
      </c>
      <c r="AD273">
        <v>1</v>
      </c>
      <c r="AF273" t="s">
        <v>383</v>
      </c>
      <c r="AG273" t="s">
        <v>148</v>
      </c>
      <c r="AH273" t="s">
        <v>450</v>
      </c>
      <c r="AI273">
        <v>0</v>
      </c>
      <c r="AJ273">
        <v>1</v>
      </c>
      <c r="AK273">
        <v>0</v>
      </c>
      <c r="AL273">
        <v>1</v>
      </c>
      <c r="AM273">
        <v>0</v>
      </c>
      <c r="AN273">
        <v>8</v>
      </c>
      <c r="AO273">
        <v>0</v>
      </c>
      <c r="AP273">
        <v>204</v>
      </c>
      <c r="AQ273">
        <v>0</v>
      </c>
      <c r="AR273">
        <v>0</v>
      </c>
      <c r="AS273">
        <v>0</v>
      </c>
      <c r="AT273">
        <v>0</v>
      </c>
      <c r="AU273">
        <v>100</v>
      </c>
      <c r="AV273">
        <v>100</v>
      </c>
      <c r="AW273">
        <v>255839</v>
      </c>
      <c r="AX273">
        <v>166295</v>
      </c>
      <c r="AY273">
        <v>703</v>
      </c>
      <c r="AZ273">
        <v>365</v>
      </c>
      <c r="BA273">
        <v>338</v>
      </c>
      <c r="BB273">
        <v>0</v>
      </c>
      <c r="BC273" s="3">
        <v>44589</v>
      </c>
      <c r="BD273" t="s">
        <v>400</v>
      </c>
      <c r="BE273">
        <v>269000</v>
      </c>
      <c r="BF273">
        <v>269000</v>
      </c>
      <c r="BG273" t="s">
        <v>294</v>
      </c>
      <c r="BH273">
        <v>30</v>
      </c>
      <c r="BI273" t="s">
        <v>65</v>
      </c>
      <c r="BJ273" t="s">
        <v>450</v>
      </c>
      <c r="BK273">
        <v>296900</v>
      </c>
      <c r="BL273">
        <v>46000</v>
      </c>
      <c r="BM273">
        <v>250900</v>
      </c>
      <c r="BN273">
        <v>0</v>
      </c>
      <c r="BO273">
        <v>1.1037174721189591</v>
      </c>
      <c r="BP273">
        <v>285175.57790514152</v>
      </c>
      <c r="BQ273">
        <v>307048.00763318752</v>
      </c>
      <c r="BR273" s="12">
        <f>(Sales[[#This Row],[DP1]]*Lookups!$B$59)+(Sales[[#This Row],[DP2]]*Lookups!$B$60)+(Sales[[#This Row],[DP3]]*Lookups!$B$61)</f>
        <v>-21872.429729674001</v>
      </c>
      <c r="BS273" s="12">
        <f>Lookups!$B$56*0</f>
        <v>0</v>
      </c>
      <c r="BT273" s="12">
        <f>Lookups!$B$56*1</f>
        <v>89850.625589999996</v>
      </c>
      <c r="BU273" s="12">
        <f>Lookups!$B$57*Sales[[#This Row],[LnAcres]]</f>
        <v>-62236.546971921947</v>
      </c>
      <c r="BV273" s="12">
        <f>VLOOKUP(Sales[[#This Row],[Qlty]],Lookups!$A$62:$E$75,2,FALSE)</f>
        <v>29814.093161000001</v>
      </c>
      <c r="BW273" s="12">
        <f>VLOOKUP(Sales[[#This Row],[Cnd]],Lookups!$A$76:$E$84,2,FALSE)</f>
        <v>160472.20319</v>
      </c>
      <c r="BX273" s="12">
        <f>Sales[[#This Row],[EffAge]]*Lookups!$B$85</f>
        <v>-12490.553628</v>
      </c>
      <c r="BY273" s="12">
        <f>Sales[[#This Row],[MainFn]]*Lookups!$B$86</f>
        <v>48618.131158968004</v>
      </c>
      <c r="BZ273" s="12">
        <f>Sales[[#This Row],[UpprFn]]*Lookups!$B$87</f>
        <v>0</v>
      </c>
      <c r="CA273" s="12">
        <f>Sales[[#This Row],[AddFn]]*Lookups!$B$88</f>
        <v>0</v>
      </c>
      <c r="CB273" s="12">
        <f>Sales[[#This Row],[Bsmt]]*Lookups!$B$89</f>
        <v>22683.87829266</v>
      </c>
      <c r="CC273" s="12">
        <f>Sales[[#This Row],[Fixtures]]*Lookups!$B$90</f>
        <v>30336.176841600001</v>
      </c>
      <c r="CD273" s="12">
        <f>Sales[[#This Row],[WdDeck]]*Lookups!$B$91</f>
        <v>0</v>
      </c>
      <c r="CE273" s="12">
        <f>SUM(Sales[[#This Row],[Days Prior Total]:[Mdl WdDeck]])</f>
        <v>285175.57790463202</v>
      </c>
      <c r="CF273" s="12">
        <f>ROUND(Sales[[#This Row],[25Det]],-2)</f>
        <v>0</v>
      </c>
      <c r="CG273" s="12">
        <f>ROUND(SUM(Sales[[#This Row],[Mdl Qlty]:[Mdl WdDeck]])+Sales[[#This Row],[Mdl Res Intercept]]+Sales[[#This Row],[Days Prior Total]],-2)</f>
        <v>257600</v>
      </c>
      <c r="CH273" s="12">
        <f>ROUND(Sales[[#This Row],[Mdl Land Intercept]]+Sales[[#This Row],[Mdl LnAcres]],-2)</f>
        <v>27600</v>
      </c>
      <c r="CI273" s="12">
        <f>Sales[[#This Row],[Unadj Res Value]]+Sales[[#This Row],[Unadj Det Value]]+Sales[[#This Row],[Unadj Land Value]]</f>
        <v>285200</v>
      </c>
      <c r="CJ273" s="13">
        <f>Sales[[#This Row],[Unadj Total Value]]/Sales[[#This Row],[Price]]</f>
        <v>1.0602230483271375</v>
      </c>
      <c r="CK273" s="13">
        <f>(Sales[[#This Row],[Unadj Total Value]]-Sales[[#This Row],[24Final]])/Sales[[#This Row],[24Final]]</f>
        <v>-3.9407207814078811E-2</v>
      </c>
      <c r="CL273">
        <f>VLOOKUP(Sales[[#This Row],[TNbhd]],Lookups!$Q$2:$T$4,4,FALSE)</f>
        <v>0.99970000000000003</v>
      </c>
      <c r="CM273">
        <f>VLOOKUP(Sales[[#This Row],[Qlty]],Lookups!$O$7:$R$21,4,FALSE)</f>
        <v>1.0088999999999999</v>
      </c>
      <c r="CN273">
        <f>VLOOKUP(Sales[[#This Row],[Cnd]],Lookups!$T$7:$W$16,4,FALSE)</f>
        <v>0.99729999999999996</v>
      </c>
      <c r="CO273">
        <f>VLOOKUP(Sales[[#This Row],[LivArea Range]],Lookups!$T$25:$W$37,4,FALSE)</f>
        <v>1.0093000000000001</v>
      </c>
      <c r="CP273">
        <f>VLOOKUP(Sales[[#This Row],[Decade]],Lookups!$O$25:$R$42,4,FALSE)</f>
        <v>1.0074000000000001</v>
      </c>
      <c r="CQ273">
        <f>Sales[[#This Row],[Nbhd Adj]]*0.95</f>
        <v>0.94971499999999998</v>
      </c>
      <c r="CR273">
        <f>Sales[[#This Row],[Nbhd Adj]]*Sales[[#This Row],[Quality Adj]]*Sales[[#This Row],[Condition Adj]]*Sales[[#This Row],[Living Area Adj]]*Sales[[#This Row],[Decade Adj]]*0.95</f>
        <v>0.97160436726197974</v>
      </c>
      <c r="CS273">
        <f>ROUND(SUM(Sales[[#This Row],[Mdl Qlty]:[Mdl WdDeck]])+Sales[[#This Row],[Mdl Res Intercept]]*Sales[[#This Row],[Res Adj ]],-2)</f>
        <v>279400</v>
      </c>
      <c r="CT273">
        <f>ROUND(Sales[[#This Row],[25Det]]*Sales[[#This Row],[Det/Nbhd Adj]],-2)</f>
        <v>0</v>
      </c>
      <c r="CU273">
        <f>Sales[[#This Row],[Adjusted Res]]+Sales[[#This Row],[Adj Det ]]</f>
        <v>279400</v>
      </c>
      <c r="CV273">
        <f>ROUND((Sales[[#This Row],[Mdl Land Intercept]]+Sales[[#This Row],[Mdl LnAcres]])*Sales[[#This Row],[Det/Nbhd Adj]],-2)</f>
        <v>26200</v>
      </c>
      <c r="CW273">
        <f>Sales[[#This Row],[Adjusted Impr Total]]+Sales[[#This Row],[Adjusted Land Total]]</f>
        <v>305600</v>
      </c>
      <c r="CX273" s="15">
        <f>IFERROR((Sales[[#This Row],[Adjusted Impr Total]]-Sales[[#This Row],[24Bldg]])/Sales[[#This Row],[24Bldg]],0)</f>
        <v>0.11359107214029494</v>
      </c>
      <c r="CY273" s="15">
        <f>(Sales[[#This Row],[Adjusted Land Total]]-Sales[[#This Row],[24Lnd]])/Sales[[#This Row],[24Lnd]]</f>
        <v>-0.43043478260869567</v>
      </c>
      <c r="CZ273" s="15">
        <f>(Sales[[#This Row],[Adjusted Total]]-Sales[[#This Row],[24Final]])/Sales[[#This Row],[24Final]]</f>
        <v>2.9302795554058604E-2</v>
      </c>
      <c r="DA273" s="15">
        <f>(Sales[[#This Row],[Adjusted Total]]+Sales[[#This Row],[Days Prior Total]])/Sales[[#This Row],[Price]]</f>
        <v>1.0547493318599479</v>
      </c>
    </row>
    <row r="274" spans="1:105" x14ac:dyDescent="0.3">
      <c r="A274">
        <v>2025</v>
      </c>
      <c r="B274">
        <v>18132342417</v>
      </c>
      <c r="C274">
        <v>-2.0402208285265546</v>
      </c>
      <c r="D274">
        <v>0.13</v>
      </c>
      <c r="E274">
        <v>0</v>
      </c>
      <c r="F274">
        <v>6</v>
      </c>
      <c r="G274" t="s">
        <v>126</v>
      </c>
      <c r="H274">
        <v>3032</v>
      </c>
      <c r="I274" t="s">
        <v>349</v>
      </c>
      <c r="J274" t="s">
        <v>30</v>
      </c>
      <c r="K274">
        <v>11</v>
      </c>
      <c r="L274">
        <v>259</v>
      </c>
      <c r="M274" t="s">
        <v>269</v>
      </c>
      <c r="N274" t="s">
        <v>351</v>
      </c>
      <c r="O274" t="s">
        <v>303</v>
      </c>
      <c r="P274">
        <v>100</v>
      </c>
      <c r="Q274">
        <v>1925</v>
      </c>
      <c r="R274">
        <v>1968</v>
      </c>
      <c r="S274">
        <v>99</v>
      </c>
      <c r="T274">
        <v>56</v>
      </c>
      <c r="U274">
        <v>1</v>
      </c>
      <c r="V274">
        <v>1192</v>
      </c>
      <c r="W274">
        <v>0</v>
      </c>
      <c r="X274">
        <v>0</v>
      </c>
      <c r="Y274">
        <v>648</v>
      </c>
      <c r="Z274">
        <v>648</v>
      </c>
      <c r="AA274">
        <v>0</v>
      </c>
      <c r="AB274">
        <v>1192</v>
      </c>
      <c r="AC274">
        <v>1500</v>
      </c>
      <c r="AD274">
        <v>0</v>
      </c>
      <c r="AF274" t="s">
        <v>383</v>
      </c>
      <c r="AG274" t="s">
        <v>148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5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100</v>
      </c>
      <c r="AV274">
        <v>100</v>
      </c>
      <c r="AW274">
        <v>195932</v>
      </c>
      <c r="AX274">
        <v>144990</v>
      </c>
      <c r="AY274">
        <v>796</v>
      </c>
      <c r="AZ274">
        <v>365</v>
      </c>
      <c r="BA274">
        <v>365</v>
      </c>
      <c r="BB274">
        <v>66</v>
      </c>
      <c r="BC274" s="3">
        <v>44496</v>
      </c>
      <c r="BD274" t="s">
        <v>103</v>
      </c>
      <c r="BE274">
        <v>285000</v>
      </c>
      <c r="BF274">
        <v>280630</v>
      </c>
      <c r="BG274" t="s">
        <v>294</v>
      </c>
      <c r="BH274">
        <v>30</v>
      </c>
      <c r="BI274" t="s">
        <v>65</v>
      </c>
      <c r="BJ274" t="s">
        <v>450</v>
      </c>
      <c r="BK274">
        <v>299600</v>
      </c>
      <c r="BL274">
        <v>43400</v>
      </c>
      <c r="BM274">
        <v>256200</v>
      </c>
      <c r="BN274">
        <v>4370</v>
      </c>
      <c r="BO274">
        <v>1.0512280701754386</v>
      </c>
      <c r="BP274">
        <v>298399.63787150319</v>
      </c>
      <c r="BQ274">
        <v>328787.65501467773</v>
      </c>
      <c r="BR274" s="12">
        <f>(Sales[[#This Row],[DP1]]*Lookups!$B$59)+(Sales[[#This Row],[DP2]]*Lookups!$B$60)+(Sales[[#This Row],[DP3]]*Lookups!$B$61)</f>
        <v>-30388.017146470003</v>
      </c>
      <c r="BS274" s="12">
        <f>Lookups!$B$56*0</f>
        <v>0</v>
      </c>
      <c r="BT274" s="12">
        <f>Lookups!$B$56*1</f>
        <v>89850.625589999996</v>
      </c>
      <c r="BU274" s="12">
        <f>Lookups!$B$57*Sales[[#This Row],[LnAcres]]</f>
        <v>-64582.406353792743</v>
      </c>
      <c r="BV274" s="12">
        <f>VLOOKUP(Sales[[#This Row],[Qlty]],Lookups!$A$62:$E$75,2,FALSE)</f>
        <v>21557.329055999999</v>
      </c>
      <c r="BW274" s="12">
        <f>VLOOKUP(Sales[[#This Row],[Cnd]],Lookups!$A$76:$E$84,2,FALSE)</f>
        <v>197752.34721000001</v>
      </c>
      <c r="BX274" s="12">
        <f>Sales[[#This Row],[EffAge]]*Lookups!$B$85</f>
        <v>-12490.553628</v>
      </c>
      <c r="BY274" s="12">
        <f>Sales[[#This Row],[MainFn]]*Lookups!$B$86</f>
        <v>58895.134493384001</v>
      </c>
      <c r="BZ274" s="12">
        <f>Sales[[#This Row],[UpprFn]]*Lookups!$B$87</f>
        <v>0</v>
      </c>
      <c r="CA274" s="12">
        <f>Sales[[#This Row],[AddFn]]*Lookups!$B$88</f>
        <v>0</v>
      </c>
      <c r="CB274" s="12">
        <f>Sales[[#This Row],[Bsmt]]*Lookups!$B$89</f>
        <v>18845.068120055999</v>
      </c>
      <c r="CC274" s="12">
        <f>Sales[[#This Row],[Fixtures]]*Lookups!$B$90</f>
        <v>18960.110526</v>
      </c>
      <c r="CD274" s="12">
        <f>Sales[[#This Row],[WdDeck]]*Lookups!$B$91</f>
        <v>0</v>
      </c>
      <c r="CE274" s="12">
        <f>SUM(Sales[[#This Row],[Days Prior Total]:[Mdl WdDeck]])</f>
        <v>298399.63786717725</v>
      </c>
      <c r="CF274" s="12">
        <f>ROUND(Sales[[#This Row],[25Det]],-2)</f>
        <v>4400</v>
      </c>
      <c r="CG274" s="12">
        <f>ROUND(SUM(Sales[[#This Row],[Mdl Qlty]:[Mdl WdDeck]])+Sales[[#This Row],[Mdl Res Intercept]]+Sales[[#This Row],[Days Prior Total]],-2)</f>
        <v>273100</v>
      </c>
      <c r="CH274" s="12">
        <f>ROUND(Sales[[#This Row],[Mdl Land Intercept]]+Sales[[#This Row],[Mdl LnAcres]],-2)</f>
        <v>25300</v>
      </c>
      <c r="CI274" s="12">
        <f>Sales[[#This Row],[Unadj Res Value]]+Sales[[#This Row],[Unadj Det Value]]+Sales[[#This Row],[Unadj Land Value]]</f>
        <v>302800</v>
      </c>
      <c r="CJ274" s="13">
        <f>Sales[[#This Row],[Unadj Total Value]]/Sales[[#This Row],[Price]]</f>
        <v>1.0624561403508772</v>
      </c>
      <c r="CK274" s="13">
        <f>(Sales[[#This Row],[Unadj Total Value]]-Sales[[#This Row],[24Final]])/Sales[[#This Row],[24Final]]</f>
        <v>1.0680907877169559E-2</v>
      </c>
      <c r="CL274">
        <f>VLOOKUP(Sales[[#This Row],[TNbhd]],Lookups!$Q$2:$T$4,4,FALSE)</f>
        <v>0.99970000000000003</v>
      </c>
      <c r="CM274">
        <f>VLOOKUP(Sales[[#This Row],[Qlty]],Lookups!$O$7:$R$21,4,FALSE)</f>
        <v>1.0067999999999999</v>
      </c>
      <c r="CN274">
        <f>VLOOKUP(Sales[[#This Row],[Cnd]],Lookups!$T$7:$W$16,4,FALSE)</f>
        <v>0.99650000000000005</v>
      </c>
      <c r="CO274">
        <f>VLOOKUP(Sales[[#This Row],[LivArea Range]],Lookups!$T$25:$W$37,4,FALSE)</f>
        <v>1.0157</v>
      </c>
      <c r="CP274">
        <f>VLOOKUP(Sales[[#This Row],[Decade]],Lookups!$O$25:$R$42,4,FALSE)</f>
        <v>1.0074000000000001</v>
      </c>
      <c r="CQ274">
        <f>Sales[[#This Row],[Nbhd Adj]]*0.95</f>
        <v>0.94971499999999998</v>
      </c>
      <c r="CR274">
        <f>Sales[[#This Row],[Nbhd Adj]]*Sales[[#This Row],[Quality Adj]]*Sales[[#This Row],[Condition Adj]]*Sales[[#This Row],[Living Area Adj]]*Sales[[#This Row],[Decade Adj]]*0.95</f>
        <v>0.97494744680082823</v>
      </c>
      <c r="CS274">
        <f>ROUND(SUM(Sales[[#This Row],[Mdl Qlty]:[Mdl WdDeck]])+Sales[[#This Row],[Mdl Res Intercept]]*Sales[[#This Row],[Res Adj ]],-2)</f>
        <v>303500</v>
      </c>
      <c r="CT274">
        <f>ROUND(Sales[[#This Row],[25Det]]*Sales[[#This Row],[Det/Nbhd Adj]],-2)</f>
        <v>4200</v>
      </c>
      <c r="CU274">
        <f>Sales[[#This Row],[Adjusted Res]]+Sales[[#This Row],[Adj Det ]]</f>
        <v>307700</v>
      </c>
      <c r="CV274">
        <f>ROUND((Sales[[#This Row],[Mdl Land Intercept]]+Sales[[#This Row],[Mdl LnAcres]])*Sales[[#This Row],[Det/Nbhd Adj]],-2)</f>
        <v>24000</v>
      </c>
      <c r="CW274">
        <f>Sales[[#This Row],[Adjusted Impr Total]]+Sales[[#This Row],[Adjusted Land Total]]</f>
        <v>331700</v>
      </c>
      <c r="CX274" s="15">
        <f>IFERROR((Sales[[#This Row],[Adjusted Impr Total]]-Sales[[#This Row],[24Bldg]])/Sales[[#This Row],[24Bldg]],0)</f>
        <v>0.20101483216237315</v>
      </c>
      <c r="CY274" s="15">
        <f>(Sales[[#This Row],[Adjusted Land Total]]-Sales[[#This Row],[24Lnd]])/Sales[[#This Row],[24Lnd]]</f>
        <v>-0.44700460829493088</v>
      </c>
      <c r="CZ274" s="15">
        <f>(Sales[[#This Row],[Adjusted Total]]-Sales[[#This Row],[24Final]])/Sales[[#This Row],[24Final]]</f>
        <v>0.10714285714285714</v>
      </c>
      <c r="DA274" s="15">
        <f>(Sales[[#This Row],[Adjusted Total]]+Sales[[#This Row],[Days Prior Total]])/Sales[[#This Row],[Price]]</f>
        <v>1.0572350275562454</v>
      </c>
    </row>
    <row r="275" spans="1:105" x14ac:dyDescent="0.3">
      <c r="A275">
        <v>2025</v>
      </c>
      <c r="B275">
        <v>18132344019</v>
      </c>
      <c r="C275">
        <v>-1.8325814637483102</v>
      </c>
      <c r="D275">
        <v>0.16</v>
      </c>
      <c r="E275">
        <v>6758</v>
      </c>
      <c r="F275">
        <v>6</v>
      </c>
      <c r="G275" t="s">
        <v>126</v>
      </c>
      <c r="H275">
        <v>3093</v>
      </c>
      <c r="I275" t="s">
        <v>349</v>
      </c>
      <c r="J275" t="s">
        <v>30</v>
      </c>
      <c r="K275">
        <v>11</v>
      </c>
      <c r="L275">
        <v>259</v>
      </c>
      <c r="M275" t="s">
        <v>269</v>
      </c>
      <c r="N275" t="s">
        <v>351</v>
      </c>
      <c r="O275" t="s">
        <v>303</v>
      </c>
      <c r="P275">
        <v>100</v>
      </c>
      <c r="Q275">
        <v>1925</v>
      </c>
      <c r="R275">
        <v>1968</v>
      </c>
      <c r="S275">
        <v>99</v>
      </c>
      <c r="T275">
        <v>56</v>
      </c>
      <c r="U275">
        <v>2</v>
      </c>
      <c r="V275">
        <v>1010</v>
      </c>
      <c r="W275">
        <v>270</v>
      </c>
      <c r="X275">
        <v>0</v>
      </c>
      <c r="Y275">
        <v>520</v>
      </c>
      <c r="Z275">
        <v>0</v>
      </c>
      <c r="AA275">
        <v>520</v>
      </c>
      <c r="AB275">
        <v>1800</v>
      </c>
      <c r="AC275">
        <v>2000</v>
      </c>
      <c r="AD275">
        <v>0</v>
      </c>
      <c r="AF275" t="s">
        <v>383</v>
      </c>
      <c r="AG275" t="s">
        <v>148</v>
      </c>
      <c r="AH275" t="s">
        <v>450</v>
      </c>
      <c r="AI275">
        <v>0</v>
      </c>
      <c r="AJ275">
        <v>1</v>
      </c>
      <c r="AK275">
        <v>0</v>
      </c>
      <c r="AL275">
        <v>0</v>
      </c>
      <c r="AM275">
        <v>0</v>
      </c>
      <c r="AN275">
        <v>6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100</v>
      </c>
      <c r="AV275">
        <v>100</v>
      </c>
      <c r="AW275">
        <v>226722</v>
      </c>
      <c r="AX275">
        <v>167774</v>
      </c>
      <c r="AY275">
        <v>525</v>
      </c>
      <c r="AZ275">
        <v>365</v>
      </c>
      <c r="BA275">
        <v>160</v>
      </c>
      <c r="BB275">
        <v>0</v>
      </c>
      <c r="BC275" s="3">
        <v>44767</v>
      </c>
      <c r="BD275" t="s">
        <v>78</v>
      </c>
      <c r="BE275">
        <v>305000</v>
      </c>
      <c r="BF275">
        <v>290666</v>
      </c>
      <c r="BG275" t="s">
        <v>294</v>
      </c>
      <c r="BH275">
        <v>30</v>
      </c>
      <c r="BI275" t="s">
        <v>65</v>
      </c>
      <c r="BJ275" t="s">
        <v>450</v>
      </c>
      <c r="BK275">
        <v>327700</v>
      </c>
      <c r="BL275">
        <v>50600</v>
      </c>
      <c r="BM275">
        <v>277100</v>
      </c>
      <c r="BN275">
        <v>14334</v>
      </c>
      <c r="BO275">
        <v>1.0744262295081968</v>
      </c>
      <c r="BP275">
        <v>314613.46080571291</v>
      </c>
      <c r="BQ275">
        <v>338529.89508786041</v>
      </c>
      <c r="BR275" s="12">
        <f>(Sales[[#This Row],[DP1]]*Lookups!$B$59)+(Sales[[#This Row],[DP2]]*Lookups!$B$60)+(Sales[[#This Row],[DP3]]*Lookups!$B$61)</f>
        <v>-23916.434283729999</v>
      </c>
      <c r="BS275" s="12">
        <f>Lookups!$B$56*0</f>
        <v>0</v>
      </c>
      <c r="BT275" s="12">
        <f>Lookups!$B$56*1</f>
        <v>89850.625589999996</v>
      </c>
      <c r="BU275" s="12">
        <f>Lookups!$B$57*Sales[[#This Row],[LnAcres]]</f>
        <v>-58009.662049032086</v>
      </c>
      <c r="BV275" s="12">
        <f>VLOOKUP(Sales[[#This Row],[Qlty]],Lookups!$A$62:$E$75,2,FALSE)</f>
        <v>21557.329055999999</v>
      </c>
      <c r="BW275" s="12">
        <f>VLOOKUP(Sales[[#This Row],[Cnd]],Lookups!$A$76:$E$84,2,FALSE)</f>
        <v>197752.34721000001</v>
      </c>
      <c r="BX275" s="12">
        <f>Sales[[#This Row],[EffAge]]*Lookups!$B$85</f>
        <v>-12490.553628</v>
      </c>
      <c r="BY275" s="12">
        <f>Sales[[#This Row],[MainFn]]*Lookups!$B$86</f>
        <v>49902.756575769999</v>
      </c>
      <c r="BZ275" s="12">
        <f>Sales[[#This Row],[UpprFn]]*Lookups!$B$87</f>
        <v>12092.33417247</v>
      </c>
      <c r="CA275" s="12">
        <f>Sales[[#This Row],[AddFn]]*Lookups!$B$88</f>
        <v>0</v>
      </c>
      <c r="CB275" s="12">
        <f>Sales[[#This Row],[Bsmt]]*Lookups!$B$89</f>
        <v>15122.585528439999</v>
      </c>
      <c r="CC275" s="12">
        <f>Sales[[#This Row],[Fixtures]]*Lookups!$B$90</f>
        <v>22752.132631200002</v>
      </c>
      <c r="CD275" s="12">
        <f>Sales[[#This Row],[WdDeck]]*Lookups!$B$91</f>
        <v>0</v>
      </c>
      <c r="CE275" s="12">
        <f>SUM(Sales[[#This Row],[Days Prior Total]:[Mdl WdDeck]])</f>
        <v>314613.46080311789</v>
      </c>
      <c r="CF275" s="12">
        <f>ROUND(Sales[[#This Row],[25Det]],-2)</f>
        <v>14300</v>
      </c>
      <c r="CG275" s="12">
        <f>ROUND(SUM(Sales[[#This Row],[Mdl Qlty]:[Mdl WdDeck]])+Sales[[#This Row],[Mdl Res Intercept]]+Sales[[#This Row],[Days Prior Total]],-2)</f>
        <v>282800</v>
      </c>
      <c r="CH275" s="12">
        <f>ROUND(Sales[[#This Row],[Mdl Land Intercept]]+Sales[[#This Row],[Mdl LnAcres]],-2)</f>
        <v>31800</v>
      </c>
      <c r="CI275" s="12">
        <f>Sales[[#This Row],[Unadj Res Value]]+Sales[[#This Row],[Unadj Det Value]]+Sales[[#This Row],[Unadj Land Value]]</f>
        <v>328900</v>
      </c>
      <c r="CJ275" s="13">
        <f>Sales[[#This Row],[Unadj Total Value]]/Sales[[#This Row],[Price]]</f>
        <v>1.078360655737705</v>
      </c>
      <c r="CK275" s="13">
        <f>(Sales[[#This Row],[Unadj Total Value]]-Sales[[#This Row],[24Final]])/Sales[[#This Row],[24Final]]</f>
        <v>3.6618858712236801E-3</v>
      </c>
      <c r="CL275">
        <f>VLOOKUP(Sales[[#This Row],[TNbhd]],Lookups!$Q$2:$T$4,4,FALSE)</f>
        <v>0.99970000000000003</v>
      </c>
      <c r="CM275">
        <f>VLOOKUP(Sales[[#This Row],[Qlty]],Lookups!$O$7:$R$21,4,FALSE)</f>
        <v>1.0067999999999999</v>
      </c>
      <c r="CN275">
        <f>VLOOKUP(Sales[[#This Row],[Cnd]],Lookups!$T$7:$W$16,4,FALSE)</f>
        <v>0.99650000000000005</v>
      </c>
      <c r="CO275">
        <f>VLOOKUP(Sales[[#This Row],[LivArea Range]],Lookups!$T$25:$W$37,4,FALSE)</f>
        <v>1.0093000000000001</v>
      </c>
      <c r="CP275">
        <f>VLOOKUP(Sales[[#This Row],[Decade]],Lookups!$O$25:$R$42,4,FALSE)</f>
        <v>1.0074000000000001</v>
      </c>
      <c r="CQ275">
        <f>Sales[[#This Row],[Nbhd Adj]]*0.95</f>
        <v>0.94971499999999998</v>
      </c>
      <c r="CR275">
        <f>Sales[[#This Row],[Nbhd Adj]]*Sales[[#This Row],[Quality Adj]]*Sales[[#This Row],[Condition Adj]]*Sales[[#This Row],[Living Area Adj]]*Sales[[#This Row],[Decade Adj]]*0.95</f>
        <v>0.96880423161964746</v>
      </c>
      <c r="CS275">
        <f>ROUND(SUM(Sales[[#This Row],[Mdl Qlty]:[Mdl WdDeck]])+Sales[[#This Row],[Mdl Res Intercept]]*Sales[[#This Row],[Res Adj ]],-2)</f>
        <v>306700</v>
      </c>
      <c r="CT275">
        <f>ROUND(Sales[[#This Row],[25Det]]*Sales[[#This Row],[Det/Nbhd Adj]],-2)</f>
        <v>13600</v>
      </c>
      <c r="CU275">
        <f>Sales[[#This Row],[Adjusted Res]]+Sales[[#This Row],[Adj Det ]]</f>
        <v>320300</v>
      </c>
      <c r="CV275">
        <f>ROUND((Sales[[#This Row],[Mdl Land Intercept]]+Sales[[#This Row],[Mdl LnAcres]])*Sales[[#This Row],[Det/Nbhd Adj]],-2)</f>
        <v>30200</v>
      </c>
      <c r="CW275">
        <f>Sales[[#This Row],[Adjusted Impr Total]]+Sales[[#This Row],[Adjusted Land Total]]</f>
        <v>350500</v>
      </c>
      <c r="CX275" s="15">
        <f>IFERROR((Sales[[#This Row],[Adjusted Impr Total]]-Sales[[#This Row],[24Bldg]])/Sales[[#This Row],[24Bldg]],0)</f>
        <v>0.15590039696860339</v>
      </c>
      <c r="CY275" s="15">
        <f>(Sales[[#This Row],[Adjusted Land Total]]-Sales[[#This Row],[24Lnd]])/Sales[[#This Row],[24Lnd]]</f>
        <v>-0.40316205533596838</v>
      </c>
      <c r="CZ275" s="15">
        <f>(Sales[[#This Row],[Adjusted Total]]-Sales[[#This Row],[24Final]])/Sales[[#This Row],[24Final]]</f>
        <v>6.9575831553249923E-2</v>
      </c>
      <c r="DA275" s="15">
        <f>(Sales[[#This Row],[Adjusted Total]]+Sales[[#This Row],[Days Prior Total]])/Sales[[#This Row],[Price]]</f>
        <v>1.0707657892336722</v>
      </c>
    </row>
    <row r="276" spans="1:105" x14ac:dyDescent="0.3">
      <c r="A276">
        <v>2025</v>
      </c>
      <c r="B276">
        <v>18132242511</v>
      </c>
      <c r="C276">
        <v>-0.9942522733438669</v>
      </c>
      <c r="D276">
        <v>0.37</v>
      </c>
      <c r="E276">
        <v>16120</v>
      </c>
      <c r="F276">
        <v>6</v>
      </c>
      <c r="G276" t="s">
        <v>126</v>
      </c>
      <c r="H276" t="s">
        <v>349</v>
      </c>
      <c r="I276" t="s">
        <v>349</v>
      </c>
      <c r="J276" t="s">
        <v>30</v>
      </c>
      <c r="K276">
        <v>11</v>
      </c>
      <c r="L276">
        <v>259</v>
      </c>
      <c r="M276" t="s">
        <v>269</v>
      </c>
      <c r="N276" t="s">
        <v>351</v>
      </c>
      <c r="O276" t="s">
        <v>303</v>
      </c>
      <c r="P276">
        <v>100</v>
      </c>
      <c r="Q276">
        <v>1925</v>
      </c>
      <c r="R276">
        <v>1968</v>
      </c>
      <c r="S276">
        <v>99</v>
      </c>
      <c r="T276">
        <v>56</v>
      </c>
      <c r="U276">
        <v>2</v>
      </c>
      <c r="V276">
        <v>1038</v>
      </c>
      <c r="W276">
        <v>410</v>
      </c>
      <c r="X276">
        <v>0</v>
      </c>
      <c r="Y276">
        <v>240</v>
      </c>
      <c r="Z276">
        <v>240</v>
      </c>
      <c r="AA276">
        <v>0</v>
      </c>
      <c r="AB276">
        <v>1448</v>
      </c>
      <c r="AC276">
        <v>1500</v>
      </c>
      <c r="AD276">
        <v>0</v>
      </c>
      <c r="AF276" t="s">
        <v>383</v>
      </c>
      <c r="AG276" t="s">
        <v>148</v>
      </c>
      <c r="AH276" t="s">
        <v>450</v>
      </c>
      <c r="AI276">
        <v>0</v>
      </c>
      <c r="AJ276">
        <v>0</v>
      </c>
      <c r="AK276">
        <v>1</v>
      </c>
      <c r="AL276">
        <v>0</v>
      </c>
      <c r="AM276">
        <v>1</v>
      </c>
      <c r="AN276">
        <v>8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100</v>
      </c>
      <c r="AV276">
        <v>100</v>
      </c>
      <c r="AW276">
        <v>214678</v>
      </c>
      <c r="AX276">
        <v>158862</v>
      </c>
      <c r="AY276">
        <v>56</v>
      </c>
      <c r="AZ276">
        <v>56</v>
      </c>
      <c r="BA276">
        <v>0</v>
      </c>
      <c r="BB276">
        <v>0</v>
      </c>
      <c r="BC276" s="3">
        <v>45236</v>
      </c>
      <c r="BD276" t="s">
        <v>136</v>
      </c>
      <c r="BE276">
        <v>349000</v>
      </c>
      <c r="BF276">
        <v>340073</v>
      </c>
      <c r="BG276" t="s">
        <v>294</v>
      </c>
      <c r="BH276">
        <v>30</v>
      </c>
      <c r="BI276" t="s">
        <v>65</v>
      </c>
      <c r="BJ276" t="s">
        <v>450</v>
      </c>
      <c r="BK276">
        <v>345500</v>
      </c>
      <c r="BL276">
        <v>79900</v>
      </c>
      <c r="BM276">
        <v>265600</v>
      </c>
      <c r="BN276">
        <v>8927</v>
      </c>
      <c r="BO276">
        <v>0.98997134670487108</v>
      </c>
      <c r="BP276">
        <v>368210.27996506984</v>
      </c>
      <c r="BQ276">
        <v>372161.53897275333</v>
      </c>
      <c r="BR276" s="12">
        <f>(Sales[[#This Row],[DP1]]*Lookups!$B$59)+(Sales[[#This Row],[DP2]]*Lookups!$B$60)+(Sales[[#This Row],[DP3]]*Lookups!$B$61)</f>
        <v>-3951.2590079200004</v>
      </c>
      <c r="BS276" s="12">
        <f>Lookups!$B$56*0</f>
        <v>0</v>
      </c>
      <c r="BT276" s="12">
        <f>Lookups!$B$56*1</f>
        <v>89850.625589999996</v>
      </c>
      <c r="BU276" s="12">
        <f>Lookups!$B$57*Sales[[#This Row],[LnAcres]]</f>
        <v>-31472.673662315807</v>
      </c>
      <c r="BV276" s="12">
        <f>VLOOKUP(Sales[[#This Row],[Qlty]],Lookups!$A$62:$E$75,2,FALSE)</f>
        <v>21557.329055999999</v>
      </c>
      <c r="BW276" s="12">
        <f>VLOOKUP(Sales[[#This Row],[Cnd]],Lookups!$A$76:$E$84,2,FALSE)</f>
        <v>197752.34721000001</v>
      </c>
      <c r="BX276" s="12">
        <f>Sales[[#This Row],[EffAge]]*Lookups!$B$85</f>
        <v>-12490.553628</v>
      </c>
      <c r="BY276" s="12">
        <f>Sales[[#This Row],[MainFn]]*Lookups!$B$86</f>
        <v>51286.199332326003</v>
      </c>
      <c r="BZ276" s="12">
        <f>Sales[[#This Row],[UpprFn]]*Lookups!$B$87</f>
        <v>18362.433373010001</v>
      </c>
      <c r="CA276" s="12">
        <f>Sales[[#This Row],[AddFn]]*Lookups!$B$88</f>
        <v>0</v>
      </c>
      <c r="CB276" s="12">
        <f>Sales[[#This Row],[Bsmt]]*Lookups!$B$89</f>
        <v>6979.65485928</v>
      </c>
      <c r="CC276" s="12">
        <f>Sales[[#This Row],[Fixtures]]*Lookups!$B$90</f>
        <v>30336.176841600001</v>
      </c>
      <c r="CD276" s="12">
        <f>Sales[[#This Row],[WdDeck]]*Lookups!$B$91</f>
        <v>0</v>
      </c>
      <c r="CE276" s="12">
        <f>SUM(Sales[[#This Row],[Days Prior Total]:[Mdl WdDeck]])</f>
        <v>368210.2799639802</v>
      </c>
      <c r="CF276" s="12">
        <f>ROUND(Sales[[#This Row],[25Det]],-2)</f>
        <v>8900</v>
      </c>
      <c r="CG276" s="12">
        <f>ROUND(SUM(Sales[[#This Row],[Mdl Qlty]:[Mdl WdDeck]])+Sales[[#This Row],[Mdl Res Intercept]]+Sales[[#This Row],[Days Prior Total]],-2)</f>
        <v>309800</v>
      </c>
      <c r="CH276" s="12">
        <f>ROUND(Sales[[#This Row],[Mdl Land Intercept]]+Sales[[#This Row],[Mdl LnAcres]],-2)</f>
        <v>58400</v>
      </c>
      <c r="CI276" s="12">
        <f>Sales[[#This Row],[Unadj Res Value]]+Sales[[#This Row],[Unadj Det Value]]+Sales[[#This Row],[Unadj Land Value]]</f>
        <v>377100</v>
      </c>
      <c r="CJ276" s="13">
        <f>Sales[[#This Row],[Unadj Total Value]]/Sales[[#This Row],[Price]]</f>
        <v>1.0805157593123209</v>
      </c>
      <c r="CK276" s="13">
        <f>(Sales[[#This Row],[Unadj Total Value]]-Sales[[#This Row],[24Final]])/Sales[[#This Row],[24Final]]</f>
        <v>9.1461649782923302E-2</v>
      </c>
      <c r="CL276">
        <f>VLOOKUP(Sales[[#This Row],[TNbhd]],Lookups!$Q$2:$T$4,4,FALSE)</f>
        <v>0.99970000000000003</v>
      </c>
      <c r="CM276">
        <f>VLOOKUP(Sales[[#This Row],[Qlty]],Lookups!$O$7:$R$21,4,FALSE)</f>
        <v>1.0067999999999999</v>
      </c>
      <c r="CN276">
        <f>VLOOKUP(Sales[[#This Row],[Cnd]],Lookups!$T$7:$W$16,4,FALSE)</f>
        <v>0.99650000000000005</v>
      </c>
      <c r="CO276">
        <f>VLOOKUP(Sales[[#This Row],[LivArea Range]],Lookups!$T$25:$W$37,4,FALSE)</f>
        <v>1.0157</v>
      </c>
      <c r="CP276">
        <f>VLOOKUP(Sales[[#This Row],[Decade]],Lookups!$O$25:$R$42,4,FALSE)</f>
        <v>1.0074000000000001</v>
      </c>
      <c r="CQ276">
        <f>Sales[[#This Row],[Nbhd Adj]]*0.95</f>
        <v>0.94971499999999998</v>
      </c>
      <c r="CR276">
        <f>Sales[[#This Row],[Nbhd Adj]]*Sales[[#This Row],[Quality Adj]]*Sales[[#This Row],[Condition Adj]]*Sales[[#This Row],[Living Area Adj]]*Sales[[#This Row],[Decade Adj]]*0.95</f>
        <v>0.97494744680082823</v>
      </c>
      <c r="CS276">
        <f>ROUND(SUM(Sales[[#This Row],[Mdl Qlty]:[Mdl WdDeck]])+Sales[[#This Row],[Mdl Res Intercept]]*Sales[[#This Row],[Res Adj ]],-2)</f>
        <v>313800</v>
      </c>
      <c r="CT276">
        <f>ROUND(Sales[[#This Row],[25Det]]*Sales[[#This Row],[Det/Nbhd Adj]],-2)</f>
        <v>8500</v>
      </c>
      <c r="CU276">
        <f>Sales[[#This Row],[Adjusted Res]]+Sales[[#This Row],[Adj Det ]]</f>
        <v>322300</v>
      </c>
      <c r="CV276">
        <f>ROUND((Sales[[#This Row],[Mdl Land Intercept]]+Sales[[#This Row],[Mdl LnAcres]])*Sales[[#This Row],[Det/Nbhd Adj]],-2)</f>
        <v>55400</v>
      </c>
      <c r="CW276">
        <f>Sales[[#This Row],[Adjusted Impr Total]]+Sales[[#This Row],[Adjusted Land Total]]</f>
        <v>377700</v>
      </c>
      <c r="CX276" s="15">
        <f>IFERROR((Sales[[#This Row],[Adjusted Impr Total]]-Sales[[#This Row],[24Bldg]])/Sales[[#This Row],[24Bldg]],0)</f>
        <v>0.21347891566265059</v>
      </c>
      <c r="CY276" s="15">
        <f>(Sales[[#This Row],[Adjusted Land Total]]-Sales[[#This Row],[24Lnd]])/Sales[[#This Row],[24Lnd]]</f>
        <v>-0.30663329161451813</v>
      </c>
      <c r="CZ276" s="15">
        <f>(Sales[[#This Row],[Adjusted Total]]-Sales[[#This Row],[24Final]])/Sales[[#This Row],[24Final]]</f>
        <v>9.3198263386396529E-2</v>
      </c>
      <c r="DA276" s="15">
        <f>(Sales[[#This Row],[Adjusted Total]]+Sales[[#This Row],[Days Prior Total]])/Sales[[#This Row],[Price]]</f>
        <v>1.0709132979715759</v>
      </c>
    </row>
    <row r="277" spans="1:105" x14ac:dyDescent="0.3">
      <c r="A277">
        <v>2025</v>
      </c>
      <c r="B277">
        <v>18132331008</v>
      </c>
      <c r="C277">
        <v>-1.9661128563728327</v>
      </c>
      <c r="D277">
        <v>0.14000000000000001</v>
      </c>
      <c r="E277">
        <v>6185</v>
      </c>
      <c r="F277">
        <v>6</v>
      </c>
      <c r="G277" t="s">
        <v>126</v>
      </c>
      <c r="H277">
        <v>3032</v>
      </c>
      <c r="I277" t="s">
        <v>349</v>
      </c>
      <c r="J277" t="s">
        <v>30</v>
      </c>
      <c r="K277">
        <v>11</v>
      </c>
      <c r="L277">
        <v>259</v>
      </c>
      <c r="M277" t="s">
        <v>242</v>
      </c>
      <c r="N277" t="s">
        <v>351</v>
      </c>
      <c r="O277" t="s">
        <v>303</v>
      </c>
      <c r="P277">
        <v>100</v>
      </c>
      <c r="Q277">
        <v>1925</v>
      </c>
      <c r="R277">
        <v>1968</v>
      </c>
      <c r="S277">
        <v>99</v>
      </c>
      <c r="T277">
        <v>56</v>
      </c>
      <c r="U277">
        <v>1</v>
      </c>
      <c r="V277">
        <v>1220</v>
      </c>
      <c r="W277">
        <v>0</v>
      </c>
      <c r="X277">
        <v>0</v>
      </c>
      <c r="Y277">
        <v>1220</v>
      </c>
      <c r="Z277">
        <v>1220</v>
      </c>
      <c r="AA277">
        <v>0</v>
      </c>
      <c r="AB277">
        <v>1220</v>
      </c>
      <c r="AC277">
        <v>1500</v>
      </c>
      <c r="AD277">
        <v>0</v>
      </c>
      <c r="AF277" t="s">
        <v>383</v>
      </c>
      <c r="AG277" t="s">
        <v>148</v>
      </c>
      <c r="AH277" t="s">
        <v>450</v>
      </c>
      <c r="AI277">
        <v>0</v>
      </c>
      <c r="AJ277">
        <v>1</v>
      </c>
      <c r="AK277">
        <v>0</v>
      </c>
      <c r="AL277">
        <v>1</v>
      </c>
      <c r="AM277">
        <v>0</v>
      </c>
      <c r="AN277">
        <v>8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100</v>
      </c>
      <c r="AV277">
        <v>100</v>
      </c>
      <c r="AW277">
        <v>218214</v>
      </c>
      <c r="AX277">
        <v>161478</v>
      </c>
      <c r="AY277">
        <v>510</v>
      </c>
      <c r="AZ277">
        <v>365</v>
      </c>
      <c r="BA277">
        <v>145</v>
      </c>
      <c r="BB277">
        <v>0</v>
      </c>
      <c r="BC277" s="3">
        <v>44782</v>
      </c>
      <c r="BD277" t="s">
        <v>190</v>
      </c>
      <c r="BE277">
        <v>315000</v>
      </c>
      <c r="BF277">
        <v>306967</v>
      </c>
      <c r="BG277" t="s">
        <v>294</v>
      </c>
      <c r="BH277">
        <v>30</v>
      </c>
      <c r="BI277" t="s">
        <v>65</v>
      </c>
      <c r="BJ277" t="s">
        <v>450</v>
      </c>
      <c r="BK277">
        <v>323700</v>
      </c>
      <c r="BL277">
        <v>46000</v>
      </c>
      <c r="BM277">
        <v>277700</v>
      </c>
      <c r="BN277">
        <v>8033</v>
      </c>
      <c r="BO277">
        <v>1.0276190476190477</v>
      </c>
      <c r="BP277">
        <v>336439.18569339521</v>
      </c>
      <c r="BQ277">
        <v>360527.86755032651</v>
      </c>
      <c r="BR277" s="12">
        <f>(Sales[[#This Row],[DP1]]*Lookups!$B$59)+(Sales[[#This Row],[DP2]]*Lookups!$B$60)+(Sales[[#This Row],[DP3]]*Lookups!$B$61)</f>
        <v>-24088.681858510001</v>
      </c>
      <c r="BS277" s="12">
        <f>Lookups!$B$56*0</f>
        <v>0</v>
      </c>
      <c r="BT277" s="12">
        <f>Lookups!$B$56*1</f>
        <v>89850.625589999996</v>
      </c>
      <c r="BU277" s="12">
        <f>Lookups!$B$57*Sales[[#This Row],[LnAcres]]</f>
        <v>-62236.546971921947</v>
      </c>
      <c r="BV277" s="12">
        <f>VLOOKUP(Sales[[#This Row],[Qlty]],Lookups!$A$62:$E$75,2,FALSE)</f>
        <v>21557.329055999999</v>
      </c>
      <c r="BW277" s="12">
        <f>VLOOKUP(Sales[[#This Row],[Cnd]],Lookups!$A$76:$E$84,2,FALSE)</f>
        <v>197752.34721000001</v>
      </c>
      <c r="BX277" s="12">
        <f>Sales[[#This Row],[EffAge]]*Lookups!$B$85</f>
        <v>-12490.553628</v>
      </c>
      <c r="BY277" s="12">
        <f>Sales[[#This Row],[MainFn]]*Lookups!$B$86</f>
        <v>60278.577249940005</v>
      </c>
      <c r="BZ277" s="12">
        <f>Sales[[#This Row],[UpprFn]]*Lookups!$B$87</f>
        <v>0</v>
      </c>
      <c r="CA277" s="12">
        <f>Sales[[#This Row],[AddFn]]*Lookups!$B$88</f>
        <v>0</v>
      </c>
      <c r="CB277" s="12">
        <f>Sales[[#This Row],[Bsmt]]*Lookups!$B$89</f>
        <v>35479.912201339997</v>
      </c>
      <c r="CC277" s="12">
        <f>Sales[[#This Row],[Fixtures]]*Lookups!$B$90</f>
        <v>30336.176841600001</v>
      </c>
      <c r="CD277" s="12">
        <f>Sales[[#This Row],[WdDeck]]*Lookups!$B$91</f>
        <v>0</v>
      </c>
      <c r="CE277" s="12">
        <f>SUM(Sales[[#This Row],[Days Prior Total]:[Mdl WdDeck]])</f>
        <v>336439.1856904481</v>
      </c>
      <c r="CF277" s="12">
        <f>ROUND(Sales[[#This Row],[25Det]],-2)</f>
        <v>8000</v>
      </c>
      <c r="CG277" s="12">
        <f>ROUND(SUM(Sales[[#This Row],[Mdl Qlty]:[Mdl WdDeck]])+Sales[[#This Row],[Mdl Res Intercept]]+Sales[[#This Row],[Days Prior Total]],-2)</f>
        <v>308800</v>
      </c>
      <c r="CH277" s="12">
        <f>ROUND(Sales[[#This Row],[Mdl Land Intercept]]+Sales[[#This Row],[Mdl LnAcres]],-2)</f>
        <v>27600</v>
      </c>
      <c r="CI277" s="12">
        <f>Sales[[#This Row],[Unadj Res Value]]+Sales[[#This Row],[Unadj Det Value]]+Sales[[#This Row],[Unadj Land Value]]</f>
        <v>344400</v>
      </c>
      <c r="CJ277" s="13">
        <f>Sales[[#This Row],[Unadj Total Value]]/Sales[[#This Row],[Price]]</f>
        <v>1.0933333333333333</v>
      </c>
      <c r="CK277" s="13">
        <f>(Sales[[#This Row],[Unadj Total Value]]-Sales[[#This Row],[24Final]])/Sales[[#This Row],[24Final]]</f>
        <v>6.39481000926784E-2</v>
      </c>
      <c r="CL277">
        <f>VLOOKUP(Sales[[#This Row],[TNbhd]],Lookups!$Q$2:$T$4,4,FALSE)</f>
        <v>0.99970000000000003</v>
      </c>
      <c r="CM277">
        <f>VLOOKUP(Sales[[#This Row],[Qlty]],Lookups!$O$7:$R$21,4,FALSE)</f>
        <v>1.0067999999999999</v>
      </c>
      <c r="CN277">
        <f>VLOOKUP(Sales[[#This Row],[Cnd]],Lookups!$T$7:$W$16,4,FALSE)</f>
        <v>0.99650000000000005</v>
      </c>
      <c r="CO277">
        <f>VLOOKUP(Sales[[#This Row],[LivArea Range]],Lookups!$T$25:$W$37,4,FALSE)</f>
        <v>1.0157</v>
      </c>
      <c r="CP277">
        <f>VLOOKUP(Sales[[#This Row],[Decade]],Lookups!$O$25:$R$42,4,FALSE)</f>
        <v>1.0074000000000001</v>
      </c>
      <c r="CQ277">
        <f>Sales[[#This Row],[Nbhd Adj]]*0.95</f>
        <v>0.94971499999999998</v>
      </c>
      <c r="CR277">
        <f>Sales[[#This Row],[Nbhd Adj]]*Sales[[#This Row],[Quality Adj]]*Sales[[#This Row],[Condition Adj]]*Sales[[#This Row],[Living Area Adj]]*Sales[[#This Row],[Decade Adj]]*0.95</f>
        <v>0.97494744680082823</v>
      </c>
      <c r="CS277">
        <f>ROUND(SUM(Sales[[#This Row],[Mdl Qlty]:[Mdl WdDeck]])+Sales[[#This Row],[Mdl Res Intercept]]*Sales[[#This Row],[Res Adj ]],-2)</f>
        <v>332900</v>
      </c>
      <c r="CT277">
        <f>ROUND(Sales[[#This Row],[25Det]]*Sales[[#This Row],[Det/Nbhd Adj]],-2)</f>
        <v>7600</v>
      </c>
      <c r="CU277">
        <f>Sales[[#This Row],[Adjusted Res]]+Sales[[#This Row],[Adj Det ]]</f>
        <v>340500</v>
      </c>
      <c r="CV277">
        <f>ROUND((Sales[[#This Row],[Mdl Land Intercept]]+Sales[[#This Row],[Mdl LnAcres]])*Sales[[#This Row],[Det/Nbhd Adj]],-2)</f>
        <v>26200</v>
      </c>
      <c r="CW277">
        <f>Sales[[#This Row],[Adjusted Impr Total]]+Sales[[#This Row],[Adjusted Land Total]]</f>
        <v>366700</v>
      </c>
      <c r="CX277" s="15">
        <f>IFERROR((Sales[[#This Row],[Adjusted Impr Total]]-Sales[[#This Row],[24Bldg]])/Sales[[#This Row],[24Bldg]],0)</f>
        <v>0.22614332012963631</v>
      </c>
      <c r="CY277" s="15">
        <f>(Sales[[#This Row],[Adjusted Land Total]]-Sales[[#This Row],[24Lnd]])/Sales[[#This Row],[24Lnd]]</f>
        <v>-0.43043478260869567</v>
      </c>
      <c r="CZ277" s="15">
        <f>(Sales[[#This Row],[Adjusted Total]]-Sales[[#This Row],[24Final]])/Sales[[#This Row],[24Final]]</f>
        <v>0.13283904850169911</v>
      </c>
      <c r="DA277" s="15">
        <f>(Sales[[#This Row],[Adjusted Total]]+Sales[[#This Row],[Days Prior Total]])/Sales[[#This Row],[Price]]</f>
        <v>1.0876549782269525</v>
      </c>
    </row>
    <row r="278" spans="1:105" x14ac:dyDescent="0.3">
      <c r="A278">
        <v>2025</v>
      </c>
      <c r="B278">
        <v>18132344047</v>
      </c>
      <c r="C278">
        <v>-1.9661128563728327</v>
      </c>
      <c r="D278">
        <v>0.14000000000000001</v>
      </c>
      <c r="E278">
        <v>6181</v>
      </c>
      <c r="F278">
        <v>6</v>
      </c>
      <c r="G278" t="s">
        <v>126</v>
      </c>
      <c r="H278">
        <v>3093</v>
      </c>
      <c r="I278" t="s">
        <v>349</v>
      </c>
      <c r="J278" t="s">
        <v>30</v>
      </c>
      <c r="K278">
        <v>11</v>
      </c>
      <c r="L278">
        <v>259</v>
      </c>
      <c r="M278" t="s">
        <v>269</v>
      </c>
      <c r="N278" t="s">
        <v>351</v>
      </c>
      <c r="O278" t="s">
        <v>323</v>
      </c>
      <c r="P278">
        <v>100</v>
      </c>
      <c r="Q278">
        <v>1925</v>
      </c>
      <c r="R278">
        <v>1968</v>
      </c>
      <c r="S278">
        <v>99</v>
      </c>
      <c r="T278">
        <v>56</v>
      </c>
      <c r="U278">
        <v>1</v>
      </c>
      <c r="V278">
        <v>1105</v>
      </c>
      <c r="W278">
        <v>0</v>
      </c>
      <c r="X278">
        <v>0</v>
      </c>
      <c r="Y278">
        <v>963</v>
      </c>
      <c r="Z278">
        <v>963</v>
      </c>
      <c r="AA278">
        <v>0</v>
      </c>
      <c r="AB278">
        <v>1105</v>
      </c>
      <c r="AC278">
        <v>1500</v>
      </c>
      <c r="AD278">
        <v>0</v>
      </c>
      <c r="AF278" t="s">
        <v>383</v>
      </c>
      <c r="AG278" t="s">
        <v>382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8</v>
      </c>
      <c r="AO278">
        <v>0</v>
      </c>
      <c r="AP278">
        <v>0</v>
      </c>
      <c r="AQ278">
        <v>0</v>
      </c>
      <c r="AR278">
        <v>171</v>
      </c>
      <c r="AS278">
        <v>0</v>
      </c>
      <c r="AT278">
        <v>0</v>
      </c>
      <c r="AU278">
        <v>100</v>
      </c>
      <c r="AV278">
        <v>100</v>
      </c>
      <c r="AW278">
        <v>199377</v>
      </c>
      <c r="AX278">
        <v>129595</v>
      </c>
      <c r="AY278">
        <v>927</v>
      </c>
      <c r="AZ278">
        <v>365</v>
      </c>
      <c r="BA278">
        <v>365</v>
      </c>
      <c r="BB278">
        <v>197</v>
      </c>
      <c r="BC278" s="3">
        <v>44365</v>
      </c>
      <c r="BD278" t="s">
        <v>271</v>
      </c>
      <c r="BE278">
        <v>247000</v>
      </c>
      <c r="BF278">
        <v>240566</v>
      </c>
      <c r="BG278" t="s">
        <v>294</v>
      </c>
      <c r="BH278">
        <v>30</v>
      </c>
      <c r="BI278" t="s">
        <v>65</v>
      </c>
      <c r="BJ278" t="s">
        <v>450</v>
      </c>
      <c r="BK278">
        <v>291200</v>
      </c>
      <c r="BL278">
        <v>46000</v>
      </c>
      <c r="BM278">
        <v>245200</v>
      </c>
      <c r="BN278">
        <v>6434</v>
      </c>
      <c r="BO278">
        <v>1.1789473684210525</v>
      </c>
      <c r="BP278">
        <v>267879.65099606372</v>
      </c>
      <c r="BQ278">
        <v>315785.21252584242</v>
      </c>
      <c r="BR278" s="12">
        <f>(Sales[[#This Row],[DP1]]*Lookups!$B$59)+(Sales[[#This Row],[DP2]]*Lookups!$B$60)+(Sales[[#This Row],[DP3]]*Lookups!$B$61)</f>
        <v>-47905.561536370005</v>
      </c>
      <c r="BS278" s="12">
        <f>Lookups!$B$56*0</f>
        <v>0</v>
      </c>
      <c r="BT278" s="12">
        <f>Lookups!$B$56*1</f>
        <v>89850.625589999996</v>
      </c>
      <c r="BU278" s="12">
        <f>Lookups!$B$57*Sales[[#This Row],[LnAcres]]</f>
        <v>-62236.546971921947</v>
      </c>
      <c r="BV278" s="12">
        <f>VLOOKUP(Sales[[#This Row],[Qlty]],Lookups!$A$62:$E$75,2,FALSE)</f>
        <v>21557.329055999999</v>
      </c>
      <c r="BW278" s="12">
        <f>VLOOKUP(Sales[[#This Row],[Cnd]],Lookups!$A$76:$E$84,2,FALSE)</f>
        <v>160472.20319</v>
      </c>
      <c r="BX278" s="12">
        <f>Sales[[#This Row],[EffAge]]*Lookups!$B$85</f>
        <v>-12490.553628</v>
      </c>
      <c r="BY278" s="12">
        <f>Sales[[#This Row],[MainFn]]*Lookups!$B$86</f>
        <v>54596.580214084999</v>
      </c>
      <c r="BZ278" s="12">
        <f>Sales[[#This Row],[UpprFn]]*Lookups!$B$87</f>
        <v>0</v>
      </c>
      <c r="CA278" s="12">
        <f>Sales[[#This Row],[AddFn]]*Lookups!$B$88</f>
        <v>0</v>
      </c>
      <c r="CB278" s="12">
        <f>Sales[[#This Row],[Bsmt]]*Lookups!$B$89</f>
        <v>28005.865122861</v>
      </c>
      <c r="CC278" s="12">
        <f>Sales[[#This Row],[Fixtures]]*Lookups!$B$90</f>
        <v>30336.176841600001</v>
      </c>
      <c r="CD278" s="12">
        <f>Sales[[#This Row],[WdDeck]]*Lookups!$B$91</f>
        <v>5693.5331121960007</v>
      </c>
      <c r="CE278" s="12">
        <f>SUM(Sales[[#This Row],[Days Prior Total]:[Mdl WdDeck]])</f>
        <v>267879.65099045006</v>
      </c>
      <c r="CF278" s="12">
        <f>ROUND(Sales[[#This Row],[25Det]],-2)</f>
        <v>6400</v>
      </c>
      <c r="CG278" s="12">
        <f>ROUND(SUM(Sales[[#This Row],[Mdl Qlty]:[Mdl WdDeck]])+Sales[[#This Row],[Mdl Res Intercept]]+Sales[[#This Row],[Days Prior Total]],-2)</f>
        <v>240300</v>
      </c>
      <c r="CH278" s="12">
        <f>ROUND(Sales[[#This Row],[Mdl Land Intercept]]+Sales[[#This Row],[Mdl LnAcres]],-2)</f>
        <v>27600</v>
      </c>
      <c r="CI278" s="12">
        <f>Sales[[#This Row],[Unadj Res Value]]+Sales[[#This Row],[Unadj Det Value]]+Sales[[#This Row],[Unadj Land Value]]</f>
        <v>274300</v>
      </c>
      <c r="CJ278" s="13">
        <f>Sales[[#This Row],[Unadj Total Value]]/Sales[[#This Row],[Price]]</f>
        <v>1.1105263157894736</v>
      </c>
      <c r="CK278" s="13">
        <f>(Sales[[#This Row],[Unadj Total Value]]-Sales[[#This Row],[24Final]])/Sales[[#This Row],[24Final]]</f>
        <v>-5.8035714285714288E-2</v>
      </c>
      <c r="CL278">
        <f>VLOOKUP(Sales[[#This Row],[TNbhd]],Lookups!$Q$2:$T$4,4,FALSE)</f>
        <v>0.99970000000000003</v>
      </c>
      <c r="CM278">
        <f>VLOOKUP(Sales[[#This Row],[Qlty]],Lookups!$O$7:$R$21,4,FALSE)</f>
        <v>1.0067999999999999</v>
      </c>
      <c r="CN278">
        <f>VLOOKUP(Sales[[#This Row],[Cnd]],Lookups!$T$7:$W$16,4,FALSE)</f>
        <v>0.99729999999999996</v>
      </c>
      <c r="CO278">
        <f>VLOOKUP(Sales[[#This Row],[LivArea Range]],Lookups!$T$25:$W$37,4,FALSE)</f>
        <v>1.0157</v>
      </c>
      <c r="CP278">
        <f>VLOOKUP(Sales[[#This Row],[Decade]],Lookups!$O$25:$R$42,4,FALSE)</f>
        <v>1.0074000000000001</v>
      </c>
      <c r="CQ278">
        <f>Sales[[#This Row],[Nbhd Adj]]*0.95</f>
        <v>0.94971499999999998</v>
      </c>
      <c r="CR278">
        <f>Sales[[#This Row],[Nbhd Adj]]*Sales[[#This Row],[Quality Adj]]*Sales[[#This Row],[Condition Adj]]*Sales[[#This Row],[Living Area Adj]]*Sales[[#This Row],[Decade Adj]]*0.95</f>
        <v>0.97573014419916293</v>
      </c>
      <c r="CS278">
        <f>ROUND(SUM(Sales[[#This Row],[Mdl Qlty]:[Mdl WdDeck]])+Sales[[#This Row],[Mdl Res Intercept]]*Sales[[#This Row],[Res Adj ]],-2)</f>
        <v>288200</v>
      </c>
      <c r="CT278">
        <f>ROUND(Sales[[#This Row],[25Det]]*Sales[[#This Row],[Det/Nbhd Adj]],-2)</f>
        <v>6100</v>
      </c>
      <c r="CU278">
        <f>Sales[[#This Row],[Adjusted Res]]+Sales[[#This Row],[Adj Det ]]</f>
        <v>294300</v>
      </c>
      <c r="CV278">
        <f>ROUND((Sales[[#This Row],[Mdl Land Intercept]]+Sales[[#This Row],[Mdl LnAcres]])*Sales[[#This Row],[Det/Nbhd Adj]],-2)</f>
        <v>26200</v>
      </c>
      <c r="CW278">
        <f>Sales[[#This Row],[Adjusted Impr Total]]+Sales[[#This Row],[Adjusted Land Total]]</f>
        <v>320500</v>
      </c>
      <c r="CX278" s="15">
        <f>IFERROR((Sales[[#This Row],[Adjusted Impr Total]]-Sales[[#This Row],[24Bldg]])/Sales[[#This Row],[24Bldg]],0)</f>
        <v>0.2002446982055465</v>
      </c>
      <c r="CY278" s="15">
        <f>(Sales[[#This Row],[Adjusted Land Total]]-Sales[[#This Row],[24Lnd]])/Sales[[#This Row],[24Lnd]]</f>
        <v>-0.43043478260869567</v>
      </c>
      <c r="CZ278" s="15">
        <f>(Sales[[#This Row],[Adjusted Total]]-Sales[[#This Row],[24Final]])/Sales[[#This Row],[24Final]]</f>
        <v>0.10061813186813187</v>
      </c>
      <c r="DA278" s="15">
        <f>(Sales[[#This Row],[Adjusted Total]]+Sales[[#This Row],[Days Prior Total]])/Sales[[#This Row],[Price]]</f>
        <v>1.1036212083547772</v>
      </c>
    </row>
    <row r="279" spans="1:105" x14ac:dyDescent="0.3">
      <c r="A279">
        <v>2025</v>
      </c>
      <c r="B279">
        <v>18132344451</v>
      </c>
      <c r="C279">
        <v>-1.8971199848858813</v>
      </c>
      <c r="D279">
        <v>0.15</v>
      </c>
      <c r="E279">
        <v>6500</v>
      </c>
      <c r="F279">
        <v>6</v>
      </c>
      <c r="G279" t="s">
        <v>126</v>
      </c>
      <c r="H279">
        <v>3093</v>
      </c>
      <c r="I279" t="s">
        <v>349</v>
      </c>
      <c r="J279" t="s">
        <v>30</v>
      </c>
      <c r="K279">
        <v>11</v>
      </c>
      <c r="L279">
        <v>259</v>
      </c>
      <c r="M279" t="s">
        <v>269</v>
      </c>
      <c r="N279" t="s">
        <v>205</v>
      </c>
      <c r="O279" t="s">
        <v>303</v>
      </c>
      <c r="P279">
        <v>100</v>
      </c>
      <c r="Q279">
        <v>1925</v>
      </c>
      <c r="R279">
        <v>1968</v>
      </c>
      <c r="S279">
        <v>99</v>
      </c>
      <c r="T279">
        <v>56</v>
      </c>
      <c r="U279">
        <v>1</v>
      </c>
      <c r="V279">
        <v>988</v>
      </c>
      <c r="W279">
        <v>0</v>
      </c>
      <c r="X279">
        <v>0</v>
      </c>
      <c r="Y279">
        <v>750</v>
      </c>
      <c r="Z279">
        <v>0</v>
      </c>
      <c r="AA279">
        <v>750</v>
      </c>
      <c r="AB279">
        <v>1738</v>
      </c>
      <c r="AC279">
        <v>2000</v>
      </c>
      <c r="AD279">
        <v>0</v>
      </c>
      <c r="AF279" t="s">
        <v>383</v>
      </c>
      <c r="AG279" t="s">
        <v>148</v>
      </c>
      <c r="AI279">
        <v>0</v>
      </c>
      <c r="AJ279">
        <v>0</v>
      </c>
      <c r="AK279">
        <v>0</v>
      </c>
      <c r="AL279">
        <v>0</v>
      </c>
      <c r="AM279">
        <v>1</v>
      </c>
      <c r="AN279">
        <v>7</v>
      </c>
      <c r="AO279">
        <v>0</v>
      </c>
      <c r="AP279">
        <v>0</v>
      </c>
      <c r="AQ279">
        <v>0</v>
      </c>
      <c r="AR279">
        <v>160</v>
      </c>
      <c r="AS279">
        <v>0</v>
      </c>
      <c r="AT279">
        <v>0</v>
      </c>
      <c r="AU279">
        <v>100</v>
      </c>
      <c r="AV279">
        <v>100</v>
      </c>
      <c r="AW279">
        <v>195520</v>
      </c>
      <c r="AX279">
        <v>144685</v>
      </c>
      <c r="AY279">
        <v>889</v>
      </c>
      <c r="AZ279">
        <v>365</v>
      </c>
      <c r="BA279">
        <v>365</v>
      </c>
      <c r="BB279">
        <v>159</v>
      </c>
      <c r="BC279" s="3">
        <v>44403</v>
      </c>
      <c r="BD279" t="s">
        <v>149</v>
      </c>
      <c r="BE279">
        <v>233000</v>
      </c>
      <c r="BF279">
        <v>227421</v>
      </c>
      <c r="BG279" t="s">
        <v>294</v>
      </c>
      <c r="BH279">
        <v>30</v>
      </c>
      <c r="BI279" t="s">
        <v>65</v>
      </c>
      <c r="BJ279" t="s">
        <v>450</v>
      </c>
      <c r="BK279">
        <v>303100</v>
      </c>
      <c r="BL279">
        <v>48400</v>
      </c>
      <c r="BM279">
        <v>254700</v>
      </c>
      <c r="BN279">
        <v>5579</v>
      </c>
      <c r="BO279">
        <v>1.3008583690987126</v>
      </c>
      <c r="BP279">
        <v>274734.30305065337</v>
      </c>
      <c r="BQ279">
        <v>317558.43949118804</v>
      </c>
      <c r="BR279" s="12">
        <f>(Sales[[#This Row],[DP1]]*Lookups!$B$59)+(Sales[[#This Row],[DP2]]*Lookups!$B$60)+(Sales[[#This Row],[DP3]]*Lookups!$B$61)</f>
        <v>-42824.13644617</v>
      </c>
      <c r="BS279" s="12">
        <f>Lookups!$B$56*0</f>
        <v>0</v>
      </c>
      <c r="BT279" s="12">
        <f>Lookups!$B$56*1</f>
        <v>89850.625589999996</v>
      </c>
      <c r="BU279" s="12">
        <f>Lookups!$B$57*Sales[[#This Row],[LnAcres]]</f>
        <v>-60052.604136134301</v>
      </c>
      <c r="BV279" s="12">
        <f>VLOOKUP(Sales[[#This Row],[Qlty]],Lookups!$A$62:$E$75,2,FALSE)</f>
        <v>0</v>
      </c>
      <c r="BW279" s="12">
        <f>VLOOKUP(Sales[[#This Row],[Cnd]],Lookups!$A$76:$E$84,2,FALSE)</f>
        <v>197752.34721000001</v>
      </c>
      <c r="BX279" s="12">
        <f>Sales[[#This Row],[EffAge]]*Lookups!$B$85</f>
        <v>-12490.553628</v>
      </c>
      <c r="BY279" s="12">
        <f>Sales[[#This Row],[MainFn]]*Lookups!$B$86</f>
        <v>48815.765838476</v>
      </c>
      <c r="BZ279" s="12">
        <f>Sales[[#This Row],[UpprFn]]*Lookups!$B$87</f>
        <v>0</v>
      </c>
      <c r="CA279" s="12">
        <f>Sales[[#This Row],[AddFn]]*Lookups!$B$88</f>
        <v>0</v>
      </c>
      <c r="CB279" s="12">
        <f>Sales[[#This Row],[Bsmt]]*Lookups!$B$89</f>
        <v>21811.421435249998</v>
      </c>
      <c r="CC279" s="12">
        <f>Sales[[#This Row],[Fixtures]]*Lookups!$B$90</f>
        <v>26544.1547364</v>
      </c>
      <c r="CD279" s="12">
        <f>Sales[[#This Row],[WdDeck]]*Lookups!$B$91</f>
        <v>5327.2824441600005</v>
      </c>
      <c r="CE279" s="12">
        <f>SUM(Sales[[#This Row],[Days Prior Total]:[Mdl WdDeck]])</f>
        <v>274734.30304398172</v>
      </c>
      <c r="CF279" s="12">
        <f>ROUND(Sales[[#This Row],[25Det]],-2)</f>
        <v>5600</v>
      </c>
      <c r="CG279" s="12">
        <f>ROUND(SUM(Sales[[#This Row],[Mdl Qlty]:[Mdl WdDeck]])+Sales[[#This Row],[Mdl Res Intercept]]+Sales[[#This Row],[Days Prior Total]],-2)</f>
        <v>244900</v>
      </c>
      <c r="CH279" s="12">
        <f>ROUND(Sales[[#This Row],[Mdl Land Intercept]]+Sales[[#This Row],[Mdl LnAcres]],-2)</f>
        <v>29800</v>
      </c>
      <c r="CI279" s="12">
        <f>Sales[[#This Row],[Unadj Res Value]]+Sales[[#This Row],[Unadj Det Value]]+Sales[[#This Row],[Unadj Land Value]]</f>
        <v>280300</v>
      </c>
      <c r="CJ279" s="13">
        <f>Sales[[#This Row],[Unadj Total Value]]/Sales[[#This Row],[Price]]</f>
        <v>1.2030042918454935</v>
      </c>
      <c r="CK279" s="13">
        <f>(Sales[[#This Row],[Unadj Total Value]]-Sales[[#This Row],[24Final]])/Sales[[#This Row],[24Final]]</f>
        <v>-7.5222698779280769E-2</v>
      </c>
      <c r="CL279">
        <f>VLOOKUP(Sales[[#This Row],[TNbhd]],Lookups!$Q$2:$T$4,4,FALSE)</f>
        <v>0.99970000000000003</v>
      </c>
      <c r="CM279">
        <f>VLOOKUP(Sales[[#This Row],[Qlty]],Lookups!$O$7:$R$21,4,FALSE)</f>
        <v>0.99180000000000001</v>
      </c>
      <c r="CN279">
        <f>VLOOKUP(Sales[[#This Row],[Cnd]],Lookups!$T$7:$W$16,4,FALSE)</f>
        <v>0.99650000000000005</v>
      </c>
      <c r="CO279">
        <f>VLOOKUP(Sales[[#This Row],[LivArea Range]],Lookups!$T$25:$W$37,4,FALSE)</f>
        <v>1.0093000000000001</v>
      </c>
      <c r="CP279">
        <f>VLOOKUP(Sales[[#This Row],[Decade]],Lookups!$O$25:$R$42,4,FALSE)</f>
        <v>1.0074000000000001</v>
      </c>
      <c r="CQ279">
        <f>Sales[[#This Row],[Nbhd Adj]]*0.95</f>
        <v>0.94971499999999998</v>
      </c>
      <c r="CR279">
        <f>Sales[[#This Row],[Nbhd Adj]]*Sales[[#This Row],[Quality Adj]]*Sales[[#This Row],[Condition Adj]]*Sales[[#This Row],[Living Area Adj]]*Sales[[#This Row],[Decade Adj]]*0.95</f>
        <v>0.95437031875284728</v>
      </c>
      <c r="CS279">
        <f>ROUND(SUM(Sales[[#This Row],[Mdl Qlty]:[Mdl WdDeck]])+Sales[[#This Row],[Mdl Res Intercept]]*Sales[[#This Row],[Res Adj ]],-2)</f>
        <v>287800</v>
      </c>
      <c r="CT279">
        <f>ROUND(Sales[[#This Row],[25Det]]*Sales[[#This Row],[Det/Nbhd Adj]],-2)</f>
        <v>5300</v>
      </c>
      <c r="CU279">
        <f>Sales[[#This Row],[Adjusted Res]]+Sales[[#This Row],[Adj Det ]]</f>
        <v>293100</v>
      </c>
      <c r="CV279">
        <f>ROUND((Sales[[#This Row],[Mdl Land Intercept]]+Sales[[#This Row],[Mdl LnAcres]])*Sales[[#This Row],[Det/Nbhd Adj]],-2)</f>
        <v>28300</v>
      </c>
      <c r="CW279">
        <f>Sales[[#This Row],[Adjusted Impr Total]]+Sales[[#This Row],[Adjusted Land Total]]</f>
        <v>321400</v>
      </c>
      <c r="CX279" s="15">
        <f>IFERROR((Sales[[#This Row],[Adjusted Impr Total]]-Sales[[#This Row],[24Bldg]])/Sales[[#This Row],[24Bldg]],0)</f>
        <v>0.15076560659599528</v>
      </c>
      <c r="CY279" s="15">
        <f>(Sales[[#This Row],[Adjusted Land Total]]-Sales[[#This Row],[24Lnd]])/Sales[[#This Row],[24Lnd]]</f>
        <v>-0.41528925619834711</v>
      </c>
      <c r="CZ279" s="15">
        <f>(Sales[[#This Row],[Adjusted Total]]-Sales[[#This Row],[24Final]])/Sales[[#This Row],[24Final]]</f>
        <v>6.0376113493896405E-2</v>
      </c>
      <c r="DA279" s="15">
        <f>(Sales[[#This Row],[Adjusted Total]]+Sales[[#This Row],[Days Prior Total]])/Sales[[#This Row],[Price]]</f>
        <v>1.1956045646087126</v>
      </c>
    </row>
    <row r="280" spans="1:105" x14ac:dyDescent="0.3">
      <c r="A280">
        <v>2025</v>
      </c>
      <c r="B280">
        <v>18132313498</v>
      </c>
      <c r="C280">
        <v>-0.9942522733438669</v>
      </c>
      <c r="D280">
        <v>0.37</v>
      </c>
      <c r="E280">
        <v>16061</v>
      </c>
      <c r="F280">
        <v>6</v>
      </c>
      <c r="G280" t="s">
        <v>126</v>
      </c>
      <c r="H280" t="s">
        <v>349</v>
      </c>
      <c r="I280" t="s">
        <v>349</v>
      </c>
      <c r="J280" t="s">
        <v>30</v>
      </c>
      <c r="K280">
        <v>11</v>
      </c>
      <c r="L280">
        <v>259</v>
      </c>
      <c r="M280" t="s">
        <v>301</v>
      </c>
      <c r="N280" t="s">
        <v>148</v>
      </c>
      <c r="O280" t="s">
        <v>303</v>
      </c>
      <c r="P280">
        <v>110</v>
      </c>
      <c r="Q280">
        <v>1921</v>
      </c>
      <c r="R280">
        <v>1966</v>
      </c>
      <c r="S280">
        <v>103</v>
      </c>
      <c r="T280">
        <v>58</v>
      </c>
      <c r="U280">
        <v>2</v>
      </c>
      <c r="V280">
        <v>1932</v>
      </c>
      <c r="W280">
        <v>1366</v>
      </c>
      <c r="X280">
        <v>0</v>
      </c>
      <c r="Y280">
        <v>1289</v>
      </c>
      <c r="Z280">
        <v>999</v>
      </c>
      <c r="AA280">
        <v>290</v>
      </c>
      <c r="AB280">
        <v>3588</v>
      </c>
      <c r="AC280">
        <v>4000</v>
      </c>
      <c r="AD280">
        <v>0</v>
      </c>
      <c r="AF280" t="s">
        <v>383</v>
      </c>
      <c r="AG280" t="s">
        <v>148</v>
      </c>
      <c r="AH280" t="s">
        <v>450</v>
      </c>
      <c r="AI280">
        <v>0</v>
      </c>
      <c r="AJ280">
        <v>1</v>
      </c>
      <c r="AK280">
        <v>1</v>
      </c>
      <c r="AL280">
        <v>2</v>
      </c>
      <c r="AM280">
        <v>1</v>
      </c>
      <c r="AN280">
        <v>18</v>
      </c>
      <c r="AO280">
        <v>0</v>
      </c>
      <c r="AP280">
        <v>0</v>
      </c>
      <c r="AQ280">
        <v>0</v>
      </c>
      <c r="AR280">
        <v>361</v>
      </c>
      <c r="AS280">
        <v>320</v>
      </c>
      <c r="AT280">
        <v>0</v>
      </c>
      <c r="AU280">
        <v>100</v>
      </c>
      <c r="AV280">
        <v>100</v>
      </c>
      <c r="AW280">
        <v>621428</v>
      </c>
      <c r="AX280">
        <v>447428</v>
      </c>
      <c r="AY280">
        <v>150</v>
      </c>
      <c r="AZ280">
        <v>150</v>
      </c>
      <c r="BA280">
        <v>0</v>
      </c>
      <c r="BB280">
        <v>0</v>
      </c>
      <c r="BC280" s="3">
        <v>45142</v>
      </c>
      <c r="BD280" t="s">
        <v>18</v>
      </c>
      <c r="BE280">
        <v>849000</v>
      </c>
      <c r="BF280">
        <v>781074</v>
      </c>
      <c r="BG280" t="s">
        <v>294</v>
      </c>
      <c r="BH280">
        <v>30</v>
      </c>
      <c r="BI280" t="s">
        <v>65</v>
      </c>
      <c r="BJ280" t="s">
        <v>450</v>
      </c>
      <c r="BK280">
        <v>579500</v>
      </c>
      <c r="BL280">
        <v>79900</v>
      </c>
      <c r="BM280">
        <v>499600</v>
      </c>
      <c r="BN280">
        <v>67926</v>
      </c>
      <c r="BO280">
        <v>0.68256772673733801</v>
      </c>
      <c r="BP280">
        <v>551129.4086274599</v>
      </c>
      <c r="BQ280">
        <v>561713.13811232639</v>
      </c>
      <c r="BR280" s="12">
        <f>(Sales[[#This Row],[DP1]]*Lookups!$B$59)+(Sales[[#This Row],[DP2]]*Lookups!$B$60)+(Sales[[#This Row],[DP3]]*Lookups!$B$61)</f>
        <v>-10583.729485500002</v>
      </c>
      <c r="BS280" s="12">
        <f>Lookups!$B$56*0</f>
        <v>0</v>
      </c>
      <c r="BT280" s="12">
        <f>Lookups!$B$56*1</f>
        <v>89850.625589999996</v>
      </c>
      <c r="BU280" s="12">
        <f>Lookups!$B$57*Sales[[#This Row],[LnAcres]]</f>
        <v>-31472.673662315807</v>
      </c>
      <c r="BV280" s="12">
        <f>VLOOKUP(Sales[[#This Row],[Qlty]],Lookups!$A$62:$E$75,2,FALSE)</f>
        <v>44121.038090000002</v>
      </c>
      <c r="BW280" s="12">
        <f>VLOOKUP(Sales[[#This Row],[Cnd]],Lookups!$A$76:$E$84,2,FALSE)</f>
        <v>197752.34721000001</v>
      </c>
      <c r="BX280" s="12">
        <f>Sales[[#This Row],[EffAge]]*Lookups!$B$85</f>
        <v>-12936.644829000001</v>
      </c>
      <c r="BY280" s="12">
        <f>Sales[[#This Row],[MainFn]]*Lookups!$B$86</f>
        <v>95457.550202364</v>
      </c>
      <c r="BZ280" s="12">
        <f>Sales[[#This Row],[UpprFn]]*Lookups!$B$87</f>
        <v>61178.253628125996</v>
      </c>
      <c r="CA280" s="12">
        <f>Sales[[#This Row],[AddFn]]*Lookups!$B$88</f>
        <v>0</v>
      </c>
      <c r="CB280" s="12">
        <f>Sales[[#This Row],[Bsmt]]*Lookups!$B$89</f>
        <v>37486.562973382999</v>
      </c>
      <c r="CC280" s="12">
        <f>Sales[[#This Row],[Fixtures]]*Lookups!$B$90</f>
        <v>68256.397893600006</v>
      </c>
      <c r="CD280" s="12">
        <f>Sales[[#This Row],[WdDeck]]*Lookups!$B$91</f>
        <v>12019.681014636</v>
      </c>
      <c r="CE280" s="12">
        <f>SUM(Sales[[#This Row],[Days Prior Total]:[Mdl WdDeck]])</f>
        <v>551129.40862529317</v>
      </c>
      <c r="CF280" s="12">
        <f>ROUND(Sales[[#This Row],[25Det]],-2)</f>
        <v>67900</v>
      </c>
      <c r="CG280" s="12">
        <f>ROUND(SUM(Sales[[#This Row],[Mdl Qlty]:[Mdl WdDeck]])+Sales[[#This Row],[Mdl Res Intercept]]+Sales[[#This Row],[Days Prior Total]],-2)</f>
        <v>492800</v>
      </c>
      <c r="CH280" s="12">
        <f>ROUND(Sales[[#This Row],[Mdl Land Intercept]]+Sales[[#This Row],[Mdl LnAcres]],-2)</f>
        <v>58400</v>
      </c>
      <c r="CI280" s="12">
        <f>Sales[[#This Row],[Unadj Res Value]]+Sales[[#This Row],[Unadj Det Value]]+Sales[[#This Row],[Unadj Land Value]]</f>
        <v>619100</v>
      </c>
      <c r="CJ280" s="13">
        <f>Sales[[#This Row],[Unadj Total Value]]/Sales[[#This Row],[Price]]</f>
        <v>0.72921083627797412</v>
      </c>
      <c r="CK280" s="13">
        <f>(Sales[[#This Row],[Unadj Total Value]]-Sales[[#This Row],[24Final]])/Sales[[#This Row],[24Final]]</f>
        <v>6.8334771354616047E-2</v>
      </c>
      <c r="CL280">
        <f>VLOOKUP(Sales[[#This Row],[TNbhd]],Lookups!$Q$2:$T$4,4,FALSE)</f>
        <v>0.99970000000000003</v>
      </c>
      <c r="CM280">
        <f>VLOOKUP(Sales[[#This Row],[Qlty]],Lookups!$O$7:$R$21,4,FALSE)</f>
        <v>0.98050000000000004</v>
      </c>
      <c r="CN280">
        <f>VLOOKUP(Sales[[#This Row],[Cnd]],Lookups!$T$7:$W$16,4,FALSE)</f>
        <v>0.99650000000000005</v>
      </c>
      <c r="CO280">
        <f>VLOOKUP(Sales[[#This Row],[LivArea Range]],Lookups!$T$25:$W$37,4,FALSE)</f>
        <v>0.94579999999999997</v>
      </c>
      <c r="CP280">
        <f>VLOOKUP(Sales[[#This Row],[Decade]],Lookups!$O$25:$R$42,4,FALSE)</f>
        <v>0.96040000000000003</v>
      </c>
      <c r="CQ280">
        <f>Sales[[#This Row],[Nbhd Adj]]*0.95</f>
        <v>0.94971499999999998</v>
      </c>
      <c r="CR280">
        <f>Sales[[#This Row],[Nbhd Adj]]*Sales[[#This Row],[Quality Adj]]*Sales[[#This Row],[Condition Adj]]*Sales[[#This Row],[Living Area Adj]]*Sales[[#This Row],[Decade Adj]]*0.95</f>
        <v>0.84288758965297927</v>
      </c>
      <c r="CS280">
        <f>ROUND(SUM(Sales[[#This Row],[Mdl Qlty]:[Mdl WdDeck]])+Sales[[#This Row],[Mdl Res Intercept]]*Sales[[#This Row],[Res Adj ]],-2)</f>
        <v>503300</v>
      </c>
      <c r="CT280">
        <f>ROUND(Sales[[#This Row],[25Det]]*Sales[[#This Row],[Det/Nbhd Adj]],-2)</f>
        <v>64500</v>
      </c>
      <c r="CU280">
        <f>Sales[[#This Row],[Adjusted Res]]+Sales[[#This Row],[Adj Det ]]</f>
        <v>567800</v>
      </c>
      <c r="CV280">
        <f>ROUND((Sales[[#This Row],[Mdl Land Intercept]]+Sales[[#This Row],[Mdl LnAcres]])*Sales[[#This Row],[Det/Nbhd Adj]],-2)</f>
        <v>55400</v>
      </c>
      <c r="CW280">
        <f>Sales[[#This Row],[Adjusted Impr Total]]+Sales[[#This Row],[Adjusted Land Total]]</f>
        <v>623200</v>
      </c>
      <c r="CX280" s="15">
        <f>IFERROR((Sales[[#This Row],[Adjusted Impr Total]]-Sales[[#This Row],[24Bldg]])/Sales[[#This Row],[24Bldg]],0)</f>
        <v>0.13650920736589273</v>
      </c>
      <c r="CY280" s="15">
        <f>(Sales[[#This Row],[Adjusted Land Total]]-Sales[[#This Row],[24Lnd]])/Sales[[#This Row],[24Lnd]]</f>
        <v>-0.30663329161451813</v>
      </c>
      <c r="CZ280" s="15">
        <f>(Sales[[#This Row],[Adjusted Total]]-Sales[[#This Row],[24Final]])/Sales[[#This Row],[24Final]]</f>
        <v>7.5409836065573776E-2</v>
      </c>
      <c r="DA280" s="15">
        <f>(Sales[[#This Row],[Adjusted Total]]+Sales[[#This Row],[Days Prior Total]])/Sales[[#This Row],[Price]]</f>
        <v>0.72157393464605413</v>
      </c>
    </row>
    <row r="281" spans="1:105" x14ac:dyDescent="0.3">
      <c r="A281">
        <v>2025</v>
      </c>
      <c r="B281">
        <v>18132241407</v>
      </c>
      <c r="C281">
        <v>-1.3862943611198906</v>
      </c>
      <c r="D281">
        <v>0.25</v>
      </c>
      <c r="E281">
        <v>10943</v>
      </c>
      <c r="F281">
        <v>6</v>
      </c>
      <c r="G281" t="s">
        <v>126</v>
      </c>
      <c r="H281">
        <v>3093</v>
      </c>
      <c r="I281" t="s">
        <v>349</v>
      </c>
      <c r="J281" t="s">
        <v>30</v>
      </c>
      <c r="K281">
        <v>11</v>
      </c>
      <c r="L281">
        <v>259</v>
      </c>
      <c r="M281" t="s">
        <v>269</v>
      </c>
      <c r="N281" t="s">
        <v>302</v>
      </c>
      <c r="O281" t="s">
        <v>303</v>
      </c>
      <c r="P281">
        <v>110</v>
      </c>
      <c r="Q281">
        <v>1921</v>
      </c>
      <c r="R281">
        <v>1966</v>
      </c>
      <c r="S281">
        <v>103</v>
      </c>
      <c r="T281">
        <v>58</v>
      </c>
      <c r="U281">
        <v>2</v>
      </c>
      <c r="V281">
        <v>1348</v>
      </c>
      <c r="W281">
        <v>504</v>
      </c>
      <c r="X281">
        <v>0</v>
      </c>
      <c r="Y281">
        <v>1170</v>
      </c>
      <c r="Z281">
        <v>570</v>
      </c>
      <c r="AA281">
        <v>600</v>
      </c>
      <c r="AB281">
        <v>2452</v>
      </c>
      <c r="AC281">
        <v>2500</v>
      </c>
      <c r="AD281">
        <v>0</v>
      </c>
      <c r="AF281" t="s">
        <v>383</v>
      </c>
      <c r="AG281" t="s">
        <v>148</v>
      </c>
      <c r="AH281" t="s">
        <v>65</v>
      </c>
      <c r="AI281">
        <v>0</v>
      </c>
      <c r="AJ281">
        <v>2</v>
      </c>
      <c r="AK281">
        <v>0</v>
      </c>
      <c r="AL281">
        <v>1</v>
      </c>
      <c r="AM281">
        <v>1</v>
      </c>
      <c r="AN281">
        <v>10</v>
      </c>
      <c r="AO281">
        <v>0</v>
      </c>
      <c r="AP281">
        <v>0</v>
      </c>
      <c r="AQ281">
        <v>0</v>
      </c>
      <c r="AR281">
        <v>0</v>
      </c>
      <c r="AS281">
        <v>444</v>
      </c>
      <c r="AT281">
        <v>286</v>
      </c>
      <c r="AU281">
        <v>100</v>
      </c>
      <c r="AV281">
        <v>100</v>
      </c>
      <c r="AW281">
        <v>375818</v>
      </c>
      <c r="AX281">
        <v>270589</v>
      </c>
      <c r="AY281">
        <v>650</v>
      </c>
      <c r="AZ281">
        <v>365</v>
      </c>
      <c r="BA281">
        <v>285</v>
      </c>
      <c r="BB281">
        <v>0</v>
      </c>
      <c r="BC281" s="3">
        <v>44642</v>
      </c>
      <c r="BD281" t="s">
        <v>47</v>
      </c>
      <c r="BE281">
        <v>420000</v>
      </c>
      <c r="BF281">
        <v>411597</v>
      </c>
      <c r="BG281" t="s">
        <v>294</v>
      </c>
      <c r="BH281">
        <v>30</v>
      </c>
      <c r="BI281" t="s">
        <v>65</v>
      </c>
      <c r="BJ281" t="s">
        <v>450</v>
      </c>
      <c r="BK281">
        <v>404300</v>
      </c>
      <c r="BL281">
        <v>66200</v>
      </c>
      <c r="BM281">
        <v>338100</v>
      </c>
      <c r="BN281">
        <v>8403</v>
      </c>
      <c r="BO281">
        <v>0.9626190476190476</v>
      </c>
      <c r="BP281">
        <v>399238.05060955649</v>
      </c>
      <c r="BQ281">
        <v>421719.08843517205</v>
      </c>
      <c r="BR281" s="12">
        <f>(Sales[[#This Row],[DP1]]*Lookups!$B$59)+(Sales[[#This Row],[DP2]]*Lookups!$B$60)+(Sales[[#This Row],[DP3]]*Lookups!$B$61)</f>
        <v>-22481.03782723</v>
      </c>
      <c r="BS281" s="12">
        <f>Lookups!$B$56*0</f>
        <v>0</v>
      </c>
      <c r="BT281" s="12">
        <f>Lookups!$B$56*1</f>
        <v>89850.625589999996</v>
      </c>
      <c r="BU281" s="12">
        <f>Lookups!$B$57*Sales[[#This Row],[LnAcres]]</f>
        <v>-43882.615305165229</v>
      </c>
      <c r="BV281" s="12">
        <f>VLOOKUP(Sales[[#This Row],[Qlty]],Lookups!$A$62:$E$75,2,FALSE)</f>
        <v>29814.093161000001</v>
      </c>
      <c r="BW281" s="12">
        <f>VLOOKUP(Sales[[#This Row],[Cnd]],Lookups!$A$76:$E$84,2,FALSE)</f>
        <v>197752.34721000001</v>
      </c>
      <c r="BX281" s="12">
        <f>Sales[[#This Row],[EffAge]]*Lookups!$B$85</f>
        <v>-12936.644829000001</v>
      </c>
      <c r="BY281" s="12">
        <f>Sales[[#This Row],[MainFn]]*Lookups!$B$86</f>
        <v>66602.886994196</v>
      </c>
      <c r="BZ281" s="12">
        <f>Sales[[#This Row],[UpprFn]]*Lookups!$B$87</f>
        <v>22572.357121943998</v>
      </c>
      <c r="CA281" s="12">
        <f>Sales[[#This Row],[AddFn]]*Lookups!$B$88</f>
        <v>0</v>
      </c>
      <c r="CB281" s="12">
        <f>Sales[[#This Row],[Bsmt]]*Lookups!$B$89</f>
        <v>34025.817438990001</v>
      </c>
      <c r="CC281" s="12">
        <f>Sales[[#This Row],[Fixtures]]*Lookups!$B$90</f>
        <v>37920.221052000001</v>
      </c>
      <c r="CD281" s="12">
        <f>Sales[[#This Row],[WdDeck]]*Lookups!$B$91</f>
        <v>0</v>
      </c>
      <c r="CE281" s="12">
        <f>SUM(Sales[[#This Row],[Days Prior Total]:[Mdl WdDeck]])</f>
        <v>399238.05060673482</v>
      </c>
      <c r="CF281" s="12">
        <f>ROUND(Sales[[#This Row],[25Det]],-2)</f>
        <v>8400</v>
      </c>
      <c r="CG281" s="12">
        <f>ROUND(SUM(Sales[[#This Row],[Mdl Qlty]:[Mdl WdDeck]])+Sales[[#This Row],[Mdl Res Intercept]]+Sales[[#This Row],[Days Prior Total]],-2)</f>
        <v>353300</v>
      </c>
      <c r="CH281" s="12">
        <f>ROUND(Sales[[#This Row],[Mdl Land Intercept]]+Sales[[#This Row],[Mdl LnAcres]],-2)</f>
        <v>46000</v>
      </c>
      <c r="CI281" s="12">
        <f>Sales[[#This Row],[Unadj Res Value]]+Sales[[#This Row],[Unadj Det Value]]+Sales[[#This Row],[Unadj Land Value]]</f>
        <v>407700</v>
      </c>
      <c r="CJ281" s="13">
        <f>Sales[[#This Row],[Unadj Total Value]]/Sales[[#This Row],[Price]]</f>
        <v>0.97071428571428575</v>
      </c>
      <c r="CK281" s="13">
        <f>(Sales[[#This Row],[Unadj Total Value]]-Sales[[#This Row],[24Final]])/Sales[[#This Row],[24Final]]</f>
        <v>8.4095968340341335E-3</v>
      </c>
      <c r="CL281">
        <f>VLOOKUP(Sales[[#This Row],[TNbhd]],Lookups!$Q$2:$T$4,4,FALSE)</f>
        <v>0.99970000000000003</v>
      </c>
      <c r="CM281">
        <f>VLOOKUP(Sales[[#This Row],[Qlty]],Lookups!$O$7:$R$21,4,FALSE)</f>
        <v>1.0088999999999999</v>
      </c>
      <c r="CN281">
        <f>VLOOKUP(Sales[[#This Row],[Cnd]],Lookups!$T$7:$W$16,4,FALSE)</f>
        <v>0.99650000000000005</v>
      </c>
      <c r="CO281">
        <f>VLOOKUP(Sales[[#This Row],[LivArea Range]],Lookups!$T$25:$W$37,4,FALSE)</f>
        <v>0.98919999999999997</v>
      </c>
      <c r="CP281">
        <f>VLOOKUP(Sales[[#This Row],[Decade]],Lookups!$O$25:$R$42,4,FALSE)</f>
        <v>0.96040000000000003</v>
      </c>
      <c r="CQ281">
        <f>Sales[[#This Row],[Nbhd Adj]]*0.95</f>
        <v>0.94971499999999998</v>
      </c>
      <c r="CR281">
        <f>Sales[[#This Row],[Nbhd Adj]]*Sales[[#This Row],[Quality Adj]]*Sales[[#This Row],[Condition Adj]]*Sales[[#This Row],[Living Area Adj]]*Sales[[#This Row],[Decade Adj]]*0.95</f>
        <v>0.90709961275698836</v>
      </c>
      <c r="CS281">
        <f>ROUND(SUM(Sales[[#This Row],[Mdl Qlty]:[Mdl WdDeck]])+Sales[[#This Row],[Mdl Res Intercept]]*Sales[[#This Row],[Res Adj ]],-2)</f>
        <v>375800</v>
      </c>
      <c r="CT281">
        <f>ROUND(Sales[[#This Row],[25Det]]*Sales[[#This Row],[Det/Nbhd Adj]],-2)</f>
        <v>8000</v>
      </c>
      <c r="CU281">
        <f>Sales[[#This Row],[Adjusted Res]]+Sales[[#This Row],[Adj Det ]]</f>
        <v>383800</v>
      </c>
      <c r="CV281">
        <f>ROUND((Sales[[#This Row],[Mdl Land Intercept]]+Sales[[#This Row],[Mdl LnAcres]])*Sales[[#This Row],[Det/Nbhd Adj]],-2)</f>
        <v>43700</v>
      </c>
      <c r="CW281">
        <f>Sales[[#This Row],[Adjusted Impr Total]]+Sales[[#This Row],[Adjusted Land Total]]</f>
        <v>427500</v>
      </c>
      <c r="CX281" s="15">
        <f>IFERROR((Sales[[#This Row],[Adjusted Impr Total]]-Sales[[#This Row],[24Bldg]])/Sales[[#This Row],[24Bldg]],0)</f>
        <v>0.13516711032238982</v>
      </c>
      <c r="CY281" s="15">
        <f>(Sales[[#This Row],[Adjusted Land Total]]-Sales[[#This Row],[24Lnd]])/Sales[[#This Row],[24Lnd]]</f>
        <v>-0.33987915407854985</v>
      </c>
      <c r="CZ281" s="15">
        <f>(Sales[[#This Row],[Adjusted Total]]-Sales[[#This Row],[24Final]])/Sales[[#This Row],[24Final]]</f>
        <v>5.7383131338115262E-2</v>
      </c>
      <c r="DA281" s="15">
        <f>(Sales[[#This Row],[Adjusted Total]]+Sales[[#This Row],[Days Prior Total]])/Sales[[#This Row],[Price]]</f>
        <v>0.96433086231611909</v>
      </c>
    </row>
    <row r="282" spans="1:105" x14ac:dyDescent="0.3">
      <c r="A282">
        <v>2025</v>
      </c>
      <c r="B282">
        <v>18132341418</v>
      </c>
      <c r="C282">
        <v>-0.96758402626170559</v>
      </c>
      <c r="D282">
        <v>0.38</v>
      </c>
      <c r="E282">
        <v>16400</v>
      </c>
      <c r="F282">
        <v>6</v>
      </c>
      <c r="G282" t="s">
        <v>126</v>
      </c>
      <c r="H282">
        <v>3031</v>
      </c>
      <c r="I282" t="s">
        <v>349</v>
      </c>
      <c r="J282" t="s">
        <v>30</v>
      </c>
      <c r="K282">
        <v>11</v>
      </c>
      <c r="L282">
        <v>259</v>
      </c>
      <c r="M282" t="s">
        <v>269</v>
      </c>
      <c r="N282" t="s">
        <v>351</v>
      </c>
      <c r="O282" t="s">
        <v>303</v>
      </c>
      <c r="P282">
        <v>110</v>
      </c>
      <c r="Q282">
        <v>1920</v>
      </c>
      <c r="R282">
        <v>1966</v>
      </c>
      <c r="S282">
        <v>104</v>
      </c>
      <c r="T282">
        <v>58</v>
      </c>
      <c r="U282">
        <v>1</v>
      </c>
      <c r="V282">
        <v>1680</v>
      </c>
      <c r="W282">
        <v>0</v>
      </c>
      <c r="X282">
        <v>0</v>
      </c>
      <c r="Y282">
        <v>1056</v>
      </c>
      <c r="Z282">
        <v>56</v>
      </c>
      <c r="AA282">
        <v>1000</v>
      </c>
      <c r="AB282">
        <v>2680</v>
      </c>
      <c r="AC282">
        <v>3000</v>
      </c>
      <c r="AD282">
        <v>0</v>
      </c>
      <c r="AF282" t="s">
        <v>383</v>
      </c>
      <c r="AG282" t="s">
        <v>148</v>
      </c>
      <c r="AH282" t="s">
        <v>65</v>
      </c>
      <c r="AI282">
        <v>0</v>
      </c>
      <c r="AJ282">
        <v>0</v>
      </c>
      <c r="AK282">
        <v>0</v>
      </c>
      <c r="AL282">
        <v>2</v>
      </c>
      <c r="AM282">
        <v>0</v>
      </c>
      <c r="AN282">
        <v>11</v>
      </c>
      <c r="AO282">
        <v>0</v>
      </c>
      <c r="AP282">
        <v>0</v>
      </c>
      <c r="AQ282">
        <v>0</v>
      </c>
      <c r="AR282">
        <v>80</v>
      </c>
      <c r="AS282">
        <v>1102</v>
      </c>
      <c r="AT282">
        <v>0</v>
      </c>
      <c r="AU282">
        <v>100</v>
      </c>
      <c r="AV282">
        <v>100</v>
      </c>
      <c r="AW282">
        <v>316990</v>
      </c>
      <c r="AX282">
        <v>228233</v>
      </c>
      <c r="AY282">
        <v>580</v>
      </c>
      <c r="AZ282">
        <v>365</v>
      </c>
      <c r="BA282">
        <v>215</v>
      </c>
      <c r="BB282">
        <v>0</v>
      </c>
      <c r="BC282" s="3">
        <v>44712</v>
      </c>
      <c r="BD282" t="s">
        <v>133</v>
      </c>
      <c r="BE282">
        <v>500000</v>
      </c>
      <c r="BF282">
        <v>491733</v>
      </c>
      <c r="BG282" t="s">
        <v>294</v>
      </c>
      <c r="BH282">
        <v>30</v>
      </c>
      <c r="BI282" t="s">
        <v>65</v>
      </c>
      <c r="BJ282" t="s">
        <v>450</v>
      </c>
      <c r="BK282">
        <v>421700</v>
      </c>
      <c r="BL282">
        <v>80800</v>
      </c>
      <c r="BM282">
        <v>340900</v>
      </c>
      <c r="BN282">
        <v>8267</v>
      </c>
      <c r="BO282">
        <v>0.84340000000000004</v>
      </c>
      <c r="BP282">
        <v>400403.227791955</v>
      </c>
      <c r="BQ282">
        <v>423688.08763322851</v>
      </c>
      <c r="BR282" s="12">
        <f>(Sales[[#This Row],[DP1]]*Lookups!$B$59)+(Sales[[#This Row],[DP2]]*Lookups!$B$60)+(Sales[[#This Row],[DP3]]*Lookups!$B$61)</f>
        <v>-23284.859842870002</v>
      </c>
      <c r="BS282" s="12">
        <f>Lookups!$B$56*0</f>
        <v>0</v>
      </c>
      <c r="BT282" s="12">
        <f>Lookups!$B$56*1</f>
        <v>89850.625589999996</v>
      </c>
      <c r="BU282" s="12">
        <f>Lookups!$B$57*Sales[[#This Row],[LnAcres]]</f>
        <v>-30628.500548443946</v>
      </c>
      <c r="BV282" s="12">
        <f>VLOOKUP(Sales[[#This Row],[Qlty]],Lookups!$A$62:$E$75,2,FALSE)</f>
        <v>21557.329055999999</v>
      </c>
      <c r="BW282" s="12">
        <f>VLOOKUP(Sales[[#This Row],[Cnd]],Lookups!$A$76:$E$84,2,FALSE)</f>
        <v>197752.34721000001</v>
      </c>
      <c r="BX282" s="12">
        <f>Sales[[#This Row],[EffAge]]*Lookups!$B$85</f>
        <v>-12936.644829000001</v>
      </c>
      <c r="BY282" s="12">
        <f>Sales[[#This Row],[MainFn]]*Lookups!$B$86</f>
        <v>83006.565393359997</v>
      </c>
      <c r="BZ282" s="12">
        <f>Sales[[#This Row],[UpprFn]]*Lookups!$B$87</f>
        <v>0</v>
      </c>
      <c r="CA282" s="12">
        <f>Sales[[#This Row],[AddFn]]*Lookups!$B$88</f>
        <v>0</v>
      </c>
      <c r="CB282" s="12">
        <f>Sales[[#This Row],[Bsmt]]*Lookups!$B$89</f>
        <v>30710.481380832</v>
      </c>
      <c r="CC282" s="12">
        <f>Sales[[#This Row],[Fixtures]]*Lookups!$B$90</f>
        <v>41712.243157199999</v>
      </c>
      <c r="CD282" s="12">
        <f>Sales[[#This Row],[WdDeck]]*Lookups!$B$91</f>
        <v>2663.6412220800003</v>
      </c>
      <c r="CE282" s="12">
        <f>SUM(Sales[[#This Row],[Days Prior Total]:[Mdl WdDeck]])</f>
        <v>400403.227789158</v>
      </c>
      <c r="CF282" s="12">
        <f>ROUND(Sales[[#This Row],[25Det]],-2)</f>
        <v>8300</v>
      </c>
      <c r="CG282" s="12">
        <f>ROUND(SUM(Sales[[#This Row],[Mdl Qlty]:[Mdl WdDeck]])+Sales[[#This Row],[Mdl Res Intercept]]+Sales[[#This Row],[Days Prior Total]],-2)</f>
        <v>341200</v>
      </c>
      <c r="CH282" s="12">
        <f>ROUND(Sales[[#This Row],[Mdl Land Intercept]]+Sales[[#This Row],[Mdl LnAcres]],-2)</f>
        <v>59200</v>
      </c>
      <c r="CI282" s="12">
        <f>Sales[[#This Row],[Unadj Res Value]]+Sales[[#This Row],[Unadj Det Value]]+Sales[[#This Row],[Unadj Land Value]]</f>
        <v>408700</v>
      </c>
      <c r="CJ282" s="13">
        <f>Sales[[#This Row],[Unadj Total Value]]/Sales[[#This Row],[Price]]</f>
        <v>0.81740000000000002</v>
      </c>
      <c r="CK282" s="13">
        <f>(Sales[[#This Row],[Unadj Total Value]]-Sales[[#This Row],[24Final]])/Sales[[#This Row],[24Final]]</f>
        <v>-3.0827602561062366E-2</v>
      </c>
      <c r="CL282">
        <f>VLOOKUP(Sales[[#This Row],[TNbhd]],Lookups!$Q$2:$T$4,4,FALSE)</f>
        <v>0.99970000000000003</v>
      </c>
      <c r="CM282">
        <f>VLOOKUP(Sales[[#This Row],[Qlty]],Lookups!$O$7:$R$21,4,FALSE)</f>
        <v>1.0067999999999999</v>
      </c>
      <c r="CN282">
        <f>VLOOKUP(Sales[[#This Row],[Cnd]],Lookups!$T$7:$W$16,4,FALSE)</f>
        <v>0.99650000000000005</v>
      </c>
      <c r="CO282">
        <f>VLOOKUP(Sales[[#This Row],[LivArea Range]],Lookups!$T$25:$W$37,4,FALSE)</f>
        <v>0.96179999999999999</v>
      </c>
      <c r="CP282">
        <f>VLOOKUP(Sales[[#This Row],[Decade]],Lookups!$O$25:$R$42,4,FALSE)</f>
        <v>0.96040000000000003</v>
      </c>
      <c r="CQ282">
        <f>Sales[[#This Row],[Nbhd Adj]]*0.95</f>
        <v>0.94971499999999998</v>
      </c>
      <c r="CR282">
        <f>Sales[[#This Row],[Nbhd Adj]]*Sales[[#This Row],[Quality Adj]]*Sales[[#This Row],[Condition Adj]]*Sales[[#This Row],[Living Area Adj]]*Sales[[#This Row],[Decade Adj]]*0.95</f>
        <v>0.88013791762113103</v>
      </c>
      <c r="CS282">
        <f>ROUND(SUM(Sales[[#This Row],[Mdl Qlty]:[Mdl WdDeck]])+Sales[[#This Row],[Mdl Res Intercept]]*Sales[[#This Row],[Res Adj ]],-2)</f>
        <v>364500</v>
      </c>
      <c r="CT282">
        <f>ROUND(Sales[[#This Row],[25Det]]*Sales[[#This Row],[Det/Nbhd Adj]],-2)</f>
        <v>7900</v>
      </c>
      <c r="CU282">
        <f>Sales[[#This Row],[Adjusted Res]]+Sales[[#This Row],[Adj Det ]]</f>
        <v>372400</v>
      </c>
      <c r="CV282">
        <f>ROUND((Sales[[#This Row],[Mdl Land Intercept]]+Sales[[#This Row],[Mdl LnAcres]])*Sales[[#This Row],[Det/Nbhd Adj]],-2)</f>
        <v>56200</v>
      </c>
      <c r="CW282">
        <f>Sales[[#This Row],[Adjusted Impr Total]]+Sales[[#This Row],[Adjusted Land Total]]</f>
        <v>428600</v>
      </c>
      <c r="CX282" s="15">
        <f>IFERROR((Sales[[#This Row],[Adjusted Impr Total]]-Sales[[#This Row],[24Bldg]])/Sales[[#This Row],[24Bldg]],0)</f>
        <v>9.2402464065708415E-2</v>
      </c>
      <c r="CY282" s="15">
        <f>(Sales[[#This Row],[Adjusted Land Total]]-Sales[[#This Row],[24Lnd]])/Sales[[#This Row],[24Lnd]]</f>
        <v>-0.30445544554455445</v>
      </c>
      <c r="CZ282" s="15">
        <f>(Sales[[#This Row],[Adjusted Total]]-Sales[[#This Row],[24Final]])/Sales[[#This Row],[24Final]]</f>
        <v>1.6362342897794639E-2</v>
      </c>
      <c r="DA282" s="15">
        <f>(Sales[[#This Row],[Adjusted Total]]+Sales[[#This Row],[Days Prior Total]])/Sales[[#This Row],[Price]]</f>
        <v>0.8106302803142601</v>
      </c>
    </row>
    <row r="283" spans="1:105" x14ac:dyDescent="0.3">
      <c r="A283">
        <v>2025</v>
      </c>
      <c r="B283">
        <v>18132331411</v>
      </c>
      <c r="C283">
        <v>-1.4696759700589417</v>
      </c>
      <c r="D283">
        <v>0.23</v>
      </c>
      <c r="E283">
        <v>9861</v>
      </c>
      <c r="F283">
        <v>6</v>
      </c>
      <c r="G283" t="s">
        <v>126</v>
      </c>
      <c r="H283">
        <v>3032</v>
      </c>
      <c r="I283" t="s">
        <v>349</v>
      </c>
      <c r="J283" t="s">
        <v>30</v>
      </c>
      <c r="K283">
        <v>11</v>
      </c>
      <c r="L283">
        <v>259</v>
      </c>
      <c r="M283" t="s">
        <v>173</v>
      </c>
      <c r="N283" t="s">
        <v>302</v>
      </c>
      <c r="O283" t="s">
        <v>352</v>
      </c>
      <c r="P283">
        <v>110</v>
      </c>
      <c r="Q283">
        <v>1920</v>
      </c>
      <c r="R283">
        <v>1966</v>
      </c>
      <c r="S283">
        <v>104</v>
      </c>
      <c r="T283">
        <v>58</v>
      </c>
      <c r="U283">
        <v>2</v>
      </c>
      <c r="V283">
        <v>1070</v>
      </c>
      <c r="W283">
        <v>644</v>
      </c>
      <c r="X283">
        <v>0</v>
      </c>
      <c r="Y283">
        <v>1056</v>
      </c>
      <c r="Z283">
        <v>0</v>
      </c>
      <c r="AA283">
        <v>1056</v>
      </c>
      <c r="AB283">
        <v>2770</v>
      </c>
      <c r="AC283">
        <v>3000</v>
      </c>
      <c r="AD283">
        <v>0</v>
      </c>
      <c r="AE283" t="s">
        <v>174</v>
      </c>
      <c r="AF283" t="s">
        <v>383</v>
      </c>
      <c r="AG283" t="s">
        <v>148</v>
      </c>
      <c r="AH283" t="s">
        <v>450</v>
      </c>
      <c r="AI283">
        <v>0</v>
      </c>
      <c r="AJ283">
        <v>0</v>
      </c>
      <c r="AK283">
        <v>1</v>
      </c>
      <c r="AL283">
        <v>2</v>
      </c>
      <c r="AM283">
        <v>1</v>
      </c>
      <c r="AN283">
        <v>10</v>
      </c>
      <c r="AO283">
        <v>0</v>
      </c>
      <c r="AP283">
        <v>0</v>
      </c>
      <c r="AQ283">
        <v>0</v>
      </c>
      <c r="AR283">
        <v>324</v>
      </c>
      <c r="AS283">
        <v>0</v>
      </c>
      <c r="AT283">
        <v>0</v>
      </c>
      <c r="AU283">
        <v>100</v>
      </c>
      <c r="AV283">
        <v>100</v>
      </c>
      <c r="AW283">
        <v>376695</v>
      </c>
      <c r="AX283">
        <v>293822</v>
      </c>
      <c r="AY283">
        <v>265</v>
      </c>
      <c r="AZ283">
        <v>265</v>
      </c>
      <c r="BA283">
        <v>0</v>
      </c>
      <c r="BB283">
        <v>0</v>
      </c>
      <c r="BC283" s="3">
        <v>45027</v>
      </c>
      <c r="BD283" t="s">
        <v>260</v>
      </c>
      <c r="BE283">
        <v>589900</v>
      </c>
      <c r="BF283">
        <v>589900</v>
      </c>
      <c r="BG283" t="s">
        <v>294</v>
      </c>
      <c r="BH283">
        <v>30</v>
      </c>
      <c r="BI283" t="s">
        <v>65</v>
      </c>
      <c r="BJ283" t="s">
        <v>450</v>
      </c>
      <c r="BK283">
        <v>426300</v>
      </c>
      <c r="BL283">
        <v>63300</v>
      </c>
      <c r="BM283">
        <v>363000</v>
      </c>
      <c r="BN283">
        <v>0</v>
      </c>
      <c r="BO283">
        <v>0.72266485845058481</v>
      </c>
      <c r="BP283">
        <v>487446.91427442769</v>
      </c>
      <c r="BQ283">
        <v>506144.83636435849</v>
      </c>
      <c r="BR283" s="12">
        <f>(Sales[[#This Row],[DP1]]*Lookups!$B$59)+(Sales[[#This Row],[DP2]]*Lookups!$B$60)+(Sales[[#This Row],[DP3]]*Lookups!$B$61)</f>
        <v>-18697.922091050001</v>
      </c>
      <c r="BS283" s="12">
        <f>Lookups!$B$56*0</f>
        <v>0</v>
      </c>
      <c r="BT283" s="12">
        <f>Lookups!$B$56*1</f>
        <v>89850.625589999996</v>
      </c>
      <c r="BU283" s="12">
        <f>Lookups!$B$57*Sales[[#This Row],[LnAcres]]</f>
        <v>-46522.028095997222</v>
      </c>
      <c r="BV283" s="12">
        <f>VLOOKUP(Sales[[#This Row],[Qlty]],Lookups!$A$62:$E$75,2,FALSE)</f>
        <v>29814.093161000001</v>
      </c>
      <c r="BW283" s="12">
        <f>VLOOKUP(Sales[[#This Row],[Cnd]],Lookups!$A$76:$E$84,2,FALSE)</f>
        <v>284810.60806</v>
      </c>
      <c r="BX283" s="12">
        <f>Sales[[#This Row],[EffAge]]*Lookups!$B$85</f>
        <v>-12936.644829000001</v>
      </c>
      <c r="BY283" s="12">
        <f>Sales[[#This Row],[MainFn]]*Lookups!$B$86</f>
        <v>52867.276768390002</v>
      </c>
      <c r="BZ283" s="12">
        <f>Sales[[#This Row],[UpprFn]]*Lookups!$B$87</f>
        <v>28842.456322483999</v>
      </c>
      <c r="CA283" s="12">
        <f>Sales[[#This Row],[AddFn]]*Lookups!$B$88</f>
        <v>0</v>
      </c>
      <c r="CB283" s="12">
        <f>Sales[[#This Row],[Bsmt]]*Lookups!$B$89</f>
        <v>30710.481380832</v>
      </c>
      <c r="CC283" s="12">
        <f>Sales[[#This Row],[Fixtures]]*Lookups!$B$90</f>
        <v>37920.221052000001</v>
      </c>
      <c r="CD283" s="12">
        <f>Sales[[#This Row],[WdDeck]]*Lookups!$B$91</f>
        <v>10787.746949424001</v>
      </c>
      <c r="CE283" s="12">
        <f>SUM(Sales[[#This Row],[Days Prior Total]:[Mdl WdDeck]])</f>
        <v>487446.91426808271</v>
      </c>
      <c r="CF283" s="12">
        <f>ROUND(Sales[[#This Row],[25Det]],-2)</f>
        <v>0</v>
      </c>
      <c r="CG283" s="12">
        <f>ROUND(SUM(Sales[[#This Row],[Mdl Qlty]:[Mdl WdDeck]])+Sales[[#This Row],[Mdl Res Intercept]]+Sales[[#This Row],[Days Prior Total]],-2)</f>
        <v>444100</v>
      </c>
      <c r="CH283" s="12">
        <f>ROUND(Sales[[#This Row],[Mdl Land Intercept]]+Sales[[#This Row],[Mdl LnAcres]],-2)</f>
        <v>43300</v>
      </c>
      <c r="CI283" s="12">
        <f>Sales[[#This Row],[Unadj Res Value]]+Sales[[#This Row],[Unadj Det Value]]+Sales[[#This Row],[Unadj Land Value]]</f>
        <v>487400</v>
      </c>
      <c r="CJ283" s="13">
        <f>Sales[[#This Row],[Unadj Total Value]]/Sales[[#This Row],[Price]]</f>
        <v>0.82624173588743854</v>
      </c>
      <c r="CK283" s="13">
        <f>(Sales[[#This Row],[Unadj Total Value]]-Sales[[#This Row],[24Final]])/Sales[[#This Row],[24Final]]</f>
        <v>0.14332629603565564</v>
      </c>
      <c r="CL283">
        <f>VLOOKUP(Sales[[#This Row],[TNbhd]],Lookups!$Q$2:$T$4,4,FALSE)</f>
        <v>0.99970000000000003</v>
      </c>
      <c r="CM283">
        <f>VLOOKUP(Sales[[#This Row],[Qlty]],Lookups!$O$7:$R$21,4,FALSE)</f>
        <v>1.0088999999999999</v>
      </c>
      <c r="CN283">
        <f>VLOOKUP(Sales[[#This Row],[Cnd]],Lookups!$T$7:$W$16,4,FALSE)</f>
        <v>1.0158</v>
      </c>
      <c r="CO283">
        <f>VLOOKUP(Sales[[#This Row],[LivArea Range]],Lookups!$T$25:$W$37,4,FALSE)</f>
        <v>0.96179999999999999</v>
      </c>
      <c r="CP283">
        <f>VLOOKUP(Sales[[#This Row],[Decade]],Lookups!$O$25:$R$42,4,FALSE)</f>
        <v>0.96040000000000003</v>
      </c>
      <c r="CQ283">
        <f>Sales[[#This Row],[Nbhd Adj]]*0.95</f>
        <v>0.94971499999999998</v>
      </c>
      <c r="CR283">
        <f>Sales[[#This Row],[Nbhd Adj]]*Sales[[#This Row],[Quality Adj]]*Sales[[#This Row],[Condition Adj]]*Sales[[#This Row],[Living Area Adj]]*Sales[[#This Row],[Decade Adj]]*0.95</f>
        <v>0.89905560321310196</v>
      </c>
      <c r="CS283">
        <f>ROUND(SUM(Sales[[#This Row],[Mdl Qlty]:[Mdl WdDeck]])+Sales[[#This Row],[Mdl Res Intercept]]*Sales[[#This Row],[Res Adj ]],-2)</f>
        <v>462800</v>
      </c>
      <c r="CT283">
        <f>ROUND(Sales[[#This Row],[25Det]]*Sales[[#This Row],[Det/Nbhd Adj]],-2)</f>
        <v>0</v>
      </c>
      <c r="CU283">
        <f>Sales[[#This Row],[Adjusted Res]]+Sales[[#This Row],[Adj Det ]]</f>
        <v>462800</v>
      </c>
      <c r="CV283">
        <f>ROUND((Sales[[#This Row],[Mdl Land Intercept]]+Sales[[#This Row],[Mdl LnAcres]])*Sales[[#This Row],[Det/Nbhd Adj]],-2)</f>
        <v>41100</v>
      </c>
      <c r="CW283">
        <f>Sales[[#This Row],[Adjusted Impr Total]]+Sales[[#This Row],[Adjusted Land Total]]</f>
        <v>503900</v>
      </c>
      <c r="CX283" s="15">
        <f>IFERROR((Sales[[#This Row],[Adjusted Impr Total]]-Sales[[#This Row],[24Bldg]])/Sales[[#This Row],[24Bldg]],0)</f>
        <v>0.27493112947658405</v>
      </c>
      <c r="CY283" s="15">
        <f>(Sales[[#This Row],[Adjusted Land Total]]-Sales[[#This Row],[24Lnd]])/Sales[[#This Row],[24Lnd]]</f>
        <v>-0.35071090047393366</v>
      </c>
      <c r="CZ283" s="15">
        <f>(Sales[[#This Row],[Adjusted Total]]-Sales[[#This Row],[24Final]])/Sales[[#This Row],[24Final]]</f>
        <v>0.18203143326296037</v>
      </c>
      <c r="DA283" s="15">
        <f>(Sales[[#This Row],[Adjusted Total]]+Sales[[#This Row],[Days Prior Total]])/Sales[[#This Row],[Price]]</f>
        <v>0.82251581269528729</v>
      </c>
    </row>
    <row r="284" spans="1:105" x14ac:dyDescent="0.3">
      <c r="A284">
        <v>2025</v>
      </c>
      <c r="B284">
        <v>18132331411</v>
      </c>
      <c r="C284">
        <v>-1.4696759700589417</v>
      </c>
      <c r="D284">
        <v>0.23</v>
      </c>
      <c r="E284">
        <v>9861</v>
      </c>
      <c r="F284">
        <v>6</v>
      </c>
      <c r="G284" t="s">
        <v>126</v>
      </c>
      <c r="H284">
        <v>3032</v>
      </c>
      <c r="I284" t="s">
        <v>349</v>
      </c>
      <c r="J284" t="s">
        <v>30</v>
      </c>
      <c r="K284">
        <v>11</v>
      </c>
      <c r="L284">
        <v>259</v>
      </c>
      <c r="M284" t="s">
        <v>173</v>
      </c>
      <c r="N284" t="s">
        <v>302</v>
      </c>
      <c r="O284" t="s">
        <v>352</v>
      </c>
      <c r="P284">
        <v>110</v>
      </c>
      <c r="Q284">
        <v>1920</v>
      </c>
      <c r="R284">
        <v>1966</v>
      </c>
      <c r="S284">
        <v>104</v>
      </c>
      <c r="T284">
        <v>58</v>
      </c>
      <c r="U284">
        <v>2</v>
      </c>
      <c r="V284">
        <v>1070</v>
      </c>
      <c r="W284">
        <v>644</v>
      </c>
      <c r="X284">
        <v>0</v>
      </c>
      <c r="Y284">
        <v>1056</v>
      </c>
      <c r="Z284">
        <v>0</v>
      </c>
      <c r="AA284">
        <v>1056</v>
      </c>
      <c r="AB284">
        <v>2770</v>
      </c>
      <c r="AC284">
        <v>3000</v>
      </c>
      <c r="AD284">
        <v>0</v>
      </c>
      <c r="AE284" t="s">
        <v>174</v>
      </c>
      <c r="AF284" t="s">
        <v>383</v>
      </c>
      <c r="AG284" t="s">
        <v>148</v>
      </c>
      <c r="AH284" t="s">
        <v>450</v>
      </c>
      <c r="AI284">
        <v>0</v>
      </c>
      <c r="AJ284">
        <v>0</v>
      </c>
      <c r="AK284">
        <v>1</v>
      </c>
      <c r="AL284">
        <v>2</v>
      </c>
      <c r="AM284">
        <v>1</v>
      </c>
      <c r="AN284">
        <v>10</v>
      </c>
      <c r="AO284">
        <v>0</v>
      </c>
      <c r="AP284">
        <v>0</v>
      </c>
      <c r="AQ284">
        <v>0</v>
      </c>
      <c r="AR284">
        <v>324</v>
      </c>
      <c r="AS284">
        <v>0</v>
      </c>
      <c r="AT284">
        <v>0</v>
      </c>
      <c r="AU284">
        <v>100</v>
      </c>
      <c r="AV284">
        <v>100</v>
      </c>
      <c r="AW284">
        <v>376695</v>
      </c>
      <c r="AX284">
        <v>293822</v>
      </c>
      <c r="AY284">
        <v>522</v>
      </c>
      <c r="AZ284">
        <v>365</v>
      </c>
      <c r="BA284">
        <v>157</v>
      </c>
      <c r="BB284">
        <v>0</v>
      </c>
      <c r="BC284" s="3">
        <v>44770</v>
      </c>
      <c r="BD284" t="s">
        <v>437</v>
      </c>
      <c r="BE284">
        <v>575000</v>
      </c>
      <c r="BF284">
        <v>575000</v>
      </c>
      <c r="BG284" t="s">
        <v>294</v>
      </c>
      <c r="BH284">
        <v>30</v>
      </c>
      <c r="BI284" t="s">
        <v>65</v>
      </c>
      <c r="BJ284" t="s">
        <v>450</v>
      </c>
      <c r="BK284">
        <v>426300</v>
      </c>
      <c r="BL284">
        <v>63300</v>
      </c>
      <c r="BM284">
        <v>363000</v>
      </c>
      <c r="BN284">
        <v>0</v>
      </c>
      <c r="BO284">
        <v>0.74139130434782607</v>
      </c>
      <c r="BP284">
        <v>482193.95256725419</v>
      </c>
      <c r="BQ284">
        <v>506144.83636435849</v>
      </c>
      <c r="BR284" s="12">
        <f>(Sales[[#This Row],[DP1]]*Lookups!$B$59)+(Sales[[#This Row],[DP2]]*Lookups!$B$60)+(Sales[[#This Row],[DP3]]*Lookups!$B$61)</f>
        <v>-23950.883798686002</v>
      </c>
      <c r="BS284" s="12">
        <f>Lookups!$B$56*0</f>
        <v>0</v>
      </c>
      <c r="BT284" s="12">
        <f>Lookups!$B$56*1</f>
        <v>89850.625589999996</v>
      </c>
      <c r="BU284" s="12">
        <f>Lookups!$B$57*Sales[[#This Row],[LnAcres]]</f>
        <v>-46522.028095997222</v>
      </c>
      <c r="BV284" s="12">
        <f>VLOOKUP(Sales[[#This Row],[Qlty]],Lookups!$A$62:$E$75,2,FALSE)</f>
        <v>29814.093161000001</v>
      </c>
      <c r="BW284" s="12">
        <f>VLOOKUP(Sales[[#This Row],[Cnd]],Lookups!$A$76:$E$84,2,FALSE)</f>
        <v>284810.60806</v>
      </c>
      <c r="BX284" s="12">
        <f>Sales[[#This Row],[EffAge]]*Lookups!$B$85</f>
        <v>-12936.644829000001</v>
      </c>
      <c r="BY284" s="12">
        <f>Sales[[#This Row],[MainFn]]*Lookups!$B$86</f>
        <v>52867.276768390002</v>
      </c>
      <c r="BZ284" s="12">
        <f>Sales[[#This Row],[UpprFn]]*Lookups!$B$87</f>
        <v>28842.456322483999</v>
      </c>
      <c r="CA284" s="12">
        <f>Sales[[#This Row],[AddFn]]*Lookups!$B$88</f>
        <v>0</v>
      </c>
      <c r="CB284" s="12">
        <f>Sales[[#This Row],[Bsmt]]*Lookups!$B$89</f>
        <v>30710.481380832</v>
      </c>
      <c r="CC284" s="12">
        <f>Sales[[#This Row],[Fixtures]]*Lookups!$B$90</f>
        <v>37920.221052000001</v>
      </c>
      <c r="CD284" s="12">
        <f>Sales[[#This Row],[WdDeck]]*Lookups!$B$91</f>
        <v>10787.746949424001</v>
      </c>
      <c r="CE284" s="12">
        <f>SUM(Sales[[#This Row],[Days Prior Total]:[Mdl WdDeck]])</f>
        <v>482193.95256044669</v>
      </c>
      <c r="CF284" s="12">
        <f>ROUND(Sales[[#This Row],[25Det]],-2)</f>
        <v>0</v>
      </c>
      <c r="CG284" s="12">
        <f>ROUND(SUM(Sales[[#This Row],[Mdl Qlty]:[Mdl WdDeck]])+Sales[[#This Row],[Mdl Res Intercept]]+Sales[[#This Row],[Days Prior Total]],-2)</f>
        <v>438900</v>
      </c>
      <c r="CH284" s="12">
        <f>ROUND(Sales[[#This Row],[Mdl Land Intercept]]+Sales[[#This Row],[Mdl LnAcres]],-2)</f>
        <v>43300</v>
      </c>
      <c r="CI284" s="12">
        <f>Sales[[#This Row],[Unadj Res Value]]+Sales[[#This Row],[Unadj Det Value]]+Sales[[#This Row],[Unadj Land Value]]</f>
        <v>482200</v>
      </c>
      <c r="CJ284" s="13">
        <f>Sales[[#This Row],[Unadj Total Value]]/Sales[[#This Row],[Price]]</f>
        <v>0.83860869565217389</v>
      </c>
      <c r="CK284" s="13">
        <f>(Sales[[#This Row],[Unadj Total Value]]-Sales[[#This Row],[24Final]])/Sales[[#This Row],[24Final]]</f>
        <v>0.13112831339432324</v>
      </c>
      <c r="CL284">
        <f>VLOOKUP(Sales[[#This Row],[TNbhd]],Lookups!$Q$2:$T$4,4,FALSE)</f>
        <v>0.99970000000000003</v>
      </c>
      <c r="CM284">
        <f>VLOOKUP(Sales[[#This Row],[Qlty]],Lookups!$O$7:$R$21,4,FALSE)</f>
        <v>1.0088999999999999</v>
      </c>
      <c r="CN284">
        <f>VLOOKUP(Sales[[#This Row],[Cnd]],Lookups!$T$7:$W$16,4,FALSE)</f>
        <v>1.0158</v>
      </c>
      <c r="CO284">
        <f>VLOOKUP(Sales[[#This Row],[LivArea Range]],Lookups!$T$25:$W$37,4,FALSE)</f>
        <v>0.96179999999999999</v>
      </c>
      <c r="CP284">
        <f>VLOOKUP(Sales[[#This Row],[Decade]],Lookups!$O$25:$R$42,4,FALSE)</f>
        <v>0.96040000000000003</v>
      </c>
      <c r="CQ284">
        <f>Sales[[#This Row],[Nbhd Adj]]*0.95</f>
        <v>0.94971499999999998</v>
      </c>
      <c r="CR284">
        <f>Sales[[#This Row],[Nbhd Adj]]*Sales[[#This Row],[Quality Adj]]*Sales[[#This Row],[Condition Adj]]*Sales[[#This Row],[Living Area Adj]]*Sales[[#This Row],[Decade Adj]]*0.95</f>
        <v>0.89905560321310196</v>
      </c>
      <c r="CS284">
        <f>ROUND(SUM(Sales[[#This Row],[Mdl Qlty]:[Mdl WdDeck]])+Sales[[#This Row],[Mdl Res Intercept]]*Sales[[#This Row],[Res Adj ]],-2)</f>
        <v>462800</v>
      </c>
      <c r="CT284">
        <f>ROUND(Sales[[#This Row],[25Det]]*Sales[[#This Row],[Det/Nbhd Adj]],-2)</f>
        <v>0</v>
      </c>
      <c r="CU284">
        <f>Sales[[#This Row],[Adjusted Res]]+Sales[[#This Row],[Adj Det ]]</f>
        <v>462800</v>
      </c>
      <c r="CV284">
        <f>ROUND((Sales[[#This Row],[Mdl Land Intercept]]+Sales[[#This Row],[Mdl LnAcres]])*Sales[[#This Row],[Det/Nbhd Adj]],-2)</f>
        <v>41100</v>
      </c>
      <c r="CW284">
        <f>Sales[[#This Row],[Adjusted Impr Total]]+Sales[[#This Row],[Adjusted Land Total]]</f>
        <v>503900</v>
      </c>
      <c r="CX284" s="15">
        <f>IFERROR((Sales[[#This Row],[Adjusted Impr Total]]-Sales[[#This Row],[24Bldg]])/Sales[[#This Row],[24Bldg]],0)</f>
        <v>0.27493112947658405</v>
      </c>
      <c r="CY284" s="15">
        <f>(Sales[[#This Row],[Adjusted Land Total]]-Sales[[#This Row],[24Lnd]])/Sales[[#This Row],[24Lnd]]</f>
        <v>-0.35071090047393366</v>
      </c>
      <c r="CZ284" s="15">
        <f>(Sales[[#This Row],[Adjusted Total]]-Sales[[#This Row],[24Final]])/Sales[[#This Row],[24Final]]</f>
        <v>0.18203143326296037</v>
      </c>
      <c r="DA284" s="15">
        <f>(Sales[[#This Row],[Adjusted Total]]+Sales[[#This Row],[Days Prior Total]])/Sales[[#This Row],[Price]]</f>
        <v>0.83469411513272007</v>
      </c>
    </row>
    <row r="285" spans="1:105" x14ac:dyDescent="0.3">
      <c r="A285">
        <v>2025</v>
      </c>
      <c r="B285">
        <v>18132331514</v>
      </c>
      <c r="C285">
        <v>-1.8325814637483102</v>
      </c>
      <c r="D285">
        <v>0.16</v>
      </c>
      <c r="E285">
        <v>0</v>
      </c>
      <c r="F285">
        <v>6</v>
      </c>
      <c r="G285" t="s">
        <v>126</v>
      </c>
      <c r="H285">
        <v>3032</v>
      </c>
      <c r="I285" t="s">
        <v>349</v>
      </c>
      <c r="J285" t="s">
        <v>30</v>
      </c>
      <c r="K285">
        <v>11</v>
      </c>
      <c r="L285">
        <v>259</v>
      </c>
      <c r="M285" t="s">
        <v>173</v>
      </c>
      <c r="N285" t="s">
        <v>351</v>
      </c>
      <c r="O285" t="s">
        <v>303</v>
      </c>
      <c r="P285">
        <v>110</v>
      </c>
      <c r="Q285">
        <v>1920</v>
      </c>
      <c r="R285">
        <v>1985</v>
      </c>
      <c r="S285">
        <v>104</v>
      </c>
      <c r="T285">
        <v>39</v>
      </c>
      <c r="U285">
        <v>2</v>
      </c>
      <c r="V285">
        <v>1048</v>
      </c>
      <c r="W285">
        <v>390</v>
      </c>
      <c r="X285">
        <v>0</v>
      </c>
      <c r="Y285">
        <v>1048</v>
      </c>
      <c r="Z285">
        <v>0</v>
      </c>
      <c r="AA285">
        <v>1048</v>
      </c>
      <c r="AB285">
        <v>2486</v>
      </c>
      <c r="AC285">
        <v>2500</v>
      </c>
      <c r="AD285">
        <v>0</v>
      </c>
      <c r="AF285" t="s">
        <v>383</v>
      </c>
      <c r="AG285" t="s">
        <v>148</v>
      </c>
      <c r="AH285" t="s">
        <v>450</v>
      </c>
      <c r="AI285">
        <v>0</v>
      </c>
      <c r="AJ285">
        <v>1</v>
      </c>
      <c r="AK285">
        <v>0</v>
      </c>
      <c r="AL285">
        <v>1</v>
      </c>
      <c r="AM285">
        <v>0</v>
      </c>
      <c r="AN285">
        <v>10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100</v>
      </c>
      <c r="AV285">
        <v>100</v>
      </c>
      <c r="AW285">
        <v>281471</v>
      </c>
      <c r="AX285">
        <v>244880</v>
      </c>
      <c r="AY285">
        <v>759</v>
      </c>
      <c r="AZ285">
        <v>365</v>
      </c>
      <c r="BA285">
        <v>365</v>
      </c>
      <c r="BB285">
        <v>29</v>
      </c>
      <c r="BC285" s="3">
        <v>44533</v>
      </c>
      <c r="BD285" t="s">
        <v>311</v>
      </c>
      <c r="BE285">
        <v>388000</v>
      </c>
      <c r="BF285">
        <v>388000</v>
      </c>
      <c r="BG285" t="s">
        <v>294</v>
      </c>
      <c r="BH285">
        <v>30</v>
      </c>
      <c r="BI285" t="s">
        <v>65</v>
      </c>
      <c r="BJ285" t="s">
        <v>450</v>
      </c>
      <c r="BK285">
        <v>357900</v>
      </c>
      <c r="BL285">
        <v>50600</v>
      </c>
      <c r="BM285">
        <v>307300</v>
      </c>
      <c r="BN285">
        <v>0</v>
      </c>
      <c r="BO285">
        <v>0.92242268041237119</v>
      </c>
      <c r="BP285">
        <v>354656.58583945886</v>
      </c>
      <c r="BQ285">
        <v>380096.89960626431</v>
      </c>
      <c r="BR285" s="12">
        <f>(Sales[[#This Row],[DP1]]*Lookups!$B$59)+(Sales[[#This Row],[DP2]]*Lookups!$B$60)+(Sales[[#This Row],[DP3]]*Lookups!$B$61)</f>
        <v>-25440.313769170003</v>
      </c>
      <c r="BS285" s="12">
        <f>Lookups!$B$56*0</f>
        <v>0</v>
      </c>
      <c r="BT285" s="12">
        <f>Lookups!$B$56*1</f>
        <v>89850.625589999996</v>
      </c>
      <c r="BU285" s="12">
        <f>Lookups!$B$57*Sales[[#This Row],[LnAcres]]</f>
        <v>-58009.662049032086</v>
      </c>
      <c r="BV285" s="12">
        <f>VLOOKUP(Sales[[#This Row],[Qlty]],Lookups!$A$62:$E$75,2,FALSE)</f>
        <v>21557.329055999999</v>
      </c>
      <c r="BW285" s="12">
        <f>VLOOKUP(Sales[[#This Row],[Cnd]],Lookups!$A$76:$E$84,2,FALSE)</f>
        <v>197752.34721000001</v>
      </c>
      <c r="BX285" s="12">
        <f>Sales[[#This Row],[EffAge]]*Lookups!$B$85</f>
        <v>-8698.7784195000004</v>
      </c>
      <c r="BY285" s="12">
        <f>Sales[[#This Row],[MainFn]]*Lookups!$B$86</f>
        <v>51780.286031096002</v>
      </c>
      <c r="BZ285" s="12">
        <f>Sales[[#This Row],[UpprFn]]*Lookups!$B$87</f>
        <v>17466.70491579</v>
      </c>
      <c r="CA285" s="12">
        <f>Sales[[#This Row],[AddFn]]*Lookups!$B$88</f>
        <v>0</v>
      </c>
      <c r="CB285" s="12">
        <f>Sales[[#This Row],[Bsmt]]*Lookups!$B$89</f>
        <v>30477.826218856</v>
      </c>
      <c r="CC285" s="12">
        <f>Sales[[#This Row],[Fixtures]]*Lookups!$B$90</f>
        <v>37920.221052000001</v>
      </c>
      <c r="CD285" s="12">
        <f>Sales[[#This Row],[WdDeck]]*Lookups!$B$91</f>
        <v>0</v>
      </c>
      <c r="CE285" s="12">
        <f>SUM(Sales[[#This Row],[Days Prior Total]:[Mdl WdDeck]])</f>
        <v>354656.58583603986</v>
      </c>
      <c r="CF285" s="12">
        <f>ROUND(Sales[[#This Row],[25Det]],-2)</f>
        <v>0</v>
      </c>
      <c r="CG285" s="12">
        <f>ROUND(SUM(Sales[[#This Row],[Mdl Qlty]:[Mdl WdDeck]])+Sales[[#This Row],[Mdl Res Intercept]]+Sales[[#This Row],[Days Prior Total]],-2)</f>
        <v>322800</v>
      </c>
      <c r="CH285" s="12">
        <f>ROUND(Sales[[#This Row],[Mdl Land Intercept]]+Sales[[#This Row],[Mdl LnAcres]],-2)</f>
        <v>31800</v>
      </c>
      <c r="CI285" s="12">
        <f>Sales[[#This Row],[Unadj Res Value]]+Sales[[#This Row],[Unadj Det Value]]+Sales[[#This Row],[Unadj Land Value]]</f>
        <v>354600</v>
      </c>
      <c r="CJ285" s="13">
        <f>Sales[[#This Row],[Unadj Total Value]]/Sales[[#This Row],[Price]]</f>
        <v>0.91391752577319585</v>
      </c>
      <c r="CK285" s="13">
        <f>(Sales[[#This Row],[Unadj Total Value]]-Sales[[#This Row],[24Final]])/Sales[[#This Row],[24Final]]</f>
        <v>-9.2204526404023462E-3</v>
      </c>
      <c r="CL285">
        <f>VLOOKUP(Sales[[#This Row],[TNbhd]],Lookups!$Q$2:$T$4,4,FALSE)</f>
        <v>0.99970000000000003</v>
      </c>
      <c r="CM285">
        <f>VLOOKUP(Sales[[#This Row],[Qlty]],Lookups!$O$7:$R$21,4,FALSE)</f>
        <v>1.0067999999999999</v>
      </c>
      <c r="CN285">
        <f>VLOOKUP(Sales[[#This Row],[Cnd]],Lookups!$T$7:$W$16,4,FALSE)</f>
        <v>0.99650000000000005</v>
      </c>
      <c r="CO285">
        <f>VLOOKUP(Sales[[#This Row],[LivArea Range]],Lookups!$T$25:$W$37,4,FALSE)</f>
        <v>0.98919999999999997</v>
      </c>
      <c r="CP285">
        <f>VLOOKUP(Sales[[#This Row],[Decade]],Lookups!$O$25:$R$42,4,FALSE)</f>
        <v>0.96040000000000003</v>
      </c>
      <c r="CQ285">
        <f>Sales[[#This Row],[Nbhd Adj]]*0.95</f>
        <v>0.94971499999999998</v>
      </c>
      <c r="CR285">
        <f>Sales[[#This Row],[Nbhd Adj]]*Sales[[#This Row],[Quality Adj]]*Sales[[#This Row],[Condition Adj]]*Sales[[#This Row],[Living Area Adj]]*Sales[[#This Row],[Decade Adj]]*0.95</f>
        <v>0.90521150770515979</v>
      </c>
      <c r="CS285">
        <f>ROUND(SUM(Sales[[#This Row],[Mdl Qlty]:[Mdl WdDeck]])+Sales[[#This Row],[Mdl Res Intercept]]*Sales[[#This Row],[Res Adj ]],-2)</f>
        <v>348300</v>
      </c>
      <c r="CT285">
        <f>ROUND(Sales[[#This Row],[25Det]]*Sales[[#This Row],[Det/Nbhd Adj]],-2)</f>
        <v>0</v>
      </c>
      <c r="CU285">
        <f>Sales[[#This Row],[Adjusted Res]]+Sales[[#This Row],[Adj Det ]]</f>
        <v>348300</v>
      </c>
      <c r="CV285">
        <f>ROUND((Sales[[#This Row],[Mdl Land Intercept]]+Sales[[#This Row],[Mdl LnAcres]])*Sales[[#This Row],[Det/Nbhd Adj]],-2)</f>
        <v>30200</v>
      </c>
      <c r="CW285">
        <f>Sales[[#This Row],[Adjusted Impr Total]]+Sales[[#This Row],[Adjusted Land Total]]</f>
        <v>378500</v>
      </c>
      <c r="CX285" s="15">
        <f>IFERROR((Sales[[#This Row],[Adjusted Impr Total]]-Sales[[#This Row],[24Bldg]])/Sales[[#This Row],[24Bldg]],0)</f>
        <v>0.13342011064106737</v>
      </c>
      <c r="CY285" s="15">
        <f>(Sales[[#This Row],[Adjusted Land Total]]-Sales[[#This Row],[24Lnd]])/Sales[[#This Row],[24Lnd]]</f>
        <v>-0.40316205533596838</v>
      </c>
      <c r="CZ285" s="15">
        <f>(Sales[[#This Row],[Adjusted Total]]-Sales[[#This Row],[24Final]])/Sales[[#This Row],[24Final]]</f>
        <v>5.7557977088572229E-2</v>
      </c>
      <c r="DA285" s="15">
        <f>(Sales[[#This Row],[Adjusted Total]]+Sales[[#This Row],[Days Prior Total]])/Sales[[#This Row],[Price]]</f>
        <v>0.9099476449248195</v>
      </c>
    </row>
    <row r="286" spans="1:105" x14ac:dyDescent="0.3">
      <c r="A286">
        <v>2025</v>
      </c>
      <c r="B286">
        <v>18132331040</v>
      </c>
      <c r="C286">
        <v>-1.8325814637483102</v>
      </c>
      <c r="D286">
        <v>0.16</v>
      </c>
      <c r="E286">
        <v>0</v>
      </c>
      <c r="F286">
        <v>6</v>
      </c>
      <c r="G286" t="s">
        <v>126</v>
      </c>
      <c r="H286">
        <v>3032</v>
      </c>
      <c r="I286" t="s">
        <v>349</v>
      </c>
      <c r="J286" t="s">
        <v>30</v>
      </c>
      <c r="K286">
        <v>11</v>
      </c>
      <c r="L286">
        <v>259</v>
      </c>
      <c r="M286" t="s">
        <v>269</v>
      </c>
      <c r="N286" t="s">
        <v>148</v>
      </c>
      <c r="O286" t="s">
        <v>303</v>
      </c>
      <c r="P286">
        <v>110</v>
      </c>
      <c r="Q286">
        <v>1920</v>
      </c>
      <c r="R286">
        <v>1966</v>
      </c>
      <c r="S286">
        <v>104</v>
      </c>
      <c r="T286">
        <v>58</v>
      </c>
      <c r="U286">
        <v>1</v>
      </c>
      <c r="V286">
        <v>1084</v>
      </c>
      <c r="W286">
        <v>0</v>
      </c>
      <c r="X286">
        <v>0</v>
      </c>
      <c r="Y286">
        <v>1064</v>
      </c>
      <c r="Z286">
        <v>0</v>
      </c>
      <c r="AA286">
        <v>1064</v>
      </c>
      <c r="AB286">
        <v>2148</v>
      </c>
      <c r="AC286">
        <v>2500</v>
      </c>
      <c r="AD286">
        <v>0</v>
      </c>
      <c r="AF286" t="s">
        <v>208</v>
      </c>
      <c r="AG286" t="s">
        <v>382</v>
      </c>
      <c r="AI286">
        <v>0</v>
      </c>
      <c r="AJ286">
        <v>1</v>
      </c>
      <c r="AK286">
        <v>0</v>
      </c>
      <c r="AL286">
        <v>1</v>
      </c>
      <c r="AM286">
        <v>0</v>
      </c>
      <c r="AN286">
        <v>9</v>
      </c>
      <c r="AO286">
        <v>0</v>
      </c>
      <c r="AP286">
        <v>0</v>
      </c>
      <c r="AQ286">
        <v>0</v>
      </c>
      <c r="AR286">
        <v>0</v>
      </c>
      <c r="AS286">
        <v>252</v>
      </c>
      <c r="AT286">
        <v>252</v>
      </c>
      <c r="AU286">
        <v>100</v>
      </c>
      <c r="AV286">
        <v>100</v>
      </c>
      <c r="AW286">
        <v>344604</v>
      </c>
      <c r="AX286">
        <v>248115</v>
      </c>
      <c r="AY286">
        <v>745</v>
      </c>
      <c r="AZ286">
        <v>365</v>
      </c>
      <c r="BA286">
        <v>365</v>
      </c>
      <c r="BB286">
        <v>15</v>
      </c>
      <c r="BC286" s="3">
        <v>44547</v>
      </c>
      <c r="BD286" t="s">
        <v>474</v>
      </c>
      <c r="BE286">
        <v>394500</v>
      </c>
      <c r="BF286">
        <v>388476</v>
      </c>
      <c r="BG286" t="s">
        <v>294</v>
      </c>
      <c r="BH286">
        <v>30</v>
      </c>
      <c r="BI286" t="s">
        <v>65</v>
      </c>
      <c r="BJ286" t="s">
        <v>450</v>
      </c>
      <c r="BK286">
        <v>364500</v>
      </c>
      <c r="BL286">
        <v>50600</v>
      </c>
      <c r="BM286">
        <v>313900</v>
      </c>
      <c r="BN286">
        <v>6024</v>
      </c>
      <c r="BO286">
        <v>0.92395437262357416</v>
      </c>
      <c r="BP286">
        <v>355839.82786325197</v>
      </c>
      <c r="BQ286">
        <v>379408.03764980962</v>
      </c>
      <c r="BR286" s="12">
        <f>(Sales[[#This Row],[DP1]]*Lookups!$B$59)+(Sales[[#This Row],[DP2]]*Lookups!$B$60)+(Sales[[#This Row],[DP3]]*Lookups!$B$61)</f>
        <v>-23568.209788570002</v>
      </c>
      <c r="BS286" s="12">
        <f>Lookups!$B$56*0</f>
        <v>0</v>
      </c>
      <c r="BT286" s="12">
        <f>Lookups!$B$56*1</f>
        <v>89850.625589999996</v>
      </c>
      <c r="BU286" s="12">
        <f>Lookups!$B$57*Sales[[#This Row],[LnAcres]]</f>
        <v>-58009.662049032086</v>
      </c>
      <c r="BV286" s="12">
        <f>VLOOKUP(Sales[[#This Row],[Qlty]],Lookups!$A$62:$E$75,2,FALSE)</f>
        <v>44121.038090000002</v>
      </c>
      <c r="BW286" s="12">
        <f>VLOOKUP(Sales[[#This Row],[Cnd]],Lookups!$A$76:$E$84,2,FALSE)</f>
        <v>197752.34721000001</v>
      </c>
      <c r="BX286" s="12">
        <f>Sales[[#This Row],[EffAge]]*Lookups!$B$85</f>
        <v>-12936.644829000001</v>
      </c>
      <c r="BY286" s="12">
        <f>Sales[[#This Row],[MainFn]]*Lookups!$B$86</f>
        <v>53558.998146668004</v>
      </c>
      <c r="BZ286" s="12">
        <f>Sales[[#This Row],[UpprFn]]*Lookups!$B$87</f>
        <v>0</v>
      </c>
      <c r="CA286" s="12">
        <f>Sales[[#This Row],[AddFn]]*Lookups!$B$88</f>
        <v>0</v>
      </c>
      <c r="CB286" s="12">
        <f>Sales[[#This Row],[Bsmt]]*Lookups!$B$89</f>
        <v>30943.136542807999</v>
      </c>
      <c r="CC286" s="12">
        <f>Sales[[#This Row],[Fixtures]]*Lookups!$B$90</f>
        <v>34128.198946800003</v>
      </c>
      <c r="CD286" s="12">
        <f>Sales[[#This Row],[WdDeck]]*Lookups!$B$91</f>
        <v>0</v>
      </c>
      <c r="CE286" s="12">
        <f>SUM(Sales[[#This Row],[Days Prior Total]:[Mdl WdDeck]])</f>
        <v>355839.82785967394</v>
      </c>
      <c r="CF286" s="12">
        <f>ROUND(Sales[[#This Row],[25Det]],-2)</f>
        <v>6000</v>
      </c>
      <c r="CG286" s="12">
        <f>ROUND(SUM(Sales[[#This Row],[Mdl Qlty]:[Mdl WdDeck]])+Sales[[#This Row],[Mdl Res Intercept]]+Sales[[#This Row],[Days Prior Total]],-2)</f>
        <v>324000</v>
      </c>
      <c r="CH286" s="12">
        <f>ROUND(Sales[[#This Row],[Mdl Land Intercept]]+Sales[[#This Row],[Mdl LnAcres]],-2)</f>
        <v>31800</v>
      </c>
      <c r="CI286" s="12">
        <f>Sales[[#This Row],[Unadj Res Value]]+Sales[[#This Row],[Unadj Det Value]]+Sales[[#This Row],[Unadj Land Value]]</f>
        <v>361800</v>
      </c>
      <c r="CJ286" s="13">
        <f>Sales[[#This Row],[Unadj Total Value]]/Sales[[#This Row],[Price]]</f>
        <v>0.91711026615969582</v>
      </c>
      <c r="CK286" s="13">
        <f>(Sales[[#This Row],[Unadj Total Value]]-Sales[[#This Row],[24Final]])/Sales[[#This Row],[24Final]]</f>
        <v>-7.4074074074074077E-3</v>
      </c>
      <c r="CL286">
        <f>VLOOKUP(Sales[[#This Row],[TNbhd]],Lookups!$Q$2:$T$4,4,FALSE)</f>
        <v>0.99970000000000003</v>
      </c>
      <c r="CM286">
        <f>VLOOKUP(Sales[[#This Row],[Qlty]],Lookups!$O$7:$R$21,4,FALSE)</f>
        <v>0.98050000000000004</v>
      </c>
      <c r="CN286">
        <f>VLOOKUP(Sales[[#This Row],[Cnd]],Lookups!$T$7:$W$16,4,FALSE)</f>
        <v>0.99650000000000005</v>
      </c>
      <c r="CO286">
        <f>VLOOKUP(Sales[[#This Row],[LivArea Range]],Lookups!$T$25:$W$37,4,FALSE)</f>
        <v>0.98919999999999997</v>
      </c>
      <c r="CP286">
        <f>VLOOKUP(Sales[[#This Row],[Decade]],Lookups!$O$25:$R$42,4,FALSE)</f>
        <v>0.96040000000000003</v>
      </c>
      <c r="CQ286">
        <f>Sales[[#This Row],[Nbhd Adj]]*0.95</f>
        <v>0.94971499999999998</v>
      </c>
      <c r="CR286">
        <f>Sales[[#This Row],[Nbhd Adj]]*Sales[[#This Row],[Quality Adj]]*Sales[[#This Row],[Condition Adj]]*Sales[[#This Row],[Living Area Adj]]*Sales[[#This Row],[Decade Adj]]*0.95</f>
        <v>0.88156523967511857</v>
      </c>
      <c r="CS286">
        <f>ROUND(SUM(Sales[[#This Row],[Mdl Qlty]:[Mdl WdDeck]])+Sales[[#This Row],[Mdl Res Intercept]]*Sales[[#This Row],[Res Adj ]],-2)</f>
        <v>347600</v>
      </c>
      <c r="CT286">
        <f>ROUND(Sales[[#This Row],[25Det]]*Sales[[#This Row],[Det/Nbhd Adj]],-2)</f>
        <v>5700</v>
      </c>
      <c r="CU286">
        <f>Sales[[#This Row],[Adjusted Res]]+Sales[[#This Row],[Adj Det ]]</f>
        <v>353300</v>
      </c>
      <c r="CV286">
        <f>ROUND((Sales[[#This Row],[Mdl Land Intercept]]+Sales[[#This Row],[Mdl LnAcres]])*Sales[[#This Row],[Det/Nbhd Adj]],-2)</f>
        <v>30200</v>
      </c>
      <c r="CW286">
        <f>Sales[[#This Row],[Adjusted Impr Total]]+Sales[[#This Row],[Adjusted Land Total]]</f>
        <v>383500</v>
      </c>
      <c r="CX286" s="15">
        <f>IFERROR((Sales[[#This Row],[Adjusted Impr Total]]-Sales[[#This Row],[24Bldg]])/Sales[[#This Row],[24Bldg]],0)</f>
        <v>0.12551768079006054</v>
      </c>
      <c r="CY286" s="15">
        <f>(Sales[[#This Row],[Adjusted Land Total]]-Sales[[#This Row],[24Lnd]])/Sales[[#This Row],[24Lnd]]</f>
        <v>-0.40316205533596838</v>
      </c>
      <c r="CZ286" s="15">
        <f>(Sales[[#This Row],[Adjusted Total]]-Sales[[#This Row],[24Final]])/Sales[[#This Row],[24Final]]</f>
        <v>5.2126200274348423E-2</v>
      </c>
      <c r="DA286" s="15">
        <f>(Sales[[#This Row],[Adjusted Total]]+Sales[[#This Row],[Days Prior Total]])/Sales[[#This Row],[Price]]</f>
        <v>0.91237462664494295</v>
      </c>
    </row>
    <row r="287" spans="1:105" x14ac:dyDescent="0.3">
      <c r="A287">
        <v>2025</v>
      </c>
      <c r="B287">
        <v>18132212013</v>
      </c>
      <c r="C287">
        <v>-0.86750056770472306</v>
      </c>
      <c r="D287">
        <v>0.42</v>
      </c>
      <c r="E287">
        <v>18135</v>
      </c>
      <c r="F287">
        <v>6</v>
      </c>
      <c r="G287" t="s">
        <v>126</v>
      </c>
      <c r="H287">
        <v>3032</v>
      </c>
      <c r="I287" t="s">
        <v>349</v>
      </c>
      <c r="J287" t="s">
        <v>30</v>
      </c>
      <c r="K287">
        <v>11</v>
      </c>
      <c r="L287">
        <v>259</v>
      </c>
      <c r="M287" t="s">
        <v>241</v>
      </c>
      <c r="N287" t="s">
        <v>148</v>
      </c>
      <c r="O287" t="s">
        <v>303</v>
      </c>
      <c r="P287">
        <v>110</v>
      </c>
      <c r="Q287">
        <v>1920</v>
      </c>
      <c r="R287">
        <v>1966</v>
      </c>
      <c r="S287">
        <v>104</v>
      </c>
      <c r="T287">
        <v>58</v>
      </c>
      <c r="U287">
        <v>1</v>
      </c>
      <c r="V287">
        <v>1748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1748</v>
      </c>
      <c r="AC287">
        <v>2000</v>
      </c>
      <c r="AD287">
        <v>0</v>
      </c>
      <c r="AF287" t="s">
        <v>383</v>
      </c>
      <c r="AG287" t="s">
        <v>148</v>
      </c>
      <c r="AH287" t="s">
        <v>450</v>
      </c>
      <c r="AI287">
        <v>0</v>
      </c>
      <c r="AJ287">
        <v>1</v>
      </c>
      <c r="AK287">
        <v>0</v>
      </c>
      <c r="AL287">
        <v>1</v>
      </c>
      <c r="AM287">
        <v>0</v>
      </c>
      <c r="AN287">
        <v>9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100</v>
      </c>
      <c r="AV287">
        <v>100</v>
      </c>
      <c r="AW287">
        <v>335762</v>
      </c>
      <c r="AX287">
        <v>241749</v>
      </c>
      <c r="AY287">
        <v>845</v>
      </c>
      <c r="AZ287">
        <v>365</v>
      </c>
      <c r="BA287">
        <v>365</v>
      </c>
      <c r="BB287">
        <v>115</v>
      </c>
      <c r="BC287" s="3">
        <v>44447</v>
      </c>
      <c r="BD287" t="s">
        <v>316</v>
      </c>
      <c r="BE287">
        <v>415250</v>
      </c>
      <c r="BF287">
        <v>391458</v>
      </c>
      <c r="BG287" t="s">
        <v>294</v>
      </c>
      <c r="BH287">
        <v>30</v>
      </c>
      <c r="BI287" t="s">
        <v>65</v>
      </c>
      <c r="BJ287" t="s">
        <v>450</v>
      </c>
      <c r="BK287">
        <v>404700</v>
      </c>
      <c r="BL287">
        <v>84300</v>
      </c>
      <c r="BM287">
        <v>320400</v>
      </c>
      <c r="BN287">
        <v>23792</v>
      </c>
      <c r="BO287">
        <v>0.97459361830222757</v>
      </c>
      <c r="BP287">
        <v>374881.1417538157</v>
      </c>
      <c r="BQ287">
        <v>411821.52282785747</v>
      </c>
      <c r="BR287" s="12">
        <f>(Sales[[#This Row],[DP1]]*Lookups!$B$59)+(Sales[[#This Row],[DP2]]*Lookups!$B$60)+(Sales[[#This Row],[DP3]]*Lookups!$B$61)</f>
        <v>-36940.381078570004</v>
      </c>
      <c r="BS287" s="12">
        <f>Lookups!$B$56*0</f>
        <v>0</v>
      </c>
      <c r="BT287" s="12">
        <f>Lookups!$B$56*1</f>
        <v>89850.625589999996</v>
      </c>
      <c r="BU287" s="12">
        <f>Lookups!$B$57*Sales[[#This Row],[LnAcres]]</f>
        <v>-27460.397125792362</v>
      </c>
      <c r="BV287" s="12">
        <f>VLOOKUP(Sales[[#This Row],[Qlty]],Lookups!$A$62:$E$75,2,FALSE)</f>
        <v>44121.038090000002</v>
      </c>
      <c r="BW287" s="12">
        <f>VLOOKUP(Sales[[#This Row],[Cnd]],Lookups!$A$76:$E$84,2,FALSE)</f>
        <v>197752.34721000001</v>
      </c>
      <c r="BX287" s="12">
        <f>Sales[[#This Row],[EffAge]]*Lookups!$B$85</f>
        <v>-12936.644829000001</v>
      </c>
      <c r="BY287" s="12">
        <f>Sales[[#This Row],[MainFn]]*Lookups!$B$86</f>
        <v>86366.354944995997</v>
      </c>
      <c r="BZ287" s="12">
        <f>Sales[[#This Row],[UpprFn]]*Lookups!$B$87</f>
        <v>0</v>
      </c>
      <c r="CA287" s="12">
        <f>Sales[[#This Row],[AddFn]]*Lookups!$B$88</f>
        <v>0</v>
      </c>
      <c r="CB287" s="12">
        <f>Sales[[#This Row],[Bsmt]]*Lookups!$B$89</f>
        <v>0</v>
      </c>
      <c r="CC287" s="12">
        <f>Sales[[#This Row],[Fixtures]]*Lookups!$B$90</f>
        <v>34128.198946800003</v>
      </c>
      <c r="CD287" s="12">
        <f>Sales[[#This Row],[WdDeck]]*Lookups!$B$91</f>
        <v>0</v>
      </c>
      <c r="CE287" s="12">
        <f>SUM(Sales[[#This Row],[Days Prior Total]:[Mdl WdDeck]])</f>
        <v>374881.1417484337</v>
      </c>
      <c r="CF287" s="12">
        <f>ROUND(Sales[[#This Row],[25Det]],-2)</f>
        <v>23800</v>
      </c>
      <c r="CG287" s="12">
        <f>ROUND(SUM(Sales[[#This Row],[Mdl Qlty]:[Mdl WdDeck]])+Sales[[#This Row],[Mdl Res Intercept]]+Sales[[#This Row],[Days Prior Total]],-2)</f>
        <v>312500</v>
      </c>
      <c r="CH287" s="12">
        <f>ROUND(Sales[[#This Row],[Mdl Land Intercept]]+Sales[[#This Row],[Mdl LnAcres]],-2)</f>
        <v>62400</v>
      </c>
      <c r="CI287" s="12">
        <f>Sales[[#This Row],[Unadj Res Value]]+Sales[[#This Row],[Unadj Det Value]]+Sales[[#This Row],[Unadj Land Value]]</f>
        <v>398700</v>
      </c>
      <c r="CJ287" s="13">
        <f>Sales[[#This Row],[Unadj Total Value]]/Sales[[#This Row],[Price]]</f>
        <v>0.96014449127031909</v>
      </c>
      <c r="CK287" s="13">
        <f>(Sales[[#This Row],[Unadj Total Value]]-Sales[[#This Row],[24Final]])/Sales[[#This Row],[24Final]]</f>
        <v>-1.4825796886582653E-2</v>
      </c>
      <c r="CL287">
        <f>VLOOKUP(Sales[[#This Row],[TNbhd]],Lookups!$Q$2:$T$4,4,FALSE)</f>
        <v>0.99970000000000003</v>
      </c>
      <c r="CM287">
        <f>VLOOKUP(Sales[[#This Row],[Qlty]],Lookups!$O$7:$R$21,4,FALSE)</f>
        <v>0.98050000000000004</v>
      </c>
      <c r="CN287">
        <f>VLOOKUP(Sales[[#This Row],[Cnd]],Lookups!$T$7:$W$16,4,FALSE)</f>
        <v>0.99650000000000005</v>
      </c>
      <c r="CO287">
        <f>VLOOKUP(Sales[[#This Row],[LivArea Range]],Lookups!$T$25:$W$37,4,FALSE)</f>
        <v>1.0093000000000001</v>
      </c>
      <c r="CP287">
        <f>VLOOKUP(Sales[[#This Row],[Decade]],Lookups!$O$25:$R$42,4,FALSE)</f>
        <v>0.96040000000000003</v>
      </c>
      <c r="CQ287">
        <f>Sales[[#This Row],[Nbhd Adj]]*0.95</f>
        <v>0.94971499999999998</v>
      </c>
      <c r="CR287">
        <f>Sales[[#This Row],[Nbhd Adj]]*Sales[[#This Row],[Quality Adj]]*Sales[[#This Row],[Condition Adj]]*Sales[[#This Row],[Living Area Adj]]*Sales[[#This Row],[Decade Adj]]*0.95</f>
        <v>0.89947816053790663</v>
      </c>
      <c r="CS287">
        <f>ROUND(SUM(Sales[[#This Row],[Mdl Qlty]:[Mdl WdDeck]])+Sales[[#This Row],[Mdl Res Intercept]]*Sales[[#This Row],[Res Adj ]],-2)</f>
        <v>349400</v>
      </c>
      <c r="CT287">
        <f>ROUND(Sales[[#This Row],[25Det]]*Sales[[#This Row],[Det/Nbhd Adj]],-2)</f>
        <v>22600</v>
      </c>
      <c r="CU287">
        <f>Sales[[#This Row],[Adjusted Res]]+Sales[[#This Row],[Adj Det ]]</f>
        <v>372000</v>
      </c>
      <c r="CV287">
        <f>ROUND((Sales[[#This Row],[Mdl Land Intercept]]+Sales[[#This Row],[Mdl LnAcres]])*Sales[[#This Row],[Det/Nbhd Adj]],-2)</f>
        <v>59300</v>
      </c>
      <c r="CW287">
        <f>Sales[[#This Row],[Adjusted Impr Total]]+Sales[[#This Row],[Adjusted Land Total]]</f>
        <v>431300</v>
      </c>
      <c r="CX287" s="15">
        <f>IFERROR((Sales[[#This Row],[Adjusted Impr Total]]-Sales[[#This Row],[24Bldg]])/Sales[[#This Row],[24Bldg]],0)</f>
        <v>0.16104868913857678</v>
      </c>
      <c r="CY287" s="15">
        <f>(Sales[[#This Row],[Adjusted Land Total]]-Sales[[#This Row],[24Lnd]])/Sales[[#This Row],[24Lnd]]</f>
        <v>-0.29655990510083036</v>
      </c>
      <c r="CZ287" s="15">
        <f>(Sales[[#This Row],[Adjusted Total]]-Sales[[#This Row],[24Final]])/Sales[[#This Row],[24Final]]</f>
        <v>6.5727699530516437E-2</v>
      </c>
      <c r="DA287" s="15">
        <f>(Sales[[#This Row],[Adjusted Total]]+Sales[[#This Row],[Days Prior Total]])/Sales[[#This Row],[Price]]</f>
        <v>0.94969203834179405</v>
      </c>
    </row>
    <row r="288" spans="1:105" x14ac:dyDescent="0.3">
      <c r="A288">
        <v>2025</v>
      </c>
      <c r="B288">
        <v>18132214043</v>
      </c>
      <c r="C288">
        <v>-1.1394342831883648</v>
      </c>
      <c r="D288">
        <v>0.32</v>
      </c>
      <c r="E288">
        <v>13772</v>
      </c>
      <c r="F288">
        <v>6</v>
      </c>
      <c r="G288" t="s">
        <v>126</v>
      </c>
      <c r="H288">
        <v>3033</v>
      </c>
      <c r="I288" t="s">
        <v>349</v>
      </c>
      <c r="J288" t="s">
        <v>30</v>
      </c>
      <c r="K288">
        <v>11</v>
      </c>
      <c r="L288">
        <v>259</v>
      </c>
      <c r="M288" t="s">
        <v>416</v>
      </c>
      <c r="N288" t="s">
        <v>351</v>
      </c>
      <c r="O288" t="s">
        <v>323</v>
      </c>
      <c r="P288">
        <v>110</v>
      </c>
      <c r="Q288">
        <v>1920</v>
      </c>
      <c r="R288">
        <v>1966</v>
      </c>
      <c r="S288">
        <v>104</v>
      </c>
      <c r="T288">
        <v>58</v>
      </c>
      <c r="U288">
        <v>2</v>
      </c>
      <c r="V288">
        <v>972</v>
      </c>
      <c r="W288">
        <v>780</v>
      </c>
      <c r="X288">
        <v>0</v>
      </c>
      <c r="Y288">
        <v>0</v>
      </c>
      <c r="Z288">
        <v>0</v>
      </c>
      <c r="AA288">
        <v>0</v>
      </c>
      <c r="AB288">
        <v>1752</v>
      </c>
      <c r="AC288">
        <v>2000</v>
      </c>
      <c r="AD288">
        <v>0</v>
      </c>
      <c r="AF288" t="s">
        <v>383</v>
      </c>
      <c r="AG288" t="s">
        <v>382</v>
      </c>
      <c r="AH288" t="s">
        <v>450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9</v>
      </c>
      <c r="AO288">
        <v>0</v>
      </c>
      <c r="AP288">
        <v>0</v>
      </c>
      <c r="AQ288">
        <v>220</v>
      </c>
      <c r="AR288">
        <v>432</v>
      </c>
      <c r="AS288">
        <v>0</v>
      </c>
      <c r="AT288">
        <v>432</v>
      </c>
      <c r="AU288">
        <v>100</v>
      </c>
      <c r="AV288">
        <v>100</v>
      </c>
      <c r="AW288">
        <v>242038</v>
      </c>
      <c r="AX288">
        <v>152484</v>
      </c>
      <c r="AY288">
        <v>881</v>
      </c>
      <c r="AZ288">
        <v>365</v>
      </c>
      <c r="BA288">
        <v>365</v>
      </c>
      <c r="BB288">
        <v>151</v>
      </c>
      <c r="BC288" s="3">
        <v>44411</v>
      </c>
      <c r="BD288" t="s">
        <v>388</v>
      </c>
      <c r="BE288">
        <v>325000</v>
      </c>
      <c r="BF288">
        <v>325000</v>
      </c>
      <c r="BG288" t="s">
        <v>294</v>
      </c>
      <c r="BH288">
        <v>30</v>
      </c>
      <c r="BI288" t="s">
        <v>65</v>
      </c>
      <c r="BJ288" t="s">
        <v>450</v>
      </c>
      <c r="BK288">
        <v>325300</v>
      </c>
      <c r="BL288">
        <v>74800</v>
      </c>
      <c r="BM288">
        <v>250500</v>
      </c>
      <c r="BN288">
        <v>0</v>
      </c>
      <c r="BO288">
        <v>1.000923076923077</v>
      </c>
      <c r="BP288">
        <v>312591.29436955333</v>
      </c>
      <c r="BQ288">
        <v>354345.6571070893</v>
      </c>
      <c r="BR288" s="12">
        <f>(Sales[[#This Row],[DP1]]*Lookups!$B$59)+(Sales[[#This Row],[DP2]]*Lookups!$B$60)+(Sales[[#This Row],[DP3]]*Lookups!$B$61)</f>
        <v>-41754.362742969999</v>
      </c>
      <c r="BS288" s="12">
        <f>Lookups!$B$56*0</f>
        <v>0</v>
      </c>
      <c r="BT288" s="12">
        <f>Lookups!$B$56*1</f>
        <v>89850.625589999996</v>
      </c>
      <c r="BU288" s="12">
        <f>Lookups!$B$57*Sales[[#This Row],[LnAcres]]</f>
        <v>-36068.354396449467</v>
      </c>
      <c r="BV288" s="12">
        <f>VLOOKUP(Sales[[#This Row],[Qlty]],Lookups!$A$62:$E$75,2,FALSE)</f>
        <v>21557.329055999999</v>
      </c>
      <c r="BW288" s="12">
        <f>VLOOKUP(Sales[[#This Row],[Cnd]],Lookups!$A$76:$E$84,2,FALSE)</f>
        <v>160472.20319</v>
      </c>
      <c r="BX288" s="12">
        <f>Sales[[#This Row],[EffAge]]*Lookups!$B$85</f>
        <v>-12936.644829000001</v>
      </c>
      <c r="BY288" s="12">
        <f>Sales[[#This Row],[MainFn]]*Lookups!$B$86</f>
        <v>48025.227120444004</v>
      </c>
      <c r="BZ288" s="12">
        <f>Sales[[#This Row],[UpprFn]]*Lookups!$B$87</f>
        <v>34933.40983158</v>
      </c>
      <c r="CA288" s="12">
        <f>Sales[[#This Row],[AddFn]]*Lookups!$B$88</f>
        <v>0</v>
      </c>
      <c r="CB288" s="12">
        <f>Sales[[#This Row],[Bsmt]]*Lookups!$B$89</f>
        <v>0</v>
      </c>
      <c r="CC288" s="12">
        <f>Sales[[#This Row],[Fixtures]]*Lookups!$B$90</f>
        <v>34128.198946800003</v>
      </c>
      <c r="CD288" s="12">
        <f>Sales[[#This Row],[WdDeck]]*Lookups!$B$91</f>
        <v>14383.662599232001</v>
      </c>
      <c r="CE288" s="12">
        <f>SUM(Sales[[#This Row],[Days Prior Total]:[Mdl WdDeck]])</f>
        <v>312591.29436563654</v>
      </c>
      <c r="CF288" s="12">
        <f>ROUND(Sales[[#This Row],[25Det]],-2)</f>
        <v>0</v>
      </c>
      <c r="CG288" s="12">
        <f>ROUND(SUM(Sales[[#This Row],[Mdl Qlty]:[Mdl WdDeck]])+Sales[[#This Row],[Mdl Res Intercept]]+Sales[[#This Row],[Days Prior Total]],-2)</f>
        <v>258800</v>
      </c>
      <c r="CH288" s="12">
        <f>ROUND(Sales[[#This Row],[Mdl Land Intercept]]+Sales[[#This Row],[Mdl LnAcres]],-2)</f>
        <v>53800</v>
      </c>
      <c r="CI288" s="12">
        <f>Sales[[#This Row],[Unadj Res Value]]+Sales[[#This Row],[Unadj Det Value]]+Sales[[#This Row],[Unadj Land Value]]</f>
        <v>312600</v>
      </c>
      <c r="CJ288" s="13">
        <f>Sales[[#This Row],[Unadj Total Value]]/Sales[[#This Row],[Price]]</f>
        <v>0.9618461538461538</v>
      </c>
      <c r="CK288" s="13">
        <f>(Sales[[#This Row],[Unadj Total Value]]-Sales[[#This Row],[24Final]])/Sales[[#This Row],[24Final]]</f>
        <v>-3.904088533661236E-2</v>
      </c>
      <c r="CL288">
        <f>VLOOKUP(Sales[[#This Row],[TNbhd]],Lookups!$Q$2:$T$4,4,FALSE)</f>
        <v>0.99970000000000003</v>
      </c>
      <c r="CM288">
        <f>VLOOKUP(Sales[[#This Row],[Qlty]],Lookups!$O$7:$R$21,4,FALSE)</f>
        <v>1.0067999999999999</v>
      </c>
      <c r="CN288">
        <f>VLOOKUP(Sales[[#This Row],[Cnd]],Lookups!$T$7:$W$16,4,FALSE)</f>
        <v>0.99729999999999996</v>
      </c>
      <c r="CO288">
        <f>VLOOKUP(Sales[[#This Row],[LivArea Range]],Lookups!$T$25:$W$37,4,FALSE)</f>
        <v>1.0093000000000001</v>
      </c>
      <c r="CP288">
        <f>VLOOKUP(Sales[[#This Row],[Decade]],Lookups!$O$25:$R$42,4,FALSE)</f>
        <v>0.96040000000000003</v>
      </c>
      <c r="CQ288">
        <f>Sales[[#This Row],[Nbhd Adj]]*0.95</f>
        <v>0.94971499999999998</v>
      </c>
      <c r="CR288">
        <f>Sales[[#This Row],[Nbhd Adj]]*Sales[[#This Row],[Quality Adj]]*Sales[[#This Row],[Condition Adj]]*Sales[[#This Row],[Living Area Adj]]*Sales[[#This Row],[Decade Adj]]*0.95</f>
        <v>0.92434638683335013</v>
      </c>
      <c r="CS288">
        <f>ROUND(SUM(Sales[[#This Row],[Mdl Qlty]:[Mdl WdDeck]])+Sales[[#This Row],[Mdl Res Intercept]]*Sales[[#This Row],[Res Adj ]],-2)</f>
        <v>300600</v>
      </c>
      <c r="CT288">
        <f>ROUND(Sales[[#This Row],[25Det]]*Sales[[#This Row],[Det/Nbhd Adj]],-2)</f>
        <v>0</v>
      </c>
      <c r="CU288">
        <f>Sales[[#This Row],[Adjusted Res]]+Sales[[#This Row],[Adj Det ]]</f>
        <v>300600</v>
      </c>
      <c r="CV288">
        <f>ROUND((Sales[[#This Row],[Mdl Land Intercept]]+Sales[[#This Row],[Mdl LnAcres]])*Sales[[#This Row],[Det/Nbhd Adj]],-2)</f>
        <v>51100</v>
      </c>
      <c r="CW288">
        <f>Sales[[#This Row],[Adjusted Impr Total]]+Sales[[#This Row],[Adjusted Land Total]]</f>
        <v>351700</v>
      </c>
      <c r="CX288" s="15">
        <f>IFERROR((Sales[[#This Row],[Adjusted Impr Total]]-Sales[[#This Row],[24Bldg]])/Sales[[#This Row],[24Bldg]],0)</f>
        <v>0.2</v>
      </c>
      <c r="CY288" s="15">
        <f>(Sales[[#This Row],[Adjusted Land Total]]-Sales[[#This Row],[24Lnd]])/Sales[[#This Row],[24Lnd]]</f>
        <v>-0.31684491978609625</v>
      </c>
      <c r="CZ288" s="15">
        <f>(Sales[[#This Row],[Adjusted Total]]-Sales[[#This Row],[24Final]])/Sales[[#This Row],[24Final]]</f>
        <v>8.1155856132800491E-2</v>
      </c>
      <c r="DA288" s="15">
        <f>(Sales[[#This Row],[Adjusted Total]]+Sales[[#This Row],[Days Prior Total]])/Sales[[#This Row],[Price]]</f>
        <v>0.95367888386778465</v>
      </c>
    </row>
    <row r="289" spans="1:105" x14ac:dyDescent="0.3">
      <c r="A289">
        <v>2025</v>
      </c>
      <c r="B289">
        <v>18132331405</v>
      </c>
      <c r="C289">
        <v>-1.6607312068216509</v>
      </c>
      <c r="D289">
        <v>0.19</v>
      </c>
      <c r="E289">
        <v>8423</v>
      </c>
      <c r="F289">
        <v>6</v>
      </c>
      <c r="G289" t="s">
        <v>126</v>
      </c>
      <c r="H289">
        <v>3032</v>
      </c>
      <c r="I289" t="s">
        <v>349</v>
      </c>
      <c r="J289" t="s">
        <v>30</v>
      </c>
      <c r="K289">
        <v>11</v>
      </c>
      <c r="L289">
        <v>259</v>
      </c>
      <c r="M289" t="s">
        <v>416</v>
      </c>
      <c r="N289" t="s">
        <v>302</v>
      </c>
      <c r="O289" t="s">
        <v>352</v>
      </c>
      <c r="P289">
        <v>110</v>
      </c>
      <c r="Q289">
        <v>1920</v>
      </c>
      <c r="R289">
        <v>1966</v>
      </c>
      <c r="S289">
        <v>104</v>
      </c>
      <c r="T289">
        <v>58</v>
      </c>
      <c r="U289">
        <v>2</v>
      </c>
      <c r="V289">
        <v>1232</v>
      </c>
      <c r="W289">
        <v>672</v>
      </c>
      <c r="X289">
        <v>0</v>
      </c>
      <c r="Y289">
        <v>540</v>
      </c>
      <c r="Z289">
        <v>540</v>
      </c>
      <c r="AA289">
        <v>0</v>
      </c>
      <c r="AB289">
        <v>1904</v>
      </c>
      <c r="AC289">
        <v>2000</v>
      </c>
      <c r="AD289">
        <v>0</v>
      </c>
      <c r="AF289" t="s">
        <v>383</v>
      </c>
      <c r="AG289" t="s">
        <v>148</v>
      </c>
      <c r="AH289" t="s">
        <v>450</v>
      </c>
      <c r="AI289">
        <v>0</v>
      </c>
      <c r="AJ289">
        <v>1</v>
      </c>
      <c r="AK289">
        <v>0</v>
      </c>
      <c r="AL289">
        <v>1</v>
      </c>
      <c r="AM289">
        <v>1</v>
      </c>
      <c r="AN289">
        <v>10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100</v>
      </c>
      <c r="AV289">
        <v>100</v>
      </c>
      <c r="AW289">
        <v>330475</v>
      </c>
      <c r="AX289">
        <v>257771</v>
      </c>
      <c r="AY289">
        <v>566</v>
      </c>
      <c r="AZ289">
        <v>365</v>
      </c>
      <c r="BA289">
        <v>201</v>
      </c>
      <c r="BB289">
        <v>0</v>
      </c>
      <c r="BC289" s="3">
        <v>44726</v>
      </c>
      <c r="BD289" t="s">
        <v>367</v>
      </c>
      <c r="BE289">
        <v>501000</v>
      </c>
      <c r="BF289">
        <v>457604</v>
      </c>
      <c r="BG289" t="s">
        <v>294</v>
      </c>
      <c r="BH289">
        <v>30</v>
      </c>
      <c r="BI289" t="s">
        <v>65</v>
      </c>
      <c r="BJ289" t="s">
        <v>450</v>
      </c>
      <c r="BK289">
        <v>439400</v>
      </c>
      <c r="BL289">
        <v>56600</v>
      </c>
      <c r="BM289">
        <v>382800</v>
      </c>
      <c r="BN289">
        <v>43396</v>
      </c>
      <c r="BO289">
        <v>0.87704590818363271</v>
      </c>
      <c r="BP289">
        <v>460115.65147810202</v>
      </c>
      <c r="BQ289">
        <v>483561.27572250704</v>
      </c>
      <c r="BR289" s="12">
        <f>(Sales[[#This Row],[DP1]]*Lookups!$B$59)+(Sales[[#This Row],[DP2]]*Lookups!$B$60)+(Sales[[#This Row],[DP3]]*Lookups!$B$61)</f>
        <v>-23445.624245998002</v>
      </c>
      <c r="BS289" s="12">
        <f>Lookups!$B$56*0</f>
        <v>0</v>
      </c>
      <c r="BT289" s="12">
        <f>Lookups!$B$56*1</f>
        <v>89850.625589999996</v>
      </c>
      <c r="BU289" s="12">
        <f>Lookups!$B$57*Sales[[#This Row],[LnAcres]]</f>
        <v>-52569.808201026557</v>
      </c>
      <c r="BV289" s="12">
        <f>VLOOKUP(Sales[[#This Row],[Qlty]],Lookups!$A$62:$E$75,2,FALSE)</f>
        <v>29814.093161000001</v>
      </c>
      <c r="BW289" s="12">
        <f>VLOOKUP(Sales[[#This Row],[Cnd]],Lookups!$A$76:$E$84,2,FALSE)</f>
        <v>284810.60806</v>
      </c>
      <c r="BX289" s="12">
        <f>Sales[[#This Row],[EffAge]]*Lookups!$B$85</f>
        <v>-12936.644829000001</v>
      </c>
      <c r="BY289" s="12">
        <f>Sales[[#This Row],[MainFn]]*Lookups!$B$86</f>
        <v>60871.481288464005</v>
      </c>
      <c r="BZ289" s="12">
        <f>Sales[[#This Row],[UpprFn]]*Lookups!$B$87</f>
        <v>30096.476162592</v>
      </c>
      <c r="CA289" s="12">
        <f>Sales[[#This Row],[AddFn]]*Lookups!$B$88</f>
        <v>0</v>
      </c>
      <c r="CB289" s="12">
        <f>Sales[[#This Row],[Bsmt]]*Lookups!$B$89</f>
        <v>15704.223433379999</v>
      </c>
      <c r="CC289" s="12">
        <f>Sales[[#This Row],[Fixtures]]*Lookups!$B$90</f>
        <v>37920.221052000001</v>
      </c>
      <c r="CD289" s="12">
        <f>Sales[[#This Row],[WdDeck]]*Lookups!$B$91</f>
        <v>0</v>
      </c>
      <c r="CE289" s="12">
        <f>SUM(Sales[[#This Row],[Days Prior Total]:[Mdl WdDeck]])</f>
        <v>460115.65147141146</v>
      </c>
      <c r="CF289" s="12">
        <f>ROUND(Sales[[#This Row],[25Det]],-2)</f>
        <v>43400</v>
      </c>
      <c r="CG289" s="12">
        <f>ROUND(SUM(Sales[[#This Row],[Mdl Qlty]:[Mdl WdDeck]])+Sales[[#This Row],[Mdl Res Intercept]]+Sales[[#This Row],[Days Prior Total]],-2)</f>
        <v>422800</v>
      </c>
      <c r="CH289" s="12">
        <f>ROUND(Sales[[#This Row],[Mdl Land Intercept]]+Sales[[#This Row],[Mdl LnAcres]],-2)</f>
        <v>37300</v>
      </c>
      <c r="CI289" s="12">
        <f>Sales[[#This Row],[Unadj Res Value]]+Sales[[#This Row],[Unadj Det Value]]+Sales[[#This Row],[Unadj Land Value]]</f>
        <v>503500</v>
      </c>
      <c r="CJ289" s="13">
        <f>Sales[[#This Row],[Unadj Total Value]]/Sales[[#This Row],[Price]]</f>
        <v>1.0049900199600799</v>
      </c>
      <c r="CK289" s="13">
        <f>(Sales[[#This Row],[Unadj Total Value]]-Sales[[#This Row],[24Final]])/Sales[[#This Row],[24Final]]</f>
        <v>0.14588074647246244</v>
      </c>
      <c r="CL289">
        <f>VLOOKUP(Sales[[#This Row],[TNbhd]],Lookups!$Q$2:$T$4,4,FALSE)</f>
        <v>0.99970000000000003</v>
      </c>
      <c r="CM289">
        <f>VLOOKUP(Sales[[#This Row],[Qlty]],Lookups!$O$7:$R$21,4,FALSE)</f>
        <v>1.0088999999999999</v>
      </c>
      <c r="CN289">
        <f>VLOOKUP(Sales[[#This Row],[Cnd]],Lookups!$T$7:$W$16,4,FALSE)</f>
        <v>1.0158</v>
      </c>
      <c r="CO289">
        <f>VLOOKUP(Sales[[#This Row],[LivArea Range]],Lookups!$T$25:$W$37,4,FALSE)</f>
        <v>1.0093000000000001</v>
      </c>
      <c r="CP289">
        <f>VLOOKUP(Sales[[#This Row],[Decade]],Lookups!$O$25:$R$42,4,FALSE)</f>
        <v>0.96040000000000003</v>
      </c>
      <c r="CQ289">
        <f>Sales[[#This Row],[Nbhd Adj]]*0.95</f>
        <v>0.94971499999999998</v>
      </c>
      <c r="CR289">
        <f>Sales[[#This Row],[Nbhd Adj]]*Sales[[#This Row],[Quality Adj]]*Sales[[#This Row],[Condition Adj]]*Sales[[#This Row],[Living Area Adj]]*Sales[[#This Row],[Decade Adj]]*0.95</f>
        <v>0.94345687286648372</v>
      </c>
      <c r="CS289">
        <f>ROUND(SUM(Sales[[#This Row],[Mdl Qlty]:[Mdl WdDeck]])+Sales[[#This Row],[Mdl Res Intercept]]*Sales[[#This Row],[Res Adj ]],-2)</f>
        <v>446300</v>
      </c>
      <c r="CT289">
        <f>ROUND(Sales[[#This Row],[25Det]]*Sales[[#This Row],[Det/Nbhd Adj]],-2)</f>
        <v>41200</v>
      </c>
      <c r="CU289">
        <f>Sales[[#This Row],[Adjusted Res]]+Sales[[#This Row],[Adj Det ]]</f>
        <v>487500</v>
      </c>
      <c r="CV289">
        <f>ROUND((Sales[[#This Row],[Mdl Land Intercept]]+Sales[[#This Row],[Mdl LnAcres]])*Sales[[#This Row],[Det/Nbhd Adj]],-2)</f>
        <v>35400</v>
      </c>
      <c r="CW289">
        <f>Sales[[#This Row],[Adjusted Impr Total]]+Sales[[#This Row],[Adjusted Land Total]]</f>
        <v>522900</v>
      </c>
      <c r="CX289" s="15">
        <f>IFERROR((Sales[[#This Row],[Adjusted Impr Total]]-Sales[[#This Row],[24Bldg]])/Sales[[#This Row],[24Bldg]],0)</f>
        <v>0.27351097178683387</v>
      </c>
      <c r="CY289" s="15">
        <f>(Sales[[#This Row],[Adjusted Land Total]]-Sales[[#This Row],[24Lnd]])/Sales[[#This Row],[24Lnd]]</f>
        <v>-0.37455830388692579</v>
      </c>
      <c r="CZ289" s="15">
        <f>(Sales[[#This Row],[Adjusted Total]]-Sales[[#This Row],[24Final]])/Sales[[#This Row],[24Final]]</f>
        <v>0.19003186162949476</v>
      </c>
      <c r="DA289" s="15">
        <f>(Sales[[#This Row],[Adjusted Total]]+Sales[[#This Row],[Days Prior Total]])/Sales[[#This Row],[Price]]</f>
        <v>0.99691492166467466</v>
      </c>
    </row>
    <row r="290" spans="1:105" x14ac:dyDescent="0.3">
      <c r="A290">
        <v>2025</v>
      </c>
      <c r="B290">
        <v>18132331054</v>
      </c>
      <c r="C290">
        <v>-1.2378743560016174</v>
      </c>
      <c r="D290">
        <v>0.28999999999999998</v>
      </c>
      <c r="E290">
        <v>12505</v>
      </c>
      <c r="F290">
        <v>6</v>
      </c>
      <c r="G290" t="s">
        <v>126</v>
      </c>
      <c r="H290">
        <v>3033</v>
      </c>
      <c r="I290" t="s">
        <v>349</v>
      </c>
      <c r="J290" t="s">
        <v>30</v>
      </c>
      <c r="K290">
        <v>11</v>
      </c>
      <c r="L290">
        <v>259</v>
      </c>
      <c r="M290" t="s">
        <v>269</v>
      </c>
      <c r="N290" t="s">
        <v>351</v>
      </c>
      <c r="O290" t="s">
        <v>303</v>
      </c>
      <c r="P290">
        <v>110</v>
      </c>
      <c r="Q290">
        <v>1920</v>
      </c>
      <c r="R290">
        <v>1966</v>
      </c>
      <c r="S290">
        <v>104</v>
      </c>
      <c r="T290">
        <v>58</v>
      </c>
      <c r="U290">
        <v>2</v>
      </c>
      <c r="V290">
        <v>1280</v>
      </c>
      <c r="W290">
        <v>510</v>
      </c>
      <c r="X290">
        <v>0</v>
      </c>
      <c r="Y290">
        <v>630</v>
      </c>
      <c r="Z290">
        <v>230</v>
      </c>
      <c r="AA290">
        <v>400</v>
      </c>
      <c r="AB290">
        <v>2190</v>
      </c>
      <c r="AC290">
        <v>2500</v>
      </c>
      <c r="AD290">
        <v>0</v>
      </c>
      <c r="AF290" t="s">
        <v>383</v>
      </c>
      <c r="AG290" t="s">
        <v>148</v>
      </c>
      <c r="AH290" t="s">
        <v>450</v>
      </c>
      <c r="AI290">
        <v>0</v>
      </c>
      <c r="AJ290">
        <v>1</v>
      </c>
      <c r="AK290">
        <v>0</v>
      </c>
      <c r="AL290">
        <v>1</v>
      </c>
      <c r="AM290">
        <v>0</v>
      </c>
      <c r="AN290">
        <v>10</v>
      </c>
      <c r="AO290">
        <v>0</v>
      </c>
      <c r="AP290">
        <v>0</v>
      </c>
      <c r="AQ290">
        <v>0</v>
      </c>
      <c r="AR290">
        <v>108</v>
      </c>
      <c r="AS290">
        <v>0</v>
      </c>
      <c r="AT290">
        <v>0</v>
      </c>
      <c r="AU290">
        <v>100</v>
      </c>
      <c r="AV290">
        <v>100</v>
      </c>
      <c r="AW290">
        <v>294590</v>
      </c>
      <c r="AX290">
        <v>212105</v>
      </c>
      <c r="AY290">
        <v>318</v>
      </c>
      <c r="AZ290">
        <v>318</v>
      </c>
      <c r="BA290">
        <v>0</v>
      </c>
      <c r="BB290">
        <v>0</v>
      </c>
      <c r="BC290" s="3">
        <v>44974</v>
      </c>
      <c r="BD290" t="s">
        <v>279</v>
      </c>
      <c r="BE290">
        <v>370000</v>
      </c>
      <c r="BF290">
        <v>360298</v>
      </c>
      <c r="BG290" t="s">
        <v>294</v>
      </c>
      <c r="BH290">
        <v>30</v>
      </c>
      <c r="BI290" t="s">
        <v>65</v>
      </c>
      <c r="BJ290" t="s">
        <v>450</v>
      </c>
      <c r="BK290">
        <v>389100</v>
      </c>
      <c r="BL290">
        <v>71400</v>
      </c>
      <c r="BM290">
        <v>317700</v>
      </c>
      <c r="BN290">
        <v>9702</v>
      </c>
      <c r="BO290">
        <v>1.0516216216216216</v>
      </c>
      <c r="BP290">
        <v>380523.6172543646</v>
      </c>
      <c r="BQ290">
        <v>402961.12376228155</v>
      </c>
      <c r="BR290" s="12">
        <f>(Sales[[#This Row],[DP1]]*Lookups!$B$59)+(Sales[[#This Row],[DP2]]*Lookups!$B$60)+(Sales[[#This Row],[DP3]]*Lookups!$B$61)</f>
        <v>-22437.506509260002</v>
      </c>
      <c r="BS290" s="12">
        <f>Lookups!$B$56*0</f>
        <v>0</v>
      </c>
      <c r="BT290" s="12">
        <f>Lookups!$B$56*1</f>
        <v>89850.625589999996</v>
      </c>
      <c r="BU290" s="12">
        <f>Lookups!$B$57*Sales[[#This Row],[LnAcres]]</f>
        <v>-39184.437074869042</v>
      </c>
      <c r="BV290" s="12">
        <f>VLOOKUP(Sales[[#This Row],[Qlty]],Lookups!$A$62:$E$75,2,FALSE)</f>
        <v>21557.329055999999</v>
      </c>
      <c r="BW290" s="12">
        <f>VLOOKUP(Sales[[#This Row],[Cnd]],Lookups!$A$76:$E$84,2,FALSE)</f>
        <v>197752.34721000001</v>
      </c>
      <c r="BX290" s="12">
        <f>Sales[[#This Row],[EffAge]]*Lookups!$B$85</f>
        <v>-12936.644829000001</v>
      </c>
      <c r="BY290" s="12">
        <f>Sales[[#This Row],[MainFn]]*Lookups!$B$86</f>
        <v>63243.09744256</v>
      </c>
      <c r="BZ290" s="12">
        <f>Sales[[#This Row],[UpprFn]]*Lookups!$B$87</f>
        <v>22841.07565911</v>
      </c>
      <c r="CA290" s="12">
        <f>Sales[[#This Row],[AddFn]]*Lookups!$B$88</f>
        <v>0</v>
      </c>
      <c r="CB290" s="12">
        <f>Sales[[#This Row],[Bsmt]]*Lookups!$B$89</f>
        <v>18321.594005610001</v>
      </c>
      <c r="CC290" s="12">
        <f>Sales[[#This Row],[Fixtures]]*Lookups!$B$90</f>
        <v>37920.221052000001</v>
      </c>
      <c r="CD290" s="12">
        <f>Sales[[#This Row],[WdDeck]]*Lookups!$B$91</f>
        <v>3595.9156498080001</v>
      </c>
      <c r="CE290" s="12">
        <f>SUM(Sales[[#This Row],[Days Prior Total]:[Mdl WdDeck]])</f>
        <v>380523.61725195893</v>
      </c>
      <c r="CF290" s="12">
        <f>ROUND(Sales[[#This Row],[25Det]],-2)</f>
        <v>9700</v>
      </c>
      <c r="CG290" s="12">
        <f>ROUND(SUM(Sales[[#This Row],[Mdl Qlty]:[Mdl WdDeck]])+Sales[[#This Row],[Mdl Res Intercept]]+Sales[[#This Row],[Days Prior Total]],-2)</f>
        <v>329900</v>
      </c>
      <c r="CH290" s="12">
        <f>ROUND(Sales[[#This Row],[Mdl Land Intercept]]+Sales[[#This Row],[Mdl LnAcres]],-2)</f>
        <v>50700</v>
      </c>
      <c r="CI290" s="12">
        <f>Sales[[#This Row],[Unadj Res Value]]+Sales[[#This Row],[Unadj Det Value]]+Sales[[#This Row],[Unadj Land Value]]</f>
        <v>390300</v>
      </c>
      <c r="CJ290" s="13">
        <f>Sales[[#This Row],[Unadj Total Value]]/Sales[[#This Row],[Price]]</f>
        <v>1.0548648648648649</v>
      </c>
      <c r="CK290" s="13">
        <f>(Sales[[#This Row],[Unadj Total Value]]-Sales[[#This Row],[24Final]])/Sales[[#This Row],[24Final]]</f>
        <v>3.0840400925212026E-3</v>
      </c>
      <c r="CL290">
        <f>VLOOKUP(Sales[[#This Row],[TNbhd]],Lookups!$Q$2:$T$4,4,FALSE)</f>
        <v>0.99970000000000003</v>
      </c>
      <c r="CM290">
        <f>VLOOKUP(Sales[[#This Row],[Qlty]],Lookups!$O$7:$R$21,4,FALSE)</f>
        <v>1.0067999999999999</v>
      </c>
      <c r="CN290">
        <f>VLOOKUP(Sales[[#This Row],[Cnd]],Lookups!$T$7:$W$16,4,FALSE)</f>
        <v>0.99650000000000005</v>
      </c>
      <c r="CO290">
        <f>VLOOKUP(Sales[[#This Row],[LivArea Range]],Lookups!$T$25:$W$37,4,FALSE)</f>
        <v>0.98919999999999997</v>
      </c>
      <c r="CP290">
        <f>VLOOKUP(Sales[[#This Row],[Decade]],Lookups!$O$25:$R$42,4,FALSE)</f>
        <v>0.96040000000000003</v>
      </c>
      <c r="CQ290">
        <f>Sales[[#This Row],[Nbhd Adj]]*0.95</f>
        <v>0.94971499999999998</v>
      </c>
      <c r="CR290">
        <f>Sales[[#This Row],[Nbhd Adj]]*Sales[[#This Row],[Quality Adj]]*Sales[[#This Row],[Condition Adj]]*Sales[[#This Row],[Living Area Adj]]*Sales[[#This Row],[Decade Adj]]*0.95</f>
        <v>0.90521150770515979</v>
      </c>
      <c r="CS290">
        <f>ROUND(SUM(Sales[[#This Row],[Mdl Qlty]:[Mdl WdDeck]])+Sales[[#This Row],[Mdl Res Intercept]]*Sales[[#This Row],[Res Adj ]],-2)</f>
        <v>352300</v>
      </c>
      <c r="CT290">
        <f>ROUND(Sales[[#This Row],[25Det]]*Sales[[#This Row],[Det/Nbhd Adj]],-2)</f>
        <v>9200</v>
      </c>
      <c r="CU290">
        <f>Sales[[#This Row],[Adjusted Res]]+Sales[[#This Row],[Adj Det ]]</f>
        <v>361500</v>
      </c>
      <c r="CV290">
        <f>ROUND((Sales[[#This Row],[Mdl Land Intercept]]+Sales[[#This Row],[Mdl LnAcres]])*Sales[[#This Row],[Det/Nbhd Adj]],-2)</f>
        <v>48100</v>
      </c>
      <c r="CW290">
        <f>Sales[[#This Row],[Adjusted Impr Total]]+Sales[[#This Row],[Adjusted Land Total]]</f>
        <v>409600</v>
      </c>
      <c r="CX290" s="15">
        <f>IFERROR((Sales[[#This Row],[Adjusted Impr Total]]-Sales[[#This Row],[24Bldg]])/Sales[[#This Row],[24Bldg]],0)</f>
        <v>0.13786591123701605</v>
      </c>
      <c r="CY290" s="15">
        <f>(Sales[[#This Row],[Adjusted Land Total]]-Sales[[#This Row],[24Lnd]])/Sales[[#This Row],[24Lnd]]</f>
        <v>-0.32633053221288516</v>
      </c>
      <c r="CZ290" s="15">
        <f>(Sales[[#This Row],[Adjusted Total]]-Sales[[#This Row],[24Final]])/Sales[[#This Row],[24Final]]</f>
        <v>5.268568491390388E-2</v>
      </c>
      <c r="DA290" s="15">
        <f>(Sales[[#This Row],[Adjusted Total]]+Sales[[#This Row],[Days Prior Total]])/Sales[[#This Row],[Price]]</f>
        <v>1.0463851175425405</v>
      </c>
    </row>
    <row r="291" spans="1:105" x14ac:dyDescent="0.3">
      <c r="A291">
        <v>2025</v>
      </c>
      <c r="B291">
        <v>18132331436</v>
      </c>
      <c r="C291">
        <v>-1.8971199848858813</v>
      </c>
      <c r="D291">
        <v>0.15</v>
      </c>
      <c r="E291">
        <v>0</v>
      </c>
      <c r="F291">
        <v>6</v>
      </c>
      <c r="G291" t="s">
        <v>126</v>
      </c>
      <c r="H291">
        <v>3032</v>
      </c>
      <c r="I291" t="s">
        <v>349</v>
      </c>
      <c r="J291" t="s">
        <v>30</v>
      </c>
      <c r="K291">
        <v>11</v>
      </c>
      <c r="L291">
        <v>259</v>
      </c>
      <c r="M291" t="s">
        <v>269</v>
      </c>
      <c r="N291" t="s">
        <v>351</v>
      </c>
      <c r="O291" t="s">
        <v>303</v>
      </c>
      <c r="P291">
        <v>110</v>
      </c>
      <c r="Q291">
        <v>1920</v>
      </c>
      <c r="R291">
        <v>1966</v>
      </c>
      <c r="S291">
        <v>104</v>
      </c>
      <c r="T291">
        <v>58</v>
      </c>
      <c r="U291">
        <v>1</v>
      </c>
      <c r="V291">
        <v>952</v>
      </c>
      <c r="W291">
        <v>0</v>
      </c>
      <c r="X291">
        <v>0</v>
      </c>
      <c r="Y291">
        <v>392</v>
      </c>
      <c r="Z291">
        <v>0</v>
      </c>
      <c r="AA291">
        <v>392</v>
      </c>
      <c r="AB291">
        <v>1344</v>
      </c>
      <c r="AC291">
        <v>1500</v>
      </c>
      <c r="AD291">
        <v>0</v>
      </c>
      <c r="AF291" t="s">
        <v>383</v>
      </c>
      <c r="AG291" t="s">
        <v>148</v>
      </c>
      <c r="AH291" t="s">
        <v>450</v>
      </c>
      <c r="AI291">
        <v>0</v>
      </c>
      <c r="AJ291">
        <v>2</v>
      </c>
      <c r="AK291">
        <v>0</v>
      </c>
      <c r="AL291">
        <v>0</v>
      </c>
      <c r="AM291">
        <v>0</v>
      </c>
      <c r="AN291">
        <v>5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100</v>
      </c>
      <c r="AV291">
        <v>100</v>
      </c>
      <c r="AW291">
        <v>192824</v>
      </c>
      <c r="AX291">
        <v>138833</v>
      </c>
      <c r="AY291">
        <v>585</v>
      </c>
      <c r="AZ291">
        <v>365</v>
      </c>
      <c r="BA291">
        <v>220</v>
      </c>
      <c r="BB291">
        <v>0</v>
      </c>
      <c r="BC291" s="3">
        <v>44707</v>
      </c>
      <c r="BD291" t="s">
        <v>105</v>
      </c>
      <c r="BE291">
        <v>267000</v>
      </c>
      <c r="BF291">
        <v>264616</v>
      </c>
      <c r="BG291" t="s">
        <v>294</v>
      </c>
      <c r="BH291">
        <v>30</v>
      </c>
      <c r="BI291" t="s">
        <v>65</v>
      </c>
      <c r="BJ291" t="s">
        <v>450</v>
      </c>
      <c r="BK291">
        <v>293300</v>
      </c>
      <c r="BL291">
        <v>48400</v>
      </c>
      <c r="BM291">
        <v>244900</v>
      </c>
      <c r="BN291">
        <v>2384</v>
      </c>
      <c r="BO291">
        <v>1.098501872659176</v>
      </c>
      <c r="BP291">
        <v>290340.87609456363</v>
      </c>
      <c r="BQ291">
        <v>313568.3200775758</v>
      </c>
      <c r="BR291" s="12">
        <f>(Sales[[#This Row],[DP1]]*Lookups!$B$59)+(Sales[[#This Row],[DP2]]*Lookups!$B$60)+(Sales[[#This Row],[DP3]]*Lookups!$B$61)</f>
        <v>-23227.443984609999</v>
      </c>
      <c r="BS291" s="12">
        <f>Lookups!$B$56*0</f>
        <v>0</v>
      </c>
      <c r="BT291" s="12">
        <f>Lookups!$B$56*1</f>
        <v>89850.625589999996</v>
      </c>
      <c r="BU291" s="12">
        <f>Lookups!$B$57*Sales[[#This Row],[LnAcres]]</f>
        <v>-60052.604136134301</v>
      </c>
      <c r="BV291" s="12">
        <f>VLOOKUP(Sales[[#This Row],[Qlty]],Lookups!$A$62:$E$75,2,FALSE)</f>
        <v>21557.329055999999</v>
      </c>
      <c r="BW291" s="12">
        <f>VLOOKUP(Sales[[#This Row],[Cnd]],Lookups!$A$76:$E$84,2,FALSE)</f>
        <v>197752.34721000001</v>
      </c>
      <c r="BX291" s="12">
        <f>Sales[[#This Row],[EffAge]]*Lookups!$B$85</f>
        <v>-12936.644829000001</v>
      </c>
      <c r="BY291" s="12">
        <f>Sales[[#This Row],[MainFn]]*Lookups!$B$86</f>
        <v>47037.053722903998</v>
      </c>
      <c r="BZ291" s="12">
        <f>Sales[[#This Row],[UpprFn]]*Lookups!$B$87</f>
        <v>0</v>
      </c>
      <c r="CA291" s="12">
        <f>Sales[[#This Row],[AddFn]]*Lookups!$B$88</f>
        <v>0</v>
      </c>
      <c r="CB291" s="12">
        <f>Sales[[#This Row],[Bsmt]]*Lookups!$B$89</f>
        <v>11400.102936824</v>
      </c>
      <c r="CC291" s="12">
        <f>Sales[[#This Row],[Fixtures]]*Lookups!$B$90</f>
        <v>18960.110526</v>
      </c>
      <c r="CD291" s="12">
        <f>Sales[[#This Row],[WdDeck]]*Lookups!$B$91</f>
        <v>0</v>
      </c>
      <c r="CE291" s="12">
        <f>SUM(Sales[[#This Row],[Days Prior Total]:[Mdl WdDeck]])</f>
        <v>290340.87609198369</v>
      </c>
      <c r="CF291" s="12">
        <f>ROUND(Sales[[#This Row],[25Det]],-2)</f>
        <v>2400</v>
      </c>
      <c r="CG291" s="12">
        <f>ROUND(SUM(Sales[[#This Row],[Mdl Qlty]:[Mdl WdDeck]])+Sales[[#This Row],[Mdl Res Intercept]]+Sales[[#This Row],[Days Prior Total]],-2)</f>
        <v>260500</v>
      </c>
      <c r="CH291" s="12">
        <f>ROUND(Sales[[#This Row],[Mdl Land Intercept]]+Sales[[#This Row],[Mdl LnAcres]],-2)</f>
        <v>29800</v>
      </c>
      <c r="CI291" s="12">
        <f>Sales[[#This Row],[Unadj Res Value]]+Sales[[#This Row],[Unadj Det Value]]+Sales[[#This Row],[Unadj Land Value]]</f>
        <v>292700</v>
      </c>
      <c r="CJ291" s="13">
        <f>Sales[[#This Row],[Unadj Total Value]]/Sales[[#This Row],[Price]]</f>
        <v>1.0962546816479402</v>
      </c>
      <c r="CK291" s="13">
        <f>(Sales[[#This Row],[Unadj Total Value]]-Sales[[#This Row],[24Final]])/Sales[[#This Row],[24Final]]</f>
        <v>-2.0456870098874871E-3</v>
      </c>
      <c r="CL291">
        <f>VLOOKUP(Sales[[#This Row],[TNbhd]],Lookups!$Q$2:$T$4,4,FALSE)</f>
        <v>0.99970000000000003</v>
      </c>
      <c r="CM291">
        <f>VLOOKUP(Sales[[#This Row],[Qlty]],Lookups!$O$7:$R$21,4,FALSE)</f>
        <v>1.0067999999999999</v>
      </c>
      <c r="CN291">
        <f>VLOOKUP(Sales[[#This Row],[Cnd]],Lookups!$T$7:$W$16,4,FALSE)</f>
        <v>0.99650000000000005</v>
      </c>
      <c r="CO291">
        <f>VLOOKUP(Sales[[#This Row],[LivArea Range]],Lookups!$T$25:$W$37,4,FALSE)</f>
        <v>1.0157</v>
      </c>
      <c r="CP291">
        <f>VLOOKUP(Sales[[#This Row],[Decade]],Lookups!$O$25:$R$42,4,FALSE)</f>
        <v>0.96040000000000003</v>
      </c>
      <c r="CQ291">
        <f>Sales[[#This Row],[Nbhd Adj]]*0.95</f>
        <v>0.94971499999999998</v>
      </c>
      <c r="CR291">
        <f>Sales[[#This Row],[Nbhd Adj]]*Sales[[#This Row],[Quality Adj]]*Sales[[#This Row],[Condition Adj]]*Sales[[#This Row],[Living Area Adj]]*Sales[[#This Row],[Decade Adj]]*0.95</f>
        <v>0.92946151271343602</v>
      </c>
      <c r="CS291">
        <f>ROUND(SUM(Sales[[#This Row],[Mdl Qlty]:[Mdl WdDeck]])+Sales[[#This Row],[Mdl Res Intercept]]*Sales[[#This Row],[Res Adj ]],-2)</f>
        <v>283800</v>
      </c>
      <c r="CT291">
        <f>ROUND(Sales[[#This Row],[25Det]]*Sales[[#This Row],[Det/Nbhd Adj]],-2)</f>
        <v>2300</v>
      </c>
      <c r="CU291">
        <f>Sales[[#This Row],[Adjusted Res]]+Sales[[#This Row],[Adj Det ]]</f>
        <v>286100</v>
      </c>
      <c r="CV291">
        <f>ROUND((Sales[[#This Row],[Mdl Land Intercept]]+Sales[[#This Row],[Mdl LnAcres]])*Sales[[#This Row],[Det/Nbhd Adj]],-2)</f>
        <v>28300</v>
      </c>
      <c r="CW291">
        <f>Sales[[#This Row],[Adjusted Impr Total]]+Sales[[#This Row],[Adjusted Land Total]]</f>
        <v>314400</v>
      </c>
      <c r="CX291" s="15">
        <f>IFERROR((Sales[[#This Row],[Adjusted Impr Total]]-Sales[[#This Row],[24Bldg]])/Sales[[#This Row],[24Bldg]],0)</f>
        <v>0.16823193140057166</v>
      </c>
      <c r="CY291" s="15">
        <f>(Sales[[#This Row],[Adjusted Land Total]]-Sales[[#This Row],[24Lnd]])/Sales[[#This Row],[24Lnd]]</f>
        <v>-0.41528925619834711</v>
      </c>
      <c r="CZ291" s="15">
        <f>(Sales[[#This Row],[Adjusted Total]]-Sales[[#This Row],[24Final]])/Sales[[#This Row],[24Final]]</f>
        <v>7.1939993181043299E-2</v>
      </c>
      <c r="DA291" s="15">
        <f>(Sales[[#This Row],[Adjusted Total]]+Sales[[#This Row],[Days Prior Total]])/Sales[[#This Row],[Price]]</f>
        <v>1.0905339176606366</v>
      </c>
    </row>
    <row r="292" spans="1:105" x14ac:dyDescent="0.3">
      <c r="A292">
        <v>2025</v>
      </c>
      <c r="B292">
        <v>18132331438</v>
      </c>
      <c r="C292">
        <v>-1.8971199848858813</v>
      </c>
      <c r="D292">
        <v>0.15</v>
      </c>
      <c r="E292">
        <v>0</v>
      </c>
      <c r="F292">
        <v>6</v>
      </c>
      <c r="G292" t="s">
        <v>126</v>
      </c>
      <c r="H292">
        <v>3033</v>
      </c>
      <c r="I292" t="s">
        <v>349</v>
      </c>
      <c r="J292" t="s">
        <v>30</v>
      </c>
      <c r="K292">
        <v>11</v>
      </c>
      <c r="L292">
        <v>259</v>
      </c>
      <c r="M292" t="s">
        <v>269</v>
      </c>
      <c r="N292" t="s">
        <v>351</v>
      </c>
      <c r="O292" t="s">
        <v>303</v>
      </c>
      <c r="P292">
        <v>110</v>
      </c>
      <c r="Q292">
        <v>1920</v>
      </c>
      <c r="R292">
        <v>1966</v>
      </c>
      <c r="S292">
        <v>104</v>
      </c>
      <c r="T292">
        <v>58</v>
      </c>
      <c r="U292">
        <v>1</v>
      </c>
      <c r="V292">
        <v>1294</v>
      </c>
      <c r="W292">
        <v>420</v>
      </c>
      <c r="X292">
        <v>320</v>
      </c>
      <c r="Y292">
        <v>320</v>
      </c>
      <c r="Z292">
        <v>0</v>
      </c>
      <c r="AA292">
        <v>320</v>
      </c>
      <c r="AB292">
        <v>2354</v>
      </c>
      <c r="AC292">
        <v>2500</v>
      </c>
      <c r="AD292">
        <v>2</v>
      </c>
      <c r="AF292" t="s">
        <v>383</v>
      </c>
      <c r="AG292" t="s">
        <v>148</v>
      </c>
      <c r="AI292">
        <v>0</v>
      </c>
      <c r="AJ292">
        <v>1</v>
      </c>
      <c r="AK292">
        <v>1</v>
      </c>
      <c r="AL292">
        <v>1</v>
      </c>
      <c r="AM292">
        <v>0</v>
      </c>
      <c r="AN292">
        <v>8</v>
      </c>
      <c r="AO292">
        <v>404</v>
      </c>
      <c r="AP292">
        <v>0</v>
      </c>
      <c r="AQ292">
        <v>0</v>
      </c>
      <c r="AR292">
        <v>0</v>
      </c>
      <c r="AS292">
        <v>112</v>
      </c>
      <c r="AT292">
        <v>112</v>
      </c>
      <c r="AU292">
        <v>100</v>
      </c>
      <c r="AV292">
        <v>100</v>
      </c>
      <c r="AW292">
        <v>321940</v>
      </c>
      <c r="AX292">
        <v>231797</v>
      </c>
      <c r="AY292">
        <v>833</v>
      </c>
      <c r="AZ292">
        <v>365</v>
      </c>
      <c r="BA292">
        <v>365</v>
      </c>
      <c r="BB292">
        <v>103</v>
      </c>
      <c r="BC292" s="3">
        <v>44459</v>
      </c>
      <c r="BD292" t="s">
        <v>102</v>
      </c>
      <c r="BE292">
        <v>320000</v>
      </c>
      <c r="BF292">
        <v>308486</v>
      </c>
      <c r="BG292" t="s">
        <v>294</v>
      </c>
      <c r="BH292">
        <v>30</v>
      </c>
      <c r="BI292" t="s">
        <v>65</v>
      </c>
      <c r="BJ292" t="s">
        <v>450</v>
      </c>
      <c r="BK292">
        <v>362200</v>
      </c>
      <c r="BL292">
        <v>48400</v>
      </c>
      <c r="BM292">
        <v>313800</v>
      </c>
      <c r="BN292">
        <v>11514</v>
      </c>
      <c r="BO292">
        <v>1.131875</v>
      </c>
      <c r="BP292">
        <v>344053.12685184524</v>
      </c>
      <c r="BQ292">
        <v>379388.84737138887</v>
      </c>
      <c r="BR292" s="12">
        <f>(Sales[[#This Row],[DP1]]*Lookups!$B$59)+(Sales[[#This Row],[DP2]]*Lookups!$B$60)+(Sales[[#This Row],[DP3]]*Lookups!$B$61)</f>
        <v>-35335.720523770004</v>
      </c>
      <c r="BS292" s="12">
        <f>Lookups!$B$56*0</f>
        <v>0</v>
      </c>
      <c r="BT292" s="12">
        <f>Lookups!$B$56*1</f>
        <v>89850.625589999996</v>
      </c>
      <c r="BU292" s="12">
        <f>Lookups!$B$57*Sales[[#This Row],[LnAcres]]</f>
        <v>-60052.604136134301</v>
      </c>
      <c r="BV292" s="12">
        <f>VLOOKUP(Sales[[#This Row],[Qlty]],Lookups!$A$62:$E$75,2,FALSE)</f>
        <v>21557.329055999999</v>
      </c>
      <c r="BW292" s="12">
        <f>VLOOKUP(Sales[[#This Row],[Cnd]],Lookups!$A$76:$E$84,2,FALSE)</f>
        <v>197752.34721000001</v>
      </c>
      <c r="BX292" s="12">
        <f>Sales[[#This Row],[EffAge]]*Lookups!$B$85</f>
        <v>-12936.644829000001</v>
      </c>
      <c r="BY292" s="12">
        <f>Sales[[#This Row],[MainFn]]*Lookups!$B$86</f>
        <v>63934.818820838002</v>
      </c>
      <c r="BZ292" s="12">
        <f>Sales[[#This Row],[UpprFn]]*Lookups!$B$87</f>
        <v>18810.297601620001</v>
      </c>
      <c r="CA292" s="12">
        <f>Sales[[#This Row],[AddFn]]*Lookups!$B$88</f>
        <v>20830.29473632</v>
      </c>
      <c r="CB292" s="12">
        <f>Sales[[#This Row],[Bsmt]]*Lookups!$B$89</f>
        <v>9306.20647904</v>
      </c>
      <c r="CC292" s="12">
        <f>Sales[[#This Row],[Fixtures]]*Lookups!$B$90</f>
        <v>30336.176841600001</v>
      </c>
      <c r="CD292" s="12">
        <f>Sales[[#This Row],[WdDeck]]*Lookups!$B$91</f>
        <v>0</v>
      </c>
      <c r="CE292" s="12">
        <f>SUM(Sales[[#This Row],[Days Prior Total]:[Mdl WdDeck]])</f>
        <v>344053.12684651365</v>
      </c>
      <c r="CF292" s="12">
        <f>ROUND(Sales[[#This Row],[25Det]],-2)</f>
        <v>11500</v>
      </c>
      <c r="CG292" s="12">
        <f>ROUND(SUM(Sales[[#This Row],[Mdl Qlty]:[Mdl WdDeck]])+Sales[[#This Row],[Mdl Res Intercept]]+Sales[[#This Row],[Days Prior Total]],-2)</f>
        <v>314300</v>
      </c>
      <c r="CH292" s="12">
        <f>ROUND(Sales[[#This Row],[Mdl Land Intercept]]+Sales[[#This Row],[Mdl LnAcres]],-2)</f>
        <v>29800</v>
      </c>
      <c r="CI292" s="12">
        <f>Sales[[#This Row],[Unadj Res Value]]+Sales[[#This Row],[Unadj Det Value]]+Sales[[#This Row],[Unadj Land Value]]</f>
        <v>355600</v>
      </c>
      <c r="CJ292" s="13">
        <f>Sales[[#This Row],[Unadj Total Value]]/Sales[[#This Row],[Price]]</f>
        <v>1.1112500000000001</v>
      </c>
      <c r="CK292" s="13">
        <f>(Sales[[#This Row],[Unadj Total Value]]-Sales[[#This Row],[24Final]])/Sales[[#This Row],[24Final]]</f>
        <v>-1.8221976808393152E-2</v>
      </c>
      <c r="CL292">
        <f>VLOOKUP(Sales[[#This Row],[TNbhd]],Lookups!$Q$2:$T$4,4,FALSE)</f>
        <v>0.99970000000000003</v>
      </c>
      <c r="CM292">
        <f>VLOOKUP(Sales[[#This Row],[Qlty]],Lookups!$O$7:$R$21,4,FALSE)</f>
        <v>1.0067999999999999</v>
      </c>
      <c r="CN292">
        <f>VLOOKUP(Sales[[#This Row],[Cnd]],Lookups!$T$7:$W$16,4,FALSE)</f>
        <v>0.99650000000000005</v>
      </c>
      <c r="CO292">
        <f>VLOOKUP(Sales[[#This Row],[LivArea Range]],Lookups!$T$25:$W$37,4,FALSE)</f>
        <v>0.98919999999999997</v>
      </c>
      <c r="CP292">
        <f>VLOOKUP(Sales[[#This Row],[Decade]],Lookups!$O$25:$R$42,4,FALSE)</f>
        <v>0.96040000000000003</v>
      </c>
      <c r="CQ292">
        <f>Sales[[#This Row],[Nbhd Adj]]*0.95</f>
        <v>0.94971499999999998</v>
      </c>
      <c r="CR292">
        <f>Sales[[#This Row],[Nbhd Adj]]*Sales[[#This Row],[Quality Adj]]*Sales[[#This Row],[Condition Adj]]*Sales[[#This Row],[Living Area Adj]]*Sales[[#This Row],[Decade Adj]]*0.95</f>
        <v>0.90521150770515979</v>
      </c>
      <c r="CS292">
        <f>ROUND(SUM(Sales[[#This Row],[Mdl Qlty]:[Mdl WdDeck]])+Sales[[#This Row],[Mdl Res Intercept]]*Sales[[#This Row],[Res Adj ]],-2)</f>
        <v>349600</v>
      </c>
      <c r="CT292">
        <f>ROUND(Sales[[#This Row],[25Det]]*Sales[[#This Row],[Det/Nbhd Adj]],-2)</f>
        <v>10900</v>
      </c>
      <c r="CU292">
        <f>Sales[[#This Row],[Adjusted Res]]+Sales[[#This Row],[Adj Det ]]</f>
        <v>360500</v>
      </c>
      <c r="CV292">
        <f>ROUND((Sales[[#This Row],[Mdl Land Intercept]]+Sales[[#This Row],[Mdl LnAcres]])*Sales[[#This Row],[Det/Nbhd Adj]],-2)</f>
        <v>28300</v>
      </c>
      <c r="CW292">
        <f>Sales[[#This Row],[Adjusted Impr Total]]+Sales[[#This Row],[Adjusted Land Total]]</f>
        <v>388800</v>
      </c>
      <c r="CX292" s="15">
        <f>IFERROR((Sales[[#This Row],[Adjusted Impr Total]]-Sales[[#This Row],[24Bldg]])/Sales[[#This Row],[24Bldg]],0)</f>
        <v>0.14882090503505419</v>
      </c>
      <c r="CY292" s="15">
        <f>(Sales[[#This Row],[Adjusted Land Total]]-Sales[[#This Row],[24Lnd]])/Sales[[#This Row],[24Lnd]]</f>
        <v>-0.41528925619834711</v>
      </c>
      <c r="CZ292" s="15">
        <f>(Sales[[#This Row],[Adjusted Total]]-Sales[[#This Row],[24Final]])/Sales[[#This Row],[24Final]]</f>
        <v>7.3440088348978472E-2</v>
      </c>
      <c r="DA292" s="15">
        <f>(Sales[[#This Row],[Adjusted Total]]+Sales[[#This Row],[Days Prior Total]])/Sales[[#This Row],[Price]]</f>
        <v>1.1045758733632187</v>
      </c>
    </row>
    <row r="293" spans="1:105" x14ac:dyDescent="0.3">
      <c r="A293">
        <v>2025</v>
      </c>
      <c r="B293">
        <v>18132324485</v>
      </c>
      <c r="C293">
        <v>-1.5141277326297755</v>
      </c>
      <c r="D293">
        <v>0.22</v>
      </c>
      <c r="E293">
        <v>0</v>
      </c>
      <c r="F293">
        <v>6</v>
      </c>
      <c r="G293" t="s">
        <v>126</v>
      </c>
      <c r="H293">
        <v>3033</v>
      </c>
      <c r="I293" t="s">
        <v>349</v>
      </c>
      <c r="J293" t="s">
        <v>30</v>
      </c>
      <c r="K293">
        <v>11</v>
      </c>
      <c r="L293">
        <v>259</v>
      </c>
      <c r="M293" t="s">
        <v>416</v>
      </c>
      <c r="N293" t="s">
        <v>351</v>
      </c>
      <c r="O293" t="s">
        <v>323</v>
      </c>
      <c r="P293">
        <v>110</v>
      </c>
      <c r="Q293">
        <v>1920</v>
      </c>
      <c r="R293">
        <v>1966</v>
      </c>
      <c r="S293">
        <v>104</v>
      </c>
      <c r="T293">
        <v>58</v>
      </c>
      <c r="U293">
        <v>2</v>
      </c>
      <c r="V293">
        <v>1349</v>
      </c>
      <c r="W293">
        <v>500</v>
      </c>
      <c r="X293">
        <v>0</v>
      </c>
      <c r="Y293">
        <v>485</v>
      </c>
      <c r="Z293">
        <v>485</v>
      </c>
      <c r="AA293">
        <v>0</v>
      </c>
      <c r="AB293">
        <v>1849</v>
      </c>
      <c r="AC293">
        <v>2000</v>
      </c>
      <c r="AD293">
        <v>0</v>
      </c>
      <c r="AF293" t="s">
        <v>383</v>
      </c>
      <c r="AG293" t="s">
        <v>148</v>
      </c>
      <c r="AI293">
        <v>0</v>
      </c>
      <c r="AJ293">
        <v>0</v>
      </c>
      <c r="AK293">
        <v>1</v>
      </c>
      <c r="AL293">
        <v>0</v>
      </c>
      <c r="AM293">
        <v>1</v>
      </c>
      <c r="AN293">
        <v>7</v>
      </c>
      <c r="AO293">
        <v>0</v>
      </c>
      <c r="AP293">
        <v>0</v>
      </c>
      <c r="AQ293">
        <v>0</v>
      </c>
      <c r="AR293">
        <v>0</v>
      </c>
      <c r="AS293">
        <v>248</v>
      </c>
      <c r="AT293">
        <v>168</v>
      </c>
      <c r="AU293">
        <v>100</v>
      </c>
      <c r="AV293">
        <v>100</v>
      </c>
      <c r="AW293">
        <v>263670</v>
      </c>
      <c r="AX293">
        <v>166112</v>
      </c>
      <c r="AY293">
        <v>340</v>
      </c>
      <c r="AZ293">
        <v>340</v>
      </c>
      <c r="BA293">
        <v>0</v>
      </c>
      <c r="BB293">
        <v>0</v>
      </c>
      <c r="BC293" s="3">
        <v>44952</v>
      </c>
      <c r="BD293" t="s">
        <v>359</v>
      </c>
      <c r="BE293">
        <v>290000</v>
      </c>
      <c r="BF293">
        <v>283214</v>
      </c>
      <c r="BG293" t="s">
        <v>294</v>
      </c>
      <c r="BH293">
        <v>30</v>
      </c>
      <c r="BI293" t="s">
        <v>65</v>
      </c>
      <c r="BJ293" t="s">
        <v>450</v>
      </c>
      <c r="BK293">
        <v>334700</v>
      </c>
      <c r="BL293">
        <v>61700</v>
      </c>
      <c r="BM293">
        <v>273000</v>
      </c>
      <c r="BN293">
        <v>6786</v>
      </c>
      <c r="BO293">
        <v>1.1541379310344828</v>
      </c>
      <c r="BP293">
        <v>316718.97563999193</v>
      </c>
      <c r="BQ293">
        <v>340708.76247235597</v>
      </c>
      <c r="BR293" s="12">
        <f>(Sales[[#This Row],[DP1]]*Lookups!$B$59)+(Sales[[#This Row],[DP2]]*Lookups!$B$60)+(Sales[[#This Row],[DP3]]*Lookups!$B$61)</f>
        <v>-23989.786833800001</v>
      </c>
      <c r="BS293" s="12">
        <f>Lookups!$B$56*0</f>
        <v>0</v>
      </c>
      <c r="BT293" s="12">
        <f>Lookups!$B$56*1</f>
        <v>89850.625589999996</v>
      </c>
      <c r="BU293" s="12">
        <f>Lookups!$B$57*Sales[[#This Row],[LnAcres]]</f>
        <v>-47929.131559187132</v>
      </c>
      <c r="BV293" s="12">
        <f>VLOOKUP(Sales[[#This Row],[Qlty]],Lookups!$A$62:$E$75,2,FALSE)</f>
        <v>21557.329055999999</v>
      </c>
      <c r="BW293" s="12">
        <f>VLOOKUP(Sales[[#This Row],[Cnd]],Lookups!$A$76:$E$84,2,FALSE)</f>
        <v>160472.20319</v>
      </c>
      <c r="BX293" s="12">
        <f>Sales[[#This Row],[EffAge]]*Lookups!$B$85</f>
        <v>-12936.644829000001</v>
      </c>
      <c r="BY293" s="12">
        <f>Sales[[#This Row],[MainFn]]*Lookups!$B$86</f>
        <v>66652.295664072997</v>
      </c>
      <c r="BZ293" s="12">
        <f>Sales[[#This Row],[UpprFn]]*Lookups!$B$87</f>
        <v>22393.2114305</v>
      </c>
      <c r="CA293" s="12">
        <f>Sales[[#This Row],[AddFn]]*Lookups!$B$88</f>
        <v>0</v>
      </c>
      <c r="CB293" s="12">
        <f>Sales[[#This Row],[Bsmt]]*Lookups!$B$89</f>
        <v>14104.719194795</v>
      </c>
      <c r="CC293" s="12">
        <f>Sales[[#This Row],[Fixtures]]*Lookups!$B$90</f>
        <v>26544.1547364</v>
      </c>
      <c r="CD293" s="12">
        <f>Sales[[#This Row],[WdDeck]]*Lookups!$B$91</f>
        <v>0</v>
      </c>
      <c r="CE293" s="12">
        <f>SUM(Sales[[#This Row],[Days Prior Total]:[Mdl WdDeck]])</f>
        <v>316718.97563978087</v>
      </c>
      <c r="CF293" s="12">
        <f>ROUND(Sales[[#This Row],[25Det]],-2)</f>
        <v>6800</v>
      </c>
      <c r="CG293" s="12">
        <f>ROUND(SUM(Sales[[#This Row],[Mdl Qlty]:[Mdl WdDeck]])+Sales[[#This Row],[Mdl Res Intercept]]+Sales[[#This Row],[Days Prior Total]],-2)</f>
        <v>274800</v>
      </c>
      <c r="CH293" s="12">
        <f>ROUND(Sales[[#This Row],[Mdl Land Intercept]]+Sales[[#This Row],[Mdl LnAcres]],-2)</f>
        <v>41900</v>
      </c>
      <c r="CI293" s="12">
        <f>Sales[[#This Row],[Unadj Res Value]]+Sales[[#This Row],[Unadj Det Value]]+Sales[[#This Row],[Unadj Land Value]]</f>
        <v>323500</v>
      </c>
      <c r="CJ293" s="13">
        <f>Sales[[#This Row],[Unadj Total Value]]/Sales[[#This Row],[Price]]</f>
        <v>1.1155172413793104</v>
      </c>
      <c r="CK293" s="13">
        <f>(Sales[[#This Row],[Unadj Total Value]]-Sales[[#This Row],[24Final]])/Sales[[#This Row],[24Final]]</f>
        <v>-3.3462802509710191E-2</v>
      </c>
      <c r="CL293">
        <f>VLOOKUP(Sales[[#This Row],[TNbhd]],Lookups!$Q$2:$T$4,4,FALSE)</f>
        <v>0.99970000000000003</v>
      </c>
      <c r="CM293">
        <f>VLOOKUP(Sales[[#This Row],[Qlty]],Lookups!$O$7:$R$21,4,FALSE)</f>
        <v>1.0067999999999999</v>
      </c>
      <c r="CN293">
        <f>VLOOKUP(Sales[[#This Row],[Cnd]],Lookups!$T$7:$W$16,4,FALSE)</f>
        <v>0.99729999999999996</v>
      </c>
      <c r="CO293">
        <f>VLOOKUP(Sales[[#This Row],[LivArea Range]],Lookups!$T$25:$W$37,4,FALSE)</f>
        <v>1.0093000000000001</v>
      </c>
      <c r="CP293">
        <f>VLOOKUP(Sales[[#This Row],[Decade]],Lookups!$O$25:$R$42,4,FALSE)</f>
        <v>0.96040000000000003</v>
      </c>
      <c r="CQ293">
        <f>Sales[[#This Row],[Nbhd Adj]]*0.95</f>
        <v>0.94971499999999998</v>
      </c>
      <c r="CR293">
        <f>Sales[[#This Row],[Nbhd Adj]]*Sales[[#This Row],[Quality Adj]]*Sales[[#This Row],[Condition Adj]]*Sales[[#This Row],[Living Area Adj]]*Sales[[#This Row],[Decade Adj]]*0.95</f>
        <v>0.92434638683335013</v>
      </c>
      <c r="CS293">
        <f>ROUND(SUM(Sales[[#This Row],[Mdl Qlty]:[Mdl WdDeck]])+Sales[[#This Row],[Mdl Res Intercept]]*Sales[[#This Row],[Res Adj ]],-2)</f>
        <v>298800</v>
      </c>
      <c r="CT293">
        <f>ROUND(Sales[[#This Row],[25Det]]*Sales[[#This Row],[Det/Nbhd Adj]],-2)</f>
        <v>6400</v>
      </c>
      <c r="CU293">
        <f>Sales[[#This Row],[Adjusted Res]]+Sales[[#This Row],[Adj Det ]]</f>
        <v>305200</v>
      </c>
      <c r="CV293">
        <f>ROUND((Sales[[#This Row],[Mdl Land Intercept]]+Sales[[#This Row],[Mdl LnAcres]])*Sales[[#This Row],[Det/Nbhd Adj]],-2)</f>
        <v>39800</v>
      </c>
      <c r="CW293">
        <f>Sales[[#This Row],[Adjusted Impr Total]]+Sales[[#This Row],[Adjusted Land Total]]</f>
        <v>345000</v>
      </c>
      <c r="CX293" s="15">
        <f>IFERROR((Sales[[#This Row],[Adjusted Impr Total]]-Sales[[#This Row],[24Bldg]])/Sales[[#This Row],[24Bldg]],0)</f>
        <v>0.11794871794871795</v>
      </c>
      <c r="CY293" s="15">
        <f>(Sales[[#This Row],[Adjusted Land Total]]-Sales[[#This Row],[24Lnd]])/Sales[[#This Row],[24Lnd]]</f>
        <v>-0.35494327390599678</v>
      </c>
      <c r="CZ293" s="15">
        <f>(Sales[[#This Row],[Adjusted Total]]-Sales[[#This Row],[24Final]])/Sales[[#This Row],[24Final]]</f>
        <v>3.0773827308037047E-2</v>
      </c>
      <c r="DA293" s="15">
        <f>(Sales[[#This Row],[Adjusted Total]]+Sales[[#This Row],[Days Prior Total]])/Sales[[#This Row],[Price]]</f>
        <v>1.1069317695386205</v>
      </c>
    </row>
    <row r="294" spans="1:105" x14ac:dyDescent="0.3">
      <c r="A294">
        <v>2025</v>
      </c>
      <c r="B294">
        <v>18132344473</v>
      </c>
      <c r="C294">
        <v>-1.8971199848858813</v>
      </c>
      <c r="D294">
        <v>0.15</v>
      </c>
      <c r="E294">
        <v>0</v>
      </c>
      <c r="F294">
        <v>6</v>
      </c>
      <c r="G294" t="s">
        <v>126</v>
      </c>
      <c r="H294" t="s">
        <v>349</v>
      </c>
      <c r="I294" t="s">
        <v>349</v>
      </c>
      <c r="J294" t="s">
        <v>30</v>
      </c>
      <c r="K294">
        <v>11</v>
      </c>
      <c r="L294">
        <v>259</v>
      </c>
      <c r="M294" t="s">
        <v>173</v>
      </c>
      <c r="N294" t="s">
        <v>351</v>
      </c>
      <c r="O294" t="s">
        <v>303</v>
      </c>
      <c r="P294">
        <v>110</v>
      </c>
      <c r="Q294">
        <v>1920</v>
      </c>
      <c r="R294">
        <v>1966</v>
      </c>
      <c r="S294">
        <v>104</v>
      </c>
      <c r="T294">
        <v>58</v>
      </c>
      <c r="U294">
        <v>1</v>
      </c>
      <c r="V294">
        <v>1320</v>
      </c>
      <c r="W294">
        <v>0</v>
      </c>
      <c r="X294">
        <v>0</v>
      </c>
      <c r="Y294">
        <v>1320</v>
      </c>
      <c r="Z294">
        <v>330</v>
      </c>
      <c r="AA294">
        <v>990</v>
      </c>
      <c r="AB294">
        <v>2310</v>
      </c>
      <c r="AC294">
        <v>2500</v>
      </c>
      <c r="AD294">
        <v>0</v>
      </c>
      <c r="AF294" t="s">
        <v>208</v>
      </c>
      <c r="AG294" t="s">
        <v>382</v>
      </c>
      <c r="AI294">
        <v>0</v>
      </c>
      <c r="AJ294">
        <v>1</v>
      </c>
      <c r="AK294">
        <v>0</v>
      </c>
      <c r="AL294">
        <v>0</v>
      </c>
      <c r="AM294">
        <v>0</v>
      </c>
      <c r="AN294">
        <v>12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100</v>
      </c>
      <c r="AV294">
        <v>100</v>
      </c>
      <c r="AW294">
        <v>274926</v>
      </c>
      <c r="AX294">
        <v>173203</v>
      </c>
      <c r="AY294">
        <v>145</v>
      </c>
      <c r="AZ294">
        <v>145</v>
      </c>
      <c r="BA294">
        <v>0</v>
      </c>
      <c r="BB294">
        <v>0</v>
      </c>
      <c r="BC294" s="3">
        <v>45147</v>
      </c>
      <c r="BD294" t="s">
        <v>135</v>
      </c>
      <c r="BE294">
        <v>345000</v>
      </c>
      <c r="BF294">
        <v>334973</v>
      </c>
      <c r="BG294" t="s">
        <v>294</v>
      </c>
      <c r="BH294">
        <v>30</v>
      </c>
      <c r="BI294" t="s">
        <v>65</v>
      </c>
      <c r="BJ294" t="s">
        <v>450</v>
      </c>
      <c r="BK294">
        <v>329400</v>
      </c>
      <c r="BL294">
        <v>48400</v>
      </c>
      <c r="BM294">
        <v>281000</v>
      </c>
      <c r="BN294">
        <v>10027</v>
      </c>
      <c r="BO294">
        <v>0.95478260869565212</v>
      </c>
      <c r="BP294">
        <v>375051.92561645096</v>
      </c>
      <c r="BQ294">
        <v>385282.86411848851</v>
      </c>
      <c r="BR294" s="12">
        <f>(Sales[[#This Row],[DP1]]*Lookups!$B$59)+(Sales[[#This Row],[DP2]]*Lookups!$B$60)+(Sales[[#This Row],[DP3]]*Lookups!$B$61)</f>
        <v>-10230.93850265</v>
      </c>
      <c r="BS294" s="12">
        <f>Lookups!$B$56*0</f>
        <v>0</v>
      </c>
      <c r="BT294" s="12">
        <f>Lookups!$B$56*1</f>
        <v>89850.625589999996</v>
      </c>
      <c r="BU294" s="12">
        <f>Lookups!$B$57*Sales[[#This Row],[LnAcres]]</f>
        <v>-60052.604136134301</v>
      </c>
      <c r="BV294" s="12">
        <f>VLOOKUP(Sales[[#This Row],[Qlty]],Lookups!$A$62:$E$75,2,FALSE)</f>
        <v>21557.329055999999</v>
      </c>
      <c r="BW294" s="12">
        <f>VLOOKUP(Sales[[#This Row],[Cnd]],Lookups!$A$76:$E$84,2,FALSE)</f>
        <v>197752.34721000001</v>
      </c>
      <c r="BX294" s="12">
        <f>Sales[[#This Row],[EffAge]]*Lookups!$B$85</f>
        <v>-12936.644829000001</v>
      </c>
      <c r="BY294" s="12">
        <f>Sales[[#This Row],[MainFn]]*Lookups!$B$86</f>
        <v>65219.444237640004</v>
      </c>
      <c r="BZ294" s="12">
        <f>Sales[[#This Row],[UpprFn]]*Lookups!$B$87</f>
        <v>0</v>
      </c>
      <c r="CA294" s="12">
        <f>Sales[[#This Row],[AddFn]]*Lookups!$B$88</f>
        <v>0</v>
      </c>
      <c r="CB294" s="12">
        <f>Sales[[#This Row],[Bsmt]]*Lookups!$B$89</f>
        <v>38388.101726039997</v>
      </c>
      <c r="CC294" s="12">
        <f>Sales[[#This Row],[Fixtures]]*Lookups!$B$90</f>
        <v>45504.265262400004</v>
      </c>
      <c r="CD294" s="12">
        <f>Sales[[#This Row],[WdDeck]]*Lookups!$B$91</f>
        <v>0</v>
      </c>
      <c r="CE294" s="12">
        <f>SUM(Sales[[#This Row],[Days Prior Total]:[Mdl WdDeck]])</f>
        <v>375051.92561429576</v>
      </c>
      <c r="CF294" s="12">
        <f>ROUND(Sales[[#This Row],[25Det]],-2)</f>
        <v>10000</v>
      </c>
      <c r="CG294" s="12">
        <f>ROUND(SUM(Sales[[#This Row],[Mdl Qlty]:[Mdl WdDeck]])+Sales[[#This Row],[Mdl Res Intercept]]+Sales[[#This Row],[Days Prior Total]],-2)</f>
        <v>345300</v>
      </c>
      <c r="CH294" s="12">
        <f>ROUND(Sales[[#This Row],[Mdl Land Intercept]]+Sales[[#This Row],[Mdl LnAcres]],-2)</f>
        <v>29800</v>
      </c>
      <c r="CI294" s="12">
        <f>Sales[[#This Row],[Unadj Res Value]]+Sales[[#This Row],[Unadj Det Value]]+Sales[[#This Row],[Unadj Land Value]]</f>
        <v>385100</v>
      </c>
      <c r="CJ294" s="13">
        <f>Sales[[#This Row],[Unadj Total Value]]/Sales[[#This Row],[Price]]</f>
        <v>1.116231884057971</v>
      </c>
      <c r="CK294" s="13">
        <f>(Sales[[#This Row],[Unadj Total Value]]-Sales[[#This Row],[24Final]])/Sales[[#This Row],[24Final]]</f>
        <v>0.16909532483302975</v>
      </c>
      <c r="CL294">
        <f>VLOOKUP(Sales[[#This Row],[TNbhd]],Lookups!$Q$2:$T$4,4,FALSE)</f>
        <v>0.99970000000000003</v>
      </c>
      <c r="CM294">
        <f>VLOOKUP(Sales[[#This Row],[Qlty]],Lookups!$O$7:$R$21,4,FALSE)</f>
        <v>1.0067999999999999</v>
      </c>
      <c r="CN294">
        <f>VLOOKUP(Sales[[#This Row],[Cnd]],Lookups!$T$7:$W$16,4,FALSE)</f>
        <v>0.99650000000000005</v>
      </c>
      <c r="CO294">
        <f>VLOOKUP(Sales[[#This Row],[LivArea Range]],Lookups!$T$25:$W$37,4,FALSE)</f>
        <v>0.98919999999999997</v>
      </c>
      <c r="CP294">
        <f>VLOOKUP(Sales[[#This Row],[Decade]],Lookups!$O$25:$R$42,4,FALSE)</f>
        <v>0.96040000000000003</v>
      </c>
      <c r="CQ294">
        <f>Sales[[#This Row],[Nbhd Adj]]*0.95</f>
        <v>0.94971499999999998</v>
      </c>
      <c r="CR294">
        <f>Sales[[#This Row],[Nbhd Adj]]*Sales[[#This Row],[Quality Adj]]*Sales[[#This Row],[Condition Adj]]*Sales[[#This Row],[Living Area Adj]]*Sales[[#This Row],[Decade Adj]]*0.95</f>
        <v>0.90521150770515979</v>
      </c>
      <c r="CS294">
        <f>ROUND(SUM(Sales[[#This Row],[Mdl Qlty]:[Mdl WdDeck]])+Sales[[#This Row],[Mdl Res Intercept]]*Sales[[#This Row],[Res Adj ]],-2)</f>
        <v>355500</v>
      </c>
      <c r="CT294">
        <f>ROUND(Sales[[#This Row],[25Det]]*Sales[[#This Row],[Det/Nbhd Adj]],-2)</f>
        <v>9500</v>
      </c>
      <c r="CU294">
        <f>Sales[[#This Row],[Adjusted Res]]+Sales[[#This Row],[Adj Det ]]</f>
        <v>365000</v>
      </c>
      <c r="CV294">
        <f>ROUND((Sales[[#This Row],[Mdl Land Intercept]]+Sales[[#This Row],[Mdl LnAcres]])*Sales[[#This Row],[Det/Nbhd Adj]],-2)</f>
        <v>28300</v>
      </c>
      <c r="CW294">
        <f>Sales[[#This Row],[Adjusted Impr Total]]+Sales[[#This Row],[Adjusted Land Total]]</f>
        <v>393300</v>
      </c>
      <c r="CX294" s="15">
        <f>IFERROR((Sales[[#This Row],[Adjusted Impr Total]]-Sales[[#This Row],[24Bldg]])/Sales[[#This Row],[24Bldg]],0)</f>
        <v>0.29893238434163699</v>
      </c>
      <c r="CY294" s="15">
        <f>(Sales[[#This Row],[Adjusted Land Total]]-Sales[[#This Row],[24Lnd]])/Sales[[#This Row],[24Lnd]]</f>
        <v>-0.41528925619834711</v>
      </c>
      <c r="CZ294" s="15">
        <f>(Sales[[#This Row],[Adjusted Total]]-Sales[[#This Row],[24Final]])/Sales[[#This Row],[24Final]]</f>
        <v>0.19398907103825136</v>
      </c>
      <c r="DA294" s="15">
        <f>(Sales[[#This Row],[Adjusted Total]]+Sales[[#This Row],[Days Prior Total]])/Sales[[#This Row],[Price]]</f>
        <v>1.1103451057894203</v>
      </c>
    </row>
    <row r="295" spans="1:105" x14ac:dyDescent="0.3">
      <c r="A295">
        <v>2025</v>
      </c>
      <c r="B295">
        <v>18132324476</v>
      </c>
      <c r="C295">
        <v>-1.8325814637483102</v>
      </c>
      <c r="D295">
        <v>0.16</v>
      </c>
      <c r="E295">
        <v>0</v>
      </c>
      <c r="F295">
        <v>6</v>
      </c>
      <c r="G295" t="s">
        <v>126</v>
      </c>
      <c r="H295">
        <v>3033</v>
      </c>
      <c r="I295" t="s">
        <v>349</v>
      </c>
      <c r="J295" t="s">
        <v>30</v>
      </c>
      <c r="K295">
        <v>11</v>
      </c>
      <c r="L295">
        <v>259</v>
      </c>
      <c r="M295" t="s">
        <v>242</v>
      </c>
      <c r="N295" t="s">
        <v>302</v>
      </c>
      <c r="O295" t="s">
        <v>323</v>
      </c>
      <c r="P295">
        <v>110</v>
      </c>
      <c r="Q295">
        <v>1920</v>
      </c>
      <c r="R295">
        <v>1966</v>
      </c>
      <c r="S295">
        <v>104</v>
      </c>
      <c r="T295">
        <v>58</v>
      </c>
      <c r="U295">
        <v>1</v>
      </c>
      <c r="V295">
        <v>1194</v>
      </c>
      <c r="W295">
        <v>0</v>
      </c>
      <c r="X295">
        <v>0</v>
      </c>
      <c r="Y295">
        <v>1194</v>
      </c>
      <c r="Z295">
        <v>0</v>
      </c>
      <c r="AA295">
        <v>1194</v>
      </c>
      <c r="AB295">
        <v>2388</v>
      </c>
      <c r="AC295">
        <v>2500</v>
      </c>
      <c r="AD295">
        <v>1</v>
      </c>
      <c r="AF295" t="s">
        <v>383</v>
      </c>
      <c r="AG295" t="s">
        <v>148</v>
      </c>
      <c r="AH295" t="s">
        <v>450</v>
      </c>
      <c r="AI295">
        <v>0</v>
      </c>
      <c r="AJ295">
        <v>1</v>
      </c>
      <c r="AK295">
        <v>0</v>
      </c>
      <c r="AL295">
        <v>1</v>
      </c>
      <c r="AM295">
        <v>0</v>
      </c>
      <c r="AN295">
        <v>8</v>
      </c>
      <c r="AO295">
        <v>240</v>
      </c>
      <c r="AP295">
        <v>0</v>
      </c>
      <c r="AQ295">
        <v>0</v>
      </c>
      <c r="AR295">
        <v>0</v>
      </c>
      <c r="AS295">
        <v>302</v>
      </c>
      <c r="AT295">
        <v>0</v>
      </c>
      <c r="AU295">
        <v>100</v>
      </c>
      <c r="AV295">
        <v>100</v>
      </c>
      <c r="AW295">
        <v>319537</v>
      </c>
      <c r="AX295">
        <v>201308</v>
      </c>
      <c r="AY295">
        <v>355</v>
      </c>
      <c r="AZ295">
        <v>355</v>
      </c>
      <c r="BA295">
        <v>0</v>
      </c>
      <c r="BB295">
        <v>0</v>
      </c>
      <c r="BC295" s="3">
        <v>44937</v>
      </c>
      <c r="BD295" t="s">
        <v>365</v>
      </c>
      <c r="BE295">
        <v>270000</v>
      </c>
      <c r="BF295">
        <v>270000</v>
      </c>
      <c r="BG295" t="s">
        <v>294</v>
      </c>
      <c r="BH295">
        <v>30</v>
      </c>
      <c r="BI295" t="s">
        <v>65</v>
      </c>
      <c r="BJ295" t="s">
        <v>450</v>
      </c>
      <c r="BK295">
        <v>329700</v>
      </c>
      <c r="BL295">
        <v>50600</v>
      </c>
      <c r="BM295">
        <v>279100</v>
      </c>
      <c r="BN295">
        <v>0</v>
      </c>
      <c r="BO295">
        <v>1.221111111111111</v>
      </c>
      <c r="BP295">
        <v>308196.36688082671</v>
      </c>
      <c r="BQ295">
        <v>333244.52666167734</v>
      </c>
      <c r="BR295" s="12">
        <f>(Sales[[#This Row],[DP1]]*Lookups!$B$59)+(Sales[[#This Row],[DP2]]*Lookups!$B$60)+(Sales[[#This Row],[DP3]]*Lookups!$B$61)</f>
        <v>-25048.159782350001</v>
      </c>
      <c r="BS295" s="12">
        <f>Lookups!$B$56*0</f>
        <v>0</v>
      </c>
      <c r="BT295" s="12">
        <f>Lookups!$B$56*1</f>
        <v>89850.625589999996</v>
      </c>
      <c r="BU295" s="12">
        <f>Lookups!$B$57*Sales[[#This Row],[LnAcres]]</f>
        <v>-58009.662049032086</v>
      </c>
      <c r="BV295" s="12">
        <f>VLOOKUP(Sales[[#This Row],[Qlty]],Lookups!$A$62:$E$75,2,FALSE)</f>
        <v>29814.093161000001</v>
      </c>
      <c r="BW295" s="12">
        <f>VLOOKUP(Sales[[#This Row],[Cnd]],Lookups!$A$76:$E$84,2,FALSE)</f>
        <v>160472.20319</v>
      </c>
      <c r="BX295" s="12">
        <f>Sales[[#This Row],[EffAge]]*Lookups!$B$85</f>
        <v>-12936.644829000001</v>
      </c>
      <c r="BY295" s="12">
        <f>Sales[[#This Row],[MainFn]]*Lookups!$B$86</f>
        <v>58993.951833138002</v>
      </c>
      <c r="BZ295" s="12">
        <f>Sales[[#This Row],[UpprFn]]*Lookups!$B$87</f>
        <v>0</v>
      </c>
      <c r="CA295" s="12">
        <f>Sales[[#This Row],[AddFn]]*Lookups!$B$88</f>
        <v>0</v>
      </c>
      <c r="CB295" s="12">
        <f>Sales[[#This Row],[Bsmt]]*Lookups!$B$89</f>
        <v>34723.782924917999</v>
      </c>
      <c r="CC295" s="12">
        <f>Sales[[#This Row],[Fixtures]]*Lookups!$B$90</f>
        <v>30336.176841600001</v>
      </c>
      <c r="CD295" s="12">
        <f>Sales[[#This Row],[WdDeck]]*Lookups!$B$91</f>
        <v>0</v>
      </c>
      <c r="CE295" s="12">
        <f>SUM(Sales[[#This Row],[Days Prior Total]:[Mdl WdDeck]])</f>
        <v>308196.36688027391</v>
      </c>
      <c r="CF295" s="12">
        <f>ROUND(Sales[[#This Row],[25Det]],-2)</f>
        <v>0</v>
      </c>
      <c r="CG295" s="12">
        <f>ROUND(SUM(Sales[[#This Row],[Mdl Qlty]:[Mdl WdDeck]])+Sales[[#This Row],[Mdl Res Intercept]]+Sales[[#This Row],[Days Prior Total]],-2)</f>
        <v>276400</v>
      </c>
      <c r="CH295" s="12">
        <f>ROUND(Sales[[#This Row],[Mdl Land Intercept]]+Sales[[#This Row],[Mdl LnAcres]],-2)</f>
        <v>31800</v>
      </c>
      <c r="CI295" s="12">
        <f>Sales[[#This Row],[Unadj Res Value]]+Sales[[#This Row],[Unadj Det Value]]+Sales[[#This Row],[Unadj Land Value]]</f>
        <v>308200</v>
      </c>
      <c r="CJ295" s="13">
        <f>Sales[[#This Row],[Unadj Total Value]]/Sales[[#This Row],[Price]]</f>
        <v>1.1414814814814815</v>
      </c>
      <c r="CK295" s="13">
        <f>(Sales[[#This Row],[Unadj Total Value]]-Sales[[#This Row],[24Final]])/Sales[[#This Row],[24Final]]</f>
        <v>-6.5210797694874131E-2</v>
      </c>
      <c r="CL295">
        <f>VLOOKUP(Sales[[#This Row],[TNbhd]],Lookups!$Q$2:$T$4,4,FALSE)</f>
        <v>0.99970000000000003</v>
      </c>
      <c r="CM295">
        <f>VLOOKUP(Sales[[#This Row],[Qlty]],Lookups!$O$7:$R$21,4,FALSE)</f>
        <v>1.0088999999999999</v>
      </c>
      <c r="CN295">
        <f>VLOOKUP(Sales[[#This Row],[Cnd]],Lookups!$T$7:$W$16,4,FALSE)</f>
        <v>0.99729999999999996</v>
      </c>
      <c r="CO295">
        <f>VLOOKUP(Sales[[#This Row],[LivArea Range]],Lookups!$T$25:$W$37,4,FALSE)</f>
        <v>0.98919999999999997</v>
      </c>
      <c r="CP295">
        <f>VLOOKUP(Sales[[#This Row],[Decade]],Lookups!$O$25:$R$42,4,FALSE)</f>
        <v>0.96040000000000003</v>
      </c>
      <c r="CQ295">
        <f>Sales[[#This Row],[Nbhd Adj]]*0.95</f>
        <v>0.94971499999999998</v>
      </c>
      <c r="CR295">
        <f>Sales[[#This Row],[Nbhd Adj]]*Sales[[#This Row],[Quality Adj]]*Sales[[#This Row],[Condition Adj]]*Sales[[#This Row],[Living Area Adj]]*Sales[[#This Row],[Decade Adj]]*0.95</f>
        <v>0.90782784124690863</v>
      </c>
      <c r="CS295">
        <f>ROUND(SUM(Sales[[#This Row],[Mdl Qlty]:[Mdl WdDeck]])+Sales[[#This Row],[Mdl Res Intercept]]*Sales[[#This Row],[Res Adj ]],-2)</f>
        <v>301400</v>
      </c>
      <c r="CT295">
        <f>ROUND(Sales[[#This Row],[25Det]]*Sales[[#This Row],[Det/Nbhd Adj]],-2)</f>
        <v>0</v>
      </c>
      <c r="CU295">
        <f>Sales[[#This Row],[Adjusted Res]]+Sales[[#This Row],[Adj Det ]]</f>
        <v>301400</v>
      </c>
      <c r="CV295">
        <f>ROUND((Sales[[#This Row],[Mdl Land Intercept]]+Sales[[#This Row],[Mdl LnAcres]])*Sales[[#This Row],[Det/Nbhd Adj]],-2)</f>
        <v>30200</v>
      </c>
      <c r="CW295">
        <f>Sales[[#This Row],[Adjusted Impr Total]]+Sales[[#This Row],[Adjusted Land Total]]</f>
        <v>331600</v>
      </c>
      <c r="CX295" s="15">
        <f>IFERROR((Sales[[#This Row],[Adjusted Impr Total]]-Sales[[#This Row],[24Bldg]])/Sales[[#This Row],[24Bldg]],0)</f>
        <v>7.9899677534933711E-2</v>
      </c>
      <c r="CY295" s="15">
        <f>(Sales[[#This Row],[Adjusted Land Total]]-Sales[[#This Row],[24Lnd]])/Sales[[#This Row],[24Lnd]]</f>
        <v>-0.40316205533596838</v>
      </c>
      <c r="CZ295" s="15">
        <f>(Sales[[#This Row],[Adjusted Total]]-Sales[[#This Row],[24Final]])/Sales[[#This Row],[24Final]]</f>
        <v>5.7628146800121323E-3</v>
      </c>
      <c r="DA295" s="15">
        <f>(Sales[[#This Row],[Adjusted Total]]+Sales[[#This Row],[Days Prior Total]])/Sales[[#This Row],[Price]]</f>
        <v>1.1353771859912962</v>
      </c>
    </row>
    <row r="296" spans="1:105" x14ac:dyDescent="0.3">
      <c r="A296">
        <v>2025</v>
      </c>
      <c r="B296">
        <v>18132243468</v>
      </c>
      <c r="C296">
        <v>-1.0216512475319814</v>
      </c>
      <c r="D296">
        <v>0.36</v>
      </c>
      <c r="E296">
        <v>15772</v>
      </c>
      <c r="F296">
        <v>6</v>
      </c>
      <c r="G296" t="s">
        <v>126</v>
      </c>
      <c r="H296">
        <v>3093</v>
      </c>
      <c r="I296" t="s">
        <v>349</v>
      </c>
      <c r="J296" t="s">
        <v>30</v>
      </c>
      <c r="K296">
        <v>11</v>
      </c>
      <c r="L296">
        <v>259</v>
      </c>
      <c r="M296" t="s">
        <v>269</v>
      </c>
      <c r="N296" t="s">
        <v>351</v>
      </c>
      <c r="O296" t="s">
        <v>323</v>
      </c>
      <c r="P296">
        <v>110</v>
      </c>
      <c r="Q296">
        <v>1920</v>
      </c>
      <c r="R296">
        <v>1966</v>
      </c>
      <c r="S296">
        <v>104</v>
      </c>
      <c r="T296">
        <v>58</v>
      </c>
      <c r="U296">
        <v>1</v>
      </c>
      <c r="V296">
        <v>1567</v>
      </c>
      <c r="W296">
        <v>0</v>
      </c>
      <c r="X296">
        <v>0</v>
      </c>
      <c r="Y296">
        <v>160</v>
      </c>
      <c r="Z296">
        <v>160</v>
      </c>
      <c r="AA296">
        <v>0</v>
      </c>
      <c r="AB296">
        <v>1567</v>
      </c>
      <c r="AC296">
        <v>2000</v>
      </c>
      <c r="AD296">
        <v>0</v>
      </c>
      <c r="AF296" t="s">
        <v>383</v>
      </c>
      <c r="AG296" t="s">
        <v>148</v>
      </c>
      <c r="AH296" t="s">
        <v>450</v>
      </c>
      <c r="AI296">
        <v>0</v>
      </c>
      <c r="AJ296">
        <v>1</v>
      </c>
      <c r="AK296">
        <v>0</v>
      </c>
      <c r="AL296">
        <v>0</v>
      </c>
      <c r="AM296">
        <v>0</v>
      </c>
      <c r="AN296">
        <v>6</v>
      </c>
      <c r="AO296">
        <v>0</v>
      </c>
      <c r="AP296">
        <v>0</v>
      </c>
      <c r="AQ296">
        <v>0</v>
      </c>
      <c r="AR296">
        <v>180</v>
      </c>
      <c r="AS296">
        <v>240</v>
      </c>
      <c r="AT296">
        <v>0</v>
      </c>
      <c r="AU296">
        <v>100</v>
      </c>
      <c r="AV296">
        <v>100</v>
      </c>
      <c r="AW296">
        <v>247172</v>
      </c>
      <c r="AX296">
        <v>155718</v>
      </c>
      <c r="AY296">
        <v>399</v>
      </c>
      <c r="AZ296">
        <v>365</v>
      </c>
      <c r="BA296">
        <v>34</v>
      </c>
      <c r="BB296">
        <v>0</v>
      </c>
      <c r="BC296" s="3">
        <v>44893</v>
      </c>
      <c r="BD296" t="s">
        <v>39</v>
      </c>
      <c r="BE296">
        <v>275000</v>
      </c>
      <c r="BF296">
        <v>269966</v>
      </c>
      <c r="BG296" t="s">
        <v>294</v>
      </c>
      <c r="BH296">
        <v>30</v>
      </c>
      <c r="BI296" t="s">
        <v>65</v>
      </c>
      <c r="BJ296" t="s">
        <v>450</v>
      </c>
      <c r="BK296">
        <v>332100</v>
      </c>
      <c r="BL296">
        <v>78900</v>
      </c>
      <c r="BM296">
        <v>253200</v>
      </c>
      <c r="BN296">
        <v>5034</v>
      </c>
      <c r="BO296">
        <v>1.2076363636363636</v>
      </c>
      <c r="BP296">
        <v>312062.03575083433</v>
      </c>
      <c r="BQ296">
        <v>337425.34966116602</v>
      </c>
      <c r="BR296" s="12">
        <f>(Sales[[#This Row],[DP1]]*Lookups!$B$59)+(Sales[[#This Row],[DP2]]*Lookups!$B$60)+(Sales[[#This Row],[DP3]]*Lookups!$B$61)</f>
        <v>-25363.313911882</v>
      </c>
      <c r="BS296" s="12">
        <f>Lookups!$B$56*0</f>
        <v>0</v>
      </c>
      <c r="BT296" s="12">
        <f>Lookups!$B$56*1</f>
        <v>89850.625589999996</v>
      </c>
      <c r="BU296" s="12">
        <f>Lookups!$B$57*Sales[[#This Row],[LnAcres]]</f>
        <v>-32339.977661938148</v>
      </c>
      <c r="BV296" s="12">
        <f>VLOOKUP(Sales[[#This Row],[Qlty]],Lookups!$A$62:$E$75,2,FALSE)</f>
        <v>21557.329055999999</v>
      </c>
      <c r="BW296" s="12">
        <f>VLOOKUP(Sales[[#This Row],[Cnd]],Lookups!$A$76:$E$84,2,FALSE)</f>
        <v>160472.20319</v>
      </c>
      <c r="BX296" s="12">
        <f>Sales[[#This Row],[EffAge]]*Lookups!$B$85</f>
        <v>-12936.644829000001</v>
      </c>
      <c r="BY296" s="12">
        <f>Sales[[#This Row],[MainFn]]*Lookups!$B$86</f>
        <v>77423.385697259</v>
      </c>
      <c r="BZ296" s="12">
        <f>Sales[[#This Row],[UpprFn]]*Lookups!$B$87</f>
        <v>0</v>
      </c>
      <c r="CA296" s="12">
        <f>Sales[[#This Row],[AddFn]]*Lookups!$B$88</f>
        <v>0</v>
      </c>
      <c r="CB296" s="12">
        <f>Sales[[#This Row],[Bsmt]]*Lookups!$B$89</f>
        <v>4653.10323952</v>
      </c>
      <c r="CC296" s="12">
        <f>Sales[[#This Row],[Fixtures]]*Lookups!$B$90</f>
        <v>22752.132631200002</v>
      </c>
      <c r="CD296" s="12">
        <f>Sales[[#This Row],[WdDeck]]*Lookups!$B$91</f>
        <v>5993.1927496800008</v>
      </c>
      <c r="CE296" s="12">
        <f>SUM(Sales[[#This Row],[Days Prior Total]:[Mdl WdDeck]])</f>
        <v>312062.03575083887</v>
      </c>
      <c r="CF296" s="12">
        <f>ROUND(Sales[[#This Row],[25Det]],-2)</f>
        <v>5000</v>
      </c>
      <c r="CG296" s="12">
        <f>ROUND(SUM(Sales[[#This Row],[Mdl Qlty]:[Mdl WdDeck]])+Sales[[#This Row],[Mdl Res Intercept]]+Sales[[#This Row],[Days Prior Total]],-2)</f>
        <v>254600</v>
      </c>
      <c r="CH296" s="12">
        <f>ROUND(Sales[[#This Row],[Mdl Land Intercept]]+Sales[[#This Row],[Mdl LnAcres]],-2)</f>
        <v>57500</v>
      </c>
      <c r="CI296" s="12">
        <f>Sales[[#This Row],[Unadj Res Value]]+Sales[[#This Row],[Unadj Det Value]]+Sales[[#This Row],[Unadj Land Value]]</f>
        <v>317100</v>
      </c>
      <c r="CJ296" s="13">
        <f>Sales[[#This Row],[Unadj Total Value]]/Sales[[#This Row],[Price]]</f>
        <v>1.1530909090909092</v>
      </c>
      <c r="CK296" s="13">
        <f>(Sales[[#This Row],[Unadj Total Value]]-Sales[[#This Row],[24Final]])/Sales[[#This Row],[24Final]]</f>
        <v>-4.5167118337850046E-2</v>
      </c>
      <c r="CL296">
        <f>VLOOKUP(Sales[[#This Row],[TNbhd]],Lookups!$Q$2:$T$4,4,FALSE)</f>
        <v>0.99970000000000003</v>
      </c>
      <c r="CM296">
        <f>VLOOKUP(Sales[[#This Row],[Qlty]],Lookups!$O$7:$R$21,4,FALSE)</f>
        <v>1.0067999999999999</v>
      </c>
      <c r="CN296">
        <f>VLOOKUP(Sales[[#This Row],[Cnd]],Lookups!$T$7:$W$16,4,FALSE)</f>
        <v>0.99729999999999996</v>
      </c>
      <c r="CO296">
        <f>VLOOKUP(Sales[[#This Row],[LivArea Range]],Lookups!$T$25:$W$37,4,FALSE)</f>
        <v>1.0093000000000001</v>
      </c>
      <c r="CP296">
        <f>VLOOKUP(Sales[[#This Row],[Decade]],Lookups!$O$25:$R$42,4,FALSE)</f>
        <v>0.96040000000000003</v>
      </c>
      <c r="CQ296">
        <f>Sales[[#This Row],[Nbhd Adj]]*0.95</f>
        <v>0.94971499999999998</v>
      </c>
      <c r="CR296">
        <f>Sales[[#This Row],[Nbhd Adj]]*Sales[[#This Row],[Quality Adj]]*Sales[[#This Row],[Condition Adj]]*Sales[[#This Row],[Living Area Adj]]*Sales[[#This Row],[Decade Adj]]*0.95</f>
        <v>0.92434638683335013</v>
      </c>
      <c r="CS296">
        <f>ROUND(SUM(Sales[[#This Row],[Mdl Qlty]:[Mdl WdDeck]])+Sales[[#This Row],[Mdl Res Intercept]]*Sales[[#This Row],[Res Adj ]],-2)</f>
        <v>279900</v>
      </c>
      <c r="CT296">
        <f>ROUND(Sales[[#This Row],[25Det]]*Sales[[#This Row],[Det/Nbhd Adj]],-2)</f>
        <v>4800</v>
      </c>
      <c r="CU296">
        <f>Sales[[#This Row],[Adjusted Res]]+Sales[[#This Row],[Adj Det ]]</f>
        <v>284700</v>
      </c>
      <c r="CV296">
        <f>ROUND((Sales[[#This Row],[Mdl Land Intercept]]+Sales[[#This Row],[Mdl LnAcres]])*Sales[[#This Row],[Det/Nbhd Adj]],-2)</f>
        <v>54600</v>
      </c>
      <c r="CW296">
        <f>Sales[[#This Row],[Adjusted Impr Total]]+Sales[[#This Row],[Adjusted Land Total]]</f>
        <v>339300</v>
      </c>
      <c r="CX296" s="15">
        <f>IFERROR((Sales[[#This Row],[Adjusted Impr Total]]-Sales[[#This Row],[24Bldg]])/Sales[[#This Row],[24Bldg]],0)</f>
        <v>0.12440758293838862</v>
      </c>
      <c r="CY296" s="15">
        <f>(Sales[[#This Row],[Adjusted Land Total]]-Sales[[#This Row],[24Lnd]])/Sales[[#This Row],[24Lnd]]</f>
        <v>-0.30798479087452474</v>
      </c>
      <c r="CZ296" s="15">
        <f>(Sales[[#This Row],[Adjusted Total]]-Sales[[#This Row],[24Final]])/Sales[[#This Row],[24Final]]</f>
        <v>2.1680216802168022E-2</v>
      </c>
      <c r="DA296" s="15">
        <f>(Sales[[#This Row],[Adjusted Total]]+Sales[[#This Row],[Days Prior Total]])/Sales[[#This Row],[Price]]</f>
        <v>1.1415879494113381</v>
      </c>
    </row>
    <row r="297" spans="1:105" x14ac:dyDescent="0.3">
      <c r="A297">
        <v>2025</v>
      </c>
      <c r="B297">
        <v>18132332469</v>
      </c>
      <c r="C297">
        <v>-1.5141277326297755</v>
      </c>
      <c r="D297">
        <v>0.22</v>
      </c>
      <c r="E297">
        <v>9741</v>
      </c>
      <c r="F297">
        <v>6</v>
      </c>
      <c r="G297" t="s">
        <v>126</v>
      </c>
      <c r="H297">
        <v>3033</v>
      </c>
      <c r="I297" t="s">
        <v>349</v>
      </c>
      <c r="J297" t="s">
        <v>30</v>
      </c>
      <c r="K297">
        <v>11</v>
      </c>
      <c r="L297">
        <v>259</v>
      </c>
      <c r="M297" t="s">
        <v>269</v>
      </c>
      <c r="N297" t="s">
        <v>351</v>
      </c>
      <c r="O297" t="s">
        <v>303</v>
      </c>
      <c r="P297">
        <v>110</v>
      </c>
      <c r="Q297">
        <v>1920</v>
      </c>
      <c r="R297">
        <v>1966</v>
      </c>
      <c r="S297">
        <v>104</v>
      </c>
      <c r="T297">
        <v>58</v>
      </c>
      <c r="U297">
        <v>1</v>
      </c>
      <c r="V297">
        <v>1192</v>
      </c>
      <c r="W297">
        <v>0</v>
      </c>
      <c r="X297">
        <v>0</v>
      </c>
      <c r="Y297">
        <v>895</v>
      </c>
      <c r="Z297">
        <v>895</v>
      </c>
      <c r="AA297">
        <v>0</v>
      </c>
      <c r="AB297">
        <v>1192</v>
      </c>
      <c r="AC297">
        <v>1500</v>
      </c>
      <c r="AD297">
        <v>0</v>
      </c>
      <c r="AF297" t="s">
        <v>383</v>
      </c>
      <c r="AG297" t="s">
        <v>148</v>
      </c>
      <c r="AH297" t="s">
        <v>450</v>
      </c>
      <c r="AI297">
        <v>0</v>
      </c>
      <c r="AJ297">
        <v>1</v>
      </c>
      <c r="AK297">
        <v>0</v>
      </c>
      <c r="AL297">
        <v>0</v>
      </c>
      <c r="AM297">
        <v>0</v>
      </c>
      <c r="AN297">
        <v>6</v>
      </c>
      <c r="AO297">
        <v>0</v>
      </c>
      <c r="AP297">
        <v>0</v>
      </c>
      <c r="AQ297">
        <v>0</v>
      </c>
      <c r="AR297">
        <v>0</v>
      </c>
      <c r="AS297">
        <v>272</v>
      </c>
      <c r="AT297">
        <v>162</v>
      </c>
      <c r="AU297">
        <v>100</v>
      </c>
      <c r="AV297">
        <v>100</v>
      </c>
      <c r="AW297">
        <v>216655</v>
      </c>
      <c r="AX297">
        <v>155992</v>
      </c>
      <c r="AY297">
        <v>760</v>
      </c>
      <c r="AZ297">
        <v>365</v>
      </c>
      <c r="BA297">
        <v>365</v>
      </c>
      <c r="BB297">
        <v>30</v>
      </c>
      <c r="BC297" s="3">
        <v>44532</v>
      </c>
      <c r="BD297" t="s">
        <v>42</v>
      </c>
      <c r="BE297">
        <v>283000</v>
      </c>
      <c r="BF297">
        <v>276976</v>
      </c>
      <c r="BG297" t="s">
        <v>294</v>
      </c>
      <c r="BH297">
        <v>30</v>
      </c>
      <c r="BI297" t="s">
        <v>65</v>
      </c>
      <c r="BJ297" t="s">
        <v>450</v>
      </c>
      <c r="BK297">
        <v>328200</v>
      </c>
      <c r="BL297">
        <v>61700</v>
      </c>
      <c r="BM297">
        <v>266500</v>
      </c>
      <c r="BN297">
        <v>6024</v>
      </c>
      <c r="BO297">
        <v>1.1597173144876325</v>
      </c>
      <c r="BP297">
        <v>330396.05335993913</v>
      </c>
      <c r="BQ297">
        <v>355970.08883961936</v>
      </c>
      <c r="BR297" s="12">
        <f>(Sales[[#This Row],[DP1]]*Lookups!$B$59)+(Sales[[#This Row],[DP2]]*Lookups!$B$60)+(Sales[[#This Row],[DP3]]*Lookups!$B$61)</f>
        <v>-25574.035482070001</v>
      </c>
      <c r="BS297" s="12">
        <f>Lookups!$B$56*0</f>
        <v>0</v>
      </c>
      <c r="BT297" s="12">
        <f>Lookups!$B$56*1</f>
        <v>89850.625589999996</v>
      </c>
      <c r="BU297" s="12">
        <f>Lookups!$B$57*Sales[[#This Row],[LnAcres]]</f>
        <v>-47929.131559187132</v>
      </c>
      <c r="BV297" s="12">
        <f>VLOOKUP(Sales[[#This Row],[Qlty]],Lookups!$A$62:$E$75,2,FALSE)</f>
        <v>21557.329055999999</v>
      </c>
      <c r="BW297" s="12">
        <f>VLOOKUP(Sales[[#This Row],[Cnd]],Lookups!$A$76:$E$84,2,FALSE)</f>
        <v>197752.34721000001</v>
      </c>
      <c r="BX297" s="12">
        <f>Sales[[#This Row],[EffAge]]*Lookups!$B$85</f>
        <v>-12936.644829000001</v>
      </c>
      <c r="BY297" s="12">
        <f>Sales[[#This Row],[MainFn]]*Lookups!$B$86</f>
        <v>58895.134493384001</v>
      </c>
      <c r="BZ297" s="12">
        <f>Sales[[#This Row],[UpprFn]]*Lookups!$B$87</f>
        <v>0</v>
      </c>
      <c r="CA297" s="12">
        <f>Sales[[#This Row],[AddFn]]*Lookups!$B$88</f>
        <v>0</v>
      </c>
      <c r="CB297" s="12">
        <f>Sales[[#This Row],[Bsmt]]*Lookups!$B$89</f>
        <v>26028.296246064998</v>
      </c>
      <c r="CC297" s="12">
        <f>Sales[[#This Row],[Fixtures]]*Lookups!$B$90</f>
        <v>22752.132631200002</v>
      </c>
      <c r="CD297" s="12">
        <f>Sales[[#This Row],[WdDeck]]*Lookups!$B$91</f>
        <v>0</v>
      </c>
      <c r="CE297" s="12">
        <f>SUM(Sales[[#This Row],[Days Prior Total]:[Mdl WdDeck]])</f>
        <v>330396.0533563919</v>
      </c>
      <c r="CF297" s="12">
        <f>ROUND(Sales[[#This Row],[25Det]],-2)</f>
        <v>6000</v>
      </c>
      <c r="CG297" s="12">
        <f>ROUND(SUM(Sales[[#This Row],[Mdl Qlty]:[Mdl WdDeck]])+Sales[[#This Row],[Mdl Res Intercept]]+Sales[[#This Row],[Days Prior Total]],-2)</f>
        <v>288500</v>
      </c>
      <c r="CH297" s="12">
        <f>ROUND(Sales[[#This Row],[Mdl Land Intercept]]+Sales[[#This Row],[Mdl LnAcres]],-2)</f>
        <v>41900</v>
      </c>
      <c r="CI297" s="12">
        <f>Sales[[#This Row],[Unadj Res Value]]+Sales[[#This Row],[Unadj Det Value]]+Sales[[#This Row],[Unadj Land Value]]</f>
        <v>336400</v>
      </c>
      <c r="CJ297" s="13">
        <f>Sales[[#This Row],[Unadj Total Value]]/Sales[[#This Row],[Price]]</f>
        <v>1.1886925795053003</v>
      </c>
      <c r="CK297" s="13">
        <f>(Sales[[#This Row],[Unadj Total Value]]-Sales[[#This Row],[24Final]])/Sales[[#This Row],[24Final]]</f>
        <v>2.4984765386959172E-2</v>
      </c>
      <c r="CL297">
        <f>VLOOKUP(Sales[[#This Row],[TNbhd]],Lookups!$Q$2:$T$4,4,FALSE)</f>
        <v>0.99970000000000003</v>
      </c>
      <c r="CM297">
        <f>VLOOKUP(Sales[[#This Row],[Qlty]],Lookups!$O$7:$R$21,4,FALSE)</f>
        <v>1.0067999999999999</v>
      </c>
      <c r="CN297">
        <f>VLOOKUP(Sales[[#This Row],[Cnd]],Lookups!$T$7:$W$16,4,FALSE)</f>
        <v>0.99650000000000005</v>
      </c>
      <c r="CO297">
        <f>VLOOKUP(Sales[[#This Row],[LivArea Range]],Lookups!$T$25:$W$37,4,FALSE)</f>
        <v>1.0157</v>
      </c>
      <c r="CP297">
        <f>VLOOKUP(Sales[[#This Row],[Decade]],Lookups!$O$25:$R$42,4,FALSE)</f>
        <v>0.96040000000000003</v>
      </c>
      <c r="CQ297">
        <f>Sales[[#This Row],[Nbhd Adj]]*0.95</f>
        <v>0.94971499999999998</v>
      </c>
      <c r="CR297">
        <f>Sales[[#This Row],[Nbhd Adj]]*Sales[[#This Row],[Quality Adj]]*Sales[[#This Row],[Condition Adj]]*Sales[[#This Row],[Living Area Adj]]*Sales[[#This Row],[Decade Adj]]*0.95</f>
        <v>0.92946151271343602</v>
      </c>
      <c r="CS297">
        <f>ROUND(SUM(Sales[[#This Row],[Mdl Qlty]:[Mdl WdDeck]])+Sales[[#This Row],[Mdl Res Intercept]]*Sales[[#This Row],[Res Adj ]],-2)</f>
        <v>314000</v>
      </c>
      <c r="CT297">
        <f>ROUND(Sales[[#This Row],[25Det]]*Sales[[#This Row],[Det/Nbhd Adj]],-2)</f>
        <v>5700</v>
      </c>
      <c r="CU297">
        <f>Sales[[#This Row],[Adjusted Res]]+Sales[[#This Row],[Adj Det ]]</f>
        <v>319700</v>
      </c>
      <c r="CV297">
        <f>ROUND((Sales[[#This Row],[Mdl Land Intercept]]+Sales[[#This Row],[Mdl LnAcres]])*Sales[[#This Row],[Det/Nbhd Adj]],-2)</f>
        <v>39800</v>
      </c>
      <c r="CW297">
        <f>Sales[[#This Row],[Adjusted Impr Total]]+Sales[[#This Row],[Adjusted Land Total]]</f>
        <v>359500</v>
      </c>
      <c r="CX297" s="15">
        <f>IFERROR((Sales[[#This Row],[Adjusted Impr Total]]-Sales[[#This Row],[24Bldg]])/Sales[[#This Row],[24Bldg]],0)</f>
        <v>0.199624765478424</v>
      </c>
      <c r="CY297" s="15">
        <f>(Sales[[#This Row],[Adjusted Land Total]]-Sales[[#This Row],[24Lnd]])/Sales[[#This Row],[24Lnd]]</f>
        <v>-0.35494327390599678</v>
      </c>
      <c r="CZ297" s="15">
        <f>(Sales[[#This Row],[Adjusted Total]]-Sales[[#This Row],[24Final]])/Sales[[#This Row],[24Final]]</f>
        <v>9.5368677635588053E-2</v>
      </c>
      <c r="DA297" s="15">
        <f>(Sales[[#This Row],[Adjusted Total]]+Sales[[#This Row],[Days Prior Total]])/Sales[[#This Row],[Price]]</f>
        <v>1.1799504046569964</v>
      </c>
    </row>
    <row r="298" spans="1:105" x14ac:dyDescent="0.3">
      <c r="A298">
        <v>2025</v>
      </c>
      <c r="B298">
        <v>18132344417</v>
      </c>
      <c r="C298">
        <v>-1.8971199848858813</v>
      </c>
      <c r="D298">
        <v>0.15</v>
      </c>
      <c r="E298">
        <v>0</v>
      </c>
      <c r="F298">
        <v>6</v>
      </c>
      <c r="G298" t="s">
        <v>126</v>
      </c>
      <c r="H298">
        <v>3093</v>
      </c>
      <c r="I298" t="s">
        <v>349</v>
      </c>
      <c r="J298" t="s">
        <v>30</v>
      </c>
      <c r="K298">
        <v>11</v>
      </c>
      <c r="L298">
        <v>400</v>
      </c>
      <c r="M298" t="s">
        <v>269</v>
      </c>
      <c r="N298" t="s">
        <v>351</v>
      </c>
      <c r="O298" t="s">
        <v>303</v>
      </c>
      <c r="P298">
        <v>110</v>
      </c>
      <c r="Q298">
        <v>1920</v>
      </c>
      <c r="R298">
        <v>1966</v>
      </c>
      <c r="S298">
        <v>104</v>
      </c>
      <c r="T298">
        <v>58</v>
      </c>
      <c r="U298">
        <v>1</v>
      </c>
      <c r="V298">
        <v>1044</v>
      </c>
      <c r="W298">
        <v>0</v>
      </c>
      <c r="X298">
        <v>0</v>
      </c>
      <c r="Y298">
        <v>432</v>
      </c>
      <c r="Z298">
        <v>432</v>
      </c>
      <c r="AA298">
        <v>0</v>
      </c>
      <c r="AB298">
        <v>1044</v>
      </c>
      <c r="AC298">
        <v>1500</v>
      </c>
      <c r="AD298">
        <v>1</v>
      </c>
      <c r="AF298" t="s">
        <v>383</v>
      </c>
      <c r="AG298" t="s">
        <v>148</v>
      </c>
      <c r="AI298">
        <v>0</v>
      </c>
      <c r="AJ298">
        <v>1</v>
      </c>
      <c r="AK298">
        <v>0</v>
      </c>
      <c r="AL298">
        <v>0</v>
      </c>
      <c r="AM298">
        <v>0</v>
      </c>
      <c r="AN298">
        <v>5</v>
      </c>
      <c r="AO298">
        <v>198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100</v>
      </c>
      <c r="AV298">
        <v>100</v>
      </c>
      <c r="AW298">
        <v>200419</v>
      </c>
      <c r="AX298">
        <v>144302</v>
      </c>
      <c r="AY298">
        <v>703</v>
      </c>
      <c r="AZ298">
        <v>365</v>
      </c>
      <c r="BA298">
        <v>338</v>
      </c>
      <c r="BB298">
        <v>0</v>
      </c>
      <c r="BC298" s="3">
        <v>44589</v>
      </c>
      <c r="BD298" t="s">
        <v>459</v>
      </c>
      <c r="BE298">
        <v>250000</v>
      </c>
      <c r="BF298">
        <v>250000</v>
      </c>
      <c r="BG298" t="s">
        <v>294</v>
      </c>
      <c r="BH298">
        <v>30</v>
      </c>
      <c r="BI298" t="s">
        <v>65</v>
      </c>
      <c r="BJ298" t="s">
        <v>450</v>
      </c>
      <c r="BK298">
        <v>282000</v>
      </c>
      <c r="BL298">
        <v>48400</v>
      </c>
      <c r="BM298">
        <v>233600</v>
      </c>
      <c r="BN298">
        <v>0</v>
      </c>
      <c r="BO298">
        <v>1.1279999999999999</v>
      </c>
      <c r="BP298">
        <v>297404.76378809428</v>
      </c>
      <c r="BQ298">
        <v>319277.19351614022</v>
      </c>
      <c r="BR298" s="12">
        <f>(Sales[[#This Row],[DP1]]*Lookups!$B$59)+(Sales[[#This Row],[DP2]]*Lookups!$B$60)+(Sales[[#This Row],[DP3]]*Lookups!$B$61)</f>
        <v>-21872.429729674001</v>
      </c>
      <c r="BS298" s="12">
        <f>Lookups!$B$56*0</f>
        <v>0</v>
      </c>
      <c r="BT298" s="12">
        <f>Lookups!$B$56*1</f>
        <v>89850.625589999996</v>
      </c>
      <c r="BU298" s="12">
        <f>Lookups!$B$57*Sales[[#This Row],[LnAcres]]</f>
        <v>-60052.604136134301</v>
      </c>
      <c r="BV298" s="12">
        <f>VLOOKUP(Sales[[#This Row],[Qlty]],Lookups!$A$62:$E$75,2,FALSE)</f>
        <v>21557.329055999999</v>
      </c>
      <c r="BW298" s="12">
        <f>VLOOKUP(Sales[[#This Row],[Cnd]],Lookups!$A$76:$E$84,2,FALSE)</f>
        <v>197752.34721000001</v>
      </c>
      <c r="BX298" s="12">
        <f>Sales[[#This Row],[EffAge]]*Lookups!$B$85</f>
        <v>-12936.644829000001</v>
      </c>
      <c r="BY298" s="12">
        <f>Sales[[#This Row],[MainFn]]*Lookups!$B$86</f>
        <v>51582.651351588</v>
      </c>
      <c r="BZ298" s="12">
        <f>Sales[[#This Row],[UpprFn]]*Lookups!$B$87</f>
        <v>0</v>
      </c>
      <c r="CA298" s="12">
        <f>Sales[[#This Row],[AddFn]]*Lookups!$B$88</f>
        <v>0</v>
      </c>
      <c r="CB298" s="12">
        <f>Sales[[#This Row],[Bsmt]]*Lookups!$B$89</f>
        <v>12563.378746704</v>
      </c>
      <c r="CC298" s="12">
        <f>Sales[[#This Row],[Fixtures]]*Lookups!$B$90</f>
        <v>18960.110526</v>
      </c>
      <c r="CD298" s="12">
        <f>Sales[[#This Row],[WdDeck]]*Lookups!$B$91</f>
        <v>0</v>
      </c>
      <c r="CE298" s="12">
        <f>SUM(Sales[[#This Row],[Days Prior Total]:[Mdl WdDeck]])</f>
        <v>297404.76378548372</v>
      </c>
      <c r="CF298" s="12">
        <f>ROUND(Sales[[#This Row],[25Det]],-2)</f>
        <v>0</v>
      </c>
      <c r="CG298" s="12">
        <f>ROUND(SUM(Sales[[#This Row],[Mdl Qlty]:[Mdl WdDeck]])+Sales[[#This Row],[Mdl Res Intercept]]+Sales[[#This Row],[Days Prior Total]],-2)</f>
        <v>267600</v>
      </c>
      <c r="CH298" s="12">
        <f>ROUND(Sales[[#This Row],[Mdl Land Intercept]]+Sales[[#This Row],[Mdl LnAcres]],-2)</f>
        <v>29800</v>
      </c>
      <c r="CI298" s="12">
        <f>Sales[[#This Row],[Unadj Res Value]]+Sales[[#This Row],[Unadj Det Value]]+Sales[[#This Row],[Unadj Land Value]]</f>
        <v>297400</v>
      </c>
      <c r="CJ298" s="13">
        <f>Sales[[#This Row],[Unadj Total Value]]/Sales[[#This Row],[Price]]</f>
        <v>1.1896</v>
      </c>
      <c r="CK298" s="13">
        <f>(Sales[[#This Row],[Unadj Total Value]]-Sales[[#This Row],[24Final]])/Sales[[#This Row],[24Final]]</f>
        <v>5.4609929078014187E-2</v>
      </c>
      <c r="CL298">
        <f>VLOOKUP(Sales[[#This Row],[TNbhd]],Lookups!$Q$2:$T$4,4,FALSE)</f>
        <v>0.99970000000000003</v>
      </c>
      <c r="CM298">
        <f>VLOOKUP(Sales[[#This Row],[Qlty]],Lookups!$O$7:$R$21,4,FALSE)</f>
        <v>1.0067999999999999</v>
      </c>
      <c r="CN298">
        <f>VLOOKUP(Sales[[#This Row],[Cnd]],Lookups!$T$7:$W$16,4,FALSE)</f>
        <v>0.99650000000000005</v>
      </c>
      <c r="CO298">
        <f>VLOOKUP(Sales[[#This Row],[LivArea Range]],Lookups!$T$25:$W$37,4,FALSE)</f>
        <v>1.0157</v>
      </c>
      <c r="CP298">
        <f>VLOOKUP(Sales[[#This Row],[Decade]],Lookups!$O$25:$R$42,4,FALSE)</f>
        <v>0.96040000000000003</v>
      </c>
      <c r="CQ298">
        <f>Sales[[#This Row],[Nbhd Adj]]*0.95</f>
        <v>0.94971499999999998</v>
      </c>
      <c r="CR298">
        <f>Sales[[#This Row],[Nbhd Adj]]*Sales[[#This Row],[Quality Adj]]*Sales[[#This Row],[Condition Adj]]*Sales[[#This Row],[Living Area Adj]]*Sales[[#This Row],[Decade Adj]]*0.95</f>
        <v>0.92946151271343602</v>
      </c>
      <c r="CS298">
        <f>ROUND(SUM(Sales[[#This Row],[Mdl Qlty]:[Mdl WdDeck]])+Sales[[#This Row],[Mdl Res Intercept]]*Sales[[#This Row],[Res Adj ]],-2)</f>
        <v>289500</v>
      </c>
      <c r="CT298">
        <f>ROUND(Sales[[#This Row],[25Det]]*Sales[[#This Row],[Det/Nbhd Adj]],-2)</f>
        <v>0</v>
      </c>
      <c r="CU298">
        <f>Sales[[#This Row],[Adjusted Res]]+Sales[[#This Row],[Adj Det ]]</f>
        <v>289500</v>
      </c>
      <c r="CV298">
        <f>ROUND((Sales[[#This Row],[Mdl Land Intercept]]+Sales[[#This Row],[Mdl LnAcres]])*Sales[[#This Row],[Det/Nbhd Adj]],-2)</f>
        <v>28300</v>
      </c>
      <c r="CW298">
        <f>Sales[[#This Row],[Adjusted Impr Total]]+Sales[[#This Row],[Adjusted Land Total]]</f>
        <v>317800</v>
      </c>
      <c r="CX298" s="15">
        <f>IFERROR((Sales[[#This Row],[Adjusted Impr Total]]-Sales[[#This Row],[24Bldg]])/Sales[[#This Row],[24Bldg]],0)</f>
        <v>0.23929794520547945</v>
      </c>
      <c r="CY298" s="15">
        <f>(Sales[[#This Row],[Adjusted Land Total]]-Sales[[#This Row],[24Lnd]])/Sales[[#This Row],[24Lnd]]</f>
        <v>-0.41528925619834711</v>
      </c>
      <c r="CZ298" s="15">
        <f>(Sales[[#This Row],[Adjusted Total]]-Sales[[#This Row],[24Final]])/Sales[[#This Row],[24Final]]</f>
        <v>0.12695035460992907</v>
      </c>
      <c r="DA298" s="15">
        <f>(Sales[[#This Row],[Adjusted Total]]+Sales[[#This Row],[Days Prior Total]])/Sales[[#This Row],[Price]]</f>
        <v>1.183710281081304</v>
      </c>
    </row>
    <row r="299" spans="1:105" x14ac:dyDescent="0.3">
      <c r="A299">
        <v>2025</v>
      </c>
      <c r="B299">
        <v>18132344044</v>
      </c>
      <c r="C299">
        <v>-1.3862943611198906</v>
      </c>
      <c r="D299">
        <v>0.25</v>
      </c>
      <c r="E299">
        <v>10751</v>
      </c>
      <c r="F299">
        <v>6</v>
      </c>
      <c r="G299" t="s">
        <v>126</v>
      </c>
      <c r="H299">
        <v>3093</v>
      </c>
      <c r="I299" t="s">
        <v>349</v>
      </c>
      <c r="J299" t="s">
        <v>30</v>
      </c>
      <c r="K299">
        <v>11</v>
      </c>
      <c r="L299">
        <v>259</v>
      </c>
      <c r="M299" t="s">
        <v>173</v>
      </c>
      <c r="N299" t="s">
        <v>302</v>
      </c>
      <c r="O299" t="s">
        <v>303</v>
      </c>
      <c r="P299">
        <v>110</v>
      </c>
      <c r="Q299">
        <v>1920</v>
      </c>
      <c r="R299">
        <v>1966</v>
      </c>
      <c r="S299">
        <v>104</v>
      </c>
      <c r="T299">
        <v>58</v>
      </c>
      <c r="U299">
        <v>2</v>
      </c>
      <c r="V299">
        <v>770</v>
      </c>
      <c r="W299">
        <v>792</v>
      </c>
      <c r="X299">
        <v>0</v>
      </c>
      <c r="Y299">
        <v>770</v>
      </c>
      <c r="Z299">
        <v>539</v>
      </c>
      <c r="AA299">
        <v>231</v>
      </c>
      <c r="AB299">
        <v>1793</v>
      </c>
      <c r="AC299">
        <v>2000</v>
      </c>
      <c r="AD299">
        <v>0</v>
      </c>
      <c r="AF299" t="s">
        <v>383</v>
      </c>
      <c r="AG299" t="s">
        <v>148</v>
      </c>
      <c r="AH299" t="s">
        <v>65</v>
      </c>
      <c r="AI299">
        <v>0</v>
      </c>
      <c r="AJ299">
        <v>2</v>
      </c>
      <c r="AK299">
        <v>0</v>
      </c>
      <c r="AL299">
        <v>1</v>
      </c>
      <c r="AM299">
        <v>0</v>
      </c>
      <c r="AN299">
        <v>8</v>
      </c>
      <c r="AO299">
        <v>0</v>
      </c>
      <c r="AP299">
        <v>0</v>
      </c>
      <c r="AQ299">
        <v>0</v>
      </c>
      <c r="AR299">
        <v>404</v>
      </c>
      <c r="AS299">
        <v>0</v>
      </c>
      <c r="AT299">
        <v>0</v>
      </c>
      <c r="AU299">
        <v>100</v>
      </c>
      <c r="AV299">
        <v>100</v>
      </c>
      <c r="AW299">
        <v>307188</v>
      </c>
      <c r="AX299">
        <v>221175</v>
      </c>
      <c r="AY299">
        <v>740</v>
      </c>
      <c r="AZ299">
        <v>365</v>
      </c>
      <c r="BA299">
        <v>365</v>
      </c>
      <c r="BB299">
        <v>10</v>
      </c>
      <c r="BC299" s="3">
        <v>44552</v>
      </c>
      <c r="BD299" t="s">
        <v>315</v>
      </c>
      <c r="BE299">
        <v>299000</v>
      </c>
      <c r="BF299">
        <v>291039</v>
      </c>
      <c r="BG299" t="s">
        <v>294</v>
      </c>
      <c r="BH299">
        <v>30</v>
      </c>
      <c r="BI299" t="s">
        <v>65</v>
      </c>
      <c r="BJ299" t="s">
        <v>450</v>
      </c>
      <c r="BK299">
        <v>365900</v>
      </c>
      <c r="BL299">
        <v>66200</v>
      </c>
      <c r="BM299">
        <v>299700</v>
      </c>
      <c r="BN299">
        <v>7961</v>
      </c>
      <c r="BO299">
        <v>1.2237458193979933</v>
      </c>
      <c r="BP299">
        <v>377394.35167006939</v>
      </c>
      <c r="BQ299">
        <v>400293.95289225283</v>
      </c>
      <c r="BR299" s="12">
        <f>(Sales[[#This Row],[DP1]]*Lookups!$B$59)+(Sales[[#This Row],[DP2]]*Lookups!$B$60)+(Sales[[#This Row],[DP3]]*Lookups!$B$61)</f>
        <v>-22899.601224070004</v>
      </c>
      <c r="BS299" s="12">
        <f>Lookups!$B$56*0</f>
        <v>0</v>
      </c>
      <c r="BT299" s="12">
        <f>Lookups!$B$56*1</f>
        <v>89850.625589999996</v>
      </c>
      <c r="BU299" s="12">
        <f>Lookups!$B$57*Sales[[#This Row],[LnAcres]]</f>
        <v>-43882.615305165229</v>
      </c>
      <c r="BV299" s="12">
        <f>VLOOKUP(Sales[[#This Row],[Qlty]],Lookups!$A$62:$E$75,2,FALSE)</f>
        <v>29814.093161000001</v>
      </c>
      <c r="BW299" s="12">
        <f>VLOOKUP(Sales[[#This Row],[Cnd]],Lookups!$A$76:$E$84,2,FALSE)</f>
        <v>197752.34721000001</v>
      </c>
      <c r="BX299" s="12">
        <f>Sales[[#This Row],[EffAge]]*Lookups!$B$85</f>
        <v>-12936.644829000001</v>
      </c>
      <c r="BY299" s="12">
        <f>Sales[[#This Row],[MainFn]]*Lookups!$B$86</f>
        <v>38044.675805290004</v>
      </c>
      <c r="BZ299" s="12">
        <f>Sales[[#This Row],[UpprFn]]*Lookups!$B$87</f>
        <v>35470.846905911996</v>
      </c>
      <c r="CA299" s="12">
        <f>Sales[[#This Row],[AddFn]]*Lookups!$B$88</f>
        <v>0</v>
      </c>
      <c r="CB299" s="12">
        <f>Sales[[#This Row],[Bsmt]]*Lookups!$B$89</f>
        <v>22393.059340190001</v>
      </c>
      <c r="CC299" s="12">
        <f>Sales[[#This Row],[Fixtures]]*Lookups!$B$90</f>
        <v>30336.176841600001</v>
      </c>
      <c r="CD299" s="12">
        <f>Sales[[#This Row],[WdDeck]]*Lookups!$B$91</f>
        <v>13451.388171504001</v>
      </c>
      <c r="CE299" s="12">
        <f>SUM(Sales[[#This Row],[Days Prior Total]:[Mdl WdDeck]])</f>
        <v>377394.35166726081</v>
      </c>
      <c r="CF299" s="12">
        <f>ROUND(Sales[[#This Row],[25Det]],-2)</f>
        <v>8000</v>
      </c>
      <c r="CG299" s="12">
        <f>ROUND(SUM(Sales[[#This Row],[Mdl Qlty]:[Mdl WdDeck]])+Sales[[#This Row],[Mdl Res Intercept]]+Sales[[#This Row],[Days Prior Total]],-2)</f>
        <v>331400</v>
      </c>
      <c r="CH299" s="12">
        <f>ROUND(Sales[[#This Row],[Mdl Land Intercept]]+Sales[[#This Row],[Mdl LnAcres]],-2)</f>
        <v>46000</v>
      </c>
      <c r="CI299" s="12">
        <f>Sales[[#This Row],[Unadj Res Value]]+Sales[[#This Row],[Unadj Det Value]]+Sales[[#This Row],[Unadj Land Value]]</f>
        <v>385400</v>
      </c>
      <c r="CJ299" s="13">
        <f>Sales[[#This Row],[Unadj Total Value]]/Sales[[#This Row],[Price]]</f>
        <v>1.2889632107023412</v>
      </c>
      <c r="CK299" s="13">
        <f>(Sales[[#This Row],[Unadj Total Value]]-Sales[[#This Row],[24Final]])/Sales[[#This Row],[24Final]]</f>
        <v>5.3293249521727246E-2</v>
      </c>
      <c r="CL299">
        <f>VLOOKUP(Sales[[#This Row],[TNbhd]],Lookups!$Q$2:$T$4,4,FALSE)</f>
        <v>0.99970000000000003</v>
      </c>
      <c r="CM299">
        <f>VLOOKUP(Sales[[#This Row],[Qlty]],Lookups!$O$7:$R$21,4,FALSE)</f>
        <v>1.0088999999999999</v>
      </c>
      <c r="CN299">
        <f>VLOOKUP(Sales[[#This Row],[Cnd]],Lookups!$T$7:$W$16,4,FALSE)</f>
        <v>0.99650000000000005</v>
      </c>
      <c r="CO299">
        <f>VLOOKUP(Sales[[#This Row],[LivArea Range]],Lookups!$T$25:$W$37,4,FALSE)</f>
        <v>1.0093000000000001</v>
      </c>
      <c r="CP299">
        <f>VLOOKUP(Sales[[#This Row],[Decade]],Lookups!$O$25:$R$42,4,FALSE)</f>
        <v>0.96040000000000003</v>
      </c>
      <c r="CQ299">
        <f>Sales[[#This Row],[Nbhd Adj]]*0.95</f>
        <v>0.94971499999999998</v>
      </c>
      <c r="CR299">
        <f>Sales[[#This Row],[Nbhd Adj]]*Sales[[#This Row],[Quality Adj]]*Sales[[#This Row],[Condition Adj]]*Sales[[#This Row],[Living Area Adj]]*Sales[[#This Row],[Decade Adj]]*0.95</f>
        <v>0.92553137803844354</v>
      </c>
      <c r="CS299">
        <f>ROUND(SUM(Sales[[#This Row],[Mdl Qlty]:[Mdl WdDeck]])+Sales[[#This Row],[Mdl Res Intercept]]*Sales[[#This Row],[Res Adj ]],-2)</f>
        <v>354300</v>
      </c>
      <c r="CT299">
        <f>ROUND(Sales[[#This Row],[25Det]]*Sales[[#This Row],[Det/Nbhd Adj]],-2)</f>
        <v>7600</v>
      </c>
      <c r="CU299">
        <f>Sales[[#This Row],[Adjusted Res]]+Sales[[#This Row],[Adj Det ]]</f>
        <v>361900</v>
      </c>
      <c r="CV299">
        <f>ROUND((Sales[[#This Row],[Mdl Land Intercept]]+Sales[[#This Row],[Mdl LnAcres]])*Sales[[#This Row],[Det/Nbhd Adj]],-2)</f>
        <v>43700</v>
      </c>
      <c r="CW299">
        <f>Sales[[#This Row],[Adjusted Impr Total]]+Sales[[#This Row],[Adjusted Land Total]]</f>
        <v>405600</v>
      </c>
      <c r="CX299" s="15">
        <f>IFERROR((Sales[[#This Row],[Adjusted Impr Total]]-Sales[[#This Row],[24Bldg]])/Sales[[#This Row],[24Bldg]],0)</f>
        <v>0.20754087420754089</v>
      </c>
      <c r="CY299" s="15">
        <f>(Sales[[#This Row],[Adjusted Land Total]]-Sales[[#This Row],[24Lnd]])/Sales[[#This Row],[24Lnd]]</f>
        <v>-0.33987915407854985</v>
      </c>
      <c r="CZ299" s="15">
        <f>(Sales[[#This Row],[Adjusted Total]]-Sales[[#This Row],[24Final]])/Sales[[#This Row],[24Final]]</f>
        <v>0.10849959005192676</v>
      </c>
      <c r="DA299" s="15">
        <f>(Sales[[#This Row],[Adjusted Total]]+Sales[[#This Row],[Days Prior Total]])/Sales[[#This Row],[Price]]</f>
        <v>1.2799344440666556</v>
      </c>
    </row>
    <row r="300" spans="1:105" x14ac:dyDescent="0.3">
      <c r="A300">
        <v>2025</v>
      </c>
      <c r="B300">
        <v>18132242434</v>
      </c>
      <c r="C300">
        <v>-0.9942522733438669</v>
      </c>
      <c r="D300">
        <v>0.37</v>
      </c>
      <c r="E300">
        <v>16259</v>
      </c>
      <c r="F300">
        <v>6</v>
      </c>
      <c r="G300" t="s">
        <v>126</v>
      </c>
      <c r="H300">
        <v>3033</v>
      </c>
      <c r="I300" t="s">
        <v>349</v>
      </c>
      <c r="J300" t="s">
        <v>30</v>
      </c>
      <c r="K300">
        <v>11</v>
      </c>
      <c r="L300">
        <v>259</v>
      </c>
      <c r="M300" t="s">
        <v>416</v>
      </c>
      <c r="N300" t="s">
        <v>351</v>
      </c>
      <c r="O300" t="s">
        <v>303</v>
      </c>
      <c r="P300">
        <v>110</v>
      </c>
      <c r="Q300">
        <v>1919</v>
      </c>
      <c r="R300">
        <v>1985</v>
      </c>
      <c r="S300">
        <v>105</v>
      </c>
      <c r="T300">
        <v>39</v>
      </c>
      <c r="U300">
        <v>2</v>
      </c>
      <c r="V300">
        <v>1482</v>
      </c>
      <c r="W300">
        <v>480</v>
      </c>
      <c r="X300">
        <v>0</v>
      </c>
      <c r="Y300">
        <v>800</v>
      </c>
      <c r="Z300">
        <v>0</v>
      </c>
      <c r="AA300">
        <v>800</v>
      </c>
      <c r="AB300">
        <v>2762</v>
      </c>
      <c r="AC300">
        <v>3000</v>
      </c>
      <c r="AD300">
        <v>0</v>
      </c>
      <c r="AF300" t="s">
        <v>383</v>
      </c>
      <c r="AG300" t="s">
        <v>148</v>
      </c>
      <c r="AH300" t="s">
        <v>450</v>
      </c>
      <c r="AI300">
        <v>1</v>
      </c>
      <c r="AJ300">
        <v>1</v>
      </c>
      <c r="AK300">
        <v>0</v>
      </c>
      <c r="AL300">
        <v>0</v>
      </c>
      <c r="AM300">
        <v>0</v>
      </c>
      <c r="AN300">
        <v>9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100</v>
      </c>
      <c r="AV300">
        <v>100</v>
      </c>
      <c r="AW300">
        <v>328072</v>
      </c>
      <c r="AX300">
        <v>285423</v>
      </c>
      <c r="AY300">
        <v>1040</v>
      </c>
      <c r="AZ300">
        <v>365</v>
      </c>
      <c r="BA300">
        <v>365</v>
      </c>
      <c r="BB300">
        <v>310</v>
      </c>
      <c r="BC300" s="3">
        <v>44252</v>
      </c>
      <c r="BD300" t="s">
        <v>101</v>
      </c>
      <c r="BE300">
        <v>335834</v>
      </c>
      <c r="BF300">
        <v>301700</v>
      </c>
      <c r="BG300" t="s">
        <v>294</v>
      </c>
      <c r="BH300">
        <v>30</v>
      </c>
      <c r="BI300" t="s">
        <v>65</v>
      </c>
      <c r="BJ300" t="s">
        <v>450</v>
      </c>
      <c r="BK300">
        <v>437600</v>
      </c>
      <c r="BL300">
        <v>79900</v>
      </c>
      <c r="BM300">
        <v>357700</v>
      </c>
      <c r="BN300">
        <v>34134</v>
      </c>
      <c r="BO300">
        <v>1.3030247086358142</v>
      </c>
      <c r="BP300">
        <v>358087.58156568522</v>
      </c>
      <c r="BQ300">
        <v>421103.6966503209</v>
      </c>
      <c r="BR300" s="12">
        <f>(Sales[[#This Row],[DP1]]*Lookups!$B$59)+(Sales[[#This Row],[DP2]]*Lookups!$B$60)+(Sales[[#This Row],[DP3]]*Lookups!$B$61)</f>
        <v>-63016.115094070003</v>
      </c>
      <c r="BS300" s="12">
        <f>Lookups!$B$56*0</f>
        <v>0</v>
      </c>
      <c r="BT300" s="12">
        <f>Lookups!$B$56*1</f>
        <v>89850.625589999996</v>
      </c>
      <c r="BU300" s="12">
        <f>Lookups!$B$57*Sales[[#This Row],[LnAcres]]</f>
        <v>-31472.673662315807</v>
      </c>
      <c r="BV300" s="12">
        <f>VLOOKUP(Sales[[#This Row],[Qlty]],Lookups!$A$62:$E$75,2,FALSE)</f>
        <v>21557.329055999999</v>
      </c>
      <c r="BW300" s="12">
        <f>VLOOKUP(Sales[[#This Row],[Cnd]],Lookups!$A$76:$E$84,2,FALSE)</f>
        <v>197752.34721000001</v>
      </c>
      <c r="BX300" s="12">
        <f>Sales[[#This Row],[EffAge]]*Lookups!$B$85</f>
        <v>-8698.7784195000004</v>
      </c>
      <c r="BY300" s="12">
        <f>Sales[[#This Row],[MainFn]]*Lookups!$B$86</f>
        <v>73223.648757714007</v>
      </c>
      <c r="BZ300" s="12">
        <f>Sales[[#This Row],[UpprFn]]*Lookups!$B$87</f>
        <v>21497.482973279999</v>
      </c>
      <c r="CA300" s="12">
        <f>Sales[[#This Row],[AddFn]]*Lookups!$B$88</f>
        <v>0</v>
      </c>
      <c r="CB300" s="12">
        <f>Sales[[#This Row],[Bsmt]]*Lookups!$B$89</f>
        <v>23265.516197599998</v>
      </c>
      <c r="CC300" s="12">
        <f>Sales[[#This Row],[Fixtures]]*Lookups!$B$90</f>
        <v>34128.198946800003</v>
      </c>
      <c r="CD300" s="12">
        <f>Sales[[#This Row],[WdDeck]]*Lookups!$B$91</f>
        <v>0</v>
      </c>
      <c r="CE300" s="12">
        <f>SUM(Sales[[#This Row],[Days Prior Total]:[Mdl WdDeck]])</f>
        <v>358087.58155550819</v>
      </c>
      <c r="CF300" s="12">
        <f>ROUND(Sales[[#This Row],[25Det]],-2)</f>
        <v>34100</v>
      </c>
      <c r="CG300" s="12">
        <f>ROUND(SUM(Sales[[#This Row],[Mdl Qlty]:[Mdl WdDeck]])+Sales[[#This Row],[Mdl Res Intercept]]+Sales[[#This Row],[Days Prior Total]],-2)</f>
        <v>299700</v>
      </c>
      <c r="CH300" s="12">
        <f>ROUND(Sales[[#This Row],[Mdl Land Intercept]]+Sales[[#This Row],[Mdl LnAcres]],-2)</f>
        <v>58400</v>
      </c>
      <c r="CI300" s="12">
        <f>Sales[[#This Row],[Unadj Res Value]]+Sales[[#This Row],[Unadj Det Value]]+Sales[[#This Row],[Unadj Land Value]]</f>
        <v>392200</v>
      </c>
      <c r="CJ300" s="13">
        <f>Sales[[#This Row],[Unadj Total Value]]/Sales[[#This Row],[Price]]</f>
        <v>1.1678388727764313</v>
      </c>
      <c r="CK300" s="13">
        <f>(Sales[[#This Row],[Unadj Total Value]]-Sales[[#This Row],[24Final]])/Sales[[#This Row],[24Final]]</f>
        <v>-0.10374771480804387</v>
      </c>
      <c r="CL300">
        <f>VLOOKUP(Sales[[#This Row],[TNbhd]],Lookups!$Q$2:$T$4,4,FALSE)</f>
        <v>0.99970000000000003</v>
      </c>
      <c r="CM300">
        <f>VLOOKUP(Sales[[#This Row],[Qlty]],Lookups!$O$7:$R$21,4,FALSE)</f>
        <v>1.0067999999999999</v>
      </c>
      <c r="CN300">
        <f>VLOOKUP(Sales[[#This Row],[Cnd]],Lookups!$T$7:$W$16,4,FALSE)</f>
        <v>0.99650000000000005</v>
      </c>
      <c r="CO300">
        <f>VLOOKUP(Sales[[#This Row],[LivArea Range]],Lookups!$T$25:$W$37,4,FALSE)</f>
        <v>0.96179999999999999</v>
      </c>
      <c r="CP300">
        <f>VLOOKUP(Sales[[#This Row],[Decade]],Lookups!$O$25:$R$42,4,FALSE)</f>
        <v>0.96040000000000003</v>
      </c>
      <c r="CQ300">
        <f>Sales[[#This Row],[Nbhd Adj]]*0.95</f>
        <v>0.94971499999999998</v>
      </c>
      <c r="CR300">
        <f>Sales[[#This Row],[Nbhd Adj]]*Sales[[#This Row],[Quality Adj]]*Sales[[#This Row],[Condition Adj]]*Sales[[#This Row],[Living Area Adj]]*Sales[[#This Row],[Decade Adj]]*0.95</f>
        <v>0.88013791762113103</v>
      </c>
      <c r="CS300">
        <f>ROUND(SUM(Sales[[#This Row],[Mdl Qlty]:[Mdl WdDeck]])+Sales[[#This Row],[Mdl Res Intercept]]*Sales[[#This Row],[Res Adj ]],-2)</f>
        <v>362700</v>
      </c>
      <c r="CT300">
        <f>ROUND(Sales[[#This Row],[25Det]]*Sales[[#This Row],[Det/Nbhd Adj]],-2)</f>
        <v>32400</v>
      </c>
      <c r="CU300">
        <f>Sales[[#This Row],[Adjusted Res]]+Sales[[#This Row],[Adj Det ]]</f>
        <v>395100</v>
      </c>
      <c r="CV300">
        <f>ROUND((Sales[[#This Row],[Mdl Land Intercept]]+Sales[[#This Row],[Mdl LnAcres]])*Sales[[#This Row],[Det/Nbhd Adj]],-2)</f>
        <v>55400</v>
      </c>
      <c r="CW300">
        <f>Sales[[#This Row],[Adjusted Impr Total]]+Sales[[#This Row],[Adjusted Land Total]]</f>
        <v>450500</v>
      </c>
      <c r="CX300" s="15">
        <f>IFERROR((Sales[[#This Row],[Adjusted Impr Total]]-Sales[[#This Row],[24Bldg]])/Sales[[#This Row],[24Bldg]],0)</f>
        <v>0.10455689124965055</v>
      </c>
      <c r="CY300" s="15">
        <f>(Sales[[#This Row],[Adjusted Land Total]]-Sales[[#This Row],[24Lnd]])/Sales[[#This Row],[24Lnd]]</f>
        <v>-0.30663329161451813</v>
      </c>
      <c r="CZ300" s="15">
        <f>(Sales[[#This Row],[Adjusted Total]]-Sales[[#This Row],[24Final]])/Sales[[#This Row],[24Final]]</f>
        <v>2.9478976234003657E-2</v>
      </c>
      <c r="DA300" s="15">
        <f>(Sales[[#This Row],[Adjusted Total]]+Sales[[#This Row],[Days Prior Total]])/Sales[[#This Row],[Price]]</f>
        <v>1.1537958780407285</v>
      </c>
    </row>
    <row r="301" spans="1:105" x14ac:dyDescent="0.3">
      <c r="A301">
        <v>2025</v>
      </c>
      <c r="B301">
        <v>18132341011</v>
      </c>
      <c r="C301">
        <v>-1.5606477482646683</v>
      </c>
      <c r="D301">
        <v>0.21</v>
      </c>
      <c r="E301">
        <v>8970</v>
      </c>
      <c r="F301">
        <v>6</v>
      </c>
      <c r="G301" t="s">
        <v>126</v>
      </c>
      <c r="H301">
        <v>3031</v>
      </c>
      <c r="I301" t="s">
        <v>349</v>
      </c>
      <c r="J301" t="s">
        <v>30</v>
      </c>
      <c r="K301">
        <v>11</v>
      </c>
      <c r="L301">
        <v>259</v>
      </c>
      <c r="M301" t="s">
        <v>301</v>
      </c>
      <c r="N301" t="s">
        <v>302</v>
      </c>
      <c r="O301" t="s">
        <v>352</v>
      </c>
      <c r="P301">
        <v>110</v>
      </c>
      <c r="Q301">
        <v>1918</v>
      </c>
      <c r="R301">
        <v>1975</v>
      </c>
      <c r="S301">
        <v>106</v>
      </c>
      <c r="T301">
        <v>49</v>
      </c>
      <c r="U301">
        <v>2</v>
      </c>
      <c r="V301">
        <v>1264</v>
      </c>
      <c r="W301">
        <v>1120</v>
      </c>
      <c r="X301">
        <v>0</v>
      </c>
      <c r="Y301">
        <v>1264</v>
      </c>
      <c r="Z301">
        <v>0</v>
      </c>
      <c r="AA301">
        <v>1264</v>
      </c>
      <c r="AB301">
        <v>3648</v>
      </c>
      <c r="AC301">
        <v>4000</v>
      </c>
      <c r="AD301">
        <v>0</v>
      </c>
      <c r="AE301" t="s">
        <v>6</v>
      </c>
      <c r="AF301" t="s">
        <v>383</v>
      </c>
      <c r="AG301" t="s">
        <v>148</v>
      </c>
      <c r="AH301" t="s">
        <v>450</v>
      </c>
      <c r="AI301">
        <v>0</v>
      </c>
      <c r="AJ301">
        <v>1</v>
      </c>
      <c r="AK301">
        <v>1</v>
      </c>
      <c r="AL301">
        <v>1</v>
      </c>
      <c r="AM301">
        <v>1</v>
      </c>
      <c r="AN301">
        <v>14</v>
      </c>
      <c r="AO301">
        <v>0</v>
      </c>
      <c r="AP301">
        <v>0</v>
      </c>
      <c r="AQ301">
        <v>0</v>
      </c>
      <c r="AR301">
        <v>0</v>
      </c>
      <c r="AS301">
        <v>369</v>
      </c>
      <c r="AT301">
        <v>369</v>
      </c>
      <c r="AU301">
        <v>100</v>
      </c>
      <c r="AV301">
        <v>100</v>
      </c>
      <c r="AW301">
        <v>475591</v>
      </c>
      <c r="AX301">
        <v>394741</v>
      </c>
      <c r="AY301">
        <v>752</v>
      </c>
      <c r="AZ301">
        <v>365</v>
      </c>
      <c r="BA301">
        <v>365</v>
      </c>
      <c r="BB301">
        <v>22</v>
      </c>
      <c r="BC301" s="3">
        <v>44540</v>
      </c>
      <c r="BD301" t="s">
        <v>114</v>
      </c>
      <c r="BE301">
        <v>460000</v>
      </c>
      <c r="BF301">
        <v>398959</v>
      </c>
      <c r="BG301" t="s">
        <v>294</v>
      </c>
      <c r="BH301">
        <v>30</v>
      </c>
      <c r="BI301" t="s">
        <v>65</v>
      </c>
      <c r="BJ301" t="s">
        <v>450</v>
      </c>
      <c r="BK301">
        <v>531500</v>
      </c>
      <c r="BL301">
        <v>60100</v>
      </c>
      <c r="BM301">
        <v>471400</v>
      </c>
      <c r="BN301">
        <v>61041</v>
      </c>
      <c r="BO301">
        <v>1.1554347826086957</v>
      </c>
      <c r="BP301">
        <v>522101.30323066097</v>
      </c>
      <c r="BQ301">
        <v>546605.56500734249</v>
      </c>
      <c r="BR301" s="12">
        <f>(Sales[[#This Row],[DP1]]*Lookups!$B$59)+(Sales[[#This Row],[DP2]]*Lookups!$B$60)+(Sales[[#This Row],[DP3]]*Lookups!$B$61)</f>
        <v>-24504.261778870004</v>
      </c>
      <c r="BS301" s="12">
        <f>Lookups!$B$56*0</f>
        <v>0</v>
      </c>
      <c r="BT301" s="12">
        <f>Lookups!$B$56*1</f>
        <v>89850.625589999996</v>
      </c>
      <c r="BU301" s="12">
        <f>Lookups!$B$57*Sales[[#This Row],[LnAcres]]</f>
        <v>-49401.70477837498</v>
      </c>
      <c r="BV301" s="12">
        <f>VLOOKUP(Sales[[#This Row],[Qlty]],Lookups!$A$62:$E$75,2,FALSE)</f>
        <v>29814.093161000001</v>
      </c>
      <c r="BW301" s="12">
        <f>VLOOKUP(Sales[[#This Row],[Cnd]],Lookups!$A$76:$E$84,2,FALSE)</f>
        <v>284810.60806</v>
      </c>
      <c r="BX301" s="12">
        <f>Sales[[#This Row],[EffAge]]*Lookups!$B$85</f>
        <v>-10929.2344245</v>
      </c>
      <c r="BY301" s="12">
        <f>Sales[[#This Row],[MainFn]]*Lookups!$B$86</f>
        <v>62452.558724528004</v>
      </c>
      <c r="BZ301" s="12">
        <f>Sales[[#This Row],[UpprFn]]*Lookups!$B$87</f>
        <v>50160.793604319995</v>
      </c>
      <c r="CA301" s="12">
        <f>Sales[[#This Row],[AddFn]]*Lookups!$B$88</f>
        <v>0</v>
      </c>
      <c r="CB301" s="12">
        <f>Sales[[#This Row],[Bsmt]]*Lookups!$B$89</f>
        <v>36759.515592208001</v>
      </c>
      <c r="CC301" s="12">
        <f>Sales[[#This Row],[Fixtures]]*Lookups!$B$90</f>
        <v>53088.3094728</v>
      </c>
      <c r="CD301" s="12">
        <f>Sales[[#This Row],[WdDeck]]*Lookups!$B$91</f>
        <v>0</v>
      </c>
      <c r="CE301" s="12">
        <f>SUM(Sales[[#This Row],[Days Prior Total]:[Mdl WdDeck]])</f>
        <v>522101.30322311097</v>
      </c>
      <c r="CF301" s="12">
        <f>ROUND(Sales[[#This Row],[25Det]],-2)</f>
        <v>61000</v>
      </c>
      <c r="CG301" s="12">
        <f>ROUND(SUM(Sales[[#This Row],[Mdl Qlty]:[Mdl WdDeck]])+Sales[[#This Row],[Mdl Res Intercept]]+Sales[[#This Row],[Days Prior Total]],-2)</f>
        <v>481700</v>
      </c>
      <c r="CH301" s="12">
        <f>ROUND(Sales[[#This Row],[Mdl Land Intercept]]+Sales[[#This Row],[Mdl LnAcres]],-2)</f>
        <v>40400</v>
      </c>
      <c r="CI301" s="12">
        <f>Sales[[#This Row],[Unadj Res Value]]+Sales[[#This Row],[Unadj Det Value]]+Sales[[#This Row],[Unadj Land Value]]</f>
        <v>583100</v>
      </c>
      <c r="CJ301" s="13">
        <f>Sales[[#This Row],[Unadj Total Value]]/Sales[[#This Row],[Price]]</f>
        <v>1.2676086956521739</v>
      </c>
      <c r="CK301" s="13">
        <f>(Sales[[#This Row],[Unadj Total Value]]-Sales[[#This Row],[24Final]])/Sales[[#This Row],[24Final]]</f>
        <v>9.7083725305738472E-2</v>
      </c>
      <c r="CL301">
        <f>VLOOKUP(Sales[[#This Row],[TNbhd]],Lookups!$Q$2:$T$4,4,FALSE)</f>
        <v>0.99970000000000003</v>
      </c>
      <c r="CM301">
        <f>VLOOKUP(Sales[[#This Row],[Qlty]],Lookups!$O$7:$R$21,4,FALSE)</f>
        <v>1.0088999999999999</v>
      </c>
      <c r="CN301">
        <f>VLOOKUP(Sales[[#This Row],[Cnd]],Lookups!$T$7:$W$16,4,FALSE)</f>
        <v>1.0158</v>
      </c>
      <c r="CO301">
        <f>VLOOKUP(Sales[[#This Row],[LivArea Range]],Lookups!$T$25:$W$37,4,FALSE)</f>
        <v>0.94579999999999997</v>
      </c>
      <c r="CP301">
        <f>VLOOKUP(Sales[[#This Row],[Decade]],Lookups!$O$25:$R$42,4,FALSE)</f>
        <v>0.96040000000000003</v>
      </c>
      <c r="CQ301">
        <f>Sales[[#This Row],[Nbhd Adj]]*0.95</f>
        <v>0.94971499999999998</v>
      </c>
      <c r="CR301">
        <f>Sales[[#This Row],[Nbhd Adj]]*Sales[[#This Row],[Quality Adj]]*Sales[[#This Row],[Condition Adj]]*Sales[[#This Row],[Living Area Adj]]*Sales[[#This Row],[Decade Adj]]*0.95</f>
        <v>0.8840993860666998</v>
      </c>
      <c r="CS301">
        <f>ROUND(SUM(Sales[[#This Row],[Mdl Qlty]:[Mdl WdDeck]])+Sales[[#This Row],[Mdl Res Intercept]]*Sales[[#This Row],[Res Adj ]],-2)</f>
        <v>506200</v>
      </c>
      <c r="CT301">
        <f>ROUND(Sales[[#This Row],[25Det]]*Sales[[#This Row],[Det/Nbhd Adj]],-2)</f>
        <v>58000</v>
      </c>
      <c r="CU301">
        <f>Sales[[#This Row],[Adjusted Res]]+Sales[[#This Row],[Adj Det ]]</f>
        <v>564200</v>
      </c>
      <c r="CV301">
        <f>ROUND((Sales[[#This Row],[Mdl Land Intercept]]+Sales[[#This Row],[Mdl LnAcres]])*Sales[[#This Row],[Det/Nbhd Adj]],-2)</f>
        <v>38400</v>
      </c>
      <c r="CW301">
        <f>Sales[[#This Row],[Adjusted Impr Total]]+Sales[[#This Row],[Adjusted Land Total]]</f>
        <v>602600</v>
      </c>
      <c r="CX301" s="15">
        <f>IFERROR((Sales[[#This Row],[Adjusted Impr Total]]-Sales[[#This Row],[24Bldg]])/Sales[[#This Row],[24Bldg]],0)</f>
        <v>0.19686041578277472</v>
      </c>
      <c r="CY301" s="15">
        <f>(Sales[[#This Row],[Adjusted Land Total]]-Sales[[#This Row],[24Lnd]])/Sales[[#This Row],[24Lnd]]</f>
        <v>-0.36106489184692181</v>
      </c>
      <c r="CZ301" s="15">
        <f>(Sales[[#This Row],[Adjusted Total]]-Sales[[#This Row],[24Final]])/Sales[[#This Row],[24Final]]</f>
        <v>0.13377234242709313</v>
      </c>
      <c r="DA301" s="15">
        <f>(Sales[[#This Row],[Adjusted Total]]+Sales[[#This Row],[Days Prior Total]])/Sales[[#This Row],[Price]]</f>
        <v>1.2567298656981087</v>
      </c>
    </row>
    <row r="302" spans="1:105" x14ac:dyDescent="0.3">
      <c r="A302">
        <v>2025</v>
      </c>
      <c r="B302">
        <v>18132333436</v>
      </c>
      <c r="C302">
        <v>-1.3470736479666092</v>
      </c>
      <c r="D302">
        <v>0.26</v>
      </c>
      <c r="E302">
        <v>0</v>
      </c>
      <c r="F302">
        <v>6</v>
      </c>
      <c r="G302" t="s">
        <v>126</v>
      </c>
      <c r="H302">
        <v>3093</v>
      </c>
      <c r="I302" t="s">
        <v>349</v>
      </c>
      <c r="J302" t="s">
        <v>30</v>
      </c>
      <c r="K302">
        <v>11</v>
      </c>
      <c r="L302">
        <v>259</v>
      </c>
      <c r="M302" t="s">
        <v>269</v>
      </c>
      <c r="N302" t="s">
        <v>302</v>
      </c>
      <c r="O302" t="s">
        <v>303</v>
      </c>
      <c r="P302">
        <v>110</v>
      </c>
      <c r="Q302">
        <v>1915</v>
      </c>
      <c r="R302">
        <v>1963</v>
      </c>
      <c r="S302">
        <v>109</v>
      </c>
      <c r="T302">
        <v>61</v>
      </c>
      <c r="U302">
        <v>2</v>
      </c>
      <c r="V302">
        <v>1893</v>
      </c>
      <c r="W302">
        <v>631</v>
      </c>
      <c r="X302">
        <v>0</v>
      </c>
      <c r="Y302">
        <v>473</v>
      </c>
      <c r="Z302">
        <v>473</v>
      </c>
      <c r="AA302">
        <v>0</v>
      </c>
      <c r="AB302">
        <v>2524</v>
      </c>
      <c r="AC302">
        <v>3000</v>
      </c>
      <c r="AD302">
        <v>0</v>
      </c>
      <c r="AE302" t="s">
        <v>174</v>
      </c>
      <c r="AF302" t="s">
        <v>383</v>
      </c>
      <c r="AG302" t="s">
        <v>148</v>
      </c>
      <c r="AH302" t="s">
        <v>450</v>
      </c>
      <c r="AI302">
        <v>0</v>
      </c>
      <c r="AJ302">
        <v>2</v>
      </c>
      <c r="AK302">
        <v>0</v>
      </c>
      <c r="AL302">
        <v>0</v>
      </c>
      <c r="AM302">
        <v>1</v>
      </c>
      <c r="AN302">
        <v>10</v>
      </c>
      <c r="AO302">
        <v>0</v>
      </c>
      <c r="AP302">
        <v>0</v>
      </c>
      <c r="AQ302">
        <v>432</v>
      </c>
      <c r="AR302">
        <v>0</v>
      </c>
      <c r="AS302">
        <v>84</v>
      </c>
      <c r="AT302">
        <v>84</v>
      </c>
      <c r="AU302">
        <v>100</v>
      </c>
      <c r="AV302">
        <v>100</v>
      </c>
      <c r="AW302">
        <v>416336</v>
      </c>
      <c r="AX302">
        <v>291435</v>
      </c>
      <c r="AY302">
        <v>707</v>
      </c>
      <c r="AZ302">
        <v>365</v>
      </c>
      <c r="BA302">
        <v>342</v>
      </c>
      <c r="BB302">
        <v>0</v>
      </c>
      <c r="BC302" s="3">
        <v>44585</v>
      </c>
      <c r="BD302" t="s">
        <v>12</v>
      </c>
      <c r="BE302">
        <v>370000</v>
      </c>
      <c r="BF302">
        <v>370000</v>
      </c>
      <c r="BG302" t="s">
        <v>294</v>
      </c>
      <c r="BH302">
        <v>30</v>
      </c>
      <c r="BI302" t="s">
        <v>65</v>
      </c>
      <c r="BJ302" t="s">
        <v>450</v>
      </c>
      <c r="BK302">
        <v>409700</v>
      </c>
      <c r="BL302">
        <v>67600</v>
      </c>
      <c r="BM302">
        <v>342100</v>
      </c>
      <c r="BN302">
        <v>0</v>
      </c>
      <c r="BO302">
        <v>1.1072972972972972</v>
      </c>
      <c r="BP302">
        <v>412810.49099496694</v>
      </c>
      <c r="BQ302">
        <v>434636.9880364039</v>
      </c>
      <c r="BR302" s="12">
        <f>(Sales[[#This Row],[DP1]]*Lookups!$B$59)+(Sales[[#This Row],[DP2]]*Lookups!$B$60)+(Sales[[#This Row],[DP3]]*Lookups!$B$61)</f>
        <v>-21826.497043066</v>
      </c>
      <c r="BS302" s="12">
        <f>Lookups!$B$56*0</f>
        <v>0</v>
      </c>
      <c r="BT302" s="12">
        <f>Lookups!$B$56*1</f>
        <v>89850.625589999996</v>
      </c>
      <c r="BU302" s="12">
        <f>Lookups!$B$57*Sales[[#This Row],[LnAcres]]</f>
        <v>-42641.098701210125</v>
      </c>
      <c r="BV302" s="12">
        <f>VLOOKUP(Sales[[#This Row],[Qlty]],Lookups!$A$62:$E$75,2,FALSE)</f>
        <v>29814.093161000001</v>
      </c>
      <c r="BW302" s="12">
        <f>VLOOKUP(Sales[[#This Row],[Cnd]],Lookups!$A$76:$E$84,2,FALSE)</f>
        <v>197752.34721000001</v>
      </c>
      <c r="BX302" s="12">
        <f>Sales[[#This Row],[EffAge]]*Lookups!$B$85</f>
        <v>-13605.7816305</v>
      </c>
      <c r="BY302" s="12">
        <f>Sales[[#This Row],[MainFn]]*Lookups!$B$86</f>
        <v>93530.612077161</v>
      </c>
      <c r="BZ302" s="12">
        <f>Sales[[#This Row],[UpprFn]]*Lookups!$B$87</f>
        <v>28260.232825290997</v>
      </c>
      <c r="CA302" s="12">
        <f>Sales[[#This Row],[AddFn]]*Lookups!$B$88</f>
        <v>0</v>
      </c>
      <c r="CB302" s="12">
        <f>Sales[[#This Row],[Bsmt]]*Lookups!$B$89</f>
        <v>13755.736451830999</v>
      </c>
      <c r="CC302" s="12">
        <f>Sales[[#This Row],[Fixtures]]*Lookups!$B$90</f>
        <v>37920.221052000001</v>
      </c>
      <c r="CD302" s="12">
        <f>Sales[[#This Row],[WdDeck]]*Lookups!$B$91</f>
        <v>0</v>
      </c>
      <c r="CE302" s="12">
        <f>SUM(Sales[[#This Row],[Days Prior Total]:[Mdl WdDeck]])</f>
        <v>412810.49099250685</v>
      </c>
      <c r="CF302" s="12">
        <f>ROUND(Sales[[#This Row],[25Det]],-2)</f>
        <v>0</v>
      </c>
      <c r="CG302" s="12">
        <f>ROUND(SUM(Sales[[#This Row],[Mdl Qlty]:[Mdl WdDeck]])+Sales[[#This Row],[Mdl Res Intercept]]+Sales[[#This Row],[Days Prior Total]],-2)</f>
        <v>365600</v>
      </c>
      <c r="CH302" s="12">
        <f>ROUND(Sales[[#This Row],[Mdl Land Intercept]]+Sales[[#This Row],[Mdl LnAcres]],-2)</f>
        <v>47200</v>
      </c>
      <c r="CI302" s="12">
        <f>Sales[[#This Row],[Unadj Res Value]]+Sales[[#This Row],[Unadj Det Value]]+Sales[[#This Row],[Unadj Land Value]]</f>
        <v>412800</v>
      </c>
      <c r="CJ302" s="13">
        <f>Sales[[#This Row],[Unadj Total Value]]/Sales[[#This Row],[Price]]</f>
        <v>1.1156756756756756</v>
      </c>
      <c r="CK302" s="13">
        <f>(Sales[[#This Row],[Unadj Total Value]]-Sales[[#This Row],[24Final]])/Sales[[#This Row],[24Final]]</f>
        <v>7.5665120820112277E-3</v>
      </c>
      <c r="CL302">
        <f>VLOOKUP(Sales[[#This Row],[TNbhd]],Lookups!$Q$2:$T$4,4,FALSE)</f>
        <v>0.99970000000000003</v>
      </c>
      <c r="CM302">
        <f>VLOOKUP(Sales[[#This Row],[Qlty]],Lookups!$O$7:$R$21,4,FALSE)</f>
        <v>1.0088999999999999</v>
      </c>
      <c r="CN302">
        <f>VLOOKUP(Sales[[#This Row],[Cnd]],Lookups!$T$7:$W$16,4,FALSE)</f>
        <v>0.99650000000000005</v>
      </c>
      <c r="CO302">
        <f>VLOOKUP(Sales[[#This Row],[LivArea Range]],Lookups!$T$25:$W$37,4,FALSE)</f>
        <v>0.96179999999999999</v>
      </c>
      <c r="CP302">
        <f>VLOOKUP(Sales[[#This Row],[Decade]],Lookups!$O$25:$R$42,4,FALSE)</f>
        <v>0.96040000000000003</v>
      </c>
      <c r="CQ302">
        <f>Sales[[#This Row],[Nbhd Adj]]*0.95</f>
        <v>0.94971499999999998</v>
      </c>
      <c r="CR302">
        <f>Sales[[#This Row],[Nbhd Adj]]*Sales[[#This Row],[Quality Adj]]*Sales[[#This Row],[Condition Adj]]*Sales[[#This Row],[Living Area Adj]]*Sales[[#This Row],[Decade Adj]]*0.95</f>
        <v>0.88197372376634775</v>
      </c>
      <c r="CS302">
        <f>ROUND(SUM(Sales[[#This Row],[Mdl Qlty]:[Mdl WdDeck]])+Sales[[#This Row],[Mdl Res Intercept]]*Sales[[#This Row],[Res Adj ]],-2)</f>
        <v>387400</v>
      </c>
      <c r="CT302">
        <f>ROUND(Sales[[#This Row],[25Det]]*Sales[[#This Row],[Det/Nbhd Adj]],-2)</f>
        <v>0</v>
      </c>
      <c r="CU302">
        <f>Sales[[#This Row],[Adjusted Res]]+Sales[[#This Row],[Adj Det ]]</f>
        <v>387400</v>
      </c>
      <c r="CV302">
        <f>ROUND((Sales[[#This Row],[Mdl Land Intercept]]+Sales[[#This Row],[Mdl LnAcres]])*Sales[[#This Row],[Det/Nbhd Adj]],-2)</f>
        <v>44800</v>
      </c>
      <c r="CW302">
        <f>Sales[[#This Row],[Adjusted Impr Total]]+Sales[[#This Row],[Adjusted Land Total]]</f>
        <v>432200</v>
      </c>
      <c r="CX302" s="15">
        <f>IFERROR((Sales[[#This Row],[Adjusted Impr Total]]-Sales[[#This Row],[24Bldg]])/Sales[[#This Row],[24Bldg]],0)</f>
        <v>0.13241742180648933</v>
      </c>
      <c r="CY302" s="15">
        <f>(Sales[[#This Row],[Adjusted Land Total]]-Sales[[#This Row],[24Lnd]])/Sales[[#This Row],[24Lnd]]</f>
        <v>-0.33727810650887574</v>
      </c>
      <c r="CZ302" s="15">
        <f>(Sales[[#This Row],[Adjusted Total]]-Sales[[#This Row],[24Final]])/Sales[[#This Row],[24Final]]</f>
        <v>5.4918232853307297E-2</v>
      </c>
      <c r="DA302" s="15">
        <f>(Sales[[#This Row],[Adjusted Total]]+Sales[[#This Row],[Days Prior Total]])/Sales[[#This Row],[Price]]</f>
        <v>1.109117575559281</v>
      </c>
    </row>
    <row r="303" spans="1:105" x14ac:dyDescent="0.3">
      <c r="A303">
        <v>2025</v>
      </c>
      <c r="B303">
        <v>18132332437</v>
      </c>
      <c r="C303">
        <v>-1.1394342831883648</v>
      </c>
      <c r="D303">
        <v>0.32</v>
      </c>
      <c r="E303">
        <v>13730</v>
      </c>
      <c r="F303">
        <v>6</v>
      </c>
      <c r="G303" t="s">
        <v>126</v>
      </c>
      <c r="H303">
        <v>3032</v>
      </c>
      <c r="I303" t="s">
        <v>349</v>
      </c>
      <c r="J303" t="s">
        <v>30</v>
      </c>
      <c r="K303">
        <v>11</v>
      </c>
      <c r="L303">
        <v>259</v>
      </c>
      <c r="M303" t="s">
        <v>269</v>
      </c>
      <c r="N303" t="s">
        <v>351</v>
      </c>
      <c r="O303" t="s">
        <v>303</v>
      </c>
      <c r="P303">
        <v>120</v>
      </c>
      <c r="Q303">
        <v>1910</v>
      </c>
      <c r="R303">
        <v>1958</v>
      </c>
      <c r="S303">
        <v>114</v>
      </c>
      <c r="T303">
        <v>66</v>
      </c>
      <c r="U303">
        <v>2</v>
      </c>
      <c r="V303">
        <v>1248</v>
      </c>
      <c r="W303">
        <v>384</v>
      </c>
      <c r="X303">
        <v>0</v>
      </c>
      <c r="Y303">
        <v>546</v>
      </c>
      <c r="Z303">
        <v>0</v>
      </c>
      <c r="AA303">
        <v>546</v>
      </c>
      <c r="AB303">
        <v>2178</v>
      </c>
      <c r="AC303">
        <v>2500</v>
      </c>
      <c r="AD303">
        <v>0</v>
      </c>
      <c r="AF303" t="s">
        <v>384</v>
      </c>
      <c r="AG303" t="s">
        <v>382</v>
      </c>
      <c r="AI303">
        <v>1</v>
      </c>
      <c r="AJ303">
        <v>2</v>
      </c>
      <c r="AK303">
        <v>0</v>
      </c>
      <c r="AL303">
        <v>0</v>
      </c>
      <c r="AM303">
        <v>0</v>
      </c>
      <c r="AN303">
        <v>8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100</v>
      </c>
      <c r="AV303">
        <v>100</v>
      </c>
      <c r="AW303">
        <v>272151</v>
      </c>
      <c r="AX303">
        <v>179620</v>
      </c>
      <c r="AY303">
        <v>928</v>
      </c>
      <c r="AZ303">
        <v>365</v>
      </c>
      <c r="BA303">
        <v>365</v>
      </c>
      <c r="BB303">
        <v>198</v>
      </c>
      <c r="BC303" s="3">
        <v>44364</v>
      </c>
      <c r="BD303" t="s">
        <v>426</v>
      </c>
      <c r="BE303">
        <v>355000</v>
      </c>
      <c r="BF303">
        <v>343219</v>
      </c>
      <c r="BG303" t="s">
        <v>294</v>
      </c>
      <c r="BH303">
        <v>30</v>
      </c>
      <c r="BI303" t="s">
        <v>65</v>
      </c>
      <c r="BJ303" t="s">
        <v>450</v>
      </c>
      <c r="BK303">
        <v>371300</v>
      </c>
      <c r="BL303">
        <v>74800</v>
      </c>
      <c r="BM303">
        <v>296500</v>
      </c>
      <c r="BN303">
        <v>11781</v>
      </c>
      <c r="BO303">
        <v>1.0459154929577466</v>
      </c>
      <c r="BP303">
        <v>335406.55261662812</v>
      </c>
      <c r="BQ303">
        <v>383445.83585928159</v>
      </c>
      <c r="BR303" s="12">
        <f>(Sales[[#This Row],[DP1]]*Lookups!$B$59)+(Sales[[#This Row],[DP2]]*Lookups!$B$60)+(Sales[[#This Row],[DP3]]*Lookups!$B$61)</f>
        <v>-48039.283249270004</v>
      </c>
      <c r="BS303" s="12">
        <f>Lookups!$B$56*0</f>
        <v>0</v>
      </c>
      <c r="BT303" s="12">
        <f>Lookups!$B$56*1</f>
        <v>89850.625589999996</v>
      </c>
      <c r="BU303" s="12">
        <f>Lookups!$B$57*Sales[[#This Row],[LnAcres]]</f>
        <v>-36068.354396449467</v>
      </c>
      <c r="BV303" s="12">
        <f>VLOOKUP(Sales[[#This Row],[Qlty]],Lookups!$A$62:$E$75,2,FALSE)</f>
        <v>21557.329055999999</v>
      </c>
      <c r="BW303" s="12">
        <f>VLOOKUP(Sales[[#This Row],[Cnd]],Lookups!$A$76:$E$84,2,FALSE)</f>
        <v>197752.34721000001</v>
      </c>
      <c r="BX303" s="12">
        <f>Sales[[#This Row],[EffAge]]*Lookups!$B$85</f>
        <v>-14721.009633</v>
      </c>
      <c r="BY303" s="12">
        <f>Sales[[#This Row],[MainFn]]*Lookups!$B$86</f>
        <v>61662.020006496001</v>
      </c>
      <c r="BZ303" s="12">
        <f>Sales[[#This Row],[UpprFn]]*Lookups!$B$87</f>
        <v>17197.986378623998</v>
      </c>
      <c r="CA303" s="12">
        <f>Sales[[#This Row],[AddFn]]*Lookups!$B$88</f>
        <v>0</v>
      </c>
      <c r="CB303" s="12">
        <f>Sales[[#This Row],[Bsmt]]*Lookups!$B$89</f>
        <v>15878.714804861998</v>
      </c>
      <c r="CC303" s="12">
        <f>Sales[[#This Row],[Fixtures]]*Lookups!$B$90</f>
        <v>30336.176841600001</v>
      </c>
      <c r="CD303" s="12">
        <f>Sales[[#This Row],[WdDeck]]*Lookups!$B$91</f>
        <v>0</v>
      </c>
      <c r="CE303" s="12">
        <f>SUM(Sales[[#This Row],[Days Prior Total]:[Mdl WdDeck]])</f>
        <v>335406.55260886246</v>
      </c>
      <c r="CF303" s="12">
        <f>ROUND(Sales[[#This Row],[25Det]],-2)</f>
        <v>11800</v>
      </c>
      <c r="CG303" s="12">
        <f>ROUND(SUM(Sales[[#This Row],[Mdl Qlty]:[Mdl WdDeck]])+Sales[[#This Row],[Mdl Res Intercept]]+Sales[[#This Row],[Days Prior Total]],-2)</f>
        <v>281600</v>
      </c>
      <c r="CH303" s="12">
        <f>ROUND(Sales[[#This Row],[Mdl Land Intercept]]+Sales[[#This Row],[Mdl LnAcres]],-2)</f>
        <v>53800</v>
      </c>
      <c r="CI303" s="12">
        <f>Sales[[#This Row],[Unadj Res Value]]+Sales[[#This Row],[Unadj Det Value]]+Sales[[#This Row],[Unadj Land Value]]</f>
        <v>347200</v>
      </c>
      <c r="CJ303" s="13">
        <f>Sales[[#This Row],[Unadj Total Value]]/Sales[[#This Row],[Price]]</f>
        <v>0.97802816901408451</v>
      </c>
      <c r="CK303" s="13">
        <f>(Sales[[#This Row],[Unadj Total Value]]-Sales[[#This Row],[24Final]])/Sales[[#This Row],[24Final]]</f>
        <v>-6.4907083221115006E-2</v>
      </c>
      <c r="CL303">
        <f>VLOOKUP(Sales[[#This Row],[TNbhd]],Lookups!$Q$2:$T$4,4,FALSE)</f>
        <v>0.99970000000000003</v>
      </c>
      <c r="CM303">
        <f>VLOOKUP(Sales[[#This Row],[Qlty]],Lookups!$O$7:$R$21,4,FALSE)</f>
        <v>1.0067999999999999</v>
      </c>
      <c r="CN303">
        <f>VLOOKUP(Sales[[#This Row],[Cnd]],Lookups!$T$7:$W$16,4,FALSE)</f>
        <v>0.99650000000000005</v>
      </c>
      <c r="CO303">
        <f>VLOOKUP(Sales[[#This Row],[LivArea Range]],Lookups!$T$25:$W$37,4,FALSE)</f>
        <v>0.98919999999999997</v>
      </c>
      <c r="CP303">
        <f>VLOOKUP(Sales[[#This Row],[Decade]],Lookups!$O$25:$R$42,4,FALSE)</f>
        <v>0.93389999999999995</v>
      </c>
      <c r="CQ303">
        <f>Sales[[#This Row],[Nbhd Adj]]*0.95</f>
        <v>0.94971499999999998</v>
      </c>
      <c r="CR303">
        <f>Sales[[#This Row],[Nbhd Adj]]*Sales[[#This Row],[Quality Adj]]*Sales[[#This Row],[Condition Adj]]*Sales[[#This Row],[Living Area Adj]]*Sales[[#This Row],[Decade Adj]]*0.95</f>
        <v>0.88023430554544835</v>
      </c>
      <c r="CS303">
        <f>ROUND(SUM(Sales[[#This Row],[Mdl Qlty]:[Mdl WdDeck]])+Sales[[#This Row],[Mdl Res Intercept]]*Sales[[#This Row],[Res Adj ]],-2)</f>
        <v>329700</v>
      </c>
      <c r="CT303">
        <f>ROUND(Sales[[#This Row],[25Det]]*Sales[[#This Row],[Det/Nbhd Adj]],-2)</f>
        <v>11200</v>
      </c>
      <c r="CU303">
        <f>Sales[[#This Row],[Adjusted Res]]+Sales[[#This Row],[Adj Det ]]</f>
        <v>340900</v>
      </c>
      <c r="CV303">
        <f>ROUND((Sales[[#This Row],[Mdl Land Intercept]]+Sales[[#This Row],[Mdl LnAcres]])*Sales[[#This Row],[Det/Nbhd Adj]],-2)</f>
        <v>51100</v>
      </c>
      <c r="CW303">
        <f>Sales[[#This Row],[Adjusted Impr Total]]+Sales[[#This Row],[Adjusted Land Total]]</f>
        <v>392000</v>
      </c>
      <c r="CX303" s="15">
        <f>IFERROR((Sales[[#This Row],[Adjusted Impr Total]]-Sales[[#This Row],[24Bldg]])/Sales[[#This Row],[24Bldg]],0)</f>
        <v>0.14974704890387858</v>
      </c>
      <c r="CY303" s="15">
        <f>(Sales[[#This Row],[Adjusted Land Total]]-Sales[[#This Row],[24Lnd]])/Sales[[#This Row],[24Lnd]]</f>
        <v>-0.31684491978609625</v>
      </c>
      <c r="CZ303" s="15">
        <f>(Sales[[#This Row],[Adjusted Total]]-Sales[[#This Row],[24Final]])/Sales[[#This Row],[24Final]]</f>
        <v>5.5750067330999194E-2</v>
      </c>
      <c r="DA303" s="15">
        <f>(Sales[[#This Row],[Adjusted Total]]+Sales[[#This Row],[Days Prior Total]])/Sales[[#This Row],[Price]]</f>
        <v>0.9689034274668451</v>
      </c>
    </row>
    <row r="304" spans="1:105" x14ac:dyDescent="0.3">
      <c r="A304">
        <v>2025</v>
      </c>
      <c r="B304">
        <v>18132241472</v>
      </c>
      <c r="C304">
        <v>-1.7147984280919266</v>
      </c>
      <c r="D304">
        <v>0.18</v>
      </c>
      <c r="E304">
        <v>8058</v>
      </c>
      <c r="F304">
        <v>6</v>
      </c>
      <c r="G304" t="s">
        <v>126</v>
      </c>
      <c r="H304">
        <v>3033</v>
      </c>
      <c r="I304" t="s">
        <v>349</v>
      </c>
      <c r="J304" t="s">
        <v>30</v>
      </c>
      <c r="K304">
        <v>11</v>
      </c>
      <c r="L304">
        <v>400</v>
      </c>
      <c r="M304" t="s">
        <v>242</v>
      </c>
      <c r="N304" t="s">
        <v>205</v>
      </c>
      <c r="O304" t="s">
        <v>303</v>
      </c>
      <c r="P304">
        <v>120</v>
      </c>
      <c r="Q304">
        <v>1910</v>
      </c>
      <c r="R304">
        <v>1958</v>
      </c>
      <c r="S304">
        <v>114</v>
      </c>
      <c r="T304">
        <v>66</v>
      </c>
      <c r="U304">
        <v>1</v>
      </c>
      <c r="V304">
        <v>776</v>
      </c>
      <c r="W304">
        <v>0</v>
      </c>
      <c r="X304">
        <v>0</v>
      </c>
      <c r="Y304">
        <v>560</v>
      </c>
      <c r="Z304">
        <v>0</v>
      </c>
      <c r="AA304">
        <v>560</v>
      </c>
      <c r="AB304">
        <v>1336</v>
      </c>
      <c r="AC304">
        <v>1500</v>
      </c>
      <c r="AD304">
        <v>0</v>
      </c>
      <c r="AF304" t="s">
        <v>383</v>
      </c>
      <c r="AG304" t="s">
        <v>148</v>
      </c>
      <c r="AH304" t="s">
        <v>65</v>
      </c>
      <c r="AI304">
        <v>0</v>
      </c>
      <c r="AJ304">
        <v>0</v>
      </c>
      <c r="AK304">
        <v>0</v>
      </c>
      <c r="AL304">
        <v>2</v>
      </c>
      <c r="AM304">
        <v>0</v>
      </c>
      <c r="AN304">
        <v>9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100</v>
      </c>
      <c r="AV304">
        <v>100</v>
      </c>
      <c r="AW304">
        <v>167927</v>
      </c>
      <c r="AX304">
        <v>110832</v>
      </c>
      <c r="AY304">
        <v>706</v>
      </c>
      <c r="AZ304">
        <v>365</v>
      </c>
      <c r="BA304">
        <v>341</v>
      </c>
      <c r="BB304">
        <v>0</v>
      </c>
      <c r="BC304" s="3">
        <v>44586</v>
      </c>
      <c r="BD304" t="s">
        <v>68</v>
      </c>
      <c r="BE304">
        <v>250000</v>
      </c>
      <c r="BF304">
        <v>248042</v>
      </c>
      <c r="BG304" t="s">
        <v>294</v>
      </c>
      <c r="BH304">
        <v>30</v>
      </c>
      <c r="BI304" t="s">
        <v>65</v>
      </c>
      <c r="BJ304" t="s">
        <v>450</v>
      </c>
      <c r="BK304">
        <v>294500</v>
      </c>
      <c r="BL304">
        <v>58400</v>
      </c>
      <c r="BM304">
        <v>236100</v>
      </c>
      <c r="BN304">
        <v>1958</v>
      </c>
      <c r="BO304">
        <v>1.1779999999999999</v>
      </c>
      <c r="BP304">
        <v>285517.88575033552</v>
      </c>
      <c r="BQ304">
        <v>307355.86596342479</v>
      </c>
      <c r="BR304" s="12">
        <f>(Sales[[#This Row],[DP1]]*Lookups!$B$59)+(Sales[[#This Row],[DP2]]*Lookups!$B$60)+(Sales[[#This Row],[DP3]]*Lookups!$B$61)</f>
        <v>-21837.980214718002</v>
      </c>
      <c r="BS304" s="12">
        <f>Lookups!$B$56*0</f>
        <v>0</v>
      </c>
      <c r="BT304" s="12">
        <f>Lookups!$B$56*1</f>
        <v>89850.625589999996</v>
      </c>
      <c r="BU304" s="12">
        <f>Lookups!$B$57*Sales[[#This Row],[LnAcres]]</f>
        <v>-54281.285314520763</v>
      </c>
      <c r="BV304" s="12">
        <f>VLOOKUP(Sales[[#This Row],[Qlty]],Lookups!$A$62:$E$75,2,FALSE)</f>
        <v>0</v>
      </c>
      <c r="BW304" s="12">
        <f>VLOOKUP(Sales[[#This Row],[Cnd]],Lookups!$A$76:$E$84,2,FALSE)</f>
        <v>197752.34721000001</v>
      </c>
      <c r="BX304" s="12">
        <f>Sales[[#This Row],[EffAge]]*Lookups!$B$85</f>
        <v>-14721.009633</v>
      </c>
      <c r="BY304" s="12">
        <f>Sales[[#This Row],[MainFn]]*Lookups!$B$86</f>
        <v>38341.127824552001</v>
      </c>
      <c r="BZ304" s="12">
        <f>Sales[[#This Row],[UpprFn]]*Lookups!$B$87</f>
        <v>0</v>
      </c>
      <c r="CA304" s="12">
        <f>Sales[[#This Row],[AddFn]]*Lookups!$B$88</f>
        <v>0</v>
      </c>
      <c r="CB304" s="12">
        <f>Sales[[#This Row],[Bsmt]]*Lookups!$B$89</f>
        <v>16285.861338319999</v>
      </c>
      <c r="CC304" s="12">
        <f>Sales[[#This Row],[Fixtures]]*Lookups!$B$90</f>
        <v>34128.198946800003</v>
      </c>
      <c r="CD304" s="12">
        <f>Sales[[#This Row],[WdDeck]]*Lookups!$B$91</f>
        <v>0</v>
      </c>
      <c r="CE304" s="12">
        <f>SUM(Sales[[#This Row],[Days Prior Total]:[Mdl WdDeck]])</f>
        <v>285517.88574743329</v>
      </c>
      <c r="CF304" s="12">
        <f>ROUND(Sales[[#This Row],[25Det]],-2)</f>
        <v>2000</v>
      </c>
      <c r="CG304" s="12">
        <f>ROUND(SUM(Sales[[#This Row],[Mdl Qlty]:[Mdl WdDeck]])+Sales[[#This Row],[Mdl Res Intercept]]+Sales[[#This Row],[Days Prior Total]],-2)</f>
        <v>249900</v>
      </c>
      <c r="CH304" s="12">
        <f>ROUND(Sales[[#This Row],[Mdl Land Intercept]]+Sales[[#This Row],[Mdl LnAcres]],-2)</f>
        <v>35600</v>
      </c>
      <c r="CI304" s="12">
        <f>Sales[[#This Row],[Unadj Res Value]]+Sales[[#This Row],[Unadj Det Value]]+Sales[[#This Row],[Unadj Land Value]]</f>
        <v>287500</v>
      </c>
      <c r="CJ304" s="13">
        <f>Sales[[#This Row],[Unadj Total Value]]/Sales[[#This Row],[Price]]</f>
        <v>1.1499999999999999</v>
      </c>
      <c r="CK304" s="13">
        <f>(Sales[[#This Row],[Unadj Total Value]]-Sales[[#This Row],[24Final]])/Sales[[#This Row],[24Final]]</f>
        <v>-2.3769100169779286E-2</v>
      </c>
      <c r="CL304">
        <f>VLOOKUP(Sales[[#This Row],[TNbhd]],Lookups!$Q$2:$T$4,4,FALSE)</f>
        <v>0.99970000000000003</v>
      </c>
      <c r="CM304">
        <f>VLOOKUP(Sales[[#This Row],[Qlty]],Lookups!$O$7:$R$21,4,FALSE)</f>
        <v>0.99180000000000001</v>
      </c>
      <c r="CN304">
        <f>VLOOKUP(Sales[[#This Row],[Cnd]],Lookups!$T$7:$W$16,4,FALSE)</f>
        <v>0.99650000000000005</v>
      </c>
      <c r="CO304">
        <f>VLOOKUP(Sales[[#This Row],[LivArea Range]],Lookups!$T$25:$W$37,4,FALSE)</f>
        <v>1.0157</v>
      </c>
      <c r="CP304">
        <f>VLOOKUP(Sales[[#This Row],[Decade]],Lookups!$O$25:$R$42,4,FALSE)</f>
        <v>0.93389999999999995</v>
      </c>
      <c r="CQ304">
        <f>Sales[[#This Row],[Nbhd Adj]]*0.95</f>
        <v>0.94971499999999998</v>
      </c>
      <c r="CR304">
        <f>Sales[[#This Row],[Nbhd Adj]]*Sales[[#This Row],[Quality Adj]]*Sales[[#This Row],[Condition Adj]]*Sales[[#This Row],[Living Area Adj]]*Sales[[#This Row],[Decade Adj]]*0.95</f>
        <v>0.89034952684919233</v>
      </c>
      <c r="CS304">
        <f>ROUND(SUM(Sales[[#This Row],[Mdl Qlty]:[Mdl WdDeck]])+Sales[[#This Row],[Mdl Res Intercept]]*Sales[[#This Row],[Res Adj ]],-2)</f>
        <v>271800</v>
      </c>
      <c r="CT304">
        <f>ROUND(Sales[[#This Row],[25Det]]*Sales[[#This Row],[Det/Nbhd Adj]],-2)</f>
        <v>1900</v>
      </c>
      <c r="CU304">
        <f>Sales[[#This Row],[Adjusted Res]]+Sales[[#This Row],[Adj Det ]]</f>
        <v>273700</v>
      </c>
      <c r="CV304">
        <f>ROUND((Sales[[#This Row],[Mdl Land Intercept]]+Sales[[#This Row],[Mdl LnAcres]])*Sales[[#This Row],[Det/Nbhd Adj]],-2)</f>
        <v>33800</v>
      </c>
      <c r="CW304">
        <f>Sales[[#This Row],[Adjusted Impr Total]]+Sales[[#This Row],[Adjusted Land Total]]</f>
        <v>307500</v>
      </c>
      <c r="CX304" s="15">
        <f>IFERROR((Sales[[#This Row],[Adjusted Impr Total]]-Sales[[#This Row],[24Bldg]])/Sales[[#This Row],[24Bldg]],0)</f>
        <v>0.1592545531554426</v>
      </c>
      <c r="CY304" s="15">
        <f>(Sales[[#This Row],[Adjusted Land Total]]-Sales[[#This Row],[24Lnd]])/Sales[[#This Row],[24Lnd]]</f>
        <v>-0.42123287671232879</v>
      </c>
      <c r="CZ304" s="15">
        <f>(Sales[[#This Row],[Adjusted Total]]-Sales[[#This Row],[24Final]])/Sales[[#This Row],[24Final]]</f>
        <v>4.4142614601018676E-2</v>
      </c>
      <c r="DA304" s="15">
        <f>(Sales[[#This Row],[Adjusted Total]]+Sales[[#This Row],[Days Prior Total]])/Sales[[#This Row],[Price]]</f>
        <v>1.142648079141128</v>
      </c>
    </row>
    <row r="305" spans="1:105" x14ac:dyDescent="0.3">
      <c r="A305">
        <v>2025</v>
      </c>
      <c r="B305">
        <v>18132241477</v>
      </c>
      <c r="C305">
        <v>-1.3093333199837622</v>
      </c>
      <c r="D305">
        <v>0.27</v>
      </c>
      <c r="E305">
        <v>11760</v>
      </c>
      <c r="F305">
        <v>6</v>
      </c>
      <c r="G305" t="s">
        <v>126</v>
      </c>
      <c r="H305" t="s">
        <v>349</v>
      </c>
      <c r="I305" t="s">
        <v>349</v>
      </c>
      <c r="J305" t="s">
        <v>30</v>
      </c>
      <c r="K305">
        <v>11</v>
      </c>
      <c r="L305">
        <v>259</v>
      </c>
      <c r="M305" t="s">
        <v>416</v>
      </c>
      <c r="N305" t="s">
        <v>351</v>
      </c>
      <c r="O305" t="s">
        <v>303</v>
      </c>
      <c r="P305">
        <v>120</v>
      </c>
      <c r="Q305">
        <v>1909</v>
      </c>
      <c r="R305">
        <v>1957</v>
      </c>
      <c r="S305">
        <v>115</v>
      </c>
      <c r="T305">
        <v>67</v>
      </c>
      <c r="U305">
        <v>2</v>
      </c>
      <c r="V305">
        <v>1024</v>
      </c>
      <c r="W305">
        <v>600</v>
      </c>
      <c r="X305">
        <v>0</v>
      </c>
      <c r="Y305">
        <v>560</v>
      </c>
      <c r="Z305">
        <v>560</v>
      </c>
      <c r="AA305">
        <v>0</v>
      </c>
      <c r="AB305">
        <v>1624</v>
      </c>
      <c r="AC305">
        <v>2000</v>
      </c>
      <c r="AD305">
        <v>0</v>
      </c>
      <c r="AF305" t="s">
        <v>383</v>
      </c>
      <c r="AG305" t="s">
        <v>148</v>
      </c>
      <c r="AH305" t="s">
        <v>450</v>
      </c>
      <c r="AI305">
        <v>1</v>
      </c>
      <c r="AJ305">
        <v>0</v>
      </c>
      <c r="AK305">
        <v>0</v>
      </c>
      <c r="AL305">
        <v>0</v>
      </c>
      <c r="AM305">
        <v>1</v>
      </c>
      <c r="AN305">
        <v>7</v>
      </c>
      <c r="AO305">
        <v>0</v>
      </c>
      <c r="AP305">
        <v>0</v>
      </c>
      <c r="AQ305">
        <v>0</v>
      </c>
      <c r="AR305">
        <v>0</v>
      </c>
      <c r="AS305">
        <v>112</v>
      </c>
      <c r="AT305">
        <v>112</v>
      </c>
      <c r="AU305">
        <v>100</v>
      </c>
      <c r="AV305">
        <v>100</v>
      </c>
      <c r="AW305">
        <v>294349</v>
      </c>
      <c r="AX305">
        <v>194270</v>
      </c>
      <c r="AY305">
        <v>13</v>
      </c>
      <c r="AZ305">
        <v>13</v>
      </c>
      <c r="BA305">
        <v>0</v>
      </c>
      <c r="BB305">
        <v>0</v>
      </c>
      <c r="BC305" s="3">
        <v>45279</v>
      </c>
      <c r="BD305" t="s">
        <v>336</v>
      </c>
      <c r="BE305">
        <v>346500</v>
      </c>
      <c r="BF305">
        <v>342947</v>
      </c>
      <c r="BG305" t="s">
        <v>294</v>
      </c>
      <c r="BH305">
        <v>30</v>
      </c>
      <c r="BI305" t="s">
        <v>65</v>
      </c>
      <c r="BJ305" t="s">
        <v>450</v>
      </c>
      <c r="BK305">
        <v>346800</v>
      </c>
      <c r="BL305">
        <v>68900</v>
      </c>
      <c r="BM305">
        <v>277900</v>
      </c>
      <c r="BN305">
        <v>3553</v>
      </c>
      <c r="BO305">
        <v>1.0008658008658009</v>
      </c>
      <c r="BP305">
        <v>372148.89469274052</v>
      </c>
      <c r="BQ305">
        <v>373066.15124809556</v>
      </c>
      <c r="BR305" s="12">
        <f>(Sales[[#This Row],[DP1]]*Lookups!$B$59)+(Sales[[#This Row],[DP2]]*Lookups!$B$60)+(Sales[[#This Row],[DP3]]*Lookups!$B$61)</f>
        <v>-917.25655541000015</v>
      </c>
      <c r="BS305" s="12">
        <f>Lookups!$B$56*0</f>
        <v>0</v>
      </c>
      <c r="BT305" s="12">
        <f>Lookups!$B$56*1</f>
        <v>89850.625589999996</v>
      </c>
      <c r="BU305" s="12">
        <f>Lookups!$B$57*Sales[[#This Row],[LnAcres]]</f>
        <v>-41446.443120973789</v>
      </c>
      <c r="BV305" s="12">
        <f>VLOOKUP(Sales[[#This Row],[Qlty]],Lookups!$A$62:$E$75,2,FALSE)</f>
        <v>21557.329055999999</v>
      </c>
      <c r="BW305" s="12">
        <f>VLOOKUP(Sales[[#This Row],[Cnd]],Lookups!$A$76:$E$84,2,FALSE)</f>
        <v>197752.34721000001</v>
      </c>
      <c r="BX305" s="12">
        <f>Sales[[#This Row],[EffAge]]*Lookups!$B$85</f>
        <v>-14944.055233500001</v>
      </c>
      <c r="BY305" s="12">
        <f>Sales[[#This Row],[MainFn]]*Lookups!$B$86</f>
        <v>50594.477954048001</v>
      </c>
      <c r="BZ305" s="12">
        <f>Sales[[#This Row],[UpprFn]]*Lookups!$B$87</f>
        <v>26871.853716599999</v>
      </c>
      <c r="CA305" s="12">
        <f>Sales[[#This Row],[AddFn]]*Lookups!$B$88</f>
        <v>0</v>
      </c>
      <c r="CB305" s="12">
        <f>Sales[[#This Row],[Bsmt]]*Lookups!$B$89</f>
        <v>16285.861338319999</v>
      </c>
      <c r="CC305" s="12">
        <f>Sales[[#This Row],[Fixtures]]*Lookups!$B$90</f>
        <v>26544.1547364</v>
      </c>
      <c r="CD305" s="12">
        <f>Sales[[#This Row],[WdDeck]]*Lookups!$B$91</f>
        <v>0</v>
      </c>
      <c r="CE305" s="12">
        <f>SUM(Sales[[#This Row],[Days Prior Total]:[Mdl WdDeck]])</f>
        <v>372148.89469148422</v>
      </c>
      <c r="CF305" s="12">
        <f>ROUND(Sales[[#This Row],[25Det]],-2)</f>
        <v>3600</v>
      </c>
      <c r="CG305" s="12">
        <f>ROUND(SUM(Sales[[#This Row],[Mdl Qlty]:[Mdl WdDeck]])+Sales[[#This Row],[Mdl Res Intercept]]+Sales[[#This Row],[Days Prior Total]],-2)</f>
        <v>323700</v>
      </c>
      <c r="CH305" s="12">
        <f>ROUND(Sales[[#This Row],[Mdl Land Intercept]]+Sales[[#This Row],[Mdl LnAcres]],-2)</f>
        <v>48400</v>
      </c>
      <c r="CI305" s="12">
        <f>Sales[[#This Row],[Unadj Res Value]]+Sales[[#This Row],[Unadj Det Value]]+Sales[[#This Row],[Unadj Land Value]]</f>
        <v>375700</v>
      </c>
      <c r="CJ305" s="13">
        <f>Sales[[#This Row],[Unadj Total Value]]/Sales[[#This Row],[Price]]</f>
        <v>1.0842712842712843</v>
      </c>
      <c r="CK305" s="13">
        <f>(Sales[[#This Row],[Unadj Total Value]]-Sales[[#This Row],[24Final]])/Sales[[#This Row],[24Final]]</f>
        <v>8.3333333333333329E-2</v>
      </c>
      <c r="CL305">
        <f>VLOOKUP(Sales[[#This Row],[TNbhd]],Lookups!$Q$2:$T$4,4,FALSE)</f>
        <v>0.99970000000000003</v>
      </c>
      <c r="CM305">
        <f>VLOOKUP(Sales[[#This Row],[Qlty]],Lookups!$O$7:$R$21,4,FALSE)</f>
        <v>1.0067999999999999</v>
      </c>
      <c r="CN305">
        <f>VLOOKUP(Sales[[#This Row],[Cnd]],Lookups!$T$7:$W$16,4,FALSE)</f>
        <v>0.99650000000000005</v>
      </c>
      <c r="CO305">
        <f>VLOOKUP(Sales[[#This Row],[LivArea Range]],Lookups!$T$25:$W$37,4,FALSE)</f>
        <v>1.0093000000000001</v>
      </c>
      <c r="CP305">
        <f>VLOOKUP(Sales[[#This Row],[Decade]],Lookups!$O$25:$R$42,4,FALSE)</f>
        <v>0.93389999999999995</v>
      </c>
      <c r="CQ305">
        <f>Sales[[#This Row],[Nbhd Adj]]*0.95</f>
        <v>0.94971499999999998</v>
      </c>
      <c r="CR305">
        <f>Sales[[#This Row],[Nbhd Adj]]*Sales[[#This Row],[Quality Adj]]*Sales[[#This Row],[Condition Adj]]*Sales[[#This Row],[Living Area Adj]]*Sales[[#This Row],[Decade Adj]]*0.95</f>
        <v>0.89812018255865456</v>
      </c>
      <c r="CS305">
        <f>ROUND(SUM(Sales[[#This Row],[Mdl Qlty]:[Mdl WdDeck]])+Sales[[#This Row],[Mdl Res Intercept]]*Sales[[#This Row],[Res Adj ]],-2)</f>
        <v>324700</v>
      </c>
      <c r="CT305">
        <f>ROUND(Sales[[#This Row],[25Det]]*Sales[[#This Row],[Det/Nbhd Adj]],-2)</f>
        <v>3400</v>
      </c>
      <c r="CU305">
        <f>Sales[[#This Row],[Adjusted Res]]+Sales[[#This Row],[Adj Det ]]</f>
        <v>328100</v>
      </c>
      <c r="CV305">
        <f>ROUND((Sales[[#This Row],[Mdl Land Intercept]]+Sales[[#This Row],[Mdl LnAcres]])*Sales[[#This Row],[Det/Nbhd Adj]],-2)</f>
        <v>46000</v>
      </c>
      <c r="CW305">
        <f>Sales[[#This Row],[Adjusted Impr Total]]+Sales[[#This Row],[Adjusted Land Total]]</f>
        <v>374100</v>
      </c>
      <c r="CX305" s="15">
        <f>IFERROR((Sales[[#This Row],[Adjusted Impr Total]]-Sales[[#This Row],[24Bldg]])/Sales[[#This Row],[24Bldg]],0)</f>
        <v>0.18064051817200433</v>
      </c>
      <c r="CY305" s="15">
        <f>(Sales[[#This Row],[Adjusted Land Total]]-Sales[[#This Row],[24Lnd]])/Sales[[#This Row],[24Lnd]]</f>
        <v>-0.33236574746008707</v>
      </c>
      <c r="CZ305" s="15">
        <f>(Sales[[#This Row],[Adjusted Total]]-Sales[[#This Row],[24Final]])/Sales[[#This Row],[24Final]]</f>
        <v>7.8719723183391002E-2</v>
      </c>
      <c r="DA305" s="15">
        <f>(Sales[[#This Row],[Adjusted Total]]+Sales[[#This Row],[Days Prior Total]])/Sales[[#This Row],[Price]]</f>
        <v>1.0770064745875614</v>
      </c>
    </row>
    <row r="306" spans="1:105" x14ac:dyDescent="0.3">
      <c r="A306">
        <v>2025</v>
      </c>
      <c r="B306">
        <v>18132341493</v>
      </c>
      <c r="C306">
        <v>-1.2039728043259361</v>
      </c>
      <c r="D306">
        <v>0.3</v>
      </c>
      <c r="E306">
        <v>0</v>
      </c>
      <c r="F306">
        <v>6</v>
      </c>
      <c r="G306" t="s">
        <v>126</v>
      </c>
      <c r="H306" t="s">
        <v>299</v>
      </c>
      <c r="I306" t="s">
        <v>349</v>
      </c>
      <c r="J306" t="s">
        <v>30</v>
      </c>
      <c r="K306">
        <v>11</v>
      </c>
      <c r="L306">
        <v>259</v>
      </c>
      <c r="M306" t="s">
        <v>242</v>
      </c>
      <c r="N306" t="s">
        <v>302</v>
      </c>
      <c r="O306" t="s">
        <v>96</v>
      </c>
      <c r="P306">
        <v>130</v>
      </c>
      <c r="Q306">
        <v>1902</v>
      </c>
      <c r="R306">
        <v>1960</v>
      </c>
      <c r="S306">
        <v>122</v>
      </c>
      <c r="T306">
        <v>64</v>
      </c>
      <c r="U306">
        <v>2</v>
      </c>
      <c r="V306">
        <v>1198</v>
      </c>
      <c r="W306">
        <v>449</v>
      </c>
      <c r="X306">
        <v>0</v>
      </c>
      <c r="Y306">
        <v>0</v>
      </c>
      <c r="Z306">
        <v>0</v>
      </c>
      <c r="AA306">
        <v>0</v>
      </c>
      <c r="AB306">
        <v>1647</v>
      </c>
      <c r="AC306">
        <v>2000</v>
      </c>
      <c r="AD306">
        <v>1</v>
      </c>
      <c r="AF306" t="s">
        <v>383</v>
      </c>
      <c r="AG306" t="s">
        <v>148</v>
      </c>
      <c r="AH306" t="s">
        <v>65</v>
      </c>
      <c r="AI306">
        <v>1</v>
      </c>
      <c r="AJ306">
        <v>0</v>
      </c>
      <c r="AK306">
        <v>0</v>
      </c>
      <c r="AL306">
        <v>1</v>
      </c>
      <c r="AM306">
        <v>0</v>
      </c>
      <c r="AN306">
        <v>8</v>
      </c>
      <c r="AO306">
        <v>0</v>
      </c>
      <c r="AP306">
        <v>1198</v>
      </c>
      <c r="AQ306">
        <v>0</v>
      </c>
      <c r="AR306">
        <v>0</v>
      </c>
      <c r="AS306">
        <v>0</v>
      </c>
      <c r="AT306">
        <v>0</v>
      </c>
      <c r="AU306">
        <v>100</v>
      </c>
      <c r="AV306">
        <v>100</v>
      </c>
      <c r="AW306">
        <v>280870</v>
      </c>
      <c r="AX306">
        <v>210653</v>
      </c>
      <c r="AY306">
        <v>907</v>
      </c>
      <c r="AZ306">
        <v>365</v>
      </c>
      <c r="BA306">
        <v>365</v>
      </c>
      <c r="BB306">
        <v>177</v>
      </c>
      <c r="BC306" s="3">
        <v>44385</v>
      </c>
      <c r="BD306" t="s">
        <v>469</v>
      </c>
      <c r="BE306">
        <v>310000</v>
      </c>
      <c r="BF306">
        <v>310000</v>
      </c>
      <c r="BG306" t="s">
        <v>294</v>
      </c>
      <c r="BH306">
        <v>30</v>
      </c>
      <c r="BI306" t="s">
        <v>65</v>
      </c>
      <c r="BJ306" t="s">
        <v>450</v>
      </c>
      <c r="BK306">
        <v>377800</v>
      </c>
      <c r="BL306">
        <v>72500</v>
      </c>
      <c r="BM306">
        <v>305300</v>
      </c>
      <c r="BN306">
        <v>0</v>
      </c>
      <c r="BO306">
        <v>1.2187096774193549</v>
      </c>
      <c r="BP306">
        <v>485754.63595059409</v>
      </c>
      <c r="BQ306">
        <v>530985.76322287589</v>
      </c>
      <c r="BR306" s="12">
        <f>(Sales[[#This Row],[DP1]]*Lookups!$B$59)+(Sales[[#This Row],[DP2]]*Lookups!$B$60)+(Sales[[#This Row],[DP3]]*Lookups!$B$61)</f>
        <v>-45231.127278370004</v>
      </c>
      <c r="BS306" s="12">
        <f>Lookups!$B$56*0</f>
        <v>0</v>
      </c>
      <c r="BT306" s="12">
        <f>Lookups!$B$56*1</f>
        <v>89850.625589999996</v>
      </c>
      <c r="BU306" s="12">
        <f>Lookups!$B$57*Sales[[#This Row],[LnAcres]]</f>
        <v>-38111.29648355169</v>
      </c>
      <c r="BV306" s="12">
        <f>VLOOKUP(Sales[[#This Row],[Qlty]],Lookups!$A$62:$E$75,2,FALSE)</f>
        <v>29814.093161000001</v>
      </c>
      <c r="BW306" s="12">
        <f>VLOOKUP(Sales[[#This Row],[Cnd]],Lookups!$A$76:$E$84,2,FALSE)</f>
        <v>354070.39217000001</v>
      </c>
      <c r="BX306" s="12">
        <f>Sales[[#This Row],[EffAge]]*Lookups!$B$85</f>
        <v>-14274.918432</v>
      </c>
      <c r="BY306" s="12">
        <f>Sales[[#This Row],[MainFn]]*Lookups!$B$86</f>
        <v>59191.586512646005</v>
      </c>
      <c r="BZ306" s="12">
        <f>Sales[[#This Row],[UpprFn]]*Lookups!$B$87</f>
        <v>20109.103864589</v>
      </c>
      <c r="CA306" s="12">
        <f>Sales[[#This Row],[AddFn]]*Lookups!$B$88</f>
        <v>0</v>
      </c>
      <c r="CB306" s="12">
        <f>Sales[[#This Row],[Bsmt]]*Lookups!$B$89</f>
        <v>0</v>
      </c>
      <c r="CC306" s="12">
        <f>Sales[[#This Row],[Fixtures]]*Lookups!$B$90</f>
        <v>30336.176841600001</v>
      </c>
      <c r="CD306" s="12">
        <f>Sales[[#This Row],[WdDeck]]*Lookups!$B$91</f>
        <v>0</v>
      </c>
      <c r="CE306" s="12">
        <f>SUM(Sales[[#This Row],[Days Prior Total]:[Mdl WdDeck]])</f>
        <v>485754.63594591332</v>
      </c>
      <c r="CF306" s="12">
        <f>ROUND(Sales[[#This Row],[25Det]],-2)</f>
        <v>0</v>
      </c>
      <c r="CG306" s="12">
        <f>ROUND(SUM(Sales[[#This Row],[Mdl Qlty]:[Mdl WdDeck]])+Sales[[#This Row],[Mdl Res Intercept]]+Sales[[#This Row],[Days Prior Total]],-2)</f>
        <v>434000</v>
      </c>
      <c r="CH306" s="12">
        <f>ROUND(Sales[[#This Row],[Mdl Land Intercept]]+Sales[[#This Row],[Mdl LnAcres]],-2)</f>
        <v>51700</v>
      </c>
      <c r="CI306" s="12">
        <f>Sales[[#This Row],[Unadj Res Value]]+Sales[[#This Row],[Unadj Det Value]]+Sales[[#This Row],[Unadj Land Value]]</f>
        <v>485700</v>
      </c>
      <c r="CJ306" s="13">
        <f>Sales[[#This Row],[Unadj Total Value]]/Sales[[#This Row],[Price]]</f>
        <v>1.5667741935483872</v>
      </c>
      <c r="CK306" s="13">
        <f>(Sales[[#This Row],[Unadj Total Value]]-Sales[[#This Row],[24Final]])/Sales[[#This Row],[24Final]]</f>
        <v>0.28560084700899946</v>
      </c>
      <c r="CL306">
        <f>VLOOKUP(Sales[[#This Row],[TNbhd]],Lookups!$Q$2:$T$4,4,FALSE)</f>
        <v>0.99970000000000003</v>
      </c>
      <c r="CM306">
        <f>VLOOKUP(Sales[[#This Row],[Qlty]],Lookups!$O$7:$R$21,4,FALSE)</f>
        <v>1.0088999999999999</v>
      </c>
      <c r="CN306">
        <f>VLOOKUP(Sales[[#This Row],[Cnd]],Lookups!$T$7:$W$16,4,FALSE)</f>
        <v>1.1303000000000001</v>
      </c>
      <c r="CO306">
        <f>VLOOKUP(Sales[[#This Row],[LivArea Range]],Lookups!$T$25:$W$37,4,FALSE)</f>
        <v>1.0093000000000001</v>
      </c>
      <c r="CP306">
        <f>VLOOKUP(Sales[[#This Row],[Decade]],Lookups!$O$25:$R$42,4,FALSE)</f>
        <v>0.74960000000000004</v>
      </c>
      <c r="CQ306">
        <f>Sales[[#This Row],[Nbhd Adj]]*0.95</f>
        <v>0.94971499999999998</v>
      </c>
      <c r="CR306">
        <f>Sales[[#This Row],[Nbhd Adj]]*Sales[[#This Row],[Quality Adj]]*Sales[[#This Row],[Condition Adj]]*Sales[[#This Row],[Living Area Adj]]*Sales[[#This Row],[Decade Adj]]*0.95</f>
        <v>0.81937931887073412</v>
      </c>
      <c r="CS306">
        <f>ROUND(SUM(Sales[[#This Row],[Mdl Qlty]:[Mdl WdDeck]])+Sales[[#This Row],[Mdl Res Intercept]]*Sales[[#This Row],[Res Adj ]],-2)</f>
        <v>479200</v>
      </c>
      <c r="CT306">
        <f>ROUND(Sales[[#This Row],[25Det]]*Sales[[#This Row],[Det/Nbhd Adj]],-2)</f>
        <v>0</v>
      </c>
      <c r="CU306">
        <f>Sales[[#This Row],[Adjusted Res]]+Sales[[#This Row],[Adj Det ]]</f>
        <v>479200</v>
      </c>
      <c r="CV306">
        <f>ROUND((Sales[[#This Row],[Mdl Land Intercept]]+Sales[[#This Row],[Mdl LnAcres]])*Sales[[#This Row],[Det/Nbhd Adj]],-2)</f>
        <v>49100</v>
      </c>
      <c r="CW306">
        <f>Sales[[#This Row],[Adjusted Impr Total]]+Sales[[#This Row],[Adjusted Land Total]]</f>
        <v>528300</v>
      </c>
      <c r="CX306" s="15">
        <f>IFERROR((Sales[[#This Row],[Adjusted Impr Total]]-Sales[[#This Row],[24Bldg]])/Sales[[#This Row],[24Bldg]],0)</f>
        <v>0.56960366852276445</v>
      </c>
      <c r="CY306" s="15">
        <f>(Sales[[#This Row],[Adjusted Land Total]]-Sales[[#This Row],[24Lnd]])/Sales[[#This Row],[24Lnd]]</f>
        <v>-0.32275862068965516</v>
      </c>
      <c r="CZ306" s="15">
        <f>(Sales[[#This Row],[Adjusted Total]]-Sales[[#This Row],[24Final]])/Sales[[#This Row],[24Final]]</f>
        <v>0.39835892006352569</v>
      </c>
      <c r="DA306" s="15">
        <f>(Sales[[#This Row],[Adjusted Total]]+Sales[[#This Row],[Days Prior Total]])/Sales[[#This Row],[Price]]</f>
        <v>1.5582866861988063</v>
      </c>
    </row>
    <row r="307" spans="1:105" x14ac:dyDescent="0.3">
      <c r="A307">
        <v>2025</v>
      </c>
      <c r="B307">
        <v>18132332004</v>
      </c>
      <c r="C307">
        <v>-1.4271163556401458</v>
      </c>
      <c r="D307">
        <v>0.24</v>
      </c>
      <c r="E307">
        <v>0</v>
      </c>
      <c r="F307">
        <v>6</v>
      </c>
      <c r="G307" t="s">
        <v>126</v>
      </c>
      <c r="H307">
        <v>3033</v>
      </c>
      <c r="I307" t="s">
        <v>349</v>
      </c>
      <c r="J307" t="s">
        <v>30</v>
      </c>
      <c r="K307">
        <v>11</v>
      </c>
      <c r="L307">
        <v>259</v>
      </c>
      <c r="M307" t="s">
        <v>269</v>
      </c>
      <c r="N307" t="s">
        <v>351</v>
      </c>
      <c r="O307" t="s">
        <v>303</v>
      </c>
      <c r="P307">
        <v>130</v>
      </c>
      <c r="Q307">
        <v>1896</v>
      </c>
      <c r="R307">
        <v>1945</v>
      </c>
      <c r="S307">
        <v>128</v>
      </c>
      <c r="T307">
        <v>79</v>
      </c>
      <c r="U307">
        <v>2</v>
      </c>
      <c r="V307">
        <v>1244</v>
      </c>
      <c r="W307">
        <v>600</v>
      </c>
      <c r="X307">
        <v>0</v>
      </c>
      <c r="Y307">
        <v>648</v>
      </c>
      <c r="Z307">
        <v>648</v>
      </c>
      <c r="AA307">
        <v>0</v>
      </c>
      <c r="AB307">
        <v>1844</v>
      </c>
      <c r="AC307">
        <v>2000</v>
      </c>
      <c r="AD307">
        <v>0</v>
      </c>
      <c r="AF307" t="s">
        <v>383</v>
      </c>
      <c r="AG307" t="s">
        <v>148</v>
      </c>
      <c r="AI307">
        <v>0</v>
      </c>
      <c r="AJ307">
        <v>1</v>
      </c>
      <c r="AK307">
        <v>0</v>
      </c>
      <c r="AL307">
        <v>1</v>
      </c>
      <c r="AM307">
        <v>1</v>
      </c>
      <c r="AN307">
        <v>10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100</v>
      </c>
      <c r="AV307">
        <v>100</v>
      </c>
      <c r="AW307">
        <v>267482</v>
      </c>
      <c r="AX307">
        <v>176538</v>
      </c>
      <c r="AY307">
        <v>584</v>
      </c>
      <c r="AZ307">
        <v>365</v>
      </c>
      <c r="BA307">
        <v>219</v>
      </c>
      <c r="BB307">
        <v>0</v>
      </c>
      <c r="BC307" s="3">
        <v>44708</v>
      </c>
      <c r="BD307" t="s">
        <v>253</v>
      </c>
      <c r="BE307">
        <v>340000</v>
      </c>
      <c r="BF307">
        <v>333815</v>
      </c>
      <c r="BG307" t="s">
        <v>294</v>
      </c>
      <c r="BH307">
        <v>30</v>
      </c>
      <c r="BI307" t="s">
        <v>65</v>
      </c>
      <c r="BJ307" t="s">
        <v>450</v>
      </c>
      <c r="BK307">
        <v>374900</v>
      </c>
      <c r="BL307">
        <v>64800</v>
      </c>
      <c r="BM307">
        <v>310100</v>
      </c>
      <c r="BN307">
        <v>6185</v>
      </c>
      <c r="BO307">
        <v>1.1026470588235293</v>
      </c>
      <c r="BP307">
        <v>368227.48062351224</v>
      </c>
      <c r="BQ307">
        <v>391466.40777817665</v>
      </c>
      <c r="BR307" s="12">
        <f>(Sales[[#This Row],[DP1]]*Lookups!$B$59)+(Sales[[#This Row],[DP2]]*Lookups!$B$60)+(Sales[[#This Row],[DP3]]*Lookups!$B$61)</f>
        <v>-23238.927156262002</v>
      </c>
      <c r="BS307" s="12">
        <f>Lookups!$B$56*0</f>
        <v>0</v>
      </c>
      <c r="BT307" s="12">
        <f>Lookups!$B$56*1</f>
        <v>89850.625589999996</v>
      </c>
      <c r="BU307" s="12">
        <f>Lookups!$B$57*Sales[[#This Row],[LnAcres]]</f>
        <v>-45174.819855485119</v>
      </c>
      <c r="BV307" s="12">
        <f>VLOOKUP(Sales[[#This Row],[Qlty]],Lookups!$A$62:$E$75,2,FALSE)</f>
        <v>21557.329055999999</v>
      </c>
      <c r="BW307" s="12">
        <f>VLOOKUP(Sales[[#This Row],[Cnd]],Lookups!$A$76:$E$84,2,FALSE)</f>
        <v>197752.34721000001</v>
      </c>
      <c r="BX307" s="12">
        <f>Sales[[#This Row],[EffAge]]*Lookups!$B$85</f>
        <v>-17620.602439500002</v>
      </c>
      <c r="BY307" s="12">
        <f>Sales[[#This Row],[MainFn]]*Lookups!$B$86</f>
        <v>61464.385326987998</v>
      </c>
      <c r="BZ307" s="12">
        <f>Sales[[#This Row],[UpprFn]]*Lookups!$B$87</f>
        <v>26871.853716599999</v>
      </c>
      <c r="CA307" s="12">
        <f>Sales[[#This Row],[AddFn]]*Lookups!$B$88</f>
        <v>0</v>
      </c>
      <c r="CB307" s="12">
        <f>Sales[[#This Row],[Bsmt]]*Lookups!$B$89</f>
        <v>18845.068120055999</v>
      </c>
      <c r="CC307" s="12">
        <f>Sales[[#This Row],[Fixtures]]*Lookups!$B$90</f>
        <v>37920.221052000001</v>
      </c>
      <c r="CD307" s="12">
        <f>Sales[[#This Row],[WdDeck]]*Lookups!$B$91</f>
        <v>0</v>
      </c>
      <c r="CE307" s="12">
        <f>SUM(Sales[[#This Row],[Days Prior Total]:[Mdl WdDeck]])</f>
        <v>368227.48062039685</v>
      </c>
      <c r="CF307" s="12">
        <f>ROUND(Sales[[#This Row],[25Det]],-2)</f>
        <v>6200</v>
      </c>
      <c r="CG307" s="12">
        <f>ROUND(SUM(Sales[[#This Row],[Mdl Qlty]:[Mdl WdDeck]])+Sales[[#This Row],[Mdl Res Intercept]]+Sales[[#This Row],[Days Prior Total]],-2)</f>
        <v>323600</v>
      </c>
      <c r="CH307" s="12">
        <f>ROUND(Sales[[#This Row],[Mdl Land Intercept]]+Sales[[#This Row],[Mdl LnAcres]],-2)</f>
        <v>44700</v>
      </c>
      <c r="CI307" s="12">
        <f>Sales[[#This Row],[Unadj Res Value]]+Sales[[#This Row],[Unadj Det Value]]+Sales[[#This Row],[Unadj Land Value]]</f>
        <v>374500</v>
      </c>
      <c r="CJ307" s="13">
        <f>Sales[[#This Row],[Unadj Total Value]]/Sales[[#This Row],[Price]]</f>
        <v>1.1014705882352942</v>
      </c>
      <c r="CK307" s="13">
        <f>(Sales[[#This Row],[Unadj Total Value]]-Sales[[#This Row],[24Final]])/Sales[[#This Row],[24Final]]</f>
        <v>-1.0669511869831954E-3</v>
      </c>
      <c r="CL307">
        <f>VLOOKUP(Sales[[#This Row],[TNbhd]],Lookups!$Q$2:$T$4,4,FALSE)</f>
        <v>0.99970000000000003</v>
      </c>
      <c r="CM307">
        <f>VLOOKUP(Sales[[#This Row],[Qlty]],Lookups!$O$7:$R$21,4,FALSE)</f>
        <v>1.0067999999999999</v>
      </c>
      <c r="CN307">
        <f>VLOOKUP(Sales[[#This Row],[Cnd]],Lookups!$T$7:$W$16,4,FALSE)</f>
        <v>0.99650000000000005</v>
      </c>
      <c r="CO307">
        <f>VLOOKUP(Sales[[#This Row],[LivArea Range]],Lookups!$T$25:$W$37,4,FALSE)</f>
        <v>1.0093000000000001</v>
      </c>
      <c r="CP307">
        <f>VLOOKUP(Sales[[#This Row],[Decade]],Lookups!$O$25:$R$42,4,FALSE)</f>
        <v>0.74960000000000004</v>
      </c>
      <c r="CQ307">
        <f>Sales[[#This Row],[Nbhd Adj]]*0.95</f>
        <v>0.94971499999999998</v>
      </c>
      <c r="CR307">
        <f>Sales[[#This Row],[Nbhd Adj]]*Sales[[#This Row],[Quality Adj]]*Sales[[#This Row],[Condition Adj]]*Sales[[#This Row],[Living Area Adj]]*Sales[[#This Row],[Decade Adj]]*0.95</f>
        <v>0.72088113164789325</v>
      </c>
      <c r="CS307">
        <f>ROUND(SUM(Sales[[#This Row],[Mdl Qlty]:[Mdl WdDeck]])+Sales[[#This Row],[Mdl Res Intercept]]*Sales[[#This Row],[Res Adj ]],-2)</f>
        <v>346800</v>
      </c>
      <c r="CT307">
        <f>ROUND(Sales[[#This Row],[25Det]]*Sales[[#This Row],[Det/Nbhd Adj]],-2)</f>
        <v>5900</v>
      </c>
      <c r="CU307">
        <f>Sales[[#This Row],[Adjusted Res]]+Sales[[#This Row],[Adj Det ]]</f>
        <v>352700</v>
      </c>
      <c r="CV307">
        <f>ROUND((Sales[[#This Row],[Mdl Land Intercept]]+Sales[[#This Row],[Mdl LnAcres]])*Sales[[#This Row],[Det/Nbhd Adj]],-2)</f>
        <v>42400</v>
      </c>
      <c r="CW307">
        <f>Sales[[#This Row],[Adjusted Impr Total]]+Sales[[#This Row],[Adjusted Land Total]]</f>
        <v>395100</v>
      </c>
      <c r="CX307" s="15">
        <f>IFERROR((Sales[[#This Row],[Adjusted Impr Total]]-Sales[[#This Row],[24Bldg]])/Sales[[#This Row],[24Bldg]],0)</f>
        <v>0.13737504030957756</v>
      </c>
      <c r="CY307" s="15">
        <f>(Sales[[#This Row],[Adjusted Land Total]]-Sales[[#This Row],[24Lnd]])/Sales[[#This Row],[24Lnd]]</f>
        <v>-0.34567901234567899</v>
      </c>
      <c r="CZ307" s="15">
        <f>(Sales[[#This Row],[Adjusted Total]]-Sales[[#This Row],[24Final]])/Sales[[#This Row],[24Final]]</f>
        <v>5.3881034942651375E-2</v>
      </c>
      <c r="DA307" s="15">
        <f>(Sales[[#This Row],[Adjusted Total]]+Sales[[#This Row],[Days Prior Total]])/Sales[[#This Row],[Price]]</f>
        <v>1.0937090377756999</v>
      </c>
    </row>
    <row r="308" spans="1:105" x14ac:dyDescent="0.3">
      <c r="A308">
        <v>2025</v>
      </c>
      <c r="B308">
        <v>18132241006</v>
      </c>
      <c r="C308">
        <v>-1.8325814637483102</v>
      </c>
      <c r="D308">
        <v>0.16</v>
      </c>
      <c r="E308">
        <v>7118</v>
      </c>
      <c r="F308">
        <v>6</v>
      </c>
      <c r="G308" t="s">
        <v>126</v>
      </c>
      <c r="H308">
        <v>3033</v>
      </c>
      <c r="I308" t="s">
        <v>349</v>
      </c>
      <c r="J308" t="s">
        <v>30</v>
      </c>
      <c r="K308">
        <v>11</v>
      </c>
      <c r="L308">
        <v>259</v>
      </c>
      <c r="M308" t="s">
        <v>63</v>
      </c>
      <c r="N308" t="s">
        <v>351</v>
      </c>
      <c r="O308" t="s">
        <v>303</v>
      </c>
      <c r="P308">
        <v>150</v>
      </c>
      <c r="Q308">
        <v>1880</v>
      </c>
      <c r="R308">
        <v>1935</v>
      </c>
      <c r="S308">
        <v>144</v>
      </c>
      <c r="T308">
        <v>89</v>
      </c>
      <c r="U308">
        <v>1</v>
      </c>
      <c r="V308">
        <v>1047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1047</v>
      </c>
      <c r="AC308">
        <v>1500</v>
      </c>
      <c r="AD308">
        <v>1</v>
      </c>
      <c r="AF308" t="s">
        <v>97</v>
      </c>
      <c r="AG308" t="s">
        <v>148</v>
      </c>
      <c r="AH308" t="s">
        <v>65</v>
      </c>
      <c r="AI308">
        <v>0</v>
      </c>
      <c r="AJ308">
        <v>0</v>
      </c>
      <c r="AK308">
        <v>1</v>
      </c>
      <c r="AL308">
        <v>0</v>
      </c>
      <c r="AM308">
        <v>1</v>
      </c>
      <c r="AN308">
        <v>7</v>
      </c>
      <c r="AO308">
        <v>198</v>
      </c>
      <c r="AP308">
        <v>0</v>
      </c>
      <c r="AQ308">
        <v>0</v>
      </c>
      <c r="AR308">
        <v>192</v>
      </c>
      <c r="AS308">
        <v>0</v>
      </c>
      <c r="AT308">
        <v>0</v>
      </c>
      <c r="AU308">
        <v>100</v>
      </c>
      <c r="AV308">
        <v>100</v>
      </c>
      <c r="AW308">
        <v>169879</v>
      </c>
      <c r="AX308">
        <v>112120</v>
      </c>
      <c r="AY308">
        <v>553</v>
      </c>
      <c r="AZ308">
        <v>365</v>
      </c>
      <c r="BA308">
        <v>188</v>
      </c>
      <c r="BB308">
        <v>0</v>
      </c>
      <c r="BC308" s="3">
        <v>44739</v>
      </c>
      <c r="BD308" t="s">
        <v>427</v>
      </c>
      <c r="BE308">
        <v>310000</v>
      </c>
      <c r="BF308">
        <v>310000</v>
      </c>
      <c r="BG308" t="s">
        <v>294</v>
      </c>
      <c r="BH308">
        <v>30</v>
      </c>
      <c r="BI308" t="s">
        <v>65</v>
      </c>
      <c r="BJ308" t="s">
        <v>450</v>
      </c>
      <c r="BK308">
        <v>287600</v>
      </c>
      <c r="BL308">
        <v>50600</v>
      </c>
      <c r="BM308">
        <v>237000</v>
      </c>
      <c r="BN308">
        <v>0</v>
      </c>
      <c r="BO308">
        <v>0.92774193548387096</v>
      </c>
      <c r="BP308">
        <v>292372.44691852364</v>
      </c>
      <c r="BQ308">
        <v>315967.35239440796</v>
      </c>
      <c r="BR308" s="12">
        <f>(Sales[[#This Row],[DP1]]*Lookups!$B$59)+(Sales[[#This Row],[DP2]]*Lookups!$B$60)+(Sales[[#This Row],[DP3]]*Lookups!$B$61)</f>
        <v>-23594.905477474</v>
      </c>
      <c r="BS308" s="12">
        <f>Lookups!$B$56*0</f>
        <v>0</v>
      </c>
      <c r="BT308" s="12">
        <f>Lookups!$B$56*1</f>
        <v>89850.625589999996</v>
      </c>
      <c r="BU308" s="12">
        <f>Lookups!$B$57*Sales[[#This Row],[LnAcres]]</f>
        <v>-58009.662049032086</v>
      </c>
      <c r="BV308" s="12">
        <f>VLOOKUP(Sales[[#This Row],[Qlty]],Lookups!$A$62:$E$75,2,FALSE)</f>
        <v>21557.329055999999</v>
      </c>
      <c r="BW308" s="12">
        <f>VLOOKUP(Sales[[#This Row],[Cnd]],Lookups!$A$76:$E$84,2,FALSE)</f>
        <v>197752.34721000001</v>
      </c>
      <c r="BX308" s="12">
        <f>Sales[[#This Row],[EffAge]]*Lookups!$B$85</f>
        <v>-19851.058444500002</v>
      </c>
      <c r="BY308" s="12">
        <f>Sales[[#This Row],[MainFn]]*Lookups!$B$86</f>
        <v>51730.877361218998</v>
      </c>
      <c r="BZ308" s="12">
        <f>Sales[[#This Row],[UpprFn]]*Lookups!$B$87</f>
        <v>0</v>
      </c>
      <c r="CA308" s="12">
        <f>Sales[[#This Row],[AddFn]]*Lookups!$B$88</f>
        <v>0</v>
      </c>
      <c r="CB308" s="12">
        <f>Sales[[#This Row],[Bsmt]]*Lookups!$B$89</f>
        <v>0</v>
      </c>
      <c r="CC308" s="12">
        <f>Sales[[#This Row],[Fixtures]]*Lookups!$B$90</f>
        <v>26544.1547364</v>
      </c>
      <c r="CD308" s="12">
        <f>Sales[[#This Row],[WdDeck]]*Lookups!$B$91</f>
        <v>6392.7389329920006</v>
      </c>
      <c r="CE308" s="12">
        <f>SUM(Sales[[#This Row],[Days Prior Total]:[Mdl WdDeck]])</f>
        <v>292372.44691560487</v>
      </c>
      <c r="CF308" s="12">
        <f>ROUND(Sales[[#This Row],[25Det]],-2)</f>
        <v>0</v>
      </c>
      <c r="CG308" s="12">
        <f>ROUND(SUM(Sales[[#This Row],[Mdl Qlty]:[Mdl WdDeck]])+Sales[[#This Row],[Mdl Res Intercept]]+Sales[[#This Row],[Days Prior Total]],-2)</f>
        <v>260500</v>
      </c>
      <c r="CH308" s="12">
        <f>ROUND(Sales[[#This Row],[Mdl Land Intercept]]+Sales[[#This Row],[Mdl LnAcres]],-2)</f>
        <v>31800</v>
      </c>
      <c r="CI308" s="12">
        <f>Sales[[#This Row],[Unadj Res Value]]+Sales[[#This Row],[Unadj Det Value]]+Sales[[#This Row],[Unadj Land Value]]</f>
        <v>292300</v>
      </c>
      <c r="CJ308" s="13">
        <f>Sales[[#This Row],[Unadj Total Value]]/Sales[[#This Row],[Price]]</f>
        <v>0.94290322580645158</v>
      </c>
      <c r="CK308" s="13">
        <f>(Sales[[#This Row],[Unadj Total Value]]-Sales[[#This Row],[24Final]])/Sales[[#This Row],[24Final]]</f>
        <v>1.6342141863699582E-2</v>
      </c>
      <c r="CL308">
        <f>VLOOKUP(Sales[[#This Row],[TNbhd]],Lookups!$Q$2:$T$4,4,FALSE)</f>
        <v>0.99970000000000003</v>
      </c>
      <c r="CM308">
        <f>VLOOKUP(Sales[[#This Row],[Qlty]],Lookups!$O$7:$R$21,4,FALSE)</f>
        <v>1.0067999999999999</v>
      </c>
      <c r="CN308">
        <f>VLOOKUP(Sales[[#This Row],[Cnd]],Lookups!$T$7:$W$16,4,FALSE)</f>
        <v>0.99650000000000005</v>
      </c>
      <c r="CO308">
        <f>VLOOKUP(Sales[[#This Row],[LivArea Range]],Lookups!$T$25:$W$37,4,FALSE)</f>
        <v>1.0157</v>
      </c>
      <c r="CP308">
        <f>VLOOKUP(Sales[[#This Row],[Decade]],Lookups!$O$25:$R$42,4,FALSE)</f>
        <v>1.0606</v>
      </c>
      <c r="CQ308">
        <f>Sales[[#This Row],[Nbhd Adj]]*0.95</f>
        <v>0.94971499999999998</v>
      </c>
      <c r="CR308">
        <f>Sales[[#This Row],[Nbhd Adj]]*Sales[[#This Row],[Quality Adj]]*Sales[[#This Row],[Condition Adj]]*Sales[[#This Row],[Living Area Adj]]*Sales[[#This Row],[Decade Adj]]*0.95</f>
        <v>1.0264336530444296</v>
      </c>
      <c r="CS308">
        <f>ROUND(SUM(Sales[[#This Row],[Mdl Qlty]:[Mdl WdDeck]])+Sales[[#This Row],[Mdl Res Intercept]]*Sales[[#This Row],[Res Adj ]],-2)</f>
        <v>284100</v>
      </c>
      <c r="CT308">
        <f>ROUND(Sales[[#This Row],[25Det]]*Sales[[#This Row],[Det/Nbhd Adj]],-2)</f>
        <v>0</v>
      </c>
      <c r="CU308">
        <f>Sales[[#This Row],[Adjusted Res]]+Sales[[#This Row],[Adj Det ]]</f>
        <v>284100</v>
      </c>
      <c r="CV308">
        <f>ROUND((Sales[[#This Row],[Mdl Land Intercept]]+Sales[[#This Row],[Mdl LnAcres]])*Sales[[#This Row],[Det/Nbhd Adj]],-2)</f>
        <v>30200</v>
      </c>
      <c r="CW308">
        <f>Sales[[#This Row],[Adjusted Impr Total]]+Sales[[#This Row],[Adjusted Land Total]]</f>
        <v>314300</v>
      </c>
      <c r="CX308" s="15">
        <f>IFERROR((Sales[[#This Row],[Adjusted Impr Total]]-Sales[[#This Row],[24Bldg]])/Sales[[#This Row],[24Bldg]],0)</f>
        <v>0.19873417721518988</v>
      </c>
      <c r="CY308" s="15">
        <f>(Sales[[#This Row],[Adjusted Land Total]]-Sales[[#This Row],[24Lnd]])/Sales[[#This Row],[24Lnd]]</f>
        <v>-0.40316205533596838</v>
      </c>
      <c r="CZ308" s="15">
        <f>(Sales[[#This Row],[Adjusted Total]]-Sales[[#This Row],[24Final]])/Sales[[#This Row],[24Final]]</f>
        <v>9.2837273991655075E-2</v>
      </c>
      <c r="DA308" s="15">
        <f>(Sales[[#This Row],[Adjusted Total]]+Sales[[#This Row],[Days Prior Total]])/Sales[[#This Row],[Price]]</f>
        <v>0.93775836942750335</v>
      </c>
    </row>
  </sheetData>
  <conditionalFormatting sqref="B2:B308">
    <cfRule type="duplicateValues" dxfId="6" priority="1"/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A87E-2ACA-46D6-8404-379FB717BE23}">
  <dimension ref="A1:BU2283"/>
  <sheetViews>
    <sheetView topLeftCell="A2235" workbookViewId="0">
      <selection activeCell="N2282" sqref="N2282"/>
    </sheetView>
  </sheetViews>
  <sheetFormatPr defaultRowHeight="14.4" x14ac:dyDescent="0.3"/>
  <cols>
    <col min="1" max="1" width="9.109375" bestFit="1" customWidth="1"/>
    <col min="2" max="2" width="12" bestFit="1" customWidth="1"/>
    <col min="3" max="3" width="12" customWidth="1"/>
    <col min="4" max="4" width="10" bestFit="1" customWidth="1"/>
    <col min="5" max="5" width="8.88671875" bestFit="1" customWidth="1"/>
    <col min="6" max="6" width="9.88671875" bestFit="1" customWidth="1"/>
    <col min="7" max="7" width="9.5546875" bestFit="1" customWidth="1"/>
    <col min="8" max="8" width="10.109375" bestFit="1" customWidth="1"/>
    <col min="9" max="9" width="8.5546875" bestFit="1" customWidth="1"/>
    <col min="10" max="10" width="12.44140625" bestFit="1" customWidth="1"/>
    <col min="11" max="11" width="9.5546875" bestFit="1" customWidth="1"/>
    <col min="12" max="12" width="8.88671875" bestFit="1" customWidth="1"/>
    <col min="13" max="13" width="8.77734375" bestFit="1" customWidth="1"/>
    <col min="14" max="16" width="8.77734375" customWidth="1"/>
    <col min="17" max="17" width="9.33203125" bestFit="1" customWidth="1"/>
    <col min="18" max="18" width="9.44140625" bestFit="1" customWidth="1"/>
    <col min="19" max="19" width="11.77734375" bestFit="1" customWidth="1"/>
    <col min="20" max="20" width="11.6640625" bestFit="1" customWidth="1"/>
    <col min="21" max="21" width="9.6640625" bestFit="1" customWidth="1"/>
    <col min="22" max="22" width="9.6640625" customWidth="1"/>
    <col min="23" max="23" width="11.6640625" bestFit="1" customWidth="1"/>
    <col min="24" max="24" width="10.88671875" bestFit="1" customWidth="1"/>
    <col min="25" max="26" width="10.88671875" customWidth="1"/>
    <col min="27" max="27" width="11.88671875" bestFit="1" customWidth="1"/>
    <col min="28" max="28" width="10.88671875" bestFit="1" customWidth="1"/>
    <col min="29" max="29" width="12.109375" bestFit="1" customWidth="1"/>
    <col min="30" max="30" width="12.44140625" bestFit="1" customWidth="1"/>
    <col min="31" max="31" width="8.6640625" bestFit="1" customWidth="1"/>
    <col min="32" max="32" width="8.5546875" bestFit="1" customWidth="1"/>
    <col min="33" max="33" width="8.44140625" bestFit="1" customWidth="1"/>
    <col min="34" max="34" width="10.77734375" customWidth="1"/>
    <col min="35" max="35" width="8.5546875" bestFit="1" customWidth="1"/>
    <col min="36" max="36" width="10.109375" bestFit="1" customWidth="1"/>
    <col min="37" max="37" width="10.33203125" bestFit="1" customWidth="1"/>
    <col min="38" max="38" width="11.33203125" bestFit="1" customWidth="1"/>
    <col min="39" max="39" width="10.5546875" bestFit="1" customWidth="1"/>
    <col min="40" max="40" width="11.109375" bestFit="1" customWidth="1"/>
    <col min="41" max="41" width="11.44140625" bestFit="1" customWidth="1"/>
    <col min="44" max="45" width="12.21875" bestFit="1" customWidth="1"/>
    <col min="46" max="46" width="11.5546875" bestFit="1" customWidth="1"/>
    <col min="47" max="47" width="12.21875" bestFit="1" customWidth="1"/>
    <col min="48" max="48" width="13.5546875" customWidth="1"/>
    <col min="49" max="49" width="11.6640625" bestFit="1" customWidth="1"/>
    <col min="52" max="52" width="11.5546875" bestFit="1" customWidth="1"/>
    <col min="58" max="58" width="12.21875" style="38" bestFit="1" customWidth="1"/>
    <col min="61" max="61" width="10.21875" customWidth="1"/>
    <col min="65" max="65" width="10.5546875" bestFit="1" customWidth="1"/>
    <col min="71" max="73" width="12.21875" style="38" bestFit="1" customWidth="1"/>
  </cols>
  <sheetData>
    <row r="1" spans="1:73" s="18" customFormat="1" ht="43.2" x14ac:dyDescent="0.3">
      <c r="A1" s="28" t="s">
        <v>121</v>
      </c>
      <c r="B1" s="28" t="s">
        <v>407</v>
      </c>
      <c r="C1" s="28" t="s">
        <v>264</v>
      </c>
      <c r="D1" s="28" t="s">
        <v>345</v>
      </c>
      <c r="E1" s="28" t="s">
        <v>0</v>
      </c>
      <c r="F1" s="28" t="s">
        <v>122</v>
      </c>
      <c r="G1" s="28" t="s">
        <v>320</v>
      </c>
      <c r="H1" s="28" t="s">
        <v>90</v>
      </c>
      <c r="I1" s="28" t="s">
        <v>168</v>
      </c>
      <c r="J1" s="28" t="s">
        <v>21</v>
      </c>
      <c r="K1" s="28" t="s">
        <v>169</v>
      </c>
      <c r="L1" s="28" t="s">
        <v>265</v>
      </c>
      <c r="M1" s="28" t="s">
        <v>123</v>
      </c>
      <c r="N1" s="28" t="s">
        <v>58</v>
      </c>
      <c r="O1" s="28" t="s">
        <v>91</v>
      </c>
      <c r="P1" s="28" t="s">
        <v>408</v>
      </c>
      <c r="Q1" s="28" t="s">
        <v>145</v>
      </c>
      <c r="R1" s="28" t="s">
        <v>377</v>
      </c>
      <c r="S1" s="28" t="s">
        <v>236</v>
      </c>
      <c r="T1" s="28" t="s">
        <v>202</v>
      </c>
      <c r="U1" s="28" t="s">
        <v>237</v>
      </c>
      <c r="V1" s="28" t="s">
        <v>1</v>
      </c>
      <c r="W1" s="28" t="s">
        <v>59</v>
      </c>
      <c r="X1" s="28" t="s">
        <v>378</v>
      </c>
      <c r="Y1" s="33" t="s">
        <v>2928</v>
      </c>
      <c r="Z1" s="33" t="s">
        <v>238</v>
      </c>
      <c r="AA1" s="28" t="s">
        <v>24</v>
      </c>
      <c r="AB1" s="28" t="s">
        <v>125</v>
      </c>
      <c r="AC1" s="28" t="s">
        <v>379</v>
      </c>
      <c r="AD1" s="28" t="s">
        <v>410</v>
      </c>
      <c r="AE1" s="28" t="s">
        <v>2924</v>
      </c>
      <c r="AF1" s="28" t="s">
        <v>2925</v>
      </c>
      <c r="AG1" s="28" t="s">
        <v>239</v>
      </c>
      <c r="AH1" s="28" t="s">
        <v>2926</v>
      </c>
      <c r="AI1" s="28" t="s">
        <v>2</v>
      </c>
      <c r="AJ1" s="28" t="s">
        <v>411</v>
      </c>
      <c r="AK1" s="28" t="s">
        <v>172</v>
      </c>
      <c r="AL1" s="28" t="s">
        <v>62</v>
      </c>
      <c r="AM1" s="28" t="s">
        <v>94</v>
      </c>
      <c r="AN1" s="28" t="s">
        <v>240</v>
      </c>
      <c r="AO1" s="28" t="s">
        <v>2927</v>
      </c>
      <c r="AP1" s="28" t="s">
        <v>494</v>
      </c>
      <c r="AQ1" s="28" t="s">
        <v>495</v>
      </c>
      <c r="AR1" s="28" t="s">
        <v>496</v>
      </c>
      <c r="AS1" s="28" t="s">
        <v>497</v>
      </c>
      <c r="AT1" s="28" t="s">
        <v>498</v>
      </c>
      <c r="AU1" s="33" t="s">
        <v>2929</v>
      </c>
      <c r="AV1" s="28" t="s">
        <v>500</v>
      </c>
      <c r="AW1" s="28" t="s">
        <v>501</v>
      </c>
      <c r="AX1" s="28" t="s">
        <v>502</v>
      </c>
      <c r="AY1" s="28" t="s">
        <v>527</v>
      </c>
      <c r="AZ1" s="28" t="s">
        <v>503</v>
      </c>
      <c r="BA1" s="28" t="s">
        <v>528</v>
      </c>
      <c r="BB1" s="28" t="s">
        <v>505</v>
      </c>
      <c r="BC1" s="28" t="s">
        <v>506</v>
      </c>
      <c r="BD1" s="28" t="s">
        <v>507</v>
      </c>
      <c r="BE1" s="28" t="s">
        <v>508</v>
      </c>
      <c r="BF1" s="34" t="s">
        <v>510</v>
      </c>
      <c r="BG1" s="28" t="s">
        <v>511</v>
      </c>
      <c r="BH1" s="28" t="s">
        <v>512</v>
      </c>
      <c r="BI1" s="28" t="s">
        <v>513</v>
      </c>
      <c r="BJ1" s="28" t="s">
        <v>514</v>
      </c>
      <c r="BK1" s="28" t="s">
        <v>515</v>
      </c>
      <c r="BL1" s="28" t="s">
        <v>516</v>
      </c>
      <c r="BM1" s="28" t="s">
        <v>517</v>
      </c>
      <c r="BN1" s="28" t="s">
        <v>518</v>
      </c>
      <c r="BO1" s="28" t="s">
        <v>519</v>
      </c>
      <c r="BP1" s="28" t="s">
        <v>520</v>
      </c>
      <c r="BQ1" s="28" t="s">
        <v>521</v>
      </c>
      <c r="BR1" s="28" t="s">
        <v>522</v>
      </c>
      <c r="BS1" s="34" t="s">
        <v>523</v>
      </c>
      <c r="BT1" s="34" t="s">
        <v>524</v>
      </c>
      <c r="BU1" s="34" t="s">
        <v>525</v>
      </c>
    </row>
    <row r="2" spans="1:73" x14ac:dyDescent="0.3">
      <c r="A2" s="25">
        <v>2025</v>
      </c>
      <c r="B2" s="26" t="s">
        <v>2686</v>
      </c>
      <c r="C2" s="26">
        <f>LN(Inventory[[#This Row],[Acres]])</f>
        <v>-1.7719568419318752</v>
      </c>
      <c r="D2" s="25">
        <v>0.17</v>
      </c>
      <c r="E2" s="31"/>
      <c r="F2" s="26" t="s">
        <v>537</v>
      </c>
      <c r="G2" s="26" t="s">
        <v>126</v>
      </c>
      <c r="H2" s="26" t="s">
        <v>349</v>
      </c>
      <c r="I2" s="26" t="s">
        <v>538</v>
      </c>
      <c r="J2" s="26" t="s">
        <v>539</v>
      </c>
      <c r="K2" s="26" t="s">
        <v>173</v>
      </c>
      <c r="L2" s="26" t="s">
        <v>302</v>
      </c>
      <c r="M2" s="26" t="s">
        <v>96</v>
      </c>
      <c r="N2" s="26">
        <v>10</v>
      </c>
      <c r="O2" s="26">
        <f>2024-Inventory[[#This Row],[YrBlt]]</f>
        <v>1</v>
      </c>
      <c r="P2" s="26">
        <f>2024-Inventory[[#This Row],[EffYr]]</f>
        <v>1</v>
      </c>
      <c r="Q2" s="25">
        <v>2023</v>
      </c>
      <c r="R2" s="25">
        <v>2023</v>
      </c>
      <c r="S2" s="25">
        <v>1408</v>
      </c>
      <c r="T2" s="25">
        <v>620</v>
      </c>
      <c r="U2" s="27"/>
      <c r="V2" s="27">
        <f>Inventory[[#This Row],[Bsmt]]-Inventory[[#This Row],[FnBsmt]]</f>
        <v>0</v>
      </c>
      <c r="W2" s="27"/>
      <c r="X2" s="27"/>
      <c r="Y2" s="27">
        <f>Inventory[[#This Row],[MainFn]]+Inventory[[#This Row],[UpprFn]]+Inventory[[#This Row],[FnBsmt]]+Inventory[[#This Row],[AddFn]]</f>
        <v>2028</v>
      </c>
      <c r="Z2" s="27">
        <v>2500</v>
      </c>
      <c r="AA2" s="25">
        <v>8</v>
      </c>
      <c r="AB2" s="27"/>
      <c r="AC2" s="27"/>
      <c r="AD2" s="27"/>
      <c r="AE2" s="27"/>
      <c r="AF2" s="27"/>
      <c r="AG2" s="27"/>
      <c r="AH2" s="32">
        <v>40</v>
      </c>
      <c r="AI2" s="25">
        <v>335103</v>
      </c>
      <c r="AJ2" s="25">
        <v>328401</v>
      </c>
      <c r="AK2" s="25">
        <v>35210</v>
      </c>
      <c r="AL2" s="25">
        <v>164400</v>
      </c>
      <c r="AM2" s="25">
        <v>52700</v>
      </c>
      <c r="AN2" s="25">
        <v>111700</v>
      </c>
      <c r="AO2" s="25">
        <v>0</v>
      </c>
      <c r="AP2" s="25">
        <f>Lookups!$B$56*0</f>
        <v>0</v>
      </c>
      <c r="AQ2" s="25">
        <f>Lookups!$B$56*1</f>
        <v>89850.625589999996</v>
      </c>
      <c r="AR2" s="25">
        <f>Lookups!$B$57*Inventory[[#This Row],[LnAcres]]</f>
        <v>-56090.612940989391</v>
      </c>
      <c r="AS2" s="25">
        <f>VLOOKUP(Inventory[[#This Row],[Qlty]],Lookups!$A$62:$E$75,2,FALSE)</f>
        <v>29814.093161000001</v>
      </c>
      <c r="AT2" s="25">
        <f>VLOOKUP(Inventory[[#This Row],[Cnd]],Lookups!$A$76:$E$84,2,FALSE)</f>
        <v>354070.39217000001</v>
      </c>
      <c r="AU2" s="25">
        <f>Inventory[[#This Row],[EffAge]]*Lookups!$B$85</f>
        <v>-223.04560050000001</v>
      </c>
      <c r="AV2" s="25">
        <f>Inventory[[#This Row],[MainFn]]*Lookups!$B$86</f>
        <v>69567.407186815995</v>
      </c>
      <c r="AW2" s="25">
        <f>Inventory[[#This Row],[UpprFn]]*Lookups!$B$87</f>
        <v>27767.582173819999</v>
      </c>
      <c r="AX2" s="25">
        <f>Inventory[[#This Row],[AddFn]]*Lookups!$B$88</f>
        <v>0</v>
      </c>
      <c r="AY2" s="25">
        <f>Inventory[[#This Row],[Bsmt]]*Lookups!$B$89</f>
        <v>0</v>
      </c>
      <c r="AZ2" s="25">
        <f>Inventory[[#This Row],[Fixtures]]*Lookups!$B$90</f>
        <v>30336.176841600001</v>
      </c>
      <c r="BA2" s="25">
        <f>Inventory[[#This Row],[WdDeck]]*Lookups!$B$91</f>
        <v>0</v>
      </c>
      <c r="BB2" s="25">
        <f>ROUND(Inventory[[#This Row],[25Det]],-2)</f>
        <v>35200</v>
      </c>
      <c r="BC2" s="25">
        <f>ROUND(SUM(Inventory[[#This Row],[Mdl Qlty]:[Mdl WdDeck]])+Inventory[[#This Row],[Mdl Res Intercept]],-2)</f>
        <v>511300</v>
      </c>
      <c r="BD2" s="25">
        <f>ROUND(Inventory[[#This Row],[Mdl Land Intercept]]+Inventory[[#This Row],[Mdl LnAcres]],-2)</f>
        <v>33800</v>
      </c>
      <c r="BE2" s="25">
        <f>Inventory[[#This Row],[Unadj Res Value]]+Inventory[[#This Row],[Unadj Det Value]]+Inventory[[#This Row],[Unadj Land Value]]</f>
        <v>580300</v>
      </c>
      <c r="BF2" s="36">
        <f>(Inventory[[#This Row],[Unadj Total Value]]-Inventory[[#This Row],[24Final]])/Inventory[[#This Row],[24Final]]</f>
        <v>2.5298053527980535</v>
      </c>
      <c r="BG2" s="25">
        <f>VLOOKUP(Inventory[[#This Row],[Nbhd]],Lookups!$Q$2:$T$4,4,FALSE)</f>
        <v>0.99970000000000003</v>
      </c>
      <c r="BH2" s="25">
        <f>VLOOKUP(Inventory[[#This Row],[Qlty]],Lookups!$O$7:$R$21,4,FALSE)</f>
        <v>1.0088999999999999</v>
      </c>
      <c r="BI2" s="25">
        <f>VLOOKUP(Inventory[[#This Row],[Cnd]],Lookups!$T$7:$W$16,4,FALSE)</f>
        <v>1.1303000000000001</v>
      </c>
      <c r="BJ2" s="25">
        <f>VLOOKUP(Inventory[[#This Row],[LivArea Range]],Lookups!$T$25:$W$37,4,FALSE)</f>
        <v>0.98919999999999997</v>
      </c>
      <c r="BK2" s="25">
        <f>VLOOKUP(Inventory[[#This Row],[Decade]],Lookups!$O$25:$R$42,4,FALSE)</f>
        <v>1</v>
      </c>
      <c r="BL2" s="25">
        <f>Inventory[[#This Row],[Nbhd Adj]]*0.95</f>
        <v>0.94971499999999998</v>
      </c>
      <c r="BM2" s="25">
        <f>Inventory[[#This Row],[Nbhd Adj]]*Inventory[[#This Row],[Quality Adj]]*Inventory[[#This Row],[Condition Adj]]*Inventory[[#This Row],[Living Area Adj]]*Inventory[[#This Row],[Decade Adj]]*0.95</f>
        <v>1.0713201038069142</v>
      </c>
      <c r="BN2" s="25">
        <f>ROUND(SUM(Inventory[[#This Row],[Mdl Qlty]:[Mdl WdDeck]])+Inventory[[#This Row],[Mdl Res Intercept]]*Inventory[[#This Row],[Res Adj ]],-2)</f>
        <v>511300</v>
      </c>
      <c r="BO2" s="25">
        <f>ROUND(Inventory[[#This Row],[25Det]]*Inventory[[#This Row],[Det/Nbhd Adj]],-2)</f>
        <v>33400</v>
      </c>
      <c r="BP2" s="25">
        <f>Inventory[[#This Row],[Adjusted Res]]+Inventory[[#This Row],[Adj Det ]]</f>
        <v>544700</v>
      </c>
      <c r="BQ2" s="25">
        <f>ROUND((Inventory[[#This Row],[Mdl Land Intercept]]+Inventory[[#This Row],[Mdl LnAcres]])*Inventory[[#This Row],[Det/Nbhd Adj]],-2)</f>
        <v>32100</v>
      </c>
      <c r="BR2" s="25">
        <f>Inventory[[#This Row],[Adjusted Impr Total]]+Inventory[[#This Row],[Adjusted Land Total]]</f>
        <v>576800</v>
      </c>
      <c r="BS2" s="36">
        <f>IFERROR((Inventory[[#This Row],[Adjusted Impr Total]]-Inventory[[#This Row],[24Bldg]])/Inventory[[#This Row],[24Bldg]],0)</f>
        <v>3.8764547896150403</v>
      </c>
      <c r="BT2" s="36">
        <f>(Inventory[[#This Row],[Adjusted Land Total]]-Inventory[[#This Row],[24Lnd]])/Inventory[[#This Row],[24Lnd]]</f>
        <v>-0.39089184060721061</v>
      </c>
      <c r="BU2" s="36">
        <v>0</v>
      </c>
    </row>
    <row r="3" spans="1:73" x14ac:dyDescent="0.3">
      <c r="A3" s="25">
        <v>2025</v>
      </c>
      <c r="B3" s="26" t="s">
        <v>721</v>
      </c>
      <c r="C3" s="26">
        <f>LN(Inventory[[#This Row],[Acres]])</f>
        <v>-3.5065578973199818</v>
      </c>
      <c r="D3" s="25">
        <v>0.03</v>
      </c>
      <c r="E3" s="25">
        <v>901</v>
      </c>
      <c r="F3" s="26" t="s">
        <v>537</v>
      </c>
      <c r="G3" s="26" t="s">
        <v>28</v>
      </c>
      <c r="H3" s="26" t="s">
        <v>349</v>
      </c>
      <c r="I3" s="26" t="s">
        <v>538</v>
      </c>
      <c r="J3" s="26" t="s">
        <v>551</v>
      </c>
      <c r="K3" s="26" t="s">
        <v>381</v>
      </c>
      <c r="L3" s="26" t="s">
        <v>148</v>
      </c>
      <c r="M3" s="26" t="s">
        <v>96</v>
      </c>
      <c r="N3" s="26">
        <v>10</v>
      </c>
      <c r="O3" s="26">
        <f>2024-Inventory[[#This Row],[YrBlt]]</f>
        <v>1</v>
      </c>
      <c r="P3" s="26">
        <f>2024-Inventory[[#This Row],[EffYr]]</f>
        <v>1</v>
      </c>
      <c r="Q3" s="25">
        <v>2023</v>
      </c>
      <c r="R3" s="25">
        <v>2023</v>
      </c>
      <c r="S3" s="25">
        <v>901</v>
      </c>
      <c r="T3" s="32">
        <v>896</v>
      </c>
      <c r="U3" s="32">
        <v>544</v>
      </c>
      <c r="V3" s="32">
        <f>Inventory[[#This Row],[Bsmt]]-Inventory[[#This Row],[FnBsmt]]</f>
        <v>66</v>
      </c>
      <c r="W3" s="32">
        <v>478</v>
      </c>
      <c r="X3" s="27"/>
      <c r="Y3" s="27">
        <f>Inventory[[#This Row],[MainFn]]+Inventory[[#This Row],[UpprFn]]+Inventory[[#This Row],[FnBsmt]]+Inventory[[#This Row],[AddFn]]</f>
        <v>2275</v>
      </c>
      <c r="Z3" s="27">
        <v>2500</v>
      </c>
      <c r="AA3" s="25">
        <v>15</v>
      </c>
      <c r="AB3" s="27"/>
      <c r="AC3" s="32">
        <v>528</v>
      </c>
      <c r="AD3" s="25">
        <v>400</v>
      </c>
      <c r="AE3" s="27"/>
      <c r="AF3" s="27"/>
      <c r="AG3" s="27"/>
      <c r="AH3" s="27"/>
      <c r="AI3" s="25">
        <v>475442</v>
      </c>
      <c r="AJ3" s="25">
        <v>465933</v>
      </c>
      <c r="AK3" s="25">
        <v>0</v>
      </c>
      <c r="AL3" s="25">
        <v>243800</v>
      </c>
      <c r="AM3" s="25">
        <v>52700</v>
      </c>
      <c r="AN3" s="25">
        <v>191100</v>
      </c>
      <c r="AO3" s="25">
        <v>0</v>
      </c>
      <c r="AP3" s="25">
        <f>Lookups!$B$56*0</f>
        <v>0</v>
      </c>
      <c r="AQ3" s="25">
        <f>Lookups!$B$56*1</f>
        <v>89850.625589999996</v>
      </c>
      <c r="AR3" s="25">
        <f>Lookups!$B$57*Inventory[[#This Row],[LnAcres]]</f>
        <v>-110998.74281323297</v>
      </c>
      <c r="AS3" s="25">
        <f>VLOOKUP(Inventory[[#This Row],[Qlty]],Lookups!$A$62:$E$75,2,FALSE)</f>
        <v>44121.038090000002</v>
      </c>
      <c r="AT3" s="25">
        <f>VLOOKUP(Inventory[[#This Row],[Cnd]],Lookups!$A$76:$E$84,2,FALSE)</f>
        <v>354070.39217000001</v>
      </c>
      <c r="AU3" s="25">
        <f>Inventory[[#This Row],[EffAge]]*Lookups!$B$85</f>
        <v>-223.04560050000001</v>
      </c>
      <c r="AV3" s="25">
        <f>Inventory[[#This Row],[MainFn]]*Lookups!$B$86</f>
        <v>44517.211559176998</v>
      </c>
      <c r="AW3" s="25">
        <f>Inventory[[#This Row],[UpprFn]]*Lookups!$B$87</f>
        <v>40128.634883455998</v>
      </c>
      <c r="AX3" s="25">
        <f>Inventory[[#This Row],[AddFn]]*Lookups!$B$88</f>
        <v>0</v>
      </c>
      <c r="AY3" s="25">
        <f>Inventory[[#This Row],[Bsmt]]*Lookups!$B$89</f>
        <v>15820.551014367999</v>
      </c>
      <c r="AZ3" s="25">
        <f>Inventory[[#This Row],[Fixtures]]*Lookups!$B$90</f>
        <v>56880.331578000005</v>
      </c>
      <c r="BA3" s="25">
        <f>Inventory[[#This Row],[WdDeck]]*Lookups!$B$91</f>
        <v>13318.206110400002</v>
      </c>
      <c r="BB3" s="25">
        <f>ROUND(Inventory[[#This Row],[25Det]],-2)</f>
        <v>0</v>
      </c>
      <c r="BC3" s="25">
        <f>ROUND(SUM(Inventory[[#This Row],[Mdl Qlty]:[Mdl WdDeck]])+Inventory[[#This Row],[Mdl Res Intercept]],-2)</f>
        <v>568600</v>
      </c>
      <c r="BD3" s="25">
        <f>ROUND(Inventory[[#This Row],[Mdl Land Intercept]]+Inventory[[#This Row],[Mdl LnAcres]],-2)</f>
        <v>-21100</v>
      </c>
      <c r="BE3" s="25">
        <f>Inventory[[#This Row],[Unadj Res Value]]+Inventory[[#This Row],[Unadj Det Value]]+Inventory[[#This Row],[Unadj Land Value]]</f>
        <v>547500</v>
      </c>
      <c r="BF3" s="36">
        <f>(Inventory[[#This Row],[Unadj Total Value]]-Inventory[[#This Row],[24Final]])/Inventory[[#This Row],[24Final]]</f>
        <v>1.2456931911402789</v>
      </c>
      <c r="BG3" s="25">
        <f>VLOOKUP(Inventory[[#This Row],[Nbhd]],Lookups!$Q$2:$T$4,4,FALSE)</f>
        <v>0.99970000000000003</v>
      </c>
      <c r="BH3" s="25">
        <f>VLOOKUP(Inventory[[#This Row],[Qlty]],Lookups!$O$7:$R$21,4,FALSE)</f>
        <v>0.98050000000000004</v>
      </c>
      <c r="BI3" s="25">
        <f>VLOOKUP(Inventory[[#This Row],[Cnd]],Lookups!$T$7:$W$16,4,FALSE)</f>
        <v>1.1303000000000001</v>
      </c>
      <c r="BJ3" s="25">
        <f>VLOOKUP(Inventory[[#This Row],[LivArea Range]],Lookups!$T$25:$W$37,4,FALSE)</f>
        <v>0.98919999999999997</v>
      </c>
      <c r="BK3" s="25">
        <f>VLOOKUP(Inventory[[#This Row],[Decade]],Lookups!$O$25:$R$42,4,FALSE)</f>
        <v>1</v>
      </c>
      <c r="BL3" s="25">
        <f>Inventory[[#This Row],[Nbhd Adj]]*0.95</f>
        <v>0.94971499999999998</v>
      </c>
      <c r="BM3" s="25">
        <f>Inventory[[#This Row],[Nbhd Adj]]*Inventory[[#This Row],[Quality Adj]]*Inventory[[#This Row],[Condition Adj]]*Inventory[[#This Row],[Living Area Adj]]*Inventory[[#This Row],[Decade Adj]]*0.95</f>
        <v>1.0411630109849137</v>
      </c>
      <c r="BN3" s="25">
        <f>ROUND(SUM(Inventory[[#This Row],[Mdl Qlty]:[Mdl WdDeck]])+Inventory[[#This Row],[Mdl Res Intercept]]*Inventory[[#This Row],[Res Adj ]],-2)</f>
        <v>568600</v>
      </c>
      <c r="BO3" s="25">
        <f>ROUND(Inventory[[#This Row],[25Det]]*Inventory[[#This Row],[Det/Nbhd Adj]],-2)</f>
        <v>0</v>
      </c>
      <c r="BP3" s="25">
        <f>Inventory[[#This Row],[Adjusted Res]]+Inventory[[#This Row],[Adj Det ]]</f>
        <v>568600</v>
      </c>
      <c r="BQ3" s="25">
        <f>ROUND((Inventory[[#This Row],[Mdl Land Intercept]]+Inventory[[#This Row],[Mdl LnAcres]])*Inventory[[#This Row],[Det/Nbhd Adj]],-2)</f>
        <v>-20100</v>
      </c>
      <c r="BR3" s="25">
        <f>Inventory[[#This Row],[Adjusted Impr Total]]+Inventory[[#This Row],[Adjusted Land Total]]</f>
        <v>548500</v>
      </c>
      <c r="BS3" s="36">
        <f>IFERROR((Inventory[[#This Row],[Adjusted Impr Total]]-Inventory[[#This Row],[24Bldg]])/Inventory[[#This Row],[24Bldg]],0)</f>
        <v>1.9754055468341183</v>
      </c>
      <c r="BT3" s="36">
        <f>(Inventory[[#This Row],[Adjusted Land Total]]-Inventory[[#This Row],[24Lnd]])/Inventory[[#This Row],[24Lnd]]</f>
        <v>-1.381404174573055</v>
      </c>
      <c r="BU3" s="36">
        <v>0</v>
      </c>
    </row>
    <row r="4" spans="1:73" x14ac:dyDescent="0.3">
      <c r="A4" s="25">
        <v>2025</v>
      </c>
      <c r="B4" s="26" t="s">
        <v>723</v>
      </c>
      <c r="C4" s="26">
        <f>LN(Inventory[[#This Row],[Acres]])</f>
        <v>-3.912023005428146</v>
      </c>
      <c r="D4" s="25">
        <v>0.02</v>
      </c>
      <c r="E4" s="25">
        <v>901</v>
      </c>
      <c r="F4" s="26" t="s">
        <v>537</v>
      </c>
      <c r="G4" s="26" t="s">
        <v>28</v>
      </c>
      <c r="H4" s="26" t="s">
        <v>349</v>
      </c>
      <c r="I4" s="26" t="s">
        <v>538</v>
      </c>
      <c r="J4" s="26" t="s">
        <v>551</v>
      </c>
      <c r="K4" s="26" t="s">
        <v>381</v>
      </c>
      <c r="L4" s="26" t="s">
        <v>148</v>
      </c>
      <c r="M4" s="26" t="s">
        <v>96</v>
      </c>
      <c r="N4" s="26">
        <v>10</v>
      </c>
      <c r="O4" s="26">
        <f>2024-Inventory[[#This Row],[YrBlt]]</f>
        <v>1</v>
      </c>
      <c r="P4" s="26">
        <f>2024-Inventory[[#This Row],[EffYr]]</f>
        <v>1</v>
      </c>
      <c r="Q4" s="25">
        <v>2023</v>
      </c>
      <c r="R4" s="25">
        <v>2023</v>
      </c>
      <c r="S4" s="25">
        <v>901</v>
      </c>
      <c r="T4" s="32">
        <v>896</v>
      </c>
      <c r="U4" s="25">
        <v>544</v>
      </c>
      <c r="V4" s="25">
        <f>Inventory[[#This Row],[Bsmt]]-Inventory[[#This Row],[FnBsmt]]</f>
        <v>0</v>
      </c>
      <c r="W4" s="25">
        <v>544</v>
      </c>
      <c r="X4" s="27"/>
      <c r="Y4" s="27">
        <f>Inventory[[#This Row],[MainFn]]+Inventory[[#This Row],[UpprFn]]+Inventory[[#This Row],[FnBsmt]]+Inventory[[#This Row],[AddFn]]</f>
        <v>2341</v>
      </c>
      <c r="Z4" s="27">
        <v>2500</v>
      </c>
      <c r="AA4" s="25">
        <v>14</v>
      </c>
      <c r="AB4" s="27"/>
      <c r="AC4" s="32">
        <v>528</v>
      </c>
      <c r="AD4" s="32">
        <v>400</v>
      </c>
      <c r="AE4" s="27"/>
      <c r="AF4" s="27"/>
      <c r="AG4" s="27"/>
      <c r="AH4" s="32">
        <v>83</v>
      </c>
      <c r="AI4" s="25">
        <v>476130</v>
      </c>
      <c r="AJ4" s="25">
        <v>466607</v>
      </c>
      <c r="AK4" s="25">
        <v>0</v>
      </c>
      <c r="AL4" s="25">
        <v>244200</v>
      </c>
      <c r="AM4" s="25">
        <v>52800</v>
      </c>
      <c r="AN4" s="25">
        <v>191400</v>
      </c>
      <c r="AO4" s="25">
        <v>0</v>
      </c>
      <c r="AP4" s="25">
        <f>Lookups!$B$56*0</f>
        <v>0</v>
      </c>
      <c r="AQ4" s="25">
        <f>Lookups!$B$56*1</f>
        <v>89850.625589999996</v>
      </c>
      <c r="AR4" s="25">
        <f>Lookups!$B$57*Inventory[[#This Row],[LnAcres]]</f>
        <v>-123833.58500677992</v>
      </c>
      <c r="AS4" s="25">
        <f>VLOOKUP(Inventory[[#This Row],[Qlty]],Lookups!$A$62:$E$75,2,FALSE)</f>
        <v>44121.038090000002</v>
      </c>
      <c r="AT4" s="25">
        <f>VLOOKUP(Inventory[[#This Row],[Cnd]],Lookups!$A$76:$E$84,2,FALSE)</f>
        <v>354070.39217000001</v>
      </c>
      <c r="AU4" s="25">
        <f>Inventory[[#This Row],[EffAge]]*Lookups!$B$85</f>
        <v>-223.04560050000001</v>
      </c>
      <c r="AV4" s="25">
        <f>Inventory[[#This Row],[MainFn]]*Lookups!$B$86</f>
        <v>44517.211559176998</v>
      </c>
      <c r="AW4" s="25">
        <f>Inventory[[#This Row],[UpprFn]]*Lookups!$B$87</f>
        <v>40128.634883455998</v>
      </c>
      <c r="AX4" s="25">
        <f>Inventory[[#This Row],[AddFn]]*Lookups!$B$88</f>
        <v>0</v>
      </c>
      <c r="AY4" s="25">
        <f>Inventory[[#This Row],[Bsmt]]*Lookups!$B$89</f>
        <v>15820.551014367999</v>
      </c>
      <c r="AZ4" s="25">
        <f>Inventory[[#This Row],[Fixtures]]*Lookups!$B$90</f>
        <v>53088.3094728</v>
      </c>
      <c r="BA4" s="25">
        <f>Inventory[[#This Row],[WdDeck]]*Lookups!$B$91</f>
        <v>13318.206110400002</v>
      </c>
      <c r="BB4" s="25">
        <f>ROUND(Inventory[[#This Row],[25Det]],-2)</f>
        <v>0</v>
      </c>
      <c r="BC4" s="25">
        <f>ROUND(SUM(Inventory[[#This Row],[Mdl Qlty]:[Mdl WdDeck]])+Inventory[[#This Row],[Mdl Res Intercept]],-2)</f>
        <v>564800</v>
      </c>
      <c r="BD4" s="25">
        <f>ROUND(Inventory[[#This Row],[Mdl Land Intercept]]+Inventory[[#This Row],[Mdl LnAcres]],-2)</f>
        <v>-34000</v>
      </c>
      <c r="BE4" s="25">
        <f>Inventory[[#This Row],[Unadj Res Value]]+Inventory[[#This Row],[Unadj Det Value]]+Inventory[[#This Row],[Unadj Land Value]]</f>
        <v>530800</v>
      </c>
      <c r="BF4" s="36">
        <f>(Inventory[[#This Row],[Unadj Total Value]]-Inventory[[#This Row],[24Final]])/Inventory[[#This Row],[24Final]]</f>
        <v>1.1736281736281737</v>
      </c>
      <c r="BG4" s="25">
        <f>VLOOKUP(Inventory[[#This Row],[Nbhd]],Lookups!$Q$2:$T$4,4,FALSE)</f>
        <v>0.99970000000000003</v>
      </c>
      <c r="BH4" s="25">
        <f>VLOOKUP(Inventory[[#This Row],[Qlty]],Lookups!$O$7:$R$21,4,FALSE)</f>
        <v>0.98050000000000004</v>
      </c>
      <c r="BI4" s="25">
        <f>VLOOKUP(Inventory[[#This Row],[Cnd]],Lookups!$T$7:$W$16,4,FALSE)</f>
        <v>1.1303000000000001</v>
      </c>
      <c r="BJ4" s="25">
        <f>VLOOKUP(Inventory[[#This Row],[LivArea Range]],Lookups!$T$25:$W$37,4,FALSE)</f>
        <v>0.98919999999999997</v>
      </c>
      <c r="BK4" s="25">
        <f>VLOOKUP(Inventory[[#This Row],[Decade]],Lookups!$O$25:$R$42,4,FALSE)</f>
        <v>1</v>
      </c>
      <c r="BL4" s="25">
        <f>Inventory[[#This Row],[Nbhd Adj]]*0.95</f>
        <v>0.94971499999999998</v>
      </c>
      <c r="BM4" s="25">
        <f>Inventory[[#This Row],[Nbhd Adj]]*Inventory[[#This Row],[Quality Adj]]*Inventory[[#This Row],[Condition Adj]]*Inventory[[#This Row],[Living Area Adj]]*Inventory[[#This Row],[Decade Adj]]*0.95</f>
        <v>1.0411630109849137</v>
      </c>
      <c r="BN4" s="25">
        <f>ROUND(SUM(Inventory[[#This Row],[Mdl Qlty]:[Mdl WdDeck]])+Inventory[[#This Row],[Mdl Res Intercept]]*Inventory[[#This Row],[Res Adj ]],-2)</f>
        <v>564800</v>
      </c>
      <c r="BO4" s="25">
        <f>ROUND(Inventory[[#This Row],[25Det]]*Inventory[[#This Row],[Det/Nbhd Adj]],-2)</f>
        <v>0</v>
      </c>
      <c r="BP4" s="25">
        <f>Inventory[[#This Row],[Adjusted Res]]+Inventory[[#This Row],[Adj Det ]]</f>
        <v>564800</v>
      </c>
      <c r="BQ4" s="25">
        <f>ROUND((Inventory[[#This Row],[Mdl Land Intercept]]+Inventory[[#This Row],[Mdl LnAcres]])*Inventory[[#This Row],[Det/Nbhd Adj]],-2)</f>
        <v>-32300</v>
      </c>
      <c r="BR4" s="25">
        <f>Inventory[[#This Row],[Adjusted Impr Total]]+Inventory[[#This Row],[Adjusted Land Total]]</f>
        <v>532500</v>
      </c>
      <c r="BS4" s="36">
        <f>IFERROR((Inventory[[#This Row],[Adjusted Impr Total]]-Inventory[[#This Row],[24Bldg]])/Inventory[[#This Row],[24Bldg]],0)</f>
        <v>1.9508881922675025</v>
      </c>
      <c r="BT4" s="36">
        <f>(Inventory[[#This Row],[Adjusted Land Total]]-Inventory[[#This Row],[24Lnd]])/Inventory[[#This Row],[24Lnd]]</f>
        <v>-1.6117424242424243</v>
      </c>
      <c r="BU4" s="36">
        <v>0</v>
      </c>
    </row>
    <row r="5" spans="1:73" x14ac:dyDescent="0.3">
      <c r="A5" s="25">
        <v>2025</v>
      </c>
      <c r="B5" s="26" t="s">
        <v>727</v>
      </c>
      <c r="C5" s="26">
        <f>LN(Inventory[[#This Row],[Acres]])</f>
        <v>-3.5065578973199818</v>
      </c>
      <c r="D5" s="25">
        <v>0.03</v>
      </c>
      <c r="E5" s="25">
        <v>1600</v>
      </c>
      <c r="F5" s="26" t="s">
        <v>537</v>
      </c>
      <c r="G5" s="26" t="s">
        <v>28</v>
      </c>
      <c r="H5" s="26" t="s">
        <v>349</v>
      </c>
      <c r="I5" s="26" t="s">
        <v>538</v>
      </c>
      <c r="J5" s="26" t="s">
        <v>551</v>
      </c>
      <c r="K5" s="26" t="s">
        <v>381</v>
      </c>
      <c r="L5" s="26" t="s">
        <v>148</v>
      </c>
      <c r="M5" s="26" t="s">
        <v>96</v>
      </c>
      <c r="N5" s="26">
        <v>10</v>
      </c>
      <c r="O5" s="26">
        <f>2024-Inventory[[#This Row],[YrBlt]]</f>
        <v>1</v>
      </c>
      <c r="P5" s="26">
        <f>2024-Inventory[[#This Row],[EffYr]]</f>
        <v>1</v>
      </c>
      <c r="Q5" s="25">
        <v>2023</v>
      </c>
      <c r="R5" s="25">
        <v>2023</v>
      </c>
      <c r="S5" s="25">
        <v>1600</v>
      </c>
      <c r="T5" s="31"/>
      <c r="U5" s="32">
        <v>385</v>
      </c>
      <c r="V5" s="86">
        <f>Inventory[[#This Row],[Bsmt]]-Inventory[[#This Row],[FnBsmt]]</f>
        <v>0</v>
      </c>
      <c r="W5" s="32">
        <v>385</v>
      </c>
      <c r="X5" s="27"/>
      <c r="Y5" s="27">
        <f>Inventory[[#This Row],[MainFn]]+Inventory[[#This Row],[UpprFn]]+Inventory[[#This Row],[FnBsmt]]+Inventory[[#This Row],[AddFn]]</f>
        <v>1985</v>
      </c>
      <c r="Z5" s="27">
        <v>2000</v>
      </c>
      <c r="AA5" s="25">
        <v>9</v>
      </c>
      <c r="AB5" s="27"/>
      <c r="AC5" s="32">
        <v>550</v>
      </c>
      <c r="AD5" s="32">
        <v>269</v>
      </c>
      <c r="AE5" s="27"/>
      <c r="AF5" s="27"/>
      <c r="AG5" s="27"/>
      <c r="AH5" s="27"/>
      <c r="AI5" s="25">
        <v>437147</v>
      </c>
      <c r="AJ5" s="25">
        <v>428404</v>
      </c>
      <c r="AK5" s="25">
        <v>0</v>
      </c>
      <c r="AL5" s="25">
        <v>269900</v>
      </c>
      <c r="AM5" s="25">
        <v>45100</v>
      </c>
      <c r="AN5" s="25">
        <v>224800</v>
      </c>
      <c r="AO5" s="25">
        <v>0</v>
      </c>
      <c r="AP5" s="25">
        <f>Lookups!$B$56*0</f>
        <v>0</v>
      </c>
      <c r="AQ5" s="25">
        <f>Lookups!$B$56*1</f>
        <v>89850.625589999996</v>
      </c>
      <c r="AR5" s="25">
        <f>Lookups!$B$57*Inventory[[#This Row],[LnAcres]]</f>
        <v>-110998.74281323297</v>
      </c>
      <c r="AS5" s="25">
        <f>VLOOKUP(Inventory[[#This Row],[Qlty]],Lookups!$A$62:$E$75,2,FALSE)</f>
        <v>44121.038090000002</v>
      </c>
      <c r="AT5" s="25">
        <f>VLOOKUP(Inventory[[#This Row],[Cnd]],Lookups!$A$76:$E$84,2,FALSE)</f>
        <v>354070.39217000001</v>
      </c>
      <c r="AU5" s="25">
        <f>Inventory[[#This Row],[EffAge]]*Lookups!$B$85</f>
        <v>-223.04560050000001</v>
      </c>
      <c r="AV5" s="25">
        <f>Inventory[[#This Row],[MainFn]]*Lookups!$B$86</f>
        <v>79053.871803200003</v>
      </c>
      <c r="AW5" s="25">
        <f>Inventory[[#This Row],[UpprFn]]*Lookups!$B$87</f>
        <v>0</v>
      </c>
      <c r="AX5" s="25">
        <f>Inventory[[#This Row],[AddFn]]*Lookups!$B$88</f>
        <v>0</v>
      </c>
      <c r="AY5" s="25">
        <f>Inventory[[#This Row],[Bsmt]]*Lookups!$B$89</f>
        <v>11196.529670095</v>
      </c>
      <c r="AZ5" s="25">
        <f>Inventory[[#This Row],[Fixtures]]*Lookups!$B$90</f>
        <v>34128.198946800003</v>
      </c>
      <c r="BA5" s="25">
        <f>Inventory[[#This Row],[WdDeck]]*Lookups!$B$91</f>
        <v>8956.4936092440003</v>
      </c>
      <c r="BB5" s="25">
        <f>ROUND(Inventory[[#This Row],[25Det]],-2)</f>
        <v>0</v>
      </c>
      <c r="BC5" s="25">
        <f>ROUND(SUM(Inventory[[#This Row],[Mdl Qlty]:[Mdl WdDeck]])+Inventory[[#This Row],[Mdl Res Intercept]],-2)</f>
        <v>531300</v>
      </c>
      <c r="BD5" s="25">
        <f>ROUND(Inventory[[#This Row],[Mdl Land Intercept]]+Inventory[[#This Row],[Mdl LnAcres]],-2)</f>
        <v>-21100</v>
      </c>
      <c r="BE5" s="25">
        <f>Inventory[[#This Row],[Unadj Res Value]]+Inventory[[#This Row],[Unadj Det Value]]+Inventory[[#This Row],[Unadj Land Value]]</f>
        <v>510200</v>
      </c>
      <c r="BF5" s="36">
        <f>(Inventory[[#This Row],[Unadj Total Value]]-Inventory[[#This Row],[24Final]])/Inventory[[#This Row],[24Final]]</f>
        <v>0.89032975175991103</v>
      </c>
      <c r="BG5" s="25">
        <f>VLOOKUP(Inventory[[#This Row],[Nbhd]],Lookups!$Q$2:$T$4,4,FALSE)</f>
        <v>0.99970000000000003</v>
      </c>
      <c r="BH5" s="25">
        <f>VLOOKUP(Inventory[[#This Row],[Qlty]],Lookups!$O$7:$R$21,4,FALSE)</f>
        <v>0.98050000000000004</v>
      </c>
      <c r="BI5" s="25">
        <f>VLOOKUP(Inventory[[#This Row],[Cnd]],Lookups!$T$7:$W$16,4,FALSE)</f>
        <v>1.1303000000000001</v>
      </c>
      <c r="BJ5" s="25">
        <f>VLOOKUP(Inventory[[#This Row],[LivArea Range]],Lookups!$T$25:$W$37,4,FALSE)</f>
        <v>1.0093000000000001</v>
      </c>
      <c r="BK5" s="25">
        <f>VLOOKUP(Inventory[[#This Row],[Decade]],Lookups!$O$25:$R$42,4,FALSE)</f>
        <v>1</v>
      </c>
      <c r="BL5" s="25">
        <f>Inventory[[#This Row],[Nbhd Adj]]*0.95</f>
        <v>0.94971499999999998</v>
      </c>
      <c r="BM5" s="25">
        <f>Inventory[[#This Row],[Nbhd Adj]]*Inventory[[#This Row],[Quality Adj]]*Inventory[[#This Row],[Condition Adj]]*Inventory[[#This Row],[Living Area Adj]]*Inventory[[#This Row],[Decade Adj]]*0.95</f>
        <v>1.0623188707916231</v>
      </c>
      <c r="BN5" s="25">
        <f>ROUND(SUM(Inventory[[#This Row],[Mdl Qlty]:[Mdl WdDeck]])+Inventory[[#This Row],[Mdl Res Intercept]]*Inventory[[#This Row],[Res Adj ]],-2)</f>
        <v>531300</v>
      </c>
      <c r="BO5" s="25">
        <f>ROUND(Inventory[[#This Row],[25Det]]*Inventory[[#This Row],[Det/Nbhd Adj]],-2)</f>
        <v>0</v>
      </c>
      <c r="BP5" s="25">
        <f>Inventory[[#This Row],[Adjusted Res]]+Inventory[[#This Row],[Adj Det ]]</f>
        <v>531300</v>
      </c>
      <c r="BQ5" s="25">
        <f>ROUND((Inventory[[#This Row],[Mdl Land Intercept]]+Inventory[[#This Row],[Mdl LnAcres]])*Inventory[[#This Row],[Det/Nbhd Adj]],-2)</f>
        <v>-20100</v>
      </c>
      <c r="BR5" s="25">
        <f>Inventory[[#This Row],[Adjusted Impr Total]]+Inventory[[#This Row],[Adjusted Land Total]]</f>
        <v>511200</v>
      </c>
      <c r="BS5" s="36">
        <f>IFERROR((Inventory[[#This Row],[Adjusted Impr Total]]-Inventory[[#This Row],[24Bldg]])/Inventory[[#This Row],[24Bldg]],0)</f>
        <v>1.3634341637010676</v>
      </c>
      <c r="BT5" s="36">
        <f>(Inventory[[#This Row],[Adjusted Land Total]]-Inventory[[#This Row],[24Lnd]])/Inventory[[#This Row],[24Lnd]]</f>
        <v>-1.4456762749445675</v>
      </c>
      <c r="BU5" s="36">
        <v>0</v>
      </c>
    </row>
    <row r="6" spans="1:73" x14ac:dyDescent="0.3">
      <c r="A6" s="25">
        <v>2025</v>
      </c>
      <c r="B6" s="26" t="s">
        <v>725</v>
      </c>
      <c r="C6" s="26">
        <f>LN(Inventory[[#This Row],[Acres]])</f>
        <v>-3.5065578973199818</v>
      </c>
      <c r="D6" s="25">
        <v>0.03</v>
      </c>
      <c r="E6" s="25">
        <v>2001</v>
      </c>
      <c r="F6" s="26" t="s">
        <v>537</v>
      </c>
      <c r="G6" s="26" t="s">
        <v>28</v>
      </c>
      <c r="H6" s="26" t="s">
        <v>349</v>
      </c>
      <c r="I6" s="26" t="s">
        <v>538</v>
      </c>
      <c r="J6" s="26" t="s">
        <v>551</v>
      </c>
      <c r="K6" s="26" t="s">
        <v>381</v>
      </c>
      <c r="L6" s="26" t="s">
        <v>148</v>
      </c>
      <c r="M6" s="26" t="s">
        <v>96</v>
      </c>
      <c r="N6" s="26">
        <v>10</v>
      </c>
      <c r="O6" s="26">
        <f>2024-Inventory[[#This Row],[YrBlt]]</f>
        <v>1</v>
      </c>
      <c r="P6" s="26">
        <f>2024-Inventory[[#This Row],[EffYr]]</f>
        <v>1</v>
      </c>
      <c r="Q6" s="25">
        <v>2023</v>
      </c>
      <c r="R6" s="25">
        <v>2023</v>
      </c>
      <c r="S6" s="25">
        <v>2001</v>
      </c>
      <c r="T6" s="27"/>
      <c r="U6" s="32">
        <v>1216</v>
      </c>
      <c r="V6" s="32">
        <f>Inventory[[#This Row],[Bsmt]]-Inventory[[#This Row],[FnBsmt]]</f>
        <v>0</v>
      </c>
      <c r="W6" s="32">
        <v>1216</v>
      </c>
      <c r="X6" s="27"/>
      <c r="Y6" s="27">
        <f>Inventory[[#This Row],[MainFn]]+Inventory[[#This Row],[UpprFn]]+Inventory[[#This Row],[FnBsmt]]+Inventory[[#This Row],[AddFn]]</f>
        <v>3217</v>
      </c>
      <c r="Z6" s="27">
        <v>3500</v>
      </c>
      <c r="AA6" s="25">
        <v>10</v>
      </c>
      <c r="AB6" s="27"/>
      <c r="AC6" s="32">
        <v>560</v>
      </c>
      <c r="AD6" s="32">
        <v>254</v>
      </c>
      <c r="AE6" s="27"/>
      <c r="AF6" s="27"/>
      <c r="AG6" s="27"/>
      <c r="AH6" s="27"/>
      <c r="AI6" s="25">
        <v>564399</v>
      </c>
      <c r="AJ6" s="25">
        <v>553111</v>
      </c>
      <c r="AK6" s="25">
        <v>0</v>
      </c>
      <c r="AL6" s="25">
        <v>348400</v>
      </c>
      <c r="AM6" s="25">
        <v>58200</v>
      </c>
      <c r="AN6" s="25">
        <v>290200</v>
      </c>
      <c r="AO6" s="25">
        <v>0</v>
      </c>
      <c r="AP6" s="25">
        <f>Lookups!$B$56*0</f>
        <v>0</v>
      </c>
      <c r="AQ6" s="25">
        <f>Lookups!$B$56*1</f>
        <v>89850.625589999996</v>
      </c>
      <c r="AR6" s="25">
        <f>Lookups!$B$57*Inventory[[#This Row],[LnAcres]]</f>
        <v>-110998.74281323297</v>
      </c>
      <c r="AS6" s="25">
        <f>VLOOKUP(Inventory[[#This Row],[Qlty]],Lookups!$A$62:$E$75,2,FALSE)</f>
        <v>44121.038090000002</v>
      </c>
      <c r="AT6" s="25">
        <f>VLOOKUP(Inventory[[#This Row],[Cnd]],Lookups!$A$76:$E$84,2,FALSE)</f>
        <v>354070.39217000001</v>
      </c>
      <c r="AU6" s="25">
        <f>Inventory[[#This Row],[EffAge]]*Lookups!$B$85</f>
        <v>-223.04560050000001</v>
      </c>
      <c r="AV6" s="25">
        <f>Inventory[[#This Row],[MainFn]]*Lookups!$B$86</f>
        <v>98866.748423876998</v>
      </c>
      <c r="AW6" s="25">
        <f>Inventory[[#This Row],[UpprFn]]*Lookups!$B$87</f>
        <v>0</v>
      </c>
      <c r="AX6" s="25">
        <f>Inventory[[#This Row],[AddFn]]*Lookups!$B$88</f>
        <v>0</v>
      </c>
      <c r="AY6" s="25">
        <f>Inventory[[#This Row],[Bsmt]]*Lookups!$B$89</f>
        <v>35363.584620351998</v>
      </c>
      <c r="AZ6" s="25">
        <f>Inventory[[#This Row],[Fixtures]]*Lookups!$B$90</f>
        <v>37920.221052000001</v>
      </c>
      <c r="BA6" s="25">
        <f>Inventory[[#This Row],[WdDeck]]*Lookups!$B$91</f>
        <v>8457.0608801040016</v>
      </c>
      <c r="BB6" s="25">
        <f>ROUND(Inventory[[#This Row],[25Det]],-2)</f>
        <v>0</v>
      </c>
      <c r="BC6" s="25">
        <f>ROUND(SUM(Inventory[[#This Row],[Mdl Qlty]:[Mdl WdDeck]])+Inventory[[#This Row],[Mdl Res Intercept]],-2)</f>
        <v>578600</v>
      </c>
      <c r="BD6" s="25">
        <f>ROUND(Inventory[[#This Row],[Mdl Land Intercept]]+Inventory[[#This Row],[Mdl LnAcres]],-2)</f>
        <v>-21100</v>
      </c>
      <c r="BE6" s="25">
        <f>Inventory[[#This Row],[Unadj Res Value]]+Inventory[[#This Row],[Unadj Det Value]]+Inventory[[#This Row],[Unadj Land Value]]</f>
        <v>557500</v>
      </c>
      <c r="BF6" s="36">
        <f>(Inventory[[#This Row],[Unadj Total Value]]-Inventory[[#This Row],[24Final]])/Inventory[[#This Row],[24Final]]</f>
        <v>0.6001722158438576</v>
      </c>
      <c r="BG6" s="25">
        <f>VLOOKUP(Inventory[[#This Row],[Nbhd]],Lookups!$Q$2:$T$4,4,FALSE)</f>
        <v>0.99970000000000003</v>
      </c>
      <c r="BH6" s="25">
        <f>VLOOKUP(Inventory[[#This Row],[Qlty]],Lookups!$O$7:$R$21,4,FALSE)</f>
        <v>0.98050000000000004</v>
      </c>
      <c r="BI6" s="25">
        <f>VLOOKUP(Inventory[[#This Row],[Cnd]],Lookups!$T$7:$W$16,4,FALSE)</f>
        <v>1.1303000000000001</v>
      </c>
      <c r="BJ6" s="25">
        <f>VLOOKUP(Inventory[[#This Row],[LivArea Range]],Lookups!$T$25:$W$37,4,FALSE)</f>
        <v>1.0126999999999999</v>
      </c>
      <c r="BK6" s="25">
        <f>VLOOKUP(Inventory[[#This Row],[Decade]],Lookups!$O$25:$R$42,4,FALSE)</f>
        <v>1</v>
      </c>
      <c r="BL6" s="25">
        <f>Inventory[[#This Row],[Nbhd Adj]]*0.95</f>
        <v>0.94971499999999998</v>
      </c>
      <c r="BM6" s="25">
        <f>Inventory[[#This Row],[Nbhd Adj]]*Inventory[[#This Row],[Quality Adj]]*Inventory[[#This Row],[Condition Adj]]*Inventory[[#This Row],[Living Area Adj]]*Inventory[[#This Row],[Decade Adj]]*0.95</f>
        <v>1.0658974739430065</v>
      </c>
      <c r="BN6" s="25">
        <f>ROUND(SUM(Inventory[[#This Row],[Mdl Qlty]:[Mdl WdDeck]])+Inventory[[#This Row],[Mdl Res Intercept]]*Inventory[[#This Row],[Res Adj ]],-2)</f>
        <v>578600</v>
      </c>
      <c r="BO6" s="25">
        <f>ROUND(Inventory[[#This Row],[25Det]]*Inventory[[#This Row],[Det/Nbhd Adj]],-2)</f>
        <v>0</v>
      </c>
      <c r="BP6" s="25">
        <f>Inventory[[#This Row],[Adjusted Res]]+Inventory[[#This Row],[Adj Det ]]</f>
        <v>578600</v>
      </c>
      <c r="BQ6" s="25">
        <f>ROUND((Inventory[[#This Row],[Mdl Land Intercept]]+Inventory[[#This Row],[Mdl LnAcres]])*Inventory[[#This Row],[Det/Nbhd Adj]],-2)</f>
        <v>-20100</v>
      </c>
      <c r="BR6" s="25">
        <f>Inventory[[#This Row],[Adjusted Impr Total]]+Inventory[[#This Row],[Adjusted Land Total]]</f>
        <v>558500</v>
      </c>
      <c r="BS6" s="36">
        <f>IFERROR((Inventory[[#This Row],[Adjusted Impr Total]]-Inventory[[#This Row],[24Bldg]])/Inventory[[#This Row],[24Bldg]],0)</f>
        <v>0.99379738111647142</v>
      </c>
      <c r="BT6" s="36">
        <f>(Inventory[[#This Row],[Adjusted Land Total]]-Inventory[[#This Row],[24Lnd]])/Inventory[[#This Row],[24Lnd]]</f>
        <v>-1.3453608247422681</v>
      </c>
      <c r="BU6" s="36">
        <v>0</v>
      </c>
    </row>
    <row r="7" spans="1:73" x14ac:dyDescent="0.3">
      <c r="A7" s="25">
        <v>2025</v>
      </c>
      <c r="B7" s="26" t="s">
        <v>2353</v>
      </c>
      <c r="C7" s="26">
        <f>LN(Inventory[[#This Row],[Acres]])</f>
        <v>-2.0402208285265546</v>
      </c>
      <c r="D7" s="25">
        <v>0.13</v>
      </c>
      <c r="E7" s="25">
        <v>5500</v>
      </c>
      <c r="F7" s="26" t="s">
        <v>537</v>
      </c>
      <c r="G7" s="26" t="s">
        <v>126</v>
      </c>
      <c r="H7" s="26" t="s">
        <v>349</v>
      </c>
      <c r="I7" s="26" t="s">
        <v>538</v>
      </c>
      <c r="J7" s="26" t="s">
        <v>539</v>
      </c>
      <c r="K7" s="26" t="s">
        <v>242</v>
      </c>
      <c r="L7" s="26" t="s">
        <v>351</v>
      </c>
      <c r="M7" s="26" t="s">
        <v>96</v>
      </c>
      <c r="N7" s="26">
        <v>10</v>
      </c>
      <c r="O7" s="26">
        <f>2024-Inventory[[#This Row],[YrBlt]]</f>
        <v>1</v>
      </c>
      <c r="P7" s="26">
        <f>2024-Inventory[[#This Row],[EffYr]]</f>
        <v>1</v>
      </c>
      <c r="Q7" s="25">
        <v>2023</v>
      </c>
      <c r="R7" s="25">
        <v>2023</v>
      </c>
      <c r="S7" s="25">
        <v>1288</v>
      </c>
      <c r="T7" s="27"/>
      <c r="U7" s="27"/>
      <c r="V7" s="27">
        <f>Inventory[[#This Row],[Bsmt]]-Inventory[[#This Row],[FnBsmt]]</f>
        <v>0</v>
      </c>
      <c r="W7" s="27"/>
      <c r="X7" s="27"/>
      <c r="Y7" s="27">
        <f>Inventory[[#This Row],[MainFn]]+Inventory[[#This Row],[UpprFn]]+Inventory[[#This Row],[FnBsmt]]+Inventory[[#This Row],[AddFn]]</f>
        <v>1288</v>
      </c>
      <c r="Z7" s="27">
        <v>1500</v>
      </c>
      <c r="AA7" s="25">
        <v>8</v>
      </c>
      <c r="AB7" s="27"/>
      <c r="AC7" s="27"/>
      <c r="AD7" s="27"/>
      <c r="AE7" s="27"/>
      <c r="AF7" s="27"/>
      <c r="AG7" s="27"/>
      <c r="AH7" s="27"/>
      <c r="AI7" s="25">
        <v>199484</v>
      </c>
      <c r="AJ7" s="25">
        <v>195494</v>
      </c>
      <c r="AK7" s="25">
        <v>0</v>
      </c>
      <c r="AL7" s="25">
        <v>333300</v>
      </c>
      <c r="AM7" s="25">
        <v>43400</v>
      </c>
      <c r="AN7" s="25">
        <v>289900</v>
      </c>
      <c r="AO7" s="25">
        <v>0</v>
      </c>
      <c r="AP7" s="25">
        <f>Lookups!$B$56*0</f>
        <v>0</v>
      </c>
      <c r="AQ7" s="25">
        <f>Lookups!$B$56*1</f>
        <v>89850.625589999996</v>
      </c>
      <c r="AR7" s="25">
        <f>Lookups!$B$57*Inventory[[#This Row],[LnAcres]]</f>
        <v>-64582.406353792743</v>
      </c>
      <c r="AS7" s="25">
        <f>VLOOKUP(Inventory[[#This Row],[Qlty]],Lookups!$A$62:$E$75,2,FALSE)</f>
        <v>21557.329055999999</v>
      </c>
      <c r="AT7" s="25">
        <f>VLOOKUP(Inventory[[#This Row],[Cnd]],Lookups!$A$76:$E$84,2,FALSE)</f>
        <v>354070.39217000001</v>
      </c>
      <c r="AU7" s="25">
        <f>Inventory[[#This Row],[EffAge]]*Lookups!$B$85</f>
        <v>-223.04560050000001</v>
      </c>
      <c r="AV7" s="25">
        <f>Inventory[[#This Row],[MainFn]]*Lookups!$B$86</f>
        <v>63638.366801576005</v>
      </c>
      <c r="AW7" s="25">
        <f>Inventory[[#This Row],[UpprFn]]*Lookups!$B$87</f>
        <v>0</v>
      </c>
      <c r="AX7" s="25">
        <f>Inventory[[#This Row],[AddFn]]*Lookups!$B$88</f>
        <v>0</v>
      </c>
      <c r="AY7" s="25">
        <f>Inventory[[#This Row],[Bsmt]]*Lookups!$B$89</f>
        <v>0</v>
      </c>
      <c r="AZ7" s="25">
        <f>Inventory[[#This Row],[Fixtures]]*Lookups!$B$90</f>
        <v>30336.176841600001</v>
      </c>
      <c r="BA7" s="25">
        <f>Inventory[[#This Row],[WdDeck]]*Lookups!$B$91</f>
        <v>0</v>
      </c>
      <c r="BB7" s="25">
        <f>ROUND(Inventory[[#This Row],[25Det]],-2)</f>
        <v>0</v>
      </c>
      <c r="BC7" s="25">
        <f>ROUND(SUM(Inventory[[#This Row],[Mdl Qlty]:[Mdl WdDeck]])+Inventory[[#This Row],[Mdl Res Intercept]],-2)</f>
        <v>469400</v>
      </c>
      <c r="BD7" s="25">
        <f>ROUND(Inventory[[#This Row],[Mdl Land Intercept]]+Inventory[[#This Row],[Mdl LnAcres]],-2)</f>
        <v>25300</v>
      </c>
      <c r="BE7" s="25">
        <f>Inventory[[#This Row],[Unadj Res Value]]+Inventory[[#This Row],[Unadj Det Value]]+Inventory[[#This Row],[Unadj Land Value]]</f>
        <v>494700</v>
      </c>
      <c r="BF7" s="36">
        <f>(Inventory[[#This Row],[Unadj Total Value]]-Inventory[[#This Row],[24Final]])/Inventory[[#This Row],[24Final]]</f>
        <v>0.48424842484248426</v>
      </c>
      <c r="BG7" s="25">
        <f>VLOOKUP(Inventory[[#This Row],[Nbhd]],Lookups!$Q$2:$T$4,4,FALSE)</f>
        <v>0.99970000000000003</v>
      </c>
      <c r="BH7" s="25">
        <f>VLOOKUP(Inventory[[#This Row],[Qlty]],Lookups!$O$7:$R$21,4,FALSE)</f>
        <v>1.0067999999999999</v>
      </c>
      <c r="BI7" s="25">
        <f>VLOOKUP(Inventory[[#This Row],[Cnd]],Lookups!$T$7:$W$16,4,FALSE)</f>
        <v>1.1303000000000001</v>
      </c>
      <c r="BJ7" s="25">
        <f>VLOOKUP(Inventory[[#This Row],[LivArea Range]],Lookups!$T$25:$W$37,4,FALSE)</f>
        <v>1.0157</v>
      </c>
      <c r="BK7" s="25">
        <f>VLOOKUP(Inventory[[#This Row],[Decade]],Lookups!$O$25:$R$42,4,FALSE)</f>
        <v>1</v>
      </c>
      <c r="BL7" s="25">
        <f>Inventory[[#This Row],[Nbhd Adj]]*0.95</f>
        <v>0.94971499999999998</v>
      </c>
      <c r="BM7" s="25">
        <f>Inventory[[#This Row],[Nbhd Adj]]*Inventory[[#This Row],[Quality Adj]]*Inventory[[#This Row],[Condition Adj]]*Inventory[[#This Row],[Living Area Adj]]*Inventory[[#This Row],[Decade Adj]]*0.95</f>
        <v>1.0977303818466639</v>
      </c>
      <c r="BN7" s="25">
        <f>ROUND(SUM(Inventory[[#This Row],[Mdl Qlty]:[Mdl WdDeck]])+Inventory[[#This Row],[Mdl Res Intercept]]*Inventory[[#This Row],[Res Adj ]],-2)</f>
        <v>469400</v>
      </c>
      <c r="BO7" s="25">
        <f>ROUND(Inventory[[#This Row],[25Det]]*Inventory[[#This Row],[Det/Nbhd Adj]],-2)</f>
        <v>0</v>
      </c>
      <c r="BP7" s="25">
        <f>Inventory[[#This Row],[Adjusted Res]]+Inventory[[#This Row],[Adj Det ]]</f>
        <v>469400</v>
      </c>
      <c r="BQ7" s="25">
        <f>ROUND((Inventory[[#This Row],[Mdl Land Intercept]]+Inventory[[#This Row],[Mdl LnAcres]])*Inventory[[#This Row],[Det/Nbhd Adj]],-2)</f>
        <v>24000</v>
      </c>
      <c r="BR7" s="25">
        <f>Inventory[[#This Row],[Adjusted Impr Total]]+Inventory[[#This Row],[Adjusted Land Total]]</f>
        <v>493400</v>
      </c>
      <c r="BS7" s="36">
        <f>IFERROR((Inventory[[#This Row],[Adjusted Impr Total]]-Inventory[[#This Row],[24Bldg]])/Inventory[[#This Row],[24Bldg]],0)</f>
        <v>0.61917902725077612</v>
      </c>
      <c r="BT7" s="36">
        <f>(Inventory[[#This Row],[Adjusted Land Total]]-Inventory[[#This Row],[24Lnd]])/Inventory[[#This Row],[24Lnd]]</f>
        <v>-0.44700460829493088</v>
      </c>
      <c r="BU7" s="36">
        <v>0</v>
      </c>
    </row>
    <row r="8" spans="1:73" x14ac:dyDescent="0.3">
      <c r="A8" s="25">
        <v>2025</v>
      </c>
      <c r="B8" s="26" t="s">
        <v>1299</v>
      </c>
      <c r="C8" s="26">
        <f>LN(Inventory[[#This Row],[Acres]])</f>
        <v>-0.69314718055994529</v>
      </c>
      <c r="D8" s="25">
        <v>0.5</v>
      </c>
      <c r="E8" s="31"/>
      <c r="F8" s="26" t="s">
        <v>537</v>
      </c>
      <c r="G8" s="26" t="s">
        <v>126</v>
      </c>
      <c r="H8" s="26" t="s">
        <v>349</v>
      </c>
      <c r="I8" s="26" t="s">
        <v>538</v>
      </c>
      <c r="J8" s="26" t="s">
        <v>539</v>
      </c>
      <c r="K8" s="26" t="s">
        <v>173</v>
      </c>
      <c r="L8" s="26" t="s">
        <v>302</v>
      </c>
      <c r="M8" s="26" t="s">
        <v>96</v>
      </c>
      <c r="N8" s="26">
        <v>10</v>
      </c>
      <c r="O8" s="26">
        <f>2024-Inventory[[#This Row],[YrBlt]]</f>
        <v>3</v>
      </c>
      <c r="P8" s="26">
        <f>2024-Inventory[[#This Row],[EffYr]]</f>
        <v>3</v>
      </c>
      <c r="Q8" s="25">
        <v>2021</v>
      </c>
      <c r="R8" s="25">
        <v>2021</v>
      </c>
      <c r="S8" s="25">
        <v>2949</v>
      </c>
      <c r="T8" s="27"/>
      <c r="U8" s="27"/>
      <c r="V8" s="27">
        <f>Inventory[[#This Row],[Bsmt]]-Inventory[[#This Row],[FnBsmt]]</f>
        <v>0</v>
      </c>
      <c r="W8" s="27"/>
      <c r="X8" s="27"/>
      <c r="Y8" s="27">
        <f>Inventory[[#This Row],[MainFn]]+Inventory[[#This Row],[UpprFn]]+Inventory[[#This Row],[FnBsmt]]+Inventory[[#This Row],[AddFn]]</f>
        <v>2949</v>
      </c>
      <c r="Z8" s="27">
        <v>3000</v>
      </c>
      <c r="AA8" s="25">
        <v>13</v>
      </c>
      <c r="AB8" s="32">
        <v>1023</v>
      </c>
      <c r="AC8" s="27"/>
      <c r="AD8" s="27"/>
      <c r="AE8" s="27"/>
      <c r="AF8" s="27"/>
      <c r="AG8" s="31"/>
      <c r="AH8" s="27"/>
      <c r="AI8" s="25">
        <v>533490</v>
      </c>
      <c r="AJ8" s="25">
        <v>517485</v>
      </c>
      <c r="AK8" s="25">
        <v>0</v>
      </c>
      <c r="AL8" s="25">
        <v>492600</v>
      </c>
      <c r="AM8" s="25">
        <v>90400</v>
      </c>
      <c r="AN8" s="25">
        <v>402200</v>
      </c>
      <c r="AO8" s="25">
        <v>0</v>
      </c>
      <c r="AP8" s="25">
        <f>Lookups!$B$56*0</f>
        <v>0</v>
      </c>
      <c r="AQ8" s="25">
        <f>Lookups!$B$56*1</f>
        <v>89850.625589999996</v>
      </c>
      <c r="AR8" s="25">
        <f>Lookups!$B$57*Inventory[[#This Row],[LnAcres]]</f>
        <v>-21941.307652582615</v>
      </c>
      <c r="AS8" s="25">
        <f>VLOOKUP(Inventory[[#This Row],[Qlty]],Lookups!$A$62:$E$75,2,FALSE)</f>
        <v>29814.093161000001</v>
      </c>
      <c r="AT8" s="25">
        <f>VLOOKUP(Inventory[[#This Row],[Cnd]],Lookups!$A$76:$E$84,2,FALSE)</f>
        <v>354070.39217000001</v>
      </c>
      <c r="AU8" s="25">
        <f>Inventory[[#This Row],[EffAge]]*Lookups!$B$85</f>
        <v>-669.13680150000005</v>
      </c>
      <c r="AV8" s="25">
        <f>Inventory[[#This Row],[MainFn]]*Lookups!$B$86</f>
        <v>145706.16746727302</v>
      </c>
      <c r="AW8" s="25">
        <f>Inventory[[#This Row],[UpprFn]]*Lookups!$B$87</f>
        <v>0</v>
      </c>
      <c r="AX8" s="25">
        <f>Inventory[[#This Row],[AddFn]]*Lookups!$B$88</f>
        <v>0</v>
      </c>
      <c r="AY8" s="25">
        <f>Inventory[[#This Row],[Bsmt]]*Lookups!$B$89</f>
        <v>0</v>
      </c>
      <c r="AZ8" s="25">
        <f>Inventory[[#This Row],[Fixtures]]*Lookups!$B$90</f>
        <v>49296.287367600002</v>
      </c>
      <c r="BA8" s="25">
        <f>Inventory[[#This Row],[WdDeck]]*Lookups!$B$91</f>
        <v>0</v>
      </c>
      <c r="BB8" s="25">
        <f>ROUND(Inventory[[#This Row],[25Det]],-2)</f>
        <v>0</v>
      </c>
      <c r="BC8" s="25">
        <f>ROUND(SUM(Inventory[[#This Row],[Mdl Qlty]:[Mdl WdDeck]])+Inventory[[#This Row],[Mdl Res Intercept]],-2)</f>
        <v>578200</v>
      </c>
      <c r="BD8" s="25">
        <f>ROUND(Inventory[[#This Row],[Mdl Land Intercept]]+Inventory[[#This Row],[Mdl LnAcres]],-2)</f>
        <v>67900</v>
      </c>
      <c r="BE8" s="25">
        <f>Inventory[[#This Row],[Unadj Res Value]]+Inventory[[#This Row],[Unadj Det Value]]+Inventory[[#This Row],[Unadj Land Value]]</f>
        <v>646100</v>
      </c>
      <c r="BF8" s="36">
        <f>(Inventory[[#This Row],[Unadj Total Value]]-Inventory[[#This Row],[24Final]])/Inventory[[#This Row],[24Final]]</f>
        <v>0.31161185546082015</v>
      </c>
      <c r="BG8" s="25">
        <f>VLOOKUP(Inventory[[#This Row],[Nbhd]],Lookups!$Q$2:$T$4,4,FALSE)</f>
        <v>0.99970000000000003</v>
      </c>
      <c r="BH8" s="25">
        <f>VLOOKUP(Inventory[[#This Row],[Qlty]],Lookups!$O$7:$R$21,4,FALSE)</f>
        <v>1.0088999999999999</v>
      </c>
      <c r="BI8" s="25">
        <f>VLOOKUP(Inventory[[#This Row],[Cnd]],Lookups!$T$7:$W$16,4,FALSE)</f>
        <v>1.1303000000000001</v>
      </c>
      <c r="BJ8" s="25">
        <f>VLOOKUP(Inventory[[#This Row],[LivArea Range]],Lookups!$T$25:$W$37,4,FALSE)</f>
        <v>0.96179999999999999</v>
      </c>
      <c r="BK8" s="25">
        <f>VLOOKUP(Inventory[[#This Row],[Decade]],Lookups!$O$25:$R$42,4,FALSE)</f>
        <v>1</v>
      </c>
      <c r="BL8" s="25">
        <f>Inventory[[#This Row],[Nbhd Adj]]*0.95</f>
        <v>0.94971499999999998</v>
      </c>
      <c r="BM8" s="25">
        <f>Inventory[[#This Row],[Nbhd Adj]]*Inventory[[#This Row],[Quality Adj]]*Inventory[[#This Row],[Condition Adj]]*Inventory[[#This Row],[Living Area Adj]]*Inventory[[#This Row],[Decade Adj]]*0.95</f>
        <v>1.0416454466654774</v>
      </c>
      <c r="BN8" s="25">
        <f>ROUND(SUM(Inventory[[#This Row],[Mdl Qlty]:[Mdl WdDeck]])+Inventory[[#This Row],[Mdl Res Intercept]]*Inventory[[#This Row],[Res Adj ]],-2)</f>
        <v>578200</v>
      </c>
      <c r="BO8" s="25">
        <f>ROUND(Inventory[[#This Row],[25Det]]*Inventory[[#This Row],[Det/Nbhd Adj]],-2)</f>
        <v>0</v>
      </c>
      <c r="BP8" s="25">
        <f>Inventory[[#This Row],[Adjusted Res]]+Inventory[[#This Row],[Adj Det ]]</f>
        <v>578200</v>
      </c>
      <c r="BQ8" s="25">
        <f>ROUND((Inventory[[#This Row],[Mdl Land Intercept]]+Inventory[[#This Row],[Mdl LnAcres]])*Inventory[[#This Row],[Det/Nbhd Adj]],-2)</f>
        <v>64500</v>
      </c>
      <c r="BR8" s="25">
        <f>Inventory[[#This Row],[Adjusted Impr Total]]+Inventory[[#This Row],[Adjusted Land Total]]</f>
        <v>642700</v>
      </c>
      <c r="BS8" s="36">
        <f>IFERROR((Inventory[[#This Row],[Adjusted Impr Total]]-Inventory[[#This Row],[24Bldg]])/Inventory[[#This Row],[24Bldg]],0)</f>
        <v>0.43759323719542514</v>
      </c>
      <c r="BT8" s="36">
        <f>(Inventory[[#This Row],[Adjusted Land Total]]-Inventory[[#This Row],[24Lnd]])/Inventory[[#This Row],[24Lnd]]</f>
        <v>-0.28650442477876104</v>
      </c>
      <c r="BU8" s="36">
        <f>(Inventory[[#This Row],[Adjusted Total]]-Inventory[[#This Row],[24Final]])/Inventory[[#This Row],[24Final]]</f>
        <v>0.30470970361347949</v>
      </c>
    </row>
    <row r="9" spans="1:73" x14ac:dyDescent="0.3">
      <c r="A9" s="25">
        <v>2025</v>
      </c>
      <c r="B9" s="26" t="s">
        <v>2613</v>
      </c>
      <c r="C9" s="26">
        <f>LN(Inventory[[#This Row],[Acres]])</f>
        <v>-1.7719568419318752</v>
      </c>
      <c r="D9" s="25">
        <v>0.17</v>
      </c>
      <c r="E9" s="25">
        <v>7348</v>
      </c>
      <c r="F9" s="26" t="s">
        <v>537</v>
      </c>
      <c r="G9" s="26" t="s">
        <v>126</v>
      </c>
      <c r="H9" s="26" t="s">
        <v>349</v>
      </c>
      <c r="I9" s="26" t="s">
        <v>538</v>
      </c>
      <c r="J9" s="26" t="s">
        <v>539</v>
      </c>
      <c r="K9" s="26" t="s">
        <v>300</v>
      </c>
      <c r="L9" s="26" t="s">
        <v>351</v>
      </c>
      <c r="M9" s="26" t="s">
        <v>96</v>
      </c>
      <c r="N9" s="26">
        <v>10</v>
      </c>
      <c r="O9" s="26">
        <f>2024-Inventory[[#This Row],[YrBlt]]</f>
        <v>5</v>
      </c>
      <c r="P9" s="26">
        <f>2024-Inventory[[#This Row],[EffYr]]</f>
        <v>5</v>
      </c>
      <c r="Q9" s="25">
        <v>2019</v>
      </c>
      <c r="R9" s="25">
        <v>2019</v>
      </c>
      <c r="S9" s="25">
        <v>1680</v>
      </c>
      <c r="T9" s="31"/>
      <c r="U9" s="27"/>
      <c r="V9" s="27">
        <f>Inventory[[#This Row],[Bsmt]]-Inventory[[#This Row],[FnBsmt]]</f>
        <v>0</v>
      </c>
      <c r="W9" s="27"/>
      <c r="X9" s="27"/>
      <c r="Y9" s="27">
        <f>Inventory[[#This Row],[MainFn]]+Inventory[[#This Row],[UpprFn]]+Inventory[[#This Row],[FnBsmt]]+Inventory[[#This Row],[AddFn]]</f>
        <v>1680</v>
      </c>
      <c r="Z9" s="27">
        <v>2000</v>
      </c>
      <c r="AA9" s="25">
        <v>9</v>
      </c>
      <c r="AB9" s="27"/>
      <c r="AC9" s="31"/>
      <c r="AD9" s="31"/>
      <c r="AE9" s="27"/>
      <c r="AF9" s="27"/>
      <c r="AG9" s="31"/>
      <c r="AH9" s="27"/>
      <c r="AI9" s="25">
        <v>284362</v>
      </c>
      <c r="AJ9" s="25">
        <v>275831</v>
      </c>
      <c r="AK9" s="25">
        <v>23542</v>
      </c>
      <c r="AL9" s="25">
        <v>400300</v>
      </c>
      <c r="AM9" s="25">
        <v>52700</v>
      </c>
      <c r="AN9" s="25">
        <v>347600</v>
      </c>
      <c r="AO9" s="25">
        <v>0</v>
      </c>
      <c r="AP9" s="25">
        <f>Lookups!$B$56*0</f>
        <v>0</v>
      </c>
      <c r="AQ9" s="25">
        <f>Lookups!$B$56*1</f>
        <v>89850.625589999996</v>
      </c>
      <c r="AR9" s="25">
        <f>Lookups!$B$57*Inventory[[#This Row],[LnAcres]]</f>
        <v>-56090.612940989391</v>
      </c>
      <c r="AS9" s="25">
        <f>VLOOKUP(Inventory[[#This Row],[Qlty]],Lookups!$A$62:$E$75,2,FALSE)</f>
        <v>21557.329055999999</v>
      </c>
      <c r="AT9" s="25">
        <f>VLOOKUP(Inventory[[#This Row],[Cnd]],Lookups!$A$76:$E$84,2,FALSE)</f>
        <v>354070.39217000001</v>
      </c>
      <c r="AU9" s="25">
        <f>Inventory[[#This Row],[EffAge]]*Lookups!$B$85</f>
        <v>-1115.2280025</v>
      </c>
      <c r="AV9" s="25">
        <f>Inventory[[#This Row],[MainFn]]*Lookups!$B$86</f>
        <v>83006.565393359997</v>
      </c>
      <c r="AW9" s="25">
        <f>Inventory[[#This Row],[UpprFn]]*Lookups!$B$87</f>
        <v>0</v>
      </c>
      <c r="AX9" s="25">
        <f>Inventory[[#This Row],[AddFn]]*Lookups!$B$88</f>
        <v>0</v>
      </c>
      <c r="AY9" s="25">
        <f>Inventory[[#This Row],[Bsmt]]*Lookups!$B$89</f>
        <v>0</v>
      </c>
      <c r="AZ9" s="25">
        <f>Inventory[[#This Row],[Fixtures]]*Lookups!$B$90</f>
        <v>34128.198946800003</v>
      </c>
      <c r="BA9" s="25">
        <f>Inventory[[#This Row],[WdDeck]]*Lookups!$B$91</f>
        <v>0</v>
      </c>
      <c r="BB9" s="25">
        <f>ROUND(Inventory[[#This Row],[25Det]],-2)</f>
        <v>23500</v>
      </c>
      <c r="BC9" s="25">
        <f>ROUND(SUM(Inventory[[#This Row],[Mdl Qlty]:[Mdl WdDeck]])+Inventory[[#This Row],[Mdl Res Intercept]],-2)</f>
        <v>491600</v>
      </c>
      <c r="BD9" s="25">
        <f>ROUND(Inventory[[#This Row],[Mdl Land Intercept]]+Inventory[[#This Row],[Mdl LnAcres]],-2)</f>
        <v>33800</v>
      </c>
      <c r="BE9" s="25">
        <f>Inventory[[#This Row],[Unadj Res Value]]+Inventory[[#This Row],[Unadj Det Value]]+Inventory[[#This Row],[Unadj Land Value]]</f>
        <v>548900</v>
      </c>
      <c r="BF9" s="36">
        <f>(Inventory[[#This Row],[Unadj Total Value]]-Inventory[[#This Row],[24Final]])/Inventory[[#This Row],[24Final]]</f>
        <v>0.37122158381214088</v>
      </c>
      <c r="BG9" s="25">
        <f>VLOOKUP(Inventory[[#This Row],[Nbhd]],Lookups!$Q$2:$T$4,4,FALSE)</f>
        <v>0.99970000000000003</v>
      </c>
      <c r="BH9" s="25">
        <f>VLOOKUP(Inventory[[#This Row],[Qlty]],Lookups!$O$7:$R$21,4,FALSE)</f>
        <v>1.0067999999999999</v>
      </c>
      <c r="BI9" s="25">
        <f>VLOOKUP(Inventory[[#This Row],[Cnd]],Lookups!$T$7:$W$16,4,FALSE)</f>
        <v>1.1303000000000001</v>
      </c>
      <c r="BJ9" s="25">
        <f>VLOOKUP(Inventory[[#This Row],[LivArea Range]],Lookups!$T$25:$W$37,4,FALSE)</f>
        <v>1.0093000000000001</v>
      </c>
      <c r="BK9" s="25">
        <f>VLOOKUP(Inventory[[#This Row],[Decade]],Lookups!$O$25:$R$42,4,FALSE)</f>
        <v>1</v>
      </c>
      <c r="BL9" s="25">
        <f>Inventory[[#This Row],[Nbhd Adj]]*0.95</f>
        <v>0.94971499999999998</v>
      </c>
      <c r="BM9" s="25">
        <f>Inventory[[#This Row],[Nbhd Adj]]*Inventory[[#This Row],[Quality Adj]]*Inventory[[#This Row],[Condition Adj]]*Inventory[[#This Row],[Living Area Adj]]*Inventory[[#This Row],[Decade Adj]]*0.95</f>
        <v>1.090813502410001</v>
      </c>
      <c r="BN9" s="25">
        <f>ROUND(SUM(Inventory[[#This Row],[Mdl Qlty]:[Mdl WdDeck]])+Inventory[[#This Row],[Mdl Res Intercept]]*Inventory[[#This Row],[Res Adj ]],-2)</f>
        <v>491600</v>
      </c>
      <c r="BO9" s="25">
        <f>ROUND(Inventory[[#This Row],[25Det]]*Inventory[[#This Row],[Det/Nbhd Adj]],-2)</f>
        <v>22400</v>
      </c>
      <c r="BP9" s="25">
        <f>Inventory[[#This Row],[Adjusted Res]]+Inventory[[#This Row],[Adj Det ]]</f>
        <v>514000</v>
      </c>
      <c r="BQ9" s="25">
        <f>ROUND((Inventory[[#This Row],[Mdl Land Intercept]]+Inventory[[#This Row],[Mdl LnAcres]])*Inventory[[#This Row],[Det/Nbhd Adj]],-2)</f>
        <v>32100</v>
      </c>
      <c r="BR9" s="25">
        <f>Inventory[[#This Row],[Adjusted Impr Total]]+Inventory[[#This Row],[Adjusted Land Total]]</f>
        <v>546100</v>
      </c>
      <c r="BS9" s="36">
        <f>IFERROR((Inventory[[#This Row],[Adjusted Impr Total]]-Inventory[[#This Row],[24Bldg]])/Inventory[[#This Row],[24Bldg]],0)</f>
        <v>0.47871116225546606</v>
      </c>
      <c r="BT9" s="36">
        <f>(Inventory[[#This Row],[Adjusted Land Total]]-Inventory[[#This Row],[24Lnd]])/Inventory[[#This Row],[24Lnd]]</f>
        <v>-0.39089184060721061</v>
      </c>
      <c r="BU9" s="36">
        <f>(Inventory[[#This Row],[Adjusted Total]]-Inventory[[#This Row],[24Final]])/Inventory[[#This Row],[24Final]]</f>
        <v>0.36422682987759181</v>
      </c>
    </row>
    <row r="10" spans="1:73" x14ac:dyDescent="0.3">
      <c r="A10" s="25">
        <v>2025</v>
      </c>
      <c r="B10" s="26" t="s">
        <v>2088</v>
      </c>
      <c r="C10" s="26">
        <f>LN(Inventory[[#This Row],[Acres]])</f>
        <v>-1.6094379124341003</v>
      </c>
      <c r="D10" s="25">
        <v>0.2</v>
      </c>
      <c r="E10" s="25">
        <v>8580</v>
      </c>
      <c r="F10" s="26" t="s">
        <v>537</v>
      </c>
      <c r="G10" s="26" t="s">
        <v>126</v>
      </c>
      <c r="H10" s="26" t="s">
        <v>349</v>
      </c>
      <c r="I10" s="26" t="s">
        <v>538</v>
      </c>
      <c r="J10" s="26" t="s">
        <v>539</v>
      </c>
      <c r="K10" s="26" t="s">
        <v>300</v>
      </c>
      <c r="L10" s="26" t="s">
        <v>302</v>
      </c>
      <c r="M10" s="26" t="s">
        <v>96</v>
      </c>
      <c r="N10" s="26">
        <v>10</v>
      </c>
      <c r="O10" s="26">
        <f>2024-Inventory[[#This Row],[YrBlt]]</f>
        <v>7</v>
      </c>
      <c r="P10" s="26">
        <f>2024-Inventory[[#This Row],[EffYr]]</f>
        <v>7</v>
      </c>
      <c r="Q10" s="25">
        <v>2017</v>
      </c>
      <c r="R10" s="25">
        <v>2017</v>
      </c>
      <c r="S10" s="25">
        <v>1420</v>
      </c>
      <c r="T10" s="27"/>
      <c r="U10" s="27"/>
      <c r="V10" s="27">
        <f>Inventory[[#This Row],[Bsmt]]-Inventory[[#This Row],[FnBsmt]]</f>
        <v>0</v>
      </c>
      <c r="W10" s="27"/>
      <c r="X10" s="27"/>
      <c r="Y10" s="27">
        <f>Inventory[[#This Row],[MainFn]]+Inventory[[#This Row],[UpprFn]]+Inventory[[#This Row],[FnBsmt]]+Inventory[[#This Row],[AddFn]]</f>
        <v>1420</v>
      </c>
      <c r="Z10" s="27">
        <v>1500</v>
      </c>
      <c r="AA10" s="25">
        <v>8</v>
      </c>
      <c r="AB10" s="25">
        <v>442</v>
      </c>
      <c r="AC10" s="27"/>
      <c r="AD10" s="27"/>
      <c r="AE10" s="27"/>
      <c r="AF10" s="27"/>
      <c r="AG10" s="31"/>
      <c r="AH10" s="27"/>
      <c r="AI10" s="25">
        <v>279778</v>
      </c>
      <c r="AJ10" s="25">
        <v>268587</v>
      </c>
      <c r="AK10" s="25">
        <v>0</v>
      </c>
      <c r="AL10" s="25">
        <v>362900</v>
      </c>
      <c r="AM10" s="25">
        <v>58400</v>
      </c>
      <c r="AN10" s="25">
        <v>304500</v>
      </c>
      <c r="AO10" s="25">
        <v>0</v>
      </c>
      <c r="AP10" s="25">
        <f>Lookups!$B$56*0</f>
        <v>0</v>
      </c>
      <c r="AQ10" s="25">
        <f>Lookups!$B$56*1</f>
        <v>89850.625589999996</v>
      </c>
      <c r="AR10" s="25">
        <f>Lookups!$B$57*Inventory[[#This Row],[LnAcres]]</f>
        <v>-50946.13867709865</v>
      </c>
      <c r="AS10" s="25">
        <f>VLOOKUP(Inventory[[#This Row],[Qlty]],Lookups!$A$62:$E$75,2,FALSE)</f>
        <v>29814.093161000001</v>
      </c>
      <c r="AT10" s="25">
        <f>VLOOKUP(Inventory[[#This Row],[Cnd]],Lookups!$A$76:$E$84,2,FALSE)</f>
        <v>354070.39217000001</v>
      </c>
      <c r="AU10" s="25">
        <f>Inventory[[#This Row],[EffAge]]*Lookups!$B$85</f>
        <v>-1561.3192035</v>
      </c>
      <c r="AV10" s="25">
        <f>Inventory[[#This Row],[MainFn]]*Lookups!$B$86</f>
        <v>70160.311225340003</v>
      </c>
      <c r="AW10" s="25">
        <f>Inventory[[#This Row],[UpprFn]]*Lookups!$B$87</f>
        <v>0</v>
      </c>
      <c r="AX10" s="25">
        <f>Inventory[[#This Row],[AddFn]]*Lookups!$B$88</f>
        <v>0</v>
      </c>
      <c r="AY10" s="25">
        <f>Inventory[[#This Row],[Bsmt]]*Lookups!$B$89</f>
        <v>0</v>
      </c>
      <c r="AZ10" s="25">
        <f>Inventory[[#This Row],[Fixtures]]*Lookups!$B$90</f>
        <v>30336.176841600001</v>
      </c>
      <c r="BA10" s="25">
        <f>Inventory[[#This Row],[WdDeck]]*Lookups!$B$91</f>
        <v>0</v>
      </c>
      <c r="BB10" s="25">
        <f>ROUND(Inventory[[#This Row],[25Det]],-2)</f>
        <v>0</v>
      </c>
      <c r="BC10" s="25">
        <f>ROUND(SUM(Inventory[[#This Row],[Mdl Qlty]:[Mdl WdDeck]])+Inventory[[#This Row],[Mdl Res Intercept]],-2)</f>
        <v>482800</v>
      </c>
      <c r="BD10" s="25">
        <f>ROUND(Inventory[[#This Row],[Mdl Land Intercept]]+Inventory[[#This Row],[Mdl LnAcres]],-2)</f>
        <v>38900</v>
      </c>
      <c r="BE10" s="25">
        <f>Inventory[[#This Row],[Unadj Res Value]]+Inventory[[#This Row],[Unadj Det Value]]+Inventory[[#This Row],[Unadj Land Value]]</f>
        <v>521700</v>
      </c>
      <c r="BF10" s="36">
        <f>(Inventory[[#This Row],[Unadj Total Value]]-Inventory[[#This Row],[24Final]])/Inventory[[#This Row],[24Final]]</f>
        <v>0.43758611187655</v>
      </c>
      <c r="BG10" s="25">
        <f>VLOOKUP(Inventory[[#This Row],[Nbhd]],Lookups!$Q$2:$T$4,4,FALSE)</f>
        <v>0.99970000000000003</v>
      </c>
      <c r="BH10" s="25">
        <f>VLOOKUP(Inventory[[#This Row],[Qlty]],Lookups!$O$7:$R$21,4,FALSE)</f>
        <v>1.0088999999999999</v>
      </c>
      <c r="BI10" s="25">
        <f>VLOOKUP(Inventory[[#This Row],[Cnd]],Lookups!$T$7:$W$16,4,FALSE)</f>
        <v>1.1303000000000001</v>
      </c>
      <c r="BJ10" s="25">
        <f>VLOOKUP(Inventory[[#This Row],[LivArea Range]],Lookups!$T$25:$W$37,4,FALSE)</f>
        <v>1.0157</v>
      </c>
      <c r="BK10" s="25">
        <f>VLOOKUP(Inventory[[#This Row],[Decade]],Lookups!$O$25:$R$42,4,FALSE)</f>
        <v>1</v>
      </c>
      <c r="BL10" s="25">
        <f>Inventory[[#This Row],[Nbhd Adj]]*0.95</f>
        <v>0.94971499999999998</v>
      </c>
      <c r="BM10" s="25">
        <f>Inventory[[#This Row],[Nbhd Adj]]*Inventory[[#This Row],[Quality Adj]]*Inventory[[#This Row],[Condition Adj]]*Inventory[[#This Row],[Living Area Adj]]*Inventory[[#This Row],[Decade Adj]]*0.95</f>
        <v>1.1000200459327567</v>
      </c>
      <c r="BN10" s="25">
        <f>ROUND(SUM(Inventory[[#This Row],[Mdl Qlty]:[Mdl WdDeck]])+Inventory[[#This Row],[Mdl Res Intercept]]*Inventory[[#This Row],[Res Adj ]],-2)</f>
        <v>482800</v>
      </c>
      <c r="BO10" s="25">
        <f>ROUND(Inventory[[#This Row],[25Det]]*Inventory[[#This Row],[Det/Nbhd Adj]],-2)</f>
        <v>0</v>
      </c>
      <c r="BP10" s="25">
        <f>Inventory[[#This Row],[Adjusted Res]]+Inventory[[#This Row],[Adj Det ]]</f>
        <v>482800</v>
      </c>
      <c r="BQ10" s="25">
        <f>ROUND((Inventory[[#This Row],[Mdl Land Intercept]]+Inventory[[#This Row],[Mdl LnAcres]])*Inventory[[#This Row],[Det/Nbhd Adj]],-2)</f>
        <v>36900</v>
      </c>
      <c r="BR10" s="25">
        <f>Inventory[[#This Row],[Adjusted Impr Total]]+Inventory[[#This Row],[Adjusted Land Total]]</f>
        <v>519700</v>
      </c>
      <c r="BS10" s="36">
        <f>IFERROR((Inventory[[#This Row],[Adjusted Impr Total]]-Inventory[[#This Row],[24Bldg]])/Inventory[[#This Row],[24Bldg]],0)</f>
        <v>0.58555008210180626</v>
      </c>
      <c r="BT10" s="36">
        <f>(Inventory[[#This Row],[Adjusted Land Total]]-Inventory[[#This Row],[24Lnd]])/Inventory[[#This Row],[24Lnd]]</f>
        <v>-0.36815068493150682</v>
      </c>
      <c r="BU10" s="36">
        <f>(Inventory[[#This Row],[Adjusted Total]]-Inventory[[#This Row],[24Final]])/Inventory[[#This Row],[24Final]]</f>
        <v>0.43207495177734911</v>
      </c>
    </row>
    <row r="11" spans="1:73" x14ac:dyDescent="0.3">
      <c r="A11" s="25">
        <v>2025</v>
      </c>
      <c r="B11" s="26" t="s">
        <v>1075</v>
      </c>
      <c r="C11" s="26">
        <f>LN(Inventory[[#This Row],[Acres]])</f>
        <v>-1.8971199848858813</v>
      </c>
      <c r="D11" s="31">
        <f>ROUND(Inventory[[#This Row],[Sqft]]/43560,2)</f>
        <v>0.15</v>
      </c>
      <c r="E11" s="25">
        <v>6627</v>
      </c>
      <c r="F11" s="26" t="s">
        <v>537</v>
      </c>
      <c r="G11" s="26" t="s">
        <v>126</v>
      </c>
      <c r="H11" s="26" t="s">
        <v>349</v>
      </c>
      <c r="I11" s="26" t="s">
        <v>538</v>
      </c>
      <c r="J11" s="26" t="s">
        <v>539</v>
      </c>
      <c r="K11" s="26" t="s">
        <v>300</v>
      </c>
      <c r="L11" s="26" t="s">
        <v>148</v>
      </c>
      <c r="M11" s="26" t="s">
        <v>96</v>
      </c>
      <c r="N11" s="26">
        <v>10</v>
      </c>
      <c r="O11" s="26">
        <f>2024-Inventory[[#This Row],[YrBlt]]</f>
        <v>7</v>
      </c>
      <c r="P11" s="26">
        <f>2024-Inventory[[#This Row],[EffYr]]</f>
        <v>7</v>
      </c>
      <c r="Q11" s="25">
        <v>2017</v>
      </c>
      <c r="R11" s="25">
        <v>2017</v>
      </c>
      <c r="S11" s="25">
        <v>1248</v>
      </c>
      <c r="T11" s="32">
        <v>1012</v>
      </c>
      <c r="U11" s="27"/>
      <c r="V11" s="27">
        <f>Inventory[[#This Row],[Bsmt]]-Inventory[[#This Row],[FnBsmt]]</f>
        <v>0</v>
      </c>
      <c r="W11" s="27"/>
      <c r="X11" s="27"/>
      <c r="Y11" s="27">
        <f>Inventory[[#This Row],[MainFn]]+Inventory[[#This Row],[UpprFn]]+Inventory[[#This Row],[FnBsmt]]+Inventory[[#This Row],[AddFn]]</f>
        <v>2260</v>
      </c>
      <c r="Z11" s="27">
        <v>2500</v>
      </c>
      <c r="AA11" s="25">
        <v>17</v>
      </c>
      <c r="AB11" s="25">
        <v>440</v>
      </c>
      <c r="AC11" s="27"/>
      <c r="AD11" s="27"/>
      <c r="AE11" s="27"/>
      <c r="AF11" s="27"/>
      <c r="AG11" s="31"/>
      <c r="AH11" s="27"/>
      <c r="AI11" s="25">
        <v>451949</v>
      </c>
      <c r="AJ11" s="25">
        <v>433871</v>
      </c>
      <c r="AK11" s="25">
        <v>0</v>
      </c>
      <c r="AL11" s="25">
        <v>436000</v>
      </c>
      <c r="AM11" s="25">
        <v>48400</v>
      </c>
      <c r="AN11" s="25">
        <v>387600</v>
      </c>
      <c r="AO11" s="25">
        <v>0</v>
      </c>
      <c r="AP11" s="25">
        <f>Lookups!$B$56*0</f>
        <v>0</v>
      </c>
      <c r="AQ11" s="25">
        <f>Lookups!$B$56*1</f>
        <v>89850.625589999996</v>
      </c>
      <c r="AR11" s="25">
        <f>Lookups!$B$57*Inventory[[#This Row],[LnAcres]]</f>
        <v>-60052.604136134301</v>
      </c>
      <c r="AS11" s="25">
        <f>VLOOKUP(Inventory[[#This Row],[Qlty]],Lookups!$A$62:$E$75,2,FALSE)</f>
        <v>44121.038090000002</v>
      </c>
      <c r="AT11" s="25">
        <f>VLOOKUP(Inventory[[#This Row],[Cnd]],Lookups!$A$76:$E$84,2,FALSE)</f>
        <v>354070.39217000001</v>
      </c>
      <c r="AU11" s="25">
        <f>Inventory[[#This Row],[EffAge]]*Lookups!$B$85</f>
        <v>-1561.3192035</v>
      </c>
      <c r="AV11" s="25">
        <f>Inventory[[#This Row],[MainFn]]*Lookups!$B$86</f>
        <v>61662.020006496001</v>
      </c>
      <c r="AW11" s="25">
        <f>Inventory[[#This Row],[UpprFn]]*Lookups!$B$87</f>
        <v>45323.859935331995</v>
      </c>
      <c r="AX11" s="25">
        <f>Inventory[[#This Row],[AddFn]]*Lookups!$B$88</f>
        <v>0</v>
      </c>
      <c r="AY11" s="25">
        <f>Inventory[[#This Row],[Bsmt]]*Lookups!$B$89</f>
        <v>0</v>
      </c>
      <c r="AZ11" s="25">
        <f>Inventory[[#This Row],[Fixtures]]*Lookups!$B$90</f>
        <v>64464.375788400001</v>
      </c>
      <c r="BA11" s="25">
        <f>Inventory[[#This Row],[WdDeck]]*Lookups!$B$91</f>
        <v>0</v>
      </c>
      <c r="BB11" s="25">
        <f>ROUND(Inventory[[#This Row],[25Det]],-2)</f>
        <v>0</v>
      </c>
      <c r="BC11" s="25">
        <f>ROUND(SUM(Inventory[[#This Row],[Mdl Qlty]:[Mdl WdDeck]])+Inventory[[#This Row],[Mdl Res Intercept]],-2)</f>
        <v>568100</v>
      </c>
      <c r="BD11" s="25">
        <f>ROUND(Inventory[[#This Row],[Mdl Land Intercept]]+Inventory[[#This Row],[Mdl LnAcres]],-2)</f>
        <v>29800</v>
      </c>
      <c r="BE11" s="25">
        <f>Inventory[[#This Row],[Unadj Res Value]]+Inventory[[#This Row],[Unadj Det Value]]+Inventory[[#This Row],[Unadj Land Value]]</f>
        <v>597900</v>
      </c>
      <c r="BF11" s="36">
        <f>(Inventory[[#This Row],[Unadj Total Value]]-Inventory[[#This Row],[24Final]])/Inventory[[#This Row],[24Final]]</f>
        <v>0.3713302752293578</v>
      </c>
      <c r="BG11" s="25">
        <f>VLOOKUP(Inventory[[#This Row],[Nbhd]],Lookups!$Q$2:$T$4,4,FALSE)</f>
        <v>0.99970000000000003</v>
      </c>
      <c r="BH11" s="25">
        <f>VLOOKUP(Inventory[[#This Row],[Qlty]],Lookups!$O$7:$R$21,4,FALSE)</f>
        <v>0.98050000000000004</v>
      </c>
      <c r="BI11" s="25">
        <f>VLOOKUP(Inventory[[#This Row],[Cnd]],Lookups!$T$7:$W$16,4,FALSE)</f>
        <v>1.1303000000000001</v>
      </c>
      <c r="BJ11" s="25">
        <f>VLOOKUP(Inventory[[#This Row],[LivArea Range]],Lookups!$T$25:$W$37,4,FALSE)</f>
        <v>0.98919999999999997</v>
      </c>
      <c r="BK11" s="25">
        <f>VLOOKUP(Inventory[[#This Row],[Decade]],Lookups!$O$25:$R$42,4,FALSE)</f>
        <v>1</v>
      </c>
      <c r="BL11" s="25">
        <f>Inventory[[#This Row],[Nbhd Adj]]*0.95</f>
        <v>0.94971499999999998</v>
      </c>
      <c r="BM11" s="25">
        <f>Inventory[[#This Row],[Nbhd Adj]]*Inventory[[#This Row],[Quality Adj]]*Inventory[[#This Row],[Condition Adj]]*Inventory[[#This Row],[Living Area Adj]]*Inventory[[#This Row],[Decade Adj]]*0.95</f>
        <v>1.0411630109849137</v>
      </c>
      <c r="BN11" s="25">
        <f>ROUND(SUM(Inventory[[#This Row],[Mdl Qlty]:[Mdl WdDeck]])+Inventory[[#This Row],[Mdl Res Intercept]]*Inventory[[#This Row],[Res Adj ]],-2)</f>
        <v>568100</v>
      </c>
      <c r="BO11" s="25">
        <f>ROUND(Inventory[[#This Row],[25Det]]*Inventory[[#This Row],[Det/Nbhd Adj]],-2)</f>
        <v>0</v>
      </c>
      <c r="BP11" s="25">
        <f>Inventory[[#This Row],[Adjusted Res]]+Inventory[[#This Row],[Adj Det ]]</f>
        <v>568100</v>
      </c>
      <c r="BQ11" s="25">
        <f>ROUND((Inventory[[#This Row],[Mdl Land Intercept]]+Inventory[[#This Row],[Mdl LnAcres]])*Inventory[[#This Row],[Det/Nbhd Adj]],-2)</f>
        <v>28300</v>
      </c>
      <c r="BR11" s="25">
        <f>Inventory[[#This Row],[Adjusted Impr Total]]+Inventory[[#This Row],[Adjusted Land Total]]</f>
        <v>596400</v>
      </c>
      <c r="BS11" s="36">
        <f>IFERROR((Inventory[[#This Row],[Adjusted Impr Total]]-Inventory[[#This Row],[24Bldg]])/Inventory[[#This Row],[24Bldg]],0)</f>
        <v>0.46568627450980393</v>
      </c>
      <c r="BT11" s="36">
        <f>(Inventory[[#This Row],[Adjusted Land Total]]-Inventory[[#This Row],[24Lnd]])/Inventory[[#This Row],[24Lnd]]</f>
        <v>-0.41528925619834711</v>
      </c>
      <c r="BU11" s="36">
        <f>(Inventory[[#This Row],[Adjusted Total]]-Inventory[[#This Row],[24Final]])/Inventory[[#This Row],[24Final]]</f>
        <v>0.36788990825688073</v>
      </c>
    </row>
    <row r="12" spans="1:73" x14ac:dyDescent="0.3">
      <c r="A12" s="25">
        <v>2025</v>
      </c>
      <c r="B12" s="26" t="s">
        <v>1511</v>
      </c>
      <c r="C12" s="26">
        <f>LN(Inventory[[#This Row],[Acres]])</f>
        <v>-1.6607312068216509</v>
      </c>
      <c r="D12" s="25">
        <v>0.19</v>
      </c>
      <c r="E12" s="25">
        <v>8139</v>
      </c>
      <c r="F12" s="26" t="s">
        <v>537</v>
      </c>
      <c r="G12" s="26" t="s">
        <v>126</v>
      </c>
      <c r="H12" s="26" t="s">
        <v>349</v>
      </c>
      <c r="I12" s="26" t="s">
        <v>538</v>
      </c>
      <c r="J12" s="26" t="s">
        <v>539</v>
      </c>
      <c r="K12" s="26" t="s">
        <v>241</v>
      </c>
      <c r="L12" s="26" t="s">
        <v>302</v>
      </c>
      <c r="M12" s="26" t="s">
        <v>96</v>
      </c>
      <c r="N12" s="26">
        <v>20</v>
      </c>
      <c r="O12" s="26">
        <f>2024-Inventory[[#This Row],[YrBlt]]</f>
        <v>12</v>
      </c>
      <c r="P12" s="26">
        <f>2024-Inventory[[#This Row],[EffYr]]</f>
        <v>12</v>
      </c>
      <c r="Q12" s="25">
        <v>2012</v>
      </c>
      <c r="R12" s="25">
        <v>2012</v>
      </c>
      <c r="S12" s="25">
        <v>1528</v>
      </c>
      <c r="T12" s="27"/>
      <c r="U12" s="27"/>
      <c r="V12" s="27">
        <f>Inventory[[#This Row],[Bsmt]]-Inventory[[#This Row],[FnBsmt]]</f>
        <v>0</v>
      </c>
      <c r="W12" s="27"/>
      <c r="X12" s="27"/>
      <c r="Y12" s="27">
        <f>Inventory[[#This Row],[MainFn]]+Inventory[[#This Row],[UpprFn]]+Inventory[[#This Row],[FnBsmt]]+Inventory[[#This Row],[AddFn]]</f>
        <v>1528</v>
      </c>
      <c r="Z12" s="27">
        <v>2000</v>
      </c>
      <c r="AA12" s="25">
        <v>8</v>
      </c>
      <c r="AB12" s="25">
        <v>400</v>
      </c>
      <c r="AC12" s="27"/>
      <c r="AD12" s="27"/>
      <c r="AE12" s="27"/>
      <c r="AF12" s="27"/>
      <c r="AG12" s="31"/>
      <c r="AH12" s="27"/>
      <c r="AI12" s="25">
        <v>295309</v>
      </c>
      <c r="AJ12" s="25">
        <v>280544</v>
      </c>
      <c r="AK12" s="25">
        <v>0</v>
      </c>
      <c r="AL12" s="25">
        <v>368700</v>
      </c>
      <c r="AM12" s="25">
        <v>56600</v>
      </c>
      <c r="AN12" s="25">
        <v>312100</v>
      </c>
      <c r="AO12" s="25">
        <v>0</v>
      </c>
      <c r="AP12" s="25">
        <f>Lookups!$B$56*0</f>
        <v>0</v>
      </c>
      <c r="AQ12" s="25">
        <f>Lookups!$B$56*1</f>
        <v>89850.625589999996</v>
      </c>
      <c r="AR12" s="25">
        <f>Lookups!$B$57*Inventory[[#This Row],[LnAcres]]</f>
        <v>-52569.808201026557</v>
      </c>
      <c r="AS12" s="25">
        <f>VLOOKUP(Inventory[[#This Row],[Qlty]],Lookups!$A$62:$E$75,2,FALSE)</f>
        <v>29814.093161000001</v>
      </c>
      <c r="AT12" s="25">
        <f>VLOOKUP(Inventory[[#This Row],[Cnd]],Lookups!$A$76:$E$84,2,FALSE)</f>
        <v>354070.39217000001</v>
      </c>
      <c r="AU12" s="25">
        <f>Inventory[[#This Row],[EffAge]]*Lookups!$B$85</f>
        <v>-2676.5472060000002</v>
      </c>
      <c r="AV12" s="25">
        <f>Inventory[[#This Row],[MainFn]]*Lookups!$B$86</f>
        <v>75496.447572056</v>
      </c>
      <c r="AW12" s="25">
        <f>Inventory[[#This Row],[UpprFn]]*Lookups!$B$87</f>
        <v>0</v>
      </c>
      <c r="AX12" s="25">
        <f>Inventory[[#This Row],[AddFn]]*Lookups!$B$88</f>
        <v>0</v>
      </c>
      <c r="AY12" s="25">
        <f>Inventory[[#This Row],[Bsmt]]*Lookups!$B$89</f>
        <v>0</v>
      </c>
      <c r="AZ12" s="25">
        <f>Inventory[[#This Row],[Fixtures]]*Lookups!$B$90</f>
        <v>30336.176841600001</v>
      </c>
      <c r="BA12" s="25">
        <f>Inventory[[#This Row],[WdDeck]]*Lookups!$B$91</f>
        <v>0</v>
      </c>
      <c r="BB12" s="25">
        <f>ROUND(Inventory[[#This Row],[25Det]],-2)</f>
        <v>0</v>
      </c>
      <c r="BC12" s="25">
        <f>ROUND(SUM(Inventory[[#This Row],[Mdl Qlty]:[Mdl WdDeck]])+Inventory[[#This Row],[Mdl Res Intercept]],-2)</f>
        <v>487000</v>
      </c>
      <c r="BD12" s="25">
        <f>ROUND(Inventory[[#This Row],[Mdl Land Intercept]]+Inventory[[#This Row],[Mdl LnAcres]],-2)</f>
        <v>37300</v>
      </c>
      <c r="BE12" s="25">
        <f>Inventory[[#This Row],[Unadj Res Value]]+Inventory[[#This Row],[Unadj Det Value]]+Inventory[[#This Row],[Unadj Land Value]]</f>
        <v>524300</v>
      </c>
      <c r="BF12" s="36">
        <f>(Inventory[[#This Row],[Unadj Total Value]]-Inventory[[#This Row],[24Final]])/Inventory[[#This Row],[24Final]]</f>
        <v>0.42202332519663682</v>
      </c>
      <c r="BG12" s="25">
        <f>VLOOKUP(Inventory[[#This Row],[Nbhd]],Lookups!$Q$2:$T$4,4,FALSE)</f>
        <v>0.99970000000000003</v>
      </c>
      <c r="BH12" s="25">
        <f>VLOOKUP(Inventory[[#This Row],[Qlty]],Lookups!$O$7:$R$21,4,FALSE)</f>
        <v>1.0088999999999999</v>
      </c>
      <c r="BI12" s="25">
        <f>VLOOKUP(Inventory[[#This Row],[Cnd]],Lookups!$T$7:$W$16,4,FALSE)</f>
        <v>1.1303000000000001</v>
      </c>
      <c r="BJ12" s="25">
        <f>VLOOKUP(Inventory[[#This Row],[LivArea Range]],Lookups!$T$25:$W$37,4,FALSE)</f>
        <v>1.0093000000000001</v>
      </c>
      <c r="BK12" s="25">
        <f>VLOOKUP(Inventory[[#This Row],[Decade]],Lookups!$O$25:$R$42,4,FALSE)</f>
        <v>1</v>
      </c>
      <c r="BL12" s="25">
        <f>Inventory[[#This Row],[Nbhd Adj]]*0.95</f>
        <v>0.94971499999999998</v>
      </c>
      <c r="BM12" s="25">
        <f>Inventory[[#This Row],[Nbhd Adj]]*Inventory[[#This Row],[Quality Adj]]*Inventory[[#This Row],[Condition Adj]]*Inventory[[#This Row],[Living Area Adj]]*Inventory[[#This Row],[Decade Adj]]*0.95</f>
        <v>1.0930887391551949</v>
      </c>
      <c r="BN12" s="25">
        <f>ROUND(SUM(Inventory[[#This Row],[Mdl Qlty]:[Mdl WdDeck]])+Inventory[[#This Row],[Mdl Res Intercept]]*Inventory[[#This Row],[Res Adj ]],-2)</f>
        <v>487000</v>
      </c>
      <c r="BO12" s="25">
        <f>ROUND(Inventory[[#This Row],[25Det]]*Inventory[[#This Row],[Det/Nbhd Adj]],-2)</f>
        <v>0</v>
      </c>
      <c r="BP12" s="25">
        <f>Inventory[[#This Row],[Adjusted Res]]+Inventory[[#This Row],[Adj Det ]]</f>
        <v>487000</v>
      </c>
      <c r="BQ12" s="25">
        <f>ROUND((Inventory[[#This Row],[Mdl Land Intercept]]+Inventory[[#This Row],[Mdl LnAcres]])*Inventory[[#This Row],[Det/Nbhd Adj]],-2)</f>
        <v>35400</v>
      </c>
      <c r="BR12" s="25">
        <f>Inventory[[#This Row],[Adjusted Impr Total]]+Inventory[[#This Row],[Adjusted Land Total]]</f>
        <v>522400</v>
      </c>
      <c r="BS12" s="36">
        <f>IFERROR((Inventory[[#This Row],[Adjusted Impr Total]]-Inventory[[#This Row],[24Bldg]])/Inventory[[#This Row],[24Bldg]],0)</f>
        <v>0.56039730855495029</v>
      </c>
      <c r="BT12" s="36">
        <f>(Inventory[[#This Row],[Adjusted Land Total]]-Inventory[[#This Row],[24Lnd]])/Inventory[[#This Row],[24Lnd]]</f>
        <v>-0.37455830388692579</v>
      </c>
      <c r="BU12" s="36">
        <f>(Inventory[[#This Row],[Adjusted Total]]-Inventory[[#This Row],[24Final]])/Inventory[[#This Row],[24Final]]</f>
        <v>0.41687008407919718</v>
      </c>
    </row>
    <row r="13" spans="1:73" x14ac:dyDescent="0.3">
      <c r="A13" s="25">
        <v>2025</v>
      </c>
      <c r="B13" s="26" t="s">
        <v>1470</v>
      </c>
      <c r="C13" s="26">
        <f>LN(Inventory[[#This Row],[Acres]])</f>
        <v>-1.5141277326297755</v>
      </c>
      <c r="D13" s="25">
        <v>0.22</v>
      </c>
      <c r="E13" s="25">
        <v>9797</v>
      </c>
      <c r="F13" s="26" t="s">
        <v>537</v>
      </c>
      <c r="G13" s="26" t="s">
        <v>126</v>
      </c>
      <c r="H13" s="26" t="s">
        <v>349</v>
      </c>
      <c r="I13" s="26" t="s">
        <v>538</v>
      </c>
      <c r="J13" s="26" t="s">
        <v>539</v>
      </c>
      <c r="K13" s="26" t="s">
        <v>241</v>
      </c>
      <c r="L13" s="26" t="s">
        <v>148</v>
      </c>
      <c r="M13" s="26" t="s">
        <v>352</v>
      </c>
      <c r="N13" s="26">
        <v>20</v>
      </c>
      <c r="O13" s="26">
        <f>2024-Inventory[[#This Row],[YrBlt]]</f>
        <v>12</v>
      </c>
      <c r="P13" s="26">
        <f>2024-Inventory[[#This Row],[EffYr]]</f>
        <v>12</v>
      </c>
      <c r="Q13" s="25">
        <v>2012</v>
      </c>
      <c r="R13" s="25">
        <v>2012</v>
      </c>
      <c r="S13" s="25">
        <v>1629</v>
      </c>
      <c r="T13" s="27"/>
      <c r="U13" s="27"/>
      <c r="V13" s="27">
        <f>Inventory[[#This Row],[Bsmt]]-Inventory[[#This Row],[FnBsmt]]</f>
        <v>0</v>
      </c>
      <c r="W13" s="27"/>
      <c r="X13" s="32">
        <v>299</v>
      </c>
      <c r="Y13" s="32">
        <f>Inventory[[#This Row],[MainFn]]+Inventory[[#This Row],[UpprFn]]+Inventory[[#This Row],[FnBsmt]]+Inventory[[#This Row],[AddFn]]</f>
        <v>1928</v>
      </c>
      <c r="Z13" s="27">
        <v>2000</v>
      </c>
      <c r="AA13" s="25">
        <v>10</v>
      </c>
      <c r="AB13" s="25">
        <v>529</v>
      </c>
      <c r="AC13" s="27"/>
      <c r="AD13" s="27"/>
      <c r="AE13" s="27"/>
      <c r="AF13" s="27"/>
      <c r="AG13" s="31"/>
      <c r="AH13" s="27"/>
      <c r="AI13" s="25">
        <v>419877</v>
      </c>
      <c r="AJ13" s="25">
        <v>398883</v>
      </c>
      <c r="AK13" s="25">
        <v>0</v>
      </c>
      <c r="AL13" s="25">
        <v>415400</v>
      </c>
      <c r="AM13" s="25">
        <v>61700</v>
      </c>
      <c r="AN13" s="25">
        <v>353700</v>
      </c>
      <c r="AO13" s="25">
        <v>0</v>
      </c>
      <c r="AP13" s="25">
        <f>Lookups!$B$56*0</f>
        <v>0</v>
      </c>
      <c r="AQ13" s="25">
        <f>Lookups!$B$56*1</f>
        <v>89850.625589999996</v>
      </c>
      <c r="AR13" s="25">
        <f>Lookups!$B$57*Inventory[[#This Row],[LnAcres]]</f>
        <v>-47929.131559187132</v>
      </c>
      <c r="AS13" s="25">
        <f>VLOOKUP(Inventory[[#This Row],[Qlty]],Lookups!$A$62:$E$75,2,FALSE)</f>
        <v>44121.038090000002</v>
      </c>
      <c r="AT13" s="25">
        <f>VLOOKUP(Inventory[[#This Row],[Cnd]],Lookups!$A$76:$E$84,2,FALSE)</f>
        <v>284810.60806</v>
      </c>
      <c r="AU13" s="25">
        <f>Inventory[[#This Row],[EffAge]]*Lookups!$B$85</f>
        <v>-2676.5472060000002</v>
      </c>
      <c r="AV13" s="25">
        <f>Inventory[[#This Row],[MainFn]]*Lookups!$B$86</f>
        <v>80486.723229633004</v>
      </c>
      <c r="AW13" s="25">
        <f>Inventory[[#This Row],[UpprFn]]*Lookups!$B$87</f>
        <v>0</v>
      </c>
      <c r="AX13" s="25">
        <f>Inventory[[#This Row],[AddFn]]*Lookups!$B$88</f>
        <v>19463.306644249002</v>
      </c>
      <c r="AY13" s="25">
        <f>Inventory[[#This Row],[Bsmt]]*Lookups!$B$89</f>
        <v>0</v>
      </c>
      <c r="AZ13" s="25">
        <f>Inventory[[#This Row],[Fixtures]]*Lookups!$B$90</f>
        <v>37920.221052000001</v>
      </c>
      <c r="BA13" s="25">
        <f>Inventory[[#This Row],[WdDeck]]*Lookups!$B$91</f>
        <v>0</v>
      </c>
      <c r="BB13" s="25">
        <f>ROUND(Inventory[[#This Row],[25Det]],-2)</f>
        <v>0</v>
      </c>
      <c r="BC13" s="25">
        <f>ROUND(SUM(Inventory[[#This Row],[Mdl Qlty]:[Mdl WdDeck]])+Inventory[[#This Row],[Mdl Res Intercept]],-2)</f>
        <v>464100</v>
      </c>
      <c r="BD13" s="25">
        <f>ROUND(Inventory[[#This Row],[Mdl Land Intercept]]+Inventory[[#This Row],[Mdl LnAcres]],-2)</f>
        <v>41900</v>
      </c>
      <c r="BE13" s="25">
        <f>Inventory[[#This Row],[Unadj Res Value]]+Inventory[[#This Row],[Unadj Det Value]]+Inventory[[#This Row],[Unadj Land Value]]</f>
        <v>506000</v>
      </c>
      <c r="BF13" s="36">
        <f>(Inventory[[#This Row],[Unadj Total Value]]-Inventory[[#This Row],[24Final]])/Inventory[[#This Row],[24Final]]</f>
        <v>0.21810303322099181</v>
      </c>
      <c r="BG13" s="25">
        <f>VLOOKUP(Inventory[[#This Row],[Nbhd]],Lookups!$Q$2:$T$4,4,FALSE)</f>
        <v>0.99970000000000003</v>
      </c>
      <c r="BH13" s="25">
        <f>VLOOKUP(Inventory[[#This Row],[Qlty]],Lookups!$O$7:$R$21,4,FALSE)</f>
        <v>0.98050000000000004</v>
      </c>
      <c r="BI13" s="25">
        <f>VLOOKUP(Inventory[[#This Row],[Cnd]],Lookups!$T$7:$W$16,4,FALSE)</f>
        <v>1.0158</v>
      </c>
      <c r="BJ13" s="25">
        <f>VLOOKUP(Inventory[[#This Row],[LivArea Range]],Lookups!$T$25:$W$37,4,FALSE)</f>
        <v>1.0093000000000001</v>
      </c>
      <c r="BK13" s="25">
        <f>VLOOKUP(Inventory[[#This Row],[Decade]],Lookups!$O$25:$R$42,4,FALSE)</f>
        <v>1</v>
      </c>
      <c r="BL13" s="25">
        <f>Inventory[[#This Row],[Nbhd Adj]]*0.95</f>
        <v>0.94971499999999998</v>
      </c>
      <c r="BM13" s="25">
        <f>Inventory[[#This Row],[Nbhd Adj]]*Inventory[[#This Row],[Quality Adj]]*Inventory[[#This Row],[Condition Adj]]*Inventory[[#This Row],[Living Area Adj]]*Inventory[[#This Row],[Decade Adj]]*0.95</f>
        <v>0.95470539586846925</v>
      </c>
      <c r="BN13" s="25">
        <f>ROUND(SUM(Inventory[[#This Row],[Mdl Qlty]:[Mdl WdDeck]])+Inventory[[#This Row],[Mdl Res Intercept]]*Inventory[[#This Row],[Res Adj ]],-2)</f>
        <v>464100</v>
      </c>
      <c r="BO13" s="25">
        <f>ROUND(Inventory[[#This Row],[25Det]]*Inventory[[#This Row],[Det/Nbhd Adj]],-2)</f>
        <v>0</v>
      </c>
      <c r="BP13" s="25">
        <f>Inventory[[#This Row],[Adjusted Res]]+Inventory[[#This Row],[Adj Det ]]</f>
        <v>464100</v>
      </c>
      <c r="BQ13" s="25">
        <f>ROUND((Inventory[[#This Row],[Mdl Land Intercept]]+Inventory[[#This Row],[Mdl LnAcres]])*Inventory[[#This Row],[Det/Nbhd Adj]],-2)</f>
        <v>39800</v>
      </c>
      <c r="BR13" s="25">
        <f>Inventory[[#This Row],[Adjusted Impr Total]]+Inventory[[#This Row],[Adjusted Land Total]]</f>
        <v>503900</v>
      </c>
      <c r="BS13" s="36">
        <f>IFERROR((Inventory[[#This Row],[Adjusted Impr Total]]-Inventory[[#This Row],[24Bldg]])/Inventory[[#This Row],[24Bldg]],0)</f>
        <v>0.31212892281594573</v>
      </c>
      <c r="BT13" s="36">
        <f>(Inventory[[#This Row],[Adjusted Land Total]]-Inventory[[#This Row],[24Lnd]])/Inventory[[#This Row],[24Lnd]]</f>
        <v>-0.35494327390599678</v>
      </c>
      <c r="BU13" s="36">
        <f>(Inventory[[#This Row],[Adjusted Total]]-Inventory[[#This Row],[24Final]])/Inventory[[#This Row],[24Final]]</f>
        <v>0.21304766490129995</v>
      </c>
    </row>
    <row r="14" spans="1:73" x14ac:dyDescent="0.3">
      <c r="A14" s="25">
        <v>2025</v>
      </c>
      <c r="B14" s="26" t="s">
        <v>867</v>
      </c>
      <c r="C14" s="26">
        <f>LN(Inventory[[#This Row],[Acres]])</f>
        <v>-1.5141277326297755</v>
      </c>
      <c r="D14" s="25">
        <v>0.22</v>
      </c>
      <c r="E14" s="25">
        <v>9648</v>
      </c>
      <c r="F14" s="26" t="s">
        <v>537</v>
      </c>
      <c r="G14" s="26" t="s">
        <v>126</v>
      </c>
      <c r="H14" s="26" t="s">
        <v>349</v>
      </c>
      <c r="I14" s="26" t="s">
        <v>538</v>
      </c>
      <c r="J14" s="26" t="s">
        <v>539</v>
      </c>
      <c r="K14" s="26" t="s">
        <v>300</v>
      </c>
      <c r="L14" s="26" t="s">
        <v>302</v>
      </c>
      <c r="M14" s="26" t="s">
        <v>352</v>
      </c>
      <c r="N14" s="26">
        <v>20</v>
      </c>
      <c r="O14" s="26">
        <f>2024-Inventory[[#This Row],[YrBlt]]</f>
        <v>13</v>
      </c>
      <c r="P14" s="26">
        <f>2024-Inventory[[#This Row],[EffYr]]</f>
        <v>13</v>
      </c>
      <c r="Q14" s="25">
        <v>2011</v>
      </c>
      <c r="R14" s="25">
        <v>2011</v>
      </c>
      <c r="S14" s="25">
        <v>1195</v>
      </c>
      <c r="T14" s="27"/>
      <c r="U14" s="32">
        <v>598</v>
      </c>
      <c r="V14" s="32">
        <f>Inventory[[#This Row],[Bsmt]]-Inventory[[#This Row],[FnBsmt]]</f>
        <v>0</v>
      </c>
      <c r="W14" s="32">
        <v>598</v>
      </c>
      <c r="X14" s="27"/>
      <c r="Y14" s="27">
        <f>Inventory[[#This Row],[MainFn]]+Inventory[[#This Row],[UpprFn]]+Inventory[[#This Row],[FnBsmt]]+Inventory[[#This Row],[AddFn]]</f>
        <v>1793</v>
      </c>
      <c r="Z14" s="27">
        <v>2000</v>
      </c>
      <c r="AA14" s="25">
        <v>11</v>
      </c>
      <c r="AB14" s="25">
        <v>572</v>
      </c>
      <c r="AC14" s="27"/>
      <c r="AD14" s="32">
        <v>192</v>
      </c>
      <c r="AE14" s="27"/>
      <c r="AF14" s="27"/>
      <c r="AG14" s="31"/>
      <c r="AH14" s="27"/>
      <c r="AI14" s="25">
        <v>330951</v>
      </c>
      <c r="AJ14" s="25">
        <v>314403</v>
      </c>
      <c r="AK14" s="25">
        <v>38891</v>
      </c>
      <c r="AL14" s="25">
        <v>425100</v>
      </c>
      <c r="AM14" s="25">
        <v>61700</v>
      </c>
      <c r="AN14" s="25">
        <v>363400</v>
      </c>
      <c r="AO14" s="25">
        <v>0</v>
      </c>
      <c r="AP14" s="25">
        <f>Lookups!$B$56*0</f>
        <v>0</v>
      </c>
      <c r="AQ14" s="25">
        <f>Lookups!$B$56*1</f>
        <v>89850.625589999996</v>
      </c>
      <c r="AR14" s="25">
        <f>Lookups!$B$57*Inventory[[#This Row],[LnAcres]]</f>
        <v>-47929.131559187132</v>
      </c>
      <c r="AS14" s="25">
        <f>VLOOKUP(Inventory[[#This Row],[Qlty]],Lookups!$A$62:$E$75,2,FALSE)</f>
        <v>29814.093161000001</v>
      </c>
      <c r="AT14" s="25">
        <f>VLOOKUP(Inventory[[#This Row],[Cnd]],Lookups!$A$76:$E$84,2,FALSE)</f>
        <v>284810.60806</v>
      </c>
      <c r="AU14" s="25">
        <f>Inventory[[#This Row],[EffAge]]*Lookups!$B$85</f>
        <v>-2899.5928065000003</v>
      </c>
      <c r="AV14" s="25">
        <f>Inventory[[#This Row],[MainFn]]*Lookups!$B$86</f>
        <v>59043.360503014999</v>
      </c>
      <c r="AW14" s="25">
        <f>Inventory[[#This Row],[UpprFn]]*Lookups!$B$87</f>
        <v>0</v>
      </c>
      <c r="AX14" s="25">
        <f>Inventory[[#This Row],[AddFn]]*Lookups!$B$88</f>
        <v>0</v>
      </c>
      <c r="AY14" s="25">
        <f>Inventory[[#This Row],[Bsmt]]*Lookups!$B$89</f>
        <v>17390.973357706</v>
      </c>
      <c r="AZ14" s="25">
        <f>Inventory[[#This Row],[Fixtures]]*Lookups!$B$90</f>
        <v>41712.243157199999</v>
      </c>
      <c r="BA14" s="25">
        <f>Inventory[[#This Row],[WdDeck]]*Lookups!$B$91</f>
        <v>6392.7389329920006</v>
      </c>
      <c r="BB14" s="25">
        <f>ROUND(Inventory[[#This Row],[25Det]],-2)</f>
        <v>38900</v>
      </c>
      <c r="BC14" s="25">
        <f>ROUND(SUM(Inventory[[#This Row],[Mdl Qlty]:[Mdl WdDeck]])+Inventory[[#This Row],[Mdl Res Intercept]],-2)</f>
        <v>436300</v>
      </c>
      <c r="BD14" s="25">
        <f>ROUND(Inventory[[#This Row],[Mdl Land Intercept]]+Inventory[[#This Row],[Mdl LnAcres]],-2)</f>
        <v>41900</v>
      </c>
      <c r="BE14" s="25">
        <f>Inventory[[#This Row],[Unadj Res Value]]+Inventory[[#This Row],[Unadj Det Value]]+Inventory[[#This Row],[Unadj Land Value]]</f>
        <v>517100</v>
      </c>
      <c r="BF14" s="36">
        <f>(Inventory[[#This Row],[Unadj Total Value]]-Inventory[[#This Row],[24Final]])/Inventory[[#This Row],[24Final]]</f>
        <v>0.21641966596095036</v>
      </c>
      <c r="BG14" s="25">
        <f>VLOOKUP(Inventory[[#This Row],[Nbhd]],Lookups!$Q$2:$T$4,4,FALSE)</f>
        <v>0.99970000000000003</v>
      </c>
      <c r="BH14" s="25">
        <f>VLOOKUP(Inventory[[#This Row],[Qlty]],Lookups!$O$7:$R$21,4,FALSE)</f>
        <v>1.0088999999999999</v>
      </c>
      <c r="BI14" s="25">
        <f>VLOOKUP(Inventory[[#This Row],[Cnd]],Lookups!$T$7:$W$16,4,FALSE)</f>
        <v>1.0158</v>
      </c>
      <c r="BJ14" s="25">
        <f>VLOOKUP(Inventory[[#This Row],[LivArea Range]],Lookups!$T$25:$W$37,4,FALSE)</f>
        <v>1.0093000000000001</v>
      </c>
      <c r="BK14" s="25">
        <f>VLOOKUP(Inventory[[#This Row],[Decade]],Lookups!$O$25:$R$42,4,FALSE)</f>
        <v>1</v>
      </c>
      <c r="BL14" s="25">
        <f>Inventory[[#This Row],[Nbhd Adj]]*0.95</f>
        <v>0.94971499999999998</v>
      </c>
      <c r="BM14" s="25">
        <f>Inventory[[#This Row],[Nbhd Adj]]*Inventory[[#This Row],[Quality Adj]]*Inventory[[#This Row],[Condition Adj]]*Inventory[[#This Row],[Living Area Adj]]*Inventory[[#This Row],[Decade Adj]]*0.95</f>
        <v>0.98235825996093673</v>
      </c>
      <c r="BN14" s="25">
        <f>ROUND(SUM(Inventory[[#This Row],[Mdl Qlty]:[Mdl WdDeck]])+Inventory[[#This Row],[Mdl Res Intercept]]*Inventory[[#This Row],[Res Adj ]],-2)</f>
        <v>436300</v>
      </c>
      <c r="BO14" s="25">
        <f>ROUND(Inventory[[#This Row],[25Det]]*Inventory[[#This Row],[Det/Nbhd Adj]],-2)</f>
        <v>36900</v>
      </c>
      <c r="BP14" s="25">
        <f>Inventory[[#This Row],[Adjusted Res]]+Inventory[[#This Row],[Adj Det ]]</f>
        <v>473200</v>
      </c>
      <c r="BQ14" s="25">
        <f>ROUND((Inventory[[#This Row],[Mdl Land Intercept]]+Inventory[[#This Row],[Mdl LnAcres]])*Inventory[[#This Row],[Det/Nbhd Adj]],-2)</f>
        <v>39800</v>
      </c>
      <c r="BR14" s="25">
        <f>Inventory[[#This Row],[Adjusted Impr Total]]+Inventory[[#This Row],[Adjusted Land Total]]</f>
        <v>513000</v>
      </c>
      <c r="BS14" s="36">
        <f>IFERROR((Inventory[[#This Row],[Adjusted Impr Total]]-Inventory[[#This Row],[24Bldg]])/Inventory[[#This Row],[24Bldg]],0)</f>
        <v>0.30214639515685193</v>
      </c>
      <c r="BT14" s="36">
        <f>(Inventory[[#This Row],[Adjusted Land Total]]-Inventory[[#This Row],[24Lnd]])/Inventory[[#This Row],[24Lnd]]</f>
        <v>-0.35494327390599678</v>
      </c>
      <c r="BU14" s="36">
        <f>(Inventory[[#This Row],[Adjusted Total]]-Inventory[[#This Row],[24Final]])/Inventory[[#This Row],[24Final]]</f>
        <v>0.20677487649964715</v>
      </c>
    </row>
    <row r="15" spans="1:73" x14ac:dyDescent="0.3">
      <c r="A15" s="25">
        <v>2025</v>
      </c>
      <c r="B15" s="26" t="s">
        <v>1542</v>
      </c>
      <c r="C15" s="26">
        <f>LN(Inventory[[#This Row],[Acres]])</f>
        <v>-0.96758402626170559</v>
      </c>
      <c r="D15" s="25">
        <v>0.38</v>
      </c>
      <c r="E15" s="25">
        <v>16549</v>
      </c>
      <c r="F15" s="26" t="s">
        <v>537</v>
      </c>
      <c r="G15" s="26" t="s">
        <v>126</v>
      </c>
      <c r="H15" s="26" t="s">
        <v>349</v>
      </c>
      <c r="I15" s="26" t="s">
        <v>538</v>
      </c>
      <c r="J15" s="26" t="s">
        <v>539</v>
      </c>
      <c r="K15" s="26" t="s">
        <v>241</v>
      </c>
      <c r="L15" s="26" t="s">
        <v>351</v>
      </c>
      <c r="M15" s="26" t="s">
        <v>352</v>
      </c>
      <c r="N15" s="26">
        <v>20</v>
      </c>
      <c r="O15" s="26">
        <f>2024-Inventory[[#This Row],[YrBlt]]</f>
        <v>13</v>
      </c>
      <c r="P15" s="26">
        <f>2024-Inventory[[#This Row],[EffYr]]</f>
        <v>13</v>
      </c>
      <c r="Q15" s="25">
        <v>2011</v>
      </c>
      <c r="R15" s="25">
        <v>2011</v>
      </c>
      <c r="S15" s="25">
        <v>1786</v>
      </c>
      <c r="T15" s="27"/>
      <c r="U15" s="27"/>
      <c r="V15" s="27">
        <f>Inventory[[#This Row],[Bsmt]]-Inventory[[#This Row],[FnBsmt]]</f>
        <v>0</v>
      </c>
      <c r="W15" s="27"/>
      <c r="X15" s="27"/>
      <c r="Y15" s="27">
        <f>Inventory[[#This Row],[MainFn]]+Inventory[[#This Row],[UpprFn]]+Inventory[[#This Row],[FnBsmt]]+Inventory[[#This Row],[AddFn]]</f>
        <v>1786</v>
      </c>
      <c r="Z15" s="27">
        <v>2000</v>
      </c>
      <c r="AA15" s="25">
        <v>8</v>
      </c>
      <c r="AB15" s="25">
        <v>528</v>
      </c>
      <c r="AC15" s="27"/>
      <c r="AD15" s="27"/>
      <c r="AE15" s="27"/>
      <c r="AF15" s="27"/>
      <c r="AG15" s="31"/>
      <c r="AH15" s="27"/>
      <c r="AI15" s="25">
        <v>294888</v>
      </c>
      <c r="AJ15" s="25">
        <v>280144</v>
      </c>
      <c r="AK15" s="25">
        <v>0</v>
      </c>
      <c r="AL15" s="25">
        <v>396400</v>
      </c>
      <c r="AM15" s="25">
        <v>80800</v>
      </c>
      <c r="AN15" s="25">
        <v>315600</v>
      </c>
      <c r="AO15" s="25">
        <v>0</v>
      </c>
      <c r="AP15" s="25">
        <f>Lookups!$B$56*0</f>
        <v>0</v>
      </c>
      <c r="AQ15" s="25">
        <f>Lookups!$B$56*1</f>
        <v>89850.625589999996</v>
      </c>
      <c r="AR15" s="25">
        <f>Lookups!$B$57*Inventory[[#This Row],[LnAcres]]</f>
        <v>-30628.500548443946</v>
      </c>
      <c r="AS15" s="25">
        <f>VLOOKUP(Inventory[[#This Row],[Qlty]],Lookups!$A$62:$E$75,2,FALSE)</f>
        <v>21557.329055999999</v>
      </c>
      <c r="AT15" s="25">
        <f>VLOOKUP(Inventory[[#This Row],[Cnd]],Lookups!$A$76:$E$84,2,FALSE)</f>
        <v>284810.60806</v>
      </c>
      <c r="AU15" s="25">
        <f>Inventory[[#This Row],[EffAge]]*Lookups!$B$85</f>
        <v>-2899.5928065000003</v>
      </c>
      <c r="AV15" s="25">
        <f>Inventory[[#This Row],[MainFn]]*Lookups!$B$86</f>
        <v>88243.884400322</v>
      </c>
      <c r="AW15" s="25">
        <f>Inventory[[#This Row],[UpprFn]]*Lookups!$B$87</f>
        <v>0</v>
      </c>
      <c r="AX15" s="25">
        <f>Inventory[[#This Row],[AddFn]]*Lookups!$B$88</f>
        <v>0</v>
      </c>
      <c r="AY15" s="25">
        <f>Inventory[[#This Row],[Bsmt]]*Lookups!$B$89</f>
        <v>0</v>
      </c>
      <c r="AZ15" s="25">
        <f>Inventory[[#This Row],[Fixtures]]*Lookups!$B$90</f>
        <v>30336.176841600001</v>
      </c>
      <c r="BA15" s="25">
        <f>Inventory[[#This Row],[WdDeck]]*Lookups!$B$91</f>
        <v>0</v>
      </c>
      <c r="BB15" s="25">
        <f>ROUND(Inventory[[#This Row],[25Det]],-2)</f>
        <v>0</v>
      </c>
      <c r="BC15" s="25">
        <f>ROUND(SUM(Inventory[[#This Row],[Mdl Qlty]:[Mdl WdDeck]])+Inventory[[#This Row],[Mdl Res Intercept]],-2)</f>
        <v>422000</v>
      </c>
      <c r="BD15" s="25">
        <f>ROUND(Inventory[[#This Row],[Mdl Land Intercept]]+Inventory[[#This Row],[Mdl LnAcres]],-2)</f>
        <v>59200</v>
      </c>
      <c r="BE15" s="25">
        <f>Inventory[[#This Row],[Unadj Res Value]]+Inventory[[#This Row],[Unadj Det Value]]+Inventory[[#This Row],[Unadj Land Value]]</f>
        <v>481200</v>
      </c>
      <c r="BF15" s="36">
        <f>(Inventory[[#This Row],[Unadj Total Value]]-Inventory[[#This Row],[24Final]])/Inventory[[#This Row],[24Final]]</f>
        <v>0.21392532795156408</v>
      </c>
      <c r="BG15" s="25">
        <f>VLOOKUP(Inventory[[#This Row],[Nbhd]],Lookups!$Q$2:$T$4,4,FALSE)</f>
        <v>0.99970000000000003</v>
      </c>
      <c r="BH15" s="25">
        <f>VLOOKUP(Inventory[[#This Row],[Qlty]],Lookups!$O$7:$R$21,4,FALSE)</f>
        <v>1.0067999999999999</v>
      </c>
      <c r="BI15" s="25">
        <f>VLOOKUP(Inventory[[#This Row],[Cnd]],Lookups!$T$7:$W$16,4,FALSE)</f>
        <v>1.0158</v>
      </c>
      <c r="BJ15" s="25">
        <f>VLOOKUP(Inventory[[#This Row],[LivArea Range]],Lookups!$T$25:$W$37,4,FALSE)</f>
        <v>1.0093000000000001</v>
      </c>
      <c r="BK15" s="25">
        <f>VLOOKUP(Inventory[[#This Row],[Decade]],Lookups!$O$25:$R$42,4,FALSE)</f>
        <v>1</v>
      </c>
      <c r="BL15" s="25">
        <f>Inventory[[#This Row],[Nbhd Adj]]*0.95</f>
        <v>0.94971499999999998</v>
      </c>
      <c r="BM15" s="25">
        <f>Inventory[[#This Row],[Nbhd Adj]]*Inventory[[#This Row],[Quality Adj]]*Inventory[[#This Row],[Condition Adj]]*Inventory[[#This Row],[Living Area Adj]]*Inventory[[#This Row],[Decade Adj]]*0.95</f>
        <v>0.98031350592593025</v>
      </c>
      <c r="BN15" s="25">
        <f>ROUND(SUM(Inventory[[#This Row],[Mdl Qlty]:[Mdl WdDeck]])+Inventory[[#This Row],[Mdl Res Intercept]]*Inventory[[#This Row],[Res Adj ]],-2)</f>
        <v>422000</v>
      </c>
      <c r="BO15" s="25">
        <f>ROUND(Inventory[[#This Row],[25Det]]*Inventory[[#This Row],[Det/Nbhd Adj]],-2)</f>
        <v>0</v>
      </c>
      <c r="BP15" s="25">
        <f>Inventory[[#This Row],[Adjusted Res]]+Inventory[[#This Row],[Adj Det ]]</f>
        <v>422000</v>
      </c>
      <c r="BQ15" s="25">
        <f>ROUND((Inventory[[#This Row],[Mdl Land Intercept]]+Inventory[[#This Row],[Mdl LnAcres]])*Inventory[[#This Row],[Det/Nbhd Adj]],-2)</f>
        <v>56200</v>
      </c>
      <c r="BR15" s="25">
        <f>Inventory[[#This Row],[Adjusted Impr Total]]+Inventory[[#This Row],[Adjusted Land Total]]</f>
        <v>478200</v>
      </c>
      <c r="BS15" s="36">
        <f>IFERROR((Inventory[[#This Row],[Adjusted Impr Total]]-Inventory[[#This Row],[24Bldg]])/Inventory[[#This Row],[24Bldg]],0)</f>
        <v>0.33713561470215464</v>
      </c>
      <c r="BT15" s="36">
        <f>(Inventory[[#This Row],[Adjusted Land Total]]-Inventory[[#This Row],[24Lnd]])/Inventory[[#This Row],[24Lnd]]</f>
        <v>-0.30445544554455445</v>
      </c>
      <c r="BU15" s="36">
        <f>(Inventory[[#This Row],[Adjusted Total]]-Inventory[[#This Row],[24Final]])/Inventory[[#This Row],[24Final]]</f>
        <v>0.2063572149344097</v>
      </c>
    </row>
    <row r="16" spans="1:73" x14ac:dyDescent="0.3">
      <c r="A16" s="25">
        <v>2025</v>
      </c>
      <c r="B16" s="26" t="s">
        <v>1204</v>
      </c>
      <c r="C16" s="26">
        <f>LN(Inventory[[#This Row],[Acres]])</f>
        <v>-1.5141277326297755</v>
      </c>
      <c r="D16" s="25">
        <v>0.22</v>
      </c>
      <c r="E16" s="25">
        <v>9765</v>
      </c>
      <c r="F16" s="26" t="s">
        <v>537</v>
      </c>
      <c r="G16" s="26" t="s">
        <v>126</v>
      </c>
      <c r="H16" s="26" t="s">
        <v>349</v>
      </c>
      <c r="I16" s="26" t="s">
        <v>538</v>
      </c>
      <c r="J16" s="26" t="s">
        <v>638</v>
      </c>
      <c r="K16" s="26" t="s">
        <v>173</v>
      </c>
      <c r="L16" s="26" t="s">
        <v>148</v>
      </c>
      <c r="M16" s="26" t="s">
        <v>96</v>
      </c>
      <c r="N16" s="26">
        <v>20</v>
      </c>
      <c r="O16" s="26">
        <f>2024-Inventory[[#This Row],[YrBlt]]</f>
        <v>14</v>
      </c>
      <c r="P16" s="26">
        <f>2024-Inventory[[#This Row],[EffYr]]</f>
        <v>14</v>
      </c>
      <c r="Q16" s="25">
        <v>2010</v>
      </c>
      <c r="R16" s="25">
        <v>2010</v>
      </c>
      <c r="S16" s="25">
        <v>988</v>
      </c>
      <c r="T16" s="32">
        <v>988</v>
      </c>
      <c r="U16" s="27"/>
      <c r="V16" s="27">
        <f>Inventory[[#This Row],[Bsmt]]-Inventory[[#This Row],[FnBsmt]]</f>
        <v>0</v>
      </c>
      <c r="W16" s="27"/>
      <c r="X16" s="27"/>
      <c r="Y16" s="27">
        <f>Inventory[[#This Row],[MainFn]]+Inventory[[#This Row],[UpprFn]]+Inventory[[#This Row],[FnBsmt]]+Inventory[[#This Row],[AddFn]]</f>
        <v>1976</v>
      </c>
      <c r="Z16" s="27">
        <v>2000</v>
      </c>
      <c r="AA16" s="25">
        <v>10</v>
      </c>
      <c r="AB16" s="25">
        <v>600</v>
      </c>
      <c r="AC16" s="27"/>
      <c r="AD16" s="27"/>
      <c r="AE16" s="27"/>
      <c r="AF16" s="27"/>
      <c r="AG16" s="31"/>
      <c r="AH16" s="27"/>
      <c r="AI16" s="25">
        <v>411968</v>
      </c>
      <c r="AJ16" s="25">
        <v>387250</v>
      </c>
      <c r="AK16" s="25">
        <v>0</v>
      </c>
      <c r="AL16" s="25">
        <v>411000</v>
      </c>
      <c r="AM16" s="25">
        <v>61700</v>
      </c>
      <c r="AN16" s="25">
        <v>349300</v>
      </c>
      <c r="AO16" s="25">
        <v>0</v>
      </c>
      <c r="AP16" s="25">
        <f>Lookups!$B$56*0</f>
        <v>0</v>
      </c>
      <c r="AQ16" s="25">
        <f>Lookups!$B$56*1</f>
        <v>89850.625589999996</v>
      </c>
      <c r="AR16" s="25">
        <f>Lookups!$B$57*Inventory[[#This Row],[LnAcres]]</f>
        <v>-47929.131559187132</v>
      </c>
      <c r="AS16" s="25">
        <f>VLOOKUP(Inventory[[#This Row],[Qlty]],Lookups!$A$62:$E$75,2,FALSE)</f>
        <v>44121.038090000002</v>
      </c>
      <c r="AT16" s="25">
        <f>VLOOKUP(Inventory[[#This Row],[Cnd]],Lookups!$A$76:$E$84,2,FALSE)</f>
        <v>354070.39217000001</v>
      </c>
      <c r="AU16" s="25">
        <f>Inventory[[#This Row],[EffAge]]*Lookups!$B$85</f>
        <v>-3122.6384069999999</v>
      </c>
      <c r="AV16" s="25">
        <f>Inventory[[#This Row],[MainFn]]*Lookups!$B$86</f>
        <v>48815.765838476</v>
      </c>
      <c r="AW16" s="25">
        <f>Inventory[[#This Row],[UpprFn]]*Lookups!$B$87</f>
        <v>44248.985786667996</v>
      </c>
      <c r="AX16" s="25">
        <f>Inventory[[#This Row],[AddFn]]*Lookups!$B$88</f>
        <v>0</v>
      </c>
      <c r="AY16" s="25">
        <f>Inventory[[#This Row],[Bsmt]]*Lookups!$B$89</f>
        <v>0</v>
      </c>
      <c r="AZ16" s="25">
        <f>Inventory[[#This Row],[Fixtures]]*Lookups!$B$90</f>
        <v>37920.221052000001</v>
      </c>
      <c r="BA16" s="25">
        <f>Inventory[[#This Row],[WdDeck]]*Lookups!$B$91</f>
        <v>0</v>
      </c>
      <c r="BB16" s="25">
        <f>ROUND(Inventory[[#This Row],[25Det]],-2)</f>
        <v>0</v>
      </c>
      <c r="BC16" s="25">
        <f>ROUND(SUM(Inventory[[#This Row],[Mdl Qlty]:[Mdl WdDeck]])+Inventory[[#This Row],[Mdl Res Intercept]],-2)</f>
        <v>526100</v>
      </c>
      <c r="BD16" s="25">
        <f>ROUND(Inventory[[#This Row],[Mdl Land Intercept]]+Inventory[[#This Row],[Mdl LnAcres]],-2)</f>
        <v>41900</v>
      </c>
      <c r="BE16" s="25">
        <f>Inventory[[#This Row],[Unadj Res Value]]+Inventory[[#This Row],[Unadj Det Value]]+Inventory[[#This Row],[Unadj Land Value]]</f>
        <v>568000</v>
      </c>
      <c r="BF16" s="36">
        <f>(Inventory[[#This Row],[Unadj Total Value]]-Inventory[[#This Row],[24Final]])/Inventory[[#This Row],[24Final]]</f>
        <v>0.38199513381995132</v>
      </c>
      <c r="BG16" s="25">
        <f>VLOOKUP(Inventory[[#This Row],[Nbhd]],Lookups!$Q$2:$T$4,4,FALSE)</f>
        <v>0.99970000000000003</v>
      </c>
      <c r="BH16" s="25">
        <f>VLOOKUP(Inventory[[#This Row],[Qlty]],Lookups!$O$7:$R$21,4,FALSE)</f>
        <v>0.98050000000000004</v>
      </c>
      <c r="BI16" s="25">
        <f>VLOOKUP(Inventory[[#This Row],[Cnd]],Lookups!$T$7:$W$16,4,FALSE)</f>
        <v>1.1303000000000001</v>
      </c>
      <c r="BJ16" s="25">
        <f>VLOOKUP(Inventory[[#This Row],[LivArea Range]],Lookups!$T$25:$W$37,4,FALSE)</f>
        <v>1.0093000000000001</v>
      </c>
      <c r="BK16" s="25">
        <f>VLOOKUP(Inventory[[#This Row],[Decade]],Lookups!$O$25:$R$42,4,FALSE)</f>
        <v>1</v>
      </c>
      <c r="BL16" s="25">
        <f>Inventory[[#This Row],[Nbhd Adj]]*0.95</f>
        <v>0.94971499999999998</v>
      </c>
      <c r="BM16" s="25">
        <f>Inventory[[#This Row],[Nbhd Adj]]*Inventory[[#This Row],[Quality Adj]]*Inventory[[#This Row],[Condition Adj]]*Inventory[[#This Row],[Living Area Adj]]*Inventory[[#This Row],[Decade Adj]]*0.95</f>
        <v>1.0623188707916231</v>
      </c>
      <c r="BN16" s="25">
        <f>ROUND(SUM(Inventory[[#This Row],[Mdl Qlty]:[Mdl WdDeck]])+Inventory[[#This Row],[Mdl Res Intercept]]*Inventory[[#This Row],[Res Adj ]],-2)</f>
        <v>526100</v>
      </c>
      <c r="BO16" s="25">
        <f>ROUND(Inventory[[#This Row],[25Det]]*Inventory[[#This Row],[Det/Nbhd Adj]],-2)</f>
        <v>0</v>
      </c>
      <c r="BP16" s="25">
        <f>Inventory[[#This Row],[Adjusted Res]]+Inventory[[#This Row],[Adj Det ]]</f>
        <v>526100</v>
      </c>
      <c r="BQ16" s="25">
        <f>ROUND((Inventory[[#This Row],[Mdl Land Intercept]]+Inventory[[#This Row],[Mdl LnAcres]])*Inventory[[#This Row],[Det/Nbhd Adj]],-2)</f>
        <v>39800</v>
      </c>
      <c r="BR16" s="25">
        <f>Inventory[[#This Row],[Adjusted Impr Total]]+Inventory[[#This Row],[Adjusted Land Total]]</f>
        <v>565900</v>
      </c>
      <c r="BS16" s="36">
        <f>IFERROR((Inventory[[#This Row],[Adjusted Impr Total]]-Inventory[[#This Row],[24Bldg]])/Inventory[[#This Row],[24Bldg]],0)</f>
        <v>0.50615516747781275</v>
      </c>
      <c r="BT16" s="36">
        <f>(Inventory[[#This Row],[Adjusted Land Total]]-Inventory[[#This Row],[24Lnd]])/Inventory[[#This Row],[24Lnd]]</f>
        <v>-0.35494327390599678</v>
      </c>
      <c r="BU16" s="36">
        <f>(Inventory[[#This Row],[Adjusted Total]]-Inventory[[#This Row],[24Final]])/Inventory[[#This Row],[24Final]]</f>
        <v>0.37688564476885644</v>
      </c>
    </row>
    <row r="17" spans="1:73" x14ac:dyDescent="0.3">
      <c r="A17" s="25">
        <v>2025</v>
      </c>
      <c r="B17" s="26" t="s">
        <v>1473</v>
      </c>
      <c r="C17" s="26">
        <f>LN(Inventory[[#This Row],[Acres]])</f>
        <v>-1.0498221244986778</v>
      </c>
      <c r="D17" s="25">
        <v>0.35</v>
      </c>
      <c r="E17" s="25">
        <v>15379</v>
      </c>
      <c r="F17" s="26" t="s">
        <v>537</v>
      </c>
      <c r="G17" s="26" t="s">
        <v>126</v>
      </c>
      <c r="H17" s="26" t="s">
        <v>349</v>
      </c>
      <c r="I17" s="26" t="s">
        <v>538</v>
      </c>
      <c r="J17" s="26" t="s">
        <v>539</v>
      </c>
      <c r="K17" s="26" t="s">
        <v>241</v>
      </c>
      <c r="L17" s="26" t="s">
        <v>302</v>
      </c>
      <c r="M17" s="26" t="s">
        <v>352</v>
      </c>
      <c r="N17" s="26">
        <v>20</v>
      </c>
      <c r="O17" s="26">
        <f>2024-Inventory[[#This Row],[YrBlt]]</f>
        <v>16</v>
      </c>
      <c r="P17" s="26">
        <f>2024-Inventory[[#This Row],[EffYr]]</f>
        <v>16</v>
      </c>
      <c r="Q17" s="25">
        <v>2008</v>
      </c>
      <c r="R17" s="25">
        <v>2008</v>
      </c>
      <c r="S17" s="25">
        <v>1380</v>
      </c>
      <c r="T17" s="27"/>
      <c r="U17" s="27"/>
      <c r="V17" s="27">
        <f>Inventory[[#This Row],[Bsmt]]-Inventory[[#This Row],[FnBsmt]]</f>
        <v>0</v>
      </c>
      <c r="W17" s="27"/>
      <c r="X17" s="27"/>
      <c r="Y17" s="27">
        <f>Inventory[[#This Row],[MainFn]]+Inventory[[#This Row],[UpprFn]]+Inventory[[#This Row],[FnBsmt]]+Inventory[[#This Row],[AddFn]]</f>
        <v>1380</v>
      </c>
      <c r="Z17" s="27">
        <v>1500</v>
      </c>
      <c r="AA17" s="25">
        <v>8</v>
      </c>
      <c r="AB17" s="31"/>
      <c r="AC17" s="27"/>
      <c r="AD17" s="32">
        <v>327</v>
      </c>
      <c r="AE17" s="27"/>
      <c r="AF17" s="27"/>
      <c r="AG17" s="31"/>
      <c r="AH17" s="27"/>
      <c r="AI17" s="25">
        <v>257502</v>
      </c>
      <c r="AJ17" s="25">
        <v>239477</v>
      </c>
      <c r="AK17" s="25">
        <v>46259</v>
      </c>
      <c r="AL17" s="25">
        <v>420500</v>
      </c>
      <c r="AM17" s="25">
        <v>77900</v>
      </c>
      <c r="AN17" s="25">
        <v>342600</v>
      </c>
      <c r="AO17" s="25">
        <v>0</v>
      </c>
      <c r="AP17" s="25">
        <f>Lookups!$B$56*0</f>
        <v>0</v>
      </c>
      <c r="AQ17" s="25">
        <f>Lookups!$B$56*1</f>
        <v>89850.625589999996</v>
      </c>
      <c r="AR17" s="25">
        <f>Lookups!$B$57*Inventory[[#This Row],[LnAcres]]</f>
        <v>-33231.715947405908</v>
      </c>
      <c r="AS17" s="25">
        <f>VLOOKUP(Inventory[[#This Row],[Qlty]],Lookups!$A$62:$E$75,2,FALSE)</f>
        <v>29814.093161000001</v>
      </c>
      <c r="AT17" s="25">
        <f>VLOOKUP(Inventory[[#This Row],[Cnd]],Lookups!$A$76:$E$84,2,FALSE)</f>
        <v>284810.60806</v>
      </c>
      <c r="AU17" s="25">
        <f>Inventory[[#This Row],[EffAge]]*Lookups!$B$85</f>
        <v>-3568.7296080000001</v>
      </c>
      <c r="AV17" s="25">
        <f>Inventory[[#This Row],[MainFn]]*Lookups!$B$86</f>
        <v>68183.964430260006</v>
      </c>
      <c r="AW17" s="25">
        <f>Inventory[[#This Row],[UpprFn]]*Lookups!$B$87</f>
        <v>0</v>
      </c>
      <c r="AX17" s="25">
        <f>Inventory[[#This Row],[AddFn]]*Lookups!$B$88</f>
        <v>0</v>
      </c>
      <c r="AY17" s="25">
        <f>Inventory[[#This Row],[Bsmt]]*Lookups!$B$89</f>
        <v>0</v>
      </c>
      <c r="AZ17" s="25">
        <f>Inventory[[#This Row],[Fixtures]]*Lookups!$B$90</f>
        <v>30336.176841600001</v>
      </c>
      <c r="BA17" s="25">
        <f>Inventory[[#This Row],[WdDeck]]*Lookups!$B$91</f>
        <v>10887.633495252001</v>
      </c>
      <c r="BB17" s="25">
        <f>ROUND(Inventory[[#This Row],[25Det]],-2)</f>
        <v>46300</v>
      </c>
      <c r="BC17" s="25">
        <f>ROUND(SUM(Inventory[[#This Row],[Mdl Qlty]:[Mdl WdDeck]])+Inventory[[#This Row],[Mdl Res Intercept]],-2)</f>
        <v>420500</v>
      </c>
      <c r="BD17" s="25">
        <f>ROUND(Inventory[[#This Row],[Mdl Land Intercept]]+Inventory[[#This Row],[Mdl LnAcres]],-2)</f>
        <v>56600</v>
      </c>
      <c r="BE17" s="25">
        <f>Inventory[[#This Row],[Unadj Res Value]]+Inventory[[#This Row],[Unadj Det Value]]+Inventory[[#This Row],[Unadj Land Value]]</f>
        <v>523400</v>
      </c>
      <c r="BF17" s="36">
        <f>(Inventory[[#This Row],[Unadj Total Value]]-Inventory[[#This Row],[24Final]])/Inventory[[#This Row],[24Final]]</f>
        <v>0.24470868014268729</v>
      </c>
      <c r="BG17" s="25">
        <f>VLOOKUP(Inventory[[#This Row],[Nbhd]],Lookups!$Q$2:$T$4,4,FALSE)</f>
        <v>0.99970000000000003</v>
      </c>
      <c r="BH17" s="25">
        <f>VLOOKUP(Inventory[[#This Row],[Qlty]],Lookups!$O$7:$R$21,4,FALSE)</f>
        <v>1.0088999999999999</v>
      </c>
      <c r="BI17" s="25">
        <f>VLOOKUP(Inventory[[#This Row],[Cnd]],Lookups!$T$7:$W$16,4,FALSE)</f>
        <v>1.0158</v>
      </c>
      <c r="BJ17" s="25">
        <f>VLOOKUP(Inventory[[#This Row],[LivArea Range]],Lookups!$T$25:$W$37,4,FALSE)</f>
        <v>1.0157</v>
      </c>
      <c r="BK17" s="25">
        <f>VLOOKUP(Inventory[[#This Row],[Decade]],Lookups!$O$25:$R$42,4,FALSE)</f>
        <v>1</v>
      </c>
      <c r="BL17" s="25">
        <f>Inventory[[#This Row],[Nbhd Adj]]*0.95</f>
        <v>0.94971499999999998</v>
      </c>
      <c r="BM17" s="25">
        <f>Inventory[[#This Row],[Nbhd Adj]]*Inventory[[#This Row],[Quality Adj]]*Inventory[[#This Row],[Condition Adj]]*Inventory[[#This Row],[Living Area Adj]]*Inventory[[#This Row],[Decade Adj]]*0.95</f>
        <v>0.9885874216212458</v>
      </c>
      <c r="BN17" s="25">
        <f>ROUND(SUM(Inventory[[#This Row],[Mdl Qlty]:[Mdl WdDeck]])+Inventory[[#This Row],[Mdl Res Intercept]]*Inventory[[#This Row],[Res Adj ]],-2)</f>
        <v>420500</v>
      </c>
      <c r="BO17" s="25">
        <f>ROUND(Inventory[[#This Row],[25Det]]*Inventory[[#This Row],[Det/Nbhd Adj]],-2)</f>
        <v>43900</v>
      </c>
      <c r="BP17" s="25">
        <f>Inventory[[#This Row],[Adjusted Res]]+Inventory[[#This Row],[Adj Det ]]</f>
        <v>464400</v>
      </c>
      <c r="BQ17" s="25">
        <f>ROUND((Inventory[[#This Row],[Mdl Land Intercept]]+Inventory[[#This Row],[Mdl LnAcres]])*Inventory[[#This Row],[Det/Nbhd Adj]],-2)</f>
        <v>53800</v>
      </c>
      <c r="BR17" s="25">
        <f>Inventory[[#This Row],[Adjusted Impr Total]]+Inventory[[#This Row],[Adjusted Land Total]]</f>
        <v>518200</v>
      </c>
      <c r="BS17" s="36">
        <f>IFERROR((Inventory[[#This Row],[Adjusted Impr Total]]-Inventory[[#This Row],[24Bldg]])/Inventory[[#This Row],[24Bldg]],0)</f>
        <v>0.35551663747810858</v>
      </c>
      <c r="BT17" s="36">
        <f>(Inventory[[#This Row],[Adjusted Land Total]]-Inventory[[#This Row],[24Lnd]])/Inventory[[#This Row],[24Lnd]]</f>
        <v>-0.30937098844672656</v>
      </c>
      <c r="BU17" s="36">
        <f>(Inventory[[#This Row],[Adjusted Total]]-Inventory[[#This Row],[24Final]])/Inventory[[#This Row],[24Final]]</f>
        <v>0.23234244946492272</v>
      </c>
    </row>
    <row r="18" spans="1:73" x14ac:dyDescent="0.3">
      <c r="A18" s="25">
        <v>2025</v>
      </c>
      <c r="B18" s="26" t="s">
        <v>1205</v>
      </c>
      <c r="C18" s="26">
        <f>LN(Inventory[[#This Row],[Acres]])</f>
        <v>-1.5141277326297755</v>
      </c>
      <c r="D18" s="25">
        <v>0.22</v>
      </c>
      <c r="E18" s="25">
        <v>9452</v>
      </c>
      <c r="F18" s="26" t="s">
        <v>537</v>
      </c>
      <c r="G18" s="26" t="s">
        <v>126</v>
      </c>
      <c r="H18" s="26" t="s">
        <v>349</v>
      </c>
      <c r="I18" s="26" t="s">
        <v>538</v>
      </c>
      <c r="J18" s="26" t="s">
        <v>539</v>
      </c>
      <c r="K18" s="26" t="s">
        <v>241</v>
      </c>
      <c r="L18" s="26" t="s">
        <v>351</v>
      </c>
      <c r="M18" s="26" t="s">
        <v>352</v>
      </c>
      <c r="N18" s="26">
        <v>20</v>
      </c>
      <c r="O18" s="26">
        <f>2024-Inventory[[#This Row],[YrBlt]]</f>
        <v>18</v>
      </c>
      <c r="P18" s="26">
        <f>2024-Inventory[[#This Row],[EffYr]]</f>
        <v>18</v>
      </c>
      <c r="Q18" s="25">
        <v>2006</v>
      </c>
      <c r="R18" s="25">
        <v>2006</v>
      </c>
      <c r="S18" s="25">
        <v>2048</v>
      </c>
      <c r="T18" s="27"/>
      <c r="U18" s="31"/>
      <c r="V18" s="31">
        <f>Inventory[[#This Row],[Bsmt]]-Inventory[[#This Row],[FnBsmt]]</f>
        <v>0</v>
      </c>
      <c r="W18" s="31"/>
      <c r="X18" s="27"/>
      <c r="Y18" s="27">
        <f>Inventory[[#This Row],[MainFn]]+Inventory[[#This Row],[UpprFn]]+Inventory[[#This Row],[FnBsmt]]+Inventory[[#This Row],[AddFn]]</f>
        <v>2048</v>
      </c>
      <c r="Z18" s="27">
        <v>2500</v>
      </c>
      <c r="AA18" s="25">
        <v>10</v>
      </c>
      <c r="AB18" s="27"/>
      <c r="AC18" s="27"/>
      <c r="AD18" s="27"/>
      <c r="AE18" s="27"/>
      <c r="AF18" s="27"/>
      <c r="AG18" s="27"/>
      <c r="AH18" s="27"/>
      <c r="AI18" s="25">
        <v>306819</v>
      </c>
      <c r="AJ18" s="25">
        <v>282273</v>
      </c>
      <c r="AK18" s="25">
        <v>0</v>
      </c>
      <c r="AL18" s="25">
        <v>398800</v>
      </c>
      <c r="AM18" s="25">
        <v>61700</v>
      </c>
      <c r="AN18" s="25">
        <v>337100</v>
      </c>
      <c r="AO18" s="25">
        <v>0</v>
      </c>
      <c r="AP18" s="25">
        <f>Lookups!$B$56*0</f>
        <v>0</v>
      </c>
      <c r="AQ18" s="25">
        <f>Lookups!$B$56*1</f>
        <v>89850.625589999996</v>
      </c>
      <c r="AR18" s="25">
        <f>Lookups!$B$57*Inventory[[#This Row],[LnAcres]]</f>
        <v>-47929.131559187132</v>
      </c>
      <c r="AS18" s="25">
        <f>VLOOKUP(Inventory[[#This Row],[Qlty]],Lookups!$A$62:$E$75,2,FALSE)</f>
        <v>21557.329055999999</v>
      </c>
      <c r="AT18" s="25">
        <f>VLOOKUP(Inventory[[#This Row],[Cnd]],Lookups!$A$76:$E$84,2,FALSE)</f>
        <v>284810.60806</v>
      </c>
      <c r="AU18" s="25">
        <f>Inventory[[#This Row],[EffAge]]*Lookups!$B$85</f>
        <v>-4014.8208090000003</v>
      </c>
      <c r="AV18" s="25">
        <f>Inventory[[#This Row],[MainFn]]*Lookups!$B$86</f>
        <v>101188.955908096</v>
      </c>
      <c r="AW18" s="25">
        <f>Inventory[[#This Row],[UpprFn]]*Lookups!$B$87</f>
        <v>0</v>
      </c>
      <c r="AX18" s="25">
        <f>Inventory[[#This Row],[AddFn]]*Lookups!$B$88</f>
        <v>0</v>
      </c>
      <c r="AY18" s="25">
        <f>Inventory[[#This Row],[Bsmt]]*Lookups!$B$89</f>
        <v>0</v>
      </c>
      <c r="AZ18" s="25">
        <f>Inventory[[#This Row],[Fixtures]]*Lookups!$B$90</f>
        <v>37920.221052000001</v>
      </c>
      <c r="BA18" s="25">
        <f>Inventory[[#This Row],[WdDeck]]*Lookups!$B$91</f>
        <v>0</v>
      </c>
      <c r="BB18" s="25">
        <f>ROUND(Inventory[[#This Row],[25Det]],-2)</f>
        <v>0</v>
      </c>
      <c r="BC18" s="25">
        <f>ROUND(SUM(Inventory[[#This Row],[Mdl Qlty]:[Mdl WdDeck]])+Inventory[[#This Row],[Mdl Res Intercept]],-2)</f>
        <v>441500</v>
      </c>
      <c r="BD18" s="25">
        <f>ROUND(Inventory[[#This Row],[Mdl Land Intercept]]+Inventory[[#This Row],[Mdl LnAcres]],-2)</f>
        <v>41900</v>
      </c>
      <c r="BE18" s="25">
        <f>Inventory[[#This Row],[Unadj Res Value]]+Inventory[[#This Row],[Unadj Det Value]]+Inventory[[#This Row],[Unadj Land Value]]</f>
        <v>483400</v>
      </c>
      <c r="BF18" s="36">
        <f>(Inventory[[#This Row],[Unadj Total Value]]-Inventory[[#This Row],[24Final]])/Inventory[[#This Row],[24Final]]</f>
        <v>0.21213640922768304</v>
      </c>
      <c r="BG18" s="25">
        <f>VLOOKUP(Inventory[[#This Row],[Nbhd]],Lookups!$Q$2:$T$4,4,FALSE)</f>
        <v>0.99970000000000003</v>
      </c>
      <c r="BH18" s="25">
        <f>VLOOKUP(Inventory[[#This Row],[Qlty]],Lookups!$O$7:$R$21,4,FALSE)</f>
        <v>1.0067999999999999</v>
      </c>
      <c r="BI18" s="25">
        <f>VLOOKUP(Inventory[[#This Row],[Cnd]],Lookups!$T$7:$W$16,4,FALSE)</f>
        <v>1.0158</v>
      </c>
      <c r="BJ18" s="25">
        <f>VLOOKUP(Inventory[[#This Row],[LivArea Range]],Lookups!$T$25:$W$37,4,FALSE)</f>
        <v>0.98919999999999997</v>
      </c>
      <c r="BK18" s="25">
        <f>VLOOKUP(Inventory[[#This Row],[Decade]],Lookups!$O$25:$R$42,4,FALSE)</f>
        <v>1</v>
      </c>
      <c r="BL18" s="25">
        <f>Inventory[[#This Row],[Nbhd Adj]]*0.95</f>
        <v>0.94971499999999998</v>
      </c>
      <c r="BM18" s="25">
        <f>Inventory[[#This Row],[Nbhd Adj]]*Inventory[[#This Row],[Quality Adj]]*Inventory[[#This Row],[Condition Adj]]*Inventory[[#This Row],[Living Area Adj]]*Inventory[[#This Row],[Decade Adj]]*0.95</f>
        <v>0.96079076593870016</v>
      </c>
      <c r="BN18" s="25">
        <f>ROUND(SUM(Inventory[[#This Row],[Mdl Qlty]:[Mdl WdDeck]])+Inventory[[#This Row],[Mdl Res Intercept]]*Inventory[[#This Row],[Res Adj ]],-2)</f>
        <v>441500</v>
      </c>
      <c r="BO18" s="25">
        <f>ROUND(Inventory[[#This Row],[25Det]]*Inventory[[#This Row],[Det/Nbhd Adj]],-2)</f>
        <v>0</v>
      </c>
      <c r="BP18" s="25">
        <f>Inventory[[#This Row],[Adjusted Res]]+Inventory[[#This Row],[Adj Det ]]</f>
        <v>441500</v>
      </c>
      <c r="BQ18" s="25">
        <f>ROUND((Inventory[[#This Row],[Mdl Land Intercept]]+Inventory[[#This Row],[Mdl LnAcres]])*Inventory[[#This Row],[Det/Nbhd Adj]],-2)</f>
        <v>39800</v>
      </c>
      <c r="BR18" s="25">
        <f>Inventory[[#This Row],[Adjusted Impr Total]]+Inventory[[#This Row],[Adjusted Land Total]]</f>
        <v>481300</v>
      </c>
      <c r="BS18" s="36">
        <f>IFERROR((Inventory[[#This Row],[Adjusted Impr Total]]-Inventory[[#This Row],[24Bldg]])/Inventory[[#This Row],[24Bldg]],0)</f>
        <v>0.30970038564224267</v>
      </c>
      <c r="BT18" s="36">
        <f>(Inventory[[#This Row],[Adjusted Land Total]]-Inventory[[#This Row],[24Lnd]])/Inventory[[#This Row],[24Lnd]]</f>
        <v>-0.35494327390599678</v>
      </c>
      <c r="BU18" s="36">
        <f>(Inventory[[#This Row],[Adjusted Total]]-Inventory[[#This Row],[24Final]])/Inventory[[#This Row],[24Final]]</f>
        <v>0.20687061183550651</v>
      </c>
    </row>
    <row r="19" spans="1:73" x14ac:dyDescent="0.3">
      <c r="A19" s="25">
        <v>2025</v>
      </c>
      <c r="B19" s="26" t="s">
        <v>2614</v>
      </c>
      <c r="C19" s="26">
        <f>LN(Inventory[[#This Row],[Acres]])</f>
        <v>-1.7719568419318752</v>
      </c>
      <c r="D19" s="25">
        <v>0.17</v>
      </c>
      <c r="E19" s="25">
        <v>7348</v>
      </c>
      <c r="F19" s="26" t="s">
        <v>537</v>
      </c>
      <c r="G19" s="26" t="s">
        <v>126</v>
      </c>
      <c r="H19" s="26" t="s">
        <v>349</v>
      </c>
      <c r="I19" s="26" t="s">
        <v>538</v>
      </c>
      <c r="J19" s="26" t="s">
        <v>539</v>
      </c>
      <c r="K19" s="26" t="s">
        <v>242</v>
      </c>
      <c r="L19" s="26" t="s">
        <v>351</v>
      </c>
      <c r="M19" s="26" t="s">
        <v>352</v>
      </c>
      <c r="N19" s="26">
        <v>20</v>
      </c>
      <c r="O19" s="26">
        <f>2024-Inventory[[#This Row],[YrBlt]]</f>
        <v>18</v>
      </c>
      <c r="P19" s="26">
        <f>2024-Inventory[[#This Row],[EffYr]]</f>
        <v>18</v>
      </c>
      <c r="Q19" s="25">
        <v>2006</v>
      </c>
      <c r="R19" s="25">
        <v>2006</v>
      </c>
      <c r="S19" s="25">
        <v>1536</v>
      </c>
      <c r="T19" s="32">
        <v>480</v>
      </c>
      <c r="U19" s="27"/>
      <c r="V19" s="27">
        <f>Inventory[[#This Row],[Bsmt]]-Inventory[[#This Row],[FnBsmt]]</f>
        <v>0</v>
      </c>
      <c r="W19" s="27"/>
      <c r="X19" s="27"/>
      <c r="Y19" s="27">
        <f>Inventory[[#This Row],[MainFn]]+Inventory[[#This Row],[UpprFn]]+Inventory[[#This Row],[FnBsmt]]+Inventory[[#This Row],[AddFn]]</f>
        <v>2016</v>
      </c>
      <c r="Z19" s="27">
        <v>2500</v>
      </c>
      <c r="AA19" s="25">
        <v>9</v>
      </c>
      <c r="AB19" s="31"/>
      <c r="AC19" s="27"/>
      <c r="AD19" s="27"/>
      <c r="AE19" s="27"/>
      <c r="AF19" s="27"/>
      <c r="AG19" s="27"/>
      <c r="AH19" s="27"/>
      <c r="AI19" s="25">
        <v>295731</v>
      </c>
      <c r="AJ19" s="25">
        <v>272073</v>
      </c>
      <c r="AK19" s="25">
        <v>0</v>
      </c>
      <c r="AL19" s="25">
        <v>389600</v>
      </c>
      <c r="AM19" s="25">
        <v>52700</v>
      </c>
      <c r="AN19" s="25">
        <v>336900</v>
      </c>
      <c r="AO19" s="25">
        <v>0</v>
      </c>
      <c r="AP19" s="25">
        <f>Lookups!$B$56*0</f>
        <v>0</v>
      </c>
      <c r="AQ19" s="25">
        <f>Lookups!$B$56*1</f>
        <v>89850.625589999996</v>
      </c>
      <c r="AR19" s="25">
        <f>Lookups!$B$57*Inventory[[#This Row],[LnAcres]]</f>
        <v>-56090.612940989391</v>
      </c>
      <c r="AS19" s="25">
        <f>VLOOKUP(Inventory[[#This Row],[Qlty]],Lookups!$A$62:$E$75,2,FALSE)</f>
        <v>21557.329055999999</v>
      </c>
      <c r="AT19" s="25">
        <f>VLOOKUP(Inventory[[#This Row],[Cnd]],Lookups!$A$76:$E$84,2,FALSE)</f>
        <v>284810.60806</v>
      </c>
      <c r="AU19" s="25">
        <f>Inventory[[#This Row],[EffAge]]*Lookups!$B$85</f>
        <v>-4014.8208090000003</v>
      </c>
      <c r="AV19" s="25">
        <f>Inventory[[#This Row],[MainFn]]*Lookups!$B$86</f>
        <v>75891.716931072006</v>
      </c>
      <c r="AW19" s="25">
        <f>Inventory[[#This Row],[UpprFn]]*Lookups!$B$87</f>
        <v>21497.482973279999</v>
      </c>
      <c r="AX19" s="25">
        <f>Inventory[[#This Row],[AddFn]]*Lookups!$B$88</f>
        <v>0</v>
      </c>
      <c r="AY19" s="25">
        <f>Inventory[[#This Row],[Bsmt]]*Lookups!$B$89</f>
        <v>0</v>
      </c>
      <c r="AZ19" s="25">
        <f>Inventory[[#This Row],[Fixtures]]*Lookups!$B$90</f>
        <v>34128.198946800003</v>
      </c>
      <c r="BA19" s="25">
        <f>Inventory[[#This Row],[WdDeck]]*Lookups!$B$91</f>
        <v>0</v>
      </c>
      <c r="BB19" s="25">
        <f>ROUND(Inventory[[#This Row],[25Det]],-2)</f>
        <v>0</v>
      </c>
      <c r="BC19" s="25">
        <f>ROUND(SUM(Inventory[[#This Row],[Mdl Qlty]:[Mdl WdDeck]])+Inventory[[#This Row],[Mdl Res Intercept]],-2)</f>
        <v>433900</v>
      </c>
      <c r="BD19" s="25">
        <f>ROUND(Inventory[[#This Row],[Mdl Land Intercept]]+Inventory[[#This Row],[Mdl LnAcres]],-2)</f>
        <v>33800</v>
      </c>
      <c r="BE19" s="25">
        <f>Inventory[[#This Row],[Unadj Res Value]]+Inventory[[#This Row],[Unadj Det Value]]+Inventory[[#This Row],[Unadj Land Value]]</f>
        <v>467700</v>
      </c>
      <c r="BF19" s="36">
        <f>(Inventory[[#This Row],[Unadj Total Value]]-Inventory[[#This Row],[24Final]])/Inventory[[#This Row],[24Final]]</f>
        <v>0.20046201232032854</v>
      </c>
      <c r="BG19" s="25">
        <f>VLOOKUP(Inventory[[#This Row],[Nbhd]],Lookups!$Q$2:$T$4,4,FALSE)</f>
        <v>0.99970000000000003</v>
      </c>
      <c r="BH19" s="25">
        <f>VLOOKUP(Inventory[[#This Row],[Qlty]],Lookups!$O$7:$R$21,4,FALSE)</f>
        <v>1.0067999999999999</v>
      </c>
      <c r="BI19" s="25">
        <f>VLOOKUP(Inventory[[#This Row],[Cnd]],Lookups!$T$7:$W$16,4,FALSE)</f>
        <v>1.0158</v>
      </c>
      <c r="BJ19" s="25">
        <f>VLOOKUP(Inventory[[#This Row],[LivArea Range]],Lookups!$T$25:$W$37,4,FALSE)</f>
        <v>0.98919999999999997</v>
      </c>
      <c r="BK19" s="25">
        <f>VLOOKUP(Inventory[[#This Row],[Decade]],Lookups!$O$25:$R$42,4,FALSE)</f>
        <v>1</v>
      </c>
      <c r="BL19" s="25">
        <f>Inventory[[#This Row],[Nbhd Adj]]*0.95</f>
        <v>0.94971499999999998</v>
      </c>
      <c r="BM19" s="25">
        <f>Inventory[[#This Row],[Nbhd Adj]]*Inventory[[#This Row],[Quality Adj]]*Inventory[[#This Row],[Condition Adj]]*Inventory[[#This Row],[Living Area Adj]]*Inventory[[#This Row],[Decade Adj]]*0.95</f>
        <v>0.96079076593870016</v>
      </c>
      <c r="BN19" s="25">
        <f>ROUND(SUM(Inventory[[#This Row],[Mdl Qlty]:[Mdl WdDeck]])+Inventory[[#This Row],[Mdl Res Intercept]]*Inventory[[#This Row],[Res Adj ]],-2)</f>
        <v>433900</v>
      </c>
      <c r="BO19" s="25">
        <f>ROUND(Inventory[[#This Row],[25Det]]*Inventory[[#This Row],[Det/Nbhd Adj]],-2)</f>
        <v>0</v>
      </c>
      <c r="BP19" s="25">
        <f>Inventory[[#This Row],[Adjusted Res]]+Inventory[[#This Row],[Adj Det ]]</f>
        <v>433900</v>
      </c>
      <c r="BQ19" s="25">
        <f>ROUND((Inventory[[#This Row],[Mdl Land Intercept]]+Inventory[[#This Row],[Mdl LnAcres]])*Inventory[[#This Row],[Det/Nbhd Adj]],-2)</f>
        <v>32100</v>
      </c>
      <c r="BR19" s="25">
        <f>Inventory[[#This Row],[Adjusted Impr Total]]+Inventory[[#This Row],[Adjusted Land Total]]</f>
        <v>466000</v>
      </c>
      <c r="BS19" s="36">
        <f>IFERROR((Inventory[[#This Row],[Adjusted Impr Total]]-Inventory[[#This Row],[24Bldg]])/Inventory[[#This Row],[24Bldg]],0)</f>
        <v>0.28791926387652123</v>
      </c>
      <c r="BT19" s="36">
        <f>(Inventory[[#This Row],[Adjusted Land Total]]-Inventory[[#This Row],[24Lnd]])/Inventory[[#This Row],[24Lnd]]</f>
        <v>-0.39089184060721061</v>
      </c>
      <c r="BU19" s="36">
        <f>(Inventory[[#This Row],[Adjusted Total]]-Inventory[[#This Row],[24Final]])/Inventory[[#This Row],[24Final]]</f>
        <v>0.19609856262833675</v>
      </c>
    </row>
    <row r="20" spans="1:73" x14ac:dyDescent="0.3">
      <c r="A20" s="25">
        <v>2025</v>
      </c>
      <c r="B20" s="26" t="s">
        <v>1504</v>
      </c>
      <c r="C20" s="26">
        <f>LN(Inventory[[#This Row],[Acres]])</f>
        <v>-2.120263536200091</v>
      </c>
      <c r="D20" s="25">
        <v>0.12</v>
      </c>
      <c r="E20" s="25">
        <v>5162</v>
      </c>
      <c r="F20" s="26" t="s">
        <v>537</v>
      </c>
      <c r="G20" s="26" t="s">
        <v>126</v>
      </c>
      <c r="H20" s="26" t="s">
        <v>349</v>
      </c>
      <c r="I20" s="26" t="s">
        <v>538</v>
      </c>
      <c r="J20" s="26" t="s">
        <v>586</v>
      </c>
      <c r="K20" s="26" t="s">
        <v>592</v>
      </c>
      <c r="L20" s="26" t="s">
        <v>302</v>
      </c>
      <c r="M20" s="26" t="s">
        <v>303</v>
      </c>
      <c r="N20" s="26">
        <v>20</v>
      </c>
      <c r="O20" s="26">
        <f>2024-Inventory[[#This Row],[YrBlt]]</f>
        <v>19</v>
      </c>
      <c r="P20" s="26">
        <f>2024-Inventory[[#This Row],[EffYr]]</f>
        <v>19</v>
      </c>
      <c r="Q20" s="25">
        <v>2005</v>
      </c>
      <c r="R20" s="25">
        <v>2005</v>
      </c>
      <c r="S20" s="25">
        <v>1555</v>
      </c>
      <c r="T20" s="27"/>
      <c r="U20" s="27"/>
      <c r="V20" s="27">
        <f>Inventory[[#This Row],[Bsmt]]-Inventory[[#This Row],[FnBsmt]]</f>
        <v>0</v>
      </c>
      <c r="W20" s="27"/>
      <c r="X20" s="27"/>
      <c r="Y20" s="27">
        <f>Inventory[[#This Row],[MainFn]]+Inventory[[#This Row],[UpprFn]]+Inventory[[#This Row],[FnBsmt]]+Inventory[[#This Row],[AddFn]]</f>
        <v>1555</v>
      </c>
      <c r="Z20" s="27">
        <v>2000</v>
      </c>
      <c r="AA20" s="25">
        <v>8</v>
      </c>
      <c r="AB20" s="25">
        <v>412</v>
      </c>
      <c r="AC20" s="27"/>
      <c r="AD20" s="27"/>
      <c r="AE20" s="27"/>
      <c r="AF20" s="27"/>
      <c r="AG20" s="27"/>
      <c r="AH20" s="27"/>
      <c r="AI20" s="25">
        <v>301427</v>
      </c>
      <c r="AJ20" s="25">
        <v>274299</v>
      </c>
      <c r="AK20" s="25">
        <v>0</v>
      </c>
      <c r="AL20" s="25">
        <v>271100</v>
      </c>
      <c r="AM20" s="25">
        <v>39900</v>
      </c>
      <c r="AN20" s="25">
        <v>231200</v>
      </c>
      <c r="AO20" s="25">
        <v>0</v>
      </c>
      <c r="AP20" s="25">
        <f>Lookups!$B$56*0</f>
        <v>0</v>
      </c>
      <c r="AQ20" s="25">
        <f>Lookups!$B$56*1</f>
        <v>89850.625589999996</v>
      </c>
      <c r="AR20" s="25">
        <f>Lookups!$B$57*Inventory[[#This Row],[LnAcres]]</f>
        <v>-67116.12750806773</v>
      </c>
      <c r="AS20" s="25">
        <f>VLOOKUP(Inventory[[#This Row],[Qlty]],Lookups!$A$62:$E$75,2,FALSE)</f>
        <v>29814.093161000001</v>
      </c>
      <c r="AT20" s="25">
        <f>VLOOKUP(Inventory[[#This Row],[Cnd]],Lookups!$A$76:$E$84,2,FALSE)</f>
        <v>197752.34721000001</v>
      </c>
      <c r="AU20" s="25">
        <f>Inventory[[#This Row],[EffAge]]*Lookups!$B$85</f>
        <v>-4237.8664095000004</v>
      </c>
      <c r="AV20" s="25">
        <f>Inventory[[#This Row],[MainFn]]*Lookups!$B$86</f>
        <v>76830.481658735007</v>
      </c>
      <c r="AW20" s="25">
        <f>Inventory[[#This Row],[UpprFn]]*Lookups!$B$87</f>
        <v>0</v>
      </c>
      <c r="AX20" s="25">
        <f>Inventory[[#This Row],[AddFn]]*Lookups!$B$88</f>
        <v>0</v>
      </c>
      <c r="AY20" s="25">
        <f>Inventory[[#This Row],[Bsmt]]*Lookups!$B$89</f>
        <v>0</v>
      </c>
      <c r="AZ20" s="25">
        <f>Inventory[[#This Row],[Fixtures]]*Lookups!$B$90</f>
        <v>30336.176841600001</v>
      </c>
      <c r="BA20" s="25">
        <f>Inventory[[#This Row],[WdDeck]]*Lookups!$B$91</f>
        <v>0</v>
      </c>
      <c r="BB20" s="25">
        <f>ROUND(Inventory[[#This Row],[25Det]],-2)</f>
        <v>0</v>
      </c>
      <c r="BC20" s="25">
        <f>ROUND(SUM(Inventory[[#This Row],[Mdl Qlty]:[Mdl WdDeck]])+Inventory[[#This Row],[Mdl Res Intercept]],-2)</f>
        <v>330500</v>
      </c>
      <c r="BD20" s="25">
        <f>ROUND(Inventory[[#This Row],[Mdl Land Intercept]]+Inventory[[#This Row],[Mdl LnAcres]],-2)</f>
        <v>22700</v>
      </c>
      <c r="BE20" s="25">
        <f>Inventory[[#This Row],[Unadj Res Value]]+Inventory[[#This Row],[Unadj Det Value]]+Inventory[[#This Row],[Unadj Land Value]]</f>
        <v>353200</v>
      </c>
      <c r="BF20" s="36">
        <f>(Inventory[[#This Row],[Unadj Total Value]]-Inventory[[#This Row],[24Final]])/Inventory[[#This Row],[24Final]]</f>
        <v>0.30284028033935817</v>
      </c>
      <c r="BG20" s="25">
        <f>VLOOKUP(Inventory[[#This Row],[Nbhd]],Lookups!$Q$2:$T$4,4,FALSE)</f>
        <v>0.99970000000000003</v>
      </c>
      <c r="BH20" s="25">
        <f>VLOOKUP(Inventory[[#This Row],[Qlty]],Lookups!$O$7:$R$21,4,FALSE)</f>
        <v>1.0088999999999999</v>
      </c>
      <c r="BI20" s="25">
        <f>VLOOKUP(Inventory[[#This Row],[Cnd]],Lookups!$T$7:$W$16,4,FALSE)</f>
        <v>0.99650000000000005</v>
      </c>
      <c r="BJ20" s="25">
        <f>VLOOKUP(Inventory[[#This Row],[LivArea Range]],Lookups!$T$25:$W$37,4,FALSE)</f>
        <v>1.0093000000000001</v>
      </c>
      <c r="BK20" s="25">
        <f>VLOOKUP(Inventory[[#This Row],[Decade]],Lookups!$O$25:$R$42,4,FALSE)</f>
        <v>1</v>
      </c>
      <c r="BL20" s="25">
        <f>Inventory[[#This Row],[Nbhd Adj]]*0.95</f>
        <v>0.94971499999999998</v>
      </c>
      <c r="BM20" s="25">
        <f>Inventory[[#This Row],[Nbhd Adj]]*Inventory[[#This Row],[Quality Adj]]*Inventory[[#This Row],[Condition Adj]]*Inventory[[#This Row],[Living Area Adj]]*Inventory[[#This Row],[Decade Adj]]*0.95</f>
        <v>0.96369364643736299</v>
      </c>
      <c r="BN20" s="25">
        <f>ROUND(SUM(Inventory[[#This Row],[Mdl Qlty]:[Mdl WdDeck]])+Inventory[[#This Row],[Mdl Res Intercept]]*Inventory[[#This Row],[Res Adj ]],-2)</f>
        <v>330500</v>
      </c>
      <c r="BO20" s="25">
        <f>ROUND(Inventory[[#This Row],[25Det]]*Inventory[[#This Row],[Det/Nbhd Adj]],-2)</f>
        <v>0</v>
      </c>
      <c r="BP20" s="25">
        <f>Inventory[[#This Row],[Adjusted Res]]+Inventory[[#This Row],[Adj Det ]]</f>
        <v>330500</v>
      </c>
      <c r="BQ20" s="25">
        <f>ROUND((Inventory[[#This Row],[Mdl Land Intercept]]+Inventory[[#This Row],[Mdl LnAcres]])*Inventory[[#This Row],[Det/Nbhd Adj]],-2)</f>
        <v>21600</v>
      </c>
      <c r="BR20" s="25">
        <f>Inventory[[#This Row],[Adjusted Impr Total]]+Inventory[[#This Row],[Adjusted Land Total]]</f>
        <v>352100</v>
      </c>
      <c r="BS20" s="36">
        <f>IFERROR((Inventory[[#This Row],[Adjusted Impr Total]]-Inventory[[#This Row],[24Bldg]])/Inventory[[#This Row],[24Bldg]],0)</f>
        <v>0.42949826989619377</v>
      </c>
      <c r="BT20" s="36">
        <f>(Inventory[[#This Row],[Adjusted Land Total]]-Inventory[[#This Row],[24Lnd]])/Inventory[[#This Row],[24Lnd]]</f>
        <v>-0.45864661654135336</v>
      </c>
      <c r="BU20" s="36">
        <f>(Inventory[[#This Row],[Adjusted Total]]-Inventory[[#This Row],[24Final]])/Inventory[[#This Row],[24Final]]</f>
        <v>0.29878273699741792</v>
      </c>
    </row>
    <row r="21" spans="1:73" x14ac:dyDescent="0.3">
      <c r="A21" s="25">
        <v>2025</v>
      </c>
      <c r="B21" s="26" t="s">
        <v>1505</v>
      </c>
      <c r="C21" s="26">
        <f>LN(Inventory[[#This Row],[Acres]])</f>
        <v>-2.120263536200091</v>
      </c>
      <c r="D21" s="25">
        <v>0.12</v>
      </c>
      <c r="E21" s="25">
        <v>5221</v>
      </c>
      <c r="F21" s="26" t="s">
        <v>537</v>
      </c>
      <c r="G21" s="26" t="s">
        <v>126</v>
      </c>
      <c r="H21" s="26" t="s">
        <v>349</v>
      </c>
      <c r="I21" s="26" t="s">
        <v>538</v>
      </c>
      <c r="J21" s="26" t="s">
        <v>586</v>
      </c>
      <c r="K21" s="26" t="s">
        <v>592</v>
      </c>
      <c r="L21" s="26" t="s">
        <v>302</v>
      </c>
      <c r="M21" s="26" t="s">
        <v>303</v>
      </c>
      <c r="N21" s="26">
        <v>20</v>
      </c>
      <c r="O21" s="26">
        <f>2024-Inventory[[#This Row],[YrBlt]]</f>
        <v>19</v>
      </c>
      <c r="P21" s="26">
        <f>2024-Inventory[[#This Row],[EffYr]]</f>
        <v>19</v>
      </c>
      <c r="Q21" s="25">
        <v>2005</v>
      </c>
      <c r="R21" s="25">
        <v>2005</v>
      </c>
      <c r="S21" s="25">
        <v>1557</v>
      </c>
      <c r="T21" s="27"/>
      <c r="U21" s="31"/>
      <c r="V21" s="31">
        <f>Inventory[[#This Row],[Bsmt]]-Inventory[[#This Row],[FnBsmt]]</f>
        <v>0</v>
      </c>
      <c r="W21" s="31"/>
      <c r="X21" s="27"/>
      <c r="Y21" s="27">
        <f>Inventory[[#This Row],[MainFn]]+Inventory[[#This Row],[UpprFn]]+Inventory[[#This Row],[FnBsmt]]+Inventory[[#This Row],[AddFn]]</f>
        <v>1557</v>
      </c>
      <c r="Z21" s="27">
        <v>2000</v>
      </c>
      <c r="AA21" s="25">
        <v>8</v>
      </c>
      <c r="AB21" s="25">
        <v>450</v>
      </c>
      <c r="AC21" s="27"/>
      <c r="AD21" s="27"/>
      <c r="AE21" s="27"/>
      <c r="AF21" s="27"/>
      <c r="AG21" s="27"/>
      <c r="AH21" s="27"/>
      <c r="AI21" s="25">
        <v>303289</v>
      </c>
      <c r="AJ21" s="25">
        <v>275993</v>
      </c>
      <c r="AK21" s="25">
        <v>0</v>
      </c>
      <c r="AL21" s="25">
        <v>272600</v>
      </c>
      <c r="AM21" s="25">
        <v>40000</v>
      </c>
      <c r="AN21" s="25">
        <v>232600</v>
      </c>
      <c r="AO21" s="25">
        <v>0</v>
      </c>
      <c r="AP21" s="25">
        <f>Lookups!$B$56*0</f>
        <v>0</v>
      </c>
      <c r="AQ21" s="25">
        <f>Lookups!$B$56*1</f>
        <v>89850.625589999996</v>
      </c>
      <c r="AR21" s="25">
        <f>Lookups!$B$57*Inventory[[#This Row],[LnAcres]]</f>
        <v>-67116.12750806773</v>
      </c>
      <c r="AS21" s="25">
        <f>VLOOKUP(Inventory[[#This Row],[Qlty]],Lookups!$A$62:$E$75,2,FALSE)</f>
        <v>29814.093161000001</v>
      </c>
      <c r="AT21" s="25">
        <f>VLOOKUP(Inventory[[#This Row],[Cnd]],Lookups!$A$76:$E$84,2,FALSE)</f>
        <v>197752.34721000001</v>
      </c>
      <c r="AU21" s="25">
        <f>Inventory[[#This Row],[EffAge]]*Lookups!$B$85</f>
        <v>-4237.8664095000004</v>
      </c>
      <c r="AV21" s="25">
        <f>Inventory[[#This Row],[MainFn]]*Lookups!$B$86</f>
        <v>76929.298998489001</v>
      </c>
      <c r="AW21" s="25">
        <f>Inventory[[#This Row],[UpprFn]]*Lookups!$B$87</f>
        <v>0</v>
      </c>
      <c r="AX21" s="25">
        <f>Inventory[[#This Row],[AddFn]]*Lookups!$B$88</f>
        <v>0</v>
      </c>
      <c r="AY21" s="25">
        <f>Inventory[[#This Row],[Bsmt]]*Lookups!$B$89</f>
        <v>0</v>
      </c>
      <c r="AZ21" s="25">
        <f>Inventory[[#This Row],[Fixtures]]*Lookups!$B$90</f>
        <v>30336.176841600001</v>
      </c>
      <c r="BA21" s="25">
        <f>Inventory[[#This Row],[WdDeck]]*Lookups!$B$91</f>
        <v>0</v>
      </c>
      <c r="BB21" s="25">
        <f>ROUND(Inventory[[#This Row],[25Det]],-2)</f>
        <v>0</v>
      </c>
      <c r="BC21" s="25">
        <f>ROUND(SUM(Inventory[[#This Row],[Mdl Qlty]:[Mdl WdDeck]])+Inventory[[#This Row],[Mdl Res Intercept]],-2)</f>
        <v>330600</v>
      </c>
      <c r="BD21" s="25">
        <f>ROUND(Inventory[[#This Row],[Mdl Land Intercept]]+Inventory[[#This Row],[Mdl LnAcres]],-2)</f>
        <v>22700</v>
      </c>
      <c r="BE21" s="25">
        <f>Inventory[[#This Row],[Unadj Res Value]]+Inventory[[#This Row],[Unadj Det Value]]+Inventory[[#This Row],[Unadj Land Value]]</f>
        <v>353300</v>
      </c>
      <c r="BF21" s="36">
        <f>(Inventory[[#This Row],[Unadj Total Value]]-Inventory[[#This Row],[24Final]])/Inventory[[#This Row],[24Final]]</f>
        <v>0.29603815113719734</v>
      </c>
      <c r="BG21" s="25">
        <f>VLOOKUP(Inventory[[#This Row],[Nbhd]],Lookups!$Q$2:$T$4,4,FALSE)</f>
        <v>0.99970000000000003</v>
      </c>
      <c r="BH21" s="25">
        <f>VLOOKUP(Inventory[[#This Row],[Qlty]],Lookups!$O$7:$R$21,4,FALSE)</f>
        <v>1.0088999999999999</v>
      </c>
      <c r="BI21" s="25">
        <f>VLOOKUP(Inventory[[#This Row],[Cnd]],Lookups!$T$7:$W$16,4,FALSE)</f>
        <v>0.99650000000000005</v>
      </c>
      <c r="BJ21" s="25">
        <f>VLOOKUP(Inventory[[#This Row],[LivArea Range]],Lookups!$T$25:$W$37,4,FALSE)</f>
        <v>1.0093000000000001</v>
      </c>
      <c r="BK21" s="25">
        <f>VLOOKUP(Inventory[[#This Row],[Decade]],Lookups!$O$25:$R$42,4,FALSE)</f>
        <v>1</v>
      </c>
      <c r="BL21" s="25">
        <f>Inventory[[#This Row],[Nbhd Adj]]*0.95</f>
        <v>0.94971499999999998</v>
      </c>
      <c r="BM21" s="25">
        <f>Inventory[[#This Row],[Nbhd Adj]]*Inventory[[#This Row],[Quality Adj]]*Inventory[[#This Row],[Condition Adj]]*Inventory[[#This Row],[Living Area Adj]]*Inventory[[#This Row],[Decade Adj]]*0.95</f>
        <v>0.96369364643736299</v>
      </c>
      <c r="BN21" s="25">
        <f>ROUND(SUM(Inventory[[#This Row],[Mdl Qlty]:[Mdl WdDeck]])+Inventory[[#This Row],[Mdl Res Intercept]]*Inventory[[#This Row],[Res Adj ]],-2)</f>
        <v>330600</v>
      </c>
      <c r="BO21" s="25">
        <f>ROUND(Inventory[[#This Row],[25Det]]*Inventory[[#This Row],[Det/Nbhd Adj]],-2)</f>
        <v>0</v>
      </c>
      <c r="BP21" s="25">
        <f>Inventory[[#This Row],[Adjusted Res]]+Inventory[[#This Row],[Adj Det ]]</f>
        <v>330600</v>
      </c>
      <c r="BQ21" s="25">
        <f>ROUND((Inventory[[#This Row],[Mdl Land Intercept]]+Inventory[[#This Row],[Mdl LnAcres]])*Inventory[[#This Row],[Det/Nbhd Adj]],-2)</f>
        <v>21600</v>
      </c>
      <c r="BR21" s="25">
        <f>Inventory[[#This Row],[Adjusted Impr Total]]+Inventory[[#This Row],[Adjusted Land Total]]</f>
        <v>352200</v>
      </c>
      <c r="BS21" s="36">
        <f>IFERROR((Inventory[[#This Row],[Adjusted Impr Total]]-Inventory[[#This Row],[24Bldg]])/Inventory[[#This Row],[24Bldg]],0)</f>
        <v>0.42132416165090286</v>
      </c>
      <c r="BT21" s="36">
        <f>(Inventory[[#This Row],[Adjusted Land Total]]-Inventory[[#This Row],[24Lnd]])/Inventory[[#This Row],[24Lnd]]</f>
        <v>-0.46</v>
      </c>
      <c r="BU21" s="36">
        <f>(Inventory[[#This Row],[Adjusted Total]]-Inventory[[#This Row],[24Final]])/Inventory[[#This Row],[24Final]]</f>
        <v>0.29200293470286132</v>
      </c>
    </row>
    <row r="22" spans="1:73" x14ac:dyDescent="0.3">
      <c r="A22" s="25">
        <v>2025</v>
      </c>
      <c r="B22" s="26" t="s">
        <v>1507</v>
      </c>
      <c r="C22" s="26">
        <f>LN(Inventory[[#This Row],[Acres]])</f>
        <v>-2.0402208285265546</v>
      </c>
      <c r="D22" s="25">
        <v>0.13</v>
      </c>
      <c r="E22" s="25">
        <v>5568</v>
      </c>
      <c r="F22" s="26" t="s">
        <v>537</v>
      </c>
      <c r="G22" s="26" t="s">
        <v>126</v>
      </c>
      <c r="H22" s="26" t="s">
        <v>349</v>
      </c>
      <c r="I22" s="26" t="s">
        <v>538</v>
      </c>
      <c r="J22" s="26" t="s">
        <v>586</v>
      </c>
      <c r="K22" s="26" t="s">
        <v>592</v>
      </c>
      <c r="L22" s="26" t="s">
        <v>302</v>
      </c>
      <c r="M22" s="26" t="s">
        <v>303</v>
      </c>
      <c r="N22" s="26">
        <v>20</v>
      </c>
      <c r="O22" s="26">
        <f>2024-Inventory[[#This Row],[YrBlt]]</f>
        <v>19</v>
      </c>
      <c r="P22" s="26">
        <f>2024-Inventory[[#This Row],[EffYr]]</f>
        <v>19</v>
      </c>
      <c r="Q22" s="25">
        <v>2005</v>
      </c>
      <c r="R22" s="25">
        <v>2005</v>
      </c>
      <c r="S22" s="25">
        <v>1612</v>
      </c>
      <c r="T22" s="27"/>
      <c r="U22" s="31"/>
      <c r="V22" s="31">
        <f>Inventory[[#This Row],[Bsmt]]-Inventory[[#This Row],[FnBsmt]]</f>
        <v>0</v>
      </c>
      <c r="W22" s="31"/>
      <c r="X22" s="27"/>
      <c r="Y22" s="27">
        <f>Inventory[[#This Row],[MainFn]]+Inventory[[#This Row],[UpprFn]]+Inventory[[#This Row],[FnBsmt]]+Inventory[[#This Row],[AddFn]]</f>
        <v>1612</v>
      </c>
      <c r="Z22" s="27">
        <v>2000</v>
      </c>
      <c r="AA22" s="25">
        <v>10</v>
      </c>
      <c r="AB22" s="32">
        <v>572</v>
      </c>
      <c r="AC22" s="27"/>
      <c r="AD22" s="31"/>
      <c r="AE22" s="27"/>
      <c r="AF22" s="27"/>
      <c r="AG22" s="27"/>
      <c r="AH22" s="27"/>
      <c r="AI22" s="25">
        <v>324218</v>
      </c>
      <c r="AJ22" s="25">
        <v>295038</v>
      </c>
      <c r="AK22" s="25">
        <v>0</v>
      </c>
      <c r="AL22" s="25">
        <v>288800</v>
      </c>
      <c r="AM22" s="25">
        <v>40200</v>
      </c>
      <c r="AN22" s="25">
        <v>248600</v>
      </c>
      <c r="AO22" s="25">
        <v>0</v>
      </c>
      <c r="AP22" s="25">
        <f>Lookups!$B$56*0</f>
        <v>0</v>
      </c>
      <c r="AQ22" s="25">
        <f>Lookups!$B$56*1</f>
        <v>89850.625589999996</v>
      </c>
      <c r="AR22" s="25">
        <f>Lookups!$B$57*Inventory[[#This Row],[LnAcres]]</f>
        <v>-64582.406353792743</v>
      </c>
      <c r="AS22" s="25">
        <f>VLOOKUP(Inventory[[#This Row],[Qlty]],Lookups!$A$62:$E$75,2,FALSE)</f>
        <v>29814.093161000001</v>
      </c>
      <c r="AT22" s="25">
        <f>VLOOKUP(Inventory[[#This Row],[Cnd]],Lookups!$A$76:$E$84,2,FALSE)</f>
        <v>197752.34721000001</v>
      </c>
      <c r="AU22" s="25">
        <f>Inventory[[#This Row],[EffAge]]*Lookups!$B$85</f>
        <v>-4237.8664095000004</v>
      </c>
      <c r="AV22" s="25">
        <f>Inventory[[#This Row],[MainFn]]*Lookups!$B$86</f>
        <v>79646.775841723997</v>
      </c>
      <c r="AW22" s="25">
        <f>Inventory[[#This Row],[UpprFn]]*Lookups!$B$87</f>
        <v>0</v>
      </c>
      <c r="AX22" s="25">
        <f>Inventory[[#This Row],[AddFn]]*Lookups!$B$88</f>
        <v>0</v>
      </c>
      <c r="AY22" s="25">
        <f>Inventory[[#This Row],[Bsmt]]*Lookups!$B$89</f>
        <v>0</v>
      </c>
      <c r="AZ22" s="25">
        <f>Inventory[[#This Row],[Fixtures]]*Lookups!$B$90</f>
        <v>37920.221052000001</v>
      </c>
      <c r="BA22" s="25">
        <f>Inventory[[#This Row],[WdDeck]]*Lookups!$B$91</f>
        <v>0</v>
      </c>
      <c r="BB22" s="25">
        <f>ROUND(Inventory[[#This Row],[25Det]],-2)</f>
        <v>0</v>
      </c>
      <c r="BC22" s="25">
        <f>ROUND(SUM(Inventory[[#This Row],[Mdl Qlty]:[Mdl WdDeck]])+Inventory[[#This Row],[Mdl Res Intercept]],-2)</f>
        <v>340900</v>
      </c>
      <c r="BD22" s="25">
        <f>ROUND(Inventory[[#This Row],[Mdl Land Intercept]]+Inventory[[#This Row],[Mdl LnAcres]],-2)</f>
        <v>25300</v>
      </c>
      <c r="BE22" s="25">
        <f>Inventory[[#This Row],[Unadj Res Value]]+Inventory[[#This Row],[Unadj Det Value]]+Inventory[[#This Row],[Unadj Land Value]]</f>
        <v>366200</v>
      </c>
      <c r="BF22" s="36">
        <f>(Inventory[[#This Row],[Unadj Total Value]]-Inventory[[#This Row],[24Final]])/Inventory[[#This Row],[24Final]]</f>
        <v>0.26800554016620498</v>
      </c>
      <c r="BG22" s="25">
        <f>VLOOKUP(Inventory[[#This Row],[Nbhd]],Lookups!$Q$2:$T$4,4,FALSE)</f>
        <v>0.99970000000000003</v>
      </c>
      <c r="BH22" s="25">
        <f>VLOOKUP(Inventory[[#This Row],[Qlty]],Lookups!$O$7:$R$21,4,FALSE)</f>
        <v>1.0088999999999999</v>
      </c>
      <c r="BI22" s="25">
        <f>VLOOKUP(Inventory[[#This Row],[Cnd]],Lookups!$T$7:$W$16,4,FALSE)</f>
        <v>0.99650000000000005</v>
      </c>
      <c r="BJ22" s="25">
        <f>VLOOKUP(Inventory[[#This Row],[LivArea Range]],Lookups!$T$25:$W$37,4,FALSE)</f>
        <v>1.0093000000000001</v>
      </c>
      <c r="BK22" s="25">
        <f>VLOOKUP(Inventory[[#This Row],[Decade]],Lookups!$O$25:$R$42,4,FALSE)</f>
        <v>1</v>
      </c>
      <c r="BL22" s="25">
        <f>Inventory[[#This Row],[Nbhd Adj]]*0.95</f>
        <v>0.94971499999999998</v>
      </c>
      <c r="BM22" s="25">
        <f>Inventory[[#This Row],[Nbhd Adj]]*Inventory[[#This Row],[Quality Adj]]*Inventory[[#This Row],[Condition Adj]]*Inventory[[#This Row],[Living Area Adj]]*Inventory[[#This Row],[Decade Adj]]*0.95</f>
        <v>0.96369364643736299</v>
      </c>
      <c r="BN22" s="25">
        <f>ROUND(SUM(Inventory[[#This Row],[Mdl Qlty]:[Mdl WdDeck]])+Inventory[[#This Row],[Mdl Res Intercept]]*Inventory[[#This Row],[Res Adj ]],-2)</f>
        <v>340900</v>
      </c>
      <c r="BO22" s="25">
        <f>ROUND(Inventory[[#This Row],[25Det]]*Inventory[[#This Row],[Det/Nbhd Adj]],-2)</f>
        <v>0</v>
      </c>
      <c r="BP22" s="25">
        <f>Inventory[[#This Row],[Adjusted Res]]+Inventory[[#This Row],[Adj Det ]]</f>
        <v>340900</v>
      </c>
      <c r="BQ22" s="25">
        <f>ROUND((Inventory[[#This Row],[Mdl Land Intercept]]+Inventory[[#This Row],[Mdl LnAcres]])*Inventory[[#This Row],[Det/Nbhd Adj]],-2)</f>
        <v>24000</v>
      </c>
      <c r="BR22" s="25">
        <f>Inventory[[#This Row],[Adjusted Impr Total]]+Inventory[[#This Row],[Adjusted Land Total]]</f>
        <v>364900</v>
      </c>
      <c r="BS22" s="36">
        <f>IFERROR((Inventory[[#This Row],[Adjusted Impr Total]]-Inventory[[#This Row],[24Bldg]])/Inventory[[#This Row],[24Bldg]],0)</f>
        <v>0.37127916331456157</v>
      </c>
      <c r="BT22" s="36">
        <f>(Inventory[[#This Row],[Adjusted Land Total]]-Inventory[[#This Row],[24Lnd]])/Inventory[[#This Row],[24Lnd]]</f>
        <v>-0.40298507462686567</v>
      </c>
      <c r="BU22" s="36">
        <f>(Inventory[[#This Row],[Adjusted Total]]-Inventory[[#This Row],[24Final]])/Inventory[[#This Row],[24Final]]</f>
        <v>0.26350415512465375</v>
      </c>
    </row>
    <row r="23" spans="1:73" x14ac:dyDescent="0.3">
      <c r="A23" s="25">
        <v>2025</v>
      </c>
      <c r="B23" s="26" t="s">
        <v>1506</v>
      </c>
      <c r="C23" s="26">
        <f>LN(Inventory[[#This Row],[Acres]])</f>
        <v>-2.120263536200091</v>
      </c>
      <c r="D23" s="25">
        <v>0.12</v>
      </c>
      <c r="E23" s="25">
        <v>5115</v>
      </c>
      <c r="F23" s="26" t="s">
        <v>537</v>
      </c>
      <c r="G23" s="26" t="s">
        <v>126</v>
      </c>
      <c r="H23" s="26" t="s">
        <v>349</v>
      </c>
      <c r="I23" s="26" t="s">
        <v>538</v>
      </c>
      <c r="J23" s="26" t="s">
        <v>586</v>
      </c>
      <c r="K23" s="26" t="s">
        <v>592</v>
      </c>
      <c r="L23" s="26" t="s">
        <v>302</v>
      </c>
      <c r="M23" s="26" t="s">
        <v>303</v>
      </c>
      <c r="N23" s="26">
        <v>20</v>
      </c>
      <c r="O23" s="26">
        <f>2024-Inventory[[#This Row],[YrBlt]]</f>
        <v>19</v>
      </c>
      <c r="P23" s="26">
        <f>2024-Inventory[[#This Row],[EffYr]]</f>
        <v>19</v>
      </c>
      <c r="Q23" s="25">
        <v>2005</v>
      </c>
      <c r="R23" s="25">
        <v>2005</v>
      </c>
      <c r="S23" s="25">
        <v>1612</v>
      </c>
      <c r="T23" s="31"/>
      <c r="U23" s="31"/>
      <c r="V23" s="31">
        <f>Inventory[[#This Row],[Bsmt]]-Inventory[[#This Row],[FnBsmt]]</f>
        <v>0</v>
      </c>
      <c r="W23" s="31"/>
      <c r="X23" s="27"/>
      <c r="Y23" s="27">
        <f>Inventory[[#This Row],[MainFn]]+Inventory[[#This Row],[UpprFn]]+Inventory[[#This Row],[FnBsmt]]+Inventory[[#This Row],[AddFn]]</f>
        <v>1612</v>
      </c>
      <c r="Z23" s="27">
        <v>2000</v>
      </c>
      <c r="AA23" s="25">
        <v>10</v>
      </c>
      <c r="AB23" s="32">
        <v>572</v>
      </c>
      <c r="AC23" s="27"/>
      <c r="AD23" s="27"/>
      <c r="AE23" s="27"/>
      <c r="AF23" s="27"/>
      <c r="AG23" s="27"/>
      <c r="AH23" s="27"/>
      <c r="AI23" s="25">
        <v>324218</v>
      </c>
      <c r="AJ23" s="25">
        <v>295038</v>
      </c>
      <c r="AK23" s="25">
        <v>0</v>
      </c>
      <c r="AL23" s="25">
        <v>288400</v>
      </c>
      <c r="AM23" s="25">
        <v>39800</v>
      </c>
      <c r="AN23" s="25">
        <v>248600</v>
      </c>
      <c r="AO23" s="25">
        <v>0</v>
      </c>
      <c r="AP23" s="25">
        <f>Lookups!$B$56*0</f>
        <v>0</v>
      </c>
      <c r="AQ23" s="25">
        <f>Lookups!$B$56*1</f>
        <v>89850.625589999996</v>
      </c>
      <c r="AR23" s="25">
        <f>Lookups!$B$57*Inventory[[#This Row],[LnAcres]]</f>
        <v>-67116.12750806773</v>
      </c>
      <c r="AS23" s="25">
        <f>VLOOKUP(Inventory[[#This Row],[Qlty]],Lookups!$A$62:$E$75,2,FALSE)</f>
        <v>29814.093161000001</v>
      </c>
      <c r="AT23" s="25">
        <f>VLOOKUP(Inventory[[#This Row],[Cnd]],Lookups!$A$76:$E$84,2,FALSE)</f>
        <v>197752.34721000001</v>
      </c>
      <c r="AU23" s="25">
        <f>Inventory[[#This Row],[EffAge]]*Lookups!$B$85</f>
        <v>-4237.8664095000004</v>
      </c>
      <c r="AV23" s="25">
        <f>Inventory[[#This Row],[MainFn]]*Lookups!$B$86</f>
        <v>79646.775841723997</v>
      </c>
      <c r="AW23" s="25">
        <f>Inventory[[#This Row],[UpprFn]]*Lookups!$B$87</f>
        <v>0</v>
      </c>
      <c r="AX23" s="25">
        <f>Inventory[[#This Row],[AddFn]]*Lookups!$B$88</f>
        <v>0</v>
      </c>
      <c r="AY23" s="25">
        <f>Inventory[[#This Row],[Bsmt]]*Lookups!$B$89</f>
        <v>0</v>
      </c>
      <c r="AZ23" s="25">
        <f>Inventory[[#This Row],[Fixtures]]*Lookups!$B$90</f>
        <v>37920.221052000001</v>
      </c>
      <c r="BA23" s="25">
        <f>Inventory[[#This Row],[WdDeck]]*Lookups!$B$91</f>
        <v>0</v>
      </c>
      <c r="BB23" s="25">
        <f>ROUND(Inventory[[#This Row],[25Det]],-2)</f>
        <v>0</v>
      </c>
      <c r="BC23" s="25">
        <f>ROUND(SUM(Inventory[[#This Row],[Mdl Qlty]:[Mdl WdDeck]])+Inventory[[#This Row],[Mdl Res Intercept]],-2)</f>
        <v>340900</v>
      </c>
      <c r="BD23" s="25">
        <f>ROUND(Inventory[[#This Row],[Mdl Land Intercept]]+Inventory[[#This Row],[Mdl LnAcres]],-2)</f>
        <v>22700</v>
      </c>
      <c r="BE23" s="25">
        <f>Inventory[[#This Row],[Unadj Res Value]]+Inventory[[#This Row],[Unadj Det Value]]+Inventory[[#This Row],[Unadj Land Value]]</f>
        <v>363600</v>
      </c>
      <c r="BF23" s="36">
        <f>(Inventory[[#This Row],[Unadj Total Value]]-Inventory[[#This Row],[24Final]])/Inventory[[#This Row],[24Final]]</f>
        <v>0.26074895977808599</v>
      </c>
      <c r="BG23" s="25">
        <f>VLOOKUP(Inventory[[#This Row],[Nbhd]],Lookups!$Q$2:$T$4,4,FALSE)</f>
        <v>0.99970000000000003</v>
      </c>
      <c r="BH23" s="25">
        <f>VLOOKUP(Inventory[[#This Row],[Qlty]],Lookups!$O$7:$R$21,4,FALSE)</f>
        <v>1.0088999999999999</v>
      </c>
      <c r="BI23" s="25">
        <f>VLOOKUP(Inventory[[#This Row],[Cnd]],Lookups!$T$7:$W$16,4,FALSE)</f>
        <v>0.99650000000000005</v>
      </c>
      <c r="BJ23" s="25">
        <f>VLOOKUP(Inventory[[#This Row],[LivArea Range]],Lookups!$T$25:$W$37,4,FALSE)</f>
        <v>1.0093000000000001</v>
      </c>
      <c r="BK23" s="25">
        <f>VLOOKUP(Inventory[[#This Row],[Decade]],Lookups!$O$25:$R$42,4,FALSE)</f>
        <v>1</v>
      </c>
      <c r="BL23" s="25">
        <f>Inventory[[#This Row],[Nbhd Adj]]*0.95</f>
        <v>0.94971499999999998</v>
      </c>
      <c r="BM23" s="25">
        <f>Inventory[[#This Row],[Nbhd Adj]]*Inventory[[#This Row],[Quality Adj]]*Inventory[[#This Row],[Condition Adj]]*Inventory[[#This Row],[Living Area Adj]]*Inventory[[#This Row],[Decade Adj]]*0.95</f>
        <v>0.96369364643736299</v>
      </c>
      <c r="BN23" s="25">
        <f>ROUND(SUM(Inventory[[#This Row],[Mdl Qlty]:[Mdl WdDeck]])+Inventory[[#This Row],[Mdl Res Intercept]]*Inventory[[#This Row],[Res Adj ]],-2)</f>
        <v>340900</v>
      </c>
      <c r="BO23" s="25">
        <f>ROUND(Inventory[[#This Row],[25Det]]*Inventory[[#This Row],[Det/Nbhd Adj]],-2)</f>
        <v>0</v>
      </c>
      <c r="BP23" s="25">
        <f>Inventory[[#This Row],[Adjusted Res]]+Inventory[[#This Row],[Adj Det ]]</f>
        <v>340900</v>
      </c>
      <c r="BQ23" s="25">
        <f>ROUND((Inventory[[#This Row],[Mdl Land Intercept]]+Inventory[[#This Row],[Mdl LnAcres]])*Inventory[[#This Row],[Det/Nbhd Adj]],-2)</f>
        <v>21600</v>
      </c>
      <c r="BR23" s="25">
        <f>Inventory[[#This Row],[Adjusted Impr Total]]+Inventory[[#This Row],[Adjusted Land Total]]</f>
        <v>362500</v>
      </c>
      <c r="BS23" s="36">
        <f>IFERROR((Inventory[[#This Row],[Adjusted Impr Total]]-Inventory[[#This Row],[24Bldg]])/Inventory[[#This Row],[24Bldg]],0)</f>
        <v>0.37127916331456157</v>
      </c>
      <c r="BT23" s="36">
        <f>(Inventory[[#This Row],[Adjusted Land Total]]-Inventory[[#This Row],[24Lnd]])/Inventory[[#This Row],[24Lnd]]</f>
        <v>-0.457286432160804</v>
      </c>
      <c r="BU23" s="36">
        <f>(Inventory[[#This Row],[Adjusted Total]]-Inventory[[#This Row],[24Final]])/Inventory[[#This Row],[24Final]]</f>
        <v>0.25693481276005548</v>
      </c>
    </row>
    <row r="24" spans="1:73" x14ac:dyDescent="0.3">
      <c r="A24" s="25">
        <v>2025</v>
      </c>
      <c r="B24" s="26" t="s">
        <v>591</v>
      </c>
      <c r="C24" s="26">
        <f>LN(Inventory[[#This Row],[Acres]])</f>
        <v>-2.2072749131897207</v>
      </c>
      <c r="D24" s="25">
        <v>0.11</v>
      </c>
      <c r="E24" s="25">
        <v>4584</v>
      </c>
      <c r="F24" s="26" t="s">
        <v>537</v>
      </c>
      <c r="G24" s="26" t="s">
        <v>126</v>
      </c>
      <c r="H24" s="26" t="s">
        <v>349</v>
      </c>
      <c r="I24" s="26" t="s">
        <v>538</v>
      </c>
      <c r="J24" s="26" t="s">
        <v>586</v>
      </c>
      <c r="K24" s="26" t="s">
        <v>592</v>
      </c>
      <c r="L24" s="26" t="s">
        <v>148</v>
      </c>
      <c r="M24" s="26" t="s">
        <v>303</v>
      </c>
      <c r="N24" s="26">
        <v>30</v>
      </c>
      <c r="O24" s="26">
        <f>2024-Inventory[[#This Row],[YrBlt]]</f>
        <v>22</v>
      </c>
      <c r="P24" s="26">
        <f>2024-Inventory[[#This Row],[EffYr]]</f>
        <v>22</v>
      </c>
      <c r="Q24" s="25">
        <v>2002</v>
      </c>
      <c r="R24" s="25">
        <v>2002</v>
      </c>
      <c r="S24" s="25">
        <v>1274</v>
      </c>
      <c r="T24" s="27"/>
      <c r="U24" s="31"/>
      <c r="V24" s="31">
        <f>Inventory[[#This Row],[Bsmt]]-Inventory[[#This Row],[FnBsmt]]</f>
        <v>0</v>
      </c>
      <c r="W24" s="31"/>
      <c r="X24" s="27"/>
      <c r="Y24" s="27">
        <f>Inventory[[#This Row],[MainFn]]+Inventory[[#This Row],[UpprFn]]+Inventory[[#This Row],[FnBsmt]]+Inventory[[#This Row],[AddFn]]</f>
        <v>1274</v>
      </c>
      <c r="Z24" s="27">
        <v>1500</v>
      </c>
      <c r="AA24" s="25">
        <v>8</v>
      </c>
      <c r="AB24" s="32">
        <v>483</v>
      </c>
      <c r="AC24" s="27"/>
      <c r="AD24" s="32">
        <v>181</v>
      </c>
      <c r="AE24" s="27"/>
      <c r="AF24" s="27"/>
      <c r="AG24" s="27"/>
      <c r="AH24" s="27"/>
      <c r="AI24" s="25">
        <v>321599</v>
      </c>
      <c r="AJ24" s="25">
        <v>292655</v>
      </c>
      <c r="AK24" s="25">
        <v>0</v>
      </c>
      <c r="AL24" s="25">
        <v>369000</v>
      </c>
      <c r="AM24" s="25">
        <v>42900</v>
      </c>
      <c r="AN24" s="25">
        <v>326100</v>
      </c>
      <c r="AO24" s="25">
        <v>0</v>
      </c>
      <c r="AP24" s="25">
        <f>Lookups!$B$56*0</f>
        <v>0</v>
      </c>
      <c r="AQ24" s="25">
        <f>Lookups!$B$56*1</f>
        <v>89850.625589999996</v>
      </c>
      <c r="AR24" s="25">
        <f>Lookups!$B$57*Inventory[[#This Row],[LnAcres]]</f>
        <v>-69870.439211769743</v>
      </c>
      <c r="AS24" s="25">
        <f>VLOOKUP(Inventory[[#This Row],[Qlty]],Lookups!$A$62:$E$75,2,FALSE)</f>
        <v>44121.038090000002</v>
      </c>
      <c r="AT24" s="25">
        <f>VLOOKUP(Inventory[[#This Row],[Cnd]],Lookups!$A$76:$E$84,2,FALSE)</f>
        <v>197752.34721000001</v>
      </c>
      <c r="AU24" s="25">
        <f>Inventory[[#This Row],[EffAge]]*Lookups!$B$85</f>
        <v>-4907.0032110000002</v>
      </c>
      <c r="AV24" s="25">
        <f>Inventory[[#This Row],[MainFn]]*Lookups!$B$86</f>
        <v>62946.645423298003</v>
      </c>
      <c r="AW24" s="25">
        <f>Inventory[[#This Row],[UpprFn]]*Lookups!$B$87</f>
        <v>0</v>
      </c>
      <c r="AX24" s="25">
        <f>Inventory[[#This Row],[AddFn]]*Lookups!$B$88</f>
        <v>0</v>
      </c>
      <c r="AY24" s="25">
        <f>Inventory[[#This Row],[Bsmt]]*Lookups!$B$89</f>
        <v>0</v>
      </c>
      <c r="AZ24" s="25">
        <f>Inventory[[#This Row],[Fixtures]]*Lookups!$B$90</f>
        <v>30336.176841600001</v>
      </c>
      <c r="BA24" s="25">
        <f>Inventory[[#This Row],[WdDeck]]*Lookups!$B$91</f>
        <v>6026.4882649560004</v>
      </c>
      <c r="BB24" s="25">
        <f>ROUND(Inventory[[#This Row],[25Det]],-2)</f>
        <v>0</v>
      </c>
      <c r="BC24" s="25">
        <f>ROUND(SUM(Inventory[[#This Row],[Mdl Qlty]:[Mdl WdDeck]])+Inventory[[#This Row],[Mdl Res Intercept]],-2)</f>
        <v>336300</v>
      </c>
      <c r="BD24" s="25">
        <f>ROUND(Inventory[[#This Row],[Mdl Land Intercept]]+Inventory[[#This Row],[Mdl LnAcres]],-2)</f>
        <v>20000</v>
      </c>
      <c r="BE24" s="25">
        <f>Inventory[[#This Row],[Unadj Res Value]]+Inventory[[#This Row],[Unadj Det Value]]+Inventory[[#This Row],[Unadj Land Value]]</f>
        <v>356300</v>
      </c>
      <c r="BF24" s="36">
        <f>(Inventory[[#This Row],[Unadj Total Value]]-Inventory[[#This Row],[24Final]])/Inventory[[#This Row],[24Final]]</f>
        <v>-3.4417344173441736E-2</v>
      </c>
      <c r="BG24" s="25">
        <f>VLOOKUP(Inventory[[#This Row],[Nbhd]],Lookups!$Q$2:$T$4,4,FALSE)</f>
        <v>0.99970000000000003</v>
      </c>
      <c r="BH24" s="25">
        <f>VLOOKUP(Inventory[[#This Row],[Qlty]],Lookups!$O$7:$R$21,4,FALSE)</f>
        <v>0.98050000000000004</v>
      </c>
      <c r="BI24" s="25">
        <f>VLOOKUP(Inventory[[#This Row],[Cnd]],Lookups!$T$7:$W$16,4,FALSE)</f>
        <v>0.99650000000000005</v>
      </c>
      <c r="BJ24" s="25">
        <f>VLOOKUP(Inventory[[#This Row],[LivArea Range]],Lookups!$T$25:$W$37,4,FALSE)</f>
        <v>1.0157</v>
      </c>
      <c r="BK24" s="25">
        <f>VLOOKUP(Inventory[[#This Row],[Decade]],Lookups!$O$25:$R$42,4,FALSE)</f>
        <v>0.97319999999999995</v>
      </c>
      <c r="BL24" s="25">
        <f>Inventory[[#This Row],[Nbhd Adj]]*0.95</f>
        <v>0.94971499999999998</v>
      </c>
      <c r="BM24" s="25">
        <f>Inventory[[#This Row],[Nbhd Adj]]*Inventory[[#This Row],[Quality Adj]]*Inventory[[#This Row],[Condition Adj]]*Inventory[[#This Row],[Living Area Adj]]*Inventory[[#This Row],[Decade Adj]]*0.95</f>
        <v>0.91724584079958493</v>
      </c>
      <c r="BN24" s="25">
        <f>ROUND(SUM(Inventory[[#This Row],[Mdl Qlty]:[Mdl WdDeck]])+Inventory[[#This Row],[Mdl Res Intercept]]*Inventory[[#This Row],[Res Adj ]],-2)</f>
        <v>336300</v>
      </c>
      <c r="BO24" s="25">
        <f>ROUND(Inventory[[#This Row],[25Det]]*Inventory[[#This Row],[Det/Nbhd Adj]],-2)</f>
        <v>0</v>
      </c>
      <c r="BP24" s="25">
        <f>Inventory[[#This Row],[Adjusted Res]]+Inventory[[#This Row],[Adj Det ]]</f>
        <v>336300</v>
      </c>
      <c r="BQ24" s="25">
        <f>ROUND((Inventory[[#This Row],[Mdl Land Intercept]]+Inventory[[#This Row],[Mdl LnAcres]])*Inventory[[#This Row],[Det/Nbhd Adj]],-2)</f>
        <v>19000</v>
      </c>
      <c r="BR24" s="25">
        <f>Inventory[[#This Row],[Adjusted Impr Total]]+Inventory[[#This Row],[Adjusted Land Total]]</f>
        <v>355300</v>
      </c>
      <c r="BS24" s="36">
        <f>IFERROR((Inventory[[#This Row],[Adjusted Impr Total]]-Inventory[[#This Row],[24Bldg]])/Inventory[[#This Row],[24Bldg]],0)</f>
        <v>3.1278748850046001E-2</v>
      </c>
      <c r="BT24" s="36">
        <f>(Inventory[[#This Row],[Adjusted Land Total]]-Inventory[[#This Row],[24Lnd]])/Inventory[[#This Row],[24Lnd]]</f>
        <v>-0.55710955710955712</v>
      </c>
      <c r="BU24" s="36">
        <f>(Inventory[[#This Row],[Adjusted Total]]-Inventory[[#This Row],[24Final]])/Inventory[[#This Row],[24Final]]</f>
        <v>-3.7127371273712739E-2</v>
      </c>
    </row>
    <row r="25" spans="1:73" x14ac:dyDescent="0.3">
      <c r="A25" s="25">
        <v>2025</v>
      </c>
      <c r="B25" s="26" t="s">
        <v>593</v>
      </c>
      <c r="C25" s="26">
        <f>LN(Inventory[[#This Row],[Acres]])</f>
        <v>-2.2072749131897207</v>
      </c>
      <c r="D25" s="25">
        <v>0.11</v>
      </c>
      <c r="E25" s="25">
        <v>4977</v>
      </c>
      <c r="F25" s="26" t="s">
        <v>537</v>
      </c>
      <c r="G25" s="26" t="s">
        <v>126</v>
      </c>
      <c r="H25" s="26" t="s">
        <v>349</v>
      </c>
      <c r="I25" s="26" t="s">
        <v>538</v>
      </c>
      <c r="J25" s="26" t="s">
        <v>586</v>
      </c>
      <c r="K25" s="26" t="s">
        <v>592</v>
      </c>
      <c r="L25" s="26" t="s">
        <v>148</v>
      </c>
      <c r="M25" s="26" t="s">
        <v>303</v>
      </c>
      <c r="N25" s="26">
        <v>30</v>
      </c>
      <c r="O25" s="26">
        <f>2024-Inventory[[#This Row],[YrBlt]]</f>
        <v>22</v>
      </c>
      <c r="P25" s="26">
        <f>2024-Inventory[[#This Row],[EffYr]]</f>
        <v>22</v>
      </c>
      <c r="Q25" s="25">
        <v>2002</v>
      </c>
      <c r="R25" s="25">
        <v>2002</v>
      </c>
      <c r="S25" s="25">
        <v>1444</v>
      </c>
      <c r="T25" s="27"/>
      <c r="U25" s="31"/>
      <c r="V25" s="27">
        <f>Inventory[[#This Row],[Bsmt]]-Inventory[[#This Row],[FnBsmt]]</f>
        <v>0</v>
      </c>
      <c r="W25" s="27"/>
      <c r="X25" s="27"/>
      <c r="Y25" s="27">
        <f>Inventory[[#This Row],[MainFn]]+Inventory[[#This Row],[UpprFn]]+Inventory[[#This Row],[FnBsmt]]+Inventory[[#This Row],[AddFn]]</f>
        <v>1444</v>
      </c>
      <c r="Z25" s="27">
        <v>1500</v>
      </c>
      <c r="AA25" s="25">
        <v>10</v>
      </c>
      <c r="AB25" s="32">
        <v>550</v>
      </c>
      <c r="AC25" s="27"/>
      <c r="AD25" s="32">
        <v>167</v>
      </c>
      <c r="AE25" s="27"/>
      <c r="AF25" s="27"/>
      <c r="AG25" s="27"/>
      <c r="AH25" s="27"/>
      <c r="AI25" s="25">
        <v>377392</v>
      </c>
      <c r="AJ25" s="25">
        <v>343427</v>
      </c>
      <c r="AK25" s="25">
        <v>0</v>
      </c>
      <c r="AL25" s="25">
        <v>426100</v>
      </c>
      <c r="AM25" s="25">
        <v>43600</v>
      </c>
      <c r="AN25" s="25">
        <v>382500</v>
      </c>
      <c r="AO25" s="25">
        <v>0</v>
      </c>
      <c r="AP25" s="25">
        <f>Lookups!$B$56*0</f>
        <v>0</v>
      </c>
      <c r="AQ25" s="25">
        <f>Lookups!$B$56*1</f>
        <v>89850.625589999996</v>
      </c>
      <c r="AR25" s="25">
        <f>Lookups!$B$57*Inventory[[#This Row],[LnAcres]]</f>
        <v>-69870.439211769743</v>
      </c>
      <c r="AS25" s="25">
        <f>VLOOKUP(Inventory[[#This Row],[Qlty]],Lookups!$A$62:$E$75,2,FALSE)</f>
        <v>44121.038090000002</v>
      </c>
      <c r="AT25" s="25">
        <f>VLOOKUP(Inventory[[#This Row],[Cnd]],Lookups!$A$76:$E$84,2,FALSE)</f>
        <v>197752.34721000001</v>
      </c>
      <c r="AU25" s="25">
        <f>Inventory[[#This Row],[EffAge]]*Lookups!$B$85</f>
        <v>-4907.0032110000002</v>
      </c>
      <c r="AV25" s="25">
        <f>Inventory[[#This Row],[MainFn]]*Lookups!$B$86</f>
        <v>71346.119302388004</v>
      </c>
      <c r="AW25" s="25">
        <f>Inventory[[#This Row],[UpprFn]]*Lookups!$B$87</f>
        <v>0</v>
      </c>
      <c r="AX25" s="25">
        <f>Inventory[[#This Row],[AddFn]]*Lookups!$B$88</f>
        <v>0</v>
      </c>
      <c r="AY25" s="25">
        <f>Inventory[[#This Row],[Bsmt]]*Lookups!$B$89</f>
        <v>0</v>
      </c>
      <c r="AZ25" s="25">
        <f>Inventory[[#This Row],[Fixtures]]*Lookups!$B$90</f>
        <v>37920.221052000001</v>
      </c>
      <c r="BA25" s="25">
        <f>Inventory[[#This Row],[WdDeck]]*Lookups!$B$91</f>
        <v>5560.3510510920005</v>
      </c>
      <c r="BB25" s="25">
        <f>ROUND(Inventory[[#This Row],[25Det]],-2)</f>
        <v>0</v>
      </c>
      <c r="BC25" s="25">
        <f>ROUND(SUM(Inventory[[#This Row],[Mdl Qlty]:[Mdl WdDeck]])+Inventory[[#This Row],[Mdl Res Intercept]],-2)</f>
        <v>351800</v>
      </c>
      <c r="BD25" s="25">
        <f>ROUND(Inventory[[#This Row],[Mdl Land Intercept]]+Inventory[[#This Row],[Mdl LnAcres]],-2)</f>
        <v>20000</v>
      </c>
      <c r="BE25" s="25">
        <f>Inventory[[#This Row],[Unadj Res Value]]+Inventory[[#This Row],[Unadj Det Value]]+Inventory[[#This Row],[Unadj Land Value]]</f>
        <v>371800</v>
      </c>
      <c r="BF25" s="36">
        <f>(Inventory[[#This Row],[Unadj Total Value]]-Inventory[[#This Row],[24Final]])/Inventory[[#This Row],[24Final]]</f>
        <v>-0.12743487444261911</v>
      </c>
      <c r="BG25" s="25">
        <f>VLOOKUP(Inventory[[#This Row],[Nbhd]],Lookups!$Q$2:$T$4,4,FALSE)</f>
        <v>0.99970000000000003</v>
      </c>
      <c r="BH25" s="25">
        <f>VLOOKUP(Inventory[[#This Row],[Qlty]],Lookups!$O$7:$R$21,4,FALSE)</f>
        <v>0.98050000000000004</v>
      </c>
      <c r="BI25" s="25">
        <f>VLOOKUP(Inventory[[#This Row],[Cnd]],Lookups!$T$7:$W$16,4,FALSE)</f>
        <v>0.99650000000000005</v>
      </c>
      <c r="BJ25" s="25">
        <f>VLOOKUP(Inventory[[#This Row],[LivArea Range]],Lookups!$T$25:$W$37,4,FALSE)</f>
        <v>1.0157</v>
      </c>
      <c r="BK25" s="25">
        <f>VLOOKUP(Inventory[[#This Row],[Decade]],Lookups!$O$25:$R$42,4,FALSE)</f>
        <v>0.97319999999999995</v>
      </c>
      <c r="BL25" s="25">
        <f>Inventory[[#This Row],[Nbhd Adj]]*0.95</f>
        <v>0.94971499999999998</v>
      </c>
      <c r="BM25" s="25">
        <f>Inventory[[#This Row],[Nbhd Adj]]*Inventory[[#This Row],[Quality Adj]]*Inventory[[#This Row],[Condition Adj]]*Inventory[[#This Row],[Living Area Adj]]*Inventory[[#This Row],[Decade Adj]]*0.95</f>
        <v>0.91724584079958493</v>
      </c>
      <c r="BN25" s="25">
        <f>ROUND(SUM(Inventory[[#This Row],[Mdl Qlty]:[Mdl WdDeck]])+Inventory[[#This Row],[Mdl Res Intercept]]*Inventory[[#This Row],[Res Adj ]],-2)</f>
        <v>351800</v>
      </c>
      <c r="BO25" s="25">
        <f>ROUND(Inventory[[#This Row],[25Det]]*Inventory[[#This Row],[Det/Nbhd Adj]],-2)</f>
        <v>0</v>
      </c>
      <c r="BP25" s="25">
        <f>Inventory[[#This Row],[Adjusted Res]]+Inventory[[#This Row],[Adj Det ]]</f>
        <v>351800</v>
      </c>
      <c r="BQ25" s="25">
        <f>ROUND((Inventory[[#This Row],[Mdl Land Intercept]]+Inventory[[#This Row],[Mdl LnAcres]])*Inventory[[#This Row],[Det/Nbhd Adj]],-2)</f>
        <v>19000</v>
      </c>
      <c r="BR25" s="25">
        <f>Inventory[[#This Row],[Adjusted Impr Total]]+Inventory[[#This Row],[Adjusted Land Total]]</f>
        <v>370800</v>
      </c>
      <c r="BS25" s="36">
        <f>IFERROR((Inventory[[#This Row],[Adjusted Impr Total]]-Inventory[[#This Row],[24Bldg]])/Inventory[[#This Row],[24Bldg]],0)</f>
        <v>-8.0261437908496727E-2</v>
      </c>
      <c r="BT25" s="36">
        <f>(Inventory[[#This Row],[Adjusted Land Total]]-Inventory[[#This Row],[24Lnd]])/Inventory[[#This Row],[24Lnd]]</f>
        <v>-0.56422018348623848</v>
      </c>
      <c r="BU25" s="36">
        <f>(Inventory[[#This Row],[Adjusted Total]]-Inventory[[#This Row],[24Final]])/Inventory[[#This Row],[24Final]]</f>
        <v>-0.12978174137526402</v>
      </c>
    </row>
    <row r="26" spans="1:73" x14ac:dyDescent="0.3">
      <c r="A26" s="25">
        <v>2025</v>
      </c>
      <c r="B26" s="26" t="s">
        <v>685</v>
      </c>
      <c r="C26" s="26">
        <f>LN(Inventory[[#This Row],[Acres]])</f>
        <v>-3.5065578973199818</v>
      </c>
      <c r="D26" s="25">
        <v>0.03</v>
      </c>
      <c r="E26" s="25">
        <v>1015</v>
      </c>
      <c r="F26" s="26" t="s">
        <v>537</v>
      </c>
      <c r="G26" s="26" t="s">
        <v>28</v>
      </c>
      <c r="H26" s="26" t="s">
        <v>349</v>
      </c>
      <c r="I26" s="26" t="s">
        <v>538</v>
      </c>
      <c r="J26" s="26" t="s">
        <v>551</v>
      </c>
      <c r="K26" s="26" t="s">
        <v>381</v>
      </c>
      <c r="L26" s="26" t="s">
        <v>302</v>
      </c>
      <c r="M26" s="26" t="s">
        <v>323</v>
      </c>
      <c r="N26" s="26">
        <v>30</v>
      </c>
      <c r="O26" s="26">
        <f>2024-Inventory[[#This Row],[YrBlt]]</f>
        <v>23</v>
      </c>
      <c r="P26" s="26">
        <f>2024-Inventory[[#This Row],[EffYr]]</f>
        <v>23</v>
      </c>
      <c r="Q26" s="25">
        <v>2001</v>
      </c>
      <c r="R26" s="25">
        <v>2001</v>
      </c>
      <c r="S26" s="25">
        <v>581</v>
      </c>
      <c r="T26" s="32">
        <v>810</v>
      </c>
      <c r="U26" s="31"/>
      <c r="V26" s="31">
        <f>Inventory[[#This Row],[Bsmt]]-Inventory[[#This Row],[FnBsmt]]</f>
        <v>0</v>
      </c>
      <c r="W26" s="31"/>
      <c r="X26" s="27"/>
      <c r="Y26" s="27">
        <f>Inventory[[#This Row],[MainFn]]+Inventory[[#This Row],[UpprFn]]+Inventory[[#This Row],[FnBsmt]]+Inventory[[#This Row],[AddFn]]</f>
        <v>1391</v>
      </c>
      <c r="Z26" s="27">
        <v>1500</v>
      </c>
      <c r="AA26" s="25">
        <v>10</v>
      </c>
      <c r="AB26" s="27"/>
      <c r="AC26" s="32">
        <v>434</v>
      </c>
      <c r="AD26" s="27"/>
      <c r="AE26" s="27"/>
      <c r="AF26" s="27"/>
      <c r="AG26" s="27"/>
      <c r="AH26" s="27"/>
      <c r="AI26" s="25">
        <v>257300</v>
      </c>
      <c r="AJ26" s="25">
        <v>231570</v>
      </c>
      <c r="AK26" s="25">
        <v>0</v>
      </c>
      <c r="AL26" s="25">
        <v>236800</v>
      </c>
      <c r="AM26" s="25">
        <v>35500</v>
      </c>
      <c r="AN26" s="25">
        <v>201300</v>
      </c>
      <c r="AO26" s="25">
        <v>0</v>
      </c>
      <c r="AP26" s="25">
        <f>Lookups!$B$56*0</f>
        <v>0</v>
      </c>
      <c r="AQ26" s="25">
        <f>Lookups!$B$56*1</f>
        <v>89850.625589999996</v>
      </c>
      <c r="AR26" s="25">
        <f>Lookups!$B$57*Inventory[[#This Row],[LnAcres]]</f>
        <v>-110998.74281323297</v>
      </c>
      <c r="AS26" s="25">
        <f>VLOOKUP(Inventory[[#This Row],[Qlty]],Lookups!$A$62:$E$75,2,FALSE)</f>
        <v>29814.093161000001</v>
      </c>
      <c r="AT26" s="25">
        <f>VLOOKUP(Inventory[[#This Row],[Cnd]],Lookups!$A$76:$E$84,2,FALSE)</f>
        <v>160472.20319</v>
      </c>
      <c r="AU26" s="25">
        <f>Inventory[[#This Row],[EffAge]]*Lookups!$B$85</f>
        <v>-5130.0488114999998</v>
      </c>
      <c r="AV26" s="25">
        <f>Inventory[[#This Row],[MainFn]]*Lookups!$B$86</f>
        <v>28706.437198537002</v>
      </c>
      <c r="AW26" s="25">
        <f>Inventory[[#This Row],[UpprFn]]*Lookups!$B$87</f>
        <v>36277.002517410001</v>
      </c>
      <c r="AX26" s="25">
        <f>Inventory[[#This Row],[AddFn]]*Lookups!$B$88</f>
        <v>0</v>
      </c>
      <c r="AY26" s="25">
        <f>Inventory[[#This Row],[Bsmt]]*Lookups!$B$89</f>
        <v>0</v>
      </c>
      <c r="AZ26" s="25">
        <f>Inventory[[#This Row],[Fixtures]]*Lookups!$B$90</f>
        <v>37920.221052000001</v>
      </c>
      <c r="BA26" s="25">
        <f>Inventory[[#This Row],[WdDeck]]*Lookups!$B$91</f>
        <v>0</v>
      </c>
      <c r="BB26" s="25">
        <f>ROUND(Inventory[[#This Row],[25Det]],-2)</f>
        <v>0</v>
      </c>
      <c r="BC26" s="25">
        <f>ROUND(SUM(Inventory[[#This Row],[Mdl Qlty]:[Mdl WdDeck]])+Inventory[[#This Row],[Mdl Res Intercept]],-2)</f>
        <v>288100</v>
      </c>
      <c r="BD26" s="25">
        <f>ROUND(Inventory[[#This Row],[Mdl Land Intercept]]+Inventory[[#This Row],[Mdl LnAcres]],-2)</f>
        <v>-21100</v>
      </c>
      <c r="BE26" s="25">
        <f>Inventory[[#This Row],[Unadj Res Value]]+Inventory[[#This Row],[Unadj Det Value]]+Inventory[[#This Row],[Unadj Land Value]]</f>
        <v>267000</v>
      </c>
      <c r="BF26" s="36">
        <f>(Inventory[[#This Row],[Unadj Total Value]]-Inventory[[#This Row],[24Final]])/Inventory[[#This Row],[24Final]]</f>
        <v>0.12753378378378377</v>
      </c>
      <c r="BG26" s="25">
        <f>VLOOKUP(Inventory[[#This Row],[Nbhd]],Lookups!$Q$2:$T$4,4,FALSE)</f>
        <v>0.99970000000000003</v>
      </c>
      <c r="BH26" s="25">
        <f>VLOOKUP(Inventory[[#This Row],[Qlty]],Lookups!$O$7:$R$21,4,FALSE)</f>
        <v>1.0088999999999999</v>
      </c>
      <c r="BI26" s="25">
        <f>VLOOKUP(Inventory[[#This Row],[Cnd]],Lookups!$T$7:$W$16,4,FALSE)</f>
        <v>0.99729999999999996</v>
      </c>
      <c r="BJ26" s="25">
        <f>VLOOKUP(Inventory[[#This Row],[LivArea Range]],Lookups!$T$25:$W$37,4,FALSE)</f>
        <v>1.0157</v>
      </c>
      <c r="BK26" s="25">
        <f>VLOOKUP(Inventory[[#This Row],[Decade]],Lookups!$O$25:$R$42,4,FALSE)</f>
        <v>0.97319999999999995</v>
      </c>
      <c r="BL26" s="25">
        <f>Inventory[[#This Row],[Nbhd Adj]]*0.95</f>
        <v>0.94971499999999998</v>
      </c>
      <c r="BM26" s="25">
        <f>Inventory[[#This Row],[Nbhd Adj]]*Inventory[[#This Row],[Quality Adj]]*Inventory[[#This Row],[Condition Adj]]*Inventory[[#This Row],[Living Area Adj]]*Inventory[[#This Row],[Decade Adj]]*0.95</f>
        <v>0.944571398768702</v>
      </c>
      <c r="BN26" s="25">
        <f>ROUND(SUM(Inventory[[#This Row],[Mdl Qlty]:[Mdl WdDeck]])+Inventory[[#This Row],[Mdl Res Intercept]]*Inventory[[#This Row],[Res Adj ]],-2)</f>
        <v>288100</v>
      </c>
      <c r="BO26" s="25">
        <f>ROUND(Inventory[[#This Row],[25Det]]*Inventory[[#This Row],[Det/Nbhd Adj]],-2)</f>
        <v>0</v>
      </c>
      <c r="BP26" s="25">
        <f>Inventory[[#This Row],[Adjusted Res]]+Inventory[[#This Row],[Adj Det ]]</f>
        <v>288100</v>
      </c>
      <c r="BQ26" s="25">
        <f>ROUND((Inventory[[#This Row],[Mdl Land Intercept]]+Inventory[[#This Row],[Mdl LnAcres]])*Inventory[[#This Row],[Det/Nbhd Adj]],-2)</f>
        <v>-20100</v>
      </c>
      <c r="BR26" s="25">
        <f>Inventory[[#This Row],[Adjusted Impr Total]]+Inventory[[#This Row],[Adjusted Land Total]]</f>
        <v>268000</v>
      </c>
      <c r="BS26" s="36">
        <f>IFERROR((Inventory[[#This Row],[Adjusted Impr Total]]-Inventory[[#This Row],[24Bldg]])/Inventory[[#This Row],[24Bldg]],0)</f>
        <v>0.43119721808246397</v>
      </c>
      <c r="BT26" s="36">
        <f>(Inventory[[#This Row],[Adjusted Land Total]]-Inventory[[#This Row],[24Lnd]])/Inventory[[#This Row],[24Lnd]]</f>
        <v>-1.5661971830985915</v>
      </c>
      <c r="BU26" s="36">
        <f>(Inventory[[#This Row],[Adjusted Total]]-Inventory[[#This Row],[24Final]])/Inventory[[#This Row],[24Final]]</f>
        <v>0.13175675675675674</v>
      </c>
    </row>
    <row r="27" spans="1:73" x14ac:dyDescent="0.3">
      <c r="A27" s="25">
        <v>2025</v>
      </c>
      <c r="B27" s="26" t="s">
        <v>686</v>
      </c>
      <c r="C27" s="26">
        <f>LN(Inventory[[#This Row],[Acres]])</f>
        <v>-3.5065578973199818</v>
      </c>
      <c r="D27" s="25">
        <v>0.03</v>
      </c>
      <c r="E27" s="25">
        <v>1015</v>
      </c>
      <c r="F27" s="26" t="s">
        <v>537</v>
      </c>
      <c r="G27" s="26" t="s">
        <v>28</v>
      </c>
      <c r="H27" s="26" t="s">
        <v>349</v>
      </c>
      <c r="I27" s="26" t="s">
        <v>538</v>
      </c>
      <c r="J27" s="26" t="s">
        <v>551</v>
      </c>
      <c r="K27" s="26" t="s">
        <v>381</v>
      </c>
      <c r="L27" s="26" t="s">
        <v>302</v>
      </c>
      <c r="M27" s="26" t="s">
        <v>323</v>
      </c>
      <c r="N27" s="26">
        <v>30</v>
      </c>
      <c r="O27" s="26">
        <f>2024-Inventory[[#This Row],[YrBlt]]</f>
        <v>23</v>
      </c>
      <c r="P27" s="26">
        <f>2024-Inventory[[#This Row],[EffYr]]</f>
        <v>23</v>
      </c>
      <c r="Q27" s="25">
        <v>2001</v>
      </c>
      <c r="R27" s="25">
        <v>2001</v>
      </c>
      <c r="S27" s="25">
        <v>581</v>
      </c>
      <c r="T27" s="25">
        <v>810</v>
      </c>
      <c r="U27" s="31"/>
      <c r="V27" s="31">
        <f>Inventory[[#This Row],[Bsmt]]-Inventory[[#This Row],[FnBsmt]]</f>
        <v>0</v>
      </c>
      <c r="W27" s="31"/>
      <c r="X27" s="27"/>
      <c r="Y27" s="27">
        <f>Inventory[[#This Row],[MainFn]]+Inventory[[#This Row],[UpprFn]]+Inventory[[#This Row],[FnBsmt]]+Inventory[[#This Row],[AddFn]]</f>
        <v>1391</v>
      </c>
      <c r="Z27" s="27">
        <v>1500</v>
      </c>
      <c r="AA27" s="25">
        <v>10</v>
      </c>
      <c r="AB27" s="27"/>
      <c r="AC27" s="32">
        <v>434</v>
      </c>
      <c r="AD27" s="27"/>
      <c r="AE27" s="27"/>
      <c r="AF27" s="27"/>
      <c r="AG27" s="27"/>
      <c r="AH27" s="27"/>
      <c r="AI27" s="25">
        <v>257300</v>
      </c>
      <c r="AJ27" s="25">
        <v>231570</v>
      </c>
      <c r="AK27" s="25">
        <v>0</v>
      </c>
      <c r="AL27" s="25">
        <v>275600</v>
      </c>
      <c r="AM27" s="25">
        <v>41300</v>
      </c>
      <c r="AN27" s="25">
        <v>234300</v>
      </c>
      <c r="AO27" s="25">
        <v>0</v>
      </c>
      <c r="AP27" s="25">
        <f>Lookups!$B$56*0</f>
        <v>0</v>
      </c>
      <c r="AQ27" s="25">
        <f>Lookups!$B$56*1</f>
        <v>89850.625589999996</v>
      </c>
      <c r="AR27" s="25">
        <f>Lookups!$B$57*Inventory[[#This Row],[LnAcres]]</f>
        <v>-110998.74281323297</v>
      </c>
      <c r="AS27" s="25">
        <f>VLOOKUP(Inventory[[#This Row],[Qlty]],Lookups!$A$62:$E$75,2,FALSE)</f>
        <v>29814.093161000001</v>
      </c>
      <c r="AT27" s="25">
        <f>VLOOKUP(Inventory[[#This Row],[Cnd]],Lookups!$A$76:$E$84,2,FALSE)</f>
        <v>160472.20319</v>
      </c>
      <c r="AU27" s="25">
        <f>Inventory[[#This Row],[EffAge]]*Lookups!$B$85</f>
        <v>-5130.0488114999998</v>
      </c>
      <c r="AV27" s="25">
        <f>Inventory[[#This Row],[MainFn]]*Lookups!$B$86</f>
        <v>28706.437198537002</v>
      </c>
      <c r="AW27" s="25">
        <f>Inventory[[#This Row],[UpprFn]]*Lookups!$B$87</f>
        <v>36277.002517410001</v>
      </c>
      <c r="AX27" s="25">
        <f>Inventory[[#This Row],[AddFn]]*Lookups!$B$88</f>
        <v>0</v>
      </c>
      <c r="AY27" s="25">
        <f>Inventory[[#This Row],[Bsmt]]*Lookups!$B$89</f>
        <v>0</v>
      </c>
      <c r="AZ27" s="25">
        <f>Inventory[[#This Row],[Fixtures]]*Lookups!$B$90</f>
        <v>37920.221052000001</v>
      </c>
      <c r="BA27" s="25">
        <f>Inventory[[#This Row],[WdDeck]]*Lookups!$B$91</f>
        <v>0</v>
      </c>
      <c r="BB27" s="25">
        <f>ROUND(Inventory[[#This Row],[25Det]],-2)</f>
        <v>0</v>
      </c>
      <c r="BC27" s="25">
        <f>ROUND(SUM(Inventory[[#This Row],[Mdl Qlty]:[Mdl WdDeck]])+Inventory[[#This Row],[Mdl Res Intercept]],-2)</f>
        <v>288100</v>
      </c>
      <c r="BD27" s="25">
        <f>ROUND(Inventory[[#This Row],[Mdl Land Intercept]]+Inventory[[#This Row],[Mdl LnAcres]],-2)</f>
        <v>-21100</v>
      </c>
      <c r="BE27" s="25">
        <f>Inventory[[#This Row],[Unadj Res Value]]+Inventory[[#This Row],[Unadj Det Value]]+Inventory[[#This Row],[Unadj Land Value]]</f>
        <v>267000</v>
      </c>
      <c r="BF27" s="36">
        <f>(Inventory[[#This Row],[Unadj Total Value]]-Inventory[[#This Row],[24Final]])/Inventory[[#This Row],[24Final]]</f>
        <v>-3.1204644412191583E-2</v>
      </c>
      <c r="BG27" s="25">
        <f>VLOOKUP(Inventory[[#This Row],[Nbhd]],Lookups!$Q$2:$T$4,4,FALSE)</f>
        <v>0.99970000000000003</v>
      </c>
      <c r="BH27" s="25">
        <f>VLOOKUP(Inventory[[#This Row],[Qlty]],Lookups!$O$7:$R$21,4,FALSE)</f>
        <v>1.0088999999999999</v>
      </c>
      <c r="BI27" s="25">
        <f>VLOOKUP(Inventory[[#This Row],[Cnd]],Lookups!$T$7:$W$16,4,FALSE)</f>
        <v>0.99729999999999996</v>
      </c>
      <c r="BJ27" s="25">
        <f>VLOOKUP(Inventory[[#This Row],[LivArea Range]],Lookups!$T$25:$W$37,4,FALSE)</f>
        <v>1.0157</v>
      </c>
      <c r="BK27" s="25">
        <f>VLOOKUP(Inventory[[#This Row],[Decade]],Lookups!$O$25:$R$42,4,FALSE)</f>
        <v>0.97319999999999995</v>
      </c>
      <c r="BL27" s="25">
        <f>Inventory[[#This Row],[Nbhd Adj]]*0.95</f>
        <v>0.94971499999999998</v>
      </c>
      <c r="BM27" s="25">
        <f>Inventory[[#This Row],[Nbhd Adj]]*Inventory[[#This Row],[Quality Adj]]*Inventory[[#This Row],[Condition Adj]]*Inventory[[#This Row],[Living Area Adj]]*Inventory[[#This Row],[Decade Adj]]*0.95</f>
        <v>0.944571398768702</v>
      </c>
      <c r="BN27" s="25">
        <f>ROUND(SUM(Inventory[[#This Row],[Mdl Qlty]:[Mdl WdDeck]])+Inventory[[#This Row],[Mdl Res Intercept]]*Inventory[[#This Row],[Res Adj ]],-2)</f>
        <v>288100</v>
      </c>
      <c r="BO27" s="25">
        <f>ROUND(Inventory[[#This Row],[25Det]]*Inventory[[#This Row],[Det/Nbhd Adj]],-2)</f>
        <v>0</v>
      </c>
      <c r="BP27" s="25">
        <f>Inventory[[#This Row],[Adjusted Res]]+Inventory[[#This Row],[Adj Det ]]</f>
        <v>288100</v>
      </c>
      <c r="BQ27" s="25">
        <f>ROUND((Inventory[[#This Row],[Mdl Land Intercept]]+Inventory[[#This Row],[Mdl LnAcres]])*Inventory[[#This Row],[Det/Nbhd Adj]],-2)</f>
        <v>-20100</v>
      </c>
      <c r="BR27" s="25">
        <f>Inventory[[#This Row],[Adjusted Impr Total]]+Inventory[[#This Row],[Adjusted Land Total]]</f>
        <v>268000</v>
      </c>
      <c r="BS27" s="36">
        <f>IFERROR((Inventory[[#This Row],[Adjusted Impr Total]]-Inventory[[#This Row],[24Bldg]])/Inventory[[#This Row],[24Bldg]],0)</f>
        <v>0.22962014511310286</v>
      </c>
      <c r="BT27" s="36">
        <f>(Inventory[[#This Row],[Adjusted Land Total]]-Inventory[[#This Row],[24Lnd]])/Inventory[[#This Row],[24Lnd]]</f>
        <v>-1.486682808716707</v>
      </c>
      <c r="BU27" s="36">
        <f>(Inventory[[#This Row],[Adjusted Total]]-Inventory[[#This Row],[24Final]])/Inventory[[#This Row],[24Final]]</f>
        <v>-2.7576197387518143E-2</v>
      </c>
    </row>
    <row r="28" spans="1:73" x14ac:dyDescent="0.3">
      <c r="A28" s="25">
        <v>2025</v>
      </c>
      <c r="B28" s="26" t="s">
        <v>687</v>
      </c>
      <c r="C28" s="26">
        <f>LN(Inventory[[#This Row],[Acres]])</f>
        <v>-3.5065578973199818</v>
      </c>
      <c r="D28" s="25">
        <v>0.03</v>
      </c>
      <c r="E28" s="25">
        <v>1015</v>
      </c>
      <c r="F28" s="26" t="s">
        <v>537</v>
      </c>
      <c r="G28" s="26" t="s">
        <v>28</v>
      </c>
      <c r="H28" s="26" t="s">
        <v>349</v>
      </c>
      <c r="I28" s="26" t="s">
        <v>538</v>
      </c>
      <c r="J28" s="26" t="s">
        <v>551</v>
      </c>
      <c r="K28" s="26" t="s">
        <v>381</v>
      </c>
      <c r="L28" s="26" t="s">
        <v>302</v>
      </c>
      <c r="M28" s="26" t="s">
        <v>323</v>
      </c>
      <c r="N28" s="26">
        <v>30</v>
      </c>
      <c r="O28" s="26">
        <f>2024-Inventory[[#This Row],[YrBlt]]</f>
        <v>23</v>
      </c>
      <c r="P28" s="26">
        <f>2024-Inventory[[#This Row],[EffYr]]</f>
        <v>23</v>
      </c>
      <c r="Q28" s="25">
        <v>2001</v>
      </c>
      <c r="R28" s="25">
        <v>2001</v>
      </c>
      <c r="S28" s="25">
        <v>581</v>
      </c>
      <c r="T28" s="32">
        <v>810</v>
      </c>
      <c r="U28" s="31"/>
      <c r="V28" s="31">
        <f>Inventory[[#This Row],[Bsmt]]-Inventory[[#This Row],[FnBsmt]]</f>
        <v>0</v>
      </c>
      <c r="W28" s="31"/>
      <c r="X28" s="27"/>
      <c r="Y28" s="27">
        <f>Inventory[[#This Row],[MainFn]]+Inventory[[#This Row],[UpprFn]]+Inventory[[#This Row],[FnBsmt]]+Inventory[[#This Row],[AddFn]]</f>
        <v>1391</v>
      </c>
      <c r="Z28" s="27">
        <v>1500</v>
      </c>
      <c r="AA28" s="25">
        <v>10</v>
      </c>
      <c r="AB28" s="27"/>
      <c r="AC28" s="32">
        <v>434</v>
      </c>
      <c r="AD28" s="27"/>
      <c r="AE28" s="27"/>
      <c r="AF28" s="27"/>
      <c r="AG28" s="27"/>
      <c r="AH28" s="27"/>
      <c r="AI28" s="25">
        <v>257300</v>
      </c>
      <c r="AJ28" s="25">
        <v>231570</v>
      </c>
      <c r="AK28" s="25">
        <v>0</v>
      </c>
      <c r="AL28" s="25">
        <v>275600</v>
      </c>
      <c r="AM28" s="25">
        <v>41300</v>
      </c>
      <c r="AN28" s="25">
        <v>234300</v>
      </c>
      <c r="AO28" s="25">
        <v>0</v>
      </c>
      <c r="AP28" s="25">
        <f>Lookups!$B$56*0</f>
        <v>0</v>
      </c>
      <c r="AQ28" s="25">
        <f>Lookups!$B$56*1</f>
        <v>89850.625589999996</v>
      </c>
      <c r="AR28" s="25">
        <f>Lookups!$B$57*Inventory[[#This Row],[LnAcres]]</f>
        <v>-110998.74281323297</v>
      </c>
      <c r="AS28" s="25">
        <f>VLOOKUP(Inventory[[#This Row],[Qlty]],Lookups!$A$62:$E$75,2,FALSE)</f>
        <v>29814.093161000001</v>
      </c>
      <c r="AT28" s="25">
        <f>VLOOKUP(Inventory[[#This Row],[Cnd]],Lookups!$A$76:$E$84,2,FALSE)</f>
        <v>160472.20319</v>
      </c>
      <c r="AU28" s="25">
        <f>Inventory[[#This Row],[EffAge]]*Lookups!$B$85</f>
        <v>-5130.0488114999998</v>
      </c>
      <c r="AV28" s="25">
        <f>Inventory[[#This Row],[MainFn]]*Lookups!$B$86</f>
        <v>28706.437198537002</v>
      </c>
      <c r="AW28" s="25">
        <f>Inventory[[#This Row],[UpprFn]]*Lookups!$B$87</f>
        <v>36277.002517410001</v>
      </c>
      <c r="AX28" s="25">
        <f>Inventory[[#This Row],[AddFn]]*Lookups!$B$88</f>
        <v>0</v>
      </c>
      <c r="AY28" s="25">
        <f>Inventory[[#This Row],[Bsmt]]*Lookups!$B$89</f>
        <v>0</v>
      </c>
      <c r="AZ28" s="25">
        <f>Inventory[[#This Row],[Fixtures]]*Lookups!$B$90</f>
        <v>37920.221052000001</v>
      </c>
      <c r="BA28" s="25">
        <f>Inventory[[#This Row],[WdDeck]]*Lookups!$B$91</f>
        <v>0</v>
      </c>
      <c r="BB28" s="25">
        <f>ROUND(Inventory[[#This Row],[25Det]],-2)</f>
        <v>0</v>
      </c>
      <c r="BC28" s="25">
        <f>ROUND(SUM(Inventory[[#This Row],[Mdl Qlty]:[Mdl WdDeck]])+Inventory[[#This Row],[Mdl Res Intercept]],-2)</f>
        <v>288100</v>
      </c>
      <c r="BD28" s="25">
        <f>ROUND(Inventory[[#This Row],[Mdl Land Intercept]]+Inventory[[#This Row],[Mdl LnAcres]],-2)</f>
        <v>-21100</v>
      </c>
      <c r="BE28" s="25">
        <f>Inventory[[#This Row],[Unadj Res Value]]+Inventory[[#This Row],[Unadj Det Value]]+Inventory[[#This Row],[Unadj Land Value]]</f>
        <v>267000</v>
      </c>
      <c r="BF28" s="36">
        <f>(Inventory[[#This Row],[Unadj Total Value]]-Inventory[[#This Row],[24Final]])/Inventory[[#This Row],[24Final]]</f>
        <v>-3.1204644412191583E-2</v>
      </c>
      <c r="BG28" s="25">
        <f>VLOOKUP(Inventory[[#This Row],[Nbhd]],Lookups!$Q$2:$T$4,4,FALSE)</f>
        <v>0.99970000000000003</v>
      </c>
      <c r="BH28" s="25">
        <f>VLOOKUP(Inventory[[#This Row],[Qlty]],Lookups!$O$7:$R$21,4,FALSE)</f>
        <v>1.0088999999999999</v>
      </c>
      <c r="BI28" s="25">
        <f>VLOOKUP(Inventory[[#This Row],[Cnd]],Lookups!$T$7:$W$16,4,FALSE)</f>
        <v>0.99729999999999996</v>
      </c>
      <c r="BJ28" s="25">
        <f>VLOOKUP(Inventory[[#This Row],[LivArea Range]],Lookups!$T$25:$W$37,4,FALSE)</f>
        <v>1.0157</v>
      </c>
      <c r="BK28" s="25">
        <f>VLOOKUP(Inventory[[#This Row],[Decade]],Lookups!$O$25:$R$42,4,FALSE)</f>
        <v>0.97319999999999995</v>
      </c>
      <c r="BL28" s="25">
        <f>Inventory[[#This Row],[Nbhd Adj]]*0.95</f>
        <v>0.94971499999999998</v>
      </c>
      <c r="BM28" s="25">
        <f>Inventory[[#This Row],[Nbhd Adj]]*Inventory[[#This Row],[Quality Adj]]*Inventory[[#This Row],[Condition Adj]]*Inventory[[#This Row],[Living Area Adj]]*Inventory[[#This Row],[Decade Adj]]*0.95</f>
        <v>0.944571398768702</v>
      </c>
      <c r="BN28" s="25">
        <f>ROUND(SUM(Inventory[[#This Row],[Mdl Qlty]:[Mdl WdDeck]])+Inventory[[#This Row],[Mdl Res Intercept]]*Inventory[[#This Row],[Res Adj ]],-2)</f>
        <v>288100</v>
      </c>
      <c r="BO28" s="25">
        <f>ROUND(Inventory[[#This Row],[25Det]]*Inventory[[#This Row],[Det/Nbhd Adj]],-2)</f>
        <v>0</v>
      </c>
      <c r="BP28" s="25">
        <f>Inventory[[#This Row],[Adjusted Res]]+Inventory[[#This Row],[Adj Det ]]</f>
        <v>288100</v>
      </c>
      <c r="BQ28" s="25">
        <f>ROUND((Inventory[[#This Row],[Mdl Land Intercept]]+Inventory[[#This Row],[Mdl LnAcres]])*Inventory[[#This Row],[Det/Nbhd Adj]],-2)</f>
        <v>-20100</v>
      </c>
      <c r="BR28" s="25">
        <f>Inventory[[#This Row],[Adjusted Impr Total]]+Inventory[[#This Row],[Adjusted Land Total]]</f>
        <v>268000</v>
      </c>
      <c r="BS28" s="36">
        <f>IFERROR((Inventory[[#This Row],[Adjusted Impr Total]]-Inventory[[#This Row],[24Bldg]])/Inventory[[#This Row],[24Bldg]],0)</f>
        <v>0.22962014511310286</v>
      </c>
      <c r="BT28" s="36">
        <f>(Inventory[[#This Row],[Adjusted Land Total]]-Inventory[[#This Row],[24Lnd]])/Inventory[[#This Row],[24Lnd]]</f>
        <v>-1.486682808716707</v>
      </c>
      <c r="BU28" s="36">
        <f>(Inventory[[#This Row],[Adjusted Total]]-Inventory[[#This Row],[24Final]])/Inventory[[#This Row],[24Final]]</f>
        <v>-2.7576197387518143E-2</v>
      </c>
    </row>
    <row r="29" spans="1:73" x14ac:dyDescent="0.3">
      <c r="A29" s="25">
        <v>2025</v>
      </c>
      <c r="B29" s="26" t="s">
        <v>688</v>
      </c>
      <c r="C29" s="26">
        <f>LN(Inventory[[#This Row],[Acres]])</f>
        <v>-3.5065578973199818</v>
      </c>
      <c r="D29" s="25">
        <v>0.03</v>
      </c>
      <c r="E29" s="25">
        <v>1015</v>
      </c>
      <c r="F29" s="26" t="s">
        <v>537</v>
      </c>
      <c r="G29" s="26" t="s">
        <v>28</v>
      </c>
      <c r="H29" s="26" t="s">
        <v>349</v>
      </c>
      <c r="I29" s="26" t="s">
        <v>538</v>
      </c>
      <c r="J29" s="26" t="s">
        <v>551</v>
      </c>
      <c r="K29" s="26" t="s">
        <v>381</v>
      </c>
      <c r="L29" s="26" t="s">
        <v>302</v>
      </c>
      <c r="M29" s="26" t="s">
        <v>323</v>
      </c>
      <c r="N29" s="26">
        <v>30</v>
      </c>
      <c r="O29" s="26">
        <f>2024-Inventory[[#This Row],[YrBlt]]</f>
        <v>23</v>
      </c>
      <c r="P29" s="26">
        <f>2024-Inventory[[#This Row],[EffYr]]</f>
        <v>23</v>
      </c>
      <c r="Q29" s="25">
        <v>2001</v>
      </c>
      <c r="R29" s="25">
        <v>2001</v>
      </c>
      <c r="S29" s="25">
        <v>581</v>
      </c>
      <c r="T29" s="32">
        <v>810</v>
      </c>
      <c r="U29" s="31"/>
      <c r="V29" s="31">
        <f>Inventory[[#This Row],[Bsmt]]-Inventory[[#This Row],[FnBsmt]]</f>
        <v>0</v>
      </c>
      <c r="W29" s="31"/>
      <c r="X29" s="27"/>
      <c r="Y29" s="27">
        <f>Inventory[[#This Row],[MainFn]]+Inventory[[#This Row],[UpprFn]]+Inventory[[#This Row],[FnBsmt]]+Inventory[[#This Row],[AddFn]]</f>
        <v>1391</v>
      </c>
      <c r="Z29" s="27">
        <v>1500</v>
      </c>
      <c r="AA29" s="25">
        <v>10</v>
      </c>
      <c r="AB29" s="27"/>
      <c r="AC29" s="32">
        <v>434</v>
      </c>
      <c r="AD29" s="27"/>
      <c r="AE29" s="27"/>
      <c r="AF29" s="27"/>
      <c r="AG29" s="27"/>
      <c r="AH29" s="27"/>
      <c r="AI29" s="25">
        <v>257300</v>
      </c>
      <c r="AJ29" s="25">
        <v>231570</v>
      </c>
      <c r="AK29" s="25">
        <v>0</v>
      </c>
      <c r="AL29" s="25">
        <v>275600</v>
      </c>
      <c r="AM29" s="25">
        <v>41300</v>
      </c>
      <c r="AN29" s="25">
        <v>234300</v>
      </c>
      <c r="AO29" s="25">
        <v>0</v>
      </c>
      <c r="AP29" s="25">
        <f>Lookups!$B$56*0</f>
        <v>0</v>
      </c>
      <c r="AQ29" s="25">
        <f>Lookups!$B$56*1</f>
        <v>89850.625589999996</v>
      </c>
      <c r="AR29" s="25">
        <f>Lookups!$B$57*Inventory[[#This Row],[LnAcres]]</f>
        <v>-110998.74281323297</v>
      </c>
      <c r="AS29" s="25">
        <f>VLOOKUP(Inventory[[#This Row],[Qlty]],Lookups!$A$62:$E$75,2,FALSE)</f>
        <v>29814.093161000001</v>
      </c>
      <c r="AT29" s="25">
        <f>VLOOKUP(Inventory[[#This Row],[Cnd]],Lookups!$A$76:$E$84,2,FALSE)</f>
        <v>160472.20319</v>
      </c>
      <c r="AU29" s="25">
        <f>Inventory[[#This Row],[EffAge]]*Lookups!$B$85</f>
        <v>-5130.0488114999998</v>
      </c>
      <c r="AV29" s="25">
        <f>Inventory[[#This Row],[MainFn]]*Lookups!$B$86</f>
        <v>28706.437198537002</v>
      </c>
      <c r="AW29" s="25">
        <f>Inventory[[#This Row],[UpprFn]]*Lookups!$B$87</f>
        <v>36277.002517410001</v>
      </c>
      <c r="AX29" s="25">
        <f>Inventory[[#This Row],[AddFn]]*Lookups!$B$88</f>
        <v>0</v>
      </c>
      <c r="AY29" s="25">
        <f>Inventory[[#This Row],[Bsmt]]*Lookups!$B$89</f>
        <v>0</v>
      </c>
      <c r="AZ29" s="25">
        <f>Inventory[[#This Row],[Fixtures]]*Lookups!$B$90</f>
        <v>37920.221052000001</v>
      </c>
      <c r="BA29" s="25">
        <f>Inventory[[#This Row],[WdDeck]]*Lookups!$B$91</f>
        <v>0</v>
      </c>
      <c r="BB29" s="25">
        <f>ROUND(Inventory[[#This Row],[25Det]],-2)</f>
        <v>0</v>
      </c>
      <c r="BC29" s="25">
        <f>ROUND(SUM(Inventory[[#This Row],[Mdl Qlty]:[Mdl WdDeck]])+Inventory[[#This Row],[Mdl Res Intercept]],-2)</f>
        <v>288100</v>
      </c>
      <c r="BD29" s="25">
        <f>ROUND(Inventory[[#This Row],[Mdl Land Intercept]]+Inventory[[#This Row],[Mdl LnAcres]],-2)</f>
        <v>-21100</v>
      </c>
      <c r="BE29" s="25">
        <f>Inventory[[#This Row],[Unadj Res Value]]+Inventory[[#This Row],[Unadj Det Value]]+Inventory[[#This Row],[Unadj Land Value]]</f>
        <v>267000</v>
      </c>
      <c r="BF29" s="36">
        <f>(Inventory[[#This Row],[Unadj Total Value]]-Inventory[[#This Row],[24Final]])/Inventory[[#This Row],[24Final]]</f>
        <v>-3.1204644412191583E-2</v>
      </c>
      <c r="BG29" s="25">
        <f>VLOOKUP(Inventory[[#This Row],[Nbhd]],Lookups!$Q$2:$T$4,4,FALSE)</f>
        <v>0.99970000000000003</v>
      </c>
      <c r="BH29" s="25">
        <f>VLOOKUP(Inventory[[#This Row],[Qlty]],Lookups!$O$7:$R$21,4,FALSE)</f>
        <v>1.0088999999999999</v>
      </c>
      <c r="BI29" s="25">
        <f>VLOOKUP(Inventory[[#This Row],[Cnd]],Lookups!$T$7:$W$16,4,FALSE)</f>
        <v>0.99729999999999996</v>
      </c>
      <c r="BJ29" s="25">
        <f>VLOOKUP(Inventory[[#This Row],[LivArea Range]],Lookups!$T$25:$W$37,4,FALSE)</f>
        <v>1.0157</v>
      </c>
      <c r="BK29" s="25">
        <f>VLOOKUP(Inventory[[#This Row],[Decade]],Lookups!$O$25:$R$42,4,FALSE)</f>
        <v>0.97319999999999995</v>
      </c>
      <c r="BL29" s="25">
        <f>Inventory[[#This Row],[Nbhd Adj]]*0.95</f>
        <v>0.94971499999999998</v>
      </c>
      <c r="BM29" s="25">
        <f>Inventory[[#This Row],[Nbhd Adj]]*Inventory[[#This Row],[Quality Adj]]*Inventory[[#This Row],[Condition Adj]]*Inventory[[#This Row],[Living Area Adj]]*Inventory[[#This Row],[Decade Adj]]*0.95</f>
        <v>0.944571398768702</v>
      </c>
      <c r="BN29" s="25">
        <f>ROUND(SUM(Inventory[[#This Row],[Mdl Qlty]:[Mdl WdDeck]])+Inventory[[#This Row],[Mdl Res Intercept]]*Inventory[[#This Row],[Res Adj ]],-2)</f>
        <v>288100</v>
      </c>
      <c r="BO29" s="25">
        <f>ROUND(Inventory[[#This Row],[25Det]]*Inventory[[#This Row],[Det/Nbhd Adj]],-2)</f>
        <v>0</v>
      </c>
      <c r="BP29" s="25">
        <f>Inventory[[#This Row],[Adjusted Res]]+Inventory[[#This Row],[Adj Det ]]</f>
        <v>288100</v>
      </c>
      <c r="BQ29" s="25">
        <f>ROUND((Inventory[[#This Row],[Mdl Land Intercept]]+Inventory[[#This Row],[Mdl LnAcres]])*Inventory[[#This Row],[Det/Nbhd Adj]],-2)</f>
        <v>-20100</v>
      </c>
      <c r="BR29" s="25">
        <f>Inventory[[#This Row],[Adjusted Impr Total]]+Inventory[[#This Row],[Adjusted Land Total]]</f>
        <v>268000</v>
      </c>
      <c r="BS29" s="36">
        <f>IFERROR((Inventory[[#This Row],[Adjusted Impr Total]]-Inventory[[#This Row],[24Bldg]])/Inventory[[#This Row],[24Bldg]],0)</f>
        <v>0.22962014511310286</v>
      </c>
      <c r="BT29" s="36">
        <f>(Inventory[[#This Row],[Adjusted Land Total]]-Inventory[[#This Row],[24Lnd]])/Inventory[[#This Row],[24Lnd]]</f>
        <v>-1.486682808716707</v>
      </c>
      <c r="BU29" s="36">
        <f>(Inventory[[#This Row],[Adjusted Total]]-Inventory[[#This Row],[24Final]])/Inventory[[#This Row],[24Final]]</f>
        <v>-2.7576197387518143E-2</v>
      </c>
    </row>
    <row r="30" spans="1:73" x14ac:dyDescent="0.3">
      <c r="A30" s="25">
        <v>2025</v>
      </c>
      <c r="B30" s="26" t="s">
        <v>689</v>
      </c>
      <c r="C30" s="26">
        <f>LN(Inventory[[#This Row],[Acres]])</f>
        <v>-3.5065578973199818</v>
      </c>
      <c r="D30" s="25">
        <v>0.03</v>
      </c>
      <c r="E30" s="25">
        <v>1015</v>
      </c>
      <c r="F30" s="26" t="s">
        <v>537</v>
      </c>
      <c r="G30" s="26" t="s">
        <v>28</v>
      </c>
      <c r="H30" s="26" t="s">
        <v>349</v>
      </c>
      <c r="I30" s="26" t="s">
        <v>538</v>
      </c>
      <c r="J30" s="26" t="s">
        <v>551</v>
      </c>
      <c r="K30" s="26" t="s">
        <v>381</v>
      </c>
      <c r="L30" s="26" t="s">
        <v>302</v>
      </c>
      <c r="M30" s="26" t="s">
        <v>323</v>
      </c>
      <c r="N30" s="26">
        <v>30</v>
      </c>
      <c r="O30" s="26">
        <f>2024-Inventory[[#This Row],[YrBlt]]</f>
        <v>23</v>
      </c>
      <c r="P30" s="26">
        <f>2024-Inventory[[#This Row],[EffYr]]</f>
        <v>23</v>
      </c>
      <c r="Q30" s="25">
        <v>2001</v>
      </c>
      <c r="R30" s="25">
        <v>2001</v>
      </c>
      <c r="S30" s="25">
        <v>581</v>
      </c>
      <c r="T30" s="32">
        <v>810</v>
      </c>
      <c r="U30" s="31"/>
      <c r="V30" s="27">
        <f>Inventory[[#This Row],[Bsmt]]-Inventory[[#This Row],[FnBsmt]]</f>
        <v>0</v>
      </c>
      <c r="W30" s="27"/>
      <c r="X30" s="27"/>
      <c r="Y30" s="27">
        <f>Inventory[[#This Row],[MainFn]]+Inventory[[#This Row],[UpprFn]]+Inventory[[#This Row],[FnBsmt]]+Inventory[[#This Row],[AddFn]]</f>
        <v>1391</v>
      </c>
      <c r="Z30" s="27">
        <v>1500</v>
      </c>
      <c r="AA30" s="25">
        <v>10</v>
      </c>
      <c r="AB30" s="27"/>
      <c r="AC30" s="32">
        <v>434</v>
      </c>
      <c r="AD30" s="27"/>
      <c r="AE30" s="27"/>
      <c r="AF30" s="27"/>
      <c r="AG30" s="27"/>
      <c r="AH30" s="27"/>
      <c r="AI30" s="25">
        <v>257300</v>
      </c>
      <c r="AJ30" s="25">
        <v>231570</v>
      </c>
      <c r="AK30" s="25">
        <v>0</v>
      </c>
      <c r="AL30" s="25">
        <v>275600</v>
      </c>
      <c r="AM30" s="25">
        <v>41300</v>
      </c>
      <c r="AN30" s="25">
        <v>234300</v>
      </c>
      <c r="AO30" s="25">
        <v>0</v>
      </c>
      <c r="AP30" s="25">
        <f>Lookups!$B$56*0</f>
        <v>0</v>
      </c>
      <c r="AQ30" s="25">
        <f>Lookups!$B$56*1</f>
        <v>89850.625589999996</v>
      </c>
      <c r="AR30" s="25">
        <f>Lookups!$B$57*Inventory[[#This Row],[LnAcres]]</f>
        <v>-110998.74281323297</v>
      </c>
      <c r="AS30" s="25">
        <f>VLOOKUP(Inventory[[#This Row],[Qlty]],Lookups!$A$62:$E$75,2,FALSE)</f>
        <v>29814.093161000001</v>
      </c>
      <c r="AT30" s="25">
        <f>VLOOKUP(Inventory[[#This Row],[Cnd]],Lookups!$A$76:$E$84,2,FALSE)</f>
        <v>160472.20319</v>
      </c>
      <c r="AU30" s="25">
        <f>Inventory[[#This Row],[EffAge]]*Lookups!$B$85</f>
        <v>-5130.0488114999998</v>
      </c>
      <c r="AV30" s="25">
        <f>Inventory[[#This Row],[MainFn]]*Lookups!$B$86</f>
        <v>28706.437198537002</v>
      </c>
      <c r="AW30" s="25">
        <f>Inventory[[#This Row],[UpprFn]]*Lookups!$B$87</f>
        <v>36277.002517410001</v>
      </c>
      <c r="AX30" s="25">
        <f>Inventory[[#This Row],[AddFn]]*Lookups!$B$88</f>
        <v>0</v>
      </c>
      <c r="AY30" s="25">
        <f>Inventory[[#This Row],[Bsmt]]*Lookups!$B$89</f>
        <v>0</v>
      </c>
      <c r="AZ30" s="25">
        <f>Inventory[[#This Row],[Fixtures]]*Lookups!$B$90</f>
        <v>37920.221052000001</v>
      </c>
      <c r="BA30" s="25">
        <f>Inventory[[#This Row],[WdDeck]]*Lookups!$B$91</f>
        <v>0</v>
      </c>
      <c r="BB30" s="25">
        <f>ROUND(Inventory[[#This Row],[25Det]],-2)</f>
        <v>0</v>
      </c>
      <c r="BC30" s="25">
        <f>ROUND(SUM(Inventory[[#This Row],[Mdl Qlty]:[Mdl WdDeck]])+Inventory[[#This Row],[Mdl Res Intercept]],-2)</f>
        <v>288100</v>
      </c>
      <c r="BD30" s="25">
        <f>ROUND(Inventory[[#This Row],[Mdl Land Intercept]]+Inventory[[#This Row],[Mdl LnAcres]],-2)</f>
        <v>-21100</v>
      </c>
      <c r="BE30" s="25">
        <f>Inventory[[#This Row],[Unadj Res Value]]+Inventory[[#This Row],[Unadj Det Value]]+Inventory[[#This Row],[Unadj Land Value]]</f>
        <v>267000</v>
      </c>
      <c r="BF30" s="36">
        <f>(Inventory[[#This Row],[Unadj Total Value]]-Inventory[[#This Row],[24Final]])/Inventory[[#This Row],[24Final]]</f>
        <v>-3.1204644412191583E-2</v>
      </c>
      <c r="BG30" s="25">
        <f>VLOOKUP(Inventory[[#This Row],[Nbhd]],Lookups!$Q$2:$T$4,4,FALSE)</f>
        <v>0.99970000000000003</v>
      </c>
      <c r="BH30" s="25">
        <f>VLOOKUP(Inventory[[#This Row],[Qlty]],Lookups!$O$7:$R$21,4,FALSE)</f>
        <v>1.0088999999999999</v>
      </c>
      <c r="BI30" s="25">
        <f>VLOOKUP(Inventory[[#This Row],[Cnd]],Lookups!$T$7:$W$16,4,FALSE)</f>
        <v>0.99729999999999996</v>
      </c>
      <c r="BJ30" s="25">
        <f>VLOOKUP(Inventory[[#This Row],[LivArea Range]],Lookups!$T$25:$W$37,4,FALSE)</f>
        <v>1.0157</v>
      </c>
      <c r="BK30" s="25">
        <f>VLOOKUP(Inventory[[#This Row],[Decade]],Lookups!$O$25:$R$42,4,FALSE)</f>
        <v>0.97319999999999995</v>
      </c>
      <c r="BL30" s="25">
        <f>Inventory[[#This Row],[Nbhd Adj]]*0.95</f>
        <v>0.94971499999999998</v>
      </c>
      <c r="BM30" s="25">
        <f>Inventory[[#This Row],[Nbhd Adj]]*Inventory[[#This Row],[Quality Adj]]*Inventory[[#This Row],[Condition Adj]]*Inventory[[#This Row],[Living Area Adj]]*Inventory[[#This Row],[Decade Adj]]*0.95</f>
        <v>0.944571398768702</v>
      </c>
      <c r="BN30" s="25">
        <f>ROUND(SUM(Inventory[[#This Row],[Mdl Qlty]:[Mdl WdDeck]])+Inventory[[#This Row],[Mdl Res Intercept]]*Inventory[[#This Row],[Res Adj ]],-2)</f>
        <v>288100</v>
      </c>
      <c r="BO30" s="25">
        <f>ROUND(Inventory[[#This Row],[25Det]]*Inventory[[#This Row],[Det/Nbhd Adj]],-2)</f>
        <v>0</v>
      </c>
      <c r="BP30" s="25">
        <f>Inventory[[#This Row],[Adjusted Res]]+Inventory[[#This Row],[Adj Det ]]</f>
        <v>288100</v>
      </c>
      <c r="BQ30" s="25">
        <f>ROUND((Inventory[[#This Row],[Mdl Land Intercept]]+Inventory[[#This Row],[Mdl LnAcres]])*Inventory[[#This Row],[Det/Nbhd Adj]],-2)</f>
        <v>-20100</v>
      </c>
      <c r="BR30" s="25">
        <f>Inventory[[#This Row],[Adjusted Impr Total]]+Inventory[[#This Row],[Adjusted Land Total]]</f>
        <v>268000</v>
      </c>
      <c r="BS30" s="36">
        <f>IFERROR((Inventory[[#This Row],[Adjusted Impr Total]]-Inventory[[#This Row],[24Bldg]])/Inventory[[#This Row],[24Bldg]],0)</f>
        <v>0.22962014511310286</v>
      </c>
      <c r="BT30" s="36">
        <f>(Inventory[[#This Row],[Adjusted Land Total]]-Inventory[[#This Row],[24Lnd]])/Inventory[[#This Row],[24Lnd]]</f>
        <v>-1.486682808716707</v>
      </c>
      <c r="BU30" s="36">
        <f>(Inventory[[#This Row],[Adjusted Total]]-Inventory[[#This Row],[24Final]])/Inventory[[#This Row],[24Final]]</f>
        <v>-2.7576197387518143E-2</v>
      </c>
    </row>
    <row r="31" spans="1:73" x14ac:dyDescent="0.3">
      <c r="A31" s="25">
        <v>2025</v>
      </c>
      <c r="B31" s="26" t="s">
        <v>690</v>
      </c>
      <c r="C31" s="26">
        <f>LN(Inventory[[#This Row],[Acres]])</f>
        <v>-3.5065578973199818</v>
      </c>
      <c r="D31" s="25">
        <v>0.03</v>
      </c>
      <c r="E31" s="25">
        <v>1015</v>
      </c>
      <c r="F31" s="26" t="s">
        <v>537</v>
      </c>
      <c r="G31" s="26" t="s">
        <v>28</v>
      </c>
      <c r="H31" s="26" t="s">
        <v>349</v>
      </c>
      <c r="I31" s="26" t="s">
        <v>538</v>
      </c>
      <c r="J31" s="26" t="s">
        <v>551</v>
      </c>
      <c r="K31" s="26" t="s">
        <v>381</v>
      </c>
      <c r="L31" s="26" t="s">
        <v>302</v>
      </c>
      <c r="M31" s="26" t="s">
        <v>323</v>
      </c>
      <c r="N31" s="26">
        <v>30</v>
      </c>
      <c r="O31" s="26">
        <f>2024-Inventory[[#This Row],[YrBlt]]</f>
        <v>23</v>
      </c>
      <c r="P31" s="26">
        <f>2024-Inventory[[#This Row],[EffYr]]</f>
        <v>23</v>
      </c>
      <c r="Q31" s="25">
        <v>2001</v>
      </c>
      <c r="R31" s="25">
        <v>2001</v>
      </c>
      <c r="S31" s="25">
        <v>581</v>
      </c>
      <c r="T31" s="32">
        <v>810</v>
      </c>
      <c r="U31" s="31"/>
      <c r="V31" s="31">
        <f>Inventory[[#This Row],[Bsmt]]-Inventory[[#This Row],[FnBsmt]]</f>
        <v>0</v>
      </c>
      <c r="W31" s="31"/>
      <c r="X31" s="27"/>
      <c r="Y31" s="27">
        <f>Inventory[[#This Row],[MainFn]]+Inventory[[#This Row],[UpprFn]]+Inventory[[#This Row],[FnBsmt]]+Inventory[[#This Row],[AddFn]]</f>
        <v>1391</v>
      </c>
      <c r="Z31" s="27">
        <v>1500</v>
      </c>
      <c r="AA31" s="25">
        <v>10</v>
      </c>
      <c r="AB31" s="27"/>
      <c r="AC31" s="32">
        <v>434</v>
      </c>
      <c r="AD31" s="27"/>
      <c r="AE31" s="27"/>
      <c r="AF31" s="27"/>
      <c r="AG31" s="27"/>
      <c r="AH31" s="27"/>
      <c r="AI31" s="25">
        <v>257300</v>
      </c>
      <c r="AJ31" s="25">
        <v>231570</v>
      </c>
      <c r="AK31" s="25">
        <v>0</v>
      </c>
      <c r="AL31" s="25">
        <v>275600</v>
      </c>
      <c r="AM31" s="25">
        <v>41300</v>
      </c>
      <c r="AN31" s="25">
        <v>234300</v>
      </c>
      <c r="AO31" s="25">
        <v>0</v>
      </c>
      <c r="AP31" s="25">
        <f>Lookups!$B$56*0</f>
        <v>0</v>
      </c>
      <c r="AQ31" s="25">
        <f>Lookups!$B$56*1</f>
        <v>89850.625589999996</v>
      </c>
      <c r="AR31" s="25">
        <f>Lookups!$B$57*Inventory[[#This Row],[LnAcres]]</f>
        <v>-110998.74281323297</v>
      </c>
      <c r="AS31" s="25">
        <f>VLOOKUP(Inventory[[#This Row],[Qlty]],Lookups!$A$62:$E$75,2,FALSE)</f>
        <v>29814.093161000001</v>
      </c>
      <c r="AT31" s="25">
        <f>VLOOKUP(Inventory[[#This Row],[Cnd]],Lookups!$A$76:$E$84,2,FALSE)</f>
        <v>160472.20319</v>
      </c>
      <c r="AU31" s="25">
        <f>Inventory[[#This Row],[EffAge]]*Lookups!$B$85</f>
        <v>-5130.0488114999998</v>
      </c>
      <c r="AV31" s="25">
        <f>Inventory[[#This Row],[MainFn]]*Lookups!$B$86</f>
        <v>28706.437198537002</v>
      </c>
      <c r="AW31" s="25">
        <f>Inventory[[#This Row],[UpprFn]]*Lookups!$B$87</f>
        <v>36277.002517410001</v>
      </c>
      <c r="AX31" s="25">
        <f>Inventory[[#This Row],[AddFn]]*Lookups!$B$88</f>
        <v>0</v>
      </c>
      <c r="AY31" s="25">
        <f>Inventory[[#This Row],[Bsmt]]*Lookups!$B$89</f>
        <v>0</v>
      </c>
      <c r="AZ31" s="25">
        <f>Inventory[[#This Row],[Fixtures]]*Lookups!$B$90</f>
        <v>37920.221052000001</v>
      </c>
      <c r="BA31" s="25">
        <f>Inventory[[#This Row],[WdDeck]]*Lookups!$B$91</f>
        <v>0</v>
      </c>
      <c r="BB31" s="25">
        <f>ROUND(Inventory[[#This Row],[25Det]],-2)</f>
        <v>0</v>
      </c>
      <c r="BC31" s="25">
        <f>ROUND(SUM(Inventory[[#This Row],[Mdl Qlty]:[Mdl WdDeck]])+Inventory[[#This Row],[Mdl Res Intercept]],-2)</f>
        <v>288100</v>
      </c>
      <c r="BD31" s="25">
        <f>ROUND(Inventory[[#This Row],[Mdl Land Intercept]]+Inventory[[#This Row],[Mdl LnAcres]],-2)</f>
        <v>-21100</v>
      </c>
      <c r="BE31" s="25">
        <f>Inventory[[#This Row],[Unadj Res Value]]+Inventory[[#This Row],[Unadj Det Value]]+Inventory[[#This Row],[Unadj Land Value]]</f>
        <v>267000</v>
      </c>
      <c r="BF31" s="36">
        <f>(Inventory[[#This Row],[Unadj Total Value]]-Inventory[[#This Row],[24Final]])/Inventory[[#This Row],[24Final]]</f>
        <v>-3.1204644412191583E-2</v>
      </c>
      <c r="BG31" s="25">
        <f>VLOOKUP(Inventory[[#This Row],[Nbhd]],Lookups!$Q$2:$T$4,4,FALSE)</f>
        <v>0.99970000000000003</v>
      </c>
      <c r="BH31" s="25">
        <f>VLOOKUP(Inventory[[#This Row],[Qlty]],Lookups!$O$7:$R$21,4,FALSE)</f>
        <v>1.0088999999999999</v>
      </c>
      <c r="BI31" s="25">
        <f>VLOOKUP(Inventory[[#This Row],[Cnd]],Lookups!$T$7:$W$16,4,FALSE)</f>
        <v>0.99729999999999996</v>
      </c>
      <c r="BJ31" s="25">
        <f>VLOOKUP(Inventory[[#This Row],[LivArea Range]],Lookups!$T$25:$W$37,4,FALSE)</f>
        <v>1.0157</v>
      </c>
      <c r="BK31" s="25">
        <f>VLOOKUP(Inventory[[#This Row],[Decade]],Lookups!$O$25:$R$42,4,FALSE)</f>
        <v>0.97319999999999995</v>
      </c>
      <c r="BL31" s="25">
        <f>Inventory[[#This Row],[Nbhd Adj]]*0.95</f>
        <v>0.94971499999999998</v>
      </c>
      <c r="BM31" s="25">
        <f>Inventory[[#This Row],[Nbhd Adj]]*Inventory[[#This Row],[Quality Adj]]*Inventory[[#This Row],[Condition Adj]]*Inventory[[#This Row],[Living Area Adj]]*Inventory[[#This Row],[Decade Adj]]*0.95</f>
        <v>0.944571398768702</v>
      </c>
      <c r="BN31" s="25">
        <f>ROUND(SUM(Inventory[[#This Row],[Mdl Qlty]:[Mdl WdDeck]])+Inventory[[#This Row],[Mdl Res Intercept]]*Inventory[[#This Row],[Res Adj ]],-2)</f>
        <v>288100</v>
      </c>
      <c r="BO31" s="25">
        <f>ROUND(Inventory[[#This Row],[25Det]]*Inventory[[#This Row],[Det/Nbhd Adj]],-2)</f>
        <v>0</v>
      </c>
      <c r="BP31" s="25">
        <f>Inventory[[#This Row],[Adjusted Res]]+Inventory[[#This Row],[Adj Det ]]</f>
        <v>288100</v>
      </c>
      <c r="BQ31" s="25">
        <f>ROUND((Inventory[[#This Row],[Mdl Land Intercept]]+Inventory[[#This Row],[Mdl LnAcres]])*Inventory[[#This Row],[Det/Nbhd Adj]],-2)</f>
        <v>-20100</v>
      </c>
      <c r="BR31" s="25">
        <f>Inventory[[#This Row],[Adjusted Impr Total]]+Inventory[[#This Row],[Adjusted Land Total]]</f>
        <v>268000</v>
      </c>
      <c r="BS31" s="36">
        <f>IFERROR((Inventory[[#This Row],[Adjusted Impr Total]]-Inventory[[#This Row],[24Bldg]])/Inventory[[#This Row],[24Bldg]],0)</f>
        <v>0.22962014511310286</v>
      </c>
      <c r="BT31" s="36">
        <f>(Inventory[[#This Row],[Adjusted Land Total]]-Inventory[[#This Row],[24Lnd]])/Inventory[[#This Row],[24Lnd]]</f>
        <v>-1.486682808716707</v>
      </c>
      <c r="BU31" s="36">
        <f>(Inventory[[#This Row],[Adjusted Total]]-Inventory[[#This Row],[24Final]])/Inventory[[#This Row],[24Final]]</f>
        <v>-2.7576197387518143E-2</v>
      </c>
    </row>
    <row r="32" spans="1:73" x14ac:dyDescent="0.3">
      <c r="A32" s="25">
        <v>2025</v>
      </c>
      <c r="B32" s="26" t="s">
        <v>691</v>
      </c>
      <c r="C32" s="26">
        <f>LN(Inventory[[#This Row],[Acres]])</f>
        <v>-3.5065578973199818</v>
      </c>
      <c r="D32" s="25">
        <v>0.03</v>
      </c>
      <c r="E32" s="25">
        <v>1015</v>
      </c>
      <c r="F32" s="26" t="s">
        <v>537</v>
      </c>
      <c r="G32" s="26" t="s">
        <v>28</v>
      </c>
      <c r="H32" s="26" t="s">
        <v>349</v>
      </c>
      <c r="I32" s="26" t="s">
        <v>538</v>
      </c>
      <c r="J32" s="26" t="s">
        <v>551</v>
      </c>
      <c r="K32" s="26" t="s">
        <v>381</v>
      </c>
      <c r="L32" s="26" t="s">
        <v>302</v>
      </c>
      <c r="M32" s="26" t="s">
        <v>323</v>
      </c>
      <c r="N32" s="26">
        <v>30</v>
      </c>
      <c r="O32" s="26">
        <f>2024-Inventory[[#This Row],[YrBlt]]</f>
        <v>23</v>
      </c>
      <c r="P32" s="26">
        <f>2024-Inventory[[#This Row],[EffYr]]</f>
        <v>23</v>
      </c>
      <c r="Q32" s="25">
        <v>2001</v>
      </c>
      <c r="R32" s="25">
        <v>2001</v>
      </c>
      <c r="S32" s="25">
        <v>581</v>
      </c>
      <c r="T32" s="32">
        <v>810</v>
      </c>
      <c r="U32" s="31"/>
      <c r="V32" s="31">
        <f>Inventory[[#This Row],[Bsmt]]-Inventory[[#This Row],[FnBsmt]]</f>
        <v>0</v>
      </c>
      <c r="W32" s="31"/>
      <c r="X32" s="27"/>
      <c r="Y32" s="27">
        <f>Inventory[[#This Row],[MainFn]]+Inventory[[#This Row],[UpprFn]]+Inventory[[#This Row],[FnBsmt]]+Inventory[[#This Row],[AddFn]]</f>
        <v>1391</v>
      </c>
      <c r="Z32" s="27">
        <v>1500</v>
      </c>
      <c r="AA32" s="25">
        <v>10</v>
      </c>
      <c r="AB32" s="27"/>
      <c r="AC32" s="32">
        <v>434</v>
      </c>
      <c r="AD32" s="27"/>
      <c r="AE32" s="27"/>
      <c r="AF32" s="27"/>
      <c r="AG32" s="27"/>
      <c r="AH32" s="27"/>
      <c r="AI32" s="25">
        <v>257300</v>
      </c>
      <c r="AJ32" s="25">
        <v>231570</v>
      </c>
      <c r="AK32" s="25">
        <v>0</v>
      </c>
      <c r="AL32" s="25">
        <v>275600</v>
      </c>
      <c r="AM32" s="25">
        <v>41300</v>
      </c>
      <c r="AN32" s="25">
        <v>234300</v>
      </c>
      <c r="AO32" s="25">
        <v>0</v>
      </c>
      <c r="AP32" s="25">
        <f>Lookups!$B$56*0</f>
        <v>0</v>
      </c>
      <c r="AQ32" s="25">
        <f>Lookups!$B$56*1</f>
        <v>89850.625589999996</v>
      </c>
      <c r="AR32" s="25">
        <f>Lookups!$B$57*Inventory[[#This Row],[LnAcres]]</f>
        <v>-110998.74281323297</v>
      </c>
      <c r="AS32" s="25">
        <f>VLOOKUP(Inventory[[#This Row],[Qlty]],Lookups!$A$62:$E$75,2,FALSE)</f>
        <v>29814.093161000001</v>
      </c>
      <c r="AT32" s="25">
        <f>VLOOKUP(Inventory[[#This Row],[Cnd]],Lookups!$A$76:$E$84,2,FALSE)</f>
        <v>160472.20319</v>
      </c>
      <c r="AU32" s="25">
        <f>Inventory[[#This Row],[EffAge]]*Lookups!$B$85</f>
        <v>-5130.0488114999998</v>
      </c>
      <c r="AV32" s="25">
        <f>Inventory[[#This Row],[MainFn]]*Lookups!$B$86</f>
        <v>28706.437198537002</v>
      </c>
      <c r="AW32" s="25">
        <f>Inventory[[#This Row],[UpprFn]]*Lookups!$B$87</f>
        <v>36277.002517410001</v>
      </c>
      <c r="AX32" s="25">
        <f>Inventory[[#This Row],[AddFn]]*Lookups!$B$88</f>
        <v>0</v>
      </c>
      <c r="AY32" s="25">
        <f>Inventory[[#This Row],[Bsmt]]*Lookups!$B$89</f>
        <v>0</v>
      </c>
      <c r="AZ32" s="25">
        <f>Inventory[[#This Row],[Fixtures]]*Lookups!$B$90</f>
        <v>37920.221052000001</v>
      </c>
      <c r="BA32" s="25">
        <f>Inventory[[#This Row],[WdDeck]]*Lookups!$B$91</f>
        <v>0</v>
      </c>
      <c r="BB32" s="25">
        <f>ROUND(Inventory[[#This Row],[25Det]],-2)</f>
        <v>0</v>
      </c>
      <c r="BC32" s="25">
        <f>ROUND(SUM(Inventory[[#This Row],[Mdl Qlty]:[Mdl WdDeck]])+Inventory[[#This Row],[Mdl Res Intercept]],-2)</f>
        <v>288100</v>
      </c>
      <c r="BD32" s="25">
        <f>ROUND(Inventory[[#This Row],[Mdl Land Intercept]]+Inventory[[#This Row],[Mdl LnAcres]],-2)</f>
        <v>-21100</v>
      </c>
      <c r="BE32" s="25">
        <f>Inventory[[#This Row],[Unadj Res Value]]+Inventory[[#This Row],[Unadj Det Value]]+Inventory[[#This Row],[Unadj Land Value]]</f>
        <v>267000</v>
      </c>
      <c r="BF32" s="36">
        <f>(Inventory[[#This Row],[Unadj Total Value]]-Inventory[[#This Row],[24Final]])/Inventory[[#This Row],[24Final]]</f>
        <v>-3.1204644412191583E-2</v>
      </c>
      <c r="BG32" s="25">
        <f>VLOOKUP(Inventory[[#This Row],[Nbhd]],Lookups!$Q$2:$T$4,4,FALSE)</f>
        <v>0.99970000000000003</v>
      </c>
      <c r="BH32" s="25">
        <f>VLOOKUP(Inventory[[#This Row],[Qlty]],Lookups!$O$7:$R$21,4,FALSE)</f>
        <v>1.0088999999999999</v>
      </c>
      <c r="BI32" s="25">
        <f>VLOOKUP(Inventory[[#This Row],[Cnd]],Lookups!$T$7:$W$16,4,FALSE)</f>
        <v>0.99729999999999996</v>
      </c>
      <c r="BJ32" s="25">
        <f>VLOOKUP(Inventory[[#This Row],[LivArea Range]],Lookups!$T$25:$W$37,4,FALSE)</f>
        <v>1.0157</v>
      </c>
      <c r="BK32" s="25">
        <f>VLOOKUP(Inventory[[#This Row],[Decade]],Lookups!$O$25:$R$42,4,FALSE)</f>
        <v>0.97319999999999995</v>
      </c>
      <c r="BL32" s="25">
        <f>Inventory[[#This Row],[Nbhd Adj]]*0.95</f>
        <v>0.94971499999999998</v>
      </c>
      <c r="BM32" s="25">
        <f>Inventory[[#This Row],[Nbhd Adj]]*Inventory[[#This Row],[Quality Adj]]*Inventory[[#This Row],[Condition Adj]]*Inventory[[#This Row],[Living Area Adj]]*Inventory[[#This Row],[Decade Adj]]*0.95</f>
        <v>0.944571398768702</v>
      </c>
      <c r="BN32" s="25">
        <f>ROUND(SUM(Inventory[[#This Row],[Mdl Qlty]:[Mdl WdDeck]])+Inventory[[#This Row],[Mdl Res Intercept]]*Inventory[[#This Row],[Res Adj ]],-2)</f>
        <v>288100</v>
      </c>
      <c r="BO32" s="25">
        <f>ROUND(Inventory[[#This Row],[25Det]]*Inventory[[#This Row],[Det/Nbhd Adj]],-2)</f>
        <v>0</v>
      </c>
      <c r="BP32" s="25">
        <f>Inventory[[#This Row],[Adjusted Res]]+Inventory[[#This Row],[Adj Det ]]</f>
        <v>288100</v>
      </c>
      <c r="BQ32" s="25">
        <f>ROUND((Inventory[[#This Row],[Mdl Land Intercept]]+Inventory[[#This Row],[Mdl LnAcres]])*Inventory[[#This Row],[Det/Nbhd Adj]],-2)</f>
        <v>-20100</v>
      </c>
      <c r="BR32" s="25">
        <f>Inventory[[#This Row],[Adjusted Impr Total]]+Inventory[[#This Row],[Adjusted Land Total]]</f>
        <v>268000</v>
      </c>
      <c r="BS32" s="36">
        <f>IFERROR((Inventory[[#This Row],[Adjusted Impr Total]]-Inventory[[#This Row],[24Bldg]])/Inventory[[#This Row],[24Bldg]],0)</f>
        <v>0.22962014511310286</v>
      </c>
      <c r="BT32" s="36">
        <f>(Inventory[[#This Row],[Adjusted Land Total]]-Inventory[[#This Row],[24Lnd]])/Inventory[[#This Row],[24Lnd]]</f>
        <v>-1.486682808716707</v>
      </c>
      <c r="BU32" s="36">
        <f>(Inventory[[#This Row],[Adjusted Total]]-Inventory[[#This Row],[24Final]])/Inventory[[#This Row],[24Final]]</f>
        <v>-2.7576197387518143E-2</v>
      </c>
    </row>
    <row r="33" spans="1:73" x14ac:dyDescent="0.3">
      <c r="A33" s="25">
        <v>2025</v>
      </c>
      <c r="B33" s="26" t="s">
        <v>692</v>
      </c>
      <c r="C33" s="26">
        <f>LN(Inventory[[#This Row],[Acres]])</f>
        <v>-3.5065578973199818</v>
      </c>
      <c r="D33" s="25">
        <v>0.03</v>
      </c>
      <c r="E33" s="25">
        <v>1015</v>
      </c>
      <c r="F33" s="26" t="s">
        <v>537</v>
      </c>
      <c r="G33" s="26" t="s">
        <v>28</v>
      </c>
      <c r="H33" s="26" t="s">
        <v>349</v>
      </c>
      <c r="I33" s="26" t="s">
        <v>538</v>
      </c>
      <c r="J33" s="26" t="s">
        <v>551</v>
      </c>
      <c r="K33" s="26" t="s">
        <v>381</v>
      </c>
      <c r="L33" s="26" t="s">
        <v>302</v>
      </c>
      <c r="M33" s="26" t="s">
        <v>323</v>
      </c>
      <c r="N33" s="26">
        <v>30</v>
      </c>
      <c r="O33" s="26">
        <f>2024-Inventory[[#This Row],[YrBlt]]</f>
        <v>23</v>
      </c>
      <c r="P33" s="26">
        <f>2024-Inventory[[#This Row],[EffYr]]</f>
        <v>23</v>
      </c>
      <c r="Q33" s="25">
        <v>2001</v>
      </c>
      <c r="R33" s="25">
        <v>2001</v>
      </c>
      <c r="S33" s="25">
        <v>581</v>
      </c>
      <c r="T33" s="32">
        <v>810</v>
      </c>
      <c r="U33" s="27"/>
      <c r="V33" s="27">
        <f>Inventory[[#This Row],[Bsmt]]-Inventory[[#This Row],[FnBsmt]]</f>
        <v>0</v>
      </c>
      <c r="W33" s="27"/>
      <c r="X33" s="27"/>
      <c r="Y33" s="27">
        <f>Inventory[[#This Row],[MainFn]]+Inventory[[#This Row],[UpprFn]]+Inventory[[#This Row],[FnBsmt]]+Inventory[[#This Row],[AddFn]]</f>
        <v>1391</v>
      </c>
      <c r="Z33" s="27">
        <v>1500</v>
      </c>
      <c r="AA33" s="25">
        <v>10</v>
      </c>
      <c r="AB33" s="31"/>
      <c r="AC33" s="32">
        <v>434</v>
      </c>
      <c r="AD33" s="27"/>
      <c r="AE33" s="27"/>
      <c r="AF33" s="27"/>
      <c r="AG33" s="27"/>
      <c r="AH33" s="27"/>
      <c r="AI33" s="25">
        <v>257300</v>
      </c>
      <c r="AJ33" s="25">
        <v>231570</v>
      </c>
      <c r="AK33" s="25">
        <v>0</v>
      </c>
      <c r="AL33" s="25">
        <v>275600</v>
      </c>
      <c r="AM33" s="25">
        <v>41300</v>
      </c>
      <c r="AN33" s="25">
        <v>234300</v>
      </c>
      <c r="AO33" s="25">
        <v>0</v>
      </c>
      <c r="AP33" s="25">
        <f>Lookups!$B$56*0</f>
        <v>0</v>
      </c>
      <c r="AQ33" s="25">
        <f>Lookups!$B$56*1</f>
        <v>89850.625589999996</v>
      </c>
      <c r="AR33" s="25">
        <f>Lookups!$B$57*Inventory[[#This Row],[LnAcres]]</f>
        <v>-110998.74281323297</v>
      </c>
      <c r="AS33" s="25">
        <f>VLOOKUP(Inventory[[#This Row],[Qlty]],Lookups!$A$62:$E$75,2,FALSE)</f>
        <v>29814.093161000001</v>
      </c>
      <c r="AT33" s="25">
        <f>VLOOKUP(Inventory[[#This Row],[Cnd]],Lookups!$A$76:$E$84,2,FALSE)</f>
        <v>160472.20319</v>
      </c>
      <c r="AU33" s="25">
        <f>Inventory[[#This Row],[EffAge]]*Lookups!$B$85</f>
        <v>-5130.0488114999998</v>
      </c>
      <c r="AV33" s="25">
        <f>Inventory[[#This Row],[MainFn]]*Lookups!$B$86</f>
        <v>28706.437198537002</v>
      </c>
      <c r="AW33" s="25">
        <f>Inventory[[#This Row],[UpprFn]]*Lookups!$B$87</f>
        <v>36277.002517410001</v>
      </c>
      <c r="AX33" s="25">
        <f>Inventory[[#This Row],[AddFn]]*Lookups!$B$88</f>
        <v>0</v>
      </c>
      <c r="AY33" s="25">
        <f>Inventory[[#This Row],[Bsmt]]*Lookups!$B$89</f>
        <v>0</v>
      </c>
      <c r="AZ33" s="25">
        <f>Inventory[[#This Row],[Fixtures]]*Lookups!$B$90</f>
        <v>37920.221052000001</v>
      </c>
      <c r="BA33" s="25">
        <f>Inventory[[#This Row],[WdDeck]]*Lookups!$B$91</f>
        <v>0</v>
      </c>
      <c r="BB33" s="25">
        <f>ROUND(Inventory[[#This Row],[25Det]],-2)</f>
        <v>0</v>
      </c>
      <c r="BC33" s="25">
        <f>ROUND(SUM(Inventory[[#This Row],[Mdl Qlty]:[Mdl WdDeck]])+Inventory[[#This Row],[Mdl Res Intercept]],-2)</f>
        <v>288100</v>
      </c>
      <c r="BD33" s="25">
        <f>ROUND(Inventory[[#This Row],[Mdl Land Intercept]]+Inventory[[#This Row],[Mdl LnAcres]],-2)</f>
        <v>-21100</v>
      </c>
      <c r="BE33" s="25">
        <f>Inventory[[#This Row],[Unadj Res Value]]+Inventory[[#This Row],[Unadj Det Value]]+Inventory[[#This Row],[Unadj Land Value]]</f>
        <v>267000</v>
      </c>
      <c r="BF33" s="36">
        <f>(Inventory[[#This Row],[Unadj Total Value]]-Inventory[[#This Row],[24Final]])/Inventory[[#This Row],[24Final]]</f>
        <v>-3.1204644412191583E-2</v>
      </c>
      <c r="BG33" s="25">
        <f>VLOOKUP(Inventory[[#This Row],[Nbhd]],Lookups!$Q$2:$T$4,4,FALSE)</f>
        <v>0.99970000000000003</v>
      </c>
      <c r="BH33" s="25">
        <f>VLOOKUP(Inventory[[#This Row],[Qlty]],Lookups!$O$7:$R$21,4,FALSE)</f>
        <v>1.0088999999999999</v>
      </c>
      <c r="BI33" s="25">
        <f>VLOOKUP(Inventory[[#This Row],[Cnd]],Lookups!$T$7:$W$16,4,FALSE)</f>
        <v>0.99729999999999996</v>
      </c>
      <c r="BJ33" s="25">
        <f>VLOOKUP(Inventory[[#This Row],[LivArea Range]],Lookups!$T$25:$W$37,4,FALSE)</f>
        <v>1.0157</v>
      </c>
      <c r="BK33" s="25">
        <f>VLOOKUP(Inventory[[#This Row],[Decade]],Lookups!$O$25:$R$42,4,FALSE)</f>
        <v>0.97319999999999995</v>
      </c>
      <c r="BL33" s="25">
        <f>Inventory[[#This Row],[Nbhd Adj]]*0.95</f>
        <v>0.94971499999999998</v>
      </c>
      <c r="BM33" s="25">
        <f>Inventory[[#This Row],[Nbhd Adj]]*Inventory[[#This Row],[Quality Adj]]*Inventory[[#This Row],[Condition Adj]]*Inventory[[#This Row],[Living Area Adj]]*Inventory[[#This Row],[Decade Adj]]*0.95</f>
        <v>0.944571398768702</v>
      </c>
      <c r="BN33" s="25">
        <f>ROUND(SUM(Inventory[[#This Row],[Mdl Qlty]:[Mdl WdDeck]])+Inventory[[#This Row],[Mdl Res Intercept]]*Inventory[[#This Row],[Res Adj ]],-2)</f>
        <v>288100</v>
      </c>
      <c r="BO33" s="25">
        <f>ROUND(Inventory[[#This Row],[25Det]]*Inventory[[#This Row],[Det/Nbhd Adj]],-2)</f>
        <v>0</v>
      </c>
      <c r="BP33" s="25">
        <f>Inventory[[#This Row],[Adjusted Res]]+Inventory[[#This Row],[Adj Det ]]</f>
        <v>288100</v>
      </c>
      <c r="BQ33" s="25">
        <f>ROUND((Inventory[[#This Row],[Mdl Land Intercept]]+Inventory[[#This Row],[Mdl LnAcres]])*Inventory[[#This Row],[Det/Nbhd Adj]],-2)</f>
        <v>-20100</v>
      </c>
      <c r="BR33" s="25">
        <f>Inventory[[#This Row],[Adjusted Impr Total]]+Inventory[[#This Row],[Adjusted Land Total]]</f>
        <v>268000</v>
      </c>
      <c r="BS33" s="36">
        <f>IFERROR((Inventory[[#This Row],[Adjusted Impr Total]]-Inventory[[#This Row],[24Bldg]])/Inventory[[#This Row],[24Bldg]],0)</f>
        <v>0.22962014511310286</v>
      </c>
      <c r="BT33" s="36">
        <f>(Inventory[[#This Row],[Adjusted Land Total]]-Inventory[[#This Row],[24Lnd]])/Inventory[[#This Row],[24Lnd]]</f>
        <v>-1.486682808716707</v>
      </c>
      <c r="BU33" s="36">
        <f>(Inventory[[#This Row],[Adjusted Total]]-Inventory[[#This Row],[24Final]])/Inventory[[#This Row],[24Final]]</f>
        <v>-2.7576197387518143E-2</v>
      </c>
    </row>
    <row r="34" spans="1:73" x14ac:dyDescent="0.3">
      <c r="A34" s="25">
        <v>2025</v>
      </c>
      <c r="B34" s="26" t="s">
        <v>693</v>
      </c>
      <c r="C34" s="26">
        <f>LN(Inventory[[#This Row],[Acres]])</f>
        <v>-3.5065578973199818</v>
      </c>
      <c r="D34" s="25">
        <v>0.03</v>
      </c>
      <c r="E34" s="25">
        <v>1015</v>
      </c>
      <c r="F34" s="26" t="s">
        <v>537</v>
      </c>
      <c r="G34" s="26" t="s">
        <v>28</v>
      </c>
      <c r="H34" s="26" t="s">
        <v>349</v>
      </c>
      <c r="I34" s="26" t="s">
        <v>538</v>
      </c>
      <c r="J34" s="26" t="s">
        <v>551</v>
      </c>
      <c r="K34" s="26" t="s">
        <v>381</v>
      </c>
      <c r="L34" s="26" t="s">
        <v>302</v>
      </c>
      <c r="M34" s="26" t="s">
        <v>323</v>
      </c>
      <c r="N34" s="26">
        <v>30</v>
      </c>
      <c r="O34" s="26">
        <f>2024-Inventory[[#This Row],[YrBlt]]</f>
        <v>23</v>
      </c>
      <c r="P34" s="26">
        <f>2024-Inventory[[#This Row],[EffYr]]</f>
        <v>23</v>
      </c>
      <c r="Q34" s="25">
        <v>2001</v>
      </c>
      <c r="R34" s="25">
        <v>2001</v>
      </c>
      <c r="S34" s="25">
        <v>581</v>
      </c>
      <c r="T34" s="32">
        <v>810</v>
      </c>
      <c r="U34" s="27"/>
      <c r="V34" s="27">
        <f>Inventory[[#This Row],[Bsmt]]-Inventory[[#This Row],[FnBsmt]]</f>
        <v>0</v>
      </c>
      <c r="W34" s="27"/>
      <c r="X34" s="27"/>
      <c r="Y34" s="27">
        <f>Inventory[[#This Row],[MainFn]]+Inventory[[#This Row],[UpprFn]]+Inventory[[#This Row],[FnBsmt]]+Inventory[[#This Row],[AddFn]]</f>
        <v>1391</v>
      </c>
      <c r="Z34" s="27">
        <v>1500</v>
      </c>
      <c r="AA34" s="25">
        <v>10</v>
      </c>
      <c r="AB34" s="31"/>
      <c r="AC34" s="32">
        <v>434</v>
      </c>
      <c r="AD34" s="27"/>
      <c r="AE34" s="27"/>
      <c r="AF34" s="27"/>
      <c r="AG34" s="27"/>
      <c r="AH34" s="27"/>
      <c r="AI34" s="25">
        <v>257300</v>
      </c>
      <c r="AJ34" s="25">
        <v>231570</v>
      </c>
      <c r="AK34" s="25">
        <v>0</v>
      </c>
      <c r="AL34" s="25">
        <v>275600</v>
      </c>
      <c r="AM34" s="25">
        <v>41300</v>
      </c>
      <c r="AN34" s="25">
        <v>234300</v>
      </c>
      <c r="AO34" s="25">
        <v>0</v>
      </c>
      <c r="AP34" s="25">
        <f>Lookups!$B$56*0</f>
        <v>0</v>
      </c>
      <c r="AQ34" s="25">
        <f>Lookups!$B$56*1</f>
        <v>89850.625589999996</v>
      </c>
      <c r="AR34" s="25">
        <f>Lookups!$B$57*Inventory[[#This Row],[LnAcres]]</f>
        <v>-110998.74281323297</v>
      </c>
      <c r="AS34" s="25">
        <f>VLOOKUP(Inventory[[#This Row],[Qlty]],Lookups!$A$62:$E$75,2,FALSE)</f>
        <v>29814.093161000001</v>
      </c>
      <c r="AT34" s="25">
        <f>VLOOKUP(Inventory[[#This Row],[Cnd]],Lookups!$A$76:$E$84,2,FALSE)</f>
        <v>160472.20319</v>
      </c>
      <c r="AU34" s="25">
        <f>Inventory[[#This Row],[EffAge]]*Lookups!$B$85</f>
        <v>-5130.0488114999998</v>
      </c>
      <c r="AV34" s="25">
        <f>Inventory[[#This Row],[MainFn]]*Lookups!$B$86</f>
        <v>28706.437198537002</v>
      </c>
      <c r="AW34" s="25">
        <f>Inventory[[#This Row],[UpprFn]]*Lookups!$B$87</f>
        <v>36277.002517410001</v>
      </c>
      <c r="AX34" s="25">
        <f>Inventory[[#This Row],[AddFn]]*Lookups!$B$88</f>
        <v>0</v>
      </c>
      <c r="AY34" s="25">
        <f>Inventory[[#This Row],[Bsmt]]*Lookups!$B$89</f>
        <v>0</v>
      </c>
      <c r="AZ34" s="25">
        <f>Inventory[[#This Row],[Fixtures]]*Lookups!$B$90</f>
        <v>37920.221052000001</v>
      </c>
      <c r="BA34" s="25">
        <f>Inventory[[#This Row],[WdDeck]]*Lookups!$B$91</f>
        <v>0</v>
      </c>
      <c r="BB34" s="25">
        <f>ROUND(Inventory[[#This Row],[25Det]],-2)</f>
        <v>0</v>
      </c>
      <c r="BC34" s="25">
        <f>ROUND(SUM(Inventory[[#This Row],[Mdl Qlty]:[Mdl WdDeck]])+Inventory[[#This Row],[Mdl Res Intercept]],-2)</f>
        <v>288100</v>
      </c>
      <c r="BD34" s="25">
        <f>ROUND(Inventory[[#This Row],[Mdl Land Intercept]]+Inventory[[#This Row],[Mdl LnAcres]],-2)</f>
        <v>-21100</v>
      </c>
      <c r="BE34" s="25">
        <f>Inventory[[#This Row],[Unadj Res Value]]+Inventory[[#This Row],[Unadj Det Value]]+Inventory[[#This Row],[Unadj Land Value]]</f>
        <v>267000</v>
      </c>
      <c r="BF34" s="36">
        <f>(Inventory[[#This Row],[Unadj Total Value]]-Inventory[[#This Row],[24Final]])/Inventory[[#This Row],[24Final]]</f>
        <v>-3.1204644412191583E-2</v>
      </c>
      <c r="BG34" s="25">
        <f>VLOOKUP(Inventory[[#This Row],[Nbhd]],Lookups!$Q$2:$T$4,4,FALSE)</f>
        <v>0.99970000000000003</v>
      </c>
      <c r="BH34" s="25">
        <f>VLOOKUP(Inventory[[#This Row],[Qlty]],Lookups!$O$7:$R$21,4,FALSE)</f>
        <v>1.0088999999999999</v>
      </c>
      <c r="BI34" s="25">
        <f>VLOOKUP(Inventory[[#This Row],[Cnd]],Lookups!$T$7:$W$16,4,FALSE)</f>
        <v>0.99729999999999996</v>
      </c>
      <c r="BJ34" s="25">
        <f>VLOOKUP(Inventory[[#This Row],[LivArea Range]],Lookups!$T$25:$W$37,4,FALSE)</f>
        <v>1.0157</v>
      </c>
      <c r="BK34" s="25">
        <f>VLOOKUP(Inventory[[#This Row],[Decade]],Lookups!$O$25:$R$42,4,FALSE)</f>
        <v>0.97319999999999995</v>
      </c>
      <c r="BL34" s="25">
        <f>Inventory[[#This Row],[Nbhd Adj]]*0.95</f>
        <v>0.94971499999999998</v>
      </c>
      <c r="BM34" s="25">
        <f>Inventory[[#This Row],[Nbhd Adj]]*Inventory[[#This Row],[Quality Adj]]*Inventory[[#This Row],[Condition Adj]]*Inventory[[#This Row],[Living Area Adj]]*Inventory[[#This Row],[Decade Adj]]*0.95</f>
        <v>0.944571398768702</v>
      </c>
      <c r="BN34" s="25">
        <f>ROUND(SUM(Inventory[[#This Row],[Mdl Qlty]:[Mdl WdDeck]])+Inventory[[#This Row],[Mdl Res Intercept]]*Inventory[[#This Row],[Res Adj ]],-2)</f>
        <v>288100</v>
      </c>
      <c r="BO34" s="25">
        <f>ROUND(Inventory[[#This Row],[25Det]]*Inventory[[#This Row],[Det/Nbhd Adj]],-2)</f>
        <v>0</v>
      </c>
      <c r="BP34" s="25">
        <f>Inventory[[#This Row],[Adjusted Res]]+Inventory[[#This Row],[Adj Det ]]</f>
        <v>288100</v>
      </c>
      <c r="BQ34" s="25">
        <f>ROUND((Inventory[[#This Row],[Mdl Land Intercept]]+Inventory[[#This Row],[Mdl LnAcres]])*Inventory[[#This Row],[Det/Nbhd Adj]],-2)</f>
        <v>-20100</v>
      </c>
      <c r="BR34" s="25">
        <f>Inventory[[#This Row],[Adjusted Impr Total]]+Inventory[[#This Row],[Adjusted Land Total]]</f>
        <v>268000</v>
      </c>
      <c r="BS34" s="36">
        <f>IFERROR((Inventory[[#This Row],[Adjusted Impr Total]]-Inventory[[#This Row],[24Bldg]])/Inventory[[#This Row],[24Bldg]],0)</f>
        <v>0.22962014511310286</v>
      </c>
      <c r="BT34" s="36">
        <f>(Inventory[[#This Row],[Adjusted Land Total]]-Inventory[[#This Row],[24Lnd]])/Inventory[[#This Row],[24Lnd]]</f>
        <v>-1.486682808716707</v>
      </c>
      <c r="BU34" s="36">
        <f>(Inventory[[#This Row],[Adjusted Total]]-Inventory[[#This Row],[24Final]])/Inventory[[#This Row],[24Final]]</f>
        <v>-2.7576197387518143E-2</v>
      </c>
    </row>
    <row r="35" spans="1:73" x14ac:dyDescent="0.3">
      <c r="A35" s="25">
        <v>2025</v>
      </c>
      <c r="B35" s="26" t="s">
        <v>694</v>
      </c>
      <c r="C35" s="26">
        <f>LN(Inventory[[#This Row],[Acres]])</f>
        <v>-3.5065578973199818</v>
      </c>
      <c r="D35" s="25">
        <v>0.03</v>
      </c>
      <c r="E35" s="25">
        <v>1015</v>
      </c>
      <c r="F35" s="26" t="s">
        <v>537</v>
      </c>
      <c r="G35" s="26" t="s">
        <v>28</v>
      </c>
      <c r="H35" s="26" t="s">
        <v>349</v>
      </c>
      <c r="I35" s="26" t="s">
        <v>538</v>
      </c>
      <c r="J35" s="26" t="s">
        <v>551</v>
      </c>
      <c r="K35" s="26" t="s">
        <v>381</v>
      </c>
      <c r="L35" s="26" t="s">
        <v>302</v>
      </c>
      <c r="M35" s="26" t="s">
        <v>323</v>
      </c>
      <c r="N35" s="26">
        <v>30</v>
      </c>
      <c r="O35" s="26">
        <f>2024-Inventory[[#This Row],[YrBlt]]</f>
        <v>23</v>
      </c>
      <c r="P35" s="26">
        <f>2024-Inventory[[#This Row],[EffYr]]</f>
        <v>23</v>
      </c>
      <c r="Q35" s="25">
        <v>2001</v>
      </c>
      <c r="R35" s="25">
        <v>2001</v>
      </c>
      <c r="S35" s="25">
        <v>581</v>
      </c>
      <c r="T35" s="32">
        <v>810</v>
      </c>
      <c r="U35" s="27"/>
      <c r="V35" s="27">
        <f>Inventory[[#This Row],[Bsmt]]-Inventory[[#This Row],[FnBsmt]]</f>
        <v>0</v>
      </c>
      <c r="W35" s="27"/>
      <c r="X35" s="27"/>
      <c r="Y35" s="27">
        <f>Inventory[[#This Row],[MainFn]]+Inventory[[#This Row],[UpprFn]]+Inventory[[#This Row],[FnBsmt]]+Inventory[[#This Row],[AddFn]]</f>
        <v>1391</v>
      </c>
      <c r="Z35" s="27">
        <v>1500</v>
      </c>
      <c r="AA35" s="25">
        <v>10</v>
      </c>
      <c r="AB35" s="31"/>
      <c r="AC35" s="32">
        <v>434</v>
      </c>
      <c r="AD35" s="27"/>
      <c r="AE35" s="27"/>
      <c r="AF35" s="27"/>
      <c r="AG35" s="27"/>
      <c r="AH35" s="27"/>
      <c r="AI35" s="25">
        <v>257300</v>
      </c>
      <c r="AJ35" s="25">
        <v>231570</v>
      </c>
      <c r="AK35" s="25">
        <v>0</v>
      </c>
      <c r="AL35" s="25">
        <v>275600</v>
      </c>
      <c r="AM35" s="25">
        <v>41300</v>
      </c>
      <c r="AN35" s="25">
        <v>234300</v>
      </c>
      <c r="AO35" s="25">
        <v>0</v>
      </c>
      <c r="AP35" s="25">
        <f>Lookups!$B$56*0</f>
        <v>0</v>
      </c>
      <c r="AQ35" s="25">
        <f>Lookups!$B$56*1</f>
        <v>89850.625589999996</v>
      </c>
      <c r="AR35" s="25">
        <f>Lookups!$B$57*Inventory[[#This Row],[LnAcres]]</f>
        <v>-110998.74281323297</v>
      </c>
      <c r="AS35" s="25">
        <f>VLOOKUP(Inventory[[#This Row],[Qlty]],Lookups!$A$62:$E$75,2,FALSE)</f>
        <v>29814.093161000001</v>
      </c>
      <c r="AT35" s="25">
        <f>VLOOKUP(Inventory[[#This Row],[Cnd]],Lookups!$A$76:$E$84,2,FALSE)</f>
        <v>160472.20319</v>
      </c>
      <c r="AU35" s="25">
        <f>Inventory[[#This Row],[EffAge]]*Lookups!$B$85</f>
        <v>-5130.0488114999998</v>
      </c>
      <c r="AV35" s="25">
        <f>Inventory[[#This Row],[MainFn]]*Lookups!$B$86</f>
        <v>28706.437198537002</v>
      </c>
      <c r="AW35" s="25">
        <f>Inventory[[#This Row],[UpprFn]]*Lookups!$B$87</f>
        <v>36277.002517410001</v>
      </c>
      <c r="AX35" s="25">
        <f>Inventory[[#This Row],[AddFn]]*Lookups!$B$88</f>
        <v>0</v>
      </c>
      <c r="AY35" s="25">
        <f>Inventory[[#This Row],[Bsmt]]*Lookups!$B$89</f>
        <v>0</v>
      </c>
      <c r="AZ35" s="25">
        <f>Inventory[[#This Row],[Fixtures]]*Lookups!$B$90</f>
        <v>37920.221052000001</v>
      </c>
      <c r="BA35" s="25">
        <f>Inventory[[#This Row],[WdDeck]]*Lookups!$B$91</f>
        <v>0</v>
      </c>
      <c r="BB35" s="25">
        <f>ROUND(Inventory[[#This Row],[25Det]],-2)</f>
        <v>0</v>
      </c>
      <c r="BC35" s="25">
        <f>ROUND(SUM(Inventory[[#This Row],[Mdl Qlty]:[Mdl WdDeck]])+Inventory[[#This Row],[Mdl Res Intercept]],-2)</f>
        <v>288100</v>
      </c>
      <c r="BD35" s="25">
        <f>ROUND(Inventory[[#This Row],[Mdl Land Intercept]]+Inventory[[#This Row],[Mdl LnAcres]],-2)</f>
        <v>-21100</v>
      </c>
      <c r="BE35" s="25">
        <f>Inventory[[#This Row],[Unadj Res Value]]+Inventory[[#This Row],[Unadj Det Value]]+Inventory[[#This Row],[Unadj Land Value]]</f>
        <v>267000</v>
      </c>
      <c r="BF35" s="36">
        <f>(Inventory[[#This Row],[Unadj Total Value]]-Inventory[[#This Row],[24Final]])/Inventory[[#This Row],[24Final]]</f>
        <v>-3.1204644412191583E-2</v>
      </c>
      <c r="BG35" s="25">
        <f>VLOOKUP(Inventory[[#This Row],[Nbhd]],Lookups!$Q$2:$T$4,4,FALSE)</f>
        <v>0.99970000000000003</v>
      </c>
      <c r="BH35" s="25">
        <f>VLOOKUP(Inventory[[#This Row],[Qlty]],Lookups!$O$7:$R$21,4,FALSE)</f>
        <v>1.0088999999999999</v>
      </c>
      <c r="BI35" s="25">
        <f>VLOOKUP(Inventory[[#This Row],[Cnd]],Lookups!$T$7:$W$16,4,FALSE)</f>
        <v>0.99729999999999996</v>
      </c>
      <c r="BJ35" s="25">
        <f>VLOOKUP(Inventory[[#This Row],[LivArea Range]],Lookups!$T$25:$W$37,4,FALSE)</f>
        <v>1.0157</v>
      </c>
      <c r="BK35" s="25">
        <f>VLOOKUP(Inventory[[#This Row],[Decade]],Lookups!$O$25:$R$42,4,FALSE)</f>
        <v>0.97319999999999995</v>
      </c>
      <c r="BL35" s="25">
        <f>Inventory[[#This Row],[Nbhd Adj]]*0.95</f>
        <v>0.94971499999999998</v>
      </c>
      <c r="BM35" s="25">
        <f>Inventory[[#This Row],[Nbhd Adj]]*Inventory[[#This Row],[Quality Adj]]*Inventory[[#This Row],[Condition Adj]]*Inventory[[#This Row],[Living Area Adj]]*Inventory[[#This Row],[Decade Adj]]*0.95</f>
        <v>0.944571398768702</v>
      </c>
      <c r="BN35" s="25">
        <f>ROUND(SUM(Inventory[[#This Row],[Mdl Qlty]:[Mdl WdDeck]])+Inventory[[#This Row],[Mdl Res Intercept]]*Inventory[[#This Row],[Res Adj ]],-2)</f>
        <v>288100</v>
      </c>
      <c r="BO35" s="25">
        <f>ROUND(Inventory[[#This Row],[25Det]]*Inventory[[#This Row],[Det/Nbhd Adj]],-2)</f>
        <v>0</v>
      </c>
      <c r="BP35" s="25">
        <f>Inventory[[#This Row],[Adjusted Res]]+Inventory[[#This Row],[Adj Det ]]</f>
        <v>288100</v>
      </c>
      <c r="BQ35" s="25">
        <f>ROUND((Inventory[[#This Row],[Mdl Land Intercept]]+Inventory[[#This Row],[Mdl LnAcres]])*Inventory[[#This Row],[Det/Nbhd Adj]],-2)</f>
        <v>-20100</v>
      </c>
      <c r="BR35" s="25">
        <f>Inventory[[#This Row],[Adjusted Impr Total]]+Inventory[[#This Row],[Adjusted Land Total]]</f>
        <v>268000</v>
      </c>
      <c r="BS35" s="36">
        <f>IFERROR((Inventory[[#This Row],[Adjusted Impr Total]]-Inventory[[#This Row],[24Bldg]])/Inventory[[#This Row],[24Bldg]],0)</f>
        <v>0.22962014511310286</v>
      </c>
      <c r="BT35" s="36">
        <f>(Inventory[[#This Row],[Adjusted Land Total]]-Inventory[[#This Row],[24Lnd]])/Inventory[[#This Row],[24Lnd]]</f>
        <v>-1.486682808716707</v>
      </c>
      <c r="BU35" s="36">
        <f>(Inventory[[#This Row],[Adjusted Total]]-Inventory[[#This Row],[24Final]])/Inventory[[#This Row],[24Final]]</f>
        <v>-2.7576197387518143E-2</v>
      </c>
    </row>
    <row r="36" spans="1:73" x14ac:dyDescent="0.3">
      <c r="A36" s="25">
        <v>2025</v>
      </c>
      <c r="B36" s="26" t="s">
        <v>695</v>
      </c>
      <c r="C36" s="26">
        <f>LN(Inventory[[#This Row],[Acres]])</f>
        <v>-3.5065578973199818</v>
      </c>
      <c r="D36" s="25">
        <v>0.03</v>
      </c>
      <c r="E36" s="25">
        <v>1015</v>
      </c>
      <c r="F36" s="26" t="s">
        <v>537</v>
      </c>
      <c r="G36" s="26" t="s">
        <v>28</v>
      </c>
      <c r="H36" s="26" t="s">
        <v>349</v>
      </c>
      <c r="I36" s="26" t="s">
        <v>538</v>
      </c>
      <c r="J36" s="26" t="s">
        <v>551</v>
      </c>
      <c r="K36" s="26" t="s">
        <v>381</v>
      </c>
      <c r="L36" s="26" t="s">
        <v>302</v>
      </c>
      <c r="M36" s="26" t="s">
        <v>323</v>
      </c>
      <c r="N36" s="26">
        <v>30</v>
      </c>
      <c r="O36" s="26">
        <f>2024-Inventory[[#This Row],[YrBlt]]</f>
        <v>23</v>
      </c>
      <c r="P36" s="26">
        <f>2024-Inventory[[#This Row],[EffYr]]</f>
        <v>23</v>
      </c>
      <c r="Q36" s="25">
        <v>2001</v>
      </c>
      <c r="R36" s="25">
        <v>2001</v>
      </c>
      <c r="S36" s="25">
        <v>581</v>
      </c>
      <c r="T36" s="32">
        <v>810</v>
      </c>
      <c r="U36" s="27"/>
      <c r="V36" s="27">
        <f>Inventory[[#This Row],[Bsmt]]-Inventory[[#This Row],[FnBsmt]]</f>
        <v>0</v>
      </c>
      <c r="W36" s="27"/>
      <c r="X36" s="27"/>
      <c r="Y36" s="27">
        <f>Inventory[[#This Row],[MainFn]]+Inventory[[#This Row],[UpprFn]]+Inventory[[#This Row],[FnBsmt]]+Inventory[[#This Row],[AddFn]]</f>
        <v>1391</v>
      </c>
      <c r="Z36" s="27">
        <v>1500</v>
      </c>
      <c r="AA36" s="25">
        <v>10</v>
      </c>
      <c r="AB36" s="31"/>
      <c r="AC36" s="32">
        <v>434</v>
      </c>
      <c r="AD36" s="27"/>
      <c r="AE36" s="27"/>
      <c r="AF36" s="27"/>
      <c r="AG36" s="27"/>
      <c r="AH36" s="27"/>
      <c r="AI36" s="25">
        <v>257300</v>
      </c>
      <c r="AJ36" s="25">
        <v>231570</v>
      </c>
      <c r="AK36" s="25">
        <v>0</v>
      </c>
      <c r="AL36" s="25">
        <v>275600</v>
      </c>
      <c r="AM36" s="25">
        <v>41300</v>
      </c>
      <c r="AN36" s="25">
        <v>234300</v>
      </c>
      <c r="AO36" s="25">
        <v>0</v>
      </c>
      <c r="AP36" s="25">
        <f>Lookups!$B$56*0</f>
        <v>0</v>
      </c>
      <c r="AQ36" s="25">
        <f>Lookups!$B$56*1</f>
        <v>89850.625589999996</v>
      </c>
      <c r="AR36" s="25">
        <f>Lookups!$B$57*Inventory[[#This Row],[LnAcres]]</f>
        <v>-110998.74281323297</v>
      </c>
      <c r="AS36" s="25">
        <f>VLOOKUP(Inventory[[#This Row],[Qlty]],Lookups!$A$62:$E$75,2,FALSE)</f>
        <v>29814.093161000001</v>
      </c>
      <c r="AT36" s="25">
        <f>VLOOKUP(Inventory[[#This Row],[Cnd]],Lookups!$A$76:$E$84,2,FALSE)</f>
        <v>160472.20319</v>
      </c>
      <c r="AU36" s="25">
        <f>Inventory[[#This Row],[EffAge]]*Lookups!$B$85</f>
        <v>-5130.0488114999998</v>
      </c>
      <c r="AV36" s="25">
        <f>Inventory[[#This Row],[MainFn]]*Lookups!$B$86</f>
        <v>28706.437198537002</v>
      </c>
      <c r="AW36" s="25">
        <f>Inventory[[#This Row],[UpprFn]]*Lookups!$B$87</f>
        <v>36277.002517410001</v>
      </c>
      <c r="AX36" s="25">
        <f>Inventory[[#This Row],[AddFn]]*Lookups!$B$88</f>
        <v>0</v>
      </c>
      <c r="AY36" s="25">
        <f>Inventory[[#This Row],[Bsmt]]*Lookups!$B$89</f>
        <v>0</v>
      </c>
      <c r="AZ36" s="25">
        <f>Inventory[[#This Row],[Fixtures]]*Lookups!$B$90</f>
        <v>37920.221052000001</v>
      </c>
      <c r="BA36" s="25">
        <f>Inventory[[#This Row],[WdDeck]]*Lookups!$B$91</f>
        <v>0</v>
      </c>
      <c r="BB36" s="25">
        <f>ROUND(Inventory[[#This Row],[25Det]],-2)</f>
        <v>0</v>
      </c>
      <c r="BC36" s="25">
        <f>ROUND(SUM(Inventory[[#This Row],[Mdl Qlty]:[Mdl WdDeck]])+Inventory[[#This Row],[Mdl Res Intercept]],-2)</f>
        <v>288100</v>
      </c>
      <c r="BD36" s="25">
        <f>ROUND(Inventory[[#This Row],[Mdl Land Intercept]]+Inventory[[#This Row],[Mdl LnAcres]],-2)</f>
        <v>-21100</v>
      </c>
      <c r="BE36" s="25">
        <f>Inventory[[#This Row],[Unadj Res Value]]+Inventory[[#This Row],[Unadj Det Value]]+Inventory[[#This Row],[Unadj Land Value]]</f>
        <v>267000</v>
      </c>
      <c r="BF36" s="36">
        <f>(Inventory[[#This Row],[Unadj Total Value]]-Inventory[[#This Row],[24Final]])/Inventory[[#This Row],[24Final]]</f>
        <v>-3.1204644412191583E-2</v>
      </c>
      <c r="BG36" s="25">
        <f>VLOOKUP(Inventory[[#This Row],[Nbhd]],Lookups!$Q$2:$T$4,4,FALSE)</f>
        <v>0.99970000000000003</v>
      </c>
      <c r="BH36" s="25">
        <f>VLOOKUP(Inventory[[#This Row],[Qlty]],Lookups!$O$7:$R$21,4,FALSE)</f>
        <v>1.0088999999999999</v>
      </c>
      <c r="BI36" s="25">
        <f>VLOOKUP(Inventory[[#This Row],[Cnd]],Lookups!$T$7:$W$16,4,FALSE)</f>
        <v>0.99729999999999996</v>
      </c>
      <c r="BJ36" s="25">
        <f>VLOOKUP(Inventory[[#This Row],[LivArea Range]],Lookups!$T$25:$W$37,4,FALSE)</f>
        <v>1.0157</v>
      </c>
      <c r="BK36" s="25">
        <f>VLOOKUP(Inventory[[#This Row],[Decade]],Lookups!$O$25:$R$42,4,FALSE)</f>
        <v>0.97319999999999995</v>
      </c>
      <c r="BL36" s="25">
        <f>Inventory[[#This Row],[Nbhd Adj]]*0.95</f>
        <v>0.94971499999999998</v>
      </c>
      <c r="BM36" s="25">
        <f>Inventory[[#This Row],[Nbhd Adj]]*Inventory[[#This Row],[Quality Adj]]*Inventory[[#This Row],[Condition Adj]]*Inventory[[#This Row],[Living Area Adj]]*Inventory[[#This Row],[Decade Adj]]*0.95</f>
        <v>0.944571398768702</v>
      </c>
      <c r="BN36" s="25">
        <f>ROUND(SUM(Inventory[[#This Row],[Mdl Qlty]:[Mdl WdDeck]])+Inventory[[#This Row],[Mdl Res Intercept]]*Inventory[[#This Row],[Res Adj ]],-2)</f>
        <v>288100</v>
      </c>
      <c r="BO36" s="25">
        <f>ROUND(Inventory[[#This Row],[25Det]]*Inventory[[#This Row],[Det/Nbhd Adj]],-2)</f>
        <v>0</v>
      </c>
      <c r="BP36" s="25">
        <f>Inventory[[#This Row],[Adjusted Res]]+Inventory[[#This Row],[Adj Det ]]</f>
        <v>288100</v>
      </c>
      <c r="BQ36" s="25">
        <f>ROUND((Inventory[[#This Row],[Mdl Land Intercept]]+Inventory[[#This Row],[Mdl LnAcres]])*Inventory[[#This Row],[Det/Nbhd Adj]],-2)</f>
        <v>-20100</v>
      </c>
      <c r="BR36" s="25">
        <f>Inventory[[#This Row],[Adjusted Impr Total]]+Inventory[[#This Row],[Adjusted Land Total]]</f>
        <v>268000</v>
      </c>
      <c r="BS36" s="36">
        <f>IFERROR((Inventory[[#This Row],[Adjusted Impr Total]]-Inventory[[#This Row],[24Bldg]])/Inventory[[#This Row],[24Bldg]],0)</f>
        <v>0.22962014511310286</v>
      </c>
      <c r="BT36" s="36">
        <f>(Inventory[[#This Row],[Adjusted Land Total]]-Inventory[[#This Row],[24Lnd]])/Inventory[[#This Row],[24Lnd]]</f>
        <v>-1.486682808716707</v>
      </c>
      <c r="BU36" s="36">
        <f>(Inventory[[#This Row],[Adjusted Total]]-Inventory[[#This Row],[24Final]])/Inventory[[#This Row],[24Final]]</f>
        <v>-2.7576197387518143E-2</v>
      </c>
    </row>
    <row r="37" spans="1:73" x14ac:dyDescent="0.3">
      <c r="A37" s="25">
        <v>2025</v>
      </c>
      <c r="B37" s="26" t="s">
        <v>696</v>
      </c>
      <c r="C37" s="26">
        <f>LN(Inventory[[#This Row],[Acres]])</f>
        <v>-3.5065578973199818</v>
      </c>
      <c r="D37" s="25">
        <v>0.03</v>
      </c>
      <c r="E37" s="25">
        <v>1015</v>
      </c>
      <c r="F37" s="26" t="s">
        <v>537</v>
      </c>
      <c r="G37" s="26" t="s">
        <v>28</v>
      </c>
      <c r="H37" s="26" t="s">
        <v>349</v>
      </c>
      <c r="I37" s="26" t="s">
        <v>538</v>
      </c>
      <c r="J37" s="26" t="s">
        <v>551</v>
      </c>
      <c r="K37" s="26" t="s">
        <v>381</v>
      </c>
      <c r="L37" s="26" t="s">
        <v>302</v>
      </c>
      <c r="M37" s="26" t="s">
        <v>323</v>
      </c>
      <c r="N37" s="26">
        <v>30</v>
      </c>
      <c r="O37" s="26">
        <f>2024-Inventory[[#This Row],[YrBlt]]</f>
        <v>23</v>
      </c>
      <c r="P37" s="26">
        <f>2024-Inventory[[#This Row],[EffYr]]</f>
        <v>23</v>
      </c>
      <c r="Q37" s="25">
        <v>2001</v>
      </c>
      <c r="R37" s="25">
        <v>2001</v>
      </c>
      <c r="S37" s="25">
        <v>581</v>
      </c>
      <c r="T37" s="32">
        <v>810</v>
      </c>
      <c r="U37" s="27"/>
      <c r="V37" s="27">
        <f>Inventory[[#This Row],[Bsmt]]-Inventory[[#This Row],[FnBsmt]]</f>
        <v>0</v>
      </c>
      <c r="W37" s="27"/>
      <c r="X37" s="27"/>
      <c r="Y37" s="27">
        <f>Inventory[[#This Row],[MainFn]]+Inventory[[#This Row],[UpprFn]]+Inventory[[#This Row],[FnBsmt]]+Inventory[[#This Row],[AddFn]]</f>
        <v>1391</v>
      </c>
      <c r="Z37" s="27">
        <v>1500</v>
      </c>
      <c r="AA37" s="25">
        <v>10</v>
      </c>
      <c r="AB37" s="31"/>
      <c r="AC37" s="32">
        <v>434</v>
      </c>
      <c r="AD37" s="27"/>
      <c r="AE37" s="27"/>
      <c r="AF37" s="27"/>
      <c r="AG37" s="27"/>
      <c r="AH37" s="27"/>
      <c r="AI37" s="25">
        <v>257300</v>
      </c>
      <c r="AJ37" s="25">
        <v>231570</v>
      </c>
      <c r="AK37" s="25">
        <v>0</v>
      </c>
      <c r="AL37" s="25">
        <v>275600</v>
      </c>
      <c r="AM37" s="25">
        <v>41300</v>
      </c>
      <c r="AN37" s="25">
        <v>234300</v>
      </c>
      <c r="AO37" s="25">
        <v>0</v>
      </c>
      <c r="AP37" s="25">
        <f>Lookups!$B$56*0</f>
        <v>0</v>
      </c>
      <c r="AQ37" s="25">
        <f>Lookups!$B$56*1</f>
        <v>89850.625589999996</v>
      </c>
      <c r="AR37" s="25">
        <f>Lookups!$B$57*Inventory[[#This Row],[LnAcres]]</f>
        <v>-110998.74281323297</v>
      </c>
      <c r="AS37" s="25">
        <f>VLOOKUP(Inventory[[#This Row],[Qlty]],Lookups!$A$62:$E$75,2,FALSE)</f>
        <v>29814.093161000001</v>
      </c>
      <c r="AT37" s="25">
        <f>VLOOKUP(Inventory[[#This Row],[Cnd]],Lookups!$A$76:$E$84,2,FALSE)</f>
        <v>160472.20319</v>
      </c>
      <c r="AU37" s="25">
        <f>Inventory[[#This Row],[EffAge]]*Lookups!$B$85</f>
        <v>-5130.0488114999998</v>
      </c>
      <c r="AV37" s="25">
        <f>Inventory[[#This Row],[MainFn]]*Lookups!$B$86</f>
        <v>28706.437198537002</v>
      </c>
      <c r="AW37" s="25">
        <f>Inventory[[#This Row],[UpprFn]]*Lookups!$B$87</f>
        <v>36277.002517410001</v>
      </c>
      <c r="AX37" s="25">
        <f>Inventory[[#This Row],[AddFn]]*Lookups!$B$88</f>
        <v>0</v>
      </c>
      <c r="AY37" s="25">
        <f>Inventory[[#This Row],[Bsmt]]*Lookups!$B$89</f>
        <v>0</v>
      </c>
      <c r="AZ37" s="25">
        <f>Inventory[[#This Row],[Fixtures]]*Lookups!$B$90</f>
        <v>37920.221052000001</v>
      </c>
      <c r="BA37" s="25">
        <f>Inventory[[#This Row],[WdDeck]]*Lookups!$B$91</f>
        <v>0</v>
      </c>
      <c r="BB37" s="25">
        <f>ROUND(Inventory[[#This Row],[25Det]],-2)</f>
        <v>0</v>
      </c>
      <c r="BC37" s="25">
        <f>ROUND(SUM(Inventory[[#This Row],[Mdl Qlty]:[Mdl WdDeck]])+Inventory[[#This Row],[Mdl Res Intercept]],-2)</f>
        <v>288100</v>
      </c>
      <c r="BD37" s="25">
        <f>ROUND(Inventory[[#This Row],[Mdl Land Intercept]]+Inventory[[#This Row],[Mdl LnAcres]],-2)</f>
        <v>-21100</v>
      </c>
      <c r="BE37" s="25">
        <f>Inventory[[#This Row],[Unadj Res Value]]+Inventory[[#This Row],[Unadj Det Value]]+Inventory[[#This Row],[Unadj Land Value]]</f>
        <v>267000</v>
      </c>
      <c r="BF37" s="36">
        <f>(Inventory[[#This Row],[Unadj Total Value]]-Inventory[[#This Row],[24Final]])/Inventory[[#This Row],[24Final]]</f>
        <v>-3.1204644412191583E-2</v>
      </c>
      <c r="BG37" s="25">
        <f>VLOOKUP(Inventory[[#This Row],[Nbhd]],Lookups!$Q$2:$T$4,4,FALSE)</f>
        <v>0.99970000000000003</v>
      </c>
      <c r="BH37" s="25">
        <f>VLOOKUP(Inventory[[#This Row],[Qlty]],Lookups!$O$7:$R$21,4,FALSE)</f>
        <v>1.0088999999999999</v>
      </c>
      <c r="BI37" s="25">
        <f>VLOOKUP(Inventory[[#This Row],[Cnd]],Lookups!$T$7:$W$16,4,FALSE)</f>
        <v>0.99729999999999996</v>
      </c>
      <c r="BJ37" s="25">
        <f>VLOOKUP(Inventory[[#This Row],[LivArea Range]],Lookups!$T$25:$W$37,4,FALSE)</f>
        <v>1.0157</v>
      </c>
      <c r="BK37" s="25">
        <f>VLOOKUP(Inventory[[#This Row],[Decade]],Lookups!$O$25:$R$42,4,FALSE)</f>
        <v>0.97319999999999995</v>
      </c>
      <c r="BL37" s="25">
        <f>Inventory[[#This Row],[Nbhd Adj]]*0.95</f>
        <v>0.94971499999999998</v>
      </c>
      <c r="BM37" s="25">
        <f>Inventory[[#This Row],[Nbhd Adj]]*Inventory[[#This Row],[Quality Adj]]*Inventory[[#This Row],[Condition Adj]]*Inventory[[#This Row],[Living Area Adj]]*Inventory[[#This Row],[Decade Adj]]*0.95</f>
        <v>0.944571398768702</v>
      </c>
      <c r="BN37" s="25">
        <f>ROUND(SUM(Inventory[[#This Row],[Mdl Qlty]:[Mdl WdDeck]])+Inventory[[#This Row],[Mdl Res Intercept]]*Inventory[[#This Row],[Res Adj ]],-2)</f>
        <v>288100</v>
      </c>
      <c r="BO37" s="25">
        <f>ROUND(Inventory[[#This Row],[25Det]]*Inventory[[#This Row],[Det/Nbhd Adj]],-2)</f>
        <v>0</v>
      </c>
      <c r="BP37" s="25">
        <f>Inventory[[#This Row],[Adjusted Res]]+Inventory[[#This Row],[Adj Det ]]</f>
        <v>288100</v>
      </c>
      <c r="BQ37" s="25">
        <f>ROUND((Inventory[[#This Row],[Mdl Land Intercept]]+Inventory[[#This Row],[Mdl LnAcres]])*Inventory[[#This Row],[Det/Nbhd Adj]],-2)</f>
        <v>-20100</v>
      </c>
      <c r="BR37" s="25">
        <f>Inventory[[#This Row],[Adjusted Impr Total]]+Inventory[[#This Row],[Adjusted Land Total]]</f>
        <v>268000</v>
      </c>
      <c r="BS37" s="36">
        <f>IFERROR((Inventory[[#This Row],[Adjusted Impr Total]]-Inventory[[#This Row],[24Bldg]])/Inventory[[#This Row],[24Bldg]],0)</f>
        <v>0.22962014511310286</v>
      </c>
      <c r="BT37" s="36">
        <f>(Inventory[[#This Row],[Adjusted Land Total]]-Inventory[[#This Row],[24Lnd]])/Inventory[[#This Row],[24Lnd]]</f>
        <v>-1.486682808716707</v>
      </c>
      <c r="BU37" s="36">
        <f>(Inventory[[#This Row],[Adjusted Total]]-Inventory[[#This Row],[24Final]])/Inventory[[#This Row],[24Final]]</f>
        <v>-2.7576197387518143E-2</v>
      </c>
    </row>
    <row r="38" spans="1:73" x14ac:dyDescent="0.3">
      <c r="A38" s="25">
        <v>2025</v>
      </c>
      <c r="B38" s="26" t="s">
        <v>697</v>
      </c>
      <c r="C38" s="26">
        <f>LN(Inventory[[#This Row],[Acres]])</f>
        <v>-3.5065578973199818</v>
      </c>
      <c r="D38" s="25">
        <v>0.03</v>
      </c>
      <c r="E38" s="25">
        <v>1015</v>
      </c>
      <c r="F38" s="26" t="s">
        <v>537</v>
      </c>
      <c r="G38" s="26" t="s">
        <v>28</v>
      </c>
      <c r="H38" s="26" t="s">
        <v>349</v>
      </c>
      <c r="I38" s="26" t="s">
        <v>538</v>
      </c>
      <c r="J38" s="26" t="s">
        <v>551</v>
      </c>
      <c r="K38" s="26" t="s">
        <v>381</v>
      </c>
      <c r="L38" s="26" t="s">
        <v>302</v>
      </c>
      <c r="M38" s="26" t="s">
        <v>323</v>
      </c>
      <c r="N38" s="26">
        <v>30</v>
      </c>
      <c r="O38" s="26">
        <f>2024-Inventory[[#This Row],[YrBlt]]</f>
        <v>23</v>
      </c>
      <c r="P38" s="26">
        <f>2024-Inventory[[#This Row],[EffYr]]</f>
        <v>23</v>
      </c>
      <c r="Q38" s="25">
        <v>2001</v>
      </c>
      <c r="R38" s="25">
        <v>2001</v>
      </c>
      <c r="S38" s="25">
        <v>581</v>
      </c>
      <c r="T38" s="32">
        <v>810</v>
      </c>
      <c r="U38" s="27"/>
      <c r="V38" s="27">
        <f>Inventory[[#This Row],[Bsmt]]-Inventory[[#This Row],[FnBsmt]]</f>
        <v>0</v>
      </c>
      <c r="W38" s="27"/>
      <c r="X38" s="27"/>
      <c r="Y38" s="27">
        <f>Inventory[[#This Row],[MainFn]]+Inventory[[#This Row],[UpprFn]]+Inventory[[#This Row],[FnBsmt]]+Inventory[[#This Row],[AddFn]]</f>
        <v>1391</v>
      </c>
      <c r="Z38" s="27">
        <v>1500</v>
      </c>
      <c r="AA38" s="25">
        <v>10</v>
      </c>
      <c r="AB38" s="31"/>
      <c r="AC38" s="32">
        <v>434</v>
      </c>
      <c r="AD38" s="27"/>
      <c r="AE38" s="27"/>
      <c r="AF38" s="27"/>
      <c r="AG38" s="27"/>
      <c r="AH38" s="27"/>
      <c r="AI38" s="25">
        <v>257300</v>
      </c>
      <c r="AJ38" s="25">
        <v>231570</v>
      </c>
      <c r="AK38" s="25">
        <v>0</v>
      </c>
      <c r="AL38" s="25">
        <v>275600</v>
      </c>
      <c r="AM38" s="25">
        <v>41300</v>
      </c>
      <c r="AN38" s="25">
        <v>234300</v>
      </c>
      <c r="AO38" s="25">
        <v>0</v>
      </c>
      <c r="AP38" s="25">
        <f>Lookups!$B$56*0</f>
        <v>0</v>
      </c>
      <c r="AQ38" s="25">
        <f>Lookups!$B$56*1</f>
        <v>89850.625589999996</v>
      </c>
      <c r="AR38" s="25">
        <f>Lookups!$B$57*Inventory[[#This Row],[LnAcres]]</f>
        <v>-110998.74281323297</v>
      </c>
      <c r="AS38" s="25">
        <f>VLOOKUP(Inventory[[#This Row],[Qlty]],Lookups!$A$62:$E$75,2,FALSE)</f>
        <v>29814.093161000001</v>
      </c>
      <c r="AT38" s="25">
        <f>VLOOKUP(Inventory[[#This Row],[Cnd]],Lookups!$A$76:$E$84,2,FALSE)</f>
        <v>160472.20319</v>
      </c>
      <c r="AU38" s="25">
        <f>Inventory[[#This Row],[EffAge]]*Lookups!$B$85</f>
        <v>-5130.0488114999998</v>
      </c>
      <c r="AV38" s="25">
        <f>Inventory[[#This Row],[MainFn]]*Lookups!$B$86</f>
        <v>28706.437198537002</v>
      </c>
      <c r="AW38" s="25">
        <f>Inventory[[#This Row],[UpprFn]]*Lookups!$B$87</f>
        <v>36277.002517410001</v>
      </c>
      <c r="AX38" s="25">
        <f>Inventory[[#This Row],[AddFn]]*Lookups!$B$88</f>
        <v>0</v>
      </c>
      <c r="AY38" s="25">
        <f>Inventory[[#This Row],[Bsmt]]*Lookups!$B$89</f>
        <v>0</v>
      </c>
      <c r="AZ38" s="25">
        <f>Inventory[[#This Row],[Fixtures]]*Lookups!$B$90</f>
        <v>37920.221052000001</v>
      </c>
      <c r="BA38" s="25">
        <f>Inventory[[#This Row],[WdDeck]]*Lookups!$B$91</f>
        <v>0</v>
      </c>
      <c r="BB38" s="25">
        <f>ROUND(Inventory[[#This Row],[25Det]],-2)</f>
        <v>0</v>
      </c>
      <c r="BC38" s="25">
        <f>ROUND(SUM(Inventory[[#This Row],[Mdl Qlty]:[Mdl WdDeck]])+Inventory[[#This Row],[Mdl Res Intercept]],-2)</f>
        <v>288100</v>
      </c>
      <c r="BD38" s="25">
        <f>ROUND(Inventory[[#This Row],[Mdl Land Intercept]]+Inventory[[#This Row],[Mdl LnAcres]],-2)</f>
        <v>-21100</v>
      </c>
      <c r="BE38" s="25">
        <f>Inventory[[#This Row],[Unadj Res Value]]+Inventory[[#This Row],[Unadj Det Value]]+Inventory[[#This Row],[Unadj Land Value]]</f>
        <v>267000</v>
      </c>
      <c r="BF38" s="36">
        <f>(Inventory[[#This Row],[Unadj Total Value]]-Inventory[[#This Row],[24Final]])/Inventory[[#This Row],[24Final]]</f>
        <v>-3.1204644412191583E-2</v>
      </c>
      <c r="BG38" s="25">
        <f>VLOOKUP(Inventory[[#This Row],[Nbhd]],Lookups!$Q$2:$T$4,4,FALSE)</f>
        <v>0.99970000000000003</v>
      </c>
      <c r="BH38" s="25">
        <f>VLOOKUP(Inventory[[#This Row],[Qlty]],Lookups!$O$7:$R$21,4,FALSE)</f>
        <v>1.0088999999999999</v>
      </c>
      <c r="BI38" s="25">
        <f>VLOOKUP(Inventory[[#This Row],[Cnd]],Lookups!$T$7:$W$16,4,FALSE)</f>
        <v>0.99729999999999996</v>
      </c>
      <c r="BJ38" s="25">
        <f>VLOOKUP(Inventory[[#This Row],[LivArea Range]],Lookups!$T$25:$W$37,4,FALSE)</f>
        <v>1.0157</v>
      </c>
      <c r="BK38" s="25">
        <f>VLOOKUP(Inventory[[#This Row],[Decade]],Lookups!$O$25:$R$42,4,FALSE)</f>
        <v>0.97319999999999995</v>
      </c>
      <c r="BL38" s="25">
        <f>Inventory[[#This Row],[Nbhd Adj]]*0.95</f>
        <v>0.94971499999999998</v>
      </c>
      <c r="BM38" s="25">
        <f>Inventory[[#This Row],[Nbhd Adj]]*Inventory[[#This Row],[Quality Adj]]*Inventory[[#This Row],[Condition Adj]]*Inventory[[#This Row],[Living Area Adj]]*Inventory[[#This Row],[Decade Adj]]*0.95</f>
        <v>0.944571398768702</v>
      </c>
      <c r="BN38" s="25">
        <f>ROUND(SUM(Inventory[[#This Row],[Mdl Qlty]:[Mdl WdDeck]])+Inventory[[#This Row],[Mdl Res Intercept]]*Inventory[[#This Row],[Res Adj ]],-2)</f>
        <v>288100</v>
      </c>
      <c r="BO38" s="25">
        <f>ROUND(Inventory[[#This Row],[25Det]]*Inventory[[#This Row],[Det/Nbhd Adj]],-2)</f>
        <v>0</v>
      </c>
      <c r="BP38" s="25">
        <f>Inventory[[#This Row],[Adjusted Res]]+Inventory[[#This Row],[Adj Det ]]</f>
        <v>288100</v>
      </c>
      <c r="BQ38" s="25">
        <f>ROUND((Inventory[[#This Row],[Mdl Land Intercept]]+Inventory[[#This Row],[Mdl LnAcres]])*Inventory[[#This Row],[Det/Nbhd Adj]],-2)</f>
        <v>-20100</v>
      </c>
      <c r="BR38" s="25">
        <f>Inventory[[#This Row],[Adjusted Impr Total]]+Inventory[[#This Row],[Adjusted Land Total]]</f>
        <v>268000</v>
      </c>
      <c r="BS38" s="36">
        <f>IFERROR((Inventory[[#This Row],[Adjusted Impr Total]]-Inventory[[#This Row],[24Bldg]])/Inventory[[#This Row],[24Bldg]],0)</f>
        <v>0.22962014511310286</v>
      </c>
      <c r="BT38" s="36">
        <f>(Inventory[[#This Row],[Adjusted Land Total]]-Inventory[[#This Row],[24Lnd]])/Inventory[[#This Row],[24Lnd]]</f>
        <v>-1.486682808716707</v>
      </c>
      <c r="BU38" s="36">
        <f>(Inventory[[#This Row],[Adjusted Total]]-Inventory[[#This Row],[24Final]])/Inventory[[#This Row],[24Final]]</f>
        <v>-2.7576197387518143E-2</v>
      </c>
    </row>
    <row r="39" spans="1:73" x14ac:dyDescent="0.3">
      <c r="A39" s="25">
        <v>2025</v>
      </c>
      <c r="B39" s="26" t="s">
        <v>698</v>
      </c>
      <c r="C39" s="26">
        <f>LN(Inventory[[#This Row],[Acres]])</f>
        <v>-3.5065578973199818</v>
      </c>
      <c r="D39" s="25">
        <v>0.03</v>
      </c>
      <c r="E39" s="25">
        <v>1015</v>
      </c>
      <c r="F39" s="26" t="s">
        <v>537</v>
      </c>
      <c r="G39" s="26" t="s">
        <v>28</v>
      </c>
      <c r="H39" s="26" t="s">
        <v>349</v>
      </c>
      <c r="I39" s="26" t="s">
        <v>538</v>
      </c>
      <c r="J39" s="26" t="s">
        <v>551</v>
      </c>
      <c r="K39" s="26" t="s">
        <v>381</v>
      </c>
      <c r="L39" s="26" t="s">
        <v>302</v>
      </c>
      <c r="M39" s="26" t="s">
        <v>323</v>
      </c>
      <c r="N39" s="26">
        <v>30</v>
      </c>
      <c r="O39" s="26">
        <f>2024-Inventory[[#This Row],[YrBlt]]</f>
        <v>23</v>
      </c>
      <c r="P39" s="26">
        <f>2024-Inventory[[#This Row],[EffYr]]</f>
        <v>23</v>
      </c>
      <c r="Q39" s="25">
        <v>2001</v>
      </c>
      <c r="R39" s="25">
        <v>2001</v>
      </c>
      <c r="S39" s="25">
        <v>581</v>
      </c>
      <c r="T39" s="32">
        <v>810</v>
      </c>
      <c r="U39" s="27"/>
      <c r="V39" s="27">
        <f>Inventory[[#This Row],[Bsmt]]-Inventory[[#This Row],[FnBsmt]]</f>
        <v>0</v>
      </c>
      <c r="W39" s="27"/>
      <c r="X39" s="27"/>
      <c r="Y39" s="27">
        <f>Inventory[[#This Row],[MainFn]]+Inventory[[#This Row],[UpprFn]]+Inventory[[#This Row],[FnBsmt]]+Inventory[[#This Row],[AddFn]]</f>
        <v>1391</v>
      </c>
      <c r="Z39" s="27">
        <v>1500</v>
      </c>
      <c r="AA39" s="25">
        <v>10</v>
      </c>
      <c r="AB39" s="31"/>
      <c r="AC39" s="32">
        <v>434</v>
      </c>
      <c r="AD39" s="27"/>
      <c r="AE39" s="27"/>
      <c r="AF39" s="27"/>
      <c r="AG39" s="27"/>
      <c r="AH39" s="27"/>
      <c r="AI39" s="25">
        <v>257300</v>
      </c>
      <c r="AJ39" s="25">
        <v>231570</v>
      </c>
      <c r="AK39" s="25">
        <v>0</v>
      </c>
      <c r="AL39" s="25">
        <v>275600</v>
      </c>
      <c r="AM39" s="25">
        <v>41300</v>
      </c>
      <c r="AN39" s="25">
        <v>234300</v>
      </c>
      <c r="AO39" s="25">
        <v>0</v>
      </c>
      <c r="AP39" s="25">
        <f>Lookups!$B$56*0</f>
        <v>0</v>
      </c>
      <c r="AQ39" s="25">
        <f>Lookups!$B$56*1</f>
        <v>89850.625589999996</v>
      </c>
      <c r="AR39" s="25">
        <f>Lookups!$B$57*Inventory[[#This Row],[LnAcres]]</f>
        <v>-110998.74281323297</v>
      </c>
      <c r="AS39" s="25">
        <f>VLOOKUP(Inventory[[#This Row],[Qlty]],Lookups!$A$62:$E$75,2,FALSE)</f>
        <v>29814.093161000001</v>
      </c>
      <c r="AT39" s="25">
        <f>VLOOKUP(Inventory[[#This Row],[Cnd]],Lookups!$A$76:$E$84,2,FALSE)</f>
        <v>160472.20319</v>
      </c>
      <c r="AU39" s="25">
        <f>Inventory[[#This Row],[EffAge]]*Lookups!$B$85</f>
        <v>-5130.0488114999998</v>
      </c>
      <c r="AV39" s="25">
        <f>Inventory[[#This Row],[MainFn]]*Lookups!$B$86</f>
        <v>28706.437198537002</v>
      </c>
      <c r="AW39" s="25">
        <f>Inventory[[#This Row],[UpprFn]]*Lookups!$B$87</f>
        <v>36277.002517410001</v>
      </c>
      <c r="AX39" s="25">
        <f>Inventory[[#This Row],[AddFn]]*Lookups!$B$88</f>
        <v>0</v>
      </c>
      <c r="AY39" s="25">
        <f>Inventory[[#This Row],[Bsmt]]*Lookups!$B$89</f>
        <v>0</v>
      </c>
      <c r="AZ39" s="25">
        <f>Inventory[[#This Row],[Fixtures]]*Lookups!$B$90</f>
        <v>37920.221052000001</v>
      </c>
      <c r="BA39" s="25">
        <f>Inventory[[#This Row],[WdDeck]]*Lookups!$B$91</f>
        <v>0</v>
      </c>
      <c r="BB39" s="25">
        <f>ROUND(Inventory[[#This Row],[25Det]],-2)</f>
        <v>0</v>
      </c>
      <c r="BC39" s="25">
        <f>ROUND(SUM(Inventory[[#This Row],[Mdl Qlty]:[Mdl WdDeck]])+Inventory[[#This Row],[Mdl Res Intercept]],-2)</f>
        <v>288100</v>
      </c>
      <c r="BD39" s="25">
        <f>ROUND(Inventory[[#This Row],[Mdl Land Intercept]]+Inventory[[#This Row],[Mdl LnAcres]],-2)</f>
        <v>-21100</v>
      </c>
      <c r="BE39" s="25">
        <f>Inventory[[#This Row],[Unadj Res Value]]+Inventory[[#This Row],[Unadj Det Value]]+Inventory[[#This Row],[Unadj Land Value]]</f>
        <v>267000</v>
      </c>
      <c r="BF39" s="36">
        <f>(Inventory[[#This Row],[Unadj Total Value]]-Inventory[[#This Row],[24Final]])/Inventory[[#This Row],[24Final]]</f>
        <v>-3.1204644412191583E-2</v>
      </c>
      <c r="BG39" s="25">
        <f>VLOOKUP(Inventory[[#This Row],[Nbhd]],Lookups!$Q$2:$T$4,4,FALSE)</f>
        <v>0.99970000000000003</v>
      </c>
      <c r="BH39" s="25">
        <f>VLOOKUP(Inventory[[#This Row],[Qlty]],Lookups!$O$7:$R$21,4,FALSE)</f>
        <v>1.0088999999999999</v>
      </c>
      <c r="BI39" s="25">
        <f>VLOOKUP(Inventory[[#This Row],[Cnd]],Lookups!$T$7:$W$16,4,FALSE)</f>
        <v>0.99729999999999996</v>
      </c>
      <c r="BJ39" s="25">
        <f>VLOOKUP(Inventory[[#This Row],[LivArea Range]],Lookups!$T$25:$W$37,4,FALSE)</f>
        <v>1.0157</v>
      </c>
      <c r="BK39" s="25">
        <f>VLOOKUP(Inventory[[#This Row],[Decade]],Lookups!$O$25:$R$42,4,FALSE)</f>
        <v>0.97319999999999995</v>
      </c>
      <c r="BL39" s="25">
        <f>Inventory[[#This Row],[Nbhd Adj]]*0.95</f>
        <v>0.94971499999999998</v>
      </c>
      <c r="BM39" s="25">
        <f>Inventory[[#This Row],[Nbhd Adj]]*Inventory[[#This Row],[Quality Adj]]*Inventory[[#This Row],[Condition Adj]]*Inventory[[#This Row],[Living Area Adj]]*Inventory[[#This Row],[Decade Adj]]*0.95</f>
        <v>0.944571398768702</v>
      </c>
      <c r="BN39" s="25">
        <f>ROUND(SUM(Inventory[[#This Row],[Mdl Qlty]:[Mdl WdDeck]])+Inventory[[#This Row],[Mdl Res Intercept]]*Inventory[[#This Row],[Res Adj ]],-2)</f>
        <v>288100</v>
      </c>
      <c r="BO39" s="25">
        <f>ROUND(Inventory[[#This Row],[25Det]]*Inventory[[#This Row],[Det/Nbhd Adj]],-2)</f>
        <v>0</v>
      </c>
      <c r="BP39" s="25">
        <f>Inventory[[#This Row],[Adjusted Res]]+Inventory[[#This Row],[Adj Det ]]</f>
        <v>288100</v>
      </c>
      <c r="BQ39" s="25">
        <f>ROUND((Inventory[[#This Row],[Mdl Land Intercept]]+Inventory[[#This Row],[Mdl LnAcres]])*Inventory[[#This Row],[Det/Nbhd Adj]],-2)</f>
        <v>-20100</v>
      </c>
      <c r="BR39" s="25">
        <f>Inventory[[#This Row],[Adjusted Impr Total]]+Inventory[[#This Row],[Adjusted Land Total]]</f>
        <v>268000</v>
      </c>
      <c r="BS39" s="36">
        <f>IFERROR((Inventory[[#This Row],[Adjusted Impr Total]]-Inventory[[#This Row],[24Bldg]])/Inventory[[#This Row],[24Bldg]],0)</f>
        <v>0.22962014511310286</v>
      </c>
      <c r="BT39" s="36">
        <f>(Inventory[[#This Row],[Adjusted Land Total]]-Inventory[[#This Row],[24Lnd]])/Inventory[[#This Row],[24Lnd]]</f>
        <v>-1.486682808716707</v>
      </c>
      <c r="BU39" s="36">
        <f>(Inventory[[#This Row],[Adjusted Total]]-Inventory[[#This Row],[24Final]])/Inventory[[#This Row],[24Final]]</f>
        <v>-2.7576197387518143E-2</v>
      </c>
    </row>
    <row r="40" spans="1:73" x14ac:dyDescent="0.3">
      <c r="A40" s="25">
        <v>2025</v>
      </c>
      <c r="B40" s="26" t="s">
        <v>699</v>
      </c>
      <c r="C40" s="26">
        <f>LN(Inventory[[#This Row],[Acres]])</f>
        <v>-3.5065578973199818</v>
      </c>
      <c r="D40" s="25">
        <v>0.03</v>
      </c>
      <c r="E40" s="25">
        <v>1015</v>
      </c>
      <c r="F40" s="26" t="s">
        <v>537</v>
      </c>
      <c r="G40" s="26" t="s">
        <v>28</v>
      </c>
      <c r="H40" s="26" t="s">
        <v>349</v>
      </c>
      <c r="I40" s="26" t="s">
        <v>538</v>
      </c>
      <c r="J40" s="26" t="s">
        <v>551</v>
      </c>
      <c r="K40" s="26" t="s">
        <v>381</v>
      </c>
      <c r="L40" s="26" t="s">
        <v>302</v>
      </c>
      <c r="M40" s="26" t="s">
        <v>323</v>
      </c>
      <c r="N40" s="26">
        <v>30</v>
      </c>
      <c r="O40" s="26">
        <f>2024-Inventory[[#This Row],[YrBlt]]</f>
        <v>23</v>
      </c>
      <c r="P40" s="26">
        <f>2024-Inventory[[#This Row],[EffYr]]</f>
        <v>23</v>
      </c>
      <c r="Q40" s="25">
        <v>2001</v>
      </c>
      <c r="R40" s="25">
        <v>2001</v>
      </c>
      <c r="S40" s="25">
        <v>581</v>
      </c>
      <c r="T40" s="32">
        <v>810</v>
      </c>
      <c r="U40" s="27"/>
      <c r="V40" s="27">
        <f>Inventory[[#This Row],[Bsmt]]-Inventory[[#This Row],[FnBsmt]]</f>
        <v>0</v>
      </c>
      <c r="W40" s="27"/>
      <c r="X40" s="27"/>
      <c r="Y40" s="27">
        <f>Inventory[[#This Row],[MainFn]]+Inventory[[#This Row],[UpprFn]]+Inventory[[#This Row],[FnBsmt]]+Inventory[[#This Row],[AddFn]]</f>
        <v>1391</v>
      </c>
      <c r="Z40" s="27">
        <v>1500</v>
      </c>
      <c r="AA40" s="25">
        <v>10</v>
      </c>
      <c r="AB40" s="31"/>
      <c r="AC40" s="32">
        <v>434</v>
      </c>
      <c r="AD40" s="27"/>
      <c r="AE40" s="27"/>
      <c r="AF40" s="27"/>
      <c r="AG40" s="27"/>
      <c r="AH40" s="27"/>
      <c r="AI40" s="25">
        <v>257300</v>
      </c>
      <c r="AJ40" s="25">
        <v>231570</v>
      </c>
      <c r="AK40" s="25">
        <v>0</v>
      </c>
      <c r="AL40" s="25">
        <v>275600</v>
      </c>
      <c r="AM40" s="25">
        <v>41300</v>
      </c>
      <c r="AN40" s="25">
        <v>234300</v>
      </c>
      <c r="AO40" s="25">
        <v>0</v>
      </c>
      <c r="AP40" s="25">
        <f>Lookups!$B$56*0</f>
        <v>0</v>
      </c>
      <c r="AQ40" s="25">
        <f>Lookups!$B$56*1</f>
        <v>89850.625589999996</v>
      </c>
      <c r="AR40" s="25">
        <f>Lookups!$B$57*Inventory[[#This Row],[LnAcres]]</f>
        <v>-110998.74281323297</v>
      </c>
      <c r="AS40" s="25">
        <f>VLOOKUP(Inventory[[#This Row],[Qlty]],Lookups!$A$62:$E$75,2,FALSE)</f>
        <v>29814.093161000001</v>
      </c>
      <c r="AT40" s="25">
        <f>VLOOKUP(Inventory[[#This Row],[Cnd]],Lookups!$A$76:$E$84,2,FALSE)</f>
        <v>160472.20319</v>
      </c>
      <c r="AU40" s="25">
        <f>Inventory[[#This Row],[EffAge]]*Lookups!$B$85</f>
        <v>-5130.0488114999998</v>
      </c>
      <c r="AV40" s="25">
        <f>Inventory[[#This Row],[MainFn]]*Lookups!$B$86</f>
        <v>28706.437198537002</v>
      </c>
      <c r="AW40" s="25">
        <f>Inventory[[#This Row],[UpprFn]]*Lookups!$B$87</f>
        <v>36277.002517410001</v>
      </c>
      <c r="AX40" s="25">
        <f>Inventory[[#This Row],[AddFn]]*Lookups!$B$88</f>
        <v>0</v>
      </c>
      <c r="AY40" s="25">
        <f>Inventory[[#This Row],[Bsmt]]*Lookups!$B$89</f>
        <v>0</v>
      </c>
      <c r="AZ40" s="25">
        <f>Inventory[[#This Row],[Fixtures]]*Lookups!$B$90</f>
        <v>37920.221052000001</v>
      </c>
      <c r="BA40" s="25">
        <f>Inventory[[#This Row],[WdDeck]]*Lookups!$B$91</f>
        <v>0</v>
      </c>
      <c r="BB40" s="25">
        <f>ROUND(Inventory[[#This Row],[25Det]],-2)</f>
        <v>0</v>
      </c>
      <c r="BC40" s="25">
        <f>ROUND(SUM(Inventory[[#This Row],[Mdl Qlty]:[Mdl WdDeck]])+Inventory[[#This Row],[Mdl Res Intercept]],-2)</f>
        <v>288100</v>
      </c>
      <c r="BD40" s="25">
        <f>ROUND(Inventory[[#This Row],[Mdl Land Intercept]]+Inventory[[#This Row],[Mdl LnAcres]],-2)</f>
        <v>-21100</v>
      </c>
      <c r="BE40" s="25">
        <f>Inventory[[#This Row],[Unadj Res Value]]+Inventory[[#This Row],[Unadj Det Value]]+Inventory[[#This Row],[Unadj Land Value]]</f>
        <v>267000</v>
      </c>
      <c r="BF40" s="36">
        <f>(Inventory[[#This Row],[Unadj Total Value]]-Inventory[[#This Row],[24Final]])/Inventory[[#This Row],[24Final]]</f>
        <v>-3.1204644412191583E-2</v>
      </c>
      <c r="BG40" s="25">
        <f>VLOOKUP(Inventory[[#This Row],[Nbhd]],Lookups!$Q$2:$T$4,4,FALSE)</f>
        <v>0.99970000000000003</v>
      </c>
      <c r="BH40" s="25">
        <f>VLOOKUP(Inventory[[#This Row],[Qlty]],Lookups!$O$7:$R$21,4,FALSE)</f>
        <v>1.0088999999999999</v>
      </c>
      <c r="BI40" s="25">
        <f>VLOOKUP(Inventory[[#This Row],[Cnd]],Lookups!$T$7:$W$16,4,FALSE)</f>
        <v>0.99729999999999996</v>
      </c>
      <c r="BJ40" s="25">
        <f>VLOOKUP(Inventory[[#This Row],[LivArea Range]],Lookups!$T$25:$W$37,4,FALSE)</f>
        <v>1.0157</v>
      </c>
      <c r="BK40" s="25">
        <f>VLOOKUP(Inventory[[#This Row],[Decade]],Lookups!$O$25:$R$42,4,FALSE)</f>
        <v>0.97319999999999995</v>
      </c>
      <c r="BL40" s="25">
        <f>Inventory[[#This Row],[Nbhd Adj]]*0.95</f>
        <v>0.94971499999999998</v>
      </c>
      <c r="BM40" s="25">
        <f>Inventory[[#This Row],[Nbhd Adj]]*Inventory[[#This Row],[Quality Adj]]*Inventory[[#This Row],[Condition Adj]]*Inventory[[#This Row],[Living Area Adj]]*Inventory[[#This Row],[Decade Adj]]*0.95</f>
        <v>0.944571398768702</v>
      </c>
      <c r="BN40" s="25">
        <f>ROUND(SUM(Inventory[[#This Row],[Mdl Qlty]:[Mdl WdDeck]])+Inventory[[#This Row],[Mdl Res Intercept]]*Inventory[[#This Row],[Res Adj ]],-2)</f>
        <v>288100</v>
      </c>
      <c r="BO40" s="25">
        <f>ROUND(Inventory[[#This Row],[25Det]]*Inventory[[#This Row],[Det/Nbhd Adj]],-2)</f>
        <v>0</v>
      </c>
      <c r="BP40" s="25">
        <f>Inventory[[#This Row],[Adjusted Res]]+Inventory[[#This Row],[Adj Det ]]</f>
        <v>288100</v>
      </c>
      <c r="BQ40" s="25">
        <f>ROUND((Inventory[[#This Row],[Mdl Land Intercept]]+Inventory[[#This Row],[Mdl LnAcres]])*Inventory[[#This Row],[Det/Nbhd Adj]],-2)</f>
        <v>-20100</v>
      </c>
      <c r="BR40" s="25">
        <f>Inventory[[#This Row],[Adjusted Impr Total]]+Inventory[[#This Row],[Adjusted Land Total]]</f>
        <v>268000</v>
      </c>
      <c r="BS40" s="36">
        <f>IFERROR((Inventory[[#This Row],[Adjusted Impr Total]]-Inventory[[#This Row],[24Bldg]])/Inventory[[#This Row],[24Bldg]],0)</f>
        <v>0.22962014511310286</v>
      </c>
      <c r="BT40" s="36">
        <f>(Inventory[[#This Row],[Adjusted Land Total]]-Inventory[[#This Row],[24Lnd]])/Inventory[[#This Row],[24Lnd]]</f>
        <v>-1.486682808716707</v>
      </c>
      <c r="BU40" s="36">
        <f>(Inventory[[#This Row],[Adjusted Total]]-Inventory[[#This Row],[24Final]])/Inventory[[#This Row],[24Final]]</f>
        <v>-2.7576197387518143E-2</v>
      </c>
    </row>
    <row r="41" spans="1:73" x14ac:dyDescent="0.3">
      <c r="A41" s="25">
        <v>2025</v>
      </c>
      <c r="B41" s="26" t="s">
        <v>700</v>
      </c>
      <c r="C41" s="26">
        <f>LN(Inventory[[#This Row],[Acres]])</f>
        <v>-3.5065578973199818</v>
      </c>
      <c r="D41" s="25">
        <v>0.03</v>
      </c>
      <c r="E41" s="25">
        <v>1015</v>
      </c>
      <c r="F41" s="26" t="s">
        <v>537</v>
      </c>
      <c r="G41" s="26" t="s">
        <v>28</v>
      </c>
      <c r="H41" s="26" t="s">
        <v>349</v>
      </c>
      <c r="I41" s="26" t="s">
        <v>538</v>
      </c>
      <c r="J41" s="26" t="s">
        <v>551</v>
      </c>
      <c r="K41" s="26" t="s">
        <v>381</v>
      </c>
      <c r="L41" s="26" t="s">
        <v>302</v>
      </c>
      <c r="M41" s="26" t="s">
        <v>323</v>
      </c>
      <c r="N41" s="26">
        <v>30</v>
      </c>
      <c r="O41" s="26">
        <f>2024-Inventory[[#This Row],[YrBlt]]</f>
        <v>23</v>
      </c>
      <c r="P41" s="26">
        <f>2024-Inventory[[#This Row],[EffYr]]</f>
        <v>23</v>
      </c>
      <c r="Q41" s="25">
        <v>2001</v>
      </c>
      <c r="R41" s="25">
        <v>2001</v>
      </c>
      <c r="S41" s="25">
        <v>581</v>
      </c>
      <c r="T41" s="32">
        <v>810</v>
      </c>
      <c r="U41" s="31"/>
      <c r="V41" s="31">
        <f>Inventory[[#This Row],[Bsmt]]-Inventory[[#This Row],[FnBsmt]]</f>
        <v>0</v>
      </c>
      <c r="W41" s="31"/>
      <c r="X41" s="27"/>
      <c r="Y41" s="27">
        <f>Inventory[[#This Row],[MainFn]]+Inventory[[#This Row],[UpprFn]]+Inventory[[#This Row],[FnBsmt]]+Inventory[[#This Row],[AddFn]]</f>
        <v>1391</v>
      </c>
      <c r="Z41" s="27">
        <v>1500</v>
      </c>
      <c r="AA41" s="25">
        <v>10</v>
      </c>
      <c r="AB41" s="31"/>
      <c r="AC41" s="32">
        <v>434</v>
      </c>
      <c r="AD41" s="31"/>
      <c r="AE41" s="27"/>
      <c r="AF41" s="27"/>
      <c r="AG41" s="27"/>
      <c r="AH41" s="27"/>
      <c r="AI41" s="25">
        <v>257300</v>
      </c>
      <c r="AJ41" s="25">
        <v>231570</v>
      </c>
      <c r="AK41" s="25">
        <v>0</v>
      </c>
      <c r="AL41" s="25">
        <v>275600</v>
      </c>
      <c r="AM41" s="25">
        <v>41300</v>
      </c>
      <c r="AN41" s="25">
        <v>234300</v>
      </c>
      <c r="AO41" s="25">
        <v>0</v>
      </c>
      <c r="AP41" s="25">
        <f>Lookups!$B$56*0</f>
        <v>0</v>
      </c>
      <c r="AQ41" s="25">
        <f>Lookups!$B$56*1</f>
        <v>89850.625589999996</v>
      </c>
      <c r="AR41" s="25">
        <f>Lookups!$B$57*Inventory[[#This Row],[LnAcres]]</f>
        <v>-110998.74281323297</v>
      </c>
      <c r="AS41" s="25">
        <f>VLOOKUP(Inventory[[#This Row],[Qlty]],Lookups!$A$62:$E$75,2,FALSE)</f>
        <v>29814.093161000001</v>
      </c>
      <c r="AT41" s="25">
        <f>VLOOKUP(Inventory[[#This Row],[Cnd]],Lookups!$A$76:$E$84,2,FALSE)</f>
        <v>160472.20319</v>
      </c>
      <c r="AU41" s="25">
        <f>Inventory[[#This Row],[EffAge]]*Lookups!$B$85</f>
        <v>-5130.0488114999998</v>
      </c>
      <c r="AV41" s="25">
        <f>Inventory[[#This Row],[MainFn]]*Lookups!$B$86</f>
        <v>28706.437198537002</v>
      </c>
      <c r="AW41" s="25">
        <f>Inventory[[#This Row],[UpprFn]]*Lookups!$B$87</f>
        <v>36277.002517410001</v>
      </c>
      <c r="AX41" s="25">
        <f>Inventory[[#This Row],[AddFn]]*Lookups!$B$88</f>
        <v>0</v>
      </c>
      <c r="AY41" s="25">
        <f>Inventory[[#This Row],[Bsmt]]*Lookups!$B$89</f>
        <v>0</v>
      </c>
      <c r="AZ41" s="25">
        <f>Inventory[[#This Row],[Fixtures]]*Lookups!$B$90</f>
        <v>37920.221052000001</v>
      </c>
      <c r="BA41" s="25">
        <f>Inventory[[#This Row],[WdDeck]]*Lookups!$B$91</f>
        <v>0</v>
      </c>
      <c r="BB41" s="25">
        <f>ROUND(Inventory[[#This Row],[25Det]],-2)</f>
        <v>0</v>
      </c>
      <c r="BC41" s="25">
        <f>ROUND(SUM(Inventory[[#This Row],[Mdl Qlty]:[Mdl WdDeck]])+Inventory[[#This Row],[Mdl Res Intercept]],-2)</f>
        <v>288100</v>
      </c>
      <c r="BD41" s="25">
        <f>ROUND(Inventory[[#This Row],[Mdl Land Intercept]]+Inventory[[#This Row],[Mdl LnAcres]],-2)</f>
        <v>-21100</v>
      </c>
      <c r="BE41" s="25">
        <f>Inventory[[#This Row],[Unadj Res Value]]+Inventory[[#This Row],[Unadj Det Value]]+Inventory[[#This Row],[Unadj Land Value]]</f>
        <v>267000</v>
      </c>
      <c r="BF41" s="36">
        <f>(Inventory[[#This Row],[Unadj Total Value]]-Inventory[[#This Row],[24Final]])/Inventory[[#This Row],[24Final]]</f>
        <v>-3.1204644412191583E-2</v>
      </c>
      <c r="BG41" s="25">
        <f>VLOOKUP(Inventory[[#This Row],[Nbhd]],Lookups!$Q$2:$T$4,4,FALSE)</f>
        <v>0.99970000000000003</v>
      </c>
      <c r="BH41" s="25">
        <f>VLOOKUP(Inventory[[#This Row],[Qlty]],Lookups!$O$7:$R$21,4,FALSE)</f>
        <v>1.0088999999999999</v>
      </c>
      <c r="BI41" s="25">
        <f>VLOOKUP(Inventory[[#This Row],[Cnd]],Lookups!$T$7:$W$16,4,FALSE)</f>
        <v>0.99729999999999996</v>
      </c>
      <c r="BJ41" s="25">
        <f>VLOOKUP(Inventory[[#This Row],[LivArea Range]],Lookups!$T$25:$W$37,4,FALSE)</f>
        <v>1.0157</v>
      </c>
      <c r="BK41" s="25">
        <f>VLOOKUP(Inventory[[#This Row],[Decade]],Lookups!$O$25:$R$42,4,FALSE)</f>
        <v>0.97319999999999995</v>
      </c>
      <c r="BL41" s="25">
        <f>Inventory[[#This Row],[Nbhd Adj]]*0.95</f>
        <v>0.94971499999999998</v>
      </c>
      <c r="BM41" s="25">
        <f>Inventory[[#This Row],[Nbhd Adj]]*Inventory[[#This Row],[Quality Adj]]*Inventory[[#This Row],[Condition Adj]]*Inventory[[#This Row],[Living Area Adj]]*Inventory[[#This Row],[Decade Adj]]*0.95</f>
        <v>0.944571398768702</v>
      </c>
      <c r="BN41" s="25">
        <f>ROUND(SUM(Inventory[[#This Row],[Mdl Qlty]:[Mdl WdDeck]])+Inventory[[#This Row],[Mdl Res Intercept]]*Inventory[[#This Row],[Res Adj ]],-2)</f>
        <v>288100</v>
      </c>
      <c r="BO41" s="25">
        <f>ROUND(Inventory[[#This Row],[25Det]]*Inventory[[#This Row],[Det/Nbhd Adj]],-2)</f>
        <v>0</v>
      </c>
      <c r="BP41" s="25">
        <f>Inventory[[#This Row],[Adjusted Res]]+Inventory[[#This Row],[Adj Det ]]</f>
        <v>288100</v>
      </c>
      <c r="BQ41" s="25">
        <f>ROUND((Inventory[[#This Row],[Mdl Land Intercept]]+Inventory[[#This Row],[Mdl LnAcres]])*Inventory[[#This Row],[Det/Nbhd Adj]],-2)</f>
        <v>-20100</v>
      </c>
      <c r="BR41" s="25">
        <f>Inventory[[#This Row],[Adjusted Impr Total]]+Inventory[[#This Row],[Adjusted Land Total]]</f>
        <v>268000</v>
      </c>
      <c r="BS41" s="36">
        <f>IFERROR((Inventory[[#This Row],[Adjusted Impr Total]]-Inventory[[#This Row],[24Bldg]])/Inventory[[#This Row],[24Bldg]],0)</f>
        <v>0.22962014511310286</v>
      </c>
      <c r="BT41" s="36">
        <f>(Inventory[[#This Row],[Adjusted Land Total]]-Inventory[[#This Row],[24Lnd]])/Inventory[[#This Row],[24Lnd]]</f>
        <v>-1.486682808716707</v>
      </c>
      <c r="BU41" s="36">
        <f>(Inventory[[#This Row],[Adjusted Total]]-Inventory[[#This Row],[24Final]])/Inventory[[#This Row],[24Final]]</f>
        <v>-2.7576197387518143E-2</v>
      </c>
    </row>
    <row r="42" spans="1:73" x14ac:dyDescent="0.3">
      <c r="A42" s="25">
        <v>2025</v>
      </c>
      <c r="B42" s="26" t="s">
        <v>2447</v>
      </c>
      <c r="C42" s="26">
        <f>LN(Inventory[[#This Row],[Acres]])</f>
        <v>-1.5141277326297755</v>
      </c>
      <c r="D42" s="25">
        <v>0.22</v>
      </c>
      <c r="E42" s="25">
        <v>9690</v>
      </c>
      <c r="F42" s="26" t="s">
        <v>537</v>
      </c>
      <c r="G42" s="26" t="s">
        <v>126</v>
      </c>
      <c r="H42" s="26" t="s">
        <v>349</v>
      </c>
      <c r="I42" s="26" t="s">
        <v>538</v>
      </c>
      <c r="J42" s="26" t="s">
        <v>539</v>
      </c>
      <c r="K42" s="26" t="s">
        <v>241</v>
      </c>
      <c r="L42" s="26" t="s">
        <v>148</v>
      </c>
      <c r="M42" s="26" t="s">
        <v>303</v>
      </c>
      <c r="N42" s="26">
        <v>30</v>
      </c>
      <c r="O42" s="26">
        <f>2024-Inventory[[#This Row],[YrBlt]]</f>
        <v>24</v>
      </c>
      <c r="P42" s="26">
        <f>2024-Inventory[[#This Row],[EffYr]]</f>
        <v>24</v>
      </c>
      <c r="Q42" s="25">
        <v>2000</v>
      </c>
      <c r="R42" s="25">
        <v>2000</v>
      </c>
      <c r="S42" s="25">
        <v>1912</v>
      </c>
      <c r="T42" s="31"/>
      <c r="U42" s="27"/>
      <c r="V42" s="27">
        <f>Inventory[[#This Row],[Bsmt]]-Inventory[[#This Row],[FnBsmt]]</f>
        <v>0</v>
      </c>
      <c r="W42" s="27"/>
      <c r="X42" s="27"/>
      <c r="Y42" s="27">
        <f>Inventory[[#This Row],[MainFn]]+Inventory[[#This Row],[UpprFn]]+Inventory[[#This Row],[FnBsmt]]+Inventory[[#This Row],[AddFn]]</f>
        <v>1912</v>
      </c>
      <c r="Z42" s="27">
        <v>2000</v>
      </c>
      <c r="AA42" s="25">
        <v>9</v>
      </c>
      <c r="AB42" s="27"/>
      <c r="AC42" s="27"/>
      <c r="AD42" s="32">
        <v>384</v>
      </c>
      <c r="AE42" s="27"/>
      <c r="AF42" s="27"/>
      <c r="AG42" s="27"/>
      <c r="AH42" s="27"/>
      <c r="AI42" s="25">
        <v>415051</v>
      </c>
      <c r="AJ42" s="25">
        <v>373546</v>
      </c>
      <c r="AK42" s="25">
        <v>0</v>
      </c>
      <c r="AL42" s="25">
        <v>386800</v>
      </c>
      <c r="AM42" s="25">
        <v>61700</v>
      </c>
      <c r="AN42" s="25">
        <v>325100</v>
      </c>
      <c r="AO42" s="25">
        <v>0</v>
      </c>
      <c r="AP42" s="25">
        <f>Lookups!$B$56*0</f>
        <v>0</v>
      </c>
      <c r="AQ42" s="25">
        <f>Lookups!$B$56*1</f>
        <v>89850.625589999996</v>
      </c>
      <c r="AR42" s="25">
        <f>Lookups!$B$57*Inventory[[#This Row],[LnAcres]]</f>
        <v>-47929.131559187132</v>
      </c>
      <c r="AS42" s="25">
        <f>VLOOKUP(Inventory[[#This Row],[Qlty]],Lookups!$A$62:$E$75,2,FALSE)</f>
        <v>44121.038090000002</v>
      </c>
      <c r="AT42" s="25">
        <f>VLOOKUP(Inventory[[#This Row],[Cnd]],Lookups!$A$76:$E$84,2,FALSE)</f>
        <v>197752.34721000001</v>
      </c>
      <c r="AU42" s="25">
        <f>Inventory[[#This Row],[EffAge]]*Lookups!$B$85</f>
        <v>-5353.0944120000004</v>
      </c>
      <c r="AV42" s="25">
        <f>Inventory[[#This Row],[MainFn]]*Lookups!$B$86</f>
        <v>94469.376804824002</v>
      </c>
      <c r="AW42" s="25">
        <f>Inventory[[#This Row],[UpprFn]]*Lookups!$B$87</f>
        <v>0</v>
      </c>
      <c r="AX42" s="25">
        <f>Inventory[[#This Row],[AddFn]]*Lookups!$B$88</f>
        <v>0</v>
      </c>
      <c r="AY42" s="25">
        <f>Inventory[[#This Row],[Bsmt]]*Lookups!$B$89</f>
        <v>0</v>
      </c>
      <c r="AZ42" s="25">
        <f>Inventory[[#This Row],[Fixtures]]*Lookups!$B$90</f>
        <v>34128.198946800003</v>
      </c>
      <c r="BA42" s="25">
        <f>Inventory[[#This Row],[WdDeck]]*Lookups!$B$91</f>
        <v>12785.477865984001</v>
      </c>
      <c r="BB42" s="25">
        <f>ROUND(Inventory[[#This Row],[25Det]],-2)</f>
        <v>0</v>
      </c>
      <c r="BC42" s="25">
        <f>ROUND(SUM(Inventory[[#This Row],[Mdl Qlty]:[Mdl WdDeck]])+Inventory[[#This Row],[Mdl Res Intercept]],-2)</f>
        <v>377900</v>
      </c>
      <c r="BD42" s="25">
        <f>ROUND(Inventory[[#This Row],[Mdl Land Intercept]]+Inventory[[#This Row],[Mdl LnAcres]],-2)</f>
        <v>41900</v>
      </c>
      <c r="BE42" s="25">
        <f>Inventory[[#This Row],[Unadj Res Value]]+Inventory[[#This Row],[Unadj Det Value]]+Inventory[[#This Row],[Unadj Land Value]]</f>
        <v>419800</v>
      </c>
      <c r="BF42" s="36">
        <f>(Inventory[[#This Row],[Unadj Total Value]]-Inventory[[#This Row],[24Final]])/Inventory[[#This Row],[24Final]]</f>
        <v>8.5315408479834542E-2</v>
      </c>
      <c r="BG42" s="25">
        <f>VLOOKUP(Inventory[[#This Row],[Nbhd]],Lookups!$Q$2:$T$4,4,FALSE)</f>
        <v>0.99970000000000003</v>
      </c>
      <c r="BH42" s="25">
        <f>VLOOKUP(Inventory[[#This Row],[Qlty]],Lookups!$O$7:$R$21,4,FALSE)</f>
        <v>0.98050000000000004</v>
      </c>
      <c r="BI42" s="25">
        <f>VLOOKUP(Inventory[[#This Row],[Cnd]],Lookups!$T$7:$W$16,4,FALSE)</f>
        <v>0.99650000000000005</v>
      </c>
      <c r="BJ42" s="25">
        <f>VLOOKUP(Inventory[[#This Row],[LivArea Range]],Lookups!$T$25:$W$37,4,FALSE)</f>
        <v>1.0093000000000001</v>
      </c>
      <c r="BK42" s="25">
        <f>VLOOKUP(Inventory[[#This Row],[Decade]],Lookups!$O$25:$R$42,4,FALSE)</f>
        <v>0.97319999999999995</v>
      </c>
      <c r="BL42" s="25">
        <f>Inventory[[#This Row],[Nbhd Adj]]*0.95</f>
        <v>0.94971499999999998</v>
      </c>
      <c r="BM42" s="25">
        <f>Inventory[[#This Row],[Nbhd Adj]]*Inventory[[#This Row],[Quality Adj]]*Inventory[[#This Row],[Condition Adj]]*Inventory[[#This Row],[Living Area Adj]]*Inventory[[#This Row],[Decade Adj]]*0.95</f>
        <v>0.91146620765877828</v>
      </c>
      <c r="BN42" s="25">
        <f>ROUND(SUM(Inventory[[#This Row],[Mdl Qlty]:[Mdl WdDeck]])+Inventory[[#This Row],[Mdl Res Intercept]]*Inventory[[#This Row],[Res Adj ]],-2)</f>
        <v>377900</v>
      </c>
      <c r="BO42" s="25">
        <f>ROUND(Inventory[[#This Row],[25Det]]*Inventory[[#This Row],[Det/Nbhd Adj]],-2)</f>
        <v>0</v>
      </c>
      <c r="BP42" s="25">
        <f>Inventory[[#This Row],[Adjusted Res]]+Inventory[[#This Row],[Adj Det ]]</f>
        <v>377900</v>
      </c>
      <c r="BQ42" s="25">
        <f>ROUND((Inventory[[#This Row],[Mdl Land Intercept]]+Inventory[[#This Row],[Mdl LnAcres]])*Inventory[[#This Row],[Det/Nbhd Adj]],-2)</f>
        <v>39800</v>
      </c>
      <c r="BR42" s="25">
        <f>Inventory[[#This Row],[Adjusted Impr Total]]+Inventory[[#This Row],[Adjusted Land Total]]</f>
        <v>417700</v>
      </c>
      <c r="BS42" s="36">
        <f>IFERROR((Inventory[[#This Row],[Adjusted Impr Total]]-Inventory[[#This Row],[24Bldg]])/Inventory[[#This Row],[24Bldg]],0)</f>
        <v>0.16241156567210088</v>
      </c>
      <c r="BT42" s="36">
        <f>(Inventory[[#This Row],[Adjusted Land Total]]-Inventory[[#This Row],[24Lnd]])/Inventory[[#This Row],[24Lnd]]</f>
        <v>-0.35494327390599678</v>
      </c>
      <c r="BU42" s="36">
        <f>(Inventory[[#This Row],[Adjusted Total]]-Inventory[[#This Row],[24Final]])/Inventory[[#This Row],[24Final]]</f>
        <v>7.9886246122026883E-2</v>
      </c>
    </row>
    <row r="43" spans="1:73" x14ac:dyDescent="0.3">
      <c r="A43" s="25">
        <v>2025</v>
      </c>
      <c r="B43" s="26" t="s">
        <v>2507</v>
      </c>
      <c r="C43" s="26">
        <f>LN(Inventory[[#This Row],[Acres]])</f>
        <v>-0.61618613942381695</v>
      </c>
      <c r="D43" s="25">
        <v>0.54</v>
      </c>
      <c r="E43" s="25">
        <v>23708</v>
      </c>
      <c r="F43" s="26" t="s">
        <v>537</v>
      </c>
      <c r="G43" s="26" t="s">
        <v>126</v>
      </c>
      <c r="H43" s="26" t="s">
        <v>349</v>
      </c>
      <c r="I43" s="26" t="s">
        <v>538</v>
      </c>
      <c r="J43" s="26" t="s">
        <v>539</v>
      </c>
      <c r="K43" s="26" t="s">
        <v>300</v>
      </c>
      <c r="L43" s="26" t="s">
        <v>148</v>
      </c>
      <c r="M43" s="26" t="s">
        <v>323</v>
      </c>
      <c r="N43" s="26">
        <v>30</v>
      </c>
      <c r="O43" s="26">
        <f>2024-Inventory[[#This Row],[YrBlt]]</f>
        <v>24</v>
      </c>
      <c r="P43" s="26">
        <f>2024-Inventory[[#This Row],[EffYr]]</f>
        <v>24</v>
      </c>
      <c r="Q43" s="25">
        <v>2000</v>
      </c>
      <c r="R43" s="25">
        <v>2000</v>
      </c>
      <c r="S43" s="25">
        <v>1886</v>
      </c>
      <c r="T43" s="27"/>
      <c r="U43" s="31"/>
      <c r="V43" s="31">
        <f>Inventory[[#This Row],[Bsmt]]-Inventory[[#This Row],[FnBsmt]]</f>
        <v>0</v>
      </c>
      <c r="W43" s="31"/>
      <c r="X43" s="27"/>
      <c r="Y43" s="27">
        <f>Inventory[[#This Row],[MainFn]]+Inventory[[#This Row],[UpprFn]]+Inventory[[#This Row],[FnBsmt]]+Inventory[[#This Row],[AddFn]]</f>
        <v>1886</v>
      </c>
      <c r="Z43" s="27">
        <v>2000</v>
      </c>
      <c r="AA43" s="25">
        <v>8</v>
      </c>
      <c r="AB43" s="31"/>
      <c r="AC43" s="27"/>
      <c r="AD43" s="31"/>
      <c r="AE43" s="27"/>
      <c r="AF43" s="27"/>
      <c r="AG43" s="27"/>
      <c r="AH43" s="27"/>
      <c r="AI43" s="25">
        <v>386436</v>
      </c>
      <c r="AJ43" s="25">
        <v>343928</v>
      </c>
      <c r="AK43" s="25">
        <v>9708</v>
      </c>
      <c r="AL43" s="25">
        <v>398700</v>
      </c>
      <c r="AM43" s="25">
        <v>93000</v>
      </c>
      <c r="AN43" s="25">
        <v>305700</v>
      </c>
      <c r="AO43" s="25">
        <v>0</v>
      </c>
      <c r="AP43" s="25">
        <f>Lookups!$B$56*0</f>
        <v>0</v>
      </c>
      <c r="AQ43" s="25">
        <f>Lookups!$B$56*1</f>
        <v>89850.625589999996</v>
      </c>
      <c r="AR43" s="25">
        <f>Lookups!$B$57*Inventory[[#This Row],[LnAcres]]</f>
        <v>-19505.135468391178</v>
      </c>
      <c r="AS43" s="25">
        <f>VLOOKUP(Inventory[[#This Row],[Qlty]],Lookups!$A$62:$E$75,2,FALSE)</f>
        <v>44121.038090000002</v>
      </c>
      <c r="AT43" s="25">
        <f>VLOOKUP(Inventory[[#This Row],[Cnd]],Lookups!$A$76:$E$84,2,FALSE)</f>
        <v>160472.20319</v>
      </c>
      <c r="AU43" s="25">
        <f>Inventory[[#This Row],[EffAge]]*Lookups!$B$85</f>
        <v>-5353.0944120000004</v>
      </c>
      <c r="AV43" s="25">
        <f>Inventory[[#This Row],[MainFn]]*Lookups!$B$86</f>
        <v>93184.751388022007</v>
      </c>
      <c r="AW43" s="25">
        <f>Inventory[[#This Row],[UpprFn]]*Lookups!$B$87</f>
        <v>0</v>
      </c>
      <c r="AX43" s="25">
        <f>Inventory[[#This Row],[AddFn]]*Lookups!$B$88</f>
        <v>0</v>
      </c>
      <c r="AY43" s="25">
        <f>Inventory[[#This Row],[Bsmt]]*Lookups!$B$89</f>
        <v>0</v>
      </c>
      <c r="AZ43" s="25">
        <f>Inventory[[#This Row],[Fixtures]]*Lookups!$B$90</f>
        <v>30336.176841600001</v>
      </c>
      <c r="BA43" s="25">
        <f>Inventory[[#This Row],[WdDeck]]*Lookups!$B$91</f>
        <v>0</v>
      </c>
      <c r="BB43" s="25">
        <f>ROUND(Inventory[[#This Row],[25Det]],-2)</f>
        <v>9700</v>
      </c>
      <c r="BC43" s="25">
        <f>ROUND(SUM(Inventory[[#This Row],[Mdl Qlty]:[Mdl WdDeck]])+Inventory[[#This Row],[Mdl Res Intercept]],-2)</f>
        <v>322800</v>
      </c>
      <c r="BD43" s="25">
        <f>ROUND(Inventory[[#This Row],[Mdl Land Intercept]]+Inventory[[#This Row],[Mdl LnAcres]],-2)</f>
        <v>70300</v>
      </c>
      <c r="BE43" s="25">
        <f>Inventory[[#This Row],[Unadj Res Value]]+Inventory[[#This Row],[Unadj Det Value]]+Inventory[[#This Row],[Unadj Land Value]]</f>
        <v>402800</v>
      </c>
      <c r="BF43" s="36">
        <f>(Inventory[[#This Row],[Unadj Total Value]]-Inventory[[#This Row],[24Final]])/Inventory[[#This Row],[24Final]]</f>
        <v>1.0283421118635566E-2</v>
      </c>
      <c r="BG43" s="25">
        <f>VLOOKUP(Inventory[[#This Row],[Nbhd]],Lookups!$Q$2:$T$4,4,FALSE)</f>
        <v>0.99970000000000003</v>
      </c>
      <c r="BH43" s="25">
        <f>VLOOKUP(Inventory[[#This Row],[Qlty]],Lookups!$O$7:$R$21,4,FALSE)</f>
        <v>0.98050000000000004</v>
      </c>
      <c r="BI43" s="25">
        <f>VLOOKUP(Inventory[[#This Row],[Cnd]],Lookups!$T$7:$W$16,4,FALSE)</f>
        <v>0.99729999999999996</v>
      </c>
      <c r="BJ43" s="25">
        <f>VLOOKUP(Inventory[[#This Row],[LivArea Range]],Lookups!$T$25:$W$37,4,FALSE)</f>
        <v>1.0093000000000001</v>
      </c>
      <c r="BK43" s="25">
        <f>VLOOKUP(Inventory[[#This Row],[Decade]],Lookups!$O$25:$R$42,4,FALSE)</f>
        <v>0.97319999999999995</v>
      </c>
      <c r="BL43" s="25">
        <f>Inventory[[#This Row],[Nbhd Adj]]*0.95</f>
        <v>0.94971499999999998</v>
      </c>
      <c r="BM43" s="25">
        <f>Inventory[[#This Row],[Nbhd Adj]]*Inventory[[#This Row],[Quality Adj]]*Inventory[[#This Row],[Condition Adj]]*Inventory[[#This Row],[Living Area Adj]]*Inventory[[#This Row],[Decade Adj]]*0.95</f>
        <v>0.91219794169402857</v>
      </c>
      <c r="BN43" s="25">
        <f>ROUND(SUM(Inventory[[#This Row],[Mdl Qlty]:[Mdl WdDeck]])+Inventory[[#This Row],[Mdl Res Intercept]]*Inventory[[#This Row],[Res Adj ]],-2)</f>
        <v>322800</v>
      </c>
      <c r="BO43" s="25">
        <f>ROUND(Inventory[[#This Row],[25Det]]*Inventory[[#This Row],[Det/Nbhd Adj]],-2)</f>
        <v>9200</v>
      </c>
      <c r="BP43" s="25">
        <f>Inventory[[#This Row],[Adjusted Res]]+Inventory[[#This Row],[Adj Det ]]</f>
        <v>332000</v>
      </c>
      <c r="BQ43" s="25">
        <f>ROUND((Inventory[[#This Row],[Mdl Land Intercept]]+Inventory[[#This Row],[Mdl LnAcres]])*Inventory[[#This Row],[Det/Nbhd Adj]],-2)</f>
        <v>66800</v>
      </c>
      <c r="BR43" s="25">
        <f>Inventory[[#This Row],[Adjusted Impr Total]]+Inventory[[#This Row],[Adjusted Land Total]]</f>
        <v>398800</v>
      </c>
      <c r="BS43" s="36">
        <f>IFERROR((Inventory[[#This Row],[Adjusted Impr Total]]-Inventory[[#This Row],[24Bldg]])/Inventory[[#This Row],[24Bldg]],0)</f>
        <v>8.6032057572783774E-2</v>
      </c>
      <c r="BT43" s="36">
        <f>(Inventory[[#This Row],[Adjusted Land Total]]-Inventory[[#This Row],[24Lnd]])/Inventory[[#This Row],[24Lnd]]</f>
        <v>-0.2817204301075269</v>
      </c>
      <c r="BU43" s="36">
        <f>(Inventory[[#This Row],[Adjusted Total]]-Inventory[[#This Row],[24Final]])/Inventory[[#This Row],[24Final]]</f>
        <v>2.5081514923501377E-4</v>
      </c>
    </row>
    <row r="44" spans="1:73" x14ac:dyDescent="0.3">
      <c r="A44" s="25">
        <v>2025</v>
      </c>
      <c r="B44" s="26" t="s">
        <v>597</v>
      </c>
      <c r="C44" s="26">
        <f>LN(Inventory[[#This Row],[Acres]])</f>
        <v>-2.120263536200091</v>
      </c>
      <c r="D44" s="25">
        <v>0.12</v>
      </c>
      <c r="E44" s="25">
        <v>5135</v>
      </c>
      <c r="F44" s="26" t="s">
        <v>537</v>
      </c>
      <c r="G44" s="26" t="s">
        <v>126</v>
      </c>
      <c r="H44" s="26" t="s">
        <v>349</v>
      </c>
      <c r="I44" s="26" t="s">
        <v>538</v>
      </c>
      <c r="J44" s="26" t="s">
        <v>586</v>
      </c>
      <c r="K44" s="26" t="s">
        <v>587</v>
      </c>
      <c r="L44" s="26" t="s">
        <v>148</v>
      </c>
      <c r="M44" s="26" t="s">
        <v>303</v>
      </c>
      <c r="N44" s="26">
        <v>30</v>
      </c>
      <c r="O44" s="26">
        <f>2024-Inventory[[#This Row],[YrBlt]]</f>
        <v>25</v>
      </c>
      <c r="P44" s="26">
        <f>2024-Inventory[[#This Row],[EffYr]]</f>
        <v>25</v>
      </c>
      <c r="Q44" s="25">
        <v>1999</v>
      </c>
      <c r="R44" s="25">
        <v>1999</v>
      </c>
      <c r="S44" s="25">
        <v>1068</v>
      </c>
      <c r="T44" s="32">
        <v>478</v>
      </c>
      <c r="U44" s="31"/>
      <c r="V44" s="31">
        <f>Inventory[[#This Row],[Bsmt]]-Inventory[[#This Row],[FnBsmt]]</f>
        <v>0</v>
      </c>
      <c r="W44" s="31"/>
      <c r="X44" s="27"/>
      <c r="Y44" s="27">
        <f>Inventory[[#This Row],[MainFn]]+Inventory[[#This Row],[UpprFn]]+Inventory[[#This Row],[FnBsmt]]+Inventory[[#This Row],[AddFn]]</f>
        <v>1546</v>
      </c>
      <c r="Z44" s="27">
        <v>2000</v>
      </c>
      <c r="AA44" s="25">
        <v>12</v>
      </c>
      <c r="AB44" s="25">
        <v>478</v>
      </c>
      <c r="AC44" s="27"/>
      <c r="AD44" s="32">
        <v>144</v>
      </c>
      <c r="AE44" s="27"/>
      <c r="AF44" s="27"/>
      <c r="AG44" s="27"/>
      <c r="AH44" s="27"/>
      <c r="AI44" s="25">
        <v>353952</v>
      </c>
      <c r="AJ44" s="25">
        <v>318557</v>
      </c>
      <c r="AK44" s="25">
        <v>0</v>
      </c>
      <c r="AL44" s="25">
        <v>373800</v>
      </c>
      <c r="AM44" s="25">
        <v>43900</v>
      </c>
      <c r="AN44" s="25">
        <v>329900</v>
      </c>
      <c r="AO44" s="25">
        <v>0</v>
      </c>
      <c r="AP44" s="25">
        <f>Lookups!$B$56*0</f>
        <v>0</v>
      </c>
      <c r="AQ44" s="25">
        <f>Lookups!$B$56*1</f>
        <v>89850.625589999996</v>
      </c>
      <c r="AR44" s="25">
        <f>Lookups!$B$57*Inventory[[#This Row],[LnAcres]]</f>
        <v>-67116.12750806773</v>
      </c>
      <c r="AS44" s="25">
        <f>VLOOKUP(Inventory[[#This Row],[Qlty]],Lookups!$A$62:$E$75,2,FALSE)</f>
        <v>44121.038090000002</v>
      </c>
      <c r="AT44" s="25">
        <f>VLOOKUP(Inventory[[#This Row],[Cnd]],Lookups!$A$76:$E$84,2,FALSE)</f>
        <v>197752.34721000001</v>
      </c>
      <c r="AU44" s="25">
        <f>Inventory[[#This Row],[EffAge]]*Lookups!$B$85</f>
        <v>-5576.1400125</v>
      </c>
      <c r="AV44" s="25">
        <f>Inventory[[#This Row],[MainFn]]*Lookups!$B$86</f>
        <v>52768.459428636001</v>
      </c>
      <c r="AW44" s="25">
        <f>Inventory[[#This Row],[UpprFn]]*Lookups!$B$87</f>
        <v>21407.910127558</v>
      </c>
      <c r="AX44" s="25">
        <f>Inventory[[#This Row],[AddFn]]*Lookups!$B$88</f>
        <v>0</v>
      </c>
      <c r="AY44" s="25">
        <f>Inventory[[#This Row],[Bsmt]]*Lookups!$B$89</f>
        <v>0</v>
      </c>
      <c r="AZ44" s="25">
        <f>Inventory[[#This Row],[Fixtures]]*Lookups!$B$90</f>
        <v>45504.265262400004</v>
      </c>
      <c r="BA44" s="25">
        <f>Inventory[[#This Row],[WdDeck]]*Lookups!$B$91</f>
        <v>4794.5541997440005</v>
      </c>
      <c r="BB44" s="25">
        <f>ROUND(Inventory[[#This Row],[25Det]],-2)</f>
        <v>0</v>
      </c>
      <c r="BC44" s="25">
        <f>ROUND(SUM(Inventory[[#This Row],[Mdl Qlty]:[Mdl WdDeck]])+Inventory[[#This Row],[Mdl Res Intercept]],-2)</f>
        <v>360800</v>
      </c>
      <c r="BD44" s="25">
        <f>ROUND(Inventory[[#This Row],[Mdl Land Intercept]]+Inventory[[#This Row],[Mdl LnAcres]],-2)</f>
        <v>22700</v>
      </c>
      <c r="BE44" s="25">
        <f>Inventory[[#This Row],[Unadj Res Value]]+Inventory[[#This Row],[Unadj Det Value]]+Inventory[[#This Row],[Unadj Land Value]]</f>
        <v>383500</v>
      </c>
      <c r="BF44" s="36">
        <f>(Inventory[[#This Row],[Unadj Total Value]]-Inventory[[#This Row],[24Final]])/Inventory[[#This Row],[24Final]]</f>
        <v>2.5949705724986623E-2</v>
      </c>
      <c r="BG44" s="25">
        <f>VLOOKUP(Inventory[[#This Row],[Nbhd]],Lookups!$Q$2:$T$4,4,FALSE)</f>
        <v>0.99970000000000003</v>
      </c>
      <c r="BH44" s="25">
        <f>VLOOKUP(Inventory[[#This Row],[Qlty]],Lookups!$O$7:$R$21,4,FALSE)</f>
        <v>0.98050000000000004</v>
      </c>
      <c r="BI44" s="25">
        <f>VLOOKUP(Inventory[[#This Row],[Cnd]],Lookups!$T$7:$W$16,4,FALSE)</f>
        <v>0.99650000000000005</v>
      </c>
      <c r="BJ44" s="25">
        <f>VLOOKUP(Inventory[[#This Row],[LivArea Range]],Lookups!$T$25:$W$37,4,FALSE)</f>
        <v>1.0093000000000001</v>
      </c>
      <c r="BK44" s="25">
        <f>VLOOKUP(Inventory[[#This Row],[Decade]],Lookups!$O$25:$R$42,4,FALSE)</f>
        <v>0.97319999999999995</v>
      </c>
      <c r="BL44" s="25">
        <f>Inventory[[#This Row],[Nbhd Adj]]*0.95</f>
        <v>0.94971499999999998</v>
      </c>
      <c r="BM44" s="25">
        <f>Inventory[[#This Row],[Nbhd Adj]]*Inventory[[#This Row],[Quality Adj]]*Inventory[[#This Row],[Condition Adj]]*Inventory[[#This Row],[Living Area Adj]]*Inventory[[#This Row],[Decade Adj]]*0.95</f>
        <v>0.91146620765877828</v>
      </c>
      <c r="BN44" s="25">
        <f>ROUND(SUM(Inventory[[#This Row],[Mdl Qlty]:[Mdl WdDeck]])+Inventory[[#This Row],[Mdl Res Intercept]]*Inventory[[#This Row],[Res Adj ]],-2)</f>
        <v>360800</v>
      </c>
      <c r="BO44" s="25">
        <f>ROUND(Inventory[[#This Row],[25Det]]*Inventory[[#This Row],[Det/Nbhd Adj]],-2)</f>
        <v>0</v>
      </c>
      <c r="BP44" s="25">
        <f>Inventory[[#This Row],[Adjusted Res]]+Inventory[[#This Row],[Adj Det ]]</f>
        <v>360800</v>
      </c>
      <c r="BQ44" s="25">
        <f>ROUND((Inventory[[#This Row],[Mdl Land Intercept]]+Inventory[[#This Row],[Mdl LnAcres]])*Inventory[[#This Row],[Det/Nbhd Adj]],-2)</f>
        <v>21600</v>
      </c>
      <c r="BR44" s="25">
        <f>Inventory[[#This Row],[Adjusted Impr Total]]+Inventory[[#This Row],[Adjusted Land Total]]</f>
        <v>382400</v>
      </c>
      <c r="BS44" s="36">
        <f>IFERROR((Inventory[[#This Row],[Adjusted Impr Total]]-Inventory[[#This Row],[24Bldg]])/Inventory[[#This Row],[24Bldg]],0)</f>
        <v>9.3664746892997877E-2</v>
      </c>
      <c r="BT44" s="36">
        <f>(Inventory[[#This Row],[Adjusted Land Total]]-Inventory[[#This Row],[24Lnd]])/Inventory[[#This Row],[24Lnd]]</f>
        <v>-0.50797266514806383</v>
      </c>
      <c r="BU44" s="36">
        <f>(Inventory[[#This Row],[Adjusted Total]]-Inventory[[#This Row],[24Final]])/Inventory[[#This Row],[24Final]]</f>
        <v>2.3006955591225255E-2</v>
      </c>
    </row>
    <row r="45" spans="1:73" x14ac:dyDescent="0.3">
      <c r="A45" s="25">
        <v>2025</v>
      </c>
      <c r="B45" s="26" t="s">
        <v>596</v>
      </c>
      <c r="C45" s="26">
        <f>LN(Inventory[[#This Row],[Acres]])</f>
        <v>-2.2072749131897207</v>
      </c>
      <c r="D45" s="25">
        <v>0.11</v>
      </c>
      <c r="E45" s="25">
        <v>4780</v>
      </c>
      <c r="F45" s="26" t="s">
        <v>537</v>
      </c>
      <c r="G45" s="26" t="s">
        <v>126</v>
      </c>
      <c r="H45" s="26" t="s">
        <v>349</v>
      </c>
      <c r="I45" s="26" t="s">
        <v>538</v>
      </c>
      <c r="J45" s="26" t="s">
        <v>586</v>
      </c>
      <c r="K45" s="26" t="s">
        <v>587</v>
      </c>
      <c r="L45" s="26" t="s">
        <v>148</v>
      </c>
      <c r="M45" s="26" t="s">
        <v>303</v>
      </c>
      <c r="N45" s="26">
        <v>30</v>
      </c>
      <c r="O45" s="26">
        <f>2024-Inventory[[#This Row],[YrBlt]]</f>
        <v>25</v>
      </c>
      <c r="P45" s="26">
        <f>2024-Inventory[[#This Row],[EffYr]]</f>
        <v>25</v>
      </c>
      <c r="Q45" s="25">
        <v>1999</v>
      </c>
      <c r="R45" s="25">
        <v>1999</v>
      </c>
      <c r="S45" s="25">
        <v>1260</v>
      </c>
      <c r="T45" s="32">
        <v>537</v>
      </c>
      <c r="U45" s="27"/>
      <c r="V45" s="27">
        <f>Inventory[[#This Row],[Bsmt]]-Inventory[[#This Row],[FnBsmt]]</f>
        <v>0</v>
      </c>
      <c r="W45" s="27"/>
      <c r="X45" s="27"/>
      <c r="Y45" s="27">
        <f>Inventory[[#This Row],[MainFn]]+Inventory[[#This Row],[UpprFn]]+Inventory[[#This Row],[FnBsmt]]+Inventory[[#This Row],[AddFn]]</f>
        <v>1797</v>
      </c>
      <c r="Z45" s="27">
        <v>2000</v>
      </c>
      <c r="AA45" s="25">
        <v>10</v>
      </c>
      <c r="AB45" s="25">
        <v>515</v>
      </c>
      <c r="AC45" s="27"/>
      <c r="AD45" s="32">
        <v>264</v>
      </c>
      <c r="AE45" s="27"/>
      <c r="AF45" s="27"/>
      <c r="AG45" s="27"/>
      <c r="AH45" s="27"/>
      <c r="AI45" s="25">
        <v>389268</v>
      </c>
      <c r="AJ45" s="25">
        <v>350341</v>
      </c>
      <c r="AK45" s="25">
        <v>0</v>
      </c>
      <c r="AL45" s="25">
        <v>404900</v>
      </c>
      <c r="AM45" s="25">
        <v>43300</v>
      </c>
      <c r="AN45" s="25">
        <v>361600</v>
      </c>
      <c r="AO45" s="25">
        <v>0</v>
      </c>
      <c r="AP45" s="25">
        <f>Lookups!$B$56*0</f>
        <v>0</v>
      </c>
      <c r="AQ45" s="25">
        <f>Lookups!$B$56*1</f>
        <v>89850.625589999996</v>
      </c>
      <c r="AR45" s="25">
        <f>Lookups!$B$57*Inventory[[#This Row],[LnAcres]]</f>
        <v>-69870.439211769743</v>
      </c>
      <c r="AS45" s="25">
        <f>VLOOKUP(Inventory[[#This Row],[Qlty]],Lookups!$A$62:$E$75,2,FALSE)</f>
        <v>44121.038090000002</v>
      </c>
      <c r="AT45" s="25">
        <f>VLOOKUP(Inventory[[#This Row],[Cnd]],Lookups!$A$76:$E$84,2,FALSE)</f>
        <v>197752.34721000001</v>
      </c>
      <c r="AU45" s="25">
        <f>Inventory[[#This Row],[EffAge]]*Lookups!$B$85</f>
        <v>-5576.1400125</v>
      </c>
      <c r="AV45" s="25">
        <f>Inventory[[#This Row],[MainFn]]*Lookups!$B$86</f>
        <v>62254.924045020001</v>
      </c>
      <c r="AW45" s="25">
        <f>Inventory[[#This Row],[UpprFn]]*Lookups!$B$87</f>
        <v>24050.309076357</v>
      </c>
      <c r="AX45" s="25">
        <f>Inventory[[#This Row],[AddFn]]*Lookups!$B$88</f>
        <v>0</v>
      </c>
      <c r="AY45" s="25">
        <f>Inventory[[#This Row],[Bsmt]]*Lookups!$B$89</f>
        <v>0</v>
      </c>
      <c r="AZ45" s="25">
        <f>Inventory[[#This Row],[Fixtures]]*Lookups!$B$90</f>
        <v>37920.221052000001</v>
      </c>
      <c r="BA45" s="25">
        <f>Inventory[[#This Row],[WdDeck]]*Lookups!$B$91</f>
        <v>8790.0160328640013</v>
      </c>
      <c r="BB45" s="25">
        <f>ROUND(Inventory[[#This Row],[25Det]],-2)</f>
        <v>0</v>
      </c>
      <c r="BC45" s="25">
        <f>ROUND(SUM(Inventory[[#This Row],[Mdl Qlty]:[Mdl WdDeck]])+Inventory[[#This Row],[Mdl Res Intercept]],-2)</f>
        <v>369300</v>
      </c>
      <c r="BD45" s="25">
        <f>ROUND(Inventory[[#This Row],[Mdl Land Intercept]]+Inventory[[#This Row],[Mdl LnAcres]],-2)</f>
        <v>20000</v>
      </c>
      <c r="BE45" s="25">
        <f>Inventory[[#This Row],[Unadj Res Value]]+Inventory[[#This Row],[Unadj Det Value]]+Inventory[[#This Row],[Unadj Land Value]]</f>
        <v>389300</v>
      </c>
      <c r="BF45" s="36">
        <f>(Inventory[[#This Row],[Unadj Total Value]]-Inventory[[#This Row],[24Final]])/Inventory[[#This Row],[24Final]]</f>
        <v>-3.8528031612743888E-2</v>
      </c>
      <c r="BG45" s="25">
        <f>VLOOKUP(Inventory[[#This Row],[Nbhd]],Lookups!$Q$2:$T$4,4,FALSE)</f>
        <v>0.99970000000000003</v>
      </c>
      <c r="BH45" s="25">
        <f>VLOOKUP(Inventory[[#This Row],[Qlty]],Lookups!$O$7:$R$21,4,FALSE)</f>
        <v>0.98050000000000004</v>
      </c>
      <c r="BI45" s="25">
        <f>VLOOKUP(Inventory[[#This Row],[Cnd]],Lookups!$T$7:$W$16,4,FALSE)</f>
        <v>0.99650000000000005</v>
      </c>
      <c r="BJ45" s="25">
        <f>VLOOKUP(Inventory[[#This Row],[LivArea Range]],Lookups!$T$25:$W$37,4,FALSE)</f>
        <v>1.0093000000000001</v>
      </c>
      <c r="BK45" s="25">
        <f>VLOOKUP(Inventory[[#This Row],[Decade]],Lookups!$O$25:$R$42,4,FALSE)</f>
        <v>0.97319999999999995</v>
      </c>
      <c r="BL45" s="25">
        <f>Inventory[[#This Row],[Nbhd Adj]]*0.95</f>
        <v>0.94971499999999998</v>
      </c>
      <c r="BM45" s="25">
        <f>Inventory[[#This Row],[Nbhd Adj]]*Inventory[[#This Row],[Quality Adj]]*Inventory[[#This Row],[Condition Adj]]*Inventory[[#This Row],[Living Area Adj]]*Inventory[[#This Row],[Decade Adj]]*0.95</f>
        <v>0.91146620765877828</v>
      </c>
      <c r="BN45" s="25">
        <f>ROUND(SUM(Inventory[[#This Row],[Mdl Qlty]:[Mdl WdDeck]])+Inventory[[#This Row],[Mdl Res Intercept]]*Inventory[[#This Row],[Res Adj ]],-2)</f>
        <v>369300</v>
      </c>
      <c r="BO45" s="25">
        <f>ROUND(Inventory[[#This Row],[25Det]]*Inventory[[#This Row],[Det/Nbhd Adj]],-2)</f>
        <v>0</v>
      </c>
      <c r="BP45" s="25">
        <f>Inventory[[#This Row],[Adjusted Res]]+Inventory[[#This Row],[Adj Det ]]</f>
        <v>369300</v>
      </c>
      <c r="BQ45" s="25">
        <f>ROUND((Inventory[[#This Row],[Mdl Land Intercept]]+Inventory[[#This Row],[Mdl LnAcres]])*Inventory[[#This Row],[Det/Nbhd Adj]],-2)</f>
        <v>19000</v>
      </c>
      <c r="BR45" s="25">
        <f>Inventory[[#This Row],[Adjusted Impr Total]]+Inventory[[#This Row],[Adjusted Land Total]]</f>
        <v>388300</v>
      </c>
      <c r="BS45" s="36">
        <f>IFERROR((Inventory[[#This Row],[Adjusted Impr Total]]-Inventory[[#This Row],[24Bldg]])/Inventory[[#This Row],[24Bldg]],0)</f>
        <v>2.1294247787610618E-2</v>
      </c>
      <c r="BT45" s="36">
        <f>(Inventory[[#This Row],[Adjusted Land Total]]-Inventory[[#This Row],[24Lnd]])/Inventory[[#This Row],[24Lnd]]</f>
        <v>-0.56120092378752884</v>
      </c>
      <c r="BU45" s="36">
        <f>(Inventory[[#This Row],[Adjusted Total]]-Inventory[[#This Row],[24Final]])/Inventory[[#This Row],[24Final]]</f>
        <v>-4.0997777228945417E-2</v>
      </c>
    </row>
    <row r="46" spans="1:73" x14ac:dyDescent="0.3">
      <c r="A46" s="25">
        <v>2025</v>
      </c>
      <c r="B46" s="26" t="s">
        <v>582</v>
      </c>
      <c r="C46" s="26">
        <f>LN(Inventory[[#This Row],[Acres]])</f>
        <v>-3.2188758248682006</v>
      </c>
      <c r="D46" s="25">
        <v>0.04</v>
      </c>
      <c r="E46" s="25">
        <v>2044</v>
      </c>
      <c r="F46" s="26" t="s">
        <v>537</v>
      </c>
      <c r="G46" s="26" t="s">
        <v>28</v>
      </c>
      <c r="H46" s="26" t="s">
        <v>349</v>
      </c>
      <c r="I46" s="26" t="s">
        <v>538</v>
      </c>
      <c r="J46" s="26" t="s">
        <v>551</v>
      </c>
      <c r="K46" s="26" t="s">
        <v>381</v>
      </c>
      <c r="L46" s="26" t="s">
        <v>302</v>
      </c>
      <c r="M46" s="26" t="s">
        <v>323</v>
      </c>
      <c r="N46" s="26">
        <v>30</v>
      </c>
      <c r="O46" s="26">
        <f>2024-Inventory[[#This Row],[YrBlt]]</f>
        <v>25</v>
      </c>
      <c r="P46" s="26">
        <f>2024-Inventory[[#This Row],[EffYr]]</f>
        <v>25</v>
      </c>
      <c r="Q46" s="25">
        <v>1999</v>
      </c>
      <c r="R46" s="25">
        <v>1999</v>
      </c>
      <c r="S46" s="25">
        <v>1560</v>
      </c>
      <c r="T46" s="27"/>
      <c r="U46" s="31"/>
      <c r="V46" s="31">
        <f>Inventory[[#This Row],[Bsmt]]-Inventory[[#This Row],[FnBsmt]]</f>
        <v>0</v>
      </c>
      <c r="W46" s="31"/>
      <c r="X46" s="27"/>
      <c r="Y46" s="27">
        <f>Inventory[[#This Row],[MainFn]]+Inventory[[#This Row],[UpprFn]]+Inventory[[#This Row],[FnBsmt]]+Inventory[[#This Row],[AddFn]]</f>
        <v>1560</v>
      </c>
      <c r="Z46" s="27">
        <v>2000</v>
      </c>
      <c r="AA46" s="25">
        <v>8</v>
      </c>
      <c r="AB46" s="25">
        <v>484</v>
      </c>
      <c r="AC46" s="27"/>
      <c r="AD46" s="31"/>
      <c r="AE46" s="27"/>
      <c r="AF46" s="27"/>
      <c r="AG46" s="27"/>
      <c r="AH46" s="27"/>
      <c r="AI46" s="25">
        <v>312414</v>
      </c>
      <c r="AJ46" s="25">
        <v>278048</v>
      </c>
      <c r="AK46" s="25">
        <v>0</v>
      </c>
      <c r="AL46" s="25">
        <v>308500</v>
      </c>
      <c r="AM46" s="25">
        <v>46300</v>
      </c>
      <c r="AN46" s="25">
        <v>262200</v>
      </c>
      <c r="AO46" s="25">
        <v>0</v>
      </c>
      <c r="AP46" s="25">
        <f>Lookups!$B$56*0</f>
        <v>0</v>
      </c>
      <c r="AQ46" s="25">
        <f>Lookups!$B$56*1</f>
        <v>89850.625589999996</v>
      </c>
      <c r="AR46" s="25">
        <f>Lookups!$B$57*Inventory[[#This Row],[LnAcres]]</f>
        <v>-101892.2773541973</v>
      </c>
      <c r="AS46" s="25">
        <f>VLOOKUP(Inventory[[#This Row],[Qlty]],Lookups!$A$62:$E$75,2,FALSE)</f>
        <v>29814.093161000001</v>
      </c>
      <c r="AT46" s="25">
        <f>VLOOKUP(Inventory[[#This Row],[Cnd]],Lookups!$A$76:$E$84,2,FALSE)</f>
        <v>160472.20319</v>
      </c>
      <c r="AU46" s="25">
        <f>Inventory[[#This Row],[EffAge]]*Lookups!$B$85</f>
        <v>-5576.1400125</v>
      </c>
      <c r="AV46" s="25">
        <f>Inventory[[#This Row],[MainFn]]*Lookups!$B$86</f>
        <v>77077.525008120007</v>
      </c>
      <c r="AW46" s="25">
        <f>Inventory[[#This Row],[UpprFn]]*Lookups!$B$87</f>
        <v>0</v>
      </c>
      <c r="AX46" s="25">
        <f>Inventory[[#This Row],[AddFn]]*Lookups!$B$88</f>
        <v>0</v>
      </c>
      <c r="AY46" s="25">
        <f>Inventory[[#This Row],[Bsmt]]*Lookups!$B$89</f>
        <v>0</v>
      </c>
      <c r="AZ46" s="25">
        <f>Inventory[[#This Row],[Fixtures]]*Lookups!$B$90</f>
        <v>30336.176841600001</v>
      </c>
      <c r="BA46" s="25">
        <f>Inventory[[#This Row],[WdDeck]]*Lookups!$B$91</f>
        <v>0</v>
      </c>
      <c r="BB46" s="25">
        <f>ROUND(Inventory[[#This Row],[25Det]],-2)</f>
        <v>0</v>
      </c>
      <c r="BC46" s="25">
        <f>ROUND(SUM(Inventory[[#This Row],[Mdl Qlty]:[Mdl WdDeck]])+Inventory[[#This Row],[Mdl Res Intercept]],-2)</f>
        <v>292100</v>
      </c>
      <c r="BD46" s="25">
        <f>ROUND(Inventory[[#This Row],[Mdl Land Intercept]]+Inventory[[#This Row],[Mdl LnAcres]],-2)</f>
        <v>-12000</v>
      </c>
      <c r="BE46" s="25">
        <f>Inventory[[#This Row],[Unadj Res Value]]+Inventory[[#This Row],[Unadj Det Value]]+Inventory[[#This Row],[Unadj Land Value]]</f>
        <v>280100</v>
      </c>
      <c r="BF46" s="36">
        <f>(Inventory[[#This Row],[Unadj Total Value]]-Inventory[[#This Row],[24Final]])/Inventory[[#This Row],[24Final]]</f>
        <v>-9.2058346839546196E-2</v>
      </c>
      <c r="BG46" s="25">
        <f>VLOOKUP(Inventory[[#This Row],[Nbhd]],Lookups!$Q$2:$T$4,4,FALSE)</f>
        <v>0.99970000000000003</v>
      </c>
      <c r="BH46" s="25">
        <f>VLOOKUP(Inventory[[#This Row],[Qlty]],Lookups!$O$7:$R$21,4,FALSE)</f>
        <v>1.0088999999999999</v>
      </c>
      <c r="BI46" s="25">
        <f>VLOOKUP(Inventory[[#This Row],[Cnd]],Lookups!$T$7:$W$16,4,FALSE)</f>
        <v>0.99729999999999996</v>
      </c>
      <c r="BJ46" s="25">
        <f>VLOOKUP(Inventory[[#This Row],[LivArea Range]],Lookups!$T$25:$W$37,4,FALSE)</f>
        <v>1.0093000000000001</v>
      </c>
      <c r="BK46" s="25">
        <f>VLOOKUP(Inventory[[#This Row],[Decade]],Lookups!$O$25:$R$42,4,FALSE)</f>
        <v>0.97319999999999995</v>
      </c>
      <c r="BL46" s="25">
        <f>Inventory[[#This Row],[Nbhd Adj]]*0.95</f>
        <v>0.94971499999999998</v>
      </c>
      <c r="BM46" s="25">
        <f>Inventory[[#This Row],[Nbhd Adj]]*Inventory[[#This Row],[Quality Adj]]*Inventory[[#This Row],[Condition Adj]]*Inventory[[#This Row],[Living Area Adj]]*Inventory[[#This Row],[Decade Adj]]*0.95</f>
        <v>0.93861958528822576</v>
      </c>
      <c r="BN46" s="25">
        <f>ROUND(SUM(Inventory[[#This Row],[Mdl Qlty]:[Mdl WdDeck]])+Inventory[[#This Row],[Mdl Res Intercept]]*Inventory[[#This Row],[Res Adj ]],-2)</f>
        <v>292100</v>
      </c>
      <c r="BO46" s="25">
        <f>ROUND(Inventory[[#This Row],[25Det]]*Inventory[[#This Row],[Det/Nbhd Adj]],-2)</f>
        <v>0</v>
      </c>
      <c r="BP46" s="25">
        <f>Inventory[[#This Row],[Adjusted Res]]+Inventory[[#This Row],[Adj Det ]]</f>
        <v>292100</v>
      </c>
      <c r="BQ46" s="25">
        <f>ROUND((Inventory[[#This Row],[Mdl Land Intercept]]+Inventory[[#This Row],[Mdl LnAcres]])*Inventory[[#This Row],[Det/Nbhd Adj]],-2)</f>
        <v>-11400</v>
      </c>
      <c r="BR46" s="25">
        <f>Inventory[[#This Row],[Adjusted Impr Total]]+Inventory[[#This Row],[Adjusted Land Total]]</f>
        <v>280700</v>
      </c>
      <c r="BS46" s="36">
        <f>IFERROR((Inventory[[#This Row],[Adjusted Impr Total]]-Inventory[[#This Row],[24Bldg]])/Inventory[[#This Row],[24Bldg]],0)</f>
        <v>0.11403508771929824</v>
      </c>
      <c r="BT46" s="36">
        <f>(Inventory[[#This Row],[Adjusted Land Total]]-Inventory[[#This Row],[24Lnd]])/Inventory[[#This Row],[24Lnd]]</f>
        <v>-1.2462203023758098</v>
      </c>
      <c r="BU46" s="36">
        <f>(Inventory[[#This Row],[Adjusted Total]]-Inventory[[#This Row],[24Final]])/Inventory[[#This Row],[24Final]]</f>
        <v>-9.0113452188006482E-2</v>
      </c>
    </row>
    <row r="47" spans="1:73" x14ac:dyDescent="0.3">
      <c r="A47" s="25">
        <v>2025</v>
      </c>
      <c r="B47" s="26" t="s">
        <v>581</v>
      </c>
      <c r="C47" s="26">
        <f>LN(Inventory[[#This Row],[Acres]])</f>
        <v>-3.5065578973199818</v>
      </c>
      <c r="D47" s="25">
        <v>0.03</v>
      </c>
      <c r="E47" s="25">
        <v>2044</v>
      </c>
      <c r="F47" s="26" t="s">
        <v>537</v>
      </c>
      <c r="G47" s="26" t="s">
        <v>28</v>
      </c>
      <c r="H47" s="26" t="s">
        <v>349</v>
      </c>
      <c r="I47" s="26" t="s">
        <v>538</v>
      </c>
      <c r="J47" s="26" t="s">
        <v>551</v>
      </c>
      <c r="K47" s="26" t="s">
        <v>381</v>
      </c>
      <c r="L47" s="26" t="s">
        <v>302</v>
      </c>
      <c r="M47" s="26" t="s">
        <v>323</v>
      </c>
      <c r="N47" s="26">
        <v>30</v>
      </c>
      <c r="O47" s="26">
        <f>2024-Inventory[[#This Row],[YrBlt]]</f>
        <v>25</v>
      </c>
      <c r="P47" s="26">
        <f>2024-Inventory[[#This Row],[EffYr]]</f>
        <v>25</v>
      </c>
      <c r="Q47" s="25">
        <v>1999</v>
      </c>
      <c r="R47" s="25">
        <v>1999</v>
      </c>
      <c r="S47" s="25">
        <v>1560</v>
      </c>
      <c r="T47" s="27"/>
      <c r="U47" s="27"/>
      <c r="V47" s="27">
        <f>Inventory[[#This Row],[Bsmt]]-Inventory[[#This Row],[FnBsmt]]</f>
        <v>0</v>
      </c>
      <c r="W47" s="27"/>
      <c r="X47" s="27"/>
      <c r="Y47" s="27">
        <f>Inventory[[#This Row],[MainFn]]+Inventory[[#This Row],[UpprFn]]+Inventory[[#This Row],[FnBsmt]]+Inventory[[#This Row],[AddFn]]</f>
        <v>1560</v>
      </c>
      <c r="Z47" s="27">
        <v>2000</v>
      </c>
      <c r="AA47" s="25">
        <v>8</v>
      </c>
      <c r="AB47" s="25">
        <v>484</v>
      </c>
      <c r="AC47" s="27"/>
      <c r="AD47" s="31"/>
      <c r="AE47" s="27"/>
      <c r="AF47" s="27"/>
      <c r="AG47" s="27"/>
      <c r="AH47" s="27"/>
      <c r="AI47" s="25">
        <v>312414</v>
      </c>
      <c r="AJ47" s="25">
        <v>278048</v>
      </c>
      <c r="AK47" s="25">
        <v>0</v>
      </c>
      <c r="AL47" s="25">
        <v>308500</v>
      </c>
      <c r="AM47" s="25">
        <v>46300</v>
      </c>
      <c r="AN47" s="25">
        <v>262200</v>
      </c>
      <c r="AO47" s="25">
        <v>0</v>
      </c>
      <c r="AP47" s="25">
        <f>Lookups!$B$56*0</f>
        <v>0</v>
      </c>
      <c r="AQ47" s="25">
        <f>Lookups!$B$56*1</f>
        <v>89850.625589999996</v>
      </c>
      <c r="AR47" s="25">
        <f>Lookups!$B$57*Inventory[[#This Row],[LnAcres]]</f>
        <v>-110998.74281323297</v>
      </c>
      <c r="AS47" s="25">
        <f>VLOOKUP(Inventory[[#This Row],[Qlty]],Lookups!$A$62:$E$75,2,FALSE)</f>
        <v>29814.093161000001</v>
      </c>
      <c r="AT47" s="25">
        <f>VLOOKUP(Inventory[[#This Row],[Cnd]],Lookups!$A$76:$E$84,2,FALSE)</f>
        <v>160472.20319</v>
      </c>
      <c r="AU47" s="25">
        <f>Inventory[[#This Row],[EffAge]]*Lookups!$B$85</f>
        <v>-5576.1400125</v>
      </c>
      <c r="AV47" s="25">
        <f>Inventory[[#This Row],[MainFn]]*Lookups!$B$86</f>
        <v>77077.525008120007</v>
      </c>
      <c r="AW47" s="25">
        <f>Inventory[[#This Row],[UpprFn]]*Lookups!$B$87</f>
        <v>0</v>
      </c>
      <c r="AX47" s="25">
        <f>Inventory[[#This Row],[AddFn]]*Lookups!$B$88</f>
        <v>0</v>
      </c>
      <c r="AY47" s="25">
        <f>Inventory[[#This Row],[Bsmt]]*Lookups!$B$89</f>
        <v>0</v>
      </c>
      <c r="AZ47" s="25">
        <f>Inventory[[#This Row],[Fixtures]]*Lookups!$B$90</f>
        <v>30336.176841600001</v>
      </c>
      <c r="BA47" s="25">
        <f>Inventory[[#This Row],[WdDeck]]*Lookups!$B$91</f>
        <v>0</v>
      </c>
      <c r="BB47" s="25">
        <f>ROUND(Inventory[[#This Row],[25Det]],-2)</f>
        <v>0</v>
      </c>
      <c r="BC47" s="25">
        <f>ROUND(SUM(Inventory[[#This Row],[Mdl Qlty]:[Mdl WdDeck]])+Inventory[[#This Row],[Mdl Res Intercept]],-2)</f>
        <v>292100</v>
      </c>
      <c r="BD47" s="25">
        <f>ROUND(Inventory[[#This Row],[Mdl Land Intercept]]+Inventory[[#This Row],[Mdl LnAcres]],-2)</f>
        <v>-21100</v>
      </c>
      <c r="BE47" s="25">
        <f>Inventory[[#This Row],[Unadj Res Value]]+Inventory[[#This Row],[Unadj Det Value]]+Inventory[[#This Row],[Unadj Land Value]]</f>
        <v>271000</v>
      </c>
      <c r="BF47" s="36">
        <f>(Inventory[[#This Row],[Unadj Total Value]]-Inventory[[#This Row],[24Final]])/Inventory[[#This Row],[24Final]]</f>
        <v>-0.12155591572123177</v>
      </c>
      <c r="BG47" s="25">
        <f>VLOOKUP(Inventory[[#This Row],[Nbhd]],Lookups!$Q$2:$T$4,4,FALSE)</f>
        <v>0.99970000000000003</v>
      </c>
      <c r="BH47" s="25">
        <f>VLOOKUP(Inventory[[#This Row],[Qlty]],Lookups!$O$7:$R$21,4,FALSE)</f>
        <v>1.0088999999999999</v>
      </c>
      <c r="BI47" s="25">
        <f>VLOOKUP(Inventory[[#This Row],[Cnd]],Lookups!$T$7:$W$16,4,FALSE)</f>
        <v>0.99729999999999996</v>
      </c>
      <c r="BJ47" s="25">
        <f>VLOOKUP(Inventory[[#This Row],[LivArea Range]],Lookups!$T$25:$W$37,4,FALSE)</f>
        <v>1.0093000000000001</v>
      </c>
      <c r="BK47" s="25">
        <f>VLOOKUP(Inventory[[#This Row],[Decade]],Lookups!$O$25:$R$42,4,FALSE)</f>
        <v>0.97319999999999995</v>
      </c>
      <c r="BL47" s="25">
        <f>Inventory[[#This Row],[Nbhd Adj]]*0.95</f>
        <v>0.94971499999999998</v>
      </c>
      <c r="BM47" s="25">
        <f>Inventory[[#This Row],[Nbhd Adj]]*Inventory[[#This Row],[Quality Adj]]*Inventory[[#This Row],[Condition Adj]]*Inventory[[#This Row],[Living Area Adj]]*Inventory[[#This Row],[Decade Adj]]*0.95</f>
        <v>0.93861958528822576</v>
      </c>
      <c r="BN47" s="25">
        <f>ROUND(SUM(Inventory[[#This Row],[Mdl Qlty]:[Mdl WdDeck]])+Inventory[[#This Row],[Mdl Res Intercept]]*Inventory[[#This Row],[Res Adj ]],-2)</f>
        <v>292100</v>
      </c>
      <c r="BO47" s="25">
        <f>ROUND(Inventory[[#This Row],[25Det]]*Inventory[[#This Row],[Det/Nbhd Adj]],-2)</f>
        <v>0</v>
      </c>
      <c r="BP47" s="25">
        <f>Inventory[[#This Row],[Adjusted Res]]+Inventory[[#This Row],[Adj Det ]]</f>
        <v>292100</v>
      </c>
      <c r="BQ47" s="25">
        <f>ROUND((Inventory[[#This Row],[Mdl Land Intercept]]+Inventory[[#This Row],[Mdl LnAcres]])*Inventory[[#This Row],[Det/Nbhd Adj]],-2)</f>
        <v>-20100</v>
      </c>
      <c r="BR47" s="25">
        <f>Inventory[[#This Row],[Adjusted Impr Total]]+Inventory[[#This Row],[Adjusted Land Total]]</f>
        <v>272000</v>
      </c>
      <c r="BS47" s="36">
        <f>IFERROR((Inventory[[#This Row],[Adjusted Impr Total]]-Inventory[[#This Row],[24Bldg]])/Inventory[[#This Row],[24Bldg]],0)</f>
        <v>0.11403508771929824</v>
      </c>
      <c r="BT47" s="36">
        <f>(Inventory[[#This Row],[Adjusted Land Total]]-Inventory[[#This Row],[24Lnd]])/Inventory[[#This Row],[24Lnd]]</f>
        <v>-1.4341252699784017</v>
      </c>
      <c r="BU47" s="36">
        <f>(Inventory[[#This Row],[Adjusted Total]]-Inventory[[#This Row],[24Final]])/Inventory[[#This Row],[24Final]]</f>
        <v>-0.11831442463533225</v>
      </c>
    </row>
    <row r="48" spans="1:73" x14ac:dyDescent="0.3">
      <c r="A48" s="25">
        <v>2025</v>
      </c>
      <c r="B48" s="26" t="s">
        <v>575</v>
      </c>
      <c r="C48" s="26">
        <f>LN(Inventory[[#This Row],[Acres]])</f>
        <v>-3.2188758248682006</v>
      </c>
      <c r="D48" s="25">
        <v>0.04</v>
      </c>
      <c r="E48" s="25">
        <v>1726</v>
      </c>
      <c r="F48" s="26" t="s">
        <v>537</v>
      </c>
      <c r="G48" s="26" t="s">
        <v>28</v>
      </c>
      <c r="H48" s="26" t="s">
        <v>349</v>
      </c>
      <c r="I48" s="26" t="s">
        <v>538</v>
      </c>
      <c r="J48" s="26" t="s">
        <v>551</v>
      </c>
      <c r="K48" s="26" t="s">
        <v>415</v>
      </c>
      <c r="L48" s="26" t="s">
        <v>302</v>
      </c>
      <c r="M48" s="26" t="s">
        <v>323</v>
      </c>
      <c r="N48" s="26">
        <v>30</v>
      </c>
      <c r="O48" s="26">
        <f>2024-Inventory[[#This Row],[YrBlt]]</f>
        <v>26</v>
      </c>
      <c r="P48" s="26">
        <f>2024-Inventory[[#This Row],[EffYr]]</f>
        <v>26</v>
      </c>
      <c r="Q48" s="25">
        <v>1998</v>
      </c>
      <c r="R48" s="25">
        <v>1998</v>
      </c>
      <c r="S48" s="25">
        <v>1198</v>
      </c>
      <c r="T48" s="27"/>
      <c r="U48" s="31"/>
      <c r="V48" s="31">
        <f>Inventory[[#This Row],[Bsmt]]-Inventory[[#This Row],[FnBsmt]]</f>
        <v>0</v>
      </c>
      <c r="W48" s="31"/>
      <c r="X48" s="27"/>
      <c r="Y48" s="27">
        <f>Inventory[[#This Row],[MainFn]]+Inventory[[#This Row],[UpprFn]]+Inventory[[#This Row],[FnBsmt]]+Inventory[[#This Row],[AddFn]]</f>
        <v>1198</v>
      </c>
      <c r="Z48" s="27">
        <v>1500</v>
      </c>
      <c r="AA48" s="25">
        <v>9</v>
      </c>
      <c r="AB48" s="32">
        <v>528</v>
      </c>
      <c r="AC48" s="31"/>
      <c r="AD48" s="31"/>
      <c r="AE48" s="27"/>
      <c r="AF48" s="27"/>
      <c r="AG48" s="27"/>
      <c r="AH48" s="27"/>
      <c r="AI48" s="25">
        <v>251419</v>
      </c>
      <c r="AJ48" s="25">
        <v>221249</v>
      </c>
      <c r="AK48" s="25">
        <v>0</v>
      </c>
      <c r="AL48" s="25">
        <v>248200</v>
      </c>
      <c r="AM48" s="25">
        <v>37200</v>
      </c>
      <c r="AN48" s="25">
        <v>211000</v>
      </c>
      <c r="AO48" s="25">
        <v>0</v>
      </c>
      <c r="AP48" s="25">
        <f>Lookups!$B$56*0</f>
        <v>0</v>
      </c>
      <c r="AQ48" s="25">
        <f>Lookups!$B$56*1</f>
        <v>89850.625589999996</v>
      </c>
      <c r="AR48" s="25">
        <f>Lookups!$B$57*Inventory[[#This Row],[LnAcres]]</f>
        <v>-101892.2773541973</v>
      </c>
      <c r="AS48" s="25">
        <f>VLOOKUP(Inventory[[#This Row],[Qlty]],Lookups!$A$62:$E$75,2,FALSE)</f>
        <v>29814.093161000001</v>
      </c>
      <c r="AT48" s="25">
        <f>VLOOKUP(Inventory[[#This Row],[Cnd]],Lookups!$A$76:$E$84,2,FALSE)</f>
        <v>160472.20319</v>
      </c>
      <c r="AU48" s="25">
        <f>Inventory[[#This Row],[EffAge]]*Lookups!$B$85</f>
        <v>-5799.1856130000006</v>
      </c>
      <c r="AV48" s="25">
        <f>Inventory[[#This Row],[MainFn]]*Lookups!$B$86</f>
        <v>59191.586512646005</v>
      </c>
      <c r="AW48" s="25">
        <f>Inventory[[#This Row],[UpprFn]]*Lookups!$B$87</f>
        <v>0</v>
      </c>
      <c r="AX48" s="25">
        <f>Inventory[[#This Row],[AddFn]]*Lookups!$B$88</f>
        <v>0</v>
      </c>
      <c r="AY48" s="25">
        <f>Inventory[[#This Row],[Bsmt]]*Lookups!$B$89</f>
        <v>0</v>
      </c>
      <c r="AZ48" s="25">
        <f>Inventory[[#This Row],[Fixtures]]*Lookups!$B$90</f>
        <v>34128.198946800003</v>
      </c>
      <c r="BA48" s="25">
        <f>Inventory[[#This Row],[WdDeck]]*Lookups!$B$91</f>
        <v>0</v>
      </c>
      <c r="BB48" s="25">
        <f>ROUND(Inventory[[#This Row],[25Det]],-2)</f>
        <v>0</v>
      </c>
      <c r="BC48" s="25">
        <f>ROUND(SUM(Inventory[[#This Row],[Mdl Qlty]:[Mdl WdDeck]])+Inventory[[#This Row],[Mdl Res Intercept]],-2)</f>
        <v>277800</v>
      </c>
      <c r="BD48" s="25">
        <f>ROUND(Inventory[[#This Row],[Mdl Land Intercept]]+Inventory[[#This Row],[Mdl LnAcres]],-2)</f>
        <v>-12000</v>
      </c>
      <c r="BE48" s="25">
        <f>Inventory[[#This Row],[Unadj Res Value]]+Inventory[[#This Row],[Unadj Det Value]]+Inventory[[#This Row],[Unadj Land Value]]</f>
        <v>265800</v>
      </c>
      <c r="BF48" s="36">
        <f>(Inventory[[#This Row],[Unadj Total Value]]-Inventory[[#This Row],[24Final]])/Inventory[[#This Row],[24Final]]</f>
        <v>7.0910556003223213E-2</v>
      </c>
      <c r="BG48" s="25">
        <f>VLOOKUP(Inventory[[#This Row],[Nbhd]],Lookups!$Q$2:$T$4,4,FALSE)</f>
        <v>0.99970000000000003</v>
      </c>
      <c r="BH48" s="25">
        <f>VLOOKUP(Inventory[[#This Row],[Qlty]],Lookups!$O$7:$R$21,4,FALSE)</f>
        <v>1.0088999999999999</v>
      </c>
      <c r="BI48" s="25">
        <f>VLOOKUP(Inventory[[#This Row],[Cnd]],Lookups!$T$7:$W$16,4,FALSE)</f>
        <v>0.99729999999999996</v>
      </c>
      <c r="BJ48" s="25">
        <f>VLOOKUP(Inventory[[#This Row],[LivArea Range]],Lookups!$T$25:$W$37,4,FALSE)</f>
        <v>1.0157</v>
      </c>
      <c r="BK48" s="25">
        <f>VLOOKUP(Inventory[[#This Row],[Decade]],Lookups!$O$25:$R$42,4,FALSE)</f>
        <v>0.97319999999999995</v>
      </c>
      <c r="BL48" s="25">
        <f>Inventory[[#This Row],[Nbhd Adj]]*0.95</f>
        <v>0.94971499999999998</v>
      </c>
      <c r="BM48" s="25">
        <f>Inventory[[#This Row],[Nbhd Adj]]*Inventory[[#This Row],[Quality Adj]]*Inventory[[#This Row],[Condition Adj]]*Inventory[[#This Row],[Living Area Adj]]*Inventory[[#This Row],[Decade Adj]]*0.95</f>
        <v>0.944571398768702</v>
      </c>
      <c r="BN48" s="25">
        <f>ROUND(SUM(Inventory[[#This Row],[Mdl Qlty]:[Mdl WdDeck]])+Inventory[[#This Row],[Mdl Res Intercept]]*Inventory[[#This Row],[Res Adj ]],-2)</f>
        <v>277800</v>
      </c>
      <c r="BO48" s="25">
        <f>ROUND(Inventory[[#This Row],[25Det]]*Inventory[[#This Row],[Det/Nbhd Adj]],-2)</f>
        <v>0</v>
      </c>
      <c r="BP48" s="25">
        <f>Inventory[[#This Row],[Adjusted Res]]+Inventory[[#This Row],[Adj Det ]]</f>
        <v>277800</v>
      </c>
      <c r="BQ48" s="25">
        <f>ROUND((Inventory[[#This Row],[Mdl Land Intercept]]+Inventory[[#This Row],[Mdl LnAcres]])*Inventory[[#This Row],[Det/Nbhd Adj]],-2)</f>
        <v>-11400</v>
      </c>
      <c r="BR48" s="25">
        <f>Inventory[[#This Row],[Adjusted Impr Total]]+Inventory[[#This Row],[Adjusted Land Total]]</f>
        <v>266400</v>
      </c>
      <c r="BS48" s="36">
        <f>IFERROR((Inventory[[#This Row],[Adjusted Impr Total]]-Inventory[[#This Row],[24Bldg]])/Inventory[[#This Row],[24Bldg]],0)</f>
        <v>0.31658767772511848</v>
      </c>
      <c r="BT48" s="36">
        <f>(Inventory[[#This Row],[Adjusted Land Total]]-Inventory[[#This Row],[24Lnd]])/Inventory[[#This Row],[24Lnd]]</f>
        <v>-1.3064516129032258</v>
      </c>
      <c r="BU48" s="36">
        <f>(Inventory[[#This Row],[Adjusted Total]]-Inventory[[#This Row],[24Final]])/Inventory[[#This Row],[24Final]]</f>
        <v>7.3327961321514909E-2</v>
      </c>
    </row>
    <row r="49" spans="1:73" x14ac:dyDescent="0.3">
      <c r="A49" s="25">
        <v>2025</v>
      </c>
      <c r="B49" s="26" t="s">
        <v>792</v>
      </c>
      <c r="C49" s="26">
        <f>LN(Inventory[[#This Row],[Acres]])</f>
        <v>-1.8325814637483102</v>
      </c>
      <c r="D49" s="25">
        <v>0.16</v>
      </c>
      <c r="E49" s="25">
        <v>6826</v>
      </c>
      <c r="F49" s="26" t="s">
        <v>537</v>
      </c>
      <c r="G49" s="26" t="s">
        <v>126</v>
      </c>
      <c r="H49" s="26" t="s">
        <v>349</v>
      </c>
      <c r="I49" s="26" t="s">
        <v>538</v>
      </c>
      <c r="J49" s="26" t="s">
        <v>539</v>
      </c>
      <c r="K49" s="26" t="s">
        <v>300</v>
      </c>
      <c r="L49" s="26" t="s">
        <v>302</v>
      </c>
      <c r="M49" s="26" t="s">
        <v>303</v>
      </c>
      <c r="N49" s="26">
        <v>30</v>
      </c>
      <c r="O49" s="26">
        <f>2024-Inventory[[#This Row],[YrBlt]]</f>
        <v>26</v>
      </c>
      <c r="P49" s="26">
        <f>2024-Inventory[[#This Row],[EffYr]]</f>
        <v>26</v>
      </c>
      <c r="Q49" s="25">
        <v>1998</v>
      </c>
      <c r="R49" s="25">
        <v>1998</v>
      </c>
      <c r="S49" s="25">
        <v>1407</v>
      </c>
      <c r="T49" s="32">
        <v>706</v>
      </c>
      <c r="U49" s="31"/>
      <c r="V49" s="27">
        <f>Inventory[[#This Row],[Bsmt]]-Inventory[[#This Row],[FnBsmt]]</f>
        <v>0</v>
      </c>
      <c r="W49" s="27"/>
      <c r="X49" s="32">
        <v>319</v>
      </c>
      <c r="Y49" s="32">
        <f>Inventory[[#This Row],[MainFn]]+Inventory[[#This Row],[UpprFn]]+Inventory[[#This Row],[FnBsmt]]+Inventory[[#This Row],[AddFn]]</f>
        <v>2432</v>
      </c>
      <c r="Z49" s="27">
        <v>2500</v>
      </c>
      <c r="AA49" s="25">
        <v>11</v>
      </c>
      <c r="AB49" s="25">
        <v>609</v>
      </c>
      <c r="AC49" s="27"/>
      <c r="AD49" s="27"/>
      <c r="AE49" s="27"/>
      <c r="AF49" s="27"/>
      <c r="AG49" s="27"/>
      <c r="AH49" s="27"/>
      <c r="AI49" s="25">
        <v>404886</v>
      </c>
      <c r="AJ49" s="25">
        <v>360349</v>
      </c>
      <c r="AK49" s="25">
        <v>0</v>
      </c>
      <c r="AL49" s="25">
        <v>389400</v>
      </c>
      <c r="AM49" s="25">
        <v>50600</v>
      </c>
      <c r="AN49" s="25">
        <v>338800</v>
      </c>
      <c r="AO49" s="25">
        <v>0</v>
      </c>
      <c r="AP49" s="25">
        <f>Lookups!$B$56*0</f>
        <v>0</v>
      </c>
      <c r="AQ49" s="25">
        <f>Lookups!$B$56*1</f>
        <v>89850.625589999996</v>
      </c>
      <c r="AR49" s="25">
        <f>Lookups!$B$57*Inventory[[#This Row],[LnAcres]]</f>
        <v>-58009.662049032086</v>
      </c>
      <c r="AS49" s="25">
        <f>VLOOKUP(Inventory[[#This Row],[Qlty]],Lookups!$A$62:$E$75,2,FALSE)</f>
        <v>29814.093161000001</v>
      </c>
      <c r="AT49" s="25">
        <f>VLOOKUP(Inventory[[#This Row],[Cnd]],Lookups!$A$76:$E$84,2,FALSE)</f>
        <v>197752.34721000001</v>
      </c>
      <c r="AU49" s="25">
        <f>Inventory[[#This Row],[EffAge]]*Lookups!$B$85</f>
        <v>-5799.1856130000006</v>
      </c>
      <c r="AV49" s="25">
        <f>Inventory[[#This Row],[MainFn]]*Lookups!$B$86</f>
        <v>69517.998516938998</v>
      </c>
      <c r="AW49" s="25">
        <f>Inventory[[#This Row],[UpprFn]]*Lookups!$B$87</f>
        <v>31619.214539866</v>
      </c>
      <c r="AX49" s="25">
        <f>Inventory[[#This Row],[AddFn]]*Lookups!$B$88</f>
        <v>20765.200065269</v>
      </c>
      <c r="AY49" s="25">
        <f>Inventory[[#This Row],[Bsmt]]*Lookups!$B$89</f>
        <v>0</v>
      </c>
      <c r="AZ49" s="25">
        <f>Inventory[[#This Row],[Fixtures]]*Lookups!$B$90</f>
        <v>41712.243157199999</v>
      </c>
      <c r="BA49" s="25">
        <f>Inventory[[#This Row],[WdDeck]]*Lookups!$B$91</f>
        <v>0</v>
      </c>
      <c r="BB49" s="25">
        <f>ROUND(Inventory[[#This Row],[25Det]],-2)</f>
        <v>0</v>
      </c>
      <c r="BC49" s="25">
        <f>ROUND(SUM(Inventory[[#This Row],[Mdl Qlty]:[Mdl WdDeck]])+Inventory[[#This Row],[Mdl Res Intercept]],-2)</f>
        <v>385400</v>
      </c>
      <c r="BD49" s="25">
        <f>ROUND(Inventory[[#This Row],[Mdl Land Intercept]]+Inventory[[#This Row],[Mdl LnAcres]],-2)</f>
        <v>31800</v>
      </c>
      <c r="BE49" s="25">
        <f>Inventory[[#This Row],[Unadj Res Value]]+Inventory[[#This Row],[Unadj Det Value]]+Inventory[[#This Row],[Unadj Land Value]]</f>
        <v>417200</v>
      </c>
      <c r="BF49" s="36">
        <f>(Inventory[[#This Row],[Unadj Total Value]]-Inventory[[#This Row],[24Final]])/Inventory[[#This Row],[24Final]]</f>
        <v>7.1391884951206991E-2</v>
      </c>
      <c r="BG49" s="25">
        <f>VLOOKUP(Inventory[[#This Row],[Nbhd]],Lookups!$Q$2:$T$4,4,FALSE)</f>
        <v>0.99970000000000003</v>
      </c>
      <c r="BH49" s="25">
        <f>VLOOKUP(Inventory[[#This Row],[Qlty]],Lookups!$O$7:$R$21,4,FALSE)</f>
        <v>1.0088999999999999</v>
      </c>
      <c r="BI49" s="25">
        <f>VLOOKUP(Inventory[[#This Row],[Cnd]],Lookups!$T$7:$W$16,4,FALSE)</f>
        <v>0.99650000000000005</v>
      </c>
      <c r="BJ49" s="25">
        <f>VLOOKUP(Inventory[[#This Row],[LivArea Range]],Lookups!$T$25:$W$37,4,FALSE)</f>
        <v>0.98919999999999997</v>
      </c>
      <c r="BK49" s="25">
        <f>VLOOKUP(Inventory[[#This Row],[Decade]],Lookups!$O$25:$R$42,4,FALSE)</f>
        <v>0.97319999999999995</v>
      </c>
      <c r="BL49" s="25">
        <f>Inventory[[#This Row],[Nbhd Adj]]*0.95</f>
        <v>0.94971499999999998</v>
      </c>
      <c r="BM49" s="25">
        <f>Inventory[[#This Row],[Nbhd Adj]]*Inventory[[#This Row],[Quality Adj]]*Inventory[[#This Row],[Condition Adj]]*Inventory[[#This Row],[Living Area Adj]]*Inventory[[#This Row],[Decade Adj]]*0.95</f>
        <v>0.91918923691701471</v>
      </c>
      <c r="BN49" s="25">
        <f>ROUND(SUM(Inventory[[#This Row],[Mdl Qlty]:[Mdl WdDeck]])+Inventory[[#This Row],[Mdl Res Intercept]]*Inventory[[#This Row],[Res Adj ]],-2)</f>
        <v>385400</v>
      </c>
      <c r="BO49" s="25">
        <f>ROUND(Inventory[[#This Row],[25Det]]*Inventory[[#This Row],[Det/Nbhd Adj]],-2)</f>
        <v>0</v>
      </c>
      <c r="BP49" s="25">
        <f>Inventory[[#This Row],[Adjusted Res]]+Inventory[[#This Row],[Adj Det ]]</f>
        <v>385400</v>
      </c>
      <c r="BQ49" s="25">
        <f>ROUND((Inventory[[#This Row],[Mdl Land Intercept]]+Inventory[[#This Row],[Mdl LnAcres]])*Inventory[[#This Row],[Det/Nbhd Adj]],-2)</f>
        <v>30200</v>
      </c>
      <c r="BR49" s="25">
        <f>Inventory[[#This Row],[Adjusted Impr Total]]+Inventory[[#This Row],[Adjusted Land Total]]</f>
        <v>415600</v>
      </c>
      <c r="BS49" s="36">
        <f>IFERROR((Inventory[[#This Row],[Adjusted Impr Total]]-Inventory[[#This Row],[24Bldg]])/Inventory[[#This Row],[24Bldg]],0)</f>
        <v>0.13754427390791027</v>
      </c>
      <c r="BT49" s="36">
        <f>(Inventory[[#This Row],[Adjusted Land Total]]-Inventory[[#This Row],[24Lnd]])/Inventory[[#This Row],[24Lnd]]</f>
        <v>-0.40316205533596838</v>
      </c>
      <c r="BU49" s="36">
        <f>(Inventory[[#This Row],[Adjusted Total]]-Inventory[[#This Row],[24Final]])/Inventory[[#This Row],[24Final]]</f>
        <v>6.7282999486389314E-2</v>
      </c>
    </row>
    <row r="50" spans="1:73" x14ac:dyDescent="0.3">
      <c r="A50" s="25">
        <v>2025</v>
      </c>
      <c r="B50" s="26" t="s">
        <v>574</v>
      </c>
      <c r="C50" s="26">
        <f>LN(Inventory[[#This Row],[Acres]])</f>
        <v>-3.2188758248682006</v>
      </c>
      <c r="D50" s="25">
        <v>0.04</v>
      </c>
      <c r="E50" s="25">
        <v>1851</v>
      </c>
      <c r="F50" s="26" t="s">
        <v>537</v>
      </c>
      <c r="G50" s="26" t="s">
        <v>28</v>
      </c>
      <c r="H50" s="26" t="s">
        <v>349</v>
      </c>
      <c r="I50" s="26" t="s">
        <v>538</v>
      </c>
      <c r="J50" s="26" t="s">
        <v>551</v>
      </c>
      <c r="K50" s="26" t="s">
        <v>415</v>
      </c>
      <c r="L50" s="26" t="s">
        <v>302</v>
      </c>
      <c r="M50" s="26" t="s">
        <v>323</v>
      </c>
      <c r="N50" s="26">
        <v>30</v>
      </c>
      <c r="O50" s="26">
        <f>2024-Inventory[[#This Row],[YrBlt]]</f>
        <v>26</v>
      </c>
      <c r="P50" s="26">
        <f>2024-Inventory[[#This Row],[EffYr]]</f>
        <v>26</v>
      </c>
      <c r="Q50" s="25">
        <v>1998</v>
      </c>
      <c r="R50" s="25">
        <v>1998</v>
      </c>
      <c r="S50" s="25">
        <v>1275</v>
      </c>
      <c r="T50" s="27"/>
      <c r="U50" s="27"/>
      <c r="V50" s="27">
        <f>Inventory[[#This Row],[Bsmt]]-Inventory[[#This Row],[FnBsmt]]</f>
        <v>0</v>
      </c>
      <c r="W50" s="27"/>
      <c r="X50" s="27"/>
      <c r="Y50" s="27">
        <f>Inventory[[#This Row],[MainFn]]+Inventory[[#This Row],[UpprFn]]+Inventory[[#This Row],[FnBsmt]]+Inventory[[#This Row],[AddFn]]</f>
        <v>1275</v>
      </c>
      <c r="Z50" s="27">
        <v>1500</v>
      </c>
      <c r="AA50" s="25">
        <v>9</v>
      </c>
      <c r="AB50" s="25">
        <v>576</v>
      </c>
      <c r="AC50" s="27"/>
      <c r="AD50" s="27"/>
      <c r="AE50" s="27"/>
      <c r="AF50" s="27"/>
      <c r="AG50" s="27"/>
      <c r="AH50" s="27"/>
      <c r="AI50" s="25">
        <v>267110</v>
      </c>
      <c r="AJ50" s="25">
        <v>235057</v>
      </c>
      <c r="AK50" s="25">
        <v>0</v>
      </c>
      <c r="AL50" s="25">
        <v>255100</v>
      </c>
      <c r="AM50" s="25">
        <v>38300</v>
      </c>
      <c r="AN50" s="25">
        <v>216800</v>
      </c>
      <c r="AO50" s="25">
        <v>0</v>
      </c>
      <c r="AP50" s="25">
        <f>Lookups!$B$56*0</f>
        <v>0</v>
      </c>
      <c r="AQ50" s="25">
        <f>Lookups!$B$56*1</f>
        <v>89850.625589999996</v>
      </c>
      <c r="AR50" s="25">
        <f>Lookups!$B$57*Inventory[[#This Row],[LnAcres]]</f>
        <v>-101892.2773541973</v>
      </c>
      <c r="AS50" s="25">
        <f>VLOOKUP(Inventory[[#This Row],[Qlty]],Lookups!$A$62:$E$75,2,FALSE)</f>
        <v>29814.093161000001</v>
      </c>
      <c r="AT50" s="25">
        <f>VLOOKUP(Inventory[[#This Row],[Cnd]],Lookups!$A$76:$E$84,2,FALSE)</f>
        <v>160472.20319</v>
      </c>
      <c r="AU50" s="25">
        <f>Inventory[[#This Row],[EffAge]]*Lookups!$B$85</f>
        <v>-5799.1856130000006</v>
      </c>
      <c r="AV50" s="25">
        <f>Inventory[[#This Row],[MainFn]]*Lookups!$B$86</f>
        <v>62996.054093175</v>
      </c>
      <c r="AW50" s="25">
        <f>Inventory[[#This Row],[UpprFn]]*Lookups!$B$87</f>
        <v>0</v>
      </c>
      <c r="AX50" s="25">
        <f>Inventory[[#This Row],[AddFn]]*Lookups!$B$88</f>
        <v>0</v>
      </c>
      <c r="AY50" s="25">
        <f>Inventory[[#This Row],[Bsmt]]*Lookups!$B$89</f>
        <v>0</v>
      </c>
      <c r="AZ50" s="25">
        <f>Inventory[[#This Row],[Fixtures]]*Lookups!$B$90</f>
        <v>34128.198946800003</v>
      </c>
      <c r="BA50" s="25">
        <f>Inventory[[#This Row],[WdDeck]]*Lookups!$B$91</f>
        <v>0</v>
      </c>
      <c r="BB50" s="25">
        <f>ROUND(Inventory[[#This Row],[25Det]],-2)</f>
        <v>0</v>
      </c>
      <c r="BC50" s="25">
        <f>ROUND(SUM(Inventory[[#This Row],[Mdl Qlty]:[Mdl WdDeck]])+Inventory[[#This Row],[Mdl Res Intercept]],-2)</f>
        <v>281600</v>
      </c>
      <c r="BD50" s="25">
        <f>ROUND(Inventory[[#This Row],[Mdl Land Intercept]]+Inventory[[#This Row],[Mdl LnAcres]],-2)</f>
        <v>-12000</v>
      </c>
      <c r="BE50" s="25">
        <f>Inventory[[#This Row],[Unadj Res Value]]+Inventory[[#This Row],[Unadj Det Value]]+Inventory[[#This Row],[Unadj Land Value]]</f>
        <v>269600</v>
      </c>
      <c r="BF50" s="36">
        <f>(Inventory[[#This Row],[Unadj Total Value]]-Inventory[[#This Row],[24Final]])/Inventory[[#This Row],[24Final]]</f>
        <v>5.6840454723637787E-2</v>
      </c>
      <c r="BG50" s="25">
        <f>VLOOKUP(Inventory[[#This Row],[Nbhd]],Lookups!$Q$2:$T$4,4,FALSE)</f>
        <v>0.99970000000000003</v>
      </c>
      <c r="BH50" s="25">
        <f>VLOOKUP(Inventory[[#This Row],[Qlty]],Lookups!$O$7:$R$21,4,FALSE)</f>
        <v>1.0088999999999999</v>
      </c>
      <c r="BI50" s="25">
        <f>VLOOKUP(Inventory[[#This Row],[Cnd]],Lookups!$T$7:$W$16,4,FALSE)</f>
        <v>0.99729999999999996</v>
      </c>
      <c r="BJ50" s="25">
        <f>VLOOKUP(Inventory[[#This Row],[LivArea Range]],Lookups!$T$25:$W$37,4,FALSE)</f>
        <v>1.0157</v>
      </c>
      <c r="BK50" s="25">
        <f>VLOOKUP(Inventory[[#This Row],[Decade]],Lookups!$O$25:$R$42,4,FALSE)</f>
        <v>0.97319999999999995</v>
      </c>
      <c r="BL50" s="25">
        <f>Inventory[[#This Row],[Nbhd Adj]]*0.95</f>
        <v>0.94971499999999998</v>
      </c>
      <c r="BM50" s="25">
        <f>Inventory[[#This Row],[Nbhd Adj]]*Inventory[[#This Row],[Quality Adj]]*Inventory[[#This Row],[Condition Adj]]*Inventory[[#This Row],[Living Area Adj]]*Inventory[[#This Row],[Decade Adj]]*0.95</f>
        <v>0.944571398768702</v>
      </c>
      <c r="BN50" s="25">
        <f>ROUND(SUM(Inventory[[#This Row],[Mdl Qlty]:[Mdl WdDeck]])+Inventory[[#This Row],[Mdl Res Intercept]]*Inventory[[#This Row],[Res Adj ]],-2)</f>
        <v>281600</v>
      </c>
      <c r="BO50" s="25">
        <f>ROUND(Inventory[[#This Row],[25Det]]*Inventory[[#This Row],[Det/Nbhd Adj]],-2)</f>
        <v>0</v>
      </c>
      <c r="BP50" s="25">
        <f>Inventory[[#This Row],[Adjusted Res]]+Inventory[[#This Row],[Adj Det ]]</f>
        <v>281600</v>
      </c>
      <c r="BQ50" s="25">
        <f>ROUND((Inventory[[#This Row],[Mdl Land Intercept]]+Inventory[[#This Row],[Mdl LnAcres]])*Inventory[[#This Row],[Det/Nbhd Adj]],-2)</f>
        <v>-11400</v>
      </c>
      <c r="BR50" s="25">
        <f>Inventory[[#This Row],[Adjusted Impr Total]]+Inventory[[#This Row],[Adjusted Land Total]]</f>
        <v>270200</v>
      </c>
      <c r="BS50" s="36">
        <f>IFERROR((Inventory[[#This Row],[Adjusted Impr Total]]-Inventory[[#This Row],[24Bldg]])/Inventory[[#This Row],[24Bldg]],0)</f>
        <v>0.2988929889298893</v>
      </c>
      <c r="BT50" s="36">
        <f>(Inventory[[#This Row],[Adjusted Land Total]]-Inventory[[#This Row],[24Lnd]])/Inventory[[#This Row],[24Lnd]]</f>
        <v>-1.2976501305483028</v>
      </c>
      <c r="BU50" s="36">
        <f>(Inventory[[#This Row],[Adjusted Total]]-Inventory[[#This Row],[24Final]])/Inventory[[#This Row],[24Final]]</f>
        <v>5.9192473539788321E-2</v>
      </c>
    </row>
    <row r="51" spans="1:73" x14ac:dyDescent="0.3">
      <c r="A51" s="25">
        <v>2025</v>
      </c>
      <c r="B51" s="26" t="s">
        <v>576</v>
      </c>
      <c r="C51" s="26">
        <f>LN(Inventory[[#This Row],[Acres]])</f>
        <v>-3.2188758248682006</v>
      </c>
      <c r="D51" s="25">
        <v>0.04</v>
      </c>
      <c r="E51" s="25">
        <v>1838</v>
      </c>
      <c r="F51" s="26" t="s">
        <v>537</v>
      </c>
      <c r="G51" s="26" t="s">
        <v>28</v>
      </c>
      <c r="H51" s="26" t="s">
        <v>349</v>
      </c>
      <c r="I51" s="26" t="s">
        <v>538</v>
      </c>
      <c r="J51" s="26" t="s">
        <v>551</v>
      </c>
      <c r="K51" s="26" t="s">
        <v>381</v>
      </c>
      <c r="L51" s="26" t="s">
        <v>302</v>
      </c>
      <c r="M51" s="26" t="s">
        <v>323</v>
      </c>
      <c r="N51" s="26">
        <v>30</v>
      </c>
      <c r="O51" s="26">
        <f>2024-Inventory[[#This Row],[YrBlt]]</f>
        <v>26</v>
      </c>
      <c r="P51" s="26">
        <f>2024-Inventory[[#This Row],[EffYr]]</f>
        <v>26</v>
      </c>
      <c r="Q51" s="25">
        <v>1998</v>
      </c>
      <c r="R51" s="25">
        <v>1998</v>
      </c>
      <c r="S51" s="25">
        <v>1310</v>
      </c>
      <c r="T51" s="27"/>
      <c r="U51" s="27"/>
      <c r="V51" s="27">
        <f>Inventory[[#This Row],[Bsmt]]-Inventory[[#This Row],[FnBsmt]]</f>
        <v>0</v>
      </c>
      <c r="W51" s="27"/>
      <c r="X51" s="27"/>
      <c r="Y51" s="27">
        <f>Inventory[[#This Row],[MainFn]]+Inventory[[#This Row],[UpprFn]]+Inventory[[#This Row],[FnBsmt]]+Inventory[[#This Row],[AddFn]]</f>
        <v>1310</v>
      </c>
      <c r="Z51" s="27">
        <v>1500</v>
      </c>
      <c r="AA51" s="25">
        <v>11</v>
      </c>
      <c r="AB51" s="25">
        <v>528</v>
      </c>
      <c r="AC51" s="27"/>
      <c r="AD51" s="31"/>
      <c r="AE51" s="27"/>
      <c r="AF51" s="27"/>
      <c r="AG51" s="27"/>
      <c r="AH51" s="27"/>
      <c r="AI51" s="25">
        <v>275356</v>
      </c>
      <c r="AJ51" s="25">
        <v>242313</v>
      </c>
      <c r="AK51" s="25">
        <v>0</v>
      </c>
      <c r="AL51" s="25">
        <v>271800</v>
      </c>
      <c r="AM51" s="25">
        <v>40800</v>
      </c>
      <c r="AN51" s="25">
        <v>231000</v>
      </c>
      <c r="AO51" s="25">
        <v>0</v>
      </c>
      <c r="AP51" s="25">
        <f>Lookups!$B$56*0</f>
        <v>0</v>
      </c>
      <c r="AQ51" s="25">
        <f>Lookups!$B$56*1</f>
        <v>89850.625589999996</v>
      </c>
      <c r="AR51" s="25">
        <f>Lookups!$B$57*Inventory[[#This Row],[LnAcres]]</f>
        <v>-101892.2773541973</v>
      </c>
      <c r="AS51" s="25">
        <f>VLOOKUP(Inventory[[#This Row],[Qlty]],Lookups!$A$62:$E$75,2,FALSE)</f>
        <v>29814.093161000001</v>
      </c>
      <c r="AT51" s="25">
        <f>VLOOKUP(Inventory[[#This Row],[Cnd]],Lookups!$A$76:$E$84,2,FALSE)</f>
        <v>160472.20319</v>
      </c>
      <c r="AU51" s="25">
        <f>Inventory[[#This Row],[EffAge]]*Lookups!$B$85</f>
        <v>-5799.1856130000006</v>
      </c>
      <c r="AV51" s="25">
        <f>Inventory[[#This Row],[MainFn]]*Lookups!$B$86</f>
        <v>64725.357538870005</v>
      </c>
      <c r="AW51" s="25">
        <f>Inventory[[#This Row],[UpprFn]]*Lookups!$B$87</f>
        <v>0</v>
      </c>
      <c r="AX51" s="25">
        <f>Inventory[[#This Row],[AddFn]]*Lookups!$B$88</f>
        <v>0</v>
      </c>
      <c r="AY51" s="25">
        <f>Inventory[[#This Row],[Bsmt]]*Lookups!$B$89</f>
        <v>0</v>
      </c>
      <c r="AZ51" s="25">
        <f>Inventory[[#This Row],[Fixtures]]*Lookups!$B$90</f>
        <v>41712.243157199999</v>
      </c>
      <c r="BA51" s="25">
        <f>Inventory[[#This Row],[WdDeck]]*Lookups!$B$91</f>
        <v>0</v>
      </c>
      <c r="BB51" s="25">
        <f>ROUND(Inventory[[#This Row],[25Det]],-2)</f>
        <v>0</v>
      </c>
      <c r="BC51" s="25">
        <f>ROUND(SUM(Inventory[[#This Row],[Mdl Qlty]:[Mdl WdDeck]])+Inventory[[#This Row],[Mdl Res Intercept]],-2)</f>
        <v>290900</v>
      </c>
      <c r="BD51" s="25">
        <f>ROUND(Inventory[[#This Row],[Mdl Land Intercept]]+Inventory[[#This Row],[Mdl LnAcres]],-2)</f>
        <v>-12000</v>
      </c>
      <c r="BE51" s="25">
        <f>Inventory[[#This Row],[Unadj Res Value]]+Inventory[[#This Row],[Unadj Det Value]]+Inventory[[#This Row],[Unadj Land Value]]</f>
        <v>278900</v>
      </c>
      <c r="BF51" s="36">
        <f>(Inventory[[#This Row],[Unadj Total Value]]-Inventory[[#This Row],[24Final]])/Inventory[[#This Row],[24Final]]</f>
        <v>2.6122148638704931E-2</v>
      </c>
      <c r="BG51" s="25">
        <f>VLOOKUP(Inventory[[#This Row],[Nbhd]],Lookups!$Q$2:$T$4,4,FALSE)</f>
        <v>0.99970000000000003</v>
      </c>
      <c r="BH51" s="25">
        <f>VLOOKUP(Inventory[[#This Row],[Qlty]],Lookups!$O$7:$R$21,4,FALSE)</f>
        <v>1.0088999999999999</v>
      </c>
      <c r="BI51" s="25">
        <f>VLOOKUP(Inventory[[#This Row],[Cnd]],Lookups!$T$7:$W$16,4,FALSE)</f>
        <v>0.99729999999999996</v>
      </c>
      <c r="BJ51" s="25">
        <f>VLOOKUP(Inventory[[#This Row],[LivArea Range]],Lookups!$T$25:$W$37,4,FALSE)</f>
        <v>1.0157</v>
      </c>
      <c r="BK51" s="25">
        <f>VLOOKUP(Inventory[[#This Row],[Decade]],Lookups!$O$25:$R$42,4,FALSE)</f>
        <v>0.97319999999999995</v>
      </c>
      <c r="BL51" s="25">
        <f>Inventory[[#This Row],[Nbhd Adj]]*0.95</f>
        <v>0.94971499999999998</v>
      </c>
      <c r="BM51" s="25">
        <f>Inventory[[#This Row],[Nbhd Adj]]*Inventory[[#This Row],[Quality Adj]]*Inventory[[#This Row],[Condition Adj]]*Inventory[[#This Row],[Living Area Adj]]*Inventory[[#This Row],[Decade Adj]]*0.95</f>
        <v>0.944571398768702</v>
      </c>
      <c r="BN51" s="25">
        <f>ROUND(SUM(Inventory[[#This Row],[Mdl Qlty]:[Mdl WdDeck]])+Inventory[[#This Row],[Mdl Res Intercept]]*Inventory[[#This Row],[Res Adj ]],-2)</f>
        <v>290900</v>
      </c>
      <c r="BO51" s="25">
        <f>ROUND(Inventory[[#This Row],[25Det]]*Inventory[[#This Row],[Det/Nbhd Adj]],-2)</f>
        <v>0</v>
      </c>
      <c r="BP51" s="25">
        <f>Inventory[[#This Row],[Adjusted Res]]+Inventory[[#This Row],[Adj Det ]]</f>
        <v>290900</v>
      </c>
      <c r="BQ51" s="25">
        <f>ROUND((Inventory[[#This Row],[Mdl Land Intercept]]+Inventory[[#This Row],[Mdl LnAcres]])*Inventory[[#This Row],[Det/Nbhd Adj]],-2)</f>
        <v>-11400</v>
      </c>
      <c r="BR51" s="25">
        <f>Inventory[[#This Row],[Adjusted Impr Total]]+Inventory[[#This Row],[Adjusted Land Total]]</f>
        <v>279500</v>
      </c>
      <c r="BS51" s="36">
        <f>IFERROR((Inventory[[#This Row],[Adjusted Impr Total]]-Inventory[[#This Row],[24Bldg]])/Inventory[[#This Row],[24Bldg]],0)</f>
        <v>0.25930735930735932</v>
      </c>
      <c r="BT51" s="36">
        <f>(Inventory[[#This Row],[Adjusted Land Total]]-Inventory[[#This Row],[24Lnd]])/Inventory[[#This Row],[24Lnd]]</f>
        <v>-1.2794117647058822</v>
      </c>
      <c r="BU51" s="36">
        <f>(Inventory[[#This Row],[Adjusted Total]]-Inventory[[#This Row],[24Final]])/Inventory[[#This Row],[24Final]]</f>
        <v>2.8329654157468728E-2</v>
      </c>
    </row>
    <row r="52" spans="1:73" x14ac:dyDescent="0.3">
      <c r="A52" s="25">
        <v>2025</v>
      </c>
      <c r="B52" s="26" t="s">
        <v>573</v>
      </c>
      <c r="C52" s="26">
        <f>LN(Inventory[[#This Row],[Acres]])</f>
        <v>-3.2188758248682006</v>
      </c>
      <c r="D52" s="25">
        <v>0.04</v>
      </c>
      <c r="E52" s="25">
        <v>1894</v>
      </c>
      <c r="F52" s="26" t="s">
        <v>537</v>
      </c>
      <c r="G52" s="26" t="s">
        <v>28</v>
      </c>
      <c r="H52" s="26" t="s">
        <v>349</v>
      </c>
      <c r="I52" s="26" t="s">
        <v>538</v>
      </c>
      <c r="J52" s="26" t="s">
        <v>551</v>
      </c>
      <c r="K52" s="26" t="s">
        <v>381</v>
      </c>
      <c r="L52" s="26" t="s">
        <v>351</v>
      </c>
      <c r="M52" s="26" t="s">
        <v>323</v>
      </c>
      <c r="N52" s="26">
        <v>30</v>
      </c>
      <c r="O52" s="26">
        <f>2024-Inventory[[#This Row],[YrBlt]]</f>
        <v>26</v>
      </c>
      <c r="P52" s="26">
        <f>2024-Inventory[[#This Row],[EffYr]]</f>
        <v>26</v>
      </c>
      <c r="Q52" s="25">
        <v>1998</v>
      </c>
      <c r="R52" s="25">
        <v>1998</v>
      </c>
      <c r="S52" s="25">
        <v>1258</v>
      </c>
      <c r="T52" s="27"/>
      <c r="U52" s="27"/>
      <c r="V52" s="27">
        <f>Inventory[[#This Row],[Bsmt]]-Inventory[[#This Row],[FnBsmt]]</f>
        <v>0</v>
      </c>
      <c r="W52" s="27"/>
      <c r="X52" s="27"/>
      <c r="Y52" s="27">
        <f>Inventory[[#This Row],[MainFn]]+Inventory[[#This Row],[UpprFn]]+Inventory[[#This Row],[FnBsmt]]+Inventory[[#This Row],[AddFn]]</f>
        <v>1258</v>
      </c>
      <c r="Z52" s="27">
        <v>1500</v>
      </c>
      <c r="AA52" s="25">
        <v>9</v>
      </c>
      <c r="AB52" s="25">
        <v>636</v>
      </c>
      <c r="AC52" s="27"/>
      <c r="AD52" s="27"/>
      <c r="AE52" s="27"/>
      <c r="AF52" s="27"/>
      <c r="AG52" s="27"/>
      <c r="AH52" s="27"/>
      <c r="AI52" s="25">
        <v>234352</v>
      </c>
      <c r="AJ52" s="25">
        <v>206230</v>
      </c>
      <c r="AK52" s="25">
        <v>0</v>
      </c>
      <c r="AL52" s="25">
        <v>266600</v>
      </c>
      <c r="AM52" s="25">
        <v>40000</v>
      </c>
      <c r="AN52" s="25">
        <v>226600</v>
      </c>
      <c r="AO52" s="25">
        <v>0</v>
      </c>
      <c r="AP52" s="25">
        <f>Lookups!$B$56*0</f>
        <v>0</v>
      </c>
      <c r="AQ52" s="25">
        <f>Lookups!$B$56*1</f>
        <v>89850.625589999996</v>
      </c>
      <c r="AR52" s="25">
        <f>Lookups!$B$57*Inventory[[#This Row],[LnAcres]]</f>
        <v>-101892.2773541973</v>
      </c>
      <c r="AS52" s="25">
        <f>VLOOKUP(Inventory[[#This Row],[Qlty]],Lookups!$A$62:$E$75,2,FALSE)</f>
        <v>21557.329055999999</v>
      </c>
      <c r="AT52" s="25">
        <f>VLOOKUP(Inventory[[#This Row],[Cnd]],Lookups!$A$76:$E$84,2,FALSE)</f>
        <v>160472.20319</v>
      </c>
      <c r="AU52" s="25">
        <f>Inventory[[#This Row],[EffAge]]*Lookups!$B$85</f>
        <v>-5799.1856130000006</v>
      </c>
      <c r="AV52" s="25">
        <f>Inventory[[#This Row],[MainFn]]*Lookups!$B$86</f>
        <v>62156.106705266</v>
      </c>
      <c r="AW52" s="25">
        <f>Inventory[[#This Row],[UpprFn]]*Lookups!$B$87</f>
        <v>0</v>
      </c>
      <c r="AX52" s="25">
        <f>Inventory[[#This Row],[AddFn]]*Lookups!$B$88</f>
        <v>0</v>
      </c>
      <c r="AY52" s="25">
        <f>Inventory[[#This Row],[Bsmt]]*Lookups!$B$89</f>
        <v>0</v>
      </c>
      <c r="AZ52" s="25">
        <f>Inventory[[#This Row],[Fixtures]]*Lookups!$B$90</f>
        <v>34128.198946800003</v>
      </c>
      <c r="BA52" s="25">
        <f>Inventory[[#This Row],[WdDeck]]*Lookups!$B$91</f>
        <v>0</v>
      </c>
      <c r="BB52" s="25">
        <f>ROUND(Inventory[[#This Row],[25Det]],-2)</f>
        <v>0</v>
      </c>
      <c r="BC52" s="25">
        <f>ROUND(SUM(Inventory[[#This Row],[Mdl Qlty]:[Mdl WdDeck]])+Inventory[[#This Row],[Mdl Res Intercept]],-2)</f>
        <v>272500</v>
      </c>
      <c r="BD52" s="25">
        <f>ROUND(Inventory[[#This Row],[Mdl Land Intercept]]+Inventory[[#This Row],[Mdl LnAcres]],-2)</f>
        <v>-12000</v>
      </c>
      <c r="BE52" s="25">
        <f>Inventory[[#This Row],[Unadj Res Value]]+Inventory[[#This Row],[Unadj Det Value]]+Inventory[[#This Row],[Unadj Land Value]]</f>
        <v>260500</v>
      </c>
      <c r="BF52" s="36">
        <f>(Inventory[[#This Row],[Unadj Total Value]]-Inventory[[#This Row],[24Final]])/Inventory[[#This Row],[24Final]]</f>
        <v>-2.288072018004501E-2</v>
      </c>
      <c r="BG52" s="25">
        <f>VLOOKUP(Inventory[[#This Row],[Nbhd]],Lookups!$Q$2:$T$4,4,FALSE)</f>
        <v>0.99970000000000003</v>
      </c>
      <c r="BH52" s="25">
        <f>VLOOKUP(Inventory[[#This Row],[Qlty]],Lookups!$O$7:$R$21,4,FALSE)</f>
        <v>1.0067999999999999</v>
      </c>
      <c r="BI52" s="25">
        <f>VLOOKUP(Inventory[[#This Row],[Cnd]],Lookups!$T$7:$W$16,4,FALSE)</f>
        <v>0.99729999999999996</v>
      </c>
      <c r="BJ52" s="25">
        <f>VLOOKUP(Inventory[[#This Row],[LivArea Range]],Lookups!$T$25:$W$37,4,FALSE)</f>
        <v>1.0157</v>
      </c>
      <c r="BK52" s="25">
        <f>VLOOKUP(Inventory[[#This Row],[Decade]],Lookups!$O$25:$R$42,4,FALSE)</f>
        <v>0.97319999999999995</v>
      </c>
      <c r="BL52" s="25">
        <f>Inventory[[#This Row],[Nbhd Adj]]*0.95</f>
        <v>0.94971499999999998</v>
      </c>
      <c r="BM52" s="25">
        <f>Inventory[[#This Row],[Nbhd Adj]]*Inventory[[#This Row],[Quality Adj]]*Inventory[[#This Row],[Condition Adj]]*Inventory[[#This Row],[Living Area Adj]]*Inventory[[#This Row],[Decade Adj]]*0.95</f>
        <v>0.9426052971358202</v>
      </c>
      <c r="BN52" s="25">
        <f>ROUND(SUM(Inventory[[#This Row],[Mdl Qlty]:[Mdl WdDeck]])+Inventory[[#This Row],[Mdl Res Intercept]]*Inventory[[#This Row],[Res Adj ]],-2)</f>
        <v>272500</v>
      </c>
      <c r="BO52" s="25">
        <f>ROUND(Inventory[[#This Row],[25Det]]*Inventory[[#This Row],[Det/Nbhd Adj]],-2)</f>
        <v>0</v>
      </c>
      <c r="BP52" s="25">
        <f>Inventory[[#This Row],[Adjusted Res]]+Inventory[[#This Row],[Adj Det ]]</f>
        <v>272500</v>
      </c>
      <c r="BQ52" s="25">
        <f>ROUND((Inventory[[#This Row],[Mdl Land Intercept]]+Inventory[[#This Row],[Mdl LnAcres]])*Inventory[[#This Row],[Det/Nbhd Adj]],-2)</f>
        <v>-11400</v>
      </c>
      <c r="BR52" s="25">
        <f>Inventory[[#This Row],[Adjusted Impr Total]]+Inventory[[#This Row],[Adjusted Land Total]]</f>
        <v>261100</v>
      </c>
      <c r="BS52" s="36">
        <f>IFERROR((Inventory[[#This Row],[Adjusted Impr Total]]-Inventory[[#This Row],[24Bldg]])/Inventory[[#This Row],[24Bldg]],0)</f>
        <v>0.20255957634598412</v>
      </c>
      <c r="BT52" s="36">
        <f>(Inventory[[#This Row],[Adjusted Land Total]]-Inventory[[#This Row],[24Lnd]])/Inventory[[#This Row],[24Lnd]]</f>
        <v>-1.2849999999999999</v>
      </c>
      <c r="BU52" s="36">
        <f>(Inventory[[#This Row],[Adjusted Total]]-Inventory[[#This Row],[24Final]])/Inventory[[#This Row],[24Final]]</f>
        <v>-2.0630157539384845E-2</v>
      </c>
    </row>
    <row r="53" spans="1:73" x14ac:dyDescent="0.3">
      <c r="A53" s="25">
        <v>2025</v>
      </c>
      <c r="B53" s="26" t="s">
        <v>584</v>
      </c>
      <c r="C53" s="26">
        <f>LN(Inventory[[#This Row],[Acres]])</f>
        <v>-3.2188758248682006</v>
      </c>
      <c r="D53" s="25">
        <v>0.04</v>
      </c>
      <c r="E53" s="25">
        <v>2044</v>
      </c>
      <c r="F53" s="26" t="s">
        <v>537</v>
      </c>
      <c r="G53" s="26" t="s">
        <v>28</v>
      </c>
      <c r="H53" s="26" t="s">
        <v>349</v>
      </c>
      <c r="I53" s="26" t="s">
        <v>538</v>
      </c>
      <c r="J53" s="26" t="s">
        <v>551</v>
      </c>
      <c r="K53" s="26" t="s">
        <v>381</v>
      </c>
      <c r="L53" s="26" t="s">
        <v>302</v>
      </c>
      <c r="M53" s="26" t="s">
        <v>323</v>
      </c>
      <c r="N53" s="26">
        <v>30</v>
      </c>
      <c r="O53" s="26">
        <f>2024-Inventory[[#This Row],[YrBlt]]</f>
        <v>26</v>
      </c>
      <c r="P53" s="26">
        <f>2024-Inventory[[#This Row],[EffYr]]</f>
        <v>26</v>
      </c>
      <c r="Q53" s="25">
        <v>1998</v>
      </c>
      <c r="R53" s="25">
        <v>1998</v>
      </c>
      <c r="S53" s="25">
        <v>1560</v>
      </c>
      <c r="T53" s="27"/>
      <c r="U53" s="27"/>
      <c r="V53" s="27">
        <f>Inventory[[#This Row],[Bsmt]]-Inventory[[#This Row],[FnBsmt]]</f>
        <v>0</v>
      </c>
      <c r="W53" s="27"/>
      <c r="X53" s="27"/>
      <c r="Y53" s="27">
        <f>Inventory[[#This Row],[MainFn]]+Inventory[[#This Row],[UpprFn]]+Inventory[[#This Row],[FnBsmt]]+Inventory[[#This Row],[AddFn]]</f>
        <v>1560</v>
      </c>
      <c r="Z53" s="27">
        <v>2000</v>
      </c>
      <c r="AA53" s="25">
        <v>8</v>
      </c>
      <c r="AB53" s="25">
        <v>484</v>
      </c>
      <c r="AC53" s="27"/>
      <c r="AD53" s="27"/>
      <c r="AE53" s="27"/>
      <c r="AF53" s="27"/>
      <c r="AG53" s="27"/>
      <c r="AH53" s="27"/>
      <c r="AI53" s="25">
        <v>312414</v>
      </c>
      <c r="AJ53" s="25">
        <v>274924</v>
      </c>
      <c r="AK53" s="25">
        <v>0</v>
      </c>
      <c r="AL53" s="25">
        <v>308500</v>
      </c>
      <c r="AM53" s="25">
        <v>46300</v>
      </c>
      <c r="AN53" s="25">
        <v>262200</v>
      </c>
      <c r="AO53" s="25">
        <v>0</v>
      </c>
      <c r="AP53" s="25">
        <f>Lookups!$B$56*0</f>
        <v>0</v>
      </c>
      <c r="AQ53" s="25">
        <f>Lookups!$B$56*1</f>
        <v>89850.625589999996</v>
      </c>
      <c r="AR53" s="25">
        <f>Lookups!$B$57*Inventory[[#This Row],[LnAcres]]</f>
        <v>-101892.2773541973</v>
      </c>
      <c r="AS53" s="25">
        <f>VLOOKUP(Inventory[[#This Row],[Qlty]],Lookups!$A$62:$E$75,2,FALSE)</f>
        <v>29814.093161000001</v>
      </c>
      <c r="AT53" s="25">
        <f>VLOOKUP(Inventory[[#This Row],[Cnd]],Lookups!$A$76:$E$84,2,FALSE)</f>
        <v>160472.20319</v>
      </c>
      <c r="AU53" s="25">
        <f>Inventory[[#This Row],[EffAge]]*Lookups!$B$85</f>
        <v>-5799.1856130000006</v>
      </c>
      <c r="AV53" s="25">
        <f>Inventory[[#This Row],[MainFn]]*Lookups!$B$86</f>
        <v>77077.525008120007</v>
      </c>
      <c r="AW53" s="25">
        <f>Inventory[[#This Row],[UpprFn]]*Lookups!$B$87</f>
        <v>0</v>
      </c>
      <c r="AX53" s="25">
        <f>Inventory[[#This Row],[AddFn]]*Lookups!$B$88</f>
        <v>0</v>
      </c>
      <c r="AY53" s="25">
        <f>Inventory[[#This Row],[Bsmt]]*Lookups!$B$89</f>
        <v>0</v>
      </c>
      <c r="AZ53" s="25">
        <f>Inventory[[#This Row],[Fixtures]]*Lookups!$B$90</f>
        <v>30336.176841600001</v>
      </c>
      <c r="BA53" s="25">
        <f>Inventory[[#This Row],[WdDeck]]*Lookups!$B$91</f>
        <v>0</v>
      </c>
      <c r="BB53" s="25">
        <f>ROUND(Inventory[[#This Row],[25Det]],-2)</f>
        <v>0</v>
      </c>
      <c r="BC53" s="25">
        <f>ROUND(SUM(Inventory[[#This Row],[Mdl Qlty]:[Mdl WdDeck]])+Inventory[[#This Row],[Mdl Res Intercept]],-2)</f>
        <v>291900</v>
      </c>
      <c r="BD53" s="25">
        <f>ROUND(Inventory[[#This Row],[Mdl Land Intercept]]+Inventory[[#This Row],[Mdl LnAcres]],-2)</f>
        <v>-12000</v>
      </c>
      <c r="BE53" s="25">
        <f>Inventory[[#This Row],[Unadj Res Value]]+Inventory[[#This Row],[Unadj Det Value]]+Inventory[[#This Row],[Unadj Land Value]]</f>
        <v>279900</v>
      </c>
      <c r="BF53" s="36">
        <f>(Inventory[[#This Row],[Unadj Total Value]]-Inventory[[#This Row],[24Final]])/Inventory[[#This Row],[24Final]]</f>
        <v>-9.27066450567261E-2</v>
      </c>
      <c r="BG53" s="25">
        <f>VLOOKUP(Inventory[[#This Row],[Nbhd]],Lookups!$Q$2:$T$4,4,FALSE)</f>
        <v>0.99970000000000003</v>
      </c>
      <c r="BH53" s="25">
        <f>VLOOKUP(Inventory[[#This Row],[Qlty]],Lookups!$O$7:$R$21,4,FALSE)</f>
        <v>1.0088999999999999</v>
      </c>
      <c r="BI53" s="25">
        <f>VLOOKUP(Inventory[[#This Row],[Cnd]],Lookups!$T$7:$W$16,4,FALSE)</f>
        <v>0.99729999999999996</v>
      </c>
      <c r="BJ53" s="25">
        <f>VLOOKUP(Inventory[[#This Row],[LivArea Range]],Lookups!$T$25:$W$37,4,FALSE)</f>
        <v>1.0093000000000001</v>
      </c>
      <c r="BK53" s="25">
        <f>VLOOKUP(Inventory[[#This Row],[Decade]],Lookups!$O$25:$R$42,4,FALSE)</f>
        <v>0.97319999999999995</v>
      </c>
      <c r="BL53" s="25">
        <f>Inventory[[#This Row],[Nbhd Adj]]*0.95</f>
        <v>0.94971499999999998</v>
      </c>
      <c r="BM53" s="25">
        <f>Inventory[[#This Row],[Nbhd Adj]]*Inventory[[#This Row],[Quality Adj]]*Inventory[[#This Row],[Condition Adj]]*Inventory[[#This Row],[Living Area Adj]]*Inventory[[#This Row],[Decade Adj]]*0.95</f>
        <v>0.93861958528822576</v>
      </c>
      <c r="BN53" s="25">
        <f>ROUND(SUM(Inventory[[#This Row],[Mdl Qlty]:[Mdl WdDeck]])+Inventory[[#This Row],[Mdl Res Intercept]]*Inventory[[#This Row],[Res Adj ]],-2)</f>
        <v>291900</v>
      </c>
      <c r="BO53" s="25">
        <f>ROUND(Inventory[[#This Row],[25Det]]*Inventory[[#This Row],[Det/Nbhd Adj]],-2)</f>
        <v>0</v>
      </c>
      <c r="BP53" s="25">
        <f>Inventory[[#This Row],[Adjusted Res]]+Inventory[[#This Row],[Adj Det ]]</f>
        <v>291900</v>
      </c>
      <c r="BQ53" s="25">
        <f>ROUND((Inventory[[#This Row],[Mdl Land Intercept]]+Inventory[[#This Row],[Mdl LnAcres]])*Inventory[[#This Row],[Det/Nbhd Adj]],-2)</f>
        <v>-11400</v>
      </c>
      <c r="BR53" s="25">
        <f>Inventory[[#This Row],[Adjusted Impr Total]]+Inventory[[#This Row],[Adjusted Land Total]]</f>
        <v>280500</v>
      </c>
      <c r="BS53" s="36">
        <f>IFERROR((Inventory[[#This Row],[Adjusted Impr Total]]-Inventory[[#This Row],[24Bldg]])/Inventory[[#This Row],[24Bldg]],0)</f>
        <v>0.11327231121281464</v>
      </c>
      <c r="BT53" s="36">
        <f>(Inventory[[#This Row],[Adjusted Land Total]]-Inventory[[#This Row],[24Lnd]])/Inventory[[#This Row],[24Lnd]]</f>
        <v>-1.2462203023758098</v>
      </c>
      <c r="BU53" s="36">
        <f>(Inventory[[#This Row],[Adjusted Total]]-Inventory[[#This Row],[24Final]])/Inventory[[#This Row],[24Final]]</f>
        <v>-9.0761750405186387E-2</v>
      </c>
    </row>
    <row r="54" spans="1:73" x14ac:dyDescent="0.3">
      <c r="A54" s="25">
        <v>2025</v>
      </c>
      <c r="B54" s="26" t="s">
        <v>583</v>
      </c>
      <c r="C54" s="26">
        <f>LN(Inventory[[#This Row],[Acres]])</f>
        <v>-3.5065578973199818</v>
      </c>
      <c r="D54" s="25">
        <v>0.03</v>
      </c>
      <c r="E54" s="25">
        <v>2044</v>
      </c>
      <c r="F54" s="26" t="s">
        <v>537</v>
      </c>
      <c r="G54" s="26" t="s">
        <v>28</v>
      </c>
      <c r="H54" s="26" t="s">
        <v>349</v>
      </c>
      <c r="I54" s="26" t="s">
        <v>538</v>
      </c>
      <c r="J54" s="26" t="s">
        <v>551</v>
      </c>
      <c r="K54" s="26" t="s">
        <v>381</v>
      </c>
      <c r="L54" s="26" t="s">
        <v>302</v>
      </c>
      <c r="M54" s="26" t="s">
        <v>323</v>
      </c>
      <c r="N54" s="26">
        <v>30</v>
      </c>
      <c r="O54" s="26">
        <f>2024-Inventory[[#This Row],[YrBlt]]</f>
        <v>26</v>
      </c>
      <c r="P54" s="26">
        <f>2024-Inventory[[#This Row],[EffYr]]</f>
        <v>26</v>
      </c>
      <c r="Q54" s="25">
        <v>1998</v>
      </c>
      <c r="R54" s="25">
        <v>1998</v>
      </c>
      <c r="S54" s="25">
        <v>1560</v>
      </c>
      <c r="T54" s="27"/>
      <c r="U54" s="27"/>
      <c r="V54" s="27">
        <f>Inventory[[#This Row],[Bsmt]]-Inventory[[#This Row],[FnBsmt]]</f>
        <v>0</v>
      </c>
      <c r="W54" s="27"/>
      <c r="X54" s="27"/>
      <c r="Y54" s="27">
        <f>Inventory[[#This Row],[MainFn]]+Inventory[[#This Row],[UpprFn]]+Inventory[[#This Row],[FnBsmt]]+Inventory[[#This Row],[AddFn]]</f>
        <v>1560</v>
      </c>
      <c r="Z54" s="27">
        <v>2000</v>
      </c>
      <c r="AA54" s="25">
        <v>8</v>
      </c>
      <c r="AB54" s="25">
        <v>484</v>
      </c>
      <c r="AC54" s="27"/>
      <c r="AD54" s="27"/>
      <c r="AE54" s="27"/>
      <c r="AF54" s="27"/>
      <c r="AG54" s="27"/>
      <c r="AH54" s="27"/>
      <c r="AI54" s="25">
        <v>312414</v>
      </c>
      <c r="AJ54" s="25">
        <v>274924</v>
      </c>
      <c r="AK54" s="25">
        <v>0</v>
      </c>
      <c r="AL54" s="25">
        <v>308500</v>
      </c>
      <c r="AM54" s="25">
        <v>46300</v>
      </c>
      <c r="AN54" s="25">
        <v>262200</v>
      </c>
      <c r="AO54" s="25">
        <v>0</v>
      </c>
      <c r="AP54" s="25">
        <f>Lookups!$B$56*0</f>
        <v>0</v>
      </c>
      <c r="AQ54" s="25">
        <f>Lookups!$B$56*1</f>
        <v>89850.625589999996</v>
      </c>
      <c r="AR54" s="25">
        <f>Lookups!$B$57*Inventory[[#This Row],[LnAcres]]</f>
        <v>-110998.74281323297</v>
      </c>
      <c r="AS54" s="25">
        <f>VLOOKUP(Inventory[[#This Row],[Qlty]],Lookups!$A$62:$E$75,2,FALSE)</f>
        <v>29814.093161000001</v>
      </c>
      <c r="AT54" s="25">
        <f>VLOOKUP(Inventory[[#This Row],[Cnd]],Lookups!$A$76:$E$84,2,FALSE)</f>
        <v>160472.20319</v>
      </c>
      <c r="AU54" s="25">
        <f>Inventory[[#This Row],[EffAge]]*Lookups!$B$85</f>
        <v>-5799.1856130000006</v>
      </c>
      <c r="AV54" s="25">
        <f>Inventory[[#This Row],[MainFn]]*Lookups!$B$86</f>
        <v>77077.525008120007</v>
      </c>
      <c r="AW54" s="25">
        <f>Inventory[[#This Row],[UpprFn]]*Lookups!$B$87</f>
        <v>0</v>
      </c>
      <c r="AX54" s="25">
        <f>Inventory[[#This Row],[AddFn]]*Lookups!$B$88</f>
        <v>0</v>
      </c>
      <c r="AY54" s="25">
        <f>Inventory[[#This Row],[Bsmt]]*Lookups!$B$89</f>
        <v>0</v>
      </c>
      <c r="AZ54" s="25">
        <f>Inventory[[#This Row],[Fixtures]]*Lookups!$B$90</f>
        <v>30336.176841600001</v>
      </c>
      <c r="BA54" s="25">
        <f>Inventory[[#This Row],[WdDeck]]*Lookups!$B$91</f>
        <v>0</v>
      </c>
      <c r="BB54" s="25">
        <f>ROUND(Inventory[[#This Row],[25Det]],-2)</f>
        <v>0</v>
      </c>
      <c r="BC54" s="25">
        <f>ROUND(SUM(Inventory[[#This Row],[Mdl Qlty]:[Mdl WdDeck]])+Inventory[[#This Row],[Mdl Res Intercept]],-2)</f>
        <v>291900</v>
      </c>
      <c r="BD54" s="25">
        <f>ROUND(Inventory[[#This Row],[Mdl Land Intercept]]+Inventory[[#This Row],[Mdl LnAcres]],-2)</f>
        <v>-21100</v>
      </c>
      <c r="BE54" s="25">
        <f>Inventory[[#This Row],[Unadj Res Value]]+Inventory[[#This Row],[Unadj Det Value]]+Inventory[[#This Row],[Unadj Land Value]]</f>
        <v>270800</v>
      </c>
      <c r="BF54" s="36">
        <f>(Inventory[[#This Row],[Unadj Total Value]]-Inventory[[#This Row],[24Final]])/Inventory[[#This Row],[24Final]]</f>
        <v>-0.12220421393841167</v>
      </c>
      <c r="BG54" s="25">
        <f>VLOOKUP(Inventory[[#This Row],[Nbhd]],Lookups!$Q$2:$T$4,4,FALSE)</f>
        <v>0.99970000000000003</v>
      </c>
      <c r="BH54" s="25">
        <f>VLOOKUP(Inventory[[#This Row],[Qlty]],Lookups!$O$7:$R$21,4,FALSE)</f>
        <v>1.0088999999999999</v>
      </c>
      <c r="BI54" s="25">
        <f>VLOOKUP(Inventory[[#This Row],[Cnd]],Lookups!$T$7:$W$16,4,FALSE)</f>
        <v>0.99729999999999996</v>
      </c>
      <c r="BJ54" s="25">
        <f>VLOOKUP(Inventory[[#This Row],[LivArea Range]],Lookups!$T$25:$W$37,4,FALSE)</f>
        <v>1.0093000000000001</v>
      </c>
      <c r="BK54" s="25">
        <f>VLOOKUP(Inventory[[#This Row],[Decade]],Lookups!$O$25:$R$42,4,FALSE)</f>
        <v>0.97319999999999995</v>
      </c>
      <c r="BL54" s="25">
        <f>Inventory[[#This Row],[Nbhd Adj]]*0.95</f>
        <v>0.94971499999999998</v>
      </c>
      <c r="BM54" s="25">
        <f>Inventory[[#This Row],[Nbhd Adj]]*Inventory[[#This Row],[Quality Adj]]*Inventory[[#This Row],[Condition Adj]]*Inventory[[#This Row],[Living Area Adj]]*Inventory[[#This Row],[Decade Adj]]*0.95</f>
        <v>0.93861958528822576</v>
      </c>
      <c r="BN54" s="25">
        <f>ROUND(SUM(Inventory[[#This Row],[Mdl Qlty]:[Mdl WdDeck]])+Inventory[[#This Row],[Mdl Res Intercept]]*Inventory[[#This Row],[Res Adj ]],-2)</f>
        <v>291900</v>
      </c>
      <c r="BO54" s="25">
        <f>ROUND(Inventory[[#This Row],[25Det]]*Inventory[[#This Row],[Det/Nbhd Adj]],-2)</f>
        <v>0</v>
      </c>
      <c r="BP54" s="25">
        <f>Inventory[[#This Row],[Adjusted Res]]+Inventory[[#This Row],[Adj Det ]]</f>
        <v>291900</v>
      </c>
      <c r="BQ54" s="25">
        <f>ROUND((Inventory[[#This Row],[Mdl Land Intercept]]+Inventory[[#This Row],[Mdl LnAcres]])*Inventory[[#This Row],[Det/Nbhd Adj]],-2)</f>
        <v>-20100</v>
      </c>
      <c r="BR54" s="25">
        <f>Inventory[[#This Row],[Adjusted Impr Total]]+Inventory[[#This Row],[Adjusted Land Total]]</f>
        <v>271800</v>
      </c>
      <c r="BS54" s="36">
        <f>IFERROR((Inventory[[#This Row],[Adjusted Impr Total]]-Inventory[[#This Row],[24Bldg]])/Inventory[[#This Row],[24Bldg]],0)</f>
        <v>0.11327231121281464</v>
      </c>
      <c r="BT54" s="36">
        <f>(Inventory[[#This Row],[Adjusted Land Total]]-Inventory[[#This Row],[24Lnd]])/Inventory[[#This Row],[24Lnd]]</f>
        <v>-1.4341252699784017</v>
      </c>
      <c r="BU54" s="36">
        <f>(Inventory[[#This Row],[Adjusted Total]]-Inventory[[#This Row],[24Final]])/Inventory[[#This Row],[24Final]]</f>
        <v>-0.11896272285251215</v>
      </c>
    </row>
    <row r="55" spans="1:73" x14ac:dyDescent="0.3">
      <c r="A55" s="25">
        <v>2025</v>
      </c>
      <c r="B55" s="26" t="s">
        <v>2467</v>
      </c>
      <c r="C55" s="26">
        <f>LN(Inventory[[#This Row],[Acres]])</f>
        <v>-1.5606477482646683</v>
      </c>
      <c r="D55" s="25">
        <v>0.21</v>
      </c>
      <c r="E55" s="25">
        <v>9167</v>
      </c>
      <c r="F55" s="26" t="s">
        <v>537</v>
      </c>
      <c r="G55" s="26" t="s">
        <v>126</v>
      </c>
      <c r="H55" s="26" t="s">
        <v>349</v>
      </c>
      <c r="I55" s="26" t="s">
        <v>538</v>
      </c>
      <c r="J55" s="26" t="s">
        <v>539</v>
      </c>
      <c r="K55" s="26" t="s">
        <v>241</v>
      </c>
      <c r="L55" s="26" t="s">
        <v>351</v>
      </c>
      <c r="M55" s="26" t="s">
        <v>303</v>
      </c>
      <c r="N55" s="26">
        <v>30</v>
      </c>
      <c r="O55" s="26">
        <f>2024-Inventory[[#This Row],[YrBlt]]</f>
        <v>27</v>
      </c>
      <c r="P55" s="26">
        <f>2024-Inventory[[#This Row],[EffYr]]</f>
        <v>27</v>
      </c>
      <c r="Q55" s="25">
        <v>1997</v>
      </c>
      <c r="R55" s="25">
        <v>1997</v>
      </c>
      <c r="S55" s="25">
        <v>1092</v>
      </c>
      <c r="T55" s="31"/>
      <c r="U55" s="31"/>
      <c r="V55" s="31">
        <f>Inventory[[#This Row],[Bsmt]]-Inventory[[#This Row],[FnBsmt]]</f>
        <v>0</v>
      </c>
      <c r="W55" s="31"/>
      <c r="X55" s="27"/>
      <c r="Y55" s="27">
        <f>Inventory[[#This Row],[MainFn]]+Inventory[[#This Row],[UpprFn]]+Inventory[[#This Row],[FnBsmt]]+Inventory[[#This Row],[AddFn]]</f>
        <v>1092</v>
      </c>
      <c r="Z55" s="27">
        <v>1500</v>
      </c>
      <c r="AA55" s="25">
        <v>8</v>
      </c>
      <c r="AB55" s="32">
        <v>440</v>
      </c>
      <c r="AC55" s="31"/>
      <c r="AD55" s="25">
        <v>100</v>
      </c>
      <c r="AE55" s="27"/>
      <c r="AF55" s="27"/>
      <c r="AG55" s="27"/>
      <c r="AH55" s="27"/>
      <c r="AI55" s="25">
        <v>207082</v>
      </c>
      <c r="AJ55" s="25">
        <v>182232</v>
      </c>
      <c r="AK55" s="25">
        <v>0</v>
      </c>
      <c r="AL55" s="25">
        <v>312200</v>
      </c>
      <c r="AM55" s="25">
        <v>60100</v>
      </c>
      <c r="AN55" s="25">
        <v>252100</v>
      </c>
      <c r="AO55" s="25">
        <v>0</v>
      </c>
      <c r="AP55" s="25">
        <f>Lookups!$B$56*0</f>
        <v>0</v>
      </c>
      <c r="AQ55" s="25">
        <f>Lookups!$B$56*1</f>
        <v>89850.625589999996</v>
      </c>
      <c r="AR55" s="25">
        <f>Lookups!$B$57*Inventory[[#This Row],[LnAcres]]</f>
        <v>-49401.70477837498</v>
      </c>
      <c r="AS55" s="25">
        <f>VLOOKUP(Inventory[[#This Row],[Qlty]],Lookups!$A$62:$E$75,2,FALSE)</f>
        <v>21557.329055999999</v>
      </c>
      <c r="AT55" s="25">
        <f>VLOOKUP(Inventory[[#This Row],[Cnd]],Lookups!$A$76:$E$84,2,FALSE)</f>
        <v>197752.34721000001</v>
      </c>
      <c r="AU55" s="25">
        <f>Inventory[[#This Row],[EffAge]]*Lookups!$B$85</f>
        <v>-6022.2312135000002</v>
      </c>
      <c r="AV55" s="25">
        <f>Inventory[[#This Row],[MainFn]]*Lookups!$B$86</f>
        <v>53954.267505684002</v>
      </c>
      <c r="AW55" s="25">
        <f>Inventory[[#This Row],[UpprFn]]*Lookups!$B$87</f>
        <v>0</v>
      </c>
      <c r="AX55" s="25">
        <f>Inventory[[#This Row],[AddFn]]*Lookups!$B$88</f>
        <v>0</v>
      </c>
      <c r="AY55" s="25">
        <f>Inventory[[#This Row],[Bsmt]]*Lookups!$B$89</f>
        <v>0</v>
      </c>
      <c r="AZ55" s="25">
        <f>Inventory[[#This Row],[Fixtures]]*Lookups!$B$90</f>
        <v>30336.176841600001</v>
      </c>
      <c r="BA55" s="25">
        <f>Inventory[[#This Row],[WdDeck]]*Lookups!$B$91</f>
        <v>3329.5515276000006</v>
      </c>
      <c r="BB55" s="25">
        <f>ROUND(Inventory[[#This Row],[25Det]],-2)</f>
        <v>0</v>
      </c>
      <c r="BC55" s="25">
        <f>ROUND(SUM(Inventory[[#This Row],[Mdl Qlty]:[Mdl WdDeck]])+Inventory[[#This Row],[Mdl Res Intercept]],-2)</f>
        <v>300900</v>
      </c>
      <c r="BD55" s="25">
        <f>ROUND(Inventory[[#This Row],[Mdl Land Intercept]]+Inventory[[#This Row],[Mdl LnAcres]],-2)</f>
        <v>40400</v>
      </c>
      <c r="BE55" s="25">
        <f>Inventory[[#This Row],[Unadj Res Value]]+Inventory[[#This Row],[Unadj Det Value]]+Inventory[[#This Row],[Unadj Land Value]]</f>
        <v>341300</v>
      </c>
      <c r="BF55" s="36">
        <f>(Inventory[[#This Row],[Unadj Total Value]]-Inventory[[#This Row],[24Final]])/Inventory[[#This Row],[24Final]]</f>
        <v>9.3209481101857783E-2</v>
      </c>
      <c r="BG55" s="25">
        <f>VLOOKUP(Inventory[[#This Row],[Nbhd]],Lookups!$Q$2:$T$4,4,FALSE)</f>
        <v>0.99970000000000003</v>
      </c>
      <c r="BH55" s="25">
        <f>VLOOKUP(Inventory[[#This Row],[Qlty]],Lookups!$O$7:$R$21,4,FALSE)</f>
        <v>1.0067999999999999</v>
      </c>
      <c r="BI55" s="25">
        <f>VLOOKUP(Inventory[[#This Row],[Cnd]],Lookups!$T$7:$W$16,4,FALSE)</f>
        <v>0.99650000000000005</v>
      </c>
      <c r="BJ55" s="25">
        <f>VLOOKUP(Inventory[[#This Row],[LivArea Range]],Lookups!$T$25:$W$37,4,FALSE)</f>
        <v>1.0157</v>
      </c>
      <c r="BK55" s="25">
        <f>VLOOKUP(Inventory[[#This Row],[Decade]],Lookups!$O$25:$R$42,4,FALSE)</f>
        <v>0.97319999999999995</v>
      </c>
      <c r="BL55" s="25">
        <f>Inventory[[#This Row],[Nbhd Adj]]*0.95</f>
        <v>0.94971499999999998</v>
      </c>
      <c r="BM55" s="25">
        <f>Inventory[[#This Row],[Nbhd Adj]]*Inventory[[#This Row],[Quality Adj]]*Inventory[[#This Row],[Condition Adj]]*Inventory[[#This Row],[Living Area Adj]]*Inventory[[#This Row],[Decade Adj]]*0.95</f>
        <v>0.94184917135851298</v>
      </c>
      <c r="BN55" s="25">
        <f>ROUND(SUM(Inventory[[#This Row],[Mdl Qlty]:[Mdl WdDeck]])+Inventory[[#This Row],[Mdl Res Intercept]]*Inventory[[#This Row],[Res Adj ]],-2)</f>
        <v>300900</v>
      </c>
      <c r="BO55" s="25">
        <f>ROUND(Inventory[[#This Row],[25Det]]*Inventory[[#This Row],[Det/Nbhd Adj]],-2)</f>
        <v>0</v>
      </c>
      <c r="BP55" s="25">
        <f>Inventory[[#This Row],[Adjusted Res]]+Inventory[[#This Row],[Adj Det ]]</f>
        <v>300900</v>
      </c>
      <c r="BQ55" s="25">
        <f>ROUND((Inventory[[#This Row],[Mdl Land Intercept]]+Inventory[[#This Row],[Mdl LnAcres]])*Inventory[[#This Row],[Det/Nbhd Adj]],-2)</f>
        <v>38400</v>
      </c>
      <c r="BR55" s="25">
        <f>Inventory[[#This Row],[Adjusted Impr Total]]+Inventory[[#This Row],[Adjusted Land Total]]</f>
        <v>339300</v>
      </c>
      <c r="BS55" s="36">
        <f>IFERROR((Inventory[[#This Row],[Adjusted Impr Total]]-Inventory[[#This Row],[24Bldg]])/Inventory[[#This Row],[24Bldg]],0)</f>
        <v>0.19357397857992861</v>
      </c>
      <c r="BT55" s="36">
        <f>(Inventory[[#This Row],[Adjusted Land Total]]-Inventory[[#This Row],[24Lnd]])/Inventory[[#This Row],[24Lnd]]</f>
        <v>-0.36106489184692181</v>
      </c>
      <c r="BU55" s="36">
        <f>(Inventory[[#This Row],[Adjusted Total]]-Inventory[[#This Row],[24Final]])/Inventory[[#This Row],[24Final]]</f>
        <v>8.6803331197950029E-2</v>
      </c>
    </row>
    <row r="56" spans="1:73" x14ac:dyDescent="0.3">
      <c r="A56" s="25">
        <v>2025</v>
      </c>
      <c r="B56" s="26" t="s">
        <v>599</v>
      </c>
      <c r="C56" s="26">
        <f>LN(Inventory[[#This Row],[Acres]])</f>
        <v>-2.2072749131897207</v>
      </c>
      <c r="D56" s="25">
        <v>0.11</v>
      </c>
      <c r="E56" s="25">
        <v>4972</v>
      </c>
      <c r="F56" s="26" t="s">
        <v>537</v>
      </c>
      <c r="G56" s="26" t="s">
        <v>126</v>
      </c>
      <c r="H56" s="26" t="s">
        <v>349</v>
      </c>
      <c r="I56" s="26" t="s">
        <v>538</v>
      </c>
      <c r="J56" s="26" t="s">
        <v>586</v>
      </c>
      <c r="K56" s="26" t="s">
        <v>587</v>
      </c>
      <c r="L56" s="26" t="s">
        <v>148</v>
      </c>
      <c r="M56" s="26" t="s">
        <v>303</v>
      </c>
      <c r="N56" s="26">
        <v>30</v>
      </c>
      <c r="O56" s="26">
        <f>2024-Inventory[[#This Row],[YrBlt]]</f>
        <v>27</v>
      </c>
      <c r="P56" s="26">
        <f>2024-Inventory[[#This Row],[EffYr]]</f>
        <v>27</v>
      </c>
      <c r="Q56" s="25">
        <v>1997</v>
      </c>
      <c r="R56" s="25">
        <v>1997</v>
      </c>
      <c r="S56" s="25">
        <v>1058</v>
      </c>
      <c r="T56" s="32">
        <v>523</v>
      </c>
      <c r="U56" s="31"/>
      <c r="V56" s="31">
        <f>Inventory[[#This Row],[Bsmt]]-Inventory[[#This Row],[FnBsmt]]</f>
        <v>0</v>
      </c>
      <c r="W56" s="31"/>
      <c r="X56" s="27"/>
      <c r="Y56" s="27">
        <f>Inventory[[#This Row],[MainFn]]+Inventory[[#This Row],[UpprFn]]+Inventory[[#This Row],[FnBsmt]]+Inventory[[#This Row],[AddFn]]</f>
        <v>1581</v>
      </c>
      <c r="Z56" s="27">
        <v>2000</v>
      </c>
      <c r="AA56" s="25">
        <v>12</v>
      </c>
      <c r="AB56" s="32">
        <v>480</v>
      </c>
      <c r="AC56" s="31"/>
      <c r="AD56" s="25">
        <v>102</v>
      </c>
      <c r="AE56" s="27"/>
      <c r="AF56" s="27"/>
      <c r="AG56" s="27"/>
      <c r="AH56" s="27"/>
      <c r="AI56" s="25">
        <v>359790</v>
      </c>
      <c r="AJ56" s="25">
        <v>316615</v>
      </c>
      <c r="AK56" s="25">
        <v>0</v>
      </c>
      <c r="AL56" s="25">
        <v>376000</v>
      </c>
      <c r="AM56" s="25">
        <v>43600</v>
      </c>
      <c r="AN56" s="25">
        <v>332400</v>
      </c>
      <c r="AO56" s="25">
        <v>0</v>
      </c>
      <c r="AP56" s="25">
        <f>Lookups!$B$56*0</f>
        <v>0</v>
      </c>
      <c r="AQ56" s="25">
        <f>Lookups!$B$56*1</f>
        <v>89850.625589999996</v>
      </c>
      <c r="AR56" s="25">
        <f>Lookups!$B$57*Inventory[[#This Row],[LnAcres]]</f>
        <v>-69870.439211769743</v>
      </c>
      <c r="AS56" s="25">
        <f>VLOOKUP(Inventory[[#This Row],[Qlty]],Lookups!$A$62:$E$75,2,FALSE)</f>
        <v>44121.038090000002</v>
      </c>
      <c r="AT56" s="25">
        <f>VLOOKUP(Inventory[[#This Row],[Cnd]],Lookups!$A$76:$E$84,2,FALSE)</f>
        <v>197752.34721000001</v>
      </c>
      <c r="AU56" s="25">
        <f>Inventory[[#This Row],[EffAge]]*Lookups!$B$85</f>
        <v>-6022.2312135000002</v>
      </c>
      <c r="AV56" s="25">
        <f>Inventory[[#This Row],[MainFn]]*Lookups!$B$86</f>
        <v>52274.372729866001</v>
      </c>
      <c r="AW56" s="25">
        <f>Inventory[[#This Row],[UpprFn]]*Lookups!$B$87</f>
        <v>23423.299156303001</v>
      </c>
      <c r="AX56" s="25">
        <f>Inventory[[#This Row],[AddFn]]*Lookups!$B$88</f>
        <v>0</v>
      </c>
      <c r="AY56" s="25">
        <f>Inventory[[#This Row],[Bsmt]]*Lookups!$B$89</f>
        <v>0</v>
      </c>
      <c r="AZ56" s="25">
        <f>Inventory[[#This Row],[Fixtures]]*Lookups!$B$90</f>
        <v>45504.265262400004</v>
      </c>
      <c r="BA56" s="25">
        <f>Inventory[[#This Row],[WdDeck]]*Lookups!$B$91</f>
        <v>3396.1425581520002</v>
      </c>
      <c r="BB56" s="25">
        <f>ROUND(Inventory[[#This Row],[25Det]],-2)</f>
        <v>0</v>
      </c>
      <c r="BC56" s="25">
        <f>ROUND(SUM(Inventory[[#This Row],[Mdl Qlty]:[Mdl WdDeck]])+Inventory[[#This Row],[Mdl Res Intercept]],-2)</f>
        <v>360400</v>
      </c>
      <c r="BD56" s="25">
        <f>ROUND(Inventory[[#This Row],[Mdl Land Intercept]]+Inventory[[#This Row],[Mdl LnAcres]],-2)</f>
        <v>20000</v>
      </c>
      <c r="BE56" s="25">
        <f>Inventory[[#This Row],[Unadj Res Value]]+Inventory[[#This Row],[Unadj Det Value]]+Inventory[[#This Row],[Unadj Land Value]]</f>
        <v>380400</v>
      </c>
      <c r="BF56" s="36">
        <f>(Inventory[[#This Row],[Unadj Total Value]]-Inventory[[#This Row],[24Final]])/Inventory[[#This Row],[24Final]]</f>
        <v>1.1702127659574468E-2</v>
      </c>
      <c r="BG56" s="25">
        <f>VLOOKUP(Inventory[[#This Row],[Nbhd]],Lookups!$Q$2:$T$4,4,FALSE)</f>
        <v>0.99970000000000003</v>
      </c>
      <c r="BH56" s="25">
        <f>VLOOKUP(Inventory[[#This Row],[Qlty]],Lookups!$O$7:$R$21,4,FALSE)</f>
        <v>0.98050000000000004</v>
      </c>
      <c r="BI56" s="25">
        <f>VLOOKUP(Inventory[[#This Row],[Cnd]],Lookups!$T$7:$W$16,4,FALSE)</f>
        <v>0.99650000000000005</v>
      </c>
      <c r="BJ56" s="25">
        <f>VLOOKUP(Inventory[[#This Row],[LivArea Range]],Lookups!$T$25:$W$37,4,FALSE)</f>
        <v>1.0093000000000001</v>
      </c>
      <c r="BK56" s="25">
        <f>VLOOKUP(Inventory[[#This Row],[Decade]],Lookups!$O$25:$R$42,4,FALSE)</f>
        <v>0.97319999999999995</v>
      </c>
      <c r="BL56" s="25">
        <f>Inventory[[#This Row],[Nbhd Adj]]*0.95</f>
        <v>0.94971499999999998</v>
      </c>
      <c r="BM56" s="25">
        <f>Inventory[[#This Row],[Nbhd Adj]]*Inventory[[#This Row],[Quality Adj]]*Inventory[[#This Row],[Condition Adj]]*Inventory[[#This Row],[Living Area Adj]]*Inventory[[#This Row],[Decade Adj]]*0.95</f>
        <v>0.91146620765877828</v>
      </c>
      <c r="BN56" s="25">
        <f>ROUND(SUM(Inventory[[#This Row],[Mdl Qlty]:[Mdl WdDeck]])+Inventory[[#This Row],[Mdl Res Intercept]]*Inventory[[#This Row],[Res Adj ]],-2)</f>
        <v>360400</v>
      </c>
      <c r="BO56" s="25">
        <f>ROUND(Inventory[[#This Row],[25Det]]*Inventory[[#This Row],[Det/Nbhd Adj]],-2)</f>
        <v>0</v>
      </c>
      <c r="BP56" s="25">
        <f>Inventory[[#This Row],[Adjusted Res]]+Inventory[[#This Row],[Adj Det ]]</f>
        <v>360400</v>
      </c>
      <c r="BQ56" s="25">
        <f>ROUND((Inventory[[#This Row],[Mdl Land Intercept]]+Inventory[[#This Row],[Mdl LnAcres]])*Inventory[[#This Row],[Det/Nbhd Adj]],-2)</f>
        <v>19000</v>
      </c>
      <c r="BR56" s="25">
        <f>Inventory[[#This Row],[Adjusted Impr Total]]+Inventory[[#This Row],[Adjusted Land Total]]</f>
        <v>379400</v>
      </c>
      <c r="BS56" s="36">
        <f>IFERROR((Inventory[[#This Row],[Adjusted Impr Total]]-Inventory[[#This Row],[24Bldg]])/Inventory[[#This Row],[24Bldg]],0)</f>
        <v>8.4235860409145602E-2</v>
      </c>
      <c r="BT56" s="36">
        <f>(Inventory[[#This Row],[Adjusted Land Total]]-Inventory[[#This Row],[24Lnd]])/Inventory[[#This Row],[24Lnd]]</f>
        <v>-0.56422018348623848</v>
      </c>
      <c r="BU56" s="36">
        <f>(Inventory[[#This Row],[Adjusted Total]]-Inventory[[#This Row],[24Final]])/Inventory[[#This Row],[24Final]]</f>
        <v>9.0425531914893609E-3</v>
      </c>
    </row>
    <row r="57" spans="1:73" x14ac:dyDescent="0.3">
      <c r="A57" s="25">
        <v>2025</v>
      </c>
      <c r="B57" s="26" t="s">
        <v>594</v>
      </c>
      <c r="C57" s="26">
        <f>LN(Inventory[[#This Row],[Acres]])</f>
        <v>-2.2072749131897207</v>
      </c>
      <c r="D57" s="25">
        <v>0.11</v>
      </c>
      <c r="E57" s="25">
        <v>4736</v>
      </c>
      <c r="F57" s="26" t="s">
        <v>537</v>
      </c>
      <c r="G57" s="26" t="s">
        <v>126</v>
      </c>
      <c r="H57" s="26" t="s">
        <v>349</v>
      </c>
      <c r="I57" s="26" t="s">
        <v>538</v>
      </c>
      <c r="J57" s="26" t="s">
        <v>586</v>
      </c>
      <c r="K57" s="26" t="s">
        <v>587</v>
      </c>
      <c r="L57" s="26" t="s">
        <v>148</v>
      </c>
      <c r="M57" s="26" t="s">
        <v>303</v>
      </c>
      <c r="N57" s="26">
        <v>30</v>
      </c>
      <c r="O57" s="26">
        <f>2024-Inventory[[#This Row],[YrBlt]]</f>
        <v>27</v>
      </c>
      <c r="P57" s="26">
        <f>2024-Inventory[[#This Row],[EffYr]]</f>
        <v>27</v>
      </c>
      <c r="Q57" s="25">
        <v>1997</v>
      </c>
      <c r="R57" s="25">
        <v>1997</v>
      </c>
      <c r="S57" s="25">
        <v>1279</v>
      </c>
      <c r="T57" s="25">
        <v>536</v>
      </c>
      <c r="U57" s="31"/>
      <c r="V57" s="31">
        <f>Inventory[[#This Row],[Bsmt]]-Inventory[[#This Row],[FnBsmt]]</f>
        <v>0</v>
      </c>
      <c r="W57" s="31"/>
      <c r="X57" s="27"/>
      <c r="Y57" s="27">
        <f>Inventory[[#This Row],[MainFn]]+Inventory[[#This Row],[UpprFn]]+Inventory[[#This Row],[FnBsmt]]+Inventory[[#This Row],[AddFn]]</f>
        <v>1815</v>
      </c>
      <c r="Z57" s="27">
        <v>2000</v>
      </c>
      <c r="AA57" s="25">
        <v>10</v>
      </c>
      <c r="AB57" s="32">
        <v>560</v>
      </c>
      <c r="AC57" s="31"/>
      <c r="AD57" s="25">
        <v>86</v>
      </c>
      <c r="AE57" s="27"/>
      <c r="AF57" s="27"/>
      <c r="AG57" s="27"/>
      <c r="AH57" s="27"/>
      <c r="AI57" s="25">
        <v>392276</v>
      </c>
      <c r="AJ57" s="25">
        <v>345203</v>
      </c>
      <c r="AK57" s="25">
        <v>0</v>
      </c>
      <c r="AL57" s="25">
        <v>404400</v>
      </c>
      <c r="AM57" s="25">
        <v>43200</v>
      </c>
      <c r="AN57" s="25">
        <v>361200</v>
      </c>
      <c r="AO57" s="25">
        <v>0</v>
      </c>
      <c r="AP57" s="25">
        <f>Lookups!$B$56*0</f>
        <v>0</v>
      </c>
      <c r="AQ57" s="25">
        <f>Lookups!$B$56*1</f>
        <v>89850.625589999996</v>
      </c>
      <c r="AR57" s="25">
        <f>Lookups!$B$57*Inventory[[#This Row],[LnAcres]]</f>
        <v>-69870.439211769743</v>
      </c>
      <c r="AS57" s="25">
        <f>VLOOKUP(Inventory[[#This Row],[Qlty]],Lookups!$A$62:$E$75,2,FALSE)</f>
        <v>44121.038090000002</v>
      </c>
      <c r="AT57" s="25">
        <f>VLOOKUP(Inventory[[#This Row],[Cnd]],Lookups!$A$76:$E$84,2,FALSE)</f>
        <v>197752.34721000001</v>
      </c>
      <c r="AU57" s="25">
        <f>Inventory[[#This Row],[EffAge]]*Lookups!$B$85</f>
        <v>-6022.2312135000002</v>
      </c>
      <c r="AV57" s="25">
        <f>Inventory[[#This Row],[MainFn]]*Lookups!$B$86</f>
        <v>63193.688772683003</v>
      </c>
      <c r="AW57" s="25">
        <f>Inventory[[#This Row],[UpprFn]]*Lookups!$B$87</f>
        <v>24005.522653495998</v>
      </c>
      <c r="AX57" s="25">
        <f>Inventory[[#This Row],[AddFn]]*Lookups!$B$88</f>
        <v>0</v>
      </c>
      <c r="AY57" s="25">
        <f>Inventory[[#This Row],[Bsmt]]*Lookups!$B$89</f>
        <v>0</v>
      </c>
      <c r="AZ57" s="25">
        <f>Inventory[[#This Row],[Fixtures]]*Lookups!$B$90</f>
        <v>37920.221052000001</v>
      </c>
      <c r="BA57" s="25">
        <f>Inventory[[#This Row],[WdDeck]]*Lookups!$B$91</f>
        <v>2863.4143137360002</v>
      </c>
      <c r="BB57" s="25">
        <f>ROUND(Inventory[[#This Row],[25Det]],-2)</f>
        <v>0</v>
      </c>
      <c r="BC57" s="25">
        <f>ROUND(SUM(Inventory[[#This Row],[Mdl Qlty]:[Mdl WdDeck]])+Inventory[[#This Row],[Mdl Res Intercept]],-2)</f>
        <v>363800</v>
      </c>
      <c r="BD57" s="25">
        <f>ROUND(Inventory[[#This Row],[Mdl Land Intercept]]+Inventory[[#This Row],[Mdl LnAcres]],-2)</f>
        <v>20000</v>
      </c>
      <c r="BE57" s="25">
        <f>Inventory[[#This Row],[Unadj Res Value]]+Inventory[[#This Row],[Unadj Det Value]]+Inventory[[#This Row],[Unadj Land Value]]</f>
        <v>383800</v>
      </c>
      <c r="BF57" s="36">
        <f>(Inventory[[#This Row],[Unadj Total Value]]-Inventory[[#This Row],[24Final]])/Inventory[[#This Row],[24Final]]</f>
        <v>-5.0939663699307615E-2</v>
      </c>
      <c r="BG57" s="25">
        <f>VLOOKUP(Inventory[[#This Row],[Nbhd]],Lookups!$Q$2:$T$4,4,FALSE)</f>
        <v>0.99970000000000003</v>
      </c>
      <c r="BH57" s="25">
        <f>VLOOKUP(Inventory[[#This Row],[Qlty]],Lookups!$O$7:$R$21,4,FALSE)</f>
        <v>0.98050000000000004</v>
      </c>
      <c r="BI57" s="25">
        <f>VLOOKUP(Inventory[[#This Row],[Cnd]],Lookups!$T$7:$W$16,4,FALSE)</f>
        <v>0.99650000000000005</v>
      </c>
      <c r="BJ57" s="25">
        <f>VLOOKUP(Inventory[[#This Row],[LivArea Range]],Lookups!$T$25:$W$37,4,FALSE)</f>
        <v>1.0093000000000001</v>
      </c>
      <c r="BK57" s="25">
        <f>VLOOKUP(Inventory[[#This Row],[Decade]],Lookups!$O$25:$R$42,4,FALSE)</f>
        <v>0.97319999999999995</v>
      </c>
      <c r="BL57" s="25">
        <f>Inventory[[#This Row],[Nbhd Adj]]*0.95</f>
        <v>0.94971499999999998</v>
      </c>
      <c r="BM57" s="25">
        <f>Inventory[[#This Row],[Nbhd Adj]]*Inventory[[#This Row],[Quality Adj]]*Inventory[[#This Row],[Condition Adj]]*Inventory[[#This Row],[Living Area Adj]]*Inventory[[#This Row],[Decade Adj]]*0.95</f>
        <v>0.91146620765877828</v>
      </c>
      <c r="BN57" s="25">
        <f>ROUND(SUM(Inventory[[#This Row],[Mdl Qlty]:[Mdl WdDeck]])+Inventory[[#This Row],[Mdl Res Intercept]]*Inventory[[#This Row],[Res Adj ]],-2)</f>
        <v>363800</v>
      </c>
      <c r="BO57" s="25">
        <f>ROUND(Inventory[[#This Row],[25Det]]*Inventory[[#This Row],[Det/Nbhd Adj]],-2)</f>
        <v>0</v>
      </c>
      <c r="BP57" s="25">
        <f>Inventory[[#This Row],[Adjusted Res]]+Inventory[[#This Row],[Adj Det ]]</f>
        <v>363800</v>
      </c>
      <c r="BQ57" s="25">
        <f>ROUND((Inventory[[#This Row],[Mdl Land Intercept]]+Inventory[[#This Row],[Mdl LnAcres]])*Inventory[[#This Row],[Det/Nbhd Adj]],-2)</f>
        <v>19000</v>
      </c>
      <c r="BR57" s="25">
        <f>Inventory[[#This Row],[Adjusted Impr Total]]+Inventory[[#This Row],[Adjusted Land Total]]</f>
        <v>382800</v>
      </c>
      <c r="BS57" s="36">
        <f>IFERROR((Inventory[[#This Row],[Adjusted Impr Total]]-Inventory[[#This Row],[24Bldg]])/Inventory[[#This Row],[24Bldg]],0)</f>
        <v>7.1982281284606866E-3</v>
      </c>
      <c r="BT57" s="36">
        <f>(Inventory[[#This Row],[Adjusted Land Total]]-Inventory[[#This Row],[24Lnd]])/Inventory[[#This Row],[24Lnd]]</f>
        <v>-0.56018518518518523</v>
      </c>
      <c r="BU57" s="36">
        <f>(Inventory[[#This Row],[Adjusted Total]]-Inventory[[#This Row],[24Final]])/Inventory[[#This Row],[24Final]]</f>
        <v>-5.3412462908011868E-2</v>
      </c>
    </row>
    <row r="58" spans="1:73" x14ac:dyDescent="0.3">
      <c r="A58" s="25">
        <v>2025</v>
      </c>
      <c r="B58" s="26" t="s">
        <v>598</v>
      </c>
      <c r="C58" s="26">
        <f>LN(Inventory[[#This Row],[Acres]])</f>
        <v>-2.2072749131897207</v>
      </c>
      <c r="D58" s="25">
        <v>0.11</v>
      </c>
      <c r="E58" s="25">
        <v>4710</v>
      </c>
      <c r="F58" s="26" t="s">
        <v>537</v>
      </c>
      <c r="G58" s="26" t="s">
        <v>126</v>
      </c>
      <c r="H58" s="26" t="s">
        <v>349</v>
      </c>
      <c r="I58" s="26" t="s">
        <v>538</v>
      </c>
      <c r="J58" s="26" t="s">
        <v>586</v>
      </c>
      <c r="K58" s="26" t="s">
        <v>587</v>
      </c>
      <c r="L58" s="26" t="s">
        <v>148</v>
      </c>
      <c r="M58" s="26" t="s">
        <v>303</v>
      </c>
      <c r="N58" s="26">
        <v>30</v>
      </c>
      <c r="O58" s="26">
        <f>2024-Inventory[[#This Row],[YrBlt]]</f>
        <v>27</v>
      </c>
      <c r="P58" s="26">
        <f>2024-Inventory[[#This Row],[EffYr]]</f>
        <v>27</v>
      </c>
      <c r="Q58" s="25">
        <v>1997</v>
      </c>
      <c r="R58" s="25">
        <v>1997</v>
      </c>
      <c r="S58" s="25">
        <v>1279</v>
      </c>
      <c r="T58" s="32">
        <v>536</v>
      </c>
      <c r="U58" s="31"/>
      <c r="V58" s="31">
        <f>Inventory[[#This Row],[Bsmt]]-Inventory[[#This Row],[FnBsmt]]</f>
        <v>0</v>
      </c>
      <c r="W58" s="31"/>
      <c r="X58" s="27"/>
      <c r="Y58" s="27">
        <f>Inventory[[#This Row],[MainFn]]+Inventory[[#This Row],[UpprFn]]+Inventory[[#This Row],[FnBsmt]]+Inventory[[#This Row],[AddFn]]</f>
        <v>1815</v>
      </c>
      <c r="Z58" s="27">
        <v>2000</v>
      </c>
      <c r="AA58" s="25">
        <v>10</v>
      </c>
      <c r="AB58" s="32">
        <v>560</v>
      </c>
      <c r="AC58" s="31"/>
      <c r="AD58" s="25">
        <v>86</v>
      </c>
      <c r="AE58" s="27"/>
      <c r="AF58" s="27"/>
      <c r="AG58" s="27"/>
      <c r="AH58" s="27"/>
      <c r="AI58" s="25">
        <v>393213</v>
      </c>
      <c r="AJ58" s="25">
        <v>346027</v>
      </c>
      <c r="AK58" s="25">
        <v>0</v>
      </c>
      <c r="AL58" s="25">
        <v>405300</v>
      </c>
      <c r="AM58" s="25">
        <v>43200</v>
      </c>
      <c r="AN58" s="25">
        <v>362100</v>
      </c>
      <c r="AO58" s="25">
        <v>0</v>
      </c>
      <c r="AP58" s="25">
        <f>Lookups!$B$56*0</f>
        <v>0</v>
      </c>
      <c r="AQ58" s="25">
        <f>Lookups!$B$56*1</f>
        <v>89850.625589999996</v>
      </c>
      <c r="AR58" s="25">
        <f>Lookups!$B$57*Inventory[[#This Row],[LnAcres]]</f>
        <v>-69870.439211769743</v>
      </c>
      <c r="AS58" s="25">
        <f>VLOOKUP(Inventory[[#This Row],[Qlty]],Lookups!$A$62:$E$75,2,FALSE)</f>
        <v>44121.038090000002</v>
      </c>
      <c r="AT58" s="25">
        <f>VLOOKUP(Inventory[[#This Row],[Cnd]],Lookups!$A$76:$E$84,2,FALSE)</f>
        <v>197752.34721000001</v>
      </c>
      <c r="AU58" s="25">
        <f>Inventory[[#This Row],[EffAge]]*Lookups!$B$85</f>
        <v>-6022.2312135000002</v>
      </c>
      <c r="AV58" s="25">
        <f>Inventory[[#This Row],[MainFn]]*Lookups!$B$86</f>
        <v>63193.688772683003</v>
      </c>
      <c r="AW58" s="25">
        <f>Inventory[[#This Row],[UpprFn]]*Lookups!$B$87</f>
        <v>24005.522653495998</v>
      </c>
      <c r="AX58" s="25">
        <f>Inventory[[#This Row],[AddFn]]*Lookups!$B$88</f>
        <v>0</v>
      </c>
      <c r="AY58" s="25">
        <f>Inventory[[#This Row],[Bsmt]]*Lookups!$B$89</f>
        <v>0</v>
      </c>
      <c r="AZ58" s="25">
        <f>Inventory[[#This Row],[Fixtures]]*Lookups!$B$90</f>
        <v>37920.221052000001</v>
      </c>
      <c r="BA58" s="25">
        <f>Inventory[[#This Row],[WdDeck]]*Lookups!$B$91</f>
        <v>2863.4143137360002</v>
      </c>
      <c r="BB58" s="25">
        <f>ROUND(Inventory[[#This Row],[25Det]],-2)</f>
        <v>0</v>
      </c>
      <c r="BC58" s="25">
        <f>ROUND(SUM(Inventory[[#This Row],[Mdl Qlty]:[Mdl WdDeck]])+Inventory[[#This Row],[Mdl Res Intercept]],-2)</f>
        <v>363800</v>
      </c>
      <c r="BD58" s="25">
        <f>ROUND(Inventory[[#This Row],[Mdl Land Intercept]]+Inventory[[#This Row],[Mdl LnAcres]],-2)</f>
        <v>20000</v>
      </c>
      <c r="BE58" s="25">
        <f>Inventory[[#This Row],[Unadj Res Value]]+Inventory[[#This Row],[Unadj Det Value]]+Inventory[[#This Row],[Unadj Land Value]]</f>
        <v>383800</v>
      </c>
      <c r="BF58" s="36">
        <f>(Inventory[[#This Row],[Unadj Total Value]]-Inventory[[#This Row],[24Final]])/Inventory[[#This Row],[24Final]]</f>
        <v>-5.3047125585985691E-2</v>
      </c>
      <c r="BG58" s="25">
        <f>VLOOKUP(Inventory[[#This Row],[Nbhd]],Lookups!$Q$2:$T$4,4,FALSE)</f>
        <v>0.99970000000000003</v>
      </c>
      <c r="BH58" s="25">
        <f>VLOOKUP(Inventory[[#This Row],[Qlty]],Lookups!$O$7:$R$21,4,FALSE)</f>
        <v>0.98050000000000004</v>
      </c>
      <c r="BI58" s="25">
        <f>VLOOKUP(Inventory[[#This Row],[Cnd]],Lookups!$T$7:$W$16,4,FALSE)</f>
        <v>0.99650000000000005</v>
      </c>
      <c r="BJ58" s="25">
        <f>VLOOKUP(Inventory[[#This Row],[LivArea Range]],Lookups!$T$25:$W$37,4,FALSE)</f>
        <v>1.0093000000000001</v>
      </c>
      <c r="BK58" s="25">
        <f>VLOOKUP(Inventory[[#This Row],[Decade]],Lookups!$O$25:$R$42,4,FALSE)</f>
        <v>0.97319999999999995</v>
      </c>
      <c r="BL58" s="25">
        <f>Inventory[[#This Row],[Nbhd Adj]]*0.95</f>
        <v>0.94971499999999998</v>
      </c>
      <c r="BM58" s="25">
        <f>Inventory[[#This Row],[Nbhd Adj]]*Inventory[[#This Row],[Quality Adj]]*Inventory[[#This Row],[Condition Adj]]*Inventory[[#This Row],[Living Area Adj]]*Inventory[[#This Row],[Decade Adj]]*0.95</f>
        <v>0.91146620765877828</v>
      </c>
      <c r="BN58" s="25">
        <f>ROUND(SUM(Inventory[[#This Row],[Mdl Qlty]:[Mdl WdDeck]])+Inventory[[#This Row],[Mdl Res Intercept]]*Inventory[[#This Row],[Res Adj ]],-2)</f>
        <v>363800</v>
      </c>
      <c r="BO58" s="25">
        <f>ROUND(Inventory[[#This Row],[25Det]]*Inventory[[#This Row],[Det/Nbhd Adj]],-2)</f>
        <v>0</v>
      </c>
      <c r="BP58" s="25">
        <f>Inventory[[#This Row],[Adjusted Res]]+Inventory[[#This Row],[Adj Det ]]</f>
        <v>363800</v>
      </c>
      <c r="BQ58" s="25">
        <f>ROUND((Inventory[[#This Row],[Mdl Land Intercept]]+Inventory[[#This Row],[Mdl LnAcres]])*Inventory[[#This Row],[Det/Nbhd Adj]],-2)</f>
        <v>19000</v>
      </c>
      <c r="BR58" s="25">
        <f>Inventory[[#This Row],[Adjusted Impr Total]]+Inventory[[#This Row],[Adjusted Land Total]]</f>
        <v>382800</v>
      </c>
      <c r="BS58" s="36">
        <f>IFERROR((Inventory[[#This Row],[Adjusted Impr Total]]-Inventory[[#This Row],[24Bldg]])/Inventory[[#This Row],[24Bldg]],0)</f>
        <v>4.6948356807511738E-3</v>
      </c>
      <c r="BT58" s="36">
        <f>(Inventory[[#This Row],[Adjusted Land Total]]-Inventory[[#This Row],[24Lnd]])/Inventory[[#This Row],[24Lnd]]</f>
        <v>-0.56018518518518523</v>
      </c>
      <c r="BU58" s="36">
        <f>(Inventory[[#This Row],[Adjusted Total]]-Inventory[[#This Row],[24Final]])/Inventory[[#This Row],[24Final]]</f>
        <v>-5.5514433752775719E-2</v>
      </c>
    </row>
    <row r="59" spans="1:73" x14ac:dyDescent="0.3">
      <c r="A59" s="25">
        <v>2025</v>
      </c>
      <c r="B59" s="26" t="s">
        <v>595</v>
      </c>
      <c r="C59" s="26">
        <f>LN(Inventory[[#This Row],[Acres]])</f>
        <v>-2.2072749131897207</v>
      </c>
      <c r="D59" s="25">
        <v>0.11</v>
      </c>
      <c r="E59" s="25">
        <v>4704</v>
      </c>
      <c r="F59" s="26" t="s">
        <v>537</v>
      </c>
      <c r="G59" s="26" t="s">
        <v>126</v>
      </c>
      <c r="H59" s="26" t="s">
        <v>349</v>
      </c>
      <c r="I59" s="26" t="s">
        <v>538</v>
      </c>
      <c r="J59" s="26" t="s">
        <v>586</v>
      </c>
      <c r="K59" s="26" t="s">
        <v>587</v>
      </c>
      <c r="L59" s="26" t="s">
        <v>148</v>
      </c>
      <c r="M59" s="26" t="s">
        <v>323</v>
      </c>
      <c r="N59" s="26">
        <v>30</v>
      </c>
      <c r="O59" s="26">
        <f>2024-Inventory[[#This Row],[YrBlt]]</f>
        <v>27</v>
      </c>
      <c r="P59" s="26">
        <f>2024-Inventory[[#This Row],[EffYr]]</f>
        <v>27</v>
      </c>
      <c r="Q59" s="25">
        <v>1997</v>
      </c>
      <c r="R59" s="25">
        <v>1997</v>
      </c>
      <c r="S59" s="25">
        <v>1279</v>
      </c>
      <c r="T59" s="25">
        <v>522</v>
      </c>
      <c r="U59" s="31"/>
      <c r="V59" s="31">
        <f>Inventory[[#This Row],[Bsmt]]-Inventory[[#This Row],[FnBsmt]]</f>
        <v>0</v>
      </c>
      <c r="W59" s="31"/>
      <c r="X59" s="27"/>
      <c r="Y59" s="27">
        <f>Inventory[[#This Row],[MainFn]]+Inventory[[#This Row],[UpprFn]]+Inventory[[#This Row],[FnBsmt]]+Inventory[[#This Row],[AddFn]]</f>
        <v>1801</v>
      </c>
      <c r="Z59" s="27">
        <v>2000</v>
      </c>
      <c r="AA59" s="25">
        <v>12</v>
      </c>
      <c r="AB59" s="32">
        <v>560</v>
      </c>
      <c r="AC59" s="31"/>
      <c r="AD59" s="25">
        <v>100</v>
      </c>
      <c r="AE59" s="27"/>
      <c r="AF59" s="27"/>
      <c r="AG59" s="27"/>
      <c r="AH59" s="27"/>
      <c r="AI59" s="25">
        <v>397085</v>
      </c>
      <c r="AJ59" s="25">
        <v>345464</v>
      </c>
      <c r="AK59" s="25">
        <v>0</v>
      </c>
      <c r="AL59" s="25">
        <v>398600</v>
      </c>
      <c r="AM59" s="25">
        <v>43200</v>
      </c>
      <c r="AN59" s="25">
        <v>355400</v>
      </c>
      <c r="AO59" s="25">
        <v>0</v>
      </c>
      <c r="AP59" s="25">
        <f>Lookups!$B$56*0</f>
        <v>0</v>
      </c>
      <c r="AQ59" s="25">
        <f>Lookups!$B$56*1</f>
        <v>89850.625589999996</v>
      </c>
      <c r="AR59" s="25">
        <f>Lookups!$B$57*Inventory[[#This Row],[LnAcres]]</f>
        <v>-69870.439211769743</v>
      </c>
      <c r="AS59" s="25">
        <f>VLOOKUP(Inventory[[#This Row],[Qlty]],Lookups!$A$62:$E$75,2,FALSE)</f>
        <v>44121.038090000002</v>
      </c>
      <c r="AT59" s="25">
        <f>VLOOKUP(Inventory[[#This Row],[Cnd]],Lookups!$A$76:$E$84,2,FALSE)</f>
        <v>160472.20319</v>
      </c>
      <c r="AU59" s="25">
        <f>Inventory[[#This Row],[EffAge]]*Lookups!$B$85</f>
        <v>-6022.2312135000002</v>
      </c>
      <c r="AV59" s="25">
        <f>Inventory[[#This Row],[MainFn]]*Lookups!$B$86</f>
        <v>63193.688772683003</v>
      </c>
      <c r="AW59" s="25">
        <f>Inventory[[#This Row],[UpprFn]]*Lookups!$B$87</f>
        <v>23378.512733441999</v>
      </c>
      <c r="AX59" s="25">
        <f>Inventory[[#This Row],[AddFn]]*Lookups!$B$88</f>
        <v>0</v>
      </c>
      <c r="AY59" s="25">
        <f>Inventory[[#This Row],[Bsmt]]*Lookups!$B$89</f>
        <v>0</v>
      </c>
      <c r="AZ59" s="25">
        <f>Inventory[[#This Row],[Fixtures]]*Lookups!$B$90</f>
        <v>45504.265262400004</v>
      </c>
      <c r="BA59" s="25">
        <f>Inventory[[#This Row],[WdDeck]]*Lookups!$B$91</f>
        <v>3329.5515276000006</v>
      </c>
      <c r="BB59" s="25">
        <f>ROUND(Inventory[[#This Row],[25Det]],-2)</f>
        <v>0</v>
      </c>
      <c r="BC59" s="25">
        <f>ROUND(SUM(Inventory[[#This Row],[Mdl Qlty]:[Mdl WdDeck]])+Inventory[[#This Row],[Mdl Res Intercept]],-2)</f>
        <v>334000</v>
      </c>
      <c r="BD59" s="25">
        <f>ROUND(Inventory[[#This Row],[Mdl Land Intercept]]+Inventory[[#This Row],[Mdl LnAcres]],-2)</f>
        <v>20000</v>
      </c>
      <c r="BE59" s="25">
        <f>Inventory[[#This Row],[Unadj Res Value]]+Inventory[[#This Row],[Unadj Det Value]]+Inventory[[#This Row],[Unadj Land Value]]</f>
        <v>354000</v>
      </c>
      <c r="BF59" s="36">
        <f>(Inventory[[#This Row],[Unadj Total Value]]-Inventory[[#This Row],[24Final]])/Inventory[[#This Row],[24Final]]</f>
        <v>-0.11189162067235324</v>
      </c>
      <c r="BG59" s="25">
        <f>VLOOKUP(Inventory[[#This Row],[Nbhd]],Lookups!$Q$2:$T$4,4,FALSE)</f>
        <v>0.99970000000000003</v>
      </c>
      <c r="BH59" s="25">
        <f>VLOOKUP(Inventory[[#This Row],[Qlty]],Lookups!$O$7:$R$21,4,FALSE)</f>
        <v>0.98050000000000004</v>
      </c>
      <c r="BI59" s="25">
        <f>VLOOKUP(Inventory[[#This Row],[Cnd]],Lookups!$T$7:$W$16,4,FALSE)</f>
        <v>0.99729999999999996</v>
      </c>
      <c r="BJ59" s="25">
        <f>VLOOKUP(Inventory[[#This Row],[LivArea Range]],Lookups!$T$25:$W$37,4,FALSE)</f>
        <v>1.0093000000000001</v>
      </c>
      <c r="BK59" s="25">
        <f>VLOOKUP(Inventory[[#This Row],[Decade]],Lookups!$O$25:$R$42,4,FALSE)</f>
        <v>0.97319999999999995</v>
      </c>
      <c r="BL59" s="25">
        <f>Inventory[[#This Row],[Nbhd Adj]]*0.95</f>
        <v>0.94971499999999998</v>
      </c>
      <c r="BM59" s="25">
        <f>Inventory[[#This Row],[Nbhd Adj]]*Inventory[[#This Row],[Quality Adj]]*Inventory[[#This Row],[Condition Adj]]*Inventory[[#This Row],[Living Area Adj]]*Inventory[[#This Row],[Decade Adj]]*0.95</f>
        <v>0.91219794169402857</v>
      </c>
      <c r="BN59" s="25">
        <f>ROUND(SUM(Inventory[[#This Row],[Mdl Qlty]:[Mdl WdDeck]])+Inventory[[#This Row],[Mdl Res Intercept]]*Inventory[[#This Row],[Res Adj ]],-2)</f>
        <v>334000</v>
      </c>
      <c r="BO59" s="25">
        <f>ROUND(Inventory[[#This Row],[25Det]]*Inventory[[#This Row],[Det/Nbhd Adj]],-2)</f>
        <v>0</v>
      </c>
      <c r="BP59" s="25">
        <f>Inventory[[#This Row],[Adjusted Res]]+Inventory[[#This Row],[Adj Det ]]</f>
        <v>334000</v>
      </c>
      <c r="BQ59" s="25">
        <f>ROUND((Inventory[[#This Row],[Mdl Land Intercept]]+Inventory[[#This Row],[Mdl LnAcres]])*Inventory[[#This Row],[Det/Nbhd Adj]],-2)</f>
        <v>19000</v>
      </c>
      <c r="BR59" s="25">
        <f>Inventory[[#This Row],[Adjusted Impr Total]]+Inventory[[#This Row],[Adjusted Land Total]]</f>
        <v>353000</v>
      </c>
      <c r="BS59" s="36">
        <f>IFERROR((Inventory[[#This Row],[Adjusted Impr Total]]-Inventory[[#This Row],[24Bldg]])/Inventory[[#This Row],[24Bldg]],0)</f>
        <v>-6.0213843556555992E-2</v>
      </c>
      <c r="BT59" s="36">
        <f>(Inventory[[#This Row],[Adjusted Land Total]]-Inventory[[#This Row],[24Lnd]])/Inventory[[#This Row],[24Lnd]]</f>
        <v>-0.56018518518518523</v>
      </c>
      <c r="BU59" s="36">
        <f>(Inventory[[#This Row],[Adjusted Total]]-Inventory[[#This Row],[24Final]])/Inventory[[#This Row],[24Final]]</f>
        <v>-0.11440040140491721</v>
      </c>
    </row>
    <row r="60" spans="1:73" x14ac:dyDescent="0.3">
      <c r="A60" s="25">
        <v>2025</v>
      </c>
      <c r="B60" s="26" t="s">
        <v>1988</v>
      </c>
      <c r="C60" s="26">
        <f>LN(Inventory[[#This Row],[Acres]])</f>
        <v>-1.8971199848858813</v>
      </c>
      <c r="D60" s="25">
        <v>0.15</v>
      </c>
      <c r="E60" s="31"/>
      <c r="F60" s="26" t="s">
        <v>537</v>
      </c>
      <c r="G60" s="26" t="s">
        <v>126</v>
      </c>
      <c r="H60" s="26" t="s">
        <v>349</v>
      </c>
      <c r="I60" s="26" t="s">
        <v>538</v>
      </c>
      <c r="J60" s="26" t="s">
        <v>638</v>
      </c>
      <c r="K60" s="26" t="s">
        <v>241</v>
      </c>
      <c r="L60" s="26" t="s">
        <v>351</v>
      </c>
      <c r="M60" s="26" t="s">
        <v>303</v>
      </c>
      <c r="N60" s="26">
        <v>30</v>
      </c>
      <c r="O60" s="26">
        <f>2024-Inventory[[#This Row],[YrBlt]]</f>
        <v>28</v>
      </c>
      <c r="P60" s="26">
        <f>2024-Inventory[[#This Row],[EffYr]]</f>
        <v>28</v>
      </c>
      <c r="Q60" s="25">
        <v>1996</v>
      </c>
      <c r="R60" s="25">
        <v>1996</v>
      </c>
      <c r="S60" s="25">
        <v>1160</v>
      </c>
      <c r="T60" s="27"/>
      <c r="U60" s="31"/>
      <c r="V60" s="31">
        <f>Inventory[[#This Row],[Bsmt]]-Inventory[[#This Row],[FnBsmt]]</f>
        <v>0</v>
      </c>
      <c r="W60" s="31"/>
      <c r="X60" s="27"/>
      <c r="Y60" s="27">
        <f>Inventory[[#This Row],[MainFn]]+Inventory[[#This Row],[UpprFn]]+Inventory[[#This Row],[FnBsmt]]+Inventory[[#This Row],[AddFn]]</f>
        <v>1160</v>
      </c>
      <c r="Z60" s="27">
        <v>1500</v>
      </c>
      <c r="AA60" s="25">
        <v>5</v>
      </c>
      <c r="AB60" s="27"/>
      <c r="AC60" s="31"/>
      <c r="AD60" s="25">
        <v>1873</v>
      </c>
      <c r="AE60" s="27"/>
      <c r="AF60" s="27"/>
      <c r="AG60" s="27"/>
      <c r="AH60" s="27"/>
      <c r="AI60" s="25">
        <v>235974</v>
      </c>
      <c r="AJ60" s="25">
        <v>207657</v>
      </c>
      <c r="AK60" s="25">
        <v>4167</v>
      </c>
      <c r="AL60" s="25">
        <v>294700</v>
      </c>
      <c r="AM60" s="25">
        <v>48400</v>
      </c>
      <c r="AN60" s="25">
        <v>246300</v>
      </c>
      <c r="AO60" s="25">
        <v>0</v>
      </c>
      <c r="AP60" s="25">
        <f>Lookups!$B$56*0</f>
        <v>0</v>
      </c>
      <c r="AQ60" s="25">
        <f>Lookups!$B$56*1</f>
        <v>89850.625589999996</v>
      </c>
      <c r="AR60" s="25">
        <f>Lookups!$B$57*Inventory[[#This Row],[LnAcres]]</f>
        <v>-60052.604136134301</v>
      </c>
      <c r="AS60" s="25">
        <f>VLOOKUP(Inventory[[#This Row],[Qlty]],Lookups!$A$62:$E$75,2,FALSE)</f>
        <v>21557.329055999999</v>
      </c>
      <c r="AT60" s="25">
        <f>VLOOKUP(Inventory[[#This Row],[Cnd]],Lookups!$A$76:$E$84,2,FALSE)</f>
        <v>197752.34721000001</v>
      </c>
      <c r="AU60" s="25">
        <f>Inventory[[#This Row],[EffAge]]*Lookups!$B$85</f>
        <v>-6245.2768139999998</v>
      </c>
      <c r="AV60" s="25">
        <f>Inventory[[#This Row],[MainFn]]*Lookups!$B$86</f>
        <v>57314.057057320002</v>
      </c>
      <c r="AW60" s="25">
        <f>Inventory[[#This Row],[UpprFn]]*Lookups!$B$87</f>
        <v>0</v>
      </c>
      <c r="AX60" s="25">
        <f>Inventory[[#This Row],[AddFn]]*Lookups!$B$88</f>
        <v>0</v>
      </c>
      <c r="AY60" s="25">
        <f>Inventory[[#This Row],[Bsmt]]*Lookups!$B$89</f>
        <v>0</v>
      </c>
      <c r="AZ60" s="25">
        <f>Inventory[[#This Row],[Fixtures]]*Lookups!$B$90</f>
        <v>18960.110526</v>
      </c>
      <c r="BA60" s="25">
        <f>Inventory[[#This Row],[WdDeck]]*Lookups!$B$91</f>
        <v>62362.500111948008</v>
      </c>
      <c r="BB60" s="25">
        <f>ROUND(Inventory[[#This Row],[25Det]],-2)</f>
        <v>4200</v>
      </c>
      <c r="BC60" s="25">
        <f>ROUND(SUM(Inventory[[#This Row],[Mdl Qlty]:[Mdl WdDeck]])+Inventory[[#This Row],[Mdl Res Intercept]],-2)</f>
        <v>351700</v>
      </c>
      <c r="BD60" s="25">
        <f>ROUND(Inventory[[#This Row],[Mdl Land Intercept]]+Inventory[[#This Row],[Mdl LnAcres]],-2)</f>
        <v>29800</v>
      </c>
      <c r="BE60" s="25">
        <f>Inventory[[#This Row],[Unadj Res Value]]+Inventory[[#This Row],[Unadj Det Value]]+Inventory[[#This Row],[Unadj Land Value]]</f>
        <v>385700</v>
      </c>
      <c r="BF60" s="36">
        <f>(Inventory[[#This Row],[Unadj Total Value]]-Inventory[[#This Row],[24Final]])/Inventory[[#This Row],[24Final]]</f>
        <v>0.30878859857482183</v>
      </c>
      <c r="BG60" s="25">
        <f>VLOOKUP(Inventory[[#This Row],[Nbhd]],Lookups!$Q$2:$T$4,4,FALSE)</f>
        <v>0.99970000000000003</v>
      </c>
      <c r="BH60" s="25">
        <f>VLOOKUP(Inventory[[#This Row],[Qlty]],Lookups!$O$7:$R$21,4,FALSE)</f>
        <v>1.0067999999999999</v>
      </c>
      <c r="BI60" s="25">
        <f>VLOOKUP(Inventory[[#This Row],[Cnd]],Lookups!$T$7:$W$16,4,FALSE)</f>
        <v>0.99650000000000005</v>
      </c>
      <c r="BJ60" s="25">
        <f>VLOOKUP(Inventory[[#This Row],[LivArea Range]],Lookups!$T$25:$W$37,4,FALSE)</f>
        <v>1.0157</v>
      </c>
      <c r="BK60" s="25">
        <f>VLOOKUP(Inventory[[#This Row],[Decade]],Lookups!$O$25:$R$42,4,FALSE)</f>
        <v>0.97319999999999995</v>
      </c>
      <c r="BL60" s="25">
        <f>Inventory[[#This Row],[Nbhd Adj]]*0.95</f>
        <v>0.94971499999999998</v>
      </c>
      <c r="BM60" s="25">
        <f>Inventory[[#This Row],[Nbhd Adj]]*Inventory[[#This Row],[Quality Adj]]*Inventory[[#This Row],[Condition Adj]]*Inventory[[#This Row],[Living Area Adj]]*Inventory[[#This Row],[Decade Adj]]*0.95</f>
        <v>0.94184917135851298</v>
      </c>
      <c r="BN60" s="25">
        <f>ROUND(SUM(Inventory[[#This Row],[Mdl Qlty]:[Mdl WdDeck]])+Inventory[[#This Row],[Mdl Res Intercept]]*Inventory[[#This Row],[Res Adj ]],-2)</f>
        <v>351700</v>
      </c>
      <c r="BO60" s="25">
        <f>ROUND(Inventory[[#This Row],[25Det]]*Inventory[[#This Row],[Det/Nbhd Adj]],-2)</f>
        <v>4000</v>
      </c>
      <c r="BP60" s="25">
        <f>Inventory[[#This Row],[Adjusted Res]]+Inventory[[#This Row],[Adj Det ]]</f>
        <v>355700</v>
      </c>
      <c r="BQ60" s="25">
        <f>ROUND((Inventory[[#This Row],[Mdl Land Intercept]]+Inventory[[#This Row],[Mdl LnAcres]])*Inventory[[#This Row],[Det/Nbhd Adj]],-2)</f>
        <v>28300</v>
      </c>
      <c r="BR60" s="25">
        <f>Inventory[[#This Row],[Adjusted Impr Total]]+Inventory[[#This Row],[Adjusted Land Total]]</f>
        <v>384000</v>
      </c>
      <c r="BS60" s="36">
        <f>IFERROR((Inventory[[#This Row],[Adjusted Impr Total]]-Inventory[[#This Row],[24Bldg]])/Inventory[[#This Row],[24Bldg]],0)</f>
        <v>0.44417377182298012</v>
      </c>
      <c r="BT60" s="36">
        <f>(Inventory[[#This Row],[Adjusted Land Total]]-Inventory[[#This Row],[24Lnd]])/Inventory[[#This Row],[24Lnd]]</f>
        <v>-0.41528925619834711</v>
      </c>
      <c r="BU60" s="36">
        <f>(Inventory[[#This Row],[Adjusted Total]]-Inventory[[#This Row],[24Final]])/Inventory[[#This Row],[24Final]]</f>
        <v>0.30302002035968784</v>
      </c>
    </row>
    <row r="61" spans="1:73" x14ac:dyDescent="0.3">
      <c r="A61" s="25">
        <v>2025</v>
      </c>
      <c r="B61" s="26" t="s">
        <v>2772</v>
      </c>
      <c r="C61" s="26">
        <f>LN(Inventory[[#This Row],[Acres]])</f>
        <v>-2.3025850929940455</v>
      </c>
      <c r="D61" s="25">
        <v>0.1</v>
      </c>
      <c r="E61" s="31"/>
      <c r="F61" s="26" t="s">
        <v>537</v>
      </c>
      <c r="G61" s="26" t="s">
        <v>126</v>
      </c>
      <c r="H61" s="26" t="s">
        <v>349</v>
      </c>
      <c r="I61" s="26" t="s">
        <v>538</v>
      </c>
      <c r="J61" s="26" t="s">
        <v>539</v>
      </c>
      <c r="K61" s="26" t="s">
        <v>173</v>
      </c>
      <c r="L61" s="26" t="s">
        <v>148</v>
      </c>
      <c r="M61" s="26" t="s">
        <v>352</v>
      </c>
      <c r="N61" s="26">
        <v>30</v>
      </c>
      <c r="O61" s="26">
        <f>2024-Inventory[[#This Row],[YrBlt]]</f>
        <v>28</v>
      </c>
      <c r="P61" s="26">
        <f>2024-Inventory[[#This Row],[EffYr]]</f>
        <v>28</v>
      </c>
      <c r="Q61" s="25">
        <v>1996</v>
      </c>
      <c r="R61" s="25">
        <v>1996</v>
      </c>
      <c r="S61" s="25">
        <v>752</v>
      </c>
      <c r="T61" s="32">
        <v>932</v>
      </c>
      <c r="U61" s="31"/>
      <c r="V61" s="31">
        <f>Inventory[[#This Row],[Bsmt]]-Inventory[[#This Row],[FnBsmt]]</f>
        <v>0</v>
      </c>
      <c r="W61" s="31"/>
      <c r="X61" s="27"/>
      <c r="Y61" s="27">
        <f>Inventory[[#This Row],[MainFn]]+Inventory[[#This Row],[UpprFn]]+Inventory[[#This Row],[FnBsmt]]+Inventory[[#This Row],[AddFn]]</f>
        <v>1684</v>
      </c>
      <c r="Z61" s="27">
        <v>2000</v>
      </c>
      <c r="AA61" s="25">
        <v>10</v>
      </c>
      <c r="AB61" s="27"/>
      <c r="AC61" s="25">
        <v>432</v>
      </c>
      <c r="AD61" s="25">
        <v>80</v>
      </c>
      <c r="AE61" s="27"/>
      <c r="AF61" s="27"/>
      <c r="AG61" s="27"/>
      <c r="AH61" s="27"/>
      <c r="AI61" s="25">
        <v>339383</v>
      </c>
      <c r="AJ61" s="25">
        <v>298657</v>
      </c>
      <c r="AK61" s="25">
        <v>0</v>
      </c>
      <c r="AL61" s="25">
        <v>369900</v>
      </c>
      <c r="AM61" s="25">
        <v>34200</v>
      </c>
      <c r="AN61" s="25">
        <v>335700</v>
      </c>
      <c r="AO61" s="25">
        <v>0</v>
      </c>
      <c r="AP61" s="25">
        <f>Lookups!$B$56*0</f>
        <v>0</v>
      </c>
      <c r="AQ61" s="25">
        <f>Lookups!$B$56*1</f>
        <v>89850.625589999996</v>
      </c>
      <c r="AR61" s="25">
        <f>Lookups!$B$57*Inventory[[#This Row],[LnAcres]]</f>
        <v>-72887.446329681261</v>
      </c>
      <c r="AS61" s="25">
        <f>VLOOKUP(Inventory[[#This Row],[Qlty]],Lookups!$A$62:$E$75,2,FALSE)</f>
        <v>44121.038090000002</v>
      </c>
      <c r="AT61" s="25">
        <f>VLOOKUP(Inventory[[#This Row],[Cnd]],Lookups!$A$76:$E$84,2,FALSE)</f>
        <v>284810.60806</v>
      </c>
      <c r="AU61" s="25">
        <f>Inventory[[#This Row],[EffAge]]*Lookups!$B$85</f>
        <v>-6245.2768139999998</v>
      </c>
      <c r="AV61" s="25">
        <f>Inventory[[#This Row],[MainFn]]*Lookups!$B$86</f>
        <v>37155.319747504</v>
      </c>
      <c r="AW61" s="25">
        <f>Inventory[[#This Row],[UpprFn]]*Lookups!$B$87</f>
        <v>41740.946106452</v>
      </c>
      <c r="AX61" s="25">
        <f>Inventory[[#This Row],[AddFn]]*Lookups!$B$88</f>
        <v>0</v>
      </c>
      <c r="AY61" s="25">
        <f>Inventory[[#This Row],[Bsmt]]*Lookups!$B$89</f>
        <v>0</v>
      </c>
      <c r="AZ61" s="25">
        <f>Inventory[[#This Row],[Fixtures]]*Lookups!$B$90</f>
        <v>37920.221052000001</v>
      </c>
      <c r="BA61" s="25">
        <f>Inventory[[#This Row],[WdDeck]]*Lookups!$B$91</f>
        <v>2663.6412220800003</v>
      </c>
      <c r="BB61" s="25">
        <f>ROUND(Inventory[[#This Row],[25Det]],-2)</f>
        <v>0</v>
      </c>
      <c r="BC61" s="25">
        <f>ROUND(SUM(Inventory[[#This Row],[Mdl Qlty]:[Mdl WdDeck]])+Inventory[[#This Row],[Mdl Res Intercept]],-2)</f>
        <v>442200</v>
      </c>
      <c r="BD61" s="25">
        <f>ROUND(Inventory[[#This Row],[Mdl Land Intercept]]+Inventory[[#This Row],[Mdl LnAcres]],-2)</f>
        <v>17000</v>
      </c>
      <c r="BE61" s="25">
        <f>Inventory[[#This Row],[Unadj Res Value]]+Inventory[[#This Row],[Unadj Det Value]]+Inventory[[#This Row],[Unadj Land Value]]</f>
        <v>459200</v>
      </c>
      <c r="BF61" s="36">
        <f>(Inventory[[#This Row],[Unadj Total Value]]-Inventory[[#This Row],[24Final]])/Inventory[[#This Row],[24Final]]</f>
        <v>0.24141659908083266</v>
      </c>
      <c r="BG61" s="25">
        <f>VLOOKUP(Inventory[[#This Row],[Nbhd]],Lookups!$Q$2:$T$4,4,FALSE)</f>
        <v>0.99970000000000003</v>
      </c>
      <c r="BH61" s="25">
        <f>VLOOKUP(Inventory[[#This Row],[Qlty]],Lookups!$O$7:$R$21,4,FALSE)</f>
        <v>0.98050000000000004</v>
      </c>
      <c r="BI61" s="25">
        <f>VLOOKUP(Inventory[[#This Row],[Cnd]],Lookups!$T$7:$W$16,4,FALSE)</f>
        <v>1.0158</v>
      </c>
      <c r="BJ61" s="25">
        <f>VLOOKUP(Inventory[[#This Row],[LivArea Range]],Lookups!$T$25:$W$37,4,FALSE)</f>
        <v>1.0093000000000001</v>
      </c>
      <c r="BK61" s="25">
        <f>VLOOKUP(Inventory[[#This Row],[Decade]],Lookups!$O$25:$R$42,4,FALSE)</f>
        <v>0.97319999999999995</v>
      </c>
      <c r="BL61" s="25">
        <f>Inventory[[#This Row],[Nbhd Adj]]*0.95</f>
        <v>0.94971499999999998</v>
      </c>
      <c r="BM61" s="25">
        <f>Inventory[[#This Row],[Nbhd Adj]]*Inventory[[#This Row],[Quality Adj]]*Inventory[[#This Row],[Condition Adj]]*Inventory[[#This Row],[Living Area Adj]]*Inventory[[#This Row],[Decade Adj]]*0.95</f>
        <v>0.92911929125919412</v>
      </c>
      <c r="BN61" s="25">
        <f>ROUND(SUM(Inventory[[#This Row],[Mdl Qlty]:[Mdl WdDeck]])+Inventory[[#This Row],[Mdl Res Intercept]]*Inventory[[#This Row],[Res Adj ]],-2)</f>
        <v>442200</v>
      </c>
      <c r="BO61" s="25">
        <f>ROUND(Inventory[[#This Row],[25Det]]*Inventory[[#This Row],[Det/Nbhd Adj]],-2)</f>
        <v>0</v>
      </c>
      <c r="BP61" s="25">
        <f>Inventory[[#This Row],[Adjusted Res]]+Inventory[[#This Row],[Adj Det ]]</f>
        <v>442200</v>
      </c>
      <c r="BQ61" s="25">
        <f>ROUND((Inventory[[#This Row],[Mdl Land Intercept]]+Inventory[[#This Row],[Mdl LnAcres]])*Inventory[[#This Row],[Det/Nbhd Adj]],-2)</f>
        <v>16100</v>
      </c>
      <c r="BR61" s="25">
        <f>Inventory[[#This Row],[Adjusted Impr Total]]+Inventory[[#This Row],[Adjusted Land Total]]</f>
        <v>458300</v>
      </c>
      <c r="BS61" s="36">
        <f>IFERROR((Inventory[[#This Row],[Adjusted Impr Total]]-Inventory[[#This Row],[24Bldg]])/Inventory[[#This Row],[24Bldg]],0)</f>
        <v>0.31724754244861486</v>
      </c>
      <c r="BT61" s="36">
        <f>(Inventory[[#This Row],[Adjusted Land Total]]-Inventory[[#This Row],[24Lnd]])/Inventory[[#This Row],[24Lnd]]</f>
        <v>-0.5292397660818714</v>
      </c>
      <c r="BU61" s="36">
        <f>(Inventory[[#This Row],[Adjusted Total]]-Inventory[[#This Row],[24Final]])/Inventory[[#This Row],[24Final]]</f>
        <v>0.23898350905650176</v>
      </c>
    </row>
    <row r="62" spans="1:73" x14ac:dyDescent="0.3">
      <c r="A62" s="25">
        <v>2025</v>
      </c>
      <c r="B62" s="26" t="s">
        <v>2771</v>
      </c>
      <c r="C62" s="26">
        <f>LN(Inventory[[#This Row],[Acres]])</f>
        <v>-2.3025850929940455</v>
      </c>
      <c r="D62" s="25">
        <v>0.1</v>
      </c>
      <c r="E62" s="31"/>
      <c r="F62" s="26" t="s">
        <v>537</v>
      </c>
      <c r="G62" s="26" t="s">
        <v>126</v>
      </c>
      <c r="H62" s="26" t="s">
        <v>349</v>
      </c>
      <c r="I62" s="26" t="s">
        <v>538</v>
      </c>
      <c r="J62" s="26" t="s">
        <v>539</v>
      </c>
      <c r="K62" s="26" t="s">
        <v>173</v>
      </c>
      <c r="L62" s="26" t="s">
        <v>302</v>
      </c>
      <c r="M62" s="26" t="s">
        <v>352</v>
      </c>
      <c r="N62" s="26">
        <v>30</v>
      </c>
      <c r="O62" s="26">
        <f>2024-Inventory[[#This Row],[YrBlt]]</f>
        <v>28</v>
      </c>
      <c r="P62" s="26">
        <f>2024-Inventory[[#This Row],[EffYr]]</f>
        <v>28</v>
      </c>
      <c r="Q62" s="25">
        <v>1996</v>
      </c>
      <c r="R62" s="25">
        <v>1996</v>
      </c>
      <c r="S62" s="25">
        <v>1085</v>
      </c>
      <c r="T62" s="25">
        <v>1489</v>
      </c>
      <c r="U62" s="31"/>
      <c r="V62" s="31">
        <f>Inventory[[#This Row],[Bsmt]]-Inventory[[#This Row],[FnBsmt]]</f>
        <v>0</v>
      </c>
      <c r="W62" s="31"/>
      <c r="X62" s="27"/>
      <c r="Y62" s="27">
        <f>Inventory[[#This Row],[MainFn]]+Inventory[[#This Row],[UpprFn]]+Inventory[[#This Row],[FnBsmt]]+Inventory[[#This Row],[AddFn]]</f>
        <v>2574</v>
      </c>
      <c r="Z62" s="27">
        <v>3000</v>
      </c>
      <c r="AA62" s="25">
        <v>11</v>
      </c>
      <c r="AB62" s="27"/>
      <c r="AC62" s="25">
        <v>504</v>
      </c>
      <c r="AD62" s="31"/>
      <c r="AE62" s="27"/>
      <c r="AF62" s="27"/>
      <c r="AG62" s="27"/>
      <c r="AH62" s="27"/>
      <c r="AI62" s="25">
        <v>420568</v>
      </c>
      <c r="AJ62" s="25">
        <v>370100</v>
      </c>
      <c r="AK62" s="25">
        <v>0</v>
      </c>
      <c r="AL62" s="25">
        <v>405200</v>
      </c>
      <c r="AM62" s="25">
        <v>34200</v>
      </c>
      <c r="AN62" s="25">
        <v>371000</v>
      </c>
      <c r="AO62" s="25">
        <v>0</v>
      </c>
      <c r="AP62" s="25">
        <f>Lookups!$B$56*0</f>
        <v>0</v>
      </c>
      <c r="AQ62" s="25">
        <f>Lookups!$B$56*1</f>
        <v>89850.625589999996</v>
      </c>
      <c r="AR62" s="25">
        <f>Lookups!$B$57*Inventory[[#This Row],[LnAcres]]</f>
        <v>-72887.446329681261</v>
      </c>
      <c r="AS62" s="25">
        <f>VLOOKUP(Inventory[[#This Row],[Qlty]],Lookups!$A$62:$E$75,2,FALSE)</f>
        <v>29814.093161000001</v>
      </c>
      <c r="AT62" s="25">
        <f>VLOOKUP(Inventory[[#This Row],[Cnd]],Lookups!$A$76:$E$84,2,FALSE)</f>
        <v>284810.60806</v>
      </c>
      <c r="AU62" s="25">
        <f>Inventory[[#This Row],[EffAge]]*Lookups!$B$85</f>
        <v>-6245.2768139999998</v>
      </c>
      <c r="AV62" s="25">
        <f>Inventory[[#This Row],[MainFn]]*Lookups!$B$86</f>
        <v>53608.406816545001</v>
      </c>
      <c r="AW62" s="25">
        <f>Inventory[[#This Row],[UpprFn]]*Lookups!$B$87</f>
        <v>66686.983640028993</v>
      </c>
      <c r="AX62" s="25">
        <f>Inventory[[#This Row],[AddFn]]*Lookups!$B$88</f>
        <v>0</v>
      </c>
      <c r="AY62" s="25">
        <f>Inventory[[#This Row],[Bsmt]]*Lookups!$B$89</f>
        <v>0</v>
      </c>
      <c r="AZ62" s="25">
        <f>Inventory[[#This Row],[Fixtures]]*Lookups!$B$90</f>
        <v>41712.243157199999</v>
      </c>
      <c r="BA62" s="25">
        <f>Inventory[[#This Row],[WdDeck]]*Lookups!$B$91</f>
        <v>0</v>
      </c>
      <c r="BB62" s="25">
        <f>ROUND(Inventory[[#This Row],[25Det]],-2)</f>
        <v>0</v>
      </c>
      <c r="BC62" s="25">
        <f>ROUND(SUM(Inventory[[#This Row],[Mdl Qlty]:[Mdl WdDeck]])+Inventory[[#This Row],[Mdl Res Intercept]],-2)</f>
        <v>470400</v>
      </c>
      <c r="BD62" s="25">
        <f>ROUND(Inventory[[#This Row],[Mdl Land Intercept]]+Inventory[[#This Row],[Mdl LnAcres]],-2)</f>
        <v>17000</v>
      </c>
      <c r="BE62" s="25">
        <f>Inventory[[#This Row],[Unadj Res Value]]+Inventory[[#This Row],[Unadj Det Value]]+Inventory[[#This Row],[Unadj Land Value]]</f>
        <v>487400</v>
      </c>
      <c r="BF62" s="36">
        <f>(Inventory[[#This Row],[Unadj Total Value]]-Inventory[[#This Row],[24Final]])/Inventory[[#This Row],[24Final]]</f>
        <v>0.20286278381046396</v>
      </c>
      <c r="BG62" s="25">
        <f>VLOOKUP(Inventory[[#This Row],[Nbhd]],Lookups!$Q$2:$T$4,4,FALSE)</f>
        <v>0.99970000000000003</v>
      </c>
      <c r="BH62" s="25">
        <f>VLOOKUP(Inventory[[#This Row],[Qlty]],Lookups!$O$7:$R$21,4,FALSE)</f>
        <v>1.0088999999999999</v>
      </c>
      <c r="BI62" s="25">
        <f>VLOOKUP(Inventory[[#This Row],[Cnd]],Lookups!$T$7:$W$16,4,FALSE)</f>
        <v>1.0158</v>
      </c>
      <c r="BJ62" s="25">
        <f>VLOOKUP(Inventory[[#This Row],[LivArea Range]],Lookups!$T$25:$W$37,4,FALSE)</f>
        <v>0.96179999999999999</v>
      </c>
      <c r="BK62" s="25">
        <f>VLOOKUP(Inventory[[#This Row],[Decade]],Lookups!$O$25:$R$42,4,FALSE)</f>
        <v>0.97319999999999995</v>
      </c>
      <c r="BL62" s="25">
        <f>Inventory[[#This Row],[Nbhd Adj]]*0.95</f>
        <v>0.94971499999999998</v>
      </c>
      <c r="BM62" s="25">
        <f>Inventory[[#This Row],[Nbhd Adj]]*Inventory[[#This Row],[Quality Adj]]*Inventory[[#This Row],[Condition Adj]]*Inventory[[#This Row],[Living Area Adj]]*Inventory[[#This Row],[Decade Adj]]*0.95</f>
        <v>0.91103801858287259</v>
      </c>
      <c r="BN62" s="25">
        <f>ROUND(SUM(Inventory[[#This Row],[Mdl Qlty]:[Mdl WdDeck]])+Inventory[[#This Row],[Mdl Res Intercept]]*Inventory[[#This Row],[Res Adj ]],-2)</f>
        <v>470400</v>
      </c>
      <c r="BO62" s="25">
        <f>ROUND(Inventory[[#This Row],[25Det]]*Inventory[[#This Row],[Det/Nbhd Adj]],-2)</f>
        <v>0</v>
      </c>
      <c r="BP62" s="25">
        <f>Inventory[[#This Row],[Adjusted Res]]+Inventory[[#This Row],[Adj Det ]]</f>
        <v>470400</v>
      </c>
      <c r="BQ62" s="25">
        <f>ROUND((Inventory[[#This Row],[Mdl Land Intercept]]+Inventory[[#This Row],[Mdl LnAcres]])*Inventory[[#This Row],[Det/Nbhd Adj]],-2)</f>
        <v>16100</v>
      </c>
      <c r="BR62" s="25">
        <f>Inventory[[#This Row],[Adjusted Impr Total]]+Inventory[[#This Row],[Adjusted Land Total]]</f>
        <v>486500</v>
      </c>
      <c r="BS62" s="36">
        <f>IFERROR((Inventory[[#This Row],[Adjusted Impr Total]]-Inventory[[#This Row],[24Bldg]])/Inventory[[#This Row],[24Bldg]],0)</f>
        <v>0.26792452830188679</v>
      </c>
      <c r="BT62" s="36">
        <f>(Inventory[[#This Row],[Adjusted Land Total]]-Inventory[[#This Row],[24Lnd]])/Inventory[[#This Row],[24Lnd]]</f>
        <v>-0.5292397660818714</v>
      </c>
      <c r="BU62" s="36">
        <f>(Inventory[[#This Row],[Adjusted Total]]-Inventory[[#This Row],[24Final]])/Inventory[[#This Row],[24Final]]</f>
        <v>0.2006416584402764</v>
      </c>
    </row>
    <row r="63" spans="1:73" x14ac:dyDescent="0.3">
      <c r="A63" s="25">
        <v>2025</v>
      </c>
      <c r="B63" s="26" t="s">
        <v>991</v>
      </c>
      <c r="C63" s="26">
        <f>LN(Inventory[[#This Row],[Acres]])</f>
        <v>-3.5065578973199818</v>
      </c>
      <c r="D63" s="25">
        <v>0.03</v>
      </c>
      <c r="E63" s="25">
        <v>1325</v>
      </c>
      <c r="F63" s="26" t="s">
        <v>537</v>
      </c>
      <c r="G63" s="26" t="s">
        <v>28</v>
      </c>
      <c r="H63" s="26" t="s">
        <v>349</v>
      </c>
      <c r="I63" s="26" t="s">
        <v>538</v>
      </c>
      <c r="J63" s="26" t="s">
        <v>551</v>
      </c>
      <c r="K63" s="26" t="s">
        <v>381</v>
      </c>
      <c r="L63" s="26" t="s">
        <v>148</v>
      </c>
      <c r="M63" s="26" t="s">
        <v>323</v>
      </c>
      <c r="N63" s="26">
        <v>30</v>
      </c>
      <c r="O63" s="26">
        <f>2024-Inventory[[#This Row],[YrBlt]]</f>
        <v>28</v>
      </c>
      <c r="P63" s="26">
        <f>2024-Inventory[[#This Row],[EffYr]]</f>
        <v>28</v>
      </c>
      <c r="Q63" s="25">
        <v>1996</v>
      </c>
      <c r="R63" s="25">
        <v>1996</v>
      </c>
      <c r="S63" s="25">
        <v>1350</v>
      </c>
      <c r="T63" s="27"/>
      <c r="U63" s="25">
        <v>85</v>
      </c>
      <c r="V63" s="25">
        <f>Inventory[[#This Row],[Bsmt]]-Inventory[[#This Row],[FnBsmt]]</f>
        <v>0</v>
      </c>
      <c r="W63" s="25">
        <v>85</v>
      </c>
      <c r="X63" s="27"/>
      <c r="Y63" s="27">
        <f>Inventory[[#This Row],[MainFn]]+Inventory[[#This Row],[UpprFn]]+Inventory[[#This Row],[FnBsmt]]+Inventory[[#This Row],[AddFn]]</f>
        <v>1435</v>
      </c>
      <c r="Z63" s="27">
        <v>1500</v>
      </c>
      <c r="AA63" s="25">
        <v>8</v>
      </c>
      <c r="AB63" s="27"/>
      <c r="AC63" s="25">
        <v>440</v>
      </c>
      <c r="AD63" s="25">
        <v>116</v>
      </c>
      <c r="AE63" s="27"/>
      <c r="AF63" s="27"/>
      <c r="AG63" s="27"/>
      <c r="AH63" s="27"/>
      <c r="AI63" s="25">
        <v>309119</v>
      </c>
      <c r="AJ63" s="25">
        <v>268934</v>
      </c>
      <c r="AK63" s="25">
        <v>0</v>
      </c>
      <c r="AL63" s="25">
        <v>239800</v>
      </c>
      <c r="AM63" s="25">
        <v>36000</v>
      </c>
      <c r="AN63" s="25">
        <v>203800</v>
      </c>
      <c r="AO63" s="25">
        <v>0</v>
      </c>
      <c r="AP63" s="25">
        <f>Lookups!$B$56*0</f>
        <v>0</v>
      </c>
      <c r="AQ63" s="25">
        <f>Lookups!$B$56*1</f>
        <v>89850.625589999996</v>
      </c>
      <c r="AR63" s="25">
        <f>Lookups!$B$57*Inventory[[#This Row],[LnAcres]]</f>
        <v>-110998.74281323297</v>
      </c>
      <c r="AS63" s="25">
        <f>VLOOKUP(Inventory[[#This Row],[Qlty]],Lookups!$A$62:$E$75,2,FALSE)</f>
        <v>44121.038090000002</v>
      </c>
      <c r="AT63" s="25">
        <f>VLOOKUP(Inventory[[#This Row],[Cnd]],Lookups!$A$76:$E$84,2,FALSE)</f>
        <v>160472.20319</v>
      </c>
      <c r="AU63" s="25">
        <f>Inventory[[#This Row],[EffAge]]*Lookups!$B$85</f>
        <v>-6245.2768139999998</v>
      </c>
      <c r="AV63" s="25">
        <f>Inventory[[#This Row],[MainFn]]*Lookups!$B$86</f>
        <v>66701.704333950009</v>
      </c>
      <c r="AW63" s="25">
        <f>Inventory[[#This Row],[UpprFn]]*Lookups!$B$87</f>
        <v>0</v>
      </c>
      <c r="AX63" s="25">
        <f>Inventory[[#This Row],[AddFn]]*Lookups!$B$88</f>
        <v>0</v>
      </c>
      <c r="AY63" s="25">
        <f>Inventory[[#This Row],[Bsmt]]*Lookups!$B$89</f>
        <v>2471.9610959950001</v>
      </c>
      <c r="AZ63" s="25">
        <f>Inventory[[#This Row],[Fixtures]]*Lookups!$B$90</f>
        <v>30336.176841600001</v>
      </c>
      <c r="BA63" s="25">
        <f>Inventory[[#This Row],[WdDeck]]*Lookups!$B$91</f>
        <v>3862.2797720160006</v>
      </c>
      <c r="BB63" s="25">
        <f>ROUND(Inventory[[#This Row],[25Det]],-2)</f>
        <v>0</v>
      </c>
      <c r="BC63" s="25">
        <f>ROUND(SUM(Inventory[[#This Row],[Mdl Qlty]:[Mdl WdDeck]])+Inventory[[#This Row],[Mdl Res Intercept]],-2)</f>
        <v>301700</v>
      </c>
      <c r="BD63" s="25">
        <f>ROUND(Inventory[[#This Row],[Mdl Land Intercept]]+Inventory[[#This Row],[Mdl LnAcres]],-2)</f>
        <v>-21100</v>
      </c>
      <c r="BE63" s="25">
        <f>Inventory[[#This Row],[Unadj Res Value]]+Inventory[[#This Row],[Unadj Det Value]]+Inventory[[#This Row],[Unadj Land Value]]</f>
        <v>280600</v>
      </c>
      <c r="BF63" s="36">
        <f>(Inventory[[#This Row],[Unadj Total Value]]-Inventory[[#This Row],[24Final]])/Inventory[[#This Row],[24Final]]</f>
        <v>0.1701417848206839</v>
      </c>
      <c r="BG63" s="25">
        <f>VLOOKUP(Inventory[[#This Row],[Nbhd]],Lookups!$Q$2:$T$4,4,FALSE)</f>
        <v>0.99970000000000003</v>
      </c>
      <c r="BH63" s="25">
        <f>VLOOKUP(Inventory[[#This Row],[Qlty]],Lookups!$O$7:$R$21,4,FALSE)</f>
        <v>0.98050000000000004</v>
      </c>
      <c r="BI63" s="25">
        <f>VLOOKUP(Inventory[[#This Row],[Cnd]],Lookups!$T$7:$W$16,4,FALSE)</f>
        <v>0.99729999999999996</v>
      </c>
      <c r="BJ63" s="25">
        <f>VLOOKUP(Inventory[[#This Row],[LivArea Range]],Lookups!$T$25:$W$37,4,FALSE)</f>
        <v>1.0157</v>
      </c>
      <c r="BK63" s="25">
        <f>VLOOKUP(Inventory[[#This Row],[Decade]],Lookups!$O$25:$R$42,4,FALSE)</f>
        <v>0.97319999999999995</v>
      </c>
      <c r="BL63" s="25">
        <f>Inventory[[#This Row],[Nbhd Adj]]*0.95</f>
        <v>0.94971499999999998</v>
      </c>
      <c r="BM63" s="25">
        <f>Inventory[[#This Row],[Nbhd Adj]]*Inventory[[#This Row],[Quality Adj]]*Inventory[[#This Row],[Condition Adj]]*Inventory[[#This Row],[Living Area Adj]]*Inventory[[#This Row],[Decade Adj]]*0.95</f>
        <v>0.91798221478115993</v>
      </c>
      <c r="BN63" s="25">
        <f>ROUND(SUM(Inventory[[#This Row],[Mdl Qlty]:[Mdl WdDeck]])+Inventory[[#This Row],[Mdl Res Intercept]]*Inventory[[#This Row],[Res Adj ]],-2)</f>
        <v>301700</v>
      </c>
      <c r="BO63" s="25">
        <f>ROUND(Inventory[[#This Row],[25Det]]*Inventory[[#This Row],[Det/Nbhd Adj]],-2)</f>
        <v>0</v>
      </c>
      <c r="BP63" s="25">
        <f>Inventory[[#This Row],[Adjusted Res]]+Inventory[[#This Row],[Adj Det ]]</f>
        <v>301700</v>
      </c>
      <c r="BQ63" s="25">
        <f>ROUND((Inventory[[#This Row],[Mdl Land Intercept]]+Inventory[[#This Row],[Mdl LnAcres]])*Inventory[[#This Row],[Det/Nbhd Adj]],-2)</f>
        <v>-20100</v>
      </c>
      <c r="BR63" s="25">
        <f>Inventory[[#This Row],[Adjusted Impr Total]]+Inventory[[#This Row],[Adjusted Land Total]]</f>
        <v>281600</v>
      </c>
      <c r="BS63" s="36">
        <f>IFERROR((Inventory[[#This Row],[Adjusted Impr Total]]-Inventory[[#This Row],[24Bldg]])/Inventory[[#This Row],[24Bldg]],0)</f>
        <v>0.48037291462217863</v>
      </c>
      <c r="BT63" s="36">
        <f>(Inventory[[#This Row],[Adjusted Land Total]]-Inventory[[#This Row],[24Lnd]])/Inventory[[#This Row],[24Lnd]]</f>
        <v>-1.5583333333333333</v>
      </c>
      <c r="BU63" s="36">
        <f>(Inventory[[#This Row],[Adjusted Total]]-Inventory[[#This Row],[24Final]])/Inventory[[#This Row],[24Final]]</f>
        <v>0.1743119266055046</v>
      </c>
    </row>
    <row r="64" spans="1:73" x14ac:dyDescent="0.3">
      <c r="A64" s="25">
        <v>2025</v>
      </c>
      <c r="B64" s="26" t="s">
        <v>990</v>
      </c>
      <c r="C64" s="26">
        <f>LN(Inventory[[#This Row],[Acres]])</f>
        <v>-3.5065578973199818</v>
      </c>
      <c r="D64" s="25">
        <v>0.03</v>
      </c>
      <c r="E64" s="25">
        <v>1325</v>
      </c>
      <c r="F64" s="26" t="s">
        <v>537</v>
      </c>
      <c r="G64" s="26" t="s">
        <v>28</v>
      </c>
      <c r="H64" s="26" t="s">
        <v>349</v>
      </c>
      <c r="I64" s="26" t="s">
        <v>538</v>
      </c>
      <c r="J64" s="26" t="s">
        <v>551</v>
      </c>
      <c r="K64" s="26" t="s">
        <v>381</v>
      </c>
      <c r="L64" s="26" t="s">
        <v>148</v>
      </c>
      <c r="M64" s="26" t="s">
        <v>323</v>
      </c>
      <c r="N64" s="26">
        <v>30</v>
      </c>
      <c r="O64" s="26">
        <f>2024-Inventory[[#This Row],[YrBlt]]</f>
        <v>28</v>
      </c>
      <c r="P64" s="26">
        <f>2024-Inventory[[#This Row],[EffYr]]</f>
        <v>28</v>
      </c>
      <c r="Q64" s="25">
        <v>1996</v>
      </c>
      <c r="R64" s="25">
        <v>1996</v>
      </c>
      <c r="S64" s="25">
        <v>1350</v>
      </c>
      <c r="T64" s="31"/>
      <c r="U64" s="25">
        <v>85</v>
      </c>
      <c r="V64" s="25">
        <f>Inventory[[#This Row],[Bsmt]]-Inventory[[#This Row],[FnBsmt]]</f>
        <v>0</v>
      </c>
      <c r="W64" s="25">
        <v>85</v>
      </c>
      <c r="X64" s="27"/>
      <c r="Y64" s="27">
        <f>Inventory[[#This Row],[MainFn]]+Inventory[[#This Row],[UpprFn]]+Inventory[[#This Row],[FnBsmt]]+Inventory[[#This Row],[AddFn]]</f>
        <v>1435</v>
      </c>
      <c r="Z64" s="27">
        <v>1500</v>
      </c>
      <c r="AA64" s="25">
        <v>8</v>
      </c>
      <c r="AB64" s="27"/>
      <c r="AC64" s="25">
        <v>440</v>
      </c>
      <c r="AD64" s="25">
        <v>116</v>
      </c>
      <c r="AE64" s="27"/>
      <c r="AF64" s="27"/>
      <c r="AG64" s="27"/>
      <c r="AH64" s="27"/>
      <c r="AI64" s="25">
        <v>313439</v>
      </c>
      <c r="AJ64" s="25">
        <v>272692</v>
      </c>
      <c r="AK64" s="25">
        <v>0</v>
      </c>
      <c r="AL64" s="25">
        <v>243100</v>
      </c>
      <c r="AM64" s="25">
        <v>36500</v>
      </c>
      <c r="AN64" s="25">
        <v>206600</v>
      </c>
      <c r="AO64" s="25">
        <v>0</v>
      </c>
      <c r="AP64" s="25">
        <f>Lookups!$B$56*0</f>
        <v>0</v>
      </c>
      <c r="AQ64" s="25">
        <f>Lookups!$B$56*1</f>
        <v>89850.625589999996</v>
      </c>
      <c r="AR64" s="25">
        <f>Lookups!$B$57*Inventory[[#This Row],[LnAcres]]</f>
        <v>-110998.74281323297</v>
      </c>
      <c r="AS64" s="25">
        <f>VLOOKUP(Inventory[[#This Row],[Qlty]],Lookups!$A$62:$E$75,2,FALSE)</f>
        <v>44121.038090000002</v>
      </c>
      <c r="AT64" s="25">
        <f>VLOOKUP(Inventory[[#This Row],[Cnd]],Lookups!$A$76:$E$84,2,FALSE)</f>
        <v>160472.20319</v>
      </c>
      <c r="AU64" s="25">
        <f>Inventory[[#This Row],[EffAge]]*Lookups!$B$85</f>
        <v>-6245.2768139999998</v>
      </c>
      <c r="AV64" s="25">
        <f>Inventory[[#This Row],[MainFn]]*Lookups!$B$86</f>
        <v>66701.704333950009</v>
      </c>
      <c r="AW64" s="25">
        <f>Inventory[[#This Row],[UpprFn]]*Lookups!$B$87</f>
        <v>0</v>
      </c>
      <c r="AX64" s="25">
        <f>Inventory[[#This Row],[AddFn]]*Lookups!$B$88</f>
        <v>0</v>
      </c>
      <c r="AY64" s="25">
        <f>Inventory[[#This Row],[Bsmt]]*Lookups!$B$89</f>
        <v>2471.9610959950001</v>
      </c>
      <c r="AZ64" s="25">
        <f>Inventory[[#This Row],[Fixtures]]*Lookups!$B$90</f>
        <v>30336.176841600001</v>
      </c>
      <c r="BA64" s="25">
        <f>Inventory[[#This Row],[WdDeck]]*Lookups!$B$91</f>
        <v>3862.2797720160006</v>
      </c>
      <c r="BB64" s="25">
        <f>ROUND(Inventory[[#This Row],[25Det]],-2)</f>
        <v>0</v>
      </c>
      <c r="BC64" s="25">
        <f>ROUND(SUM(Inventory[[#This Row],[Mdl Qlty]:[Mdl WdDeck]])+Inventory[[#This Row],[Mdl Res Intercept]],-2)</f>
        <v>301700</v>
      </c>
      <c r="BD64" s="25">
        <f>ROUND(Inventory[[#This Row],[Mdl Land Intercept]]+Inventory[[#This Row],[Mdl LnAcres]],-2)</f>
        <v>-21100</v>
      </c>
      <c r="BE64" s="25">
        <f>Inventory[[#This Row],[Unadj Res Value]]+Inventory[[#This Row],[Unadj Det Value]]+Inventory[[#This Row],[Unadj Land Value]]</f>
        <v>280600</v>
      </c>
      <c r="BF64" s="36">
        <f>(Inventory[[#This Row],[Unadj Total Value]]-Inventory[[#This Row],[24Final]])/Inventory[[#This Row],[24Final]]</f>
        <v>0.15425750719868367</v>
      </c>
      <c r="BG64" s="25">
        <f>VLOOKUP(Inventory[[#This Row],[Nbhd]],Lookups!$Q$2:$T$4,4,FALSE)</f>
        <v>0.99970000000000003</v>
      </c>
      <c r="BH64" s="25">
        <f>VLOOKUP(Inventory[[#This Row],[Qlty]],Lookups!$O$7:$R$21,4,FALSE)</f>
        <v>0.98050000000000004</v>
      </c>
      <c r="BI64" s="25">
        <f>VLOOKUP(Inventory[[#This Row],[Cnd]],Lookups!$T$7:$W$16,4,FALSE)</f>
        <v>0.99729999999999996</v>
      </c>
      <c r="BJ64" s="25">
        <f>VLOOKUP(Inventory[[#This Row],[LivArea Range]],Lookups!$T$25:$W$37,4,FALSE)</f>
        <v>1.0157</v>
      </c>
      <c r="BK64" s="25">
        <f>VLOOKUP(Inventory[[#This Row],[Decade]],Lookups!$O$25:$R$42,4,FALSE)</f>
        <v>0.97319999999999995</v>
      </c>
      <c r="BL64" s="25">
        <f>Inventory[[#This Row],[Nbhd Adj]]*0.95</f>
        <v>0.94971499999999998</v>
      </c>
      <c r="BM64" s="25">
        <f>Inventory[[#This Row],[Nbhd Adj]]*Inventory[[#This Row],[Quality Adj]]*Inventory[[#This Row],[Condition Adj]]*Inventory[[#This Row],[Living Area Adj]]*Inventory[[#This Row],[Decade Adj]]*0.95</f>
        <v>0.91798221478115993</v>
      </c>
      <c r="BN64" s="25">
        <f>ROUND(SUM(Inventory[[#This Row],[Mdl Qlty]:[Mdl WdDeck]])+Inventory[[#This Row],[Mdl Res Intercept]]*Inventory[[#This Row],[Res Adj ]],-2)</f>
        <v>301700</v>
      </c>
      <c r="BO64" s="25">
        <f>ROUND(Inventory[[#This Row],[25Det]]*Inventory[[#This Row],[Det/Nbhd Adj]],-2)</f>
        <v>0</v>
      </c>
      <c r="BP64" s="25">
        <f>Inventory[[#This Row],[Adjusted Res]]+Inventory[[#This Row],[Adj Det ]]</f>
        <v>301700</v>
      </c>
      <c r="BQ64" s="25">
        <f>ROUND((Inventory[[#This Row],[Mdl Land Intercept]]+Inventory[[#This Row],[Mdl LnAcres]])*Inventory[[#This Row],[Det/Nbhd Adj]],-2)</f>
        <v>-20100</v>
      </c>
      <c r="BR64" s="25">
        <f>Inventory[[#This Row],[Adjusted Impr Total]]+Inventory[[#This Row],[Adjusted Land Total]]</f>
        <v>281600</v>
      </c>
      <c r="BS64" s="36">
        <f>IFERROR((Inventory[[#This Row],[Adjusted Impr Total]]-Inventory[[#This Row],[24Bldg]])/Inventory[[#This Row],[24Bldg]],0)</f>
        <v>0.46030977734753148</v>
      </c>
      <c r="BT64" s="36">
        <f>(Inventory[[#This Row],[Adjusted Land Total]]-Inventory[[#This Row],[24Lnd]])/Inventory[[#This Row],[24Lnd]]</f>
        <v>-1.5506849315068494</v>
      </c>
      <c r="BU64" s="36">
        <f>(Inventory[[#This Row],[Adjusted Total]]-Inventory[[#This Row],[24Final]])/Inventory[[#This Row],[24Final]]</f>
        <v>0.15837104072398189</v>
      </c>
    </row>
    <row r="65" spans="1:73" x14ac:dyDescent="0.3">
      <c r="A65" s="25">
        <v>2025</v>
      </c>
      <c r="B65" s="26" t="s">
        <v>728</v>
      </c>
      <c r="C65" s="26">
        <f>LN(Inventory[[#This Row],[Acres]])</f>
        <v>-3.5065578973199818</v>
      </c>
      <c r="D65" s="25">
        <v>0.03</v>
      </c>
      <c r="E65" s="25">
        <v>896</v>
      </c>
      <c r="F65" s="26" t="s">
        <v>537</v>
      </c>
      <c r="G65" s="26" t="s">
        <v>28</v>
      </c>
      <c r="H65" s="26" t="s">
        <v>349</v>
      </c>
      <c r="I65" s="26" t="s">
        <v>538</v>
      </c>
      <c r="J65" s="26" t="s">
        <v>551</v>
      </c>
      <c r="K65" s="26" t="s">
        <v>381</v>
      </c>
      <c r="L65" s="26" t="s">
        <v>148</v>
      </c>
      <c r="M65" s="26" t="s">
        <v>323</v>
      </c>
      <c r="N65" s="26">
        <v>30</v>
      </c>
      <c r="O65" s="26">
        <f>2024-Inventory[[#This Row],[YrBlt]]</f>
        <v>28</v>
      </c>
      <c r="P65" s="26">
        <f>2024-Inventory[[#This Row],[EffYr]]</f>
        <v>28</v>
      </c>
      <c r="Q65" s="25">
        <v>1996</v>
      </c>
      <c r="R65" s="25">
        <v>1996</v>
      </c>
      <c r="S65" s="25">
        <v>896</v>
      </c>
      <c r="T65" s="25">
        <v>896</v>
      </c>
      <c r="U65" s="25">
        <v>502</v>
      </c>
      <c r="V65" s="25">
        <f>Inventory[[#This Row],[Bsmt]]-Inventory[[#This Row],[FnBsmt]]</f>
        <v>0</v>
      </c>
      <c r="W65" s="25">
        <v>502</v>
      </c>
      <c r="X65" s="27"/>
      <c r="Y65" s="27">
        <f>Inventory[[#This Row],[MainFn]]+Inventory[[#This Row],[UpprFn]]+Inventory[[#This Row],[FnBsmt]]+Inventory[[#This Row],[AddFn]]</f>
        <v>2294</v>
      </c>
      <c r="Z65" s="27">
        <v>2500</v>
      </c>
      <c r="AA65" s="25">
        <v>14</v>
      </c>
      <c r="AB65" s="27"/>
      <c r="AC65" s="25">
        <v>570</v>
      </c>
      <c r="AD65" s="25">
        <v>400</v>
      </c>
      <c r="AE65" s="27"/>
      <c r="AF65" s="27"/>
      <c r="AG65" s="27"/>
      <c r="AH65" s="27"/>
      <c r="AI65" s="25">
        <v>475544</v>
      </c>
      <c r="AJ65" s="25">
        <v>413723</v>
      </c>
      <c r="AK65" s="25">
        <v>0</v>
      </c>
      <c r="AL65" s="25">
        <v>305600</v>
      </c>
      <c r="AM65" s="25">
        <v>45800</v>
      </c>
      <c r="AN65" s="25">
        <v>259800</v>
      </c>
      <c r="AO65" s="25">
        <v>0</v>
      </c>
      <c r="AP65" s="25">
        <f>Lookups!$B$56*0</f>
        <v>0</v>
      </c>
      <c r="AQ65" s="25">
        <f>Lookups!$B$56*1</f>
        <v>89850.625589999996</v>
      </c>
      <c r="AR65" s="25">
        <f>Lookups!$B$57*Inventory[[#This Row],[LnAcres]]</f>
        <v>-110998.74281323297</v>
      </c>
      <c r="AS65" s="25">
        <f>VLOOKUP(Inventory[[#This Row],[Qlty]],Lookups!$A$62:$E$75,2,FALSE)</f>
        <v>44121.038090000002</v>
      </c>
      <c r="AT65" s="25">
        <f>VLOOKUP(Inventory[[#This Row],[Cnd]],Lookups!$A$76:$E$84,2,FALSE)</f>
        <v>160472.20319</v>
      </c>
      <c r="AU65" s="25">
        <f>Inventory[[#This Row],[EffAge]]*Lookups!$B$85</f>
        <v>-6245.2768139999998</v>
      </c>
      <c r="AV65" s="25">
        <f>Inventory[[#This Row],[MainFn]]*Lookups!$B$86</f>
        <v>44270.168209791998</v>
      </c>
      <c r="AW65" s="25">
        <f>Inventory[[#This Row],[UpprFn]]*Lookups!$B$87</f>
        <v>40128.634883455998</v>
      </c>
      <c r="AX65" s="25">
        <f>Inventory[[#This Row],[AddFn]]*Lookups!$B$88</f>
        <v>0</v>
      </c>
      <c r="AY65" s="25">
        <f>Inventory[[#This Row],[Bsmt]]*Lookups!$B$89</f>
        <v>14599.111413994</v>
      </c>
      <c r="AZ65" s="25">
        <f>Inventory[[#This Row],[Fixtures]]*Lookups!$B$90</f>
        <v>53088.3094728</v>
      </c>
      <c r="BA65" s="25">
        <f>Inventory[[#This Row],[WdDeck]]*Lookups!$B$91</f>
        <v>13318.206110400002</v>
      </c>
      <c r="BB65" s="25">
        <f>ROUND(Inventory[[#This Row],[25Det]],-2)</f>
        <v>0</v>
      </c>
      <c r="BC65" s="25">
        <f>ROUND(SUM(Inventory[[#This Row],[Mdl Qlty]:[Mdl WdDeck]])+Inventory[[#This Row],[Mdl Res Intercept]],-2)</f>
        <v>363800</v>
      </c>
      <c r="BD65" s="25">
        <f>ROUND(Inventory[[#This Row],[Mdl Land Intercept]]+Inventory[[#This Row],[Mdl LnAcres]],-2)</f>
        <v>-21100</v>
      </c>
      <c r="BE65" s="25">
        <f>Inventory[[#This Row],[Unadj Res Value]]+Inventory[[#This Row],[Unadj Det Value]]+Inventory[[#This Row],[Unadj Land Value]]</f>
        <v>342700</v>
      </c>
      <c r="BF65" s="36">
        <f>(Inventory[[#This Row],[Unadj Total Value]]-Inventory[[#This Row],[24Final]])/Inventory[[#This Row],[24Final]]</f>
        <v>0.12140052356020943</v>
      </c>
      <c r="BG65" s="25">
        <f>VLOOKUP(Inventory[[#This Row],[Nbhd]],Lookups!$Q$2:$T$4,4,FALSE)</f>
        <v>0.99970000000000003</v>
      </c>
      <c r="BH65" s="25">
        <f>VLOOKUP(Inventory[[#This Row],[Qlty]],Lookups!$O$7:$R$21,4,FALSE)</f>
        <v>0.98050000000000004</v>
      </c>
      <c r="BI65" s="25">
        <f>VLOOKUP(Inventory[[#This Row],[Cnd]],Lookups!$T$7:$W$16,4,FALSE)</f>
        <v>0.99729999999999996</v>
      </c>
      <c r="BJ65" s="25">
        <f>VLOOKUP(Inventory[[#This Row],[LivArea Range]],Lookups!$T$25:$W$37,4,FALSE)</f>
        <v>0.98919999999999997</v>
      </c>
      <c r="BK65" s="25">
        <f>VLOOKUP(Inventory[[#This Row],[Decade]],Lookups!$O$25:$R$42,4,FALSE)</f>
        <v>0.97319999999999995</v>
      </c>
      <c r="BL65" s="25">
        <f>Inventory[[#This Row],[Nbhd Adj]]*0.95</f>
        <v>0.94971499999999998</v>
      </c>
      <c r="BM65" s="25">
        <f>Inventory[[#This Row],[Nbhd Adj]]*Inventory[[#This Row],[Quality Adj]]*Inventory[[#This Row],[Condition Adj]]*Inventory[[#This Row],[Living Area Adj]]*Inventory[[#This Row],[Decade Adj]]*0.95</f>
        <v>0.89403170902975626</v>
      </c>
      <c r="BN65" s="25">
        <f>ROUND(SUM(Inventory[[#This Row],[Mdl Qlty]:[Mdl WdDeck]])+Inventory[[#This Row],[Mdl Res Intercept]]*Inventory[[#This Row],[Res Adj ]],-2)</f>
        <v>363800</v>
      </c>
      <c r="BO65" s="25">
        <f>ROUND(Inventory[[#This Row],[25Det]]*Inventory[[#This Row],[Det/Nbhd Adj]],-2)</f>
        <v>0</v>
      </c>
      <c r="BP65" s="25">
        <f>Inventory[[#This Row],[Adjusted Res]]+Inventory[[#This Row],[Adj Det ]]</f>
        <v>363800</v>
      </c>
      <c r="BQ65" s="25">
        <f>ROUND((Inventory[[#This Row],[Mdl Land Intercept]]+Inventory[[#This Row],[Mdl LnAcres]])*Inventory[[#This Row],[Det/Nbhd Adj]],-2)</f>
        <v>-20100</v>
      </c>
      <c r="BR65" s="25">
        <f>Inventory[[#This Row],[Adjusted Impr Total]]+Inventory[[#This Row],[Adjusted Land Total]]</f>
        <v>343700</v>
      </c>
      <c r="BS65" s="36">
        <f>IFERROR((Inventory[[#This Row],[Adjusted Impr Total]]-Inventory[[#This Row],[24Bldg]])/Inventory[[#This Row],[24Bldg]],0)</f>
        <v>0.40030792917628943</v>
      </c>
      <c r="BT65" s="36">
        <f>(Inventory[[#This Row],[Adjusted Land Total]]-Inventory[[#This Row],[24Lnd]])/Inventory[[#This Row],[24Lnd]]</f>
        <v>-1.4388646288209608</v>
      </c>
      <c r="BU65" s="36">
        <f>(Inventory[[#This Row],[Adjusted Total]]-Inventory[[#This Row],[24Final]])/Inventory[[#This Row],[24Final]]</f>
        <v>0.12467277486910995</v>
      </c>
    </row>
    <row r="66" spans="1:73" x14ac:dyDescent="0.3">
      <c r="A66" s="25">
        <v>2025</v>
      </c>
      <c r="B66" s="26" t="s">
        <v>726</v>
      </c>
      <c r="C66" s="26">
        <f>LN(Inventory[[#This Row],[Acres]])</f>
        <v>-3.5065578973199818</v>
      </c>
      <c r="D66" s="25">
        <v>0.03</v>
      </c>
      <c r="E66" s="25">
        <v>896</v>
      </c>
      <c r="F66" s="26" t="s">
        <v>537</v>
      </c>
      <c r="G66" s="26" t="s">
        <v>28</v>
      </c>
      <c r="H66" s="26" t="s">
        <v>349</v>
      </c>
      <c r="I66" s="26" t="s">
        <v>538</v>
      </c>
      <c r="J66" s="26" t="s">
        <v>551</v>
      </c>
      <c r="K66" s="26" t="s">
        <v>381</v>
      </c>
      <c r="L66" s="26" t="s">
        <v>148</v>
      </c>
      <c r="M66" s="26" t="s">
        <v>323</v>
      </c>
      <c r="N66" s="26">
        <v>30</v>
      </c>
      <c r="O66" s="26">
        <f>2024-Inventory[[#This Row],[YrBlt]]</f>
        <v>28</v>
      </c>
      <c r="P66" s="26">
        <f>2024-Inventory[[#This Row],[EffYr]]</f>
        <v>28</v>
      </c>
      <c r="Q66" s="25">
        <v>1996</v>
      </c>
      <c r="R66" s="25">
        <v>1996</v>
      </c>
      <c r="S66" s="25">
        <v>896</v>
      </c>
      <c r="T66" s="32">
        <v>896</v>
      </c>
      <c r="U66" s="25">
        <v>544</v>
      </c>
      <c r="V66" s="25">
        <f>Inventory[[#This Row],[Bsmt]]-Inventory[[#This Row],[FnBsmt]]</f>
        <v>20</v>
      </c>
      <c r="W66" s="25">
        <v>524</v>
      </c>
      <c r="X66" s="27"/>
      <c r="Y66" s="27">
        <f>Inventory[[#This Row],[MainFn]]+Inventory[[#This Row],[UpprFn]]+Inventory[[#This Row],[FnBsmt]]+Inventory[[#This Row],[AddFn]]</f>
        <v>2316</v>
      </c>
      <c r="Z66" s="27">
        <v>2500</v>
      </c>
      <c r="AA66" s="25">
        <v>14</v>
      </c>
      <c r="AB66" s="27"/>
      <c r="AC66" s="32">
        <v>548</v>
      </c>
      <c r="AD66" s="32">
        <v>480</v>
      </c>
      <c r="AE66" s="27"/>
      <c r="AF66" s="27"/>
      <c r="AG66" s="27"/>
      <c r="AH66" s="27"/>
      <c r="AI66" s="25">
        <v>489957</v>
      </c>
      <c r="AJ66" s="25">
        <v>426263</v>
      </c>
      <c r="AK66" s="25">
        <v>0</v>
      </c>
      <c r="AL66" s="25">
        <v>314900</v>
      </c>
      <c r="AM66" s="25">
        <v>47200</v>
      </c>
      <c r="AN66" s="25">
        <v>267700</v>
      </c>
      <c r="AO66" s="25">
        <v>0</v>
      </c>
      <c r="AP66" s="25">
        <f>Lookups!$B$56*0</f>
        <v>0</v>
      </c>
      <c r="AQ66" s="25">
        <f>Lookups!$B$56*1</f>
        <v>89850.625589999996</v>
      </c>
      <c r="AR66" s="25">
        <f>Lookups!$B$57*Inventory[[#This Row],[LnAcres]]</f>
        <v>-110998.74281323297</v>
      </c>
      <c r="AS66" s="25">
        <f>VLOOKUP(Inventory[[#This Row],[Qlty]],Lookups!$A$62:$E$75,2,FALSE)</f>
        <v>44121.038090000002</v>
      </c>
      <c r="AT66" s="25">
        <f>VLOOKUP(Inventory[[#This Row],[Cnd]],Lookups!$A$76:$E$84,2,FALSE)</f>
        <v>160472.20319</v>
      </c>
      <c r="AU66" s="25">
        <f>Inventory[[#This Row],[EffAge]]*Lookups!$B$85</f>
        <v>-6245.2768139999998</v>
      </c>
      <c r="AV66" s="25">
        <f>Inventory[[#This Row],[MainFn]]*Lookups!$B$86</f>
        <v>44270.168209791998</v>
      </c>
      <c r="AW66" s="25">
        <f>Inventory[[#This Row],[UpprFn]]*Lookups!$B$87</f>
        <v>40128.634883455998</v>
      </c>
      <c r="AX66" s="25">
        <f>Inventory[[#This Row],[AddFn]]*Lookups!$B$88</f>
        <v>0</v>
      </c>
      <c r="AY66" s="25">
        <f>Inventory[[#This Row],[Bsmt]]*Lookups!$B$89</f>
        <v>15820.551014367999</v>
      </c>
      <c r="AZ66" s="25">
        <f>Inventory[[#This Row],[Fixtures]]*Lookups!$B$90</f>
        <v>53088.3094728</v>
      </c>
      <c r="BA66" s="25">
        <f>Inventory[[#This Row],[WdDeck]]*Lookups!$B$91</f>
        <v>15981.847332480002</v>
      </c>
      <c r="BB66" s="25">
        <f>ROUND(Inventory[[#This Row],[25Det]],-2)</f>
        <v>0</v>
      </c>
      <c r="BC66" s="25">
        <f>ROUND(SUM(Inventory[[#This Row],[Mdl Qlty]:[Mdl WdDeck]])+Inventory[[#This Row],[Mdl Res Intercept]],-2)</f>
        <v>367600</v>
      </c>
      <c r="BD66" s="25">
        <f>ROUND(Inventory[[#This Row],[Mdl Land Intercept]]+Inventory[[#This Row],[Mdl LnAcres]],-2)</f>
        <v>-21100</v>
      </c>
      <c r="BE66" s="25">
        <f>Inventory[[#This Row],[Unadj Res Value]]+Inventory[[#This Row],[Unadj Det Value]]+Inventory[[#This Row],[Unadj Land Value]]</f>
        <v>346500</v>
      </c>
      <c r="BF66" s="36">
        <f>(Inventory[[#This Row],[Unadj Total Value]]-Inventory[[#This Row],[24Final]])/Inventory[[#This Row],[24Final]]</f>
        <v>0.10034931724356938</v>
      </c>
      <c r="BG66" s="25">
        <f>VLOOKUP(Inventory[[#This Row],[Nbhd]],Lookups!$Q$2:$T$4,4,FALSE)</f>
        <v>0.99970000000000003</v>
      </c>
      <c r="BH66" s="25">
        <f>VLOOKUP(Inventory[[#This Row],[Qlty]],Lookups!$O$7:$R$21,4,FALSE)</f>
        <v>0.98050000000000004</v>
      </c>
      <c r="BI66" s="25">
        <f>VLOOKUP(Inventory[[#This Row],[Cnd]],Lookups!$T$7:$W$16,4,FALSE)</f>
        <v>0.99729999999999996</v>
      </c>
      <c r="BJ66" s="25">
        <f>VLOOKUP(Inventory[[#This Row],[LivArea Range]],Lookups!$T$25:$W$37,4,FALSE)</f>
        <v>0.98919999999999997</v>
      </c>
      <c r="BK66" s="25">
        <f>VLOOKUP(Inventory[[#This Row],[Decade]],Lookups!$O$25:$R$42,4,FALSE)</f>
        <v>0.97319999999999995</v>
      </c>
      <c r="BL66" s="25">
        <f>Inventory[[#This Row],[Nbhd Adj]]*0.95</f>
        <v>0.94971499999999998</v>
      </c>
      <c r="BM66" s="25">
        <f>Inventory[[#This Row],[Nbhd Adj]]*Inventory[[#This Row],[Quality Adj]]*Inventory[[#This Row],[Condition Adj]]*Inventory[[#This Row],[Living Area Adj]]*Inventory[[#This Row],[Decade Adj]]*0.95</f>
        <v>0.89403170902975626</v>
      </c>
      <c r="BN66" s="25">
        <f>ROUND(SUM(Inventory[[#This Row],[Mdl Qlty]:[Mdl WdDeck]])+Inventory[[#This Row],[Mdl Res Intercept]]*Inventory[[#This Row],[Res Adj ]],-2)</f>
        <v>367600</v>
      </c>
      <c r="BO66" s="25">
        <f>ROUND(Inventory[[#This Row],[25Det]]*Inventory[[#This Row],[Det/Nbhd Adj]],-2)</f>
        <v>0</v>
      </c>
      <c r="BP66" s="25">
        <f>Inventory[[#This Row],[Adjusted Res]]+Inventory[[#This Row],[Adj Det ]]</f>
        <v>367600</v>
      </c>
      <c r="BQ66" s="25">
        <f>ROUND((Inventory[[#This Row],[Mdl Land Intercept]]+Inventory[[#This Row],[Mdl LnAcres]])*Inventory[[#This Row],[Det/Nbhd Adj]],-2)</f>
        <v>-20100</v>
      </c>
      <c r="BR66" s="25">
        <f>Inventory[[#This Row],[Adjusted Impr Total]]+Inventory[[#This Row],[Adjusted Land Total]]</f>
        <v>347500</v>
      </c>
      <c r="BS66" s="36">
        <f>IFERROR((Inventory[[#This Row],[Adjusted Impr Total]]-Inventory[[#This Row],[24Bldg]])/Inventory[[#This Row],[24Bldg]],0)</f>
        <v>0.37317893163989541</v>
      </c>
      <c r="BT66" s="36">
        <f>(Inventory[[#This Row],[Adjusted Land Total]]-Inventory[[#This Row],[24Lnd]])/Inventory[[#This Row],[24Lnd]]</f>
        <v>-1.4258474576271187</v>
      </c>
      <c r="BU66" s="36">
        <f>(Inventory[[#This Row],[Adjusted Total]]-Inventory[[#This Row],[24Final]])/Inventory[[#This Row],[24Final]]</f>
        <v>0.10352492854874563</v>
      </c>
    </row>
    <row r="67" spans="1:73" x14ac:dyDescent="0.3">
      <c r="A67" s="25">
        <v>2025</v>
      </c>
      <c r="B67" s="26" t="s">
        <v>1347</v>
      </c>
      <c r="C67" s="26">
        <f>LN(Inventory[[#This Row],[Acres]])</f>
        <v>-1.5141277326297755</v>
      </c>
      <c r="D67" s="25">
        <v>0.22</v>
      </c>
      <c r="E67" s="25">
        <v>9784</v>
      </c>
      <c r="F67" s="26" t="s">
        <v>537</v>
      </c>
      <c r="G67" s="26" t="s">
        <v>126</v>
      </c>
      <c r="H67" s="26" t="s">
        <v>349</v>
      </c>
      <c r="I67" s="26" t="s">
        <v>538</v>
      </c>
      <c r="J67" s="26" t="s">
        <v>539</v>
      </c>
      <c r="K67" s="26" t="s">
        <v>300</v>
      </c>
      <c r="L67" s="26" t="s">
        <v>148</v>
      </c>
      <c r="M67" s="26" t="s">
        <v>303</v>
      </c>
      <c r="N67" s="26">
        <v>30</v>
      </c>
      <c r="O67" s="26">
        <f>2024-Inventory[[#This Row],[YrBlt]]</f>
        <v>28</v>
      </c>
      <c r="P67" s="26">
        <f>2024-Inventory[[#This Row],[EffYr]]</f>
        <v>28</v>
      </c>
      <c r="Q67" s="25">
        <v>1996</v>
      </c>
      <c r="R67" s="25">
        <v>1996</v>
      </c>
      <c r="S67" s="25">
        <v>2225</v>
      </c>
      <c r="T67" s="27"/>
      <c r="U67" s="31"/>
      <c r="V67" s="31">
        <f>Inventory[[#This Row],[Bsmt]]-Inventory[[#This Row],[FnBsmt]]</f>
        <v>0</v>
      </c>
      <c r="W67" s="31"/>
      <c r="X67" s="27"/>
      <c r="Y67" s="27">
        <f>Inventory[[#This Row],[MainFn]]+Inventory[[#This Row],[UpprFn]]+Inventory[[#This Row],[FnBsmt]]+Inventory[[#This Row],[AddFn]]</f>
        <v>2225</v>
      </c>
      <c r="Z67" s="27">
        <v>2500</v>
      </c>
      <c r="AA67" s="25">
        <v>11</v>
      </c>
      <c r="AB67" s="32">
        <v>624</v>
      </c>
      <c r="AC67" s="27"/>
      <c r="AD67" s="32">
        <v>264</v>
      </c>
      <c r="AE67" s="27"/>
      <c r="AF67" s="27"/>
      <c r="AG67" s="27"/>
      <c r="AH67" s="27"/>
      <c r="AI67" s="25">
        <v>523450</v>
      </c>
      <c r="AJ67" s="25">
        <v>460636</v>
      </c>
      <c r="AK67" s="25">
        <v>0</v>
      </c>
      <c r="AL67" s="25">
        <v>404000</v>
      </c>
      <c r="AM67" s="25">
        <v>61700</v>
      </c>
      <c r="AN67" s="25">
        <v>342300</v>
      </c>
      <c r="AO67" s="25">
        <v>0</v>
      </c>
      <c r="AP67" s="25">
        <f>Lookups!$B$56*0</f>
        <v>0</v>
      </c>
      <c r="AQ67" s="25">
        <f>Lookups!$B$56*1</f>
        <v>89850.625589999996</v>
      </c>
      <c r="AR67" s="25">
        <f>Lookups!$B$57*Inventory[[#This Row],[LnAcres]]</f>
        <v>-47929.131559187132</v>
      </c>
      <c r="AS67" s="25">
        <f>VLOOKUP(Inventory[[#This Row],[Qlty]],Lookups!$A$62:$E$75,2,FALSE)</f>
        <v>44121.038090000002</v>
      </c>
      <c r="AT67" s="25">
        <f>VLOOKUP(Inventory[[#This Row],[Cnd]],Lookups!$A$76:$E$84,2,FALSE)</f>
        <v>197752.34721000001</v>
      </c>
      <c r="AU67" s="25">
        <f>Inventory[[#This Row],[EffAge]]*Lookups!$B$85</f>
        <v>-6245.2768139999998</v>
      </c>
      <c r="AV67" s="25">
        <f>Inventory[[#This Row],[MainFn]]*Lookups!$B$86</f>
        <v>109934.290476325</v>
      </c>
      <c r="AW67" s="25">
        <f>Inventory[[#This Row],[UpprFn]]*Lookups!$B$87</f>
        <v>0</v>
      </c>
      <c r="AX67" s="25">
        <f>Inventory[[#This Row],[AddFn]]*Lookups!$B$88</f>
        <v>0</v>
      </c>
      <c r="AY67" s="25">
        <f>Inventory[[#This Row],[Bsmt]]*Lookups!$B$89</f>
        <v>0</v>
      </c>
      <c r="AZ67" s="25">
        <f>Inventory[[#This Row],[Fixtures]]*Lookups!$B$90</f>
        <v>41712.243157199999</v>
      </c>
      <c r="BA67" s="25">
        <f>Inventory[[#This Row],[WdDeck]]*Lookups!$B$91</f>
        <v>8790.0160328640013</v>
      </c>
      <c r="BB67" s="25">
        <f>ROUND(Inventory[[#This Row],[25Det]],-2)</f>
        <v>0</v>
      </c>
      <c r="BC67" s="25">
        <f>ROUND(SUM(Inventory[[#This Row],[Mdl Qlty]:[Mdl WdDeck]])+Inventory[[#This Row],[Mdl Res Intercept]],-2)</f>
        <v>396100</v>
      </c>
      <c r="BD67" s="25">
        <f>ROUND(Inventory[[#This Row],[Mdl Land Intercept]]+Inventory[[#This Row],[Mdl LnAcres]],-2)</f>
        <v>41900</v>
      </c>
      <c r="BE67" s="25">
        <f>Inventory[[#This Row],[Unadj Res Value]]+Inventory[[#This Row],[Unadj Det Value]]+Inventory[[#This Row],[Unadj Land Value]]</f>
        <v>438000</v>
      </c>
      <c r="BF67" s="36">
        <f>(Inventory[[#This Row],[Unadj Total Value]]-Inventory[[#This Row],[24Final]])/Inventory[[#This Row],[24Final]]</f>
        <v>8.4158415841584164E-2</v>
      </c>
      <c r="BG67" s="25">
        <f>VLOOKUP(Inventory[[#This Row],[Nbhd]],Lookups!$Q$2:$T$4,4,FALSE)</f>
        <v>0.99970000000000003</v>
      </c>
      <c r="BH67" s="25">
        <f>VLOOKUP(Inventory[[#This Row],[Qlty]],Lookups!$O$7:$R$21,4,FALSE)</f>
        <v>0.98050000000000004</v>
      </c>
      <c r="BI67" s="25">
        <f>VLOOKUP(Inventory[[#This Row],[Cnd]],Lookups!$T$7:$W$16,4,FALSE)</f>
        <v>0.99650000000000005</v>
      </c>
      <c r="BJ67" s="25">
        <f>VLOOKUP(Inventory[[#This Row],[LivArea Range]],Lookups!$T$25:$W$37,4,FALSE)</f>
        <v>0.98919999999999997</v>
      </c>
      <c r="BK67" s="25">
        <f>VLOOKUP(Inventory[[#This Row],[Decade]],Lookups!$O$25:$R$42,4,FALSE)</f>
        <v>0.97319999999999995</v>
      </c>
      <c r="BL67" s="25">
        <f>Inventory[[#This Row],[Nbhd Adj]]*0.95</f>
        <v>0.94971499999999998</v>
      </c>
      <c r="BM67" s="25">
        <f>Inventory[[#This Row],[Nbhd Adj]]*Inventory[[#This Row],[Quality Adj]]*Inventory[[#This Row],[Condition Adj]]*Inventory[[#This Row],[Living Area Adj]]*Inventory[[#This Row],[Decade Adj]]*0.95</f>
        <v>0.89331454732593218</v>
      </c>
      <c r="BN67" s="25">
        <f>ROUND(SUM(Inventory[[#This Row],[Mdl Qlty]:[Mdl WdDeck]])+Inventory[[#This Row],[Mdl Res Intercept]]*Inventory[[#This Row],[Res Adj ]],-2)</f>
        <v>396100</v>
      </c>
      <c r="BO67" s="25">
        <f>ROUND(Inventory[[#This Row],[25Det]]*Inventory[[#This Row],[Det/Nbhd Adj]],-2)</f>
        <v>0</v>
      </c>
      <c r="BP67" s="25">
        <f>Inventory[[#This Row],[Adjusted Res]]+Inventory[[#This Row],[Adj Det ]]</f>
        <v>396100</v>
      </c>
      <c r="BQ67" s="25">
        <f>ROUND((Inventory[[#This Row],[Mdl Land Intercept]]+Inventory[[#This Row],[Mdl LnAcres]])*Inventory[[#This Row],[Det/Nbhd Adj]],-2)</f>
        <v>39800</v>
      </c>
      <c r="BR67" s="25">
        <f>Inventory[[#This Row],[Adjusted Impr Total]]+Inventory[[#This Row],[Adjusted Land Total]]</f>
        <v>435900</v>
      </c>
      <c r="BS67" s="36">
        <f>IFERROR((Inventory[[#This Row],[Adjusted Impr Total]]-Inventory[[#This Row],[24Bldg]])/Inventory[[#This Row],[24Bldg]],0)</f>
        <v>0.15717207128250074</v>
      </c>
      <c r="BT67" s="36">
        <f>(Inventory[[#This Row],[Adjusted Land Total]]-Inventory[[#This Row],[24Lnd]])/Inventory[[#This Row],[24Lnd]]</f>
        <v>-0.35494327390599678</v>
      </c>
      <c r="BU67" s="36">
        <f>(Inventory[[#This Row],[Adjusted Total]]-Inventory[[#This Row],[24Final]])/Inventory[[#This Row],[24Final]]</f>
        <v>7.8960396039603961E-2</v>
      </c>
    </row>
    <row r="68" spans="1:73" x14ac:dyDescent="0.3">
      <c r="A68" s="25">
        <v>2025</v>
      </c>
      <c r="B68" s="26" t="s">
        <v>2066</v>
      </c>
      <c r="C68" s="26">
        <f>LN(Inventory[[#This Row],[Acres]])</f>
        <v>-1.0788096613719298</v>
      </c>
      <c r="D68" s="25">
        <v>0.34</v>
      </c>
      <c r="E68" s="25">
        <v>14989</v>
      </c>
      <c r="F68" s="26" t="s">
        <v>537</v>
      </c>
      <c r="G68" s="26" t="s">
        <v>126</v>
      </c>
      <c r="H68" s="26" t="s">
        <v>349</v>
      </c>
      <c r="I68" s="26" t="s">
        <v>538</v>
      </c>
      <c r="J68" s="26" t="s">
        <v>539</v>
      </c>
      <c r="K68" s="26" t="s">
        <v>300</v>
      </c>
      <c r="L68" s="26" t="s">
        <v>64</v>
      </c>
      <c r="M68" s="26" t="s">
        <v>352</v>
      </c>
      <c r="N68" s="26">
        <v>30</v>
      </c>
      <c r="O68" s="26">
        <f>2024-Inventory[[#This Row],[YrBlt]]</f>
        <v>28</v>
      </c>
      <c r="P68" s="26">
        <f>2024-Inventory[[#This Row],[EffYr]]</f>
        <v>28</v>
      </c>
      <c r="Q68" s="25">
        <v>1996</v>
      </c>
      <c r="R68" s="25">
        <v>1996</v>
      </c>
      <c r="S68" s="25">
        <v>1865</v>
      </c>
      <c r="T68" s="27"/>
      <c r="U68" s="25">
        <v>1375</v>
      </c>
      <c r="V68" s="25">
        <f>Inventory[[#This Row],[Bsmt]]-Inventory[[#This Row],[FnBsmt]]</f>
        <v>0</v>
      </c>
      <c r="W68" s="25">
        <v>1375</v>
      </c>
      <c r="X68" s="27"/>
      <c r="Y68" s="27">
        <f>Inventory[[#This Row],[MainFn]]+Inventory[[#This Row],[UpprFn]]+Inventory[[#This Row],[FnBsmt]]+Inventory[[#This Row],[AddFn]]</f>
        <v>3240</v>
      </c>
      <c r="Z68" s="27">
        <v>3500</v>
      </c>
      <c r="AA68" s="25">
        <v>15</v>
      </c>
      <c r="AB68" s="32">
        <v>812</v>
      </c>
      <c r="AC68" s="27"/>
      <c r="AD68" s="25">
        <v>180</v>
      </c>
      <c r="AE68" s="27"/>
      <c r="AF68" s="27"/>
      <c r="AG68" s="27"/>
      <c r="AH68" s="27"/>
      <c r="AI68" s="25">
        <v>712940</v>
      </c>
      <c r="AJ68" s="25">
        <v>648775</v>
      </c>
      <c r="AK68" s="25">
        <v>0</v>
      </c>
      <c r="AL68" s="25">
        <v>649400</v>
      </c>
      <c r="AM68" s="25">
        <v>76900</v>
      </c>
      <c r="AN68" s="25">
        <v>572500</v>
      </c>
      <c r="AO68" s="25">
        <v>0</v>
      </c>
      <c r="AP68" s="25">
        <f>Lookups!$B$56*0</f>
        <v>0</v>
      </c>
      <c r="AQ68" s="25">
        <f>Lookups!$B$56*1</f>
        <v>89850.625589999996</v>
      </c>
      <c r="AR68" s="25">
        <f>Lookups!$B$57*Inventory[[#This Row],[LnAcres]]</f>
        <v>-34149.305288406773</v>
      </c>
      <c r="AS68" s="25">
        <f>VLOOKUP(Inventory[[#This Row],[Qlty]],Lookups!$A$62:$E$75,2,FALSE)</f>
        <v>163885.03753</v>
      </c>
      <c r="AT68" s="25">
        <f>VLOOKUP(Inventory[[#This Row],[Cnd]],Lookups!$A$76:$E$84,2,FALSE)</f>
        <v>284810.60806</v>
      </c>
      <c r="AU68" s="25">
        <f>Inventory[[#This Row],[EffAge]]*Lookups!$B$85</f>
        <v>-6245.2768139999998</v>
      </c>
      <c r="AV68" s="25">
        <f>Inventory[[#This Row],[MainFn]]*Lookups!$B$86</f>
        <v>92147.169320604997</v>
      </c>
      <c r="AW68" s="25">
        <f>Inventory[[#This Row],[UpprFn]]*Lookups!$B$87</f>
        <v>0</v>
      </c>
      <c r="AX68" s="25">
        <f>Inventory[[#This Row],[AddFn]]*Lookups!$B$88</f>
        <v>0</v>
      </c>
      <c r="AY68" s="25">
        <f>Inventory[[#This Row],[Bsmt]]*Lookups!$B$89</f>
        <v>39987.605964625</v>
      </c>
      <c r="AZ68" s="25">
        <f>Inventory[[#This Row],[Fixtures]]*Lookups!$B$90</f>
        <v>56880.331578000005</v>
      </c>
      <c r="BA68" s="25">
        <f>Inventory[[#This Row],[WdDeck]]*Lookups!$B$91</f>
        <v>5993.1927496800008</v>
      </c>
      <c r="BB68" s="25">
        <f>ROUND(Inventory[[#This Row],[25Det]],-2)</f>
        <v>0</v>
      </c>
      <c r="BC68" s="25">
        <f>ROUND(SUM(Inventory[[#This Row],[Mdl Qlty]:[Mdl WdDeck]])+Inventory[[#This Row],[Mdl Res Intercept]],-2)</f>
        <v>637500</v>
      </c>
      <c r="BD68" s="25">
        <f>ROUND(Inventory[[#This Row],[Mdl Land Intercept]]+Inventory[[#This Row],[Mdl LnAcres]],-2)</f>
        <v>55700</v>
      </c>
      <c r="BE68" s="25">
        <f>Inventory[[#This Row],[Unadj Res Value]]+Inventory[[#This Row],[Unadj Det Value]]+Inventory[[#This Row],[Unadj Land Value]]</f>
        <v>693200</v>
      </c>
      <c r="BF68" s="36">
        <f>(Inventory[[#This Row],[Unadj Total Value]]-Inventory[[#This Row],[24Final]])/Inventory[[#This Row],[24Final]]</f>
        <v>6.7446874037573143E-2</v>
      </c>
      <c r="BG68" s="25">
        <f>VLOOKUP(Inventory[[#This Row],[Nbhd]],Lookups!$Q$2:$T$4,4,FALSE)</f>
        <v>0.99970000000000003</v>
      </c>
      <c r="BH68" s="25">
        <f>VLOOKUP(Inventory[[#This Row],[Qlty]],Lookups!$O$7:$R$21,4,FALSE)</f>
        <v>1</v>
      </c>
      <c r="BI68" s="25">
        <f>VLOOKUP(Inventory[[#This Row],[Cnd]],Lookups!$T$7:$W$16,4,FALSE)</f>
        <v>1.0158</v>
      </c>
      <c r="BJ68" s="25">
        <f>VLOOKUP(Inventory[[#This Row],[LivArea Range]],Lookups!$T$25:$W$37,4,FALSE)</f>
        <v>1.0126999999999999</v>
      </c>
      <c r="BK68" s="25">
        <f>VLOOKUP(Inventory[[#This Row],[Decade]],Lookups!$O$25:$R$42,4,FALSE)</f>
        <v>0.97319999999999995</v>
      </c>
      <c r="BL68" s="25">
        <f>Inventory[[#This Row],[Nbhd Adj]]*0.95</f>
        <v>0.94971499999999998</v>
      </c>
      <c r="BM68" s="25">
        <f>Inventory[[#This Row],[Nbhd Adj]]*Inventory[[#This Row],[Quality Adj]]*Inventory[[#This Row],[Condition Adj]]*Inventory[[#This Row],[Living Area Adj]]*Inventory[[#This Row],[Decade Adj]]*0.95</f>
        <v>0.95078958572394112</v>
      </c>
      <c r="BN68" s="25">
        <f>ROUND(SUM(Inventory[[#This Row],[Mdl Qlty]:[Mdl WdDeck]])+Inventory[[#This Row],[Mdl Res Intercept]]*Inventory[[#This Row],[Res Adj ]],-2)</f>
        <v>637500</v>
      </c>
      <c r="BO68" s="25">
        <f>ROUND(Inventory[[#This Row],[25Det]]*Inventory[[#This Row],[Det/Nbhd Adj]],-2)</f>
        <v>0</v>
      </c>
      <c r="BP68" s="25">
        <f>Inventory[[#This Row],[Adjusted Res]]+Inventory[[#This Row],[Adj Det ]]</f>
        <v>637500</v>
      </c>
      <c r="BQ68" s="25">
        <f>ROUND((Inventory[[#This Row],[Mdl Land Intercept]]+Inventory[[#This Row],[Mdl LnAcres]])*Inventory[[#This Row],[Det/Nbhd Adj]],-2)</f>
        <v>52900</v>
      </c>
      <c r="BR68" s="25">
        <f>Inventory[[#This Row],[Adjusted Impr Total]]+Inventory[[#This Row],[Adjusted Land Total]]</f>
        <v>690400</v>
      </c>
      <c r="BS68" s="36">
        <f>IFERROR((Inventory[[#This Row],[Adjusted Impr Total]]-Inventory[[#This Row],[24Bldg]])/Inventory[[#This Row],[24Bldg]],0)</f>
        <v>0.11353711790393013</v>
      </c>
      <c r="BT68" s="36">
        <f>(Inventory[[#This Row],[Adjusted Land Total]]-Inventory[[#This Row],[24Lnd]])/Inventory[[#This Row],[24Lnd]]</f>
        <v>-0.31209362808842656</v>
      </c>
      <c r="BU68" s="36">
        <f>(Inventory[[#This Row],[Adjusted Total]]-Inventory[[#This Row],[24Final]])/Inventory[[#This Row],[24Final]]</f>
        <v>6.3135201724668924E-2</v>
      </c>
    </row>
    <row r="69" spans="1:73" x14ac:dyDescent="0.3">
      <c r="A69" s="25">
        <v>2025</v>
      </c>
      <c r="B69" s="26" t="s">
        <v>846</v>
      </c>
      <c r="C69" s="26">
        <f>LN(Inventory[[#This Row],[Acres]])</f>
        <v>-1.7147984280919266</v>
      </c>
      <c r="D69" s="25">
        <v>0.18</v>
      </c>
      <c r="E69" s="25">
        <v>7919</v>
      </c>
      <c r="F69" s="26" t="s">
        <v>537</v>
      </c>
      <c r="G69" s="26" t="s">
        <v>126</v>
      </c>
      <c r="H69" s="26" t="s">
        <v>349</v>
      </c>
      <c r="I69" s="26" t="s">
        <v>538</v>
      </c>
      <c r="J69" s="26" t="s">
        <v>539</v>
      </c>
      <c r="K69" s="26" t="s">
        <v>300</v>
      </c>
      <c r="L69" s="26" t="s">
        <v>148</v>
      </c>
      <c r="M69" s="26" t="s">
        <v>303</v>
      </c>
      <c r="N69" s="26">
        <v>30</v>
      </c>
      <c r="O69" s="26">
        <f>2024-Inventory[[#This Row],[YrBlt]]</f>
        <v>28</v>
      </c>
      <c r="P69" s="26">
        <f>2024-Inventory[[#This Row],[EffYr]]</f>
        <v>28</v>
      </c>
      <c r="Q69" s="25">
        <v>1996</v>
      </c>
      <c r="R69" s="25">
        <v>1996</v>
      </c>
      <c r="S69" s="25">
        <v>1568</v>
      </c>
      <c r="T69" s="27"/>
      <c r="U69" s="32">
        <v>728</v>
      </c>
      <c r="V69" s="32">
        <f>Inventory[[#This Row],[Bsmt]]-Inventory[[#This Row],[FnBsmt]]</f>
        <v>0</v>
      </c>
      <c r="W69" s="32">
        <v>728</v>
      </c>
      <c r="X69" s="27"/>
      <c r="Y69" s="27">
        <f>Inventory[[#This Row],[MainFn]]+Inventory[[#This Row],[UpprFn]]+Inventory[[#This Row],[FnBsmt]]+Inventory[[#This Row],[AddFn]]</f>
        <v>2296</v>
      </c>
      <c r="Z69" s="27">
        <v>2500</v>
      </c>
      <c r="AA69" s="25">
        <v>8</v>
      </c>
      <c r="AB69" s="31"/>
      <c r="AC69" s="32">
        <v>840</v>
      </c>
      <c r="AD69" s="32">
        <v>120</v>
      </c>
      <c r="AE69" s="27"/>
      <c r="AF69" s="27"/>
      <c r="AG69" s="27"/>
      <c r="AH69" s="27"/>
      <c r="AI69" s="25">
        <v>449564</v>
      </c>
      <c r="AJ69" s="25">
        <v>395616</v>
      </c>
      <c r="AK69" s="25">
        <v>0</v>
      </c>
      <c r="AL69" s="25">
        <v>378900</v>
      </c>
      <c r="AM69" s="25">
        <v>54700</v>
      </c>
      <c r="AN69" s="25">
        <v>324200</v>
      </c>
      <c r="AO69" s="25">
        <v>0</v>
      </c>
      <c r="AP69" s="25">
        <f>Lookups!$B$56*0</f>
        <v>0</v>
      </c>
      <c r="AQ69" s="25">
        <f>Lookups!$B$56*1</f>
        <v>89850.625589999996</v>
      </c>
      <c r="AR69" s="25">
        <f>Lookups!$B$57*Inventory[[#This Row],[LnAcres]]</f>
        <v>-54281.285314520763</v>
      </c>
      <c r="AS69" s="25">
        <f>VLOOKUP(Inventory[[#This Row],[Qlty]],Lookups!$A$62:$E$75,2,FALSE)</f>
        <v>44121.038090000002</v>
      </c>
      <c r="AT69" s="25">
        <f>VLOOKUP(Inventory[[#This Row],[Cnd]],Lookups!$A$76:$E$84,2,FALSE)</f>
        <v>197752.34721000001</v>
      </c>
      <c r="AU69" s="25">
        <f>Inventory[[#This Row],[EffAge]]*Lookups!$B$85</f>
        <v>-6245.2768139999998</v>
      </c>
      <c r="AV69" s="25">
        <f>Inventory[[#This Row],[MainFn]]*Lookups!$B$86</f>
        <v>77472.794367135997</v>
      </c>
      <c r="AW69" s="25">
        <f>Inventory[[#This Row],[UpprFn]]*Lookups!$B$87</f>
        <v>0</v>
      </c>
      <c r="AX69" s="25">
        <f>Inventory[[#This Row],[AddFn]]*Lookups!$B$88</f>
        <v>0</v>
      </c>
      <c r="AY69" s="25">
        <f>Inventory[[#This Row],[Bsmt]]*Lookups!$B$89</f>
        <v>21171.619739816</v>
      </c>
      <c r="AZ69" s="25">
        <f>Inventory[[#This Row],[Fixtures]]*Lookups!$B$90</f>
        <v>30336.176841600001</v>
      </c>
      <c r="BA69" s="25">
        <f>Inventory[[#This Row],[WdDeck]]*Lookups!$B$91</f>
        <v>3995.4618331200004</v>
      </c>
      <c r="BB69" s="25">
        <f>ROUND(Inventory[[#This Row],[25Det]],-2)</f>
        <v>0</v>
      </c>
      <c r="BC69" s="25">
        <f>ROUND(SUM(Inventory[[#This Row],[Mdl Qlty]:[Mdl WdDeck]])+Inventory[[#This Row],[Mdl Res Intercept]],-2)</f>
        <v>368600</v>
      </c>
      <c r="BD69" s="25">
        <f>ROUND(Inventory[[#This Row],[Mdl Land Intercept]]+Inventory[[#This Row],[Mdl LnAcres]],-2)</f>
        <v>35600</v>
      </c>
      <c r="BE69" s="25">
        <f>Inventory[[#This Row],[Unadj Res Value]]+Inventory[[#This Row],[Unadj Det Value]]+Inventory[[#This Row],[Unadj Land Value]]</f>
        <v>404200</v>
      </c>
      <c r="BF69" s="36">
        <f>(Inventory[[#This Row],[Unadj Total Value]]-Inventory[[#This Row],[24Final]])/Inventory[[#This Row],[24Final]]</f>
        <v>6.6772235418316173E-2</v>
      </c>
      <c r="BG69" s="25">
        <f>VLOOKUP(Inventory[[#This Row],[Nbhd]],Lookups!$Q$2:$T$4,4,FALSE)</f>
        <v>0.99970000000000003</v>
      </c>
      <c r="BH69" s="25">
        <f>VLOOKUP(Inventory[[#This Row],[Qlty]],Lookups!$O$7:$R$21,4,FALSE)</f>
        <v>0.98050000000000004</v>
      </c>
      <c r="BI69" s="25">
        <f>VLOOKUP(Inventory[[#This Row],[Cnd]],Lookups!$T$7:$W$16,4,FALSE)</f>
        <v>0.99650000000000005</v>
      </c>
      <c r="BJ69" s="25">
        <f>VLOOKUP(Inventory[[#This Row],[LivArea Range]],Lookups!$T$25:$W$37,4,FALSE)</f>
        <v>0.98919999999999997</v>
      </c>
      <c r="BK69" s="25">
        <f>VLOOKUP(Inventory[[#This Row],[Decade]],Lookups!$O$25:$R$42,4,FALSE)</f>
        <v>0.97319999999999995</v>
      </c>
      <c r="BL69" s="25">
        <f>Inventory[[#This Row],[Nbhd Adj]]*0.95</f>
        <v>0.94971499999999998</v>
      </c>
      <c r="BM69" s="25">
        <f>Inventory[[#This Row],[Nbhd Adj]]*Inventory[[#This Row],[Quality Adj]]*Inventory[[#This Row],[Condition Adj]]*Inventory[[#This Row],[Living Area Adj]]*Inventory[[#This Row],[Decade Adj]]*0.95</f>
        <v>0.89331454732593218</v>
      </c>
      <c r="BN69" s="25">
        <f>ROUND(SUM(Inventory[[#This Row],[Mdl Qlty]:[Mdl WdDeck]])+Inventory[[#This Row],[Mdl Res Intercept]]*Inventory[[#This Row],[Res Adj ]],-2)</f>
        <v>368600</v>
      </c>
      <c r="BO69" s="25">
        <f>ROUND(Inventory[[#This Row],[25Det]]*Inventory[[#This Row],[Det/Nbhd Adj]],-2)</f>
        <v>0</v>
      </c>
      <c r="BP69" s="25">
        <f>Inventory[[#This Row],[Adjusted Res]]+Inventory[[#This Row],[Adj Det ]]</f>
        <v>368600</v>
      </c>
      <c r="BQ69" s="25">
        <f>ROUND((Inventory[[#This Row],[Mdl Land Intercept]]+Inventory[[#This Row],[Mdl LnAcres]])*Inventory[[#This Row],[Det/Nbhd Adj]],-2)</f>
        <v>33800</v>
      </c>
      <c r="BR69" s="25">
        <f>Inventory[[#This Row],[Adjusted Impr Total]]+Inventory[[#This Row],[Adjusted Land Total]]</f>
        <v>402400</v>
      </c>
      <c r="BS69" s="36">
        <f>IFERROR((Inventory[[#This Row],[Adjusted Impr Total]]-Inventory[[#This Row],[24Bldg]])/Inventory[[#This Row],[24Bldg]],0)</f>
        <v>0.13695249845774213</v>
      </c>
      <c r="BT69" s="36">
        <f>(Inventory[[#This Row],[Adjusted Land Total]]-Inventory[[#This Row],[24Lnd]])/Inventory[[#This Row],[24Lnd]]</f>
        <v>-0.38208409506398539</v>
      </c>
      <c r="BU69" s="36">
        <f>(Inventory[[#This Row],[Adjusted Total]]-Inventory[[#This Row],[24Final]])/Inventory[[#This Row],[24Final]]</f>
        <v>6.2021641594088149E-2</v>
      </c>
    </row>
    <row r="70" spans="1:73" x14ac:dyDescent="0.3">
      <c r="A70" s="25">
        <v>2025</v>
      </c>
      <c r="B70" s="26" t="s">
        <v>2022</v>
      </c>
      <c r="C70" s="26">
        <f>LN(Inventory[[#This Row],[Acres]])</f>
        <v>-1.6094379124341003</v>
      </c>
      <c r="D70" s="25">
        <v>0.2</v>
      </c>
      <c r="E70" s="31"/>
      <c r="F70" s="26" t="s">
        <v>537</v>
      </c>
      <c r="G70" s="26" t="s">
        <v>126</v>
      </c>
      <c r="H70" s="26" t="s">
        <v>349</v>
      </c>
      <c r="I70" s="26" t="s">
        <v>538</v>
      </c>
      <c r="J70" s="26" t="s">
        <v>539</v>
      </c>
      <c r="K70" s="26" t="s">
        <v>300</v>
      </c>
      <c r="L70" s="26" t="s">
        <v>302</v>
      </c>
      <c r="M70" s="26" t="s">
        <v>323</v>
      </c>
      <c r="N70" s="26">
        <v>30</v>
      </c>
      <c r="O70" s="26">
        <f>2024-Inventory[[#This Row],[YrBlt]]</f>
        <v>28</v>
      </c>
      <c r="P70" s="26">
        <f>2024-Inventory[[#This Row],[EffYr]]</f>
        <v>28</v>
      </c>
      <c r="Q70" s="25">
        <v>1996</v>
      </c>
      <c r="R70" s="25">
        <v>1996</v>
      </c>
      <c r="S70" s="25">
        <v>1224</v>
      </c>
      <c r="T70" s="32">
        <v>777</v>
      </c>
      <c r="U70" s="27"/>
      <c r="V70" s="27">
        <f>Inventory[[#This Row],[Bsmt]]-Inventory[[#This Row],[FnBsmt]]</f>
        <v>0</v>
      </c>
      <c r="W70" s="27"/>
      <c r="X70" s="27"/>
      <c r="Y70" s="27">
        <f>Inventory[[#This Row],[MainFn]]+Inventory[[#This Row],[UpprFn]]+Inventory[[#This Row],[FnBsmt]]+Inventory[[#This Row],[AddFn]]</f>
        <v>2001</v>
      </c>
      <c r="Z70" s="27">
        <v>2500</v>
      </c>
      <c r="AA70" s="25">
        <v>11</v>
      </c>
      <c r="AB70" s="25">
        <v>480</v>
      </c>
      <c r="AC70" s="27"/>
      <c r="AD70" s="32">
        <v>212</v>
      </c>
      <c r="AE70" s="27"/>
      <c r="AF70" s="27"/>
      <c r="AG70" s="27"/>
      <c r="AH70" s="27"/>
      <c r="AI70" s="25">
        <v>362348</v>
      </c>
      <c r="AJ70" s="25">
        <v>315243</v>
      </c>
      <c r="AK70" s="25">
        <v>0</v>
      </c>
      <c r="AL70" s="25">
        <v>359300</v>
      </c>
      <c r="AM70" s="25">
        <v>58400</v>
      </c>
      <c r="AN70" s="25">
        <v>300900</v>
      </c>
      <c r="AO70" s="25">
        <v>0</v>
      </c>
      <c r="AP70" s="25">
        <f>Lookups!$B$56*0</f>
        <v>0</v>
      </c>
      <c r="AQ70" s="25">
        <f>Lookups!$B$56*1</f>
        <v>89850.625589999996</v>
      </c>
      <c r="AR70" s="25">
        <f>Lookups!$B$57*Inventory[[#This Row],[LnAcres]]</f>
        <v>-50946.13867709865</v>
      </c>
      <c r="AS70" s="25">
        <f>VLOOKUP(Inventory[[#This Row],[Qlty]],Lookups!$A$62:$E$75,2,FALSE)</f>
        <v>29814.093161000001</v>
      </c>
      <c r="AT70" s="25">
        <f>VLOOKUP(Inventory[[#This Row],[Cnd]],Lookups!$A$76:$E$84,2,FALSE)</f>
        <v>160472.20319</v>
      </c>
      <c r="AU70" s="25">
        <f>Inventory[[#This Row],[EffAge]]*Lookups!$B$85</f>
        <v>-6245.2768139999998</v>
      </c>
      <c r="AV70" s="25">
        <f>Inventory[[#This Row],[MainFn]]*Lookups!$B$86</f>
        <v>60476.211929448</v>
      </c>
      <c r="AW70" s="25">
        <f>Inventory[[#This Row],[UpprFn]]*Lookups!$B$87</f>
        <v>34799.050562996999</v>
      </c>
      <c r="AX70" s="25">
        <f>Inventory[[#This Row],[AddFn]]*Lookups!$B$88</f>
        <v>0</v>
      </c>
      <c r="AY70" s="25">
        <f>Inventory[[#This Row],[Bsmt]]*Lookups!$B$89</f>
        <v>0</v>
      </c>
      <c r="AZ70" s="25">
        <f>Inventory[[#This Row],[Fixtures]]*Lookups!$B$90</f>
        <v>41712.243157199999</v>
      </c>
      <c r="BA70" s="25">
        <f>Inventory[[#This Row],[WdDeck]]*Lookups!$B$91</f>
        <v>7058.6492385120009</v>
      </c>
      <c r="BB70" s="25">
        <f>ROUND(Inventory[[#This Row],[25Det]],-2)</f>
        <v>0</v>
      </c>
      <c r="BC70" s="25">
        <f>ROUND(SUM(Inventory[[#This Row],[Mdl Qlty]:[Mdl WdDeck]])+Inventory[[#This Row],[Mdl Res Intercept]],-2)</f>
        <v>328100</v>
      </c>
      <c r="BD70" s="25">
        <f>ROUND(Inventory[[#This Row],[Mdl Land Intercept]]+Inventory[[#This Row],[Mdl LnAcres]],-2)</f>
        <v>38900</v>
      </c>
      <c r="BE70" s="25">
        <f>Inventory[[#This Row],[Unadj Res Value]]+Inventory[[#This Row],[Unadj Det Value]]+Inventory[[#This Row],[Unadj Land Value]]</f>
        <v>367000</v>
      </c>
      <c r="BF70" s="36">
        <f>(Inventory[[#This Row],[Unadj Total Value]]-Inventory[[#This Row],[24Final]])/Inventory[[#This Row],[24Final]]</f>
        <v>2.1430559421096576E-2</v>
      </c>
      <c r="BG70" s="25">
        <f>VLOOKUP(Inventory[[#This Row],[Nbhd]],Lookups!$Q$2:$T$4,4,FALSE)</f>
        <v>0.99970000000000003</v>
      </c>
      <c r="BH70" s="25">
        <f>VLOOKUP(Inventory[[#This Row],[Qlty]],Lookups!$O$7:$R$21,4,FALSE)</f>
        <v>1.0088999999999999</v>
      </c>
      <c r="BI70" s="25">
        <f>VLOOKUP(Inventory[[#This Row],[Cnd]],Lookups!$T$7:$W$16,4,FALSE)</f>
        <v>0.99729999999999996</v>
      </c>
      <c r="BJ70" s="25">
        <f>VLOOKUP(Inventory[[#This Row],[LivArea Range]],Lookups!$T$25:$W$37,4,FALSE)</f>
        <v>0.98919999999999997</v>
      </c>
      <c r="BK70" s="25">
        <f>VLOOKUP(Inventory[[#This Row],[Decade]],Lookups!$O$25:$R$42,4,FALSE)</f>
        <v>0.97319999999999995</v>
      </c>
      <c r="BL70" s="25">
        <f>Inventory[[#This Row],[Nbhd Adj]]*0.95</f>
        <v>0.94971499999999998</v>
      </c>
      <c r="BM70" s="25">
        <f>Inventory[[#This Row],[Nbhd Adj]]*Inventory[[#This Row],[Quality Adj]]*Inventory[[#This Row],[Condition Adj]]*Inventory[[#This Row],[Living Area Adj]]*Inventory[[#This Row],[Decade Adj]]*0.95</f>
        <v>0.91992717107610511</v>
      </c>
      <c r="BN70" s="25">
        <f>ROUND(SUM(Inventory[[#This Row],[Mdl Qlty]:[Mdl WdDeck]])+Inventory[[#This Row],[Mdl Res Intercept]]*Inventory[[#This Row],[Res Adj ]],-2)</f>
        <v>328100</v>
      </c>
      <c r="BO70" s="25">
        <f>ROUND(Inventory[[#This Row],[25Det]]*Inventory[[#This Row],[Det/Nbhd Adj]],-2)</f>
        <v>0</v>
      </c>
      <c r="BP70" s="25">
        <f>Inventory[[#This Row],[Adjusted Res]]+Inventory[[#This Row],[Adj Det ]]</f>
        <v>328100</v>
      </c>
      <c r="BQ70" s="25">
        <f>ROUND((Inventory[[#This Row],[Mdl Land Intercept]]+Inventory[[#This Row],[Mdl LnAcres]])*Inventory[[#This Row],[Det/Nbhd Adj]],-2)</f>
        <v>36900</v>
      </c>
      <c r="BR70" s="25">
        <f>Inventory[[#This Row],[Adjusted Impr Total]]+Inventory[[#This Row],[Adjusted Land Total]]</f>
        <v>365000</v>
      </c>
      <c r="BS70" s="36">
        <f>IFERROR((Inventory[[#This Row],[Adjusted Impr Total]]-Inventory[[#This Row],[24Bldg]])/Inventory[[#This Row],[24Bldg]],0)</f>
        <v>9.03954802259887E-2</v>
      </c>
      <c r="BT70" s="36">
        <f>(Inventory[[#This Row],[Adjusted Land Total]]-Inventory[[#This Row],[24Lnd]])/Inventory[[#This Row],[24Lnd]]</f>
        <v>-0.36815068493150682</v>
      </c>
      <c r="BU70" s="36">
        <f>(Inventory[[#This Row],[Adjusted Total]]-Inventory[[#This Row],[24Final]])/Inventory[[#This Row],[24Final]]</f>
        <v>1.5864180350681881E-2</v>
      </c>
    </row>
    <row r="71" spans="1:73" x14ac:dyDescent="0.3">
      <c r="A71" s="25">
        <v>2025</v>
      </c>
      <c r="B71" s="26" t="s">
        <v>683</v>
      </c>
      <c r="C71" s="26">
        <f>LN(Inventory[[#This Row],[Acres]])</f>
        <v>-1.6607312068216509</v>
      </c>
      <c r="D71" s="25">
        <v>0.19</v>
      </c>
      <c r="E71" s="25">
        <v>8390</v>
      </c>
      <c r="F71" s="26" t="s">
        <v>537</v>
      </c>
      <c r="G71" s="26" t="s">
        <v>126</v>
      </c>
      <c r="H71" s="26" t="s">
        <v>349</v>
      </c>
      <c r="I71" s="26" t="s">
        <v>538</v>
      </c>
      <c r="J71" s="26" t="s">
        <v>586</v>
      </c>
      <c r="K71" s="26" t="s">
        <v>592</v>
      </c>
      <c r="L71" s="26" t="s">
        <v>148</v>
      </c>
      <c r="M71" s="26" t="s">
        <v>303</v>
      </c>
      <c r="N71" s="26">
        <v>30</v>
      </c>
      <c r="O71" s="26">
        <f>2024-Inventory[[#This Row],[YrBlt]]</f>
        <v>29</v>
      </c>
      <c r="P71" s="26">
        <f>2024-Inventory[[#This Row],[EffYr]]</f>
        <v>29</v>
      </c>
      <c r="Q71" s="25">
        <v>1995</v>
      </c>
      <c r="R71" s="25">
        <v>1995</v>
      </c>
      <c r="S71" s="25">
        <v>1513</v>
      </c>
      <c r="T71" s="27"/>
      <c r="U71" s="27"/>
      <c r="V71" s="27">
        <f>Inventory[[#This Row],[Bsmt]]-Inventory[[#This Row],[FnBsmt]]</f>
        <v>0</v>
      </c>
      <c r="W71" s="27"/>
      <c r="X71" s="27"/>
      <c r="Y71" s="27">
        <f>Inventory[[#This Row],[MainFn]]+Inventory[[#This Row],[UpprFn]]+Inventory[[#This Row],[FnBsmt]]+Inventory[[#This Row],[AddFn]]</f>
        <v>1513</v>
      </c>
      <c r="Z71" s="27">
        <v>2000</v>
      </c>
      <c r="AA71" s="25">
        <v>10</v>
      </c>
      <c r="AB71" s="25">
        <v>462</v>
      </c>
      <c r="AC71" s="27"/>
      <c r="AD71" s="27"/>
      <c r="AE71" s="27"/>
      <c r="AF71" s="27"/>
      <c r="AG71" s="27"/>
      <c r="AH71" s="27"/>
      <c r="AI71" s="25">
        <v>344306</v>
      </c>
      <c r="AJ71" s="25">
        <v>299546</v>
      </c>
      <c r="AK71" s="25">
        <v>0</v>
      </c>
      <c r="AL71" s="25">
        <v>288100</v>
      </c>
      <c r="AM71" s="25">
        <v>41500</v>
      </c>
      <c r="AN71" s="25">
        <v>246600</v>
      </c>
      <c r="AO71" s="25">
        <v>0</v>
      </c>
      <c r="AP71" s="25">
        <f>Lookups!$B$56*0</f>
        <v>0</v>
      </c>
      <c r="AQ71" s="25">
        <f>Lookups!$B$56*1</f>
        <v>89850.625589999996</v>
      </c>
      <c r="AR71" s="25">
        <f>Lookups!$B$57*Inventory[[#This Row],[LnAcres]]</f>
        <v>-52569.808201026557</v>
      </c>
      <c r="AS71" s="25">
        <f>VLOOKUP(Inventory[[#This Row],[Qlty]],Lookups!$A$62:$E$75,2,FALSE)</f>
        <v>44121.038090000002</v>
      </c>
      <c r="AT71" s="25">
        <f>VLOOKUP(Inventory[[#This Row],[Cnd]],Lookups!$A$76:$E$84,2,FALSE)</f>
        <v>197752.34721000001</v>
      </c>
      <c r="AU71" s="25">
        <f>Inventory[[#This Row],[EffAge]]*Lookups!$B$85</f>
        <v>-6468.3224145000004</v>
      </c>
      <c r="AV71" s="25">
        <f>Inventory[[#This Row],[MainFn]]*Lookups!$B$86</f>
        <v>74755.317523901002</v>
      </c>
      <c r="AW71" s="25">
        <f>Inventory[[#This Row],[UpprFn]]*Lookups!$B$87</f>
        <v>0</v>
      </c>
      <c r="AX71" s="25">
        <f>Inventory[[#This Row],[AddFn]]*Lookups!$B$88</f>
        <v>0</v>
      </c>
      <c r="AY71" s="25">
        <f>Inventory[[#This Row],[Bsmt]]*Lookups!$B$89</f>
        <v>0</v>
      </c>
      <c r="AZ71" s="25">
        <f>Inventory[[#This Row],[Fixtures]]*Lookups!$B$90</f>
        <v>37920.221052000001</v>
      </c>
      <c r="BA71" s="25">
        <f>Inventory[[#This Row],[WdDeck]]*Lookups!$B$91</f>
        <v>0</v>
      </c>
      <c r="BB71" s="25">
        <f>ROUND(Inventory[[#This Row],[25Det]],-2)</f>
        <v>0</v>
      </c>
      <c r="BC71" s="25">
        <f>ROUND(SUM(Inventory[[#This Row],[Mdl Qlty]:[Mdl WdDeck]])+Inventory[[#This Row],[Mdl Res Intercept]],-2)</f>
        <v>348100</v>
      </c>
      <c r="BD71" s="25">
        <f>ROUND(Inventory[[#This Row],[Mdl Land Intercept]]+Inventory[[#This Row],[Mdl LnAcres]],-2)</f>
        <v>37300</v>
      </c>
      <c r="BE71" s="25">
        <f>Inventory[[#This Row],[Unadj Res Value]]+Inventory[[#This Row],[Unadj Det Value]]+Inventory[[#This Row],[Unadj Land Value]]</f>
        <v>385400</v>
      </c>
      <c r="BF71" s="36">
        <f>(Inventory[[#This Row],[Unadj Total Value]]-Inventory[[#This Row],[24Final]])/Inventory[[#This Row],[24Final]]</f>
        <v>0.33772995487677887</v>
      </c>
      <c r="BG71" s="25">
        <f>VLOOKUP(Inventory[[#This Row],[Nbhd]],Lookups!$Q$2:$T$4,4,FALSE)</f>
        <v>0.99970000000000003</v>
      </c>
      <c r="BH71" s="25">
        <f>VLOOKUP(Inventory[[#This Row],[Qlty]],Lookups!$O$7:$R$21,4,FALSE)</f>
        <v>0.98050000000000004</v>
      </c>
      <c r="BI71" s="25">
        <f>VLOOKUP(Inventory[[#This Row],[Cnd]],Lookups!$T$7:$W$16,4,FALSE)</f>
        <v>0.99650000000000005</v>
      </c>
      <c r="BJ71" s="25">
        <f>VLOOKUP(Inventory[[#This Row],[LivArea Range]],Lookups!$T$25:$W$37,4,FALSE)</f>
        <v>1.0093000000000001</v>
      </c>
      <c r="BK71" s="25">
        <f>VLOOKUP(Inventory[[#This Row],[Decade]],Lookups!$O$25:$R$42,4,FALSE)</f>
        <v>0.97319999999999995</v>
      </c>
      <c r="BL71" s="25">
        <f>Inventory[[#This Row],[Nbhd Adj]]*0.95</f>
        <v>0.94971499999999998</v>
      </c>
      <c r="BM71" s="25">
        <f>Inventory[[#This Row],[Nbhd Adj]]*Inventory[[#This Row],[Quality Adj]]*Inventory[[#This Row],[Condition Adj]]*Inventory[[#This Row],[Living Area Adj]]*Inventory[[#This Row],[Decade Adj]]*0.95</f>
        <v>0.91146620765877828</v>
      </c>
      <c r="BN71" s="25">
        <f>ROUND(SUM(Inventory[[#This Row],[Mdl Qlty]:[Mdl WdDeck]])+Inventory[[#This Row],[Mdl Res Intercept]]*Inventory[[#This Row],[Res Adj ]],-2)</f>
        <v>348100</v>
      </c>
      <c r="BO71" s="25">
        <f>ROUND(Inventory[[#This Row],[25Det]]*Inventory[[#This Row],[Det/Nbhd Adj]],-2)</f>
        <v>0</v>
      </c>
      <c r="BP71" s="25">
        <f>Inventory[[#This Row],[Adjusted Res]]+Inventory[[#This Row],[Adj Det ]]</f>
        <v>348100</v>
      </c>
      <c r="BQ71" s="25">
        <f>ROUND((Inventory[[#This Row],[Mdl Land Intercept]]+Inventory[[#This Row],[Mdl LnAcres]])*Inventory[[#This Row],[Det/Nbhd Adj]],-2)</f>
        <v>35400</v>
      </c>
      <c r="BR71" s="25">
        <f>Inventory[[#This Row],[Adjusted Impr Total]]+Inventory[[#This Row],[Adjusted Land Total]]</f>
        <v>383500</v>
      </c>
      <c r="BS71" s="36">
        <f>IFERROR((Inventory[[#This Row],[Adjusted Impr Total]]-Inventory[[#This Row],[24Bldg]])/Inventory[[#This Row],[24Bldg]],0)</f>
        <v>0.41159772911597731</v>
      </c>
      <c r="BT71" s="36">
        <f>(Inventory[[#This Row],[Adjusted Land Total]]-Inventory[[#This Row],[24Lnd]])/Inventory[[#This Row],[24Lnd]]</f>
        <v>-0.14698795180722893</v>
      </c>
      <c r="BU71" s="36">
        <f>(Inventory[[#This Row],[Adjusted Total]]-Inventory[[#This Row],[24Final]])/Inventory[[#This Row],[24Final]]</f>
        <v>0.33113502256161054</v>
      </c>
    </row>
    <row r="72" spans="1:73" x14ac:dyDescent="0.3">
      <c r="A72" s="25">
        <v>2025</v>
      </c>
      <c r="B72" s="26" t="s">
        <v>682</v>
      </c>
      <c r="C72" s="26">
        <f>LN(Inventory[[#This Row],[Acres]])</f>
        <v>-1.6607312068216509</v>
      </c>
      <c r="D72" s="25">
        <v>0.19</v>
      </c>
      <c r="E72" s="25">
        <v>8353</v>
      </c>
      <c r="F72" s="26" t="s">
        <v>537</v>
      </c>
      <c r="G72" s="26" t="s">
        <v>126</v>
      </c>
      <c r="H72" s="26" t="s">
        <v>349</v>
      </c>
      <c r="I72" s="26" t="s">
        <v>538</v>
      </c>
      <c r="J72" s="26" t="s">
        <v>586</v>
      </c>
      <c r="K72" s="26" t="s">
        <v>592</v>
      </c>
      <c r="L72" s="26" t="s">
        <v>148</v>
      </c>
      <c r="M72" s="26" t="s">
        <v>303</v>
      </c>
      <c r="N72" s="26">
        <v>30</v>
      </c>
      <c r="O72" s="26">
        <f>2024-Inventory[[#This Row],[YrBlt]]</f>
        <v>29</v>
      </c>
      <c r="P72" s="26">
        <f>2024-Inventory[[#This Row],[EffYr]]</f>
        <v>29</v>
      </c>
      <c r="Q72" s="25">
        <v>1995</v>
      </c>
      <c r="R72" s="25">
        <v>1995</v>
      </c>
      <c r="S72" s="25">
        <v>1513</v>
      </c>
      <c r="T72" s="27"/>
      <c r="U72" s="27"/>
      <c r="V72" s="27">
        <f>Inventory[[#This Row],[Bsmt]]-Inventory[[#This Row],[FnBsmt]]</f>
        <v>0</v>
      </c>
      <c r="W72" s="27"/>
      <c r="X72" s="27"/>
      <c r="Y72" s="27">
        <f>Inventory[[#This Row],[MainFn]]+Inventory[[#This Row],[UpprFn]]+Inventory[[#This Row],[FnBsmt]]+Inventory[[#This Row],[AddFn]]</f>
        <v>1513</v>
      </c>
      <c r="Z72" s="27">
        <v>2000</v>
      </c>
      <c r="AA72" s="25">
        <v>10</v>
      </c>
      <c r="AB72" s="25">
        <v>462</v>
      </c>
      <c r="AC72" s="27"/>
      <c r="AD72" s="27"/>
      <c r="AE72" s="27"/>
      <c r="AF72" s="27"/>
      <c r="AG72" s="27"/>
      <c r="AH72" s="27"/>
      <c r="AI72" s="25">
        <v>344562</v>
      </c>
      <c r="AJ72" s="25">
        <v>299769</v>
      </c>
      <c r="AK72" s="25">
        <v>0</v>
      </c>
      <c r="AL72" s="25">
        <v>288300</v>
      </c>
      <c r="AM72" s="25">
        <v>41500</v>
      </c>
      <c r="AN72" s="25">
        <v>246800</v>
      </c>
      <c r="AO72" s="25">
        <v>0</v>
      </c>
      <c r="AP72" s="25">
        <f>Lookups!$B$56*0</f>
        <v>0</v>
      </c>
      <c r="AQ72" s="25">
        <f>Lookups!$B$56*1</f>
        <v>89850.625589999996</v>
      </c>
      <c r="AR72" s="25">
        <f>Lookups!$B$57*Inventory[[#This Row],[LnAcres]]</f>
        <v>-52569.808201026557</v>
      </c>
      <c r="AS72" s="25">
        <f>VLOOKUP(Inventory[[#This Row],[Qlty]],Lookups!$A$62:$E$75,2,FALSE)</f>
        <v>44121.038090000002</v>
      </c>
      <c r="AT72" s="25">
        <f>VLOOKUP(Inventory[[#This Row],[Cnd]],Lookups!$A$76:$E$84,2,FALSE)</f>
        <v>197752.34721000001</v>
      </c>
      <c r="AU72" s="25">
        <f>Inventory[[#This Row],[EffAge]]*Lookups!$B$85</f>
        <v>-6468.3224145000004</v>
      </c>
      <c r="AV72" s="25">
        <f>Inventory[[#This Row],[MainFn]]*Lookups!$B$86</f>
        <v>74755.317523901002</v>
      </c>
      <c r="AW72" s="25">
        <f>Inventory[[#This Row],[UpprFn]]*Lookups!$B$87</f>
        <v>0</v>
      </c>
      <c r="AX72" s="25">
        <f>Inventory[[#This Row],[AddFn]]*Lookups!$B$88</f>
        <v>0</v>
      </c>
      <c r="AY72" s="25">
        <f>Inventory[[#This Row],[Bsmt]]*Lookups!$B$89</f>
        <v>0</v>
      </c>
      <c r="AZ72" s="25">
        <f>Inventory[[#This Row],[Fixtures]]*Lookups!$B$90</f>
        <v>37920.221052000001</v>
      </c>
      <c r="BA72" s="25">
        <f>Inventory[[#This Row],[WdDeck]]*Lookups!$B$91</f>
        <v>0</v>
      </c>
      <c r="BB72" s="25">
        <f>ROUND(Inventory[[#This Row],[25Det]],-2)</f>
        <v>0</v>
      </c>
      <c r="BC72" s="25">
        <f>ROUND(SUM(Inventory[[#This Row],[Mdl Qlty]:[Mdl WdDeck]])+Inventory[[#This Row],[Mdl Res Intercept]],-2)</f>
        <v>348100</v>
      </c>
      <c r="BD72" s="25">
        <f>ROUND(Inventory[[#This Row],[Mdl Land Intercept]]+Inventory[[#This Row],[Mdl LnAcres]],-2)</f>
        <v>37300</v>
      </c>
      <c r="BE72" s="25">
        <f>Inventory[[#This Row],[Unadj Res Value]]+Inventory[[#This Row],[Unadj Det Value]]+Inventory[[#This Row],[Unadj Land Value]]</f>
        <v>385400</v>
      </c>
      <c r="BF72" s="36">
        <f>(Inventory[[#This Row],[Unadj Total Value]]-Inventory[[#This Row],[24Final]])/Inventory[[#This Row],[24Final]]</f>
        <v>0.33680194242108913</v>
      </c>
      <c r="BG72" s="25">
        <f>VLOOKUP(Inventory[[#This Row],[Nbhd]],Lookups!$Q$2:$T$4,4,FALSE)</f>
        <v>0.99970000000000003</v>
      </c>
      <c r="BH72" s="25">
        <f>VLOOKUP(Inventory[[#This Row],[Qlty]],Lookups!$O$7:$R$21,4,FALSE)</f>
        <v>0.98050000000000004</v>
      </c>
      <c r="BI72" s="25">
        <f>VLOOKUP(Inventory[[#This Row],[Cnd]],Lookups!$T$7:$W$16,4,FALSE)</f>
        <v>0.99650000000000005</v>
      </c>
      <c r="BJ72" s="25">
        <f>VLOOKUP(Inventory[[#This Row],[LivArea Range]],Lookups!$T$25:$W$37,4,FALSE)</f>
        <v>1.0093000000000001</v>
      </c>
      <c r="BK72" s="25">
        <f>VLOOKUP(Inventory[[#This Row],[Decade]],Lookups!$O$25:$R$42,4,FALSE)</f>
        <v>0.97319999999999995</v>
      </c>
      <c r="BL72" s="25">
        <f>Inventory[[#This Row],[Nbhd Adj]]*0.95</f>
        <v>0.94971499999999998</v>
      </c>
      <c r="BM72" s="25">
        <f>Inventory[[#This Row],[Nbhd Adj]]*Inventory[[#This Row],[Quality Adj]]*Inventory[[#This Row],[Condition Adj]]*Inventory[[#This Row],[Living Area Adj]]*Inventory[[#This Row],[Decade Adj]]*0.95</f>
        <v>0.91146620765877828</v>
      </c>
      <c r="BN72" s="25">
        <f>ROUND(SUM(Inventory[[#This Row],[Mdl Qlty]:[Mdl WdDeck]])+Inventory[[#This Row],[Mdl Res Intercept]]*Inventory[[#This Row],[Res Adj ]],-2)</f>
        <v>348100</v>
      </c>
      <c r="BO72" s="25">
        <f>ROUND(Inventory[[#This Row],[25Det]]*Inventory[[#This Row],[Det/Nbhd Adj]],-2)</f>
        <v>0</v>
      </c>
      <c r="BP72" s="25">
        <f>Inventory[[#This Row],[Adjusted Res]]+Inventory[[#This Row],[Adj Det ]]</f>
        <v>348100</v>
      </c>
      <c r="BQ72" s="25">
        <f>ROUND((Inventory[[#This Row],[Mdl Land Intercept]]+Inventory[[#This Row],[Mdl LnAcres]])*Inventory[[#This Row],[Det/Nbhd Adj]],-2)</f>
        <v>35400</v>
      </c>
      <c r="BR72" s="25">
        <f>Inventory[[#This Row],[Adjusted Impr Total]]+Inventory[[#This Row],[Adjusted Land Total]]</f>
        <v>383500</v>
      </c>
      <c r="BS72" s="36">
        <f>IFERROR((Inventory[[#This Row],[Adjusted Impr Total]]-Inventory[[#This Row],[24Bldg]])/Inventory[[#This Row],[24Bldg]],0)</f>
        <v>0.41045380875202592</v>
      </c>
      <c r="BT72" s="36">
        <f>(Inventory[[#This Row],[Adjusted Land Total]]-Inventory[[#This Row],[24Lnd]])/Inventory[[#This Row],[24Lnd]]</f>
        <v>-0.14698795180722893</v>
      </c>
      <c r="BU72" s="36">
        <f>(Inventory[[#This Row],[Adjusted Total]]-Inventory[[#This Row],[24Final]])/Inventory[[#This Row],[24Final]]</f>
        <v>0.33021158515435312</v>
      </c>
    </row>
    <row r="73" spans="1:73" x14ac:dyDescent="0.3">
      <c r="A73" s="25">
        <v>2025</v>
      </c>
      <c r="B73" s="26" t="s">
        <v>681</v>
      </c>
      <c r="C73" s="26">
        <f>LN(Inventory[[#This Row],[Acres]])</f>
        <v>-1.8325814637483102</v>
      </c>
      <c r="D73" s="25">
        <v>0.16</v>
      </c>
      <c r="E73" s="25">
        <v>7129</v>
      </c>
      <c r="F73" s="26" t="s">
        <v>537</v>
      </c>
      <c r="G73" s="26" t="s">
        <v>126</v>
      </c>
      <c r="H73" s="26" t="s">
        <v>349</v>
      </c>
      <c r="I73" s="26" t="s">
        <v>538</v>
      </c>
      <c r="J73" s="26" t="s">
        <v>586</v>
      </c>
      <c r="K73" s="26" t="s">
        <v>592</v>
      </c>
      <c r="L73" s="26" t="s">
        <v>148</v>
      </c>
      <c r="M73" s="26" t="s">
        <v>303</v>
      </c>
      <c r="N73" s="26">
        <v>30</v>
      </c>
      <c r="O73" s="26">
        <f>2024-Inventory[[#This Row],[YrBlt]]</f>
        <v>29</v>
      </c>
      <c r="P73" s="26">
        <f>2024-Inventory[[#This Row],[EffYr]]</f>
        <v>29</v>
      </c>
      <c r="Q73" s="25">
        <v>1995</v>
      </c>
      <c r="R73" s="25">
        <v>1995</v>
      </c>
      <c r="S73" s="25">
        <v>1513</v>
      </c>
      <c r="T73" s="27"/>
      <c r="U73" s="27"/>
      <c r="V73" s="27">
        <f>Inventory[[#This Row],[Bsmt]]-Inventory[[#This Row],[FnBsmt]]</f>
        <v>0</v>
      </c>
      <c r="W73" s="27"/>
      <c r="X73" s="27"/>
      <c r="Y73" s="27">
        <f>Inventory[[#This Row],[MainFn]]+Inventory[[#This Row],[UpprFn]]+Inventory[[#This Row],[FnBsmt]]+Inventory[[#This Row],[AddFn]]</f>
        <v>1513</v>
      </c>
      <c r="Z73" s="27">
        <v>2000</v>
      </c>
      <c r="AA73" s="25">
        <v>10</v>
      </c>
      <c r="AB73" s="25">
        <v>462</v>
      </c>
      <c r="AC73" s="27"/>
      <c r="AD73" s="27"/>
      <c r="AE73" s="27"/>
      <c r="AF73" s="27"/>
      <c r="AG73" s="27"/>
      <c r="AH73" s="27"/>
      <c r="AI73" s="25">
        <v>344306</v>
      </c>
      <c r="AJ73" s="25">
        <v>299546</v>
      </c>
      <c r="AK73" s="25">
        <v>0</v>
      </c>
      <c r="AL73" s="25">
        <v>287600</v>
      </c>
      <c r="AM73" s="25">
        <v>41000</v>
      </c>
      <c r="AN73" s="25">
        <v>246600</v>
      </c>
      <c r="AO73" s="25">
        <v>0</v>
      </c>
      <c r="AP73" s="25">
        <f>Lookups!$B$56*0</f>
        <v>0</v>
      </c>
      <c r="AQ73" s="25">
        <f>Lookups!$B$56*1</f>
        <v>89850.625589999996</v>
      </c>
      <c r="AR73" s="25">
        <f>Lookups!$B$57*Inventory[[#This Row],[LnAcres]]</f>
        <v>-58009.662049032086</v>
      </c>
      <c r="AS73" s="25">
        <f>VLOOKUP(Inventory[[#This Row],[Qlty]],Lookups!$A$62:$E$75,2,FALSE)</f>
        <v>44121.038090000002</v>
      </c>
      <c r="AT73" s="25">
        <f>VLOOKUP(Inventory[[#This Row],[Cnd]],Lookups!$A$76:$E$84,2,FALSE)</f>
        <v>197752.34721000001</v>
      </c>
      <c r="AU73" s="25">
        <f>Inventory[[#This Row],[EffAge]]*Lookups!$B$85</f>
        <v>-6468.3224145000004</v>
      </c>
      <c r="AV73" s="25">
        <f>Inventory[[#This Row],[MainFn]]*Lookups!$B$86</f>
        <v>74755.317523901002</v>
      </c>
      <c r="AW73" s="25">
        <f>Inventory[[#This Row],[UpprFn]]*Lookups!$B$87</f>
        <v>0</v>
      </c>
      <c r="AX73" s="25">
        <f>Inventory[[#This Row],[AddFn]]*Lookups!$B$88</f>
        <v>0</v>
      </c>
      <c r="AY73" s="25">
        <f>Inventory[[#This Row],[Bsmt]]*Lookups!$B$89</f>
        <v>0</v>
      </c>
      <c r="AZ73" s="25">
        <f>Inventory[[#This Row],[Fixtures]]*Lookups!$B$90</f>
        <v>37920.221052000001</v>
      </c>
      <c r="BA73" s="25">
        <f>Inventory[[#This Row],[WdDeck]]*Lookups!$B$91</f>
        <v>0</v>
      </c>
      <c r="BB73" s="25">
        <f>ROUND(Inventory[[#This Row],[25Det]],-2)</f>
        <v>0</v>
      </c>
      <c r="BC73" s="25">
        <f>ROUND(SUM(Inventory[[#This Row],[Mdl Qlty]:[Mdl WdDeck]])+Inventory[[#This Row],[Mdl Res Intercept]],-2)</f>
        <v>348100</v>
      </c>
      <c r="BD73" s="25">
        <f>ROUND(Inventory[[#This Row],[Mdl Land Intercept]]+Inventory[[#This Row],[Mdl LnAcres]],-2)</f>
        <v>31800</v>
      </c>
      <c r="BE73" s="25">
        <f>Inventory[[#This Row],[Unadj Res Value]]+Inventory[[#This Row],[Unadj Det Value]]+Inventory[[#This Row],[Unadj Land Value]]</f>
        <v>379900</v>
      </c>
      <c r="BF73" s="36">
        <f>(Inventory[[#This Row],[Unadj Total Value]]-Inventory[[#This Row],[24Final]])/Inventory[[#This Row],[24Final]]</f>
        <v>0.3209318497913769</v>
      </c>
      <c r="BG73" s="25">
        <f>VLOOKUP(Inventory[[#This Row],[Nbhd]],Lookups!$Q$2:$T$4,4,FALSE)</f>
        <v>0.99970000000000003</v>
      </c>
      <c r="BH73" s="25">
        <f>VLOOKUP(Inventory[[#This Row],[Qlty]],Lookups!$O$7:$R$21,4,FALSE)</f>
        <v>0.98050000000000004</v>
      </c>
      <c r="BI73" s="25">
        <f>VLOOKUP(Inventory[[#This Row],[Cnd]],Lookups!$T$7:$W$16,4,FALSE)</f>
        <v>0.99650000000000005</v>
      </c>
      <c r="BJ73" s="25">
        <f>VLOOKUP(Inventory[[#This Row],[LivArea Range]],Lookups!$T$25:$W$37,4,FALSE)</f>
        <v>1.0093000000000001</v>
      </c>
      <c r="BK73" s="25">
        <f>VLOOKUP(Inventory[[#This Row],[Decade]],Lookups!$O$25:$R$42,4,FALSE)</f>
        <v>0.97319999999999995</v>
      </c>
      <c r="BL73" s="25">
        <f>Inventory[[#This Row],[Nbhd Adj]]*0.95</f>
        <v>0.94971499999999998</v>
      </c>
      <c r="BM73" s="25">
        <f>Inventory[[#This Row],[Nbhd Adj]]*Inventory[[#This Row],[Quality Adj]]*Inventory[[#This Row],[Condition Adj]]*Inventory[[#This Row],[Living Area Adj]]*Inventory[[#This Row],[Decade Adj]]*0.95</f>
        <v>0.91146620765877828</v>
      </c>
      <c r="BN73" s="25">
        <f>ROUND(SUM(Inventory[[#This Row],[Mdl Qlty]:[Mdl WdDeck]])+Inventory[[#This Row],[Mdl Res Intercept]]*Inventory[[#This Row],[Res Adj ]],-2)</f>
        <v>348100</v>
      </c>
      <c r="BO73" s="25">
        <f>ROUND(Inventory[[#This Row],[25Det]]*Inventory[[#This Row],[Det/Nbhd Adj]],-2)</f>
        <v>0</v>
      </c>
      <c r="BP73" s="25">
        <f>Inventory[[#This Row],[Adjusted Res]]+Inventory[[#This Row],[Adj Det ]]</f>
        <v>348100</v>
      </c>
      <c r="BQ73" s="25">
        <f>ROUND((Inventory[[#This Row],[Mdl Land Intercept]]+Inventory[[#This Row],[Mdl LnAcres]])*Inventory[[#This Row],[Det/Nbhd Adj]],-2)</f>
        <v>30200</v>
      </c>
      <c r="BR73" s="25">
        <f>Inventory[[#This Row],[Adjusted Impr Total]]+Inventory[[#This Row],[Adjusted Land Total]]</f>
        <v>378300</v>
      </c>
      <c r="BS73" s="36">
        <f>IFERROR((Inventory[[#This Row],[Adjusted Impr Total]]-Inventory[[#This Row],[24Bldg]])/Inventory[[#This Row],[24Bldg]],0)</f>
        <v>0.41159772911597731</v>
      </c>
      <c r="BT73" s="36">
        <f>(Inventory[[#This Row],[Adjusted Land Total]]-Inventory[[#This Row],[24Lnd]])/Inventory[[#This Row],[24Lnd]]</f>
        <v>-0.26341463414634148</v>
      </c>
      <c r="BU73" s="36">
        <f>(Inventory[[#This Row],[Adjusted Total]]-Inventory[[#This Row],[24Final]])/Inventory[[#This Row],[24Final]]</f>
        <v>0.31536856745479835</v>
      </c>
    </row>
    <row r="74" spans="1:73" x14ac:dyDescent="0.3">
      <c r="A74" s="25">
        <v>2025</v>
      </c>
      <c r="B74" s="26" t="s">
        <v>678</v>
      </c>
      <c r="C74" s="26">
        <f>LN(Inventory[[#This Row],[Acres]])</f>
        <v>-1.6607312068216509</v>
      </c>
      <c r="D74" s="25">
        <v>0.19</v>
      </c>
      <c r="E74" s="25">
        <v>8216</v>
      </c>
      <c r="F74" s="26" t="s">
        <v>537</v>
      </c>
      <c r="G74" s="26" t="s">
        <v>126</v>
      </c>
      <c r="H74" s="26" t="s">
        <v>349</v>
      </c>
      <c r="I74" s="26" t="s">
        <v>538</v>
      </c>
      <c r="J74" s="26" t="s">
        <v>586</v>
      </c>
      <c r="K74" s="26" t="s">
        <v>592</v>
      </c>
      <c r="L74" s="26" t="s">
        <v>148</v>
      </c>
      <c r="M74" s="26" t="s">
        <v>303</v>
      </c>
      <c r="N74" s="26">
        <v>30</v>
      </c>
      <c r="O74" s="26">
        <f>2024-Inventory[[#This Row],[YrBlt]]</f>
        <v>29</v>
      </c>
      <c r="P74" s="26">
        <f>2024-Inventory[[#This Row],[EffYr]]</f>
        <v>29</v>
      </c>
      <c r="Q74" s="25">
        <v>1995</v>
      </c>
      <c r="R74" s="25">
        <v>1995</v>
      </c>
      <c r="S74" s="25">
        <v>1580</v>
      </c>
      <c r="T74" s="27"/>
      <c r="U74" s="27"/>
      <c r="V74" s="27">
        <f>Inventory[[#This Row],[Bsmt]]-Inventory[[#This Row],[FnBsmt]]</f>
        <v>0</v>
      </c>
      <c r="W74" s="27"/>
      <c r="X74" s="27"/>
      <c r="Y74" s="27">
        <f>Inventory[[#This Row],[MainFn]]+Inventory[[#This Row],[UpprFn]]+Inventory[[#This Row],[FnBsmt]]+Inventory[[#This Row],[AddFn]]</f>
        <v>1580</v>
      </c>
      <c r="Z74" s="27">
        <v>2000</v>
      </c>
      <c r="AA74" s="25">
        <v>10</v>
      </c>
      <c r="AB74" s="25">
        <v>441</v>
      </c>
      <c r="AC74" s="27"/>
      <c r="AD74" s="27"/>
      <c r="AE74" s="27"/>
      <c r="AF74" s="27"/>
      <c r="AG74" s="27"/>
      <c r="AH74" s="27"/>
      <c r="AI74" s="25">
        <v>353025</v>
      </c>
      <c r="AJ74" s="25">
        <v>307132</v>
      </c>
      <c r="AK74" s="25">
        <v>0</v>
      </c>
      <c r="AL74" s="25">
        <v>294300</v>
      </c>
      <c r="AM74" s="25">
        <v>41400</v>
      </c>
      <c r="AN74" s="25">
        <v>252900</v>
      </c>
      <c r="AO74" s="25">
        <v>0</v>
      </c>
      <c r="AP74" s="25">
        <f>Lookups!$B$56*0</f>
        <v>0</v>
      </c>
      <c r="AQ74" s="25">
        <f>Lookups!$B$56*1</f>
        <v>89850.625589999996</v>
      </c>
      <c r="AR74" s="25">
        <f>Lookups!$B$57*Inventory[[#This Row],[LnAcres]]</f>
        <v>-52569.808201026557</v>
      </c>
      <c r="AS74" s="25">
        <f>VLOOKUP(Inventory[[#This Row],[Qlty]],Lookups!$A$62:$E$75,2,FALSE)</f>
        <v>44121.038090000002</v>
      </c>
      <c r="AT74" s="25">
        <f>VLOOKUP(Inventory[[#This Row],[Cnd]],Lookups!$A$76:$E$84,2,FALSE)</f>
        <v>197752.34721000001</v>
      </c>
      <c r="AU74" s="25">
        <f>Inventory[[#This Row],[EffAge]]*Lookups!$B$85</f>
        <v>-6468.3224145000004</v>
      </c>
      <c r="AV74" s="25">
        <f>Inventory[[#This Row],[MainFn]]*Lookups!$B$86</f>
        <v>78065.698405660005</v>
      </c>
      <c r="AW74" s="25">
        <f>Inventory[[#This Row],[UpprFn]]*Lookups!$B$87</f>
        <v>0</v>
      </c>
      <c r="AX74" s="25">
        <f>Inventory[[#This Row],[AddFn]]*Lookups!$B$88</f>
        <v>0</v>
      </c>
      <c r="AY74" s="25">
        <f>Inventory[[#This Row],[Bsmt]]*Lookups!$B$89</f>
        <v>0</v>
      </c>
      <c r="AZ74" s="25">
        <f>Inventory[[#This Row],[Fixtures]]*Lookups!$B$90</f>
        <v>37920.221052000001</v>
      </c>
      <c r="BA74" s="25">
        <f>Inventory[[#This Row],[WdDeck]]*Lookups!$B$91</f>
        <v>0</v>
      </c>
      <c r="BB74" s="25">
        <f>ROUND(Inventory[[#This Row],[25Det]],-2)</f>
        <v>0</v>
      </c>
      <c r="BC74" s="25">
        <f>ROUND(SUM(Inventory[[#This Row],[Mdl Qlty]:[Mdl WdDeck]])+Inventory[[#This Row],[Mdl Res Intercept]],-2)</f>
        <v>351400</v>
      </c>
      <c r="BD74" s="25">
        <f>ROUND(Inventory[[#This Row],[Mdl Land Intercept]]+Inventory[[#This Row],[Mdl LnAcres]],-2)</f>
        <v>37300</v>
      </c>
      <c r="BE74" s="25">
        <f>Inventory[[#This Row],[Unadj Res Value]]+Inventory[[#This Row],[Unadj Det Value]]+Inventory[[#This Row],[Unadj Land Value]]</f>
        <v>388700</v>
      </c>
      <c r="BF74" s="36">
        <f>(Inventory[[#This Row],[Unadj Total Value]]-Inventory[[#This Row],[24Final]])/Inventory[[#This Row],[24Final]]</f>
        <v>0.32076112810057766</v>
      </c>
      <c r="BG74" s="25">
        <f>VLOOKUP(Inventory[[#This Row],[Nbhd]],Lookups!$Q$2:$T$4,4,FALSE)</f>
        <v>0.99970000000000003</v>
      </c>
      <c r="BH74" s="25">
        <f>VLOOKUP(Inventory[[#This Row],[Qlty]],Lookups!$O$7:$R$21,4,FALSE)</f>
        <v>0.98050000000000004</v>
      </c>
      <c r="BI74" s="25">
        <f>VLOOKUP(Inventory[[#This Row],[Cnd]],Lookups!$T$7:$W$16,4,FALSE)</f>
        <v>0.99650000000000005</v>
      </c>
      <c r="BJ74" s="25">
        <f>VLOOKUP(Inventory[[#This Row],[LivArea Range]],Lookups!$T$25:$W$37,4,FALSE)</f>
        <v>1.0093000000000001</v>
      </c>
      <c r="BK74" s="25">
        <f>VLOOKUP(Inventory[[#This Row],[Decade]],Lookups!$O$25:$R$42,4,FALSE)</f>
        <v>0.97319999999999995</v>
      </c>
      <c r="BL74" s="25">
        <f>Inventory[[#This Row],[Nbhd Adj]]*0.95</f>
        <v>0.94971499999999998</v>
      </c>
      <c r="BM74" s="25">
        <f>Inventory[[#This Row],[Nbhd Adj]]*Inventory[[#This Row],[Quality Adj]]*Inventory[[#This Row],[Condition Adj]]*Inventory[[#This Row],[Living Area Adj]]*Inventory[[#This Row],[Decade Adj]]*0.95</f>
        <v>0.91146620765877828</v>
      </c>
      <c r="BN74" s="25">
        <f>ROUND(SUM(Inventory[[#This Row],[Mdl Qlty]:[Mdl WdDeck]])+Inventory[[#This Row],[Mdl Res Intercept]]*Inventory[[#This Row],[Res Adj ]],-2)</f>
        <v>351400</v>
      </c>
      <c r="BO74" s="25">
        <f>ROUND(Inventory[[#This Row],[25Det]]*Inventory[[#This Row],[Det/Nbhd Adj]],-2)</f>
        <v>0</v>
      </c>
      <c r="BP74" s="25">
        <f>Inventory[[#This Row],[Adjusted Res]]+Inventory[[#This Row],[Adj Det ]]</f>
        <v>351400</v>
      </c>
      <c r="BQ74" s="25">
        <f>ROUND((Inventory[[#This Row],[Mdl Land Intercept]]+Inventory[[#This Row],[Mdl LnAcres]])*Inventory[[#This Row],[Det/Nbhd Adj]],-2)</f>
        <v>35400</v>
      </c>
      <c r="BR74" s="25">
        <f>Inventory[[#This Row],[Adjusted Impr Total]]+Inventory[[#This Row],[Adjusted Land Total]]</f>
        <v>386800</v>
      </c>
      <c r="BS74" s="36">
        <f>IFERROR((Inventory[[#This Row],[Adjusted Impr Total]]-Inventory[[#This Row],[24Bldg]])/Inventory[[#This Row],[24Bldg]],0)</f>
        <v>0.38948200869909055</v>
      </c>
      <c r="BT74" s="36">
        <f>(Inventory[[#This Row],[Adjusted Land Total]]-Inventory[[#This Row],[24Lnd]])/Inventory[[#This Row],[24Lnd]]</f>
        <v>-0.14492753623188406</v>
      </c>
      <c r="BU74" s="36">
        <f>(Inventory[[#This Row],[Adjusted Total]]-Inventory[[#This Row],[24Final]])/Inventory[[#This Row],[24Final]]</f>
        <v>0.31430513081889228</v>
      </c>
    </row>
    <row r="75" spans="1:73" x14ac:dyDescent="0.3">
      <c r="A75" s="25">
        <v>2025</v>
      </c>
      <c r="B75" s="26" t="s">
        <v>679</v>
      </c>
      <c r="C75" s="26">
        <f>LN(Inventory[[#This Row],[Acres]])</f>
        <v>-1.6607312068216509</v>
      </c>
      <c r="D75" s="25">
        <v>0.19</v>
      </c>
      <c r="E75" s="25">
        <v>8208</v>
      </c>
      <c r="F75" s="26" t="s">
        <v>537</v>
      </c>
      <c r="G75" s="26" t="s">
        <v>126</v>
      </c>
      <c r="H75" s="26" t="s">
        <v>349</v>
      </c>
      <c r="I75" s="26" t="s">
        <v>538</v>
      </c>
      <c r="J75" s="26" t="s">
        <v>586</v>
      </c>
      <c r="K75" s="26" t="s">
        <v>592</v>
      </c>
      <c r="L75" s="26" t="s">
        <v>148</v>
      </c>
      <c r="M75" s="26" t="s">
        <v>303</v>
      </c>
      <c r="N75" s="26">
        <v>30</v>
      </c>
      <c r="O75" s="26">
        <f>2024-Inventory[[#This Row],[YrBlt]]</f>
        <v>29</v>
      </c>
      <c r="P75" s="26">
        <f>2024-Inventory[[#This Row],[EffYr]]</f>
        <v>29</v>
      </c>
      <c r="Q75" s="25">
        <v>1995</v>
      </c>
      <c r="R75" s="25">
        <v>1995</v>
      </c>
      <c r="S75" s="25">
        <v>1580</v>
      </c>
      <c r="T75" s="27"/>
      <c r="U75" s="27"/>
      <c r="V75" s="27">
        <f>Inventory[[#This Row],[Bsmt]]-Inventory[[#This Row],[FnBsmt]]</f>
        <v>0</v>
      </c>
      <c r="W75" s="27"/>
      <c r="X75" s="27"/>
      <c r="Y75" s="27">
        <f>Inventory[[#This Row],[MainFn]]+Inventory[[#This Row],[UpprFn]]+Inventory[[#This Row],[FnBsmt]]+Inventory[[#This Row],[AddFn]]</f>
        <v>1580</v>
      </c>
      <c r="Z75" s="27">
        <v>2000</v>
      </c>
      <c r="AA75" s="25">
        <v>10</v>
      </c>
      <c r="AB75" s="25">
        <v>441</v>
      </c>
      <c r="AC75" s="27"/>
      <c r="AD75" s="27"/>
      <c r="AE75" s="27"/>
      <c r="AF75" s="27"/>
      <c r="AG75" s="27"/>
      <c r="AH75" s="27"/>
      <c r="AI75" s="25">
        <v>353025</v>
      </c>
      <c r="AJ75" s="25">
        <v>307132</v>
      </c>
      <c r="AK75" s="25">
        <v>0</v>
      </c>
      <c r="AL75" s="25">
        <v>294400</v>
      </c>
      <c r="AM75" s="25">
        <v>41500</v>
      </c>
      <c r="AN75" s="25">
        <v>252900</v>
      </c>
      <c r="AO75" s="25">
        <v>0</v>
      </c>
      <c r="AP75" s="25">
        <f>Lookups!$B$56*0</f>
        <v>0</v>
      </c>
      <c r="AQ75" s="25">
        <f>Lookups!$B$56*1</f>
        <v>89850.625589999996</v>
      </c>
      <c r="AR75" s="25">
        <f>Lookups!$B$57*Inventory[[#This Row],[LnAcres]]</f>
        <v>-52569.808201026557</v>
      </c>
      <c r="AS75" s="25">
        <f>VLOOKUP(Inventory[[#This Row],[Qlty]],Lookups!$A$62:$E$75,2,FALSE)</f>
        <v>44121.038090000002</v>
      </c>
      <c r="AT75" s="25">
        <f>VLOOKUP(Inventory[[#This Row],[Cnd]],Lookups!$A$76:$E$84,2,FALSE)</f>
        <v>197752.34721000001</v>
      </c>
      <c r="AU75" s="25">
        <f>Inventory[[#This Row],[EffAge]]*Lookups!$B$85</f>
        <v>-6468.3224145000004</v>
      </c>
      <c r="AV75" s="25">
        <f>Inventory[[#This Row],[MainFn]]*Lookups!$B$86</f>
        <v>78065.698405660005</v>
      </c>
      <c r="AW75" s="25">
        <f>Inventory[[#This Row],[UpprFn]]*Lookups!$B$87</f>
        <v>0</v>
      </c>
      <c r="AX75" s="25">
        <f>Inventory[[#This Row],[AddFn]]*Lookups!$B$88</f>
        <v>0</v>
      </c>
      <c r="AY75" s="25">
        <f>Inventory[[#This Row],[Bsmt]]*Lookups!$B$89</f>
        <v>0</v>
      </c>
      <c r="AZ75" s="25">
        <f>Inventory[[#This Row],[Fixtures]]*Lookups!$B$90</f>
        <v>37920.221052000001</v>
      </c>
      <c r="BA75" s="25">
        <f>Inventory[[#This Row],[WdDeck]]*Lookups!$B$91</f>
        <v>0</v>
      </c>
      <c r="BB75" s="25">
        <f>ROUND(Inventory[[#This Row],[25Det]],-2)</f>
        <v>0</v>
      </c>
      <c r="BC75" s="25">
        <f>ROUND(SUM(Inventory[[#This Row],[Mdl Qlty]:[Mdl WdDeck]])+Inventory[[#This Row],[Mdl Res Intercept]],-2)</f>
        <v>351400</v>
      </c>
      <c r="BD75" s="25">
        <f>ROUND(Inventory[[#This Row],[Mdl Land Intercept]]+Inventory[[#This Row],[Mdl LnAcres]],-2)</f>
        <v>37300</v>
      </c>
      <c r="BE75" s="25">
        <f>Inventory[[#This Row],[Unadj Res Value]]+Inventory[[#This Row],[Unadj Det Value]]+Inventory[[#This Row],[Unadj Land Value]]</f>
        <v>388700</v>
      </c>
      <c r="BF75" s="36">
        <f>(Inventory[[#This Row],[Unadj Total Value]]-Inventory[[#This Row],[24Final]])/Inventory[[#This Row],[24Final]]</f>
        <v>0.3203125</v>
      </c>
      <c r="BG75" s="25">
        <f>VLOOKUP(Inventory[[#This Row],[Nbhd]],Lookups!$Q$2:$T$4,4,FALSE)</f>
        <v>0.99970000000000003</v>
      </c>
      <c r="BH75" s="25">
        <f>VLOOKUP(Inventory[[#This Row],[Qlty]],Lookups!$O$7:$R$21,4,FALSE)</f>
        <v>0.98050000000000004</v>
      </c>
      <c r="BI75" s="25">
        <f>VLOOKUP(Inventory[[#This Row],[Cnd]],Lookups!$T$7:$W$16,4,FALSE)</f>
        <v>0.99650000000000005</v>
      </c>
      <c r="BJ75" s="25">
        <f>VLOOKUP(Inventory[[#This Row],[LivArea Range]],Lookups!$T$25:$W$37,4,FALSE)</f>
        <v>1.0093000000000001</v>
      </c>
      <c r="BK75" s="25">
        <f>VLOOKUP(Inventory[[#This Row],[Decade]],Lookups!$O$25:$R$42,4,FALSE)</f>
        <v>0.97319999999999995</v>
      </c>
      <c r="BL75" s="25">
        <f>Inventory[[#This Row],[Nbhd Adj]]*0.95</f>
        <v>0.94971499999999998</v>
      </c>
      <c r="BM75" s="25">
        <f>Inventory[[#This Row],[Nbhd Adj]]*Inventory[[#This Row],[Quality Adj]]*Inventory[[#This Row],[Condition Adj]]*Inventory[[#This Row],[Living Area Adj]]*Inventory[[#This Row],[Decade Adj]]*0.95</f>
        <v>0.91146620765877828</v>
      </c>
      <c r="BN75" s="25">
        <f>ROUND(SUM(Inventory[[#This Row],[Mdl Qlty]:[Mdl WdDeck]])+Inventory[[#This Row],[Mdl Res Intercept]]*Inventory[[#This Row],[Res Adj ]],-2)</f>
        <v>351400</v>
      </c>
      <c r="BO75" s="25">
        <f>ROUND(Inventory[[#This Row],[25Det]]*Inventory[[#This Row],[Det/Nbhd Adj]],-2)</f>
        <v>0</v>
      </c>
      <c r="BP75" s="25">
        <f>Inventory[[#This Row],[Adjusted Res]]+Inventory[[#This Row],[Adj Det ]]</f>
        <v>351400</v>
      </c>
      <c r="BQ75" s="25">
        <f>ROUND((Inventory[[#This Row],[Mdl Land Intercept]]+Inventory[[#This Row],[Mdl LnAcres]])*Inventory[[#This Row],[Det/Nbhd Adj]],-2)</f>
        <v>35400</v>
      </c>
      <c r="BR75" s="25">
        <f>Inventory[[#This Row],[Adjusted Impr Total]]+Inventory[[#This Row],[Adjusted Land Total]]</f>
        <v>386800</v>
      </c>
      <c r="BS75" s="36">
        <f>IFERROR((Inventory[[#This Row],[Adjusted Impr Total]]-Inventory[[#This Row],[24Bldg]])/Inventory[[#This Row],[24Bldg]],0)</f>
        <v>0.38948200869909055</v>
      </c>
      <c r="BT75" s="36">
        <f>(Inventory[[#This Row],[Adjusted Land Total]]-Inventory[[#This Row],[24Lnd]])/Inventory[[#This Row],[24Lnd]]</f>
        <v>-0.14698795180722893</v>
      </c>
      <c r="BU75" s="36">
        <f>(Inventory[[#This Row],[Adjusted Total]]-Inventory[[#This Row],[24Final]])/Inventory[[#This Row],[24Final]]</f>
        <v>0.31385869565217389</v>
      </c>
    </row>
    <row r="76" spans="1:73" x14ac:dyDescent="0.3">
      <c r="A76" s="25">
        <v>2025</v>
      </c>
      <c r="B76" s="26" t="s">
        <v>684</v>
      </c>
      <c r="C76" s="26">
        <f>LN(Inventory[[#This Row],[Acres]])</f>
        <v>-1.8971199848858813</v>
      </c>
      <c r="D76" s="25">
        <v>0.15</v>
      </c>
      <c r="E76" s="25">
        <v>6663</v>
      </c>
      <c r="F76" s="26" t="s">
        <v>537</v>
      </c>
      <c r="G76" s="26" t="s">
        <v>126</v>
      </c>
      <c r="H76" s="26" t="s">
        <v>349</v>
      </c>
      <c r="I76" s="26" t="s">
        <v>538</v>
      </c>
      <c r="J76" s="26" t="s">
        <v>586</v>
      </c>
      <c r="K76" s="26" t="s">
        <v>592</v>
      </c>
      <c r="L76" s="26" t="s">
        <v>148</v>
      </c>
      <c r="M76" s="26" t="s">
        <v>303</v>
      </c>
      <c r="N76" s="26">
        <v>30</v>
      </c>
      <c r="O76" s="26">
        <f>2024-Inventory[[#This Row],[YrBlt]]</f>
        <v>29</v>
      </c>
      <c r="P76" s="26">
        <f>2024-Inventory[[#This Row],[EffYr]]</f>
        <v>29</v>
      </c>
      <c r="Q76" s="25">
        <v>1995</v>
      </c>
      <c r="R76" s="25">
        <v>1995</v>
      </c>
      <c r="S76" s="25">
        <v>1513</v>
      </c>
      <c r="T76" s="31"/>
      <c r="U76" s="27"/>
      <c r="V76" s="27">
        <f>Inventory[[#This Row],[Bsmt]]-Inventory[[#This Row],[FnBsmt]]</f>
        <v>0</v>
      </c>
      <c r="W76" s="27"/>
      <c r="X76" s="27"/>
      <c r="Y76" s="27">
        <f>Inventory[[#This Row],[MainFn]]+Inventory[[#This Row],[UpprFn]]+Inventory[[#This Row],[FnBsmt]]+Inventory[[#This Row],[AddFn]]</f>
        <v>1513</v>
      </c>
      <c r="Z76" s="27">
        <v>2000</v>
      </c>
      <c r="AA76" s="25">
        <v>10</v>
      </c>
      <c r="AB76" s="32">
        <v>462</v>
      </c>
      <c r="AC76" s="31"/>
      <c r="AD76" s="27"/>
      <c r="AE76" s="27"/>
      <c r="AF76" s="27"/>
      <c r="AG76" s="27"/>
      <c r="AH76" s="27"/>
      <c r="AI76" s="25">
        <v>344562</v>
      </c>
      <c r="AJ76" s="25">
        <v>299769</v>
      </c>
      <c r="AK76" s="25">
        <v>0</v>
      </c>
      <c r="AL76" s="25">
        <v>287500</v>
      </c>
      <c r="AM76" s="25">
        <v>40700</v>
      </c>
      <c r="AN76" s="25">
        <v>246800</v>
      </c>
      <c r="AO76" s="25">
        <v>0</v>
      </c>
      <c r="AP76" s="25">
        <f>Lookups!$B$56*0</f>
        <v>0</v>
      </c>
      <c r="AQ76" s="25">
        <f>Lookups!$B$56*1</f>
        <v>89850.625589999996</v>
      </c>
      <c r="AR76" s="25">
        <f>Lookups!$B$57*Inventory[[#This Row],[LnAcres]]</f>
        <v>-60052.604136134301</v>
      </c>
      <c r="AS76" s="25">
        <f>VLOOKUP(Inventory[[#This Row],[Qlty]],Lookups!$A$62:$E$75,2,FALSE)</f>
        <v>44121.038090000002</v>
      </c>
      <c r="AT76" s="25">
        <f>VLOOKUP(Inventory[[#This Row],[Cnd]],Lookups!$A$76:$E$84,2,FALSE)</f>
        <v>197752.34721000001</v>
      </c>
      <c r="AU76" s="25">
        <f>Inventory[[#This Row],[EffAge]]*Lookups!$B$85</f>
        <v>-6468.3224145000004</v>
      </c>
      <c r="AV76" s="25">
        <f>Inventory[[#This Row],[MainFn]]*Lookups!$B$86</f>
        <v>74755.317523901002</v>
      </c>
      <c r="AW76" s="25">
        <f>Inventory[[#This Row],[UpprFn]]*Lookups!$B$87</f>
        <v>0</v>
      </c>
      <c r="AX76" s="25">
        <f>Inventory[[#This Row],[AddFn]]*Lookups!$B$88</f>
        <v>0</v>
      </c>
      <c r="AY76" s="25">
        <f>Inventory[[#This Row],[Bsmt]]*Lookups!$B$89</f>
        <v>0</v>
      </c>
      <c r="AZ76" s="25">
        <f>Inventory[[#This Row],[Fixtures]]*Lookups!$B$90</f>
        <v>37920.221052000001</v>
      </c>
      <c r="BA76" s="25">
        <f>Inventory[[#This Row],[WdDeck]]*Lookups!$B$91</f>
        <v>0</v>
      </c>
      <c r="BB76" s="25">
        <f>ROUND(Inventory[[#This Row],[25Det]],-2)</f>
        <v>0</v>
      </c>
      <c r="BC76" s="25">
        <f>ROUND(SUM(Inventory[[#This Row],[Mdl Qlty]:[Mdl WdDeck]])+Inventory[[#This Row],[Mdl Res Intercept]],-2)</f>
        <v>348100</v>
      </c>
      <c r="BD76" s="25">
        <f>ROUND(Inventory[[#This Row],[Mdl Land Intercept]]+Inventory[[#This Row],[Mdl LnAcres]],-2)</f>
        <v>29800</v>
      </c>
      <c r="BE76" s="25">
        <f>Inventory[[#This Row],[Unadj Res Value]]+Inventory[[#This Row],[Unadj Det Value]]+Inventory[[#This Row],[Unadj Land Value]]</f>
        <v>377900</v>
      </c>
      <c r="BF76" s="36">
        <f>(Inventory[[#This Row],[Unadj Total Value]]-Inventory[[#This Row],[24Final]])/Inventory[[#This Row],[24Final]]</f>
        <v>0.31443478260869567</v>
      </c>
      <c r="BG76" s="25">
        <f>VLOOKUP(Inventory[[#This Row],[Nbhd]],Lookups!$Q$2:$T$4,4,FALSE)</f>
        <v>0.99970000000000003</v>
      </c>
      <c r="BH76" s="25">
        <f>VLOOKUP(Inventory[[#This Row],[Qlty]],Lookups!$O$7:$R$21,4,FALSE)</f>
        <v>0.98050000000000004</v>
      </c>
      <c r="BI76" s="25">
        <f>VLOOKUP(Inventory[[#This Row],[Cnd]],Lookups!$T$7:$W$16,4,FALSE)</f>
        <v>0.99650000000000005</v>
      </c>
      <c r="BJ76" s="25">
        <f>VLOOKUP(Inventory[[#This Row],[LivArea Range]],Lookups!$T$25:$W$37,4,FALSE)</f>
        <v>1.0093000000000001</v>
      </c>
      <c r="BK76" s="25">
        <f>VLOOKUP(Inventory[[#This Row],[Decade]],Lookups!$O$25:$R$42,4,FALSE)</f>
        <v>0.97319999999999995</v>
      </c>
      <c r="BL76" s="25">
        <f>Inventory[[#This Row],[Nbhd Adj]]*0.95</f>
        <v>0.94971499999999998</v>
      </c>
      <c r="BM76" s="25">
        <f>Inventory[[#This Row],[Nbhd Adj]]*Inventory[[#This Row],[Quality Adj]]*Inventory[[#This Row],[Condition Adj]]*Inventory[[#This Row],[Living Area Adj]]*Inventory[[#This Row],[Decade Adj]]*0.95</f>
        <v>0.91146620765877828</v>
      </c>
      <c r="BN76" s="25">
        <f>ROUND(SUM(Inventory[[#This Row],[Mdl Qlty]:[Mdl WdDeck]])+Inventory[[#This Row],[Mdl Res Intercept]]*Inventory[[#This Row],[Res Adj ]],-2)</f>
        <v>348100</v>
      </c>
      <c r="BO76" s="25">
        <f>ROUND(Inventory[[#This Row],[25Det]]*Inventory[[#This Row],[Det/Nbhd Adj]],-2)</f>
        <v>0</v>
      </c>
      <c r="BP76" s="25">
        <f>Inventory[[#This Row],[Adjusted Res]]+Inventory[[#This Row],[Adj Det ]]</f>
        <v>348100</v>
      </c>
      <c r="BQ76" s="25">
        <f>ROUND((Inventory[[#This Row],[Mdl Land Intercept]]+Inventory[[#This Row],[Mdl LnAcres]])*Inventory[[#This Row],[Det/Nbhd Adj]],-2)</f>
        <v>28300</v>
      </c>
      <c r="BR76" s="25">
        <f>Inventory[[#This Row],[Adjusted Impr Total]]+Inventory[[#This Row],[Adjusted Land Total]]</f>
        <v>376400</v>
      </c>
      <c r="BS76" s="36">
        <f>IFERROR((Inventory[[#This Row],[Adjusted Impr Total]]-Inventory[[#This Row],[24Bldg]])/Inventory[[#This Row],[24Bldg]],0)</f>
        <v>0.41045380875202592</v>
      </c>
      <c r="BT76" s="36">
        <f>(Inventory[[#This Row],[Adjusted Land Total]]-Inventory[[#This Row],[24Lnd]])/Inventory[[#This Row],[24Lnd]]</f>
        <v>-0.30466830466830469</v>
      </c>
      <c r="BU76" s="36">
        <f>(Inventory[[#This Row],[Adjusted Total]]-Inventory[[#This Row],[24Final]])/Inventory[[#This Row],[24Final]]</f>
        <v>0.30921739130434783</v>
      </c>
    </row>
    <row r="77" spans="1:73" x14ac:dyDescent="0.3">
      <c r="A77" s="25">
        <v>2025</v>
      </c>
      <c r="B77" s="26" t="s">
        <v>680</v>
      </c>
      <c r="C77" s="26">
        <f>LN(Inventory[[#This Row],[Acres]])</f>
        <v>-1.8325814637483102</v>
      </c>
      <c r="D77" s="25">
        <v>0.16</v>
      </c>
      <c r="E77" s="25">
        <v>7045</v>
      </c>
      <c r="F77" s="26" t="s">
        <v>537</v>
      </c>
      <c r="G77" s="26" t="s">
        <v>126</v>
      </c>
      <c r="H77" s="26" t="s">
        <v>349</v>
      </c>
      <c r="I77" s="26" t="s">
        <v>538</v>
      </c>
      <c r="J77" s="26" t="s">
        <v>586</v>
      </c>
      <c r="K77" s="26" t="s">
        <v>592</v>
      </c>
      <c r="L77" s="26" t="s">
        <v>148</v>
      </c>
      <c r="M77" s="26" t="s">
        <v>303</v>
      </c>
      <c r="N77" s="26">
        <v>30</v>
      </c>
      <c r="O77" s="26">
        <f>2024-Inventory[[#This Row],[YrBlt]]</f>
        <v>29</v>
      </c>
      <c r="P77" s="26">
        <f>2024-Inventory[[#This Row],[EffYr]]</f>
        <v>29</v>
      </c>
      <c r="Q77" s="25">
        <v>1995</v>
      </c>
      <c r="R77" s="25">
        <v>1995</v>
      </c>
      <c r="S77" s="25">
        <v>1580</v>
      </c>
      <c r="T77" s="31"/>
      <c r="U77" s="27"/>
      <c r="V77" s="27">
        <f>Inventory[[#This Row],[Bsmt]]-Inventory[[#This Row],[FnBsmt]]</f>
        <v>0</v>
      </c>
      <c r="W77" s="27"/>
      <c r="X77" s="27"/>
      <c r="Y77" s="27">
        <f>Inventory[[#This Row],[MainFn]]+Inventory[[#This Row],[UpprFn]]+Inventory[[#This Row],[FnBsmt]]+Inventory[[#This Row],[AddFn]]</f>
        <v>1580</v>
      </c>
      <c r="Z77" s="27">
        <v>2000</v>
      </c>
      <c r="AA77" s="25">
        <v>10</v>
      </c>
      <c r="AB77" s="32">
        <v>441</v>
      </c>
      <c r="AC77" s="31"/>
      <c r="AD77" s="27"/>
      <c r="AE77" s="27"/>
      <c r="AF77" s="27"/>
      <c r="AG77" s="27"/>
      <c r="AH77" s="27"/>
      <c r="AI77" s="25">
        <v>353025</v>
      </c>
      <c r="AJ77" s="25">
        <v>307132</v>
      </c>
      <c r="AK77" s="25">
        <v>0</v>
      </c>
      <c r="AL77" s="25">
        <v>293800</v>
      </c>
      <c r="AM77" s="25">
        <v>40900</v>
      </c>
      <c r="AN77" s="25">
        <v>252900</v>
      </c>
      <c r="AO77" s="25">
        <v>0</v>
      </c>
      <c r="AP77" s="25">
        <f>Lookups!$B$56*0</f>
        <v>0</v>
      </c>
      <c r="AQ77" s="25">
        <f>Lookups!$B$56*1</f>
        <v>89850.625589999996</v>
      </c>
      <c r="AR77" s="25">
        <f>Lookups!$B$57*Inventory[[#This Row],[LnAcres]]</f>
        <v>-58009.662049032086</v>
      </c>
      <c r="AS77" s="25">
        <f>VLOOKUP(Inventory[[#This Row],[Qlty]],Lookups!$A$62:$E$75,2,FALSE)</f>
        <v>44121.038090000002</v>
      </c>
      <c r="AT77" s="25">
        <f>VLOOKUP(Inventory[[#This Row],[Cnd]],Lookups!$A$76:$E$84,2,FALSE)</f>
        <v>197752.34721000001</v>
      </c>
      <c r="AU77" s="25">
        <f>Inventory[[#This Row],[EffAge]]*Lookups!$B$85</f>
        <v>-6468.3224145000004</v>
      </c>
      <c r="AV77" s="25">
        <f>Inventory[[#This Row],[MainFn]]*Lookups!$B$86</f>
        <v>78065.698405660005</v>
      </c>
      <c r="AW77" s="25">
        <f>Inventory[[#This Row],[UpprFn]]*Lookups!$B$87</f>
        <v>0</v>
      </c>
      <c r="AX77" s="25">
        <f>Inventory[[#This Row],[AddFn]]*Lookups!$B$88</f>
        <v>0</v>
      </c>
      <c r="AY77" s="25">
        <f>Inventory[[#This Row],[Bsmt]]*Lookups!$B$89</f>
        <v>0</v>
      </c>
      <c r="AZ77" s="25">
        <f>Inventory[[#This Row],[Fixtures]]*Lookups!$B$90</f>
        <v>37920.221052000001</v>
      </c>
      <c r="BA77" s="25">
        <f>Inventory[[#This Row],[WdDeck]]*Lookups!$B$91</f>
        <v>0</v>
      </c>
      <c r="BB77" s="25">
        <f>ROUND(Inventory[[#This Row],[25Det]],-2)</f>
        <v>0</v>
      </c>
      <c r="BC77" s="25">
        <f>ROUND(SUM(Inventory[[#This Row],[Mdl Qlty]:[Mdl WdDeck]])+Inventory[[#This Row],[Mdl Res Intercept]],-2)</f>
        <v>351400</v>
      </c>
      <c r="BD77" s="25">
        <f>ROUND(Inventory[[#This Row],[Mdl Land Intercept]]+Inventory[[#This Row],[Mdl LnAcres]],-2)</f>
        <v>31800</v>
      </c>
      <c r="BE77" s="25">
        <f>Inventory[[#This Row],[Unadj Res Value]]+Inventory[[#This Row],[Unadj Det Value]]+Inventory[[#This Row],[Unadj Land Value]]</f>
        <v>383200</v>
      </c>
      <c r="BF77" s="36">
        <f>(Inventory[[#This Row],[Unadj Total Value]]-Inventory[[#This Row],[24Final]])/Inventory[[#This Row],[24Final]]</f>
        <v>0.30428863172226006</v>
      </c>
      <c r="BG77" s="25">
        <f>VLOOKUP(Inventory[[#This Row],[Nbhd]],Lookups!$Q$2:$T$4,4,FALSE)</f>
        <v>0.99970000000000003</v>
      </c>
      <c r="BH77" s="25">
        <f>VLOOKUP(Inventory[[#This Row],[Qlty]],Lookups!$O$7:$R$21,4,FALSE)</f>
        <v>0.98050000000000004</v>
      </c>
      <c r="BI77" s="25">
        <f>VLOOKUP(Inventory[[#This Row],[Cnd]],Lookups!$T$7:$W$16,4,FALSE)</f>
        <v>0.99650000000000005</v>
      </c>
      <c r="BJ77" s="25">
        <f>VLOOKUP(Inventory[[#This Row],[LivArea Range]],Lookups!$T$25:$W$37,4,FALSE)</f>
        <v>1.0093000000000001</v>
      </c>
      <c r="BK77" s="25">
        <f>VLOOKUP(Inventory[[#This Row],[Decade]],Lookups!$O$25:$R$42,4,FALSE)</f>
        <v>0.97319999999999995</v>
      </c>
      <c r="BL77" s="25">
        <f>Inventory[[#This Row],[Nbhd Adj]]*0.95</f>
        <v>0.94971499999999998</v>
      </c>
      <c r="BM77" s="25">
        <f>Inventory[[#This Row],[Nbhd Adj]]*Inventory[[#This Row],[Quality Adj]]*Inventory[[#This Row],[Condition Adj]]*Inventory[[#This Row],[Living Area Adj]]*Inventory[[#This Row],[Decade Adj]]*0.95</f>
        <v>0.91146620765877828</v>
      </c>
      <c r="BN77" s="25">
        <f>ROUND(SUM(Inventory[[#This Row],[Mdl Qlty]:[Mdl WdDeck]])+Inventory[[#This Row],[Mdl Res Intercept]]*Inventory[[#This Row],[Res Adj ]],-2)</f>
        <v>351400</v>
      </c>
      <c r="BO77" s="25">
        <f>ROUND(Inventory[[#This Row],[25Det]]*Inventory[[#This Row],[Det/Nbhd Adj]],-2)</f>
        <v>0</v>
      </c>
      <c r="BP77" s="25">
        <f>Inventory[[#This Row],[Adjusted Res]]+Inventory[[#This Row],[Adj Det ]]</f>
        <v>351400</v>
      </c>
      <c r="BQ77" s="25">
        <f>ROUND((Inventory[[#This Row],[Mdl Land Intercept]]+Inventory[[#This Row],[Mdl LnAcres]])*Inventory[[#This Row],[Det/Nbhd Adj]],-2)</f>
        <v>30200</v>
      </c>
      <c r="BR77" s="25">
        <f>Inventory[[#This Row],[Adjusted Impr Total]]+Inventory[[#This Row],[Adjusted Land Total]]</f>
        <v>381600</v>
      </c>
      <c r="BS77" s="36">
        <f>IFERROR((Inventory[[#This Row],[Adjusted Impr Total]]-Inventory[[#This Row],[24Bldg]])/Inventory[[#This Row],[24Bldg]],0)</f>
        <v>0.38948200869909055</v>
      </c>
      <c r="BT77" s="36">
        <f>(Inventory[[#This Row],[Adjusted Land Total]]-Inventory[[#This Row],[24Lnd]])/Inventory[[#This Row],[24Lnd]]</f>
        <v>-0.26161369193154033</v>
      </c>
      <c r="BU77" s="36">
        <f>(Inventory[[#This Row],[Adjusted Total]]-Inventory[[#This Row],[24Final]])/Inventory[[#This Row],[24Final]]</f>
        <v>0.2988427501701838</v>
      </c>
    </row>
    <row r="78" spans="1:73" x14ac:dyDescent="0.3">
      <c r="A78" s="25">
        <v>2025</v>
      </c>
      <c r="B78" s="26" t="s">
        <v>754</v>
      </c>
      <c r="C78" s="26">
        <f>LN(Inventory[[#This Row],[Acres]])</f>
        <v>-1.8971199848858813</v>
      </c>
      <c r="D78" s="25">
        <v>0.15</v>
      </c>
      <c r="E78" s="25">
        <v>6562</v>
      </c>
      <c r="F78" s="26" t="s">
        <v>537</v>
      </c>
      <c r="G78" s="26" t="s">
        <v>126</v>
      </c>
      <c r="H78" s="26" t="s">
        <v>349</v>
      </c>
      <c r="I78" s="26" t="s">
        <v>538</v>
      </c>
      <c r="J78" s="26" t="s">
        <v>586</v>
      </c>
      <c r="K78" s="26" t="s">
        <v>592</v>
      </c>
      <c r="L78" s="26" t="s">
        <v>148</v>
      </c>
      <c r="M78" s="26" t="s">
        <v>303</v>
      </c>
      <c r="N78" s="26">
        <v>30</v>
      </c>
      <c r="O78" s="26">
        <f>2024-Inventory[[#This Row],[YrBlt]]</f>
        <v>29</v>
      </c>
      <c r="P78" s="26">
        <f>2024-Inventory[[#This Row],[EffYr]]</f>
        <v>29</v>
      </c>
      <c r="Q78" s="25">
        <v>1995</v>
      </c>
      <c r="R78" s="25">
        <v>1995</v>
      </c>
      <c r="S78" s="25">
        <v>1580</v>
      </c>
      <c r="T78" s="31"/>
      <c r="U78" s="27"/>
      <c r="V78" s="27">
        <f>Inventory[[#This Row],[Bsmt]]-Inventory[[#This Row],[FnBsmt]]</f>
        <v>0</v>
      </c>
      <c r="W78" s="27"/>
      <c r="X78" s="27"/>
      <c r="Y78" s="27">
        <f>Inventory[[#This Row],[MainFn]]+Inventory[[#This Row],[UpprFn]]+Inventory[[#This Row],[FnBsmt]]+Inventory[[#This Row],[AddFn]]</f>
        <v>1580</v>
      </c>
      <c r="Z78" s="27">
        <v>2000</v>
      </c>
      <c r="AA78" s="25">
        <v>10</v>
      </c>
      <c r="AB78" s="32">
        <v>441</v>
      </c>
      <c r="AC78" s="31"/>
      <c r="AD78" s="27"/>
      <c r="AE78" s="27"/>
      <c r="AF78" s="27"/>
      <c r="AG78" s="27"/>
      <c r="AH78" s="27"/>
      <c r="AI78" s="25">
        <v>353025</v>
      </c>
      <c r="AJ78" s="25">
        <v>307132</v>
      </c>
      <c r="AK78" s="25">
        <v>0</v>
      </c>
      <c r="AL78" s="25">
        <v>293500</v>
      </c>
      <c r="AM78" s="25">
        <v>40600</v>
      </c>
      <c r="AN78" s="25">
        <v>252900</v>
      </c>
      <c r="AO78" s="25">
        <v>0</v>
      </c>
      <c r="AP78" s="25">
        <f>Lookups!$B$56*0</f>
        <v>0</v>
      </c>
      <c r="AQ78" s="25">
        <f>Lookups!$B$56*1</f>
        <v>89850.625589999996</v>
      </c>
      <c r="AR78" s="25">
        <f>Lookups!$B$57*Inventory[[#This Row],[LnAcres]]</f>
        <v>-60052.604136134301</v>
      </c>
      <c r="AS78" s="25">
        <f>VLOOKUP(Inventory[[#This Row],[Qlty]],Lookups!$A$62:$E$75,2,FALSE)</f>
        <v>44121.038090000002</v>
      </c>
      <c r="AT78" s="25">
        <f>VLOOKUP(Inventory[[#This Row],[Cnd]],Lookups!$A$76:$E$84,2,FALSE)</f>
        <v>197752.34721000001</v>
      </c>
      <c r="AU78" s="25">
        <f>Inventory[[#This Row],[EffAge]]*Lookups!$B$85</f>
        <v>-6468.3224145000004</v>
      </c>
      <c r="AV78" s="25">
        <f>Inventory[[#This Row],[MainFn]]*Lookups!$B$86</f>
        <v>78065.698405660005</v>
      </c>
      <c r="AW78" s="25">
        <f>Inventory[[#This Row],[UpprFn]]*Lookups!$B$87</f>
        <v>0</v>
      </c>
      <c r="AX78" s="25">
        <f>Inventory[[#This Row],[AddFn]]*Lookups!$B$88</f>
        <v>0</v>
      </c>
      <c r="AY78" s="25">
        <f>Inventory[[#This Row],[Bsmt]]*Lookups!$B$89</f>
        <v>0</v>
      </c>
      <c r="AZ78" s="25">
        <f>Inventory[[#This Row],[Fixtures]]*Lookups!$B$90</f>
        <v>37920.221052000001</v>
      </c>
      <c r="BA78" s="25">
        <f>Inventory[[#This Row],[WdDeck]]*Lookups!$B$91</f>
        <v>0</v>
      </c>
      <c r="BB78" s="25">
        <f>ROUND(Inventory[[#This Row],[25Det]],-2)</f>
        <v>0</v>
      </c>
      <c r="BC78" s="25">
        <f>ROUND(SUM(Inventory[[#This Row],[Mdl Qlty]:[Mdl WdDeck]])+Inventory[[#This Row],[Mdl Res Intercept]],-2)</f>
        <v>351400</v>
      </c>
      <c r="BD78" s="25">
        <f>ROUND(Inventory[[#This Row],[Mdl Land Intercept]]+Inventory[[#This Row],[Mdl LnAcres]],-2)</f>
        <v>29800</v>
      </c>
      <c r="BE78" s="25">
        <f>Inventory[[#This Row],[Unadj Res Value]]+Inventory[[#This Row],[Unadj Det Value]]+Inventory[[#This Row],[Unadj Land Value]]</f>
        <v>381200</v>
      </c>
      <c r="BF78" s="36">
        <f>(Inventory[[#This Row],[Unadj Total Value]]-Inventory[[#This Row],[24Final]])/Inventory[[#This Row],[24Final]]</f>
        <v>0.29880749574105619</v>
      </c>
      <c r="BG78" s="25">
        <f>VLOOKUP(Inventory[[#This Row],[Nbhd]],Lookups!$Q$2:$T$4,4,FALSE)</f>
        <v>0.99970000000000003</v>
      </c>
      <c r="BH78" s="25">
        <f>VLOOKUP(Inventory[[#This Row],[Qlty]],Lookups!$O$7:$R$21,4,FALSE)</f>
        <v>0.98050000000000004</v>
      </c>
      <c r="BI78" s="25">
        <f>VLOOKUP(Inventory[[#This Row],[Cnd]],Lookups!$T$7:$W$16,4,FALSE)</f>
        <v>0.99650000000000005</v>
      </c>
      <c r="BJ78" s="25">
        <f>VLOOKUP(Inventory[[#This Row],[LivArea Range]],Lookups!$T$25:$W$37,4,FALSE)</f>
        <v>1.0093000000000001</v>
      </c>
      <c r="BK78" s="25">
        <f>VLOOKUP(Inventory[[#This Row],[Decade]],Lookups!$O$25:$R$42,4,FALSE)</f>
        <v>0.97319999999999995</v>
      </c>
      <c r="BL78" s="25">
        <f>Inventory[[#This Row],[Nbhd Adj]]*0.95</f>
        <v>0.94971499999999998</v>
      </c>
      <c r="BM78" s="25">
        <f>Inventory[[#This Row],[Nbhd Adj]]*Inventory[[#This Row],[Quality Adj]]*Inventory[[#This Row],[Condition Adj]]*Inventory[[#This Row],[Living Area Adj]]*Inventory[[#This Row],[Decade Adj]]*0.95</f>
        <v>0.91146620765877828</v>
      </c>
      <c r="BN78" s="25">
        <f>ROUND(SUM(Inventory[[#This Row],[Mdl Qlty]:[Mdl WdDeck]])+Inventory[[#This Row],[Mdl Res Intercept]]*Inventory[[#This Row],[Res Adj ]],-2)</f>
        <v>351400</v>
      </c>
      <c r="BO78" s="25">
        <f>ROUND(Inventory[[#This Row],[25Det]]*Inventory[[#This Row],[Det/Nbhd Adj]],-2)</f>
        <v>0</v>
      </c>
      <c r="BP78" s="25">
        <f>Inventory[[#This Row],[Adjusted Res]]+Inventory[[#This Row],[Adj Det ]]</f>
        <v>351400</v>
      </c>
      <c r="BQ78" s="25">
        <f>ROUND((Inventory[[#This Row],[Mdl Land Intercept]]+Inventory[[#This Row],[Mdl LnAcres]])*Inventory[[#This Row],[Det/Nbhd Adj]],-2)</f>
        <v>28300</v>
      </c>
      <c r="BR78" s="25">
        <f>Inventory[[#This Row],[Adjusted Impr Total]]+Inventory[[#This Row],[Adjusted Land Total]]</f>
        <v>379700</v>
      </c>
      <c r="BS78" s="36">
        <f>IFERROR((Inventory[[#This Row],[Adjusted Impr Total]]-Inventory[[#This Row],[24Bldg]])/Inventory[[#This Row],[24Bldg]],0)</f>
        <v>0.38948200869909055</v>
      </c>
      <c r="BT78" s="36">
        <f>(Inventory[[#This Row],[Adjusted Land Total]]-Inventory[[#This Row],[24Lnd]])/Inventory[[#This Row],[24Lnd]]</f>
        <v>-0.30295566502463056</v>
      </c>
      <c r="BU78" s="36">
        <f>(Inventory[[#This Row],[Adjusted Total]]-Inventory[[#This Row],[24Final]])/Inventory[[#This Row],[24Final]]</f>
        <v>0.2936967632027257</v>
      </c>
    </row>
    <row r="79" spans="1:73" x14ac:dyDescent="0.3">
      <c r="A79" s="25">
        <v>2025</v>
      </c>
      <c r="B79" s="26" t="s">
        <v>578</v>
      </c>
      <c r="C79" s="26">
        <f>LN(Inventory[[#This Row],[Acres]])</f>
        <v>-3.2188758248682006</v>
      </c>
      <c r="D79" s="25">
        <v>0.04</v>
      </c>
      <c r="E79" s="25">
        <v>1018</v>
      </c>
      <c r="F79" s="26" t="s">
        <v>537</v>
      </c>
      <c r="G79" s="26" t="s">
        <v>28</v>
      </c>
      <c r="H79" s="26" t="s">
        <v>349</v>
      </c>
      <c r="I79" s="26" t="s">
        <v>538</v>
      </c>
      <c r="J79" s="26" t="s">
        <v>551</v>
      </c>
      <c r="K79" s="26" t="s">
        <v>415</v>
      </c>
      <c r="L79" s="26" t="s">
        <v>351</v>
      </c>
      <c r="M79" s="26" t="s">
        <v>323</v>
      </c>
      <c r="N79" s="26">
        <v>30</v>
      </c>
      <c r="O79" s="26">
        <f>2024-Inventory[[#This Row],[YrBlt]]</f>
        <v>29</v>
      </c>
      <c r="P79" s="26">
        <f>2024-Inventory[[#This Row],[EffYr]]</f>
        <v>29</v>
      </c>
      <c r="Q79" s="25">
        <v>1995</v>
      </c>
      <c r="R79" s="25">
        <v>1995</v>
      </c>
      <c r="S79" s="25">
        <v>1018</v>
      </c>
      <c r="T79" s="31"/>
      <c r="U79" s="27"/>
      <c r="V79" s="27">
        <f>Inventory[[#This Row],[Bsmt]]-Inventory[[#This Row],[FnBsmt]]</f>
        <v>0</v>
      </c>
      <c r="W79" s="27"/>
      <c r="X79" s="27"/>
      <c r="Y79" s="27">
        <f>Inventory[[#This Row],[MainFn]]+Inventory[[#This Row],[UpprFn]]+Inventory[[#This Row],[FnBsmt]]+Inventory[[#This Row],[AddFn]]</f>
        <v>1018</v>
      </c>
      <c r="Z79" s="27">
        <v>1500</v>
      </c>
      <c r="AA79" s="25">
        <v>8</v>
      </c>
      <c r="AB79" s="27"/>
      <c r="AC79" s="31"/>
      <c r="AD79" s="27"/>
      <c r="AE79" s="27"/>
      <c r="AF79" s="27"/>
      <c r="AG79" s="27"/>
      <c r="AH79" s="27"/>
      <c r="AI79" s="25">
        <v>170323</v>
      </c>
      <c r="AJ79" s="25">
        <v>146478</v>
      </c>
      <c r="AK79" s="25">
        <v>15244</v>
      </c>
      <c r="AL79" s="25">
        <v>203600</v>
      </c>
      <c r="AM79" s="25">
        <v>30500</v>
      </c>
      <c r="AN79" s="25">
        <v>173100</v>
      </c>
      <c r="AO79" s="25">
        <v>0</v>
      </c>
      <c r="AP79" s="25">
        <f>Lookups!$B$56*0</f>
        <v>0</v>
      </c>
      <c r="AQ79" s="25">
        <f>Lookups!$B$56*1</f>
        <v>89850.625589999996</v>
      </c>
      <c r="AR79" s="25">
        <f>Lookups!$B$57*Inventory[[#This Row],[LnAcres]]</f>
        <v>-101892.2773541973</v>
      </c>
      <c r="AS79" s="25">
        <f>VLOOKUP(Inventory[[#This Row],[Qlty]],Lookups!$A$62:$E$75,2,FALSE)</f>
        <v>21557.329055999999</v>
      </c>
      <c r="AT79" s="25">
        <f>VLOOKUP(Inventory[[#This Row],[Cnd]],Lookups!$A$76:$E$84,2,FALSE)</f>
        <v>160472.20319</v>
      </c>
      <c r="AU79" s="25">
        <f>Inventory[[#This Row],[EffAge]]*Lookups!$B$85</f>
        <v>-6468.3224145000004</v>
      </c>
      <c r="AV79" s="25">
        <f>Inventory[[#This Row],[MainFn]]*Lookups!$B$86</f>
        <v>50298.025934786005</v>
      </c>
      <c r="AW79" s="25">
        <f>Inventory[[#This Row],[UpprFn]]*Lookups!$B$87</f>
        <v>0</v>
      </c>
      <c r="AX79" s="25">
        <f>Inventory[[#This Row],[AddFn]]*Lookups!$B$88</f>
        <v>0</v>
      </c>
      <c r="AY79" s="25">
        <f>Inventory[[#This Row],[Bsmt]]*Lookups!$B$89</f>
        <v>0</v>
      </c>
      <c r="AZ79" s="25">
        <f>Inventory[[#This Row],[Fixtures]]*Lookups!$B$90</f>
        <v>30336.176841600001</v>
      </c>
      <c r="BA79" s="25">
        <f>Inventory[[#This Row],[WdDeck]]*Lookups!$B$91</f>
        <v>0</v>
      </c>
      <c r="BB79" s="25">
        <f>ROUND(Inventory[[#This Row],[25Det]],-2)</f>
        <v>15200</v>
      </c>
      <c r="BC79" s="25">
        <f>ROUND(SUM(Inventory[[#This Row],[Mdl Qlty]:[Mdl WdDeck]])+Inventory[[#This Row],[Mdl Res Intercept]],-2)</f>
        <v>256200</v>
      </c>
      <c r="BD79" s="25">
        <f>ROUND(Inventory[[#This Row],[Mdl Land Intercept]]+Inventory[[#This Row],[Mdl LnAcres]],-2)</f>
        <v>-12000</v>
      </c>
      <c r="BE79" s="25">
        <f>Inventory[[#This Row],[Unadj Res Value]]+Inventory[[#This Row],[Unadj Det Value]]+Inventory[[#This Row],[Unadj Land Value]]</f>
        <v>259400</v>
      </c>
      <c r="BF79" s="36">
        <f>(Inventory[[#This Row],[Unadj Total Value]]-Inventory[[#This Row],[24Final]])/Inventory[[#This Row],[24Final]]</f>
        <v>0.27406679764243613</v>
      </c>
      <c r="BG79" s="25">
        <f>VLOOKUP(Inventory[[#This Row],[Nbhd]],Lookups!$Q$2:$T$4,4,FALSE)</f>
        <v>0.99970000000000003</v>
      </c>
      <c r="BH79" s="25">
        <f>VLOOKUP(Inventory[[#This Row],[Qlty]],Lookups!$O$7:$R$21,4,FALSE)</f>
        <v>1.0067999999999999</v>
      </c>
      <c r="BI79" s="25">
        <f>VLOOKUP(Inventory[[#This Row],[Cnd]],Lookups!$T$7:$W$16,4,FALSE)</f>
        <v>0.99729999999999996</v>
      </c>
      <c r="BJ79" s="25">
        <f>VLOOKUP(Inventory[[#This Row],[LivArea Range]],Lookups!$T$25:$W$37,4,FALSE)</f>
        <v>1.0157</v>
      </c>
      <c r="BK79" s="25">
        <f>VLOOKUP(Inventory[[#This Row],[Decade]],Lookups!$O$25:$R$42,4,FALSE)</f>
        <v>0.97319999999999995</v>
      </c>
      <c r="BL79" s="25">
        <f>Inventory[[#This Row],[Nbhd Adj]]*0.95</f>
        <v>0.94971499999999998</v>
      </c>
      <c r="BM79" s="25">
        <f>Inventory[[#This Row],[Nbhd Adj]]*Inventory[[#This Row],[Quality Adj]]*Inventory[[#This Row],[Condition Adj]]*Inventory[[#This Row],[Living Area Adj]]*Inventory[[#This Row],[Decade Adj]]*0.95</f>
        <v>0.9426052971358202</v>
      </c>
      <c r="BN79" s="25">
        <f>ROUND(SUM(Inventory[[#This Row],[Mdl Qlty]:[Mdl WdDeck]])+Inventory[[#This Row],[Mdl Res Intercept]]*Inventory[[#This Row],[Res Adj ]],-2)</f>
        <v>256200</v>
      </c>
      <c r="BO79" s="25">
        <f>ROUND(Inventory[[#This Row],[25Det]]*Inventory[[#This Row],[Det/Nbhd Adj]],-2)</f>
        <v>14500</v>
      </c>
      <c r="BP79" s="25">
        <f>Inventory[[#This Row],[Adjusted Res]]+Inventory[[#This Row],[Adj Det ]]</f>
        <v>270700</v>
      </c>
      <c r="BQ79" s="25">
        <f>ROUND((Inventory[[#This Row],[Mdl Land Intercept]]+Inventory[[#This Row],[Mdl LnAcres]])*Inventory[[#This Row],[Det/Nbhd Adj]],-2)</f>
        <v>-11400</v>
      </c>
      <c r="BR79" s="25">
        <f>Inventory[[#This Row],[Adjusted Impr Total]]+Inventory[[#This Row],[Adjusted Land Total]]</f>
        <v>259300</v>
      </c>
      <c r="BS79" s="36">
        <f>IFERROR((Inventory[[#This Row],[Adjusted Impr Total]]-Inventory[[#This Row],[24Bldg]])/Inventory[[#This Row],[24Bldg]],0)</f>
        <v>0.56383593298671286</v>
      </c>
      <c r="BT79" s="36">
        <f>(Inventory[[#This Row],[Adjusted Land Total]]-Inventory[[#This Row],[24Lnd]])/Inventory[[#This Row],[24Lnd]]</f>
        <v>-1.3737704918032787</v>
      </c>
      <c r="BU79" s="36">
        <f>(Inventory[[#This Row],[Adjusted Total]]-Inventory[[#This Row],[24Final]])/Inventory[[#This Row],[24Final]]</f>
        <v>0.27357563850687622</v>
      </c>
    </row>
    <row r="80" spans="1:73" x14ac:dyDescent="0.3">
      <c r="A80" s="25">
        <v>2025</v>
      </c>
      <c r="B80" s="26" t="s">
        <v>570</v>
      </c>
      <c r="C80" s="26">
        <f>LN(Inventory[[#This Row],[Acres]])</f>
        <v>-3.2188758248682006</v>
      </c>
      <c r="D80" s="25">
        <v>0.04</v>
      </c>
      <c r="E80" s="25">
        <v>1022</v>
      </c>
      <c r="F80" s="26" t="s">
        <v>537</v>
      </c>
      <c r="G80" s="26" t="s">
        <v>28</v>
      </c>
      <c r="H80" s="26" t="s">
        <v>349</v>
      </c>
      <c r="I80" s="26" t="s">
        <v>538</v>
      </c>
      <c r="J80" s="26" t="s">
        <v>551</v>
      </c>
      <c r="K80" s="26" t="s">
        <v>415</v>
      </c>
      <c r="L80" s="26" t="s">
        <v>302</v>
      </c>
      <c r="M80" s="26" t="s">
        <v>323</v>
      </c>
      <c r="N80" s="26">
        <v>30</v>
      </c>
      <c r="O80" s="26">
        <f>2024-Inventory[[#This Row],[YrBlt]]</f>
        <v>29</v>
      </c>
      <c r="P80" s="26">
        <f>2024-Inventory[[#This Row],[EffYr]]</f>
        <v>29</v>
      </c>
      <c r="Q80" s="25">
        <v>1995</v>
      </c>
      <c r="R80" s="25">
        <v>1995</v>
      </c>
      <c r="S80" s="25">
        <v>1022</v>
      </c>
      <c r="T80" s="31"/>
      <c r="U80" s="27"/>
      <c r="V80" s="27">
        <f>Inventory[[#This Row],[Bsmt]]-Inventory[[#This Row],[FnBsmt]]</f>
        <v>0</v>
      </c>
      <c r="W80" s="27"/>
      <c r="X80" s="27"/>
      <c r="Y80" s="27">
        <f>Inventory[[#This Row],[MainFn]]+Inventory[[#This Row],[UpprFn]]+Inventory[[#This Row],[FnBsmt]]+Inventory[[#This Row],[AddFn]]</f>
        <v>1022</v>
      </c>
      <c r="Z80" s="27">
        <v>1500</v>
      </c>
      <c r="AA80" s="25">
        <v>8</v>
      </c>
      <c r="AB80" s="27"/>
      <c r="AC80" s="31"/>
      <c r="AD80" s="27"/>
      <c r="AE80" s="27"/>
      <c r="AF80" s="27"/>
      <c r="AG80" s="27"/>
      <c r="AH80" s="27"/>
      <c r="AI80" s="25">
        <v>199555</v>
      </c>
      <c r="AJ80" s="25">
        <v>171617</v>
      </c>
      <c r="AK80" s="25">
        <v>15244</v>
      </c>
      <c r="AL80" s="25">
        <v>210900</v>
      </c>
      <c r="AM80" s="25">
        <v>31600</v>
      </c>
      <c r="AN80" s="25">
        <v>179300</v>
      </c>
      <c r="AO80" s="25">
        <v>0</v>
      </c>
      <c r="AP80" s="25">
        <f>Lookups!$B$56*0</f>
        <v>0</v>
      </c>
      <c r="AQ80" s="25">
        <f>Lookups!$B$56*1</f>
        <v>89850.625589999996</v>
      </c>
      <c r="AR80" s="25">
        <f>Lookups!$B$57*Inventory[[#This Row],[LnAcres]]</f>
        <v>-101892.2773541973</v>
      </c>
      <c r="AS80" s="25">
        <f>VLOOKUP(Inventory[[#This Row],[Qlty]],Lookups!$A$62:$E$75,2,FALSE)</f>
        <v>29814.093161000001</v>
      </c>
      <c r="AT80" s="25">
        <f>VLOOKUP(Inventory[[#This Row],[Cnd]],Lookups!$A$76:$E$84,2,FALSE)</f>
        <v>160472.20319</v>
      </c>
      <c r="AU80" s="25">
        <f>Inventory[[#This Row],[EffAge]]*Lookups!$B$85</f>
        <v>-6468.3224145000004</v>
      </c>
      <c r="AV80" s="25">
        <f>Inventory[[#This Row],[MainFn]]*Lookups!$B$86</f>
        <v>50495.660614294</v>
      </c>
      <c r="AW80" s="25">
        <f>Inventory[[#This Row],[UpprFn]]*Lookups!$B$87</f>
        <v>0</v>
      </c>
      <c r="AX80" s="25">
        <f>Inventory[[#This Row],[AddFn]]*Lookups!$B$88</f>
        <v>0</v>
      </c>
      <c r="AY80" s="25">
        <f>Inventory[[#This Row],[Bsmt]]*Lookups!$B$89</f>
        <v>0</v>
      </c>
      <c r="AZ80" s="25">
        <f>Inventory[[#This Row],[Fixtures]]*Lookups!$B$90</f>
        <v>30336.176841600001</v>
      </c>
      <c r="BA80" s="25">
        <f>Inventory[[#This Row],[WdDeck]]*Lookups!$B$91</f>
        <v>0</v>
      </c>
      <c r="BB80" s="25">
        <f>ROUND(Inventory[[#This Row],[25Det]],-2)</f>
        <v>15200</v>
      </c>
      <c r="BC80" s="25">
        <f>ROUND(SUM(Inventory[[#This Row],[Mdl Qlty]:[Mdl WdDeck]])+Inventory[[#This Row],[Mdl Res Intercept]],-2)</f>
        <v>264600</v>
      </c>
      <c r="BD80" s="25">
        <f>ROUND(Inventory[[#This Row],[Mdl Land Intercept]]+Inventory[[#This Row],[Mdl LnAcres]],-2)</f>
        <v>-12000</v>
      </c>
      <c r="BE80" s="25">
        <f>Inventory[[#This Row],[Unadj Res Value]]+Inventory[[#This Row],[Unadj Det Value]]+Inventory[[#This Row],[Unadj Land Value]]</f>
        <v>267800</v>
      </c>
      <c r="BF80" s="36">
        <f>(Inventory[[#This Row],[Unadj Total Value]]-Inventory[[#This Row],[24Final]])/Inventory[[#This Row],[24Final]]</f>
        <v>0.26979611190137504</v>
      </c>
      <c r="BG80" s="25">
        <f>VLOOKUP(Inventory[[#This Row],[Nbhd]],Lookups!$Q$2:$T$4,4,FALSE)</f>
        <v>0.99970000000000003</v>
      </c>
      <c r="BH80" s="25">
        <f>VLOOKUP(Inventory[[#This Row],[Qlty]],Lookups!$O$7:$R$21,4,FALSE)</f>
        <v>1.0088999999999999</v>
      </c>
      <c r="BI80" s="25">
        <f>VLOOKUP(Inventory[[#This Row],[Cnd]],Lookups!$T$7:$W$16,4,FALSE)</f>
        <v>0.99729999999999996</v>
      </c>
      <c r="BJ80" s="25">
        <f>VLOOKUP(Inventory[[#This Row],[LivArea Range]],Lookups!$T$25:$W$37,4,FALSE)</f>
        <v>1.0157</v>
      </c>
      <c r="BK80" s="25">
        <f>VLOOKUP(Inventory[[#This Row],[Decade]],Lookups!$O$25:$R$42,4,FALSE)</f>
        <v>0.97319999999999995</v>
      </c>
      <c r="BL80" s="25">
        <f>Inventory[[#This Row],[Nbhd Adj]]*0.95</f>
        <v>0.94971499999999998</v>
      </c>
      <c r="BM80" s="25">
        <f>Inventory[[#This Row],[Nbhd Adj]]*Inventory[[#This Row],[Quality Adj]]*Inventory[[#This Row],[Condition Adj]]*Inventory[[#This Row],[Living Area Adj]]*Inventory[[#This Row],[Decade Adj]]*0.95</f>
        <v>0.944571398768702</v>
      </c>
      <c r="BN80" s="25">
        <f>ROUND(SUM(Inventory[[#This Row],[Mdl Qlty]:[Mdl WdDeck]])+Inventory[[#This Row],[Mdl Res Intercept]]*Inventory[[#This Row],[Res Adj ]],-2)</f>
        <v>264600</v>
      </c>
      <c r="BO80" s="25">
        <f>ROUND(Inventory[[#This Row],[25Det]]*Inventory[[#This Row],[Det/Nbhd Adj]],-2)</f>
        <v>14500</v>
      </c>
      <c r="BP80" s="25">
        <f>Inventory[[#This Row],[Adjusted Res]]+Inventory[[#This Row],[Adj Det ]]</f>
        <v>279100</v>
      </c>
      <c r="BQ80" s="25">
        <f>ROUND((Inventory[[#This Row],[Mdl Land Intercept]]+Inventory[[#This Row],[Mdl LnAcres]])*Inventory[[#This Row],[Det/Nbhd Adj]],-2)</f>
        <v>-11400</v>
      </c>
      <c r="BR80" s="25">
        <f>Inventory[[#This Row],[Adjusted Impr Total]]+Inventory[[#This Row],[Adjusted Land Total]]</f>
        <v>267700</v>
      </c>
      <c r="BS80" s="36">
        <f>IFERROR((Inventory[[#This Row],[Adjusted Impr Total]]-Inventory[[#This Row],[24Bldg]])/Inventory[[#This Row],[24Bldg]],0)</f>
        <v>0.5566090351366425</v>
      </c>
      <c r="BT80" s="36">
        <f>(Inventory[[#This Row],[Adjusted Land Total]]-Inventory[[#This Row],[24Lnd]])/Inventory[[#This Row],[24Lnd]]</f>
        <v>-1.360759493670886</v>
      </c>
      <c r="BU80" s="36">
        <f>(Inventory[[#This Row],[Adjusted Total]]-Inventory[[#This Row],[24Final]])/Inventory[[#This Row],[24Final]]</f>
        <v>0.26932195353247984</v>
      </c>
    </row>
    <row r="81" spans="1:73" x14ac:dyDescent="0.3">
      <c r="A81" s="25">
        <v>2025</v>
      </c>
      <c r="B81" s="26" t="s">
        <v>579</v>
      </c>
      <c r="C81" s="26">
        <f>LN(Inventory[[#This Row],[Acres]])</f>
        <v>-3.2188758248682006</v>
      </c>
      <c r="D81" s="25">
        <v>0.04</v>
      </c>
      <c r="E81" s="25">
        <v>1022</v>
      </c>
      <c r="F81" s="26" t="s">
        <v>537</v>
      </c>
      <c r="G81" s="26" t="s">
        <v>28</v>
      </c>
      <c r="H81" s="26" t="s">
        <v>349</v>
      </c>
      <c r="I81" s="26" t="s">
        <v>538</v>
      </c>
      <c r="J81" s="26" t="s">
        <v>551</v>
      </c>
      <c r="K81" s="26" t="s">
        <v>415</v>
      </c>
      <c r="L81" s="26" t="s">
        <v>351</v>
      </c>
      <c r="M81" s="26" t="s">
        <v>323</v>
      </c>
      <c r="N81" s="26">
        <v>30</v>
      </c>
      <c r="O81" s="26">
        <f>2024-Inventory[[#This Row],[YrBlt]]</f>
        <v>29</v>
      </c>
      <c r="P81" s="26">
        <f>2024-Inventory[[#This Row],[EffYr]]</f>
        <v>29</v>
      </c>
      <c r="Q81" s="25">
        <v>1995</v>
      </c>
      <c r="R81" s="25">
        <v>1995</v>
      </c>
      <c r="S81" s="25">
        <v>1022</v>
      </c>
      <c r="T81" s="31"/>
      <c r="U81" s="27"/>
      <c r="V81" s="27">
        <f>Inventory[[#This Row],[Bsmt]]-Inventory[[#This Row],[FnBsmt]]</f>
        <v>0</v>
      </c>
      <c r="W81" s="27"/>
      <c r="X81" s="27"/>
      <c r="Y81" s="27">
        <f>Inventory[[#This Row],[MainFn]]+Inventory[[#This Row],[UpprFn]]+Inventory[[#This Row],[FnBsmt]]+Inventory[[#This Row],[AddFn]]</f>
        <v>1022</v>
      </c>
      <c r="Z81" s="27">
        <v>1500</v>
      </c>
      <c r="AA81" s="25">
        <v>8</v>
      </c>
      <c r="AB81" s="27"/>
      <c r="AC81" s="31"/>
      <c r="AD81" s="27"/>
      <c r="AE81" s="27"/>
      <c r="AF81" s="27"/>
      <c r="AG81" s="27"/>
      <c r="AH81" s="27"/>
      <c r="AI81" s="25">
        <v>171762</v>
      </c>
      <c r="AJ81" s="25">
        <v>147715</v>
      </c>
      <c r="AK81" s="25">
        <v>15244</v>
      </c>
      <c r="AL81" s="25">
        <v>205200</v>
      </c>
      <c r="AM81" s="25">
        <v>30800</v>
      </c>
      <c r="AN81" s="25">
        <v>174400</v>
      </c>
      <c r="AO81" s="25">
        <v>0</v>
      </c>
      <c r="AP81" s="25">
        <f>Lookups!$B$56*0</f>
        <v>0</v>
      </c>
      <c r="AQ81" s="25">
        <f>Lookups!$B$56*1</f>
        <v>89850.625589999996</v>
      </c>
      <c r="AR81" s="25">
        <f>Lookups!$B$57*Inventory[[#This Row],[LnAcres]]</f>
        <v>-101892.2773541973</v>
      </c>
      <c r="AS81" s="25">
        <f>VLOOKUP(Inventory[[#This Row],[Qlty]],Lookups!$A$62:$E$75,2,FALSE)</f>
        <v>21557.329055999999</v>
      </c>
      <c r="AT81" s="25">
        <f>VLOOKUP(Inventory[[#This Row],[Cnd]],Lookups!$A$76:$E$84,2,FALSE)</f>
        <v>160472.20319</v>
      </c>
      <c r="AU81" s="25">
        <f>Inventory[[#This Row],[EffAge]]*Lookups!$B$85</f>
        <v>-6468.3224145000004</v>
      </c>
      <c r="AV81" s="25">
        <f>Inventory[[#This Row],[MainFn]]*Lookups!$B$86</f>
        <v>50495.660614294</v>
      </c>
      <c r="AW81" s="25">
        <f>Inventory[[#This Row],[UpprFn]]*Lookups!$B$87</f>
        <v>0</v>
      </c>
      <c r="AX81" s="25">
        <f>Inventory[[#This Row],[AddFn]]*Lookups!$B$88</f>
        <v>0</v>
      </c>
      <c r="AY81" s="25">
        <f>Inventory[[#This Row],[Bsmt]]*Lookups!$B$89</f>
        <v>0</v>
      </c>
      <c r="AZ81" s="25">
        <f>Inventory[[#This Row],[Fixtures]]*Lookups!$B$90</f>
        <v>30336.176841600001</v>
      </c>
      <c r="BA81" s="25">
        <f>Inventory[[#This Row],[WdDeck]]*Lookups!$B$91</f>
        <v>0</v>
      </c>
      <c r="BB81" s="25">
        <f>ROUND(Inventory[[#This Row],[25Det]],-2)</f>
        <v>15200</v>
      </c>
      <c r="BC81" s="25">
        <f>ROUND(SUM(Inventory[[#This Row],[Mdl Qlty]:[Mdl WdDeck]])+Inventory[[#This Row],[Mdl Res Intercept]],-2)</f>
        <v>256400</v>
      </c>
      <c r="BD81" s="25">
        <f>ROUND(Inventory[[#This Row],[Mdl Land Intercept]]+Inventory[[#This Row],[Mdl LnAcres]],-2)</f>
        <v>-12000</v>
      </c>
      <c r="BE81" s="25">
        <f>Inventory[[#This Row],[Unadj Res Value]]+Inventory[[#This Row],[Unadj Det Value]]+Inventory[[#This Row],[Unadj Land Value]]</f>
        <v>259600</v>
      </c>
      <c r="BF81" s="36">
        <f>(Inventory[[#This Row],[Unadj Total Value]]-Inventory[[#This Row],[24Final]])/Inventory[[#This Row],[24Final]]</f>
        <v>0.26510721247563351</v>
      </c>
      <c r="BG81" s="25">
        <f>VLOOKUP(Inventory[[#This Row],[Nbhd]],Lookups!$Q$2:$T$4,4,FALSE)</f>
        <v>0.99970000000000003</v>
      </c>
      <c r="BH81" s="25">
        <f>VLOOKUP(Inventory[[#This Row],[Qlty]],Lookups!$O$7:$R$21,4,FALSE)</f>
        <v>1.0067999999999999</v>
      </c>
      <c r="BI81" s="25">
        <f>VLOOKUP(Inventory[[#This Row],[Cnd]],Lookups!$T$7:$W$16,4,FALSE)</f>
        <v>0.99729999999999996</v>
      </c>
      <c r="BJ81" s="25">
        <f>VLOOKUP(Inventory[[#This Row],[LivArea Range]],Lookups!$T$25:$W$37,4,FALSE)</f>
        <v>1.0157</v>
      </c>
      <c r="BK81" s="25">
        <f>VLOOKUP(Inventory[[#This Row],[Decade]],Lookups!$O$25:$R$42,4,FALSE)</f>
        <v>0.97319999999999995</v>
      </c>
      <c r="BL81" s="25">
        <f>Inventory[[#This Row],[Nbhd Adj]]*0.95</f>
        <v>0.94971499999999998</v>
      </c>
      <c r="BM81" s="25">
        <f>Inventory[[#This Row],[Nbhd Adj]]*Inventory[[#This Row],[Quality Adj]]*Inventory[[#This Row],[Condition Adj]]*Inventory[[#This Row],[Living Area Adj]]*Inventory[[#This Row],[Decade Adj]]*0.95</f>
        <v>0.9426052971358202</v>
      </c>
      <c r="BN81" s="25">
        <f>ROUND(SUM(Inventory[[#This Row],[Mdl Qlty]:[Mdl WdDeck]])+Inventory[[#This Row],[Mdl Res Intercept]]*Inventory[[#This Row],[Res Adj ]],-2)</f>
        <v>256400</v>
      </c>
      <c r="BO81" s="25">
        <f>ROUND(Inventory[[#This Row],[25Det]]*Inventory[[#This Row],[Det/Nbhd Adj]],-2)</f>
        <v>14500</v>
      </c>
      <c r="BP81" s="25">
        <f>Inventory[[#This Row],[Adjusted Res]]+Inventory[[#This Row],[Adj Det ]]</f>
        <v>270900</v>
      </c>
      <c r="BQ81" s="25">
        <f>ROUND((Inventory[[#This Row],[Mdl Land Intercept]]+Inventory[[#This Row],[Mdl LnAcres]])*Inventory[[#This Row],[Det/Nbhd Adj]],-2)</f>
        <v>-11400</v>
      </c>
      <c r="BR81" s="25">
        <f>Inventory[[#This Row],[Adjusted Impr Total]]+Inventory[[#This Row],[Adjusted Land Total]]</f>
        <v>259500</v>
      </c>
      <c r="BS81" s="36">
        <f>IFERROR((Inventory[[#This Row],[Adjusted Impr Total]]-Inventory[[#This Row],[24Bldg]])/Inventory[[#This Row],[24Bldg]],0)</f>
        <v>0.55332568807339455</v>
      </c>
      <c r="BT81" s="36">
        <f>(Inventory[[#This Row],[Adjusted Land Total]]-Inventory[[#This Row],[24Lnd]])/Inventory[[#This Row],[24Lnd]]</f>
        <v>-1.3701298701298701</v>
      </c>
      <c r="BU81" s="36">
        <f>(Inventory[[#This Row],[Adjusted Total]]-Inventory[[#This Row],[24Final]])/Inventory[[#This Row],[24Final]]</f>
        <v>0.2646198830409357</v>
      </c>
    </row>
    <row r="82" spans="1:73" x14ac:dyDescent="0.3">
      <c r="A82" s="25">
        <v>2025</v>
      </c>
      <c r="B82" s="26" t="s">
        <v>571</v>
      </c>
      <c r="C82" s="26">
        <f>LN(Inventory[[#This Row],[Acres]])</f>
        <v>-3.2188758248682006</v>
      </c>
      <c r="D82" s="25">
        <v>0.04</v>
      </c>
      <c r="E82" s="25">
        <v>1022</v>
      </c>
      <c r="F82" s="26" t="s">
        <v>537</v>
      </c>
      <c r="G82" s="26" t="s">
        <v>28</v>
      </c>
      <c r="H82" s="26" t="s">
        <v>349</v>
      </c>
      <c r="I82" s="26" t="s">
        <v>538</v>
      </c>
      <c r="J82" s="26" t="s">
        <v>551</v>
      </c>
      <c r="K82" s="26" t="s">
        <v>415</v>
      </c>
      <c r="L82" s="26" t="s">
        <v>351</v>
      </c>
      <c r="M82" s="26" t="s">
        <v>323</v>
      </c>
      <c r="N82" s="26">
        <v>30</v>
      </c>
      <c r="O82" s="26">
        <f>2024-Inventory[[#This Row],[YrBlt]]</f>
        <v>29</v>
      </c>
      <c r="P82" s="26">
        <f>2024-Inventory[[#This Row],[EffYr]]</f>
        <v>29</v>
      </c>
      <c r="Q82" s="25">
        <v>1995</v>
      </c>
      <c r="R82" s="25">
        <v>1995</v>
      </c>
      <c r="S82" s="25">
        <v>1022</v>
      </c>
      <c r="T82" s="31"/>
      <c r="U82" s="27"/>
      <c r="V82" s="27">
        <f>Inventory[[#This Row],[Bsmt]]-Inventory[[#This Row],[FnBsmt]]</f>
        <v>0</v>
      </c>
      <c r="W82" s="27"/>
      <c r="X82" s="27"/>
      <c r="Y82" s="27">
        <f>Inventory[[#This Row],[MainFn]]+Inventory[[#This Row],[UpprFn]]+Inventory[[#This Row],[FnBsmt]]+Inventory[[#This Row],[AddFn]]</f>
        <v>1022</v>
      </c>
      <c r="Z82" s="27">
        <v>1500</v>
      </c>
      <c r="AA82" s="25">
        <v>8</v>
      </c>
      <c r="AB82" s="27"/>
      <c r="AC82" s="31"/>
      <c r="AD82" s="27"/>
      <c r="AE82" s="27"/>
      <c r="AF82" s="27"/>
      <c r="AG82" s="27"/>
      <c r="AH82" s="27"/>
      <c r="AI82" s="25">
        <v>174291</v>
      </c>
      <c r="AJ82" s="25">
        <v>149890</v>
      </c>
      <c r="AK82" s="25">
        <v>23465</v>
      </c>
      <c r="AL82" s="25">
        <v>215500</v>
      </c>
      <c r="AM82" s="25">
        <v>32300</v>
      </c>
      <c r="AN82" s="25">
        <v>183200</v>
      </c>
      <c r="AO82" s="25">
        <v>0</v>
      </c>
      <c r="AP82" s="25">
        <f>Lookups!$B$56*0</f>
        <v>0</v>
      </c>
      <c r="AQ82" s="25">
        <f>Lookups!$B$56*1</f>
        <v>89850.625589999996</v>
      </c>
      <c r="AR82" s="25">
        <f>Lookups!$B$57*Inventory[[#This Row],[LnAcres]]</f>
        <v>-101892.2773541973</v>
      </c>
      <c r="AS82" s="25">
        <f>VLOOKUP(Inventory[[#This Row],[Qlty]],Lookups!$A$62:$E$75,2,FALSE)</f>
        <v>21557.329055999999</v>
      </c>
      <c r="AT82" s="25">
        <f>VLOOKUP(Inventory[[#This Row],[Cnd]],Lookups!$A$76:$E$84,2,FALSE)</f>
        <v>160472.20319</v>
      </c>
      <c r="AU82" s="25">
        <f>Inventory[[#This Row],[EffAge]]*Lookups!$B$85</f>
        <v>-6468.3224145000004</v>
      </c>
      <c r="AV82" s="25">
        <f>Inventory[[#This Row],[MainFn]]*Lookups!$B$86</f>
        <v>50495.660614294</v>
      </c>
      <c r="AW82" s="25">
        <f>Inventory[[#This Row],[UpprFn]]*Lookups!$B$87</f>
        <v>0</v>
      </c>
      <c r="AX82" s="25">
        <f>Inventory[[#This Row],[AddFn]]*Lookups!$B$88</f>
        <v>0</v>
      </c>
      <c r="AY82" s="25">
        <f>Inventory[[#This Row],[Bsmt]]*Lookups!$B$89</f>
        <v>0</v>
      </c>
      <c r="AZ82" s="25">
        <f>Inventory[[#This Row],[Fixtures]]*Lookups!$B$90</f>
        <v>30336.176841600001</v>
      </c>
      <c r="BA82" s="25">
        <f>Inventory[[#This Row],[WdDeck]]*Lookups!$B$91</f>
        <v>0</v>
      </c>
      <c r="BB82" s="25">
        <f>ROUND(Inventory[[#This Row],[25Det]],-2)</f>
        <v>23500</v>
      </c>
      <c r="BC82" s="25">
        <f>ROUND(SUM(Inventory[[#This Row],[Mdl Qlty]:[Mdl WdDeck]])+Inventory[[#This Row],[Mdl Res Intercept]],-2)</f>
        <v>256400</v>
      </c>
      <c r="BD82" s="25">
        <f>ROUND(Inventory[[#This Row],[Mdl Land Intercept]]+Inventory[[#This Row],[Mdl LnAcres]],-2)</f>
        <v>-12000</v>
      </c>
      <c r="BE82" s="25">
        <f>Inventory[[#This Row],[Unadj Res Value]]+Inventory[[#This Row],[Unadj Det Value]]+Inventory[[#This Row],[Unadj Land Value]]</f>
        <v>267900</v>
      </c>
      <c r="BF82" s="36">
        <f>(Inventory[[#This Row],[Unadj Total Value]]-Inventory[[#This Row],[24Final]])/Inventory[[#This Row],[24Final]]</f>
        <v>0.24315545243619491</v>
      </c>
      <c r="BG82" s="25">
        <f>VLOOKUP(Inventory[[#This Row],[Nbhd]],Lookups!$Q$2:$T$4,4,FALSE)</f>
        <v>0.99970000000000003</v>
      </c>
      <c r="BH82" s="25">
        <f>VLOOKUP(Inventory[[#This Row],[Qlty]],Lookups!$O$7:$R$21,4,FALSE)</f>
        <v>1.0067999999999999</v>
      </c>
      <c r="BI82" s="25">
        <f>VLOOKUP(Inventory[[#This Row],[Cnd]],Lookups!$T$7:$W$16,4,FALSE)</f>
        <v>0.99729999999999996</v>
      </c>
      <c r="BJ82" s="25">
        <f>VLOOKUP(Inventory[[#This Row],[LivArea Range]],Lookups!$T$25:$W$37,4,FALSE)</f>
        <v>1.0157</v>
      </c>
      <c r="BK82" s="25">
        <f>VLOOKUP(Inventory[[#This Row],[Decade]],Lookups!$O$25:$R$42,4,FALSE)</f>
        <v>0.97319999999999995</v>
      </c>
      <c r="BL82" s="25">
        <f>Inventory[[#This Row],[Nbhd Adj]]*0.95</f>
        <v>0.94971499999999998</v>
      </c>
      <c r="BM82" s="25">
        <f>Inventory[[#This Row],[Nbhd Adj]]*Inventory[[#This Row],[Quality Adj]]*Inventory[[#This Row],[Condition Adj]]*Inventory[[#This Row],[Living Area Adj]]*Inventory[[#This Row],[Decade Adj]]*0.95</f>
        <v>0.9426052971358202</v>
      </c>
      <c r="BN82" s="25">
        <f>ROUND(SUM(Inventory[[#This Row],[Mdl Qlty]:[Mdl WdDeck]])+Inventory[[#This Row],[Mdl Res Intercept]]*Inventory[[#This Row],[Res Adj ]],-2)</f>
        <v>256400</v>
      </c>
      <c r="BO82" s="25">
        <f>ROUND(Inventory[[#This Row],[25Det]]*Inventory[[#This Row],[Det/Nbhd Adj]],-2)</f>
        <v>22300</v>
      </c>
      <c r="BP82" s="25">
        <f>Inventory[[#This Row],[Adjusted Res]]+Inventory[[#This Row],[Adj Det ]]</f>
        <v>278700</v>
      </c>
      <c r="BQ82" s="25">
        <f>ROUND((Inventory[[#This Row],[Mdl Land Intercept]]+Inventory[[#This Row],[Mdl LnAcres]])*Inventory[[#This Row],[Det/Nbhd Adj]],-2)</f>
        <v>-11400</v>
      </c>
      <c r="BR82" s="25">
        <f>Inventory[[#This Row],[Adjusted Impr Total]]+Inventory[[#This Row],[Adjusted Land Total]]</f>
        <v>267300</v>
      </c>
      <c r="BS82" s="36">
        <f>IFERROR((Inventory[[#This Row],[Adjusted Impr Total]]-Inventory[[#This Row],[24Bldg]])/Inventory[[#This Row],[24Bldg]],0)</f>
        <v>0.52128820960698685</v>
      </c>
      <c r="BT82" s="36">
        <f>(Inventory[[#This Row],[Adjusted Land Total]]-Inventory[[#This Row],[24Lnd]])/Inventory[[#This Row],[24Lnd]]</f>
        <v>-1.3529411764705883</v>
      </c>
      <c r="BU82" s="36">
        <f>(Inventory[[#This Row],[Adjusted Total]]-Inventory[[#This Row],[24Final]])/Inventory[[#This Row],[24Final]]</f>
        <v>0.24037122969837588</v>
      </c>
    </row>
    <row r="83" spans="1:73" x14ac:dyDescent="0.3">
      <c r="A83" s="25">
        <v>2025</v>
      </c>
      <c r="B83" s="26" t="s">
        <v>588</v>
      </c>
      <c r="C83" s="26">
        <f>LN(Inventory[[#This Row],[Acres]])</f>
        <v>-2.2072749131897207</v>
      </c>
      <c r="D83" s="25">
        <v>0.11</v>
      </c>
      <c r="E83" s="25">
        <v>4780</v>
      </c>
      <c r="F83" s="26" t="s">
        <v>537</v>
      </c>
      <c r="G83" s="26" t="s">
        <v>126</v>
      </c>
      <c r="H83" s="26" t="s">
        <v>349</v>
      </c>
      <c r="I83" s="26" t="s">
        <v>538</v>
      </c>
      <c r="J83" s="26" t="s">
        <v>586</v>
      </c>
      <c r="K83" s="26" t="s">
        <v>587</v>
      </c>
      <c r="L83" s="26" t="s">
        <v>148</v>
      </c>
      <c r="M83" s="26" t="s">
        <v>303</v>
      </c>
      <c r="N83" s="26">
        <v>30</v>
      </c>
      <c r="O83" s="26">
        <f>2024-Inventory[[#This Row],[YrBlt]]</f>
        <v>29</v>
      </c>
      <c r="P83" s="26">
        <f>2024-Inventory[[#This Row],[EffYr]]</f>
        <v>29</v>
      </c>
      <c r="Q83" s="25">
        <v>1995</v>
      </c>
      <c r="R83" s="25">
        <v>1995</v>
      </c>
      <c r="S83" s="25">
        <v>874</v>
      </c>
      <c r="T83" s="25">
        <v>346</v>
      </c>
      <c r="U83" s="27"/>
      <c r="V83" s="27">
        <f>Inventory[[#This Row],[Bsmt]]-Inventory[[#This Row],[FnBsmt]]</f>
        <v>0</v>
      </c>
      <c r="W83" s="27"/>
      <c r="X83" s="27"/>
      <c r="Y83" s="27">
        <f>Inventory[[#This Row],[MainFn]]+Inventory[[#This Row],[UpprFn]]+Inventory[[#This Row],[FnBsmt]]+Inventory[[#This Row],[AddFn]]</f>
        <v>1220</v>
      </c>
      <c r="Z83" s="27">
        <v>1500</v>
      </c>
      <c r="AA83" s="25">
        <v>10</v>
      </c>
      <c r="AB83" s="32">
        <v>420</v>
      </c>
      <c r="AC83" s="31"/>
      <c r="AD83" s="32">
        <v>96</v>
      </c>
      <c r="AE83" s="27"/>
      <c r="AF83" s="27"/>
      <c r="AG83" s="27"/>
      <c r="AH83" s="27"/>
      <c r="AI83" s="25">
        <v>291075</v>
      </c>
      <c r="AJ83" s="25">
        <v>253235</v>
      </c>
      <c r="AK83" s="25">
        <v>0</v>
      </c>
      <c r="AL83" s="25">
        <v>307700</v>
      </c>
      <c r="AM83" s="25">
        <v>43300</v>
      </c>
      <c r="AN83" s="25">
        <v>264400</v>
      </c>
      <c r="AO83" s="25">
        <v>0</v>
      </c>
      <c r="AP83" s="25">
        <f>Lookups!$B$56*0</f>
        <v>0</v>
      </c>
      <c r="AQ83" s="25">
        <f>Lookups!$B$56*1</f>
        <v>89850.625589999996</v>
      </c>
      <c r="AR83" s="25">
        <f>Lookups!$B$57*Inventory[[#This Row],[LnAcres]]</f>
        <v>-69870.439211769743</v>
      </c>
      <c r="AS83" s="25">
        <f>VLOOKUP(Inventory[[#This Row],[Qlty]],Lookups!$A$62:$E$75,2,FALSE)</f>
        <v>44121.038090000002</v>
      </c>
      <c r="AT83" s="25">
        <f>VLOOKUP(Inventory[[#This Row],[Cnd]],Lookups!$A$76:$E$84,2,FALSE)</f>
        <v>197752.34721000001</v>
      </c>
      <c r="AU83" s="25">
        <f>Inventory[[#This Row],[EffAge]]*Lookups!$B$85</f>
        <v>-6468.3224145000004</v>
      </c>
      <c r="AV83" s="25">
        <f>Inventory[[#This Row],[MainFn]]*Lookups!$B$86</f>
        <v>43183.177472497999</v>
      </c>
      <c r="AW83" s="25">
        <f>Inventory[[#This Row],[UpprFn]]*Lookups!$B$87</f>
        <v>15496.102309906</v>
      </c>
      <c r="AX83" s="25">
        <f>Inventory[[#This Row],[AddFn]]*Lookups!$B$88</f>
        <v>0</v>
      </c>
      <c r="AY83" s="25">
        <f>Inventory[[#This Row],[Bsmt]]*Lookups!$B$89</f>
        <v>0</v>
      </c>
      <c r="AZ83" s="25">
        <f>Inventory[[#This Row],[Fixtures]]*Lookups!$B$90</f>
        <v>37920.221052000001</v>
      </c>
      <c r="BA83" s="25">
        <f>Inventory[[#This Row],[WdDeck]]*Lookups!$B$91</f>
        <v>3196.3694664960003</v>
      </c>
      <c r="BB83" s="25">
        <f>ROUND(Inventory[[#This Row],[25Det]],-2)</f>
        <v>0</v>
      </c>
      <c r="BC83" s="25">
        <f>ROUND(SUM(Inventory[[#This Row],[Mdl Qlty]:[Mdl WdDeck]])+Inventory[[#This Row],[Mdl Res Intercept]],-2)</f>
        <v>335200</v>
      </c>
      <c r="BD83" s="25">
        <f>ROUND(Inventory[[#This Row],[Mdl Land Intercept]]+Inventory[[#This Row],[Mdl LnAcres]],-2)</f>
        <v>20000</v>
      </c>
      <c r="BE83" s="25">
        <f>Inventory[[#This Row],[Unadj Res Value]]+Inventory[[#This Row],[Unadj Det Value]]+Inventory[[#This Row],[Unadj Land Value]]</f>
        <v>355200</v>
      </c>
      <c r="BF83" s="36">
        <f>(Inventory[[#This Row],[Unadj Total Value]]-Inventory[[#This Row],[24Final]])/Inventory[[#This Row],[24Final]]</f>
        <v>0.15437114072148198</v>
      </c>
      <c r="BG83" s="25">
        <f>VLOOKUP(Inventory[[#This Row],[Nbhd]],Lookups!$Q$2:$T$4,4,FALSE)</f>
        <v>0.99970000000000003</v>
      </c>
      <c r="BH83" s="25">
        <f>VLOOKUP(Inventory[[#This Row],[Qlty]],Lookups!$O$7:$R$21,4,FALSE)</f>
        <v>0.98050000000000004</v>
      </c>
      <c r="BI83" s="25">
        <f>VLOOKUP(Inventory[[#This Row],[Cnd]],Lookups!$T$7:$W$16,4,FALSE)</f>
        <v>0.99650000000000005</v>
      </c>
      <c r="BJ83" s="25">
        <f>VLOOKUP(Inventory[[#This Row],[LivArea Range]],Lookups!$T$25:$W$37,4,FALSE)</f>
        <v>1.0157</v>
      </c>
      <c r="BK83" s="25">
        <f>VLOOKUP(Inventory[[#This Row],[Decade]],Lookups!$O$25:$R$42,4,FALSE)</f>
        <v>0.97319999999999995</v>
      </c>
      <c r="BL83" s="25">
        <f>Inventory[[#This Row],[Nbhd Adj]]*0.95</f>
        <v>0.94971499999999998</v>
      </c>
      <c r="BM83" s="25">
        <f>Inventory[[#This Row],[Nbhd Adj]]*Inventory[[#This Row],[Quality Adj]]*Inventory[[#This Row],[Condition Adj]]*Inventory[[#This Row],[Living Area Adj]]*Inventory[[#This Row],[Decade Adj]]*0.95</f>
        <v>0.91724584079958493</v>
      </c>
      <c r="BN83" s="25">
        <f>ROUND(SUM(Inventory[[#This Row],[Mdl Qlty]:[Mdl WdDeck]])+Inventory[[#This Row],[Mdl Res Intercept]]*Inventory[[#This Row],[Res Adj ]],-2)</f>
        <v>335200</v>
      </c>
      <c r="BO83" s="25">
        <f>ROUND(Inventory[[#This Row],[25Det]]*Inventory[[#This Row],[Det/Nbhd Adj]],-2)</f>
        <v>0</v>
      </c>
      <c r="BP83" s="25">
        <f>Inventory[[#This Row],[Adjusted Res]]+Inventory[[#This Row],[Adj Det ]]</f>
        <v>335200</v>
      </c>
      <c r="BQ83" s="25">
        <f>ROUND((Inventory[[#This Row],[Mdl Land Intercept]]+Inventory[[#This Row],[Mdl LnAcres]])*Inventory[[#This Row],[Det/Nbhd Adj]],-2)</f>
        <v>19000</v>
      </c>
      <c r="BR83" s="25">
        <f>Inventory[[#This Row],[Adjusted Impr Total]]+Inventory[[#This Row],[Adjusted Land Total]]</f>
        <v>354200</v>
      </c>
      <c r="BS83" s="36">
        <f>IFERROR((Inventory[[#This Row],[Adjusted Impr Total]]-Inventory[[#This Row],[24Bldg]])/Inventory[[#This Row],[24Bldg]],0)</f>
        <v>0.26777609682299547</v>
      </c>
      <c r="BT83" s="36">
        <f>(Inventory[[#This Row],[Adjusted Land Total]]-Inventory[[#This Row],[24Lnd]])/Inventory[[#This Row],[24Lnd]]</f>
        <v>-0.56120092378752884</v>
      </c>
      <c r="BU83" s="36">
        <f>(Inventory[[#This Row],[Adjusted Total]]-Inventory[[#This Row],[24Final]])/Inventory[[#This Row],[24Final]]</f>
        <v>0.15112122196945077</v>
      </c>
    </row>
    <row r="84" spans="1:73" x14ac:dyDescent="0.3">
      <c r="A84" s="25">
        <v>2025</v>
      </c>
      <c r="B84" s="26" t="s">
        <v>589</v>
      </c>
      <c r="C84" s="26">
        <f>LN(Inventory[[#This Row],[Acres]])</f>
        <v>-2.2072749131897207</v>
      </c>
      <c r="D84" s="25">
        <v>0.11</v>
      </c>
      <c r="E84" s="25">
        <v>4776</v>
      </c>
      <c r="F84" s="26" t="s">
        <v>537</v>
      </c>
      <c r="G84" s="26" t="s">
        <v>126</v>
      </c>
      <c r="H84" s="26" t="s">
        <v>349</v>
      </c>
      <c r="I84" s="26" t="s">
        <v>538</v>
      </c>
      <c r="J84" s="26" t="s">
        <v>586</v>
      </c>
      <c r="K84" s="26" t="s">
        <v>587</v>
      </c>
      <c r="L84" s="26" t="s">
        <v>148</v>
      </c>
      <c r="M84" s="26" t="s">
        <v>303</v>
      </c>
      <c r="N84" s="26">
        <v>30</v>
      </c>
      <c r="O84" s="26">
        <f>2024-Inventory[[#This Row],[YrBlt]]</f>
        <v>29</v>
      </c>
      <c r="P84" s="26">
        <f>2024-Inventory[[#This Row],[EffYr]]</f>
        <v>29</v>
      </c>
      <c r="Q84" s="25">
        <v>1995</v>
      </c>
      <c r="R84" s="25">
        <v>1995</v>
      </c>
      <c r="S84" s="25">
        <v>874</v>
      </c>
      <c r="T84" s="25">
        <v>346</v>
      </c>
      <c r="U84" s="27"/>
      <c r="V84" s="27">
        <f>Inventory[[#This Row],[Bsmt]]-Inventory[[#This Row],[FnBsmt]]</f>
        <v>0</v>
      </c>
      <c r="W84" s="27"/>
      <c r="X84" s="27"/>
      <c r="Y84" s="27">
        <f>Inventory[[#This Row],[MainFn]]+Inventory[[#This Row],[UpprFn]]+Inventory[[#This Row],[FnBsmt]]+Inventory[[#This Row],[AddFn]]</f>
        <v>1220</v>
      </c>
      <c r="Z84" s="27">
        <v>1500</v>
      </c>
      <c r="AA84" s="25">
        <v>10</v>
      </c>
      <c r="AB84" s="32">
        <v>420</v>
      </c>
      <c r="AC84" s="31"/>
      <c r="AD84" s="32">
        <v>96</v>
      </c>
      <c r="AE84" s="27"/>
      <c r="AF84" s="27"/>
      <c r="AG84" s="27"/>
      <c r="AH84" s="27"/>
      <c r="AI84" s="25">
        <v>291075</v>
      </c>
      <c r="AJ84" s="25">
        <v>253235</v>
      </c>
      <c r="AK84" s="25">
        <v>0</v>
      </c>
      <c r="AL84" s="25">
        <v>307700</v>
      </c>
      <c r="AM84" s="25">
        <v>43300</v>
      </c>
      <c r="AN84" s="25">
        <v>264400</v>
      </c>
      <c r="AO84" s="25">
        <v>0</v>
      </c>
      <c r="AP84" s="25">
        <f>Lookups!$B$56*0</f>
        <v>0</v>
      </c>
      <c r="AQ84" s="25">
        <f>Lookups!$B$56*1</f>
        <v>89850.625589999996</v>
      </c>
      <c r="AR84" s="25">
        <f>Lookups!$B$57*Inventory[[#This Row],[LnAcres]]</f>
        <v>-69870.439211769743</v>
      </c>
      <c r="AS84" s="25">
        <f>VLOOKUP(Inventory[[#This Row],[Qlty]],Lookups!$A$62:$E$75,2,FALSE)</f>
        <v>44121.038090000002</v>
      </c>
      <c r="AT84" s="25">
        <f>VLOOKUP(Inventory[[#This Row],[Cnd]],Lookups!$A$76:$E$84,2,FALSE)</f>
        <v>197752.34721000001</v>
      </c>
      <c r="AU84" s="25">
        <f>Inventory[[#This Row],[EffAge]]*Lookups!$B$85</f>
        <v>-6468.3224145000004</v>
      </c>
      <c r="AV84" s="25">
        <f>Inventory[[#This Row],[MainFn]]*Lookups!$B$86</f>
        <v>43183.177472497999</v>
      </c>
      <c r="AW84" s="25">
        <f>Inventory[[#This Row],[UpprFn]]*Lookups!$B$87</f>
        <v>15496.102309906</v>
      </c>
      <c r="AX84" s="25">
        <f>Inventory[[#This Row],[AddFn]]*Lookups!$B$88</f>
        <v>0</v>
      </c>
      <c r="AY84" s="25">
        <f>Inventory[[#This Row],[Bsmt]]*Lookups!$B$89</f>
        <v>0</v>
      </c>
      <c r="AZ84" s="25">
        <f>Inventory[[#This Row],[Fixtures]]*Lookups!$B$90</f>
        <v>37920.221052000001</v>
      </c>
      <c r="BA84" s="25">
        <f>Inventory[[#This Row],[WdDeck]]*Lookups!$B$91</f>
        <v>3196.3694664960003</v>
      </c>
      <c r="BB84" s="25">
        <f>ROUND(Inventory[[#This Row],[25Det]],-2)</f>
        <v>0</v>
      </c>
      <c r="BC84" s="25">
        <f>ROUND(SUM(Inventory[[#This Row],[Mdl Qlty]:[Mdl WdDeck]])+Inventory[[#This Row],[Mdl Res Intercept]],-2)</f>
        <v>335200</v>
      </c>
      <c r="BD84" s="25">
        <f>ROUND(Inventory[[#This Row],[Mdl Land Intercept]]+Inventory[[#This Row],[Mdl LnAcres]],-2)</f>
        <v>20000</v>
      </c>
      <c r="BE84" s="25">
        <f>Inventory[[#This Row],[Unadj Res Value]]+Inventory[[#This Row],[Unadj Det Value]]+Inventory[[#This Row],[Unadj Land Value]]</f>
        <v>355200</v>
      </c>
      <c r="BF84" s="36">
        <f>(Inventory[[#This Row],[Unadj Total Value]]-Inventory[[#This Row],[24Final]])/Inventory[[#This Row],[24Final]]</f>
        <v>0.15437114072148198</v>
      </c>
      <c r="BG84" s="25">
        <f>VLOOKUP(Inventory[[#This Row],[Nbhd]],Lookups!$Q$2:$T$4,4,FALSE)</f>
        <v>0.99970000000000003</v>
      </c>
      <c r="BH84" s="25">
        <f>VLOOKUP(Inventory[[#This Row],[Qlty]],Lookups!$O$7:$R$21,4,FALSE)</f>
        <v>0.98050000000000004</v>
      </c>
      <c r="BI84" s="25">
        <f>VLOOKUP(Inventory[[#This Row],[Cnd]],Lookups!$T$7:$W$16,4,FALSE)</f>
        <v>0.99650000000000005</v>
      </c>
      <c r="BJ84" s="25">
        <f>VLOOKUP(Inventory[[#This Row],[LivArea Range]],Lookups!$T$25:$W$37,4,FALSE)</f>
        <v>1.0157</v>
      </c>
      <c r="BK84" s="25">
        <f>VLOOKUP(Inventory[[#This Row],[Decade]],Lookups!$O$25:$R$42,4,FALSE)</f>
        <v>0.97319999999999995</v>
      </c>
      <c r="BL84" s="25">
        <f>Inventory[[#This Row],[Nbhd Adj]]*0.95</f>
        <v>0.94971499999999998</v>
      </c>
      <c r="BM84" s="25">
        <f>Inventory[[#This Row],[Nbhd Adj]]*Inventory[[#This Row],[Quality Adj]]*Inventory[[#This Row],[Condition Adj]]*Inventory[[#This Row],[Living Area Adj]]*Inventory[[#This Row],[Decade Adj]]*0.95</f>
        <v>0.91724584079958493</v>
      </c>
      <c r="BN84" s="25">
        <f>ROUND(SUM(Inventory[[#This Row],[Mdl Qlty]:[Mdl WdDeck]])+Inventory[[#This Row],[Mdl Res Intercept]]*Inventory[[#This Row],[Res Adj ]],-2)</f>
        <v>335200</v>
      </c>
      <c r="BO84" s="25">
        <f>ROUND(Inventory[[#This Row],[25Det]]*Inventory[[#This Row],[Det/Nbhd Adj]],-2)</f>
        <v>0</v>
      </c>
      <c r="BP84" s="25">
        <f>Inventory[[#This Row],[Adjusted Res]]+Inventory[[#This Row],[Adj Det ]]</f>
        <v>335200</v>
      </c>
      <c r="BQ84" s="25">
        <f>ROUND((Inventory[[#This Row],[Mdl Land Intercept]]+Inventory[[#This Row],[Mdl LnAcres]])*Inventory[[#This Row],[Det/Nbhd Adj]],-2)</f>
        <v>19000</v>
      </c>
      <c r="BR84" s="25">
        <f>Inventory[[#This Row],[Adjusted Impr Total]]+Inventory[[#This Row],[Adjusted Land Total]]</f>
        <v>354200</v>
      </c>
      <c r="BS84" s="36">
        <f>IFERROR((Inventory[[#This Row],[Adjusted Impr Total]]-Inventory[[#This Row],[24Bldg]])/Inventory[[#This Row],[24Bldg]],0)</f>
        <v>0.26777609682299547</v>
      </c>
      <c r="BT84" s="36">
        <f>(Inventory[[#This Row],[Adjusted Land Total]]-Inventory[[#This Row],[24Lnd]])/Inventory[[#This Row],[24Lnd]]</f>
        <v>-0.56120092378752884</v>
      </c>
      <c r="BU84" s="36">
        <f>(Inventory[[#This Row],[Adjusted Total]]-Inventory[[#This Row],[24Final]])/Inventory[[#This Row],[24Final]]</f>
        <v>0.15112122196945077</v>
      </c>
    </row>
    <row r="85" spans="1:73" x14ac:dyDescent="0.3">
      <c r="A85" s="25">
        <v>2025</v>
      </c>
      <c r="B85" s="26" t="s">
        <v>585</v>
      </c>
      <c r="C85" s="26">
        <f>LN(Inventory[[#This Row],[Acres]])</f>
        <v>-2.2072749131897207</v>
      </c>
      <c r="D85" s="25">
        <v>0.11</v>
      </c>
      <c r="E85" s="25">
        <v>4780</v>
      </c>
      <c r="F85" s="26" t="s">
        <v>537</v>
      </c>
      <c r="G85" s="26" t="s">
        <v>126</v>
      </c>
      <c r="H85" s="26" t="s">
        <v>349</v>
      </c>
      <c r="I85" s="26" t="s">
        <v>538</v>
      </c>
      <c r="J85" s="26" t="s">
        <v>586</v>
      </c>
      <c r="K85" s="26" t="s">
        <v>587</v>
      </c>
      <c r="L85" s="26" t="s">
        <v>148</v>
      </c>
      <c r="M85" s="26" t="s">
        <v>303</v>
      </c>
      <c r="N85" s="26">
        <v>30</v>
      </c>
      <c r="O85" s="26">
        <f>2024-Inventory[[#This Row],[YrBlt]]</f>
        <v>29</v>
      </c>
      <c r="P85" s="26">
        <f>2024-Inventory[[#This Row],[EffYr]]</f>
        <v>29</v>
      </c>
      <c r="Q85" s="25">
        <v>1995</v>
      </c>
      <c r="R85" s="25">
        <v>1995</v>
      </c>
      <c r="S85" s="25">
        <v>874</v>
      </c>
      <c r="T85" s="25">
        <v>358</v>
      </c>
      <c r="U85" s="27"/>
      <c r="V85" s="27">
        <f>Inventory[[#This Row],[Bsmt]]-Inventory[[#This Row],[FnBsmt]]</f>
        <v>0</v>
      </c>
      <c r="W85" s="27"/>
      <c r="X85" s="27"/>
      <c r="Y85" s="27">
        <f>Inventory[[#This Row],[MainFn]]+Inventory[[#This Row],[UpprFn]]+Inventory[[#This Row],[FnBsmt]]+Inventory[[#This Row],[AddFn]]</f>
        <v>1232</v>
      </c>
      <c r="Z85" s="27">
        <v>1500</v>
      </c>
      <c r="AA85" s="25">
        <v>11</v>
      </c>
      <c r="AB85" s="32">
        <v>440</v>
      </c>
      <c r="AC85" s="31"/>
      <c r="AD85" s="32">
        <v>99</v>
      </c>
      <c r="AE85" s="27"/>
      <c r="AF85" s="27"/>
      <c r="AG85" s="27"/>
      <c r="AH85" s="27"/>
      <c r="AI85" s="25">
        <v>295622</v>
      </c>
      <c r="AJ85" s="25">
        <v>257191</v>
      </c>
      <c r="AK85" s="25">
        <v>0</v>
      </c>
      <c r="AL85" s="25">
        <v>312000</v>
      </c>
      <c r="AM85" s="25">
        <v>43300</v>
      </c>
      <c r="AN85" s="25">
        <v>268700</v>
      </c>
      <c r="AO85" s="25">
        <v>0</v>
      </c>
      <c r="AP85" s="25">
        <f>Lookups!$B$56*0</f>
        <v>0</v>
      </c>
      <c r="AQ85" s="25">
        <f>Lookups!$B$56*1</f>
        <v>89850.625589999996</v>
      </c>
      <c r="AR85" s="25">
        <f>Lookups!$B$57*Inventory[[#This Row],[LnAcres]]</f>
        <v>-69870.439211769743</v>
      </c>
      <c r="AS85" s="25">
        <f>VLOOKUP(Inventory[[#This Row],[Qlty]],Lookups!$A$62:$E$75,2,FALSE)</f>
        <v>44121.038090000002</v>
      </c>
      <c r="AT85" s="25">
        <f>VLOOKUP(Inventory[[#This Row],[Cnd]],Lookups!$A$76:$E$84,2,FALSE)</f>
        <v>197752.34721000001</v>
      </c>
      <c r="AU85" s="25">
        <f>Inventory[[#This Row],[EffAge]]*Lookups!$B$85</f>
        <v>-6468.3224145000004</v>
      </c>
      <c r="AV85" s="25">
        <f>Inventory[[#This Row],[MainFn]]*Lookups!$B$86</f>
        <v>43183.177472497999</v>
      </c>
      <c r="AW85" s="25">
        <f>Inventory[[#This Row],[UpprFn]]*Lookups!$B$87</f>
        <v>16033.539384238</v>
      </c>
      <c r="AX85" s="25">
        <f>Inventory[[#This Row],[AddFn]]*Lookups!$B$88</f>
        <v>0</v>
      </c>
      <c r="AY85" s="25">
        <f>Inventory[[#This Row],[Bsmt]]*Lookups!$B$89</f>
        <v>0</v>
      </c>
      <c r="AZ85" s="25">
        <f>Inventory[[#This Row],[Fixtures]]*Lookups!$B$90</f>
        <v>41712.243157199999</v>
      </c>
      <c r="BA85" s="25">
        <f>Inventory[[#This Row],[WdDeck]]*Lookups!$B$91</f>
        <v>3296.2560123240005</v>
      </c>
      <c r="BB85" s="25">
        <f>ROUND(Inventory[[#This Row],[25Det]],-2)</f>
        <v>0</v>
      </c>
      <c r="BC85" s="25">
        <f>ROUND(SUM(Inventory[[#This Row],[Mdl Qlty]:[Mdl WdDeck]])+Inventory[[#This Row],[Mdl Res Intercept]],-2)</f>
        <v>339600</v>
      </c>
      <c r="BD85" s="25">
        <f>ROUND(Inventory[[#This Row],[Mdl Land Intercept]]+Inventory[[#This Row],[Mdl LnAcres]],-2)</f>
        <v>20000</v>
      </c>
      <c r="BE85" s="25">
        <f>Inventory[[#This Row],[Unadj Res Value]]+Inventory[[#This Row],[Unadj Det Value]]+Inventory[[#This Row],[Unadj Land Value]]</f>
        <v>359600</v>
      </c>
      <c r="BF85" s="36">
        <f>(Inventory[[#This Row],[Unadj Total Value]]-Inventory[[#This Row],[24Final]])/Inventory[[#This Row],[24Final]]</f>
        <v>0.15256410256410258</v>
      </c>
      <c r="BG85" s="25">
        <f>VLOOKUP(Inventory[[#This Row],[Nbhd]],Lookups!$Q$2:$T$4,4,FALSE)</f>
        <v>0.99970000000000003</v>
      </c>
      <c r="BH85" s="25">
        <f>VLOOKUP(Inventory[[#This Row],[Qlty]],Lookups!$O$7:$R$21,4,FALSE)</f>
        <v>0.98050000000000004</v>
      </c>
      <c r="BI85" s="25">
        <f>VLOOKUP(Inventory[[#This Row],[Cnd]],Lookups!$T$7:$W$16,4,FALSE)</f>
        <v>0.99650000000000005</v>
      </c>
      <c r="BJ85" s="25">
        <f>VLOOKUP(Inventory[[#This Row],[LivArea Range]],Lookups!$T$25:$W$37,4,FALSE)</f>
        <v>1.0157</v>
      </c>
      <c r="BK85" s="25">
        <f>VLOOKUP(Inventory[[#This Row],[Decade]],Lookups!$O$25:$R$42,4,FALSE)</f>
        <v>0.97319999999999995</v>
      </c>
      <c r="BL85" s="25">
        <f>Inventory[[#This Row],[Nbhd Adj]]*0.95</f>
        <v>0.94971499999999998</v>
      </c>
      <c r="BM85" s="25">
        <f>Inventory[[#This Row],[Nbhd Adj]]*Inventory[[#This Row],[Quality Adj]]*Inventory[[#This Row],[Condition Adj]]*Inventory[[#This Row],[Living Area Adj]]*Inventory[[#This Row],[Decade Adj]]*0.95</f>
        <v>0.91724584079958493</v>
      </c>
      <c r="BN85" s="25">
        <f>ROUND(SUM(Inventory[[#This Row],[Mdl Qlty]:[Mdl WdDeck]])+Inventory[[#This Row],[Mdl Res Intercept]]*Inventory[[#This Row],[Res Adj ]],-2)</f>
        <v>339600</v>
      </c>
      <c r="BO85" s="25">
        <f>ROUND(Inventory[[#This Row],[25Det]]*Inventory[[#This Row],[Det/Nbhd Adj]],-2)</f>
        <v>0</v>
      </c>
      <c r="BP85" s="25">
        <f>Inventory[[#This Row],[Adjusted Res]]+Inventory[[#This Row],[Adj Det ]]</f>
        <v>339600</v>
      </c>
      <c r="BQ85" s="25">
        <f>ROUND((Inventory[[#This Row],[Mdl Land Intercept]]+Inventory[[#This Row],[Mdl LnAcres]])*Inventory[[#This Row],[Det/Nbhd Adj]],-2)</f>
        <v>19000</v>
      </c>
      <c r="BR85" s="25">
        <f>Inventory[[#This Row],[Adjusted Impr Total]]+Inventory[[#This Row],[Adjusted Land Total]]</f>
        <v>358600</v>
      </c>
      <c r="BS85" s="36">
        <f>IFERROR((Inventory[[#This Row],[Adjusted Impr Total]]-Inventory[[#This Row],[24Bldg]])/Inventory[[#This Row],[24Bldg]],0)</f>
        <v>0.26386304428730928</v>
      </c>
      <c r="BT85" s="36">
        <f>(Inventory[[#This Row],[Adjusted Land Total]]-Inventory[[#This Row],[24Lnd]])/Inventory[[#This Row],[24Lnd]]</f>
        <v>-0.56120092378752884</v>
      </c>
      <c r="BU85" s="36">
        <f>(Inventory[[#This Row],[Adjusted Total]]-Inventory[[#This Row],[24Final]])/Inventory[[#This Row],[24Final]]</f>
        <v>0.14935897435897436</v>
      </c>
    </row>
    <row r="86" spans="1:73" x14ac:dyDescent="0.3">
      <c r="A86" s="25">
        <v>2025</v>
      </c>
      <c r="B86" s="26" t="s">
        <v>590</v>
      </c>
      <c r="C86" s="26">
        <f>LN(Inventory[[#This Row],[Acres]])</f>
        <v>-2.2072749131897207</v>
      </c>
      <c r="D86" s="25">
        <v>0.11</v>
      </c>
      <c r="E86" s="25">
        <v>4764</v>
      </c>
      <c r="F86" s="26" t="s">
        <v>537</v>
      </c>
      <c r="G86" s="26" t="s">
        <v>126</v>
      </c>
      <c r="H86" s="26" t="s">
        <v>349</v>
      </c>
      <c r="I86" s="26" t="s">
        <v>538</v>
      </c>
      <c r="J86" s="26" t="s">
        <v>586</v>
      </c>
      <c r="K86" s="26" t="s">
        <v>587</v>
      </c>
      <c r="L86" s="26" t="s">
        <v>148</v>
      </c>
      <c r="M86" s="26" t="s">
        <v>303</v>
      </c>
      <c r="N86" s="26">
        <v>30</v>
      </c>
      <c r="O86" s="26">
        <f>2024-Inventory[[#This Row],[YrBlt]]</f>
        <v>29</v>
      </c>
      <c r="P86" s="26">
        <f>2024-Inventory[[#This Row],[EffYr]]</f>
        <v>29</v>
      </c>
      <c r="Q86" s="25">
        <v>1995</v>
      </c>
      <c r="R86" s="25">
        <v>1995</v>
      </c>
      <c r="S86" s="25">
        <v>874</v>
      </c>
      <c r="T86" s="25">
        <v>358</v>
      </c>
      <c r="U86" s="27"/>
      <c r="V86" s="27">
        <f>Inventory[[#This Row],[Bsmt]]-Inventory[[#This Row],[FnBsmt]]</f>
        <v>0</v>
      </c>
      <c r="W86" s="27"/>
      <c r="X86" s="27"/>
      <c r="Y86" s="27">
        <f>Inventory[[#This Row],[MainFn]]+Inventory[[#This Row],[UpprFn]]+Inventory[[#This Row],[FnBsmt]]+Inventory[[#This Row],[AddFn]]</f>
        <v>1232</v>
      </c>
      <c r="Z86" s="27">
        <v>1500</v>
      </c>
      <c r="AA86" s="25">
        <v>11</v>
      </c>
      <c r="AB86" s="32">
        <v>440</v>
      </c>
      <c r="AC86" s="31"/>
      <c r="AD86" s="32">
        <v>99</v>
      </c>
      <c r="AE86" s="27"/>
      <c r="AF86" s="27"/>
      <c r="AG86" s="27"/>
      <c r="AH86" s="27"/>
      <c r="AI86" s="25">
        <v>297088</v>
      </c>
      <c r="AJ86" s="25">
        <v>258467</v>
      </c>
      <c r="AK86" s="25">
        <v>0</v>
      </c>
      <c r="AL86" s="25">
        <v>313300</v>
      </c>
      <c r="AM86" s="25">
        <v>43300</v>
      </c>
      <c r="AN86" s="25">
        <v>270000</v>
      </c>
      <c r="AO86" s="25">
        <v>0</v>
      </c>
      <c r="AP86" s="25">
        <f>Lookups!$B$56*0</f>
        <v>0</v>
      </c>
      <c r="AQ86" s="25">
        <f>Lookups!$B$56*1</f>
        <v>89850.625589999996</v>
      </c>
      <c r="AR86" s="25">
        <f>Lookups!$B$57*Inventory[[#This Row],[LnAcres]]</f>
        <v>-69870.439211769743</v>
      </c>
      <c r="AS86" s="25">
        <f>VLOOKUP(Inventory[[#This Row],[Qlty]],Lookups!$A$62:$E$75,2,FALSE)</f>
        <v>44121.038090000002</v>
      </c>
      <c r="AT86" s="25">
        <f>VLOOKUP(Inventory[[#This Row],[Cnd]],Lookups!$A$76:$E$84,2,FALSE)</f>
        <v>197752.34721000001</v>
      </c>
      <c r="AU86" s="25">
        <f>Inventory[[#This Row],[EffAge]]*Lookups!$B$85</f>
        <v>-6468.3224145000004</v>
      </c>
      <c r="AV86" s="25">
        <f>Inventory[[#This Row],[MainFn]]*Lookups!$B$86</f>
        <v>43183.177472497999</v>
      </c>
      <c r="AW86" s="25">
        <f>Inventory[[#This Row],[UpprFn]]*Lookups!$B$87</f>
        <v>16033.539384238</v>
      </c>
      <c r="AX86" s="25">
        <f>Inventory[[#This Row],[AddFn]]*Lookups!$B$88</f>
        <v>0</v>
      </c>
      <c r="AY86" s="25">
        <f>Inventory[[#This Row],[Bsmt]]*Lookups!$B$89</f>
        <v>0</v>
      </c>
      <c r="AZ86" s="25">
        <f>Inventory[[#This Row],[Fixtures]]*Lookups!$B$90</f>
        <v>41712.243157199999</v>
      </c>
      <c r="BA86" s="25">
        <f>Inventory[[#This Row],[WdDeck]]*Lookups!$B$91</f>
        <v>3296.2560123240005</v>
      </c>
      <c r="BB86" s="25">
        <f>ROUND(Inventory[[#This Row],[25Det]],-2)</f>
        <v>0</v>
      </c>
      <c r="BC86" s="25">
        <f>ROUND(SUM(Inventory[[#This Row],[Mdl Qlty]:[Mdl WdDeck]])+Inventory[[#This Row],[Mdl Res Intercept]],-2)</f>
        <v>339600</v>
      </c>
      <c r="BD86" s="25">
        <f>ROUND(Inventory[[#This Row],[Mdl Land Intercept]]+Inventory[[#This Row],[Mdl LnAcres]],-2)</f>
        <v>20000</v>
      </c>
      <c r="BE86" s="25">
        <f>Inventory[[#This Row],[Unadj Res Value]]+Inventory[[#This Row],[Unadj Det Value]]+Inventory[[#This Row],[Unadj Land Value]]</f>
        <v>359600</v>
      </c>
      <c r="BF86" s="36">
        <f>(Inventory[[#This Row],[Unadj Total Value]]-Inventory[[#This Row],[24Final]])/Inventory[[#This Row],[24Final]]</f>
        <v>0.14778167890201085</v>
      </c>
      <c r="BG86" s="25">
        <f>VLOOKUP(Inventory[[#This Row],[Nbhd]],Lookups!$Q$2:$T$4,4,FALSE)</f>
        <v>0.99970000000000003</v>
      </c>
      <c r="BH86" s="25">
        <f>VLOOKUP(Inventory[[#This Row],[Qlty]],Lookups!$O$7:$R$21,4,FALSE)</f>
        <v>0.98050000000000004</v>
      </c>
      <c r="BI86" s="25">
        <f>VLOOKUP(Inventory[[#This Row],[Cnd]],Lookups!$T$7:$W$16,4,FALSE)</f>
        <v>0.99650000000000005</v>
      </c>
      <c r="BJ86" s="25">
        <f>VLOOKUP(Inventory[[#This Row],[LivArea Range]],Lookups!$T$25:$W$37,4,FALSE)</f>
        <v>1.0157</v>
      </c>
      <c r="BK86" s="25">
        <f>VLOOKUP(Inventory[[#This Row],[Decade]],Lookups!$O$25:$R$42,4,FALSE)</f>
        <v>0.97319999999999995</v>
      </c>
      <c r="BL86" s="25">
        <f>Inventory[[#This Row],[Nbhd Adj]]*0.95</f>
        <v>0.94971499999999998</v>
      </c>
      <c r="BM86" s="25">
        <f>Inventory[[#This Row],[Nbhd Adj]]*Inventory[[#This Row],[Quality Adj]]*Inventory[[#This Row],[Condition Adj]]*Inventory[[#This Row],[Living Area Adj]]*Inventory[[#This Row],[Decade Adj]]*0.95</f>
        <v>0.91724584079958493</v>
      </c>
      <c r="BN86" s="25">
        <f>ROUND(SUM(Inventory[[#This Row],[Mdl Qlty]:[Mdl WdDeck]])+Inventory[[#This Row],[Mdl Res Intercept]]*Inventory[[#This Row],[Res Adj ]],-2)</f>
        <v>339600</v>
      </c>
      <c r="BO86" s="25">
        <f>ROUND(Inventory[[#This Row],[25Det]]*Inventory[[#This Row],[Det/Nbhd Adj]],-2)</f>
        <v>0</v>
      </c>
      <c r="BP86" s="25">
        <f>Inventory[[#This Row],[Adjusted Res]]+Inventory[[#This Row],[Adj Det ]]</f>
        <v>339600</v>
      </c>
      <c r="BQ86" s="25">
        <f>ROUND((Inventory[[#This Row],[Mdl Land Intercept]]+Inventory[[#This Row],[Mdl LnAcres]])*Inventory[[#This Row],[Det/Nbhd Adj]],-2)</f>
        <v>19000</v>
      </c>
      <c r="BR86" s="25">
        <f>Inventory[[#This Row],[Adjusted Impr Total]]+Inventory[[#This Row],[Adjusted Land Total]]</f>
        <v>358600</v>
      </c>
      <c r="BS86" s="36">
        <f>IFERROR((Inventory[[#This Row],[Adjusted Impr Total]]-Inventory[[#This Row],[24Bldg]])/Inventory[[#This Row],[24Bldg]],0)</f>
        <v>0.25777777777777777</v>
      </c>
      <c r="BT86" s="36">
        <f>(Inventory[[#This Row],[Adjusted Land Total]]-Inventory[[#This Row],[24Lnd]])/Inventory[[#This Row],[24Lnd]]</f>
        <v>-0.56120092378752884</v>
      </c>
      <c r="BU86" s="36">
        <f>(Inventory[[#This Row],[Adjusted Total]]-Inventory[[#This Row],[24Final]])/Inventory[[#This Row],[24Final]]</f>
        <v>0.14458984998404087</v>
      </c>
    </row>
    <row r="87" spans="1:73" x14ac:dyDescent="0.3">
      <c r="A87" s="25">
        <v>2025</v>
      </c>
      <c r="B87" s="26" t="s">
        <v>567</v>
      </c>
      <c r="C87" s="26">
        <f>LN(Inventory[[#This Row],[Acres]])</f>
        <v>-3.2188758248682006</v>
      </c>
      <c r="D87" s="25">
        <v>0.04</v>
      </c>
      <c r="E87" s="25">
        <v>1234</v>
      </c>
      <c r="F87" s="26" t="s">
        <v>537</v>
      </c>
      <c r="G87" s="26" t="s">
        <v>28</v>
      </c>
      <c r="H87" s="26" t="s">
        <v>349</v>
      </c>
      <c r="I87" s="26" t="s">
        <v>538</v>
      </c>
      <c r="J87" s="26" t="s">
        <v>551</v>
      </c>
      <c r="K87" s="26" t="s">
        <v>415</v>
      </c>
      <c r="L87" s="26" t="s">
        <v>351</v>
      </c>
      <c r="M87" s="26" t="s">
        <v>323</v>
      </c>
      <c r="N87" s="26">
        <v>30</v>
      </c>
      <c r="O87" s="26">
        <f>2024-Inventory[[#This Row],[YrBlt]]</f>
        <v>29</v>
      </c>
      <c r="P87" s="26">
        <f>2024-Inventory[[#This Row],[EffYr]]</f>
        <v>29</v>
      </c>
      <c r="Q87" s="25">
        <v>1995</v>
      </c>
      <c r="R87" s="25">
        <v>1995</v>
      </c>
      <c r="S87" s="25">
        <v>1234</v>
      </c>
      <c r="T87" s="31"/>
      <c r="U87" s="27"/>
      <c r="V87" s="27">
        <f>Inventory[[#This Row],[Bsmt]]-Inventory[[#This Row],[FnBsmt]]</f>
        <v>0</v>
      </c>
      <c r="W87" s="27"/>
      <c r="X87" s="27"/>
      <c r="Y87" s="27">
        <f>Inventory[[#This Row],[MainFn]]+Inventory[[#This Row],[UpprFn]]+Inventory[[#This Row],[FnBsmt]]+Inventory[[#This Row],[AddFn]]</f>
        <v>1234</v>
      </c>
      <c r="Z87" s="27">
        <v>1500</v>
      </c>
      <c r="AA87" s="25">
        <v>8</v>
      </c>
      <c r="AB87" s="27"/>
      <c r="AC87" s="31"/>
      <c r="AD87" s="27"/>
      <c r="AE87" s="27"/>
      <c r="AF87" s="27"/>
      <c r="AG87" s="27"/>
      <c r="AH87" s="27"/>
      <c r="AI87" s="25">
        <v>200012</v>
      </c>
      <c r="AJ87" s="25">
        <v>172010</v>
      </c>
      <c r="AK87" s="25">
        <v>22348</v>
      </c>
      <c r="AL87" s="25">
        <v>243100</v>
      </c>
      <c r="AM87" s="25">
        <v>36500</v>
      </c>
      <c r="AN87" s="25">
        <v>206600</v>
      </c>
      <c r="AO87" s="25">
        <v>0</v>
      </c>
      <c r="AP87" s="25">
        <f>Lookups!$B$56*0</f>
        <v>0</v>
      </c>
      <c r="AQ87" s="25">
        <f>Lookups!$B$56*1</f>
        <v>89850.625589999996</v>
      </c>
      <c r="AR87" s="25">
        <f>Lookups!$B$57*Inventory[[#This Row],[LnAcres]]</f>
        <v>-101892.2773541973</v>
      </c>
      <c r="AS87" s="25">
        <f>VLOOKUP(Inventory[[#This Row],[Qlty]],Lookups!$A$62:$E$75,2,FALSE)</f>
        <v>21557.329055999999</v>
      </c>
      <c r="AT87" s="25">
        <f>VLOOKUP(Inventory[[#This Row],[Cnd]],Lookups!$A$76:$E$84,2,FALSE)</f>
        <v>160472.20319</v>
      </c>
      <c r="AU87" s="25">
        <f>Inventory[[#This Row],[EffAge]]*Lookups!$B$85</f>
        <v>-6468.3224145000004</v>
      </c>
      <c r="AV87" s="25">
        <f>Inventory[[#This Row],[MainFn]]*Lookups!$B$86</f>
        <v>60970.298628217999</v>
      </c>
      <c r="AW87" s="25">
        <f>Inventory[[#This Row],[UpprFn]]*Lookups!$B$87</f>
        <v>0</v>
      </c>
      <c r="AX87" s="25">
        <f>Inventory[[#This Row],[AddFn]]*Lookups!$B$88</f>
        <v>0</v>
      </c>
      <c r="AY87" s="25">
        <f>Inventory[[#This Row],[Bsmt]]*Lookups!$B$89</f>
        <v>0</v>
      </c>
      <c r="AZ87" s="25">
        <f>Inventory[[#This Row],[Fixtures]]*Lookups!$B$90</f>
        <v>30336.176841600001</v>
      </c>
      <c r="BA87" s="25">
        <f>Inventory[[#This Row],[WdDeck]]*Lookups!$B$91</f>
        <v>0</v>
      </c>
      <c r="BB87" s="25">
        <f>ROUND(Inventory[[#This Row],[25Det]],-2)</f>
        <v>22300</v>
      </c>
      <c r="BC87" s="25">
        <f>ROUND(SUM(Inventory[[#This Row],[Mdl Qlty]:[Mdl WdDeck]])+Inventory[[#This Row],[Mdl Res Intercept]],-2)</f>
        <v>266900</v>
      </c>
      <c r="BD87" s="25">
        <f>ROUND(Inventory[[#This Row],[Mdl Land Intercept]]+Inventory[[#This Row],[Mdl LnAcres]],-2)</f>
        <v>-12000</v>
      </c>
      <c r="BE87" s="25">
        <f>Inventory[[#This Row],[Unadj Res Value]]+Inventory[[#This Row],[Unadj Det Value]]+Inventory[[#This Row],[Unadj Land Value]]</f>
        <v>277200</v>
      </c>
      <c r="BF87" s="36">
        <f>(Inventory[[#This Row],[Unadj Total Value]]-Inventory[[#This Row],[24Final]])/Inventory[[#This Row],[24Final]]</f>
        <v>0.14027149321266968</v>
      </c>
      <c r="BG87" s="25">
        <f>VLOOKUP(Inventory[[#This Row],[Nbhd]],Lookups!$Q$2:$T$4,4,FALSE)</f>
        <v>0.99970000000000003</v>
      </c>
      <c r="BH87" s="25">
        <f>VLOOKUP(Inventory[[#This Row],[Qlty]],Lookups!$O$7:$R$21,4,FALSE)</f>
        <v>1.0067999999999999</v>
      </c>
      <c r="BI87" s="25">
        <f>VLOOKUP(Inventory[[#This Row],[Cnd]],Lookups!$T$7:$W$16,4,FALSE)</f>
        <v>0.99729999999999996</v>
      </c>
      <c r="BJ87" s="25">
        <f>VLOOKUP(Inventory[[#This Row],[LivArea Range]],Lookups!$T$25:$W$37,4,FALSE)</f>
        <v>1.0157</v>
      </c>
      <c r="BK87" s="25">
        <f>VLOOKUP(Inventory[[#This Row],[Decade]],Lookups!$O$25:$R$42,4,FALSE)</f>
        <v>0.97319999999999995</v>
      </c>
      <c r="BL87" s="25">
        <f>Inventory[[#This Row],[Nbhd Adj]]*0.95</f>
        <v>0.94971499999999998</v>
      </c>
      <c r="BM87" s="25">
        <f>Inventory[[#This Row],[Nbhd Adj]]*Inventory[[#This Row],[Quality Adj]]*Inventory[[#This Row],[Condition Adj]]*Inventory[[#This Row],[Living Area Adj]]*Inventory[[#This Row],[Decade Adj]]*0.95</f>
        <v>0.9426052971358202</v>
      </c>
      <c r="BN87" s="25">
        <f>ROUND(SUM(Inventory[[#This Row],[Mdl Qlty]:[Mdl WdDeck]])+Inventory[[#This Row],[Mdl Res Intercept]]*Inventory[[#This Row],[Res Adj ]],-2)</f>
        <v>266900</v>
      </c>
      <c r="BO87" s="25">
        <f>ROUND(Inventory[[#This Row],[25Det]]*Inventory[[#This Row],[Det/Nbhd Adj]],-2)</f>
        <v>21200</v>
      </c>
      <c r="BP87" s="25">
        <f>Inventory[[#This Row],[Adjusted Res]]+Inventory[[#This Row],[Adj Det ]]</f>
        <v>288100</v>
      </c>
      <c r="BQ87" s="25">
        <f>ROUND((Inventory[[#This Row],[Mdl Land Intercept]]+Inventory[[#This Row],[Mdl LnAcres]])*Inventory[[#This Row],[Det/Nbhd Adj]],-2)</f>
        <v>-11400</v>
      </c>
      <c r="BR87" s="25">
        <f>Inventory[[#This Row],[Adjusted Impr Total]]+Inventory[[#This Row],[Adjusted Land Total]]</f>
        <v>276700</v>
      </c>
      <c r="BS87" s="36">
        <f>IFERROR((Inventory[[#This Row],[Adjusted Impr Total]]-Inventory[[#This Row],[24Bldg]])/Inventory[[#This Row],[24Bldg]],0)</f>
        <v>0.39448209099709586</v>
      </c>
      <c r="BT87" s="36">
        <f>(Inventory[[#This Row],[Adjusted Land Total]]-Inventory[[#This Row],[24Lnd]])/Inventory[[#This Row],[24Lnd]]</f>
        <v>-1.3123287671232877</v>
      </c>
      <c r="BU87" s="36">
        <f>(Inventory[[#This Row],[Adjusted Total]]-Inventory[[#This Row],[24Final]])/Inventory[[#This Row],[24Final]]</f>
        <v>0.13821472645002056</v>
      </c>
    </row>
    <row r="88" spans="1:73" x14ac:dyDescent="0.3">
      <c r="A88" s="25">
        <v>2025</v>
      </c>
      <c r="B88" s="26" t="s">
        <v>566</v>
      </c>
      <c r="C88" s="26">
        <f>LN(Inventory[[#This Row],[Acres]])</f>
        <v>-3.2188758248682006</v>
      </c>
      <c r="D88" s="25">
        <v>0.04</v>
      </c>
      <c r="E88" s="25">
        <v>1246</v>
      </c>
      <c r="F88" s="26" t="s">
        <v>537</v>
      </c>
      <c r="G88" s="26" t="s">
        <v>28</v>
      </c>
      <c r="H88" s="26" t="s">
        <v>349</v>
      </c>
      <c r="I88" s="26" t="s">
        <v>538</v>
      </c>
      <c r="J88" s="26" t="s">
        <v>551</v>
      </c>
      <c r="K88" s="26" t="s">
        <v>415</v>
      </c>
      <c r="L88" s="26" t="s">
        <v>351</v>
      </c>
      <c r="M88" s="26" t="s">
        <v>323</v>
      </c>
      <c r="N88" s="26">
        <v>30</v>
      </c>
      <c r="O88" s="26">
        <f>2024-Inventory[[#This Row],[YrBlt]]</f>
        <v>29</v>
      </c>
      <c r="P88" s="26">
        <f>2024-Inventory[[#This Row],[EffYr]]</f>
        <v>29</v>
      </c>
      <c r="Q88" s="25">
        <v>1995</v>
      </c>
      <c r="R88" s="25">
        <v>1995</v>
      </c>
      <c r="S88" s="25">
        <v>1246</v>
      </c>
      <c r="T88" s="31"/>
      <c r="U88" s="27"/>
      <c r="V88" s="27">
        <f>Inventory[[#This Row],[Bsmt]]-Inventory[[#This Row],[FnBsmt]]</f>
        <v>0</v>
      </c>
      <c r="W88" s="27"/>
      <c r="X88" s="27"/>
      <c r="Y88" s="27">
        <f>Inventory[[#This Row],[MainFn]]+Inventory[[#This Row],[UpprFn]]+Inventory[[#This Row],[FnBsmt]]+Inventory[[#This Row],[AddFn]]</f>
        <v>1246</v>
      </c>
      <c r="Z88" s="27">
        <v>1500</v>
      </c>
      <c r="AA88" s="25">
        <v>8</v>
      </c>
      <c r="AB88" s="27"/>
      <c r="AC88" s="31"/>
      <c r="AD88" s="27"/>
      <c r="AE88" s="27"/>
      <c r="AF88" s="27"/>
      <c r="AG88" s="27"/>
      <c r="AH88" s="27"/>
      <c r="AI88" s="25">
        <v>202110</v>
      </c>
      <c r="AJ88" s="25">
        <v>173815</v>
      </c>
      <c r="AK88" s="25">
        <v>22348</v>
      </c>
      <c r="AL88" s="25">
        <v>245700</v>
      </c>
      <c r="AM88" s="25">
        <v>36900</v>
      </c>
      <c r="AN88" s="25">
        <v>208800</v>
      </c>
      <c r="AO88" s="25">
        <v>0</v>
      </c>
      <c r="AP88" s="25">
        <f>Lookups!$B$56*0</f>
        <v>0</v>
      </c>
      <c r="AQ88" s="25">
        <f>Lookups!$B$56*1</f>
        <v>89850.625589999996</v>
      </c>
      <c r="AR88" s="25">
        <f>Lookups!$B$57*Inventory[[#This Row],[LnAcres]]</f>
        <v>-101892.2773541973</v>
      </c>
      <c r="AS88" s="25">
        <f>VLOOKUP(Inventory[[#This Row],[Qlty]],Lookups!$A$62:$E$75,2,FALSE)</f>
        <v>21557.329055999999</v>
      </c>
      <c r="AT88" s="25">
        <f>VLOOKUP(Inventory[[#This Row],[Cnd]],Lookups!$A$76:$E$84,2,FALSE)</f>
        <v>160472.20319</v>
      </c>
      <c r="AU88" s="25">
        <f>Inventory[[#This Row],[EffAge]]*Lookups!$B$85</f>
        <v>-6468.3224145000004</v>
      </c>
      <c r="AV88" s="25">
        <f>Inventory[[#This Row],[MainFn]]*Lookups!$B$86</f>
        <v>61563.202666742</v>
      </c>
      <c r="AW88" s="25">
        <f>Inventory[[#This Row],[UpprFn]]*Lookups!$B$87</f>
        <v>0</v>
      </c>
      <c r="AX88" s="25">
        <f>Inventory[[#This Row],[AddFn]]*Lookups!$B$88</f>
        <v>0</v>
      </c>
      <c r="AY88" s="25">
        <f>Inventory[[#This Row],[Bsmt]]*Lookups!$B$89</f>
        <v>0</v>
      </c>
      <c r="AZ88" s="25">
        <f>Inventory[[#This Row],[Fixtures]]*Lookups!$B$90</f>
        <v>30336.176841600001</v>
      </c>
      <c r="BA88" s="25">
        <f>Inventory[[#This Row],[WdDeck]]*Lookups!$B$91</f>
        <v>0</v>
      </c>
      <c r="BB88" s="25">
        <f>ROUND(Inventory[[#This Row],[25Det]],-2)</f>
        <v>22300</v>
      </c>
      <c r="BC88" s="25">
        <f>ROUND(SUM(Inventory[[#This Row],[Mdl Qlty]:[Mdl WdDeck]])+Inventory[[#This Row],[Mdl Res Intercept]],-2)</f>
        <v>267500</v>
      </c>
      <c r="BD88" s="25">
        <f>ROUND(Inventory[[#This Row],[Mdl Land Intercept]]+Inventory[[#This Row],[Mdl LnAcres]],-2)</f>
        <v>-12000</v>
      </c>
      <c r="BE88" s="25">
        <f>Inventory[[#This Row],[Unadj Res Value]]+Inventory[[#This Row],[Unadj Det Value]]+Inventory[[#This Row],[Unadj Land Value]]</f>
        <v>277800</v>
      </c>
      <c r="BF88" s="36">
        <f>(Inventory[[#This Row],[Unadj Total Value]]-Inventory[[#This Row],[24Final]])/Inventory[[#This Row],[24Final]]</f>
        <v>0.13064713064713065</v>
      </c>
      <c r="BG88" s="25">
        <f>VLOOKUP(Inventory[[#This Row],[Nbhd]],Lookups!$Q$2:$T$4,4,FALSE)</f>
        <v>0.99970000000000003</v>
      </c>
      <c r="BH88" s="25">
        <f>VLOOKUP(Inventory[[#This Row],[Qlty]],Lookups!$O$7:$R$21,4,FALSE)</f>
        <v>1.0067999999999999</v>
      </c>
      <c r="BI88" s="25">
        <f>VLOOKUP(Inventory[[#This Row],[Cnd]],Lookups!$T$7:$W$16,4,FALSE)</f>
        <v>0.99729999999999996</v>
      </c>
      <c r="BJ88" s="25">
        <f>VLOOKUP(Inventory[[#This Row],[LivArea Range]],Lookups!$T$25:$W$37,4,FALSE)</f>
        <v>1.0157</v>
      </c>
      <c r="BK88" s="25">
        <f>VLOOKUP(Inventory[[#This Row],[Decade]],Lookups!$O$25:$R$42,4,FALSE)</f>
        <v>0.97319999999999995</v>
      </c>
      <c r="BL88" s="25">
        <f>Inventory[[#This Row],[Nbhd Adj]]*0.95</f>
        <v>0.94971499999999998</v>
      </c>
      <c r="BM88" s="25">
        <f>Inventory[[#This Row],[Nbhd Adj]]*Inventory[[#This Row],[Quality Adj]]*Inventory[[#This Row],[Condition Adj]]*Inventory[[#This Row],[Living Area Adj]]*Inventory[[#This Row],[Decade Adj]]*0.95</f>
        <v>0.9426052971358202</v>
      </c>
      <c r="BN88" s="25">
        <f>ROUND(SUM(Inventory[[#This Row],[Mdl Qlty]:[Mdl WdDeck]])+Inventory[[#This Row],[Mdl Res Intercept]]*Inventory[[#This Row],[Res Adj ]],-2)</f>
        <v>267500</v>
      </c>
      <c r="BO88" s="25">
        <f>ROUND(Inventory[[#This Row],[25Det]]*Inventory[[#This Row],[Det/Nbhd Adj]],-2)</f>
        <v>21200</v>
      </c>
      <c r="BP88" s="25">
        <f>Inventory[[#This Row],[Adjusted Res]]+Inventory[[#This Row],[Adj Det ]]</f>
        <v>288700</v>
      </c>
      <c r="BQ88" s="25">
        <f>ROUND((Inventory[[#This Row],[Mdl Land Intercept]]+Inventory[[#This Row],[Mdl LnAcres]])*Inventory[[#This Row],[Det/Nbhd Adj]],-2)</f>
        <v>-11400</v>
      </c>
      <c r="BR88" s="25">
        <f>Inventory[[#This Row],[Adjusted Impr Total]]+Inventory[[#This Row],[Adjusted Land Total]]</f>
        <v>277300</v>
      </c>
      <c r="BS88" s="36">
        <f>IFERROR((Inventory[[#This Row],[Adjusted Impr Total]]-Inventory[[#This Row],[24Bldg]])/Inventory[[#This Row],[24Bldg]],0)</f>
        <v>0.38266283524904215</v>
      </c>
      <c r="BT88" s="36">
        <f>(Inventory[[#This Row],[Adjusted Land Total]]-Inventory[[#This Row],[24Lnd]])/Inventory[[#This Row],[24Lnd]]</f>
        <v>-1.3089430894308942</v>
      </c>
      <c r="BU88" s="36">
        <f>(Inventory[[#This Row],[Adjusted Total]]-Inventory[[#This Row],[24Final]])/Inventory[[#This Row],[24Final]]</f>
        <v>0.12861212861212862</v>
      </c>
    </row>
    <row r="89" spans="1:73" x14ac:dyDescent="0.3">
      <c r="A89" s="25">
        <v>2025</v>
      </c>
      <c r="B89" s="26" t="s">
        <v>568</v>
      </c>
      <c r="C89" s="26">
        <f>LN(Inventory[[#This Row],[Acres]])</f>
        <v>-3.2188758248682006</v>
      </c>
      <c r="D89" s="25">
        <v>0.04</v>
      </c>
      <c r="E89" s="25">
        <v>1309</v>
      </c>
      <c r="F89" s="26" t="s">
        <v>537</v>
      </c>
      <c r="G89" s="26" t="s">
        <v>28</v>
      </c>
      <c r="H89" s="26" t="s">
        <v>349</v>
      </c>
      <c r="I89" s="26" t="s">
        <v>538</v>
      </c>
      <c r="J89" s="26" t="s">
        <v>551</v>
      </c>
      <c r="K89" s="26" t="s">
        <v>381</v>
      </c>
      <c r="L89" s="26" t="s">
        <v>351</v>
      </c>
      <c r="M89" s="26" t="s">
        <v>323</v>
      </c>
      <c r="N89" s="26">
        <v>30</v>
      </c>
      <c r="O89" s="26">
        <f>2024-Inventory[[#This Row],[YrBlt]]</f>
        <v>29</v>
      </c>
      <c r="P89" s="26">
        <f>2024-Inventory[[#This Row],[EffYr]]</f>
        <v>29</v>
      </c>
      <c r="Q89" s="25">
        <v>1995</v>
      </c>
      <c r="R89" s="25">
        <v>1995</v>
      </c>
      <c r="S89" s="25">
        <v>1309</v>
      </c>
      <c r="T89" s="31"/>
      <c r="U89" s="27"/>
      <c r="V89" s="27">
        <f>Inventory[[#This Row],[Bsmt]]-Inventory[[#This Row],[FnBsmt]]</f>
        <v>0</v>
      </c>
      <c r="W89" s="27"/>
      <c r="X89" s="27"/>
      <c r="Y89" s="27">
        <f>Inventory[[#This Row],[MainFn]]+Inventory[[#This Row],[UpprFn]]+Inventory[[#This Row],[FnBsmt]]+Inventory[[#This Row],[AddFn]]</f>
        <v>1309</v>
      </c>
      <c r="Z89" s="27">
        <v>1500</v>
      </c>
      <c r="AA89" s="25">
        <v>8</v>
      </c>
      <c r="AB89" s="27"/>
      <c r="AC89" s="31"/>
      <c r="AD89" s="27"/>
      <c r="AE89" s="27"/>
      <c r="AF89" s="27"/>
      <c r="AG89" s="27"/>
      <c r="AH89" s="27"/>
      <c r="AI89" s="25">
        <v>210891</v>
      </c>
      <c r="AJ89" s="25">
        <v>181366</v>
      </c>
      <c r="AK89" s="25">
        <v>20269</v>
      </c>
      <c r="AL89" s="25">
        <v>253300</v>
      </c>
      <c r="AM89" s="25">
        <v>38000</v>
      </c>
      <c r="AN89" s="25">
        <v>215300</v>
      </c>
      <c r="AO89" s="25">
        <v>0</v>
      </c>
      <c r="AP89" s="25">
        <f>Lookups!$B$56*0</f>
        <v>0</v>
      </c>
      <c r="AQ89" s="25">
        <f>Lookups!$B$56*1</f>
        <v>89850.625589999996</v>
      </c>
      <c r="AR89" s="25">
        <f>Lookups!$B$57*Inventory[[#This Row],[LnAcres]]</f>
        <v>-101892.2773541973</v>
      </c>
      <c r="AS89" s="25">
        <f>VLOOKUP(Inventory[[#This Row],[Qlty]],Lookups!$A$62:$E$75,2,FALSE)</f>
        <v>21557.329055999999</v>
      </c>
      <c r="AT89" s="25">
        <f>VLOOKUP(Inventory[[#This Row],[Cnd]],Lookups!$A$76:$E$84,2,FALSE)</f>
        <v>160472.20319</v>
      </c>
      <c r="AU89" s="25">
        <f>Inventory[[#This Row],[EffAge]]*Lookups!$B$85</f>
        <v>-6468.3224145000004</v>
      </c>
      <c r="AV89" s="25">
        <f>Inventory[[#This Row],[MainFn]]*Lookups!$B$86</f>
        <v>64675.948868993</v>
      </c>
      <c r="AW89" s="25">
        <f>Inventory[[#This Row],[UpprFn]]*Lookups!$B$87</f>
        <v>0</v>
      </c>
      <c r="AX89" s="25">
        <f>Inventory[[#This Row],[AddFn]]*Lookups!$B$88</f>
        <v>0</v>
      </c>
      <c r="AY89" s="25">
        <f>Inventory[[#This Row],[Bsmt]]*Lookups!$B$89</f>
        <v>0</v>
      </c>
      <c r="AZ89" s="25">
        <f>Inventory[[#This Row],[Fixtures]]*Lookups!$B$90</f>
        <v>30336.176841600001</v>
      </c>
      <c r="BA89" s="25">
        <f>Inventory[[#This Row],[WdDeck]]*Lookups!$B$91</f>
        <v>0</v>
      </c>
      <c r="BB89" s="25">
        <f>ROUND(Inventory[[#This Row],[25Det]],-2)</f>
        <v>20300</v>
      </c>
      <c r="BC89" s="25">
        <f>ROUND(SUM(Inventory[[#This Row],[Mdl Qlty]:[Mdl WdDeck]])+Inventory[[#This Row],[Mdl Res Intercept]],-2)</f>
        <v>270600</v>
      </c>
      <c r="BD89" s="25">
        <f>ROUND(Inventory[[#This Row],[Mdl Land Intercept]]+Inventory[[#This Row],[Mdl LnAcres]],-2)</f>
        <v>-12000</v>
      </c>
      <c r="BE89" s="25">
        <f>Inventory[[#This Row],[Unadj Res Value]]+Inventory[[#This Row],[Unadj Det Value]]+Inventory[[#This Row],[Unadj Land Value]]</f>
        <v>278900</v>
      </c>
      <c r="BF89" s="36">
        <f>(Inventory[[#This Row],[Unadj Total Value]]-Inventory[[#This Row],[24Final]])/Inventory[[#This Row],[24Final]]</f>
        <v>0.10106592972759573</v>
      </c>
      <c r="BG89" s="25">
        <f>VLOOKUP(Inventory[[#This Row],[Nbhd]],Lookups!$Q$2:$T$4,4,FALSE)</f>
        <v>0.99970000000000003</v>
      </c>
      <c r="BH89" s="25">
        <f>VLOOKUP(Inventory[[#This Row],[Qlty]],Lookups!$O$7:$R$21,4,FALSE)</f>
        <v>1.0067999999999999</v>
      </c>
      <c r="BI89" s="25">
        <f>VLOOKUP(Inventory[[#This Row],[Cnd]],Lookups!$T$7:$W$16,4,FALSE)</f>
        <v>0.99729999999999996</v>
      </c>
      <c r="BJ89" s="25">
        <f>VLOOKUP(Inventory[[#This Row],[LivArea Range]],Lookups!$T$25:$W$37,4,FALSE)</f>
        <v>1.0157</v>
      </c>
      <c r="BK89" s="25">
        <f>VLOOKUP(Inventory[[#This Row],[Decade]],Lookups!$O$25:$R$42,4,FALSE)</f>
        <v>0.97319999999999995</v>
      </c>
      <c r="BL89" s="25">
        <f>Inventory[[#This Row],[Nbhd Adj]]*0.95</f>
        <v>0.94971499999999998</v>
      </c>
      <c r="BM89" s="25">
        <f>Inventory[[#This Row],[Nbhd Adj]]*Inventory[[#This Row],[Quality Adj]]*Inventory[[#This Row],[Condition Adj]]*Inventory[[#This Row],[Living Area Adj]]*Inventory[[#This Row],[Decade Adj]]*0.95</f>
        <v>0.9426052971358202</v>
      </c>
      <c r="BN89" s="25">
        <f>ROUND(SUM(Inventory[[#This Row],[Mdl Qlty]:[Mdl WdDeck]])+Inventory[[#This Row],[Mdl Res Intercept]]*Inventory[[#This Row],[Res Adj ]],-2)</f>
        <v>270600</v>
      </c>
      <c r="BO89" s="25">
        <f>ROUND(Inventory[[#This Row],[25Det]]*Inventory[[#This Row],[Det/Nbhd Adj]],-2)</f>
        <v>19200</v>
      </c>
      <c r="BP89" s="25">
        <f>Inventory[[#This Row],[Adjusted Res]]+Inventory[[#This Row],[Adj Det ]]</f>
        <v>289800</v>
      </c>
      <c r="BQ89" s="25">
        <f>ROUND((Inventory[[#This Row],[Mdl Land Intercept]]+Inventory[[#This Row],[Mdl LnAcres]])*Inventory[[#This Row],[Det/Nbhd Adj]],-2)</f>
        <v>-11400</v>
      </c>
      <c r="BR89" s="25">
        <f>Inventory[[#This Row],[Adjusted Impr Total]]+Inventory[[#This Row],[Adjusted Land Total]]</f>
        <v>278400</v>
      </c>
      <c r="BS89" s="36">
        <f>IFERROR((Inventory[[#This Row],[Adjusted Impr Total]]-Inventory[[#This Row],[24Bldg]])/Inventory[[#This Row],[24Bldg]],0)</f>
        <v>0.34602879702740363</v>
      </c>
      <c r="BT89" s="36">
        <f>(Inventory[[#This Row],[Adjusted Land Total]]-Inventory[[#This Row],[24Lnd]])/Inventory[[#This Row],[24Lnd]]</f>
        <v>-1.3</v>
      </c>
      <c r="BU89" s="36">
        <f>(Inventory[[#This Row],[Adjusted Total]]-Inventory[[#This Row],[24Final]])/Inventory[[#This Row],[24Final]]</f>
        <v>9.9091985787603629E-2</v>
      </c>
    </row>
    <row r="90" spans="1:73" x14ac:dyDescent="0.3">
      <c r="A90" s="25">
        <v>2025</v>
      </c>
      <c r="B90" s="26" t="s">
        <v>577</v>
      </c>
      <c r="C90" s="26">
        <f>LN(Inventory[[#This Row],[Acres]])</f>
        <v>-3.2188758248682006</v>
      </c>
      <c r="D90" s="25">
        <v>0.04</v>
      </c>
      <c r="E90" s="25">
        <v>1446</v>
      </c>
      <c r="F90" s="26" t="s">
        <v>537</v>
      </c>
      <c r="G90" s="26" t="s">
        <v>28</v>
      </c>
      <c r="H90" s="26" t="s">
        <v>349</v>
      </c>
      <c r="I90" s="26" t="s">
        <v>538</v>
      </c>
      <c r="J90" s="26" t="s">
        <v>551</v>
      </c>
      <c r="K90" s="26" t="s">
        <v>381</v>
      </c>
      <c r="L90" s="26" t="s">
        <v>302</v>
      </c>
      <c r="M90" s="26" t="s">
        <v>323</v>
      </c>
      <c r="N90" s="26">
        <v>30</v>
      </c>
      <c r="O90" s="26">
        <f>2024-Inventory[[#This Row],[YrBlt]]</f>
        <v>29</v>
      </c>
      <c r="P90" s="26">
        <f>2024-Inventory[[#This Row],[EffYr]]</f>
        <v>29</v>
      </c>
      <c r="Q90" s="25">
        <v>1995</v>
      </c>
      <c r="R90" s="25">
        <v>1995</v>
      </c>
      <c r="S90" s="25">
        <v>1446</v>
      </c>
      <c r="T90" s="31"/>
      <c r="U90" s="27"/>
      <c r="V90" s="27">
        <f>Inventory[[#This Row],[Bsmt]]-Inventory[[#This Row],[FnBsmt]]</f>
        <v>0</v>
      </c>
      <c r="W90" s="27"/>
      <c r="X90" s="27"/>
      <c r="Y90" s="27">
        <f>Inventory[[#This Row],[MainFn]]+Inventory[[#This Row],[UpprFn]]+Inventory[[#This Row],[FnBsmt]]+Inventory[[#This Row],[AddFn]]</f>
        <v>1446</v>
      </c>
      <c r="Z90" s="27">
        <v>1500</v>
      </c>
      <c r="AA90" s="25">
        <v>12</v>
      </c>
      <c r="AB90" s="27"/>
      <c r="AC90" s="31"/>
      <c r="AD90" s="27"/>
      <c r="AE90" s="27"/>
      <c r="AF90" s="27"/>
      <c r="AG90" s="27"/>
      <c r="AH90" s="27"/>
      <c r="AI90" s="25">
        <v>281048</v>
      </c>
      <c r="AJ90" s="25">
        <v>241701</v>
      </c>
      <c r="AK90" s="25">
        <v>23465</v>
      </c>
      <c r="AL90" s="25">
        <v>283800</v>
      </c>
      <c r="AM90" s="25">
        <v>42600</v>
      </c>
      <c r="AN90" s="25">
        <v>241200</v>
      </c>
      <c r="AO90" s="25">
        <v>0</v>
      </c>
      <c r="AP90" s="25">
        <f>Lookups!$B$56*0</f>
        <v>0</v>
      </c>
      <c r="AQ90" s="25">
        <f>Lookups!$B$56*1</f>
        <v>89850.625589999996</v>
      </c>
      <c r="AR90" s="25">
        <f>Lookups!$B$57*Inventory[[#This Row],[LnAcres]]</f>
        <v>-101892.2773541973</v>
      </c>
      <c r="AS90" s="25">
        <f>VLOOKUP(Inventory[[#This Row],[Qlty]],Lookups!$A$62:$E$75,2,FALSE)</f>
        <v>29814.093161000001</v>
      </c>
      <c r="AT90" s="25">
        <f>VLOOKUP(Inventory[[#This Row],[Cnd]],Lookups!$A$76:$E$84,2,FALSE)</f>
        <v>160472.20319</v>
      </c>
      <c r="AU90" s="25">
        <f>Inventory[[#This Row],[EffAge]]*Lookups!$B$85</f>
        <v>-6468.3224145000004</v>
      </c>
      <c r="AV90" s="25">
        <f>Inventory[[#This Row],[MainFn]]*Lookups!$B$86</f>
        <v>71444.936642141998</v>
      </c>
      <c r="AW90" s="25">
        <f>Inventory[[#This Row],[UpprFn]]*Lookups!$B$87</f>
        <v>0</v>
      </c>
      <c r="AX90" s="25">
        <f>Inventory[[#This Row],[AddFn]]*Lookups!$B$88</f>
        <v>0</v>
      </c>
      <c r="AY90" s="25">
        <f>Inventory[[#This Row],[Bsmt]]*Lookups!$B$89</f>
        <v>0</v>
      </c>
      <c r="AZ90" s="25">
        <f>Inventory[[#This Row],[Fixtures]]*Lookups!$B$90</f>
        <v>45504.265262400004</v>
      </c>
      <c r="BA90" s="25">
        <f>Inventory[[#This Row],[WdDeck]]*Lookups!$B$91</f>
        <v>0</v>
      </c>
      <c r="BB90" s="25">
        <f>ROUND(Inventory[[#This Row],[25Det]],-2)</f>
        <v>23500</v>
      </c>
      <c r="BC90" s="25">
        <f>ROUND(SUM(Inventory[[#This Row],[Mdl Qlty]:[Mdl WdDeck]])+Inventory[[#This Row],[Mdl Res Intercept]],-2)</f>
        <v>300800</v>
      </c>
      <c r="BD90" s="25">
        <f>ROUND(Inventory[[#This Row],[Mdl Land Intercept]]+Inventory[[#This Row],[Mdl LnAcres]],-2)</f>
        <v>-12000</v>
      </c>
      <c r="BE90" s="25">
        <f>Inventory[[#This Row],[Unadj Res Value]]+Inventory[[#This Row],[Unadj Det Value]]+Inventory[[#This Row],[Unadj Land Value]]</f>
        <v>312300</v>
      </c>
      <c r="BF90" s="36">
        <f>(Inventory[[#This Row],[Unadj Total Value]]-Inventory[[#This Row],[24Final]])/Inventory[[#This Row],[24Final]]</f>
        <v>0.10042283298097252</v>
      </c>
      <c r="BG90" s="25">
        <f>VLOOKUP(Inventory[[#This Row],[Nbhd]],Lookups!$Q$2:$T$4,4,FALSE)</f>
        <v>0.99970000000000003</v>
      </c>
      <c r="BH90" s="25">
        <f>VLOOKUP(Inventory[[#This Row],[Qlty]],Lookups!$O$7:$R$21,4,FALSE)</f>
        <v>1.0088999999999999</v>
      </c>
      <c r="BI90" s="25">
        <f>VLOOKUP(Inventory[[#This Row],[Cnd]],Lookups!$T$7:$W$16,4,FALSE)</f>
        <v>0.99729999999999996</v>
      </c>
      <c r="BJ90" s="25">
        <f>VLOOKUP(Inventory[[#This Row],[LivArea Range]],Lookups!$T$25:$W$37,4,FALSE)</f>
        <v>1.0157</v>
      </c>
      <c r="BK90" s="25">
        <f>VLOOKUP(Inventory[[#This Row],[Decade]],Lookups!$O$25:$R$42,4,FALSE)</f>
        <v>0.97319999999999995</v>
      </c>
      <c r="BL90" s="25">
        <f>Inventory[[#This Row],[Nbhd Adj]]*0.95</f>
        <v>0.94971499999999998</v>
      </c>
      <c r="BM90" s="25">
        <f>Inventory[[#This Row],[Nbhd Adj]]*Inventory[[#This Row],[Quality Adj]]*Inventory[[#This Row],[Condition Adj]]*Inventory[[#This Row],[Living Area Adj]]*Inventory[[#This Row],[Decade Adj]]*0.95</f>
        <v>0.944571398768702</v>
      </c>
      <c r="BN90" s="25">
        <f>ROUND(SUM(Inventory[[#This Row],[Mdl Qlty]:[Mdl WdDeck]])+Inventory[[#This Row],[Mdl Res Intercept]]*Inventory[[#This Row],[Res Adj ]],-2)</f>
        <v>300800</v>
      </c>
      <c r="BO90" s="25">
        <f>ROUND(Inventory[[#This Row],[25Det]]*Inventory[[#This Row],[Det/Nbhd Adj]],-2)</f>
        <v>22300</v>
      </c>
      <c r="BP90" s="25">
        <f>Inventory[[#This Row],[Adjusted Res]]+Inventory[[#This Row],[Adj Det ]]</f>
        <v>323100</v>
      </c>
      <c r="BQ90" s="25">
        <f>ROUND((Inventory[[#This Row],[Mdl Land Intercept]]+Inventory[[#This Row],[Mdl LnAcres]])*Inventory[[#This Row],[Det/Nbhd Adj]],-2)</f>
        <v>-11400</v>
      </c>
      <c r="BR90" s="25">
        <f>Inventory[[#This Row],[Adjusted Impr Total]]+Inventory[[#This Row],[Adjusted Land Total]]</f>
        <v>311700</v>
      </c>
      <c r="BS90" s="36">
        <f>IFERROR((Inventory[[#This Row],[Adjusted Impr Total]]-Inventory[[#This Row],[24Bldg]])/Inventory[[#This Row],[24Bldg]],0)</f>
        <v>0.33955223880597013</v>
      </c>
      <c r="BT90" s="36">
        <f>(Inventory[[#This Row],[Adjusted Land Total]]-Inventory[[#This Row],[24Lnd]])/Inventory[[#This Row],[24Lnd]]</f>
        <v>-1.267605633802817</v>
      </c>
      <c r="BU90" s="36">
        <f>(Inventory[[#This Row],[Adjusted Total]]-Inventory[[#This Row],[24Final]])/Inventory[[#This Row],[24Final]]</f>
        <v>9.830866807610994E-2</v>
      </c>
    </row>
    <row r="91" spans="1:73" x14ac:dyDescent="0.3">
      <c r="A91" s="25">
        <v>2025</v>
      </c>
      <c r="B91" s="26" t="s">
        <v>569</v>
      </c>
      <c r="C91" s="26">
        <f>LN(Inventory[[#This Row],[Acres]])</f>
        <v>-3.2188758248682006</v>
      </c>
      <c r="D91" s="25">
        <v>0.04</v>
      </c>
      <c r="E91" s="25">
        <v>1460</v>
      </c>
      <c r="F91" s="26" t="s">
        <v>537</v>
      </c>
      <c r="G91" s="26" t="s">
        <v>28</v>
      </c>
      <c r="H91" s="26" t="s">
        <v>349</v>
      </c>
      <c r="I91" s="26" t="s">
        <v>538</v>
      </c>
      <c r="J91" s="26" t="s">
        <v>551</v>
      </c>
      <c r="K91" s="26" t="s">
        <v>381</v>
      </c>
      <c r="L91" s="26" t="s">
        <v>302</v>
      </c>
      <c r="M91" s="26" t="s">
        <v>323</v>
      </c>
      <c r="N91" s="26">
        <v>30</v>
      </c>
      <c r="O91" s="26">
        <f>2024-Inventory[[#This Row],[YrBlt]]</f>
        <v>29</v>
      </c>
      <c r="P91" s="26">
        <f>2024-Inventory[[#This Row],[EffYr]]</f>
        <v>29</v>
      </c>
      <c r="Q91" s="25">
        <v>1995</v>
      </c>
      <c r="R91" s="25">
        <v>1995</v>
      </c>
      <c r="S91" s="25">
        <v>1460</v>
      </c>
      <c r="T91" s="31"/>
      <c r="U91" s="27"/>
      <c r="V91" s="27">
        <f>Inventory[[#This Row],[Bsmt]]-Inventory[[#This Row],[FnBsmt]]</f>
        <v>0</v>
      </c>
      <c r="W91" s="27"/>
      <c r="X91" s="27"/>
      <c r="Y91" s="27">
        <f>Inventory[[#This Row],[MainFn]]+Inventory[[#This Row],[UpprFn]]+Inventory[[#This Row],[FnBsmt]]+Inventory[[#This Row],[AddFn]]</f>
        <v>1460</v>
      </c>
      <c r="Z91" s="27">
        <v>1500</v>
      </c>
      <c r="AA91" s="25">
        <v>10</v>
      </c>
      <c r="AB91" s="27"/>
      <c r="AC91" s="31"/>
      <c r="AD91" s="27"/>
      <c r="AE91" s="27"/>
      <c r="AF91" s="27"/>
      <c r="AG91" s="27"/>
      <c r="AH91" s="27"/>
      <c r="AI91" s="25">
        <v>272996</v>
      </c>
      <c r="AJ91" s="25">
        <v>234777</v>
      </c>
      <c r="AK91" s="25">
        <v>23465</v>
      </c>
      <c r="AL91" s="25">
        <v>285400</v>
      </c>
      <c r="AM91" s="25">
        <v>42800</v>
      </c>
      <c r="AN91" s="25">
        <v>242600</v>
      </c>
      <c r="AO91" s="25">
        <v>0</v>
      </c>
      <c r="AP91" s="25">
        <f>Lookups!$B$56*0</f>
        <v>0</v>
      </c>
      <c r="AQ91" s="25">
        <f>Lookups!$B$56*1</f>
        <v>89850.625589999996</v>
      </c>
      <c r="AR91" s="25">
        <f>Lookups!$B$57*Inventory[[#This Row],[LnAcres]]</f>
        <v>-101892.2773541973</v>
      </c>
      <c r="AS91" s="25">
        <f>VLOOKUP(Inventory[[#This Row],[Qlty]],Lookups!$A$62:$E$75,2,FALSE)</f>
        <v>29814.093161000001</v>
      </c>
      <c r="AT91" s="25">
        <f>VLOOKUP(Inventory[[#This Row],[Cnd]],Lookups!$A$76:$E$84,2,FALSE)</f>
        <v>160472.20319</v>
      </c>
      <c r="AU91" s="25">
        <f>Inventory[[#This Row],[EffAge]]*Lookups!$B$85</f>
        <v>-6468.3224145000004</v>
      </c>
      <c r="AV91" s="25">
        <f>Inventory[[#This Row],[MainFn]]*Lookups!$B$86</f>
        <v>72136.65802042</v>
      </c>
      <c r="AW91" s="25">
        <f>Inventory[[#This Row],[UpprFn]]*Lookups!$B$87</f>
        <v>0</v>
      </c>
      <c r="AX91" s="25">
        <f>Inventory[[#This Row],[AddFn]]*Lookups!$B$88</f>
        <v>0</v>
      </c>
      <c r="AY91" s="25">
        <f>Inventory[[#This Row],[Bsmt]]*Lookups!$B$89</f>
        <v>0</v>
      </c>
      <c r="AZ91" s="25">
        <f>Inventory[[#This Row],[Fixtures]]*Lookups!$B$90</f>
        <v>37920.221052000001</v>
      </c>
      <c r="BA91" s="25">
        <f>Inventory[[#This Row],[WdDeck]]*Lookups!$B$91</f>
        <v>0</v>
      </c>
      <c r="BB91" s="25">
        <f>ROUND(Inventory[[#This Row],[25Det]],-2)</f>
        <v>23500</v>
      </c>
      <c r="BC91" s="25">
        <f>ROUND(SUM(Inventory[[#This Row],[Mdl Qlty]:[Mdl WdDeck]])+Inventory[[#This Row],[Mdl Res Intercept]],-2)</f>
        <v>293900</v>
      </c>
      <c r="BD91" s="25">
        <f>ROUND(Inventory[[#This Row],[Mdl Land Intercept]]+Inventory[[#This Row],[Mdl LnAcres]],-2)</f>
        <v>-12000</v>
      </c>
      <c r="BE91" s="25">
        <f>Inventory[[#This Row],[Unadj Res Value]]+Inventory[[#This Row],[Unadj Det Value]]+Inventory[[#This Row],[Unadj Land Value]]</f>
        <v>305400</v>
      </c>
      <c r="BF91" s="36">
        <f>(Inventory[[#This Row],[Unadj Total Value]]-Inventory[[#This Row],[24Final]])/Inventory[[#This Row],[24Final]]</f>
        <v>7.0077084793272598E-2</v>
      </c>
      <c r="BG91" s="25">
        <f>VLOOKUP(Inventory[[#This Row],[Nbhd]],Lookups!$Q$2:$T$4,4,FALSE)</f>
        <v>0.99970000000000003</v>
      </c>
      <c r="BH91" s="25">
        <f>VLOOKUP(Inventory[[#This Row],[Qlty]],Lookups!$O$7:$R$21,4,FALSE)</f>
        <v>1.0088999999999999</v>
      </c>
      <c r="BI91" s="25">
        <f>VLOOKUP(Inventory[[#This Row],[Cnd]],Lookups!$T$7:$W$16,4,FALSE)</f>
        <v>0.99729999999999996</v>
      </c>
      <c r="BJ91" s="25">
        <f>VLOOKUP(Inventory[[#This Row],[LivArea Range]],Lookups!$T$25:$W$37,4,FALSE)</f>
        <v>1.0157</v>
      </c>
      <c r="BK91" s="25">
        <f>VLOOKUP(Inventory[[#This Row],[Decade]],Lookups!$O$25:$R$42,4,FALSE)</f>
        <v>0.97319999999999995</v>
      </c>
      <c r="BL91" s="25">
        <f>Inventory[[#This Row],[Nbhd Adj]]*0.95</f>
        <v>0.94971499999999998</v>
      </c>
      <c r="BM91" s="25">
        <f>Inventory[[#This Row],[Nbhd Adj]]*Inventory[[#This Row],[Quality Adj]]*Inventory[[#This Row],[Condition Adj]]*Inventory[[#This Row],[Living Area Adj]]*Inventory[[#This Row],[Decade Adj]]*0.95</f>
        <v>0.944571398768702</v>
      </c>
      <c r="BN91" s="25">
        <f>ROUND(SUM(Inventory[[#This Row],[Mdl Qlty]:[Mdl WdDeck]])+Inventory[[#This Row],[Mdl Res Intercept]]*Inventory[[#This Row],[Res Adj ]],-2)</f>
        <v>293900</v>
      </c>
      <c r="BO91" s="25">
        <f>ROUND(Inventory[[#This Row],[25Det]]*Inventory[[#This Row],[Det/Nbhd Adj]],-2)</f>
        <v>22300</v>
      </c>
      <c r="BP91" s="25">
        <f>Inventory[[#This Row],[Adjusted Res]]+Inventory[[#This Row],[Adj Det ]]</f>
        <v>316200</v>
      </c>
      <c r="BQ91" s="25">
        <f>ROUND((Inventory[[#This Row],[Mdl Land Intercept]]+Inventory[[#This Row],[Mdl LnAcres]])*Inventory[[#This Row],[Det/Nbhd Adj]],-2)</f>
        <v>-11400</v>
      </c>
      <c r="BR91" s="25">
        <f>Inventory[[#This Row],[Adjusted Impr Total]]+Inventory[[#This Row],[Adjusted Land Total]]</f>
        <v>304800</v>
      </c>
      <c r="BS91" s="36">
        <f>IFERROR((Inventory[[#This Row],[Adjusted Impr Total]]-Inventory[[#This Row],[24Bldg]])/Inventory[[#This Row],[24Bldg]],0)</f>
        <v>0.30338004946413849</v>
      </c>
      <c r="BT91" s="36">
        <f>(Inventory[[#This Row],[Adjusted Land Total]]-Inventory[[#This Row],[24Lnd]])/Inventory[[#This Row],[24Lnd]]</f>
        <v>-1.266355140186916</v>
      </c>
      <c r="BU91" s="36">
        <f>(Inventory[[#This Row],[Adjusted Total]]-Inventory[[#This Row],[24Final]])/Inventory[[#This Row],[24Final]]</f>
        <v>6.7974772249474416E-2</v>
      </c>
    </row>
    <row r="92" spans="1:73" x14ac:dyDescent="0.3">
      <c r="A92" s="25">
        <v>2025</v>
      </c>
      <c r="B92" s="26" t="s">
        <v>565</v>
      </c>
      <c r="C92" s="26">
        <f>LN(Inventory[[#This Row],[Acres]])</f>
        <v>-3.2188758248682006</v>
      </c>
      <c r="D92" s="25">
        <v>0.04</v>
      </c>
      <c r="E92" s="25">
        <v>1298</v>
      </c>
      <c r="F92" s="26" t="s">
        <v>537</v>
      </c>
      <c r="G92" s="26" t="s">
        <v>28</v>
      </c>
      <c r="H92" s="26" t="s">
        <v>349</v>
      </c>
      <c r="I92" s="26" t="s">
        <v>538</v>
      </c>
      <c r="J92" s="26" t="s">
        <v>551</v>
      </c>
      <c r="K92" s="26" t="s">
        <v>381</v>
      </c>
      <c r="L92" s="26" t="s">
        <v>351</v>
      </c>
      <c r="M92" s="26" t="s">
        <v>323</v>
      </c>
      <c r="N92" s="26">
        <v>30</v>
      </c>
      <c r="O92" s="26">
        <f>2024-Inventory[[#This Row],[YrBlt]]</f>
        <v>29</v>
      </c>
      <c r="P92" s="26">
        <f>2024-Inventory[[#This Row],[EffYr]]</f>
        <v>29</v>
      </c>
      <c r="Q92" s="25">
        <v>1995</v>
      </c>
      <c r="R92" s="25">
        <v>1995</v>
      </c>
      <c r="S92" s="25">
        <v>1298</v>
      </c>
      <c r="T92" s="27"/>
      <c r="U92" s="31"/>
      <c r="V92" s="31">
        <f>Inventory[[#This Row],[Bsmt]]-Inventory[[#This Row],[FnBsmt]]</f>
        <v>0</v>
      </c>
      <c r="W92" s="31"/>
      <c r="X92" s="27"/>
      <c r="Y92" s="27">
        <f>Inventory[[#This Row],[MainFn]]+Inventory[[#This Row],[UpprFn]]+Inventory[[#This Row],[FnBsmt]]+Inventory[[#This Row],[AddFn]]</f>
        <v>1298</v>
      </c>
      <c r="Z92" s="27">
        <v>1500</v>
      </c>
      <c r="AA92" s="25">
        <v>10</v>
      </c>
      <c r="AB92" s="31"/>
      <c r="AC92" s="27"/>
      <c r="AD92" s="31"/>
      <c r="AE92" s="27"/>
      <c r="AF92" s="27"/>
      <c r="AG92" s="27"/>
      <c r="AH92" s="27"/>
      <c r="AI92" s="25">
        <v>225020</v>
      </c>
      <c r="AJ92" s="25">
        <v>193517</v>
      </c>
      <c r="AK92" s="25">
        <v>21227</v>
      </c>
      <c r="AL92" s="25">
        <v>269900</v>
      </c>
      <c r="AM92" s="25">
        <v>40500</v>
      </c>
      <c r="AN92" s="25">
        <v>229400</v>
      </c>
      <c r="AO92" s="25">
        <v>0</v>
      </c>
      <c r="AP92" s="25">
        <f>Lookups!$B$56*0</f>
        <v>0</v>
      </c>
      <c r="AQ92" s="25">
        <f>Lookups!$B$56*1</f>
        <v>89850.625589999996</v>
      </c>
      <c r="AR92" s="25">
        <f>Lookups!$B$57*Inventory[[#This Row],[LnAcres]]</f>
        <v>-101892.2773541973</v>
      </c>
      <c r="AS92" s="25">
        <f>VLOOKUP(Inventory[[#This Row],[Qlty]],Lookups!$A$62:$E$75,2,FALSE)</f>
        <v>21557.329055999999</v>
      </c>
      <c r="AT92" s="25">
        <f>VLOOKUP(Inventory[[#This Row],[Cnd]],Lookups!$A$76:$E$84,2,FALSE)</f>
        <v>160472.20319</v>
      </c>
      <c r="AU92" s="25">
        <f>Inventory[[#This Row],[EffAge]]*Lookups!$B$85</f>
        <v>-6468.3224145000004</v>
      </c>
      <c r="AV92" s="25">
        <f>Inventory[[#This Row],[MainFn]]*Lookups!$B$86</f>
        <v>64132.453500346004</v>
      </c>
      <c r="AW92" s="25">
        <f>Inventory[[#This Row],[UpprFn]]*Lookups!$B$87</f>
        <v>0</v>
      </c>
      <c r="AX92" s="25">
        <f>Inventory[[#This Row],[AddFn]]*Lookups!$B$88</f>
        <v>0</v>
      </c>
      <c r="AY92" s="25">
        <f>Inventory[[#This Row],[Bsmt]]*Lookups!$B$89</f>
        <v>0</v>
      </c>
      <c r="AZ92" s="25">
        <f>Inventory[[#This Row],[Fixtures]]*Lookups!$B$90</f>
        <v>37920.221052000001</v>
      </c>
      <c r="BA92" s="25">
        <f>Inventory[[#This Row],[WdDeck]]*Lookups!$B$91</f>
        <v>0</v>
      </c>
      <c r="BB92" s="25">
        <f>ROUND(Inventory[[#This Row],[25Det]],-2)</f>
        <v>21200</v>
      </c>
      <c r="BC92" s="25">
        <f>ROUND(SUM(Inventory[[#This Row],[Mdl Qlty]:[Mdl WdDeck]])+Inventory[[#This Row],[Mdl Res Intercept]],-2)</f>
        <v>277600</v>
      </c>
      <c r="BD92" s="25">
        <f>ROUND(Inventory[[#This Row],[Mdl Land Intercept]]+Inventory[[#This Row],[Mdl LnAcres]],-2)</f>
        <v>-12000</v>
      </c>
      <c r="BE92" s="25">
        <f>Inventory[[#This Row],[Unadj Res Value]]+Inventory[[#This Row],[Unadj Det Value]]+Inventory[[#This Row],[Unadj Land Value]]</f>
        <v>286800</v>
      </c>
      <c r="BF92" s="36">
        <f>(Inventory[[#This Row],[Unadj Total Value]]-Inventory[[#This Row],[24Final]])/Inventory[[#This Row],[24Final]]</f>
        <v>6.2615783623564278E-2</v>
      </c>
      <c r="BG92" s="25">
        <f>VLOOKUP(Inventory[[#This Row],[Nbhd]],Lookups!$Q$2:$T$4,4,FALSE)</f>
        <v>0.99970000000000003</v>
      </c>
      <c r="BH92" s="25">
        <f>VLOOKUP(Inventory[[#This Row],[Qlty]],Lookups!$O$7:$R$21,4,FALSE)</f>
        <v>1.0067999999999999</v>
      </c>
      <c r="BI92" s="25">
        <f>VLOOKUP(Inventory[[#This Row],[Cnd]],Lookups!$T$7:$W$16,4,FALSE)</f>
        <v>0.99729999999999996</v>
      </c>
      <c r="BJ92" s="25">
        <f>VLOOKUP(Inventory[[#This Row],[LivArea Range]],Lookups!$T$25:$W$37,4,FALSE)</f>
        <v>1.0157</v>
      </c>
      <c r="BK92" s="25">
        <f>VLOOKUP(Inventory[[#This Row],[Decade]],Lookups!$O$25:$R$42,4,FALSE)</f>
        <v>0.97319999999999995</v>
      </c>
      <c r="BL92" s="25">
        <f>Inventory[[#This Row],[Nbhd Adj]]*0.95</f>
        <v>0.94971499999999998</v>
      </c>
      <c r="BM92" s="25">
        <f>Inventory[[#This Row],[Nbhd Adj]]*Inventory[[#This Row],[Quality Adj]]*Inventory[[#This Row],[Condition Adj]]*Inventory[[#This Row],[Living Area Adj]]*Inventory[[#This Row],[Decade Adj]]*0.95</f>
        <v>0.9426052971358202</v>
      </c>
      <c r="BN92" s="25">
        <f>ROUND(SUM(Inventory[[#This Row],[Mdl Qlty]:[Mdl WdDeck]])+Inventory[[#This Row],[Mdl Res Intercept]]*Inventory[[#This Row],[Res Adj ]],-2)</f>
        <v>277600</v>
      </c>
      <c r="BO92" s="25">
        <f>ROUND(Inventory[[#This Row],[25Det]]*Inventory[[#This Row],[Det/Nbhd Adj]],-2)</f>
        <v>20200</v>
      </c>
      <c r="BP92" s="25">
        <f>Inventory[[#This Row],[Adjusted Res]]+Inventory[[#This Row],[Adj Det ]]</f>
        <v>297800</v>
      </c>
      <c r="BQ92" s="25">
        <f>ROUND((Inventory[[#This Row],[Mdl Land Intercept]]+Inventory[[#This Row],[Mdl LnAcres]])*Inventory[[#This Row],[Det/Nbhd Adj]],-2)</f>
        <v>-11400</v>
      </c>
      <c r="BR92" s="25">
        <f>Inventory[[#This Row],[Adjusted Impr Total]]+Inventory[[#This Row],[Adjusted Land Total]]</f>
        <v>286400</v>
      </c>
      <c r="BS92" s="36">
        <f>IFERROR((Inventory[[#This Row],[Adjusted Impr Total]]-Inventory[[#This Row],[24Bldg]])/Inventory[[#This Row],[24Bldg]],0)</f>
        <v>0.2981691368788143</v>
      </c>
      <c r="BT92" s="36">
        <f>(Inventory[[#This Row],[Adjusted Land Total]]-Inventory[[#This Row],[24Lnd]])/Inventory[[#This Row],[24Lnd]]</f>
        <v>-1.2814814814814814</v>
      </c>
      <c r="BU92" s="36">
        <f>(Inventory[[#This Row],[Adjusted Total]]-Inventory[[#This Row],[24Final]])/Inventory[[#This Row],[24Final]]</f>
        <v>6.1133753241941459E-2</v>
      </c>
    </row>
    <row r="93" spans="1:73" x14ac:dyDescent="0.3">
      <c r="A93" s="25">
        <v>2025</v>
      </c>
      <c r="B93" s="26" t="s">
        <v>580</v>
      </c>
      <c r="C93" s="26">
        <f>LN(Inventory[[#This Row],[Acres]])</f>
        <v>-3.2188758248682006</v>
      </c>
      <c r="D93" s="25">
        <v>0.04</v>
      </c>
      <c r="E93" s="25">
        <v>1464</v>
      </c>
      <c r="F93" s="26" t="s">
        <v>537</v>
      </c>
      <c r="G93" s="26" t="s">
        <v>28</v>
      </c>
      <c r="H93" s="26" t="s">
        <v>349</v>
      </c>
      <c r="I93" s="26" t="s">
        <v>538</v>
      </c>
      <c r="J93" s="26" t="s">
        <v>551</v>
      </c>
      <c r="K93" s="26" t="s">
        <v>381</v>
      </c>
      <c r="L93" s="26" t="s">
        <v>351</v>
      </c>
      <c r="M93" s="26" t="s">
        <v>323</v>
      </c>
      <c r="N93" s="26">
        <v>30</v>
      </c>
      <c r="O93" s="26">
        <f>2024-Inventory[[#This Row],[YrBlt]]</f>
        <v>29</v>
      </c>
      <c r="P93" s="26">
        <f>2024-Inventory[[#This Row],[EffYr]]</f>
        <v>29</v>
      </c>
      <c r="Q93" s="25">
        <v>1995</v>
      </c>
      <c r="R93" s="25">
        <v>1995</v>
      </c>
      <c r="S93" s="25">
        <v>1464</v>
      </c>
      <c r="T93" s="27"/>
      <c r="U93" s="31"/>
      <c r="V93" s="31">
        <f>Inventory[[#This Row],[Bsmt]]-Inventory[[#This Row],[FnBsmt]]</f>
        <v>0</v>
      </c>
      <c r="W93" s="31"/>
      <c r="X93" s="27"/>
      <c r="Y93" s="27">
        <f>Inventory[[#This Row],[MainFn]]+Inventory[[#This Row],[UpprFn]]+Inventory[[#This Row],[FnBsmt]]+Inventory[[#This Row],[AddFn]]</f>
        <v>1464</v>
      </c>
      <c r="Z93" s="27">
        <v>1500</v>
      </c>
      <c r="AA93" s="25">
        <v>8</v>
      </c>
      <c r="AB93" s="27"/>
      <c r="AC93" s="27"/>
      <c r="AD93" s="31"/>
      <c r="AE93" s="27"/>
      <c r="AF93" s="27"/>
      <c r="AG93" s="27"/>
      <c r="AH93" s="27"/>
      <c r="AI93" s="25">
        <v>236125</v>
      </c>
      <c r="AJ93" s="25">
        <v>203068</v>
      </c>
      <c r="AK93" s="25">
        <v>23465</v>
      </c>
      <c r="AL93" s="25">
        <v>284300</v>
      </c>
      <c r="AM93" s="25">
        <v>42600</v>
      </c>
      <c r="AN93" s="25">
        <v>241700</v>
      </c>
      <c r="AO93" s="25">
        <v>0</v>
      </c>
      <c r="AP93" s="25">
        <f>Lookups!$B$56*0</f>
        <v>0</v>
      </c>
      <c r="AQ93" s="25">
        <f>Lookups!$B$56*1</f>
        <v>89850.625589999996</v>
      </c>
      <c r="AR93" s="25">
        <f>Lookups!$B$57*Inventory[[#This Row],[LnAcres]]</f>
        <v>-101892.2773541973</v>
      </c>
      <c r="AS93" s="25">
        <f>VLOOKUP(Inventory[[#This Row],[Qlty]],Lookups!$A$62:$E$75,2,FALSE)</f>
        <v>21557.329055999999</v>
      </c>
      <c r="AT93" s="25">
        <f>VLOOKUP(Inventory[[#This Row],[Cnd]],Lookups!$A$76:$E$84,2,FALSE)</f>
        <v>160472.20319</v>
      </c>
      <c r="AU93" s="25">
        <f>Inventory[[#This Row],[EffAge]]*Lookups!$B$85</f>
        <v>-6468.3224145000004</v>
      </c>
      <c r="AV93" s="25">
        <f>Inventory[[#This Row],[MainFn]]*Lookups!$B$86</f>
        <v>72334.292699928003</v>
      </c>
      <c r="AW93" s="25">
        <f>Inventory[[#This Row],[UpprFn]]*Lookups!$B$87</f>
        <v>0</v>
      </c>
      <c r="AX93" s="25">
        <f>Inventory[[#This Row],[AddFn]]*Lookups!$B$88</f>
        <v>0</v>
      </c>
      <c r="AY93" s="25">
        <f>Inventory[[#This Row],[Bsmt]]*Lookups!$B$89</f>
        <v>0</v>
      </c>
      <c r="AZ93" s="25">
        <f>Inventory[[#This Row],[Fixtures]]*Lookups!$B$90</f>
        <v>30336.176841600001</v>
      </c>
      <c r="BA93" s="25">
        <f>Inventory[[#This Row],[WdDeck]]*Lookups!$B$91</f>
        <v>0</v>
      </c>
      <c r="BB93" s="25">
        <f>ROUND(Inventory[[#This Row],[25Det]],-2)</f>
        <v>23500</v>
      </c>
      <c r="BC93" s="25">
        <f>ROUND(SUM(Inventory[[#This Row],[Mdl Qlty]:[Mdl WdDeck]])+Inventory[[#This Row],[Mdl Res Intercept]],-2)</f>
        <v>278200</v>
      </c>
      <c r="BD93" s="25">
        <f>ROUND(Inventory[[#This Row],[Mdl Land Intercept]]+Inventory[[#This Row],[Mdl LnAcres]],-2)</f>
        <v>-12000</v>
      </c>
      <c r="BE93" s="25">
        <f>Inventory[[#This Row],[Unadj Res Value]]+Inventory[[#This Row],[Unadj Det Value]]+Inventory[[#This Row],[Unadj Land Value]]</f>
        <v>289700</v>
      </c>
      <c r="BF93" s="36">
        <f>(Inventory[[#This Row],[Unadj Total Value]]-Inventory[[#This Row],[24Final]])/Inventory[[#This Row],[24Final]]</f>
        <v>1.8994020400984874E-2</v>
      </c>
      <c r="BG93" s="25">
        <f>VLOOKUP(Inventory[[#This Row],[Nbhd]],Lookups!$Q$2:$T$4,4,FALSE)</f>
        <v>0.99970000000000003</v>
      </c>
      <c r="BH93" s="25">
        <f>VLOOKUP(Inventory[[#This Row],[Qlty]],Lookups!$O$7:$R$21,4,FALSE)</f>
        <v>1.0067999999999999</v>
      </c>
      <c r="BI93" s="25">
        <f>VLOOKUP(Inventory[[#This Row],[Cnd]],Lookups!$T$7:$W$16,4,FALSE)</f>
        <v>0.99729999999999996</v>
      </c>
      <c r="BJ93" s="25">
        <f>VLOOKUP(Inventory[[#This Row],[LivArea Range]],Lookups!$T$25:$W$37,4,FALSE)</f>
        <v>1.0157</v>
      </c>
      <c r="BK93" s="25">
        <f>VLOOKUP(Inventory[[#This Row],[Decade]],Lookups!$O$25:$R$42,4,FALSE)</f>
        <v>0.97319999999999995</v>
      </c>
      <c r="BL93" s="25">
        <f>Inventory[[#This Row],[Nbhd Adj]]*0.95</f>
        <v>0.94971499999999998</v>
      </c>
      <c r="BM93" s="25">
        <f>Inventory[[#This Row],[Nbhd Adj]]*Inventory[[#This Row],[Quality Adj]]*Inventory[[#This Row],[Condition Adj]]*Inventory[[#This Row],[Living Area Adj]]*Inventory[[#This Row],[Decade Adj]]*0.95</f>
        <v>0.9426052971358202</v>
      </c>
      <c r="BN93" s="25">
        <f>ROUND(SUM(Inventory[[#This Row],[Mdl Qlty]:[Mdl WdDeck]])+Inventory[[#This Row],[Mdl Res Intercept]]*Inventory[[#This Row],[Res Adj ]],-2)</f>
        <v>278200</v>
      </c>
      <c r="BO93" s="25">
        <f>ROUND(Inventory[[#This Row],[25Det]]*Inventory[[#This Row],[Det/Nbhd Adj]],-2)</f>
        <v>22300</v>
      </c>
      <c r="BP93" s="25">
        <f>Inventory[[#This Row],[Adjusted Res]]+Inventory[[#This Row],[Adj Det ]]</f>
        <v>300500</v>
      </c>
      <c r="BQ93" s="25">
        <f>ROUND((Inventory[[#This Row],[Mdl Land Intercept]]+Inventory[[#This Row],[Mdl LnAcres]])*Inventory[[#This Row],[Det/Nbhd Adj]],-2)</f>
        <v>-11400</v>
      </c>
      <c r="BR93" s="25">
        <f>Inventory[[#This Row],[Adjusted Impr Total]]+Inventory[[#This Row],[Adjusted Land Total]]</f>
        <v>289100</v>
      </c>
      <c r="BS93" s="36">
        <f>IFERROR((Inventory[[#This Row],[Adjusted Impr Total]]-Inventory[[#This Row],[24Bldg]])/Inventory[[#This Row],[24Bldg]],0)</f>
        <v>0.24327678940835748</v>
      </c>
      <c r="BT93" s="36">
        <f>(Inventory[[#This Row],[Adjusted Land Total]]-Inventory[[#This Row],[24Lnd]])/Inventory[[#This Row],[24Lnd]]</f>
        <v>-1.267605633802817</v>
      </c>
      <c r="BU93" s="36">
        <f>(Inventory[[#This Row],[Adjusted Total]]-Inventory[[#This Row],[24Final]])/Inventory[[#This Row],[24Final]]</f>
        <v>1.6883573689764335E-2</v>
      </c>
    </row>
    <row r="94" spans="1:73" x14ac:dyDescent="0.3">
      <c r="A94" s="25">
        <v>2025</v>
      </c>
      <c r="B94" s="26" t="s">
        <v>572</v>
      </c>
      <c r="C94" s="26">
        <f>LN(Inventory[[#This Row],[Acres]])</f>
        <v>-3.2188758248682006</v>
      </c>
      <c r="D94" s="25">
        <v>0.04</v>
      </c>
      <c r="E94" s="25">
        <v>1464</v>
      </c>
      <c r="F94" s="26" t="s">
        <v>537</v>
      </c>
      <c r="G94" s="26" t="s">
        <v>28</v>
      </c>
      <c r="H94" s="26" t="s">
        <v>349</v>
      </c>
      <c r="I94" s="26" t="s">
        <v>538</v>
      </c>
      <c r="J94" s="26" t="s">
        <v>551</v>
      </c>
      <c r="K94" s="26" t="s">
        <v>381</v>
      </c>
      <c r="L94" s="26" t="s">
        <v>351</v>
      </c>
      <c r="M94" s="26" t="s">
        <v>323</v>
      </c>
      <c r="N94" s="26">
        <v>30</v>
      </c>
      <c r="O94" s="26">
        <f>2024-Inventory[[#This Row],[YrBlt]]</f>
        <v>29</v>
      </c>
      <c r="P94" s="26">
        <f>2024-Inventory[[#This Row],[EffYr]]</f>
        <v>29</v>
      </c>
      <c r="Q94" s="25">
        <v>1995</v>
      </c>
      <c r="R94" s="25">
        <v>1995</v>
      </c>
      <c r="S94" s="25">
        <v>1464</v>
      </c>
      <c r="T94" s="27"/>
      <c r="U94" s="31"/>
      <c r="V94" s="27">
        <f>Inventory[[#This Row],[Bsmt]]-Inventory[[#This Row],[FnBsmt]]</f>
        <v>0</v>
      </c>
      <c r="W94" s="27"/>
      <c r="X94" s="27"/>
      <c r="Y94" s="27">
        <f>Inventory[[#This Row],[MainFn]]+Inventory[[#This Row],[UpprFn]]+Inventory[[#This Row],[FnBsmt]]+Inventory[[#This Row],[AddFn]]</f>
        <v>1464</v>
      </c>
      <c r="Z94" s="27">
        <v>1500</v>
      </c>
      <c r="AA94" s="25">
        <v>9</v>
      </c>
      <c r="AB94" s="31"/>
      <c r="AC94" s="27"/>
      <c r="AD94" s="31"/>
      <c r="AE94" s="27"/>
      <c r="AF94" s="27"/>
      <c r="AG94" s="27"/>
      <c r="AH94" s="27"/>
      <c r="AI94" s="25">
        <v>240884</v>
      </c>
      <c r="AJ94" s="25">
        <v>207160</v>
      </c>
      <c r="AK94" s="25">
        <v>23465</v>
      </c>
      <c r="AL94" s="25">
        <v>289600</v>
      </c>
      <c r="AM94" s="25">
        <v>43400</v>
      </c>
      <c r="AN94" s="25">
        <v>246200</v>
      </c>
      <c r="AO94" s="25">
        <v>0</v>
      </c>
      <c r="AP94" s="25">
        <f>Lookups!$B$56*0</f>
        <v>0</v>
      </c>
      <c r="AQ94" s="25">
        <f>Lookups!$B$56*1</f>
        <v>89850.625589999996</v>
      </c>
      <c r="AR94" s="25">
        <f>Lookups!$B$57*Inventory[[#This Row],[LnAcres]]</f>
        <v>-101892.2773541973</v>
      </c>
      <c r="AS94" s="25">
        <f>VLOOKUP(Inventory[[#This Row],[Qlty]],Lookups!$A$62:$E$75,2,FALSE)</f>
        <v>21557.329055999999</v>
      </c>
      <c r="AT94" s="25">
        <f>VLOOKUP(Inventory[[#This Row],[Cnd]],Lookups!$A$76:$E$84,2,FALSE)</f>
        <v>160472.20319</v>
      </c>
      <c r="AU94" s="25">
        <f>Inventory[[#This Row],[EffAge]]*Lookups!$B$85</f>
        <v>-6468.3224145000004</v>
      </c>
      <c r="AV94" s="25">
        <f>Inventory[[#This Row],[MainFn]]*Lookups!$B$86</f>
        <v>72334.292699928003</v>
      </c>
      <c r="AW94" s="25">
        <f>Inventory[[#This Row],[UpprFn]]*Lookups!$B$87</f>
        <v>0</v>
      </c>
      <c r="AX94" s="25">
        <f>Inventory[[#This Row],[AddFn]]*Lookups!$B$88</f>
        <v>0</v>
      </c>
      <c r="AY94" s="25">
        <f>Inventory[[#This Row],[Bsmt]]*Lookups!$B$89</f>
        <v>0</v>
      </c>
      <c r="AZ94" s="25">
        <f>Inventory[[#This Row],[Fixtures]]*Lookups!$B$90</f>
        <v>34128.198946800003</v>
      </c>
      <c r="BA94" s="25">
        <f>Inventory[[#This Row],[WdDeck]]*Lookups!$B$91</f>
        <v>0</v>
      </c>
      <c r="BB94" s="25">
        <f>ROUND(Inventory[[#This Row],[25Det]],-2)</f>
        <v>23500</v>
      </c>
      <c r="BC94" s="25">
        <f>ROUND(SUM(Inventory[[#This Row],[Mdl Qlty]:[Mdl WdDeck]])+Inventory[[#This Row],[Mdl Res Intercept]],-2)</f>
        <v>282000</v>
      </c>
      <c r="BD94" s="25">
        <f>ROUND(Inventory[[#This Row],[Mdl Land Intercept]]+Inventory[[#This Row],[Mdl LnAcres]],-2)</f>
        <v>-12000</v>
      </c>
      <c r="BE94" s="25">
        <f>Inventory[[#This Row],[Unadj Res Value]]+Inventory[[#This Row],[Unadj Det Value]]+Inventory[[#This Row],[Unadj Land Value]]</f>
        <v>293500</v>
      </c>
      <c r="BF94" s="36">
        <f>(Inventory[[#This Row],[Unadj Total Value]]-Inventory[[#This Row],[24Final]])/Inventory[[#This Row],[24Final]]</f>
        <v>1.3466850828729282E-2</v>
      </c>
      <c r="BG94" s="25">
        <f>VLOOKUP(Inventory[[#This Row],[Nbhd]],Lookups!$Q$2:$T$4,4,FALSE)</f>
        <v>0.99970000000000003</v>
      </c>
      <c r="BH94" s="25">
        <f>VLOOKUP(Inventory[[#This Row],[Qlty]],Lookups!$O$7:$R$21,4,FALSE)</f>
        <v>1.0067999999999999</v>
      </c>
      <c r="BI94" s="25">
        <f>VLOOKUP(Inventory[[#This Row],[Cnd]],Lookups!$T$7:$W$16,4,FALSE)</f>
        <v>0.99729999999999996</v>
      </c>
      <c r="BJ94" s="25">
        <f>VLOOKUP(Inventory[[#This Row],[LivArea Range]],Lookups!$T$25:$W$37,4,FALSE)</f>
        <v>1.0157</v>
      </c>
      <c r="BK94" s="25">
        <f>VLOOKUP(Inventory[[#This Row],[Decade]],Lookups!$O$25:$R$42,4,FALSE)</f>
        <v>0.97319999999999995</v>
      </c>
      <c r="BL94" s="25">
        <f>Inventory[[#This Row],[Nbhd Adj]]*0.95</f>
        <v>0.94971499999999998</v>
      </c>
      <c r="BM94" s="25">
        <f>Inventory[[#This Row],[Nbhd Adj]]*Inventory[[#This Row],[Quality Adj]]*Inventory[[#This Row],[Condition Adj]]*Inventory[[#This Row],[Living Area Adj]]*Inventory[[#This Row],[Decade Adj]]*0.95</f>
        <v>0.9426052971358202</v>
      </c>
      <c r="BN94" s="25">
        <f>ROUND(SUM(Inventory[[#This Row],[Mdl Qlty]:[Mdl WdDeck]])+Inventory[[#This Row],[Mdl Res Intercept]]*Inventory[[#This Row],[Res Adj ]],-2)</f>
        <v>282000</v>
      </c>
      <c r="BO94" s="25">
        <f>ROUND(Inventory[[#This Row],[25Det]]*Inventory[[#This Row],[Det/Nbhd Adj]],-2)</f>
        <v>22300</v>
      </c>
      <c r="BP94" s="25">
        <f>Inventory[[#This Row],[Adjusted Res]]+Inventory[[#This Row],[Adj Det ]]</f>
        <v>304300</v>
      </c>
      <c r="BQ94" s="25">
        <f>ROUND((Inventory[[#This Row],[Mdl Land Intercept]]+Inventory[[#This Row],[Mdl LnAcres]])*Inventory[[#This Row],[Det/Nbhd Adj]],-2)</f>
        <v>-11400</v>
      </c>
      <c r="BR94" s="25">
        <f>Inventory[[#This Row],[Adjusted Impr Total]]+Inventory[[#This Row],[Adjusted Land Total]]</f>
        <v>292900</v>
      </c>
      <c r="BS94" s="36">
        <f>IFERROR((Inventory[[#This Row],[Adjusted Impr Total]]-Inventory[[#This Row],[24Bldg]])/Inventory[[#This Row],[24Bldg]],0)</f>
        <v>0.23598700243704304</v>
      </c>
      <c r="BT94" s="36">
        <f>(Inventory[[#This Row],[Adjusted Land Total]]-Inventory[[#This Row],[24Lnd]])/Inventory[[#This Row],[24Lnd]]</f>
        <v>-1.2626728110599079</v>
      </c>
      <c r="BU94" s="36">
        <f>(Inventory[[#This Row],[Adjusted Total]]-Inventory[[#This Row],[24Final]])/Inventory[[#This Row],[24Final]]</f>
        <v>1.1395027624309393E-2</v>
      </c>
    </row>
    <row r="95" spans="1:73" x14ac:dyDescent="0.3">
      <c r="A95" s="25">
        <v>2025</v>
      </c>
      <c r="B95" s="26" t="s">
        <v>2256</v>
      </c>
      <c r="C95" s="26">
        <f>LN(Inventory[[#This Row],[Acres]])</f>
        <v>-1.7719568419318752</v>
      </c>
      <c r="D95" s="25">
        <v>0.17</v>
      </c>
      <c r="E95" s="25">
        <v>7400</v>
      </c>
      <c r="F95" s="26" t="s">
        <v>537</v>
      </c>
      <c r="G95" s="26" t="s">
        <v>126</v>
      </c>
      <c r="H95" s="26" t="s">
        <v>349</v>
      </c>
      <c r="I95" s="26" t="s">
        <v>538</v>
      </c>
      <c r="J95" s="26" t="s">
        <v>539</v>
      </c>
      <c r="K95" s="26" t="s">
        <v>241</v>
      </c>
      <c r="L95" s="26" t="s">
        <v>302</v>
      </c>
      <c r="M95" s="26" t="s">
        <v>352</v>
      </c>
      <c r="N95" s="26">
        <v>30</v>
      </c>
      <c r="O95" s="26">
        <f>2024-Inventory[[#This Row],[YrBlt]]</f>
        <v>30</v>
      </c>
      <c r="P95" s="26">
        <f>2024-Inventory[[#This Row],[EffYr]]</f>
        <v>30</v>
      </c>
      <c r="Q95" s="25">
        <v>1994</v>
      </c>
      <c r="R95" s="25">
        <v>1994</v>
      </c>
      <c r="S95" s="25">
        <v>1252</v>
      </c>
      <c r="T95" s="27"/>
      <c r="U95" s="32">
        <v>1252</v>
      </c>
      <c r="V95" s="32">
        <f>Inventory[[#This Row],[Bsmt]]-Inventory[[#This Row],[FnBsmt]]</f>
        <v>0</v>
      </c>
      <c r="W95" s="32">
        <v>1252</v>
      </c>
      <c r="X95" s="27"/>
      <c r="Y95" s="27">
        <f>Inventory[[#This Row],[MainFn]]+Inventory[[#This Row],[UpprFn]]+Inventory[[#This Row],[FnBsmt]]+Inventory[[#This Row],[AddFn]]</f>
        <v>2504</v>
      </c>
      <c r="Z95" s="27">
        <v>3000</v>
      </c>
      <c r="AA95" s="25">
        <v>8</v>
      </c>
      <c r="AB95" s="25">
        <v>576</v>
      </c>
      <c r="AC95" s="27"/>
      <c r="AD95" s="32">
        <v>120</v>
      </c>
      <c r="AE95" s="27"/>
      <c r="AF95" s="27"/>
      <c r="AG95" s="27"/>
      <c r="AH95" s="27"/>
      <c r="AI95" s="25">
        <v>384059</v>
      </c>
      <c r="AJ95" s="25">
        <v>334131</v>
      </c>
      <c r="AK95" s="25">
        <v>0</v>
      </c>
      <c r="AL95" s="25">
        <v>404100</v>
      </c>
      <c r="AM95" s="25">
        <v>52700</v>
      </c>
      <c r="AN95" s="25">
        <v>351400</v>
      </c>
      <c r="AO95" s="25">
        <v>0</v>
      </c>
      <c r="AP95" s="25">
        <f>Lookups!$B$56*0</f>
        <v>0</v>
      </c>
      <c r="AQ95" s="25">
        <f>Lookups!$B$56*1</f>
        <v>89850.625589999996</v>
      </c>
      <c r="AR95" s="25">
        <f>Lookups!$B$57*Inventory[[#This Row],[LnAcres]]</f>
        <v>-56090.612940989391</v>
      </c>
      <c r="AS95" s="25">
        <f>VLOOKUP(Inventory[[#This Row],[Qlty]],Lookups!$A$62:$E$75,2,FALSE)</f>
        <v>29814.093161000001</v>
      </c>
      <c r="AT95" s="25">
        <f>VLOOKUP(Inventory[[#This Row],[Cnd]],Lookups!$A$76:$E$84,2,FALSE)</f>
        <v>284810.60806</v>
      </c>
      <c r="AU95" s="25">
        <f>Inventory[[#This Row],[EffAge]]*Lookups!$B$85</f>
        <v>-6691.368015</v>
      </c>
      <c r="AV95" s="25">
        <f>Inventory[[#This Row],[MainFn]]*Lookups!$B$86</f>
        <v>61859.654686004003</v>
      </c>
      <c r="AW95" s="25">
        <f>Inventory[[#This Row],[UpprFn]]*Lookups!$B$87</f>
        <v>0</v>
      </c>
      <c r="AX95" s="25">
        <f>Inventory[[#This Row],[AddFn]]*Lookups!$B$88</f>
        <v>0</v>
      </c>
      <c r="AY95" s="25">
        <f>Inventory[[#This Row],[Bsmt]]*Lookups!$B$89</f>
        <v>36410.532849243995</v>
      </c>
      <c r="AZ95" s="25">
        <f>Inventory[[#This Row],[Fixtures]]*Lookups!$B$90</f>
        <v>30336.176841600001</v>
      </c>
      <c r="BA95" s="25">
        <f>Inventory[[#This Row],[WdDeck]]*Lookups!$B$91</f>
        <v>3995.4618331200004</v>
      </c>
      <c r="BB95" s="25">
        <f>ROUND(Inventory[[#This Row],[25Det]],-2)</f>
        <v>0</v>
      </c>
      <c r="BC95" s="25">
        <f>ROUND(SUM(Inventory[[#This Row],[Mdl Qlty]:[Mdl WdDeck]])+Inventory[[#This Row],[Mdl Res Intercept]],-2)</f>
        <v>440500</v>
      </c>
      <c r="BD95" s="25">
        <f>ROUND(Inventory[[#This Row],[Mdl Land Intercept]]+Inventory[[#This Row],[Mdl LnAcres]],-2)</f>
        <v>33800</v>
      </c>
      <c r="BE95" s="25">
        <f>Inventory[[#This Row],[Unadj Res Value]]+Inventory[[#This Row],[Unadj Det Value]]+Inventory[[#This Row],[Unadj Land Value]]</f>
        <v>474300</v>
      </c>
      <c r="BF95" s="36">
        <f>(Inventory[[#This Row],[Unadj Total Value]]-Inventory[[#This Row],[24Final]])/Inventory[[#This Row],[24Final]]</f>
        <v>0.17371937639198218</v>
      </c>
      <c r="BG95" s="25">
        <f>VLOOKUP(Inventory[[#This Row],[Nbhd]],Lookups!$Q$2:$T$4,4,FALSE)</f>
        <v>0.99970000000000003</v>
      </c>
      <c r="BH95" s="25">
        <f>VLOOKUP(Inventory[[#This Row],[Qlty]],Lookups!$O$7:$R$21,4,FALSE)</f>
        <v>1.0088999999999999</v>
      </c>
      <c r="BI95" s="25">
        <f>VLOOKUP(Inventory[[#This Row],[Cnd]],Lookups!$T$7:$W$16,4,FALSE)</f>
        <v>1.0158</v>
      </c>
      <c r="BJ95" s="25">
        <f>VLOOKUP(Inventory[[#This Row],[LivArea Range]],Lookups!$T$25:$W$37,4,FALSE)</f>
        <v>0.96179999999999999</v>
      </c>
      <c r="BK95" s="25">
        <f>VLOOKUP(Inventory[[#This Row],[Decade]],Lookups!$O$25:$R$42,4,FALSE)</f>
        <v>0.97319999999999995</v>
      </c>
      <c r="BL95" s="25">
        <f>Inventory[[#This Row],[Nbhd Adj]]*0.95</f>
        <v>0.94971499999999998</v>
      </c>
      <c r="BM95" s="25">
        <f>Inventory[[#This Row],[Nbhd Adj]]*Inventory[[#This Row],[Quality Adj]]*Inventory[[#This Row],[Condition Adj]]*Inventory[[#This Row],[Living Area Adj]]*Inventory[[#This Row],[Decade Adj]]*0.95</f>
        <v>0.91103801858287259</v>
      </c>
      <c r="BN95" s="25">
        <f>ROUND(SUM(Inventory[[#This Row],[Mdl Qlty]:[Mdl WdDeck]])+Inventory[[#This Row],[Mdl Res Intercept]]*Inventory[[#This Row],[Res Adj ]],-2)</f>
        <v>440500</v>
      </c>
      <c r="BO95" s="25">
        <f>ROUND(Inventory[[#This Row],[25Det]]*Inventory[[#This Row],[Det/Nbhd Adj]],-2)</f>
        <v>0</v>
      </c>
      <c r="BP95" s="25">
        <f>Inventory[[#This Row],[Adjusted Res]]+Inventory[[#This Row],[Adj Det ]]</f>
        <v>440500</v>
      </c>
      <c r="BQ95" s="25">
        <f>ROUND((Inventory[[#This Row],[Mdl Land Intercept]]+Inventory[[#This Row],[Mdl LnAcres]])*Inventory[[#This Row],[Det/Nbhd Adj]],-2)</f>
        <v>32100</v>
      </c>
      <c r="BR95" s="25">
        <f>Inventory[[#This Row],[Adjusted Impr Total]]+Inventory[[#This Row],[Adjusted Land Total]]</f>
        <v>472600</v>
      </c>
      <c r="BS95" s="36">
        <f>IFERROR((Inventory[[#This Row],[Adjusted Impr Total]]-Inventory[[#This Row],[24Bldg]])/Inventory[[#This Row],[24Bldg]],0)</f>
        <v>0.2535571997723392</v>
      </c>
      <c r="BT95" s="36">
        <f>(Inventory[[#This Row],[Adjusted Land Total]]-Inventory[[#This Row],[24Lnd]])/Inventory[[#This Row],[24Lnd]]</f>
        <v>-0.39089184060721061</v>
      </c>
      <c r="BU95" s="36">
        <f>(Inventory[[#This Row],[Adjusted Total]]-Inventory[[#This Row],[24Final]])/Inventory[[#This Row],[24Final]]</f>
        <v>0.16951249690670625</v>
      </c>
    </row>
    <row r="96" spans="1:73" x14ac:dyDescent="0.3">
      <c r="A96" s="25">
        <v>2025</v>
      </c>
      <c r="B96" s="26" t="s">
        <v>563</v>
      </c>
      <c r="C96" s="26">
        <f>LN(Inventory[[#This Row],[Acres]])</f>
        <v>-3.5065578973199818</v>
      </c>
      <c r="D96" s="25">
        <v>0.03</v>
      </c>
      <c r="E96" s="25">
        <v>2069</v>
      </c>
      <c r="F96" s="26" t="s">
        <v>537</v>
      </c>
      <c r="G96" s="26" t="s">
        <v>28</v>
      </c>
      <c r="H96" s="26" t="s">
        <v>349</v>
      </c>
      <c r="I96" s="26" t="s">
        <v>538</v>
      </c>
      <c r="J96" s="26" t="s">
        <v>551</v>
      </c>
      <c r="K96" s="26" t="s">
        <v>381</v>
      </c>
      <c r="L96" s="26" t="s">
        <v>95</v>
      </c>
      <c r="M96" s="26" t="s">
        <v>323</v>
      </c>
      <c r="N96" s="26">
        <v>30</v>
      </c>
      <c r="O96" s="26">
        <f>2024-Inventory[[#This Row],[YrBlt]]</f>
        <v>30</v>
      </c>
      <c r="P96" s="26">
        <f>2024-Inventory[[#This Row],[EffYr]]</f>
        <v>30</v>
      </c>
      <c r="Q96" s="25">
        <v>1994</v>
      </c>
      <c r="R96" s="25">
        <v>1994</v>
      </c>
      <c r="S96" s="25">
        <v>1541</v>
      </c>
      <c r="T96" s="27"/>
      <c r="U96" s="27"/>
      <c r="V96" s="27">
        <f>Inventory[[#This Row],[Bsmt]]-Inventory[[#This Row],[FnBsmt]]</f>
        <v>0</v>
      </c>
      <c r="W96" s="27"/>
      <c r="X96" s="27"/>
      <c r="Y96" s="27">
        <f>Inventory[[#This Row],[MainFn]]+Inventory[[#This Row],[UpprFn]]+Inventory[[#This Row],[FnBsmt]]+Inventory[[#This Row],[AddFn]]</f>
        <v>1541</v>
      </c>
      <c r="Z96" s="27">
        <v>2000</v>
      </c>
      <c r="AA96" s="25">
        <v>10</v>
      </c>
      <c r="AB96" s="25">
        <v>528</v>
      </c>
      <c r="AC96" s="27"/>
      <c r="AD96" s="32">
        <v>144</v>
      </c>
      <c r="AE96" s="27"/>
      <c r="AF96" s="27"/>
      <c r="AG96" s="27"/>
      <c r="AH96" s="27"/>
      <c r="AI96" s="25">
        <v>398079</v>
      </c>
      <c r="AJ96" s="25">
        <v>346329</v>
      </c>
      <c r="AK96" s="25">
        <v>0</v>
      </c>
      <c r="AL96" s="25">
        <v>290300</v>
      </c>
      <c r="AM96" s="25">
        <v>43500</v>
      </c>
      <c r="AN96" s="25">
        <v>246800</v>
      </c>
      <c r="AO96" s="25">
        <v>0</v>
      </c>
      <c r="AP96" s="25">
        <f>Lookups!$B$56*0</f>
        <v>0</v>
      </c>
      <c r="AQ96" s="25">
        <f>Lookups!$B$56*1</f>
        <v>89850.625589999996</v>
      </c>
      <c r="AR96" s="25">
        <f>Lookups!$B$57*Inventory[[#This Row],[LnAcres]]</f>
        <v>-110998.74281323297</v>
      </c>
      <c r="AS96" s="25">
        <f>VLOOKUP(Inventory[[#This Row],[Qlty]],Lookups!$A$62:$E$75,2,FALSE)</f>
        <v>74268.409664999999</v>
      </c>
      <c r="AT96" s="25">
        <f>VLOOKUP(Inventory[[#This Row],[Cnd]],Lookups!$A$76:$E$84,2,FALSE)</f>
        <v>160472.20319</v>
      </c>
      <c r="AU96" s="25">
        <f>Inventory[[#This Row],[EffAge]]*Lookups!$B$85</f>
        <v>-6691.368015</v>
      </c>
      <c r="AV96" s="25">
        <f>Inventory[[#This Row],[MainFn]]*Lookups!$B$86</f>
        <v>76138.760280457005</v>
      </c>
      <c r="AW96" s="25">
        <f>Inventory[[#This Row],[UpprFn]]*Lookups!$B$87</f>
        <v>0</v>
      </c>
      <c r="AX96" s="25">
        <f>Inventory[[#This Row],[AddFn]]*Lookups!$B$88</f>
        <v>0</v>
      </c>
      <c r="AY96" s="25">
        <f>Inventory[[#This Row],[Bsmt]]*Lookups!$B$89</f>
        <v>0</v>
      </c>
      <c r="AZ96" s="25">
        <f>Inventory[[#This Row],[Fixtures]]*Lookups!$B$90</f>
        <v>37920.221052000001</v>
      </c>
      <c r="BA96" s="25">
        <f>Inventory[[#This Row],[WdDeck]]*Lookups!$B$91</f>
        <v>4794.5541997440005</v>
      </c>
      <c r="BB96" s="25">
        <f>ROUND(Inventory[[#This Row],[25Det]],-2)</f>
        <v>0</v>
      </c>
      <c r="BC96" s="25">
        <f>ROUND(SUM(Inventory[[#This Row],[Mdl Qlty]:[Mdl WdDeck]])+Inventory[[#This Row],[Mdl Res Intercept]],-2)</f>
        <v>346900</v>
      </c>
      <c r="BD96" s="25">
        <f>ROUND(Inventory[[#This Row],[Mdl Land Intercept]]+Inventory[[#This Row],[Mdl LnAcres]],-2)</f>
        <v>-21100</v>
      </c>
      <c r="BE96" s="25">
        <f>Inventory[[#This Row],[Unadj Res Value]]+Inventory[[#This Row],[Unadj Det Value]]+Inventory[[#This Row],[Unadj Land Value]]</f>
        <v>325800</v>
      </c>
      <c r="BF96" s="36">
        <f>(Inventory[[#This Row],[Unadj Total Value]]-Inventory[[#This Row],[24Final]])/Inventory[[#This Row],[24Final]]</f>
        <v>0.12228728901136755</v>
      </c>
      <c r="BG96" s="25">
        <f>VLOOKUP(Inventory[[#This Row],[Nbhd]],Lookups!$Q$2:$T$4,4,FALSE)</f>
        <v>0.99970000000000003</v>
      </c>
      <c r="BH96" s="25">
        <f>VLOOKUP(Inventory[[#This Row],[Qlty]],Lookups!$O$7:$R$21,4,FALSE)</f>
        <v>0.98380000000000001</v>
      </c>
      <c r="BI96" s="25">
        <f>VLOOKUP(Inventory[[#This Row],[Cnd]],Lookups!$T$7:$W$16,4,FALSE)</f>
        <v>0.99729999999999996</v>
      </c>
      <c r="BJ96" s="25">
        <f>VLOOKUP(Inventory[[#This Row],[LivArea Range]],Lookups!$T$25:$W$37,4,FALSE)</f>
        <v>1.0093000000000001</v>
      </c>
      <c r="BK96" s="25">
        <f>VLOOKUP(Inventory[[#This Row],[Decade]],Lookups!$O$25:$R$42,4,FALSE)</f>
        <v>0.97319999999999995</v>
      </c>
      <c r="BL96" s="25">
        <f>Inventory[[#This Row],[Nbhd Adj]]*0.95</f>
        <v>0.94971499999999998</v>
      </c>
      <c r="BM96" s="25">
        <f>Inventory[[#This Row],[Nbhd Adj]]*Inventory[[#This Row],[Quality Adj]]*Inventory[[#This Row],[Condition Adj]]*Inventory[[#This Row],[Living Area Adj]]*Inventory[[#This Row],[Decade Adj]]*0.95</f>
        <v>0.91526806225250934</v>
      </c>
      <c r="BN96" s="25">
        <f>ROUND(SUM(Inventory[[#This Row],[Mdl Qlty]:[Mdl WdDeck]])+Inventory[[#This Row],[Mdl Res Intercept]]*Inventory[[#This Row],[Res Adj ]],-2)</f>
        <v>346900</v>
      </c>
      <c r="BO96" s="25">
        <f>ROUND(Inventory[[#This Row],[25Det]]*Inventory[[#This Row],[Det/Nbhd Adj]],-2)</f>
        <v>0</v>
      </c>
      <c r="BP96" s="25">
        <f>Inventory[[#This Row],[Adjusted Res]]+Inventory[[#This Row],[Adj Det ]]</f>
        <v>346900</v>
      </c>
      <c r="BQ96" s="25">
        <f>ROUND((Inventory[[#This Row],[Mdl Land Intercept]]+Inventory[[#This Row],[Mdl LnAcres]])*Inventory[[#This Row],[Det/Nbhd Adj]],-2)</f>
        <v>-20100</v>
      </c>
      <c r="BR96" s="25">
        <f>Inventory[[#This Row],[Adjusted Impr Total]]+Inventory[[#This Row],[Adjusted Land Total]]</f>
        <v>326800</v>
      </c>
      <c r="BS96" s="36">
        <f>IFERROR((Inventory[[#This Row],[Adjusted Impr Total]]-Inventory[[#This Row],[24Bldg]])/Inventory[[#This Row],[24Bldg]],0)</f>
        <v>0.40559157212317665</v>
      </c>
      <c r="BT96" s="36">
        <f>(Inventory[[#This Row],[Adjusted Land Total]]-Inventory[[#This Row],[24Lnd]])/Inventory[[#This Row],[24Lnd]]</f>
        <v>-1.4620689655172414</v>
      </c>
      <c r="BU96" s="36">
        <f>(Inventory[[#This Row],[Adjusted Total]]-Inventory[[#This Row],[24Final]])/Inventory[[#This Row],[24Final]]</f>
        <v>0.12573200137788496</v>
      </c>
    </row>
    <row r="97" spans="1:73" x14ac:dyDescent="0.3">
      <c r="A97" s="25">
        <v>2025</v>
      </c>
      <c r="B97" s="26" t="s">
        <v>564</v>
      </c>
      <c r="C97" s="26">
        <f>LN(Inventory[[#This Row],[Acres]])</f>
        <v>-3.2188758248682006</v>
      </c>
      <c r="D97" s="25">
        <v>0.04</v>
      </c>
      <c r="E97" s="25">
        <v>2313</v>
      </c>
      <c r="F97" s="26" t="s">
        <v>537</v>
      </c>
      <c r="G97" s="26" t="s">
        <v>28</v>
      </c>
      <c r="H97" s="26" t="s">
        <v>349</v>
      </c>
      <c r="I97" s="26" t="s">
        <v>538</v>
      </c>
      <c r="J97" s="26" t="s">
        <v>551</v>
      </c>
      <c r="K97" s="26" t="s">
        <v>381</v>
      </c>
      <c r="L97" s="26" t="s">
        <v>95</v>
      </c>
      <c r="M97" s="26" t="s">
        <v>323</v>
      </c>
      <c r="N97" s="26">
        <v>30</v>
      </c>
      <c r="O97" s="26">
        <f>2024-Inventory[[#This Row],[YrBlt]]</f>
        <v>30</v>
      </c>
      <c r="P97" s="26">
        <f>2024-Inventory[[#This Row],[EffYr]]</f>
        <v>30</v>
      </c>
      <c r="Q97" s="25">
        <v>1994</v>
      </c>
      <c r="R97" s="25">
        <v>1994</v>
      </c>
      <c r="S97" s="25">
        <v>1785</v>
      </c>
      <c r="T97" s="27"/>
      <c r="U97" s="31"/>
      <c r="V97" s="31">
        <f>Inventory[[#This Row],[Bsmt]]-Inventory[[#This Row],[FnBsmt]]</f>
        <v>0</v>
      </c>
      <c r="W97" s="31"/>
      <c r="X97" s="27"/>
      <c r="Y97" s="27">
        <f>Inventory[[#This Row],[MainFn]]+Inventory[[#This Row],[UpprFn]]+Inventory[[#This Row],[FnBsmt]]+Inventory[[#This Row],[AddFn]]</f>
        <v>1785</v>
      </c>
      <c r="Z97" s="27">
        <v>2000</v>
      </c>
      <c r="AA97" s="25">
        <v>12</v>
      </c>
      <c r="AB97" s="32">
        <v>528</v>
      </c>
      <c r="AC97" s="31"/>
      <c r="AD97" s="32">
        <v>168</v>
      </c>
      <c r="AE97" s="27"/>
      <c r="AF97" s="27"/>
      <c r="AG97" s="27"/>
      <c r="AH97" s="27"/>
      <c r="AI97" s="25">
        <v>447502</v>
      </c>
      <c r="AJ97" s="25">
        <v>389327</v>
      </c>
      <c r="AK97" s="25">
        <v>0</v>
      </c>
      <c r="AL97" s="25">
        <v>326300</v>
      </c>
      <c r="AM97" s="25">
        <v>48900</v>
      </c>
      <c r="AN97" s="25">
        <v>277400</v>
      </c>
      <c r="AO97" s="25">
        <v>0</v>
      </c>
      <c r="AP97" s="25">
        <f>Lookups!$B$56*0</f>
        <v>0</v>
      </c>
      <c r="AQ97" s="25">
        <f>Lookups!$B$56*1</f>
        <v>89850.625589999996</v>
      </c>
      <c r="AR97" s="25">
        <f>Lookups!$B$57*Inventory[[#This Row],[LnAcres]]</f>
        <v>-101892.2773541973</v>
      </c>
      <c r="AS97" s="25">
        <f>VLOOKUP(Inventory[[#This Row],[Qlty]],Lookups!$A$62:$E$75,2,FALSE)</f>
        <v>74268.409664999999</v>
      </c>
      <c r="AT97" s="25">
        <f>VLOOKUP(Inventory[[#This Row],[Cnd]],Lookups!$A$76:$E$84,2,FALSE)</f>
        <v>160472.20319</v>
      </c>
      <c r="AU97" s="25">
        <f>Inventory[[#This Row],[EffAge]]*Lookups!$B$85</f>
        <v>-6691.368015</v>
      </c>
      <c r="AV97" s="25">
        <f>Inventory[[#This Row],[MainFn]]*Lookups!$B$86</f>
        <v>88194.475730445003</v>
      </c>
      <c r="AW97" s="25">
        <f>Inventory[[#This Row],[UpprFn]]*Lookups!$B$87</f>
        <v>0</v>
      </c>
      <c r="AX97" s="25">
        <f>Inventory[[#This Row],[AddFn]]*Lookups!$B$88</f>
        <v>0</v>
      </c>
      <c r="AY97" s="25">
        <f>Inventory[[#This Row],[Bsmt]]*Lookups!$B$89</f>
        <v>0</v>
      </c>
      <c r="AZ97" s="25">
        <f>Inventory[[#This Row],[Fixtures]]*Lookups!$B$90</f>
        <v>45504.265262400004</v>
      </c>
      <c r="BA97" s="25">
        <f>Inventory[[#This Row],[WdDeck]]*Lookups!$B$91</f>
        <v>5593.646566368001</v>
      </c>
      <c r="BB97" s="25">
        <f>ROUND(Inventory[[#This Row],[25Det]],-2)</f>
        <v>0</v>
      </c>
      <c r="BC97" s="25">
        <f>ROUND(SUM(Inventory[[#This Row],[Mdl Qlty]:[Mdl WdDeck]])+Inventory[[#This Row],[Mdl Res Intercept]],-2)</f>
        <v>367300</v>
      </c>
      <c r="BD97" s="25">
        <f>ROUND(Inventory[[#This Row],[Mdl Land Intercept]]+Inventory[[#This Row],[Mdl LnAcres]],-2)</f>
        <v>-12000</v>
      </c>
      <c r="BE97" s="25">
        <f>Inventory[[#This Row],[Unadj Res Value]]+Inventory[[#This Row],[Unadj Det Value]]+Inventory[[#This Row],[Unadj Land Value]]</f>
        <v>355300</v>
      </c>
      <c r="BF97" s="36">
        <f>(Inventory[[#This Row],[Unadj Total Value]]-Inventory[[#This Row],[24Final]])/Inventory[[#This Row],[24Final]]</f>
        <v>8.8875268158136678E-2</v>
      </c>
      <c r="BG97" s="25">
        <f>VLOOKUP(Inventory[[#This Row],[Nbhd]],Lookups!$Q$2:$T$4,4,FALSE)</f>
        <v>0.99970000000000003</v>
      </c>
      <c r="BH97" s="25">
        <f>VLOOKUP(Inventory[[#This Row],[Qlty]],Lookups!$O$7:$R$21,4,FALSE)</f>
        <v>0.98380000000000001</v>
      </c>
      <c r="BI97" s="25">
        <f>VLOOKUP(Inventory[[#This Row],[Cnd]],Lookups!$T$7:$W$16,4,FALSE)</f>
        <v>0.99729999999999996</v>
      </c>
      <c r="BJ97" s="25">
        <f>VLOOKUP(Inventory[[#This Row],[LivArea Range]],Lookups!$T$25:$W$37,4,FALSE)</f>
        <v>1.0093000000000001</v>
      </c>
      <c r="BK97" s="25">
        <f>VLOOKUP(Inventory[[#This Row],[Decade]],Lookups!$O$25:$R$42,4,FALSE)</f>
        <v>0.97319999999999995</v>
      </c>
      <c r="BL97" s="25">
        <f>Inventory[[#This Row],[Nbhd Adj]]*0.95</f>
        <v>0.94971499999999998</v>
      </c>
      <c r="BM97" s="25">
        <f>Inventory[[#This Row],[Nbhd Adj]]*Inventory[[#This Row],[Quality Adj]]*Inventory[[#This Row],[Condition Adj]]*Inventory[[#This Row],[Living Area Adj]]*Inventory[[#This Row],[Decade Adj]]*0.95</f>
        <v>0.91526806225250934</v>
      </c>
      <c r="BN97" s="25">
        <f>ROUND(SUM(Inventory[[#This Row],[Mdl Qlty]:[Mdl WdDeck]])+Inventory[[#This Row],[Mdl Res Intercept]]*Inventory[[#This Row],[Res Adj ]],-2)</f>
        <v>367300</v>
      </c>
      <c r="BO97" s="25">
        <f>ROUND(Inventory[[#This Row],[25Det]]*Inventory[[#This Row],[Det/Nbhd Adj]],-2)</f>
        <v>0</v>
      </c>
      <c r="BP97" s="25">
        <f>Inventory[[#This Row],[Adjusted Res]]+Inventory[[#This Row],[Adj Det ]]</f>
        <v>367300</v>
      </c>
      <c r="BQ97" s="25">
        <f>ROUND((Inventory[[#This Row],[Mdl Land Intercept]]+Inventory[[#This Row],[Mdl LnAcres]])*Inventory[[#This Row],[Det/Nbhd Adj]],-2)</f>
        <v>-11400</v>
      </c>
      <c r="BR97" s="25">
        <f>Inventory[[#This Row],[Adjusted Impr Total]]+Inventory[[#This Row],[Adjusted Land Total]]</f>
        <v>355900</v>
      </c>
      <c r="BS97" s="36">
        <f>IFERROR((Inventory[[#This Row],[Adjusted Impr Total]]-Inventory[[#This Row],[24Bldg]])/Inventory[[#This Row],[24Bldg]],0)</f>
        <v>0.32408074981975488</v>
      </c>
      <c r="BT97" s="36">
        <f>(Inventory[[#This Row],[Adjusted Land Total]]-Inventory[[#This Row],[24Lnd]])/Inventory[[#This Row],[24Lnd]]</f>
        <v>-1.2331288343558282</v>
      </c>
      <c r="BU97" s="36">
        <f>(Inventory[[#This Row],[Adjusted Total]]-Inventory[[#This Row],[24Final]])/Inventory[[#This Row],[24Final]]</f>
        <v>9.0714066809684343E-2</v>
      </c>
    </row>
    <row r="98" spans="1:73" x14ac:dyDescent="0.3">
      <c r="A98" s="25">
        <v>2025</v>
      </c>
      <c r="B98" s="26" t="s">
        <v>2466</v>
      </c>
      <c r="C98" s="26">
        <f>LN(Inventory[[#This Row],[Acres]])</f>
        <v>-1.7147984280919266</v>
      </c>
      <c r="D98" s="25">
        <v>0.18</v>
      </c>
      <c r="E98" s="25">
        <v>7708</v>
      </c>
      <c r="F98" s="26" t="s">
        <v>537</v>
      </c>
      <c r="G98" s="26" t="s">
        <v>126</v>
      </c>
      <c r="H98" s="26" t="s">
        <v>349</v>
      </c>
      <c r="I98" s="26" t="s">
        <v>538</v>
      </c>
      <c r="J98" s="26" t="s">
        <v>539</v>
      </c>
      <c r="K98" s="26" t="s">
        <v>241</v>
      </c>
      <c r="L98" s="26" t="s">
        <v>351</v>
      </c>
      <c r="M98" s="26" t="s">
        <v>303</v>
      </c>
      <c r="N98" s="26">
        <v>30</v>
      </c>
      <c r="O98" s="26">
        <f>2024-Inventory[[#This Row],[YrBlt]]</f>
        <v>30</v>
      </c>
      <c r="P98" s="26">
        <f>2024-Inventory[[#This Row],[EffYr]]</f>
        <v>30</v>
      </c>
      <c r="Q98" s="25">
        <v>1994</v>
      </c>
      <c r="R98" s="25">
        <v>1994</v>
      </c>
      <c r="S98" s="25">
        <v>912</v>
      </c>
      <c r="T98" s="27"/>
      <c r="U98" s="25">
        <v>912</v>
      </c>
      <c r="V98" s="25">
        <f>Inventory[[#This Row],[Bsmt]]-Inventory[[#This Row],[FnBsmt]]</f>
        <v>0</v>
      </c>
      <c r="W98" s="25">
        <v>912</v>
      </c>
      <c r="X98" s="27"/>
      <c r="Y98" s="27">
        <f>Inventory[[#This Row],[MainFn]]+Inventory[[#This Row],[UpprFn]]+Inventory[[#This Row],[FnBsmt]]+Inventory[[#This Row],[AddFn]]</f>
        <v>1824</v>
      </c>
      <c r="Z98" s="27">
        <v>2000</v>
      </c>
      <c r="AA98" s="25">
        <v>10</v>
      </c>
      <c r="AB98" s="25">
        <v>576</v>
      </c>
      <c r="AC98" s="27"/>
      <c r="AD98" s="25">
        <v>64</v>
      </c>
      <c r="AE98" s="27"/>
      <c r="AF98" s="27"/>
      <c r="AG98" s="27"/>
      <c r="AH98" s="27"/>
      <c r="AI98" s="25">
        <v>262371</v>
      </c>
      <c r="AJ98" s="25">
        <v>225639</v>
      </c>
      <c r="AK98" s="25">
        <v>0</v>
      </c>
      <c r="AL98" s="25">
        <v>339600</v>
      </c>
      <c r="AM98" s="25">
        <v>54700</v>
      </c>
      <c r="AN98" s="25">
        <v>284900</v>
      </c>
      <c r="AO98" s="25">
        <v>0</v>
      </c>
      <c r="AP98" s="25">
        <f>Lookups!$B$56*0</f>
        <v>0</v>
      </c>
      <c r="AQ98" s="25">
        <f>Lookups!$B$56*1</f>
        <v>89850.625589999996</v>
      </c>
      <c r="AR98" s="25">
        <f>Lookups!$B$57*Inventory[[#This Row],[LnAcres]]</f>
        <v>-54281.285314520763</v>
      </c>
      <c r="AS98" s="25">
        <f>VLOOKUP(Inventory[[#This Row],[Qlty]],Lookups!$A$62:$E$75,2,FALSE)</f>
        <v>21557.329055999999</v>
      </c>
      <c r="AT98" s="25">
        <f>VLOOKUP(Inventory[[#This Row],[Cnd]],Lookups!$A$76:$E$84,2,FALSE)</f>
        <v>197752.34721000001</v>
      </c>
      <c r="AU98" s="25">
        <f>Inventory[[#This Row],[EffAge]]*Lookups!$B$85</f>
        <v>-6691.368015</v>
      </c>
      <c r="AV98" s="25">
        <f>Inventory[[#This Row],[MainFn]]*Lookups!$B$86</f>
        <v>45060.706927824001</v>
      </c>
      <c r="AW98" s="25">
        <f>Inventory[[#This Row],[UpprFn]]*Lookups!$B$87</f>
        <v>0</v>
      </c>
      <c r="AX98" s="25">
        <f>Inventory[[#This Row],[AddFn]]*Lookups!$B$88</f>
        <v>0</v>
      </c>
      <c r="AY98" s="25">
        <f>Inventory[[#This Row],[Bsmt]]*Lookups!$B$89</f>
        <v>26522.688465264</v>
      </c>
      <c r="AZ98" s="25">
        <f>Inventory[[#This Row],[Fixtures]]*Lookups!$B$90</f>
        <v>37920.221052000001</v>
      </c>
      <c r="BA98" s="25">
        <f>Inventory[[#This Row],[WdDeck]]*Lookups!$B$91</f>
        <v>2130.9129776640002</v>
      </c>
      <c r="BB98" s="25">
        <f>ROUND(Inventory[[#This Row],[25Det]],-2)</f>
        <v>0</v>
      </c>
      <c r="BC98" s="25">
        <f>ROUND(SUM(Inventory[[#This Row],[Mdl Qlty]:[Mdl WdDeck]])+Inventory[[#This Row],[Mdl Res Intercept]],-2)</f>
        <v>324300</v>
      </c>
      <c r="BD98" s="25">
        <f>ROUND(Inventory[[#This Row],[Mdl Land Intercept]]+Inventory[[#This Row],[Mdl LnAcres]],-2)</f>
        <v>35600</v>
      </c>
      <c r="BE98" s="25">
        <f>Inventory[[#This Row],[Unadj Res Value]]+Inventory[[#This Row],[Unadj Det Value]]+Inventory[[#This Row],[Unadj Land Value]]</f>
        <v>359900</v>
      </c>
      <c r="BF98" s="36">
        <f>(Inventory[[#This Row],[Unadj Total Value]]-Inventory[[#This Row],[24Final]])/Inventory[[#This Row],[24Final]]</f>
        <v>5.9776207302709071E-2</v>
      </c>
      <c r="BG98" s="25">
        <f>VLOOKUP(Inventory[[#This Row],[Nbhd]],Lookups!$Q$2:$T$4,4,FALSE)</f>
        <v>0.99970000000000003</v>
      </c>
      <c r="BH98" s="25">
        <f>VLOOKUP(Inventory[[#This Row],[Qlty]],Lookups!$O$7:$R$21,4,FALSE)</f>
        <v>1.0067999999999999</v>
      </c>
      <c r="BI98" s="25">
        <f>VLOOKUP(Inventory[[#This Row],[Cnd]],Lookups!$T$7:$W$16,4,FALSE)</f>
        <v>0.99650000000000005</v>
      </c>
      <c r="BJ98" s="25">
        <f>VLOOKUP(Inventory[[#This Row],[LivArea Range]],Lookups!$T$25:$W$37,4,FALSE)</f>
        <v>1.0093000000000001</v>
      </c>
      <c r="BK98" s="25">
        <f>VLOOKUP(Inventory[[#This Row],[Decade]],Lookups!$O$25:$R$42,4,FALSE)</f>
        <v>0.97319999999999995</v>
      </c>
      <c r="BL98" s="25">
        <f>Inventory[[#This Row],[Nbhd Adj]]*0.95</f>
        <v>0.94971499999999998</v>
      </c>
      <c r="BM98" s="25">
        <f>Inventory[[#This Row],[Nbhd Adj]]*Inventory[[#This Row],[Quality Adj]]*Inventory[[#This Row],[Condition Adj]]*Inventory[[#This Row],[Living Area Adj]]*Inventory[[#This Row],[Decade Adj]]*0.95</f>
        <v>0.93591451083208332</v>
      </c>
      <c r="BN98" s="25">
        <f>ROUND(SUM(Inventory[[#This Row],[Mdl Qlty]:[Mdl WdDeck]])+Inventory[[#This Row],[Mdl Res Intercept]]*Inventory[[#This Row],[Res Adj ]],-2)</f>
        <v>324300</v>
      </c>
      <c r="BO98" s="25">
        <f>ROUND(Inventory[[#This Row],[25Det]]*Inventory[[#This Row],[Det/Nbhd Adj]],-2)</f>
        <v>0</v>
      </c>
      <c r="BP98" s="25">
        <f>Inventory[[#This Row],[Adjusted Res]]+Inventory[[#This Row],[Adj Det ]]</f>
        <v>324300</v>
      </c>
      <c r="BQ98" s="25">
        <f>ROUND((Inventory[[#This Row],[Mdl Land Intercept]]+Inventory[[#This Row],[Mdl LnAcres]])*Inventory[[#This Row],[Det/Nbhd Adj]],-2)</f>
        <v>33800</v>
      </c>
      <c r="BR98" s="25">
        <f>Inventory[[#This Row],[Adjusted Impr Total]]+Inventory[[#This Row],[Adjusted Land Total]]</f>
        <v>358100</v>
      </c>
      <c r="BS98" s="36">
        <f>IFERROR((Inventory[[#This Row],[Adjusted Impr Total]]-Inventory[[#This Row],[24Bldg]])/Inventory[[#This Row],[24Bldg]],0)</f>
        <v>0.13829413829413831</v>
      </c>
      <c r="BT98" s="36">
        <f>(Inventory[[#This Row],[Adjusted Land Total]]-Inventory[[#This Row],[24Lnd]])/Inventory[[#This Row],[24Lnd]]</f>
        <v>-0.38208409506398539</v>
      </c>
      <c r="BU98" s="36">
        <f>(Inventory[[#This Row],[Adjusted Total]]-Inventory[[#This Row],[24Final]])/Inventory[[#This Row],[24Final]]</f>
        <v>5.4475853945818609E-2</v>
      </c>
    </row>
    <row r="99" spans="1:73" x14ac:dyDescent="0.3">
      <c r="A99" s="25">
        <v>2025</v>
      </c>
      <c r="B99" s="26" t="s">
        <v>2123</v>
      </c>
      <c r="C99" s="26">
        <f>LN(Inventory[[#This Row],[Acres]])</f>
        <v>-1.1086626245216111</v>
      </c>
      <c r="D99" s="25">
        <v>0.33</v>
      </c>
      <c r="E99" s="31"/>
      <c r="F99" s="26" t="s">
        <v>537</v>
      </c>
      <c r="G99" s="26" t="s">
        <v>126</v>
      </c>
      <c r="H99" s="26" t="s">
        <v>349</v>
      </c>
      <c r="I99" s="26" t="s">
        <v>538</v>
      </c>
      <c r="J99" s="26" t="s">
        <v>539</v>
      </c>
      <c r="K99" s="26" t="s">
        <v>242</v>
      </c>
      <c r="L99" s="26" t="s">
        <v>302</v>
      </c>
      <c r="M99" s="26" t="s">
        <v>303</v>
      </c>
      <c r="N99" s="26">
        <v>30</v>
      </c>
      <c r="O99" s="26">
        <f>2024-Inventory[[#This Row],[YrBlt]]</f>
        <v>30</v>
      </c>
      <c r="P99" s="26">
        <f>2024-Inventory[[#This Row],[EffYr]]</f>
        <v>30</v>
      </c>
      <c r="Q99" s="25">
        <v>1994</v>
      </c>
      <c r="R99" s="25">
        <v>1994</v>
      </c>
      <c r="S99" s="25">
        <v>1796</v>
      </c>
      <c r="T99" s="27"/>
      <c r="U99" s="25">
        <v>1796</v>
      </c>
      <c r="V99" s="25">
        <f>Inventory[[#This Row],[Bsmt]]-Inventory[[#This Row],[FnBsmt]]</f>
        <v>0</v>
      </c>
      <c r="W99" s="25">
        <v>1796</v>
      </c>
      <c r="X99" s="27"/>
      <c r="Y99" s="27">
        <f>Inventory[[#This Row],[MainFn]]+Inventory[[#This Row],[UpprFn]]+Inventory[[#This Row],[FnBsmt]]+Inventory[[#This Row],[AddFn]]</f>
        <v>3592</v>
      </c>
      <c r="Z99" s="27">
        <v>4000</v>
      </c>
      <c r="AA99" s="25">
        <v>13</v>
      </c>
      <c r="AB99" s="25">
        <v>624</v>
      </c>
      <c r="AC99" s="27"/>
      <c r="AD99" s="32">
        <v>340</v>
      </c>
      <c r="AE99" s="27"/>
      <c r="AF99" s="27"/>
      <c r="AG99" s="27"/>
      <c r="AH99" s="27"/>
      <c r="AI99" s="25">
        <v>523064</v>
      </c>
      <c r="AJ99" s="25">
        <v>449835</v>
      </c>
      <c r="AK99" s="25">
        <v>0</v>
      </c>
      <c r="AL99" s="25">
        <v>456100</v>
      </c>
      <c r="AM99" s="25">
        <v>75900</v>
      </c>
      <c r="AN99" s="25">
        <v>380200</v>
      </c>
      <c r="AO99" s="25">
        <v>0</v>
      </c>
      <c r="AP99" s="25">
        <f>Lookups!$B$56*0</f>
        <v>0</v>
      </c>
      <c r="AQ99" s="25">
        <f>Lookups!$B$56*1</f>
        <v>89850.625589999996</v>
      </c>
      <c r="AR99" s="25">
        <f>Lookups!$B$57*Inventory[[#This Row],[LnAcres]]</f>
        <v>-35094.289365640165</v>
      </c>
      <c r="AS99" s="25">
        <f>VLOOKUP(Inventory[[#This Row],[Qlty]],Lookups!$A$62:$E$75,2,FALSE)</f>
        <v>29814.093161000001</v>
      </c>
      <c r="AT99" s="25">
        <f>VLOOKUP(Inventory[[#This Row],[Cnd]],Lookups!$A$76:$E$84,2,FALSE)</f>
        <v>197752.34721000001</v>
      </c>
      <c r="AU99" s="25">
        <f>Inventory[[#This Row],[EffAge]]*Lookups!$B$85</f>
        <v>-6691.368015</v>
      </c>
      <c r="AV99" s="25">
        <f>Inventory[[#This Row],[MainFn]]*Lookups!$B$86</f>
        <v>88737.971099091999</v>
      </c>
      <c r="AW99" s="25">
        <f>Inventory[[#This Row],[UpprFn]]*Lookups!$B$87</f>
        <v>0</v>
      </c>
      <c r="AX99" s="25">
        <f>Inventory[[#This Row],[AddFn]]*Lookups!$B$88</f>
        <v>0</v>
      </c>
      <c r="AY99" s="25">
        <f>Inventory[[#This Row],[Bsmt]]*Lookups!$B$89</f>
        <v>52231.083863611995</v>
      </c>
      <c r="AZ99" s="25">
        <f>Inventory[[#This Row],[Fixtures]]*Lookups!$B$90</f>
        <v>49296.287367600002</v>
      </c>
      <c r="BA99" s="25">
        <f>Inventory[[#This Row],[WdDeck]]*Lookups!$B$91</f>
        <v>11320.47519384</v>
      </c>
      <c r="BB99" s="25">
        <f>ROUND(Inventory[[#This Row],[25Det]],-2)</f>
        <v>0</v>
      </c>
      <c r="BC99" s="25">
        <f>ROUND(SUM(Inventory[[#This Row],[Mdl Qlty]:[Mdl WdDeck]])+Inventory[[#This Row],[Mdl Res Intercept]],-2)</f>
        <v>422500</v>
      </c>
      <c r="BD99" s="25">
        <f>ROUND(Inventory[[#This Row],[Mdl Land Intercept]]+Inventory[[#This Row],[Mdl LnAcres]],-2)</f>
        <v>54800</v>
      </c>
      <c r="BE99" s="25">
        <f>Inventory[[#This Row],[Unadj Res Value]]+Inventory[[#This Row],[Unadj Det Value]]+Inventory[[#This Row],[Unadj Land Value]]</f>
        <v>477300</v>
      </c>
      <c r="BF99" s="36">
        <f>(Inventory[[#This Row],[Unadj Total Value]]-Inventory[[#This Row],[24Final]])/Inventory[[#This Row],[24Final]]</f>
        <v>4.6481034860776142E-2</v>
      </c>
      <c r="BG99" s="25">
        <f>VLOOKUP(Inventory[[#This Row],[Nbhd]],Lookups!$Q$2:$T$4,4,FALSE)</f>
        <v>0.99970000000000003</v>
      </c>
      <c r="BH99" s="25">
        <f>VLOOKUP(Inventory[[#This Row],[Qlty]],Lookups!$O$7:$R$21,4,FALSE)</f>
        <v>1.0088999999999999</v>
      </c>
      <c r="BI99" s="25">
        <f>VLOOKUP(Inventory[[#This Row],[Cnd]],Lookups!$T$7:$W$16,4,FALSE)</f>
        <v>0.99650000000000005</v>
      </c>
      <c r="BJ99" s="25">
        <f>VLOOKUP(Inventory[[#This Row],[LivArea Range]],Lookups!$T$25:$W$37,4,FALSE)</f>
        <v>0.94579999999999997</v>
      </c>
      <c r="BK99" s="25">
        <f>VLOOKUP(Inventory[[#This Row],[Decade]],Lookups!$O$25:$R$42,4,FALSE)</f>
        <v>0.97319999999999995</v>
      </c>
      <c r="BL99" s="25">
        <f>Inventory[[#This Row],[Nbhd Adj]]*0.95</f>
        <v>0.94971499999999998</v>
      </c>
      <c r="BM99" s="25">
        <f>Inventory[[#This Row],[Nbhd Adj]]*Inventory[[#This Row],[Quality Adj]]*Inventory[[#This Row],[Condition Adj]]*Inventory[[#This Row],[Living Area Adj]]*Inventory[[#This Row],[Decade Adj]]*0.95</f>
        <v>0.87886087775587596</v>
      </c>
      <c r="BN99" s="25">
        <f>ROUND(SUM(Inventory[[#This Row],[Mdl Qlty]:[Mdl WdDeck]])+Inventory[[#This Row],[Mdl Res Intercept]]*Inventory[[#This Row],[Res Adj ]],-2)</f>
        <v>422500</v>
      </c>
      <c r="BO99" s="25">
        <f>ROUND(Inventory[[#This Row],[25Det]]*Inventory[[#This Row],[Det/Nbhd Adj]],-2)</f>
        <v>0</v>
      </c>
      <c r="BP99" s="25">
        <f>Inventory[[#This Row],[Adjusted Res]]+Inventory[[#This Row],[Adj Det ]]</f>
        <v>422500</v>
      </c>
      <c r="BQ99" s="25">
        <f>ROUND((Inventory[[#This Row],[Mdl Land Intercept]]+Inventory[[#This Row],[Mdl LnAcres]])*Inventory[[#This Row],[Det/Nbhd Adj]],-2)</f>
        <v>52000</v>
      </c>
      <c r="BR99" s="25">
        <f>Inventory[[#This Row],[Adjusted Impr Total]]+Inventory[[#This Row],[Adjusted Land Total]]</f>
        <v>474500</v>
      </c>
      <c r="BS99" s="36">
        <f>IFERROR((Inventory[[#This Row],[Adjusted Impr Total]]-Inventory[[#This Row],[24Bldg]])/Inventory[[#This Row],[24Bldg]],0)</f>
        <v>0.11125723303524461</v>
      </c>
      <c r="BT99" s="36">
        <f>(Inventory[[#This Row],[Adjusted Land Total]]-Inventory[[#This Row],[24Lnd]])/Inventory[[#This Row],[24Lnd]]</f>
        <v>-0.31488801054018445</v>
      </c>
      <c r="BU99" s="36">
        <f>(Inventory[[#This Row],[Adjusted Total]]-Inventory[[#This Row],[24Final]])/Inventory[[#This Row],[24Final]]</f>
        <v>4.0342030256522693E-2</v>
      </c>
    </row>
    <row r="100" spans="1:73" x14ac:dyDescent="0.3">
      <c r="A100" s="25">
        <v>2025</v>
      </c>
      <c r="B100" s="26" t="s">
        <v>552</v>
      </c>
      <c r="C100" s="26">
        <f>LN(Inventory[[#This Row],[Acres]])</f>
        <v>-3.912023005428146</v>
      </c>
      <c r="D100" s="25">
        <v>0.02</v>
      </c>
      <c r="E100" s="25">
        <v>1022</v>
      </c>
      <c r="F100" s="26" t="s">
        <v>537</v>
      </c>
      <c r="G100" s="26" t="s">
        <v>28</v>
      </c>
      <c r="H100" s="26" t="s">
        <v>349</v>
      </c>
      <c r="I100" s="26" t="s">
        <v>538</v>
      </c>
      <c r="J100" s="26" t="s">
        <v>551</v>
      </c>
      <c r="K100" s="26" t="s">
        <v>415</v>
      </c>
      <c r="L100" s="26" t="s">
        <v>351</v>
      </c>
      <c r="M100" s="26" t="s">
        <v>323</v>
      </c>
      <c r="N100" s="26">
        <v>40</v>
      </c>
      <c r="O100" s="26">
        <f>2024-Inventory[[#This Row],[YrBlt]]</f>
        <v>32</v>
      </c>
      <c r="P100" s="26">
        <f>2024-Inventory[[#This Row],[EffYr]]</f>
        <v>32</v>
      </c>
      <c r="Q100" s="25">
        <v>1992</v>
      </c>
      <c r="R100" s="25">
        <v>1992</v>
      </c>
      <c r="S100" s="25">
        <v>1022</v>
      </c>
      <c r="T100" s="31"/>
      <c r="U100" s="31"/>
      <c r="V100" s="31">
        <f>Inventory[[#This Row],[Bsmt]]-Inventory[[#This Row],[FnBsmt]]</f>
        <v>0</v>
      </c>
      <c r="W100" s="31"/>
      <c r="X100" s="27"/>
      <c r="Y100" s="27">
        <f>Inventory[[#This Row],[MainFn]]+Inventory[[#This Row],[UpprFn]]+Inventory[[#This Row],[FnBsmt]]+Inventory[[#This Row],[AddFn]]</f>
        <v>1022</v>
      </c>
      <c r="Z100" s="27">
        <v>1500</v>
      </c>
      <c r="AA100" s="25">
        <v>8</v>
      </c>
      <c r="AB100" s="31"/>
      <c r="AC100" s="27"/>
      <c r="AD100" s="27"/>
      <c r="AE100" s="27"/>
      <c r="AF100" s="27"/>
      <c r="AG100" s="27"/>
      <c r="AH100" s="27"/>
      <c r="AI100" s="25">
        <v>170723</v>
      </c>
      <c r="AJ100" s="25">
        <v>145115</v>
      </c>
      <c r="AK100" s="25">
        <v>14651</v>
      </c>
      <c r="AL100" s="25">
        <v>201400</v>
      </c>
      <c r="AM100" s="25">
        <v>30200</v>
      </c>
      <c r="AN100" s="25">
        <v>171200</v>
      </c>
      <c r="AO100" s="25">
        <v>0</v>
      </c>
      <c r="AP100" s="25">
        <f>Lookups!$B$56*0</f>
        <v>0</v>
      </c>
      <c r="AQ100" s="25">
        <f>Lookups!$B$56*1</f>
        <v>89850.625589999996</v>
      </c>
      <c r="AR100" s="25">
        <f>Lookups!$B$57*Inventory[[#This Row],[LnAcres]]</f>
        <v>-123833.58500677992</v>
      </c>
      <c r="AS100" s="25">
        <f>VLOOKUP(Inventory[[#This Row],[Qlty]],Lookups!$A$62:$E$75,2,FALSE)</f>
        <v>21557.329055999999</v>
      </c>
      <c r="AT100" s="25">
        <f>VLOOKUP(Inventory[[#This Row],[Cnd]],Lookups!$A$76:$E$84,2,FALSE)</f>
        <v>160472.20319</v>
      </c>
      <c r="AU100" s="25">
        <f>Inventory[[#This Row],[EffAge]]*Lookups!$B$85</f>
        <v>-7137.4592160000002</v>
      </c>
      <c r="AV100" s="25">
        <f>Inventory[[#This Row],[MainFn]]*Lookups!$B$86</f>
        <v>50495.660614294</v>
      </c>
      <c r="AW100" s="25">
        <f>Inventory[[#This Row],[UpprFn]]*Lookups!$B$87</f>
        <v>0</v>
      </c>
      <c r="AX100" s="25">
        <f>Inventory[[#This Row],[AddFn]]*Lookups!$B$88</f>
        <v>0</v>
      </c>
      <c r="AY100" s="25">
        <f>Inventory[[#This Row],[Bsmt]]*Lookups!$B$89</f>
        <v>0</v>
      </c>
      <c r="AZ100" s="25">
        <f>Inventory[[#This Row],[Fixtures]]*Lookups!$B$90</f>
        <v>30336.176841600001</v>
      </c>
      <c r="BA100" s="25">
        <f>Inventory[[#This Row],[WdDeck]]*Lookups!$B$91</f>
        <v>0</v>
      </c>
      <c r="BB100" s="25">
        <f>ROUND(Inventory[[#This Row],[25Det]],-2)</f>
        <v>14700</v>
      </c>
      <c r="BC100" s="25">
        <f>ROUND(SUM(Inventory[[#This Row],[Mdl Qlty]:[Mdl WdDeck]])+Inventory[[#This Row],[Mdl Res Intercept]],-2)</f>
        <v>255700</v>
      </c>
      <c r="BD100" s="25">
        <f>ROUND(Inventory[[#This Row],[Mdl Land Intercept]]+Inventory[[#This Row],[Mdl LnAcres]],-2)</f>
        <v>-34000</v>
      </c>
      <c r="BE100" s="25">
        <f>Inventory[[#This Row],[Unadj Res Value]]+Inventory[[#This Row],[Unadj Det Value]]+Inventory[[#This Row],[Unadj Land Value]]</f>
        <v>236400</v>
      </c>
      <c r="BF100" s="36">
        <f>(Inventory[[#This Row],[Unadj Total Value]]-Inventory[[#This Row],[24Final]])/Inventory[[#This Row],[24Final]]</f>
        <v>0.17378351539225423</v>
      </c>
      <c r="BG100" s="25">
        <f>VLOOKUP(Inventory[[#This Row],[Nbhd]],Lookups!$Q$2:$T$4,4,FALSE)</f>
        <v>0.99970000000000003</v>
      </c>
      <c r="BH100" s="25">
        <f>VLOOKUP(Inventory[[#This Row],[Qlty]],Lookups!$O$7:$R$21,4,FALSE)</f>
        <v>1.0067999999999999</v>
      </c>
      <c r="BI100" s="25">
        <f>VLOOKUP(Inventory[[#This Row],[Cnd]],Lookups!$T$7:$W$16,4,FALSE)</f>
        <v>0.99729999999999996</v>
      </c>
      <c r="BJ100" s="25">
        <f>VLOOKUP(Inventory[[#This Row],[LivArea Range]],Lookups!$T$25:$W$37,4,FALSE)</f>
        <v>1.0157</v>
      </c>
      <c r="BK100" s="25">
        <f>VLOOKUP(Inventory[[#This Row],[Decade]],Lookups!$O$25:$R$42,4,FALSE)</f>
        <v>1.0157</v>
      </c>
      <c r="BL100" s="25">
        <f>Inventory[[#This Row],[Nbhd Adj]]*0.95</f>
        <v>0.94971499999999998</v>
      </c>
      <c r="BM100" s="25">
        <f>Inventory[[#This Row],[Nbhd Adj]]*Inventory[[#This Row],[Quality Adj]]*Inventory[[#This Row],[Condition Adj]]*Inventory[[#This Row],[Living Area Adj]]*Inventory[[#This Row],[Decade Adj]]*0.95</f>
        <v>0.9837692152700912</v>
      </c>
      <c r="BN100" s="25">
        <f>ROUND(SUM(Inventory[[#This Row],[Mdl Qlty]:[Mdl WdDeck]])+Inventory[[#This Row],[Mdl Res Intercept]]*Inventory[[#This Row],[Res Adj ]],-2)</f>
        <v>255700</v>
      </c>
      <c r="BO100" s="25">
        <f>ROUND(Inventory[[#This Row],[25Det]]*Inventory[[#This Row],[Det/Nbhd Adj]],-2)</f>
        <v>13900</v>
      </c>
      <c r="BP100" s="25">
        <f>Inventory[[#This Row],[Adjusted Res]]+Inventory[[#This Row],[Adj Det ]]</f>
        <v>269600</v>
      </c>
      <c r="BQ100" s="25">
        <f>ROUND((Inventory[[#This Row],[Mdl Land Intercept]]+Inventory[[#This Row],[Mdl LnAcres]])*Inventory[[#This Row],[Det/Nbhd Adj]],-2)</f>
        <v>-32300</v>
      </c>
      <c r="BR100" s="25">
        <f>Inventory[[#This Row],[Adjusted Impr Total]]+Inventory[[#This Row],[Adjusted Land Total]]</f>
        <v>237300</v>
      </c>
      <c r="BS100" s="36">
        <f>IFERROR((Inventory[[#This Row],[Adjusted Impr Total]]-Inventory[[#This Row],[24Bldg]])/Inventory[[#This Row],[24Bldg]],0)</f>
        <v>0.57476635514018692</v>
      </c>
      <c r="BT100" s="36">
        <f>(Inventory[[#This Row],[Adjusted Land Total]]-Inventory[[#This Row],[24Lnd]])/Inventory[[#This Row],[24Lnd]]</f>
        <v>-2.0695364238410594</v>
      </c>
      <c r="BU100" s="36">
        <f>(Inventory[[#This Row],[Adjusted Total]]-Inventory[[#This Row],[24Final]])/Inventory[[#This Row],[24Final]]</f>
        <v>0.17825223435948362</v>
      </c>
    </row>
    <row r="101" spans="1:73" x14ac:dyDescent="0.3">
      <c r="A101" s="25">
        <v>2025</v>
      </c>
      <c r="B101" s="26" t="s">
        <v>561</v>
      </c>
      <c r="C101" s="26">
        <f>LN(Inventory[[#This Row],[Acres]])</f>
        <v>-3.912023005428146</v>
      </c>
      <c r="D101" s="25">
        <v>0.02</v>
      </c>
      <c r="E101" s="25">
        <v>1018</v>
      </c>
      <c r="F101" s="26" t="s">
        <v>537</v>
      </c>
      <c r="G101" s="26" t="s">
        <v>28</v>
      </c>
      <c r="H101" s="26" t="s">
        <v>349</v>
      </c>
      <c r="I101" s="26" t="s">
        <v>538</v>
      </c>
      <c r="J101" s="26" t="s">
        <v>551</v>
      </c>
      <c r="K101" s="26" t="s">
        <v>415</v>
      </c>
      <c r="L101" s="26" t="s">
        <v>351</v>
      </c>
      <c r="M101" s="26" t="s">
        <v>323</v>
      </c>
      <c r="N101" s="26">
        <v>40</v>
      </c>
      <c r="O101" s="26">
        <f>2024-Inventory[[#This Row],[YrBlt]]</f>
        <v>32</v>
      </c>
      <c r="P101" s="26">
        <f>2024-Inventory[[#This Row],[EffYr]]</f>
        <v>32</v>
      </c>
      <c r="Q101" s="25">
        <v>1992</v>
      </c>
      <c r="R101" s="25">
        <v>1992</v>
      </c>
      <c r="S101" s="25">
        <v>1018</v>
      </c>
      <c r="T101" s="27"/>
      <c r="U101" s="27"/>
      <c r="V101" s="27">
        <f>Inventory[[#This Row],[Bsmt]]-Inventory[[#This Row],[FnBsmt]]</f>
        <v>0</v>
      </c>
      <c r="W101" s="27"/>
      <c r="X101" s="27"/>
      <c r="Y101" s="27">
        <f>Inventory[[#This Row],[MainFn]]+Inventory[[#This Row],[UpprFn]]+Inventory[[#This Row],[FnBsmt]]+Inventory[[#This Row],[AddFn]]</f>
        <v>1018</v>
      </c>
      <c r="Z101" s="27">
        <v>1500</v>
      </c>
      <c r="AA101" s="25">
        <v>8</v>
      </c>
      <c r="AB101" s="31"/>
      <c r="AC101" s="27"/>
      <c r="AD101" s="27"/>
      <c r="AE101" s="27"/>
      <c r="AF101" s="27"/>
      <c r="AG101" s="27"/>
      <c r="AH101" s="27"/>
      <c r="AI101" s="25">
        <v>171667</v>
      </c>
      <c r="AJ101" s="25">
        <v>145917</v>
      </c>
      <c r="AK101" s="25">
        <v>14651</v>
      </c>
      <c r="AL101" s="25">
        <v>202400</v>
      </c>
      <c r="AM101" s="25">
        <v>30400</v>
      </c>
      <c r="AN101" s="25">
        <v>172000</v>
      </c>
      <c r="AO101" s="25">
        <v>0</v>
      </c>
      <c r="AP101" s="25">
        <f>Lookups!$B$56*0</f>
        <v>0</v>
      </c>
      <c r="AQ101" s="25">
        <f>Lookups!$B$56*1</f>
        <v>89850.625589999996</v>
      </c>
      <c r="AR101" s="25">
        <f>Lookups!$B$57*Inventory[[#This Row],[LnAcres]]</f>
        <v>-123833.58500677992</v>
      </c>
      <c r="AS101" s="25">
        <f>VLOOKUP(Inventory[[#This Row],[Qlty]],Lookups!$A$62:$E$75,2,FALSE)</f>
        <v>21557.329055999999</v>
      </c>
      <c r="AT101" s="25">
        <f>VLOOKUP(Inventory[[#This Row],[Cnd]],Lookups!$A$76:$E$84,2,FALSE)</f>
        <v>160472.20319</v>
      </c>
      <c r="AU101" s="25">
        <f>Inventory[[#This Row],[EffAge]]*Lookups!$B$85</f>
        <v>-7137.4592160000002</v>
      </c>
      <c r="AV101" s="25">
        <f>Inventory[[#This Row],[MainFn]]*Lookups!$B$86</f>
        <v>50298.025934786005</v>
      </c>
      <c r="AW101" s="25">
        <f>Inventory[[#This Row],[UpprFn]]*Lookups!$B$87</f>
        <v>0</v>
      </c>
      <c r="AX101" s="25">
        <f>Inventory[[#This Row],[AddFn]]*Lookups!$B$88</f>
        <v>0</v>
      </c>
      <c r="AY101" s="25">
        <f>Inventory[[#This Row],[Bsmt]]*Lookups!$B$89</f>
        <v>0</v>
      </c>
      <c r="AZ101" s="25">
        <f>Inventory[[#This Row],[Fixtures]]*Lookups!$B$90</f>
        <v>30336.176841600001</v>
      </c>
      <c r="BA101" s="25">
        <f>Inventory[[#This Row],[WdDeck]]*Lookups!$B$91</f>
        <v>0</v>
      </c>
      <c r="BB101" s="25">
        <f>ROUND(Inventory[[#This Row],[25Det]],-2)</f>
        <v>14700</v>
      </c>
      <c r="BC101" s="25">
        <f>ROUND(SUM(Inventory[[#This Row],[Mdl Qlty]:[Mdl WdDeck]])+Inventory[[#This Row],[Mdl Res Intercept]],-2)</f>
        <v>255500</v>
      </c>
      <c r="BD101" s="25">
        <f>ROUND(Inventory[[#This Row],[Mdl Land Intercept]]+Inventory[[#This Row],[Mdl LnAcres]],-2)</f>
        <v>-34000</v>
      </c>
      <c r="BE101" s="25">
        <f>Inventory[[#This Row],[Unadj Res Value]]+Inventory[[#This Row],[Unadj Det Value]]+Inventory[[#This Row],[Unadj Land Value]]</f>
        <v>236200</v>
      </c>
      <c r="BF101" s="36">
        <f>(Inventory[[#This Row],[Unadj Total Value]]-Inventory[[#This Row],[24Final]])/Inventory[[#This Row],[24Final]]</f>
        <v>0.16699604743083005</v>
      </c>
      <c r="BG101" s="25">
        <f>VLOOKUP(Inventory[[#This Row],[Nbhd]],Lookups!$Q$2:$T$4,4,FALSE)</f>
        <v>0.99970000000000003</v>
      </c>
      <c r="BH101" s="25">
        <f>VLOOKUP(Inventory[[#This Row],[Qlty]],Lookups!$O$7:$R$21,4,FALSE)</f>
        <v>1.0067999999999999</v>
      </c>
      <c r="BI101" s="25">
        <f>VLOOKUP(Inventory[[#This Row],[Cnd]],Lookups!$T$7:$W$16,4,FALSE)</f>
        <v>0.99729999999999996</v>
      </c>
      <c r="BJ101" s="25">
        <f>VLOOKUP(Inventory[[#This Row],[LivArea Range]],Lookups!$T$25:$W$37,4,FALSE)</f>
        <v>1.0157</v>
      </c>
      <c r="BK101" s="25">
        <f>VLOOKUP(Inventory[[#This Row],[Decade]],Lookups!$O$25:$R$42,4,FALSE)</f>
        <v>1.0157</v>
      </c>
      <c r="BL101" s="25">
        <f>Inventory[[#This Row],[Nbhd Adj]]*0.95</f>
        <v>0.94971499999999998</v>
      </c>
      <c r="BM101" s="25">
        <f>Inventory[[#This Row],[Nbhd Adj]]*Inventory[[#This Row],[Quality Adj]]*Inventory[[#This Row],[Condition Adj]]*Inventory[[#This Row],[Living Area Adj]]*Inventory[[#This Row],[Decade Adj]]*0.95</f>
        <v>0.9837692152700912</v>
      </c>
      <c r="BN101" s="25">
        <f>ROUND(SUM(Inventory[[#This Row],[Mdl Qlty]:[Mdl WdDeck]])+Inventory[[#This Row],[Mdl Res Intercept]]*Inventory[[#This Row],[Res Adj ]],-2)</f>
        <v>255500</v>
      </c>
      <c r="BO101" s="25">
        <f>ROUND(Inventory[[#This Row],[25Det]]*Inventory[[#This Row],[Det/Nbhd Adj]],-2)</f>
        <v>13900</v>
      </c>
      <c r="BP101" s="25">
        <f>Inventory[[#This Row],[Adjusted Res]]+Inventory[[#This Row],[Adj Det ]]</f>
        <v>269400</v>
      </c>
      <c r="BQ101" s="25">
        <f>ROUND((Inventory[[#This Row],[Mdl Land Intercept]]+Inventory[[#This Row],[Mdl LnAcres]])*Inventory[[#This Row],[Det/Nbhd Adj]],-2)</f>
        <v>-32300</v>
      </c>
      <c r="BR101" s="25">
        <f>Inventory[[#This Row],[Adjusted Impr Total]]+Inventory[[#This Row],[Adjusted Land Total]]</f>
        <v>237100</v>
      </c>
      <c r="BS101" s="36">
        <f>IFERROR((Inventory[[#This Row],[Adjusted Impr Total]]-Inventory[[#This Row],[24Bldg]])/Inventory[[#This Row],[24Bldg]],0)</f>
        <v>0.56627906976744191</v>
      </c>
      <c r="BT101" s="36">
        <f>(Inventory[[#This Row],[Adjusted Land Total]]-Inventory[[#This Row],[24Lnd]])/Inventory[[#This Row],[24Lnd]]</f>
        <v>-2.0625</v>
      </c>
      <c r="BU101" s="36">
        <f>(Inventory[[#This Row],[Adjusted Total]]-Inventory[[#This Row],[24Final]])/Inventory[[#This Row],[24Final]]</f>
        <v>0.17144268774703558</v>
      </c>
    </row>
    <row r="102" spans="1:73" x14ac:dyDescent="0.3">
      <c r="A102" s="25">
        <v>2025</v>
      </c>
      <c r="B102" s="26" t="s">
        <v>553</v>
      </c>
      <c r="C102" s="26">
        <f>LN(Inventory[[#This Row],[Acres]])</f>
        <v>-3.912023005428146</v>
      </c>
      <c r="D102" s="25">
        <v>0.02</v>
      </c>
      <c r="E102" s="25">
        <v>1018</v>
      </c>
      <c r="F102" s="26" t="s">
        <v>537</v>
      </c>
      <c r="G102" s="26" t="s">
        <v>28</v>
      </c>
      <c r="H102" s="26" t="s">
        <v>349</v>
      </c>
      <c r="I102" s="26" t="s">
        <v>538</v>
      </c>
      <c r="J102" s="26" t="s">
        <v>551</v>
      </c>
      <c r="K102" s="26" t="s">
        <v>415</v>
      </c>
      <c r="L102" s="26" t="s">
        <v>351</v>
      </c>
      <c r="M102" s="26" t="s">
        <v>323</v>
      </c>
      <c r="N102" s="26">
        <v>40</v>
      </c>
      <c r="O102" s="26">
        <f>2024-Inventory[[#This Row],[YrBlt]]</f>
        <v>32</v>
      </c>
      <c r="P102" s="26">
        <f>2024-Inventory[[#This Row],[EffYr]]</f>
        <v>32</v>
      </c>
      <c r="Q102" s="25">
        <v>1992</v>
      </c>
      <c r="R102" s="25">
        <v>1992</v>
      </c>
      <c r="S102" s="25">
        <v>1018</v>
      </c>
      <c r="T102" s="27"/>
      <c r="U102" s="31"/>
      <c r="V102" s="31">
        <f>Inventory[[#This Row],[Bsmt]]-Inventory[[#This Row],[FnBsmt]]</f>
        <v>0</v>
      </c>
      <c r="W102" s="31"/>
      <c r="X102" s="27"/>
      <c r="Y102" s="27">
        <f>Inventory[[#This Row],[MainFn]]+Inventory[[#This Row],[UpprFn]]+Inventory[[#This Row],[FnBsmt]]+Inventory[[#This Row],[AddFn]]</f>
        <v>1018</v>
      </c>
      <c r="Z102" s="27">
        <v>1500</v>
      </c>
      <c r="AA102" s="25">
        <v>5</v>
      </c>
      <c r="AB102" s="27"/>
      <c r="AC102" s="31"/>
      <c r="AD102" s="31"/>
      <c r="AE102" s="27"/>
      <c r="AF102" s="27"/>
      <c r="AG102" s="27"/>
      <c r="AH102" s="27"/>
      <c r="AI102" s="25">
        <v>163281</v>
      </c>
      <c r="AJ102" s="25">
        <v>138789</v>
      </c>
      <c r="AK102" s="25">
        <v>14651</v>
      </c>
      <c r="AL102" s="25">
        <v>193200</v>
      </c>
      <c r="AM102" s="25">
        <v>29000</v>
      </c>
      <c r="AN102" s="25">
        <v>164200</v>
      </c>
      <c r="AO102" s="25">
        <v>0</v>
      </c>
      <c r="AP102" s="25">
        <f>Lookups!$B$56*0</f>
        <v>0</v>
      </c>
      <c r="AQ102" s="25">
        <f>Lookups!$B$56*1</f>
        <v>89850.625589999996</v>
      </c>
      <c r="AR102" s="25">
        <f>Lookups!$B$57*Inventory[[#This Row],[LnAcres]]</f>
        <v>-123833.58500677992</v>
      </c>
      <c r="AS102" s="25">
        <f>VLOOKUP(Inventory[[#This Row],[Qlty]],Lookups!$A$62:$E$75,2,FALSE)</f>
        <v>21557.329055999999</v>
      </c>
      <c r="AT102" s="25">
        <f>VLOOKUP(Inventory[[#This Row],[Cnd]],Lookups!$A$76:$E$84,2,FALSE)</f>
        <v>160472.20319</v>
      </c>
      <c r="AU102" s="25">
        <f>Inventory[[#This Row],[EffAge]]*Lookups!$B$85</f>
        <v>-7137.4592160000002</v>
      </c>
      <c r="AV102" s="25">
        <f>Inventory[[#This Row],[MainFn]]*Lookups!$B$86</f>
        <v>50298.025934786005</v>
      </c>
      <c r="AW102" s="25">
        <f>Inventory[[#This Row],[UpprFn]]*Lookups!$B$87</f>
        <v>0</v>
      </c>
      <c r="AX102" s="25">
        <f>Inventory[[#This Row],[AddFn]]*Lookups!$B$88</f>
        <v>0</v>
      </c>
      <c r="AY102" s="25">
        <f>Inventory[[#This Row],[Bsmt]]*Lookups!$B$89</f>
        <v>0</v>
      </c>
      <c r="AZ102" s="25">
        <f>Inventory[[#This Row],[Fixtures]]*Lookups!$B$90</f>
        <v>18960.110526</v>
      </c>
      <c r="BA102" s="25">
        <f>Inventory[[#This Row],[WdDeck]]*Lookups!$B$91</f>
        <v>0</v>
      </c>
      <c r="BB102" s="25">
        <f>ROUND(Inventory[[#This Row],[25Det]],-2)</f>
        <v>14700</v>
      </c>
      <c r="BC102" s="25">
        <f>ROUND(SUM(Inventory[[#This Row],[Mdl Qlty]:[Mdl WdDeck]])+Inventory[[#This Row],[Mdl Res Intercept]],-2)</f>
        <v>244200</v>
      </c>
      <c r="BD102" s="25">
        <f>ROUND(Inventory[[#This Row],[Mdl Land Intercept]]+Inventory[[#This Row],[Mdl LnAcres]],-2)</f>
        <v>-34000</v>
      </c>
      <c r="BE102" s="25">
        <f>Inventory[[#This Row],[Unadj Res Value]]+Inventory[[#This Row],[Unadj Det Value]]+Inventory[[#This Row],[Unadj Land Value]]</f>
        <v>224900</v>
      </c>
      <c r="BF102" s="36">
        <f>(Inventory[[#This Row],[Unadj Total Value]]-Inventory[[#This Row],[24Final]])/Inventory[[#This Row],[24Final]]</f>
        <v>0.16407867494824016</v>
      </c>
      <c r="BG102" s="25">
        <f>VLOOKUP(Inventory[[#This Row],[Nbhd]],Lookups!$Q$2:$T$4,4,FALSE)</f>
        <v>0.99970000000000003</v>
      </c>
      <c r="BH102" s="25">
        <f>VLOOKUP(Inventory[[#This Row],[Qlty]],Lookups!$O$7:$R$21,4,FALSE)</f>
        <v>1.0067999999999999</v>
      </c>
      <c r="BI102" s="25">
        <f>VLOOKUP(Inventory[[#This Row],[Cnd]],Lookups!$T$7:$W$16,4,FALSE)</f>
        <v>0.99729999999999996</v>
      </c>
      <c r="BJ102" s="25">
        <f>VLOOKUP(Inventory[[#This Row],[LivArea Range]],Lookups!$T$25:$W$37,4,FALSE)</f>
        <v>1.0157</v>
      </c>
      <c r="BK102" s="25">
        <f>VLOOKUP(Inventory[[#This Row],[Decade]],Lookups!$O$25:$R$42,4,FALSE)</f>
        <v>1.0157</v>
      </c>
      <c r="BL102" s="25">
        <f>Inventory[[#This Row],[Nbhd Adj]]*0.95</f>
        <v>0.94971499999999998</v>
      </c>
      <c r="BM102" s="25">
        <f>Inventory[[#This Row],[Nbhd Adj]]*Inventory[[#This Row],[Quality Adj]]*Inventory[[#This Row],[Condition Adj]]*Inventory[[#This Row],[Living Area Adj]]*Inventory[[#This Row],[Decade Adj]]*0.95</f>
        <v>0.9837692152700912</v>
      </c>
      <c r="BN102" s="25">
        <f>ROUND(SUM(Inventory[[#This Row],[Mdl Qlty]:[Mdl WdDeck]])+Inventory[[#This Row],[Mdl Res Intercept]]*Inventory[[#This Row],[Res Adj ]],-2)</f>
        <v>244200</v>
      </c>
      <c r="BO102" s="25">
        <f>ROUND(Inventory[[#This Row],[25Det]]*Inventory[[#This Row],[Det/Nbhd Adj]],-2)</f>
        <v>13900</v>
      </c>
      <c r="BP102" s="25">
        <f>Inventory[[#This Row],[Adjusted Res]]+Inventory[[#This Row],[Adj Det ]]</f>
        <v>258100</v>
      </c>
      <c r="BQ102" s="25">
        <f>ROUND((Inventory[[#This Row],[Mdl Land Intercept]]+Inventory[[#This Row],[Mdl LnAcres]])*Inventory[[#This Row],[Det/Nbhd Adj]],-2)</f>
        <v>-32300</v>
      </c>
      <c r="BR102" s="25">
        <f>Inventory[[#This Row],[Adjusted Impr Total]]+Inventory[[#This Row],[Adjusted Land Total]]</f>
        <v>225800</v>
      </c>
      <c r="BS102" s="36">
        <f>IFERROR((Inventory[[#This Row],[Adjusted Impr Total]]-Inventory[[#This Row],[24Bldg]])/Inventory[[#This Row],[24Bldg]],0)</f>
        <v>0.57186358099878198</v>
      </c>
      <c r="BT102" s="36">
        <f>(Inventory[[#This Row],[Adjusted Land Total]]-Inventory[[#This Row],[24Lnd]])/Inventory[[#This Row],[24Lnd]]</f>
        <v>-2.113793103448276</v>
      </c>
      <c r="BU102" s="36">
        <f>(Inventory[[#This Row],[Adjusted Total]]-Inventory[[#This Row],[24Final]])/Inventory[[#This Row],[24Final]]</f>
        <v>0.16873706004140787</v>
      </c>
    </row>
    <row r="103" spans="1:73" x14ac:dyDescent="0.3">
      <c r="A103" s="25">
        <v>2025</v>
      </c>
      <c r="B103" s="26" t="s">
        <v>560</v>
      </c>
      <c r="C103" s="26">
        <f>LN(Inventory[[#This Row],[Acres]])</f>
        <v>-3.912023005428146</v>
      </c>
      <c r="D103" s="25">
        <v>0.02</v>
      </c>
      <c r="E103" s="25">
        <v>1022</v>
      </c>
      <c r="F103" s="26" t="s">
        <v>537</v>
      </c>
      <c r="G103" s="26" t="s">
        <v>28</v>
      </c>
      <c r="H103" s="26" t="s">
        <v>349</v>
      </c>
      <c r="I103" s="26" t="s">
        <v>538</v>
      </c>
      <c r="J103" s="26" t="s">
        <v>551</v>
      </c>
      <c r="K103" s="26" t="s">
        <v>415</v>
      </c>
      <c r="L103" s="26" t="s">
        <v>351</v>
      </c>
      <c r="M103" s="26" t="s">
        <v>323</v>
      </c>
      <c r="N103" s="26">
        <v>40</v>
      </c>
      <c r="O103" s="26">
        <f>2024-Inventory[[#This Row],[YrBlt]]</f>
        <v>32</v>
      </c>
      <c r="P103" s="26">
        <f>2024-Inventory[[#This Row],[EffYr]]</f>
        <v>32</v>
      </c>
      <c r="Q103" s="25">
        <v>1992</v>
      </c>
      <c r="R103" s="25">
        <v>1992</v>
      </c>
      <c r="S103" s="25">
        <v>1022</v>
      </c>
      <c r="T103" s="27"/>
      <c r="U103" s="31"/>
      <c r="V103" s="31">
        <f>Inventory[[#This Row],[Bsmt]]-Inventory[[#This Row],[FnBsmt]]</f>
        <v>0</v>
      </c>
      <c r="W103" s="31"/>
      <c r="X103" s="27"/>
      <c r="Y103" s="27">
        <f>Inventory[[#This Row],[MainFn]]+Inventory[[#This Row],[UpprFn]]+Inventory[[#This Row],[FnBsmt]]+Inventory[[#This Row],[AddFn]]</f>
        <v>1022</v>
      </c>
      <c r="Z103" s="27">
        <v>1500</v>
      </c>
      <c r="AA103" s="25">
        <v>8</v>
      </c>
      <c r="AB103" s="31"/>
      <c r="AC103" s="27"/>
      <c r="AD103" s="31"/>
      <c r="AE103" s="27"/>
      <c r="AF103" s="27"/>
      <c r="AG103" s="27"/>
      <c r="AH103" s="27"/>
      <c r="AI103" s="25">
        <v>172539</v>
      </c>
      <c r="AJ103" s="25">
        <v>146658</v>
      </c>
      <c r="AK103" s="25">
        <v>14651</v>
      </c>
      <c r="AL103" s="25">
        <v>203400</v>
      </c>
      <c r="AM103" s="25">
        <v>30500</v>
      </c>
      <c r="AN103" s="25">
        <v>172900</v>
      </c>
      <c r="AO103" s="25">
        <v>0</v>
      </c>
      <c r="AP103" s="25">
        <f>Lookups!$B$56*0</f>
        <v>0</v>
      </c>
      <c r="AQ103" s="25">
        <f>Lookups!$B$56*1</f>
        <v>89850.625589999996</v>
      </c>
      <c r="AR103" s="25">
        <f>Lookups!$B$57*Inventory[[#This Row],[LnAcres]]</f>
        <v>-123833.58500677992</v>
      </c>
      <c r="AS103" s="25">
        <f>VLOOKUP(Inventory[[#This Row],[Qlty]],Lookups!$A$62:$E$75,2,FALSE)</f>
        <v>21557.329055999999</v>
      </c>
      <c r="AT103" s="25">
        <f>VLOOKUP(Inventory[[#This Row],[Cnd]],Lookups!$A$76:$E$84,2,FALSE)</f>
        <v>160472.20319</v>
      </c>
      <c r="AU103" s="25">
        <f>Inventory[[#This Row],[EffAge]]*Lookups!$B$85</f>
        <v>-7137.4592160000002</v>
      </c>
      <c r="AV103" s="25">
        <f>Inventory[[#This Row],[MainFn]]*Lookups!$B$86</f>
        <v>50495.660614294</v>
      </c>
      <c r="AW103" s="25">
        <f>Inventory[[#This Row],[UpprFn]]*Lookups!$B$87</f>
        <v>0</v>
      </c>
      <c r="AX103" s="25">
        <f>Inventory[[#This Row],[AddFn]]*Lookups!$B$88</f>
        <v>0</v>
      </c>
      <c r="AY103" s="25">
        <f>Inventory[[#This Row],[Bsmt]]*Lookups!$B$89</f>
        <v>0</v>
      </c>
      <c r="AZ103" s="25">
        <f>Inventory[[#This Row],[Fixtures]]*Lookups!$B$90</f>
        <v>30336.176841600001</v>
      </c>
      <c r="BA103" s="25">
        <f>Inventory[[#This Row],[WdDeck]]*Lookups!$B$91</f>
        <v>0</v>
      </c>
      <c r="BB103" s="25">
        <f>ROUND(Inventory[[#This Row],[25Det]],-2)</f>
        <v>14700</v>
      </c>
      <c r="BC103" s="25">
        <f>ROUND(SUM(Inventory[[#This Row],[Mdl Qlty]:[Mdl WdDeck]])+Inventory[[#This Row],[Mdl Res Intercept]],-2)</f>
        <v>255700</v>
      </c>
      <c r="BD103" s="25">
        <f>ROUND(Inventory[[#This Row],[Mdl Land Intercept]]+Inventory[[#This Row],[Mdl LnAcres]],-2)</f>
        <v>-34000</v>
      </c>
      <c r="BE103" s="25">
        <f>Inventory[[#This Row],[Unadj Res Value]]+Inventory[[#This Row],[Unadj Det Value]]+Inventory[[#This Row],[Unadj Land Value]]</f>
        <v>236400</v>
      </c>
      <c r="BF103" s="36">
        <f>(Inventory[[#This Row],[Unadj Total Value]]-Inventory[[#This Row],[24Final]])/Inventory[[#This Row],[24Final]]</f>
        <v>0.16224188790560473</v>
      </c>
      <c r="BG103" s="25">
        <f>VLOOKUP(Inventory[[#This Row],[Nbhd]],Lookups!$Q$2:$T$4,4,FALSE)</f>
        <v>0.99970000000000003</v>
      </c>
      <c r="BH103" s="25">
        <f>VLOOKUP(Inventory[[#This Row],[Qlty]],Lookups!$O$7:$R$21,4,FALSE)</f>
        <v>1.0067999999999999</v>
      </c>
      <c r="BI103" s="25">
        <f>VLOOKUP(Inventory[[#This Row],[Cnd]],Lookups!$T$7:$W$16,4,FALSE)</f>
        <v>0.99729999999999996</v>
      </c>
      <c r="BJ103" s="25">
        <f>VLOOKUP(Inventory[[#This Row],[LivArea Range]],Lookups!$T$25:$W$37,4,FALSE)</f>
        <v>1.0157</v>
      </c>
      <c r="BK103" s="25">
        <f>VLOOKUP(Inventory[[#This Row],[Decade]],Lookups!$O$25:$R$42,4,FALSE)</f>
        <v>1.0157</v>
      </c>
      <c r="BL103" s="25">
        <f>Inventory[[#This Row],[Nbhd Adj]]*0.95</f>
        <v>0.94971499999999998</v>
      </c>
      <c r="BM103" s="25">
        <f>Inventory[[#This Row],[Nbhd Adj]]*Inventory[[#This Row],[Quality Adj]]*Inventory[[#This Row],[Condition Adj]]*Inventory[[#This Row],[Living Area Adj]]*Inventory[[#This Row],[Decade Adj]]*0.95</f>
        <v>0.9837692152700912</v>
      </c>
      <c r="BN103" s="25">
        <f>ROUND(SUM(Inventory[[#This Row],[Mdl Qlty]:[Mdl WdDeck]])+Inventory[[#This Row],[Mdl Res Intercept]]*Inventory[[#This Row],[Res Adj ]],-2)</f>
        <v>255700</v>
      </c>
      <c r="BO103" s="25">
        <f>ROUND(Inventory[[#This Row],[25Det]]*Inventory[[#This Row],[Det/Nbhd Adj]],-2)</f>
        <v>13900</v>
      </c>
      <c r="BP103" s="25">
        <f>Inventory[[#This Row],[Adjusted Res]]+Inventory[[#This Row],[Adj Det ]]</f>
        <v>269600</v>
      </c>
      <c r="BQ103" s="25">
        <f>ROUND((Inventory[[#This Row],[Mdl Land Intercept]]+Inventory[[#This Row],[Mdl LnAcres]])*Inventory[[#This Row],[Det/Nbhd Adj]],-2)</f>
        <v>-32300</v>
      </c>
      <c r="BR103" s="25">
        <f>Inventory[[#This Row],[Adjusted Impr Total]]+Inventory[[#This Row],[Adjusted Land Total]]</f>
        <v>237300</v>
      </c>
      <c r="BS103" s="36">
        <f>IFERROR((Inventory[[#This Row],[Adjusted Impr Total]]-Inventory[[#This Row],[24Bldg]])/Inventory[[#This Row],[24Bldg]],0)</f>
        <v>0.55928282244071714</v>
      </c>
      <c r="BT103" s="36">
        <f>(Inventory[[#This Row],[Adjusted Land Total]]-Inventory[[#This Row],[24Lnd]])/Inventory[[#This Row],[24Lnd]]</f>
        <v>-2.0590163934426231</v>
      </c>
      <c r="BU103" s="36">
        <f>(Inventory[[#This Row],[Adjusted Total]]-Inventory[[#This Row],[24Final]])/Inventory[[#This Row],[24Final]]</f>
        <v>0.16666666666666666</v>
      </c>
    </row>
    <row r="104" spans="1:73" x14ac:dyDescent="0.3">
      <c r="A104" s="25">
        <v>2025</v>
      </c>
      <c r="B104" s="26" t="s">
        <v>557</v>
      </c>
      <c r="C104" s="26">
        <f>LN(Inventory[[#This Row],[Acres]])</f>
        <v>-3.912023005428146</v>
      </c>
      <c r="D104" s="25">
        <v>0.02</v>
      </c>
      <c r="E104" s="25">
        <v>1021</v>
      </c>
      <c r="F104" s="26" t="s">
        <v>537</v>
      </c>
      <c r="G104" s="26" t="s">
        <v>28</v>
      </c>
      <c r="H104" s="26" t="s">
        <v>349</v>
      </c>
      <c r="I104" s="26" t="s">
        <v>538</v>
      </c>
      <c r="J104" s="26" t="s">
        <v>551</v>
      </c>
      <c r="K104" s="26" t="s">
        <v>415</v>
      </c>
      <c r="L104" s="26" t="s">
        <v>302</v>
      </c>
      <c r="M104" s="26" t="s">
        <v>323</v>
      </c>
      <c r="N104" s="26">
        <v>40</v>
      </c>
      <c r="O104" s="26">
        <f>2024-Inventory[[#This Row],[YrBlt]]</f>
        <v>32</v>
      </c>
      <c r="P104" s="26">
        <f>2024-Inventory[[#This Row],[EffYr]]</f>
        <v>32</v>
      </c>
      <c r="Q104" s="25">
        <v>1992</v>
      </c>
      <c r="R104" s="25">
        <v>1992</v>
      </c>
      <c r="S104" s="25">
        <v>1340</v>
      </c>
      <c r="T104" s="27"/>
      <c r="U104" s="31"/>
      <c r="V104" s="31">
        <f>Inventory[[#This Row],[Bsmt]]-Inventory[[#This Row],[FnBsmt]]</f>
        <v>0</v>
      </c>
      <c r="W104" s="31"/>
      <c r="X104" s="27"/>
      <c r="Y104" s="27">
        <f>Inventory[[#This Row],[MainFn]]+Inventory[[#This Row],[UpprFn]]+Inventory[[#This Row],[FnBsmt]]+Inventory[[#This Row],[AddFn]]</f>
        <v>1340</v>
      </c>
      <c r="Z104" s="27">
        <v>1500</v>
      </c>
      <c r="AA104" s="25">
        <v>11</v>
      </c>
      <c r="AB104" s="31"/>
      <c r="AC104" s="27"/>
      <c r="AD104" s="27"/>
      <c r="AE104" s="27"/>
      <c r="AF104" s="27"/>
      <c r="AG104" s="27"/>
      <c r="AH104" s="27"/>
      <c r="AI104" s="25">
        <v>251782</v>
      </c>
      <c r="AJ104" s="25">
        <v>214015</v>
      </c>
      <c r="AK104" s="25">
        <v>17291</v>
      </c>
      <c r="AL104" s="25">
        <v>245500</v>
      </c>
      <c r="AM104" s="25">
        <v>36800</v>
      </c>
      <c r="AN104" s="25">
        <v>208700</v>
      </c>
      <c r="AO104" s="25">
        <v>0</v>
      </c>
      <c r="AP104" s="25">
        <f>Lookups!$B$56*0</f>
        <v>0</v>
      </c>
      <c r="AQ104" s="25">
        <f>Lookups!$B$56*1</f>
        <v>89850.625589999996</v>
      </c>
      <c r="AR104" s="25">
        <f>Lookups!$B$57*Inventory[[#This Row],[LnAcres]]</f>
        <v>-123833.58500677992</v>
      </c>
      <c r="AS104" s="25">
        <f>VLOOKUP(Inventory[[#This Row],[Qlty]],Lookups!$A$62:$E$75,2,FALSE)</f>
        <v>29814.093161000001</v>
      </c>
      <c r="AT104" s="25">
        <f>VLOOKUP(Inventory[[#This Row],[Cnd]],Lookups!$A$76:$E$84,2,FALSE)</f>
        <v>160472.20319</v>
      </c>
      <c r="AU104" s="25">
        <f>Inventory[[#This Row],[EffAge]]*Lookups!$B$85</f>
        <v>-7137.4592160000002</v>
      </c>
      <c r="AV104" s="25">
        <f>Inventory[[#This Row],[MainFn]]*Lookups!$B$86</f>
        <v>66207.617635179995</v>
      </c>
      <c r="AW104" s="25">
        <f>Inventory[[#This Row],[UpprFn]]*Lookups!$B$87</f>
        <v>0</v>
      </c>
      <c r="AX104" s="25">
        <f>Inventory[[#This Row],[AddFn]]*Lookups!$B$88</f>
        <v>0</v>
      </c>
      <c r="AY104" s="25">
        <f>Inventory[[#This Row],[Bsmt]]*Lookups!$B$89</f>
        <v>0</v>
      </c>
      <c r="AZ104" s="25">
        <f>Inventory[[#This Row],[Fixtures]]*Lookups!$B$90</f>
        <v>41712.243157199999</v>
      </c>
      <c r="BA104" s="25">
        <f>Inventory[[#This Row],[WdDeck]]*Lookups!$B$91</f>
        <v>0</v>
      </c>
      <c r="BB104" s="25">
        <f>ROUND(Inventory[[#This Row],[25Det]],-2)</f>
        <v>17300</v>
      </c>
      <c r="BC104" s="25">
        <f>ROUND(SUM(Inventory[[#This Row],[Mdl Qlty]:[Mdl WdDeck]])+Inventory[[#This Row],[Mdl Res Intercept]],-2)</f>
        <v>291100</v>
      </c>
      <c r="BD104" s="25">
        <f>ROUND(Inventory[[#This Row],[Mdl Land Intercept]]+Inventory[[#This Row],[Mdl LnAcres]],-2)</f>
        <v>-34000</v>
      </c>
      <c r="BE104" s="25">
        <f>Inventory[[#This Row],[Unadj Res Value]]+Inventory[[#This Row],[Unadj Det Value]]+Inventory[[#This Row],[Unadj Land Value]]</f>
        <v>274400</v>
      </c>
      <c r="BF104" s="36">
        <f>(Inventory[[#This Row],[Unadj Total Value]]-Inventory[[#This Row],[24Final]])/Inventory[[#This Row],[24Final]]</f>
        <v>0.11771894093686354</v>
      </c>
      <c r="BG104" s="25">
        <f>VLOOKUP(Inventory[[#This Row],[Nbhd]],Lookups!$Q$2:$T$4,4,FALSE)</f>
        <v>0.99970000000000003</v>
      </c>
      <c r="BH104" s="25">
        <f>VLOOKUP(Inventory[[#This Row],[Qlty]],Lookups!$O$7:$R$21,4,FALSE)</f>
        <v>1.0088999999999999</v>
      </c>
      <c r="BI104" s="25">
        <f>VLOOKUP(Inventory[[#This Row],[Cnd]],Lookups!$T$7:$W$16,4,FALSE)</f>
        <v>0.99729999999999996</v>
      </c>
      <c r="BJ104" s="25">
        <f>VLOOKUP(Inventory[[#This Row],[LivArea Range]],Lookups!$T$25:$W$37,4,FALSE)</f>
        <v>1.0157</v>
      </c>
      <c r="BK104" s="25">
        <f>VLOOKUP(Inventory[[#This Row],[Decade]],Lookups!$O$25:$R$42,4,FALSE)</f>
        <v>1.0157</v>
      </c>
      <c r="BL104" s="25">
        <f>Inventory[[#This Row],[Nbhd Adj]]*0.95</f>
        <v>0.94971499999999998</v>
      </c>
      <c r="BM104" s="25">
        <f>Inventory[[#This Row],[Nbhd Adj]]*Inventory[[#This Row],[Quality Adj]]*Inventory[[#This Row],[Condition Adj]]*Inventory[[#This Row],[Living Area Adj]]*Inventory[[#This Row],[Decade Adj]]*0.95</f>
        <v>0.98582117728048768</v>
      </c>
      <c r="BN104" s="25">
        <f>ROUND(SUM(Inventory[[#This Row],[Mdl Qlty]:[Mdl WdDeck]])+Inventory[[#This Row],[Mdl Res Intercept]]*Inventory[[#This Row],[Res Adj ]],-2)</f>
        <v>291100</v>
      </c>
      <c r="BO104" s="25">
        <f>ROUND(Inventory[[#This Row],[25Det]]*Inventory[[#This Row],[Det/Nbhd Adj]],-2)</f>
        <v>16400</v>
      </c>
      <c r="BP104" s="25">
        <f>Inventory[[#This Row],[Adjusted Res]]+Inventory[[#This Row],[Adj Det ]]</f>
        <v>307500</v>
      </c>
      <c r="BQ104" s="25">
        <f>ROUND((Inventory[[#This Row],[Mdl Land Intercept]]+Inventory[[#This Row],[Mdl LnAcres]])*Inventory[[#This Row],[Det/Nbhd Adj]],-2)</f>
        <v>-32300</v>
      </c>
      <c r="BR104" s="25">
        <f>Inventory[[#This Row],[Adjusted Impr Total]]+Inventory[[#This Row],[Adjusted Land Total]]</f>
        <v>275200</v>
      </c>
      <c r="BS104" s="36">
        <f>IFERROR((Inventory[[#This Row],[Adjusted Impr Total]]-Inventory[[#This Row],[24Bldg]])/Inventory[[#This Row],[24Bldg]],0)</f>
        <v>0.47340680402491614</v>
      </c>
      <c r="BT104" s="36">
        <f>(Inventory[[#This Row],[Adjusted Land Total]]-Inventory[[#This Row],[24Lnd]])/Inventory[[#This Row],[24Lnd]]</f>
        <v>-1.8777173913043479</v>
      </c>
      <c r="BU104" s="36">
        <f>(Inventory[[#This Row],[Adjusted Total]]-Inventory[[#This Row],[24Final]])/Inventory[[#This Row],[24Final]]</f>
        <v>0.1209775967413442</v>
      </c>
    </row>
    <row r="105" spans="1:73" x14ac:dyDescent="0.3">
      <c r="A105" s="25">
        <v>2025</v>
      </c>
      <c r="B105" s="26" t="s">
        <v>556</v>
      </c>
      <c r="C105" s="26">
        <f>LN(Inventory[[#This Row],[Acres]])</f>
        <v>-3.912023005428146</v>
      </c>
      <c r="D105" s="25">
        <v>0.02</v>
      </c>
      <c r="E105" s="25">
        <v>1148</v>
      </c>
      <c r="F105" s="26" t="s">
        <v>537</v>
      </c>
      <c r="G105" s="26" t="s">
        <v>28</v>
      </c>
      <c r="H105" s="26" t="s">
        <v>349</v>
      </c>
      <c r="I105" s="26" t="s">
        <v>538</v>
      </c>
      <c r="J105" s="26" t="s">
        <v>551</v>
      </c>
      <c r="K105" s="26" t="s">
        <v>415</v>
      </c>
      <c r="L105" s="26" t="s">
        <v>351</v>
      </c>
      <c r="M105" s="26" t="s">
        <v>323</v>
      </c>
      <c r="N105" s="26">
        <v>40</v>
      </c>
      <c r="O105" s="26">
        <f>2024-Inventory[[#This Row],[YrBlt]]</f>
        <v>32</v>
      </c>
      <c r="P105" s="26">
        <f>2024-Inventory[[#This Row],[EffYr]]</f>
        <v>32</v>
      </c>
      <c r="Q105" s="25">
        <v>1992</v>
      </c>
      <c r="R105" s="25">
        <v>1992</v>
      </c>
      <c r="S105" s="25">
        <v>1148</v>
      </c>
      <c r="T105" s="27"/>
      <c r="U105" s="31"/>
      <c r="V105" s="27">
        <f>Inventory[[#This Row],[Bsmt]]-Inventory[[#This Row],[FnBsmt]]</f>
        <v>0</v>
      </c>
      <c r="W105" s="27"/>
      <c r="X105" s="27"/>
      <c r="Y105" s="27">
        <f>Inventory[[#This Row],[MainFn]]+Inventory[[#This Row],[UpprFn]]+Inventory[[#This Row],[FnBsmt]]+Inventory[[#This Row],[AddFn]]</f>
        <v>1148</v>
      </c>
      <c r="Z105" s="27">
        <v>1500</v>
      </c>
      <c r="AA105" s="25">
        <v>8</v>
      </c>
      <c r="AB105" s="27"/>
      <c r="AC105" s="27"/>
      <c r="AD105" s="27"/>
      <c r="AE105" s="27"/>
      <c r="AF105" s="27"/>
      <c r="AG105" s="27"/>
      <c r="AH105" s="27"/>
      <c r="AI105" s="25">
        <v>187685</v>
      </c>
      <c r="AJ105" s="25">
        <v>159532</v>
      </c>
      <c r="AK105" s="25">
        <v>14651</v>
      </c>
      <c r="AL105" s="25">
        <v>220000</v>
      </c>
      <c r="AM105" s="25">
        <v>33000</v>
      </c>
      <c r="AN105" s="25">
        <v>187000</v>
      </c>
      <c r="AO105" s="25">
        <v>0</v>
      </c>
      <c r="AP105" s="25">
        <f>Lookups!$B$56*0</f>
        <v>0</v>
      </c>
      <c r="AQ105" s="25">
        <f>Lookups!$B$56*1</f>
        <v>89850.625589999996</v>
      </c>
      <c r="AR105" s="25">
        <f>Lookups!$B$57*Inventory[[#This Row],[LnAcres]]</f>
        <v>-123833.58500677992</v>
      </c>
      <c r="AS105" s="25">
        <f>VLOOKUP(Inventory[[#This Row],[Qlty]],Lookups!$A$62:$E$75,2,FALSE)</f>
        <v>21557.329055999999</v>
      </c>
      <c r="AT105" s="25">
        <f>VLOOKUP(Inventory[[#This Row],[Cnd]],Lookups!$A$76:$E$84,2,FALSE)</f>
        <v>160472.20319</v>
      </c>
      <c r="AU105" s="25">
        <f>Inventory[[#This Row],[EffAge]]*Lookups!$B$85</f>
        <v>-7137.4592160000002</v>
      </c>
      <c r="AV105" s="25">
        <f>Inventory[[#This Row],[MainFn]]*Lookups!$B$86</f>
        <v>56721.153018796002</v>
      </c>
      <c r="AW105" s="25">
        <f>Inventory[[#This Row],[UpprFn]]*Lookups!$B$87</f>
        <v>0</v>
      </c>
      <c r="AX105" s="25">
        <f>Inventory[[#This Row],[AddFn]]*Lookups!$B$88</f>
        <v>0</v>
      </c>
      <c r="AY105" s="25">
        <f>Inventory[[#This Row],[Bsmt]]*Lookups!$B$89</f>
        <v>0</v>
      </c>
      <c r="AZ105" s="25">
        <f>Inventory[[#This Row],[Fixtures]]*Lookups!$B$90</f>
        <v>30336.176841600001</v>
      </c>
      <c r="BA105" s="25">
        <f>Inventory[[#This Row],[WdDeck]]*Lookups!$B$91</f>
        <v>0</v>
      </c>
      <c r="BB105" s="25">
        <f>ROUND(Inventory[[#This Row],[25Det]],-2)</f>
        <v>14700</v>
      </c>
      <c r="BC105" s="25">
        <f>ROUND(SUM(Inventory[[#This Row],[Mdl Qlty]:[Mdl WdDeck]])+Inventory[[#This Row],[Mdl Res Intercept]],-2)</f>
        <v>261900</v>
      </c>
      <c r="BD105" s="25">
        <f>ROUND(Inventory[[#This Row],[Mdl Land Intercept]]+Inventory[[#This Row],[Mdl LnAcres]],-2)</f>
        <v>-34000</v>
      </c>
      <c r="BE105" s="25">
        <f>Inventory[[#This Row],[Unadj Res Value]]+Inventory[[#This Row],[Unadj Det Value]]+Inventory[[#This Row],[Unadj Land Value]]</f>
        <v>242600</v>
      </c>
      <c r="BF105" s="36">
        <f>(Inventory[[#This Row],[Unadj Total Value]]-Inventory[[#This Row],[24Final]])/Inventory[[#This Row],[24Final]]</f>
        <v>0.10272727272727272</v>
      </c>
      <c r="BG105" s="25">
        <f>VLOOKUP(Inventory[[#This Row],[Nbhd]],Lookups!$Q$2:$T$4,4,FALSE)</f>
        <v>0.99970000000000003</v>
      </c>
      <c r="BH105" s="25">
        <f>VLOOKUP(Inventory[[#This Row],[Qlty]],Lookups!$O$7:$R$21,4,FALSE)</f>
        <v>1.0067999999999999</v>
      </c>
      <c r="BI105" s="25">
        <f>VLOOKUP(Inventory[[#This Row],[Cnd]],Lookups!$T$7:$W$16,4,FALSE)</f>
        <v>0.99729999999999996</v>
      </c>
      <c r="BJ105" s="25">
        <f>VLOOKUP(Inventory[[#This Row],[LivArea Range]],Lookups!$T$25:$W$37,4,FALSE)</f>
        <v>1.0157</v>
      </c>
      <c r="BK105" s="25">
        <f>VLOOKUP(Inventory[[#This Row],[Decade]],Lookups!$O$25:$R$42,4,FALSE)</f>
        <v>1.0157</v>
      </c>
      <c r="BL105" s="25">
        <f>Inventory[[#This Row],[Nbhd Adj]]*0.95</f>
        <v>0.94971499999999998</v>
      </c>
      <c r="BM105" s="25">
        <f>Inventory[[#This Row],[Nbhd Adj]]*Inventory[[#This Row],[Quality Adj]]*Inventory[[#This Row],[Condition Adj]]*Inventory[[#This Row],[Living Area Adj]]*Inventory[[#This Row],[Decade Adj]]*0.95</f>
        <v>0.9837692152700912</v>
      </c>
      <c r="BN105" s="25">
        <f>ROUND(SUM(Inventory[[#This Row],[Mdl Qlty]:[Mdl WdDeck]])+Inventory[[#This Row],[Mdl Res Intercept]]*Inventory[[#This Row],[Res Adj ]],-2)</f>
        <v>261900</v>
      </c>
      <c r="BO105" s="25">
        <f>ROUND(Inventory[[#This Row],[25Det]]*Inventory[[#This Row],[Det/Nbhd Adj]],-2)</f>
        <v>13900</v>
      </c>
      <c r="BP105" s="25">
        <f>Inventory[[#This Row],[Adjusted Res]]+Inventory[[#This Row],[Adj Det ]]</f>
        <v>275800</v>
      </c>
      <c r="BQ105" s="25">
        <f>ROUND((Inventory[[#This Row],[Mdl Land Intercept]]+Inventory[[#This Row],[Mdl LnAcres]])*Inventory[[#This Row],[Det/Nbhd Adj]],-2)</f>
        <v>-32300</v>
      </c>
      <c r="BR105" s="25">
        <f>Inventory[[#This Row],[Adjusted Impr Total]]+Inventory[[#This Row],[Adjusted Land Total]]</f>
        <v>243500</v>
      </c>
      <c r="BS105" s="36">
        <f>IFERROR((Inventory[[#This Row],[Adjusted Impr Total]]-Inventory[[#This Row],[24Bldg]])/Inventory[[#This Row],[24Bldg]],0)</f>
        <v>0.4748663101604278</v>
      </c>
      <c r="BT105" s="36">
        <f>(Inventory[[#This Row],[Adjusted Land Total]]-Inventory[[#This Row],[24Lnd]])/Inventory[[#This Row],[24Lnd]]</f>
        <v>-1.9787878787878788</v>
      </c>
      <c r="BU105" s="36">
        <f>(Inventory[[#This Row],[Adjusted Total]]-Inventory[[#This Row],[24Final]])/Inventory[[#This Row],[24Final]]</f>
        <v>0.10681818181818181</v>
      </c>
    </row>
    <row r="106" spans="1:73" x14ac:dyDescent="0.3">
      <c r="A106" s="25">
        <v>2025</v>
      </c>
      <c r="B106" s="26" t="s">
        <v>2446</v>
      </c>
      <c r="C106" s="26">
        <f>LN(Inventory[[#This Row],[Acres]])</f>
        <v>-1.5606477482646683</v>
      </c>
      <c r="D106" s="25">
        <v>0.21</v>
      </c>
      <c r="E106" s="25">
        <v>9082</v>
      </c>
      <c r="F106" s="26" t="s">
        <v>537</v>
      </c>
      <c r="G106" s="26" t="s">
        <v>126</v>
      </c>
      <c r="H106" s="26" t="s">
        <v>349</v>
      </c>
      <c r="I106" s="26" t="s">
        <v>538</v>
      </c>
      <c r="J106" s="26" t="s">
        <v>539</v>
      </c>
      <c r="K106" s="26" t="s">
        <v>241</v>
      </c>
      <c r="L106" s="26" t="s">
        <v>302</v>
      </c>
      <c r="M106" s="26" t="s">
        <v>303</v>
      </c>
      <c r="N106" s="26">
        <v>40</v>
      </c>
      <c r="O106" s="26">
        <f>2024-Inventory[[#This Row],[YrBlt]]</f>
        <v>32</v>
      </c>
      <c r="P106" s="26">
        <f>2024-Inventory[[#This Row],[EffYr]]</f>
        <v>32</v>
      </c>
      <c r="Q106" s="25">
        <v>1992</v>
      </c>
      <c r="R106" s="25">
        <v>1992</v>
      </c>
      <c r="S106" s="25">
        <v>1396</v>
      </c>
      <c r="T106" s="27"/>
      <c r="U106" s="27"/>
      <c r="V106" s="27">
        <f>Inventory[[#This Row],[Bsmt]]-Inventory[[#This Row],[FnBsmt]]</f>
        <v>0</v>
      </c>
      <c r="W106" s="27"/>
      <c r="X106" s="27"/>
      <c r="Y106" s="27">
        <f>Inventory[[#This Row],[MainFn]]+Inventory[[#This Row],[UpprFn]]+Inventory[[#This Row],[FnBsmt]]+Inventory[[#This Row],[AddFn]]</f>
        <v>1396</v>
      </c>
      <c r="Z106" s="27">
        <v>1500</v>
      </c>
      <c r="AA106" s="25">
        <v>8</v>
      </c>
      <c r="AB106" s="25">
        <v>400</v>
      </c>
      <c r="AC106" s="27"/>
      <c r="AD106" s="32">
        <v>284</v>
      </c>
      <c r="AE106" s="27"/>
      <c r="AF106" s="27"/>
      <c r="AG106" s="27"/>
      <c r="AH106" s="27"/>
      <c r="AI106" s="25">
        <v>283951</v>
      </c>
      <c r="AJ106" s="25">
        <v>244198</v>
      </c>
      <c r="AK106" s="25">
        <v>0</v>
      </c>
      <c r="AL106" s="25">
        <v>339700</v>
      </c>
      <c r="AM106" s="25">
        <v>60100</v>
      </c>
      <c r="AN106" s="25">
        <v>279600</v>
      </c>
      <c r="AO106" s="25">
        <v>0</v>
      </c>
      <c r="AP106" s="25">
        <f>Lookups!$B$56*0</f>
        <v>0</v>
      </c>
      <c r="AQ106" s="25">
        <f>Lookups!$B$56*1</f>
        <v>89850.625589999996</v>
      </c>
      <c r="AR106" s="25">
        <f>Lookups!$B$57*Inventory[[#This Row],[LnAcres]]</f>
        <v>-49401.70477837498</v>
      </c>
      <c r="AS106" s="25">
        <f>VLOOKUP(Inventory[[#This Row],[Qlty]],Lookups!$A$62:$E$75,2,FALSE)</f>
        <v>29814.093161000001</v>
      </c>
      <c r="AT106" s="25">
        <f>VLOOKUP(Inventory[[#This Row],[Cnd]],Lookups!$A$76:$E$84,2,FALSE)</f>
        <v>197752.34721000001</v>
      </c>
      <c r="AU106" s="25">
        <f>Inventory[[#This Row],[EffAge]]*Lookups!$B$85</f>
        <v>-7137.4592160000002</v>
      </c>
      <c r="AV106" s="25">
        <f>Inventory[[#This Row],[MainFn]]*Lookups!$B$86</f>
        <v>68974.503148292002</v>
      </c>
      <c r="AW106" s="25">
        <f>Inventory[[#This Row],[UpprFn]]*Lookups!$B$87</f>
        <v>0</v>
      </c>
      <c r="AX106" s="25">
        <f>Inventory[[#This Row],[AddFn]]*Lookups!$B$88</f>
        <v>0</v>
      </c>
      <c r="AY106" s="25">
        <f>Inventory[[#This Row],[Bsmt]]*Lookups!$B$89</f>
        <v>0</v>
      </c>
      <c r="AZ106" s="25">
        <f>Inventory[[#This Row],[Fixtures]]*Lookups!$B$90</f>
        <v>30336.176841600001</v>
      </c>
      <c r="BA106" s="25">
        <f>Inventory[[#This Row],[WdDeck]]*Lookups!$B$91</f>
        <v>9455.9263383840007</v>
      </c>
      <c r="BB106" s="25">
        <f>ROUND(Inventory[[#This Row],[25Det]],-2)</f>
        <v>0</v>
      </c>
      <c r="BC106" s="25">
        <f>ROUND(SUM(Inventory[[#This Row],[Mdl Qlty]:[Mdl WdDeck]])+Inventory[[#This Row],[Mdl Res Intercept]],-2)</f>
        <v>329200</v>
      </c>
      <c r="BD106" s="25">
        <f>ROUND(Inventory[[#This Row],[Mdl Land Intercept]]+Inventory[[#This Row],[Mdl LnAcres]],-2)</f>
        <v>40400</v>
      </c>
      <c r="BE106" s="25">
        <f>Inventory[[#This Row],[Unadj Res Value]]+Inventory[[#This Row],[Unadj Det Value]]+Inventory[[#This Row],[Unadj Land Value]]</f>
        <v>369600</v>
      </c>
      <c r="BF106" s="36">
        <f>(Inventory[[#This Row],[Unadj Total Value]]-Inventory[[#This Row],[24Final]])/Inventory[[#This Row],[24Final]]</f>
        <v>8.8018840153076247E-2</v>
      </c>
      <c r="BG106" s="25">
        <f>VLOOKUP(Inventory[[#This Row],[Nbhd]],Lookups!$Q$2:$T$4,4,FALSE)</f>
        <v>0.99970000000000003</v>
      </c>
      <c r="BH106" s="25">
        <f>VLOOKUP(Inventory[[#This Row],[Qlty]],Lookups!$O$7:$R$21,4,FALSE)</f>
        <v>1.0088999999999999</v>
      </c>
      <c r="BI106" s="25">
        <f>VLOOKUP(Inventory[[#This Row],[Cnd]],Lookups!$T$7:$W$16,4,FALSE)</f>
        <v>0.99650000000000005</v>
      </c>
      <c r="BJ106" s="25">
        <f>VLOOKUP(Inventory[[#This Row],[LivArea Range]],Lookups!$T$25:$W$37,4,FALSE)</f>
        <v>1.0157</v>
      </c>
      <c r="BK106" s="25">
        <f>VLOOKUP(Inventory[[#This Row],[Decade]],Lookups!$O$25:$R$42,4,FALSE)</f>
        <v>1.0157</v>
      </c>
      <c r="BL106" s="25">
        <f>Inventory[[#This Row],[Nbhd Adj]]*0.95</f>
        <v>0.94971499999999998</v>
      </c>
      <c r="BM106" s="25">
        <f>Inventory[[#This Row],[Nbhd Adj]]*Inventory[[#This Row],[Quality Adj]]*Inventory[[#This Row],[Condition Adj]]*Inventory[[#This Row],[Living Area Adj]]*Inventory[[#This Row],[Decade Adj]]*0.95</f>
        <v>0.98503038520004615</v>
      </c>
      <c r="BN106" s="25">
        <f>ROUND(SUM(Inventory[[#This Row],[Mdl Qlty]:[Mdl WdDeck]])+Inventory[[#This Row],[Mdl Res Intercept]]*Inventory[[#This Row],[Res Adj ]],-2)</f>
        <v>329200</v>
      </c>
      <c r="BO106" s="25">
        <f>ROUND(Inventory[[#This Row],[25Det]]*Inventory[[#This Row],[Det/Nbhd Adj]],-2)</f>
        <v>0</v>
      </c>
      <c r="BP106" s="25">
        <f>Inventory[[#This Row],[Adjusted Res]]+Inventory[[#This Row],[Adj Det ]]</f>
        <v>329200</v>
      </c>
      <c r="BQ106" s="25">
        <f>ROUND((Inventory[[#This Row],[Mdl Land Intercept]]+Inventory[[#This Row],[Mdl LnAcres]])*Inventory[[#This Row],[Det/Nbhd Adj]],-2)</f>
        <v>38400</v>
      </c>
      <c r="BR106" s="25">
        <f>Inventory[[#This Row],[Adjusted Impr Total]]+Inventory[[#This Row],[Adjusted Land Total]]</f>
        <v>367600</v>
      </c>
      <c r="BS106" s="36">
        <f>IFERROR((Inventory[[#This Row],[Adjusted Impr Total]]-Inventory[[#This Row],[24Bldg]])/Inventory[[#This Row],[24Bldg]],0)</f>
        <v>0.17739628040057226</v>
      </c>
      <c r="BT106" s="36">
        <f>(Inventory[[#This Row],[Adjusted Land Total]]-Inventory[[#This Row],[24Lnd]])/Inventory[[#This Row],[24Lnd]]</f>
        <v>-0.36106489184692181</v>
      </c>
      <c r="BU106" s="36">
        <f>(Inventory[[#This Row],[Adjusted Total]]-Inventory[[#This Row],[24Final]])/Inventory[[#This Row],[24Final]]</f>
        <v>8.2131292316750079E-2</v>
      </c>
    </row>
    <row r="107" spans="1:73" x14ac:dyDescent="0.3">
      <c r="A107" s="25">
        <v>2025</v>
      </c>
      <c r="B107" s="26" t="s">
        <v>555</v>
      </c>
      <c r="C107" s="26">
        <f>LN(Inventory[[#This Row],[Acres]])</f>
        <v>-3.5065578973199818</v>
      </c>
      <c r="D107" s="25">
        <v>0.03</v>
      </c>
      <c r="E107" s="25">
        <v>1469</v>
      </c>
      <c r="F107" s="26" t="s">
        <v>537</v>
      </c>
      <c r="G107" s="26" t="s">
        <v>28</v>
      </c>
      <c r="H107" s="26" t="s">
        <v>349</v>
      </c>
      <c r="I107" s="26" t="s">
        <v>538</v>
      </c>
      <c r="J107" s="26" t="s">
        <v>551</v>
      </c>
      <c r="K107" s="26" t="s">
        <v>381</v>
      </c>
      <c r="L107" s="26" t="s">
        <v>351</v>
      </c>
      <c r="M107" s="26" t="s">
        <v>323</v>
      </c>
      <c r="N107" s="26">
        <v>40</v>
      </c>
      <c r="O107" s="26">
        <f>2024-Inventory[[#This Row],[YrBlt]]</f>
        <v>32</v>
      </c>
      <c r="P107" s="26">
        <f>2024-Inventory[[#This Row],[EffYr]]</f>
        <v>32</v>
      </c>
      <c r="Q107" s="25">
        <v>1992</v>
      </c>
      <c r="R107" s="25">
        <v>1992</v>
      </c>
      <c r="S107" s="25">
        <v>1288</v>
      </c>
      <c r="T107" s="27"/>
      <c r="U107" s="27"/>
      <c r="V107" s="27">
        <f>Inventory[[#This Row],[Bsmt]]-Inventory[[#This Row],[FnBsmt]]</f>
        <v>0</v>
      </c>
      <c r="W107" s="27"/>
      <c r="X107" s="27"/>
      <c r="Y107" s="27">
        <f>Inventory[[#This Row],[MainFn]]+Inventory[[#This Row],[UpprFn]]+Inventory[[#This Row],[FnBsmt]]+Inventory[[#This Row],[AddFn]]</f>
        <v>1288</v>
      </c>
      <c r="Z107" s="27">
        <v>1500</v>
      </c>
      <c r="AA107" s="25">
        <v>8</v>
      </c>
      <c r="AB107" s="27"/>
      <c r="AC107" s="27"/>
      <c r="AD107" s="27"/>
      <c r="AE107" s="27"/>
      <c r="AF107" s="27"/>
      <c r="AG107" s="27"/>
      <c r="AH107" s="27"/>
      <c r="AI107" s="25">
        <v>208756</v>
      </c>
      <c r="AJ107" s="25">
        <v>177443</v>
      </c>
      <c r="AK107" s="25">
        <v>22551</v>
      </c>
      <c r="AL107" s="25">
        <v>250500</v>
      </c>
      <c r="AM107" s="25">
        <v>37600</v>
      </c>
      <c r="AN107" s="25">
        <v>212900</v>
      </c>
      <c r="AO107" s="25">
        <v>0</v>
      </c>
      <c r="AP107" s="25">
        <f>Lookups!$B$56*0</f>
        <v>0</v>
      </c>
      <c r="AQ107" s="25">
        <f>Lookups!$B$56*1</f>
        <v>89850.625589999996</v>
      </c>
      <c r="AR107" s="25">
        <f>Lookups!$B$57*Inventory[[#This Row],[LnAcres]]</f>
        <v>-110998.74281323297</v>
      </c>
      <c r="AS107" s="25">
        <f>VLOOKUP(Inventory[[#This Row],[Qlty]],Lookups!$A$62:$E$75,2,FALSE)</f>
        <v>21557.329055999999</v>
      </c>
      <c r="AT107" s="25">
        <f>VLOOKUP(Inventory[[#This Row],[Cnd]],Lookups!$A$76:$E$84,2,FALSE)</f>
        <v>160472.20319</v>
      </c>
      <c r="AU107" s="25">
        <f>Inventory[[#This Row],[EffAge]]*Lookups!$B$85</f>
        <v>-7137.4592160000002</v>
      </c>
      <c r="AV107" s="25">
        <f>Inventory[[#This Row],[MainFn]]*Lookups!$B$86</f>
        <v>63638.366801576005</v>
      </c>
      <c r="AW107" s="25">
        <f>Inventory[[#This Row],[UpprFn]]*Lookups!$B$87</f>
        <v>0</v>
      </c>
      <c r="AX107" s="25">
        <f>Inventory[[#This Row],[AddFn]]*Lookups!$B$88</f>
        <v>0</v>
      </c>
      <c r="AY107" s="25">
        <f>Inventory[[#This Row],[Bsmt]]*Lookups!$B$89</f>
        <v>0</v>
      </c>
      <c r="AZ107" s="25">
        <f>Inventory[[#This Row],[Fixtures]]*Lookups!$B$90</f>
        <v>30336.176841600001</v>
      </c>
      <c r="BA107" s="25">
        <f>Inventory[[#This Row],[WdDeck]]*Lookups!$B$91</f>
        <v>0</v>
      </c>
      <c r="BB107" s="25">
        <f>ROUND(Inventory[[#This Row],[25Det]],-2)</f>
        <v>22600</v>
      </c>
      <c r="BC107" s="25">
        <f>ROUND(SUM(Inventory[[#This Row],[Mdl Qlty]:[Mdl WdDeck]])+Inventory[[#This Row],[Mdl Res Intercept]],-2)</f>
        <v>268900</v>
      </c>
      <c r="BD107" s="25">
        <f>ROUND(Inventory[[#This Row],[Mdl Land Intercept]]+Inventory[[#This Row],[Mdl LnAcres]],-2)</f>
        <v>-21100</v>
      </c>
      <c r="BE107" s="25">
        <f>Inventory[[#This Row],[Unadj Res Value]]+Inventory[[#This Row],[Unadj Det Value]]+Inventory[[#This Row],[Unadj Land Value]]</f>
        <v>270400</v>
      </c>
      <c r="BF107" s="36">
        <f>(Inventory[[#This Row],[Unadj Total Value]]-Inventory[[#This Row],[24Final]])/Inventory[[#This Row],[24Final]]</f>
        <v>7.9441117764471061E-2</v>
      </c>
      <c r="BG107" s="25">
        <f>VLOOKUP(Inventory[[#This Row],[Nbhd]],Lookups!$Q$2:$T$4,4,FALSE)</f>
        <v>0.99970000000000003</v>
      </c>
      <c r="BH107" s="25">
        <f>VLOOKUP(Inventory[[#This Row],[Qlty]],Lookups!$O$7:$R$21,4,FALSE)</f>
        <v>1.0067999999999999</v>
      </c>
      <c r="BI107" s="25">
        <f>VLOOKUP(Inventory[[#This Row],[Cnd]],Lookups!$T$7:$W$16,4,FALSE)</f>
        <v>0.99729999999999996</v>
      </c>
      <c r="BJ107" s="25">
        <f>VLOOKUP(Inventory[[#This Row],[LivArea Range]],Lookups!$T$25:$W$37,4,FALSE)</f>
        <v>1.0157</v>
      </c>
      <c r="BK107" s="25">
        <f>VLOOKUP(Inventory[[#This Row],[Decade]],Lookups!$O$25:$R$42,4,FALSE)</f>
        <v>1.0157</v>
      </c>
      <c r="BL107" s="25">
        <f>Inventory[[#This Row],[Nbhd Adj]]*0.95</f>
        <v>0.94971499999999998</v>
      </c>
      <c r="BM107" s="25">
        <f>Inventory[[#This Row],[Nbhd Adj]]*Inventory[[#This Row],[Quality Adj]]*Inventory[[#This Row],[Condition Adj]]*Inventory[[#This Row],[Living Area Adj]]*Inventory[[#This Row],[Decade Adj]]*0.95</f>
        <v>0.9837692152700912</v>
      </c>
      <c r="BN107" s="25">
        <f>ROUND(SUM(Inventory[[#This Row],[Mdl Qlty]:[Mdl WdDeck]])+Inventory[[#This Row],[Mdl Res Intercept]]*Inventory[[#This Row],[Res Adj ]],-2)</f>
        <v>268900</v>
      </c>
      <c r="BO107" s="25">
        <f>ROUND(Inventory[[#This Row],[25Det]]*Inventory[[#This Row],[Det/Nbhd Adj]],-2)</f>
        <v>21400</v>
      </c>
      <c r="BP107" s="25">
        <f>Inventory[[#This Row],[Adjusted Res]]+Inventory[[#This Row],[Adj Det ]]</f>
        <v>290300</v>
      </c>
      <c r="BQ107" s="25">
        <f>ROUND((Inventory[[#This Row],[Mdl Land Intercept]]+Inventory[[#This Row],[Mdl LnAcres]])*Inventory[[#This Row],[Det/Nbhd Adj]],-2)</f>
        <v>-20100</v>
      </c>
      <c r="BR107" s="25">
        <f>Inventory[[#This Row],[Adjusted Impr Total]]+Inventory[[#This Row],[Adjusted Land Total]]</f>
        <v>270200</v>
      </c>
      <c r="BS107" s="36">
        <f>IFERROR((Inventory[[#This Row],[Adjusted Impr Total]]-Inventory[[#This Row],[24Bldg]])/Inventory[[#This Row],[24Bldg]],0)</f>
        <v>0.36355096289337718</v>
      </c>
      <c r="BT107" s="36">
        <f>(Inventory[[#This Row],[Adjusted Land Total]]-Inventory[[#This Row],[24Lnd]])/Inventory[[#This Row],[24Lnd]]</f>
        <v>-1.5345744680851063</v>
      </c>
      <c r="BU107" s="36">
        <f>(Inventory[[#This Row],[Adjusted Total]]-Inventory[[#This Row],[24Final]])/Inventory[[#This Row],[24Final]]</f>
        <v>7.864271457085828E-2</v>
      </c>
    </row>
    <row r="108" spans="1:73" x14ac:dyDescent="0.3">
      <c r="A108" s="25">
        <v>2025</v>
      </c>
      <c r="B108" s="26" t="s">
        <v>550</v>
      </c>
      <c r="C108" s="26">
        <f>LN(Inventory[[#This Row],[Acres]])</f>
        <v>-3.5065578973199818</v>
      </c>
      <c r="D108" s="25">
        <v>0.03</v>
      </c>
      <c r="E108" s="25">
        <v>1464</v>
      </c>
      <c r="F108" s="26" t="s">
        <v>537</v>
      </c>
      <c r="G108" s="26" t="s">
        <v>28</v>
      </c>
      <c r="H108" s="26" t="s">
        <v>349</v>
      </c>
      <c r="I108" s="26" t="s">
        <v>538</v>
      </c>
      <c r="J108" s="26" t="s">
        <v>551</v>
      </c>
      <c r="K108" s="26" t="s">
        <v>381</v>
      </c>
      <c r="L108" s="26" t="s">
        <v>351</v>
      </c>
      <c r="M108" s="26" t="s">
        <v>323</v>
      </c>
      <c r="N108" s="26">
        <v>40</v>
      </c>
      <c r="O108" s="26">
        <f>2024-Inventory[[#This Row],[YrBlt]]</f>
        <v>32</v>
      </c>
      <c r="P108" s="26">
        <f>2024-Inventory[[#This Row],[EffYr]]</f>
        <v>32</v>
      </c>
      <c r="Q108" s="25">
        <v>1992</v>
      </c>
      <c r="R108" s="25">
        <v>1992</v>
      </c>
      <c r="S108" s="25">
        <v>1464</v>
      </c>
      <c r="T108" s="27"/>
      <c r="U108" s="27"/>
      <c r="V108" s="27">
        <f>Inventory[[#This Row],[Bsmt]]-Inventory[[#This Row],[FnBsmt]]</f>
        <v>0</v>
      </c>
      <c r="W108" s="27"/>
      <c r="X108" s="27"/>
      <c r="Y108" s="27">
        <f>Inventory[[#This Row],[MainFn]]+Inventory[[#This Row],[UpprFn]]+Inventory[[#This Row],[FnBsmt]]+Inventory[[#This Row],[AddFn]]</f>
        <v>1464</v>
      </c>
      <c r="Z108" s="27">
        <v>1500</v>
      </c>
      <c r="AA108" s="25">
        <v>8</v>
      </c>
      <c r="AB108" s="27"/>
      <c r="AC108" s="27"/>
      <c r="AD108" s="27"/>
      <c r="AE108" s="27"/>
      <c r="AF108" s="27"/>
      <c r="AG108" s="27"/>
      <c r="AH108" s="27"/>
      <c r="AI108" s="25">
        <v>231645</v>
      </c>
      <c r="AJ108" s="25">
        <v>196898</v>
      </c>
      <c r="AK108" s="25">
        <v>37815</v>
      </c>
      <c r="AL108" s="25">
        <v>278400</v>
      </c>
      <c r="AM108" s="25">
        <v>41800</v>
      </c>
      <c r="AN108" s="25">
        <v>236600</v>
      </c>
      <c r="AO108" s="25">
        <v>0</v>
      </c>
      <c r="AP108" s="25">
        <f>Lookups!$B$56*0</f>
        <v>0</v>
      </c>
      <c r="AQ108" s="25">
        <f>Lookups!$B$56*1</f>
        <v>89850.625589999996</v>
      </c>
      <c r="AR108" s="25">
        <f>Lookups!$B$57*Inventory[[#This Row],[LnAcres]]</f>
        <v>-110998.74281323297</v>
      </c>
      <c r="AS108" s="25">
        <f>VLOOKUP(Inventory[[#This Row],[Qlty]],Lookups!$A$62:$E$75,2,FALSE)</f>
        <v>21557.329055999999</v>
      </c>
      <c r="AT108" s="25">
        <f>VLOOKUP(Inventory[[#This Row],[Cnd]],Lookups!$A$76:$E$84,2,FALSE)</f>
        <v>160472.20319</v>
      </c>
      <c r="AU108" s="25">
        <f>Inventory[[#This Row],[EffAge]]*Lookups!$B$85</f>
        <v>-7137.4592160000002</v>
      </c>
      <c r="AV108" s="25">
        <f>Inventory[[#This Row],[MainFn]]*Lookups!$B$86</f>
        <v>72334.292699928003</v>
      </c>
      <c r="AW108" s="25">
        <f>Inventory[[#This Row],[UpprFn]]*Lookups!$B$87</f>
        <v>0</v>
      </c>
      <c r="AX108" s="25">
        <f>Inventory[[#This Row],[AddFn]]*Lookups!$B$88</f>
        <v>0</v>
      </c>
      <c r="AY108" s="25">
        <f>Inventory[[#This Row],[Bsmt]]*Lookups!$B$89</f>
        <v>0</v>
      </c>
      <c r="AZ108" s="25">
        <f>Inventory[[#This Row],[Fixtures]]*Lookups!$B$90</f>
        <v>30336.176841600001</v>
      </c>
      <c r="BA108" s="25">
        <f>Inventory[[#This Row],[WdDeck]]*Lookups!$B$91</f>
        <v>0</v>
      </c>
      <c r="BB108" s="25">
        <f>ROUND(Inventory[[#This Row],[25Det]],-2)</f>
        <v>37800</v>
      </c>
      <c r="BC108" s="25">
        <f>ROUND(SUM(Inventory[[#This Row],[Mdl Qlty]:[Mdl WdDeck]])+Inventory[[#This Row],[Mdl Res Intercept]],-2)</f>
        <v>277600</v>
      </c>
      <c r="BD108" s="25">
        <f>ROUND(Inventory[[#This Row],[Mdl Land Intercept]]+Inventory[[#This Row],[Mdl LnAcres]],-2)</f>
        <v>-21100</v>
      </c>
      <c r="BE108" s="25">
        <f>Inventory[[#This Row],[Unadj Res Value]]+Inventory[[#This Row],[Unadj Det Value]]+Inventory[[#This Row],[Unadj Land Value]]</f>
        <v>294300</v>
      </c>
      <c r="BF108" s="36">
        <f>(Inventory[[#This Row],[Unadj Total Value]]-Inventory[[#This Row],[24Final]])/Inventory[[#This Row],[24Final]]</f>
        <v>5.7112068965517244E-2</v>
      </c>
      <c r="BG108" s="25">
        <f>VLOOKUP(Inventory[[#This Row],[Nbhd]],Lookups!$Q$2:$T$4,4,FALSE)</f>
        <v>0.99970000000000003</v>
      </c>
      <c r="BH108" s="25">
        <f>VLOOKUP(Inventory[[#This Row],[Qlty]],Lookups!$O$7:$R$21,4,FALSE)</f>
        <v>1.0067999999999999</v>
      </c>
      <c r="BI108" s="25">
        <f>VLOOKUP(Inventory[[#This Row],[Cnd]],Lookups!$T$7:$W$16,4,FALSE)</f>
        <v>0.99729999999999996</v>
      </c>
      <c r="BJ108" s="25">
        <f>VLOOKUP(Inventory[[#This Row],[LivArea Range]],Lookups!$T$25:$W$37,4,FALSE)</f>
        <v>1.0157</v>
      </c>
      <c r="BK108" s="25">
        <f>VLOOKUP(Inventory[[#This Row],[Decade]],Lookups!$O$25:$R$42,4,FALSE)</f>
        <v>1.0157</v>
      </c>
      <c r="BL108" s="25">
        <f>Inventory[[#This Row],[Nbhd Adj]]*0.95</f>
        <v>0.94971499999999998</v>
      </c>
      <c r="BM108" s="25">
        <f>Inventory[[#This Row],[Nbhd Adj]]*Inventory[[#This Row],[Quality Adj]]*Inventory[[#This Row],[Condition Adj]]*Inventory[[#This Row],[Living Area Adj]]*Inventory[[#This Row],[Decade Adj]]*0.95</f>
        <v>0.9837692152700912</v>
      </c>
      <c r="BN108" s="25">
        <f>ROUND(SUM(Inventory[[#This Row],[Mdl Qlty]:[Mdl WdDeck]])+Inventory[[#This Row],[Mdl Res Intercept]]*Inventory[[#This Row],[Res Adj ]],-2)</f>
        <v>277600</v>
      </c>
      <c r="BO108" s="25">
        <f>ROUND(Inventory[[#This Row],[25Det]]*Inventory[[#This Row],[Det/Nbhd Adj]],-2)</f>
        <v>35900</v>
      </c>
      <c r="BP108" s="25">
        <f>Inventory[[#This Row],[Adjusted Res]]+Inventory[[#This Row],[Adj Det ]]</f>
        <v>313500</v>
      </c>
      <c r="BQ108" s="25">
        <f>ROUND((Inventory[[#This Row],[Mdl Land Intercept]]+Inventory[[#This Row],[Mdl LnAcres]])*Inventory[[#This Row],[Det/Nbhd Adj]],-2)</f>
        <v>-20100</v>
      </c>
      <c r="BR108" s="25">
        <f>Inventory[[#This Row],[Adjusted Impr Total]]+Inventory[[#This Row],[Adjusted Land Total]]</f>
        <v>293400</v>
      </c>
      <c r="BS108" s="36">
        <f>IFERROR((Inventory[[#This Row],[Adjusted Impr Total]]-Inventory[[#This Row],[24Bldg]])/Inventory[[#This Row],[24Bldg]],0)</f>
        <v>0.32502113271344041</v>
      </c>
      <c r="BT108" s="36">
        <f>(Inventory[[#This Row],[Adjusted Land Total]]-Inventory[[#This Row],[24Lnd]])/Inventory[[#This Row],[24Lnd]]</f>
        <v>-1.4808612440191387</v>
      </c>
      <c r="BU108" s="36">
        <f>(Inventory[[#This Row],[Adjusted Total]]-Inventory[[#This Row],[24Final]])/Inventory[[#This Row],[24Final]]</f>
        <v>5.3879310344827583E-2</v>
      </c>
    </row>
    <row r="109" spans="1:73" x14ac:dyDescent="0.3">
      <c r="A109" s="25">
        <v>2025</v>
      </c>
      <c r="B109" s="26" t="s">
        <v>554</v>
      </c>
      <c r="C109" s="26">
        <f>LN(Inventory[[#This Row],[Acres]])</f>
        <v>-3.5065578973199818</v>
      </c>
      <c r="D109" s="25">
        <v>0.03</v>
      </c>
      <c r="E109" s="25">
        <v>1382</v>
      </c>
      <c r="F109" s="26" t="s">
        <v>537</v>
      </c>
      <c r="G109" s="26" t="s">
        <v>28</v>
      </c>
      <c r="H109" s="26" t="s">
        <v>349</v>
      </c>
      <c r="I109" s="26" t="s">
        <v>538</v>
      </c>
      <c r="J109" s="26" t="s">
        <v>551</v>
      </c>
      <c r="K109" s="26" t="s">
        <v>381</v>
      </c>
      <c r="L109" s="26" t="s">
        <v>351</v>
      </c>
      <c r="M109" s="26" t="s">
        <v>323</v>
      </c>
      <c r="N109" s="26">
        <v>40</v>
      </c>
      <c r="O109" s="26">
        <f>2024-Inventory[[#This Row],[YrBlt]]</f>
        <v>32</v>
      </c>
      <c r="P109" s="26">
        <f>2024-Inventory[[#This Row],[EffYr]]</f>
        <v>32</v>
      </c>
      <c r="Q109" s="25">
        <v>1992</v>
      </c>
      <c r="R109" s="25">
        <v>1992</v>
      </c>
      <c r="S109" s="25">
        <v>1464</v>
      </c>
      <c r="T109" s="27"/>
      <c r="U109" s="27"/>
      <c r="V109" s="27">
        <f>Inventory[[#This Row],[Bsmt]]-Inventory[[#This Row],[FnBsmt]]</f>
        <v>0</v>
      </c>
      <c r="W109" s="27"/>
      <c r="X109" s="27"/>
      <c r="Y109" s="27">
        <f>Inventory[[#This Row],[MainFn]]+Inventory[[#This Row],[UpprFn]]+Inventory[[#This Row],[FnBsmt]]+Inventory[[#This Row],[AddFn]]</f>
        <v>1464</v>
      </c>
      <c r="Z109" s="27">
        <v>1500</v>
      </c>
      <c r="AA109" s="25">
        <v>8</v>
      </c>
      <c r="AB109" s="31"/>
      <c r="AC109" s="27"/>
      <c r="AD109" s="27"/>
      <c r="AE109" s="27"/>
      <c r="AF109" s="27"/>
      <c r="AG109" s="27"/>
      <c r="AH109" s="27"/>
      <c r="AI109" s="25">
        <v>229423</v>
      </c>
      <c r="AJ109" s="25">
        <v>195010</v>
      </c>
      <c r="AK109" s="25">
        <v>22551</v>
      </c>
      <c r="AL109" s="25">
        <v>273200</v>
      </c>
      <c r="AM109" s="25">
        <v>41000</v>
      </c>
      <c r="AN109" s="25">
        <v>232200</v>
      </c>
      <c r="AO109" s="25">
        <v>0</v>
      </c>
      <c r="AP109" s="25">
        <f>Lookups!$B$56*0</f>
        <v>0</v>
      </c>
      <c r="AQ109" s="25">
        <f>Lookups!$B$56*1</f>
        <v>89850.625589999996</v>
      </c>
      <c r="AR109" s="25">
        <f>Lookups!$B$57*Inventory[[#This Row],[LnAcres]]</f>
        <v>-110998.74281323297</v>
      </c>
      <c r="AS109" s="25">
        <f>VLOOKUP(Inventory[[#This Row],[Qlty]],Lookups!$A$62:$E$75,2,FALSE)</f>
        <v>21557.329055999999</v>
      </c>
      <c r="AT109" s="25">
        <f>VLOOKUP(Inventory[[#This Row],[Cnd]],Lookups!$A$76:$E$84,2,FALSE)</f>
        <v>160472.20319</v>
      </c>
      <c r="AU109" s="25">
        <f>Inventory[[#This Row],[EffAge]]*Lookups!$B$85</f>
        <v>-7137.4592160000002</v>
      </c>
      <c r="AV109" s="25">
        <f>Inventory[[#This Row],[MainFn]]*Lookups!$B$86</f>
        <v>72334.292699928003</v>
      </c>
      <c r="AW109" s="25">
        <f>Inventory[[#This Row],[UpprFn]]*Lookups!$B$87</f>
        <v>0</v>
      </c>
      <c r="AX109" s="25">
        <f>Inventory[[#This Row],[AddFn]]*Lookups!$B$88</f>
        <v>0</v>
      </c>
      <c r="AY109" s="25">
        <f>Inventory[[#This Row],[Bsmt]]*Lookups!$B$89</f>
        <v>0</v>
      </c>
      <c r="AZ109" s="25">
        <f>Inventory[[#This Row],[Fixtures]]*Lookups!$B$90</f>
        <v>30336.176841600001</v>
      </c>
      <c r="BA109" s="25">
        <f>Inventory[[#This Row],[WdDeck]]*Lookups!$B$91</f>
        <v>0</v>
      </c>
      <c r="BB109" s="25">
        <f>ROUND(Inventory[[#This Row],[25Det]],-2)</f>
        <v>22600</v>
      </c>
      <c r="BC109" s="25">
        <f>ROUND(SUM(Inventory[[#This Row],[Mdl Qlty]:[Mdl WdDeck]])+Inventory[[#This Row],[Mdl Res Intercept]],-2)</f>
        <v>277600</v>
      </c>
      <c r="BD109" s="25">
        <f>ROUND(Inventory[[#This Row],[Mdl Land Intercept]]+Inventory[[#This Row],[Mdl LnAcres]],-2)</f>
        <v>-21100</v>
      </c>
      <c r="BE109" s="25">
        <f>Inventory[[#This Row],[Unadj Res Value]]+Inventory[[#This Row],[Unadj Det Value]]+Inventory[[#This Row],[Unadj Land Value]]</f>
        <v>279100</v>
      </c>
      <c r="BF109" s="36">
        <f>(Inventory[[#This Row],[Unadj Total Value]]-Inventory[[#This Row],[24Final]])/Inventory[[#This Row],[24Final]]</f>
        <v>2.1595900439238654E-2</v>
      </c>
      <c r="BG109" s="25">
        <f>VLOOKUP(Inventory[[#This Row],[Nbhd]],Lookups!$Q$2:$T$4,4,FALSE)</f>
        <v>0.99970000000000003</v>
      </c>
      <c r="BH109" s="25">
        <f>VLOOKUP(Inventory[[#This Row],[Qlty]],Lookups!$O$7:$R$21,4,FALSE)</f>
        <v>1.0067999999999999</v>
      </c>
      <c r="BI109" s="25">
        <f>VLOOKUP(Inventory[[#This Row],[Cnd]],Lookups!$T$7:$W$16,4,FALSE)</f>
        <v>0.99729999999999996</v>
      </c>
      <c r="BJ109" s="25">
        <f>VLOOKUP(Inventory[[#This Row],[LivArea Range]],Lookups!$T$25:$W$37,4,FALSE)</f>
        <v>1.0157</v>
      </c>
      <c r="BK109" s="25">
        <f>VLOOKUP(Inventory[[#This Row],[Decade]],Lookups!$O$25:$R$42,4,FALSE)</f>
        <v>1.0157</v>
      </c>
      <c r="BL109" s="25">
        <f>Inventory[[#This Row],[Nbhd Adj]]*0.95</f>
        <v>0.94971499999999998</v>
      </c>
      <c r="BM109" s="25">
        <f>Inventory[[#This Row],[Nbhd Adj]]*Inventory[[#This Row],[Quality Adj]]*Inventory[[#This Row],[Condition Adj]]*Inventory[[#This Row],[Living Area Adj]]*Inventory[[#This Row],[Decade Adj]]*0.95</f>
        <v>0.9837692152700912</v>
      </c>
      <c r="BN109" s="25">
        <f>ROUND(SUM(Inventory[[#This Row],[Mdl Qlty]:[Mdl WdDeck]])+Inventory[[#This Row],[Mdl Res Intercept]]*Inventory[[#This Row],[Res Adj ]],-2)</f>
        <v>277600</v>
      </c>
      <c r="BO109" s="25">
        <f>ROUND(Inventory[[#This Row],[25Det]]*Inventory[[#This Row],[Det/Nbhd Adj]],-2)</f>
        <v>21400</v>
      </c>
      <c r="BP109" s="25">
        <f>Inventory[[#This Row],[Adjusted Res]]+Inventory[[#This Row],[Adj Det ]]</f>
        <v>299000</v>
      </c>
      <c r="BQ109" s="25">
        <f>ROUND((Inventory[[#This Row],[Mdl Land Intercept]]+Inventory[[#This Row],[Mdl LnAcres]])*Inventory[[#This Row],[Det/Nbhd Adj]],-2)</f>
        <v>-20100</v>
      </c>
      <c r="BR109" s="25">
        <f>Inventory[[#This Row],[Adjusted Impr Total]]+Inventory[[#This Row],[Adjusted Land Total]]</f>
        <v>278900</v>
      </c>
      <c r="BS109" s="36">
        <f>IFERROR((Inventory[[#This Row],[Adjusted Impr Total]]-Inventory[[#This Row],[24Bldg]])/Inventory[[#This Row],[24Bldg]],0)</f>
        <v>0.2876830318690784</v>
      </c>
      <c r="BT109" s="36">
        <f>(Inventory[[#This Row],[Adjusted Land Total]]-Inventory[[#This Row],[24Lnd]])/Inventory[[#This Row],[24Lnd]]</f>
        <v>-1.4902439024390244</v>
      </c>
      <c r="BU109" s="36">
        <f>(Inventory[[#This Row],[Adjusted Total]]-Inventory[[#This Row],[24Final]])/Inventory[[#This Row],[24Final]]</f>
        <v>2.0863836017569547E-2</v>
      </c>
    </row>
    <row r="110" spans="1:73" x14ac:dyDescent="0.3">
      <c r="A110" s="25">
        <v>2025</v>
      </c>
      <c r="B110" s="26" t="s">
        <v>562</v>
      </c>
      <c r="C110" s="26">
        <f>LN(Inventory[[#This Row],[Acres]])</f>
        <v>-3.5065578973199818</v>
      </c>
      <c r="D110" s="25">
        <v>0.03</v>
      </c>
      <c r="E110" s="25">
        <v>1382</v>
      </c>
      <c r="F110" s="26" t="s">
        <v>537</v>
      </c>
      <c r="G110" s="26" t="s">
        <v>28</v>
      </c>
      <c r="H110" s="26" t="s">
        <v>349</v>
      </c>
      <c r="I110" s="26" t="s">
        <v>538</v>
      </c>
      <c r="J110" s="26" t="s">
        <v>551</v>
      </c>
      <c r="K110" s="26" t="s">
        <v>381</v>
      </c>
      <c r="L110" s="26" t="s">
        <v>351</v>
      </c>
      <c r="M110" s="26" t="s">
        <v>323</v>
      </c>
      <c r="N110" s="26">
        <v>40</v>
      </c>
      <c r="O110" s="26">
        <f>2024-Inventory[[#This Row],[YrBlt]]</f>
        <v>32</v>
      </c>
      <c r="P110" s="26">
        <f>2024-Inventory[[#This Row],[EffYr]]</f>
        <v>32</v>
      </c>
      <c r="Q110" s="25">
        <v>1992</v>
      </c>
      <c r="R110" s="25">
        <v>1992</v>
      </c>
      <c r="S110" s="25">
        <v>1471</v>
      </c>
      <c r="T110" s="27"/>
      <c r="U110" s="31"/>
      <c r="V110" s="31">
        <f>Inventory[[#This Row],[Bsmt]]-Inventory[[#This Row],[FnBsmt]]</f>
        <v>0</v>
      </c>
      <c r="W110" s="31"/>
      <c r="X110" s="27"/>
      <c r="Y110" s="27">
        <f>Inventory[[#This Row],[MainFn]]+Inventory[[#This Row],[UpprFn]]+Inventory[[#This Row],[FnBsmt]]+Inventory[[#This Row],[AddFn]]</f>
        <v>1471</v>
      </c>
      <c r="Z110" s="27">
        <v>1500</v>
      </c>
      <c r="AA110" s="25">
        <v>11</v>
      </c>
      <c r="AB110" s="27"/>
      <c r="AC110" s="27"/>
      <c r="AD110" s="27"/>
      <c r="AE110" s="27"/>
      <c r="AF110" s="27"/>
      <c r="AG110" s="27"/>
      <c r="AH110" s="27"/>
      <c r="AI110" s="25">
        <v>240209</v>
      </c>
      <c r="AJ110" s="25">
        <v>204178</v>
      </c>
      <c r="AK110" s="25">
        <v>22551</v>
      </c>
      <c r="AL110" s="25">
        <v>285100</v>
      </c>
      <c r="AM110" s="25">
        <v>42800</v>
      </c>
      <c r="AN110" s="25">
        <v>242300</v>
      </c>
      <c r="AO110" s="25">
        <v>0</v>
      </c>
      <c r="AP110" s="25">
        <f>Lookups!$B$56*0</f>
        <v>0</v>
      </c>
      <c r="AQ110" s="25">
        <f>Lookups!$B$56*1</f>
        <v>89850.625589999996</v>
      </c>
      <c r="AR110" s="25">
        <f>Lookups!$B$57*Inventory[[#This Row],[LnAcres]]</f>
        <v>-110998.74281323297</v>
      </c>
      <c r="AS110" s="25">
        <f>VLOOKUP(Inventory[[#This Row],[Qlty]],Lookups!$A$62:$E$75,2,FALSE)</f>
        <v>21557.329055999999</v>
      </c>
      <c r="AT110" s="25">
        <f>VLOOKUP(Inventory[[#This Row],[Cnd]],Lookups!$A$76:$E$84,2,FALSE)</f>
        <v>160472.20319</v>
      </c>
      <c r="AU110" s="25">
        <f>Inventory[[#This Row],[EffAge]]*Lookups!$B$85</f>
        <v>-7137.4592160000002</v>
      </c>
      <c r="AV110" s="25">
        <f>Inventory[[#This Row],[MainFn]]*Lookups!$B$86</f>
        <v>72680.153389066996</v>
      </c>
      <c r="AW110" s="25">
        <f>Inventory[[#This Row],[UpprFn]]*Lookups!$B$87</f>
        <v>0</v>
      </c>
      <c r="AX110" s="25">
        <f>Inventory[[#This Row],[AddFn]]*Lookups!$B$88</f>
        <v>0</v>
      </c>
      <c r="AY110" s="25">
        <f>Inventory[[#This Row],[Bsmt]]*Lookups!$B$89</f>
        <v>0</v>
      </c>
      <c r="AZ110" s="25">
        <f>Inventory[[#This Row],[Fixtures]]*Lookups!$B$90</f>
        <v>41712.243157199999</v>
      </c>
      <c r="BA110" s="25">
        <f>Inventory[[#This Row],[WdDeck]]*Lookups!$B$91</f>
        <v>0</v>
      </c>
      <c r="BB110" s="25">
        <f>ROUND(Inventory[[#This Row],[25Det]],-2)</f>
        <v>22600</v>
      </c>
      <c r="BC110" s="25">
        <f>ROUND(SUM(Inventory[[#This Row],[Mdl Qlty]:[Mdl WdDeck]])+Inventory[[#This Row],[Mdl Res Intercept]],-2)</f>
        <v>289300</v>
      </c>
      <c r="BD110" s="25">
        <f>ROUND(Inventory[[#This Row],[Mdl Land Intercept]]+Inventory[[#This Row],[Mdl LnAcres]],-2)</f>
        <v>-21100</v>
      </c>
      <c r="BE110" s="25">
        <f>Inventory[[#This Row],[Unadj Res Value]]+Inventory[[#This Row],[Unadj Det Value]]+Inventory[[#This Row],[Unadj Land Value]]</f>
        <v>290800</v>
      </c>
      <c r="BF110" s="36">
        <f>(Inventory[[#This Row],[Unadj Total Value]]-Inventory[[#This Row],[24Final]])/Inventory[[#This Row],[24Final]]</f>
        <v>1.999298491757278E-2</v>
      </c>
      <c r="BG110" s="25">
        <f>VLOOKUP(Inventory[[#This Row],[Nbhd]],Lookups!$Q$2:$T$4,4,FALSE)</f>
        <v>0.99970000000000003</v>
      </c>
      <c r="BH110" s="25">
        <f>VLOOKUP(Inventory[[#This Row],[Qlty]],Lookups!$O$7:$R$21,4,FALSE)</f>
        <v>1.0067999999999999</v>
      </c>
      <c r="BI110" s="25">
        <f>VLOOKUP(Inventory[[#This Row],[Cnd]],Lookups!$T$7:$W$16,4,FALSE)</f>
        <v>0.99729999999999996</v>
      </c>
      <c r="BJ110" s="25">
        <f>VLOOKUP(Inventory[[#This Row],[LivArea Range]],Lookups!$T$25:$W$37,4,FALSE)</f>
        <v>1.0157</v>
      </c>
      <c r="BK110" s="25">
        <f>VLOOKUP(Inventory[[#This Row],[Decade]],Lookups!$O$25:$R$42,4,FALSE)</f>
        <v>1.0157</v>
      </c>
      <c r="BL110" s="25">
        <f>Inventory[[#This Row],[Nbhd Adj]]*0.95</f>
        <v>0.94971499999999998</v>
      </c>
      <c r="BM110" s="25">
        <f>Inventory[[#This Row],[Nbhd Adj]]*Inventory[[#This Row],[Quality Adj]]*Inventory[[#This Row],[Condition Adj]]*Inventory[[#This Row],[Living Area Adj]]*Inventory[[#This Row],[Decade Adj]]*0.95</f>
        <v>0.9837692152700912</v>
      </c>
      <c r="BN110" s="25">
        <f>ROUND(SUM(Inventory[[#This Row],[Mdl Qlty]:[Mdl WdDeck]])+Inventory[[#This Row],[Mdl Res Intercept]]*Inventory[[#This Row],[Res Adj ]],-2)</f>
        <v>289300</v>
      </c>
      <c r="BO110" s="25">
        <f>ROUND(Inventory[[#This Row],[25Det]]*Inventory[[#This Row],[Det/Nbhd Adj]],-2)</f>
        <v>21400</v>
      </c>
      <c r="BP110" s="25">
        <f>Inventory[[#This Row],[Adjusted Res]]+Inventory[[#This Row],[Adj Det ]]</f>
        <v>310700</v>
      </c>
      <c r="BQ110" s="25">
        <f>ROUND((Inventory[[#This Row],[Mdl Land Intercept]]+Inventory[[#This Row],[Mdl LnAcres]])*Inventory[[#This Row],[Det/Nbhd Adj]],-2)</f>
        <v>-20100</v>
      </c>
      <c r="BR110" s="25">
        <f>Inventory[[#This Row],[Adjusted Impr Total]]+Inventory[[#This Row],[Adjusted Land Total]]</f>
        <v>290600</v>
      </c>
      <c r="BS110" s="36">
        <f>IFERROR((Inventory[[#This Row],[Adjusted Impr Total]]-Inventory[[#This Row],[24Bldg]])/Inventory[[#This Row],[24Bldg]],0)</f>
        <v>0.28229467602146102</v>
      </c>
      <c r="BT110" s="36">
        <f>(Inventory[[#This Row],[Adjusted Land Total]]-Inventory[[#This Row],[24Lnd]])/Inventory[[#This Row],[24Lnd]]</f>
        <v>-1.469626168224299</v>
      </c>
      <c r="BU110" s="36">
        <f>(Inventory[[#This Row],[Adjusted Total]]-Inventory[[#This Row],[24Final]])/Inventory[[#This Row],[24Final]]</f>
        <v>1.929147667485093E-2</v>
      </c>
    </row>
    <row r="111" spans="1:73" x14ac:dyDescent="0.3">
      <c r="A111" s="25">
        <v>2025</v>
      </c>
      <c r="B111" s="26" t="s">
        <v>558</v>
      </c>
      <c r="C111" s="26">
        <f>LN(Inventory[[#This Row],[Acres]])</f>
        <v>-3.5065578973199818</v>
      </c>
      <c r="D111" s="25">
        <v>0.03</v>
      </c>
      <c r="E111" s="25">
        <v>1382</v>
      </c>
      <c r="F111" s="26" t="s">
        <v>537</v>
      </c>
      <c r="G111" s="26" t="s">
        <v>28</v>
      </c>
      <c r="H111" s="26" t="s">
        <v>349</v>
      </c>
      <c r="I111" s="26" t="s">
        <v>538</v>
      </c>
      <c r="J111" s="26" t="s">
        <v>551</v>
      </c>
      <c r="K111" s="26" t="s">
        <v>381</v>
      </c>
      <c r="L111" s="26" t="s">
        <v>351</v>
      </c>
      <c r="M111" s="26" t="s">
        <v>323</v>
      </c>
      <c r="N111" s="26">
        <v>40</v>
      </c>
      <c r="O111" s="26">
        <f>2024-Inventory[[#This Row],[YrBlt]]</f>
        <v>32</v>
      </c>
      <c r="P111" s="26">
        <f>2024-Inventory[[#This Row],[EffYr]]</f>
        <v>32</v>
      </c>
      <c r="Q111" s="25">
        <v>1992</v>
      </c>
      <c r="R111" s="25">
        <v>1992</v>
      </c>
      <c r="S111" s="25">
        <v>1464</v>
      </c>
      <c r="T111" s="27"/>
      <c r="U111" s="27"/>
      <c r="V111" s="27">
        <f>Inventory[[#This Row],[Bsmt]]-Inventory[[#This Row],[FnBsmt]]</f>
        <v>0</v>
      </c>
      <c r="W111" s="27"/>
      <c r="X111" s="27"/>
      <c r="Y111" s="27">
        <f>Inventory[[#This Row],[MainFn]]+Inventory[[#This Row],[UpprFn]]+Inventory[[#This Row],[FnBsmt]]+Inventory[[#This Row],[AddFn]]</f>
        <v>1464</v>
      </c>
      <c r="Z111" s="27">
        <v>1500</v>
      </c>
      <c r="AA111" s="25">
        <v>8</v>
      </c>
      <c r="AB111" s="31"/>
      <c r="AC111" s="27"/>
      <c r="AD111" s="27"/>
      <c r="AE111" s="27"/>
      <c r="AF111" s="27"/>
      <c r="AG111" s="27"/>
      <c r="AH111" s="27"/>
      <c r="AI111" s="25">
        <v>230810</v>
      </c>
      <c r="AJ111" s="25">
        <v>196189</v>
      </c>
      <c r="AK111" s="25">
        <v>22551</v>
      </c>
      <c r="AL111" s="25">
        <v>274700</v>
      </c>
      <c r="AM111" s="25">
        <v>41200</v>
      </c>
      <c r="AN111" s="25">
        <v>233500</v>
      </c>
      <c r="AO111" s="25">
        <v>0</v>
      </c>
      <c r="AP111" s="25">
        <f>Lookups!$B$56*0</f>
        <v>0</v>
      </c>
      <c r="AQ111" s="25">
        <f>Lookups!$B$56*1</f>
        <v>89850.625589999996</v>
      </c>
      <c r="AR111" s="25">
        <f>Lookups!$B$57*Inventory[[#This Row],[LnAcres]]</f>
        <v>-110998.74281323297</v>
      </c>
      <c r="AS111" s="25">
        <f>VLOOKUP(Inventory[[#This Row],[Qlty]],Lookups!$A$62:$E$75,2,FALSE)</f>
        <v>21557.329055999999</v>
      </c>
      <c r="AT111" s="25">
        <f>VLOOKUP(Inventory[[#This Row],[Cnd]],Lookups!$A$76:$E$84,2,FALSE)</f>
        <v>160472.20319</v>
      </c>
      <c r="AU111" s="25">
        <f>Inventory[[#This Row],[EffAge]]*Lookups!$B$85</f>
        <v>-7137.4592160000002</v>
      </c>
      <c r="AV111" s="25">
        <f>Inventory[[#This Row],[MainFn]]*Lookups!$B$86</f>
        <v>72334.292699928003</v>
      </c>
      <c r="AW111" s="25">
        <f>Inventory[[#This Row],[UpprFn]]*Lookups!$B$87</f>
        <v>0</v>
      </c>
      <c r="AX111" s="25">
        <f>Inventory[[#This Row],[AddFn]]*Lookups!$B$88</f>
        <v>0</v>
      </c>
      <c r="AY111" s="25">
        <f>Inventory[[#This Row],[Bsmt]]*Lookups!$B$89</f>
        <v>0</v>
      </c>
      <c r="AZ111" s="25">
        <f>Inventory[[#This Row],[Fixtures]]*Lookups!$B$90</f>
        <v>30336.176841600001</v>
      </c>
      <c r="BA111" s="25">
        <f>Inventory[[#This Row],[WdDeck]]*Lookups!$B$91</f>
        <v>0</v>
      </c>
      <c r="BB111" s="25">
        <f>ROUND(Inventory[[#This Row],[25Det]],-2)</f>
        <v>22600</v>
      </c>
      <c r="BC111" s="25">
        <f>ROUND(SUM(Inventory[[#This Row],[Mdl Qlty]:[Mdl WdDeck]])+Inventory[[#This Row],[Mdl Res Intercept]],-2)</f>
        <v>277600</v>
      </c>
      <c r="BD111" s="25">
        <f>ROUND(Inventory[[#This Row],[Mdl Land Intercept]]+Inventory[[#This Row],[Mdl LnAcres]],-2)</f>
        <v>-21100</v>
      </c>
      <c r="BE111" s="25">
        <f>Inventory[[#This Row],[Unadj Res Value]]+Inventory[[#This Row],[Unadj Det Value]]+Inventory[[#This Row],[Unadj Land Value]]</f>
        <v>279100</v>
      </c>
      <c r="BF111" s="36">
        <f>(Inventory[[#This Row],[Unadj Total Value]]-Inventory[[#This Row],[24Final]])/Inventory[[#This Row],[24Final]]</f>
        <v>1.6017473607571896E-2</v>
      </c>
      <c r="BG111" s="25">
        <f>VLOOKUP(Inventory[[#This Row],[Nbhd]],Lookups!$Q$2:$T$4,4,FALSE)</f>
        <v>0.99970000000000003</v>
      </c>
      <c r="BH111" s="25">
        <f>VLOOKUP(Inventory[[#This Row],[Qlty]],Lookups!$O$7:$R$21,4,FALSE)</f>
        <v>1.0067999999999999</v>
      </c>
      <c r="BI111" s="25">
        <f>VLOOKUP(Inventory[[#This Row],[Cnd]],Lookups!$T$7:$W$16,4,FALSE)</f>
        <v>0.99729999999999996</v>
      </c>
      <c r="BJ111" s="25">
        <f>VLOOKUP(Inventory[[#This Row],[LivArea Range]],Lookups!$T$25:$W$37,4,FALSE)</f>
        <v>1.0157</v>
      </c>
      <c r="BK111" s="25">
        <f>VLOOKUP(Inventory[[#This Row],[Decade]],Lookups!$O$25:$R$42,4,FALSE)</f>
        <v>1.0157</v>
      </c>
      <c r="BL111" s="25">
        <f>Inventory[[#This Row],[Nbhd Adj]]*0.95</f>
        <v>0.94971499999999998</v>
      </c>
      <c r="BM111" s="25">
        <f>Inventory[[#This Row],[Nbhd Adj]]*Inventory[[#This Row],[Quality Adj]]*Inventory[[#This Row],[Condition Adj]]*Inventory[[#This Row],[Living Area Adj]]*Inventory[[#This Row],[Decade Adj]]*0.95</f>
        <v>0.9837692152700912</v>
      </c>
      <c r="BN111" s="25">
        <f>ROUND(SUM(Inventory[[#This Row],[Mdl Qlty]:[Mdl WdDeck]])+Inventory[[#This Row],[Mdl Res Intercept]]*Inventory[[#This Row],[Res Adj ]],-2)</f>
        <v>277600</v>
      </c>
      <c r="BO111" s="25">
        <f>ROUND(Inventory[[#This Row],[25Det]]*Inventory[[#This Row],[Det/Nbhd Adj]],-2)</f>
        <v>21400</v>
      </c>
      <c r="BP111" s="25">
        <f>Inventory[[#This Row],[Adjusted Res]]+Inventory[[#This Row],[Adj Det ]]</f>
        <v>299000</v>
      </c>
      <c r="BQ111" s="25">
        <f>ROUND((Inventory[[#This Row],[Mdl Land Intercept]]+Inventory[[#This Row],[Mdl LnAcres]])*Inventory[[#This Row],[Det/Nbhd Adj]],-2)</f>
        <v>-20100</v>
      </c>
      <c r="BR111" s="25">
        <f>Inventory[[#This Row],[Adjusted Impr Total]]+Inventory[[#This Row],[Adjusted Land Total]]</f>
        <v>278900</v>
      </c>
      <c r="BS111" s="36">
        <f>IFERROR((Inventory[[#This Row],[Adjusted Impr Total]]-Inventory[[#This Row],[24Bldg]])/Inventory[[#This Row],[24Bldg]],0)</f>
        <v>0.28051391862955033</v>
      </c>
      <c r="BT111" s="36">
        <f>(Inventory[[#This Row],[Adjusted Land Total]]-Inventory[[#This Row],[24Lnd]])/Inventory[[#This Row],[24Lnd]]</f>
        <v>-1.4878640776699028</v>
      </c>
      <c r="BU111" s="36">
        <f>(Inventory[[#This Row],[Adjusted Total]]-Inventory[[#This Row],[24Final]])/Inventory[[#This Row],[24Final]]</f>
        <v>1.5289406625409537E-2</v>
      </c>
    </row>
    <row r="112" spans="1:73" x14ac:dyDescent="0.3">
      <c r="A112" s="25">
        <v>2025</v>
      </c>
      <c r="B112" s="26" t="s">
        <v>559</v>
      </c>
      <c r="C112" s="26">
        <f>LN(Inventory[[#This Row],[Acres]])</f>
        <v>-3.5065578973199818</v>
      </c>
      <c r="D112" s="25">
        <v>0.03</v>
      </c>
      <c r="E112" s="25">
        <v>1469</v>
      </c>
      <c r="F112" s="26" t="s">
        <v>537</v>
      </c>
      <c r="G112" s="26" t="s">
        <v>28</v>
      </c>
      <c r="H112" s="26" t="s">
        <v>349</v>
      </c>
      <c r="I112" s="26" t="s">
        <v>538</v>
      </c>
      <c r="J112" s="26" t="s">
        <v>551</v>
      </c>
      <c r="K112" s="26" t="s">
        <v>381</v>
      </c>
      <c r="L112" s="26" t="s">
        <v>351</v>
      </c>
      <c r="M112" s="26" t="s">
        <v>323</v>
      </c>
      <c r="N112" s="26">
        <v>40</v>
      </c>
      <c r="O112" s="26">
        <f>2024-Inventory[[#This Row],[YrBlt]]</f>
        <v>32</v>
      </c>
      <c r="P112" s="26">
        <f>2024-Inventory[[#This Row],[EffYr]]</f>
        <v>32</v>
      </c>
      <c r="Q112" s="25">
        <v>1992</v>
      </c>
      <c r="R112" s="25">
        <v>1992</v>
      </c>
      <c r="S112" s="25">
        <v>1464</v>
      </c>
      <c r="T112" s="31"/>
      <c r="U112" s="31"/>
      <c r="V112" s="31">
        <f>Inventory[[#This Row],[Bsmt]]-Inventory[[#This Row],[FnBsmt]]</f>
        <v>0</v>
      </c>
      <c r="W112" s="31"/>
      <c r="X112" s="27"/>
      <c r="Y112" s="27">
        <f>Inventory[[#This Row],[MainFn]]+Inventory[[#This Row],[UpprFn]]+Inventory[[#This Row],[FnBsmt]]+Inventory[[#This Row],[AddFn]]</f>
        <v>1464</v>
      </c>
      <c r="Z112" s="27">
        <v>1500</v>
      </c>
      <c r="AA112" s="25">
        <v>8</v>
      </c>
      <c r="AB112" s="27"/>
      <c r="AC112" s="31"/>
      <c r="AD112" s="31"/>
      <c r="AE112" s="27"/>
      <c r="AF112" s="27"/>
      <c r="AG112" s="27"/>
      <c r="AH112" s="27"/>
      <c r="AI112" s="25">
        <v>232211</v>
      </c>
      <c r="AJ112" s="25">
        <v>197379</v>
      </c>
      <c r="AK112" s="25">
        <v>22551</v>
      </c>
      <c r="AL112" s="25">
        <v>276300</v>
      </c>
      <c r="AM112" s="25">
        <v>41400</v>
      </c>
      <c r="AN112" s="25">
        <v>234900</v>
      </c>
      <c r="AO112" s="25">
        <v>0</v>
      </c>
      <c r="AP112" s="25">
        <f>Lookups!$B$56*0</f>
        <v>0</v>
      </c>
      <c r="AQ112" s="25">
        <f>Lookups!$B$56*1</f>
        <v>89850.625589999996</v>
      </c>
      <c r="AR112" s="25">
        <f>Lookups!$B$57*Inventory[[#This Row],[LnAcres]]</f>
        <v>-110998.74281323297</v>
      </c>
      <c r="AS112" s="25">
        <f>VLOOKUP(Inventory[[#This Row],[Qlty]],Lookups!$A$62:$E$75,2,FALSE)</f>
        <v>21557.329055999999</v>
      </c>
      <c r="AT112" s="25">
        <f>VLOOKUP(Inventory[[#This Row],[Cnd]],Lookups!$A$76:$E$84,2,FALSE)</f>
        <v>160472.20319</v>
      </c>
      <c r="AU112" s="25">
        <f>Inventory[[#This Row],[EffAge]]*Lookups!$B$85</f>
        <v>-7137.4592160000002</v>
      </c>
      <c r="AV112" s="25">
        <f>Inventory[[#This Row],[MainFn]]*Lookups!$B$86</f>
        <v>72334.292699928003</v>
      </c>
      <c r="AW112" s="25">
        <f>Inventory[[#This Row],[UpprFn]]*Lookups!$B$87</f>
        <v>0</v>
      </c>
      <c r="AX112" s="25">
        <f>Inventory[[#This Row],[AddFn]]*Lookups!$B$88</f>
        <v>0</v>
      </c>
      <c r="AY112" s="25">
        <f>Inventory[[#This Row],[Bsmt]]*Lookups!$B$89</f>
        <v>0</v>
      </c>
      <c r="AZ112" s="25">
        <f>Inventory[[#This Row],[Fixtures]]*Lookups!$B$90</f>
        <v>30336.176841600001</v>
      </c>
      <c r="BA112" s="25">
        <f>Inventory[[#This Row],[WdDeck]]*Lookups!$B$91</f>
        <v>0</v>
      </c>
      <c r="BB112" s="25">
        <f>ROUND(Inventory[[#This Row],[25Det]],-2)</f>
        <v>22600</v>
      </c>
      <c r="BC112" s="25">
        <f>ROUND(SUM(Inventory[[#This Row],[Mdl Qlty]:[Mdl WdDeck]])+Inventory[[#This Row],[Mdl Res Intercept]],-2)</f>
        <v>277600</v>
      </c>
      <c r="BD112" s="25">
        <f>ROUND(Inventory[[#This Row],[Mdl Land Intercept]]+Inventory[[#This Row],[Mdl LnAcres]],-2)</f>
        <v>-21100</v>
      </c>
      <c r="BE112" s="25">
        <f>Inventory[[#This Row],[Unadj Res Value]]+Inventory[[#This Row],[Unadj Det Value]]+Inventory[[#This Row],[Unadj Land Value]]</f>
        <v>279100</v>
      </c>
      <c r="BF112" s="36">
        <f>(Inventory[[#This Row],[Unadj Total Value]]-Inventory[[#This Row],[24Final]])/Inventory[[#This Row],[24Final]]</f>
        <v>1.0133912414042706E-2</v>
      </c>
      <c r="BG112" s="25">
        <f>VLOOKUP(Inventory[[#This Row],[Nbhd]],Lookups!$Q$2:$T$4,4,FALSE)</f>
        <v>0.99970000000000003</v>
      </c>
      <c r="BH112" s="25">
        <f>VLOOKUP(Inventory[[#This Row],[Qlty]],Lookups!$O$7:$R$21,4,FALSE)</f>
        <v>1.0067999999999999</v>
      </c>
      <c r="BI112" s="25">
        <f>VLOOKUP(Inventory[[#This Row],[Cnd]],Lookups!$T$7:$W$16,4,FALSE)</f>
        <v>0.99729999999999996</v>
      </c>
      <c r="BJ112" s="25">
        <f>VLOOKUP(Inventory[[#This Row],[LivArea Range]],Lookups!$T$25:$W$37,4,FALSE)</f>
        <v>1.0157</v>
      </c>
      <c r="BK112" s="25">
        <f>VLOOKUP(Inventory[[#This Row],[Decade]],Lookups!$O$25:$R$42,4,FALSE)</f>
        <v>1.0157</v>
      </c>
      <c r="BL112" s="25">
        <f>Inventory[[#This Row],[Nbhd Adj]]*0.95</f>
        <v>0.94971499999999998</v>
      </c>
      <c r="BM112" s="25">
        <f>Inventory[[#This Row],[Nbhd Adj]]*Inventory[[#This Row],[Quality Adj]]*Inventory[[#This Row],[Condition Adj]]*Inventory[[#This Row],[Living Area Adj]]*Inventory[[#This Row],[Decade Adj]]*0.95</f>
        <v>0.9837692152700912</v>
      </c>
      <c r="BN112" s="25">
        <f>ROUND(SUM(Inventory[[#This Row],[Mdl Qlty]:[Mdl WdDeck]])+Inventory[[#This Row],[Mdl Res Intercept]]*Inventory[[#This Row],[Res Adj ]],-2)</f>
        <v>277600</v>
      </c>
      <c r="BO112" s="25">
        <f>ROUND(Inventory[[#This Row],[25Det]]*Inventory[[#This Row],[Det/Nbhd Adj]],-2)</f>
        <v>21400</v>
      </c>
      <c r="BP112" s="25">
        <f>Inventory[[#This Row],[Adjusted Res]]+Inventory[[#This Row],[Adj Det ]]</f>
        <v>299000</v>
      </c>
      <c r="BQ112" s="25">
        <f>ROUND((Inventory[[#This Row],[Mdl Land Intercept]]+Inventory[[#This Row],[Mdl LnAcres]])*Inventory[[#This Row],[Det/Nbhd Adj]],-2)</f>
        <v>-20100</v>
      </c>
      <c r="BR112" s="25">
        <f>Inventory[[#This Row],[Adjusted Impr Total]]+Inventory[[#This Row],[Adjusted Land Total]]</f>
        <v>278900</v>
      </c>
      <c r="BS112" s="36">
        <f>IFERROR((Inventory[[#This Row],[Adjusted Impr Total]]-Inventory[[#This Row],[24Bldg]])/Inventory[[#This Row],[24Bldg]],0)</f>
        <v>0.27288207747977861</v>
      </c>
      <c r="BT112" s="36">
        <f>(Inventory[[#This Row],[Adjusted Land Total]]-Inventory[[#This Row],[24Lnd]])/Inventory[[#This Row],[24Lnd]]</f>
        <v>-1.4855072463768115</v>
      </c>
      <c r="BU112" s="36">
        <f>(Inventory[[#This Row],[Adjusted Total]]-Inventory[[#This Row],[24Final]])/Inventory[[#This Row],[24Final]]</f>
        <v>9.4100615273253717E-3</v>
      </c>
    </row>
    <row r="113" spans="1:73" x14ac:dyDescent="0.3">
      <c r="A113" s="25">
        <v>2025</v>
      </c>
      <c r="B113" s="26" t="s">
        <v>1343</v>
      </c>
      <c r="C113" s="26">
        <f>LN(Inventory[[#This Row],[Acres]])</f>
        <v>-1.5606477482646683</v>
      </c>
      <c r="D113" s="25">
        <v>0.21</v>
      </c>
      <c r="E113" s="25">
        <v>9111</v>
      </c>
      <c r="F113" s="26" t="s">
        <v>537</v>
      </c>
      <c r="G113" s="26" t="s">
        <v>126</v>
      </c>
      <c r="H113" s="26" t="s">
        <v>349</v>
      </c>
      <c r="I113" s="26" t="s">
        <v>538</v>
      </c>
      <c r="J113" s="26" t="s">
        <v>539</v>
      </c>
      <c r="K113" s="26" t="s">
        <v>241</v>
      </c>
      <c r="L113" s="26" t="s">
        <v>148</v>
      </c>
      <c r="M113" s="26" t="s">
        <v>303</v>
      </c>
      <c r="N113" s="26">
        <v>40</v>
      </c>
      <c r="O113" s="26">
        <f>2024-Inventory[[#This Row],[YrBlt]]</f>
        <v>33</v>
      </c>
      <c r="P113" s="26">
        <f>2024-Inventory[[#This Row],[EffYr]]</f>
        <v>33</v>
      </c>
      <c r="Q113" s="25">
        <v>1991</v>
      </c>
      <c r="R113" s="25">
        <v>1991</v>
      </c>
      <c r="S113" s="25">
        <v>1476</v>
      </c>
      <c r="T113" s="27"/>
      <c r="U113" s="31"/>
      <c r="V113" s="31">
        <f>Inventory[[#This Row],[Bsmt]]-Inventory[[#This Row],[FnBsmt]]</f>
        <v>0</v>
      </c>
      <c r="W113" s="31"/>
      <c r="X113" s="27"/>
      <c r="Y113" s="27">
        <f>Inventory[[#This Row],[MainFn]]+Inventory[[#This Row],[UpprFn]]+Inventory[[#This Row],[FnBsmt]]+Inventory[[#This Row],[AddFn]]</f>
        <v>1476</v>
      </c>
      <c r="Z113" s="27">
        <v>1500</v>
      </c>
      <c r="AA113" s="25">
        <v>8</v>
      </c>
      <c r="AB113" s="32">
        <v>484</v>
      </c>
      <c r="AC113" s="31"/>
      <c r="AD113" s="25">
        <v>210</v>
      </c>
      <c r="AE113" s="27"/>
      <c r="AF113" s="27"/>
      <c r="AG113" s="27"/>
      <c r="AH113" s="27"/>
      <c r="AI113" s="25">
        <v>326378</v>
      </c>
      <c r="AJ113" s="25">
        <v>277421</v>
      </c>
      <c r="AK113" s="25">
        <v>0</v>
      </c>
      <c r="AL113" s="25">
        <v>354800</v>
      </c>
      <c r="AM113" s="25">
        <v>60100</v>
      </c>
      <c r="AN113" s="25">
        <v>294700</v>
      </c>
      <c r="AO113" s="25">
        <v>0</v>
      </c>
      <c r="AP113" s="25">
        <f>Lookups!$B$56*0</f>
        <v>0</v>
      </c>
      <c r="AQ113" s="25">
        <f>Lookups!$B$56*1</f>
        <v>89850.625589999996</v>
      </c>
      <c r="AR113" s="25">
        <f>Lookups!$B$57*Inventory[[#This Row],[LnAcres]]</f>
        <v>-49401.70477837498</v>
      </c>
      <c r="AS113" s="25">
        <f>VLOOKUP(Inventory[[#This Row],[Qlty]],Lookups!$A$62:$E$75,2,FALSE)</f>
        <v>44121.038090000002</v>
      </c>
      <c r="AT113" s="25">
        <f>VLOOKUP(Inventory[[#This Row],[Cnd]],Lookups!$A$76:$E$84,2,FALSE)</f>
        <v>197752.34721000001</v>
      </c>
      <c r="AU113" s="25">
        <f>Inventory[[#This Row],[EffAge]]*Lookups!$B$85</f>
        <v>-7360.5048164999998</v>
      </c>
      <c r="AV113" s="25">
        <f>Inventory[[#This Row],[MainFn]]*Lookups!$B$86</f>
        <v>72927.196738451996</v>
      </c>
      <c r="AW113" s="25">
        <f>Inventory[[#This Row],[UpprFn]]*Lookups!$B$87</f>
        <v>0</v>
      </c>
      <c r="AX113" s="25">
        <f>Inventory[[#This Row],[AddFn]]*Lookups!$B$88</f>
        <v>0</v>
      </c>
      <c r="AY113" s="25">
        <f>Inventory[[#This Row],[Bsmt]]*Lookups!$B$89</f>
        <v>0</v>
      </c>
      <c r="AZ113" s="25">
        <f>Inventory[[#This Row],[Fixtures]]*Lookups!$B$90</f>
        <v>30336.176841600001</v>
      </c>
      <c r="BA113" s="25">
        <f>Inventory[[#This Row],[WdDeck]]*Lookups!$B$91</f>
        <v>6992.0582079600008</v>
      </c>
      <c r="BB113" s="25">
        <f>ROUND(Inventory[[#This Row],[25Det]],-2)</f>
        <v>0</v>
      </c>
      <c r="BC113" s="25">
        <f>ROUND(SUM(Inventory[[#This Row],[Mdl Qlty]:[Mdl WdDeck]])+Inventory[[#This Row],[Mdl Res Intercept]],-2)</f>
        <v>344800</v>
      </c>
      <c r="BD113" s="25">
        <f>ROUND(Inventory[[#This Row],[Mdl Land Intercept]]+Inventory[[#This Row],[Mdl LnAcres]],-2)</f>
        <v>40400</v>
      </c>
      <c r="BE113" s="25">
        <f>Inventory[[#This Row],[Unadj Res Value]]+Inventory[[#This Row],[Unadj Det Value]]+Inventory[[#This Row],[Unadj Land Value]]</f>
        <v>385200</v>
      </c>
      <c r="BF113" s="36">
        <f>(Inventory[[#This Row],[Unadj Total Value]]-Inventory[[#This Row],[24Final]])/Inventory[[#This Row],[24Final]]</f>
        <v>8.5682074408117245E-2</v>
      </c>
      <c r="BG113" s="25">
        <f>VLOOKUP(Inventory[[#This Row],[Nbhd]],Lookups!$Q$2:$T$4,4,FALSE)</f>
        <v>0.99970000000000003</v>
      </c>
      <c r="BH113" s="25">
        <f>VLOOKUP(Inventory[[#This Row],[Qlty]],Lookups!$O$7:$R$21,4,FALSE)</f>
        <v>0.98050000000000004</v>
      </c>
      <c r="BI113" s="25">
        <f>VLOOKUP(Inventory[[#This Row],[Cnd]],Lookups!$T$7:$W$16,4,FALSE)</f>
        <v>0.99650000000000005</v>
      </c>
      <c r="BJ113" s="25">
        <f>VLOOKUP(Inventory[[#This Row],[LivArea Range]],Lookups!$T$25:$W$37,4,FALSE)</f>
        <v>1.0157</v>
      </c>
      <c r="BK113" s="25">
        <f>VLOOKUP(Inventory[[#This Row],[Decade]],Lookups!$O$25:$R$42,4,FALSE)</f>
        <v>1.0157</v>
      </c>
      <c r="BL113" s="25">
        <f>Inventory[[#This Row],[Nbhd Adj]]*0.95</f>
        <v>0.94971499999999998</v>
      </c>
      <c r="BM113" s="25">
        <f>Inventory[[#This Row],[Nbhd Adj]]*Inventory[[#This Row],[Quality Adj]]*Inventory[[#This Row],[Condition Adj]]*Inventory[[#This Row],[Living Area Adj]]*Inventory[[#This Row],[Decade Adj]]*0.95</f>
        <v>0.95730230219907364</v>
      </c>
      <c r="BN113" s="25">
        <f>ROUND(SUM(Inventory[[#This Row],[Mdl Qlty]:[Mdl WdDeck]])+Inventory[[#This Row],[Mdl Res Intercept]]*Inventory[[#This Row],[Res Adj ]],-2)</f>
        <v>344800</v>
      </c>
      <c r="BO113" s="25">
        <f>ROUND(Inventory[[#This Row],[25Det]]*Inventory[[#This Row],[Det/Nbhd Adj]],-2)</f>
        <v>0</v>
      </c>
      <c r="BP113" s="25">
        <f>Inventory[[#This Row],[Adjusted Res]]+Inventory[[#This Row],[Adj Det ]]</f>
        <v>344800</v>
      </c>
      <c r="BQ113" s="25">
        <f>ROUND((Inventory[[#This Row],[Mdl Land Intercept]]+Inventory[[#This Row],[Mdl LnAcres]])*Inventory[[#This Row],[Det/Nbhd Adj]],-2)</f>
        <v>38400</v>
      </c>
      <c r="BR113" s="25">
        <f>Inventory[[#This Row],[Adjusted Impr Total]]+Inventory[[#This Row],[Adjusted Land Total]]</f>
        <v>383200</v>
      </c>
      <c r="BS113" s="36">
        <f>IFERROR((Inventory[[#This Row],[Adjusted Impr Total]]-Inventory[[#This Row],[24Bldg]])/Inventory[[#This Row],[24Bldg]],0)</f>
        <v>0.17000339328130301</v>
      </c>
      <c r="BT113" s="36">
        <f>(Inventory[[#This Row],[Adjusted Land Total]]-Inventory[[#This Row],[24Lnd]])/Inventory[[#This Row],[24Lnd]]</f>
        <v>-0.36106489184692181</v>
      </c>
      <c r="BU113" s="36">
        <f>(Inventory[[#This Row],[Adjusted Total]]-Inventory[[#This Row],[24Final]])/Inventory[[#This Row],[24Final]]</f>
        <v>8.0045095828635851E-2</v>
      </c>
    </row>
    <row r="114" spans="1:73" x14ac:dyDescent="0.3">
      <c r="A114" s="25">
        <v>2025</v>
      </c>
      <c r="B114" s="26" t="s">
        <v>703</v>
      </c>
      <c r="C114" s="26">
        <f>LN(Inventory[[#This Row],[Acres]])</f>
        <v>-1.6094379124341003</v>
      </c>
      <c r="D114" s="25">
        <v>0.2</v>
      </c>
      <c r="E114" s="25">
        <v>8528</v>
      </c>
      <c r="F114" s="26" t="s">
        <v>537</v>
      </c>
      <c r="G114" s="26" t="s">
        <v>126</v>
      </c>
      <c r="H114" s="26" t="s">
        <v>349</v>
      </c>
      <c r="I114" s="26" t="s">
        <v>538</v>
      </c>
      <c r="J114" s="26" t="s">
        <v>539</v>
      </c>
      <c r="K114" s="26" t="s">
        <v>300</v>
      </c>
      <c r="L114" s="26" t="s">
        <v>148</v>
      </c>
      <c r="M114" s="26" t="s">
        <v>303</v>
      </c>
      <c r="N114" s="26">
        <v>40</v>
      </c>
      <c r="O114" s="26">
        <f>2024-Inventory[[#This Row],[YrBlt]]</f>
        <v>33</v>
      </c>
      <c r="P114" s="26">
        <f>2024-Inventory[[#This Row],[EffYr]]</f>
        <v>33</v>
      </c>
      <c r="Q114" s="25">
        <v>1991</v>
      </c>
      <c r="R114" s="25">
        <v>1991</v>
      </c>
      <c r="S114" s="25">
        <v>1904</v>
      </c>
      <c r="T114" s="31"/>
      <c r="U114" s="25">
        <v>176</v>
      </c>
      <c r="V114" s="25">
        <f>Inventory[[#This Row],[Bsmt]]-Inventory[[#This Row],[FnBsmt]]</f>
        <v>176</v>
      </c>
      <c r="W114" s="31"/>
      <c r="X114" s="27"/>
      <c r="Y114" s="27">
        <f>Inventory[[#This Row],[MainFn]]+Inventory[[#This Row],[UpprFn]]+Inventory[[#This Row],[FnBsmt]]+Inventory[[#This Row],[AddFn]]</f>
        <v>1904</v>
      </c>
      <c r="Z114" s="27">
        <v>2000</v>
      </c>
      <c r="AA114" s="25">
        <v>11</v>
      </c>
      <c r="AB114" s="32">
        <v>864</v>
      </c>
      <c r="AC114" s="31"/>
      <c r="AD114" s="25">
        <v>348</v>
      </c>
      <c r="AE114" s="27"/>
      <c r="AF114" s="27"/>
      <c r="AG114" s="27"/>
      <c r="AH114" s="31"/>
      <c r="AI114" s="25">
        <v>486432</v>
      </c>
      <c r="AJ114" s="25">
        <v>413467</v>
      </c>
      <c r="AK114" s="25">
        <v>0</v>
      </c>
      <c r="AL114" s="25">
        <v>392800</v>
      </c>
      <c r="AM114" s="25">
        <v>58400</v>
      </c>
      <c r="AN114" s="25">
        <v>334400</v>
      </c>
      <c r="AO114" s="25">
        <v>0</v>
      </c>
      <c r="AP114" s="25">
        <f>Lookups!$B$56*0</f>
        <v>0</v>
      </c>
      <c r="AQ114" s="25">
        <f>Lookups!$B$56*1</f>
        <v>89850.625589999996</v>
      </c>
      <c r="AR114" s="25">
        <f>Lookups!$B$57*Inventory[[#This Row],[LnAcres]]</f>
        <v>-50946.13867709865</v>
      </c>
      <c r="AS114" s="25">
        <f>VLOOKUP(Inventory[[#This Row],[Qlty]],Lookups!$A$62:$E$75,2,FALSE)</f>
        <v>44121.038090000002</v>
      </c>
      <c r="AT114" s="25">
        <f>VLOOKUP(Inventory[[#This Row],[Cnd]],Lookups!$A$76:$E$84,2,FALSE)</f>
        <v>197752.34721000001</v>
      </c>
      <c r="AU114" s="25">
        <f>Inventory[[#This Row],[EffAge]]*Lookups!$B$85</f>
        <v>-7360.5048164999998</v>
      </c>
      <c r="AV114" s="25">
        <f>Inventory[[#This Row],[MainFn]]*Lookups!$B$86</f>
        <v>94074.107445807997</v>
      </c>
      <c r="AW114" s="25">
        <f>Inventory[[#This Row],[UpprFn]]*Lookups!$B$87</f>
        <v>0</v>
      </c>
      <c r="AX114" s="25">
        <f>Inventory[[#This Row],[AddFn]]*Lookups!$B$88</f>
        <v>0</v>
      </c>
      <c r="AY114" s="25">
        <f>Inventory[[#This Row],[Bsmt]]*Lookups!$B$89</f>
        <v>5118.4135634719996</v>
      </c>
      <c r="AZ114" s="25">
        <f>Inventory[[#This Row],[Fixtures]]*Lookups!$B$90</f>
        <v>41712.243157199999</v>
      </c>
      <c r="BA114" s="25">
        <f>Inventory[[#This Row],[WdDeck]]*Lookups!$B$91</f>
        <v>11586.839316048001</v>
      </c>
      <c r="BB114" s="25">
        <f>ROUND(Inventory[[#This Row],[25Det]],-2)</f>
        <v>0</v>
      </c>
      <c r="BC114" s="25">
        <f>ROUND(SUM(Inventory[[#This Row],[Mdl Qlty]:[Mdl WdDeck]])+Inventory[[#This Row],[Mdl Res Intercept]],-2)</f>
        <v>387000</v>
      </c>
      <c r="BD114" s="25">
        <f>ROUND(Inventory[[#This Row],[Mdl Land Intercept]]+Inventory[[#This Row],[Mdl LnAcres]],-2)</f>
        <v>38900</v>
      </c>
      <c r="BE114" s="25">
        <f>Inventory[[#This Row],[Unadj Res Value]]+Inventory[[#This Row],[Unadj Det Value]]+Inventory[[#This Row],[Unadj Land Value]]</f>
        <v>425900</v>
      </c>
      <c r="BF114" s="36">
        <f>(Inventory[[#This Row],[Unadj Total Value]]-Inventory[[#This Row],[24Final]])/Inventory[[#This Row],[24Final]]</f>
        <v>8.4266802443991859E-2</v>
      </c>
      <c r="BG114" s="25">
        <f>VLOOKUP(Inventory[[#This Row],[Nbhd]],Lookups!$Q$2:$T$4,4,FALSE)</f>
        <v>0.99970000000000003</v>
      </c>
      <c r="BH114" s="25">
        <f>VLOOKUP(Inventory[[#This Row],[Qlty]],Lookups!$O$7:$R$21,4,FALSE)</f>
        <v>0.98050000000000004</v>
      </c>
      <c r="BI114" s="25">
        <f>VLOOKUP(Inventory[[#This Row],[Cnd]],Lookups!$T$7:$W$16,4,FALSE)</f>
        <v>0.99650000000000005</v>
      </c>
      <c r="BJ114" s="25">
        <f>VLOOKUP(Inventory[[#This Row],[LivArea Range]],Lookups!$T$25:$W$37,4,FALSE)</f>
        <v>1.0093000000000001</v>
      </c>
      <c r="BK114" s="25">
        <f>VLOOKUP(Inventory[[#This Row],[Decade]],Lookups!$O$25:$R$42,4,FALSE)</f>
        <v>1.0157</v>
      </c>
      <c r="BL114" s="25">
        <f>Inventory[[#This Row],[Nbhd Adj]]*0.95</f>
        <v>0.94971499999999998</v>
      </c>
      <c r="BM114" s="25">
        <f>Inventory[[#This Row],[Nbhd Adj]]*Inventory[[#This Row],[Quality Adj]]*Inventory[[#This Row],[Condition Adj]]*Inventory[[#This Row],[Living Area Adj]]*Inventory[[#This Row],[Decade Adj]]*0.95</f>
        <v>0.95127027036479783</v>
      </c>
      <c r="BN114" s="25">
        <f>ROUND(SUM(Inventory[[#This Row],[Mdl Qlty]:[Mdl WdDeck]])+Inventory[[#This Row],[Mdl Res Intercept]]*Inventory[[#This Row],[Res Adj ]],-2)</f>
        <v>387000</v>
      </c>
      <c r="BO114" s="25">
        <f>ROUND(Inventory[[#This Row],[25Det]]*Inventory[[#This Row],[Det/Nbhd Adj]],-2)</f>
        <v>0</v>
      </c>
      <c r="BP114" s="25">
        <f>Inventory[[#This Row],[Adjusted Res]]+Inventory[[#This Row],[Adj Det ]]</f>
        <v>387000</v>
      </c>
      <c r="BQ114" s="25">
        <f>ROUND((Inventory[[#This Row],[Mdl Land Intercept]]+Inventory[[#This Row],[Mdl LnAcres]])*Inventory[[#This Row],[Det/Nbhd Adj]],-2)</f>
        <v>36900</v>
      </c>
      <c r="BR114" s="25">
        <f>Inventory[[#This Row],[Adjusted Impr Total]]+Inventory[[#This Row],[Adjusted Land Total]]</f>
        <v>423900</v>
      </c>
      <c r="BS114" s="36">
        <f>IFERROR((Inventory[[#This Row],[Adjusted Impr Total]]-Inventory[[#This Row],[24Bldg]])/Inventory[[#This Row],[24Bldg]],0)</f>
        <v>0.15729665071770335</v>
      </c>
      <c r="BT114" s="36">
        <f>(Inventory[[#This Row],[Adjusted Land Total]]-Inventory[[#This Row],[24Lnd]])/Inventory[[#This Row],[24Lnd]]</f>
        <v>-0.36815068493150682</v>
      </c>
      <c r="BU114" s="36">
        <f>(Inventory[[#This Row],[Adjusted Total]]-Inventory[[#This Row],[24Final]])/Inventory[[#This Row],[24Final]]</f>
        <v>7.9175152749490829E-2</v>
      </c>
    </row>
    <row r="115" spans="1:73" x14ac:dyDescent="0.3">
      <c r="A115" s="25">
        <v>2025</v>
      </c>
      <c r="B115" s="26" t="s">
        <v>2119</v>
      </c>
      <c r="C115" s="26">
        <f>LN(Inventory[[#This Row],[Acres]])</f>
        <v>-1.3470736479666092</v>
      </c>
      <c r="D115" s="25">
        <v>0.26</v>
      </c>
      <c r="E115" s="25">
        <v>11375</v>
      </c>
      <c r="F115" s="26" t="s">
        <v>537</v>
      </c>
      <c r="G115" s="26" t="s">
        <v>126</v>
      </c>
      <c r="H115" s="26" t="s">
        <v>349</v>
      </c>
      <c r="I115" s="26" t="s">
        <v>538</v>
      </c>
      <c r="J115" s="26" t="s">
        <v>539</v>
      </c>
      <c r="K115" s="26" t="s">
        <v>300</v>
      </c>
      <c r="L115" s="26" t="s">
        <v>148</v>
      </c>
      <c r="M115" s="26" t="s">
        <v>303</v>
      </c>
      <c r="N115" s="26">
        <v>40</v>
      </c>
      <c r="O115" s="26">
        <f>2024-Inventory[[#This Row],[YrBlt]]</f>
        <v>33</v>
      </c>
      <c r="P115" s="26">
        <f>2024-Inventory[[#This Row],[EffYr]]</f>
        <v>33</v>
      </c>
      <c r="Q115" s="25">
        <v>1991</v>
      </c>
      <c r="R115" s="25">
        <v>1991</v>
      </c>
      <c r="S115" s="25">
        <v>1641</v>
      </c>
      <c r="T115" s="27"/>
      <c r="U115" s="31"/>
      <c r="V115" s="31">
        <f>Inventory[[#This Row],[Bsmt]]-Inventory[[#This Row],[FnBsmt]]</f>
        <v>0</v>
      </c>
      <c r="W115" s="31"/>
      <c r="X115" s="27"/>
      <c r="Y115" s="27">
        <f>Inventory[[#This Row],[MainFn]]+Inventory[[#This Row],[UpprFn]]+Inventory[[#This Row],[FnBsmt]]+Inventory[[#This Row],[AddFn]]</f>
        <v>1641</v>
      </c>
      <c r="Z115" s="27">
        <v>2000</v>
      </c>
      <c r="AA115" s="25">
        <v>9</v>
      </c>
      <c r="AB115" s="32">
        <v>720</v>
      </c>
      <c r="AC115" s="31"/>
      <c r="AD115" s="25">
        <v>432</v>
      </c>
      <c r="AE115" s="27"/>
      <c r="AF115" s="27"/>
      <c r="AG115" s="27"/>
      <c r="AH115" s="27"/>
      <c r="AI115" s="25">
        <v>385098</v>
      </c>
      <c r="AJ115" s="25">
        <v>327333</v>
      </c>
      <c r="AK115" s="25">
        <v>0</v>
      </c>
      <c r="AL115" s="25">
        <v>380000</v>
      </c>
      <c r="AM115" s="25">
        <v>67600</v>
      </c>
      <c r="AN115" s="25">
        <v>312400</v>
      </c>
      <c r="AO115" s="25">
        <v>0</v>
      </c>
      <c r="AP115" s="25">
        <f>Lookups!$B$56*0</f>
        <v>0</v>
      </c>
      <c r="AQ115" s="25">
        <f>Lookups!$B$56*1</f>
        <v>89850.625589999996</v>
      </c>
      <c r="AR115" s="25">
        <f>Lookups!$B$57*Inventory[[#This Row],[LnAcres]]</f>
        <v>-42641.098701210125</v>
      </c>
      <c r="AS115" s="25">
        <f>VLOOKUP(Inventory[[#This Row],[Qlty]],Lookups!$A$62:$E$75,2,FALSE)</f>
        <v>44121.038090000002</v>
      </c>
      <c r="AT115" s="25">
        <f>VLOOKUP(Inventory[[#This Row],[Cnd]],Lookups!$A$76:$E$84,2,FALSE)</f>
        <v>197752.34721000001</v>
      </c>
      <c r="AU115" s="25">
        <f>Inventory[[#This Row],[EffAge]]*Lookups!$B$85</f>
        <v>-7360.5048164999998</v>
      </c>
      <c r="AV115" s="25">
        <f>Inventory[[#This Row],[MainFn]]*Lookups!$B$86</f>
        <v>81079.627268156997</v>
      </c>
      <c r="AW115" s="25">
        <f>Inventory[[#This Row],[UpprFn]]*Lookups!$B$87</f>
        <v>0</v>
      </c>
      <c r="AX115" s="25">
        <f>Inventory[[#This Row],[AddFn]]*Lookups!$B$88</f>
        <v>0</v>
      </c>
      <c r="AY115" s="25">
        <f>Inventory[[#This Row],[Bsmt]]*Lookups!$B$89</f>
        <v>0</v>
      </c>
      <c r="AZ115" s="25">
        <f>Inventory[[#This Row],[Fixtures]]*Lookups!$B$90</f>
        <v>34128.198946800003</v>
      </c>
      <c r="BA115" s="25">
        <f>Inventory[[#This Row],[WdDeck]]*Lookups!$B$91</f>
        <v>14383.662599232001</v>
      </c>
      <c r="BB115" s="25">
        <f>ROUND(Inventory[[#This Row],[25Det]],-2)</f>
        <v>0</v>
      </c>
      <c r="BC115" s="25">
        <f>ROUND(SUM(Inventory[[#This Row],[Mdl Qlty]:[Mdl WdDeck]])+Inventory[[#This Row],[Mdl Res Intercept]],-2)</f>
        <v>364100</v>
      </c>
      <c r="BD115" s="25">
        <f>ROUND(Inventory[[#This Row],[Mdl Land Intercept]]+Inventory[[#This Row],[Mdl LnAcres]],-2)</f>
        <v>47200</v>
      </c>
      <c r="BE115" s="25">
        <f>Inventory[[#This Row],[Unadj Res Value]]+Inventory[[#This Row],[Unadj Det Value]]+Inventory[[#This Row],[Unadj Land Value]]</f>
        <v>411300</v>
      </c>
      <c r="BF115" s="36">
        <f>(Inventory[[#This Row],[Unadj Total Value]]-Inventory[[#This Row],[24Final]])/Inventory[[#This Row],[24Final]]</f>
        <v>8.2368421052631577E-2</v>
      </c>
      <c r="BG115" s="25">
        <f>VLOOKUP(Inventory[[#This Row],[Nbhd]],Lookups!$Q$2:$T$4,4,FALSE)</f>
        <v>0.99970000000000003</v>
      </c>
      <c r="BH115" s="25">
        <f>VLOOKUP(Inventory[[#This Row],[Qlty]],Lookups!$O$7:$R$21,4,FALSE)</f>
        <v>0.98050000000000004</v>
      </c>
      <c r="BI115" s="25">
        <f>VLOOKUP(Inventory[[#This Row],[Cnd]],Lookups!$T$7:$W$16,4,FALSE)</f>
        <v>0.99650000000000005</v>
      </c>
      <c r="BJ115" s="25">
        <f>VLOOKUP(Inventory[[#This Row],[LivArea Range]],Lookups!$T$25:$W$37,4,FALSE)</f>
        <v>1.0093000000000001</v>
      </c>
      <c r="BK115" s="25">
        <f>VLOOKUP(Inventory[[#This Row],[Decade]],Lookups!$O$25:$R$42,4,FALSE)</f>
        <v>1.0157</v>
      </c>
      <c r="BL115" s="25">
        <f>Inventory[[#This Row],[Nbhd Adj]]*0.95</f>
        <v>0.94971499999999998</v>
      </c>
      <c r="BM115" s="25">
        <f>Inventory[[#This Row],[Nbhd Adj]]*Inventory[[#This Row],[Quality Adj]]*Inventory[[#This Row],[Condition Adj]]*Inventory[[#This Row],[Living Area Adj]]*Inventory[[#This Row],[Decade Adj]]*0.95</f>
        <v>0.95127027036479783</v>
      </c>
      <c r="BN115" s="25">
        <f>ROUND(SUM(Inventory[[#This Row],[Mdl Qlty]:[Mdl WdDeck]])+Inventory[[#This Row],[Mdl Res Intercept]]*Inventory[[#This Row],[Res Adj ]],-2)</f>
        <v>364100</v>
      </c>
      <c r="BO115" s="25">
        <f>ROUND(Inventory[[#This Row],[25Det]]*Inventory[[#This Row],[Det/Nbhd Adj]],-2)</f>
        <v>0</v>
      </c>
      <c r="BP115" s="25">
        <f>Inventory[[#This Row],[Adjusted Res]]+Inventory[[#This Row],[Adj Det ]]</f>
        <v>364100</v>
      </c>
      <c r="BQ115" s="25">
        <f>ROUND((Inventory[[#This Row],[Mdl Land Intercept]]+Inventory[[#This Row],[Mdl LnAcres]])*Inventory[[#This Row],[Det/Nbhd Adj]],-2)</f>
        <v>44800</v>
      </c>
      <c r="BR115" s="25">
        <f>Inventory[[#This Row],[Adjusted Impr Total]]+Inventory[[#This Row],[Adjusted Land Total]]</f>
        <v>408900</v>
      </c>
      <c r="BS115" s="36">
        <f>IFERROR((Inventory[[#This Row],[Adjusted Impr Total]]-Inventory[[#This Row],[24Bldg]])/Inventory[[#This Row],[24Bldg]],0)</f>
        <v>0.16549295774647887</v>
      </c>
      <c r="BT115" s="36">
        <f>(Inventory[[#This Row],[Adjusted Land Total]]-Inventory[[#This Row],[24Lnd]])/Inventory[[#This Row],[24Lnd]]</f>
        <v>-0.33727810650887574</v>
      </c>
      <c r="BU115" s="36">
        <f>(Inventory[[#This Row],[Adjusted Total]]-Inventory[[#This Row],[24Final]])/Inventory[[#This Row],[24Final]]</f>
        <v>7.6052631578947372E-2</v>
      </c>
    </row>
    <row r="116" spans="1:73" x14ac:dyDescent="0.3">
      <c r="A116" s="25">
        <v>2025</v>
      </c>
      <c r="B116" s="26" t="s">
        <v>2453</v>
      </c>
      <c r="C116" s="26">
        <f>LN(Inventory[[#This Row],[Acres]])</f>
        <v>-1.7719568419318752</v>
      </c>
      <c r="D116" s="25">
        <v>0.17</v>
      </c>
      <c r="E116" s="25">
        <v>7504</v>
      </c>
      <c r="F116" s="26" t="s">
        <v>537</v>
      </c>
      <c r="G116" s="26" t="s">
        <v>126</v>
      </c>
      <c r="H116" s="26" t="s">
        <v>349</v>
      </c>
      <c r="I116" s="26" t="s">
        <v>538</v>
      </c>
      <c r="J116" s="26" t="s">
        <v>539</v>
      </c>
      <c r="K116" s="26" t="s">
        <v>241</v>
      </c>
      <c r="L116" s="26" t="s">
        <v>302</v>
      </c>
      <c r="M116" s="26" t="s">
        <v>303</v>
      </c>
      <c r="N116" s="26">
        <v>40</v>
      </c>
      <c r="O116" s="26">
        <f>2024-Inventory[[#This Row],[YrBlt]]</f>
        <v>33</v>
      </c>
      <c r="P116" s="26">
        <f>2024-Inventory[[#This Row],[EffYr]]</f>
        <v>33</v>
      </c>
      <c r="Q116" s="25">
        <v>1991</v>
      </c>
      <c r="R116" s="25">
        <v>1991</v>
      </c>
      <c r="S116" s="25">
        <v>1384</v>
      </c>
      <c r="T116" s="27"/>
      <c r="U116" s="31"/>
      <c r="V116" s="31">
        <f>Inventory[[#This Row],[Bsmt]]-Inventory[[#This Row],[FnBsmt]]</f>
        <v>0</v>
      </c>
      <c r="W116" s="31"/>
      <c r="X116" s="27"/>
      <c r="Y116" s="27">
        <f>Inventory[[#This Row],[MainFn]]+Inventory[[#This Row],[UpprFn]]+Inventory[[#This Row],[FnBsmt]]+Inventory[[#This Row],[AddFn]]</f>
        <v>1384</v>
      </c>
      <c r="Z116" s="27">
        <v>1500</v>
      </c>
      <c r="AA116" s="25">
        <v>8</v>
      </c>
      <c r="AB116" s="32">
        <v>528</v>
      </c>
      <c r="AC116" s="31"/>
      <c r="AD116" s="25">
        <v>115</v>
      </c>
      <c r="AE116" s="27"/>
      <c r="AF116" s="27"/>
      <c r="AG116" s="27"/>
      <c r="AH116" s="27"/>
      <c r="AI116" s="25">
        <v>294252</v>
      </c>
      <c r="AJ116" s="25">
        <v>250114</v>
      </c>
      <c r="AK116" s="25">
        <v>0</v>
      </c>
      <c r="AL116" s="25">
        <v>332000</v>
      </c>
      <c r="AM116" s="25">
        <v>52700</v>
      </c>
      <c r="AN116" s="25">
        <v>279300</v>
      </c>
      <c r="AO116" s="25">
        <v>0</v>
      </c>
      <c r="AP116" s="25">
        <f>Lookups!$B$56*0</f>
        <v>0</v>
      </c>
      <c r="AQ116" s="25">
        <f>Lookups!$B$56*1</f>
        <v>89850.625589999996</v>
      </c>
      <c r="AR116" s="25">
        <f>Lookups!$B$57*Inventory[[#This Row],[LnAcres]]</f>
        <v>-56090.612940989391</v>
      </c>
      <c r="AS116" s="25">
        <f>VLOOKUP(Inventory[[#This Row],[Qlty]],Lookups!$A$62:$E$75,2,FALSE)</f>
        <v>29814.093161000001</v>
      </c>
      <c r="AT116" s="25">
        <f>VLOOKUP(Inventory[[#This Row],[Cnd]],Lookups!$A$76:$E$84,2,FALSE)</f>
        <v>197752.34721000001</v>
      </c>
      <c r="AU116" s="25">
        <f>Inventory[[#This Row],[EffAge]]*Lookups!$B$85</f>
        <v>-7360.5048164999998</v>
      </c>
      <c r="AV116" s="25">
        <f>Inventory[[#This Row],[MainFn]]*Lookups!$B$86</f>
        <v>68381.599109768009</v>
      </c>
      <c r="AW116" s="25">
        <f>Inventory[[#This Row],[UpprFn]]*Lookups!$B$87</f>
        <v>0</v>
      </c>
      <c r="AX116" s="25">
        <f>Inventory[[#This Row],[AddFn]]*Lookups!$B$88</f>
        <v>0</v>
      </c>
      <c r="AY116" s="25">
        <f>Inventory[[#This Row],[Bsmt]]*Lookups!$B$89</f>
        <v>0</v>
      </c>
      <c r="AZ116" s="25">
        <f>Inventory[[#This Row],[Fixtures]]*Lookups!$B$90</f>
        <v>30336.176841600001</v>
      </c>
      <c r="BA116" s="25">
        <f>Inventory[[#This Row],[WdDeck]]*Lookups!$B$91</f>
        <v>3828.9842567400005</v>
      </c>
      <c r="BB116" s="25">
        <f>ROUND(Inventory[[#This Row],[25Det]],-2)</f>
        <v>0</v>
      </c>
      <c r="BC116" s="25">
        <f>ROUND(SUM(Inventory[[#This Row],[Mdl Qlty]:[Mdl WdDeck]])+Inventory[[#This Row],[Mdl Res Intercept]],-2)</f>
        <v>322800</v>
      </c>
      <c r="BD116" s="25">
        <f>ROUND(Inventory[[#This Row],[Mdl Land Intercept]]+Inventory[[#This Row],[Mdl LnAcres]],-2)</f>
        <v>33800</v>
      </c>
      <c r="BE116" s="25">
        <f>Inventory[[#This Row],[Unadj Res Value]]+Inventory[[#This Row],[Unadj Det Value]]+Inventory[[#This Row],[Unadj Land Value]]</f>
        <v>356600</v>
      </c>
      <c r="BF116" s="36">
        <f>(Inventory[[#This Row],[Unadj Total Value]]-Inventory[[#This Row],[24Final]])/Inventory[[#This Row],[24Final]]</f>
        <v>7.4096385542168672E-2</v>
      </c>
      <c r="BG116" s="25">
        <f>VLOOKUP(Inventory[[#This Row],[Nbhd]],Lookups!$Q$2:$T$4,4,FALSE)</f>
        <v>0.99970000000000003</v>
      </c>
      <c r="BH116" s="25">
        <f>VLOOKUP(Inventory[[#This Row],[Qlty]],Lookups!$O$7:$R$21,4,FALSE)</f>
        <v>1.0088999999999999</v>
      </c>
      <c r="BI116" s="25">
        <f>VLOOKUP(Inventory[[#This Row],[Cnd]],Lookups!$T$7:$W$16,4,FALSE)</f>
        <v>0.99650000000000005</v>
      </c>
      <c r="BJ116" s="25">
        <f>VLOOKUP(Inventory[[#This Row],[LivArea Range]],Lookups!$T$25:$W$37,4,FALSE)</f>
        <v>1.0157</v>
      </c>
      <c r="BK116" s="25">
        <f>VLOOKUP(Inventory[[#This Row],[Decade]],Lookups!$O$25:$R$42,4,FALSE)</f>
        <v>1.0157</v>
      </c>
      <c r="BL116" s="25">
        <f>Inventory[[#This Row],[Nbhd Adj]]*0.95</f>
        <v>0.94971499999999998</v>
      </c>
      <c r="BM116" s="25">
        <f>Inventory[[#This Row],[Nbhd Adj]]*Inventory[[#This Row],[Quality Adj]]*Inventory[[#This Row],[Condition Adj]]*Inventory[[#This Row],[Living Area Adj]]*Inventory[[#This Row],[Decade Adj]]*0.95</f>
        <v>0.98503038520004615</v>
      </c>
      <c r="BN116" s="25">
        <f>ROUND(SUM(Inventory[[#This Row],[Mdl Qlty]:[Mdl WdDeck]])+Inventory[[#This Row],[Mdl Res Intercept]]*Inventory[[#This Row],[Res Adj ]],-2)</f>
        <v>322800</v>
      </c>
      <c r="BO116" s="25">
        <f>ROUND(Inventory[[#This Row],[25Det]]*Inventory[[#This Row],[Det/Nbhd Adj]],-2)</f>
        <v>0</v>
      </c>
      <c r="BP116" s="25">
        <f>Inventory[[#This Row],[Adjusted Res]]+Inventory[[#This Row],[Adj Det ]]</f>
        <v>322800</v>
      </c>
      <c r="BQ116" s="25">
        <f>ROUND((Inventory[[#This Row],[Mdl Land Intercept]]+Inventory[[#This Row],[Mdl LnAcres]])*Inventory[[#This Row],[Det/Nbhd Adj]],-2)</f>
        <v>32100</v>
      </c>
      <c r="BR116" s="25">
        <f>Inventory[[#This Row],[Adjusted Impr Total]]+Inventory[[#This Row],[Adjusted Land Total]]</f>
        <v>354900</v>
      </c>
      <c r="BS116" s="36">
        <f>IFERROR((Inventory[[#This Row],[Adjusted Impr Total]]-Inventory[[#This Row],[24Bldg]])/Inventory[[#This Row],[24Bldg]],0)</f>
        <v>0.15574650912996776</v>
      </c>
      <c r="BT116" s="36">
        <f>(Inventory[[#This Row],[Adjusted Land Total]]-Inventory[[#This Row],[24Lnd]])/Inventory[[#This Row],[24Lnd]]</f>
        <v>-0.39089184060721061</v>
      </c>
      <c r="BU116" s="36">
        <f>(Inventory[[#This Row],[Adjusted Total]]-Inventory[[#This Row],[24Final]])/Inventory[[#This Row],[24Final]]</f>
        <v>6.8975903614457837E-2</v>
      </c>
    </row>
    <row r="117" spans="1:73" x14ac:dyDescent="0.3">
      <c r="A117" s="25">
        <v>2025</v>
      </c>
      <c r="B117" s="26" t="s">
        <v>2913</v>
      </c>
      <c r="C117" s="26">
        <f>LN(Inventory[[#This Row],[Acres]])</f>
        <v>-1.1086626245216111</v>
      </c>
      <c r="D117" s="25">
        <v>0.33</v>
      </c>
      <c r="E117" s="25">
        <v>14471</v>
      </c>
      <c r="F117" s="26" t="s">
        <v>537</v>
      </c>
      <c r="G117" s="26" t="s">
        <v>126</v>
      </c>
      <c r="H117" s="26" t="s">
        <v>349</v>
      </c>
      <c r="I117" s="26" t="s">
        <v>538</v>
      </c>
      <c r="J117" s="26" t="s">
        <v>974</v>
      </c>
      <c r="K117" s="26" t="s">
        <v>448</v>
      </c>
      <c r="L117" s="26" t="s">
        <v>486</v>
      </c>
      <c r="M117" s="26" t="s">
        <v>352</v>
      </c>
      <c r="N117" s="26">
        <v>40</v>
      </c>
      <c r="O117" s="26">
        <f>2024-Inventory[[#This Row],[YrBlt]]</f>
        <v>33</v>
      </c>
      <c r="P117" s="26">
        <f>2024-Inventory[[#This Row],[EffYr]]</f>
        <v>33</v>
      </c>
      <c r="Q117" s="25">
        <v>1991</v>
      </c>
      <c r="R117" s="25">
        <v>1991</v>
      </c>
      <c r="S117" s="25">
        <v>2865</v>
      </c>
      <c r="T117" s="25">
        <v>1362</v>
      </c>
      <c r="U117" s="25">
        <v>500</v>
      </c>
      <c r="V117" s="25">
        <f>Inventory[[#This Row],[Bsmt]]-Inventory[[#This Row],[FnBsmt]]</f>
        <v>0</v>
      </c>
      <c r="W117" s="25">
        <v>500</v>
      </c>
      <c r="X117" s="27"/>
      <c r="Y117" s="27">
        <f>Inventory[[#This Row],[MainFn]]+Inventory[[#This Row],[UpprFn]]+Inventory[[#This Row],[FnBsmt]]+Inventory[[#This Row],[AddFn]]</f>
        <v>4727</v>
      </c>
      <c r="Z117" s="27">
        <v>4500</v>
      </c>
      <c r="AA117" s="25">
        <v>16</v>
      </c>
      <c r="AB117" s="32">
        <v>816</v>
      </c>
      <c r="AC117" s="31"/>
      <c r="AD117" s="25">
        <v>128</v>
      </c>
      <c r="AE117" s="27"/>
      <c r="AF117" s="27"/>
      <c r="AG117" s="27"/>
      <c r="AH117" s="27"/>
      <c r="AI117" s="25">
        <v>1592642</v>
      </c>
      <c r="AJ117" s="25">
        <v>1433378</v>
      </c>
      <c r="AK117" s="25">
        <v>0</v>
      </c>
      <c r="AL117" s="25">
        <v>1010300</v>
      </c>
      <c r="AM117" s="25">
        <v>75900</v>
      </c>
      <c r="AN117" s="25">
        <v>934400</v>
      </c>
      <c r="AO117" s="25">
        <v>0</v>
      </c>
      <c r="AP117" s="25">
        <f>Lookups!$B$56*0</f>
        <v>0</v>
      </c>
      <c r="AQ117" s="25">
        <f>Lookups!$B$56*1</f>
        <v>89850.625589999996</v>
      </c>
      <c r="AR117" s="25">
        <f>Lookups!$B$57*Inventory[[#This Row],[LnAcres]]</f>
        <v>-35094.289365640165</v>
      </c>
      <c r="AS117" s="25">
        <f>VLOOKUP(Inventory[[#This Row],[Qlty]],Lookups!$A$62:$E$75,2,FALSE)</f>
        <v>395688.66519166698</v>
      </c>
      <c r="AT117" s="25">
        <f>VLOOKUP(Inventory[[#This Row],[Cnd]],Lookups!$A$76:$E$84,2,FALSE)</f>
        <v>284810.60806</v>
      </c>
      <c r="AU117" s="25">
        <f>Inventory[[#This Row],[EffAge]]*Lookups!$B$85</f>
        <v>-7360.5048164999998</v>
      </c>
      <c r="AV117" s="25">
        <f>Inventory[[#This Row],[MainFn]]*Lookups!$B$86</f>
        <v>141555.839197605</v>
      </c>
      <c r="AW117" s="25">
        <f>Inventory[[#This Row],[UpprFn]]*Lookups!$B$87</f>
        <v>60999.107936681998</v>
      </c>
      <c r="AX117" s="25">
        <f>Inventory[[#This Row],[AddFn]]*Lookups!$B$88</f>
        <v>0</v>
      </c>
      <c r="AY117" s="25">
        <f>Inventory[[#This Row],[Bsmt]]*Lookups!$B$89</f>
        <v>14540.947623499998</v>
      </c>
      <c r="AZ117" s="25">
        <f>Inventory[[#This Row],[Fixtures]]*Lookups!$B$90</f>
        <v>60672.353683200003</v>
      </c>
      <c r="BA117" s="25">
        <f>Inventory[[#This Row],[WdDeck]]*Lookups!$B$91</f>
        <v>4261.8259553280004</v>
      </c>
      <c r="BB117" s="25">
        <f>ROUND(Inventory[[#This Row],[25Det]],-2)</f>
        <v>0</v>
      </c>
      <c r="BC117" s="25">
        <f>ROUND(SUM(Inventory[[#This Row],[Mdl Qlty]:[Mdl WdDeck]])+Inventory[[#This Row],[Mdl Res Intercept]],-2)</f>
        <v>955200</v>
      </c>
      <c r="BD117" s="25">
        <f>ROUND(Inventory[[#This Row],[Mdl Land Intercept]]+Inventory[[#This Row],[Mdl LnAcres]],-2)</f>
        <v>54800</v>
      </c>
      <c r="BE117" s="25">
        <f>Inventory[[#This Row],[Unadj Res Value]]+Inventory[[#This Row],[Unadj Det Value]]+Inventory[[#This Row],[Unadj Land Value]]</f>
        <v>1010000</v>
      </c>
      <c r="BF117" s="36">
        <f>(Inventory[[#This Row],[Unadj Total Value]]-Inventory[[#This Row],[24Final]])/Inventory[[#This Row],[24Final]]</f>
        <v>-2.9694150252400277E-4</v>
      </c>
      <c r="BG117" s="25">
        <f>VLOOKUP(Inventory[[#This Row],[Nbhd]],Lookups!$Q$2:$T$4,4,FALSE)</f>
        <v>0.99970000000000003</v>
      </c>
      <c r="BH117" s="25">
        <f>VLOOKUP(Inventory[[#This Row],[Qlty]],Lookups!$O$7:$R$21,4,FALSE)</f>
        <v>1</v>
      </c>
      <c r="BI117" s="25">
        <f>VLOOKUP(Inventory[[#This Row],[Cnd]],Lookups!$T$7:$W$16,4,FALSE)</f>
        <v>1.0158</v>
      </c>
      <c r="BJ117" s="25">
        <f>VLOOKUP(Inventory[[#This Row],[LivArea Range]],Lookups!$T$25:$W$37,4,FALSE)</f>
        <v>1</v>
      </c>
      <c r="BK117" s="25">
        <f>VLOOKUP(Inventory[[#This Row],[Decade]],Lookups!$O$25:$R$42,4,FALSE)</f>
        <v>1.0157</v>
      </c>
      <c r="BL117" s="25">
        <f>Inventory[[#This Row],[Nbhd Adj]]*0.95</f>
        <v>0.94971499999999998</v>
      </c>
      <c r="BM117" s="25">
        <f>Inventory[[#This Row],[Nbhd Adj]]*Inventory[[#This Row],[Quality Adj]]*Inventory[[#This Row],[Condition Adj]]*Inventory[[#This Row],[Living Area Adj]]*Inventory[[#This Row],[Decade Adj]]*0.95</f>
        <v>0.97986660880290011</v>
      </c>
      <c r="BN117" s="25">
        <f>ROUND(SUM(Inventory[[#This Row],[Mdl Qlty]:[Mdl WdDeck]])+Inventory[[#This Row],[Mdl Res Intercept]]*Inventory[[#This Row],[Res Adj ]],-2)</f>
        <v>955200</v>
      </c>
      <c r="BO117" s="25">
        <f>ROUND(Inventory[[#This Row],[25Det]]*Inventory[[#This Row],[Det/Nbhd Adj]],-2)</f>
        <v>0</v>
      </c>
      <c r="BP117" s="25">
        <f>Inventory[[#This Row],[Adjusted Res]]+Inventory[[#This Row],[Adj Det ]]</f>
        <v>955200</v>
      </c>
      <c r="BQ117" s="25">
        <f>ROUND((Inventory[[#This Row],[Mdl Land Intercept]]+Inventory[[#This Row],[Mdl LnAcres]])*Inventory[[#This Row],[Det/Nbhd Adj]],-2)</f>
        <v>52000</v>
      </c>
      <c r="BR117" s="25">
        <f>Inventory[[#This Row],[Adjusted Impr Total]]+Inventory[[#This Row],[Adjusted Land Total]]</f>
        <v>1007200</v>
      </c>
      <c r="BS117" s="36">
        <f>IFERROR((Inventory[[#This Row],[Adjusted Impr Total]]-Inventory[[#This Row],[24Bldg]])/Inventory[[#This Row],[24Bldg]],0)</f>
        <v>2.2260273972602738E-2</v>
      </c>
      <c r="BT117" s="36">
        <f>(Inventory[[#This Row],[Adjusted Land Total]]-Inventory[[#This Row],[24Lnd]])/Inventory[[#This Row],[24Lnd]]</f>
        <v>-0.31488801054018445</v>
      </c>
      <c r="BU117" s="36">
        <f>(Inventory[[#This Row],[Adjusted Total]]-Inventory[[#This Row],[24Final]])/Inventory[[#This Row],[24Final]]</f>
        <v>-3.0683955260813619E-3</v>
      </c>
    </row>
    <row r="118" spans="1:73" x14ac:dyDescent="0.3">
      <c r="A118" s="25">
        <v>2025</v>
      </c>
      <c r="B118" s="26" t="s">
        <v>2449</v>
      </c>
      <c r="C118" s="26">
        <f>LN(Inventory[[#This Row],[Acres]])</f>
        <v>-1.7147984280919266</v>
      </c>
      <c r="D118" s="25">
        <v>0.18</v>
      </c>
      <c r="E118" s="25">
        <v>7728</v>
      </c>
      <c r="F118" s="26" t="s">
        <v>537</v>
      </c>
      <c r="G118" s="26" t="s">
        <v>126</v>
      </c>
      <c r="H118" s="26" t="s">
        <v>349</v>
      </c>
      <c r="I118" s="26" t="s">
        <v>538</v>
      </c>
      <c r="J118" s="26" t="s">
        <v>539</v>
      </c>
      <c r="K118" s="26" t="s">
        <v>241</v>
      </c>
      <c r="L118" s="26" t="s">
        <v>351</v>
      </c>
      <c r="M118" s="26" t="s">
        <v>303</v>
      </c>
      <c r="N118" s="26">
        <v>40</v>
      </c>
      <c r="O118" s="26">
        <f>2024-Inventory[[#This Row],[YrBlt]]</f>
        <v>34</v>
      </c>
      <c r="P118" s="26">
        <f>2024-Inventory[[#This Row],[EffYr]]</f>
        <v>34</v>
      </c>
      <c r="Q118" s="25">
        <v>1990</v>
      </c>
      <c r="R118" s="25">
        <v>1990</v>
      </c>
      <c r="S118" s="25">
        <v>1116</v>
      </c>
      <c r="T118" s="27"/>
      <c r="U118" s="25">
        <v>775</v>
      </c>
      <c r="V118" s="25">
        <f>Inventory[[#This Row],[Bsmt]]-Inventory[[#This Row],[FnBsmt]]</f>
        <v>775</v>
      </c>
      <c r="W118" s="31"/>
      <c r="X118" s="27"/>
      <c r="Y118" s="27">
        <f>Inventory[[#This Row],[MainFn]]+Inventory[[#This Row],[UpprFn]]+Inventory[[#This Row],[FnBsmt]]+Inventory[[#This Row],[AddFn]]</f>
        <v>1116</v>
      </c>
      <c r="Z118" s="27">
        <v>1500</v>
      </c>
      <c r="AA118" s="25">
        <v>10</v>
      </c>
      <c r="AB118" s="27"/>
      <c r="AC118" s="25">
        <v>325</v>
      </c>
      <c r="AD118" s="25">
        <v>120</v>
      </c>
      <c r="AE118" s="27"/>
      <c r="AF118" s="27"/>
      <c r="AG118" s="27"/>
      <c r="AH118" s="27"/>
      <c r="AI118" s="25">
        <v>240402</v>
      </c>
      <c r="AJ118" s="25">
        <v>204342</v>
      </c>
      <c r="AK118" s="25">
        <v>0</v>
      </c>
      <c r="AL118" s="25">
        <v>333100</v>
      </c>
      <c r="AM118" s="25">
        <v>54700</v>
      </c>
      <c r="AN118" s="25">
        <v>278400</v>
      </c>
      <c r="AO118" s="25">
        <v>0</v>
      </c>
      <c r="AP118" s="25">
        <f>Lookups!$B$56*0</f>
        <v>0</v>
      </c>
      <c r="AQ118" s="25">
        <f>Lookups!$B$56*1</f>
        <v>89850.625589999996</v>
      </c>
      <c r="AR118" s="25">
        <f>Lookups!$B$57*Inventory[[#This Row],[LnAcres]]</f>
        <v>-54281.285314520763</v>
      </c>
      <c r="AS118" s="25">
        <f>VLOOKUP(Inventory[[#This Row],[Qlty]],Lookups!$A$62:$E$75,2,FALSE)</f>
        <v>21557.329055999999</v>
      </c>
      <c r="AT118" s="25">
        <f>VLOOKUP(Inventory[[#This Row],[Cnd]],Lookups!$A$76:$E$84,2,FALSE)</f>
        <v>197752.34721000001</v>
      </c>
      <c r="AU118" s="25">
        <f>Inventory[[#This Row],[EffAge]]*Lookups!$B$85</f>
        <v>-7583.5504170000004</v>
      </c>
      <c r="AV118" s="25">
        <f>Inventory[[#This Row],[MainFn]]*Lookups!$B$86</f>
        <v>55140.075582732003</v>
      </c>
      <c r="AW118" s="25">
        <f>Inventory[[#This Row],[UpprFn]]*Lookups!$B$87</f>
        <v>0</v>
      </c>
      <c r="AX118" s="25">
        <f>Inventory[[#This Row],[AddFn]]*Lookups!$B$88</f>
        <v>0</v>
      </c>
      <c r="AY118" s="25">
        <f>Inventory[[#This Row],[Bsmt]]*Lookups!$B$89</f>
        <v>22538.468816425</v>
      </c>
      <c r="AZ118" s="25">
        <f>Inventory[[#This Row],[Fixtures]]*Lookups!$B$90</f>
        <v>37920.221052000001</v>
      </c>
      <c r="BA118" s="25">
        <f>Inventory[[#This Row],[WdDeck]]*Lookups!$B$91</f>
        <v>3995.4618331200004</v>
      </c>
      <c r="BB118" s="25">
        <f>ROUND(Inventory[[#This Row],[25Det]],-2)</f>
        <v>0</v>
      </c>
      <c r="BC118" s="25">
        <f>ROUND(SUM(Inventory[[#This Row],[Mdl Qlty]:[Mdl WdDeck]])+Inventory[[#This Row],[Mdl Res Intercept]],-2)</f>
        <v>331300</v>
      </c>
      <c r="BD118" s="25">
        <f>ROUND(Inventory[[#This Row],[Mdl Land Intercept]]+Inventory[[#This Row],[Mdl LnAcres]],-2)</f>
        <v>35600</v>
      </c>
      <c r="BE118" s="25">
        <f>Inventory[[#This Row],[Unadj Res Value]]+Inventory[[#This Row],[Unadj Det Value]]+Inventory[[#This Row],[Unadj Land Value]]</f>
        <v>366900</v>
      </c>
      <c r="BF118" s="36">
        <f>(Inventory[[#This Row],[Unadj Total Value]]-Inventory[[#This Row],[24Final]])/Inventory[[#This Row],[24Final]]</f>
        <v>0.10147102972080456</v>
      </c>
      <c r="BG118" s="25">
        <f>VLOOKUP(Inventory[[#This Row],[Nbhd]],Lookups!$Q$2:$T$4,4,FALSE)</f>
        <v>0.99970000000000003</v>
      </c>
      <c r="BH118" s="25">
        <f>VLOOKUP(Inventory[[#This Row],[Qlty]],Lookups!$O$7:$R$21,4,FALSE)</f>
        <v>1.0067999999999999</v>
      </c>
      <c r="BI118" s="25">
        <f>VLOOKUP(Inventory[[#This Row],[Cnd]],Lookups!$T$7:$W$16,4,FALSE)</f>
        <v>0.99650000000000005</v>
      </c>
      <c r="BJ118" s="25">
        <f>VLOOKUP(Inventory[[#This Row],[LivArea Range]],Lookups!$T$25:$W$37,4,FALSE)</f>
        <v>1.0157</v>
      </c>
      <c r="BK118" s="25">
        <f>VLOOKUP(Inventory[[#This Row],[Decade]],Lookups!$O$25:$R$42,4,FALSE)</f>
        <v>1.0157</v>
      </c>
      <c r="BL118" s="25">
        <f>Inventory[[#This Row],[Nbhd Adj]]*0.95</f>
        <v>0.94971499999999998</v>
      </c>
      <c r="BM118" s="25">
        <f>Inventory[[#This Row],[Nbhd Adj]]*Inventory[[#This Row],[Quality Adj]]*Inventory[[#This Row],[Condition Adj]]*Inventory[[#This Row],[Living Area Adj]]*Inventory[[#This Row],[Decade Adj]]*0.95</f>
        <v>0.98298006920349545</v>
      </c>
      <c r="BN118" s="25">
        <f>ROUND(SUM(Inventory[[#This Row],[Mdl Qlty]:[Mdl WdDeck]])+Inventory[[#This Row],[Mdl Res Intercept]]*Inventory[[#This Row],[Res Adj ]],-2)</f>
        <v>331300</v>
      </c>
      <c r="BO118" s="25">
        <f>ROUND(Inventory[[#This Row],[25Det]]*Inventory[[#This Row],[Det/Nbhd Adj]],-2)</f>
        <v>0</v>
      </c>
      <c r="BP118" s="25">
        <f>Inventory[[#This Row],[Adjusted Res]]+Inventory[[#This Row],[Adj Det ]]</f>
        <v>331300</v>
      </c>
      <c r="BQ118" s="25">
        <f>ROUND((Inventory[[#This Row],[Mdl Land Intercept]]+Inventory[[#This Row],[Mdl LnAcres]])*Inventory[[#This Row],[Det/Nbhd Adj]],-2)</f>
        <v>33800</v>
      </c>
      <c r="BR118" s="25">
        <f>Inventory[[#This Row],[Adjusted Impr Total]]+Inventory[[#This Row],[Adjusted Land Total]]</f>
        <v>365100</v>
      </c>
      <c r="BS118" s="36">
        <f>IFERROR((Inventory[[#This Row],[Adjusted Impr Total]]-Inventory[[#This Row],[24Bldg]])/Inventory[[#This Row],[24Bldg]],0)</f>
        <v>0.19001436781609196</v>
      </c>
      <c r="BT118" s="36">
        <f>(Inventory[[#This Row],[Adjusted Land Total]]-Inventory[[#This Row],[24Lnd]])/Inventory[[#This Row],[24Lnd]]</f>
        <v>-0.38208409506398539</v>
      </c>
      <c r="BU118" s="36">
        <f>(Inventory[[#This Row],[Adjusted Total]]-Inventory[[#This Row],[24Final]])/Inventory[[#This Row],[24Final]]</f>
        <v>9.606724707295107E-2</v>
      </c>
    </row>
    <row r="119" spans="1:73" x14ac:dyDescent="0.3">
      <c r="A119" s="25">
        <v>2025</v>
      </c>
      <c r="B119" s="26" t="s">
        <v>2450</v>
      </c>
      <c r="C119" s="26">
        <f>LN(Inventory[[#This Row],[Acres]])</f>
        <v>-1.7719568419318752</v>
      </c>
      <c r="D119" s="25">
        <v>0.17</v>
      </c>
      <c r="E119" s="25">
        <v>7528</v>
      </c>
      <c r="F119" s="26" t="s">
        <v>537</v>
      </c>
      <c r="G119" s="26" t="s">
        <v>126</v>
      </c>
      <c r="H119" s="26" t="s">
        <v>349</v>
      </c>
      <c r="I119" s="26" t="s">
        <v>538</v>
      </c>
      <c r="J119" s="26" t="s">
        <v>539</v>
      </c>
      <c r="K119" s="26" t="s">
        <v>241</v>
      </c>
      <c r="L119" s="26" t="s">
        <v>351</v>
      </c>
      <c r="M119" s="26" t="s">
        <v>206</v>
      </c>
      <c r="N119" s="26">
        <v>40</v>
      </c>
      <c r="O119" s="26">
        <f>2024-Inventory[[#This Row],[YrBlt]]</f>
        <v>34</v>
      </c>
      <c r="P119" s="26">
        <f>2024-Inventory[[#This Row],[EffYr]]</f>
        <v>34</v>
      </c>
      <c r="Q119" s="25">
        <v>1990</v>
      </c>
      <c r="R119" s="25">
        <v>1990</v>
      </c>
      <c r="S119" s="25">
        <v>1324</v>
      </c>
      <c r="T119" s="31"/>
      <c r="U119" s="31"/>
      <c r="V119" s="31">
        <f>Inventory[[#This Row],[Bsmt]]-Inventory[[#This Row],[FnBsmt]]</f>
        <v>0</v>
      </c>
      <c r="W119" s="31"/>
      <c r="X119" s="27"/>
      <c r="Y119" s="27">
        <f>Inventory[[#This Row],[MainFn]]+Inventory[[#This Row],[UpprFn]]+Inventory[[#This Row],[FnBsmt]]+Inventory[[#This Row],[AddFn]]</f>
        <v>1324</v>
      </c>
      <c r="Z119" s="27">
        <v>1500</v>
      </c>
      <c r="AA119" s="25">
        <v>8</v>
      </c>
      <c r="AB119" s="32">
        <v>480</v>
      </c>
      <c r="AC119" s="31"/>
      <c r="AD119" s="31"/>
      <c r="AE119" s="27"/>
      <c r="AF119" s="27"/>
      <c r="AG119" s="27"/>
      <c r="AH119" s="27"/>
      <c r="AI119" s="25">
        <v>233451</v>
      </c>
      <c r="AJ119" s="25">
        <v>193764</v>
      </c>
      <c r="AK119" s="25">
        <v>0</v>
      </c>
      <c r="AL119" s="25">
        <v>265500</v>
      </c>
      <c r="AM119" s="25">
        <v>52700</v>
      </c>
      <c r="AN119" s="25">
        <v>212800</v>
      </c>
      <c r="AO119" s="25">
        <v>0</v>
      </c>
      <c r="AP119" s="25">
        <f>Lookups!$B$56*0</f>
        <v>0</v>
      </c>
      <c r="AQ119" s="25">
        <f>Lookups!$B$56*1</f>
        <v>89850.625589999996</v>
      </c>
      <c r="AR119" s="25">
        <f>Lookups!$B$57*Inventory[[#This Row],[LnAcres]]</f>
        <v>-56090.612940989391</v>
      </c>
      <c r="AS119" s="25">
        <f>VLOOKUP(Inventory[[#This Row],[Qlty]],Lookups!$A$62:$E$75,2,FALSE)</f>
        <v>21557.329055999999</v>
      </c>
      <c r="AT119" s="25">
        <f>VLOOKUP(Inventory[[#This Row],[Cnd]],Lookups!$A$76:$E$84,2,FALSE)</f>
        <v>133714.53821</v>
      </c>
      <c r="AU119" s="25">
        <f>Inventory[[#This Row],[EffAge]]*Lookups!$B$85</f>
        <v>-7583.5504170000004</v>
      </c>
      <c r="AV119" s="25">
        <f>Inventory[[#This Row],[MainFn]]*Lookups!$B$86</f>
        <v>65417.078917147999</v>
      </c>
      <c r="AW119" s="25">
        <f>Inventory[[#This Row],[UpprFn]]*Lookups!$B$87</f>
        <v>0</v>
      </c>
      <c r="AX119" s="25">
        <f>Inventory[[#This Row],[AddFn]]*Lookups!$B$88</f>
        <v>0</v>
      </c>
      <c r="AY119" s="25">
        <f>Inventory[[#This Row],[Bsmt]]*Lookups!$B$89</f>
        <v>0</v>
      </c>
      <c r="AZ119" s="25">
        <f>Inventory[[#This Row],[Fixtures]]*Lookups!$B$90</f>
        <v>30336.176841600001</v>
      </c>
      <c r="BA119" s="25">
        <f>Inventory[[#This Row],[WdDeck]]*Lookups!$B$91</f>
        <v>0</v>
      </c>
      <c r="BB119" s="25">
        <f>ROUND(Inventory[[#This Row],[25Det]],-2)</f>
        <v>0</v>
      </c>
      <c r="BC119" s="25">
        <f>ROUND(SUM(Inventory[[#This Row],[Mdl Qlty]:[Mdl WdDeck]])+Inventory[[#This Row],[Mdl Res Intercept]],-2)</f>
        <v>243400</v>
      </c>
      <c r="BD119" s="25">
        <f>ROUND(Inventory[[#This Row],[Mdl Land Intercept]]+Inventory[[#This Row],[Mdl LnAcres]],-2)</f>
        <v>33800</v>
      </c>
      <c r="BE119" s="25">
        <f>Inventory[[#This Row],[Unadj Res Value]]+Inventory[[#This Row],[Unadj Det Value]]+Inventory[[#This Row],[Unadj Land Value]]</f>
        <v>277200</v>
      </c>
      <c r="BF119" s="36">
        <f>(Inventory[[#This Row],[Unadj Total Value]]-Inventory[[#This Row],[24Final]])/Inventory[[#This Row],[24Final]]</f>
        <v>4.4067796610169491E-2</v>
      </c>
      <c r="BG119" s="25">
        <f>VLOOKUP(Inventory[[#This Row],[Nbhd]],Lookups!$Q$2:$T$4,4,FALSE)</f>
        <v>0.99970000000000003</v>
      </c>
      <c r="BH119" s="25">
        <f>VLOOKUP(Inventory[[#This Row],[Qlty]],Lookups!$O$7:$R$21,4,FALSE)</f>
        <v>1.0067999999999999</v>
      </c>
      <c r="BI119" s="25">
        <f>VLOOKUP(Inventory[[#This Row],[Cnd]],Lookups!$T$7:$W$16,4,FALSE)</f>
        <v>0.99329999999999996</v>
      </c>
      <c r="BJ119" s="25">
        <f>VLOOKUP(Inventory[[#This Row],[LivArea Range]],Lookups!$T$25:$W$37,4,FALSE)</f>
        <v>1.0157</v>
      </c>
      <c r="BK119" s="25">
        <f>VLOOKUP(Inventory[[#This Row],[Decade]],Lookups!$O$25:$R$42,4,FALSE)</f>
        <v>1.0157</v>
      </c>
      <c r="BL119" s="25">
        <f>Inventory[[#This Row],[Nbhd Adj]]*0.95</f>
        <v>0.94971499999999998</v>
      </c>
      <c r="BM119" s="25">
        <f>Inventory[[#This Row],[Nbhd Adj]]*Inventory[[#This Row],[Quality Adj]]*Inventory[[#This Row],[Condition Adj]]*Inventory[[#This Row],[Living Area Adj]]*Inventory[[#This Row],[Decade Adj]]*0.95</f>
        <v>0.97982348493711191</v>
      </c>
      <c r="BN119" s="25">
        <f>ROUND(SUM(Inventory[[#This Row],[Mdl Qlty]:[Mdl WdDeck]])+Inventory[[#This Row],[Mdl Res Intercept]]*Inventory[[#This Row],[Res Adj ]],-2)</f>
        <v>243400</v>
      </c>
      <c r="BO119" s="25">
        <f>ROUND(Inventory[[#This Row],[25Det]]*Inventory[[#This Row],[Det/Nbhd Adj]],-2)</f>
        <v>0</v>
      </c>
      <c r="BP119" s="25">
        <f>Inventory[[#This Row],[Adjusted Res]]+Inventory[[#This Row],[Adj Det ]]</f>
        <v>243400</v>
      </c>
      <c r="BQ119" s="25">
        <f>ROUND((Inventory[[#This Row],[Mdl Land Intercept]]+Inventory[[#This Row],[Mdl LnAcres]])*Inventory[[#This Row],[Det/Nbhd Adj]],-2)</f>
        <v>32100</v>
      </c>
      <c r="BR119" s="25">
        <f>Inventory[[#This Row],[Adjusted Impr Total]]+Inventory[[#This Row],[Adjusted Land Total]]</f>
        <v>275500</v>
      </c>
      <c r="BS119" s="36">
        <f>IFERROR((Inventory[[#This Row],[Adjusted Impr Total]]-Inventory[[#This Row],[24Bldg]])/Inventory[[#This Row],[24Bldg]],0)</f>
        <v>0.14379699248120301</v>
      </c>
      <c r="BT119" s="36">
        <f>(Inventory[[#This Row],[Adjusted Land Total]]-Inventory[[#This Row],[24Lnd]])/Inventory[[#This Row],[24Lnd]]</f>
        <v>-0.39089184060721061</v>
      </c>
      <c r="BU119" s="36">
        <f>(Inventory[[#This Row],[Adjusted Total]]-Inventory[[#This Row],[24Final]])/Inventory[[#This Row],[24Final]]</f>
        <v>3.7664783427495289E-2</v>
      </c>
    </row>
    <row r="120" spans="1:73" x14ac:dyDescent="0.3">
      <c r="A120" s="25">
        <v>2025</v>
      </c>
      <c r="B120" s="26" t="s">
        <v>2451</v>
      </c>
      <c r="C120" s="26">
        <f>LN(Inventory[[#This Row],[Acres]])</f>
        <v>-1.7719568419318752</v>
      </c>
      <c r="D120" s="25">
        <v>0.17</v>
      </c>
      <c r="E120" s="25">
        <v>7516</v>
      </c>
      <c r="F120" s="26" t="s">
        <v>537</v>
      </c>
      <c r="G120" s="26" t="s">
        <v>126</v>
      </c>
      <c r="H120" s="26" t="s">
        <v>349</v>
      </c>
      <c r="I120" s="26" t="s">
        <v>538</v>
      </c>
      <c r="J120" s="26" t="s">
        <v>539</v>
      </c>
      <c r="K120" s="26" t="s">
        <v>241</v>
      </c>
      <c r="L120" s="26" t="s">
        <v>351</v>
      </c>
      <c r="M120" s="26" t="s">
        <v>323</v>
      </c>
      <c r="N120" s="26">
        <v>40</v>
      </c>
      <c r="O120" s="26">
        <f>2024-Inventory[[#This Row],[YrBlt]]</f>
        <v>34</v>
      </c>
      <c r="P120" s="26">
        <f>2024-Inventory[[#This Row],[EffYr]]</f>
        <v>34</v>
      </c>
      <c r="Q120" s="25">
        <v>1990</v>
      </c>
      <c r="R120" s="25">
        <v>1990</v>
      </c>
      <c r="S120" s="25">
        <v>1324</v>
      </c>
      <c r="T120" s="31"/>
      <c r="U120" s="31"/>
      <c r="V120" s="31">
        <f>Inventory[[#This Row],[Bsmt]]-Inventory[[#This Row],[FnBsmt]]</f>
        <v>0</v>
      </c>
      <c r="W120" s="31"/>
      <c r="X120" s="27"/>
      <c r="Y120" s="27">
        <f>Inventory[[#This Row],[MainFn]]+Inventory[[#This Row],[UpprFn]]+Inventory[[#This Row],[FnBsmt]]+Inventory[[#This Row],[AddFn]]</f>
        <v>1324</v>
      </c>
      <c r="Z120" s="27">
        <v>1500</v>
      </c>
      <c r="AA120" s="25">
        <v>8</v>
      </c>
      <c r="AB120" s="32">
        <v>480</v>
      </c>
      <c r="AC120" s="31"/>
      <c r="AD120" s="31"/>
      <c r="AE120" s="27"/>
      <c r="AF120" s="27"/>
      <c r="AG120" s="27"/>
      <c r="AH120" s="27"/>
      <c r="AI120" s="25">
        <v>236925</v>
      </c>
      <c r="AJ120" s="25">
        <v>199017</v>
      </c>
      <c r="AK120" s="25">
        <v>0</v>
      </c>
      <c r="AL120" s="25">
        <v>299700</v>
      </c>
      <c r="AM120" s="25">
        <v>52700</v>
      </c>
      <c r="AN120" s="25">
        <v>247000</v>
      </c>
      <c r="AO120" s="25">
        <v>0</v>
      </c>
      <c r="AP120" s="25">
        <f>Lookups!$B$56*0</f>
        <v>0</v>
      </c>
      <c r="AQ120" s="25">
        <f>Lookups!$B$56*1</f>
        <v>89850.625589999996</v>
      </c>
      <c r="AR120" s="25">
        <f>Lookups!$B$57*Inventory[[#This Row],[LnAcres]]</f>
        <v>-56090.612940989391</v>
      </c>
      <c r="AS120" s="25">
        <f>VLOOKUP(Inventory[[#This Row],[Qlty]],Lookups!$A$62:$E$75,2,FALSE)</f>
        <v>21557.329055999999</v>
      </c>
      <c r="AT120" s="25">
        <f>VLOOKUP(Inventory[[#This Row],[Cnd]],Lookups!$A$76:$E$84,2,FALSE)</f>
        <v>160472.20319</v>
      </c>
      <c r="AU120" s="25">
        <f>Inventory[[#This Row],[EffAge]]*Lookups!$B$85</f>
        <v>-7583.5504170000004</v>
      </c>
      <c r="AV120" s="25">
        <f>Inventory[[#This Row],[MainFn]]*Lookups!$B$86</f>
        <v>65417.078917147999</v>
      </c>
      <c r="AW120" s="25">
        <f>Inventory[[#This Row],[UpprFn]]*Lookups!$B$87</f>
        <v>0</v>
      </c>
      <c r="AX120" s="25">
        <f>Inventory[[#This Row],[AddFn]]*Lookups!$B$88</f>
        <v>0</v>
      </c>
      <c r="AY120" s="25">
        <f>Inventory[[#This Row],[Bsmt]]*Lookups!$B$89</f>
        <v>0</v>
      </c>
      <c r="AZ120" s="25">
        <f>Inventory[[#This Row],[Fixtures]]*Lookups!$B$90</f>
        <v>30336.176841600001</v>
      </c>
      <c r="BA120" s="25">
        <f>Inventory[[#This Row],[WdDeck]]*Lookups!$B$91</f>
        <v>0</v>
      </c>
      <c r="BB120" s="25">
        <f>ROUND(Inventory[[#This Row],[25Det]],-2)</f>
        <v>0</v>
      </c>
      <c r="BC120" s="25">
        <f>ROUND(SUM(Inventory[[#This Row],[Mdl Qlty]:[Mdl WdDeck]])+Inventory[[#This Row],[Mdl Res Intercept]],-2)</f>
        <v>270200</v>
      </c>
      <c r="BD120" s="25">
        <f>ROUND(Inventory[[#This Row],[Mdl Land Intercept]]+Inventory[[#This Row],[Mdl LnAcres]],-2)</f>
        <v>33800</v>
      </c>
      <c r="BE120" s="25">
        <f>Inventory[[#This Row],[Unadj Res Value]]+Inventory[[#This Row],[Unadj Det Value]]+Inventory[[#This Row],[Unadj Land Value]]</f>
        <v>304000</v>
      </c>
      <c r="BF120" s="36">
        <f>(Inventory[[#This Row],[Unadj Total Value]]-Inventory[[#This Row],[24Final]])/Inventory[[#This Row],[24Final]]</f>
        <v>1.434768101434768E-2</v>
      </c>
      <c r="BG120" s="25">
        <f>VLOOKUP(Inventory[[#This Row],[Nbhd]],Lookups!$Q$2:$T$4,4,FALSE)</f>
        <v>0.99970000000000003</v>
      </c>
      <c r="BH120" s="25">
        <f>VLOOKUP(Inventory[[#This Row],[Qlty]],Lookups!$O$7:$R$21,4,FALSE)</f>
        <v>1.0067999999999999</v>
      </c>
      <c r="BI120" s="25">
        <f>VLOOKUP(Inventory[[#This Row],[Cnd]],Lookups!$T$7:$W$16,4,FALSE)</f>
        <v>0.99729999999999996</v>
      </c>
      <c r="BJ120" s="25">
        <f>VLOOKUP(Inventory[[#This Row],[LivArea Range]],Lookups!$T$25:$W$37,4,FALSE)</f>
        <v>1.0157</v>
      </c>
      <c r="BK120" s="25">
        <f>VLOOKUP(Inventory[[#This Row],[Decade]],Lookups!$O$25:$R$42,4,FALSE)</f>
        <v>1.0157</v>
      </c>
      <c r="BL120" s="25">
        <f>Inventory[[#This Row],[Nbhd Adj]]*0.95</f>
        <v>0.94971499999999998</v>
      </c>
      <c r="BM120" s="25">
        <f>Inventory[[#This Row],[Nbhd Adj]]*Inventory[[#This Row],[Quality Adj]]*Inventory[[#This Row],[Condition Adj]]*Inventory[[#This Row],[Living Area Adj]]*Inventory[[#This Row],[Decade Adj]]*0.95</f>
        <v>0.9837692152700912</v>
      </c>
      <c r="BN120" s="25">
        <f>ROUND(SUM(Inventory[[#This Row],[Mdl Qlty]:[Mdl WdDeck]])+Inventory[[#This Row],[Mdl Res Intercept]]*Inventory[[#This Row],[Res Adj ]],-2)</f>
        <v>270200</v>
      </c>
      <c r="BO120" s="25">
        <f>ROUND(Inventory[[#This Row],[25Det]]*Inventory[[#This Row],[Det/Nbhd Adj]],-2)</f>
        <v>0</v>
      </c>
      <c r="BP120" s="25">
        <f>Inventory[[#This Row],[Adjusted Res]]+Inventory[[#This Row],[Adj Det ]]</f>
        <v>270200</v>
      </c>
      <c r="BQ120" s="25">
        <f>ROUND((Inventory[[#This Row],[Mdl Land Intercept]]+Inventory[[#This Row],[Mdl LnAcres]])*Inventory[[#This Row],[Det/Nbhd Adj]],-2)</f>
        <v>32100</v>
      </c>
      <c r="BR120" s="25">
        <f>Inventory[[#This Row],[Adjusted Impr Total]]+Inventory[[#This Row],[Adjusted Land Total]]</f>
        <v>302300</v>
      </c>
      <c r="BS120" s="36">
        <f>IFERROR((Inventory[[#This Row],[Adjusted Impr Total]]-Inventory[[#This Row],[24Bldg]])/Inventory[[#This Row],[24Bldg]],0)</f>
        <v>9.3927125506072878E-2</v>
      </c>
      <c r="BT120" s="36">
        <f>(Inventory[[#This Row],[Adjusted Land Total]]-Inventory[[#This Row],[24Lnd]])/Inventory[[#This Row],[24Lnd]]</f>
        <v>-0.39089184060721061</v>
      </c>
      <c r="BU120" s="36">
        <f>(Inventory[[#This Row],[Adjusted Total]]-Inventory[[#This Row],[24Final]])/Inventory[[#This Row],[24Final]]</f>
        <v>8.6753420086753425E-3</v>
      </c>
    </row>
    <row r="121" spans="1:73" x14ac:dyDescent="0.3">
      <c r="A121" s="25">
        <v>2025</v>
      </c>
      <c r="B121" s="26" t="s">
        <v>2452</v>
      </c>
      <c r="C121" s="26">
        <f>LN(Inventory[[#This Row],[Acres]])</f>
        <v>-1.7719568419318752</v>
      </c>
      <c r="D121" s="25">
        <v>0.17</v>
      </c>
      <c r="E121" s="25">
        <v>7501</v>
      </c>
      <c r="F121" s="26" t="s">
        <v>537</v>
      </c>
      <c r="G121" s="26" t="s">
        <v>126</v>
      </c>
      <c r="H121" s="26" t="s">
        <v>349</v>
      </c>
      <c r="I121" s="26" t="s">
        <v>538</v>
      </c>
      <c r="J121" s="26" t="s">
        <v>539</v>
      </c>
      <c r="K121" s="26" t="s">
        <v>300</v>
      </c>
      <c r="L121" s="26" t="s">
        <v>302</v>
      </c>
      <c r="M121" s="26" t="s">
        <v>303</v>
      </c>
      <c r="N121" s="26">
        <v>40</v>
      </c>
      <c r="O121" s="26">
        <f>2024-Inventory[[#This Row],[YrBlt]]</f>
        <v>35</v>
      </c>
      <c r="P121" s="26">
        <f>2024-Inventory[[#This Row],[EffYr]]</f>
        <v>35</v>
      </c>
      <c r="Q121" s="25">
        <v>1989</v>
      </c>
      <c r="R121" s="25">
        <v>1989</v>
      </c>
      <c r="S121" s="25">
        <v>1142</v>
      </c>
      <c r="T121" s="27"/>
      <c r="U121" s="25">
        <v>686</v>
      </c>
      <c r="V121" s="25">
        <f>Inventory[[#This Row],[Bsmt]]-Inventory[[#This Row],[FnBsmt]]</f>
        <v>0</v>
      </c>
      <c r="W121" s="25">
        <v>686</v>
      </c>
      <c r="X121" s="27"/>
      <c r="Y121" s="27">
        <f>Inventory[[#This Row],[MainFn]]+Inventory[[#This Row],[UpprFn]]+Inventory[[#This Row],[FnBsmt]]+Inventory[[#This Row],[AddFn]]</f>
        <v>1828</v>
      </c>
      <c r="Z121" s="27">
        <v>2000</v>
      </c>
      <c r="AA121" s="25">
        <v>11</v>
      </c>
      <c r="AB121" s="27"/>
      <c r="AC121" s="25">
        <v>420</v>
      </c>
      <c r="AD121" s="25">
        <v>558</v>
      </c>
      <c r="AE121" s="27"/>
      <c r="AF121" s="27"/>
      <c r="AG121" s="27"/>
      <c r="AH121" s="27"/>
      <c r="AI121" s="25">
        <v>324507</v>
      </c>
      <c r="AJ121" s="25">
        <v>275831</v>
      </c>
      <c r="AK121" s="25">
        <v>0</v>
      </c>
      <c r="AL121" s="25">
        <v>359100</v>
      </c>
      <c r="AM121" s="25">
        <v>52700</v>
      </c>
      <c r="AN121" s="25">
        <v>306400</v>
      </c>
      <c r="AO121" s="25">
        <v>0</v>
      </c>
      <c r="AP121" s="25">
        <f>Lookups!$B$56*0</f>
        <v>0</v>
      </c>
      <c r="AQ121" s="25">
        <f>Lookups!$B$56*1</f>
        <v>89850.625589999996</v>
      </c>
      <c r="AR121" s="25">
        <f>Lookups!$B$57*Inventory[[#This Row],[LnAcres]]</f>
        <v>-56090.612940989391</v>
      </c>
      <c r="AS121" s="25">
        <f>VLOOKUP(Inventory[[#This Row],[Qlty]],Lookups!$A$62:$E$75,2,FALSE)</f>
        <v>29814.093161000001</v>
      </c>
      <c r="AT121" s="25">
        <f>VLOOKUP(Inventory[[#This Row],[Cnd]],Lookups!$A$76:$E$84,2,FALSE)</f>
        <v>197752.34721000001</v>
      </c>
      <c r="AU121" s="25">
        <f>Inventory[[#This Row],[EffAge]]*Lookups!$B$85</f>
        <v>-7806.5960175</v>
      </c>
      <c r="AV121" s="25">
        <f>Inventory[[#This Row],[MainFn]]*Lookups!$B$86</f>
        <v>56424.700999534005</v>
      </c>
      <c r="AW121" s="25">
        <f>Inventory[[#This Row],[UpprFn]]*Lookups!$B$87</f>
        <v>0</v>
      </c>
      <c r="AX121" s="25">
        <f>Inventory[[#This Row],[AddFn]]*Lookups!$B$88</f>
        <v>0</v>
      </c>
      <c r="AY121" s="25">
        <f>Inventory[[#This Row],[Bsmt]]*Lookups!$B$89</f>
        <v>19950.180139442</v>
      </c>
      <c r="AZ121" s="25">
        <f>Inventory[[#This Row],[Fixtures]]*Lookups!$B$90</f>
        <v>41712.243157199999</v>
      </c>
      <c r="BA121" s="25">
        <f>Inventory[[#This Row],[WdDeck]]*Lookups!$B$91</f>
        <v>18578.897524008004</v>
      </c>
      <c r="BB121" s="25">
        <f>ROUND(Inventory[[#This Row],[25Det]],-2)</f>
        <v>0</v>
      </c>
      <c r="BC121" s="25">
        <f>ROUND(SUM(Inventory[[#This Row],[Mdl Qlty]:[Mdl WdDeck]])+Inventory[[#This Row],[Mdl Res Intercept]],-2)</f>
        <v>356400</v>
      </c>
      <c r="BD121" s="25">
        <f>ROUND(Inventory[[#This Row],[Mdl Land Intercept]]+Inventory[[#This Row],[Mdl LnAcres]],-2)</f>
        <v>33800</v>
      </c>
      <c r="BE121" s="25">
        <f>Inventory[[#This Row],[Unadj Res Value]]+Inventory[[#This Row],[Unadj Det Value]]+Inventory[[#This Row],[Unadj Land Value]]</f>
        <v>390200</v>
      </c>
      <c r="BF121" s="36">
        <f>(Inventory[[#This Row],[Unadj Total Value]]-Inventory[[#This Row],[24Final]])/Inventory[[#This Row],[24Final]]</f>
        <v>8.6605402394876074E-2</v>
      </c>
      <c r="BG121" s="25">
        <f>VLOOKUP(Inventory[[#This Row],[Nbhd]],Lookups!$Q$2:$T$4,4,FALSE)</f>
        <v>0.99970000000000003</v>
      </c>
      <c r="BH121" s="25">
        <f>VLOOKUP(Inventory[[#This Row],[Qlty]],Lookups!$O$7:$R$21,4,FALSE)</f>
        <v>1.0088999999999999</v>
      </c>
      <c r="BI121" s="25">
        <f>VLOOKUP(Inventory[[#This Row],[Cnd]],Lookups!$T$7:$W$16,4,FALSE)</f>
        <v>0.99650000000000005</v>
      </c>
      <c r="BJ121" s="25">
        <f>VLOOKUP(Inventory[[#This Row],[LivArea Range]],Lookups!$T$25:$W$37,4,FALSE)</f>
        <v>1.0093000000000001</v>
      </c>
      <c r="BK121" s="25">
        <f>VLOOKUP(Inventory[[#This Row],[Decade]],Lookups!$O$25:$R$42,4,FALSE)</f>
        <v>1.0157</v>
      </c>
      <c r="BL121" s="25">
        <f>Inventory[[#This Row],[Nbhd Adj]]*0.95</f>
        <v>0.94971499999999998</v>
      </c>
      <c r="BM121" s="25">
        <f>Inventory[[#This Row],[Nbhd Adj]]*Inventory[[#This Row],[Quality Adj]]*Inventory[[#This Row],[Condition Adj]]*Inventory[[#This Row],[Living Area Adj]]*Inventory[[#This Row],[Decade Adj]]*0.95</f>
        <v>0.97882363668642969</v>
      </c>
      <c r="BN121" s="25">
        <f>ROUND(SUM(Inventory[[#This Row],[Mdl Qlty]:[Mdl WdDeck]])+Inventory[[#This Row],[Mdl Res Intercept]]*Inventory[[#This Row],[Res Adj ]],-2)</f>
        <v>356400</v>
      </c>
      <c r="BO121" s="25">
        <f>ROUND(Inventory[[#This Row],[25Det]]*Inventory[[#This Row],[Det/Nbhd Adj]],-2)</f>
        <v>0</v>
      </c>
      <c r="BP121" s="25">
        <f>Inventory[[#This Row],[Adjusted Res]]+Inventory[[#This Row],[Adj Det ]]</f>
        <v>356400</v>
      </c>
      <c r="BQ121" s="25">
        <f>ROUND((Inventory[[#This Row],[Mdl Land Intercept]]+Inventory[[#This Row],[Mdl LnAcres]])*Inventory[[#This Row],[Det/Nbhd Adj]],-2)</f>
        <v>32100</v>
      </c>
      <c r="BR121" s="25">
        <f>Inventory[[#This Row],[Adjusted Impr Total]]+Inventory[[#This Row],[Adjusted Land Total]]</f>
        <v>388500</v>
      </c>
      <c r="BS121" s="36">
        <f>IFERROR((Inventory[[#This Row],[Adjusted Impr Total]]-Inventory[[#This Row],[24Bldg]])/Inventory[[#This Row],[24Bldg]],0)</f>
        <v>0.16318537859007834</v>
      </c>
      <c r="BT121" s="36">
        <f>(Inventory[[#This Row],[Adjusted Land Total]]-Inventory[[#This Row],[24Lnd]])/Inventory[[#This Row],[24Lnd]]</f>
        <v>-0.39089184060721061</v>
      </c>
      <c r="BU121" s="36">
        <f>(Inventory[[#This Row],[Adjusted Total]]-Inventory[[#This Row],[24Final]])/Inventory[[#This Row],[24Final]]</f>
        <v>8.1871345029239762E-2</v>
      </c>
    </row>
    <row r="122" spans="1:73" x14ac:dyDescent="0.3">
      <c r="A122" s="25">
        <v>2025</v>
      </c>
      <c r="B122" s="26" t="s">
        <v>937</v>
      </c>
      <c r="C122" s="26">
        <f>LN(Inventory[[#This Row],[Acres]])</f>
        <v>-1.6094379124341003</v>
      </c>
      <c r="D122" s="25">
        <v>0.2</v>
      </c>
      <c r="E122" s="25">
        <v>8724</v>
      </c>
      <c r="F122" s="26" t="s">
        <v>537</v>
      </c>
      <c r="G122" s="26" t="s">
        <v>126</v>
      </c>
      <c r="H122" s="26" t="s">
        <v>349</v>
      </c>
      <c r="I122" s="26" t="s">
        <v>538</v>
      </c>
      <c r="J122" s="26" t="s">
        <v>539</v>
      </c>
      <c r="K122" s="26" t="s">
        <v>241</v>
      </c>
      <c r="L122" s="26" t="s">
        <v>302</v>
      </c>
      <c r="M122" s="26" t="s">
        <v>323</v>
      </c>
      <c r="N122" s="26">
        <v>40</v>
      </c>
      <c r="O122" s="26">
        <f>2024-Inventory[[#This Row],[YrBlt]]</f>
        <v>35</v>
      </c>
      <c r="P122" s="26">
        <f>2024-Inventory[[#This Row],[EffYr]]</f>
        <v>35</v>
      </c>
      <c r="Q122" s="25">
        <v>1989</v>
      </c>
      <c r="R122" s="25">
        <v>1989</v>
      </c>
      <c r="S122" s="25">
        <v>1400</v>
      </c>
      <c r="T122" s="27"/>
      <c r="U122" s="27"/>
      <c r="V122" s="27">
        <f>Inventory[[#This Row],[Bsmt]]-Inventory[[#This Row],[FnBsmt]]</f>
        <v>0</v>
      </c>
      <c r="W122" s="27"/>
      <c r="X122" s="27"/>
      <c r="Y122" s="27">
        <f>Inventory[[#This Row],[MainFn]]+Inventory[[#This Row],[UpprFn]]+Inventory[[#This Row],[FnBsmt]]+Inventory[[#This Row],[AddFn]]</f>
        <v>1400</v>
      </c>
      <c r="Z122" s="27">
        <v>1500</v>
      </c>
      <c r="AA122" s="25">
        <v>8</v>
      </c>
      <c r="AB122" s="25">
        <v>400</v>
      </c>
      <c r="AC122" s="27"/>
      <c r="AD122" s="31"/>
      <c r="AE122" s="27"/>
      <c r="AF122" s="27"/>
      <c r="AG122" s="27"/>
      <c r="AH122" s="27"/>
      <c r="AI122" s="25">
        <v>287794</v>
      </c>
      <c r="AJ122" s="25">
        <v>241747</v>
      </c>
      <c r="AK122" s="25">
        <v>0</v>
      </c>
      <c r="AL122" s="25">
        <v>312700</v>
      </c>
      <c r="AM122" s="25">
        <v>58400</v>
      </c>
      <c r="AN122" s="25">
        <v>254300</v>
      </c>
      <c r="AO122" s="25">
        <v>0</v>
      </c>
      <c r="AP122" s="25">
        <f>Lookups!$B$56*0</f>
        <v>0</v>
      </c>
      <c r="AQ122" s="25">
        <f>Lookups!$B$56*1</f>
        <v>89850.625589999996</v>
      </c>
      <c r="AR122" s="25">
        <f>Lookups!$B$57*Inventory[[#This Row],[LnAcres]]</f>
        <v>-50946.13867709865</v>
      </c>
      <c r="AS122" s="25">
        <f>VLOOKUP(Inventory[[#This Row],[Qlty]],Lookups!$A$62:$E$75,2,FALSE)</f>
        <v>29814.093161000001</v>
      </c>
      <c r="AT122" s="25">
        <f>VLOOKUP(Inventory[[#This Row],[Cnd]],Lookups!$A$76:$E$84,2,FALSE)</f>
        <v>160472.20319</v>
      </c>
      <c r="AU122" s="25">
        <f>Inventory[[#This Row],[EffAge]]*Lookups!$B$85</f>
        <v>-7806.5960175</v>
      </c>
      <c r="AV122" s="25">
        <f>Inventory[[#This Row],[MainFn]]*Lookups!$B$86</f>
        <v>69172.137827800005</v>
      </c>
      <c r="AW122" s="25">
        <f>Inventory[[#This Row],[UpprFn]]*Lookups!$B$87</f>
        <v>0</v>
      </c>
      <c r="AX122" s="25">
        <f>Inventory[[#This Row],[AddFn]]*Lookups!$B$88</f>
        <v>0</v>
      </c>
      <c r="AY122" s="25">
        <f>Inventory[[#This Row],[Bsmt]]*Lookups!$B$89</f>
        <v>0</v>
      </c>
      <c r="AZ122" s="25">
        <f>Inventory[[#This Row],[Fixtures]]*Lookups!$B$90</f>
        <v>30336.176841600001</v>
      </c>
      <c r="BA122" s="25">
        <f>Inventory[[#This Row],[WdDeck]]*Lookups!$B$91</f>
        <v>0</v>
      </c>
      <c r="BB122" s="25">
        <f>ROUND(Inventory[[#This Row],[25Det]],-2)</f>
        <v>0</v>
      </c>
      <c r="BC122" s="25">
        <f>ROUND(SUM(Inventory[[#This Row],[Mdl Qlty]:[Mdl WdDeck]])+Inventory[[#This Row],[Mdl Res Intercept]],-2)</f>
        <v>282000</v>
      </c>
      <c r="BD122" s="25">
        <f>ROUND(Inventory[[#This Row],[Mdl Land Intercept]]+Inventory[[#This Row],[Mdl LnAcres]],-2)</f>
        <v>38900</v>
      </c>
      <c r="BE122" s="25">
        <f>Inventory[[#This Row],[Unadj Res Value]]+Inventory[[#This Row],[Unadj Det Value]]+Inventory[[#This Row],[Unadj Land Value]]</f>
        <v>320900</v>
      </c>
      <c r="BF122" s="36">
        <f>(Inventory[[#This Row],[Unadj Total Value]]-Inventory[[#This Row],[24Final]])/Inventory[[#This Row],[24Final]]</f>
        <v>2.622321714102974E-2</v>
      </c>
      <c r="BG122" s="25">
        <f>VLOOKUP(Inventory[[#This Row],[Nbhd]],Lookups!$Q$2:$T$4,4,FALSE)</f>
        <v>0.99970000000000003</v>
      </c>
      <c r="BH122" s="25">
        <f>VLOOKUP(Inventory[[#This Row],[Qlty]],Lookups!$O$7:$R$21,4,FALSE)</f>
        <v>1.0088999999999999</v>
      </c>
      <c r="BI122" s="25">
        <f>VLOOKUP(Inventory[[#This Row],[Cnd]],Lookups!$T$7:$W$16,4,FALSE)</f>
        <v>0.99729999999999996</v>
      </c>
      <c r="BJ122" s="25">
        <f>VLOOKUP(Inventory[[#This Row],[LivArea Range]],Lookups!$T$25:$W$37,4,FALSE)</f>
        <v>1.0157</v>
      </c>
      <c r="BK122" s="25">
        <f>VLOOKUP(Inventory[[#This Row],[Decade]],Lookups!$O$25:$R$42,4,FALSE)</f>
        <v>1.0157</v>
      </c>
      <c r="BL122" s="25">
        <f>Inventory[[#This Row],[Nbhd Adj]]*0.95</f>
        <v>0.94971499999999998</v>
      </c>
      <c r="BM122" s="25">
        <f>Inventory[[#This Row],[Nbhd Adj]]*Inventory[[#This Row],[Quality Adj]]*Inventory[[#This Row],[Condition Adj]]*Inventory[[#This Row],[Living Area Adj]]*Inventory[[#This Row],[Decade Adj]]*0.95</f>
        <v>0.98582117728048768</v>
      </c>
      <c r="BN122" s="25">
        <f>ROUND(SUM(Inventory[[#This Row],[Mdl Qlty]:[Mdl WdDeck]])+Inventory[[#This Row],[Mdl Res Intercept]]*Inventory[[#This Row],[Res Adj ]],-2)</f>
        <v>282000</v>
      </c>
      <c r="BO122" s="25">
        <f>ROUND(Inventory[[#This Row],[25Det]]*Inventory[[#This Row],[Det/Nbhd Adj]],-2)</f>
        <v>0</v>
      </c>
      <c r="BP122" s="25">
        <f>Inventory[[#This Row],[Adjusted Res]]+Inventory[[#This Row],[Adj Det ]]</f>
        <v>282000</v>
      </c>
      <c r="BQ122" s="25">
        <f>ROUND((Inventory[[#This Row],[Mdl Land Intercept]]+Inventory[[#This Row],[Mdl LnAcres]])*Inventory[[#This Row],[Det/Nbhd Adj]],-2)</f>
        <v>36900</v>
      </c>
      <c r="BR122" s="25">
        <f>Inventory[[#This Row],[Adjusted Impr Total]]+Inventory[[#This Row],[Adjusted Land Total]]</f>
        <v>318900</v>
      </c>
      <c r="BS122" s="36">
        <f>IFERROR((Inventory[[#This Row],[Adjusted Impr Total]]-Inventory[[#This Row],[24Bldg]])/Inventory[[#This Row],[24Bldg]],0)</f>
        <v>0.10892646480534801</v>
      </c>
      <c r="BT122" s="36">
        <f>(Inventory[[#This Row],[Adjusted Land Total]]-Inventory[[#This Row],[24Lnd]])/Inventory[[#This Row],[24Lnd]]</f>
        <v>-0.36815068493150682</v>
      </c>
      <c r="BU122" s="36">
        <f>(Inventory[[#This Row],[Adjusted Total]]-Inventory[[#This Row],[24Final]])/Inventory[[#This Row],[24Final]]</f>
        <v>1.9827310521266388E-2</v>
      </c>
    </row>
    <row r="123" spans="1:73" x14ac:dyDescent="0.3">
      <c r="A123" s="25">
        <v>2025</v>
      </c>
      <c r="B123" s="26" t="s">
        <v>989</v>
      </c>
      <c r="C123" s="26">
        <f>LN(Inventory[[#This Row],[Acres]])</f>
        <v>-2.4079456086518722</v>
      </c>
      <c r="D123" s="25">
        <v>0.09</v>
      </c>
      <c r="E123" s="25">
        <v>3726</v>
      </c>
      <c r="F123" s="26" t="s">
        <v>537</v>
      </c>
      <c r="G123" s="26" t="s">
        <v>28</v>
      </c>
      <c r="H123" s="26" t="s">
        <v>349</v>
      </c>
      <c r="I123" s="26" t="s">
        <v>538</v>
      </c>
      <c r="J123" s="26" t="s">
        <v>551</v>
      </c>
      <c r="K123" s="26" t="s">
        <v>381</v>
      </c>
      <c r="L123" s="26" t="s">
        <v>148</v>
      </c>
      <c r="M123" s="26" t="s">
        <v>323</v>
      </c>
      <c r="N123" s="26">
        <v>40</v>
      </c>
      <c r="O123" s="26">
        <f>2024-Inventory[[#This Row],[YrBlt]]</f>
        <v>35</v>
      </c>
      <c r="P123" s="26">
        <f>2024-Inventory[[#This Row],[EffYr]]</f>
        <v>35</v>
      </c>
      <c r="Q123" s="25">
        <v>1989</v>
      </c>
      <c r="R123" s="25">
        <v>1989</v>
      </c>
      <c r="S123" s="25">
        <v>1292</v>
      </c>
      <c r="T123" s="31"/>
      <c r="U123" s="32">
        <v>588</v>
      </c>
      <c r="V123" s="32">
        <f>Inventory[[#This Row],[Bsmt]]-Inventory[[#This Row],[FnBsmt]]</f>
        <v>0</v>
      </c>
      <c r="W123" s="32">
        <v>588</v>
      </c>
      <c r="X123" s="27"/>
      <c r="Y123" s="27">
        <f>Inventory[[#This Row],[MainFn]]+Inventory[[#This Row],[UpprFn]]+Inventory[[#This Row],[FnBsmt]]+Inventory[[#This Row],[AddFn]]</f>
        <v>1880</v>
      </c>
      <c r="Z123" s="27">
        <v>2000</v>
      </c>
      <c r="AA123" s="25">
        <v>8</v>
      </c>
      <c r="AB123" s="27"/>
      <c r="AC123" s="32">
        <v>704</v>
      </c>
      <c r="AD123" s="32">
        <v>96</v>
      </c>
      <c r="AE123" s="27"/>
      <c r="AF123" s="27"/>
      <c r="AG123" s="27"/>
      <c r="AH123" s="27"/>
      <c r="AI123" s="25">
        <v>391558</v>
      </c>
      <c r="AJ123" s="25">
        <v>328909</v>
      </c>
      <c r="AK123" s="25">
        <v>0</v>
      </c>
      <c r="AL123" s="25">
        <v>342600</v>
      </c>
      <c r="AM123" s="25">
        <v>51400</v>
      </c>
      <c r="AN123" s="25">
        <v>291200</v>
      </c>
      <c r="AO123" s="25">
        <v>0</v>
      </c>
      <c r="AP123" s="25">
        <f>Lookups!$B$56*0</f>
        <v>0</v>
      </c>
      <c r="AQ123" s="25">
        <f>Lookups!$B$56*1</f>
        <v>89850.625589999996</v>
      </c>
      <c r="AR123" s="25">
        <f>Lookups!$B$57*Inventory[[#This Row],[LnAcres]]</f>
        <v>-76222.592967103381</v>
      </c>
      <c r="AS123" s="25">
        <f>VLOOKUP(Inventory[[#This Row],[Qlty]],Lookups!$A$62:$E$75,2,FALSE)</f>
        <v>44121.038090000002</v>
      </c>
      <c r="AT123" s="25">
        <f>VLOOKUP(Inventory[[#This Row],[Cnd]],Lookups!$A$76:$E$84,2,FALSE)</f>
        <v>160472.20319</v>
      </c>
      <c r="AU123" s="25">
        <f>Inventory[[#This Row],[EffAge]]*Lookups!$B$85</f>
        <v>-7806.5960175</v>
      </c>
      <c r="AV123" s="25">
        <f>Inventory[[#This Row],[MainFn]]*Lookups!$B$86</f>
        <v>63836.001481084</v>
      </c>
      <c r="AW123" s="25">
        <f>Inventory[[#This Row],[UpprFn]]*Lookups!$B$87</f>
        <v>0</v>
      </c>
      <c r="AX123" s="25">
        <f>Inventory[[#This Row],[AddFn]]*Lookups!$B$88</f>
        <v>0</v>
      </c>
      <c r="AY123" s="25">
        <f>Inventory[[#This Row],[Bsmt]]*Lookups!$B$89</f>
        <v>17100.154405236</v>
      </c>
      <c r="AZ123" s="25">
        <f>Inventory[[#This Row],[Fixtures]]*Lookups!$B$90</f>
        <v>30336.176841600001</v>
      </c>
      <c r="BA123" s="25">
        <f>Inventory[[#This Row],[WdDeck]]*Lookups!$B$91</f>
        <v>3196.3694664960003</v>
      </c>
      <c r="BB123" s="25">
        <f>ROUND(Inventory[[#This Row],[25Det]],-2)</f>
        <v>0</v>
      </c>
      <c r="BC123" s="25">
        <f>ROUND(SUM(Inventory[[#This Row],[Mdl Qlty]:[Mdl WdDeck]])+Inventory[[#This Row],[Mdl Res Intercept]],-2)</f>
        <v>311300</v>
      </c>
      <c r="BD123" s="25">
        <f>ROUND(Inventory[[#This Row],[Mdl Land Intercept]]+Inventory[[#This Row],[Mdl LnAcres]],-2)</f>
        <v>13600</v>
      </c>
      <c r="BE123" s="25">
        <f>Inventory[[#This Row],[Unadj Res Value]]+Inventory[[#This Row],[Unadj Det Value]]+Inventory[[#This Row],[Unadj Land Value]]</f>
        <v>324900</v>
      </c>
      <c r="BF123" s="36">
        <f>(Inventory[[#This Row],[Unadj Total Value]]-Inventory[[#This Row],[24Final]])/Inventory[[#This Row],[24Final]]</f>
        <v>-5.166374781085814E-2</v>
      </c>
      <c r="BG123" s="25">
        <f>VLOOKUP(Inventory[[#This Row],[Nbhd]],Lookups!$Q$2:$T$4,4,FALSE)</f>
        <v>0.99970000000000003</v>
      </c>
      <c r="BH123" s="25">
        <f>VLOOKUP(Inventory[[#This Row],[Qlty]],Lookups!$O$7:$R$21,4,FALSE)</f>
        <v>0.98050000000000004</v>
      </c>
      <c r="BI123" s="25">
        <f>VLOOKUP(Inventory[[#This Row],[Cnd]],Lookups!$T$7:$W$16,4,FALSE)</f>
        <v>0.99729999999999996</v>
      </c>
      <c r="BJ123" s="25">
        <f>VLOOKUP(Inventory[[#This Row],[LivArea Range]],Lookups!$T$25:$W$37,4,FALSE)</f>
        <v>1.0093000000000001</v>
      </c>
      <c r="BK123" s="25">
        <f>VLOOKUP(Inventory[[#This Row],[Decade]],Lookups!$O$25:$R$42,4,FALSE)</f>
        <v>1.0157</v>
      </c>
      <c r="BL123" s="25">
        <f>Inventory[[#This Row],[Nbhd Adj]]*0.95</f>
        <v>0.94971499999999998</v>
      </c>
      <c r="BM123" s="25">
        <f>Inventory[[#This Row],[Nbhd Adj]]*Inventory[[#This Row],[Quality Adj]]*Inventory[[#This Row],[Condition Adj]]*Inventory[[#This Row],[Living Area Adj]]*Inventory[[#This Row],[Decade Adj]]*0.95</f>
        <v>0.95203395949303837</v>
      </c>
      <c r="BN123" s="25">
        <f>ROUND(SUM(Inventory[[#This Row],[Mdl Qlty]:[Mdl WdDeck]])+Inventory[[#This Row],[Mdl Res Intercept]]*Inventory[[#This Row],[Res Adj ]],-2)</f>
        <v>311300</v>
      </c>
      <c r="BO123" s="25">
        <f>ROUND(Inventory[[#This Row],[25Det]]*Inventory[[#This Row],[Det/Nbhd Adj]],-2)</f>
        <v>0</v>
      </c>
      <c r="BP123" s="25">
        <f>Inventory[[#This Row],[Adjusted Res]]+Inventory[[#This Row],[Adj Det ]]</f>
        <v>311300</v>
      </c>
      <c r="BQ123" s="25">
        <f>ROUND((Inventory[[#This Row],[Mdl Land Intercept]]+Inventory[[#This Row],[Mdl LnAcres]])*Inventory[[#This Row],[Det/Nbhd Adj]],-2)</f>
        <v>12900</v>
      </c>
      <c r="BR123" s="25">
        <f>Inventory[[#This Row],[Adjusted Impr Total]]+Inventory[[#This Row],[Adjusted Land Total]]</f>
        <v>324200</v>
      </c>
      <c r="BS123" s="36">
        <f>IFERROR((Inventory[[#This Row],[Adjusted Impr Total]]-Inventory[[#This Row],[24Bldg]])/Inventory[[#This Row],[24Bldg]],0)</f>
        <v>6.9024725274725279E-2</v>
      </c>
      <c r="BT123" s="36">
        <f>(Inventory[[#This Row],[Adjusted Land Total]]-Inventory[[#This Row],[24Lnd]])/Inventory[[#This Row],[24Lnd]]</f>
        <v>-0.74902723735408561</v>
      </c>
      <c r="BU123" s="36">
        <f>(Inventory[[#This Row],[Adjusted Total]]-Inventory[[#This Row],[24Final]])/Inventory[[#This Row],[24Final]]</f>
        <v>-5.3706946876824285E-2</v>
      </c>
    </row>
    <row r="124" spans="1:73" x14ac:dyDescent="0.3">
      <c r="A124" s="25">
        <v>2025</v>
      </c>
      <c r="B124" s="26" t="s">
        <v>988</v>
      </c>
      <c r="C124" s="26">
        <f>LN(Inventory[[#This Row],[Acres]])</f>
        <v>-3.5065578973199818</v>
      </c>
      <c r="D124" s="25">
        <v>0.03</v>
      </c>
      <c r="E124" s="25">
        <v>1292</v>
      </c>
      <c r="F124" s="26" t="s">
        <v>537</v>
      </c>
      <c r="G124" s="26" t="s">
        <v>28</v>
      </c>
      <c r="H124" s="26" t="s">
        <v>349</v>
      </c>
      <c r="I124" s="26" t="s">
        <v>538</v>
      </c>
      <c r="J124" s="26" t="s">
        <v>551</v>
      </c>
      <c r="K124" s="26" t="s">
        <v>381</v>
      </c>
      <c r="L124" s="26" t="s">
        <v>148</v>
      </c>
      <c r="M124" s="26" t="s">
        <v>323</v>
      </c>
      <c r="N124" s="26">
        <v>40</v>
      </c>
      <c r="O124" s="26">
        <f>2024-Inventory[[#This Row],[YrBlt]]</f>
        <v>35</v>
      </c>
      <c r="P124" s="26">
        <f>2024-Inventory[[#This Row],[EffYr]]</f>
        <v>35</v>
      </c>
      <c r="Q124" s="25">
        <v>1989</v>
      </c>
      <c r="R124" s="25">
        <v>1989</v>
      </c>
      <c r="S124" s="25">
        <v>1292</v>
      </c>
      <c r="T124" s="27"/>
      <c r="U124" s="25">
        <v>588</v>
      </c>
      <c r="V124" s="25">
        <f>Inventory[[#This Row],[Bsmt]]-Inventory[[#This Row],[FnBsmt]]</f>
        <v>0</v>
      </c>
      <c r="W124" s="25">
        <v>588</v>
      </c>
      <c r="X124" s="27"/>
      <c r="Y124" s="27">
        <f>Inventory[[#This Row],[MainFn]]+Inventory[[#This Row],[UpprFn]]+Inventory[[#This Row],[FnBsmt]]+Inventory[[#This Row],[AddFn]]</f>
        <v>1880</v>
      </c>
      <c r="Z124" s="27">
        <v>2000</v>
      </c>
      <c r="AA124" s="25">
        <v>8</v>
      </c>
      <c r="AB124" s="31"/>
      <c r="AC124" s="32">
        <v>672</v>
      </c>
      <c r="AD124" s="32">
        <v>400</v>
      </c>
      <c r="AE124" s="27"/>
      <c r="AF124" s="27"/>
      <c r="AG124" s="27"/>
      <c r="AH124" s="27"/>
      <c r="AI124" s="25">
        <v>400797</v>
      </c>
      <c r="AJ124" s="25">
        <v>336669</v>
      </c>
      <c r="AK124" s="25">
        <v>0</v>
      </c>
      <c r="AL124" s="25">
        <v>350600</v>
      </c>
      <c r="AM124" s="25">
        <v>52600</v>
      </c>
      <c r="AN124" s="25">
        <v>298000</v>
      </c>
      <c r="AO124" s="25">
        <v>0</v>
      </c>
      <c r="AP124" s="25">
        <f>Lookups!$B$56*0</f>
        <v>0</v>
      </c>
      <c r="AQ124" s="25">
        <f>Lookups!$B$56*1</f>
        <v>89850.625589999996</v>
      </c>
      <c r="AR124" s="25">
        <f>Lookups!$B$57*Inventory[[#This Row],[LnAcres]]</f>
        <v>-110998.74281323297</v>
      </c>
      <c r="AS124" s="25">
        <f>VLOOKUP(Inventory[[#This Row],[Qlty]],Lookups!$A$62:$E$75,2,FALSE)</f>
        <v>44121.038090000002</v>
      </c>
      <c r="AT124" s="25">
        <f>VLOOKUP(Inventory[[#This Row],[Cnd]],Lookups!$A$76:$E$84,2,FALSE)</f>
        <v>160472.20319</v>
      </c>
      <c r="AU124" s="25">
        <f>Inventory[[#This Row],[EffAge]]*Lookups!$B$85</f>
        <v>-7806.5960175</v>
      </c>
      <c r="AV124" s="25">
        <f>Inventory[[#This Row],[MainFn]]*Lookups!$B$86</f>
        <v>63836.001481084</v>
      </c>
      <c r="AW124" s="25">
        <f>Inventory[[#This Row],[UpprFn]]*Lookups!$B$87</f>
        <v>0</v>
      </c>
      <c r="AX124" s="25">
        <f>Inventory[[#This Row],[AddFn]]*Lookups!$B$88</f>
        <v>0</v>
      </c>
      <c r="AY124" s="25">
        <f>Inventory[[#This Row],[Bsmt]]*Lookups!$B$89</f>
        <v>17100.154405236</v>
      </c>
      <c r="AZ124" s="25">
        <f>Inventory[[#This Row],[Fixtures]]*Lookups!$B$90</f>
        <v>30336.176841600001</v>
      </c>
      <c r="BA124" s="25">
        <f>Inventory[[#This Row],[WdDeck]]*Lookups!$B$91</f>
        <v>13318.206110400002</v>
      </c>
      <c r="BB124" s="25">
        <f>ROUND(Inventory[[#This Row],[25Det]],-2)</f>
        <v>0</v>
      </c>
      <c r="BC124" s="25">
        <f>ROUND(SUM(Inventory[[#This Row],[Mdl Qlty]:[Mdl WdDeck]])+Inventory[[#This Row],[Mdl Res Intercept]],-2)</f>
        <v>321400</v>
      </c>
      <c r="BD124" s="25">
        <f>ROUND(Inventory[[#This Row],[Mdl Land Intercept]]+Inventory[[#This Row],[Mdl LnAcres]],-2)</f>
        <v>-21100</v>
      </c>
      <c r="BE124" s="25">
        <f>Inventory[[#This Row],[Unadj Res Value]]+Inventory[[#This Row],[Unadj Det Value]]+Inventory[[#This Row],[Unadj Land Value]]</f>
        <v>300300</v>
      </c>
      <c r="BF124" s="36">
        <f>(Inventory[[#This Row],[Unadj Total Value]]-Inventory[[#This Row],[24Final]])/Inventory[[#This Row],[24Final]]</f>
        <v>-0.14346833998859099</v>
      </c>
      <c r="BG124" s="25">
        <f>VLOOKUP(Inventory[[#This Row],[Nbhd]],Lookups!$Q$2:$T$4,4,FALSE)</f>
        <v>0.99970000000000003</v>
      </c>
      <c r="BH124" s="25">
        <f>VLOOKUP(Inventory[[#This Row],[Qlty]],Lookups!$O$7:$R$21,4,FALSE)</f>
        <v>0.98050000000000004</v>
      </c>
      <c r="BI124" s="25">
        <f>VLOOKUP(Inventory[[#This Row],[Cnd]],Lookups!$T$7:$W$16,4,FALSE)</f>
        <v>0.99729999999999996</v>
      </c>
      <c r="BJ124" s="25">
        <f>VLOOKUP(Inventory[[#This Row],[LivArea Range]],Lookups!$T$25:$W$37,4,FALSE)</f>
        <v>1.0093000000000001</v>
      </c>
      <c r="BK124" s="25">
        <f>VLOOKUP(Inventory[[#This Row],[Decade]],Lookups!$O$25:$R$42,4,FALSE)</f>
        <v>1.0157</v>
      </c>
      <c r="BL124" s="25">
        <f>Inventory[[#This Row],[Nbhd Adj]]*0.95</f>
        <v>0.94971499999999998</v>
      </c>
      <c r="BM124" s="25">
        <f>Inventory[[#This Row],[Nbhd Adj]]*Inventory[[#This Row],[Quality Adj]]*Inventory[[#This Row],[Condition Adj]]*Inventory[[#This Row],[Living Area Adj]]*Inventory[[#This Row],[Decade Adj]]*0.95</f>
        <v>0.95203395949303837</v>
      </c>
      <c r="BN124" s="25">
        <f>ROUND(SUM(Inventory[[#This Row],[Mdl Qlty]:[Mdl WdDeck]])+Inventory[[#This Row],[Mdl Res Intercept]]*Inventory[[#This Row],[Res Adj ]],-2)</f>
        <v>321400</v>
      </c>
      <c r="BO124" s="25">
        <f>ROUND(Inventory[[#This Row],[25Det]]*Inventory[[#This Row],[Det/Nbhd Adj]],-2)</f>
        <v>0</v>
      </c>
      <c r="BP124" s="25">
        <f>Inventory[[#This Row],[Adjusted Res]]+Inventory[[#This Row],[Adj Det ]]</f>
        <v>321400</v>
      </c>
      <c r="BQ124" s="25">
        <f>ROUND((Inventory[[#This Row],[Mdl Land Intercept]]+Inventory[[#This Row],[Mdl LnAcres]])*Inventory[[#This Row],[Det/Nbhd Adj]],-2)</f>
        <v>-20100</v>
      </c>
      <c r="BR124" s="25">
        <f>Inventory[[#This Row],[Adjusted Impr Total]]+Inventory[[#This Row],[Adjusted Land Total]]</f>
        <v>301300</v>
      </c>
      <c r="BS124" s="36">
        <f>IFERROR((Inventory[[#This Row],[Adjusted Impr Total]]-Inventory[[#This Row],[24Bldg]])/Inventory[[#This Row],[24Bldg]],0)</f>
        <v>7.8523489932885909E-2</v>
      </c>
      <c r="BT124" s="36">
        <f>(Inventory[[#This Row],[Adjusted Land Total]]-Inventory[[#This Row],[24Lnd]])/Inventory[[#This Row],[24Lnd]]</f>
        <v>-1.3821292775665399</v>
      </c>
      <c r="BU124" s="36">
        <f>(Inventory[[#This Row],[Adjusted Total]]-Inventory[[#This Row],[24Final]])/Inventory[[#This Row],[24Final]]</f>
        <v>-0.1406160867084997</v>
      </c>
    </row>
    <row r="125" spans="1:73" x14ac:dyDescent="0.3">
      <c r="A125" s="25">
        <v>2025</v>
      </c>
      <c r="B125" s="26" t="s">
        <v>673</v>
      </c>
      <c r="C125" s="26">
        <f>LN(Inventory[[#This Row],[Acres]])</f>
        <v>-3.5065578973199818</v>
      </c>
      <c r="D125" s="25">
        <v>0.03</v>
      </c>
      <c r="E125" s="25">
        <v>901</v>
      </c>
      <c r="F125" s="26" t="s">
        <v>537</v>
      </c>
      <c r="G125" s="26" t="s">
        <v>28</v>
      </c>
      <c r="H125" s="26" t="s">
        <v>349</v>
      </c>
      <c r="I125" s="26" t="s">
        <v>538</v>
      </c>
      <c r="J125" s="26" t="s">
        <v>551</v>
      </c>
      <c r="K125" s="26" t="s">
        <v>381</v>
      </c>
      <c r="L125" s="26" t="s">
        <v>148</v>
      </c>
      <c r="M125" s="26" t="s">
        <v>323</v>
      </c>
      <c r="N125" s="26">
        <v>40</v>
      </c>
      <c r="O125" s="26">
        <f>2024-Inventory[[#This Row],[YrBlt]]</f>
        <v>36</v>
      </c>
      <c r="P125" s="26">
        <f>2024-Inventory[[#This Row],[EffYr]]</f>
        <v>36</v>
      </c>
      <c r="Q125" s="25">
        <v>1988</v>
      </c>
      <c r="R125" s="25">
        <v>1988</v>
      </c>
      <c r="S125" s="25">
        <v>901</v>
      </c>
      <c r="T125" s="32">
        <v>896</v>
      </c>
      <c r="U125" s="32">
        <v>544</v>
      </c>
      <c r="V125" s="32">
        <f>Inventory[[#This Row],[Bsmt]]-Inventory[[#This Row],[FnBsmt]]</f>
        <v>66</v>
      </c>
      <c r="W125" s="32">
        <v>478</v>
      </c>
      <c r="X125" s="27"/>
      <c r="Y125" s="27">
        <f>Inventory[[#This Row],[MainFn]]+Inventory[[#This Row],[UpprFn]]+Inventory[[#This Row],[FnBsmt]]+Inventory[[#This Row],[AddFn]]</f>
        <v>2275</v>
      </c>
      <c r="Z125" s="27">
        <v>2500</v>
      </c>
      <c r="AA125" s="25">
        <v>12</v>
      </c>
      <c r="AB125" s="31"/>
      <c r="AC125" s="32">
        <v>528</v>
      </c>
      <c r="AD125" s="32">
        <v>400</v>
      </c>
      <c r="AE125" s="27"/>
      <c r="AF125" s="27"/>
      <c r="AG125" s="27"/>
      <c r="AH125" s="27"/>
      <c r="AI125" s="25">
        <v>467243</v>
      </c>
      <c r="AJ125" s="25">
        <v>392484</v>
      </c>
      <c r="AK125" s="25">
        <v>0</v>
      </c>
      <c r="AL125" s="25">
        <v>303800</v>
      </c>
      <c r="AM125" s="25">
        <v>45600</v>
      </c>
      <c r="AN125" s="25">
        <v>258200</v>
      </c>
      <c r="AO125" s="25">
        <v>0</v>
      </c>
      <c r="AP125" s="25">
        <f>Lookups!$B$56*0</f>
        <v>0</v>
      </c>
      <c r="AQ125" s="25">
        <f>Lookups!$B$56*1</f>
        <v>89850.625589999996</v>
      </c>
      <c r="AR125" s="25">
        <f>Lookups!$B$57*Inventory[[#This Row],[LnAcres]]</f>
        <v>-110998.74281323297</v>
      </c>
      <c r="AS125" s="25">
        <f>VLOOKUP(Inventory[[#This Row],[Qlty]],Lookups!$A$62:$E$75,2,FALSE)</f>
        <v>44121.038090000002</v>
      </c>
      <c r="AT125" s="25">
        <f>VLOOKUP(Inventory[[#This Row],[Cnd]],Lookups!$A$76:$E$84,2,FALSE)</f>
        <v>160472.20319</v>
      </c>
      <c r="AU125" s="25">
        <f>Inventory[[#This Row],[EffAge]]*Lookups!$B$85</f>
        <v>-8029.6416180000006</v>
      </c>
      <c r="AV125" s="25">
        <f>Inventory[[#This Row],[MainFn]]*Lookups!$B$86</f>
        <v>44517.211559176998</v>
      </c>
      <c r="AW125" s="25">
        <f>Inventory[[#This Row],[UpprFn]]*Lookups!$B$87</f>
        <v>40128.634883455998</v>
      </c>
      <c r="AX125" s="25">
        <f>Inventory[[#This Row],[AddFn]]*Lookups!$B$88</f>
        <v>0</v>
      </c>
      <c r="AY125" s="25">
        <f>Inventory[[#This Row],[Bsmt]]*Lookups!$B$89</f>
        <v>15820.551014367999</v>
      </c>
      <c r="AZ125" s="25">
        <f>Inventory[[#This Row],[Fixtures]]*Lookups!$B$90</f>
        <v>45504.265262400004</v>
      </c>
      <c r="BA125" s="25">
        <f>Inventory[[#This Row],[WdDeck]]*Lookups!$B$91</f>
        <v>13318.206110400002</v>
      </c>
      <c r="BB125" s="25">
        <f>ROUND(Inventory[[#This Row],[25Det]],-2)</f>
        <v>0</v>
      </c>
      <c r="BC125" s="25">
        <f>ROUND(SUM(Inventory[[#This Row],[Mdl Qlty]:[Mdl WdDeck]])+Inventory[[#This Row],[Mdl Res Intercept]],-2)</f>
        <v>355900</v>
      </c>
      <c r="BD125" s="25">
        <f>ROUND(Inventory[[#This Row],[Mdl Land Intercept]]+Inventory[[#This Row],[Mdl LnAcres]],-2)</f>
        <v>-21100</v>
      </c>
      <c r="BE125" s="25">
        <f>Inventory[[#This Row],[Unadj Res Value]]+Inventory[[#This Row],[Unadj Det Value]]+Inventory[[#This Row],[Unadj Land Value]]</f>
        <v>334800</v>
      </c>
      <c r="BF125" s="36">
        <f>(Inventory[[#This Row],[Unadj Total Value]]-Inventory[[#This Row],[24Final]])/Inventory[[#This Row],[24Final]]</f>
        <v>0.10204081632653061</v>
      </c>
      <c r="BG125" s="25">
        <f>VLOOKUP(Inventory[[#This Row],[Nbhd]],Lookups!$Q$2:$T$4,4,FALSE)</f>
        <v>0.99970000000000003</v>
      </c>
      <c r="BH125" s="25">
        <f>VLOOKUP(Inventory[[#This Row],[Qlty]],Lookups!$O$7:$R$21,4,FALSE)</f>
        <v>0.98050000000000004</v>
      </c>
      <c r="BI125" s="25">
        <f>VLOOKUP(Inventory[[#This Row],[Cnd]],Lookups!$T$7:$W$16,4,FALSE)</f>
        <v>0.99729999999999996</v>
      </c>
      <c r="BJ125" s="25">
        <f>VLOOKUP(Inventory[[#This Row],[LivArea Range]],Lookups!$T$25:$W$37,4,FALSE)</f>
        <v>0.98919999999999997</v>
      </c>
      <c r="BK125" s="25">
        <f>VLOOKUP(Inventory[[#This Row],[Decade]],Lookups!$O$25:$R$42,4,FALSE)</f>
        <v>1.0157</v>
      </c>
      <c r="BL125" s="25">
        <f>Inventory[[#This Row],[Nbhd Adj]]*0.95</f>
        <v>0.94971499999999998</v>
      </c>
      <c r="BM125" s="25">
        <f>Inventory[[#This Row],[Nbhd Adj]]*Inventory[[#This Row],[Quality Adj]]*Inventory[[#This Row],[Condition Adj]]*Inventory[[#This Row],[Living Area Adj]]*Inventory[[#This Row],[Decade Adj]]*0.95</f>
        <v>0.93307440080304516</v>
      </c>
      <c r="BN125" s="25">
        <f>ROUND(SUM(Inventory[[#This Row],[Mdl Qlty]:[Mdl WdDeck]])+Inventory[[#This Row],[Mdl Res Intercept]]*Inventory[[#This Row],[Res Adj ]],-2)</f>
        <v>355900</v>
      </c>
      <c r="BO125" s="25">
        <f>ROUND(Inventory[[#This Row],[25Det]]*Inventory[[#This Row],[Det/Nbhd Adj]],-2)</f>
        <v>0</v>
      </c>
      <c r="BP125" s="25">
        <f>Inventory[[#This Row],[Adjusted Res]]+Inventory[[#This Row],[Adj Det ]]</f>
        <v>355900</v>
      </c>
      <c r="BQ125" s="25">
        <f>ROUND((Inventory[[#This Row],[Mdl Land Intercept]]+Inventory[[#This Row],[Mdl LnAcres]])*Inventory[[#This Row],[Det/Nbhd Adj]],-2)</f>
        <v>-20100</v>
      </c>
      <c r="BR125" s="25">
        <f>Inventory[[#This Row],[Adjusted Impr Total]]+Inventory[[#This Row],[Adjusted Land Total]]</f>
        <v>335800</v>
      </c>
      <c r="BS125" s="36">
        <f>IFERROR((Inventory[[#This Row],[Adjusted Impr Total]]-Inventory[[#This Row],[24Bldg]])/Inventory[[#This Row],[24Bldg]],0)</f>
        <v>0.37838884585592564</v>
      </c>
      <c r="BT125" s="36">
        <f>(Inventory[[#This Row],[Adjusted Land Total]]-Inventory[[#This Row],[24Lnd]])/Inventory[[#This Row],[24Lnd]]</f>
        <v>-1.4407894736842106</v>
      </c>
      <c r="BU125" s="36">
        <f>(Inventory[[#This Row],[Adjusted Total]]-Inventory[[#This Row],[24Final]])/Inventory[[#This Row],[24Final]]</f>
        <v>0.10533245556287031</v>
      </c>
    </row>
    <row r="126" spans="1:73" x14ac:dyDescent="0.3">
      <c r="A126" s="25">
        <v>2025</v>
      </c>
      <c r="B126" s="26" t="s">
        <v>671</v>
      </c>
      <c r="C126" s="26">
        <f>LN(Inventory[[#This Row],[Acres]])</f>
        <v>-3.5065578973199818</v>
      </c>
      <c r="D126" s="25">
        <v>0.03</v>
      </c>
      <c r="E126" s="25">
        <v>901</v>
      </c>
      <c r="F126" s="26" t="s">
        <v>537</v>
      </c>
      <c r="G126" s="26" t="s">
        <v>28</v>
      </c>
      <c r="H126" s="26" t="s">
        <v>349</v>
      </c>
      <c r="I126" s="26" t="s">
        <v>538</v>
      </c>
      <c r="J126" s="26" t="s">
        <v>551</v>
      </c>
      <c r="K126" s="26" t="s">
        <v>381</v>
      </c>
      <c r="L126" s="26" t="s">
        <v>148</v>
      </c>
      <c r="M126" s="26" t="s">
        <v>323</v>
      </c>
      <c r="N126" s="26">
        <v>40</v>
      </c>
      <c r="O126" s="26">
        <f>2024-Inventory[[#This Row],[YrBlt]]</f>
        <v>36</v>
      </c>
      <c r="P126" s="26">
        <f>2024-Inventory[[#This Row],[EffYr]]</f>
        <v>36</v>
      </c>
      <c r="Q126" s="25">
        <v>1988</v>
      </c>
      <c r="R126" s="25">
        <v>1988</v>
      </c>
      <c r="S126" s="25">
        <v>901</v>
      </c>
      <c r="T126" s="32">
        <v>896</v>
      </c>
      <c r="U126" s="25">
        <v>544</v>
      </c>
      <c r="V126" s="25">
        <f>Inventory[[#This Row],[Bsmt]]-Inventory[[#This Row],[FnBsmt]]</f>
        <v>66</v>
      </c>
      <c r="W126" s="25">
        <v>478</v>
      </c>
      <c r="X126" s="27"/>
      <c r="Y126" s="27">
        <f>Inventory[[#This Row],[MainFn]]+Inventory[[#This Row],[UpprFn]]+Inventory[[#This Row],[FnBsmt]]+Inventory[[#This Row],[AddFn]]</f>
        <v>2275</v>
      </c>
      <c r="Z126" s="27">
        <v>2500</v>
      </c>
      <c r="AA126" s="25">
        <v>12</v>
      </c>
      <c r="AB126" s="27"/>
      <c r="AC126" s="32">
        <v>528</v>
      </c>
      <c r="AD126" s="25">
        <v>400</v>
      </c>
      <c r="AE126" s="27"/>
      <c r="AF126" s="27"/>
      <c r="AG126" s="27"/>
      <c r="AH126" s="27"/>
      <c r="AI126" s="25">
        <v>468356</v>
      </c>
      <c r="AJ126" s="25">
        <v>393419</v>
      </c>
      <c r="AK126" s="25">
        <v>0</v>
      </c>
      <c r="AL126" s="25">
        <v>304500</v>
      </c>
      <c r="AM126" s="25">
        <v>45700</v>
      </c>
      <c r="AN126" s="25">
        <v>258800</v>
      </c>
      <c r="AO126" s="25">
        <v>0</v>
      </c>
      <c r="AP126" s="25">
        <f>Lookups!$B$56*0</f>
        <v>0</v>
      </c>
      <c r="AQ126" s="25">
        <f>Lookups!$B$56*1</f>
        <v>89850.625589999996</v>
      </c>
      <c r="AR126" s="25">
        <f>Lookups!$B$57*Inventory[[#This Row],[LnAcres]]</f>
        <v>-110998.74281323297</v>
      </c>
      <c r="AS126" s="25">
        <f>VLOOKUP(Inventory[[#This Row],[Qlty]],Lookups!$A$62:$E$75,2,FALSE)</f>
        <v>44121.038090000002</v>
      </c>
      <c r="AT126" s="25">
        <f>VLOOKUP(Inventory[[#This Row],[Cnd]],Lookups!$A$76:$E$84,2,FALSE)</f>
        <v>160472.20319</v>
      </c>
      <c r="AU126" s="25">
        <f>Inventory[[#This Row],[EffAge]]*Lookups!$B$85</f>
        <v>-8029.6416180000006</v>
      </c>
      <c r="AV126" s="25">
        <f>Inventory[[#This Row],[MainFn]]*Lookups!$B$86</f>
        <v>44517.211559176998</v>
      </c>
      <c r="AW126" s="25">
        <f>Inventory[[#This Row],[UpprFn]]*Lookups!$B$87</f>
        <v>40128.634883455998</v>
      </c>
      <c r="AX126" s="25">
        <f>Inventory[[#This Row],[AddFn]]*Lookups!$B$88</f>
        <v>0</v>
      </c>
      <c r="AY126" s="25">
        <f>Inventory[[#This Row],[Bsmt]]*Lookups!$B$89</f>
        <v>15820.551014367999</v>
      </c>
      <c r="AZ126" s="25">
        <f>Inventory[[#This Row],[Fixtures]]*Lookups!$B$90</f>
        <v>45504.265262400004</v>
      </c>
      <c r="BA126" s="25">
        <f>Inventory[[#This Row],[WdDeck]]*Lookups!$B$91</f>
        <v>13318.206110400002</v>
      </c>
      <c r="BB126" s="25">
        <f>ROUND(Inventory[[#This Row],[25Det]],-2)</f>
        <v>0</v>
      </c>
      <c r="BC126" s="25">
        <f>ROUND(SUM(Inventory[[#This Row],[Mdl Qlty]:[Mdl WdDeck]])+Inventory[[#This Row],[Mdl Res Intercept]],-2)</f>
        <v>355900</v>
      </c>
      <c r="BD126" s="25">
        <f>ROUND(Inventory[[#This Row],[Mdl Land Intercept]]+Inventory[[#This Row],[Mdl LnAcres]],-2)</f>
        <v>-21100</v>
      </c>
      <c r="BE126" s="25">
        <f>Inventory[[#This Row],[Unadj Res Value]]+Inventory[[#This Row],[Unadj Det Value]]+Inventory[[#This Row],[Unadj Land Value]]</f>
        <v>334800</v>
      </c>
      <c r="BF126" s="36">
        <f>(Inventory[[#This Row],[Unadj Total Value]]-Inventory[[#This Row],[24Final]])/Inventory[[#This Row],[24Final]]</f>
        <v>9.9507389162561577E-2</v>
      </c>
      <c r="BG126" s="25">
        <f>VLOOKUP(Inventory[[#This Row],[Nbhd]],Lookups!$Q$2:$T$4,4,FALSE)</f>
        <v>0.99970000000000003</v>
      </c>
      <c r="BH126" s="25">
        <f>VLOOKUP(Inventory[[#This Row],[Qlty]],Lookups!$O$7:$R$21,4,FALSE)</f>
        <v>0.98050000000000004</v>
      </c>
      <c r="BI126" s="25">
        <f>VLOOKUP(Inventory[[#This Row],[Cnd]],Lookups!$T$7:$W$16,4,FALSE)</f>
        <v>0.99729999999999996</v>
      </c>
      <c r="BJ126" s="25">
        <f>VLOOKUP(Inventory[[#This Row],[LivArea Range]],Lookups!$T$25:$W$37,4,FALSE)</f>
        <v>0.98919999999999997</v>
      </c>
      <c r="BK126" s="25">
        <f>VLOOKUP(Inventory[[#This Row],[Decade]],Lookups!$O$25:$R$42,4,FALSE)</f>
        <v>1.0157</v>
      </c>
      <c r="BL126" s="25">
        <f>Inventory[[#This Row],[Nbhd Adj]]*0.95</f>
        <v>0.94971499999999998</v>
      </c>
      <c r="BM126" s="25">
        <f>Inventory[[#This Row],[Nbhd Adj]]*Inventory[[#This Row],[Quality Adj]]*Inventory[[#This Row],[Condition Adj]]*Inventory[[#This Row],[Living Area Adj]]*Inventory[[#This Row],[Decade Adj]]*0.95</f>
        <v>0.93307440080304516</v>
      </c>
      <c r="BN126" s="25">
        <f>ROUND(SUM(Inventory[[#This Row],[Mdl Qlty]:[Mdl WdDeck]])+Inventory[[#This Row],[Mdl Res Intercept]]*Inventory[[#This Row],[Res Adj ]],-2)</f>
        <v>355900</v>
      </c>
      <c r="BO126" s="25">
        <f>ROUND(Inventory[[#This Row],[25Det]]*Inventory[[#This Row],[Det/Nbhd Adj]],-2)</f>
        <v>0</v>
      </c>
      <c r="BP126" s="25">
        <f>Inventory[[#This Row],[Adjusted Res]]+Inventory[[#This Row],[Adj Det ]]</f>
        <v>355900</v>
      </c>
      <c r="BQ126" s="25">
        <f>ROUND((Inventory[[#This Row],[Mdl Land Intercept]]+Inventory[[#This Row],[Mdl LnAcres]])*Inventory[[#This Row],[Det/Nbhd Adj]],-2)</f>
        <v>-20100</v>
      </c>
      <c r="BR126" s="25">
        <f>Inventory[[#This Row],[Adjusted Impr Total]]+Inventory[[#This Row],[Adjusted Land Total]]</f>
        <v>335800</v>
      </c>
      <c r="BS126" s="36">
        <f>IFERROR((Inventory[[#This Row],[Adjusted Impr Total]]-Inventory[[#This Row],[24Bldg]])/Inventory[[#This Row],[24Bldg]],0)</f>
        <v>0.37519319938176199</v>
      </c>
      <c r="BT126" s="36">
        <f>(Inventory[[#This Row],[Adjusted Land Total]]-Inventory[[#This Row],[24Lnd]])/Inventory[[#This Row],[24Lnd]]</f>
        <v>-1.4398249452954048</v>
      </c>
      <c r="BU126" s="36">
        <f>(Inventory[[#This Row],[Adjusted Total]]-Inventory[[#This Row],[24Final]])/Inventory[[#This Row],[24Final]]</f>
        <v>0.10279146141215106</v>
      </c>
    </row>
    <row r="127" spans="1:73" x14ac:dyDescent="0.3">
      <c r="A127" s="25">
        <v>2025</v>
      </c>
      <c r="B127" s="26" t="s">
        <v>868</v>
      </c>
      <c r="C127" s="26">
        <f>LN(Inventory[[#This Row],[Acres]])</f>
        <v>-1.6094379124341003</v>
      </c>
      <c r="D127" s="25">
        <v>0.2</v>
      </c>
      <c r="E127" s="25">
        <v>8551</v>
      </c>
      <c r="F127" s="26" t="s">
        <v>537</v>
      </c>
      <c r="G127" s="26" t="s">
        <v>126</v>
      </c>
      <c r="H127" s="26" t="s">
        <v>349</v>
      </c>
      <c r="I127" s="26" t="s">
        <v>538</v>
      </c>
      <c r="J127" s="26" t="s">
        <v>539</v>
      </c>
      <c r="K127" s="26" t="s">
        <v>300</v>
      </c>
      <c r="L127" s="26" t="s">
        <v>148</v>
      </c>
      <c r="M127" s="26" t="s">
        <v>303</v>
      </c>
      <c r="N127" s="26">
        <v>40</v>
      </c>
      <c r="O127" s="26">
        <f>2024-Inventory[[#This Row],[YrBlt]]</f>
        <v>36</v>
      </c>
      <c r="P127" s="26">
        <f>2024-Inventory[[#This Row],[EffYr]]</f>
        <v>36</v>
      </c>
      <c r="Q127" s="25">
        <v>1988</v>
      </c>
      <c r="R127" s="25">
        <v>1988</v>
      </c>
      <c r="S127" s="25">
        <v>2056</v>
      </c>
      <c r="T127" s="27"/>
      <c r="U127" s="31"/>
      <c r="V127" s="31">
        <f>Inventory[[#This Row],[Bsmt]]-Inventory[[#This Row],[FnBsmt]]</f>
        <v>0</v>
      </c>
      <c r="W127" s="31"/>
      <c r="X127" s="27"/>
      <c r="Y127" s="27">
        <f>Inventory[[#This Row],[MainFn]]+Inventory[[#This Row],[UpprFn]]+Inventory[[#This Row],[FnBsmt]]+Inventory[[#This Row],[AddFn]]</f>
        <v>2056</v>
      </c>
      <c r="Z127" s="27">
        <v>2500</v>
      </c>
      <c r="AA127" s="25">
        <v>8</v>
      </c>
      <c r="AB127" s="32">
        <v>484</v>
      </c>
      <c r="AC127" s="27"/>
      <c r="AD127" s="32">
        <v>154</v>
      </c>
      <c r="AE127" s="27"/>
      <c r="AF127" s="27"/>
      <c r="AG127" s="27"/>
      <c r="AH127" s="27"/>
      <c r="AI127" s="25">
        <v>433474</v>
      </c>
      <c r="AJ127" s="25">
        <v>368453</v>
      </c>
      <c r="AK127" s="25">
        <v>0</v>
      </c>
      <c r="AL127" s="25">
        <v>387700</v>
      </c>
      <c r="AM127" s="25">
        <v>58400</v>
      </c>
      <c r="AN127" s="25">
        <v>329300</v>
      </c>
      <c r="AO127" s="25">
        <v>0</v>
      </c>
      <c r="AP127" s="25">
        <f>Lookups!$B$56*0</f>
        <v>0</v>
      </c>
      <c r="AQ127" s="25">
        <f>Lookups!$B$56*1</f>
        <v>89850.625589999996</v>
      </c>
      <c r="AR127" s="25">
        <f>Lookups!$B$57*Inventory[[#This Row],[LnAcres]]</f>
        <v>-50946.13867709865</v>
      </c>
      <c r="AS127" s="25">
        <f>VLOOKUP(Inventory[[#This Row],[Qlty]],Lookups!$A$62:$E$75,2,FALSE)</f>
        <v>44121.038090000002</v>
      </c>
      <c r="AT127" s="25">
        <f>VLOOKUP(Inventory[[#This Row],[Cnd]],Lookups!$A$76:$E$84,2,FALSE)</f>
        <v>197752.34721000001</v>
      </c>
      <c r="AU127" s="25">
        <f>Inventory[[#This Row],[EffAge]]*Lookups!$B$85</f>
        <v>-8029.6416180000006</v>
      </c>
      <c r="AV127" s="25">
        <f>Inventory[[#This Row],[MainFn]]*Lookups!$B$86</f>
        <v>101584.22526711201</v>
      </c>
      <c r="AW127" s="25">
        <f>Inventory[[#This Row],[UpprFn]]*Lookups!$B$87</f>
        <v>0</v>
      </c>
      <c r="AX127" s="25">
        <f>Inventory[[#This Row],[AddFn]]*Lookups!$B$88</f>
        <v>0</v>
      </c>
      <c r="AY127" s="25">
        <f>Inventory[[#This Row],[Bsmt]]*Lookups!$B$89</f>
        <v>0</v>
      </c>
      <c r="AZ127" s="25">
        <f>Inventory[[#This Row],[Fixtures]]*Lookups!$B$90</f>
        <v>30336.176841600001</v>
      </c>
      <c r="BA127" s="25">
        <f>Inventory[[#This Row],[WdDeck]]*Lookups!$B$91</f>
        <v>5127.5093525040002</v>
      </c>
      <c r="BB127" s="25">
        <f>ROUND(Inventory[[#This Row],[25Det]],-2)</f>
        <v>0</v>
      </c>
      <c r="BC127" s="25">
        <f>ROUND(SUM(Inventory[[#This Row],[Mdl Qlty]:[Mdl WdDeck]])+Inventory[[#This Row],[Mdl Res Intercept]],-2)</f>
        <v>370900</v>
      </c>
      <c r="BD127" s="25">
        <f>ROUND(Inventory[[#This Row],[Mdl Land Intercept]]+Inventory[[#This Row],[Mdl LnAcres]],-2)</f>
        <v>38900</v>
      </c>
      <c r="BE127" s="25">
        <f>Inventory[[#This Row],[Unadj Res Value]]+Inventory[[#This Row],[Unadj Det Value]]+Inventory[[#This Row],[Unadj Land Value]]</f>
        <v>409800</v>
      </c>
      <c r="BF127" s="36">
        <f>(Inventory[[#This Row],[Unadj Total Value]]-Inventory[[#This Row],[24Final]])/Inventory[[#This Row],[24Final]]</f>
        <v>5.7002837245292752E-2</v>
      </c>
      <c r="BG127" s="25">
        <f>VLOOKUP(Inventory[[#This Row],[Nbhd]],Lookups!$Q$2:$T$4,4,FALSE)</f>
        <v>0.99970000000000003</v>
      </c>
      <c r="BH127" s="25">
        <f>VLOOKUP(Inventory[[#This Row],[Qlty]],Lookups!$O$7:$R$21,4,FALSE)</f>
        <v>0.98050000000000004</v>
      </c>
      <c r="BI127" s="25">
        <f>VLOOKUP(Inventory[[#This Row],[Cnd]],Lookups!$T$7:$W$16,4,FALSE)</f>
        <v>0.99650000000000005</v>
      </c>
      <c r="BJ127" s="25">
        <f>VLOOKUP(Inventory[[#This Row],[LivArea Range]],Lookups!$T$25:$W$37,4,FALSE)</f>
        <v>0.98919999999999997</v>
      </c>
      <c r="BK127" s="25">
        <f>VLOOKUP(Inventory[[#This Row],[Decade]],Lookups!$O$25:$R$42,4,FALSE)</f>
        <v>1.0157</v>
      </c>
      <c r="BL127" s="25">
        <f>Inventory[[#This Row],[Nbhd Adj]]*0.95</f>
        <v>0.94971499999999998</v>
      </c>
      <c r="BM127" s="25">
        <f>Inventory[[#This Row],[Nbhd Adj]]*Inventory[[#This Row],[Quality Adj]]*Inventory[[#This Row],[Condition Adj]]*Inventory[[#This Row],[Living Area Adj]]*Inventory[[#This Row],[Decade Adj]]*0.95</f>
        <v>0.93232592038527484</v>
      </c>
      <c r="BN127" s="25">
        <f>ROUND(SUM(Inventory[[#This Row],[Mdl Qlty]:[Mdl WdDeck]])+Inventory[[#This Row],[Mdl Res Intercept]]*Inventory[[#This Row],[Res Adj ]],-2)</f>
        <v>370900</v>
      </c>
      <c r="BO127" s="25">
        <f>ROUND(Inventory[[#This Row],[25Det]]*Inventory[[#This Row],[Det/Nbhd Adj]],-2)</f>
        <v>0</v>
      </c>
      <c r="BP127" s="25">
        <f>Inventory[[#This Row],[Adjusted Res]]+Inventory[[#This Row],[Adj Det ]]</f>
        <v>370900</v>
      </c>
      <c r="BQ127" s="25">
        <f>ROUND((Inventory[[#This Row],[Mdl Land Intercept]]+Inventory[[#This Row],[Mdl LnAcres]])*Inventory[[#This Row],[Det/Nbhd Adj]],-2)</f>
        <v>36900</v>
      </c>
      <c r="BR127" s="25">
        <f>Inventory[[#This Row],[Adjusted Impr Total]]+Inventory[[#This Row],[Adjusted Land Total]]</f>
        <v>407800</v>
      </c>
      <c r="BS127" s="36">
        <f>IFERROR((Inventory[[#This Row],[Adjusted Impr Total]]-Inventory[[#This Row],[24Bldg]])/Inventory[[#This Row],[24Bldg]],0)</f>
        <v>0.126328575766778</v>
      </c>
      <c r="BT127" s="36">
        <f>(Inventory[[#This Row],[Adjusted Land Total]]-Inventory[[#This Row],[24Lnd]])/Inventory[[#This Row],[24Lnd]]</f>
        <v>-0.36815068493150682</v>
      </c>
      <c r="BU127" s="36">
        <f>(Inventory[[#This Row],[Adjusted Total]]-Inventory[[#This Row],[24Final]])/Inventory[[#This Row],[24Final]]</f>
        <v>5.1844209440288884E-2</v>
      </c>
    </row>
    <row r="128" spans="1:73" x14ac:dyDescent="0.3">
      <c r="A128" s="25">
        <v>2025</v>
      </c>
      <c r="B128" s="26" t="s">
        <v>1016</v>
      </c>
      <c r="C128" s="26">
        <f>LN(Inventory[[#This Row],[Acres]])</f>
        <v>-1.2039728043259361</v>
      </c>
      <c r="D128" s="25">
        <v>0.3</v>
      </c>
      <c r="E128" s="25">
        <v>13180</v>
      </c>
      <c r="F128" s="26" t="s">
        <v>537</v>
      </c>
      <c r="G128" s="26" t="s">
        <v>126</v>
      </c>
      <c r="H128" s="26" t="s">
        <v>349</v>
      </c>
      <c r="I128" s="26" t="s">
        <v>538</v>
      </c>
      <c r="J128" s="26" t="s">
        <v>539</v>
      </c>
      <c r="K128" s="26" t="s">
        <v>350</v>
      </c>
      <c r="L128" s="26" t="s">
        <v>302</v>
      </c>
      <c r="M128" s="26" t="s">
        <v>323</v>
      </c>
      <c r="N128" s="26">
        <v>40</v>
      </c>
      <c r="O128" s="26">
        <f>2024-Inventory[[#This Row],[YrBlt]]</f>
        <v>36</v>
      </c>
      <c r="P128" s="26">
        <f>2024-Inventory[[#This Row],[EffYr]]</f>
        <v>36</v>
      </c>
      <c r="Q128" s="25">
        <v>1988</v>
      </c>
      <c r="R128" s="25">
        <v>1988</v>
      </c>
      <c r="S128" s="25">
        <v>1608</v>
      </c>
      <c r="T128" s="27"/>
      <c r="U128" s="25">
        <v>1108</v>
      </c>
      <c r="V128" s="25">
        <f>Inventory[[#This Row],[Bsmt]]-Inventory[[#This Row],[FnBsmt]]</f>
        <v>0</v>
      </c>
      <c r="W128" s="25">
        <v>1108</v>
      </c>
      <c r="X128" s="27"/>
      <c r="Y128" s="27">
        <f>Inventory[[#This Row],[MainFn]]+Inventory[[#This Row],[UpprFn]]+Inventory[[#This Row],[FnBsmt]]+Inventory[[#This Row],[AddFn]]</f>
        <v>2716</v>
      </c>
      <c r="Z128" s="27">
        <v>3000</v>
      </c>
      <c r="AA128" s="25">
        <v>8</v>
      </c>
      <c r="AB128" s="27"/>
      <c r="AC128" s="32">
        <v>576</v>
      </c>
      <c r="AD128" s="32">
        <v>284</v>
      </c>
      <c r="AE128" s="27"/>
      <c r="AF128" s="27"/>
      <c r="AG128" s="27"/>
      <c r="AH128" s="27"/>
      <c r="AI128" s="25">
        <v>446663</v>
      </c>
      <c r="AJ128" s="25">
        <v>375197</v>
      </c>
      <c r="AK128" s="25">
        <v>0</v>
      </c>
      <c r="AL128" s="25">
        <v>386000</v>
      </c>
      <c r="AM128" s="25">
        <v>72500</v>
      </c>
      <c r="AN128" s="25">
        <v>313500</v>
      </c>
      <c r="AO128" s="25">
        <v>0</v>
      </c>
      <c r="AP128" s="25">
        <f>Lookups!$B$56*0</f>
        <v>0</v>
      </c>
      <c r="AQ128" s="25">
        <f>Lookups!$B$56*1</f>
        <v>89850.625589999996</v>
      </c>
      <c r="AR128" s="25">
        <f>Lookups!$B$57*Inventory[[#This Row],[LnAcres]]</f>
        <v>-38111.29648355169</v>
      </c>
      <c r="AS128" s="25">
        <f>VLOOKUP(Inventory[[#This Row],[Qlty]],Lookups!$A$62:$E$75,2,FALSE)</f>
        <v>29814.093161000001</v>
      </c>
      <c r="AT128" s="25">
        <f>VLOOKUP(Inventory[[#This Row],[Cnd]],Lookups!$A$76:$E$84,2,FALSE)</f>
        <v>160472.20319</v>
      </c>
      <c r="AU128" s="25">
        <f>Inventory[[#This Row],[EffAge]]*Lookups!$B$85</f>
        <v>-8029.6416180000006</v>
      </c>
      <c r="AV128" s="25">
        <f>Inventory[[#This Row],[MainFn]]*Lookups!$B$86</f>
        <v>79449.141162216009</v>
      </c>
      <c r="AW128" s="25">
        <f>Inventory[[#This Row],[UpprFn]]*Lookups!$B$87</f>
        <v>0</v>
      </c>
      <c r="AX128" s="25">
        <f>Inventory[[#This Row],[AddFn]]*Lookups!$B$88</f>
        <v>0</v>
      </c>
      <c r="AY128" s="25">
        <f>Inventory[[#This Row],[Bsmt]]*Lookups!$B$89</f>
        <v>32222.739933675999</v>
      </c>
      <c r="AZ128" s="25">
        <f>Inventory[[#This Row],[Fixtures]]*Lookups!$B$90</f>
        <v>30336.176841600001</v>
      </c>
      <c r="BA128" s="25">
        <f>Inventory[[#This Row],[WdDeck]]*Lookups!$B$91</f>
        <v>9455.9263383840007</v>
      </c>
      <c r="BB128" s="25">
        <f>ROUND(Inventory[[#This Row],[25Det]],-2)</f>
        <v>0</v>
      </c>
      <c r="BC128" s="25">
        <f>ROUND(SUM(Inventory[[#This Row],[Mdl Qlty]:[Mdl WdDeck]])+Inventory[[#This Row],[Mdl Res Intercept]],-2)</f>
        <v>333700</v>
      </c>
      <c r="BD128" s="25">
        <f>ROUND(Inventory[[#This Row],[Mdl Land Intercept]]+Inventory[[#This Row],[Mdl LnAcres]],-2)</f>
        <v>51700</v>
      </c>
      <c r="BE128" s="25">
        <f>Inventory[[#This Row],[Unadj Res Value]]+Inventory[[#This Row],[Unadj Det Value]]+Inventory[[#This Row],[Unadj Land Value]]</f>
        <v>385400</v>
      </c>
      <c r="BF128" s="36">
        <f>(Inventory[[#This Row],[Unadj Total Value]]-Inventory[[#This Row],[24Final]])/Inventory[[#This Row],[24Final]]</f>
        <v>-1.5544041450777201E-3</v>
      </c>
      <c r="BG128" s="25">
        <f>VLOOKUP(Inventory[[#This Row],[Nbhd]],Lookups!$Q$2:$T$4,4,FALSE)</f>
        <v>0.99970000000000003</v>
      </c>
      <c r="BH128" s="25">
        <f>VLOOKUP(Inventory[[#This Row],[Qlty]],Lookups!$O$7:$R$21,4,FALSE)</f>
        <v>1.0088999999999999</v>
      </c>
      <c r="BI128" s="25">
        <f>VLOOKUP(Inventory[[#This Row],[Cnd]],Lookups!$T$7:$W$16,4,FALSE)</f>
        <v>0.99729999999999996</v>
      </c>
      <c r="BJ128" s="25">
        <f>VLOOKUP(Inventory[[#This Row],[LivArea Range]],Lookups!$T$25:$W$37,4,FALSE)</f>
        <v>0.96179999999999999</v>
      </c>
      <c r="BK128" s="25">
        <f>VLOOKUP(Inventory[[#This Row],[Decade]],Lookups!$O$25:$R$42,4,FALSE)</f>
        <v>1.0157</v>
      </c>
      <c r="BL128" s="25">
        <f>Inventory[[#This Row],[Nbhd Adj]]*0.95</f>
        <v>0.94971499999999998</v>
      </c>
      <c r="BM128" s="25">
        <f>Inventory[[#This Row],[Nbhd Adj]]*Inventory[[#This Row],[Quality Adj]]*Inventory[[#This Row],[Condition Adj]]*Inventory[[#This Row],[Living Area Adj]]*Inventory[[#This Row],[Decade Adj]]*0.95</f>
        <v>0.9335067522973054</v>
      </c>
      <c r="BN128" s="25">
        <f>ROUND(SUM(Inventory[[#This Row],[Mdl Qlty]:[Mdl WdDeck]])+Inventory[[#This Row],[Mdl Res Intercept]]*Inventory[[#This Row],[Res Adj ]],-2)</f>
        <v>333700</v>
      </c>
      <c r="BO128" s="25">
        <f>ROUND(Inventory[[#This Row],[25Det]]*Inventory[[#This Row],[Det/Nbhd Adj]],-2)</f>
        <v>0</v>
      </c>
      <c r="BP128" s="25">
        <f>Inventory[[#This Row],[Adjusted Res]]+Inventory[[#This Row],[Adj Det ]]</f>
        <v>333700</v>
      </c>
      <c r="BQ128" s="25">
        <f>ROUND((Inventory[[#This Row],[Mdl Land Intercept]]+Inventory[[#This Row],[Mdl LnAcres]])*Inventory[[#This Row],[Det/Nbhd Adj]],-2)</f>
        <v>49100</v>
      </c>
      <c r="BR128" s="25">
        <f>Inventory[[#This Row],[Adjusted Impr Total]]+Inventory[[#This Row],[Adjusted Land Total]]</f>
        <v>382800</v>
      </c>
      <c r="BS128" s="36">
        <f>IFERROR((Inventory[[#This Row],[Adjusted Impr Total]]-Inventory[[#This Row],[24Bldg]])/Inventory[[#This Row],[24Bldg]],0)</f>
        <v>6.4433811802232857E-2</v>
      </c>
      <c r="BT128" s="36">
        <f>(Inventory[[#This Row],[Adjusted Land Total]]-Inventory[[#This Row],[24Lnd]])/Inventory[[#This Row],[24Lnd]]</f>
        <v>-0.32275862068965516</v>
      </c>
      <c r="BU128" s="36">
        <f>(Inventory[[#This Row],[Adjusted Total]]-Inventory[[#This Row],[24Final]])/Inventory[[#This Row],[24Final]]</f>
        <v>-8.2901554404145074E-3</v>
      </c>
    </row>
    <row r="129" spans="1:73" x14ac:dyDescent="0.3">
      <c r="A129" s="25">
        <v>2025</v>
      </c>
      <c r="B129" s="26" t="s">
        <v>1399</v>
      </c>
      <c r="C129" s="26">
        <f>LN(Inventory[[#This Row],[Acres]])</f>
        <v>-1.6094379124341003</v>
      </c>
      <c r="D129" s="25">
        <v>0.2</v>
      </c>
      <c r="E129" s="25">
        <v>8571</v>
      </c>
      <c r="F129" s="26" t="s">
        <v>537</v>
      </c>
      <c r="G129" s="26" t="s">
        <v>126</v>
      </c>
      <c r="H129" s="26" t="s">
        <v>349</v>
      </c>
      <c r="I129" s="26" t="s">
        <v>538</v>
      </c>
      <c r="J129" s="26" t="s">
        <v>539</v>
      </c>
      <c r="K129" s="26" t="s">
        <v>300</v>
      </c>
      <c r="L129" s="26" t="s">
        <v>148</v>
      </c>
      <c r="M129" s="26" t="s">
        <v>303</v>
      </c>
      <c r="N129" s="26">
        <v>40</v>
      </c>
      <c r="O129" s="26">
        <f>2024-Inventory[[#This Row],[YrBlt]]</f>
        <v>37</v>
      </c>
      <c r="P129" s="26">
        <f>2024-Inventory[[#This Row],[EffYr]]</f>
        <v>37</v>
      </c>
      <c r="Q129" s="25">
        <v>1987</v>
      </c>
      <c r="R129" s="25">
        <v>1987</v>
      </c>
      <c r="S129" s="25">
        <v>1470</v>
      </c>
      <c r="T129" s="27"/>
      <c r="U129" s="31"/>
      <c r="V129" s="31">
        <f>Inventory[[#This Row],[Bsmt]]-Inventory[[#This Row],[FnBsmt]]</f>
        <v>0</v>
      </c>
      <c r="W129" s="31"/>
      <c r="X129" s="27"/>
      <c r="Y129" s="27">
        <f>Inventory[[#This Row],[MainFn]]+Inventory[[#This Row],[UpprFn]]+Inventory[[#This Row],[FnBsmt]]+Inventory[[#This Row],[AddFn]]</f>
        <v>1470</v>
      </c>
      <c r="Z129" s="27">
        <v>1500</v>
      </c>
      <c r="AA129" s="25">
        <v>8</v>
      </c>
      <c r="AB129" s="32">
        <v>400</v>
      </c>
      <c r="AC129" s="27"/>
      <c r="AD129" s="32">
        <v>201</v>
      </c>
      <c r="AE129" s="27"/>
      <c r="AF129" s="27"/>
      <c r="AG129" s="27"/>
      <c r="AH129" s="27"/>
      <c r="AI129" s="25">
        <v>325100</v>
      </c>
      <c r="AJ129" s="25">
        <v>276335</v>
      </c>
      <c r="AK129" s="25">
        <v>0</v>
      </c>
      <c r="AL129" s="25">
        <v>354700</v>
      </c>
      <c r="AM129" s="25">
        <v>58400</v>
      </c>
      <c r="AN129" s="25">
        <v>296300</v>
      </c>
      <c r="AO129" s="25">
        <v>0</v>
      </c>
      <c r="AP129" s="25">
        <f>Lookups!$B$56*0</f>
        <v>0</v>
      </c>
      <c r="AQ129" s="25">
        <f>Lookups!$B$56*1</f>
        <v>89850.625589999996</v>
      </c>
      <c r="AR129" s="25">
        <f>Lookups!$B$57*Inventory[[#This Row],[LnAcres]]</f>
        <v>-50946.13867709865</v>
      </c>
      <c r="AS129" s="25">
        <f>VLOOKUP(Inventory[[#This Row],[Qlty]],Lookups!$A$62:$E$75,2,FALSE)</f>
        <v>44121.038090000002</v>
      </c>
      <c r="AT129" s="25">
        <f>VLOOKUP(Inventory[[#This Row],[Cnd]],Lookups!$A$76:$E$84,2,FALSE)</f>
        <v>197752.34721000001</v>
      </c>
      <c r="AU129" s="25">
        <f>Inventory[[#This Row],[EffAge]]*Lookups!$B$85</f>
        <v>-8252.6872185000011</v>
      </c>
      <c r="AV129" s="25">
        <f>Inventory[[#This Row],[MainFn]]*Lookups!$B$86</f>
        <v>72630.744719189999</v>
      </c>
      <c r="AW129" s="25">
        <f>Inventory[[#This Row],[UpprFn]]*Lookups!$B$87</f>
        <v>0</v>
      </c>
      <c r="AX129" s="25">
        <f>Inventory[[#This Row],[AddFn]]*Lookups!$B$88</f>
        <v>0</v>
      </c>
      <c r="AY129" s="25">
        <f>Inventory[[#This Row],[Bsmt]]*Lookups!$B$89</f>
        <v>0</v>
      </c>
      <c r="AZ129" s="25">
        <f>Inventory[[#This Row],[Fixtures]]*Lookups!$B$90</f>
        <v>30336.176841600001</v>
      </c>
      <c r="BA129" s="25">
        <f>Inventory[[#This Row],[WdDeck]]*Lookups!$B$91</f>
        <v>6692.3985704760007</v>
      </c>
      <c r="BB129" s="25">
        <f>ROUND(Inventory[[#This Row],[25Det]],-2)</f>
        <v>0</v>
      </c>
      <c r="BC129" s="25">
        <f>ROUND(SUM(Inventory[[#This Row],[Mdl Qlty]:[Mdl WdDeck]])+Inventory[[#This Row],[Mdl Res Intercept]],-2)</f>
        <v>343300</v>
      </c>
      <c r="BD129" s="25">
        <f>ROUND(Inventory[[#This Row],[Mdl Land Intercept]]+Inventory[[#This Row],[Mdl LnAcres]],-2)</f>
        <v>38900</v>
      </c>
      <c r="BE129" s="25">
        <f>Inventory[[#This Row],[Unadj Res Value]]+Inventory[[#This Row],[Unadj Det Value]]+Inventory[[#This Row],[Unadj Land Value]]</f>
        <v>382200</v>
      </c>
      <c r="BF129" s="36">
        <f>(Inventory[[#This Row],[Unadj Total Value]]-Inventory[[#This Row],[24Final]])/Inventory[[#This Row],[24Final]]</f>
        <v>7.7530307301945309E-2</v>
      </c>
      <c r="BG129" s="25">
        <f>VLOOKUP(Inventory[[#This Row],[Nbhd]],Lookups!$Q$2:$T$4,4,FALSE)</f>
        <v>0.99970000000000003</v>
      </c>
      <c r="BH129" s="25">
        <f>VLOOKUP(Inventory[[#This Row],[Qlty]],Lookups!$O$7:$R$21,4,FALSE)</f>
        <v>0.98050000000000004</v>
      </c>
      <c r="BI129" s="25">
        <f>VLOOKUP(Inventory[[#This Row],[Cnd]],Lookups!$T$7:$W$16,4,FALSE)</f>
        <v>0.99650000000000005</v>
      </c>
      <c r="BJ129" s="25">
        <f>VLOOKUP(Inventory[[#This Row],[LivArea Range]],Lookups!$T$25:$W$37,4,FALSE)</f>
        <v>1.0157</v>
      </c>
      <c r="BK129" s="25">
        <f>VLOOKUP(Inventory[[#This Row],[Decade]],Lookups!$O$25:$R$42,4,FALSE)</f>
        <v>1.0157</v>
      </c>
      <c r="BL129" s="25">
        <f>Inventory[[#This Row],[Nbhd Adj]]*0.95</f>
        <v>0.94971499999999998</v>
      </c>
      <c r="BM129" s="25">
        <f>Inventory[[#This Row],[Nbhd Adj]]*Inventory[[#This Row],[Quality Adj]]*Inventory[[#This Row],[Condition Adj]]*Inventory[[#This Row],[Living Area Adj]]*Inventory[[#This Row],[Decade Adj]]*0.95</f>
        <v>0.95730230219907364</v>
      </c>
      <c r="BN129" s="25">
        <f>ROUND(SUM(Inventory[[#This Row],[Mdl Qlty]:[Mdl WdDeck]])+Inventory[[#This Row],[Mdl Res Intercept]]*Inventory[[#This Row],[Res Adj ]],-2)</f>
        <v>343300</v>
      </c>
      <c r="BO129" s="25">
        <f>ROUND(Inventory[[#This Row],[25Det]]*Inventory[[#This Row],[Det/Nbhd Adj]],-2)</f>
        <v>0</v>
      </c>
      <c r="BP129" s="25">
        <f>Inventory[[#This Row],[Adjusted Res]]+Inventory[[#This Row],[Adj Det ]]</f>
        <v>343300</v>
      </c>
      <c r="BQ129" s="25">
        <f>ROUND((Inventory[[#This Row],[Mdl Land Intercept]]+Inventory[[#This Row],[Mdl LnAcres]])*Inventory[[#This Row],[Det/Nbhd Adj]],-2)</f>
        <v>36900</v>
      </c>
      <c r="BR129" s="25">
        <f>Inventory[[#This Row],[Adjusted Impr Total]]+Inventory[[#This Row],[Adjusted Land Total]]</f>
        <v>380200</v>
      </c>
      <c r="BS129" s="36">
        <f>IFERROR((Inventory[[#This Row],[Adjusted Impr Total]]-Inventory[[#This Row],[24Bldg]])/Inventory[[#This Row],[24Bldg]],0)</f>
        <v>0.15862301721228483</v>
      </c>
      <c r="BT129" s="36">
        <f>(Inventory[[#This Row],[Adjusted Land Total]]-Inventory[[#This Row],[24Lnd]])/Inventory[[#This Row],[24Lnd]]</f>
        <v>-0.36815068493150682</v>
      </c>
      <c r="BU129" s="36">
        <f>(Inventory[[#This Row],[Adjusted Total]]-Inventory[[#This Row],[24Final]])/Inventory[[#This Row],[24Final]]</f>
        <v>7.1891739498167462E-2</v>
      </c>
    </row>
    <row r="130" spans="1:73" x14ac:dyDescent="0.3">
      <c r="A130" s="25">
        <v>2025</v>
      </c>
      <c r="B130" s="26" t="s">
        <v>2468</v>
      </c>
      <c r="C130" s="26">
        <f>LN(Inventory[[#This Row],[Acres]])</f>
        <v>-1.6094379124341003</v>
      </c>
      <c r="D130" s="25">
        <v>0.2</v>
      </c>
      <c r="E130" s="25">
        <v>8686</v>
      </c>
      <c r="F130" s="26" t="s">
        <v>537</v>
      </c>
      <c r="G130" s="26" t="s">
        <v>126</v>
      </c>
      <c r="H130" s="26" t="s">
        <v>349</v>
      </c>
      <c r="I130" s="26" t="s">
        <v>538</v>
      </c>
      <c r="J130" s="26" t="s">
        <v>539</v>
      </c>
      <c r="K130" s="26" t="s">
        <v>241</v>
      </c>
      <c r="L130" s="26" t="s">
        <v>351</v>
      </c>
      <c r="M130" s="26" t="s">
        <v>303</v>
      </c>
      <c r="N130" s="26">
        <v>40</v>
      </c>
      <c r="O130" s="26">
        <f>2024-Inventory[[#This Row],[YrBlt]]</f>
        <v>37</v>
      </c>
      <c r="P130" s="26">
        <f>2024-Inventory[[#This Row],[EffYr]]</f>
        <v>37</v>
      </c>
      <c r="Q130" s="25">
        <v>1987</v>
      </c>
      <c r="R130" s="25">
        <v>1987</v>
      </c>
      <c r="S130" s="25">
        <v>1712</v>
      </c>
      <c r="T130" s="27"/>
      <c r="U130" s="31"/>
      <c r="V130" s="31">
        <f>Inventory[[#This Row],[Bsmt]]-Inventory[[#This Row],[FnBsmt]]</f>
        <v>0</v>
      </c>
      <c r="W130" s="31"/>
      <c r="X130" s="27"/>
      <c r="Y130" s="27">
        <f>Inventory[[#This Row],[MainFn]]+Inventory[[#This Row],[UpprFn]]+Inventory[[#This Row],[FnBsmt]]+Inventory[[#This Row],[AddFn]]</f>
        <v>1712</v>
      </c>
      <c r="Z130" s="27">
        <v>2000</v>
      </c>
      <c r="AA130" s="25">
        <v>8</v>
      </c>
      <c r="AB130" s="32">
        <v>705</v>
      </c>
      <c r="AC130" s="27"/>
      <c r="AD130" s="25">
        <v>208</v>
      </c>
      <c r="AE130" s="27"/>
      <c r="AF130" s="27"/>
      <c r="AG130" s="27"/>
      <c r="AH130" s="27"/>
      <c r="AI130" s="25">
        <v>293225</v>
      </c>
      <c r="AJ130" s="25">
        <v>249241</v>
      </c>
      <c r="AK130" s="25">
        <v>0</v>
      </c>
      <c r="AL130" s="25">
        <v>347900</v>
      </c>
      <c r="AM130" s="25">
        <v>58400</v>
      </c>
      <c r="AN130" s="25">
        <v>289500</v>
      </c>
      <c r="AO130" s="25">
        <v>0</v>
      </c>
      <c r="AP130" s="25">
        <f>Lookups!$B$56*0</f>
        <v>0</v>
      </c>
      <c r="AQ130" s="25">
        <f>Lookups!$B$56*1</f>
        <v>89850.625589999996</v>
      </c>
      <c r="AR130" s="25">
        <f>Lookups!$B$57*Inventory[[#This Row],[LnAcres]]</f>
        <v>-50946.13867709865</v>
      </c>
      <c r="AS130" s="25">
        <f>VLOOKUP(Inventory[[#This Row],[Qlty]],Lookups!$A$62:$E$75,2,FALSE)</f>
        <v>21557.329055999999</v>
      </c>
      <c r="AT130" s="25">
        <f>VLOOKUP(Inventory[[#This Row],[Cnd]],Lookups!$A$76:$E$84,2,FALSE)</f>
        <v>197752.34721000001</v>
      </c>
      <c r="AU130" s="25">
        <f>Inventory[[#This Row],[EffAge]]*Lookups!$B$85</f>
        <v>-8252.6872185000011</v>
      </c>
      <c r="AV130" s="25">
        <f>Inventory[[#This Row],[MainFn]]*Lookups!$B$86</f>
        <v>84587.642829424003</v>
      </c>
      <c r="AW130" s="25">
        <f>Inventory[[#This Row],[UpprFn]]*Lookups!$B$87</f>
        <v>0</v>
      </c>
      <c r="AX130" s="25">
        <f>Inventory[[#This Row],[AddFn]]*Lookups!$B$88</f>
        <v>0</v>
      </c>
      <c r="AY130" s="25">
        <f>Inventory[[#This Row],[Bsmt]]*Lookups!$B$89</f>
        <v>0</v>
      </c>
      <c r="AZ130" s="25">
        <f>Inventory[[#This Row],[Fixtures]]*Lookups!$B$90</f>
        <v>30336.176841600001</v>
      </c>
      <c r="BA130" s="25">
        <f>Inventory[[#This Row],[WdDeck]]*Lookups!$B$91</f>
        <v>6925.4671774080007</v>
      </c>
      <c r="BB130" s="25">
        <f>ROUND(Inventory[[#This Row],[25Det]],-2)</f>
        <v>0</v>
      </c>
      <c r="BC130" s="25">
        <f>ROUND(SUM(Inventory[[#This Row],[Mdl Qlty]:[Mdl WdDeck]])+Inventory[[#This Row],[Mdl Res Intercept]],-2)</f>
        <v>332900</v>
      </c>
      <c r="BD130" s="25">
        <f>ROUND(Inventory[[#This Row],[Mdl Land Intercept]]+Inventory[[#This Row],[Mdl LnAcres]],-2)</f>
        <v>38900</v>
      </c>
      <c r="BE130" s="25">
        <f>Inventory[[#This Row],[Unadj Res Value]]+Inventory[[#This Row],[Unadj Det Value]]+Inventory[[#This Row],[Unadj Land Value]]</f>
        <v>371800</v>
      </c>
      <c r="BF130" s="36">
        <f>(Inventory[[#This Row],[Unadj Total Value]]-Inventory[[#This Row],[24Final]])/Inventory[[#This Row],[24Final]]</f>
        <v>6.8697901695889629E-2</v>
      </c>
      <c r="BG130" s="25">
        <f>VLOOKUP(Inventory[[#This Row],[Nbhd]],Lookups!$Q$2:$T$4,4,FALSE)</f>
        <v>0.99970000000000003</v>
      </c>
      <c r="BH130" s="25">
        <f>VLOOKUP(Inventory[[#This Row],[Qlty]],Lookups!$O$7:$R$21,4,FALSE)</f>
        <v>1.0067999999999999</v>
      </c>
      <c r="BI130" s="25">
        <f>VLOOKUP(Inventory[[#This Row],[Cnd]],Lookups!$T$7:$W$16,4,FALSE)</f>
        <v>0.99650000000000005</v>
      </c>
      <c r="BJ130" s="25">
        <f>VLOOKUP(Inventory[[#This Row],[LivArea Range]],Lookups!$T$25:$W$37,4,FALSE)</f>
        <v>1.0093000000000001</v>
      </c>
      <c r="BK130" s="25">
        <f>VLOOKUP(Inventory[[#This Row],[Decade]],Lookups!$O$25:$R$42,4,FALSE)</f>
        <v>1.0157</v>
      </c>
      <c r="BL130" s="25">
        <f>Inventory[[#This Row],[Nbhd Adj]]*0.95</f>
        <v>0.94971499999999998</v>
      </c>
      <c r="BM130" s="25">
        <f>Inventory[[#This Row],[Nbhd Adj]]*Inventory[[#This Row],[Quality Adj]]*Inventory[[#This Row],[Condition Adj]]*Inventory[[#This Row],[Living Area Adj]]*Inventory[[#This Row],[Decade Adj]]*0.95</f>
        <v>0.9767862398809567</v>
      </c>
      <c r="BN130" s="25">
        <f>ROUND(SUM(Inventory[[#This Row],[Mdl Qlty]:[Mdl WdDeck]])+Inventory[[#This Row],[Mdl Res Intercept]]*Inventory[[#This Row],[Res Adj ]],-2)</f>
        <v>332900</v>
      </c>
      <c r="BO130" s="25">
        <f>ROUND(Inventory[[#This Row],[25Det]]*Inventory[[#This Row],[Det/Nbhd Adj]],-2)</f>
        <v>0</v>
      </c>
      <c r="BP130" s="25">
        <f>Inventory[[#This Row],[Adjusted Res]]+Inventory[[#This Row],[Adj Det ]]</f>
        <v>332900</v>
      </c>
      <c r="BQ130" s="25">
        <f>ROUND((Inventory[[#This Row],[Mdl Land Intercept]]+Inventory[[#This Row],[Mdl LnAcres]])*Inventory[[#This Row],[Det/Nbhd Adj]],-2)</f>
        <v>36900</v>
      </c>
      <c r="BR130" s="25">
        <f>Inventory[[#This Row],[Adjusted Impr Total]]+Inventory[[#This Row],[Adjusted Land Total]]</f>
        <v>369800</v>
      </c>
      <c r="BS130" s="36">
        <f>IFERROR((Inventory[[#This Row],[Adjusted Impr Total]]-Inventory[[#This Row],[24Bldg]])/Inventory[[#This Row],[24Bldg]],0)</f>
        <v>0.14991364421416234</v>
      </c>
      <c r="BT130" s="36">
        <f>(Inventory[[#This Row],[Adjusted Land Total]]-Inventory[[#This Row],[24Lnd]])/Inventory[[#This Row],[24Lnd]]</f>
        <v>-0.36815068493150682</v>
      </c>
      <c r="BU130" s="36">
        <f>(Inventory[[#This Row],[Adjusted Total]]-Inventory[[#This Row],[24Final]])/Inventory[[#This Row],[24Final]]</f>
        <v>6.2949123311296346E-2</v>
      </c>
    </row>
    <row r="131" spans="1:73" x14ac:dyDescent="0.3">
      <c r="A131" s="25">
        <v>2025</v>
      </c>
      <c r="B131" s="26" t="s">
        <v>2065</v>
      </c>
      <c r="C131" s="26">
        <f>LN(Inventory[[#This Row],[Acres]])</f>
        <v>-1.4696759700589417</v>
      </c>
      <c r="D131" s="25">
        <v>0.23</v>
      </c>
      <c r="E131" s="25">
        <v>10021</v>
      </c>
      <c r="F131" s="26" t="s">
        <v>537</v>
      </c>
      <c r="G131" s="26" t="s">
        <v>126</v>
      </c>
      <c r="H131" s="26" t="s">
        <v>349</v>
      </c>
      <c r="I131" s="26" t="s">
        <v>538</v>
      </c>
      <c r="J131" s="26" t="s">
        <v>638</v>
      </c>
      <c r="K131" s="26" t="s">
        <v>147</v>
      </c>
      <c r="L131" s="26" t="s">
        <v>302</v>
      </c>
      <c r="M131" s="26" t="s">
        <v>303</v>
      </c>
      <c r="N131" s="26">
        <v>40</v>
      </c>
      <c r="O131" s="26">
        <f>2024-Inventory[[#This Row],[YrBlt]]</f>
        <v>37</v>
      </c>
      <c r="P131" s="26">
        <f>2024-Inventory[[#This Row],[EffYr]]</f>
        <v>37</v>
      </c>
      <c r="Q131" s="25">
        <v>1987</v>
      </c>
      <c r="R131" s="25">
        <v>1987</v>
      </c>
      <c r="S131" s="25">
        <v>1174</v>
      </c>
      <c r="T131" s="32">
        <v>764</v>
      </c>
      <c r="U131" s="25">
        <v>150</v>
      </c>
      <c r="V131" s="25">
        <f>Inventory[[#This Row],[Bsmt]]-Inventory[[#This Row],[FnBsmt]]</f>
        <v>150</v>
      </c>
      <c r="W131" s="31"/>
      <c r="X131" s="32">
        <v>288</v>
      </c>
      <c r="Y131" s="32">
        <f>Inventory[[#This Row],[MainFn]]+Inventory[[#This Row],[UpprFn]]+Inventory[[#This Row],[FnBsmt]]+Inventory[[#This Row],[AddFn]]</f>
        <v>2226</v>
      </c>
      <c r="Z131" s="27">
        <v>2500</v>
      </c>
      <c r="AA131" s="25">
        <v>11</v>
      </c>
      <c r="AB131" s="25">
        <v>576</v>
      </c>
      <c r="AC131" s="27"/>
      <c r="AD131" s="32">
        <v>160</v>
      </c>
      <c r="AE131" s="27"/>
      <c r="AF131" s="27"/>
      <c r="AG131" s="27"/>
      <c r="AH131" s="27"/>
      <c r="AI131" s="25">
        <v>404503</v>
      </c>
      <c r="AJ131" s="25">
        <v>343828</v>
      </c>
      <c r="AK131" s="25">
        <v>0</v>
      </c>
      <c r="AL131" s="25">
        <v>398400</v>
      </c>
      <c r="AM131" s="25">
        <v>63300</v>
      </c>
      <c r="AN131" s="25">
        <v>335100</v>
      </c>
      <c r="AO131" s="25">
        <v>0</v>
      </c>
      <c r="AP131" s="25">
        <f>Lookups!$B$56*0</f>
        <v>0</v>
      </c>
      <c r="AQ131" s="25">
        <f>Lookups!$B$56*1</f>
        <v>89850.625589999996</v>
      </c>
      <c r="AR131" s="25">
        <f>Lookups!$B$57*Inventory[[#This Row],[LnAcres]]</f>
        <v>-46522.028095997222</v>
      </c>
      <c r="AS131" s="25">
        <f>VLOOKUP(Inventory[[#This Row],[Qlty]],Lookups!$A$62:$E$75,2,FALSE)</f>
        <v>29814.093161000001</v>
      </c>
      <c r="AT131" s="25">
        <f>VLOOKUP(Inventory[[#This Row],[Cnd]],Lookups!$A$76:$E$84,2,FALSE)</f>
        <v>197752.34721000001</v>
      </c>
      <c r="AU131" s="25">
        <f>Inventory[[#This Row],[EffAge]]*Lookups!$B$85</f>
        <v>-8252.6872185000011</v>
      </c>
      <c r="AV131" s="25">
        <f>Inventory[[#This Row],[MainFn]]*Lookups!$B$86</f>
        <v>58005.778435598004</v>
      </c>
      <c r="AW131" s="25">
        <f>Inventory[[#This Row],[UpprFn]]*Lookups!$B$87</f>
        <v>34216.827065803998</v>
      </c>
      <c r="AX131" s="25">
        <f>Inventory[[#This Row],[AddFn]]*Lookups!$B$88</f>
        <v>18747.265262688001</v>
      </c>
      <c r="AY131" s="25">
        <f>Inventory[[#This Row],[Bsmt]]*Lookups!$B$89</f>
        <v>4362.2842870499999</v>
      </c>
      <c r="AZ131" s="25">
        <f>Inventory[[#This Row],[Fixtures]]*Lookups!$B$90</f>
        <v>41712.243157199999</v>
      </c>
      <c r="BA131" s="25">
        <f>Inventory[[#This Row],[WdDeck]]*Lookups!$B$91</f>
        <v>5327.2824441600005</v>
      </c>
      <c r="BB131" s="25">
        <f>ROUND(Inventory[[#This Row],[25Det]],-2)</f>
        <v>0</v>
      </c>
      <c r="BC131" s="25">
        <f>ROUND(SUM(Inventory[[#This Row],[Mdl Qlty]:[Mdl WdDeck]])+Inventory[[#This Row],[Mdl Res Intercept]],-2)</f>
        <v>381700</v>
      </c>
      <c r="BD131" s="25">
        <f>ROUND(Inventory[[#This Row],[Mdl Land Intercept]]+Inventory[[#This Row],[Mdl LnAcres]],-2)</f>
        <v>43300</v>
      </c>
      <c r="BE131" s="25">
        <f>Inventory[[#This Row],[Unadj Res Value]]+Inventory[[#This Row],[Unadj Det Value]]+Inventory[[#This Row],[Unadj Land Value]]</f>
        <v>425000</v>
      </c>
      <c r="BF131" s="36">
        <f>(Inventory[[#This Row],[Unadj Total Value]]-Inventory[[#This Row],[24Final]])/Inventory[[#This Row],[24Final]]</f>
        <v>6.6767068273092367E-2</v>
      </c>
      <c r="BG131" s="25">
        <f>VLOOKUP(Inventory[[#This Row],[Nbhd]],Lookups!$Q$2:$T$4,4,FALSE)</f>
        <v>0.99970000000000003</v>
      </c>
      <c r="BH131" s="25">
        <f>VLOOKUP(Inventory[[#This Row],[Qlty]],Lookups!$O$7:$R$21,4,FALSE)</f>
        <v>1.0088999999999999</v>
      </c>
      <c r="BI131" s="25">
        <f>VLOOKUP(Inventory[[#This Row],[Cnd]],Lookups!$T$7:$W$16,4,FALSE)</f>
        <v>0.99650000000000005</v>
      </c>
      <c r="BJ131" s="25">
        <f>VLOOKUP(Inventory[[#This Row],[LivArea Range]],Lookups!$T$25:$W$37,4,FALSE)</f>
        <v>0.98919999999999997</v>
      </c>
      <c r="BK131" s="25">
        <f>VLOOKUP(Inventory[[#This Row],[Decade]],Lookups!$O$25:$R$42,4,FALSE)</f>
        <v>1.0157</v>
      </c>
      <c r="BL131" s="25">
        <f>Inventory[[#This Row],[Nbhd Adj]]*0.95</f>
        <v>0.94971499999999998</v>
      </c>
      <c r="BM131" s="25">
        <f>Inventory[[#This Row],[Nbhd Adj]]*Inventory[[#This Row],[Quality Adj]]*Inventory[[#This Row],[Condition Adj]]*Inventory[[#This Row],[Living Area Adj]]*Inventory[[#This Row],[Decade Adj]]*0.95</f>
        <v>0.95933056713585274</v>
      </c>
      <c r="BN131" s="25">
        <f>ROUND(SUM(Inventory[[#This Row],[Mdl Qlty]:[Mdl WdDeck]])+Inventory[[#This Row],[Mdl Res Intercept]]*Inventory[[#This Row],[Res Adj ]],-2)</f>
        <v>381700</v>
      </c>
      <c r="BO131" s="25">
        <f>ROUND(Inventory[[#This Row],[25Det]]*Inventory[[#This Row],[Det/Nbhd Adj]],-2)</f>
        <v>0</v>
      </c>
      <c r="BP131" s="25">
        <f>Inventory[[#This Row],[Adjusted Res]]+Inventory[[#This Row],[Adj Det ]]</f>
        <v>381700</v>
      </c>
      <c r="BQ131" s="25">
        <f>ROUND((Inventory[[#This Row],[Mdl Land Intercept]]+Inventory[[#This Row],[Mdl LnAcres]])*Inventory[[#This Row],[Det/Nbhd Adj]],-2)</f>
        <v>41100</v>
      </c>
      <c r="BR131" s="25">
        <f>Inventory[[#This Row],[Adjusted Impr Total]]+Inventory[[#This Row],[Adjusted Land Total]]</f>
        <v>422800</v>
      </c>
      <c r="BS131" s="36">
        <f>IFERROR((Inventory[[#This Row],[Adjusted Impr Total]]-Inventory[[#This Row],[24Bldg]])/Inventory[[#This Row],[24Bldg]],0)</f>
        <v>0.13906296627872278</v>
      </c>
      <c r="BT131" s="36">
        <f>(Inventory[[#This Row],[Adjusted Land Total]]-Inventory[[#This Row],[24Lnd]])/Inventory[[#This Row],[24Lnd]]</f>
        <v>-0.35071090047393366</v>
      </c>
      <c r="BU131" s="36">
        <f>(Inventory[[#This Row],[Adjusted Total]]-Inventory[[#This Row],[24Final]])/Inventory[[#This Row],[24Final]]</f>
        <v>6.1244979919678713E-2</v>
      </c>
    </row>
    <row r="132" spans="1:73" x14ac:dyDescent="0.3">
      <c r="A132" s="25">
        <v>2025</v>
      </c>
      <c r="B132" s="26" t="s">
        <v>2478</v>
      </c>
      <c r="C132" s="26">
        <f>LN(Inventory[[#This Row],[Acres]])</f>
        <v>-1.6094379124341003</v>
      </c>
      <c r="D132" s="25">
        <v>0.2</v>
      </c>
      <c r="E132" s="25">
        <v>8680</v>
      </c>
      <c r="F132" s="26" t="s">
        <v>537</v>
      </c>
      <c r="G132" s="26" t="s">
        <v>126</v>
      </c>
      <c r="H132" s="26" t="s">
        <v>349</v>
      </c>
      <c r="I132" s="26" t="s">
        <v>538</v>
      </c>
      <c r="J132" s="26" t="s">
        <v>539</v>
      </c>
      <c r="K132" s="26" t="s">
        <v>300</v>
      </c>
      <c r="L132" s="26" t="s">
        <v>302</v>
      </c>
      <c r="M132" s="26" t="s">
        <v>323</v>
      </c>
      <c r="N132" s="26">
        <v>40</v>
      </c>
      <c r="O132" s="26">
        <f>2024-Inventory[[#This Row],[YrBlt]]</f>
        <v>38</v>
      </c>
      <c r="P132" s="26">
        <f>2024-Inventory[[#This Row],[EffYr]]</f>
        <v>38</v>
      </c>
      <c r="Q132" s="25">
        <v>1986</v>
      </c>
      <c r="R132" s="25">
        <v>1986</v>
      </c>
      <c r="S132" s="25">
        <v>1352</v>
      </c>
      <c r="T132" s="27"/>
      <c r="U132" s="27"/>
      <c r="V132" s="27">
        <f>Inventory[[#This Row],[Bsmt]]-Inventory[[#This Row],[FnBsmt]]</f>
        <v>0</v>
      </c>
      <c r="W132" s="27"/>
      <c r="X132" s="27"/>
      <c r="Y132" s="27">
        <f>Inventory[[#This Row],[MainFn]]+Inventory[[#This Row],[UpprFn]]+Inventory[[#This Row],[FnBsmt]]+Inventory[[#This Row],[AddFn]]</f>
        <v>1352</v>
      </c>
      <c r="Z132" s="27">
        <v>1500</v>
      </c>
      <c r="AA132" s="25">
        <v>8</v>
      </c>
      <c r="AB132" s="25">
        <v>528</v>
      </c>
      <c r="AC132" s="27"/>
      <c r="AD132" s="32">
        <v>168</v>
      </c>
      <c r="AE132" s="27"/>
      <c r="AF132" s="27"/>
      <c r="AG132" s="27"/>
      <c r="AH132" s="27"/>
      <c r="AI132" s="25">
        <v>287312</v>
      </c>
      <c r="AJ132" s="25">
        <v>238469</v>
      </c>
      <c r="AK132" s="25">
        <v>0</v>
      </c>
      <c r="AL132" s="25">
        <v>317500</v>
      </c>
      <c r="AM132" s="25">
        <v>58400</v>
      </c>
      <c r="AN132" s="25">
        <v>259100</v>
      </c>
      <c r="AO132" s="25">
        <v>0</v>
      </c>
      <c r="AP132" s="25">
        <f>Lookups!$B$56*0</f>
        <v>0</v>
      </c>
      <c r="AQ132" s="25">
        <f>Lookups!$B$56*1</f>
        <v>89850.625589999996</v>
      </c>
      <c r="AR132" s="25">
        <f>Lookups!$B$57*Inventory[[#This Row],[LnAcres]]</f>
        <v>-50946.13867709865</v>
      </c>
      <c r="AS132" s="25">
        <f>VLOOKUP(Inventory[[#This Row],[Qlty]],Lookups!$A$62:$E$75,2,FALSE)</f>
        <v>29814.093161000001</v>
      </c>
      <c r="AT132" s="25">
        <f>VLOOKUP(Inventory[[#This Row],[Cnd]],Lookups!$A$76:$E$84,2,FALSE)</f>
        <v>160472.20319</v>
      </c>
      <c r="AU132" s="25">
        <f>Inventory[[#This Row],[EffAge]]*Lookups!$B$85</f>
        <v>-8475.7328190000007</v>
      </c>
      <c r="AV132" s="25">
        <f>Inventory[[#This Row],[MainFn]]*Lookups!$B$86</f>
        <v>66800.521673704003</v>
      </c>
      <c r="AW132" s="25">
        <f>Inventory[[#This Row],[UpprFn]]*Lookups!$B$87</f>
        <v>0</v>
      </c>
      <c r="AX132" s="25">
        <f>Inventory[[#This Row],[AddFn]]*Lookups!$B$88</f>
        <v>0</v>
      </c>
      <c r="AY132" s="25">
        <f>Inventory[[#This Row],[Bsmt]]*Lookups!$B$89</f>
        <v>0</v>
      </c>
      <c r="AZ132" s="25">
        <f>Inventory[[#This Row],[Fixtures]]*Lookups!$B$90</f>
        <v>30336.176841600001</v>
      </c>
      <c r="BA132" s="25">
        <f>Inventory[[#This Row],[WdDeck]]*Lookups!$B$91</f>
        <v>5593.646566368001</v>
      </c>
      <c r="BB132" s="25">
        <f>ROUND(Inventory[[#This Row],[25Det]],-2)</f>
        <v>0</v>
      </c>
      <c r="BC132" s="25">
        <f>ROUND(SUM(Inventory[[#This Row],[Mdl Qlty]:[Mdl WdDeck]])+Inventory[[#This Row],[Mdl Res Intercept]],-2)</f>
        <v>284500</v>
      </c>
      <c r="BD132" s="25">
        <f>ROUND(Inventory[[#This Row],[Mdl Land Intercept]]+Inventory[[#This Row],[Mdl LnAcres]],-2)</f>
        <v>38900</v>
      </c>
      <c r="BE132" s="25">
        <f>Inventory[[#This Row],[Unadj Res Value]]+Inventory[[#This Row],[Unadj Det Value]]+Inventory[[#This Row],[Unadj Land Value]]</f>
        <v>323400</v>
      </c>
      <c r="BF132" s="36">
        <f>(Inventory[[#This Row],[Unadj Total Value]]-Inventory[[#This Row],[24Final]])/Inventory[[#This Row],[24Final]]</f>
        <v>1.858267716535433E-2</v>
      </c>
      <c r="BG132" s="25">
        <f>VLOOKUP(Inventory[[#This Row],[Nbhd]],Lookups!$Q$2:$T$4,4,FALSE)</f>
        <v>0.99970000000000003</v>
      </c>
      <c r="BH132" s="25">
        <f>VLOOKUP(Inventory[[#This Row],[Qlty]],Lookups!$O$7:$R$21,4,FALSE)</f>
        <v>1.0088999999999999</v>
      </c>
      <c r="BI132" s="25">
        <f>VLOOKUP(Inventory[[#This Row],[Cnd]],Lookups!$T$7:$W$16,4,FALSE)</f>
        <v>0.99729999999999996</v>
      </c>
      <c r="BJ132" s="25">
        <f>VLOOKUP(Inventory[[#This Row],[LivArea Range]],Lookups!$T$25:$W$37,4,FALSE)</f>
        <v>1.0157</v>
      </c>
      <c r="BK132" s="25">
        <f>VLOOKUP(Inventory[[#This Row],[Decade]],Lookups!$O$25:$R$42,4,FALSE)</f>
        <v>1.0157</v>
      </c>
      <c r="BL132" s="25">
        <f>Inventory[[#This Row],[Nbhd Adj]]*0.95</f>
        <v>0.94971499999999998</v>
      </c>
      <c r="BM132" s="25">
        <f>Inventory[[#This Row],[Nbhd Adj]]*Inventory[[#This Row],[Quality Adj]]*Inventory[[#This Row],[Condition Adj]]*Inventory[[#This Row],[Living Area Adj]]*Inventory[[#This Row],[Decade Adj]]*0.95</f>
        <v>0.98582117728048768</v>
      </c>
      <c r="BN132" s="25">
        <f>ROUND(SUM(Inventory[[#This Row],[Mdl Qlty]:[Mdl WdDeck]])+Inventory[[#This Row],[Mdl Res Intercept]]*Inventory[[#This Row],[Res Adj ]],-2)</f>
        <v>284500</v>
      </c>
      <c r="BO132" s="25">
        <f>ROUND(Inventory[[#This Row],[25Det]]*Inventory[[#This Row],[Det/Nbhd Adj]],-2)</f>
        <v>0</v>
      </c>
      <c r="BP132" s="25">
        <f>Inventory[[#This Row],[Adjusted Res]]+Inventory[[#This Row],[Adj Det ]]</f>
        <v>284500</v>
      </c>
      <c r="BQ132" s="25">
        <f>ROUND((Inventory[[#This Row],[Mdl Land Intercept]]+Inventory[[#This Row],[Mdl LnAcres]])*Inventory[[#This Row],[Det/Nbhd Adj]],-2)</f>
        <v>36900</v>
      </c>
      <c r="BR132" s="25">
        <f>Inventory[[#This Row],[Adjusted Impr Total]]+Inventory[[#This Row],[Adjusted Land Total]]</f>
        <v>321400</v>
      </c>
      <c r="BS132" s="36">
        <f>IFERROR((Inventory[[#This Row],[Adjusted Impr Total]]-Inventory[[#This Row],[24Bldg]])/Inventory[[#This Row],[24Bldg]],0)</f>
        <v>9.8031648012350439E-2</v>
      </c>
      <c r="BT132" s="36">
        <f>(Inventory[[#This Row],[Adjusted Land Total]]-Inventory[[#This Row],[24Lnd]])/Inventory[[#This Row],[24Lnd]]</f>
        <v>-0.36815068493150682</v>
      </c>
      <c r="BU132" s="36">
        <f>(Inventory[[#This Row],[Adjusted Total]]-Inventory[[#This Row],[24Final]])/Inventory[[#This Row],[24Final]]</f>
        <v>1.2283464566929133E-2</v>
      </c>
    </row>
    <row r="133" spans="1:73" x14ac:dyDescent="0.3">
      <c r="A133" s="25">
        <v>2025</v>
      </c>
      <c r="B133" s="26" t="s">
        <v>1463</v>
      </c>
      <c r="C133" s="26">
        <f>LN(Inventory[[#This Row],[Acres]])</f>
        <v>-1.7147984280919266</v>
      </c>
      <c r="D133" s="25">
        <v>0.18</v>
      </c>
      <c r="E133" s="25">
        <v>7982</v>
      </c>
      <c r="F133" s="26" t="s">
        <v>537</v>
      </c>
      <c r="G133" s="26" t="s">
        <v>126</v>
      </c>
      <c r="H133" s="26" t="s">
        <v>349</v>
      </c>
      <c r="I133" s="26" t="s">
        <v>538</v>
      </c>
      <c r="J133" s="26" t="s">
        <v>539</v>
      </c>
      <c r="K133" s="26" t="s">
        <v>241</v>
      </c>
      <c r="L133" s="26" t="s">
        <v>148</v>
      </c>
      <c r="M133" s="26" t="s">
        <v>303</v>
      </c>
      <c r="N133" s="26">
        <v>40</v>
      </c>
      <c r="O133" s="26">
        <f>2024-Inventory[[#This Row],[YrBlt]]</f>
        <v>39</v>
      </c>
      <c r="P133" s="26">
        <f>2024-Inventory[[#This Row],[EffYr]]</f>
        <v>39</v>
      </c>
      <c r="Q133" s="25">
        <v>1985</v>
      </c>
      <c r="R133" s="25">
        <v>1985</v>
      </c>
      <c r="S133" s="25">
        <v>1872</v>
      </c>
      <c r="T133" s="27"/>
      <c r="U133" s="27"/>
      <c r="V133" s="27">
        <f>Inventory[[#This Row],[Bsmt]]-Inventory[[#This Row],[FnBsmt]]</f>
        <v>0</v>
      </c>
      <c r="W133" s="27"/>
      <c r="X133" s="27"/>
      <c r="Y133" s="27">
        <f>Inventory[[#This Row],[MainFn]]+Inventory[[#This Row],[UpprFn]]+Inventory[[#This Row],[FnBsmt]]+Inventory[[#This Row],[AddFn]]</f>
        <v>1872</v>
      </c>
      <c r="Z133" s="27">
        <v>2000</v>
      </c>
      <c r="AA133" s="25">
        <v>8</v>
      </c>
      <c r="AB133" s="25">
        <v>462</v>
      </c>
      <c r="AC133" s="27"/>
      <c r="AD133" s="32">
        <v>374</v>
      </c>
      <c r="AE133" s="27"/>
      <c r="AF133" s="27"/>
      <c r="AG133" s="27"/>
      <c r="AH133" s="27"/>
      <c r="AI133" s="25">
        <v>424086</v>
      </c>
      <c r="AJ133" s="25">
        <v>343510</v>
      </c>
      <c r="AK133" s="25">
        <v>0</v>
      </c>
      <c r="AL133" s="25">
        <v>371000</v>
      </c>
      <c r="AM133" s="25">
        <v>54700</v>
      </c>
      <c r="AN133" s="25">
        <v>316300</v>
      </c>
      <c r="AO133" s="25">
        <v>0</v>
      </c>
      <c r="AP133" s="25">
        <f>Lookups!$B$56*0</f>
        <v>0</v>
      </c>
      <c r="AQ133" s="25">
        <f>Lookups!$B$56*1</f>
        <v>89850.625589999996</v>
      </c>
      <c r="AR133" s="25">
        <f>Lookups!$B$57*Inventory[[#This Row],[LnAcres]]</f>
        <v>-54281.285314520763</v>
      </c>
      <c r="AS133" s="25">
        <f>VLOOKUP(Inventory[[#This Row],[Qlty]],Lookups!$A$62:$E$75,2,FALSE)</f>
        <v>44121.038090000002</v>
      </c>
      <c r="AT133" s="25">
        <f>VLOOKUP(Inventory[[#This Row],[Cnd]],Lookups!$A$76:$E$84,2,FALSE)</f>
        <v>197752.34721000001</v>
      </c>
      <c r="AU133" s="25">
        <f>Inventory[[#This Row],[EffAge]]*Lookups!$B$85</f>
        <v>-8698.7784195000004</v>
      </c>
      <c r="AV133" s="25">
        <f>Inventory[[#This Row],[MainFn]]*Lookups!$B$86</f>
        <v>92493.030009744005</v>
      </c>
      <c r="AW133" s="25">
        <f>Inventory[[#This Row],[UpprFn]]*Lookups!$B$87</f>
        <v>0</v>
      </c>
      <c r="AX133" s="25">
        <f>Inventory[[#This Row],[AddFn]]*Lookups!$B$88</f>
        <v>0</v>
      </c>
      <c r="AY133" s="25">
        <f>Inventory[[#This Row],[Bsmt]]*Lookups!$B$89</f>
        <v>0</v>
      </c>
      <c r="AZ133" s="25">
        <f>Inventory[[#This Row],[Fixtures]]*Lookups!$B$90</f>
        <v>30336.176841600001</v>
      </c>
      <c r="BA133" s="25">
        <f>Inventory[[#This Row],[WdDeck]]*Lookups!$B$91</f>
        <v>12452.522713224002</v>
      </c>
      <c r="BB133" s="25">
        <f>ROUND(Inventory[[#This Row],[25Det]],-2)</f>
        <v>0</v>
      </c>
      <c r="BC133" s="25">
        <f>ROUND(SUM(Inventory[[#This Row],[Mdl Qlty]:[Mdl WdDeck]])+Inventory[[#This Row],[Mdl Res Intercept]],-2)</f>
        <v>368500</v>
      </c>
      <c r="BD133" s="25">
        <f>ROUND(Inventory[[#This Row],[Mdl Land Intercept]]+Inventory[[#This Row],[Mdl LnAcres]],-2)</f>
        <v>35600</v>
      </c>
      <c r="BE133" s="25">
        <f>Inventory[[#This Row],[Unadj Res Value]]+Inventory[[#This Row],[Unadj Det Value]]+Inventory[[#This Row],[Unadj Land Value]]</f>
        <v>404100</v>
      </c>
      <c r="BF133" s="36">
        <f>(Inventory[[#This Row],[Unadj Total Value]]-Inventory[[#This Row],[24Final]])/Inventory[[#This Row],[24Final]]</f>
        <v>8.9218328840970348E-2</v>
      </c>
      <c r="BG133" s="25">
        <f>VLOOKUP(Inventory[[#This Row],[Nbhd]],Lookups!$Q$2:$T$4,4,FALSE)</f>
        <v>0.99970000000000003</v>
      </c>
      <c r="BH133" s="25">
        <f>VLOOKUP(Inventory[[#This Row],[Qlty]],Lookups!$O$7:$R$21,4,FALSE)</f>
        <v>0.98050000000000004</v>
      </c>
      <c r="BI133" s="25">
        <f>VLOOKUP(Inventory[[#This Row],[Cnd]],Lookups!$T$7:$W$16,4,FALSE)</f>
        <v>0.99650000000000005</v>
      </c>
      <c r="BJ133" s="25">
        <f>VLOOKUP(Inventory[[#This Row],[LivArea Range]],Lookups!$T$25:$W$37,4,FALSE)</f>
        <v>1.0093000000000001</v>
      </c>
      <c r="BK133" s="25">
        <f>VLOOKUP(Inventory[[#This Row],[Decade]],Lookups!$O$25:$R$42,4,FALSE)</f>
        <v>1.0157</v>
      </c>
      <c r="BL133" s="25">
        <f>Inventory[[#This Row],[Nbhd Adj]]*0.95</f>
        <v>0.94971499999999998</v>
      </c>
      <c r="BM133" s="25">
        <f>Inventory[[#This Row],[Nbhd Adj]]*Inventory[[#This Row],[Quality Adj]]*Inventory[[#This Row],[Condition Adj]]*Inventory[[#This Row],[Living Area Adj]]*Inventory[[#This Row],[Decade Adj]]*0.95</f>
        <v>0.95127027036479783</v>
      </c>
      <c r="BN133" s="25">
        <f>ROUND(SUM(Inventory[[#This Row],[Mdl Qlty]:[Mdl WdDeck]])+Inventory[[#This Row],[Mdl Res Intercept]]*Inventory[[#This Row],[Res Adj ]],-2)</f>
        <v>368500</v>
      </c>
      <c r="BO133" s="25">
        <f>ROUND(Inventory[[#This Row],[25Det]]*Inventory[[#This Row],[Det/Nbhd Adj]],-2)</f>
        <v>0</v>
      </c>
      <c r="BP133" s="25">
        <f>Inventory[[#This Row],[Adjusted Res]]+Inventory[[#This Row],[Adj Det ]]</f>
        <v>368500</v>
      </c>
      <c r="BQ133" s="25">
        <f>ROUND((Inventory[[#This Row],[Mdl Land Intercept]]+Inventory[[#This Row],[Mdl LnAcres]])*Inventory[[#This Row],[Det/Nbhd Adj]],-2)</f>
        <v>33800</v>
      </c>
      <c r="BR133" s="25">
        <f>Inventory[[#This Row],[Adjusted Impr Total]]+Inventory[[#This Row],[Adjusted Land Total]]</f>
        <v>402300</v>
      </c>
      <c r="BS133" s="36">
        <f>IFERROR((Inventory[[#This Row],[Adjusted Impr Total]]-Inventory[[#This Row],[24Bldg]])/Inventory[[#This Row],[24Bldg]],0)</f>
        <v>0.16503319633259564</v>
      </c>
      <c r="BT133" s="36">
        <f>(Inventory[[#This Row],[Adjusted Land Total]]-Inventory[[#This Row],[24Lnd]])/Inventory[[#This Row],[24Lnd]]</f>
        <v>-0.38208409506398539</v>
      </c>
      <c r="BU133" s="36">
        <f>(Inventory[[#This Row],[Adjusted Total]]-Inventory[[#This Row],[24Final]])/Inventory[[#This Row],[24Final]]</f>
        <v>8.4366576819407013E-2</v>
      </c>
    </row>
    <row r="134" spans="1:73" x14ac:dyDescent="0.3">
      <c r="A134" s="25">
        <v>2025</v>
      </c>
      <c r="B134" s="26" t="s">
        <v>869</v>
      </c>
      <c r="C134" s="26">
        <f>LN(Inventory[[#This Row],[Acres]])</f>
        <v>-1.6607312068216509</v>
      </c>
      <c r="D134" s="25">
        <v>0.19</v>
      </c>
      <c r="E134" s="25">
        <v>8429</v>
      </c>
      <c r="F134" s="26" t="s">
        <v>537</v>
      </c>
      <c r="G134" s="26" t="s">
        <v>126</v>
      </c>
      <c r="H134" s="26" t="s">
        <v>349</v>
      </c>
      <c r="I134" s="26" t="s">
        <v>538</v>
      </c>
      <c r="J134" s="26" t="s">
        <v>539</v>
      </c>
      <c r="K134" s="26" t="s">
        <v>241</v>
      </c>
      <c r="L134" s="26" t="s">
        <v>148</v>
      </c>
      <c r="M134" s="26" t="s">
        <v>303</v>
      </c>
      <c r="N134" s="26">
        <v>40</v>
      </c>
      <c r="O134" s="26">
        <f>2024-Inventory[[#This Row],[YrBlt]]</f>
        <v>39</v>
      </c>
      <c r="P134" s="26">
        <f>2024-Inventory[[#This Row],[EffYr]]</f>
        <v>39</v>
      </c>
      <c r="Q134" s="25">
        <v>1985</v>
      </c>
      <c r="R134" s="25">
        <v>1985</v>
      </c>
      <c r="S134" s="25">
        <v>1552</v>
      </c>
      <c r="T134" s="27"/>
      <c r="U134" s="27"/>
      <c r="V134" s="27">
        <f>Inventory[[#This Row],[Bsmt]]-Inventory[[#This Row],[FnBsmt]]</f>
        <v>0</v>
      </c>
      <c r="W134" s="27"/>
      <c r="X134" s="27"/>
      <c r="Y134" s="27">
        <f>Inventory[[#This Row],[MainFn]]+Inventory[[#This Row],[UpprFn]]+Inventory[[#This Row],[FnBsmt]]+Inventory[[#This Row],[AddFn]]</f>
        <v>1552</v>
      </c>
      <c r="Z134" s="27">
        <v>2000</v>
      </c>
      <c r="AA134" s="25">
        <v>8</v>
      </c>
      <c r="AB134" s="25">
        <v>528</v>
      </c>
      <c r="AC134" s="27"/>
      <c r="AD134" s="32">
        <v>216</v>
      </c>
      <c r="AE134" s="27"/>
      <c r="AF134" s="27"/>
      <c r="AG134" s="27"/>
      <c r="AH134" s="27"/>
      <c r="AI134" s="25">
        <v>356866</v>
      </c>
      <c r="AJ134" s="25">
        <v>289061</v>
      </c>
      <c r="AK134" s="25">
        <v>0</v>
      </c>
      <c r="AL134" s="25">
        <v>357500</v>
      </c>
      <c r="AM134" s="25">
        <v>56600</v>
      </c>
      <c r="AN134" s="25">
        <v>300900</v>
      </c>
      <c r="AO134" s="25">
        <v>0</v>
      </c>
      <c r="AP134" s="25">
        <f>Lookups!$B$56*0</f>
        <v>0</v>
      </c>
      <c r="AQ134" s="25">
        <f>Lookups!$B$56*1</f>
        <v>89850.625589999996</v>
      </c>
      <c r="AR134" s="25">
        <f>Lookups!$B$57*Inventory[[#This Row],[LnAcres]]</f>
        <v>-52569.808201026557</v>
      </c>
      <c r="AS134" s="25">
        <f>VLOOKUP(Inventory[[#This Row],[Qlty]],Lookups!$A$62:$E$75,2,FALSE)</f>
        <v>44121.038090000002</v>
      </c>
      <c r="AT134" s="25">
        <f>VLOOKUP(Inventory[[#This Row],[Cnd]],Lookups!$A$76:$E$84,2,FALSE)</f>
        <v>197752.34721000001</v>
      </c>
      <c r="AU134" s="25">
        <f>Inventory[[#This Row],[EffAge]]*Lookups!$B$85</f>
        <v>-8698.7784195000004</v>
      </c>
      <c r="AV134" s="25">
        <f>Inventory[[#This Row],[MainFn]]*Lookups!$B$86</f>
        <v>76682.255649104001</v>
      </c>
      <c r="AW134" s="25">
        <f>Inventory[[#This Row],[UpprFn]]*Lookups!$B$87</f>
        <v>0</v>
      </c>
      <c r="AX134" s="25">
        <f>Inventory[[#This Row],[AddFn]]*Lookups!$B$88</f>
        <v>0</v>
      </c>
      <c r="AY134" s="25">
        <f>Inventory[[#This Row],[Bsmt]]*Lookups!$B$89</f>
        <v>0</v>
      </c>
      <c r="AZ134" s="25">
        <f>Inventory[[#This Row],[Fixtures]]*Lookups!$B$90</f>
        <v>30336.176841600001</v>
      </c>
      <c r="BA134" s="25">
        <f>Inventory[[#This Row],[WdDeck]]*Lookups!$B$91</f>
        <v>7191.8312996160003</v>
      </c>
      <c r="BB134" s="25">
        <f>ROUND(Inventory[[#This Row],[25Det]],-2)</f>
        <v>0</v>
      </c>
      <c r="BC134" s="25">
        <f>ROUND(SUM(Inventory[[#This Row],[Mdl Qlty]:[Mdl WdDeck]])+Inventory[[#This Row],[Mdl Res Intercept]],-2)</f>
        <v>347400</v>
      </c>
      <c r="BD134" s="25">
        <f>ROUND(Inventory[[#This Row],[Mdl Land Intercept]]+Inventory[[#This Row],[Mdl LnAcres]],-2)</f>
        <v>37300</v>
      </c>
      <c r="BE134" s="25">
        <f>Inventory[[#This Row],[Unadj Res Value]]+Inventory[[#This Row],[Unadj Det Value]]+Inventory[[#This Row],[Unadj Land Value]]</f>
        <v>384700</v>
      </c>
      <c r="BF134" s="36">
        <f>(Inventory[[#This Row],[Unadj Total Value]]-Inventory[[#This Row],[24Final]])/Inventory[[#This Row],[24Final]]</f>
        <v>7.6083916083916084E-2</v>
      </c>
      <c r="BG134" s="25">
        <f>VLOOKUP(Inventory[[#This Row],[Nbhd]],Lookups!$Q$2:$T$4,4,FALSE)</f>
        <v>0.99970000000000003</v>
      </c>
      <c r="BH134" s="25">
        <f>VLOOKUP(Inventory[[#This Row],[Qlty]],Lookups!$O$7:$R$21,4,FALSE)</f>
        <v>0.98050000000000004</v>
      </c>
      <c r="BI134" s="25">
        <f>VLOOKUP(Inventory[[#This Row],[Cnd]],Lookups!$T$7:$W$16,4,FALSE)</f>
        <v>0.99650000000000005</v>
      </c>
      <c r="BJ134" s="25">
        <f>VLOOKUP(Inventory[[#This Row],[LivArea Range]],Lookups!$T$25:$W$37,4,FALSE)</f>
        <v>1.0093000000000001</v>
      </c>
      <c r="BK134" s="25">
        <f>VLOOKUP(Inventory[[#This Row],[Decade]],Lookups!$O$25:$R$42,4,FALSE)</f>
        <v>1.0157</v>
      </c>
      <c r="BL134" s="25">
        <f>Inventory[[#This Row],[Nbhd Adj]]*0.95</f>
        <v>0.94971499999999998</v>
      </c>
      <c r="BM134" s="25">
        <f>Inventory[[#This Row],[Nbhd Adj]]*Inventory[[#This Row],[Quality Adj]]*Inventory[[#This Row],[Condition Adj]]*Inventory[[#This Row],[Living Area Adj]]*Inventory[[#This Row],[Decade Adj]]*0.95</f>
        <v>0.95127027036479783</v>
      </c>
      <c r="BN134" s="25">
        <f>ROUND(SUM(Inventory[[#This Row],[Mdl Qlty]:[Mdl WdDeck]])+Inventory[[#This Row],[Mdl Res Intercept]]*Inventory[[#This Row],[Res Adj ]],-2)</f>
        <v>347400</v>
      </c>
      <c r="BO134" s="25">
        <f>ROUND(Inventory[[#This Row],[25Det]]*Inventory[[#This Row],[Det/Nbhd Adj]],-2)</f>
        <v>0</v>
      </c>
      <c r="BP134" s="25">
        <f>Inventory[[#This Row],[Adjusted Res]]+Inventory[[#This Row],[Adj Det ]]</f>
        <v>347400</v>
      </c>
      <c r="BQ134" s="25">
        <f>ROUND((Inventory[[#This Row],[Mdl Land Intercept]]+Inventory[[#This Row],[Mdl LnAcres]])*Inventory[[#This Row],[Det/Nbhd Adj]],-2)</f>
        <v>35400</v>
      </c>
      <c r="BR134" s="25">
        <f>Inventory[[#This Row],[Adjusted Impr Total]]+Inventory[[#This Row],[Adjusted Land Total]]</f>
        <v>382800</v>
      </c>
      <c r="BS134" s="36">
        <f>IFERROR((Inventory[[#This Row],[Adjusted Impr Total]]-Inventory[[#This Row],[24Bldg]])/Inventory[[#This Row],[24Bldg]],0)</f>
        <v>0.15453639082751744</v>
      </c>
      <c r="BT134" s="36">
        <f>(Inventory[[#This Row],[Adjusted Land Total]]-Inventory[[#This Row],[24Lnd]])/Inventory[[#This Row],[24Lnd]]</f>
        <v>-0.37455830388692579</v>
      </c>
      <c r="BU134" s="36">
        <f>(Inventory[[#This Row],[Adjusted Total]]-Inventory[[#This Row],[24Final]])/Inventory[[#This Row],[24Final]]</f>
        <v>7.0769230769230765E-2</v>
      </c>
    </row>
    <row r="135" spans="1:73" x14ac:dyDescent="0.3">
      <c r="A135" s="25">
        <v>2025</v>
      </c>
      <c r="B135" s="26" t="s">
        <v>2448</v>
      </c>
      <c r="C135" s="26">
        <f>LN(Inventory[[#This Row],[Acres]])</f>
        <v>-1.7719568419318752</v>
      </c>
      <c r="D135" s="25">
        <v>0.17</v>
      </c>
      <c r="E135" s="25">
        <v>7550</v>
      </c>
      <c r="F135" s="26" t="s">
        <v>537</v>
      </c>
      <c r="G135" s="26" t="s">
        <v>126</v>
      </c>
      <c r="H135" s="26" t="s">
        <v>349</v>
      </c>
      <c r="I135" s="26" t="s">
        <v>538</v>
      </c>
      <c r="J135" s="26" t="s">
        <v>539</v>
      </c>
      <c r="K135" s="26" t="s">
        <v>241</v>
      </c>
      <c r="L135" s="26" t="s">
        <v>351</v>
      </c>
      <c r="M135" s="26" t="s">
        <v>206</v>
      </c>
      <c r="N135" s="26">
        <v>40</v>
      </c>
      <c r="O135" s="26">
        <f>2024-Inventory[[#This Row],[YrBlt]]</f>
        <v>39</v>
      </c>
      <c r="P135" s="26">
        <f>2024-Inventory[[#This Row],[EffYr]]</f>
        <v>39</v>
      </c>
      <c r="Q135" s="25">
        <v>1985</v>
      </c>
      <c r="R135" s="25">
        <v>1985</v>
      </c>
      <c r="S135" s="25">
        <v>1472</v>
      </c>
      <c r="T135" s="27"/>
      <c r="U135" s="27"/>
      <c r="V135" s="27">
        <f>Inventory[[#This Row],[Bsmt]]-Inventory[[#This Row],[FnBsmt]]</f>
        <v>0</v>
      </c>
      <c r="W135" s="27"/>
      <c r="X135" s="27"/>
      <c r="Y135" s="27">
        <f>Inventory[[#This Row],[MainFn]]+Inventory[[#This Row],[UpprFn]]+Inventory[[#This Row],[FnBsmt]]+Inventory[[#This Row],[AddFn]]</f>
        <v>1472</v>
      </c>
      <c r="Z135" s="27">
        <v>1500</v>
      </c>
      <c r="AA135" s="25">
        <v>8</v>
      </c>
      <c r="AB135" s="25">
        <v>528</v>
      </c>
      <c r="AC135" s="27"/>
      <c r="AD135" s="27"/>
      <c r="AE135" s="27"/>
      <c r="AF135" s="27"/>
      <c r="AG135" s="27"/>
      <c r="AH135" s="27"/>
      <c r="AI135" s="25">
        <v>246319</v>
      </c>
      <c r="AJ135" s="25">
        <v>194592</v>
      </c>
      <c r="AK135" s="25">
        <v>0</v>
      </c>
      <c r="AL135" s="25">
        <v>271800</v>
      </c>
      <c r="AM135" s="25">
        <v>52700</v>
      </c>
      <c r="AN135" s="25">
        <v>219100</v>
      </c>
      <c r="AO135" s="25">
        <v>0</v>
      </c>
      <c r="AP135" s="25">
        <f>Lookups!$B$56*0</f>
        <v>0</v>
      </c>
      <c r="AQ135" s="25">
        <f>Lookups!$B$56*1</f>
        <v>89850.625589999996</v>
      </c>
      <c r="AR135" s="25">
        <f>Lookups!$B$57*Inventory[[#This Row],[LnAcres]]</f>
        <v>-56090.612940989391</v>
      </c>
      <c r="AS135" s="25">
        <f>VLOOKUP(Inventory[[#This Row],[Qlty]],Lookups!$A$62:$E$75,2,FALSE)</f>
        <v>21557.329055999999</v>
      </c>
      <c r="AT135" s="25">
        <f>VLOOKUP(Inventory[[#This Row],[Cnd]],Lookups!$A$76:$E$84,2,FALSE)</f>
        <v>133714.53821</v>
      </c>
      <c r="AU135" s="25">
        <f>Inventory[[#This Row],[EffAge]]*Lookups!$B$85</f>
        <v>-8698.7784195000004</v>
      </c>
      <c r="AV135" s="25">
        <f>Inventory[[#This Row],[MainFn]]*Lookups!$B$86</f>
        <v>72729.562058944008</v>
      </c>
      <c r="AW135" s="25">
        <f>Inventory[[#This Row],[UpprFn]]*Lookups!$B$87</f>
        <v>0</v>
      </c>
      <c r="AX135" s="25">
        <f>Inventory[[#This Row],[AddFn]]*Lookups!$B$88</f>
        <v>0</v>
      </c>
      <c r="AY135" s="25">
        <f>Inventory[[#This Row],[Bsmt]]*Lookups!$B$89</f>
        <v>0</v>
      </c>
      <c r="AZ135" s="25">
        <f>Inventory[[#This Row],[Fixtures]]*Lookups!$B$90</f>
        <v>30336.176841600001</v>
      </c>
      <c r="BA135" s="25">
        <f>Inventory[[#This Row],[WdDeck]]*Lookups!$B$91</f>
        <v>0</v>
      </c>
      <c r="BB135" s="25">
        <f>ROUND(Inventory[[#This Row],[25Det]],-2)</f>
        <v>0</v>
      </c>
      <c r="BC135" s="25">
        <f>ROUND(SUM(Inventory[[#This Row],[Mdl Qlty]:[Mdl WdDeck]])+Inventory[[#This Row],[Mdl Res Intercept]],-2)</f>
        <v>249600</v>
      </c>
      <c r="BD135" s="25">
        <f>ROUND(Inventory[[#This Row],[Mdl Land Intercept]]+Inventory[[#This Row],[Mdl LnAcres]],-2)</f>
        <v>33800</v>
      </c>
      <c r="BE135" s="25">
        <f>Inventory[[#This Row],[Unadj Res Value]]+Inventory[[#This Row],[Unadj Det Value]]+Inventory[[#This Row],[Unadj Land Value]]</f>
        <v>283400</v>
      </c>
      <c r="BF135" s="36">
        <f>(Inventory[[#This Row],[Unadj Total Value]]-Inventory[[#This Row],[24Final]])/Inventory[[#This Row],[24Final]]</f>
        <v>4.2678440029433405E-2</v>
      </c>
      <c r="BG135" s="25">
        <f>VLOOKUP(Inventory[[#This Row],[Nbhd]],Lookups!$Q$2:$T$4,4,FALSE)</f>
        <v>0.99970000000000003</v>
      </c>
      <c r="BH135" s="25">
        <f>VLOOKUP(Inventory[[#This Row],[Qlty]],Lookups!$O$7:$R$21,4,FALSE)</f>
        <v>1.0067999999999999</v>
      </c>
      <c r="BI135" s="25">
        <f>VLOOKUP(Inventory[[#This Row],[Cnd]],Lookups!$T$7:$W$16,4,FALSE)</f>
        <v>0.99329999999999996</v>
      </c>
      <c r="BJ135" s="25">
        <f>VLOOKUP(Inventory[[#This Row],[LivArea Range]],Lookups!$T$25:$W$37,4,FALSE)</f>
        <v>1.0157</v>
      </c>
      <c r="BK135" s="25">
        <f>VLOOKUP(Inventory[[#This Row],[Decade]],Lookups!$O$25:$R$42,4,FALSE)</f>
        <v>1.0157</v>
      </c>
      <c r="BL135" s="25">
        <f>Inventory[[#This Row],[Nbhd Adj]]*0.95</f>
        <v>0.94971499999999998</v>
      </c>
      <c r="BM135" s="25">
        <f>Inventory[[#This Row],[Nbhd Adj]]*Inventory[[#This Row],[Quality Adj]]*Inventory[[#This Row],[Condition Adj]]*Inventory[[#This Row],[Living Area Adj]]*Inventory[[#This Row],[Decade Adj]]*0.95</f>
        <v>0.97982348493711191</v>
      </c>
      <c r="BN135" s="25">
        <f>ROUND(SUM(Inventory[[#This Row],[Mdl Qlty]:[Mdl WdDeck]])+Inventory[[#This Row],[Mdl Res Intercept]]*Inventory[[#This Row],[Res Adj ]],-2)</f>
        <v>249600</v>
      </c>
      <c r="BO135" s="25">
        <f>ROUND(Inventory[[#This Row],[25Det]]*Inventory[[#This Row],[Det/Nbhd Adj]],-2)</f>
        <v>0</v>
      </c>
      <c r="BP135" s="25">
        <f>Inventory[[#This Row],[Adjusted Res]]+Inventory[[#This Row],[Adj Det ]]</f>
        <v>249600</v>
      </c>
      <c r="BQ135" s="25">
        <f>ROUND((Inventory[[#This Row],[Mdl Land Intercept]]+Inventory[[#This Row],[Mdl LnAcres]])*Inventory[[#This Row],[Det/Nbhd Adj]],-2)</f>
        <v>32100</v>
      </c>
      <c r="BR135" s="25">
        <f>Inventory[[#This Row],[Adjusted Impr Total]]+Inventory[[#This Row],[Adjusted Land Total]]</f>
        <v>281700</v>
      </c>
      <c r="BS135" s="36">
        <f>IFERROR((Inventory[[#This Row],[Adjusted Impr Total]]-Inventory[[#This Row],[24Bldg]])/Inventory[[#This Row],[24Bldg]],0)</f>
        <v>0.13920584208124145</v>
      </c>
      <c r="BT135" s="36">
        <f>(Inventory[[#This Row],[Adjusted Land Total]]-Inventory[[#This Row],[24Lnd]])/Inventory[[#This Row],[24Lnd]]</f>
        <v>-0.39089184060721061</v>
      </c>
      <c r="BU135" s="36">
        <f>(Inventory[[#This Row],[Adjusted Total]]-Inventory[[#This Row],[24Final]])/Inventory[[#This Row],[24Final]]</f>
        <v>3.6423841059602648E-2</v>
      </c>
    </row>
    <row r="136" spans="1:73" x14ac:dyDescent="0.3">
      <c r="A136" s="25">
        <v>2025</v>
      </c>
      <c r="B136" s="26" t="s">
        <v>987</v>
      </c>
      <c r="C136" s="26">
        <f>LN(Inventory[[#This Row],[Acres]])</f>
        <v>-3.912023005428146</v>
      </c>
      <c r="D136" s="25">
        <v>0.02</v>
      </c>
      <c r="E136" s="25">
        <v>1600</v>
      </c>
      <c r="F136" s="26" t="s">
        <v>537</v>
      </c>
      <c r="G136" s="26" t="s">
        <v>28</v>
      </c>
      <c r="H136" s="26" t="s">
        <v>349</v>
      </c>
      <c r="I136" s="26" t="s">
        <v>538</v>
      </c>
      <c r="J136" s="26" t="s">
        <v>551</v>
      </c>
      <c r="K136" s="26" t="s">
        <v>381</v>
      </c>
      <c r="L136" s="26" t="s">
        <v>148</v>
      </c>
      <c r="M136" s="26" t="s">
        <v>323</v>
      </c>
      <c r="N136" s="26">
        <v>40</v>
      </c>
      <c r="O136" s="26">
        <f>2024-Inventory[[#This Row],[YrBlt]]</f>
        <v>40</v>
      </c>
      <c r="P136" s="26">
        <f>2024-Inventory[[#This Row],[EffYr]]</f>
        <v>40</v>
      </c>
      <c r="Q136" s="25">
        <v>1984</v>
      </c>
      <c r="R136" s="25">
        <v>1984</v>
      </c>
      <c r="S136" s="25">
        <v>1600</v>
      </c>
      <c r="T136" s="27"/>
      <c r="U136" s="25">
        <v>1180</v>
      </c>
      <c r="V136" s="25">
        <f>Inventory[[#This Row],[Bsmt]]-Inventory[[#This Row],[FnBsmt]]</f>
        <v>370</v>
      </c>
      <c r="W136" s="25">
        <v>810</v>
      </c>
      <c r="X136" s="27"/>
      <c r="Y136" s="27">
        <f>Inventory[[#This Row],[MainFn]]+Inventory[[#This Row],[UpprFn]]+Inventory[[#This Row],[FnBsmt]]+Inventory[[#This Row],[AddFn]]</f>
        <v>2410</v>
      </c>
      <c r="Z136" s="27">
        <v>2500</v>
      </c>
      <c r="AA136" s="25">
        <v>11</v>
      </c>
      <c r="AB136" s="31"/>
      <c r="AC136" s="32">
        <v>596</v>
      </c>
      <c r="AD136" s="32">
        <v>482</v>
      </c>
      <c r="AE136" s="27"/>
      <c r="AF136" s="27"/>
      <c r="AG136" s="27"/>
      <c r="AH136" s="27"/>
      <c r="AI136" s="25">
        <v>503570</v>
      </c>
      <c r="AJ136" s="25">
        <v>402856</v>
      </c>
      <c r="AK136" s="25">
        <v>0</v>
      </c>
      <c r="AL136" s="25">
        <v>293900</v>
      </c>
      <c r="AM136" s="25">
        <v>44100</v>
      </c>
      <c r="AN136" s="25">
        <v>249800</v>
      </c>
      <c r="AO136" s="25">
        <v>0</v>
      </c>
      <c r="AP136" s="25">
        <f>Lookups!$B$56*0</f>
        <v>0</v>
      </c>
      <c r="AQ136" s="25">
        <f>Lookups!$B$56*1</f>
        <v>89850.625589999996</v>
      </c>
      <c r="AR136" s="25">
        <f>Lookups!$B$57*Inventory[[#This Row],[LnAcres]]</f>
        <v>-123833.58500677992</v>
      </c>
      <c r="AS136" s="25">
        <f>VLOOKUP(Inventory[[#This Row],[Qlty]],Lookups!$A$62:$E$75,2,FALSE)</f>
        <v>44121.038090000002</v>
      </c>
      <c r="AT136" s="25">
        <f>VLOOKUP(Inventory[[#This Row],[Cnd]],Lookups!$A$76:$E$84,2,FALSE)</f>
        <v>160472.20319</v>
      </c>
      <c r="AU136" s="25">
        <f>Inventory[[#This Row],[EffAge]]*Lookups!$B$85</f>
        <v>-8921.82402</v>
      </c>
      <c r="AV136" s="25">
        <f>Inventory[[#This Row],[MainFn]]*Lookups!$B$86</f>
        <v>79053.871803200003</v>
      </c>
      <c r="AW136" s="25">
        <f>Inventory[[#This Row],[UpprFn]]*Lookups!$B$87</f>
        <v>0</v>
      </c>
      <c r="AX136" s="25">
        <f>Inventory[[#This Row],[AddFn]]*Lookups!$B$88</f>
        <v>0</v>
      </c>
      <c r="AY136" s="25">
        <f>Inventory[[#This Row],[Bsmt]]*Lookups!$B$89</f>
        <v>34316.636391460001</v>
      </c>
      <c r="AZ136" s="25">
        <f>Inventory[[#This Row],[Fixtures]]*Lookups!$B$90</f>
        <v>41712.243157199999</v>
      </c>
      <c r="BA136" s="25">
        <f>Inventory[[#This Row],[WdDeck]]*Lookups!$B$91</f>
        <v>16048.438363032001</v>
      </c>
      <c r="BB136" s="25">
        <f>ROUND(Inventory[[#This Row],[25Det]],-2)</f>
        <v>0</v>
      </c>
      <c r="BC136" s="25">
        <f>ROUND(SUM(Inventory[[#This Row],[Mdl Qlty]:[Mdl WdDeck]])+Inventory[[#This Row],[Mdl Res Intercept]],-2)</f>
        <v>366800</v>
      </c>
      <c r="BD136" s="25">
        <f>ROUND(Inventory[[#This Row],[Mdl Land Intercept]]+Inventory[[#This Row],[Mdl LnAcres]],-2)</f>
        <v>-34000</v>
      </c>
      <c r="BE136" s="25">
        <f>Inventory[[#This Row],[Unadj Res Value]]+Inventory[[#This Row],[Unadj Det Value]]+Inventory[[#This Row],[Unadj Land Value]]</f>
        <v>332800</v>
      </c>
      <c r="BF136" s="36">
        <f>(Inventory[[#This Row],[Unadj Total Value]]-Inventory[[#This Row],[24Final]])/Inventory[[#This Row],[24Final]]</f>
        <v>0.13235794487921063</v>
      </c>
      <c r="BG136" s="25">
        <f>VLOOKUP(Inventory[[#This Row],[Nbhd]],Lookups!$Q$2:$T$4,4,FALSE)</f>
        <v>0.99970000000000003</v>
      </c>
      <c r="BH136" s="25">
        <f>VLOOKUP(Inventory[[#This Row],[Qlty]],Lookups!$O$7:$R$21,4,FALSE)</f>
        <v>0.98050000000000004</v>
      </c>
      <c r="BI136" s="25">
        <f>VLOOKUP(Inventory[[#This Row],[Cnd]],Lookups!$T$7:$W$16,4,FALSE)</f>
        <v>0.99729999999999996</v>
      </c>
      <c r="BJ136" s="25">
        <f>VLOOKUP(Inventory[[#This Row],[LivArea Range]],Lookups!$T$25:$W$37,4,FALSE)</f>
        <v>0.98919999999999997</v>
      </c>
      <c r="BK136" s="25">
        <f>VLOOKUP(Inventory[[#This Row],[Decade]],Lookups!$O$25:$R$42,4,FALSE)</f>
        <v>1.0157</v>
      </c>
      <c r="BL136" s="25">
        <f>Inventory[[#This Row],[Nbhd Adj]]*0.95</f>
        <v>0.94971499999999998</v>
      </c>
      <c r="BM136" s="25">
        <f>Inventory[[#This Row],[Nbhd Adj]]*Inventory[[#This Row],[Quality Adj]]*Inventory[[#This Row],[Condition Adj]]*Inventory[[#This Row],[Living Area Adj]]*Inventory[[#This Row],[Decade Adj]]*0.95</f>
        <v>0.93307440080304516</v>
      </c>
      <c r="BN136" s="25">
        <f>ROUND(SUM(Inventory[[#This Row],[Mdl Qlty]:[Mdl WdDeck]])+Inventory[[#This Row],[Mdl Res Intercept]]*Inventory[[#This Row],[Res Adj ]],-2)</f>
        <v>366800</v>
      </c>
      <c r="BO136" s="25">
        <f>ROUND(Inventory[[#This Row],[25Det]]*Inventory[[#This Row],[Det/Nbhd Adj]],-2)</f>
        <v>0</v>
      </c>
      <c r="BP136" s="25">
        <f>Inventory[[#This Row],[Adjusted Res]]+Inventory[[#This Row],[Adj Det ]]</f>
        <v>366800</v>
      </c>
      <c r="BQ136" s="25">
        <f>ROUND((Inventory[[#This Row],[Mdl Land Intercept]]+Inventory[[#This Row],[Mdl LnAcres]])*Inventory[[#This Row],[Det/Nbhd Adj]],-2)</f>
        <v>-32300</v>
      </c>
      <c r="BR136" s="25">
        <f>Inventory[[#This Row],[Adjusted Impr Total]]+Inventory[[#This Row],[Adjusted Land Total]]</f>
        <v>334500</v>
      </c>
      <c r="BS136" s="36">
        <f>IFERROR((Inventory[[#This Row],[Adjusted Impr Total]]-Inventory[[#This Row],[24Bldg]])/Inventory[[#This Row],[24Bldg]],0)</f>
        <v>0.46837469975980783</v>
      </c>
      <c r="BT136" s="36">
        <f>(Inventory[[#This Row],[Adjusted Land Total]]-Inventory[[#This Row],[24Lnd]])/Inventory[[#This Row],[24Lnd]]</f>
        <v>-1.7324263038548753</v>
      </c>
      <c r="BU136" s="36">
        <f>(Inventory[[#This Row],[Adjusted Total]]-Inventory[[#This Row],[24Final]])/Inventory[[#This Row],[24Final]]</f>
        <v>0.13814222524668254</v>
      </c>
    </row>
    <row r="137" spans="1:73" x14ac:dyDescent="0.3">
      <c r="A137" s="25">
        <v>2025</v>
      </c>
      <c r="B137" s="26" t="s">
        <v>722</v>
      </c>
      <c r="C137" s="26">
        <f>LN(Inventory[[#This Row],[Acres]])</f>
        <v>-3.912023005428146</v>
      </c>
      <c r="D137" s="25">
        <v>0.02</v>
      </c>
      <c r="E137" s="25">
        <v>1600</v>
      </c>
      <c r="F137" s="26" t="s">
        <v>537</v>
      </c>
      <c r="G137" s="26" t="s">
        <v>28</v>
      </c>
      <c r="H137" s="26" t="s">
        <v>349</v>
      </c>
      <c r="I137" s="26" t="s">
        <v>538</v>
      </c>
      <c r="J137" s="26" t="s">
        <v>551</v>
      </c>
      <c r="K137" s="26" t="s">
        <v>381</v>
      </c>
      <c r="L137" s="26" t="s">
        <v>148</v>
      </c>
      <c r="M137" s="26" t="s">
        <v>323</v>
      </c>
      <c r="N137" s="26">
        <v>40</v>
      </c>
      <c r="O137" s="26">
        <f>2024-Inventory[[#This Row],[YrBlt]]</f>
        <v>40</v>
      </c>
      <c r="P137" s="26">
        <f>2024-Inventory[[#This Row],[EffYr]]</f>
        <v>40</v>
      </c>
      <c r="Q137" s="25">
        <v>1984</v>
      </c>
      <c r="R137" s="25">
        <v>1984</v>
      </c>
      <c r="S137" s="25">
        <v>1600</v>
      </c>
      <c r="T137" s="27"/>
      <c r="U137" s="32">
        <v>1184</v>
      </c>
      <c r="V137" s="32">
        <f>Inventory[[#This Row],[Bsmt]]-Inventory[[#This Row],[FnBsmt]]</f>
        <v>338</v>
      </c>
      <c r="W137" s="32">
        <v>846</v>
      </c>
      <c r="X137" s="27"/>
      <c r="Y137" s="27">
        <f>Inventory[[#This Row],[MainFn]]+Inventory[[#This Row],[UpprFn]]+Inventory[[#This Row],[FnBsmt]]+Inventory[[#This Row],[AddFn]]</f>
        <v>2446</v>
      </c>
      <c r="Z137" s="27">
        <v>2500</v>
      </c>
      <c r="AA137" s="25">
        <v>12</v>
      </c>
      <c r="AB137" s="31"/>
      <c r="AC137" s="32">
        <v>592</v>
      </c>
      <c r="AD137" s="32">
        <v>474</v>
      </c>
      <c r="AE137" s="27"/>
      <c r="AF137" s="27"/>
      <c r="AG137" s="27"/>
      <c r="AH137" s="27"/>
      <c r="AI137" s="25">
        <v>514222</v>
      </c>
      <c r="AJ137" s="25">
        <v>411378</v>
      </c>
      <c r="AK137" s="25">
        <v>0</v>
      </c>
      <c r="AL137" s="25">
        <v>300100</v>
      </c>
      <c r="AM137" s="25">
        <v>45000</v>
      </c>
      <c r="AN137" s="25">
        <v>255100</v>
      </c>
      <c r="AO137" s="25">
        <v>0</v>
      </c>
      <c r="AP137" s="25">
        <f>Lookups!$B$56*0</f>
        <v>0</v>
      </c>
      <c r="AQ137" s="25">
        <f>Lookups!$B$56*1</f>
        <v>89850.625589999996</v>
      </c>
      <c r="AR137" s="25">
        <f>Lookups!$B$57*Inventory[[#This Row],[LnAcres]]</f>
        <v>-123833.58500677992</v>
      </c>
      <c r="AS137" s="25">
        <f>VLOOKUP(Inventory[[#This Row],[Qlty]],Lookups!$A$62:$E$75,2,FALSE)</f>
        <v>44121.038090000002</v>
      </c>
      <c r="AT137" s="25">
        <f>VLOOKUP(Inventory[[#This Row],[Cnd]],Lookups!$A$76:$E$84,2,FALSE)</f>
        <v>160472.20319</v>
      </c>
      <c r="AU137" s="25">
        <f>Inventory[[#This Row],[EffAge]]*Lookups!$B$85</f>
        <v>-8921.82402</v>
      </c>
      <c r="AV137" s="25">
        <f>Inventory[[#This Row],[MainFn]]*Lookups!$B$86</f>
        <v>79053.871803200003</v>
      </c>
      <c r="AW137" s="25">
        <f>Inventory[[#This Row],[UpprFn]]*Lookups!$B$87</f>
        <v>0</v>
      </c>
      <c r="AX137" s="25">
        <f>Inventory[[#This Row],[AddFn]]*Lookups!$B$88</f>
        <v>0</v>
      </c>
      <c r="AY137" s="25">
        <f>Inventory[[#This Row],[Bsmt]]*Lookups!$B$89</f>
        <v>34432.963972448</v>
      </c>
      <c r="AZ137" s="25">
        <f>Inventory[[#This Row],[Fixtures]]*Lookups!$B$90</f>
        <v>45504.265262400004</v>
      </c>
      <c r="BA137" s="25">
        <f>Inventory[[#This Row],[WdDeck]]*Lookups!$B$91</f>
        <v>15782.074240824002</v>
      </c>
      <c r="BB137" s="25">
        <f>ROUND(Inventory[[#This Row],[25Det]],-2)</f>
        <v>0</v>
      </c>
      <c r="BC137" s="25">
        <f>ROUND(SUM(Inventory[[#This Row],[Mdl Qlty]:[Mdl WdDeck]])+Inventory[[#This Row],[Mdl Res Intercept]],-2)</f>
        <v>370400</v>
      </c>
      <c r="BD137" s="25">
        <f>ROUND(Inventory[[#This Row],[Mdl Land Intercept]]+Inventory[[#This Row],[Mdl LnAcres]],-2)</f>
        <v>-34000</v>
      </c>
      <c r="BE137" s="25">
        <f>Inventory[[#This Row],[Unadj Res Value]]+Inventory[[#This Row],[Unadj Det Value]]+Inventory[[#This Row],[Unadj Land Value]]</f>
        <v>336400</v>
      </c>
      <c r="BF137" s="36">
        <f>(Inventory[[#This Row],[Unadj Total Value]]-Inventory[[#This Row],[24Final]])/Inventory[[#This Row],[24Final]]</f>
        <v>0.12095968010663112</v>
      </c>
      <c r="BG137" s="25">
        <f>VLOOKUP(Inventory[[#This Row],[Nbhd]],Lookups!$Q$2:$T$4,4,FALSE)</f>
        <v>0.99970000000000003</v>
      </c>
      <c r="BH137" s="25">
        <f>VLOOKUP(Inventory[[#This Row],[Qlty]],Lookups!$O$7:$R$21,4,FALSE)</f>
        <v>0.98050000000000004</v>
      </c>
      <c r="BI137" s="25">
        <f>VLOOKUP(Inventory[[#This Row],[Cnd]],Lookups!$T$7:$W$16,4,FALSE)</f>
        <v>0.99729999999999996</v>
      </c>
      <c r="BJ137" s="25">
        <f>VLOOKUP(Inventory[[#This Row],[LivArea Range]],Lookups!$T$25:$W$37,4,FALSE)</f>
        <v>0.98919999999999997</v>
      </c>
      <c r="BK137" s="25">
        <f>VLOOKUP(Inventory[[#This Row],[Decade]],Lookups!$O$25:$R$42,4,FALSE)</f>
        <v>1.0157</v>
      </c>
      <c r="BL137" s="25">
        <f>Inventory[[#This Row],[Nbhd Adj]]*0.95</f>
        <v>0.94971499999999998</v>
      </c>
      <c r="BM137" s="25">
        <f>Inventory[[#This Row],[Nbhd Adj]]*Inventory[[#This Row],[Quality Adj]]*Inventory[[#This Row],[Condition Adj]]*Inventory[[#This Row],[Living Area Adj]]*Inventory[[#This Row],[Decade Adj]]*0.95</f>
        <v>0.93307440080304516</v>
      </c>
      <c r="BN137" s="25">
        <f>ROUND(SUM(Inventory[[#This Row],[Mdl Qlty]:[Mdl WdDeck]])+Inventory[[#This Row],[Mdl Res Intercept]]*Inventory[[#This Row],[Res Adj ]],-2)</f>
        <v>370400</v>
      </c>
      <c r="BO137" s="25">
        <f>ROUND(Inventory[[#This Row],[25Det]]*Inventory[[#This Row],[Det/Nbhd Adj]],-2)</f>
        <v>0</v>
      </c>
      <c r="BP137" s="25">
        <f>Inventory[[#This Row],[Adjusted Res]]+Inventory[[#This Row],[Adj Det ]]</f>
        <v>370400</v>
      </c>
      <c r="BQ137" s="25">
        <f>ROUND((Inventory[[#This Row],[Mdl Land Intercept]]+Inventory[[#This Row],[Mdl LnAcres]])*Inventory[[#This Row],[Det/Nbhd Adj]],-2)</f>
        <v>-32300</v>
      </c>
      <c r="BR137" s="25">
        <f>Inventory[[#This Row],[Adjusted Impr Total]]+Inventory[[#This Row],[Adjusted Land Total]]</f>
        <v>338100</v>
      </c>
      <c r="BS137" s="36">
        <f>IFERROR((Inventory[[#This Row],[Adjusted Impr Total]]-Inventory[[#This Row],[24Bldg]])/Inventory[[#This Row],[24Bldg]],0)</f>
        <v>0.4519796158369267</v>
      </c>
      <c r="BT137" s="36">
        <f>(Inventory[[#This Row],[Adjusted Land Total]]-Inventory[[#This Row],[24Lnd]])/Inventory[[#This Row],[24Lnd]]</f>
        <v>-1.7177777777777778</v>
      </c>
      <c r="BU137" s="36">
        <f>(Inventory[[#This Row],[Adjusted Total]]-Inventory[[#This Row],[24Final]])/Inventory[[#This Row],[24Final]]</f>
        <v>0.12662445851382872</v>
      </c>
    </row>
    <row r="138" spans="1:73" x14ac:dyDescent="0.3">
      <c r="A138" s="25">
        <v>2025</v>
      </c>
      <c r="B138" s="26" t="s">
        <v>985</v>
      </c>
      <c r="C138" s="26">
        <f>LN(Inventory[[#This Row],[Acres]])</f>
        <v>-3.912023005428146</v>
      </c>
      <c r="D138" s="25">
        <v>0.02</v>
      </c>
      <c r="E138" s="25">
        <v>1600</v>
      </c>
      <c r="F138" s="26" t="s">
        <v>537</v>
      </c>
      <c r="G138" s="26" t="s">
        <v>28</v>
      </c>
      <c r="H138" s="26" t="s">
        <v>349</v>
      </c>
      <c r="I138" s="26" t="s">
        <v>538</v>
      </c>
      <c r="J138" s="26" t="s">
        <v>551</v>
      </c>
      <c r="K138" s="26" t="s">
        <v>381</v>
      </c>
      <c r="L138" s="26" t="s">
        <v>148</v>
      </c>
      <c r="M138" s="26" t="s">
        <v>323</v>
      </c>
      <c r="N138" s="26">
        <v>40</v>
      </c>
      <c r="O138" s="26">
        <f>2024-Inventory[[#This Row],[YrBlt]]</f>
        <v>40</v>
      </c>
      <c r="P138" s="26">
        <f>2024-Inventory[[#This Row],[EffYr]]</f>
        <v>40</v>
      </c>
      <c r="Q138" s="25">
        <v>1984</v>
      </c>
      <c r="R138" s="25">
        <v>1984</v>
      </c>
      <c r="S138" s="25">
        <v>1600</v>
      </c>
      <c r="T138" s="27"/>
      <c r="U138" s="25">
        <v>1180</v>
      </c>
      <c r="V138" s="25">
        <f>Inventory[[#This Row],[Bsmt]]-Inventory[[#This Row],[FnBsmt]]</f>
        <v>0</v>
      </c>
      <c r="W138" s="25">
        <v>1180</v>
      </c>
      <c r="X138" s="27"/>
      <c r="Y138" s="27">
        <f>Inventory[[#This Row],[MainFn]]+Inventory[[#This Row],[UpprFn]]+Inventory[[#This Row],[FnBsmt]]+Inventory[[#This Row],[AddFn]]</f>
        <v>2780</v>
      </c>
      <c r="Z138" s="27">
        <v>3000</v>
      </c>
      <c r="AA138" s="25">
        <v>12</v>
      </c>
      <c r="AB138" s="31"/>
      <c r="AC138" s="32">
        <v>596</v>
      </c>
      <c r="AD138" s="32">
        <v>563</v>
      </c>
      <c r="AE138" s="27"/>
      <c r="AF138" s="27"/>
      <c r="AG138" s="27"/>
      <c r="AH138" s="27"/>
      <c r="AI138" s="25">
        <v>534705</v>
      </c>
      <c r="AJ138" s="25">
        <v>427764</v>
      </c>
      <c r="AK138" s="25">
        <v>0</v>
      </c>
      <c r="AL138" s="25">
        <v>311900</v>
      </c>
      <c r="AM138" s="25">
        <v>46800</v>
      </c>
      <c r="AN138" s="25">
        <v>265100</v>
      </c>
      <c r="AO138" s="25">
        <v>0</v>
      </c>
      <c r="AP138" s="25">
        <f>Lookups!$B$56*0</f>
        <v>0</v>
      </c>
      <c r="AQ138" s="25">
        <f>Lookups!$B$56*1</f>
        <v>89850.625589999996</v>
      </c>
      <c r="AR138" s="25">
        <f>Lookups!$B$57*Inventory[[#This Row],[LnAcres]]</f>
        <v>-123833.58500677992</v>
      </c>
      <c r="AS138" s="25">
        <f>VLOOKUP(Inventory[[#This Row],[Qlty]],Lookups!$A$62:$E$75,2,FALSE)</f>
        <v>44121.038090000002</v>
      </c>
      <c r="AT138" s="25">
        <f>VLOOKUP(Inventory[[#This Row],[Cnd]],Lookups!$A$76:$E$84,2,FALSE)</f>
        <v>160472.20319</v>
      </c>
      <c r="AU138" s="25">
        <f>Inventory[[#This Row],[EffAge]]*Lookups!$B$85</f>
        <v>-8921.82402</v>
      </c>
      <c r="AV138" s="25">
        <f>Inventory[[#This Row],[MainFn]]*Lookups!$B$86</f>
        <v>79053.871803200003</v>
      </c>
      <c r="AW138" s="25">
        <f>Inventory[[#This Row],[UpprFn]]*Lookups!$B$87</f>
        <v>0</v>
      </c>
      <c r="AX138" s="25">
        <f>Inventory[[#This Row],[AddFn]]*Lookups!$B$88</f>
        <v>0</v>
      </c>
      <c r="AY138" s="25">
        <f>Inventory[[#This Row],[Bsmt]]*Lookups!$B$89</f>
        <v>34316.636391460001</v>
      </c>
      <c r="AZ138" s="25">
        <f>Inventory[[#This Row],[Fixtures]]*Lookups!$B$90</f>
        <v>45504.265262400004</v>
      </c>
      <c r="BA138" s="25">
        <f>Inventory[[#This Row],[WdDeck]]*Lookups!$B$91</f>
        <v>18745.375100388002</v>
      </c>
      <c r="BB138" s="25">
        <f>ROUND(Inventory[[#This Row],[25Det]],-2)</f>
        <v>0</v>
      </c>
      <c r="BC138" s="25">
        <f>ROUND(SUM(Inventory[[#This Row],[Mdl Qlty]:[Mdl WdDeck]])+Inventory[[#This Row],[Mdl Res Intercept]],-2)</f>
        <v>373300</v>
      </c>
      <c r="BD138" s="25">
        <f>ROUND(Inventory[[#This Row],[Mdl Land Intercept]]+Inventory[[#This Row],[Mdl LnAcres]],-2)</f>
        <v>-34000</v>
      </c>
      <c r="BE138" s="25">
        <f>Inventory[[#This Row],[Unadj Res Value]]+Inventory[[#This Row],[Unadj Det Value]]+Inventory[[#This Row],[Unadj Land Value]]</f>
        <v>339300</v>
      </c>
      <c r="BF138" s="36">
        <f>(Inventory[[#This Row],[Unadj Total Value]]-Inventory[[#This Row],[24Final]])/Inventory[[#This Row],[24Final]]</f>
        <v>8.7848669445335037E-2</v>
      </c>
      <c r="BG138" s="25">
        <f>VLOOKUP(Inventory[[#This Row],[Nbhd]],Lookups!$Q$2:$T$4,4,FALSE)</f>
        <v>0.99970000000000003</v>
      </c>
      <c r="BH138" s="25">
        <f>VLOOKUP(Inventory[[#This Row],[Qlty]],Lookups!$O$7:$R$21,4,FALSE)</f>
        <v>0.98050000000000004</v>
      </c>
      <c r="BI138" s="25">
        <f>VLOOKUP(Inventory[[#This Row],[Cnd]],Lookups!$T$7:$W$16,4,FALSE)</f>
        <v>0.99729999999999996</v>
      </c>
      <c r="BJ138" s="25">
        <f>VLOOKUP(Inventory[[#This Row],[LivArea Range]],Lookups!$T$25:$W$37,4,FALSE)</f>
        <v>0.96179999999999999</v>
      </c>
      <c r="BK138" s="25">
        <f>VLOOKUP(Inventory[[#This Row],[Decade]],Lookups!$O$25:$R$42,4,FALSE)</f>
        <v>1.0157</v>
      </c>
      <c r="BL138" s="25">
        <f>Inventory[[#This Row],[Nbhd Adj]]*0.95</f>
        <v>0.94971499999999998</v>
      </c>
      <c r="BM138" s="25">
        <f>Inventory[[#This Row],[Nbhd Adj]]*Inventory[[#This Row],[Quality Adj]]*Inventory[[#This Row],[Condition Adj]]*Inventory[[#This Row],[Living Area Adj]]*Inventory[[#This Row],[Decade Adj]]*0.95</f>
        <v>0.90722903224056695</v>
      </c>
      <c r="BN138" s="25">
        <f>ROUND(SUM(Inventory[[#This Row],[Mdl Qlty]:[Mdl WdDeck]])+Inventory[[#This Row],[Mdl Res Intercept]]*Inventory[[#This Row],[Res Adj ]],-2)</f>
        <v>373300</v>
      </c>
      <c r="BO138" s="25">
        <f>ROUND(Inventory[[#This Row],[25Det]]*Inventory[[#This Row],[Det/Nbhd Adj]],-2)</f>
        <v>0</v>
      </c>
      <c r="BP138" s="25">
        <f>Inventory[[#This Row],[Adjusted Res]]+Inventory[[#This Row],[Adj Det ]]</f>
        <v>373300</v>
      </c>
      <c r="BQ138" s="25">
        <f>ROUND((Inventory[[#This Row],[Mdl Land Intercept]]+Inventory[[#This Row],[Mdl LnAcres]])*Inventory[[#This Row],[Det/Nbhd Adj]],-2)</f>
        <v>-32300</v>
      </c>
      <c r="BR138" s="25">
        <f>Inventory[[#This Row],[Adjusted Impr Total]]+Inventory[[#This Row],[Adjusted Land Total]]</f>
        <v>341000</v>
      </c>
      <c r="BS138" s="36">
        <f>IFERROR((Inventory[[#This Row],[Adjusted Impr Total]]-Inventory[[#This Row],[24Bldg]])/Inventory[[#This Row],[24Bldg]],0)</f>
        <v>0.40814786872878162</v>
      </c>
      <c r="BT138" s="36">
        <f>(Inventory[[#This Row],[Adjusted Land Total]]-Inventory[[#This Row],[24Lnd]])/Inventory[[#This Row],[24Lnd]]</f>
        <v>-1.6901709401709402</v>
      </c>
      <c r="BU138" s="36">
        <f>(Inventory[[#This Row],[Adjusted Total]]-Inventory[[#This Row],[24Final]])/Inventory[[#This Row],[24Final]]</f>
        <v>9.329913433792883E-2</v>
      </c>
    </row>
    <row r="139" spans="1:73" x14ac:dyDescent="0.3">
      <c r="A139" s="25">
        <v>2025</v>
      </c>
      <c r="B139" s="26" t="s">
        <v>724</v>
      </c>
      <c r="C139" s="26">
        <f>LN(Inventory[[#This Row],[Acres]])</f>
        <v>-3.912023005428146</v>
      </c>
      <c r="D139" s="25">
        <v>0.02</v>
      </c>
      <c r="E139" s="25">
        <v>1600</v>
      </c>
      <c r="F139" s="26" t="s">
        <v>537</v>
      </c>
      <c r="G139" s="26" t="s">
        <v>28</v>
      </c>
      <c r="H139" s="26" t="s">
        <v>349</v>
      </c>
      <c r="I139" s="26" t="s">
        <v>538</v>
      </c>
      <c r="J139" s="26" t="s">
        <v>551</v>
      </c>
      <c r="K139" s="26" t="s">
        <v>381</v>
      </c>
      <c r="L139" s="26" t="s">
        <v>148</v>
      </c>
      <c r="M139" s="26" t="s">
        <v>323</v>
      </c>
      <c r="N139" s="26">
        <v>40</v>
      </c>
      <c r="O139" s="26">
        <f>2024-Inventory[[#This Row],[YrBlt]]</f>
        <v>40</v>
      </c>
      <c r="P139" s="26">
        <f>2024-Inventory[[#This Row],[EffYr]]</f>
        <v>40</v>
      </c>
      <c r="Q139" s="25">
        <v>1984</v>
      </c>
      <c r="R139" s="25">
        <v>1984</v>
      </c>
      <c r="S139" s="25">
        <v>1600</v>
      </c>
      <c r="T139" s="27"/>
      <c r="U139" s="25">
        <v>1180</v>
      </c>
      <c r="V139" s="25">
        <f>Inventory[[#This Row],[Bsmt]]-Inventory[[#This Row],[FnBsmt]]</f>
        <v>0</v>
      </c>
      <c r="W139" s="25">
        <v>1180</v>
      </c>
      <c r="X139" s="27"/>
      <c r="Y139" s="27">
        <f>Inventory[[#This Row],[MainFn]]+Inventory[[#This Row],[UpprFn]]+Inventory[[#This Row],[FnBsmt]]+Inventory[[#This Row],[AddFn]]</f>
        <v>2780</v>
      </c>
      <c r="Z139" s="27">
        <v>3000</v>
      </c>
      <c r="AA139" s="25">
        <v>11</v>
      </c>
      <c r="AB139" s="31"/>
      <c r="AC139" s="32">
        <v>596</v>
      </c>
      <c r="AD139" s="32">
        <v>362</v>
      </c>
      <c r="AE139" s="27"/>
      <c r="AF139" s="27"/>
      <c r="AG139" s="27"/>
      <c r="AH139" s="27"/>
      <c r="AI139" s="25">
        <v>525341</v>
      </c>
      <c r="AJ139" s="25">
        <v>420273</v>
      </c>
      <c r="AK139" s="25">
        <v>0</v>
      </c>
      <c r="AL139" s="25">
        <v>306500</v>
      </c>
      <c r="AM139" s="25">
        <v>46000</v>
      </c>
      <c r="AN139" s="25">
        <v>260500</v>
      </c>
      <c r="AO139" s="25">
        <v>0</v>
      </c>
      <c r="AP139" s="25">
        <f>Lookups!$B$56*0</f>
        <v>0</v>
      </c>
      <c r="AQ139" s="25">
        <f>Lookups!$B$56*1</f>
        <v>89850.625589999996</v>
      </c>
      <c r="AR139" s="25">
        <f>Lookups!$B$57*Inventory[[#This Row],[LnAcres]]</f>
        <v>-123833.58500677992</v>
      </c>
      <c r="AS139" s="25">
        <f>VLOOKUP(Inventory[[#This Row],[Qlty]],Lookups!$A$62:$E$75,2,FALSE)</f>
        <v>44121.038090000002</v>
      </c>
      <c r="AT139" s="25">
        <f>VLOOKUP(Inventory[[#This Row],[Cnd]],Lookups!$A$76:$E$84,2,FALSE)</f>
        <v>160472.20319</v>
      </c>
      <c r="AU139" s="25">
        <f>Inventory[[#This Row],[EffAge]]*Lookups!$B$85</f>
        <v>-8921.82402</v>
      </c>
      <c r="AV139" s="25">
        <f>Inventory[[#This Row],[MainFn]]*Lookups!$B$86</f>
        <v>79053.871803200003</v>
      </c>
      <c r="AW139" s="25">
        <f>Inventory[[#This Row],[UpprFn]]*Lookups!$B$87</f>
        <v>0</v>
      </c>
      <c r="AX139" s="25">
        <f>Inventory[[#This Row],[AddFn]]*Lookups!$B$88</f>
        <v>0</v>
      </c>
      <c r="AY139" s="25">
        <f>Inventory[[#This Row],[Bsmt]]*Lookups!$B$89</f>
        <v>34316.636391460001</v>
      </c>
      <c r="AZ139" s="25">
        <f>Inventory[[#This Row],[Fixtures]]*Lookups!$B$90</f>
        <v>41712.243157199999</v>
      </c>
      <c r="BA139" s="25">
        <f>Inventory[[#This Row],[WdDeck]]*Lookups!$B$91</f>
        <v>12052.976529912001</v>
      </c>
      <c r="BB139" s="25">
        <f>ROUND(Inventory[[#This Row],[25Det]],-2)</f>
        <v>0</v>
      </c>
      <c r="BC139" s="25">
        <f>ROUND(SUM(Inventory[[#This Row],[Mdl Qlty]:[Mdl WdDeck]])+Inventory[[#This Row],[Mdl Res Intercept]],-2)</f>
        <v>362800</v>
      </c>
      <c r="BD139" s="25">
        <f>ROUND(Inventory[[#This Row],[Mdl Land Intercept]]+Inventory[[#This Row],[Mdl LnAcres]],-2)</f>
        <v>-34000</v>
      </c>
      <c r="BE139" s="25">
        <f>Inventory[[#This Row],[Unadj Res Value]]+Inventory[[#This Row],[Unadj Det Value]]+Inventory[[#This Row],[Unadj Land Value]]</f>
        <v>328800</v>
      </c>
      <c r="BF139" s="36">
        <f>(Inventory[[#This Row],[Unadj Total Value]]-Inventory[[#This Row],[24Final]])/Inventory[[#This Row],[24Final]]</f>
        <v>7.2756933115823819E-2</v>
      </c>
      <c r="BG139" s="25">
        <f>VLOOKUP(Inventory[[#This Row],[Nbhd]],Lookups!$Q$2:$T$4,4,FALSE)</f>
        <v>0.99970000000000003</v>
      </c>
      <c r="BH139" s="25">
        <f>VLOOKUP(Inventory[[#This Row],[Qlty]],Lookups!$O$7:$R$21,4,FALSE)</f>
        <v>0.98050000000000004</v>
      </c>
      <c r="BI139" s="25">
        <f>VLOOKUP(Inventory[[#This Row],[Cnd]],Lookups!$T$7:$W$16,4,FALSE)</f>
        <v>0.99729999999999996</v>
      </c>
      <c r="BJ139" s="25">
        <f>VLOOKUP(Inventory[[#This Row],[LivArea Range]],Lookups!$T$25:$W$37,4,FALSE)</f>
        <v>0.96179999999999999</v>
      </c>
      <c r="BK139" s="25">
        <f>VLOOKUP(Inventory[[#This Row],[Decade]],Lookups!$O$25:$R$42,4,FALSE)</f>
        <v>1.0157</v>
      </c>
      <c r="BL139" s="25">
        <f>Inventory[[#This Row],[Nbhd Adj]]*0.95</f>
        <v>0.94971499999999998</v>
      </c>
      <c r="BM139" s="25">
        <f>Inventory[[#This Row],[Nbhd Adj]]*Inventory[[#This Row],[Quality Adj]]*Inventory[[#This Row],[Condition Adj]]*Inventory[[#This Row],[Living Area Adj]]*Inventory[[#This Row],[Decade Adj]]*0.95</f>
        <v>0.90722903224056695</v>
      </c>
      <c r="BN139" s="25">
        <f>ROUND(SUM(Inventory[[#This Row],[Mdl Qlty]:[Mdl WdDeck]])+Inventory[[#This Row],[Mdl Res Intercept]]*Inventory[[#This Row],[Res Adj ]],-2)</f>
        <v>362800</v>
      </c>
      <c r="BO139" s="25">
        <f>ROUND(Inventory[[#This Row],[25Det]]*Inventory[[#This Row],[Det/Nbhd Adj]],-2)</f>
        <v>0</v>
      </c>
      <c r="BP139" s="25">
        <f>Inventory[[#This Row],[Adjusted Res]]+Inventory[[#This Row],[Adj Det ]]</f>
        <v>362800</v>
      </c>
      <c r="BQ139" s="25">
        <f>ROUND((Inventory[[#This Row],[Mdl Land Intercept]]+Inventory[[#This Row],[Mdl LnAcres]])*Inventory[[#This Row],[Det/Nbhd Adj]],-2)</f>
        <v>-32300</v>
      </c>
      <c r="BR139" s="25">
        <f>Inventory[[#This Row],[Adjusted Impr Total]]+Inventory[[#This Row],[Adjusted Land Total]]</f>
        <v>330500</v>
      </c>
      <c r="BS139" s="36">
        <f>IFERROR((Inventory[[#This Row],[Adjusted Impr Total]]-Inventory[[#This Row],[24Bldg]])/Inventory[[#This Row],[24Bldg]],0)</f>
        <v>0.3927063339731286</v>
      </c>
      <c r="BT139" s="36">
        <f>(Inventory[[#This Row],[Adjusted Land Total]]-Inventory[[#This Row],[24Lnd]])/Inventory[[#This Row],[24Lnd]]</f>
        <v>-1.7021739130434783</v>
      </c>
      <c r="BU139" s="36">
        <f>(Inventory[[#This Row],[Adjusted Total]]-Inventory[[#This Row],[24Final]])/Inventory[[#This Row],[24Final]]</f>
        <v>7.8303425774877644E-2</v>
      </c>
    </row>
    <row r="140" spans="1:73" x14ac:dyDescent="0.3">
      <c r="A140" s="25">
        <v>2025</v>
      </c>
      <c r="B140" s="26" t="s">
        <v>2443</v>
      </c>
      <c r="C140" s="26">
        <f>LN(Inventory[[#This Row],[Acres]])</f>
        <v>-1.7719568419318752</v>
      </c>
      <c r="D140" s="25">
        <v>0.17</v>
      </c>
      <c r="E140" s="25">
        <v>7520</v>
      </c>
      <c r="F140" s="26" t="s">
        <v>537</v>
      </c>
      <c r="G140" s="26" t="s">
        <v>126</v>
      </c>
      <c r="H140" s="26" t="s">
        <v>349</v>
      </c>
      <c r="I140" s="26" t="s">
        <v>538</v>
      </c>
      <c r="J140" s="26" t="s">
        <v>539</v>
      </c>
      <c r="K140" s="26" t="s">
        <v>241</v>
      </c>
      <c r="L140" s="26" t="s">
        <v>351</v>
      </c>
      <c r="M140" s="26" t="s">
        <v>323</v>
      </c>
      <c r="N140" s="26">
        <v>40</v>
      </c>
      <c r="O140" s="26">
        <f>2024-Inventory[[#This Row],[YrBlt]]</f>
        <v>40</v>
      </c>
      <c r="P140" s="26">
        <f>2024-Inventory[[#This Row],[EffYr]]</f>
        <v>40</v>
      </c>
      <c r="Q140" s="25">
        <v>1984</v>
      </c>
      <c r="R140" s="25">
        <v>1984</v>
      </c>
      <c r="S140" s="25">
        <v>1116</v>
      </c>
      <c r="T140" s="27"/>
      <c r="U140" s="31"/>
      <c r="V140" s="31">
        <f>Inventory[[#This Row],[Bsmt]]-Inventory[[#This Row],[FnBsmt]]</f>
        <v>0</v>
      </c>
      <c r="W140" s="31"/>
      <c r="X140" s="27"/>
      <c r="Y140" s="27">
        <f>Inventory[[#This Row],[MainFn]]+Inventory[[#This Row],[UpprFn]]+Inventory[[#This Row],[FnBsmt]]+Inventory[[#This Row],[AddFn]]</f>
        <v>1116</v>
      </c>
      <c r="Z140" s="27">
        <v>1500</v>
      </c>
      <c r="AA140" s="25">
        <v>6</v>
      </c>
      <c r="AB140" s="25">
        <v>504</v>
      </c>
      <c r="AC140" s="27"/>
      <c r="AD140" s="32">
        <v>324</v>
      </c>
      <c r="AE140" s="27"/>
      <c r="AF140" s="27"/>
      <c r="AG140" s="27"/>
      <c r="AH140" s="27"/>
      <c r="AI140" s="25">
        <v>211597</v>
      </c>
      <c r="AJ140" s="25">
        <v>169278</v>
      </c>
      <c r="AK140" s="25">
        <v>0</v>
      </c>
      <c r="AL140" s="25">
        <v>278500</v>
      </c>
      <c r="AM140" s="25">
        <v>52700</v>
      </c>
      <c r="AN140" s="25">
        <v>225800</v>
      </c>
      <c r="AO140" s="25">
        <v>0</v>
      </c>
      <c r="AP140" s="25">
        <f>Lookups!$B$56*0</f>
        <v>0</v>
      </c>
      <c r="AQ140" s="25">
        <f>Lookups!$B$56*1</f>
        <v>89850.625589999996</v>
      </c>
      <c r="AR140" s="25">
        <f>Lookups!$B$57*Inventory[[#This Row],[LnAcres]]</f>
        <v>-56090.612940989391</v>
      </c>
      <c r="AS140" s="25">
        <f>VLOOKUP(Inventory[[#This Row],[Qlty]],Lookups!$A$62:$E$75,2,FALSE)</f>
        <v>21557.329055999999</v>
      </c>
      <c r="AT140" s="25">
        <f>VLOOKUP(Inventory[[#This Row],[Cnd]],Lookups!$A$76:$E$84,2,FALSE)</f>
        <v>160472.20319</v>
      </c>
      <c r="AU140" s="25">
        <f>Inventory[[#This Row],[EffAge]]*Lookups!$B$85</f>
        <v>-8921.82402</v>
      </c>
      <c r="AV140" s="25">
        <f>Inventory[[#This Row],[MainFn]]*Lookups!$B$86</f>
        <v>55140.075582732003</v>
      </c>
      <c r="AW140" s="25">
        <f>Inventory[[#This Row],[UpprFn]]*Lookups!$B$87</f>
        <v>0</v>
      </c>
      <c r="AX140" s="25">
        <f>Inventory[[#This Row],[AddFn]]*Lookups!$B$88</f>
        <v>0</v>
      </c>
      <c r="AY140" s="25">
        <f>Inventory[[#This Row],[Bsmt]]*Lookups!$B$89</f>
        <v>0</v>
      </c>
      <c r="AZ140" s="25">
        <f>Inventory[[#This Row],[Fixtures]]*Lookups!$B$90</f>
        <v>22752.132631200002</v>
      </c>
      <c r="BA140" s="25">
        <f>Inventory[[#This Row],[WdDeck]]*Lookups!$B$91</f>
        <v>10787.746949424001</v>
      </c>
      <c r="BB140" s="25">
        <f>ROUND(Inventory[[#This Row],[25Det]],-2)</f>
        <v>0</v>
      </c>
      <c r="BC140" s="25">
        <f>ROUND(SUM(Inventory[[#This Row],[Mdl Qlty]:[Mdl WdDeck]])+Inventory[[#This Row],[Mdl Res Intercept]],-2)</f>
        <v>261800</v>
      </c>
      <c r="BD140" s="25">
        <f>ROUND(Inventory[[#This Row],[Mdl Land Intercept]]+Inventory[[#This Row],[Mdl LnAcres]],-2)</f>
        <v>33800</v>
      </c>
      <c r="BE140" s="25">
        <f>Inventory[[#This Row],[Unadj Res Value]]+Inventory[[#This Row],[Unadj Det Value]]+Inventory[[#This Row],[Unadj Land Value]]</f>
        <v>295600</v>
      </c>
      <c r="BF140" s="36">
        <f>(Inventory[[#This Row],[Unadj Total Value]]-Inventory[[#This Row],[24Final]])/Inventory[[#This Row],[24Final]]</f>
        <v>6.1400359066427289E-2</v>
      </c>
      <c r="BG140" s="25">
        <f>VLOOKUP(Inventory[[#This Row],[Nbhd]],Lookups!$Q$2:$T$4,4,FALSE)</f>
        <v>0.99970000000000003</v>
      </c>
      <c r="BH140" s="25">
        <f>VLOOKUP(Inventory[[#This Row],[Qlty]],Lookups!$O$7:$R$21,4,FALSE)</f>
        <v>1.0067999999999999</v>
      </c>
      <c r="BI140" s="25">
        <f>VLOOKUP(Inventory[[#This Row],[Cnd]],Lookups!$T$7:$W$16,4,FALSE)</f>
        <v>0.99729999999999996</v>
      </c>
      <c r="BJ140" s="25">
        <f>VLOOKUP(Inventory[[#This Row],[LivArea Range]],Lookups!$T$25:$W$37,4,FALSE)</f>
        <v>1.0157</v>
      </c>
      <c r="BK140" s="25">
        <f>VLOOKUP(Inventory[[#This Row],[Decade]],Lookups!$O$25:$R$42,4,FALSE)</f>
        <v>1.0157</v>
      </c>
      <c r="BL140" s="25">
        <f>Inventory[[#This Row],[Nbhd Adj]]*0.95</f>
        <v>0.94971499999999998</v>
      </c>
      <c r="BM140" s="25">
        <f>Inventory[[#This Row],[Nbhd Adj]]*Inventory[[#This Row],[Quality Adj]]*Inventory[[#This Row],[Condition Adj]]*Inventory[[#This Row],[Living Area Adj]]*Inventory[[#This Row],[Decade Adj]]*0.95</f>
        <v>0.9837692152700912</v>
      </c>
      <c r="BN140" s="25">
        <f>ROUND(SUM(Inventory[[#This Row],[Mdl Qlty]:[Mdl WdDeck]])+Inventory[[#This Row],[Mdl Res Intercept]]*Inventory[[#This Row],[Res Adj ]],-2)</f>
        <v>261800</v>
      </c>
      <c r="BO140" s="25">
        <f>ROUND(Inventory[[#This Row],[25Det]]*Inventory[[#This Row],[Det/Nbhd Adj]],-2)</f>
        <v>0</v>
      </c>
      <c r="BP140" s="25">
        <f>Inventory[[#This Row],[Adjusted Res]]+Inventory[[#This Row],[Adj Det ]]</f>
        <v>261800</v>
      </c>
      <c r="BQ140" s="25">
        <f>ROUND((Inventory[[#This Row],[Mdl Land Intercept]]+Inventory[[#This Row],[Mdl LnAcres]])*Inventory[[#This Row],[Det/Nbhd Adj]],-2)</f>
        <v>32100</v>
      </c>
      <c r="BR140" s="25">
        <f>Inventory[[#This Row],[Adjusted Impr Total]]+Inventory[[#This Row],[Adjusted Land Total]]</f>
        <v>293900</v>
      </c>
      <c r="BS140" s="36">
        <f>IFERROR((Inventory[[#This Row],[Adjusted Impr Total]]-Inventory[[#This Row],[24Bldg]])/Inventory[[#This Row],[24Bldg]],0)</f>
        <v>0.15943312666076173</v>
      </c>
      <c r="BT140" s="36">
        <f>(Inventory[[#This Row],[Adjusted Land Total]]-Inventory[[#This Row],[24Lnd]])/Inventory[[#This Row],[24Lnd]]</f>
        <v>-0.39089184060721061</v>
      </c>
      <c r="BU140" s="36">
        <f>(Inventory[[#This Row],[Adjusted Total]]-Inventory[[#This Row],[24Final]])/Inventory[[#This Row],[24Final]]</f>
        <v>5.5296229802513468E-2</v>
      </c>
    </row>
    <row r="141" spans="1:73" x14ac:dyDescent="0.3">
      <c r="A141" s="25">
        <v>2025</v>
      </c>
      <c r="B141" s="26" t="s">
        <v>2442</v>
      </c>
      <c r="C141" s="26">
        <f>LN(Inventory[[#This Row],[Acres]])</f>
        <v>-1.7719568419318752</v>
      </c>
      <c r="D141" s="25">
        <v>0.17</v>
      </c>
      <c r="E141" s="25">
        <v>7200</v>
      </c>
      <c r="F141" s="26" t="s">
        <v>537</v>
      </c>
      <c r="G141" s="26" t="s">
        <v>126</v>
      </c>
      <c r="H141" s="26" t="s">
        <v>349</v>
      </c>
      <c r="I141" s="26" t="s">
        <v>538</v>
      </c>
      <c r="J141" s="26" t="s">
        <v>539</v>
      </c>
      <c r="K141" s="26" t="s">
        <v>241</v>
      </c>
      <c r="L141" s="26" t="s">
        <v>351</v>
      </c>
      <c r="M141" s="26" t="s">
        <v>206</v>
      </c>
      <c r="N141" s="26">
        <v>40</v>
      </c>
      <c r="O141" s="26">
        <f>2024-Inventory[[#This Row],[YrBlt]]</f>
        <v>40</v>
      </c>
      <c r="P141" s="26">
        <f>2024-Inventory[[#This Row],[EffYr]]</f>
        <v>40</v>
      </c>
      <c r="Q141" s="25">
        <v>1984</v>
      </c>
      <c r="R141" s="25">
        <v>1984</v>
      </c>
      <c r="S141" s="25">
        <v>1074</v>
      </c>
      <c r="T141" s="27"/>
      <c r="U141" s="31"/>
      <c r="V141" s="27">
        <f>Inventory[[#This Row],[Bsmt]]-Inventory[[#This Row],[FnBsmt]]</f>
        <v>0</v>
      </c>
      <c r="W141" s="27"/>
      <c r="X141" s="27"/>
      <c r="Y141" s="27">
        <f>Inventory[[#This Row],[MainFn]]+Inventory[[#This Row],[UpprFn]]+Inventory[[#This Row],[FnBsmt]]+Inventory[[#This Row],[AddFn]]</f>
        <v>1074</v>
      </c>
      <c r="Z141" s="27">
        <v>1500</v>
      </c>
      <c r="AA141" s="25">
        <v>7</v>
      </c>
      <c r="AB141" s="25">
        <v>324</v>
      </c>
      <c r="AC141" s="27"/>
      <c r="AD141" s="27"/>
      <c r="AE141" s="27"/>
      <c r="AF141" s="27"/>
      <c r="AG141" s="27"/>
      <c r="AH141" s="27"/>
      <c r="AI141" s="25">
        <v>189634</v>
      </c>
      <c r="AJ141" s="25">
        <v>149811</v>
      </c>
      <c r="AK141" s="25">
        <v>0</v>
      </c>
      <c r="AL141" s="25">
        <v>248000</v>
      </c>
      <c r="AM141" s="25">
        <v>52700</v>
      </c>
      <c r="AN141" s="25">
        <v>195300</v>
      </c>
      <c r="AO141" s="25">
        <v>0</v>
      </c>
      <c r="AP141" s="25">
        <f>Lookups!$B$56*0</f>
        <v>0</v>
      </c>
      <c r="AQ141" s="25">
        <f>Lookups!$B$56*1</f>
        <v>89850.625589999996</v>
      </c>
      <c r="AR141" s="25">
        <f>Lookups!$B$57*Inventory[[#This Row],[LnAcres]]</f>
        <v>-56090.612940989391</v>
      </c>
      <c r="AS141" s="25">
        <f>VLOOKUP(Inventory[[#This Row],[Qlty]],Lookups!$A$62:$E$75,2,FALSE)</f>
        <v>21557.329055999999</v>
      </c>
      <c r="AT141" s="25">
        <f>VLOOKUP(Inventory[[#This Row],[Cnd]],Lookups!$A$76:$E$84,2,FALSE)</f>
        <v>133714.53821</v>
      </c>
      <c r="AU141" s="25">
        <f>Inventory[[#This Row],[EffAge]]*Lookups!$B$85</f>
        <v>-8921.82402</v>
      </c>
      <c r="AV141" s="25">
        <f>Inventory[[#This Row],[MainFn]]*Lookups!$B$86</f>
        <v>53064.911447898005</v>
      </c>
      <c r="AW141" s="25">
        <f>Inventory[[#This Row],[UpprFn]]*Lookups!$B$87</f>
        <v>0</v>
      </c>
      <c r="AX141" s="25">
        <f>Inventory[[#This Row],[AddFn]]*Lookups!$B$88</f>
        <v>0</v>
      </c>
      <c r="AY141" s="25">
        <f>Inventory[[#This Row],[Bsmt]]*Lookups!$B$89</f>
        <v>0</v>
      </c>
      <c r="AZ141" s="25">
        <f>Inventory[[#This Row],[Fixtures]]*Lookups!$B$90</f>
        <v>26544.1547364</v>
      </c>
      <c r="BA141" s="25">
        <f>Inventory[[#This Row],[WdDeck]]*Lookups!$B$91</f>
        <v>0</v>
      </c>
      <c r="BB141" s="25">
        <f>ROUND(Inventory[[#This Row],[25Det]],-2)</f>
        <v>0</v>
      </c>
      <c r="BC141" s="25">
        <f>ROUND(SUM(Inventory[[#This Row],[Mdl Qlty]:[Mdl WdDeck]])+Inventory[[#This Row],[Mdl Res Intercept]],-2)</f>
        <v>226000</v>
      </c>
      <c r="BD141" s="25">
        <f>ROUND(Inventory[[#This Row],[Mdl Land Intercept]]+Inventory[[#This Row],[Mdl LnAcres]],-2)</f>
        <v>33800</v>
      </c>
      <c r="BE141" s="25">
        <f>Inventory[[#This Row],[Unadj Res Value]]+Inventory[[#This Row],[Unadj Det Value]]+Inventory[[#This Row],[Unadj Land Value]]</f>
        <v>259800</v>
      </c>
      <c r="BF141" s="36">
        <f>(Inventory[[#This Row],[Unadj Total Value]]-Inventory[[#This Row],[24Final]])/Inventory[[#This Row],[24Final]]</f>
        <v>4.7580645161290319E-2</v>
      </c>
      <c r="BG141" s="25">
        <f>VLOOKUP(Inventory[[#This Row],[Nbhd]],Lookups!$Q$2:$T$4,4,FALSE)</f>
        <v>0.99970000000000003</v>
      </c>
      <c r="BH141" s="25">
        <f>VLOOKUP(Inventory[[#This Row],[Qlty]],Lookups!$O$7:$R$21,4,FALSE)</f>
        <v>1.0067999999999999</v>
      </c>
      <c r="BI141" s="25">
        <f>VLOOKUP(Inventory[[#This Row],[Cnd]],Lookups!$T$7:$W$16,4,FALSE)</f>
        <v>0.99329999999999996</v>
      </c>
      <c r="BJ141" s="25">
        <f>VLOOKUP(Inventory[[#This Row],[LivArea Range]],Lookups!$T$25:$W$37,4,FALSE)</f>
        <v>1.0157</v>
      </c>
      <c r="BK141" s="25">
        <f>VLOOKUP(Inventory[[#This Row],[Decade]],Lookups!$O$25:$R$42,4,FALSE)</f>
        <v>1.0157</v>
      </c>
      <c r="BL141" s="25">
        <f>Inventory[[#This Row],[Nbhd Adj]]*0.95</f>
        <v>0.94971499999999998</v>
      </c>
      <c r="BM141" s="25">
        <f>Inventory[[#This Row],[Nbhd Adj]]*Inventory[[#This Row],[Quality Adj]]*Inventory[[#This Row],[Condition Adj]]*Inventory[[#This Row],[Living Area Adj]]*Inventory[[#This Row],[Decade Adj]]*0.95</f>
        <v>0.97982348493711191</v>
      </c>
      <c r="BN141" s="25">
        <f>ROUND(SUM(Inventory[[#This Row],[Mdl Qlty]:[Mdl WdDeck]])+Inventory[[#This Row],[Mdl Res Intercept]]*Inventory[[#This Row],[Res Adj ]],-2)</f>
        <v>226000</v>
      </c>
      <c r="BO141" s="25">
        <f>ROUND(Inventory[[#This Row],[25Det]]*Inventory[[#This Row],[Det/Nbhd Adj]],-2)</f>
        <v>0</v>
      </c>
      <c r="BP141" s="25">
        <f>Inventory[[#This Row],[Adjusted Res]]+Inventory[[#This Row],[Adj Det ]]</f>
        <v>226000</v>
      </c>
      <c r="BQ141" s="25">
        <f>ROUND((Inventory[[#This Row],[Mdl Land Intercept]]+Inventory[[#This Row],[Mdl LnAcres]])*Inventory[[#This Row],[Det/Nbhd Adj]],-2)</f>
        <v>32100</v>
      </c>
      <c r="BR141" s="25">
        <f>Inventory[[#This Row],[Adjusted Impr Total]]+Inventory[[#This Row],[Adjusted Land Total]]</f>
        <v>258100</v>
      </c>
      <c r="BS141" s="36">
        <f>IFERROR((Inventory[[#This Row],[Adjusted Impr Total]]-Inventory[[#This Row],[24Bldg]])/Inventory[[#This Row],[24Bldg]],0)</f>
        <v>0.15719406041986686</v>
      </c>
      <c r="BT141" s="36">
        <f>(Inventory[[#This Row],[Adjusted Land Total]]-Inventory[[#This Row],[24Lnd]])/Inventory[[#This Row],[24Lnd]]</f>
        <v>-0.39089184060721061</v>
      </c>
      <c r="BU141" s="36">
        <f>(Inventory[[#This Row],[Adjusted Total]]-Inventory[[#This Row],[24Final]])/Inventory[[#This Row],[24Final]]</f>
        <v>4.0725806451612903E-2</v>
      </c>
    </row>
    <row r="142" spans="1:73" x14ac:dyDescent="0.3">
      <c r="A142" s="25">
        <v>2025</v>
      </c>
      <c r="B142" s="26" t="s">
        <v>2297</v>
      </c>
      <c r="C142" s="26">
        <f>LN(Inventory[[#This Row],[Acres]])</f>
        <v>-1.3470736479666092</v>
      </c>
      <c r="D142" s="25">
        <v>0.26</v>
      </c>
      <c r="E142" s="25">
        <v>11383</v>
      </c>
      <c r="F142" s="26" t="s">
        <v>537</v>
      </c>
      <c r="G142" s="26" t="s">
        <v>126</v>
      </c>
      <c r="H142" s="26" t="s">
        <v>349</v>
      </c>
      <c r="I142" s="26" t="s">
        <v>538</v>
      </c>
      <c r="J142" s="26" t="s">
        <v>539</v>
      </c>
      <c r="K142" s="26" t="s">
        <v>241</v>
      </c>
      <c r="L142" s="26" t="s">
        <v>148</v>
      </c>
      <c r="M142" s="26" t="s">
        <v>323</v>
      </c>
      <c r="N142" s="26">
        <v>40</v>
      </c>
      <c r="O142" s="26">
        <f>2024-Inventory[[#This Row],[YrBlt]]</f>
        <v>40</v>
      </c>
      <c r="P142" s="26">
        <f>2024-Inventory[[#This Row],[EffYr]]</f>
        <v>40</v>
      </c>
      <c r="Q142" s="25">
        <v>1984</v>
      </c>
      <c r="R142" s="25">
        <v>1984</v>
      </c>
      <c r="S142" s="25">
        <v>1608</v>
      </c>
      <c r="T142" s="27"/>
      <c r="U142" s="25">
        <v>900</v>
      </c>
      <c r="V142" s="25">
        <f>Inventory[[#This Row],[Bsmt]]-Inventory[[#This Row],[FnBsmt]]</f>
        <v>0</v>
      </c>
      <c r="W142" s="25">
        <v>900</v>
      </c>
      <c r="X142" s="27"/>
      <c r="Y142" s="27">
        <f>Inventory[[#This Row],[MainFn]]+Inventory[[#This Row],[UpprFn]]+Inventory[[#This Row],[FnBsmt]]+Inventory[[#This Row],[AddFn]]</f>
        <v>2508</v>
      </c>
      <c r="Z142" s="27">
        <v>3000</v>
      </c>
      <c r="AA142" s="25">
        <v>12</v>
      </c>
      <c r="AB142" s="25">
        <v>484</v>
      </c>
      <c r="AC142" s="27"/>
      <c r="AD142" s="32">
        <v>498</v>
      </c>
      <c r="AE142" s="27"/>
      <c r="AF142" s="27"/>
      <c r="AG142" s="27"/>
      <c r="AH142" s="27"/>
      <c r="AI142" s="25">
        <v>480121</v>
      </c>
      <c r="AJ142" s="25">
        <v>384097</v>
      </c>
      <c r="AK142" s="25">
        <v>0</v>
      </c>
      <c r="AL142" s="25">
        <v>397500</v>
      </c>
      <c r="AM142" s="25">
        <v>67600</v>
      </c>
      <c r="AN142" s="25">
        <v>329900</v>
      </c>
      <c r="AO142" s="25">
        <v>0</v>
      </c>
      <c r="AP142" s="25">
        <f>Lookups!$B$56*0</f>
        <v>0</v>
      </c>
      <c r="AQ142" s="25">
        <f>Lookups!$B$56*1</f>
        <v>89850.625589999996</v>
      </c>
      <c r="AR142" s="25">
        <f>Lookups!$B$57*Inventory[[#This Row],[LnAcres]]</f>
        <v>-42641.098701210125</v>
      </c>
      <c r="AS142" s="25">
        <f>VLOOKUP(Inventory[[#This Row],[Qlty]],Lookups!$A$62:$E$75,2,FALSE)</f>
        <v>44121.038090000002</v>
      </c>
      <c r="AT142" s="25">
        <f>VLOOKUP(Inventory[[#This Row],[Cnd]],Lookups!$A$76:$E$84,2,FALSE)</f>
        <v>160472.20319</v>
      </c>
      <c r="AU142" s="25">
        <f>Inventory[[#This Row],[EffAge]]*Lookups!$B$85</f>
        <v>-8921.82402</v>
      </c>
      <c r="AV142" s="25">
        <f>Inventory[[#This Row],[MainFn]]*Lookups!$B$86</f>
        <v>79449.141162216009</v>
      </c>
      <c r="AW142" s="25">
        <f>Inventory[[#This Row],[UpprFn]]*Lookups!$B$87</f>
        <v>0</v>
      </c>
      <c r="AX142" s="25">
        <f>Inventory[[#This Row],[AddFn]]*Lookups!$B$88</f>
        <v>0</v>
      </c>
      <c r="AY142" s="25">
        <f>Inventory[[#This Row],[Bsmt]]*Lookups!$B$89</f>
        <v>26173.705722299997</v>
      </c>
      <c r="AZ142" s="25">
        <f>Inventory[[#This Row],[Fixtures]]*Lookups!$B$90</f>
        <v>45504.265262400004</v>
      </c>
      <c r="BA142" s="25">
        <f>Inventory[[#This Row],[WdDeck]]*Lookups!$B$91</f>
        <v>16581.166607448002</v>
      </c>
      <c r="BB142" s="25">
        <f>ROUND(Inventory[[#This Row],[25Det]],-2)</f>
        <v>0</v>
      </c>
      <c r="BC142" s="25">
        <f>ROUND(SUM(Inventory[[#This Row],[Mdl Qlty]:[Mdl WdDeck]])+Inventory[[#This Row],[Mdl Res Intercept]],-2)</f>
        <v>363400</v>
      </c>
      <c r="BD142" s="25">
        <f>ROUND(Inventory[[#This Row],[Mdl Land Intercept]]+Inventory[[#This Row],[Mdl LnAcres]],-2)</f>
        <v>47200</v>
      </c>
      <c r="BE142" s="25">
        <f>Inventory[[#This Row],[Unadj Res Value]]+Inventory[[#This Row],[Unadj Det Value]]+Inventory[[#This Row],[Unadj Land Value]]</f>
        <v>410600</v>
      </c>
      <c r="BF142" s="36">
        <f>(Inventory[[#This Row],[Unadj Total Value]]-Inventory[[#This Row],[24Final]])/Inventory[[#This Row],[24Final]]</f>
        <v>3.2955974842767292E-2</v>
      </c>
      <c r="BG142" s="25">
        <f>VLOOKUP(Inventory[[#This Row],[Nbhd]],Lookups!$Q$2:$T$4,4,FALSE)</f>
        <v>0.99970000000000003</v>
      </c>
      <c r="BH142" s="25">
        <f>VLOOKUP(Inventory[[#This Row],[Qlty]],Lookups!$O$7:$R$21,4,FALSE)</f>
        <v>0.98050000000000004</v>
      </c>
      <c r="BI142" s="25">
        <f>VLOOKUP(Inventory[[#This Row],[Cnd]],Lookups!$T$7:$W$16,4,FALSE)</f>
        <v>0.99729999999999996</v>
      </c>
      <c r="BJ142" s="25">
        <f>VLOOKUP(Inventory[[#This Row],[LivArea Range]],Lookups!$T$25:$W$37,4,FALSE)</f>
        <v>0.96179999999999999</v>
      </c>
      <c r="BK142" s="25">
        <f>VLOOKUP(Inventory[[#This Row],[Decade]],Lookups!$O$25:$R$42,4,FALSE)</f>
        <v>1.0157</v>
      </c>
      <c r="BL142" s="25">
        <f>Inventory[[#This Row],[Nbhd Adj]]*0.95</f>
        <v>0.94971499999999998</v>
      </c>
      <c r="BM142" s="25">
        <f>Inventory[[#This Row],[Nbhd Adj]]*Inventory[[#This Row],[Quality Adj]]*Inventory[[#This Row],[Condition Adj]]*Inventory[[#This Row],[Living Area Adj]]*Inventory[[#This Row],[Decade Adj]]*0.95</f>
        <v>0.90722903224056695</v>
      </c>
      <c r="BN142" s="25">
        <f>ROUND(SUM(Inventory[[#This Row],[Mdl Qlty]:[Mdl WdDeck]])+Inventory[[#This Row],[Mdl Res Intercept]]*Inventory[[#This Row],[Res Adj ]],-2)</f>
        <v>363400</v>
      </c>
      <c r="BO142" s="25">
        <f>ROUND(Inventory[[#This Row],[25Det]]*Inventory[[#This Row],[Det/Nbhd Adj]],-2)</f>
        <v>0</v>
      </c>
      <c r="BP142" s="25">
        <f>Inventory[[#This Row],[Adjusted Res]]+Inventory[[#This Row],[Adj Det ]]</f>
        <v>363400</v>
      </c>
      <c r="BQ142" s="25">
        <f>ROUND((Inventory[[#This Row],[Mdl Land Intercept]]+Inventory[[#This Row],[Mdl LnAcres]])*Inventory[[#This Row],[Det/Nbhd Adj]],-2)</f>
        <v>44800</v>
      </c>
      <c r="BR142" s="25">
        <f>Inventory[[#This Row],[Adjusted Impr Total]]+Inventory[[#This Row],[Adjusted Land Total]]</f>
        <v>408200</v>
      </c>
      <c r="BS142" s="36">
        <f>IFERROR((Inventory[[#This Row],[Adjusted Impr Total]]-Inventory[[#This Row],[24Bldg]])/Inventory[[#This Row],[24Bldg]],0)</f>
        <v>0.10154592300697181</v>
      </c>
      <c r="BT142" s="36">
        <f>(Inventory[[#This Row],[Adjusted Land Total]]-Inventory[[#This Row],[24Lnd]])/Inventory[[#This Row],[24Lnd]]</f>
        <v>-0.33727810650887574</v>
      </c>
      <c r="BU142" s="36">
        <f>(Inventory[[#This Row],[Adjusted Total]]-Inventory[[#This Row],[24Final]])/Inventory[[#This Row],[24Final]]</f>
        <v>2.6918238993710691E-2</v>
      </c>
    </row>
    <row r="143" spans="1:73" x14ac:dyDescent="0.3">
      <c r="A143" s="25">
        <v>2025</v>
      </c>
      <c r="B143" s="26" t="s">
        <v>2445</v>
      </c>
      <c r="C143" s="26">
        <f>LN(Inventory[[#This Row],[Acres]])</f>
        <v>-1.7147984280919266</v>
      </c>
      <c r="D143" s="25">
        <v>0.18</v>
      </c>
      <c r="E143" s="25">
        <v>7854</v>
      </c>
      <c r="F143" s="26" t="s">
        <v>537</v>
      </c>
      <c r="G143" s="26" t="s">
        <v>126</v>
      </c>
      <c r="H143" s="26" t="s">
        <v>349</v>
      </c>
      <c r="I143" s="26" t="s">
        <v>538</v>
      </c>
      <c r="J143" s="26" t="s">
        <v>539</v>
      </c>
      <c r="K143" s="26" t="s">
        <v>173</v>
      </c>
      <c r="L143" s="26" t="s">
        <v>351</v>
      </c>
      <c r="M143" s="26" t="s">
        <v>206</v>
      </c>
      <c r="N143" s="26">
        <v>40</v>
      </c>
      <c r="O143" s="26">
        <f>2024-Inventory[[#This Row],[YrBlt]]</f>
        <v>40</v>
      </c>
      <c r="P143" s="26">
        <f>2024-Inventory[[#This Row],[EffYr]]</f>
        <v>40</v>
      </c>
      <c r="Q143" s="25">
        <v>1984</v>
      </c>
      <c r="R143" s="25">
        <v>1984</v>
      </c>
      <c r="S143" s="25">
        <v>768</v>
      </c>
      <c r="T143" s="32">
        <v>768</v>
      </c>
      <c r="U143" s="27"/>
      <c r="V143" s="27">
        <f>Inventory[[#This Row],[Bsmt]]-Inventory[[#This Row],[FnBsmt]]</f>
        <v>0</v>
      </c>
      <c r="W143" s="27"/>
      <c r="X143" s="27"/>
      <c r="Y143" s="27">
        <f>Inventory[[#This Row],[MainFn]]+Inventory[[#This Row],[UpprFn]]+Inventory[[#This Row],[FnBsmt]]+Inventory[[#This Row],[AddFn]]</f>
        <v>1536</v>
      </c>
      <c r="Z143" s="27">
        <v>2000</v>
      </c>
      <c r="AA143" s="25">
        <v>7</v>
      </c>
      <c r="AB143" s="25">
        <v>440</v>
      </c>
      <c r="AC143" s="27"/>
      <c r="AD143" s="27"/>
      <c r="AE143" s="27"/>
      <c r="AF143" s="27"/>
      <c r="AG143" s="27"/>
      <c r="AH143" s="27"/>
      <c r="AI143" s="25">
        <v>243431</v>
      </c>
      <c r="AJ143" s="25">
        <v>192310</v>
      </c>
      <c r="AK143" s="25">
        <v>0</v>
      </c>
      <c r="AL143" s="25">
        <v>271800</v>
      </c>
      <c r="AM143" s="25">
        <v>54700</v>
      </c>
      <c r="AN143" s="25">
        <v>217100</v>
      </c>
      <c r="AO143" s="25">
        <v>0</v>
      </c>
      <c r="AP143" s="25">
        <f>Lookups!$B$56*0</f>
        <v>0</v>
      </c>
      <c r="AQ143" s="25">
        <f>Lookups!$B$56*1</f>
        <v>89850.625589999996</v>
      </c>
      <c r="AR143" s="25">
        <f>Lookups!$B$57*Inventory[[#This Row],[LnAcres]]</f>
        <v>-54281.285314520763</v>
      </c>
      <c r="AS143" s="25">
        <f>VLOOKUP(Inventory[[#This Row],[Qlty]],Lookups!$A$62:$E$75,2,FALSE)</f>
        <v>21557.329055999999</v>
      </c>
      <c r="AT143" s="25">
        <f>VLOOKUP(Inventory[[#This Row],[Cnd]],Lookups!$A$76:$E$84,2,FALSE)</f>
        <v>133714.53821</v>
      </c>
      <c r="AU143" s="25">
        <f>Inventory[[#This Row],[EffAge]]*Lookups!$B$85</f>
        <v>-8921.82402</v>
      </c>
      <c r="AV143" s="25">
        <f>Inventory[[#This Row],[MainFn]]*Lookups!$B$86</f>
        <v>37945.858465536003</v>
      </c>
      <c r="AW143" s="25">
        <f>Inventory[[#This Row],[UpprFn]]*Lookups!$B$87</f>
        <v>34395.972757247997</v>
      </c>
      <c r="AX143" s="25">
        <f>Inventory[[#This Row],[AddFn]]*Lookups!$B$88</f>
        <v>0</v>
      </c>
      <c r="AY143" s="25">
        <f>Inventory[[#This Row],[Bsmt]]*Lookups!$B$89</f>
        <v>0</v>
      </c>
      <c r="AZ143" s="25">
        <f>Inventory[[#This Row],[Fixtures]]*Lookups!$B$90</f>
        <v>26544.1547364</v>
      </c>
      <c r="BA143" s="25">
        <f>Inventory[[#This Row],[WdDeck]]*Lookups!$B$91</f>
        <v>0</v>
      </c>
      <c r="BB143" s="25">
        <f>ROUND(Inventory[[#This Row],[25Det]],-2)</f>
        <v>0</v>
      </c>
      <c r="BC143" s="25">
        <f>ROUND(SUM(Inventory[[#This Row],[Mdl Qlty]:[Mdl WdDeck]])+Inventory[[#This Row],[Mdl Res Intercept]],-2)</f>
        <v>245200</v>
      </c>
      <c r="BD143" s="25">
        <f>ROUND(Inventory[[#This Row],[Mdl Land Intercept]]+Inventory[[#This Row],[Mdl LnAcres]],-2)</f>
        <v>35600</v>
      </c>
      <c r="BE143" s="25">
        <f>Inventory[[#This Row],[Unadj Res Value]]+Inventory[[#This Row],[Unadj Det Value]]+Inventory[[#This Row],[Unadj Land Value]]</f>
        <v>280800</v>
      </c>
      <c r="BF143" s="36">
        <f>(Inventory[[#This Row],[Unadj Total Value]]-Inventory[[#This Row],[24Final]])/Inventory[[#This Row],[24Final]]</f>
        <v>3.3112582781456956E-2</v>
      </c>
      <c r="BG143" s="25">
        <f>VLOOKUP(Inventory[[#This Row],[Nbhd]],Lookups!$Q$2:$T$4,4,FALSE)</f>
        <v>0.99970000000000003</v>
      </c>
      <c r="BH143" s="25">
        <f>VLOOKUP(Inventory[[#This Row],[Qlty]],Lookups!$O$7:$R$21,4,FALSE)</f>
        <v>1.0067999999999999</v>
      </c>
      <c r="BI143" s="25">
        <f>VLOOKUP(Inventory[[#This Row],[Cnd]],Lookups!$T$7:$W$16,4,FALSE)</f>
        <v>0.99329999999999996</v>
      </c>
      <c r="BJ143" s="25">
        <f>VLOOKUP(Inventory[[#This Row],[LivArea Range]],Lookups!$T$25:$W$37,4,FALSE)</f>
        <v>1.0093000000000001</v>
      </c>
      <c r="BK143" s="25">
        <f>VLOOKUP(Inventory[[#This Row],[Decade]],Lookups!$O$25:$R$42,4,FALSE)</f>
        <v>1.0157</v>
      </c>
      <c r="BL143" s="25">
        <f>Inventory[[#This Row],[Nbhd Adj]]*0.95</f>
        <v>0.94971499999999998</v>
      </c>
      <c r="BM143" s="25">
        <f>Inventory[[#This Row],[Nbhd Adj]]*Inventory[[#This Row],[Quality Adj]]*Inventory[[#This Row],[Condition Adj]]*Inventory[[#This Row],[Living Area Adj]]*Inventory[[#This Row],[Decade Adj]]*0.95</f>
        <v>0.97364954548294469</v>
      </c>
      <c r="BN143" s="25">
        <f>ROUND(SUM(Inventory[[#This Row],[Mdl Qlty]:[Mdl WdDeck]])+Inventory[[#This Row],[Mdl Res Intercept]]*Inventory[[#This Row],[Res Adj ]],-2)</f>
        <v>245200</v>
      </c>
      <c r="BO143" s="25">
        <f>ROUND(Inventory[[#This Row],[25Det]]*Inventory[[#This Row],[Det/Nbhd Adj]],-2)</f>
        <v>0</v>
      </c>
      <c r="BP143" s="25">
        <f>Inventory[[#This Row],[Adjusted Res]]+Inventory[[#This Row],[Adj Det ]]</f>
        <v>245200</v>
      </c>
      <c r="BQ143" s="25">
        <f>ROUND((Inventory[[#This Row],[Mdl Land Intercept]]+Inventory[[#This Row],[Mdl LnAcres]])*Inventory[[#This Row],[Det/Nbhd Adj]],-2)</f>
        <v>33800</v>
      </c>
      <c r="BR143" s="25">
        <f>Inventory[[#This Row],[Adjusted Impr Total]]+Inventory[[#This Row],[Adjusted Land Total]]</f>
        <v>279000</v>
      </c>
      <c r="BS143" s="36">
        <f>IFERROR((Inventory[[#This Row],[Adjusted Impr Total]]-Inventory[[#This Row],[24Bldg]])/Inventory[[#This Row],[24Bldg]],0)</f>
        <v>0.12943344081068631</v>
      </c>
      <c r="BT143" s="36">
        <f>(Inventory[[#This Row],[Adjusted Land Total]]-Inventory[[#This Row],[24Lnd]])/Inventory[[#This Row],[24Lnd]]</f>
        <v>-0.38208409506398539</v>
      </c>
      <c r="BU143" s="36">
        <f>(Inventory[[#This Row],[Adjusted Total]]-Inventory[[#This Row],[24Final]])/Inventory[[#This Row],[24Final]]</f>
        <v>2.6490066225165563E-2</v>
      </c>
    </row>
    <row r="144" spans="1:73" x14ac:dyDescent="0.3">
      <c r="A144" s="25">
        <v>2025</v>
      </c>
      <c r="B144" s="26" t="s">
        <v>2495</v>
      </c>
      <c r="C144" s="26">
        <f>LN(Inventory[[#This Row],[Acres]])</f>
        <v>-1.8325814637483102</v>
      </c>
      <c r="D144" s="25">
        <v>0.16</v>
      </c>
      <c r="E144" s="25">
        <v>6913</v>
      </c>
      <c r="F144" s="26" t="s">
        <v>537</v>
      </c>
      <c r="G144" s="26" t="s">
        <v>126</v>
      </c>
      <c r="H144" s="26" t="s">
        <v>349</v>
      </c>
      <c r="I144" s="26" t="s">
        <v>538</v>
      </c>
      <c r="J144" s="26" t="s">
        <v>539</v>
      </c>
      <c r="K144" s="26" t="s">
        <v>241</v>
      </c>
      <c r="L144" s="26" t="s">
        <v>351</v>
      </c>
      <c r="M144" s="26" t="s">
        <v>323</v>
      </c>
      <c r="N144" s="26">
        <v>40</v>
      </c>
      <c r="O144" s="26">
        <f>2024-Inventory[[#This Row],[YrBlt]]</f>
        <v>40</v>
      </c>
      <c r="P144" s="26">
        <f>2024-Inventory[[#This Row],[EffYr]]</f>
        <v>40</v>
      </c>
      <c r="Q144" s="25">
        <v>1984</v>
      </c>
      <c r="R144" s="25">
        <v>1984</v>
      </c>
      <c r="S144" s="25">
        <v>1080</v>
      </c>
      <c r="T144" s="27"/>
      <c r="U144" s="27"/>
      <c r="V144" s="27">
        <f>Inventory[[#This Row],[Bsmt]]-Inventory[[#This Row],[FnBsmt]]</f>
        <v>0</v>
      </c>
      <c r="W144" s="27"/>
      <c r="X144" s="27"/>
      <c r="Y144" s="27">
        <f>Inventory[[#This Row],[MainFn]]+Inventory[[#This Row],[UpprFn]]+Inventory[[#This Row],[FnBsmt]]+Inventory[[#This Row],[AddFn]]</f>
        <v>1080</v>
      </c>
      <c r="Z144" s="27">
        <v>1500</v>
      </c>
      <c r="AA144" s="25">
        <v>5</v>
      </c>
      <c r="AB144" s="25">
        <v>594</v>
      </c>
      <c r="AC144" s="27"/>
      <c r="AD144" s="27"/>
      <c r="AE144" s="27"/>
      <c r="AF144" s="27"/>
      <c r="AG144" s="27"/>
      <c r="AH144" s="27"/>
      <c r="AI144" s="25">
        <v>210223</v>
      </c>
      <c r="AJ144" s="25">
        <v>168178</v>
      </c>
      <c r="AK144" s="25">
        <v>3072</v>
      </c>
      <c r="AL144" s="25">
        <v>272200</v>
      </c>
      <c r="AM144" s="25">
        <v>50600</v>
      </c>
      <c r="AN144" s="25">
        <v>221600</v>
      </c>
      <c r="AO144" s="25">
        <v>0</v>
      </c>
      <c r="AP144" s="25">
        <f>Lookups!$B$56*0</f>
        <v>0</v>
      </c>
      <c r="AQ144" s="25">
        <f>Lookups!$B$56*1</f>
        <v>89850.625589999996</v>
      </c>
      <c r="AR144" s="25">
        <f>Lookups!$B$57*Inventory[[#This Row],[LnAcres]]</f>
        <v>-58009.662049032086</v>
      </c>
      <c r="AS144" s="25">
        <f>VLOOKUP(Inventory[[#This Row],[Qlty]],Lookups!$A$62:$E$75,2,FALSE)</f>
        <v>21557.329055999999</v>
      </c>
      <c r="AT144" s="25">
        <f>VLOOKUP(Inventory[[#This Row],[Cnd]],Lookups!$A$76:$E$84,2,FALSE)</f>
        <v>160472.20319</v>
      </c>
      <c r="AU144" s="25">
        <f>Inventory[[#This Row],[EffAge]]*Lookups!$B$85</f>
        <v>-8921.82402</v>
      </c>
      <c r="AV144" s="25">
        <f>Inventory[[#This Row],[MainFn]]*Lookups!$B$86</f>
        <v>53361.363467160001</v>
      </c>
      <c r="AW144" s="25">
        <f>Inventory[[#This Row],[UpprFn]]*Lookups!$B$87</f>
        <v>0</v>
      </c>
      <c r="AX144" s="25">
        <f>Inventory[[#This Row],[AddFn]]*Lookups!$B$88</f>
        <v>0</v>
      </c>
      <c r="AY144" s="25">
        <f>Inventory[[#This Row],[Bsmt]]*Lookups!$B$89</f>
        <v>0</v>
      </c>
      <c r="AZ144" s="25">
        <f>Inventory[[#This Row],[Fixtures]]*Lookups!$B$90</f>
        <v>18960.110526</v>
      </c>
      <c r="BA144" s="25">
        <f>Inventory[[#This Row],[WdDeck]]*Lookups!$B$91</f>
        <v>0</v>
      </c>
      <c r="BB144" s="25">
        <f>ROUND(Inventory[[#This Row],[25Det]],-2)</f>
        <v>3100</v>
      </c>
      <c r="BC144" s="25">
        <f>ROUND(SUM(Inventory[[#This Row],[Mdl Qlty]:[Mdl WdDeck]])+Inventory[[#This Row],[Mdl Res Intercept]],-2)</f>
        <v>245400</v>
      </c>
      <c r="BD144" s="25">
        <f>ROUND(Inventory[[#This Row],[Mdl Land Intercept]]+Inventory[[#This Row],[Mdl LnAcres]],-2)</f>
        <v>31800</v>
      </c>
      <c r="BE144" s="25">
        <f>Inventory[[#This Row],[Unadj Res Value]]+Inventory[[#This Row],[Unadj Det Value]]+Inventory[[#This Row],[Unadj Land Value]]</f>
        <v>280300</v>
      </c>
      <c r="BF144" s="36">
        <f>(Inventory[[#This Row],[Unadj Total Value]]-Inventory[[#This Row],[24Final]])/Inventory[[#This Row],[24Final]]</f>
        <v>2.9757531227038943E-2</v>
      </c>
      <c r="BG144" s="25">
        <f>VLOOKUP(Inventory[[#This Row],[Nbhd]],Lookups!$Q$2:$T$4,4,FALSE)</f>
        <v>0.99970000000000003</v>
      </c>
      <c r="BH144" s="25">
        <f>VLOOKUP(Inventory[[#This Row],[Qlty]],Lookups!$O$7:$R$21,4,FALSE)</f>
        <v>1.0067999999999999</v>
      </c>
      <c r="BI144" s="25">
        <f>VLOOKUP(Inventory[[#This Row],[Cnd]],Lookups!$T$7:$W$16,4,FALSE)</f>
        <v>0.99729999999999996</v>
      </c>
      <c r="BJ144" s="25">
        <f>VLOOKUP(Inventory[[#This Row],[LivArea Range]],Lookups!$T$25:$W$37,4,FALSE)</f>
        <v>1.0157</v>
      </c>
      <c r="BK144" s="25">
        <f>VLOOKUP(Inventory[[#This Row],[Decade]],Lookups!$O$25:$R$42,4,FALSE)</f>
        <v>1.0157</v>
      </c>
      <c r="BL144" s="25">
        <f>Inventory[[#This Row],[Nbhd Adj]]*0.95</f>
        <v>0.94971499999999998</v>
      </c>
      <c r="BM144" s="25">
        <f>Inventory[[#This Row],[Nbhd Adj]]*Inventory[[#This Row],[Quality Adj]]*Inventory[[#This Row],[Condition Adj]]*Inventory[[#This Row],[Living Area Adj]]*Inventory[[#This Row],[Decade Adj]]*0.95</f>
        <v>0.9837692152700912</v>
      </c>
      <c r="BN144" s="25">
        <f>ROUND(SUM(Inventory[[#This Row],[Mdl Qlty]:[Mdl WdDeck]])+Inventory[[#This Row],[Mdl Res Intercept]]*Inventory[[#This Row],[Res Adj ]],-2)</f>
        <v>245400</v>
      </c>
      <c r="BO144" s="25">
        <f>ROUND(Inventory[[#This Row],[25Det]]*Inventory[[#This Row],[Det/Nbhd Adj]],-2)</f>
        <v>2900</v>
      </c>
      <c r="BP144" s="25">
        <f>Inventory[[#This Row],[Adjusted Res]]+Inventory[[#This Row],[Adj Det ]]</f>
        <v>248300</v>
      </c>
      <c r="BQ144" s="25">
        <f>ROUND((Inventory[[#This Row],[Mdl Land Intercept]]+Inventory[[#This Row],[Mdl LnAcres]])*Inventory[[#This Row],[Det/Nbhd Adj]],-2)</f>
        <v>30200</v>
      </c>
      <c r="BR144" s="25">
        <f>Inventory[[#This Row],[Adjusted Impr Total]]+Inventory[[#This Row],[Adjusted Land Total]]</f>
        <v>278500</v>
      </c>
      <c r="BS144" s="36">
        <f>IFERROR((Inventory[[#This Row],[Adjusted Impr Total]]-Inventory[[#This Row],[24Bldg]])/Inventory[[#This Row],[24Bldg]],0)</f>
        <v>0.12048736462093863</v>
      </c>
      <c r="BT144" s="36">
        <f>(Inventory[[#This Row],[Adjusted Land Total]]-Inventory[[#This Row],[24Lnd]])/Inventory[[#This Row],[24Lnd]]</f>
        <v>-0.40316205533596838</v>
      </c>
      <c r="BU144" s="36">
        <f>(Inventory[[#This Row],[Adjusted Total]]-Inventory[[#This Row],[24Final]])/Inventory[[#This Row],[24Final]]</f>
        <v>2.3144746509919177E-2</v>
      </c>
    </row>
    <row r="145" spans="1:73" x14ac:dyDescent="0.3">
      <c r="A145" s="25">
        <v>2025</v>
      </c>
      <c r="B145" s="26" t="s">
        <v>2444</v>
      </c>
      <c r="C145" s="26">
        <f>LN(Inventory[[#This Row],[Acres]])</f>
        <v>-1.7147984280919266</v>
      </c>
      <c r="D145" s="25">
        <v>0.18</v>
      </c>
      <c r="E145" s="25">
        <v>7677</v>
      </c>
      <c r="F145" s="26" t="s">
        <v>537</v>
      </c>
      <c r="G145" s="26" t="s">
        <v>126</v>
      </c>
      <c r="H145" s="26" t="s">
        <v>349</v>
      </c>
      <c r="I145" s="26" t="s">
        <v>538</v>
      </c>
      <c r="J145" s="26" t="s">
        <v>539</v>
      </c>
      <c r="K145" s="26" t="s">
        <v>241</v>
      </c>
      <c r="L145" s="26" t="s">
        <v>351</v>
      </c>
      <c r="M145" s="26" t="s">
        <v>323</v>
      </c>
      <c r="N145" s="26">
        <v>40</v>
      </c>
      <c r="O145" s="26">
        <f>2024-Inventory[[#This Row],[YrBlt]]</f>
        <v>40</v>
      </c>
      <c r="P145" s="26">
        <f>2024-Inventory[[#This Row],[EffYr]]</f>
        <v>40</v>
      </c>
      <c r="Q145" s="25">
        <v>1984</v>
      </c>
      <c r="R145" s="25">
        <v>1984</v>
      </c>
      <c r="S145" s="25">
        <v>1744</v>
      </c>
      <c r="T145" s="27"/>
      <c r="U145" s="27"/>
      <c r="V145" s="27">
        <f>Inventory[[#This Row],[Bsmt]]-Inventory[[#This Row],[FnBsmt]]</f>
        <v>0</v>
      </c>
      <c r="W145" s="27"/>
      <c r="X145" s="27"/>
      <c r="Y145" s="27">
        <f>Inventory[[#This Row],[MainFn]]+Inventory[[#This Row],[UpprFn]]+Inventory[[#This Row],[FnBsmt]]+Inventory[[#This Row],[AddFn]]</f>
        <v>1744</v>
      </c>
      <c r="Z145" s="27">
        <v>2000</v>
      </c>
      <c r="AA145" s="25">
        <v>8</v>
      </c>
      <c r="AB145" s="25">
        <v>576</v>
      </c>
      <c r="AC145" s="27"/>
      <c r="AD145" s="27"/>
      <c r="AE145" s="27"/>
      <c r="AF145" s="27"/>
      <c r="AG145" s="27"/>
      <c r="AH145" s="27"/>
      <c r="AI145" s="25">
        <v>321219</v>
      </c>
      <c r="AJ145" s="25">
        <v>256975</v>
      </c>
      <c r="AK145" s="25">
        <v>0</v>
      </c>
      <c r="AL145" s="25">
        <v>319600</v>
      </c>
      <c r="AM145" s="25">
        <v>54700</v>
      </c>
      <c r="AN145" s="25">
        <v>264900</v>
      </c>
      <c r="AO145" s="25">
        <v>0</v>
      </c>
      <c r="AP145" s="25">
        <f>Lookups!$B$56*0</f>
        <v>0</v>
      </c>
      <c r="AQ145" s="25">
        <f>Lookups!$B$56*1</f>
        <v>89850.625589999996</v>
      </c>
      <c r="AR145" s="25">
        <f>Lookups!$B$57*Inventory[[#This Row],[LnAcres]]</f>
        <v>-54281.285314520763</v>
      </c>
      <c r="AS145" s="25">
        <f>VLOOKUP(Inventory[[#This Row],[Qlty]],Lookups!$A$62:$E$75,2,FALSE)</f>
        <v>21557.329055999999</v>
      </c>
      <c r="AT145" s="25">
        <f>VLOOKUP(Inventory[[#This Row],[Cnd]],Lookups!$A$76:$E$84,2,FALSE)</f>
        <v>160472.20319</v>
      </c>
      <c r="AU145" s="25">
        <f>Inventory[[#This Row],[EffAge]]*Lookups!$B$85</f>
        <v>-8921.82402</v>
      </c>
      <c r="AV145" s="25">
        <f>Inventory[[#This Row],[MainFn]]*Lookups!$B$86</f>
        <v>86168.720265488009</v>
      </c>
      <c r="AW145" s="25">
        <f>Inventory[[#This Row],[UpprFn]]*Lookups!$B$87</f>
        <v>0</v>
      </c>
      <c r="AX145" s="25">
        <f>Inventory[[#This Row],[AddFn]]*Lookups!$B$88</f>
        <v>0</v>
      </c>
      <c r="AY145" s="25">
        <f>Inventory[[#This Row],[Bsmt]]*Lookups!$B$89</f>
        <v>0</v>
      </c>
      <c r="AZ145" s="25">
        <f>Inventory[[#This Row],[Fixtures]]*Lookups!$B$90</f>
        <v>30336.176841600001</v>
      </c>
      <c r="BA145" s="25">
        <f>Inventory[[#This Row],[WdDeck]]*Lookups!$B$91</f>
        <v>0</v>
      </c>
      <c r="BB145" s="25">
        <f>ROUND(Inventory[[#This Row],[25Det]],-2)</f>
        <v>0</v>
      </c>
      <c r="BC145" s="25">
        <f>ROUND(SUM(Inventory[[#This Row],[Mdl Qlty]:[Mdl WdDeck]])+Inventory[[#This Row],[Mdl Res Intercept]],-2)</f>
        <v>289600</v>
      </c>
      <c r="BD145" s="25">
        <f>ROUND(Inventory[[#This Row],[Mdl Land Intercept]]+Inventory[[#This Row],[Mdl LnAcres]],-2)</f>
        <v>35600</v>
      </c>
      <c r="BE145" s="25">
        <f>Inventory[[#This Row],[Unadj Res Value]]+Inventory[[#This Row],[Unadj Det Value]]+Inventory[[#This Row],[Unadj Land Value]]</f>
        <v>325200</v>
      </c>
      <c r="BF145" s="36">
        <f>(Inventory[[#This Row],[Unadj Total Value]]-Inventory[[#This Row],[24Final]])/Inventory[[#This Row],[24Final]]</f>
        <v>1.7521902377972465E-2</v>
      </c>
      <c r="BG145" s="25">
        <f>VLOOKUP(Inventory[[#This Row],[Nbhd]],Lookups!$Q$2:$T$4,4,FALSE)</f>
        <v>0.99970000000000003</v>
      </c>
      <c r="BH145" s="25">
        <f>VLOOKUP(Inventory[[#This Row],[Qlty]],Lookups!$O$7:$R$21,4,FALSE)</f>
        <v>1.0067999999999999</v>
      </c>
      <c r="BI145" s="25">
        <f>VLOOKUP(Inventory[[#This Row],[Cnd]],Lookups!$T$7:$W$16,4,FALSE)</f>
        <v>0.99729999999999996</v>
      </c>
      <c r="BJ145" s="25">
        <f>VLOOKUP(Inventory[[#This Row],[LivArea Range]],Lookups!$T$25:$W$37,4,FALSE)</f>
        <v>1.0093000000000001</v>
      </c>
      <c r="BK145" s="25">
        <f>VLOOKUP(Inventory[[#This Row],[Decade]],Lookups!$O$25:$R$42,4,FALSE)</f>
        <v>1.0157</v>
      </c>
      <c r="BL145" s="25">
        <f>Inventory[[#This Row],[Nbhd Adj]]*0.95</f>
        <v>0.94971499999999998</v>
      </c>
      <c r="BM145" s="25">
        <f>Inventory[[#This Row],[Nbhd Adj]]*Inventory[[#This Row],[Quality Adj]]*Inventory[[#This Row],[Condition Adj]]*Inventory[[#This Row],[Living Area Adj]]*Inventory[[#This Row],[Decade Adj]]*0.95</f>
        <v>0.97757041348045992</v>
      </c>
      <c r="BN145" s="25">
        <f>ROUND(SUM(Inventory[[#This Row],[Mdl Qlty]:[Mdl WdDeck]])+Inventory[[#This Row],[Mdl Res Intercept]]*Inventory[[#This Row],[Res Adj ]],-2)</f>
        <v>289600</v>
      </c>
      <c r="BO145" s="25">
        <f>ROUND(Inventory[[#This Row],[25Det]]*Inventory[[#This Row],[Det/Nbhd Adj]],-2)</f>
        <v>0</v>
      </c>
      <c r="BP145" s="25">
        <f>Inventory[[#This Row],[Adjusted Res]]+Inventory[[#This Row],[Adj Det ]]</f>
        <v>289600</v>
      </c>
      <c r="BQ145" s="25">
        <f>ROUND((Inventory[[#This Row],[Mdl Land Intercept]]+Inventory[[#This Row],[Mdl LnAcres]])*Inventory[[#This Row],[Det/Nbhd Adj]],-2)</f>
        <v>33800</v>
      </c>
      <c r="BR145" s="25">
        <f>Inventory[[#This Row],[Adjusted Impr Total]]+Inventory[[#This Row],[Adjusted Land Total]]</f>
        <v>323400</v>
      </c>
      <c r="BS145" s="36">
        <f>IFERROR((Inventory[[#This Row],[Adjusted Impr Total]]-Inventory[[#This Row],[24Bldg]])/Inventory[[#This Row],[24Bldg]],0)</f>
        <v>9.3242733106832773E-2</v>
      </c>
      <c r="BT145" s="36">
        <f>(Inventory[[#This Row],[Adjusted Land Total]]-Inventory[[#This Row],[24Lnd]])/Inventory[[#This Row],[24Lnd]]</f>
        <v>-0.38208409506398539</v>
      </c>
      <c r="BU145" s="36">
        <f>(Inventory[[#This Row],[Adjusted Total]]-Inventory[[#This Row],[24Final]])/Inventory[[#This Row],[24Final]]</f>
        <v>1.1889862327909888E-2</v>
      </c>
    </row>
    <row r="146" spans="1:73" x14ac:dyDescent="0.3">
      <c r="A146" s="25">
        <v>2025</v>
      </c>
      <c r="B146" s="26" t="s">
        <v>2469</v>
      </c>
      <c r="C146" s="26">
        <f>LN(Inventory[[#This Row],[Acres]])</f>
        <v>-1.8325814637483102</v>
      </c>
      <c r="D146" s="25">
        <v>0.16</v>
      </c>
      <c r="E146" s="25">
        <v>7101</v>
      </c>
      <c r="F146" s="26" t="s">
        <v>537</v>
      </c>
      <c r="G146" s="26" t="s">
        <v>126</v>
      </c>
      <c r="H146" s="26" t="s">
        <v>349</v>
      </c>
      <c r="I146" s="26" t="s">
        <v>538</v>
      </c>
      <c r="J146" s="26" t="s">
        <v>539</v>
      </c>
      <c r="K146" s="26" t="s">
        <v>241</v>
      </c>
      <c r="L146" s="26" t="s">
        <v>351</v>
      </c>
      <c r="M146" s="26" t="s">
        <v>303</v>
      </c>
      <c r="N146" s="26">
        <v>50</v>
      </c>
      <c r="O146" s="26">
        <f>2024-Inventory[[#This Row],[YrBlt]]</f>
        <v>43</v>
      </c>
      <c r="P146" s="26">
        <f>2024-Inventory[[#This Row],[EffYr]]</f>
        <v>43</v>
      </c>
      <c r="Q146" s="25">
        <v>1981</v>
      </c>
      <c r="R146" s="25">
        <v>1981</v>
      </c>
      <c r="S146" s="25">
        <v>1640</v>
      </c>
      <c r="T146" s="27"/>
      <c r="U146" s="31"/>
      <c r="V146" s="27">
        <f>Inventory[[#This Row],[Bsmt]]-Inventory[[#This Row],[FnBsmt]]</f>
        <v>0</v>
      </c>
      <c r="W146" s="27"/>
      <c r="X146" s="27"/>
      <c r="Y146" s="27">
        <f>Inventory[[#This Row],[MainFn]]+Inventory[[#This Row],[UpprFn]]+Inventory[[#This Row],[FnBsmt]]+Inventory[[#This Row],[AddFn]]</f>
        <v>1640</v>
      </c>
      <c r="Z146" s="27">
        <v>2000</v>
      </c>
      <c r="AA146" s="25">
        <v>8</v>
      </c>
      <c r="AB146" s="25">
        <v>528</v>
      </c>
      <c r="AC146" s="27"/>
      <c r="AD146" s="32">
        <v>140</v>
      </c>
      <c r="AE146" s="27"/>
      <c r="AF146" s="27"/>
      <c r="AG146" s="27"/>
      <c r="AH146" s="27"/>
      <c r="AI146" s="25">
        <v>288432</v>
      </c>
      <c r="AJ146" s="25">
        <v>227861</v>
      </c>
      <c r="AK146" s="25">
        <v>0</v>
      </c>
      <c r="AL146" s="25">
        <v>328900</v>
      </c>
      <c r="AM146" s="25">
        <v>50600</v>
      </c>
      <c r="AN146" s="25">
        <v>278300</v>
      </c>
      <c r="AO146" s="25">
        <v>0</v>
      </c>
      <c r="AP146" s="25">
        <f>Lookups!$B$56*0</f>
        <v>0</v>
      </c>
      <c r="AQ146" s="25">
        <f>Lookups!$B$56*1</f>
        <v>89850.625589999996</v>
      </c>
      <c r="AR146" s="25">
        <f>Lookups!$B$57*Inventory[[#This Row],[LnAcres]]</f>
        <v>-58009.662049032086</v>
      </c>
      <c r="AS146" s="25">
        <f>VLOOKUP(Inventory[[#This Row],[Qlty]],Lookups!$A$62:$E$75,2,FALSE)</f>
        <v>21557.329055999999</v>
      </c>
      <c r="AT146" s="25">
        <f>VLOOKUP(Inventory[[#This Row],[Cnd]],Lookups!$A$76:$E$84,2,FALSE)</f>
        <v>197752.34721000001</v>
      </c>
      <c r="AU146" s="25">
        <f>Inventory[[#This Row],[EffAge]]*Lookups!$B$85</f>
        <v>-9590.9608215000007</v>
      </c>
      <c r="AV146" s="25">
        <f>Inventory[[#This Row],[MainFn]]*Lookups!$B$86</f>
        <v>81030.21859828</v>
      </c>
      <c r="AW146" s="25">
        <f>Inventory[[#This Row],[UpprFn]]*Lookups!$B$87</f>
        <v>0</v>
      </c>
      <c r="AX146" s="25">
        <f>Inventory[[#This Row],[AddFn]]*Lookups!$B$88</f>
        <v>0</v>
      </c>
      <c r="AY146" s="25">
        <f>Inventory[[#This Row],[Bsmt]]*Lookups!$B$89</f>
        <v>0</v>
      </c>
      <c r="AZ146" s="25">
        <f>Inventory[[#This Row],[Fixtures]]*Lookups!$B$90</f>
        <v>30336.176841600001</v>
      </c>
      <c r="BA146" s="25">
        <f>Inventory[[#This Row],[WdDeck]]*Lookups!$B$91</f>
        <v>4661.3721386400002</v>
      </c>
      <c r="BB146" s="25">
        <f>ROUND(Inventory[[#This Row],[25Det]],-2)</f>
        <v>0</v>
      </c>
      <c r="BC146" s="25">
        <f>ROUND(SUM(Inventory[[#This Row],[Mdl Qlty]:[Mdl WdDeck]])+Inventory[[#This Row],[Mdl Res Intercept]],-2)</f>
        <v>325700</v>
      </c>
      <c r="BD146" s="25">
        <f>ROUND(Inventory[[#This Row],[Mdl Land Intercept]]+Inventory[[#This Row],[Mdl LnAcres]],-2)</f>
        <v>31800</v>
      </c>
      <c r="BE146" s="25">
        <f>Inventory[[#This Row],[Unadj Res Value]]+Inventory[[#This Row],[Unadj Det Value]]+Inventory[[#This Row],[Unadj Land Value]]</f>
        <v>357500</v>
      </c>
      <c r="BF146" s="36">
        <f>(Inventory[[#This Row],[Unadj Total Value]]-Inventory[[#This Row],[24Final]])/Inventory[[#This Row],[24Final]]</f>
        <v>8.6956521739130432E-2</v>
      </c>
      <c r="BG146" s="25">
        <f>VLOOKUP(Inventory[[#This Row],[Nbhd]],Lookups!$Q$2:$T$4,4,FALSE)</f>
        <v>0.99970000000000003</v>
      </c>
      <c r="BH146" s="25">
        <f>VLOOKUP(Inventory[[#This Row],[Qlty]],Lookups!$O$7:$R$21,4,FALSE)</f>
        <v>1.0067999999999999</v>
      </c>
      <c r="BI146" s="25">
        <f>VLOOKUP(Inventory[[#This Row],[Cnd]],Lookups!$T$7:$W$16,4,FALSE)</f>
        <v>0.99650000000000005</v>
      </c>
      <c r="BJ146" s="25">
        <f>VLOOKUP(Inventory[[#This Row],[LivArea Range]],Lookups!$T$25:$W$37,4,FALSE)</f>
        <v>1.0093000000000001</v>
      </c>
      <c r="BK146" s="25">
        <f>VLOOKUP(Inventory[[#This Row],[Decade]],Lookups!$O$25:$R$42,4,FALSE)</f>
        <v>0.96919999999999995</v>
      </c>
      <c r="BL146" s="25">
        <f>Inventory[[#This Row],[Nbhd Adj]]*0.95</f>
        <v>0.94971499999999998</v>
      </c>
      <c r="BM146" s="25">
        <f>Inventory[[#This Row],[Nbhd Adj]]*Inventory[[#This Row],[Quality Adj]]*Inventory[[#This Row],[Condition Adj]]*Inventory[[#This Row],[Living Area Adj]]*Inventory[[#This Row],[Decade Adj]]*0.95</f>
        <v>0.93206775986277757</v>
      </c>
      <c r="BN146" s="25">
        <f>ROUND(SUM(Inventory[[#This Row],[Mdl Qlty]:[Mdl WdDeck]])+Inventory[[#This Row],[Mdl Res Intercept]]*Inventory[[#This Row],[Res Adj ]],-2)</f>
        <v>325700</v>
      </c>
      <c r="BO146" s="25">
        <f>ROUND(Inventory[[#This Row],[25Det]]*Inventory[[#This Row],[Det/Nbhd Adj]],-2)</f>
        <v>0</v>
      </c>
      <c r="BP146" s="25">
        <f>Inventory[[#This Row],[Adjusted Res]]+Inventory[[#This Row],[Adj Det ]]</f>
        <v>325700</v>
      </c>
      <c r="BQ146" s="25">
        <f>ROUND((Inventory[[#This Row],[Mdl Land Intercept]]+Inventory[[#This Row],[Mdl LnAcres]])*Inventory[[#This Row],[Det/Nbhd Adj]],-2)</f>
        <v>30200</v>
      </c>
      <c r="BR146" s="25">
        <f>Inventory[[#This Row],[Adjusted Impr Total]]+Inventory[[#This Row],[Adjusted Land Total]]</f>
        <v>355900</v>
      </c>
      <c r="BS146" s="36">
        <f>IFERROR((Inventory[[#This Row],[Adjusted Impr Total]]-Inventory[[#This Row],[24Bldg]])/Inventory[[#This Row],[24Bldg]],0)</f>
        <v>0.17031979877829681</v>
      </c>
      <c r="BT146" s="36">
        <f>(Inventory[[#This Row],[Adjusted Land Total]]-Inventory[[#This Row],[24Lnd]])/Inventory[[#This Row],[24Lnd]]</f>
        <v>-0.40316205533596838</v>
      </c>
      <c r="BU146" s="36">
        <f>(Inventory[[#This Row],[Adjusted Total]]-Inventory[[#This Row],[24Final]])/Inventory[[#This Row],[24Final]]</f>
        <v>8.2091821222256001E-2</v>
      </c>
    </row>
    <row r="147" spans="1:73" x14ac:dyDescent="0.3">
      <c r="A147" s="25">
        <v>2025</v>
      </c>
      <c r="B147" s="26" t="s">
        <v>1180</v>
      </c>
      <c r="C147" s="26">
        <f>LN(Inventory[[#This Row],[Acres]])</f>
        <v>-1.8325814637483102</v>
      </c>
      <c r="D147" s="25">
        <v>0.16</v>
      </c>
      <c r="E147" s="25">
        <v>7100</v>
      </c>
      <c r="F147" s="26" t="s">
        <v>537</v>
      </c>
      <c r="G147" s="26" t="s">
        <v>126</v>
      </c>
      <c r="H147" s="26" t="s">
        <v>349</v>
      </c>
      <c r="I147" s="26" t="s">
        <v>538</v>
      </c>
      <c r="J147" s="26" t="s">
        <v>539</v>
      </c>
      <c r="K147" s="26" t="s">
        <v>241</v>
      </c>
      <c r="L147" s="26" t="s">
        <v>302</v>
      </c>
      <c r="M147" s="26" t="s">
        <v>303</v>
      </c>
      <c r="N147" s="26">
        <v>50</v>
      </c>
      <c r="O147" s="26">
        <f>2024-Inventory[[#This Row],[YrBlt]]</f>
        <v>43</v>
      </c>
      <c r="P147" s="26">
        <f>2024-Inventory[[#This Row],[EffYr]]</f>
        <v>43</v>
      </c>
      <c r="Q147" s="25">
        <v>1981</v>
      </c>
      <c r="R147" s="25">
        <v>1981</v>
      </c>
      <c r="S147" s="25">
        <v>1516</v>
      </c>
      <c r="T147" s="27"/>
      <c r="U147" s="31"/>
      <c r="V147" s="27">
        <f>Inventory[[#This Row],[Bsmt]]-Inventory[[#This Row],[FnBsmt]]</f>
        <v>0</v>
      </c>
      <c r="W147" s="27"/>
      <c r="X147" s="27"/>
      <c r="Y147" s="27">
        <f>Inventory[[#This Row],[MainFn]]+Inventory[[#This Row],[UpprFn]]+Inventory[[#This Row],[FnBsmt]]+Inventory[[#This Row],[AddFn]]</f>
        <v>1516</v>
      </c>
      <c r="Z147" s="27">
        <v>2000</v>
      </c>
      <c r="AA147" s="25">
        <v>8</v>
      </c>
      <c r="AB147" s="32">
        <v>474</v>
      </c>
      <c r="AC147" s="31"/>
      <c r="AD147" s="27"/>
      <c r="AE147" s="27"/>
      <c r="AF147" s="27"/>
      <c r="AG147" s="27"/>
      <c r="AH147" s="27"/>
      <c r="AI147" s="25">
        <v>301987</v>
      </c>
      <c r="AJ147" s="25">
        <v>238570</v>
      </c>
      <c r="AK147" s="25">
        <v>0</v>
      </c>
      <c r="AL147" s="25">
        <v>330100</v>
      </c>
      <c r="AM147" s="25">
        <v>50600</v>
      </c>
      <c r="AN147" s="25">
        <v>279500</v>
      </c>
      <c r="AO147" s="25">
        <v>0</v>
      </c>
      <c r="AP147" s="25">
        <f>Lookups!$B$56*0</f>
        <v>0</v>
      </c>
      <c r="AQ147" s="25">
        <f>Lookups!$B$56*1</f>
        <v>89850.625589999996</v>
      </c>
      <c r="AR147" s="25">
        <f>Lookups!$B$57*Inventory[[#This Row],[LnAcres]]</f>
        <v>-58009.662049032086</v>
      </c>
      <c r="AS147" s="25">
        <f>VLOOKUP(Inventory[[#This Row],[Qlty]],Lookups!$A$62:$E$75,2,FALSE)</f>
        <v>29814.093161000001</v>
      </c>
      <c r="AT147" s="25">
        <f>VLOOKUP(Inventory[[#This Row],[Cnd]],Lookups!$A$76:$E$84,2,FALSE)</f>
        <v>197752.34721000001</v>
      </c>
      <c r="AU147" s="25">
        <f>Inventory[[#This Row],[EffAge]]*Lookups!$B$85</f>
        <v>-9590.9608215000007</v>
      </c>
      <c r="AV147" s="25">
        <f>Inventory[[#This Row],[MainFn]]*Lookups!$B$86</f>
        <v>74903.543533532007</v>
      </c>
      <c r="AW147" s="25">
        <f>Inventory[[#This Row],[UpprFn]]*Lookups!$B$87</f>
        <v>0</v>
      </c>
      <c r="AX147" s="25">
        <f>Inventory[[#This Row],[AddFn]]*Lookups!$B$88</f>
        <v>0</v>
      </c>
      <c r="AY147" s="25">
        <f>Inventory[[#This Row],[Bsmt]]*Lookups!$B$89</f>
        <v>0</v>
      </c>
      <c r="AZ147" s="25">
        <f>Inventory[[#This Row],[Fixtures]]*Lookups!$B$90</f>
        <v>30336.176841600001</v>
      </c>
      <c r="BA147" s="25">
        <f>Inventory[[#This Row],[WdDeck]]*Lookups!$B$91</f>
        <v>0</v>
      </c>
      <c r="BB147" s="25">
        <f>ROUND(Inventory[[#This Row],[25Det]],-2)</f>
        <v>0</v>
      </c>
      <c r="BC147" s="25">
        <f>ROUND(SUM(Inventory[[#This Row],[Mdl Qlty]:[Mdl WdDeck]])+Inventory[[#This Row],[Mdl Res Intercept]],-2)</f>
        <v>323200</v>
      </c>
      <c r="BD147" s="25">
        <f>ROUND(Inventory[[#This Row],[Mdl Land Intercept]]+Inventory[[#This Row],[Mdl LnAcres]],-2)</f>
        <v>31800</v>
      </c>
      <c r="BE147" s="25">
        <f>Inventory[[#This Row],[Unadj Res Value]]+Inventory[[#This Row],[Unadj Det Value]]+Inventory[[#This Row],[Unadj Land Value]]</f>
        <v>355000</v>
      </c>
      <c r="BF147" s="36">
        <f>(Inventory[[#This Row],[Unadj Total Value]]-Inventory[[#This Row],[24Final]])/Inventory[[#This Row],[24Final]]</f>
        <v>7.5431687367464403E-2</v>
      </c>
      <c r="BG147" s="25">
        <f>VLOOKUP(Inventory[[#This Row],[Nbhd]],Lookups!$Q$2:$T$4,4,FALSE)</f>
        <v>0.99970000000000003</v>
      </c>
      <c r="BH147" s="25">
        <f>VLOOKUP(Inventory[[#This Row],[Qlty]],Lookups!$O$7:$R$21,4,FALSE)</f>
        <v>1.0088999999999999</v>
      </c>
      <c r="BI147" s="25">
        <f>VLOOKUP(Inventory[[#This Row],[Cnd]],Lookups!$T$7:$W$16,4,FALSE)</f>
        <v>0.99650000000000005</v>
      </c>
      <c r="BJ147" s="25">
        <f>VLOOKUP(Inventory[[#This Row],[LivArea Range]],Lookups!$T$25:$W$37,4,FALSE)</f>
        <v>1.0093000000000001</v>
      </c>
      <c r="BK147" s="25">
        <f>VLOOKUP(Inventory[[#This Row],[Decade]],Lookups!$O$25:$R$42,4,FALSE)</f>
        <v>0.96919999999999995</v>
      </c>
      <c r="BL147" s="25">
        <f>Inventory[[#This Row],[Nbhd Adj]]*0.95</f>
        <v>0.94971499999999998</v>
      </c>
      <c r="BM147" s="25">
        <f>Inventory[[#This Row],[Nbhd Adj]]*Inventory[[#This Row],[Quality Adj]]*Inventory[[#This Row],[Condition Adj]]*Inventory[[#This Row],[Living Area Adj]]*Inventory[[#This Row],[Decade Adj]]*0.95</f>
        <v>0.93401188212709219</v>
      </c>
      <c r="BN147" s="25">
        <f>ROUND(SUM(Inventory[[#This Row],[Mdl Qlty]:[Mdl WdDeck]])+Inventory[[#This Row],[Mdl Res Intercept]]*Inventory[[#This Row],[Res Adj ]],-2)</f>
        <v>323200</v>
      </c>
      <c r="BO147" s="25">
        <f>ROUND(Inventory[[#This Row],[25Det]]*Inventory[[#This Row],[Det/Nbhd Adj]],-2)</f>
        <v>0</v>
      </c>
      <c r="BP147" s="25">
        <f>Inventory[[#This Row],[Adjusted Res]]+Inventory[[#This Row],[Adj Det ]]</f>
        <v>323200</v>
      </c>
      <c r="BQ147" s="25">
        <f>ROUND((Inventory[[#This Row],[Mdl Land Intercept]]+Inventory[[#This Row],[Mdl LnAcres]])*Inventory[[#This Row],[Det/Nbhd Adj]],-2)</f>
        <v>30200</v>
      </c>
      <c r="BR147" s="25">
        <f>Inventory[[#This Row],[Adjusted Impr Total]]+Inventory[[#This Row],[Adjusted Land Total]]</f>
        <v>353400</v>
      </c>
      <c r="BS147" s="36">
        <f>IFERROR((Inventory[[#This Row],[Adjusted Impr Total]]-Inventory[[#This Row],[24Bldg]])/Inventory[[#This Row],[24Bldg]],0)</f>
        <v>0.15635062611806799</v>
      </c>
      <c r="BT147" s="36">
        <f>(Inventory[[#This Row],[Adjusted Land Total]]-Inventory[[#This Row],[24Lnd]])/Inventory[[#This Row],[24Lnd]]</f>
        <v>-0.40316205533596838</v>
      </c>
      <c r="BU147" s="36">
        <f>(Inventory[[#This Row],[Adjusted Total]]-Inventory[[#This Row],[24Final]])/Inventory[[#This Row],[24Final]]</f>
        <v>7.0584671311723718E-2</v>
      </c>
    </row>
    <row r="148" spans="1:73" x14ac:dyDescent="0.3">
      <c r="A148" s="25">
        <v>2025</v>
      </c>
      <c r="B148" s="26" t="s">
        <v>1179</v>
      </c>
      <c r="C148" s="26">
        <f>LN(Inventory[[#This Row],[Acres]])</f>
        <v>-1.6094379124341003</v>
      </c>
      <c r="D148" s="25">
        <v>0.2</v>
      </c>
      <c r="E148" s="25">
        <v>8829</v>
      </c>
      <c r="F148" s="26" t="s">
        <v>537</v>
      </c>
      <c r="G148" s="26" t="s">
        <v>126</v>
      </c>
      <c r="H148" s="26" t="s">
        <v>349</v>
      </c>
      <c r="I148" s="26" t="s">
        <v>538</v>
      </c>
      <c r="J148" s="26" t="s">
        <v>539</v>
      </c>
      <c r="K148" s="26" t="s">
        <v>350</v>
      </c>
      <c r="L148" s="26" t="s">
        <v>302</v>
      </c>
      <c r="M148" s="26" t="s">
        <v>323</v>
      </c>
      <c r="N148" s="26">
        <v>50</v>
      </c>
      <c r="O148" s="26">
        <f>2024-Inventory[[#This Row],[YrBlt]]</f>
        <v>43</v>
      </c>
      <c r="P148" s="26">
        <f>2024-Inventory[[#This Row],[EffYr]]</f>
        <v>43</v>
      </c>
      <c r="Q148" s="25">
        <v>1981</v>
      </c>
      <c r="R148" s="25">
        <v>1981</v>
      </c>
      <c r="S148" s="25">
        <v>1224</v>
      </c>
      <c r="T148" s="27"/>
      <c r="U148" s="32">
        <v>576</v>
      </c>
      <c r="V148" s="32">
        <f>Inventory[[#This Row],[Bsmt]]-Inventory[[#This Row],[FnBsmt]]</f>
        <v>0</v>
      </c>
      <c r="W148" s="32">
        <v>576</v>
      </c>
      <c r="X148" s="27"/>
      <c r="Y148" s="27">
        <f>Inventory[[#This Row],[MainFn]]+Inventory[[#This Row],[UpprFn]]+Inventory[[#This Row],[FnBsmt]]+Inventory[[#This Row],[AddFn]]</f>
        <v>1800</v>
      </c>
      <c r="Z148" s="27">
        <v>2000</v>
      </c>
      <c r="AA148" s="25">
        <v>10</v>
      </c>
      <c r="AB148" s="25">
        <v>462</v>
      </c>
      <c r="AC148" s="27"/>
      <c r="AD148" s="27"/>
      <c r="AE148" s="27"/>
      <c r="AF148" s="27"/>
      <c r="AG148" s="27"/>
      <c r="AH148" s="27"/>
      <c r="AI148" s="25">
        <v>333396</v>
      </c>
      <c r="AJ148" s="25">
        <v>260049</v>
      </c>
      <c r="AK148" s="25">
        <v>0</v>
      </c>
      <c r="AL148" s="25">
        <v>329100</v>
      </c>
      <c r="AM148" s="25">
        <v>58400</v>
      </c>
      <c r="AN148" s="25">
        <v>270700</v>
      </c>
      <c r="AO148" s="25">
        <v>0</v>
      </c>
      <c r="AP148" s="25">
        <f>Lookups!$B$56*0</f>
        <v>0</v>
      </c>
      <c r="AQ148" s="25">
        <f>Lookups!$B$56*1</f>
        <v>89850.625589999996</v>
      </c>
      <c r="AR148" s="25">
        <f>Lookups!$B$57*Inventory[[#This Row],[LnAcres]]</f>
        <v>-50946.13867709865</v>
      </c>
      <c r="AS148" s="25">
        <f>VLOOKUP(Inventory[[#This Row],[Qlty]],Lookups!$A$62:$E$75,2,FALSE)</f>
        <v>29814.093161000001</v>
      </c>
      <c r="AT148" s="25">
        <f>VLOOKUP(Inventory[[#This Row],[Cnd]],Lookups!$A$76:$E$84,2,FALSE)</f>
        <v>160472.20319</v>
      </c>
      <c r="AU148" s="25">
        <f>Inventory[[#This Row],[EffAge]]*Lookups!$B$85</f>
        <v>-9590.9608215000007</v>
      </c>
      <c r="AV148" s="25">
        <f>Inventory[[#This Row],[MainFn]]*Lookups!$B$86</f>
        <v>60476.211929448</v>
      </c>
      <c r="AW148" s="25">
        <f>Inventory[[#This Row],[UpprFn]]*Lookups!$B$87</f>
        <v>0</v>
      </c>
      <c r="AX148" s="25">
        <f>Inventory[[#This Row],[AddFn]]*Lookups!$B$88</f>
        <v>0</v>
      </c>
      <c r="AY148" s="25">
        <f>Inventory[[#This Row],[Bsmt]]*Lookups!$B$89</f>
        <v>16751.171662271998</v>
      </c>
      <c r="AZ148" s="25">
        <f>Inventory[[#This Row],[Fixtures]]*Lookups!$B$90</f>
        <v>37920.221052000001</v>
      </c>
      <c r="BA148" s="25">
        <f>Inventory[[#This Row],[WdDeck]]*Lookups!$B$91</f>
        <v>0</v>
      </c>
      <c r="BB148" s="25">
        <f>ROUND(Inventory[[#This Row],[25Det]],-2)</f>
        <v>0</v>
      </c>
      <c r="BC148" s="25">
        <f>ROUND(SUM(Inventory[[#This Row],[Mdl Qlty]:[Mdl WdDeck]])+Inventory[[#This Row],[Mdl Res Intercept]],-2)</f>
        <v>295800</v>
      </c>
      <c r="BD148" s="25">
        <f>ROUND(Inventory[[#This Row],[Mdl Land Intercept]]+Inventory[[#This Row],[Mdl LnAcres]],-2)</f>
        <v>38900</v>
      </c>
      <c r="BE148" s="25">
        <f>Inventory[[#This Row],[Unadj Res Value]]+Inventory[[#This Row],[Unadj Det Value]]+Inventory[[#This Row],[Unadj Land Value]]</f>
        <v>334700</v>
      </c>
      <c r="BF148" s="36">
        <f>(Inventory[[#This Row],[Unadj Total Value]]-Inventory[[#This Row],[24Final]])/Inventory[[#This Row],[24Final]]</f>
        <v>1.7016104527499239E-2</v>
      </c>
      <c r="BG148" s="25">
        <f>VLOOKUP(Inventory[[#This Row],[Nbhd]],Lookups!$Q$2:$T$4,4,FALSE)</f>
        <v>0.99970000000000003</v>
      </c>
      <c r="BH148" s="25">
        <f>VLOOKUP(Inventory[[#This Row],[Qlty]],Lookups!$O$7:$R$21,4,FALSE)</f>
        <v>1.0088999999999999</v>
      </c>
      <c r="BI148" s="25">
        <f>VLOOKUP(Inventory[[#This Row],[Cnd]],Lookups!$T$7:$W$16,4,FALSE)</f>
        <v>0.99729999999999996</v>
      </c>
      <c r="BJ148" s="25">
        <f>VLOOKUP(Inventory[[#This Row],[LivArea Range]],Lookups!$T$25:$W$37,4,FALSE)</f>
        <v>1.0093000000000001</v>
      </c>
      <c r="BK148" s="25">
        <f>VLOOKUP(Inventory[[#This Row],[Decade]],Lookups!$O$25:$R$42,4,FALSE)</f>
        <v>0.96919999999999995</v>
      </c>
      <c r="BL148" s="25">
        <f>Inventory[[#This Row],[Nbhd Adj]]*0.95</f>
        <v>0.94971499999999998</v>
      </c>
      <c r="BM148" s="25">
        <f>Inventory[[#This Row],[Nbhd Adj]]*Inventory[[#This Row],[Quality Adj]]*Inventory[[#This Row],[Condition Adj]]*Inventory[[#This Row],[Living Area Adj]]*Inventory[[#This Row],[Decade Adj]]*0.95</f>
        <v>0.93476171605152947</v>
      </c>
      <c r="BN148" s="25">
        <f>ROUND(SUM(Inventory[[#This Row],[Mdl Qlty]:[Mdl WdDeck]])+Inventory[[#This Row],[Mdl Res Intercept]]*Inventory[[#This Row],[Res Adj ]],-2)</f>
        <v>295800</v>
      </c>
      <c r="BO148" s="25">
        <f>ROUND(Inventory[[#This Row],[25Det]]*Inventory[[#This Row],[Det/Nbhd Adj]],-2)</f>
        <v>0</v>
      </c>
      <c r="BP148" s="25">
        <f>Inventory[[#This Row],[Adjusted Res]]+Inventory[[#This Row],[Adj Det ]]</f>
        <v>295800</v>
      </c>
      <c r="BQ148" s="25">
        <f>ROUND((Inventory[[#This Row],[Mdl Land Intercept]]+Inventory[[#This Row],[Mdl LnAcres]])*Inventory[[#This Row],[Det/Nbhd Adj]],-2)</f>
        <v>36900</v>
      </c>
      <c r="BR148" s="25">
        <f>Inventory[[#This Row],[Adjusted Impr Total]]+Inventory[[#This Row],[Adjusted Land Total]]</f>
        <v>332700</v>
      </c>
      <c r="BS148" s="36">
        <f>IFERROR((Inventory[[#This Row],[Adjusted Impr Total]]-Inventory[[#This Row],[24Bldg]])/Inventory[[#This Row],[24Bldg]],0)</f>
        <v>9.2722571111932023E-2</v>
      </c>
      <c r="BT148" s="36">
        <f>(Inventory[[#This Row],[Adjusted Land Total]]-Inventory[[#This Row],[24Lnd]])/Inventory[[#This Row],[24Lnd]]</f>
        <v>-0.36815068493150682</v>
      </c>
      <c r="BU148" s="36">
        <f>(Inventory[[#This Row],[Adjusted Total]]-Inventory[[#This Row],[24Final]])/Inventory[[#This Row],[24Final]]</f>
        <v>1.0938924339106655E-2</v>
      </c>
    </row>
    <row r="149" spans="1:73" x14ac:dyDescent="0.3">
      <c r="A149" s="25">
        <v>2025</v>
      </c>
      <c r="B149" s="26" t="s">
        <v>1691</v>
      </c>
      <c r="C149" s="26">
        <f>LN(Inventory[[#This Row],[Acres]])</f>
        <v>-2.9957322735539909</v>
      </c>
      <c r="D149" s="25">
        <v>0.05</v>
      </c>
      <c r="E149" s="25">
        <v>2225</v>
      </c>
      <c r="F149" s="26" t="s">
        <v>537</v>
      </c>
      <c r="G149" s="26" t="s">
        <v>28</v>
      </c>
      <c r="H149" s="26" t="s">
        <v>349</v>
      </c>
      <c r="I149" s="26" t="s">
        <v>538</v>
      </c>
      <c r="J149" s="26" t="s">
        <v>551</v>
      </c>
      <c r="K149" s="26" t="s">
        <v>1648</v>
      </c>
      <c r="L149" s="26" t="s">
        <v>302</v>
      </c>
      <c r="M149" s="26" t="s">
        <v>323</v>
      </c>
      <c r="N149" s="26">
        <v>50</v>
      </c>
      <c r="O149" s="26">
        <f>2024-Inventory[[#This Row],[YrBlt]]</f>
        <v>44</v>
      </c>
      <c r="P149" s="26">
        <f>2024-Inventory[[#This Row],[EffYr]]</f>
        <v>44</v>
      </c>
      <c r="Q149" s="25">
        <v>1980</v>
      </c>
      <c r="R149" s="25">
        <v>1980</v>
      </c>
      <c r="S149" s="25">
        <v>1697</v>
      </c>
      <c r="T149" s="27"/>
      <c r="U149" s="27"/>
      <c r="V149" s="27">
        <f>Inventory[[#This Row],[Bsmt]]-Inventory[[#This Row],[FnBsmt]]</f>
        <v>0</v>
      </c>
      <c r="W149" s="27"/>
      <c r="X149" s="27"/>
      <c r="Y149" s="27">
        <f>Inventory[[#This Row],[MainFn]]+Inventory[[#This Row],[UpprFn]]+Inventory[[#This Row],[FnBsmt]]+Inventory[[#This Row],[AddFn]]</f>
        <v>1697</v>
      </c>
      <c r="Z149" s="27">
        <v>2000</v>
      </c>
      <c r="AA149" s="25">
        <v>8</v>
      </c>
      <c r="AB149" s="25">
        <v>528</v>
      </c>
      <c r="AC149" s="27"/>
      <c r="AD149" s="32">
        <v>96</v>
      </c>
      <c r="AE149" s="27"/>
      <c r="AF149" s="27"/>
      <c r="AG149" s="27"/>
      <c r="AH149" s="27"/>
      <c r="AI149" s="25">
        <v>327038</v>
      </c>
      <c r="AJ149" s="25">
        <v>255090</v>
      </c>
      <c r="AK149" s="25">
        <v>0</v>
      </c>
      <c r="AL149" s="25">
        <v>232500</v>
      </c>
      <c r="AM149" s="25">
        <v>34900</v>
      </c>
      <c r="AN149" s="25">
        <v>197600</v>
      </c>
      <c r="AO149" s="25">
        <v>0</v>
      </c>
      <c r="AP149" s="25">
        <f>Lookups!$B$56*0</f>
        <v>0</v>
      </c>
      <c r="AQ149" s="25">
        <f>Lookups!$B$56*1</f>
        <v>89850.625589999996</v>
      </c>
      <c r="AR149" s="25">
        <f>Lookups!$B$57*Inventory[[#This Row],[LnAcres]]</f>
        <v>-94828.753982263879</v>
      </c>
      <c r="AS149" s="25">
        <f>VLOOKUP(Inventory[[#This Row],[Qlty]],Lookups!$A$62:$E$75,2,FALSE)</f>
        <v>29814.093161000001</v>
      </c>
      <c r="AT149" s="25">
        <f>VLOOKUP(Inventory[[#This Row],[Cnd]],Lookups!$A$76:$E$84,2,FALSE)</f>
        <v>160472.20319</v>
      </c>
      <c r="AU149" s="25">
        <f>Inventory[[#This Row],[EffAge]]*Lookups!$B$85</f>
        <v>-9814.0064220000004</v>
      </c>
      <c r="AV149" s="25">
        <f>Inventory[[#This Row],[MainFn]]*Lookups!$B$86</f>
        <v>83846.512781269004</v>
      </c>
      <c r="AW149" s="25">
        <f>Inventory[[#This Row],[UpprFn]]*Lookups!$B$87</f>
        <v>0</v>
      </c>
      <c r="AX149" s="25">
        <f>Inventory[[#This Row],[AddFn]]*Lookups!$B$88</f>
        <v>0</v>
      </c>
      <c r="AY149" s="25">
        <f>Inventory[[#This Row],[Bsmt]]*Lookups!$B$89</f>
        <v>0</v>
      </c>
      <c r="AZ149" s="25">
        <f>Inventory[[#This Row],[Fixtures]]*Lookups!$B$90</f>
        <v>30336.176841600001</v>
      </c>
      <c r="BA149" s="25">
        <f>Inventory[[#This Row],[WdDeck]]*Lookups!$B$91</f>
        <v>3196.3694664960003</v>
      </c>
      <c r="BB149" s="25">
        <f>ROUND(Inventory[[#This Row],[25Det]],-2)</f>
        <v>0</v>
      </c>
      <c r="BC149" s="25">
        <f>ROUND(SUM(Inventory[[#This Row],[Mdl Qlty]:[Mdl WdDeck]])+Inventory[[#This Row],[Mdl Res Intercept]],-2)</f>
        <v>297900</v>
      </c>
      <c r="BD149" s="25">
        <f>ROUND(Inventory[[#This Row],[Mdl Land Intercept]]+Inventory[[#This Row],[Mdl LnAcres]],-2)</f>
        <v>-5000</v>
      </c>
      <c r="BE149" s="25">
        <f>Inventory[[#This Row],[Unadj Res Value]]+Inventory[[#This Row],[Unadj Det Value]]+Inventory[[#This Row],[Unadj Land Value]]</f>
        <v>292900</v>
      </c>
      <c r="BF149" s="36">
        <f>(Inventory[[#This Row],[Unadj Total Value]]-Inventory[[#This Row],[24Final]])/Inventory[[#This Row],[24Final]]</f>
        <v>0.25978494623655912</v>
      </c>
      <c r="BG149" s="25">
        <f>VLOOKUP(Inventory[[#This Row],[Nbhd]],Lookups!$Q$2:$T$4,4,FALSE)</f>
        <v>0.99970000000000003</v>
      </c>
      <c r="BH149" s="25">
        <f>VLOOKUP(Inventory[[#This Row],[Qlty]],Lookups!$O$7:$R$21,4,FALSE)</f>
        <v>1.0088999999999999</v>
      </c>
      <c r="BI149" s="25">
        <f>VLOOKUP(Inventory[[#This Row],[Cnd]],Lookups!$T$7:$W$16,4,FALSE)</f>
        <v>0.99729999999999996</v>
      </c>
      <c r="BJ149" s="25">
        <f>VLOOKUP(Inventory[[#This Row],[LivArea Range]],Lookups!$T$25:$W$37,4,FALSE)</f>
        <v>1.0093000000000001</v>
      </c>
      <c r="BK149" s="25">
        <f>VLOOKUP(Inventory[[#This Row],[Decade]],Lookups!$O$25:$R$42,4,FALSE)</f>
        <v>0.96919999999999995</v>
      </c>
      <c r="BL149" s="25">
        <f>Inventory[[#This Row],[Nbhd Adj]]*0.95</f>
        <v>0.94971499999999998</v>
      </c>
      <c r="BM149" s="25">
        <f>Inventory[[#This Row],[Nbhd Adj]]*Inventory[[#This Row],[Quality Adj]]*Inventory[[#This Row],[Condition Adj]]*Inventory[[#This Row],[Living Area Adj]]*Inventory[[#This Row],[Decade Adj]]*0.95</f>
        <v>0.93476171605152947</v>
      </c>
      <c r="BN149" s="25">
        <f>ROUND(SUM(Inventory[[#This Row],[Mdl Qlty]:[Mdl WdDeck]])+Inventory[[#This Row],[Mdl Res Intercept]]*Inventory[[#This Row],[Res Adj ]],-2)</f>
        <v>297900</v>
      </c>
      <c r="BO149" s="25">
        <f>ROUND(Inventory[[#This Row],[25Det]]*Inventory[[#This Row],[Det/Nbhd Adj]],-2)</f>
        <v>0</v>
      </c>
      <c r="BP149" s="25">
        <f>Inventory[[#This Row],[Adjusted Res]]+Inventory[[#This Row],[Adj Det ]]</f>
        <v>297900</v>
      </c>
      <c r="BQ149" s="25">
        <f>ROUND((Inventory[[#This Row],[Mdl Land Intercept]]+Inventory[[#This Row],[Mdl LnAcres]])*Inventory[[#This Row],[Det/Nbhd Adj]],-2)</f>
        <v>-4700</v>
      </c>
      <c r="BR149" s="25">
        <f>Inventory[[#This Row],[Adjusted Impr Total]]+Inventory[[#This Row],[Adjusted Land Total]]</f>
        <v>293200</v>
      </c>
      <c r="BS149" s="36">
        <f>IFERROR((Inventory[[#This Row],[Adjusted Impr Total]]-Inventory[[#This Row],[24Bldg]])/Inventory[[#This Row],[24Bldg]],0)</f>
        <v>0.50759109311740891</v>
      </c>
      <c r="BT149" s="36">
        <f>(Inventory[[#This Row],[Adjusted Land Total]]-Inventory[[#This Row],[24Lnd]])/Inventory[[#This Row],[24Lnd]]</f>
        <v>-1.1346704871060171</v>
      </c>
      <c r="BU149" s="36">
        <f>(Inventory[[#This Row],[Adjusted Total]]-Inventory[[#This Row],[24Final]])/Inventory[[#This Row],[24Final]]</f>
        <v>0.26107526881720428</v>
      </c>
    </row>
    <row r="150" spans="1:73" x14ac:dyDescent="0.3">
      <c r="A150" s="25">
        <v>2025</v>
      </c>
      <c r="B150" s="26" t="s">
        <v>1901</v>
      </c>
      <c r="C150" s="26">
        <f>LN(Inventory[[#This Row],[Acres]])</f>
        <v>-3.5065578973199818</v>
      </c>
      <c r="D150" s="25">
        <v>0.03</v>
      </c>
      <c r="E150" s="25">
        <v>840</v>
      </c>
      <c r="F150" s="26" t="s">
        <v>537</v>
      </c>
      <c r="G150" s="26" t="s">
        <v>28</v>
      </c>
      <c r="H150" s="26" t="s">
        <v>349</v>
      </c>
      <c r="I150" s="26" t="s">
        <v>538</v>
      </c>
      <c r="J150" s="26" t="s">
        <v>551</v>
      </c>
      <c r="K150" s="26" t="s">
        <v>381</v>
      </c>
      <c r="L150" s="26" t="s">
        <v>302</v>
      </c>
      <c r="M150" s="26" t="s">
        <v>323</v>
      </c>
      <c r="N150" s="26">
        <v>50</v>
      </c>
      <c r="O150" s="26">
        <f>2024-Inventory[[#This Row],[YrBlt]]</f>
        <v>44</v>
      </c>
      <c r="P150" s="26">
        <f>2024-Inventory[[#This Row],[EffYr]]</f>
        <v>44</v>
      </c>
      <c r="Q150" s="25">
        <v>1980</v>
      </c>
      <c r="R150" s="25">
        <v>1980</v>
      </c>
      <c r="S150" s="25">
        <v>840</v>
      </c>
      <c r="T150" s="32">
        <v>980</v>
      </c>
      <c r="U150" s="27"/>
      <c r="V150" s="27">
        <f>Inventory[[#This Row],[Bsmt]]-Inventory[[#This Row],[FnBsmt]]</f>
        <v>0</v>
      </c>
      <c r="W150" s="27"/>
      <c r="X150" s="27"/>
      <c r="Y150" s="27">
        <f>Inventory[[#This Row],[MainFn]]+Inventory[[#This Row],[UpprFn]]+Inventory[[#This Row],[FnBsmt]]+Inventory[[#This Row],[AddFn]]</f>
        <v>1820</v>
      </c>
      <c r="Z150" s="27">
        <v>2000</v>
      </c>
      <c r="AA150" s="25">
        <v>10</v>
      </c>
      <c r="AB150" s="27"/>
      <c r="AC150" s="32">
        <v>440</v>
      </c>
      <c r="AD150" s="27"/>
      <c r="AE150" s="27"/>
      <c r="AF150" s="27"/>
      <c r="AG150" s="27"/>
      <c r="AH150" s="27"/>
      <c r="AI150" s="25">
        <v>336638</v>
      </c>
      <c r="AJ150" s="25">
        <v>262578</v>
      </c>
      <c r="AK150" s="25">
        <v>0</v>
      </c>
      <c r="AL150" s="25">
        <v>238600</v>
      </c>
      <c r="AM150" s="25">
        <v>35800</v>
      </c>
      <c r="AN150" s="25">
        <v>202800</v>
      </c>
      <c r="AO150" s="25">
        <v>0</v>
      </c>
      <c r="AP150" s="25">
        <f>Lookups!$B$56*0</f>
        <v>0</v>
      </c>
      <c r="AQ150" s="25">
        <f>Lookups!$B$56*1</f>
        <v>89850.625589999996</v>
      </c>
      <c r="AR150" s="25">
        <f>Lookups!$B$57*Inventory[[#This Row],[LnAcres]]</f>
        <v>-110998.74281323297</v>
      </c>
      <c r="AS150" s="25">
        <f>VLOOKUP(Inventory[[#This Row],[Qlty]],Lookups!$A$62:$E$75,2,FALSE)</f>
        <v>29814.093161000001</v>
      </c>
      <c r="AT150" s="25">
        <f>VLOOKUP(Inventory[[#This Row],[Cnd]],Lookups!$A$76:$E$84,2,FALSE)</f>
        <v>160472.20319</v>
      </c>
      <c r="AU150" s="25">
        <f>Inventory[[#This Row],[EffAge]]*Lookups!$B$85</f>
        <v>-9814.0064220000004</v>
      </c>
      <c r="AV150" s="25">
        <f>Inventory[[#This Row],[MainFn]]*Lookups!$B$86</f>
        <v>41503.282696679998</v>
      </c>
      <c r="AW150" s="25">
        <f>Inventory[[#This Row],[UpprFn]]*Lookups!$B$87</f>
        <v>43890.694403779999</v>
      </c>
      <c r="AX150" s="25">
        <f>Inventory[[#This Row],[AddFn]]*Lookups!$B$88</f>
        <v>0</v>
      </c>
      <c r="AY150" s="25">
        <f>Inventory[[#This Row],[Bsmt]]*Lookups!$B$89</f>
        <v>0</v>
      </c>
      <c r="AZ150" s="25">
        <f>Inventory[[#This Row],[Fixtures]]*Lookups!$B$90</f>
        <v>37920.221052000001</v>
      </c>
      <c r="BA150" s="25">
        <f>Inventory[[#This Row],[WdDeck]]*Lookups!$B$91</f>
        <v>0</v>
      </c>
      <c r="BB150" s="25">
        <f>ROUND(Inventory[[#This Row],[25Det]],-2)</f>
        <v>0</v>
      </c>
      <c r="BC150" s="25">
        <f>ROUND(SUM(Inventory[[#This Row],[Mdl Qlty]:[Mdl WdDeck]])+Inventory[[#This Row],[Mdl Res Intercept]],-2)</f>
        <v>303800</v>
      </c>
      <c r="BD150" s="25">
        <f>ROUND(Inventory[[#This Row],[Mdl Land Intercept]]+Inventory[[#This Row],[Mdl LnAcres]],-2)</f>
        <v>-21100</v>
      </c>
      <c r="BE150" s="25">
        <f>Inventory[[#This Row],[Unadj Res Value]]+Inventory[[#This Row],[Unadj Det Value]]+Inventory[[#This Row],[Unadj Land Value]]</f>
        <v>282700</v>
      </c>
      <c r="BF150" s="36">
        <f>(Inventory[[#This Row],[Unadj Total Value]]-Inventory[[#This Row],[24Final]])/Inventory[[#This Row],[24Final]]</f>
        <v>0.1848281642917016</v>
      </c>
      <c r="BG150" s="25">
        <f>VLOOKUP(Inventory[[#This Row],[Nbhd]],Lookups!$Q$2:$T$4,4,FALSE)</f>
        <v>0.99970000000000003</v>
      </c>
      <c r="BH150" s="25">
        <f>VLOOKUP(Inventory[[#This Row],[Qlty]],Lookups!$O$7:$R$21,4,FALSE)</f>
        <v>1.0088999999999999</v>
      </c>
      <c r="BI150" s="25">
        <f>VLOOKUP(Inventory[[#This Row],[Cnd]],Lookups!$T$7:$W$16,4,FALSE)</f>
        <v>0.99729999999999996</v>
      </c>
      <c r="BJ150" s="25">
        <f>VLOOKUP(Inventory[[#This Row],[LivArea Range]],Lookups!$T$25:$W$37,4,FALSE)</f>
        <v>1.0093000000000001</v>
      </c>
      <c r="BK150" s="25">
        <f>VLOOKUP(Inventory[[#This Row],[Decade]],Lookups!$O$25:$R$42,4,FALSE)</f>
        <v>0.96919999999999995</v>
      </c>
      <c r="BL150" s="25">
        <f>Inventory[[#This Row],[Nbhd Adj]]*0.95</f>
        <v>0.94971499999999998</v>
      </c>
      <c r="BM150" s="25">
        <f>Inventory[[#This Row],[Nbhd Adj]]*Inventory[[#This Row],[Quality Adj]]*Inventory[[#This Row],[Condition Adj]]*Inventory[[#This Row],[Living Area Adj]]*Inventory[[#This Row],[Decade Adj]]*0.95</f>
        <v>0.93476171605152947</v>
      </c>
      <c r="BN150" s="25">
        <f>ROUND(SUM(Inventory[[#This Row],[Mdl Qlty]:[Mdl WdDeck]])+Inventory[[#This Row],[Mdl Res Intercept]]*Inventory[[#This Row],[Res Adj ]],-2)</f>
        <v>303800</v>
      </c>
      <c r="BO150" s="25">
        <f>ROUND(Inventory[[#This Row],[25Det]]*Inventory[[#This Row],[Det/Nbhd Adj]],-2)</f>
        <v>0</v>
      </c>
      <c r="BP150" s="25">
        <f>Inventory[[#This Row],[Adjusted Res]]+Inventory[[#This Row],[Adj Det ]]</f>
        <v>303800</v>
      </c>
      <c r="BQ150" s="25">
        <f>ROUND((Inventory[[#This Row],[Mdl Land Intercept]]+Inventory[[#This Row],[Mdl LnAcres]])*Inventory[[#This Row],[Det/Nbhd Adj]],-2)</f>
        <v>-20100</v>
      </c>
      <c r="BR150" s="25">
        <f>Inventory[[#This Row],[Adjusted Impr Total]]+Inventory[[#This Row],[Adjusted Land Total]]</f>
        <v>283700</v>
      </c>
      <c r="BS150" s="36">
        <f>IFERROR((Inventory[[#This Row],[Adjusted Impr Total]]-Inventory[[#This Row],[24Bldg]])/Inventory[[#This Row],[24Bldg]],0)</f>
        <v>0.49802761341222879</v>
      </c>
      <c r="BT150" s="36">
        <f>(Inventory[[#This Row],[Adjusted Land Total]]-Inventory[[#This Row],[24Lnd]])/Inventory[[#This Row],[24Lnd]]</f>
        <v>-1.5614525139664805</v>
      </c>
      <c r="BU150" s="36">
        <f>(Inventory[[#This Row],[Adjusted Total]]-Inventory[[#This Row],[24Final]])/Inventory[[#This Row],[24Final]]</f>
        <v>0.18901927912824812</v>
      </c>
    </row>
    <row r="151" spans="1:73" x14ac:dyDescent="0.3">
      <c r="A151" s="25">
        <v>2025</v>
      </c>
      <c r="B151" s="26" t="s">
        <v>1647</v>
      </c>
      <c r="C151" s="26">
        <f>LN(Inventory[[#This Row],[Acres]])</f>
        <v>-2.9957322735539909</v>
      </c>
      <c r="D151" s="25">
        <v>0.05</v>
      </c>
      <c r="E151" s="25">
        <v>2225</v>
      </c>
      <c r="F151" s="26" t="s">
        <v>537</v>
      </c>
      <c r="G151" s="26" t="s">
        <v>28</v>
      </c>
      <c r="H151" s="26" t="s">
        <v>349</v>
      </c>
      <c r="I151" s="26" t="s">
        <v>538</v>
      </c>
      <c r="J151" s="26" t="s">
        <v>551</v>
      </c>
      <c r="K151" s="26" t="s">
        <v>1648</v>
      </c>
      <c r="L151" s="26" t="s">
        <v>302</v>
      </c>
      <c r="M151" s="26" t="s">
        <v>323</v>
      </c>
      <c r="N151" s="26">
        <v>50</v>
      </c>
      <c r="O151" s="26">
        <f>2024-Inventory[[#This Row],[YrBlt]]</f>
        <v>44</v>
      </c>
      <c r="P151" s="26">
        <f>2024-Inventory[[#This Row],[EffYr]]</f>
        <v>44</v>
      </c>
      <c r="Q151" s="25">
        <v>1980</v>
      </c>
      <c r="R151" s="25">
        <v>1980</v>
      </c>
      <c r="S151" s="25">
        <v>1697</v>
      </c>
      <c r="T151" s="27"/>
      <c r="U151" s="27"/>
      <c r="V151" s="27">
        <f>Inventory[[#This Row],[Bsmt]]-Inventory[[#This Row],[FnBsmt]]</f>
        <v>0</v>
      </c>
      <c r="W151" s="27"/>
      <c r="X151" s="27"/>
      <c r="Y151" s="27">
        <f>Inventory[[#This Row],[MainFn]]+Inventory[[#This Row],[UpprFn]]+Inventory[[#This Row],[FnBsmt]]+Inventory[[#This Row],[AddFn]]</f>
        <v>1697</v>
      </c>
      <c r="Z151" s="27">
        <v>2000</v>
      </c>
      <c r="AA151" s="25">
        <v>9</v>
      </c>
      <c r="AB151" s="32">
        <v>528</v>
      </c>
      <c r="AC151" s="27"/>
      <c r="AD151" s="31"/>
      <c r="AE151" s="27"/>
      <c r="AF151" s="27"/>
      <c r="AG151" s="27"/>
      <c r="AH151" s="27"/>
      <c r="AI151" s="25">
        <v>326073</v>
      </c>
      <c r="AJ151" s="25">
        <v>254337</v>
      </c>
      <c r="AK151" s="25">
        <v>0</v>
      </c>
      <c r="AL151" s="25">
        <v>249600</v>
      </c>
      <c r="AM151" s="25">
        <v>37400</v>
      </c>
      <c r="AN151" s="25">
        <v>212200</v>
      </c>
      <c r="AO151" s="25">
        <v>0</v>
      </c>
      <c r="AP151" s="25">
        <f>Lookups!$B$56*0</f>
        <v>0</v>
      </c>
      <c r="AQ151" s="25">
        <f>Lookups!$B$56*1</f>
        <v>89850.625589999996</v>
      </c>
      <c r="AR151" s="25">
        <f>Lookups!$B$57*Inventory[[#This Row],[LnAcres]]</f>
        <v>-94828.753982263879</v>
      </c>
      <c r="AS151" s="25">
        <f>VLOOKUP(Inventory[[#This Row],[Qlty]],Lookups!$A$62:$E$75,2,FALSE)</f>
        <v>29814.093161000001</v>
      </c>
      <c r="AT151" s="25">
        <f>VLOOKUP(Inventory[[#This Row],[Cnd]],Lookups!$A$76:$E$84,2,FALSE)</f>
        <v>160472.20319</v>
      </c>
      <c r="AU151" s="25">
        <f>Inventory[[#This Row],[EffAge]]*Lookups!$B$85</f>
        <v>-9814.0064220000004</v>
      </c>
      <c r="AV151" s="25">
        <f>Inventory[[#This Row],[MainFn]]*Lookups!$B$86</f>
        <v>83846.512781269004</v>
      </c>
      <c r="AW151" s="25">
        <f>Inventory[[#This Row],[UpprFn]]*Lookups!$B$87</f>
        <v>0</v>
      </c>
      <c r="AX151" s="25">
        <f>Inventory[[#This Row],[AddFn]]*Lookups!$B$88</f>
        <v>0</v>
      </c>
      <c r="AY151" s="25">
        <f>Inventory[[#This Row],[Bsmt]]*Lookups!$B$89</f>
        <v>0</v>
      </c>
      <c r="AZ151" s="25">
        <f>Inventory[[#This Row],[Fixtures]]*Lookups!$B$90</f>
        <v>34128.198946800003</v>
      </c>
      <c r="BA151" s="25">
        <f>Inventory[[#This Row],[WdDeck]]*Lookups!$B$91</f>
        <v>0</v>
      </c>
      <c r="BB151" s="25">
        <f>ROUND(Inventory[[#This Row],[25Det]],-2)</f>
        <v>0</v>
      </c>
      <c r="BC151" s="25">
        <f>ROUND(SUM(Inventory[[#This Row],[Mdl Qlty]:[Mdl WdDeck]])+Inventory[[#This Row],[Mdl Res Intercept]],-2)</f>
        <v>298400</v>
      </c>
      <c r="BD151" s="25">
        <f>ROUND(Inventory[[#This Row],[Mdl Land Intercept]]+Inventory[[#This Row],[Mdl LnAcres]],-2)</f>
        <v>-5000</v>
      </c>
      <c r="BE151" s="25">
        <f>Inventory[[#This Row],[Unadj Res Value]]+Inventory[[#This Row],[Unadj Det Value]]+Inventory[[#This Row],[Unadj Land Value]]</f>
        <v>293400</v>
      </c>
      <c r="BF151" s="36">
        <f>(Inventory[[#This Row],[Unadj Total Value]]-Inventory[[#This Row],[24Final]])/Inventory[[#This Row],[24Final]]</f>
        <v>0.17548076923076922</v>
      </c>
      <c r="BG151" s="25">
        <f>VLOOKUP(Inventory[[#This Row],[Nbhd]],Lookups!$Q$2:$T$4,4,FALSE)</f>
        <v>0.99970000000000003</v>
      </c>
      <c r="BH151" s="25">
        <f>VLOOKUP(Inventory[[#This Row],[Qlty]],Lookups!$O$7:$R$21,4,FALSE)</f>
        <v>1.0088999999999999</v>
      </c>
      <c r="BI151" s="25">
        <f>VLOOKUP(Inventory[[#This Row],[Cnd]],Lookups!$T$7:$W$16,4,FALSE)</f>
        <v>0.99729999999999996</v>
      </c>
      <c r="BJ151" s="25">
        <f>VLOOKUP(Inventory[[#This Row],[LivArea Range]],Lookups!$T$25:$W$37,4,FALSE)</f>
        <v>1.0093000000000001</v>
      </c>
      <c r="BK151" s="25">
        <f>VLOOKUP(Inventory[[#This Row],[Decade]],Lookups!$O$25:$R$42,4,FALSE)</f>
        <v>0.96919999999999995</v>
      </c>
      <c r="BL151" s="25">
        <f>Inventory[[#This Row],[Nbhd Adj]]*0.95</f>
        <v>0.94971499999999998</v>
      </c>
      <c r="BM151" s="25">
        <f>Inventory[[#This Row],[Nbhd Adj]]*Inventory[[#This Row],[Quality Adj]]*Inventory[[#This Row],[Condition Adj]]*Inventory[[#This Row],[Living Area Adj]]*Inventory[[#This Row],[Decade Adj]]*0.95</f>
        <v>0.93476171605152947</v>
      </c>
      <c r="BN151" s="25">
        <f>ROUND(SUM(Inventory[[#This Row],[Mdl Qlty]:[Mdl WdDeck]])+Inventory[[#This Row],[Mdl Res Intercept]]*Inventory[[#This Row],[Res Adj ]],-2)</f>
        <v>298400</v>
      </c>
      <c r="BO151" s="25">
        <f>ROUND(Inventory[[#This Row],[25Det]]*Inventory[[#This Row],[Det/Nbhd Adj]],-2)</f>
        <v>0</v>
      </c>
      <c r="BP151" s="25">
        <f>Inventory[[#This Row],[Adjusted Res]]+Inventory[[#This Row],[Adj Det ]]</f>
        <v>298400</v>
      </c>
      <c r="BQ151" s="25">
        <f>ROUND((Inventory[[#This Row],[Mdl Land Intercept]]+Inventory[[#This Row],[Mdl LnAcres]])*Inventory[[#This Row],[Det/Nbhd Adj]],-2)</f>
        <v>-4700</v>
      </c>
      <c r="BR151" s="25">
        <f>Inventory[[#This Row],[Adjusted Impr Total]]+Inventory[[#This Row],[Adjusted Land Total]]</f>
        <v>293700</v>
      </c>
      <c r="BS151" s="36">
        <f>IFERROR((Inventory[[#This Row],[Adjusted Impr Total]]-Inventory[[#This Row],[24Bldg]])/Inventory[[#This Row],[24Bldg]],0)</f>
        <v>0.4062205466540999</v>
      </c>
      <c r="BT151" s="36">
        <f>(Inventory[[#This Row],[Adjusted Land Total]]-Inventory[[#This Row],[24Lnd]])/Inventory[[#This Row],[24Lnd]]</f>
        <v>-1.125668449197861</v>
      </c>
      <c r="BU151" s="36">
        <f>(Inventory[[#This Row],[Adjusted Total]]-Inventory[[#This Row],[24Final]])/Inventory[[#This Row],[24Final]]</f>
        <v>0.17668269230769232</v>
      </c>
    </row>
    <row r="152" spans="1:73" x14ac:dyDescent="0.3">
      <c r="A152" s="25">
        <v>2025</v>
      </c>
      <c r="B152" s="26" t="s">
        <v>1641</v>
      </c>
      <c r="C152" s="26">
        <f>LN(Inventory[[#This Row],[Acres]])</f>
        <v>-3.2188758248682006</v>
      </c>
      <c r="D152" s="25">
        <v>0.04</v>
      </c>
      <c r="E152" s="25">
        <v>1348</v>
      </c>
      <c r="F152" s="26" t="s">
        <v>537</v>
      </c>
      <c r="G152" s="26" t="s">
        <v>28</v>
      </c>
      <c r="H152" s="26" t="s">
        <v>349</v>
      </c>
      <c r="I152" s="26" t="s">
        <v>538</v>
      </c>
      <c r="J152" s="26" t="s">
        <v>551</v>
      </c>
      <c r="K152" s="26" t="s">
        <v>381</v>
      </c>
      <c r="L152" s="26" t="s">
        <v>351</v>
      </c>
      <c r="M152" s="26" t="s">
        <v>303</v>
      </c>
      <c r="N152" s="26">
        <v>50</v>
      </c>
      <c r="O152" s="26">
        <f>2024-Inventory[[#This Row],[YrBlt]]</f>
        <v>44</v>
      </c>
      <c r="P152" s="26">
        <f>2024-Inventory[[#This Row],[EffYr]]</f>
        <v>44</v>
      </c>
      <c r="Q152" s="25">
        <v>1980</v>
      </c>
      <c r="R152" s="25">
        <v>1980</v>
      </c>
      <c r="S152" s="25">
        <v>1348</v>
      </c>
      <c r="T152" s="27"/>
      <c r="U152" s="27"/>
      <c r="V152" s="27">
        <f>Inventory[[#This Row],[Bsmt]]-Inventory[[#This Row],[FnBsmt]]</f>
        <v>0</v>
      </c>
      <c r="W152" s="27"/>
      <c r="X152" s="27"/>
      <c r="Y152" s="27">
        <f>Inventory[[#This Row],[MainFn]]+Inventory[[#This Row],[UpprFn]]+Inventory[[#This Row],[FnBsmt]]+Inventory[[#This Row],[AddFn]]</f>
        <v>1348</v>
      </c>
      <c r="Z152" s="27">
        <v>1500</v>
      </c>
      <c r="AA152" s="25">
        <v>10</v>
      </c>
      <c r="AB152" s="27"/>
      <c r="AC152" s="27"/>
      <c r="AD152" s="32">
        <v>70</v>
      </c>
      <c r="AE152" s="27"/>
      <c r="AF152" s="27"/>
      <c r="AG152" s="27"/>
      <c r="AH152" s="27"/>
      <c r="AI152" s="25">
        <v>228046</v>
      </c>
      <c r="AJ152" s="25">
        <v>180156</v>
      </c>
      <c r="AK152" s="25">
        <v>14562</v>
      </c>
      <c r="AL152" s="25">
        <v>274100</v>
      </c>
      <c r="AM152" s="25">
        <v>41100</v>
      </c>
      <c r="AN152" s="25">
        <v>233000</v>
      </c>
      <c r="AO152" s="25">
        <v>0</v>
      </c>
      <c r="AP152" s="25">
        <f>Lookups!$B$56*0</f>
        <v>0</v>
      </c>
      <c r="AQ152" s="25">
        <f>Lookups!$B$56*1</f>
        <v>89850.625589999996</v>
      </c>
      <c r="AR152" s="25">
        <f>Lookups!$B$57*Inventory[[#This Row],[LnAcres]]</f>
        <v>-101892.2773541973</v>
      </c>
      <c r="AS152" s="25">
        <f>VLOOKUP(Inventory[[#This Row],[Qlty]],Lookups!$A$62:$E$75,2,FALSE)</f>
        <v>21557.329055999999</v>
      </c>
      <c r="AT152" s="25">
        <f>VLOOKUP(Inventory[[#This Row],[Cnd]],Lookups!$A$76:$E$84,2,FALSE)</f>
        <v>197752.34721000001</v>
      </c>
      <c r="AU152" s="25">
        <f>Inventory[[#This Row],[EffAge]]*Lookups!$B$85</f>
        <v>-9814.0064220000004</v>
      </c>
      <c r="AV152" s="25">
        <f>Inventory[[#This Row],[MainFn]]*Lookups!$B$86</f>
        <v>66602.886994196</v>
      </c>
      <c r="AW152" s="25">
        <f>Inventory[[#This Row],[UpprFn]]*Lookups!$B$87</f>
        <v>0</v>
      </c>
      <c r="AX152" s="25">
        <f>Inventory[[#This Row],[AddFn]]*Lookups!$B$88</f>
        <v>0</v>
      </c>
      <c r="AY152" s="25">
        <f>Inventory[[#This Row],[Bsmt]]*Lookups!$B$89</f>
        <v>0</v>
      </c>
      <c r="AZ152" s="25">
        <f>Inventory[[#This Row],[Fixtures]]*Lookups!$B$90</f>
        <v>37920.221052000001</v>
      </c>
      <c r="BA152" s="25">
        <f>Inventory[[#This Row],[WdDeck]]*Lookups!$B$91</f>
        <v>2330.6860693200001</v>
      </c>
      <c r="BB152" s="25">
        <f>ROUND(Inventory[[#This Row],[25Det]],-2)</f>
        <v>14600</v>
      </c>
      <c r="BC152" s="25">
        <f>ROUND(SUM(Inventory[[#This Row],[Mdl Qlty]:[Mdl WdDeck]])+Inventory[[#This Row],[Mdl Res Intercept]],-2)</f>
        <v>316300</v>
      </c>
      <c r="BD152" s="25">
        <f>ROUND(Inventory[[#This Row],[Mdl Land Intercept]]+Inventory[[#This Row],[Mdl LnAcres]],-2)</f>
        <v>-12000</v>
      </c>
      <c r="BE152" s="25">
        <f>Inventory[[#This Row],[Unadj Res Value]]+Inventory[[#This Row],[Unadj Det Value]]+Inventory[[#This Row],[Unadj Land Value]]</f>
        <v>318900</v>
      </c>
      <c r="BF152" s="36">
        <f>(Inventory[[#This Row],[Unadj Total Value]]-Inventory[[#This Row],[24Final]])/Inventory[[#This Row],[24Final]]</f>
        <v>0.16344399854067859</v>
      </c>
      <c r="BG152" s="25">
        <f>VLOOKUP(Inventory[[#This Row],[Nbhd]],Lookups!$Q$2:$T$4,4,FALSE)</f>
        <v>0.99970000000000003</v>
      </c>
      <c r="BH152" s="25">
        <f>VLOOKUP(Inventory[[#This Row],[Qlty]],Lookups!$O$7:$R$21,4,FALSE)</f>
        <v>1.0067999999999999</v>
      </c>
      <c r="BI152" s="25">
        <f>VLOOKUP(Inventory[[#This Row],[Cnd]],Lookups!$T$7:$W$16,4,FALSE)</f>
        <v>0.99650000000000005</v>
      </c>
      <c r="BJ152" s="25">
        <f>VLOOKUP(Inventory[[#This Row],[LivArea Range]],Lookups!$T$25:$W$37,4,FALSE)</f>
        <v>1.0157</v>
      </c>
      <c r="BK152" s="25">
        <f>VLOOKUP(Inventory[[#This Row],[Decade]],Lookups!$O$25:$R$42,4,FALSE)</f>
        <v>0.96919999999999995</v>
      </c>
      <c r="BL152" s="25">
        <f>Inventory[[#This Row],[Nbhd Adj]]*0.95</f>
        <v>0.94971499999999998</v>
      </c>
      <c r="BM152" s="25">
        <f>Inventory[[#This Row],[Nbhd Adj]]*Inventory[[#This Row],[Quality Adj]]*Inventory[[#This Row],[Condition Adj]]*Inventory[[#This Row],[Living Area Adj]]*Inventory[[#This Row],[Decade Adj]]*0.95</f>
        <v>0.93797802803192643</v>
      </c>
      <c r="BN152" s="25">
        <f>ROUND(SUM(Inventory[[#This Row],[Mdl Qlty]:[Mdl WdDeck]])+Inventory[[#This Row],[Mdl Res Intercept]]*Inventory[[#This Row],[Res Adj ]],-2)</f>
        <v>316300</v>
      </c>
      <c r="BO152" s="25">
        <f>ROUND(Inventory[[#This Row],[25Det]]*Inventory[[#This Row],[Det/Nbhd Adj]],-2)</f>
        <v>13800</v>
      </c>
      <c r="BP152" s="25">
        <f>Inventory[[#This Row],[Adjusted Res]]+Inventory[[#This Row],[Adj Det ]]</f>
        <v>330100</v>
      </c>
      <c r="BQ152" s="25">
        <f>ROUND((Inventory[[#This Row],[Mdl Land Intercept]]+Inventory[[#This Row],[Mdl LnAcres]])*Inventory[[#This Row],[Det/Nbhd Adj]],-2)</f>
        <v>-11400</v>
      </c>
      <c r="BR152" s="25">
        <f>Inventory[[#This Row],[Adjusted Impr Total]]+Inventory[[#This Row],[Adjusted Land Total]]</f>
        <v>318700</v>
      </c>
      <c r="BS152" s="36">
        <f>IFERROR((Inventory[[#This Row],[Adjusted Impr Total]]-Inventory[[#This Row],[24Bldg]])/Inventory[[#This Row],[24Bldg]],0)</f>
        <v>0.41673819742489271</v>
      </c>
      <c r="BT152" s="36">
        <f>(Inventory[[#This Row],[Adjusted Land Total]]-Inventory[[#This Row],[24Lnd]])/Inventory[[#This Row],[24Lnd]]</f>
        <v>-1.2773722627737227</v>
      </c>
      <c r="BU152" s="36">
        <f>(Inventory[[#This Row],[Adjusted Total]]-Inventory[[#This Row],[24Final]])/Inventory[[#This Row],[24Final]]</f>
        <v>0.1627143378329077</v>
      </c>
    </row>
    <row r="153" spans="1:73" x14ac:dyDescent="0.3">
      <c r="A153" s="25">
        <v>2025</v>
      </c>
      <c r="B153" s="26" t="s">
        <v>1646</v>
      </c>
      <c r="C153" s="26">
        <f>LN(Inventory[[#This Row],[Acres]])</f>
        <v>-3.2188758248682006</v>
      </c>
      <c r="D153" s="25">
        <v>0.04</v>
      </c>
      <c r="E153" s="25">
        <v>1348</v>
      </c>
      <c r="F153" s="26" t="s">
        <v>537</v>
      </c>
      <c r="G153" s="26" t="s">
        <v>28</v>
      </c>
      <c r="H153" s="26" t="s">
        <v>349</v>
      </c>
      <c r="I153" s="26" t="s">
        <v>538</v>
      </c>
      <c r="J153" s="26" t="s">
        <v>551</v>
      </c>
      <c r="K153" s="26" t="s">
        <v>381</v>
      </c>
      <c r="L153" s="26" t="s">
        <v>351</v>
      </c>
      <c r="M153" s="26" t="s">
        <v>303</v>
      </c>
      <c r="N153" s="26">
        <v>50</v>
      </c>
      <c r="O153" s="26">
        <f>2024-Inventory[[#This Row],[YrBlt]]</f>
        <v>44</v>
      </c>
      <c r="P153" s="26">
        <f>2024-Inventory[[#This Row],[EffYr]]</f>
        <v>44</v>
      </c>
      <c r="Q153" s="25">
        <v>1980</v>
      </c>
      <c r="R153" s="25">
        <v>1980</v>
      </c>
      <c r="S153" s="25">
        <v>1348</v>
      </c>
      <c r="T153" s="27"/>
      <c r="U153" s="27"/>
      <c r="V153" s="27">
        <f>Inventory[[#This Row],[Bsmt]]-Inventory[[#This Row],[FnBsmt]]</f>
        <v>0</v>
      </c>
      <c r="W153" s="27"/>
      <c r="X153" s="27"/>
      <c r="Y153" s="27">
        <f>Inventory[[#This Row],[MainFn]]+Inventory[[#This Row],[UpprFn]]+Inventory[[#This Row],[FnBsmt]]+Inventory[[#This Row],[AddFn]]</f>
        <v>1348</v>
      </c>
      <c r="Z153" s="27">
        <v>1500</v>
      </c>
      <c r="AA153" s="25">
        <v>8</v>
      </c>
      <c r="AB153" s="27"/>
      <c r="AC153" s="27"/>
      <c r="AD153" s="27"/>
      <c r="AE153" s="27"/>
      <c r="AF153" s="27"/>
      <c r="AG153" s="27"/>
      <c r="AH153" s="27"/>
      <c r="AI153" s="25">
        <v>217585</v>
      </c>
      <c r="AJ153" s="25">
        <v>171892</v>
      </c>
      <c r="AK153" s="25">
        <v>14077</v>
      </c>
      <c r="AL153" s="25">
        <v>270600</v>
      </c>
      <c r="AM153" s="25">
        <v>40600</v>
      </c>
      <c r="AN153" s="25">
        <v>230000</v>
      </c>
      <c r="AO153" s="25">
        <v>0</v>
      </c>
      <c r="AP153" s="25">
        <f>Lookups!$B$56*0</f>
        <v>0</v>
      </c>
      <c r="AQ153" s="25">
        <f>Lookups!$B$56*1</f>
        <v>89850.625589999996</v>
      </c>
      <c r="AR153" s="25">
        <f>Lookups!$B$57*Inventory[[#This Row],[LnAcres]]</f>
        <v>-101892.2773541973</v>
      </c>
      <c r="AS153" s="25">
        <f>VLOOKUP(Inventory[[#This Row],[Qlty]],Lookups!$A$62:$E$75,2,FALSE)</f>
        <v>21557.329055999999</v>
      </c>
      <c r="AT153" s="25">
        <f>VLOOKUP(Inventory[[#This Row],[Cnd]],Lookups!$A$76:$E$84,2,FALSE)</f>
        <v>197752.34721000001</v>
      </c>
      <c r="AU153" s="25">
        <f>Inventory[[#This Row],[EffAge]]*Lookups!$B$85</f>
        <v>-9814.0064220000004</v>
      </c>
      <c r="AV153" s="25">
        <f>Inventory[[#This Row],[MainFn]]*Lookups!$B$86</f>
        <v>66602.886994196</v>
      </c>
      <c r="AW153" s="25">
        <f>Inventory[[#This Row],[UpprFn]]*Lookups!$B$87</f>
        <v>0</v>
      </c>
      <c r="AX153" s="25">
        <f>Inventory[[#This Row],[AddFn]]*Lookups!$B$88</f>
        <v>0</v>
      </c>
      <c r="AY153" s="25">
        <f>Inventory[[#This Row],[Bsmt]]*Lookups!$B$89</f>
        <v>0</v>
      </c>
      <c r="AZ153" s="25">
        <f>Inventory[[#This Row],[Fixtures]]*Lookups!$B$90</f>
        <v>30336.176841600001</v>
      </c>
      <c r="BA153" s="25">
        <f>Inventory[[#This Row],[WdDeck]]*Lookups!$B$91</f>
        <v>0</v>
      </c>
      <c r="BB153" s="25">
        <f>ROUND(Inventory[[#This Row],[25Det]],-2)</f>
        <v>14100</v>
      </c>
      <c r="BC153" s="25">
        <f>ROUND(SUM(Inventory[[#This Row],[Mdl Qlty]:[Mdl WdDeck]])+Inventory[[#This Row],[Mdl Res Intercept]],-2)</f>
        <v>306400</v>
      </c>
      <c r="BD153" s="25">
        <f>ROUND(Inventory[[#This Row],[Mdl Land Intercept]]+Inventory[[#This Row],[Mdl LnAcres]],-2)</f>
        <v>-12000</v>
      </c>
      <c r="BE153" s="25">
        <f>Inventory[[#This Row],[Unadj Res Value]]+Inventory[[#This Row],[Unadj Det Value]]+Inventory[[#This Row],[Unadj Land Value]]</f>
        <v>308500</v>
      </c>
      <c r="BF153" s="36">
        <f>(Inventory[[#This Row],[Unadj Total Value]]-Inventory[[#This Row],[24Final]])/Inventory[[#This Row],[24Final]]</f>
        <v>0.1400591278640059</v>
      </c>
      <c r="BG153" s="25">
        <f>VLOOKUP(Inventory[[#This Row],[Nbhd]],Lookups!$Q$2:$T$4,4,FALSE)</f>
        <v>0.99970000000000003</v>
      </c>
      <c r="BH153" s="25">
        <f>VLOOKUP(Inventory[[#This Row],[Qlty]],Lookups!$O$7:$R$21,4,FALSE)</f>
        <v>1.0067999999999999</v>
      </c>
      <c r="BI153" s="25">
        <f>VLOOKUP(Inventory[[#This Row],[Cnd]],Lookups!$T$7:$W$16,4,FALSE)</f>
        <v>0.99650000000000005</v>
      </c>
      <c r="BJ153" s="25">
        <f>VLOOKUP(Inventory[[#This Row],[LivArea Range]],Lookups!$T$25:$W$37,4,FALSE)</f>
        <v>1.0157</v>
      </c>
      <c r="BK153" s="25">
        <f>VLOOKUP(Inventory[[#This Row],[Decade]],Lookups!$O$25:$R$42,4,FALSE)</f>
        <v>0.96919999999999995</v>
      </c>
      <c r="BL153" s="25">
        <f>Inventory[[#This Row],[Nbhd Adj]]*0.95</f>
        <v>0.94971499999999998</v>
      </c>
      <c r="BM153" s="25">
        <f>Inventory[[#This Row],[Nbhd Adj]]*Inventory[[#This Row],[Quality Adj]]*Inventory[[#This Row],[Condition Adj]]*Inventory[[#This Row],[Living Area Adj]]*Inventory[[#This Row],[Decade Adj]]*0.95</f>
        <v>0.93797802803192643</v>
      </c>
      <c r="BN153" s="25">
        <f>ROUND(SUM(Inventory[[#This Row],[Mdl Qlty]:[Mdl WdDeck]])+Inventory[[#This Row],[Mdl Res Intercept]]*Inventory[[#This Row],[Res Adj ]],-2)</f>
        <v>306400</v>
      </c>
      <c r="BO153" s="25">
        <f>ROUND(Inventory[[#This Row],[25Det]]*Inventory[[#This Row],[Det/Nbhd Adj]],-2)</f>
        <v>13400</v>
      </c>
      <c r="BP153" s="25">
        <f>Inventory[[#This Row],[Adjusted Res]]+Inventory[[#This Row],[Adj Det ]]</f>
        <v>319800</v>
      </c>
      <c r="BQ153" s="25">
        <f>ROUND((Inventory[[#This Row],[Mdl Land Intercept]]+Inventory[[#This Row],[Mdl LnAcres]])*Inventory[[#This Row],[Det/Nbhd Adj]],-2)</f>
        <v>-11400</v>
      </c>
      <c r="BR153" s="25">
        <f>Inventory[[#This Row],[Adjusted Impr Total]]+Inventory[[#This Row],[Adjusted Land Total]]</f>
        <v>308400</v>
      </c>
      <c r="BS153" s="36">
        <f>IFERROR((Inventory[[#This Row],[Adjusted Impr Total]]-Inventory[[#This Row],[24Bldg]])/Inventory[[#This Row],[24Bldg]],0)</f>
        <v>0.39043478260869563</v>
      </c>
      <c r="BT153" s="36">
        <f>(Inventory[[#This Row],[Adjusted Land Total]]-Inventory[[#This Row],[24Lnd]])/Inventory[[#This Row],[24Lnd]]</f>
        <v>-1.2807881773399015</v>
      </c>
      <c r="BU153" s="36">
        <f>(Inventory[[#This Row],[Adjusted Total]]-Inventory[[#This Row],[24Final]])/Inventory[[#This Row],[24Final]]</f>
        <v>0.13968957871396895</v>
      </c>
    </row>
    <row r="154" spans="1:73" x14ac:dyDescent="0.3">
      <c r="A154" s="25">
        <v>2025</v>
      </c>
      <c r="B154" s="26" t="s">
        <v>1902</v>
      </c>
      <c r="C154" s="26">
        <f>LN(Inventory[[#This Row],[Acres]])</f>
        <v>-3.5065578973199818</v>
      </c>
      <c r="D154" s="25">
        <v>0.03</v>
      </c>
      <c r="E154" s="25">
        <v>840</v>
      </c>
      <c r="F154" s="26" t="s">
        <v>537</v>
      </c>
      <c r="G154" s="26" t="s">
        <v>28</v>
      </c>
      <c r="H154" s="26" t="s">
        <v>349</v>
      </c>
      <c r="I154" s="26" t="s">
        <v>538</v>
      </c>
      <c r="J154" s="26" t="s">
        <v>551</v>
      </c>
      <c r="K154" s="26" t="s">
        <v>381</v>
      </c>
      <c r="L154" s="26" t="s">
        <v>302</v>
      </c>
      <c r="M154" s="26" t="s">
        <v>323</v>
      </c>
      <c r="N154" s="26">
        <v>50</v>
      </c>
      <c r="O154" s="26">
        <f>2024-Inventory[[#This Row],[YrBlt]]</f>
        <v>44</v>
      </c>
      <c r="P154" s="26">
        <f>2024-Inventory[[#This Row],[EffYr]]</f>
        <v>44</v>
      </c>
      <c r="Q154" s="25">
        <v>1980</v>
      </c>
      <c r="R154" s="25">
        <v>1980</v>
      </c>
      <c r="S154" s="25">
        <v>840</v>
      </c>
      <c r="T154" s="32">
        <v>980</v>
      </c>
      <c r="U154" s="31"/>
      <c r="V154" s="31">
        <f>Inventory[[#This Row],[Bsmt]]-Inventory[[#This Row],[FnBsmt]]</f>
        <v>0</v>
      </c>
      <c r="W154" s="31"/>
      <c r="X154" s="27"/>
      <c r="Y154" s="27">
        <f>Inventory[[#This Row],[MainFn]]+Inventory[[#This Row],[UpprFn]]+Inventory[[#This Row],[FnBsmt]]+Inventory[[#This Row],[AddFn]]</f>
        <v>1820</v>
      </c>
      <c r="Z154" s="27">
        <v>2000</v>
      </c>
      <c r="AA154" s="25">
        <v>12</v>
      </c>
      <c r="AB154" s="31"/>
      <c r="AC154" s="32">
        <v>440</v>
      </c>
      <c r="AD154" s="31"/>
      <c r="AE154" s="27"/>
      <c r="AF154" s="27"/>
      <c r="AG154" s="27"/>
      <c r="AH154" s="27"/>
      <c r="AI154" s="25">
        <v>340025</v>
      </c>
      <c r="AJ154" s="25">
        <v>265220</v>
      </c>
      <c r="AK154" s="25">
        <v>0</v>
      </c>
      <c r="AL154" s="25">
        <v>259500</v>
      </c>
      <c r="AM154" s="25">
        <v>38900</v>
      </c>
      <c r="AN154" s="25">
        <v>220600</v>
      </c>
      <c r="AO154" s="25">
        <v>0</v>
      </c>
      <c r="AP154" s="25">
        <f>Lookups!$B$56*0</f>
        <v>0</v>
      </c>
      <c r="AQ154" s="25">
        <f>Lookups!$B$56*1</f>
        <v>89850.625589999996</v>
      </c>
      <c r="AR154" s="25">
        <f>Lookups!$B$57*Inventory[[#This Row],[LnAcres]]</f>
        <v>-110998.74281323297</v>
      </c>
      <c r="AS154" s="25">
        <f>VLOOKUP(Inventory[[#This Row],[Qlty]],Lookups!$A$62:$E$75,2,FALSE)</f>
        <v>29814.093161000001</v>
      </c>
      <c r="AT154" s="25">
        <f>VLOOKUP(Inventory[[#This Row],[Cnd]],Lookups!$A$76:$E$84,2,FALSE)</f>
        <v>160472.20319</v>
      </c>
      <c r="AU154" s="25">
        <f>Inventory[[#This Row],[EffAge]]*Lookups!$B$85</f>
        <v>-9814.0064220000004</v>
      </c>
      <c r="AV154" s="25">
        <f>Inventory[[#This Row],[MainFn]]*Lookups!$B$86</f>
        <v>41503.282696679998</v>
      </c>
      <c r="AW154" s="25">
        <f>Inventory[[#This Row],[UpprFn]]*Lookups!$B$87</f>
        <v>43890.694403779999</v>
      </c>
      <c r="AX154" s="25">
        <f>Inventory[[#This Row],[AddFn]]*Lookups!$B$88</f>
        <v>0</v>
      </c>
      <c r="AY154" s="25">
        <f>Inventory[[#This Row],[Bsmt]]*Lookups!$B$89</f>
        <v>0</v>
      </c>
      <c r="AZ154" s="25">
        <f>Inventory[[#This Row],[Fixtures]]*Lookups!$B$90</f>
        <v>45504.265262400004</v>
      </c>
      <c r="BA154" s="25">
        <f>Inventory[[#This Row],[WdDeck]]*Lookups!$B$91</f>
        <v>0</v>
      </c>
      <c r="BB154" s="25">
        <f>ROUND(Inventory[[#This Row],[25Det]],-2)</f>
        <v>0</v>
      </c>
      <c r="BC154" s="25">
        <f>ROUND(SUM(Inventory[[#This Row],[Mdl Qlty]:[Mdl WdDeck]])+Inventory[[#This Row],[Mdl Res Intercept]],-2)</f>
        <v>311400</v>
      </c>
      <c r="BD154" s="25">
        <f>ROUND(Inventory[[#This Row],[Mdl Land Intercept]]+Inventory[[#This Row],[Mdl LnAcres]],-2)</f>
        <v>-21100</v>
      </c>
      <c r="BE154" s="25">
        <f>Inventory[[#This Row],[Unadj Res Value]]+Inventory[[#This Row],[Unadj Det Value]]+Inventory[[#This Row],[Unadj Land Value]]</f>
        <v>290300</v>
      </c>
      <c r="BF154" s="36">
        <f>(Inventory[[#This Row],[Unadj Total Value]]-Inventory[[#This Row],[24Final]])/Inventory[[#This Row],[24Final]]</f>
        <v>0.1186897880539499</v>
      </c>
      <c r="BG154" s="25">
        <f>VLOOKUP(Inventory[[#This Row],[Nbhd]],Lookups!$Q$2:$T$4,4,FALSE)</f>
        <v>0.99970000000000003</v>
      </c>
      <c r="BH154" s="25">
        <f>VLOOKUP(Inventory[[#This Row],[Qlty]],Lookups!$O$7:$R$21,4,FALSE)</f>
        <v>1.0088999999999999</v>
      </c>
      <c r="BI154" s="25">
        <f>VLOOKUP(Inventory[[#This Row],[Cnd]],Lookups!$T$7:$W$16,4,FALSE)</f>
        <v>0.99729999999999996</v>
      </c>
      <c r="BJ154" s="25">
        <f>VLOOKUP(Inventory[[#This Row],[LivArea Range]],Lookups!$T$25:$W$37,4,FALSE)</f>
        <v>1.0093000000000001</v>
      </c>
      <c r="BK154" s="25">
        <f>VLOOKUP(Inventory[[#This Row],[Decade]],Lookups!$O$25:$R$42,4,FALSE)</f>
        <v>0.96919999999999995</v>
      </c>
      <c r="BL154" s="25">
        <f>Inventory[[#This Row],[Nbhd Adj]]*0.95</f>
        <v>0.94971499999999998</v>
      </c>
      <c r="BM154" s="25">
        <f>Inventory[[#This Row],[Nbhd Adj]]*Inventory[[#This Row],[Quality Adj]]*Inventory[[#This Row],[Condition Adj]]*Inventory[[#This Row],[Living Area Adj]]*Inventory[[#This Row],[Decade Adj]]*0.95</f>
        <v>0.93476171605152947</v>
      </c>
      <c r="BN154" s="25">
        <f>ROUND(SUM(Inventory[[#This Row],[Mdl Qlty]:[Mdl WdDeck]])+Inventory[[#This Row],[Mdl Res Intercept]]*Inventory[[#This Row],[Res Adj ]],-2)</f>
        <v>311400</v>
      </c>
      <c r="BO154" s="25">
        <f>ROUND(Inventory[[#This Row],[25Det]]*Inventory[[#This Row],[Det/Nbhd Adj]],-2)</f>
        <v>0</v>
      </c>
      <c r="BP154" s="25">
        <f>Inventory[[#This Row],[Adjusted Res]]+Inventory[[#This Row],[Adj Det ]]</f>
        <v>311400</v>
      </c>
      <c r="BQ154" s="25">
        <f>ROUND((Inventory[[#This Row],[Mdl Land Intercept]]+Inventory[[#This Row],[Mdl LnAcres]])*Inventory[[#This Row],[Det/Nbhd Adj]],-2)</f>
        <v>-20100</v>
      </c>
      <c r="BR154" s="25">
        <f>Inventory[[#This Row],[Adjusted Impr Total]]+Inventory[[#This Row],[Adjusted Land Total]]</f>
        <v>291300</v>
      </c>
      <c r="BS154" s="36">
        <f>IFERROR((Inventory[[#This Row],[Adjusted Impr Total]]-Inventory[[#This Row],[24Bldg]])/Inventory[[#This Row],[24Bldg]],0)</f>
        <v>0.41160471441523117</v>
      </c>
      <c r="BT154" s="36">
        <f>(Inventory[[#This Row],[Adjusted Land Total]]-Inventory[[#This Row],[24Lnd]])/Inventory[[#This Row],[24Lnd]]</f>
        <v>-1.5167095115681235</v>
      </c>
      <c r="BU154" s="36">
        <f>(Inventory[[#This Row],[Adjusted Total]]-Inventory[[#This Row],[24Final]])/Inventory[[#This Row],[24Final]]</f>
        <v>0.12254335260115606</v>
      </c>
    </row>
    <row r="155" spans="1:73" x14ac:dyDescent="0.3">
      <c r="A155" s="25">
        <v>2025</v>
      </c>
      <c r="B155" s="26" t="s">
        <v>1904</v>
      </c>
      <c r="C155" s="26">
        <f>LN(Inventory[[#This Row],[Acres]])</f>
        <v>-3.5065578973199818</v>
      </c>
      <c r="D155" s="25">
        <v>0.03</v>
      </c>
      <c r="E155" s="25">
        <v>840</v>
      </c>
      <c r="F155" s="26" t="s">
        <v>537</v>
      </c>
      <c r="G155" s="26" t="s">
        <v>28</v>
      </c>
      <c r="H155" s="26" t="s">
        <v>349</v>
      </c>
      <c r="I155" s="26" t="s">
        <v>538</v>
      </c>
      <c r="J155" s="26" t="s">
        <v>551</v>
      </c>
      <c r="K155" s="26" t="s">
        <v>381</v>
      </c>
      <c r="L155" s="26" t="s">
        <v>302</v>
      </c>
      <c r="M155" s="26" t="s">
        <v>323</v>
      </c>
      <c r="N155" s="26">
        <v>50</v>
      </c>
      <c r="O155" s="26">
        <f>2024-Inventory[[#This Row],[YrBlt]]</f>
        <v>44</v>
      </c>
      <c r="P155" s="26">
        <f>2024-Inventory[[#This Row],[EffYr]]</f>
        <v>44</v>
      </c>
      <c r="Q155" s="25">
        <v>1980</v>
      </c>
      <c r="R155" s="25">
        <v>1980</v>
      </c>
      <c r="S155" s="25">
        <v>840</v>
      </c>
      <c r="T155" s="32">
        <v>980</v>
      </c>
      <c r="U155" s="31"/>
      <c r="V155" s="31">
        <f>Inventory[[#This Row],[Bsmt]]-Inventory[[#This Row],[FnBsmt]]</f>
        <v>0</v>
      </c>
      <c r="W155" s="31"/>
      <c r="X155" s="27"/>
      <c r="Y155" s="27">
        <f>Inventory[[#This Row],[MainFn]]+Inventory[[#This Row],[UpprFn]]+Inventory[[#This Row],[FnBsmt]]+Inventory[[#This Row],[AddFn]]</f>
        <v>1820</v>
      </c>
      <c r="Z155" s="27">
        <v>2000</v>
      </c>
      <c r="AA155" s="25">
        <v>10</v>
      </c>
      <c r="AB155" s="27"/>
      <c r="AC155" s="32">
        <v>440</v>
      </c>
      <c r="AD155" s="31"/>
      <c r="AE155" s="27"/>
      <c r="AF155" s="27"/>
      <c r="AG155" s="27"/>
      <c r="AH155" s="27"/>
      <c r="AI155" s="25">
        <v>331377</v>
      </c>
      <c r="AJ155" s="25">
        <v>258474</v>
      </c>
      <c r="AK155" s="25">
        <v>0</v>
      </c>
      <c r="AL155" s="25">
        <v>253000</v>
      </c>
      <c r="AM155" s="25">
        <v>38000</v>
      </c>
      <c r="AN155" s="25">
        <v>215000</v>
      </c>
      <c r="AO155" s="25">
        <v>0</v>
      </c>
      <c r="AP155" s="25">
        <f>Lookups!$B$56*0</f>
        <v>0</v>
      </c>
      <c r="AQ155" s="25">
        <f>Lookups!$B$56*1</f>
        <v>89850.625589999996</v>
      </c>
      <c r="AR155" s="25">
        <f>Lookups!$B$57*Inventory[[#This Row],[LnAcres]]</f>
        <v>-110998.74281323297</v>
      </c>
      <c r="AS155" s="25">
        <f>VLOOKUP(Inventory[[#This Row],[Qlty]],Lookups!$A$62:$E$75,2,FALSE)</f>
        <v>29814.093161000001</v>
      </c>
      <c r="AT155" s="25">
        <f>VLOOKUP(Inventory[[#This Row],[Cnd]],Lookups!$A$76:$E$84,2,FALSE)</f>
        <v>160472.20319</v>
      </c>
      <c r="AU155" s="25">
        <f>Inventory[[#This Row],[EffAge]]*Lookups!$B$85</f>
        <v>-9814.0064220000004</v>
      </c>
      <c r="AV155" s="25">
        <f>Inventory[[#This Row],[MainFn]]*Lookups!$B$86</f>
        <v>41503.282696679998</v>
      </c>
      <c r="AW155" s="25">
        <f>Inventory[[#This Row],[UpprFn]]*Lookups!$B$87</f>
        <v>43890.694403779999</v>
      </c>
      <c r="AX155" s="25">
        <f>Inventory[[#This Row],[AddFn]]*Lookups!$B$88</f>
        <v>0</v>
      </c>
      <c r="AY155" s="25">
        <f>Inventory[[#This Row],[Bsmt]]*Lookups!$B$89</f>
        <v>0</v>
      </c>
      <c r="AZ155" s="25">
        <f>Inventory[[#This Row],[Fixtures]]*Lookups!$B$90</f>
        <v>37920.221052000001</v>
      </c>
      <c r="BA155" s="25">
        <f>Inventory[[#This Row],[WdDeck]]*Lookups!$B$91</f>
        <v>0</v>
      </c>
      <c r="BB155" s="25">
        <f>ROUND(Inventory[[#This Row],[25Det]],-2)</f>
        <v>0</v>
      </c>
      <c r="BC155" s="25">
        <f>ROUND(SUM(Inventory[[#This Row],[Mdl Qlty]:[Mdl WdDeck]])+Inventory[[#This Row],[Mdl Res Intercept]],-2)</f>
        <v>303800</v>
      </c>
      <c r="BD155" s="25">
        <f>ROUND(Inventory[[#This Row],[Mdl Land Intercept]]+Inventory[[#This Row],[Mdl LnAcres]],-2)</f>
        <v>-21100</v>
      </c>
      <c r="BE155" s="25">
        <f>Inventory[[#This Row],[Unadj Res Value]]+Inventory[[#This Row],[Unadj Det Value]]+Inventory[[#This Row],[Unadj Land Value]]</f>
        <v>282700</v>
      </c>
      <c r="BF155" s="36">
        <f>(Inventory[[#This Row],[Unadj Total Value]]-Inventory[[#This Row],[24Final]])/Inventory[[#This Row],[24Final]]</f>
        <v>0.11739130434782609</v>
      </c>
      <c r="BG155" s="25">
        <f>VLOOKUP(Inventory[[#This Row],[Nbhd]],Lookups!$Q$2:$T$4,4,FALSE)</f>
        <v>0.99970000000000003</v>
      </c>
      <c r="BH155" s="25">
        <f>VLOOKUP(Inventory[[#This Row],[Qlty]],Lookups!$O$7:$R$21,4,FALSE)</f>
        <v>1.0088999999999999</v>
      </c>
      <c r="BI155" s="25">
        <f>VLOOKUP(Inventory[[#This Row],[Cnd]],Lookups!$T$7:$W$16,4,FALSE)</f>
        <v>0.99729999999999996</v>
      </c>
      <c r="BJ155" s="25">
        <f>VLOOKUP(Inventory[[#This Row],[LivArea Range]],Lookups!$T$25:$W$37,4,FALSE)</f>
        <v>1.0093000000000001</v>
      </c>
      <c r="BK155" s="25">
        <f>VLOOKUP(Inventory[[#This Row],[Decade]],Lookups!$O$25:$R$42,4,FALSE)</f>
        <v>0.96919999999999995</v>
      </c>
      <c r="BL155" s="25">
        <f>Inventory[[#This Row],[Nbhd Adj]]*0.95</f>
        <v>0.94971499999999998</v>
      </c>
      <c r="BM155" s="25">
        <f>Inventory[[#This Row],[Nbhd Adj]]*Inventory[[#This Row],[Quality Adj]]*Inventory[[#This Row],[Condition Adj]]*Inventory[[#This Row],[Living Area Adj]]*Inventory[[#This Row],[Decade Adj]]*0.95</f>
        <v>0.93476171605152947</v>
      </c>
      <c r="BN155" s="25">
        <f>ROUND(SUM(Inventory[[#This Row],[Mdl Qlty]:[Mdl WdDeck]])+Inventory[[#This Row],[Mdl Res Intercept]]*Inventory[[#This Row],[Res Adj ]],-2)</f>
        <v>303800</v>
      </c>
      <c r="BO155" s="25">
        <f>ROUND(Inventory[[#This Row],[25Det]]*Inventory[[#This Row],[Det/Nbhd Adj]],-2)</f>
        <v>0</v>
      </c>
      <c r="BP155" s="25">
        <f>Inventory[[#This Row],[Adjusted Res]]+Inventory[[#This Row],[Adj Det ]]</f>
        <v>303800</v>
      </c>
      <c r="BQ155" s="25">
        <f>ROUND((Inventory[[#This Row],[Mdl Land Intercept]]+Inventory[[#This Row],[Mdl LnAcres]])*Inventory[[#This Row],[Det/Nbhd Adj]],-2)</f>
        <v>-20100</v>
      </c>
      <c r="BR155" s="25">
        <f>Inventory[[#This Row],[Adjusted Impr Total]]+Inventory[[#This Row],[Adjusted Land Total]]</f>
        <v>283700</v>
      </c>
      <c r="BS155" s="36">
        <f>IFERROR((Inventory[[#This Row],[Adjusted Impr Total]]-Inventory[[#This Row],[24Bldg]])/Inventory[[#This Row],[24Bldg]],0)</f>
        <v>0.41302325581395349</v>
      </c>
      <c r="BT155" s="36">
        <f>(Inventory[[#This Row],[Adjusted Land Total]]-Inventory[[#This Row],[24Lnd]])/Inventory[[#This Row],[24Lnd]]</f>
        <v>-1.5289473684210526</v>
      </c>
      <c r="BU155" s="36">
        <f>(Inventory[[#This Row],[Adjusted Total]]-Inventory[[#This Row],[24Final]])/Inventory[[#This Row],[24Final]]</f>
        <v>0.12134387351778655</v>
      </c>
    </row>
    <row r="156" spans="1:73" x14ac:dyDescent="0.3">
      <c r="A156" s="25">
        <v>2025</v>
      </c>
      <c r="B156" s="26" t="s">
        <v>1903</v>
      </c>
      <c r="C156" s="26">
        <f>LN(Inventory[[#This Row],[Acres]])</f>
        <v>-3.5065578973199818</v>
      </c>
      <c r="D156" s="25">
        <v>0.03</v>
      </c>
      <c r="E156" s="25">
        <v>840</v>
      </c>
      <c r="F156" s="26" t="s">
        <v>537</v>
      </c>
      <c r="G156" s="26" t="s">
        <v>28</v>
      </c>
      <c r="H156" s="26" t="s">
        <v>349</v>
      </c>
      <c r="I156" s="26" t="s">
        <v>538</v>
      </c>
      <c r="J156" s="26" t="s">
        <v>551</v>
      </c>
      <c r="K156" s="26" t="s">
        <v>381</v>
      </c>
      <c r="L156" s="26" t="s">
        <v>302</v>
      </c>
      <c r="M156" s="26" t="s">
        <v>323</v>
      </c>
      <c r="N156" s="26">
        <v>50</v>
      </c>
      <c r="O156" s="26">
        <f>2024-Inventory[[#This Row],[YrBlt]]</f>
        <v>44</v>
      </c>
      <c r="P156" s="26">
        <f>2024-Inventory[[#This Row],[EffYr]]</f>
        <v>44</v>
      </c>
      <c r="Q156" s="25">
        <v>1980</v>
      </c>
      <c r="R156" s="25">
        <v>1980</v>
      </c>
      <c r="S156" s="25">
        <v>840</v>
      </c>
      <c r="T156" s="32">
        <v>980</v>
      </c>
      <c r="U156" s="31"/>
      <c r="V156" s="31">
        <f>Inventory[[#This Row],[Bsmt]]-Inventory[[#This Row],[FnBsmt]]</f>
        <v>0</v>
      </c>
      <c r="W156" s="31"/>
      <c r="X156" s="27"/>
      <c r="Y156" s="27">
        <f>Inventory[[#This Row],[MainFn]]+Inventory[[#This Row],[UpprFn]]+Inventory[[#This Row],[FnBsmt]]+Inventory[[#This Row],[AddFn]]</f>
        <v>1820</v>
      </c>
      <c r="Z156" s="27">
        <v>2000</v>
      </c>
      <c r="AA156" s="25">
        <v>10</v>
      </c>
      <c r="AB156" s="31"/>
      <c r="AC156" s="32">
        <v>440</v>
      </c>
      <c r="AD156" s="27"/>
      <c r="AE156" s="27"/>
      <c r="AF156" s="27"/>
      <c r="AG156" s="27"/>
      <c r="AH156" s="27"/>
      <c r="AI156" s="25">
        <v>332797</v>
      </c>
      <c r="AJ156" s="25">
        <v>259582</v>
      </c>
      <c r="AK156" s="25">
        <v>0</v>
      </c>
      <c r="AL156" s="25">
        <v>254000</v>
      </c>
      <c r="AM156" s="25">
        <v>38100</v>
      </c>
      <c r="AN156" s="25">
        <v>215900</v>
      </c>
      <c r="AO156" s="25">
        <v>0</v>
      </c>
      <c r="AP156" s="25">
        <f>Lookups!$B$56*0</f>
        <v>0</v>
      </c>
      <c r="AQ156" s="25">
        <f>Lookups!$B$56*1</f>
        <v>89850.625589999996</v>
      </c>
      <c r="AR156" s="25">
        <f>Lookups!$B$57*Inventory[[#This Row],[LnAcres]]</f>
        <v>-110998.74281323297</v>
      </c>
      <c r="AS156" s="25">
        <f>VLOOKUP(Inventory[[#This Row],[Qlty]],Lookups!$A$62:$E$75,2,FALSE)</f>
        <v>29814.093161000001</v>
      </c>
      <c r="AT156" s="25">
        <f>VLOOKUP(Inventory[[#This Row],[Cnd]],Lookups!$A$76:$E$84,2,FALSE)</f>
        <v>160472.20319</v>
      </c>
      <c r="AU156" s="25">
        <f>Inventory[[#This Row],[EffAge]]*Lookups!$B$85</f>
        <v>-9814.0064220000004</v>
      </c>
      <c r="AV156" s="25">
        <f>Inventory[[#This Row],[MainFn]]*Lookups!$B$86</f>
        <v>41503.282696679998</v>
      </c>
      <c r="AW156" s="25">
        <f>Inventory[[#This Row],[UpprFn]]*Lookups!$B$87</f>
        <v>43890.694403779999</v>
      </c>
      <c r="AX156" s="25">
        <f>Inventory[[#This Row],[AddFn]]*Lookups!$B$88</f>
        <v>0</v>
      </c>
      <c r="AY156" s="25">
        <f>Inventory[[#This Row],[Bsmt]]*Lookups!$B$89</f>
        <v>0</v>
      </c>
      <c r="AZ156" s="25">
        <f>Inventory[[#This Row],[Fixtures]]*Lookups!$B$90</f>
        <v>37920.221052000001</v>
      </c>
      <c r="BA156" s="25">
        <f>Inventory[[#This Row],[WdDeck]]*Lookups!$B$91</f>
        <v>0</v>
      </c>
      <c r="BB156" s="25">
        <f>ROUND(Inventory[[#This Row],[25Det]],-2)</f>
        <v>0</v>
      </c>
      <c r="BC156" s="25">
        <f>ROUND(SUM(Inventory[[#This Row],[Mdl Qlty]:[Mdl WdDeck]])+Inventory[[#This Row],[Mdl Res Intercept]],-2)</f>
        <v>303800</v>
      </c>
      <c r="BD156" s="25">
        <f>ROUND(Inventory[[#This Row],[Mdl Land Intercept]]+Inventory[[#This Row],[Mdl LnAcres]],-2)</f>
        <v>-21100</v>
      </c>
      <c r="BE156" s="25">
        <f>Inventory[[#This Row],[Unadj Res Value]]+Inventory[[#This Row],[Unadj Det Value]]+Inventory[[#This Row],[Unadj Land Value]]</f>
        <v>282700</v>
      </c>
      <c r="BF156" s="36">
        <f>(Inventory[[#This Row],[Unadj Total Value]]-Inventory[[#This Row],[24Final]])/Inventory[[#This Row],[24Final]]</f>
        <v>0.11299212598425197</v>
      </c>
      <c r="BG156" s="25">
        <f>VLOOKUP(Inventory[[#This Row],[Nbhd]],Lookups!$Q$2:$T$4,4,FALSE)</f>
        <v>0.99970000000000003</v>
      </c>
      <c r="BH156" s="25">
        <f>VLOOKUP(Inventory[[#This Row],[Qlty]],Lookups!$O$7:$R$21,4,FALSE)</f>
        <v>1.0088999999999999</v>
      </c>
      <c r="BI156" s="25">
        <f>VLOOKUP(Inventory[[#This Row],[Cnd]],Lookups!$T$7:$W$16,4,FALSE)</f>
        <v>0.99729999999999996</v>
      </c>
      <c r="BJ156" s="25">
        <f>VLOOKUP(Inventory[[#This Row],[LivArea Range]],Lookups!$T$25:$W$37,4,FALSE)</f>
        <v>1.0093000000000001</v>
      </c>
      <c r="BK156" s="25">
        <f>VLOOKUP(Inventory[[#This Row],[Decade]],Lookups!$O$25:$R$42,4,FALSE)</f>
        <v>0.96919999999999995</v>
      </c>
      <c r="BL156" s="25">
        <f>Inventory[[#This Row],[Nbhd Adj]]*0.95</f>
        <v>0.94971499999999998</v>
      </c>
      <c r="BM156" s="25">
        <f>Inventory[[#This Row],[Nbhd Adj]]*Inventory[[#This Row],[Quality Adj]]*Inventory[[#This Row],[Condition Adj]]*Inventory[[#This Row],[Living Area Adj]]*Inventory[[#This Row],[Decade Adj]]*0.95</f>
        <v>0.93476171605152947</v>
      </c>
      <c r="BN156" s="25">
        <f>ROUND(SUM(Inventory[[#This Row],[Mdl Qlty]:[Mdl WdDeck]])+Inventory[[#This Row],[Mdl Res Intercept]]*Inventory[[#This Row],[Res Adj ]],-2)</f>
        <v>303800</v>
      </c>
      <c r="BO156" s="25">
        <f>ROUND(Inventory[[#This Row],[25Det]]*Inventory[[#This Row],[Det/Nbhd Adj]],-2)</f>
        <v>0</v>
      </c>
      <c r="BP156" s="25">
        <f>Inventory[[#This Row],[Adjusted Res]]+Inventory[[#This Row],[Adj Det ]]</f>
        <v>303800</v>
      </c>
      <c r="BQ156" s="25">
        <f>ROUND((Inventory[[#This Row],[Mdl Land Intercept]]+Inventory[[#This Row],[Mdl LnAcres]])*Inventory[[#This Row],[Det/Nbhd Adj]],-2)</f>
        <v>-20100</v>
      </c>
      <c r="BR156" s="25">
        <f>Inventory[[#This Row],[Adjusted Impr Total]]+Inventory[[#This Row],[Adjusted Land Total]]</f>
        <v>283700</v>
      </c>
      <c r="BS156" s="36">
        <f>IFERROR((Inventory[[#This Row],[Adjusted Impr Total]]-Inventory[[#This Row],[24Bldg]])/Inventory[[#This Row],[24Bldg]],0)</f>
        <v>0.40713293191292266</v>
      </c>
      <c r="BT156" s="36">
        <f>(Inventory[[#This Row],[Adjusted Land Total]]-Inventory[[#This Row],[24Lnd]])/Inventory[[#This Row],[24Lnd]]</f>
        <v>-1.5275590551181102</v>
      </c>
      <c r="BU156" s="36">
        <f>(Inventory[[#This Row],[Adjusted Total]]-Inventory[[#This Row],[24Final]])/Inventory[[#This Row],[24Final]]</f>
        <v>0.11692913385826771</v>
      </c>
    </row>
    <row r="157" spans="1:73" x14ac:dyDescent="0.3">
      <c r="A157" s="25">
        <v>2025</v>
      </c>
      <c r="B157" s="26" t="s">
        <v>1638</v>
      </c>
      <c r="C157" s="26">
        <f>LN(Inventory[[#This Row],[Acres]])</f>
        <v>-3.2188758248682006</v>
      </c>
      <c r="D157" s="25">
        <v>0.04</v>
      </c>
      <c r="E157" s="25">
        <v>1348</v>
      </c>
      <c r="F157" s="26" t="s">
        <v>537</v>
      </c>
      <c r="G157" s="26" t="s">
        <v>28</v>
      </c>
      <c r="H157" s="26" t="s">
        <v>349</v>
      </c>
      <c r="I157" s="26" t="s">
        <v>538</v>
      </c>
      <c r="J157" s="26" t="s">
        <v>551</v>
      </c>
      <c r="K157" s="26" t="s">
        <v>381</v>
      </c>
      <c r="L157" s="26" t="s">
        <v>351</v>
      </c>
      <c r="M157" s="26" t="s">
        <v>323</v>
      </c>
      <c r="N157" s="26">
        <v>50</v>
      </c>
      <c r="O157" s="26">
        <f>2024-Inventory[[#This Row],[YrBlt]]</f>
        <v>44</v>
      </c>
      <c r="P157" s="26">
        <f>2024-Inventory[[#This Row],[EffYr]]</f>
        <v>44</v>
      </c>
      <c r="Q157" s="25">
        <v>1980</v>
      </c>
      <c r="R157" s="25">
        <v>1980</v>
      </c>
      <c r="S157" s="25">
        <v>1348</v>
      </c>
      <c r="T157" s="27"/>
      <c r="U157" s="31"/>
      <c r="V157" s="31">
        <f>Inventory[[#This Row],[Bsmt]]-Inventory[[#This Row],[FnBsmt]]</f>
        <v>0</v>
      </c>
      <c r="W157" s="31"/>
      <c r="X157" s="27"/>
      <c r="Y157" s="27">
        <f>Inventory[[#This Row],[MainFn]]+Inventory[[#This Row],[UpprFn]]+Inventory[[#This Row],[FnBsmt]]+Inventory[[#This Row],[AddFn]]</f>
        <v>1348</v>
      </c>
      <c r="Z157" s="27">
        <v>1500</v>
      </c>
      <c r="AA157" s="25">
        <v>8</v>
      </c>
      <c r="AB157" s="27"/>
      <c r="AC157" s="27"/>
      <c r="AD157" s="27"/>
      <c r="AE157" s="27"/>
      <c r="AF157" s="27"/>
      <c r="AG157" s="27"/>
      <c r="AH157" s="27"/>
      <c r="AI157" s="25">
        <v>222128</v>
      </c>
      <c r="AJ157" s="25">
        <v>173260</v>
      </c>
      <c r="AK157" s="25">
        <v>14562</v>
      </c>
      <c r="AL157" s="25">
        <v>249200</v>
      </c>
      <c r="AM157" s="25">
        <v>37400</v>
      </c>
      <c r="AN157" s="25">
        <v>211800</v>
      </c>
      <c r="AO157" s="25">
        <v>0</v>
      </c>
      <c r="AP157" s="25">
        <f>Lookups!$B$56*0</f>
        <v>0</v>
      </c>
      <c r="AQ157" s="25">
        <f>Lookups!$B$56*1</f>
        <v>89850.625589999996</v>
      </c>
      <c r="AR157" s="25">
        <f>Lookups!$B$57*Inventory[[#This Row],[LnAcres]]</f>
        <v>-101892.2773541973</v>
      </c>
      <c r="AS157" s="25">
        <f>VLOOKUP(Inventory[[#This Row],[Qlty]],Lookups!$A$62:$E$75,2,FALSE)</f>
        <v>21557.329055999999</v>
      </c>
      <c r="AT157" s="25">
        <f>VLOOKUP(Inventory[[#This Row],[Cnd]],Lookups!$A$76:$E$84,2,FALSE)</f>
        <v>160472.20319</v>
      </c>
      <c r="AU157" s="25">
        <f>Inventory[[#This Row],[EffAge]]*Lookups!$B$85</f>
        <v>-9814.0064220000004</v>
      </c>
      <c r="AV157" s="25">
        <f>Inventory[[#This Row],[MainFn]]*Lookups!$B$86</f>
        <v>66602.886994196</v>
      </c>
      <c r="AW157" s="25">
        <f>Inventory[[#This Row],[UpprFn]]*Lookups!$B$87</f>
        <v>0</v>
      </c>
      <c r="AX157" s="25">
        <f>Inventory[[#This Row],[AddFn]]*Lookups!$B$88</f>
        <v>0</v>
      </c>
      <c r="AY157" s="25">
        <f>Inventory[[#This Row],[Bsmt]]*Lookups!$B$89</f>
        <v>0</v>
      </c>
      <c r="AZ157" s="25">
        <f>Inventory[[#This Row],[Fixtures]]*Lookups!$B$90</f>
        <v>30336.176841600001</v>
      </c>
      <c r="BA157" s="25">
        <f>Inventory[[#This Row],[WdDeck]]*Lookups!$B$91</f>
        <v>0</v>
      </c>
      <c r="BB157" s="25">
        <f>ROUND(Inventory[[#This Row],[25Det]],-2)</f>
        <v>14600</v>
      </c>
      <c r="BC157" s="25">
        <f>ROUND(SUM(Inventory[[#This Row],[Mdl Qlty]:[Mdl WdDeck]])+Inventory[[#This Row],[Mdl Res Intercept]],-2)</f>
        <v>269200</v>
      </c>
      <c r="BD157" s="25">
        <f>ROUND(Inventory[[#This Row],[Mdl Land Intercept]]+Inventory[[#This Row],[Mdl LnAcres]],-2)</f>
        <v>-12000</v>
      </c>
      <c r="BE157" s="25">
        <f>Inventory[[#This Row],[Unadj Res Value]]+Inventory[[#This Row],[Unadj Det Value]]+Inventory[[#This Row],[Unadj Land Value]]</f>
        <v>271800</v>
      </c>
      <c r="BF157" s="36">
        <f>(Inventory[[#This Row],[Unadj Total Value]]-Inventory[[#This Row],[24Final]])/Inventory[[#This Row],[24Final]]</f>
        <v>9.0690208667736763E-2</v>
      </c>
      <c r="BG157" s="25">
        <f>VLOOKUP(Inventory[[#This Row],[Nbhd]],Lookups!$Q$2:$T$4,4,FALSE)</f>
        <v>0.99970000000000003</v>
      </c>
      <c r="BH157" s="25">
        <f>VLOOKUP(Inventory[[#This Row],[Qlty]],Lookups!$O$7:$R$21,4,FALSE)</f>
        <v>1.0067999999999999</v>
      </c>
      <c r="BI157" s="25">
        <f>VLOOKUP(Inventory[[#This Row],[Cnd]],Lookups!$T$7:$W$16,4,FALSE)</f>
        <v>0.99729999999999996</v>
      </c>
      <c r="BJ157" s="25">
        <f>VLOOKUP(Inventory[[#This Row],[LivArea Range]],Lookups!$T$25:$W$37,4,FALSE)</f>
        <v>1.0157</v>
      </c>
      <c r="BK157" s="25">
        <f>VLOOKUP(Inventory[[#This Row],[Decade]],Lookups!$O$25:$R$42,4,FALSE)</f>
        <v>0.96919999999999995</v>
      </c>
      <c r="BL157" s="25">
        <f>Inventory[[#This Row],[Nbhd Adj]]*0.95</f>
        <v>0.94971499999999998</v>
      </c>
      <c r="BM157" s="25">
        <f>Inventory[[#This Row],[Nbhd Adj]]*Inventory[[#This Row],[Quality Adj]]*Inventory[[#This Row],[Condition Adj]]*Inventory[[#This Row],[Living Area Adj]]*Inventory[[#This Row],[Decade Adj]]*0.95</f>
        <v>0.93873104601730073</v>
      </c>
      <c r="BN157" s="25">
        <f>ROUND(SUM(Inventory[[#This Row],[Mdl Qlty]:[Mdl WdDeck]])+Inventory[[#This Row],[Mdl Res Intercept]]*Inventory[[#This Row],[Res Adj ]],-2)</f>
        <v>269200</v>
      </c>
      <c r="BO157" s="25">
        <f>ROUND(Inventory[[#This Row],[25Det]]*Inventory[[#This Row],[Det/Nbhd Adj]],-2)</f>
        <v>13800</v>
      </c>
      <c r="BP157" s="25">
        <f>Inventory[[#This Row],[Adjusted Res]]+Inventory[[#This Row],[Adj Det ]]</f>
        <v>283000</v>
      </c>
      <c r="BQ157" s="25">
        <f>ROUND((Inventory[[#This Row],[Mdl Land Intercept]]+Inventory[[#This Row],[Mdl LnAcres]])*Inventory[[#This Row],[Det/Nbhd Adj]],-2)</f>
        <v>-11400</v>
      </c>
      <c r="BR157" s="25">
        <f>Inventory[[#This Row],[Adjusted Impr Total]]+Inventory[[#This Row],[Adjusted Land Total]]</f>
        <v>271600</v>
      </c>
      <c r="BS157" s="36">
        <f>IFERROR((Inventory[[#This Row],[Adjusted Impr Total]]-Inventory[[#This Row],[24Bldg]])/Inventory[[#This Row],[24Bldg]],0)</f>
        <v>0.33616619452313501</v>
      </c>
      <c r="BT157" s="36">
        <f>(Inventory[[#This Row],[Adjusted Land Total]]-Inventory[[#This Row],[24Lnd]])/Inventory[[#This Row],[24Lnd]]</f>
        <v>-1.304812834224599</v>
      </c>
      <c r="BU157" s="36">
        <f>(Inventory[[#This Row],[Adjusted Total]]-Inventory[[#This Row],[24Final]])/Inventory[[#This Row],[24Final]]</f>
        <v>8.98876404494382E-2</v>
      </c>
    </row>
    <row r="158" spans="1:73" x14ac:dyDescent="0.3">
      <c r="A158" s="25">
        <v>2025</v>
      </c>
      <c r="B158" s="26" t="s">
        <v>1896</v>
      </c>
      <c r="C158" s="26">
        <f>LN(Inventory[[#This Row],[Acres]])</f>
        <v>-2.9957322735539909</v>
      </c>
      <c r="D158" s="25">
        <v>0.05</v>
      </c>
      <c r="E158" s="25">
        <v>1474</v>
      </c>
      <c r="F158" s="26" t="s">
        <v>537</v>
      </c>
      <c r="G158" s="26" t="s">
        <v>28</v>
      </c>
      <c r="H158" s="26" t="s">
        <v>349</v>
      </c>
      <c r="I158" s="26" t="s">
        <v>538</v>
      </c>
      <c r="J158" s="26" t="s">
        <v>551</v>
      </c>
      <c r="K158" s="26" t="s">
        <v>381</v>
      </c>
      <c r="L158" s="26" t="s">
        <v>351</v>
      </c>
      <c r="M158" s="26" t="s">
        <v>323</v>
      </c>
      <c r="N158" s="26">
        <v>50</v>
      </c>
      <c r="O158" s="26">
        <f>2024-Inventory[[#This Row],[YrBlt]]</f>
        <v>44</v>
      </c>
      <c r="P158" s="26">
        <f>2024-Inventory[[#This Row],[EffYr]]</f>
        <v>44</v>
      </c>
      <c r="Q158" s="25">
        <v>1980</v>
      </c>
      <c r="R158" s="25">
        <v>1980</v>
      </c>
      <c r="S158" s="25">
        <v>1454</v>
      </c>
      <c r="T158" s="27"/>
      <c r="U158" s="31"/>
      <c r="V158" s="31">
        <f>Inventory[[#This Row],[Bsmt]]-Inventory[[#This Row],[FnBsmt]]</f>
        <v>0</v>
      </c>
      <c r="W158" s="31"/>
      <c r="X158" s="27"/>
      <c r="Y158" s="27">
        <f>Inventory[[#This Row],[MainFn]]+Inventory[[#This Row],[UpprFn]]+Inventory[[#This Row],[FnBsmt]]+Inventory[[#This Row],[AddFn]]</f>
        <v>1454</v>
      </c>
      <c r="Z158" s="27">
        <v>1500</v>
      </c>
      <c r="AA158" s="25">
        <v>8</v>
      </c>
      <c r="AB158" s="31"/>
      <c r="AC158" s="27"/>
      <c r="AD158" s="31"/>
      <c r="AE158" s="27"/>
      <c r="AF158" s="27"/>
      <c r="AG158" s="27"/>
      <c r="AH158" s="27"/>
      <c r="AI158" s="25">
        <v>232454</v>
      </c>
      <c r="AJ158" s="25">
        <v>181314</v>
      </c>
      <c r="AK158" s="25">
        <v>15989</v>
      </c>
      <c r="AL158" s="25">
        <v>261500</v>
      </c>
      <c r="AM158" s="25">
        <v>39200</v>
      </c>
      <c r="AN158" s="25">
        <v>222300</v>
      </c>
      <c r="AO158" s="25">
        <v>0</v>
      </c>
      <c r="AP158" s="25">
        <f>Lookups!$B$56*0</f>
        <v>0</v>
      </c>
      <c r="AQ158" s="25">
        <f>Lookups!$B$56*1</f>
        <v>89850.625589999996</v>
      </c>
      <c r="AR158" s="25">
        <f>Lookups!$B$57*Inventory[[#This Row],[LnAcres]]</f>
        <v>-94828.753982263879</v>
      </c>
      <c r="AS158" s="25">
        <f>VLOOKUP(Inventory[[#This Row],[Qlty]],Lookups!$A$62:$E$75,2,FALSE)</f>
        <v>21557.329055999999</v>
      </c>
      <c r="AT158" s="25">
        <f>VLOOKUP(Inventory[[#This Row],[Cnd]],Lookups!$A$76:$E$84,2,FALSE)</f>
        <v>160472.20319</v>
      </c>
      <c r="AU158" s="25">
        <f>Inventory[[#This Row],[EffAge]]*Lookups!$B$85</f>
        <v>-9814.0064220000004</v>
      </c>
      <c r="AV158" s="25">
        <f>Inventory[[#This Row],[MainFn]]*Lookups!$B$86</f>
        <v>71840.206001158003</v>
      </c>
      <c r="AW158" s="25">
        <f>Inventory[[#This Row],[UpprFn]]*Lookups!$B$87</f>
        <v>0</v>
      </c>
      <c r="AX158" s="25">
        <f>Inventory[[#This Row],[AddFn]]*Lookups!$B$88</f>
        <v>0</v>
      </c>
      <c r="AY158" s="25">
        <f>Inventory[[#This Row],[Bsmt]]*Lookups!$B$89</f>
        <v>0</v>
      </c>
      <c r="AZ158" s="25">
        <f>Inventory[[#This Row],[Fixtures]]*Lookups!$B$90</f>
        <v>30336.176841600001</v>
      </c>
      <c r="BA158" s="25">
        <f>Inventory[[#This Row],[WdDeck]]*Lookups!$B$91</f>
        <v>0</v>
      </c>
      <c r="BB158" s="25">
        <f>ROUND(Inventory[[#This Row],[25Det]],-2)</f>
        <v>16000</v>
      </c>
      <c r="BC158" s="25">
        <f>ROUND(SUM(Inventory[[#This Row],[Mdl Qlty]:[Mdl WdDeck]])+Inventory[[#This Row],[Mdl Res Intercept]],-2)</f>
        <v>274400</v>
      </c>
      <c r="BD158" s="25">
        <f>ROUND(Inventory[[#This Row],[Mdl Land Intercept]]+Inventory[[#This Row],[Mdl LnAcres]],-2)</f>
        <v>-5000</v>
      </c>
      <c r="BE158" s="25">
        <f>Inventory[[#This Row],[Unadj Res Value]]+Inventory[[#This Row],[Unadj Det Value]]+Inventory[[#This Row],[Unadj Land Value]]</f>
        <v>285400</v>
      </c>
      <c r="BF158" s="36">
        <f>(Inventory[[#This Row],[Unadj Total Value]]-Inventory[[#This Row],[24Final]])/Inventory[[#This Row],[24Final]]</f>
        <v>9.1395793499043976E-2</v>
      </c>
      <c r="BG158" s="25">
        <f>VLOOKUP(Inventory[[#This Row],[Nbhd]],Lookups!$Q$2:$T$4,4,FALSE)</f>
        <v>0.99970000000000003</v>
      </c>
      <c r="BH158" s="25">
        <f>VLOOKUP(Inventory[[#This Row],[Qlty]],Lookups!$O$7:$R$21,4,FALSE)</f>
        <v>1.0067999999999999</v>
      </c>
      <c r="BI158" s="25">
        <f>VLOOKUP(Inventory[[#This Row],[Cnd]],Lookups!$T$7:$W$16,4,FALSE)</f>
        <v>0.99729999999999996</v>
      </c>
      <c r="BJ158" s="25">
        <f>VLOOKUP(Inventory[[#This Row],[LivArea Range]],Lookups!$T$25:$W$37,4,FALSE)</f>
        <v>1.0157</v>
      </c>
      <c r="BK158" s="25">
        <f>VLOOKUP(Inventory[[#This Row],[Decade]],Lookups!$O$25:$R$42,4,FALSE)</f>
        <v>0.96919999999999995</v>
      </c>
      <c r="BL158" s="25">
        <f>Inventory[[#This Row],[Nbhd Adj]]*0.95</f>
        <v>0.94971499999999998</v>
      </c>
      <c r="BM158" s="25">
        <f>Inventory[[#This Row],[Nbhd Adj]]*Inventory[[#This Row],[Quality Adj]]*Inventory[[#This Row],[Condition Adj]]*Inventory[[#This Row],[Living Area Adj]]*Inventory[[#This Row],[Decade Adj]]*0.95</f>
        <v>0.93873104601730073</v>
      </c>
      <c r="BN158" s="25">
        <f>ROUND(SUM(Inventory[[#This Row],[Mdl Qlty]:[Mdl WdDeck]])+Inventory[[#This Row],[Mdl Res Intercept]]*Inventory[[#This Row],[Res Adj ]],-2)</f>
        <v>274400</v>
      </c>
      <c r="BO158" s="25">
        <f>ROUND(Inventory[[#This Row],[25Det]]*Inventory[[#This Row],[Det/Nbhd Adj]],-2)</f>
        <v>15200</v>
      </c>
      <c r="BP158" s="25">
        <f>Inventory[[#This Row],[Adjusted Res]]+Inventory[[#This Row],[Adj Det ]]</f>
        <v>289600</v>
      </c>
      <c r="BQ158" s="25">
        <f>ROUND((Inventory[[#This Row],[Mdl Land Intercept]]+Inventory[[#This Row],[Mdl LnAcres]])*Inventory[[#This Row],[Det/Nbhd Adj]],-2)</f>
        <v>-4700</v>
      </c>
      <c r="BR158" s="25">
        <f>Inventory[[#This Row],[Adjusted Impr Total]]+Inventory[[#This Row],[Adjusted Land Total]]</f>
        <v>284900</v>
      </c>
      <c r="BS158" s="36">
        <f>IFERROR((Inventory[[#This Row],[Adjusted Impr Total]]-Inventory[[#This Row],[24Bldg]])/Inventory[[#This Row],[24Bldg]],0)</f>
        <v>0.30274403958614488</v>
      </c>
      <c r="BT158" s="36">
        <f>(Inventory[[#This Row],[Adjusted Land Total]]-Inventory[[#This Row],[24Lnd]])/Inventory[[#This Row],[24Lnd]]</f>
        <v>-1.1198979591836735</v>
      </c>
      <c r="BU158" s="36">
        <f>(Inventory[[#This Row],[Adjusted Total]]-Inventory[[#This Row],[24Final]])/Inventory[[#This Row],[24Final]]</f>
        <v>8.948374760994264E-2</v>
      </c>
    </row>
    <row r="159" spans="1:73" x14ac:dyDescent="0.3">
      <c r="A159" s="25">
        <v>2025</v>
      </c>
      <c r="B159" s="26" t="s">
        <v>662</v>
      </c>
      <c r="C159" s="26">
        <f>LN(Inventory[[#This Row],[Acres]])</f>
        <v>-1.8325814637483102</v>
      </c>
      <c r="D159" s="25">
        <v>0.16</v>
      </c>
      <c r="E159" s="25">
        <v>7035</v>
      </c>
      <c r="F159" s="26" t="s">
        <v>537</v>
      </c>
      <c r="G159" s="26" t="s">
        <v>126</v>
      </c>
      <c r="H159" s="26" t="s">
        <v>349</v>
      </c>
      <c r="I159" s="26" t="s">
        <v>538</v>
      </c>
      <c r="J159" s="26" t="s">
        <v>586</v>
      </c>
      <c r="K159" s="26" t="s">
        <v>592</v>
      </c>
      <c r="L159" s="26" t="s">
        <v>148</v>
      </c>
      <c r="M159" s="26" t="s">
        <v>323</v>
      </c>
      <c r="N159" s="26">
        <v>50</v>
      </c>
      <c r="O159" s="26">
        <f>2024-Inventory[[#This Row],[YrBlt]]</f>
        <v>44</v>
      </c>
      <c r="P159" s="26">
        <f>2024-Inventory[[#This Row],[EffYr]]</f>
        <v>44</v>
      </c>
      <c r="Q159" s="25">
        <v>1980</v>
      </c>
      <c r="R159" s="25">
        <v>1980</v>
      </c>
      <c r="S159" s="25">
        <v>2092</v>
      </c>
      <c r="T159" s="27"/>
      <c r="U159" s="31"/>
      <c r="V159" s="31">
        <f>Inventory[[#This Row],[Bsmt]]-Inventory[[#This Row],[FnBsmt]]</f>
        <v>0</v>
      </c>
      <c r="W159" s="31"/>
      <c r="X159" s="27"/>
      <c r="Y159" s="27">
        <f>Inventory[[#This Row],[MainFn]]+Inventory[[#This Row],[UpprFn]]+Inventory[[#This Row],[FnBsmt]]+Inventory[[#This Row],[AddFn]]</f>
        <v>2092</v>
      </c>
      <c r="Z159" s="27">
        <v>2500</v>
      </c>
      <c r="AA159" s="25">
        <v>8</v>
      </c>
      <c r="AB159" s="25">
        <v>504</v>
      </c>
      <c r="AC159" s="27"/>
      <c r="AD159" s="27"/>
      <c r="AE159" s="27"/>
      <c r="AF159" s="27"/>
      <c r="AG159" s="27"/>
      <c r="AH159" s="27"/>
      <c r="AI159" s="25">
        <v>486333</v>
      </c>
      <c r="AJ159" s="25">
        <v>379340</v>
      </c>
      <c r="AK159" s="25">
        <v>0</v>
      </c>
      <c r="AL159" s="25">
        <v>333100</v>
      </c>
      <c r="AM159" s="25">
        <v>46600</v>
      </c>
      <c r="AN159" s="25">
        <v>286500</v>
      </c>
      <c r="AO159" s="25">
        <v>0</v>
      </c>
      <c r="AP159" s="25">
        <f>Lookups!$B$56*0</f>
        <v>0</v>
      </c>
      <c r="AQ159" s="25">
        <f>Lookups!$B$56*1</f>
        <v>89850.625589999996</v>
      </c>
      <c r="AR159" s="25">
        <f>Lookups!$B$57*Inventory[[#This Row],[LnAcres]]</f>
        <v>-58009.662049032086</v>
      </c>
      <c r="AS159" s="25">
        <f>VLOOKUP(Inventory[[#This Row],[Qlty]],Lookups!$A$62:$E$75,2,FALSE)</f>
        <v>44121.038090000002</v>
      </c>
      <c r="AT159" s="25">
        <f>VLOOKUP(Inventory[[#This Row],[Cnd]],Lookups!$A$76:$E$84,2,FALSE)</f>
        <v>160472.20319</v>
      </c>
      <c r="AU159" s="25">
        <f>Inventory[[#This Row],[EffAge]]*Lookups!$B$85</f>
        <v>-9814.0064220000004</v>
      </c>
      <c r="AV159" s="25">
        <f>Inventory[[#This Row],[MainFn]]*Lookups!$B$86</f>
        <v>103362.937382684</v>
      </c>
      <c r="AW159" s="25">
        <f>Inventory[[#This Row],[UpprFn]]*Lookups!$B$87</f>
        <v>0</v>
      </c>
      <c r="AX159" s="25">
        <f>Inventory[[#This Row],[AddFn]]*Lookups!$B$88</f>
        <v>0</v>
      </c>
      <c r="AY159" s="25">
        <f>Inventory[[#This Row],[Bsmt]]*Lookups!$B$89</f>
        <v>0</v>
      </c>
      <c r="AZ159" s="25">
        <f>Inventory[[#This Row],[Fixtures]]*Lookups!$B$90</f>
        <v>30336.176841600001</v>
      </c>
      <c r="BA159" s="25">
        <f>Inventory[[#This Row],[WdDeck]]*Lookups!$B$91</f>
        <v>0</v>
      </c>
      <c r="BB159" s="25">
        <f>ROUND(Inventory[[#This Row],[25Det]],-2)</f>
        <v>0</v>
      </c>
      <c r="BC159" s="25">
        <f>ROUND(SUM(Inventory[[#This Row],[Mdl Qlty]:[Mdl WdDeck]])+Inventory[[#This Row],[Mdl Res Intercept]],-2)</f>
        <v>328500</v>
      </c>
      <c r="BD159" s="25">
        <f>ROUND(Inventory[[#This Row],[Mdl Land Intercept]]+Inventory[[#This Row],[Mdl LnAcres]],-2)</f>
        <v>31800</v>
      </c>
      <c r="BE159" s="25">
        <f>Inventory[[#This Row],[Unadj Res Value]]+Inventory[[#This Row],[Unadj Det Value]]+Inventory[[#This Row],[Unadj Land Value]]</f>
        <v>360300</v>
      </c>
      <c r="BF159" s="36">
        <f>(Inventory[[#This Row],[Unadj Total Value]]-Inventory[[#This Row],[24Final]])/Inventory[[#This Row],[24Final]]</f>
        <v>8.1657160012008401E-2</v>
      </c>
      <c r="BG159" s="25">
        <f>VLOOKUP(Inventory[[#This Row],[Nbhd]],Lookups!$Q$2:$T$4,4,FALSE)</f>
        <v>0.99970000000000003</v>
      </c>
      <c r="BH159" s="25">
        <f>VLOOKUP(Inventory[[#This Row],[Qlty]],Lookups!$O$7:$R$21,4,FALSE)</f>
        <v>0.98050000000000004</v>
      </c>
      <c r="BI159" s="25">
        <f>VLOOKUP(Inventory[[#This Row],[Cnd]],Lookups!$T$7:$W$16,4,FALSE)</f>
        <v>0.99729999999999996</v>
      </c>
      <c r="BJ159" s="25">
        <f>VLOOKUP(Inventory[[#This Row],[LivArea Range]],Lookups!$T$25:$W$37,4,FALSE)</f>
        <v>0.98919999999999997</v>
      </c>
      <c r="BK159" s="25">
        <f>VLOOKUP(Inventory[[#This Row],[Decade]],Lookups!$O$25:$R$42,4,FALSE)</f>
        <v>0.96919999999999995</v>
      </c>
      <c r="BL159" s="25">
        <f>Inventory[[#This Row],[Nbhd Adj]]*0.95</f>
        <v>0.94971499999999998</v>
      </c>
      <c r="BM159" s="25">
        <f>Inventory[[#This Row],[Nbhd Adj]]*Inventory[[#This Row],[Quality Adj]]*Inventory[[#This Row],[Condition Adj]]*Inventory[[#This Row],[Living Area Adj]]*Inventory[[#This Row],[Decade Adj]]*0.95</f>
        <v>0.8903571027452114</v>
      </c>
      <c r="BN159" s="25">
        <f>ROUND(SUM(Inventory[[#This Row],[Mdl Qlty]:[Mdl WdDeck]])+Inventory[[#This Row],[Mdl Res Intercept]]*Inventory[[#This Row],[Res Adj ]],-2)</f>
        <v>328500</v>
      </c>
      <c r="BO159" s="25">
        <f>ROUND(Inventory[[#This Row],[25Det]]*Inventory[[#This Row],[Det/Nbhd Adj]],-2)</f>
        <v>0</v>
      </c>
      <c r="BP159" s="25">
        <f>Inventory[[#This Row],[Adjusted Res]]+Inventory[[#This Row],[Adj Det ]]</f>
        <v>328500</v>
      </c>
      <c r="BQ159" s="25">
        <f>ROUND((Inventory[[#This Row],[Mdl Land Intercept]]+Inventory[[#This Row],[Mdl LnAcres]])*Inventory[[#This Row],[Det/Nbhd Adj]],-2)</f>
        <v>30200</v>
      </c>
      <c r="BR159" s="25">
        <f>Inventory[[#This Row],[Adjusted Impr Total]]+Inventory[[#This Row],[Adjusted Land Total]]</f>
        <v>358700</v>
      </c>
      <c r="BS159" s="36">
        <f>IFERROR((Inventory[[#This Row],[Adjusted Impr Total]]-Inventory[[#This Row],[24Bldg]])/Inventory[[#This Row],[24Bldg]],0)</f>
        <v>0.14659685863874344</v>
      </c>
      <c r="BT159" s="36">
        <f>(Inventory[[#This Row],[Adjusted Land Total]]-Inventory[[#This Row],[24Lnd]])/Inventory[[#This Row],[24Lnd]]</f>
        <v>-0.35193133047210301</v>
      </c>
      <c r="BU159" s="36">
        <f>(Inventory[[#This Row],[Adjusted Total]]-Inventory[[#This Row],[24Final]])/Inventory[[#This Row],[24Final]]</f>
        <v>7.6853797658360853E-2</v>
      </c>
    </row>
    <row r="160" spans="1:73" x14ac:dyDescent="0.3">
      <c r="A160" s="25">
        <v>2025</v>
      </c>
      <c r="B160" s="26" t="s">
        <v>663</v>
      </c>
      <c r="C160" s="26">
        <f>LN(Inventory[[#This Row],[Acres]])</f>
        <v>-1.8325814637483102</v>
      </c>
      <c r="D160" s="25">
        <v>0.16</v>
      </c>
      <c r="E160" s="25">
        <v>7086</v>
      </c>
      <c r="F160" s="26" t="s">
        <v>537</v>
      </c>
      <c r="G160" s="26" t="s">
        <v>126</v>
      </c>
      <c r="H160" s="26" t="s">
        <v>349</v>
      </c>
      <c r="I160" s="26" t="s">
        <v>538</v>
      </c>
      <c r="J160" s="26" t="s">
        <v>586</v>
      </c>
      <c r="K160" s="26" t="s">
        <v>592</v>
      </c>
      <c r="L160" s="26" t="s">
        <v>148</v>
      </c>
      <c r="M160" s="26" t="s">
        <v>323</v>
      </c>
      <c r="N160" s="26">
        <v>50</v>
      </c>
      <c r="O160" s="26">
        <f>2024-Inventory[[#This Row],[YrBlt]]</f>
        <v>44</v>
      </c>
      <c r="P160" s="26">
        <f>2024-Inventory[[#This Row],[EffYr]]</f>
        <v>44</v>
      </c>
      <c r="Q160" s="25">
        <v>1980</v>
      </c>
      <c r="R160" s="25">
        <v>1980</v>
      </c>
      <c r="S160" s="25">
        <v>2204</v>
      </c>
      <c r="T160" s="27"/>
      <c r="U160" s="27"/>
      <c r="V160" s="27">
        <f>Inventory[[#This Row],[Bsmt]]-Inventory[[#This Row],[FnBsmt]]</f>
        <v>0</v>
      </c>
      <c r="W160" s="27"/>
      <c r="X160" s="27"/>
      <c r="Y160" s="27">
        <f>Inventory[[#This Row],[MainFn]]+Inventory[[#This Row],[UpprFn]]+Inventory[[#This Row],[FnBsmt]]+Inventory[[#This Row],[AddFn]]</f>
        <v>2204</v>
      </c>
      <c r="Z160" s="27">
        <v>2500</v>
      </c>
      <c r="AA160" s="25">
        <v>8</v>
      </c>
      <c r="AB160" s="32">
        <v>508</v>
      </c>
      <c r="AC160" s="27"/>
      <c r="AD160" s="27"/>
      <c r="AE160" s="27"/>
      <c r="AF160" s="27"/>
      <c r="AG160" s="27"/>
      <c r="AH160" s="27"/>
      <c r="AI160" s="25">
        <v>503369</v>
      </c>
      <c r="AJ160" s="25">
        <v>392628</v>
      </c>
      <c r="AK160" s="25">
        <v>0</v>
      </c>
      <c r="AL160" s="25">
        <v>343300</v>
      </c>
      <c r="AM160" s="25">
        <v>46700</v>
      </c>
      <c r="AN160" s="25">
        <v>296600</v>
      </c>
      <c r="AO160" s="25">
        <v>0</v>
      </c>
      <c r="AP160" s="25">
        <f>Lookups!$B$56*0</f>
        <v>0</v>
      </c>
      <c r="AQ160" s="25">
        <f>Lookups!$B$56*1</f>
        <v>89850.625589999996</v>
      </c>
      <c r="AR160" s="25">
        <f>Lookups!$B$57*Inventory[[#This Row],[LnAcres]]</f>
        <v>-58009.662049032086</v>
      </c>
      <c r="AS160" s="25">
        <f>VLOOKUP(Inventory[[#This Row],[Qlty]],Lookups!$A$62:$E$75,2,FALSE)</f>
        <v>44121.038090000002</v>
      </c>
      <c r="AT160" s="25">
        <f>VLOOKUP(Inventory[[#This Row],[Cnd]],Lookups!$A$76:$E$84,2,FALSE)</f>
        <v>160472.20319</v>
      </c>
      <c r="AU160" s="25">
        <f>Inventory[[#This Row],[EffAge]]*Lookups!$B$85</f>
        <v>-9814.0064220000004</v>
      </c>
      <c r="AV160" s="25">
        <f>Inventory[[#This Row],[MainFn]]*Lookups!$B$86</f>
        <v>108896.708408908</v>
      </c>
      <c r="AW160" s="25">
        <f>Inventory[[#This Row],[UpprFn]]*Lookups!$B$87</f>
        <v>0</v>
      </c>
      <c r="AX160" s="25">
        <f>Inventory[[#This Row],[AddFn]]*Lookups!$B$88</f>
        <v>0</v>
      </c>
      <c r="AY160" s="25">
        <f>Inventory[[#This Row],[Bsmt]]*Lookups!$B$89</f>
        <v>0</v>
      </c>
      <c r="AZ160" s="25">
        <f>Inventory[[#This Row],[Fixtures]]*Lookups!$B$90</f>
        <v>30336.176841600001</v>
      </c>
      <c r="BA160" s="25">
        <f>Inventory[[#This Row],[WdDeck]]*Lookups!$B$91</f>
        <v>0</v>
      </c>
      <c r="BB160" s="25">
        <f>ROUND(Inventory[[#This Row],[25Det]],-2)</f>
        <v>0</v>
      </c>
      <c r="BC160" s="25">
        <f>ROUND(SUM(Inventory[[#This Row],[Mdl Qlty]:[Mdl WdDeck]])+Inventory[[#This Row],[Mdl Res Intercept]],-2)</f>
        <v>334000</v>
      </c>
      <c r="BD160" s="25">
        <f>ROUND(Inventory[[#This Row],[Mdl Land Intercept]]+Inventory[[#This Row],[Mdl LnAcres]],-2)</f>
        <v>31800</v>
      </c>
      <c r="BE160" s="25">
        <f>Inventory[[#This Row],[Unadj Res Value]]+Inventory[[#This Row],[Unadj Det Value]]+Inventory[[#This Row],[Unadj Land Value]]</f>
        <v>365800</v>
      </c>
      <c r="BF160" s="36">
        <f>(Inventory[[#This Row],[Unadj Total Value]]-Inventory[[#This Row],[24Final]])/Inventory[[#This Row],[24Final]]</f>
        <v>6.5540343722691519E-2</v>
      </c>
      <c r="BG160" s="25">
        <f>VLOOKUP(Inventory[[#This Row],[Nbhd]],Lookups!$Q$2:$T$4,4,FALSE)</f>
        <v>0.99970000000000003</v>
      </c>
      <c r="BH160" s="25">
        <f>VLOOKUP(Inventory[[#This Row],[Qlty]],Lookups!$O$7:$R$21,4,FALSE)</f>
        <v>0.98050000000000004</v>
      </c>
      <c r="BI160" s="25">
        <f>VLOOKUP(Inventory[[#This Row],[Cnd]],Lookups!$T$7:$W$16,4,FALSE)</f>
        <v>0.99729999999999996</v>
      </c>
      <c r="BJ160" s="25">
        <f>VLOOKUP(Inventory[[#This Row],[LivArea Range]],Lookups!$T$25:$W$37,4,FALSE)</f>
        <v>0.98919999999999997</v>
      </c>
      <c r="BK160" s="25">
        <f>VLOOKUP(Inventory[[#This Row],[Decade]],Lookups!$O$25:$R$42,4,FALSE)</f>
        <v>0.96919999999999995</v>
      </c>
      <c r="BL160" s="25">
        <f>Inventory[[#This Row],[Nbhd Adj]]*0.95</f>
        <v>0.94971499999999998</v>
      </c>
      <c r="BM160" s="25">
        <f>Inventory[[#This Row],[Nbhd Adj]]*Inventory[[#This Row],[Quality Adj]]*Inventory[[#This Row],[Condition Adj]]*Inventory[[#This Row],[Living Area Adj]]*Inventory[[#This Row],[Decade Adj]]*0.95</f>
        <v>0.8903571027452114</v>
      </c>
      <c r="BN160" s="25">
        <f>ROUND(SUM(Inventory[[#This Row],[Mdl Qlty]:[Mdl WdDeck]])+Inventory[[#This Row],[Mdl Res Intercept]]*Inventory[[#This Row],[Res Adj ]],-2)</f>
        <v>334000</v>
      </c>
      <c r="BO160" s="25">
        <f>ROUND(Inventory[[#This Row],[25Det]]*Inventory[[#This Row],[Det/Nbhd Adj]],-2)</f>
        <v>0</v>
      </c>
      <c r="BP160" s="25">
        <f>Inventory[[#This Row],[Adjusted Res]]+Inventory[[#This Row],[Adj Det ]]</f>
        <v>334000</v>
      </c>
      <c r="BQ160" s="25">
        <f>ROUND((Inventory[[#This Row],[Mdl Land Intercept]]+Inventory[[#This Row],[Mdl LnAcres]])*Inventory[[#This Row],[Det/Nbhd Adj]],-2)</f>
        <v>30200</v>
      </c>
      <c r="BR160" s="25">
        <f>Inventory[[#This Row],[Adjusted Impr Total]]+Inventory[[#This Row],[Adjusted Land Total]]</f>
        <v>364200</v>
      </c>
      <c r="BS160" s="36">
        <f>IFERROR((Inventory[[#This Row],[Adjusted Impr Total]]-Inventory[[#This Row],[24Bldg]])/Inventory[[#This Row],[24Bldg]],0)</f>
        <v>0.12609575185434929</v>
      </c>
      <c r="BT160" s="36">
        <f>(Inventory[[#This Row],[Adjusted Land Total]]-Inventory[[#This Row],[24Lnd]])/Inventory[[#This Row],[24Lnd]]</f>
        <v>-0.35331905781584583</v>
      </c>
      <c r="BU160" s="36">
        <f>(Inventory[[#This Row],[Adjusted Total]]-Inventory[[#This Row],[24Final]])/Inventory[[#This Row],[24Final]]</f>
        <v>6.0879697057966795E-2</v>
      </c>
    </row>
    <row r="161" spans="1:73" x14ac:dyDescent="0.3">
      <c r="A161" s="25">
        <v>2025</v>
      </c>
      <c r="B161" s="26" t="s">
        <v>1693</v>
      </c>
      <c r="C161" s="26">
        <f>LN(Inventory[[#This Row],[Acres]])</f>
        <v>-2.9957322735539909</v>
      </c>
      <c r="D161" s="25">
        <v>0.05</v>
      </c>
      <c r="E161" s="25">
        <v>1348</v>
      </c>
      <c r="F161" s="26" t="s">
        <v>537</v>
      </c>
      <c r="G161" s="26" t="s">
        <v>28</v>
      </c>
      <c r="H161" s="26" t="s">
        <v>349</v>
      </c>
      <c r="I161" s="26" t="s">
        <v>538</v>
      </c>
      <c r="J161" s="26" t="s">
        <v>551</v>
      </c>
      <c r="K161" s="26" t="s">
        <v>381</v>
      </c>
      <c r="L161" s="26" t="s">
        <v>351</v>
      </c>
      <c r="M161" s="26" t="s">
        <v>323</v>
      </c>
      <c r="N161" s="26">
        <v>50</v>
      </c>
      <c r="O161" s="26">
        <f>2024-Inventory[[#This Row],[YrBlt]]</f>
        <v>44</v>
      </c>
      <c r="P161" s="26">
        <f>2024-Inventory[[#This Row],[EffYr]]</f>
        <v>44</v>
      </c>
      <c r="Q161" s="25">
        <v>1980</v>
      </c>
      <c r="R161" s="25">
        <v>1980</v>
      </c>
      <c r="S161" s="25">
        <v>1348</v>
      </c>
      <c r="T161" s="27"/>
      <c r="U161" s="31"/>
      <c r="V161" s="31">
        <f>Inventory[[#This Row],[Bsmt]]-Inventory[[#This Row],[FnBsmt]]</f>
        <v>0</v>
      </c>
      <c r="W161" s="31"/>
      <c r="X161" s="27"/>
      <c r="Y161" s="27">
        <f>Inventory[[#This Row],[MainFn]]+Inventory[[#This Row],[UpprFn]]+Inventory[[#This Row],[FnBsmt]]+Inventory[[#This Row],[AddFn]]</f>
        <v>1348</v>
      </c>
      <c r="Z161" s="27">
        <v>1500</v>
      </c>
      <c r="AA161" s="25">
        <v>8</v>
      </c>
      <c r="AB161" s="27"/>
      <c r="AC161" s="27"/>
      <c r="AD161" s="31"/>
      <c r="AE161" s="27"/>
      <c r="AF161" s="27"/>
      <c r="AG161" s="27"/>
      <c r="AH161" s="27"/>
      <c r="AI161" s="25">
        <v>222582</v>
      </c>
      <c r="AJ161" s="25">
        <v>173614</v>
      </c>
      <c r="AK161" s="25">
        <v>14077</v>
      </c>
      <c r="AL161" s="25">
        <v>267400</v>
      </c>
      <c r="AM161" s="25">
        <v>40100</v>
      </c>
      <c r="AN161" s="25">
        <v>227300</v>
      </c>
      <c r="AO161" s="25">
        <v>0</v>
      </c>
      <c r="AP161" s="25">
        <f>Lookups!$B$56*0</f>
        <v>0</v>
      </c>
      <c r="AQ161" s="25">
        <f>Lookups!$B$56*1</f>
        <v>89850.625589999996</v>
      </c>
      <c r="AR161" s="25">
        <f>Lookups!$B$57*Inventory[[#This Row],[LnAcres]]</f>
        <v>-94828.753982263879</v>
      </c>
      <c r="AS161" s="25">
        <f>VLOOKUP(Inventory[[#This Row],[Qlty]],Lookups!$A$62:$E$75,2,FALSE)</f>
        <v>21557.329055999999</v>
      </c>
      <c r="AT161" s="25">
        <f>VLOOKUP(Inventory[[#This Row],[Cnd]],Lookups!$A$76:$E$84,2,FALSE)</f>
        <v>160472.20319</v>
      </c>
      <c r="AU161" s="25">
        <f>Inventory[[#This Row],[EffAge]]*Lookups!$B$85</f>
        <v>-9814.0064220000004</v>
      </c>
      <c r="AV161" s="25">
        <f>Inventory[[#This Row],[MainFn]]*Lookups!$B$86</f>
        <v>66602.886994196</v>
      </c>
      <c r="AW161" s="25">
        <f>Inventory[[#This Row],[UpprFn]]*Lookups!$B$87</f>
        <v>0</v>
      </c>
      <c r="AX161" s="25">
        <f>Inventory[[#This Row],[AddFn]]*Lookups!$B$88</f>
        <v>0</v>
      </c>
      <c r="AY161" s="25">
        <f>Inventory[[#This Row],[Bsmt]]*Lookups!$B$89</f>
        <v>0</v>
      </c>
      <c r="AZ161" s="25">
        <f>Inventory[[#This Row],[Fixtures]]*Lookups!$B$90</f>
        <v>30336.176841600001</v>
      </c>
      <c r="BA161" s="25">
        <f>Inventory[[#This Row],[WdDeck]]*Lookups!$B$91</f>
        <v>0</v>
      </c>
      <c r="BB161" s="25">
        <f>ROUND(Inventory[[#This Row],[25Det]],-2)</f>
        <v>14100</v>
      </c>
      <c r="BC161" s="25">
        <f>ROUND(SUM(Inventory[[#This Row],[Mdl Qlty]:[Mdl WdDeck]])+Inventory[[#This Row],[Mdl Res Intercept]],-2)</f>
        <v>269200</v>
      </c>
      <c r="BD161" s="25">
        <f>ROUND(Inventory[[#This Row],[Mdl Land Intercept]]+Inventory[[#This Row],[Mdl LnAcres]],-2)</f>
        <v>-5000</v>
      </c>
      <c r="BE161" s="25">
        <f>Inventory[[#This Row],[Unadj Res Value]]+Inventory[[#This Row],[Unadj Det Value]]+Inventory[[#This Row],[Unadj Land Value]]</f>
        <v>278300</v>
      </c>
      <c r="BF161" s="36">
        <f>(Inventory[[#This Row],[Unadj Total Value]]-Inventory[[#This Row],[24Final]])/Inventory[[#This Row],[24Final]]</f>
        <v>4.0762902019446524E-2</v>
      </c>
      <c r="BG161" s="25">
        <f>VLOOKUP(Inventory[[#This Row],[Nbhd]],Lookups!$Q$2:$T$4,4,FALSE)</f>
        <v>0.99970000000000003</v>
      </c>
      <c r="BH161" s="25">
        <f>VLOOKUP(Inventory[[#This Row],[Qlty]],Lookups!$O$7:$R$21,4,FALSE)</f>
        <v>1.0067999999999999</v>
      </c>
      <c r="BI161" s="25">
        <f>VLOOKUP(Inventory[[#This Row],[Cnd]],Lookups!$T$7:$W$16,4,FALSE)</f>
        <v>0.99729999999999996</v>
      </c>
      <c r="BJ161" s="25">
        <f>VLOOKUP(Inventory[[#This Row],[LivArea Range]],Lookups!$T$25:$W$37,4,FALSE)</f>
        <v>1.0157</v>
      </c>
      <c r="BK161" s="25">
        <f>VLOOKUP(Inventory[[#This Row],[Decade]],Lookups!$O$25:$R$42,4,FALSE)</f>
        <v>0.96919999999999995</v>
      </c>
      <c r="BL161" s="25">
        <f>Inventory[[#This Row],[Nbhd Adj]]*0.95</f>
        <v>0.94971499999999998</v>
      </c>
      <c r="BM161" s="25">
        <f>Inventory[[#This Row],[Nbhd Adj]]*Inventory[[#This Row],[Quality Adj]]*Inventory[[#This Row],[Condition Adj]]*Inventory[[#This Row],[Living Area Adj]]*Inventory[[#This Row],[Decade Adj]]*0.95</f>
        <v>0.93873104601730073</v>
      </c>
      <c r="BN161" s="25">
        <f>ROUND(SUM(Inventory[[#This Row],[Mdl Qlty]:[Mdl WdDeck]])+Inventory[[#This Row],[Mdl Res Intercept]]*Inventory[[#This Row],[Res Adj ]],-2)</f>
        <v>269200</v>
      </c>
      <c r="BO161" s="25">
        <f>ROUND(Inventory[[#This Row],[25Det]]*Inventory[[#This Row],[Det/Nbhd Adj]],-2)</f>
        <v>13400</v>
      </c>
      <c r="BP161" s="25">
        <f>Inventory[[#This Row],[Adjusted Res]]+Inventory[[#This Row],[Adj Det ]]</f>
        <v>282600</v>
      </c>
      <c r="BQ161" s="25">
        <f>ROUND((Inventory[[#This Row],[Mdl Land Intercept]]+Inventory[[#This Row],[Mdl LnAcres]])*Inventory[[#This Row],[Det/Nbhd Adj]],-2)</f>
        <v>-4700</v>
      </c>
      <c r="BR161" s="25">
        <f>Inventory[[#This Row],[Adjusted Impr Total]]+Inventory[[#This Row],[Adjusted Land Total]]</f>
        <v>277900</v>
      </c>
      <c r="BS161" s="36">
        <f>IFERROR((Inventory[[#This Row],[Adjusted Impr Total]]-Inventory[[#This Row],[24Bldg]])/Inventory[[#This Row],[24Bldg]],0)</f>
        <v>0.2432908051033876</v>
      </c>
      <c r="BT161" s="36">
        <f>(Inventory[[#This Row],[Adjusted Land Total]]-Inventory[[#This Row],[24Lnd]])/Inventory[[#This Row],[24Lnd]]</f>
        <v>-1.1172069825436408</v>
      </c>
      <c r="BU161" s="36">
        <f>(Inventory[[#This Row],[Adjusted Total]]-Inventory[[#This Row],[24Final]])/Inventory[[#This Row],[24Final]]</f>
        <v>3.9267015706806283E-2</v>
      </c>
    </row>
    <row r="162" spans="1:73" x14ac:dyDescent="0.3">
      <c r="A162" s="25">
        <v>2025</v>
      </c>
      <c r="B162" s="26" t="s">
        <v>1645</v>
      </c>
      <c r="C162" s="26">
        <f>LN(Inventory[[#This Row],[Acres]])</f>
        <v>-2.9957322735539909</v>
      </c>
      <c r="D162" s="25">
        <v>0.05</v>
      </c>
      <c r="E162" s="25">
        <v>1348</v>
      </c>
      <c r="F162" s="26" t="s">
        <v>537</v>
      </c>
      <c r="G162" s="26" t="s">
        <v>28</v>
      </c>
      <c r="H162" s="26" t="s">
        <v>349</v>
      </c>
      <c r="I162" s="26" t="s">
        <v>538</v>
      </c>
      <c r="J162" s="26" t="s">
        <v>551</v>
      </c>
      <c r="K162" s="26" t="s">
        <v>381</v>
      </c>
      <c r="L162" s="26" t="s">
        <v>351</v>
      </c>
      <c r="M162" s="26" t="s">
        <v>323</v>
      </c>
      <c r="N162" s="26">
        <v>50</v>
      </c>
      <c r="O162" s="26">
        <f>2024-Inventory[[#This Row],[YrBlt]]</f>
        <v>44</v>
      </c>
      <c r="P162" s="26">
        <f>2024-Inventory[[#This Row],[EffYr]]</f>
        <v>44</v>
      </c>
      <c r="Q162" s="25">
        <v>1980</v>
      </c>
      <c r="R162" s="25">
        <v>1980</v>
      </c>
      <c r="S162" s="25">
        <v>1348</v>
      </c>
      <c r="T162" s="27"/>
      <c r="U162" s="31"/>
      <c r="V162" s="27">
        <f>Inventory[[#This Row],[Bsmt]]-Inventory[[#This Row],[FnBsmt]]</f>
        <v>0</v>
      </c>
      <c r="W162" s="27"/>
      <c r="X162" s="27"/>
      <c r="Y162" s="27">
        <f>Inventory[[#This Row],[MainFn]]+Inventory[[#This Row],[UpprFn]]+Inventory[[#This Row],[FnBsmt]]+Inventory[[#This Row],[AddFn]]</f>
        <v>1348</v>
      </c>
      <c r="Z162" s="27">
        <v>1500</v>
      </c>
      <c r="AA162" s="25">
        <v>8</v>
      </c>
      <c r="AB162" s="27"/>
      <c r="AC162" s="27"/>
      <c r="AD162" s="32">
        <v>170</v>
      </c>
      <c r="AE162" s="27"/>
      <c r="AF162" s="27"/>
      <c r="AG162" s="27"/>
      <c r="AH162" s="27"/>
      <c r="AI162" s="25">
        <v>227851</v>
      </c>
      <c r="AJ162" s="25">
        <v>177724</v>
      </c>
      <c r="AK162" s="25">
        <v>14562</v>
      </c>
      <c r="AL162" s="25">
        <v>273900</v>
      </c>
      <c r="AM162" s="25">
        <v>41100</v>
      </c>
      <c r="AN162" s="25">
        <v>232800</v>
      </c>
      <c r="AO162" s="25">
        <v>0</v>
      </c>
      <c r="AP162" s="25">
        <f>Lookups!$B$56*0</f>
        <v>0</v>
      </c>
      <c r="AQ162" s="25">
        <f>Lookups!$B$56*1</f>
        <v>89850.625589999996</v>
      </c>
      <c r="AR162" s="25">
        <f>Lookups!$B$57*Inventory[[#This Row],[LnAcres]]</f>
        <v>-94828.753982263879</v>
      </c>
      <c r="AS162" s="25">
        <f>VLOOKUP(Inventory[[#This Row],[Qlty]],Lookups!$A$62:$E$75,2,FALSE)</f>
        <v>21557.329055999999</v>
      </c>
      <c r="AT162" s="25">
        <f>VLOOKUP(Inventory[[#This Row],[Cnd]],Lookups!$A$76:$E$84,2,FALSE)</f>
        <v>160472.20319</v>
      </c>
      <c r="AU162" s="25">
        <f>Inventory[[#This Row],[EffAge]]*Lookups!$B$85</f>
        <v>-9814.0064220000004</v>
      </c>
      <c r="AV162" s="25">
        <f>Inventory[[#This Row],[MainFn]]*Lookups!$B$86</f>
        <v>66602.886994196</v>
      </c>
      <c r="AW162" s="25">
        <f>Inventory[[#This Row],[UpprFn]]*Lookups!$B$87</f>
        <v>0</v>
      </c>
      <c r="AX162" s="25">
        <f>Inventory[[#This Row],[AddFn]]*Lookups!$B$88</f>
        <v>0</v>
      </c>
      <c r="AY162" s="25">
        <f>Inventory[[#This Row],[Bsmt]]*Lookups!$B$89</f>
        <v>0</v>
      </c>
      <c r="AZ162" s="25">
        <f>Inventory[[#This Row],[Fixtures]]*Lookups!$B$90</f>
        <v>30336.176841600001</v>
      </c>
      <c r="BA162" s="25">
        <f>Inventory[[#This Row],[WdDeck]]*Lookups!$B$91</f>
        <v>5660.2375969200002</v>
      </c>
      <c r="BB162" s="25">
        <f>ROUND(Inventory[[#This Row],[25Det]],-2)</f>
        <v>14600</v>
      </c>
      <c r="BC162" s="25">
        <f>ROUND(SUM(Inventory[[#This Row],[Mdl Qlty]:[Mdl WdDeck]])+Inventory[[#This Row],[Mdl Res Intercept]],-2)</f>
        <v>274800</v>
      </c>
      <c r="BD162" s="25">
        <f>ROUND(Inventory[[#This Row],[Mdl Land Intercept]]+Inventory[[#This Row],[Mdl LnAcres]],-2)</f>
        <v>-5000</v>
      </c>
      <c r="BE162" s="25">
        <f>Inventory[[#This Row],[Unadj Res Value]]+Inventory[[#This Row],[Unadj Det Value]]+Inventory[[#This Row],[Unadj Land Value]]</f>
        <v>284400</v>
      </c>
      <c r="BF162" s="36">
        <f>(Inventory[[#This Row],[Unadj Total Value]]-Inventory[[#This Row],[24Final]])/Inventory[[#This Row],[24Final]]</f>
        <v>3.8335158817086525E-2</v>
      </c>
      <c r="BG162" s="25">
        <f>VLOOKUP(Inventory[[#This Row],[Nbhd]],Lookups!$Q$2:$T$4,4,FALSE)</f>
        <v>0.99970000000000003</v>
      </c>
      <c r="BH162" s="25">
        <f>VLOOKUP(Inventory[[#This Row],[Qlty]],Lookups!$O$7:$R$21,4,FALSE)</f>
        <v>1.0067999999999999</v>
      </c>
      <c r="BI162" s="25">
        <f>VLOOKUP(Inventory[[#This Row],[Cnd]],Lookups!$T$7:$W$16,4,FALSE)</f>
        <v>0.99729999999999996</v>
      </c>
      <c r="BJ162" s="25">
        <f>VLOOKUP(Inventory[[#This Row],[LivArea Range]],Lookups!$T$25:$W$37,4,FALSE)</f>
        <v>1.0157</v>
      </c>
      <c r="BK162" s="25">
        <f>VLOOKUP(Inventory[[#This Row],[Decade]],Lookups!$O$25:$R$42,4,FALSE)</f>
        <v>0.96919999999999995</v>
      </c>
      <c r="BL162" s="25">
        <f>Inventory[[#This Row],[Nbhd Adj]]*0.95</f>
        <v>0.94971499999999998</v>
      </c>
      <c r="BM162" s="25">
        <f>Inventory[[#This Row],[Nbhd Adj]]*Inventory[[#This Row],[Quality Adj]]*Inventory[[#This Row],[Condition Adj]]*Inventory[[#This Row],[Living Area Adj]]*Inventory[[#This Row],[Decade Adj]]*0.95</f>
        <v>0.93873104601730073</v>
      </c>
      <c r="BN162" s="25">
        <f>ROUND(SUM(Inventory[[#This Row],[Mdl Qlty]:[Mdl WdDeck]])+Inventory[[#This Row],[Mdl Res Intercept]]*Inventory[[#This Row],[Res Adj ]],-2)</f>
        <v>274800</v>
      </c>
      <c r="BO162" s="25">
        <f>ROUND(Inventory[[#This Row],[25Det]]*Inventory[[#This Row],[Det/Nbhd Adj]],-2)</f>
        <v>13800</v>
      </c>
      <c r="BP162" s="25">
        <f>Inventory[[#This Row],[Adjusted Res]]+Inventory[[#This Row],[Adj Det ]]</f>
        <v>288600</v>
      </c>
      <c r="BQ162" s="25">
        <f>ROUND((Inventory[[#This Row],[Mdl Land Intercept]]+Inventory[[#This Row],[Mdl LnAcres]])*Inventory[[#This Row],[Det/Nbhd Adj]],-2)</f>
        <v>-4700</v>
      </c>
      <c r="BR162" s="25">
        <f>Inventory[[#This Row],[Adjusted Impr Total]]+Inventory[[#This Row],[Adjusted Land Total]]</f>
        <v>283900</v>
      </c>
      <c r="BS162" s="36">
        <f>IFERROR((Inventory[[#This Row],[Adjusted Impr Total]]-Inventory[[#This Row],[24Bldg]])/Inventory[[#This Row],[24Bldg]],0)</f>
        <v>0.23969072164948454</v>
      </c>
      <c r="BT162" s="36">
        <f>(Inventory[[#This Row],[Adjusted Land Total]]-Inventory[[#This Row],[24Lnd]])/Inventory[[#This Row],[24Lnd]]</f>
        <v>-1.1143552311435523</v>
      </c>
      <c r="BU162" s="36">
        <f>(Inventory[[#This Row],[Adjusted Total]]-Inventory[[#This Row],[24Final]])/Inventory[[#This Row],[24Final]]</f>
        <v>3.6509675063891932E-2</v>
      </c>
    </row>
    <row r="163" spans="1:73" x14ac:dyDescent="0.3">
      <c r="A163" s="25">
        <v>2025</v>
      </c>
      <c r="B163" s="26" t="s">
        <v>1695</v>
      </c>
      <c r="C163" s="26">
        <f>LN(Inventory[[#This Row],[Acres]])</f>
        <v>-3.2188758248682006</v>
      </c>
      <c r="D163" s="25">
        <v>0.04</v>
      </c>
      <c r="E163" s="25">
        <v>1348</v>
      </c>
      <c r="F163" s="26" t="s">
        <v>537</v>
      </c>
      <c r="G163" s="26" t="s">
        <v>28</v>
      </c>
      <c r="H163" s="26" t="s">
        <v>349</v>
      </c>
      <c r="I163" s="26" t="s">
        <v>538</v>
      </c>
      <c r="J163" s="26" t="s">
        <v>551</v>
      </c>
      <c r="K163" s="26" t="s">
        <v>381</v>
      </c>
      <c r="L163" s="26" t="s">
        <v>351</v>
      </c>
      <c r="M163" s="26" t="s">
        <v>323</v>
      </c>
      <c r="N163" s="26">
        <v>50</v>
      </c>
      <c r="O163" s="26">
        <f>2024-Inventory[[#This Row],[YrBlt]]</f>
        <v>44</v>
      </c>
      <c r="P163" s="26">
        <f>2024-Inventory[[#This Row],[EffYr]]</f>
        <v>44</v>
      </c>
      <c r="Q163" s="25">
        <v>1980</v>
      </c>
      <c r="R163" s="25">
        <v>1980</v>
      </c>
      <c r="S163" s="25">
        <v>1348</v>
      </c>
      <c r="T163" s="27"/>
      <c r="U163" s="31"/>
      <c r="V163" s="31">
        <f>Inventory[[#This Row],[Bsmt]]-Inventory[[#This Row],[FnBsmt]]</f>
        <v>0</v>
      </c>
      <c r="W163" s="31"/>
      <c r="X163" s="27"/>
      <c r="Y163" s="27">
        <f>Inventory[[#This Row],[MainFn]]+Inventory[[#This Row],[UpprFn]]+Inventory[[#This Row],[FnBsmt]]+Inventory[[#This Row],[AddFn]]</f>
        <v>1348</v>
      </c>
      <c r="Z163" s="27">
        <v>1500</v>
      </c>
      <c r="AA163" s="25">
        <v>8</v>
      </c>
      <c r="AB163" s="27"/>
      <c r="AC163" s="27"/>
      <c r="AD163" s="27"/>
      <c r="AE163" s="27"/>
      <c r="AF163" s="27"/>
      <c r="AG163" s="27"/>
      <c r="AH163" s="27"/>
      <c r="AI163" s="25">
        <v>217585</v>
      </c>
      <c r="AJ163" s="25">
        <v>169716</v>
      </c>
      <c r="AK163" s="25">
        <v>14077</v>
      </c>
      <c r="AL163" s="25">
        <v>261700</v>
      </c>
      <c r="AM163" s="25">
        <v>39300</v>
      </c>
      <c r="AN163" s="25">
        <v>222400</v>
      </c>
      <c r="AO163" s="25">
        <v>0</v>
      </c>
      <c r="AP163" s="25">
        <f>Lookups!$B$56*0</f>
        <v>0</v>
      </c>
      <c r="AQ163" s="25">
        <f>Lookups!$B$56*1</f>
        <v>89850.625589999996</v>
      </c>
      <c r="AR163" s="25">
        <f>Lookups!$B$57*Inventory[[#This Row],[LnAcres]]</f>
        <v>-101892.2773541973</v>
      </c>
      <c r="AS163" s="25">
        <f>VLOOKUP(Inventory[[#This Row],[Qlty]],Lookups!$A$62:$E$75,2,FALSE)</f>
        <v>21557.329055999999</v>
      </c>
      <c r="AT163" s="25">
        <f>VLOOKUP(Inventory[[#This Row],[Cnd]],Lookups!$A$76:$E$84,2,FALSE)</f>
        <v>160472.20319</v>
      </c>
      <c r="AU163" s="25">
        <f>Inventory[[#This Row],[EffAge]]*Lookups!$B$85</f>
        <v>-9814.0064220000004</v>
      </c>
      <c r="AV163" s="25">
        <f>Inventory[[#This Row],[MainFn]]*Lookups!$B$86</f>
        <v>66602.886994196</v>
      </c>
      <c r="AW163" s="25">
        <f>Inventory[[#This Row],[UpprFn]]*Lookups!$B$87</f>
        <v>0</v>
      </c>
      <c r="AX163" s="25">
        <f>Inventory[[#This Row],[AddFn]]*Lookups!$B$88</f>
        <v>0</v>
      </c>
      <c r="AY163" s="25">
        <f>Inventory[[#This Row],[Bsmt]]*Lookups!$B$89</f>
        <v>0</v>
      </c>
      <c r="AZ163" s="25">
        <f>Inventory[[#This Row],[Fixtures]]*Lookups!$B$90</f>
        <v>30336.176841600001</v>
      </c>
      <c r="BA163" s="25">
        <f>Inventory[[#This Row],[WdDeck]]*Lookups!$B$91</f>
        <v>0</v>
      </c>
      <c r="BB163" s="25">
        <f>ROUND(Inventory[[#This Row],[25Det]],-2)</f>
        <v>14100</v>
      </c>
      <c r="BC163" s="25">
        <f>ROUND(SUM(Inventory[[#This Row],[Mdl Qlty]:[Mdl WdDeck]])+Inventory[[#This Row],[Mdl Res Intercept]],-2)</f>
        <v>269200</v>
      </c>
      <c r="BD163" s="25">
        <f>ROUND(Inventory[[#This Row],[Mdl Land Intercept]]+Inventory[[#This Row],[Mdl LnAcres]],-2)</f>
        <v>-12000</v>
      </c>
      <c r="BE163" s="25">
        <f>Inventory[[#This Row],[Unadj Res Value]]+Inventory[[#This Row],[Unadj Det Value]]+Inventory[[#This Row],[Unadj Land Value]]</f>
        <v>271300</v>
      </c>
      <c r="BF163" s="36">
        <f>(Inventory[[#This Row],[Unadj Total Value]]-Inventory[[#This Row],[24Final]])/Inventory[[#This Row],[24Final]]</f>
        <v>3.668322506687046E-2</v>
      </c>
      <c r="BG163" s="25">
        <f>VLOOKUP(Inventory[[#This Row],[Nbhd]],Lookups!$Q$2:$T$4,4,FALSE)</f>
        <v>0.99970000000000003</v>
      </c>
      <c r="BH163" s="25">
        <f>VLOOKUP(Inventory[[#This Row],[Qlty]],Lookups!$O$7:$R$21,4,FALSE)</f>
        <v>1.0067999999999999</v>
      </c>
      <c r="BI163" s="25">
        <f>VLOOKUP(Inventory[[#This Row],[Cnd]],Lookups!$T$7:$W$16,4,FALSE)</f>
        <v>0.99729999999999996</v>
      </c>
      <c r="BJ163" s="25">
        <f>VLOOKUP(Inventory[[#This Row],[LivArea Range]],Lookups!$T$25:$W$37,4,FALSE)</f>
        <v>1.0157</v>
      </c>
      <c r="BK163" s="25">
        <f>VLOOKUP(Inventory[[#This Row],[Decade]],Lookups!$O$25:$R$42,4,FALSE)</f>
        <v>0.96919999999999995</v>
      </c>
      <c r="BL163" s="25">
        <f>Inventory[[#This Row],[Nbhd Adj]]*0.95</f>
        <v>0.94971499999999998</v>
      </c>
      <c r="BM163" s="25">
        <f>Inventory[[#This Row],[Nbhd Adj]]*Inventory[[#This Row],[Quality Adj]]*Inventory[[#This Row],[Condition Adj]]*Inventory[[#This Row],[Living Area Adj]]*Inventory[[#This Row],[Decade Adj]]*0.95</f>
        <v>0.93873104601730073</v>
      </c>
      <c r="BN163" s="25">
        <f>ROUND(SUM(Inventory[[#This Row],[Mdl Qlty]:[Mdl WdDeck]])+Inventory[[#This Row],[Mdl Res Intercept]]*Inventory[[#This Row],[Res Adj ]],-2)</f>
        <v>269200</v>
      </c>
      <c r="BO163" s="25">
        <f>ROUND(Inventory[[#This Row],[25Det]]*Inventory[[#This Row],[Det/Nbhd Adj]],-2)</f>
        <v>13400</v>
      </c>
      <c r="BP163" s="25">
        <f>Inventory[[#This Row],[Adjusted Res]]+Inventory[[#This Row],[Adj Det ]]</f>
        <v>282600</v>
      </c>
      <c r="BQ163" s="25">
        <f>ROUND((Inventory[[#This Row],[Mdl Land Intercept]]+Inventory[[#This Row],[Mdl LnAcres]])*Inventory[[#This Row],[Det/Nbhd Adj]],-2)</f>
        <v>-11400</v>
      </c>
      <c r="BR163" s="25">
        <f>Inventory[[#This Row],[Adjusted Impr Total]]+Inventory[[#This Row],[Adjusted Land Total]]</f>
        <v>271200</v>
      </c>
      <c r="BS163" s="36">
        <f>IFERROR((Inventory[[#This Row],[Adjusted Impr Total]]-Inventory[[#This Row],[24Bldg]])/Inventory[[#This Row],[24Bldg]],0)</f>
        <v>0.27068345323741005</v>
      </c>
      <c r="BT163" s="36">
        <f>(Inventory[[#This Row],[Adjusted Land Total]]-Inventory[[#This Row],[24Lnd]])/Inventory[[#This Row],[24Lnd]]</f>
        <v>-1.2900763358778626</v>
      </c>
      <c r="BU163" s="36">
        <f>(Inventory[[#This Row],[Adjusted Total]]-Inventory[[#This Row],[24Final]])/Inventory[[#This Row],[24Final]]</f>
        <v>3.6301108139090564E-2</v>
      </c>
    </row>
    <row r="164" spans="1:73" x14ac:dyDescent="0.3">
      <c r="A164" s="25">
        <v>2025</v>
      </c>
      <c r="B164" s="26" t="s">
        <v>1699</v>
      </c>
      <c r="C164" s="26">
        <f>LN(Inventory[[#This Row],[Acres]])</f>
        <v>-3.2188758248682006</v>
      </c>
      <c r="D164" s="25">
        <v>0.04</v>
      </c>
      <c r="E164" s="25">
        <v>1348</v>
      </c>
      <c r="F164" s="26" t="s">
        <v>537</v>
      </c>
      <c r="G164" s="26" t="s">
        <v>28</v>
      </c>
      <c r="H164" s="26" t="s">
        <v>349</v>
      </c>
      <c r="I164" s="26" t="s">
        <v>538</v>
      </c>
      <c r="J164" s="26" t="s">
        <v>551</v>
      </c>
      <c r="K164" s="26" t="s">
        <v>381</v>
      </c>
      <c r="L164" s="26" t="s">
        <v>351</v>
      </c>
      <c r="M164" s="26" t="s">
        <v>323</v>
      </c>
      <c r="N164" s="26">
        <v>50</v>
      </c>
      <c r="O164" s="26">
        <f>2024-Inventory[[#This Row],[YrBlt]]</f>
        <v>44</v>
      </c>
      <c r="P164" s="26">
        <f>2024-Inventory[[#This Row],[EffYr]]</f>
        <v>44</v>
      </c>
      <c r="Q164" s="25">
        <v>1980</v>
      </c>
      <c r="R164" s="25">
        <v>1980</v>
      </c>
      <c r="S164" s="25">
        <v>1348</v>
      </c>
      <c r="T164" s="27"/>
      <c r="U164" s="31"/>
      <c r="V164" s="31">
        <f>Inventory[[#This Row],[Bsmt]]-Inventory[[#This Row],[FnBsmt]]</f>
        <v>0</v>
      </c>
      <c r="W164" s="31"/>
      <c r="X164" s="27"/>
      <c r="Y164" s="27">
        <f>Inventory[[#This Row],[MainFn]]+Inventory[[#This Row],[UpprFn]]+Inventory[[#This Row],[FnBsmt]]+Inventory[[#This Row],[AddFn]]</f>
        <v>1348</v>
      </c>
      <c r="Z164" s="27">
        <v>1500</v>
      </c>
      <c r="AA164" s="25">
        <v>9</v>
      </c>
      <c r="AB164" s="27"/>
      <c r="AC164" s="27"/>
      <c r="AD164" s="31"/>
      <c r="AE164" s="27"/>
      <c r="AF164" s="27"/>
      <c r="AG164" s="27"/>
      <c r="AH164" s="27"/>
      <c r="AI164" s="25">
        <v>220795</v>
      </c>
      <c r="AJ164" s="25">
        <v>172220</v>
      </c>
      <c r="AK164" s="25">
        <v>14077</v>
      </c>
      <c r="AL164" s="25">
        <v>265800</v>
      </c>
      <c r="AM164" s="25">
        <v>39900</v>
      </c>
      <c r="AN164" s="25">
        <v>225900</v>
      </c>
      <c r="AO164" s="25">
        <v>0</v>
      </c>
      <c r="AP164" s="25">
        <f>Lookups!$B$56*0</f>
        <v>0</v>
      </c>
      <c r="AQ164" s="25">
        <f>Lookups!$B$56*1</f>
        <v>89850.625589999996</v>
      </c>
      <c r="AR164" s="25">
        <f>Lookups!$B$57*Inventory[[#This Row],[LnAcres]]</f>
        <v>-101892.2773541973</v>
      </c>
      <c r="AS164" s="25">
        <f>VLOOKUP(Inventory[[#This Row],[Qlty]],Lookups!$A$62:$E$75,2,FALSE)</f>
        <v>21557.329055999999</v>
      </c>
      <c r="AT164" s="25">
        <f>VLOOKUP(Inventory[[#This Row],[Cnd]],Lookups!$A$76:$E$84,2,FALSE)</f>
        <v>160472.20319</v>
      </c>
      <c r="AU164" s="25">
        <f>Inventory[[#This Row],[EffAge]]*Lookups!$B$85</f>
        <v>-9814.0064220000004</v>
      </c>
      <c r="AV164" s="25">
        <f>Inventory[[#This Row],[MainFn]]*Lookups!$B$86</f>
        <v>66602.886994196</v>
      </c>
      <c r="AW164" s="25">
        <f>Inventory[[#This Row],[UpprFn]]*Lookups!$B$87</f>
        <v>0</v>
      </c>
      <c r="AX164" s="25">
        <f>Inventory[[#This Row],[AddFn]]*Lookups!$B$88</f>
        <v>0</v>
      </c>
      <c r="AY164" s="25">
        <f>Inventory[[#This Row],[Bsmt]]*Lookups!$B$89</f>
        <v>0</v>
      </c>
      <c r="AZ164" s="25">
        <f>Inventory[[#This Row],[Fixtures]]*Lookups!$B$90</f>
        <v>34128.198946800003</v>
      </c>
      <c r="BA164" s="25">
        <f>Inventory[[#This Row],[WdDeck]]*Lookups!$B$91</f>
        <v>0</v>
      </c>
      <c r="BB164" s="25">
        <f>ROUND(Inventory[[#This Row],[25Det]],-2)</f>
        <v>14100</v>
      </c>
      <c r="BC164" s="25">
        <f>ROUND(SUM(Inventory[[#This Row],[Mdl Qlty]:[Mdl WdDeck]])+Inventory[[#This Row],[Mdl Res Intercept]],-2)</f>
        <v>272900</v>
      </c>
      <c r="BD164" s="25">
        <f>ROUND(Inventory[[#This Row],[Mdl Land Intercept]]+Inventory[[#This Row],[Mdl LnAcres]],-2)</f>
        <v>-12000</v>
      </c>
      <c r="BE164" s="25">
        <f>Inventory[[#This Row],[Unadj Res Value]]+Inventory[[#This Row],[Unadj Det Value]]+Inventory[[#This Row],[Unadj Land Value]]</f>
        <v>275000</v>
      </c>
      <c r="BF164" s="36">
        <f>(Inventory[[#This Row],[Unadj Total Value]]-Inventory[[#This Row],[24Final]])/Inventory[[#This Row],[24Final]]</f>
        <v>3.4612490594431902E-2</v>
      </c>
      <c r="BG164" s="25">
        <f>VLOOKUP(Inventory[[#This Row],[Nbhd]],Lookups!$Q$2:$T$4,4,FALSE)</f>
        <v>0.99970000000000003</v>
      </c>
      <c r="BH164" s="25">
        <f>VLOOKUP(Inventory[[#This Row],[Qlty]],Lookups!$O$7:$R$21,4,FALSE)</f>
        <v>1.0067999999999999</v>
      </c>
      <c r="BI164" s="25">
        <f>VLOOKUP(Inventory[[#This Row],[Cnd]],Lookups!$T$7:$W$16,4,FALSE)</f>
        <v>0.99729999999999996</v>
      </c>
      <c r="BJ164" s="25">
        <f>VLOOKUP(Inventory[[#This Row],[LivArea Range]],Lookups!$T$25:$W$37,4,FALSE)</f>
        <v>1.0157</v>
      </c>
      <c r="BK164" s="25">
        <f>VLOOKUP(Inventory[[#This Row],[Decade]],Lookups!$O$25:$R$42,4,FALSE)</f>
        <v>0.96919999999999995</v>
      </c>
      <c r="BL164" s="25">
        <f>Inventory[[#This Row],[Nbhd Adj]]*0.95</f>
        <v>0.94971499999999998</v>
      </c>
      <c r="BM164" s="25">
        <f>Inventory[[#This Row],[Nbhd Adj]]*Inventory[[#This Row],[Quality Adj]]*Inventory[[#This Row],[Condition Adj]]*Inventory[[#This Row],[Living Area Adj]]*Inventory[[#This Row],[Decade Adj]]*0.95</f>
        <v>0.93873104601730073</v>
      </c>
      <c r="BN164" s="25">
        <f>ROUND(SUM(Inventory[[#This Row],[Mdl Qlty]:[Mdl WdDeck]])+Inventory[[#This Row],[Mdl Res Intercept]]*Inventory[[#This Row],[Res Adj ]],-2)</f>
        <v>272900</v>
      </c>
      <c r="BO164" s="25">
        <f>ROUND(Inventory[[#This Row],[25Det]]*Inventory[[#This Row],[Det/Nbhd Adj]],-2)</f>
        <v>13400</v>
      </c>
      <c r="BP164" s="25">
        <f>Inventory[[#This Row],[Adjusted Res]]+Inventory[[#This Row],[Adj Det ]]</f>
        <v>286300</v>
      </c>
      <c r="BQ164" s="25">
        <f>ROUND((Inventory[[#This Row],[Mdl Land Intercept]]+Inventory[[#This Row],[Mdl LnAcres]])*Inventory[[#This Row],[Det/Nbhd Adj]],-2)</f>
        <v>-11400</v>
      </c>
      <c r="BR164" s="25">
        <f>Inventory[[#This Row],[Adjusted Impr Total]]+Inventory[[#This Row],[Adjusted Land Total]]</f>
        <v>274900</v>
      </c>
      <c r="BS164" s="36">
        <f>IFERROR((Inventory[[#This Row],[Adjusted Impr Total]]-Inventory[[#This Row],[24Bldg]])/Inventory[[#This Row],[24Bldg]],0)</f>
        <v>0.26737494466578132</v>
      </c>
      <c r="BT164" s="36">
        <f>(Inventory[[#This Row],[Adjusted Land Total]]-Inventory[[#This Row],[24Lnd]])/Inventory[[#This Row],[24Lnd]]</f>
        <v>-1.2857142857142858</v>
      </c>
      <c r="BU164" s="36">
        <f>(Inventory[[#This Row],[Adjusted Total]]-Inventory[[#This Row],[24Final]])/Inventory[[#This Row],[24Final]]</f>
        <v>3.423626787057938E-2</v>
      </c>
    </row>
    <row r="165" spans="1:73" x14ac:dyDescent="0.3">
      <c r="A165" s="25">
        <v>2025</v>
      </c>
      <c r="B165" s="26" t="s">
        <v>1701</v>
      </c>
      <c r="C165" s="26">
        <f>LN(Inventory[[#This Row],[Acres]])</f>
        <v>-3.2188758248682006</v>
      </c>
      <c r="D165" s="25">
        <v>0.04</v>
      </c>
      <c r="E165" s="25">
        <v>1348</v>
      </c>
      <c r="F165" s="26" t="s">
        <v>537</v>
      </c>
      <c r="G165" s="26" t="s">
        <v>28</v>
      </c>
      <c r="H165" s="26" t="s">
        <v>349</v>
      </c>
      <c r="I165" s="26" t="s">
        <v>538</v>
      </c>
      <c r="J165" s="26" t="s">
        <v>551</v>
      </c>
      <c r="K165" s="26" t="s">
        <v>381</v>
      </c>
      <c r="L165" s="26" t="s">
        <v>351</v>
      </c>
      <c r="M165" s="26" t="s">
        <v>323</v>
      </c>
      <c r="N165" s="26">
        <v>50</v>
      </c>
      <c r="O165" s="26">
        <f>2024-Inventory[[#This Row],[YrBlt]]</f>
        <v>44</v>
      </c>
      <c r="P165" s="26">
        <f>2024-Inventory[[#This Row],[EffYr]]</f>
        <v>44</v>
      </c>
      <c r="Q165" s="25">
        <v>1980</v>
      </c>
      <c r="R165" s="25">
        <v>1980</v>
      </c>
      <c r="S165" s="25">
        <v>1348</v>
      </c>
      <c r="T165" s="27"/>
      <c r="U165" s="31"/>
      <c r="V165" s="27">
        <f>Inventory[[#This Row],[Bsmt]]-Inventory[[#This Row],[FnBsmt]]</f>
        <v>0</v>
      </c>
      <c r="W165" s="27"/>
      <c r="X165" s="27"/>
      <c r="Y165" s="27">
        <f>Inventory[[#This Row],[MainFn]]+Inventory[[#This Row],[UpprFn]]+Inventory[[#This Row],[FnBsmt]]+Inventory[[#This Row],[AddFn]]</f>
        <v>1348</v>
      </c>
      <c r="Z165" s="27">
        <v>1500</v>
      </c>
      <c r="AA165" s="25">
        <v>8</v>
      </c>
      <c r="AB165" s="31"/>
      <c r="AC165" s="27"/>
      <c r="AD165" s="27"/>
      <c r="AE165" s="27"/>
      <c r="AF165" s="27"/>
      <c r="AG165" s="27"/>
      <c r="AH165" s="27"/>
      <c r="AI165" s="25">
        <v>218657</v>
      </c>
      <c r="AJ165" s="25">
        <v>170552</v>
      </c>
      <c r="AK165" s="25">
        <v>14077</v>
      </c>
      <c r="AL165" s="25">
        <v>263400</v>
      </c>
      <c r="AM165" s="25">
        <v>39500</v>
      </c>
      <c r="AN165" s="25">
        <v>223900</v>
      </c>
      <c r="AO165" s="25">
        <v>0</v>
      </c>
      <c r="AP165" s="25">
        <f>Lookups!$B$56*0</f>
        <v>0</v>
      </c>
      <c r="AQ165" s="25">
        <f>Lookups!$B$56*1</f>
        <v>89850.625589999996</v>
      </c>
      <c r="AR165" s="25">
        <f>Lookups!$B$57*Inventory[[#This Row],[LnAcres]]</f>
        <v>-101892.2773541973</v>
      </c>
      <c r="AS165" s="25">
        <f>VLOOKUP(Inventory[[#This Row],[Qlty]],Lookups!$A$62:$E$75,2,FALSE)</f>
        <v>21557.329055999999</v>
      </c>
      <c r="AT165" s="25">
        <f>VLOOKUP(Inventory[[#This Row],[Cnd]],Lookups!$A$76:$E$84,2,FALSE)</f>
        <v>160472.20319</v>
      </c>
      <c r="AU165" s="25">
        <f>Inventory[[#This Row],[EffAge]]*Lookups!$B$85</f>
        <v>-9814.0064220000004</v>
      </c>
      <c r="AV165" s="25">
        <f>Inventory[[#This Row],[MainFn]]*Lookups!$B$86</f>
        <v>66602.886994196</v>
      </c>
      <c r="AW165" s="25">
        <f>Inventory[[#This Row],[UpprFn]]*Lookups!$B$87</f>
        <v>0</v>
      </c>
      <c r="AX165" s="25">
        <f>Inventory[[#This Row],[AddFn]]*Lookups!$B$88</f>
        <v>0</v>
      </c>
      <c r="AY165" s="25">
        <f>Inventory[[#This Row],[Bsmt]]*Lookups!$B$89</f>
        <v>0</v>
      </c>
      <c r="AZ165" s="25">
        <f>Inventory[[#This Row],[Fixtures]]*Lookups!$B$90</f>
        <v>30336.176841600001</v>
      </c>
      <c r="BA165" s="25">
        <f>Inventory[[#This Row],[WdDeck]]*Lookups!$B$91</f>
        <v>0</v>
      </c>
      <c r="BB165" s="25">
        <f>ROUND(Inventory[[#This Row],[25Det]],-2)</f>
        <v>14100</v>
      </c>
      <c r="BC165" s="25">
        <f>ROUND(SUM(Inventory[[#This Row],[Mdl Qlty]:[Mdl WdDeck]])+Inventory[[#This Row],[Mdl Res Intercept]],-2)</f>
        <v>269200</v>
      </c>
      <c r="BD165" s="25">
        <f>ROUND(Inventory[[#This Row],[Mdl Land Intercept]]+Inventory[[#This Row],[Mdl LnAcres]],-2)</f>
        <v>-12000</v>
      </c>
      <c r="BE165" s="25">
        <f>Inventory[[#This Row],[Unadj Res Value]]+Inventory[[#This Row],[Unadj Det Value]]+Inventory[[#This Row],[Unadj Land Value]]</f>
        <v>271300</v>
      </c>
      <c r="BF165" s="36">
        <f>(Inventory[[#This Row],[Unadj Total Value]]-Inventory[[#This Row],[24Final]])/Inventory[[#This Row],[24Final]]</f>
        <v>2.9992406985573272E-2</v>
      </c>
      <c r="BG165" s="25">
        <f>VLOOKUP(Inventory[[#This Row],[Nbhd]],Lookups!$Q$2:$T$4,4,FALSE)</f>
        <v>0.99970000000000003</v>
      </c>
      <c r="BH165" s="25">
        <f>VLOOKUP(Inventory[[#This Row],[Qlty]],Lookups!$O$7:$R$21,4,FALSE)</f>
        <v>1.0067999999999999</v>
      </c>
      <c r="BI165" s="25">
        <f>VLOOKUP(Inventory[[#This Row],[Cnd]],Lookups!$T$7:$W$16,4,FALSE)</f>
        <v>0.99729999999999996</v>
      </c>
      <c r="BJ165" s="25">
        <f>VLOOKUP(Inventory[[#This Row],[LivArea Range]],Lookups!$T$25:$W$37,4,FALSE)</f>
        <v>1.0157</v>
      </c>
      <c r="BK165" s="25">
        <f>VLOOKUP(Inventory[[#This Row],[Decade]],Lookups!$O$25:$R$42,4,FALSE)</f>
        <v>0.96919999999999995</v>
      </c>
      <c r="BL165" s="25">
        <f>Inventory[[#This Row],[Nbhd Adj]]*0.95</f>
        <v>0.94971499999999998</v>
      </c>
      <c r="BM165" s="25">
        <f>Inventory[[#This Row],[Nbhd Adj]]*Inventory[[#This Row],[Quality Adj]]*Inventory[[#This Row],[Condition Adj]]*Inventory[[#This Row],[Living Area Adj]]*Inventory[[#This Row],[Decade Adj]]*0.95</f>
        <v>0.93873104601730073</v>
      </c>
      <c r="BN165" s="25">
        <f>ROUND(SUM(Inventory[[#This Row],[Mdl Qlty]:[Mdl WdDeck]])+Inventory[[#This Row],[Mdl Res Intercept]]*Inventory[[#This Row],[Res Adj ]],-2)</f>
        <v>269200</v>
      </c>
      <c r="BO165" s="25">
        <f>ROUND(Inventory[[#This Row],[25Det]]*Inventory[[#This Row],[Det/Nbhd Adj]],-2)</f>
        <v>13400</v>
      </c>
      <c r="BP165" s="25">
        <f>Inventory[[#This Row],[Adjusted Res]]+Inventory[[#This Row],[Adj Det ]]</f>
        <v>282600</v>
      </c>
      <c r="BQ165" s="25">
        <f>ROUND((Inventory[[#This Row],[Mdl Land Intercept]]+Inventory[[#This Row],[Mdl LnAcres]])*Inventory[[#This Row],[Det/Nbhd Adj]],-2)</f>
        <v>-11400</v>
      </c>
      <c r="BR165" s="25">
        <f>Inventory[[#This Row],[Adjusted Impr Total]]+Inventory[[#This Row],[Adjusted Land Total]]</f>
        <v>271200</v>
      </c>
      <c r="BS165" s="36">
        <f>IFERROR((Inventory[[#This Row],[Adjusted Impr Total]]-Inventory[[#This Row],[24Bldg]])/Inventory[[#This Row],[24Bldg]],0)</f>
        <v>0.26217061188030372</v>
      </c>
      <c r="BT165" s="36">
        <f>(Inventory[[#This Row],[Adjusted Land Total]]-Inventory[[#This Row],[24Lnd]])/Inventory[[#This Row],[24Lnd]]</f>
        <v>-1.2886075949367088</v>
      </c>
      <c r="BU165" s="36">
        <f>(Inventory[[#This Row],[Adjusted Total]]-Inventory[[#This Row],[24Final]])/Inventory[[#This Row],[24Final]]</f>
        <v>2.9612756264236904E-2</v>
      </c>
    </row>
    <row r="166" spans="1:73" x14ac:dyDescent="0.3">
      <c r="A166" s="25">
        <v>2025</v>
      </c>
      <c r="B166" s="26" t="s">
        <v>1700</v>
      </c>
      <c r="C166" s="26">
        <f>LN(Inventory[[#This Row],[Acres]])</f>
        <v>-3.2188758248682006</v>
      </c>
      <c r="D166" s="25">
        <v>0.04</v>
      </c>
      <c r="E166" s="25">
        <v>1348</v>
      </c>
      <c r="F166" s="26" t="s">
        <v>537</v>
      </c>
      <c r="G166" s="26" t="s">
        <v>28</v>
      </c>
      <c r="H166" s="26" t="s">
        <v>349</v>
      </c>
      <c r="I166" s="26" t="s">
        <v>538</v>
      </c>
      <c r="J166" s="26" t="s">
        <v>551</v>
      </c>
      <c r="K166" s="26" t="s">
        <v>381</v>
      </c>
      <c r="L166" s="26" t="s">
        <v>351</v>
      </c>
      <c r="M166" s="26" t="s">
        <v>323</v>
      </c>
      <c r="N166" s="26">
        <v>50</v>
      </c>
      <c r="O166" s="26">
        <f>2024-Inventory[[#This Row],[YrBlt]]</f>
        <v>44</v>
      </c>
      <c r="P166" s="26">
        <f>2024-Inventory[[#This Row],[EffYr]]</f>
        <v>44</v>
      </c>
      <c r="Q166" s="25">
        <v>1980</v>
      </c>
      <c r="R166" s="25">
        <v>1980</v>
      </c>
      <c r="S166" s="25">
        <v>1348</v>
      </c>
      <c r="T166" s="27"/>
      <c r="U166" s="31"/>
      <c r="V166" s="31">
        <f>Inventory[[#This Row],[Bsmt]]-Inventory[[#This Row],[FnBsmt]]</f>
        <v>0</v>
      </c>
      <c r="W166" s="31"/>
      <c r="X166" s="27"/>
      <c r="Y166" s="27">
        <f>Inventory[[#This Row],[MainFn]]+Inventory[[#This Row],[UpprFn]]+Inventory[[#This Row],[FnBsmt]]+Inventory[[#This Row],[AddFn]]</f>
        <v>1348</v>
      </c>
      <c r="Z166" s="27">
        <v>1500</v>
      </c>
      <c r="AA166" s="25">
        <v>9</v>
      </c>
      <c r="AB166" s="31"/>
      <c r="AC166" s="27"/>
      <c r="AD166" s="31"/>
      <c r="AE166" s="27"/>
      <c r="AF166" s="27"/>
      <c r="AG166" s="27"/>
      <c r="AH166" s="27"/>
      <c r="AI166" s="25">
        <v>224768</v>
      </c>
      <c r="AJ166" s="25">
        <v>175319</v>
      </c>
      <c r="AK166" s="25">
        <v>14077</v>
      </c>
      <c r="AL166" s="25">
        <v>267700</v>
      </c>
      <c r="AM166" s="25">
        <v>40200</v>
      </c>
      <c r="AN166" s="25">
        <v>227500</v>
      </c>
      <c r="AO166" s="25">
        <v>0</v>
      </c>
      <c r="AP166" s="25">
        <f>Lookups!$B$56*0</f>
        <v>0</v>
      </c>
      <c r="AQ166" s="25">
        <f>Lookups!$B$56*1</f>
        <v>89850.625589999996</v>
      </c>
      <c r="AR166" s="25">
        <f>Lookups!$B$57*Inventory[[#This Row],[LnAcres]]</f>
        <v>-101892.2773541973</v>
      </c>
      <c r="AS166" s="25">
        <f>VLOOKUP(Inventory[[#This Row],[Qlty]],Lookups!$A$62:$E$75,2,FALSE)</f>
        <v>21557.329055999999</v>
      </c>
      <c r="AT166" s="25">
        <f>VLOOKUP(Inventory[[#This Row],[Cnd]],Lookups!$A$76:$E$84,2,FALSE)</f>
        <v>160472.20319</v>
      </c>
      <c r="AU166" s="25">
        <f>Inventory[[#This Row],[EffAge]]*Lookups!$B$85</f>
        <v>-9814.0064220000004</v>
      </c>
      <c r="AV166" s="25">
        <f>Inventory[[#This Row],[MainFn]]*Lookups!$B$86</f>
        <v>66602.886994196</v>
      </c>
      <c r="AW166" s="25">
        <f>Inventory[[#This Row],[UpprFn]]*Lookups!$B$87</f>
        <v>0</v>
      </c>
      <c r="AX166" s="25">
        <f>Inventory[[#This Row],[AddFn]]*Lookups!$B$88</f>
        <v>0</v>
      </c>
      <c r="AY166" s="25">
        <f>Inventory[[#This Row],[Bsmt]]*Lookups!$B$89</f>
        <v>0</v>
      </c>
      <c r="AZ166" s="25">
        <f>Inventory[[#This Row],[Fixtures]]*Lookups!$B$90</f>
        <v>34128.198946800003</v>
      </c>
      <c r="BA166" s="25">
        <f>Inventory[[#This Row],[WdDeck]]*Lookups!$B$91</f>
        <v>0</v>
      </c>
      <c r="BB166" s="25">
        <f>ROUND(Inventory[[#This Row],[25Det]],-2)</f>
        <v>14100</v>
      </c>
      <c r="BC166" s="25">
        <f>ROUND(SUM(Inventory[[#This Row],[Mdl Qlty]:[Mdl WdDeck]])+Inventory[[#This Row],[Mdl Res Intercept]],-2)</f>
        <v>272900</v>
      </c>
      <c r="BD166" s="25">
        <f>ROUND(Inventory[[#This Row],[Mdl Land Intercept]]+Inventory[[#This Row],[Mdl LnAcres]],-2)</f>
        <v>-12000</v>
      </c>
      <c r="BE166" s="25">
        <f>Inventory[[#This Row],[Unadj Res Value]]+Inventory[[#This Row],[Unadj Det Value]]+Inventory[[#This Row],[Unadj Land Value]]</f>
        <v>275000</v>
      </c>
      <c r="BF166" s="36">
        <f>(Inventory[[#This Row],[Unadj Total Value]]-Inventory[[#This Row],[24Final]])/Inventory[[#This Row],[24Final]]</f>
        <v>2.7269331341053419E-2</v>
      </c>
      <c r="BG166" s="25">
        <f>VLOOKUP(Inventory[[#This Row],[Nbhd]],Lookups!$Q$2:$T$4,4,FALSE)</f>
        <v>0.99970000000000003</v>
      </c>
      <c r="BH166" s="25">
        <f>VLOOKUP(Inventory[[#This Row],[Qlty]],Lookups!$O$7:$R$21,4,FALSE)</f>
        <v>1.0067999999999999</v>
      </c>
      <c r="BI166" s="25">
        <f>VLOOKUP(Inventory[[#This Row],[Cnd]],Lookups!$T$7:$W$16,4,FALSE)</f>
        <v>0.99729999999999996</v>
      </c>
      <c r="BJ166" s="25">
        <f>VLOOKUP(Inventory[[#This Row],[LivArea Range]],Lookups!$T$25:$W$37,4,FALSE)</f>
        <v>1.0157</v>
      </c>
      <c r="BK166" s="25">
        <f>VLOOKUP(Inventory[[#This Row],[Decade]],Lookups!$O$25:$R$42,4,FALSE)</f>
        <v>0.96919999999999995</v>
      </c>
      <c r="BL166" s="25">
        <f>Inventory[[#This Row],[Nbhd Adj]]*0.95</f>
        <v>0.94971499999999998</v>
      </c>
      <c r="BM166" s="25">
        <f>Inventory[[#This Row],[Nbhd Adj]]*Inventory[[#This Row],[Quality Adj]]*Inventory[[#This Row],[Condition Adj]]*Inventory[[#This Row],[Living Area Adj]]*Inventory[[#This Row],[Decade Adj]]*0.95</f>
        <v>0.93873104601730073</v>
      </c>
      <c r="BN166" s="25">
        <f>ROUND(SUM(Inventory[[#This Row],[Mdl Qlty]:[Mdl WdDeck]])+Inventory[[#This Row],[Mdl Res Intercept]]*Inventory[[#This Row],[Res Adj ]],-2)</f>
        <v>272900</v>
      </c>
      <c r="BO166" s="25">
        <f>ROUND(Inventory[[#This Row],[25Det]]*Inventory[[#This Row],[Det/Nbhd Adj]],-2)</f>
        <v>13400</v>
      </c>
      <c r="BP166" s="25">
        <f>Inventory[[#This Row],[Adjusted Res]]+Inventory[[#This Row],[Adj Det ]]</f>
        <v>286300</v>
      </c>
      <c r="BQ166" s="25">
        <f>ROUND((Inventory[[#This Row],[Mdl Land Intercept]]+Inventory[[#This Row],[Mdl LnAcres]])*Inventory[[#This Row],[Det/Nbhd Adj]],-2)</f>
        <v>-11400</v>
      </c>
      <c r="BR166" s="25">
        <f>Inventory[[#This Row],[Adjusted Impr Total]]+Inventory[[#This Row],[Adjusted Land Total]]</f>
        <v>274900</v>
      </c>
      <c r="BS166" s="36">
        <f>IFERROR((Inventory[[#This Row],[Adjusted Impr Total]]-Inventory[[#This Row],[24Bldg]])/Inventory[[#This Row],[24Bldg]],0)</f>
        <v>0.25846153846153846</v>
      </c>
      <c r="BT166" s="36">
        <f>(Inventory[[#This Row],[Adjusted Land Total]]-Inventory[[#This Row],[24Lnd]])/Inventory[[#This Row],[24Lnd]]</f>
        <v>-1.2835820895522387</v>
      </c>
      <c r="BU166" s="36">
        <f>(Inventory[[#This Row],[Adjusted Total]]-Inventory[[#This Row],[24Final]])/Inventory[[#This Row],[24Final]]</f>
        <v>2.6895778856929398E-2</v>
      </c>
    </row>
    <row r="167" spans="1:73" x14ac:dyDescent="0.3">
      <c r="A167" s="25">
        <v>2025</v>
      </c>
      <c r="B167" s="26" t="s">
        <v>1637</v>
      </c>
      <c r="C167" s="26">
        <f>LN(Inventory[[#This Row],[Acres]])</f>
        <v>-3.2188758248682006</v>
      </c>
      <c r="D167" s="25">
        <v>0.04</v>
      </c>
      <c r="E167" s="25">
        <v>1348</v>
      </c>
      <c r="F167" s="26" t="s">
        <v>537</v>
      </c>
      <c r="G167" s="26" t="s">
        <v>28</v>
      </c>
      <c r="H167" s="26" t="s">
        <v>349</v>
      </c>
      <c r="I167" s="26" t="s">
        <v>538</v>
      </c>
      <c r="J167" s="26" t="s">
        <v>551</v>
      </c>
      <c r="K167" s="26" t="s">
        <v>381</v>
      </c>
      <c r="L167" s="26" t="s">
        <v>351</v>
      </c>
      <c r="M167" s="26" t="s">
        <v>323</v>
      </c>
      <c r="N167" s="26">
        <v>50</v>
      </c>
      <c r="O167" s="26">
        <f>2024-Inventory[[#This Row],[YrBlt]]</f>
        <v>44</v>
      </c>
      <c r="P167" s="26">
        <f>2024-Inventory[[#This Row],[EffYr]]</f>
        <v>44</v>
      </c>
      <c r="Q167" s="25">
        <v>1980</v>
      </c>
      <c r="R167" s="25">
        <v>1980</v>
      </c>
      <c r="S167" s="25">
        <v>1348</v>
      </c>
      <c r="T167" s="27"/>
      <c r="U167" s="31"/>
      <c r="V167" s="31">
        <f>Inventory[[#This Row],[Bsmt]]-Inventory[[#This Row],[FnBsmt]]</f>
        <v>0</v>
      </c>
      <c r="W167" s="31"/>
      <c r="X167" s="27"/>
      <c r="Y167" s="27">
        <f>Inventory[[#This Row],[MainFn]]+Inventory[[#This Row],[UpprFn]]+Inventory[[#This Row],[FnBsmt]]+Inventory[[#This Row],[AddFn]]</f>
        <v>1348</v>
      </c>
      <c r="Z167" s="27">
        <v>1500</v>
      </c>
      <c r="AA167" s="25">
        <v>8</v>
      </c>
      <c r="AB167" s="31"/>
      <c r="AC167" s="27"/>
      <c r="AD167" s="27"/>
      <c r="AE167" s="27"/>
      <c r="AF167" s="27"/>
      <c r="AG167" s="27"/>
      <c r="AH167" s="27"/>
      <c r="AI167" s="25">
        <v>220071</v>
      </c>
      <c r="AJ167" s="25">
        <v>171655</v>
      </c>
      <c r="AK167" s="25">
        <v>14077</v>
      </c>
      <c r="AL167" s="25">
        <v>265000</v>
      </c>
      <c r="AM167" s="25">
        <v>39800</v>
      </c>
      <c r="AN167" s="25">
        <v>225200</v>
      </c>
      <c r="AO167" s="25">
        <v>0</v>
      </c>
      <c r="AP167" s="25">
        <f>Lookups!$B$56*0</f>
        <v>0</v>
      </c>
      <c r="AQ167" s="25">
        <f>Lookups!$B$56*1</f>
        <v>89850.625589999996</v>
      </c>
      <c r="AR167" s="25">
        <f>Lookups!$B$57*Inventory[[#This Row],[LnAcres]]</f>
        <v>-101892.2773541973</v>
      </c>
      <c r="AS167" s="25">
        <f>VLOOKUP(Inventory[[#This Row],[Qlty]],Lookups!$A$62:$E$75,2,FALSE)</f>
        <v>21557.329055999999</v>
      </c>
      <c r="AT167" s="25">
        <f>VLOOKUP(Inventory[[#This Row],[Cnd]],Lookups!$A$76:$E$84,2,FALSE)</f>
        <v>160472.20319</v>
      </c>
      <c r="AU167" s="25">
        <f>Inventory[[#This Row],[EffAge]]*Lookups!$B$85</f>
        <v>-9814.0064220000004</v>
      </c>
      <c r="AV167" s="25">
        <f>Inventory[[#This Row],[MainFn]]*Lookups!$B$86</f>
        <v>66602.886994196</v>
      </c>
      <c r="AW167" s="25">
        <f>Inventory[[#This Row],[UpprFn]]*Lookups!$B$87</f>
        <v>0</v>
      </c>
      <c r="AX167" s="25">
        <f>Inventory[[#This Row],[AddFn]]*Lookups!$B$88</f>
        <v>0</v>
      </c>
      <c r="AY167" s="25">
        <f>Inventory[[#This Row],[Bsmt]]*Lookups!$B$89</f>
        <v>0</v>
      </c>
      <c r="AZ167" s="25">
        <f>Inventory[[#This Row],[Fixtures]]*Lookups!$B$90</f>
        <v>30336.176841600001</v>
      </c>
      <c r="BA167" s="25">
        <f>Inventory[[#This Row],[WdDeck]]*Lookups!$B$91</f>
        <v>0</v>
      </c>
      <c r="BB167" s="25">
        <f>ROUND(Inventory[[#This Row],[25Det]],-2)</f>
        <v>14100</v>
      </c>
      <c r="BC167" s="25">
        <f>ROUND(SUM(Inventory[[#This Row],[Mdl Qlty]:[Mdl WdDeck]])+Inventory[[#This Row],[Mdl Res Intercept]],-2)</f>
        <v>269200</v>
      </c>
      <c r="BD167" s="25">
        <f>ROUND(Inventory[[#This Row],[Mdl Land Intercept]]+Inventory[[#This Row],[Mdl LnAcres]],-2)</f>
        <v>-12000</v>
      </c>
      <c r="BE167" s="25">
        <f>Inventory[[#This Row],[Unadj Res Value]]+Inventory[[#This Row],[Unadj Det Value]]+Inventory[[#This Row],[Unadj Land Value]]</f>
        <v>271300</v>
      </c>
      <c r="BF167" s="36">
        <f>(Inventory[[#This Row],[Unadj Total Value]]-Inventory[[#This Row],[24Final]])/Inventory[[#This Row],[24Final]]</f>
        <v>2.3773584905660377E-2</v>
      </c>
      <c r="BG167" s="25">
        <f>VLOOKUP(Inventory[[#This Row],[Nbhd]],Lookups!$Q$2:$T$4,4,FALSE)</f>
        <v>0.99970000000000003</v>
      </c>
      <c r="BH167" s="25">
        <f>VLOOKUP(Inventory[[#This Row],[Qlty]],Lookups!$O$7:$R$21,4,FALSE)</f>
        <v>1.0067999999999999</v>
      </c>
      <c r="BI167" s="25">
        <f>VLOOKUP(Inventory[[#This Row],[Cnd]],Lookups!$T$7:$W$16,4,FALSE)</f>
        <v>0.99729999999999996</v>
      </c>
      <c r="BJ167" s="25">
        <f>VLOOKUP(Inventory[[#This Row],[LivArea Range]],Lookups!$T$25:$W$37,4,FALSE)</f>
        <v>1.0157</v>
      </c>
      <c r="BK167" s="25">
        <f>VLOOKUP(Inventory[[#This Row],[Decade]],Lookups!$O$25:$R$42,4,FALSE)</f>
        <v>0.96919999999999995</v>
      </c>
      <c r="BL167" s="25">
        <f>Inventory[[#This Row],[Nbhd Adj]]*0.95</f>
        <v>0.94971499999999998</v>
      </c>
      <c r="BM167" s="25">
        <f>Inventory[[#This Row],[Nbhd Adj]]*Inventory[[#This Row],[Quality Adj]]*Inventory[[#This Row],[Condition Adj]]*Inventory[[#This Row],[Living Area Adj]]*Inventory[[#This Row],[Decade Adj]]*0.95</f>
        <v>0.93873104601730073</v>
      </c>
      <c r="BN167" s="25">
        <f>ROUND(SUM(Inventory[[#This Row],[Mdl Qlty]:[Mdl WdDeck]])+Inventory[[#This Row],[Mdl Res Intercept]]*Inventory[[#This Row],[Res Adj ]],-2)</f>
        <v>269200</v>
      </c>
      <c r="BO167" s="25">
        <f>ROUND(Inventory[[#This Row],[25Det]]*Inventory[[#This Row],[Det/Nbhd Adj]],-2)</f>
        <v>13400</v>
      </c>
      <c r="BP167" s="25">
        <f>Inventory[[#This Row],[Adjusted Res]]+Inventory[[#This Row],[Adj Det ]]</f>
        <v>282600</v>
      </c>
      <c r="BQ167" s="25">
        <f>ROUND((Inventory[[#This Row],[Mdl Land Intercept]]+Inventory[[#This Row],[Mdl LnAcres]])*Inventory[[#This Row],[Det/Nbhd Adj]],-2)</f>
        <v>-11400</v>
      </c>
      <c r="BR167" s="25">
        <f>Inventory[[#This Row],[Adjusted Impr Total]]+Inventory[[#This Row],[Adjusted Land Total]]</f>
        <v>271200</v>
      </c>
      <c r="BS167" s="36">
        <f>IFERROR((Inventory[[#This Row],[Adjusted Impr Total]]-Inventory[[#This Row],[24Bldg]])/Inventory[[#This Row],[24Bldg]],0)</f>
        <v>0.25488454706927177</v>
      </c>
      <c r="BT167" s="36">
        <f>(Inventory[[#This Row],[Adjusted Land Total]]-Inventory[[#This Row],[24Lnd]])/Inventory[[#This Row],[24Lnd]]</f>
        <v>-1.2864321608040201</v>
      </c>
      <c r="BU167" s="36">
        <f>(Inventory[[#This Row],[Adjusted Total]]-Inventory[[#This Row],[24Final]])/Inventory[[#This Row],[24Final]]</f>
        <v>2.339622641509434E-2</v>
      </c>
    </row>
    <row r="168" spans="1:73" x14ac:dyDescent="0.3">
      <c r="A168" s="25">
        <v>2025</v>
      </c>
      <c r="B168" s="26" t="s">
        <v>1642</v>
      </c>
      <c r="C168" s="26">
        <f>LN(Inventory[[#This Row],[Acres]])</f>
        <v>-3.2188758248682006</v>
      </c>
      <c r="D168" s="25">
        <v>0.04</v>
      </c>
      <c r="E168" s="25">
        <v>1348</v>
      </c>
      <c r="F168" s="26" t="s">
        <v>537</v>
      </c>
      <c r="G168" s="26" t="s">
        <v>28</v>
      </c>
      <c r="H168" s="26" t="s">
        <v>349</v>
      </c>
      <c r="I168" s="26" t="s">
        <v>538</v>
      </c>
      <c r="J168" s="26" t="s">
        <v>551</v>
      </c>
      <c r="K168" s="26" t="s">
        <v>381</v>
      </c>
      <c r="L168" s="26" t="s">
        <v>351</v>
      </c>
      <c r="M168" s="26" t="s">
        <v>323</v>
      </c>
      <c r="N168" s="26">
        <v>50</v>
      </c>
      <c r="O168" s="26">
        <f>2024-Inventory[[#This Row],[YrBlt]]</f>
        <v>44</v>
      </c>
      <c r="P168" s="26">
        <f>2024-Inventory[[#This Row],[EffYr]]</f>
        <v>44</v>
      </c>
      <c r="Q168" s="25">
        <v>1980</v>
      </c>
      <c r="R168" s="25">
        <v>1980</v>
      </c>
      <c r="S168" s="25">
        <v>1348</v>
      </c>
      <c r="T168" s="27"/>
      <c r="U168" s="31"/>
      <c r="V168" s="31">
        <f>Inventory[[#This Row],[Bsmt]]-Inventory[[#This Row],[FnBsmt]]</f>
        <v>0</v>
      </c>
      <c r="W168" s="31"/>
      <c r="X168" s="27"/>
      <c r="Y168" s="27">
        <f>Inventory[[#This Row],[MainFn]]+Inventory[[#This Row],[UpprFn]]+Inventory[[#This Row],[FnBsmt]]+Inventory[[#This Row],[AddFn]]</f>
        <v>1348</v>
      </c>
      <c r="Z168" s="27">
        <v>1500</v>
      </c>
      <c r="AA168" s="25">
        <v>8</v>
      </c>
      <c r="AB168" s="31"/>
      <c r="AC168" s="27"/>
      <c r="AD168" s="31"/>
      <c r="AE168" s="27"/>
      <c r="AF168" s="27"/>
      <c r="AG168" s="27"/>
      <c r="AH168" s="27"/>
      <c r="AI168" s="25">
        <v>220322</v>
      </c>
      <c r="AJ168" s="25">
        <v>171851</v>
      </c>
      <c r="AK168" s="25">
        <v>14077</v>
      </c>
      <c r="AL168" s="25">
        <v>265300</v>
      </c>
      <c r="AM168" s="25">
        <v>39800</v>
      </c>
      <c r="AN168" s="25">
        <v>225500</v>
      </c>
      <c r="AO168" s="25">
        <v>0</v>
      </c>
      <c r="AP168" s="25">
        <f>Lookups!$B$56*0</f>
        <v>0</v>
      </c>
      <c r="AQ168" s="25">
        <f>Lookups!$B$56*1</f>
        <v>89850.625589999996</v>
      </c>
      <c r="AR168" s="25">
        <f>Lookups!$B$57*Inventory[[#This Row],[LnAcres]]</f>
        <v>-101892.2773541973</v>
      </c>
      <c r="AS168" s="25">
        <f>VLOOKUP(Inventory[[#This Row],[Qlty]],Lookups!$A$62:$E$75,2,FALSE)</f>
        <v>21557.329055999999</v>
      </c>
      <c r="AT168" s="25">
        <f>VLOOKUP(Inventory[[#This Row],[Cnd]],Lookups!$A$76:$E$84,2,FALSE)</f>
        <v>160472.20319</v>
      </c>
      <c r="AU168" s="25">
        <f>Inventory[[#This Row],[EffAge]]*Lookups!$B$85</f>
        <v>-9814.0064220000004</v>
      </c>
      <c r="AV168" s="25">
        <f>Inventory[[#This Row],[MainFn]]*Lookups!$B$86</f>
        <v>66602.886994196</v>
      </c>
      <c r="AW168" s="25">
        <f>Inventory[[#This Row],[UpprFn]]*Lookups!$B$87</f>
        <v>0</v>
      </c>
      <c r="AX168" s="25">
        <f>Inventory[[#This Row],[AddFn]]*Lookups!$B$88</f>
        <v>0</v>
      </c>
      <c r="AY168" s="25">
        <f>Inventory[[#This Row],[Bsmt]]*Lookups!$B$89</f>
        <v>0</v>
      </c>
      <c r="AZ168" s="25">
        <f>Inventory[[#This Row],[Fixtures]]*Lookups!$B$90</f>
        <v>30336.176841600001</v>
      </c>
      <c r="BA168" s="25">
        <f>Inventory[[#This Row],[WdDeck]]*Lookups!$B$91</f>
        <v>0</v>
      </c>
      <c r="BB168" s="25">
        <f>ROUND(Inventory[[#This Row],[25Det]],-2)</f>
        <v>14100</v>
      </c>
      <c r="BC168" s="25">
        <f>ROUND(SUM(Inventory[[#This Row],[Mdl Qlty]:[Mdl WdDeck]])+Inventory[[#This Row],[Mdl Res Intercept]],-2)</f>
        <v>269200</v>
      </c>
      <c r="BD168" s="25">
        <f>ROUND(Inventory[[#This Row],[Mdl Land Intercept]]+Inventory[[#This Row],[Mdl LnAcres]],-2)</f>
        <v>-12000</v>
      </c>
      <c r="BE168" s="25">
        <f>Inventory[[#This Row],[Unadj Res Value]]+Inventory[[#This Row],[Unadj Det Value]]+Inventory[[#This Row],[Unadj Land Value]]</f>
        <v>271300</v>
      </c>
      <c r="BF168" s="36">
        <f>(Inventory[[#This Row],[Unadj Total Value]]-Inventory[[#This Row],[24Final]])/Inventory[[#This Row],[24Final]]</f>
        <v>2.2615906520919715E-2</v>
      </c>
      <c r="BG168" s="25">
        <f>VLOOKUP(Inventory[[#This Row],[Nbhd]],Lookups!$Q$2:$T$4,4,FALSE)</f>
        <v>0.99970000000000003</v>
      </c>
      <c r="BH168" s="25">
        <f>VLOOKUP(Inventory[[#This Row],[Qlty]],Lookups!$O$7:$R$21,4,FALSE)</f>
        <v>1.0067999999999999</v>
      </c>
      <c r="BI168" s="25">
        <f>VLOOKUP(Inventory[[#This Row],[Cnd]],Lookups!$T$7:$W$16,4,FALSE)</f>
        <v>0.99729999999999996</v>
      </c>
      <c r="BJ168" s="25">
        <f>VLOOKUP(Inventory[[#This Row],[LivArea Range]],Lookups!$T$25:$W$37,4,FALSE)</f>
        <v>1.0157</v>
      </c>
      <c r="BK168" s="25">
        <f>VLOOKUP(Inventory[[#This Row],[Decade]],Lookups!$O$25:$R$42,4,FALSE)</f>
        <v>0.96919999999999995</v>
      </c>
      <c r="BL168" s="25">
        <f>Inventory[[#This Row],[Nbhd Adj]]*0.95</f>
        <v>0.94971499999999998</v>
      </c>
      <c r="BM168" s="25">
        <f>Inventory[[#This Row],[Nbhd Adj]]*Inventory[[#This Row],[Quality Adj]]*Inventory[[#This Row],[Condition Adj]]*Inventory[[#This Row],[Living Area Adj]]*Inventory[[#This Row],[Decade Adj]]*0.95</f>
        <v>0.93873104601730073</v>
      </c>
      <c r="BN168" s="25">
        <f>ROUND(SUM(Inventory[[#This Row],[Mdl Qlty]:[Mdl WdDeck]])+Inventory[[#This Row],[Mdl Res Intercept]]*Inventory[[#This Row],[Res Adj ]],-2)</f>
        <v>269200</v>
      </c>
      <c r="BO168" s="25">
        <f>ROUND(Inventory[[#This Row],[25Det]]*Inventory[[#This Row],[Det/Nbhd Adj]],-2)</f>
        <v>13400</v>
      </c>
      <c r="BP168" s="25">
        <f>Inventory[[#This Row],[Adjusted Res]]+Inventory[[#This Row],[Adj Det ]]</f>
        <v>282600</v>
      </c>
      <c r="BQ168" s="25">
        <f>ROUND((Inventory[[#This Row],[Mdl Land Intercept]]+Inventory[[#This Row],[Mdl LnAcres]])*Inventory[[#This Row],[Det/Nbhd Adj]],-2)</f>
        <v>-11400</v>
      </c>
      <c r="BR168" s="25">
        <f>Inventory[[#This Row],[Adjusted Impr Total]]+Inventory[[#This Row],[Adjusted Land Total]]</f>
        <v>271200</v>
      </c>
      <c r="BS168" s="36">
        <f>IFERROR((Inventory[[#This Row],[Adjusted Impr Total]]-Inventory[[#This Row],[24Bldg]])/Inventory[[#This Row],[24Bldg]],0)</f>
        <v>0.25321507760532153</v>
      </c>
      <c r="BT168" s="36">
        <f>(Inventory[[#This Row],[Adjusted Land Total]]-Inventory[[#This Row],[24Lnd]])/Inventory[[#This Row],[24Lnd]]</f>
        <v>-1.2864321608040201</v>
      </c>
      <c r="BU168" s="36">
        <f>(Inventory[[#This Row],[Adjusted Total]]-Inventory[[#This Row],[24Final]])/Inventory[[#This Row],[24Final]]</f>
        <v>2.2238974745571051E-2</v>
      </c>
    </row>
    <row r="169" spans="1:73" x14ac:dyDescent="0.3">
      <c r="A169" s="25">
        <v>2025</v>
      </c>
      <c r="B169" s="26" t="s">
        <v>2761</v>
      </c>
      <c r="C169" s="26">
        <f>LN(Inventory[[#This Row],[Acres]])</f>
        <v>-1.6607312068216509</v>
      </c>
      <c r="D169" s="25">
        <v>0.19</v>
      </c>
      <c r="E169" s="25">
        <v>8269</v>
      </c>
      <c r="F169" s="26" t="s">
        <v>537</v>
      </c>
      <c r="G169" s="26" t="s">
        <v>126</v>
      </c>
      <c r="H169" s="26" t="s">
        <v>349</v>
      </c>
      <c r="I169" s="26" t="s">
        <v>538</v>
      </c>
      <c r="J169" s="26" t="s">
        <v>539</v>
      </c>
      <c r="K169" s="26" t="s">
        <v>5</v>
      </c>
      <c r="L169" s="26" t="s">
        <v>148</v>
      </c>
      <c r="M169" s="26" t="s">
        <v>323</v>
      </c>
      <c r="N169" s="26">
        <v>50</v>
      </c>
      <c r="O169" s="26">
        <f>2024-Inventory[[#This Row],[YrBlt]]</f>
        <v>44</v>
      </c>
      <c r="P169" s="26">
        <f>2024-Inventory[[#This Row],[EffYr]]</f>
        <v>44</v>
      </c>
      <c r="Q169" s="25">
        <v>1980</v>
      </c>
      <c r="R169" s="25">
        <v>1980</v>
      </c>
      <c r="S169" s="25">
        <v>1572</v>
      </c>
      <c r="T169" s="27"/>
      <c r="U169" s="25">
        <v>860</v>
      </c>
      <c r="V169" s="25">
        <f>Inventory[[#This Row],[Bsmt]]-Inventory[[#This Row],[FnBsmt]]</f>
        <v>0</v>
      </c>
      <c r="W169" s="25">
        <v>860</v>
      </c>
      <c r="X169" s="27"/>
      <c r="Y169" s="27">
        <f>Inventory[[#This Row],[MainFn]]+Inventory[[#This Row],[UpprFn]]+Inventory[[#This Row],[FnBsmt]]+Inventory[[#This Row],[AddFn]]</f>
        <v>2432</v>
      </c>
      <c r="Z169" s="27">
        <v>2500</v>
      </c>
      <c r="AA169" s="25">
        <v>8</v>
      </c>
      <c r="AB169" s="31"/>
      <c r="AC169" s="32">
        <v>624</v>
      </c>
      <c r="AD169" s="32">
        <v>216</v>
      </c>
      <c r="AE169" s="27"/>
      <c r="AF169" s="27"/>
      <c r="AG169" s="27"/>
      <c r="AH169" s="27"/>
      <c r="AI169" s="25">
        <v>480862</v>
      </c>
      <c r="AJ169" s="25">
        <v>375072</v>
      </c>
      <c r="AK169" s="25">
        <v>0</v>
      </c>
      <c r="AL169" s="25">
        <v>362600</v>
      </c>
      <c r="AM169" s="25">
        <v>56600</v>
      </c>
      <c r="AN169" s="25">
        <v>306000</v>
      </c>
      <c r="AO169" s="25">
        <v>0</v>
      </c>
      <c r="AP169" s="25">
        <f>Lookups!$B$56*0</f>
        <v>0</v>
      </c>
      <c r="AQ169" s="25">
        <f>Lookups!$B$56*1</f>
        <v>89850.625589999996</v>
      </c>
      <c r="AR169" s="25">
        <f>Lookups!$B$57*Inventory[[#This Row],[LnAcres]]</f>
        <v>-52569.808201026557</v>
      </c>
      <c r="AS169" s="25">
        <f>VLOOKUP(Inventory[[#This Row],[Qlty]],Lookups!$A$62:$E$75,2,FALSE)</f>
        <v>44121.038090000002</v>
      </c>
      <c r="AT169" s="25">
        <f>VLOOKUP(Inventory[[#This Row],[Cnd]],Lookups!$A$76:$E$84,2,FALSE)</f>
        <v>160472.20319</v>
      </c>
      <c r="AU169" s="25">
        <f>Inventory[[#This Row],[EffAge]]*Lookups!$B$85</f>
        <v>-9814.0064220000004</v>
      </c>
      <c r="AV169" s="25">
        <f>Inventory[[#This Row],[MainFn]]*Lookups!$B$86</f>
        <v>77670.429046644</v>
      </c>
      <c r="AW169" s="25">
        <f>Inventory[[#This Row],[UpprFn]]*Lookups!$B$87</f>
        <v>0</v>
      </c>
      <c r="AX169" s="25">
        <f>Inventory[[#This Row],[AddFn]]*Lookups!$B$88</f>
        <v>0</v>
      </c>
      <c r="AY169" s="25">
        <f>Inventory[[#This Row],[Bsmt]]*Lookups!$B$89</f>
        <v>25010.429912419997</v>
      </c>
      <c r="AZ169" s="25">
        <f>Inventory[[#This Row],[Fixtures]]*Lookups!$B$90</f>
        <v>30336.176841600001</v>
      </c>
      <c r="BA169" s="25">
        <f>Inventory[[#This Row],[WdDeck]]*Lookups!$B$91</f>
        <v>7191.8312996160003</v>
      </c>
      <c r="BB169" s="25">
        <f>ROUND(Inventory[[#This Row],[25Det]],-2)</f>
        <v>0</v>
      </c>
      <c r="BC169" s="25">
        <f>ROUND(SUM(Inventory[[#This Row],[Mdl Qlty]:[Mdl WdDeck]])+Inventory[[#This Row],[Mdl Res Intercept]],-2)</f>
        <v>335000</v>
      </c>
      <c r="BD169" s="25">
        <f>ROUND(Inventory[[#This Row],[Mdl Land Intercept]]+Inventory[[#This Row],[Mdl LnAcres]],-2)</f>
        <v>37300</v>
      </c>
      <c r="BE169" s="25">
        <f>Inventory[[#This Row],[Unadj Res Value]]+Inventory[[#This Row],[Unadj Det Value]]+Inventory[[#This Row],[Unadj Land Value]]</f>
        <v>372300</v>
      </c>
      <c r="BF169" s="36">
        <f>(Inventory[[#This Row],[Unadj Total Value]]-Inventory[[#This Row],[24Final]])/Inventory[[#This Row],[24Final]]</f>
        <v>2.6751241036955323E-2</v>
      </c>
      <c r="BG169" s="25">
        <f>VLOOKUP(Inventory[[#This Row],[Nbhd]],Lookups!$Q$2:$T$4,4,FALSE)</f>
        <v>0.99970000000000003</v>
      </c>
      <c r="BH169" s="25">
        <f>VLOOKUP(Inventory[[#This Row],[Qlty]],Lookups!$O$7:$R$21,4,FALSE)</f>
        <v>0.98050000000000004</v>
      </c>
      <c r="BI169" s="25">
        <f>VLOOKUP(Inventory[[#This Row],[Cnd]],Lookups!$T$7:$W$16,4,FALSE)</f>
        <v>0.99729999999999996</v>
      </c>
      <c r="BJ169" s="25">
        <f>VLOOKUP(Inventory[[#This Row],[LivArea Range]],Lookups!$T$25:$W$37,4,FALSE)</f>
        <v>0.98919999999999997</v>
      </c>
      <c r="BK169" s="25">
        <f>VLOOKUP(Inventory[[#This Row],[Decade]],Lookups!$O$25:$R$42,4,FALSE)</f>
        <v>0.96919999999999995</v>
      </c>
      <c r="BL169" s="25">
        <f>Inventory[[#This Row],[Nbhd Adj]]*0.95</f>
        <v>0.94971499999999998</v>
      </c>
      <c r="BM169" s="25">
        <f>Inventory[[#This Row],[Nbhd Adj]]*Inventory[[#This Row],[Quality Adj]]*Inventory[[#This Row],[Condition Adj]]*Inventory[[#This Row],[Living Area Adj]]*Inventory[[#This Row],[Decade Adj]]*0.95</f>
        <v>0.8903571027452114</v>
      </c>
      <c r="BN169" s="25">
        <f>ROUND(SUM(Inventory[[#This Row],[Mdl Qlty]:[Mdl WdDeck]])+Inventory[[#This Row],[Mdl Res Intercept]]*Inventory[[#This Row],[Res Adj ]],-2)</f>
        <v>335000</v>
      </c>
      <c r="BO169" s="25">
        <f>ROUND(Inventory[[#This Row],[25Det]]*Inventory[[#This Row],[Det/Nbhd Adj]],-2)</f>
        <v>0</v>
      </c>
      <c r="BP169" s="25">
        <f>Inventory[[#This Row],[Adjusted Res]]+Inventory[[#This Row],[Adj Det ]]</f>
        <v>335000</v>
      </c>
      <c r="BQ169" s="25">
        <f>ROUND((Inventory[[#This Row],[Mdl Land Intercept]]+Inventory[[#This Row],[Mdl LnAcres]])*Inventory[[#This Row],[Det/Nbhd Adj]],-2)</f>
        <v>35400</v>
      </c>
      <c r="BR169" s="25">
        <f>Inventory[[#This Row],[Adjusted Impr Total]]+Inventory[[#This Row],[Adjusted Land Total]]</f>
        <v>370400</v>
      </c>
      <c r="BS169" s="36">
        <f>IFERROR((Inventory[[#This Row],[Adjusted Impr Total]]-Inventory[[#This Row],[24Bldg]])/Inventory[[#This Row],[24Bldg]],0)</f>
        <v>9.4771241830065356E-2</v>
      </c>
      <c r="BT169" s="36">
        <f>(Inventory[[#This Row],[Adjusted Land Total]]-Inventory[[#This Row],[24Lnd]])/Inventory[[#This Row],[24Lnd]]</f>
        <v>-0.37455830388692579</v>
      </c>
      <c r="BU169" s="36">
        <f>(Inventory[[#This Row],[Adjusted Total]]-Inventory[[#This Row],[24Final]])/Inventory[[#This Row],[24Final]]</f>
        <v>2.1511307225592941E-2</v>
      </c>
    </row>
    <row r="170" spans="1:73" x14ac:dyDescent="0.3">
      <c r="A170" s="25">
        <v>2025</v>
      </c>
      <c r="B170" s="26" t="s">
        <v>1696</v>
      </c>
      <c r="C170" s="26">
        <f>LN(Inventory[[#This Row],[Acres]])</f>
        <v>-3.2188758248682006</v>
      </c>
      <c r="D170" s="25">
        <v>0.04</v>
      </c>
      <c r="E170" s="25">
        <v>1348</v>
      </c>
      <c r="F170" s="26" t="s">
        <v>537</v>
      </c>
      <c r="G170" s="26" t="s">
        <v>28</v>
      </c>
      <c r="H170" s="26" t="s">
        <v>349</v>
      </c>
      <c r="I170" s="26" t="s">
        <v>538</v>
      </c>
      <c r="J170" s="26" t="s">
        <v>551</v>
      </c>
      <c r="K170" s="26" t="s">
        <v>381</v>
      </c>
      <c r="L170" s="26" t="s">
        <v>351</v>
      </c>
      <c r="M170" s="26" t="s">
        <v>323</v>
      </c>
      <c r="N170" s="26">
        <v>50</v>
      </c>
      <c r="O170" s="26">
        <f>2024-Inventory[[#This Row],[YrBlt]]</f>
        <v>44</v>
      </c>
      <c r="P170" s="26">
        <f>2024-Inventory[[#This Row],[EffYr]]</f>
        <v>44</v>
      </c>
      <c r="Q170" s="25">
        <v>1980</v>
      </c>
      <c r="R170" s="25">
        <v>1980</v>
      </c>
      <c r="S170" s="25">
        <v>1348</v>
      </c>
      <c r="T170" s="27"/>
      <c r="U170" s="31"/>
      <c r="V170" s="31">
        <f>Inventory[[#This Row],[Bsmt]]-Inventory[[#This Row],[FnBsmt]]</f>
        <v>0</v>
      </c>
      <c r="W170" s="31"/>
      <c r="X170" s="27"/>
      <c r="Y170" s="27">
        <f>Inventory[[#This Row],[MainFn]]+Inventory[[#This Row],[UpprFn]]+Inventory[[#This Row],[FnBsmt]]+Inventory[[#This Row],[AddFn]]</f>
        <v>1348</v>
      </c>
      <c r="Z170" s="27">
        <v>1500</v>
      </c>
      <c r="AA170" s="25">
        <v>8</v>
      </c>
      <c r="AB170" s="27"/>
      <c r="AC170" s="27"/>
      <c r="AD170" s="27"/>
      <c r="AE170" s="27"/>
      <c r="AF170" s="27"/>
      <c r="AG170" s="27"/>
      <c r="AH170" s="27"/>
      <c r="AI170" s="25">
        <v>220941</v>
      </c>
      <c r="AJ170" s="25">
        <v>172334</v>
      </c>
      <c r="AK170" s="25">
        <v>14077</v>
      </c>
      <c r="AL170" s="25">
        <v>265600</v>
      </c>
      <c r="AM170" s="25">
        <v>39800</v>
      </c>
      <c r="AN170" s="25">
        <v>225800</v>
      </c>
      <c r="AO170" s="25">
        <v>0</v>
      </c>
      <c r="AP170" s="25">
        <f>Lookups!$B$56*0</f>
        <v>0</v>
      </c>
      <c r="AQ170" s="25">
        <f>Lookups!$B$56*1</f>
        <v>89850.625589999996</v>
      </c>
      <c r="AR170" s="25">
        <f>Lookups!$B$57*Inventory[[#This Row],[LnAcres]]</f>
        <v>-101892.2773541973</v>
      </c>
      <c r="AS170" s="25">
        <f>VLOOKUP(Inventory[[#This Row],[Qlty]],Lookups!$A$62:$E$75,2,FALSE)</f>
        <v>21557.329055999999</v>
      </c>
      <c r="AT170" s="25">
        <f>VLOOKUP(Inventory[[#This Row],[Cnd]],Lookups!$A$76:$E$84,2,FALSE)</f>
        <v>160472.20319</v>
      </c>
      <c r="AU170" s="25">
        <f>Inventory[[#This Row],[EffAge]]*Lookups!$B$85</f>
        <v>-9814.0064220000004</v>
      </c>
      <c r="AV170" s="25">
        <f>Inventory[[#This Row],[MainFn]]*Lookups!$B$86</f>
        <v>66602.886994196</v>
      </c>
      <c r="AW170" s="25">
        <f>Inventory[[#This Row],[UpprFn]]*Lookups!$B$87</f>
        <v>0</v>
      </c>
      <c r="AX170" s="25">
        <f>Inventory[[#This Row],[AddFn]]*Lookups!$B$88</f>
        <v>0</v>
      </c>
      <c r="AY170" s="25">
        <f>Inventory[[#This Row],[Bsmt]]*Lookups!$B$89</f>
        <v>0</v>
      </c>
      <c r="AZ170" s="25">
        <f>Inventory[[#This Row],[Fixtures]]*Lookups!$B$90</f>
        <v>30336.176841600001</v>
      </c>
      <c r="BA170" s="25">
        <f>Inventory[[#This Row],[WdDeck]]*Lookups!$B$91</f>
        <v>0</v>
      </c>
      <c r="BB170" s="25">
        <f>ROUND(Inventory[[#This Row],[25Det]],-2)</f>
        <v>14100</v>
      </c>
      <c r="BC170" s="25">
        <f>ROUND(SUM(Inventory[[#This Row],[Mdl Qlty]:[Mdl WdDeck]])+Inventory[[#This Row],[Mdl Res Intercept]],-2)</f>
        <v>269200</v>
      </c>
      <c r="BD170" s="25">
        <f>ROUND(Inventory[[#This Row],[Mdl Land Intercept]]+Inventory[[#This Row],[Mdl LnAcres]],-2)</f>
        <v>-12000</v>
      </c>
      <c r="BE170" s="25">
        <f>Inventory[[#This Row],[Unadj Res Value]]+Inventory[[#This Row],[Unadj Det Value]]+Inventory[[#This Row],[Unadj Land Value]]</f>
        <v>271300</v>
      </c>
      <c r="BF170" s="36">
        <f>(Inventory[[#This Row],[Unadj Total Value]]-Inventory[[#This Row],[24Final]])/Inventory[[#This Row],[24Final]]</f>
        <v>2.1460843373493976E-2</v>
      </c>
      <c r="BG170" s="25">
        <f>VLOOKUP(Inventory[[#This Row],[Nbhd]],Lookups!$Q$2:$T$4,4,FALSE)</f>
        <v>0.99970000000000003</v>
      </c>
      <c r="BH170" s="25">
        <f>VLOOKUP(Inventory[[#This Row],[Qlty]],Lookups!$O$7:$R$21,4,FALSE)</f>
        <v>1.0067999999999999</v>
      </c>
      <c r="BI170" s="25">
        <f>VLOOKUP(Inventory[[#This Row],[Cnd]],Lookups!$T$7:$W$16,4,FALSE)</f>
        <v>0.99729999999999996</v>
      </c>
      <c r="BJ170" s="25">
        <f>VLOOKUP(Inventory[[#This Row],[LivArea Range]],Lookups!$T$25:$W$37,4,FALSE)</f>
        <v>1.0157</v>
      </c>
      <c r="BK170" s="25">
        <f>VLOOKUP(Inventory[[#This Row],[Decade]],Lookups!$O$25:$R$42,4,FALSE)</f>
        <v>0.96919999999999995</v>
      </c>
      <c r="BL170" s="25">
        <f>Inventory[[#This Row],[Nbhd Adj]]*0.95</f>
        <v>0.94971499999999998</v>
      </c>
      <c r="BM170" s="25">
        <f>Inventory[[#This Row],[Nbhd Adj]]*Inventory[[#This Row],[Quality Adj]]*Inventory[[#This Row],[Condition Adj]]*Inventory[[#This Row],[Living Area Adj]]*Inventory[[#This Row],[Decade Adj]]*0.95</f>
        <v>0.93873104601730073</v>
      </c>
      <c r="BN170" s="25">
        <f>ROUND(SUM(Inventory[[#This Row],[Mdl Qlty]:[Mdl WdDeck]])+Inventory[[#This Row],[Mdl Res Intercept]]*Inventory[[#This Row],[Res Adj ]],-2)</f>
        <v>269200</v>
      </c>
      <c r="BO170" s="25">
        <f>ROUND(Inventory[[#This Row],[25Det]]*Inventory[[#This Row],[Det/Nbhd Adj]],-2)</f>
        <v>13400</v>
      </c>
      <c r="BP170" s="25">
        <f>Inventory[[#This Row],[Adjusted Res]]+Inventory[[#This Row],[Adj Det ]]</f>
        <v>282600</v>
      </c>
      <c r="BQ170" s="25">
        <f>ROUND((Inventory[[#This Row],[Mdl Land Intercept]]+Inventory[[#This Row],[Mdl LnAcres]])*Inventory[[#This Row],[Det/Nbhd Adj]],-2)</f>
        <v>-11400</v>
      </c>
      <c r="BR170" s="25">
        <f>Inventory[[#This Row],[Adjusted Impr Total]]+Inventory[[#This Row],[Adjusted Land Total]]</f>
        <v>271200</v>
      </c>
      <c r="BS170" s="36">
        <f>IFERROR((Inventory[[#This Row],[Adjusted Impr Total]]-Inventory[[#This Row],[24Bldg]])/Inventory[[#This Row],[24Bldg]],0)</f>
        <v>0.25155004428697963</v>
      </c>
      <c r="BT170" s="36">
        <f>(Inventory[[#This Row],[Adjusted Land Total]]-Inventory[[#This Row],[24Lnd]])/Inventory[[#This Row],[24Lnd]]</f>
        <v>-1.2864321608040201</v>
      </c>
      <c r="BU170" s="36">
        <f>(Inventory[[#This Row],[Adjusted Total]]-Inventory[[#This Row],[24Final]])/Inventory[[#This Row],[24Final]]</f>
        <v>2.1084337349397589E-2</v>
      </c>
    </row>
    <row r="171" spans="1:73" x14ac:dyDescent="0.3">
      <c r="A171" s="25">
        <v>2025</v>
      </c>
      <c r="B171" s="26" t="s">
        <v>1692</v>
      </c>
      <c r="C171" s="26">
        <f>LN(Inventory[[#This Row],[Acres]])</f>
        <v>-3.2188758248682006</v>
      </c>
      <c r="D171" s="25">
        <v>0.04</v>
      </c>
      <c r="E171" s="25">
        <v>1348</v>
      </c>
      <c r="F171" s="26" t="s">
        <v>537</v>
      </c>
      <c r="G171" s="26" t="s">
        <v>28</v>
      </c>
      <c r="H171" s="26" t="s">
        <v>349</v>
      </c>
      <c r="I171" s="26" t="s">
        <v>538</v>
      </c>
      <c r="J171" s="26" t="s">
        <v>551</v>
      </c>
      <c r="K171" s="26" t="s">
        <v>381</v>
      </c>
      <c r="L171" s="26" t="s">
        <v>351</v>
      </c>
      <c r="M171" s="26" t="s">
        <v>323</v>
      </c>
      <c r="N171" s="26">
        <v>50</v>
      </c>
      <c r="O171" s="26">
        <f>2024-Inventory[[#This Row],[YrBlt]]</f>
        <v>44</v>
      </c>
      <c r="P171" s="26">
        <f>2024-Inventory[[#This Row],[EffYr]]</f>
        <v>44</v>
      </c>
      <c r="Q171" s="25">
        <v>1980</v>
      </c>
      <c r="R171" s="25">
        <v>1980</v>
      </c>
      <c r="S171" s="25">
        <v>1348</v>
      </c>
      <c r="T171" s="27"/>
      <c r="U171" s="31"/>
      <c r="V171" s="31">
        <f>Inventory[[#This Row],[Bsmt]]-Inventory[[#This Row],[FnBsmt]]</f>
        <v>0</v>
      </c>
      <c r="W171" s="31"/>
      <c r="X171" s="27"/>
      <c r="Y171" s="27">
        <f>Inventory[[#This Row],[MainFn]]+Inventory[[#This Row],[UpprFn]]+Inventory[[#This Row],[FnBsmt]]+Inventory[[#This Row],[AddFn]]</f>
        <v>1348</v>
      </c>
      <c r="Z171" s="27">
        <v>1500</v>
      </c>
      <c r="AA171" s="25">
        <v>8</v>
      </c>
      <c r="AB171" s="27"/>
      <c r="AC171" s="27"/>
      <c r="AD171" s="27"/>
      <c r="AE171" s="27"/>
      <c r="AF171" s="27"/>
      <c r="AG171" s="27"/>
      <c r="AH171" s="27"/>
      <c r="AI171" s="25">
        <v>222128</v>
      </c>
      <c r="AJ171" s="25">
        <v>173260</v>
      </c>
      <c r="AK171" s="25">
        <v>14077</v>
      </c>
      <c r="AL171" s="25">
        <v>266900</v>
      </c>
      <c r="AM171" s="25">
        <v>40000</v>
      </c>
      <c r="AN171" s="25">
        <v>226900</v>
      </c>
      <c r="AO171" s="25">
        <v>0</v>
      </c>
      <c r="AP171" s="25">
        <f>Lookups!$B$56*0</f>
        <v>0</v>
      </c>
      <c r="AQ171" s="25">
        <f>Lookups!$B$56*1</f>
        <v>89850.625589999996</v>
      </c>
      <c r="AR171" s="25">
        <f>Lookups!$B$57*Inventory[[#This Row],[LnAcres]]</f>
        <v>-101892.2773541973</v>
      </c>
      <c r="AS171" s="25">
        <f>VLOOKUP(Inventory[[#This Row],[Qlty]],Lookups!$A$62:$E$75,2,FALSE)</f>
        <v>21557.329055999999</v>
      </c>
      <c r="AT171" s="25">
        <f>VLOOKUP(Inventory[[#This Row],[Cnd]],Lookups!$A$76:$E$84,2,FALSE)</f>
        <v>160472.20319</v>
      </c>
      <c r="AU171" s="25">
        <f>Inventory[[#This Row],[EffAge]]*Lookups!$B$85</f>
        <v>-9814.0064220000004</v>
      </c>
      <c r="AV171" s="25">
        <f>Inventory[[#This Row],[MainFn]]*Lookups!$B$86</f>
        <v>66602.886994196</v>
      </c>
      <c r="AW171" s="25">
        <f>Inventory[[#This Row],[UpprFn]]*Lookups!$B$87</f>
        <v>0</v>
      </c>
      <c r="AX171" s="25">
        <f>Inventory[[#This Row],[AddFn]]*Lookups!$B$88</f>
        <v>0</v>
      </c>
      <c r="AY171" s="25">
        <f>Inventory[[#This Row],[Bsmt]]*Lookups!$B$89</f>
        <v>0</v>
      </c>
      <c r="AZ171" s="25">
        <f>Inventory[[#This Row],[Fixtures]]*Lookups!$B$90</f>
        <v>30336.176841600001</v>
      </c>
      <c r="BA171" s="25">
        <f>Inventory[[#This Row],[WdDeck]]*Lookups!$B$91</f>
        <v>0</v>
      </c>
      <c r="BB171" s="25">
        <f>ROUND(Inventory[[#This Row],[25Det]],-2)</f>
        <v>14100</v>
      </c>
      <c r="BC171" s="25">
        <f>ROUND(SUM(Inventory[[#This Row],[Mdl Qlty]:[Mdl WdDeck]])+Inventory[[#This Row],[Mdl Res Intercept]],-2)</f>
        <v>269200</v>
      </c>
      <c r="BD171" s="25">
        <f>ROUND(Inventory[[#This Row],[Mdl Land Intercept]]+Inventory[[#This Row],[Mdl LnAcres]],-2)</f>
        <v>-12000</v>
      </c>
      <c r="BE171" s="25">
        <f>Inventory[[#This Row],[Unadj Res Value]]+Inventory[[#This Row],[Unadj Det Value]]+Inventory[[#This Row],[Unadj Land Value]]</f>
        <v>271300</v>
      </c>
      <c r="BF171" s="36">
        <f>(Inventory[[#This Row],[Unadj Total Value]]-Inventory[[#This Row],[24Final]])/Inventory[[#This Row],[24Final]]</f>
        <v>1.6485575121768452E-2</v>
      </c>
      <c r="BG171" s="25">
        <f>VLOOKUP(Inventory[[#This Row],[Nbhd]],Lookups!$Q$2:$T$4,4,FALSE)</f>
        <v>0.99970000000000003</v>
      </c>
      <c r="BH171" s="25">
        <f>VLOOKUP(Inventory[[#This Row],[Qlty]],Lookups!$O$7:$R$21,4,FALSE)</f>
        <v>1.0067999999999999</v>
      </c>
      <c r="BI171" s="25">
        <f>VLOOKUP(Inventory[[#This Row],[Cnd]],Lookups!$T$7:$W$16,4,FALSE)</f>
        <v>0.99729999999999996</v>
      </c>
      <c r="BJ171" s="25">
        <f>VLOOKUP(Inventory[[#This Row],[LivArea Range]],Lookups!$T$25:$W$37,4,FALSE)</f>
        <v>1.0157</v>
      </c>
      <c r="BK171" s="25">
        <f>VLOOKUP(Inventory[[#This Row],[Decade]],Lookups!$O$25:$R$42,4,FALSE)</f>
        <v>0.96919999999999995</v>
      </c>
      <c r="BL171" s="25">
        <f>Inventory[[#This Row],[Nbhd Adj]]*0.95</f>
        <v>0.94971499999999998</v>
      </c>
      <c r="BM171" s="25">
        <f>Inventory[[#This Row],[Nbhd Adj]]*Inventory[[#This Row],[Quality Adj]]*Inventory[[#This Row],[Condition Adj]]*Inventory[[#This Row],[Living Area Adj]]*Inventory[[#This Row],[Decade Adj]]*0.95</f>
        <v>0.93873104601730073</v>
      </c>
      <c r="BN171" s="25">
        <f>ROUND(SUM(Inventory[[#This Row],[Mdl Qlty]:[Mdl WdDeck]])+Inventory[[#This Row],[Mdl Res Intercept]]*Inventory[[#This Row],[Res Adj ]],-2)</f>
        <v>269200</v>
      </c>
      <c r="BO171" s="25">
        <f>ROUND(Inventory[[#This Row],[25Det]]*Inventory[[#This Row],[Det/Nbhd Adj]],-2)</f>
        <v>13400</v>
      </c>
      <c r="BP171" s="25">
        <f>Inventory[[#This Row],[Adjusted Res]]+Inventory[[#This Row],[Adj Det ]]</f>
        <v>282600</v>
      </c>
      <c r="BQ171" s="25">
        <f>ROUND((Inventory[[#This Row],[Mdl Land Intercept]]+Inventory[[#This Row],[Mdl LnAcres]])*Inventory[[#This Row],[Det/Nbhd Adj]],-2)</f>
        <v>-11400</v>
      </c>
      <c r="BR171" s="25">
        <f>Inventory[[#This Row],[Adjusted Impr Total]]+Inventory[[#This Row],[Adjusted Land Total]]</f>
        <v>271200</v>
      </c>
      <c r="BS171" s="36">
        <f>IFERROR((Inventory[[#This Row],[Adjusted Impr Total]]-Inventory[[#This Row],[24Bldg]])/Inventory[[#This Row],[24Bldg]],0)</f>
        <v>0.24548259144997797</v>
      </c>
      <c r="BT171" s="36">
        <f>(Inventory[[#This Row],[Adjusted Land Total]]-Inventory[[#This Row],[24Lnd]])/Inventory[[#This Row],[24Lnd]]</f>
        <v>-1.2849999999999999</v>
      </c>
      <c r="BU171" s="36">
        <f>(Inventory[[#This Row],[Adjusted Total]]-Inventory[[#This Row],[24Final]])/Inventory[[#This Row],[24Final]]</f>
        <v>1.6110902959910078E-2</v>
      </c>
    </row>
    <row r="172" spans="1:73" x14ac:dyDescent="0.3">
      <c r="A172" s="25">
        <v>2025</v>
      </c>
      <c r="B172" s="26" t="s">
        <v>1644</v>
      </c>
      <c r="C172" s="26">
        <f>LN(Inventory[[#This Row],[Acres]])</f>
        <v>-3.2188758248682006</v>
      </c>
      <c r="D172" s="25">
        <v>0.04</v>
      </c>
      <c r="E172" s="25">
        <v>1348</v>
      </c>
      <c r="F172" s="26" t="s">
        <v>537</v>
      </c>
      <c r="G172" s="26" t="s">
        <v>28</v>
      </c>
      <c r="H172" s="26" t="s">
        <v>349</v>
      </c>
      <c r="I172" s="26" t="s">
        <v>538</v>
      </c>
      <c r="J172" s="26" t="s">
        <v>551</v>
      </c>
      <c r="K172" s="26" t="s">
        <v>381</v>
      </c>
      <c r="L172" s="26" t="s">
        <v>351</v>
      </c>
      <c r="M172" s="26" t="s">
        <v>323</v>
      </c>
      <c r="N172" s="26">
        <v>50</v>
      </c>
      <c r="O172" s="26">
        <f>2024-Inventory[[#This Row],[YrBlt]]</f>
        <v>44</v>
      </c>
      <c r="P172" s="26">
        <f>2024-Inventory[[#This Row],[EffYr]]</f>
        <v>44</v>
      </c>
      <c r="Q172" s="25">
        <v>1980</v>
      </c>
      <c r="R172" s="25">
        <v>1980</v>
      </c>
      <c r="S172" s="25">
        <v>1348</v>
      </c>
      <c r="T172" s="27"/>
      <c r="U172" s="27"/>
      <c r="V172" s="27">
        <f>Inventory[[#This Row],[Bsmt]]-Inventory[[#This Row],[FnBsmt]]</f>
        <v>0</v>
      </c>
      <c r="W172" s="27"/>
      <c r="X172" s="27"/>
      <c r="Y172" s="27">
        <f>Inventory[[#This Row],[MainFn]]+Inventory[[#This Row],[UpprFn]]+Inventory[[#This Row],[FnBsmt]]+Inventory[[#This Row],[AddFn]]</f>
        <v>1348</v>
      </c>
      <c r="Z172" s="27">
        <v>1500</v>
      </c>
      <c r="AA172" s="25">
        <v>8</v>
      </c>
      <c r="AB172" s="31"/>
      <c r="AC172" s="27"/>
      <c r="AD172" s="27"/>
      <c r="AE172" s="27"/>
      <c r="AF172" s="27"/>
      <c r="AG172" s="27"/>
      <c r="AH172" s="27"/>
      <c r="AI172" s="25">
        <v>221867</v>
      </c>
      <c r="AJ172" s="25">
        <v>173056</v>
      </c>
      <c r="AK172" s="25">
        <v>14077</v>
      </c>
      <c r="AL172" s="25">
        <v>267000</v>
      </c>
      <c r="AM172" s="25">
        <v>40100</v>
      </c>
      <c r="AN172" s="25">
        <v>226900</v>
      </c>
      <c r="AO172" s="25">
        <v>0</v>
      </c>
      <c r="AP172" s="25">
        <f>Lookups!$B$56*0</f>
        <v>0</v>
      </c>
      <c r="AQ172" s="25">
        <f>Lookups!$B$56*1</f>
        <v>89850.625589999996</v>
      </c>
      <c r="AR172" s="25">
        <f>Lookups!$B$57*Inventory[[#This Row],[LnAcres]]</f>
        <v>-101892.2773541973</v>
      </c>
      <c r="AS172" s="25">
        <f>VLOOKUP(Inventory[[#This Row],[Qlty]],Lookups!$A$62:$E$75,2,FALSE)</f>
        <v>21557.329055999999</v>
      </c>
      <c r="AT172" s="25">
        <f>VLOOKUP(Inventory[[#This Row],[Cnd]],Lookups!$A$76:$E$84,2,FALSE)</f>
        <v>160472.20319</v>
      </c>
      <c r="AU172" s="25">
        <f>Inventory[[#This Row],[EffAge]]*Lookups!$B$85</f>
        <v>-9814.0064220000004</v>
      </c>
      <c r="AV172" s="25">
        <f>Inventory[[#This Row],[MainFn]]*Lookups!$B$86</f>
        <v>66602.886994196</v>
      </c>
      <c r="AW172" s="25">
        <f>Inventory[[#This Row],[UpprFn]]*Lookups!$B$87</f>
        <v>0</v>
      </c>
      <c r="AX172" s="25">
        <f>Inventory[[#This Row],[AddFn]]*Lookups!$B$88</f>
        <v>0</v>
      </c>
      <c r="AY172" s="25">
        <f>Inventory[[#This Row],[Bsmt]]*Lookups!$B$89</f>
        <v>0</v>
      </c>
      <c r="AZ172" s="25">
        <f>Inventory[[#This Row],[Fixtures]]*Lookups!$B$90</f>
        <v>30336.176841600001</v>
      </c>
      <c r="BA172" s="25">
        <f>Inventory[[#This Row],[WdDeck]]*Lookups!$B$91</f>
        <v>0</v>
      </c>
      <c r="BB172" s="25">
        <f>ROUND(Inventory[[#This Row],[25Det]],-2)</f>
        <v>14100</v>
      </c>
      <c r="BC172" s="25">
        <f>ROUND(SUM(Inventory[[#This Row],[Mdl Qlty]:[Mdl WdDeck]])+Inventory[[#This Row],[Mdl Res Intercept]],-2)</f>
        <v>269200</v>
      </c>
      <c r="BD172" s="25">
        <f>ROUND(Inventory[[#This Row],[Mdl Land Intercept]]+Inventory[[#This Row],[Mdl LnAcres]],-2)</f>
        <v>-12000</v>
      </c>
      <c r="BE172" s="25">
        <f>Inventory[[#This Row],[Unadj Res Value]]+Inventory[[#This Row],[Unadj Det Value]]+Inventory[[#This Row],[Unadj Land Value]]</f>
        <v>271300</v>
      </c>
      <c r="BF172" s="36">
        <f>(Inventory[[#This Row],[Unadj Total Value]]-Inventory[[#This Row],[24Final]])/Inventory[[#This Row],[24Final]]</f>
        <v>1.6104868913857678E-2</v>
      </c>
      <c r="BG172" s="25">
        <f>VLOOKUP(Inventory[[#This Row],[Nbhd]],Lookups!$Q$2:$T$4,4,FALSE)</f>
        <v>0.99970000000000003</v>
      </c>
      <c r="BH172" s="25">
        <f>VLOOKUP(Inventory[[#This Row],[Qlty]],Lookups!$O$7:$R$21,4,FALSE)</f>
        <v>1.0067999999999999</v>
      </c>
      <c r="BI172" s="25">
        <f>VLOOKUP(Inventory[[#This Row],[Cnd]],Lookups!$T$7:$W$16,4,FALSE)</f>
        <v>0.99729999999999996</v>
      </c>
      <c r="BJ172" s="25">
        <f>VLOOKUP(Inventory[[#This Row],[LivArea Range]],Lookups!$T$25:$W$37,4,FALSE)</f>
        <v>1.0157</v>
      </c>
      <c r="BK172" s="25">
        <f>VLOOKUP(Inventory[[#This Row],[Decade]],Lookups!$O$25:$R$42,4,FALSE)</f>
        <v>0.96919999999999995</v>
      </c>
      <c r="BL172" s="25">
        <f>Inventory[[#This Row],[Nbhd Adj]]*0.95</f>
        <v>0.94971499999999998</v>
      </c>
      <c r="BM172" s="25">
        <f>Inventory[[#This Row],[Nbhd Adj]]*Inventory[[#This Row],[Quality Adj]]*Inventory[[#This Row],[Condition Adj]]*Inventory[[#This Row],[Living Area Adj]]*Inventory[[#This Row],[Decade Adj]]*0.95</f>
        <v>0.93873104601730073</v>
      </c>
      <c r="BN172" s="25">
        <f>ROUND(SUM(Inventory[[#This Row],[Mdl Qlty]:[Mdl WdDeck]])+Inventory[[#This Row],[Mdl Res Intercept]]*Inventory[[#This Row],[Res Adj ]],-2)</f>
        <v>269200</v>
      </c>
      <c r="BO172" s="25">
        <f>ROUND(Inventory[[#This Row],[25Det]]*Inventory[[#This Row],[Det/Nbhd Adj]],-2)</f>
        <v>13400</v>
      </c>
      <c r="BP172" s="25">
        <f>Inventory[[#This Row],[Adjusted Res]]+Inventory[[#This Row],[Adj Det ]]</f>
        <v>282600</v>
      </c>
      <c r="BQ172" s="25">
        <f>ROUND((Inventory[[#This Row],[Mdl Land Intercept]]+Inventory[[#This Row],[Mdl LnAcres]])*Inventory[[#This Row],[Det/Nbhd Adj]],-2)</f>
        <v>-11400</v>
      </c>
      <c r="BR172" s="25">
        <f>Inventory[[#This Row],[Adjusted Impr Total]]+Inventory[[#This Row],[Adjusted Land Total]]</f>
        <v>271200</v>
      </c>
      <c r="BS172" s="36">
        <f>IFERROR((Inventory[[#This Row],[Adjusted Impr Total]]-Inventory[[#This Row],[24Bldg]])/Inventory[[#This Row],[24Bldg]],0)</f>
        <v>0.24548259144997797</v>
      </c>
      <c r="BT172" s="36">
        <f>(Inventory[[#This Row],[Adjusted Land Total]]-Inventory[[#This Row],[24Lnd]])/Inventory[[#This Row],[24Lnd]]</f>
        <v>-1.2842892768079801</v>
      </c>
      <c r="BU172" s="36">
        <f>(Inventory[[#This Row],[Adjusted Total]]-Inventory[[#This Row],[24Final]])/Inventory[[#This Row],[24Final]]</f>
        <v>1.5730337078651686E-2</v>
      </c>
    </row>
    <row r="173" spans="1:73" x14ac:dyDescent="0.3">
      <c r="A173" s="25">
        <v>2025</v>
      </c>
      <c r="B173" s="26" t="s">
        <v>1697</v>
      </c>
      <c r="C173" s="26">
        <f>LN(Inventory[[#This Row],[Acres]])</f>
        <v>-3.2188758248682006</v>
      </c>
      <c r="D173" s="25">
        <v>0.04</v>
      </c>
      <c r="E173" s="25">
        <v>1348</v>
      </c>
      <c r="F173" s="26" t="s">
        <v>537</v>
      </c>
      <c r="G173" s="26" t="s">
        <v>28</v>
      </c>
      <c r="H173" s="26" t="s">
        <v>349</v>
      </c>
      <c r="I173" s="26" t="s">
        <v>538</v>
      </c>
      <c r="J173" s="26" t="s">
        <v>551</v>
      </c>
      <c r="K173" s="26" t="s">
        <v>381</v>
      </c>
      <c r="L173" s="26" t="s">
        <v>351</v>
      </c>
      <c r="M173" s="26" t="s">
        <v>323</v>
      </c>
      <c r="N173" s="26">
        <v>50</v>
      </c>
      <c r="O173" s="26">
        <f>2024-Inventory[[#This Row],[YrBlt]]</f>
        <v>44</v>
      </c>
      <c r="P173" s="26">
        <f>2024-Inventory[[#This Row],[EffYr]]</f>
        <v>44</v>
      </c>
      <c r="Q173" s="25">
        <v>1980</v>
      </c>
      <c r="R173" s="25">
        <v>1980</v>
      </c>
      <c r="S173" s="25">
        <v>1348</v>
      </c>
      <c r="T173" s="27"/>
      <c r="U173" s="31"/>
      <c r="V173" s="31">
        <f>Inventory[[#This Row],[Bsmt]]-Inventory[[#This Row],[FnBsmt]]</f>
        <v>0</v>
      </c>
      <c r="W173" s="31"/>
      <c r="X173" s="27"/>
      <c r="Y173" s="27">
        <f>Inventory[[#This Row],[MainFn]]+Inventory[[#This Row],[UpprFn]]+Inventory[[#This Row],[FnBsmt]]+Inventory[[#This Row],[AddFn]]</f>
        <v>1348</v>
      </c>
      <c r="Z173" s="27">
        <v>1500</v>
      </c>
      <c r="AA173" s="25">
        <v>8</v>
      </c>
      <c r="AB173" s="31"/>
      <c r="AC173" s="27"/>
      <c r="AD173" s="31"/>
      <c r="AE173" s="27"/>
      <c r="AF173" s="27"/>
      <c r="AG173" s="27"/>
      <c r="AH173" s="27"/>
      <c r="AI173" s="25">
        <v>222357</v>
      </c>
      <c r="AJ173" s="25">
        <v>173438</v>
      </c>
      <c r="AK173" s="25">
        <v>14077</v>
      </c>
      <c r="AL173" s="25">
        <v>267200</v>
      </c>
      <c r="AM173" s="25">
        <v>40100</v>
      </c>
      <c r="AN173" s="25">
        <v>227100</v>
      </c>
      <c r="AO173" s="25">
        <v>0</v>
      </c>
      <c r="AP173" s="25">
        <f>Lookups!$B$56*0</f>
        <v>0</v>
      </c>
      <c r="AQ173" s="25">
        <f>Lookups!$B$56*1</f>
        <v>89850.625589999996</v>
      </c>
      <c r="AR173" s="25">
        <f>Lookups!$B$57*Inventory[[#This Row],[LnAcres]]</f>
        <v>-101892.2773541973</v>
      </c>
      <c r="AS173" s="25">
        <f>VLOOKUP(Inventory[[#This Row],[Qlty]],Lookups!$A$62:$E$75,2,FALSE)</f>
        <v>21557.329055999999</v>
      </c>
      <c r="AT173" s="25">
        <f>VLOOKUP(Inventory[[#This Row],[Cnd]],Lookups!$A$76:$E$84,2,FALSE)</f>
        <v>160472.20319</v>
      </c>
      <c r="AU173" s="25">
        <f>Inventory[[#This Row],[EffAge]]*Lookups!$B$85</f>
        <v>-9814.0064220000004</v>
      </c>
      <c r="AV173" s="25">
        <f>Inventory[[#This Row],[MainFn]]*Lookups!$B$86</f>
        <v>66602.886994196</v>
      </c>
      <c r="AW173" s="25">
        <f>Inventory[[#This Row],[UpprFn]]*Lookups!$B$87</f>
        <v>0</v>
      </c>
      <c r="AX173" s="25">
        <f>Inventory[[#This Row],[AddFn]]*Lookups!$B$88</f>
        <v>0</v>
      </c>
      <c r="AY173" s="25">
        <f>Inventory[[#This Row],[Bsmt]]*Lookups!$B$89</f>
        <v>0</v>
      </c>
      <c r="AZ173" s="25">
        <f>Inventory[[#This Row],[Fixtures]]*Lookups!$B$90</f>
        <v>30336.176841600001</v>
      </c>
      <c r="BA173" s="25">
        <f>Inventory[[#This Row],[WdDeck]]*Lookups!$B$91</f>
        <v>0</v>
      </c>
      <c r="BB173" s="25">
        <f>ROUND(Inventory[[#This Row],[25Det]],-2)</f>
        <v>14100</v>
      </c>
      <c r="BC173" s="25">
        <f>ROUND(SUM(Inventory[[#This Row],[Mdl Qlty]:[Mdl WdDeck]])+Inventory[[#This Row],[Mdl Res Intercept]],-2)</f>
        <v>269200</v>
      </c>
      <c r="BD173" s="25">
        <f>ROUND(Inventory[[#This Row],[Mdl Land Intercept]]+Inventory[[#This Row],[Mdl LnAcres]],-2)</f>
        <v>-12000</v>
      </c>
      <c r="BE173" s="25">
        <f>Inventory[[#This Row],[Unadj Res Value]]+Inventory[[#This Row],[Unadj Det Value]]+Inventory[[#This Row],[Unadj Land Value]]</f>
        <v>271300</v>
      </c>
      <c r="BF173" s="36">
        <f>(Inventory[[#This Row],[Unadj Total Value]]-Inventory[[#This Row],[24Final]])/Inventory[[#This Row],[24Final]]</f>
        <v>1.5344311377245509E-2</v>
      </c>
      <c r="BG173" s="25">
        <f>VLOOKUP(Inventory[[#This Row],[Nbhd]],Lookups!$Q$2:$T$4,4,FALSE)</f>
        <v>0.99970000000000003</v>
      </c>
      <c r="BH173" s="25">
        <f>VLOOKUP(Inventory[[#This Row],[Qlty]],Lookups!$O$7:$R$21,4,FALSE)</f>
        <v>1.0067999999999999</v>
      </c>
      <c r="BI173" s="25">
        <f>VLOOKUP(Inventory[[#This Row],[Cnd]],Lookups!$T$7:$W$16,4,FALSE)</f>
        <v>0.99729999999999996</v>
      </c>
      <c r="BJ173" s="25">
        <f>VLOOKUP(Inventory[[#This Row],[LivArea Range]],Lookups!$T$25:$W$37,4,FALSE)</f>
        <v>1.0157</v>
      </c>
      <c r="BK173" s="25">
        <f>VLOOKUP(Inventory[[#This Row],[Decade]],Lookups!$O$25:$R$42,4,FALSE)</f>
        <v>0.96919999999999995</v>
      </c>
      <c r="BL173" s="25">
        <f>Inventory[[#This Row],[Nbhd Adj]]*0.95</f>
        <v>0.94971499999999998</v>
      </c>
      <c r="BM173" s="25">
        <f>Inventory[[#This Row],[Nbhd Adj]]*Inventory[[#This Row],[Quality Adj]]*Inventory[[#This Row],[Condition Adj]]*Inventory[[#This Row],[Living Area Adj]]*Inventory[[#This Row],[Decade Adj]]*0.95</f>
        <v>0.93873104601730073</v>
      </c>
      <c r="BN173" s="25">
        <f>ROUND(SUM(Inventory[[#This Row],[Mdl Qlty]:[Mdl WdDeck]])+Inventory[[#This Row],[Mdl Res Intercept]]*Inventory[[#This Row],[Res Adj ]],-2)</f>
        <v>269200</v>
      </c>
      <c r="BO173" s="25">
        <f>ROUND(Inventory[[#This Row],[25Det]]*Inventory[[#This Row],[Det/Nbhd Adj]],-2)</f>
        <v>13400</v>
      </c>
      <c r="BP173" s="25">
        <f>Inventory[[#This Row],[Adjusted Res]]+Inventory[[#This Row],[Adj Det ]]</f>
        <v>282600</v>
      </c>
      <c r="BQ173" s="25">
        <f>ROUND((Inventory[[#This Row],[Mdl Land Intercept]]+Inventory[[#This Row],[Mdl LnAcres]])*Inventory[[#This Row],[Det/Nbhd Adj]],-2)</f>
        <v>-11400</v>
      </c>
      <c r="BR173" s="25">
        <f>Inventory[[#This Row],[Adjusted Impr Total]]+Inventory[[#This Row],[Adjusted Land Total]]</f>
        <v>271200</v>
      </c>
      <c r="BS173" s="36">
        <f>IFERROR((Inventory[[#This Row],[Adjusted Impr Total]]-Inventory[[#This Row],[24Bldg]])/Inventory[[#This Row],[24Bldg]],0)</f>
        <v>0.24438573315719947</v>
      </c>
      <c r="BT173" s="36">
        <f>(Inventory[[#This Row],[Adjusted Land Total]]-Inventory[[#This Row],[24Lnd]])/Inventory[[#This Row],[24Lnd]]</f>
        <v>-1.2842892768079801</v>
      </c>
      <c r="BU173" s="36">
        <f>(Inventory[[#This Row],[Adjusted Total]]-Inventory[[#This Row],[24Final]])/Inventory[[#This Row],[24Final]]</f>
        <v>1.4970059880239521E-2</v>
      </c>
    </row>
    <row r="174" spans="1:73" x14ac:dyDescent="0.3">
      <c r="A174" s="25">
        <v>2025</v>
      </c>
      <c r="B174" s="26" t="s">
        <v>1643</v>
      </c>
      <c r="C174" s="26">
        <f>LN(Inventory[[#This Row],[Acres]])</f>
        <v>-3.2188758248682006</v>
      </c>
      <c r="D174" s="25">
        <v>0.04</v>
      </c>
      <c r="E174" s="25">
        <v>1348</v>
      </c>
      <c r="F174" s="26" t="s">
        <v>537</v>
      </c>
      <c r="G174" s="26" t="s">
        <v>28</v>
      </c>
      <c r="H174" s="26" t="s">
        <v>349</v>
      </c>
      <c r="I174" s="26" t="s">
        <v>538</v>
      </c>
      <c r="J174" s="26" t="s">
        <v>551</v>
      </c>
      <c r="K174" s="26" t="s">
        <v>381</v>
      </c>
      <c r="L174" s="26" t="s">
        <v>351</v>
      </c>
      <c r="M174" s="26" t="s">
        <v>323</v>
      </c>
      <c r="N174" s="26">
        <v>50</v>
      </c>
      <c r="O174" s="26">
        <f>2024-Inventory[[#This Row],[YrBlt]]</f>
        <v>44</v>
      </c>
      <c r="P174" s="26">
        <f>2024-Inventory[[#This Row],[EffYr]]</f>
        <v>44</v>
      </c>
      <c r="Q174" s="25">
        <v>1980</v>
      </c>
      <c r="R174" s="25">
        <v>1980</v>
      </c>
      <c r="S174" s="25">
        <v>1348</v>
      </c>
      <c r="T174" s="27"/>
      <c r="U174" s="31"/>
      <c r="V174" s="31">
        <f>Inventory[[#This Row],[Bsmt]]-Inventory[[#This Row],[FnBsmt]]</f>
        <v>0</v>
      </c>
      <c r="W174" s="31"/>
      <c r="X174" s="27"/>
      <c r="Y174" s="27">
        <f>Inventory[[#This Row],[MainFn]]+Inventory[[#This Row],[UpprFn]]+Inventory[[#This Row],[FnBsmt]]+Inventory[[#This Row],[AddFn]]</f>
        <v>1348</v>
      </c>
      <c r="Z174" s="27">
        <v>1500</v>
      </c>
      <c r="AA174" s="25">
        <v>8</v>
      </c>
      <c r="AB174" s="27"/>
      <c r="AC174" s="27"/>
      <c r="AD174" s="27"/>
      <c r="AE174" s="27"/>
      <c r="AF174" s="27"/>
      <c r="AG174" s="27"/>
      <c r="AH174" s="27"/>
      <c r="AI174" s="25">
        <v>222128</v>
      </c>
      <c r="AJ174" s="25">
        <v>173260</v>
      </c>
      <c r="AK174" s="25">
        <v>14077</v>
      </c>
      <c r="AL174" s="25">
        <v>267300</v>
      </c>
      <c r="AM174" s="25">
        <v>40100</v>
      </c>
      <c r="AN174" s="25">
        <v>227200</v>
      </c>
      <c r="AO174" s="25">
        <v>0</v>
      </c>
      <c r="AP174" s="25">
        <f>Lookups!$B$56*0</f>
        <v>0</v>
      </c>
      <c r="AQ174" s="25">
        <f>Lookups!$B$56*1</f>
        <v>89850.625589999996</v>
      </c>
      <c r="AR174" s="25">
        <f>Lookups!$B$57*Inventory[[#This Row],[LnAcres]]</f>
        <v>-101892.2773541973</v>
      </c>
      <c r="AS174" s="25">
        <f>VLOOKUP(Inventory[[#This Row],[Qlty]],Lookups!$A$62:$E$75,2,FALSE)</f>
        <v>21557.329055999999</v>
      </c>
      <c r="AT174" s="25">
        <f>VLOOKUP(Inventory[[#This Row],[Cnd]],Lookups!$A$76:$E$84,2,FALSE)</f>
        <v>160472.20319</v>
      </c>
      <c r="AU174" s="25">
        <f>Inventory[[#This Row],[EffAge]]*Lookups!$B$85</f>
        <v>-9814.0064220000004</v>
      </c>
      <c r="AV174" s="25">
        <f>Inventory[[#This Row],[MainFn]]*Lookups!$B$86</f>
        <v>66602.886994196</v>
      </c>
      <c r="AW174" s="25">
        <f>Inventory[[#This Row],[UpprFn]]*Lookups!$B$87</f>
        <v>0</v>
      </c>
      <c r="AX174" s="25">
        <f>Inventory[[#This Row],[AddFn]]*Lookups!$B$88</f>
        <v>0</v>
      </c>
      <c r="AY174" s="25">
        <f>Inventory[[#This Row],[Bsmt]]*Lookups!$B$89</f>
        <v>0</v>
      </c>
      <c r="AZ174" s="25">
        <f>Inventory[[#This Row],[Fixtures]]*Lookups!$B$90</f>
        <v>30336.176841600001</v>
      </c>
      <c r="BA174" s="25">
        <f>Inventory[[#This Row],[WdDeck]]*Lookups!$B$91</f>
        <v>0</v>
      </c>
      <c r="BB174" s="25">
        <f>ROUND(Inventory[[#This Row],[25Det]],-2)</f>
        <v>14100</v>
      </c>
      <c r="BC174" s="25">
        <f>ROUND(SUM(Inventory[[#This Row],[Mdl Qlty]:[Mdl WdDeck]])+Inventory[[#This Row],[Mdl Res Intercept]],-2)</f>
        <v>269200</v>
      </c>
      <c r="BD174" s="25">
        <f>ROUND(Inventory[[#This Row],[Mdl Land Intercept]]+Inventory[[#This Row],[Mdl LnAcres]],-2)</f>
        <v>-12000</v>
      </c>
      <c r="BE174" s="25">
        <f>Inventory[[#This Row],[Unadj Res Value]]+Inventory[[#This Row],[Unadj Det Value]]+Inventory[[#This Row],[Unadj Land Value]]</f>
        <v>271300</v>
      </c>
      <c r="BF174" s="36">
        <f>(Inventory[[#This Row],[Unadj Total Value]]-Inventory[[#This Row],[24Final]])/Inventory[[#This Row],[24Final]]</f>
        <v>1.4964459408903853E-2</v>
      </c>
      <c r="BG174" s="25">
        <f>VLOOKUP(Inventory[[#This Row],[Nbhd]],Lookups!$Q$2:$T$4,4,FALSE)</f>
        <v>0.99970000000000003</v>
      </c>
      <c r="BH174" s="25">
        <f>VLOOKUP(Inventory[[#This Row],[Qlty]],Lookups!$O$7:$R$21,4,FALSE)</f>
        <v>1.0067999999999999</v>
      </c>
      <c r="BI174" s="25">
        <f>VLOOKUP(Inventory[[#This Row],[Cnd]],Lookups!$T$7:$W$16,4,FALSE)</f>
        <v>0.99729999999999996</v>
      </c>
      <c r="BJ174" s="25">
        <f>VLOOKUP(Inventory[[#This Row],[LivArea Range]],Lookups!$T$25:$W$37,4,FALSE)</f>
        <v>1.0157</v>
      </c>
      <c r="BK174" s="25">
        <f>VLOOKUP(Inventory[[#This Row],[Decade]],Lookups!$O$25:$R$42,4,FALSE)</f>
        <v>0.96919999999999995</v>
      </c>
      <c r="BL174" s="25">
        <f>Inventory[[#This Row],[Nbhd Adj]]*0.95</f>
        <v>0.94971499999999998</v>
      </c>
      <c r="BM174" s="25">
        <f>Inventory[[#This Row],[Nbhd Adj]]*Inventory[[#This Row],[Quality Adj]]*Inventory[[#This Row],[Condition Adj]]*Inventory[[#This Row],[Living Area Adj]]*Inventory[[#This Row],[Decade Adj]]*0.95</f>
        <v>0.93873104601730073</v>
      </c>
      <c r="BN174" s="25">
        <f>ROUND(SUM(Inventory[[#This Row],[Mdl Qlty]:[Mdl WdDeck]])+Inventory[[#This Row],[Mdl Res Intercept]]*Inventory[[#This Row],[Res Adj ]],-2)</f>
        <v>269200</v>
      </c>
      <c r="BO174" s="25">
        <f>ROUND(Inventory[[#This Row],[25Det]]*Inventory[[#This Row],[Det/Nbhd Adj]],-2)</f>
        <v>13400</v>
      </c>
      <c r="BP174" s="25">
        <f>Inventory[[#This Row],[Adjusted Res]]+Inventory[[#This Row],[Adj Det ]]</f>
        <v>282600</v>
      </c>
      <c r="BQ174" s="25">
        <f>ROUND((Inventory[[#This Row],[Mdl Land Intercept]]+Inventory[[#This Row],[Mdl LnAcres]])*Inventory[[#This Row],[Det/Nbhd Adj]],-2)</f>
        <v>-11400</v>
      </c>
      <c r="BR174" s="25">
        <f>Inventory[[#This Row],[Adjusted Impr Total]]+Inventory[[#This Row],[Adjusted Land Total]]</f>
        <v>271200</v>
      </c>
      <c r="BS174" s="36">
        <f>IFERROR((Inventory[[#This Row],[Adjusted Impr Total]]-Inventory[[#This Row],[24Bldg]])/Inventory[[#This Row],[24Bldg]],0)</f>
        <v>0.24383802816901409</v>
      </c>
      <c r="BT174" s="36">
        <f>(Inventory[[#This Row],[Adjusted Land Total]]-Inventory[[#This Row],[24Lnd]])/Inventory[[#This Row],[24Lnd]]</f>
        <v>-1.2842892768079801</v>
      </c>
      <c r="BU174" s="36">
        <f>(Inventory[[#This Row],[Adjusted Total]]-Inventory[[#This Row],[24Final]])/Inventory[[#This Row],[24Final]]</f>
        <v>1.4590347923681257E-2</v>
      </c>
    </row>
    <row r="175" spans="1:73" x14ac:dyDescent="0.3">
      <c r="A175" s="25">
        <v>2025</v>
      </c>
      <c r="B175" s="26" t="s">
        <v>1698</v>
      </c>
      <c r="C175" s="26">
        <f>LN(Inventory[[#This Row],[Acres]])</f>
        <v>-3.2188758248682006</v>
      </c>
      <c r="D175" s="25">
        <v>0.04</v>
      </c>
      <c r="E175" s="25">
        <v>1348</v>
      </c>
      <c r="F175" s="26" t="s">
        <v>537</v>
      </c>
      <c r="G175" s="26" t="s">
        <v>28</v>
      </c>
      <c r="H175" s="26" t="s">
        <v>349</v>
      </c>
      <c r="I175" s="26" t="s">
        <v>538</v>
      </c>
      <c r="J175" s="26" t="s">
        <v>551</v>
      </c>
      <c r="K175" s="26" t="s">
        <v>381</v>
      </c>
      <c r="L175" s="26" t="s">
        <v>351</v>
      </c>
      <c r="M175" s="26" t="s">
        <v>323</v>
      </c>
      <c r="N175" s="26">
        <v>50</v>
      </c>
      <c r="O175" s="26">
        <f>2024-Inventory[[#This Row],[YrBlt]]</f>
        <v>44</v>
      </c>
      <c r="P175" s="26">
        <f>2024-Inventory[[#This Row],[EffYr]]</f>
        <v>44</v>
      </c>
      <c r="Q175" s="25">
        <v>1980</v>
      </c>
      <c r="R175" s="25">
        <v>1980</v>
      </c>
      <c r="S175" s="25">
        <v>1348</v>
      </c>
      <c r="T175" s="27"/>
      <c r="U175" s="31"/>
      <c r="V175" s="27">
        <f>Inventory[[#This Row],[Bsmt]]-Inventory[[#This Row],[FnBsmt]]</f>
        <v>0</v>
      </c>
      <c r="W175" s="27"/>
      <c r="X175" s="27"/>
      <c r="Y175" s="27">
        <f>Inventory[[#This Row],[MainFn]]+Inventory[[#This Row],[UpprFn]]+Inventory[[#This Row],[FnBsmt]]+Inventory[[#This Row],[AddFn]]</f>
        <v>1348</v>
      </c>
      <c r="Z175" s="27">
        <v>1500</v>
      </c>
      <c r="AA175" s="25">
        <v>8</v>
      </c>
      <c r="AB175" s="27"/>
      <c r="AC175" s="27"/>
      <c r="AD175" s="27"/>
      <c r="AE175" s="27"/>
      <c r="AF175" s="27"/>
      <c r="AG175" s="27"/>
      <c r="AH175" s="27"/>
      <c r="AI175" s="25">
        <v>222470</v>
      </c>
      <c r="AJ175" s="25">
        <v>173527</v>
      </c>
      <c r="AK175" s="25">
        <v>14562</v>
      </c>
      <c r="AL175" s="25">
        <v>267700</v>
      </c>
      <c r="AM175" s="25">
        <v>40200</v>
      </c>
      <c r="AN175" s="25">
        <v>227500</v>
      </c>
      <c r="AO175" s="25">
        <v>0</v>
      </c>
      <c r="AP175" s="25">
        <f>Lookups!$B$56*0</f>
        <v>0</v>
      </c>
      <c r="AQ175" s="25">
        <f>Lookups!$B$56*1</f>
        <v>89850.625589999996</v>
      </c>
      <c r="AR175" s="25">
        <f>Lookups!$B$57*Inventory[[#This Row],[LnAcres]]</f>
        <v>-101892.2773541973</v>
      </c>
      <c r="AS175" s="25">
        <f>VLOOKUP(Inventory[[#This Row],[Qlty]],Lookups!$A$62:$E$75,2,FALSE)</f>
        <v>21557.329055999999</v>
      </c>
      <c r="AT175" s="25">
        <f>VLOOKUP(Inventory[[#This Row],[Cnd]],Lookups!$A$76:$E$84,2,FALSE)</f>
        <v>160472.20319</v>
      </c>
      <c r="AU175" s="25">
        <f>Inventory[[#This Row],[EffAge]]*Lookups!$B$85</f>
        <v>-9814.0064220000004</v>
      </c>
      <c r="AV175" s="25">
        <f>Inventory[[#This Row],[MainFn]]*Lookups!$B$86</f>
        <v>66602.886994196</v>
      </c>
      <c r="AW175" s="25">
        <f>Inventory[[#This Row],[UpprFn]]*Lookups!$B$87</f>
        <v>0</v>
      </c>
      <c r="AX175" s="25">
        <f>Inventory[[#This Row],[AddFn]]*Lookups!$B$88</f>
        <v>0</v>
      </c>
      <c r="AY175" s="25">
        <f>Inventory[[#This Row],[Bsmt]]*Lookups!$B$89</f>
        <v>0</v>
      </c>
      <c r="AZ175" s="25">
        <f>Inventory[[#This Row],[Fixtures]]*Lookups!$B$90</f>
        <v>30336.176841600001</v>
      </c>
      <c r="BA175" s="25">
        <f>Inventory[[#This Row],[WdDeck]]*Lookups!$B$91</f>
        <v>0</v>
      </c>
      <c r="BB175" s="25">
        <f>ROUND(Inventory[[#This Row],[25Det]],-2)</f>
        <v>14600</v>
      </c>
      <c r="BC175" s="25">
        <f>ROUND(SUM(Inventory[[#This Row],[Mdl Qlty]:[Mdl WdDeck]])+Inventory[[#This Row],[Mdl Res Intercept]],-2)</f>
        <v>269200</v>
      </c>
      <c r="BD175" s="25">
        <f>ROUND(Inventory[[#This Row],[Mdl Land Intercept]]+Inventory[[#This Row],[Mdl LnAcres]],-2)</f>
        <v>-12000</v>
      </c>
      <c r="BE175" s="25">
        <f>Inventory[[#This Row],[Unadj Res Value]]+Inventory[[#This Row],[Unadj Det Value]]+Inventory[[#This Row],[Unadj Land Value]]</f>
        <v>271800</v>
      </c>
      <c r="BF175" s="36">
        <f>(Inventory[[#This Row],[Unadj Total Value]]-Inventory[[#This Row],[24Final]])/Inventory[[#This Row],[24Final]]</f>
        <v>1.5315651849084797E-2</v>
      </c>
      <c r="BG175" s="25">
        <f>VLOOKUP(Inventory[[#This Row],[Nbhd]],Lookups!$Q$2:$T$4,4,FALSE)</f>
        <v>0.99970000000000003</v>
      </c>
      <c r="BH175" s="25">
        <f>VLOOKUP(Inventory[[#This Row],[Qlty]],Lookups!$O$7:$R$21,4,FALSE)</f>
        <v>1.0067999999999999</v>
      </c>
      <c r="BI175" s="25">
        <f>VLOOKUP(Inventory[[#This Row],[Cnd]],Lookups!$T$7:$W$16,4,FALSE)</f>
        <v>0.99729999999999996</v>
      </c>
      <c r="BJ175" s="25">
        <f>VLOOKUP(Inventory[[#This Row],[LivArea Range]],Lookups!$T$25:$W$37,4,FALSE)</f>
        <v>1.0157</v>
      </c>
      <c r="BK175" s="25">
        <f>VLOOKUP(Inventory[[#This Row],[Decade]],Lookups!$O$25:$R$42,4,FALSE)</f>
        <v>0.96919999999999995</v>
      </c>
      <c r="BL175" s="25">
        <f>Inventory[[#This Row],[Nbhd Adj]]*0.95</f>
        <v>0.94971499999999998</v>
      </c>
      <c r="BM175" s="25">
        <f>Inventory[[#This Row],[Nbhd Adj]]*Inventory[[#This Row],[Quality Adj]]*Inventory[[#This Row],[Condition Adj]]*Inventory[[#This Row],[Living Area Adj]]*Inventory[[#This Row],[Decade Adj]]*0.95</f>
        <v>0.93873104601730073</v>
      </c>
      <c r="BN175" s="25">
        <f>ROUND(SUM(Inventory[[#This Row],[Mdl Qlty]:[Mdl WdDeck]])+Inventory[[#This Row],[Mdl Res Intercept]]*Inventory[[#This Row],[Res Adj ]],-2)</f>
        <v>269200</v>
      </c>
      <c r="BO175" s="25">
        <f>ROUND(Inventory[[#This Row],[25Det]]*Inventory[[#This Row],[Det/Nbhd Adj]],-2)</f>
        <v>13800</v>
      </c>
      <c r="BP175" s="25">
        <f>Inventory[[#This Row],[Adjusted Res]]+Inventory[[#This Row],[Adj Det ]]</f>
        <v>283000</v>
      </c>
      <c r="BQ175" s="25">
        <f>ROUND((Inventory[[#This Row],[Mdl Land Intercept]]+Inventory[[#This Row],[Mdl LnAcres]])*Inventory[[#This Row],[Det/Nbhd Adj]],-2)</f>
        <v>-11400</v>
      </c>
      <c r="BR175" s="25">
        <f>Inventory[[#This Row],[Adjusted Impr Total]]+Inventory[[#This Row],[Adjusted Land Total]]</f>
        <v>271600</v>
      </c>
      <c r="BS175" s="36">
        <f>IFERROR((Inventory[[#This Row],[Adjusted Impr Total]]-Inventory[[#This Row],[24Bldg]])/Inventory[[#This Row],[24Bldg]],0)</f>
        <v>0.24395604395604395</v>
      </c>
      <c r="BT175" s="36">
        <f>(Inventory[[#This Row],[Adjusted Land Total]]-Inventory[[#This Row],[24Lnd]])/Inventory[[#This Row],[24Lnd]]</f>
        <v>-1.2835820895522387</v>
      </c>
      <c r="BU175" s="36">
        <f>(Inventory[[#This Row],[Adjusted Total]]-Inventory[[#This Row],[24Final]])/Inventory[[#This Row],[24Final]]</f>
        <v>1.4568546880836758E-2</v>
      </c>
    </row>
    <row r="176" spans="1:73" x14ac:dyDescent="0.3">
      <c r="A176" s="25">
        <v>2025</v>
      </c>
      <c r="B176" s="26" t="s">
        <v>1895</v>
      </c>
      <c r="C176" s="26">
        <f>LN(Inventory[[#This Row],[Acres]])</f>
        <v>-2.9957322735539909</v>
      </c>
      <c r="D176" s="25">
        <v>0.05</v>
      </c>
      <c r="E176" s="25">
        <v>1474</v>
      </c>
      <c r="F176" s="26" t="s">
        <v>537</v>
      </c>
      <c r="G176" s="26" t="s">
        <v>28</v>
      </c>
      <c r="H176" s="26" t="s">
        <v>349</v>
      </c>
      <c r="I176" s="26" t="s">
        <v>538</v>
      </c>
      <c r="J176" s="26" t="s">
        <v>551</v>
      </c>
      <c r="K176" s="26" t="s">
        <v>381</v>
      </c>
      <c r="L176" s="26" t="s">
        <v>351</v>
      </c>
      <c r="M176" s="26" t="s">
        <v>323</v>
      </c>
      <c r="N176" s="26">
        <v>50</v>
      </c>
      <c r="O176" s="26">
        <f>2024-Inventory[[#This Row],[YrBlt]]</f>
        <v>44</v>
      </c>
      <c r="P176" s="26">
        <f>2024-Inventory[[#This Row],[EffYr]]</f>
        <v>44</v>
      </c>
      <c r="Q176" s="25">
        <v>1980</v>
      </c>
      <c r="R176" s="25">
        <v>1980</v>
      </c>
      <c r="S176" s="25">
        <v>1474</v>
      </c>
      <c r="T176" s="27"/>
      <c r="U176" s="31"/>
      <c r="V176" s="31">
        <f>Inventory[[#This Row],[Bsmt]]-Inventory[[#This Row],[FnBsmt]]</f>
        <v>0</v>
      </c>
      <c r="W176" s="31"/>
      <c r="X176" s="27"/>
      <c r="Y176" s="27">
        <f>Inventory[[#This Row],[MainFn]]+Inventory[[#This Row],[UpprFn]]+Inventory[[#This Row],[FnBsmt]]+Inventory[[#This Row],[AddFn]]</f>
        <v>1474</v>
      </c>
      <c r="Z176" s="27">
        <v>1500</v>
      </c>
      <c r="AA176" s="25">
        <v>8</v>
      </c>
      <c r="AB176" s="27"/>
      <c r="AC176" s="27"/>
      <c r="AD176" s="27"/>
      <c r="AE176" s="27"/>
      <c r="AF176" s="27"/>
      <c r="AG176" s="27"/>
      <c r="AH176" s="27"/>
      <c r="AI176" s="25">
        <v>235950</v>
      </c>
      <c r="AJ176" s="25">
        <v>184041</v>
      </c>
      <c r="AK176" s="25">
        <v>15989</v>
      </c>
      <c r="AL176" s="25">
        <v>284500</v>
      </c>
      <c r="AM176" s="25">
        <v>42700</v>
      </c>
      <c r="AN176" s="25">
        <v>241800</v>
      </c>
      <c r="AO176" s="25">
        <v>0</v>
      </c>
      <c r="AP176" s="25">
        <f>Lookups!$B$56*0</f>
        <v>0</v>
      </c>
      <c r="AQ176" s="25">
        <f>Lookups!$B$56*1</f>
        <v>89850.625589999996</v>
      </c>
      <c r="AR176" s="25">
        <f>Lookups!$B$57*Inventory[[#This Row],[LnAcres]]</f>
        <v>-94828.753982263879</v>
      </c>
      <c r="AS176" s="25">
        <f>VLOOKUP(Inventory[[#This Row],[Qlty]],Lookups!$A$62:$E$75,2,FALSE)</f>
        <v>21557.329055999999</v>
      </c>
      <c r="AT176" s="25">
        <f>VLOOKUP(Inventory[[#This Row],[Cnd]],Lookups!$A$76:$E$84,2,FALSE)</f>
        <v>160472.20319</v>
      </c>
      <c r="AU176" s="25">
        <f>Inventory[[#This Row],[EffAge]]*Lookups!$B$85</f>
        <v>-9814.0064220000004</v>
      </c>
      <c r="AV176" s="25">
        <f>Inventory[[#This Row],[MainFn]]*Lookups!$B$86</f>
        <v>72828.379398698002</v>
      </c>
      <c r="AW176" s="25">
        <f>Inventory[[#This Row],[UpprFn]]*Lookups!$B$87</f>
        <v>0</v>
      </c>
      <c r="AX176" s="25">
        <f>Inventory[[#This Row],[AddFn]]*Lookups!$B$88</f>
        <v>0</v>
      </c>
      <c r="AY176" s="25">
        <f>Inventory[[#This Row],[Bsmt]]*Lookups!$B$89</f>
        <v>0</v>
      </c>
      <c r="AZ176" s="25">
        <f>Inventory[[#This Row],[Fixtures]]*Lookups!$B$90</f>
        <v>30336.176841600001</v>
      </c>
      <c r="BA176" s="25">
        <f>Inventory[[#This Row],[WdDeck]]*Lookups!$B$91</f>
        <v>0</v>
      </c>
      <c r="BB176" s="25">
        <f>ROUND(Inventory[[#This Row],[25Det]],-2)</f>
        <v>16000</v>
      </c>
      <c r="BC176" s="25">
        <f>ROUND(SUM(Inventory[[#This Row],[Mdl Qlty]:[Mdl WdDeck]])+Inventory[[#This Row],[Mdl Res Intercept]],-2)</f>
        <v>275400</v>
      </c>
      <c r="BD176" s="25">
        <f>ROUND(Inventory[[#This Row],[Mdl Land Intercept]]+Inventory[[#This Row],[Mdl LnAcres]],-2)</f>
        <v>-5000</v>
      </c>
      <c r="BE176" s="25">
        <f>Inventory[[#This Row],[Unadj Res Value]]+Inventory[[#This Row],[Unadj Det Value]]+Inventory[[#This Row],[Unadj Land Value]]</f>
        <v>286400</v>
      </c>
      <c r="BF176" s="36">
        <f>(Inventory[[#This Row],[Unadj Total Value]]-Inventory[[#This Row],[24Final]])/Inventory[[#This Row],[24Final]]</f>
        <v>6.678383128295255E-3</v>
      </c>
      <c r="BG176" s="25">
        <f>VLOOKUP(Inventory[[#This Row],[Nbhd]],Lookups!$Q$2:$T$4,4,FALSE)</f>
        <v>0.99970000000000003</v>
      </c>
      <c r="BH176" s="25">
        <f>VLOOKUP(Inventory[[#This Row],[Qlty]],Lookups!$O$7:$R$21,4,FALSE)</f>
        <v>1.0067999999999999</v>
      </c>
      <c r="BI176" s="25">
        <f>VLOOKUP(Inventory[[#This Row],[Cnd]],Lookups!$T$7:$W$16,4,FALSE)</f>
        <v>0.99729999999999996</v>
      </c>
      <c r="BJ176" s="25">
        <f>VLOOKUP(Inventory[[#This Row],[LivArea Range]],Lookups!$T$25:$W$37,4,FALSE)</f>
        <v>1.0157</v>
      </c>
      <c r="BK176" s="25">
        <f>VLOOKUP(Inventory[[#This Row],[Decade]],Lookups!$O$25:$R$42,4,FALSE)</f>
        <v>0.96919999999999995</v>
      </c>
      <c r="BL176" s="25">
        <f>Inventory[[#This Row],[Nbhd Adj]]*0.95</f>
        <v>0.94971499999999998</v>
      </c>
      <c r="BM176" s="25">
        <f>Inventory[[#This Row],[Nbhd Adj]]*Inventory[[#This Row],[Quality Adj]]*Inventory[[#This Row],[Condition Adj]]*Inventory[[#This Row],[Living Area Adj]]*Inventory[[#This Row],[Decade Adj]]*0.95</f>
        <v>0.93873104601730073</v>
      </c>
      <c r="BN176" s="25">
        <f>ROUND(SUM(Inventory[[#This Row],[Mdl Qlty]:[Mdl WdDeck]])+Inventory[[#This Row],[Mdl Res Intercept]]*Inventory[[#This Row],[Res Adj ]],-2)</f>
        <v>275400</v>
      </c>
      <c r="BO176" s="25">
        <f>ROUND(Inventory[[#This Row],[25Det]]*Inventory[[#This Row],[Det/Nbhd Adj]],-2)</f>
        <v>15200</v>
      </c>
      <c r="BP176" s="25">
        <f>Inventory[[#This Row],[Adjusted Res]]+Inventory[[#This Row],[Adj Det ]]</f>
        <v>290600</v>
      </c>
      <c r="BQ176" s="25">
        <f>ROUND((Inventory[[#This Row],[Mdl Land Intercept]]+Inventory[[#This Row],[Mdl LnAcres]])*Inventory[[#This Row],[Det/Nbhd Adj]],-2)</f>
        <v>-4700</v>
      </c>
      <c r="BR176" s="25">
        <f>Inventory[[#This Row],[Adjusted Impr Total]]+Inventory[[#This Row],[Adjusted Land Total]]</f>
        <v>285900</v>
      </c>
      <c r="BS176" s="36">
        <f>IFERROR((Inventory[[#This Row],[Adjusted Impr Total]]-Inventory[[#This Row],[24Bldg]])/Inventory[[#This Row],[24Bldg]],0)</f>
        <v>0.20181968569065342</v>
      </c>
      <c r="BT176" s="36">
        <f>(Inventory[[#This Row],[Adjusted Land Total]]-Inventory[[#This Row],[24Lnd]])/Inventory[[#This Row],[24Lnd]]</f>
        <v>-1.1100702576112411</v>
      </c>
      <c r="BU176" s="36">
        <f>(Inventory[[#This Row],[Adjusted Total]]-Inventory[[#This Row],[24Final]])/Inventory[[#This Row],[24Final]]</f>
        <v>4.9209138840070298E-3</v>
      </c>
    </row>
    <row r="177" spans="1:73" x14ac:dyDescent="0.3">
      <c r="A177" s="25">
        <v>2025</v>
      </c>
      <c r="B177" s="26" t="s">
        <v>1694</v>
      </c>
      <c r="C177" s="26">
        <f>LN(Inventory[[#This Row],[Acres]])</f>
        <v>-3.2188758248682006</v>
      </c>
      <c r="D177" s="25">
        <v>0.04</v>
      </c>
      <c r="E177" s="25">
        <v>1348</v>
      </c>
      <c r="F177" s="26" t="s">
        <v>537</v>
      </c>
      <c r="G177" s="26" t="s">
        <v>28</v>
      </c>
      <c r="H177" s="26" t="s">
        <v>349</v>
      </c>
      <c r="I177" s="26" t="s">
        <v>538</v>
      </c>
      <c r="J177" s="26" t="s">
        <v>551</v>
      </c>
      <c r="K177" s="26" t="s">
        <v>381</v>
      </c>
      <c r="L177" s="26" t="s">
        <v>351</v>
      </c>
      <c r="M177" s="26" t="s">
        <v>323</v>
      </c>
      <c r="N177" s="26">
        <v>50</v>
      </c>
      <c r="O177" s="26">
        <f>2024-Inventory[[#This Row],[YrBlt]]</f>
        <v>44</v>
      </c>
      <c r="P177" s="26">
        <f>2024-Inventory[[#This Row],[EffYr]]</f>
        <v>44</v>
      </c>
      <c r="Q177" s="25">
        <v>1980</v>
      </c>
      <c r="R177" s="25">
        <v>1980</v>
      </c>
      <c r="S177" s="25">
        <v>1348</v>
      </c>
      <c r="T177" s="27"/>
      <c r="U177" s="31"/>
      <c r="V177" s="31">
        <f>Inventory[[#This Row],[Bsmt]]-Inventory[[#This Row],[FnBsmt]]</f>
        <v>0</v>
      </c>
      <c r="W177" s="31"/>
      <c r="X177" s="27"/>
      <c r="Y177" s="27">
        <f>Inventory[[#This Row],[MainFn]]+Inventory[[#This Row],[UpprFn]]+Inventory[[#This Row],[FnBsmt]]+Inventory[[#This Row],[AddFn]]</f>
        <v>1348</v>
      </c>
      <c r="Z177" s="27">
        <v>1500</v>
      </c>
      <c r="AA177" s="25">
        <v>8</v>
      </c>
      <c r="AB177" s="27"/>
      <c r="AC177" s="27"/>
      <c r="AD177" s="27"/>
      <c r="AE177" s="27"/>
      <c r="AF177" s="27"/>
      <c r="AG177" s="27"/>
      <c r="AH177" s="27"/>
      <c r="AI177" s="25">
        <v>225935</v>
      </c>
      <c r="AJ177" s="25">
        <v>176229</v>
      </c>
      <c r="AK177" s="25">
        <v>14077</v>
      </c>
      <c r="AL177" s="25">
        <v>271300</v>
      </c>
      <c r="AM177" s="25">
        <v>40700</v>
      </c>
      <c r="AN177" s="25">
        <v>230600</v>
      </c>
      <c r="AO177" s="25">
        <v>0</v>
      </c>
      <c r="AP177" s="25">
        <f>Lookups!$B$56*0</f>
        <v>0</v>
      </c>
      <c r="AQ177" s="25">
        <f>Lookups!$B$56*1</f>
        <v>89850.625589999996</v>
      </c>
      <c r="AR177" s="25">
        <f>Lookups!$B$57*Inventory[[#This Row],[LnAcres]]</f>
        <v>-101892.2773541973</v>
      </c>
      <c r="AS177" s="25">
        <f>VLOOKUP(Inventory[[#This Row],[Qlty]],Lookups!$A$62:$E$75,2,FALSE)</f>
        <v>21557.329055999999</v>
      </c>
      <c r="AT177" s="25">
        <f>VLOOKUP(Inventory[[#This Row],[Cnd]],Lookups!$A$76:$E$84,2,FALSE)</f>
        <v>160472.20319</v>
      </c>
      <c r="AU177" s="25">
        <f>Inventory[[#This Row],[EffAge]]*Lookups!$B$85</f>
        <v>-9814.0064220000004</v>
      </c>
      <c r="AV177" s="25">
        <f>Inventory[[#This Row],[MainFn]]*Lookups!$B$86</f>
        <v>66602.886994196</v>
      </c>
      <c r="AW177" s="25">
        <f>Inventory[[#This Row],[UpprFn]]*Lookups!$B$87</f>
        <v>0</v>
      </c>
      <c r="AX177" s="25">
        <f>Inventory[[#This Row],[AddFn]]*Lookups!$B$88</f>
        <v>0</v>
      </c>
      <c r="AY177" s="25">
        <f>Inventory[[#This Row],[Bsmt]]*Lookups!$B$89</f>
        <v>0</v>
      </c>
      <c r="AZ177" s="25">
        <f>Inventory[[#This Row],[Fixtures]]*Lookups!$B$90</f>
        <v>30336.176841600001</v>
      </c>
      <c r="BA177" s="25">
        <f>Inventory[[#This Row],[WdDeck]]*Lookups!$B$91</f>
        <v>0</v>
      </c>
      <c r="BB177" s="25">
        <f>ROUND(Inventory[[#This Row],[25Det]],-2)</f>
        <v>14100</v>
      </c>
      <c r="BC177" s="25">
        <f>ROUND(SUM(Inventory[[#This Row],[Mdl Qlty]:[Mdl WdDeck]])+Inventory[[#This Row],[Mdl Res Intercept]],-2)</f>
        <v>269200</v>
      </c>
      <c r="BD177" s="25">
        <f>ROUND(Inventory[[#This Row],[Mdl Land Intercept]]+Inventory[[#This Row],[Mdl LnAcres]],-2)</f>
        <v>-12000</v>
      </c>
      <c r="BE177" s="25">
        <f>Inventory[[#This Row],[Unadj Res Value]]+Inventory[[#This Row],[Unadj Det Value]]+Inventory[[#This Row],[Unadj Land Value]]</f>
        <v>271300</v>
      </c>
      <c r="BF177" s="36">
        <f>(Inventory[[#This Row],[Unadj Total Value]]-Inventory[[#This Row],[24Final]])/Inventory[[#This Row],[24Final]]</f>
        <v>0</v>
      </c>
      <c r="BG177" s="25">
        <f>VLOOKUP(Inventory[[#This Row],[Nbhd]],Lookups!$Q$2:$T$4,4,FALSE)</f>
        <v>0.99970000000000003</v>
      </c>
      <c r="BH177" s="25">
        <f>VLOOKUP(Inventory[[#This Row],[Qlty]],Lookups!$O$7:$R$21,4,FALSE)</f>
        <v>1.0067999999999999</v>
      </c>
      <c r="BI177" s="25">
        <f>VLOOKUP(Inventory[[#This Row],[Cnd]],Lookups!$T$7:$W$16,4,FALSE)</f>
        <v>0.99729999999999996</v>
      </c>
      <c r="BJ177" s="25">
        <f>VLOOKUP(Inventory[[#This Row],[LivArea Range]],Lookups!$T$25:$W$37,4,FALSE)</f>
        <v>1.0157</v>
      </c>
      <c r="BK177" s="25">
        <f>VLOOKUP(Inventory[[#This Row],[Decade]],Lookups!$O$25:$R$42,4,FALSE)</f>
        <v>0.96919999999999995</v>
      </c>
      <c r="BL177" s="25">
        <f>Inventory[[#This Row],[Nbhd Adj]]*0.95</f>
        <v>0.94971499999999998</v>
      </c>
      <c r="BM177" s="25">
        <f>Inventory[[#This Row],[Nbhd Adj]]*Inventory[[#This Row],[Quality Adj]]*Inventory[[#This Row],[Condition Adj]]*Inventory[[#This Row],[Living Area Adj]]*Inventory[[#This Row],[Decade Adj]]*0.95</f>
        <v>0.93873104601730073</v>
      </c>
      <c r="BN177" s="25">
        <f>ROUND(SUM(Inventory[[#This Row],[Mdl Qlty]:[Mdl WdDeck]])+Inventory[[#This Row],[Mdl Res Intercept]]*Inventory[[#This Row],[Res Adj ]],-2)</f>
        <v>269200</v>
      </c>
      <c r="BO177" s="25">
        <f>ROUND(Inventory[[#This Row],[25Det]]*Inventory[[#This Row],[Det/Nbhd Adj]],-2)</f>
        <v>13400</v>
      </c>
      <c r="BP177" s="25">
        <f>Inventory[[#This Row],[Adjusted Res]]+Inventory[[#This Row],[Adj Det ]]</f>
        <v>282600</v>
      </c>
      <c r="BQ177" s="25">
        <f>ROUND((Inventory[[#This Row],[Mdl Land Intercept]]+Inventory[[#This Row],[Mdl LnAcres]])*Inventory[[#This Row],[Det/Nbhd Adj]],-2)</f>
        <v>-11400</v>
      </c>
      <c r="BR177" s="25">
        <f>Inventory[[#This Row],[Adjusted Impr Total]]+Inventory[[#This Row],[Adjusted Land Total]]</f>
        <v>271200</v>
      </c>
      <c r="BS177" s="36">
        <f>IFERROR((Inventory[[#This Row],[Adjusted Impr Total]]-Inventory[[#This Row],[24Bldg]])/Inventory[[#This Row],[24Bldg]],0)</f>
        <v>0.22549869904596703</v>
      </c>
      <c r="BT177" s="36">
        <f>(Inventory[[#This Row],[Adjusted Land Total]]-Inventory[[#This Row],[24Lnd]])/Inventory[[#This Row],[24Lnd]]</f>
        <v>-1.2800982800982801</v>
      </c>
      <c r="BU177" s="36">
        <f>(Inventory[[#This Row],[Adjusted Total]]-Inventory[[#This Row],[24Final]])/Inventory[[#This Row],[24Final]]</f>
        <v>-3.6859565057132326E-4</v>
      </c>
    </row>
    <row r="178" spans="1:73" x14ac:dyDescent="0.3">
      <c r="A178" s="25">
        <v>2025</v>
      </c>
      <c r="B178" s="26" t="s">
        <v>1640</v>
      </c>
      <c r="C178" s="26">
        <f>LN(Inventory[[#This Row],[Acres]])</f>
        <v>-3.2188758248682006</v>
      </c>
      <c r="D178" s="25">
        <v>0.04</v>
      </c>
      <c r="E178" s="25">
        <v>1788</v>
      </c>
      <c r="F178" s="26" t="s">
        <v>537</v>
      </c>
      <c r="G178" s="26" t="s">
        <v>28</v>
      </c>
      <c r="H178" s="26" t="s">
        <v>349</v>
      </c>
      <c r="I178" s="26" t="s">
        <v>538</v>
      </c>
      <c r="J178" s="26" t="s">
        <v>551</v>
      </c>
      <c r="K178" s="26" t="s">
        <v>381</v>
      </c>
      <c r="L178" s="26" t="s">
        <v>351</v>
      </c>
      <c r="M178" s="26" t="s">
        <v>323</v>
      </c>
      <c r="N178" s="26">
        <v>50</v>
      </c>
      <c r="O178" s="26">
        <f>2024-Inventory[[#This Row],[YrBlt]]</f>
        <v>44</v>
      </c>
      <c r="P178" s="26">
        <f>2024-Inventory[[#This Row],[EffYr]]</f>
        <v>44</v>
      </c>
      <c r="Q178" s="25">
        <v>1980</v>
      </c>
      <c r="R178" s="25">
        <v>1980</v>
      </c>
      <c r="S178" s="25">
        <v>1348</v>
      </c>
      <c r="T178" s="27"/>
      <c r="U178" s="31"/>
      <c r="V178" s="31">
        <f>Inventory[[#This Row],[Bsmt]]-Inventory[[#This Row],[FnBsmt]]</f>
        <v>0</v>
      </c>
      <c r="W178" s="31"/>
      <c r="X178" s="27"/>
      <c r="Y178" s="27">
        <f>Inventory[[#This Row],[MainFn]]+Inventory[[#This Row],[UpprFn]]+Inventory[[#This Row],[FnBsmt]]+Inventory[[#This Row],[AddFn]]</f>
        <v>1348</v>
      </c>
      <c r="Z178" s="27">
        <v>1500</v>
      </c>
      <c r="AA178" s="25">
        <v>8</v>
      </c>
      <c r="AB178" s="25">
        <v>440</v>
      </c>
      <c r="AC178" s="27"/>
      <c r="AD178" s="27"/>
      <c r="AE178" s="27"/>
      <c r="AF178" s="27"/>
      <c r="AG178" s="27"/>
      <c r="AH178" s="27"/>
      <c r="AI178" s="25">
        <v>240372</v>
      </c>
      <c r="AJ178" s="25">
        <v>187490</v>
      </c>
      <c r="AK178" s="25">
        <v>0</v>
      </c>
      <c r="AL178" s="25">
        <v>275000</v>
      </c>
      <c r="AM178" s="25">
        <v>41300</v>
      </c>
      <c r="AN178" s="25">
        <v>233700</v>
      </c>
      <c r="AO178" s="25">
        <v>0</v>
      </c>
      <c r="AP178" s="25">
        <f>Lookups!$B$56*0</f>
        <v>0</v>
      </c>
      <c r="AQ178" s="25">
        <f>Lookups!$B$56*1</f>
        <v>89850.625589999996</v>
      </c>
      <c r="AR178" s="25">
        <f>Lookups!$B$57*Inventory[[#This Row],[LnAcres]]</f>
        <v>-101892.2773541973</v>
      </c>
      <c r="AS178" s="25">
        <f>VLOOKUP(Inventory[[#This Row],[Qlty]],Lookups!$A$62:$E$75,2,FALSE)</f>
        <v>21557.329055999999</v>
      </c>
      <c r="AT178" s="25">
        <f>VLOOKUP(Inventory[[#This Row],[Cnd]],Lookups!$A$76:$E$84,2,FALSE)</f>
        <v>160472.20319</v>
      </c>
      <c r="AU178" s="25">
        <f>Inventory[[#This Row],[EffAge]]*Lookups!$B$85</f>
        <v>-9814.0064220000004</v>
      </c>
      <c r="AV178" s="25">
        <f>Inventory[[#This Row],[MainFn]]*Lookups!$B$86</f>
        <v>66602.886994196</v>
      </c>
      <c r="AW178" s="25">
        <f>Inventory[[#This Row],[UpprFn]]*Lookups!$B$87</f>
        <v>0</v>
      </c>
      <c r="AX178" s="25">
        <f>Inventory[[#This Row],[AddFn]]*Lookups!$B$88</f>
        <v>0</v>
      </c>
      <c r="AY178" s="25">
        <f>Inventory[[#This Row],[Bsmt]]*Lookups!$B$89</f>
        <v>0</v>
      </c>
      <c r="AZ178" s="25">
        <f>Inventory[[#This Row],[Fixtures]]*Lookups!$B$90</f>
        <v>30336.176841600001</v>
      </c>
      <c r="BA178" s="25">
        <f>Inventory[[#This Row],[WdDeck]]*Lookups!$B$91</f>
        <v>0</v>
      </c>
      <c r="BB178" s="25">
        <f>ROUND(Inventory[[#This Row],[25Det]],-2)</f>
        <v>0</v>
      </c>
      <c r="BC178" s="25">
        <f>ROUND(SUM(Inventory[[#This Row],[Mdl Qlty]:[Mdl WdDeck]])+Inventory[[#This Row],[Mdl Res Intercept]],-2)</f>
        <v>269200</v>
      </c>
      <c r="BD178" s="25">
        <f>ROUND(Inventory[[#This Row],[Mdl Land Intercept]]+Inventory[[#This Row],[Mdl LnAcres]],-2)</f>
        <v>-12000</v>
      </c>
      <c r="BE178" s="25">
        <f>Inventory[[#This Row],[Unadj Res Value]]+Inventory[[#This Row],[Unadj Det Value]]+Inventory[[#This Row],[Unadj Land Value]]</f>
        <v>257200</v>
      </c>
      <c r="BF178" s="36">
        <f>(Inventory[[#This Row],[Unadj Total Value]]-Inventory[[#This Row],[24Final]])/Inventory[[#This Row],[24Final]]</f>
        <v>-6.4727272727272731E-2</v>
      </c>
      <c r="BG178" s="25">
        <f>VLOOKUP(Inventory[[#This Row],[Nbhd]],Lookups!$Q$2:$T$4,4,FALSE)</f>
        <v>0.99970000000000003</v>
      </c>
      <c r="BH178" s="25">
        <f>VLOOKUP(Inventory[[#This Row],[Qlty]],Lookups!$O$7:$R$21,4,FALSE)</f>
        <v>1.0067999999999999</v>
      </c>
      <c r="BI178" s="25">
        <f>VLOOKUP(Inventory[[#This Row],[Cnd]],Lookups!$T$7:$W$16,4,FALSE)</f>
        <v>0.99729999999999996</v>
      </c>
      <c r="BJ178" s="25">
        <f>VLOOKUP(Inventory[[#This Row],[LivArea Range]],Lookups!$T$25:$W$37,4,FALSE)</f>
        <v>1.0157</v>
      </c>
      <c r="BK178" s="25">
        <f>VLOOKUP(Inventory[[#This Row],[Decade]],Lookups!$O$25:$R$42,4,FALSE)</f>
        <v>0.96919999999999995</v>
      </c>
      <c r="BL178" s="25">
        <f>Inventory[[#This Row],[Nbhd Adj]]*0.95</f>
        <v>0.94971499999999998</v>
      </c>
      <c r="BM178" s="25">
        <f>Inventory[[#This Row],[Nbhd Adj]]*Inventory[[#This Row],[Quality Adj]]*Inventory[[#This Row],[Condition Adj]]*Inventory[[#This Row],[Living Area Adj]]*Inventory[[#This Row],[Decade Adj]]*0.95</f>
        <v>0.93873104601730073</v>
      </c>
      <c r="BN178" s="25">
        <f>ROUND(SUM(Inventory[[#This Row],[Mdl Qlty]:[Mdl WdDeck]])+Inventory[[#This Row],[Mdl Res Intercept]]*Inventory[[#This Row],[Res Adj ]],-2)</f>
        <v>269200</v>
      </c>
      <c r="BO178" s="25">
        <f>ROUND(Inventory[[#This Row],[25Det]]*Inventory[[#This Row],[Det/Nbhd Adj]],-2)</f>
        <v>0</v>
      </c>
      <c r="BP178" s="25">
        <f>Inventory[[#This Row],[Adjusted Res]]+Inventory[[#This Row],[Adj Det ]]</f>
        <v>269200</v>
      </c>
      <c r="BQ178" s="25">
        <f>ROUND((Inventory[[#This Row],[Mdl Land Intercept]]+Inventory[[#This Row],[Mdl LnAcres]])*Inventory[[#This Row],[Det/Nbhd Adj]],-2)</f>
        <v>-11400</v>
      </c>
      <c r="BR178" s="25">
        <f>Inventory[[#This Row],[Adjusted Impr Total]]+Inventory[[#This Row],[Adjusted Land Total]]</f>
        <v>257800</v>
      </c>
      <c r="BS178" s="36">
        <f>IFERROR((Inventory[[#This Row],[Adjusted Impr Total]]-Inventory[[#This Row],[24Bldg]])/Inventory[[#This Row],[24Bldg]],0)</f>
        <v>0.15190415062045357</v>
      </c>
      <c r="BT178" s="36">
        <f>(Inventory[[#This Row],[Adjusted Land Total]]-Inventory[[#This Row],[24Lnd]])/Inventory[[#This Row],[24Lnd]]</f>
        <v>-1.2760290556900726</v>
      </c>
      <c r="BU178" s="36">
        <f>(Inventory[[#This Row],[Adjusted Total]]-Inventory[[#This Row],[24Final]])/Inventory[[#This Row],[24Final]]</f>
        <v>-6.2545454545454543E-2</v>
      </c>
    </row>
    <row r="179" spans="1:73" x14ac:dyDescent="0.3">
      <c r="A179" s="25">
        <v>2025</v>
      </c>
      <c r="B179" s="26" t="s">
        <v>1639</v>
      </c>
      <c r="C179" s="26">
        <f>LN(Inventory[[#This Row],[Acres]])</f>
        <v>-3.2188758248682006</v>
      </c>
      <c r="D179" s="25">
        <v>0.04</v>
      </c>
      <c r="E179" s="25">
        <v>1788</v>
      </c>
      <c r="F179" s="26" t="s">
        <v>537</v>
      </c>
      <c r="G179" s="26" t="s">
        <v>28</v>
      </c>
      <c r="H179" s="26" t="s">
        <v>349</v>
      </c>
      <c r="I179" s="26" t="s">
        <v>538</v>
      </c>
      <c r="J179" s="26" t="s">
        <v>551</v>
      </c>
      <c r="K179" s="26" t="s">
        <v>381</v>
      </c>
      <c r="L179" s="26" t="s">
        <v>351</v>
      </c>
      <c r="M179" s="26" t="s">
        <v>323</v>
      </c>
      <c r="N179" s="26">
        <v>50</v>
      </c>
      <c r="O179" s="26">
        <f>2024-Inventory[[#This Row],[YrBlt]]</f>
        <v>44</v>
      </c>
      <c r="P179" s="26">
        <f>2024-Inventory[[#This Row],[EffYr]]</f>
        <v>44</v>
      </c>
      <c r="Q179" s="25">
        <v>1980</v>
      </c>
      <c r="R179" s="25">
        <v>1980</v>
      </c>
      <c r="S179" s="25">
        <v>1348</v>
      </c>
      <c r="T179" s="27"/>
      <c r="U179" s="31"/>
      <c r="V179" s="27">
        <f>Inventory[[#This Row],[Bsmt]]-Inventory[[#This Row],[FnBsmt]]</f>
        <v>0</v>
      </c>
      <c r="W179" s="27"/>
      <c r="X179" s="27"/>
      <c r="Y179" s="27">
        <f>Inventory[[#This Row],[MainFn]]+Inventory[[#This Row],[UpprFn]]+Inventory[[#This Row],[FnBsmt]]+Inventory[[#This Row],[AddFn]]</f>
        <v>1348</v>
      </c>
      <c r="Z179" s="27">
        <v>1500</v>
      </c>
      <c r="AA179" s="25">
        <v>8</v>
      </c>
      <c r="AB179" s="32">
        <v>440</v>
      </c>
      <c r="AC179" s="27"/>
      <c r="AD179" s="31"/>
      <c r="AE179" s="27"/>
      <c r="AF179" s="27"/>
      <c r="AG179" s="27"/>
      <c r="AH179" s="27"/>
      <c r="AI179" s="25">
        <v>243991</v>
      </c>
      <c r="AJ179" s="25">
        <v>190313</v>
      </c>
      <c r="AK179" s="25">
        <v>0</v>
      </c>
      <c r="AL179" s="25">
        <v>279100</v>
      </c>
      <c r="AM179" s="25">
        <v>41900</v>
      </c>
      <c r="AN179" s="25">
        <v>237200</v>
      </c>
      <c r="AO179" s="25">
        <v>0</v>
      </c>
      <c r="AP179" s="25">
        <f>Lookups!$B$56*0</f>
        <v>0</v>
      </c>
      <c r="AQ179" s="25">
        <f>Lookups!$B$56*1</f>
        <v>89850.625589999996</v>
      </c>
      <c r="AR179" s="25">
        <f>Lookups!$B$57*Inventory[[#This Row],[LnAcres]]</f>
        <v>-101892.2773541973</v>
      </c>
      <c r="AS179" s="25">
        <f>VLOOKUP(Inventory[[#This Row],[Qlty]],Lookups!$A$62:$E$75,2,FALSE)</f>
        <v>21557.329055999999</v>
      </c>
      <c r="AT179" s="25">
        <f>VLOOKUP(Inventory[[#This Row],[Cnd]],Lookups!$A$76:$E$84,2,FALSE)</f>
        <v>160472.20319</v>
      </c>
      <c r="AU179" s="25">
        <f>Inventory[[#This Row],[EffAge]]*Lookups!$B$85</f>
        <v>-9814.0064220000004</v>
      </c>
      <c r="AV179" s="25">
        <f>Inventory[[#This Row],[MainFn]]*Lookups!$B$86</f>
        <v>66602.886994196</v>
      </c>
      <c r="AW179" s="25">
        <f>Inventory[[#This Row],[UpprFn]]*Lookups!$B$87</f>
        <v>0</v>
      </c>
      <c r="AX179" s="25">
        <f>Inventory[[#This Row],[AddFn]]*Lookups!$B$88</f>
        <v>0</v>
      </c>
      <c r="AY179" s="25">
        <f>Inventory[[#This Row],[Bsmt]]*Lookups!$B$89</f>
        <v>0</v>
      </c>
      <c r="AZ179" s="25">
        <f>Inventory[[#This Row],[Fixtures]]*Lookups!$B$90</f>
        <v>30336.176841600001</v>
      </c>
      <c r="BA179" s="25">
        <f>Inventory[[#This Row],[WdDeck]]*Lookups!$B$91</f>
        <v>0</v>
      </c>
      <c r="BB179" s="25">
        <f>ROUND(Inventory[[#This Row],[25Det]],-2)</f>
        <v>0</v>
      </c>
      <c r="BC179" s="25">
        <f>ROUND(SUM(Inventory[[#This Row],[Mdl Qlty]:[Mdl WdDeck]])+Inventory[[#This Row],[Mdl Res Intercept]],-2)</f>
        <v>269200</v>
      </c>
      <c r="BD179" s="25">
        <f>ROUND(Inventory[[#This Row],[Mdl Land Intercept]]+Inventory[[#This Row],[Mdl LnAcres]],-2)</f>
        <v>-12000</v>
      </c>
      <c r="BE179" s="25">
        <f>Inventory[[#This Row],[Unadj Res Value]]+Inventory[[#This Row],[Unadj Det Value]]+Inventory[[#This Row],[Unadj Land Value]]</f>
        <v>257200</v>
      </c>
      <c r="BF179" s="36">
        <f>(Inventory[[#This Row],[Unadj Total Value]]-Inventory[[#This Row],[24Final]])/Inventory[[#This Row],[24Final]]</f>
        <v>-7.8466499462558223E-2</v>
      </c>
      <c r="BG179" s="25">
        <f>VLOOKUP(Inventory[[#This Row],[Nbhd]],Lookups!$Q$2:$T$4,4,FALSE)</f>
        <v>0.99970000000000003</v>
      </c>
      <c r="BH179" s="25">
        <f>VLOOKUP(Inventory[[#This Row],[Qlty]],Lookups!$O$7:$R$21,4,FALSE)</f>
        <v>1.0067999999999999</v>
      </c>
      <c r="BI179" s="25">
        <f>VLOOKUP(Inventory[[#This Row],[Cnd]],Lookups!$T$7:$W$16,4,FALSE)</f>
        <v>0.99729999999999996</v>
      </c>
      <c r="BJ179" s="25">
        <f>VLOOKUP(Inventory[[#This Row],[LivArea Range]],Lookups!$T$25:$W$37,4,FALSE)</f>
        <v>1.0157</v>
      </c>
      <c r="BK179" s="25">
        <f>VLOOKUP(Inventory[[#This Row],[Decade]],Lookups!$O$25:$R$42,4,FALSE)</f>
        <v>0.96919999999999995</v>
      </c>
      <c r="BL179" s="25">
        <f>Inventory[[#This Row],[Nbhd Adj]]*0.95</f>
        <v>0.94971499999999998</v>
      </c>
      <c r="BM179" s="25">
        <f>Inventory[[#This Row],[Nbhd Adj]]*Inventory[[#This Row],[Quality Adj]]*Inventory[[#This Row],[Condition Adj]]*Inventory[[#This Row],[Living Area Adj]]*Inventory[[#This Row],[Decade Adj]]*0.95</f>
        <v>0.93873104601730073</v>
      </c>
      <c r="BN179" s="25">
        <f>ROUND(SUM(Inventory[[#This Row],[Mdl Qlty]:[Mdl WdDeck]])+Inventory[[#This Row],[Mdl Res Intercept]]*Inventory[[#This Row],[Res Adj ]],-2)</f>
        <v>269200</v>
      </c>
      <c r="BO179" s="25">
        <f>ROUND(Inventory[[#This Row],[25Det]]*Inventory[[#This Row],[Det/Nbhd Adj]],-2)</f>
        <v>0</v>
      </c>
      <c r="BP179" s="25">
        <f>Inventory[[#This Row],[Adjusted Res]]+Inventory[[#This Row],[Adj Det ]]</f>
        <v>269200</v>
      </c>
      <c r="BQ179" s="25">
        <f>ROUND((Inventory[[#This Row],[Mdl Land Intercept]]+Inventory[[#This Row],[Mdl LnAcres]])*Inventory[[#This Row],[Det/Nbhd Adj]],-2)</f>
        <v>-11400</v>
      </c>
      <c r="BR179" s="25">
        <f>Inventory[[#This Row],[Adjusted Impr Total]]+Inventory[[#This Row],[Adjusted Land Total]]</f>
        <v>257800</v>
      </c>
      <c r="BS179" s="36">
        <f>IFERROR((Inventory[[#This Row],[Adjusted Impr Total]]-Inventory[[#This Row],[24Bldg]])/Inventory[[#This Row],[24Bldg]],0)</f>
        <v>0.13490725126475547</v>
      </c>
      <c r="BT179" s="36">
        <f>(Inventory[[#This Row],[Adjusted Land Total]]-Inventory[[#This Row],[24Lnd]])/Inventory[[#This Row],[24Lnd]]</f>
        <v>-1.2720763723150359</v>
      </c>
      <c r="BU179" s="36">
        <f>(Inventory[[#This Row],[Adjusted Total]]-Inventory[[#This Row],[24Final]])/Inventory[[#This Row],[24Final]]</f>
        <v>-7.6316732353994984E-2</v>
      </c>
    </row>
    <row r="180" spans="1:73" x14ac:dyDescent="0.3">
      <c r="A180" s="25">
        <v>2025</v>
      </c>
      <c r="B180" s="26" t="s">
        <v>1899</v>
      </c>
      <c r="C180" s="26">
        <f>LN(Inventory[[#This Row],[Acres]])</f>
        <v>-3.2188758248682006</v>
      </c>
      <c r="D180" s="25">
        <v>0.04</v>
      </c>
      <c r="E180" s="25">
        <v>1884</v>
      </c>
      <c r="F180" s="26" t="s">
        <v>537</v>
      </c>
      <c r="G180" s="26" t="s">
        <v>28</v>
      </c>
      <c r="H180" s="26" t="s">
        <v>349</v>
      </c>
      <c r="I180" s="26" t="s">
        <v>538</v>
      </c>
      <c r="J180" s="26" t="s">
        <v>551</v>
      </c>
      <c r="K180" s="26" t="s">
        <v>381</v>
      </c>
      <c r="L180" s="26" t="s">
        <v>351</v>
      </c>
      <c r="M180" s="26" t="s">
        <v>323</v>
      </c>
      <c r="N180" s="26">
        <v>50</v>
      </c>
      <c r="O180" s="26">
        <f>2024-Inventory[[#This Row],[YrBlt]]</f>
        <v>44</v>
      </c>
      <c r="P180" s="26">
        <f>2024-Inventory[[#This Row],[EffYr]]</f>
        <v>44</v>
      </c>
      <c r="Q180" s="25">
        <v>1980</v>
      </c>
      <c r="R180" s="25">
        <v>1980</v>
      </c>
      <c r="S180" s="25">
        <v>1444</v>
      </c>
      <c r="T180" s="27"/>
      <c r="U180" s="31"/>
      <c r="V180" s="31">
        <f>Inventory[[#This Row],[Bsmt]]-Inventory[[#This Row],[FnBsmt]]</f>
        <v>0</v>
      </c>
      <c r="W180" s="31"/>
      <c r="X180" s="27"/>
      <c r="Y180" s="27">
        <f>Inventory[[#This Row],[MainFn]]+Inventory[[#This Row],[UpprFn]]+Inventory[[#This Row],[FnBsmt]]+Inventory[[#This Row],[AddFn]]</f>
        <v>1444</v>
      </c>
      <c r="Z180" s="27">
        <v>1500</v>
      </c>
      <c r="AA180" s="25">
        <v>8</v>
      </c>
      <c r="AB180" s="32">
        <v>440</v>
      </c>
      <c r="AC180" s="27"/>
      <c r="AD180" s="27"/>
      <c r="AE180" s="27"/>
      <c r="AF180" s="27"/>
      <c r="AG180" s="27"/>
      <c r="AH180" s="27"/>
      <c r="AI180" s="25">
        <v>252769</v>
      </c>
      <c r="AJ180" s="25">
        <v>197160</v>
      </c>
      <c r="AK180" s="25">
        <v>0</v>
      </c>
      <c r="AL180" s="25">
        <v>289100</v>
      </c>
      <c r="AM180" s="25">
        <v>43400</v>
      </c>
      <c r="AN180" s="25">
        <v>245700</v>
      </c>
      <c r="AO180" s="25">
        <v>0</v>
      </c>
      <c r="AP180" s="25">
        <f>Lookups!$B$56*0</f>
        <v>0</v>
      </c>
      <c r="AQ180" s="25">
        <f>Lookups!$B$56*1</f>
        <v>89850.625589999996</v>
      </c>
      <c r="AR180" s="25">
        <f>Lookups!$B$57*Inventory[[#This Row],[LnAcres]]</f>
        <v>-101892.2773541973</v>
      </c>
      <c r="AS180" s="25">
        <f>VLOOKUP(Inventory[[#This Row],[Qlty]],Lookups!$A$62:$E$75,2,FALSE)</f>
        <v>21557.329055999999</v>
      </c>
      <c r="AT180" s="25">
        <f>VLOOKUP(Inventory[[#This Row],[Cnd]],Lookups!$A$76:$E$84,2,FALSE)</f>
        <v>160472.20319</v>
      </c>
      <c r="AU180" s="25">
        <f>Inventory[[#This Row],[EffAge]]*Lookups!$B$85</f>
        <v>-9814.0064220000004</v>
      </c>
      <c r="AV180" s="25">
        <f>Inventory[[#This Row],[MainFn]]*Lookups!$B$86</f>
        <v>71346.119302388004</v>
      </c>
      <c r="AW180" s="25">
        <f>Inventory[[#This Row],[UpprFn]]*Lookups!$B$87</f>
        <v>0</v>
      </c>
      <c r="AX180" s="25">
        <f>Inventory[[#This Row],[AddFn]]*Lookups!$B$88</f>
        <v>0</v>
      </c>
      <c r="AY180" s="25">
        <f>Inventory[[#This Row],[Bsmt]]*Lookups!$B$89</f>
        <v>0</v>
      </c>
      <c r="AZ180" s="25">
        <f>Inventory[[#This Row],[Fixtures]]*Lookups!$B$90</f>
        <v>30336.176841600001</v>
      </c>
      <c r="BA180" s="25">
        <f>Inventory[[#This Row],[WdDeck]]*Lookups!$B$91</f>
        <v>0</v>
      </c>
      <c r="BB180" s="25">
        <f>ROUND(Inventory[[#This Row],[25Det]],-2)</f>
        <v>0</v>
      </c>
      <c r="BC180" s="25">
        <f>ROUND(SUM(Inventory[[#This Row],[Mdl Qlty]:[Mdl WdDeck]])+Inventory[[#This Row],[Mdl Res Intercept]],-2)</f>
        <v>273900</v>
      </c>
      <c r="BD180" s="25">
        <f>ROUND(Inventory[[#This Row],[Mdl Land Intercept]]+Inventory[[#This Row],[Mdl LnAcres]],-2)</f>
        <v>-12000</v>
      </c>
      <c r="BE180" s="25">
        <f>Inventory[[#This Row],[Unadj Res Value]]+Inventory[[#This Row],[Unadj Det Value]]+Inventory[[#This Row],[Unadj Land Value]]</f>
        <v>261900</v>
      </c>
      <c r="BF180" s="36">
        <f>(Inventory[[#This Row],[Unadj Total Value]]-Inventory[[#This Row],[24Final]])/Inventory[[#This Row],[24Final]]</f>
        <v>-9.4085091663784162E-2</v>
      </c>
      <c r="BG180" s="25">
        <f>VLOOKUP(Inventory[[#This Row],[Nbhd]],Lookups!$Q$2:$T$4,4,FALSE)</f>
        <v>0.99970000000000003</v>
      </c>
      <c r="BH180" s="25">
        <f>VLOOKUP(Inventory[[#This Row],[Qlty]],Lookups!$O$7:$R$21,4,FALSE)</f>
        <v>1.0067999999999999</v>
      </c>
      <c r="BI180" s="25">
        <f>VLOOKUP(Inventory[[#This Row],[Cnd]],Lookups!$T$7:$W$16,4,FALSE)</f>
        <v>0.99729999999999996</v>
      </c>
      <c r="BJ180" s="25">
        <f>VLOOKUP(Inventory[[#This Row],[LivArea Range]],Lookups!$T$25:$W$37,4,FALSE)</f>
        <v>1.0157</v>
      </c>
      <c r="BK180" s="25">
        <f>VLOOKUP(Inventory[[#This Row],[Decade]],Lookups!$O$25:$R$42,4,FALSE)</f>
        <v>0.96919999999999995</v>
      </c>
      <c r="BL180" s="25">
        <f>Inventory[[#This Row],[Nbhd Adj]]*0.95</f>
        <v>0.94971499999999998</v>
      </c>
      <c r="BM180" s="25">
        <f>Inventory[[#This Row],[Nbhd Adj]]*Inventory[[#This Row],[Quality Adj]]*Inventory[[#This Row],[Condition Adj]]*Inventory[[#This Row],[Living Area Adj]]*Inventory[[#This Row],[Decade Adj]]*0.95</f>
        <v>0.93873104601730073</v>
      </c>
      <c r="BN180" s="25">
        <f>ROUND(SUM(Inventory[[#This Row],[Mdl Qlty]:[Mdl WdDeck]])+Inventory[[#This Row],[Mdl Res Intercept]]*Inventory[[#This Row],[Res Adj ]],-2)</f>
        <v>273900</v>
      </c>
      <c r="BO180" s="25">
        <f>ROUND(Inventory[[#This Row],[25Det]]*Inventory[[#This Row],[Det/Nbhd Adj]],-2)</f>
        <v>0</v>
      </c>
      <c r="BP180" s="25">
        <f>Inventory[[#This Row],[Adjusted Res]]+Inventory[[#This Row],[Adj Det ]]</f>
        <v>273900</v>
      </c>
      <c r="BQ180" s="25">
        <f>ROUND((Inventory[[#This Row],[Mdl Land Intercept]]+Inventory[[#This Row],[Mdl LnAcres]])*Inventory[[#This Row],[Det/Nbhd Adj]],-2)</f>
        <v>-11400</v>
      </c>
      <c r="BR180" s="25">
        <f>Inventory[[#This Row],[Adjusted Impr Total]]+Inventory[[#This Row],[Adjusted Land Total]]</f>
        <v>262500</v>
      </c>
      <c r="BS180" s="36">
        <f>IFERROR((Inventory[[#This Row],[Adjusted Impr Total]]-Inventory[[#This Row],[24Bldg]])/Inventory[[#This Row],[24Bldg]],0)</f>
        <v>0.11477411477411477</v>
      </c>
      <c r="BT180" s="36">
        <f>(Inventory[[#This Row],[Adjusted Land Total]]-Inventory[[#This Row],[24Lnd]])/Inventory[[#This Row],[24Lnd]]</f>
        <v>-1.2626728110599079</v>
      </c>
      <c r="BU180" s="36">
        <f>(Inventory[[#This Row],[Adjusted Total]]-Inventory[[#This Row],[24Final]])/Inventory[[#This Row],[24Final]]</f>
        <v>-9.2009685230024216E-2</v>
      </c>
    </row>
    <row r="181" spans="1:73" x14ac:dyDescent="0.3">
      <c r="A181" s="25">
        <v>2025</v>
      </c>
      <c r="B181" s="26" t="s">
        <v>1898</v>
      </c>
      <c r="C181" s="26">
        <f>LN(Inventory[[#This Row],[Acres]])</f>
        <v>-2.9957322735539909</v>
      </c>
      <c r="D181" s="25">
        <v>0.05</v>
      </c>
      <c r="E181" s="25">
        <v>2002</v>
      </c>
      <c r="F181" s="26" t="s">
        <v>537</v>
      </c>
      <c r="G181" s="26" t="s">
        <v>28</v>
      </c>
      <c r="H181" s="26" t="s">
        <v>349</v>
      </c>
      <c r="I181" s="26" t="s">
        <v>538</v>
      </c>
      <c r="J181" s="26" t="s">
        <v>551</v>
      </c>
      <c r="K181" s="26" t="s">
        <v>381</v>
      </c>
      <c r="L181" s="26" t="s">
        <v>351</v>
      </c>
      <c r="M181" s="26" t="s">
        <v>323</v>
      </c>
      <c r="N181" s="26">
        <v>50</v>
      </c>
      <c r="O181" s="26">
        <f>2024-Inventory[[#This Row],[YrBlt]]</f>
        <v>44</v>
      </c>
      <c r="P181" s="26">
        <f>2024-Inventory[[#This Row],[EffYr]]</f>
        <v>44</v>
      </c>
      <c r="Q181" s="25">
        <v>1980</v>
      </c>
      <c r="R181" s="25">
        <v>1980</v>
      </c>
      <c r="S181" s="25">
        <v>1474</v>
      </c>
      <c r="T181" s="27"/>
      <c r="U181" s="31"/>
      <c r="V181" s="31">
        <f>Inventory[[#This Row],[Bsmt]]-Inventory[[#This Row],[FnBsmt]]</f>
        <v>0</v>
      </c>
      <c r="W181" s="31"/>
      <c r="X181" s="27"/>
      <c r="Y181" s="27">
        <f>Inventory[[#This Row],[MainFn]]+Inventory[[#This Row],[UpprFn]]+Inventory[[#This Row],[FnBsmt]]+Inventory[[#This Row],[AddFn]]</f>
        <v>1474</v>
      </c>
      <c r="Z181" s="27">
        <v>1500</v>
      </c>
      <c r="AA181" s="25">
        <v>8</v>
      </c>
      <c r="AB181" s="32">
        <v>528</v>
      </c>
      <c r="AC181" s="27"/>
      <c r="AD181" s="27"/>
      <c r="AE181" s="27"/>
      <c r="AF181" s="27"/>
      <c r="AG181" s="27"/>
      <c r="AH181" s="27"/>
      <c r="AI181" s="25">
        <v>262004</v>
      </c>
      <c r="AJ181" s="25">
        <v>204363</v>
      </c>
      <c r="AK181" s="25">
        <v>0</v>
      </c>
      <c r="AL181" s="25">
        <v>299700</v>
      </c>
      <c r="AM181" s="25">
        <v>45000</v>
      </c>
      <c r="AN181" s="25">
        <v>254700</v>
      </c>
      <c r="AO181" s="25">
        <v>0</v>
      </c>
      <c r="AP181" s="25">
        <f>Lookups!$B$56*0</f>
        <v>0</v>
      </c>
      <c r="AQ181" s="25">
        <f>Lookups!$B$56*1</f>
        <v>89850.625589999996</v>
      </c>
      <c r="AR181" s="25">
        <f>Lookups!$B$57*Inventory[[#This Row],[LnAcres]]</f>
        <v>-94828.753982263879</v>
      </c>
      <c r="AS181" s="25">
        <f>VLOOKUP(Inventory[[#This Row],[Qlty]],Lookups!$A$62:$E$75,2,FALSE)</f>
        <v>21557.329055999999</v>
      </c>
      <c r="AT181" s="25">
        <f>VLOOKUP(Inventory[[#This Row],[Cnd]],Lookups!$A$76:$E$84,2,FALSE)</f>
        <v>160472.20319</v>
      </c>
      <c r="AU181" s="25">
        <f>Inventory[[#This Row],[EffAge]]*Lookups!$B$85</f>
        <v>-9814.0064220000004</v>
      </c>
      <c r="AV181" s="25">
        <f>Inventory[[#This Row],[MainFn]]*Lookups!$B$86</f>
        <v>72828.379398698002</v>
      </c>
      <c r="AW181" s="25">
        <f>Inventory[[#This Row],[UpprFn]]*Lookups!$B$87</f>
        <v>0</v>
      </c>
      <c r="AX181" s="25">
        <f>Inventory[[#This Row],[AddFn]]*Lookups!$B$88</f>
        <v>0</v>
      </c>
      <c r="AY181" s="25">
        <f>Inventory[[#This Row],[Bsmt]]*Lookups!$B$89</f>
        <v>0</v>
      </c>
      <c r="AZ181" s="25">
        <f>Inventory[[#This Row],[Fixtures]]*Lookups!$B$90</f>
        <v>30336.176841600001</v>
      </c>
      <c r="BA181" s="25">
        <f>Inventory[[#This Row],[WdDeck]]*Lookups!$B$91</f>
        <v>0</v>
      </c>
      <c r="BB181" s="25">
        <f>ROUND(Inventory[[#This Row],[25Det]],-2)</f>
        <v>0</v>
      </c>
      <c r="BC181" s="25">
        <f>ROUND(SUM(Inventory[[#This Row],[Mdl Qlty]:[Mdl WdDeck]])+Inventory[[#This Row],[Mdl Res Intercept]],-2)</f>
        <v>275400</v>
      </c>
      <c r="BD181" s="25">
        <f>ROUND(Inventory[[#This Row],[Mdl Land Intercept]]+Inventory[[#This Row],[Mdl LnAcres]],-2)</f>
        <v>-5000</v>
      </c>
      <c r="BE181" s="25">
        <f>Inventory[[#This Row],[Unadj Res Value]]+Inventory[[#This Row],[Unadj Det Value]]+Inventory[[#This Row],[Unadj Land Value]]</f>
        <v>270400</v>
      </c>
      <c r="BF181" s="36">
        <f>(Inventory[[#This Row],[Unadj Total Value]]-Inventory[[#This Row],[24Final]])/Inventory[[#This Row],[24Final]]</f>
        <v>-9.7764431097764434E-2</v>
      </c>
      <c r="BG181" s="25">
        <f>VLOOKUP(Inventory[[#This Row],[Nbhd]],Lookups!$Q$2:$T$4,4,FALSE)</f>
        <v>0.99970000000000003</v>
      </c>
      <c r="BH181" s="25">
        <f>VLOOKUP(Inventory[[#This Row],[Qlty]],Lookups!$O$7:$R$21,4,FALSE)</f>
        <v>1.0067999999999999</v>
      </c>
      <c r="BI181" s="25">
        <f>VLOOKUP(Inventory[[#This Row],[Cnd]],Lookups!$T$7:$W$16,4,FALSE)</f>
        <v>0.99729999999999996</v>
      </c>
      <c r="BJ181" s="25">
        <f>VLOOKUP(Inventory[[#This Row],[LivArea Range]],Lookups!$T$25:$W$37,4,FALSE)</f>
        <v>1.0157</v>
      </c>
      <c r="BK181" s="25">
        <f>VLOOKUP(Inventory[[#This Row],[Decade]],Lookups!$O$25:$R$42,4,FALSE)</f>
        <v>0.96919999999999995</v>
      </c>
      <c r="BL181" s="25">
        <f>Inventory[[#This Row],[Nbhd Adj]]*0.95</f>
        <v>0.94971499999999998</v>
      </c>
      <c r="BM181" s="25">
        <f>Inventory[[#This Row],[Nbhd Adj]]*Inventory[[#This Row],[Quality Adj]]*Inventory[[#This Row],[Condition Adj]]*Inventory[[#This Row],[Living Area Adj]]*Inventory[[#This Row],[Decade Adj]]*0.95</f>
        <v>0.93873104601730073</v>
      </c>
      <c r="BN181" s="25">
        <f>ROUND(SUM(Inventory[[#This Row],[Mdl Qlty]:[Mdl WdDeck]])+Inventory[[#This Row],[Mdl Res Intercept]]*Inventory[[#This Row],[Res Adj ]],-2)</f>
        <v>275400</v>
      </c>
      <c r="BO181" s="25">
        <f>ROUND(Inventory[[#This Row],[25Det]]*Inventory[[#This Row],[Det/Nbhd Adj]],-2)</f>
        <v>0</v>
      </c>
      <c r="BP181" s="25">
        <f>Inventory[[#This Row],[Adjusted Res]]+Inventory[[#This Row],[Adj Det ]]</f>
        <v>275400</v>
      </c>
      <c r="BQ181" s="25">
        <f>ROUND((Inventory[[#This Row],[Mdl Land Intercept]]+Inventory[[#This Row],[Mdl LnAcres]])*Inventory[[#This Row],[Det/Nbhd Adj]],-2)</f>
        <v>-4700</v>
      </c>
      <c r="BR181" s="25">
        <f>Inventory[[#This Row],[Adjusted Impr Total]]+Inventory[[#This Row],[Adjusted Land Total]]</f>
        <v>270700</v>
      </c>
      <c r="BS181" s="36">
        <f>IFERROR((Inventory[[#This Row],[Adjusted Impr Total]]-Inventory[[#This Row],[24Bldg]])/Inventory[[#This Row],[24Bldg]],0)</f>
        <v>8.1272084805653705E-2</v>
      </c>
      <c r="BT181" s="36">
        <f>(Inventory[[#This Row],[Adjusted Land Total]]-Inventory[[#This Row],[24Lnd]])/Inventory[[#This Row],[24Lnd]]</f>
        <v>-1.1044444444444443</v>
      </c>
      <c r="BU181" s="36">
        <f>(Inventory[[#This Row],[Adjusted Total]]-Inventory[[#This Row],[24Final]])/Inventory[[#This Row],[24Final]]</f>
        <v>-9.6763430096763428E-2</v>
      </c>
    </row>
    <row r="182" spans="1:73" x14ac:dyDescent="0.3">
      <c r="A182" s="25">
        <v>2025</v>
      </c>
      <c r="B182" s="26" t="s">
        <v>1135</v>
      </c>
      <c r="C182" s="26">
        <f>LN(Inventory[[#This Row],[Acres]])</f>
        <v>-3.2188758248682006</v>
      </c>
      <c r="D182" s="25">
        <v>0.04</v>
      </c>
      <c r="E182" s="25">
        <v>2002</v>
      </c>
      <c r="F182" s="26" t="s">
        <v>537</v>
      </c>
      <c r="G182" s="26" t="s">
        <v>28</v>
      </c>
      <c r="H182" s="26" t="s">
        <v>349</v>
      </c>
      <c r="I182" s="26" t="s">
        <v>538</v>
      </c>
      <c r="J182" s="26" t="s">
        <v>551</v>
      </c>
      <c r="K182" s="26" t="s">
        <v>381</v>
      </c>
      <c r="L182" s="26" t="s">
        <v>351</v>
      </c>
      <c r="M182" s="26" t="s">
        <v>323</v>
      </c>
      <c r="N182" s="26">
        <v>50</v>
      </c>
      <c r="O182" s="26">
        <f>2024-Inventory[[#This Row],[YrBlt]]</f>
        <v>44</v>
      </c>
      <c r="P182" s="26">
        <f>2024-Inventory[[#This Row],[EffYr]]</f>
        <v>44</v>
      </c>
      <c r="Q182" s="25">
        <v>1980</v>
      </c>
      <c r="R182" s="25">
        <v>1980</v>
      </c>
      <c r="S182" s="25">
        <v>1474</v>
      </c>
      <c r="T182" s="27"/>
      <c r="U182" s="27"/>
      <c r="V182" s="27">
        <f>Inventory[[#This Row],[Bsmt]]-Inventory[[#This Row],[FnBsmt]]</f>
        <v>0</v>
      </c>
      <c r="W182" s="27"/>
      <c r="X182" s="27"/>
      <c r="Y182" s="27">
        <f>Inventory[[#This Row],[MainFn]]+Inventory[[#This Row],[UpprFn]]+Inventory[[#This Row],[FnBsmt]]+Inventory[[#This Row],[AddFn]]</f>
        <v>1474</v>
      </c>
      <c r="Z182" s="27">
        <v>1500</v>
      </c>
      <c r="AA182" s="25">
        <v>8</v>
      </c>
      <c r="AB182" s="32">
        <v>528</v>
      </c>
      <c r="AC182" s="27"/>
      <c r="AD182" s="27"/>
      <c r="AE182" s="27"/>
      <c r="AF182" s="27"/>
      <c r="AG182" s="27"/>
      <c r="AH182" s="27"/>
      <c r="AI182" s="25">
        <v>259081</v>
      </c>
      <c r="AJ182" s="25">
        <v>202083</v>
      </c>
      <c r="AK182" s="25">
        <v>0</v>
      </c>
      <c r="AL182" s="25">
        <v>296400</v>
      </c>
      <c r="AM182" s="25">
        <v>44500</v>
      </c>
      <c r="AN182" s="25">
        <v>251900</v>
      </c>
      <c r="AO182" s="25">
        <v>0</v>
      </c>
      <c r="AP182" s="25">
        <f>Lookups!$B$56*0</f>
        <v>0</v>
      </c>
      <c r="AQ182" s="25">
        <f>Lookups!$B$56*1</f>
        <v>89850.625589999996</v>
      </c>
      <c r="AR182" s="25">
        <f>Lookups!$B$57*Inventory[[#This Row],[LnAcres]]</f>
        <v>-101892.2773541973</v>
      </c>
      <c r="AS182" s="25">
        <f>VLOOKUP(Inventory[[#This Row],[Qlty]],Lookups!$A$62:$E$75,2,FALSE)</f>
        <v>21557.329055999999</v>
      </c>
      <c r="AT182" s="25">
        <f>VLOOKUP(Inventory[[#This Row],[Cnd]],Lookups!$A$76:$E$84,2,FALSE)</f>
        <v>160472.20319</v>
      </c>
      <c r="AU182" s="25">
        <f>Inventory[[#This Row],[EffAge]]*Lookups!$B$85</f>
        <v>-9814.0064220000004</v>
      </c>
      <c r="AV182" s="25">
        <f>Inventory[[#This Row],[MainFn]]*Lookups!$B$86</f>
        <v>72828.379398698002</v>
      </c>
      <c r="AW182" s="25">
        <f>Inventory[[#This Row],[UpprFn]]*Lookups!$B$87</f>
        <v>0</v>
      </c>
      <c r="AX182" s="25">
        <f>Inventory[[#This Row],[AddFn]]*Lookups!$B$88</f>
        <v>0</v>
      </c>
      <c r="AY182" s="25">
        <f>Inventory[[#This Row],[Bsmt]]*Lookups!$B$89</f>
        <v>0</v>
      </c>
      <c r="AZ182" s="25">
        <f>Inventory[[#This Row],[Fixtures]]*Lookups!$B$90</f>
        <v>30336.176841600001</v>
      </c>
      <c r="BA182" s="25">
        <f>Inventory[[#This Row],[WdDeck]]*Lookups!$B$91</f>
        <v>0</v>
      </c>
      <c r="BB182" s="25">
        <f>ROUND(Inventory[[#This Row],[25Det]],-2)</f>
        <v>0</v>
      </c>
      <c r="BC182" s="25">
        <f>ROUND(SUM(Inventory[[#This Row],[Mdl Qlty]:[Mdl WdDeck]])+Inventory[[#This Row],[Mdl Res Intercept]],-2)</f>
        <v>275400</v>
      </c>
      <c r="BD182" s="25">
        <f>ROUND(Inventory[[#This Row],[Mdl Land Intercept]]+Inventory[[#This Row],[Mdl LnAcres]],-2)</f>
        <v>-12000</v>
      </c>
      <c r="BE182" s="25">
        <f>Inventory[[#This Row],[Unadj Res Value]]+Inventory[[#This Row],[Unadj Det Value]]+Inventory[[#This Row],[Unadj Land Value]]</f>
        <v>263400</v>
      </c>
      <c r="BF182" s="36">
        <f>(Inventory[[#This Row],[Unadj Total Value]]-Inventory[[#This Row],[24Final]])/Inventory[[#This Row],[24Final]]</f>
        <v>-0.11133603238866396</v>
      </c>
      <c r="BG182" s="25">
        <f>VLOOKUP(Inventory[[#This Row],[Nbhd]],Lookups!$Q$2:$T$4,4,FALSE)</f>
        <v>0.99970000000000003</v>
      </c>
      <c r="BH182" s="25">
        <f>VLOOKUP(Inventory[[#This Row],[Qlty]],Lookups!$O$7:$R$21,4,FALSE)</f>
        <v>1.0067999999999999</v>
      </c>
      <c r="BI182" s="25">
        <f>VLOOKUP(Inventory[[#This Row],[Cnd]],Lookups!$T$7:$W$16,4,FALSE)</f>
        <v>0.99729999999999996</v>
      </c>
      <c r="BJ182" s="25">
        <f>VLOOKUP(Inventory[[#This Row],[LivArea Range]],Lookups!$T$25:$W$37,4,FALSE)</f>
        <v>1.0157</v>
      </c>
      <c r="BK182" s="25">
        <f>VLOOKUP(Inventory[[#This Row],[Decade]],Lookups!$O$25:$R$42,4,FALSE)</f>
        <v>0.96919999999999995</v>
      </c>
      <c r="BL182" s="25">
        <f>Inventory[[#This Row],[Nbhd Adj]]*0.95</f>
        <v>0.94971499999999998</v>
      </c>
      <c r="BM182" s="25">
        <f>Inventory[[#This Row],[Nbhd Adj]]*Inventory[[#This Row],[Quality Adj]]*Inventory[[#This Row],[Condition Adj]]*Inventory[[#This Row],[Living Area Adj]]*Inventory[[#This Row],[Decade Adj]]*0.95</f>
        <v>0.93873104601730073</v>
      </c>
      <c r="BN182" s="25">
        <f>ROUND(SUM(Inventory[[#This Row],[Mdl Qlty]:[Mdl WdDeck]])+Inventory[[#This Row],[Mdl Res Intercept]]*Inventory[[#This Row],[Res Adj ]],-2)</f>
        <v>275400</v>
      </c>
      <c r="BO182" s="25">
        <f>ROUND(Inventory[[#This Row],[25Det]]*Inventory[[#This Row],[Det/Nbhd Adj]],-2)</f>
        <v>0</v>
      </c>
      <c r="BP182" s="25">
        <f>Inventory[[#This Row],[Adjusted Res]]+Inventory[[#This Row],[Adj Det ]]</f>
        <v>275400</v>
      </c>
      <c r="BQ182" s="25">
        <f>ROUND((Inventory[[#This Row],[Mdl Land Intercept]]+Inventory[[#This Row],[Mdl LnAcres]])*Inventory[[#This Row],[Det/Nbhd Adj]],-2)</f>
        <v>-11400</v>
      </c>
      <c r="BR182" s="25">
        <f>Inventory[[#This Row],[Adjusted Impr Total]]+Inventory[[#This Row],[Adjusted Land Total]]</f>
        <v>264000</v>
      </c>
      <c r="BS182" s="36">
        <f>IFERROR((Inventory[[#This Row],[Adjusted Impr Total]]-Inventory[[#This Row],[24Bldg]])/Inventory[[#This Row],[24Bldg]],0)</f>
        <v>9.3290988487495036E-2</v>
      </c>
      <c r="BT182" s="36">
        <f>(Inventory[[#This Row],[Adjusted Land Total]]-Inventory[[#This Row],[24Lnd]])/Inventory[[#This Row],[24Lnd]]</f>
        <v>-1.256179775280899</v>
      </c>
      <c r="BU182" s="36">
        <f>(Inventory[[#This Row],[Adjusted Total]]-Inventory[[#This Row],[24Final]])/Inventory[[#This Row],[24Final]]</f>
        <v>-0.10931174089068826</v>
      </c>
    </row>
    <row r="183" spans="1:73" x14ac:dyDescent="0.3">
      <c r="A183" s="25">
        <v>2025</v>
      </c>
      <c r="B183" s="26" t="s">
        <v>1134</v>
      </c>
      <c r="C183" s="26">
        <f>LN(Inventory[[#This Row],[Acres]])</f>
        <v>-3.2188758248682006</v>
      </c>
      <c r="D183" s="25">
        <v>0.04</v>
      </c>
      <c r="E183" s="25">
        <v>2002</v>
      </c>
      <c r="F183" s="26" t="s">
        <v>537</v>
      </c>
      <c r="G183" s="26" t="s">
        <v>28</v>
      </c>
      <c r="H183" s="26" t="s">
        <v>349</v>
      </c>
      <c r="I183" s="26" t="s">
        <v>538</v>
      </c>
      <c r="J183" s="26" t="s">
        <v>551</v>
      </c>
      <c r="K183" s="26" t="s">
        <v>381</v>
      </c>
      <c r="L183" s="26" t="s">
        <v>351</v>
      </c>
      <c r="M183" s="26" t="s">
        <v>323</v>
      </c>
      <c r="N183" s="26">
        <v>50</v>
      </c>
      <c r="O183" s="26">
        <f>2024-Inventory[[#This Row],[YrBlt]]</f>
        <v>44</v>
      </c>
      <c r="P183" s="26">
        <f>2024-Inventory[[#This Row],[EffYr]]</f>
        <v>44</v>
      </c>
      <c r="Q183" s="25">
        <v>1980</v>
      </c>
      <c r="R183" s="25">
        <v>1980</v>
      </c>
      <c r="S183" s="25">
        <v>1474</v>
      </c>
      <c r="T183" s="31"/>
      <c r="U183" s="27"/>
      <c r="V183" s="27">
        <f>Inventory[[#This Row],[Bsmt]]-Inventory[[#This Row],[FnBsmt]]</f>
        <v>0</v>
      </c>
      <c r="W183" s="27"/>
      <c r="X183" s="31"/>
      <c r="Y183" s="31">
        <f>Inventory[[#This Row],[MainFn]]+Inventory[[#This Row],[UpprFn]]+Inventory[[#This Row],[FnBsmt]]+Inventory[[#This Row],[AddFn]]</f>
        <v>1474</v>
      </c>
      <c r="Z183" s="27">
        <v>1500</v>
      </c>
      <c r="AA183" s="25">
        <v>8</v>
      </c>
      <c r="AB183" s="25">
        <v>528</v>
      </c>
      <c r="AC183" s="27"/>
      <c r="AD183" s="27"/>
      <c r="AE183" s="27"/>
      <c r="AF183" s="27"/>
      <c r="AG183" s="27"/>
      <c r="AH183" s="27"/>
      <c r="AI183" s="25">
        <v>260301</v>
      </c>
      <c r="AJ183" s="25">
        <v>203035</v>
      </c>
      <c r="AK183" s="25">
        <v>0</v>
      </c>
      <c r="AL183" s="25">
        <v>297800</v>
      </c>
      <c r="AM183" s="25">
        <v>44700</v>
      </c>
      <c r="AN183" s="25">
        <v>253100</v>
      </c>
      <c r="AO183" s="25">
        <v>0</v>
      </c>
      <c r="AP183" s="25">
        <f>Lookups!$B$56*0</f>
        <v>0</v>
      </c>
      <c r="AQ183" s="25">
        <f>Lookups!$B$56*1</f>
        <v>89850.625589999996</v>
      </c>
      <c r="AR183" s="25">
        <f>Lookups!$B$57*Inventory[[#This Row],[LnAcres]]</f>
        <v>-101892.2773541973</v>
      </c>
      <c r="AS183" s="25">
        <f>VLOOKUP(Inventory[[#This Row],[Qlty]],Lookups!$A$62:$E$75,2,FALSE)</f>
        <v>21557.329055999999</v>
      </c>
      <c r="AT183" s="25">
        <f>VLOOKUP(Inventory[[#This Row],[Cnd]],Lookups!$A$76:$E$84,2,FALSE)</f>
        <v>160472.20319</v>
      </c>
      <c r="AU183" s="25">
        <f>Inventory[[#This Row],[EffAge]]*Lookups!$B$85</f>
        <v>-9814.0064220000004</v>
      </c>
      <c r="AV183" s="25">
        <f>Inventory[[#This Row],[MainFn]]*Lookups!$B$86</f>
        <v>72828.379398698002</v>
      </c>
      <c r="AW183" s="25">
        <f>Inventory[[#This Row],[UpprFn]]*Lookups!$B$87</f>
        <v>0</v>
      </c>
      <c r="AX183" s="25">
        <f>Inventory[[#This Row],[AddFn]]*Lookups!$B$88</f>
        <v>0</v>
      </c>
      <c r="AY183" s="25">
        <f>Inventory[[#This Row],[Bsmt]]*Lookups!$B$89</f>
        <v>0</v>
      </c>
      <c r="AZ183" s="25">
        <f>Inventory[[#This Row],[Fixtures]]*Lookups!$B$90</f>
        <v>30336.176841600001</v>
      </c>
      <c r="BA183" s="25">
        <f>Inventory[[#This Row],[WdDeck]]*Lookups!$B$91</f>
        <v>0</v>
      </c>
      <c r="BB183" s="25">
        <f>ROUND(Inventory[[#This Row],[25Det]],-2)</f>
        <v>0</v>
      </c>
      <c r="BC183" s="25">
        <f>ROUND(SUM(Inventory[[#This Row],[Mdl Qlty]:[Mdl WdDeck]])+Inventory[[#This Row],[Mdl Res Intercept]],-2)</f>
        <v>275400</v>
      </c>
      <c r="BD183" s="25">
        <f>ROUND(Inventory[[#This Row],[Mdl Land Intercept]]+Inventory[[#This Row],[Mdl LnAcres]],-2)</f>
        <v>-12000</v>
      </c>
      <c r="BE183" s="25">
        <f>Inventory[[#This Row],[Unadj Res Value]]+Inventory[[#This Row],[Unadj Det Value]]+Inventory[[#This Row],[Unadj Land Value]]</f>
        <v>263400</v>
      </c>
      <c r="BF183" s="36">
        <f>(Inventory[[#This Row],[Unadj Total Value]]-Inventory[[#This Row],[24Final]])/Inventory[[#This Row],[24Final]]</f>
        <v>-0.11551376762928139</v>
      </c>
      <c r="BG183" s="25">
        <f>VLOOKUP(Inventory[[#This Row],[Nbhd]],Lookups!$Q$2:$T$4,4,FALSE)</f>
        <v>0.99970000000000003</v>
      </c>
      <c r="BH183" s="25">
        <f>VLOOKUP(Inventory[[#This Row],[Qlty]],Lookups!$O$7:$R$21,4,FALSE)</f>
        <v>1.0067999999999999</v>
      </c>
      <c r="BI183" s="25">
        <f>VLOOKUP(Inventory[[#This Row],[Cnd]],Lookups!$T$7:$W$16,4,FALSE)</f>
        <v>0.99729999999999996</v>
      </c>
      <c r="BJ183" s="25">
        <f>VLOOKUP(Inventory[[#This Row],[LivArea Range]],Lookups!$T$25:$W$37,4,FALSE)</f>
        <v>1.0157</v>
      </c>
      <c r="BK183" s="25">
        <f>VLOOKUP(Inventory[[#This Row],[Decade]],Lookups!$O$25:$R$42,4,FALSE)</f>
        <v>0.96919999999999995</v>
      </c>
      <c r="BL183" s="25">
        <f>Inventory[[#This Row],[Nbhd Adj]]*0.95</f>
        <v>0.94971499999999998</v>
      </c>
      <c r="BM183" s="25">
        <f>Inventory[[#This Row],[Nbhd Adj]]*Inventory[[#This Row],[Quality Adj]]*Inventory[[#This Row],[Condition Adj]]*Inventory[[#This Row],[Living Area Adj]]*Inventory[[#This Row],[Decade Adj]]*0.95</f>
        <v>0.93873104601730073</v>
      </c>
      <c r="BN183" s="25">
        <f>ROUND(SUM(Inventory[[#This Row],[Mdl Qlty]:[Mdl WdDeck]])+Inventory[[#This Row],[Mdl Res Intercept]]*Inventory[[#This Row],[Res Adj ]],-2)</f>
        <v>275400</v>
      </c>
      <c r="BO183" s="25">
        <f>ROUND(Inventory[[#This Row],[25Det]]*Inventory[[#This Row],[Det/Nbhd Adj]],-2)</f>
        <v>0</v>
      </c>
      <c r="BP183" s="25">
        <f>Inventory[[#This Row],[Adjusted Res]]+Inventory[[#This Row],[Adj Det ]]</f>
        <v>275400</v>
      </c>
      <c r="BQ183" s="25">
        <f>ROUND((Inventory[[#This Row],[Mdl Land Intercept]]+Inventory[[#This Row],[Mdl LnAcres]])*Inventory[[#This Row],[Det/Nbhd Adj]],-2)</f>
        <v>-11400</v>
      </c>
      <c r="BR183" s="25">
        <f>Inventory[[#This Row],[Adjusted Impr Total]]+Inventory[[#This Row],[Adjusted Land Total]]</f>
        <v>264000</v>
      </c>
      <c r="BS183" s="36">
        <f>IFERROR((Inventory[[#This Row],[Adjusted Impr Total]]-Inventory[[#This Row],[24Bldg]])/Inventory[[#This Row],[24Bldg]],0)</f>
        <v>8.8107467404188067E-2</v>
      </c>
      <c r="BT183" s="36">
        <f>(Inventory[[#This Row],[Adjusted Land Total]]-Inventory[[#This Row],[24Lnd]])/Inventory[[#This Row],[24Lnd]]</f>
        <v>-1.2550335570469799</v>
      </c>
      <c r="BU183" s="36">
        <f>(Inventory[[#This Row],[Adjusted Total]]-Inventory[[#This Row],[24Final]])/Inventory[[#This Row],[24Final]]</f>
        <v>-0.11349899261249161</v>
      </c>
    </row>
    <row r="184" spans="1:73" x14ac:dyDescent="0.3">
      <c r="A184" s="25">
        <v>2025</v>
      </c>
      <c r="B184" s="26" t="s">
        <v>1897</v>
      </c>
      <c r="C184" s="26">
        <f>LN(Inventory[[#This Row],[Acres]])</f>
        <v>-3.2188758248682006</v>
      </c>
      <c r="D184" s="25">
        <v>0.04</v>
      </c>
      <c r="E184" s="25">
        <v>2002</v>
      </c>
      <c r="F184" s="26" t="s">
        <v>537</v>
      </c>
      <c r="G184" s="26" t="s">
        <v>28</v>
      </c>
      <c r="H184" s="26" t="s">
        <v>349</v>
      </c>
      <c r="I184" s="26" t="s">
        <v>538</v>
      </c>
      <c r="J184" s="26" t="s">
        <v>551</v>
      </c>
      <c r="K184" s="26" t="s">
        <v>381</v>
      </c>
      <c r="L184" s="26" t="s">
        <v>351</v>
      </c>
      <c r="M184" s="26" t="s">
        <v>323</v>
      </c>
      <c r="N184" s="26">
        <v>50</v>
      </c>
      <c r="O184" s="26">
        <f>2024-Inventory[[#This Row],[YrBlt]]</f>
        <v>44</v>
      </c>
      <c r="P184" s="26">
        <f>2024-Inventory[[#This Row],[EffYr]]</f>
        <v>44</v>
      </c>
      <c r="Q184" s="25">
        <v>1980</v>
      </c>
      <c r="R184" s="25">
        <v>1980</v>
      </c>
      <c r="S184" s="25">
        <v>1474</v>
      </c>
      <c r="T184" s="27"/>
      <c r="U184" s="31"/>
      <c r="V184" s="31">
        <f>Inventory[[#This Row],[Bsmt]]-Inventory[[#This Row],[FnBsmt]]</f>
        <v>0</v>
      </c>
      <c r="W184" s="31"/>
      <c r="X184" s="27"/>
      <c r="Y184" s="27">
        <f>Inventory[[#This Row],[MainFn]]+Inventory[[#This Row],[UpprFn]]+Inventory[[#This Row],[FnBsmt]]+Inventory[[#This Row],[AddFn]]</f>
        <v>1474</v>
      </c>
      <c r="Z184" s="27">
        <v>1500</v>
      </c>
      <c r="AA184" s="25">
        <v>8</v>
      </c>
      <c r="AB184" s="25">
        <v>528</v>
      </c>
      <c r="AC184" s="27"/>
      <c r="AD184" s="27"/>
      <c r="AE184" s="27"/>
      <c r="AF184" s="27"/>
      <c r="AG184" s="27"/>
      <c r="AH184" s="27"/>
      <c r="AI184" s="25">
        <v>261454</v>
      </c>
      <c r="AJ184" s="25">
        <v>203934</v>
      </c>
      <c r="AK184" s="25">
        <v>0</v>
      </c>
      <c r="AL184" s="25">
        <v>299100</v>
      </c>
      <c r="AM184" s="25">
        <v>44900</v>
      </c>
      <c r="AN184" s="25">
        <v>254200</v>
      </c>
      <c r="AO184" s="25">
        <v>0</v>
      </c>
      <c r="AP184" s="25">
        <f>Lookups!$B$56*0</f>
        <v>0</v>
      </c>
      <c r="AQ184" s="25">
        <f>Lookups!$B$56*1</f>
        <v>89850.625589999996</v>
      </c>
      <c r="AR184" s="25">
        <f>Lookups!$B$57*Inventory[[#This Row],[LnAcres]]</f>
        <v>-101892.2773541973</v>
      </c>
      <c r="AS184" s="25">
        <f>VLOOKUP(Inventory[[#This Row],[Qlty]],Lookups!$A$62:$E$75,2,FALSE)</f>
        <v>21557.329055999999</v>
      </c>
      <c r="AT184" s="25">
        <f>VLOOKUP(Inventory[[#This Row],[Cnd]],Lookups!$A$76:$E$84,2,FALSE)</f>
        <v>160472.20319</v>
      </c>
      <c r="AU184" s="25">
        <f>Inventory[[#This Row],[EffAge]]*Lookups!$B$85</f>
        <v>-9814.0064220000004</v>
      </c>
      <c r="AV184" s="25">
        <f>Inventory[[#This Row],[MainFn]]*Lookups!$B$86</f>
        <v>72828.379398698002</v>
      </c>
      <c r="AW184" s="25">
        <f>Inventory[[#This Row],[UpprFn]]*Lookups!$B$87</f>
        <v>0</v>
      </c>
      <c r="AX184" s="25">
        <f>Inventory[[#This Row],[AddFn]]*Lookups!$B$88</f>
        <v>0</v>
      </c>
      <c r="AY184" s="25">
        <f>Inventory[[#This Row],[Bsmt]]*Lookups!$B$89</f>
        <v>0</v>
      </c>
      <c r="AZ184" s="25">
        <f>Inventory[[#This Row],[Fixtures]]*Lookups!$B$90</f>
        <v>30336.176841600001</v>
      </c>
      <c r="BA184" s="25">
        <f>Inventory[[#This Row],[WdDeck]]*Lookups!$B$91</f>
        <v>0</v>
      </c>
      <c r="BB184" s="25">
        <f>ROUND(Inventory[[#This Row],[25Det]],-2)</f>
        <v>0</v>
      </c>
      <c r="BC184" s="25">
        <f>ROUND(SUM(Inventory[[#This Row],[Mdl Qlty]:[Mdl WdDeck]])+Inventory[[#This Row],[Mdl Res Intercept]],-2)</f>
        <v>275400</v>
      </c>
      <c r="BD184" s="25">
        <f>ROUND(Inventory[[#This Row],[Mdl Land Intercept]]+Inventory[[#This Row],[Mdl LnAcres]],-2)</f>
        <v>-12000</v>
      </c>
      <c r="BE184" s="25">
        <f>Inventory[[#This Row],[Unadj Res Value]]+Inventory[[#This Row],[Unadj Det Value]]+Inventory[[#This Row],[Unadj Land Value]]</f>
        <v>263400</v>
      </c>
      <c r="BF184" s="36">
        <f>(Inventory[[#This Row],[Unadj Total Value]]-Inventory[[#This Row],[24Final]])/Inventory[[#This Row],[24Final]]</f>
        <v>-0.119358074222668</v>
      </c>
      <c r="BG184" s="25">
        <f>VLOOKUP(Inventory[[#This Row],[Nbhd]],Lookups!$Q$2:$T$4,4,FALSE)</f>
        <v>0.99970000000000003</v>
      </c>
      <c r="BH184" s="25">
        <f>VLOOKUP(Inventory[[#This Row],[Qlty]],Lookups!$O$7:$R$21,4,FALSE)</f>
        <v>1.0067999999999999</v>
      </c>
      <c r="BI184" s="25">
        <f>VLOOKUP(Inventory[[#This Row],[Cnd]],Lookups!$T$7:$W$16,4,FALSE)</f>
        <v>0.99729999999999996</v>
      </c>
      <c r="BJ184" s="25">
        <f>VLOOKUP(Inventory[[#This Row],[LivArea Range]],Lookups!$T$25:$W$37,4,FALSE)</f>
        <v>1.0157</v>
      </c>
      <c r="BK184" s="25">
        <f>VLOOKUP(Inventory[[#This Row],[Decade]],Lookups!$O$25:$R$42,4,FALSE)</f>
        <v>0.96919999999999995</v>
      </c>
      <c r="BL184" s="25">
        <f>Inventory[[#This Row],[Nbhd Adj]]*0.95</f>
        <v>0.94971499999999998</v>
      </c>
      <c r="BM184" s="25">
        <f>Inventory[[#This Row],[Nbhd Adj]]*Inventory[[#This Row],[Quality Adj]]*Inventory[[#This Row],[Condition Adj]]*Inventory[[#This Row],[Living Area Adj]]*Inventory[[#This Row],[Decade Adj]]*0.95</f>
        <v>0.93873104601730073</v>
      </c>
      <c r="BN184" s="25">
        <f>ROUND(SUM(Inventory[[#This Row],[Mdl Qlty]:[Mdl WdDeck]])+Inventory[[#This Row],[Mdl Res Intercept]]*Inventory[[#This Row],[Res Adj ]],-2)</f>
        <v>275400</v>
      </c>
      <c r="BO184" s="25">
        <f>ROUND(Inventory[[#This Row],[25Det]]*Inventory[[#This Row],[Det/Nbhd Adj]],-2)</f>
        <v>0</v>
      </c>
      <c r="BP184" s="25">
        <f>Inventory[[#This Row],[Adjusted Res]]+Inventory[[#This Row],[Adj Det ]]</f>
        <v>275400</v>
      </c>
      <c r="BQ184" s="25">
        <f>ROUND((Inventory[[#This Row],[Mdl Land Intercept]]+Inventory[[#This Row],[Mdl LnAcres]])*Inventory[[#This Row],[Det/Nbhd Adj]],-2)</f>
        <v>-11400</v>
      </c>
      <c r="BR184" s="25">
        <f>Inventory[[#This Row],[Adjusted Impr Total]]+Inventory[[#This Row],[Adjusted Land Total]]</f>
        <v>264000</v>
      </c>
      <c r="BS184" s="36">
        <f>IFERROR((Inventory[[#This Row],[Adjusted Impr Total]]-Inventory[[#This Row],[24Bldg]])/Inventory[[#This Row],[24Bldg]],0)</f>
        <v>8.3398898505114089E-2</v>
      </c>
      <c r="BT184" s="36">
        <f>(Inventory[[#This Row],[Adjusted Land Total]]-Inventory[[#This Row],[24Lnd]])/Inventory[[#This Row],[24Lnd]]</f>
        <v>-1.2538975501113585</v>
      </c>
      <c r="BU184" s="36">
        <f>(Inventory[[#This Row],[Adjusted Total]]-Inventory[[#This Row],[24Final]])/Inventory[[#This Row],[24Final]]</f>
        <v>-0.11735205616850551</v>
      </c>
    </row>
    <row r="185" spans="1:73" x14ac:dyDescent="0.3">
      <c r="A185" s="25">
        <v>2025</v>
      </c>
      <c r="B185" s="26" t="s">
        <v>1900</v>
      </c>
      <c r="C185" s="26">
        <f>LN(Inventory[[#This Row],[Acres]])</f>
        <v>-3.2188758248682006</v>
      </c>
      <c r="D185" s="25">
        <v>0.04</v>
      </c>
      <c r="E185" s="25">
        <v>2002</v>
      </c>
      <c r="F185" s="26" t="s">
        <v>537</v>
      </c>
      <c r="G185" s="26" t="s">
        <v>28</v>
      </c>
      <c r="H185" s="26" t="s">
        <v>349</v>
      </c>
      <c r="I185" s="26" t="s">
        <v>538</v>
      </c>
      <c r="J185" s="26" t="s">
        <v>551</v>
      </c>
      <c r="K185" s="26" t="s">
        <v>381</v>
      </c>
      <c r="L185" s="26" t="s">
        <v>351</v>
      </c>
      <c r="M185" s="26" t="s">
        <v>323</v>
      </c>
      <c r="N185" s="26">
        <v>50</v>
      </c>
      <c r="O185" s="26">
        <f>2024-Inventory[[#This Row],[YrBlt]]</f>
        <v>44</v>
      </c>
      <c r="P185" s="26">
        <f>2024-Inventory[[#This Row],[EffYr]]</f>
        <v>44</v>
      </c>
      <c r="Q185" s="25">
        <v>1980</v>
      </c>
      <c r="R185" s="25">
        <v>1980</v>
      </c>
      <c r="S185" s="25">
        <v>1474</v>
      </c>
      <c r="T185" s="27"/>
      <c r="U185" s="31"/>
      <c r="V185" s="31">
        <f>Inventory[[#This Row],[Bsmt]]-Inventory[[#This Row],[FnBsmt]]</f>
        <v>0</v>
      </c>
      <c r="W185" s="31"/>
      <c r="X185" s="27"/>
      <c r="Y185" s="27">
        <f>Inventory[[#This Row],[MainFn]]+Inventory[[#This Row],[UpprFn]]+Inventory[[#This Row],[FnBsmt]]+Inventory[[#This Row],[AddFn]]</f>
        <v>1474</v>
      </c>
      <c r="Z185" s="27">
        <v>1500</v>
      </c>
      <c r="AA185" s="25">
        <v>8</v>
      </c>
      <c r="AB185" s="32">
        <v>528</v>
      </c>
      <c r="AC185" s="27"/>
      <c r="AD185" s="27"/>
      <c r="AE185" s="27"/>
      <c r="AF185" s="27"/>
      <c r="AG185" s="27"/>
      <c r="AH185" s="27"/>
      <c r="AI185" s="25">
        <v>263551</v>
      </c>
      <c r="AJ185" s="25">
        <v>205570</v>
      </c>
      <c r="AK185" s="25">
        <v>0</v>
      </c>
      <c r="AL185" s="25">
        <v>301500</v>
      </c>
      <c r="AM185" s="25">
        <v>45200</v>
      </c>
      <c r="AN185" s="25">
        <v>256300</v>
      </c>
      <c r="AO185" s="25">
        <v>0</v>
      </c>
      <c r="AP185" s="25">
        <f>Lookups!$B$56*0</f>
        <v>0</v>
      </c>
      <c r="AQ185" s="25">
        <f>Lookups!$B$56*1</f>
        <v>89850.625589999996</v>
      </c>
      <c r="AR185" s="25">
        <f>Lookups!$B$57*Inventory[[#This Row],[LnAcres]]</f>
        <v>-101892.2773541973</v>
      </c>
      <c r="AS185" s="25">
        <f>VLOOKUP(Inventory[[#This Row],[Qlty]],Lookups!$A$62:$E$75,2,FALSE)</f>
        <v>21557.329055999999</v>
      </c>
      <c r="AT185" s="25">
        <f>VLOOKUP(Inventory[[#This Row],[Cnd]],Lookups!$A$76:$E$84,2,FALSE)</f>
        <v>160472.20319</v>
      </c>
      <c r="AU185" s="25">
        <f>Inventory[[#This Row],[EffAge]]*Lookups!$B$85</f>
        <v>-9814.0064220000004</v>
      </c>
      <c r="AV185" s="25">
        <f>Inventory[[#This Row],[MainFn]]*Lookups!$B$86</f>
        <v>72828.379398698002</v>
      </c>
      <c r="AW185" s="25">
        <f>Inventory[[#This Row],[UpprFn]]*Lookups!$B$87</f>
        <v>0</v>
      </c>
      <c r="AX185" s="25">
        <f>Inventory[[#This Row],[AddFn]]*Lookups!$B$88</f>
        <v>0</v>
      </c>
      <c r="AY185" s="25">
        <f>Inventory[[#This Row],[Bsmt]]*Lookups!$B$89</f>
        <v>0</v>
      </c>
      <c r="AZ185" s="25">
        <f>Inventory[[#This Row],[Fixtures]]*Lookups!$B$90</f>
        <v>30336.176841600001</v>
      </c>
      <c r="BA185" s="25">
        <f>Inventory[[#This Row],[WdDeck]]*Lookups!$B$91</f>
        <v>0</v>
      </c>
      <c r="BB185" s="25">
        <f>ROUND(Inventory[[#This Row],[25Det]],-2)</f>
        <v>0</v>
      </c>
      <c r="BC185" s="25">
        <f>ROUND(SUM(Inventory[[#This Row],[Mdl Qlty]:[Mdl WdDeck]])+Inventory[[#This Row],[Mdl Res Intercept]],-2)</f>
        <v>275400</v>
      </c>
      <c r="BD185" s="25">
        <f>ROUND(Inventory[[#This Row],[Mdl Land Intercept]]+Inventory[[#This Row],[Mdl LnAcres]],-2)</f>
        <v>-12000</v>
      </c>
      <c r="BE185" s="25">
        <f>Inventory[[#This Row],[Unadj Res Value]]+Inventory[[#This Row],[Unadj Det Value]]+Inventory[[#This Row],[Unadj Land Value]]</f>
        <v>263400</v>
      </c>
      <c r="BF185" s="36">
        <f>(Inventory[[#This Row],[Unadj Total Value]]-Inventory[[#This Row],[24Final]])/Inventory[[#This Row],[24Final]]</f>
        <v>-0.12636815920398009</v>
      </c>
      <c r="BG185" s="25">
        <f>VLOOKUP(Inventory[[#This Row],[Nbhd]],Lookups!$Q$2:$T$4,4,FALSE)</f>
        <v>0.99970000000000003</v>
      </c>
      <c r="BH185" s="25">
        <f>VLOOKUP(Inventory[[#This Row],[Qlty]],Lookups!$O$7:$R$21,4,FALSE)</f>
        <v>1.0067999999999999</v>
      </c>
      <c r="BI185" s="25">
        <f>VLOOKUP(Inventory[[#This Row],[Cnd]],Lookups!$T$7:$W$16,4,FALSE)</f>
        <v>0.99729999999999996</v>
      </c>
      <c r="BJ185" s="25">
        <f>VLOOKUP(Inventory[[#This Row],[LivArea Range]],Lookups!$T$25:$W$37,4,FALSE)</f>
        <v>1.0157</v>
      </c>
      <c r="BK185" s="25">
        <f>VLOOKUP(Inventory[[#This Row],[Decade]],Lookups!$O$25:$R$42,4,FALSE)</f>
        <v>0.96919999999999995</v>
      </c>
      <c r="BL185" s="25">
        <f>Inventory[[#This Row],[Nbhd Adj]]*0.95</f>
        <v>0.94971499999999998</v>
      </c>
      <c r="BM185" s="25">
        <f>Inventory[[#This Row],[Nbhd Adj]]*Inventory[[#This Row],[Quality Adj]]*Inventory[[#This Row],[Condition Adj]]*Inventory[[#This Row],[Living Area Adj]]*Inventory[[#This Row],[Decade Adj]]*0.95</f>
        <v>0.93873104601730073</v>
      </c>
      <c r="BN185" s="25">
        <f>ROUND(SUM(Inventory[[#This Row],[Mdl Qlty]:[Mdl WdDeck]])+Inventory[[#This Row],[Mdl Res Intercept]]*Inventory[[#This Row],[Res Adj ]],-2)</f>
        <v>275400</v>
      </c>
      <c r="BO185" s="25">
        <f>ROUND(Inventory[[#This Row],[25Det]]*Inventory[[#This Row],[Det/Nbhd Adj]],-2)</f>
        <v>0</v>
      </c>
      <c r="BP185" s="25">
        <f>Inventory[[#This Row],[Adjusted Res]]+Inventory[[#This Row],[Adj Det ]]</f>
        <v>275400</v>
      </c>
      <c r="BQ185" s="25">
        <f>ROUND((Inventory[[#This Row],[Mdl Land Intercept]]+Inventory[[#This Row],[Mdl LnAcres]])*Inventory[[#This Row],[Det/Nbhd Adj]],-2)</f>
        <v>-11400</v>
      </c>
      <c r="BR185" s="25">
        <f>Inventory[[#This Row],[Adjusted Impr Total]]+Inventory[[#This Row],[Adjusted Land Total]]</f>
        <v>264000</v>
      </c>
      <c r="BS185" s="36">
        <f>IFERROR((Inventory[[#This Row],[Adjusted Impr Total]]-Inventory[[#This Row],[24Bldg]])/Inventory[[#This Row],[24Bldg]],0)</f>
        <v>7.4522044479126026E-2</v>
      </c>
      <c r="BT185" s="36">
        <f>(Inventory[[#This Row],[Adjusted Land Total]]-Inventory[[#This Row],[24Lnd]])/Inventory[[#This Row],[24Lnd]]</f>
        <v>-1.252212389380531</v>
      </c>
      <c r="BU185" s="36">
        <f>(Inventory[[#This Row],[Adjusted Total]]-Inventory[[#This Row],[24Final]])/Inventory[[#This Row],[24Final]]</f>
        <v>-0.12437810945273632</v>
      </c>
    </row>
    <row r="186" spans="1:73" x14ac:dyDescent="0.3">
      <c r="A186" s="25">
        <v>2025</v>
      </c>
      <c r="B186" s="26" t="s">
        <v>668</v>
      </c>
      <c r="C186" s="26">
        <f>LN(Inventory[[#This Row],[Acres]])</f>
        <v>-3.5065578973199818</v>
      </c>
      <c r="D186" s="25">
        <v>0.03</v>
      </c>
      <c r="E186" s="25">
        <v>901</v>
      </c>
      <c r="F186" s="26" t="s">
        <v>537</v>
      </c>
      <c r="G186" s="26" t="s">
        <v>28</v>
      </c>
      <c r="H186" s="26" t="s">
        <v>349</v>
      </c>
      <c r="I186" s="26" t="s">
        <v>538</v>
      </c>
      <c r="J186" s="26" t="s">
        <v>551</v>
      </c>
      <c r="K186" s="26" t="s">
        <v>381</v>
      </c>
      <c r="L186" s="26" t="s">
        <v>148</v>
      </c>
      <c r="M186" s="26" t="s">
        <v>323</v>
      </c>
      <c r="N186" s="26">
        <v>50</v>
      </c>
      <c r="O186" s="26">
        <f>2024-Inventory[[#This Row],[YrBlt]]</f>
        <v>46</v>
      </c>
      <c r="P186" s="26">
        <f>2024-Inventory[[#This Row],[EffYr]]</f>
        <v>44</v>
      </c>
      <c r="Q186" s="25">
        <v>1978</v>
      </c>
      <c r="R186" s="25">
        <v>1980</v>
      </c>
      <c r="S186" s="25">
        <v>901</v>
      </c>
      <c r="T186" s="32">
        <v>836</v>
      </c>
      <c r="U186" s="25">
        <v>544</v>
      </c>
      <c r="V186" s="25">
        <f>Inventory[[#This Row],[Bsmt]]-Inventory[[#This Row],[FnBsmt]]</f>
        <v>423</v>
      </c>
      <c r="W186" s="25">
        <v>121</v>
      </c>
      <c r="X186" s="27"/>
      <c r="Y186" s="27">
        <f>Inventory[[#This Row],[MainFn]]+Inventory[[#This Row],[UpprFn]]+Inventory[[#This Row],[FnBsmt]]+Inventory[[#This Row],[AddFn]]</f>
        <v>1858</v>
      </c>
      <c r="Z186" s="27">
        <v>2000</v>
      </c>
      <c r="AA186" s="25">
        <v>14</v>
      </c>
      <c r="AB186" s="31"/>
      <c r="AC186" s="32">
        <v>528</v>
      </c>
      <c r="AD186" s="32">
        <v>424</v>
      </c>
      <c r="AE186" s="27"/>
      <c r="AF186" s="27"/>
      <c r="AG186" s="27"/>
      <c r="AH186" s="27"/>
      <c r="AI186" s="25">
        <v>449875</v>
      </c>
      <c r="AJ186" s="25">
        <v>350903</v>
      </c>
      <c r="AK186" s="25">
        <v>0</v>
      </c>
      <c r="AL186" s="25">
        <v>259300</v>
      </c>
      <c r="AM186" s="25">
        <v>38900</v>
      </c>
      <c r="AN186" s="25">
        <v>220400</v>
      </c>
      <c r="AO186" s="25">
        <v>0</v>
      </c>
      <c r="AP186" s="25">
        <f>Lookups!$B$56*0</f>
        <v>0</v>
      </c>
      <c r="AQ186" s="25">
        <f>Lookups!$B$56*1</f>
        <v>89850.625589999996</v>
      </c>
      <c r="AR186" s="25">
        <f>Lookups!$B$57*Inventory[[#This Row],[LnAcres]]</f>
        <v>-110998.74281323297</v>
      </c>
      <c r="AS186" s="25">
        <f>VLOOKUP(Inventory[[#This Row],[Qlty]],Lookups!$A$62:$E$75,2,FALSE)</f>
        <v>44121.038090000002</v>
      </c>
      <c r="AT186" s="25">
        <f>VLOOKUP(Inventory[[#This Row],[Cnd]],Lookups!$A$76:$E$84,2,FALSE)</f>
        <v>160472.20319</v>
      </c>
      <c r="AU186" s="25">
        <f>Inventory[[#This Row],[EffAge]]*Lookups!$B$85</f>
        <v>-9814.0064220000004</v>
      </c>
      <c r="AV186" s="25">
        <f>Inventory[[#This Row],[MainFn]]*Lookups!$B$86</f>
        <v>44517.211559176998</v>
      </c>
      <c r="AW186" s="25">
        <f>Inventory[[#This Row],[UpprFn]]*Lookups!$B$87</f>
        <v>37441.449511795996</v>
      </c>
      <c r="AX186" s="25">
        <f>Inventory[[#This Row],[AddFn]]*Lookups!$B$88</f>
        <v>0</v>
      </c>
      <c r="AY186" s="25">
        <f>Inventory[[#This Row],[Bsmt]]*Lookups!$B$89</f>
        <v>15820.551014367999</v>
      </c>
      <c r="AZ186" s="25">
        <f>Inventory[[#This Row],[Fixtures]]*Lookups!$B$90</f>
        <v>53088.3094728</v>
      </c>
      <c r="BA186" s="25">
        <f>Inventory[[#This Row],[WdDeck]]*Lookups!$B$91</f>
        <v>14117.298477024002</v>
      </c>
      <c r="BB186" s="25">
        <f>ROUND(Inventory[[#This Row],[25Det]],-2)</f>
        <v>0</v>
      </c>
      <c r="BC186" s="25">
        <f>ROUND(SUM(Inventory[[#This Row],[Mdl Qlty]:[Mdl WdDeck]])+Inventory[[#This Row],[Mdl Res Intercept]],-2)</f>
        <v>359800</v>
      </c>
      <c r="BD186" s="25">
        <f>ROUND(Inventory[[#This Row],[Mdl Land Intercept]]+Inventory[[#This Row],[Mdl LnAcres]],-2)</f>
        <v>-21100</v>
      </c>
      <c r="BE186" s="25">
        <f>Inventory[[#This Row],[Unadj Res Value]]+Inventory[[#This Row],[Unadj Det Value]]+Inventory[[#This Row],[Unadj Land Value]]</f>
        <v>338700</v>
      </c>
      <c r="BF186" s="36">
        <f>(Inventory[[#This Row],[Unadj Total Value]]-Inventory[[#This Row],[24Final]])/Inventory[[#This Row],[24Final]]</f>
        <v>0.30620902429618202</v>
      </c>
      <c r="BG186" s="25">
        <f>VLOOKUP(Inventory[[#This Row],[Nbhd]],Lookups!$Q$2:$T$4,4,FALSE)</f>
        <v>0.99970000000000003</v>
      </c>
      <c r="BH186" s="25">
        <f>VLOOKUP(Inventory[[#This Row],[Qlty]],Lookups!$O$7:$R$21,4,FALSE)</f>
        <v>0.98050000000000004</v>
      </c>
      <c r="BI186" s="25">
        <f>VLOOKUP(Inventory[[#This Row],[Cnd]],Lookups!$T$7:$W$16,4,FALSE)</f>
        <v>0.99729999999999996</v>
      </c>
      <c r="BJ186" s="25">
        <f>VLOOKUP(Inventory[[#This Row],[LivArea Range]],Lookups!$T$25:$W$37,4,FALSE)</f>
        <v>1.0093000000000001</v>
      </c>
      <c r="BK186" s="25">
        <f>VLOOKUP(Inventory[[#This Row],[Decade]],Lookups!$O$25:$R$42,4,FALSE)</f>
        <v>0.96919999999999995</v>
      </c>
      <c r="BL186" s="25">
        <f>Inventory[[#This Row],[Nbhd Adj]]*0.95</f>
        <v>0.94971499999999998</v>
      </c>
      <c r="BM186" s="25">
        <f>Inventory[[#This Row],[Nbhd Adj]]*Inventory[[#This Row],[Quality Adj]]*Inventory[[#This Row],[Condition Adj]]*Inventory[[#This Row],[Living Area Adj]]*Inventory[[#This Row],[Decade Adj]]*0.95</f>
        <v>0.90844866943059244</v>
      </c>
      <c r="BN186" s="25">
        <f>ROUND(SUM(Inventory[[#This Row],[Mdl Qlty]:[Mdl WdDeck]])+Inventory[[#This Row],[Mdl Res Intercept]]*Inventory[[#This Row],[Res Adj ]],-2)</f>
        <v>359800</v>
      </c>
      <c r="BO186" s="25">
        <f>ROUND(Inventory[[#This Row],[25Det]]*Inventory[[#This Row],[Det/Nbhd Adj]],-2)</f>
        <v>0</v>
      </c>
      <c r="BP186" s="25">
        <f>Inventory[[#This Row],[Adjusted Res]]+Inventory[[#This Row],[Adj Det ]]</f>
        <v>359800</v>
      </c>
      <c r="BQ186" s="25">
        <f>ROUND((Inventory[[#This Row],[Mdl Land Intercept]]+Inventory[[#This Row],[Mdl LnAcres]])*Inventory[[#This Row],[Det/Nbhd Adj]],-2)</f>
        <v>-20100</v>
      </c>
      <c r="BR186" s="25">
        <f>Inventory[[#This Row],[Adjusted Impr Total]]+Inventory[[#This Row],[Adjusted Land Total]]</f>
        <v>339700</v>
      </c>
      <c r="BS186" s="36">
        <f>IFERROR((Inventory[[#This Row],[Adjusted Impr Total]]-Inventory[[#This Row],[24Bldg]])/Inventory[[#This Row],[24Bldg]],0)</f>
        <v>0.63248638838475502</v>
      </c>
      <c r="BT186" s="36">
        <f>(Inventory[[#This Row],[Adjusted Land Total]]-Inventory[[#This Row],[24Lnd]])/Inventory[[#This Row],[24Lnd]]</f>
        <v>-1.5167095115681235</v>
      </c>
      <c r="BU186" s="36">
        <f>(Inventory[[#This Row],[Adjusted Total]]-Inventory[[#This Row],[24Final]])/Inventory[[#This Row],[24Final]]</f>
        <v>0.31006556112610878</v>
      </c>
    </row>
    <row r="187" spans="1:73" x14ac:dyDescent="0.3">
      <c r="A187" s="25">
        <v>2025</v>
      </c>
      <c r="B187" s="26" t="s">
        <v>666</v>
      </c>
      <c r="C187" s="26">
        <f>LN(Inventory[[#This Row],[Acres]])</f>
        <v>-3.5065578973199818</v>
      </c>
      <c r="D187" s="25">
        <v>0.03</v>
      </c>
      <c r="E187" s="25">
        <v>901</v>
      </c>
      <c r="F187" s="26" t="s">
        <v>537</v>
      </c>
      <c r="G187" s="26" t="s">
        <v>28</v>
      </c>
      <c r="H187" s="26" t="s">
        <v>349</v>
      </c>
      <c r="I187" s="26" t="s">
        <v>538</v>
      </c>
      <c r="J187" s="26" t="s">
        <v>551</v>
      </c>
      <c r="K187" s="26" t="s">
        <v>381</v>
      </c>
      <c r="L187" s="26" t="s">
        <v>148</v>
      </c>
      <c r="M187" s="26" t="s">
        <v>323</v>
      </c>
      <c r="N187" s="26">
        <v>50</v>
      </c>
      <c r="O187" s="26">
        <f>2024-Inventory[[#This Row],[YrBlt]]</f>
        <v>46</v>
      </c>
      <c r="P187" s="26">
        <f>2024-Inventory[[#This Row],[EffYr]]</f>
        <v>44</v>
      </c>
      <c r="Q187" s="25">
        <v>1978</v>
      </c>
      <c r="R187" s="25">
        <v>1980</v>
      </c>
      <c r="S187" s="25">
        <v>901</v>
      </c>
      <c r="T187" s="32">
        <v>896</v>
      </c>
      <c r="U187" s="25">
        <v>544</v>
      </c>
      <c r="V187" s="25">
        <f>Inventory[[#This Row],[Bsmt]]-Inventory[[#This Row],[FnBsmt]]</f>
        <v>60</v>
      </c>
      <c r="W187" s="25">
        <v>484</v>
      </c>
      <c r="X187" s="27"/>
      <c r="Y187" s="27">
        <f>Inventory[[#This Row],[MainFn]]+Inventory[[#This Row],[UpprFn]]+Inventory[[#This Row],[FnBsmt]]+Inventory[[#This Row],[AddFn]]</f>
        <v>2281</v>
      </c>
      <c r="Z187" s="27">
        <v>2500</v>
      </c>
      <c r="AA187" s="25">
        <v>12</v>
      </c>
      <c r="AB187" s="31"/>
      <c r="AC187" s="32">
        <v>528</v>
      </c>
      <c r="AD187" s="25">
        <v>400</v>
      </c>
      <c r="AE187" s="27"/>
      <c r="AF187" s="27"/>
      <c r="AG187" s="27"/>
      <c r="AH187" s="27"/>
      <c r="AI187" s="25">
        <v>464316</v>
      </c>
      <c r="AJ187" s="25">
        <v>362166</v>
      </c>
      <c r="AK187" s="25">
        <v>0</v>
      </c>
      <c r="AL187" s="25">
        <v>267600</v>
      </c>
      <c r="AM187" s="25">
        <v>40100</v>
      </c>
      <c r="AN187" s="25">
        <v>227500</v>
      </c>
      <c r="AO187" s="25">
        <v>0</v>
      </c>
      <c r="AP187" s="25">
        <f>Lookups!$B$56*0</f>
        <v>0</v>
      </c>
      <c r="AQ187" s="25">
        <f>Lookups!$B$56*1</f>
        <v>89850.625589999996</v>
      </c>
      <c r="AR187" s="25">
        <f>Lookups!$B$57*Inventory[[#This Row],[LnAcres]]</f>
        <v>-110998.74281323297</v>
      </c>
      <c r="AS187" s="25">
        <f>VLOOKUP(Inventory[[#This Row],[Qlty]],Lookups!$A$62:$E$75,2,FALSE)</f>
        <v>44121.038090000002</v>
      </c>
      <c r="AT187" s="25">
        <f>VLOOKUP(Inventory[[#This Row],[Cnd]],Lookups!$A$76:$E$84,2,FALSE)</f>
        <v>160472.20319</v>
      </c>
      <c r="AU187" s="25">
        <f>Inventory[[#This Row],[EffAge]]*Lookups!$B$85</f>
        <v>-9814.0064220000004</v>
      </c>
      <c r="AV187" s="25">
        <f>Inventory[[#This Row],[MainFn]]*Lookups!$B$86</f>
        <v>44517.211559176998</v>
      </c>
      <c r="AW187" s="25">
        <f>Inventory[[#This Row],[UpprFn]]*Lookups!$B$87</f>
        <v>40128.634883455998</v>
      </c>
      <c r="AX187" s="25">
        <f>Inventory[[#This Row],[AddFn]]*Lookups!$B$88</f>
        <v>0</v>
      </c>
      <c r="AY187" s="25">
        <f>Inventory[[#This Row],[Bsmt]]*Lookups!$B$89</f>
        <v>15820.551014367999</v>
      </c>
      <c r="AZ187" s="25">
        <f>Inventory[[#This Row],[Fixtures]]*Lookups!$B$90</f>
        <v>45504.265262400004</v>
      </c>
      <c r="BA187" s="25">
        <f>Inventory[[#This Row],[WdDeck]]*Lookups!$B$91</f>
        <v>13318.206110400002</v>
      </c>
      <c r="BB187" s="25">
        <f>ROUND(Inventory[[#This Row],[25Det]],-2)</f>
        <v>0</v>
      </c>
      <c r="BC187" s="25">
        <f>ROUND(SUM(Inventory[[#This Row],[Mdl Qlty]:[Mdl WdDeck]])+Inventory[[#This Row],[Mdl Res Intercept]],-2)</f>
        <v>354100</v>
      </c>
      <c r="BD187" s="25">
        <f>ROUND(Inventory[[#This Row],[Mdl Land Intercept]]+Inventory[[#This Row],[Mdl LnAcres]],-2)</f>
        <v>-21100</v>
      </c>
      <c r="BE187" s="25">
        <f>Inventory[[#This Row],[Unadj Res Value]]+Inventory[[#This Row],[Unadj Det Value]]+Inventory[[#This Row],[Unadj Land Value]]</f>
        <v>333000</v>
      </c>
      <c r="BF187" s="36">
        <f>(Inventory[[#This Row],[Unadj Total Value]]-Inventory[[#This Row],[24Final]])/Inventory[[#This Row],[24Final]]</f>
        <v>0.24439461883408073</v>
      </c>
      <c r="BG187" s="25">
        <f>VLOOKUP(Inventory[[#This Row],[Nbhd]],Lookups!$Q$2:$T$4,4,FALSE)</f>
        <v>0.99970000000000003</v>
      </c>
      <c r="BH187" s="25">
        <f>VLOOKUP(Inventory[[#This Row],[Qlty]],Lookups!$O$7:$R$21,4,FALSE)</f>
        <v>0.98050000000000004</v>
      </c>
      <c r="BI187" s="25">
        <f>VLOOKUP(Inventory[[#This Row],[Cnd]],Lookups!$T$7:$W$16,4,FALSE)</f>
        <v>0.99729999999999996</v>
      </c>
      <c r="BJ187" s="25">
        <f>VLOOKUP(Inventory[[#This Row],[LivArea Range]],Lookups!$T$25:$W$37,4,FALSE)</f>
        <v>0.98919999999999997</v>
      </c>
      <c r="BK187" s="25">
        <f>VLOOKUP(Inventory[[#This Row],[Decade]],Lookups!$O$25:$R$42,4,FALSE)</f>
        <v>0.96919999999999995</v>
      </c>
      <c r="BL187" s="25">
        <f>Inventory[[#This Row],[Nbhd Adj]]*0.95</f>
        <v>0.94971499999999998</v>
      </c>
      <c r="BM187" s="25">
        <f>Inventory[[#This Row],[Nbhd Adj]]*Inventory[[#This Row],[Quality Adj]]*Inventory[[#This Row],[Condition Adj]]*Inventory[[#This Row],[Living Area Adj]]*Inventory[[#This Row],[Decade Adj]]*0.95</f>
        <v>0.8903571027452114</v>
      </c>
      <c r="BN187" s="25">
        <f>ROUND(SUM(Inventory[[#This Row],[Mdl Qlty]:[Mdl WdDeck]])+Inventory[[#This Row],[Mdl Res Intercept]]*Inventory[[#This Row],[Res Adj ]],-2)</f>
        <v>354100</v>
      </c>
      <c r="BO187" s="25">
        <f>ROUND(Inventory[[#This Row],[25Det]]*Inventory[[#This Row],[Det/Nbhd Adj]],-2)</f>
        <v>0</v>
      </c>
      <c r="BP187" s="25">
        <f>Inventory[[#This Row],[Adjusted Res]]+Inventory[[#This Row],[Adj Det ]]</f>
        <v>354100</v>
      </c>
      <c r="BQ187" s="25">
        <f>ROUND((Inventory[[#This Row],[Mdl Land Intercept]]+Inventory[[#This Row],[Mdl LnAcres]])*Inventory[[#This Row],[Det/Nbhd Adj]],-2)</f>
        <v>-20100</v>
      </c>
      <c r="BR187" s="25">
        <f>Inventory[[#This Row],[Adjusted Impr Total]]+Inventory[[#This Row],[Adjusted Land Total]]</f>
        <v>334000</v>
      </c>
      <c r="BS187" s="36">
        <f>IFERROR((Inventory[[#This Row],[Adjusted Impr Total]]-Inventory[[#This Row],[24Bldg]])/Inventory[[#This Row],[24Bldg]],0)</f>
        <v>0.55648351648351646</v>
      </c>
      <c r="BT187" s="36">
        <f>(Inventory[[#This Row],[Adjusted Land Total]]-Inventory[[#This Row],[24Lnd]])/Inventory[[#This Row],[24Lnd]]</f>
        <v>-1.5012468827930174</v>
      </c>
      <c r="BU187" s="36">
        <f>(Inventory[[#This Row],[Adjusted Total]]-Inventory[[#This Row],[24Final]])/Inventory[[#This Row],[24Final]]</f>
        <v>0.24813153961136025</v>
      </c>
    </row>
    <row r="188" spans="1:73" x14ac:dyDescent="0.3">
      <c r="A188" s="25">
        <v>2025</v>
      </c>
      <c r="B188" s="26" t="s">
        <v>986</v>
      </c>
      <c r="C188" s="26">
        <f>LN(Inventory[[#This Row],[Acres]])</f>
        <v>-3.5065578973199818</v>
      </c>
      <c r="D188" s="25">
        <v>0.03</v>
      </c>
      <c r="E188" s="25">
        <v>901</v>
      </c>
      <c r="F188" s="26" t="s">
        <v>537</v>
      </c>
      <c r="G188" s="26" t="s">
        <v>28</v>
      </c>
      <c r="H188" s="26" t="s">
        <v>349</v>
      </c>
      <c r="I188" s="26" t="s">
        <v>538</v>
      </c>
      <c r="J188" s="26" t="s">
        <v>551</v>
      </c>
      <c r="K188" s="26" t="s">
        <v>381</v>
      </c>
      <c r="L188" s="26" t="s">
        <v>148</v>
      </c>
      <c r="M188" s="26" t="s">
        <v>323</v>
      </c>
      <c r="N188" s="26">
        <v>50</v>
      </c>
      <c r="O188" s="26">
        <f>2024-Inventory[[#This Row],[YrBlt]]</f>
        <v>46</v>
      </c>
      <c r="P188" s="26">
        <f>2024-Inventory[[#This Row],[EffYr]]</f>
        <v>44</v>
      </c>
      <c r="Q188" s="25">
        <v>1978</v>
      </c>
      <c r="R188" s="25">
        <v>1980</v>
      </c>
      <c r="S188" s="25">
        <v>901</v>
      </c>
      <c r="T188" s="32">
        <v>896</v>
      </c>
      <c r="U188" s="32">
        <v>544</v>
      </c>
      <c r="V188" s="32">
        <f>Inventory[[#This Row],[Bsmt]]-Inventory[[#This Row],[FnBsmt]]</f>
        <v>544</v>
      </c>
      <c r="W188" s="27"/>
      <c r="X188" s="27"/>
      <c r="Y188" s="27">
        <f>Inventory[[#This Row],[MainFn]]+Inventory[[#This Row],[UpprFn]]+Inventory[[#This Row],[FnBsmt]]+Inventory[[#This Row],[AddFn]]</f>
        <v>1797</v>
      </c>
      <c r="Z188" s="27">
        <v>2000</v>
      </c>
      <c r="AA188" s="25">
        <v>11</v>
      </c>
      <c r="AB188" s="27"/>
      <c r="AC188" s="32">
        <v>528</v>
      </c>
      <c r="AD188" s="32">
        <v>448</v>
      </c>
      <c r="AE188" s="27"/>
      <c r="AF188" s="27"/>
      <c r="AG188" s="27"/>
      <c r="AH188" s="27"/>
      <c r="AI188" s="25">
        <v>437525</v>
      </c>
      <c r="AJ188" s="25">
        <v>341270</v>
      </c>
      <c r="AK188" s="25">
        <v>0</v>
      </c>
      <c r="AL188" s="25">
        <v>271600</v>
      </c>
      <c r="AM188" s="25">
        <v>40700</v>
      </c>
      <c r="AN188" s="25">
        <v>230900</v>
      </c>
      <c r="AO188" s="25">
        <v>0</v>
      </c>
      <c r="AP188" s="25">
        <f>Lookups!$B$56*0</f>
        <v>0</v>
      </c>
      <c r="AQ188" s="25">
        <f>Lookups!$B$56*1</f>
        <v>89850.625589999996</v>
      </c>
      <c r="AR188" s="25">
        <f>Lookups!$B$57*Inventory[[#This Row],[LnAcres]]</f>
        <v>-110998.74281323297</v>
      </c>
      <c r="AS188" s="25">
        <f>VLOOKUP(Inventory[[#This Row],[Qlty]],Lookups!$A$62:$E$75,2,FALSE)</f>
        <v>44121.038090000002</v>
      </c>
      <c r="AT188" s="25">
        <f>VLOOKUP(Inventory[[#This Row],[Cnd]],Lookups!$A$76:$E$84,2,FALSE)</f>
        <v>160472.20319</v>
      </c>
      <c r="AU188" s="25">
        <f>Inventory[[#This Row],[EffAge]]*Lookups!$B$85</f>
        <v>-9814.0064220000004</v>
      </c>
      <c r="AV188" s="25">
        <f>Inventory[[#This Row],[MainFn]]*Lookups!$B$86</f>
        <v>44517.211559176998</v>
      </c>
      <c r="AW188" s="25">
        <f>Inventory[[#This Row],[UpprFn]]*Lookups!$B$87</f>
        <v>40128.634883455998</v>
      </c>
      <c r="AX188" s="25">
        <f>Inventory[[#This Row],[AddFn]]*Lookups!$B$88</f>
        <v>0</v>
      </c>
      <c r="AY188" s="25">
        <f>Inventory[[#This Row],[Bsmt]]*Lookups!$B$89</f>
        <v>15820.551014367999</v>
      </c>
      <c r="AZ188" s="25">
        <f>Inventory[[#This Row],[Fixtures]]*Lookups!$B$90</f>
        <v>41712.243157199999</v>
      </c>
      <c r="BA188" s="25">
        <f>Inventory[[#This Row],[WdDeck]]*Lookups!$B$91</f>
        <v>14916.390843648001</v>
      </c>
      <c r="BB188" s="25">
        <f>ROUND(Inventory[[#This Row],[25Det]],-2)</f>
        <v>0</v>
      </c>
      <c r="BC188" s="25">
        <f>ROUND(SUM(Inventory[[#This Row],[Mdl Qlty]:[Mdl WdDeck]])+Inventory[[#This Row],[Mdl Res Intercept]],-2)</f>
        <v>351900</v>
      </c>
      <c r="BD188" s="25">
        <f>ROUND(Inventory[[#This Row],[Mdl Land Intercept]]+Inventory[[#This Row],[Mdl LnAcres]],-2)</f>
        <v>-21100</v>
      </c>
      <c r="BE188" s="25">
        <f>Inventory[[#This Row],[Unadj Res Value]]+Inventory[[#This Row],[Unadj Det Value]]+Inventory[[#This Row],[Unadj Land Value]]</f>
        <v>330800</v>
      </c>
      <c r="BF188" s="36">
        <f>(Inventory[[#This Row],[Unadj Total Value]]-Inventory[[#This Row],[24Final]])/Inventory[[#This Row],[24Final]]</f>
        <v>0.21796759941089838</v>
      </c>
      <c r="BG188" s="25">
        <f>VLOOKUP(Inventory[[#This Row],[Nbhd]],Lookups!$Q$2:$T$4,4,FALSE)</f>
        <v>0.99970000000000003</v>
      </c>
      <c r="BH188" s="25">
        <f>VLOOKUP(Inventory[[#This Row],[Qlty]],Lookups!$O$7:$R$21,4,FALSE)</f>
        <v>0.98050000000000004</v>
      </c>
      <c r="BI188" s="25">
        <f>VLOOKUP(Inventory[[#This Row],[Cnd]],Lookups!$T$7:$W$16,4,FALSE)</f>
        <v>0.99729999999999996</v>
      </c>
      <c r="BJ188" s="25">
        <f>VLOOKUP(Inventory[[#This Row],[LivArea Range]],Lookups!$T$25:$W$37,4,FALSE)</f>
        <v>1.0093000000000001</v>
      </c>
      <c r="BK188" s="25">
        <f>VLOOKUP(Inventory[[#This Row],[Decade]],Lookups!$O$25:$R$42,4,FALSE)</f>
        <v>0.96919999999999995</v>
      </c>
      <c r="BL188" s="25">
        <f>Inventory[[#This Row],[Nbhd Adj]]*0.95</f>
        <v>0.94971499999999998</v>
      </c>
      <c r="BM188" s="25">
        <f>Inventory[[#This Row],[Nbhd Adj]]*Inventory[[#This Row],[Quality Adj]]*Inventory[[#This Row],[Condition Adj]]*Inventory[[#This Row],[Living Area Adj]]*Inventory[[#This Row],[Decade Adj]]*0.95</f>
        <v>0.90844866943059244</v>
      </c>
      <c r="BN188" s="25">
        <f>ROUND(SUM(Inventory[[#This Row],[Mdl Qlty]:[Mdl WdDeck]])+Inventory[[#This Row],[Mdl Res Intercept]]*Inventory[[#This Row],[Res Adj ]],-2)</f>
        <v>351900</v>
      </c>
      <c r="BO188" s="25">
        <f>ROUND(Inventory[[#This Row],[25Det]]*Inventory[[#This Row],[Det/Nbhd Adj]],-2)</f>
        <v>0</v>
      </c>
      <c r="BP188" s="25">
        <f>Inventory[[#This Row],[Adjusted Res]]+Inventory[[#This Row],[Adj Det ]]</f>
        <v>351900</v>
      </c>
      <c r="BQ188" s="25">
        <f>ROUND((Inventory[[#This Row],[Mdl Land Intercept]]+Inventory[[#This Row],[Mdl LnAcres]])*Inventory[[#This Row],[Det/Nbhd Adj]],-2)</f>
        <v>-20100</v>
      </c>
      <c r="BR188" s="25">
        <f>Inventory[[#This Row],[Adjusted Impr Total]]+Inventory[[#This Row],[Adjusted Land Total]]</f>
        <v>331800</v>
      </c>
      <c r="BS188" s="36">
        <f>IFERROR((Inventory[[#This Row],[Adjusted Impr Total]]-Inventory[[#This Row],[24Bldg]])/Inventory[[#This Row],[24Bldg]],0)</f>
        <v>0.52403637938501513</v>
      </c>
      <c r="BT188" s="36">
        <f>(Inventory[[#This Row],[Adjusted Land Total]]-Inventory[[#This Row],[24Lnd]])/Inventory[[#This Row],[24Lnd]]</f>
        <v>-1.4938574938574938</v>
      </c>
      <c r="BU188" s="36">
        <f>(Inventory[[#This Row],[Adjusted Total]]-Inventory[[#This Row],[24Final]])/Inventory[[#This Row],[24Final]]</f>
        <v>0.22164948453608246</v>
      </c>
    </row>
    <row r="189" spans="1:73" x14ac:dyDescent="0.3">
      <c r="A189" s="25">
        <v>2025</v>
      </c>
      <c r="B189" s="26" t="s">
        <v>665</v>
      </c>
      <c r="C189" s="26">
        <f>LN(Inventory[[#This Row],[Acres]])</f>
        <v>-3.912023005428146</v>
      </c>
      <c r="D189" s="25">
        <v>0.02</v>
      </c>
      <c r="E189" s="25">
        <v>1600</v>
      </c>
      <c r="F189" s="26" t="s">
        <v>537</v>
      </c>
      <c r="G189" s="26" t="s">
        <v>28</v>
      </c>
      <c r="H189" s="26" t="s">
        <v>349</v>
      </c>
      <c r="I189" s="26" t="s">
        <v>538</v>
      </c>
      <c r="J189" s="26" t="s">
        <v>551</v>
      </c>
      <c r="K189" s="26" t="s">
        <v>381</v>
      </c>
      <c r="L189" s="26" t="s">
        <v>148</v>
      </c>
      <c r="M189" s="26" t="s">
        <v>323</v>
      </c>
      <c r="N189" s="26">
        <v>50</v>
      </c>
      <c r="O189" s="26">
        <f>2024-Inventory[[#This Row],[YrBlt]]</f>
        <v>46</v>
      </c>
      <c r="P189" s="26">
        <f>2024-Inventory[[#This Row],[EffYr]]</f>
        <v>44</v>
      </c>
      <c r="Q189" s="25">
        <v>1978</v>
      </c>
      <c r="R189" s="25">
        <v>1980</v>
      </c>
      <c r="S189" s="25">
        <v>1600</v>
      </c>
      <c r="T189" s="27"/>
      <c r="U189" s="25">
        <v>1204</v>
      </c>
      <c r="V189" s="25">
        <f>Inventory[[#This Row],[Bsmt]]-Inventory[[#This Row],[FnBsmt]]</f>
        <v>0</v>
      </c>
      <c r="W189" s="25">
        <v>1204</v>
      </c>
      <c r="X189" s="27"/>
      <c r="Y189" s="27">
        <f>Inventory[[#This Row],[MainFn]]+Inventory[[#This Row],[UpprFn]]+Inventory[[#This Row],[FnBsmt]]+Inventory[[#This Row],[AddFn]]</f>
        <v>2804</v>
      </c>
      <c r="Z189" s="27">
        <v>3000</v>
      </c>
      <c r="AA189" s="25">
        <v>11</v>
      </c>
      <c r="AB189" s="27"/>
      <c r="AC189" s="32">
        <v>572</v>
      </c>
      <c r="AD189" s="25">
        <v>406</v>
      </c>
      <c r="AE189" s="27"/>
      <c r="AF189" s="27"/>
      <c r="AG189" s="27"/>
      <c r="AH189" s="27"/>
      <c r="AI189" s="25">
        <v>526131</v>
      </c>
      <c r="AJ189" s="25">
        <v>410382</v>
      </c>
      <c r="AK189" s="25">
        <v>0</v>
      </c>
      <c r="AL189" s="25">
        <v>281700</v>
      </c>
      <c r="AM189" s="25">
        <v>42300</v>
      </c>
      <c r="AN189" s="25">
        <v>239400</v>
      </c>
      <c r="AO189" s="25">
        <v>0</v>
      </c>
      <c r="AP189" s="25">
        <f>Lookups!$B$56*0</f>
        <v>0</v>
      </c>
      <c r="AQ189" s="25">
        <f>Lookups!$B$56*1</f>
        <v>89850.625589999996</v>
      </c>
      <c r="AR189" s="25">
        <f>Lookups!$B$57*Inventory[[#This Row],[LnAcres]]</f>
        <v>-123833.58500677992</v>
      </c>
      <c r="AS189" s="25">
        <f>VLOOKUP(Inventory[[#This Row],[Qlty]],Lookups!$A$62:$E$75,2,FALSE)</f>
        <v>44121.038090000002</v>
      </c>
      <c r="AT189" s="25">
        <f>VLOOKUP(Inventory[[#This Row],[Cnd]],Lookups!$A$76:$E$84,2,FALSE)</f>
        <v>160472.20319</v>
      </c>
      <c r="AU189" s="25">
        <f>Inventory[[#This Row],[EffAge]]*Lookups!$B$85</f>
        <v>-9814.0064220000004</v>
      </c>
      <c r="AV189" s="25">
        <f>Inventory[[#This Row],[MainFn]]*Lookups!$B$86</f>
        <v>79053.871803200003</v>
      </c>
      <c r="AW189" s="25">
        <f>Inventory[[#This Row],[UpprFn]]*Lookups!$B$87</f>
        <v>0</v>
      </c>
      <c r="AX189" s="25">
        <f>Inventory[[#This Row],[AddFn]]*Lookups!$B$88</f>
        <v>0</v>
      </c>
      <c r="AY189" s="25">
        <f>Inventory[[#This Row],[Bsmt]]*Lookups!$B$89</f>
        <v>35014.601877387999</v>
      </c>
      <c r="AZ189" s="25">
        <f>Inventory[[#This Row],[Fixtures]]*Lookups!$B$90</f>
        <v>41712.243157199999</v>
      </c>
      <c r="BA189" s="25">
        <f>Inventory[[#This Row],[WdDeck]]*Lookups!$B$91</f>
        <v>13517.979202056002</v>
      </c>
      <c r="BB189" s="25">
        <f>ROUND(Inventory[[#This Row],[25Det]],-2)</f>
        <v>0</v>
      </c>
      <c r="BC189" s="25">
        <f>ROUND(SUM(Inventory[[#This Row],[Mdl Qlty]:[Mdl WdDeck]])+Inventory[[#This Row],[Mdl Res Intercept]],-2)</f>
        <v>364100</v>
      </c>
      <c r="BD189" s="25">
        <f>ROUND(Inventory[[#This Row],[Mdl Land Intercept]]+Inventory[[#This Row],[Mdl LnAcres]],-2)</f>
        <v>-34000</v>
      </c>
      <c r="BE189" s="25">
        <f>Inventory[[#This Row],[Unadj Res Value]]+Inventory[[#This Row],[Unadj Det Value]]+Inventory[[#This Row],[Unadj Land Value]]</f>
        <v>330100</v>
      </c>
      <c r="BF189" s="36">
        <f>(Inventory[[#This Row],[Unadj Total Value]]-Inventory[[#This Row],[24Final]])/Inventory[[#This Row],[24Final]]</f>
        <v>0.17181398651047214</v>
      </c>
      <c r="BG189" s="25">
        <f>VLOOKUP(Inventory[[#This Row],[Nbhd]],Lookups!$Q$2:$T$4,4,FALSE)</f>
        <v>0.99970000000000003</v>
      </c>
      <c r="BH189" s="25">
        <f>VLOOKUP(Inventory[[#This Row],[Qlty]],Lookups!$O$7:$R$21,4,FALSE)</f>
        <v>0.98050000000000004</v>
      </c>
      <c r="BI189" s="25">
        <f>VLOOKUP(Inventory[[#This Row],[Cnd]],Lookups!$T$7:$W$16,4,FALSE)</f>
        <v>0.99729999999999996</v>
      </c>
      <c r="BJ189" s="25">
        <f>VLOOKUP(Inventory[[#This Row],[LivArea Range]],Lookups!$T$25:$W$37,4,FALSE)</f>
        <v>0.96179999999999999</v>
      </c>
      <c r="BK189" s="25">
        <f>VLOOKUP(Inventory[[#This Row],[Decade]],Lookups!$O$25:$R$42,4,FALSE)</f>
        <v>0.96919999999999995</v>
      </c>
      <c r="BL189" s="25">
        <f>Inventory[[#This Row],[Nbhd Adj]]*0.95</f>
        <v>0.94971499999999998</v>
      </c>
      <c r="BM189" s="25">
        <f>Inventory[[#This Row],[Nbhd Adj]]*Inventory[[#This Row],[Quality Adj]]*Inventory[[#This Row],[Condition Adj]]*Inventory[[#This Row],[Living Area Adj]]*Inventory[[#This Row],[Decade Adj]]*0.95</f>
        <v>0.86569496706464244</v>
      </c>
      <c r="BN189" s="25">
        <f>ROUND(SUM(Inventory[[#This Row],[Mdl Qlty]:[Mdl WdDeck]])+Inventory[[#This Row],[Mdl Res Intercept]]*Inventory[[#This Row],[Res Adj ]],-2)</f>
        <v>364100</v>
      </c>
      <c r="BO189" s="25">
        <f>ROUND(Inventory[[#This Row],[25Det]]*Inventory[[#This Row],[Det/Nbhd Adj]],-2)</f>
        <v>0</v>
      </c>
      <c r="BP189" s="25">
        <f>Inventory[[#This Row],[Adjusted Res]]+Inventory[[#This Row],[Adj Det ]]</f>
        <v>364100</v>
      </c>
      <c r="BQ189" s="25">
        <f>ROUND((Inventory[[#This Row],[Mdl Land Intercept]]+Inventory[[#This Row],[Mdl LnAcres]])*Inventory[[#This Row],[Det/Nbhd Adj]],-2)</f>
        <v>-32300</v>
      </c>
      <c r="BR189" s="25">
        <f>Inventory[[#This Row],[Adjusted Impr Total]]+Inventory[[#This Row],[Adjusted Land Total]]</f>
        <v>331800</v>
      </c>
      <c r="BS189" s="36">
        <f>IFERROR((Inventory[[#This Row],[Adjusted Impr Total]]-Inventory[[#This Row],[24Bldg]])/Inventory[[#This Row],[24Bldg]],0)</f>
        <v>0.52088554720133673</v>
      </c>
      <c r="BT189" s="36">
        <f>(Inventory[[#This Row],[Adjusted Land Total]]-Inventory[[#This Row],[24Lnd]])/Inventory[[#This Row],[24Lnd]]</f>
        <v>-1.7635933806146573</v>
      </c>
      <c r="BU189" s="36">
        <f>(Inventory[[#This Row],[Adjusted Total]]-Inventory[[#This Row],[24Final]])/Inventory[[#This Row],[24Final]]</f>
        <v>0.17784877529286475</v>
      </c>
    </row>
    <row r="190" spans="1:73" x14ac:dyDescent="0.3">
      <c r="A190" s="25">
        <v>2025</v>
      </c>
      <c r="B190" s="26" t="s">
        <v>730</v>
      </c>
      <c r="C190" s="26">
        <f>LN(Inventory[[#This Row],[Acres]])</f>
        <v>-3.912023005428146</v>
      </c>
      <c r="D190" s="25">
        <v>0.02</v>
      </c>
      <c r="E190" s="25">
        <v>1600</v>
      </c>
      <c r="F190" s="26" t="s">
        <v>537</v>
      </c>
      <c r="G190" s="26" t="s">
        <v>28</v>
      </c>
      <c r="H190" s="26" t="s">
        <v>349</v>
      </c>
      <c r="I190" s="26" t="s">
        <v>538</v>
      </c>
      <c r="J190" s="26" t="s">
        <v>551</v>
      </c>
      <c r="K190" s="26" t="s">
        <v>381</v>
      </c>
      <c r="L190" s="26" t="s">
        <v>148</v>
      </c>
      <c r="M190" s="26" t="s">
        <v>323</v>
      </c>
      <c r="N190" s="26">
        <v>50</v>
      </c>
      <c r="O190" s="26">
        <f>2024-Inventory[[#This Row],[YrBlt]]</f>
        <v>46</v>
      </c>
      <c r="P190" s="26">
        <f>2024-Inventory[[#This Row],[EffYr]]</f>
        <v>44</v>
      </c>
      <c r="Q190" s="25">
        <v>1978</v>
      </c>
      <c r="R190" s="25">
        <v>1980</v>
      </c>
      <c r="S190" s="25">
        <v>1600</v>
      </c>
      <c r="T190" s="27"/>
      <c r="U190" s="32">
        <v>1204</v>
      </c>
      <c r="V190" s="32">
        <f>Inventory[[#This Row],[Bsmt]]-Inventory[[#This Row],[FnBsmt]]</f>
        <v>632</v>
      </c>
      <c r="W190" s="32">
        <v>572</v>
      </c>
      <c r="X190" s="27"/>
      <c r="Y190" s="27">
        <f>Inventory[[#This Row],[MainFn]]+Inventory[[#This Row],[UpprFn]]+Inventory[[#This Row],[FnBsmt]]+Inventory[[#This Row],[AddFn]]</f>
        <v>2172</v>
      </c>
      <c r="Z190" s="27">
        <v>2500</v>
      </c>
      <c r="AA190" s="25">
        <v>10</v>
      </c>
      <c r="AB190" s="31"/>
      <c r="AC190" s="32">
        <v>572</v>
      </c>
      <c r="AD190" s="32">
        <v>260</v>
      </c>
      <c r="AE190" s="27"/>
      <c r="AF190" s="27"/>
      <c r="AG190" s="27"/>
      <c r="AH190" s="27"/>
      <c r="AI190" s="25">
        <v>479720</v>
      </c>
      <c r="AJ190" s="25">
        <v>374182</v>
      </c>
      <c r="AK190" s="25">
        <v>0</v>
      </c>
      <c r="AL190" s="25">
        <v>276800</v>
      </c>
      <c r="AM190" s="25">
        <v>41500</v>
      </c>
      <c r="AN190" s="25">
        <v>235300</v>
      </c>
      <c r="AO190" s="25">
        <v>0</v>
      </c>
      <c r="AP190" s="25">
        <f>Lookups!$B$56*0</f>
        <v>0</v>
      </c>
      <c r="AQ190" s="25">
        <f>Lookups!$B$56*1</f>
        <v>89850.625589999996</v>
      </c>
      <c r="AR190" s="25">
        <f>Lookups!$B$57*Inventory[[#This Row],[LnAcres]]</f>
        <v>-123833.58500677992</v>
      </c>
      <c r="AS190" s="25">
        <f>VLOOKUP(Inventory[[#This Row],[Qlty]],Lookups!$A$62:$E$75,2,FALSE)</f>
        <v>44121.038090000002</v>
      </c>
      <c r="AT190" s="25">
        <f>VLOOKUP(Inventory[[#This Row],[Cnd]],Lookups!$A$76:$E$84,2,FALSE)</f>
        <v>160472.20319</v>
      </c>
      <c r="AU190" s="25">
        <f>Inventory[[#This Row],[EffAge]]*Lookups!$B$85</f>
        <v>-9814.0064220000004</v>
      </c>
      <c r="AV190" s="25">
        <f>Inventory[[#This Row],[MainFn]]*Lookups!$B$86</f>
        <v>79053.871803200003</v>
      </c>
      <c r="AW190" s="25">
        <f>Inventory[[#This Row],[UpprFn]]*Lookups!$B$87</f>
        <v>0</v>
      </c>
      <c r="AX190" s="25">
        <f>Inventory[[#This Row],[AddFn]]*Lookups!$B$88</f>
        <v>0</v>
      </c>
      <c r="AY190" s="25">
        <f>Inventory[[#This Row],[Bsmt]]*Lookups!$B$89</f>
        <v>35014.601877387999</v>
      </c>
      <c r="AZ190" s="25">
        <f>Inventory[[#This Row],[Fixtures]]*Lookups!$B$90</f>
        <v>37920.221052000001</v>
      </c>
      <c r="BA190" s="25">
        <f>Inventory[[#This Row],[WdDeck]]*Lookups!$B$91</f>
        <v>8656.8339717600011</v>
      </c>
      <c r="BB190" s="25">
        <f>ROUND(Inventory[[#This Row],[25Det]],-2)</f>
        <v>0</v>
      </c>
      <c r="BC190" s="25">
        <f>ROUND(SUM(Inventory[[#This Row],[Mdl Qlty]:[Mdl WdDeck]])+Inventory[[#This Row],[Mdl Res Intercept]],-2)</f>
        <v>355400</v>
      </c>
      <c r="BD190" s="25">
        <f>ROUND(Inventory[[#This Row],[Mdl Land Intercept]]+Inventory[[#This Row],[Mdl LnAcres]],-2)</f>
        <v>-34000</v>
      </c>
      <c r="BE190" s="25">
        <f>Inventory[[#This Row],[Unadj Res Value]]+Inventory[[#This Row],[Unadj Det Value]]+Inventory[[#This Row],[Unadj Land Value]]</f>
        <v>321400</v>
      </c>
      <c r="BF190" s="36">
        <f>(Inventory[[#This Row],[Unadj Total Value]]-Inventory[[#This Row],[24Final]])/Inventory[[#This Row],[24Final]]</f>
        <v>0.1611271676300578</v>
      </c>
      <c r="BG190" s="25">
        <f>VLOOKUP(Inventory[[#This Row],[Nbhd]],Lookups!$Q$2:$T$4,4,FALSE)</f>
        <v>0.99970000000000003</v>
      </c>
      <c r="BH190" s="25">
        <f>VLOOKUP(Inventory[[#This Row],[Qlty]],Lookups!$O$7:$R$21,4,FALSE)</f>
        <v>0.98050000000000004</v>
      </c>
      <c r="BI190" s="25">
        <f>VLOOKUP(Inventory[[#This Row],[Cnd]],Lookups!$T$7:$W$16,4,FALSE)</f>
        <v>0.99729999999999996</v>
      </c>
      <c r="BJ190" s="25">
        <f>VLOOKUP(Inventory[[#This Row],[LivArea Range]],Lookups!$T$25:$W$37,4,FALSE)</f>
        <v>0.98919999999999997</v>
      </c>
      <c r="BK190" s="25">
        <f>VLOOKUP(Inventory[[#This Row],[Decade]],Lookups!$O$25:$R$42,4,FALSE)</f>
        <v>0.96919999999999995</v>
      </c>
      <c r="BL190" s="25">
        <f>Inventory[[#This Row],[Nbhd Adj]]*0.95</f>
        <v>0.94971499999999998</v>
      </c>
      <c r="BM190" s="25">
        <f>Inventory[[#This Row],[Nbhd Adj]]*Inventory[[#This Row],[Quality Adj]]*Inventory[[#This Row],[Condition Adj]]*Inventory[[#This Row],[Living Area Adj]]*Inventory[[#This Row],[Decade Adj]]*0.95</f>
        <v>0.8903571027452114</v>
      </c>
      <c r="BN190" s="25">
        <f>ROUND(SUM(Inventory[[#This Row],[Mdl Qlty]:[Mdl WdDeck]])+Inventory[[#This Row],[Mdl Res Intercept]]*Inventory[[#This Row],[Res Adj ]],-2)</f>
        <v>355400</v>
      </c>
      <c r="BO190" s="25">
        <f>ROUND(Inventory[[#This Row],[25Det]]*Inventory[[#This Row],[Det/Nbhd Adj]],-2)</f>
        <v>0</v>
      </c>
      <c r="BP190" s="25">
        <f>Inventory[[#This Row],[Adjusted Res]]+Inventory[[#This Row],[Adj Det ]]</f>
        <v>355400</v>
      </c>
      <c r="BQ190" s="25">
        <f>ROUND((Inventory[[#This Row],[Mdl Land Intercept]]+Inventory[[#This Row],[Mdl LnAcres]])*Inventory[[#This Row],[Det/Nbhd Adj]],-2)</f>
        <v>-32300</v>
      </c>
      <c r="BR190" s="25">
        <f>Inventory[[#This Row],[Adjusted Impr Total]]+Inventory[[#This Row],[Adjusted Land Total]]</f>
        <v>323100</v>
      </c>
      <c r="BS190" s="36">
        <f>IFERROR((Inventory[[#This Row],[Adjusted Impr Total]]-Inventory[[#This Row],[24Bldg]])/Inventory[[#This Row],[24Bldg]],0)</f>
        <v>0.51041223969400762</v>
      </c>
      <c r="BT190" s="36">
        <f>(Inventory[[#This Row],[Adjusted Land Total]]-Inventory[[#This Row],[24Lnd]])/Inventory[[#This Row],[24Lnd]]</f>
        <v>-1.7783132530120482</v>
      </c>
      <c r="BU190" s="36">
        <f>(Inventory[[#This Row],[Adjusted Total]]-Inventory[[#This Row],[24Final]])/Inventory[[#This Row],[24Final]]</f>
        <v>0.16726878612716764</v>
      </c>
    </row>
    <row r="191" spans="1:73" x14ac:dyDescent="0.3">
      <c r="A191" s="25">
        <v>2025</v>
      </c>
      <c r="B191" s="26" t="s">
        <v>729</v>
      </c>
      <c r="C191" s="26">
        <f>LN(Inventory[[#This Row],[Acres]])</f>
        <v>-3.5065578973199818</v>
      </c>
      <c r="D191" s="25">
        <v>0.03</v>
      </c>
      <c r="E191" s="25">
        <v>901</v>
      </c>
      <c r="F191" s="26" t="s">
        <v>537</v>
      </c>
      <c r="G191" s="26" t="s">
        <v>28</v>
      </c>
      <c r="H191" s="26" t="s">
        <v>349</v>
      </c>
      <c r="I191" s="26" t="s">
        <v>538</v>
      </c>
      <c r="J191" s="26" t="s">
        <v>551</v>
      </c>
      <c r="K191" s="26" t="s">
        <v>381</v>
      </c>
      <c r="L191" s="26" t="s">
        <v>148</v>
      </c>
      <c r="M191" s="26" t="s">
        <v>323</v>
      </c>
      <c r="N191" s="26">
        <v>50</v>
      </c>
      <c r="O191" s="26">
        <f>2024-Inventory[[#This Row],[YrBlt]]</f>
        <v>46</v>
      </c>
      <c r="P191" s="26">
        <f>2024-Inventory[[#This Row],[EffYr]]</f>
        <v>44</v>
      </c>
      <c r="Q191" s="25">
        <v>1978</v>
      </c>
      <c r="R191" s="25">
        <v>1980</v>
      </c>
      <c r="S191" s="25">
        <v>901</v>
      </c>
      <c r="T191" s="32">
        <v>896</v>
      </c>
      <c r="U191" s="32">
        <v>544</v>
      </c>
      <c r="V191" s="32">
        <f>Inventory[[#This Row],[Bsmt]]-Inventory[[#This Row],[FnBsmt]]</f>
        <v>60</v>
      </c>
      <c r="W191" s="32">
        <v>484</v>
      </c>
      <c r="X191" s="27"/>
      <c r="Y191" s="27">
        <f>Inventory[[#This Row],[MainFn]]+Inventory[[#This Row],[UpprFn]]+Inventory[[#This Row],[FnBsmt]]+Inventory[[#This Row],[AddFn]]</f>
        <v>2281</v>
      </c>
      <c r="Z191" s="27">
        <v>2500</v>
      </c>
      <c r="AA191" s="25">
        <v>13</v>
      </c>
      <c r="AB191" s="31"/>
      <c r="AC191" s="32">
        <v>528</v>
      </c>
      <c r="AD191" s="32">
        <v>400</v>
      </c>
      <c r="AE191" s="27"/>
      <c r="AF191" s="27"/>
      <c r="AG191" s="27"/>
      <c r="AH191" s="27"/>
      <c r="AI191" s="25">
        <v>467987</v>
      </c>
      <c r="AJ191" s="25">
        <v>365030</v>
      </c>
      <c r="AK191" s="25">
        <v>0</v>
      </c>
      <c r="AL191" s="25">
        <v>290500</v>
      </c>
      <c r="AM191" s="25">
        <v>43600</v>
      </c>
      <c r="AN191" s="25">
        <v>246900</v>
      </c>
      <c r="AO191" s="25">
        <v>0</v>
      </c>
      <c r="AP191" s="25">
        <f>Lookups!$B$56*0</f>
        <v>0</v>
      </c>
      <c r="AQ191" s="25">
        <f>Lookups!$B$56*1</f>
        <v>89850.625589999996</v>
      </c>
      <c r="AR191" s="25">
        <f>Lookups!$B$57*Inventory[[#This Row],[LnAcres]]</f>
        <v>-110998.74281323297</v>
      </c>
      <c r="AS191" s="25">
        <f>VLOOKUP(Inventory[[#This Row],[Qlty]],Lookups!$A$62:$E$75,2,FALSE)</f>
        <v>44121.038090000002</v>
      </c>
      <c r="AT191" s="25">
        <f>VLOOKUP(Inventory[[#This Row],[Cnd]],Lookups!$A$76:$E$84,2,FALSE)</f>
        <v>160472.20319</v>
      </c>
      <c r="AU191" s="25">
        <f>Inventory[[#This Row],[EffAge]]*Lookups!$B$85</f>
        <v>-9814.0064220000004</v>
      </c>
      <c r="AV191" s="25">
        <f>Inventory[[#This Row],[MainFn]]*Lookups!$B$86</f>
        <v>44517.211559176998</v>
      </c>
      <c r="AW191" s="25">
        <f>Inventory[[#This Row],[UpprFn]]*Lookups!$B$87</f>
        <v>40128.634883455998</v>
      </c>
      <c r="AX191" s="25">
        <f>Inventory[[#This Row],[AddFn]]*Lookups!$B$88</f>
        <v>0</v>
      </c>
      <c r="AY191" s="25">
        <f>Inventory[[#This Row],[Bsmt]]*Lookups!$B$89</f>
        <v>15820.551014367999</v>
      </c>
      <c r="AZ191" s="25">
        <f>Inventory[[#This Row],[Fixtures]]*Lookups!$B$90</f>
        <v>49296.287367600002</v>
      </c>
      <c r="BA191" s="25">
        <f>Inventory[[#This Row],[WdDeck]]*Lookups!$B$91</f>
        <v>13318.206110400002</v>
      </c>
      <c r="BB191" s="25">
        <f>ROUND(Inventory[[#This Row],[25Det]],-2)</f>
        <v>0</v>
      </c>
      <c r="BC191" s="25">
        <f>ROUND(SUM(Inventory[[#This Row],[Mdl Qlty]:[Mdl WdDeck]])+Inventory[[#This Row],[Mdl Res Intercept]],-2)</f>
        <v>357900</v>
      </c>
      <c r="BD191" s="25">
        <f>ROUND(Inventory[[#This Row],[Mdl Land Intercept]]+Inventory[[#This Row],[Mdl LnAcres]],-2)</f>
        <v>-21100</v>
      </c>
      <c r="BE191" s="25">
        <f>Inventory[[#This Row],[Unadj Res Value]]+Inventory[[#This Row],[Unadj Det Value]]+Inventory[[#This Row],[Unadj Land Value]]</f>
        <v>336800</v>
      </c>
      <c r="BF191" s="36">
        <f>(Inventory[[#This Row],[Unadj Total Value]]-Inventory[[#This Row],[24Final]])/Inventory[[#This Row],[24Final]]</f>
        <v>0.15938037865748708</v>
      </c>
      <c r="BG191" s="25">
        <f>VLOOKUP(Inventory[[#This Row],[Nbhd]],Lookups!$Q$2:$T$4,4,FALSE)</f>
        <v>0.99970000000000003</v>
      </c>
      <c r="BH191" s="25">
        <f>VLOOKUP(Inventory[[#This Row],[Qlty]],Lookups!$O$7:$R$21,4,FALSE)</f>
        <v>0.98050000000000004</v>
      </c>
      <c r="BI191" s="25">
        <f>VLOOKUP(Inventory[[#This Row],[Cnd]],Lookups!$T$7:$W$16,4,FALSE)</f>
        <v>0.99729999999999996</v>
      </c>
      <c r="BJ191" s="25">
        <f>VLOOKUP(Inventory[[#This Row],[LivArea Range]],Lookups!$T$25:$W$37,4,FALSE)</f>
        <v>0.98919999999999997</v>
      </c>
      <c r="BK191" s="25">
        <f>VLOOKUP(Inventory[[#This Row],[Decade]],Lookups!$O$25:$R$42,4,FALSE)</f>
        <v>0.96919999999999995</v>
      </c>
      <c r="BL191" s="25">
        <f>Inventory[[#This Row],[Nbhd Adj]]*0.95</f>
        <v>0.94971499999999998</v>
      </c>
      <c r="BM191" s="25">
        <f>Inventory[[#This Row],[Nbhd Adj]]*Inventory[[#This Row],[Quality Adj]]*Inventory[[#This Row],[Condition Adj]]*Inventory[[#This Row],[Living Area Adj]]*Inventory[[#This Row],[Decade Adj]]*0.95</f>
        <v>0.8903571027452114</v>
      </c>
      <c r="BN191" s="25">
        <f>ROUND(SUM(Inventory[[#This Row],[Mdl Qlty]:[Mdl WdDeck]])+Inventory[[#This Row],[Mdl Res Intercept]]*Inventory[[#This Row],[Res Adj ]],-2)</f>
        <v>357900</v>
      </c>
      <c r="BO191" s="25">
        <f>ROUND(Inventory[[#This Row],[25Det]]*Inventory[[#This Row],[Det/Nbhd Adj]],-2)</f>
        <v>0</v>
      </c>
      <c r="BP191" s="25">
        <f>Inventory[[#This Row],[Adjusted Res]]+Inventory[[#This Row],[Adj Det ]]</f>
        <v>357900</v>
      </c>
      <c r="BQ191" s="25">
        <f>ROUND((Inventory[[#This Row],[Mdl Land Intercept]]+Inventory[[#This Row],[Mdl LnAcres]])*Inventory[[#This Row],[Det/Nbhd Adj]],-2)</f>
        <v>-20100</v>
      </c>
      <c r="BR191" s="25">
        <f>Inventory[[#This Row],[Adjusted Impr Total]]+Inventory[[#This Row],[Adjusted Land Total]]</f>
        <v>337800</v>
      </c>
      <c r="BS191" s="36">
        <f>IFERROR((Inventory[[#This Row],[Adjusted Impr Total]]-Inventory[[#This Row],[24Bldg]])/Inventory[[#This Row],[24Bldg]],0)</f>
        <v>0.44957472660996356</v>
      </c>
      <c r="BT191" s="36">
        <f>(Inventory[[#This Row],[Adjusted Land Total]]-Inventory[[#This Row],[24Lnd]])/Inventory[[#This Row],[24Lnd]]</f>
        <v>-1.4610091743119267</v>
      </c>
      <c r="BU191" s="36">
        <f>(Inventory[[#This Row],[Adjusted Total]]-Inventory[[#This Row],[24Final]])/Inventory[[#This Row],[24Final]]</f>
        <v>0.16282271944922547</v>
      </c>
    </row>
    <row r="192" spans="1:73" x14ac:dyDescent="0.3">
      <c r="A192" s="25">
        <v>2025</v>
      </c>
      <c r="B192" s="26" t="s">
        <v>674</v>
      </c>
      <c r="C192" s="26">
        <f>LN(Inventory[[#This Row],[Acres]])</f>
        <v>-3.912023005428146</v>
      </c>
      <c r="D192" s="25">
        <v>0.02</v>
      </c>
      <c r="E192" s="25">
        <v>901</v>
      </c>
      <c r="F192" s="26" t="s">
        <v>537</v>
      </c>
      <c r="G192" s="26" t="s">
        <v>28</v>
      </c>
      <c r="H192" s="26" t="s">
        <v>349</v>
      </c>
      <c r="I192" s="26" t="s">
        <v>538</v>
      </c>
      <c r="J192" s="26" t="s">
        <v>551</v>
      </c>
      <c r="K192" s="26" t="s">
        <v>381</v>
      </c>
      <c r="L192" s="26" t="s">
        <v>148</v>
      </c>
      <c r="M192" s="26" t="s">
        <v>323</v>
      </c>
      <c r="N192" s="26">
        <v>50</v>
      </c>
      <c r="O192" s="26">
        <f>2024-Inventory[[#This Row],[YrBlt]]</f>
        <v>46</v>
      </c>
      <c r="P192" s="26">
        <f>2024-Inventory[[#This Row],[EffYr]]</f>
        <v>44</v>
      </c>
      <c r="Q192" s="25">
        <v>1978</v>
      </c>
      <c r="R192" s="25">
        <v>1980</v>
      </c>
      <c r="S192" s="25">
        <v>901</v>
      </c>
      <c r="T192" s="32">
        <v>896</v>
      </c>
      <c r="U192" s="25">
        <v>544</v>
      </c>
      <c r="V192" s="25">
        <f>Inventory[[#This Row],[Bsmt]]-Inventory[[#This Row],[FnBsmt]]</f>
        <v>66</v>
      </c>
      <c r="W192" s="25">
        <v>478</v>
      </c>
      <c r="X192" s="27"/>
      <c r="Y192" s="27">
        <f>Inventory[[#This Row],[MainFn]]+Inventory[[#This Row],[UpprFn]]+Inventory[[#This Row],[FnBsmt]]+Inventory[[#This Row],[AddFn]]</f>
        <v>2275</v>
      </c>
      <c r="Z192" s="27">
        <v>2500</v>
      </c>
      <c r="AA192" s="25">
        <v>11</v>
      </c>
      <c r="AB192" s="27"/>
      <c r="AC192" s="32">
        <v>528</v>
      </c>
      <c r="AD192" s="25">
        <v>400</v>
      </c>
      <c r="AE192" s="27"/>
      <c r="AF192" s="27"/>
      <c r="AG192" s="27"/>
      <c r="AH192" s="27"/>
      <c r="AI192" s="25">
        <v>471161</v>
      </c>
      <c r="AJ192" s="25">
        <v>367506</v>
      </c>
      <c r="AK192" s="25">
        <v>0</v>
      </c>
      <c r="AL192" s="25">
        <v>273600</v>
      </c>
      <c r="AM192" s="25">
        <v>41000</v>
      </c>
      <c r="AN192" s="25">
        <v>232600</v>
      </c>
      <c r="AO192" s="25">
        <v>0</v>
      </c>
      <c r="AP192" s="25">
        <f>Lookups!$B$56*0</f>
        <v>0</v>
      </c>
      <c r="AQ192" s="25">
        <f>Lookups!$B$56*1</f>
        <v>89850.625589999996</v>
      </c>
      <c r="AR192" s="25">
        <f>Lookups!$B$57*Inventory[[#This Row],[LnAcres]]</f>
        <v>-123833.58500677992</v>
      </c>
      <c r="AS192" s="25">
        <f>VLOOKUP(Inventory[[#This Row],[Qlty]],Lookups!$A$62:$E$75,2,FALSE)</f>
        <v>44121.038090000002</v>
      </c>
      <c r="AT192" s="25">
        <f>VLOOKUP(Inventory[[#This Row],[Cnd]],Lookups!$A$76:$E$84,2,FALSE)</f>
        <v>160472.20319</v>
      </c>
      <c r="AU192" s="25">
        <f>Inventory[[#This Row],[EffAge]]*Lookups!$B$85</f>
        <v>-9814.0064220000004</v>
      </c>
      <c r="AV192" s="25">
        <f>Inventory[[#This Row],[MainFn]]*Lookups!$B$86</f>
        <v>44517.211559176998</v>
      </c>
      <c r="AW192" s="25">
        <f>Inventory[[#This Row],[UpprFn]]*Lookups!$B$87</f>
        <v>40128.634883455998</v>
      </c>
      <c r="AX192" s="25">
        <f>Inventory[[#This Row],[AddFn]]*Lookups!$B$88</f>
        <v>0</v>
      </c>
      <c r="AY192" s="25">
        <f>Inventory[[#This Row],[Bsmt]]*Lookups!$B$89</f>
        <v>15820.551014367999</v>
      </c>
      <c r="AZ192" s="25">
        <f>Inventory[[#This Row],[Fixtures]]*Lookups!$B$90</f>
        <v>41712.243157199999</v>
      </c>
      <c r="BA192" s="25">
        <f>Inventory[[#This Row],[WdDeck]]*Lookups!$B$91</f>
        <v>13318.206110400002</v>
      </c>
      <c r="BB192" s="25">
        <f>ROUND(Inventory[[#This Row],[25Det]],-2)</f>
        <v>0</v>
      </c>
      <c r="BC192" s="25">
        <f>ROUND(SUM(Inventory[[#This Row],[Mdl Qlty]:[Mdl WdDeck]])+Inventory[[#This Row],[Mdl Res Intercept]],-2)</f>
        <v>350300</v>
      </c>
      <c r="BD192" s="25">
        <f>ROUND(Inventory[[#This Row],[Mdl Land Intercept]]+Inventory[[#This Row],[Mdl LnAcres]],-2)</f>
        <v>-34000</v>
      </c>
      <c r="BE192" s="25">
        <f>Inventory[[#This Row],[Unadj Res Value]]+Inventory[[#This Row],[Unadj Det Value]]+Inventory[[#This Row],[Unadj Land Value]]</f>
        <v>316300</v>
      </c>
      <c r="BF192" s="36">
        <f>(Inventory[[#This Row],[Unadj Total Value]]-Inventory[[#This Row],[24Final]])/Inventory[[#This Row],[24Final]]</f>
        <v>0.1560672514619883</v>
      </c>
      <c r="BG192" s="25">
        <f>VLOOKUP(Inventory[[#This Row],[Nbhd]],Lookups!$Q$2:$T$4,4,FALSE)</f>
        <v>0.99970000000000003</v>
      </c>
      <c r="BH192" s="25">
        <f>VLOOKUP(Inventory[[#This Row],[Qlty]],Lookups!$O$7:$R$21,4,FALSE)</f>
        <v>0.98050000000000004</v>
      </c>
      <c r="BI192" s="25">
        <f>VLOOKUP(Inventory[[#This Row],[Cnd]],Lookups!$T$7:$W$16,4,FALSE)</f>
        <v>0.99729999999999996</v>
      </c>
      <c r="BJ192" s="25">
        <f>VLOOKUP(Inventory[[#This Row],[LivArea Range]],Lookups!$T$25:$W$37,4,FALSE)</f>
        <v>0.98919999999999997</v>
      </c>
      <c r="BK192" s="25">
        <f>VLOOKUP(Inventory[[#This Row],[Decade]],Lookups!$O$25:$R$42,4,FALSE)</f>
        <v>0.96919999999999995</v>
      </c>
      <c r="BL192" s="25">
        <f>Inventory[[#This Row],[Nbhd Adj]]*0.95</f>
        <v>0.94971499999999998</v>
      </c>
      <c r="BM192" s="25">
        <f>Inventory[[#This Row],[Nbhd Adj]]*Inventory[[#This Row],[Quality Adj]]*Inventory[[#This Row],[Condition Adj]]*Inventory[[#This Row],[Living Area Adj]]*Inventory[[#This Row],[Decade Adj]]*0.95</f>
        <v>0.8903571027452114</v>
      </c>
      <c r="BN192" s="25">
        <f>ROUND(SUM(Inventory[[#This Row],[Mdl Qlty]:[Mdl WdDeck]])+Inventory[[#This Row],[Mdl Res Intercept]]*Inventory[[#This Row],[Res Adj ]],-2)</f>
        <v>350300</v>
      </c>
      <c r="BO192" s="25">
        <f>ROUND(Inventory[[#This Row],[25Det]]*Inventory[[#This Row],[Det/Nbhd Adj]],-2)</f>
        <v>0</v>
      </c>
      <c r="BP192" s="25">
        <f>Inventory[[#This Row],[Adjusted Res]]+Inventory[[#This Row],[Adj Det ]]</f>
        <v>350300</v>
      </c>
      <c r="BQ192" s="25">
        <f>ROUND((Inventory[[#This Row],[Mdl Land Intercept]]+Inventory[[#This Row],[Mdl LnAcres]])*Inventory[[#This Row],[Det/Nbhd Adj]],-2)</f>
        <v>-32300</v>
      </c>
      <c r="BR192" s="25">
        <f>Inventory[[#This Row],[Adjusted Impr Total]]+Inventory[[#This Row],[Adjusted Land Total]]</f>
        <v>318000</v>
      </c>
      <c r="BS192" s="36">
        <f>IFERROR((Inventory[[#This Row],[Adjusted Impr Total]]-Inventory[[#This Row],[24Bldg]])/Inventory[[#This Row],[24Bldg]],0)</f>
        <v>0.50601891659501286</v>
      </c>
      <c r="BT192" s="36">
        <f>(Inventory[[#This Row],[Adjusted Land Total]]-Inventory[[#This Row],[24Lnd]])/Inventory[[#This Row],[24Lnd]]</f>
        <v>-1.7878048780487805</v>
      </c>
      <c r="BU192" s="36">
        <f>(Inventory[[#This Row],[Adjusted Total]]-Inventory[[#This Row],[24Final]])/Inventory[[#This Row],[24Final]]</f>
        <v>0.16228070175438597</v>
      </c>
    </row>
    <row r="193" spans="1:73" x14ac:dyDescent="0.3">
      <c r="A193" s="25">
        <v>2025</v>
      </c>
      <c r="B193" s="26" t="s">
        <v>664</v>
      </c>
      <c r="C193" s="26">
        <f>LN(Inventory[[#This Row],[Acres]])</f>
        <v>-3.5065578973199818</v>
      </c>
      <c r="D193" s="25">
        <v>0.03</v>
      </c>
      <c r="E193" s="25">
        <v>901</v>
      </c>
      <c r="F193" s="26" t="s">
        <v>537</v>
      </c>
      <c r="G193" s="26" t="s">
        <v>28</v>
      </c>
      <c r="H193" s="26" t="s">
        <v>349</v>
      </c>
      <c r="I193" s="26" t="s">
        <v>538</v>
      </c>
      <c r="J193" s="26" t="s">
        <v>551</v>
      </c>
      <c r="K193" s="26" t="s">
        <v>381</v>
      </c>
      <c r="L193" s="26" t="s">
        <v>148</v>
      </c>
      <c r="M193" s="26" t="s">
        <v>323</v>
      </c>
      <c r="N193" s="26">
        <v>50</v>
      </c>
      <c r="O193" s="26">
        <f>2024-Inventory[[#This Row],[YrBlt]]</f>
        <v>46</v>
      </c>
      <c r="P193" s="26">
        <f>2024-Inventory[[#This Row],[EffYr]]</f>
        <v>44</v>
      </c>
      <c r="Q193" s="25">
        <v>1978</v>
      </c>
      <c r="R193" s="25">
        <v>1980</v>
      </c>
      <c r="S193" s="25">
        <v>901</v>
      </c>
      <c r="T193" s="32">
        <v>896</v>
      </c>
      <c r="U193" s="25">
        <v>544</v>
      </c>
      <c r="V193" s="25">
        <f>Inventory[[#This Row],[Bsmt]]-Inventory[[#This Row],[FnBsmt]]</f>
        <v>60</v>
      </c>
      <c r="W193" s="25">
        <v>484</v>
      </c>
      <c r="X193" s="27"/>
      <c r="Y193" s="27">
        <f>Inventory[[#This Row],[MainFn]]+Inventory[[#This Row],[UpprFn]]+Inventory[[#This Row],[FnBsmt]]+Inventory[[#This Row],[AddFn]]</f>
        <v>2281</v>
      </c>
      <c r="Z193" s="27">
        <v>2500</v>
      </c>
      <c r="AA193" s="25">
        <v>10</v>
      </c>
      <c r="AB193" s="27"/>
      <c r="AC193" s="32">
        <v>528</v>
      </c>
      <c r="AD193" s="25">
        <v>400</v>
      </c>
      <c r="AE193" s="27"/>
      <c r="AF193" s="27"/>
      <c r="AG193" s="27"/>
      <c r="AH193" s="27"/>
      <c r="AI193" s="25">
        <v>456974</v>
      </c>
      <c r="AJ193" s="25">
        <v>356440</v>
      </c>
      <c r="AK193" s="25">
        <v>0</v>
      </c>
      <c r="AL193" s="25">
        <v>283700</v>
      </c>
      <c r="AM193" s="25">
        <v>42600</v>
      </c>
      <c r="AN193" s="25">
        <v>241100</v>
      </c>
      <c r="AO193" s="25">
        <v>0</v>
      </c>
      <c r="AP193" s="25">
        <f>Lookups!$B$56*0</f>
        <v>0</v>
      </c>
      <c r="AQ193" s="25">
        <f>Lookups!$B$56*1</f>
        <v>89850.625589999996</v>
      </c>
      <c r="AR193" s="25">
        <f>Lookups!$B$57*Inventory[[#This Row],[LnAcres]]</f>
        <v>-110998.74281323297</v>
      </c>
      <c r="AS193" s="25">
        <f>VLOOKUP(Inventory[[#This Row],[Qlty]],Lookups!$A$62:$E$75,2,FALSE)</f>
        <v>44121.038090000002</v>
      </c>
      <c r="AT193" s="25">
        <f>VLOOKUP(Inventory[[#This Row],[Cnd]],Lookups!$A$76:$E$84,2,FALSE)</f>
        <v>160472.20319</v>
      </c>
      <c r="AU193" s="25">
        <f>Inventory[[#This Row],[EffAge]]*Lookups!$B$85</f>
        <v>-9814.0064220000004</v>
      </c>
      <c r="AV193" s="25">
        <f>Inventory[[#This Row],[MainFn]]*Lookups!$B$86</f>
        <v>44517.211559176998</v>
      </c>
      <c r="AW193" s="25">
        <f>Inventory[[#This Row],[UpprFn]]*Lookups!$B$87</f>
        <v>40128.634883455998</v>
      </c>
      <c r="AX193" s="25">
        <f>Inventory[[#This Row],[AddFn]]*Lookups!$B$88</f>
        <v>0</v>
      </c>
      <c r="AY193" s="25">
        <f>Inventory[[#This Row],[Bsmt]]*Lookups!$B$89</f>
        <v>15820.551014367999</v>
      </c>
      <c r="AZ193" s="25">
        <f>Inventory[[#This Row],[Fixtures]]*Lookups!$B$90</f>
        <v>37920.221052000001</v>
      </c>
      <c r="BA193" s="25">
        <f>Inventory[[#This Row],[WdDeck]]*Lookups!$B$91</f>
        <v>13318.206110400002</v>
      </c>
      <c r="BB193" s="25">
        <f>ROUND(Inventory[[#This Row],[25Det]],-2)</f>
        <v>0</v>
      </c>
      <c r="BC193" s="25">
        <f>ROUND(SUM(Inventory[[#This Row],[Mdl Qlty]:[Mdl WdDeck]])+Inventory[[#This Row],[Mdl Res Intercept]],-2)</f>
        <v>346500</v>
      </c>
      <c r="BD193" s="25">
        <f>ROUND(Inventory[[#This Row],[Mdl Land Intercept]]+Inventory[[#This Row],[Mdl LnAcres]],-2)</f>
        <v>-21100</v>
      </c>
      <c r="BE193" s="25">
        <f>Inventory[[#This Row],[Unadj Res Value]]+Inventory[[#This Row],[Unadj Det Value]]+Inventory[[#This Row],[Unadj Land Value]]</f>
        <v>325400</v>
      </c>
      <c r="BF193" s="36">
        <f>(Inventory[[#This Row],[Unadj Total Value]]-Inventory[[#This Row],[24Final]])/Inventory[[#This Row],[24Final]]</f>
        <v>0.14698625308424393</v>
      </c>
      <c r="BG193" s="25">
        <f>VLOOKUP(Inventory[[#This Row],[Nbhd]],Lookups!$Q$2:$T$4,4,FALSE)</f>
        <v>0.99970000000000003</v>
      </c>
      <c r="BH193" s="25">
        <f>VLOOKUP(Inventory[[#This Row],[Qlty]],Lookups!$O$7:$R$21,4,FALSE)</f>
        <v>0.98050000000000004</v>
      </c>
      <c r="BI193" s="25">
        <f>VLOOKUP(Inventory[[#This Row],[Cnd]],Lookups!$T$7:$W$16,4,FALSE)</f>
        <v>0.99729999999999996</v>
      </c>
      <c r="BJ193" s="25">
        <f>VLOOKUP(Inventory[[#This Row],[LivArea Range]],Lookups!$T$25:$W$37,4,FALSE)</f>
        <v>0.98919999999999997</v>
      </c>
      <c r="BK193" s="25">
        <f>VLOOKUP(Inventory[[#This Row],[Decade]],Lookups!$O$25:$R$42,4,FALSE)</f>
        <v>0.96919999999999995</v>
      </c>
      <c r="BL193" s="25">
        <f>Inventory[[#This Row],[Nbhd Adj]]*0.95</f>
        <v>0.94971499999999998</v>
      </c>
      <c r="BM193" s="25">
        <f>Inventory[[#This Row],[Nbhd Adj]]*Inventory[[#This Row],[Quality Adj]]*Inventory[[#This Row],[Condition Adj]]*Inventory[[#This Row],[Living Area Adj]]*Inventory[[#This Row],[Decade Adj]]*0.95</f>
        <v>0.8903571027452114</v>
      </c>
      <c r="BN193" s="25">
        <f>ROUND(SUM(Inventory[[#This Row],[Mdl Qlty]:[Mdl WdDeck]])+Inventory[[#This Row],[Mdl Res Intercept]]*Inventory[[#This Row],[Res Adj ]],-2)</f>
        <v>346500</v>
      </c>
      <c r="BO193" s="25">
        <f>ROUND(Inventory[[#This Row],[25Det]]*Inventory[[#This Row],[Det/Nbhd Adj]],-2)</f>
        <v>0</v>
      </c>
      <c r="BP193" s="25">
        <f>Inventory[[#This Row],[Adjusted Res]]+Inventory[[#This Row],[Adj Det ]]</f>
        <v>346500</v>
      </c>
      <c r="BQ193" s="25">
        <f>ROUND((Inventory[[#This Row],[Mdl Land Intercept]]+Inventory[[#This Row],[Mdl LnAcres]])*Inventory[[#This Row],[Det/Nbhd Adj]],-2)</f>
        <v>-20100</v>
      </c>
      <c r="BR193" s="25">
        <f>Inventory[[#This Row],[Adjusted Impr Total]]+Inventory[[#This Row],[Adjusted Land Total]]</f>
        <v>326400</v>
      </c>
      <c r="BS193" s="36">
        <f>IFERROR((Inventory[[#This Row],[Adjusted Impr Total]]-Inventory[[#This Row],[24Bldg]])/Inventory[[#This Row],[24Bldg]],0)</f>
        <v>0.43716300290335958</v>
      </c>
      <c r="BT193" s="36">
        <f>(Inventory[[#This Row],[Adjusted Land Total]]-Inventory[[#This Row],[24Lnd]])/Inventory[[#This Row],[24Lnd]]</f>
        <v>-1.471830985915493</v>
      </c>
      <c r="BU193" s="36">
        <f>(Inventory[[#This Row],[Adjusted Total]]-Inventory[[#This Row],[24Final]])/Inventory[[#This Row],[24Final]]</f>
        <v>0.15051110327811068</v>
      </c>
    </row>
    <row r="194" spans="1:73" x14ac:dyDescent="0.3">
      <c r="A194" s="25">
        <v>2025</v>
      </c>
      <c r="B194" s="26" t="s">
        <v>672</v>
      </c>
      <c r="C194" s="26">
        <f>LN(Inventory[[#This Row],[Acres]])</f>
        <v>-3.912023005428146</v>
      </c>
      <c r="D194" s="25">
        <v>0.02</v>
      </c>
      <c r="E194" s="25">
        <v>1600</v>
      </c>
      <c r="F194" s="26" t="s">
        <v>537</v>
      </c>
      <c r="G194" s="26" t="s">
        <v>28</v>
      </c>
      <c r="H194" s="26" t="s">
        <v>349</v>
      </c>
      <c r="I194" s="26" t="s">
        <v>538</v>
      </c>
      <c r="J194" s="26" t="s">
        <v>551</v>
      </c>
      <c r="K194" s="26" t="s">
        <v>381</v>
      </c>
      <c r="L194" s="26" t="s">
        <v>148</v>
      </c>
      <c r="M194" s="26" t="s">
        <v>323</v>
      </c>
      <c r="N194" s="26">
        <v>50</v>
      </c>
      <c r="O194" s="26">
        <f>2024-Inventory[[#This Row],[YrBlt]]</f>
        <v>46</v>
      </c>
      <c r="P194" s="26">
        <f>2024-Inventory[[#This Row],[EffYr]]</f>
        <v>44</v>
      </c>
      <c r="Q194" s="25">
        <v>1978</v>
      </c>
      <c r="R194" s="25">
        <v>1980</v>
      </c>
      <c r="S194" s="25">
        <v>1600</v>
      </c>
      <c r="T194" s="27"/>
      <c r="U194" s="25">
        <v>1188</v>
      </c>
      <c r="V194" s="25">
        <f>Inventory[[#This Row],[Bsmt]]-Inventory[[#This Row],[FnBsmt]]</f>
        <v>384</v>
      </c>
      <c r="W194" s="25">
        <v>804</v>
      </c>
      <c r="X194" s="27"/>
      <c r="Y194" s="27">
        <f>Inventory[[#This Row],[MainFn]]+Inventory[[#This Row],[UpprFn]]+Inventory[[#This Row],[FnBsmt]]+Inventory[[#This Row],[AddFn]]</f>
        <v>2404</v>
      </c>
      <c r="Z194" s="27">
        <v>2500</v>
      </c>
      <c r="AA194" s="25">
        <v>12</v>
      </c>
      <c r="AB194" s="31"/>
      <c r="AC194" s="32">
        <v>588</v>
      </c>
      <c r="AD194" s="32">
        <v>266</v>
      </c>
      <c r="AE194" s="27"/>
      <c r="AF194" s="27"/>
      <c r="AG194" s="27"/>
      <c r="AH194" s="27"/>
      <c r="AI194" s="25">
        <v>501734</v>
      </c>
      <c r="AJ194" s="25">
        <v>391353</v>
      </c>
      <c r="AK194" s="25">
        <v>0</v>
      </c>
      <c r="AL194" s="25">
        <v>289400</v>
      </c>
      <c r="AM194" s="25">
        <v>43400</v>
      </c>
      <c r="AN194" s="25">
        <v>246000</v>
      </c>
      <c r="AO194" s="25">
        <v>0</v>
      </c>
      <c r="AP194" s="25">
        <f>Lookups!$B$56*0</f>
        <v>0</v>
      </c>
      <c r="AQ194" s="25">
        <f>Lookups!$B$56*1</f>
        <v>89850.625589999996</v>
      </c>
      <c r="AR194" s="25">
        <f>Lookups!$B$57*Inventory[[#This Row],[LnAcres]]</f>
        <v>-123833.58500677992</v>
      </c>
      <c r="AS194" s="25">
        <f>VLOOKUP(Inventory[[#This Row],[Qlty]],Lookups!$A$62:$E$75,2,FALSE)</f>
        <v>44121.038090000002</v>
      </c>
      <c r="AT194" s="25">
        <f>VLOOKUP(Inventory[[#This Row],[Cnd]],Lookups!$A$76:$E$84,2,FALSE)</f>
        <v>160472.20319</v>
      </c>
      <c r="AU194" s="25">
        <f>Inventory[[#This Row],[EffAge]]*Lookups!$B$85</f>
        <v>-9814.0064220000004</v>
      </c>
      <c r="AV194" s="25">
        <f>Inventory[[#This Row],[MainFn]]*Lookups!$B$86</f>
        <v>79053.871803200003</v>
      </c>
      <c r="AW194" s="25">
        <f>Inventory[[#This Row],[UpprFn]]*Lookups!$B$87</f>
        <v>0</v>
      </c>
      <c r="AX194" s="25">
        <f>Inventory[[#This Row],[AddFn]]*Lookups!$B$88</f>
        <v>0</v>
      </c>
      <c r="AY194" s="25">
        <f>Inventory[[#This Row],[Bsmt]]*Lookups!$B$89</f>
        <v>34549.291553436</v>
      </c>
      <c r="AZ194" s="25">
        <f>Inventory[[#This Row],[Fixtures]]*Lookups!$B$90</f>
        <v>45504.265262400004</v>
      </c>
      <c r="BA194" s="25">
        <f>Inventory[[#This Row],[WdDeck]]*Lookups!$B$91</f>
        <v>8856.6070634160005</v>
      </c>
      <c r="BB194" s="25">
        <f>ROUND(Inventory[[#This Row],[25Det]],-2)</f>
        <v>0</v>
      </c>
      <c r="BC194" s="25">
        <f>ROUND(SUM(Inventory[[#This Row],[Mdl Qlty]:[Mdl WdDeck]])+Inventory[[#This Row],[Mdl Res Intercept]],-2)</f>
        <v>362700</v>
      </c>
      <c r="BD194" s="25">
        <f>ROUND(Inventory[[#This Row],[Mdl Land Intercept]]+Inventory[[#This Row],[Mdl LnAcres]],-2)</f>
        <v>-34000</v>
      </c>
      <c r="BE194" s="25">
        <f>Inventory[[#This Row],[Unadj Res Value]]+Inventory[[#This Row],[Unadj Det Value]]+Inventory[[#This Row],[Unadj Land Value]]</f>
        <v>328700</v>
      </c>
      <c r="BF194" s="36">
        <f>(Inventory[[#This Row],[Unadj Total Value]]-Inventory[[#This Row],[24Final]])/Inventory[[#This Row],[24Final]]</f>
        <v>0.13579820317899102</v>
      </c>
      <c r="BG194" s="25">
        <f>VLOOKUP(Inventory[[#This Row],[Nbhd]],Lookups!$Q$2:$T$4,4,FALSE)</f>
        <v>0.99970000000000003</v>
      </c>
      <c r="BH194" s="25">
        <f>VLOOKUP(Inventory[[#This Row],[Qlty]],Lookups!$O$7:$R$21,4,FALSE)</f>
        <v>0.98050000000000004</v>
      </c>
      <c r="BI194" s="25">
        <f>VLOOKUP(Inventory[[#This Row],[Cnd]],Lookups!$T$7:$W$16,4,FALSE)</f>
        <v>0.99729999999999996</v>
      </c>
      <c r="BJ194" s="25">
        <f>VLOOKUP(Inventory[[#This Row],[LivArea Range]],Lookups!$T$25:$W$37,4,FALSE)</f>
        <v>0.98919999999999997</v>
      </c>
      <c r="BK194" s="25">
        <f>VLOOKUP(Inventory[[#This Row],[Decade]],Lookups!$O$25:$R$42,4,FALSE)</f>
        <v>0.96919999999999995</v>
      </c>
      <c r="BL194" s="25">
        <f>Inventory[[#This Row],[Nbhd Adj]]*0.95</f>
        <v>0.94971499999999998</v>
      </c>
      <c r="BM194" s="25">
        <f>Inventory[[#This Row],[Nbhd Adj]]*Inventory[[#This Row],[Quality Adj]]*Inventory[[#This Row],[Condition Adj]]*Inventory[[#This Row],[Living Area Adj]]*Inventory[[#This Row],[Decade Adj]]*0.95</f>
        <v>0.8903571027452114</v>
      </c>
      <c r="BN194" s="25">
        <f>ROUND(SUM(Inventory[[#This Row],[Mdl Qlty]:[Mdl WdDeck]])+Inventory[[#This Row],[Mdl Res Intercept]]*Inventory[[#This Row],[Res Adj ]],-2)</f>
        <v>362700</v>
      </c>
      <c r="BO194" s="25">
        <f>ROUND(Inventory[[#This Row],[25Det]]*Inventory[[#This Row],[Det/Nbhd Adj]],-2)</f>
        <v>0</v>
      </c>
      <c r="BP194" s="25">
        <f>Inventory[[#This Row],[Adjusted Res]]+Inventory[[#This Row],[Adj Det ]]</f>
        <v>362700</v>
      </c>
      <c r="BQ194" s="25">
        <f>ROUND((Inventory[[#This Row],[Mdl Land Intercept]]+Inventory[[#This Row],[Mdl LnAcres]])*Inventory[[#This Row],[Det/Nbhd Adj]],-2)</f>
        <v>-32300</v>
      </c>
      <c r="BR194" s="25">
        <f>Inventory[[#This Row],[Adjusted Impr Total]]+Inventory[[#This Row],[Adjusted Land Total]]</f>
        <v>330400</v>
      </c>
      <c r="BS194" s="36">
        <f>IFERROR((Inventory[[#This Row],[Adjusted Impr Total]]-Inventory[[#This Row],[24Bldg]])/Inventory[[#This Row],[24Bldg]],0)</f>
        <v>0.474390243902439</v>
      </c>
      <c r="BT194" s="36">
        <f>(Inventory[[#This Row],[Adjusted Land Total]]-Inventory[[#This Row],[24Lnd]])/Inventory[[#This Row],[24Lnd]]</f>
        <v>-1.7442396313364055</v>
      </c>
      <c r="BU194" s="36">
        <f>(Inventory[[#This Row],[Adjusted Total]]-Inventory[[#This Row],[24Final]])/Inventory[[#This Row],[24Final]]</f>
        <v>0.14167242570836214</v>
      </c>
    </row>
    <row r="195" spans="1:73" x14ac:dyDescent="0.3">
      <c r="A195" s="25">
        <v>2025</v>
      </c>
      <c r="B195" s="26" t="s">
        <v>669</v>
      </c>
      <c r="C195" s="26">
        <f>LN(Inventory[[#This Row],[Acres]])</f>
        <v>-3.5065578973199818</v>
      </c>
      <c r="D195" s="25">
        <v>0.03</v>
      </c>
      <c r="E195" s="25">
        <v>1600</v>
      </c>
      <c r="F195" s="26" t="s">
        <v>537</v>
      </c>
      <c r="G195" s="26" t="s">
        <v>28</v>
      </c>
      <c r="H195" s="26" t="s">
        <v>349</v>
      </c>
      <c r="I195" s="26" t="s">
        <v>538</v>
      </c>
      <c r="J195" s="26" t="s">
        <v>551</v>
      </c>
      <c r="K195" s="26" t="s">
        <v>381</v>
      </c>
      <c r="L195" s="26" t="s">
        <v>148</v>
      </c>
      <c r="M195" s="26" t="s">
        <v>323</v>
      </c>
      <c r="N195" s="26">
        <v>50</v>
      </c>
      <c r="O195" s="26">
        <f>2024-Inventory[[#This Row],[YrBlt]]</f>
        <v>46</v>
      </c>
      <c r="P195" s="26">
        <f>2024-Inventory[[#This Row],[EffYr]]</f>
        <v>44</v>
      </c>
      <c r="Q195" s="25">
        <v>1978</v>
      </c>
      <c r="R195" s="25">
        <v>1980</v>
      </c>
      <c r="S195" s="25">
        <v>1600</v>
      </c>
      <c r="T195" s="27"/>
      <c r="U195" s="25">
        <v>1204</v>
      </c>
      <c r="V195" s="25">
        <f>Inventory[[#This Row],[Bsmt]]-Inventory[[#This Row],[FnBsmt]]</f>
        <v>24</v>
      </c>
      <c r="W195" s="25">
        <v>1180</v>
      </c>
      <c r="X195" s="27"/>
      <c r="Y195" s="27">
        <f>Inventory[[#This Row],[MainFn]]+Inventory[[#This Row],[UpprFn]]+Inventory[[#This Row],[FnBsmt]]+Inventory[[#This Row],[AddFn]]</f>
        <v>2780</v>
      </c>
      <c r="Z195" s="27">
        <v>3000</v>
      </c>
      <c r="AA195" s="25">
        <v>12</v>
      </c>
      <c r="AB195" s="27"/>
      <c r="AC195" s="32">
        <v>572</v>
      </c>
      <c r="AD195" s="32">
        <v>376</v>
      </c>
      <c r="AE195" s="27"/>
      <c r="AF195" s="27"/>
      <c r="AG195" s="27"/>
      <c r="AH195" s="27"/>
      <c r="AI195" s="25">
        <v>531839</v>
      </c>
      <c r="AJ195" s="25">
        <v>414834</v>
      </c>
      <c r="AK195" s="25">
        <v>0</v>
      </c>
      <c r="AL195" s="25">
        <v>306600</v>
      </c>
      <c r="AM195" s="25">
        <v>46000</v>
      </c>
      <c r="AN195" s="25">
        <v>260600</v>
      </c>
      <c r="AO195" s="25">
        <v>0</v>
      </c>
      <c r="AP195" s="25">
        <f>Lookups!$B$56*0</f>
        <v>0</v>
      </c>
      <c r="AQ195" s="25">
        <f>Lookups!$B$56*1</f>
        <v>89850.625589999996</v>
      </c>
      <c r="AR195" s="25">
        <f>Lookups!$B$57*Inventory[[#This Row],[LnAcres]]</f>
        <v>-110998.74281323297</v>
      </c>
      <c r="AS195" s="25">
        <f>VLOOKUP(Inventory[[#This Row],[Qlty]],Lookups!$A$62:$E$75,2,FALSE)</f>
        <v>44121.038090000002</v>
      </c>
      <c r="AT195" s="25">
        <f>VLOOKUP(Inventory[[#This Row],[Cnd]],Lookups!$A$76:$E$84,2,FALSE)</f>
        <v>160472.20319</v>
      </c>
      <c r="AU195" s="25">
        <f>Inventory[[#This Row],[EffAge]]*Lookups!$B$85</f>
        <v>-9814.0064220000004</v>
      </c>
      <c r="AV195" s="25">
        <f>Inventory[[#This Row],[MainFn]]*Lookups!$B$86</f>
        <v>79053.871803200003</v>
      </c>
      <c r="AW195" s="25">
        <f>Inventory[[#This Row],[UpprFn]]*Lookups!$B$87</f>
        <v>0</v>
      </c>
      <c r="AX195" s="25">
        <f>Inventory[[#This Row],[AddFn]]*Lookups!$B$88</f>
        <v>0</v>
      </c>
      <c r="AY195" s="25">
        <f>Inventory[[#This Row],[Bsmt]]*Lookups!$B$89</f>
        <v>35014.601877387999</v>
      </c>
      <c r="AZ195" s="25">
        <f>Inventory[[#This Row],[Fixtures]]*Lookups!$B$90</f>
        <v>45504.265262400004</v>
      </c>
      <c r="BA195" s="25">
        <f>Inventory[[#This Row],[WdDeck]]*Lookups!$B$91</f>
        <v>12519.113743776001</v>
      </c>
      <c r="BB195" s="25">
        <f>ROUND(Inventory[[#This Row],[25Det]],-2)</f>
        <v>0</v>
      </c>
      <c r="BC195" s="25">
        <f>ROUND(SUM(Inventory[[#This Row],[Mdl Qlty]:[Mdl WdDeck]])+Inventory[[#This Row],[Mdl Res Intercept]],-2)</f>
        <v>366900</v>
      </c>
      <c r="BD195" s="25">
        <f>ROUND(Inventory[[#This Row],[Mdl Land Intercept]]+Inventory[[#This Row],[Mdl LnAcres]],-2)</f>
        <v>-21100</v>
      </c>
      <c r="BE195" s="25">
        <f>Inventory[[#This Row],[Unadj Res Value]]+Inventory[[#This Row],[Unadj Det Value]]+Inventory[[#This Row],[Unadj Land Value]]</f>
        <v>345800</v>
      </c>
      <c r="BF195" s="36">
        <f>(Inventory[[#This Row],[Unadj Total Value]]-Inventory[[#This Row],[24Final]])/Inventory[[#This Row],[24Final]]</f>
        <v>0.12785388127853881</v>
      </c>
      <c r="BG195" s="25">
        <f>VLOOKUP(Inventory[[#This Row],[Nbhd]],Lookups!$Q$2:$T$4,4,FALSE)</f>
        <v>0.99970000000000003</v>
      </c>
      <c r="BH195" s="25">
        <f>VLOOKUP(Inventory[[#This Row],[Qlty]],Lookups!$O$7:$R$21,4,FALSE)</f>
        <v>0.98050000000000004</v>
      </c>
      <c r="BI195" s="25">
        <f>VLOOKUP(Inventory[[#This Row],[Cnd]],Lookups!$T$7:$W$16,4,FALSE)</f>
        <v>0.99729999999999996</v>
      </c>
      <c r="BJ195" s="25">
        <f>VLOOKUP(Inventory[[#This Row],[LivArea Range]],Lookups!$T$25:$W$37,4,FALSE)</f>
        <v>0.96179999999999999</v>
      </c>
      <c r="BK195" s="25">
        <f>VLOOKUP(Inventory[[#This Row],[Decade]],Lookups!$O$25:$R$42,4,FALSE)</f>
        <v>0.96919999999999995</v>
      </c>
      <c r="BL195" s="25">
        <f>Inventory[[#This Row],[Nbhd Adj]]*0.95</f>
        <v>0.94971499999999998</v>
      </c>
      <c r="BM195" s="25">
        <f>Inventory[[#This Row],[Nbhd Adj]]*Inventory[[#This Row],[Quality Adj]]*Inventory[[#This Row],[Condition Adj]]*Inventory[[#This Row],[Living Area Adj]]*Inventory[[#This Row],[Decade Adj]]*0.95</f>
        <v>0.86569496706464244</v>
      </c>
      <c r="BN195" s="25">
        <f>ROUND(SUM(Inventory[[#This Row],[Mdl Qlty]:[Mdl WdDeck]])+Inventory[[#This Row],[Mdl Res Intercept]]*Inventory[[#This Row],[Res Adj ]],-2)</f>
        <v>366900</v>
      </c>
      <c r="BO195" s="25">
        <f>ROUND(Inventory[[#This Row],[25Det]]*Inventory[[#This Row],[Det/Nbhd Adj]],-2)</f>
        <v>0</v>
      </c>
      <c r="BP195" s="25">
        <f>Inventory[[#This Row],[Adjusted Res]]+Inventory[[#This Row],[Adj Det ]]</f>
        <v>366900</v>
      </c>
      <c r="BQ195" s="25">
        <f>ROUND((Inventory[[#This Row],[Mdl Land Intercept]]+Inventory[[#This Row],[Mdl LnAcres]])*Inventory[[#This Row],[Det/Nbhd Adj]],-2)</f>
        <v>-20100</v>
      </c>
      <c r="BR195" s="25">
        <f>Inventory[[#This Row],[Adjusted Impr Total]]+Inventory[[#This Row],[Adjusted Land Total]]</f>
        <v>346800</v>
      </c>
      <c r="BS195" s="36">
        <f>IFERROR((Inventory[[#This Row],[Adjusted Impr Total]]-Inventory[[#This Row],[24Bldg]])/Inventory[[#This Row],[24Bldg]],0)</f>
        <v>0.4079048349961627</v>
      </c>
      <c r="BT195" s="36">
        <f>(Inventory[[#This Row],[Adjusted Land Total]]-Inventory[[#This Row],[24Lnd]])/Inventory[[#This Row],[24Lnd]]</f>
        <v>-1.4369565217391305</v>
      </c>
      <c r="BU195" s="36">
        <f>(Inventory[[#This Row],[Adjusted Total]]-Inventory[[#This Row],[24Final]])/Inventory[[#This Row],[24Final]]</f>
        <v>0.13111545988258316</v>
      </c>
    </row>
    <row r="196" spans="1:73" x14ac:dyDescent="0.3">
      <c r="A196" s="25">
        <v>2025</v>
      </c>
      <c r="B196" s="26" t="s">
        <v>667</v>
      </c>
      <c r="C196" s="26">
        <f>LN(Inventory[[#This Row],[Acres]])</f>
        <v>-3.912023005428146</v>
      </c>
      <c r="D196" s="25">
        <v>0.02</v>
      </c>
      <c r="E196" s="25">
        <v>1600</v>
      </c>
      <c r="F196" s="26" t="s">
        <v>537</v>
      </c>
      <c r="G196" s="26" t="s">
        <v>28</v>
      </c>
      <c r="H196" s="26" t="s">
        <v>349</v>
      </c>
      <c r="I196" s="26" t="s">
        <v>538</v>
      </c>
      <c r="J196" s="26" t="s">
        <v>551</v>
      </c>
      <c r="K196" s="26" t="s">
        <v>381</v>
      </c>
      <c r="L196" s="26" t="s">
        <v>148</v>
      </c>
      <c r="M196" s="26" t="s">
        <v>323</v>
      </c>
      <c r="N196" s="26">
        <v>50</v>
      </c>
      <c r="O196" s="26">
        <f>2024-Inventory[[#This Row],[YrBlt]]</f>
        <v>46</v>
      </c>
      <c r="P196" s="26">
        <f>2024-Inventory[[#This Row],[EffYr]]</f>
        <v>44</v>
      </c>
      <c r="Q196" s="25">
        <v>1978</v>
      </c>
      <c r="R196" s="25">
        <v>1980</v>
      </c>
      <c r="S196" s="25">
        <v>1600</v>
      </c>
      <c r="T196" s="27"/>
      <c r="U196" s="25">
        <v>1204</v>
      </c>
      <c r="V196" s="25">
        <f>Inventory[[#This Row],[Bsmt]]-Inventory[[#This Row],[FnBsmt]]</f>
        <v>24</v>
      </c>
      <c r="W196" s="25">
        <v>1180</v>
      </c>
      <c r="X196" s="27"/>
      <c r="Y196" s="27">
        <f>Inventory[[#This Row],[MainFn]]+Inventory[[#This Row],[UpprFn]]+Inventory[[#This Row],[FnBsmt]]+Inventory[[#This Row],[AddFn]]</f>
        <v>2780</v>
      </c>
      <c r="Z196" s="27">
        <v>3000</v>
      </c>
      <c r="AA196" s="25">
        <v>13</v>
      </c>
      <c r="AB196" s="31"/>
      <c r="AC196" s="32">
        <v>572</v>
      </c>
      <c r="AD196" s="32">
        <v>376</v>
      </c>
      <c r="AE196" s="27"/>
      <c r="AF196" s="27"/>
      <c r="AG196" s="27"/>
      <c r="AH196" s="27"/>
      <c r="AI196" s="25">
        <v>531190</v>
      </c>
      <c r="AJ196" s="25">
        <v>414328</v>
      </c>
      <c r="AK196" s="25">
        <v>0</v>
      </c>
      <c r="AL196" s="25">
        <v>306300</v>
      </c>
      <c r="AM196" s="25">
        <v>45900</v>
      </c>
      <c r="AN196" s="25">
        <v>260400</v>
      </c>
      <c r="AO196" s="25">
        <v>0</v>
      </c>
      <c r="AP196" s="25">
        <f>Lookups!$B$56*0</f>
        <v>0</v>
      </c>
      <c r="AQ196" s="25">
        <f>Lookups!$B$56*1</f>
        <v>89850.625589999996</v>
      </c>
      <c r="AR196" s="25">
        <f>Lookups!$B$57*Inventory[[#This Row],[LnAcres]]</f>
        <v>-123833.58500677992</v>
      </c>
      <c r="AS196" s="25">
        <f>VLOOKUP(Inventory[[#This Row],[Qlty]],Lookups!$A$62:$E$75,2,FALSE)</f>
        <v>44121.038090000002</v>
      </c>
      <c r="AT196" s="25">
        <f>VLOOKUP(Inventory[[#This Row],[Cnd]],Lookups!$A$76:$E$84,2,FALSE)</f>
        <v>160472.20319</v>
      </c>
      <c r="AU196" s="25">
        <f>Inventory[[#This Row],[EffAge]]*Lookups!$B$85</f>
        <v>-9814.0064220000004</v>
      </c>
      <c r="AV196" s="25">
        <f>Inventory[[#This Row],[MainFn]]*Lookups!$B$86</f>
        <v>79053.871803200003</v>
      </c>
      <c r="AW196" s="25">
        <f>Inventory[[#This Row],[UpprFn]]*Lookups!$B$87</f>
        <v>0</v>
      </c>
      <c r="AX196" s="25">
        <f>Inventory[[#This Row],[AddFn]]*Lookups!$B$88</f>
        <v>0</v>
      </c>
      <c r="AY196" s="25">
        <f>Inventory[[#This Row],[Bsmt]]*Lookups!$B$89</f>
        <v>35014.601877387999</v>
      </c>
      <c r="AZ196" s="25">
        <f>Inventory[[#This Row],[Fixtures]]*Lookups!$B$90</f>
        <v>49296.287367600002</v>
      </c>
      <c r="BA196" s="25">
        <f>Inventory[[#This Row],[WdDeck]]*Lookups!$B$91</f>
        <v>12519.113743776001</v>
      </c>
      <c r="BB196" s="25">
        <f>ROUND(Inventory[[#This Row],[25Det]],-2)</f>
        <v>0</v>
      </c>
      <c r="BC196" s="25">
        <f>ROUND(SUM(Inventory[[#This Row],[Mdl Qlty]:[Mdl WdDeck]])+Inventory[[#This Row],[Mdl Res Intercept]],-2)</f>
        <v>370700</v>
      </c>
      <c r="BD196" s="25">
        <f>ROUND(Inventory[[#This Row],[Mdl Land Intercept]]+Inventory[[#This Row],[Mdl LnAcres]],-2)</f>
        <v>-34000</v>
      </c>
      <c r="BE196" s="25">
        <f>Inventory[[#This Row],[Unadj Res Value]]+Inventory[[#This Row],[Unadj Det Value]]+Inventory[[#This Row],[Unadj Land Value]]</f>
        <v>336700</v>
      </c>
      <c r="BF196" s="36">
        <f>(Inventory[[#This Row],[Unadj Total Value]]-Inventory[[#This Row],[24Final]])/Inventory[[#This Row],[24Final]]</f>
        <v>9.9249102187397978E-2</v>
      </c>
      <c r="BG196" s="25">
        <f>VLOOKUP(Inventory[[#This Row],[Nbhd]],Lookups!$Q$2:$T$4,4,FALSE)</f>
        <v>0.99970000000000003</v>
      </c>
      <c r="BH196" s="25">
        <f>VLOOKUP(Inventory[[#This Row],[Qlty]],Lookups!$O$7:$R$21,4,FALSE)</f>
        <v>0.98050000000000004</v>
      </c>
      <c r="BI196" s="25">
        <f>VLOOKUP(Inventory[[#This Row],[Cnd]],Lookups!$T$7:$W$16,4,FALSE)</f>
        <v>0.99729999999999996</v>
      </c>
      <c r="BJ196" s="25">
        <f>VLOOKUP(Inventory[[#This Row],[LivArea Range]],Lookups!$T$25:$W$37,4,FALSE)</f>
        <v>0.96179999999999999</v>
      </c>
      <c r="BK196" s="25">
        <f>VLOOKUP(Inventory[[#This Row],[Decade]],Lookups!$O$25:$R$42,4,FALSE)</f>
        <v>0.96919999999999995</v>
      </c>
      <c r="BL196" s="25">
        <f>Inventory[[#This Row],[Nbhd Adj]]*0.95</f>
        <v>0.94971499999999998</v>
      </c>
      <c r="BM196" s="25">
        <f>Inventory[[#This Row],[Nbhd Adj]]*Inventory[[#This Row],[Quality Adj]]*Inventory[[#This Row],[Condition Adj]]*Inventory[[#This Row],[Living Area Adj]]*Inventory[[#This Row],[Decade Adj]]*0.95</f>
        <v>0.86569496706464244</v>
      </c>
      <c r="BN196" s="25">
        <f>ROUND(SUM(Inventory[[#This Row],[Mdl Qlty]:[Mdl WdDeck]])+Inventory[[#This Row],[Mdl Res Intercept]]*Inventory[[#This Row],[Res Adj ]],-2)</f>
        <v>370700</v>
      </c>
      <c r="BO196" s="25">
        <f>ROUND(Inventory[[#This Row],[25Det]]*Inventory[[#This Row],[Det/Nbhd Adj]],-2)</f>
        <v>0</v>
      </c>
      <c r="BP196" s="25">
        <f>Inventory[[#This Row],[Adjusted Res]]+Inventory[[#This Row],[Adj Det ]]</f>
        <v>370700</v>
      </c>
      <c r="BQ196" s="25">
        <f>ROUND((Inventory[[#This Row],[Mdl Land Intercept]]+Inventory[[#This Row],[Mdl LnAcres]])*Inventory[[#This Row],[Det/Nbhd Adj]],-2)</f>
        <v>-32300</v>
      </c>
      <c r="BR196" s="25">
        <f>Inventory[[#This Row],[Adjusted Impr Total]]+Inventory[[#This Row],[Adjusted Land Total]]</f>
        <v>338400</v>
      </c>
      <c r="BS196" s="36">
        <f>IFERROR((Inventory[[#This Row],[Adjusted Impr Total]]-Inventory[[#This Row],[24Bldg]])/Inventory[[#This Row],[24Bldg]],0)</f>
        <v>0.42357910906298002</v>
      </c>
      <c r="BT196" s="36">
        <f>(Inventory[[#This Row],[Adjusted Land Total]]-Inventory[[#This Row],[24Lnd]])/Inventory[[#This Row],[24Lnd]]</f>
        <v>-1.7037037037037037</v>
      </c>
      <c r="BU196" s="36">
        <f>(Inventory[[#This Row],[Adjusted Total]]-Inventory[[#This Row],[24Final]])/Inventory[[#This Row],[24Final]]</f>
        <v>0.10479921645445642</v>
      </c>
    </row>
    <row r="197" spans="1:73" x14ac:dyDescent="0.3">
      <c r="A197" s="25">
        <v>2025</v>
      </c>
      <c r="B197" s="26" t="s">
        <v>670</v>
      </c>
      <c r="C197" s="26">
        <f>LN(Inventory[[#This Row],[Acres]])</f>
        <v>-3.912023005428146</v>
      </c>
      <c r="D197" s="25">
        <v>0.02</v>
      </c>
      <c r="E197" s="25">
        <v>1600</v>
      </c>
      <c r="F197" s="26" t="s">
        <v>537</v>
      </c>
      <c r="G197" s="26" t="s">
        <v>28</v>
      </c>
      <c r="H197" s="26" t="s">
        <v>349</v>
      </c>
      <c r="I197" s="26" t="s">
        <v>538</v>
      </c>
      <c r="J197" s="26" t="s">
        <v>551</v>
      </c>
      <c r="K197" s="26" t="s">
        <v>381</v>
      </c>
      <c r="L197" s="26" t="s">
        <v>148</v>
      </c>
      <c r="M197" s="26" t="s">
        <v>323</v>
      </c>
      <c r="N197" s="26">
        <v>50</v>
      </c>
      <c r="O197" s="26">
        <f>2024-Inventory[[#This Row],[YrBlt]]</f>
        <v>46</v>
      </c>
      <c r="P197" s="26">
        <f>2024-Inventory[[#This Row],[EffYr]]</f>
        <v>44</v>
      </c>
      <c r="Q197" s="25">
        <v>1978</v>
      </c>
      <c r="R197" s="25">
        <v>1980</v>
      </c>
      <c r="S197" s="25">
        <v>1600</v>
      </c>
      <c r="T197" s="27"/>
      <c r="U197" s="32">
        <v>1188</v>
      </c>
      <c r="V197" s="32">
        <f>Inventory[[#This Row],[Bsmt]]-Inventory[[#This Row],[FnBsmt]]</f>
        <v>8</v>
      </c>
      <c r="W197" s="32">
        <v>1180</v>
      </c>
      <c r="X197" s="27"/>
      <c r="Y197" s="27">
        <f>Inventory[[#This Row],[MainFn]]+Inventory[[#This Row],[UpprFn]]+Inventory[[#This Row],[FnBsmt]]+Inventory[[#This Row],[AddFn]]</f>
        <v>2780</v>
      </c>
      <c r="Z197" s="27">
        <v>3000</v>
      </c>
      <c r="AA197" s="25">
        <v>12</v>
      </c>
      <c r="AB197" s="31"/>
      <c r="AC197" s="32">
        <v>588</v>
      </c>
      <c r="AD197" s="32">
        <v>266</v>
      </c>
      <c r="AE197" s="27"/>
      <c r="AF197" s="27"/>
      <c r="AG197" s="27"/>
      <c r="AH197" s="27"/>
      <c r="AI197" s="25">
        <v>525527</v>
      </c>
      <c r="AJ197" s="25">
        <v>409911</v>
      </c>
      <c r="AK197" s="25">
        <v>0</v>
      </c>
      <c r="AL197" s="25">
        <v>303000</v>
      </c>
      <c r="AM197" s="25">
        <v>45500</v>
      </c>
      <c r="AN197" s="25">
        <v>257500</v>
      </c>
      <c r="AO197" s="25">
        <v>0</v>
      </c>
      <c r="AP197" s="25">
        <f>Lookups!$B$56*0</f>
        <v>0</v>
      </c>
      <c r="AQ197" s="25">
        <f>Lookups!$B$56*1</f>
        <v>89850.625589999996</v>
      </c>
      <c r="AR197" s="25">
        <f>Lookups!$B$57*Inventory[[#This Row],[LnAcres]]</f>
        <v>-123833.58500677992</v>
      </c>
      <c r="AS197" s="25">
        <f>VLOOKUP(Inventory[[#This Row],[Qlty]],Lookups!$A$62:$E$75,2,FALSE)</f>
        <v>44121.038090000002</v>
      </c>
      <c r="AT197" s="25">
        <f>VLOOKUP(Inventory[[#This Row],[Cnd]],Lookups!$A$76:$E$84,2,FALSE)</f>
        <v>160472.20319</v>
      </c>
      <c r="AU197" s="25">
        <f>Inventory[[#This Row],[EffAge]]*Lookups!$B$85</f>
        <v>-9814.0064220000004</v>
      </c>
      <c r="AV197" s="25">
        <f>Inventory[[#This Row],[MainFn]]*Lookups!$B$86</f>
        <v>79053.871803200003</v>
      </c>
      <c r="AW197" s="25">
        <f>Inventory[[#This Row],[UpprFn]]*Lookups!$B$87</f>
        <v>0</v>
      </c>
      <c r="AX197" s="25">
        <f>Inventory[[#This Row],[AddFn]]*Lookups!$B$88</f>
        <v>0</v>
      </c>
      <c r="AY197" s="25">
        <f>Inventory[[#This Row],[Bsmt]]*Lookups!$B$89</f>
        <v>34549.291553436</v>
      </c>
      <c r="AZ197" s="25">
        <f>Inventory[[#This Row],[Fixtures]]*Lookups!$B$90</f>
        <v>45504.265262400004</v>
      </c>
      <c r="BA197" s="25">
        <f>Inventory[[#This Row],[WdDeck]]*Lookups!$B$91</f>
        <v>8856.6070634160005</v>
      </c>
      <c r="BB197" s="25">
        <f>ROUND(Inventory[[#This Row],[25Det]],-2)</f>
        <v>0</v>
      </c>
      <c r="BC197" s="25">
        <f>ROUND(SUM(Inventory[[#This Row],[Mdl Qlty]:[Mdl WdDeck]])+Inventory[[#This Row],[Mdl Res Intercept]],-2)</f>
        <v>362700</v>
      </c>
      <c r="BD197" s="25">
        <f>ROUND(Inventory[[#This Row],[Mdl Land Intercept]]+Inventory[[#This Row],[Mdl LnAcres]],-2)</f>
        <v>-34000</v>
      </c>
      <c r="BE197" s="25">
        <f>Inventory[[#This Row],[Unadj Res Value]]+Inventory[[#This Row],[Unadj Det Value]]+Inventory[[#This Row],[Unadj Land Value]]</f>
        <v>328700</v>
      </c>
      <c r="BF197" s="36">
        <f>(Inventory[[#This Row],[Unadj Total Value]]-Inventory[[#This Row],[24Final]])/Inventory[[#This Row],[24Final]]</f>
        <v>8.4818481848184815E-2</v>
      </c>
      <c r="BG197" s="25">
        <f>VLOOKUP(Inventory[[#This Row],[Nbhd]],Lookups!$Q$2:$T$4,4,FALSE)</f>
        <v>0.99970000000000003</v>
      </c>
      <c r="BH197" s="25">
        <f>VLOOKUP(Inventory[[#This Row],[Qlty]],Lookups!$O$7:$R$21,4,FALSE)</f>
        <v>0.98050000000000004</v>
      </c>
      <c r="BI197" s="25">
        <f>VLOOKUP(Inventory[[#This Row],[Cnd]],Lookups!$T$7:$W$16,4,FALSE)</f>
        <v>0.99729999999999996</v>
      </c>
      <c r="BJ197" s="25">
        <f>VLOOKUP(Inventory[[#This Row],[LivArea Range]],Lookups!$T$25:$W$37,4,FALSE)</f>
        <v>0.96179999999999999</v>
      </c>
      <c r="BK197" s="25">
        <f>VLOOKUP(Inventory[[#This Row],[Decade]],Lookups!$O$25:$R$42,4,FALSE)</f>
        <v>0.96919999999999995</v>
      </c>
      <c r="BL197" s="25">
        <f>Inventory[[#This Row],[Nbhd Adj]]*0.95</f>
        <v>0.94971499999999998</v>
      </c>
      <c r="BM197" s="25">
        <f>Inventory[[#This Row],[Nbhd Adj]]*Inventory[[#This Row],[Quality Adj]]*Inventory[[#This Row],[Condition Adj]]*Inventory[[#This Row],[Living Area Adj]]*Inventory[[#This Row],[Decade Adj]]*0.95</f>
        <v>0.86569496706464244</v>
      </c>
      <c r="BN197" s="25">
        <f>ROUND(SUM(Inventory[[#This Row],[Mdl Qlty]:[Mdl WdDeck]])+Inventory[[#This Row],[Mdl Res Intercept]]*Inventory[[#This Row],[Res Adj ]],-2)</f>
        <v>362700</v>
      </c>
      <c r="BO197" s="25">
        <f>ROUND(Inventory[[#This Row],[25Det]]*Inventory[[#This Row],[Det/Nbhd Adj]],-2)</f>
        <v>0</v>
      </c>
      <c r="BP197" s="25">
        <f>Inventory[[#This Row],[Adjusted Res]]+Inventory[[#This Row],[Adj Det ]]</f>
        <v>362700</v>
      </c>
      <c r="BQ197" s="25">
        <f>ROUND((Inventory[[#This Row],[Mdl Land Intercept]]+Inventory[[#This Row],[Mdl LnAcres]])*Inventory[[#This Row],[Det/Nbhd Adj]],-2)</f>
        <v>-32300</v>
      </c>
      <c r="BR197" s="25">
        <f>Inventory[[#This Row],[Adjusted Impr Total]]+Inventory[[#This Row],[Adjusted Land Total]]</f>
        <v>330400</v>
      </c>
      <c r="BS197" s="36">
        <f>IFERROR((Inventory[[#This Row],[Adjusted Impr Total]]-Inventory[[#This Row],[24Bldg]])/Inventory[[#This Row],[24Bldg]],0)</f>
        <v>0.40854368932038837</v>
      </c>
      <c r="BT197" s="36">
        <f>(Inventory[[#This Row],[Adjusted Land Total]]-Inventory[[#This Row],[24Lnd]])/Inventory[[#This Row],[24Lnd]]</f>
        <v>-1.7098901098901098</v>
      </c>
      <c r="BU197" s="36">
        <f>(Inventory[[#This Row],[Adjusted Total]]-Inventory[[#This Row],[24Final]])/Inventory[[#This Row],[24Final]]</f>
        <v>9.0429042904290435E-2</v>
      </c>
    </row>
    <row r="198" spans="1:73" x14ac:dyDescent="0.3">
      <c r="A198" s="25">
        <v>2025</v>
      </c>
      <c r="B198" s="26" t="s">
        <v>1348</v>
      </c>
      <c r="C198" s="26">
        <f>LN(Inventory[[#This Row],[Acres]])</f>
        <v>-1.3470736479666092</v>
      </c>
      <c r="D198" s="25">
        <v>0.26</v>
      </c>
      <c r="E198" s="25">
        <v>11489</v>
      </c>
      <c r="F198" s="26" t="s">
        <v>537</v>
      </c>
      <c r="G198" s="26" t="s">
        <v>126</v>
      </c>
      <c r="H198" s="26" t="s">
        <v>349</v>
      </c>
      <c r="I198" s="26" t="s">
        <v>538</v>
      </c>
      <c r="J198" s="26" t="s">
        <v>539</v>
      </c>
      <c r="K198" s="26" t="s">
        <v>5</v>
      </c>
      <c r="L198" s="26" t="s">
        <v>302</v>
      </c>
      <c r="M198" s="26" t="s">
        <v>303</v>
      </c>
      <c r="N198" s="26">
        <v>50</v>
      </c>
      <c r="O198" s="26">
        <f>2024-Inventory[[#This Row],[YrBlt]]</f>
        <v>46</v>
      </c>
      <c r="P198" s="26">
        <f>2024-Inventory[[#This Row],[EffYr]]</f>
        <v>44</v>
      </c>
      <c r="Q198" s="25">
        <v>1978</v>
      </c>
      <c r="R198" s="25">
        <v>1980</v>
      </c>
      <c r="S198" s="25">
        <v>1291</v>
      </c>
      <c r="T198" s="27"/>
      <c r="U198" s="25">
        <v>575</v>
      </c>
      <c r="V198" s="25">
        <f>Inventory[[#This Row],[Bsmt]]-Inventory[[#This Row],[FnBsmt]]</f>
        <v>0</v>
      </c>
      <c r="W198" s="25">
        <v>575</v>
      </c>
      <c r="X198" s="27"/>
      <c r="Y198" s="27">
        <f>Inventory[[#This Row],[MainFn]]+Inventory[[#This Row],[UpprFn]]+Inventory[[#This Row],[FnBsmt]]+Inventory[[#This Row],[AddFn]]</f>
        <v>1866</v>
      </c>
      <c r="Z198" s="27">
        <v>2000</v>
      </c>
      <c r="AA198" s="25">
        <v>11</v>
      </c>
      <c r="AB198" s="27"/>
      <c r="AC198" s="32">
        <v>550</v>
      </c>
      <c r="AD198" s="32">
        <v>280</v>
      </c>
      <c r="AE198" s="27"/>
      <c r="AF198" s="27"/>
      <c r="AG198" s="27"/>
      <c r="AH198" s="27"/>
      <c r="AI198" s="25">
        <v>336276</v>
      </c>
      <c r="AJ198" s="25">
        <v>265658</v>
      </c>
      <c r="AK198" s="25">
        <v>0</v>
      </c>
      <c r="AL198" s="25">
        <v>367700</v>
      </c>
      <c r="AM198" s="25">
        <v>67600</v>
      </c>
      <c r="AN198" s="25">
        <v>300100</v>
      </c>
      <c r="AO198" s="25">
        <v>0</v>
      </c>
      <c r="AP198" s="25">
        <f>Lookups!$B$56*0</f>
        <v>0</v>
      </c>
      <c r="AQ198" s="25">
        <f>Lookups!$B$56*1</f>
        <v>89850.625589999996</v>
      </c>
      <c r="AR198" s="25">
        <f>Lookups!$B$57*Inventory[[#This Row],[LnAcres]]</f>
        <v>-42641.098701210125</v>
      </c>
      <c r="AS198" s="25">
        <f>VLOOKUP(Inventory[[#This Row],[Qlty]],Lookups!$A$62:$E$75,2,FALSE)</f>
        <v>29814.093161000001</v>
      </c>
      <c r="AT198" s="25">
        <f>VLOOKUP(Inventory[[#This Row],[Cnd]],Lookups!$A$76:$E$84,2,FALSE)</f>
        <v>197752.34721000001</v>
      </c>
      <c r="AU198" s="25">
        <f>Inventory[[#This Row],[EffAge]]*Lookups!$B$85</f>
        <v>-9814.0064220000004</v>
      </c>
      <c r="AV198" s="25">
        <f>Inventory[[#This Row],[MainFn]]*Lookups!$B$86</f>
        <v>63786.592811207003</v>
      </c>
      <c r="AW198" s="25">
        <f>Inventory[[#This Row],[UpprFn]]*Lookups!$B$87</f>
        <v>0</v>
      </c>
      <c r="AX198" s="25">
        <f>Inventory[[#This Row],[AddFn]]*Lookups!$B$88</f>
        <v>0</v>
      </c>
      <c r="AY198" s="25">
        <f>Inventory[[#This Row],[Bsmt]]*Lookups!$B$89</f>
        <v>16722.089767024998</v>
      </c>
      <c r="AZ198" s="25">
        <f>Inventory[[#This Row],[Fixtures]]*Lookups!$B$90</f>
        <v>41712.243157199999</v>
      </c>
      <c r="BA198" s="25">
        <f>Inventory[[#This Row],[WdDeck]]*Lookups!$B$91</f>
        <v>9322.7442772800005</v>
      </c>
      <c r="BB198" s="25">
        <f>ROUND(Inventory[[#This Row],[25Det]],-2)</f>
        <v>0</v>
      </c>
      <c r="BC198" s="25">
        <f>ROUND(SUM(Inventory[[#This Row],[Mdl Qlty]:[Mdl WdDeck]])+Inventory[[#This Row],[Mdl Res Intercept]],-2)</f>
        <v>349300</v>
      </c>
      <c r="BD198" s="25">
        <f>ROUND(Inventory[[#This Row],[Mdl Land Intercept]]+Inventory[[#This Row],[Mdl LnAcres]],-2)</f>
        <v>47200</v>
      </c>
      <c r="BE198" s="25">
        <f>Inventory[[#This Row],[Unadj Res Value]]+Inventory[[#This Row],[Unadj Det Value]]+Inventory[[#This Row],[Unadj Land Value]]</f>
        <v>396500</v>
      </c>
      <c r="BF198" s="36">
        <f>(Inventory[[#This Row],[Unadj Total Value]]-Inventory[[#This Row],[24Final]])/Inventory[[#This Row],[24Final]]</f>
        <v>7.8324721240141421E-2</v>
      </c>
      <c r="BG198" s="25">
        <f>VLOOKUP(Inventory[[#This Row],[Nbhd]],Lookups!$Q$2:$T$4,4,FALSE)</f>
        <v>0.99970000000000003</v>
      </c>
      <c r="BH198" s="25">
        <f>VLOOKUP(Inventory[[#This Row],[Qlty]],Lookups!$O$7:$R$21,4,FALSE)</f>
        <v>1.0088999999999999</v>
      </c>
      <c r="BI198" s="25">
        <f>VLOOKUP(Inventory[[#This Row],[Cnd]],Lookups!$T$7:$W$16,4,FALSE)</f>
        <v>0.99650000000000005</v>
      </c>
      <c r="BJ198" s="25">
        <f>VLOOKUP(Inventory[[#This Row],[LivArea Range]],Lookups!$T$25:$W$37,4,FALSE)</f>
        <v>1.0093000000000001</v>
      </c>
      <c r="BK198" s="25">
        <f>VLOOKUP(Inventory[[#This Row],[Decade]],Lookups!$O$25:$R$42,4,FALSE)</f>
        <v>0.96919999999999995</v>
      </c>
      <c r="BL198" s="25">
        <f>Inventory[[#This Row],[Nbhd Adj]]*0.95</f>
        <v>0.94971499999999998</v>
      </c>
      <c r="BM198" s="25">
        <f>Inventory[[#This Row],[Nbhd Adj]]*Inventory[[#This Row],[Quality Adj]]*Inventory[[#This Row],[Condition Adj]]*Inventory[[#This Row],[Living Area Adj]]*Inventory[[#This Row],[Decade Adj]]*0.95</f>
        <v>0.93401188212709219</v>
      </c>
      <c r="BN198" s="25">
        <f>ROUND(SUM(Inventory[[#This Row],[Mdl Qlty]:[Mdl WdDeck]])+Inventory[[#This Row],[Mdl Res Intercept]]*Inventory[[#This Row],[Res Adj ]],-2)</f>
        <v>349300</v>
      </c>
      <c r="BO198" s="25">
        <f>ROUND(Inventory[[#This Row],[25Det]]*Inventory[[#This Row],[Det/Nbhd Adj]],-2)</f>
        <v>0</v>
      </c>
      <c r="BP198" s="25">
        <f>Inventory[[#This Row],[Adjusted Res]]+Inventory[[#This Row],[Adj Det ]]</f>
        <v>349300</v>
      </c>
      <c r="BQ198" s="25">
        <f>ROUND((Inventory[[#This Row],[Mdl Land Intercept]]+Inventory[[#This Row],[Mdl LnAcres]])*Inventory[[#This Row],[Det/Nbhd Adj]],-2)</f>
        <v>44800</v>
      </c>
      <c r="BR198" s="25">
        <f>Inventory[[#This Row],[Adjusted Impr Total]]+Inventory[[#This Row],[Adjusted Land Total]]</f>
        <v>394100</v>
      </c>
      <c r="BS198" s="36">
        <f>IFERROR((Inventory[[#This Row],[Adjusted Impr Total]]-Inventory[[#This Row],[24Bldg]])/Inventory[[#This Row],[24Bldg]],0)</f>
        <v>0.1639453515494835</v>
      </c>
      <c r="BT198" s="36">
        <f>(Inventory[[#This Row],[Adjusted Land Total]]-Inventory[[#This Row],[24Lnd]])/Inventory[[#This Row],[24Lnd]]</f>
        <v>-0.33727810650887574</v>
      </c>
      <c r="BU198" s="36">
        <f>(Inventory[[#This Row],[Adjusted Total]]-Inventory[[#This Row],[24Final]])/Inventory[[#This Row],[24Final]]</f>
        <v>7.1797661136796295E-2</v>
      </c>
    </row>
    <row r="199" spans="1:73" x14ac:dyDescent="0.3">
      <c r="A199" s="25">
        <v>2025</v>
      </c>
      <c r="B199" s="26" t="s">
        <v>1344</v>
      </c>
      <c r="C199" s="26">
        <f>LN(Inventory[[#This Row],[Acres]])</f>
        <v>-1.6094379124341003</v>
      </c>
      <c r="D199" s="25">
        <v>0.2</v>
      </c>
      <c r="E199" s="25">
        <v>8724</v>
      </c>
      <c r="F199" s="26" t="s">
        <v>537</v>
      </c>
      <c r="G199" s="26" t="s">
        <v>126</v>
      </c>
      <c r="H199" s="26" t="s">
        <v>349</v>
      </c>
      <c r="I199" s="26" t="s">
        <v>538</v>
      </c>
      <c r="J199" s="26" t="s">
        <v>539</v>
      </c>
      <c r="K199" s="26" t="s">
        <v>173</v>
      </c>
      <c r="L199" s="26" t="s">
        <v>351</v>
      </c>
      <c r="M199" s="26" t="s">
        <v>323</v>
      </c>
      <c r="N199" s="26">
        <v>50</v>
      </c>
      <c r="O199" s="26">
        <f>2024-Inventory[[#This Row],[YrBlt]]</f>
        <v>46</v>
      </c>
      <c r="P199" s="26">
        <f>2024-Inventory[[#This Row],[EffYr]]</f>
        <v>44</v>
      </c>
      <c r="Q199" s="25">
        <v>1978</v>
      </c>
      <c r="R199" s="25">
        <v>1980</v>
      </c>
      <c r="S199" s="25">
        <v>864</v>
      </c>
      <c r="T199" s="32">
        <v>864</v>
      </c>
      <c r="U199" s="31"/>
      <c r="V199" s="31">
        <f>Inventory[[#This Row],[Bsmt]]-Inventory[[#This Row],[FnBsmt]]</f>
        <v>0</v>
      </c>
      <c r="W199" s="31"/>
      <c r="X199" s="27"/>
      <c r="Y199" s="27">
        <f>Inventory[[#This Row],[MainFn]]+Inventory[[#This Row],[UpprFn]]+Inventory[[#This Row],[FnBsmt]]+Inventory[[#This Row],[AddFn]]</f>
        <v>1728</v>
      </c>
      <c r="Z199" s="27">
        <v>2000</v>
      </c>
      <c r="AA199" s="25">
        <v>7</v>
      </c>
      <c r="AB199" s="32">
        <v>460</v>
      </c>
      <c r="AC199" s="27"/>
      <c r="AD199" s="31"/>
      <c r="AE199" s="27"/>
      <c r="AF199" s="27"/>
      <c r="AG199" s="27"/>
      <c r="AH199" s="27"/>
      <c r="AI199" s="25">
        <v>284325</v>
      </c>
      <c r="AJ199" s="25">
        <v>221774</v>
      </c>
      <c r="AK199" s="25">
        <v>0</v>
      </c>
      <c r="AL199" s="25">
        <v>310500</v>
      </c>
      <c r="AM199" s="25">
        <v>58400</v>
      </c>
      <c r="AN199" s="25">
        <v>252100</v>
      </c>
      <c r="AO199" s="25">
        <v>0</v>
      </c>
      <c r="AP199" s="25">
        <f>Lookups!$B$56*0</f>
        <v>0</v>
      </c>
      <c r="AQ199" s="25">
        <f>Lookups!$B$56*1</f>
        <v>89850.625589999996</v>
      </c>
      <c r="AR199" s="25">
        <f>Lookups!$B$57*Inventory[[#This Row],[LnAcres]]</f>
        <v>-50946.13867709865</v>
      </c>
      <c r="AS199" s="25">
        <f>VLOOKUP(Inventory[[#This Row],[Qlty]],Lookups!$A$62:$E$75,2,FALSE)</f>
        <v>21557.329055999999</v>
      </c>
      <c r="AT199" s="25">
        <f>VLOOKUP(Inventory[[#This Row],[Cnd]],Lookups!$A$76:$E$84,2,FALSE)</f>
        <v>160472.20319</v>
      </c>
      <c r="AU199" s="25">
        <f>Inventory[[#This Row],[EffAge]]*Lookups!$B$85</f>
        <v>-9814.0064220000004</v>
      </c>
      <c r="AV199" s="25">
        <f>Inventory[[#This Row],[MainFn]]*Lookups!$B$86</f>
        <v>42689.090773727999</v>
      </c>
      <c r="AW199" s="25">
        <f>Inventory[[#This Row],[UpprFn]]*Lookups!$B$87</f>
        <v>38695.469351904001</v>
      </c>
      <c r="AX199" s="25">
        <f>Inventory[[#This Row],[AddFn]]*Lookups!$B$88</f>
        <v>0</v>
      </c>
      <c r="AY199" s="25">
        <f>Inventory[[#This Row],[Bsmt]]*Lookups!$B$89</f>
        <v>0</v>
      </c>
      <c r="AZ199" s="25">
        <f>Inventory[[#This Row],[Fixtures]]*Lookups!$B$90</f>
        <v>26544.1547364</v>
      </c>
      <c r="BA199" s="25">
        <f>Inventory[[#This Row],[WdDeck]]*Lookups!$B$91</f>
        <v>0</v>
      </c>
      <c r="BB199" s="25">
        <f>ROUND(Inventory[[#This Row],[25Det]],-2)</f>
        <v>0</v>
      </c>
      <c r="BC199" s="25">
        <f>ROUND(SUM(Inventory[[#This Row],[Mdl Qlty]:[Mdl WdDeck]])+Inventory[[#This Row],[Mdl Res Intercept]],-2)</f>
        <v>280100</v>
      </c>
      <c r="BD199" s="25">
        <f>ROUND(Inventory[[#This Row],[Mdl Land Intercept]]+Inventory[[#This Row],[Mdl LnAcres]],-2)</f>
        <v>38900</v>
      </c>
      <c r="BE199" s="25">
        <f>Inventory[[#This Row],[Unadj Res Value]]+Inventory[[#This Row],[Unadj Det Value]]+Inventory[[#This Row],[Unadj Land Value]]</f>
        <v>319000</v>
      </c>
      <c r="BF199" s="36">
        <f>(Inventory[[#This Row],[Unadj Total Value]]-Inventory[[#This Row],[24Final]])/Inventory[[#This Row],[24Final]]</f>
        <v>2.7375201288244767E-2</v>
      </c>
      <c r="BG199" s="25">
        <f>VLOOKUP(Inventory[[#This Row],[Nbhd]],Lookups!$Q$2:$T$4,4,FALSE)</f>
        <v>0.99970000000000003</v>
      </c>
      <c r="BH199" s="25">
        <f>VLOOKUP(Inventory[[#This Row],[Qlty]],Lookups!$O$7:$R$21,4,FALSE)</f>
        <v>1.0067999999999999</v>
      </c>
      <c r="BI199" s="25">
        <f>VLOOKUP(Inventory[[#This Row],[Cnd]],Lookups!$T$7:$W$16,4,FALSE)</f>
        <v>0.99729999999999996</v>
      </c>
      <c r="BJ199" s="25">
        <f>VLOOKUP(Inventory[[#This Row],[LivArea Range]],Lookups!$T$25:$W$37,4,FALSE)</f>
        <v>1.0093000000000001</v>
      </c>
      <c r="BK199" s="25">
        <f>VLOOKUP(Inventory[[#This Row],[Decade]],Lookups!$O$25:$R$42,4,FALSE)</f>
        <v>0.96919999999999995</v>
      </c>
      <c r="BL199" s="25">
        <f>Inventory[[#This Row],[Nbhd Adj]]*0.95</f>
        <v>0.94971499999999998</v>
      </c>
      <c r="BM199" s="25">
        <f>Inventory[[#This Row],[Nbhd Adj]]*Inventory[[#This Row],[Quality Adj]]*Inventory[[#This Row],[Condition Adj]]*Inventory[[#This Row],[Living Area Adj]]*Inventory[[#This Row],[Decade Adj]]*0.95</f>
        <v>0.93281603302674176</v>
      </c>
      <c r="BN199" s="25">
        <f>ROUND(SUM(Inventory[[#This Row],[Mdl Qlty]:[Mdl WdDeck]])+Inventory[[#This Row],[Mdl Res Intercept]]*Inventory[[#This Row],[Res Adj ]],-2)</f>
        <v>280100</v>
      </c>
      <c r="BO199" s="25">
        <f>ROUND(Inventory[[#This Row],[25Det]]*Inventory[[#This Row],[Det/Nbhd Adj]],-2)</f>
        <v>0</v>
      </c>
      <c r="BP199" s="25">
        <f>Inventory[[#This Row],[Adjusted Res]]+Inventory[[#This Row],[Adj Det ]]</f>
        <v>280100</v>
      </c>
      <c r="BQ199" s="25">
        <f>ROUND((Inventory[[#This Row],[Mdl Land Intercept]]+Inventory[[#This Row],[Mdl LnAcres]])*Inventory[[#This Row],[Det/Nbhd Adj]],-2)</f>
        <v>36900</v>
      </c>
      <c r="BR199" s="25">
        <f>Inventory[[#This Row],[Adjusted Impr Total]]+Inventory[[#This Row],[Adjusted Land Total]]</f>
        <v>317000</v>
      </c>
      <c r="BS199" s="36">
        <f>IFERROR((Inventory[[#This Row],[Adjusted Impr Total]]-Inventory[[#This Row],[24Bldg]])/Inventory[[#This Row],[24Bldg]],0)</f>
        <v>0.11106703689012297</v>
      </c>
      <c r="BT199" s="36">
        <f>(Inventory[[#This Row],[Adjusted Land Total]]-Inventory[[#This Row],[24Lnd]])/Inventory[[#This Row],[24Lnd]]</f>
        <v>-0.36815068493150682</v>
      </c>
      <c r="BU199" s="36">
        <f>(Inventory[[#This Row],[Adjusted Total]]-Inventory[[#This Row],[24Final]])/Inventory[[#This Row],[24Final]]</f>
        <v>2.0933977455716585E-2</v>
      </c>
    </row>
    <row r="200" spans="1:73" x14ac:dyDescent="0.3">
      <c r="A200" s="25">
        <v>2025</v>
      </c>
      <c r="B200" s="26" t="s">
        <v>660</v>
      </c>
      <c r="C200" s="26">
        <f>LN(Inventory[[#This Row],[Acres]])</f>
        <v>-1.9661128563728327</v>
      </c>
      <c r="D200" s="25">
        <v>0.14000000000000001</v>
      </c>
      <c r="E200" s="25">
        <v>6027</v>
      </c>
      <c r="F200" s="26" t="s">
        <v>537</v>
      </c>
      <c r="G200" s="26" t="s">
        <v>126</v>
      </c>
      <c r="H200" s="26" t="s">
        <v>349</v>
      </c>
      <c r="I200" s="26" t="s">
        <v>538</v>
      </c>
      <c r="J200" s="26" t="s">
        <v>586</v>
      </c>
      <c r="K200" s="26" t="s">
        <v>592</v>
      </c>
      <c r="L200" s="26" t="s">
        <v>302</v>
      </c>
      <c r="M200" s="26" t="s">
        <v>303</v>
      </c>
      <c r="N200" s="26">
        <v>50</v>
      </c>
      <c r="O200" s="26">
        <f>2024-Inventory[[#This Row],[YrBlt]]</f>
        <v>47</v>
      </c>
      <c r="P200" s="26">
        <f>2024-Inventory[[#This Row],[EffYr]]</f>
        <v>45</v>
      </c>
      <c r="Q200" s="25">
        <v>1977</v>
      </c>
      <c r="R200" s="25">
        <v>1979</v>
      </c>
      <c r="S200" s="25">
        <v>1808</v>
      </c>
      <c r="T200" s="27"/>
      <c r="U200" s="31"/>
      <c r="V200" s="31">
        <f>Inventory[[#This Row],[Bsmt]]-Inventory[[#This Row],[FnBsmt]]</f>
        <v>0</v>
      </c>
      <c r="W200" s="31"/>
      <c r="X200" s="27"/>
      <c r="Y200" s="27">
        <f>Inventory[[#This Row],[MainFn]]+Inventory[[#This Row],[UpprFn]]+Inventory[[#This Row],[FnBsmt]]+Inventory[[#This Row],[AddFn]]</f>
        <v>1808</v>
      </c>
      <c r="Z200" s="27">
        <v>2000</v>
      </c>
      <c r="AA200" s="25">
        <v>9</v>
      </c>
      <c r="AB200" s="32">
        <v>572</v>
      </c>
      <c r="AC200" s="27"/>
      <c r="AD200" s="25">
        <v>192</v>
      </c>
      <c r="AE200" s="27"/>
      <c r="AF200" s="27"/>
      <c r="AG200" s="27"/>
      <c r="AH200" s="27"/>
      <c r="AI200" s="25">
        <v>369735</v>
      </c>
      <c r="AJ200" s="25">
        <v>288393</v>
      </c>
      <c r="AK200" s="25">
        <v>0</v>
      </c>
      <c r="AL200" s="25">
        <v>298600</v>
      </c>
      <c r="AM200" s="25">
        <v>45200</v>
      </c>
      <c r="AN200" s="25">
        <v>253400</v>
      </c>
      <c r="AO200" s="25">
        <v>0</v>
      </c>
      <c r="AP200" s="25">
        <f>Lookups!$B$56*0</f>
        <v>0</v>
      </c>
      <c r="AQ200" s="25">
        <f>Lookups!$B$56*1</f>
        <v>89850.625589999996</v>
      </c>
      <c r="AR200" s="25">
        <f>Lookups!$B$57*Inventory[[#This Row],[LnAcres]]</f>
        <v>-62236.546971921947</v>
      </c>
      <c r="AS200" s="25">
        <f>VLOOKUP(Inventory[[#This Row],[Qlty]],Lookups!$A$62:$E$75,2,FALSE)</f>
        <v>29814.093161000001</v>
      </c>
      <c r="AT200" s="25">
        <f>VLOOKUP(Inventory[[#This Row],[Cnd]],Lookups!$A$76:$E$84,2,FALSE)</f>
        <v>197752.34721000001</v>
      </c>
      <c r="AU200" s="25">
        <f>Inventory[[#This Row],[EffAge]]*Lookups!$B$85</f>
        <v>-10037.0520225</v>
      </c>
      <c r="AV200" s="25">
        <f>Inventory[[#This Row],[MainFn]]*Lookups!$B$86</f>
        <v>89330.875137616007</v>
      </c>
      <c r="AW200" s="25">
        <f>Inventory[[#This Row],[UpprFn]]*Lookups!$B$87</f>
        <v>0</v>
      </c>
      <c r="AX200" s="25">
        <f>Inventory[[#This Row],[AddFn]]*Lookups!$B$88</f>
        <v>0</v>
      </c>
      <c r="AY200" s="25">
        <f>Inventory[[#This Row],[Bsmt]]*Lookups!$B$89</f>
        <v>0</v>
      </c>
      <c r="AZ200" s="25">
        <f>Inventory[[#This Row],[Fixtures]]*Lookups!$B$90</f>
        <v>34128.198946800003</v>
      </c>
      <c r="BA200" s="25">
        <f>Inventory[[#This Row],[WdDeck]]*Lookups!$B$91</f>
        <v>6392.7389329920006</v>
      </c>
      <c r="BB200" s="25">
        <f>ROUND(Inventory[[#This Row],[25Det]],-2)</f>
        <v>0</v>
      </c>
      <c r="BC200" s="25">
        <f>ROUND(SUM(Inventory[[#This Row],[Mdl Qlty]:[Mdl WdDeck]])+Inventory[[#This Row],[Mdl Res Intercept]],-2)</f>
        <v>347400</v>
      </c>
      <c r="BD200" s="25">
        <f>ROUND(Inventory[[#This Row],[Mdl Land Intercept]]+Inventory[[#This Row],[Mdl LnAcres]],-2)</f>
        <v>27600</v>
      </c>
      <c r="BE200" s="25">
        <f>Inventory[[#This Row],[Unadj Res Value]]+Inventory[[#This Row],[Unadj Det Value]]+Inventory[[#This Row],[Unadj Land Value]]</f>
        <v>375000</v>
      </c>
      <c r="BF200" s="36">
        <f>(Inventory[[#This Row],[Unadj Total Value]]-Inventory[[#This Row],[24Final]])/Inventory[[#This Row],[24Final]]</f>
        <v>0.25586068318821165</v>
      </c>
      <c r="BG200" s="25">
        <f>VLOOKUP(Inventory[[#This Row],[Nbhd]],Lookups!$Q$2:$T$4,4,FALSE)</f>
        <v>0.99970000000000003</v>
      </c>
      <c r="BH200" s="25">
        <f>VLOOKUP(Inventory[[#This Row],[Qlty]],Lookups!$O$7:$R$21,4,FALSE)</f>
        <v>1.0088999999999999</v>
      </c>
      <c r="BI200" s="25">
        <f>VLOOKUP(Inventory[[#This Row],[Cnd]],Lookups!$T$7:$W$16,4,FALSE)</f>
        <v>0.99650000000000005</v>
      </c>
      <c r="BJ200" s="25">
        <f>VLOOKUP(Inventory[[#This Row],[LivArea Range]],Lookups!$T$25:$W$37,4,FALSE)</f>
        <v>1.0093000000000001</v>
      </c>
      <c r="BK200" s="25">
        <f>VLOOKUP(Inventory[[#This Row],[Decade]],Lookups!$O$25:$R$42,4,FALSE)</f>
        <v>0.96919999999999995</v>
      </c>
      <c r="BL200" s="25">
        <f>Inventory[[#This Row],[Nbhd Adj]]*0.95</f>
        <v>0.94971499999999998</v>
      </c>
      <c r="BM200" s="25">
        <f>Inventory[[#This Row],[Nbhd Adj]]*Inventory[[#This Row],[Quality Adj]]*Inventory[[#This Row],[Condition Adj]]*Inventory[[#This Row],[Living Area Adj]]*Inventory[[#This Row],[Decade Adj]]*0.95</f>
        <v>0.93401188212709219</v>
      </c>
      <c r="BN200" s="25">
        <f>ROUND(SUM(Inventory[[#This Row],[Mdl Qlty]:[Mdl WdDeck]])+Inventory[[#This Row],[Mdl Res Intercept]]*Inventory[[#This Row],[Res Adj ]],-2)</f>
        <v>347400</v>
      </c>
      <c r="BO200" s="25">
        <f>ROUND(Inventory[[#This Row],[25Det]]*Inventory[[#This Row],[Det/Nbhd Adj]],-2)</f>
        <v>0</v>
      </c>
      <c r="BP200" s="25">
        <f>Inventory[[#This Row],[Adjusted Res]]+Inventory[[#This Row],[Adj Det ]]</f>
        <v>347400</v>
      </c>
      <c r="BQ200" s="25">
        <f>ROUND((Inventory[[#This Row],[Mdl Land Intercept]]+Inventory[[#This Row],[Mdl LnAcres]])*Inventory[[#This Row],[Det/Nbhd Adj]],-2)</f>
        <v>26200</v>
      </c>
      <c r="BR200" s="25">
        <f>Inventory[[#This Row],[Adjusted Impr Total]]+Inventory[[#This Row],[Adjusted Land Total]]</f>
        <v>373600</v>
      </c>
      <c r="BS200" s="36">
        <f>IFERROR((Inventory[[#This Row],[Adjusted Impr Total]]-Inventory[[#This Row],[24Bldg]])/Inventory[[#This Row],[24Bldg]],0)</f>
        <v>0.37095501183898971</v>
      </c>
      <c r="BT200" s="36">
        <f>(Inventory[[#This Row],[Adjusted Land Total]]-Inventory[[#This Row],[24Lnd]])/Inventory[[#This Row],[24Lnd]]</f>
        <v>-0.42035398230088494</v>
      </c>
      <c r="BU200" s="36">
        <f>(Inventory[[#This Row],[Adjusted Total]]-Inventory[[#This Row],[24Final]])/Inventory[[#This Row],[24Final]]</f>
        <v>0.25117213663764232</v>
      </c>
    </row>
    <row r="201" spans="1:73" x14ac:dyDescent="0.3">
      <c r="A201" s="25">
        <v>2025</v>
      </c>
      <c r="B201" s="26" t="s">
        <v>658</v>
      </c>
      <c r="C201" s="26">
        <f>LN(Inventory[[#This Row],[Acres]])</f>
        <v>-2.0402208285265546</v>
      </c>
      <c r="D201" s="25">
        <v>0.13</v>
      </c>
      <c r="E201" s="25">
        <v>5608</v>
      </c>
      <c r="F201" s="26" t="s">
        <v>537</v>
      </c>
      <c r="G201" s="26" t="s">
        <v>126</v>
      </c>
      <c r="H201" s="26" t="s">
        <v>349</v>
      </c>
      <c r="I201" s="26" t="s">
        <v>538</v>
      </c>
      <c r="J201" s="26" t="s">
        <v>586</v>
      </c>
      <c r="K201" s="26" t="s">
        <v>592</v>
      </c>
      <c r="L201" s="26" t="s">
        <v>302</v>
      </c>
      <c r="M201" s="26" t="s">
        <v>303</v>
      </c>
      <c r="N201" s="26">
        <v>50</v>
      </c>
      <c r="O201" s="26">
        <f>2024-Inventory[[#This Row],[YrBlt]]</f>
        <v>47</v>
      </c>
      <c r="P201" s="26">
        <f>2024-Inventory[[#This Row],[EffYr]]</f>
        <v>45</v>
      </c>
      <c r="Q201" s="25">
        <v>1977</v>
      </c>
      <c r="R201" s="25">
        <v>1979</v>
      </c>
      <c r="S201" s="25">
        <v>1917</v>
      </c>
      <c r="T201" s="27"/>
      <c r="U201" s="25">
        <v>1000</v>
      </c>
      <c r="V201" s="25">
        <f>Inventory[[#This Row],[Bsmt]]-Inventory[[#This Row],[FnBsmt]]</f>
        <v>1000</v>
      </c>
      <c r="W201" s="31"/>
      <c r="X201" s="27"/>
      <c r="Y201" s="27">
        <f>Inventory[[#This Row],[MainFn]]+Inventory[[#This Row],[UpprFn]]+Inventory[[#This Row],[FnBsmt]]+Inventory[[#This Row],[AddFn]]</f>
        <v>1917</v>
      </c>
      <c r="Z201" s="27">
        <v>2000</v>
      </c>
      <c r="AA201" s="25">
        <v>8</v>
      </c>
      <c r="AB201" s="32">
        <v>542</v>
      </c>
      <c r="AC201" s="31"/>
      <c r="AD201" s="31"/>
      <c r="AE201" s="27"/>
      <c r="AF201" s="27"/>
      <c r="AG201" s="27"/>
      <c r="AH201" s="27"/>
      <c r="AI201" s="25">
        <v>410891</v>
      </c>
      <c r="AJ201" s="25">
        <v>320495</v>
      </c>
      <c r="AK201" s="25">
        <v>0</v>
      </c>
      <c r="AL201" s="25">
        <v>326200</v>
      </c>
      <c r="AM201" s="25">
        <v>44600</v>
      </c>
      <c r="AN201" s="25">
        <v>281600</v>
      </c>
      <c r="AO201" s="25">
        <v>0</v>
      </c>
      <c r="AP201" s="25">
        <f>Lookups!$B$56*0</f>
        <v>0</v>
      </c>
      <c r="AQ201" s="25">
        <f>Lookups!$B$56*1</f>
        <v>89850.625589999996</v>
      </c>
      <c r="AR201" s="25">
        <f>Lookups!$B$57*Inventory[[#This Row],[LnAcres]]</f>
        <v>-64582.406353792743</v>
      </c>
      <c r="AS201" s="25">
        <f>VLOOKUP(Inventory[[#This Row],[Qlty]],Lookups!$A$62:$E$75,2,FALSE)</f>
        <v>29814.093161000001</v>
      </c>
      <c r="AT201" s="25">
        <f>VLOOKUP(Inventory[[#This Row],[Cnd]],Lookups!$A$76:$E$84,2,FALSE)</f>
        <v>197752.34721000001</v>
      </c>
      <c r="AU201" s="25">
        <f>Inventory[[#This Row],[EffAge]]*Lookups!$B$85</f>
        <v>-10037.0520225</v>
      </c>
      <c r="AV201" s="25">
        <f>Inventory[[#This Row],[MainFn]]*Lookups!$B$86</f>
        <v>94716.420154209001</v>
      </c>
      <c r="AW201" s="25">
        <f>Inventory[[#This Row],[UpprFn]]*Lookups!$B$87</f>
        <v>0</v>
      </c>
      <c r="AX201" s="25">
        <f>Inventory[[#This Row],[AddFn]]*Lookups!$B$88</f>
        <v>0</v>
      </c>
      <c r="AY201" s="25">
        <f>Inventory[[#This Row],[Bsmt]]*Lookups!$B$89</f>
        <v>29081.895246999997</v>
      </c>
      <c r="AZ201" s="25">
        <f>Inventory[[#This Row],[Fixtures]]*Lookups!$B$90</f>
        <v>30336.176841600001</v>
      </c>
      <c r="BA201" s="25">
        <f>Inventory[[#This Row],[WdDeck]]*Lookups!$B$91</f>
        <v>0</v>
      </c>
      <c r="BB201" s="25">
        <f>ROUND(Inventory[[#This Row],[25Det]],-2)</f>
        <v>0</v>
      </c>
      <c r="BC201" s="25">
        <f>ROUND(SUM(Inventory[[#This Row],[Mdl Qlty]:[Mdl WdDeck]])+Inventory[[#This Row],[Mdl Res Intercept]],-2)</f>
        <v>371700</v>
      </c>
      <c r="BD201" s="25">
        <f>ROUND(Inventory[[#This Row],[Mdl Land Intercept]]+Inventory[[#This Row],[Mdl LnAcres]],-2)</f>
        <v>25300</v>
      </c>
      <c r="BE201" s="25">
        <f>Inventory[[#This Row],[Unadj Res Value]]+Inventory[[#This Row],[Unadj Det Value]]+Inventory[[#This Row],[Unadj Land Value]]</f>
        <v>397000</v>
      </c>
      <c r="BF201" s="36">
        <f>(Inventory[[#This Row],[Unadj Total Value]]-Inventory[[#This Row],[24Final]])/Inventory[[#This Row],[24Final]]</f>
        <v>0.21704475781729002</v>
      </c>
      <c r="BG201" s="25">
        <f>VLOOKUP(Inventory[[#This Row],[Nbhd]],Lookups!$Q$2:$T$4,4,FALSE)</f>
        <v>0.99970000000000003</v>
      </c>
      <c r="BH201" s="25">
        <f>VLOOKUP(Inventory[[#This Row],[Qlty]],Lookups!$O$7:$R$21,4,FALSE)</f>
        <v>1.0088999999999999</v>
      </c>
      <c r="BI201" s="25">
        <f>VLOOKUP(Inventory[[#This Row],[Cnd]],Lookups!$T$7:$W$16,4,FALSE)</f>
        <v>0.99650000000000005</v>
      </c>
      <c r="BJ201" s="25">
        <f>VLOOKUP(Inventory[[#This Row],[LivArea Range]],Lookups!$T$25:$W$37,4,FALSE)</f>
        <v>1.0093000000000001</v>
      </c>
      <c r="BK201" s="25">
        <f>VLOOKUP(Inventory[[#This Row],[Decade]],Lookups!$O$25:$R$42,4,FALSE)</f>
        <v>0.96919999999999995</v>
      </c>
      <c r="BL201" s="25">
        <f>Inventory[[#This Row],[Nbhd Adj]]*0.95</f>
        <v>0.94971499999999998</v>
      </c>
      <c r="BM201" s="25">
        <f>Inventory[[#This Row],[Nbhd Adj]]*Inventory[[#This Row],[Quality Adj]]*Inventory[[#This Row],[Condition Adj]]*Inventory[[#This Row],[Living Area Adj]]*Inventory[[#This Row],[Decade Adj]]*0.95</f>
        <v>0.93401188212709219</v>
      </c>
      <c r="BN201" s="25">
        <f>ROUND(SUM(Inventory[[#This Row],[Mdl Qlty]:[Mdl WdDeck]])+Inventory[[#This Row],[Mdl Res Intercept]]*Inventory[[#This Row],[Res Adj ]],-2)</f>
        <v>371700</v>
      </c>
      <c r="BO201" s="25">
        <f>ROUND(Inventory[[#This Row],[25Det]]*Inventory[[#This Row],[Det/Nbhd Adj]],-2)</f>
        <v>0</v>
      </c>
      <c r="BP201" s="25">
        <f>Inventory[[#This Row],[Adjusted Res]]+Inventory[[#This Row],[Adj Det ]]</f>
        <v>371700</v>
      </c>
      <c r="BQ201" s="25">
        <f>ROUND((Inventory[[#This Row],[Mdl Land Intercept]]+Inventory[[#This Row],[Mdl LnAcres]])*Inventory[[#This Row],[Det/Nbhd Adj]],-2)</f>
        <v>24000</v>
      </c>
      <c r="BR201" s="25">
        <f>Inventory[[#This Row],[Adjusted Impr Total]]+Inventory[[#This Row],[Adjusted Land Total]]</f>
        <v>395700</v>
      </c>
      <c r="BS201" s="36">
        <f>IFERROR((Inventory[[#This Row],[Adjusted Impr Total]]-Inventory[[#This Row],[24Bldg]])/Inventory[[#This Row],[24Bldg]],0)</f>
        <v>0.31995738636363635</v>
      </c>
      <c r="BT201" s="36">
        <f>(Inventory[[#This Row],[Adjusted Land Total]]-Inventory[[#This Row],[24Lnd]])/Inventory[[#This Row],[24Lnd]]</f>
        <v>-0.46188340807174888</v>
      </c>
      <c r="BU201" s="36">
        <f>(Inventory[[#This Row],[Adjusted Total]]-Inventory[[#This Row],[24Final]])/Inventory[[#This Row],[24Final]]</f>
        <v>0.21305947271612508</v>
      </c>
    </row>
    <row r="202" spans="1:73" x14ac:dyDescent="0.3">
      <c r="A202" s="25">
        <v>2025</v>
      </c>
      <c r="B202" s="26" t="s">
        <v>2354</v>
      </c>
      <c r="C202" s="26">
        <f>LN(Inventory[[#This Row],[Acres]])</f>
        <v>-2.0402208285265546</v>
      </c>
      <c r="D202" s="25">
        <v>0.13</v>
      </c>
      <c r="E202" s="25">
        <v>5500</v>
      </c>
      <c r="F202" s="26" t="s">
        <v>537</v>
      </c>
      <c r="G202" s="26" t="s">
        <v>126</v>
      </c>
      <c r="H202" s="26" t="s">
        <v>349</v>
      </c>
      <c r="I202" s="26" t="s">
        <v>538</v>
      </c>
      <c r="J202" s="26" t="s">
        <v>539</v>
      </c>
      <c r="K202" s="26" t="s">
        <v>241</v>
      </c>
      <c r="L202" s="26" t="s">
        <v>351</v>
      </c>
      <c r="M202" s="26" t="s">
        <v>303</v>
      </c>
      <c r="N202" s="26">
        <v>50</v>
      </c>
      <c r="O202" s="26">
        <f>2024-Inventory[[#This Row],[YrBlt]]</f>
        <v>47</v>
      </c>
      <c r="P202" s="26">
        <f>2024-Inventory[[#This Row],[EffYr]]</f>
        <v>45</v>
      </c>
      <c r="Q202" s="25">
        <v>1977</v>
      </c>
      <c r="R202" s="25">
        <v>1979</v>
      </c>
      <c r="S202" s="25">
        <v>1464</v>
      </c>
      <c r="T202" s="27"/>
      <c r="U202" s="31"/>
      <c r="V202" s="31">
        <f>Inventory[[#This Row],[Bsmt]]-Inventory[[#This Row],[FnBsmt]]</f>
        <v>0</v>
      </c>
      <c r="W202" s="31"/>
      <c r="X202" s="27"/>
      <c r="Y202" s="27">
        <f>Inventory[[#This Row],[MainFn]]+Inventory[[#This Row],[UpprFn]]+Inventory[[#This Row],[FnBsmt]]+Inventory[[#This Row],[AddFn]]</f>
        <v>1464</v>
      </c>
      <c r="Z202" s="27">
        <v>1500</v>
      </c>
      <c r="AA202" s="25">
        <v>8</v>
      </c>
      <c r="AB202" s="31"/>
      <c r="AC202" s="27"/>
      <c r="AD202" s="27"/>
      <c r="AE202" s="27"/>
      <c r="AF202" s="27"/>
      <c r="AG202" s="27"/>
      <c r="AH202" s="27"/>
      <c r="AI202" s="25">
        <v>236524</v>
      </c>
      <c r="AJ202" s="25">
        <v>184489</v>
      </c>
      <c r="AK202" s="25">
        <v>24301</v>
      </c>
      <c r="AL202" s="25">
        <v>338200</v>
      </c>
      <c r="AM202" s="25">
        <v>43400</v>
      </c>
      <c r="AN202" s="25">
        <v>294800</v>
      </c>
      <c r="AO202" s="25">
        <v>0</v>
      </c>
      <c r="AP202" s="25">
        <f>Lookups!$B$56*0</f>
        <v>0</v>
      </c>
      <c r="AQ202" s="25">
        <f>Lookups!$B$56*1</f>
        <v>89850.625589999996</v>
      </c>
      <c r="AR202" s="25">
        <f>Lookups!$B$57*Inventory[[#This Row],[LnAcres]]</f>
        <v>-64582.406353792743</v>
      </c>
      <c r="AS202" s="25">
        <f>VLOOKUP(Inventory[[#This Row],[Qlty]],Lookups!$A$62:$E$75,2,FALSE)</f>
        <v>21557.329055999999</v>
      </c>
      <c r="AT202" s="25">
        <f>VLOOKUP(Inventory[[#This Row],[Cnd]],Lookups!$A$76:$E$84,2,FALSE)</f>
        <v>197752.34721000001</v>
      </c>
      <c r="AU202" s="25">
        <f>Inventory[[#This Row],[EffAge]]*Lookups!$B$85</f>
        <v>-10037.0520225</v>
      </c>
      <c r="AV202" s="25">
        <f>Inventory[[#This Row],[MainFn]]*Lookups!$B$86</f>
        <v>72334.292699928003</v>
      </c>
      <c r="AW202" s="25">
        <f>Inventory[[#This Row],[UpprFn]]*Lookups!$B$87</f>
        <v>0</v>
      </c>
      <c r="AX202" s="25">
        <f>Inventory[[#This Row],[AddFn]]*Lookups!$B$88</f>
        <v>0</v>
      </c>
      <c r="AY202" s="25">
        <f>Inventory[[#This Row],[Bsmt]]*Lookups!$B$89</f>
        <v>0</v>
      </c>
      <c r="AZ202" s="25">
        <f>Inventory[[#This Row],[Fixtures]]*Lookups!$B$90</f>
        <v>30336.176841600001</v>
      </c>
      <c r="BA202" s="25">
        <f>Inventory[[#This Row],[WdDeck]]*Lookups!$B$91</f>
        <v>0</v>
      </c>
      <c r="BB202" s="25">
        <f>ROUND(Inventory[[#This Row],[25Det]],-2)</f>
        <v>24300</v>
      </c>
      <c r="BC202" s="25">
        <f>ROUND(SUM(Inventory[[#This Row],[Mdl Qlty]:[Mdl WdDeck]])+Inventory[[#This Row],[Mdl Res Intercept]],-2)</f>
        <v>311900</v>
      </c>
      <c r="BD202" s="25">
        <f>ROUND(Inventory[[#This Row],[Mdl Land Intercept]]+Inventory[[#This Row],[Mdl LnAcres]],-2)</f>
        <v>25300</v>
      </c>
      <c r="BE202" s="25">
        <f>Inventory[[#This Row],[Unadj Res Value]]+Inventory[[#This Row],[Unadj Det Value]]+Inventory[[#This Row],[Unadj Land Value]]</f>
        <v>361500</v>
      </c>
      <c r="BF202" s="36">
        <f>(Inventory[[#This Row],[Unadj Total Value]]-Inventory[[#This Row],[24Final]])/Inventory[[#This Row],[24Final]]</f>
        <v>6.8894145476049676E-2</v>
      </c>
      <c r="BG202" s="25">
        <f>VLOOKUP(Inventory[[#This Row],[Nbhd]],Lookups!$Q$2:$T$4,4,FALSE)</f>
        <v>0.99970000000000003</v>
      </c>
      <c r="BH202" s="25">
        <f>VLOOKUP(Inventory[[#This Row],[Qlty]],Lookups!$O$7:$R$21,4,FALSE)</f>
        <v>1.0067999999999999</v>
      </c>
      <c r="BI202" s="25">
        <f>VLOOKUP(Inventory[[#This Row],[Cnd]],Lookups!$T$7:$W$16,4,FALSE)</f>
        <v>0.99650000000000005</v>
      </c>
      <c r="BJ202" s="25">
        <f>VLOOKUP(Inventory[[#This Row],[LivArea Range]],Lookups!$T$25:$W$37,4,FALSE)</f>
        <v>1.0157</v>
      </c>
      <c r="BK202" s="25">
        <f>VLOOKUP(Inventory[[#This Row],[Decade]],Lookups!$O$25:$R$42,4,FALSE)</f>
        <v>0.96919999999999995</v>
      </c>
      <c r="BL202" s="25">
        <f>Inventory[[#This Row],[Nbhd Adj]]*0.95</f>
        <v>0.94971499999999998</v>
      </c>
      <c r="BM202" s="25">
        <f>Inventory[[#This Row],[Nbhd Adj]]*Inventory[[#This Row],[Quality Adj]]*Inventory[[#This Row],[Condition Adj]]*Inventory[[#This Row],[Living Area Adj]]*Inventory[[#This Row],[Decade Adj]]*0.95</f>
        <v>0.93797802803192643</v>
      </c>
      <c r="BN202" s="25">
        <f>ROUND(SUM(Inventory[[#This Row],[Mdl Qlty]:[Mdl WdDeck]])+Inventory[[#This Row],[Mdl Res Intercept]]*Inventory[[#This Row],[Res Adj ]],-2)</f>
        <v>311900</v>
      </c>
      <c r="BO202" s="25">
        <f>ROUND(Inventory[[#This Row],[25Det]]*Inventory[[#This Row],[Det/Nbhd Adj]],-2)</f>
        <v>23100</v>
      </c>
      <c r="BP202" s="25">
        <f>Inventory[[#This Row],[Adjusted Res]]+Inventory[[#This Row],[Adj Det ]]</f>
        <v>335000</v>
      </c>
      <c r="BQ202" s="25">
        <f>ROUND((Inventory[[#This Row],[Mdl Land Intercept]]+Inventory[[#This Row],[Mdl LnAcres]])*Inventory[[#This Row],[Det/Nbhd Adj]],-2)</f>
        <v>24000</v>
      </c>
      <c r="BR202" s="25">
        <f>Inventory[[#This Row],[Adjusted Impr Total]]+Inventory[[#This Row],[Adjusted Land Total]]</f>
        <v>359000</v>
      </c>
      <c r="BS202" s="36">
        <f>IFERROR((Inventory[[#This Row],[Adjusted Impr Total]]-Inventory[[#This Row],[24Bldg]])/Inventory[[#This Row],[24Bldg]],0)</f>
        <v>0.13636363636363635</v>
      </c>
      <c r="BT202" s="36">
        <f>(Inventory[[#This Row],[Adjusted Land Total]]-Inventory[[#This Row],[24Lnd]])/Inventory[[#This Row],[24Lnd]]</f>
        <v>-0.44700460829493088</v>
      </c>
      <c r="BU202" s="36">
        <f>(Inventory[[#This Row],[Adjusted Total]]-Inventory[[#This Row],[24Final]])/Inventory[[#This Row],[24Final]]</f>
        <v>6.150206978119456E-2</v>
      </c>
    </row>
    <row r="203" spans="1:73" x14ac:dyDescent="0.3">
      <c r="A203" s="25">
        <v>2025</v>
      </c>
      <c r="B203" s="26" t="s">
        <v>1836</v>
      </c>
      <c r="C203" s="26">
        <f>LN(Inventory[[#This Row],[Acres]])</f>
        <v>-1.5606477482646683</v>
      </c>
      <c r="D203" s="25">
        <v>0.21</v>
      </c>
      <c r="E203" s="31"/>
      <c r="F203" s="26" t="s">
        <v>537</v>
      </c>
      <c r="G203" s="26" t="s">
        <v>126</v>
      </c>
      <c r="H203" s="26" t="s">
        <v>349</v>
      </c>
      <c r="I203" s="26" t="s">
        <v>538</v>
      </c>
      <c r="J203" s="26" t="s">
        <v>539</v>
      </c>
      <c r="K203" s="26" t="s">
        <v>241</v>
      </c>
      <c r="L203" s="26" t="s">
        <v>302</v>
      </c>
      <c r="M203" s="26" t="s">
        <v>323</v>
      </c>
      <c r="N203" s="26">
        <v>50</v>
      </c>
      <c r="O203" s="26">
        <f>2024-Inventory[[#This Row],[YrBlt]]</f>
        <v>47</v>
      </c>
      <c r="P203" s="26">
        <f>2024-Inventory[[#This Row],[EffYr]]</f>
        <v>45</v>
      </c>
      <c r="Q203" s="25">
        <v>1977</v>
      </c>
      <c r="R203" s="25">
        <v>1979</v>
      </c>
      <c r="S203" s="25">
        <v>1546</v>
      </c>
      <c r="T203" s="27"/>
      <c r="U203" s="31"/>
      <c r="V203" s="31">
        <f>Inventory[[#This Row],[Bsmt]]-Inventory[[#This Row],[FnBsmt]]</f>
        <v>0</v>
      </c>
      <c r="W203" s="31"/>
      <c r="X203" s="27"/>
      <c r="Y203" s="27">
        <f>Inventory[[#This Row],[MainFn]]+Inventory[[#This Row],[UpprFn]]+Inventory[[#This Row],[FnBsmt]]+Inventory[[#This Row],[AddFn]]</f>
        <v>1546</v>
      </c>
      <c r="Z203" s="27">
        <v>2000</v>
      </c>
      <c r="AA203" s="25">
        <v>8</v>
      </c>
      <c r="AB203" s="25">
        <v>576</v>
      </c>
      <c r="AC203" s="27"/>
      <c r="AD203" s="25">
        <v>196</v>
      </c>
      <c r="AE203" s="27"/>
      <c r="AF203" s="27"/>
      <c r="AG203" s="27"/>
      <c r="AH203" s="27"/>
      <c r="AI203" s="25">
        <v>322653</v>
      </c>
      <c r="AJ203" s="25">
        <v>248443</v>
      </c>
      <c r="AK203" s="25">
        <v>0</v>
      </c>
      <c r="AL203" s="25">
        <v>319800</v>
      </c>
      <c r="AM203" s="25">
        <v>60100</v>
      </c>
      <c r="AN203" s="25">
        <v>259700</v>
      </c>
      <c r="AO203" s="25">
        <v>0</v>
      </c>
      <c r="AP203" s="25">
        <f>Lookups!$B$56*0</f>
        <v>0</v>
      </c>
      <c r="AQ203" s="25">
        <f>Lookups!$B$56*1</f>
        <v>89850.625589999996</v>
      </c>
      <c r="AR203" s="25">
        <f>Lookups!$B$57*Inventory[[#This Row],[LnAcres]]</f>
        <v>-49401.70477837498</v>
      </c>
      <c r="AS203" s="25">
        <f>VLOOKUP(Inventory[[#This Row],[Qlty]],Lookups!$A$62:$E$75,2,FALSE)</f>
        <v>29814.093161000001</v>
      </c>
      <c r="AT203" s="25">
        <f>VLOOKUP(Inventory[[#This Row],[Cnd]],Lookups!$A$76:$E$84,2,FALSE)</f>
        <v>160472.20319</v>
      </c>
      <c r="AU203" s="25">
        <f>Inventory[[#This Row],[EffAge]]*Lookups!$B$85</f>
        <v>-10037.0520225</v>
      </c>
      <c r="AV203" s="25">
        <f>Inventory[[#This Row],[MainFn]]*Lookups!$B$86</f>
        <v>76385.803629842005</v>
      </c>
      <c r="AW203" s="25">
        <f>Inventory[[#This Row],[UpprFn]]*Lookups!$B$87</f>
        <v>0</v>
      </c>
      <c r="AX203" s="25">
        <f>Inventory[[#This Row],[AddFn]]*Lookups!$B$88</f>
        <v>0</v>
      </c>
      <c r="AY203" s="25">
        <f>Inventory[[#This Row],[Bsmt]]*Lookups!$B$89</f>
        <v>0</v>
      </c>
      <c r="AZ203" s="25">
        <f>Inventory[[#This Row],[Fixtures]]*Lookups!$B$90</f>
        <v>30336.176841600001</v>
      </c>
      <c r="BA203" s="25">
        <f>Inventory[[#This Row],[WdDeck]]*Lookups!$B$91</f>
        <v>6525.9209940960009</v>
      </c>
      <c r="BB203" s="25">
        <f>ROUND(Inventory[[#This Row],[25Det]],-2)</f>
        <v>0</v>
      </c>
      <c r="BC203" s="25">
        <f>ROUND(SUM(Inventory[[#This Row],[Mdl Qlty]:[Mdl WdDeck]])+Inventory[[#This Row],[Mdl Res Intercept]],-2)</f>
        <v>293500</v>
      </c>
      <c r="BD203" s="25">
        <f>ROUND(Inventory[[#This Row],[Mdl Land Intercept]]+Inventory[[#This Row],[Mdl LnAcres]],-2)</f>
        <v>40400</v>
      </c>
      <c r="BE203" s="25">
        <f>Inventory[[#This Row],[Unadj Res Value]]+Inventory[[#This Row],[Unadj Det Value]]+Inventory[[#This Row],[Unadj Land Value]]</f>
        <v>333900</v>
      </c>
      <c r="BF203" s="36">
        <f>(Inventory[[#This Row],[Unadj Total Value]]-Inventory[[#This Row],[24Final]])/Inventory[[#This Row],[24Final]]</f>
        <v>4.4090056285178238E-2</v>
      </c>
      <c r="BG203" s="25">
        <f>VLOOKUP(Inventory[[#This Row],[Nbhd]],Lookups!$Q$2:$T$4,4,FALSE)</f>
        <v>0.99970000000000003</v>
      </c>
      <c r="BH203" s="25">
        <f>VLOOKUP(Inventory[[#This Row],[Qlty]],Lookups!$O$7:$R$21,4,FALSE)</f>
        <v>1.0088999999999999</v>
      </c>
      <c r="BI203" s="25">
        <f>VLOOKUP(Inventory[[#This Row],[Cnd]],Lookups!$T$7:$W$16,4,FALSE)</f>
        <v>0.99729999999999996</v>
      </c>
      <c r="BJ203" s="25">
        <f>VLOOKUP(Inventory[[#This Row],[LivArea Range]],Lookups!$T$25:$W$37,4,FALSE)</f>
        <v>1.0093000000000001</v>
      </c>
      <c r="BK203" s="25">
        <f>VLOOKUP(Inventory[[#This Row],[Decade]],Lookups!$O$25:$R$42,4,FALSE)</f>
        <v>0.96919999999999995</v>
      </c>
      <c r="BL203" s="25">
        <f>Inventory[[#This Row],[Nbhd Adj]]*0.95</f>
        <v>0.94971499999999998</v>
      </c>
      <c r="BM203" s="25">
        <f>Inventory[[#This Row],[Nbhd Adj]]*Inventory[[#This Row],[Quality Adj]]*Inventory[[#This Row],[Condition Adj]]*Inventory[[#This Row],[Living Area Adj]]*Inventory[[#This Row],[Decade Adj]]*0.95</f>
        <v>0.93476171605152947</v>
      </c>
      <c r="BN203" s="25">
        <f>ROUND(SUM(Inventory[[#This Row],[Mdl Qlty]:[Mdl WdDeck]])+Inventory[[#This Row],[Mdl Res Intercept]]*Inventory[[#This Row],[Res Adj ]],-2)</f>
        <v>293500</v>
      </c>
      <c r="BO203" s="25">
        <f>ROUND(Inventory[[#This Row],[25Det]]*Inventory[[#This Row],[Det/Nbhd Adj]],-2)</f>
        <v>0</v>
      </c>
      <c r="BP203" s="25">
        <f>Inventory[[#This Row],[Adjusted Res]]+Inventory[[#This Row],[Adj Det ]]</f>
        <v>293500</v>
      </c>
      <c r="BQ203" s="25">
        <f>ROUND((Inventory[[#This Row],[Mdl Land Intercept]]+Inventory[[#This Row],[Mdl LnAcres]])*Inventory[[#This Row],[Det/Nbhd Adj]],-2)</f>
        <v>38400</v>
      </c>
      <c r="BR203" s="25">
        <f>Inventory[[#This Row],[Adjusted Impr Total]]+Inventory[[#This Row],[Adjusted Land Total]]</f>
        <v>331900</v>
      </c>
      <c r="BS203" s="36">
        <f>IFERROR((Inventory[[#This Row],[Adjusted Impr Total]]-Inventory[[#This Row],[24Bldg]])/Inventory[[#This Row],[24Bldg]],0)</f>
        <v>0.13015017327685791</v>
      </c>
      <c r="BT203" s="36">
        <f>(Inventory[[#This Row],[Adjusted Land Total]]-Inventory[[#This Row],[24Lnd]])/Inventory[[#This Row],[24Lnd]]</f>
        <v>-0.36106489184692181</v>
      </c>
      <c r="BU203" s="36">
        <f>(Inventory[[#This Row],[Adjusted Total]]-Inventory[[#This Row],[24Final]])/Inventory[[#This Row],[24Final]]</f>
        <v>3.7836147592245156E-2</v>
      </c>
    </row>
    <row r="204" spans="1:73" x14ac:dyDescent="0.3">
      <c r="A204" s="25">
        <v>2025</v>
      </c>
      <c r="B204" s="26" t="s">
        <v>541</v>
      </c>
      <c r="C204" s="26">
        <f>LN(Inventory[[#This Row],[Acres]])</f>
        <v>-0.89159811928378363</v>
      </c>
      <c r="D204" s="25">
        <v>0.41</v>
      </c>
      <c r="E204" s="25">
        <v>17837</v>
      </c>
      <c r="F204" s="26" t="s">
        <v>537</v>
      </c>
      <c r="G204" s="26" t="s">
        <v>126</v>
      </c>
      <c r="H204" s="26" t="s">
        <v>349</v>
      </c>
      <c r="I204" s="26" t="s">
        <v>538</v>
      </c>
      <c r="J204" s="26" t="s">
        <v>539</v>
      </c>
      <c r="K204" s="26" t="s">
        <v>350</v>
      </c>
      <c r="L204" s="26" t="s">
        <v>148</v>
      </c>
      <c r="M204" s="26" t="s">
        <v>323</v>
      </c>
      <c r="N204" s="26">
        <v>50</v>
      </c>
      <c r="O204" s="26">
        <f>2024-Inventory[[#This Row],[YrBlt]]</f>
        <v>47</v>
      </c>
      <c r="P204" s="26">
        <f>2024-Inventory[[#This Row],[EffYr]]</f>
        <v>45</v>
      </c>
      <c r="Q204" s="25">
        <v>1977</v>
      </c>
      <c r="R204" s="25">
        <v>1979</v>
      </c>
      <c r="S204" s="25">
        <v>1440</v>
      </c>
      <c r="T204" s="27"/>
      <c r="U204" s="25">
        <v>456</v>
      </c>
      <c r="V204" s="25">
        <f>Inventory[[#This Row],[Bsmt]]-Inventory[[#This Row],[FnBsmt]]</f>
        <v>0</v>
      </c>
      <c r="W204" s="25">
        <v>456</v>
      </c>
      <c r="X204" s="27"/>
      <c r="Y204" s="27">
        <f>Inventory[[#This Row],[MainFn]]+Inventory[[#This Row],[UpprFn]]+Inventory[[#This Row],[FnBsmt]]+Inventory[[#This Row],[AddFn]]</f>
        <v>1896</v>
      </c>
      <c r="Z204" s="27">
        <v>2000</v>
      </c>
      <c r="AA204" s="25">
        <v>11</v>
      </c>
      <c r="AB204" s="25">
        <v>576</v>
      </c>
      <c r="AC204" s="27"/>
      <c r="AD204" s="32">
        <v>300</v>
      </c>
      <c r="AE204" s="27"/>
      <c r="AF204" s="27"/>
      <c r="AG204" s="27"/>
      <c r="AH204" s="27"/>
      <c r="AI204" s="25">
        <v>417604</v>
      </c>
      <c r="AJ204" s="25">
        <v>321555</v>
      </c>
      <c r="AK204" s="25">
        <v>0</v>
      </c>
      <c r="AL204" s="25">
        <v>375500</v>
      </c>
      <c r="AM204" s="25">
        <v>83400</v>
      </c>
      <c r="AN204" s="25">
        <v>292100</v>
      </c>
      <c r="AO204" s="25">
        <v>0</v>
      </c>
      <c r="AP204" s="25">
        <f>Lookups!$B$56*0</f>
        <v>0</v>
      </c>
      <c r="AQ204" s="25">
        <f>Lookups!$B$56*1</f>
        <v>89850.625589999996</v>
      </c>
      <c r="AR204" s="25">
        <f>Lookups!$B$57*Inventory[[#This Row],[LnAcres]]</f>
        <v>-28223.195861326454</v>
      </c>
      <c r="AS204" s="25">
        <f>VLOOKUP(Inventory[[#This Row],[Qlty]],Lookups!$A$62:$E$75,2,FALSE)</f>
        <v>44121.038090000002</v>
      </c>
      <c r="AT204" s="25">
        <f>VLOOKUP(Inventory[[#This Row],[Cnd]],Lookups!$A$76:$E$84,2,FALSE)</f>
        <v>160472.20319</v>
      </c>
      <c r="AU204" s="25">
        <f>Inventory[[#This Row],[EffAge]]*Lookups!$B$85</f>
        <v>-10037.0520225</v>
      </c>
      <c r="AV204" s="25">
        <f>Inventory[[#This Row],[MainFn]]*Lookups!$B$86</f>
        <v>71148.484622880002</v>
      </c>
      <c r="AW204" s="25">
        <f>Inventory[[#This Row],[UpprFn]]*Lookups!$B$87</f>
        <v>0</v>
      </c>
      <c r="AX204" s="25">
        <f>Inventory[[#This Row],[AddFn]]*Lookups!$B$88</f>
        <v>0</v>
      </c>
      <c r="AY204" s="25">
        <f>Inventory[[#This Row],[Bsmt]]*Lookups!$B$89</f>
        <v>13261.344232632</v>
      </c>
      <c r="AZ204" s="25">
        <f>Inventory[[#This Row],[Fixtures]]*Lookups!$B$90</f>
        <v>41712.243157199999</v>
      </c>
      <c r="BA204" s="25">
        <f>Inventory[[#This Row],[WdDeck]]*Lookups!$B$91</f>
        <v>9988.6545828000017</v>
      </c>
      <c r="BB204" s="25">
        <f>ROUND(Inventory[[#This Row],[25Det]],-2)</f>
        <v>0</v>
      </c>
      <c r="BC204" s="25">
        <f>ROUND(SUM(Inventory[[#This Row],[Mdl Qlty]:[Mdl WdDeck]])+Inventory[[#This Row],[Mdl Res Intercept]],-2)</f>
        <v>330700</v>
      </c>
      <c r="BD204" s="25">
        <f>ROUND(Inventory[[#This Row],[Mdl Land Intercept]]+Inventory[[#This Row],[Mdl LnAcres]],-2)</f>
        <v>61600</v>
      </c>
      <c r="BE204" s="25">
        <f>Inventory[[#This Row],[Unadj Res Value]]+Inventory[[#This Row],[Unadj Det Value]]+Inventory[[#This Row],[Unadj Land Value]]</f>
        <v>392300</v>
      </c>
      <c r="BF204" s="36">
        <f>(Inventory[[#This Row],[Unadj Total Value]]-Inventory[[#This Row],[24Final]])/Inventory[[#This Row],[24Final]]</f>
        <v>4.4740346205059921E-2</v>
      </c>
      <c r="BG204" s="25">
        <f>VLOOKUP(Inventory[[#This Row],[Nbhd]],Lookups!$Q$2:$T$4,4,FALSE)</f>
        <v>0.99970000000000003</v>
      </c>
      <c r="BH204" s="25">
        <f>VLOOKUP(Inventory[[#This Row],[Qlty]],Lookups!$O$7:$R$21,4,FALSE)</f>
        <v>0.98050000000000004</v>
      </c>
      <c r="BI204" s="25">
        <f>VLOOKUP(Inventory[[#This Row],[Cnd]],Lookups!$T$7:$W$16,4,FALSE)</f>
        <v>0.99729999999999996</v>
      </c>
      <c r="BJ204" s="25">
        <f>VLOOKUP(Inventory[[#This Row],[LivArea Range]],Lookups!$T$25:$W$37,4,FALSE)</f>
        <v>1.0093000000000001</v>
      </c>
      <c r="BK204" s="25">
        <f>VLOOKUP(Inventory[[#This Row],[Decade]],Lookups!$O$25:$R$42,4,FALSE)</f>
        <v>0.96919999999999995</v>
      </c>
      <c r="BL204" s="25">
        <f>Inventory[[#This Row],[Nbhd Adj]]*0.95</f>
        <v>0.94971499999999998</v>
      </c>
      <c r="BM204" s="25">
        <f>Inventory[[#This Row],[Nbhd Adj]]*Inventory[[#This Row],[Quality Adj]]*Inventory[[#This Row],[Condition Adj]]*Inventory[[#This Row],[Living Area Adj]]*Inventory[[#This Row],[Decade Adj]]*0.95</f>
        <v>0.90844866943059244</v>
      </c>
      <c r="BN204" s="25">
        <f>ROUND(SUM(Inventory[[#This Row],[Mdl Qlty]:[Mdl WdDeck]])+Inventory[[#This Row],[Mdl Res Intercept]]*Inventory[[#This Row],[Res Adj ]],-2)</f>
        <v>330700</v>
      </c>
      <c r="BO204" s="25">
        <f>ROUND(Inventory[[#This Row],[25Det]]*Inventory[[#This Row],[Det/Nbhd Adj]],-2)</f>
        <v>0</v>
      </c>
      <c r="BP204" s="25">
        <f>Inventory[[#This Row],[Adjusted Res]]+Inventory[[#This Row],[Adj Det ]]</f>
        <v>330700</v>
      </c>
      <c r="BQ204" s="25">
        <f>ROUND((Inventory[[#This Row],[Mdl Land Intercept]]+Inventory[[#This Row],[Mdl LnAcres]])*Inventory[[#This Row],[Det/Nbhd Adj]],-2)</f>
        <v>58500</v>
      </c>
      <c r="BR204" s="25">
        <f>Inventory[[#This Row],[Adjusted Impr Total]]+Inventory[[#This Row],[Adjusted Land Total]]</f>
        <v>389200</v>
      </c>
      <c r="BS204" s="36">
        <f>IFERROR((Inventory[[#This Row],[Adjusted Impr Total]]-Inventory[[#This Row],[24Bldg]])/Inventory[[#This Row],[24Bldg]],0)</f>
        <v>0.13214652516261555</v>
      </c>
      <c r="BT204" s="36">
        <f>(Inventory[[#This Row],[Adjusted Land Total]]-Inventory[[#This Row],[24Lnd]])/Inventory[[#This Row],[24Lnd]]</f>
        <v>-0.29856115107913667</v>
      </c>
      <c r="BU204" s="36">
        <f>(Inventory[[#This Row],[Adjusted Total]]-Inventory[[#This Row],[24Final]])/Inventory[[#This Row],[24Final]]</f>
        <v>3.6484687083888148E-2</v>
      </c>
    </row>
    <row r="205" spans="1:73" x14ac:dyDescent="0.3">
      <c r="A205" s="25">
        <v>2025</v>
      </c>
      <c r="B205" s="26" t="s">
        <v>2043</v>
      </c>
      <c r="C205" s="26">
        <f>LN(Inventory[[#This Row],[Acres]])</f>
        <v>-1.8325814637483102</v>
      </c>
      <c r="D205" s="25">
        <v>0.16</v>
      </c>
      <c r="E205" s="25">
        <v>7048</v>
      </c>
      <c r="F205" s="26" t="s">
        <v>537</v>
      </c>
      <c r="G205" s="26" t="s">
        <v>126</v>
      </c>
      <c r="H205" s="26" t="s">
        <v>349</v>
      </c>
      <c r="I205" s="26" t="s">
        <v>538</v>
      </c>
      <c r="J205" s="26" t="s">
        <v>539</v>
      </c>
      <c r="K205" s="26" t="s">
        <v>241</v>
      </c>
      <c r="L205" s="26" t="s">
        <v>351</v>
      </c>
      <c r="M205" s="26" t="s">
        <v>323</v>
      </c>
      <c r="N205" s="26">
        <v>50</v>
      </c>
      <c r="O205" s="26">
        <f>2024-Inventory[[#This Row],[YrBlt]]</f>
        <v>47</v>
      </c>
      <c r="P205" s="26">
        <f>2024-Inventory[[#This Row],[EffYr]]</f>
        <v>45</v>
      </c>
      <c r="Q205" s="25">
        <v>1977</v>
      </c>
      <c r="R205" s="25">
        <v>1979</v>
      </c>
      <c r="S205" s="25">
        <v>1176</v>
      </c>
      <c r="T205" s="27"/>
      <c r="U205" s="31"/>
      <c r="V205" s="31">
        <f>Inventory[[#This Row],[Bsmt]]-Inventory[[#This Row],[FnBsmt]]</f>
        <v>0</v>
      </c>
      <c r="W205" s="31"/>
      <c r="X205" s="27"/>
      <c r="Y205" s="27">
        <f>Inventory[[#This Row],[MainFn]]+Inventory[[#This Row],[UpprFn]]+Inventory[[#This Row],[FnBsmt]]+Inventory[[#This Row],[AddFn]]</f>
        <v>1176</v>
      </c>
      <c r="Z205" s="27">
        <v>1500</v>
      </c>
      <c r="AA205" s="25">
        <v>7</v>
      </c>
      <c r="AB205" s="25">
        <v>400</v>
      </c>
      <c r="AC205" s="27"/>
      <c r="AD205" s="27"/>
      <c r="AE205" s="27"/>
      <c r="AF205" s="27"/>
      <c r="AG205" s="27"/>
      <c r="AH205" s="27"/>
      <c r="AI205" s="25">
        <v>216588</v>
      </c>
      <c r="AJ205" s="25">
        <v>166773</v>
      </c>
      <c r="AK205" s="25">
        <v>0</v>
      </c>
      <c r="AL205" s="25">
        <v>277700</v>
      </c>
      <c r="AM205" s="25">
        <v>50600</v>
      </c>
      <c r="AN205" s="25">
        <v>227100</v>
      </c>
      <c r="AO205" s="25">
        <v>0</v>
      </c>
      <c r="AP205" s="25">
        <f>Lookups!$B$56*0</f>
        <v>0</v>
      </c>
      <c r="AQ205" s="25">
        <f>Lookups!$B$56*1</f>
        <v>89850.625589999996</v>
      </c>
      <c r="AR205" s="25">
        <f>Lookups!$B$57*Inventory[[#This Row],[LnAcres]]</f>
        <v>-58009.662049032086</v>
      </c>
      <c r="AS205" s="25">
        <f>VLOOKUP(Inventory[[#This Row],[Qlty]],Lookups!$A$62:$E$75,2,FALSE)</f>
        <v>21557.329055999999</v>
      </c>
      <c r="AT205" s="25">
        <f>VLOOKUP(Inventory[[#This Row],[Cnd]],Lookups!$A$76:$E$84,2,FALSE)</f>
        <v>160472.20319</v>
      </c>
      <c r="AU205" s="25">
        <f>Inventory[[#This Row],[EffAge]]*Lookups!$B$85</f>
        <v>-10037.0520225</v>
      </c>
      <c r="AV205" s="25">
        <f>Inventory[[#This Row],[MainFn]]*Lookups!$B$86</f>
        <v>58104.595775351998</v>
      </c>
      <c r="AW205" s="25">
        <f>Inventory[[#This Row],[UpprFn]]*Lookups!$B$87</f>
        <v>0</v>
      </c>
      <c r="AX205" s="25">
        <f>Inventory[[#This Row],[AddFn]]*Lookups!$B$88</f>
        <v>0</v>
      </c>
      <c r="AY205" s="25">
        <f>Inventory[[#This Row],[Bsmt]]*Lookups!$B$89</f>
        <v>0</v>
      </c>
      <c r="AZ205" s="25">
        <f>Inventory[[#This Row],[Fixtures]]*Lookups!$B$90</f>
        <v>26544.1547364</v>
      </c>
      <c r="BA205" s="25">
        <f>Inventory[[#This Row],[WdDeck]]*Lookups!$B$91</f>
        <v>0</v>
      </c>
      <c r="BB205" s="25">
        <f>ROUND(Inventory[[#This Row],[25Det]],-2)</f>
        <v>0</v>
      </c>
      <c r="BC205" s="25">
        <f>ROUND(SUM(Inventory[[#This Row],[Mdl Qlty]:[Mdl WdDeck]])+Inventory[[#This Row],[Mdl Res Intercept]],-2)</f>
        <v>256600</v>
      </c>
      <c r="BD205" s="25">
        <f>ROUND(Inventory[[#This Row],[Mdl Land Intercept]]+Inventory[[#This Row],[Mdl LnAcres]],-2)</f>
        <v>31800</v>
      </c>
      <c r="BE205" s="25">
        <f>Inventory[[#This Row],[Unadj Res Value]]+Inventory[[#This Row],[Unadj Det Value]]+Inventory[[#This Row],[Unadj Land Value]]</f>
        <v>288400</v>
      </c>
      <c r="BF205" s="36">
        <f>(Inventory[[#This Row],[Unadj Total Value]]-Inventory[[#This Row],[24Final]])/Inventory[[#This Row],[24Final]]</f>
        <v>3.8530788620813827E-2</v>
      </c>
      <c r="BG205" s="25">
        <f>VLOOKUP(Inventory[[#This Row],[Nbhd]],Lookups!$Q$2:$T$4,4,FALSE)</f>
        <v>0.99970000000000003</v>
      </c>
      <c r="BH205" s="25">
        <f>VLOOKUP(Inventory[[#This Row],[Qlty]],Lookups!$O$7:$R$21,4,FALSE)</f>
        <v>1.0067999999999999</v>
      </c>
      <c r="BI205" s="25">
        <f>VLOOKUP(Inventory[[#This Row],[Cnd]],Lookups!$T$7:$W$16,4,FALSE)</f>
        <v>0.99729999999999996</v>
      </c>
      <c r="BJ205" s="25">
        <f>VLOOKUP(Inventory[[#This Row],[LivArea Range]],Lookups!$T$25:$W$37,4,FALSE)</f>
        <v>1.0157</v>
      </c>
      <c r="BK205" s="25">
        <f>VLOOKUP(Inventory[[#This Row],[Decade]],Lookups!$O$25:$R$42,4,FALSE)</f>
        <v>0.96919999999999995</v>
      </c>
      <c r="BL205" s="25">
        <f>Inventory[[#This Row],[Nbhd Adj]]*0.95</f>
        <v>0.94971499999999998</v>
      </c>
      <c r="BM205" s="25">
        <f>Inventory[[#This Row],[Nbhd Adj]]*Inventory[[#This Row],[Quality Adj]]*Inventory[[#This Row],[Condition Adj]]*Inventory[[#This Row],[Living Area Adj]]*Inventory[[#This Row],[Decade Adj]]*0.95</f>
        <v>0.93873104601730073</v>
      </c>
      <c r="BN205" s="25">
        <f>ROUND(SUM(Inventory[[#This Row],[Mdl Qlty]:[Mdl WdDeck]])+Inventory[[#This Row],[Mdl Res Intercept]]*Inventory[[#This Row],[Res Adj ]],-2)</f>
        <v>256600</v>
      </c>
      <c r="BO205" s="25">
        <f>ROUND(Inventory[[#This Row],[25Det]]*Inventory[[#This Row],[Det/Nbhd Adj]],-2)</f>
        <v>0</v>
      </c>
      <c r="BP205" s="25">
        <f>Inventory[[#This Row],[Adjusted Res]]+Inventory[[#This Row],[Adj Det ]]</f>
        <v>256600</v>
      </c>
      <c r="BQ205" s="25">
        <f>ROUND((Inventory[[#This Row],[Mdl Land Intercept]]+Inventory[[#This Row],[Mdl LnAcres]])*Inventory[[#This Row],[Det/Nbhd Adj]],-2)</f>
        <v>30200</v>
      </c>
      <c r="BR205" s="25">
        <f>Inventory[[#This Row],[Adjusted Impr Total]]+Inventory[[#This Row],[Adjusted Land Total]]</f>
        <v>286800</v>
      </c>
      <c r="BS205" s="36">
        <f>IFERROR((Inventory[[#This Row],[Adjusted Impr Total]]-Inventory[[#This Row],[24Bldg]])/Inventory[[#This Row],[24Bldg]],0)</f>
        <v>0.12989872302950242</v>
      </c>
      <c r="BT205" s="36">
        <f>(Inventory[[#This Row],[Adjusted Land Total]]-Inventory[[#This Row],[24Lnd]])/Inventory[[#This Row],[24Lnd]]</f>
        <v>-0.40316205533596838</v>
      </c>
      <c r="BU205" s="36">
        <f>(Inventory[[#This Row],[Adjusted Total]]-Inventory[[#This Row],[24Final]])/Inventory[[#This Row],[24Final]]</f>
        <v>3.276917536910335E-2</v>
      </c>
    </row>
    <row r="206" spans="1:73" x14ac:dyDescent="0.3">
      <c r="A206" s="25">
        <v>2025</v>
      </c>
      <c r="B206" s="26" t="s">
        <v>2044</v>
      </c>
      <c r="C206" s="26">
        <f>LN(Inventory[[#This Row],[Acres]])</f>
        <v>-1.8325814637483102</v>
      </c>
      <c r="D206" s="25">
        <v>0.16</v>
      </c>
      <c r="E206" s="25">
        <v>7020</v>
      </c>
      <c r="F206" s="26" t="s">
        <v>537</v>
      </c>
      <c r="G206" s="26" t="s">
        <v>126</v>
      </c>
      <c r="H206" s="26" t="s">
        <v>349</v>
      </c>
      <c r="I206" s="26" t="s">
        <v>538</v>
      </c>
      <c r="J206" s="26" t="s">
        <v>539</v>
      </c>
      <c r="K206" s="26" t="s">
        <v>5</v>
      </c>
      <c r="L206" s="26" t="s">
        <v>302</v>
      </c>
      <c r="M206" s="26" t="s">
        <v>206</v>
      </c>
      <c r="N206" s="26">
        <v>50</v>
      </c>
      <c r="O206" s="26">
        <f>2024-Inventory[[#This Row],[YrBlt]]</f>
        <v>47</v>
      </c>
      <c r="P206" s="26">
        <f>2024-Inventory[[#This Row],[EffYr]]</f>
        <v>45</v>
      </c>
      <c r="Q206" s="25">
        <v>1977</v>
      </c>
      <c r="R206" s="25">
        <v>1979</v>
      </c>
      <c r="S206" s="25">
        <v>740</v>
      </c>
      <c r="T206" s="27"/>
      <c r="U206" s="25">
        <v>726</v>
      </c>
      <c r="V206" s="25">
        <f>Inventory[[#This Row],[Bsmt]]-Inventory[[#This Row],[FnBsmt]]</f>
        <v>0</v>
      </c>
      <c r="W206" s="25">
        <v>726</v>
      </c>
      <c r="X206" s="27"/>
      <c r="Y206" s="27">
        <f>Inventory[[#This Row],[MainFn]]+Inventory[[#This Row],[UpprFn]]+Inventory[[#This Row],[FnBsmt]]+Inventory[[#This Row],[AddFn]]</f>
        <v>1466</v>
      </c>
      <c r="Z206" s="27">
        <v>1500</v>
      </c>
      <c r="AA206" s="25">
        <v>9</v>
      </c>
      <c r="AB206" s="32">
        <v>480</v>
      </c>
      <c r="AC206" s="27"/>
      <c r="AD206" s="27"/>
      <c r="AE206" s="27"/>
      <c r="AF206" s="27"/>
      <c r="AG206" s="27"/>
      <c r="AH206" s="27"/>
      <c r="AI206" s="25">
        <v>271432</v>
      </c>
      <c r="AJ206" s="25">
        <v>206288</v>
      </c>
      <c r="AK206" s="25">
        <v>0</v>
      </c>
      <c r="AL206" s="25">
        <v>267100</v>
      </c>
      <c r="AM206" s="25">
        <v>50600</v>
      </c>
      <c r="AN206" s="25">
        <v>216500</v>
      </c>
      <c r="AO206" s="25">
        <v>0</v>
      </c>
      <c r="AP206" s="25">
        <f>Lookups!$B$56*0</f>
        <v>0</v>
      </c>
      <c r="AQ206" s="25">
        <f>Lookups!$B$56*1</f>
        <v>89850.625589999996</v>
      </c>
      <c r="AR206" s="25">
        <f>Lookups!$B$57*Inventory[[#This Row],[LnAcres]]</f>
        <v>-58009.662049032086</v>
      </c>
      <c r="AS206" s="25">
        <f>VLOOKUP(Inventory[[#This Row],[Qlty]],Lookups!$A$62:$E$75,2,FALSE)</f>
        <v>29814.093161000001</v>
      </c>
      <c r="AT206" s="25">
        <f>VLOOKUP(Inventory[[#This Row],[Cnd]],Lookups!$A$76:$E$84,2,FALSE)</f>
        <v>133714.53821</v>
      </c>
      <c r="AU206" s="25">
        <f>Inventory[[#This Row],[EffAge]]*Lookups!$B$85</f>
        <v>-10037.0520225</v>
      </c>
      <c r="AV206" s="25">
        <f>Inventory[[#This Row],[MainFn]]*Lookups!$B$86</f>
        <v>36562.415708979999</v>
      </c>
      <c r="AW206" s="25">
        <f>Inventory[[#This Row],[UpprFn]]*Lookups!$B$87</f>
        <v>0</v>
      </c>
      <c r="AX206" s="25">
        <f>Inventory[[#This Row],[AddFn]]*Lookups!$B$88</f>
        <v>0</v>
      </c>
      <c r="AY206" s="25">
        <f>Inventory[[#This Row],[Bsmt]]*Lookups!$B$89</f>
        <v>21113.455949322</v>
      </c>
      <c r="AZ206" s="25">
        <f>Inventory[[#This Row],[Fixtures]]*Lookups!$B$90</f>
        <v>34128.198946800003</v>
      </c>
      <c r="BA206" s="25">
        <f>Inventory[[#This Row],[WdDeck]]*Lookups!$B$91</f>
        <v>0</v>
      </c>
      <c r="BB206" s="25">
        <f>ROUND(Inventory[[#This Row],[25Det]],-2)</f>
        <v>0</v>
      </c>
      <c r="BC206" s="25">
        <f>ROUND(SUM(Inventory[[#This Row],[Mdl Qlty]:[Mdl WdDeck]])+Inventory[[#This Row],[Mdl Res Intercept]],-2)</f>
        <v>245300</v>
      </c>
      <c r="BD206" s="25">
        <f>ROUND(Inventory[[#This Row],[Mdl Land Intercept]]+Inventory[[#This Row],[Mdl LnAcres]],-2)</f>
        <v>31800</v>
      </c>
      <c r="BE206" s="25">
        <f>Inventory[[#This Row],[Unadj Res Value]]+Inventory[[#This Row],[Unadj Det Value]]+Inventory[[#This Row],[Unadj Land Value]]</f>
        <v>277100</v>
      </c>
      <c r="BF206" s="36">
        <f>(Inventory[[#This Row],[Unadj Total Value]]-Inventory[[#This Row],[24Final]])/Inventory[[#This Row],[24Final]]</f>
        <v>3.7439161362785474E-2</v>
      </c>
      <c r="BG206" s="25">
        <f>VLOOKUP(Inventory[[#This Row],[Nbhd]],Lookups!$Q$2:$T$4,4,FALSE)</f>
        <v>0.99970000000000003</v>
      </c>
      <c r="BH206" s="25">
        <f>VLOOKUP(Inventory[[#This Row],[Qlty]],Lookups!$O$7:$R$21,4,FALSE)</f>
        <v>1.0088999999999999</v>
      </c>
      <c r="BI206" s="25">
        <f>VLOOKUP(Inventory[[#This Row],[Cnd]],Lookups!$T$7:$W$16,4,FALSE)</f>
        <v>0.99329999999999996</v>
      </c>
      <c r="BJ206" s="25">
        <f>VLOOKUP(Inventory[[#This Row],[LivArea Range]],Lookups!$T$25:$W$37,4,FALSE)</f>
        <v>1.0157</v>
      </c>
      <c r="BK206" s="25">
        <f>VLOOKUP(Inventory[[#This Row],[Decade]],Lookups!$O$25:$R$42,4,FALSE)</f>
        <v>0.96919999999999995</v>
      </c>
      <c r="BL206" s="25">
        <f>Inventory[[#This Row],[Nbhd Adj]]*0.95</f>
        <v>0.94971499999999998</v>
      </c>
      <c r="BM206" s="25">
        <f>Inventory[[#This Row],[Nbhd Adj]]*Inventory[[#This Row],[Quality Adj]]*Inventory[[#This Row],[Condition Adj]]*Inventory[[#This Row],[Living Area Adj]]*Inventory[[#This Row],[Decade Adj]]*0.95</f>
        <v>0.936916123460105</v>
      </c>
      <c r="BN206" s="25">
        <f>ROUND(SUM(Inventory[[#This Row],[Mdl Qlty]:[Mdl WdDeck]])+Inventory[[#This Row],[Mdl Res Intercept]]*Inventory[[#This Row],[Res Adj ]],-2)</f>
        <v>245300</v>
      </c>
      <c r="BO206" s="25">
        <f>ROUND(Inventory[[#This Row],[25Det]]*Inventory[[#This Row],[Det/Nbhd Adj]],-2)</f>
        <v>0</v>
      </c>
      <c r="BP206" s="25">
        <f>Inventory[[#This Row],[Adjusted Res]]+Inventory[[#This Row],[Adj Det ]]</f>
        <v>245300</v>
      </c>
      <c r="BQ206" s="25">
        <f>ROUND((Inventory[[#This Row],[Mdl Land Intercept]]+Inventory[[#This Row],[Mdl LnAcres]])*Inventory[[#This Row],[Det/Nbhd Adj]],-2)</f>
        <v>30200</v>
      </c>
      <c r="BR206" s="25">
        <f>Inventory[[#This Row],[Adjusted Impr Total]]+Inventory[[#This Row],[Adjusted Land Total]]</f>
        <v>275500</v>
      </c>
      <c r="BS206" s="36">
        <f>IFERROR((Inventory[[#This Row],[Adjusted Impr Total]]-Inventory[[#This Row],[24Bldg]])/Inventory[[#This Row],[24Bldg]],0)</f>
        <v>0.13302540415704389</v>
      </c>
      <c r="BT206" s="36">
        <f>(Inventory[[#This Row],[Adjusted Land Total]]-Inventory[[#This Row],[24Lnd]])/Inventory[[#This Row],[24Lnd]]</f>
        <v>-0.40316205533596838</v>
      </c>
      <c r="BU206" s="36">
        <f>(Inventory[[#This Row],[Adjusted Total]]-Inventory[[#This Row],[24Final]])/Inventory[[#This Row],[24Final]]</f>
        <v>3.1448895544739799E-2</v>
      </c>
    </row>
    <row r="207" spans="1:73" x14ac:dyDescent="0.3">
      <c r="A207" s="25">
        <v>2025</v>
      </c>
      <c r="B207" s="26" t="s">
        <v>2045</v>
      </c>
      <c r="C207" s="26">
        <f>LN(Inventory[[#This Row],[Acres]])</f>
        <v>-1.8325814637483102</v>
      </c>
      <c r="D207" s="25">
        <v>0.16</v>
      </c>
      <c r="E207" s="25">
        <v>7092</v>
      </c>
      <c r="F207" s="26" t="s">
        <v>537</v>
      </c>
      <c r="G207" s="26" t="s">
        <v>126</v>
      </c>
      <c r="H207" s="26" t="s">
        <v>349</v>
      </c>
      <c r="I207" s="26" t="s">
        <v>538</v>
      </c>
      <c r="J207" s="26" t="s">
        <v>539</v>
      </c>
      <c r="K207" s="26" t="s">
        <v>5</v>
      </c>
      <c r="L207" s="26" t="s">
        <v>302</v>
      </c>
      <c r="M207" s="26" t="s">
        <v>323</v>
      </c>
      <c r="N207" s="26">
        <v>50</v>
      </c>
      <c r="O207" s="26">
        <f>2024-Inventory[[#This Row],[YrBlt]]</f>
        <v>47</v>
      </c>
      <c r="P207" s="26">
        <f>2024-Inventory[[#This Row],[EffYr]]</f>
        <v>45</v>
      </c>
      <c r="Q207" s="25">
        <v>1977</v>
      </c>
      <c r="R207" s="25">
        <v>1979</v>
      </c>
      <c r="S207" s="25">
        <v>740</v>
      </c>
      <c r="T207" s="27"/>
      <c r="U207" s="25">
        <v>726</v>
      </c>
      <c r="V207" s="25">
        <f>Inventory[[#This Row],[Bsmt]]-Inventory[[#This Row],[FnBsmt]]</f>
        <v>0</v>
      </c>
      <c r="W207" s="25">
        <v>726</v>
      </c>
      <c r="X207" s="27"/>
      <c r="Y207" s="27">
        <f>Inventory[[#This Row],[MainFn]]+Inventory[[#This Row],[UpprFn]]+Inventory[[#This Row],[FnBsmt]]+Inventory[[#This Row],[AddFn]]</f>
        <v>1466</v>
      </c>
      <c r="Z207" s="27">
        <v>1500</v>
      </c>
      <c r="AA207" s="25">
        <v>9</v>
      </c>
      <c r="AB207" s="32">
        <v>480</v>
      </c>
      <c r="AC207" s="27"/>
      <c r="AD207" s="27"/>
      <c r="AE207" s="27"/>
      <c r="AF207" s="27"/>
      <c r="AG207" s="27"/>
      <c r="AH207" s="27"/>
      <c r="AI207" s="25">
        <v>267743</v>
      </c>
      <c r="AJ207" s="25">
        <v>206162</v>
      </c>
      <c r="AK207" s="25">
        <v>9339</v>
      </c>
      <c r="AL207" s="25">
        <v>305500</v>
      </c>
      <c r="AM207" s="25">
        <v>50600</v>
      </c>
      <c r="AN207" s="25">
        <v>254900</v>
      </c>
      <c r="AO207" s="25">
        <v>0</v>
      </c>
      <c r="AP207" s="25">
        <f>Lookups!$B$56*0</f>
        <v>0</v>
      </c>
      <c r="AQ207" s="25">
        <f>Lookups!$B$56*1</f>
        <v>89850.625589999996</v>
      </c>
      <c r="AR207" s="25">
        <f>Lookups!$B$57*Inventory[[#This Row],[LnAcres]]</f>
        <v>-58009.662049032086</v>
      </c>
      <c r="AS207" s="25">
        <f>VLOOKUP(Inventory[[#This Row],[Qlty]],Lookups!$A$62:$E$75,2,FALSE)</f>
        <v>29814.093161000001</v>
      </c>
      <c r="AT207" s="25">
        <f>VLOOKUP(Inventory[[#This Row],[Cnd]],Lookups!$A$76:$E$84,2,FALSE)</f>
        <v>160472.20319</v>
      </c>
      <c r="AU207" s="25">
        <f>Inventory[[#This Row],[EffAge]]*Lookups!$B$85</f>
        <v>-10037.0520225</v>
      </c>
      <c r="AV207" s="25">
        <f>Inventory[[#This Row],[MainFn]]*Lookups!$B$86</f>
        <v>36562.415708979999</v>
      </c>
      <c r="AW207" s="25">
        <f>Inventory[[#This Row],[UpprFn]]*Lookups!$B$87</f>
        <v>0</v>
      </c>
      <c r="AX207" s="25">
        <f>Inventory[[#This Row],[AddFn]]*Lookups!$B$88</f>
        <v>0</v>
      </c>
      <c r="AY207" s="25">
        <f>Inventory[[#This Row],[Bsmt]]*Lookups!$B$89</f>
        <v>21113.455949322</v>
      </c>
      <c r="AZ207" s="25">
        <f>Inventory[[#This Row],[Fixtures]]*Lookups!$B$90</f>
        <v>34128.198946800003</v>
      </c>
      <c r="BA207" s="25">
        <f>Inventory[[#This Row],[WdDeck]]*Lookups!$B$91</f>
        <v>0</v>
      </c>
      <c r="BB207" s="25">
        <f>ROUND(Inventory[[#This Row],[25Det]],-2)</f>
        <v>9300</v>
      </c>
      <c r="BC207" s="25">
        <f>ROUND(SUM(Inventory[[#This Row],[Mdl Qlty]:[Mdl WdDeck]])+Inventory[[#This Row],[Mdl Res Intercept]],-2)</f>
        <v>272100</v>
      </c>
      <c r="BD207" s="25">
        <f>ROUND(Inventory[[#This Row],[Mdl Land Intercept]]+Inventory[[#This Row],[Mdl LnAcres]],-2)</f>
        <v>31800</v>
      </c>
      <c r="BE207" s="25">
        <f>Inventory[[#This Row],[Unadj Res Value]]+Inventory[[#This Row],[Unadj Det Value]]+Inventory[[#This Row],[Unadj Land Value]]</f>
        <v>313200</v>
      </c>
      <c r="BF207" s="36">
        <f>(Inventory[[#This Row],[Unadj Total Value]]-Inventory[[#This Row],[24Final]])/Inventory[[#This Row],[24Final]]</f>
        <v>2.5204582651391163E-2</v>
      </c>
      <c r="BG207" s="25">
        <f>VLOOKUP(Inventory[[#This Row],[Nbhd]],Lookups!$Q$2:$T$4,4,FALSE)</f>
        <v>0.99970000000000003</v>
      </c>
      <c r="BH207" s="25">
        <f>VLOOKUP(Inventory[[#This Row],[Qlty]],Lookups!$O$7:$R$21,4,FALSE)</f>
        <v>1.0088999999999999</v>
      </c>
      <c r="BI207" s="25">
        <f>VLOOKUP(Inventory[[#This Row],[Cnd]],Lookups!$T$7:$W$16,4,FALSE)</f>
        <v>0.99729999999999996</v>
      </c>
      <c r="BJ207" s="25">
        <f>VLOOKUP(Inventory[[#This Row],[LivArea Range]],Lookups!$T$25:$W$37,4,FALSE)</f>
        <v>1.0157</v>
      </c>
      <c r="BK207" s="25">
        <f>VLOOKUP(Inventory[[#This Row],[Decade]],Lookups!$O$25:$R$42,4,FALSE)</f>
        <v>0.96919999999999995</v>
      </c>
      <c r="BL207" s="25">
        <f>Inventory[[#This Row],[Nbhd Adj]]*0.95</f>
        <v>0.94971499999999998</v>
      </c>
      <c r="BM207" s="25">
        <f>Inventory[[#This Row],[Nbhd Adj]]*Inventory[[#This Row],[Quality Adj]]*Inventory[[#This Row],[Condition Adj]]*Inventory[[#This Row],[Living Area Adj]]*Inventory[[#This Row],[Decade Adj]]*0.95</f>
        <v>0.94068906667347507</v>
      </c>
      <c r="BN207" s="25">
        <f>ROUND(SUM(Inventory[[#This Row],[Mdl Qlty]:[Mdl WdDeck]])+Inventory[[#This Row],[Mdl Res Intercept]]*Inventory[[#This Row],[Res Adj ]],-2)</f>
        <v>272100</v>
      </c>
      <c r="BO207" s="25">
        <f>ROUND(Inventory[[#This Row],[25Det]]*Inventory[[#This Row],[Det/Nbhd Adj]],-2)</f>
        <v>8900</v>
      </c>
      <c r="BP207" s="25">
        <f>Inventory[[#This Row],[Adjusted Res]]+Inventory[[#This Row],[Adj Det ]]</f>
        <v>281000</v>
      </c>
      <c r="BQ207" s="25">
        <f>ROUND((Inventory[[#This Row],[Mdl Land Intercept]]+Inventory[[#This Row],[Mdl LnAcres]])*Inventory[[#This Row],[Det/Nbhd Adj]],-2)</f>
        <v>30200</v>
      </c>
      <c r="BR207" s="25">
        <f>Inventory[[#This Row],[Adjusted Impr Total]]+Inventory[[#This Row],[Adjusted Land Total]]</f>
        <v>311200</v>
      </c>
      <c r="BS207" s="36">
        <f>IFERROR((Inventory[[#This Row],[Adjusted Impr Total]]-Inventory[[#This Row],[24Bldg]])/Inventory[[#This Row],[24Bldg]],0)</f>
        <v>0.10239309533150255</v>
      </c>
      <c r="BT207" s="36">
        <f>(Inventory[[#This Row],[Adjusted Land Total]]-Inventory[[#This Row],[24Lnd]])/Inventory[[#This Row],[24Lnd]]</f>
        <v>-0.40316205533596838</v>
      </c>
      <c r="BU207" s="36">
        <f>(Inventory[[#This Row],[Adjusted Total]]-Inventory[[#This Row],[24Final]])/Inventory[[#This Row],[24Final]]</f>
        <v>1.8657937806873977E-2</v>
      </c>
    </row>
    <row r="208" spans="1:73" x14ac:dyDescent="0.3">
      <c r="A208" s="25">
        <v>2025</v>
      </c>
      <c r="B208" s="26" t="s">
        <v>1018</v>
      </c>
      <c r="C208" s="26">
        <f>LN(Inventory[[#This Row],[Acres]])</f>
        <v>-1.7147984280919266</v>
      </c>
      <c r="D208" s="25">
        <v>0.18</v>
      </c>
      <c r="E208" s="25">
        <v>7874</v>
      </c>
      <c r="F208" s="26" t="s">
        <v>537</v>
      </c>
      <c r="G208" s="26" t="s">
        <v>126</v>
      </c>
      <c r="H208" s="26" t="s">
        <v>349</v>
      </c>
      <c r="I208" s="26" t="s">
        <v>538</v>
      </c>
      <c r="J208" s="26" t="s">
        <v>539</v>
      </c>
      <c r="K208" s="26" t="s">
        <v>350</v>
      </c>
      <c r="L208" s="26" t="s">
        <v>148</v>
      </c>
      <c r="M208" s="26" t="s">
        <v>323</v>
      </c>
      <c r="N208" s="26">
        <v>50</v>
      </c>
      <c r="O208" s="26">
        <f>2024-Inventory[[#This Row],[YrBlt]]</f>
        <v>47</v>
      </c>
      <c r="P208" s="26">
        <f>2024-Inventory[[#This Row],[EffYr]]</f>
        <v>45</v>
      </c>
      <c r="Q208" s="25">
        <v>1977</v>
      </c>
      <c r="R208" s="25">
        <v>1979</v>
      </c>
      <c r="S208" s="25">
        <v>1628</v>
      </c>
      <c r="T208" s="27"/>
      <c r="U208" s="25">
        <v>308</v>
      </c>
      <c r="V208" s="25">
        <f>Inventory[[#This Row],[Bsmt]]-Inventory[[#This Row],[FnBsmt]]</f>
        <v>0</v>
      </c>
      <c r="W208" s="25">
        <v>308</v>
      </c>
      <c r="X208" s="27"/>
      <c r="Y208" s="27">
        <f>Inventory[[#This Row],[MainFn]]+Inventory[[#This Row],[UpprFn]]+Inventory[[#This Row],[FnBsmt]]+Inventory[[#This Row],[AddFn]]</f>
        <v>1936</v>
      </c>
      <c r="Z208" s="27">
        <v>2000</v>
      </c>
      <c r="AA208" s="25">
        <v>12</v>
      </c>
      <c r="AB208" s="27"/>
      <c r="AC208" s="32">
        <v>440</v>
      </c>
      <c r="AD208" s="25">
        <v>66</v>
      </c>
      <c r="AE208" s="27"/>
      <c r="AF208" s="27"/>
      <c r="AG208" s="27"/>
      <c r="AH208" s="27"/>
      <c r="AI208" s="25">
        <v>425559</v>
      </c>
      <c r="AJ208" s="25">
        <v>327680</v>
      </c>
      <c r="AK208" s="25">
        <v>0</v>
      </c>
      <c r="AL208" s="25">
        <v>360400</v>
      </c>
      <c r="AM208" s="25">
        <v>54700</v>
      </c>
      <c r="AN208" s="25">
        <v>305700</v>
      </c>
      <c r="AO208" s="25">
        <v>0</v>
      </c>
      <c r="AP208" s="25">
        <f>Lookups!$B$56*0</f>
        <v>0</v>
      </c>
      <c r="AQ208" s="25">
        <f>Lookups!$B$56*1</f>
        <v>89850.625589999996</v>
      </c>
      <c r="AR208" s="25">
        <f>Lookups!$B$57*Inventory[[#This Row],[LnAcres]]</f>
        <v>-54281.285314520763</v>
      </c>
      <c r="AS208" s="25">
        <f>VLOOKUP(Inventory[[#This Row],[Qlty]],Lookups!$A$62:$E$75,2,FALSE)</f>
        <v>44121.038090000002</v>
      </c>
      <c r="AT208" s="25">
        <f>VLOOKUP(Inventory[[#This Row],[Cnd]],Lookups!$A$76:$E$84,2,FALSE)</f>
        <v>160472.20319</v>
      </c>
      <c r="AU208" s="25">
        <f>Inventory[[#This Row],[EffAge]]*Lookups!$B$85</f>
        <v>-10037.0520225</v>
      </c>
      <c r="AV208" s="25">
        <f>Inventory[[#This Row],[MainFn]]*Lookups!$B$86</f>
        <v>80437.314559756007</v>
      </c>
      <c r="AW208" s="25">
        <f>Inventory[[#This Row],[UpprFn]]*Lookups!$B$87</f>
        <v>0</v>
      </c>
      <c r="AX208" s="25">
        <f>Inventory[[#This Row],[AddFn]]*Lookups!$B$88</f>
        <v>0</v>
      </c>
      <c r="AY208" s="25">
        <f>Inventory[[#This Row],[Bsmt]]*Lookups!$B$89</f>
        <v>8957.2237360759991</v>
      </c>
      <c r="AZ208" s="25">
        <f>Inventory[[#This Row],[Fixtures]]*Lookups!$B$90</f>
        <v>45504.265262400004</v>
      </c>
      <c r="BA208" s="25">
        <f>Inventory[[#This Row],[WdDeck]]*Lookups!$B$91</f>
        <v>2197.5040082160003</v>
      </c>
      <c r="BB208" s="25">
        <f>ROUND(Inventory[[#This Row],[25Det]],-2)</f>
        <v>0</v>
      </c>
      <c r="BC208" s="25">
        <f>ROUND(SUM(Inventory[[#This Row],[Mdl Qlty]:[Mdl WdDeck]])+Inventory[[#This Row],[Mdl Res Intercept]],-2)</f>
        <v>331700</v>
      </c>
      <c r="BD208" s="25">
        <f>ROUND(Inventory[[#This Row],[Mdl Land Intercept]]+Inventory[[#This Row],[Mdl LnAcres]],-2)</f>
        <v>35600</v>
      </c>
      <c r="BE208" s="25">
        <f>Inventory[[#This Row],[Unadj Res Value]]+Inventory[[#This Row],[Unadj Det Value]]+Inventory[[#This Row],[Unadj Land Value]]</f>
        <v>367300</v>
      </c>
      <c r="BF208" s="36">
        <f>(Inventory[[#This Row],[Unadj Total Value]]-Inventory[[#This Row],[24Final]])/Inventory[[#This Row],[24Final]]</f>
        <v>1.9145394006659266E-2</v>
      </c>
      <c r="BG208" s="25">
        <f>VLOOKUP(Inventory[[#This Row],[Nbhd]],Lookups!$Q$2:$T$4,4,FALSE)</f>
        <v>0.99970000000000003</v>
      </c>
      <c r="BH208" s="25">
        <f>VLOOKUP(Inventory[[#This Row],[Qlty]],Lookups!$O$7:$R$21,4,FALSE)</f>
        <v>0.98050000000000004</v>
      </c>
      <c r="BI208" s="25">
        <f>VLOOKUP(Inventory[[#This Row],[Cnd]],Lookups!$T$7:$W$16,4,FALSE)</f>
        <v>0.99729999999999996</v>
      </c>
      <c r="BJ208" s="25">
        <f>VLOOKUP(Inventory[[#This Row],[LivArea Range]],Lookups!$T$25:$W$37,4,FALSE)</f>
        <v>1.0093000000000001</v>
      </c>
      <c r="BK208" s="25">
        <f>VLOOKUP(Inventory[[#This Row],[Decade]],Lookups!$O$25:$R$42,4,FALSE)</f>
        <v>0.96919999999999995</v>
      </c>
      <c r="BL208" s="25">
        <f>Inventory[[#This Row],[Nbhd Adj]]*0.95</f>
        <v>0.94971499999999998</v>
      </c>
      <c r="BM208" s="25">
        <f>Inventory[[#This Row],[Nbhd Adj]]*Inventory[[#This Row],[Quality Adj]]*Inventory[[#This Row],[Condition Adj]]*Inventory[[#This Row],[Living Area Adj]]*Inventory[[#This Row],[Decade Adj]]*0.95</f>
        <v>0.90844866943059244</v>
      </c>
      <c r="BN208" s="25">
        <f>ROUND(SUM(Inventory[[#This Row],[Mdl Qlty]:[Mdl WdDeck]])+Inventory[[#This Row],[Mdl Res Intercept]]*Inventory[[#This Row],[Res Adj ]],-2)</f>
        <v>331700</v>
      </c>
      <c r="BO208" s="25">
        <f>ROUND(Inventory[[#This Row],[25Det]]*Inventory[[#This Row],[Det/Nbhd Adj]],-2)</f>
        <v>0</v>
      </c>
      <c r="BP208" s="25">
        <f>Inventory[[#This Row],[Adjusted Res]]+Inventory[[#This Row],[Adj Det ]]</f>
        <v>331700</v>
      </c>
      <c r="BQ208" s="25">
        <f>ROUND((Inventory[[#This Row],[Mdl Land Intercept]]+Inventory[[#This Row],[Mdl LnAcres]])*Inventory[[#This Row],[Det/Nbhd Adj]],-2)</f>
        <v>33800</v>
      </c>
      <c r="BR208" s="25">
        <f>Inventory[[#This Row],[Adjusted Impr Total]]+Inventory[[#This Row],[Adjusted Land Total]]</f>
        <v>365500</v>
      </c>
      <c r="BS208" s="36">
        <f>IFERROR((Inventory[[#This Row],[Adjusted Impr Total]]-Inventory[[#This Row],[24Bldg]])/Inventory[[#This Row],[24Bldg]],0)</f>
        <v>8.5050703303892708E-2</v>
      </c>
      <c r="BT208" s="36">
        <f>(Inventory[[#This Row],[Adjusted Land Total]]-Inventory[[#This Row],[24Lnd]])/Inventory[[#This Row],[24Lnd]]</f>
        <v>-0.38208409506398539</v>
      </c>
      <c r="BU208" s="36">
        <f>(Inventory[[#This Row],[Adjusted Total]]-Inventory[[#This Row],[24Final]])/Inventory[[#This Row],[24Final]]</f>
        <v>1.4150943396226415E-2</v>
      </c>
    </row>
    <row r="209" spans="1:73" x14ac:dyDescent="0.3">
      <c r="A209" s="25">
        <v>2025</v>
      </c>
      <c r="B209" s="26" t="s">
        <v>659</v>
      </c>
      <c r="C209" s="26">
        <f>LN(Inventory[[#This Row],[Acres]])</f>
        <v>-1.9661128563728327</v>
      </c>
      <c r="D209" s="25">
        <v>0.14000000000000001</v>
      </c>
      <c r="E209" s="25">
        <v>6081</v>
      </c>
      <c r="F209" s="26" t="s">
        <v>537</v>
      </c>
      <c r="G209" s="26" t="s">
        <v>126</v>
      </c>
      <c r="H209" s="26" t="s">
        <v>349</v>
      </c>
      <c r="I209" s="26" t="s">
        <v>538</v>
      </c>
      <c r="J209" s="26" t="s">
        <v>586</v>
      </c>
      <c r="K209" s="26" t="s">
        <v>592</v>
      </c>
      <c r="L209" s="26" t="s">
        <v>302</v>
      </c>
      <c r="M209" s="26" t="s">
        <v>303</v>
      </c>
      <c r="N209" s="26">
        <v>50</v>
      </c>
      <c r="O209" s="26">
        <f>2024-Inventory[[#This Row],[YrBlt]]</f>
        <v>48</v>
      </c>
      <c r="P209" s="26">
        <f>2024-Inventory[[#This Row],[EffYr]]</f>
        <v>45</v>
      </c>
      <c r="Q209" s="25">
        <v>1976</v>
      </c>
      <c r="R209" s="25">
        <v>1979</v>
      </c>
      <c r="S209" s="25">
        <v>1236</v>
      </c>
      <c r="T209" s="27"/>
      <c r="U209" s="27"/>
      <c r="V209" s="27">
        <f>Inventory[[#This Row],[Bsmt]]-Inventory[[#This Row],[FnBsmt]]</f>
        <v>0</v>
      </c>
      <c r="W209" s="27"/>
      <c r="X209" s="27"/>
      <c r="Y209" s="27">
        <f>Inventory[[#This Row],[MainFn]]+Inventory[[#This Row],[UpprFn]]+Inventory[[#This Row],[FnBsmt]]+Inventory[[#This Row],[AddFn]]</f>
        <v>1236</v>
      </c>
      <c r="Z209" s="27">
        <v>1500</v>
      </c>
      <c r="AA209" s="25">
        <v>8</v>
      </c>
      <c r="AB209" s="32">
        <v>637</v>
      </c>
      <c r="AC209" s="27"/>
      <c r="AD209" s="27"/>
      <c r="AE209" s="27"/>
      <c r="AF209" s="27"/>
      <c r="AG209" s="27"/>
      <c r="AH209" s="27"/>
      <c r="AI209" s="25">
        <v>262206</v>
      </c>
      <c r="AJ209" s="25">
        <v>204521</v>
      </c>
      <c r="AK209" s="25">
        <v>0</v>
      </c>
      <c r="AL209" s="25">
        <v>225000</v>
      </c>
      <c r="AM209" s="25">
        <v>45300</v>
      </c>
      <c r="AN209" s="25">
        <v>179700</v>
      </c>
      <c r="AO209" s="25">
        <v>0</v>
      </c>
      <c r="AP209" s="25">
        <f>Lookups!$B$56*0</f>
        <v>0</v>
      </c>
      <c r="AQ209" s="25">
        <f>Lookups!$B$56*1</f>
        <v>89850.625589999996</v>
      </c>
      <c r="AR209" s="25">
        <f>Lookups!$B$57*Inventory[[#This Row],[LnAcres]]</f>
        <v>-62236.546971921947</v>
      </c>
      <c r="AS209" s="25">
        <f>VLOOKUP(Inventory[[#This Row],[Qlty]],Lookups!$A$62:$E$75,2,FALSE)</f>
        <v>29814.093161000001</v>
      </c>
      <c r="AT209" s="25">
        <f>VLOOKUP(Inventory[[#This Row],[Cnd]],Lookups!$A$76:$E$84,2,FALSE)</f>
        <v>197752.34721000001</v>
      </c>
      <c r="AU209" s="25">
        <f>Inventory[[#This Row],[EffAge]]*Lookups!$B$85</f>
        <v>-10037.0520225</v>
      </c>
      <c r="AV209" s="25">
        <f>Inventory[[#This Row],[MainFn]]*Lookups!$B$86</f>
        <v>61069.115967972</v>
      </c>
      <c r="AW209" s="25">
        <f>Inventory[[#This Row],[UpprFn]]*Lookups!$B$87</f>
        <v>0</v>
      </c>
      <c r="AX209" s="25">
        <f>Inventory[[#This Row],[AddFn]]*Lookups!$B$88</f>
        <v>0</v>
      </c>
      <c r="AY209" s="25">
        <f>Inventory[[#This Row],[Bsmt]]*Lookups!$B$89</f>
        <v>0</v>
      </c>
      <c r="AZ209" s="25">
        <f>Inventory[[#This Row],[Fixtures]]*Lookups!$B$90</f>
        <v>30336.176841600001</v>
      </c>
      <c r="BA209" s="25">
        <f>Inventory[[#This Row],[WdDeck]]*Lookups!$B$91</f>
        <v>0</v>
      </c>
      <c r="BB209" s="25">
        <f>ROUND(Inventory[[#This Row],[25Det]],-2)</f>
        <v>0</v>
      </c>
      <c r="BC209" s="25">
        <f>ROUND(SUM(Inventory[[#This Row],[Mdl Qlty]:[Mdl WdDeck]])+Inventory[[#This Row],[Mdl Res Intercept]],-2)</f>
        <v>308900</v>
      </c>
      <c r="BD209" s="25">
        <f>ROUND(Inventory[[#This Row],[Mdl Land Intercept]]+Inventory[[#This Row],[Mdl LnAcres]],-2)</f>
        <v>27600</v>
      </c>
      <c r="BE209" s="25">
        <f>Inventory[[#This Row],[Unadj Res Value]]+Inventory[[#This Row],[Unadj Det Value]]+Inventory[[#This Row],[Unadj Land Value]]</f>
        <v>336500</v>
      </c>
      <c r="BF209" s="36">
        <f>(Inventory[[#This Row],[Unadj Total Value]]-Inventory[[#This Row],[24Final]])/Inventory[[#This Row],[24Final]]</f>
        <v>0.49555555555555558</v>
      </c>
      <c r="BG209" s="25">
        <f>VLOOKUP(Inventory[[#This Row],[Nbhd]],Lookups!$Q$2:$T$4,4,FALSE)</f>
        <v>0.99970000000000003</v>
      </c>
      <c r="BH209" s="25">
        <f>VLOOKUP(Inventory[[#This Row],[Qlty]],Lookups!$O$7:$R$21,4,FALSE)</f>
        <v>1.0088999999999999</v>
      </c>
      <c r="BI209" s="25">
        <f>VLOOKUP(Inventory[[#This Row],[Cnd]],Lookups!$T$7:$W$16,4,FALSE)</f>
        <v>0.99650000000000005</v>
      </c>
      <c r="BJ209" s="25">
        <f>VLOOKUP(Inventory[[#This Row],[LivArea Range]],Lookups!$T$25:$W$37,4,FALSE)</f>
        <v>1.0157</v>
      </c>
      <c r="BK209" s="25">
        <f>VLOOKUP(Inventory[[#This Row],[Decade]],Lookups!$O$25:$R$42,4,FALSE)</f>
        <v>0.96919999999999995</v>
      </c>
      <c r="BL209" s="25">
        <f>Inventory[[#This Row],[Nbhd Adj]]*0.95</f>
        <v>0.94971499999999998</v>
      </c>
      <c r="BM209" s="25">
        <f>Inventory[[#This Row],[Nbhd Adj]]*Inventory[[#This Row],[Quality Adj]]*Inventory[[#This Row],[Condition Adj]]*Inventory[[#This Row],[Living Area Adj]]*Inventory[[#This Row],[Decade Adj]]*0.95</f>
        <v>0.9399344780308011</v>
      </c>
      <c r="BN209" s="25">
        <f>ROUND(SUM(Inventory[[#This Row],[Mdl Qlty]:[Mdl WdDeck]])+Inventory[[#This Row],[Mdl Res Intercept]]*Inventory[[#This Row],[Res Adj ]],-2)</f>
        <v>308900</v>
      </c>
      <c r="BO209" s="25">
        <f>ROUND(Inventory[[#This Row],[25Det]]*Inventory[[#This Row],[Det/Nbhd Adj]],-2)</f>
        <v>0</v>
      </c>
      <c r="BP209" s="25">
        <f>Inventory[[#This Row],[Adjusted Res]]+Inventory[[#This Row],[Adj Det ]]</f>
        <v>308900</v>
      </c>
      <c r="BQ209" s="25">
        <f>ROUND((Inventory[[#This Row],[Mdl Land Intercept]]+Inventory[[#This Row],[Mdl LnAcres]])*Inventory[[#This Row],[Det/Nbhd Adj]],-2)</f>
        <v>26200</v>
      </c>
      <c r="BR209" s="25">
        <f>Inventory[[#This Row],[Adjusted Impr Total]]+Inventory[[#This Row],[Adjusted Land Total]]</f>
        <v>335100</v>
      </c>
      <c r="BS209" s="36">
        <f>IFERROR((Inventory[[#This Row],[Adjusted Impr Total]]-Inventory[[#This Row],[24Bldg]])/Inventory[[#This Row],[24Bldg]],0)</f>
        <v>0.71897607122982754</v>
      </c>
      <c r="BT209" s="36">
        <f>(Inventory[[#This Row],[Adjusted Land Total]]-Inventory[[#This Row],[24Lnd]])/Inventory[[#This Row],[24Lnd]]</f>
        <v>-0.4216335540838852</v>
      </c>
      <c r="BU209" s="36">
        <f>(Inventory[[#This Row],[Adjusted Total]]-Inventory[[#This Row],[24Final]])/Inventory[[#This Row],[24Final]]</f>
        <v>0.48933333333333334</v>
      </c>
    </row>
    <row r="210" spans="1:73" x14ac:dyDescent="0.3">
      <c r="A210" s="25">
        <v>2025</v>
      </c>
      <c r="B210" s="26" t="s">
        <v>657</v>
      </c>
      <c r="C210" s="26">
        <f>LN(Inventory[[#This Row],[Acres]])</f>
        <v>-2.0402208285265546</v>
      </c>
      <c r="D210" s="25">
        <v>0.13</v>
      </c>
      <c r="E210" s="25">
        <v>5865</v>
      </c>
      <c r="F210" s="26" t="s">
        <v>537</v>
      </c>
      <c r="G210" s="26" t="s">
        <v>126</v>
      </c>
      <c r="H210" s="26" t="s">
        <v>349</v>
      </c>
      <c r="I210" s="26" t="s">
        <v>538</v>
      </c>
      <c r="J210" s="26" t="s">
        <v>586</v>
      </c>
      <c r="K210" s="26" t="s">
        <v>592</v>
      </c>
      <c r="L210" s="26" t="s">
        <v>302</v>
      </c>
      <c r="M210" s="26" t="s">
        <v>303</v>
      </c>
      <c r="N210" s="26">
        <v>50</v>
      </c>
      <c r="O210" s="26">
        <f>2024-Inventory[[#This Row],[YrBlt]]</f>
        <v>48</v>
      </c>
      <c r="P210" s="26">
        <f>2024-Inventory[[#This Row],[EffYr]]</f>
        <v>45</v>
      </c>
      <c r="Q210" s="25">
        <v>1976</v>
      </c>
      <c r="R210" s="25">
        <v>1979</v>
      </c>
      <c r="S210" s="25">
        <v>1685</v>
      </c>
      <c r="T210" s="31"/>
      <c r="U210" s="25">
        <v>300</v>
      </c>
      <c r="V210" s="32">
        <f>Inventory[[#This Row],[Bsmt]]-Inventory[[#This Row],[FnBsmt]]</f>
        <v>0</v>
      </c>
      <c r="W210" s="32">
        <v>300</v>
      </c>
      <c r="X210" s="27"/>
      <c r="Y210" s="27">
        <f>Inventory[[#This Row],[MainFn]]+Inventory[[#This Row],[UpprFn]]+Inventory[[#This Row],[FnBsmt]]+Inventory[[#This Row],[AddFn]]</f>
        <v>1985</v>
      </c>
      <c r="Z210" s="27">
        <v>2000</v>
      </c>
      <c r="AA210" s="25">
        <v>8</v>
      </c>
      <c r="AB210" s="27"/>
      <c r="AC210" s="32">
        <v>480</v>
      </c>
      <c r="AD210" s="32">
        <v>140</v>
      </c>
      <c r="AE210" s="27"/>
      <c r="AF210" s="27"/>
      <c r="AG210" s="27"/>
      <c r="AH210" s="27"/>
      <c r="AI210" s="25">
        <v>378048</v>
      </c>
      <c r="AJ210" s="25">
        <v>294877</v>
      </c>
      <c r="AK210" s="25">
        <v>0</v>
      </c>
      <c r="AL210" s="25">
        <v>304100</v>
      </c>
      <c r="AM210" s="25">
        <v>45100</v>
      </c>
      <c r="AN210" s="25">
        <v>259000</v>
      </c>
      <c r="AO210" s="25">
        <v>0</v>
      </c>
      <c r="AP210" s="25">
        <f>Lookups!$B$56*0</f>
        <v>0</v>
      </c>
      <c r="AQ210" s="25">
        <f>Lookups!$B$56*1</f>
        <v>89850.625589999996</v>
      </c>
      <c r="AR210" s="25">
        <f>Lookups!$B$57*Inventory[[#This Row],[LnAcres]]</f>
        <v>-64582.406353792743</v>
      </c>
      <c r="AS210" s="25">
        <f>VLOOKUP(Inventory[[#This Row],[Qlty]],Lookups!$A$62:$E$75,2,FALSE)</f>
        <v>29814.093161000001</v>
      </c>
      <c r="AT210" s="25">
        <f>VLOOKUP(Inventory[[#This Row],[Cnd]],Lookups!$A$76:$E$84,2,FALSE)</f>
        <v>197752.34721000001</v>
      </c>
      <c r="AU210" s="25">
        <f>Inventory[[#This Row],[EffAge]]*Lookups!$B$85</f>
        <v>-10037.0520225</v>
      </c>
      <c r="AV210" s="25">
        <f>Inventory[[#This Row],[MainFn]]*Lookups!$B$86</f>
        <v>83253.608742744997</v>
      </c>
      <c r="AW210" s="25">
        <f>Inventory[[#This Row],[UpprFn]]*Lookups!$B$87</f>
        <v>0</v>
      </c>
      <c r="AX210" s="25">
        <f>Inventory[[#This Row],[AddFn]]*Lookups!$B$88</f>
        <v>0</v>
      </c>
      <c r="AY210" s="25">
        <f>Inventory[[#This Row],[Bsmt]]*Lookups!$B$89</f>
        <v>8724.5685740999998</v>
      </c>
      <c r="AZ210" s="25">
        <f>Inventory[[#This Row],[Fixtures]]*Lookups!$B$90</f>
        <v>30336.176841600001</v>
      </c>
      <c r="BA210" s="25">
        <f>Inventory[[#This Row],[WdDeck]]*Lookups!$B$91</f>
        <v>4661.3721386400002</v>
      </c>
      <c r="BB210" s="25">
        <f>ROUND(Inventory[[#This Row],[25Det]],-2)</f>
        <v>0</v>
      </c>
      <c r="BC210" s="25">
        <f>ROUND(SUM(Inventory[[#This Row],[Mdl Qlty]:[Mdl WdDeck]])+Inventory[[#This Row],[Mdl Res Intercept]],-2)</f>
        <v>344500</v>
      </c>
      <c r="BD210" s="25">
        <f>ROUND(Inventory[[#This Row],[Mdl Land Intercept]]+Inventory[[#This Row],[Mdl LnAcres]],-2)</f>
        <v>25300</v>
      </c>
      <c r="BE210" s="25">
        <f>Inventory[[#This Row],[Unadj Res Value]]+Inventory[[#This Row],[Unadj Det Value]]+Inventory[[#This Row],[Unadj Land Value]]</f>
        <v>369800</v>
      </c>
      <c r="BF210" s="36">
        <f>(Inventory[[#This Row],[Unadj Total Value]]-Inventory[[#This Row],[24Final]])/Inventory[[#This Row],[24Final]]</f>
        <v>0.21604735284445906</v>
      </c>
      <c r="BG210" s="25">
        <f>VLOOKUP(Inventory[[#This Row],[Nbhd]],Lookups!$Q$2:$T$4,4,FALSE)</f>
        <v>0.99970000000000003</v>
      </c>
      <c r="BH210" s="25">
        <f>VLOOKUP(Inventory[[#This Row],[Qlty]],Lookups!$O$7:$R$21,4,FALSE)</f>
        <v>1.0088999999999999</v>
      </c>
      <c r="BI210" s="25">
        <f>VLOOKUP(Inventory[[#This Row],[Cnd]],Lookups!$T$7:$W$16,4,FALSE)</f>
        <v>0.99650000000000005</v>
      </c>
      <c r="BJ210" s="25">
        <f>VLOOKUP(Inventory[[#This Row],[LivArea Range]],Lookups!$T$25:$W$37,4,FALSE)</f>
        <v>1.0093000000000001</v>
      </c>
      <c r="BK210" s="25">
        <f>VLOOKUP(Inventory[[#This Row],[Decade]],Lookups!$O$25:$R$42,4,FALSE)</f>
        <v>0.96919999999999995</v>
      </c>
      <c r="BL210" s="25">
        <f>Inventory[[#This Row],[Nbhd Adj]]*0.95</f>
        <v>0.94971499999999998</v>
      </c>
      <c r="BM210" s="25">
        <f>Inventory[[#This Row],[Nbhd Adj]]*Inventory[[#This Row],[Quality Adj]]*Inventory[[#This Row],[Condition Adj]]*Inventory[[#This Row],[Living Area Adj]]*Inventory[[#This Row],[Decade Adj]]*0.95</f>
        <v>0.93401188212709219</v>
      </c>
      <c r="BN210" s="25">
        <f>ROUND(SUM(Inventory[[#This Row],[Mdl Qlty]:[Mdl WdDeck]])+Inventory[[#This Row],[Mdl Res Intercept]]*Inventory[[#This Row],[Res Adj ]],-2)</f>
        <v>344500</v>
      </c>
      <c r="BO210" s="25">
        <f>ROUND(Inventory[[#This Row],[25Det]]*Inventory[[#This Row],[Det/Nbhd Adj]],-2)</f>
        <v>0</v>
      </c>
      <c r="BP210" s="25">
        <f>Inventory[[#This Row],[Adjusted Res]]+Inventory[[#This Row],[Adj Det ]]</f>
        <v>344500</v>
      </c>
      <c r="BQ210" s="25">
        <f>ROUND((Inventory[[#This Row],[Mdl Land Intercept]]+Inventory[[#This Row],[Mdl LnAcres]])*Inventory[[#This Row],[Det/Nbhd Adj]],-2)</f>
        <v>24000</v>
      </c>
      <c r="BR210" s="25">
        <f>Inventory[[#This Row],[Adjusted Impr Total]]+Inventory[[#This Row],[Adjusted Land Total]]</f>
        <v>368500</v>
      </c>
      <c r="BS210" s="36">
        <f>IFERROR((Inventory[[#This Row],[Adjusted Impr Total]]-Inventory[[#This Row],[24Bldg]])/Inventory[[#This Row],[24Bldg]],0)</f>
        <v>0.33011583011583012</v>
      </c>
      <c r="BT210" s="36">
        <f>(Inventory[[#This Row],[Adjusted Land Total]]-Inventory[[#This Row],[24Lnd]])/Inventory[[#This Row],[24Lnd]]</f>
        <v>-0.46784922394678491</v>
      </c>
      <c r="BU210" s="36">
        <f>(Inventory[[#This Row],[Adjusted Total]]-Inventory[[#This Row],[24Final]])/Inventory[[#This Row],[24Final]]</f>
        <v>0.21177244327523842</v>
      </c>
    </row>
    <row r="211" spans="1:73" x14ac:dyDescent="0.3">
      <c r="A211" s="25">
        <v>2025</v>
      </c>
      <c r="B211" s="26" t="s">
        <v>1003</v>
      </c>
      <c r="C211" s="26">
        <f>LN(Inventory[[#This Row],[Acres]])</f>
        <v>-1.5606477482646683</v>
      </c>
      <c r="D211" s="25">
        <v>0.21</v>
      </c>
      <c r="E211" s="25">
        <v>8950</v>
      </c>
      <c r="F211" s="26" t="s">
        <v>537</v>
      </c>
      <c r="G211" s="26" t="s">
        <v>126</v>
      </c>
      <c r="H211" s="26" t="s">
        <v>349</v>
      </c>
      <c r="I211" s="26" t="s">
        <v>538</v>
      </c>
      <c r="J211" s="26" t="s">
        <v>539</v>
      </c>
      <c r="K211" s="26" t="s">
        <v>5</v>
      </c>
      <c r="L211" s="26" t="s">
        <v>302</v>
      </c>
      <c r="M211" s="26" t="s">
        <v>303</v>
      </c>
      <c r="N211" s="26">
        <v>50</v>
      </c>
      <c r="O211" s="26">
        <f>2024-Inventory[[#This Row],[YrBlt]]</f>
        <v>48</v>
      </c>
      <c r="P211" s="26">
        <f>2024-Inventory[[#This Row],[EffYr]]</f>
        <v>45</v>
      </c>
      <c r="Q211" s="25">
        <v>1976</v>
      </c>
      <c r="R211" s="25">
        <v>1979</v>
      </c>
      <c r="S211" s="25">
        <v>1196</v>
      </c>
      <c r="T211" s="27"/>
      <c r="U211" s="25">
        <v>1196</v>
      </c>
      <c r="V211" s="32">
        <f>Inventory[[#This Row],[Bsmt]]-Inventory[[#This Row],[FnBsmt]]</f>
        <v>0</v>
      </c>
      <c r="W211" s="32">
        <v>1196</v>
      </c>
      <c r="X211" s="27"/>
      <c r="Y211" s="27">
        <f>Inventory[[#This Row],[MainFn]]+Inventory[[#This Row],[UpprFn]]+Inventory[[#This Row],[FnBsmt]]+Inventory[[#This Row],[AddFn]]</f>
        <v>2392</v>
      </c>
      <c r="Z211" s="27">
        <v>2500</v>
      </c>
      <c r="AA211" s="25">
        <v>11</v>
      </c>
      <c r="AB211" s="32">
        <v>572</v>
      </c>
      <c r="AC211" s="27"/>
      <c r="AD211" s="32">
        <v>180</v>
      </c>
      <c r="AE211" s="27"/>
      <c r="AF211" s="27"/>
      <c r="AG211" s="27"/>
      <c r="AH211" s="27"/>
      <c r="AI211" s="25">
        <v>396110</v>
      </c>
      <c r="AJ211" s="25">
        <v>308966</v>
      </c>
      <c r="AK211" s="25">
        <v>0</v>
      </c>
      <c r="AL211" s="25">
        <v>380300</v>
      </c>
      <c r="AM211" s="25">
        <v>60100</v>
      </c>
      <c r="AN211" s="25">
        <v>320200</v>
      </c>
      <c r="AO211" s="25">
        <v>0</v>
      </c>
      <c r="AP211" s="25">
        <f>Lookups!$B$56*0</f>
        <v>0</v>
      </c>
      <c r="AQ211" s="25">
        <f>Lookups!$B$56*1</f>
        <v>89850.625589999996</v>
      </c>
      <c r="AR211" s="25">
        <f>Lookups!$B$57*Inventory[[#This Row],[LnAcres]]</f>
        <v>-49401.70477837498</v>
      </c>
      <c r="AS211" s="25">
        <f>VLOOKUP(Inventory[[#This Row],[Qlty]],Lookups!$A$62:$E$75,2,FALSE)</f>
        <v>29814.093161000001</v>
      </c>
      <c r="AT211" s="25">
        <f>VLOOKUP(Inventory[[#This Row],[Cnd]],Lookups!$A$76:$E$84,2,FALSE)</f>
        <v>197752.34721000001</v>
      </c>
      <c r="AU211" s="25">
        <f>Inventory[[#This Row],[EffAge]]*Lookups!$B$85</f>
        <v>-10037.0520225</v>
      </c>
      <c r="AV211" s="25">
        <f>Inventory[[#This Row],[MainFn]]*Lookups!$B$86</f>
        <v>59092.769172892004</v>
      </c>
      <c r="AW211" s="25">
        <f>Inventory[[#This Row],[UpprFn]]*Lookups!$B$87</f>
        <v>0</v>
      </c>
      <c r="AX211" s="25">
        <f>Inventory[[#This Row],[AddFn]]*Lookups!$B$88</f>
        <v>0</v>
      </c>
      <c r="AY211" s="25">
        <f>Inventory[[#This Row],[Bsmt]]*Lookups!$B$89</f>
        <v>34781.946715411999</v>
      </c>
      <c r="AZ211" s="25">
        <f>Inventory[[#This Row],[Fixtures]]*Lookups!$B$90</f>
        <v>41712.243157199999</v>
      </c>
      <c r="BA211" s="25">
        <f>Inventory[[#This Row],[WdDeck]]*Lookups!$B$91</f>
        <v>5993.1927496800008</v>
      </c>
      <c r="BB211" s="25">
        <f>ROUND(Inventory[[#This Row],[25Det]],-2)</f>
        <v>0</v>
      </c>
      <c r="BC211" s="25">
        <f>ROUND(SUM(Inventory[[#This Row],[Mdl Qlty]:[Mdl WdDeck]])+Inventory[[#This Row],[Mdl Res Intercept]],-2)</f>
        <v>359100</v>
      </c>
      <c r="BD211" s="25">
        <f>ROUND(Inventory[[#This Row],[Mdl Land Intercept]]+Inventory[[#This Row],[Mdl LnAcres]],-2)</f>
        <v>40400</v>
      </c>
      <c r="BE211" s="25">
        <f>Inventory[[#This Row],[Unadj Res Value]]+Inventory[[#This Row],[Unadj Det Value]]+Inventory[[#This Row],[Unadj Land Value]]</f>
        <v>399500</v>
      </c>
      <c r="BF211" s="36">
        <f>(Inventory[[#This Row],[Unadj Total Value]]-Inventory[[#This Row],[24Final]])/Inventory[[#This Row],[24Final]]</f>
        <v>5.0486458059426767E-2</v>
      </c>
      <c r="BG211" s="25">
        <f>VLOOKUP(Inventory[[#This Row],[Nbhd]],Lookups!$Q$2:$T$4,4,FALSE)</f>
        <v>0.99970000000000003</v>
      </c>
      <c r="BH211" s="25">
        <f>VLOOKUP(Inventory[[#This Row],[Qlty]],Lookups!$O$7:$R$21,4,FALSE)</f>
        <v>1.0088999999999999</v>
      </c>
      <c r="BI211" s="25">
        <f>VLOOKUP(Inventory[[#This Row],[Cnd]],Lookups!$T$7:$W$16,4,FALSE)</f>
        <v>0.99650000000000005</v>
      </c>
      <c r="BJ211" s="25">
        <f>VLOOKUP(Inventory[[#This Row],[LivArea Range]],Lookups!$T$25:$W$37,4,FALSE)</f>
        <v>0.98919999999999997</v>
      </c>
      <c r="BK211" s="25">
        <f>VLOOKUP(Inventory[[#This Row],[Decade]],Lookups!$O$25:$R$42,4,FALSE)</f>
        <v>0.96919999999999995</v>
      </c>
      <c r="BL211" s="25">
        <f>Inventory[[#This Row],[Nbhd Adj]]*0.95</f>
        <v>0.94971499999999998</v>
      </c>
      <c r="BM211" s="25">
        <f>Inventory[[#This Row],[Nbhd Adj]]*Inventory[[#This Row],[Quality Adj]]*Inventory[[#This Row],[Condition Adj]]*Inventory[[#This Row],[Living Area Adj]]*Inventory[[#This Row],[Decade Adj]]*0.95</f>
        <v>0.91541122936700636</v>
      </c>
      <c r="BN211" s="25">
        <f>ROUND(SUM(Inventory[[#This Row],[Mdl Qlty]:[Mdl WdDeck]])+Inventory[[#This Row],[Mdl Res Intercept]]*Inventory[[#This Row],[Res Adj ]],-2)</f>
        <v>359100</v>
      </c>
      <c r="BO211" s="25">
        <f>ROUND(Inventory[[#This Row],[25Det]]*Inventory[[#This Row],[Det/Nbhd Adj]],-2)</f>
        <v>0</v>
      </c>
      <c r="BP211" s="25">
        <f>Inventory[[#This Row],[Adjusted Res]]+Inventory[[#This Row],[Adj Det ]]</f>
        <v>359100</v>
      </c>
      <c r="BQ211" s="25">
        <f>ROUND((Inventory[[#This Row],[Mdl Land Intercept]]+Inventory[[#This Row],[Mdl LnAcres]])*Inventory[[#This Row],[Det/Nbhd Adj]],-2)</f>
        <v>38400</v>
      </c>
      <c r="BR211" s="25">
        <f>Inventory[[#This Row],[Adjusted Impr Total]]+Inventory[[#This Row],[Adjusted Land Total]]</f>
        <v>397500</v>
      </c>
      <c r="BS211" s="36">
        <f>IFERROR((Inventory[[#This Row],[Adjusted Impr Total]]-Inventory[[#This Row],[24Bldg]])/Inventory[[#This Row],[24Bldg]],0)</f>
        <v>0.12148657089319176</v>
      </c>
      <c r="BT211" s="36">
        <f>(Inventory[[#This Row],[Adjusted Land Total]]-Inventory[[#This Row],[24Lnd]])/Inventory[[#This Row],[24Lnd]]</f>
        <v>-0.36106489184692181</v>
      </c>
      <c r="BU211" s="36">
        <f>(Inventory[[#This Row],[Adjusted Total]]-Inventory[[#This Row],[24Final]])/Inventory[[#This Row],[24Final]]</f>
        <v>4.5227452011569816E-2</v>
      </c>
    </row>
    <row r="212" spans="1:73" x14ac:dyDescent="0.3">
      <c r="A212" s="25">
        <v>2025</v>
      </c>
      <c r="B212" s="26" t="s">
        <v>1241</v>
      </c>
      <c r="C212" s="26">
        <f>LN(Inventory[[#This Row],[Acres]])</f>
        <v>-1.7719568419318752</v>
      </c>
      <c r="D212" s="25">
        <v>0.17</v>
      </c>
      <c r="E212" s="25">
        <v>7560</v>
      </c>
      <c r="F212" s="26" t="s">
        <v>537</v>
      </c>
      <c r="G212" s="26" t="s">
        <v>126</v>
      </c>
      <c r="H212" s="26" t="s">
        <v>349</v>
      </c>
      <c r="I212" s="26" t="s">
        <v>538</v>
      </c>
      <c r="J212" s="26" t="s">
        <v>539</v>
      </c>
      <c r="K212" s="26" t="s">
        <v>241</v>
      </c>
      <c r="L212" s="26" t="s">
        <v>302</v>
      </c>
      <c r="M212" s="26" t="s">
        <v>303</v>
      </c>
      <c r="N212" s="26">
        <v>50</v>
      </c>
      <c r="O212" s="26">
        <f>2024-Inventory[[#This Row],[YrBlt]]</f>
        <v>48</v>
      </c>
      <c r="P212" s="26">
        <f>2024-Inventory[[#This Row],[EffYr]]</f>
        <v>45</v>
      </c>
      <c r="Q212" s="25">
        <v>1976</v>
      </c>
      <c r="R212" s="25">
        <v>1979</v>
      </c>
      <c r="S212" s="25">
        <v>1728</v>
      </c>
      <c r="T212" s="27"/>
      <c r="U212" s="31"/>
      <c r="V212" s="31">
        <f>Inventory[[#This Row],[Bsmt]]-Inventory[[#This Row],[FnBsmt]]</f>
        <v>0</v>
      </c>
      <c r="W212" s="31"/>
      <c r="X212" s="27"/>
      <c r="Y212" s="27">
        <f>Inventory[[#This Row],[MainFn]]+Inventory[[#This Row],[UpprFn]]+Inventory[[#This Row],[FnBsmt]]+Inventory[[#This Row],[AddFn]]</f>
        <v>1728</v>
      </c>
      <c r="Z212" s="27">
        <v>2000</v>
      </c>
      <c r="AA212" s="25">
        <v>9</v>
      </c>
      <c r="AB212" s="27"/>
      <c r="AC212" s="27"/>
      <c r="AD212" s="31"/>
      <c r="AE212" s="27"/>
      <c r="AF212" s="27"/>
      <c r="AG212" s="27"/>
      <c r="AH212" s="27"/>
      <c r="AI212" s="25">
        <v>327067</v>
      </c>
      <c r="AJ212" s="25">
        <v>255112</v>
      </c>
      <c r="AK212" s="25">
        <v>14611</v>
      </c>
      <c r="AL212" s="25">
        <v>367000</v>
      </c>
      <c r="AM212" s="25">
        <v>52700</v>
      </c>
      <c r="AN212" s="25">
        <v>314300</v>
      </c>
      <c r="AO212" s="25">
        <v>0</v>
      </c>
      <c r="AP212" s="25">
        <f>Lookups!$B$56*0</f>
        <v>0</v>
      </c>
      <c r="AQ212" s="25">
        <f>Lookups!$B$56*1</f>
        <v>89850.625589999996</v>
      </c>
      <c r="AR212" s="25">
        <f>Lookups!$B$57*Inventory[[#This Row],[LnAcres]]</f>
        <v>-56090.612940989391</v>
      </c>
      <c r="AS212" s="25">
        <f>VLOOKUP(Inventory[[#This Row],[Qlty]],Lookups!$A$62:$E$75,2,FALSE)</f>
        <v>29814.093161000001</v>
      </c>
      <c r="AT212" s="25">
        <f>VLOOKUP(Inventory[[#This Row],[Cnd]],Lookups!$A$76:$E$84,2,FALSE)</f>
        <v>197752.34721000001</v>
      </c>
      <c r="AU212" s="25">
        <f>Inventory[[#This Row],[EffAge]]*Lookups!$B$85</f>
        <v>-10037.0520225</v>
      </c>
      <c r="AV212" s="25">
        <f>Inventory[[#This Row],[MainFn]]*Lookups!$B$86</f>
        <v>85378.181547455999</v>
      </c>
      <c r="AW212" s="25">
        <f>Inventory[[#This Row],[UpprFn]]*Lookups!$B$87</f>
        <v>0</v>
      </c>
      <c r="AX212" s="25">
        <f>Inventory[[#This Row],[AddFn]]*Lookups!$B$88</f>
        <v>0</v>
      </c>
      <c r="AY212" s="25">
        <f>Inventory[[#This Row],[Bsmt]]*Lookups!$B$89</f>
        <v>0</v>
      </c>
      <c r="AZ212" s="25">
        <f>Inventory[[#This Row],[Fixtures]]*Lookups!$B$90</f>
        <v>34128.198946800003</v>
      </c>
      <c r="BA212" s="25">
        <f>Inventory[[#This Row],[WdDeck]]*Lookups!$B$91</f>
        <v>0</v>
      </c>
      <c r="BB212" s="25">
        <f>ROUND(Inventory[[#This Row],[25Det]],-2)</f>
        <v>14600</v>
      </c>
      <c r="BC212" s="25">
        <f>ROUND(SUM(Inventory[[#This Row],[Mdl Qlty]:[Mdl WdDeck]])+Inventory[[#This Row],[Mdl Res Intercept]],-2)</f>
        <v>337000</v>
      </c>
      <c r="BD212" s="25">
        <f>ROUND(Inventory[[#This Row],[Mdl Land Intercept]]+Inventory[[#This Row],[Mdl LnAcres]],-2)</f>
        <v>33800</v>
      </c>
      <c r="BE212" s="25">
        <f>Inventory[[#This Row],[Unadj Res Value]]+Inventory[[#This Row],[Unadj Det Value]]+Inventory[[#This Row],[Unadj Land Value]]</f>
        <v>385400</v>
      </c>
      <c r="BF212" s="36">
        <f>(Inventory[[#This Row],[Unadj Total Value]]-Inventory[[#This Row],[24Final]])/Inventory[[#This Row],[24Final]]</f>
        <v>5.0136239782016347E-2</v>
      </c>
      <c r="BG212" s="25">
        <f>VLOOKUP(Inventory[[#This Row],[Nbhd]],Lookups!$Q$2:$T$4,4,FALSE)</f>
        <v>0.99970000000000003</v>
      </c>
      <c r="BH212" s="25">
        <f>VLOOKUP(Inventory[[#This Row],[Qlty]],Lookups!$O$7:$R$21,4,FALSE)</f>
        <v>1.0088999999999999</v>
      </c>
      <c r="BI212" s="25">
        <f>VLOOKUP(Inventory[[#This Row],[Cnd]],Lookups!$T$7:$W$16,4,FALSE)</f>
        <v>0.99650000000000005</v>
      </c>
      <c r="BJ212" s="25">
        <f>VLOOKUP(Inventory[[#This Row],[LivArea Range]],Lookups!$T$25:$W$37,4,FALSE)</f>
        <v>1.0093000000000001</v>
      </c>
      <c r="BK212" s="25">
        <f>VLOOKUP(Inventory[[#This Row],[Decade]],Lookups!$O$25:$R$42,4,FALSE)</f>
        <v>0.96919999999999995</v>
      </c>
      <c r="BL212" s="25">
        <f>Inventory[[#This Row],[Nbhd Adj]]*0.95</f>
        <v>0.94971499999999998</v>
      </c>
      <c r="BM212" s="25">
        <f>Inventory[[#This Row],[Nbhd Adj]]*Inventory[[#This Row],[Quality Adj]]*Inventory[[#This Row],[Condition Adj]]*Inventory[[#This Row],[Living Area Adj]]*Inventory[[#This Row],[Decade Adj]]*0.95</f>
        <v>0.93401188212709219</v>
      </c>
      <c r="BN212" s="25">
        <f>ROUND(SUM(Inventory[[#This Row],[Mdl Qlty]:[Mdl WdDeck]])+Inventory[[#This Row],[Mdl Res Intercept]]*Inventory[[#This Row],[Res Adj ]],-2)</f>
        <v>337000</v>
      </c>
      <c r="BO212" s="25">
        <f>ROUND(Inventory[[#This Row],[25Det]]*Inventory[[#This Row],[Det/Nbhd Adj]],-2)</f>
        <v>13900</v>
      </c>
      <c r="BP212" s="25">
        <f>Inventory[[#This Row],[Adjusted Res]]+Inventory[[#This Row],[Adj Det ]]</f>
        <v>350900</v>
      </c>
      <c r="BQ212" s="25">
        <f>ROUND((Inventory[[#This Row],[Mdl Land Intercept]]+Inventory[[#This Row],[Mdl LnAcres]])*Inventory[[#This Row],[Det/Nbhd Adj]],-2)</f>
        <v>32100</v>
      </c>
      <c r="BR212" s="25">
        <f>Inventory[[#This Row],[Adjusted Impr Total]]+Inventory[[#This Row],[Adjusted Land Total]]</f>
        <v>383000</v>
      </c>
      <c r="BS212" s="36">
        <f>IFERROR((Inventory[[#This Row],[Adjusted Impr Total]]-Inventory[[#This Row],[24Bldg]])/Inventory[[#This Row],[24Bldg]],0)</f>
        <v>0.11644925230671332</v>
      </c>
      <c r="BT212" s="36">
        <f>(Inventory[[#This Row],[Adjusted Land Total]]-Inventory[[#This Row],[24Lnd]])/Inventory[[#This Row],[24Lnd]]</f>
        <v>-0.39089184060721061</v>
      </c>
      <c r="BU212" s="36">
        <f>(Inventory[[#This Row],[Adjusted Total]]-Inventory[[#This Row],[24Final]])/Inventory[[#This Row],[24Final]]</f>
        <v>4.3596730245231606E-2</v>
      </c>
    </row>
    <row r="213" spans="1:73" x14ac:dyDescent="0.3">
      <c r="A213" s="25">
        <v>2025</v>
      </c>
      <c r="B213" s="26" t="s">
        <v>1837</v>
      </c>
      <c r="C213" s="26">
        <f>LN(Inventory[[#This Row],[Acres]])</f>
        <v>-1.5606477482646683</v>
      </c>
      <c r="D213" s="25">
        <v>0.21</v>
      </c>
      <c r="E213" s="31"/>
      <c r="F213" s="26" t="s">
        <v>537</v>
      </c>
      <c r="G213" s="26" t="s">
        <v>126</v>
      </c>
      <c r="H213" s="26" t="s">
        <v>349</v>
      </c>
      <c r="I213" s="26" t="s">
        <v>538</v>
      </c>
      <c r="J213" s="26" t="s">
        <v>539</v>
      </c>
      <c r="K213" s="26" t="s">
        <v>241</v>
      </c>
      <c r="L213" s="26" t="s">
        <v>351</v>
      </c>
      <c r="M213" s="26" t="s">
        <v>323</v>
      </c>
      <c r="N213" s="26">
        <v>50</v>
      </c>
      <c r="O213" s="26">
        <f>2024-Inventory[[#This Row],[YrBlt]]</f>
        <v>48</v>
      </c>
      <c r="P213" s="26">
        <f>2024-Inventory[[#This Row],[EffYr]]</f>
        <v>45</v>
      </c>
      <c r="Q213" s="25">
        <v>1976</v>
      </c>
      <c r="R213" s="25">
        <v>1979</v>
      </c>
      <c r="S213" s="25">
        <v>1074</v>
      </c>
      <c r="T213" s="27"/>
      <c r="U213" s="27"/>
      <c r="V213" s="27">
        <f>Inventory[[#This Row],[Bsmt]]-Inventory[[#This Row],[FnBsmt]]</f>
        <v>0</v>
      </c>
      <c r="W213" s="27"/>
      <c r="X213" s="27"/>
      <c r="Y213" s="27">
        <f>Inventory[[#This Row],[MainFn]]+Inventory[[#This Row],[UpprFn]]+Inventory[[#This Row],[FnBsmt]]+Inventory[[#This Row],[AddFn]]</f>
        <v>1074</v>
      </c>
      <c r="Z213" s="27">
        <v>1500</v>
      </c>
      <c r="AA213" s="25">
        <v>7</v>
      </c>
      <c r="AB213" s="27"/>
      <c r="AC213" s="27"/>
      <c r="AD213" s="27"/>
      <c r="AE213" s="27"/>
      <c r="AF213" s="27"/>
      <c r="AG213" s="27"/>
      <c r="AH213" s="27"/>
      <c r="AI213" s="25">
        <v>184765</v>
      </c>
      <c r="AJ213" s="25">
        <v>142269</v>
      </c>
      <c r="AK213" s="25">
        <v>13692</v>
      </c>
      <c r="AL213" s="25">
        <v>294100</v>
      </c>
      <c r="AM213" s="25">
        <v>60100</v>
      </c>
      <c r="AN213" s="25">
        <v>234000</v>
      </c>
      <c r="AO213" s="25">
        <v>0</v>
      </c>
      <c r="AP213" s="25">
        <f>Lookups!$B$56*0</f>
        <v>0</v>
      </c>
      <c r="AQ213" s="25">
        <f>Lookups!$B$56*1</f>
        <v>89850.625589999996</v>
      </c>
      <c r="AR213" s="25">
        <f>Lookups!$B$57*Inventory[[#This Row],[LnAcres]]</f>
        <v>-49401.70477837498</v>
      </c>
      <c r="AS213" s="25">
        <f>VLOOKUP(Inventory[[#This Row],[Qlty]],Lookups!$A$62:$E$75,2,FALSE)</f>
        <v>21557.329055999999</v>
      </c>
      <c r="AT213" s="25">
        <f>VLOOKUP(Inventory[[#This Row],[Cnd]],Lookups!$A$76:$E$84,2,FALSE)</f>
        <v>160472.20319</v>
      </c>
      <c r="AU213" s="25">
        <f>Inventory[[#This Row],[EffAge]]*Lookups!$B$85</f>
        <v>-10037.0520225</v>
      </c>
      <c r="AV213" s="25">
        <f>Inventory[[#This Row],[MainFn]]*Lookups!$B$86</f>
        <v>53064.911447898005</v>
      </c>
      <c r="AW213" s="25">
        <f>Inventory[[#This Row],[UpprFn]]*Lookups!$B$87</f>
        <v>0</v>
      </c>
      <c r="AX213" s="25">
        <f>Inventory[[#This Row],[AddFn]]*Lookups!$B$88</f>
        <v>0</v>
      </c>
      <c r="AY213" s="25">
        <f>Inventory[[#This Row],[Bsmt]]*Lookups!$B$89</f>
        <v>0</v>
      </c>
      <c r="AZ213" s="25">
        <f>Inventory[[#This Row],[Fixtures]]*Lookups!$B$90</f>
        <v>26544.1547364</v>
      </c>
      <c r="BA213" s="25">
        <f>Inventory[[#This Row],[WdDeck]]*Lookups!$B$91</f>
        <v>0</v>
      </c>
      <c r="BB213" s="25">
        <f>ROUND(Inventory[[#This Row],[25Det]],-2)</f>
        <v>13700</v>
      </c>
      <c r="BC213" s="25">
        <f>ROUND(SUM(Inventory[[#This Row],[Mdl Qlty]:[Mdl WdDeck]])+Inventory[[#This Row],[Mdl Res Intercept]],-2)</f>
        <v>251600</v>
      </c>
      <c r="BD213" s="25">
        <f>ROUND(Inventory[[#This Row],[Mdl Land Intercept]]+Inventory[[#This Row],[Mdl LnAcres]],-2)</f>
        <v>40400</v>
      </c>
      <c r="BE213" s="25">
        <f>Inventory[[#This Row],[Unadj Res Value]]+Inventory[[#This Row],[Unadj Det Value]]+Inventory[[#This Row],[Unadj Land Value]]</f>
        <v>305700</v>
      </c>
      <c r="BF213" s="36">
        <f>(Inventory[[#This Row],[Unadj Total Value]]-Inventory[[#This Row],[24Final]])/Inventory[[#This Row],[24Final]]</f>
        <v>3.944236654199252E-2</v>
      </c>
      <c r="BG213" s="25">
        <f>VLOOKUP(Inventory[[#This Row],[Nbhd]],Lookups!$Q$2:$T$4,4,FALSE)</f>
        <v>0.99970000000000003</v>
      </c>
      <c r="BH213" s="25">
        <f>VLOOKUP(Inventory[[#This Row],[Qlty]],Lookups!$O$7:$R$21,4,FALSE)</f>
        <v>1.0067999999999999</v>
      </c>
      <c r="BI213" s="25">
        <f>VLOOKUP(Inventory[[#This Row],[Cnd]],Lookups!$T$7:$W$16,4,FALSE)</f>
        <v>0.99729999999999996</v>
      </c>
      <c r="BJ213" s="25">
        <f>VLOOKUP(Inventory[[#This Row],[LivArea Range]],Lookups!$T$25:$W$37,4,FALSE)</f>
        <v>1.0157</v>
      </c>
      <c r="BK213" s="25">
        <f>VLOOKUP(Inventory[[#This Row],[Decade]],Lookups!$O$25:$R$42,4,FALSE)</f>
        <v>0.96919999999999995</v>
      </c>
      <c r="BL213" s="25">
        <f>Inventory[[#This Row],[Nbhd Adj]]*0.95</f>
        <v>0.94971499999999998</v>
      </c>
      <c r="BM213" s="25">
        <f>Inventory[[#This Row],[Nbhd Adj]]*Inventory[[#This Row],[Quality Adj]]*Inventory[[#This Row],[Condition Adj]]*Inventory[[#This Row],[Living Area Adj]]*Inventory[[#This Row],[Decade Adj]]*0.95</f>
        <v>0.93873104601730073</v>
      </c>
      <c r="BN213" s="25">
        <f>ROUND(SUM(Inventory[[#This Row],[Mdl Qlty]:[Mdl WdDeck]])+Inventory[[#This Row],[Mdl Res Intercept]]*Inventory[[#This Row],[Res Adj ]],-2)</f>
        <v>251600</v>
      </c>
      <c r="BO213" s="25">
        <f>ROUND(Inventory[[#This Row],[25Det]]*Inventory[[#This Row],[Det/Nbhd Adj]],-2)</f>
        <v>13000</v>
      </c>
      <c r="BP213" s="25">
        <f>Inventory[[#This Row],[Adjusted Res]]+Inventory[[#This Row],[Adj Det ]]</f>
        <v>264600</v>
      </c>
      <c r="BQ213" s="25">
        <f>ROUND((Inventory[[#This Row],[Mdl Land Intercept]]+Inventory[[#This Row],[Mdl LnAcres]])*Inventory[[#This Row],[Det/Nbhd Adj]],-2)</f>
        <v>38400</v>
      </c>
      <c r="BR213" s="25">
        <f>Inventory[[#This Row],[Adjusted Impr Total]]+Inventory[[#This Row],[Adjusted Land Total]]</f>
        <v>303000</v>
      </c>
      <c r="BS213" s="36">
        <f>IFERROR((Inventory[[#This Row],[Adjusted Impr Total]]-Inventory[[#This Row],[24Bldg]])/Inventory[[#This Row],[24Bldg]],0)</f>
        <v>0.13076923076923078</v>
      </c>
      <c r="BT213" s="36">
        <f>(Inventory[[#This Row],[Adjusted Land Total]]-Inventory[[#This Row],[24Lnd]])/Inventory[[#This Row],[24Lnd]]</f>
        <v>-0.36106489184692181</v>
      </c>
      <c r="BU213" s="36">
        <f>(Inventory[[#This Row],[Adjusted Total]]-Inventory[[#This Row],[24Final]])/Inventory[[#This Row],[24Final]]</f>
        <v>3.0261815708942538E-2</v>
      </c>
    </row>
    <row r="214" spans="1:73" x14ac:dyDescent="0.3">
      <c r="A214" s="25">
        <v>2025</v>
      </c>
      <c r="B214" s="26" t="s">
        <v>1828</v>
      </c>
      <c r="C214" s="26">
        <f>LN(Inventory[[#This Row],[Acres]])</f>
        <v>-1.3093333199837622</v>
      </c>
      <c r="D214" s="25">
        <v>0.27</v>
      </c>
      <c r="E214" s="25">
        <v>11900</v>
      </c>
      <c r="F214" s="26" t="s">
        <v>537</v>
      </c>
      <c r="G214" s="26" t="s">
        <v>126</v>
      </c>
      <c r="H214" s="26" t="s">
        <v>349</v>
      </c>
      <c r="I214" s="26" t="s">
        <v>538</v>
      </c>
      <c r="J214" s="26" t="s">
        <v>539</v>
      </c>
      <c r="K214" s="26" t="s">
        <v>300</v>
      </c>
      <c r="L214" s="26" t="s">
        <v>148</v>
      </c>
      <c r="M214" s="26" t="s">
        <v>206</v>
      </c>
      <c r="N214" s="26">
        <v>50</v>
      </c>
      <c r="O214" s="26">
        <f>2024-Inventory[[#This Row],[YrBlt]]</f>
        <v>48</v>
      </c>
      <c r="P214" s="26">
        <f>2024-Inventory[[#This Row],[EffYr]]</f>
        <v>45</v>
      </c>
      <c r="Q214" s="25">
        <v>1976</v>
      </c>
      <c r="R214" s="25">
        <v>1979</v>
      </c>
      <c r="S214" s="25">
        <v>1696</v>
      </c>
      <c r="T214" s="27"/>
      <c r="U214" s="25">
        <v>1696</v>
      </c>
      <c r="V214" s="25">
        <f>Inventory[[#This Row],[Bsmt]]-Inventory[[#This Row],[FnBsmt]]</f>
        <v>0</v>
      </c>
      <c r="W214" s="25">
        <v>1696</v>
      </c>
      <c r="X214" s="27"/>
      <c r="Y214" s="27">
        <f>Inventory[[#This Row],[MainFn]]+Inventory[[#This Row],[UpprFn]]+Inventory[[#This Row],[FnBsmt]]+Inventory[[#This Row],[AddFn]]</f>
        <v>3392</v>
      </c>
      <c r="Z214" s="27">
        <v>3500</v>
      </c>
      <c r="AA214" s="25">
        <v>13</v>
      </c>
      <c r="AB214" s="31"/>
      <c r="AC214" s="27"/>
      <c r="AD214" s="25">
        <v>496</v>
      </c>
      <c r="AE214" s="27"/>
      <c r="AF214" s="27"/>
      <c r="AG214" s="27"/>
      <c r="AH214" s="27"/>
      <c r="AI214" s="25">
        <v>551878</v>
      </c>
      <c r="AJ214" s="25">
        <v>419427</v>
      </c>
      <c r="AK214" s="25">
        <v>15447</v>
      </c>
      <c r="AL214" s="25">
        <v>416500</v>
      </c>
      <c r="AM214" s="25">
        <v>68900</v>
      </c>
      <c r="AN214" s="25">
        <v>347600</v>
      </c>
      <c r="AO214" s="25">
        <v>0</v>
      </c>
      <c r="AP214" s="25">
        <f>Lookups!$B$56*0</f>
        <v>0</v>
      </c>
      <c r="AQ214" s="25">
        <f>Lookups!$B$56*1</f>
        <v>89850.625589999996</v>
      </c>
      <c r="AR214" s="25">
        <f>Lookups!$B$57*Inventory[[#This Row],[LnAcres]]</f>
        <v>-41446.443120973789</v>
      </c>
      <c r="AS214" s="25">
        <f>VLOOKUP(Inventory[[#This Row],[Qlty]],Lookups!$A$62:$E$75,2,FALSE)</f>
        <v>44121.038090000002</v>
      </c>
      <c r="AT214" s="25">
        <f>VLOOKUP(Inventory[[#This Row],[Cnd]],Lookups!$A$76:$E$84,2,FALSE)</f>
        <v>133714.53821</v>
      </c>
      <c r="AU214" s="25">
        <f>Inventory[[#This Row],[EffAge]]*Lookups!$B$85</f>
        <v>-10037.0520225</v>
      </c>
      <c r="AV214" s="25">
        <f>Inventory[[#This Row],[MainFn]]*Lookups!$B$86</f>
        <v>83797.104111392007</v>
      </c>
      <c r="AW214" s="25">
        <f>Inventory[[#This Row],[UpprFn]]*Lookups!$B$87</f>
        <v>0</v>
      </c>
      <c r="AX214" s="25">
        <f>Inventory[[#This Row],[AddFn]]*Lookups!$B$88</f>
        <v>0</v>
      </c>
      <c r="AY214" s="25">
        <f>Inventory[[#This Row],[Bsmt]]*Lookups!$B$89</f>
        <v>49322.894338911996</v>
      </c>
      <c r="AZ214" s="25">
        <f>Inventory[[#This Row],[Fixtures]]*Lookups!$B$90</f>
        <v>49296.287367600002</v>
      </c>
      <c r="BA214" s="25">
        <f>Inventory[[#This Row],[WdDeck]]*Lookups!$B$91</f>
        <v>16514.575576896001</v>
      </c>
      <c r="BB214" s="25">
        <f>ROUND(Inventory[[#This Row],[25Det]],-2)</f>
        <v>15400</v>
      </c>
      <c r="BC214" s="25">
        <f>ROUND(SUM(Inventory[[#This Row],[Mdl Qlty]:[Mdl WdDeck]])+Inventory[[#This Row],[Mdl Res Intercept]],-2)</f>
        <v>366700</v>
      </c>
      <c r="BD214" s="25">
        <f>ROUND(Inventory[[#This Row],[Mdl Land Intercept]]+Inventory[[#This Row],[Mdl LnAcres]],-2)</f>
        <v>48400</v>
      </c>
      <c r="BE214" s="25">
        <f>Inventory[[#This Row],[Unadj Res Value]]+Inventory[[#This Row],[Unadj Det Value]]+Inventory[[#This Row],[Unadj Land Value]]</f>
        <v>430500</v>
      </c>
      <c r="BF214" s="36">
        <f>(Inventory[[#This Row],[Unadj Total Value]]-Inventory[[#This Row],[24Final]])/Inventory[[#This Row],[24Final]]</f>
        <v>3.3613445378151259E-2</v>
      </c>
      <c r="BG214" s="25">
        <f>VLOOKUP(Inventory[[#This Row],[Nbhd]],Lookups!$Q$2:$T$4,4,FALSE)</f>
        <v>0.99970000000000003</v>
      </c>
      <c r="BH214" s="25">
        <f>VLOOKUP(Inventory[[#This Row],[Qlty]],Lookups!$O$7:$R$21,4,FALSE)</f>
        <v>0.98050000000000004</v>
      </c>
      <c r="BI214" s="25">
        <f>VLOOKUP(Inventory[[#This Row],[Cnd]],Lookups!$T$7:$W$16,4,FALSE)</f>
        <v>0.99329999999999996</v>
      </c>
      <c r="BJ214" s="25">
        <f>VLOOKUP(Inventory[[#This Row],[LivArea Range]],Lookups!$T$25:$W$37,4,FALSE)</f>
        <v>1.0126999999999999</v>
      </c>
      <c r="BK214" s="25">
        <f>VLOOKUP(Inventory[[#This Row],[Decade]],Lookups!$O$25:$R$42,4,FALSE)</f>
        <v>0.96919999999999995</v>
      </c>
      <c r="BL214" s="25">
        <f>Inventory[[#This Row],[Nbhd Adj]]*0.95</f>
        <v>0.94971499999999998</v>
      </c>
      <c r="BM214" s="25">
        <f>Inventory[[#This Row],[Nbhd Adj]]*Inventory[[#This Row],[Quality Adj]]*Inventory[[#This Row],[Condition Adj]]*Inventory[[#This Row],[Living Area Adj]]*Inventory[[#This Row],[Decade Adj]]*0.95</f>
        <v>0.90785302775622978</v>
      </c>
      <c r="BN214" s="25">
        <f>ROUND(SUM(Inventory[[#This Row],[Mdl Qlty]:[Mdl WdDeck]])+Inventory[[#This Row],[Mdl Res Intercept]]*Inventory[[#This Row],[Res Adj ]],-2)</f>
        <v>366700</v>
      </c>
      <c r="BO214" s="25">
        <f>ROUND(Inventory[[#This Row],[25Det]]*Inventory[[#This Row],[Det/Nbhd Adj]],-2)</f>
        <v>14700</v>
      </c>
      <c r="BP214" s="25">
        <f>Inventory[[#This Row],[Adjusted Res]]+Inventory[[#This Row],[Adj Det ]]</f>
        <v>381400</v>
      </c>
      <c r="BQ214" s="25">
        <f>ROUND((Inventory[[#This Row],[Mdl Land Intercept]]+Inventory[[#This Row],[Mdl LnAcres]])*Inventory[[#This Row],[Det/Nbhd Adj]],-2)</f>
        <v>46000</v>
      </c>
      <c r="BR214" s="25">
        <f>Inventory[[#This Row],[Adjusted Impr Total]]+Inventory[[#This Row],[Adjusted Land Total]]</f>
        <v>427400</v>
      </c>
      <c r="BS214" s="36">
        <f>IFERROR((Inventory[[#This Row],[Adjusted Impr Total]]-Inventory[[#This Row],[24Bldg]])/Inventory[[#This Row],[24Bldg]],0)</f>
        <v>9.7238204833141537E-2</v>
      </c>
      <c r="BT214" s="36">
        <f>(Inventory[[#This Row],[Adjusted Land Total]]-Inventory[[#This Row],[24Lnd]])/Inventory[[#This Row],[24Lnd]]</f>
        <v>-0.33236574746008707</v>
      </c>
      <c r="BU214" s="36">
        <f>(Inventory[[#This Row],[Adjusted Total]]-Inventory[[#This Row],[24Final]])/Inventory[[#This Row],[24Final]]</f>
        <v>2.617046818727491E-2</v>
      </c>
    </row>
    <row r="215" spans="1:73" x14ac:dyDescent="0.3">
      <c r="A215" s="25">
        <v>2025</v>
      </c>
      <c r="B215" s="26" t="s">
        <v>1105</v>
      </c>
      <c r="C215" s="26">
        <f>LN(Inventory[[#This Row],[Acres]])</f>
        <v>-4.6051701859880909</v>
      </c>
      <c r="D215" s="25">
        <v>0.01</v>
      </c>
      <c r="E215" s="25">
        <v>540</v>
      </c>
      <c r="F215" s="26" t="s">
        <v>537</v>
      </c>
      <c r="G215" s="26" t="s">
        <v>28</v>
      </c>
      <c r="H215" s="26" t="s">
        <v>349</v>
      </c>
      <c r="I215" s="26" t="s">
        <v>538</v>
      </c>
      <c r="J215" s="26" t="s">
        <v>551</v>
      </c>
      <c r="K215" s="26" t="s">
        <v>381</v>
      </c>
      <c r="L215" s="26" t="s">
        <v>205</v>
      </c>
      <c r="M215" s="26" t="s">
        <v>323</v>
      </c>
      <c r="N215" s="26">
        <v>50</v>
      </c>
      <c r="O215" s="26">
        <f>2024-Inventory[[#This Row],[YrBlt]]</f>
        <v>49</v>
      </c>
      <c r="P215" s="26">
        <f>2024-Inventory[[#This Row],[EffYr]]</f>
        <v>45</v>
      </c>
      <c r="Q215" s="25">
        <v>1975</v>
      </c>
      <c r="R215" s="25">
        <v>1979</v>
      </c>
      <c r="S215" s="25">
        <v>540</v>
      </c>
      <c r="T215" s="27"/>
      <c r="U215" s="31"/>
      <c r="V215" s="31">
        <f>Inventory[[#This Row],[Bsmt]]-Inventory[[#This Row],[FnBsmt]]</f>
        <v>0</v>
      </c>
      <c r="W215" s="31"/>
      <c r="X215" s="27"/>
      <c r="Y215" s="27">
        <f>Inventory[[#This Row],[MainFn]]+Inventory[[#This Row],[UpprFn]]+Inventory[[#This Row],[FnBsmt]]+Inventory[[#This Row],[AddFn]]</f>
        <v>540</v>
      </c>
      <c r="Z215" s="27">
        <v>1000</v>
      </c>
      <c r="AA215" s="25">
        <v>5</v>
      </c>
      <c r="AB215" s="27"/>
      <c r="AC215" s="27"/>
      <c r="AD215" s="31"/>
      <c r="AE215" s="27"/>
      <c r="AF215" s="27"/>
      <c r="AG215" s="27"/>
      <c r="AH215" s="27"/>
      <c r="AI215" s="25">
        <v>94110</v>
      </c>
      <c r="AJ215" s="25">
        <v>72465</v>
      </c>
      <c r="AK215" s="25">
        <v>0</v>
      </c>
      <c r="AL215" s="25">
        <v>74300</v>
      </c>
      <c r="AM215" s="25">
        <v>11100</v>
      </c>
      <c r="AN215" s="25">
        <v>63200</v>
      </c>
      <c r="AO215" s="25">
        <v>0</v>
      </c>
      <c r="AP215" s="25">
        <f>Lookups!$B$56*0</f>
        <v>0</v>
      </c>
      <c r="AQ215" s="25">
        <f>Lookups!$B$56*1</f>
        <v>89850.625589999996</v>
      </c>
      <c r="AR215" s="25">
        <f>Lookups!$B$57*Inventory[[#This Row],[LnAcres]]</f>
        <v>-145774.89265936252</v>
      </c>
      <c r="AS215" s="25">
        <f>VLOOKUP(Inventory[[#This Row],[Qlty]],Lookups!$A$62:$E$75,2,FALSE)</f>
        <v>0</v>
      </c>
      <c r="AT215" s="25">
        <f>VLOOKUP(Inventory[[#This Row],[Cnd]],Lookups!$A$76:$E$84,2,FALSE)</f>
        <v>160472.20319</v>
      </c>
      <c r="AU215" s="25">
        <f>Inventory[[#This Row],[EffAge]]*Lookups!$B$85</f>
        <v>-10037.0520225</v>
      </c>
      <c r="AV215" s="25">
        <f>Inventory[[#This Row],[MainFn]]*Lookups!$B$86</f>
        <v>26680.681733580001</v>
      </c>
      <c r="AW215" s="25">
        <f>Inventory[[#This Row],[UpprFn]]*Lookups!$B$87</f>
        <v>0</v>
      </c>
      <c r="AX215" s="25">
        <f>Inventory[[#This Row],[AddFn]]*Lookups!$B$88</f>
        <v>0</v>
      </c>
      <c r="AY215" s="25">
        <f>Inventory[[#This Row],[Bsmt]]*Lookups!$B$89</f>
        <v>0</v>
      </c>
      <c r="AZ215" s="25">
        <f>Inventory[[#This Row],[Fixtures]]*Lookups!$B$90</f>
        <v>18960.110526</v>
      </c>
      <c r="BA215" s="25">
        <f>Inventory[[#This Row],[WdDeck]]*Lookups!$B$91</f>
        <v>0</v>
      </c>
      <c r="BB215" s="25">
        <f>ROUND(Inventory[[#This Row],[25Det]],-2)</f>
        <v>0</v>
      </c>
      <c r="BC215" s="25">
        <f>ROUND(SUM(Inventory[[#This Row],[Mdl Qlty]:[Mdl WdDeck]])+Inventory[[#This Row],[Mdl Res Intercept]],-2)</f>
        <v>196100</v>
      </c>
      <c r="BD215" s="25">
        <f>ROUND(Inventory[[#This Row],[Mdl Land Intercept]]+Inventory[[#This Row],[Mdl LnAcres]],-2)</f>
        <v>-55900</v>
      </c>
      <c r="BE215" s="25">
        <f>Inventory[[#This Row],[Unadj Res Value]]+Inventory[[#This Row],[Unadj Det Value]]+Inventory[[#This Row],[Unadj Land Value]]</f>
        <v>140200</v>
      </c>
      <c r="BF215" s="36">
        <f>(Inventory[[#This Row],[Unadj Total Value]]-Inventory[[#This Row],[24Final]])/Inventory[[#This Row],[24Final]]</f>
        <v>0.88694481830417227</v>
      </c>
      <c r="BG215" s="25">
        <f>VLOOKUP(Inventory[[#This Row],[Nbhd]],Lookups!$Q$2:$T$4,4,FALSE)</f>
        <v>0.99970000000000003</v>
      </c>
      <c r="BH215" s="25">
        <f>VLOOKUP(Inventory[[#This Row],[Qlty]],Lookups!$O$7:$R$21,4,FALSE)</f>
        <v>0.99180000000000001</v>
      </c>
      <c r="BI215" s="25">
        <f>VLOOKUP(Inventory[[#This Row],[Cnd]],Lookups!$T$7:$W$16,4,FALSE)</f>
        <v>0.99729999999999996</v>
      </c>
      <c r="BJ215" s="25">
        <f>VLOOKUP(Inventory[[#This Row],[LivArea Range]],Lookups!$T$25:$W$37,4,FALSE)</f>
        <v>1.0148999999999999</v>
      </c>
      <c r="BK215" s="25">
        <f>VLOOKUP(Inventory[[#This Row],[Decade]],Lookups!$O$25:$R$42,4,FALSE)</f>
        <v>0.96919999999999995</v>
      </c>
      <c r="BL215" s="25">
        <f>Inventory[[#This Row],[Nbhd Adj]]*0.95</f>
        <v>0.94971499999999998</v>
      </c>
      <c r="BM215" s="25">
        <f>Inventory[[#This Row],[Nbhd Adj]]*Inventory[[#This Row],[Quality Adj]]*Inventory[[#This Row],[Condition Adj]]*Inventory[[#This Row],[Living Area Adj]]*Inventory[[#This Row],[Decade Adj]]*0.95</f>
        <v>0.92401682330597379</v>
      </c>
      <c r="BN215" s="25">
        <f>ROUND(SUM(Inventory[[#This Row],[Mdl Qlty]:[Mdl WdDeck]])+Inventory[[#This Row],[Mdl Res Intercept]]*Inventory[[#This Row],[Res Adj ]],-2)</f>
        <v>196100</v>
      </c>
      <c r="BO215" s="25">
        <f>ROUND(Inventory[[#This Row],[25Det]]*Inventory[[#This Row],[Det/Nbhd Adj]],-2)</f>
        <v>0</v>
      </c>
      <c r="BP215" s="25">
        <f>Inventory[[#This Row],[Adjusted Res]]+Inventory[[#This Row],[Adj Det ]]</f>
        <v>196100</v>
      </c>
      <c r="BQ215" s="25">
        <f>ROUND((Inventory[[#This Row],[Mdl Land Intercept]]+Inventory[[#This Row],[Mdl LnAcres]])*Inventory[[#This Row],[Det/Nbhd Adj]],-2)</f>
        <v>-53100</v>
      </c>
      <c r="BR215" s="25">
        <f>Inventory[[#This Row],[Adjusted Impr Total]]+Inventory[[#This Row],[Adjusted Land Total]]</f>
        <v>143000</v>
      </c>
      <c r="BS215" s="36">
        <f>IFERROR((Inventory[[#This Row],[Adjusted Impr Total]]-Inventory[[#This Row],[24Bldg]])/Inventory[[#This Row],[24Bldg]],0)</f>
        <v>2.1028481012658227</v>
      </c>
      <c r="BT215" s="36">
        <f>(Inventory[[#This Row],[Adjusted Land Total]]-Inventory[[#This Row],[24Lnd]])/Inventory[[#This Row],[24Lnd]]</f>
        <v>-5.7837837837837842</v>
      </c>
      <c r="BU215" s="36">
        <f>(Inventory[[#This Row],[Adjusted Total]]-Inventory[[#This Row],[24Final]])/Inventory[[#This Row],[24Final]]</f>
        <v>0.92462987886944814</v>
      </c>
    </row>
    <row r="216" spans="1:73" x14ac:dyDescent="0.3">
      <c r="A216" s="25">
        <v>2025</v>
      </c>
      <c r="B216" s="26" t="s">
        <v>1126</v>
      </c>
      <c r="C216" s="26">
        <f>LN(Inventory[[#This Row],[Acres]])</f>
        <v>-4.6051701859880909</v>
      </c>
      <c r="D216" s="25">
        <v>0.01</v>
      </c>
      <c r="E216" s="25">
        <v>540</v>
      </c>
      <c r="F216" s="26" t="s">
        <v>537</v>
      </c>
      <c r="G216" s="26" t="s">
        <v>28</v>
      </c>
      <c r="H216" s="26" t="s">
        <v>349</v>
      </c>
      <c r="I216" s="26" t="s">
        <v>538</v>
      </c>
      <c r="J216" s="26" t="s">
        <v>551</v>
      </c>
      <c r="K216" s="26" t="s">
        <v>381</v>
      </c>
      <c r="L216" s="26" t="s">
        <v>205</v>
      </c>
      <c r="M216" s="26" t="s">
        <v>323</v>
      </c>
      <c r="N216" s="26">
        <v>50</v>
      </c>
      <c r="O216" s="26">
        <f>2024-Inventory[[#This Row],[YrBlt]]</f>
        <v>49</v>
      </c>
      <c r="P216" s="26">
        <f>2024-Inventory[[#This Row],[EffYr]]</f>
        <v>45</v>
      </c>
      <c r="Q216" s="25">
        <v>1975</v>
      </c>
      <c r="R216" s="25">
        <v>1979</v>
      </c>
      <c r="S216" s="25">
        <v>540</v>
      </c>
      <c r="T216" s="27"/>
      <c r="U216" s="31"/>
      <c r="V216" s="31">
        <f>Inventory[[#This Row],[Bsmt]]-Inventory[[#This Row],[FnBsmt]]</f>
        <v>0</v>
      </c>
      <c r="W216" s="31"/>
      <c r="X216" s="27"/>
      <c r="Y216" s="27">
        <f>Inventory[[#This Row],[MainFn]]+Inventory[[#This Row],[UpprFn]]+Inventory[[#This Row],[FnBsmt]]+Inventory[[#This Row],[AddFn]]</f>
        <v>540</v>
      </c>
      <c r="Z216" s="27">
        <v>1000</v>
      </c>
      <c r="AA216" s="25">
        <v>5</v>
      </c>
      <c r="AB216" s="27"/>
      <c r="AC216" s="27"/>
      <c r="AD216" s="27"/>
      <c r="AE216" s="27"/>
      <c r="AF216" s="27"/>
      <c r="AG216" s="27"/>
      <c r="AH216" s="27"/>
      <c r="AI216" s="25">
        <v>94110</v>
      </c>
      <c r="AJ216" s="25">
        <v>72465</v>
      </c>
      <c r="AK216" s="25">
        <v>0</v>
      </c>
      <c r="AL216" s="25">
        <v>74300</v>
      </c>
      <c r="AM216" s="25">
        <v>11100</v>
      </c>
      <c r="AN216" s="25">
        <v>63200</v>
      </c>
      <c r="AO216" s="25">
        <v>0</v>
      </c>
      <c r="AP216" s="25">
        <f>Lookups!$B$56*0</f>
        <v>0</v>
      </c>
      <c r="AQ216" s="25">
        <f>Lookups!$B$56*1</f>
        <v>89850.625589999996</v>
      </c>
      <c r="AR216" s="25">
        <f>Lookups!$B$57*Inventory[[#This Row],[LnAcres]]</f>
        <v>-145774.89265936252</v>
      </c>
      <c r="AS216" s="25">
        <f>VLOOKUP(Inventory[[#This Row],[Qlty]],Lookups!$A$62:$E$75,2,FALSE)</f>
        <v>0</v>
      </c>
      <c r="AT216" s="25">
        <f>VLOOKUP(Inventory[[#This Row],[Cnd]],Lookups!$A$76:$E$84,2,FALSE)</f>
        <v>160472.20319</v>
      </c>
      <c r="AU216" s="25">
        <f>Inventory[[#This Row],[EffAge]]*Lookups!$B$85</f>
        <v>-10037.0520225</v>
      </c>
      <c r="AV216" s="25">
        <f>Inventory[[#This Row],[MainFn]]*Lookups!$B$86</f>
        <v>26680.681733580001</v>
      </c>
      <c r="AW216" s="25">
        <f>Inventory[[#This Row],[UpprFn]]*Lookups!$B$87</f>
        <v>0</v>
      </c>
      <c r="AX216" s="25">
        <f>Inventory[[#This Row],[AddFn]]*Lookups!$B$88</f>
        <v>0</v>
      </c>
      <c r="AY216" s="25">
        <f>Inventory[[#This Row],[Bsmt]]*Lookups!$B$89</f>
        <v>0</v>
      </c>
      <c r="AZ216" s="25">
        <f>Inventory[[#This Row],[Fixtures]]*Lookups!$B$90</f>
        <v>18960.110526</v>
      </c>
      <c r="BA216" s="25">
        <f>Inventory[[#This Row],[WdDeck]]*Lookups!$B$91</f>
        <v>0</v>
      </c>
      <c r="BB216" s="25">
        <f>ROUND(Inventory[[#This Row],[25Det]],-2)</f>
        <v>0</v>
      </c>
      <c r="BC216" s="25">
        <f>ROUND(SUM(Inventory[[#This Row],[Mdl Qlty]:[Mdl WdDeck]])+Inventory[[#This Row],[Mdl Res Intercept]],-2)</f>
        <v>196100</v>
      </c>
      <c r="BD216" s="25">
        <f>ROUND(Inventory[[#This Row],[Mdl Land Intercept]]+Inventory[[#This Row],[Mdl LnAcres]],-2)</f>
        <v>-55900</v>
      </c>
      <c r="BE216" s="25">
        <f>Inventory[[#This Row],[Unadj Res Value]]+Inventory[[#This Row],[Unadj Det Value]]+Inventory[[#This Row],[Unadj Land Value]]</f>
        <v>140200</v>
      </c>
      <c r="BF216" s="36">
        <f>(Inventory[[#This Row],[Unadj Total Value]]-Inventory[[#This Row],[24Final]])/Inventory[[#This Row],[24Final]]</f>
        <v>0.88694481830417227</v>
      </c>
      <c r="BG216" s="25">
        <f>VLOOKUP(Inventory[[#This Row],[Nbhd]],Lookups!$Q$2:$T$4,4,FALSE)</f>
        <v>0.99970000000000003</v>
      </c>
      <c r="BH216" s="25">
        <f>VLOOKUP(Inventory[[#This Row],[Qlty]],Lookups!$O$7:$R$21,4,FALSE)</f>
        <v>0.99180000000000001</v>
      </c>
      <c r="BI216" s="25">
        <f>VLOOKUP(Inventory[[#This Row],[Cnd]],Lookups!$T$7:$W$16,4,FALSE)</f>
        <v>0.99729999999999996</v>
      </c>
      <c r="BJ216" s="25">
        <f>VLOOKUP(Inventory[[#This Row],[LivArea Range]],Lookups!$T$25:$W$37,4,FALSE)</f>
        <v>1.0148999999999999</v>
      </c>
      <c r="BK216" s="25">
        <f>VLOOKUP(Inventory[[#This Row],[Decade]],Lookups!$O$25:$R$42,4,FALSE)</f>
        <v>0.96919999999999995</v>
      </c>
      <c r="BL216" s="25">
        <f>Inventory[[#This Row],[Nbhd Adj]]*0.95</f>
        <v>0.94971499999999998</v>
      </c>
      <c r="BM216" s="25">
        <f>Inventory[[#This Row],[Nbhd Adj]]*Inventory[[#This Row],[Quality Adj]]*Inventory[[#This Row],[Condition Adj]]*Inventory[[#This Row],[Living Area Adj]]*Inventory[[#This Row],[Decade Adj]]*0.95</f>
        <v>0.92401682330597379</v>
      </c>
      <c r="BN216" s="25">
        <f>ROUND(SUM(Inventory[[#This Row],[Mdl Qlty]:[Mdl WdDeck]])+Inventory[[#This Row],[Mdl Res Intercept]]*Inventory[[#This Row],[Res Adj ]],-2)</f>
        <v>196100</v>
      </c>
      <c r="BO216" s="25">
        <f>ROUND(Inventory[[#This Row],[25Det]]*Inventory[[#This Row],[Det/Nbhd Adj]],-2)</f>
        <v>0</v>
      </c>
      <c r="BP216" s="25">
        <f>Inventory[[#This Row],[Adjusted Res]]+Inventory[[#This Row],[Adj Det ]]</f>
        <v>196100</v>
      </c>
      <c r="BQ216" s="25">
        <f>ROUND((Inventory[[#This Row],[Mdl Land Intercept]]+Inventory[[#This Row],[Mdl LnAcres]])*Inventory[[#This Row],[Det/Nbhd Adj]],-2)</f>
        <v>-53100</v>
      </c>
      <c r="BR216" s="25">
        <f>Inventory[[#This Row],[Adjusted Impr Total]]+Inventory[[#This Row],[Adjusted Land Total]]</f>
        <v>143000</v>
      </c>
      <c r="BS216" s="36">
        <f>IFERROR((Inventory[[#This Row],[Adjusted Impr Total]]-Inventory[[#This Row],[24Bldg]])/Inventory[[#This Row],[24Bldg]],0)</f>
        <v>2.1028481012658227</v>
      </c>
      <c r="BT216" s="36">
        <f>(Inventory[[#This Row],[Adjusted Land Total]]-Inventory[[#This Row],[24Lnd]])/Inventory[[#This Row],[24Lnd]]</f>
        <v>-5.7837837837837842</v>
      </c>
      <c r="BU216" s="36">
        <f>(Inventory[[#This Row],[Adjusted Total]]-Inventory[[#This Row],[24Final]])/Inventory[[#This Row],[24Final]]</f>
        <v>0.92462987886944814</v>
      </c>
    </row>
    <row r="217" spans="1:73" x14ac:dyDescent="0.3">
      <c r="A217" s="25">
        <v>2025</v>
      </c>
      <c r="B217" s="26" t="s">
        <v>1133</v>
      </c>
      <c r="C217" s="26">
        <f>LN(Inventory[[#This Row],[Acres]])</f>
        <v>-4.6051701859880909</v>
      </c>
      <c r="D217" s="25">
        <v>0.01</v>
      </c>
      <c r="E217" s="25">
        <v>540</v>
      </c>
      <c r="F217" s="26" t="s">
        <v>537</v>
      </c>
      <c r="G217" s="26" t="s">
        <v>28</v>
      </c>
      <c r="H217" s="26" t="s">
        <v>349</v>
      </c>
      <c r="I217" s="26" t="s">
        <v>538</v>
      </c>
      <c r="J217" s="26" t="s">
        <v>551</v>
      </c>
      <c r="K217" s="26" t="s">
        <v>381</v>
      </c>
      <c r="L217" s="26" t="s">
        <v>205</v>
      </c>
      <c r="M217" s="26" t="s">
        <v>323</v>
      </c>
      <c r="N217" s="26">
        <v>50</v>
      </c>
      <c r="O217" s="26">
        <f>2024-Inventory[[#This Row],[YrBlt]]</f>
        <v>49</v>
      </c>
      <c r="P217" s="26">
        <f>2024-Inventory[[#This Row],[EffYr]]</f>
        <v>45</v>
      </c>
      <c r="Q217" s="25">
        <v>1975</v>
      </c>
      <c r="R217" s="25">
        <v>1979</v>
      </c>
      <c r="S217" s="25">
        <v>540</v>
      </c>
      <c r="T217" s="31"/>
      <c r="U217" s="31"/>
      <c r="V217" s="31">
        <f>Inventory[[#This Row],[Bsmt]]-Inventory[[#This Row],[FnBsmt]]</f>
        <v>0</v>
      </c>
      <c r="W217" s="31"/>
      <c r="X217" s="27"/>
      <c r="Y217" s="27">
        <f>Inventory[[#This Row],[MainFn]]+Inventory[[#This Row],[UpprFn]]+Inventory[[#This Row],[FnBsmt]]+Inventory[[#This Row],[AddFn]]</f>
        <v>540</v>
      </c>
      <c r="Z217" s="27">
        <v>1000</v>
      </c>
      <c r="AA217" s="25">
        <v>5</v>
      </c>
      <c r="AB217" s="31"/>
      <c r="AC217" s="27"/>
      <c r="AD217" s="31"/>
      <c r="AE217" s="27"/>
      <c r="AF217" s="27"/>
      <c r="AG217" s="27"/>
      <c r="AH217" s="27"/>
      <c r="AI217" s="25">
        <v>94110</v>
      </c>
      <c r="AJ217" s="25">
        <v>72465</v>
      </c>
      <c r="AK217" s="25">
        <v>0</v>
      </c>
      <c r="AL217" s="25">
        <v>74300</v>
      </c>
      <c r="AM217" s="25">
        <v>11100</v>
      </c>
      <c r="AN217" s="25">
        <v>63200</v>
      </c>
      <c r="AO217" s="25">
        <v>0</v>
      </c>
      <c r="AP217" s="25">
        <f>Lookups!$B$56*0</f>
        <v>0</v>
      </c>
      <c r="AQ217" s="25">
        <f>Lookups!$B$56*1</f>
        <v>89850.625589999996</v>
      </c>
      <c r="AR217" s="25">
        <f>Lookups!$B$57*Inventory[[#This Row],[LnAcres]]</f>
        <v>-145774.89265936252</v>
      </c>
      <c r="AS217" s="25">
        <f>VLOOKUP(Inventory[[#This Row],[Qlty]],Lookups!$A$62:$E$75,2,FALSE)</f>
        <v>0</v>
      </c>
      <c r="AT217" s="25">
        <f>VLOOKUP(Inventory[[#This Row],[Cnd]],Lookups!$A$76:$E$84,2,FALSE)</f>
        <v>160472.20319</v>
      </c>
      <c r="AU217" s="25">
        <f>Inventory[[#This Row],[EffAge]]*Lookups!$B$85</f>
        <v>-10037.0520225</v>
      </c>
      <c r="AV217" s="25">
        <f>Inventory[[#This Row],[MainFn]]*Lookups!$B$86</f>
        <v>26680.681733580001</v>
      </c>
      <c r="AW217" s="25">
        <f>Inventory[[#This Row],[UpprFn]]*Lookups!$B$87</f>
        <v>0</v>
      </c>
      <c r="AX217" s="25">
        <f>Inventory[[#This Row],[AddFn]]*Lookups!$B$88</f>
        <v>0</v>
      </c>
      <c r="AY217" s="25">
        <f>Inventory[[#This Row],[Bsmt]]*Lookups!$B$89</f>
        <v>0</v>
      </c>
      <c r="AZ217" s="25">
        <f>Inventory[[#This Row],[Fixtures]]*Lookups!$B$90</f>
        <v>18960.110526</v>
      </c>
      <c r="BA217" s="25">
        <f>Inventory[[#This Row],[WdDeck]]*Lookups!$B$91</f>
        <v>0</v>
      </c>
      <c r="BB217" s="25">
        <f>ROUND(Inventory[[#This Row],[25Det]],-2)</f>
        <v>0</v>
      </c>
      <c r="BC217" s="25">
        <f>ROUND(SUM(Inventory[[#This Row],[Mdl Qlty]:[Mdl WdDeck]])+Inventory[[#This Row],[Mdl Res Intercept]],-2)</f>
        <v>196100</v>
      </c>
      <c r="BD217" s="25">
        <f>ROUND(Inventory[[#This Row],[Mdl Land Intercept]]+Inventory[[#This Row],[Mdl LnAcres]],-2)</f>
        <v>-55900</v>
      </c>
      <c r="BE217" s="25">
        <f>Inventory[[#This Row],[Unadj Res Value]]+Inventory[[#This Row],[Unadj Det Value]]+Inventory[[#This Row],[Unadj Land Value]]</f>
        <v>140200</v>
      </c>
      <c r="BF217" s="36">
        <f>(Inventory[[#This Row],[Unadj Total Value]]-Inventory[[#This Row],[24Final]])/Inventory[[#This Row],[24Final]]</f>
        <v>0.88694481830417227</v>
      </c>
      <c r="BG217" s="25">
        <f>VLOOKUP(Inventory[[#This Row],[Nbhd]],Lookups!$Q$2:$T$4,4,FALSE)</f>
        <v>0.99970000000000003</v>
      </c>
      <c r="BH217" s="25">
        <f>VLOOKUP(Inventory[[#This Row],[Qlty]],Lookups!$O$7:$R$21,4,FALSE)</f>
        <v>0.99180000000000001</v>
      </c>
      <c r="BI217" s="25">
        <f>VLOOKUP(Inventory[[#This Row],[Cnd]],Lookups!$T$7:$W$16,4,FALSE)</f>
        <v>0.99729999999999996</v>
      </c>
      <c r="BJ217" s="25">
        <f>VLOOKUP(Inventory[[#This Row],[LivArea Range]],Lookups!$T$25:$W$37,4,FALSE)</f>
        <v>1.0148999999999999</v>
      </c>
      <c r="BK217" s="25">
        <f>VLOOKUP(Inventory[[#This Row],[Decade]],Lookups!$O$25:$R$42,4,FALSE)</f>
        <v>0.96919999999999995</v>
      </c>
      <c r="BL217" s="25">
        <f>Inventory[[#This Row],[Nbhd Adj]]*0.95</f>
        <v>0.94971499999999998</v>
      </c>
      <c r="BM217" s="25">
        <f>Inventory[[#This Row],[Nbhd Adj]]*Inventory[[#This Row],[Quality Adj]]*Inventory[[#This Row],[Condition Adj]]*Inventory[[#This Row],[Living Area Adj]]*Inventory[[#This Row],[Decade Adj]]*0.95</f>
        <v>0.92401682330597379</v>
      </c>
      <c r="BN217" s="25">
        <f>ROUND(SUM(Inventory[[#This Row],[Mdl Qlty]:[Mdl WdDeck]])+Inventory[[#This Row],[Mdl Res Intercept]]*Inventory[[#This Row],[Res Adj ]],-2)</f>
        <v>196100</v>
      </c>
      <c r="BO217" s="25">
        <f>ROUND(Inventory[[#This Row],[25Det]]*Inventory[[#This Row],[Det/Nbhd Adj]],-2)</f>
        <v>0</v>
      </c>
      <c r="BP217" s="25">
        <f>Inventory[[#This Row],[Adjusted Res]]+Inventory[[#This Row],[Adj Det ]]</f>
        <v>196100</v>
      </c>
      <c r="BQ217" s="25">
        <f>ROUND((Inventory[[#This Row],[Mdl Land Intercept]]+Inventory[[#This Row],[Mdl LnAcres]])*Inventory[[#This Row],[Det/Nbhd Adj]],-2)</f>
        <v>-53100</v>
      </c>
      <c r="BR217" s="25">
        <f>Inventory[[#This Row],[Adjusted Impr Total]]+Inventory[[#This Row],[Adjusted Land Total]]</f>
        <v>143000</v>
      </c>
      <c r="BS217" s="36">
        <f>IFERROR((Inventory[[#This Row],[Adjusted Impr Total]]-Inventory[[#This Row],[24Bldg]])/Inventory[[#This Row],[24Bldg]],0)</f>
        <v>2.1028481012658227</v>
      </c>
      <c r="BT217" s="36">
        <f>(Inventory[[#This Row],[Adjusted Land Total]]-Inventory[[#This Row],[24Lnd]])/Inventory[[#This Row],[24Lnd]]</f>
        <v>-5.7837837837837842</v>
      </c>
      <c r="BU217" s="36">
        <f>(Inventory[[#This Row],[Adjusted Total]]-Inventory[[#This Row],[24Final]])/Inventory[[#This Row],[24Final]]</f>
        <v>0.92462987886944814</v>
      </c>
    </row>
    <row r="218" spans="1:73" x14ac:dyDescent="0.3">
      <c r="A218" s="25">
        <v>2025</v>
      </c>
      <c r="B218" s="26" t="s">
        <v>1102</v>
      </c>
      <c r="C218" s="26">
        <f>LN(Inventory[[#This Row],[Acres]])</f>
        <v>-4.6051701859880909</v>
      </c>
      <c r="D218" s="25">
        <v>0.01</v>
      </c>
      <c r="E218" s="25">
        <v>540</v>
      </c>
      <c r="F218" s="26" t="s">
        <v>537</v>
      </c>
      <c r="G218" s="26" t="s">
        <v>28</v>
      </c>
      <c r="H218" s="26" t="s">
        <v>349</v>
      </c>
      <c r="I218" s="26" t="s">
        <v>538</v>
      </c>
      <c r="J218" s="26" t="s">
        <v>551</v>
      </c>
      <c r="K218" s="26" t="s">
        <v>381</v>
      </c>
      <c r="L218" s="26" t="s">
        <v>205</v>
      </c>
      <c r="M218" s="26" t="s">
        <v>323</v>
      </c>
      <c r="N218" s="26">
        <v>50</v>
      </c>
      <c r="O218" s="26">
        <f>2024-Inventory[[#This Row],[YrBlt]]</f>
        <v>49</v>
      </c>
      <c r="P218" s="26">
        <f>2024-Inventory[[#This Row],[EffYr]]</f>
        <v>45</v>
      </c>
      <c r="Q218" s="25">
        <v>1975</v>
      </c>
      <c r="R218" s="25">
        <v>1979</v>
      </c>
      <c r="S218" s="25">
        <v>540</v>
      </c>
      <c r="T218" s="27"/>
      <c r="U218" s="31"/>
      <c r="V218" s="31">
        <f>Inventory[[#This Row],[Bsmt]]-Inventory[[#This Row],[FnBsmt]]</f>
        <v>0</v>
      </c>
      <c r="W218" s="31"/>
      <c r="X218" s="27"/>
      <c r="Y218" s="27">
        <f>Inventory[[#This Row],[MainFn]]+Inventory[[#This Row],[UpprFn]]+Inventory[[#This Row],[FnBsmt]]+Inventory[[#This Row],[AddFn]]</f>
        <v>540</v>
      </c>
      <c r="Z218" s="27">
        <v>1000</v>
      </c>
      <c r="AA218" s="25">
        <v>5</v>
      </c>
      <c r="AB218" s="27"/>
      <c r="AC218" s="27"/>
      <c r="AD218" s="27"/>
      <c r="AE218" s="27"/>
      <c r="AF218" s="27"/>
      <c r="AG218" s="27"/>
      <c r="AH218" s="27"/>
      <c r="AI218" s="25">
        <v>96427</v>
      </c>
      <c r="AJ218" s="25">
        <v>74249</v>
      </c>
      <c r="AK218" s="25">
        <v>0</v>
      </c>
      <c r="AL218" s="25">
        <v>76100</v>
      </c>
      <c r="AM218" s="25">
        <v>11400</v>
      </c>
      <c r="AN218" s="25">
        <v>64700</v>
      </c>
      <c r="AO218" s="25">
        <v>0</v>
      </c>
      <c r="AP218" s="25">
        <f>Lookups!$B$56*0</f>
        <v>0</v>
      </c>
      <c r="AQ218" s="25">
        <f>Lookups!$B$56*1</f>
        <v>89850.625589999996</v>
      </c>
      <c r="AR218" s="25">
        <f>Lookups!$B$57*Inventory[[#This Row],[LnAcres]]</f>
        <v>-145774.89265936252</v>
      </c>
      <c r="AS218" s="25">
        <f>VLOOKUP(Inventory[[#This Row],[Qlty]],Lookups!$A$62:$E$75,2,FALSE)</f>
        <v>0</v>
      </c>
      <c r="AT218" s="25">
        <f>VLOOKUP(Inventory[[#This Row],[Cnd]],Lookups!$A$76:$E$84,2,FALSE)</f>
        <v>160472.20319</v>
      </c>
      <c r="AU218" s="25">
        <f>Inventory[[#This Row],[EffAge]]*Lookups!$B$85</f>
        <v>-10037.0520225</v>
      </c>
      <c r="AV218" s="25">
        <f>Inventory[[#This Row],[MainFn]]*Lookups!$B$86</f>
        <v>26680.681733580001</v>
      </c>
      <c r="AW218" s="25">
        <f>Inventory[[#This Row],[UpprFn]]*Lookups!$B$87</f>
        <v>0</v>
      </c>
      <c r="AX218" s="25">
        <f>Inventory[[#This Row],[AddFn]]*Lookups!$B$88</f>
        <v>0</v>
      </c>
      <c r="AY218" s="25">
        <f>Inventory[[#This Row],[Bsmt]]*Lookups!$B$89</f>
        <v>0</v>
      </c>
      <c r="AZ218" s="25">
        <f>Inventory[[#This Row],[Fixtures]]*Lookups!$B$90</f>
        <v>18960.110526</v>
      </c>
      <c r="BA218" s="25">
        <f>Inventory[[#This Row],[WdDeck]]*Lookups!$B$91</f>
        <v>0</v>
      </c>
      <c r="BB218" s="25">
        <f>ROUND(Inventory[[#This Row],[25Det]],-2)</f>
        <v>0</v>
      </c>
      <c r="BC218" s="25">
        <f>ROUND(SUM(Inventory[[#This Row],[Mdl Qlty]:[Mdl WdDeck]])+Inventory[[#This Row],[Mdl Res Intercept]],-2)</f>
        <v>196100</v>
      </c>
      <c r="BD218" s="25">
        <f>ROUND(Inventory[[#This Row],[Mdl Land Intercept]]+Inventory[[#This Row],[Mdl LnAcres]],-2)</f>
        <v>-55900</v>
      </c>
      <c r="BE218" s="25">
        <f>Inventory[[#This Row],[Unadj Res Value]]+Inventory[[#This Row],[Unadj Det Value]]+Inventory[[#This Row],[Unadj Land Value]]</f>
        <v>140200</v>
      </c>
      <c r="BF218" s="36">
        <f>(Inventory[[#This Row],[Unadj Total Value]]-Inventory[[#This Row],[24Final]])/Inventory[[#This Row],[24Final]]</f>
        <v>0.8423127463863338</v>
      </c>
      <c r="BG218" s="25">
        <f>VLOOKUP(Inventory[[#This Row],[Nbhd]],Lookups!$Q$2:$T$4,4,FALSE)</f>
        <v>0.99970000000000003</v>
      </c>
      <c r="BH218" s="25">
        <f>VLOOKUP(Inventory[[#This Row],[Qlty]],Lookups!$O$7:$R$21,4,FALSE)</f>
        <v>0.99180000000000001</v>
      </c>
      <c r="BI218" s="25">
        <f>VLOOKUP(Inventory[[#This Row],[Cnd]],Lookups!$T$7:$W$16,4,FALSE)</f>
        <v>0.99729999999999996</v>
      </c>
      <c r="BJ218" s="25">
        <f>VLOOKUP(Inventory[[#This Row],[LivArea Range]],Lookups!$T$25:$W$37,4,FALSE)</f>
        <v>1.0148999999999999</v>
      </c>
      <c r="BK218" s="25">
        <f>VLOOKUP(Inventory[[#This Row],[Decade]],Lookups!$O$25:$R$42,4,FALSE)</f>
        <v>0.96919999999999995</v>
      </c>
      <c r="BL218" s="25">
        <f>Inventory[[#This Row],[Nbhd Adj]]*0.95</f>
        <v>0.94971499999999998</v>
      </c>
      <c r="BM218" s="25">
        <f>Inventory[[#This Row],[Nbhd Adj]]*Inventory[[#This Row],[Quality Adj]]*Inventory[[#This Row],[Condition Adj]]*Inventory[[#This Row],[Living Area Adj]]*Inventory[[#This Row],[Decade Adj]]*0.95</f>
        <v>0.92401682330597379</v>
      </c>
      <c r="BN218" s="25">
        <f>ROUND(SUM(Inventory[[#This Row],[Mdl Qlty]:[Mdl WdDeck]])+Inventory[[#This Row],[Mdl Res Intercept]]*Inventory[[#This Row],[Res Adj ]],-2)</f>
        <v>196100</v>
      </c>
      <c r="BO218" s="25">
        <f>ROUND(Inventory[[#This Row],[25Det]]*Inventory[[#This Row],[Det/Nbhd Adj]],-2)</f>
        <v>0</v>
      </c>
      <c r="BP218" s="25">
        <f>Inventory[[#This Row],[Adjusted Res]]+Inventory[[#This Row],[Adj Det ]]</f>
        <v>196100</v>
      </c>
      <c r="BQ218" s="25">
        <f>ROUND((Inventory[[#This Row],[Mdl Land Intercept]]+Inventory[[#This Row],[Mdl LnAcres]])*Inventory[[#This Row],[Det/Nbhd Adj]],-2)</f>
        <v>-53100</v>
      </c>
      <c r="BR218" s="25">
        <f>Inventory[[#This Row],[Adjusted Impr Total]]+Inventory[[#This Row],[Adjusted Land Total]]</f>
        <v>143000</v>
      </c>
      <c r="BS218" s="36">
        <f>IFERROR((Inventory[[#This Row],[Adjusted Impr Total]]-Inventory[[#This Row],[24Bldg]])/Inventory[[#This Row],[24Bldg]],0)</f>
        <v>2.0309119010819163</v>
      </c>
      <c r="BT218" s="36">
        <f>(Inventory[[#This Row],[Adjusted Land Total]]-Inventory[[#This Row],[24Lnd]])/Inventory[[#This Row],[24Lnd]]</f>
        <v>-5.6578947368421053</v>
      </c>
      <c r="BU218" s="36">
        <f>(Inventory[[#This Row],[Adjusted Total]]-Inventory[[#This Row],[24Final]])/Inventory[[#This Row],[24Final]]</f>
        <v>0.87910643889618922</v>
      </c>
    </row>
    <row r="219" spans="1:73" x14ac:dyDescent="0.3">
      <c r="A219" s="25">
        <v>2025</v>
      </c>
      <c r="B219" s="26" t="s">
        <v>1106</v>
      </c>
      <c r="C219" s="26">
        <f>LN(Inventory[[#This Row],[Acres]])</f>
        <v>-4.6051701859880909</v>
      </c>
      <c r="D219" s="25">
        <v>0.01</v>
      </c>
      <c r="E219" s="25">
        <v>540</v>
      </c>
      <c r="F219" s="26" t="s">
        <v>537</v>
      </c>
      <c r="G219" s="26" t="s">
        <v>28</v>
      </c>
      <c r="H219" s="26" t="s">
        <v>349</v>
      </c>
      <c r="I219" s="26" t="s">
        <v>538</v>
      </c>
      <c r="J219" s="26" t="s">
        <v>551</v>
      </c>
      <c r="K219" s="26" t="s">
        <v>381</v>
      </c>
      <c r="L219" s="26" t="s">
        <v>205</v>
      </c>
      <c r="M219" s="26" t="s">
        <v>323</v>
      </c>
      <c r="N219" s="26">
        <v>50</v>
      </c>
      <c r="O219" s="26">
        <f>2024-Inventory[[#This Row],[YrBlt]]</f>
        <v>49</v>
      </c>
      <c r="P219" s="26">
        <f>2024-Inventory[[#This Row],[EffYr]]</f>
        <v>45</v>
      </c>
      <c r="Q219" s="25">
        <v>1975</v>
      </c>
      <c r="R219" s="25">
        <v>1979</v>
      </c>
      <c r="S219" s="25">
        <v>540</v>
      </c>
      <c r="T219" s="27"/>
      <c r="U219" s="31"/>
      <c r="V219" s="31">
        <f>Inventory[[#This Row],[Bsmt]]-Inventory[[#This Row],[FnBsmt]]</f>
        <v>0</v>
      </c>
      <c r="W219" s="31"/>
      <c r="X219" s="27"/>
      <c r="Y219" s="27">
        <f>Inventory[[#This Row],[MainFn]]+Inventory[[#This Row],[UpprFn]]+Inventory[[#This Row],[FnBsmt]]+Inventory[[#This Row],[AddFn]]</f>
        <v>540</v>
      </c>
      <c r="Z219" s="27">
        <v>1000</v>
      </c>
      <c r="AA219" s="25">
        <v>5</v>
      </c>
      <c r="AB219" s="27"/>
      <c r="AC219" s="27"/>
      <c r="AD219" s="27"/>
      <c r="AE219" s="27"/>
      <c r="AF219" s="27"/>
      <c r="AG219" s="27"/>
      <c r="AH219" s="27"/>
      <c r="AI219" s="25">
        <v>96427</v>
      </c>
      <c r="AJ219" s="25">
        <v>74249</v>
      </c>
      <c r="AK219" s="25">
        <v>0</v>
      </c>
      <c r="AL219" s="25">
        <v>76100</v>
      </c>
      <c r="AM219" s="25">
        <v>11400</v>
      </c>
      <c r="AN219" s="25">
        <v>64700</v>
      </c>
      <c r="AO219" s="25">
        <v>0</v>
      </c>
      <c r="AP219" s="25">
        <f>Lookups!$B$56*0</f>
        <v>0</v>
      </c>
      <c r="AQ219" s="25">
        <f>Lookups!$B$56*1</f>
        <v>89850.625589999996</v>
      </c>
      <c r="AR219" s="25">
        <f>Lookups!$B$57*Inventory[[#This Row],[LnAcres]]</f>
        <v>-145774.89265936252</v>
      </c>
      <c r="AS219" s="25">
        <f>VLOOKUP(Inventory[[#This Row],[Qlty]],Lookups!$A$62:$E$75,2,FALSE)</f>
        <v>0</v>
      </c>
      <c r="AT219" s="25">
        <f>VLOOKUP(Inventory[[#This Row],[Cnd]],Lookups!$A$76:$E$84,2,FALSE)</f>
        <v>160472.20319</v>
      </c>
      <c r="AU219" s="25">
        <f>Inventory[[#This Row],[EffAge]]*Lookups!$B$85</f>
        <v>-10037.0520225</v>
      </c>
      <c r="AV219" s="25">
        <f>Inventory[[#This Row],[MainFn]]*Lookups!$B$86</f>
        <v>26680.681733580001</v>
      </c>
      <c r="AW219" s="25">
        <f>Inventory[[#This Row],[UpprFn]]*Lookups!$B$87</f>
        <v>0</v>
      </c>
      <c r="AX219" s="25">
        <f>Inventory[[#This Row],[AddFn]]*Lookups!$B$88</f>
        <v>0</v>
      </c>
      <c r="AY219" s="25">
        <f>Inventory[[#This Row],[Bsmt]]*Lookups!$B$89</f>
        <v>0</v>
      </c>
      <c r="AZ219" s="25">
        <f>Inventory[[#This Row],[Fixtures]]*Lookups!$B$90</f>
        <v>18960.110526</v>
      </c>
      <c r="BA219" s="25">
        <f>Inventory[[#This Row],[WdDeck]]*Lookups!$B$91</f>
        <v>0</v>
      </c>
      <c r="BB219" s="25">
        <f>ROUND(Inventory[[#This Row],[25Det]],-2)</f>
        <v>0</v>
      </c>
      <c r="BC219" s="25">
        <f>ROUND(SUM(Inventory[[#This Row],[Mdl Qlty]:[Mdl WdDeck]])+Inventory[[#This Row],[Mdl Res Intercept]],-2)</f>
        <v>196100</v>
      </c>
      <c r="BD219" s="25">
        <f>ROUND(Inventory[[#This Row],[Mdl Land Intercept]]+Inventory[[#This Row],[Mdl LnAcres]],-2)</f>
        <v>-55900</v>
      </c>
      <c r="BE219" s="25">
        <f>Inventory[[#This Row],[Unadj Res Value]]+Inventory[[#This Row],[Unadj Det Value]]+Inventory[[#This Row],[Unadj Land Value]]</f>
        <v>140200</v>
      </c>
      <c r="BF219" s="36">
        <f>(Inventory[[#This Row],[Unadj Total Value]]-Inventory[[#This Row],[24Final]])/Inventory[[#This Row],[24Final]]</f>
        <v>0.8423127463863338</v>
      </c>
      <c r="BG219" s="25">
        <f>VLOOKUP(Inventory[[#This Row],[Nbhd]],Lookups!$Q$2:$T$4,4,FALSE)</f>
        <v>0.99970000000000003</v>
      </c>
      <c r="BH219" s="25">
        <f>VLOOKUP(Inventory[[#This Row],[Qlty]],Lookups!$O$7:$R$21,4,FALSE)</f>
        <v>0.99180000000000001</v>
      </c>
      <c r="BI219" s="25">
        <f>VLOOKUP(Inventory[[#This Row],[Cnd]],Lookups!$T$7:$W$16,4,FALSE)</f>
        <v>0.99729999999999996</v>
      </c>
      <c r="BJ219" s="25">
        <f>VLOOKUP(Inventory[[#This Row],[LivArea Range]],Lookups!$T$25:$W$37,4,FALSE)</f>
        <v>1.0148999999999999</v>
      </c>
      <c r="BK219" s="25">
        <f>VLOOKUP(Inventory[[#This Row],[Decade]],Lookups!$O$25:$R$42,4,FALSE)</f>
        <v>0.96919999999999995</v>
      </c>
      <c r="BL219" s="25">
        <f>Inventory[[#This Row],[Nbhd Adj]]*0.95</f>
        <v>0.94971499999999998</v>
      </c>
      <c r="BM219" s="25">
        <f>Inventory[[#This Row],[Nbhd Adj]]*Inventory[[#This Row],[Quality Adj]]*Inventory[[#This Row],[Condition Adj]]*Inventory[[#This Row],[Living Area Adj]]*Inventory[[#This Row],[Decade Adj]]*0.95</f>
        <v>0.92401682330597379</v>
      </c>
      <c r="BN219" s="25">
        <f>ROUND(SUM(Inventory[[#This Row],[Mdl Qlty]:[Mdl WdDeck]])+Inventory[[#This Row],[Mdl Res Intercept]]*Inventory[[#This Row],[Res Adj ]],-2)</f>
        <v>196100</v>
      </c>
      <c r="BO219" s="25">
        <f>ROUND(Inventory[[#This Row],[25Det]]*Inventory[[#This Row],[Det/Nbhd Adj]],-2)</f>
        <v>0</v>
      </c>
      <c r="BP219" s="25">
        <f>Inventory[[#This Row],[Adjusted Res]]+Inventory[[#This Row],[Adj Det ]]</f>
        <v>196100</v>
      </c>
      <c r="BQ219" s="25">
        <f>ROUND((Inventory[[#This Row],[Mdl Land Intercept]]+Inventory[[#This Row],[Mdl LnAcres]])*Inventory[[#This Row],[Det/Nbhd Adj]],-2)</f>
        <v>-53100</v>
      </c>
      <c r="BR219" s="25">
        <f>Inventory[[#This Row],[Adjusted Impr Total]]+Inventory[[#This Row],[Adjusted Land Total]]</f>
        <v>143000</v>
      </c>
      <c r="BS219" s="36">
        <f>IFERROR((Inventory[[#This Row],[Adjusted Impr Total]]-Inventory[[#This Row],[24Bldg]])/Inventory[[#This Row],[24Bldg]],0)</f>
        <v>2.0309119010819163</v>
      </c>
      <c r="BT219" s="36">
        <f>(Inventory[[#This Row],[Adjusted Land Total]]-Inventory[[#This Row],[24Lnd]])/Inventory[[#This Row],[24Lnd]]</f>
        <v>-5.6578947368421053</v>
      </c>
      <c r="BU219" s="36">
        <f>(Inventory[[#This Row],[Adjusted Total]]-Inventory[[#This Row],[24Final]])/Inventory[[#This Row],[24Final]]</f>
        <v>0.87910643889618922</v>
      </c>
    </row>
    <row r="220" spans="1:73" x14ac:dyDescent="0.3">
      <c r="A220" s="25">
        <v>2025</v>
      </c>
      <c r="B220" s="26" t="s">
        <v>1129</v>
      </c>
      <c r="C220" s="26">
        <f>LN(Inventory[[#This Row],[Acres]])</f>
        <v>-4.6051701859880909</v>
      </c>
      <c r="D220" s="25">
        <v>0.01</v>
      </c>
      <c r="E220" s="25">
        <v>540</v>
      </c>
      <c r="F220" s="26" t="s">
        <v>537</v>
      </c>
      <c r="G220" s="26" t="s">
        <v>28</v>
      </c>
      <c r="H220" s="26" t="s">
        <v>349</v>
      </c>
      <c r="I220" s="26" t="s">
        <v>538</v>
      </c>
      <c r="J220" s="26" t="s">
        <v>551</v>
      </c>
      <c r="K220" s="26" t="s">
        <v>381</v>
      </c>
      <c r="L220" s="26" t="s">
        <v>205</v>
      </c>
      <c r="M220" s="26" t="s">
        <v>323</v>
      </c>
      <c r="N220" s="26">
        <v>50</v>
      </c>
      <c r="O220" s="26">
        <f>2024-Inventory[[#This Row],[YrBlt]]</f>
        <v>49</v>
      </c>
      <c r="P220" s="26">
        <f>2024-Inventory[[#This Row],[EffYr]]</f>
        <v>45</v>
      </c>
      <c r="Q220" s="25">
        <v>1975</v>
      </c>
      <c r="R220" s="25">
        <v>1979</v>
      </c>
      <c r="S220" s="25">
        <v>540</v>
      </c>
      <c r="T220" s="27"/>
      <c r="U220" s="31"/>
      <c r="V220" s="31">
        <f>Inventory[[#This Row],[Bsmt]]-Inventory[[#This Row],[FnBsmt]]</f>
        <v>0</v>
      </c>
      <c r="W220" s="31"/>
      <c r="X220" s="27"/>
      <c r="Y220" s="27">
        <f>Inventory[[#This Row],[MainFn]]+Inventory[[#This Row],[UpprFn]]+Inventory[[#This Row],[FnBsmt]]+Inventory[[#This Row],[AddFn]]</f>
        <v>540</v>
      </c>
      <c r="Z220" s="27">
        <v>1000</v>
      </c>
      <c r="AA220" s="25">
        <v>5</v>
      </c>
      <c r="AB220" s="27"/>
      <c r="AC220" s="27"/>
      <c r="AD220" s="27"/>
      <c r="AE220" s="27"/>
      <c r="AF220" s="27"/>
      <c r="AG220" s="27"/>
      <c r="AH220" s="27"/>
      <c r="AI220" s="25">
        <v>96427</v>
      </c>
      <c r="AJ220" s="25">
        <v>74249</v>
      </c>
      <c r="AK220" s="25">
        <v>0</v>
      </c>
      <c r="AL220" s="25">
        <v>76100</v>
      </c>
      <c r="AM220" s="25">
        <v>11400</v>
      </c>
      <c r="AN220" s="25">
        <v>64700</v>
      </c>
      <c r="AO220" s="25">
        <v>0</v>
      </c>
      <c r="AP220" s="25">
        <f>Lookups!$B$56*0</f>
        <v>0</v>
      </c>
      <c r="AQ220" s="25">
        <f>Lookups!$B$56*1</f>
        <v>89850.625589999996</v>
      </c>
      <c r="AR220" s="25">
        <f>Lookups!$B$57*Inventory[[#This Row],[LnAcres]]</f>
        <v>-145774.89265936252</v>
      </c>
      <c r="AS220" s="25">
        <f>VLOOKUP(Inventory[[#This Row],[Qlty]],Lookups!$A$62:$E$75,2,FALSE)</f>
        <v>0</v>
      </c>
      <c r="AT220" s="25">
        <f>VLOOKUP(Inventory[[#This Row],[Cnd]],Lookups!$A$76:$E$84,2,FALSE)</f>
        <v>160472.20319</v>
      </c>
      <c r="AU220" s="25">
        <f>Inventory[[#This Row],[EffAge]]*Lookups!$B$85</f>
        <v>-10037.0520225</v>
      </c>
      <c r="AV220" s="25">
        <f>Inventory[[#This Row],[MainFn]]*Lookups!$B$86</f>
        <v>26680.681733580001</v>
      </c>
      <c r="AW220" s="25">
        <f>Inventory[[#This Row],[UpprFn]]*Lookups!$B$87</f>
        <v>0</v>
      </c>
      <c r="AX220" s="25">
        <f>Inventory[[#This Row],[AddFn]]*Lookups!$B$88</f>
        <v>0</v>
      </c>
      <c r="AY220" s="25">
        <f>Inventory[[#This Row],[Bsmt]]*Lookups!$B$89</f>
        <v>0</v>
      </c>
      <c r="AZ220" s="25">
        <f>Inventory[[#This Row],[Fixtures]]*Lookups!$B$90</f>
        <v>18960.110526</v>
      </c>
      <c r="BA220" s="25">
        <f>Inventory[[#This Row],[WdDeck]]*Lookups!$B$91</f>
        <v>0</v>
      </c>
      <c r="BB220" s="25">
        <f>ROUND(Inventory[[#This Row],[25Det]],-2)</f>
        <v>0</v>
      </c>
      <c r="BC220" s="25">
        <f>ROUND(SUM(Inventory[[#This Row],[Mdl Qlty]:[Mdl WdDeck]])+Inventory[[#This Row],[Mdl Res Intercept]],-2)</f>
        <v>196100</v>
      </c>
      <c r="BD220" s="25">
        <f>ROUND(Inventory[[#This Row],[Mdl Land Intercept]]+Inventory[[#This Row],[Mdl LnAcres]],-2)</f>
        <v>-55900</v>
      </c>
      <c r="BE220" s="25">
        <f>Inventory[[#This Row],[Unadj Res Value]]+Inventory[[#This Row],[Unadj Det Value]]+Inventory[[#This Row],[Unadj Land Value]]</f>
        <v>140200</v>
      </c>
      <c r="BF220" s="36">
        <f>(Inventory[[#This Row],[Unadj Total Value]]-Inventory[[#This Row],[24Final]])/Inventory[[#This Row],[24Final]]</f>
        <v>0.8423127463863338</v>
      </c>
      <c r="BG220" s="25">
        <f>VLOOKUP(Inventory[[#This Row],[Nbhd]],Lookups!$Q$2:$T$4,4,FALSE)</f>
        <v>0.99970000000000003</v>
      </c>
      <c r="BH220" s="25">
        <f>VLOOKUP(Inventory[[#This Row],[Qlty]],Lookups!$O$7:$R$21,4,FALSE)</f>
        <v>0.99180000000000001</v>
      </c>
      <c r="BI220" s="25">
        <f>VLOOKUP(Inventory[[#This Row],[Cnd]],Lookups!$T$7:$W$16,4,FALSE)</f>
        <v>0.99729999999999996</v>
      </c>
      <c r="BJ220" s="25">
        <f>VLOOKUP(Inventory[[#This Row],[LivArea Range]],Lookups!$T$25:$W$37,4,FALSE)</f>
        <v>1.0148999999999999</v>
      </c>
      <c r="BK220" s="25">
        <f>VLOOKUP(Inventory[[#This Row],[Decade]],Lookups!$O$25:$R$42,4,FALSE)</f>
        <v>0.96919999999999995</v>
      </c>
      <c r="BL220" s="25">
        <f>Inventory[[#This Row],[Nbhd Adj]]*0.95</f>
        <v>0.94971499999999998</v>
      </c>
      <c r="BM220" s="25">
        <f>Inventory[[#This Row],[Nbhd Adj]]*Inventory[[#This Row],[Quality Adj]]*Inventory[[#This Row],[Condition Adj]]*Inventory[[#This Row],[Living Area Adj]]*Inventory[[#This Row],[Decade Adj]]*0.95</f>
        <v>0.92401682330597379</v>
      </c>
      <c r="BN220" s="25">
        <f>ROUND(SUM(Inventory[[#This Row],[Mdl Qlty]:[Mdl WdDeck]])+Inventory[[#This Row],[Mdl Res Intercept]]*Inventory[[#This Row],[Res Adj ]],-2)</f>
        <v>196100</v>
      </c>
      <c r="BO220" s="25">
        <f>ROUND(Inventory[[#This Row],[25Det]]*Inventory[[#This Row],[Det/Nbhd Adj]],-2)</f>
        <v>0</v>
      </c>
      <c r="BP220" s="25">
        <f>Inventory[[#This Row],[Adjusted Res]]+Inventory[[#This Row],[Adj Det ]]</f>
        <v>196100</v>
      </c>
      <c r="BQ220" s="25">
        <f>ROUND((Inventory[[#This Row],[Mdl Land Intercept]]+Inventory[[#This Row],[Mdl LnAcres]])*Inventory[[#This Row],[Det/Nbhd Adj]],-2)</f>
        <v>-53100</v>
      </c>
      <c r="BR220" s="25">
        <f>Inventory[[#This Row],[Adjusted Impr Total]]+Inventory[[#This Row],[Adjusted Land Total]]</f>
        <v>143000</v>
      </c>
      <c r="BS220" s="36">
        <f>IFERROR((Inventory[[#This Row],[Adjusted Impr Total]]-Inventory[[#This Row],[24Bldg]])/Inventory[[#This Row],[24Bldg]],0)</f>
        <v>2.0309119010819163</v>
      </c>
      <c r="BT220" s="36">
        <f>(Inventory[[#This Row],[Adjusted Land Total]]-Inventory[[#This Row],[24Lnd]])/Inventory[[#This Row],[24Lnd]]</f>
        <v>-5.6578947368421053</v>
      </c>
      <c r="BU220" s="36">
        <f>(Inventory[[#This Row],[Adjusted Total]]-Inventory[[#This Row],[24Final]])/Inventory[[#This Row],[24Final]]</f>
        <v>0.87910643889618922</v>
      </c>
    </row>
    <row r="221" spans="1:73" x14ac:dyDescent="0.3">
      <c r="A221" s="25">
        <v>2025</v>
      </c>
      <c r="B221" s="26" t="s">
        <v>1130</v>
      </c>
      <c r="C221" s="26">
        <f>LN(Inventory[[#This Row],[Acres]])</f>
        <v>-4.6051701859880909</v>
      </c>
      <c r="D221" s="25">
        <v>0.01</v>
      </c>
      <c r="E221" s="32">
        <v>540</v>
      </c>
      <c r="F221" s="26" t="s">
        <v>537</v>
      </c>
      <c r="G221" s="26" t="s">
        <v>28</v>
      </c>
      <c r="H221" s="26" t="s">
        <v>349</v>
      </c>
      <c r="I221" s="26" t="s">
        <v>538</v>
      </c>
      <c r="J221" s="26" t="s">
        <v>551</v>
      </c>
      <c r="K221" s="26" t="s">
        <v>381</v>
      </c>
      <c r="L221" s="26" t="s">
        <v>205</v>
      </c>
      <c r="M221" s="26" t="s">
        <v>323</v>
      </c>
      <c r="N221" s="26">
        <v>50</v>
      </c>
      <c r="O221" s="26">
        <f>2024-Inventory[[#This Row],[YrBlt]]</f>
        <v>49</v>
      </c>
      <c r="P221" s="26">
        <f>2024-Inventory[[#This Row],[EffYr]]</f>
        <v>45</v>
      </c>
      <c r="Q221" s="25">
        <v>1975</v>
      </c>
      <c r="R221" s="25">
        <v>1979</v>
      </c>
      <c r="S221" s="25">
        <v>540</v>
      </c>
      <c r="T221" s="27"/>
      <c r="U221" s="31"/>
      <c r="V221" s="31">
        <f>Inventory[[#This Row],[Bsmt]]-Inventory[[#This Row],[FnBsmt]]</f>
        <v>0</v>
      </c>
      <c r="W221" s="31"/>
      <c r="X221" s="27"/>
      <c r="Y221" s="27">
        <f>Inventory[[#This Row],[MainFn]]+Inventory[[#This Row],[UpprFn]]+Inventory[[#This Row],[FnBsmt]]+Inventory[[#This Row],[AddFn]]</f>
        <v>540</v>
      </c>
      <c r="Z221" s="27">
        <v>1000</v>
      </c>
      <c r="AA221" s="25">
        <v>5</v>
      </c>
      <c r="AB221" s="31"/>
      <c r="AC221" s="27"/>
      <c r="AD221" s="27"/>
      <c r="AE221" s="27"/>
      <c r="AF221" s="27"/>
      <c r="AG221" s="27"/>
      <c r="AH221" s="27"/>
      <c r="AI221" s="25">
        <v>96972</v>
      </c>
      <c r="AJ221" s="25">
        <v>74668</v>
      </c>
      <c r="AK221" s="25">
        <v>0</v>
      </c>
      <c r="AL221" s="25">
        <v>76600</v>
      </c>
      <c r="AM221" s="25">
        <v>11500</v>
      </c>
      <c r="AN221" s="25">
        <v>65100</v>
      </c>
      <c r="AO221" s="25">
        <v>0</v>
      </c>
      <c r="AP221" s="25">
        <f>Lookups!$B$56*0</f>
        <v>0</v>
      </c>
      <c r="AQ221" s="25">
        <f>Lookups!$B$56*1</f>
        <v>89850.625589999996</v>
      </c>
      <c r="AR221" s="25">
        <f>Lookups!$B$57*Inventory[[#This Row],[LnAcres]]</f>
        <v>-145774.89265936252</v>
      </c>
      <c r="AS221" s="25">
        <f>VLOOKUP(Inventory[[#This Row],[Qlty]],Lookups!$A$62:$E$75,2,FALSE)</f>
        <v>0</v>
      </c>
      <c r="AT221" s="25">
        <f>VLOOKUP(Inventory[[#This Row],[Cnd]],Lookups!$A$76:$E$84,2,FALSE)</f>
        <v>160472.20319</v>
      </c>
      <c r="AU221" s="25">
        <f>Inventory[[#This Row],[EffAge]]*Lookups!$B$85</f>
        <v>-10037.0520225</v>
      </c>
      <c r="AV221" s="25">
        <f>Inventory[[#This Row],[MainFn]]*Lookups!$B$86</f>
        <v>26680.681733580001</v>
      </c>
      <c r="AW221" s="25">
        <f>Inventory[[#This Row],[UpprFn]]*Lookups!$B$87</f>
        <v>0</v>
      </c>
      <c r="AX221" s="25">
        <f>Inventory[[#This Row],[AddFn]]*Lookups!$B$88</f>
        <v>0</v>
      </c>
      <c r="AY221" s="25">
        <f>Inventory[[#This Row],[Bsmt]]*Lookups!$B$89</f>
        <v>0</v>
      </c>
      <c r="AZ221" s="25">
        <f>Inventory[[#This Row],[Fixtures]]*Lookups!$B$90</f>
        <v>18960.110526</v>
      </c>
      <c r="BA221" s="25">
        <f>Inventory[[#This Row],[WdDeck]]*Lookups!$B$91</f>
        <v>0</v>
      </c>
      <c r="BB221" s="25">
        <f>ROUND(Inventory[[#This Row],[25Det]],-2)</f>
        <v>0</v>
      </c>
      <c r="BC221" s="25">
        <f>ROUND(SUM(Inventory[[#This Row],[Mdl Qlty]:[Mdl WdDeck]])+Inventory[[#This Row],[Mdl Res Intercept]],-2)</f>
        <v>196100</v>
      </c>
      <c r="BD221" s="25">
        <f>ROUND(Inventory[[#This Row],[Mdl Land Intercept]]+Inventory[[#This Row],[Mdl LnAcres]],-2)</f>
        <v>-55900</v>
      </c>
      <c r="BE221" s="25">
        <f>Inventory[[#This Row],[Unadj Res Value]]+Inventory[[#This Row],[Unadj Det Value]]+Inventory[[#This Row],[Unadj Land Value]]</f>
        <v>140200</v>
      </c>
      <c r="BF221" s="36">
        <f>(Inventory[[#This Row],[Unadj Total Value]]-Inventory[[#This Row],[24Final]])/Inventory[[#This Row],[24Final]]</f>
        <v>0.83028720626631858</v>
      </c>
      <c r="BG221" s="25">
        <f>VLOOKUP(Inventory[[#This Row],[Nbhd]],Lookups!$Q$2:$T$4,4,FALSE)</f>
        <v>0.99970000000000003</v>
      </c>
      <c r="BH221" s="25">
        <f>VLOOKUP(Inventory[[#This Row],[Qlty]],Lookups!$O$7:$R$21,4,FALSE)</f>
        <v>0.99180000000000001</v>
      </c>
      <c r="BI221" s="25">
        <f>VLOOKUP(Inventory[[#This Row],[Cnd]],Lookups!$T$7:$W$16,4,FALSE)</f>
        <v>0.99729999999999996</v>
      </c>
      <c r="BJ221" s="25">
        <f>VLOOKUP(Inventory[[#This Row],[LivArea Range]],Lookups!$T$25:$W$37,4,FALSE)</f>
        <v>1.0148999999999999</v>
      </c>
      <c r="BK221" s="25">
        <f>VLOOKUP(Inventory[[#This Row],[Decade]],Lookups!$O$25:$R$42,4,FALSE)</f>
        <v>0.96919999999999995</v>
      </c>
      <c r="BL221" s="25">
        <f>Inventory[[#This Row],[Nbhd Adj]]*0.95</f>
        <v>0.94971499999999998</v>
      </c>
      <c r="BM221" s="25">
        <f>Inventory[[#This Row],[Nbhd Adj]]*Inventory[[#This Row],[Quality Adj]]*Inventory[[#This Row],[Condition Adj]]*Inventory[[#This Row],[Living Area Adj]]*Inventory[[#This Row],[Decade Adj]]*0.95</f>
        <v>0.92401682330597379</v>
      </c>
      <c r="BN221" s="25">
        <f>ROUND(SUM(Inventory[[#This Row],[Mdl Qlty]:[Mdl WdDeck]])+Inventory[[#This Row],[Mdl Res Intercept]]*Inventory[[#This Row],[Res Adj ]],-2)</f>
        <v>196100</v>
      </c>
      <c r="BO221" s="25">
        <f>ROUND(Inventory[[#This Row],[25Det]]*Inventory[[#This Row],[Det/Nbhd Adj]],-2)</f>
        <v>0</v>
      </c>
      <c r="BP221" s="25">
        <f>Inventory[[#This Row],[Adjusted Res]]+Inventory[[#This Row],[Adj Det ]]</f>
        <v>196100</v>
      </c>
      <c r="BQ221" s="25">
        <f>ROUND((Inventory[[#This Row],[Mdl Land Intercept]]+Inventory[[#This Row],[Mdl LnAcres]])*Inventory[[#This Row],[Det/Nbhd Adj]],-2)</f>
        <v>-53100</v>
      </c>
      <c r="BR221" s="25">
        <f>Inventory[[#This Row],[Adjusted Impr Total]]+Inventory[[#This Row],[Adjusted Land Total]]</f>
        <v>143000</v>
      </c>
      <c r="BS221" s="36">
        <f>IFERROR((Inventory[[#This Row],[Adjusted Impr Total]]-Inventory[[#This Row],[24Bldg]])/Inventory[[#This Row],[24Bldg]],0)</f>
        <v>2.0122887864823347</v>
      </c>
      <c r="BT221" s="36">
        <f>(Inventory[[#This Row],[Adjusted Land Total]]-Inventory[[#This Row],[24Lnd]])/Inventory[[#This Row],[24Lnd]]</f>
        <v>-5.6173913043478265</v>
      </c>
      <c r="BU221" s="36">
        <f>(Inventory[[#This Row],[Adjusted Total]]-Inventory[[#This Row],[24Final]])/Inventory[[#This Row],[24Final]]</f>
        <v>0.86684073107049608</v>
      </c>
    </row>
    <row r="222" spans="1:73" x14ac:dyDescent="0.3">
      <c r="A222" s="25">
        <v>2025</v>
      </c>
      <c r="B222" s="26" t="s">
        <v>1125</v>
      </c>
      <c r="C222" s="26">
        <f>LN(Inventory[[#This Row],[Acres]])</f>
        <v>-4.6051701859880909</v>
      </c>
      <c r="D222" s="25">
        <v>0.01</v>
      </c>
      <c r="E222" s="25">
        <v>540</v>
      </c>
      <c r="F222" s="26" t="s">
        <v>537</v>
      </c>
      <c r="G222" s="26" t="s">
        <v>28</v>
      </c>
      <c r="H222" s="26" t="s">
        <v>349</v>
      </c>
      <c r="I222" s="26" t="s">
        <v>538</v>
      </c>
      <c r="J222" s="26" t="s">
        <v>551</v>
      </c>
      <c r="K222" s="26" t="s">
        <v>381</v>
      </c>
      <c r="L222" s="26" t="s">
        <v>205</v>
      </c>
      <c r="M222" s="26" t="s">
        <v>323</v>
      </c>
      <c r="N222" s="26">
        <v>50</v>
      </c>
      <c r="O222" s="26">
        <f>2024-Inventory[[#This Row],[YrBlt]]</f>
        <v>49</v>
      </c>
      <c r="P222" s="26">
        <f>2024-Inventory[[#This Row],[EffYr]]</f>
        <v>45</v>
      </c>
      <c r="Q222" s="25">
        <v>1975</v>
      </c>
      <c r="R222" s="25">
        <v>1979</v>
      </c>
      <c r="S222" s="25">
        <v>540</v>
      </c>
      <c r="T222" s="27"/>
      <c r="U222" s="31"/>
      <c r="V222" s="31">
        <f>Inventory[[#This Row],[Bsmt]]-Inventory[[#This Row],[FnBsmt]]</f>
        <v>0</v>
      </c>
      <c r="W222" s="31"/>
      <c r="X222" s="27"/>
      <c r="Y222" s="27">
        <f>Inventory[[#This Row],[MainFn]]+Inventory[[#This Row],[UpprFn]]+Inventory[[#This Row],[FnBsmt]]+Inventory[[#This Row],[AddFn]]</f>
        <v>540</v>
      </c>
      <c r="Z222" s="27">
        <v>1000</v>
      </c>
      <c r="AA222" s="25">
        <v>5</v>
      </c>
      <c r="AB222" s="27"/>
      <c r="AC222" s="27"/>
      <c r="AD222" s="27"/>
      <c r="AE222" s="27"/>
      <c r="AF222" s="27"/>
      <c r="AG222" s="27"/>
      <c r="AH222" s="27"/>
      <c r="AI222" s="25">
        <v>97944</v>
      </c>
      <c r="AJ222" s="25">
        <v>75417</v>
      </c>
      <c r="AK222" s="25">
        <v>0</v>
      </c>
      <c r="AL222" s="25">
        <v>77300</v>
      </c>
      <c r="AM222" s="25">
        <v>11600</v>
      </c>
      <c r="AN222" s="25">
        <v>65700</v>
      </c>
      <c r="AO222" s="25">
        <v>0</v>
      </c>
      <c r="AP222" s="25">
        <f>Lookups!$B$56*0</f>
        <v>0</v>
      </c>
      <c r="AQ222" s="25">
        <f>Lookups!$B$56*1</f>
        <v>89850.625589999996</v>
      </c>
      <c r="AR222" s="25">
        <f>Lookups!$B$57*Inventory[[#This Row],[LnAcres]]</f>
        <v>-145774.89265936252</v>
      </c>
      <c r="AS222" s="25">
        <f>VLOOKUP(Inventory[[#This Row],[Qlty]],Lookups!$A$62:$E$75,2,FALSE)</f>
        <v>0</v>
      </c>
      <c r="AT222" s="25">
        <f>VLOOKUP(Inventory[[#This Row],[Cnd]],Lookups!$A$76:$E$84,2,FALSE)</f>
        <v>160472.20319</v>
      </c>
      <c r="AU222" s="25">
        <f>Inventory[[#This Row],[EffAge]]*Lookups!$B$85</f>
        <v>-10037.0520225</v>
      </c>
      <c r="AV222" s="25">
        <f>Inventory[[#This Row],[MainFn]]*Lookups!$B$86</f>
        <v>26680.681733580001</v>
      </c>
      <c r="AW222" s="25">
        <f>Inventory[[#This Row],[UpprFn]]*Lookups!$B$87</f>
        <v>0</v>
      </c>
      <c r="AX222" s="25">
        <f>Inventory[[#This Row],[AddFn]]*Lookups!$B$88</f>
        <v>0</v>
      </c>
      <c r="AY222" s="25">
        <f>Inventory[[#This Row],[Bsmt]]*Lookups!$B$89</f>
        <v>0</v>
      </c>
      <c r="AZ222" s="25">
        <f>Inventory[[#This Row],[Fixtures]]*Lookups!$B$90</f>
        <v>18960.110526</v>
      </c>
      <c r="BA222" s="25">
        <f>Inventory[[#This Row],[WdDeck]]*Lookups!$B$91</f>
        <v>0</v>
      </c>
      <c r="BB222" s="25">
        <f>ROUND(Inventory[[#This Row],[25Det]],-2)</f>
        <v>0</v>
      </c>
      <c r="BC222" s="25">
        <f>ROUND(SUM(Inventory[[#This Row],[Mdl Qlty]:[Mdl WdDeck]])+Inventory[[#This Row],[Mdl Res Intercept]],-2)</f>
        <v>196100</v>
      </c>
      <c r="BD222" s="25">
        <f>ROUND(Inventory[[#This Row],[Mdl Land Intercept]]+Inventory[[#This Row],[Mdl LnAcres]],-2)</f>
        <v>-55900</v>
      </c>
      <c r="BE222" s="25">
        <f>Inventory[[#This Row],[Unadj Res Value]]+Inventory[[#This Row],[Unadj Det Value]]+Inventory[[#This Row],[Unadj Land Value]]</f>
        <v>140200</v>
      </c>
      <c r="BF222" s="36">
        <f>(Inventory[[#This Row],[Unadj Total Value]]-Inventory[[#This Row],[24Final]])/Inventory[[#This Row],[24Final]]</f>
        <v>0.8137128072445019</v>
      </c>
      <c r="BG222" s="25">
        <f>VLOOKUP(Inventory[[#This Row],[Nbhd]],Lookups!$Q$2:$T$4,4,FALSE)</f>
        <v>0.99970000000000003</v>
      </c>
      <c r="BH222" s="25">
        <f>VLOOKUP(Inventory[[#This Row],[Qlty]],Lookups!$O$7:$R$21,4,FALSE)</f>
        <v>0.99180000000000001</v>
      </c>
      <c r="BI222" s="25">
        <f>VLOOKUP(Inventory[[#This Row],[Cnd]],Lookups!$T$7:$W$16,4,FALSE)</f>
        <v>0.99729999999999996</v>
      </c>
      <c r="BJ222" s="25">
        <f>VLOOKUP(Inventory[[#This Row],[LivArea Range]],Lookups!$T$25:$W$37,4,FALSE)</f>
        <v>1.0148999999999999</v>
      </c>
      <c r="BK222" s="25">
        <f>VLOOKUP(Inventory[[#This Row],[Decade]],Lookups!$O$25:$R$42,4,FALSE)</f>
        <v>0.96919999999999995</v>
      </c>
      <c r="BL222" s="25">
        <f>Inventory[[#This Row],[Nbhd Adj]]*0.95</f>
        <v>0.94971499999999998</v>
      </c>
      <c r="BM222" s="25">
        <f>Inventory[[#This Row],[Nbhd Adj]]*Inventory[[#This Row],[Quality Adj]]*Inventory[[#This Row],[Condition Adj]]*Inventory[[#This Row],[Living Area Adj]]*Inventory[[#This Row],[Decade Adj]]*0.95</f>
        <v>0.92401682330597379</v>
      </c>
      <c r="BN222" s="25">
        <f>ROUND(SUM(Inventory[[#This Row],[Mdl Qlty]:[Mdl WdDeck]])+Inventory[[#This Row],[Mdl Res Intercept]]*Inventory[[#This Row],[Res Adj ]],-2)</f>
        <v>196100</v>
      </c>
      <c r="BO222" s="25">
        <f>ROUND(Inventory[[#This Row],[25Det]]*Inventory[[#This Row],[Det/Nbhd Adj]],-2)</f>
        <v>0</v>
      </c>
      <c r="BP222" s="25">
        <f>Inventory[[#This Row],[Adjusted Res]]+Inventory[[#This Row],[Adj Det ]]</f>
        <v>196100</v>
      </c>
      <c r="BQ222" s="25">
        <f>ROUND((Inventory[[#This Row],[Mdl Land Intercept]]+Inventory[[#This Row],[Mdl LnAcres]])*Inventory[[#This Row],[Det/Nbhd Adj]],-2)</f>
        <v>-53100</v>
      </c>
      <c r="BR222" s="25">
        <f>Inventory[[#This Row],[Adjusted Impr Total]]+Inventory[[#This Row],[Adjusted Land Total]]</f>
        <v>143000</v>
      </c>
      <c r="BS222" s="36">
        <f>IFERROR((Inventory[[#This Row],[Adjusted Impr Total]]-Inventory[[#This Row],[24Bldg]])/Inventory[[#This Row],[24Bldg]],0)</f>
        <v>1.9847792998477929</v>
      </c>
      <c r="BT222" s="36">
        <f>(Inventory[[#This Row],[Adjusted Land Total]]-Inventory[[#This Row],[24Lnd]])/Inventory[[#This Row],[24Lnd]]</f>
        <v>-5.5775862068965516</v>
      </c>
      <c r="BU222" s="36">
        <f>(Inventory[[#This Row],[Adjusted Total]]-Inventory[[#This Row],[24Final]])/Inventory[[#This Row],[24Final]]</f>
        <v>0.8499353169469599</v>
      </c>
    </row>
    <row r="223" spans="1:73" x14ac:dyDescent="0.3">
      <c r="A223" s="25">
        <v>2025</v>
      </c>
      <c r="B223" s="26" t="s">
        <v>661</v>
      </c>
      <c r="C223" s="26">
        <f>LN(Inventory[[#This Row],[Acres]])</f>
        <v>-1.9661128563728327</v>
      </c>
      <c r="D223" s="25">
        <v>0.14000000000000001</v>
      </c>
      <c r="E223" s="25">
        <v>6041</v>
      </c>
      <c r="F223" s="26" t="s">
        <v>537</v>
      </c>
      <c r="G223" s="26" t="s">
        <v>126</v>
      </c>
      <c r="H223" s="26" t="s">
        <v>349</v>
      </c>
      <c r="I223" s="26" t="s">
        <v>538</v>
      </c>
      <c r="J223" s="26" t="s">
        <v>586</v>
      </c>
      <c r="K223" s="26" t="s">
        <v>592</v>
      </c>
      <c r="L223" s="26" t="s">
        <v>148</v>
      </c>
      <c r="M223" s="26" t="s">
        <v>303</v>
      </c>
      <c r="N223" s="26">
        <v>50</v>
      </c>
      <c r="O223" s="26">
        <f>2024-Inventory[[#This Row],[YrBlt]]</f>
        <v>49</v>
      </c>
      <c r="P223" s="26">
        <f>2024-Inventory[[#This Row],[EffYr]]</f>
        <v>45</v>
      </c>
      <c r="Q223" s="25">
        <v>1975</v>
      </c>
      <c r="R223" s="25">
        <v>1979</v>
      </c>
      <c r="S223" s="25">
        <v>1507</v>
      </c>
      <c r="T223" s="27"/>
      <c r="U223" s="31"/>
      <c r="V223" s="31">
        <f>Inventory[[#This Row],[Bsmt]]-Inventory[[#This Row],[FnBsmt]]</f>
        <v>0</v>
      </c>
      <c r="W223" s="31"/>
      <c r="X223" s="27"/>
      <c r="Y223" s="27">
        <f>Inventory[[#This Row],[MainFn]]+Inventory[[#This Row],[UpprFn]]+Inventory[[#This Row],[FnBsmt]]+Inventory[[#This Row],[AddFn]]</f>
        <v>1507</v>
      </c>
      <c r="Z223" s="27">
        <v>2000</v>
      </c>
      <c r="AA223" s="25">
        <v>8</v>
      </c>
      <c r="AB223" s="25">
        <v>648</v>
      </c>
      <c r="AC223" s="27"/>
      <c r="AD223" s="31"/>
      <c r="AE223" s="27"/>
      <c r="AF223" s="27"/>
      <c r="AG223" s="27"/>
      <c r="AH223" s="27"/>
      <c r="AI223" s="25">
        <v>362975</v>
      </c>
      <c r="AJ223" s="25">
        <v>283121</v>
      </c>
      <c r="AK223" s="25">
        <v>0</v>
      </c>
      <c r="AL223" s="25">
        <v>275500</v>
      </c>
      <c r="AM223" s="25">
        <v>45300</v>
      </c>
      <c r="AN223" s="25">
        <v>230200</v>
      </c>
      <c r="AO223" s="25">
        <v>0</v>
      </c>
      <c r="AP223" s="25">
        <f>Lookups!$B$56*0</f>
        <v>0</v>
      </c>
      <c r="AQ223" s="25">
        <f>Lookups!$B$56*1</f>
        <v>89850.625589999996</v>
      </c>
      <c r="AR223" s="25">
        <f>Lookups!$B$57*Inventory[[#This Row],[LnAcres]]</f>
        <v>-62236.546971921947</v>
      </c>
      <c r="AS223" s="25">
        <f>VLOOKUP(Inventory[[#This Row],[Qlty]],Lookups!$A$62:$E$75,2,FALSE)</f>
        <v>44121.038090000002</v>
      </c>
      <c r="AT223" s="25">
        <f>VLOOKUP(Inventory[[#This Row],[Cnd]],Lookups!$A$76:$E$84,2,FALSE)</f>
        <v>197752.34721000001</v>
      </c>
      <c r="AU223" s="25">
        <f>Inventory[[#This Row],[EffAge]]*Lookups!$B$85</f>
        <v>-10037.0520225</v>
      </c>
      <c r="AV223" s="25">
        <f>Inventory[[#This Row],[MainFn]]*Lookups!$B$86</f>
        <v>74458.865504639005</v>
      </c>
      <c r="AW223" s="25">
        <f>Inventory[[#This Row],[UpprFn]]*Lookups!$B$87</f>
        <v>0</v>
      </c>
      <c r="AX223" s="25">
        <f>Inventory[[#This Row],[AddFn]]*Lookups!$B$88</f>
        <v>0</v>
      </c>
      <c r="AY223" s="25">
        <f>Inventory[[#This Row],[Bsmt]]*Lookups!$B$89</f>
        <v>0</v>
      </c>
      <c r="AZ223" s="25">
        <f>Inventory[[#This Row],[Fixtures]]*Lookups!$B$90</f>
        <v>30336.176841600001</v>
      </c>
      <c r="BA223" s="25">
        <f>Inventory[[#This Row],[WdDeck]]*Lookups!$B$91</f>
        <v>0</v>
      </c>
      <c r="BB223" s="25">
        <f>ROUND(Inventory[[#This Row],[25Det]],-2)</f>
        <v>0</v>
      </c>
      <c r="BC223" s="25">
        <f>ROUND(SUM(Inventory[[#This Row],[Mdl Qlty]:[Mdl WdDeck]])+Inventory[[#This Row],[Mdl Res Intercept]],-2)</f>
        <v>336600</v>
      </c>
      <c r="BD223" s="25">
        <f>ROUND(Inventory[[#This Row],[Mdl Land Intercept]]+Inventory[[#This Row],[Mdl LnAcres]],-2)</f>
        <v>27600</v>
      </c>
      <c r="BE223" s="25">
        <f>Inventory[[#This Row],[Unadj Res Value]]+Inventory[[#This Row],[Unadj Det Value]]+Inventory[[#This Row],[Unadj Land Value]]</f>
        <v>364200</v>
      </c>
      <c r="BF223" s="36">
        <f>(Inventory[[#This Row],[Unadj Total Value]]-Inventory[[#This Row],[24Final]])/Inventory[[#This Row],[24Final]]</f>
        <v>0.32196007259528131</v>
      </c>
      <c r="BG223" s="25">
        <f>VLOOKUP(Inventory[[#This Row],[Nbhd]],Lookups!$Q$2:$T$4,4,FALSE)</f>
        <v>0.99970000000000003</v>
      </c>
      <c r="BH223" s="25">
        <f>VLOOKUP(Inventory[[#This Row],[Qlty]],Lookups!$O$7:$R$21,4,FALSE)</f>
        <v>0.98050000000000004</v>
      </c>
      <c r="BI223" s="25">
        <f>VLOOKUP(Inventory[[#This Row],[Cnd]],Lookups!$T$7:$W$16,4,FALSE)</f>
        <v>0.99650000000000005</v>
      </c>
      <c r="BJ223" s="25">
        <f>VLOOKUP(Inventory[[#This Row],[LivArea Range]],Lookups!$T$25:$W$37,4,FALSE)</f>
        <v>1.0093000000000001</v>
      </c>
      <c r="BK223" s="25">
        <f>VLOOKUP(Inventory[[#This Row],[Decade]],Lookups!$O$25:$R$42,4,FALSE)</f>
        <v>0.96919999999999995</v>
      </c>
      <c r="BL223" s="25">
        <f>Inventory[[#This Row],[Nbhd Adj]]*0.95</f>
        <v>0.94971499999999998</v>
      </c>
      <c r="BM223" s="25">
        <f>Inventory[[#This Row],[Nbhd Adj]]*Inventory[[#This Row],[Quality Adj]]*Inventory[[#This Row],[Condition Adj]]*Inventory[[#This Row],[Living Area Adj]]*Inventory[[#This Row],[Decade Adj]]*0.95</f>
        <v>0.90771994293350589</v>
      </c>
      <c r="BN223" s="25">
        <f>ROUND(SUM(Inventory[[#This Row],[Mdl Qlty]:[Mdl WdDeck]])+Inventory[[#This Row],[Mdl Res Intercept]]*Inventory[[#This Row],[Res Adj ]],-2)</f>
        <v>336600</v>
      </c>
      <c r="BO223" s="25">
        <f>ROUND(Inventory[[#This Row],[25Det]]*Inventory[[#This Row],[Det/Nbhd Adj]],-2)</f>
        <v>0</v>
      </c>
      <c r="BP223" s="25">
        <f>Inventory[[#This Row],[Adjusted Res]]+Inventory[[#This Row],[Adj Det ]]</f>
        <v>336600</v>
      </c>
      <c r="BQ223" s="25">
        <f>ROUND((Inventory[[#This Row],[Mdl Land Intercept]]+Inventory[[#This Row],[Mdl LnAcres]])*Inventory[[#This Row],[Det/Nbhd Adj]],-2)</f>
        <v>26200</v>
      </c>
      <c r="BR223" s="25">
        <f>Inventory[[#This Row],[Adjusted Impr Total]]+Inventory[[#This Row],[Adjusted Land Total]]</f>
        <v>362800</v>
      </c>
      <c r="BS223" s="36">
        <f>IFERROR((Inventory[[#This Row],[Adjusted Impr Total]]-Inventory[[#This Row],[24Bldg]])/Inventory[[#This Row],[24Bldg]],0)</f>
        <v>0.46220677671589921</v>
      </c>
      <c r="BT223" s="36">
        <f>(Inventory[[#This Row],[Adjusted Land Total]]-Inventory[[#This Row],[24Lnd]])/Inventory[[#This Row],[24Lnd]]</f>
        <v>-0.4216335540838852</v>
      </c>
      <c r="BU223" s="36">
        <f>(Inventory[[#This Row],[Adjusted Total]]-Inventory[[#This Row],[24Final]])/Inventory[[#This Row],[24Final]]</f>
        <v>0.31687840290381125</v>
      </c>
    </row>
    <row r="224" spans="1:73" x14ac:dyDescent="0.3">
      <c r="A224" s="25">
        <v>2025</v>
      </c>
      <c r="B224" s="26" t="s">
        <v>1128</v>
      </c>
      <c r="C224" s="26">
        <f>LN(Inventory[[#This Row],[Acres]])</f>
        <v>-3.912023005428146</v>
      </c>
      <c r="D224" s="25">
        <v>0.02</v>
      </c>
      <c r="E224" s="25">
        <v>612</v>
      </c>
      <c r="F224" s="26" t="s">
        <v>537</v>
      </c>
      <c r="G224" s="26" t="s">
        <v>28</v>
      </c>
      <c r="H224" s="26" t="s">
        <v>349</v>
      </c>
      <c r="I224" s="26" t="s">
        <v>538</v>
      </c>
      <c r="J224" s="26" t="s">
        <v>551</v>
      </c>
      <c r="K224" s="26" t="s">
        <v>415</v>
      </c>
      <c r="L224" s="26" t="s">
        <v>351</v>
      </c>
      <c r="M224" s="26" t="s">
        <v>323</v>
      </c>
      <c r="N224" s="26">
        <v>50</v>
      </c>
      <c r="O224" s="26">
        <f>2024-Inventory[[#This Row],[YrBlt]]</f>
        <v>49</v>
      </c>
      <c r="P224" s="26">
        <f>2024-Inventory[[#This Row],[EffYr]]</f>
        <v>45</v>
      </c>
      <c r="Q224" s="25">
        <v>1975</v>
      </c>
      <c r="R224" s="25">
        <v>1979</v>
      </c>
      <c r="S224" s="25">
        <v>612</v>
      </c>
      <c r="T224" s="25">
        <v>612</v>
      </c>
      <c r="U224" s="27"/>
      <c r="V224" s="27">
        <f>Inventory[[#This Row],[Bsmt]]-Inventory[[#This Row],[FnBsmt]]</f>
        <v>0</v>
      </c>
      <c r="W224" s="27"/>
      <c r="X224" s="27"/>
      <c r="Y224" s="27">
        <f>Inventory[[#This Row],[MainFn]]+Inventory[[#This Row],[UpprFn]]+Inventory[[#This Row],[FnBsmt]]+Inventory[[#This Row],[AddFn]]</f>
        <v>1224</v>
      </c>
      <c r="Z224" s="27">
        <v>1500</v>
      </c>
      <c r="AA224" s="25">
        <v>7</v>
      </c>
      <c r="AB224" s="27"/>
      <c r="AC224" s="27"/>
      <c r="AD224" s="27"/>
      <c r="AE224" s="27"/>
      <c r="AF224" s="27"/>
      <c r="AG224" s="27"/>
      <c r="AH224" s="27"/>
      <c r="AI224" s="25">
        <v>187477</v>
      </c>
      <c r="AJ224" s="25">
        <v>144357</v>
      </c>
      <c r="AK224" s="25">
        <v>0</v>
      </c>
      <c r="AL224" s="25">
        <v>179500</v>
      </c>
      <c r="AM224" s="25">
        <v>26900</v>
      </c>
      <c r="AN224" s="25">
        <v>152600</v>
      </c>
      <c r="AO224" s="25">
        <v>0</v>
      </c>
      <c r="AP224" s="25">
        <f>Lookups!$B$56*0</f>
        <v>0</v>
      </c>
      <c r="AQ224" s="25">
        <f>Lookups!$B$56*1</f>
        <v>89850.625589999996</v>
      </c>
      <c r="AR224" s="25">
        <f>Lookups!$B$57*Inventory[[#This Row],[LnAcres]]</f>
        <v>-123833.58500677992</v>
      </c>
      <c r="AS224" s="25">
        <f>VLOOKUP(Inventory[[#This Row],[Qlty]],Lookups!$A$62:$E$75,2,FALSE)</f>
        <v>21557.329055999999</v>
      </c>
      <c r="AT224" s="25">
        <f>VLOOKUP(Inventory[[#This Row],[Cnd]],Lookups!$A$76:$E$84,2,FALSE)</f>
        <v>160472.20319</v>
      </c>
      <c r="AU224" s="25">
        <f>Inventory[[#This Row],[EffAge]]*Lookups!$B$85</f>
        <v>-10037.0520225</v>
      </c>
      <c r="AV224" s="25">
        <f>Inventory[[#This Row],[MainFn]]*Lookups!$B$86</f>
        <v>30238.105964724</v>
      </c>
      <c r="AW224" s="25">
        <f>Inventory[[#This Row],[UpprFn]]*Lookups!$B$87</f>
        <v>27409.290790931998</v>
      </c>
      <c r="AX224" s="25">
        <f>Inventory[[#This Row],[AddFn]]*Lookups!$B$88</f>
        <v>0</v>
      </c>
      <c r="AY224" s="25">
        <f>Inventory[[#This Row],[Bsmt]]*Lookups!$B$89</f>
        <v>0</v>
      </c>
      <c r="AZ224" s="25">
        <f>Inventory[[#This Row],[Fixtures]]*Lookups!$B$90</f>
        <v>26544.1547364</v>
      </c>
      <c r="BA224" s="25">
        <f>Inventory[[#This Row],[WdDeck]]*Lookups!$B$91</f>
        <v>0</v>
      </c>
      <c r="BB224" s="25">
        <f>ROUND(Inventory[[#This Row],[25Det]],-2)</f>
        <v>0</v>
      </c>
      <c r="BC224" s="25">
        <f>ROUND(SUM(Inventory[[#This Row],[Mdl Qlty]:[Mdl WdDeck]])+Inventory[[#This Row],[Mdl Res Intercept]],-2)</f>
        <v>256200</v>
      </c>
      <c r="BD224" s="25">
        <f>ROUND(Inventory[[#This Row],[Mdl Land Intercept]]+Inventory[[#This Row],[Mdl LnAcres]],-2)</f>
        <v>-34000</v>
      </c>
      <c r="BE224" s="25">
        <f>Inventory[[#This Row],[Unadj Res Value]]+Inventory[[#This Row],[Unadj Det Value]]+Inventory[[#This Row],[Unadj Land Value]]</f>
        <v>222200</v>
      </c>
      <c r="BF224" s="36">
        <f>(Inventory[[#This Row],[Unadj Total Value]]-Inventory[[#This Row],[24Final]])/Inventory[[#This Row],[24Final]]</f>
        <v>0.23788300835654597</v>
      </c>
      <c r="BG224" s="25">
        <f>VLOOKUP(Inventory[[#This Row],[Nbhd]],Lookups!$Q$2:$T$4,4,FALSE)</f>
        <v>0.99970000000000003</v>
      </c>
      <c r="BH224" s="25">
        <f>VLOOKUP(Inventory[[#This Row],[Qlty]],Lookups!$O$7:$R$21,4,FALSE)</f>
        <v>1.0067999999999999</v>
      </c>
      <c r="BI224" s="25">
        <f>VLOOKUP(Inventory[[#This Row],[Cnd]],Lookups!$T$7:$W$16,4,FALSE)</f>
        <v>0.99729999999999996</v>
      </c>
      <c r="BJ224" s="25">
        <f>VLOOKUP(Inventory[[#This Row],[LivArea Range]],Lookups!$T$25:$W$37,4,FALSE)</f>
        <v>1.0157</v>
      </c>
      <c r="BK224" s="25">
        <f>VLOOKUP(Inventory[[#This Row],[Decade]],Lookups!$O$25:$R$42,4,FALSE)</f>
        <v>0.96919999999999995</v>
      </c>
      <c r="BL224" s="25">
        <f>Inventory[[#This Row],[Nbhd Adj]]*0.95</f>
        <v>0.94971499999999998</v>
      </c>
      <c r="BM224" s="25">
        <f>Inventory[[#This Row],[Nbhd Adj]]*Inventory[[#This Row],[Quality Adj]]*Inventory[[#This Row],[Condition Adj]]*Inventory[[#This Row],[Living Area Adj]]*Inventory[[#This Row],[Decade Adj]]*0.95</f>
        <v>0.93873104601730073</v>
      </c>
      <c r="BN224" s="25">
        <f>ROUND(SUM(Inventory[[#This Row],[Mdl Qlty]:[Mdl WdDeck]])+Inventory[[#This Row],[Mdl Res Intercept]]*Inventory[[#This Row],[Res Adj ]],-2)</f>
        <v>256200</v>
      </c>
      <c r="BO224" s="25">
        <f>ROUND(Inventory[[#This Row],[25Det]]*Inventory[[#This Row],[Det/Nbhd Adj]],-2)</f>
        <v>0</v>
      </c>
      <c r="BP224" s="25">
        <f>Inventory[[#This Row],[Adjusted Res]]+Inventory[[#This Row],[Adj Det ]]</f>
        <v>256200</v>
      </c>
      <c r="BQ224" s="25">
        <f>ROUND((Inventory[[#This Row],[Mdl Land Intercept]]+Inventory[[#This Row],[Mdl LnAcres]])*Inventory[[#This Row],[Det/Nbhd Adj]],-2)</f>
        <v>-32300</v>
      </c>
      <c r="BR224" s="25">
        <f>Inventory[[#This Row],[Adjusted Impr Total]]+Inventory[[#This Row],[Adjusted Land Total]]</f>
        <v>223900</v>
      </c>
      <c r="BS224" s="36">
        <f>IFERROR((Inventory[[#This Row],[Adjusted Impr Total]]-Inventory[[#This Row],[24Bldg]])/Inventory[[#This Row],[24Bldg]],0)</f>
        <v>0.67889908256880738</v>
      </c>
      <c r="BT224" s="36">
        <f>(Inventory[[#This Row],[Adjusted Land Total]]-Inventory[[#This Row],[24Lnd]])/Inventory[[#This Row],[24Lnd]]</f>
        <v>-2.2007434944237918</v>
      </c>
      <c r="BU224" s="36">
        <f>(Inventory[[#This Row],[Adjusted Total]]-Inventory[[#This Row],[24Final]])/Inventory[[#This Row],[24Final]]</f>
        <v>0.24735376044568244</v>
      </c>
    </row>
    <row r="225" spans="1:73" x14ac:dyDescent="0.3">
      <c r="A225" s="25">
        <v>2025</v>
      </c>
      <c r="B225" s="26" t="s">
        <v>1131</v>
      </c>
      <c r="C225" s="26">
        <f>LN(Inventory[[#This Row],[Acres]])</f>
        <v>-3.912023005428146</v>
      </c>
      <c r="D225" s="25">
        <v>0.02</v>
      </c>
      <c r="E225" s="25">
        <v>612</v>
      </c>
      <c r="F225" s="26" t="s">
        <v>537</v>
      </c>
      <c r="G225" s="26" t="s">
        <v>28</v>
      </c>
      <c r="H225" s="26" t="s">
        <v>349</v>
      </c>
      <c r="I225" s="26" t="s">
        <v>538</v>
      </c>
      <c r="J225" s="26" t="s">
        <v>551</v>
      </c>
      <c r="K225" s="26" t="s">
        <v>415</v>
      </c>
      <c r="L225" s="26" t="s">
        <v>351</v>
      </c>
      <c r="M225" s="26" t="s">
        <v>323</v>
      </c>
      <c r="N225" s="26">
        <v>50</v>
      </c>
      <c r="O225" s="26">
        <f>2024-Inventory[[#This Row],[YrBlt]]</f>
        <v>49</v>
      </c>
      <c r="P225" s="26">
        <f>2024-Inventory[[#This Row],[EffYr]]</f>
        <v>45</v>
      </c>
      <c r="Q225" s="25">
        <v>1975</v>
      </c>
      <c r="R225" s="25">
        <v>1979</v>
      </c>
      <c r="S225" s="25">
        <v>612</v>
      </c>
      <c r="T225" s="25">
        <v>612</v>
      </c>
      <c r="U225" s="31"/>
      <c r="V225" s="31">
        <f>Inventory[[#This Row],[Bsmt]]-Inventory[[#This Row],[FnBsmt]]</f>
        <v>0</v>
      </c>
      <c r="W225" s="31"/>
      <c r="X225" s="27"/>
      <c r="Y225" s="27">
        <f>Inventory[[#This Row],[MainFn]]+Inventory[[#This Row],[UpprFn]]+Inventory[[#This Row],[FnBsmt]]+Inventory[[#This Row],[AddFn]]</f>
        <v>1224</v>
      </c>
      <c r="Z225" s="27">
        <v>1500</v>
      </c>
      <c r="AA225" s="25">
        <v>7</v>
      </c>
      <c r="AB225" s="27"/>
      <c r="AC225" s="27"/>
      <c r="AD225" s="31"/>
      <c r="AE225" s="27"/>
      <c r="AF225" s="27"/>
      <c r="AG225" s="27"/>
      <c r="AH225" s="27"/>
      <c r="AI225" s="25">
        <v>187477</v>
      </c>
      <c r="AJ225" s="25">
        <v>144357</v>
      </c>
      <c r="AK225" s="25">
        <v>0</v>
      </c>
      <c r="AL225" s="25">
        <v>179500</v>
      </c>
      <c r="AM225" s="25">
        <v>26900</v>
      </c>
      <c r="AN225" s="25">
        <v>152600</v>
      </c>
      <c r="AO225" s="25">
        <v>0</v>
      </c>
      <c r="AP225" s="25">
        <f>Lookups!$B$56*0</f>
        <v>0</v>
      </c>
      <c r="AQ225" s="25">
        <f>Lookups!$B$56*1</f>
        <v>89850.625589999996</v>
      </c>
      <c r="AR225" s="25">
        <f>Lookups!$B$57*Inventory[[#This Row],[LnAcres]]</f>
        <v>-123833.58500677992</v>
      </c>
      <c r="AS225" s="25">
        <f>VLOOKUP(Inventory[[#This Row],[Qlty]],Lookups!$A$62:$E$75,2,FALSE)</f>
        <v>21557.329055999999</v>
      </c>
      <c r="AT225" s="25">
        <f>VLOOKUP(Inventory[[#This Row],[Cnd]],Lookups!$A$76:$E$84,2,FALSE)</f>
        <v>160472.20319</v>
      </c>
      <c r="AU225" s="25">
        <f>Inventory[[#This Row],[EffAge]]*Lookups!$B$85</f>
        <v>-10037.0520225</v>
      </c>
      <c r="AV225" s="25">
        <f>Inventory[[#This Row],[MainFn]]*Lookups!$B$86</f>
        <v>30238.105964724</v>
      </c>
      <c r="AW225" s="25">
        <f>Inventory[[#This Row],[UpprFn]]*Lookups!$B$87</f>
        <v>27409.290790931998</v>
      </c>
      <c r="AX225" s="25">
        <f>Inventory[[#This Row],[AddFn]]*Lookups!$B$88</f>
        <v>0</v>
      </c>
      <c r="AY225" s="25">
        <f>Inventory[[#This Row],[Bsmt]]*Lookups!$B$89</f>
        <v>0</v>
      </c>
      <c r="AZ225" s="25">
        <f>Inventory[[#This Row],[Fixtures]]*Lookups!$B$90</f>
        <v>26544.1547364</v>
      </c>
      <c r="BA225" s="25">
        <f>Inventory[[#This Row],[WdDeck]]*Lookups!$B$91</f>
        <v>0</v>
      </c>
      <c r="BB225" s="25">
        <f>ROUND(Inventory[[#This Row],[25Det]],-2)</f>
        <v>0</v>
      </c>
      <c r="BC225" s="25">
        <f>ROUND(SUM(Inventory[[#This Row],[Mdl Qlty]:[Mdl WdDeck]])+Inventory[[#This Row],[Mdl Res Intercept]],-2)</f>
        <v>256200</v>
      </c>
      <c r="BD225" s="25">
        <f>ROUND(Inventory[[#This Row],[Mdl Land Intercept]]+Inventory[[#This Row],[Mdl LnAcres]],-2)</f>
        <v>-34000</v>
      </c>
      <c r="BE225" s="25">
        <f>Inventory[[#This Row],[Unadj Res Value]]+Inventory[[#This Row],[Unadj Det Value]]+Inventory[[#This Row],[Unadj Land Value]]</f>
        <v>222200</v>
      </c>
      <c r="BF225" s="36">
        <f>(Inventory[[#This Row],[Unadj Total Value]]-Inventory[[#This Row],[24Final]])/Inventory[[#This Row],[24Final]]</f>
        <v>0.23788300835654597</v>
      </c>
      <c r="BG225" s="25">
        <f>VLOOKUP(Inventory[[#This Row],[Nbhd]],Lookups!$Q$2:$T$4,4,FALSE)</f>
        <v>0.99970000000000003</v>
      </c>
      <c r="BH225" s="25">
        <f>VLOOKUP(Inventory[[#This Row],[Qlty]],Lookups!$O$7:$R$21,4,FALSE)</f>
        <v>1.0067999999999999</v>
      </c>
      <c r="BI225" s="25">
        <f>VLOOKUP(Inventory[[#This Row],[Cnd]],Lookups!$T$7:$W$16,4,FALSE)</f>
        <v>0.99729999999999996</v>
      </c>
      <c r="BJ225" s="25">
        <f>VLOOKUP(Inventory[[#This Row],[LivArea Range]],Lookups!$T$25:$W$37,4,FALSE)</f>
        <v>1.0157</v>
      </c>
      <c r="BK225" s="25">
        <f>VLOOKUP(Inventory[[#This Row],[Decade]],Lookups!$O$25:$R$42,4,FALSE)</f>
        <v>0.96919999999999995</v>
      </c>
      <c r="BL225" s="25">
        <f>Inventory[[#This Row],[Nbhd Adj]]*0.95</f>
        <v>0.94971499999999998</v>
      </c>
      <c r="BM225" s="25">
        <f>Inventory[[#This Row],[Nbhd Adj]]*Inventory[[#This Row],[Quality Adj]]*Inventory[[#This Row],[Condition Adj]]*Inventory[[#This Row],[Living Area Adj]]*Inventory[[#This Row],[Decade Adj]]*0.95</f>
        <v>0.93873104601730073</v>
      </c>
      <c r="BN225" s="25">
        <f>ROUND(SUM(Inventory[[#This Row],[Mdl Qlty]:[Mdl WdDeck]])+Inventory[[#This Row],[Mdl Res Intercept]]*Inventory[[#This Row],[Res Adj ]],-2)</f>
        <v>256200</v>
      </c>
      <c r="BO225" s="25">
        <f>ROUND(Inventory[[#This Row],[25Det]]*Inventory[[#This Row],[Det/Nbhd Adj]],-2)</f>
        <v>0</v>
      </c>
      <c r="BP225" s="25">
        <f>Inventory[[#This Row],[Adjusted Res]]+Inventory[[#This Row],[Adj Det ]]</f>
        <v>256200</v>
      </c>
      <c r="BQ225" s="25">
        <f>ROUND((Inventory[[#This Row],[Mdl Land Intercept]]+Inventory[[#This Row],[Mdl LnAcres]])*Inventory[[#This Row],[Det/Nbhd Adj]],-2)</f>
        <v>-32300</v>
      </c>
      <c r="BR225" s="25">
        <f>Inventory[[#This Row],[Adjusted Impr Total]]+Inventory[[#This Row],[Adjusted Land Total]]</f>
        <v>223900</v>
      </c>
      <c r="BS225" s="36">
        <f>IFERROR((Inventory[[#This Row],[Adjusted Impr Total]]-Inventory[[#This Row],[24Bldg]])/Inventory[[#This Row],[24Bldg]],0)</f>
        <v>0.67889908256880738</v>
      </c>
      <c r="BT225" s="36">
        <f>(Inventory[[#This Row],[Adjusted Land Total]]-Inventory[[#This Row],[24Lnd]])/Inventory[[#This Row],[24Lnd]]</f>
        <v>-2.2007434944237918</v>
      </c>
      <c r="BU225" s="36">
        <f>(Inventory[[#This Row],[Adjusted Total]]-Inventory[[#This Row],[24Final]])/Inventory[[#This Row],[24Final]]</f>
        <v>0.24735376044568244</v>
      </c>
    </row>
    <row r="226" spans="1:73" x14ac:dyDescent="0.3">
      <c r="A226" s="25">
        <v>2025</v>
      </c>
      <c r="B226" s="26" t="s">
        <v>1132</v>
      </c>
      <c r="C226" s="26">
        <f>LN(Inventory[[#This Row],[Acres]])</f>
        <v>-3.912023005428146</v>
      </c>
      <c r="D226" s="25">
        <v>0.02</v>
      </c>
      <c r="E226" s="25">
        <v>612</v>
      </c>
      <c r="F226" s="26" t="s">
        <v>537</v>
      </c>
      <c r="G226" s="26" t="s">
        <v>28</v>
      </c>
      <c r="H226" s="26" t="s">
        <v>349</v>
      </c>
      <c r="I226" s="26" t="s">
        <v>538</v>
      </c>
      <c r="J226" s="26" t="s">
        <v>551</v>
      </c>
      <c r="K226" s="26" t="s">
        <v>415</v>
      </c>
      <c r="L226" s="26" t="s">
        <v>351</v>
      </c>
      <c r="M226" s="26" t="s">
        <v>323</v>
      </c>
      <c r="N226" s="26">
        <v>50</v>
      </c>
      <c r="O226" s="26">
        <f>2024-Inventory[[#This Row],[YrBlt]]</f>
        <v>49</v>
      </c>
      <c r="P226" s="26">
        <f>2024-Inventory[[#This Row],[EffYr]]</f>
        <v>45</v>
      </c>
      <c r="Q226" s="25">
        <v>1975</v>
      </c>
      <c r="R226" s="25">
        <v>1979</v>
      </c>
      <c r="S226" s="25">
        <v>612</v>
      </c>
      <c r="T226" s="32">
        <v>612</v>
      </c>
      <c r="U226" s="31"/>
      <c r="V226" s="31">
        <f>Inventory[[#This Row],[Bsmt]]-Inventory[[#This Row],[FnBsmt]]</f>
        <v>0</v>
      </c>
      <c r="W226" s="31"/>
      <c r="X226" s="27"/>
      <c r="Y226" s="27">
        <f>Inventory[[#This Row],[MainFn]]+Inventory[[#This Row],[UpprFn]]+Inventory[[#This Row],[FnBsmt]]+Inventory[[#This Row],[AddFn]]</f>
        <v>1224</v>
      </c>
      <c r="Z226" s="27">
        <v>1500</v>
      </c>
      <c r="AA226" s="25">
        <v>7</v>
      </c>
      <c r="AB226" s="31"/>
      <c r="AC226" s="27"/>
      <c r="AD226" s="27"/>
      <c r="AE226" s="27"/>
      <c r="AF226" s="27"/>
      <c r="AG226" s="27"/>
      <c r="AH226" s="27"/>
      <c r="AI226" s="25">
        <v>192863</v>
      </c>
      <c r="AJ226" s="25">
        <v>148505</v>
      </c>
      <c r="AK226" s="25">
        <v>0</v>
      </c>
      <c r="AL226" s="25">
        <v>184700</v>
      </c>
      <c r="AM226" s="25">
        <v>27700</v>
      </c>
      <c r="AN226" s="25">
        <v>157000</v>
      </c>
      <c r="AO226" s="25">
        <v>0</v>
      </c>
      <c r="AP226" s="25">
        <f>Lookups!$B$56*0</f>
        <v>0</v>
      </c>
      <c r="AQ226" s="25">
        <f>Lookups!$B$56*1</f>
        <v>89850.625589999996</v>
      </c>
      <c r="AR226" s="25">
        <f>Lookups!$B$57*Inventory[[#This Row],[LnAcres]]</f>
        <v>-123833.58500677992</v>
      </c>
      <c r="AS226" s="25">
        <f>VLOOKUP(Inventory[[#This Row],[Qlty]],Lookups!$A$62:$E$75,2,FALSE)</f>
        <v>21557.329055999999</v>
      </c>
      <c r="AT226" s="25">
        <f>VLOOKUP(Inventory[[#This Row],[Cnd]],Lookups!$A$76:$E$84,2,FALSE)</f>
        <v>160472.20319</v>
      </c>
      <c r="AU226" s="25">
        <f>Inventory[[#This Row],[EffAge]]*Lookups!$B$85</f>
        <v>-10037.0520225</v>
      </c>
      <c r="AV226" s="25">
        <f>Inventory[[#This Row],[MainFn]]*Lookups!$B$86</f>
        <v>30238.105964724</v>
      </c>
      <c r="AW226" s="25">
        <f>Inventory[[#This Row],[UpprFn]]*Lookups!$B$87</f>
        <v>27409.290790931998</v>
      </c>
      <c r="AX226" s="25">
        <f>Inventory[[#This Row],[AddFn]]*Lookups!$B$88</f>
        <v>0</v>
      </c>
      <c r="AY226" s="25">
        <f>Inventory[[#This Row],[Bsmt]]*Lookups!$B$89</f>
        <v>0</v>
      </c>
      <c r="AZ226" s="25">
        <f>Inventory[[#This Row],[Fixtures]]*Lookups!$B$90</f>
        <v>26544.1547364</v>
      </c>
      <c r="BA226" s="25">
        <f>Inventory[[#This Row],[WdDeck]]*Lookups!$B$91</f>
        <v>0</v>
      </c>
      <c r="BB226" s="25">
        <f>ROUND(Inventory[[#This Row],[25Det]],-2)</f>
        <v>0</v>
      </c>
      <c r="BC226" s="25">
        <f>ROUND(SUM(Inventory[[#This Row],[Mdl Qlty]:[Mdl WdDeck]])+Inventory[[#This Row],[Mdl Res Intercept]],-2)</f>
        <v>256200</v>
      </c>
      <c r="BD226" s="25">
        <f>ROUND(Inventory[[#This Row],[Mdl Land Intercept]]+Inventory[[#This Row],[Mdl LnAcres]],-2)</f>
        <v>-34000</v>
      </c>
      <c r="BE226" s="25">
        <f>Inventory[[#This Row],[Unadj Res Value]]+Inventory[[#This Row],[Unadj Det Value]]+Inventory[[#This Row],[Unadj Land Value]]</f>
        <v>222200</v>
      </c>
      <c r="BF226" s="36">
        <f>(Inventory[[#This Row],[Unadj Total Value]]-Inventory[[#This Row],[24Final]])/Inventory[[#This Row],[24Final]]</f>
        <v>0.20303194369247429</v>
      </c>
      <c r="BG226" s="25">
        <f>VLOOKUP(Inventory[[#This Row],[Nbhd]],Lookups!$Q$2:$T$4,4,FALSE)</f>
        <v>0.99970000000000003</v>
      </c>
      <c r="BH226" s="25">
        <f>VLOOKUP(Inventory[[#This Row],[Qlty]],Lookups!$O$7:$R$21,4,FALSE)</f>
        <v>1.0067999999999999</v>
      </c>
      <c r="BI226" s="25">
        <f>VLOOKUP(Inventory[[#This Row],[Cnd]],Lookups!$T$7:$W$16,4,FALSE)</f>
        <v>0.99729999999999996</v>
      </c>
      <c r="BJ226" s="25">
        <f>VLOOKUP(Inventory[[#This Row],[LivArea Range]],Lookups!$T$25:$W$37,4,FALSE)</f>
        <v>1.0157</v>
      </c>
      <c r="BK226" s="25">
        <f>VLOOKUP(Inventory[[#This Row],[Decade]],Lookups!$O$25:$R$42,4,FALSE)</f>
        <v>0.96919999999999995</v>
      </c>
      <c r="BL226" s="25">
        <f>Inventory[[#This Row],[Nbhd Adj]]*0.95</f>
        <v>0.94971499999999998</v>
      </c>
      <c r="BM226" s="25">
        <f>Inventory[[#This Row],[Nbhd Adj]]*Inventory[[#This Row],[Quality Adj]]*Inventory[[#This Row],[Condition Adj]]*Inventory[[#This Row],[Living Area Adj]]*Inventory[[#This Row],[Decade Adj]]*0.95</f>
        <v>0.93873104601730073</v>
      </c>
      <c r="BN226" s="25">
        <f>ROUND(SUM(Inventory[[#This Row],[Mdl Qlty]:[Mdl WdDeck]])+Inventory[[#This Row],[Mdl Res Intercept]]*Inventory[[#This Row],[Res Adj ]],-2)</f>
        <v>256200</v>
      </c>
      <c r="BO226" s="25">
        <f>ROUND(Inventory[[#This Row],[25Det]]*Inventory[[#This Row],[Det/Nbhd Adj]],-2)</f>
        <v>0</v>
      </c>
      <c r="BP226" s="25">
        <f>Inventory[[#This Row],[Adjusted Res]]+Inventory[[#This Row],[Adj Det ]]</f>
        <v>256200</v>
      </c>
      <c r="BQ226" s="25">
        <f>ROUND((Inventory[[#This Row],[Mdl Land Intercept]]+Inventory[[#This Row],[Mdl LnAcres]])*Inventory[[#This Row],[Det/Nbhd Adj]],-2)</f>
        <v>-32300</v>
      </c>
      <c r="BR226" s="25">
        <f>Inventory[[#This Row],[Adjusted Impr Total]]+Inventory[[#This Row],[Adjusted Land Total]]</f>
        <v>223900</v>
      </c>
      <c r="BS226" s="36">
        <f>IFERROR((Inventory[[#This Row],[Adjusted Impr Total]]-Inventory[[#This Row],[24Bldg]])/Inventory[[#This Row],[24Bldg]],0)</f>
        <v>0.63184713375796175</v>
      </c>
      <c r="BT226" s="36">
        <f>(Inventory[[#This Row],[Adjusted Land Total]]-Inventory[[#This Row],[24Lnd]])/Inventory[[#This Row],[24Lnd]]</f>
        <v>-2.1660649819494586</v>
      </c>
      <c r="BU226" s="36">
        <f>(Inventory[[#This Row],[Adjusted Total]]-Inventory[[#This Row],[24Final]])/Inventory[[#This Row],[24Final]]</f>
        <v>0.21223605847319979</v>
      </c>
    </row>
    <row r="227" spans="1:73" x14ac:dyDescent="0.3">
      <c r="A227" s="25">
        <v>2025</v>
      </c>
      <c r="B227" s="26" t="s">
        <v>1127</v>
      </c>
      <c r="C227" s="26">
        <f>LN(Inventory[[#This Row],[Acres]])</f>
        <v>-3.912023005428146</v>
      </c>
      <c r="D227" s="25">
        <v>0.02</v>
      </c>
      <c r="E227" s="25">
        <v>612</v>
      </c>
      <c r="F227" s="26" t="s">
        <v>537</v>
      </c>
      <c r="G227" s="26" t="s">
        <v>28</v>
      </c>
      <c r="H227" s="26" t="s">
        <v>349</v>
      </c>
      <c r="I227" s="26" t="s">
        <v>538</v>
      </c>
      <c r="J227" s="26" t="s">
        <v>551</v>
      </c>
      <c r="K227" s="26" t="s">
        <v>415</v>
      </c>
      <c r="L227" s="26" t="s">
        <v>351</v>
      </c>
      <c r="M227" s="26" t="s">
        <v>323</v>
      </c>
      <c r="N227" s="26">
        <v>50</v>
      </c>
      <c r="O227" s="26">
        <f>2024-Inventory[[#This Row],[YrBlt]]</f>
        <v>49</v>
      </c>
      <c r="P227" s="26">
        <f>2024-Inventory[[#This Row],[EffYr]]</f>
        <v>45</v>
      </c>
      <c r="Q227" s="25">
        <v>1975</v>
      </c>
      <c r="R227" s="25">
        <v>1979</v>
      </c>
      <c r="S227" s="25">
        <v>612</v>
      </c>
      <c r="T227" s="25">
        <v>612</v>
      </c>
      <c r="U227" s="31"/>
      <c r="V227" s="31">
        <f>Inventory[[#This Row],[Bsmt]]-Inventory[[#This Row],[FnBsmt]]</f>
        <v>0</v>
      </c>
      <c r="W227" s="31"/>
      <c r="X227" s="27"/>
      <c r="Y227" s="27">
        <f>Inventory[[#This Row],[MainFn]]+Inventory[[#This Row],[UpprFn]]+Inventory[[#This Row],[FnBsmt]]+Inventory[[#This Row],[AddFn]]</f>
        <v>1224</v>
      </c>
      <c r="Z227" s="27">
        <v>1500</v>
      </c>
      <c r="AA227" s="25">
        <v>7</v>
      </c>
      <c r="AB227" s="27"/>
      <c r="AC227" s="27"/>
      <c r="AD227" s="27"/>
      <c r="AE227" s="27"/>
      <c r="AF227" s="27"/>
      <c r="AG227" s="27"/>
      <c r="AH227" s="27"/>
      <c r="AI227" s="25">
        <v>194148</v>
      </c>
      <c r="AJ227" s="25">
        <v>149494</v>
      </c>
      <c r="AK227" s="25">
        <v>0</v>
      </c>
      <c r="AL227" s="25">
        <v>185900</v>
      </c>
      <c r="AM227" s="25">
        <v>27900</v>
      </c>
      <c r="AN227" s="25">
        <v>158000</v>
      </c>
      <c r="AO227" s="25">
        <v>0</v>
      </c>
      <c r="AP227" s="25">
        <f>Lookups!$B$56*0</f>
        <v>0</v>
      </c>
      <c r="AQ227" s="25">
        <f>Lookups!$B$56*1</f>
        <v>89850.625589999996</v>
      </c>
      <c r="AR227" s="25">
        <f>Lookups!$B$57*Inventory[[#This Row],[LnAcres]]</f>
        <v>-123833.58500677992</v>
      </c>
      <c r="AS227" s="25">
        <f>VLOOKUP(Inventory[[#This Row],[Qlty]],Lookups!$A$62:$E$75,2,FALSE)</f>
        <v>21557.329055999999</v>
      </c>
      <c r="AT227" s="25">
        <f>VLOOKUP(Inventory[[#This Row],[Cnd]],Lookups!$A$76:$E$84,2,FALSE)</f>
        <v>160472.20319</v>
      </c>
      <c r="AU227" s="25">
        <f>Inventory[[#This Row],[EffAge]]*Lookups!$B$85</f>
        <v>-10037.0520225</v>
      </c>
      <c r="AV227" s="25">
        <f>Inventory[[#This Row],[MainFn]]*Lookups!$B$86</f>
        <v>30238.105964724</v>
      </c>
      <c r="AW227" s="25">
        <f>Inventory[[#This Row],[UpprFn]]*Lookups!$B$87</f>
        <v>27409.290790931998</v>
      </c>
      <c r="AX227" s="25">
        <f>Inventory[[#This Row],[AddFn]]*Lookups!$B$88</f>
        <v>0</v>
      </c>
      <c r="AY227" s="25">
        <f>Inventory[[#This Row],[Bsmt]]*Lookups!$B$89</f>
        <v>0</v>
      </c>
      <c r="AZ227" s="25">
        <f>Inventory[[#This Row],[Fixtures]]*Lookups!$B$90</f>
        <v>26544.1547364</v>
      </c>
      <c r="BA227" s="25">
        <f>Inventory[[#This Row],[WdDeck]]*Lookups!$B$91</f>
        <v>0</v>
      </c>
      <c r="BB227" s="25">
        <f>ROUND(Inventory[[#This Row],[25Det]],-2)</f>
        <v>0</v>
      </c>
      <c r="BC227" s="25">
        <f>ROUND(SUM(Inventory[[#This Row],[Mdl Qlty]:[Mdl WdDeck]])+Inventory[[#This Row],[Mdl Res Intercept]],-2)</f>
        <v>256200</v>
      </c>
      <c r="BD227" s="25">
        <f>ROUND(Inventory[[#This Row],[Mdl Land Intercept]]+Inventory[[#This Row],[Mdl LnAcres]],-2)</f>
        <v>-34000</v>
      </c>
      <c r="BE227" s="25">
        <f>Inventory[[#This Row],[Unadj Res Value]]+Inventory[[#This Row],[Unadj Det Value]]+Inventory[[#This Row],[Unadj Land Value]]</f>
        <v>222200</v>
      </c>
      <c r="BF227" s="36">
        <f>(Inventory[[#This Row],[Unadj Total Value]]-Inventory[[#This Row],[24Final]])/Inventory[[#This Row],[24Final]]</f>
        <v>0.19526627218934911</v>
      </c>
      <c r="BG227" s="25">
        <f>VLOOKUP(Inventory[[#This Row],[Nbhd]],Lookups!$Q$2:$T$4,4,FALSE)</f>
        <v>0.99970000000000003</v>
      </c>
      <c r="BH227" s="25">
        <f>VLOOKUP(Inventory[[#This Row],[Qlty]],Lookups!$O$7:$R$21,4,FALSE)</f>
        <v>1.0067999999999999</v>
      </c>
      <c r="BI227" s="25">
        <f>VLOOKUP(Inventory[[#This Row],[Cnd]],Lookups!$T$7:$W$16,4,FALSE)</f>
        <v>0.99729999999999996</v>
      </c>
      <c r="BJ227" s="25">
        <f>VLOOKUP(Inventory[[#This Row],[LivArea Range]],Lookups!$T$25:$W$37,4,FALSE)</f>
        <v>1.0157</v>
      </c>
      <c r="BK227" s="25">
        <f>VLOOKUP(Inventory[[#This Row],[Decade]],Lookups!$O$25:$R$42,4,FALSE)</f>
        <v>0.96919999999999995</v>
      </c>
      <c r="BL227" s="25">
        <f>Inventory[[#This Row],[Nbhd Adj]]*0.95</f>
        <v>0.94971499999999998</v>
      </c>
      <c r="BM227" s="25">
        <f>Inventory[[#This Row],[Nbhd Adj]]*Inventory[[#This Row],[Quality Adj]]*Inventory[[#This Row],[Condition Adj]]*Inventory[[#This Row],[Living Area Adj]]*Inventory[[#This Row],[Decade Adj]]*0.95</f>
        <v>0.93873104601730073</v>
      </c>
      <c r="BN227" s="25">
        <f>ROUND(SUM(Inventory[[#This Row],[Mdl Qlty]:[Mdl WdDeck]])+Inventory[[#This Row],[Mdl Res Intercept]]*Inventory[[#This Row],[Res Adj ]],-2)</f>
        <v>256200</v>
      </c>
      <c r="BO227" s="25">
        <f>ROUND(Inventory[[#This Row],[25Det]]*Inventory[[#This Row],[Det/Nbhd Adj]],-2)</f>
        <v>0</v>
      </c>
      <c r="BP227" s="25">
        <f>Inventory[[#This Row],[Adjusted Res]]+Inventory[[#This Row],[Adj Det ]]</f>
        <v>256200</v>
      </c>
      <c r="BQ227" s="25">
        <f>ROUND((Inventory[[#This Row],[Mdl Land Intercept]]+Inventory[[#This Row],[Mdl LnAcres]])*Inventory[[#This Row],[Det/Nbhd Adj]],-2)</f>
        <v>-32300</v>
      </c>
      <c r="BR227" s="25">
        <f>Inventory[[#This Row],[Adjusted Impr Total]]+Inventory[[#This Row],[Adjusted Land Total]]</f>
        <v>223900</v>
      </c>
      <c r="BS227" s="36">
        <f>IFERROR((Inventory[[#This Row],[Adjusted Impr Total]]-Inventory[[#This Row],[24Bldg]])/Inventory[[#This Row],[24Bldg]],0)</f>
        <v>0.62151898734177213</v>
      </c>
      <c r="BT227" s="36">
        <f>(Inventory[[#This Row],[Adjusted Land Total]]-Inventory[[#This Row],[24Lnd]])/Inventory[[#This Row],[24Lnd]]</f>
        <v>-2.1577060931899643</v>
      </c>
      <c r="BU227" s="36">
        <f>(Inventory[[#This Row],[Adjusted Total]]-Inventory[[#This Row],[24Final]])/Inventory[[#This Row],[24Final]]</f>
        <v>0.20441097364174288</v>
      </c>
    </row>
    <row r="228" spans="1:73" x14ac:dyDescent="0.3">
      <c r="A228" s="25">
        <v>2025</v>
      </c>
      <c r="B228" s="26" t="s">
        <v>1107</v>
      </c>
      <c r="C228" s="26">
        <f>LN(Inventory[[#This Row],[Acres]])</f>
        <v>-4.6051701859880909</v>
      </c>
      <c r="D228" s="25">
        <v>0.01</v>
      </c>
      <c r="E228" s="25">
        <v>612</v>
      </c>
      <c r="F228" s="26" t="s">
        <v>537</v>
      </c>
      <c r="G228" s="26" t="s">
        <v>28</v>
      </c>
      <c r="H228" s="26" t="s">
        <v>349</v>
      </c>
      <c r="I228" s="26" t="s">
        <v>538</v>
      </c>
      <c r="J228" s="26" t="s">
        <v>551</v>
      </c>
      <c r="K228" s="26" t="s">
        <v>415</v>
      </c>
      <c r="L228" s="26" t="s">
        <v>351</v>
      </c>
      <c r="M228" s="26" t="s">
        <v>323</v>
      </c>
      <c r="N228" s="26">
        <v>50</v>
      </c>
      <c r="O228" s="26">
        <f>2024-Inventory[[#This Row],[YrBlt]]</f>
        <v>49</v>
      </c>
      <c r="P228" s="26">
        <f>2024-Inventory[[#This Row],[EffYr]]</f>
        <v>45</v>
      </c>
      <c r="Q228" s="25">
        <v>1975</v>
      </c>
      <c r="R228" s="25">
        <v>1979</v>
      </c>
      <c r="S228" s="25">
        <v>612</v>
      </c>
      <c r="T228" s="32">
        <v>612</v>
      </c>
      <c r="U228" s="31"/>
      <c r="V228" s="31">
        <f>Inventory[[#This Row],[Bsmt]]-Inventory[[#This Row],[FnBsmt]]</f>
        <v>0</v>
      </c>
      <c r="W228" s="31"/>
      <c r="X228" s="27"/>
      <c r="Y228" s="27">
        <f>Inventory[[#This Row],[MainFn]]+Inventory[[#This Row],[UpprFn]]+Inventory[[#This Row],[FnBsmt]]+Inventory[[#This Row],[AddFn]]</f>
        <v>1224</v>
      </c>
      <c r="Z228" s="27">
        <v>1500</v>
      </c>
      <c r="AA228" s="25">
        <v>7</v>
      </c>
      <c r="AB228" s="27"/>
      <c r="AC228" s="27"/>
      <c r="AD228" s="27"/>
      <c r="AE228" s="27"/>
      <c r="AF228" s="27"/>
      <c r="AG228" s="27"/>
      <c r="AH228" s="27"/>
      <c r="AI228" s="25">
        <v>187477</v>
      </c>
      <c r="AJ228" s="25">
        <v>144357</v>
      </c>
      <c r="AK228" s="25">
        <v>0</v>
      </c>
      <c r="AL228" s="25">
        <v>179500</v>
      </c>
      <c r="AM228" s="25">
        <v>26900</v>
      </c>
      <c r="AN228" s="25">
        <v>152600</v>
      </c>
      <c r="AO228" s="25">
        <v>0</v>
      </c>
      <c r="AP228" s="25">
        <f>Lookups!$B$56*0</f>
        <v>0</v>
      </c>
      <c r="AQ228" s="25">
        <f>Lookups!$B$56*1</f>
        <v>89850.625589999996</v>
      </c>
      <c r="AR228" s="25">
        <f>Lookups!$B$57*Inventory[[#This Row],[LnAcres]]</f>
        <v>-145774.89265936252</v>
      </c>
      <c r="AS228" s="25">
        <f>VLOOKUP(Inventory[[#This Row],[Qlty]],Lookups!$A$62:$E$75,2,FALSE)</f>
        <v>21557.329055999999</v>
      </c>
      <c r="AT228" s="25">
        <f>VLOOKUP(Inventory[[#This Row],[Cnd]],Lookups!$A$76:$E$84,2,FALSE)</f>
        <v>160472.20319</v>
      </c>
      <c r="AU228" s="25">
        <f>Inventory[[#This Row],[EffAge]]*Lookups!$B$85</f>
        <v>-10037.0520225</v>
      </c>
      <c r="AV228" s="25">
        <f>Inventory[[#This Row],[MainFn]]*Lookups!$B$86</f>
        <v>30238.105964724</v>
      </c>
      <c r="AW228" s="25">
        <f>Inventory[[#This Row],[UpprFn]]*Lookups!$B$87</f>
        <v>27409.290790931998</v>
      </c>
      <c r="AX228" s="25">
        <f>Inventory[[#This Row],[AddFn]]*Lookups!$B$88</f>
        <v>0</v>
      </c>
      <c r="AY228" s="25">
        <f>Inventory[[#This Row],[Bsmt]]*Lookups!$B$89</f>
        <v>0</v>
      </c>
      <c r="AZ228" s="25">
        <f>Inventory[[#This Row],[Fixtures]]*Lookups!$B$90</f>
        <v>26544.1547364</v>
      </c>
      <c r="BA228" s="25">
        <f>Inventory[[#This Row],[WdDeck]]*Lookups!$B$91</f>
        <v>0</v>
      </c>
      <c r="BB228" s="25">
        <f>ROUND(Inventory[[#This Row],[25Det]],-2)</f>
        <v>0</v>
      </c>
      <c r="BC228" s="25">
        <f>ROUND(SUM(Inventory[[#This Row],[Mdl Qlty]:[Mdl WdDeck]])+Inventory[[#This Row],[Mdl Res Intercept]],-2)</f>
        <v>256200</v>
      </c>
      <c r="BD228" s="25">
        <f>ROUND(Inventory[[#This Row],[Mdl Land Intercept]]+Inventory[[#This Row],[Mdl LnAcres]],-2)</f>
        <v>-55900</v>
      </c>
      <c r="BE228" s="25">
        <f>Inventory[[#This Row],[Unadj Res Value]]+Inventory[[#This Row],[Unadj Det Value]]+Inventory[[#This Row],[Unadj Land Value]]</f>
        <v>200300</v>
      </c>
      <c r="BF228" s="36">
        <f>(Inventory[[#This Row],[Unadj Total Value]]-Inventory[[#This Row],[24Final]])/Inventory[[#This Row],[24Final]]</f>
        <v>0.11587743732590529</v>
      </c>
      <c r="BG228" s="25">
        <f>VLOOKUP(Inventory[[#This Row],[Nbhd]],Lookups!$Q$2:$T$4,4,FALSE)</f>
        <v>0.99970000000000003</v>
      </c>
      <c r="BH228" s="25">
        <f>VLOOKUP(Inventory[[#This Row],[Qlty]],Lookups!$O$7:$R$21,4,FALSE)</f>
        <v>1.0067999999999999</v>
      </c>
      <c r="BI228" s="25">
        <f>VLOOKUP(Inventory[[#This Row],[Cnd]],Lookups!$T$7:$W$16,4,FALSE)</f>
        <v>0.99729999999999996</v>
      </c>
      <c r="BJ228" s="25">
        <f>VLOOKUP(Inventory[[#This Row],[LivArea Range]],Lookups!$T$25:$W$37,4,FALSE)</f>
        <v>1.0157</v>
      </c>
      <c r="BK228" s="25">
        <f>VLOOKUP(Inventory[[#This Row],[Decade]],Lookups!$O$25:$R$42,4,FALSE)</f>
        <v>0.96919999999999995</v>
      </c>
      <c r="BL228" s="25">
        <f>Inventory[[#This Row],[Nbhd Adj]]*0.95</f>
        <v>0.94971499999999998</v>
      </c>
      <c r="BM228" s="25">
        <f>Inventory[[#This Row],[Nbhd Adj]]*Inventory[[#This Row],[Quality Adj]]*Inventory[[#This Row],[Condition Adj]]*Inventory[[#This Row],[Living Area Adj]]*Inventory[[#This Row],[Decade Adj]]*0.95</f>
        <v>0.93873104601730073</v>
      </c>
      <c r="BN228" s="25">
        <f>ROUND(SUM(Inventory[[#This Row],[Mdl Qlty]:[Mdl WdDeck]])+Inventory[[#This Row],[Mdl Res Intercept]]*Inventory[[#This Row],[Res Adj ]],-2)</f>
        <v>256200</v>
      </c>
      <c r="BO228" s="25">
        <f>ROUND(Inventory[[#This Row],[25Det]]*Inventory[[#This Row],[Det/Nbhd Adj]],-2)</f>
        <v>0</v>
      </c>
      <c r="BP228" s="25">
        <f>Inventory[[#This Row],[Adjusted Res]]+Inventory[[#This Row],[Adj Det ]]</f>
        <v>256200</v>
      </c>
      <c r="BQ228" s="25">
        <f>ROUND((Inventory[[#This Row],[Mdl Land Intercept]]+Inventory[[#This Row],[Mdl LnAcres]])*Inventory[[#This Row],[Det/Nbhd Adj]],-2)</f>
        <v>-53100</v>
      </c>
      <c r="BR228" s="25">
        <f>Inventory[[#This Row],[Adjusted Impr Total]]+Inventory[[#This Row],[Adjusted Land Total]]</f>
        <v>203100</v>
      </c>
      <c r="BS228" s="36">
        <f>IFERROR((Inventory[[#This Row],[Adjusted Impr Total]]-Inventory[[#This Row],[24Bldg]])/Inventory[[#This Row],[24Bldg]],0)</f>
        <v>0.67889908256880738</v>
      </c>
      <c r="BT228" s="36">
        <f>(Inventory[[#This Row],[Adjusted Land Total]]-Inventory[[#This Row],[24Lnd]])/Inventory[[#This Row],[24Lnd]]</f>
        <v>-2.9739776951672861</v>
      </c>
      <c r="BU228" s="36">
        <f>(Inventory[[#This Row],[Adjusted Total]]-Inventory[[#This Row],[24Final]])/Inventory[[#This Row],[24Final]]</f>
        <v>0.13147632311977717</v>
      </c>
    </row>
    <row r="229" spans="1:73" x14ac:dyDescent="0.3">
      <c r="A229" s="25">
        <v>2025</v>
      </c>
      <c r="B229" s="26" t="s">
        <v>656</v>
      </c>
      <c r="C229" s="26">
        <f>LN(Inventory[[#This Row],[Acres]])</f>
        <v>-1.9661128563728327</v>
      </c>
      <c r="D229" s="25">
        <v>0.14000000000000001</v>
      </c>
      <c r="E229" s="25">
        <v>6174</v>
      </c>
      <c r="F229" s="26" t="s">
        <v>537</v>
      </c>
      <c r="G229" s="26" t="s">
        <v>126</v>
      </c>
      <c r="H229" s="26" t="s">
        <v>349</v>
      </c>
      <c r="I229" s="26" t="s">
        <v>538</v>
      </c>
      <c r="J229" s="26" t="s">
        <v>586</v>
      </c>
      <c r="K229" s="26" t="s">
        <v>592</v>
      </c>
      <c r="L229" s="26" t="s">
        <v>148</v>
      </c>
      <c r="M229" s="26" t="s">
        <v>303</v>
      </c>
      <c r="N229" s="26">
        <v>50</v>
      </c>
      <c r="O229" s="26">
        <f>2024-Inventory[[#This Row],[YrBlt]]</f>
        <v>49</v>
      </c>
      <c r="P229" s="26">
        <f>2024-Inventory[[#This Row],[EffYr]]</f>
        <v>45</v>
      </c>
      <c r="Q229" s="25">
        <v>1975</v>
      </c>
      <c r="R229" s="25">
        <v>1979</v>
      </c>
      <c r="S229" s="25">
        <v>2155</v>
      </c>
      <c r="T229" s="27"/>
      <c r="U229" s="31"/>
      <c r="V229" s="27">
        <f>Inventory[[#This Row],[Bsmt]]-Inventory[[#This Row],[FnBsmt]]</f>
        <v>0</v>
      </c>
      <c r="W229" s="27"/>
      <c r="X229" s="27"/>
      <c r="Y229" s="27">
        <f>Inventory[[#This Row],[MainFn]]+Inventory[[#This Row],[UpprFn]]+Inventory[[#This Row],[FnBsmt]]+Inventory[[#This Row],[AddFn]]</f>
        <v>2155</v>
      </c>
      <c r="Z229" s="27">
        <v>2500</v>
      </c>
      <c r="AA229" s="25">
        <v>8</v>
      </c>
      <c r="AB229" s="32">
        <v>618</v>
      </c>
      <c r="AC229" s="27"/>
      <c r="AD229" s="32">
        <v>100</v>
      </c>
      <c r="AE229" s="27"/>
      <c r="AF229" s="27"/>
      <c r="AG229" s="27"/>
      <c r="AH229" s="27"/>
      <c r="AI229" s="25">
        <v>486048</v>
      </c>
      <c r="AJ229" s="25">
        <v>379117</v>
      </c>
      <c r="AK229" s="25">
        <v>0</v>
      </c>
      <c r="AL229" s="25">
        <v>353900</v>
      </c>
      <c r="AM229" s="25">
        <v>45500</v>
      </c>
      <c r="AN229" s="25">
        <v>308400</v>
      </c>
      <c r="AO229" s="25">
        <v>0</v>
      </c>
      <c r="AP229" s="25">
        <f>Lookups!$B$56*0</f>
        <v>0</v>
      </c>
      <c r="AQ229" s="25">
        <f>Lookups!$B$56*1</f>
        <v>89850.625589999996</v>
      </c>
      <c r="AR229" s="25">
        <f>Lookups!$B$57*Inventory[[#This Row],[LnAcres]]</f>
        <v>-62236.546971921947</v>
      </c>
      <c r="AS229" s="25">
        <f>VLOOKUP(Inventory[[#This Row],[Qlty]],Lookups!$A$62:$E$75,2,FALSE)</f>
        <v>44121.038090000002</v>
      </c>
      <c r="AT229" s="25">
        <f>VLOOKUP(Inventory[[#This Row],[Cnd]],Lookups!$A$76:$E$84,2,FALSE)</f>
        <v>197752.34721000001</v>
      </c>
      <c r="AU229" s="25">
        <f>Inventory[[#This Row],[EffAge]]*Lookups!$B$85</f>
        <v>-10037.0520225</v>
      </c>
      <c r="AV229" s="25">
        <f>Inventory[[#This Row],[MainFn]]*Lookups!$B$86</f>
        <v>106475.683584935</v>
      </c>
      <c r="AW229" s="25">
        <f>Inventory[[#This Row],[UpprFn]]*Lookups!$B$87</f>
        <v>0</v>
      </c>
      <c r="AX229" s="25">
        <f>Inventory[[#This Row],[AddFn]]*Lookups!$B$88</f>
        <v>0</v>
      </c>
      <c r="AY229" s="25">
        <f>Inventory[[#This Row],[Bsmt]]*Lookups!$B$89</f>
        <v>0</v>
      </c>
      <c r="AZ229" s="25">
        <f>Inventory[[#This Row],[Fixtures]]*Lookups!$B$90</f>
        <v>30336.176841600001</v>
      </c>
      <c r="BA229" s="25">
        <f>Inventory[[#This Row],[WdDeck]]*Lookups!$B$91</f>
        <v>3329.5515276000006</v>
      </c>
      <c r="BB229" s="25">
        <f>ROUND(Inventory[[#This Row],[25Det]],-2)</f>
        <v>0</v>
      </c>
      <c r="BC229" s="25">
        <f>ROUND(SUM(Inventory[[#This Row],[Mdl Qlty]:[Mdl WdDeck]])+Inventory[[#This Row],[Mdl Res Intercept]],-2)</f>
        <v>372000</v>
      </c>
      <c r="BD229" s="25">
        <f>ROUND(Inventory[[#This Row],[Mdl Land Intercept]]+Inventory[[#This Row],[Mdl LnAcres]],-2)</f>
        <v>27600</v>
      </c>
      <c r="BE229" s="25">
        <f>Inventory[[#This Row],[Unadj Res Value]]+Inventory[[#This Row],[Unadj Det Value]]+Inventory[[#This Row],[Unadj Land Value]]</f>
        <v>399600</v>
      </c>
      <c r="BF229" s="36">
        <f>(Inventory[[#This Row],[Unadj Total Value]]-Inventory[[#This Row],[24Final]])/Inventory[[#This Row],[24Final]]</f>
        <v>0.12913252331166997</v>
      </c>
      <c r="BG229" s="25">
        <f>VLOOKUP(Inventory[[#This Row],[Nbhd]],Lookups!$Q$2:$T$4,4,FALSE)</f>
        <v>0.99970000000000003</v>
      </c>
      <c r="BH229" s="25">
        <f>VLOOKUP(Inventory[[#This Row],[Qlty]],Lookups!$O$7:$R$21,4,FALSE)</f>
        <v>0.98050000000000004</v>
      </c>
      <c r="BI229" s="25">
        <f>VLOOKUP(Inventory[[#This Row],[Cnd]],Lookups!$T$7:$W$16,4,FALSE)</f>
        <v>0.99650000000000005</v>
      </c>
      <c r="BJ229" s="25">
        <f>VLOOKUP(Inventory[[#This Row],[LivArea Range]],Lookups!$T$25:$W$37,4,FALSE)</f>
        <v>0.98919999999999997</v>
      </c>
      <c r="BK229" s="25">
        <f>VLOOKUP(Inventory[[#This Row],[Decade]],Lookups!$O$25:$R$42,4,FALSE)</f>
        <v>0.96919999999999995</v>
      </c>
      <c r="BL229" s="25">
        <f>Inventory[[#This Row],[Nbhd Adj]]*0.95</f>
        <v>0.94971499999999998</v>
      </c>
      <c r="BM229" s="25">
        <f>Inventory[[#This Row],[Nbhd Adj]]*Inventory[[#This Row],[Quality Adj]]*Inventory[[#This Row],[Condition Adj]]*Inventory[[#This Row],[Living Area Adj]]*Inventory[[#This Row],[Decade Adj]]*0.95</f>
        <v>0.88964288868505292</v>
      </c>
      <c r="BN229" s="25">
        <f>ROUND(SUM(Inventory[[#This Row],[Mdl Qlty]:[Mdl WdDeck]])+Inventory[[#This Row],[Mdl Res Intercept]]*Inventory[[#This Row],[Res Adj ]],-2)</f>
        <v>372000</v>
      </c>
      <c r="BO229" s="25">
        <f>ROUND(Inventory[[#This Row],[25Det]]*Inventory[[#This Row],[Det/Nbhd Adj]],-2)</f>
        <v>0</v>
      </c>
      <c r="BP229" s="25">
        <f>Inventory[[#This Row],[Adjusted Res]]+Inventory[[#This Row],[Adj Det ]]</f>
        <v>372000</v>
      </c>
      <c r="BQ229" s="25">
        <f>ROUND((Inventory[[#This Row],[Mdl Land Intercept]]+Inventory[[#This Row],[Mdl LnAcres]])*Inventory[[#This Row],[Det/Nbhd Adj]],-2)</f>
        <v>26200</v>
      </c>
      <c r="BR229" s="25">
        <f>Inventory[[#This Row],[Adjusted Impr Total]]+Inventory[[#This Row],[Adjusted Land Total]]</f>
        <v>398200</v>
      </c>
      <c r="BS229" s="36">
        <f>IFERROR((Inventory[[#This Row],[Adjusted Impr Total]]-Inventory[[#This Row],[24Bldg]])/Inventory[[#This Row],[24Bldg]],0)</f>
        <v>0.20622568093385213</v>
      </c>
      <c r="BT229" s="36">
        <f>(Inventory[[#This Row],[Adjusted Land Total]]-Inventory[[#This Row],[24Lnd]])/Inventory[[#This Row],[24Lnd]]</f>
        <v>-0.42417582417582417</v>
      </c>
      <c r="BU229" s="36">
        <f>(Inventory[[#This Row],[Adjusted Total]]-Inventory[[#This Row],[24Final]])/Inventory[[#This Row],[24Final]]</f>
        <v>0.12517660356032778</v>
      </c>
    </row>
    <row r="230" spans="1:73" x14ac:dyDescent="0.3">
      <c r="A230" s="25">
        <v>2025</v>
      </c>
      <c r="B230" s="26" t="s">
        <v>1104</v>
      </c>
      <c r="C230" s="26">
        <f>LN(Inventory[[#This Row],[Acres]])</f>
        <v>-4.6051701859880909</v>
      </c>
      <c r="D230" s="25">
        <v>0.01</v>
      </c>
      <c r="E230" s="25">
        <v>612</v>
      </c>
      <c r="F230" s="26" t="s">
        <v>537</v>
      </c>
      <c r="G230" s="26" t="s">
        <v>28</v>
      </c>
      <c r="H230" s="26" t="s">
        <v>349</v>
      </c>
      <c r="I230" s="26" t="s">
        <v>538</v>
      </c>
      <c r="J230" s="26" t="s">
        <v>551</v>
      </c>
      <c r="K230" s="26" t="s">
        <v>415</v>
      </c>
      <c r="L230" s="26" t="s">
        <v>351</v>
      </c>
      <c r="M230" s="26" t="s">
        <v>323</v>
      </c>
      <c r="N230" s="26">
        <v>50</v>
      </c>
      <c r="O230" s="26">
        <f>2024-Inventory[[#This Row],[YrBlt]]</f>
        <v>49</v>
      </c>
      <c r="P230" s="26">
        <f>2024-Inventory[[#This Row],[EffYr]]</f>
        <v>45</v>
      </c>
      <c r="Q230" s="25">
        <v>1975</v>
      </c>
      <c r="R230" s="25">
        <v>1979</v>
      </c>
      <c r="S230" s="25">
        <v>612</v>
      </c>
      <c r="T230" s="25">
        <v>612</v>
      </c>
      <c r="U230" s="31"/>
      <c r="V230" s="31">
        <f>Inventory[[#This Row],[Bsmt]]-Inventory[[#This Row],[FnBsmt]]</f>
        <v>0</v>
      </c>
      <c r="W230" s="31"/>
      <c r="X230" s="27"/>
      <c r="Y230" s="27">
        <f>Inventory[[#This Row],[MainFn]]+Inventory[[#This Row],[UpprFn]]+Inventory[[#This Row],[FnBsmt]]+Inventory[[#This Row],[AddFn]]</f>
        <v>1224</v>
      </c>
      <c r="Z230" s="27">
        <v>1500</v>
      </c>
      <c r="AA230" s="25">
        <v>7</v>
      </c>
      <c r="AB230" s="27"/>
      <c r="AC230" s="27"/>
      <c r="AD230" s="27"/>
      <c r="AE230" s="27"/>
      <c r="AF230" s="27"/>
      <c r="AG230" s="27"/>
      <c r="AH230" s="27"/>
      <c r="AI230" s="25">
        <v>192863</v>
      </c>
      <c r="AJ230" s="25">
        <v>148505</v>
      </c>
      <c r="AK230" s="25">
        <v>0</v>
      </c>
      <c r="AL230" s="25">
        <v>184700</v>
      </c>
      <c r="AM230" s="25">
        <v>27700</v>
      </c>
      <c r="AN230" s="25">
        <v>157000</v>
      </c>
      <c r="AO230" s="25">
        <v>0</v>
      </c>
      <c r="AP230" s="25">
        <f>Lookups!$B$56*0</f>
        <v>0</v>
      </c>
      <c r="AQ230" s="25">
        <f>Lookups!$B$56*1</f>
        <v>89850.625589999996</v>
      </c>
      <c r="AR230" s="25">
        <f>Lookups!$B$57*Inventory[[#This Row],[LnAcres]]</f>
        <v>-145774.89265936252</v>
      </c>
      <c r="AS230" s="25">
        <f>VLOOKUP(Inventory[[#This Row],[Qlty]],Lookups!$A$62:$E$75,2,FALSE)</f>
        <v>21557.329055999999</v>
      </c>
      <c r="AT230" s="25">
        <f>VLOOKUP(Inventory[[#This Row],[Cnd]],Lookups!$A$76:$E$84,2,FALSE)</f>
        <v>160472.20319</v>
      </c>
      <c r="AU230" s="25">
        <f>Inventory[[#This Row],[EffAge]]*Lookups!$B$85</f>
        <v>-10037.0520225</v>
      </c>
      <c r="AV230" s="25">
        <f>Inventory[[#This Row],[MainFn]]*Lookups!$B$86</f>
        <v>30238.105964724</v>
      </c>
      <c r="AW230" s="25">
        <f>Inventory[[#This Row],[UpprFn]]*Lookups!$B$87</f>
        <v>27409.290790931998</v>
      </c>
      <c r="AX230" s="25">
        <f>Inventory[[#This Row],[AddFn]]*Lookups!$B$88</f>
        <v>0</v>
      </c>
      <c r="AY230" s="25">
        <f>Inventory[[#This Row],[Bsmt]]*Lookups!$B$89</f>
        <v>0</v>
      </c>
      <c r="AZ230" s="25">
        <f>Inventory[[#This Row],[Fixtures]]*Lookups!$B$90</f>
        <v>26544.1547364</v>
      </c>
      <c r="BA230" s="25">
        <f>Inventory[[#This Row],[WdDeck]]*Lookups!$B$91</f>
        <v>0</v>
      </c>
      <c r="BB230" s="25">
        <f>ROUND(Inventory[[#This Row],[25Det]],-2)</f>
        <v>0</v>
      </c>
      <c r="BC230" s="25">
        <f>ROUND(SUM(Inventory[[#This Row],[Mdl Qlty]:[Mdl WdDeck]])+Inventory[[#This Row],[Mdl Res Intercept]],-2)</f>
        <v>256200</v>
      </c>
      <c r="BD230" s="25">
        <f>ROUND(Inventory[[#This Row],[Mdl Land Intercept]]+Inventory[[#This Row],[Mdl LnAcres]],-2)</f>
        <v>-55900</v>
      </c>
      <c r="BE230" s="25">
        <f>Inventory[[#This Row],[Unadj Res Value]]+Inventory[[#This Row],[Unadj Det Value]]+Inventory[[#This Row],[Unadj Land Value]]</f>
        <v>200300</v>
      </c>
      <c r="BF230" s="36">
        <f>(Inventory[[#This Row],[Unadj Total Value]]-Inventory[[#This Row],[24Final]])/Inventory[[#This Row],[24Final]]</f>
        <v>8.4461288576069299E-2</v>
      </c>
      <c r="BG230" s="25">
        <f>VLOOKUP(Inventory[[#This Row],[Nbhd]],Lookups!$Q$2:$T$4,4,FALSE)</f>
        <v>0.99970000000000003</v>
      </c>
      <c r="BH230" s="25">
        <f>VLOOKUP(Inventory[[#This Row],[Qlty]],Lookups!$O$7:$R$21,4,FALSE)</f>
        <v>1.0067999999999999</v>
      </c>
      <c r="BI230" s="25">
        <f>VLOOKUP(Inventory[[#This Row],[Cnd]],Lookups!$T$7:$W$16,4,FALSE)</f>
        <v>0.99729999999999996</v>
      </c>
      <c r="BJ230" s="25">
        <f>VLOOKUP(Inventory[[#This Row],[LivArea Range]],Lookups!$T$25:$W$37,4,FALSE)</f>
        <v>1.0157</v>
      </c>
      <c r="BK230" s="25">
        <f>VLOOKUP(Inventory[[#This Row],[Decade]],Lookups!$O$25:$R$42,4,FALSE)</f>
        <v>0.96919999999999995</v>
      </c>
      <c r="BL230" s="25">
        <f>Inventory[[#This Row],[Nbhd Adj]]*0.95</f>
        <v>0.94971499999999998</v>
      </c>
      <c r="BM230" s="25">
        <f>Inventory[[#This Row],[Nbhd Adj]]*Inventory[[#This Row],[Quality Adj]]*Inventory[[#This Row],[Condition Adj]]*Inventory[[#This Row],[Living Area Adj]]*Inventory[[#This Row],[Decade Adj]]*0.95</f>
        <v>0.93873104601730073</v>
      </c>
      <c r="BN230" s="25">
        <f>ROUND(SUM(Inventory[[#This Row],[Mdl Qlty]:[Mdl WdDeck]])+Inventory[[#This Row],[Mdl Res Intercept]]*Inventory[[#This Row],[Res Adj ]],-2)</f>
        <v>256200</v>
      </c>
      <c r="BO230" s="25">
        <f>ROUND(Inventory[[#This Row],[25Det]]*Inventory[[#This Row],[Det/Nbhd Adj]],-2)</f>
        <v>0</v>
      </c>
      <c r="BP230" s="25">
        <f>Inventory[[#This Row],[Adjusted Res]]+Inventory[[#This Row],[Adj Det ]]</f>
        <v>256200</v>
      </c>
      <c r="BQ230" s="25">
        <f>ROUND((Inventory[[#This Row],[Mdl Land Intercept]]+Inventory[[#This Row],[Mdl LnAcres]])*Inventory[[#This Row],[Det/Nbhd Adj]],-2)</f>
        <v>-53100</v>
      </c>
      <c r="BR230" s="25">
        <f>Inventory[[#This Row],[Adjusted Impr Total]]+Inventory[[#This Row],[Adjusted Land Total]]</f>
        <v>203100</v>
      </c>
      <c r="BS230" s="36">
        <f>IFERROR((Inventory[[#This Row],[Adjusted Impr Total]]-Inventory[[#This Row],[24Bldg]])/Inventory[[#This Row],[24Bldg]],0)</f>
        <v>0.63184713375796175</v>
      </c>
      <c r="BT230" s="36">
        <f>(Inventory[[#This Row],[Adjusted Land Total]]-Inventory[[#This Row],[24Lnd]])/Inventory[[#This Row],[24Lnd]]</f>
        <v>-2.9169675090252709</v>
      </c>
      <c r="BU230" s="36">
        <f>(Inventory[[#This Row],[Adjusted Total]]-Inventory[[#This Row],[24Final]])/Inventory[[#This Row],[24Final]]</f>
        <v>9.962100703844072E-2</v>
      </c>
    </row>
    <row r="231" spans="1:73" x14ac:dyDescent="0.3">
      <c r="A231" s="25">
        <v>2025</v>
      </c>
      <c r="B231" s="26" t="s">
        <v>1108</v>
      </c>
      <c r="C231" s="26">
        <f>LN(Inventory[[#This Row],[Acres]])</f>
        <v>-4.6051701859880909</v>
      </c>
      <c r="D231" s="25">
        <v>0.01</v>
      </c>
      <c r="E231" s="25">
        <v>612</v>
      </c>
      <c r="F231" s="26" t="s">
        <v>537</v>
      </c>
      <c r="G231" s="26" t="s">
        <v>28</v>
      </c>
      <c r="H231" s="26" t="s">
        <v>349</v>
      </c>
      <c r="I231" s="26" t="s">
        <v>538</v>
      </c>
      <c r="J231" s="26" t="s">
        <v>551</v>
      </c>
      <c r="K231" s="26" t="s">
        <v>415</v>
      </c>
      <c r="L231" s="26" t="s">
        <v>351</v>
      </c>
      <c r="M231" s="26" t="s">
        <v>323</v>
      </c>
      <c r="N231" s="26">
        <v>50</v>
      </c>
      <c r="O231" s="26">
        <f>2024-Inventory[[#This Row],[YrBlt]]</f>
        <v>49</v>
      </c>
      <c r="P231" s="26">
        <f>2024-Inventory[[#This Row],[EffYr]]</f>
        <v>45</v>
      </c>
      <c r="Q231" s="25">
        <v>1975</v>
      </c>
      <c r="R231" s="25">
        <v>1979</v>
      </c>
      <c r="S231" s="25">
        <v>612</v>
      </c>
      <c r="T231" s="32">
        <v>612</v>
      </c>
      <c r="U231" s="27"/>
      <c r="V231" s="27">
        <f>Inventory[[#This Row],[Bsmt]]-Inventory[[#This Row],[FnBsmt]]</f>
        <v>0</v>
      </c>
      <c r="W231" s="27"/>
      <c r="X231" s="27"/>
      <c r="Y231" s="27">
        <f>Inventory[[#This Row],[MainFn]]+Inventory[[#This Row],[UpprFn]]+Inventory[[#This Row],[FnBsmt]]+Inventory[[#This Row],[AddFn]]</f>
        <v>1224</v>
      </c>
      <c r="Z231" s="27">
        <v>1500</v>
      </c>
      <c r="AA231" s="25">
        <v>7</v>
      </c>
      <c r="AB231" s="27"/>
      <c r="AC231" s="27"/>
      <c r="AD231" s="27"/>
      <c r="AE231" s="27"/>
      <c r="AF231" s="27"/>
      <c r="AG231" s="27"/>
      <c r="AH231" s="27"/>
      <c r="AI231" s="25">
        <v>192863</v>
      </c>
      <c r="AJ231" s="25">
        <v>148505</v>
      </c>
      <c r="AK231" s="25">
        <v>0</v>
      </c>
      <c r="AL231" s="25">
        <v>184700</v>
      </c>
      <c r="AM231" s="25">
        <v>27700</v>
      </c>
      <c r="AN231" s="25">
        <v>157000</v>
      </c>
      <c r="AO231" s="25">
        <v>0</v>
      </c>
      <c r="AP231" s="25">
        <f>Lookups!$B$56*0</f>
        <v>0</v>
      </c>
      <c r="AQ231" s="25">
        <f>Lookups!$B$56*1</f>
        <v>89850.625589999996</v>
      </c>
      <c r="AR231" s="25">
        <f>Lookups!$B$57*Inventory[[#This Row],[LnAcres]]</f>
        <v>-145774.89265936252</v>
      </c>
      <c r="AS231" s="25">
        <f>VLOOKUP(Inventory[[#This Row],[Qlty]],Lookups!$A$62:$E$75,2,FALSE)</f>
        <v>21557.329055999999</v>
      </c>
      <c r="AT231" s="25">
        <f>VLOOKUP(Inventory[[#This Row],[Cnd]],Lookups!$A$76:$E$84,2,FALSE)</f>
        <v>160472.20319</v>
      </c>
      <c r="AU231" s="25">
        <f>Inventory[[#This Row],[EffAge]]*Lookups!$B$85</f>
        <v>-10037.0520225</v>
      </c>
      <c r="AV231" s="25">
        <f>Inventory[[#This Row],[MainFn]]*Lookups!$B$86</f>
        <v>30238.105964724</v>
      </c>
      <c r="AW231" s="25">
        <f>Inventory[[#This Row],[UpprFn]]*Lookups!$B$87</f>
        <v>27409.290790931998</v>
      </c>
      <c r="AX231" s="25">
        <f>Inventory[[#This Row],[AddFn]]*Lookups!$B$88</f>
        <v>0</v>
      </c>
      <c r="AY231" s="25">
        <f>Inventory[[#This Row],[Bsmt]]*Lookups!$B$89</f>
        <v>0</v>
      </c>
      <c r="AZ231" s="25">
        <f>Inventory[[#This Row],[Fixtures]]*Lookups!$B$90</f>
        <v>26544.1547364</v>
      </c>
      <c r="BA231" s="25">
        <f>Inventory[[#This Row],[WdDeck]]*Lookups!$B$91</f>
        <v>0</v>
      </c>
      <c r="BB231" s="25">
        <f>ROUND(Inventory[[#This Row],[25Det]],-2)</f>
        <v>0</v>
      </c>
      <c r="BC231" s="25">
        <f>ROUND(SUM(Inventory[[#This Row],[Mdl Qlty]:[Mdl WdDeck]])+Inventory[[#This Row],[Mdl Res Intercept]],-2)</f>
        <v>256200</v>
      </c>
      <c r="BD231" s="25">
        <f>ROUND(Inventory[[#This Row],[Mdl Land Intercept]]+Inventory[[#This Row],[Mdl LnAcres]],-2)</f>
        <v>-55900</v>
      </c>
      <c r="BE231" s="25">
        <f>Inventory[[#This Row],[Unadj Res Value]]+Inventory[[#This Row],[Unadj Det Value]]+Inventory[[#This Row],[Unadj Land Value]]</f>
        <v>200300</v>
      </c>
      <c r="BF231" s="36">
        <f>(Inventory[[#This Row],[Unadj Total Value]]-Inventory[[#This Row],[24Final]])/Inventory[[#This Row],[24Final]]</f>
        <v>8.4461288576069299E-2</v>
      </c>
      <c r="BG231" s="25">
        <f>VLOOKUP(Inventory[[#This Row],[Nbhd]],Lookups!$Q$2:$T$4,4,FALSE)</f>
        <v>0.99970000000000003</v>
      </c>
      <c r="BH231" s="25">
        <f>VLOOKUP(Inventory[[#This Row],[Qlty]],Lookups!$O$7:$R$21,4,FALSE)</f>
        <v>1.0067999999999999</v>
      </c>
      <c r="BI231" s="25">
        <f>VLOOKUP(Inventory[[#This Row],[Cnd]],Lookups!$T$7:$W$16,4,FALSE)</f>
        <v>0.99729999999999996</v>
      </c>
      <c r="BJ231" s="25">
        <f>VLOOKUP(Inventory[[#This Row],[LivArea Range]],Lookups!$T$25:$W$37,4,FALSE)</f>
        <v>1.0157</v>
      </c>
      <c r="BK231" s="25">
        <f>VLOOKUP(Inventory[[#This Row],[Decade]],Lookups!$O$25:$R$42,4,FALSE)</f>
        <v>0.96919999999999995</v>
      </c>
      <c r="BL231" s="25">
        <f>Inventory[[#This Row],[Nbhd Adj]]*0.95</f>
        <v>0.94971499999999998</v>
      </c>
      <c r="BM231" s="25">
        <f>Inventory[[#This Row],[Nbhd Adj]]*Inventory[[#This Row],[Quality Adj]]*Inventory[[#This Row],[Condition Adj]]*Inventory[[#This Row],[Living Area Adj]]*Inventory[[#This Row],[Decade Adj]]*0.95</f>
        <v>0.93873104601730073</v>
      </c>
      <c r="BN231" s="25">
        <f>ROUND(SUM(Inventory[[#This Row],[Mdl Qlty]:[Mdl WdDeck]])+Inventory[[#This Row],[Mdl Res Intercept]]*Inventory[[#This Row],[Res Adj ]],-2)</f>
        <v>256200</v>
      </c>
      <c r="BO231" s="25">
        <f>ROUND(Inventory[[#This Row],[25Det]]*Inventory[[#This Row],[Det/Nbhd Adj]],-2)</f>
        <v>0</v>
      </c>
      <c r="BP231" s="25">
        <f>Inventory[[#This Row],[Adjusted Res]]+Inventory[[#This Row],[Adj Det ]]</f>
        <v>256200</v>
      </c>
      <c r="BQ231" s="25">
        <f>ROUND((Inventory[[#This Row],[Mdl Land Intercept]]+Inventory[[#This Row],[Mdl LnAcres]])*Inventory[[#This Row],[Det/Nbhd Adj]],-2)</f>
        <v>-53100</v>
      </c>
      <c r="BR231" s="25">
        <f>Inventory[[#This Row],[Adjusted Impr Total]]+Inventory[[#This Row],[Adjusted Land Total]]</f>
        <v>203100</v>
      </c>
      <c r="BS231" s="36">
        <f>IFERROR((Inventory[[#This Row],[Adjusted Impr Total]]-Inventory[[#This Row],[24Bldg]])/Inventory[[#This Row],[24Bldg]],0)</f>
        <v>0.63184713375796175</v>
      </c>
      <c r="BT231" s="36">
        <f>(Inventory[[#This Row],[Adjusted Land Total]]-Inventory[[#This Row],[24Lnd]])/Inventory[[#This Row],[24Lnd]]</f>
        <v>-2.9169675090252709</v>
      </c>
      <c r="BU231" s="36">
        <f>(Inventory[[#This Row],[Adjusted Total]]-Inventory[[#This Row],[24Final]])/Inventory[[#This Row],[24Final]]</f>
        <v>9.962100703844072E-2</v>
      </c>
    </row>
    <row r="232" spans="1:73" x14ac:dyDescent="0.3">
      <c r="A232" s="25">
        <v>2025</v>
      </c>
      <c r="B232" s="26" t="s">
        <v>1017</v>
      </c>
      <c r="C232" s="26">
        <f>LN(Inventory[[#This Row],[Acres]])</f>
        <v>-0.86750056770472306</v>
      </c>
      <c r="D232" s="25">
        <v>0.42</v>
      </c>
      <c r="E232" s="25">
        <v>18223</v>
      </c>
      <c r="F232" s="26" t="s">
        <v>537</v>
      </c>
      <c r="G232" s="26" t="s">
        <v>126</v>
      </c>
      <c r="H232" s="26" t="s">
        <v>349</v>
      </c>
      <c r="I232" s="26" t="s">
        <v>538</v>
      </c>
      <c r="J232" s="26" t="s">
        <v>539</v>
      </c>
      <c r="K232" s="26" t="s">
        <v>241</v>
      </c>
      <c r="L232" s="26" t="s">
        <v>351</v>
      </c>
      <c r="M232" s="26" t="s">
        <v>303</v>
      </c>
      <c r="N232" s="26">
        <v>50</v>
      </c>
      <c r="O232" s="26">
        <f>2024-Inventory[[#This Row],[YrBlt]]</f>
        <v>49</v>
      </c>
      <c r="P232" s="26">
        <f>2024-Inventory[[#This Row],[EffYr]]</f>
        <v>45</v>
      </c>
      <c r="Q232" s="25">
        <v>1975</v>
      </c>
      <c r="R232" s="25">
        <v>1979</v>
      </c>
      <c r="S232" s="25">
        <v>1720</v>
      </c>
      <c r="T232" s="27"/>
      <c r="U232" s="31"/>
      <c r="V232" s="31">
        <f>Inventory[[#This Row],[Bsmt]]-Inventory[[#This Row],[FnBsmt]]</f>
        <v>0</v>
      </c>
      <c r="W232" s="31"/>
      <c r="X232" s="27"/>
      <c r="Y232" s="27">
        <f>Inventory[[#This Row],[MainFn]]+Inventory[[#This Row],[UpprFn]]+Inventory[[#This Row],[FnBsmt]]+Inventory[[#This Row],[AddFn]]</f>
        <v>1720</v>
      </c>
      <c r="Z232" s="27">
        <v>2000</v>
      </c>
      <c r="AA232" s="25">
        <v>8</v>
      </c>
      <c r="AB232" s="32">
        <v>552</v>
      </c>
      <c r="AC232" s="27"/>
      <c r="AD232" s="32">
        <v>352</v>
      </c>
      <c r="AE232" s="27"/>
      <c r="AF232" s="27"/>
      <c r="AG232" s="27"/>
      <c r="AH232" s="27"/>
      <c r="AI232" s="25">
        <v>306098</v>
      </c>
      <c r="AJ232" s="25">
        <v>238756</v>
      </c>
      <c r="AK232" s="25">
        <v>0</v>
      </c>
      <c r="AL232" s="25">
        <v>370100</v>
      </c>
      <c r="AM232" s="25">
        <v>84300</v>
      </c>
      <c r="AN232" s="25">
        <v>285800</v>
      </c>
      <c r="AO232" s="25">
        <v>0</v>
      </c>
      <c r="AP232" s="25">
        <f>Lookups!$B$56*0</f>
        <v>0</v>
      </c>
      <c r="AQ232" s="25">
        <f>Lookups!$B$56*1</f>
        <v>89850.625589999996</v>
      </c>
      <c r="AR232" s="25">
        <f>Lookups!$B$57*Inventory[[#This Row],[LnAcres]]</f>
        <v>-27460.397125792362</v>
      </c>
      <c r="AS232" s="25">
        <f>VLOOKUP(Inventory[[#This Row],[Qlty]],Lookups!$A$62:$E$75,2,FALSE)</f>
        <v>21557.329055999999</v>
      </c>
      <c r="AT232" s="25">
        <f>VLOOKUP(Inventory[[#This Row],[Cnd]],Lookups!$A$76:$E$84,2,FALSE)</f>
        <v>197752.34721000001</v>
      </c>
      <c r="AU232" s="25">
        <f>Inventory[[#This Row],[EffAge]]*Lookups!$B$85</f>
        <v>-10037.0520225</v>
      </c>
      <c r="AV232" s="25">
        <f>Inventory[[#This Row],[MainFn]]*Lookups!$B$86</f>
        <v>84982.912188440008</v>
      </c>
      <c r="AW232" s="25">
        <f>Inventory[[#This Row],[UpprFn]]*Lookups!$B$87</f>
        <v>0</v>
      </c>
      <c r="AX232" s="25">
        <f>Inventory[[#This Row],[AddFn]]*Lookups!$B$88</f>
        <v>0</v>
      </c>
      <c r="AY232" s="25">
        <f>Inventory[[#This Row],[Bsmt]]*Lookups!$B$89</f>
        <v>0</v>
      </c>
      <c r="AZ232" s="25">
        <f>Inventory[[#This Row],[Fixtures]]*Lookups!$B$90</f>
        <v>30336.176841600001</v>
      </c>
      <c r="BA232" s="25">
        <f>Inventory[[#This Row],[WdDeck]]*Lookups!$B$91</f>
        <v>11720.021377152001</v>
      </c>
      <c r="BB232" s="25">
        <f>ROUND(Inventory[[#This Row],[25Det]],-2)</f>
        <v>0</v>
      </c>
      <c r="BC232" s="25">
        <f>ROUND(SUM(Inventory[[#This Row],[Mdl Qlty]:[Mdl WdDeck]])+Inventory[[#This Row],[Mdl Res Intercept]],-2)</f>
        <v>336300</v>
      </c>
      <c r="BD232" s="25">
        <f>ROUND(Inventory[[#This Row],[Mdl Land Intercept]]+Inventory[[#This Row],[Mdl LnAcres]],-2)</f>
        <v>62400</v>
      </c>
      <c r="BE232" s="25">
        <f>Inventory[[#This Row],[Unadj Res Value]]+Inventory[[#This Row],[Unadj Det Value]]+Inventory[[#This Row],[Unadj Land Value]]</f>
        <v>398700</v>
      </c>
      <c r="BF232" s="36">
        <f>(Inventory[[#This Row],[Unadj Total Value]]-Inventory[[#This Row],[24Final]])/Inventory[[#This Row],[24Final]]</f>
        <v>7.7276411780599838E-2</v>
      </c>
      <c r="BG232" s="25">
        <f>VLOOKUP(Inventory[[#This Row],[Nbhd]],Lookups!$Q$2:$T$4,4,FALSE)</f>
        <v>0.99970000000000003</v>
      </c>
      <c r="BH232" s="25">
        <f>VLOOKUP(Inventory[[#This Row],[Qlty]],Lookups!$O$7:$R$21,4,FALSE)</f>
        <v>1.0067999999999999</v>
      </c>
      <c r="BI232" s="25">
        <f>VLOOKUP(Inventory[[#This Row],[Cnd]],Lookups!$T$7:$W$16,4,FALSE)</f>
        <v>0.99650000000000005</v>
      </c>
      <c r="BJ232" s="25">
        <f>VLOOKUP(Inventory[[#This Row],[LivArea Range]],Lookups!$T$25:$W$37,4,FALSE)</f>
        <v>1.0093000000000001</v>
      </c>
      <c r="BK232" s="25">
        <f>VLOOKUP(Inventory[[#This Row],[Decade]],Lookups!$O$25:$R$42,4,FALSE)</f>
        <v>0.96919999999999995</v>
      </c>
      <c r="BL232" s="25">
        <f>Inventory[[#This Row],[Nbhd Adj]]*0.95</f>
        <v>0.94971499999999998</v>
      </c>
      <c r="BM232" s="25">
        <f>Inventory[[#This Row],[Nbhd Adj]]*Inventory[[#This Row],[Quality Adj]]*Inventory[[#This Row],[Condition Adj]]*Inventory[[#This Row],[Living Area Adj]]*Inventory[[#This Row],[Decade Adj]]*0.95</f>
        <v>0.93206775986277757</v>
      </c>
      <c r="BN232" s="25">
        <f>ROUND(SUM(Inventory[[#This Row],[Mdl Qlty]:[Mdl WdDeck]])+Inventory[[#This Row],[Mdl Res Intercept]]*Inventory[[#This Row],[Res Adj ]],-2)</f>
        <v>336300</v>
      </c>
      <c r="BO232" s="25">
        <f>ROUND(Inventory[[#This Row],[25Det]]*Inventory[[#This Row],[Det/Nbhd Adj]],-2)</f>
        <v>0</v>
      </c>
      <c r="BP232" s="25">
        <f>Inventory[[#This Row],[Adjusted Res]]+Inventory[[#This Row],[Adj Det ]]</f>
        <v>336300</v>
      </c>
      <c r="BQ232" s="25">
        <f>ROUND((Inventory[[#This Row],[Mdl Land Intercept]]+Inventory[[#This Row],[Mdl LnAcres]])*Inventory[[#This Row],[Det/Nbhd Adj]],-2)</f>
        <v>59300</v>
      </c>
      <c r="BR232" s="25">
        <f>Inventory[[#This Row],[Adjusted Impr Total]]+Inventory[[#This Row],[Adjusted Land Total]]</f>
        <v>395600</v>
      </c>
      <c r="BS232" s="36">
        <f>IFERROR((Inventory[[#This Row],[Adjusted Impr Total]]-Inventory[[#This Row],[24Bldg]])/Inventory[[#This Row],[24Bldg]],0)</f>
        <v>0.17669699090272917</v>
      </c>
      <c r="BT232" s="36">
        <f>(Inventory[[#This Row],[Adjusted Land Total]]-Inventory[[#This Row],[24Lnd]])/Inventory[[#This Row],[24Lnd]]</f>
        <v>-0.29655990510083036</v>
      </c>
      <c r="BU232" s="36">
        <f>(Inventory[[#This Row],[Adjusted Total]]-Inventory[[#This Row],[24Final]])/Inventory[[#This Row],[24Final]]</f>
        <v>6.8900297216968387E-2</v>
      </c>
    </row>
    <row r="233" spans="1:73" x14ac:dyDescent="0.3">
      <c r="A233" s="25">
        <v>2025</v>
      </c>
      <c r="B233" s="26" t="s">
        <v>2310</v>
      </c>
      <c r="C233" s="26">
        <f>LN(Inventory[[#This Row],[Acres]])</f>
        <v>-1.7147984280919266</v>
      </c>
      <c r="D233" s="25">
        <v>0.18</v>
      </c>
      <c r="E233" s="25">
        <v>8010</v>
      </c>
      <c r="F233" s="26" t="s">
        <v>537</v>
      </c>
      <c r="G233" s="26" t="s">
        <v>126</v>
      </c>
      <c r="H233" s="26" t="s">
        <v>349</v>
      </c>
      <c r="I233" s="26" t="s">
        <v>538</v>
      </c>
      <c r="J233" s="26" t="s">
        <v>539</v>
      </c>
      <c r="K233" s="26" t="s">
        <v>5</v>
      </c>
      <c r="L233" s="26" t="s">
        <v>148</v>
      </c>
      <c r="M233" s="26" t="s">
        <v>323</v>
      </c>
      <c r="N233" s="26">
        <v>50</v>
      </c>
      <c r="O233" s="26">
        <f>2024-Inventory[[#This Row],[YrBlt]]</f>
        <v>49</v>
      </c>
      <c r="P233" s="26">
        <f>2024-Inventory[[#This Row],[EffYr]]</f>
        <v>45</v>
      </c>
      <c r="Q233" s="25">
        <v>1975</v>
      </c>
      <c r="R233" s="25">
        <v>1979</v>
      </c>
      <c r="S233" s="25">
        <v>1352</v>
      </c>
      <c r="T233" s="27"/>
      <c r="U233" s="25">
        <v>624</v>
      </c>
      <c r="V233" s="25">
        <f>Inventory[[#This Row],[Bsmt]]-Inventory[[#This Row],[FnBsmt]]</f>
        <v>0</v>
      </c>
      <c r="W233" s="25">
        <v>624</v>
      </c>
      <c r="X233" s="27"/>
      <c r="Y233" s="27">
        <f>Inventory[[#This Row],[MainFn]]+Inventory[[#This Row],[UpprFn]]+Inventory[[#This Row],[FnBsmt]]+Inventory[[#This Row],[AddFn]]</f>
        <v>1976</v>
      </c>
      <c r="Z233" s="27">
        <v>2000</v>
      </c>
      <c r="AA233" s="25">
        <v>10</v>
      </c>
      <c r="AB233" s="27"/>
      <c r="AC233" s="32">
        <v>624</v>
      </c>
      <c r="AD233" s="25">
        <v>192</v>
      </c>
      <c r="AE233" s="27"/>
      <c r="AF233" s="27"/>
      <c r="AG233" s="27"/>
      <c r="AH233" s="27"/>
      <c r="AI233" s="25">
        <v>408256</v>
      </c>
      <c r="AJ233" s="25">
        <v>314357</v>
      </c>
      <c r="AK233" s="25">
        <v>0</v>
      </c>
      <c r="AL233" s="25">
        <v>344500</v>
      </c>
      <c r="AM233" s="25">
        <v>54700</v>
      </c>
      <c r="AN233" s="25">
        <v>289800</v>
      </c>
      <c r="AO233" s="25">
        <v>0</v>
      </c>
      <c r="AP233" s="25">
        <f>Lookups!$B$56*0</f>
        <v>0</v>
      </c>
      <c r="AQ233" s="25">
        <f>Lookups!$B$56*1</f>
        <v>89850.625589999996</v>
      </c>
      <c r="AR233" s="25">
        <f>Lookups!$B$57*Inventory[[#This Row],[LnAcres]]</f>
        <v>-54281.285314520763</v>
      </c>
      <c r="AS233" s="25">
        <f>VLOOKUP(Inventory[[#This Row],[Qlty]],Lookups!$A$62:$E$75,2,FALSE)</f>
        <v>44121.038090000002</v>
      </c>
      <c r="AT233" s="25">
        <f>VLOOKUP(Inventory[[#This Row],[Cnd]],Lookups!$A$76:$E$84,2,FALSE)</f>
        <v>160472.20319</v>
      </c>
      <c r="AU233" s="25">
        <f>Inventory[[#This Row],[EffAge]]*Lookups!$B$85</f>
        <v>-10037.0520225</v>
      </c>
      <c r="AV233" s="25">
        <f>Inventory[[#This Row],[MainFn]]*Lookups!$B$86</f>
        <v>66800.521673704003</v>
      </c>
      <c r="AW233" s="25">
        <f>Inventory[[#This Row],[UpprFn]]*Lookups!$B$87</f>
        <v>0</v>
      </c>
      <c r="AX233" s="25">
        <f>Inventory[[#This Row],[AddFn]]*Lookups!$B$88</f>
        <v>0</v>
      </c>
      <c r="AY233" s="25">
        <f>Inventory[[#This Row],[Bsmt]]*Lookups!$B$89</f>
        <v>18147.102634127998</v>
      </c>
      <c r="AZ233" s="25">
        <f>Inventory[[#This Row],[Fixtures]]*Lookups!$B$90</f>
        <v>37920.221052000001</v>
      </c>
      <c r="BA233" s="25">
        <f>Inventory[[#This Row],[WdDeck]]*Lookups!$B$91</f>
        <v>6392.7389329920006</v>
      </c>
      <c r="BB233" s="25">
        <f>ROUND(Inventory[[#This Row],[25Det]],-2)</f>
        <v>0</v>
      </c>
      <c r="BC233" s="25">
        <f>ROUND(SUM(Inventory[[#This Row],[Mdl Qlty]:[Mdl WdDeck]])+Inventory[[#This Row],[Mdl Res Intercept]],-2)</f>
        <v>323800</v>
      </c>
      <c r="BD233" s="25">
        <f>ROUND(Inventory[[#This Row],[Mdl Land Intercept]]+Inventory[[#This Row],[Mdl LnAcres]],-2)</f>
        <v>35600</v>
      </c>
      <c r="BE233" s="25">
        <f>Inventory[[#This Row],[Unadj Res Value]]+Inventory[[#This Row],[Unadj Det Value]]+Inventory[[#This Row],[Unadj Land Value]]</f>
        <v>359400</v>
      </c>
      <c r="BF233" s="36">
        <f>(Inventory[[#This Row],[Unadj Total Value]]-Inventory[[#This Row],[24Final]])/Inventory[[#This Row],[24Final]]</f>
        <v>4.3251088534107404E-2</v>
      </c>
      <c r="BG233" s="25">
        <f>VLOOKUP(Inventory[[#This Row],[Nbhd]],Lookups!$Q$2:$T$4,4,FALSE)</f>
        <v>0.99970000000000003</v>
      </c>
      <c r="BH233" s="25">
        <f>VLOOKUP(Inventory[[#This Row],[Qlty]],Lookups!$O$7:$R$21,4,FALSE)</f>
        <v>0.98050000000000004</v>
      </c>
      <c r="BI233" s="25">
        <f>VLOOKUP(Inventory[[#This Row],[Cnd]],Lookups!$T$7:$W$16,4,FALSE)</f>
        <v>0.99729999999999996</v>
      </c>
      <c r="BJ233" s="25">
        <f>VLOOKUP(Inventory[[#This Row],[LivArea Range]],Lookups!$T$25:$W$37,4,FALSE)</f>
        <v>1.0093000000000001</v>
      </c>
      <c r="BK233" s="25">
        <f>VLOOKUP(Inventory[[#This Row],[Decade]],Lookups!$O$25:$R$42,4,FALSE)</f>
        <v>0.96919999999999995</v>
      </c>
      <c r="BL233" s="25">
        <f>Inventory[[#This Row],[Nbhd Adj]]*0.95</f>
        <v>0.94971499999999998</v>
      </c>
      <c r="BM233" s="25">
        <f>Inventory[[#This Row],[Nbhd Adj]]*Inventory[[#This Row],[Quality Adj]]*Inventory[[#This Row],[Condition Adj]]*Inventory[[#This Row],[Living Area Adj]]*Inventory[[#This Row],[Decade Adj]]*0.95</f>
        <v>0.90844866943059244</v>
      </c>
      <c r="BN233" s="25">
        <f>ROUND(SUM(Inventory[[#This Row],[Mdl Qlty]:[Mdl WdDeck]])+Inventory[[#This Row],[Mdl Res Intercept]]*Inventory[[#This Row],[Res Adj ]],-2)</f>
        <v>323800</v>
      </c>
      <c r="BO233" s="25">
        <f>ROUND(Inventory[[#This Row],[25Det]]*Inventory[[#This Row],[Det/Nbhd Adj]],-2)</f>
        <v>0</v>
      </c>
      <c r="BP233" s="25">
        <f>Inventory[[#This Row],[Adjusted Res]]+Inventory[[#This Row],[Adj Det ]]</f>
        <v>323800</v>
      </c>
      <c r="BQ233" s="25">
        <f>ROUND((Inventory[[#This Row],[Mdl Land Intercept]]+Inventory[[#This Row],[Mdl LnAcres]])*Inventory[[#This Row],[Det/Nbhd Adj]],-2)</f>
        <v>33800</v>
      </c>
      <c r="BR233" s="25">
        <f>Inventory[[#This Row],[Adjusted Impr Total]]+Inventory[[#This Row],[Adjusted Land Total]]</f>
        <v>357600</v>
      </c>
      <c r="BS233" s="36">
        <f>IFERROR((Inventory[[#This Row],[Adjusted Impr Total]]-Inventory[[#This Row],[24Bldg]])/Inventory[[#This Row],[24Bldg]],0)</f>
        <v>0.11732229123533472</v>
      </c>
      <c r="BT233" s="36">
        <f>(Inventory[[#This Row],[Adjusted Land Total]]-Inventory[[#This Row],[24Lnd]])/Inventory[[#This Row],[24Lnd]]</f>
        <v>-0.38208409506398539</v>
      </c>
      <c r="BU233" s="36">
        <f>(Inventory[[#This Row],[Adjusted Total]]-Inventory[[#This Row],[24Final]])/Inventory[[#This Row],[24Final]]</f>
        <v>3.8026124818577652E-2</v>
      </c>
    </row>
    <row r="234" spans="1:73" x14ac:dyDescent="0.3">
      <c r="A234" s="25">
        <v>2025</v>
      </c>
      <c r="B234" s="26" t="s">
        <v>1015</v>
      </c>
      <c r="C234" s="26">
        <f>LN(Inventory[[#This Row],[Acres]])</f>
        <v>-1.3862943611198906</v>
      </c>
      <c r="D234" s="25">
        <v>0.25</v>
      </c>
      <c r="E234" s="25">
        <v>10856</v>
      </c>
      <c r="F234" s="26" t="s">
        <v>537</v>
      </c>
      <c r="G234" s="26" t="s">
        <v>126</v>
      </c>
      <c r="H234" s="26" t="s">
        <v>349</v>
      </c>
      <c r="I234" s="26" t="s">
        <v>538</v>
      </c>
      <c r="J234" s="26" t="s">
        <v>539</v>
      </c>
      <c r="K234" s="26" t="s">
        <v>241</v>
      </c>
      <c r="L234" s="26" t="s">
        <v>351</v>
      </c>
      <c r="M234" s="26" t="s">
        <v>323</v>
      </c>
      <c r="N234" s="26">
        <v>50</v>
      </c>
      <c r="O234" s="26">
        <f>2024-Inventory[[#This Row],[YrBlt]]</f>
        <v>49</v>
      </c>
      <c r="P234" s="26">
        <f>2024-Inventory[[#This Row],[EffYr]]</f>
        <v>45</v>
      </c>
      <c r="Q234" s="25">
        <v>1975</v>
      </c>
      <c r="R234" s="25">
        <v>1979</v>
      </c>
      <c r="S234" s="25">
        <v>1152</v>
      </c>
      <c r="T234" s="27"/>
      <c r="U234" s="31"/>
      <c r="V234" s="31">
        <f>Inventory[[#This Row],[Bsmt]]-Inventory[[#This Row],[FnBsmt]]</f>
        <v>0</v>
      </c>
      <c r="W234" s="31"/>
      <c r="X234" s="27"/>
      <c r="Y234" s="27">
        <f>Inventory[[#This Row],[MainFn]]+Inventory[[#This Row],[UpprFn]]+Inventory[[#This Row],[FnBsmt]]+Inventory[[#This Row],[AddFn]]</f>
        <v>1152</v>
      </c>
      <c r="Z234" s="27">
        <v>1500</v>
      </c>
      <c r="AA234" s="25">
        <v>7</v>
      </c>
      <c r="AB234" s="32">
        <v>480</v>
      </c>
      <c r="AC234" s="27"/>
      <c r="AD234" s="27"/>
      <c r="AE234" s="27"/>
      <c r="AF234" s="27"/>
      <c r="AG234" s="27"/>
      <c r="AH234" s="27"/>
      <c r="AI234" s="25">
        <v>209433</v>
      </c>
      <c r="AJ234" s="25">
        <v>161263</v>
      </c>
      <c r="AK234" s="25">
        <v>0</v>
      </c>
      <c r="AL234" s="25">
        <v>290300</v>
      </c>
      <c r="AM234" s="25">
        <v>66200</v>
      </c>
      <c r="AN234" s="25">
        <v>224100</v>
      </c>
      <c r="AO234" s="25">
        <v>0</v>
      </c>
      <c r="AP234" s="25">
        <f>Lookups!$B$56*0</f>
        <v>0</v>
      </c>
      <c r="AQ234" s="25">
        <f>Lookups!$B$56*1</f>
        <v>89850.625589999996</v>
      </c>
      <c r="AR234" s="25">
        <f>Lookups!$B$57*Inventory[[#This Row],[LnAcres]]</f>
        <v>-43882.615305165229</v>
      </c>
      <c r="AS234" s="25">
        <f>VLOOKUP(Inventory[[#This Row],[Qlty]],Lookups!$A$62:$E$75,2,FALSE)</f>
        <v>21557.329055999999</v>
      </c>
      <c r="AT234" s="25">
        <f>VLOOKUP(Inventory[[#This Row],[Cnd]],Lookups!$A$76:$E$84,2,FALSE)</f>
        <v>160472.20319</v>
      </c>
      <c r="AU234" s="25">
        <f>Inventory[[#This Row],[EffAge]]*Lookups!$B$85</f>
        <v>-10037.0520225</v>
      </c>
      <c r="AV234" s="25">
        <f>Inventory[[#This Row],[MainFn]]*Lookups!$B$86</f>
        <v>56918.787698304004</v>
      </c>
      <c r="AW234" s="25">
        <f>Inventory[[#This Row],[UpprFn]]*Lookups!$B$87</f>
        <v>0</v>
      </c>
      <c r="AX234" s="25">
        <f>Inventory[[#This Row],[AddFn]]*Lookups!$B$88</f>
        <v>0</v>
      </c>
      <c r="AY234" s="25">
        <f>Inventory[[#This Row],[Bsmt]]*Lookups!$B$89</f>
        <v>0</v>
      </c>
      <c r="AZ234" s="25">
        <f>Inventory[[#This Row],[Fixtures]]*Lookups!$B$90</f>
        <v>26544.1547364</v>
      </c>
      <c r="BA234" s="25">
        <f>Inventory[[#This Row],[WdDeck]]*Lookups!$B$91</f>
        <v>0</v>
      </c>
      <c r="BB234" s="25">
        <f>ROUND(Inventory[[#This Row],[25Det]],-2)</f>
        <v>0</v>
      </c>
      <c r="BC234" s="25">
        <f>ROUND(SUM(Inventory[[#This Row],[Mdl Qlty]:[Mdl WdDeck]])+Inventory[[#This Row],[Mdl Res Intercept]],-2)</f>
        <v>255500</v>
      </c>
      <c r="BD234" s="25">
        <f>ROUND(Inventory[[#This Row],[Mdl Land Intercept]]+Inventory[[#This Row],[Mdl LnAcres]],-2)</f>
        <v>46000</v>
      </c>
      <c r="BE234" s="25">
        <f>Inventory[[#This Row],[Unadj Res Value]]+Inventory[[#This Row],[Unadj Det Value]]+Inventory[[#This Row],[Unadj Land Value]]</f>
        <v>301500</v>
      </c>
      <c r="BF234" s="36">
        <f>(Inventory[[#This Row],[Unadj Total Value]]-Inventory[[#This Row],[24Final]])/Inventory[[#This Row],[24Final]]</f>
        <v>3.8580778504994834E-2</v>
      </c>
      <c r="BG234" s="25">
        <f>VLOOKUP(Inventory[[#This Row],[Nbhd]],Lookups!$Q$2:$T$4,4,FALSE)</f>
        <v>0.99970000000000003</v>
      </c>
      <c r="BH234" s="25">
        <f>VLOOKUP(Inventory[[#This Row],[Qlty]],Lookups!$O$7:$R$21,4,FALSE)</f>
        <v>1.0067999999999999</v>
      </c>
      <c r="BI234" s="25">
        <f>VLOOKUP(Inventory[[#This Row],[Cnd]],Lookups!$T$7:$W$16,4,FALSE)</f>
        <v>0.99729999999999996</v>
      </c>
      <c r="BJ234" s="25">
        <f>VLOOKUP(Inventory[[#This Row],[LivArea Range]],Lookups!$T$25:$W$37,4,FALSE)</f>
        <v>1.0157</v>
      </c>
      <c r="BK234" s="25">
        <f>VLOOKUP(Inventory[[#This Row],[Decade]],Lookups!$O$25:$R$42,4,FALSE)</f>
        <v>0.96919999999999995</v>
      </c>
      <c r="BL234" s="25">
        <f>Inventory[[#This Row],[Nbhd Adj]]*0.95</f>
        <v>0.94971499999999998</v>
      </c>
      <c r="BM234" s="25">
        <f>Inventory[[#This Row],[Nbhd Adj]]*Inventory[[#This Row],[Quality Adj]]*Inventory[[#This Row],[Condition Adj]]*Inventory[[#This Row],[Living Area Adj]]*Inventory[[#This Row],[Decade Adj]]*0.95</f>
        <v>0.93873104601730073</v>
      </c>
      <c r="BN234" s="25">
        <f>ROUND(SUM(Inventory[[#This Row],[Mdl Qlty]:[Mdl WdDeck]])+Inventory[[#This Row],[Mdl Res Intercept]]*Inventory[[#This Row],[Res Adj ]],-2)</f>
        <v>255500</v>
      </c>
      <c r="BO234" s="25">
        <f>ROUND(Inventory[[#This Row],[25Det]]*Inventory[[#This Row],[Det/Nbhd Adj]],-2)</f>
        <v>0</v>
      </c>
      <c r="BP234" s="25">
        <f>Inventory[[#This Row],[Adjusted Res]]+Inventory[[#This Row],[Adj Det ]]</f>
        <v>255500</v>
      </c>
      <c r="BQ234" s="25">
        <f>ROUND((Inventory[[#This Row],[Mdl Land Intercept]]+Inventory[[#This Row],[Mdl LnAcres]])*Inventory[[#This Row],[Det/Nbhd Adj]],-2)</f>
        <v>43700</v>
      </c>
      <c r="BR234" s="25">
        <f>Inventory[[#This Row],[Adjusted Impr Total]]+Inventory[[#This Row],[Adjusted Land Total]]</f>
        <v>299200</v>
      </c>
      <c r="BS234" s="36">
        <f>IFERROR((Inventory[[#This Row],[Adjusted Impr Total]]-Inventory[[#This Row],[24Bldg]])/Inventory[[#This Row],[24Bldg]],0)</f>
        <v>0.14011601963409193</v>
      </c>
      <c r="BT234" s="36">
        <f>(Inventory[[#This Row],[Adjusted Land Total]]-Inventory[[#This Row],[24Lnd]])/Inventory[[#This Row],[24Lnd]]</f>
        <v>-0.33987915407854985</v>
      </c>
      <c r="BU234" s="36">
        <f>(Inventory[[#This Row],[Adjusted Total]]-Inventory[[#This Row],[24Final]])/Inventory[[#This Row],[24Final]]</f>
        <v>3.0657940062004823E-2</v>
      </c>
    </row>
    <row r="235" spans="1:73" x14ac:dyDescent="0.3">
      <c r="A235" s="25">
        <v>2025</v>
      </c>
      <c r="B235" s="26" t="s">
        <v>1014</v>
      </c>
      <c r="C235" s="26">
        <f>LN(Inventory[[#This Row],[Acres]])</f>
        <v>-1.3862943611198906</v>
      </c>
      <c r="D235" s="25">
        <v>0.25</v>
      </c>
      <c r="E235" s="25">
        <v>10884</v>
      </c>
      <c r="F235" s="26" t="s">
        <v>537</v>
      </c>
      <c r="G235" s="26" t="s">
        <v>126</v>
      </c>
      <c r="H235" s="26" t="s">
        <v>349</v>
      </c>
      <c r="I235" s="26" t="s">
        <v>538</v>
      </c>
      <c r="J235" s="26" t="s">
        <v>539</v>
      </c>
      <c r="K235" s="26" t="s">
        <v>5</v>
      </c>
      <c r="L235" s="26" t="s">
        <v>302</v>
      </c>
      <c r="M235" s="26" t="s">
        <v>323</v>
      </c>
      <c r="N235" s="26">
        <v>50</v>
      </c>
      <c r="O235" s="26">
        <f>2024-Inventory[[#This Row],[YrBlt]]</f>
        <v>49</v>
      </c>
      <c r="P235" s="26">
        <f>2024-Inventory[[#This Row],[EffYr]]</f>
        <v>45</v>
      </c>
      <c r="Q235" s="25">
        <v>1975</v>
      </c>
      <c r="R235" s="25">
        <v>1979</v>
      </c>
      <c r="S235" s="25">
        <v>1348</v>
      </c>
      <c r="T235" s="27"/>
      <c r="U235" s="25">
        <v>676</v>
      </c>
      <c r="V235" s="25">
        <f>Inventory[[#This Row],[Bsmt]]-Inventory[[#This Row],[FnBsmt]]</f>
        <v>0</v>
      </c>
      <c r="W235" s="25">
        <v>676</v>
      </c>
      <c r="X235" s="27"/>
      <c r="Y235" s="27">
        <f>Inventory[[#This Row],[MainFn]]+Inventory[[#This Row],[UpprFn]]+Inventory[[#This Row],[FnBsmt]]+Inventory[[#This Row],[AddFn]]</f>
        <v>2024</v>
      </c>
      <c r="Z235" s="27">
        <v>2500</v>
      </c>
      <c r="AA235" s="25">
        <v>8</v>
      </c>
      <c r="AB235" s="25">
        <v>676</v>
      </c>
      <c r="AC235" s="32">
        <v>572</v>
      </c>
      <c r="AD235" s="25">
        <v>160</v>
      </c>
      <c r="AE235" s="27"/>
      <c r="AF235" s="27"/>
      <c r="AG235" s="27"/>
      <c r="AH235" s="27"/>
      <c r="AI235" s="25">
        <v>381089</v>
      </c>
      <c r="AJ235" s="25">
        <v>293439</v>
      </c>
      <c r="AK235" s="25">
        <v>0</v>
      </c>
      <c r="AL235" s="25">
        <v>338000</v>
      </c>
      <c r="AM235" s="25">
        <v>66200</v>
      </c>
      <c r="AN235" s="25">
        <v>271800</v>
      </c>
      <c r="AO235" s="25">
        <v>0</v>
      </c>
      <c r="AP235" s="25">
        <f>Lookups!$B$56*0</f>
        <v>0</v>
      </c>
      <c r="AQ235" s="25">
        <f>Lookups!$B$56*1</f>
        <v>89850.625589999996</v>
      </c>
      <c r="AR235" s="25">
        <f>Lookups!$B$57*Inventory[[#This Row],[LnAcres]]</f>
        <v>-43882.615305165229</v>
      </c>
      <c r="AS235" s="25">
        <f>VLOOKUP(Inventory[[#This Row],[Qlty]],Lookups!$A$62:$E$75,2,FALSE)</f>
        <v>29814.093161000001</v>
      </c>
      <c r="AT235" s="25">
        <f>VLOOKUP(Inventory[[#This Row],[Cnd]],Lookups!$A$76:$E$84,2,FALSE)</f>
        <v>160472.20319</v>
      </c>
      <c r="AU235" s="25">
        <f>Inventory[[#This Row],[EffAge]]*Lookups!$B$85</f>
        <v>-10037.0520225</v>
      </c>
      <c r="AV235" s="25">
        <f>Inventory[[#This Row],[MainFn]]*Lookups!$B$86</f>
        <v>66602.886994196</v>
      </c>
      <c r="AW235" s="25">
        <f>Inventory[[#This Row],[UpprFn]]*Lookups!$B$87</f>
        <v>0</v>
      </c>
      <c r="AX235" s="25">
        <f>Inventory[[#This Row],[AddFn]]*Lookups!$B$88</f>
        <v>0</v>
      </c>
      <c r="AY235" s="25">
        <f>Inventory[[#This Row],[Bsmt]]*Lookups!$B$89</f>
        <v>19659.361186972001</v>
      </c>
      <c r="AZ235" s="25">
        <f>Inventory[[#This Row],[Fixtures]]*Lookups!$B$90</f>
        <v>30336.176841600001</v>
      </c>
      <c r="BA235" s="25">
        <f>Inventory[[#This Row],[WdDeck]]*Lookups!$B$91</f>
        <v>5327.2824441600005</v>
      </c>
      <c r="BB235" s="25">
        <f>ROUND(Inventory[[#This Row],[25Det]],-2)</f>
        <v>0</v>
      </c>
      <c r="BC235" s="25">
        <f>ROUND(SUM(Inventory[[#This Row],[Mdl Qlty]:[Mdl WdDeck]])+Inventory[[#This Row],[Mdl Res Intercept]],-2)</f>
        <v>302200</v>
      </c>
      <c r="BD235" s="25">
        <f>ROUND(Inventory[[#This Row],[Mdl Land Intercept]]+Inventory[[#This Row],[Mdl LnAcres]],-2)</f>
        <v>46000</v>
      </c>
      <c r="BE235" s="25">
        <f>Inventory[[#This Row],[Unadj Res Value]]+Inventory[[#This Row],[Unadj Det Value]]+Inventory[[#This Row],[Unadj Land Value]]</f>
        <v>348200</v>
      </c>
      <c r="BF235" s="36">
        <f>(Inventory[[#This Row],[Unadj Total Value]]-Inventory[[#This Row],[24Final]])/Inventory[[#This Row],[24Final]]</f>
        <v>3.0177514792899408E-2</v>
      </c>
      <c r="BG235" s="25">
        <f>VLOOKUP(Inventory[[#This Row],[Nbhd]],Lookups!$Q$2:$T$4,4,FALSE)</f>
        <v>0.99970000000000003</v>
      </c>
      <c r="BH235" s="25">
        <f>VLOOKUP(Inventory[[#This Row],[Qlty]],Lookups!$O$7:$R$21,4,FALSE)</f>
        <v>1.0088999999999999</v>
      </c>
      <c r="BI235" s="25">
        <f>VLOOKUP(Inventory[[#This Row],[Cnd]],Lookups!$T$7:$W$16,4,FALSE)</f>
        <v>0.99729999999999996</v>
      </c>
      <c r="BJ235" s="25">
        <f>VLOOKUP(Inventory[[#This Row],[LivArea Range]],Lookups!$T$25:$W$37,4,FALSE)</f>
        <v>0.98919999999999997</v>
      </c>
      <c r="BK235" s="25">
        <f>VLOOKUP(Inventory[[#This Row],[Decade]],Lookups!$O$25:$R$42,4,FALSE)</f>
        <v>0.96919999999999995</v>
      </c>
      <c r="BL235" s="25">
        <f>Inventory[[#This Row],[Nbhd Adj]]*0.95</f>
        <v>0.94971499999999998</v>
      </c>
      <c r="BM235" s="25">
        <f>Inventory[[#This Row],[Nbhd Adj]]*Inventory[[#This Row],[Quality Adj]]*Inventory[[#This Row],[Condition Adj]]*Inventory[[#This Row],[Living Area Adj]]*Inventory[[#This Row],[Decade Adj]]*0.95</f>
        <v>0.91614613050448113</v>
      </c>
      <c r="BN235" s="25">
        <f>ROUND(SUM(Inventory[[#This Row],[Mdl Qlty]:[Mdl WdDeck]])+Inventory[[#This Row],[Mdl Res Intercept]]*Inventory[[#This Row],[Res Adj ]],-2)</f>
        <v>302200</v>
      </c>
      <c r="BO235" s="25">
        <f>ROUND(Inventory[[#This Row],[25Det]]*Inventory[[#This Row],[Det/Nbhd Adj]],-2)</f>
        <v>0</v>
      </c>
      <c r="BP235" s="25">
        <f>Inventory[[#This Row],[Adjusted Res]]+Inventory[[#This Row],[Adj Det ]]</f>
        <v>302200</v>
      </c>
      <c r="BQ235" s="25">
        <f>ROUND((Inventory[[#This Row],[Mdl Land Intercept]]+Inventory[[#This Row],[Mdl LnAcres]])*Inventory[[#This Row],[Det/Nbhd Adj]],-2)</f>
        <v>43700</v>
      </c>
      <c r="BR235" s="25">
        <f>Inventory[[#This Row],[Adjusted Impr Total]]+Inventory[[#This Row],[Adjusted Land Total]]</f>
        <v>345900</v>
      </c>
      <c r="BS235" s="36">
        <f>IFERROR((Inventory[[#This Row],[Adjusted Impr Total]]-Inventory[[#This Row],[24Bldg]])/Inventory[[#This Row],[24Bldg]],0)</f>
        <v>0.11184694628403238</v>
      </c>
      <c r="BT235" s="36">
        <f>(Inventory[[#This Row],[Adjusted Land Total]]-Inventory[[#This Row],[24Lnd]])/Inventory[[#This Row],[24Lnd]]</f>
        <v>-0.33987915407854985</v>
      </c>
      <c r="BU235" s="36">
        <f>(Inventory[[#This Row],[Adjusted Total]]-Inventory[[#This Row],[24Final]])/Inventory[[#This Row],[24Final]]</f>
        <v>2.3372781065088756E-2</v>
      </c>
    </row>
    <row r="236" spans="1:73" x14ac:dyDescent="0.3">
      <c r="A236" s="25">
        <v>2025</v>
      </c>
      <c r="B236" s="26" t="s">
        <v>1103</v>
      </c>
      <c r="C236" s="26">
        <f>LN(Inventory[[#This Row],[Acres]])</f>
        <v>-4.6051701859880909</v>
      </c>
      <c r="D236" s="25">
        <v>0.01</v>
      </c>
      <c r="E236" s="25">
        <v>612</v>
      </c>
      <c r="F236" s="26" t="s">
        <v>537</v>
      </c>
      <c r="G236" s="26" t="s">
        <v>28</v>
      </c>
      <c r="H236" s="26" t="s">
        <v>349</v>
      </c>
      <c r="I236" s="26" t="s">
        <v>538</v>
      </c>
      <c r="J236" s="26" t="s">
        <v>551</v>
      </c>
      <c r="K236" s="26" t="s">
        <v>415</v>
      </c>
      <c r="L236" s="26" t="s">
        <v>351</v>
      </c>
      <c r="M236" s="26" t="s">
        <v>323</v>
      </c>
      <c r="N236" s="26">
        <v>50</v>
      </c>
      <c r="O236" s="26">
        <f>2024-Inventory[[#This Row],[YrBlt]]</f>
        <v>49</v>
      </c>
      <c r="P236" s="26">
        <f>2024-Inventory[[#This Row],[EffYr]]</f>
        <v>45</v>
      </c>
      <c r="Q236" s="25">
        <v>1975</v>
      </c>
      <c r="R236" s="25">
        <v>1979</v>
      </c>
      <c r="S236" s="25">
        <v>612</v>
      </c>
      <c r="T236" s="32">
        <v>612</v>
      </c>
      <c r="U236" s="31"/>
      <c r="V236" s="31">
        <f>Inventory[[#This Row],[Bsmt]]-Inventory[[#This Row],[FnBsmt]]</f>
        <v>0</v>
      </c>
      <c r="W236" s="31"/>
      <c r="X236" s="27"/>
      <c r="Y236" s="27">
        <f>Inventory[[#This Row],[MainFn]]+Inventory[[#This Row],[UpprFn]]+Inventory[[#This Row],[FnBsmt]]+Inventory[[#This Row],[AddFn]]</f>
        <v>1224</v>
      </c>
      <c r="Z236" s="27">
        <v>1500</v>
      </c>
      <c r="AA236" s="25">
        <v>7</v>
      </c>
      <c r="AB236" s="27"/>
      <c r="AC236" s="27"/>
      <c r="AD236" s="31"/>
      <c r="AE236" s="27"/>
      <c r="AF236" s="27"/>
      <c r="AG236" s="27"/>
      <c r="AH236" s="27"/>
      <c r="AI236" s="25">
        <v>192863</v>
      </c>
      <c r="AJ236" s="25">
        <v>148505</v>
      </c>
      <c r="AK236" s="25">
        <v>0</v>
      </c>
      <c r="AL236" s="25">
        <v>198900</v>
      </c>
      <c r="AM236" s="25">
        <v>29800</v>
      </c>
      <c r="AN236" s="25">
        <v>169100</v>
      </c>
      <c r="AO236" s="25">
        <v>0</v>
      </c>
      <c r="AP236" s="25">
        <f>Lookups!$B$56*0</f>
        <v>0</v>
      </c>
      <c r="AQ236" s="25">
        <f>Lookups!$B$56*1</f>
        <v>89850.625589999996</v>
      </c>
      <c r="AR236" s="25">
        <f>Lookups!$B$57*Inventory[[#This Row],[LnAcres]]</f>
        <v>-145774.89265936252</v>
      </c>
      <c r="AS236" s="25">
        <f>VLOOKUP(Inventory[[#This Row],[Qlty]],Lookups!$A$62:$E$75,2,FALSE)</f>
        <v>21557.329055999999</v>
      </c>
      <c r="AT236" s="25">
        <f>VLOOKUP(Inventory[[#This Row],[Cnd]],Lookups!$A$76:$E$84,2,FALSE)</f>
        <v>160472.20319</v>
      </c>
      <c r="AU236" s="25">
        <f>Inventory[[#This Row],[EffAge]]*Lookups!$B$85</f>
        <v>-10037.0520225</v>
      </c>
      <c r="AV236" s="25">
        <f>Inventory[[#This Row],[MainFn]]*Lookups!$B$86</f>
        <v>30238.105964724</v>
      </c>
      <c r="AW236" s="25">
        <f>Inventory[[#This Row],[UpprFn]]*Lookups!$B$87</f>
        <v>27409.290790931998</v>
      </c>
      <c r="AX236" s="25">
        <f>Inventory[[#This Row],[AddFn]]*Lookups!$B$88</f>
        <v>0</v>
      </c>
      <c r="AY236" s="25">
        <f>Inventory[[#This Row],[Bsmt]]*Lookups!$B$89</f>
        <v>0</v>
      </c>
      <c r="AZ236" s="25">
        <f>Inventory[[#This Row],[Fixtures]]*Lookups!$B$90</f>
        <v>26544.1547364</v>
      </c>
      <c r="BA236" s="25">
        <f>Inventory[[#This Row],[WdDeck]]*Lookups!$B$91</f>
        <v>0</v>
      </c>
      <c r="BB236" s="25">
        <f>ROUND(Inventory[[#This Row],[25Det]],-2)</f>
        <v>0</v>
      </c>
      <c r="BC236" s="25">
        <f>ROUND(SUM(Inventory[[#This Row],[Mdl Qlty]:[Mdl WdDeck]])+Inventory[[#This Row],[Mdl Res Intercept]],-2)</f>
        <v>256200</v>
      </c>
      <c r="BD236" s="25">
        <f>ROUND(Inventory[[#This Row],[Mdl Land Intercept]]+Inventory[[#This Row],[Mdl LnAcres]],-2)</f>
        <v>-55900</v>
      </c>
      <c r="BE236" s="25">
        <f>Inventory[[#This Row],[Unadj Res Value]]+Inventory[[#This Row],[Unadj Det Value]]+Inventory[[#This Row],[Unadj Land Value]]</f>
        <v>200300</v>
      </c>
      <c r="BF236" s="36">
        <f>(Inventory[[#This Row],[Unadj Total Value]]-Inventory[[#This Row],[24Final]])/Inventory[[#This Row],[24Final]]</f>
        <v>7.0387129210658624E-3</v>
      </c>
      <c r="BG236" s="25">
        <f>VLOOKUP(Inventory[[#This Row],[Nbhd]],Lookups!$Q$2:$T$4,4,FALSE)</f>
        <v>0.99970000000000003</v>
      </c>
      <c r="BH236" s="25">
        <f>VLOOKUP(Inventory[[#This Row],[Qlty]],Lookups!$O$7:$R$21,4,FALSE)</f>
        <v>1.0067999999999999</v>
      </c>
      <c r="BI236" s="25">
        <f>VLOOKUP(Inventory[[#This Row],[Cnd]],Lookups!$T$7:$W$16,4,FALSE)</f>
        <v>0.99729999999999996</v>
      </c>
      <c r="BJ236" s="25">
        <f>VLOOKUP(Inventory[[#This Row],[LivArea Range]],Lookups!$T$25:$W$37,4,FALSE)</f>
        <v>1.0157</v>
      </c>
      <c r="BK236" s="25">
        <f>VLOOKUP(Inventory[[#This Row],[Decade]],Lookups!$O$25:$R$42,4,FALSE)</f>
        <v>0.96919999999999995</v>
      </c>
      <c r="BL236" s="25">
        <f>Inventory[[#This Row],[Nbhd Adj]]*0.95</f>
        <v>0.94971499999999998</v>
      </c>
      <c r="BM236" s="25">
        <f>Inventory[[#This Row],[Nbhd Adj]]*Inventory[[#This Row],[Quality Adj]]*Inventory[[#This Row],[Condition Adj]]*Inventory[[#This Row],[Living Area Adj]]*Inventory[[#This Row],[Decade Adj]]*0.95</f>
        <v>0.93873104601730073</v>
      </c>
      <c r="BN236" s="25">
        <f>ROUND(SUM(Inventory[[#This Row],[Mdl Qlty]:[Mdl WdDeck]])+Inventory[[#This Row],[Mdl Res Intercept]]*Inventory[[#This Row],[Res Adj ]],-2)</f>
        <v>256200</v>
      </c>
      <c r="BO236" s="25">
        <f>ROUND(Inventory[[#This Row],[25Det]]*Inventory[[#This Row],[Det/Nbhd Adj]],-2)</f>
        <v>0</v>
      </c>
      <c r="BP236" s="25">
        <f>Inventory[[#This Row],[Adjusted Res]]+Inventory[[#This Row],[Adj Det ]]</f>
        <v>256200</v>
      </c>
      <c r="BQ236" s="25">
        <f>ROUND((Inventory[[#This Row],[Mdl Land Intercept]]+Inventory[[#This Row],[Mdl LnAcres]])*Inventory[[#This Row],[Det/Nbhd Adj]],-2)</f>
        <v>-53100</v>
      </c>
      <c r="BR236" s="25">
        <f>Inventory[[#This Row],[Adjusted Impr Total]]+Inventory[[#This Row],[Adjusted Land Total]]</f>
        <v>203100</v>
      </c>
      <c r="BS236" s="36">
        <f>IFERROR((Inventory[[#This Row],[Adjusted Impr Total]]-Inventory[[#This Row],[24Bldg]])/Inventory[[#This Row],[24Bldg]],0)</f>
        <v>0.51507983441750449</v>
      </c>
      <c r="BT236" s="36">
        <f>(Inventory[[#This Row],[Adjusted Land Total]]-Inventory[[#This Row],[24Lnd]])/Inventory[[#This Row],[24Lnd]]</f>
        <v>-2.7818791946308723</v>
      </c>
      <c r="BU236" s="36">
        <f>(Inventory[[#This Row],[Adjusted Total]]-Inventory[[#This Row],[24Final]])/Inventory[[#This Row],[24Final]]</f>
        <v>2.1116138763197588E-2</v>
      </c>
    </row>
    <row r="237" spans="1:73" x14ac:dyDescent="0.3">
      <c r="A237" s="25">
        <v>2025</v>
      </c>
      <c r="B237" s="26" t="s">
        <v>2013</v>
      </c>
      <c r="C237" s="26">
        <f>LN(Inventory[[#This Row],[Acres]])</f>
        <v>-1.8971199848858813</v>
      </c>
      <c r="D237" s="25">
        <v>0.15</v>
      </c>
      <c r="E237" s="25">
        <v>6474</v>
      </c>
      <c r="F237" s="26" t="s">
        <v>537</v>
      </c>
      <c r="G237" s="26" t="s">
        <v>126</v>
      </c>
      <c r="H237" s="26" t="s">
        <v>349</v>
      </c>
      <c r="I237" s="26" t="s">
        <v>538</v>
      </c>
      <c r="J237" s="26" t="s">
        <v>539</v>
      </c>
      <c r="K237" s="26" t="s">
        <v>241</v>
      </c>
      <c r="L237" s="26" t="s">
        <v>205</v>
      </c>
      <c r="M237" s="26" t="s">
        <v>323</v>
      </c>
      <c r="N237" s="26">
        <v>50</v>
      </c>
      <c r="O237" s="26">
        <f>2024-Inventory[[#This Row],[YrBlt]]</f>
        <v>49</v>
      </c>
      <c r="P237" s="26">
        <f>2024-Inventory[[#This Row],[EffYr]]</f>
        <v>45</v>
      </c>
      <c r="Q237" s="25">
        <v>1975</v>
      </c>
      <c r="R237" s="25">
        <v>1979</v>
      </c>
      <c r="S237" s="25">
        <v>1303</v>
      </c>
      <c r="T237" s="31"/>
      <c r="U237" s="31"/>
      <c r="V237" s="27">
        <f>Inventory[[#This Row],[Bsmt]]-Inventory[[#This Row],[FnBsmt]]</f>
        <v>0</v>
      </c>
      <c r="W237" s="27"/>
      <c r="X237" s="27"/>
      <c r="Y237" s="27">
        <f>Inventory[[#This Row],[MainFn]]+Inventory[[#This Row],[UpprFn]]+Inventory[[#This Row],[FnBsmt]]+Inventory[[#This Row],[AddFn]]</f>
        <v>1303</v>
      </c>
      <c r="Z237" s="27">
        <v>1500</v>
      </c>
      <c r="AA237" s="25">
        <v>7</v>
      </c>
      <c r="AB237" s="27"/>
      <c r="AC237" s="27"/>
      <c r="AD237" s="27"/>
      <c r="AE237" s="27"/>
      <c r="AF237" s="27"/>
      <c r="AG237" s="27"/>
      <c r="AH237" s="27"/>
      <c r="AI237" s="25">
        <v>190209</v>
      </c>
      <c r="AJ237" s="25">
        <v>146461</v>
      </c>
      <c r="AK237" s="25">
        <v>0</v>
      </c>
      <c r="AL237" s="25">
        <v>268200</v>
      </c>
      <c r="AM237" s="25">
        <v>48400</v>
      </c>
      <c r="AN237" s="25">
        <v>219800</v>
      </c>
      <c r="AO237" s="25">
        <v>0</v>
      </c>
      <c r="AP237" s="25">
        <f>Lookups!$B$56*0</f>
        <v>0</v>
      </c>
      <c r="AQ237" s="25">
        <f>Lookups!$B$56*1</f>
        <v>89850.625589999996</v>
      </c>
      <c r="AR237" s="25">
        <f>Lookups!$B$57*Inventory[[#This Row],[LnAcres]]</f>
        <v>-60052.604136134301</v>
      </c>
      <c r="AS237" s="25">
        <f>VLOOKUP(Inventory[[#This Row],[Qlty]],Lookups!$A$62:$E$75,2,FALSE)</f>
        <v>0</v>
      </c>
      <c r="AT237" s="25">
        <f>VLOOKUP(Inventory[[#This Row],[Cnd]],Lookups!$A$76:$E$84,2,FALSE)</f>
        <v>160472.20319</v>
      </c>
      <c r="AU237" s="25">
        <f>Inventory[[#This Row],[EffAge]]*Lookups!$B$85</f>
        <v>-10037.0520225</v>
      </c>
      <c r="AV237" s="25">
        <f>Inventory[[#This Row],[MainFn]]*Lookups!$B$86</f>
        <v>64379.496849731004</v>
      </c>
      <c r="AW237" s="25">
        <f>Inventory[[#This Row],[UpprFn]]*Lookups!$B$87</f>
        <v>0</v>
      </c>
      <c r="AX237" s="25">
        <f>Inventory[[#This Row],[AddFn]]*Lookups!$B$88</f>
        <v>0</v>
      </c>
      <c r="AY237" s="25">
        <f>Inventory[[#This Row],[Bsmt]]*Lookups!$B$89</f>
        <v>0</v>
      </c>
      <c r="AZ237" s="25">
        <f>Inventory[[#This Row],[Fixtures]]*Lookups!$B$90</f>
        <v>26544.1547364</v>
      </c>
      <c r="BA237" s="25">
        <f>Inventory[[#This Row],[WdDeck]]*Lookups!$B$91</f>
        <v>0</v>
      </c>
      <c r="BB237" s="25">
        <f>ROUND(Inventory[[#This Row],[25Det]],-2)</f>
        <v>0</v>
      </c>
      <c r="BC237" s="25">
        <f>ROUND(SUM(Inventory[[#This Row],[Mdl Qlty]:[Mdl WdDeck]])+Inventory[[#This Row],[Mdl Res Intercept]],-2)</f>
        <v>241400</v>
      </c>
      <c r="BD237" s="25">
        <f>ROUND(Inventory[[#This Row],[Mdl Land Intercept]]+Inventory[[#This Row],[Mdl LnAcres]],-2)</f>
        <v>29800</v>
      </c>
      <c r="BE237" s="25">
        <f>Inventory[[#This Row],[Unadj Res Value]]+Inventory[[#This Row],[Unadj Det Value]]+Inventory[[#This Row],[Unadj Land Value]]</f>
        <v>271200</v>
      </c>
      <c r="BF237" s="36">
        <f>(Inventory[[#This Row],[Unadj Total Value]]-Inventory[[#This Row],[24Final]])/Inventory[[#This Row],[24Final]]</f>
        <v>1.1185682326621925E-2</v>
      </c>
      <c r="BG237" s="25">
        <f>VLOOKUP(Inventory[[#This Row],[Nbhd]],Lookups!$Q$2:$T$4,4,FALSE)</f>
        <v>0.99970000000000003</v>
      </c>
      <c r="BH237" s="25">
        <f>VLOOKUP(Inventory[[#This Row],[Qlty]],Lookups!$O$7:$R$21,4,FALSE)</f>
        <v>0.99180000000000001</v>
      </c>
      <c r="BI237" s="25">
        <f>VLOOKUP(Inventory[[#This Row],[Cnd]],Lookups!$T$7:$W$16,4,FALSE)</f>
        <v>0.99729999999999996</v>
      </c>
      <c r="BJ237" s="25">
        <f>VLOOKUP(Inventory[[#This Row],[LivArea Range]],Lookups!$T$25:$W$37,4,FALSE)</f>
        <v>1.0157</v>
      </c>
      <c r="BK237" s="25">
        <f>VLOOKUP(Inventory[[#This Row],[Decade]],Lookups!$O$25:$R$42,4,FALSE)</f>
        <v>0.96919999999999995</v>
      </c>
      <c r="BL237" s="25">
        <f>Inventory[[#This Row],[Nbhd Adj]]*0.95</f>
        <v>0.94971499999999998</v>
      </c>
      <c r="BM237" s="25">
        <f>Inventory[[#This Row],[Nbhd Adj]]*Inventory[[#This Row],[Quality Adj]]*Inventory[[#This Row],[Condition Adj]]*Inventory[[#This Row],[Living Area Adj]]*Inventory[[#This Row],[Decade Adj]]*0.95</f>
        <v>0.92474518418748419</v>
      </c>
      <c r="BN237" s="25">
        <f>ROUND(SUM(Inventory[[#This Row],[Mdl Qlty]:[Mdl WdDeck]])+Inventory[[#This Row],[Mdl Res Intercept]]*Inventory[[#This Row],[Res Adj ]],-2)</f>
        <v>241400</v>
      </c>
      <c r="BO237" s="25">
        <f>ROUND(Inventory[[#This Row],[25Det]]*Inventory[[#This Row],[Det/Nbhd Adj]],-2)</f>
        <v>0</v>
      </c>
      <c r="BP237" s="25">
        <f>Inventory[[#This Row],[Adjusted Res]]+Inventory[[#This Row],[Adj Det ]]</f>
        <v>241400</v>
      </c>
      <c r="BQ237" s="25">
        <f>ROUND((Inventory[[#This Row],[Mdl Land Intercept]]+Inventory[[#This Row],[Mdl LnAcres]])*Inventory[[#This Row],[Det/Nbhd Adj]],-2)</f>
        <v>28300</v>
      </c>
      <c r="BR237" s="25">
        <f>Inventory[[#This Row],[Adjusted Impr Total]]+Inventory[[#This Row],[Adjusted Land Total]]</f>
        <v>269700</v>
      </c>
      <c r="BS237" s="36">
        <f>IFERROR((Inventory[[#This Row],[Adjusted Impr Total]]-Inventory[[#This Row],[24Bldg]])/Inventory[[#This Row],[24Bldg]],0)</f>
        <v>9.8271155595996362E-2</v>
      </c>
      <c r="BT237" s="36">
        <f>(Inventory[[#This Row],[Adjusted Land Total]]-Inventory[[#This Row],[24Lnd]])/Inventory[[#This Row],[24Lnd]]</f>
        <v>-0.41528925619834711</v>
      </c>
      <c r="BU237" s="36">
        <f>(Inventory[[#This Row],[Adjusted Total]]-Inventory[[#This Row],[24Final]])/Inventory[[#This Row],[24Final]]</f>
        <v>5.5928411633109623E-3</v>
      </c>
    </row>
    <row r="238" spans="1:73" x14ac:dyDescent="0.3">
      <c r="A238" s="25">
        <v>2025</v>
      </c>
      <c r="B238" s="26" t="s">
        <v>2486</v>
      </c>
      <c r="C238" s="26">
        <f>LN(Inventory[[#This Row],[Acres]])</f>
        <v>-1.0788096613719298</v>
      </c>
      <c r="D238" s="25">
        <v>0.34</v>
      </c>
      <c r="E238" s="25">
        <v>14808</v>
      </c>
      <c r="F238" s="26" t="s">
        <v>537</v>
      </c>
      <c r="G238" s="26" t="s">
        <v>126</v>
      </c>
      <c r="H238" s="26" t="s">
        <v>349</v>
      </c>
      <c r="I238" s="26" t="s">
        <v>538</v>
      </c>
      <c r="J238" s="26" t="s">
        <v>539</v>
      </c>
      <c r="K238" s="26" t="s">
        <v>5</v>
      </c>
      <c r="L238" s="26" t="s">
        <v>95</v>
      </c>
      <c r="M238" s="26" t="s">
        <v>323</v>
      </c>
      <c r="N238" s="26">
        <v>50</v>
      </c>
      <c r="O238" s="26">
        <f>2024-Inventory[[#This Row],[YrBlt]]</f>
        <v>49</v>
      </c>
      <c r="P238" s="26">
        <f>2024-Inventory[[#This Row],[EffYr]]</f>
        <v>45</v>
      </c>
      <c r="Q238" s="25">
        <v>1975</v>
      </c>
      <c r="R238" s="25">
        <v>1979</v>
      </c>
      <c r="S238" s="25">
        <v>1444</v>
      </c>
      <c r="T238" s="27"/>
      <c r="U238" s="25">
        <v>864</v>
      </c>
      <c r="V238" s="25">
        <f>Inventory[[#This Row],[Bsmt]]-Inventory[[#This Row],[FnBsmt]]</f>
        <v>0</v>
      </c>
      <c r="W238" s="25">
        <v>864</v>
      </c>
      <c r="X238" s="27"/>
      <c r="Y238" s="27">
        <f>Inventory[[#This Row],[MainFn]]+Inventory[[#This Row],[UpprFn]]+Inventory[[#This Row],[FnBsmt]]+Inventory[[#This Row],[AddFn]]</f>
        <v>2308</v>
      </c>
      <c r="Z238" s="27">
        <v>2500</v>
      </c>
      <c r="AA238" s="25">
        <v>11</v>
      </c>
      <c r="AB238" s="27"/>
      <c r="AC238" s="25">
        <v>555</v>
      </c>
      <c r="AD238" s="25">
        <v>492</v>
      </c>
      <c r="AE238" s="27"/>
      <c r="AF238" s="27"/>
      <c r="AG238" s="27"/>
      <c r="AH238" s="27"/>
      <c r="AI238" s="25">
        <v>526588</v>
      </c>
      <c r="AJ238" s="25">
        <v>410739</v>
      </c>
      <c r="AK238" s="25">
        <v>0</v>
      </c>
      <c r="AL238" s="25">
        <v>445700</v>
      </c>
      <c r="AM238" s="25">
        <v>76900</v>
      </c>
      <c r="AN238" s="25">
        <v>368800</v>
      </c>
      <c r="AO238" s="25">
        <v>0</v>
      </c>
      <c r="AP238" s="25">
        <f>Lookups!$B$56*0</f>
        <v>0</v>
      </c>
      <c r="AQ238" s="25">
        <f>Lookups!$B$56*1</f>
        <v>89850.625589999996</v>
      </c>
      <c r="AR238" s="25">
        <f>Lookups!$B$57*Inventory[[#This Row],[LnAcres]]</f>
        <v>-34149.305288406773</v>
      </c>
      <c r="AS238" s="25">
        <f>VLOOKUP(Inventory[[#This Row],[Qlty]],Lookups!$A$62:$E$75,2,FALSE)</f>
        <v>74268.409664999999</v>
      </c>
      <c r="AT238" s="25">
        <f>VLOOKUP(Inventory[[#This Row],[Cnd]],Lookups!$A$76:$E$84,2,FALSE)</f>
        <v>160472.20319</v>
      </c>
      <c r="AU238" s="25">
        <f>Inventory[[#This Row],[EffAge]]*Lookups!$B$85</f>
        <v>-10037.0520225</v>
      </c>
      <c r="AV238" s="25">
        <f>Inventory[[#This Row],[MainFn]]*Lookups!$B$86</f>
        <v>71346.119302388004</v>
      </c>
      <c r="AW238" s="25">
        <f>Inventory[[#This Row],[UpprFn]]*Lookups!$B$87</f>
        <v>0</v>
      </c>
      <c r="AX238" s="25">
        <f>Inventory[[#This Row],[AddFn]]*Lookups!$B$88</f>
        <v>0</v>
      </c>
      <c r="AY238" s="25">
        <f>Inventory[[#This Row],[Bsmt]]*Lookups!$B$89</f>
        <v>25126.757493408</v>
      </c>
      <c r="AZ238" s="25">
        <f>Inventory[[#This Row],[Fixtures]]*Lookups!$B$90</f>
        <v>41712.243157199999</v>
      </c>
      <c r="BA238" s="25">
        <f>Inventory[[#This Row],[WdDeck]]*Lookups!$B$91</f>
        <v>16381.393515792002</v>
      </c>
      <c r="BB238" s="25">
        <f>ROUND(Inventory[[#This Row],[25Det]],-2)</f>
        <v>0</v>
      </c>
      <c r="BC238" s="25">
        <f>ROUND(SUM(Inventory[[#This Row],[Mdl Qlty]:[Mdl WdDeck]])+Inventory[[#This Row],[Mdl Res Intercept]],-2)</f>
        <v>379300</v>
      </c>
      <c r="BD238" s="25">
        <f>ROUND(Inventory[[#This Row],[Mdl Land Intercept]]+Inventory[[#This Row],[Mdl LnAcres]],-2)</f>
        <v>55700</v>
      </c>
      <c r="BE238" s="25">
        <f>Inventory[[#This Row],[Unadj Res Value]]+Inventory[[#This Row],[Unadj Det Value]]+Inventory[[#This Row],[Unadj Land Value]]</f>
        <v>435000</v>
      </c>
      <c r="BF238" s="36">
        <f>(Inventory[[#This Row],[Unadj Total Value]]-Inventory[[#This Row],[24Final]])/Inventory[[#This Row],[24Final]]</f>
        <v>-2.400717971729863E-2</v>
      </c>
      <c r="BG238" s="25">
        <f>VLOOKUP(Inventory[[#This Row],[Nbhd]],Lookups!$Q$2:$T$4,4,FALSE)</f>
        <v>0.99970000000000003</v>
      </c>
      <c r="BH238" s="25">
        <f>VLOOKUP(Inventory[[#This Row],[Qlty]],Lookups!$O$7:$R$21,4,FALSE)</f>
        <v>0.98380000000000001</v>
      </c>
      <c r="BI238" s="25">
        <f>VLOOKUP(Inventory[[#This Row],[Cnd]],Lookups!$T$7:$W$16,4,FALSE)</f>
        <v>0.99729999999999996</v>
      </c>
      <c r="BJ238" s="25">
        <f>VLOOKUP(Inventory[[#This Row],[LivArea Range]],Lookups!$T$25:$W$37,4,FALSE)</f>
        <v>0.98919999999999997</v>
      </c>
      <c r="BK238" s="25">
        <f>VLOOKUP(Inventory[[#This Row],[Decade]],Lookups!$O$25:$R$42,4,FALSE)</f>
        <v>0.96919999999999995</v>
      </c>
      <c r="BL238" s="25">
        <f>Inventory[[#This Row],[Nbhd Adj]]*0.95</f>
        <v>0.94971499999999998</v>
      </c>
      <c r="BM238" s="25">
        <f>Inventory[[#This Row],[Nbhd Adj]]*Inventory[[#This Row],[Quality Adj]]*Inventory[[#This Row],[Condition Adj]]*Inventory[[#This Row],[Living Area Adj]]*Inventory[[#This Row],[Decade Adj]]*0.95</f>
        <v>0.89335371512568995</v>
      </c>
      <c r="BN238" s="25">
        <f>ROUND(SUM(Inventory[[#This Row],[Mdl Qlty]:[Mdl WdDeck]])+Inventory[[#This Row],[Mdl Res Intercept]]*Inventory[[#This Row],[Res Adj ]],-2)</f>
        <v>379300</v>
      </c>
      <c r="BO238" s="25">
        <f>ROUND(Inventory[[#This Row],[25Det]]*Inventory[[#This Row],[Det/Nbhd Adj]],-2)</f>
        <v>0</v>
      </c>
      <c r="BP238" s="25">
        <f>Inventory[[#This Row],[Adjusted Res]]+Inventory[[#This Row],[Adj Det ]]</f>
        <v>379300</v>
      </c>
      <c r="BQ238" s="25">
        <f>ROUND((Inventory[[#This Row],[Mdl Land Intercept]]+Inventory[[#This Row],[Mdl LnAcres]])*Inventory[[#This Row],[Det/Nbhd Adj]],-2)</f>
        <v>52900</v>
      </c>
      <c r="BR238" s="25">
        <f>Inventory[[#This Row],[Adjusted Impr Total]]+Inventory[[#This Row],[Adjusted Land Total]]</f>
        <v>432200</v>
      </c>
      <c r="BS238" s="36">
        <f>IFERROR((Inventory[[#This Row],[Adjusted Impr Total]]-Inventory[[#This Row],[24Bldg]])/Inventory[[#This Row],[24Bldg]],0)</f>
        <v>2.8470715835140999E-2</v>
      </c>
      <c r="BT238" s="36">
        <f>(Inventory[[#This Row],[Adjusted Land Total]]-Inventory[[#This Row],[24Lnd]])/Inventory[[#This Row],[24Lnd]]</f>
        <v>-0.31209362808842656</v>
      </c>
      <c r="BU238" s="36">
        <f>(Inventory[[#This Row],[Adjusted Total]]-Inventory[[#This Row],[24Final]])/Inventory[[#This Row],[24Final]]</f>
        <v>-3.0289432353601077E-2</v>
      </c>
    </row>
    <row r="239" spans="1:73" x14ac:dyDescent="0.3">
      <c r="A239" s="25">
        <v>2025</v>
      </c>
      <c r="B239" s="26" t="s">
        <v>2491</v>
      </c>
      <c r="C239" s="26">
        <f>LN(Inventory[[#This Row],[Acres]])</f>
        <v>-1.4271163556401458</v>
      </c>
      <c r="D239" s="25">
        <v>0.24</v>
      </c>
      <c r="E239" s="25">
        <v>10552</v>
      </c>
      <c r="F239" s="26" t="s">
        <v>537</v>
      </c>
      <c r="G239" s="26" t="s">
        <v>126</v>
      </c>
      <c r="H239" s="26" t="s">
        <v>349</v>
      </c>
      <c r="I239" s="26" t="s">
        <v>538</v>
      </c>
      <c r="J239" s="26" t="s">
        <v>2492</v>
      </c>
      <c r="K239" s="26" t="s">
        <v>241</v>
      </c>
      <c r="L239" s="26" t="s">
        <v>302</v>
      </c>
      <c r="M239" s="26" t="s">
        <v>303</v>
      </c>
      <c r="N239" s="26">
        <v>50</v>
      </c>
      <c r="O239" s="26">
        <f>2024-Inventory[[#This Row],[YrBlt]]</f>
        <v>50</v>
      </c>
      <c r="P239" s="26">
        <f>2024-Inventory[[#This Row],[EffYr]]</f>
        <v>45</v>
      </c>
      <c r="Q239" s="25">
        <v>1974</v>
      </c>
      <c r="R239" s="25">
        <v>1979</v>
      </c>
      <c r="S239" s="25">
        <v>3024</v>
      </c>
      <c r="T239" s="27"/>
      <c r="U239" s="31"/>
      <c r="V239" s="31">
        <f>Inventory[[#This Row],[Bsmt]]-Inventory[[#This Row],[FnBsmt]]</f>
        <v>0</v>
      </c>
      <c r="W239" s="31"/>
      <c r="X239" s="27"/>
      <c r="Y239" s="27">
        <f>Inventory[[#This Row],[MainFn]]+Inventory[[#This Row],[UpprFn]]+Inventory[[#This Row],[FnBsmt]]+Inventory[[#This Row],[AddFn]]</f>
        <v>3024</v>
      </c>
      <c r="Z239" s="27">
        <v>3500</v>
      </c>
      <c r="AA239" s="25">
        <v>14</v>
      </c>
      <c r="AB239" s="27"/>
      <c r="AC239" s="27"/>
      <c r="AD239" s="27"/>
      <c r="AE239" s="27"/>
      <c r="AF239" s="27"/>
      <c r="AG239" s="27"/>
      <c r="AH239" s="27"/>
      <c r="AI239" s="25">
        <v>502566</v>
      </c>
      <c r="AJ239" s="25">
        <v>392001</v>
      </c>
      <c r="AK239" s="25">
        <v>0</v>
      </c>
      <c r="AL239" s="25">
        <v>446300</v>
      </c>
      <c r="AM239" s="25">
        <v>64800</v>
      </c>
      <c r="AN239" s="25">
        <v>381500</v>
      </c>
      <c r="AO239" s="25">
        <v>0</v>
      </c>
      <c r="AP239" s="25">
        <f>Lookups!$B$56*0</f>
        <v>0</v>
      </c>
      <c r="AQ239" s="25">
        <f>Lookups!$B$56*1</f>
        <v>89850.625589999996</v>
      </c>
      <c r="AR239" s="25">
        <f>Lookups!$B$57*Inventory[[#This Row],[LnAcres]]</f>
        <v>-45174.819855485119</v>
      </c>
      <c r="AS239" s="25">
        <f>VLOOKUP(Inventory[[#This Row],[Qlty]],Lookups!$A$62:$E$75,2,FALSE)</f>
        <v>29814.093161000001</v>
      </c>
      <c r="AT239" s="25">
        <f>VLOOKUP(Inventory[[#This Row],[Cnd]],Lookups!$A$76:$E$84,2,FALSE)</f>
        <v>197752.34721000001</v>
      </c>
      <c r="AU239" s="25">
        <f>Inventory[[#This Row],[EffAge]]*Lookups!$B$85</f>
        <v>-10037.0520225</v>
      </c>
      <c r="AV239" s="25">
        <f>Inventory[[#This Row],[MainFn]]*Lookups!$B$86</f>
        <v>149411.81770804801</v>
      </c>
      <c r="AW239" s="25">
        <f>Inventory[[#This Row],[UpprFn]]*Lookups!$B$87</f>
        <v>0</v>
      </c>
      <c r="AX239" s="25">
        <f>Inventory[[#This Row],[AddFn]]*Lookups!$B$88</f>
        <v>0</v>
      </c>
      <c r="AY239" s="25">
        <f>Inventory[[#This Row],[Bsmt]]*Lookups!$B$89</f>
        <v>0</v>
      </c>
      <c r="AZ239" s="25">
        <f>Inventory[[#This Row],[Fixtures]]*Lookups!$B$90</f>
        <v>53088.3094728</v>
      </c>
      <c r="BA239" s="25">
        <f>Inventory[[#This Row],[WdDeck]]*Lookups!$B$91</f>
        <v>0</v>
      </c>
      <c r="BB239" s="25">
        <f>ROUND(Inventory[[#This Row],[25Det]],-2)</f>
        <v>0</v>
      </c>
      <c r="BC239" s="25">
        <f>ROUND(SUM(Inventory[[#This Row],[Mdl Qlty]:[Mdl WdDeck]])+Inventory[[#This Row],[Mdl Res Intercept]],-2)</f>
        <v>420000</v>
      </c>
      <c r="BD239" s="25">
        <f>ROUND(Inventory[[#This Row],[Mdl Land Intercept]]+Inventory[[#This Row],[Mdl LnAcres]],-2)</f>
        <v>44700</v>
      </c>
      <c r="BE239" s="25">
        <f>Inventory[[#This Row],[Unadj Res Value]]+Inventory[[#This Row],[Unadj Det Value]]+Inventory[[#This Row],[Unadj Land Value]]</f>
        <v>464700</v>
      </c>
      <c r="BF239" s="36">
        <f>(Inventory[[#This Row],[Unadj Total Value]]-Inventory[[#This Row],[24Final]])/Inventory[[#This Row],[24Final]]</f>
        <v>4.1227873627604751E-2</v>
      </c>
      <c r="BG239" s="25">
        <f>VLOOKUP(Inventory[[#This Row],[Nbhd]],Lookups!$Q$2:$T$4,4,FALSE)</f>
        <v>0.99970000000000003</v>
      </c>
      <c r="BH239" s="25">
        <f>VLOOKUP(Inventory[[#This Row],[Qlty]],Lookups!$O$7:$R$21,4,FALSE)</f>
        <v>1.0088999999999999</v>
      </c>
      <c r="BI239" s="25">
        <f>VLOOKUP(Inventory[[#This Row],[Cnd]],Lookups!$T$7:$W$16,4,FALSE)</f>
        <v>0.99650000000000005</v>
      </c>
      <c r="BJ239" s="25">
        <f>VLOOKUP(Inventory[[#This Row],[LivArea Range]],Lookups!$T$25:$W$37,4,FALSE)</f>
        <v>1.0126999999999999</v>
      </c>
      <c r="BK239" s="25">
        <f>VLOOKUP(Inventory[[#This Row],[Decade]],Lookups!$O$25:$R$42,4,FALSE)</f>
        <v>0.96919999999999995</v>
      </c>
      <c r="BL239" s="25">
        <f>Inventory[[#This Row],[Nbhd Adj]]*0.95</f>
        <v>0.94971499999999998</v>
      </c>
      <c r="BM239" s="25">
        <f>Inventory[[#This Row],[Nbhd Adj]]*Inventory[[#This Row],[Quality Adj]]*Inventory[[#This Row],[Condition Adj]]*Inventory[[#This Row],[Living Area Adj]]*Inventory[[#This Row],[Decade Adj]]*0.95</f>
        <v>0.93715826120093748</v>
      </c>
      <c r="BN239" s="25">
        <f>ROUND(SUM(Inventory[[#This Row],[Mdl Qlty]:[Mdl WdDeck]])+Inventory[[#This Row],[Mdl Res Intercept]]*Inventory[[#This Row],[Res Adj ]],-2)</f>
        <v>420000</v>
      </c>
      <c r="BO239" s="25">
        <f>ROUND(Inventory[[#This Row],[25Det]]*Inventory[[#This Row],[Det/Nbhd Adj]],-2)</f>
        <v>0</v>
      </c>
      <c r="BP239" s="25">
        <f>Inventory[[#This Row],[Adjusted Res]]+Inventory[[#This Row],[Adj Det ]]</f>
        <v>420000</v>
      </c>
      <c r="BQ239" s="25">
        <f>ROUND((Inventory[[#This Row],[Mdl Land Intercept]]+Inventory[[#This Row],[Mdl LnAcres]])*Inventory[[#This Row],[Det/Nbhd Adj]],-2)</f>
        <v>42400</v>
      </c>
      <c r="BR239" s="25">
        <f>Inventory[[#This Row],[Adjusted Impr Total]]+Inventory[[#This Row],[Adjusted Land Total]]</f>
        <v>462400</v>
      </c>
      <c r="BS239" s="36">
        <f>IFERROR((Inventory[[#This Row],[Adjusted Impr Total]]-Inventory[[#This Row],[24Bldg]])/Inventory[[#This Row],[24Bldg]],0)</f>
        <v>0.10091743119266056</v>
      </c>
      <c r="BT239" s="36">
        <f>(Inventory[[#This Row],[Adjusted Land Total]]-Inventory[[#This Row],[24Lnd]])/Inventory[[#This Row],[24Lnd]]</f>
        <v>-0.34567901234567899</v>
      </c>
      <c r="BU239" s="36">
        <f>(Inventory[[#This Row],[Adjusted Total]]-Inventory[[#This Row],[24Final]])/Inventory[[#This Row],[24Final]]</f>
        <v>3.6074389424154155E-2</v>
      </c>
    </row>
    <row r="240" spans="1:73" x14ac:dyDescent="0.3">
      <c r="A240" s="25">
        <v>2025</v>
      </c>
      <c r="B240" s="26" t="s">
        <v>2019</v>
      </c>
      <c r="C240" s="26">
        <f>LN(Inventory[[#This Row],[Acres]])</f>
        <v>-1.5141277326297755</v>
      </c>
      <c r="D240" s="25">
        <v>0.22</v>
      </c>
      <c r="E240" s="31"/>
      <c r="F240" s="26" t="s">
        <v>537</v>
      </c>
      <c r="G240" s="26" t="s">
        <v>126</v>
      </c>
      <c r="H240" s="26" t="s">
        <v>349</v>
      </c>
      <c r="I240" s="26" t="s">
        <v>538</v>
      </c>
      <c r="J240" s="26" t="s">
        <v>539</v>
      </c>
      <c r="K240" s="26" t="s">
        <v>241</v>
      </c>
      <c r="L240" s="26" t="s">
        <v>205</v>
      </c>
      <c r="M240" s="26" t="s">
        <v>323</v>
      </c>
      <c r="N240" s="26">
        <v>50</v>
      </c>
      <c r="O240" s="26">
        <f>2024-Inventory[[#This Row],[YrBlt]]</f>
        <v>50</v>
      </c>
      <c r="P240" s="26">
        <f>2024-Inventory[[#This Row],[EffYr]]</f>
        <v>45</v>
      </c>
      <c r="Q240" s="25">
        <v>1974</v>
      </c>
      <c r="R240" s="25">
        <v>1979</v>
      </c>
      <c r="S240" s="25">
        <v>1228</v>
      </c>
      <c r="T240" s="27"/>
      <c r="U240" s="31"/>
      <c r="V240" s="31">
        <f>Inventory[[#This Row],[Bsmt]]-Inventory[[#This Row],[FnBsmt]]</f>
        <v>0</v>
      </c>
      <c r="W240" s="31"/>
      <c r="X240" s="27"/>
      <c r="Y240" s="27">
        <f>Inventory[[#This Row],[MainFn]]+Inventory[[#This Row],[UpprFn]]+Inventory[[#This Row],[FnBsmt]]+Inventory[[#This Row],[AddFn]]</f>
        <v>1228</v>
      </c>
      <c r="Z240" s="27">
        <v>1500</v>
      </c>
      <c r="AA240" s="25">
        <v>5</v>
      </c>
      <c r="AB240" s="32">
        <v>440</v>
      </c>
      <c r="AC240" s="27"/>
      <c r="AD240" s="31"/>
      <c r="AE240" s="27"/>
      <c r="AF240" s="27"/>
      <c r="AG240" s="27"/>
      <c r="AH240" s="27"/>
      <c r="AI240" s="25">
        <v>194452</v>
      </c>
      <c r="AJ240" s="25">
        <v>149728</v>
      </c>
      <c r="AK240" s="25">
        <v>0</v>
      </c>
      <c r="AL240" s="25">
        <v>268600</v>
      </c>
      <c r="AM240" s="25">
        <v>61700</v>
      </c>
      <c r="AN240" s="25">
        <v>206900</v>
      </c>
      <c r="AO240" s="25">
        <v>0</v>
      </c>
      <c r="AP240" s="25">
        <f>Lookups!$B$56*0</f>
        <v>0</v>
      </c>
      <c r="AQ240" s="25">
        <f>Lookups!$B$56*1</f>
        <v>89850.625589999996</v>
      </c>
      <c r="AR240" s="25">
        <f>Lookups!$B$57*Inventory[[#This Row],[LnAcres]]</f>
        <v>-47929.131559187132</v>
      </c>
      <c r="AS240" s="25">
        <f>VLOOKUP(Inventory[[#This Row],[Qlty]],Lookups!$A$62:$E$75,2,FALSE)</f>
        <v>0</v>
      </c>
      <c r="AT240" s="25">
        <f>VLOOKUP(Inventory[[#This Row],[Cnd]],Lookups!$A$76:$E$84,2,FALSE)</f>
        <v>160472.20319</v>
      </c>
      <c r="AU240" s="25">
        <f>Inventory[[#This Row],[EffAge]]*Lookups!$B$85</f>
        <v>-10037.0520225</v>
      </c>
      <c r="AV240" s="25">
        <f>Inventory[[#This Row],[MainFn]]*Lookups!$B$86</f>
        <v>60673.846608956002</v>
      </c>
      <c r="AW240" s="25">
        <f>Inventory[[#This Row],[UpprFn]]*Lookups!$B$87</f>
        <v>0</v>
      </c>
      <c r="AX240" s="25">
        <f>Inventory[[#This Row],[AddFn]]*Lookups!$B$88</f>
        <v>0</v>
      </c>
      <c r="AY240" s="25">
        <f>Inventory[[#This Row],[Bsmt]]*Lookups!$B$89</f>
        <v>0</v>
      </c>
      <c r="AZ240" s="25">
        <f>Inventory[[#This Row],[Fixtures]]*Lookups!$B$90</f>
        <v>18960.110526</v>
      </c>
      <c r="BA240" s="25">
        <f>Inventory[[#This Row],[WdDeck]]*Lookups!$B$91</f>
        <v>0</v>
      </c>
      <c r="BB240" s="25">
        <f>ROUND(Inventory[[#This Row],[25Det]],-2)</f>
        <v>0</v>
      </c>
      <c r="BC240" s="25">
        <f>ROUND(SUM(Inventory[[#This Row],[Mdl Qlty]:[Mdl WdDeck]])+Inventory[[#This Row],[Mdl Res Intercept]],-2)</f>
        <v>230100</v>
      </c>
      <c r="BD240" s="25">
        <f>ROUND(Inventory[[#This Row],[Mdl Land Intercept]]+Inventory[[#This Row],[Mdl LnAcres]],-2)</f>
        <v>41900</v>
      </c>
      <c r="BE240" s="25">
        <f>Inventory[[#This Row],[Unadj Res Value]]+Inventory[[#This Row],[Unadj Det Value]]+Inventory[[#This Row],[Unadj Land Value]]</f>
        <v>272000</v>
      </c>
      <c r="BF240" s="36">
        <f>(Inventory[[#This Row],[Unadj Total Value]]-Inventory[[#This Row],[24Final]])/Inventory[[#This Row],[24Final]]</f>
        <v>1.2658227848101266E-2</v>
      </c>
      <c r="BG240" s="25">
        <f>VLOOKUP(Inventory[[#This Row],[Nbhd]],Lookups!$Q$2:$T$4,4,FALSE)</f>
        <v>0.99970000000000003</v>
      </c>
      <c r="BH240" s="25">
        <f>VLOOKUP(Inventory[[#This Row],[Qlty]],Lookups!$O$7:$R$21,4,FALSE)</f>
        <v>0.99180000000000001</v>
      </c>
      <c r="BI240" s="25">
        <f>VLOOKUP(Inventory[[#This Row],[Cnd]],Lookups!$T$7:$W$16,4,FALSE)</f>
        <v>0.99729999999999996</v>
      </c>
      <c r="BJ240" s="25">
        <f>VLOOKUP(Inventory[[#This Row],[LivArea Range]],Lookups!$T$25:$W$37,4,FALSE)</f>
        <v>1.0157</v>
      </c>
      <c r="BK240" s="25">
        <f>VLOOKUP(Inventory[[#This Row],[Decade]],Lookups!$O$25:$R$42,4,FALSE)</f>
        <v>0.96919999999999995</v>
      </c>
      <c r="BL240" s="25">
        <f>Inventory[[#This Row],[Nbhd Adj]]*0.95</f>
        <v>0.94971499999999998</v>
      </c>
      <c r="BM240" s="25">
        <f>Inventory[[#This Row],[Nbhd Adj]]*Inventory[[#This Row],[Quality Adj]]*Inventory[[#This Row],[Condition Adj]]*Inventory[[#This Row],[Living Area Adj]]*Inventory[[#This Row],[Decade Adj]]*0.95</f>
        <v>0.92474518418748419</v>
      </c>
      <c r="BN240" s="25">
        <f>ROUND(SUM(Inventory[[#This Row],[Mdl Qlty]:[Mdl WdDeck]])+Inventory[[#This Row],[Mdl Res Intercept]]*Inventory[[#This Row],[Res Adj ]],-2)</f>
        <v>230100</v>
      </c>
      <c r="BO240" s="25">
        <f>ROUND(Inventory[[#This Row],[25Det]]*Inventory[[#This Row],[Det/Nbhd Adj]],-2)</f>
        <v>0</v>
      </c>
      <c r="BP240" s="25">
        <f>Inventory[[#This Row],[Adjusted Res]]+Inventory[[#This Row],[Adj Det ]]</f>
        <v>230100</v>
      </c>
      <c r="BQ240" s="25">
        <f>ROUND((Inventory[[#This Row],[Mdl Land Intercept]]+Inventory[[#This Row],[Mdl LnAcres]])*Inventory[[#This Row],[Det/Nbhd Adj]],-2)</f>
        <v>39800</v>
      </c>
      <c r="BR240" s="25">
        <f>Inventory[[#This Row],[Adjusted Impr Total]]+Inventory[[#This Row],[Adjusted Land Total]]</f>
        <v>269900</v>
      </c>
      <c r="BS240" s="36">
        <f>IFERROR((Inventory[[#This Row],[Adjusted Impr Total]]-Inventory[[#This Row],[24Bldg]])/Inventory[[#This Row],[24Bldg]],0)</f>
        <v>0.11213146447559208</v>
      </c>
      <c r="BT240" s="36">
        <f>(Inventory[[#This Row],[Adjusted Land Total]]-Inventory[[#This Row],[24Lnd]])/Inventory[[#This Row],[24Lnd]]</f>
        <v>-0.35494327390599678</v>
      </c>
      <c r="BU240" s="36">
        <f>(Inventory[[#This Row],[Adjusted Total]]-Inventory[[#This Row],[24Final]])/Inventory[[#This Row],[24Final]]</f>
        <v>4.8399106478034248E-3</v>
      </c>
    </row>
    <row r="241" spans="1:73" x14ac:dyDescent="0.3">
      <c r="A241" s="25">
        <v>2025</v>
      </c>
      <c r="B241" s="26" t="s">
        <v>1686</v>
      </c>
      <c r="C241" s="26">
        <f>LN(Inventory[[#This Row],[Acres]])</f>
        <v>-1.3470736479666092</v>
      </c>
      <c r="D241" s="25">
        <v>0.26</v>
      </c>
      <c r="E241" s="25">
        <v>11457</v>
      </c>
      <c r="F241" s="26" t="s">
        <v>537</v>
      </c>
      <c r="G241" s="26" t="s">
        <v>126</v>
      </c>
      <c r="H241" s="26" t="s">
        <v>349</v>
      </c>
      <c r="I241" s="26" t="s">
        <v>538</v>
      </c>
      <c r="J241" s="26" t="s">
        <v>539</v>
      </c>
      <c r="K241" s="26" t="s">
        <v>173</v>
      </c>
      <c r="L241" s="26" t="s">
        <v>148</v>
      </c>
      <c r="M241" s="26" t="s">
        <v>323</v>
      </c>
      <c r="N241" s="26">
        <v>60</v>
      </c>
      <c r="O241" s="26">
        <f>2024-Inventory[[#This Row],[YrBlt]]</f>
        <v>51</v>
      </c>
      <c r="P241" s="26">
        <f>2024-Inventory[[#This Row],[EffYr]]</f>
        <v>46</v>
      </c>
      <c r="Q241" s="25">
        <v>1973</v>
      </c>
      <c r="R241" s="25">
        <v>1978</v>
      </c>
      <c r="S241" s="25">
        <v>1260</v>
      </c>
      <c r="T241" s="32">
        <v>1215</v>
      </c>
      <c r="U241" s="25">
        <v>1215</v>
      </c>
      <c r="V241" s="25">
        <f>Inventory[[#This Row],[Bsmt]]-Inventory[[#This Row],[FnBsmt]]</f>
        <v>1215</v>
      </c>
      <c r="W241" s="31"/>
      <c r="X241" s="27"/>
      <c r="Y241" s="27">
        <f>Inventory[[#This Row],[MainFn]]+Inventory[[#This Row],[UpprFn]]+Inventory[[#This Row],[FnBsmt]]+Inventory[[#This Row],[AddFn]]</f>
        <v>2475</v>
      </c>
      <c r="Z241" s="27">
        <v>2500</v>
      </c>
      <c r="AA241" s="25">
        <v>10</v>
      </c>
      <c r="AB241" s="32">
        <v>598</v>
      </c>
      <c r="AC241" s="27"/>
      <c r="AD241" s="32">
        <v>540</v>
      </c>
      <c r="AE241" s="27"/>
      <c r="AF241" s="27"/>
      <c r="AG241" s="27"/>
      <c r="AH241" s="27"/>
      <c r="AI241" s="25">
        <v>597279</v>
      </c>
      <c r="AJ241" s="25">
        <v>453932</v>
      </c>
      <c r="AK241" s="25">
        <v>0</v>
      </c>
      <c r="AL241" s="25">
        <v>413900</v>
      </c>
      <c r="AM241" s="25">
        <v>67600</v>
      </c>
      <c r="AN241" s="25">
        <v>346300</v>
      </c>
      <c r="AO241" s="25">
        <v>0</v>
      </c>
      <c r="AP241" s="25">
        <f>Lookups!$B$56*0</f>
        <v>0</v>
      </c>
      <c r="AQ241" s="25">
        <f>Lookups!$B$56*1</f>
        <v>89850.625589999996</v>
      </c>
      <c r="AR241" s="25">
        <f>Lookups!$B$57*Inventory[[#This Row],[LnAcres]]</f>
        <v>-42641.098701210125</v>
      </c>
      <c r="AS241" s="25">
        <f>VLOOKUP(Inventory[[#This Row],[Qlty]],Lookups!$A$62:$E$75,2,FALSE)</f>
        <v>44121.038090000002</v>
      </c>
      <c r="AT241" s="25">
        <f>VLOOKUP(Inventory[[#This Row],[Cnd]],Lookups!$A$76:$E$84,2,FALSE)</f>
        <v>160472.20319</v>
      </c>
      <c r="AU241" s="25">
        <f>Inventory[[#This Row],[EffAge]]*Lookups!$B$85</f>
        <v>-10260.097623</v>
      </c>
      <c r="AV241" s="25">
        <f>Inventory[[#This Row],[MainFn]]*Lookups!$B$86</f>
        <v>62254.924045020001</v>
      </c>
      <c r="AW241" s="25">
        <f>Inventory[[#This Row],[UpprFn]]*Lookups!$B$87</f>
        <v>54415.503776115002</v>
      </c>
      <c r="AX241" s="25">
        <f>Inventory[[#This Row],[AddFn]]*Lookups!$B$88</f>
        <v>0</v>
      </c>
      <c r="AY241" s="25">
        <f>Inventory[[#This Row],[Bsmt]]*Lookups!$B$89</f>
        <v>35334.502725104998</v>
      </c>
      <c r="AZ241" s="25">
        <f>Inventory[[#This Row],[Fixtures]]*Lookups!$B$90</f>
        <v>37920.221052000001</v>
      </c>
      <c r="BA241" s="25">
        <f>Inventory[[#This Row],[WdDeck]]*Lookups!$B$91</f>
        <v>17979.578249040002</v>
      </c>
      <c r="BB241" s="25">
        <f>ROUND(Inventory[[#This Row],[25Det]],-2)</f>
        <v>0</v>
      </c>
      <c r="BC241" s="25">
        <f>ROUND(SUM(Inventory[[#This Row],[Mdl Qlty]:[Mdl WdDeck]])+Inventory[[#This Row],[Mdl Res Intercept]],-2)</f>
        <v>402200</v>
      </c>
      <c r="BD241" s="25">
        <f>ROUND(Inventory[[#This Row],[Mdl Land Intercept]]+Inventory[[#This Row],[Mdl LnAcres]],-2)</f>
        <v>47200</v>
      </c>
      <c r="BE241" s="25">
        <f>Inventory[[#This Row],[Unadj Res Value]]+Inventory[[#This Row],[Unadj Det Value]]+Inventory[[#This Row],[Unadj Land Value]]</f>
        <v>449400</v>
      </c>
      <c r="BF241" s="36">
        <f>(Inventory[[#This Row],[Unadj Total Value]]-Inventory[[#This Row],[24Final]])/Inventory[[#This Row],[24Final]]</f>
        <v>8.5769509543367969E-2</v>
      </c>
      <c r="BG241" s="25">
        <f>VLOOKUP(Inventory[[#This Row],[Nbhd]],Lookups!$Q$2:$T$4,4,FALSE)</f>
        <v>0.99970000000000003</v>
      </c>
      <c r="BH241" s="25">
        <f>VLOOKUP(Inventory[[#This Row],[Qlty]],Lookups!$O$7:$R$21,4,FALSE)</f>
        <v>0.98050000000000004</v>
      </c>
      <c r="BI241" s="25">
        <f>VLOOKUP(Inventory[[#This Row],[Cnd]],Lookups!$T$7:$W$16,4,FALSE)</f>
        <v>0.99729999999999996</v>
      </c>
      <c r="BJ241" s="25">
        <f>VLOOKUP(Inventory[[#This Row],[LivArea Range]],Lookups!$T$25:$W$37,4,FALSE)</f>
        <v>0.98919999999999997</v>
      </c>
      <c r="BK241" s="25">
        <f>VLOOKUP(Inventory[[#This Row],[Decade]],Lookups!$O$25:$R$42,4,FALSE)</f>
        <v>0.98119999999999996</v>
      </c>
      <c r="BL241" s="25">
        <f>Inventory[[#This Row],[Nbhd Adj]]*0.95</f>
        <v>0.94971499999999998</v>
      </c>
      <c r="BM241" s="25">
        <f>Inventory[[#This Row],[Nbhd Adj]]*Inventory[[#This Row],[Quality Adj]]*Inventory[[#This Row],[Condition Adj]]*Inventory[[#This Row],[Living Area Adj]]*Inventory[[#This Row],[Decade Adj]]*0.95</f>
        <v>0.90138092159884586</v>
      </c>
      <c r="BN241" s="25">
        <f>ROUND(SUM(Inventory[[#This Row],[Mdl Qlty]:[Mdl WdDeck]])+Inventory[[#This Row],[Mdl Res Intercept]]*Inventory[[#This Row],[Res Adj ]],-2)</f>
        <v>402200</v>
      </c>
      <c r="BO241" s="25">
        <f>ROUND(Inventory[[#This Row],[25Det]]*Inventory[[#This Row],[Det/Nbhd Adj]],-2)</f>
        <v>0</v>
      </c>
      <c r="BP241" s="25">
        <f>Inventory[[#This Row],[Adjusted Res]]+Inventory[[#This Row],[Adj Det ]]</f>
        <v>402200</v>
      </c>
      <c r="BQ241" s="25">
        <f>ROUND((Inventory[[#This Row],[Mdl Land Intercept]]+Inventory[[#This Row],[Mdl LnAcres]])*Inventory[[#This Row],[Det/Nbhd Adj]],-2)</f>
        <v>44800</v>
      </c>
      <c r="BR241" s="25">
        <f>Inventory[[#This Row],[Adjusted Impr Total]]+Inventory[[#This Row],[Adjusted Land Total]]</f>
        <v>447000</v>
      </c>
      <c r="BS241" s="36">
        <f>IFERROR((Inventory[[#This Row],[Adjusted Impr Total]]-Inventory[[#This Row],[24Bldg]])/Inventory[[#This Row],[24Bldg]],0)</f>
        <v>0.16142073346809124</v>
      </c>
      <c r="BT241" s="36">
        <f>(Inventory[[#This Row],[Adjusted Land Total]]-Inventory[[#This Row],[24Lnd]])/Inventory[[#This Row],[24Lnd]]</f>
        <v>-0.33727810650887574</v>
      </c>
      <c r="BU241" s="36">
        <f>(Inventory[[#This Row],[Adjusted Total]]-Inventory[[#This Row],[24Final]])/Inventory[[#This Row],[24Final]]</f>
        <v>7.9971007489731821E-2</v>
      </c>
    </row>
    <row r="242" spans="1:73" x14ac:dyDescent="0.3">
      <c r="A242" s="25">
        <v>2025</v>
      </c>
      <c r="B242" s="26" t="s">
        <v>2603</v>
      </c>
      <c r="C242" s="26">
        <f>LN(Inventory[[#This Row],[Acres]])</f>
        <v>-1.7719568419318752</v>
      </c>
      <c r="D242" s="25">
        <v>0.17</v>
      </c>
      <c r="E242" s="25">
        <v>7348</v>
      </c>
      <c r="F242" s="26" t="s">
        <v>537</v>
      </c>
      <c r="G242" s="26" t="s">
        <v>126</v>
      </c>
      <c r="H242" s="26" t="s">
        <v>349</v>
      </c>
      <c r="I242" s="26" t="s">
        <v>538</v>
      </c>
      <c r="J242" s="26" t="s">
        <v>539</v>
      </c>
      <c r="K242" s="26" t="s">
        <v>241</v>
      </c>
      <c r="L242" s="26" t="s">
        <v>351</v>
      </c>
      <c r="M242" s="26" t="s">
        <v>303</v>
      </c>
      <c r="N242" s="26">
        <v>60</v>
      </c>
      <c r="O242" s="26">
        <f>2024-Inventory[[#This Row],[YrBlt]]</f>
        <v>51</v>
      </c>
      <c r="P242" s="26">
        <f>2024-Inventory[[#This Row],[EffYr]]</f>
        <v>46</v>
      </c>
      <c r="Q242" s="25">
        <v>1973</v>
      </c>
      <c r="R242" s="25">
        <v>1978</v>
      </c>
      <c r="S242" s="25">
        <v>1680</v>
      </c>
      <c r="T242" s="27"/>
      <c r="U242" s="31"/>
      <c r="V242" s="31">
        <f>Inventory[[#This Row],[Bsmt]]-Inventory[[#This Row],[FnBsmt]]</f>
        <v>0</v>
      </c>
      <c r="W242" s="31"/>
      <c r="X242" s="27"/>
      <c r="Y242" s="27">
        <f>Inventory[[#This Row],[MainFn]]+Inventory[[#This Row],[UpprFn]]+Inventory[[#This Row],[FnBsmt]]+Inventory[[#This Row],[AddFn]]</f>
        <v>1680</v>
      </c>
      <c r="Z242" s="27">
        <v>2000</v>
      </c>
      <c r="AA242" s="25">
        <v>8</v>
      </c>
      <c r="AB242" s="32">
        <v>616</v>
      </c>
      <c r="AC242" s="27"/>
      <c r="AD242" s="27"/>
      <c r="AE242" s="27"/>
      <c r="AF242" s="27"/>
      <c r="AG242" s="27"/>
      <c r="AH242" s="27"/>
      <c r="AI242" s="25">
        <v>290857</v>
      </c>
      <c r="AJ242" s="25">
        <v>223960</v>
      </c>
      <c r="AK242" s="25">
        <v>0</v>
      </c>
      <c r="AL242" s="25">
        <v>337600</v>
      </c>
      <c r="AM242" s="25">
        <v>52700</v>
      </c>
      <c r="AN242" s="25">
        <v>284900</v>
      </c>
      <c r="AO242" s="25">
        <v>0</v>
      </c>
      <c r="AP242" s="25">
        <f>Lookups!$B$56*0</f>
        <v>0</v>
      </c>
      <c r="AQ242" s="25">
        <f>Lookups!$B$56*1</f>
        <v>89850.625589999996</v>
      </c>
      <c r="AR242" s="25">
        <f>Lookups!$B$57*Inventory[[#This Row],[LnAcres]]</f>
        <v>-56090.612940989391</v>
      </c>
      <c r="AS242" s="25">
        <f>VLOOKUP(Inventory[[#This Row],[Qlty]],Lookups!$A$62:$E$75,2,FALSE)</f>
        <v>21557.329055999999</v>
      </c>
      <c r="AT242" s="25">
        <f>VLOOKUP(Inventory[[#This Row],[Cnd]],Lookups!$A$76:$E$84,2,FALSE)</f>
        <v>197752.34721000001</v>
      </c>
      <c r="AU242" s="25">
        <f>Inventory[[#This Row],[EffAge]]*Lookups!$B$85</f>
        <v>-10260.097623</v>
      </c>
      <c r="AV242" s="25">
        <f>Inventory[[#This Row],[MainFn]]*Lookups!$B$86</f>
        <v>83006.565393359997</v>
      </c>
      <c r="AW242" s="25">
        <f>Inventory[[#This Row],[UpprFn]]*Lookups!$B$87</f>
        <v>0</v>
      </c>
      <c r="AX242" s="25">
        <f>Inventory[[#This Row],[AddFn]]*Lookups!$B$88</f>
        <v>0</v>
      </c>
      <c r="AY242" s="25">
        <f>Inventory[[#This Row],[Bsmt]]*Lookups!$B$89</f>
        <v>0</v>
      </c>
      <c r="AZ242" s="25">
        <f>Inventory[[#This Row],[Fixtures]]*Lookups!$B$90</f>
        <v>30336.176841600001</v>
      </c>
      <c r="BA242" s="25">
        <f>Inventory[[#This Row],[WdDeck]]*Lookups!$B$91</f>
        <v>0</v>
      </c>
      <c r="BB242" s="25">
        <f>ROUND(Inventory[[#This Row],[25Det]],-2)</f>
        <v>0</v>
      </c>
      <c r="BC242" s="25">
        <f>ROUND(SUM(Inventory[[#This Row],[Mdl Qlty]:[Mdl WdDeck]])+Inventory[[#This Row],[Mdl Res Intercept]],-2)</f>
        <v>322400</v>
      </c>
      <c r="BD242" s="25">
        <f>ROUND(Inventory[[#This Row],[Mdl Land Intercept]]+Inventory[[#This Row],[Mdl LnAcres]],-2)</f>
        <v>33800</v>
      </c>
      <c r="BE242" s="25">
        <f>Inventory[[#This Row],[Unadj Res Value]]+Inventory[[#This Row],[Unadj Det Value]]+Inventory[[#This Row],[Unadj Land Value]]</f>
        <v>356200</v>
      </c>
      <c r="BF242" s="36">
        <f>(Inventory[[#This Row],[Unadj Total Value]]-Inventory[[#This Row],[24Final]])/Inventory[[#This Row],[24Final]]</f>
        <v>5.509478672985782E-2</v>
      </c>
      <c r="BG242" s="25">
        <f>VLOOKUP(Inventory[[#This Row],[Nbhd]],Lookups!$Q$2:$T$4,4,FALSE)</f>
        <v>0.99970000000000003</v>
      </c>
      <c r="BH242" s="25">
        <f>VLOOKUP(Inventory[[#This Row],[Qlty]],Lookups!$O$7:$R$21,4,FALSE)</f>
        <v>1.0067999999999999</v>
      </c>
      <c r="BI242" s="25">
        <f>VLOOKUP(Inventory[[#This Row],[Cnd]],Lookups!$T$7:$W$16,4,FALSE)</f>
        <v>0.99650000000000005</v>
      </c>
      <c r="BJ242" s="25">
        <f>VLOOKUP(Inventory[[#This Row],[LivArea Range]],Lookups!$T$25:$W$37,4,FALSE)</f>
        <v>1.0093000000000001</v>
      </c>
      <c r="BK242" s="25">
        <f>VLOOKUP(Inventory[[#This Row],[Decade]],Lookups!$O$25:$R$42,4,FALSE)</f>
        <v>0.98119999999999996</v>
      </c>
      <c r="BL242" s="25">
        <f>Inventory[[#This Row],[Nbhd Adj]]*0.95</f>
        <v>0.94971499999999998</v>
      </c>
      <c r="BM242" s="25">
        <f>Inventory[[#This Row],[Nbhd Adj]]*Inventory[[#This Row],[Quality Adj]]*Inventory[[#This Row],[Condition Adj]]*Inventory[[#This Row],[Living Area Adj]]*Inventory[[#This Row],[Decade Adj]]*0.95</f>
        <v>0.94360801277069484</v>
      </c>
      <c r="BN242" s="25">
        <f>ROUND(SUM(Inventory[[#This Row],[Mdl Qlty]:[Mdl WdDeck]])+Inventory[[#This Row],[Mdl Res Intercept]]*Inventory[[#This Row],[Res Adj ]],-2)</f>
        <v>322400</v>
      </c>
      <c r="BO242" s="25">
        <f>ROUND(Inventory[[#This Row],[25Det]]*Inventory[[#This Row],[Det/Nbhd Adj]],-2)</f>
        <v>0</v>
      </c>
      <c r="BP242" s="25">
        <f>Inventory[[#This Row],[Adjusted Res]]+Inventory[[#This Row],[Adj Det ]]</f>
        <v>322400</v>
      </c>
      <c r="BQ242" s="25">
        <f>ROUND((Inventory[[#This Row],[Mdl Land Intercept]]+Inventory[[#This Row],[Mdl LnAcres]])*Inventory[[#This Row],[Det/Nbhd Adj]],-2)</f>
        <v>32100</v>
      </c>
      <c r="BR242" s="25">
        <f>Inventory[[#This Row],[Adjusted Impr Total]]+Inventory[[#This Row],[Adjusted Land Total]]</f>
        <v>354500</v>
      </c>
      <c r="BS242" s="36">
        <f>IFERROR((Inventory[[#This Row],[Adjusted Impr Total]]-Inventory[[#This Row],[24Bldg]])/Inventory[[#This Row],[24Bldg]],0)</f>
        <v>0.13162513162513162</v>
      </c>
      <c r="BT242" s="36">
        <f>(Inventory[[#This Row],[Adjusted Land Total]]-Inventory[[#This Row],[24Lnd]])/Inventory[[#This Row],[24Lnd]]</f>
        <v>-0.39089184060721061</v>
      </c>
      <c r="BU242" s="36">
        <f>(Inventory[[#This Row],[Adjusted Total]]-Inventory[[#This Row],[24Final]])/Inventory[[#This Row],[24Final]]</f>
        <v>5.0059241706161141E-2</v>
      </c>
    </row>
    <row r="243" spans="1:73" x14ac:dyDescent="0.3">
      <c r="A243" s="25">
        <v>2025</v>
      </c>
      <c r="B243" s="26" t="s">
        <v>711</v>
      </c>
      <c r="C243" s="26">
        <f>LN(Inventory[[#This Row],[Acres]])</f>
        <v>-1.1394342831883648</v>
      </c>
      <c r="D243" s="25">
        <v>0.32</v>
      </c>
      <c r="E243" s="25">
        <v>13736</v>
      </c>
      <c r="F243" s="26" t="s">
        <v>537</v>
      </c>
      <c r="G243" s="26" t="s">
        <v>126</v>
      </c>
      <c r="H243" s="26" t="s">
        <v>349</v>
      </c>
      <c r="I243" s="26" t="s">
        <v>538</v>
      </c>
      <c r="J243" s="26" t="s">
        <v>539</v>
      </c>
      <c r="K243" s="26" t="s">
        <v>5</v>
      </c>
      <c r="L243" s="26" t="s">
        <v>148</v>
      </c>
      <c r="M243" s="26" t="s">
        <v>303</v>
      </c>
      <c r="N243" s="26">
        <v>60</v>
      </c>
      <c r="O243" s="26">
        <f>2024-Inventory[[#This Row],[YrBlt]]</f>
        <v>51</v>
      </c>
      <c r="P243" s="26">
        <f>2024-Inventory[[#This Row],[EffYr]]</f>
        <v>46</v>
      </c>
      <c r="Q243" s="25">
        <v>1973</v>
      </c>
      <c r="R243" s="25">
        <v>1978</v>
      </c>
      <c r="S243" s="25">
        <v>1332</v>
      </c>
      <c r="T243" s="27"/>
      <c r="U243" s="25">
        <v>1028</v>
      </c>
      <c r="V243" s="25">
        <f>Inventory[[#This Row],[Bsmt]]-Inventory[[#This Row],[FnBsmt]]</f>
        <v>0</v>
      </c>
      <c r="W243" s="25">
        <v>1028</v>
      </c>
      <c r="X243" s="27"/>
      <c r="Y243" s="27">
        <f>Inventory[[#This Row],[MainFn]]+Inventory[[#This Row],[UpprFn]]+Inventory[[#This Row],[FnBsmt]]+Inventory[[#This Row],[AddFn]]</f>
        <v>2360</v>
      </c>
      <c r="Z243" s="27">
        <v>2500</v>
      </c>
      <c r="AA243" s="25">
        <v>11</v>
      </c>
      <c r="AB243" s="27"/>
      <c r="AC243" s="32">
        <v>484</v>
      </c>
      <c r="AD243" s="32">
        <v>140</v>
      </c>
      <c r="AE243" s="27"/>
      <c r="AF243" s="27"/>
      <c r="AG243" s="27"/>
      <c r="AH243" s="27"/>
      <c r="AI243" s="25">
        <v>451382</v>
      </c>
      <c r="AJ243" s="25">
        <v>347564</v>
      </c>
      <c r="AK243" s="25">
        <v>0</v>
      </c>
      <c r="AL243" s="25">
        <v>407300</v>
      </c>
      <c r="AM243" s="25">
        <v>74800</v>
      </c>
      <c r="AN243" s="25">
        <v>332500</v>
      </c>
      <c r="AO243" s="25">
        <v>0</v>
      </c>
      <c r="AP243" s="25">
        <f>Lookups!$B$56*0</f>
        <v>0</v>
      </c>
      <c r="AQ243" s="25">
        <f>Lookups!$B$56*1</f>
        <v>89850.625589999996</v>
      </c>
      <c r="AR243" s="25">
        <f>Lookups!$B$57*Inventory[[#This Row],[LnAcres]]</f>
        <v>-36068.354396449467</v>
      </c>
      <c r="AS243" s="25">
        <f>VLOOKUP(Inventory[[#This Row],[Qlty]],Lookups!$A$62:$E$75,2,FALSE)</f>
        <v>44121.038090000002</v>
      </c>
      <c r="AT243" s="25">
        <f>VLOOKUP(Inventory[[#This Row],[Cnd]],Lookups!$A$76:$E$84,2,FALSE)</f>
        <v>197752.34721000001</v>
      </c>
      <c r="AU243" s="25">
        <f>Inventory[[#This Row],[EffAge]]*Lookups!$B$85</f>
        <v>-10260.097623</v>
      </c>
      <c r="AV243" s="25">
        <f>Inventory[[#This Row],[MainFn]]*Lookups!$B$86</f>
        <v>65812.348276164004</v>
      </c>
      <c r="AW243" s="25">
        <f>Inventory[[#This Row],[UpprFn]]*Lookups!$B$87</f>
        <v>0</v>
      </c>
      <c r="AX243" s="25">
        <f>Inventory[[#This Row],[AddFn]]*Lookups!$B$88</f>
        <v>0</v>
      </c>
      <c r="AY243" s="25">
        <f>Inventory[[#This Row],[Bsmt]]*Lookups!$B$89</f>
        <v>29896.188313915998</v>
      </c>
      <c r="AZ243" s="25">
        <f>Inventory[[#This Row],[Fixtures]]*Lookups!$B$90</f>
        <v>41712.243157199999</v>
      </c>
      <c r="BA243" s="25">
        <f>Inventory[[#This Row],[WdDeck]]*Lookups!$B$91</f>
        <v>4661.3721386400002</v>
      </c>
      <c r="BB243" s="25">
        <f>ROUND(Inventory[[#This Row],[25Det]],-2)</f>
        <v>0</v>
      </c>
      <c r="BC243" s="25">
        <f>ROUND(SUM(Inventory[[#This Row],[Mdl Qlty]:[Mdl WdDeck]])+Inventory[[#This Row],[Mdl Res Intercept]],-2)</f>
        <v>373700</v>
      </c>
      <c r="BD243" s="25">
        <f>ROUND(Inventory[[#This Row],[Mdl Land Intercept]]+Inventory[[#This Row],[Mdl LnAcres]],-2)</f>
        <v>53800</v>
      </c>
      <c r="BE243" s="25">
        <f>Inventory[[#This Row],[Unadj Res Value]]+Inventory[[#This Row],[Unadj Det Value]]+Inventory[[#This Row],[Unadj Land Value]]</f>
        <v>427500</v>
      </c>
      <c r="BF243" s="36">
        <f>(Inventory[[#This Row],[Unadj Total Value]]-Inventory[[#This Row],[24Final]])/Inventory[[#This Row],[24Final]]</f>
        <v>4.9594893199116127E-2</v>
      </c>
      <c r="BG243" s="25">
        <f>VLOOKUP(Inventory[[#This Row],[Nbhd]],Lookups!$Q$2:$T$4,4,FALSE)</f>
        <v>0.99970000000000003</v>
      </c>
      <c r="BH243" s="25">
        <f>VLOOKUP(Inventory[[#This Row],[Qlty]],Lookups!$O$7:$R$21,4,FALSE)</f>
        <v>0.98050000000000004</v>
      </c>
      <c r="BI243" s="25">
        <f>VLOOKUP(Inventory[[#This Row],[Cnd]],Lookups!$T$7:$W$16,4,FALSE)</f>
        <v>0.99650000000000005</v>
      </c>
      <c r="BJ243" s="25">
        <f>VLOOKUP(Inventory[[#This Row],[LivArea Range]],Lookups!$T$25:$W$37,4,FALSE)</f>
        <v>0.98919999999999997</v>
      </c>
      <c r="BK243" s="25">
        <f>VLOOKUP(Inventory[[#This Row],[Decade]],Lookups!$O$25:$R$42,4,FALSE)</f>
        <v>0.98119999999999996</v>
      </c>
      <c r="BL243" s="25">
        <f>Inventory[[#This Row],[Nbhd Adj]]*0.95</f>
        <v>0.94971499999999998</v>
      </c>
      <c r="BM243" s="25">
        <f>Inventory[[#This Row],[Nbhd Adj]]*Inventory[[#This Row],[Quality Adj]]*Inventory[[#This Row],[Condition Adj]]*Inventory[[#This Row],[Living Area Adj]]*Inventory[[#This Row],[Decade Adj]]*0.95</f>
        <v>0.90065786460769082</v>
      </c>
      <c r="BN243" s="25">
        <f>ROUND(SUM(Inventory[[#This Row],[Mdl Qlty]:[Mdl WdDeck]])+Inventory[[#This Row],[Mdl Res Intercept]]*Inventory[[#This Row],[Res Adj ]],-2)</f>
        <v>373700</v>
      </c>
      <c r="BO243" s="25">
        <f>ROUND(Inventory[[#This Row],[25Det]]*Inventory[[#This Row],[Det/Nbhd Adj]],-2)</f>
        <v>0</v>
      </c>
      <c r="BP243" s="25">
        <f>Inventory[[#This Row],[Adjusted Res]]+Inventory[[#This Row],[Adj Det ]]</f>
        <v>373700</v>
      </c>
      <c r="BQ243" s="25">
        <f>ROUND((Inventory[[#This Row],[Mdl Land Intercept]]+Inventory[[#This Row],[Mdl LnAcres]])*Inventory[[#This Row],[Det/Nbhd Adj]],-2)</f>
        <v>51100</v>
      </c>
      <c r="BR243" s="25">
        <f>Inventory[[#This Row],[Adjusted Impr Total]]+Inventory[[#This Row],[Adjusted Land Total]]</f>
        <v>424800</v>
      </c>
      <c r="BS243" s="36">
        <f>IFERROR((Inventory[[#This Row],[Adjusted Impr Total]]-Inventory[[#This Row],[24Bldg]])/Inventory[[#This Row],[24Bldg]],0)</f>
        <v>0.12390977443609022</v>
      </c>
      <c r="BT243" s="36">
        <f>(Inventory[[#This Row],[Adjusted Land Total]]-Inventory[[#This Row],[24Lnd]])/Inventory[[#This Row],[24Lnd]]</f>
        <v>-0.31684491978609625</v>
      </c>
      <c r="BU243" s="36">
        <f>(Inventory[[#This Row],[Adjusted Total]]-Inventory[[#This Row],[24Final]])/Inventory[[#This Row],[24Final]]</f>
        <v>4.2965872821016451E-2</v>
      </c>
    </row>
    <row r="244" spans="1:73" x14ac:dyDescent="0.3">
      <c r="A244" s="25">
        <v>2025</v>
      </c>
      <c r="B244" s="26" t="s">
        <v>654</v>
      </c>
      <c r="C244" s="26">
        <f>LN(Inventory[[#This Row],[Acres]])</f>
        <v>-1.6094379124341003</v>
      </c>
      <c r="D244" s="25">
        <v>0.2</v>
      </c>
      <c r="E244" s="25">
        <v>8915</v>
      </c>
      <c r="F244" s="26" t="s">
        <v>537</v>
      </c>
      <c r="G244" s="26" t="s">
        <v>126</v>
      </c>
      <c r="H244" s="26" t="s">
        <v>349</v>
      </c>
      <c r="I244" s="26" t="s">
        <v>538</v>
      </c>
      <c r="J244" s="26" t="s">
        <v>539</v>
      </c>
      <c r="K244" s="26" t="s">
        <v>300</v>
      </c>
      <c r="L244" s="26" t="s">
        <v>302</v>
      </c>
      <c r="M244" s="26" t="s">
        <v>323</v>
      </c>
      <c r="N244" s="26">
        <v>60</v>
      </c>
      <c r="O244" s="26">
        <f>2024-Inventory[[#This Row],[YrBlt]]</f>
        <v>51</v>
      </c>
      <c r="P244" s="26">
        <f>2024-Inventory[[#This Row],[EffYr]]</f>
        <v>46</v>
      </c>
      <c r="Q244" s="25">
        <v>1973</v>
      </c>
      <c r="R244" s="25">
        <v>1978</v>
      </c>
      <c r="S244" s="25">
        <v>1765</v>
      </c>
      <c r="T244" s="27"/>
      <c r="U244" s="31"/>
      <c r="V244" s="31">
        <f>Inventory[[#This Row],[Bsmt]]-Inventory[[#This Row],[FnBsmt]]</f>
        <v>0</v>
      </c>
      <c r="W244" s="31"/>
      <c r="X244" s="27"/>
      <c r="Y244" s="27">
        <f>Inventory[[#This Row],[MainFn]]+Inventory[[#This Row],[UpprFn]]+Inventory[[#This Row],[FnBsmt]]+Inventory[[#This Row],[AddFn]]</f>
        <v>1765</v>
      </c>
      <c r="Z244" s="27">
        <v>2000</v>
      </c>
      <c r="AA244" s="25">
        <v>7</v>
      </c>
      <c r="AB244" s="32">
        <v>650</v>
      </c>
      <c r="AC244" s="27"/>
      <c r="AD244" s="27"/>
      <c r="AE244" s="27"/>
      <c r="AF244" s="27"/>
      <c r="AG244" s="27"/>
      <c r="AH244" s="27"/>
      <c r="AI244" s="25">
        <v>348516</v>
      </c>
      <c r="AJ244" s="25">
        <v>264872</v>
      </c>
      <c r="AK244" s="25">
        <v>0</v>
      </c>
      <c r="AL244" s="25">
        <v>324300</v>
      </c>
      <c r="AM244" s="25">
        <v>58400</v>
      </c>
      <c r="AN244" s="25">
        <v>265900</v>
      </c>
      <c r="AO244" s="25">
        <v>0</v>
      </c>
      <c r="AP244" s="25">
        <f>Lookups!$B$56*0</f>
        <v>0</v>
      </c>
      <c r="AQ244" s="25">
        <f>Lookups!$B$56*1</f>
        <v>89850.625589999996</v>
      </c>
      <c r="AR244" s="25">
        <f>Lookups!$B$57*Inventory[[#This Row],[LnAcres]]</f>
        <v>-50946.13867709865</v>
      </c>
      <c r="AS244" s="25">
        <f>VLOOKUP(Inventory[[#This Row],[Qlty]],Lookups!$A$62:$E$75,2,FALSE)</f>
        <v>29814.093161000001</v>
      </c>
      <c r="AT244" s="25">
        <f>VLOOKUP(Inventory[[#This Row],[Cnd]],Lookups!$A$76:$E$84,2,FALSE)</f>
        <v>160472.20319</v>
      </c>
      <c r="AU244" s="25">
        <f>Inventory[[#This Row],[EffAge]]*Lookups!$B$85</f>
        <v>-10260.097623</v>
      </c>
      <c r="AV244" s="25">
        <f>Inventory[[#This Row],[MainFn]]*Lookups!$B$86</f>
        <v>87206.302332905005</v>
      </c>
      <c r="AW244" s="25">
        <f>Inventory[[#This Row],[UpprFn]]*Lookups!$B$87</f>
        <v>0</v>
      </c>
      <c r="AX244" s="25">
        <f>Inventory[[#This Row],[AddFn]]*Lookups!$B$88</f>
        <v>0</v>
      </c>
      <c r="AY244" s="25">
        <f>Inventory[[#This Row],[Bsmt]]*Lookups!$B$89</f>
        <v>0</v>
      </c>
      <c r="AZ244" s="25">
        <f>Inventory[[#This Row],[Fixtures]]*Lookups!$B$90</f>
        <v>26544.1547364</v>
      </c>
      <c r="BA244" s="25">
        <f>Inventory[[#This Row],[WdDeck]]*Lookups!$B$91</f>
        <v>0</v>
      </c>
      <c r="BB244" s="25">
        <f>ROUND(Inventory[[#This Row],[25Det]],-2)</f>
        <v>0</v>
      </c>
      <c r="BC244" s="25">
        <f>ROUND(SUM(Inventory[[#This Row],[Mdl Qlty]:[Mdl WdDeck]])+Inventory[[#This Row],[Mdl Res Intercept]],-2)</f>
        <v>293800</v>
      </c>
      <c r="BD244" s="25">
        <f>ROUND(Inventory[[#This Row],[Mdl Land Intercept]]+Inventory[[#This Row],[Mdl LnAcres]],-2)</f>
        <v>38900</v>
      </c>
      <c r="BE244" s="25">
        <f>Inventory[[#This Row],[Unadj Res Value]]+Inventory[[#This Row],[Unadj Det Value]]+Inventory[[#This Row],[Unadj Land Value]]</f>
        <v>332700</v>
      </c>
      <c r="BF244" s="36">
        <f>(Inventory[[#This Row],[Unadj Total Value]]-Inventory[[#This Row],[24Final]])/Inventory[[#This Row],[24Final]]</f>
        <v>2.5901942645698426E-2</v>
      </c>
      <c r="BG244" s="25">
        <f>VLOOKUP(Inventory[[#This Row],[Nbhd]],Lookups!$Q$2:$T$4,4,FALSE)</f>
        <v>0.99970000000000003</v>
      </c>
      <c r="BH244" s="25">
        <f>VLOOKUP(Inventory[[#This Row],[Qlty]],Lookups!$O$7:$R$21,4,FALSE)</f>
        <v>1.0088999999999999</v>
      </c>
      <c r="BI244" s="25">
        <f>VLOOKUP(Inventory[[#This Row],[Cnd]],Lookups!$T$7:$W$16,4,FALSE)</f>
        <v>0.99729999999999996</v>
      </c>
      <c r="BJ244" s="25">
        <f>VLOOKUP(Inventory[[#This Row],[LivArea Range]],Lookups!$T$25:$W$37,4,FALSE)</f>
        <v>1.0093000000000001</v>
      </c>
      <c r="BK244" s="25">
        <f>VLOOKUP(Inventory[[#This Row],[Decade]],Lookups!$O$25:$R$42,4,FALSE)</f>
        <v>0.98119999999999996</v>
      </c>
      <c r="BL244" s="25">
        <f>Inventory[[#This Row],[Nbhd Adj]]*0.95</f>
        <v>0.94971499999999998</v>
      </c>
      <c r="BM244" s="25">
        <f>Inventory[[#This Row],[Nbhd Adj]]*Inventory[[#This Row],[Quality Adj]]*Inventory[[#This Row],[Condition Adj]]*Inventory[[#This Row],[Living Area Adj]]*Inventory[[#This Row],[Decade Adj]]*0.95</f>
        <v>0.94633532376161855</v>
      </c>
      <c r="BN244" s="25">
        <f>ROUND(SUM(Inventory[[#This Row],[Mdl Qlty]:[Mdl WdDeck]])+Inventory[[#This Row],[Mdl Res Intercept]]*Inventory[[#This Row],[Res Adj ]],-2)</f>
        <v>293800</v>
      </c>
      <c r="BO244" s="25">
        <f>ROUND(Inventory[[#This Row],[25Det]]*Inventory[[#This Row],[Det/Nbhd Adj]],-2)</f>
        <v>0</v>
      </c>
      <c r="BP244" s="25">
        <f>Inventory[[#This Row],[Adjusted Res]]+Inventory[[#This Row],[Adj Det ]]</f>
        <v>293800</v>
      </c>
      <c r="BQ244" s="25">
        <f>ROUND((Inventory[[#This Row],[Mdl Land Intercept]]+Inventory[[#This Row],[Mdl LnAcres]])*Inventory[[#This Row],[Det/Nbhd Adj]],-2)</f>
        <v>36900</v>
      </c>
      <c r="BR244" s="25">
        <f>Inventory[[#This Row],[Adjusted Impr Total]]+Inventory[[#This Row],[Adjusted Land Total]]</f>
        <v>330700</v>
      </c>
      <c r="BS244" s="36">
        <f>IFERROR((Inventory[[#This Row],[Adjusted Impr Total]]-Inventory[[#This Row],[24Bldg]])/Inventory[[#This Row],[24Bldg]],0)</f>
        <v>0.10492666415945845</v>
      </c>
      <c r="BT244" s="36">
        <f>(Inventory[[#This Row],[Adjusted Land Total]]-Inventory[[#This Row],[24Lnd]])/Inventory[[#This Row],[24Lnd]]</f>
        <v>-0.36815068493150682</v>
      </c>
      <c r="BU244" s="36">
        <f>(Inventory[[#This Row],[Adjusted Total]]-Inventory[[#This Row],[24Final]])/Inventory[[#This Row],[24Final]]</f>
        <v>1.9734813444341658E-2</v>
      </c>
    </row>
    <row r="245" spans="1:73" x14ac:dyDescent="0.3">
      <c r="A245" s="25">
        <v>2025</v>
      </c>
      <c r="B245" s="26" t="s">
        <v>2005</v>
      </c>
      <c r="C245" s="26">
        <f>LN(Inventory[[#This Row],[Acres]])</f>
        <v>-2.0402208285265546</v>
      </c>
      <c r="D245" s="25">
        <v>0.13</v>
      </c>
      <c r="E245" s="25">
        <v>5774</v>
      </c>
      <c r="F245" s="26" t="s">
        <v>537</v>
      </c>
      <c r="G245" s="26" t="s">
        <v>126</v>
      </c>
      <c r="H245" s="26" t="s">
        <v>349</v>
      </c>
      <c r="I245" s="26" t="s">
        <v>538</v>
      </c>
      <c r="J245" s="26" t="s">
        <v>539</v>
      </c>
      <c r="K245" s="26" t="s">
        <v>241</v>
      </c>
      <c r="L245" s="26" t="s">
        <v>31</v>
      </c>
      <c r="M245" s="26" t="s">
        <v>323</v>
      </c>
      <c r="N245" s="26">
        <v>60</v>
      </c>
      <c r="O245" s="26">
        <f>2024-Inventory[[#This Row],[YrBlt]]</f>
        <v>51</v>
      </c>
      <c r="P245" s="26">
        <f>2024-Inventory[[#This Row],[EffYr]]</f>
        <v>46</v>
      </c>
      <c r="Q245" s="25">
        <v>1973</v>
      </c>
      <c r="R245" s="25">
        <v>1978</v>
      </c>
      <c r="S245" s="25">
        <v>1056</v>
      </c>
      <c r="T245" s="27"/>
      <c r="U245" s="27"/>
      <c r="V245" s="27">
        <f>Inventory[[#This Row],[Bsmt]]-Inventory[[#This Row],[FnBsmt]]</f>
        <v>0</v>
      </c>
      <c r="W245" s="27"/>
      <c r="X245" s="27"/>
      <c r="Y245" s="27">
        <f>Inventory[[#This Row],[MainFn]]+Inventory[[#This Row],[UpprFn]]+Inventory[[#This Row],[FnBsmt]]+Inventory[[#This Row],[AddFn]]</f>
        <v>1056</v>
      </c>
      <c r="Z245" s="27">
        <v>1500</v>
      </c>
      <c r="AA245" s="25">
        <v>5</v>
      </c>
      <c r="AB245" s="27"/>
      <c r="AC245" s="27"/>
      <c r="AD245" s="31"/>
      <c r="AE245" s="27"/>
      <c r="AF245" s="27"/>
      <c r="AG245" s="27"/>
      <c r="AH245" s="27"/>
      <c r="AI245" s="25">
        <v>159443</v>
      </c>
      <c r="AJ245" s="25">
        <v>121177</v>
      </c>
      <c r="AK245" s="25">
        <v>0</v>
      </c>
      <c r="AL245" s="25">
        <v>234300</v>
      </c>
      <c r="AM245" s="25">
        <v>43400</v>
      </c>
      <c r="AN245" s="25">
        <v>190900</v>
      </c>
      <c r="AO245" s="25">
        <v>0</v>
      </c>
      <c r="AP245" s="25">
        <f>Lookups!$B$56*0</f>
        <v>0</v>
      </c>
      <c r="AQ245" s="25">
        <f>Lookups!$B$56*1</f>
        <v>89850.625589999996</v>
      </c>
      <c r="AR245" s="25">
        <f>Lookups!$B$57*Inventory[[#This Row],[LnAcres]]</f>
        <v>-64582.406353792743</v>
      </c>
      <c r="AS245" s="25">
        <f>VLOOKUP(Inventory[[#This Row],[Qlty]],Lookups!$A$62:$E$75,2,FALSE)</f>
        <v>-43578.886190266698</v>
      </c>
      <c r="AT245" s="25">
        <f>VLOOKUP(Inventory[[#This Row],[Cnd]],Lookups!$A$76:$E$84,2,FALSE)</f>
        <v>160472.20319</v>
      </c>
      <c r="AU245" s="25">
        <f>Inventory[[#This Row],[EffAge]]*Lookups!$B$85</f>
        <v>-10260.097623</v>
      </c>
      <c r="AV245" s="25">
        <f>Inventory[[#This Row],[MainFn]]*Lookups!$B$86</f>
        <v>52175.555390112</v>
      </c>
      <c r="AW245" s="25">
        <f>Inventory[[#This Row],[UpprFn]]*Lookups!$B$87</f>
        <v>0</v>
      </c>
      <c r="AX245" s="25">
        <f>Inventory[[#This Row],[AddFn]]*Lookups!$B$88</f>
        <v>0</v>
      </c>
      <c r="AY245" s="25">
        <f>Inventory[[#This Row],[Bsmt]]*Lookups!$B$89</f>
        <v>0</v>
      </c>
      <c r="AZ245" s="25">
        <f>Inventory[[#This Row],[Fixtures]]*Lookups!$B$90</f>
        <v>18960.110526</v>
      </c>
      <c r="BA245" s="25">
        <f>Inventory[[#This Row],[WdDeck]]*Lookups!$B$91</f>
        <v>0</v>
      </c>
      <c r="BB245" s="25">
        <f>ROUND(Inventory[[#This Row],[25Det]],-2)</f>
        <v>0</v>
      </c>
      <c r="BC245" s="25">
        <f>ROUND(SUM(Inventory[[#This Row],[Mdl Qlty]:[Mdl WdDeck]])+Inventory[[#This Row],[Mdl Res Intercept]],-2)</f>
        <v>177800</v>
      </c>
      <c r="BD245" s="25">
        <f>ROUND(Inventory[[#This Row],[Mdl Land Intercept]]+Inventory[[#This Row],[Mdl LnAcres]],-2)</f>
        <v>25300</v>
      </c>
      <c r="BE245" s="25">
        <f>Inventory[[#This Row],[Unadj Res Value]]+Inventory[[#This Row],[Unadj Det Value]]+Inventory[[#This Row],[Unadj Land Value]]</f>
        <v>203100</v>
      </c>
      <c r="BF245" s="36">
        <f>(Inventory[[#This Row],[Unadj Total Value]]-Inventory[[#This Row],[24Final]])/Inventory[[#This Row],[24Final]]</f>
        <v>-0.13316261203585147</v>
      </c>
      <c r="BG245" s="25">
        <f>VLOOKUP(Inventory[[#This Row],[Nbhd]],Lookups!$Q$2:$T$4,4,FALSE)</f>
        <v>0.99970000000000003</v>
      </c>
      <c r="BH245" s="25">
        <f>VLOOKUP(Inventory[[#This Row],[Qlty]],Lookups!$O$7:$R$21,4,FALSE)</f>
        <v>1</v>
      </c>
      <c r="BI245" s="25">
        <f>VLOOKUP(Inventory[[#This Row],[Cnd]],Lookups!$T$7:$W$16,4,FALSE)</f>
        <v>0.99729999999999996</v>
      </c>
      <c r="BJ245" s="25">
        <f>VLOOKUP(Inventory[[#This Row],[LivArea Range]],Lookups!$T$25:$W$37,4,FALSE)</f>
        <v>1.0157</v>
      </c>
      <c r="BK245" s="25">
        <f>VLOOKUP(Inventory[[#This Row],[Decade]],Lookups!$O$25:$R$42,4,FALSE)</f>
        <v>0.98119999999999996</v>
      </c>
      <c r="BL245" s="25">
        <f>Inventory[[#This Row],[Nbhd Adj]]*0.95</f>
        <v>0.94971499999999998</v>
      </c>
      <c r="BM245" s="25">
        <f>Inventory[[#This Row],[Nbhd Adj]]*Inventory[[#This Row],[Quality Adj]]*Inventory[[#This Row],[Condition Adj]]*Inventory[[#This Row],[Living Area Adj]]*Inventory[[#This Row],[Decade Adj]]*0.95</f>
        <v>0.9439350410934243</v>
      </c>
      <c r="BN245" s="25">
        <f>ROUND(SUM(Inventory[[#This Row],[Mdl Qlty]:[Mdl WdDeck]])+Inventory[[#This Row],[Mdl Res Intercept]]*Inventory[[#This Row],[Res Adj ]],-2)</f>
        <v>177800</v>
      </c>
      <c r="BO245" s="25">
        <f>ROUND(Inventory[[#This Row],[25Det]]*Inventory[[#This Row],[Det/Nbhd Adj]],-2)</f>
        <v>0</v>
      </c>
      <c r="BP245" s="25">
        <f>Inventory[[#This Row],[Adjusted Res]]+Inventory[[#This Row],[Adj Det ]]</f>
        <v>177800</v>
      </c>
      <c r="BQ245" s="25">
        <f>ROUND((Inventory[[#This Row],[Mdl Land Intercept]]+Inventory[[#This Row],[Mdl LnAcres]])*Inventory[[#This Row],[Det/Nbhd Adj]],-2)</f>
        <v>24000</v>
      </c>
      <c r="BR245" s="25">
        <f>Inventory[[#This Row],[Adjusted Impr Total]]+Inventory[[#This Row],[Adjusted Land Total]]</f>
        <v>201800</v>
      </c>
      <c r="BS245" s="36">
        <f>IFERROR((Inventory[[#This Row],[Adjusted Impr Total]]-Inventory[[#This Row],[24Bldg]])/Inventory[[#This Row],[24Bldg]],0)</f>
        <v>-6.8622315348349922E-2</v>
      </c>
      <c r="BT245" s="36">
        <f>(Inventory[[#This Row],[Adjusted Land Total]]-Inventory[[#This Row],[24Lnd]])/Inventory[[#This Row],[24Lnd]]</f>
        <v>-0.44700460829493088</v>
      </c>
      <c r="BU245" s="36">
        <f>(Inventory[[#This Row],[Adjusted Total]]-Inventory[[#This Row],[24Final]])/Inventory[[#This Row],[24Final]]</f>
        <v>-0.13871105420401195</v>
      </c>
    </row>
    <row r="246" spans="1:73" x14ac:dyDescent="0.3">
      <c r="A246" s="25">
        <v>2025</v>
      </c>
      <c r="B246" s="26" t="s">
        <v>757</v>
      </c>
      <c r="C246" s="26">
        <f>LN(Inventory[[#This Row],[Acres]])</f>
        <v>-1.6607312068216509</v>
      </c>
      <c r="D246" s="25">
        <v>0.19</v>
      </c>
      <c r="E246" s="25">
        <v>8246</v>
      </c>
      <c r="F246" s="26" t="s">
        <v>537</v>
      </c>
      <c r="G246" s="26" t="s">
        <v>126</v>
      </c>
      <c r="H246" s="26" t="s">
        <v>349</v>
      </c>
      <c r="I246" s="26" t="s">
        <v>538</v>
      </c>
      <c r="J246" s="26" t="s">
        <v>539</v>
      </c>
      <c r="K246" s="26" t="s">
        <v>241</v>
      </c>
      <c r="L246" s="26" t="s">
        <v>302</v>
      </c>
      <c r="M246" s="26" t="s">
        <v>303</v>
      </c>
      <c r="N246" s="26">
        <v>60</v>
      </c>
      <c r="O246" s="26">
        <f>2024-Inventory[[#This Row],[YrBlt]]</f>
        <v>52</v>
      </c>
      <c r="P246" s="26">
        <f>2024-Inventory[[#This Row],[EffYr]]</f>
        <v>46</v>
      </c>
      <c r="Q246" s="25">
        <v>1972</v>
      </c>
      <c r="R246" s="25">
        <v>1978</v>
      </c>
      <c r="S246" s="25">
        <v>1470</v>
      </c>
      <c r="T246" s="27"/>
      <c r="U246" s="31"/>
      <c r="V246" s="31">
        <f>Inventory[[#This Row],[Bsmt]]-Inventory[[#This Row],[FnBsmt]]</f>
        <v>0</v>
      </c>
      <c r="W246" s="31"/>
      <c r="X246" s="27"/>
      <c r="Y246" s="27">
        <f>Inventory[[#This Row],[MainFn]]+Inventory[[#This Row],[UpprFn]]+Inventory[[#This Row],[FnBsmt]]+Inventory[[#This Row],[AddFn]]</f>
        <v>1470</v>
      </c>
      <c r="Z246" s="27">
        <v>1500</v>
      </c>
      <c r="AA246" s="25">
        <v>8</v>
      </c>
      <c r="AB246" s="32">
        <v>506</v>
      </c>
      <c r="AC246" s="27"/>
      <c r="AD246" s="27"/>
      <c r="AE246" s="27"/>
      <c r="AF246" s="27"/>
      <c r="AG246" s="27"/>
      <c r="AH246" s="27"/>
      <c r="AI246" s="25">
        <v>299668</v>
      </c>
      <c r="AJ246" s="25">
        <v>230744</v>
      </c>
      <c r="AK246" s="25">
        <v>0</v>
      </c>
      <c r="AL246" s="25">
        <v>327600</v>
      </c>
      <c r="AM246" s="25">
        <v>56600</v>
      </c>
      <c r="AN246" s="25">
        <v>271000</v>
      </c>
      <c r="AO246" s="25">
        <v>0</v>
      </c>
      <c r="AP246" s="25">
        <f>Lookups!$B$56*0</f>
        <v>0</v>
      </c>
      <c r="AQ246" s="25">
        <f>Lookups!$B$56*1</f>
        <v>89850.625589999996</v>
      </c>
      <c r="AR246" s="25">
        <f>Lookups!$B$57*Inventory[[#This Row],[LnAcres]]</f>
        <v>-52569.808201026557</v>
      </c>
      <c r="AS246" s="25">
        <f>VLOOKUP(Inventory[[#This Row],[Qlty]],Lookups!$A$62:$E$75,2,FALSE)</f>
        <v>29814.093161000001</v>
      </c>
      <c r="AT246" s="25">
        <f>VLOOKUP(Inventory[[#This Row],[Cnd]],Lookups!$A$76:$E$84,2,FALSE)</f>
        <v>197752.34721000001</v>
      </c>
      <c r="AU246" s="25">
        <f>Inventory[[#This Row],[EffAge]]*Lookups!$B$85</f>
        <v>-10260.097623</v>
      </c>
      <c r="AV246" s="25">
        <f>Inventory[[#This Row],[MainFn]]*Lookups!$B$86</f>
        <v>72630.744719189999</v>
      </c>
      <c r="AW246" s="25">
        <f>Inventory[[#This Row],[UpprFn]]*Lookups!$B$87</f>
        <v>0</v>
      </c>
      <c r="AX246" s="25">
        <f>Inventory[[#This Row],[AddFn]]*Lookups!$B$88</f>
        <v>0</v>
      </c>
      <c r="AY246" s="25">
        <f>Inventory[[#This Row],[Bsmt]]*Lookups!$B$89</f>
        <v>0</v>
      </c>
      <c r="AZ246" s="25">
        <f>Inventory[[#This Row],[Fixtures]]*Lookups!$B$90</f>
        <v>30336.176841600001</v>
      </c>
      <c r="BA246" s="25">
        <f>Inventory[[#This Row],[WdDeck]]*Lookups!$B$91</f>
        <v>0</v>
      </c>
      <c r="BB246" s="25">
        <f>ROUND(Inventory[[#This Row],[25Det]],-2)</f>
        <v>0</v>
      </c>
      <c r="BC246" s="25">
        <f>ROUND(SUM(Inventory[[#This Row],[Mdl Qlty]:[Mdl WdDeck]])+Inventory[[#This Row],[Mdl Res Intercept]],-2)</f>
        <v>320300</v>
      </c>
      <c r="BD246" s="25">
        <f>ROUND(Inventory[[#This Row],[Mdl Land Intercept]]+Inventory[[#This Row],[Mdl LnAcres]],-2)</f>
        <v>37300</v>
      </c>
      <c r="BE246" s="25">
        <f>Inventory[[#This Row],[Unadj Res Value]]+Inventory[[#This Row],[Unadj Det Value]]+Inventory[[#This Row],[Unadj Land Value]]</f>
        <v>357600</v>
      </c>
      <c r="BF246" s="36">
        <f>(Inventory[[#This Row],[Unadj Total Value]]-Inventory[[#This Row],[24Final]])/Inventory[[#This Row],[24Final]]</f>
        <v>9.1575091575091569E-2</v>
      </c>
      <c r="BG246" s="25">
        <f>VLOOKUP(Inventory[[#This Row],[Nbhd]],Lookups!$Q$2:$T$4,4,FALSE)</f>
        <v>0.99970000000000003</v>
      </c>
      <c r="BH246" s="25">
        <f>VLOOKUP(Inventory[[#This Row],[Qlty]],Lookups!$O$7:$R$21,4,FALSE)</f>
        <v>1.0088999999999999</v>
      </c>
      <c r="BI246" s="25">
        <f>VLOOKUP(Inventory[[#This Row],[Cnd]],Lookups!$T$7:$W$16,4,FALSE)</f>
        <v>0.99650000000000005</v>
      </c>
      <c r="BJ246" s="25">
        <f>VLOOKUP(Inventory[[#This Row],[LivArea Range]],Lookups!$T$25:$W$37,4,FALSE)</f>
        <v>1.0157</v>
      </c>
      <c r="BK246" s="25">
        <f>VLOOKUP(Inventory[[#This Row],[Decade]],Lookups!$O$25:$R$42,4,FALSE)</f>
        <v>0.98119999999999996</v>
      </c>
      <c r="BL246" s="25">
        <f>Inventory[[#This Row],[Nbhd Adj]]*0.95</f>
        <v>0.94971499999999998</v>
      </c>
      <c r="BM246" s="25">
        <f>Inventory[[#This Row],[Nbhd Adj]]*Inventory[[#This Row],[Quality Adj]]*Inventory[[#This Row],[Condition Adj]]*Inventory[[#This Row],[Living Area Adj]]*Inventory[[#This Row],[Decade Adj]]*0.95</f>
        <v>0.95157213149383213</v>
      </c>
      <c r="BN246" s="25">
        <f>ROUND(SUM(Inventory[[#This Row],[Mdl Qlty]:[Mdl WdDeck]])+Inventory[[#This Row],[Mdl Res Intercept]]*Inventory[[#This Row],[Res Adj ]],-2)</f>
        <v>320300</v>
      </c>
      <c r="BO246" s="25">
        <f>ROUND(Inventory[[#This Row],[25Det]]*Inventory[[#This Row],[Det/Nbhd Adj]],-2)</f>
        <v>0</v>
      </c>
      <c r="BP246" s="25">
        <f>Inventory[[#This Row],[Adjusted Res]]+Inventory[[#This Row],[Adj Det ]]</f>
        <v>320300</v>
      </c>
      <c r="BQ246" s="25">
        <f>ROUND((Inventory[[#This Row],[Mdl Land Intercept]]+Inventory[[#This Row],[Mdl LnAcres]])*Inventory[[#This Row],[Det/Nbhd Adj]],-2)</f>
        <v>35400</v>
      </c>
      <c r="BR246" s="25">
        <f>Inventory[[#This Row],[Adjusted Impr Total]]+Inventory[[#This Row],[Adjusted Land Total]]</f>
        <v>355700</v>
      </c>
      <c r="BS246" s="36">
        <f>IFERROR((Inventory[[#This Row],[Adjusted Impr Total]]-Inventory[[#This Row],[24Bldg]])/Inventory[[#This Row],[24Bldg]],0)</f>
        <v>0.18191881918819189</v>
      </c>
      <c r="BT246" s="36">
        <f>(Inventory[[#This Row],[Adjusted Land Total]]-Inventory[[#This Row],[24Lnd]])/Inventory[[#This Row],[24Lnd]]</f>
        <v>-0.37455830388692579</v>
      </c>
      <c r="BU246" s="36">
        <f>(Inventory[[#This Row],[Adjusted Total]]-Inventory[[#This Row],[24Final]])/Inventory[[#This Row],[24Final]]</f>
        <v>8.5775335775335776E-2</v>
      </c>
    </row>
    <row r="247" spans="1:73" x14ac:dyDescent="0.3">
      <c r="A247" s="25">
        <v>2025</v>
      </c>
      <c r="B247" s="26" t="s">
        <v>2840</v>
      </c>
      <c r="C247" s="26">
        <f>LN(Inventory[[#This Row],[Acres]])</f>
        <v>-2.5257286443082556</v>
      </c>
      <c r="D247" s="25">
        <v>0.08</v>
      </c>
      <c r="E247" s="25">
        <v>3679</v>
      </c>
      <c r="F247" s="26" t="s">
        <v>537</v>
      </c>
      <c r="G247" s="26" t="s">
        <v>126</v>
      </c>
      <c r="H247" s="26" t="s">
        <v>349</v>
      </c>
      <c r="I247" s="26" t="s">
        <v>538</v>
      </c>
      <c r="J247" s="26" t="s">
        <v>539</v>
      </c>
      <c r="K247" s="26" t="s">
        <v>241</v>
      </c>
      <c r="L247" s="26" t="s">
        <v>148</v>
      </c>
      <c r="M247" s="26" t="s">
        <v>323</v>
      </c>
      <c r="N247" s="26">
        <v>60</v>
      </c>
      <c r="O247" s="26">
        <f>2024-Inventory[[#This Row],[YrBlt]]</f>
        <v>52</v>
      </c>
      <c r="P247" s="26">
        <f>2024-Inventory[[#This Row],[EffYr]]</f>
        <v>46</v>
      </c>
      <c r="Q247" s="25">
        <v>1972</v>
      </c>
      <c r="R247" s="25">
        <v>1978</v>
      </c>
      <c r="S247" s="25">
        <v>1327</v>
      </c>
      <c r="T247" s="27"/>
      <c r="U247" s="32">
        <v>912</v>
      </c>
      <c r="V247" s="32">
        <f>Inventory[[#This Row],[Bsmt]]-Inventory[[#This Row],[FnBsmt]]</f>
        <v>0</v>
      </c>
      <c r="W247" s="32">
        <v>912</v>
      </c>
      <c r="X247" s="27"/>
      <c r="Y247" s="27">
        <f>Inventory[[#This Row],[MainFn]]+Inventory[[#This Row],[UpprFn]]+Inventory[[#This Row],[FnBsmt]]+Inventory[[#This Row],[AddFn]]</f>
        <v>2239</v>
      </c>
      <c r="Z247" s="27">
        <v>2500</v>
      </c>
      <c r="AA247" s="25">
        <v>15</v>
      </c>
      <c r="AB247" s="31"/>
      <c r="AC247" s="27"/>
      <c r="AD247" s="27"/>
      <c r="AE247" s="27"/>
      <c r="AF247" s="27"/>
      <c r="AG247" s="27"/>
      <c r="AH247" s="27"/>
      <c r="AI247" s="25">
        <v>409753</v>
      </c>
      <c r="AJ247" s="25">
        <v>311412</v>
      </c>
      <c r="AK247" s="25">
        <v>0</v>
      </c>
      <c r="AL247" s="25">
        <v>326100</v>
      </c>
      <c r="AM247" s="25">
        <v>26500</v>
      </c>
      <c r="AN247" s="25">
        <v>299600</v>
      </c>
      <c r="AO247" s="25">
        <v>0</v>
      </c>
      <c r="AP247" s="25">
        <f>Lookups!$B$56*0</f>
        <v>0</v>
      </c>
      <c r="AQ247" s="25">
        <f>Lookups!$B$56*1</f>
        <v>89850.625589999996</v>
      </c>
      <c r="AR247" s="25">
        <f>Lookups!$B$57*Inventory[[#This Row],[LnAcres]]</f>
        <v>-79950.969701614697</v>
      </c>
      <c r="AS247" s="25">
        <f>VLOOKUP(Inventory[[#This Row],[Qlty]],Lookups!$A$62:$E$75,2,FALSE)</f>
        <v>44121.038090000002</v>
      </c>
      <c r="AT247" s="25">
        <f>VLOOKUP(Inventory[[#This Row],[Cnd]],Lookups!$A$76:$E$84,2,FALSE)</f>
        <v>160472.20319</v>
      </c>
      <c r="AU247" s="25">
        <f>Inventory[[#This Row],[EffAge]]*Lookups!$B$85</f>
        <v>-10260.097623</v>
      </c>
      <c r="AV247" s="25">
        <f>Inventory[[#This Row],[MainFn]]*Lookups!$B$86</f>
        <v>65565.304926779005</v>
      </c>
      <c r="AW247" s="25">
        <f>Inventory[[#This Row],[UpprFn]]*Lookups!$B$87</f>
        <v>0</v>
      </c>
      <c r="AX247" s="25">
        <f>Inventory[[#This Row],[AddFn]]*Lookups!$B$88</f>
        <v>0</v>
      </c>
      <c r="AY247" s="25">
        <f>Inventory[[#This Row],[Bsmt]]*Lookups!$B$89</f>
        <v>26522.688465264</v>
      </c>
      <c r="AZ247" s="25">
        <f>Inventory[[#This Row],[Fixtures]]*Lookups!$B$90</f>
        <v>56880.331578000005</v>
      </c>
      <c r="BA247" s="25">
        <f>Inventory[[#This Row],[WdDeck]]*Lookups!$B$91</f>
        <v>0</v>
      </c>
      <c r="BB247" s="25">
        <f>ROUND(Inventory[[#This Row],[25Det]],-2)</f>
        <v>0</v>
      </c>
      <c r="BC247" s="25">
        <f>ROUND(SUM(Inventory[[#This Row],[Mdl Qlty]:[Mdl WdDeck]])+Inventory[[#This Row],[Mdl Res Intercept]],-2)</f>
        <v>343300</v>
      </c>
      <c r="BD247" s="25">
        <f>ROUND(Inventory[[#This Row],[Mdl Land Intercept]]+Inventory[[#This Row],[Mdl LnAcres]],-2)</f>
        <v>9900</v>
      </c>
      <c r="BE247" s="25">
        <f>Inventory[[#This Row],[Unadj Res Value]]+Inventory[[#This Row],[Unadj Det Value]]+Inventory[[#This Row],[Unadj Land Value]]</f>
        <v>353200</v>
      </c>
      <c r="BF247" s="36">
        <f>(Inventory[[#This Row],[Unadj Total Value]]-Inventory[[#This Row],[24Final]])/Inventory[[#This Row],[24Final]]</f>
        <v>8.3103342532965349E-2</v>
      </c>
      <c r="BG247" s="25">
        <f>VLOOKUP(Inventory[[#This Row],[Nbhd]],Lookups!$Q$2:$T$4,4,FALSE)</f>
        <v>0.99970000000000003</v>
      </c>
      <c r="BH247" s="25">
        <f>VLOOKUP(Inventory[[#This Row],[Qlty]],Lookups!$O$7:$R$21,4,FALSE)</f>
        <v>0.98050000000000004</v>
      </c>
      <c r="BI247" s="25">
        <f>VLOOKUP(Inventory[[#This Row],[Cnd]],Lookups!$T$7:$W$16,4,FALSE)</f>
        <v>0.99729999999999996</v>
      </c>
      <c r="BJ247" s="25">
        <f>VLOOKUP(Inventory[[#This Row],[LivArea Range]],Lookups!$T$25:$W$37,4,FALSE)</f>
        <v>0.98919999999999997</v>
      </c>
      <c r="BK247" s="25">
        <f>VLOOKUP(Inventory[[#This Row],[Decade]],Lookups!$O$25:$R$42,4,FALSE)</f>
        <v>0.98119999999999996</v>
      </c>
      <c r="BL247" s="25">
        <f>Inventory[[#This Row],[Nbhd Adj]]*0.95</f>
        <v>0.94971499999999998</v>
      </c>
      <c r="BM247" s="25">
        <f>Inventory[[#This Row],[Nbhd Adj]]*Inventory[[#This Row],[Quality Adj]]*Inventory[[#This Row],[Condition Adj]]*Inventory[[#This Row],[Living Area Adj]]*Inventory[[#This Row],[Decade Adj]]*0.95</f>
        <v>0.90138092159884586</v>
      </c>
      <c r="BN247" s="25">
        <f>ROUND(SUM(Inventory[[#This Row],[Mdl Qlty]:[Mdl WdDeck]])+Inventory[[#This Row],[Mdl Res Intercept]]*Inventory[[#This Row],[Res Adj ]],-2)</f>
        <v>343300</v>
      </c>
      <c r="BO247" s="25">
        <f>ROUND(Inventory[[#This Row],[25Det]]*Inventory[[#This Row],[Det/Nbhd Adj]],-2)</f>
        <v>0</v>
      </c>
      <c r="BP247" s="25">
        <f>Inventory[[#This Row],[Adjusted Res]]+Inventory[[#This Row],[Adj Det ]]</f>
        <v>343300</v>
      </c>
      <c r="BQ247" s="25">
        <f>ROUND((Inventory[[#This Row],[Mdl Land Intercept]]+Inventory[[#This Row],[Mdl LnAcres]])*Inventory[[#This Row],[Det/Nbhd Adj]],-2)</f>
        <v>9400</v>
      </c>
      <c r="BR247" s="25">
        <f>Inventory[[#This Row],[Adjusted Impr Total]]+Inventory[[#This Row],[Adjusted Land Total]]</f>
        <v>352700</v>
      </c>
      <c r="BS247" s="36">
        <f>IFERROR((Inventory[[#This Row],[Adjusted Impr Total]]-Inventory[[#This Row],[24Bldg]])/Inventory[[#This Row],[24Bldg]],0)</f>
        <v>0.1458611481975968</v>
      </c>
      <c r="BT247" s="36">
        <f>(Inventory[[#This Row],[Adjusted Land Total]]-Inventory[[#This Row],[24Lnd]])/Inventory[[#This Row],[24Lnd]]</f>
        <v>-0.6452830188679245</v>
      </c>
      <c r="BU247" s="36">
        <f>(Inventory[[#This Row],[Adjusted Total]]-Inventory[[#This Row],[24Final]])/Inventory[[#This Row],[24Final]]</f>
        <v>8.1570070530512115E-2</v>
      </c>
    </row>
    <row r="248" spans="1:73" x14ac:dyDescent="0.3">
      <c r="A248" s="25">
        <v>2025</v>
      </c>
      <c r="B248" s="26" t="s">
        <v>1007</v>
      </c>
      <c r="C248" s="26">
        <f>LN(Inventory[[#This Row],[Acres]])</f>
        <v>-1.3862943611198906</v>
      </c>
      <c r="D248" s="25">
        <v>0.25</v>
      </c>
      <c r="E248" s="25">
        <v>10922</v>
      </c>
      <c r="F248" s="26" t="s">
        <v>537</v>
      </c>
      <c r="G248" s="26" t="s">
        <v>126</v>
      </c>
      <c r="H248" s="26" t="s">
        <v>349</v>
      </c>
      <c r="I248" s="26" t="s">
        <v>538</v>
      </c>
      <c r="J248" s="26" t="s">
        <v>539</v>
      </c>
      <c r="K248" s="26" t="s">
        <v>241</v>
      </c>
      <c r="L248" s="26" t="s">
        <v>351</v>
      </c>
      <c r="M248" s="26" t="s">
        <v>303</v>
      </c>
      <c r="N248" s="26">
        <v>60</v>
      </c>
      <c r="O248" s="26">
        <f>2024-Inventory[[#This Row],[YrBlt]]</f>
        <v>52</v>
      </c>
      <c r="P248" s="26">
        <f>2024-Inventory[[#This Row],[EffYr]]</f>
        <v>46</v>
      </c>
      <c r="Q248" s="25">
        <v>1972</v>
      </c>
      <c r="R248" s="25">
        <v>1978</v>
      </c>
      <c r="S248" s="25">
        <v>1305</v>
      </c>
      <c r="T248" s="27"/>
      <c r="U248" s="27"/>
      <c r="V248" s="27">
        <f>Inventory[[#This Row],[Bsmt]]-Inventory[[#This Row],[FnBsmt]]</f>
        <v>0</v>
      </c>
      <c r="W248" s="27"/>
      <c r="X248" s="27"/>
      <c r="Y248" s="27">
        <f>Inventory[[#This Row],[MainFn]]+Inventory[[#This Row],[UpprFn]]+Inventory[[#This Row],[FnBsmt]]+Inventory[[#This Row],[AddFn]]</f>
        <v>1305</v>
      </c>
      <c r="Z248" s="27">
        <v>1500</v>
      </c>
      <c r="AA248" s="25">
        <v>9</v>
      </c>
      <c r="AB248" s="32">
        <v>638</v>
      </c>
      <c r="AC248" s="27"/>
      <c r="AD248" s="27"/>
      <c r="AE248" s="27"/>
      <c r="AF248" s="27"/>
      <c r="AG248" s="27"/>
      <c r="AH248" s="27"/>
      <c r="AI248" s="25">
        <v>250889</v>
      </c>
      <c r="AJ248" s="25">
        <v>193185</v>
      </c>
      <c r="AK248" s="25">
        <v>0</v>
      </c>
      <c r="AL248" s="25">
        <v>330100</v>
      </c>
      <c r="AM248" s="25">
        <v>66200</v>
      </c>
      <c r="AN248" s="25">
        <v>263900</v>
      </c>
      <c r="AO248" s="25">
        <v>0</v>
      </c>
      <c r="AP248" s="25">
        <f>Lookups!$B$56*0</f>
        <v>0</v>
      </c>
      <c r="AQ248" s="25">
        <f>Lookups!$B$56*1</f>
        <v>89850.625589999996</v>
      </c>
      <c r="AR248" s="25">
        <f>Lookups!$B$57*Inventory[[#This Row],[LnAcres]]</f>
        <v>-43882.615305165229</v>
      </c>
      <c r="AS248" s="25">
        <f>VLOOKUP(Inventory[[#This Row],[Qlty]],Lookups!$A$62:$E$75,2,FALSE)</f>
        <v>21557.329055999999</v>
      </c>
      <c r="AT248" s="25">
        <f>VLOOKUP(Inventory[[#This Row],[Cnd]],Lookups!$A$76:$E$84,2,FALSE)</f>
        <v>197752.34721000001</v>
      </c>
      <c r="AU248" s="25">
        <f>Inventory[[#This Row],[EffAge]]*Lookups!$B$85</f>
        <v>-10260.097623</v>
      </c>
      <c r="AV248" s="25">
        <f>Inventory[[#This Row],[MainFn]]*Lookups!$B$86</f>
        <v>64478.314189485005</v>
      </c>
      <c r="AW248" s="25">
        <f>Inventory[[#This Row],[UpprFn]]*Lookups!$B$87</f>
        <v>0</v>
      </c>
      <c r="AX248" s="25">
        <f>Inventory[[#This Row],[AddFn]]*Lookups!$B$88</f>
        <v>0</v>
      </c>
      <c r="AY248" s="25">
        <f>Inventory[[#This Row],[Bsmt]]*Lookups!$B$89</f>
        <v>0</v>
      </c>
      <c r="AZ248" s="25">
        <f>Inventory[[#This Row],[Fixtures]]*Lookups!$B$90</f>
        <v>34128.198946800003</v>
      </c>
      <c r="BA248" s="25">
        <f>Inventory[[#This Row],[WdDeck]]*Lookups!$B$91</f>
        <v>0</v>
      </c>
      <c r="BB248" s="25">
        <f>ROUND(Inventory[[#This Row],[25Det]],-2)</f>
        <v>0</v>
      </c>
      <c r="BC248" s="25">
        <f>ROUND(SUM(Inventory[[#This Row],[Mdl Qlty]:[Mdl WdDeck]])+Inventory[[#This Row],[Mdl Res Intercept]],-2)</f>
        <v>307700</v>
      </c>
      <c r="BD248" s="25">
        <f>ROUND(Inventory[[#This Row],[Mdl Land Intercept]]+Inventory[[#This Row],[Mdl LnAcres]],-2)</f>
        <v>46000</v>
      </c>
      <c r="BE248" s="25">
        <f>Inventory[[#This Row],[Unadj Res Value]]+Inventory[[#This Row],[Unadj Det Value]]+Inventory[[#This Row],[Unadj Land Value]]</f>
        <v>353700</v>
      </c>
      <c r="BF248" s="36">
        <f>(Inventory[[#This Row],[Unadj Total Value]]-Inventory[[#This Row],[24Final]])/Inventory[[#This Row],[24Final]]</f>
        <v>7.1493486822175101E-2</v>
      </c>
      <c r="BG248" s="25">
        <f>VLOOKUP(Inventory[[#This Row],[Nbhd]],Lookups!$Q$2:$T$4,4,FALSE)</f>
        <v>0.99970000000000003</v>
      </c>
      <c r="BH248" s="25">
        <f>VLOOKUP(Inventory[[#This Row],[Qlty]],Lookups!$O$7:$R$21,4,FALSE)</f>
        <v>1.0067999999999999</v>
      </c>
      <c r="BI248" s="25">
        <f>VLOOKUP(Inventory[[#This Row],[Cnd]],Lookups!$T$7:$W$16,4,FALSE)</f>
        <v>0.99650000000000005</v>
      </c>
      <c r="BJ248" s="25">
        <f>VLOOKUP(Inventory[[#This Row],[LivArea Range]],Lookups!$T$25:$W$37,4,FALSE)</f>
        <v>1.0157</v>
      </c>
      <c r="BK248" s="25">
        <f>VLOOKUP(Inventory[[#This Row],[Decade]],Lookups!$O$25:$R$42,4,FALSE)</f>
        <v>0.98119999999999996</v>
      </c>
      <c r="BL248" s="25">
        <f>Inventory[[#This Row],[Nbhd Adj]]*0.95</f>
        <v>0.94971499999999998</v>
      </c>
      <c r="BM248" s="25">
        <f>Inventory[[#This Row],[Nbhd Adj]]*Inventory[[#This Row],[Quality Adj]]*Inventory[[#This Row],[Condition Adj]]*Inventory[[#This Row],[Living Area Adj]]*Inventory[[#This Row],[Decade Adj]]*0.95</f>
        <v>0.9495914580116861</v>
      </c>
      <c r="BN248" s="25">
        <f>ROUND(SUM(Inventory[[#This Row],[Mdl Qlty]:[Mdl WdDeck]])+Inventory[[#This Row],[Mdl Res Intercept]]*Inventory[[#This Row],[Res Adj ]],-2)</f>
        <v>307700</v>
      </c>
      <c r="BO248" s="25">
        <f>ROUND(Inventory[[#This Row],[25Det]]*Inventory[[#This Row],[Det/Nbhd Adj]],-2)</f>
        <v>0</v>
      </c>
      <c r="BP248" s="25">
        <f>Inventory[[#This Row],[Adjusted Res]]+Inventory[[#This Row],[Adj Det ]]</f>
        <v>307700</v>
      </c>
      <c r="BQ248" s="25">
        <f>ROUND((Inventory[[#This Row],[Mdl Land Intercept]]+Inventory[[#This Row],[Mdl LnAcres]])*Inventory[[#This Row],[Det/Nbhd Adj]],-2)</f>
        <v>43700</v>
      </c>
      <c r="BR248" s="25">
        <f>Inventory[[#This Row],[Adjusted Impr Total]]+Inventory[[#This Row],[Adjusted Land Total]]</f>
        <v>351400</v>
      </c>
      <c r="BS248" s="36">
        <f>IFERROR((Inventory[[#This Row],[Adjusted Impr Total]]-Inventory[[#This Row],[24Bldg]])/Inventory[[#This Row],[24Bldg]],0)</f>
        <v>0.16597195907540735</v>
      </c>
      <c r="BT248" s="36">
        <f>(Inventory[[#This Row],[Adjusted Land Total]]-Inventory[[#This Row],[24Lnd]])/Inventory[[#This Row],[24Lnd]]</f>
        <v>-0.33987915407854985</v>
      </c>
      <c r="BU248" s="36">
        <f>(Inventory[[#This Row],[Adjusted Total]]-Inventory[[#This Row],[24Final]])/Inventory[[#This Row],[24Final]]</f>
        <v>6.4525901242047864E-2</v>
      </c>
    </row>
    <row r="249" spans="1:73" x14ac:dyDescent="0.3">
      <c r="A249" s="25">
        <v>2025</v>
      </c>
      <c r="B249" s="26" t="s">
        <v>1769</v>
      </c>
      <c r="C249" s="26">
        <f>LN(Inventory[[#This Row],[Acres]])</f>
        <v>-2.0402208285265546</v>
      </c>
      <c r="D249" s="25">
        <v>0.13</v>
      </c>
      <c r="E249" s="25">
        <v>5552</v>
      </c>
      <c r="F249" s="26" t="s">
        <v>537</v>
      </c>
      <c r="G249" s="26" t="s">
        <v>126</v>
      </c>
      <c r="H249" s="26" t="s">
        <v>349</v>
      </c>
      <c r="I249" s="26" t="s">
        <v>538</v>
      </c>
      <c r="J249" s="26" t="s">
        <v>539</v>
      </c>
      <c r="K249" s="26" t="s">
        <v>241</v>
      </c>
      <c r="L249" s="26" t="s">
        <v>351</v>
      </c>
      <c r="M249" s="26" t="s">
        <v>323</v>
      </c>
      <c r="N249" s="26">
        <v>60</v>
      </c>
      <c r="O249" s="26">
        <f>2024-Inventory[[#This Row],[YrBlt]]</f>
        <v>52</v>
      </c>
      <c r="P249" s="26">
        <f>2024-Inventory[[#This Row],[EffYr]]</f>
        <v>46</v>
      </c>
      <c r="Q249" s="25">
        <v>1972</v>
      </c>
      <c r="R249" s="25">
        <v>1978</v>
      </c>
      <c r="S249" s="25">
        <v>1050</v>
      </c>
      <c r="T249" s="27"/>
      <c r="U249" s="31"/>
      <c r="V249" s="31">
        <f>Inventory[[#This Row],[Bsmt]]-Inventory[[#This Row],[FnBsmt]]</f>
        <v>0</v>
      </c>
      <c r="W249" s="31"/>
      <c r="X249" s="27"/>
      <c r="Y249" s="27">
        <f>Inventory[[#This Row],[MainFn]]+Inventory[[#This Row],[UpprFn]]+Inventory[[#This Row],[FnBsmt]]+Inventory[[#This Row],[AddFn]]</f>
        <v>1050</v>
      </c>
      <c r="Z249" s="27">
        <v>1500</v>
      </c>
      <c r="AA249" s="25">
        <v>9</v>
      </c>
      <c r="AB249" s="31"/>
      <c r="AC249" s="27"/>
      <c r="AD249" s="31"/>
      <c r="AE249" s="27"/>
      <c r="AF249" s="27"/>
      <c r="AG249" s="27"/>
      <c r="AH249" s="27"/>
      <c r="AI249" s="25">
        <v>172933</v>
      </c>
      <c r="AJ249" s="25">
        <v>131429</v>
      </c>
      <c r="AK249" s="25">
        <v>19450</v>
      </c>
      <c r="AL249" s="25">
        <v>283700</v>
      </c>
      <c r="AM249" s="25">
        <v>43400</v>
      </c>
      <c r="AN249" s="25">
        <v>240300</v>
      </c>
      <c r="AO249" s="25">
        <v>0</v>
      </c>
      <c r="AP249" s="25">
        <f>Lookups!$B$56*0</f>
        <v>0</v>
      </c>
      <c r="AQ249" s="25">
        <f>Lookups!$B$56*1</f>
        <v>89850.625589999996</v>
      </c>
      <c r="AR249" s="25">
        <f>Lookups!$B$57*Inventory[[#This Row],[LnAcres]]</f>
        <v>-64582.406353792743</v>
      </c>
      <c r="AS249" s="25">
        <f>VLOOKUP(Inventory[[#This Row],[Qlty]],Lookups!$A$62:$E$75,2,FALSE)</f>
        <v>21557.329055999999</v>
      </c>
      <c r="AT249" s="25">
        <f>VLOOKUP(Inventory[[#This Row],[Cnd]],Lookups!$A$76:$E$84,2,FALSE)</f>
        <v>160472.20319</v>
      </c>
      <c r="AU249" s="25">
        <f>Inventory[[#This Row],[EffAge]]*Lookups!$B$85</f>
        <v>-10260.097623</v>
      </c>
      <c r="AV249" s="25">
        <f>Inventory[[#This Row],[MainFn]]*Lookups!$B$86</f>
        <v>51879.103370850004</v>
      </c>
      <c r="AW249" s="25">
        <f>Inventory[[#This Row],[UpprFn]]*Lookups!$B$87</f>
        <v>0</v>
      </c>
      <c r="AX249" s="25">
        <f>Inventory[[#This Row],[AddFn]]*Lookups!$B$88</f>
        <v>0</v>
      </c>
      <c r="AY249" s="25">
        <f>Inventory[[#This Row],[Bsmt]]*Lookups!$B$89</f>
        <v>0</v>
      </c>
      <c r="AZ249" s="25">
        <f>Inventory[[#This Row],[Fixtures]]*Lookups!$B$90</f>
        <v>34128.198946800003</v>
      </c>
      <c r="BA249" s="25">
        <f>Inventory[[#This Row],[WdDeck]]*Lookups!$B$91</f>
        <v>0</v>
      </c>
      <c r="BB249" s="25">
        <f>ROUND(Inventory[[#This Row],[25Det]],-2)</f>
        <v>19500</v>
      </c>
      <c r="BC249" s="25">
        <f>ROUND(SUM(Inventory[[#This Row],[Mdl Qlty]:[Mdl WdDeck]])+Inventory[[#This Row],[Mdl Res Intercept]],-2)</f>
        <v>257800</v>
      </c>
      <c r="BD249" s="25">
        <f>ROUND(Inventory[[#This Row],[Mdl Land Intercept]]+Inventory[[#This Row],[Mdl LnAcres]],-2)</f>
        <v>25300</v>
      </c>
      <c r="BE249" s="25">
        <f>Inventory[[#This Row],[Unadj Res Value]]+Inventory[[#This Row],[Unadj Det Value]]+Inventory[[#This Row],[Unadj Land Value]]</f>
        <v>302600</v>
      </c>
      <c r="BF249" s="36">
        <f>(Inventory[[#This Row],[Unadj Total Value]]-Inventory[[#This Row],[24Final]])/Inventory[[#This Row],[24Final]]</f>
        <v>6.6619668664081783E-2</v>
      </c>
      <c r="BG249" s="25">
        <f>VLOOKUP(Inventory[[#This Row],[Nbhd]],Lookups!$Q$2:$T$4,4,FALSE)</f>
        <v>0.99970000000000003</v>
      </c>
      <c r="BH249" s="25">
        <f>VLOOKUP(Inventory[[#This Row],[Qlty]],Lookups!$O$7:$R$21,4,FALSE)</f>
        <v>1.0067999999999999</v>
      </c>
      <c r="BI249" s="25">
        <f>VLOOKUP(Inventory[[#This Row],[Cnd]],Lookups!$T$7:$W$16,4,FALSE)</f>
        <v>0.99729999999999996</v>
      </c>
      <c r="BJ249" s="25">
        <f>VLOOKUP(Inventory[[#This Row],[LivArea Range]],Lookups!$T$25:$W$37,4,FALSE)</f>
        <v>1.0157</v>
      </c>
      <c r="BK249" s="25">
        <f>VLOOKUP(Inventory[[#This Row],[Decade]],Lookups!$O$25:$R$42,4,FALSE)</f>
        <v>0.98119999999999996</v>
      </c>
      <c r="BL249" s="25">
        <f>Inventory[[#This Row],[Nbhd Adj]]*0.95</f>
        <v>0.94971499999999998</v>
      </c>
      <c r="BM249" s="25">
        <f>Inventory[[#This Row],[Nbhd Adj]]*Inventory[[#This Row],[Quality Adj]]*Inventory[[#This Row],[Condition Adj]]*Inventory[[#This Row],[Living Area Adj]]*Inventory[[#This Row],[Decade Adj]]*0.95</f>
        <v>0.95035379937285946</v>
      </c>
      <c r="BN249" s="25">
        <f>ROUND(SUM(Inventory[[#This Row],[Mdl Qlty]:[Mdl WdDeck]])+Inventory[[#This Row],[Mdl Res Intercept]]*Inventory[[#This Row],[Res Adj ]],-2)</f>
        <v>257800</v>
      </c>
      <c r="BO249" s="25">
        <f>ROUND(Inventory[[#This Row],[25Det]]*Inventory[[#This Row],[Det/Nbhd Adj]],-2)</f>
        <v>18500</v>
      </c>
      <c r="BP249" s="25">
        <f>Inventory[[#This Row],[Adjusted Res]]+Inventory[[#This Row],[Adj Det ]]</f>
        <v>276300</v>
      </c>
      <c r="BQ249" s="25">
        <f>ROUND((Inventory[[#This Row],[Mdl Land Intercept]]+Inventory[[#This Row],[Mdl LnAcres]])*Inventory[[#This Row],[Det/Nbhd Adj]],-2)</f>
        <v>24000</v>
      </c>
      <c r="BR249" s="25">
        <f>Inventory[[#This Row],[Adjusted Impr Total]]+Inventory[[#This Row],[Adjusted Land Total]]</f>
        <v>300300</v>
      </c>
      <c r="BS249" s="36">
        <f>IFERROR((Inventory[[#This Row],[Adjusted Impr Total]]-Inventory[[#This Row],[24Bldg]])/Inventory[[#This Row],[24Bldg]],0)</f>
        <v>0.14981273408239701</v>
      </c>
      <c r="BT249" s="36">
        <f>(Inventory[[#This Row],[Adjusted Land Total]]-Inventory[[#This Row],[24Lnd]])/Inventory[[#This Row],[24Lnd]]</f>
        <v>-0.44700460829493088</v>
      </c>
      <c r="BU249" s="36">
        <f>(Inventory[[#This Row],[Adjusted Total]]-Inventory[[#This Row],[24Final]])/Inventory[[#This Row],[24Final]]</f>
        <v>5.8512513218188227E-2</v>
      </c>
    </row>
    <row r="250" spans="1:73" x14ac:dyDescent="0.3">
      <c r="A250" s="25">
        <v>2025</v>
      </c>
      <c r="B250" s="26" t="s">
        <v>758</v>
      </c>
      <c r="C250" s="26">
        <f>LN(Inventory[[#This Row],[Acres]])</f>
        <v>-1.7147984280919266</v>
      </c>
      <c r="D250" s="25">
        <v>0.18</v>
      </c>
      <c r="E250" s="25">
        <v>7884</v>
      </c>
      <c r="F250" s="26" t="s">
        <v>537</v>
      </c>
      <c r="G250" s="26" t="s">
        <v>126</v>
      </c>
      <c r="H250" s="26" t="s">
        <v>349</v>
      </c>
      <c r="I250" s="26" t="s">
        <v>538</v>
      </c>
      <c r="J250" s="26" t="s">
        <v>539</v>
      </c>
      <c r="K250" s="26" t="s">
        <v>241</v>
      </c>
      <c r="L250" s="26" t="s">
        <v>302</v>
      </c>
      <c r="M250" s="26" t="s">
        <v>323</v>
      </c>
      <c r="N250" s="26">
        <v>60</v>
      </c>
      <c r="O250" s="26">
        <f>2024-Inventory[[#This Row],[YrBlt]]</f>
        <v>52</v>
      </c>
      <c r="P250" s="26">
        <f>2024-Inventory[[#This Row],[EffYr]]</f>
        <v>46</v>
      </c>
      <c r="Q250" s="25">
        <v>1972</v>
      </c>
      <c r="R250" s="25">
        <v>1978</v>
      </c>
      <c r="S250" s="25">
        <v>1418</v>
      </c>
      <c r="T250" s="27"/>
      <c r="U250" s="27"/>
      <c r="V250" s="27">
        <f>Inventory[[#This Row],[Bsmt]]-Inventory[[#This Row],[FnBsmt]]</f>
        <v>0</v>
      </c>
      <c r="W250" s="27"/>
      <c r="X250" s="27"/>
      <c r="Y250" s="27">
        <f>Inventory[[#This Row],[MainFn]]+Inventory[[#This Row],[UpprFn]]+Inventory[[#This Row],[FnBsmt]]+Inventory[[#This Row],[AddFn]]</f>
        <v>1418</v>
      </c>
      <c r="Z250" s="27">
        <v>1500</v>
      </c>
      <c r="AA250" s="25">
        <v>8</v>
      </c>
      <c r="AB250" s="25">
        <v>528</v>
      </c>
      <c r="AC250" s="27"/>
      <c r="AD250" s="27"/>
      <c r="AE250" s="27"/>
      <c r="AF250" s="27"/>
      <c r="AG250" s="27"/>
      <c r="AH250" s="27"/>
      <c r="AI250" s="25">
        <v>279721</v>
      </c>
      <c r="AJ250" s="25">
        <v>212588</v>
      </c>
      <c r="AK250" s="25">
        <v>0</v>
      </c>
      <c r="AL250" s="25">
        <v>298400</v>
      </c>
      <c r="AM250" s="25">
        <v>54700</v>
      </c>
      <c r="AN250" s="25">
        <v>243700</v>
      </c>
      <c r="AO250" s="25">
        <v>0</v>
      </c>
      <c r="AP250" s="25">
        <f>Lookups!$B$56*0</f>
        <v>0</v>
      </c>
      <c r="AQ250" s="25">
        <f>Lookups!$B$56*1</f>
        <v>89850.625589999996</v>
      </c>
      <c r="AR250" s="25">
        <f>Lookups!$B$57*Inventory[[#This Row],[LnAcres]]</f>
        <v>-54281.285314520763</v>
      </c>
      <c r="AS250" s="25">
        <f>VLOOKUP(Inventory[[#This Row],[Qlty]],Lookups!$A$62:$E$75,2,FALSE)</f>
        <v>29814.093161000001</v>
      </c>
      <c r="AT250" s="25">
        <f>VLOOKUP(Inventory[[#This Row],[Cnd]],Lookups!$A$76:$E$84,2,FALSE)</f>
        <v>160472.20319</v>
      </c>
      <c r="AU250" s="25">
        <f>Inventory[[#This Row],[EffAge]]*Lookups!$B$85</f>
        <v>-10260.097623</v>
      </c>
      <c r="AV250" s="25">
        <f>Inventory[[#This Row],[MainFn]]*Lookups!$B$86</f>
        <v>70061.493885585995</v>
      </c>
      <c r="AW250" s="25">
        <f>Inventory[[#This Row],[UpprFn]]*Lookups!$B$87</f>
        <v>0</v>
      </c>
      <c r="AX250" s="25">
        <f>Inventory[[#This Row],[AddFn]]*Lookups!$B$88</f>
        <v>0</v>
      </c>
      <c r="AY250" s="25">
        <f>Inventory[[#This Row],[Bsmt]]*Lookups!$B$89</f>
        <v>0</v>
      </c>
      <c r="AZ250" s="25">
        <f>Inventory[[#This Row],[Fixtures]]*Lookups!$B$90</f>
        <v>30336.176841600001</v>
      </c>
      <c r="BA250" s="25">
        <f>Inventory[[#This Row],[WdDeck]]*Lookups!$B$91</f>
        <v>0</v>
      </c>
      <c r="BB250" s="25">
        <f>ROUND(Inventory[[#This Row],[25Det]],-2)</f>
        <v>0</v>
      </c>
      <c r="BC250" s="25">
        <f>ROUND(SUM(Inventory[[#This Row],[Mdl Qlty]:[Mdl WdDeck]])+Inventory[[#This Row],[Mdl Res Intercept]],-2)</f>
        <v>280400</v>
      </c>
      <c r="BD250" s="25">
        <f>ROUND(Inventory[[#This Row],[Mdl Land Intercept]]+Inventory[[#This Row],[Mdl LnAcres]],-2)</f>
        <v>35600</v>
      </c>
      <c r="BE250" s="25">
        <f>Inventory[[#This Row],[Unadj Res Value]]+Inventory[[#This Row],[Unadj Det Value]]+Inventory[[#This Row],[Unadj Land Value]]</f>
        <v>316000</v>
      </c>
      <c r="BF250" s="36">
        <f>(Inventory[[#This Row],[Unadj Total Value]]-Inventory[[#This Row],[24Final]])/Inventory[[#This Row],[24Final]]</f>
        <v>5.8981233243967826E-2</v>
      </c>
      <c r="BG250" s="25">
        <f>VLOOKUP(Inventory[[#This Row],[Nbhd]],Lookups!$Q$2:$T$4,4,FALSE)</f>
        <v>0.99970000000000003</v>
      </c>
      <c r="BH250" s="25">
        <f>VLOOKUP(Inventory[[#This Row],[Qlty]],Lookups!$O$7:$R$21,4,FALSE)</f>
        <v>1.0088999999999999</v>
      </c>
      <c r="BI250" s="25">
        <f>VLOOKUP(Inventory[[#This Row],[Cnd]],Lookups!$T$7:$W$16,4,FALSE)</f>
        <v>0.99729999999999996</v>
      </c>
      <c r="BJ250" s="25">
        <f>VLOOKUP(Inventory[[#This Row],[LivArea Range]],Lookups!$T$25:$W$37,4,FALSE)</f>
        <v>1.0157</v>
      </c>
      <c r="BK250" s="25">
        <f>VLOOKUP(Inventory[[#This Row],[Decade]],Lookups!$O$25:$R$42,4,FALSE)</f>
        <v>0.98119999999999996</v>
      </c>
      <c r="BL250" s="25">
        <f>Inventory[[#This Row],[Nbhd Adj]]*0.95</f>
        <v>0.94971499999999998</v>
      </c>
      <c r="BM250" s="25">
        <f>Inventory[[#This Row],[Nbhd Adj]]*Inventory[[#This Row],[Quality Adj]]*Inventory[[#This Row],[Condition Adj]]*Inventory[[#This Row],[Living Area Adj]]*Inventory[[#This Row],[Decade Adj]]*0.95</f>
        <v>0.95233606295915574</v>
      </c>
      <c r="BN250" s="25">
        <f>ROUND(SUM(Inventory[[#This Row],[Mdl Qlty]:[Mdl WdDeck]])+Inventory[[#This Row],[Mdl Res Intercept]]*Inventory[[#This Row],[Res Adj ]],-2)</f>
        <v>280400</v>
      </c>
      <c r="BO250" s="25">
        <f>ROUND(Inventory[[#This Row],[25Det]]*Inventory[[#This Row],[Det/Nbhd Adj]],-2)</f>
        <v>0</v>
      </c>
      <c r="BP250" s="25">
        <f>Inventory[[#This Row],[Adjusted Res]]+Inventory[[#This Row],[Adj Det ]]</f>
        <v>280400</v>
      </c>
      <c r="BQ250" s="25">
        <f>ROUND((Inventory[[#This Row],[Mdl Land Intercept]]+Inventory[[#This Row],[Mdl LnAcres]])*Inventory[[#This Row],[Det/Nbhd Adj]],-2)</f>
        <v>33800</v>
      </c>
      <c r="BR250" s="25">
        <f>Inventory[[#This Row],[Adjusted Impr Total]]+Inventory[[#This Row],[Adjusted Land Total]]</f>
        <v>314200</v>
      </c>
      <c r="BS250" s="36">
        <f>IFERROR((Inventory[[#This Row],[Adjusted Impr Total]]-Inventory[[#This Row],[24Bldg]])/Inventory[[#This Row],[24Bldg]],0)</f>
        <v>0.15059499384489125</v>
      </c>
      <c r="BT250" s="36">
        <f>(Inventory[[#This Row],[Adjusted Land Total]]-Inventory[[#This Row],[24Lnd]])/Inventory[[#This Row],[24Lnd]]</f>
        <v>-0.38208409506398539</v>
      </c>
      <c r="BU250" s="36">
        <f>(Inventory[[#This Row],[Adjusted Total]]-Inventory[[#This Row],[24Final]])/Inventory[[#This Row],[24Final]]</f>
        <v>5.2949061662198392E-2</v>
      </c>
    </row>
    <row r="251" spans="1:73" x14ac:dyDescent="0.3">
      <c r="A251" s="25">
        <v>2025</v>
      </c>
      <c r="B251" s="26" t="s">
        <v>2014</v>
      </c>
      <c r="C251" s="26">
        <f>LN(Inventory[[#This Row],[Acres]])</f>
        <v>-1.8971199848858813</v>
      </c>
      <c r="D251" s="25">
        <v>0.15</v>
      </c>
      <c r="E251" s="25">
        <v>6515</v>
      </c>
      <c r="F251" s="26" t="s">
        <v>537</v>
      </c>
      <c r="G251" s="26" t="s">
        <v>126</v>
      </c>
      <c r="H251" s="26" t="s">
        <v>349</v>
      </c>
      <c r="I251" s="26" t="s">
        <v>538</v>
      </c>
      <c r="J251" s="26" t="s">
        <v>539</v>
      </c>
      <c r="K251" s="26" t="s">
        <v>241</v>
      </c>
      <c r="L251" s="26" t="s">
        <v>205</v>
      </c>
      <c r="M251" s="26" t="s">
        <v>206</v>
      </c>
      <c r="N251" s="26">
        <v>60</v>
      </c>
      <c r="O251" s="26">
        <f>2024-Inventory[[#This Row],[YrBlt]]</f>
        <v>52</v>
      </c>
      <c r="P251" s="26">
        <f>2024-Inventory[[#This Row],[EffYr]]</f>
        <v>46</v>
      </c>
      <c r="Q251" s="25">
        <v>1972</v>
      </c>
      <c r="R251" s="25">
        <v>1978</v>
      </c>
      <c r="S251" s="25">
        <v>966</v>
      </c>
      <c r="T251" s="27"/>
      <c r="U251" s="27"/>
      <c r="V251" s="27">
        <f>Inventory[[#This Row],[Bsmt]]-Inventory[[#This Row],[FnBsmt]]</f>
        <v>0</v>
      </c>
      <c r="W251" s="27"/>
      <c r="X251" s="27"/>
      <c r="Y251" s="27">
        <f>Inventory[[#This Row],[MainFn]]+Inventory[[#This Row],[UpprFn]]+Inventory[[#This Row],[FnBsmt]]+Inventory[[#This Row],[AddFn]]</f>
        <v>966</v>
      </c>
      <c r="Z251" s="27">
        <v>1000</v>
      </c>
      <c r="AA251" s="25">
        <v>5</v>
      </c>
      <c r="AB251" s="25">
        <v>299</v>
      </c>
      <c r="AC251" s="27"/>
      <c r="AD251" s="27"/>
      <c r="AE251" s="27"/>
      <c r="AF251" s="27"/>
      <c r="AG251" s="27"/>
      <c r="AH251" s="27"/>
      <c r="AI251" s="25">
        <v>160041</v>
      </c>
      <c r="AJ251" s="25">
        <v>120031</v>
      </c>
      <c r="AK251" s="25">
        <v>0</v>
      </c>
      <c r="AL251" s="25">
        <v>207900</v>
      </c>
      <c r="AM251" s="25">
        <v>48400</v>
      </c>
      <c r="AN251" s="25">
        <v>159500</v>
      </c>
      <c r="AO251" s="25">
        <v>0</v>
      </c>
      <c r="AP251" s="25">
        <f>Lookups!$B$56*0</f>
        <v>0</v>
      </c>
      <c r="AQ251" s="25">
        <f>Lookups!$B$56*1</f>
        <v>89850.625589999996</v>
      </c>
      <c r="AR251" s="25">
        <f>Lookups!$B$57*Inventory[[#This Row],[LnAcres]]</f>
        <v>-60052.604136134301</v>
      </c>
      <c r="AS251" s="25">
        <f>VLOOKUP(Inventory[[#This Row],[Qlty]],Lookups!$A$62:$E$75,2,FALSE)</f>
        <v>0</v>
      </c>
      <c r="AT251" s="25">
        <f>VLOOKUP(Inventory[[#This Row],[Cnd]],Lookups!$A$76:$E$84,2,FALSE)</f>
        <v>133714.53821</v>
      </c>
      <c r="AU251" s="25">
        <f>Inventory[[#This Row],[EffAge]]*Lookups!$B$85</f>
        <v>-10260.097623</v>
      </c>
      <c r="AV251" s="25">
        <f>Inventory[[#This Row],[MainFn]]*Lookups!$B$86</f>
        <v>47728.775101182</v>
      </c>
      <c r="AW251" s="25">
        <f>Inventory[[#This Row],[UpprFn]]*Lookups!$B$87</f>
        <v>0</v>
      </c>
      <c r="AX251" s="25">
        <f>Inventory[[#This Row],[AddFn]]*Lookups!$B$88</f>
        <v>0</v>
      </c>
      <c r="AY251" s="25">
        <f>Inventory[[#This Row],[Bsmt]]*Lookups!$B$89</f>
        <v>0</v>
      </c>
      <c r="AZ251" s="25">
        <f>Inventory[[#This Row],[Fixtures]]*Lookups!$B$90</f>
        <v>18960.110526</v>
      </c>
      <c r="BA251" s="25">
        <f>Inventory[[#This Row],[WdDeck]]*Lookups!$B$91</f>
        <v>0</v>
      </c>
      <c r="BB251" s="25">
        <f>ROUND(Inventory[[#This Row],[25Det]],-2)</f>
        <v>0</v>
      </c>
      <c r="BC251" s="25">
        <f>ROUND(SUM(Inventory[[#This Row],[Mdl Qlty]:[Mdl WdDeck]])+Inventory[[#This Row],[Mdl Res Intercept]],-2)</f>
        <v>190100</v>
      </c>
      <c r="BD251" s="25">
        <f>ROUND(Inventory[[#This Row],[Mdl Land Intercept]]+Inventory[[#This Row],[Mdl LnAcres]],-2)</f>
        <v>29800</v>
      </c>
      <c r="BE251" s="25">
        <f>Inventory[[#This Row],[Unadj Res Value]]+Inventory[[#This Row],[Unadj Det Value]]+Inventory[[#This Row],[Unadj Land Value]]</f>
        <v>219900</v>
      </c>
      <c r="BF251" s="36">
        <f>(Inventory[[#This Row],[Unadj Total Value]]-Inventory[[#This Row],[24Final]])/Inventory[[#This Row],[24Final]]</f>
        <v>5.772005772005772E-2</v>
      </c>
      <c r="BG251" s="25">
        <f>VLOOKUP(Inventory[[#This Row],[Nbhd]],Lookups!$Q$2:$T$4,4,FALSE)</f>
        <v>0.99970000000000003</v>
      </c>
      <c r="BH251" s="25">
        <f>VLOOKUP(Inventory[[#This Row],[Qlty]],Lookups!$O$7:$R$21,4,FALSE)</f>
        <v>0.99180000000000001</v>
      </c>
      <c r="BI251" s="25">
        <f>VLOOKUP(Inventory[[#This Row],[Cnd]],Lookups!$T$7:$W$16,4,FALSE)</f>
        <v>0.99329999999999996</v>
      </c>
      <c r="BJ251" s="25">
        <f>VLOOKUP(Inventory[[#This Row],[LivArea Range]],Lookups!$T$25:$W$37,4,FALSE)</f>
        <v>1.0148999999999999</v>
      </c>
      <c r="BK251" s="25">
        <f>VLOOKUP(Inventory[[#This Row],[Decade]],Lookups!$O$25:$R$42,4,FALSE)</f>
        <v>0.98119999999999996</v>
      </c>
      <c r="BL251" s="25">
        <f>Inventory[[#This Row],[Nbhd Adj]]*0.95</f>
        <v>0.94971499999999998</v>
      </c>
      <c r="BM251" s="25">
        <f>Inventory[[#This Row],[Nbhd Adj]]*Inventory[[#This Row],[Quality Adj]]*Inventory[[#This Row],[Condition Adj]]*Inventory[[#This Row],[Living Area Adj]]*Inventory[[#This Row],[Decade Adj]]*0.95</f>
        <v>0.93170543491646907</v>
      </c>
      <c r="BN251" s="25">
        <f>ROUND(SUM(Inventory[[#This Row],[Mdl Qlty]:[Mdl WdDeck]])+Inventory[[#This Row],[Mdl Res Intercept]]*Inventory[[#This Row],[Res Adj ]],-2)</f>
        <v>190100</v>
      </c>
      <c r="BO251" s="25">
        <f>ROUND(Inventory[[#This Row],[25Det]]*Inventory[[#This Row],[Det/Nbhd Adj]],-2)</f>
        <v>0</v>
      </c>
      <c r="BP251" s="25">
        <f>Inventory[[#This Row],[Adjusted Res]]+Inventory[[#This Row],[Adj Det ]]</f>
        <v>190100</v>
      </c>
      <c r="BQ251" s="25">
        <f>ROUND((Inventory[[#This Row],[Mdl Land Intercept]]+Inventory[[#This Row],[Mdl LnAcres]])*Inventory[[#This Row],[Det/Nbhd Adj]],-2)</f>
        <v>28300</v>
      </c>
      <c r="BR251" s="25">
        <f>Inventory[[#This Row],[Adjusted Impr Total]]+Inventory[[#This Row],[Adjusted Land Total]]</f>
        <v>218400</v>
      </c>
      <c r="BS251" s="36">
        <f>IFERROR((Inventory[[#This Row],[Adjusted Impr Total]]-Inventory[[#This Row],[24Bldg]])/Inventory[[#This Row],[24Bldg]],0)</f>
        <v>0.19184952978056427</v>
      </c>
      <c r="BT251" s="36">
        <f>(Inventory[[#This Row],[Adjusted Land Total]]-Inventory[[#This Row],[24Lnd]])/Inventory[[#This Row],[24Lnd]]</f>
        <v>-0.41528925619834711</v>
      </c>
      <c r="BU251" s="36">
        <f>(Inventory[[#This Row],[Adjusted Total]]-Inventory[[#This Row],[24Final]])/Inventory[[#This Row],[24Final]]</f>
        <v>5.0505050505050504E-2</v>
      </c>
    </row>
    <row r="252" spans="1:73" x14ac:dyDescent="0.3">
      <c r="A252" s="25">
        <v>2025</v>
      </c>
      <c r="B252" s="26" t="s">
        <v>1419</v>
      </c>
      <c r="C252" s="26">
        <f>LN(Inventory[[#This Row],[Acres]])</f>
        <v>-2.4079456086518722</v>
      </c>
      <c r="D252" s="25">
        <v>0.09</v>
      </c>
      <c r="E252" s="25">
        <v>3991</v>
      </c>
      <c r="F252" s="26" t="s">
        <v>537</v>
      </c>
      <c r="G252" s="26" t="s">
        <v>126</v>
      </c>
      <c r="H252" s="26" t="s">
        <v>349</v>
      </c>
      <c r="I252" s="26" t="s">
        <v>538</v>
      </c>
      <c r="J252" s="26" t="s">
        <v>638</v>
      </c>
      <c r="K252" s="26" t="s">
        <v>241</v>
      </c>
      <c r="L252" s="26" t="s">
        <v>205</v>
      </c>
      <c r="M252" s="26" t="s">
        <v>323</v>
      </c>
      <c r="N252" s="26">
        <v>60</v>
      </c>
      <c r="O252" s="26">
        <f>2024-Inventory[[#This Row],[YrBlt]]</f>
        <v>52</v>
      </c>
      <c r="P252" s="26">
        <f>2024-Inventory[[#This Row],[EffYr]]</f>
        <v>46</v>
      </c>
      <c r="Q252" s="25">
        <v>1972</v>
      </c>
      <c r="R252" s="25">
        <v>1978</v>
      </c>
      <c r="S252" s="25">
        <v>864</v>
      </c>
      <c r="T252" s="27"/>
      <c r="U252" s="27"/>
      <c r="V252" s="27">
        <f>Inventory[[#This Row],[Bsmt]]-Inventory[[#This Row],[FnBsmt]]</f>
        <v>0</v>
      </c>
      <c r="W252" s="27"/>
      <c r="X252" s="27"/>
      <c r="Y252" s="27">
        <f>Inventory[[#This Row],[MainFn]]+Inventory[[#This Row],[UpprFn]]+Inventory[[#This Row],[FnBsmt]]+Inventory[[#This Row],[AddFn]]</f>
        <v>864</v>
      </c>
      <c r="Z252" s="27">
        <v>1000</v>
      </c>
      <c r="AA252" s="25">
        <v>5</v>
      </c>
      <c r="AB252" s="32">
        <v>432</v>
      </c>
      <c r="AC252" s="27"/>
      <c r="AD252" s="31"/>
      <c r="AE252" s="27"/>
      <c r="AF252" s="27"/>
      <c r="AG252" s="27"/>
      <c r="AH252" s="27"/>
      <c r="AI252" s="25">
        <v>150629</v>
      </c>
      <c r="AJ252" s="25">
        <v>114478</v>
      </c>
      <c r="AK252" s="25">
        <v>0</v>
      </c>
      <c r="AL252" s="25">
        <v>214900</v>
      </c>
      <c r="AM252" s="25">
        <v>30600</v>
      </c>
      <c r="AN252" s="25">
        <v>184300</v>
      </c>
      <c r="AO252" s="25">
        <v>0</v>
      </c>
      <c r="AP252" s="25">
        <f>Lookups!$B$56*0</f>
        <v>0</v>
      </c>
      <c r="AQ252" s="25">
        <f>Lookups!$B$56*1</f>
        <v>89850.625589999996</v>
      </c>
      <c r="AR252" s="25">
        <f>Lookups!$B$57*Inventory[[#This Row],[LnAcres]]</f>
        <v>-76222.592967103381</v>
      </c>
      <c r="AS252" s="25">
        <f>VLOOKUP(Inventory[[#This Row],[Qlty]],Lookups!$A$62:$E$75,2,FALSE)</f>
        <v>0</v>
      </c>
      <c r="AT252" s="25">
        <f>VLOOKUP(Inventory[[#This Row],[Cnd]],Lookups!$A$76:$E$84,2,FALSE)</f>
        <v>160472.20319</v>
      </c>
      <c r="AU252" s="25">
        <f>Inventory[[#This Row],[EffAge]]*Lookups!$B$85</f>
        <v>-10260.097623</v>
      </c>
      <c r="AV252" s="25">
        <f>Inventory[[#This Row],[MainFn]]*Lookups!$B$86</f>
        <v>42689.090773727999</v>
      </c>
      <c r="AW252" s="25">
        <f>Inventory[[#This Row],[UpprFn]]*Lookups!$B$87</f>
        <v>0</v>
      </c>
      <c r="AX252" s="25">
        <f>Inventory[[#This Row],[AddFn]]*Lookups!$B$88</f>
        <v>0</v>
      </c>
      <c r="AY252" s="25">
        <f>Inventory[[#This Row],[Bsmt]]*Lookups!$B$89</f>
        <v>0</v>
      </c>
      <c r="AZ252" s="25">
        <f>Inventory[[#This Row],[Fixtures]]*Lookups!$B$90</f>
        <v>18960.110526</v>
      </c>
      <c r="BA252" s="25">
        <f>Inventory[[#This Row],[WdDeck]]*Lookups!$B$91</f>
        <v>0</v>
      </c>
      <c r="BB252" s="25">
        <f>ROUND(Inventory[[#This Row],[25Det]],-2)</f>
        <v>0</v>
      </c>
      <c r="BC252" s="25">
        <f>ROUND(SUM(Inventory[[#This Row],[Mdl Qlty]:[Mdl WdDeck]])+Inventory[[#This Row],[Mdl Res Intercept]],-2)</f>
        <v>211900</v>
      </c>
      <c r="BD252" s="25">
        <f>ROUND(Inventory[[#This Row],[Mdl Land Intercept]]+Inventory[[#This Row],[Mdl LnAcres]],-2)</f>
        <v>13600</v>
      </c>
      <c r="BE252" s="25">
        <f>Inventory[[#This Row],[Unadj Res Value]]+Inventory[[#This Row],[Unadj Det Value]]+Inventory[[#This Row],[Unadj Land Value]]</f>
        <v>225500</v>
      </c>
      <c r="BF252" s="36">
        <f>(Inventory[[#This Row],[Unadj Total Value]]-Inventory[[#This Row],[24Final]])/Inventory[[#This Row],[24Final]]</f>
        <v>4.9325267566309915E-2</v>
      </c>
      <c r="BG252" s="25">
        <f>VLOOKUP(Inventory[[#This Row],[Nbhd]],Lookups!$Q$2:$T$4,4,FALSE)</f>
        <v>0.99970000000000003</v>
      </c>
      <c r="BH252" s="25">
        <f>VLOOKUP(Inventory[[#This Row],[Qlty]],Lookups!$O$7:$R$21,4,FALSE)</f>
        <v>0.99180000000000001</v>
      </c>
      <c r="BI252" s="25">
        <f>VLOOKUP(Inventory[[#This Row],[Cnd]],Lookups!$T$7:$W$16,4,FALSE)</f>
        <v>0.99729999999999996</v>
      </c>
      <c r="BJ252" s="25">
        <f>VLOOKUP(Inventory[[#This Row],[LivArea Range]],Lookups!$T$25:$W$37,4,FALSE)</f>
        <v>1.0148999999999999</v>
      </c>
      <c r="BK252" s="25">
        <f>VLOOKUP(Inventory[[#This Row],[Decade]],Lookups!$O$25:$R$42,4,FALSE)</f>
        <v>0.98119999999999996</v>
      </c>
      <c r="BL252" s="25">
        <f>Inventory[[#This Row],[Nbhd Adj]]*0.95</f>
        <v>0.94971499999999998</v>
      </c>
      <c r="BM252" s="25">
        <f>Inventory[[#This Row],[Nbhd Adj]]*Inventory[[#This Row],[Quality Adj]]*Inventory[[#This Row],[Condition Adj]]*Inventory[[#This Row],[Living Area Adj]]*Inventory[[#This Row],[Decade Adj]]*0.95</f>
        <v>0.9354573947872693</v>
      </c>
      <c r="BN252" s="25">
        <f>ROUND(SUM(Inventory[[#This Row],[Mdl Qlty]:[Mdl WdDeck]])+Inventory[[#This Row],[Mdl Res Intercept]]*Inventory[[#This Row],[Res Adj ]],-2)</f>
        <v>211900</v>
      </c>
      <c r="BO252" s="25">
        <f>ROUND(Inventory[[#This Row],[25Det]]*Inventory[[#This Row],[Det/Nbhd Adj]],-2)</f>
        <v>0</v>
      </c>
      <c r="BP252" s="25">
        <f>Inventory[[#This Row],[Adjusted Res]]+Inventory[[#This Row],[Adj Det ]]</f>
        <v>211900</v>
      </c>
      <c r="BQ252" s="25">
        <f>ROUND((Inventory[[#This Row],[Mdl Land Intercept]]+Inventory[[#This Row],[Mdl LnAcres]])*Inventory[[#This Row],[Det/Nbhd Adj]],-2)</f>
        <v>12900</v>
      </c>
      <c r="BR252" s="25">
        <f>Inventory[[#This Row],[Adjusted Impr Total]]+Inventory[[#This Row],[Adjusted Land Total]]</f>
        <v>224800</v>
      </c>
      <c r="BS252" s="36">
        <f>IFERROR((Inventory[[#This Row],[Adjusted Impr Total]]-Inventory[[#This Row],[24Bldg]])/Inventory[[#This Row],[24Bldg]],0)</f>
        <v>0.149755832881172</v>
      </c>
      <c r="BT252" s="36">
        <f>(Inventory[[#This Row],[Adjusted Land Total]]-Inventory[[#This Row],[24Lnd]])/Inventory[[#This Row],[24Lnd]]</f>
        <v>-0.57843137254901966</v>
      </c>
      <c r="BU252" s="36">
        <f>(Inventory[[#This Row],[Adjusted Total]]-Inventory[[#This Row],[24Final]])/Inventory[[#This Row],[24Final]]</f>
        <v>4.60679385760819E-2</v>
      </c>
    </row>
    <row r="253" spans="1:73" x14ac:dyDescent="0.3">
      <c r="A253" s="25">
        <v>2025</v>
      </c>
      <c r="B253" s="26" t="s">
        <v>1333</v>
      </c>
      <c r="C253" s="26">
        <f>LN(Inventory[[#This Row],[Acres]])</f>
        <v>-1.2039728043259361</v>
      </c>
      <c r="D253" s="25">
        <v>0.3</v>
      </c>
      <c r="E253" s="25">
        <v>12926</v>
      </c>
      <c r="F253" s="26" t="s">
        <v>537</v>
      </c>
      <c r="G253" s="26" t="s">
        <v>126</v>
      </c>
      <c r="H253" s="26" t="s">
        <v>349</v>
      </c>
      <c r="I253" s="26" t="s">
        <v>538</v>
      </c>
      <c r="J253" s="26" t="s">
        <v>539</v>
      </c>
      <c r="K253" s="26" t="s">
        <v>241</v>
      </c>
      <c r="L253" s="26" t="s">
        <v>351</v>
      </c>
      <c r="M253" s="26" t="s">
        <v>323</v>
      </c>
      <c r="N253" s="26">
        <v>60</v>
      </c>
      <c r="O253" s="26">
        <f>2024-Inventory[[#This Row],[YrBlt]]</f>
        <v>52</v>
      </c>
      <c r="P253" s="26">
        <f>2024-Inventory[[#This Row],[EffYr]]</f>
        <v>46</v>
      </c>
      <c r="Q253" s="25">
        <v>1972</v>
      </c>
      <c r="R253" s="25">
        <v>1978</v>
      </c>
      <c r="S253" s="25">
        <v>988</v>
      </c>
      <c r="T253" s="27"/>
      <c r="U253" s="27"/>
      <c r="V253" s="27">
        <f>Inventory[[#This Row],[Bsmt]]-Inventory[[#This Row],[FnBsmt]]</f>
        <v>0</v>
      </c>
      <c r="W253" s="27"/>
      <c r="X253" s="27"/>
      <c r="Y253" s="27">
        <f>Inventory[[#This Row],[MainFn]]+Inventory[[#This Row],[UpprFn]]+Inventory[[#This Row],[FnBsmt]]+Inventory[[#This Row],[AddFn]]</f>
        <v>988</v>
      </c>
      <c r="Z253" s="27">
        <v>1000</v>
      </c>
      <c r="AA253" s="25">
        <v>6</v>
      </c>
      <c r="AB253" s="32">
        <v>312</v>
      </c>
      <c r="AC253" s="27"/>
      <c r="AD253" s="27"/>
      <c r="AE253" s="27"/>
      <c r="AF253" s="27"/>
      <c r="AG253" s="27"/>
      <c r="AH253" s="27"/>
      <c r="AI253" s="25">
        <v>180181</v>
      </c>
      <c r="AJ253" s="25">
        <v>136938</v>
      </c>
      <c r="AK253" s="25">
        <v>0</v>
      </c>
      <c r="AL253" s="25">
        <v>280400</v>
      </c>
      <c r="AM253" s="25">
        <v>72500</v>
      </c>
      <c r="AN253" s="25">
        <v>207900</v>
      </c>
      <c r="AO253" s="25">
        <v>0</v>
      </c>
      <c r="AP253" s="25">
        <f>Lookups!$B$56*0</f>
        <v>0</v>
      </c>
      <c r="AQ253" s="25">
        <f>Lookups!$B$56*1</f>
        <v>89850.625589999996</v>
      </c>
      <c r="AR253" s="25">
        <f>Lookups!$B$57*Inventory[[#This Row],[LnAcres]]</f>
        <v>-38111.29648355169</v>
      </c>
      <c r="AS253" s="25">
        <f>VLOOKUP(Inventory[[#This Row],[Qlty]],Lookups!$A$62:$E$75,2,FALSE)</f>
        <v>21557.329055999999</v>
      </c>
      <c r="AT253" s="25">
        <f>VLOOKUP(Inventory[[#This Row],[Cnd]],Lookups!$A$76:$E$84,2,FALSE)</f>
        <v>160472.20319</v>
      </c>
      <c r="AU253" s="25">
        <f>Inventory[[#This Row],[EffAge]]*Lookups!$B$85</f>
        <v>-10260.097623</v>
      </c>
      <c r="AV253" s="25">
        <f>Inventory[[#This Row],[MainFn]]*Lookups!$B$86</f>
        <v>48815.765838476</v>
      </c>
      <c r="AW253" s="25">
        <f>Inventory[[#This Row],[UpprFn]]*Lookups!$B$87</f>
        <v>0</v>
      </c>
      <c r="AX253" s="25">
        <f>Inventory[[#This Row],[AddFn]]*Lookups!$B$88</f>
        <v>0</v>
      </c>
      <c r="AY253" s="25">
        <f>Inventory[[#This Row],[Bsmt]]*Lookups!$B$89</f>
        <v>0</v>
      </c>
      <c r="AZ253" s="25">
        <f>Inventory[[#This Row],[Fixtures]]*Lookups!$B$90</f>
        <v>22752.132631200002</v>
      </c>
      <c r="BA253" s="25">
        <f>Inventory[[#This Row],[WdDeck]]*Lookups!$B$91</f>
        <v>0</v>
      </c>
      <c r="BB253" s="25">
        <f>ROUND(Inventory[[#This Row],[25Det]],-2)</f>
        <v>0</v>
      </c>
      <c r="BC253" s="25">
        <f>ROUND(SUM(Inventory[[#This Row],[Mdl Qlty]:[Mdl WdDeck]])+Inventory[[#This Row],[Mdl Res Intercept]],-2)</f>
        <v>243300</v>
      </c>
      <c r="BD253" s="25">
        <f>ROUND(Inventory[[#This Row],[Mdl Land Intercept]]+Inventory[[#This Row],[Mdl LnAcres]],-2)</f>
        <v>51700</v>
      </c>
      <c r="BE253" s="25">
        <f>Inventory[[#This Row],[Unadj Res Value]]+Inventory[[#This Row],[Unadj Det Value]]+Inventory[[#This Row],[Unadj Land Value]]</f>
        <v>295000</v>
      </c>
      <c r="BF253" s="36">
        <f>(Inventory[[#This Row],[Unadj Total Value]]-Inventory[[#This Row],[24Final]])/Inventory[[#This Row],[24Final]]</f>
        <v>5.2068473609129813E-2</v>
      </c>
      <c r="BG253" s="25">
        <f>VLOOKUP(Inventory[[#This Row],[Nbhd]],Lookups!$Q$2:$T$4,4,FALSE)</f>
        <v>0.99970000000000003</v>
      </c>
      <c r="BH253" s="25">
        <f>VLOOKUP(Inventory[[#This Row],[Qlty]],Lookups!$O$7:$R$21,4,FALSE)</f>
        <v>1.0067999999999999</v>
      </c>
      <c r="BI253" s="25">
        <f>VLOOKUP(Inventory[[#This Row],[Cnd]],Lookups!$T$7:$W$16,4,FALSE)</f>
        <v>0.99729999999999996</v>
      </c>
      <c r="BJ253" s="25">
        <f>VLOOKUP(Inventory[[#This Row],[LivArea Range]],Lookups!$T$25:$W$37,4,FALSE)</f>
        <v>1.0148999999999999</v>
      </c>
      <c r="BK253" s="25">
        <f>VLOOKUP(Inventory[[#This Row],[Decade]],Lookups!$O$25:$R$42,4,FALSE)</f>
        <v>0.98119999999999996</v>
      </c>
      <c r="BL253" s="25">
        <f>Inventory[[#This Row],[Nbhd Adj]]*0.95</f>
        <v>0.94971499999999998</v>
      </c>
      <c r="BM253" s="25">
        <f>Inventory[[#This Row],[Nbhd Adj]]*Inventory[[#This Row],[Quality Adj]]*Inventory[[#This Row],[Condition Adj]]*Inventory[[#This Row],[Living Area Adj]]*Inventory[[#This Row],[Decade Adj]]*0.95</f>
        <v>0.94960526827165015</v>
      </c>
      <c r="BN253" s="25">
        <f>ROUND(SUM(Inventory[[#This Row],[Mdl Qlty]:[Mdl WdDeck]])+Inventory[[#This Row],[Mdl Res Intercept]]*Inventory[[#This Row],[Res Adj ]],-2)</f>
        <v>243300</v>
      </c>
      <c r="BO253" s="25">
        <f>ROUND(Inventory[[#This Row],[25Det]]*Inventory[[#This Row],[Det/Nbhd Adj]],-2)</f>
        <v>0</v>
      </c>
      <c r="BP253" s="25">
        <f>Inventory[[#This Row],[Adjusted Res]]+Inventory[[#This Row],[Adj Det ]]</f>
        <v>243300</v>
      </c>
      <c r="BQ253" s="25">
        <f>ROUND((Inventory[[#This Row],[Mdl Land Intercept]]+Inventory[[#This Row],[Mdl LnAcres]])*Inventory[[#This Row],[Det/Nbhd Adj]],-2)</f>
        <v>49100</v>
      </c>
      <c r="BR253" s="25">
        <f>Inventory[[#This Row],[Adjusted Impr Total]]+Inventory[[#This Row],[Adjusted Land Total]]</f>
        <v>292400</v>
      </c>
      <c r="BS253" s="36">
        <f>IFERROR((Inventory[[#This Row],[Adjusted Impr Total]]-Inventory[[#This Row],[24Bldg]])/Inventory[[#This Row],[24Bldg]],0)</f>
        <v>0.17027417027417027</v>
      </c>
      <c r="BT253" s="36">
        <f>(Inventory[[#This Row],[Adjusted Land Total]]-Inventory[[#This Row],[24Lnd]])/Inventory[[#This Row],[24Lnd]]</f>
        <v>-0.32275862068965516</v>
      </c>
      <c r="BU253" s="36">
        <f>(Inventory[[#This Row],[Adjusted Total]]-Inventory[[#This Row],[24Final]])/Inventory[[#This Row],[24Final]]</f>
        <v>4.2796005706134094E-2</v>
      </c>
    </row>
    <row r="254" spans="1:73" x14ac:dyDescent="0.3">
      <c r="A254" s="25">
        <v>2025</v>
      </c>
      <c r="B254" s="26" t="s">
        <v>1972</v>
      </c>
      <c r="C254" s="26">
        <f>LN(Inventory[[#This Row],[Acres]])</f>
        <v>-1.2378743560016174</v>
      </c>
      <c r="D254" s="25">
        <v>0.28999999999999998</v>
      </c>
      <c r="E254" s="31"/>
      <c r="F254" s="26" t="s">
        <v>537</v>
      </c>
      <c r="G254" s="26" t="s">
        <v>126</v>
      </c>
      <c r="H254" s="26" t="s">
        <v>349</v>
      </c>
      <c r="I254" s="26" t="s">
        <v>538</v>
      </c>
      <c r="J254" s="26" t="s">
        <v>539</v>
      </c>
      <c r="K254" s="26" t="s">
        <v>241</v>
      </c>
      <c r="L254" s="26" t="s">
        <v>302</v>
      </c>
      <c r="M254" s="26" t="s">
        <v>323</v>
      </c>
      <c r="N254" s="26">
        <v>60</v>
      </c>
      <c r="O254" s="26">
        <f>2024-Inventory[[#This Row],[YrBlt]]</f>
        <v>52</v>
      </c>
      <c r="P254" s="26">
        <f>2024-Inventory[[#This Row],[EffYr]]</f>
        <v>46</v>
      </c>
      <c r="Q254" s="25">
        <v>1972</v>
      </c>
      <c r="R254" s="25">
        <v>1978</v>
      </c>
      <c r="S254" s="25">
        <v>1399</v>
      </c>
      <c r="T254" s="27"/>
      <c r="U254" s="27"/>
      <c r="V254" s="27">
        <f>Inventory[[#This Row],[Bsmt]]-Inventory[[#This Row],[FnBsmt]]</f>
        <v>0</v>
      </c>
      <c r="W254" s="27"/>
      <c r="X254" s="27"/>
      <c r="Y254" s="27">
        <f>Inventory[[#This Row],[MainFn]]+Inventory[[#This Row],[UpprFn]]+Inventory[[#This Row],[FnBsmt]]+Inventory[[#This Row],[AddFn]]</f>
        <v>1399</v>
      </c>
      <c r="Z254" s="27">
        <v>1500</v>
      </c>
      <c r="AA254" s="25">
        <v>9</v>
      </c>
      <c r="AB254" s="32">
        <v>327</v>
      </c>
      <c r="AC254" s="27"/>
      <c r="AD254" s="27"/>
      <c r="AE254" s="27"/>
      <c r="AF254" s="27"/>
      <c r="AG254" s="27"/>
      <c r="AH254" s="27"/>
      <c r="AI254" s="25">
        <v>294803</v>
      </c>
      <c r="AJ254" s="25">
        <v>224050</v>
      </c>
      <c r="AK254" s="25">
        <v>0</v>
      </c>
      <c r="AL254" s="25">
        <v>322100</v>
      </c>
      <c r="AM254" s="25">
        <v>71400</v>
      </c>
      <c r="AN254" s="25">
        <v>250700</v>
      </c>
      <c r="AO254" s="25">
        <v>0</v>
      </c>
      <c r="AP254" s="25">
        <f>Lookups!$B$56*0</f>
        <v>0</v>
      </c>
      <c r="AQ254" s="25">
        <f>Lookups!$B$56*1</f>
        <v>89850.625589999996</v>
      </c>
      <c r="AR254" s="25">
        <f>Lookups!$B$57*Inventory[[#This Row],[LnAcres]]</f>
        <v>-39184.437074869042</v>
      </c>
      <c r="AS254" s="25">
        <f>VLOOKUP(Inventory[[#This Row],[Qlty]],Lookups!$A$62:$E$75,2,FALSE)</f>
        <v>29814.093161000001</v>
      </c>
      <c r="AT254" s="25">
        <f>VLOOKUP(Inventory[[#This Row],[Cnd]],Lookups!$A$76:$E$84,2,FALSE)</f>
        <v>160472.20319</v>
      </c>
      <c r="AU254" s="25">
        <f>Inventory[[#This Row],[EffAge]]*Lookups!$B$85</f>
        <v>-10260.097623</v>
      </c>
      <c r="AV254" s="25">
        <f>Inventory[[#This Row],[MainFn]]*Lookups!$B$86</f>
        <v>69122.729157923008</v>
      </c>
      <c r="AW254" s="25">
        <f>Inventory[[#This Row],[UpprFn]]*Lookups!$B$87</f>
        <v>0</v>
      </c>
      <c r="AX254" s="25">
        <f>Inventory[[#This Row],[AddFn]]*Lookups!$B$88</f>
        <v>0</v>
      </c>
      <c r="AY254" s="25">
        <f>Inventory[[#This Row],[Bsmt]]*Lookups!$B$89</f>
        <v>0</v>
      </c>
      <c r="AZ254" s="25">
        <f>Inventory[[#This Row],[Fixtures]]*Lookups!$B$90</f>
        <v>34128.198946800003</v>
      </c>
      <c r="BA254" s="25">
        <f>Inventory[[#This Row],[WdDeck]]*Lookups!$B$91</f>
        <v>0</v>
      </c>
      <c r="BB254" s="25">
        <f>ROUND(Inventory[[#This Row],[25Det]],-2)</f>
        <v>0</v>
      </c>
      <c r="BC254" s="25">
        <f>ROUND(SUM(Inventory[[#This Row],[Mdl Qlty]:[Mdl WdDeck]])+Inventory[[#This Row],[Mdl Res Intercept]],-2)</f>
        <v>283300</v>
      </c>
      <c r="BD254" s="25">
        <f>ROUND(Inventory[[#This Row],[Mdl Land Intercept]]+Inventory[[#This Row],[Mdl LnAcres]],-2)</f>
        <v>50700</v>
      </c>
      <c r="BE254" s="25">
        <f>Inventory[[#This Row],[Unadj Res Value]]+Inventory[[#This Row],[Unadj Det Value]]+Inventory[[#This Row],[Unadj Land Value]]</f>
        <v>334000</v>
      </c>
      <c r="BF254" s="36">
        <f>(Inventory[[#This Row],[Unadj Total Value]]-Inventory[[#This Row],[24Final]])/Inventory[[#This Row],[24Final]]</f>
        <v>3.6945048121701338E-2</v>
      </c>
      <c r="BG254" s="25">
        <f>VLOOKUP(Inventory[[#This Row],[Nbhd]],Lookups!$Q$2:$T$4,4,FALSE)</f>
        <v>0.99970000000000003</v>
      </c>
      <c r="BH254" s="25">
        <f>VLOOKUP(Inventory[[#This Row],[Qlty]],Lookups!$O$7:$R$21,4,FALSE)</f>
        <v>1.0088999999999999</v>
      </c>
      <c r="BI254" s="25">
        <f>VLOOKUP(Inventory[[#This Row],[Cnd]],Lookups!$T$7:$W$16,4,FALSE)</f>
        <v>0.99729999999999996</v>
      </c>
      <c r="BJ254" s="25">
        <f>VLOOKUP(Inventory[[#This Row],[LivArea Range]],Lookups!$T$25:$W$37,4,FALSE)</f>
        <v>1.0157</v>
      </c>
      <c r="BK254" s="25">
        <f>VLOOKUP(Inventory[[#This Row],[Decade]],Lookups!$O$25:$R$42,4,FALSE)</f>
        <v>0.98119999999999996</v>
      </c>
      <c r="BL254" s="25">
        <f>Inventory[[#This Row],[Nbhd Adj]]*0.95</f>
        <v>0.94971499999999998</v>
      </c>
      <c r="BM254" s="25">
        <f>Inventory[[#This Row],[Nbhd Adj]]*Inventory[[#This Row],[Quality Adj]]*Inventory[[#This Row],[Condition Adj]]*Inventory[[#This Row],[Living Area Adj]]*Inventory[[#This Row],[Decade Adj]]*0.95</f>
        <v>0.95233606295915574</v>
      </c>
      <c r="BN254" s="25">
        <f>ROUND(SUM(Inventory[[#This Row],[Mdl Qlty]:[Mdl WdDeck]])+Inventory[[#This Row],[Mdl Res Intercept]]*Inventory[[#This Row],[Res Adj ]],-2)</f>
        <v>283300</v>
      </c>
      <c r="BO254" s="25">
        <f>ROUND(Inventory[[#This Row],[25Det]]*Inventory[[#This Row],[Det/Nbhd Adj]],-2)</f>
        <v>0</v>
      </c>
      <c r="BP254" s="25">
        <f>Inventory[[#This Row],[Adjusted Res]]+Inventory[[#This Row],[Adj Det ]]</f>
        <v>283300</v>
      </c>
      <c r="BQ254" s="25">
        <f>ROUND((Inventory[[#This Row],[Mdl Land Intercept]]+Inventory[[#This Row],[Mdl LnAcres]])*Inventory[[#This Row],[Det/Nbhd Adj]],-2)</f>
        <v>48100</v>
      </c>
      <c r="BR254" s="25">
        <f>Inventory[[#This Row],[Adjusted Impr Total]]+Inventory[[#This Row],[Adjusted Land Total]]</f>
        <v>331400</v>
      </c>
      <c r="BS254" s="36">
        <f>IFERROR((Inventory[[#This Row],[Adjusted Impr Total]]-Inventory[[#This Row],[24Bldg]])/Inventory[[#This Row],[24Bldg]],0)</f>
        <v>0.13003589948145194</v>
      </c>
      <c r="BT254" s="36">
        <f>(Inventory[[#This Row],[Adjusted Land Total]]-Inventory[[#This Row],[24Lnd]])/Inventory[[#This Row],[24Lnd]]</f>
        <v>-0.32633053221288516</v>
      </c>
      <c r="BU254" s="36">
        <f>(Inventory[[#This Row],[Adjusted Total]]-Inventory[[#This Row],[24Final]])/Inventory[[#This Row],[24Final]]</f>
        <v>2.8873020800993479E-2</v>
      </c>
    </row>
    <row r="255" spans="1:73" x14ac:dyDescent="0.3">
      <c r="A255" s="25">
        <v>2025</v>
      </c>
      <c r="B255" s="26" t="s">
        <v>2015</v>
      </c>
      <c r="C255" s="26">
        <f>LN(Inventory[[#This Row],[Acres]])</f>
        <v>-1.7147984280919266</v>
      </c>
      <c r="D255" s="25">
        <v>0.18</v>
      </c>
      <c r="E255" s="31"/>
      <c r="F255" s="26" t="s">
        <v>537</v>
      </c>
      <c r="G255" s="26" t="s">
        <v>126</v>
      </c>
      <c r="H255" s="26" t="s">
        <v>349</v>
      </c>
      <c r="I255" s="26" t="s">
        <v>538</v>
      </c>
      <c r="J255" s="26" t="s">
        <v>539</v>
      </c>
      <c r="K255" s="26" t="s">
        <v>241</v>
      </c>
      <c r="L255" s="26" t="s">
        <v>205</v>
      </c>
      <c r="M255" s="26" t="s">
        <v>323</v>
      </c>
      <c r="N255" s="26">
        <v>60</v>
      </c>
      <c r="O255" s="26">
        <f>2024-Inventory[[#This Row],[YrBlt]]</f>
        <v>52</v>
      </c>
      <c r="P255" s="26">
        <f>2024-Inventory[[#This Row],[EffYr]]</f>
        <v>46</v>
      </c>
      <c r="Q255" s="25">
        <v>1972</v>
      </c>
      <c r="R255" s="25">
        <v>1978</v>
      </c>
      <c r="S255" s="25">
        <v>1508</v>
      </c>
      <c r="T255" s="27"/>
      <c r="U255" s="27"/>
      <c r="V255" s="27">
        <f>Inventory[[#This Row],[Bsmt]]-Inventory[[#This Row],[FnBsmt]]</f>
        <v>0</v>
      </c>
      <c r="W255" s="27"/>
      <c r="X255" s="27"/>
      <c r="Y255" s="27">
        <f>Inventory[[#This Row],[MainFn]]+Inventory[[#This Row],[UpprFn]]+Inventory[[#This Row],[FnBsmt]]+Inventory[[#This Row],[AddFn]]</f>
        <v>1508</v>
      </c>
      <c r="Z255" s="27">
        <v>2000</v>
      </c>
      <c r="AA255" s="25">
        <v>8</v>
      </c>
      <c r="AB255" s="31"/>
      <c r="AC255" s="27"/>
      <c r="AD255" s="25">
        <v>36</v>
      </c>
      <c r="AE255" s="27"/>
      <c r="AF255" s="27"/>
      <c r="AG255" s="27"/>
      <c r="AH255" s="27"/>
      <c r="AI255" s="25">
        <v>220345</v>
      </c>
      <c r="AJ255" s="25">
        <v>167462</v>
      </c>
      <c r="AK255" s="25">
        <v>0</v>
      </c>
      <c r="AL255" s="25">
        <v>286200</v>
      </c>
      <c r="AM255" s="25">
        <v>54700</v>
      </c>
      <c r="AN255" s="25">
        <v>231500</v>
      </c>
      <c r="AO255" s="25">
        <v>0</v>
      </c>
      <c r="AP255" s="25">
        <f>Lookups!$B$56*0</f>
        <v>0</v>
      </c>
      <c r="AQ255" s="25">
        <f>Lookups!$B$56*1</f>
        <v>89850.625589999996</v>
      </c>
      <c r="AR255" s="25">
        <f>Lookups!$B$57*Inventory[[#This Row],[LnAcres]]</f>
        <v>-54281.285314520763</v>
      </c>
      <c r="AS255" s="25">
        <f>VLOOKUP(Inventory[[#This Row],[Qlty]],Lookups!$A$62:$E$75,2,FALSE)</f>
        <v>0</v>
      </c>
      <c r="AT255" s="25">
        <f>VLOOKUP(Inventory[[#This Row],[Cnd]],Lookups!$A$76:$E$84,2,FALSE)</f>
        <v>160472.20319</v>
      </c>
      <c r="AU255" s="25">
        <f>Inventory[[#This Row],[EffAge]]*Lookups!$B$85</f>
        <v>-10260.097623</v>
      </c>
      <c r="AV255" s="25">
        <f>Inventory[[#This Row],[MainFn]]*Lookups!$B$86</f>
        <v>74508.274174516002</v>
      </c>
      <c r="AW255" s="25">
        <f>Inventory[[#This Row],[UpprFn]]*Lookups!$B$87</f>
        <v>0</v>
      </c>
      <c r="AX255" s="25">
        <f>Inventory[[#This Row],[AddFn]]*Lookups!$B$88</f>
        <v>0</v>
      </c>
      <c r="AY255" s="25">
        <f>Inventory[[#This Row],[Bsmt]]*Lookups!$B$89</f>
        <v>0</v>
      </c>
      <c r="AZ255" s="25">
        <f>Inventory[[#This Row],[Fixtures]]*Lookups!$B$90</f>
        <v>30336.176841600001</v>
      </c>
      <c r="BA255" s="25">
        <f>Inventory[[#This Row],[WdDeck]]*Lookups!$B$91</f>
        <v>1198.6385499360001</v>
      </c>
      <c r="BB255" s="25">
        <f>ROUND(Inventory[[#This Row],[25Det]],-2)</f>
        <v>0</v>
      </c>
      <c r="BC255" s="25">
        <f>ROUND(SUM(Inventory[[#This Row],[Mdl Qlty]:[Mdl WdDeck]])+Inventory[[#This Row],[Mdl Res Intercept]],-2)</f>
        <v>256300</v>
      </c>
      <c r="BD255" s="25">
        <f>ROUND(Inventory[[#This Row],[Mdl Land Intercept]]+Inventory[[#This Row],[Mdl LnAcres]],-2)</f>
        <v>35600</v>
      </c>
      <c r="BE255" s="25">
        <f>Inventory[[#This Row],[Unadj Res Value]]+Inventory[[#This Row],[Unadj Det Value]]+Inventory[[#This Row],[Unadj Land Value]]</f>
        <v>291900</v>
      </c>
      <c r="BF255" s="36">
        <f>(Inventory[[#This Row],[Unadj Total Value]]-Inventory[[#This Row],[24Final]])/Inventory[[#This Row],[24Final]]</f>
        <v>1.9916142557651992E-2</v>
      </c>
      <c r="BG255" s="25">
        <f>VLOOKUP(Inventory[[#This Row],[Nbhd]],Lookups!$Q$2:$T$4,4,FALSE)</f>
        <v>0.99970000000000003</v>
      </c>
      <c r="BH255" s="25">
        <f>VLOOKUP(Inventory[[#This Row],[Qlty]],Lookups!$O$7:$R$21,4,FALSE)</f>
        <v>0.99180000000000001</v>
      </c>
      <c r="BI255" s="25">
        <f>VLOOKUP(Inventory[[#This Row],[Cnd]],Lookups!$T$7:$W$16,4,FALSE)</f>
        <v>0.99729999999999996</v>
      </c>
      <c r="BJ255" s="25">
        <f>VLOOKUP(Inventory[[#This Row],[LivArea Range]],Lookups!$T$25:$W$37,4,FALSE)</f>
        <v>1.0093000000000001</v>
      </c>
      <c r="BK255" s="25">
        <f>VLOOKUP(Inventory[[#This Row],[Decade]],Lookups!$O$25:$R$42,4,FALSE)</f>
        <v>0.98119999999999996</v>
      </c>
      <c r="BL255" s="25">
        <f>Inventory[[#This Row],[Nbhd Adj]]*0.95</f>
        <v>0.94971499999999998</v>
      </c>
      <c r="BM255" s="25">
        <f>Inventory[[#This Row],[Nbhd Adj]]*Inventory[[#This Row],[Quality Adj]]*Inventory[[#This Row],[Condition Adj]]*Inventory[[#This Row],[Living Area Adj]]*Inventory[[#This Row],[Decade Adj]]*0.95</f>
        <v>0.93029574200294729</v>
      </c>
      <c r="BN255" s="25">
        <f>ROUND(SUM(Inventory[[#This Row],[Mdl Qlty]:[Mdl WdDeck]])+Inventory[[#This Row],[Mdl Res Intercept]]*Inventory[[#This Row],[Res Adj ]],-2)</f>
        <v>256300</v>
      </c>
      <c r="BO255" s="25">
        <f>ROUND(Inventory[[#This Row],[25Det]]*Inventory[[#This Row],[Det/Nbhd Adj]],-2)</f>
        <v>0</v>
      </c>
      <c r="BP255" s="25">
        <f>Inventory[[#This Row],[Adjusted Res]]+Inventory[[#This Row],[Adj Det ]]</f>
        <v>256300</v>
      </c>
      <c r="BQ255" s="25">
        <f>ROUND((Inventory[[#This Row],[Mdl Land Intercept]]+Inventory[[#This Row],[Mdl LnAcres]])*Inventory[[#This Row],[Det/Nbhd Adj]],-2)</f>
        <v>33800</v>
      </c>
      <c r="BR255" s="25">
        <f>Inventory[[#This Row],[Adjusted Impr Total]]+Inventory[[#This Row],[Adjusted Land Total]]</f>
        <v>290100</v>
      </c>
      <c r="BS255" s="36">
        <f>IFERROR((Inventory[[#This Row],[Adjusted Impr Total]]-Inventory[[#This Row],[24Bldg]])/Inventory[[#This Row],[24Bldg]],0)</f>
        <v>0.10712742980561556</v>
      </c>
      <c r="BT255" s="36">
        <f>(Inventory[[#This Row],[Adjusted Land Total]]-Inventory[[#This Row],[24Lnd]])/Inventory[[#This Row],[24Lnd]]</f>
        <v>-0.38208409506398539</v>
      </c>
      <c r="BU255" s="36">
        <f>(Inventory[[#This Row],[Adjusted Total]]-Inventory[[#This Row],[24Final]])/Inventory[[#This Row],[24Final]]</f>
        <v>1.3626834381551363E-2</v>
      </c>
    </row>
    <row r="256" spans="1:73" x14ac:dyDescent="0.3">
      <c r="A256" s="25">
        <v>2025</v>
      </c>
      <c r="B256" s="26" t="s">
        <v>1296</v>
      </c>
      <c r="C256" s="26">
        <f>LN(Inventory[[#This Row],[Acres]])</f>
        <v>-1.3470736479666092</v>
      </c>
      <c r="D256" s="25">
        <v>0.26</v>
      </c>
      <c r="E256" s="25">
        <v>11372</v>
      </c>
      <c r="F256" s="26" t="s">
        <v>537</v>
      </c>
      <c r="G256" s="26" t="s">
        <v>126</v>
      </c>
      <c r="H256" s="26" t="s">
        <v>349</v>
      </c>
      <c r="I256" s="26" t="s">
        <v>538</v>
      </c>
      <c r="J256" s="26" t="s">
        <v>539</v>
      </c>
      <c r="K256" s="26" t="s">
        <v>241</v>
      </c>
      <c r="L256" s="26" t="s">
        <v>64</v>
      </c>
      <c r="M256" s="26" t="s">
        <v>303</v>
      </c>
      <c r="N256" s="26">
        <v>60</v>
      </c>
      <c r="O256" s="26">
        <f>2024-Inventory[[#This Row],[YrBlt]]</f>
        <v>52</v>
      </c>
      <c r="P256" s="26">
        <f>2024-Inventory[[#This Row],[EffYr]]</f>
        <v>46</v>
      </c>
      <c r="Q256" s="25">
        <v>1972</v>
      </c>
      <c r="R256" s="25">
        <v>1978</v>
      </c>
      <c r="S256" s="25">
        <v>3694</v>
      </c>
      <c r="T256" s="27"/>
      <c r="U256" s="32">
        <v>3140</v>
      </c>
      <c r="V256" s="32">
        <f>Inventory[[#This Row],[Bsmt]]-Inventory[[#This Row],[FnBsmt]]</f>
        <v>1304</v>
      </c>
      <c r="W256" s="32">
        <v>1836</v>
      </c>
      <c r="X256" s="27"/>
      <c r="Y256" s="27">
        <f>Inventory[[#This Row],[MainFn]]+Inventory[[#This Row],[UpprFn]]+Inventory[[#This Row],[FnBsmt]]+Inventory[[#This Row],[AddFn]]</f>
        <v>5530</v>
      </c>
      <c r="Z256" s="27">
        <v>5500</v>
      </c>
      <c r="AA256" s="25">
        <v>18</v>
      </c>
      <c r="AB256" s="32">
        <v>736</v>
      </c>
      <c r="AC256" s="27"/>
      <c r="AD256" s="27"/>
      <c r="AE256" s="27"/>
      <c r="AF256" s="27"/>
      <c r="AG256" s="27"/>
      <c r="AH256" s="27"/>
      <c r="AI256" s="25">
        <v>1237082</v>
      </c>
      <c r="AJ256" s="25">
        <v>989666</v>
      </c>
      <c r="AK256" s="25">
        <v>32089</v>
      </c>
      <c r="AL256" s="25">
        <v>794800</v>
      </c>
      <c r="AM256" s="25">
        <v>67600</v>
      </c>
      <c r="AN256" s="25">
        <v>727200</v>
      </c>
      <c r="AO256" s="25">
        <v>0</v>
      </c>
      <c r="AP256" s="25">
        <f>Lookups!$B$56*0</f>
        <v>0</v>
      </c>
      <c r="AQ256" s="25">
        <f>Lookups!$B$56*1</f>
        <v>89850.625589999996</v>
      </c>
      <c r="AR256" s="25">
        <f>Lookups!$B$57*Inventory[[#This Row],[LnAcres]]</f>
        <v>-42641.098701210125</v>
      </c>
      <c r="AS256" s="25">
        <f>VLOOKUP(Inventory[[#This Row],[Qlty]],Lookups!$A$62:$E$75,2,FALSE)</f>
        <v>163885.03753</v>
      </c>
      <c r="AT256" s="25">
        <f>VLOOKUP(Inventory[[#This Row],[Cnd]],Lookups!$A$76:$E$84,2,FALSE)</f>
        <v>197752.34721000001</v>
      </c>
      <c r="AU256" s="25">
        <f>Inventory[[#This Row],[EffAge]]*Lookups!$B$85</f>
        <v>-10260.097623</v>
      </c>
      <c r="AV256" s="25">
        <f>Inventory[[#This Row],[MainFn]]*Lookups!$B$86</f>
        <v>182515.62652563801</v>
      </c>
      <c r="AW256" s="25">
        <f>Inventory[[#This Row],[UpprFn]]*Lookups!$B$87</f>
        <v>0</v>
      </c>
      <c r="AX256" s="25">
        <f>Inventory[[#This Row],[AddFn]]*Lookups!$B$88</f>
        <v>0</v>
      </c>
      <c r="AY256" s="25">
        <f>Inventory[[#This Row],[Bsmt]]*Lookups!$B$89</f>
        <v>91317.151075579997</v>
      </c>
      <c r="AZ256" s="25">
        <f>Inventory[[#This Row],[Fixtures]]*Lookups!$B$90</f>
        <v>68256.397893600006</v>
      </c>
      <c r="BA256" s="25">
        <f>Inventory[[#This Row],[WdDeck]]*Lookups!$B$91</f>
        <v>0</v>
      </c>
      <c r="BB256" s="25">
        <f>ROUND(Inventory[[#This Row],[25Det]],-2)</f>
        <v>32100</v>
      </c>
      <c r="BC256" s="25">
        <f>ROUND(SUM(Inventory[[#This Row],[Mdl Qlty]:[Mdl WdDeck]])+Inventory[[#This Row],[Mdl Res Intercept]],-2)</f>
        <v>693500</v>
      </c>
      <c r="BD256" s="25">
        <f>ROUND(Inventory[[#This Row],[Mdl Land Intercept]]+Inventory[[#This Row],[Mdl LnAcres]],-2)</f>
        <v>47200</v>
      </c>
      <c r="BE256" s="25">
        <f>Inventory[[#This Row],[Unadj Res Value]]+Inventory[[#This Row],[Unadj Det Value]]+Inventory[[#This Row],[Unadj Land Value]]</f>
        <v>772800</v>
      </c>
      <c r="BF256" s="36">
        <f>(Inventory[[#This Row],[Unadj Total Value]]-Inventory[[#This Row],[24Final]])/Inventory[[#This Row],[24Final]]</f>
        <v>-2.7679919476597887E-2</v>
      </c>
      <c r="BG256" s="25">
        <f>VLOOKUP(Inventory[[#This Row],[Nbhd]],Lookups!$Q$2:$T$4,4,FALSE)</f>
        <v>0.99970000000000003</v>
      </c>
      <c r="BH256" s="25">
        <f>VLOOKUP(Inventory[[#This Row],[Qlty]],Lookups!$O$7:$R$21,4,FALSE)</f>
        <v>1</v>
      </c>
      <c r="BI256" s="25">
        <f>VLOOKUP(Inventory[[#This Row],[Cnd]],Lookups!$T$7:$W$16,4,FALSE)</f>
        <v>0.99650000000000005</v>
      </c>
      <c r="BJ256" s="25">
        <f>VLOOKUP(Inventory[[#This Row],[LivArea Range]],Lookups!$T$25:$W$37,4,FALSE)</f>
        <v>1.1091</v>
      </c>
      <c r="BK256" s="25">
        <f>VLOOKUP(Inventory[[#This Row],[Decade]],Lookups!$O$25:$R$42,4,FALSE)</f>
        <v>0.98119999999999996</v>
      </c>
      <c r="BL256" s="25">
        <f>Inventory[[#This Row],[Nbhd Adj]]*0.95</f>
        <v>0.94971499999999998</v>
      </c>
      <c r="BM256" s="25">
        <f>Inventory[[#This Row],[Nbhd Adj]]*Inventory[[#This Row],[Quality Adj]]*Inventory[[#This Row],[Condition Adj]]*Inventory[[#This Row],[Living Area Adj]]*Inventory[[#This Row],[Decade Adj]]*0.95</f>
        <v>1.0299089809270976</v>
      </c>
      <c r="BN256" s="25">
        <f>ROUND(SUM(Inventory[[#This Row],[Mdl Qlty]:[Mdl WdDeck]])+Inventory[[#This Row],[Mdl Res Intercept]]*Inventory[[#This Row],[Res Adj ]],-2)</f>
        <v>693500</v>
      </c>
      <c r="BO256" s="25">
        <f>ROUND(Inventory[[#This Row],[25Det]]*Inventory[[#This Row],[Det/Nbhd Adj]],-2)</f>
        <v>30500</v>
      </c>
      <c r="BP256" s="25">
        <f>Inventory[[#This Row],[Adjusted Res]]+Inventory[[#This Row],[Adj Det ]]</f>
        <v>724000</v>
      </c>
      <c r="BQ256" s="25">
        <f>ROUND((Inventory[[#This Row],[Mdl Land Intercept]]+Inventory[[#This Row],[Mdl LnAcres]])*Inventory[[#This Row],[Det/Nbhd Adj]],-2)</f>
        <v>44800</v>
      </c>
      <c r="BR256" s="25">
        <f>Inventory[[#This Row],[Adjusted Impr Total]]+Inventory[[#This Row],[Adjusted Land Total]]</f>
        <v>768800</v>
      </c>
      <c r="BS256" s="36">
        <f>IFERROR((Inventory[[#This Row],[Adjusted Impr Total]]-Inventory[[#This Row],[24Bldg]])/Inventory[[#This Row],[24Bldg]],0)</f>
        <v>-4.4004400440044002E-3</v>
      </c>
      <c r="BT256" s="36">
        <f>(Inventory[[#This Row],[Adjusted Land Total]]-Inventory[[#This Row],[24Lnd]])/Inventory[[#This Row],[24Lnd]]</f>
        <v>-0.33727810650887574</v>
      </c>
      <c r="BU256" s="36">
        <f>(Inventory[[#This Row],[Adjusted Total]]-Inventory[[#This Row],[24Final]])/Inventory[[#This Row],[24Final]]</f>
        <v>-3.2712632108706591E-2</v>
      </c>
    </row>
    <row r="257" spans="1:73" x14ac:dyDescent="0.3">
      <c r="A257" s="25">
        <v>2025</v>
      </c>
      <c r="B257" s="26" t="s">
        <v>1971</v>
      </c>
      <c r="C257" s="26">
        <f>LN(Inventory[[#This Row],[Acres]])</f>
        <v>-1.2378743560016174</v>
      </c>
      <c r="D257" s="25">
        <v>0.28999999999999998</v>
      </c>
      <c r="E257" s="31"/>
      <c r="F257" s="26" t="s">
        <v>537</v>
      </c>
      <c r="G257" s="26" t="s">
        <v>126</v>
      </c>
      <c r="H257" s="26" t="s">
        <v>349</v>
      </c>
      <c r="I257" s="26" t="s">
        <v>538</v>
      </c>
      <c r="J257" s="26" t="s">
        <v>539</v>
      </c>
      <c r="K257" s="26" t="s">
        <v>241</v>
      </c>
      <c r="L257" s="26" t="s">
        <v>95</v>
      </c>
      <c r="M257" s="26" t="s">
        <v>323</v>
      </c>
      <c r="N257" s="26">
        <v>60</v>
      </c>
      <c r="O257" s="26">
        <f>2024-Inventory[[#This Row],[YrBlt]]</f>
        <v>52</v>
      </c>
      <c r="P257" s="26">
        <f>2024-Inventory[[#This Row],[EffYr]]</f>
        <v>46</v>
      </c>
      <c r="Q257" s="25">
        <v>1972</v>
      </c>
      <c r="R257" s="25">
        <v>1978</v>
      </c>
      <c r="S257" s="25">
        <v>1240</v>
      </c>
      <c r="T257" s="27"/>
      <c r="U257" s="32">
        <v>568</v>
      </c>
      <c r="V257" s="32">
        <f>Inventory[[#This Row],[Bsmt]]-Inventory[[#This Row],[FnBsmt]]</f>
        <v>0</v>
      </c>
      <c r="W257" s="32">
        <v>568</v>
      </c>
      <c r="X257" s="27"/>
      <c r="Y257" s="27">
        <f>Inventory[[#This Row],[MainFn]]+Inventory[[#This Row],[UpprFn]]+Inventory[[#This Row],[FnBsmt]]+Inventory[[#This Row],[AddFn]]</f>
        <v>1808</v>
      </c>
      <c r="Z257" s="27">
        <v>2000</v>
      </c>
      <c r="AA257" s="25">
        <v>9</v>
      </c>
      <c r="AB257" s="32">
        <v>552</v>
      </c>
      <c r="AC257" s="27"/>
      <c r="AD257" s="27"/>
      <c r="AE257" s="27"/>
      <c r="AF257" s="27"/>
      <c r="AG257" s="27"/>
      <c r="AH257" s="27"/>
      <c r="AI257" s="25">
        <v>451904</v>
      </c>
      <c r="AJ257" s="25">
        <v>352485</v>
      </c>
      <c r="AK257" s="25">
        <v>0</v>
      </c>
      <c r="AL257" s="25">
        <v>403700</v>
      </c>
      <c r="AM257" s="25">
        <v>71400</v>
      </c>
      <c r="AN257" s="25">
        <v>332300</v>
      </c>
      <c r="AO257" s="25">
        <v>0</v>
      </c>
      <c r="AP257" s="25">
        <f>Lookups!$B$56*0</f>
        <v>0</v>
      </c>
      <c r="AQ257" s="25">
        <f>Lookups!$B$56*1</f>
        <v>89850.625589999996</v>
      </c>
      <c r="AR257" s="25">
        <f>Lookups!$B$57*Inventory[[#This Row],[LnAcres]]</f>
        <v>-39184.437074869042</v>
      </c>
      <c r="AS257" s="25">
        <f>VLOOKUP(Inventory[[#This Row],[Qlty]],Lookups!$A$62:$E$75,2,FALSE)</f>
        <v>74268.409664999999</v>
      </c>
      <c r="AT257" s="25">
        <f>VLOOKUP(Inventory[[#This Row],[Cnd]],Lookups!$A$76:$E$84,2,FALSE)</f>
        <v>160472.20319</v>
      </c>
      <c r="AU257" s="25">
        <f>Inventory[[#This Row],[EffAge]]*Lookups!$B$85</f>
        <v>-10260.097623</v>
      </c>
      <c r="AV257" s="25">
        <f>Inventory[[#This Row],[MainFn]]*Lookups!$B$86</f>
        <v>61266.750647480003</v>
      </c>
      <c r="AW257" s="25">
        <f>Inventory[[#This Row],[UpprFn]]*Lookups!$B$87</f>
        <v>0</v>
      </c>
      <c r="AX257" s="25">
        <f>Inventory[[#This Row],[AddFn]]*Lookups!$B$88</f>
        <v>0</v>
      </c>
      <c r="AY257" s="25">
        <f>Inventory[[#This Row],[Bsmt]]*Lookups!$B$89</f>
        <v>16518.516500295998</v>
      </c>
      <c r="AZ257" s="25">
        <f>Inventory[[#This Row],[Fixtures]]*Lookups!$B$90</f>
        <v>34128.198946800003</v>
      </c>
      <c r="BA257" s="25">
        <f>Inventory[[#This Row],[WdDeck]]*Lookups!$B$91</f>
        <v>0</v>
      </c>
      <c r="BB257" s="25">
        <f>ROUND(Inventory[[#This Row],[25Det]],-2)</f>
        <v>0</v>
      </c>
      <c r="BC257" s="25">
        <f>ROUND(SUM(Inventory[[#This Row],[Mdl Qlty]:[Mdl WdDeck]])+Inventory[[#This Row],[Mdl Res Intercept]],-2)</f>
        <v>336400</v>
      </c>
      <c r="BD257" s="25">
        <f>ROUND(Inventory[[#This Row],[Mdl Land Intercept]]+Inventory[[#This Row],[Mdl LnAcres]],-2)</f>
        <v>50700</v>
      </c>
      <c r="BE257" s="25">
        <f>Inventory[[#This Row],[Unadj Res Value]]+Inventory[[#This Row],[Unadj Det Value]]+Inventory[[#This Row],[Unadj Land Value]]</f>
        <v>387100</v>
      </c>
      <c r="BF257" s="36">
        <f>(Inventory[[#This Row],[Unadj Total Value]]-Inventory[[#This Row],[24Final]])/Inventory[[#This Row],[24Final]]</f>
        <v>-4.1119643299479813E-2</v>
      </c>
      <c r="BG257" s="25">
        <f>VLOOKUP(Inventory[[#This Row],[Nbhd]],Lookups!$Q$2:$T$4,4,FALSE)</f>
        <v>0.99970000000000003</v>
      </c>
      <c r="BH257" s="25">
        <f>VLOOKUP(Inventory[[#This Row],[Qlty]],Lookups!$O$7:$R$21,4,FALSE)</f>
        <v>0.98380000000000001</v>
      </c>
      <c r="BI257" s="25">
        <f>VLOOKUP(Inventory[[#This Row],[Cnd]],Lookups!$T$7:$W$16,4,FALSE)</f>
        <v>0.99729999999999996</v>
      </c>
      <c r="BJ257" s="25">
        <f>VLOOKUP(Inventory[[#This Row],[LivArea Range]],Lookups!$T$25:$W$37,4,FALSE)</f>
        <v>1.0093000000000001</v>
      </c>
      <c r="BK257" s="25">
        <f>VLOOKUP(Inventory[[#This Row],[Decade]],Lookups!$O$25:$R$42,4,FALSE)</f>
        <v>0.98119999999999996</v>
      </c>
      <c r="BL257" s="25">
        <f>Inventory[[#This Row],[Nbhd Adj]]*0.95</f>
        <v>0.94971499999999998</v>
      </c>
      <c r="BM257" s="25">
        <f>Inventory[[#This Row],[Nbhd Adj]]*Inventory[[#This Row],[Quality Adj]]*Inventory[[#This Row],[Condition Adj]]*Inventory[[#This Row],[Living Area Adj]]*Inventory[[#This Row],[Decade Adj]]*0.95</f>
        <v>0.92279184410415338</v>
      </c>
      <c r="BN257" s="25">
        <f>ROUND(SUM(Inventory[[#This Row],[Mdl Qlty]:[Mdl WdDeck]])+Inventory[[#This Row],[Mdl Res Intercept]]*Inventory[[#This Row],[Res Adj ]],-2)</f>
        <v>336400</v>
      </c>
      <c r="BO257" s="25">
        <f>ROUND(Inventory[[#This Row],[25Det]]*Inventory[[#This Row],[Det/Nbhd Adj]],-2)</f>
        <v>0</v>
      </c>
      <c r="BP257" s="25">
        <f>Inventory[[#This Row],[Adjusted Res]]+Inventory[[#This Row],[Adj Det ]]</f>
        <v>336400</v>
      </c>
      <c r="BQ257" s="25">
        <f>ROUND((Inventory[[#This Row],[Mdl Land Intercept]]+Inventory[[#This Row],[Mdl LnAcres]])*Inventory[[#This Row],[Det/Nbhd Adj]],-2)</f>
        <v>48100</v>
      </c>
      <c r="BR257" s="25">
        <f>Inventory[[#This Row],[Adjusted Impr Total]]+Inventory[[#This Row],[Adjusted Land Total]]</f>
        <v>384500</v>
      </c>
      <c r="BS257" s="36">
        <f>IFERROR((Inventory[[#This Row],[Adjusted Impr Total]]-Inventory[[#This Row],[24Bldg]])/Inventory[[#This Row],[24Bldg]],0)</f>
        <v>1.2338248570568764E-2</v>
      </c>
      <c r="BT257" s="36">
        <f>(Inventory[[#This Row],[Adjusted Land Total]]-Inventory[[#This Row],[24Lnd]])/Inventory[[#This Row],[24Lnd]]</f>
        <v>-0.32633053221288516</v>
      </c>
      <c r="BU257" s="36">
        <f>(Inventory[[#This Row],[Adjusted Total]]-Inventory[[#This Row],[24Final]])/Inventory[[#This Row],[24Final]]</f>
        <v>-4.756006935843448E-2</v>
      </c>
    </row>
    <row r="258" spans="1:73" x14ac:dyDescent="0.3">
      <c r="A258" s="25">
        <v>2025</v>
      </c>
      <c r="B258" s="26" t="s">
        <v>1177</v>
      </c>
      <c r="C258" s="26">
        <f>LN(Inventory[[#This Row],[Acres]])</f>
        <v>-1.4271163556401458</v>
      </c>
      <c r="D258" s="25">
        <v>0.24</v>
      </c>
      <c r="E258" s="31"/>
      <c r="F258" s="26" t="s">
        <v>537</v>
      </c>
      <c r="G258" s="26" t="s">
        <v>126</v>
      </c>
      <c r="H258" s="26" t="s">
        <v>349</v>
      </c>
      <c r="I258" s="26" t="s">
        <v>538</v>
      </c>
      <c r="J258" s="26" t="s">
        <v>539</v>
      </c>
      <c r="K258" s="26" t="s">
        <v>241</v>
      </c>
      <c r="L258" s="26" t="s">
        <v>351</v>
      </c>
      <c r="M258" s="26" t="s">
        <v>323</v>
      </c>
      <c r="N258" s="26">
        <v>60</v>
      </c>
      <c r="O258" s="26">
        <f>2024-Inventory[[#This Row],[YrBlt]]</f>
        <v>52</v>
      </c>
      <c r="P258" s="26">
        <f>2024-Inventory[[#This Row],[EffYr]]</f>
        <v>46</v>
      </c>
      <c r="Q258" s="25">
        <v>1972</v>
      </c>
      <c r="R258" s="25">
        <v>1978</v>
      </c>
      <c r="S258" s="25">
        <v>1885</v>
      </c>
      <c r="T258" s="31"/>
      <c r="U258" s="27"/>
      <c r="V258" s="27">
        <f>Inventory[[#This Row],[Bsmt]]-Inventory[[#This Row],[FnBsmt]]</f>
        <v>0</v>
      </c>
      <c r="W258" s="27"/>
      <c r="X258" s="27"/>
      <c r="Y258" s="27">
        <f>Inventory[[#This Row],[MainFn]]+Inventory[[#This Row],[UpprFn]]+Inventory[[#This Row],[FnBsmt]]+Inventory[[#This Row],[AddFn]]</f>
        <v>1885</v>
      </c>
      <c r="Z258" s="27">
        <v>2000</v>
      </c>
      <c r="AA258" s="25">
        <v>8</v>
      </c>
      <c r="AB258" s="32">
        <v>416</v>
      </c>
      <c r="AC258" s="27"/>
      <c r="AD258" s="32">
        <v>316</v>
      </c>
      <c r="AE258" s="27"/>
      <c r="AF258" s="27"/>
      <c r="AG258" s="27"/>
      <c r="AH258" s="27"/>
      <c r="AI258" s="25">
        <v>315963</v>
      </c>
      <c r="AJ258" s="25">
        <v>240132</v>
      </c>
      <c r="AK258" s="25">
        <v>18847</v>
      </c>
      <c r="AL258" s="25">
        <v>389400</v>
      </c>
      <c r="AM258" s="25">
        <v>64800</v>
      </c>
      <c r="AN258" s="25">
        <v>324600</v>
      </c>
      <c r="AO258" s="25">
        <v>0</v>
      </c>
      <c r="AP258" s="25">
        <f>Lookups!$B$56*0</f>
        <v>0</v>
      </c>
      <c r="AQ258" s="25">
        <f>Lookups!$B$56*1</f>
        <v>89850.625589999996</v>
      </c>
      <c r="AR258" s="25">
        <f>Lookups!$B$57*Inventory[[#This Row],[LnAcres]]</f>
        <v>-45174.819855485119</v>
      </c>
      <c r="AS258" s="25">
        <f>VLOOKUP(Inventory[[#This Row],[Qlty]],Lookups!$A$62:$E$75,2,FALSE)</f>
        <v>21557.329055999999</v>
      </c>
      <c r="AT258" s="25">
        <f>VLOOKUP(Inventory[[#This Row],[Cnd]],Lookups!$A$76:$E$84,2,FALSE)</f>
        <v>160472.20319</v>
      </c>
      <c r="AU258" s="25">
        <f>Inventory[[#This Row],[EffAge]]*Lookups!$B$85</f>
        <v>-10260.097623</v>
      </c>
      <c r="AV258" s="25">
        <f>Inventory[[#This Row],[MainFn]]*Lookups!$B$86</f>
        <v>93135.342718144995</v>
      </c>
      <c r="AW258" s="25">
        <f>Inventory[[#This Row],[UpprFn]]*Lookups!$B$87</f>
        <v>0</v>
      </c>
      <c r="AX258" s="25">
        <f>Inventory[[#This Row],[AddFn]]*Lookups!$B$88</f>
        <v>0</v>
      </c>
      <c r="AY258" s="25">
        <f>Inventory[[#This Row],[Bsmt]]*Lookups!$B$89</f>
        <v>0</v>
      </c>
      <c r="AZ258" s="25">
        <f>Inventory[[#This Row],[Fixtures]]*Lookups!$B$90</f>
        <v>30336.176841600001</v>
      </c>
      <c r="BA258" s="25">
        <f>Inventory[[#This Row],[WdDeck]]*Lookups!$B$91</f>
        <v>10521.382827216001</v>
      </c>
      <c r="BB258" s="25">
        <f>ROUND(Inventory[[#This Row],[25Det]],-2)</f>
        <v>18800</v>
      </c>
      <c r="BC258" s="25">
        <f>ROUND(SUM(Inventory[[#This Row],[Mdl Qlty]:[Mdl WdDeck]])+Inventory[[#This Row],[Mdl Res Intercept]],-2)</f>
        <v>305800</v>
      </c>
      <c r="BD258" s="25">
        <f>ROUND(Inventory[[#This Row],[Mdl Land Intercept]]+Inventory[[#This Row],[Mdl LnAcres]],-2)</f>
        <v>44700</v>
      </c>
      <c r="BE258" s="25">
        <f>Inventory[[#This Row],[Unadj Res Value]]+Inventory[[#This Row],[Unadj Det Value]]+Inventory[[#This Row],[Unadj Land Value]]</f>
        <v>369300</v>
      </c>
      <c r="BF258" s="36">
        <f>(Inventory[[#This Row],[Unadj Total Value]]-Inventory[[#This Row],[24Final]])/Inventory[[#This Row],[24Final]]</f>
        <v>-5.1617873651771957E-2</v>
      </c>
      <c r="BG258" s="25">
        <f>VLOOKUP(Inventory[[#This Row],[Nbhd]],Lookups!$Q$2:$T$4,4,FALSE)</f>
        <v>0.99970000000000003</v>
      </c>
      <c r="BH258" s="25">
        <f>VLOOKUP(Inventory[[#This Row],[Qlty]],Lookups!$O$7:$R$21,4,FALSE)</f>
        <v>1.0067999999999999</v>
      </c>
      <c r="BI258" s="25">
        <f>VLOOKUP(Inventory[[#This Row],[Cnd]],Lookups!$T$7:$W$16,4,FALSE)</f>
        <v>0.99729999999999996</v>
      </c>
      <c r="BJ258" s="25">
        <f>VLOOKUP(Inventory[[#This Row],[LivArea Range]],Lookups!$T$25:$W$37,4,FALSE)</f>
        <v>1.0093000000000001</v>
      </c>
      <c r="BK258" s="25">
        <f>VLOOKUP(Inventory[[#This Row],[Decade]],Lookups!$O$25:$R$42,4,FALSE)</f>
        <v>0.98119999999999996</v>
      </c>
      <c r="BL258" s="25">
        <f>Inventory[[#This Row],[Nbhd Adj]]*0.95</f>
        <v>0.94971499999999998</v>
      </c>
      <c r="BM258" s="25">
        <f>Inventory[[#This Row],[Nbhd Adj]]*Inventory[[#This Row],[Quality Adj]]*Inventory[[#This Row],[Condition Adj]]*Inventory[[#This Row],[Living Area Adj]]*Inventory[[#This Row],[Decade Adj]]*0.95</f>
        <v>0.94436555056318516</v>
      </c>
      <c r="BN258" s="25">
        <f>ROUND(SUM(Inventory[[#This Row],[Mdl Qlty]:[Mdl WdDeck]])+Inventory[[#This Row],[Mdl Res Intercept]]*Inventory[[#This Row],[Res Adj ]],-2)</f>
        <v>305800</v>
      </c>
      <c r="BO258" s="25">
        <f>ROUND(Inventory[[#This Row],[25Det]]*Inventory[[#This Row],[Det/Nbhd Adj]],-2)</f>
        <v>17900</v>
      </c>
      <c r="BP258" s="25">
        <f>Inventory[[#This Row],[Adjusted Res]]+Inventory[[#This Row],[Adj Det ]]</f>
        <v>323700</v>
      </c>
      <c r="BQ258" s="25">
        <f>ROUND((Inventory[[#This Row],[Mdl Land Intercept]]+Inventory[[#This Row],[Mdl LnAcres]])*Inventory[[#This Row],[Det/Nbhd Adj]],-2)</f>
        <v>42400</v>
      </c>
      <c r="BR258" s="25">
        <f>Inventory[[#This Row],[Adjusted Impr Total]]+Inventory[[#This Row],[Adjusted Land Total]]</f>
        <v>366100</v>
      </c>
      <c r="BS258" s="36">
        <f>IFERROR((Inventory[[#This Row],[Adjusted Impr Total]]-Inventory[[#This Row],[24Bldg]])/Inventory[[#This Row],[24Bldg]],0)</f>
        <v>-2.7726432532347504E-3</v>
      </c>
      <c r="BT258" s="36">
        <f>(Inventory[[#This Row],[Adjusted Land Total]]-Inventory[[#This Row],[24Lnd]])/Inventory[[#This Row],[24Lnd]]</f>
        <v>-0.34567901234567899</v>
      </c>
      <c r="BU258" s="36">
        <f>(Inventory[[#This Row],[Adjusted Total]]-Inventory[[#This Row],[24Final]])/Inventory[[#This Row],[24Final]]</f>
        <v>-5.9835644581407291E-2</v>
      </c>
    </row>
    <row r="259" spans="1:73" x14ac:dyDescent="0.3">
      <c r="A259" s="25">
        <v>2025</v>
      </c>
      <c r="B259" s="26" t="s">
        <v>650</v>
      </c>
      <c r="C259" s="26">
        <f>LN(Inventory[[#This Row],[Acres]])</f>
        <v>-1.8971199848858813</v>
      </c>
      <c r="D259" s="25">
        <v>0.15</v>
      </c>
      <c r="E259" s="25">
        <v>6439</v>
      </c>
      <c r="F259" s="26" t="s">
        <v>537</v>
      </c>
      <c r="G259" s="26" t="s">
        <v>126</v>
      </c>
      <c r="H259" s="26" t="s">
        <v>349</v>
      </c>
      <c r="I259" s="26" t="s">
        <v>538</v>
      </c>
      <c r="J259" s="26" t="s">
        <v>586</v>
      </c>
      <c r="K259" s="26" t="s">
        <v>592</v>
      </c>
      <c r="L259" s="26" t="s">
        <v>148</v>
      </c>
      <c r="M259" s="26" t="s">
        <v>303</v>
      </c>
      <c r="N259" s="26">
        <v>60</v>
      </c>
      <c r="O259" s="26">
        <f>2024-Inventory[[#This Row],[YrBlt]]</f>
        <v>53</v>
      </c>
      <c r="P259" s="26">
        <f>2024-Inventory[[#This Row],[EffYr]]</f>
        <v>46</v>
      </c>
      <c r="Q259" s="25">
        <v>1971</v>
      </c>
      <c r="R259" s="25">
        <v>1978</v>
      </c>
      <c r="S259" s="25">
        <v>1381</v>
      </c>
      <c r="T259" s="27"/>
      <c r="U259" s="25">
        <v>704</v>
      </c>
      <c r="V259" s="25">
        <f>Inventory[[#This Row],[Bsmt]]-Inventory[[#This Row],[FnBsmt]]</f>
        <v>0</v>
      </c>
      <c r="W259" s="25">
        <v>704</v>
      </c>
      <c r="X259" s="27"/>
      <c r="Y259" s="27">
        <f>Inventory[[#This Row],[MainFn]]+Inventory[[#This Row],[UpprFn]]+Inventory[[#This Row],[FnBsmt]]+Inventory[[#This Row],[AddFn]]</f>
        <v>2085</v>
      </c>
      <c r="Z259" s="27">
        <v>2500</v>
      </c>
      <c r="AA259" s="25">
        <v>11</v>
      </c>
      <c r="AB259" s="25">
        <v>384</v>
      </c>
      <c r="AC259" s="27"/>
      <c r="AD259" s="25">
        <v>126</v>
      </c>
      <c r="AE259" s="27"/>
      <c r="AF259" s="27"/>
      <c r="AG259" s="27"/>
      <c r="AH259" s="27"/>
      <c r="AI259" s="25">
        <v>441504</v>
      </c>
      <c r="AJ259" s="25">
        <v>339958</v>
      </c>
      <c r="AK259" s="25">
        <v>0</v>
      </c>
      <c r="AL259" s="25">
        <v>321100</v>
      </c>
      <c r="AM259" s="25">
        <v>45900</v>
      </c>
      <c r="AN259" s="25">
        <v>275200</v>
      </c>
      <c r="AO259" s="25">
        <v>0</v>
      </c>
      <c r="AP259" s="25">
        <f>Lookups!$B$56*0</f>
        <v>0</v>
      </c>
      <c r="AQ259" s="25">
        <f>Lookups!$B$56*1</f>
        <v>89850.625589999996</v>
      </c>
      <c r="AR259" s="25">
        <f>Lookups!$B$57*Inventory[[#This Row],[LnAcres]]</f>
        <v>-60052.604136134301</v>
      </c>
      <c r="AS259" s="25">
        <f>VLOOKUP(Inventory[[#This Row],[Qlty]],Lookups!$A$62:$E$75,2,FALSE)</f>
        <v>44121.038090000002</v>
      </c>
      <c r="AT259" s="25">
        <f>VLOOKUP(Inventory[[#This Row],[Cnd]],Lookups!$A$76:$E$84,2,FALSE)</f>
        <v>197752.34721000001</v>
      </c>
      <c r="AU259" s="25">
        <f>Inventory[[#This Row],[EffAge]]*Lookups!$B$85</f>
        <v>-10260.097623</v>
      </c>
      <c r="AV259" s="25">
        <f>Inventory[[#This Row],[MainFn]]*Lookups!$B$86</f>
        <v>68233.373100137003</v>
      </c>
      <c r="AW259" s="25">
        <f>Inventory[[#This Row],[UpprFn]]*Lookups!$B$87</f>
        <v>0</v>
      </c>
      <c r="AX259" s="25">
        <f>Inventory[[#This Row],[AddFn]]*Lookups!$B$88</f>
        <v>0</v>
      </c>
      <c r="AY259" s="25">
        <f>Inventory[[#This Row],[Bsmt]]*Lookups!$B$89</f>
        <v>20473.654253887998</v>
      </c>
      <c r="AZ259" s="25">
        <f>Inventory[[#This Row],[Fixtures]]*Lookups!$B$90</f>
        <v>41712.243157199999</v>
      </c>
      <c r="BA259" s="25">
        <f>Inventory[[#This Row],[WdDeck]]*Lookups!$B$91</f>
        <v>4195.2349247760003</v>
      </c>
      <c r="BB259" s="25">
        <f>ROUND(Inventory[[#This Row],[25Det]],-2)</f>
        <v>0</v>
      </c>
      <c r="BC259" s="25">
        <f>ROUND(SUM(Inventory[[#This Row],[Mdl Qlty]:[Mdl WdDeck]])+Inventory[[#This Row],[Mdl Res Intercept]],-2)</f>
        <v>366200</v>
      </c>
      <c r="BD259" s="25">
        <f>ROUND(Inventory[[#This Row],[Mdl Land Intercept]]+Inventory[[#This Row],[Mdl LnAcres]],-2)</f>
        <v>29800</v>
      </c>
      <c r="BE259" s="25">
        <f>Inventory[[#This Row],[Unadj Res Value]]+Inventory[[#This Row],[Unadj Det Value]]+Inventory[[#This Row],[Unadj Land Value]]</f>
        <v>396000</v>
      </c>
      <c r="BF259" s="36">
        <f>(Inventory[[#This Row],[Unadj Total Value]]-Inventory[[#This Row],[24Final]])/Inventory[[#This Row],[24Final]]</f>
        <v>0.23326066645904703</v>
      </c>
      <c r="BG259" s="25">
        <f>VLOOKUP(Inventory[[#This Row],[Nbhd]],Lookups!$Q$2:$T$4,4,FALSE)</f>
        <v>0.99970000000000003</v>
      </c>
      <c r="BH259" s="25">
        <f>VLOOKUP(Inventory[[#This Row],[Qlty]],Lookups!$O$7:$R$21,4,FALSE)</f>
        <v>0.98050000000000004</v>
      </c>
      <c r="BI259" s="25">
        <f>VLOOKUP(Inventory[[#This Row],[Cnd]],Lookups!$T$7:$W$16,4,FALSE)</f>
        <v>0.99650000000000005</v>
      </c>
      <c r="BJ259" s="25">
        <f>VLOOKUP(Inventory[[#This Row],[LivArea Range]],Lookups!$T$25:$W$37,4,FALSE)</f>
        <v>0.98919999999999997</v>
      </c>
      <c r="BK259" s="25">
        <f>VLOOKUP(Inventory[[#This Row],[Decade]],Lookups!$O$25:$R$42,4,FALSE)</f>
        <v>0.98119999999999996</v>
      </c>
      <c r="BL259" s="25">
        <f>Inventory[[#This Row],[Nbhd Adj]]*0.95</f>
        <v>0.94971499999999998</v>
      </c>
      <c r="BM259" s="25">
        <f>Inventory[[#This Row],[Nbhd Adj]]*Inventory[[#This Row],[Quality Adj]]*Inventory[[#This Row],[Condition Adj]]*Inventory[[#This Row],[Living Area Adj]]*Inventory[[#This Row],[Decade Adj]]*0.95</f>
        <v>0.90065786460769082</v>
      </c>
      <c r="BN259" s="25">
        <f>ROUND(SUM(Inventory[[#This Row],[Mdl Qlty]:[Mdl WdDeck]])+Inventory[[#This Row],[Mdl Res Intercept]]*Inventory[[#This Row],[Res Adj ]],-2)</f>
        <v>366200</v>
      </c>
      <c r="BO259" s="25">
        <f>ROUND(Inventory[[#This Row],[25Det]]*Inventory[[#This Row],[Det/Nbhd Adj]],-2)</f>
        <v>0</v>
      </c>
      <c r="BP259" s="25">
        <f>Inventory[[#This Row],[Adjusted Res]]+Inventory[[#This Row],[Adj Det ]]</f>
        <v>366200</v>
      </c>
      <c r="BQ259" s="25">
        <f>ROUND((Inventory[[#This Row],[Mdl Land Intercept]]+Inventory[[#This Row],[Mdl LnAcres]])*Inventory[[#This Row],[Det/Nbhd Adj]],-2)</f>
        <v>28300</v>
      </c>
      <c r="BR259" s="25">
        <f>Inventory[[#This Row],[Adjusted Impr Total]]+Inventory[[#This Row],[Adjusted Land Total]]</f>
        <v>394500</v>
      </c>
      <c r="BS259" s="36">
        <f>IFERROR((Inventory[[#This Row],[Adjusted Impr Total]]-Inventory[[#This Row],[24Bldg]])/Inventory[[#This Row],[24Bldg]],0)</f>
        <v>0.33066860465116277</v>
      </c>
      <c r="BT259" s="36">
        <f>(Inventory[[#This Row],[Adjusted Land Total]]-Inventory[[#This Row],[24Lnd]])/Inventory[[#This Row],[24Lnd]]</f>
        <v>-0.38344226579520696</v>
      </c>
      <c r="BU259" s="36">
        <f>(Inventory[[#This Row],[Adjusted Total]]-Inventory[[#This Row],[24Final]])/Inventory[[#This Row],[24Final]]</f>
        <v>0.22858922454064154</v>
      </c>
    </row>
    <row r="260" spans="1:73" x14ac:dyDescent="0.3">
      <c r="A260" s="25">
        <v>2025</v>
      </c>
      <c r="B260" s="26" t="s">
        <v>655</v>
      </c>
      <c r="C260" s="26">
        <f>LN(Inventory[[#This Row],[Acres]])</f>
        <v>-2.0402208285265546</v>
      </c>
      <c r="D260" s="25">
        <v>0.13</v>
      </c>
      <c r="E260" s="25">
        <v>5837</v>
      </c>
      <c r="F260" s="26" t="s">
        <v>537</v>
      </c>
      <c r="G260" s="26" t="s">
        <v>126</v>
      </c>
      <c r="H260" s="26" t="s">
        <v>349</v>
      </c>
      <c r="I260" s="26" t="s">
        <v>538</v>
      </c>
      <c r="J260" s="26" t="s">
        <v>586</v>
      </c>
      <c r="K260" s="26" t="s">
        <v>592</v>
      </c>
      <c r="L260" s="26" t="s">
        <v>148</v>
      </c>
      <c r="M260" s="26" t="s">
        <v>303</v>
      </c>
      <c r="N260" s="26">
        <v>60</v>
      </c>
      <c r="O260" s="26">
        <f>2024-Inventory[[#This Row],[YrBlt]]</f>
        <v>53</v>
      </c>
      <c r="P260" s="26">
        <f>2024-Inventory[[#This Row],[EffYr]]</f>
        <v>46</v>
      </c>
      <c r="Q260" s="25">
        <v>1971</v>
      </c>
      <c r="R260" s="25">
        <v>1978</v>
      </c>
      <c r="S260" s="25">
        <v>1495</v>
      </c>
      <c r="T260" s="27"/>
      <c r="U260" s="32">
        <v>704</v>
      </c>
      <c r="V260" s="32">
        <f>Inventory[[#This Row],[Bsmt]]-Inventory[[#This Row],[FnBsmt]]</f>
        <v>0</v>
      </c>
      <c r="W260" s="32">
        <v>704</v>
      </c>
      <c r="X260" s="27"/>
      <c r="Y260" s="27">
        <f>Inventory[[#This Row],[MainFn]]+Inventory[[#This Row],[UpprFn]]+Inventory[[#This Row],[FnBsmt]]+Inventory[[#This Row],[AddFn]]</f>
        <v>2199</v>
      </c>
      <c r="Z260" s="27">
        <v>2500</v>
      </c>
      <c r="AA260" s="25">
        <v>8</v>
      </c>
      <c r="AB260" s="25">
        <v>384</v>
      </c>
      <c r="AC260" s="27"/>
      <c r="AD260" s="25">
        <v>126</v>
      </c>
      <c r="AE260" s="27"/>
      <c r="AF260" s="27"/>
      <c r="AG260" s="27"/>
      <c r="AH260" s="27"/>
      <c r="AI260" s="25">
        <v>443288</v>
      </c>
      <c r="AJ260" s="25">
        <v>341332</v>
      </c>
      <c r="AK260" s="25">
        <v>0</v>
      </c>
      <c r="AL260" s="25">
        <v>321500</v>
      </c>
      <c r="AM260" s="25">
        <v>45000</v>
      </c>
      <c r="AN260" s="25">
        <v>276500</v>
      </c>
      <c r="AO260" s="25">
        <v>0</v>
      </c>
      <c r="AP260" s="25">
        <f>Lookups!$B$56*0</f>
        <v>0</v>
      </c>
      <c r="AQ260" s="25">
        <f>Lookups!$B$56*1</f>
        <v>89850.625589999996</v>
      </c>
      <c r="AR260" s="25">
        <f>Lookups!$B$57*Inventory[[#This Row],[LnAcres]]</f>
        <v>-64582.406353792743</v>
      </c>
      <c r="AS260" s="25">
        <f>VLOOKUP(Inventory[[#This Row],[Qlty]],Lookups!$A$62:$E$75,2,FALSE)</f>
        <v>44121.038090000002</v>
      </c>
      <c r="AT260" s="25">
        <f>VLOOKUP(Inventory[[#This Row],[Cnd]],Lookups!$A$76:$E$84,2,FALSE)</f>
        <v>197752.34721000001</v>
      </c>
      <c r="AU260" s="25">
        <f>Inventory[[#This Row],[EffAge]]*Lookups!$B$85</f>
        <v>-10260.097623</v>
      </c>
      <c r="AV260" s="25">
        <f>Inventory[[#This Row],[MainFn]]*Lookups!$B$86</f>
        <v>73865.961466114997</v>
      </c>
      <c r="AW260" s="25">
        <f>Inventory[[#This Row],[UpprFn]]*Lookups!$B$87</f>
        <v>0</v>
      </c>
      <c r="AX260" s="25">
        <f>Inventory[[#This Row],[AddFn]]*Lookups!$B$88</f>
        <v>0</v>
      </c>
      <c r="AY260" s="25">
        <f>Inventory[[#This Row],[Bsmt]]*Lookups!$B$89</f>
        <v>20473.654253887998</v>
      </c>
      <c r="AZ260" s="25">
        <f>Inventory[[#This Row],[Fixtures]]*Lookups!$B$90</f>
        <v>30336.176841600001</v>
      </c>
      <c r="BA260" s="25">
        <f>Inventory[[#This Row],[WdDeck]]*Lookups!$B$91</f>
        <v>4195.2349247760003</v>
      </c>
      <c r="BB260" s="25">
        <f>ROUND(Inventory[[#This Row],[25Det]],-2)</f>
        <v>0</v>
      </c>
      <c r="BC260" s="25">
        <f>ROUND(SUM(Inventory[[#This Row],[Mdl Qlty]:[Mdl WdDeck]])+Inventory[[#This Row],[Mdl Res Intercept]],-2)</f>
        <v>360500</v>
      </c>
      <c r="BD260" s="25">
        <f>ROUND(Inventory[[#This Row],[Mdl Land Intercept]]+Inventory[[#This Row],[Mdl LnAcres]],-2)</f>
        <v>25300</v>
      </c>
      <c r="BE260" s="25">
        <f>Inventory[[#This Row],[Unadj Res Value]]+Inventory[[#This Row],[Unadj Det Value]]+Inventory[[#This Row],[Unadj Land Value]]</f>
        <v>385800</v>
      </c>
      <c r="BF260" s="36">
        <f>(Inventory[[#This Row],[Unadj Total Value]]-Inventory[[#This Row],[24Final]])/Inventory[[#This Row],[24Final]]</f>
        <v>0.2</v>
      </c>
      <c r="BG260" s="25">
        <f>VLOOKUP(Inventory[[#This Row],[Nbhd]],Lookups!$Q$2:$T$4,4,FALSE)</f>
        <v>0.99970000000000003</v>
      </c>
      <c r="BH260" s="25">
        <f>VLOOKUP(Inventory[[#This Row],[Qlty]],Lookups!$O$7:$R$21,4,FALSE)</f>
        <v>0.98050000000000004</v>
      </c>
      <c r="BI260" s="25">
        <f>VLOOKUP(Inventory[[#This Row],[Cnd]],Lookups!$T$7:$W$16,4,FALSE)</f>
        <v>0.99650000000000005</v>
      </c>
      <c r="BJ260" s="25">
        <f>VLOOKUP(Inventory[[#This Row],[LivArea Range]],Lookups!$T$25:$W$37,4,FALSE)</f>
        <v>0.98919999999999997</v>
      </c>
      <c r="BK260" s="25">
        <f>VLOOKUP(Inventory[[#This Row],[Decade]],Lookups!$O$25:$R$42,4,FALSE)</f>
        <v>0.98119999999999996</v>
      </c>
      <c r="BL260" s="25">
        <f>Inventory[[#This Row],[Nbhd Adj]]*0.95</f>
        <v>0.94971499999999998</v>
      </c>
      <c r="BM260" s="25">
        <f>Inventory[[#This Row],[Nbhd Adj]]*Inventory[[#This Row],[Quality Adj]]*Inventory[[#This Row],[Condition Adj]]*Inventory[[#This Row],[Living Area Adj]]*Inventory[[#This Row],[Decade Adj]]*0.95</f>
        <v>0.90065786460769082</v>
      </c>
      <c r="BN260" s="25">
        <f>ROUND(SUM(Inventory[[#This Row],[Mdl Qlty]:[Mdl WdDeck]])+Inventory[[#This Row],[Mdl Res Intercept]]*Inventory[[#This Row],[Res Adj ]],-2)</f>
        <v>360500</v>
      </c>
      <c r="BO260" s="25">
        <f>ROUND(Inventory[[#This Row],[25Det]]*Inventory[[#This Row],[Det/Nbhd Adj]],-2)</f>
        <v>0</v>
      </c>
      <c r="BP260" s="25">
        <f>Inventory[[#This Row],[Adjusted Res]]+Inventory[[#This Row],[Adj Det ]]</f>
        <v>360500</v>
      </c>
      <c r="BQ260" s="25">
        <f>ROUND((Inventory[[#This Row],[Mdl Land Intercept]]+Inventory[[#This Row],[Mdl LnAcres]])*Inventory[[#This Row],[Det/Nbhd Adj]],-2)</f>
        <v>24000</v>
      </c>
      <c r="BR260" s="25">
        <f>Inventory[[#This Row],[Adjusted Impr Total]]+Inventory[[#This Row],[Adjusted Land Total]]</f>
        <v>384500</v>
      </c>
      <c r="BS260" s="36">
        <f>IFERROR((Inventory[[#This Row],[Adjusted Impr Total]]-Inventory[[#This Row],[24Bldg]])/Inventory[[#This Row],[24Bldg]],0)</f>
        <v>0.30379746835443039</v>
      </c>
      <c r="BT260" s="36">
        <f>(Inventory[[#This Row],[Adjusted Land Total]]-Inventory[[#This Row],[24Lnd]])/Inventory[[#This Row],[24Lnd]]</f>
        <v>-0.46666666666666667</v>
      </c>
      <c r="BU260" s="36">
        <f>(Inventory[[#This Row],[Adjusted Total]]-Inventory[[#This Row],[24Final]])/Inventory[[#This Row],[24Final]]</f>
        <v>0.19595645412130638</v>
      </c>
    </row>
    <row r="261" spans="1:73" x14ac:dyDescent="0.3">
      <c r="A261" s="25">
        <v>2025</v>
      </c>
      <c r="B261" s="26" t="s">
        <v>2131</v>
      </c>
      <c r="C261" s="26">
        <f>LN(Inventory[[#This Row],[Acres]])</f>
        <v>-2.120263536200091</v>
      </c>
      <c r="D261" s="25">
        <v>0.12</v>
      </c>
      <c r="E261" s="31"/>
      <c r="F261" s="26" t="s">
        <v>537</v>
      </c>
      <c r="G261" s="26" t="s">
        <v>126</v>
      </c>
      <c r="H261" s="26" t="s">
        <v>349</v>
      </c>
      <c r="I261" s="26" t="s">
        <v>538</v>
      </c>
      <c r="J261" s="26" t="s">
        <v>539</v>
      </c>
      <c r="K261" s="26" t="s">
        <v>241</v>
      </c>
      <c r="L261" s="26" t="s">
        <v>351</v>
      </c>
      <c r="M261" s="26" t="s">
        <v>206</v>
      </c>
      <c r="N261" s="26">
        <v>60</v>
      </c>
      <c r="O261" s="26">
        <f>2024-Inventory[[#This Row],[YrBlt]]</f>
        <v>53</v>
      </c>
      <c r="P261" s="26">
        <f>2024-Inventory[[#This Row],[EffYr]]</f>
        <v>46</v>
      </c>
      <c r="Q261" s="25">
        <v>1971</v>
      </c>
      <c r="R261" s="25">
        <v>1978</v>
      </c>
      <c r="S261" s="25">
        <v>1152</v>
      </c>
      <c r="T261" s="27"/>
      <c r="U261" s="32">
        <v>1152</v>
      </c>
      <c r="V261" s="32">
        <f>Inventory[[#This Row],[Bsmt]]-Inventory[[#This Row],[FnBsmt]]</f>
        <v>564</v>
      </c>
      <c r="W261" s="32">
        <v>588</v>
      </c>
      <c r="X261" s="27"/>
      <c r="Y261" s="27">
        <f>Inventory[[#This Row],[MainFn]]+Inventory[[#This Row],[UpprFn]]+Inventory[[#This Row],[FnBsmt]]+Inventory[[#This Row],[AddFn]]</f>
        <v>1740</v>
      </c>
      <c r="Z261" s="27">
        <v>2000</v>
      </c>
      <c r="AA261" s="25">
        <v>9</v>
      </c>
      <c r="AB261" s="25">
        <v>506</v>
      </c>
      <c r="AC261" s="27"/>
      <c r="AD261" s="25">
        <v>240</v>
      </c>
      <c r="AE261" s="27"/>
      <c r="AF261" s="27"/>
      <c r="AG261" s="27"/>
      <c r="AH261" s="27"/>
      <c r="AI261" s="25">
        <v>297114</v>
      </c>
      <c r="AJ261" s="25">
        <v>222836</v>
      </c>
      <c r="AK261" s="25">
        <v>0</v>
      </c>
      <c r="AL261" s="25">
        <v>272100</v>
      </c>
      <c r="AM261" s="25">
        <v>40600</v>
      </c>
      <c r="AN261" s="25">
        <v>231500</v>
      </c>
      <c r="AO261" s="25">
        <v>0</v>
      </c>
      <c r="AP261" s="25">
        <f>Lookups!$B$56*0</f>
        <v>0</v>
      </c>
      <c r="AQ261" s="25">
        <f>Lookups!$B$56*1</f>
        <v>89850.625589999996</v>
      </c>
      <c r="AR261" s="25">
        <f>Lookups!$B$57*Inventory[[#This Row],[LnAcres]]</f>
        <v>-67116.12750806773</v>
      </c>
      <c r="AS261" s="25">
        <f>VLOOKUP(Inventory[[#This Row],[Qlty]],Lookups!$A$62:$E$75,2,FALSE)</f>
        <v>21557.329055999999</v>
      </c>
      <c r="AT261" s="25">
        <f>VLOOKUP(Inventory[[#This Row],[Cnd]],Lookups!$A$76:$E$84,2,FALSE)</f>
        <v>133714.53821</v>
      </c>
      <c r="AU261" s="25">
        <f>Inventory[[#This Row],[EffAge]]*Lookups!$B$85</f>
        <v>-10260.097623</v>
      </c>
      <c r="AV261" s="25">
        <f>Inventory[[#This Row],[MainFn]]*Lookups!$B$86</f>
        <v>56918.787698304004</v>
      </c>
      <c r="AW261" s="25">
        <f>Inventory[[#This Row],[UpprFn]]*Lookups!$B$87</f>
        <v>0</v>
      </c>
      <c r="AX261" s="25">
        <f>Inventory[[#This Row],[AddFn]]*Lookups!$B$88</f>
        <v>0</v>
      </c>
      <c r="AY261" s="25">
        <f>Inventory[[#This Row],[Bsmt]]*Lookups!$B$89</f>
        <v>33502.343324543996</v>
      </c>
      <c r="AZ261" s="25">
        <f>Inventory[[#This Row],[Fixtures]]*Lookups!$B$90</f>
        <v>34128.198946800003</v>
      </c>
      <c r="BA261" s="25">
        <f>Inventory[[#This Row],[WdDeck]]*Lookups!$B$91</f>
        <v>7990.9236662400008</v>
      </c>
      <c r="BB261" s="25">
        <f>ROUND(Inventory[[#This Row],[25Det]],-2)</f>
        <v>0</v>
      </c>
      <c r="BC261" s="25">
        <f>ROUND(SUM(Inventory[[#This Row],[Mdl Qlty]:[Mdl WdDeck]])+Inventory[[#This Row],[Mdl Res Intercept]],-2)</f>
        <v>277600</v>
      </c>
      <c r="BD261" s="25">
        <f>ROUND(Inventory[[#This Row],[Mdl Land Intercept]]+Inventory[[#This Row],[Mdl LnAcres]],-2)</f>
        <v>22700</v>
      </c>
      <c r="BE261" s="25">
        <f>Inventory[[#This Row],[Unadj Res Value]]+Inventory[[#This Row],[Unadj Det Value]]+Inventory[[#This Row],[Unadj Land Value]]</f>
        <v>300300</v>
      </c>
      <c r="BF261" s="36">
        <f>(Inventory[[#This Row],[Unadj Total Value]]-Inventory[[#This Row],[24Final]])/Inventory[[#This Row],[24Final]]</f>
        <v>0.10363836824696802</v>
      </c>
      <c r="BG261" s="25">
        <f>VLOOKUP(Inventory[[#This Row],[Nbhd]],Lookups!$Q$2:$T$4,4,FALSE)</f>
        <v>0.99970000000000003</v>
      </c>
      <c r="BH261" s="25">
        <f>VLOOKUP(Inventory[[#This Row],[Qlty]],Lookups!$O$7:$R$21,4,FALSE)</f>
        <v>1.0067999999999999</v>
      </c>
      <c r="BI261" s="25">
        <f>VLOOKUP(Inventory[[#This Row],[Cnd]],Lookups!$T$7:$W$16,4,FALSE)</f>
        <v>0.99329999999999996</v>
      </c>
      <c r="BJ261" s="25">
        <f>VLOOKUP(Inventory[[#This Row],[LivArea Range]],Lookups!$T$25:$W$37,4,FALSE)</f>
        <v>1.0093000000000001</v>
      </c>
      <c r="BK261" s="25">
        <f>VLOOKUP(Inventory[[#This Row],[Decade]],Lookups!$O$25:$R$42,4,FALSE)</f>
        <v>0.98119999999999996</v>
      </c>
      <c r="BL261" s="25">
        <f>Inventory[[#This Row],[Nbhd Adj]]*0.95</f>
        <v>0.94971499999999998</v>
      </c>
      <c r="BM261" s="25">
        <f>Inventory[[#This Row],[Nbhd Adj]]*Inventory[[#This Row],[Quality Adj]]*Inventory[[#This Row],[Condition Adj]]*Inventory[[#This Row],[Living Area Adj]]*Inventory[[#This Row],[Decade Adj]]*0.95</f>
        <v>0.94057786160073364</v>
      </c>
      <c r="BN261" s="25">
        <f>ROUND(SUM(Inventory[[#This Row],[Mdl Qlty]:[Mdl WdDeck]])+Inventory[[#This Row],[Mdl Res Intercept]]*Inventory[[#This Row],[Res Adj ]],-2)</f>
        <v>277600</v>
      </c>
      <c r="BO261" s="25">
        <f>ROUND(Inventory[[#This Row],[25Det]]*Inventory[[#This Row],[Det/Nbhd Adj]],-2)</f>
        <v>0</v>
      </c>
      <c r="BP261" s="25">
        <f>Inventory[[#This Row],[Adjusted Res]]+Inventory[[#This Row],[Adj Det ]]</f>
        <v>277600</v>
      </c>
      <c r="BQ261" s="25">
        <f>ROUND((Inventory[[#This Row],[Mdl Land Intercept]]+Inventory[[#This Row],[Mdl LnAcres]])*Inventory[[#This Row],[Det/Nbhd Adj]],-2)</f>
        <v>21600</v>
      </c>
      <c r="BR261" s="25">
        <f>Inventory[[#This Row],[Adjusted Impr Total]]+Inventory[[#This Row],[Adjusted Land Total]]</f>
        <v>299200</v>
      </c>
      <c r="BS261" s="36">
        <f>IFERROR((Inventory[[#This Row],[Adjusted Impr Total]]-Inventory[[#This Row],[24Bldg]])/Inventory[[#This Row],[24Bldg]],0)</f>
        <v>0.19913606911447085</v>
      </c>
      <c r="BT261" s="36">
        <f>(Inventory[[#This Row],[Adjusted Land Total]]-Inventory[[#This Row],[24Lnd]])/Inventory[[#This Row],[24Lnd]]</f>
        <v>-0.46798029556650245</v>
      </c>
      <c r="BU261" s="36">
        <f>(Inventory[[#This Row],[Adjusted Total]]-Inventory[[#This Row],[24Final]])/Inventory[[#This Row],[24Final]]</f>
        <v>9.9595736861448E-2</v>
      </c>
    </row>
    <row r="262" spans="1:73" x14ac:dyDescent="0.3">
      <c r="A262" s="25">
        <v>2025</v>
      </c>
      <c r="B262" s="26" t="s">
        <v>1771</v>
      </c>
      <c r="C262" s="26">
        <f>LN(Inventory[[#This Row],[Acres]])</f>
        <v>-2.2072749131897207</v>
      </c>
      <c r="D262" s="25">
        <v>0.11</v>
      </c>
      <c r="E262" s="25">
        <v>4657</v>
      </c>
      <c r="F262" s="26" t="s">
        <v>537</v>
      </c>
      <c r="G262" s="26" t="s">
        <v>126</v>
      </c>
      <c r="H262" s="26" t="s">
        <v>349</v>
      </c>
      <c r="I262" s="26" t="s">
        <v>538</v>
      </c>
      <c r="J262" s="26" t="s">
        <v>539</v>
      </c>
      <c r="K262" s="26" t="s">
        <v>241</v>
      </c>
      <c r="L262" s="26" t="s">
        <v>351</v>
      </c>
      <c r="M262" s="26" t="s">
        <v>303</v>
      </c>
      <c r="N262" s="26">
        <v>60</v>
      </c>
      <c r="O262" s="26">
        <f>2024-Inventory[[#This Row],[YrBlt]]</f>
        <v>53</v>
      </c>
      <c r="P262" s="26">
        <f>2024-Inventory[[#This Row],[EffYr]]</f>
        <v>46</v>
      </c>
      <c r="Q262" s="25">
        <v>1971</v>
      </c>
      <c r="R262" s="25">
        <v>1978</v>
      </c>
      <c r="S262" s="25">
        <v>1334</v>
      </c>
      <c r="T262" s="31"/>
      <c r="U262" s="27"/>
      <c r="V262" s="27">
        <f>Inventory[[#This Row],[Bsmt]]-Inventory[[#This Row],[FnBsmt]]</f>
        <v>0</v>
      </c>
      <c r="W262" s="27"/>
      <c r="X262" s="27"/>
      <c r="Y262" s="27">
        <f>Inventory[[#This Row],[MainFn]]+Inventory[[#This Row],[UpprFn]]+Inventory[[#This Row],[FnBsmt]]+Inventory[[#This Row],[AddFn]]</f>
        <v>1334</v>
      </c>
      <c r="Z262" s="27">
        <v>1500</v>
      </c>
      <c r="AA262" s="25">
        <v>8</v>
      </c>
      <c r="AB262" s="27"/>
      <c r="AC262" s="27"/>
      <c r="AD262" s="27"/>
      <c r="AE262" s="27"/>
      <c r="AF262" s="27"/>
      <c r="AG262" s="27"/>
      <c r="AH262" s="27"/>
      <c r="AI262" s="25">
        <v>219757</v>
      </c>
      <c r="AJ262" s="25">
        <v>169213</v>
      </c>
      <c r="AK262" s="25">
        <v>0</v>
      </c>
      <c r="AL262" s="25">
        <v>297100</v>
      </c>
      <c r="AM262" s="25">
        <v>37600</v>
      </c>
      <c r="AN262" s="25">
        <v>259500</v>
      </c>
      <c r="AO262" s="25">
        <v>0</v>
      </c>
      <c r="AP262" s="25">
        <f>Lookups!$B$56*0</f>
        <v>0</v>
      </c>
      <c r="AQ262" s="25">
        <f>Lookups!$B$56*1</f>
        <v>89850.625589999996</v>
      </c>
      <c r="AR262" s="25">
        <f>Lookups!$B$57*Inventory[[#This Row],[LnAcres]]</f>
        <v>-69870.439211769743</v>
      </c>
      <c r="AS262" s="25">
        <f>VLOOKUP(Inventory[[#This Row],[Qlty]],Lookups!$A$62:$E$75,2,FALSE)</f>
        <v>21557.329055999999</v>
      </c>
      <c r="AT262" s="25">
        <f>VLOOKUP(Inventory[[#This Row],[Cnd]],Lookups!$A$76:$E$84,2,FALSE)</f>
        <v>197752.34721000001</v>
      </c>
      <c r="AU262" s="25">
        <f>Inventory[[#This Row],[EffAge]]*Lookups!$B$85</f>
        <v>-10260.097623</v>
      </c>
      <c r="AV262" s="25">
        <f>Inventory[[#This Row],[MainFn]]*Lookups!$B$86</f>
        <v>65911.165615917998</v>
      </c>
      <c r="AW262" s="25">
        <f>Inventory[[#This Row],[UpprFn]]*Lookups!$B$87</f>
        <v>0</v>
      </c>
      <c r="AX262" s="25">
        <f>Inventory[[#This Row],[AddFn]]*Lookups!$B$88</f>
        <v>0</v>
      </c>
      <c r="AY262" s="25">
        <f>Inventory[[#This Row],[Bsmt]]*Lookups!$B$89</f>
        <v>0</v>
      </c>
      <c r="AZ262" s="25">
        <f>Inventory[[#This Row],[Fixtures]]*Lookups!$B$90</f>
        <v>30336.176841600001</v>
      </c>
      <c r="BA262" s="25">
        <f>Inventory[[#This Row],[WdDeck]]*Lookups!$B$91</f>
        <v>0</v>
      </c>
      <c r="BB262" s="25">
        <f>ROUND(Inventory[[#This Row],[25Det]],-2)</f>
        <v>0</v>
      </c>
      <c r="BC262" s="25">
        <f>ROUND(SUM(Inventory[[#This Row],[Mdl Qlty]:[Mdl WdDeck]])+Inventory[[#This Row],[Mdl Res Intercept]],-2)</f>
        <v>305300</v>
      </c>
      <c r="BD262" s="25">
        <f>ROUND(Inventory[[#This Row],[Mdl Land Intercept]]+Inventory[[#This Row],[Mdl LnAcres]],-2)</f>
        <v>20000</v>
      </c>
      <c r="BE262" s="25">
        <f>Inventory[[#This Row],[Unadj Res Value]]+Inventory[[#This Row],[Unadj Det Value]]+Inventory[[#This Row],[Unadj Land Value]]</f>
        <v>325300</v>
      </c>
      <c r="BF262" s="36">
        <f>(Inventory[[#This Row],[Unadj Total Value]]-Inventory[[#This Row],[24Final]])/Inventory[[#This Row],[24Final]]</f>
        <v>9.4917536183103335E-2</v>
      </c>
      <c r="BG262" s="25">
        <f>VLOOKUP(Inventory[[#This Row],[Nbhd]],Lookups!$Q$2:$T$4,4,FALSE)</f>
        <v>0.99970000000000003</v>
      </c>
      <c r="BH262" s="25">
        <f>VLOOKUP(Inventory[[#This Row],[Qlty]],Lookups!$O$7:$R$21,4,FALSE)</f>
        <v>1.0067999999999999</v>
      </c>
      <c r="BI262" s="25">
        <f>VLOOKUP(Inventory[[#This Row],[Cnd]],Lookups!$T$7:$W$16,4,FALSE)</f>
        <v>0.99650000000000005</v>
      </c>
      <c r="BJ262" s="25">
        <f>VLOOKUP(Inventory[[#This Row],[LivArea Range]],Lookups!$T$25:$W$37,4,FALSE)</f>
        <v>1.0157</v>
      </c>
      <c r="BK262" s="25">
        <f>VLOOKUP(Inventory[[#This Row],[Decade]],Lookups!$O$25:$R$42,4,FALSE)</f>
        <v>0.98119999999999996</v>
      </c>
      <c r="BL262" s="25">
        <f>Inventory[[#This Row],[Nbhd Adj]]*0.95</f>
        <v>0.94971499999999998</v>
      </c>
      <c r="BM262" s="25">
        <f>Inventory[[#This Row],[Nbhd Adj]]*Inventory[[#This Row],[Quality Adj]]*Inventory[[#This Row],[Condition Adj]]*Inventory[[#This Row],[Living Area Adj]]*Inventory[[#This Row],[Decade Adj]]*0.95</f>
        <v>0.9495914580116861</v>
      </c>
      <c r="BN262" s="25">
        <f>ROUND(SUM(Inventory[[#This Row],[Mdl Qlty]:[Mdl WdDeck]])+Inventory[[#This Row],[Mdl Res Intercept]]*Inventory[[#This Row],[Res Adj ]],-2)</f>
        <v>305300</v>
      </c>
      <c r="BO262" s="25">
        <f>ROUND(Inventory[[#This Row],[25Det]]*Inventory[[#This Row],[Det/Nbhd Adj]],-2)</f>
        <v>0</v>
      </c>
      <c r="BP262" s="25">
        <f>Inventory[[#This Row],[Adjusted Res]]+Inventory[[#This Row],[Adj Det ]]</f>
        <v>305300</v>
      </c>
      <c r="BQ262" s="25">
        <f>ROUND((Inventory[[#This Row],[Mdl Land Intercept]]+Inventory[[#This Row],[Mdl LnAcres]])*Inventory[[#This Row],[Det/Nbhd Adj]],-2)</f>
        <v>19000</v>
      </c>
      <c r="BR262" s="25">
        <f>Inventory[[#This Row],[Adjusted Impr Total]]+Inventory[[#This Row],[Adjusted Land Total]]</f>
        <v>324300</v>
      </c>
      <c r="BS262" s="36">
        <f>IFERROR((Inventory[[#This Row],[Adjusted Impr Total]]-Inventory[[#This Row],[24Bldg]])/Inventory[[#This Row],[24Bldg]],0)</f>
        <v>0.1764932562620424</v>
      </c>
      <c r="BT262" s="36">
        <f>(Inventory[[#This Row],[Adjusted Land Total]]-Inventory[[#This Row],[24Lnd]])/Inventory[[#This Row],[24Lnd]]</f>
        <v>-0.49468085106382981</v>
      </c>
      <c r="BU262" s="36">
        <f>(Inventory[[#This Row],[Adjusted Total]]-Inventory[[#This Row],[24Final]])/Inventory[[#This Row],[24Final]]</f>
        <v>9.1551666105688323E-2</v>
      </c>
    </row>
    <row r="263" spans="1:73" x14ac:dyDescent="0.3">
      <c r="A263" s="25">
        <v>2025</v>
      </c>
      <c r="B263" s="26" t="s">
        <v>1358</v>
      </c>
      <c r="C263" s="26">
        <f>LN(Inventory[[#This Row],[Acres]])</f>
        <v>-1.4696759700589417</v>
      </c>
      <c r="D263" s="25">
        <v>0.23</v>
      </c>
      <c r="E263" s="25">
        <v>10044</v>
      </c>
      <c r="F263" s="26" t="s">
        <v>537</v>
      </c>
      <c r="G263" s="26" t="s">
        <v>126</v>
      </c>
      <c r="H263" s="26" t="s">
        <v>349</v>
      </c>
      <c r="I263" s="26" t="s">
        <v>538</v>
      </c>
      <c r="J263" s="26" t="s">
        <v>539</v>
      </c>
      <c r="K263" s="26" t="s">
        <v>241</v>
      </c>
      <c r="L263" s="26" t="s">
        <v>302</v>
      </c>
      <c r="M263" s="26" t="s">
        <v>303</v>
      </c>
      <c r="N263" s="26">
        <v>60</v>
      </c>
      <c r="O263" s="26">
        <f>2024-Inventory[[#This Row],[YrBlt]]</f>
        <v>53</v>
      </c>
      <c r="P263" s="26">
        <f>2024-Inventory[[#This Row],[EffYr]]</f>
        <v>46</v>
      </c>
      <c r="Q263" s="25">
        <v>1971</v>
      </c>
      <c r="R263" s="25">
        <v>1978</v>
      </c>
      <c r="S263" s="25">
        <v>1626</v>
      </c>
      <c r="T263" s="27"/>
      <c r="U263" s="32">
        <v>988</v>
      </c>
      <c r="V263" s="32">
        <f>Inventory[[#This Row],[Bsmt]]-Inventory[[#This Row],[FnBsmt]]</f>
        <v>322</v>
      </c>
      <c r="W263" s="32">
        <v>666</v>
      </c>
      <c r="X263" s="27"/>
      <c r="Y263" s="27">
        <f>Inventory[[#This Row],[MainFn]]+Inventory[[#This Row],[UpprFn]]+Inventory[[#This Row],[FnBsmt]]+Inventory[[#This Row],[AddFn]]</f>
        <v>2292</v>
      </c>
      <c r="Z263" s="27">
        <v>2500</v>
      </c>
      <c r="AA263" s="25">
        <v>11</v>
      </c>
      <c r="AB263" s="25">
        <v>484</v>
      </c>
      <c r="AC263" s="27"/>
      <c r="AD263" s="25">
        <v>168</v>
      </c>
      <c r="AE263" s="27"/>
      <c r="AF263" s="27"/>
      <c r="AG263" s="27"/>
      <c r="AH263" s="27"/>
      <c r="AI263" s="25">
        <v>414945</v>
      </c>
      <c r="AJ263" s="25">
        <v>319508</v>
      </c>
      <c r="AK263" s="25">
        <v>0</v>
      </c>
      <c r="AL263" s="25">
        <v>387200</v>
      </c>
      <c r="AM263" s="25">
        <v>63300</v>
      </c>
      <c r="AN263" s="25">
        <v>323900</v>
      </c>
      <c r="AO263" s="25">
        <v>0</v>
      </c>
      <c r="AP263" s="25">
        <f>Lookups!$B$56*0</f>
        <v>0</v>
      </c>
      <c r="AQ263" s="25">
        <f>Lookups!$B$56*1</f>
        <v>89850.625589999996</v>
      </c>
      <c r="AR263" s="25">
        <f>Lookups!$B$57*Inventory[[#This Row],[LnAcres]]</f>
        <v>-46522.028095997222</v>
      </c>
      <c r="AS263" s="25">
        <f>VLOOKUP(Inventory[[#This Row],[Qlty]],Lookups!$A$62:$E$75,2,FALSE)</f>
        <v>29814.093161000001</v>
      </c>
      <c r="AT263" s="25">
        <f>VLOOKUP(Inventory[[#This Row],[Cnd]],Lookups!$A$76:$E$84,2,FALSE)</f>
        <v>197752.34721000001</v>
      </c>
      <c r="AU263" s="25">
        <f>Inventory[[#This Row],[EffAge]]*Lookups!$B$85</f>
        <v>-10260.097623</v>
      </c>
      <c r="AV263" s="25">
        <f>Inventory[[#This Row],[MainFn]]*Lookups!$B$86</f>
        <v>80338.497220001998</v>
      </c>
      <c r="AW263" s="25">
        <f>Inventory[[#This Row],[UpprFn]]*Lookups!$B$87</f>
        <v>0</v>
      </c>
      <c r="AX263" s="25">
        <f>Inventory[[#This Row],[AddFn]]*Lookups!$B$88</f>
        <v>0</v>
      </c>
      <c r="AY263" s="25">
        <f>Inventory[[#This Row],[Bsmt]]*Lookups!$B$89</f>
        <v>28732.912504035998</v>
      </c>
      <c r="AZ263" s="25">
        <f>Inventory[[#This Row],[Fixtures]]*Lookups!$B$90</f>
        <v>41712.243157199999</v>
      </c>
      <c r="BA263" s="25">
        <f>Inventory[[#This Row],[WdDeck]]*Lookups!$B$91</f>
        <v>5593.646566368001</v>
      </c>
      <c r="BB263" s="25">
        <f>ROUND(Inventory[[#This Row],[25Det]],-2)</f>
        <v>0</v>
      </c>
      <c r="BC263" s="25">
        <f>ROUND(SUM(Inventory[[#This Row],[Mdl Qlty]:[Mdl WdDeck]])+Inventory[[#This Row],[Mdl Res Intercept]],-2)</f>
        <v>373700</v>
      </c>
      <c r="BD263" s="25">
        <f>ROUND(Inventory[[#This Row],[Mdl Land Intercept]]+Inventory[[#This Row],[Mdl LnAcres]],-2)</f>
        <v>43300</v>
      </c>
      <c r="BE263" s="25">
        <f>Inventory[[#This Row],[Unadj Res Value]]+Inventory[[#This Row],[Unadj Det Value]]+Inventory[[#This Row],[Unadj Land Value]]</f>
        <v>417000</v>
      </c>
      <c r="BF263" s="36">
        <f>(Inventory[[#This Row],[Unadj Total Value]]-Inventory[[#This Row],[24Final]])/Inventory[[#This Row],[24Final]]</f>
        <v>7.6962809917355365E-2</v>
      </c>
      <c r="BG263" s="25">
        <f>VLOOKUP(Inventory[[#This Row],[Nbhd]],Lookups!$Q$2:$T$4,4,FALSE)</f>
        <v>0.99970000000000003</v>
      </c>
      <c r="BH263" s="25">
        <f>VLOOKUP(Inventory[[#This Row],[Qlty]],Lookups!$O$7:$R$21,4,FALSE)</f>
        <v>1.0088999999999999</v>
      </c>
      <c r="BI263" s="25">
        <f>VLOOKUP(Inventory[[#This Row],[Cnd]],Lookups!$T$7:$W$16,4,FALSE)</f>
        <v>0.99650000000000005</v>
      </c>
      <c r="BJ263" s="25">
        <f>VLOOKUP(Inventory[[#This Row],[LivArea Range]],Lookups!$T$25:$W$37,4,FALSE)</f>
        <v>0.98919999999999997</v>
      </c>
      <c r="BK263" s="25">
        <f>VLOOKUP(Inventory[[#This Row],[Decade]],Lookups!$O$25:$R$42,4,FALSE)</f>
        <v>0.98119999999999996</v>
      </c>
      <c r="BL263" s="25">
        <f>Inventory[[#This Row],[Nbhd Adj]]*0.95</f>
        <v>0.94971499999999998</v>
      </c>
      <c r="BM263" s="25">
        <f>Inventory[[#This Row],[Nbhd Adj]]*Inventory[[#This Row],[Quality Adj]]*Inventory[[#This Row],[Condition Adj]]*Inventory[[#This Row],[Living Area Adj]]*Inventory[[#This Row],[Decade Adj]]*0.95</f>
        <v>0.92674525201703128</v>
      </c>
      <c r="BN263" s="25">
        <f>ROUND(SUM(Inventory[[#This Row],[Mdl Qlty]:[Mdl WdDeck]])+Inventory[[#This Row],[Mdl Res Intercept]]*Inventory[[#This Row],[Res Adj ]],-2)</f>
        <v>373700</v>
      </c>
      <c r="BO263" s="25">
        <f>ROUND(Inventory[[#This Row],[25Det]]*Inventory[[#This Row],[Det/Nbhd Adj]],-2)</f>
        <v>0</v>
      </c>
      <c r="BP263" s="25">
        <f>Inventory[[#This Row],[Adjusted Res]]+Inventory[[#This Row],[Adj Det ]]</f>
        <v>373700</v>
      </c>
      <c r="BQ263" s="25">
        <f>ROUND((Inventory[[#This Row],[Mdl Land Intercept]]+Inventory[[#This Row],[Mdl LnAcres]])*Inventory[[#This Row],[Det/Nbhd Adj]],-2)</f>
        <v>41100</v>
      </c>
      <c r="BR263" s="25">
        <f>Inventory[[#This Row],[Adjusted Impr Total]]+Inventory[[#This Row],[Adjusted Land Total]]</f>
        <v>414800</v>
      </c>
      <c r="BS263" s="36">
        <f>IFERROR((Inventory[[#This Row],[Adjusted Impr Total]]-Inventory[[#This Row],[24Bldg]])/Inventory[[#This Row],[24Bldg]],0)</f>
        <v>0.15375115776474221</v>
      </c>
      <c r="BT263" s="36">
        <f>(Inventory[[#This Row],[Adjusted Land Total]]-Inventory[[#This Row],[24Lnd]])/Inventory[[#This Row],[24Lnd]]</f>
        <v>-0.35071090047393366</v>
      </c>
      <c r="BU263" s="36">
        <f>(Inventory[[#This Row],[Adjusted Total]]-Inventory[[#This Row],[24Final]])/Inventory[[#This Row],[24Final]]</f>
        <v>7.1280991735537189E-2</v>
      </c>
    </row>
    <row r="264" spans="1:73" x14ac:dyDescent="0.3">
      <c r="A264" s="25">
        <v>2025</v>
      </c>
      <c r="B264" s="26" t="s">
        <v>2462</v>
      </c>
      <c r="C264" s="26">
        <f>LN(Inventory[[#This Row],[Acres]])</f>
        <v>-1.7719568419318752</v>
      </c>
      <c r="D264" s="25">
        <v>0.17</v>
      </c>
      <c r="E264" s="31"/>
      <c r="F264" s="26" t="s">
        <v>537</v>
      </c>
      <c r="G264" s="26" t="s">
        <v>126</v>
      </c>
      <c r="H264" s="26" t="s">
        <v>349</v>
      </c>
      <c r="I264" s="26" t="s">
        <v>538</v>
      </c>
      <c r="J264" s="26" t="s">
        <v>539</v>
      </c>
      <c r="K264" s="26" t="s">
        <v>241</v>
      </c>
      <c r="L264" s="26" t="s">
        <v>351</v>
      </c>
      <c r="M264" s="26" t="s">
        <v>303</v>
      </c>
      <c r="N264" s="26">
        <v>60</v>
      </c>
      <c r="O264" s="26">
        <f>2024-Inventory[[#This Row],[YrBlt]]</f>
        <v>53</v>
      </c>
      <c r="P264" s="26">
        <f>2024-Inventory[[#This Row],[EffYr]]</f>
        <v>46</v>
      </c>
      <c r="Q264" s="25">
        <v>1971</v>
      </c>
      <c r="R264" s="25">
        <v>1978</v>
      </c>
      <c r="S264" s="25">
        <v>1640</v>
      </c>
      <c r="T264" s="27"/>
      <c r="U264" s="27"/>
      <c r="V264" s="27">
        <f>Inventory[[#This Row],[Bsmt]]-Inventory[[#This Row],[FnBsmt]]</f>
        <v>0</v>
      </c>
      <c r="W264" s="27"/>
      <c r="X264" s="27"/>
      <c r="Y264" s="27">
        <f>Inventory[[#This Row],[MainFn]]+Inventory[[#This Row],[UpprFn]]+Inventory[[#This Row],[FnBsmt]]+Inventory[[#This Row],[AddFn]]</f>
        <v>1640</v>
      </c>
      <c r="Z264" s="27">
        <v>2000</v>
      </c>
      <c r="AA264" s="25">
        <v>8</v>
      </c>
      <c r="AB264" s="32">
        <v>160</v>
      </c>
      <c r="AC264" s="27"/>
      <c r="AD264" s="27"/>
      <c r="AE264" s="27"/>
      <c r="AF264" s="27"/>
      <c r="AG264" s="27"/>
      <c r="AH264" s="27"/>
      <c r="AI264" s="25">
        <v>286910</v>
      </c>
      <c r="AJ264" s="25">
        <v>220921</v>
      </c>
      <c r="AK264" s="25">
        <v>0</v>
      </c>
      <c r="AL264" s="25">
        <v>331300</v>
      </c>
      <c r="AM264" s="25">
        <v>52700</v>
      </c>
      <c r="AN264" s="25">
        <v>278600</v>
      </c>
      <c r="AO264" s="25">
        <v>0</v>
      </c>
      <c r="AP264" s="25">
        <f>Lookups!$B$56*0</f>
        <v>0</v>
      </c>
      <c r="AQ264" s="25">
        <f>Lookups!$B$56*1</f>
        <v>89850.625589999996</v>
      </c>
      <c r="AR264" s="25">
        <f>Lookups!$B$57*Inventory[[#This Row],[LnAcres]]</f>
        <v>-56090.612940989391</v>
      </c>
      <c r="AS264" s="25">
        <f>VLOOKUP(Inventory[[#This Row],[Qlty]],Lookups!$A$62:$E$75,2,FALSE)</f>
        <v>21557.329055999999</v>
      </c>
      <c r="AT264" s="25">
        <f>VLOOKUP(Inventory[[#This Row],[Cnd]],Lookups!$A$76:$E$84,2,FALSE)</f>
        <v>197752.34721000001</v>
      </c>
      <c r="AU264" s="25">
        <f>Inventory[[#This Row],[EffAge]]*Lookups!$B$85</f>
        <v>-10260.097623</v>
      </c>
      <c r="AV264" s="25">
        <f>Inventory[[#This Row],[MainFn]]*Lookups!$B$86</f>
        <v>81030.21859828</v>
      </c>
      <c r="AW264" s="25">
        <f>Inventory[[#This Row],[UpprFn]]*Lookups!$B$87</f>
        <v>0</v>
      </c>
      <c r="AX264" s="25">
        <f>Inventory[[#This Row],[AddFn]]*Lookups!$B$88</f>
        <v>0</v>
      </c>
      <c r="AY264" s="25">
        <f>Inventory[[#This Row],[Bsmt]]*Lookups!$B$89</f>
        <v>0</v>
      </c>
      <c r="AZ264" s="25">
        <f>Inventory[[#This Row],[Fixtures]]*Lookups!$B$90</f>
        <v>30336.176841600001</v>
      </c>
      <c r="BA264" s="25">
        <f>Inventory[[#This Row],[WdDeck]]*Lookups!$B$91</f>
        <v>0</v>
      </c>
      <c r="BB264" s="25">
        <f>ROUND(Inventory[[#This Row],[25Det]],-2)</f>
        <v>0</v>
      </c>
      <c r="BC264" s="25">
        <f>ROUND(SUM(Inventory[[#This Row],[Mdl Qlty]:[Mdl WdDeck]])+Inventory[[#This Row],[Mdl Res Intercept]],-2)</f>
        <v>320400</v>
      </c>
      <c r="BD264" s="25">
        <f>ROUND(Inventory[[#This Row],[Mdl Land Intercept]]+Inventory[[#This Row],[Mdl LnAcres]],-2)</f>
        <v>33800</v>
      </c>
      <c r="BE264" s="25">
        <f>Inventory[[#This Row],[Unadj Res Value]]+Inventory[[#This Row],[Unadj Det Value]]+Inventory[[#This Row],[Unadj Land Value]]</f>
        <v>354200</v>
      </c>
      <c r="BF264" s="36">
        <f>(Inventory[[#This Row],[Unadj Total Value]]-Inventory[[#This Row],[24Final]])/Inventory[[#This Row],[24Final]]</f>
        <v>6.9121642016299431E-2</v>
      </c>
      <c r="BG264" s="25">
        <f>VLOOKUP(Inventory[[#This Row],[Nbhd]],Lookups!$Q$2:$T$4,4,FALSE)</f>
        <v>0.99970000000000003</v>
      </c>
      <c r="BH264" s="25">
        <f>VLOOKUP(Inventory[[#This Row],[Qlty]],Lookups!$O$7:$R$21,4,FALSE)</f>
        <v>1.0067999999999999</v>
      </c>
      <c r="BI264" s="25">
        <f>VLOOKUP(Inventory[[#This Row],[Cnd]],Lookups!$T$7:$W$16,4,FALSE)</f>
        <v>0.99650000000000005</v>
      </c>
      <c r="BJ264" s="25">
        <f>VLOOKUP(Inventory[[#This Row],[LivArea Range]],Lookups!$T$25:$W$37,4,FALSE)</f>
        <v>1.0093000000000001</v>
      </c>
      <c r="BK264" s="25">
        <f>VLOOKUP(Inventory[[#This Row],[Decade]],Lookups!$O$25:$R$42,4,FALSE)</f>
        <v>0.98119999999999996</v>
      </c>
      <c r="BL264" s="25">
        <f>Inventory[[#This Row],[Nbhd Adj]]*0.95</f>
        <v>0.94971499999999998</v>
      </c>
      <c r="BM264" s="25">
        <f>Inventory[[#This Row],[Nbhd Adj]]*Inventory[[#This Row],[Quality Adj]]*Inventory[[#This Row],[Condition Adj]]*Inventory[[#This Row],[Living Area Adj]]*Inventory[[#This Row],[Decade Adj]]*0.95</f>
        <v>0.94360801277069484</v>
      </c>
      <c r="BN264" s="25">
        <f>ROUND(SUM(Inventory[[#This Row],[Mdl Qlty]:[Mdl WdDeck]])+Inventory[[#This Row],[Mdl Res Intercept]]*Inventory[[#This Row],[Res Adj ]],-2)</f>
        <v>320400</v>
      </c>
      <c r="BO264" s="25">
        <f>ROUND(Inventory[[#This Row],[25Det]]*Inventory[[#This Row],[Det/Nbhd Adj]],-2)</f>
        <v>0</v>
      </c>
      <c r="BP264" s="25">
        <f>Inventory[[#This Row],[Adjusted Res]]+Inventory[[#This Row],[Adj Det ]]</f>
        <v>320400</v>
      </c>
      <c r="BQ264" s="25">
        <f>ROUND((Inventory[[#This Row],[Mdl Land Intercept]]+Inventory[[#This Row],[Mdl LnAcres]])*Inventory[[#This Row],[Det/Nbhd Adj]],-2)</f>
        <v>32100</v>
      </c>
      <c r="BR264" s="25">
        <f>Inventory[[#This Row],[Adjusted Impr Total]]+Inventory[[#This Row],[Adjusted Land Total]]</f>
        <v>352500</v>
      </c>
      <c r="BS264" s="36">
        <f>IFERROR((Inventory[[#This Row],[Adjusted Impr Total]]-Inventory[[#This Row],[24Bldg]])/Inventory[[#This Row],[24Bldg]],0)</f>
        <v>0.15003589375448673</v>
      </c>
      <c r="BT264" s="36">
        <f>(Inventory[[#This Row],[Adjusted Land Total]]-Inventory[[#This Row],[24Lnd]])/Inventory[[#This Row],[24Lnd]]</f>
        <v>-0.39089184060721061</v>
      </c>
      <c r="BU264" s="36">
        <f>(Inventory[[#This Row],[Adjusted Total]]-Inventory[[#This Row],[24Final]])/Inventory[[#This Row],[24Final]]</f>
        <v>6.3990341080591609E-2</v>
      </c>
    </row>
    <row r="265" spans="1:73" x14ac:dyDescent="0.3">
      <c r="A265" s="25">
        <v>2025</v>
      </c>
      <c r="B265" s="26" t="s">
        <v>1841</v>
      </c>
      <c r="C265" s="26">
        <f>LN(Inventory[[#This Row],[Acres]])</f>
        <v>-1.5606477482646683</v>
      </c>
      <c r="D265" s="25">
        <v>0.21</v>
      </c>
      <c r="E265" s="31"/>
      <c r="F265" s="26" t="s">
        <v>537</v>
      </c>
      <c r="G265" s="26" t="s">
        <v>126</v>
      </c>
      <c r="H265" s="26" t="s">
        <v>349</v>
      </c>
      <c r="I265" s="26" t="s">
        <v>538</v>
      </c>
      <c r="J265" s="26" t="s">
        <v>539</v>
      </c>
      <c r="K265" s="26" t="s">
        <v>241</v>
      </c>
      <c r="L265" s="26" t="s">
        <v>351</v>
      </c>
      <c r="M265" s="26" t="s">
        <v>323</v>
      </c>
      <c r="N265" s="26">
        <v>60</v>
      </c>
      <c r="O265" s="26">
        <f>2024-Inventory[[#This Row],[YrBlt]]</f>
        <v>53</v>
      </c>
      <c r="P265" s="26">
        <f>2024-Inventory[[#This Row],[EffYr]]</f>
        <v>46</v>
      </c>
      <c r="Q265" s="25">
        <v>1971</v>
      </c>
      <c r="R265" s="25">
        <v>1978</v>
      </c>
      <c r="S265" s="25">
        <v>1032</v>
      </c>
      <c r="T265" s="27"/>
      <c r="U265" s="31"/>
      <c r="V265" s="31">
        <f>Inventory[[#This Row],[Bsmt]]-Inventory[[#This Row],[FnBsmt]]</f>
        <v>0</v>
      </c>
      <c r="W265" s="31"/>
      <c r="X265" s="27"/>
      <c r="Y265" s="27">
        <f>Inventory[[#This Row],[MainFn]]+Inventory[[#This Row],[UpprFn]]+Inventory[[#This Row],[FnBsmt]]+Inventory[[#This Row],[AddFn]]</f>
        <v>1032</v>
      </c>
      <c r="Z265" s="27">
        <v>1500</v>
      </c>
      <c r="AA265" s="25">
        <v>6</v>
      </c>
      <c r="AB265" s="32">
        <v>312</v>
      </c>
      <c r="AC265" s="27"/>
      <c r="AD265" s="31"/>
      <c r="AE265" s="27"/>
      <c r="AF265" s="27"/>
      <c r="AG265" s="27"/>
      <c r="AH265" s="27"/>
      <c r="AI265" s="25">
        <v>195738</v>
      </c>
      <c r="AJ265" s="25">
        <v>148761</v>
      </c>
      <c r="AK265" s="25">
        <v>0</v>
      </c>
      <c r="AL265" s="25">
        <v>269800</v>
      </c>
      <c r="AM265" s="25">
        <v>60100</v>
      </c>
      <c r="AN265" s="25">
        <v>209700</v>
      </c>
      <c r="AO265" s="25">
        <v>0</v>
      </c>
      <c r="AP265" s="25">
        <f>Lookups!$B$56*0</f>
        <v>0</v>
      </c>
      <c r="AQ265" s="25">
        <f>Lookups!$B$56*1</f>
        <v>89850.625589999996</v>
      </c>
      <c r="AR265" s="25">
        <f>Lookups!$B$57*Inventory[[#This Row],[LnAcres]]</f>
        <v>-49401.70477837498</v>
      </c>
      <c r="AS265" s="25">
        <f>VLOOKUP(Inventory[[#This Row],[Qlty]],Lookups!$A$62:$E$75,2,FALSE)</f>
        <v>21557.329055999999</v>
      </c>
      <c r="AT265" s="25">
        <f>VLOOKUP(Inventory[[#This Row],[Cnd]],Lookups!$A$76:$E$84,2,FALSE)</f>
        <v>160472.20319</v>
      </c>
      <c r="AU265" s="25">
        <f>Inventory[[#This Row],[EffAge]]*Lookups!$B$85</f>
        <v>-10260.097623</v>
      </c>
      <c r="AV265" s="25">
        <f>Inventory[[#This Row],[MainFn]]*Lookups!$B$86</f>
        <v>50989.747313063999</v>
      </c>
      <c r="AW265" s="25">
        <f>Inventory[[#This Row],[UpprFn]]*Lookups!$B$87</f>
        <v>0</v>
      </c>
      <c r="AX265" s="25">
        <f>Inventory[[#This Row],[AddFn]]*Lookups!$B$88</f>
        <v>0</v>
      </c>
      <c r="AY265" s="25">
        <f>Inventory[[#This Row],[Bsmt]]*Lookups!$B$89</f>
        <v>0</v>
      </c>
      <c r="AZ265" s="25">
        <f>Inventory[[#This Row],[Fixtures]]*Lookups!$B$90</f>
        <v>22752.132631200002</v>
      </c>
      <c r="BA265" s="25">
        <f>Inventory[[#This Row],[WdDeck]]*Lookups!$B$91</f>
        <v>0</v>
      </c>
      <c r="BB265" s="25">
        <f>ROUND(Inventory[[#This Row],[25Det]],-2)</f>
        <v>0</v>
      </c>
      <c r="BC265" s="25">
        <f>ROUND(SUM(Inventory[[#This Row],[Mdl Qlty]:[Mdl WdDeck]])+Inventory[[#This Row],[Mdl Res Intercept]],-2)</f>
        <v>245500</v>
      </c>
      <c r="BD265" s="25">
        <f>ROUND(Inventory[[#This Row],[Mdl Land Intercept]]+Inventory[[#This Row],[Mdl LnAcres]],-2)</f>
        <v>40400</v>
      </c>
      <c r="BE265" s="25">
        <f>Inventory[[#This Row],[Unadj Res Value]]+Inventory[[#This Row],[Unadj Det Value]]+Inventory[[#This Row],[Unadj Land Value]]</f>
        <v>285900</v>
      </c>
      <c r="BF265" s="36">
        <f>(Inventory[[#This Row],[Unadj Total Value]]-Inventory[[#This Row],[24Final]])/Inventory[[#This Row],[24Final]]</f>
        <v>5.9673832468495183E-2</v>
      </c>
      <c r="BG265" s="25">
        <f>VLOOKUP(Inventory[[#This Row],[Nbhd]],Lookups!$Q$2:$T$4,4,FALSE)</f>
        <v>0.99970000000000003</v>
      </c>
      <c r="BH265" s="25">
        <f>VLOOKUP(Inventory[[#This Row],[Qlty]],Lookups!$O$7:$R$21,4,FALSE)</f>
        <v>1.0067999999999999</v>
      </c>
      <c r="BI265" s="25">
        <f>VLOOKUP(Inventory[[#This Row],[Cnd]],Lookups!$T$7:$W$16,4,FALSE)</f>
        <v>0.99729999999999996</v>
      </c>
      <c r="BJ265" s="25">
        <f>VLOOKUP(Inventory[[#This Row],[LivArea Range]],Lookups!$T$25:$W$37,4,FALSE)</f>
        <v>1.0157</v>
      </c>
      <c r="BK265" s="25">
        <f>VLOOKUP(Inventory[[#This Row],[Decade]],Lookups!$O$25:$R$42,4,FALSE)</f>
        <v>0.98119999999999996</v>
      </c>
      <c r="BL265" s="25">
        <f>Inventory[[#This Row],[Nbhd Adj]]*0.95</f>
        <v>0.94971499999999998</v>
      </c>
      <c r="BM265" s="25">
        <f>Inventory[[#This Row],[Nbhd Adj]]*Inventory[[#This Row],[Quality Adj]]*Inventory[[#This Row],[Condition Adj]]*Inventory[[#This Row],[Living Area Adj]]*Inventory[[#This Row],[Decade Adj]]*0.95</f>
        <v>0.95035379937285946</v>
      </c>
      <c r="BN265" s="25">
        <f>ROUND(SUM(Inventory[[#This Row],[Mdl Qlty]:[Mdl WdDeck]])+Inventory[[#This Row],[Mdl Res Intercept]]*Inventory[[#This Row],[Res Adj ]],-2)</f>
        <v>245500</v>
      </c>
      <c r="BO265" s="25">
        <f>ROUND(Inventory[[#This Row],[25Det]]*Inventory[[#This Row],[Det/Nbhd Adj]],-2)</f>
        <v>0</v>
      </c>
      <c r="BP265" s="25">
        <f>Inventory[[#This Row],[Adjusted Res]]+Inventory[[#This Row],[Adj Det ]]</f>
        <v>245500</v>
      </c>
      <c r="BQ265" s="25">
        <f>ROUND((Inventory[[#This Row],[Mdl Land Intercept]]+Inventory[[#This Row],[Mdl LnAcres]])*Inventory[[#This Row],[Det/Nbhd Adj]],-2)</f>
        <v>38400</v>
      </c>
      <c r="BR265" s="25">
        <f>Inventory[[#This Row],[Adjusted Impr Total]]+Inventory[[#This Row],[Adjusted Land Total]]</f>
        <v>283900</v>
      </c>
      <c r="BS265" s="36">
        <f>IFERROR((Inventory[[#This Row],[Adjusted Impr Total]]-Inventory[[#This Row],[24Bldg]])/Inventory[[#This Row],[24Bldg]],0)</f>
        <v>0.17072007629947544</v>
      </c>
      <c r="BT265" s="36">
        <f>(Inventory[[#This Row],[Adjusted Land Total]]-Inventory[[#This Row],[24Lnd]])/Inventory[[#This Row],[24Lnd]]</f>
        <v>-0.36106489184692181</v>
      </c>
      <c r="BU265" s="36">
        <f>(Inventory[[#This Row],[Adjusted Total]]-Inventory[[#This Row],[24Final]])/Inventory[[#This Row],[24Final]]</f>
        <v>5.2260934025203855E-2</v>
      </c>
    </row>
    <row r="266" spans="1:73" x14ac:dyDescent="0.3">
      <c r="A266" s="25">
        <v>2025</v>
      </c>
      <c r="B266" s="26" t="s">
        <v>1842</v>
      </c>
      <c r="C266" s="26">
        <f>LN(Inventory[[#This Row],[Acres]])</f>
        <v>-1.5606477482646683</v>
      </c>
      <c r="D266" s="25">
        <v>0.21</v>
      </c>
      <c r="E266" s="25">
        <v>9024</v>
      </c>
      <c r="F266" s="26" t="s">
        <v>537</v>
      </c>
      <c r="G266" s="26" t="s">
        <v>126</v>
      </c>
      <c r="H266" s="26" t="s">
        <v>349</v>
      </c>
      <c r="I266" s="26" t="s">
        <v>538</v>
      </c>
      <c r="J266" s="26" t="s">
        <v>539</v>
      </c>
      <c r="K266" s="26" t="s">
        <v>241</v>
      </c>
      <c r="L266" s="26" t="s">
        <v>351</v>
      </c>
      <c r="M266" s="26" t="s">
        <v>323</v>
      </c>
      <c r="N266" s="26">
        <v>60</v>
      </c>
      <c r="O266" s="26">
        <f>2024-Inventory[[#This Row],[YrBlt]]</f>
        <v>53</v>
      </c>
      <c r="P266" s="26">
        <f>2024-Inventory[[#This Row],[EffYr]]</f>
        <v>46</v>
      </c>
      <c r="Q266" s="25">
        <v>1971</v>
      </c>
      <c r="R266" s="25">
        <v>1978</v>
      </c>
      <c r="S266" s="25">
        <v>1403</v>
      </c>
      <c r="T266" s="31"/>
      <c r="U266" s="31"/>
      <c r="V266" s="31">
        <f>Inventory[[#This Row],[Bsmt]]-Inventory[[#This Row],[FnBsmt]]</f>
        <v>0</v>
      </c>
      <c r="W266" s="31"/>
      <c r="X266" s="27"/>
      <c r="Y266" s="27">
        <f>Inventory[[#This Row],[MainFn]]+Inventory[[#This Row],[UpprFn]]+Inventory[[#This Row],[FnBsmt]]+Inventory[[#This Row],[AddFn]]</f>
        <v>1403</v>
      </c>
      <c r="Z266" s="27">
        <v>1500</v>
      </c>
      <c r="AA266" s="25">
        <v>7</v>
      </c>
      <c r="AB266" s="27"/>
      <c r="AC266" s="27"/>
      <c r="AD266" s="31"/>
      <c r="AE266" s="27"/>
      <c r="AF266" s="27"/>
      <c r="AG266" s="27"/>
      <c r="AH266" s="27"/>
      <c r="AI266" s="25">
        <v>222253</v>
      </c>
      <c r="AJ266" s="25">
        <v>168912</v>
      </c>
      <c r="AK266" s="25">
        <v>0</v>
      </c>
      <c r="AL266" s="25">
        <v>292700</v>
      </c>
      <c r="AM266" s="25">
        <v>60100</v>
      </c>
      <c r="AN266" s="25">
        <v>232600</v>
      </c>
      <c r="AO266" s="25">
        <v>0</v>
      </c>
      <c r="AP266" s="25">
        <f>Lookups!$B$56*0</f>
        <v>0</v>
      </c>
      <c r="AQ266" s="25">
        <f>Lookups!$B$56*1</f>
        <v>89850.625589999996</v>
      </c>
      <c r="AR266" s="25">
        <f>Lookups!$B$57*Inventory[[#This Row],[LnAcres]]</f>
        <v>-49401.70477837498</v>
      </c>
      <c r="AS266" s="25">
        <f>VLOOKUP(Inventory[[#This Row],[Qlty]],Lookups!$A$62:$E$75,2,FALSE)</f>
        <v>21557.329055999999</v>
      </c>
      <c r="AT266" s="25">
        <f>VLOOKUP(Inventory[[#This Row],[Cnd]],Lookups!$A$76:$E$84,2,FALSE)</f>
        <v>160472.20319</v>
      </c>
      <c r="AU266" s="25">
        <f>Inventory[[#This Row],[EffAge]]*Lookups!$B$85</f>
        <v>-10260.097623</v>
      </c>
      <c r="AV266" s="25">
        <f>Inventory[[#This Row],[MainFn]]*Lookups!$B$86</f>
        <v>69320.363837430996</v>
      </c>
      <c r="AW266" s="25">
        <f>Inventory[[#This Row],[UpprFn]]*Lookups!$B$87</f>
        <v>0</v>
      </c>
      <c r="AX266" s="25">
        <f>Inventory[[#This Row],[AddFn]]*Lookups!$B$88</f>
        <v>0</v>
      </c>
      <c r="AY266" s="25">
        <f>Inventory[[#This Row],[Bsmt]]*Lookups!$B$89</f>
        <v>0</v>
      </c>
      <c r="AZ266" s="25">
        <f>Inventory[[#This Row],[Fixtures]]*Lookups!$B$90</f>
        <v>26544.1547364</v>
      </c>
      <c r="BA266" s="25">
        <f>Inventory[[#This Row],[WdDeck]]*Lookups!$B$91</f>
        <v>0</v>
      </c>
      <c r="BB266" s="25">
        <f>ROUND(Inventory[[#This Row],[25Det]],-2)</f>
        <v>0</v>
      </c>
      <c r="BC266" s="25">
        <f>ROUND(SUM(Inventory[[#This Row],[Mdl Qlty]:[Mdl WdDeck]])+Inventory[[#This Row],[Mdl Res Intercept]],-2)</f>
        <v>267600</v>
      </c>
      <c r="BD266" s="25">
        <f>ROUND(Inventory[[#This Row],[Mdl Land Intercept]]+Inventory[[#This Row],[Mdl LnAcres]],-2)</f>
        <v>40400</v>
      </c>
      <c r="BE266" s="25">
        <f>Inventory[[#This Row],[Unadj Res Value]]+Inventory[[#This Row],[Unadj Det Value]]+Inventory[[#This Row],[Unadj Land Value]]</f>
        <v>308000</v>
      </c>
      <c r="BF266" s="36">
        <f>(Inventory[[#This Row],[Unadj Total Value]]-Inventory[[#This Row],[24Final]])/Inventory[[#This Row],[24Final]]</f>
        <v>5.2271950802869831E-2</v>
      </c>
      <c r="BG266" s="25">
        <f>VLOOKUP(Inventory[[#This Row],[Nbhd]],Lookups!$Q$2:$T$4,4,FALSE)</f>
        <v>0.99970000000000003</v>
      </c>
      <c r="BH266" s="25">
        <f>VLOOKUP(Inventory[[#This Row],[Qlty]],Lookups!$O$7:$R$21,4,FALSE)</f>
        <v>1.0067999999999999</v>
      </c>
      <c r="BI266" s="25">
        <f>VLOOKUP(Inventory[[#This Row],[Cnd]],Lookups!$T$7:$W$16,4,FALSE)</f>
        <v>0.99729999999999996</v>
      </c>
      <c r="BJ266" s="25">
        <f>VLOOKUP(Inventory[[#This Row],[LivArea Range]],Lookups!$T$25:$W$37,4,FALSE)</f>
        <v>1.0157</v>
      </c>
      <c r="BK266" s="25">
        <f>VLOOKUP(Inventory[[#This Row],[Decade]],Lookups!$O$25:$R$42,4,FALSE)</f>
        <v>0.98119999999999996</v>
      </c>
      <c r="BL266" s="25">
        <f>Inventory[[#This Row],[Nbhd Adj]]*0.95</f>
        <v>0.94971499999999998</v>
      </c>
      <c r="BM266" s="25">
        <f>Inventory[[#This Row],[Nbhd Adj]]*Inventory[[#This Row],[Quality Adj]]*Inventory[[#This Row],[Condition Adj]]*Inventory[[#This Row],[Living Area Adj]]*Inventory[[#This Row],[Decade Adj]]*0.95</f>
        <v>0.95035379937285946</v>
      </c>
      <c r="BN266" s="25">
        <f>ROUND(SUM(Inventory[[#This Row],[Mdl Qlty]:[Mdl WdDeck]])+Inventory[[#This Row],[Mdl Res Intercept]]*Inventory[[#This Row],[Res Adj ]],-2)</f>
        <v>267600</v>
      </c>
      <c r="BO266" s="25">
        <f>ROUND(Inventory[[#This Row],[25Det]]*Inventory[[#This Row],[Det/Nbhd Adj]],-2)</f>
        <v>0</v>
      </c>
      <c r="BP266" s="25">
        <f>Inventory[[#This Row],[Adjusted Res]]+Inventory[[#This Row],[Adj Det ]]</f>
        <v>267600</v>
      </c>
      <c r="BQ266" s="25">
        <f>ROUND((Inventory[[#This Row],[Mdl Land Intercept]]+Inventory[[#This Row],[Mdl LnAcres]])*Inventory[[#This Row],[Det/Nbhd Adj]],-2)</f>
        <v>38400</v>
      </c>
      <c r="BR266" s="25">
        <f>Inventory[[#This Row],[Adjusted Impr Total]]+Inventory[[#This Row],[Adjusted Land Total]]</f>
        <v>306000</v>
      </c>
      <c r="BS266" s="36">
        <f>IFERROR((Inventory[[#This Row],[Adjusted Impr Total]]-Inventory[[#This Row],[24Bldg]])/Inventory[[#This Row],[24Bldg]],0)</f>
        <v>0.15047291487532244</v>
      </c>
      <c r="BT266" s="36">
        <f>(Inventory[[#This Row],[Adjusted Land Total]]-Inventory[[#This Row],[24Lnd]])/Inventory[[#This Row],[24Lnd]]</f>
        <v>-0.36106489184692181</v>
      </c>
      <c r="BU266" s="36">
        <f>(Inventory[[#This Row],[Adjusted Total]]-Inventory[[#This Row],[24Final]])/Inventory[[#This Row],[24Final]]</f>
        <v>4.5439016057396649E-2</v>
      </c>
    </row>
    <row r="267" spans="1:73" x14ac:dyDescent="0.3">
      <c r="A267" s="25">
        <v>2025</v>
      </c>
      <c r="B267" s="26" t="s">
        <v>1543</v>
      </c>
      <c r="C267" s="26">
        <f>LN(Inventory[[#This Row],[Acres]])</f>
        <v>-1.6094379124341003</v>
      </c>
      <c r="D267" s="25">
        <v>0.2</v>
      </c>
      <c r="E267" s="25">
        <v>8519</v>
      </c>
      <c r="F267" s="26" t="s">
        <v>537</v>
      </c>
      <c r="G267" s="26" t="s">
        <v>126</v>
      </c>
      <c r="H267" s="26" t="s">
        <v>349</v>
      </c>
      <c r="I267" s="26" t="s">
        <v>538</v>
      </c>
      <c r="J267" s="26" t="s">
        <v>539</v>
      </c>
      <c r="K267" s="26" t="s">
        <v>269</v>
      </c>
      <c r="L267" s="26" t="s">
        <v>302</v>
      </c>
      <c r="M267" s="26" t="s">
        <v>323</v>
      </c>
      <c r="N267" s="26">
        <v>60</v>
      </c>
      <c r="O267" s="26">
        <f>2024-Inventory[[#This Row],[YrBlt]]</f>
        <v>53</v>
      </c>
      <c r="P267" s="26">
        <f>2024-Inventory[[#This Row],[EffYr]]</f>
        <v>46</v>
      </c>
      <c r="Q267" s="25">
        <v>1971</v>
      </c>
      <c r="R267" s="25">
        <v>1978</v>
      </c>
      <c r="S267" s="25">
        <v>1144</v>
      </c>
      <c r="T267" s="27"/>
      <c r="U267" s="32">
        <v>1036</v>
      </c>
      <c r="V267" s="32">
        <f>Inventory[[#This Row],[Bsmt]]-Inventory[[#This Row],[FnBsmt]]</f>
        <v>0</v>
      </c>
      <c r="W267" s="32">
        <v>1036</v>
      </c>
      <c r="X267" s="27"/>
      <c r="Y267" s="27">
        <f>Inventory[[#This Row],[MainFn]]+Inventory[[#This Row],[UpprFn]]+Inventory[[#This Row],[FnBsmt]]+Inventory[[#This Row],[AddFn]]</f>
        <v>2180</v>
      </c>
      <c r="Z267" s="27">
        <v>2500</v>
      </c>
      <c r="AA267" s="25">
        <v>8</v>
      </c>
      <c r="AB267" s="31"/>
      <c r="AC267" s="27"/>
      <c r="AD267" s="27"/>
      <c r="AE267" s="27"/>
      <c r="AF267" s="27"/>
      <c r="AG267" s="27"/>
      <c r="AH267" s="27"/>
      <c r="AI267" s="25">
        <v>334890</v>
      </c>
      <c r="AJ267" s="25">
        <v>254516</v>
      </c>
      <c r="AK267" s="25">
        <v>9004</v>
      </c>
      <c r="AL267" s="25">
        <v>338300</v>
      </c>
      <c r="AM267" s="25">
        <v>58400</v>
      </c>
      <c r="AN267" s="25">
        <v>279900</v>
      </c>
      <c r="AO267" s="25">
        <v>0</v>
      </c>
      <c r="AP267" s="25">
        <f>Lookups!$B$56*0</f>
        <v>0</v>
      </c>
      <c r="AQ267" s="25">
        <f>Lookups!$B$56*1</f>
        <v>89850.625589999996</v>
      </c>
      <c r="AR267" s="25">
        <f>Lookups!$B$57*Inventory[[#This Row],[LnAcres]]</f>
        <v>-50946.13867709865</v>
      </c>
      <c r="AS267" s="25">
        <f>VLOOKUP(Inventory[[#This Row],[Qlty]],Lookups!$A$62:$E$75,2,FALSE)</f>
        <v>29814.093161000001</v>
      </c>
      <c r="AT267" s="25">
        <f>VLOOKUP(Inventory[[#This Row],[Cnd]],Lookups!$A$76:$E$84,2,FALSE)</f>
        <v>160472.20319</v>
      </c>
      <c r="AU267" s="25">
        <f>Inventory[[#This Row],[EffAge]]*Lookups!$B$85</f>
        <v>-10260.097623</v>
      </c>
      <c r="AV267" s="25">
        <f>Inventory[[#This Row],[MainFn]]*Lookups!$B$86</f>
        <v>56523.518339287999</v>
      </c>
      <c r="AW267" s="25">
        <f>Inventory[[#This Row],[UpprFn]]*Lookups!$B$87</f>
        <v>0</v>
      </c>
      <c r="AX267" s="25">
        <f>Inventory[[#This Row],[AddFn]]*Lookups!$B$88</f>
        <v>0</v>
      </c>
      <c r="AY267" s="25">
        <f>Inventory[[#This Row],[Bsmt]]*Lookups!$B$89</f>
        <v>30128.843475891998</v>
      </c>
      <c r="AZ267" s="25">
        <f>Inventory[[#This Row],[Fixtures]]*Lookups!$B$90</f>
        <v>30336.176841600001</v>
      </c>
      <c r="BA267" s="25">
        <f>Inventory[[#This Row],[WdDeck]]*Lookups!$B$91</f>
        <v>0</v>
      </c>
      <c r="BB267" s="25">
        <f>ROUND(Inventory[[#This Row],[25Det]],-2)</f>
        <v>9000</v>
      </c>
      <c r="BC267" s="25">
        <f>ROUND(SUM(Inventory[[#This Row],[Mdl Qlty]:[Mdl WdDeck]])+Inventory[[#This Row],[Mdl Res Intercept]],-2)</f>
        <v>297000</v>
      </c>
      <c r="BD267" s="25">
        <f>ROUND(Inventory[[#This Row],[Mdl Land Intercept]]+Inventory[[#This Row],[Mdl LnAcres]],-2)</f>
        <v>38900</v>
      </c>
      <c r="BE267" s="25">
        <f>Inventory[[#This Row],[Unadj Res Value]]+Inventory[[#This Row],[Unadj Det Value]]+Inventory[[#This Row],[Unadj Land Value]]</f>
        <v>344900</v>
      </c>
      <c r="BF267" s="36">
        <f>(Inventory[[#This Row],[Unadj Total Value]]-Inventory[[#This Row],[24Final]])/Inventory[[#This Row],[24Final]]</f>
        <v>1.9509311262193321E-2</v>
      </c>
      <c r="BG267" s="25">
        <f>VLOOKUP(Inventory[[#This Row],[Nbhd]],Lookups!$Q$2:$T$4,4,FALSE)</f>
        <v>0.99970000000000003</v>
      </c>
      <c r="BH267" s="25">
        <f>VLOOKUP(Inventory[[#This Row],[Qlty]],Lookups!$O$7:$R$21,4,FALSE)</f>
        <v>1.0088999999999999</v>
      </c>
      <c r="BI267" s="25">
        <f>VLOOKUP(Inventory[[#This Row],[Cnd]],Lookups!$T$7:$W$16,4,FALSE)</f>
        <v>0.99729999999999996</v>
      </c>
      <c r="BJ267" s="25">
        <f>VLOOKUP(Inventory[[#This Row],[LivArea Range]],Lookups!$T$25:$W$37,4,FALSE)</f>
        <v>0.98919999999999997</v>
      </c>
      <c r="BK267" s="25">
        <f>VLOOKUP(Inventory[[#This Row],[Decade]],Lookups!$O$25:$R$42,4,FALSE)</f>
        <v>0.98119999999999996</v>
      </c>
      <c r="BL267" s="25">
        <f>Inventory[[#This Row],[Nbhd Adj]]*0.95</f>
        <v>0.94971499999999998</v>
      </c>
      <c r="BM267" s="25">
        <f>Inventory[[#This Row],[Nbhd Adj]]*Inventory[[#This Row],[Quality Adj]]*Inventory[[#This Row],[Condition Adj]]*Inventory[[#This Row],[Living Area Adj]]*Inventory[[#This Row],[Decade Adj]]*0.95</f>
        <v>0.92748925221935308</v>
      </c>
      <c r="BN267" s="25">
        <f>ROUND(SUM(Inventory[[#This Row],[Mdl Qlty]:[Mdl WdDeck]])+Inventory[[#This Row],[Mdl Res Intercept]]*Inventory[[#This Row],[Res Adj ]],-2)</f>
        <v>297000</v>
      </c>
      <c r="BO267" s="25">
        <f>ROUND(Inventory[[#This Row],[25Det]]*Inventory[[#This Row],[Det/Nbhd Adj]],-2)</f>
        <v>8600</v>
      </c>
      <c r="BP267" s="25">
        <f>Inventory[[#This Row],[Adjusted Res]]+Inventory[[#This Row],[Adj Det ]]</f>
        <v>305600</v>
      </c>
      <c r="BQ267" s="25">
        <f>ROUND((Inventory[[#This Row],[Mdl Land Intercept]]+Inventory[[#This Row],[Mdl LnAcres]])*Inventory[[#This Row],[Det/Nbhd Adj]],-2)</f>
        <v>36900</v>
      </c>
      <c r="BR267" s="25">
        <f>Inventory[[#This Row],[Adjusted Impr Total]]+Inventory[[#This Row],[Adjusted Land Total]]</f>
        <v>342500</v>
      </c>
      <c r="BS267" s="36">
        <f>IFERROR((Inventory[[#This Row],[Adjusted Impr Total]]-Inventory[[#This Row],[24Bldg]])/Inventory[[#This Row],[24Bldg]],0)</f>
        <v>9.18185066095034E-2</v>
      </c>
      <c r="BT267" s="36">
        <f>(Inventory[[#This Row],[Adjusted Land Total]]-Inventory[[#This Row],[24Lnd]])/Inventory[[#This Row],[24Lnd]]</f>
        <v>-0.36815068493150682</v>
      </c>
      <c r="BU267" s="36">
        <f>(Inventory[[#This Row],[Adjusted Total]]-Inventory[[#This Row],[24Final]])/Inventory[[#This Row],[24Final]]</f>
        <v>1.2415016257759386E-2</v>
      </c>
    </row>
    <row r="268" spans="1:73" x14ac:dyDescent="0.3">
      <c r="A268" s="25">
        <v>2025</v>
      </c>
      <c r="B268" s="26" t="s">
        <v>2010</v>
      </c>
      <c r="C268" s="26">
        <f>LN(Inventory[[#This Row],[Acres]])</f>
        <v>-1.6607312068216509</v>
      </c>
      <c r="D268" s="25">
        <v>0.19</v>
      </c>
      <c r="E268" s="25">
        <v>8437</v>
      </c>
      <c r="F268" s="26" t="s">
        <v>537</v>
      </c>
      <c r="G268" s="26" t="s">
        <v>126</v>
      </c>
      <c r="H268" s="26" t="s">
        <v>349</v>
      </c>
      <c r="I268" s="26" t="s">
        <v>538</v>
      </c>
      <c r="J268" s="26" t="s">
        <v>539</v>
      </c>
      <c r="K268" s="26" t="s">
        <v>241</v>
      </c>
      <c r="L268" s="26" t="s">
        <v>351</v>
      </c>
      <c r="M268" s="26" t="s">
        <v>323</v>
      </c>
      <c r="N268" s="26">
        <v>60</v>
      </c>
      <c r="O268" s="26">
        <f>2024-Inventory[[#This Row],[YrBlt]]</f>
        <v>53</v>
      </c>
      <c r="P268" s="26">
        <f>2024-Inventory[[#This Row],[EffYr]]</f>
        <v>46</v>
      </c>
      <c r="Q268" s="25">
        <v>1971</v>
      </c>
      <c r="R268" s="25">
        <v>1978</v>
      </c>
      <c r="S268" s="25">
        <v>1536</v>
      </c>
      <c r="T268" s="27"/>
      <c r="U268" s="27"/>
      <c r="V268" s="27">
        <f>Inventory[[#This Row],[Bsmt]]-Inventory[[#This Row],[FnBsmt]]</f>
        <v>0</v>
      </c>
      <c r="W268" s="27"/>
      <c r="X268" s="27"/>
      <c r="Y268" s="27">
        <f>Inventory[[#This Row],[MainFn]]+Inventory[[#This Row],[UpprFn]]+Inventory[[#This Row],[FnBsmt]]+Inventory[[#This Row],[AddFn]]</f>
        <v>1536</v>
      </c>
      <c r="Z268" s="27">
        <v>2000</v>
      </c>
      <c r="AA268" s="25">
        <v>9</v>
      </c>
      <c r="AB268" s="31"/>
      <c r="AC268" s="27"/>
      <c r="AD268" s="31"/>
      <c r="AE268" s="27"/>
      <c r="AF268" s="27"/>
      <c r="AG268" s="27"/>
      <c r="AH268" s="27"/>
      <c r="AI268" s="25">
        <v>252515</v>
      </c>
      <c r="AJ268" s="25">
        <v>191911</v>
      </c>
      <c r="AK268" s="25">
        <v>0</v>
      </c>
      <c r="AL268" s="25">
        <v>327000</v>
      </c>
      <c r="AM268" s="25">
        <v>56600</v>
      </c>
      <c r="AN268" s="25">
        <v>270400</v>
      </c>
      <c r="AO268" s="25">
        <v>0</v>
      </c>
      <c r="AP268" s="25">
        <f>Lookups!$B$56*0</f>
        <v>0</v>
      </c>
      <c r="AQ268" s="25">
        <f>Lookups!$B$56*1</f>
        <v>89850.625589999996</v>
      </c>
      <c r="AR268" s="25">
        <f>Lookups!$B$57*Inventory[[#This Row],[LnAcres]]</f>
        <v>-52569.808201026557</v>
      </c>
      <c r="AS268" s="25">
        <f>VLOOKUP(Inventory[[#This Row],[Qlty]],Lookups!$A$62:$E$75,2,FALSE)</f>
        <v>21557.329055999999</v>
      </c>
      <c r="AT268" s="25">
        <f>VLOOKUP(Inventory[[#This Row],[Cnd]],Lookups!$A$76:$E$84,2,FALSE)</f>
        <v>160472.20319</v>
      </c>
      <c r="AU268" s="25">
        <f>Inventory[[#This Row],[EffAge]]*Lookups!$B$85</f>
        <v>-10260.097623</v>
      </c>
      <c r="AV268" s="25">
        <f>Inventory[[#This Row],[MainFn]]*Lookups!$B$86</f>
        <v>75891.716931072006</v>
      </c>
      <c r="AW268" s="25">
        <f>Inventory[[#This Row],[UpprFn]]*Lookups!$B$87</f>
        <v>0</v>
      </c>
      <c r="AX268" s="25">
        <f>Inventory[[#This Row],[AddFn]]*Lookups!$B$88</f>
        <v>0</v>
      </c>
      <c r="AY268" s="25">
        <f>Inventory[[#This Row],[Bsmt]]*Lookups!$B$89</f>
        <v>0</v>
      </c>
      <c r="AZ268" s="25">
        <f>Inventory[[#This Row],[Fixtures]]*Lookups!$B$90</f>
        <v>34128.198946800003</v>
      </c>
      <c r="BA268" s="25">
        <f>Inventory[[#This Row],[WdDeck]]*Lookups!$B$91</f>
        <v>0</v>
      </c>
      <c r="BB268" s="25">
        <f>ROUND(Inventory[[#This Row],[25Det]],-2)</f>
        <v>0</v>
      </c>
      <c r="BC268" s="25">
        <f>ROUND(SUM(Inventory[[#This Row],[Mdl Qlty]:[Mdl WdDeck]])+Inventory[[#This Row],[Mdl Res Intercept]],-2)</f>
        <v>281800</v>
      </c>
      <c r="BD268" s="25">
        <f>ROUND(Inventory[[#This Row],[Mdl Land Intercept]]+Inventory[[#This Row],[Mdl LnAcres]],-2)</f>
        <v>37300</v>
      </c>
      <c r="BE268" s="25">
        <f>Inventory[[#This Row],[Unadj Res Value]]+Inventory[[#This Row],[Unadj Det Value]]+Inventory[[#This Row],[Unadj Land Value]]</f>
        <v>319100</v>
      </c>
      <c r="BF268" s="36">
        <f>(Inventory[[#This Row],[Unadj Total Value]]-Inventory[[#This Row],[24Final]])/Inventory[[#This Row],[24Final]]</f>
        <v>-2.4159021406727828E-2</v>
      </c>
      <c r="BG268" s="25">
        <f>VLOOKUP(Inventory[[#This Row],[Nbhd]],Lookups!$Q$2:$T$4,4,FALSE)</f>
        <v>0.99970000000000003</v>
      </c>
      <c r="BH268" s="25">
        <f>VLOOKUP(Inventory[[#This Row],[Qlty]],Lookups!$O$7:$R$21,4,FALSE)</f>
        <v>1.0067999999999999</v>
      </c>
      <c r="BI268" s="25">
        <f>VLOOKUP(Inventory[[#This Row],[Cnd]],Lookups!$T$7:$W$16,4,FALSE)</f>
        <v>0.99729999999999996</v>
      </c>
      <c r="BJ268" s="25">
        <f>VLOOKUP(Inventory[[#This Row],[LivArea Range]],Lookups!$T$25:$W$37,4,FALSE)</f>
        <v>1.0093000000000001</v>
      </c>
      <c r="BK268" s="25">
        <f>VLOOKUP(Inventory[[#This Row],[Decade]],Lookups!$O$25:$R$42,4,FALSE)</f>
        <v>0.98119999999999996</v>
      </c>
      <c r="BL268" s="25">
        <f>Inventory[[#This Row],[Nbhd Adj]]*0.95</f>
        <v>0.94971499999999998</v>
      </c>
      <c r="BM268" s="25">
        <f>Inventory[[#This Row],[Nbhd Adj]]*Inventory[[#This Row],[Quality Adj]]*Inventory[[#This Row],[Condition Adj]]*Inventory[[#This Row],[Living Area Adj]]*Inventory[[#This Row],[Decade Adj]]*0.95</f>
        <v>0.94436555056318516</v>
      </c>
      <c r="BN268" s="25">
        <f>ROUND(SUM(Inventory[[#This Row],[Mdl Qlty]:[Mdl WdDeck]])+Inventory[[#This Row],[Mdl Res Intercept]]*Inventory[[#This Row],[Res Adj ]],-2)</f>
        <v>281800</v>
      </c>
      <c r="BO268" s="25">
        <f>ROUND(Inventory[[#This Row],[25Det]]*Inventory[[#This Row],[Det/Nbhd Adj]],-2)</f>
        <v>0</v>
      </c>
      <c r="BP268" s="25">
        <f>Inventory[[#This Row],[Adjusted Res]]+Inventory[[#This Row],[Adj Det ]]</f>
        <v>281800</v>
      </c>
      <c r="BQ268" s="25">
        <f>ROUND((Inventory[[#This Row],[Mdl Land Intercept]]+Inventory[[#This Row],[Mdl LnAcres]])*Inventory[[#This Row],[Det/Nbhd Adj]],-2)</f>
        <v>35400</v>
      </c>
      <c r="BR268" s="25">
        <f>Inventory[[#This Row],[Adjusted Impr Total]]+Inventory[[#This Row],[Adjusted Land Total]]</f>
        <v>317200</v>
      </c>
      <c r="BS268" s="36">
        <f>IFERROR((Inventory[[#This Row],[Adjusted Impr Total]]-Inventory[[#This Row],[24Bldg]])/Inventory[[#This Row],[24Bldg]],0)</f>
        <v>4.2159763313609468E-2</v>
      </c>
      <c r="BT268" s="36">
        <f>(Inventory[[#This Row],[Adjusted Land Total]]-Inventory[[#This Row],[24Lnd]])/Inventory[[#This Row],[24Lnd]]</f>
        <v>-0.37455830388692579</v>
      </c>
      <c r="BU268" s="36">
        <f>(Inventory[[#This Row],[Adjusted Total]]-Inventory[[#This Row],[24Final]])/Inventory[[#This Row],[24Final]]</f>
        <v>-2.9969418960244649E-2</v>
      </c>
    </row>
    <row r="269" spans="1:73" x14ac:dyDescent="0.3">
      <c r="A269" s="25">
        <v>2025</v>
      </c>
      <c r="B269" s="26" t="s">
        <v>651</v>
      </c>
      <c r="C269" s="26">
        <f>LN(Inventory[[#This Row],[Acres]])</f>
        <v>-2.3025850929940455</v>
      </c>
      <c r="D269" s="25">
        <v>0.1</v>
      </c>
      <c r="E269" s="25">
        <v>4467</v>
      </c>
      <c r="F269" s="26" t="s">
        <v>537</v>
      </c>
      <c r="G269" s="26" t="s">
        <v>126</v>
      </c>
      <c r="H269" s="26" t="s">
        <v>349</v>
      </c>
      <c r="I269" s="26" t="s">
        <v>538</v>
      </c>
      <c r="J269" s="26" t="s">
        <v>586</v>
      </c>
      <c r="K269" s="26" t="s">
        <v>587</v>
      </c>
      <c r="L269" s="26" t="s">
        <v>351</v>
      </c>
      <c r="M269" s="26" t="s">
        <v>323</v>
      </c>
      <c r="N269" s="26">
        <v>60</v>
      </c>
      <c r="O269" s="26">
        <f>2024-Inventory[[#This Row],[YrBlt]]</f>
        <v>54</v>
      </c>
      <c r="P269" s="26">
        <f>2024-Inventory[[#This Row],[EffYr]]</f>
        <v>47</v>
      </c>
      <c r="Q269" s="25">
        <v>1970</v>
      </c>
      <c r="R269" s="25">
        <v>1977</v>
      </c>
      <c r="S269" s="25">
        <v>904</v>
      </c>
      <c r="T269" s="32">
        <v>943</v>
      </c>
      <c r="U269" s="27"/>
      <c r="V269" s="27">
        <f>Inventory[[#This Row],[Bsmt]]-Inventory[[#This Row],[FnBsmt]]</f>
        <v>0</v>
      </c>
      <c r="W269" s="27"/>
      <c r="X269" s="27"/>
      <c r="Y269" s="27">
        <f>Inventory[[#This Row],[MainFn]]+Inventory[[#This Row],[UpprFn]]+Inventory[[#This Row],[FnBsmt]]+Inventory[[#This Row],[AddFn]]</f>
        <v>1847</v>
      </c>
      <c r="Z269" s="27">
        <v>2000</v>
      </c>
      <c r="AA269" s="25">
        <v>11</v>
      </c>
      <c r="AB269" s="31"/>
      <c r="AC269" s="27"/>
      <c r="AD269" s="27"/>
      <c r="AE269" s="27"/>
      <c r="AF269" s="27"/>
      <c r="AG269" s="27"/>
      <c r="AH269" s="27"/>
      <c r="AI269" s="25">
        <v>254115</v>
      </c>
      <c r="AJ269" s="25">
        <v>188045</v>
      </c>
      <c r="AK269" s="25">
        <v>0</v>
      </c>
      <c r="AL269" s="25">
        <v>207600</v>
      </c>
      <c r="AM269" s="25">
        <v>42700</v>
      </c>
      <c r="AN269" s="25">
        <v>164900</v>
      </c>
      <c r="AO269" s="25">
        <v>0</v>
      </c>
      <c r="AP269" s="25">
        <f>Lookups!$B$56*0</f>
        <v>0</v>
      </c>
      <c r="AQ269" s="25">
        <f>Lookups!$B$56*1</f>
        <v>89850.625589999996</v>
      </c>
      <c r="AR269" s="25">
        <f>Lookups!$B$57*Inventory[[#This Row],[LnAcres]]</f>
        <v>-72887.446329681261</v>
      </c>
      <c r="AS269" s="25">
        <f>VLOOKUP(Inventory[[#This Row],[Qlty]],Lookups!$A$62:$E$75,2,FALSE)</f>
        <v>21557.329055999999</v>
      </c>
      <c r="AT269" s="25">
        <f>VLOOKUP(Inventory[[#This Row],[Cnd]],Lookups!$A$76:$E$84,2,FALSE)</f>
        <v>160472.20319</v>
      </c>
      <c r="AU269" s="25">
        <f>Inventory[[#This Row],[EffAge]]*Lookups!$B$85</f>
        <v>-10483.143223500001</v>
      </c>
      <c r="AV269" s="25">
        <f>Inventory[[#This Row],[MainFn]]*Lookups!$B$86</f>
        <v>44665.437568808004</v>
      </c>
      <c r="AW269" s="25">
        <f>Inventory[[#This Row],[UpprFn]]*Lookups!$B$87</f>
        <v>42233.596757922998</v>
      </c>
      <c r="AX269" s="25">
        <f>Inventory[[#This Row],[AddFn]]*Lookups!$B$88</f>
        <v>0</v>
      </c>
      <c r="AY269" s="25">
        <f>Inventory[[#This Row],[Bsmt]]*Lookups!$B$89</f>
        <v>0</v>
      </c>
      <c r="AZ269" s="25">
        <f>Inventory[[#This Row],[Fixtures]]*Lookups!$B$90</f>
        <v>41712.243157199999</v>
      </c>
      <c r="BA269" s="25">
        <f>Inventory[[#This Row],[WdDeck]]*Lookups!$B$91</f>
        <v>0</v>
      </c>
      <c r="BB269" s="25">
        <f>ROUND(Inventory[[#This Row],[25Det]],-2)</f>
        <v>0</v>
      </c>
      <c r="BC269" s="25">
        <f>ROUND(SUM(Inventory[[#This Row],[Mdl Qlty]:[Mdl WdDeck]])+Inventory[[#This Row],[Mdl Res Intercept]],-2)</f>
        <v>300200</v>
      </c>
      <c r="BD269" s="25">
        <f>ROUND(Inventory[[#This Row],[Mdl Land Intercept]]+Inventory[[#This Row],[Mdl LnAcres]],-2)</f>
        <v>17000</v>
      </c>
      <c r="BE269" s="25">
        <f>Inventory[[#This Row],[Unadj Res Value]]+Inventory[[#This Row],[Unadj Det Value]]+Inventory[[#This Row],[Unadj Land Value]]</f>
        <v>317200</v>
      </c>
      <c r="BF269" s="36">
        <f>(Inventory[[#This Row],[Unadj Total Value]]-Inventory[[#This Row],[24Final]])/Inventory[[#This Row],[24Final]]</f>
        <v>0.52793834296724473</v>
      </c>
      <c r="BG269" s="25">
        <f>VLOOKUP(Inventory[[#This Row],[Nbhd]],Lookups!$Q$2:$T$4,4,FALSE)</f>
        <v>0.99970000000000003</v>
      </c>
      <c r="BH269" s="25">
        <f>VLOOKUP(Inventory[[#This Row],[Qlty]],Lookups!$O$7:$R$21,4,FALSE)</f>
        <v>1.0067999999999999</v>
      </c>
      <c r="BI269" s="25">
        <f>VLOOKUP(Inventory[[#This Row],[Cnd]],Lookups!$T$7:$W$16,4,FALSE)</f>
        <v>0.99729999999999996</v>
      </c>
      <c r="BJ269" s="25">
        <f>VLOOKUP(Inventory[[#This Row],[LivArea Range]],Lookups!$T$25:$W$37,4,FALSE)</f>
        <v>1.0093000000000001</v>
      </c>
      <c r="BK269" s="25">
        <f>VLOOKUP(Inventory[[#This Row],[Decade]],Lookups!$O$25:$R$42,4,FALSE)</f>
        <v>0.98119999999999996</v>
      </c>
      <c r="BL269" s="25">
        <f>Inventory[[#This Row],[Nbhd Adj]]*0.95</f>
        <v>0.94971499999999998</v>
      </c>
      <c r="BM269" s="25">
        <f>Inventory[[#This Row],[Nbhd Adj]]*Inventory[[#This Row],[Quality Adj]]*Inventory[[#This Row],[Condition Adj]]*Inventory[[#This Row],[Living Area Adj]]*Inventory[[#This Row],[Decade Adj]]*0.95</f>
        <v>0.94436555056318516</v>
      </c>
      <c r="BN269" s="25">
        <f>ROUND(SUM(Inventory[[#This Row],[Mdl Qlty]:[Mdl WdDeck]])+Inventory[[#This Row],[Mdl Res Intercept]]*Inventory[[#This Row],[Res Adj ]],-2)</f>
        <v>300200</v>
      </c>
      <c r="BO269" s="25">
        <f>ROUND(Inventory[[#This Row],[25Det]]*Inventory[[#This Row],[Det/Nbhd Adj]],-2)</f>
        <v>0</v>
      </c>
      <c r="BP269" s="25">
        <f>Inventory[[#This Row],[Adjusted Res]]+Inventory[[#This Row],[Adj Det ]]</f>
        <v>300200</v>
      </c>
      <c r="BQ269" s="25">
        <f>ROUND((Inventory[[#This Row],[Mdl Land Intercept]]+Inventory[[#This Row],[Mdl LnAcres]])*Inventory[[#This Row],[Det/Nbhd Adj]],-2)</f>
        <v>16100</v>
      </c>
      <c r="BR269" s="25">
        <f>Inventory[[#This Row],[Adjusted Impr Total]]+Inventory[[#This Row],[Adjusted Land Total]]</f>
        <v>316300</v>
      </c>
      <c r="BS269" s="36">
        <f>IFERROR((Inventory[[#This Row],[Adjusted Impr Total]]-Inventory[[#This Row],[24Bldg]])/Inventory[[#This Row],[24Bldg]],0)</f>
        <v>0.82049727107337778</v>
      </c>
      <c r="BT269" s="36">
        <f>(Inventory[[#This Row],[Adjusted Land Total]]-Inventory[[#This Row],[24Lnd]])/Inventory[[#This Row],[24Lnd]]</f>
        <v>-0.62295081967213117</v>
      </c>
      <c r="BU269" s="36">
        <f>(Inventory[[#This Row],[Adjusted Total]]-Inventory[[#This Row],[24Final]])/Inventory[[#This Row],[24Final]]</f>
        <v>0.52360308285163781</v>
      </c>
    </row>
    <row r="270" spans="1:73" x14ac:dyDescent="0.3">
      <c r="A270" s="25">
        <v>2025</v>
      </c>
      <c r="B270" s="26" t="s">
        <v>648</v>
      </c>
      <c r="C270" s="26">
        <f>LN(Inventory[[#This Row],[Acres]])</f>
        <v>-1.9661128563728327</v>
      </c>
      <c r="D270" s="25">
        <v>0.14000000000000001</v>
      </c>
      <c r="E270" s="25">
        <v>6276</v>
      </c>
      <c r="F270" s="26" t="s">
        <v>537</v>
      </c>
      <c r="G270" s="26" t="s">
        <v>126</v>
      </c>
      <c r="H270" s="26" t="s">
        <v>349</v>
      </c>
      <c r="I270" s="26" t="s">
        <v>538</v>
      </c>
      <c r="J270" s="26" t="s">
        <v>586</v>
      </c>
      <c r="K270" s="26" t="s">
        <v>592</v>
      </c>
      <c r="L270" s="26" t="s">
        <v>148</v>
      </c>
      <c r="M270" s="26" t="s">
        <v>303</v>
      </c>
      <c r="N270" s="26">
        <v>60</v>
      </c>
      <c r="O270" s="26">
        <f>2024-Inventory[[#This Row],[YrBlt]]</f>
        <v>54</v>
      </c>
      <c r="P270" s="26">
        <f>2024-Inventory[[#This Row],[EffYr]]</f>
        <v>47</v>
      </c>
      <c r="Q270" s="25">
        <v>1970</v>
      </c>
      <c r="R270" s="25">
        <v>1977</v>
      </c>
      <c r="S270" s="25">
        <v>1824</v>
      </c>
      <c r="T270" s="27"/>
      <c r="U270" s="27"/>
      <c r="V270" s="27">
        <f>Inventory[[#This Row],[Bsmt]]-Inventory[[#This Row],[FnBsmt]]</f>
        <v>0</v>
      </c>
      <c r="W270" s="27"/>
      <c r="X270" s="27"/>
      <c r="Y270" s="27">
        <f>Inventory[[#This Row],[MainFn]]+Inventory[[#This Row],[UpprFn]]+Inventory[[#This Row],[FnBsmt]]+Inventory[[#This Row],[AddFn]]</f>
        <v>1824</v>
      </c>
      <c r="Z270" s="27">
        <v>2000</v>
      </c>
      <c r="AA270" s="25">
        <v>8</v>
      </c>
      <c r="AB270" s="25">
        <v>400</v>
      </c>
      <c r="AC270" s="27"/>
      <c r="AD270" s="31"/>
      <c r="AE270" s="27"/>
      <c r="AF270" s="27"/>
      <c r="AG270" s="27"/>
      <c r="AH270" s="27"/>
      <c r="AI270" s="25">
        <v>416731</v>
      </c>
      <c r="AJ270" s="25">
        <v>312548</v>
      </c>
      <c r="AK270" s="25">
        <v>0</v>
      </c>
      <c r="AL270" s="25">
        <v>302600</v>
      </c>
      <c r="AM270" s="25">
        <v>45700</v>
      </c>
      <c r="AN270" s="25">
        <v>256900</v>
      </c>
      <c r="AO270" s="25">
        <v>0</v>
      </c>
      <c r="AP270" s="25">
        <f>Lookups!$B$56*0</f>
        <v>0</v>
      </c>
      <c r="AQ270" s="25">
        <f>Lookups!$B$56*1</f>
        <v>89850.625589999996</v>
      </c>
      <c r="AR270" s="25">
        <f>Lookups!$B$57*Inventory[[#This Row],[LnAcres]]</f>
        <v>-62236.546971921947</v>
      </c>
      <c r="AS270" s="25">
        <f>VLOOKUP(Inventory[[#This Row],[Qlty]],Lookups!$A$62:$E$75,2,FALSE)</f>
        <v>44121.038090000002</v>
      </c>
      <c r="AT270" s="25">
        <f>VLOOKUP(Inventory[[#This Row],[Cnd]],Lookups!$A$76:$E$84,2,FALSE)</f>
        <v>197752.34721000001</v>
      </c>
      <c r="AU270" s="25">
        <f>Inventory[[#This Row],[EffAge]]*Lookups!$B$85</f>
        <v>-10483.143223500001</v>
      </c>
      <c r="AV270" s="25">
        <f>Inventory[[#This Row],[MainFn]]*Lookups!$B$86</f>
        <v>90121.413855648003</v>
      </c>
      <c r="AW270" s="25">
        <f>Inventory[[#This Row],[UpprFn]]*Lookups!$B$87</f>
        <v>0</v>
      </c>
      <c r="AX270" s="25">
        <f>Inventory[[#This Row],[AddFn]]*Lookups!$B$88</f>
        <v>0</v>
      </c>
      <c r="AY270" s="25">
        <f>Inventory[[#This Row],[Bsmt]]*Lookups!$B$89</f>
        <v>0</v>
      </c>
      <c r="AZ270" s="25">
        <f>Inventory[[#This Row],[Fixtures]]*Lookups!$B$90</f>
        <v>30336.176841600001</v>
      </c>
      <c r="BA270" s="25">
        <f>Inventory[[#This Row],[WdDeck]]*Lookups!$B$91</f>
        <v>0</v>
      </c>
      <c r="BB270" s="25">
        <f>ROUND(Inventory[[#This Row],[25Det]],-2)</f>
        <v>0</v>
      </c>
      <c r="BC270" s="25">
        <f>ROUND(SUM(Inventory[[#This Row],[Mdl Qlty]:[Mdl WdDeck]])+Inventory[[#This Row],[Mdl Res Intercept]],-2)</f>
        <v>351800</v>
      </c>
      <c r="BD270" s="25">
        <f>ROUND(Inventory[[#This Row],[Mdl Land Intercept]]+Inventory[[#This Row],[Mdl LnAcres]],-2)</f>
        <v>27600</v>
      </c>
      <c r="BE270" s="25">
        <f>Inventory[[#This Row],[Unadj Res Value]]+Inventory[[#This Row],[Unadj Det Value]]+Inventory[[#This Row],[Unadj Land Value]]</f>
        <v>379400</v>
      </c>
      <c r="BF270" s="36">
        <f>(Inventory[[#This Row],[Unadj Total Value]]-Inventory[[#This Row],[24Final]])/Inventory[[#This Row],[24Final]]</f>
        <v>0.25380039656311965</v>
      </c>
      <c r="BG270" s="25">
        <f>VLOOKUP(Inventory[[#This Row],[Nbhd]],Lookups!$Q$2:$T$4,4,FALSE)</f>
        <v>0.99970000000000003</v>
      </c>
      <c r="BH270" s="25">
        <f>VLOOKUP(Inventory[[#This Row],[Qlty]],Lookups!$O$7:$R$21,4,FALSE)</f>
        <v>0.98050000000000004</v>
      </c>
      <c r="BI270" s="25">
        <f>VLOOKUP(Inventory[[#This Row],[Cnd]],Lookups!$T$7:$W$16,4,FALSE)</f>
        <v>0.99650000000000005</v>
      </c>
      <c r="BJ270" s="25">
        <f>VLOOKUP(Inventory[[#This Row],[LivArea Range]],Lookups!$T$25:$W$37,4,FALSE)</f>
        <v>1.0093000000000001</v>
      </c>
      <c r="BK270" s="25">
        <f>VLOOKUP(Inventory[[#This Row],[Decade]],Lookups!$O$25:$R$42,4,FALSE)</f>
        <v>0.98119999999999996</v>
      </c>
      <c r="BL270" s="25">
        <f>Inventory[[#This Row],[Nbhd Adj]]*0.95</f>
        <v>0.94971499999999998</v>
      </c>
      <c r="BM270" s="25">
        <f>Inventory[[#This Row],[Nbhd Adj]]*Inventory[[#This Row],[Quality Adj]]*Inventory[[#This Row],[Condition Adj]]*Inventory[[#This Row],[Living Area Adj]]*Inventory[[#This Row],[Decade Adj]]*0.95</f>
        <v>0.91895873710932319</v>
      </c>
      <c r="BN270" s="25">
        <f>ROUND(SUM(Inventory[[#This Row],[Mdl Qlty]:[Mdl WdDeck]])+Inventory[[#This Row],[Mdl Res Intercept]]*Inventory[[#This Row],[Res Adj ]],-2)</f>
        <v>351800</v>
      </c>
      <c r="BO270" s="25">
        <f>ROUND(Inventory[[#This Row],[25Det]]*Inventory[[#This Row],[Det/Nbhd Adj]],-2)</f>
        <v>0</v>
      </c>
      <c r="BP270" s="25">
        <f>Inventory[[#This Row],[Adjusted Res]]+Inventory[[#This Row],[Adj Det ]]</f>
        <v>351800</v>
      </c>
      <c r="BQ270" s="25">
        <f>ROUND((Inventory[[#This Row],[Mdl Land Intercept]]+Inventory[[#This Row],[Mdl LnAcres]])*Inventory[[#This Row],[Det/Nbhd Adj]],-2)</f>
        <v>26200</v>
      </c>
      <c r="BR270" s="25">
        <f>Inventory[[#This Row],[Adjusted Impr Total]]+Inventory[[#This Row],[Adjusted Land Total]]</f>
        <v>378000</v>
      </c>
      <c r="BS270" s="36">
        <f>IFERROR((Inventory[[#This Row],[Adjusted Impr Total]]-Inventory[[#This Row],[24Bldg]])/Inventory[[#This Row],[24Bldg]],0)</f>
        <v>0.36940443752432855</v>
      </c>
      <c r="BT270" s="36">
        <f>(Inventory[[#This Row],[Adjusted Land Total]]-Inventory[[#This Row],[24Lnd]])/Inventory[[#This Row],[24Lnd]]</f>
        <v>-0.42669584245076586</v>
      </c>
      <c r="BU270" s="36">
        <f>(Inventory[[#This Row],[Adjusted Total]]-Inventory[[#This Row],[24Final]])/Inventory[[#This Row],[24Final]]</f>
        <v>0.24917382683410444</v>
      </c>
    </row>
    <row r="271" spans="1:73" x14ac:dyDescent="0.3">
      <c r="A271" s="25">
        <v>2025</v>
      </c>
      <c r="B271" s="26" t="s">
        <v>718</v>
      </c>
      <c r="C271" s="26">
        <f>LN(Inventory[[#This Row],[Acres]])</f>
        <v>-2.120263536200091</v>
      </c>
      <c r="D271" s="25">
        <v>0.12</v>
      </c>
      <c r="E271" s="25">
        <v>5211</v>
      </c>
      <c r="F271" s="26" t="s">
        <v>537</v>
      </c>
      <c r="G271" s="26" t="s">
        <v>126</v>
      </c>
      <c r="H271" s="26" t="s">
        <v>349</v>
      </c>
      <c r="I271" s="26" t="s">
        <v>538</v>
      </c>
      <c r="J271" s="26" t="s">
        <v>586</v>
      </c>
      <c r="K271" s="26" t="s">
        <v>592</v>
      </c>
      <c r="L271" s="26" t="s">
        <v>148</v>
      </c>
      <c r="M271" s="26" t="s">
        <v>303</v>
      </c>
      <c r="N271" s="26">
        <v>60</v>
      </c>
      <c r="O271" s="26">
        <f>2024-Inventory[[#This Row],[YrBlt]]</f>
        <v>54</v>
      </c>
      <c r="P271" s="26">
        <f>2024-Inventory[[#This Row],[EffYr]]</f>
        <v>47</v>
      </c>
      <c r="Q271" s="25">
        <v>1970</v>
      </c>
      <c r="R271" s="25">
        <v>1977</v>
      </c>
      <c r="S271" s="25">
        <v>1814</v>
      </c>
      <c r="T271" s="27"/>
      <c r="U271" s="31"/>
      <c r="V271" s="31">
        <f>Inventory[[#This Row],[Bsmt]]-Inventory[[#This Row],[FnBsmt]]</f>
        <v>0</v>
      </c>
      <c r="W271" s="31"/>
      <c r="X271" s="27"/>
      <c r="Y271" s="27">
        <f>Inventory[[#This Row],[MainFn]]+Inventory[[#This Row],[UpprFn]]+Inventory[[#This Row],[FnBsmt]]+Inventory[[#This Row],[AddFn]]</f>
        <v>1814</v>
      </c>
      <c r="Z271" s="27">
        <v>2000</v>
      </c>
      <c r="AA271" s="25">
        <v>8</v>
      </c>
      <c r="AB271" s="25">
        <v>600</v>
      </c>
      <c r="AC271" s="27"/>
      <c r="AD271" s="27"/>
      <c r="AE271" s="27"/>
      <c r="AF271" s="27"/>
      <c r="AG271" s="27"/>
      <c r="AH271" s="27"/>
      <c r="AI271" s="25">
        <v>430938</v>
      </c>
      <c r="AJ271" s="25">
        <v>323204</v>
      </c>
      <c r="AK271" s="25">
        <v>0</v>
      </c>
      <c r="AL271" s="25">
        <v>309500</v>
      </c>
      <c r="AM271" s="25">
        <v>44000</v>
      </c>
      <c r="AN271" s="25">
        <v>265500</v>
      </c>
      <c r="AO271" s="25">
        <v>0</v>
      </c>
      <c r="AP271" s="25">
        <f>Lookups!$B$56*0</f>
        <v>0</v>
      </c>
      <c r="AQ271" s="25">
        <f>Lookups!$B$56*1</f>
        <v>89850.625589999996</v>
      </c>
      <c r="AR271" s="25">
        <f>Lookups!$B$57*Inventory[[#This Row],[LnAcres]]</f>
        <v>-67116.12750806773</v>
      </c>
      <c r="AS271" s="25">
        <f>VLOOKUP(Inventory[[#This Row],[Qlty]],Lookups!$A$62:$E$75,2,FALSE)</f>
        <v>44121.038090000002</v>
      </c>
      <c r="AT271" s="25">
        <f>VLOOKUP(Inventory[[#This Row],[Cnd]],Lookups!$A$76:$E$84,2,FALSE)</f>
        <v>197752.34721000001</v>
      </c>
      <c r="AU271" s="25">
        <f>Inventory[[#This Row],[EffAge]]*Lookups!$B$85</f>
        <v>-10483.143223500001</v>
      </c>
      <c r="AV271" s="25">
        <f>Inventory[[#This Row],[MainFn]]*Lookups!$B$86</f>
        <v>89627.327156878004</v>
      </c>
      <c r="AW271" s="25">
        <f>Inventory[[#This Row],[UpprFn]]*Lookups!$B$87</f>
        <v>0</v>
      </c>
      <c r="AX271" s="25">
        <f>Inventory[[#This Row],[AddFn]]*Lookups!$B$88</f>
        <v>0</v>
      </c>
      <c r="AY271" s="25">
        <f>Inventory[[#This Row],[Bsmt]]*Lookups!$B$89</f>
        <v>0</v>
      </c>
      <c r="AZ271" s="25">
        <f>Inventory[[#This Row],[Fixtures]]*Lookups!$B$90</f>
        <v>30336.176841600001</v>
      </c>
      <c r="BA271" s="25">
        <f>Inventory[[#This Row],[WdDeck]]*Lookups!$B$91</f>
        <v>0</v>
      </c>
      <c r="BB271" s="25">
        <f>ROUND(Inventory[[#This Row],[25Det]],-2)</f>
        <v>0</v>
      </c>
      <c r="BC271" s="25">
        <f>ROUND(SUM(Inventory[[#This Row],[Mdl Qlty]:[Mdl WdDeck]])+Inventory[[#This Row],[Mdl Res Intercept]],-2)</f>
        <v>351400</v>
      </c>
      <c r="BD271" s="25">
        <f>ROUND(Inventory[[#This Row],[Mdl Land Intercept]]+Inventory[[#This Row],[Mdl LnAcres]],-2)</f>
        <v>22700</v>
      </c>
      <c r="BE271" s="25">
        <f>Inventory[[#This Row],[Unadj Res Value]]+Inventory[[#This Row],[Unadj Det Value]]+Inventory[[#This Row],[Unadj Land Value]]</f>
        <v>374100</v>
      </c>
      <c r="BF271" s="36">
        <f>(Inventory[[#This Row],[Unadj Total Value]]-Inventory[[#This Row],[24Final]])/Inventory[[#This Row],[24Final]]</f>
        <v>0.20872374798061388</v>
      </c>
      <c r="BG271" s="25">
        <f>VLOOKUP(Inventory[[#This Row],[Nbhd]],Lookups!$Q$2:$T$4,4,FALSE)</f>
        <v>0.99970000000000003</v>
      </c>
      <c r="BH271" s="25">
        <f>VLOOKUP(Inventory[[#This Row],[Qlty]],Lookups!$O$7:$R$21,4,FALSE)</f>
        <v>0.98050000000000004</v>
      </c>
      <c r="BI271" s="25">
        <f>VLOOKUP(Inventory[[#This Row],[Cnd]],Lookups!$T$7:$W$16,4,FALSE)</f>
        <v>0.99650000000000005</v>
      </c>
      <c r="BJ271" s="25">
        <f>VLOOKUP(Inventory[[#This Row],[LivArea Range]],Lookups!$T$25:$W$37,4,FALSE)</f>
        <v>1.0093000000000001</v>
      </c>
      <c r="BK271" s="25">
        <f>VLOOKUP(Inventory[[#This Row],[Decade]],Lookups!$O$25:$R$42,4,FALSE)</f>
        <v>0.98119999999999996</v>
      </c>
      <c r="BL271" s="25">
        <f>Inventory[[#This Row],[Nbhd Adj]]*0.95</f>
        <v>0.94971499999999998</v>
      </c>
      <c r="BM271" s="25">
        <f>Inventory[[#This Row],[Nbhd Adj]]*Inventory[[#This Row],[Quality Adj]]*Inventory[[#This Row],[Condition Adj]]*Inventory[[#This Row],[Living Area Adj]]*Inventory[[#This Row],[Decade Adj]]*0.95</f>
        <v>0.91895873710932319</v>
      </c>
      <c r="BN271" s="25">
        <f>ROUND(SUM(Inventory[[#This Row],[Mdl Qlty]:[Mdl WdDeck]])+Inventory[[#This Row],[Mdl Res Intercept]]*Inventory[[#This Row],[Res Adj ]],-2)</f>
        <v>351400</v>
      </c>
      <c r="BO271" s="25">
        <f>ROUND(Inventory[[#This Row],[25Det]]*Inventory[[#This Row],[Det/Nbhd Adj]],-2)</f>
        <v>0</v>
      </c>
      <c r="BP271" s="25">
        <f>Inventory[[#This Row],[Adjusted Res]]+Inventory[[#This Row],[Adj Det ]]</f>
        <v>351400</v>
      </c>
      <c r="BQ271" s="25">
        <f>ROUND((Inventory[[#This Row],[Mdl Land Intercept]]+Inventory[[#This Row],[Mdl LnAcres]])*Inventory[[#This Row],[Det/Nbhd Adj]],-2)</f>
        <v>21600</v>
      </c>
      <c r="BR271" s="25">
        <f>Inventory[[#This Row],[Adjusted Impr Total]]+Inventory[[#This Row],[Adjusted Land Total]]</f>
        <v>373000</v>
      </c>
      <c r="BS271" s="36">
        <f>IFERROR((Inventory[[#This Row],[Adjusted Impr Total]]-Inventory[[#This Row],[24Bldg]])/Inventory[[#This Row],[24Bldg]],0)</f>
        <v>0.32354048964218457</v>
      </c>
      <c r="BT271" s="36">
        <f>(Inventory[[#This Row],[Adjusted Land Total]]-Inventory[[#This Row],[24Lnd]])/Inventory[[#This Row],[24Lnd]]</f>
        <v>-0.50909090909090904</v>
      </c>
      <c r="BU271" s="36">
        <f>(Inventory[[#This Row],[Adjusted Total]]-Inventory[[#This Row],[24Final]])/Inventory[[#This Row],[24Final]]</f>
        <v>0.20516962843295639</v>
      </c>
    </row>
    <row r="272" spans="1:73" x14ac:dyDescent="0.3">
      <c r="A272" s="25">
        <v>2025</v>
      </c>
      <c r="B272" s="26" t="s">
        <v>2085</v>
      </c>
      <c r="C272" s="26">
        <f>LN(Inventory[[#This Row],[Acres]])</f>
        <v>-1.9661128563728327</v>
      </c>
      <c r="D272" s="25">
        <v>0.14000000000000001</v>
      </c>
      <c r="E272" s="25">
        <v>5944</v>
      </c>
      <c r="F272" s="26" t="s">
        <v>537</v>
      </c>
      <c r="G272" s="26" t="s">
        <v>126</v>
      </c>
      <c r="H272" s="26" t="s">
        <v>349</v>
      </c>
      <c r="I272" s="26" t="s">
        <v>538</v>
      </c>
      <c r="J272" s="26" t="s">
        <v>539</v>
      </c>
      <c r="K272" s="26" t="s">
        <v>241</v>
      </c>
      <c r="L272" s="26" t="s">
        <v>148</v>
      </c>
      <c r="M272" s="26" t="s">
        <v>206</v>
      </c>
      <c r="N272" s="26">
        <v>60</v>
      </c>
      <c r="O272" s="26">
        <f>2024-Inventory[[#This Row],[YrBlt]]</f>
        <v>54</v>
      </c>
      <c r="P272" s="26">
        <f>2024-Inventory[[#This Row],[EffYr]]</f>
        <v>47</v>
      </c>
      <c r="Q272" s="25">
        <v>1970</v>
      </c>
      <c r="R272" s="25">
        <v>1977</v>
      </c>
      <c r="S272" s="25">
        <v>1593</v>
      </c>
      <c r="T272" s="27"/>
      <c r="U272" s="27"/>
      <c r="V272" s="27">
        <f>Inventory[[#This Row],[Bsmt]]-Inventory[[#This Row],[FnBsmt]]</f>
        <v>0</v>
      </c>
      <c r="W272" s="27"/>
      <c r="X272" s="27"/>
      <c r="Y272" s="27">
        <f>Inventory[[#This Row],[MainFn]]+Inventory[[#This Row],[UpprFn]]+Inventory[[#This Row],[FnBsmt]]+Inventory[[#This Row],[AddFn]]</f>
        <v>1593</v>
      </c>
      <c r="Z272" s="27">
        <v>2000</v>
      </c>
      <c r="AA272" s="25">
        <v>10</v>
      </c>
      <c r="AB272" s="32">
        <v>484</v>
      </c>
      <c r="AC272" s="27"/>
      <c r="AD272" s="27"/>
      <c r="AE272" s="27"/>
      <c r="AF272" s="27"/>
      <c r="AG272" s="27"/>
      <c r="AH272" s="27"/>
      <c r="AI272" s="25">
        <v>392716</v>
      </c>
      <c r="AJ272" s="25">
        <v>286683</v>
      </c>
      <c r="AK272" s="25">
        <v>0</v>
      </c>
      <c r="AL272" s="25">
        <v>294600</v>
      </c>
      <c r="AM272" s="25">
        <v>46000</v>
      </c>
      <c r="AN272" s="25">
        <v>248600</v>
      </c>
      <c r="AO272" s="25">
        <v>0</v>
      </c>
      <c r="AP272" s="25">
        <f>Lookups!$B$56*0</f>
        <v>0</v>
      </c>
      <c r="AQ272" s="25">
        <f>Lookups!$B$56*1</f>
        <v>89850.625589999996</v>
      </c>
      <c r="AR272" s="25">
        <f>Lookups!$B$57*Inventory[[#This Row],[LnAcres]]</f>
        <v>-62236.546971921947</v>
      </c>
      <c r="AS272" s="25">
        <f>VLOOKUP(Inventory[[#This Row],[Qlty]],Lookups!$A$62:$E$75,2,FALSE)</f>
        <v>44121.038090000002</v>
      </c>
      <c r="AT272" s="25">
        <f>VLOOKUP(Inventory[[#This Row],[Cnd]],Lookups!$A$76:$E$84,2,FALSE)</f>
        <v>133714.53821</v>
      </c>
      <c r="AU272" s="25">
        <f>Inventory[[#This Row],[EffAge]]*Lookups!$B$85</f>
        <v>-10483.143223500001</v>
      </c>
      <c r="AV272" s="25">
        <f>Inventory[[#This Row],[MainFn]]*Lookups!$B$86</f>
        <v>78708.011114060995</v>
      </c>
      <c r="AW272" s="25">
        <f>Inventory[[#This Row],[UpprFn]]*Lookups!$B$87</f>
        <v>0</v>
      </c>
      <c r="AX272" s="25">
        <f>Inventory[[#This Row],[AddFn]]*Lookups!$B$88</f>
        <v>0</v>
      </c>
      <c r="AY272" s="25">
        <f>Inventory[[#This Row],[Bsmt]]*Lookups!$B$89</f>
        <v>0</v>
      </c>
      <c r="AZ272" s="25">
        <f>Inventory[[#This Row],[Fixtures]]*Lookups!$B$90</f>
        <v>37920.221052000001</v>
      </c>
      <c r="BA272" s="25">
        <f>Inventory[[#This Row],[WdDeck]]*Lookups!$B$91</f>
        <v>0</v>
      </c>
      <c r="BB272" s="25">
        <f>ROUND(Inventory[[#This Row],[25Det]],-2)</f>
        <v>0</v>
      </c>
      <c r="BC272" s="25">
        <f>ROUND(SUM(Inventory[[#This Row],[Mdl Qlty]:[Mdl WdDeck]])+Inventory[[#This Row],[Mdl Res Intercept]],-2)</f>
        <v>284000</v>
      </c>
      <c r="BD272" s="25">
        <f>ROUND(Inventory[[#This Row],[Mdl Land Intercept]]+Inventory[[#This Row],[Mdl LnAcres]],-2)</f>
        <v>27600</v>
      </c>
      <c r="BE272" s="25">
        <f>Inventory[[#This Row],[Unadj Res Value]]+Inventory[[#This Row],[Unadj Det Value]]+Inventory[[#This Row],[Unadj Land Value]]</f>
        <v>311600</v>
      </c>
      <c r="BF272" s="36">
        <f>(Inventory[[#This Row],[Unadj Total Value]]-Inventory[[#This Row],[24Final]])/Inventory[[#This Row],[24Final]]</f>
        <v>5.7705363204344877E-2</v>
      </c>
      <c r="BG272" s="25">
        <f>VLOOKUP(Inventory[[#This Row],[Nbhd]],Lookups!$Q$2:$T$4,4,FALSE)</f>
        <v>0.99970000000000003</v>
      </c>
      <c r="BH272" s="25">
        <f>VLOOKUP(Inventory[[#This Row],[Qlty]],Lookups!$O$7:$R$21,4,FALSE)</f>
        <v>0.98050000000000004</v>
      </c>
      <c r="BI272" s="25">
        <f>VLOOKUP(Inventory[[#This Row],[Cnd]],Lookups!$T$7:$W$16,4,FALSE)</f>
        <v>0.99329999999999996</v>
      </c>
      <c r="BJ272" s="25">
        <f>VLOOKUP(Inventory[[#This Row],[LivArea Range]],Lookups!$T$25:$W$37,4,FALSE)</f>
        <v>1.0093000000000001</v>
      </c>
      <c r="BK272" s="25">
        <f>VLOOKUP(Inventory[[#This Row],[Decade]],Lookups!$O$25:$R$42,4,FALSE)</f>
        <v>0.98119999999999996</v>
      </c>
      <c r="BL272" s="25">
        <f>Inventory[[#This Row],[Nbhd Adj]]*0.95</f>
        <v>0.94971499999999998</v>
      </c>
      <c r="BM272" s="25">
        <f>Inventory[[#This Row],[Nbhd Adj]]*Inventory[[#This Row],[Quality Adj]]*Inventory[[#This Row],[Condition Adj]]*Inventory[[#This Row],[Living Area Adj]]*Inventory[[#This Row],[Decade Adj]]*0.95</f>
        <v>0.91600774066301105</v>
      </c>
      <c r="BN272" s="25">
        <f>ROUND(SUM(Inventory[[#This Row],[Mdl Qlty]:[Mdl WdDeck]])+Inventory[[#This Row],[Mdl Res Intercept]]*Inventory[[#This Row],[Res Adj ]],-2)</f>
        <v>284000</v>
      </c>
      <c r="BO272" s="25">
        <f>ROUND(Inventory[[#This Row],[25Det]]*Inventory[[#This Row],[Det/Nbhd Adj]],-2)</f>
        <v>0</v>
      </c>
      <c r="BP272" s="25">
        <f>Inventory[[#This Row],[Adjusted Res]]+Inventory[[#This Row],[Adj Det ]]</f>
        <v>284000</v>
      </c>
      <c r="BQ272" s="25">
        <f>ROUND((Inventory[[#This Row],[Mdl Land Intercept]]+Inventory[[#This Row],[Mdl LnAcres]])*Inventory[[#This Row],[Det/Nbhd Adj]],-2)</f>
        <v>26200</v>
      </c>
      <c r="BR272" s="25">
        <f>Inventory[[#This Row],[Adjusted Impr Total]]+Inventory[[#This Row],[Adjusted Land Total]]</f>
        <v>310200</v>
      </c>
      <c r="BS272" s="36">
        <f>IFERROR((Inventory[[#This Row],[Adjusted Impr Total]]-Inventory[[#This Row],[24Bldg]])/Inventory[[#This Row],[24Bldg]],0)</f>
        <v>0.14239742558326629</v>
      </c>
      <c r="BT272" s="36">
        <f>(Inventory[[#This Row],[Adjusted Land Total]]-Inventory[[#This Row],[24Lnd]])/Inventory[[#This Row],[24Lnd]]</f>
        <v>-0.43043478260869567</v>
      </c>
      <c r="BU272" s="36">
        <f>(Inventory[[#This Row],[Adjusted Total]]-Inventory[[#This Row],[24Final]])/Inventory[[#This Row],[24Final]]</f>
        <v>5.2953156822810592E-2</v>
      </c>
    </row>
    <row r="273" spans="1:73" x14ac:dyDescent="0.3">
      <c r="A273" s="25">
        <v>2025</v>
      </c>
      <c r="B273" s="26" t="s">
        <v>897</v>
      </c>
      <c r="C273" s="26">
        <f>LN(Inventory[[#This Row],[Acres]])</f>
        <v>-1.7147984280919266</v>
      </c>
      <c r="D273" s="25">
        <v>0.18</v>
      </c>
      <c r="E273" s="25">
        <v>7908</v>
      </c>
      <c r="F273" s="26" t="s">
        <v>537</v>
      </c>
      <c r="G273" s="26" t="s">
        <v>126</v>
      </c>
      <c r="H273" s="26" t="s">
        <v>349</v>
      </c>
      <c r="I273" s="26" t="s">
        <v>538</v>
      </c>
      <c r="J273" s="26" t="s">
        <v>539</v>
      </c>
      <c r="K273" s="26" t="s">
        <v>241</v>
      </c>
      <c r="L273" s="26" t="s">
        <v>351</v>
      </c>
      <c r="M273" s="26" t="s">
        <v>323</v>
      </c>
      <c r="N273" s="26">
        <v>60</v>
      </c>
      <c r="O273" s="26">
        <f>2024-Inventory[[#This Row],[YrBlt]]</f>
        <v>54</v>
      </c>
      <c r="P273" s="26">
        <f>2024-Inventory[[#This Row],[EffYr]]</f>
        <v>47</v>
      </c>
      <c r="Q273" s="25">
        <v>1970</v>
      </c>
      <c r="R273" s="25">
        <v>1977</v>
      </c>
      <c r="S273" s="25">
        <v>1228</v>
      </c>
      <c r="T273" s="31"/>
      <c r="U273" s="31"/>
      <c r="V273" s="31">
        <f>Inventory[[#This Row],[Bsmt]]-Inventory[[#This Row],[FnBsmt]]</f>
        <v>0</v>
      </c>
      <c r="W273" s="31"/>
      <c r="X273" s="27"/>
      <c r="Y273" s="27">
        <f>Inventory[[#This Row],[MainFn]]+Inventory[[#This Row],[UpprFn]]+Inventory[[#This Row],[FnBsmt]]+Inventory[[#This Row],[AddFn]]</f>
        <v>1228</v>
      </c>
      <c r="Z273" s="27">
        <v>1500</v>
      </c>
      <c r="AA273" s="25">
        <v>8</v>
      </c>
      <c r="AB273" s="32">
        <v>308</v>
      </c>
      <c r="AC273" s="27"/>
      <c r="AD273" s="27"/>
      <c r="AE273" s="27"/>
      <c r="AF273" s="27"/>
      <c r="AG273" s="27"/>
      <c r="AH273" s="27"/>
      <c r="AI273" s="25">
        <v>216901</v>
      </c>
      <c r="AJ273" s="25">
        <v>160507</v>
      </c>
      <c r="AK273" s="25">
        <v>0</v>
      </c>
      <c r="AL273" s="25">
        <v>282500</v>
      </c>
      <c r="AM273" s="25">
        <v>54700</v>
      </c>
      <c r="AN273" s="25">
        <v>227800</v>
      </c>
      <c r="AO273" s="25">
        <v>0</v>
      </c>
      <c r="AP273" s="25">
        <f>Lookups!$B$56*0</f>
        <v>0</v>
      </c>
      <c r="AQ273" s="25">
        <f>Lookups!$B$56*1</f>
        <v>89850.625589999996</v>
      </c>
      <c r="AR273" s="25">
        <f>Lookups!$B$57*Inventory[[#This Row],[LnAcres]]</f>
        <v>-54281.285314520763</v>
      </c>
      <c r="AS273" s="25">
        <f>VLOOKUP(Inventory[[#This Row],[Qlty]],Lookups!$A$62:$E$75,2,FALSE)</f>
        <v>21557.329055999999</v>
      </c>
      <c r="AT273" s="25">
        <f>VLOOKUP(Inventory[[#This Row],[Cnd]],Lookups!$A$76:$E$84,2,FALSE)</f>
        <v>160472.20319</v>
      </c>
      <c r="AU273" s="25">
        <f>Inventory[[#This Row],[EffAge]]*Lookups!$B$85</f>
        <v>-10483.143223500001</v>
      </c>
      <c r="AV273" s="25">
        <f>Inventory[[#This Row],[MainFn]]*Lookups!$B$86</f>
        <v>60673.846608956002</v>
      </c>
      <c r="AW273" s="25">
        <f>Inventory[[#This Row],[UpprFn]]*Lookups!$B$87</f>
        <v>0</v>
      </c>
      <c r="AX273" s="25">
        <f>Inventory[[#This Row],[AddFn]]*Lookups!$B$88</f>
        <v>0</v>
      </c>
      <c r="AY273" s="25">
        <f>Inventory[[#This Row],[Bsmt]]*Lookups!$B$89</f>
        <v>0</v>
      </c>
      <c r="AZ273" s="25">
        <f>Inventory[[#This Row],[Fixtures]]*Lookups!$B$90</f>
        <v>30336.176841600001</v>
      </c>
      <c r="BA273" s="25">
        <f>Inventory[[#This Row],[WdDeck]]*Lookups!$B$91</f>
        <v>0</v>
      </c>
      <c r="BB273" s="25">
        <f>ROUND(Inventory[[#This Row],[25Det]],-2)</f>
        <v>0</v>
      </c>
      <c r="BC273" s="25">
        <f>ROUND(SUM(Inventory[[#This Row],[Mdl Qlty]:[Mdl WdDeck]])+Inventory[[#This Row],[Mdl Res Intercept]],-2)</f>
        <v>262600</v>
      </c>
      <c r="BD273" s="25">
        <f>ROUND(Inventory[[#This Row],[Mdl Land Intercept]]+Inventory[[#This Row],[Mdl LnAcres]],-2)</f>
        <v>35600</v>
      </c>
      <c r="BE273" s="25">
        <f>Inventory[[#This Row],[Unadj Res Value]]+Inventory[[#This Row],[Unadj Det Value]]+Inventory[[#This Row],[Unadj Land Value]]</f>
        <v>298200</v>
      </c>
      <c r="BF273" s="36">
        <f>(Inventory[[#This Row],[Unadj Total Value]]-Inventory[[#This Row],[24Final]])/Inventory[[#This Row],[24Final]]</f>
        <v>5.5575221238938051E-2</v>
      </c>
      <c r="BG273" s="25">
        <f>VLOOKUP(Inventory[[#This Row],[Nbhd]],Lookups!$Q$2:$T$4,4,FALSE)</f>
        <v>0.99970000000000003</v>
      </c>
      <c r="BH273" s="25">
        <f>VLOOKUP(Inventory[[#This Row],[Qlty]],Lookups!$O$7:$R$21,4,FALSE)</f>
        <v>1.0067999999999999</v>
      </c>
      <c r="BI273" s="25">
        <f>VLOOKUP(Inventory[[#This Row],[Cnd]],Lookups!$T$7:$W$16,4,FALSE)</f>
        <v>0.99729999999999996</v>
      </c>
      <c r="BJ273" s="25">
        <f>VLOOKUP(Inventory[[#This Row],[LivArea Range]],Lookups!$T$25:$W$37,4,FALSE)</f>
        <v>1.0157</v>
      </c>
      <c r="BK273" s="25">
        <f>VLOOKUP(Inventory[[#This Row],[Decade]],Lookups!$O$25:$R$42,4,FALSE)</f>
        <v>0.98119999999999996</v>
      </c>
      <c r="BL273" s="25">
        <f>Inventory[[#This Row],[Nbhd Adj]]*0.95</f>
        <v>0.94971499999999998</v>
      </c>
      <c r="BM273" s="25">
        <f>Inventory[[#This Row],[Nbhd Adj]]*Inventory[[#This Row],[Quality Adj]]*Inventory[[#This Row],[Condition Adj]]*Inventory[[#This Row],[Living Area Adj]]*Inventory[[#This Row],[Decade Adj]]*0.95</f>
        <v>0.95035379937285946</v>
      </c>
      <c r="BN273" s="25">
        <f>ROUND(SUM(Inventory[[#This Row],[Mdl Qlty]:[Mdl WdDeck]])+Inventory[[#This Row],[Mdl Res Intercept]]*Inventory[[#This Row],[Res Adj ]],-2)</f>
        <v>262600</v>
      </c>
      <c r="BO273" s="25">
        <f>ROUND(Inventory[[#This Row],[25Det]]*Inventory[[#This Row],[Det/Nbhd Adj]],-2)</f>
        <v>0</v>
      </c>
      <c r="BP273" s="25">
        <f>Inventory[[#This Row],[Adjusted Res]]+Inventory[[#This Row],[Adj Det ]]</f>
        <v>262600</v>
      </c>
      <c r="BQ273" s="25">
        <f>ROUND((Inventory[[#This Row],[Mdl Land Intercept]]+Inventory[[#This Row],[Mdl LnAcres]])*Inventory[[#This Row],[Det/Nbhd Adj]],-2)</f>
        <v>33800</v>
      </c>
      <c r="BR273" s="25">
        <f>Inventory[[#This Row],[Adjusted Impr Total]]+Inventory[[#This Row],[Adjusted Land Total]]</f>
        <v>296400</v>
      </c>
      <c r="BS273" s="36">
        <f>IFERROR((Inventory[[#This Row],[Adjusted Impr Total]]-Inventory[[#This Row],[24Bldg]])/Inventory[[#This Row],[24Bldg]],0)</f>
        <v>0.1527655838454785</v>
      </c>
      <c r="BT273" s="36">
        <f>(Inventory[[#This Row],[Adjusted Land Total]]-Inventory[[#This Row],[24Lnd]])/Inventory[[#This Row],[24Lnd]]</f>
        <v>-0.38208409506398539</v>
      </c>
      <c r="BU273" s="36">
        <f>(Inventory[[#This Row],[Adjusted Total]]-Inventory[[#This Row],[24Final]])/Inventory[[#This Row],[24Final]]</f>
        <v>4.9203539823008846E-2</v>
      </c>
    </row>
    <row r="274" spans="1:73" x14ac:dyDescent="0.3">
      <c r="A274" s="25">
        <v>2025</v>
      </c>
      <c r="B274" s="26" t="s">
        <v>1061</v>
      </c>
      <c r="C274" s="26">
        <f>LN(Inventory[[#This Row],[Acres]])</f>
        <v>-1.2378743560016174</v>
      </c>
      <c r="D274" s="25">
        <v>0.28999999999999998</v>
      </c>
      <c r="E274" s="25">
        <v>12720</v>
      </c>
      <c r="F274" s="26" t="s">
        <v>537</v>
      </c>
      <c r="G274" s="26" t="s">
        <v>126</v>
      </c>
      <c r="H274" s="26" t="s">
        <v>349</v>
      </c>
      <c r="I274" s="26" t="s">
        <v>538</v>
      </c>
      <c r="J274" s="26" t="s">
        <v>539</v>
      </c>
      <c r="K274" s="26" t="s">
        <v>241</v>
      </c>
      <c r="L274" s="26" t="s">
        <v>148</v>
      </c>
      <c r="M274" s="26" t="s">
        <v>303</v>
      </c>
      <c r="N274" s="26">
        <v>60</v>
      </c>
      <c r="O274" s="26">
        <f>2024-Inventory[[#This Row],[YrBlt]]</f>
        <v>54</v>
      </c>
      <c r="P274" s="26">
        <f>2024-Inventory[[#This Row],[EffYr]]</f>
        <v>47</v>
      </c>
      <c r="Q274" s="25">
        <v>1970</v>
      </c>
      <c r="R274" s="25">
        <v>1977</v>
      </c>
      <c r="S274" s="25">
        <v>2472</v>
      </c>
      <c r="T274" s="27"/>
      <c r="U274" s="31"/>
      <c r="V274" s="31">
        <f>Inventory[[#This Row],[Bsmt]]-Inventory[[#This Row],[FnBsmt]]</f>
        <v>0</v>
      </c>
      <c r="W274" s="31"/>
      <c r="X274" s="27"/>
      <c r="Y274" s="27">
        <f>Inventory[[#This Row],[MainFn]]+Inventory[[#This Row],[UpprFn]]+Inventory[[#This Row],[FnBsmt]]+Inventory[[#This Row],[AddFn]]</f>
        <v>2472</v>
      </c>
      <c r="Z274" s="27">
        <v>2500</v>
      </c>
      <c r="AA274" s="25">
        <v>11</v>
      </c>
      <c r="AB274" s="32">
        <v>600</v>
      </c>
      <c r="AC274" s="27"/>
      <c r="AD274" s="27"/>
      <c r="AE274" s="27"/>
      <c r="AF274" s="27"/>
      <c r="AG274" s="27"/>
      <c r="AH274" s="27"/>
      <c r="AI274" s="25">
        <v>577291</v>
      </c>
      <c r="AJ274" s="25">
        <v>432968</v>
      </c>
      <c r="AK274" s="25">
        <v>0</v>
      </c>
      <c r="AL274" s="25">
        <v>427400</v>
      </c>
      <c r="AM274" s="25">
        <v>71400</v>
      </c>
      <c r="AN274" s="25">
        <v>356000</v>
      </c>
      <c r="AO274" s="25">
        <v>0</v>
      </c>
      <c r="AP274" s="25">
        <f>Lookups!$B$56*0</f>
        <v>0</v>
      </c>
      <c r="AQ274" s="25">
        <f>Lookups!$B$56*1</f>
        <v>89850.625589999996</v>
      </c>
      <c r="AR274" s="25">
        <f>Lookups!$B$57*Inventory[[#This Row],[LnAcres]]</f>
        <v>-39184.437074869042</v>
      </c>
      <c r="AS274" s="25">
        <f>VLOOKUP(Inventory[[#This Row],[Qlty]],Lookups!$A$62:$E$75,2,FALSE)</f>
        <v>44121.038090000002</v>
      </c>
      <c r="AT274" s="25">
        <f>VLOOKUP(Inventory[[#This Row],[Cnd]],Lookups!$A$76:$E$84,2,FALSE)</f>
        <v>197752.34721000001</v>
      </c>
      <c r="AU274" s="25">
        <f>Inventory[[#This Row],[EffAge]]*Lookups!$B$85</f>
        <v>-10483.143223500001</v>
      </c>
      <c r="AV274" s="25">
        <f>Inventory[[#This Row],[MainFn]]*Lookups!$B$86</f>
        <v>122138.231935944</v>
      </c>
      <c r="AW274" s="25">
        <f>Inventory[[#This Row],[UpprFn]]*Lookups!$B$87</f>
        <v>0</v>
      </c>
      <c r="AX274" s="25">
        <f>Inventory[[#This Row],[AddFn]]*Lookups!$B$88</f>
        <v>0</v>
      </c>
      <c r="AY274" s="25">
        <f>Inventory[[#This Row],[Bsmt]]*Lookups!$B$89</f>
        <v>0</v>
      </c>
      <c r="AZ274" s="25">
        <f>Inventory[[#This Row],[Fixtures]]*Lookups!$B$90</f>
        <v>41712.243157199999</v>
      </c>
      <c r="BA274" s="25">
        <f>Inventory[[#This Row],[WdDeck]]*Lookups!$B$91</f>
        <v>0</v>
      </c>
      <c r="BB274" s="25">
        <f>ROUND(Inventory[[#This Row],[25Det]],-2)</f>
        <v>0</v>
      </c>
      <c r="BC274" s="25">
        <f>ROUND(SUM(Inventory[[#This Row],[Mdl Qlty]:[Mdl WdDeck]])+Inventory[[#This Row],[Mdl Res Intercept]],-2)</f>
        <v>395200</v>
      </c>
      <c r="BD274" s="25">
        <f>ROUND(Inventory[[#This Row],[Mdl Land Intercept]]+Inventory[[#This Row],[Mdl LnAcres]],-2)</f>
        <v>50700</v>
      </c>
      <c r="BE274" s="25">
        <f>Inventory[[#This Row],[Unadj Res Value]]+Inventory[[#This Row],[Unadj Det Value]]+Inventory[[#This Row],[Unadj Land Value]]</f>
        <v>445900</v>
      </c>
      <c r="BF274" s="36">
        <f>(Inventory[[#This Row],[Unadj Total Value]]-Inventory[[#This Row],[24Final]])/Inventory[[#This Row],[24Final]]</f>
        <v>4.3284978942442674E-2</v>
      </c>
      <c r="BG274" s="25">
        <f>VLOOKUP(Inventory[[#This Row],[Nbhd]],Lookups!$Q$2:$T$4,4,FALSE)</f>
        <v>0.99970000000000003</v>
      </c>
      <c r="BH274" s="25">
        <f>VLOOKUP(Inventory[[#This Row],[Qlty]],Lookups!$O$7:$R$21,4,FALSE)</f>
        <v>0.98050000000000004</v>
      </c>
      <c r="BI274" s="25">
        <f>VLOOKUP(Inventory[[#This Row],[Cnd]],Lookups!$T$7:$W$16,4,FALSE)</f>
        <v>0.99650000000000005</v>
      </c>
      <c r="BJ274" s="25">
        <f>VLOOKUP(Inventory[[#This Row],[LivArea Range]],Lookups!$T$25:$W$37,4,FALSE)</f>
        <v>0.98919999999999997</v>
      </c>
      <c r="BK274" s="25">
        <f>VLOOKUP(Inventory[[#This Row],[Decade]],Lookups!$O$25:$R$42,4,FALSE)</f>
        <v>0.98119999999999996</v>
      </c>
      <c r="BL274" s="25">
        <f>Inventory[[#This Row],[Nbhd Adj]]*0.95</f>
        <v>0.94971499999999998</v>
      </c>
      <c r="BM274" s="25">
        <f>Inventory[[#This Row],[Nbhd Adj]]*Inventory[[#This Row],[Quality Adj]]*Inventory[[#This Row],[Condition Adj]]*Inventory[[#This Row],[Living Area Adj]]*Inventory[[#This Row],[Decade Adj]]*0.95</f>
        <v>0.90065786460769082</v>
      </c>
      <c r="BN274" s="25">
        <f>ROUND(SUM(Inventory[[#This Row],[Mdl Qlty]:[Mdl WdDeck]])+Inventory[[#This Row],[Mdl Res Intercept]]*Inventory[[#This Row],[Res Adj ]],-2)</f>
        <v>395200</v>
      </c>
      <c r="BO274" s="25">
        <f>ROUND(Inventory[[#This Row],[25Det]]*Inventory[[#This Row],[Det/Nbhd Adj]],-2)</f>
        <v>0</v>
      </c>
      <c r="BP274" s="25">
        <f>Inventory[[#This Row],[Adjusted Res]]+Inventory[[#This Row],[Adj Det ]]</f>
        <v>395200</v>
      </c>
      <c r="BQ274" s="25">
        <f>ROUND((Inventory[[#This Row],[Mdl Land Intercept]]+Inventory[[#This Row],[Mdl LnAcres]])*Inventory[[#This Row],[Det/Nbhd Adj]],-2)</f>
        <v>48100</v>
      </c>
      <c r="BR274" s="25">
        <f>Inventory[[#This Row],[Adjusted Impr Total]]+Inventory[[#This Row],[Adjusted Land Total]]</f>
        <v>443300</v>
      </c>
      <c r="BS274" s="36">
        <f>IFERROR((Inventory[[#This Row],[Adjusted Impr Total]]-Inventory[[#This Row],[24Bldg]])/Inventory[[#This Row],[24Bldg]],0)</f>
        <v>0.1101123595505618</v>
      </c>
      <c r="BT274" s="36">
        <f>(Inventory[[#This Row],[Adjusted Land Total]]-Inventory[[#This Row],[24Lnd]])/Inventory[[#This Row],[24Lnd]]</f>
        <v>-0.32633053221288516</v>
      </c>
      <c r="BU274" s="36">
        <f>(Inventory[[#This Row],[Adjusted Total]]-Inventory[[#This Row],[24Final]])/Inventory[[#This Row],[24Final]]</f>
        <v>3.7201684604585866E-2</v>
      </c>
    </row>
    <row r="275" spans="1:73" x14ac:dyDescent="0.3">
      <c r="A275" s="25">
        <v>2025</v>
      </c>
      <c r="B275" s="26" t="s">
        <v>2081</v>
      </c>
      <c r="C275" s="26">
        <f>LN(Inventory[[#This Row],[Acres]])</f>
        <v>-1.3093333199837622</v>
      </c>
      <c r="D275" s="25">
        <v>0.27</v>
      </c>
      <c r="E275" s="25">
        <v>11900</v>
      </c>
      <c r="F275" s="26" t="s">
        <v>537</v>
      </c>
      <c r="G275" s="26" t="s">
        <v>126</v>
      </c>
      <c r="H275" s="26" t="s">
        <v>349</v>
      </c>
      <c r="I275" s="26" t="s">
        <v>538</v>
      </c>
      <c r="J275" s="26" t="s">
        <v>539</v>
      </c>
      <c r="K275" s="26" t="s">
        <v>241</v>
      </c>
      <c r="L275" s="26" t="s">
        <v>302</v>
      </c>
      <c r="M275" s="26" t="s">
        <v>323</v>
      </c>
      <c r="N275" s="26">
        <v>60</v>
      </c>
      <c r="O275" s="26">
        <f>2024-Inventory[[#This Row],[YrBlt]]</f>
        <v>54</v>
      </c>
      <c r="P275" s="26">
        <f>2024-Inventory[[#This Row],[EffYr]]</f>
        <v>47</v>
      </c>
      <c r="Q275" s="25">
        <v>1970</v>
      </c>
      <c r="R275" s="25">
        <v>1977</v>
      </c>
      <c r="S275" s="25">
        <v>1855</v>
      </c>
      <c r="T275" s="27"/>
      <c r="U275" s="31"/>
      <c r="V275" s="31">
        <f>Inventory[[#This Row],[Bsmt]]-Inventory[[#This Row],[FnBsmt]]</f>
        <v>0</v>
      </c>
      <c r="W275" s="31"/>
      <c r="X275" s="27"/>
      <c r="Y275" s="27">
        <f>Inventory[[#This Row],[MainFn]]+Inventory[[#This Row],[UpprFn]]+Inventory[[#This Row],[FnBsmt]]+Inventory[[#This Row],[AddFn]]</f>
        <v>1855</v>
      </c>
      <c r="Z275" s="27">
        <v>2000</v>
      </c>
      <c r="AA275" s="25">
        <v>8</v>
      </c>
      <c r="AB275" s="25">
        <v>441</v>
      </c>
      <c r="AC275" s="27"/>
      <c r="AD275" s="27"/>
      <c r="AE275" s="27"/>
      <c r="AF275" s="27"/>
      <c r="AG275" s="27"/>
      <c r="AH275" s="27"/>
      <c r="AI275" s="25">
        <v>353239</v>
      </c>
      <c r="AJ275" s="25">
        <v>261397</v>
      </c>
      <c r="AK275" s="25">
        <v>0</v>
      </c>
      <c r="AL275" s="25">
        <v>339700</v>
      </c>
      <c r="AM275" s="25">
        <v>68900</v>
      </c>
      <c r="AN275" s="25">
        <v>270800</v>
      </c>
      <c r="AO275" s="25">
        <v>0</v>
      </c>
      <c r="AP275" s="25">
        <f>Lookups!$B$56*0</f>
        <v>0</v>
      </c>
      <c r="AQ275" s="25">
        <f>Lookups!$B$56*1</f>
        <v>89850.625589999996</v>
      </c>
      <c r="AR275" s="25">
        <f>Lookups!$B$57*Inventory[[#This Row],[LnAcres]]</f>
        <v>-41446.443120973789</v>
      </c>
      <c r="AS275" s="25">
        <f>VLOOKUP(Inventory[[#This Row],[Qlty]],Lookups!$A$62:$E$75,2,FALSE)</f>
        <v>29814.093161000001</v>
      </c>
      <c r="AT275" s="25">
        <f>VLOOKUP(Inventory[[#This Row],[Cnd]],Lookups!$A$76:$E$84,2,FALSE)</f>
        <v>160472.20319</v>
      </c>
      <c r="AU275" s="25">
        <f>Inventory[[#This Row],[EffAge]]*Lookups!$B$85</f>
        <v>-10483.143223500001</v>
      </c>
      <c r="AV275" s="25">
        <f>Inventory[[#This Row],[MainFn]]*Lookups!$B$86</f>
        <v>91653.082621834998</v>
      </c>
      <c r="AW275" s="25">
        <f>Inventory[[#This Row],[UpprFn]]*Lookups!$B$87</f>
        <v>0</v>
      </c>
      <c r="AX275" s="25">
        <f>Inventory[[#This Row],[AddFn]]*Lookups!$B$88</f>
        <v>0</v>
      </c>
      <c r="AY275" s="25">
        <f>Inventory[[#This Row],[Bsmt]]*Lookups!$B$89</f>
        <v>0</v>
      </c>
      <c r="AZ275" s="25">
        <f>Inventory[[#This Row],[Fixtures]]*Lookups!$B$90</f>
        <v>30336.176841600001</v>
      </c>
      <c r="BA275" s="25">
        <f>Inventory[[#This Row],[WdDeck]]*Lookups!$B$91</f>
        <v>0</v>
      </c>
      <c r="BB275" s="25">
        <f>ROUND(Inventory[[#This Row],[25Det]],-2)</f>
        <v>0</v>
      </c>
      <c r="BC275" s="25">
        <f>ROUND(SUM(Inventory[[#This Row],[Mdl Qlty]:[Mdl WdDeck]])+Inventory[[#This Row],[Mdl Res Intercept]],-2)</f>
        <v>301800</v>
      </c>
      <c r="BD275" s="25">
        <f>ROUND(Inventory[[#This Row],[Mdl Land Intercept]]+Inventory[[#This Row],[Mdl LnAcres]],-2)</f>
        <v>48400</v>
      </c>
      <c r="BE275" s="25">
        <f>Inventory[[#This Row],[Unadj Res Value]]+Inventory[[#This Row],[Unadj Det Value]]+Inventory[[#This Row],[Unadj Land Value]]</f>
        <v>350200</v>
      </c>
      <c r="BF275" s="36">
        <f>(Inventory[[#This Row],[Unadj Total Value]]-Inventory[[#This Row],[24Final]])/Inventory[[#This Row],[24Final]]</f>
        <v>3.0909626140712392E-2</v>
      </c>
      <c r="BG275" s="25">
        <f>VLOOKUP(Inventory[[#This Row],[Nbhd]],Lookups!$Q$2:$T$4,4,FALSE)</f>
        <v>0.99970000000000003</v>
      </c>
      <c r="BH275" s="25">
        <f>VLOOKUP(Inventory[[#This Row],[Qlty]],Lookups!$O$7:$R$21,4,FALSE)</f>
        <v>1.0088999999999999</v>
      </c>
      <c r="BI275" s="25">
        <f>VLOOKUP(Inventory[[#This Row],[Cnd]],Lookups!$T$7:$W$16,4,FALSE)</f>
        <v>0.99729999999999996</v>
      </c>
      <c r="BJ275" s="25">
        <f>VLOOKUP(Inventory[[#This Row],[LivArea Range]],Lookups!$T$25:$W$37,4,FALSE)</f>
        <v>1.0093000000000001</v>
      </c>
      <c r="BK275" s="25">
        <f>VLOOKUP(Inventory[[#This Row],[Decade]],Lookups!$O$25:$R$42,4,FALSE)</f>
        <v>0.98119999999999996</v>
      </c>
      <c r="BL275" s="25">
        <f>Inventory[[#This Row],[Nbhd Adj]]*0.95</f>
        <v>0.94971499999999998</v>
      </c>
      <c r="BM275" s="25">
        <f>Inventory[[#This Row],[Nbhd Adj]]*Inventory[[#This Row],[Quality Adj]]*Inventory[[#This Row],[Condition Adj]]*Inventory[[#This Row],[Living Area Adj]]*Inventory[[#This Row],[Decade Adj]]*0.95</f>
        <v>0.94633532376161855</v>
      </c>
      <c r="BN275" s="25">
        <f>ROUND(SUM(Inventory[[#This Row],[Mdl Qlty]:[Mdl WdDeck]])+Inventory[[#This Row],[Mdl Res Intercept]]*Inventory[[#This Row],[Res Adj ]],-2)</f>
        <v>301800</v>
      </c>
      <c r="BO275" s="25">
        <f>ROUND(Inventory[[#This Row],[25Det]]*Inventory[[#This Row],[Det/Nbhd Adj]],-2)</f>
        <v>0</v>
      </c>
      <c r="BP275" s="25">
        <f>Inventory[[#This Row],[Adjusted Res]]+Inventory[[#This Row],[Adj Det ]]</f>
        <v>301800</v>
      </c>
      <c r="BQ275" s="25">
        <f>ROUND((Inventory[[#This Row],[Mdl Land Intercept]]+Inventory[[#This Row],[Mdl LnAcres]])*Inventory[[#This Row],[Det/Nbhd Adj]],-2)</f>
        <v>46000</v>
      </c>
      <c r="BR275" s="25">
        <f>Inventory[[#This Row],[Adjusted Impr Total]]+Inventory[[#This Row],[Adjusted Land Total]]</f>
        <v>347800</v>
      </c>
      <c r="BS275" s="36">
        <f>IFERROR((Inventory[[#This Row],[Adjusted Impr Total]]-Inventory[[#This Row],[24Bldg]])/Inventory[[#This Row],[24Bldg]],0)</f>
        <v>0.11447562776957164</v>
      </c>
      <c r="BT275" s="36">
        <f>(Inventory[[#This Row],[Adjusted Land Total]]-Inventory[[#This Row],[24Lnd]])/Inventory[[#This Row],[24Lnd]]</f>
        <v>-0.33236574746008707</v>
      </c>
      <c r="BU275" s="36">
        <f>(Inventory[[#This Row],[Adjusted Total]]-Inventory[[#This Row],[24Final]])/Inventory[[#This Row],[24Final]]</f>
        <v>2.3844568737120989E-2</v>
      </c>
    </row>
    <row r="276" spans="1:73" x14ac:dyDescent="0.3">
      <c r="A276" s="25">
        <v>2025</v>
      </c>
      <c r="B276" s="26" t="s">
        <v>1345</v>
      </c>
      <c r="C276" s="26">
        <f>LN(Inventory[[#This Row],[Acres]])</f>
        <v>-1.3862943611198906</v>
      </c>
      <c r="D276" s="25">
        <v>0.25</v>
      </c>
      <c r="E276" s="31"/>
      <c r="F276" s="26" t="s">
        <v>537</v>
      </c>
      <c r="G276" s="26" t="s">
        <v>126</v>
      </c>
      <c r="H276" s="26" t="s">
        <v>349</v>
      </c>
      <c r="I276" s="26" t="s">
        <v>538</v>
      </c>
      <c r="J276" s="26" t="s">
        <v>539</v>
      </c>
      <c r="K276" s="26" t="s">
        <v>241</v>
      </c>
      <c r="L276" s="26" t="s">
        <v>148</v>
      </c>
      <c r="M276" s="26" t="s">
        <v>323</v>
      </c>
      <c r="N276" s="26">
        <v>60</v>
      </c>
      <c r="O276" s="26">
        <f>2024-Inventory[[#This Row],[YrBlt]]</f>
        <v>54</v>
      </c>
      <c r="P276" s="26">
        <f>2024-Inventory[[#This Row],[EffYr]]</f>
        <v>47</v>
      </c>
      <c r="Q276" s="25">
        <v>1970</v>
      </c>
      <c r="R276" s="25">
        <v>1977</v>
      </c>
      <c r="S276" s="25">
        <v>1712</v>
      </c>
      <c r="T276" s="27"/>
      <c r="U276" s="32">
        <v>1730</v>
      </c>
      <c r="V276" s="32">
        <f>Inventory[[#This Row],[Bsmt]]-Inventory[[#This Row],[FnBsmt]]</f>
        <v>86</v>
      </c>
      <c r="W276" s="32">
        <v>1644</v>
      </c>
      <c r="X276" s="27"/>
      <c r="Y276" s="27">
        <f>Inventory[[#This Row],[MainFn]]+Inventory[[#This Row],[UpprFn]]+Inventory[[#This Row],[FnBsmt]]+Inventory[[#This Row],[AddFn]]</f>
        <v>3356</v>
      </c>
      <c r="Z276" s="27">
        <v>3500</v>
      </c>
      <c r="AA276" s="25">
        <v>14</v>
      </c>
      <c r="AB276" s="27"/>
      <c r="AC276" s="27"/>
      <c r="AD276" s="27"/>
      <c r="AE276" s="27"/>
      <c r="AF276" s="27"/>
      <c r="AG276" s="27"/>
      <c r="AH276" s="27"/>
      <c r="AI276" s="25">
        <v>597848</v>
      </c>
      <c r="AJ276" s="25">
        <v>442408</v>
      </c>
      <c r="AK276" s="25">
        <v>0</v>
      </c>
      <c r="AL276" s="25">
        <v>427600</v>
      </c>
      <c r="AM276" s="25">
        <v>66200</v>
      </c>
      <c r="AN276" s="25">
        <v>361400</v>
      </c>
      <c r="AO276" s="25">
        <v>0</v>
      </c>
      <c r="AP276" s="25">
        <f>Lookups!$B$56*0</f>
        <v>0</v>
      </c>
      <c r="AQ276" s="25">
        <f>Lookups!$B$56*1</f>
        <v>89850.625589999996</v>
      </c>
      <c r="AR276" s="25">
        <f>Lookups!$B$57*Inventory[[#This Row],[LnAcres]]</f>
        <v>-43882.615305165229</v>
      </c>
      <c r="AS276" s="25">
        <f>VLOOKUP(Inventory[[#This Row],[Qlty]],Lookups!$A$62:$E$75,2,FALSE)</f>
        <v>44121.038090000002</v>
      </c>
      <c r="AT276" s="25">
        <f>VLOOKUP(Inventory[[#This Row],[Cnd]],Lookups!$A$76:$E$84,2,FALSE)</f>
        <v>160472.20319</v>
      </c>
      <c r="AU276" s="25">
        <f>Inventory[[#This Row],[EffAge]]*Lookups!$B$85</f>
        <v>-10483.143223500001</v>
      </c>
      <c r="AV276" s="25">
        <f>Inventory[[#This Row],[MainFn]]*Lookups!$B$86</f>
        <v>84587.642829424003</v>
      </c>
      <c r="AW276" s="25">
        <f>Inventory[[#This Row],[UpprFn]]*Lookups!$B$87</f>
        <v>0</v>
      </c>
      <c r="AX276" s="25">
        <f>Inventory[[#This Row],[AddFn]]*Lookups!$B$88</f>
        <v>0</v>
      </c>
      <c r="AY276" s="25">
        <f>Inventory[[#This Row],[Bsmt]]*Lookups!$B$89</f>
        <v>50311.67877731</v>
      </c>
      <c r="AZ276" s="25">
        <f>Inventory[[#This Row],[Fixtures]]*Lookups!$B$90</f>
        <v>53088.3094728</v>
      </c>
      <c r="BA276" s="25">
        <f>Inventory[[#This Row],[WdDeck]]*Lookups!$B$91</f>
        <v>0</v>
      </c>
      <c r="BB276" s="25">
        <f>ROUND(Inventory[[#This Row],[25Det]],-2)</f>
        <v>0</v>
      </c>
      <c r="BC276" s="25">
        <f>ROUND(SUM(Inventory[[#This Row],[Mdl Qlty]:[Mdl WdDeck]])+Inventory[[#This Row],[Mdl Res Intercept]],-2)</f>
        <v>382100</v>
      </c>
      <c r="BD276" s="25">
        <f>ROUND(Inventory[[#This Row],[Mdl Land Intercept]]+Inventory[[#This Row],[Mdl LnAcres]],-2)</f>
        <v>46000</v>
      </c>
      <c r="BE276" s="25">
        <f>Inventory[[#This Row],[Unadj Res Value]]+Inventory[[#This Row],[Unadj Det Value]]+Inventory[[#This Row],[Unadj Land Value]]</f>
        <v>428100</v>
      </c>
      <c r="BF276" s="36">
        <f>(Inventory[[#This Row],[Unadj Total Value]]-Inventory[[#This Row],[24Final]])/Inventory[[#This Row],[24Final]]</f>
        <v>1.1693171188026192E-3</v>
      </c>
      <c r="BG276" s="25">
        <f>VLOOKUP(Inventory[[#This Row],[Nbhd]],Lookups!$Q$2:$T$4,4,FALSE)</f>
        <v>0.99970000000000003</v>
      </c>
      <c r="BH276" s="25">
        <f>VLOOKUP(Inventory[[#This Row],[Qlty]],Lookups!$O$7:$R$21,4,FALSE)</f>
        <v>0.98050000000000004</v>
      </c>
      <c r="BI276" s="25">
        <f>VLOOKUP(Inventory[[#This Row],[Cnd]],Lookups!$T$7:$W$16,4,FALSE)</f>
        <v>0.99729999999999996</v>
      </c>
      <c r="BJ276" s="25">
        <f>VLOOKUP(Inventory[[#This Row],[LivArea Range]],Lookups!$T$25:$W$37,4,FALSE)</f>
        <v>1.0126999999999999</v>
      </c>
      <c r="BK276" s="25">
        <f>VLOOKUP(Inventory[[#This Row],[Decade]],Lookups!$O$25:$R$42,4,FALSE)</f>
        <v>0.98119999999999996</v>
      </c>
      <c r="BL276" s="25">
        <f>Inventory[[#This Row],[Nbhd Adj]]*0.95</f>
        <v>0.94971499999999998</v>
      </c>
      <c r="BM276" s="25">
        <f>Inventory[[#This Row],[Nbhd Adj]]*Inventory[[#This Row],[Quality Adj]]*Inventory[[#This Row],[Condition Adj]]*Inventory[[#This Row],[Living Area Adj]]*Inventory[[#This Row],[Decade Adj]]*0.95</f>
        <v>0.92279464143060164</v>
      </c>
      <c r="BN276" s="25">
        <f>ROUND(SUM(Inventory[[#This Row],[Mdl Qlty]:[Mdl WdDeck]])+Inventory[[#This Row],[Mdl Res Intercept]]*Inventory[[#This Row],[Res Adj ]],-2)</f>
        <v>382100</v>
      </c>
      <c r="BO276" s="25">
        <f>ROUND(Inventory[[#This Row],[25Det]]*Inventory[[#This Row],[Det/Nbhd Adj]],-2)</f>
        <v>0</v>
      </c>
      <c r="BP276" s="25">
        <f>Inventory[[#This Row],[Adjusted Res]]+Inventory[[#This Row],[Adj Det ]]</f>
        <v>382100</v>
      </c>
      <c r="BQ276" s="25">
        <f>ROUND((Inventory[[#This Row],[Mdl Land Intercept]]+Inventory[[#This Row],[Mdl LnAcres]])*Inventory[[#This Row],[Det/Nbhd Adj]],-2)</f>
        <v>43700</v>
      </c>
      <c r="BR276" s="25">
        <f>Inventory[[#This Row],[Adjusted Impr Total]]+Inventory[[#This Row],[Adjusted Land Total]]</f>
        <v>425800</v>
      </c>
      <c r="BS276" s="36">
        <f>IFERROR((Inventory[[#This Row],[Adjusted Impr Total]]-Inventory[[#This Row],[24Bldg]])/Inventory[[#This Row],[24Bldg]],0)</f>
        <v>5.727725511898174E-2</v>
      </c>
      <c r="BT276" s="36">
        <f>(Inventory[[#This Row],[Adjusted Land Total]]-Inventory[[#This Row],[24Lnd]])/Inventory[[#This Row],[24Lnd]]</f>
        <v>-0.33987915407854985</v>
      </c>
      <c r="BU276" s="36">
        <f>(Inventory[[#This Row],[Adjusted Total]]-Inventory[[#This Row],[24Final]])/Inventory[[#This Row],[24Final]]</f>
        <v>-4.2095416276894298E-3</v>
      </c>
    </row>
    <row r="277" spans="1:73" x14ac:dyDescent="0.3">
      <c r="A277" s="25">
        <v>2025</v>
      </c>
      <c r="B277" s="26" t="s">
        <v>1376</v>
      </c>
      <c r="C277" s="26">
        <f>LN(Inventory[[#This Row],[Acres]])</f>
        <v>-1.5141277326297755</v>
      </c>
      <c r="D277" s="25">
        <v>0.22</v>
      </c>
      <c r="E277" s="25">
        <v>9630</v>
      </c>
      <c r="F277" s="26" t="s">
        <v>537</v>
      </c>
      <c r="G277" s="26" t="s">
        <v>126</v>
      </c>
      <c r="H277" s="26" t="s">
        <v>349</v>
      </c>
      <c r="I277" s="26" t="s">
        <v>538</v>
      </c>
      <c r="J277" s="26" t="s">
        <v>539</v>
      </c>
      <c r="K277" s="26" t="s">
        <v>241</v>
      </c>
      <c r="L277" s="26" t="s">
        <v>95</v>
      </c>
      <c r="M277" s="26" t="s">
        <v>323</v>
      </c>
      <c r="N277" s="26">
        <v>60</v>
      </c>
      <c r="O277" s="26">
        <f>2024-Inventory[[#This Row],[YrBlt]]</f>
        <v>54</v>
      </c>
      <c r="P277" s="26">
        <f>2024-Inventory[[#This Row],[EffYr]]</f>
        <v>47</v>
      </c>
      <c r="Q277" s="25">
        <v>1970</v>
      </c>
      <c r="R277" s="25">
        <v>1977</v>
      </c>
      <c r="S277" s="25">
        <v>1530</v>
      </c>
      <c r="T277" s="31"/>
      <c r="U277" s="25">
        <v>1530</v>
      </c>
      <c r="V277" s="32">
        <f>Inventory[[#This Row],[Bsmt]]-Inventory[[#This Row],[FnBsmt]]</f>
        <v>224</v>
      </c>
      <c r="W277" s="32">
        <v>1306</v>
      </c>
      <c r="X277" s="27"/>
      <c r="Y277" s="27">
        <f>Inventory[[#This Row],[MainFn]]+Inventory[[#This Row],[UpprFn]]+Inventory[[#This Row],[FnBsmt]]+Inventory[[#This Row],[AddFn]]</f>
        <v>2836</v>
      </c>
      <c r="Z277" s="27">
        <v>3000</v>
      </c>
      <c r="AA277" s="25">
        <v>11</v>
      </c>
      <c r="AB277" s="32">
        <v>520</v>
      </c>
      <c r="AC277" s="27"/>
      <c r="AD277" s="27"/>
      <c r="AE277" s="27"/>
      <c r="AF277" s="27"/>
      <c r="AG277" s="27"/>
      <c r="AH277" s="27"/>
      <c r="AI277" s="25">
        <v>570788</v>
      </c>
      <c r="AJ277" s="25">
        <v>433799</v>
      </c>
      <c r="AK277" s="25">
        <v>0</v>
      </c>
      <c r="AL277" s="25">
        <v>445300</v>
      </c>
      <c r="AM277" s="25">
        <v>61700</v>
      </c>
      <c r="AN277" s="25">
        <v>383600</v>
      </c>
      <c r="AO277" s="25">
        <v>0</v>
      </c>
      <c r="AP277" s="25">
        <f>Lookups!$B$56*0</f>
        <v>0</v>
      </c>
      <c r="AQ277" s="25">
        <f>Lookups!$B$56*1</f>
        <v>89850.625589999996</v>
      </c>
      <c r="AR277" s="25">
        <f>Lookups!$B$57*Inventory[[#This Row],[LnAcres]]</f>
        <v>-47929.131559187132</v>
      </c>
      <c r="AS277" s="25">
        <f>VLOOKUP(Inventory[[#This Row],[Qlty]],Lookups!$A$62:$E$75,2,FALSE)</f>
        <v>74268.409664999999</v>
      </c>
      <c r="AT277" s="25">
        <f>VLOOKUP(Inventory[[#This Row],[Cnd]],Lookups!$A$76:$E$84,2,FALSE)</f>
        <v>160472.20319</v>
      </c>
      <c r="AU277" s="25">
        <f>Inventory[[#This Row],[EffAge]]*Lookups!$B$85</f>
        <v>-10483.143223500001</v>
      </c>
      <c r="AV277" s="25">
        <f>Inventory[[#This Row],[MainFn]]*Lookups!$B$86</f>
        <v>75595.264911810009</v>
      </c>
      <c r="AW277" s="25">
        <f>Inventory[[#This Row],[UpprFn]]*Lookups!$B$87</f>
        <v>0</v>
      </c>
      <c r="AX277" s="25">
        <f>Inventory[[#This Row],[AddFn]]*Lookups!$B$88</f>
        <v>0</v>
      </c>
      <c r="AY277" s="25">
        <f>Inventory[[#This Row],[Bsmt]]*Lookups!$B$89</f>
        <v>44495.299727909995</v>
      </c>
      <c r="AZ277" s="25">
        <f>Inventory[[#This Row],[Fixtures]]*Lookups!$B$90</f>
        <v>41712.243157199999</v>
      </c>
      <c r="BA277" s="25">
        <f>Inventory[[#This Row],[WdDeck]]*Lookups!$B$91</f>
        <v>0</v>
      </c>
      <c r="BB277" s="25">
        <f>ROUND(Inventory[[#This Row],[25Det]],-2)</f>
        <v>0</v>
      </c>
      <c r="BC277" s="25">
        <f>ROUND(SUM(Inventory[[#This Row],[Mdl Qlty]:[Mdl WdDeck]])+Inventory[[#This Row],[Mdl Res Intercept]],-2)</f>
        <v>386100</v>
      </c>
      <c r="BD277" s="25">
        <f>ROUND(Inventory[[#This Row],[Mdl Land Intercept]]+Inventory[[#This Row],[Mdl LnAcres]],-2)</f>
        <v>41900</v>
      </c>
      <c r="BE277" s="25">
        <f>Inventory[[#This Row],[Unadj Res Value]]+Inventory[[#This Row],[Unadj Det Value]]+Inventory[[#This Row],[Unadj Land Value]]</f>
        <v>428000</v>
      </c>
      <c r="BF277" s="36">
        <f>(Inventory[[#This Row],[Unadj Total Value]]-Inventory[[#This Row],[24Final]])/Inventory[[#This Row],[24Final]]</f>
        <v>-3.8850213339321808E-2</v>
      </c>
      <c r="BG277" s="25">
        <f>VLOOKUP(Inventory[[#This Row],[Nbhd]],Lookups!$Q$2:$T$4,4,FALSE)</f>
        <v>0.99970000000000003</v>
      </c>
      <c r="BH277" s="25">
        <f>VLOOKUP(Inventory[[#This Row],[Qlty]],Lookups!$O$7:$R$21,4,FALSE)</f>
        <v>0.98380000000000001</v>
      </c>
      <c r="BI277" s="25">
        <f>VLOOKUP(Inventory[[#This Row],[Cnd]],Lookups!$T$7:$W$16,4,FALSE)</f>
        <v>0.99729999999999996</v>
      </c>
      <c r="BJ277" s="25">
        <f>VLOOKUP(Inventory[[#This Row],[LivArea Range]],Lookups!$T$25:$W$37,4,FALSE)</f>
        <v>0.96179999999999999</v>
      </c>
      <c r="BK277" s="25">
        <f>VLOOKUP(Inventory[[#This Row],[Decade]],Lookups!$O$25:$R$42,4,FALSE)</f>
        <v>0.98119999999999996</v>
      </c>
      <c r="BL277" s="25">
        <f>Inventory[[#This Row],[Nbhd Adj]]*0.95</f>
        <v>0.94971499999999998</v>
      </c>
      <c r="BM277" s="25">
        <f>Inventory[[#This Row],[Nbhd Adj]]*Inventory[[#This Row],[Quality Adj]]*Inventory[[#This Row],[Condition Adj]]*Inventory[[#This Row],[Living Area Adj]]*Inventory[[#This Row],[Decade Adj]]*0.95</f>
        <v>0.87936311865587502</v>
      </c>
      <c r="BN277" s="25">
        <f>ROUND(SUM(Inventory[[#This Row],[Mdl Qlty]:[Mdl WdDeck]])+Inventory[[#This Row],[Mdl Res Intercept]]*Inventory[[#This Row],[Res Adj ]],-2)</f>
        <v>386100</v>
      </c>
      <c r="BO277" s="25">
        <f>ROUND(Inventory[[#This Row],[25Det]]*Inventory[[#This Row],[Det/Nbhd Adj]],-2)</f>
        <v>0</v>
      </c>
      <c r="BP277" s="25">
        <f>Inventory[[#This Row],[Adjusted Res]]+Inventory[[#This Row],[Adj Det ]]</f>
        <v>386100</v>
      </c>
      <c r="BQ277" s="25">
        <f>ROUND((Inventory[[#This Row],[Mdl Land Intercept]]+Inventory[[#This Row],[Mdl LnAcres]])*Inventory[[#This Row],[Det/Nbhd Adj]],-2)</f>
        <v>39800</v>
      </c>
      <c r="BR277" s="25">
        <f>Inventory[[#This Row],[Adjusted Impr Total]]+Inventory[[#This Row],[Adjusted Land Total]]</f>
        <v>425900</v>
      </c>
      <c r="BS277" s="36">
        <f>IFERROR((Inventory[[#This Row],[Adjusted Impr Total]]-Inventory[[#This Row],[24Bldg]])/Inventory[[#This Row],[24Bldg]],0)</f>
        <v>6.5172054223149112E-3</v>
      </c>
      <c r="BT277" s="36">
        <f>(Inventory[[#This Row],[Adjusted Land Total]]-Inventory[[#This Row],[24Lnd]])/Inventory[[#This Row],[24Lnd]]</f>
        <v>-0.35494327390599678</v>
      </c>
      <c r="BU277" s="36">
        <f>(Inventory[[#This Row],[Adjusted Total]]-Inventory[[#This Row],[24Final]])/Inventory[[#This Row],[24Final]]</f>
        <v>-4.3566135189759714E-2</v>
      </c>
    </row>
    <row r="278" spans="1:73" x14ac:dyDescent="0.3">
      <c r="A278" s="25">
        <v>2025</v>
      </c>
      <c r="B278" s="26" t="s">
        <v>732</v>
      </c>
      <c r="C278" s="26">
        <f>LN(Inventory[[#This Row],[Acres]])</f>
        <v>-1.7147984280919266</v>
      </c>
      <c r="D278" s="25">
        <v>0.18</v>
      </c>
      <c r="E278" s="25">
        <v>7899</v>
      </c>
      <c r="F278" s="26" t="s">
        <v>537</v>
      </c>
      <c r="G278" s="26" t="s">
        <v>126</v>
      </c>
      <c r="H278" s="26" t="s">
        <v>349</v>
      </c>
      <c r="I278" s="26" t="s">
        <v>538</v>
      </c>
      <c r="J278" s="26" t="s">
        <v>586</v>
      </c>
      <c r="K278" s="26" t="s">
        <v>587</v>
      </c>
      <c r="L278" s="26" t="s">
        <v>351</v>
      </c>
      <c r="M278" s="26" t="s">
        <v>323</v>
      </c>
      <c r="N278" s="26">
        <v>60</v>
      </c>
      <c r="O278" s="26">
        <f>2024-Inventory[[#This Row],[YrBlt]]</f>
        <v>55</v>
      </c>
      <c r="P278" s="26">
        <f>2024-Inventory[[#This Row],[EffYr]]</f>
        <v>47</v>
      </c>
      <c r="Q278" s="25">
        <v>1969</v>
      </c>
      <c r="R278" s="25">
        <v>1977</v>
      </c>
      <c r="S278" s="25">
        <v>861</v>
      </c>
      <c r="T278" s="32">
        <v>896</v>
      </c>
      <c r="U278" s="31"/>
      <c r="V278" s="31">
        <f>Inventory[[#This Row],[Bsmt]]-Inventory[[#This Row],[FnBsmt]]</f>
        <v>0</v>
      </c>
      <c r="W278" s="31"/>
      <c r="X278" s="27"/>
      <c r="Y278" s="27">
        <f>Inventory[[#This Row],[MainFn]]+Inventory[[#This Row],[UpprFn]]+Inventory[[#This Row],[FnBsmt]]+Inventory[[#This Row],[AddFn]]</f>
        <v>1757</v>
      </c>
      <c r="Z278" s="27">
        <v>2000</v>
      </c>
      <c r="AA278" s="25">
        <v>10</v>
      </c>
      <c r="AB278" s="27"/>
      <c r="AC278" s="27"/>
      <c r="AD278" s="27"/>
      <c r="AE278" s="27"/>
      <c r="AF278" s="27"/>
      <c r="AG278" s="27"/>
      <c r="AH278" s="27"/>
      <c r="AI278" s="25">
        <v>246838</v>
      </c>
      <c r="AJ278" s="25">
        <v>182660</v>
      </c>
      <c r="AK278" s="25">
        <v>0</v>
      </c>
      <c r="AL278" s="25">
        <v>208000</v>
      </c>
      <c r="AM278" s="25">
        <v>47800</v>
      </c>
      <c r="AN278" s="25">
        <v>160200</v>
      </c>
      <c r="AO278" s="25">
        <v>0</v>
      </c>
      <c r="AP278" s="25">
        <f>Lookups!$B$56*0</f>
        <v>0</v>
      </c>
      <c r="AQ278" s="25">
        <f>Lookups!$B$56*1</f>
        <v>89850.625589999996</v>
      </c>
      <c r="AR278" s="25">
        <f>Lookups!$B$57*Inventory[[#This Row],[LnAcres]]</f>
        <v>-54281.285314520763</v>
      </c>
      <c r="AS278" s="25">
        <f>VLOOKUP(Inventory[[#This Row],[Qlty]],Lookups!$A$62:$E$75,2,FALSE)</f>
        <v>21557.329055999999</v>
      </c>
      <c r="AT278" s="25">
        <f>VLOOKUP(Inventory[[#This Row],[Cnd]],Lookups!$A$76:$E$84,2,FALSE)</f>
        <v>160472.20319</v>
      </c>
      <c r="AU278" s="25">
        <f>Inventory[[#This Row],[EffAge]]*Lookups!$B$85</f>
        <v>-10483.143223500001</v>
      </c>
      <c r="AV278" s="25">
        <f>Inventory[[#This Row],[MainFn]]*Lookups!$B$86</f>
        <v>42540.864764097001</v>
      </c>
      <c r="AW278" s="25">
        <f>Inventory[[#This Row],[UpprFn]]*Lookups!$B$87</f>
        <v>40128.634883455998</v>
      </c>
      <c r="AX278" s="25">
        <f>Inventory[[#This Row],[AddFn]]*Lookups!$B$88</f>
        <v>0</v>
      </c>
      <c r="AY278" s="25">
        <f>Inventory[[#This Row],[Bsmt]]*Lookups!$B$89</f>
        <v>0</v>
      </c>
      <c r="AZ278" s="25">
        <f>Inventory[[#This Row],[Fixtures]]*Lookups!$B$90</f>
        <v>37920.221052000001</v>
      </c>
      <c r="BA278" s="25">
        <f>Inventory[[#This Row],[WdDeck]]*Lookups!$B$91</f>
        <v>0</v>
      </c>
      <c r="BB278" s="25">
        <f>ROUND(Inventory[[#This Row],[25Det]],-2)</f>
        <v>0</v>
      </c>
      <c r="BC278" s="25">
        <f>ROUND(SUM(Inventory[[#This Row],[Mdl Qlty]:[Mdl WdDeck]])+Inventory[[#This Row],[Mdl Res Intercept]],-2)</f>
        <v>292100</v>
      </c>
      <c r="BD278" s="25">
        <f>ROUND(Inventory[[#This Row],[Mdl Land Intercept]]+Inventory[[#This Row],[Mdl LnAcres]],-2)</f>
        <v>35600</v>
      </c>
      <c r="BE278" s="25">
        <f>Inventory[[#This Row],[Unadj Res Value]]+Inventory[[#This Row],[Unadj Det Value]]+Inventory[[#This Row],[Unadj Land Value]]</f>
        <v>327700</v>
      </c>
      <c r="BF278" s="36">
        <f>(Inventory[[#This Row],[Unadj Total Value]]-Inventory[[#This Row],[24Final]])/Inventory[[#This Row],[24Final]]</f>
        <v>0.57548076923076918</v>
      </c>
      <c r="BG278" s="25">
        <f>VLOOKUP(Inventory[[#This Row],[Nbhd]],Lookups!$Q$2:$T$4,4,FALSE)</f>
        <v>0.99970000000000003</v>
      </c>
      <c r="BH278" s="25">
        <f>VLOOKUP(Inventory[[#This Row],[Qlty]],Lookups!$O$7:$R$21,4,FALSE)</f>
        <v>1.0067999999999999</v>
      </c>
      <c r="BI278" s="25">
        <f>VLOOKUP(Inventory[[#This Row],[Cnd]],Lookups!$T$7:$W$16,4,FALSE)</f>
        <v>0.99729999999999996</v>
      </c>
      <c r="BJ278" s="25">
        <f>VLOOKUP(Inventory[[#This Row],[LivArea Range]],Lookups!$T$25:$W$37,4,FALSE)</f>
        <v>1.0093000000000001</v>
      </c>
      <c r="BK278" s="25">
        <f>VLOOKUP(Inventory[[#This Row],[Decade]],Lookups!$O$25:$R$42,4,FALSE)</f>
        <v>0.98119999999999996</v>
      </c>
      <c r="BL278" s="25">
        <f>Inventory[[#This Row],[Nbhd Adj]]*0.95</f>
        <v>0.94971499999999998</v>
      </c>
      <c r="BM278" s="25">
        <f>Inventory[[#This Row],[Nbhd Adj]]*Inventory[[#This Row],[Quality Adj]]*Inventory[[#This Row],[Condition Adj]]*Inventory[[#This Row],[Living Area Adj]]*Inventory[[#This Row],[Decade Adj]]*0.95</f>
        <v>0.94436555056318516</v>
      </c>
      <c r="BN278" s="25">
        <f>ROUND(SUM(Inventory[[#This Row],[Mdl Qlty]:[Mdl WdDeck]])+Inventory[[#This Row],[Mdl Res Intercept]]*Inventory[[#This Row],[Res Adj ]],-2)</f>
        <v>292100</v>
      </c>
      <c r="BO278" s="25">
        <f>ROUND(Inventory[[#This Row],[25Det]]*Inventory[[#This Row],[Det/Nbhd Adj]],-2)</f>
        <v>0</v>
      </c>
      <c r="BP278" s="25">
        <f>Inventory[[#This Row],[Adjusted Res]]+Inventory[[#This Row],[Adj Det ]]</f>
        <v>292100</v>
      </c>
      <c r="BQ278" s="25">
        <f>ROUND((Inventory[[#This Row],[Mdl Land Intercept]]+Inventory[[#This Row],[Mdl LnAcres]])*Inventory[[#This Row],[Det/Nbhd Adj]],-2)</f>
        <v>33800</v>
      </c>
      <c r="BR278" s="25">
        <f>Inventory[[#This Row],[Adjusted Impr Total]]+Inventory[[#This Row],[Adjusted Land Total]]</f>
        <v>325900</v>
      </c>
      <c r="BS278" s="36">
        <f>IFERROR((Inventory[[#This Row],[Adjusted Impr Total]]-Inventory[[#This Row],[24Bldg]])/Inventory[[#This Row],[24Bldg]],0)</f>
        <v>0.82334581772784021</v>
      </c>
      <c r="BT278" s="36">
        <f>(Inventory[[#This Row],[Adjusted Land Total]]-Inventory[[#This Row],[24Lnd]])/Inventory[[#This Row],[24Lnd]]</f>
        <v>-0.29288702928870292</v>
      </c>
      <c r="BU278" s="36">
        <f>(Inventory[[#This Row],[Adjusted Total]]-Inventory[[#This Row],[24Final]])/Inventory[[#This Row],[24Final]]</f>
        <v>0.56682692307692306</v>
      </c>
    </row>
    <row r="279" spans="1:73" x14ac:dyDescent="0.3">
      <c r="A279" s="25">
        <v>2025</v>
      </c>
      <c r="B279" s="26" t="s">
        <v>701</v>
      </c>
      <c r="C279" s="26">
        <f>LN(Inventory[[#This Row],[Acres]])</f>
        <v>-1.1711829815029451</v>
      </c>
      <c r="D279" s="25">
        <v>0.31</v>
      </c>
      <c r="E279" s="25">
        <v>13408</v>
      </c>
      <c r="F279" s="26" t="s">
        <v>537</v>
      </c>
      <c r="G279" s="26" t="s">
        <v>126</v>
      </c>
      <c r="H279" s="26" t="s">
        <v>349</v>
      </c>
      <c r="I279" s="26" t="s">
        <v>538</v>
      </c>
      <c r="J279" s="26" t="s">
        <v>539</v>
      </c>
      <c r="K279" s="26" t="s">
        <v>241</v>
      </c>
      <c r="L279" s="26" t="s">
        <v>64</v>
      </c>
      <c r="M279" s="26" t="s">
        <v>352</v>
      </c>
      <c r="N279" s="26">
        <v>60</v>
      </c>
      <c r="O279" s="26">
        <f>2024-Inventory[[#This Row],[YrBlt]]</f>
        <v>55</v>
      </c>
      <c r="P279" s="26">
        <f>2024-Inventory[[#This Row],[EffYr]]</f>
        <v>47</v>
      </c>
      <c r="Q279" s="25">
        <v>1969</v>
      </c>
      <c r="R279" s="25">
        <v>1977</v>
      </c>
      <c r="S279" s="25">
        <v>2318</v>
      </c>
      <c r="T279" s="31"/>
      <c r="U279" s="25">
        <v>1971</v>
      </c>
      <c r="V279" s="25">
        <f>Inventory[[#This Row],[Bsmt]]-Inventory[[#This Row],[FnBsmt]]</f>
        <v>0</v>
      </c>
      <c r="W279" s="25">
        <v>1971</v>
      </c>
      <c r="X279" s="27"/>
      <c r="Y279" s="27">
        <f>Inventory[[#This Row],[MainFn]]+Inventory[[#This Row],[UpprFn]]+Inventory[[#This Row],[FnBsmt]]+Inventory[[#This Row],[AddFn]]</f>
        <v>4289</v>
      </c>
      <c r="Z279" s="27">
        <v>4500</v>
      </c>
      <c r="AA279" s="25">
        <v>15</v>
      </c>
      <c r="AB279" s="32">
        <v>713</v>
      </c>
      <c r="AC279" s="27"/>
      <c r="AD279" s="32">
        <v>394</v>
      </c>
      <c r="AE279" s="27"/>
      <c r="AF279" s="27"/>
      <c r="AG279" s="27"/>
      <c r="AH279" s="27"/>
      <c r="AI279" s="25">
        <v>916935</v>
      </c>
      <c r="AJ279" s="25">
        <v>724379</v>
      </c>
      <c r="AK279" s="25">
        <v>30942</v>
      </c>
      <c r="AL279" s="25">
        <v>705800</v>
      </c>
      <c r="AM279" s="25">
        <v>73700</v>
      </c>
      <c r="AN279" s="25">
        <v>632100</v>
      </c>
      <c r="AO279" s="25">
        <v>0</v>
      </c>
      <c r="AP279" s="25">
        <f>Lookups!$B$56*0</f>
        <v>0</v>
      </c>
      <c r="AQ279" s="25">
        <f>Lookups!$B$56*1</f>
        <v>89850.625589999996</v>
      </c>
      <c r="AR279" s="25">
        <f>Lookups!$B$57*Inventory[[#This Row],[LnAcres]]</f>
        <v>-37073.347241874442</v>
      </c>
      <c r="AS279" s="25">
        <f>VLOOKUP(Inventory[[#This Row],[Qlty]],Lookups!$A$62:$E$75,2,FALSE)</f>
        <v>163885.03753</v>
      </c>
      <c r="AT279" s="25">
        <f>VLOOKUP(Inventory[[#This Row],[Cnd]],Lookups!$A$76:$E$84,2,FALSE)</f>
        <v>284810.60806</v>
      </c>
      <c r="AU279" s="25">
        <f>Inventory[[#This Row],[EffAge]]*Lookups!$B$85</f>
        <v>-10483.143223500001</v>
      </c>
      <c r="AV279" s="25">
        <f>Inventory[[#This Row],[MainFn]]*Lookups!$B$86</f>
        <v>114529.29677488601</v>
      </c>
      <c r="AW279" s="25">
        <f>Inventory[[#This Row],[UpprFn]]*Lookups!$B$87</f>
        <v>0</v>
      </c>
      <c r="AX279" s="25">
        <f>Inventory[[#This Row],[AddFn]]*Lookups!$B$88</f>
        <v>0</v>
      </c>
      <c r="AY279" s="25">
        <f>Inventory[[#This Row],[Bsmt]]*Lookups!$B$89</f>
        <v>57320.415531836996</v>
      </c>
      <c r="AZ279" s="25">
        <f>Inventory[[#This Row],[Fixtures]]*Lookups!$B$90</f>
        <v>56880.331578000005</v>
      </c>
      <c r="BA279" s="25">
        <f>Inventory[[#This Row],[WdDeck]]*Lookups!$B$91</f>
        <v>13118.433018744001</v>
      </c>
      <c r="BB279" s="25">
        <f>ROUND(Inventory[[#This Row],[25Det]],-2)</f>
        <v>30900</v>
      </c>
      <c r="BC279" s="25">
        <f>ROUND(SUM(Inventory[[#This Row],[Mdl Qlty]:[Mdl WdDeck]])+Inventory[[#This Row],[Mdl Res Intercept]],-2)</f>
        <v>680100</v>
      </c>
      <c r="BD279" s="25">
        <f>ROUND(Inventory[[#This Row],[Mdl Land Intercept]]+Inventory[[#This Row],[Mdl LnAcres]],-2)</f>
        <v>52800</v>
      </c>
      <c r="BE279" s="25">
        <f>Inventory[[#This Row],[Unadj Res Value]]+Inventory[[#This Row],[Unadj Det Value]]+Inventory[[#This Row],[Unadj Land Value]]</f>
        <v>763800</v>
      </c>
      <c r="BF279" s="36">
        <f>(Inventory[[#This Row],[Unadj Total Value]]-Inventory[[#This Row],[24Final]])/Inventory[[#This Row],[24Final]]</f>
        <v>8.2176253896287896E-2</v>
      </c>
      <c r="BG279" s="25">
        <f>VLOOKUP(Inventory[[#This Row],[Nbhd]],Lookups!$Q$2:$T$4,4,FALSE)</f>
        <v>0.99970000000000003</v>
      </c>
      <c r="BH279" s="25">
        <f>VLOOKUP(Inventory[[#This Row],[Qlty]],Lookups!$O$7:$R$21,4,FALSE)</f>
        <v>1</v>
      </c>
      <c r="BI279" s="25">
        <f>VLOOKUP(Inventory[[#This Row],[Cnd]],Lookups!$T$7:$W$16,4,FALSE)</f>
        <v>1.0158</v>
      </c>
      <c r="BJ279" s="25">
        <f>VLOOKUP(Inventory[[#This Row],[LivArea Range]],Lookups!$T$25:$W$37,4,FALSE)</f>
        <v>1</v>
      </c>
      <c r="BK279" s="25">
        <f>VLOOKUP(Inventory[[#This Row],[Decade]],Lookups!$O$25:$R$42,4,FALSE)</f>
        <v>0.98119999999999996</v>
      </c>
      <c r="BL279" s="25">
        <f>Inventory[[#This Row],[Nbhd Adj]]*0.95</f>
        <v>0.94971499999999998</v>
      </c>
      <c r="BM279" s="25">
        <f>Inventory[[#This Row],[Nbhd Adj]]*Inventory[[#This Row],[Quality Adj]]*Inventory[[#This Row],[Condition Adj]]*Inventory[[#This Row],[Living Area Adj]]*Inventory[[#This Row],[Decade Adj]]*0.95</f>
        <v>0.94658375165639985</v>
      </c>
      <c r="BN279" s="25">
        <f>ROUND(SUM(Inventory[[#This Row],[Mdl Qlty]:[Mdl WdDeck]])+Inventory[[#This Row],[Mdl Res Intercept]]*Inventory[[#This Row],[Res Adj ]],-2)</f>
        <v>680100</v>
      </c>
      <c r="BO279" s="25">
        <f>ROUND(Inventory[[#This Row],[25Det]]*Inventory[[#This Row],[Det/Nbhd Adj]],-2)</f>
        <v>29400</v>
      </c>
      <c r="BP279" s="25">
        <f>Inventory[[#This Row],[Adjusted Res]]+Inventory[[#This Row],[Adj Det ]]</f>
        <v>709500</v>
      </c>
      <c r="BQ279" s="25">
        <f>ROUND((Inventory[[#This Row],[Mdl Land Intercept]]+Inventory[[#This Row],[Mdl LnAcres]])*Inventory[[#This Row],[Det/Nbhd Adj]],-2)</f>
        <v>50100</v>
      </c>
      <c r="BR279" s="25">
        <f>Inventory[[#This Row],[Adjusted Impr Total]]+Inventory[[#This Row],[Adjusted Land Total]]</f>
        <v>759600</v>
      </c>
      <c r="BS279" s="36">
        <f>IFERROR((Inventory[[#This Row],[Adjusted Impr Total]]-Inventory[[#This Row],[24Bldg]])/Inventory[[#This Row],[24Bldg]],0)</f>
        <v>0.12244897959183673</v>
      </c>
      <c r="BT279" s="36">
        <f>(Inventory[[#This Row],[Adjusted Land Total]]-Inventory[[#This Row],[24Lnd]])/Inventory[[#This Row],[24Lnd]]</f>
        <v>-0.32021709633649931</v>
      </c>
      <c r="BU279" s="36">
        <f>(Inventory[[#This Row],[Adjusted Total]]-Inventory[[#This Row],[24Final]])/Inventory[[#This Row],[24Final]]</f>
        <v>7.6225559648625679E-2</v>
      </c>
    </row>
    <row r="280" spans="1:73" x14ac:dyDescent="0.3">
      <c r="A280" s="25">
        <v>2025</v>
      </c>
      <c r="B280" s="26" t="s">
        <v>705</v>
      </c>
      <c r="C280" s="26">
        <f>LN(Inventory[[#This Row],[Acres]])</f>
        <v>-1.1394342831883648</v>
      </c>
      <c r="D280" s="25">
        <v>0.32</v>
      </c>
      <c r="E280" s="25">
        <v>13829</v>
      </c>
      <c r="F280" s="26" t="s">
        <v>537</v>
      </c>
      <c r="G280" s="26" t="s">
        <v>126</v>
      </c>
      <c r="H280" s="26" t="s">
        <v>349</v>
      </c>
      <c r="I280" s="26" t="s">
        <v>538</v>
      </c>
      <c r="J280" s="26" t="s">
        <v>539</v>
      </c>
      <c r="K280" s="26" t="s">
        <v>241</v>
      </c>
      <c r="L280" s="26" t="s">
        <v>302</v>
      </c>
      <c r="M280" s="26" t="s">
        <v>303</v>
      </c>
      <c r="N280" s="26">
        <v>60</v>
      </c>
      <c r="O280" s="26">
        <f>2024-Inventory[[#This Row],[YrBlt]]</f>
        <v>55</v>
      </c>
      <c r="P280" s="26">
        <f>2024-Inventory[[#This Row],[EffYr]]</f>
        <v>37</v>
      </c>
      <c r="Q280" s="25">
        <v>1969</v>
      </c>
      <c r="R280" s="25">
        <v>1987</v>
      </c>
      <c r="S280" s="25">
        <v>1884</v>
      </c>
      <c r="T280" s="27"/>
      <c r="U280" s="31"/>
      <c r="V280" s="31">
        <f>Inventory[[#This Row],[Bsmt]]-Inventory[[#This Row],[FnBsmt]]</f>
        <v>0</v>
      </c>
      <c r="W280" s="31"/>
      <c r="X280" s="27"/>
      <c r="Y280" s="27">
        <f>Inventory[[#This Row],[MainFn]]+Inventory[[#This Row],[UpprFn]]+Inventory[[#This Row],[FnBsmt]]+Inventory[[#This Row],[AddFn]]</f>
        <v>1884</v>
      </c>
      <c r="Z280" s="27">
        <v>2000</v>
      </c>
      <c r="AA280" s="25">
        <v>8</v>
      </c>
      <c r="AB280" s="32">
        <v>600</v>
      </c>
      <c r="AC280" s="27"/>
      <c r="AD280" s="27"/>
      <c r="AE280" s="27"/>
      <c r="AF280" s="27"/>
      <c r="AG280" s="27"/>
      <c r="AH280" s="27"/>
      <c r="AI280" s="25">
        <v>364155</v>
      </c>
      <c r="AJ280" s="25">
        <v>309532</v>
      </c>
      <c r="AK280" s="25">
        <v>0</v>
      </c>
      <c r="AL280" s="25">
        <v>369300</v>
      </c>
      <c r="AM280" s="25">
        <v>74800</v>
      </c>
      <c r="AN280" s="25">
        <v>294500</v>
      </c>
      <c r="AO280" s="25">
        <v>0</v>
      </c>
      <c r="AP280" s="25">
        <f>Lookups!$B$56*0</f>
        <v>0</v>
      </c>
      <c r="AQ280" s="25">
        <f>Lookups!$B$56*1</f>
        <v>89850.625589999996</v>
      </c>
      <c r="AR280" s="25">
        <f>Lookups!$B$57*Inventory[[#This Row],[LnAcres]]</f>
        <v>-36068.354396449467</v>
      </c>
      <c r="AS280" s="25">
        <f>VLOOKUP(Inventory[[#This Row],[Qlty]],Lookups!$A$62:$E$75,2,FALSE)</f>
        <v>29814.093161000001</v>
      </c>
      <c r="AT280" s="25">
        <f>VLOOKUP(Inventory[[#This Row],[Cnd]],Lookups!$A$76:$E$84,2,FALSE)</f>
        <v>197752.34721000001</v>
      </c>
      <c r="AU280" s="25">
        <f>Inventory[[#This Row],[EffAge]]*Lookups!$B$85</f>
        <v>-8252.6872185000011</v>
      </c>
      <c r="AV280" s="25">
        <f>Inventory[[#This Row],[MainFn]]*Lookups!$B$86</f>
        <v>93085.934048267998</v>
      </c>
      <c r="AW280" s="25">
        <f>Inventory[[#This Row],[UpprFn]]*Lookups!$B$87</f>
        <v>0</v>
      </c>
      <c r="AX280" s="25">
        <f>Inventory[[#This Row],[AddFn]]*Lookups!$B$88</f>
        <v>0</v>
      </c>
      <c r="AY280" s="25">
        <f>Inventory[[#This Row],[Bsmt]]*Lookups!$B$89</f>
        <v>0</v>
      </c>
      <c r="AZ280" s="25">
        <f>Inventory[[#This Row],[Fixtures]]*Lookups!$B$90</f>
        <v>30336.176841600001</v>
      </c>
      <c r="BA280" s="25">
        <f>Inventory[[#This Row],[WdDeck]]*Lookups!$B$91</f>
        <v>0</v>
      </c>
      <c r="BB280" s="25">
        <f>ROUND(Inventory[[#This Row],[25Det]],-2)</f>
        <v>0</v>
      </c>
      <c r="BC280" s="25">
        <f>ROUND(SUM(Inventory[[#This Row],[Mdl Qlty]:[Mdl WdDeck]])+Inventory[[#This Row],[Mdl Res Intercept]],-2)</f>
        <v>342700</v>
      </c>
      <c r="BD280" s="25">
        <f>ROUND(Inventory[[#This Row],[Mdl Land Intercept]]+Inventory[[#This Row],[Mdl LnAcres]],-2)</f>
        <v>53800</v>
      </c>
      <c r="BE280" s="25">
        <f>Inventory[[#This Row],[Unadj Res Value]]+Inventory[[#This Row],[Unadj Det Value]]+Inventory[[#This Row],[Unadj Land Value]]</f>
        <v>396500</v>
      </c>
      <c r="BF280" s="36">
        <f>(Inventory[[#This Row],[Unadj Total Value]]-Inventory[[#This Row],[24Final]])/Inventory[[#This Row],[24Final]]</f>
        <v>7.3652856756024912E-2</v>
      </c>
      <c r="BG280" s="25">
        <f>VLOOKUP(Inventory[[#This Row],[Nbhd]],Lookups!$Q$2:$T$4,4,FALSE)</f>
        <v>0.99970000000000003</v>
      </c>
      <c r="BH280" s="25">
        <f>VLOOKUP(Inventory[[#This Row],[Qlty]],Lookups!$O$7:$R$21,4,FALSE)</f>
        <v>1.0088999999999999</v>
      </c>
      <c r="BI280" s="25">
        <f>VLOOKUP(Inventory[[#This Row],[Cnd]],Lookups!$T$7:$W$16,4,FALSE)</f>
        <v>0.99650000000000005</v>
      </c>
      <c r="BJ280" s="25">
        <f>VLOOKUP(Inventory[[#This Row],[LivArea Range]],Lookups!$T$25:$W$37,4,FALSE)</f>
        <v>1.0093000000000001</v>
      </c>
      <c r="BK280" s="25">
        <f>VLOOKUP(Inventory[[#This Row],[Decade]],Lookups!$O$25:$R$42,4,FALSE)</f>
        <v>0.98119999999999996</v>
      </c>
      <c r="BL280" s="25">
        <f>Inventory[[#This Row],[Nbhd Adj]]*0.95</f>
        <v>0.94971499999999998</v>
      </c>
      <c r="BM280" s="25">
        <f>Inventory[[#This Row],[Nbhd Adj]]*Inventory[[#This Row],[Quality Adj]]*Inventory[[#This Row],[Condition Adj]]*Inventory[[#This Row],[Living Area Adj]]*Inventory[[#This Row],[Decade Adj]]*0.95</f>
        <v>0.94557620588434055</v>
      </c>
      <c r="BN280" s="25">
        <f>ROUND(SUM(Inventory[[#This Row],[Mdl Qlty]:[Mdl WdDeck]])+Inventory[[#This Row],[Mdl Res Intercept]]*Inventory[[#This Row],[Res Adj ]],-2)</f>
        <v>342700</v>
      </c>
      <c r="BO280" s="25">
        <f>ROUND(Inventory[[#This Row],[25Det]]*Inventory[[#This Row],[Det/Nbhd Adj]],-2)</f>
        <v>0</v>
      </c>
      <c r="BP280" s="25">
        <f>Inventory[[#This Row],[Adjusted Res]]+Inventory[[#This Row],[Adj Det ]]</f>
        <v>342700</v>
      </c>
      <c r="BQ280" s="25">
        <f>ROUND((Inventory[[#This Row],[Mdl Land Intercept]]+Inventory[[#This Row],[Mdl LnAcres]])*Inventory[[#This Row],[Det/Nbhd Adj]],-2)</f>
        <v>51100</v>
      </c>
      <c r="BR280" s="25">
        <f>Inventory[[#This Row],[Adjusted Impr Total]]+Inventory[[#This Row],[Adjusted Land Total]]</f>
        <v>393800</v>
      </c>
      <c r="BS280" s="36">
        <f>IFERROR((Inventory[[#This Row],[Adjusted Impr Total]]-Inventory[[#This Row],[24Bldg]])/Inventory[[#This Row],[24Bldg]],0)</f>
        <v>0.16366723259762309</v>
      </c>
      <c r="BT280" s="36">
        <f>(Inventory[[#This Row],[Adjusted Land Total]]-Inventory[[#This Row],[24Lnd]])/Inventory[[#This Row],[24Lnd]]</f>
        <v>-0.31684491978609625</v>
      </c>
      <c r="BU280" s="36">
        <f>(Inventory[[#This Row],[Adjusted Total]]-Inventory[[#This Row],[24Final]])/Inventory[[#This Row],[24Final]]</f>
        <v>6.6341727592743024E-2</v>
      </c>
    </row>
    <row r="281" spans="1:73" x14ac:dyDescent="0.3">
      <c r="A281" s="25">
        <v>2025</v>
      </c>
      <c r="B281" s="26" t="s">
        <v>850</v>
      </c>
      <c r="C281" s="26">
        <f>LN(Inventory[[#This Row],[Acres]])</f>
        <v>-1.7147984280919266</v>
      </c>
      <c r="D281" s="25">
        <v>0.18</v>
      </c>
      <c r="E281" s="25">
        <v>8027</v>
      </c>
      <c r="F281" s="26" t="s">
        <v>537</v>
      </c>
      <c r="G281" s="26" t="s">
        <v>126</v>
      </c>
      <c r="H281" s="26" t="s">
        <v>349</v>
      </c>
      <c r="I281" s="26" t="s">
        <v>538</v>
      </c>
      <c r="J281" s="26" t="s">
        <v>539</v>
      </c>
      <c r="K281" s="26" t="s">
        <v>241</v>
      </c>
      <c r="L281" s="26" t="s">
        <v>148</v>
      </c>
      <c r="M281" s="26" t="s">
        <v>206</v>
      </c>
      <c r="N281" s="26">
        <v>60</v>
      </c>
      <c r="O281" s="26">
        <f>2024-Inventory[[#This Row],[YrBlt]]</f>
        <v>55</v>
      </c>
      <c r="P281" s="26">
        <f>2024-Inventory[[#This Row],[EffYr]]</f>
        <v>47</v>
      </c>
      <c r="Q281" s="25">
        <v>1969</v>
      </c>
      <c r="R281" s="25">
        <v>1977</v>
      </c>
      <c r="S281" s="25">
        <v>1720</v>
      </c>
      <c r="T281" s="31"/>
      <c r="U281" s="25">
        <v>1320</v>
      </c>
      <c r="V281" s="25">
        <f>Inventory[[#This Row],[Bsmt]]-Inventory[[#This Row],[FnBsmt]]</f>
        <v>450</v>
      </c>
      <c r="W281" s="25">
        <v>870</v>
      </c>
      <c r="X281" s="27"/>
      <c r="Y281" s="27">
        <f>Inventory[[#This Row],[MainFn]]+Inventory[[#This Row],[UpprFn]]+Inventory[[#This Row],[FnBsmt]]+Inventory[[#This Row],[AddFn]]</f>
        <v>2590</v>
      </c>
      <c r="Z281" s="27">
        <v>3000</v>
      </c>
      <c r="AA281" s="25">
        <v>8</v>
      </c>
      <c r="AB281" s="27"/>
      <c r="AC281" s="27"/>
      <c r="AD281" s="27"/>
      <c r="AE281" s="27"/>
      <c r="AF281" s="27"/>
      <c r="AG281" s="27"/>
      <c r="AH281" s="27"/>
      <c r="AI281" s="25">
        <v>497002</v>
      </c>
      <c r="AJ281" s="25">
        <v>362811</v>
      </c>
      <c r="AK281" s="25">
        <v>0</v>
      </c>
      <c r="AL281" s="25">
        <v>337100</v>
      </c>
      <c r="AM281" s="25">
        <v>54700</v>
      </c>
      <c r="AN281" s="25">
        <v>282400</v>
      </c>
      <c r="AO281" s="25">
        <v>0</v>
      </c>
      <c r="AP281" s="25">
        <f>Lookups!$B$56*0</f>
        <v>0</v>
      </c>
      <c r="AQ281" s="25">
        <f>Lookups!$B$56*1</f>
        <v>89850.625589999996</v>
      </c>
      <c r="AR281" s="25">
        <f>Lookups!$B$57*Inventory[[#This Row],[LnAcres]]</f>
        <v>-54281.285314520763</v>
      </c>
      <c r="AS281" s="25">
        <f>VLOOKUP(Inventory[[#This Row],[Qlty]],Lookups!$A$62:$E$75,2,FALSE)</f>
        <v>44121.038090000002</v>
      </c>
      <c r="AT281" s="25">
        <f>VLOOKUP(Inventory[[#This Row],[Cnd]],Lookups!$A$76:$E$84,2,FALSE)</f>
        <v>133714.53821</v>
      </c>
      <c r="AU281" s="25">
        <f>Inventory[[#This Row],[EffAge]]*Lookups!$B$85</f>
        <v>-10483.143223500001</v>
      </c>
      <c r="AV281" s="25">
        <f>Inventory[[#This Row],[MainFn]]*Lookups!$B$86</f>
        <v>84982.912188440008</v>
      </c>
      <c r="AW281" s="25">
        <f>Inventory[[#This Row],[UpprFn]]*Lookups!$B$87</f>
        <v>0</v>
      </c>
      <c r="AX281" s="25">
        <f>Inventory[[#This Row],[AddFn]]*Lookups!$B$88</f>
        <v>0</v>
      </c>
      <c r="AY281" s="25">
        <f>Inventory[[#This Row],[Bsmt]]*Lookups!$B$89</f>
        <v>38388.101726039997</v>
      </c>
      <c r="AZ281" s="25">
        <f>Inventory[[#This Row],[Fixtures]]*Lookups!$B$90</f>
        <v>30336.176841600001</v>
      </c>
      <c r="BA281" s="25">
        <f>Inventory[[#This Row],[WdDeck]]*Lookups!$B$91</f>
        <v>0</v>
      </c>
      <c r="BB281" s="25">
        <f>ROUND(Inventory[[#This Row],[25Det]],-2)</f>
        <v>0</v>
      </c>
      <c r="BC281" s="25">
        <f>ROUND(SUM(Inventory[[#This Row],[Mdl Qlty]:[Mdl WdDeck]])+Inventory[[#This Row],[Mdl Res Intercept]],-2)</f>
        <v>321100</v>
      </c>
      <c r="BD281" s="25">
        <f>ROUND(Inventory[[#This Row],[Mdl Land Intercept]]+Inventory[[#This Row],[Mdl LnAcres]],-2)</f>
        <v>35600</v>
      </c>
      <c r="BE281" s="25">
        <f>Inventory[[#This Row],[Unadj Res Value]]+Inventory[[#This Row],[Unadj Det Value]]+Inventory[[#This Row],[Unadj Land Value]]</f>
        <v>356700</v>
      </c>
      <c r="BF281" s="36">
        <f>(Inventory[[#This Row],[Unadj Total Value]]-Inventory[[#This Row],[24Final]])/Inventory[[#This Row],[24Final]]</f>
        <v>5.8142984277662416E-2</v>
      </c>
      <c r="BG281" s="25">
        <f>VLOOKUP(Inventory[[#This Row],[Nbhd]],Lookups!$Q$2:$T$4,4,FALSE)</f>
        <v>0.99970000000000003</v>
      </c>
      <c r="BH281" s="25">
        <f>VLOOKUP(Inventory[[#This Row],[Qlty]],Lookups!$O$7:$R$21,4,FALSE)</f>
        <v>0.98050000000000004</v>
      </c>
      <c r="BI281" s="25">
        <f>VLOOKUP(Inventory[[#This Row],[Cnd]],Lookups!$T$7:$W$16,4,FALSE)</f>
        <v>0.99329999999999996</v>
      </c>
      <c r="BJ281" s="25">
        <f>VLOOKUP(Inventory[[#This Row],[LivArea Range]],Lookups!$T$25:$W$37,4,FALSE)</f>
        <v>0.96179999999999999</v>
      </c>
      <c r="BK281" s="25">
        <f>VLOOKUP(Inventory[[#This Row],[Decade]],Lookups!$O$25:$R$42,4,FALSE)</f>
        <v>0.98119999999999996</v>
      </c>
      <c r="BL281" s="25">
        <f>Inventory[[#This Row],[Nbhd Adj]]*0.95</f>
        <v>0.94971499999999998</v>
      </c>
      <c r="BM281" s="25">
        <f>Inventory[[#This Row],[Nbhd Adj]]*Inventory[[#This Row],[Quality Adj]]*Inventory[[#This Row],[Condition Adj]]*Inventory[[#This Row],[Living Area Adj]]*Inventory[[#This Row],[Decade Adj]]*0.95</f>
        <v>0.87289829086464277</v>
      </c>
      <c r="BN281" s="25">
        <f>ROUND(SUM(Inventory[[#This Row],[Mdl Qlty]:[Mdl WdDeck]])+Inventory[[#This Row],[Mdl Res Intercept]]*Inventory[[#This Row],[Res Adj ]],-2)</f>
        <v>321100</v>
      </c>
      <c r="BO281" s="25">
        <f>ROUND(Inventory[[#This Row],[25Det]]*Inventory[[#This Row],[Det/Nbhd Adj]],-2)</f>
        <v>0</v>
      </c>
      <c r="BP281" s="25">
        <f>Inventory[[#This Row],[Adjusted Res]]+Inventory[[#This Row],[Adj Det ]]</f>
        <v>321100</v>
      </c>
      <c r="BQ281" s="25">
        <f>ROUND((Inventory[[#This Row],[Mdl Land Intercept]]+Inventory[[#This Row],[Mdl LnAcres]])*Inventory[[#This Row],[Det/Nbhd Adj]],-2)</f>
        <v>33800</v>
      </c>
      <c r="BR281" s="25">
        <f>Inventory[[#This Row],[Adjusted Impr Total]]+Inventory[[#This Row],[Adjusted Land Total]]</f>
        <v>354900</v>
      </c>
      <c r="BS281" s="36">
        <f>IFERROR((Inventory[[#This Row],[Adjusted Impr Total]]-Inventory[[#This Row],[24Bldg]])/Inventory[[#This Row],[24Bldg]],0)</f>
        <v>0.13703966005665721</v>
      </c>
      <c r="BT281" s="36">
        <f>(Inventory[[#This Row],[Adjusted Land Total]]-Inventory[[#This Row],[24Lnd]])/Inventory[[#This Row],[24Lnd]]</f>
        <v>-0.38208409506398539</v>
      </c>
      <c r="BU281" s="36">
        <f>(Inventory[[#This Row],[Adjusted Total]]-Inventory[[#This Row],[24Final]])/Inventory[[#This Row],[24Final]]</f>
        <v>5.2803322456244438E-2</v>
      </c>
    </row>
    <row r="282" spans="1:73" x14ac:dyDescent="0.3">
      <c r="A282" s="25">
        <v>2025</v>
      </c>
      <c r="B282" s="26" t="s">
        <v>716</v>
      </c>
      <c r="C282" s="26">
        <f>LN(Inventory[[#This Row],[Acres]])</f>
        <v>-2.3025850929940455</v>
      </c>
      <c r="D282" s="25">
        <v>0.1</v>
      </c>
      <c r="E282" s="25">
        <v>4407</v>
      </c>
      <c r="F282" s="26" t="s">
        <v>537</v>
      </c>
      <c r="G282" s="26" t="s">
        <v>126</v>
      </c>
      <c r="H282" s="26" t="s">
        <v>349</v>
      </c>
      <c r="I282" s="26" t="s">
        <v>538</v>
      </c>
      <c r="J282" s="26" t="s">
        <v>586</v>
      </c>
      <c r="K282" s="26" t="s">
        <v>592</v>
      </c>
      <c r="L282" s="26" t="s">
        <v>351</v>
      </c>
      <c r="M282" s="26" t="s">
        <v>303</v>
      </c>
      <c r="N282" s="26">
        <v>60</v>
      </c>
      <c r="O282" s="26">
        <f>2024-Inventory[[#This Row],[YrBlt]]</f>
        <v>56</v>
      </c>
      <c r="P282" s="26">
        <f>2024-Inventory[[#This Row],[EffYr]]</f>
        <v>47</v>
      </c>
      <c r="Q282" s="25">
        <v>1968</v>
      </c>
      <c r="R282" s="25">
        <v>1977</v>
      </c>
      <c r="S282" s="25">
        <v>1252</v>
      </c>
      <c r="T282" s="31"/>
      <c r="U282" s="31"/>
      <c r="V282" s="31">
        <f>Inventory[[#This Row],[Bsmt]]-Inventory[[#This Row],[FnBsmt]]</f>
        <v>0</v>
      </c>
      <c r="W282" s="31"/>
      <c r="X282" s="27"/>
      <c r="Y282" s="27">
        <f>Inventory[[#This Row],[MainFn]]+Inventory[[#This Row],[UpprFn]]+Inventory[[#This Row],[FnBsmt]]+Inventory[[#This Row],[AddFn]]</f>
        <v>1252</v>
      </c>
      <c r="Z282" s="27">
        <v>1500</v>
      </c>
      <c r="AA282" s="25">
        <v>5</v>
      </c>
      <c r="AB282" s="27"/>
      <c r="AC282" s="27"/>
      <c r="AD282" s="27"/>
      <c r="AE282" s="27"/>
      <c r="AF282" s="27"/>
      <c r="AG282" s="27"/>
      <c r="AH282" s="27"/>
      <c r="AI282" s="25">
        <v>211997</v>
      </c>
      <c r="AJ282" s="25">
        <v>158998</v>
      </c>
      <c r="AK282" s="25">
        <v>0</v>
      </c>
      <c r="AL282" s="25">
        <v>202200</v>
      </c>
      <c r="AM282" s="25">
        <v>42600</v>
      </c>
      <c r="AN282" s="25">
        <v>159600</v>
      </c>
      <c r="AO282" s="25">
        <v>0</v>
      </c>
      <c r="AP282" s="25">
        <f>Lookups!$B$56*0</f>
        <v>0</v>
      </c>
      <c r="AQ282" s="25">
        <f>Lookups!$B$56*1</f>
        <v>89850.625589999996</v>
      </c>
      <c r="AR282" s="25">
        <f>Lookups!$B$57*Inventory[[#This Row],[LnAcres]]</f>
        <v>-72887.446329681261</v>
      </c>
      <c r="AS282" s="25">
        <f>VLOOKUP(Inventory[[#This Row],[Qlty]],Lookups!$A$62:$E$75,2,FALSE)</f>
        <v>21557.329055999999</v>
      </c>
      <c r="AT282" s="25">
        <f>VLOOKUP(Inventory[[#This Row],[Cnd]],Lookups!$A$76:$E$84,2,FALSE)</f>
        <v>197752.34721000001</v>
      </c>
      <c r="AU282" s="25">
        <f>Inventory[[#This Row],[EffAge]]*Lookups!$B$85</f>
        <v>-10483.143223500001</v>
      </c>
      <c r="AV282" s="25">
        <f>Inventory[[#This Row],[MainFn]]*Lookups!$B$86</f>
        <v>61859.654686004003</v>
      </c>
      <c r="AW282" s="25">
        <f>Inventory[[#This Row],[UpprFn]]*Lookups!$B$87</f>
        <v>0</v>
      </c>
      <c r="AX282" s="25">
        <f>Inventory[[#This Row],[AddFn]]*Lookups!$B$88</f>
        <v>0</v>
      </c>
      <c r="AY282" s="25">
        <f>Inventory[[#This Row],[Bsmt]]*Lookups!$B$89</f>
        <v>0</v>
      </c>
      <c r="AZ282" s="25">
        <f>Inventory[[#This Row],[Fixtures]]*Lookups!$B$90</f>
        <v>18960.110526</v>
      </c>
      <c r="BA282" s="25">
        <f>Inventory[[#This Row],[WdDeck]]*Lookups!$B$91</f>
        <v>0</v>
      </c>
      <c r="BB282" s="25">
        <f>ROUND(Inventory[[#This Row],[25Det]],-2)</f>
        <v>0</v>
      </c>
      <c r="BC282" s="25">
        <f>ROUND(SUM(Inventory[[#This Row],[Mdl Qlty]:[Mdl WdDeck]])+Inventory[[#This Row],[Mdl Res Intercept]],-2)</f>
        <v>289600</v>
      </c>
      <c r="BD282" s="25">
        <f>ROUND(Inventory[[#This Row],[Mdl Land Intercept]]+Inventory[[#This Row],[Mdl LnAcres]],-2)</f>
        <v>17000</v>
      </c>
      <c r="BE282" s="25">
        <f>Inventory[[#This Row],[Unadj Res Value]]+Inventory[[#This Row],[Unadj Det Value]]+Inventory[[#This Row],[Unadj Land Value]]</f>
        <v>306600</v>
      </c>
      <c r="BF282" s="36">
        <f>(Inventory[[#This Row],[Unadj Total Value]]-Inventory[[#This Row],[24Final]])/Inventory[[#This Row],[24Final]]</f>
        <v>0.51632047477744802</v>
      </c>
      <c r="BG282" s="25">
        <f>VLOOKUP(Inventory[[#This Row],[Nbhd]],Lookups!$Q$2:$T$4,4,FALSE)</f>
        <v>0.99970000000000003</v>
      </c>
      <c r="BH282" s="25">
        <f>VLOOKUP(Inventory[[#This Row],[Qlty]],Lookups!$O$7:$R$21,4,FALSE)</f>
        <v>1.0067999999999999</v>
      </c>
      <c r="BI282" s="25">
        <f>VLOOKUP(Inventory[[#This Row],[Cnd]],Lookups!$T$7:$W$16,4,FALSE)</f>
        <v>0.99650000000000005</v>
      </c>
      <c r="BJ282" s="25">
        <f>VLOOKUP(Inventory[[#This Row],[LivArea Range]],Lookups!$T$25:$W$37,4,FALSE)</f>
        <v>1.0157</v>
      </c>
      <c r="BK282" s="25">
        <f>VLOOKUP(Inventory[[#This Row],[Decade]],Lookups!$O$25:$R$42,4,FALSE)</f>
        <v>0.98119999999999996</v>
      </c>
      <c r="BL282" s="25">
        <f>Inventory[[#This Row],[Nbhd Adj]]*0.95</f>
        <v>0.94971499999999998</v>
      </c>
      <c r="BM282" s="25">
        <f>Inventory[[#This Row],[Nbhd Adj]]*Inventory[[#This Row],[Quality Adj]]*Inventory[[#This Row],[Condition Adj]]*Inventory[[#This Row],[Living Area Adj]]*Inventory[[#This Row],[Decade Adj]]*0.95</f>
        <v>0.9495914580116861</v>
      </c>
      <c r="BN282" s="25">
        <f>ROUND(SUM(Inventory[[#This Row],[Mdl Qlty]:[Mdl WdDeck]])+Inventory[[#This Row],[Mdl Res Intercept]]*Inventory[[#This Row],[Res Adj ]],-2)</f>
        <v>289600</v>
      </c>
      <c r="BO282" s="25">
        <f>ROUND(Inventory[[#This Row],[25Det]]*Inventory[[#This Row],[Det/Nbhd Adj]],-2)</f>
        <v>0</v>
      </c>
      <c r="BP282" s="25">
        <f>Inventory[[#This Row],[Adjusted Res]]+Inventory[[#This Row],[Adj Det ]]</f>
        <v>289600</v>
      </c>
      <c r="BQ282" s="25">
        <f>ROUND((Inventory[[#This Row],[Mdl Land Intercept]]+Inventory[[#This Row],[Mdl LnAcres]])*Inventory[[#This Row],[Det/Nbhd Adj]],-2)</f>
        <v>16100</v>
      </c>
      <c r="BR282" s="25">
        <f>Inventory[[#This Row],[Adjusted Impr Total]]+Inventory[[#This Row],[Adjusted Land Total]]</f>
        <v>305700</v>
      </c>
      <c r="BS282" s="36">
        <f>IFERROR((Inventory[[#This Row],[Adjusted Impr Total]]-Inventory[[#This Row],[24Bldg]])/Inventory[[#This Row],[24Bldg]],0)</f>
        <v>0.81453634085213034</v>
      </c>
      <c r="BT282" s="36">
        <f>(Inventory[[#This Row],[Adjusted Land Total]]-Inventory[[#This Row],[24Lnd]])/Inventory[[#This Row],[24Lnd]]</f>
        <v>-0.6220657276995305</v>
      </c>
      <c r="BU282" s="36">
        <f>(Inventory[[#This Row],[Adjusted Total]]-Inventory[[#This Row],[24Final]])/Inventory[[#This Row],[24Final]]</f>
        <v>0.51186943620178038</v>
      </c>
    </row>
    <row r="283" spans="1:73" x14ac:dyDescent="0.3">
      <c r="A283" s="25">
        <v>2025</v>
      </c>
      <c r="B283" s="26" t="s">
        <v>717</v>
      </c>
      <c r="C283" s="26">
        <f>LN(Inventory[[#This Row],[Acres]])</f>
        <v>-2.5257286443082556</v>
      </c>
      <c r="D283" s="25">
        <v>0.08</v>
      </c>
      <c r="E283" s="25">
        <v>3651</v>
      </c>
      <c r="F283" s="26" t="s">
        <v>537</v>
      </c>
      <c r="G283" s="26" t="s">
        <v>126</v>
      </c>
      <c r="H283" s="26" t="s">
        <v>349</v>
      </c>
      <c r="I283" s="26" t="s">
        <v>538</v>
      </c>
      <c r="J283" s="26" t="s">
        <v>586</v>
      </c>
      <c r="K283" s="26" t="s">
        <v>592</v>
      </c>
      <c r="L283" s="26" t="s">
        <v>351</v>
      </c>
      <c r="M283" s="26" t="s">
        <v>303</v>
      </c>
      <c r="N283" s="26">
        <v>60</v>
      </c>
      <c r="O283" s="26">
        <f>2024-Inventory[[#This Row],[YrBlt]]</f>
        <v>56</v>
      </c>
      <c r="P283" s="26">
        <f>2024-Inventory[[#This Row],[EffYr]]</f>
        <v>47</v>
      </c>
      <c r="Q283" s="25">
        <v>1968</v>
      </c>
      <c r="R283" s="25">
        <v>1977</v>
      </c>
      <c r="S283" s="25">
        <v>1354</v>
      </c>
      <c r="T283" s="27"/>
      <c r="U283" s="31"/>
      <c r="V283" s="31">
        <f>Inventory[[#This Row],[Bsmt]]-Inventory[[#This Row],[FnBsmt]]</f>
        <v>0</v>
      </c>
      <c r="W283" s="31"/>
      <c r="X283" s="27"/>
      <c r="Y283" s="27">
        <f>Inventory[[#This Row],[MainFn]]+Inventory[[#This Row],[UpprFn]]+Inventory[[#This Row],[FnBsmt]]+Inventory[[#This Row],[AddFn]]</f>
        <v>1354</v>
      </c>
      <c r="Z283" s="27">
        <v>1500</v>
      </c>
      <c r="AA283" s="25">
        <v>7</v>
      </c>
      <c r="AB283" s="27"/>
      <c r="AC283" s="31"/>
      <c r="AD283" s="31"/>
      <c r="AE283" s="27"/>
      <c r="AF283" s="27"/>
      <c r="AG283" s="27"/>
      <c r="AH283" s="27"/>
      <c r="AI283" s="25">
        <v>223779</v>
      </c>
      <c r="AJ283" s="25">
        <v>167834</v>
      </c>
      <c r="AK283" s="25">
        <v>0</v>
      </c>
      <c r="AL283" s="25">
        <v>209600</v>
      </c>
      <c r="AM283" s="25">
        <v>41200</v>
      </c>
      <c r="AN283" s="25">
        <v>168400</v>
      </c>
      <c r="AO283" s="25">
        <v>0</v>
      </c>
      <c r="AP283" s="25">
        <f>Lookups!$B$56*0</f>
        <v>0</v>
      </c>
      <c r="AQ283" s="25">
        <f>Lookups!$B$56*1</f>
        <v>89850.625589999996</v>
      </c>
      <c r="AR283" s="25">
        <f>Lookups!$B$57*Inventory[[#This Row],[LnAcres]]</f>
        <v>-79950.969701614697</v>
      </c>
      <c r="AS283" s="25">
        <f>VLOOKUP(Inventory[[#This Row],[Qlty]],Lookups!$A$62:$E$75,2,FALSE)</f>
        <v>21557.329055999999</v>
      </c>
      <c r="AT283" s="25">
        <f>VLOOKUP(Inventory[[#This Row],[Cnd]],Lookups!$A$76:$E$84,2,FALSE)</f>
        <v>197752.34721000001</v>
      </c>
      <c r="AU283" s="25">
        <f>Inventory[[#This Row],[EffAge]]*Lookups!$B$85</f>
        <v>-10483.143223500001</v>
      </c>
      <c r="AV283" s="25">
        <f>Inventory[[#This Row],[MainFn]]*Lookups!$B$86</f>
        <v>66899.339013457997</v>
      </c>
      <c r="AW283" s="25">
        <f>Inventory[[#This Row],[UpprFn]]*Lookups!$B$87</f>
        <v>0</v>
      </c>
      <c r="AX283" s="25">
        <f>Inventory[[#This Row],[AddFn]]*Lookups!$B$88</f>
        <v>0</v>
      </c>
      <c r="AY283" s="25">
        <f>Inventory[[#This Row],[Bsmt]]*Lookups!$B$89</f>
        <v>0</v>
      </c>
      <c r="AZ283" s="25">
        <f>Inventory[[#This Row],[Fixtures]]*Lookups!$B$90</f>
        <v>26544.1547364</v>
      </c>
      <c r="BA283" s="25">
        <f>Inventory[[#This Row],[WdDeck]]*Lookups!$B$91</f>
        <v>0</v>
      </c>
      <c r="BB283" s="25">
        <f>ROUND(Inventory[[#This Row],[25Det]],-2)</f>
        <v>0</v>
      </c>
      <c r="BC283" s="25">
        <f>ROUND(SUM(Inventory[[#This Row],[Mdl Qlty]:[Mdl WdDeck]])+Inventory[[#This Row],[Mdl Res Intercept]],-2)</f>
        <v>302300</v>
      </c>
      <c r="BD283" s="25">
        <f>ROUND(Inventory[[#This Row],[Mdl Land Intercept]]+Inventory[[#This Row],[Mdl LnAcres]],-2)</f>
        <v>9900</v>
      </c>
      <c r="BE283" s="25">
        <f>Inventory[[#This Row],[Unadj Res Value]]+Inventory[[#This Row],[Unadj Det Value]]+Inventory[[#This Row],[Unadj Land Value]]</f>
        <v>312200</v>
      </c>
      <c r="BF283" s="36">
        <f>(Inventory[[#This Row],[Unadj Total Value]]-Inventory[[#This Row],[24Final]])/Inventory[[#This Row],[24Final]]</f>
        <v>0.48950381679389315</v>
      </c>
      <c r="BG283" s="25">
        <f>VLOOKUP(Inventory[[#This Row],[Nbhd]],Lookups!$Q$2:$T$4,4,FALSE)</f>
        <v>0.99970000000000003</v>
      </c>
      <c r="BH283" s="25">
        <f>VLOOKUP(Inventory[[#This Row],[Qlty]],Lookups!$O$7:$R$21,4,FALSE)</f>
        <v>1.0067999999999999</v>
      </c>
      <c r="BI283" s="25">
        <f>VLOOKUP(Inventory[[#This Row],[Cnd]],Lookups!$T$7:$W$16,4,FALSE)</f>
        <v>0.99650000000000005</v>
      </c>
      <c r="BJ283" s="25">
        <f>VLOOKUP(Inventory[[#This Row],[LivArea Range]],Lookups!$T$25:$W$37,4,FALSE)</f>
        <v>1.0157</v>
      </c>
      <c r="BK283" s="25">
        <f>VLOOKUP(Inventory[[#This Row],[Decade]],Lookups!$O$25:$R$42,4,FALSE)</f>
        <v>0.98119999999999996</v>
      </c>
      <c r="BL283" s="25">
        <f>Inventory[[#This Row],[Nbhd Adj]]*0.95</f>
        <v>0.94971499999999998</v>
      </c>
      <c r="BM283" s="25">
        <f>Inventory[[#This Row],[Nbhd Adj]]*Inventory[[#This Row],[Quality Adj]]*Inventory[[#This Row],[Condition Adj]]*Inventory[[#This Row],[Living Area Adj]]*Inventory[[#This Row],[Decade Adj]]*0.95</f>
        <v>0.9495914580116861</v>
      </c>
      <c r="BN283" s="25">
        <f>ROUND(SUM(Inventory[[#This Row],[Mdl Qlty]:[Mdl WdDeck]])+Inventory[[#This Row],[Mdl Res Intercept]]*Inventory[[#This Row],[Res Adj ]],-2)</f>
        <v>302300</v>
      </c>
      <c r="BO283" s="25">
        <f>ROUND(Inventory[[#This Row],[25Det]]*Inventory[[#This Row],[Det/Nbhd Adj]],-2)</f>
        <v>0</v>
      </c>
      <c r="BP283" s="25">
        <f>Inventory[[#This Row],[Adjusted Res]]+Inventory[[#This Row],[Adj Det ]]</f>
        <v>302300</v>
      </c>
      <c r="BQ283" s="25">
        <f>ROUND((Inventory[[#This Row],[Mdl Land Intercept]]+Inventory[[#This Row],[Mdl LnAcres]])*Inventory[[#This Row],[Det/Nbhd Adj]],-2)</f>
        <v>9400</v>
      </c>
      <c r="BR283" s="25">
        <f>Inventory[[#This Row],[Adjusted Impr Total]]+Inventory[[#This Row],[Adjusted Land Total]]</f>
        <v>311700</v>
      </c>
      <c r="BS283" s="36">
        <f>IFERROR((Inventory[[#This Row],[Adjusted Impr Total]]-Inventory[[#This Row],[24Bldg]])/Inventory[[#This Row],[24Bldg]],0)</f>
        <v>0.79513064133016631</v>
      </c>
      <c r="BT283" s="36">
        <f>(Inventory[[#This Row],[Adjusted Land Total]]-Inventory[[#This Row],[24Lnd]])/Inventory[[#This Row],[24Lnd]]</f>
        <v>-0.77184466019417475</v>
      </c>
      <c r="BU283" s="36">
        <f>(Inventory[[#This Row],[Adjusted Total]]-Inventory[[#This Row],[24Final]])/Inventory[[#This Row],[24Final]]</f>
        <v>0.48711832061068705</v>
      </c>
    </row>
    <row r="284" spans="1:73" x14ac:dyDescent="0.3">
      <c r="A284" s="25">
        <v>2025</v>
      </c>
      <c r="B284" s="26" t="s">
        <v>649</v>
      </c>
      <c r="C284" s="26">
        <f>LN(Inventory[[#This Row],[Acres]])</f>
        <v>-1.7147984280919266</v>
      </c>
      <c r="D284" s="25">
        <v>0.18</v>
      </c>
      <c r="E284" s="25">
        <v>7898</v>
      </c>
      <c r="F284" s="26" t="s">
        <v>537</v>
      </c>
      <c r="G284" s="26" t="s">
        <v>126</v>
      </c>
      <c r="H284" s="26" t="s">
        <v>349</v>
      </c>
      <c r="I284" s="26" t="s">
        <v>538</v>
      </c>
      <c r="J284" s="26" t="s">
        <v>586</v>
      </c>
      <c r="K284" s="26" t="s">
        <v>592</v>
      </c>
      <c r="L284" s="26" t="s">
        <v>148</v>
      </c>
      <c r="M284" s="26" t="s">
        <v>323</v>
      </c>
      <c r="N284" s="26">
        <v>60</v>
      </c>
      <c r="O284" s="26">
        <f>2024-Inventory[[#This Row],[YrBlt]]</f>
        <v>56</v>
      </c>
      <c r="P284" s="26">
        <f>2024-Inventory[[#This Row],[EffYr]]</f>
        <v>47</v>
      </c>
      <c r="Q284" s="25">
        <v>1968</v>
      </c>
      <c r="R284" s="25">
        <v>1977</v>
      </c>
      <c r="S284" s="25">
        <v>1656</v>
      </c>
      <c r="T284" s="27"/>
      <c r="U284" s="31"/>
      <c r="V284" s="27">
        <f>Inventory[[#This Row],[Bsmt]]-Inventory[[#This Row],[FnBsmt]]</f>
        <v>0</v>
      </c>
      <c r="W284" s="27"/>
      <c r="X284" s="27"/>
      <c r="Y284" s="27">
        <f>Inventory[[#This Row],[MainFn]]+Inventory[[#This Row],[UpprFn]]+Inventory[[#This Row],[FnBsmt]]+Inventory[[#This Row],[AddFn]]</f>
        <v>1656</v>
      </c>
      <c r="Z284" s="27">
        <v>2000</v>
      </c>
      <c r="AA284" s="25">
        <v>8</v>
      </c>
      <c r="AB284" s="32">
        <v>600</v>
      </c>
      <c r="AC284" s="27"/>
      <c r="AD284" s="27"/>
      <c r="AE284" s="27"/>
      <c r="AF284" s="27"/>
      <c r="AG284" s="27"/>
      <c r="AH284" s="27"/>
      <c r="AI284" s="25">
        <v>407501</v>
      </c>
      <c r="AJ284" s="25">
        <v>301551</v>
      </c>
      <c r="AK284" s="25">
        <v>0</v>
      </c>
      <c r="AL284" s="25">
        <v>280200</v>
      </c>
      <c r="AM284" s="25">
        <v>47700</v>
      </c>
      <c r="AN284" s="25">
        <v>232500</v>
      </c>
      <c r="AO284" s="25">
        <v>0</v>
      </c>
      <c r="AP284" s="25">
        <f>Lookups!$B$56*0</f>
        <v>0</v>
      </c>
      <c r="AQ284" s="25">
        <f>Lookups!$B$56*1</f>
        <v>89850.625589999996</v>
      </c>
      <c r="AR284" s="25">
        <f>Lookups!$B$57*Inventory[[#This Row],[LnAcres]]</f>
        <v>-54281.285314520763</v>
      </c>
      <c r="AS284" s="25">
        <f>VLOOKUP(Inventory[[#This Row],[Qlty]],Lookups!$A$62:$E$75,2,FALSE)</f>
        <v>44121.038090000002</v>
      </c>
      <c r="AT284" s="25">
        <f>VLOOKUP(Inventory[[#This Row],[Cnd]],Lookups!$A$76:$E$84,2,FALSE)</f>
        <v>160472.20319</v>
      </c>
      <c r="AU284" s="25">
        <f>Inventory[[#This Row],[EffAge]]*Lookups!$B$85</f>
        <v>-10483.143223500001</v>
      </c>
      <c r="AV284" s="25">
        <f>Inventory[[#This Row],[MainFn]]*Lookups!$B$86</f>
        <v>81820.757316311996</v>
      </c>
      <c r="AW284" s="25">
        <f>Inventory[[#This Row],[UpprFn]]*Lookups!$B$87</f>
        <v>0</v>
      </c>
      <c r="AX284" s="25">
        <f>Inventory[[#This Row],[AddFn]]*Lookups!$B$88</f>
        <v>0</v>
      </c>
      <c r="AY284" s="25">
        <f>Inventory[[#This Row],[Bsmt]]*Lookups!$B$89</f>
        <v>0</v>
      </c>
      <c r="AZ284" s="25">
        <f>Inventory[[#This Row],[Fixtures]]*Lookups!$B$90</f>
        <v>30336.176841600001</v>
      </c>
      <c r="BA284" s="25">
        <f>Inventory[[#This Row],[WdDeck]]*Lookups!$B$91</f>
        <v>0</v>
      </c>
      <c r="BB284" s="25">
        <f>ROUND(Inventory[[#This Row],[25Det]],-2)</f>
        <v>0</v>
      </c>
      <c r="BC284" s="25">
        <f>ROUND(SUM(Inventory[[#This Row],[Mdl Qlty]:[Mdl WdDeck]])+Inventory[[#This Row],[Mdl Res Intercept]],-2)</f>
        <v>306300</v>
      </c>
      <c r="BD284" s="25">
        <f>ROUND(Inventory[[#This Row],[Mdl Land Intercept]]+Inventory[[#This Row],[Mdl LnAcres]],-2)</f>
        <v>35600</v>
      </c>
      <c r="BE284" s="25">
        <f>Inventory[[#This Row],[Unadj Res Value]]+Inventory[[#This Row],[Unadj Det Value]]+Inventory[[#This Row],[Unadj Land Value]]</f>
        <v>341900</v>
      </c>
      <c r="BF284" s="36">
        <f>(Inventory[[#This Row],[Unadj Total Value]]-Inventory[[#This Row],[24Final]])/Inventory[[#This Row],[24Final]]</f>
        <v>0.22019985724482513</v>
      </c>
      <c r="BG284" s="25">
        <f>VLOOKUP(Inventory[[#This Row],[Nbhd]],Lookups!$Q$2:$T$4,4,FALSE)</f>
        <v>0.99970000000000003</v>
      </c>
      <c r="BH284" s="25">
        <f>VLOOKUP(Inventory[[#This Row],[Qlty]],Lookups!$O$7:$R$21,4,FALSE)</f>
        <v>0.98050000000000004</v>
      </c>
      <c r="BI284" s="25">
        <f>VLOOKUP(Inventory[[#This Row],[Cnd]],Lookups!$T$7:$W$16,4,FALSE)</f>
        <v>0.99729999999999996</v>
      </c>
      <c r="BJ284" s="25">
        <f>VLOOKUP(Inventory[[#This Row],[LivArea Range]],Lookups!$T$25:$W$37,4,FALSE)</f>
        <v>1.0093000000000001</v>
      </c>
      <c r="BK284" s="25">
        <f>VLOOKUP(Inventory[[#This Row],[Decade]],Lookups!$O$25:$R$42,4,FALSE)</f>
        <v>0.98119999999999996</v>
      </c>
      <c r="BL284" s="25">
        <f>Inventory[[#This Row],[Nbhd Adj]]*0.95</f>
        <v>0.94971499999999998</v>
      </c>
      <c r="BM284" s="25">
        <f>Inventory[[#This Row],[Nbhd Adj]]*Inventory[[#This Row],[Quality Adj]]*Inventory[[#This Row],[Condition Adj]]*Inventory[[#This Row],[Living Area Adj]]*Inventory[[#This Row],[Decade Adj]]*0.95</f>
        <v>0.91969648622090105</v>
      </c>
      <c r="BN284" s="25">
        <f>ROUND(SUM(Inventory[[#This Row],[Mdl Qlty]:[Mdl WdDeck]])+Inventory[[#This Row],[Mdl Res Intercept]]*Inventory[[#This Row],[Res Adj ]],-2)</f>
        <v>306300</v>
      </c>
      <c r="BO284" s="25">
        <f>ROUND(Inventory[[#This Row],[25Det]]*Inventory[[#This Row],[Det/Nbhd Adj]],-2)</f>
        <v>0</v>
      </c>
      <c r="BP284" s="25">
        <f>Inventory[[#This Row],[Adjusted Res]]+Inventory[[#This Row],[Adj Det ]]</f>
        <v>306300</v>
      </c>
      <c r="BQ284" s="25">
        <f>ROUND((Inventory[[#This Row],[Mdl Land Intercept]]+Inventory[[#This Row],[Mdl LnAcres]])*Inventory[[#This Row],[Det/Nbhd Adj]],-2)</f>
        <v>33800</v>
      </c>
      <c r="BR284" s="25">
        <f>Inventory[[#This Row],[Adjusted Impr Total]]+Inventory[[#This Row],[Adjusted Land Total]]</f>
        <v>340100</v>
      </c>
      <c r="BS284" s="36">
        <f>IFERROR((Inventory[[#This Row],[Adjusted Impr Total]]-Inventory[[#This Row],[24Bldg]])/Inventory[[#This Row],[24Bldg]],0)</f>
        <v>0.3174193548387097</v>
      </c>
      <c r="BT284" s="36">
        <f>(Inventory[[#This Row],[Adjusted Land Total]]-Inventory[[#This Row],[24Lnd]])/Inventory[[#This Row],[24Lnd]]</f>
        <v>-0.29140461215932911</v>
      </c>
      <c r="BU284" s="36">
        <f>(Inventory[[#This Row],[Adjusted Total]]-Inventory[[#This Row],[24Final]])/Inventory[[#This Row],[24Final]]</f>
        <v>0.21377587437544612</v>
      </c>
    </row>
    <row r="285" spans="1:73" x14ac:dyDescent="0.3">
      <c r="A285" s="25">
        <v>2025</v>
      </c>
      <c r="B285" s="26" t="s">
        <v>715</v>
      </c>
      <c r="C285" s="26">
        <f>LN(Inventory[[#This Row],[Acres]])</f>
        <v>-1.6607312068216509</v>
      </c>
      <c r="D285" s="25">
        <v>0.19</v>
      </c>
      <c r="E285" s="25">
        <v>8314</v>
      </c>
      <c r="F285" s="26" t="s">
        <v>537</v>
      </c>
      <c r="G285" s="26" t="s">
        <v>126</v>
      </c>
      <c r="H285" s="26" t="s">
        <v>349</v>
      </c>
      <c r="I285" s="26" t="s">
        <v>538</v>
      </c>
      <c r="J285" s="26" t="s">
        <v>586</v>
      </c>
      <c r="K285" s="26" t="s">
        <v>592</v>
      </c>
      <c r="L285" s="26" t="s">
        <v>148</v>
      </c>
      <c r="M285" s="26" t="s">
        <v>323</v>
      </c>
      <c r="N285" s="26">
        <v>60</v>
      </c>
      <c r="O285" s="26">
        <f>2024-Inventory[[#This Row],[YrBlt]]</f>
        <v>56</v>
      </c>
      <c r="P285" s="26">
        <f>2024-Inventory[[#This Row],[EffYr]]</f>
        <v>47</v>
      </c>
      <c r="Q285" s="25">
        <v>1968</v>
      </c>
      <c r="R285" s="25">
        <v>1977</v>
      </c>
      <c r="S285" s="25">
        <v>1574</v>
      </c>
      <c r="T285" s="31"/>
      <c r="U285" s="31"/>
      <c r="V285" s="31">
        <f>Inventory[[#This Row],[Bsmt]]-Inventory[[#This Row],[FnBsmt]]</f>
        <v>0</v>
      </c>
      <c r="W285" s="31"/>
      <c r="X285" s="27"/>
      <c r="Y285" s="27">
        <f>Inventory[[#This Row],[MainFn]]+Inventory[[#This Row],[UpprFn]]+Inventory[[#This Row],[FnBsmt]]+Inventory[[#This Row],[AddFn]]</f>
        <v>1574</v>
      </c>
      <c r="Z285" s="27">
        <v>2000</v>
      </c>
      <c r="AA285" s="25">
        <v>8</v>
      </c>
      <c r="AB285" s="32">
        <v>600</v>
      </c>
      <c r="AC285" s="27"/>
      <c r="AD285" s="27"/>
      <c r="AE285" s="27"/>
      <c r="AF285" s="27"/>
      <c r="AG285" s="27"/>
      <c r="AH285" s="27"/>
      <c r="AI285" s="25">
        <v>397666</v>
      </c>
      <c r="AJ285" s="25">
        <v>294273</v>
      </c>
      <c r="AK285" s="25">
        <v>0</v>
      </c>
      <c r="AL285" s="25">
        <v>293100</v>
      </c>
      <c r="AM285" s="25">
        <v>48300</v>
      </c>
      <c r="AN285" s="25">
        <v>244800</v>
      </c>
      <c r="AO285" s="25">
        <v>0</v>
      </c>
      <c r="AP285" s="25">
        <f>Lookups!$B$56*0</f>
        <v>0</v>
      </c>
      <c r="AQ285" s="25">
        <f>Lookups!$B$56*1</f>
        <v>89850.625589999996</v>
      </c>
      <c r="AR285" s="25">
        <f>Lookups!$B$57*Inventory[[#This Row],[LnAcres]]</f>
        <v>-52569.808201026557</v>
      </c>
      <c r="AS285" s="25">
        <f>VLOOKUP(Inventory[[#This Row],[Qlty]],Lookups!$A$62:$E$75,2,FALSE)</f>
        <v>44121.038090000002</v>
      </c>
      <c r="AT285" s="25">
        <f>VLOOKUP(Inventory[[#This Row],[Cnd]],Lookups!$A$76:$E$84,2,FALSE)</f>
        <v>160472.20319</v>
      </c>
      <c r="AU285" s="25">
        <f>Inventory[[#This Row],[EffAge]]*Lookups!$B$85</f>
        <v>-10483.143223500001</v>
      </c>
      <c r="AV285" s="25">
        <f>Inventory[[#This Row],[MainFn]]*Lookups!$B$86</f>
        <v>77769.246386398008</v>
      </c>
      <c r="AW285" s="25">
        <f>Inventory[[#This Row],[UpprFn]]*Lookups!$B$87</f>
        <v>0</v>
      </c>
      <c r="AX285" s="25">
        <f>Inventory[[#This Row],[AddFn]]*Lookups!$B$88</f>
        <v>0</v>
      </c>
      <c r="AY285" s="25">
        <f>Inventory[[#This Row],[Bsmt]]*Lookups!$B$89</f>
        <v>0</v>
      </c>
      <c r="AZ285" s="25">
        <f>Inventory[[#This Row],[Fixtures]]*Lookups!$B$90</f>
        <v>30336.176841600001</v>
      </c>
      <c r="BA285" s="25">
        <f>Inventory[[#This Row],[WdDeck]]*Lookups!$B$91</f>
        <v>0</v>
      </c>
      <c r="BB285" s="25">
        <f>ROUND(Inventory[[#This Row],[25Det]],-2)</f>
        <v>0</v>
      </c>
      <c r="BC285" s="25">
        <f>ROUND(SUM(Inventory[[#This Row],[Mdl Qlty]:[Mdl WdDeck]])+Inventory[[#This Row],[Mdl Res Intercept]],-2)</f>
        <v>302200</v>
      </c>
      <c r="BD285" s="25">
        <f>ROUND(Inventory[[#This Row],[Mdl Land Intercept]]+Inventory[[#This Row],[Mdl LnAcres]],-2)</f>
        <v>37300</v>
      </c>
      <c r="BE285" s="25">
        <f>Inventory[[#This Row],[Unadj Res Value]]+Inventory[[#This Row],[Unadj Det Value]]+Inventory[[#This Row],[Unadj Land Value]]</f>
        <v>339500</v>
      </c>
      <c r="BF285" s="36">
        <f>(Inventory[[#This Row],[Unadj Total Value]]-Inventory[[#This Row],[24Final]])/Inventory[[#This Row],[24Final]]</f>
        <v>0.15830774479699761</v>
      </c>
      <c r="BG285" s="25">
        <f>VLOOKUP(Inventory[[#This Row],[Nbhd]],Lookups!$Q$2:$T$4,4,FALSE)</f>
        <v>0.99970000000000003</v>
      </c>
      <c r="BH285" s="25">
        <f>VLOOKUP(Inventory[[#This Row],[Qlty]],Lookups!$O$7:$R$21,4,FALSE)</f>
        <v>0.98050000000000004</v>
      </c>
      <c r="BI285" s="25">
        <f>VLOOKUP(Inventory[[#This Row],[Cnd]],Lookups!$T$7:$W$16,4,FALSE)</f>
        <v>0.99729999999999996</v>
      </c>
      <c r="BJ285" s="25">
        <f>VLOOKUP(Inventory[[#This Row],[LivArea Range]],Lookups!$T$25:$W$37,4,FALSE)</f>
        <v>1.0093000000000001</v>
      </c>
      <c r="BK285" s="25">
        <f>VLOOKUP(Inventory[[#This Row],[Decade]],Lookups!$O$25:$R$42,4,FALSE)</f>
        <v>0.98119999999999996</v>
      </c>
      <c r="BL285" s="25">
        <f>Inventory[[#This Row],[Nbhd Adj]]*0.95</f>
        <v>0.94971499999999998</v>
      </c>
      <c r="BM285" s="25">
        <f>Inventory[[#This Row],[Nbhd Adj]]*Inventory[[#This Row],[Quality Adj]]*Inventory[[#This Row],[Condition Adj]]*Inventory[[#This Row],[Living Area Adj]]*Inventory[[#This Row],[Decade Adj]]*0.95</f>
        <v>0.91969648622090105</v>
      </c>
      <c r="BN285" s="25">
        <f>ROUND(SUM(Inventory[[#This Row],[Mdl Qlty]:[Mdl WdDeck]])+Inventory[[#This Row],[Mdl Res Intercept]]*Inventory[[#This Row],[Res Adj ]],-2)</f>
        <v>302200</v>
      </c>
      <c r="BO285" s="25">
        <f>ROUND(Inventory[[#This Row],[25Det]]*Inventory[[#This Row],[Det/Nbhd Adj]],-2)</f>
        <v>0</v>
      </c>
      <c r="BP285" s="25">
        <f>Inventory[[#This Row],[Adjusted Res]]+Inventory[[#This Row],[Adj Det ]]</f>
        <v>302200</v>
      </c>
      <c r="BQ285" s="25">
        <f>ROUND((Inventory[[#This Row],[Mdl Land Intercept]]+Inventory[[#This Row],[Mdl LnAcres]])*Inventory[[#This Row],[Det/Nbhd Adj]],-2)</f>
        <v>35400</v>
      </c>
      <c r="BR285" s="25">
        <f>Inventory[[#This Row],[Adjusted Impr Total]]+Inventory[[#This Row],[Adjusted Land Total]]</f>
        <v>337600</v>
      </c>
      <c r="BS285" s="36">
        <f>IFERROR((Inventory[[#This Row],[Adjusted Impr Total]]-Inventory[[#This Row],[24Bldg]])/Inventory[[#This Row],[24Bldg]],0)</f>
        <v>0.23447712418300654</v>
      </c>
      <c r="BT285" s="36">
        <f>(Inventory[[#This Row],[Adjusted Land Total]]-Inventory[[#This Row],[24Lnd]])/Inventory[[#This Row],[24Lnd]]</f>
        <v>-0.26708074534161491</v>
      </c>
      <c r="BU285" s="36">
        <f>(Inventory[[#This Row],[Adjusted Total]]-Inventory[[#This Row],[24Final]])/Inventory[[#This Row],[24Final]]</f>
        <v>0.15182531559194815</v>
      </c>
    </row>
    <row r="286" spans="1:73" x14ac:dyDescent="0.3">
      <c r="A286" s="25">
        <v>2025</v>
      </c>
      <c r="B286" s="26" t="s">
        <v>1020</v>
      </c>
      <c r="C286" s="26">
        <f>LN(Inventory[[#This Row],[Acres]])</f>
        <v>-0.94160853985844495</v>
      </c>
      <c r="D286" s="25">
        <v>0.39</v>
      </c>
      <c r="E286" s="25">
        <v>16864</v>
      </c>
      <c r="F286" s="26" t="s">
        <v>537</v>
      </c>
      <c r="G286" s="26" t="s">
        <v>126</v>
      </c>
      <c r="H286" s="26" t="s">
        <v>349</v>
      </c>
      <c r="I286" s="26" t="s">
        <v>538</v>
      </c>
      <c r="J286" s="26" t="s">
        <v>539</v>
      </c>
      <c r="K286" s="26" t="s">
        <v>241</v>
      </c>
      <c r="L286" s="26" t="s">
        <v>148</v>
      </c>
      <c r="M286" s="26" t="s">
        <v>323</v>
      </c>
      <c r="N286" s="26">
        <v>60</v>
      </c>
      <c r="O286" s="26">
        <f>2024-Inventory[[#This Row],[YrBlt]]</f>
        <v>56</v>
      </c>
      <c r="P286" s="26">
        <f>2024-Inventory[[#This Row],[EffYr]]</f>
        <v>47</v>
      </c>
      <c r="Q286" s="25">
        <v>1968</v>
      </c>
      <c r="R286" s="25">
        <v>1977</v>
      </c>
      <c r="S286" s="25">
        <v>2419</v>
      </c>
      <c r="T286" s="31"/>
      <c r="U286" s="25">
        <v>1866</v>
      </c>
      <c r="V286" s="25">
        <f>Inventory[[#This Row],[Bsmt]]-Inventory[[#This Row],[FnBsmt]]</f>
        <v>1866</v>
      </c>
      <c r="W286" s="31"/>
      <c r="X286" s="27"/>
      <c r="Y286" s="27">
        <f>Inventory[[#This Row],[MainFn]]+Inventory[[#This Row],[UpprFn]]+Inventory[[#This Row],[FnBsmt]]+Inventory[[#This Row],[AddFn]]</f>
        <v>2419</v>
      </c>
      <c r="Z286" s="27">
        <v>2500</v>
      </c>
      <c r="AA286" s="25">
        <v>10</v>
      </c>
      <c r="AB286" s="32">
        <v>552</v>
      </c>
      <c r="AC286" s="27"/>
      <c r="AD286" s="32">
        <v>400</v>
      </c>
      <c r="AE286" s="27"/>
      <c r="AF286" s="27"/>
      <c r="AG286" s="27"/>
      <c r="AH286" s="27"/>
      <c r="AI286" s="25">
        <v>581682</v>
      </c>
      <c r="AJ286" s="25">
        <v>430445</v>
      </c>
      <c r="AK286" s="25">
        <v>0</v>
      </c>
      <c r="AL286" s="25">
        <v>433600</v>
      </c>
      <c r="AM286" s="25">
        <v>81700</v>
      </c>
      <c r="AN286" s="25">
        <v>351900</v>
      </c>
      <c r="AO286" s="25">
        <v>0</v>
      </c>
      <c r="AP286" s="25">
        <f>Lookups!$B$56*0</f>
        <v>0</v>
      </c>
      <c r="AQ286" s="25">
        <f>Lookups!$B$56*1</f>
        <v>89850.625589999996</v>
      </c>
      <c r="AR286" s="25">
        <f>Lookups!$B$57*Inventory[[#This Row],[LnAcres]]</f>
        <v>-29806.256507663158</v>
      </c>
      <c r="AS286" s="25">
        <f>VLOOKUP(Inventory[[#This Row],[Qlty]],Lookups!$A$62:$E$75,2,FALSE)</f>
        <v>44121.038090000002</v>
      </c>
      <c r="AT286" s="25">
        <f>VLOOKUP(Inventory[[#This Row],[Cnd]],Lookups!$A$76:$E$84,2,FALSE)</f>
        <v>160472.20319</v>
      </c>
      <c r="AU286" s="25">
        <f>Inventory[[#This Row],[EffAge]]*Lookups!$B$85</f>
        <v>-10483.143223500001</v>
      </c>
      <c r="AV286" s="25">
        <f>Inventory[[#This Row],[MainFn]]*Lookups!$B$86</f>
        <v>119519.572432463</v>
      </c>
      <c r="AW286" s="25">
        <f>Inventory[[#This Row],[UpprFn]]*Lookups!$B$87</f>
        <v>0</v>
      </c>
      <c r="AX286" s="25">
        <f>Inventory[[#This Row],[AddFn]]*Lookups!$B$88</f>
        <v>0</v>
      </c>
      <c r="AY286" s="25">
        <f>Inventory[[#This Row],[Bsmt]]*Lookups!$B$89</f>
        <v>54266.816530901997</v>
      </c>
      <c r="AZ286" s="25">
        <f>Inventory[[#This Row],[Fixtures]]*Lookups!$B$90</f>
        <v>37920.221052000001</v>
      </c>
      <c r="BA286" s="25">
        <f>Inventory[[#This Row],[WdDeck]]*Lookups!$B$91</f>
        <v>13318.206110400002</v>
      </c>
      <c r="BB286" s="25">
        <f>ROUND(Inventory[[#This Row],[25Det]],-2)</f>
        <v>0</v>
      </c>
      <c r="BC286" s="25">
        <f>ROUND(SUM(Inventory[[#This Row],[Mdl Qlty]:[Mdl WdDeck]])+Inventory[[#This Row],[Mdl Res Intercept]],-2)</f>
        <v>419100</v>
      </c>
      <c r="BD286" s="25">
        <f>ROUND(Inventory[[#This Row],[Mdl Land Intercept]]+Inventory[[#This Row],[Mdl LnAcres]],-2)</f>
        <v>60000</v>
      </c>
      <c r="BE286" s="25">
        <f>Inventory[[#This Row],[Unadj Res Value]]+Inventory[[#This Row],[Unadj Det Value]]+Inventory[[#This Row],[Unadj Land Value]]</f>
        <v>479100</v>
      </c>
      <c r="BF286" s="36">
        <f>(Inventory[[#This Row],[Unadj Total Value]]-Inventory[[#This Row],[24Final]])/Inventory[[#This Row],[24Final]]</f>
        <v>0.10493542435424354</v>
      </c>
      <c r="BG286" s="25">
        <f>VLOOKUP(Inventory[[#This Row],[Nbhd]],Lookups!$Q$2:$T$4,4,FALSE)</f>
        <v>0.99970000000000003</v>
      </c>
      <c r="BH286" s="25">
        <f>VLOOKUP(Inventory[[#This Row],[Qlty]],Lookups!$O$7:$R$21,4,FALSE)</f>
        <v>0.98050000000000004</v>
      </c>
      <c r="BI286" s="25">
        <f>VLOOKUP(Inventory[[#This Row],[Cnd]],Lookups!$T$7:$W$16,4,FALSE)</f>
        <v>0.99729999999999996</v>
      </c>
      <c r="BJ286" s="25">
        <f>VLOOKUP(Inventory[[#This Row],[LivArea Range]],Lookups!$T$25:$W$37,4,FALSE)</f>
        <v>0.98919999999999997</v>
      </c>
      <c r="BK286" s="25">
        <f>VLOOKUP(Inventory[[#This Row],[Decade]],Lookups!$O$25:$R$42,4,FALSE)</f>
        <v>0.98119999999999996</v>
      </c>
      <c r="BL286" s="25">
        <f>Inventory[[#This Row],[Nbhd Adj]]*0.95</f>
        <v>0.94971499999999998</v>
      </c>
      <c r="BM286" s="25">
        <f>Inventory[[#This Row],[Nbhd Adj]]*Inventory[[#This Row],[Quality Adj]]*Inventory[[#This Row],[Condition Adj]]*Inventory[[#This Row],[Living Area Adj]]*Inventory[[#This Row],[Decade Adj]]*0.95</f>
        <v>0.90138092159884586</v>
      </c>
      <c r="BN286" s="25">
        <f>ROUND(SUM(Inventory[[#This Row],[Mdl Qlty]:[Mdl WdDeck]])+Inventory[[#This Row],[Mdl Res Intercept]]*Inventory[[#This Row],[Res Adj ]],-2)</f>
        <v>419100</v>
      </c>
      <c r="BO286" s="25">
        <f>ROUND(Inventory[[#This Row],[25Det]]*Inventory[[#This Row],[Det/Nbhd Adj]],-2)</f>
        <v>0</v>
      </c>
      <c r="BP286" s="25">
        <f>Inventory[[#This Row],[Adjusted Res]]+Inventory[[#This Row],[Adj Det ]]</f>
        <v>419100</v>
      </c>
      <c r="BQ286" s="25">
        <f>ROUND((Inventory[[#This Row],[Mdl Land Intercept]]+Inventory[[#This Row],[Mdl LnAcres]])*Inventory[[#This Row],[Det/Nbhd Adj]],-2)</f>
        <v>57000</v>
      </c>
      <c r="BR286" s="25">
        <f>Inventory[[#This Row],[Adjusted Impr Total]]+Inventory[[#This Row],[Adjusted Land Total]]</f>
        <v>476100</v>
      </c>
      <c r="BS286" s="36">
        <f>IFERROR((Inventory[[#This Row],[Adjusted Impr Total]]-Inventory[[#This Row],[24Bldg]])/Inventory[[#This Row],[24Bldg]],0)</f>
        <v>0.19096334185848252</v>
      </c>
      <c r="BT286" s="36">
        <f>(Inventory[[#This Row],[Adjusted Land Total]]-Inventory[[#This Row],[24Lnd]])/Inventory[[#This Row],[24Lnd]]</f>
        <v>-0.30232558139534882</v>
      </c>
      <c r="BU286" s="36">
        <f>(Inventory[[#This Row],[Adjusted Total]]-Inventory[[#This Row],[24Final]])/Inventory[[#This Row],[24Final]]</f>
        <v>9.8016605166051665E-2</v>
      </c>
    </row>
    <row r="287" spans="1:73" x14ac:dyDescent="0.3">
      <c r="A287" s="25">
        <v>2025</v>
      </c>
      <c r="B287" s="26" t="s">
        <v>1372</v>
      </c>
      <c r="C287" s="26">
        <f>LN(Inventory[[#This Row],[Acres]])</f>
        <v>-1.5606477482646683</v>
      </c>
      <c r="D287" s="25">
        <v>0.21</v>
      </c>
      <c r="E287" s="25">
        <v>9300</v>
      </c>
      <c r="F287" s="26" t="s">
        <v>537</v>
      </c>
      <c r="G287" s="26" t="s">
        <v>126</v>
      </c>
      <c r="H287" s="26" t="s">
        <v>349</v>
      </c>
      <c r="I287" s="26" t="s">
        <v>538</v>
      </c>
      <c r="J287" s="26" t="s">
        <v>539</v>
      </c>
      <c r="K287" s="26" t="s">
        <v>241</v>
      </c>
      <c r="L287" s="26" t="s">
        <v>148</v>
      </c>
      <c r="M287" s="26" t="s">
        <v>303</v>
      </c>
      <c r="N287" s="26">
        <v>60</v>
      </c>
      <c r="O287" s="26">
        <f>2024-Inventory[[#This Row],[YrBlt]]</f>
        <v>56</v>
      </c>
      <c r="P287" s="26">
        <f>2024-Inventory[[#This Row],[EffYr]]</f>
        <v>47</v>
      </c>
      <c r="Q287" s="25">
        <v>1968</v>
      </c>
      <c r="R287" s="25">
        <v>1977</v>
      </c>
      <c r="S287" s="25">
        <v>1545</v>
      </c>
      <c r="T287" s="27"/>
      <c r="U287" s="27"/>
      <c r="V287" s="27">
        <f>Inventory[[#This Row],[Bsmt]]-Inventory[[#This Row],[FnBsmt]]</f>
        <v>0</v>
      </c>
      <c r="W287" s="27"/>
      <c r="X287" s="27"/>
      <c r="Y287" s="27">
        <f>Inventory[[#This Row],[MainFn]]+Inventory[[#This Row],[UpprFn]]+Inventory[[#This Row],[FnBsmt]]+Inventory[[#This Row],[AddFn]]</f>
        <v>1545</v>
      </c>
      <c r="Z287" s="27">
        <v>2000</v>
      </c>
      <c r="AA287" s="25">
        <v>7</v>
      </c>
      <c r="AB287" s="32">
        <v>420</v>
      </c>
      <c r="AC287" s="27"/>
      <c r="AD287" s="27"/>
      <c r="AE287" s="27"/>
      <c r="AF287" s="27"/>
      <c r="AG287" s="27"/>
      <c r="AH287" s="27"/>
      <c r="AI287" s="25">
        <v>344238</v>
      </c>
      <c r="AJ287" s="25">
        <v>258179</v>
      </c>
      <c r="AK287" s="25">
        <v>0</v>
      </c>
      <c r="AL287" s="25">
        <v>343100</v>
      </c>
      <c r="AM287" s="25">
        <v>60100</v>
      </c>
      <c r="AN287" s="25">
        <v>283000</v>
      </c>
      <c r="AO287" s="25">
        <v>0</v>
      </c>
      <c r="AP287" s="25">
        <f>Lookups!$B$56*0</f>
        <v>0</v>
      </c>
      <c r="AQ287" s="25">
        <f>Lookups!$B$56*1</f>
        <v>89850.625589999996</v>
      </c>
      <c r="AR287" s="25">
        <f>Lookups!$B$57*Inventory[[#This Row],[LnAcres]]</f>
        <v>-49401.70477837498</v>
      </c>
      <c r="AS287" s="25">
        <f>VLOOKUP(Inventory[[#This Row],[Qlty]],Lookups!$A$62:$E$75,2,FALSE)</f>
        <v>44121.038090000002</v>
      </c>
      <c r="AT287" s="25">
        <f>VLOOKUP(Inventory[[#This Row],[Cnd]],Lookups!$A$76:$E$84,2,FALSE)</f>
        <v>197752.34721000001</v>
      </c>
      <c r="AU287" s="25">
        <f>Inventory[[#This Row],[EffAge]]*Lookups!$B$85</f>
        <v>-10483.143223500001</v>
      </c>
      <c r="AV287" s="25">
        <f>Inventory[[#This Row],[MainFn]]*Lookups!$B$86</f>
        <v>76336.394959965008</v>
      </c>
      <c r="AW287" s="25">
        <f>Inventory[[#This Row],[UpprFn]]*Lookups!$B$87</f>
        <v>0</v>
      </c>
      <c r="AX287" s="25">
        <f>Inventory[[#This Row],[AddFn]]*Lookups!$B$88</f>
        <v>0</v>
      </c>
      <c r="AY287" s="25">
        <f>Inventory[[#This Row],[Bsmt]]*Lookups!$B$89</f>
        <v>0</v>
      </c>
      <c r="AZ287" s="25">
        <f>Inventory[[#This Row],[Fixtures]]*Lookups!$B$90</f>
        <v>26544.1547364</v>
      </c>
      <c r="BA287" s="25">
        <f>Inventory[[#This Row],[WdDeck]]*Lookups!$B$91</f>
        <v>0</v>
      </c>
      <c r="BB287" s="25">
        <f>ROUND(Inventory[[#This Row],[25Det]],-2)</f>
        <v>0</v>
      </c>
      <c r="BC287" s="25">
        <f>ROUND(SUM(Inventory[[#This Row],[Mdl Qlty]:[Mdl WdDeck]])+Inventory[[#This Row],[Mdl Res Intercept]],-2)</f>
        <v>334300</v>
      </c>
      <c r="BD287" s="25">
        <f>ROUND(Inventory[[#This Row],[Mdl Land Intercept]]+Inventory[[#This Row],[Mdl LnAcres]],-2)</f>
        <v>40400</v>
      </c>
      <c r="BE287" s="25">
        <f>Inventory[[#This Row],[Unadj Res Value]]+Inventory[[#This Row],[Unadj Det Value]]+Inventory[[#This Row],[Unadj Land Value]]</f>
        <v>374700</v>
      </c>
      <c r="BF287" s="36">
        <f>(Inventory[[#This Row],[Unadj Total Value]]-Inventory[[#This Row],[24Final]])/Inventory[[#This Row],[24Final]]</f>
        <v>9.2101428155056841E-2</v>
      </c>
      <c r="BG287" s="25">
        <f>VLOOKUP(Inventory[[#This Row],[Nbhd]],Lookups!$Q$2:$T$4,4,FALSE)</f>
        <v>0.99970000000000003</v>
      </c>
      <c r="BH287" s="25">
        <f>VLOOKUP(Inventory[[#This Row],[Qlty]],Lookups!$O$7:$R$21,4,FALSE)</f>
        <v>0.98050000000000004</v>
      </c>
      <c r="BI287" s="25">
        <f>VLOOKUP(Inventory[[#This Row],[Cnd]],Lookups!$T$7:$W$16,4,FALSE)</f>
        <v>0.99650000000000005</v>
      </c>
      <c r="BJ287" s="25">
        <f>VLOOKUP(Inventory[[#This Row],[LivArea Range]],Lookups!$T$25:$W$37,4,FALSE)</f>
        <v>1.0093000000000001</v>
      </c>
      <c r="BK287" s="25">
        <f>VLOOKUP(Inventory[[#This Row],[Decade]],Lookups!$O$25:$R$42,4,FALSE)</f>
        <v>0.98119999999999996</v>
      </c>
      <c r="BL287" s="25">
        <f>Inventory[[#This Row],[Nbhd Adj]]*0.95</f>
        <v>0.94971499999999998</v>
      </c>
      <c r="BM287" s="25">
        <f>Inventory[[#This Row],[Nbhd Adj]]*Inventory[[#This Row],[Quality Adj]]*Inventory[[#This Row],[Condition Adj]]*Inventory[[#This Row],[Living Area Adj]]*Inventory[[#This Row],[Decade Adj]]*0.95</f>
        <v>0.91895873710932319</v>
      </c>
      <c r="BN287" s="25">
        <f>ROUND(SUM(Inventory[[#This Row],[Mdl Qlty]:[Mdl WdDeck]])+Inventory[[#This Row],[Mdl Res Intercept]]*Inventory[[#This Row],[Res Adj ]],-2)</f>
        <v>334300</v>
      </c>
      <c r="BO287" s="25">
        <f>ROUND(Inventory[[#This Row],[25Det]]*Inventory[[#This Row],[Det/Nbhd Adj]],-2)</f>
        <v>0</v>
      </c>
      <c r="BP287" s="25">
        <f>Inventory[[#This Row],[Adjusted Res]]+Inventory[[#This Row],[Adj Det ]]</f>
        <v>334300</v>
      </c>
      <c r="BQ287" s="25">
        <f>ROUND((Inventory[[#This Row],[Mdl Land Intercept]]+Inventory[[#This Row],[Mdl LnAcres]])*Inventory[[#This Row],[Det/Nbhd Adj]],-2)</f>
        <v>38400</v>
      </c>
      <c r="BR287" s="25">
        <f>Inventory[[#This Row],[Adjusted Impr Total]]+Inventory[[#This Row],[Adjusted Land Total]]</f>
        <v>372700</v>
      </c>
      <c r="BS287" s="36">
        <f>IFERROR((Inventory[[#This Row],[Adjusted Impr Total]]-Inventory[[#This Row],[24Bldg]])/Inventory[[#This Row],[24Bldg]],0)</f>
        <v>0.18127208480565371</v>
      </c>
      <c r="BT287" s="36">
        <f>(Inventory[[#This Row],[Adjusted Land Total]]-Inventory[[#This Row],[24Lnd]])/Inventory[[#This Row],[24Lnd]]</f>
        <v>-0.36106489184692181</v>
      </c>
      <c r="BU287" s="36">
        <f>(Inventory[[#This Row],[Adjusted Total]]-Inventory[[#This Row],[24Final]])/Inventory[[#This Row],[24Final]]</f>
        <v>8.6272223841445644E-2</v>
      </c>
    </row>
    <row r="288" spans="1:73" x14ac:dyDescent="0.3">
      <c r="A288" s="25">
        <v>2025</v>
      </c>
      <c r="B288" s="26" t="s">
        <v>2018</v>
      </c>
      <c r="C288" s="26">
        <f>LN(Inventory[[#This Row],[Acres]])</f>
        <v>-1.5141277326297755</v>
      </c>
      <c r="D288" s="25">
        <v>0.22</v>
      </c>
      <c r="E288" s="31"/>
      <c r="F288" s="26" t="s">
        <v>537</v>
      </c>
      <c r="G288" s="26" t="s">
        <v>126</v>
      </c>
      <c r="H288" s="26" t="s">
        <v>349</v>
      </c>
      <c r="I288" s="26" t="s">
        <v>538</v>
      </c>
      <c r="J288" s="26" t="s">
        <v>539</v>
      </c>
      <c r="K288" s="26" t="s">
        <v>5</v>
      </c>
      <c r="L288" s="26" t="s">
        <v>302</v>
      </c>
      <c r="M288" s="26" t="s">
        <v>303</v>
      </c>
      <c r="N288" s="26">
        <v>60</v>
      </c>
      <c r="O288" s="26">
        <f>2024-Inventory[[#This Row],[YrBlt]]</f>
        <v>56</v>
      </c>
      <c r="P288" s="26">
        <f>2024-Inventory[[#This Row],[EffYr]]</f>
        <v>47</v>
      </c>
      <c r="Q288" s="25">
        <v>1968</v>
      </c>
      <c r="R288" s="25">
        <v>1977</v>
      </c>
      <c r="S288" s="25">
        <v>1428</v>
      </c>
      <c r="T288" s="31"/>
      <c r="U288" s="32">
        <v>898</v>
      </c>
      <c r="V288" s="32">
        <f>Inventory[[#This Row],[Bsmt]]-Inventory[[#This Row],[FnBsmt]]</f>
        <v>30</v>
      </c>
      <c r="W288" s="32">
        <v>868</v>
      </c>
      <c r="X288" s="31"/>
      <c r="Y288" s="31">
        <f>Inventory[[#This Row],[MainFn]]+Inventory[[#This Row],[UpprFn]]+Inventory[[#This Row],[FnBsmt]]+Inventory[[#This Row],[AddFn]]</f>
        <v>2296</v>
      </c>
      <c r="Z288" s="27">
        <v>2500</v>
      </c>
      <c r="AA288" s="25">
        <v>8</v>
      </c>
      <c r="AB288" s="31"/>
      <c r="AC288" s="32">
        <v>560</v>
      </c>
      <c r="AD288" s="32">
        <v>56</v>
      </c>
      <c r="AE288" s="27"/>
      <c r="AF288" s="27"/>
      <c r="AG288" s="27"/>
      <c r="AH288" s="27"/>
      <c r="AI288" s="25">
        <v>379691</v>
      </c>
      <c r="AJ288" s="25">
        <v>284768</v>
      </c>
      <c r="AK288" s="25">
        <v>0</v>
      </c>
      <c r="AL288" s="25">
        <v>363000</v>
      </c>
      <c r="AM288" s="25">
        <v>61700</v>
      </c>
      <c r="AN288" s="25">
        <v>301300</v>
      </c>
      <c r="AO288" s="25">
        <v>0</v>
      </c>
      <c r="AP288" s="25">
        <f>Lookups!$B$56*0</f>
        <v>0</v>
      </c>
      <c r="AQ288" s="25">
        <f>Lookups!$B$56*1</f>
        <v>89850.625589999996</v>
      </c>
      <c r="AR288" s="25">
        <f>Lookups!$B$57*Inventory[[#This Row],[LnAcres]]</f>
        <v>-47929.131559187132</v>
      </c>
      <c r="AS288" s="25">
        <f>VLOOKUP(Inventory[[#This Row],[Qlty]],Lookups!$A$62:$E$75,2,FALSE)</f>
        <v>29814.093161000001</v>
      </c>
      <c r="AT288" s="25">
        <f>VLOOKUP(Inventory[[#This Row],[Cnd]],Lookups!$A$76:$E$84,2,FALSE)</f>
        <v>197752.34721000001</v>
      </c>
      <c r="AU288" s="25">
        <f>Inventory[[#This Row],[EffAge]]*Lookups!$B$85</f>
        <v>-10483.143223500001</v>
      </c>
      <c r="AV288" s="25">
        <f>Inventory[[#This Row],[MainFn]]*Lookups!$B$86</f>
        <v>70555.580584356008</v>
      </c>
      <c r="AW288" s="25">
        <f>Inventory[[#This Row],[UpprFn]]*Lookups!$B$87</f>
        <v>0</v>
      </c>
      <c r="AX288" s="25">
        <f>Inventory[[#This Row],[AddFn]]*Lookups!$B$88</f>
        <v>0</v>
      </c>
      <c r="AY288" s="25">
        <f>Inventory[[#This Row],[Bsmt]]*Lookups!$B$89</f>
        <v>26115.541931805998</v>
      </c>
      <c r="AZ288" s="25">
        <f>Inventory[[#This Row],[Fixtures]]*Lookups!$B$90</f>
        <v>30336.176841600001</v>
      </c>
      <c r="BA288" s="25">
        <f>Inventory[[#This Row],[WdDeck]]*Lookups!$B$91</f>
        <v>1864.5488554560002</v>
      </c>
      <c r="BB288" s="25">
        <f>ROUND(Inventory[[#This Row],[25Det]],-2)</f>
        <v>0</v>
      </c>
      <c r="BC288" s="25">
        <f>ROUND(SUM(Inventory[[#This Row],[Mdl Qlty]:[Mdl WdDeck]])+Inventory[[#This Row],[Mdl Res Intercept]],-2)</f>
        <v>346000</v>
      </c>
      <c r="BD288" s="25">
        <f>ROUND(Inventory[[#This Row],[Mdl Land Intercept]]+Inventory[[#This Row],[Mdl LnAcres]],-2)</f>
        <v>41900</v>
      </c>
      <c r="BE288" s="25">
        <f>Inventory[[#This Row],[Unadj Res Value]]+Inventory[[#This Row],[Unadj Det Value]]+Inventory[[#This Row],[Unadj Land Value]]</f>
        <v>387900</v>
      </c>
      <c r="BF288" s="36">
        <f>(Inventory[[#This Row],[Unadj Total Value]]-Inventory[[#This Row],[24Final]])/Inventory[[#This Row],[24Final]]</f>
        <v>6.8595041322314046E-2</v>
      </c>
      <c r="BG288" s="25">
        <f>VLOOKUP(Inventory[[#This Row],[Nbhd]],Lookups!$Q$2:$T$4,4,FALSE)</f>
        <v>0.99970000000000003</v>
      </c>
      <c r="BH288" s="25">
        <f>VLOOKUP(Inventory[[#This Row],[Qlty]],Lookups!$O$7:$R$21,4,FALSE)</f>
        <v>1.0088999999999999</v>
      </c>
      <c r="BI288" s="25">
        <f>VLOOKUP(Inventory[[#This Row],[Cnd]],Lookups!$T$7:$W$16,4,FALSE)</f>
        <v>0.99650000000000005</v>
      </c>
      <c r="BJ288" s="25">
        <f>VLOOKUP(Inventory[[#This Row],[LivArea Range]],Lookups!$T$25:$W$37,4,FALSE)</f>
        <v>0.98919999999999997</v>
      </c>
      <c r="BK288" s="25">
        <f>VLOOKUP(Inventory[[#This Row],[Decade]],Lookups!$O$25:$R$42,4,FALSE)</f>
        <v>0.98119999999999996</v>
      </c>
      <c r="BL288" s="25">
        <f>Inventory[[#This Row],[Nbhd Adj]]*0.95</f>
        <v>0.94971499999999998</v>
      </c>
      <c r="BM288" s="25">
        <f>Inventory[[#This Row],[Nbhd Adj]]*Inventory[[#This Row],[Quality Adj]]*Inventory[[#This Row],[Condition Adj]]*Inventory[[#This Row],[Living Area Adj]]*Inventory[[#This Row],[Decade Adj]]*0.95</f>
        <v>0.92674525201703128</v>
      </c>
      <c r="BN288" s="25">
        <f>ROUND(SUM(Inventory[[#This Row],[Mdl Qlty]:[Mdl WdDeck]])+Inventory[[#This Row],[Mdl Res Intercept]]*Inventory[[#This Row],[Res Adj ]],-2)</f>
        <v>346000</v>
      </c>
      <c r="BO288" s="25">
        <f>ROUND(Inventory[[#This Row],[25Det]]*Inventory[[#This Row],[Det/Nbhd Adj]],-2)</f>
        <v>0</v>
      </c>
      <c r="BP288" s="25">
        <f>Inventory[[#This Row],[Adjusted Res]]+Inventory[[#This Row],[Adj Det ]]</f>
        <v>346000</v>
      </c>
      <c r="BQ288" s="25">
        <f>ROUND((Inventory[[#This Row],[Mdl Land Intercept]]+Inventory[[#This Row],[Mdl LnAcres]])*Inventory[[#This Row],[Det/Nbhd Adj]],-2)</f>
        <v>39800</v>
      </c>
      <c r="BR288" s="25">
        <f>Inventory[[#This Row],[Adjusted Impr Total]]+Inventory[[#This Row],[Adjusted Land Total]]</f>
        <v>385800</v>
      </c>
      <c r="BS288" s="36">
        <f>IFERROR((Inventory[[#This Row],[Adjusted Impr Total]]-Inventory[[#This Row],[24Bldg]])/Inventory[[#This Row],[24Bldg]],0)</f>
        <v>0.14835711915034849</v>
      </c>
      <c r="BT288" s="36">
        <f>(Inventory[[#This Row],[Adjusted Land Total]]-Inventory[[#This Row],[24Lnd]])/Inventory[[#This Row],[24Lnd]]</f>
        <v>-0.35494327390599678</v>
      </c>
      <c r="BU288" s="36">
        <f>(Inventory[[#This Row],[Adjusted Total]]-Inventory[[#This Row],[24Final]])/Inventory[[#This Row],[24Final]]</f>
        <v>6.2809917355371905E-2</v>
      </c>
    </row>
    <row r="289" spans="1:73" x14ac:dyDescent="0.3">
      <c r="A289" s="25">
        <v>2025</v>
      </c>
      <c r="B289" s="26" t="s">
        <v>1776</v>
      </c>
      <c r="C289" s="26">
        <f>LN(Inventory[[#This Row],[Acres]])</f>
        <v>-1.7719568419318752</v>
      </c>
      <c r="D289" s="25">
        <v>0.17</v>
      </c>
      <c r="E289" s="25">
        <v>7256</v>
      </c>
      <c r="F289" s="26" t="s">
        <v>537</v>
      </c>
      <c r="G289" s="26" t="s">
        <v>126</v>
      </c>
      <c r="H289" s="26" t="s">
        <v>349</v>
      </c>
      <c r="I289" s="26" t="s">
        <v>538</v>
      </c>
      <c r="J289" s="26" t="s">
        <v>539</v>
      </c>
      <c r="K289" s="26" t="s">
        <v>241</v>
      </c>
      <c r="L289" s="26" t="s">
        <v>148</v>
      </c>
      <c r="M289" s="26" t="s">
        <v>323</v>
      </c>
      <c r="N289" s="26">
        <v>60</v>
      </c>
      <c r="O289" s="26">
        <f>2024-Inventory[[#This Row],[YrBlt]]</f>
        <v>56</v>
      </c>
      <c r="P289" s="26">
        <f>2024-Inventory[[#This Row],[EffYr]]</f>
        <v>47</v>
      </c>
      <c r="Q289" s="25">
        <v>1968</v>
      </c>
      <c r="R289" s="25">
        <v>1977</v>
      </c>
      <c r="S289" s="25">
        <v>918</v>
      </c>
      <c r="T289" s="27"/>
      <c r="U289" s="27"/>
      <c r="V289" s="27">
        <f>Inventory[[#This Row],[Bsmt]]-Inventory[[#This Row],[FnBsmt]]</f>
        <v>0</v>
      </c>
      <c r="W289" s="27"/>
      <c r="X289" s="27"/>
      <c r="Y289" s="27">
        <f>Inventory[[#This Row],[MainFn]]+Inventory[[#This Row],[UpprFn]]+Inventory[[#This Row],[FnBsmt]]+Inventory[[#This Row],[AddFn]]</f>
        <v>918</v>
      </c>
      <c r="Z289" s="27">
        <v>1000</v>
      </c>
      <c r="AA289" s="25">
        <v>8</v>
      </c>
      <c r="AB289" s="25">
        <v>252</v>
      </c>
      <c r="AC289" s="27"/>
      <c r="AD289" s="27"/>
      <c r="AE289" s="27"/>
      <c r="AF289" s="27"/>
      <c r="AG289" s="27"/>
      <c r="AH289" s="27"/>
      <c r="AI289" s="25">
        <v>248079</v>
      </c>
      <c r="AJ289" s="25">
        <v>183578</v>
      </c>
      <c r="AK289" s="25">
        <v>0</v>
      </c>
      <c r="AL289" s="25">
        <v>287100</v>
      </c>
      <c r="AM289" s="25">
        <v>52700</v>
      </c>
      <c r="AN289" s="25">
        <v>234400</v>
      </c>
      <c r="AO289" s="25">
        <v>0</v>
      </c>
      <c r="AP289" s="25">
        <f>Lookups!$B$56*0</f>
        <v>0</v>
      </c>
      <c r="AQ289" s="25">
        <f>Lookups!$B$56*1</f>
        <v>89850.625589999996</v>
      </c>
      <c r="AR289" s="25">
        <f>Lookups!$B$57*Inventory[[#This Row],[LnAcres]]</f>
        <v>-56090.612940989391</v>
      </c>
      <c r="AS289" s="25">
        <f>VLOOKUP(Inventory[[#This Row],[Qlty]],Lookups!$A$62:$E$75,2,FALSE)</f>
        <v>44121.038090000002</v>
      </c>
      <c r="AT289" s="25">
        <f>VLOOKUP(Inventory[[#This Row],[Cnd]],Lookups!$A$76:$E$84,2,FALSE)</f>
        <v>160472.20319</v>
      </c>
      <c r="AU289" s="25">
        <f>Inventory[[#This Row],[EffAge]]*Lookups!$B$85</f>
        <v>-10483.143223500001</v>
      </c>
      <c r="AV289" s="25">
        <f>Inventory[[#This Row],[MainFn]]*Lookups!$B$86</f>
        <v>45357.158947085998</v>
      </c>
      <c r="AW289" s="25">
        <f>Inventory[[#This Row],[UpprFn]]*Lookups!$B$87</f>
        <v>0</v>
      </c>
      <c r="AX289" s="25">
        <f>Inventory[[#This Row],[AddFn]]*Lookups!$B$88</f>
        <v>0</v>
      </c>
      <c r="AY289" s="25">
        <f>Inventory[[#This Row],[Bsmt]]*Lookups!$B$89</f>
        <v>0</v>
      </c>
      <c r="AZ289" s="25">
        <f>Inventory[[#This Row],[Fixtures]]*Lookups!$B$90</f>
        <v>30336.176841600001</v>
      </c>
      <c r="BA289" s="25">
        <f>Inventory[[#This Row],[WdDeck]]*Lookups!$B$91</f>
        <v>0</v>
      </c>
      <c r="BB289" s="25">
        <f>ROUND(Inventory[[#This Row],[25Det]],-2)</f>
        <v>0</v>
      </c>
      <c r="BC289" s="25">
        <f>ROUND(SUM(Inventory[[#This Row],[Mdl Qlty]:[Mdl WdDeck]])+Inventory[[#This Row],[Mdl Res Intercept]],-2)</f>
        <v>269800</v>
      </c>
      <c r="BD289" s="25">
        <f>ROUND(Inventory[[#This Row],[Mdl Land Intercept]]+Inventory[[#This Row],[Mdl LnAcres]],-2)</f>
        <v>33800</v>
      </c>
      <c r="BE289" s="25">
        <f>Inventory[[#This Row],[Unadj Res Value]]+Inventory[[#This Row],[Unadj Det Value]]+Inventory[[#This Row],[Unadj Land Value]]</f>
        <v>303600</v>
      </c>
      <c r="BF289" s="36">
        <f>(Inventory[[#This Row],[Unadj Total Value]]-Inventory[[#This Row],[24Final]])/Inventory[[#This Row],[24Final]]</f>
        <v>5.7471264367816091E-2</v>
      </c>
      <c r="BG289" s="25">
        <f>VLOOKUP(Inventory[[#This Row],[Nbhd]],Lookups!$Q$2:$T$4,4,FALSE)</f>
        <v>0.99970000000000003</v>
      </c>
      <c r="BH289" s="25">
        <f>VLOOKUP(Inventory[[#This Row],[Qlty]],Lookups!$O$7:$R$21,4,FALSE)</f>
        <v>0.98050000000000004</v>
      </c>
      <c r="BI289" s="25">
        <f>VLOOKUP(Inventory[[#This Row],[Cnd]],Lookups!$T$7:$W$16,4,FALSE)</f>
        <v>0.99729999999999996</v>
      </c>
      <c r="BJ289" s="25">
        <f>VLOOKUP(Inventory[[#This Row],[LivArea Range]],Lookups!$T$25:$W$37,4,FALSE)</f>
        <v>1.0148999999999999</v>
      </c>
      <c r="BK289" s="25">
        <f>VLOOKUP(Inventory[[#This Row],[Decade]],Lookups!$O$25:$R$42,4,FALSE)</f>
        <v>0.98119999999999996</v>
      </c>
      <c r="BL289" s="25">
        <f>Inventory[[#This Row],[Nbhd Adj]]*0.95</f>
        <v>0.94971499999999998</v>
      </c>
      <c r="BM289" s="25">
        <f>Inventory[[#This Row],[Nbhd Adj]]*Inventory[[#This Row],[Quality Adj]]*Inventory[[#This Row],[Condition Adj]]*Inventory[[#This Row],[Living Area Adj]]*Inventory[[#This Row],[Decade Adj]]*0.95</f>
        <v>0.92479933009570214</v>
      </c>
      <c r="BN289" s="25">
        <f>ROUND(SUM(Inventory[[#This Row],[Mdl Qlty]:[Mdl WdDeck]])+Inventory[[#This Row],[Mdl Res Intercept]]*Inventory[[#This Row],[Res Adj ]],-2)</f>
        <v>269800</v>
      </c>
      <c r="BO289" s="25">
        <f>ROUND(Inventory[[#This Row],[25Det]]*Inventory[[#This Row],[Det/Nbhd Adj]],-2)</f>
        <v>0</v>
      </c>
      <c r="BP289" s="25">
        <f>Inventory[[#This Row],[Adjusted Res]]+Inventory[[#This Row],[Adj Det ]]</f>
        <v>269800</v>
      </c>
      <c r="BQ289" s="25">
        <f>ROUND((Inventory[[#This Row],[Mdl Land Intercept]]+Inventory[[#This Row],[Mdl LnAcres]])*Inventory[[#This Row],[Det/Nbhd Adj]],-2)</f>
        <v>32100</v>
      </c>
      <c r="BR289" s="25">
        <f>Inventory[[#This Row],[Adjusted Impr Total]]+Inventory[[#This Row],[Adjusted Land Total]]</f>
        <v>301900</v>
      </c>
      <c r="BS289" s="36">
        <f>IFERROR((Inventory[[#This Row],[Adjusted Impr Total]]-Inventory[[#This Row],[24Bldg]])/Inventory[[#This Row],[24Bldg]],0)</f>
        <v>0.15102389078498293</v>
      </c>
      <c r="BT289" s="36">
        <f>(Inventory[[#This Row],[Adjusted Land Total]]-Inventory[[#This Row],[24Lnd]])/Inventory[[#This Row],[24Lnd]]</f>
        <v>-0.39089184060721061</v>
      </c>
      <c r="BU289" s="36">
        <f>(Inventory[[#This Row],[Adjusted Total]]-Inventory[[#This Row],[24Final]])/Inventory[[#This Row],[24Final]]</f>
        <v>5.1549982584465345E-2</v>
      </c>
    </row>
    <row r="290" spans="1:73" x14ac:dyDescent="0.3">
      <c r="A290" s="25">
        <v>2025</v>
      </c>
      <c r="B290" s="26" t="s">
        <v>2233</v>
      </c>
      <c r="C290" s="26">
        <f>LN(Inventory[[#This Row],[Acres]])</f>
        <v>-1.7719568419318752</v>
      </c>
      <c r="D290" s="25">
        <v>0.17</v>
      </c>
      <c r="E290" s="25">
        <v>7588</v>
      </c>
      <c r="F290" s="26" t="s">
        <v>537</v>
      </c>
      <c r="G290" s="26" t="s">
        <v>126</v>
      </c>
      <c r="H290" s="26" t="s">
        <v>349</v>
      </c>
      <c r="I290" s="26" t="s">
        <v>538</v>
      </c>
      <c r="J290" s="26" t="s">
        <v>539</v>
      </c>
      <c r="K290" s="26" t="s">
        <v>241</v>
      </c>
      <c r="L290" s="26" t="s">
        <v>302</v>
      </c>
      <c r="M290" s="26" t="s">
        <v>323</v>
      </c>
      <c r="N290" s="26">
        <v>60</v>
      </c>
      <c r="O290" s="26">
        <f>2024-Inventory[[#This Row],[YrBlt]]</f>
        <v>56</v>
      </c>
      <c r="P290" s="26">
        <f>2024-Inventory[[#This Row],[EffYr]]</f>
        <v>47</v>
      </c>
      <c r="Q290" s="25">
        <v>1968</v>
      </c>
      <c r="R290" s="25">
        <v>1977</v>
      </c>
      <c r="S290" s="25">
        <v>1344</v>
      </c>
      <c r="T290" s="27"/>
      <c r="U290" s="27"/>
      <c r="V290" s="27">
        <f>Inventory[[#This Row],[Bsmt]]-Inventory[[#This Row],[FnBsmt]]</f>
        <v>0</v>
      </c>
      <c r="W290" s="27"/>
      <c r="X290" s="27"/>
      <c r="Y290" s="27">
        <f>Inventory[[#This Row],[MainFn]]+Inventory[[#This Row],[UpprFn]]+Inventory[[#This Row],[FnBsmt]]+Inventory[[#This Row],[AddFn]]</f>
        <v>1344</v>
      </c>
      <c r="Z290" s="27">
        <v>1500</v>
      </c>
      <c r="AA290" s="25">
        <v>9</v>
      </c>
      <c r="AB290" s="32">
        <v>528</v>
      </c>
      <c r="AC290" s="27"/>
      <c r="AD290" s="27"/>
      <c r="AE290" s="27"/>
      <c r="AF290" s="27"/>
      <c r="AG290" s="27"/>
      <c r="AH290" s="27"/>
      <c r="AI290" s="25">
        <v>286384</v>
      </c>
      <c r="AJ290" s="25">
        <v>211924</v>
      </c>
      <c r="AK290" s="25">
        <v>0</v>
      </c>
      <c r="AL290" s="25">
        <v>298100</v>
      </c>
      <c r="AM290" s="25">
        <v>52700</v>
      </c>
      <c r="AN290" s="25">
        <v>245400</v>
      </c>
      <c r="AO290" s="25">
        <v>0</v>
      </c>
      <c r="AP290" s="25">
        <f>Lookups!$B$56*0</f>
        <v>0</v>
      </c>
      <c r="AQ290" s="25">
        <f>Lookups!$B$56*1</f>
        <v>89850.625589999996</v>
      </c>
      <c r="AR290" s="25">
        <f>Lookups!$B$57*Inventory[[#This Row],[LnAcres]]</f>
        <v>-56090.612940989391</v>
      </c>
      <c r="AS290" s="25">
        <f>VLOOKUP(Inventory[[#This Row],[Qlty]],Lookups!$A$62:$E$75,2,FALSE)</f>
        <v>29814.093161000001</v>
      </c>
      <c r="AT290" s="25">
        <f>VLOOKUP(Inventory[[#This Row],[Cnd]],Lookups!$A$76:$E$84,2,FALSE)</f>
        <v>160472.20319</v>
      </c>
      <c r="AU290" s="25">
        <f>Inventory[[#This Row],[EffAge]]*Lookups!$B$85</f>
        <v>-10483.143223500001</v>
      </c>
      <c r="AV290" s="25">
        <f>Inventory[[#This Row],[MainFn]]*Lookups!$B$86</f>
        <v>66405.252314687998</v>
      </c>
      <c r="AW290" s="25">
        <f>Inventory[[#This Row],[UpprFn]]*Lookups!$B$87</f>
        <v>0</v>
      </c>
      <c r="AX290" s="25">
        <f>Inventory[[#This Row],[AddFn]]*Lookups!$B$88</f>
        <v>0</v>
      </c>
      <c r="AY290" s="25">
        <f>Inventory[[#This Row],[Bsmt]]*Lookups!$B$89</f>
        <v>0</v>
      </c>
      <c r="AZ290" s="25">
        <f>Inventory[[#This Row],[Fixtures]]*Lookups!$B$90</f>
        <v>34128.198946800003</v>
      </c>
      <c r="BA290" s="25">
        <f>Inventory[[#This Row],[WdDeck]]*Lookups!$B$91</f>
        <v>0</v>
      </c>
      <c r="BB290" s="25">
        <f>ROUND(Inventory[[#This Row],[25Det]],-2)</f>
        <v>0</v>
      </c>
      <c r="BC290" s="25">
        <f>ROUND(SUM(Inventory[[#This Row],[Mdl Qlty]:[Mdl WdDeck]])+Inventory[[#This Row],[Mdl Res Intercept]],-2)</f>
        <v>280300</v>
      </c>
      <c r="BD290" s="25">
        <f>ROUND(Inventory[[#This Row],[Mdl Land Intercept]]+Inventory[[#This Row],[Mdl LnAcres]],-2)</f>
        <v>33800</v>
      </c>
      <c r="BE290" s="25">
        <f>Inventory[[#This Row],[Unadj Res Value]]+Inventory[[#This Row],[Unadj Det Value]]+Inventory[[#This Row],[Unadj Land Value]]</f>
        <v>314100</v>
      </c>
      <c r="BF290" s="36">
        <f>(Inventory[[#This Row],[Unadj Total Value]]-Inventory[[#This Row],[24Final]])/Inventory[[#This Row],[24Final]]</f>
        <v>5.3673264005367323E-2</v>
      </c>
      <c r="BG290" s="25">
        <f>VLOOKUP(Inventory[[#This Row],[Nbhd]],Lookups!$Q$2:$T$4,4,FALSE)</f>
        <v>0.99970000000000003</v>
      </c>
      <c r="BH290" s="25">
        <f>VLOOKUP(Inventory[[#This Row],[Qlty]],Lookups!$O$7:$R$21,4,FALSE)</f>
        <v>1.0088999999999999</v>
      </c>
      <c r="BI290" s="25">
        <f>VLOOKUP(Inventory[[#This Row],[Cnd]],Lookups!$T$7:$W$16,4,FALSE)</f>
        <v>0.99729999999999996</v>
      </c>
      <c r="BJ290" s="25">
        <f>VLOOKUP(Inventory[[#This Row],[LivArea Range]],Lookups!$T$25:$W$37,4,FALSE)</f>
        <v>1.0157</v>
      </c>
      <c r="BK290" s="25">
        <f>VLOOKUP(Inventory[[#This Row],[Decade]],Lookups!$O$25:$R$42,4,FALSE)</f>
        <v>0.98119999999999996</v>
      </c>
      <c r="BL290" s="25">
        <f>Inventory[[#This Row],[Nbhd Adj]]*0.95</f>
        <v>0.94971499999999998</v>
      </c>
      <c r="BM290" s="25">
        <f>Inventory[[#This Row],[Nbhd Adj]]*Inventory[[#This Row],[Quality Adj]]*Inventory[[#This Row],[Condition Adj]]*Inventory[[#This Row],[Living Area Adj]]*Inventory[[#This Row],[Decade Adj]]*0.95</f>
        <v>0.95233606295915574</v>
      </c>
      <c r="BN290" s="25">
        <f>ROUND(SUM(Inventory[[#This Row],[Mdl Qlty]:[Mdl WdDeck]])+Inventory[[#This Row],[Mdl Res Intercept]]*Inventory[[#This Row],[Res Adj ]],-2)</f>
        <v>280300</v>
      </c>
      <c r="BO290" s="25">
        <f>ROUND(Inventory[[#This Row],[25Det]]*Inventory[[#This Row],[Det/Nbhd Adj]],-2)</f>
        <v>0</v>
      </c>
      <c r="BP290" s="25">
        <f>Inventory[[#This Row],[Adjusted Res]]+Inventory[[#This Row],[Adj Det ]]</f>
        <v>280300</v>
      </c>
      <c r="BQ290" s="25">
        <f>ROUND((Inventory[[#This Row],[Mdl Land Intercept]]+Inventory[[#This Row],[Mdl LnAcres]])*Inventory[[#This Row],[Det/Nbhd Adj]],-2)</f>
        <v>32100</v>
      </c>
      <c r="BR290" s="25">
        <f>Inventory[[#This Row],[Adjusted Impr Total]]+Inventory[[#This Row],[Adjusted Land Total]]</f>
        <v>312400</v>
      </c>
      <c r="BS290" s="36">
        <f>IFERROR((Inventory[[#This Row],[Adjusted Impr Total]]-Inventory[[#This Row],[24Bldg]])/Inventory[[#This Row],[24Bldg]],0)</f>
        <v>0.14221678891605541</v>
      </c>
      <c r="BT290" s="36">
        <f>(Inventory[[#This Row],[Adjusted Land Total]]-Inventory[[#This Row],[24Lnd]])/Inventory[[#This Row],[24Lnd]]</f>
        <v>-0.39089184060721061</v>
      </c>
      <c r="BU290" s="36">
        <f>(Inventory[[#This Row],[Adjusted Total]]-Inventory[[#This Row],[24Final]])/Inventory[[#This Row],[24Final]]</f>
        <v>4.797047970479705E-2</v>
      </c>
    </row>
    <row r="291" spans="1:73" x14ac:dyDescent="0.3">
      <c r="A291" s="25">
        <v>2025</v>
      </c>
      <c r="B291" s="26" t="s">
        <v>702</v>
      </c>
      <c r="C291" s="26">
        <f>LN(Inventory[[#This Row],[Acres]])</f>
        <v>-1.1086626245216111</v>
      </c>
      <c r="D291" s="25">
        <v>0.33</v>
      </c>
      <c r="E291" s="25">
        <v>14470</v>
      </c>
      <c r="F291" s="26" t="s">
        <v>537</v>
      </c>
      <c r="G291" s="26" t="s">
        <v>126</v>
      </c>
      <c r="H291" s="26" t="s">
        <v>349</v>
      </c>
      <c r="I291" s="26" t="s">
        <v>538</v>
      </c>
      <c r="J291" s="26" t="s">
        <v>539</v>
      </c>
      <c r="K291" s="26" t="s">
        <v>241</v>
      </c>
      <c r="L291" s="26" t="s">
        <v>148</v>
      </c>
      <c r="M291" s="26" t="s">
        <v>303</v>
      </c>
      <c r="N291" s="26">
        <v>60</v>
      </c>
      <c r="O291" s="26">
        <f>2024-Inventory[[#This Row],[YrBlt]]</f>
        <v>56</v>
      </c>
      <c r="P291" s="26">
        <f>2024-Inventory[[#This Row],[EffYr]]</f>
        <v>37</v>
      </c>
      <c r="Q291" s="25">
        <v>1968</v>
      </c>
      <c r="R291" s="25">
        <v>1987</v>
      </c>
      <c r="S291" s="25">
        <v>1575</v>
      </c>
      <c r="T291" s="27"/>
      <c r="U291" s="25">
        <v>1575</v>
      </c>
      <c r="V291" s="32">
        <f>Inventory[[#This Row],[Bsmt]]-Inventory[[#This Row],[FnBsmt]]</f>
        <v>0</v>
      </c>
      <c r="W291" s="32">
        <v>1575</v>
      </c>
      <c r="X291" s="27"/>
      <c r="Y291" s="27">
        <f>Inventory[[#This Row],[MainFn]]+Inventory[[#This Row],[UpprFn]]+Inventory[[#This Row],[FnBsmt]]+Inventory[[#This Row],[AddFn]]</f>
        <v>3150</v>
      </c>
      <c r="Z291" s="27">
        <v>3500</v>
      </c>
      <c r="AA291" s="25">
        <v>14</v>
      </c>
      <c r="AB291" s="27"/>
      <c r="AC291" s="27"/>
      <c r="AD291" s="32">
        <v>294</v>
      </c>
      <c r="AE291" s="27"/>
      <c r="AF291" s="27"/>
      <c r="AG291" s="27"/>
      <c r="AH291" s="27"/>
      <c r="AI291" s="25">
        <v>536612</v>
      </c>
      <c r="AJ291" s="25">
        <v>456120</v>
      </c>
      <c r="AK291" s="25">
        <v>25776</v>
      </c>
      <c r="AL291" s="25">
        <v>478300</v>
      </c>
      <c r="AM291" s="25">
        <v>75900</v>
      </c>
      <c r="AN291" s="25">
        <v>402400</v>
      </c>
      <c r="AO291" s="25">
        <v>0</v>
      </c>
      <c r="AP291" s="25">
        <f>Lookups!$B$56*0</f>
        <v>0</v>
      </c>
      <c r="AQ291" s="25">
        <f>Lookups!$B$56*1</f>
        <v>89850.625589999996</v>
      </c>
      <c r="AR291" s="25">
        <f>Lookups!$B$57*Inventory[[#This Row],[LnAcres]]</f>
        <v>-35094.289365640165</v>
      </c>
      <c r="AS291" s="25">
        <f>VLOOKUP(Inventory[[#This Row],[Qlty]],Lookups!$A$62:$E$75,2,FALSE)</f>
        <v>44121.038090000002</v>
      </c>
      <c r="AT291" s="25">
        <f>VLOOKUP(Inventory[[#This Row],[Cnd]],Lookups!$A$76:$E$84,2,FALSE)</f>
        <v>197752.34721000001</v>
      </c>
      <c r="AU291" s="25">
        <f>Inventory[[#This Row],[EffAge]]*Lookups!$B$85</f>
        <v>-8252.6872185000011</v>
      </c>
      <c r="AV291" s="25">
        <f>Inventory[[#This Row],[MainFn]]*Lookups!$B$86</f>
        <v>77818.655056275005</v>
      </c>
      <c r="AW291" s="25">
        <f>Inventory[[#This Row],[UpprFn]]*Lookups!$B$87</f>
        <v>0</v>
      </c>
      <c r="AX291" s="25">
        <f>Inventory[[#This Row],[AddFn]]*Lookups!$B$88</f>
        <v>0</v>
      </c>
      <c r="AY291" s="25">
        <f>Inventory[[#This Row],[Bsmt]]*Lookups!$B$89</f>
        <v>45803.985014024998</v>
      </c>
      <c r="AZ291" s="25">
        <f>Inventory[[#This Row],[Fixtures]]*Lookups!$B$90</f>
        <v>53088.3094728</v>
      </c>
      <c r="BA291" s="25">
        <f>Inventory[[#This Row],[WdDeck]]*Lookups!$B$91</f>
        <v>9788.8814911440004</v>
      </c>
      <c r="BB291" s="25">
        <f>ROUND(Inventory[[#This Row],[25Det]],-2)</f>
        <v>25800</v>
      </c>
      <c r="BC291" s="25">
        <f>ROUND(SUM(Inventory[[#This Row],[Mdl Qlty]:[Mdl WdDeck]])+Inventory[[#This Row],[Mdl Res Intercept]],-2)</f>
        <v>420100</v>
      </c>
      <c r="BD291" s="25">
        <f>ROUND(Inventory[[#This Row],[Mdl Land Intercept]]+Inventory[[#This Row],[Mdl LnAcres]],-2)</f>
        <v>54800</v>
      </c>
      <c r="BE291" s="25">
        <f>Inventory[[#This Row],[Unadj Res Value]]+Inventory[[#This Row],[Unadj Det Value]]+Inventory[[#This Row],[Unadj Land Value]]</f>
        <v>500700</v>
      </c>
      <c r="BF291" s="36">
        <f>(Inventory[[#This Row],[Unadj Total Value]]-Inventory[[#This Row],[24Final]])/Inventory[[#This Row],[24Final]]</f>
        <v>4.6832531883754969E-2</v>
      </c>
      <c r="BG291" s="25">
        <f>VLOOKUP(Inventory[[#This Row],[Nbhd]],Lookups!$Q$2:$T$4,4,FALSE)</f>
        <v>0.99970000000000003</v>
      </c>
      <c r="BH291" s="25">
        <f>VLOOKUP(Inventory[[#This Row],[Qlty]],Lookups!$O$7:$R$21,4,FALSE)</f>
        <v>0.98050000000000004</v>
      </c>
      <c r="BI291" s="25">
        <f>VLOOKUP(Inventory[[#This Row],[Cnd]],Lookups!$T$7:$W$16,4,FALSE)</f>
        <v>0.99650000000000005</v>
      </c>
      <c r="BJ291" s="25">
        <f>VLOOKUP(Inventory[[#This Row],[LivArea Range]],Lookups!$T$25:$W$37,4,FALSE)</f>
        <v>1.0126999999999999</v>
      </c>
      <c r="BK291" s="25">
        <f>VLOOKUP(Inventory[[#This Row],[Decade]],Lookups!$O$25:$R$42,4,FALSE)</f>
        <v>0.98119999999999996</v>
      </c>
      <c r="BL291" s="25">
        <f>Inventory[[#This Row],[Nbhd Adj]]*0.95</f>
        <v>0.94971499999999998</v>
      </c>
      <c r="BM291" s="25">
        <f>Inventory[[#This Row],[Nbhd Adj]]*Inventory[[#This Row],[Quality Adj]]*Inventory[[#This Row],[Condition Adj]]*Inventory[[#This Row],[Living Area Adj]]*Inventory[[#This Row],[Decade Adj]]*0.95</f>
        <v>0.92205440708472342</v>
      </c>
      <c r="BN291" s="25">
        <f>ROUND(SUM(Inventory[[#This Row],[Mdl Qlty]:[Mdl WdDeck]])+Inventory[[#This Row],[Mdl Res Intercept]]*Inventory[[#This Row],[Res Adj ]],-2)</f>
        <v>420100</v>
      </c>
      <c r="BO291" s="25">
        <f>ROUND(Inventory[[#This Row],[25Det]]*Inventory[[#This Row],[Det/Nbhd Adj]],-2)</f>
        <v>24500</v>
      </c>
      <c r="BP291" s="25">
        <f>Inventory[[#This Row],[Adjusted Res]]+Inventory[[#This Row],[Adj Det ]]</f>
        <v>444600</v>
      </c>
      <c r="BQ291" s="25">
        <f>ROUND((Inventory[[#This Row],[Mdl Land Intercept]]+Inventory[[#This Row],[Mdl LnAcres]])*Inventory[[#This Row],[Det/Nbhd Adj]],-2)</f>
        <v>52000</v>
      </c>
      <c r="BR291" s="25">
        <f>Inventory[[#This Row],[Adjusted Impr Total]]+Inventory[[#This Row],[Adjusted Land Total]]</f>
        <v>496600</v>
      </c>
      <c r="BS291" s="36">
        <f>IFERROR((Inventory[[#This Row],[Adjusted Impr Total]]-Inventory[[#This Row],[24Bldg]])/Inventory[[#This Row],[24Bldg]],0)</f>
        <v>0.10487077534791253</v>
      </c>
      <c r="BT291" s="36">
        <f>(Inventory[[#This Row],[Adjusted Land Total]]-Inventory[[#This Row],[24Lnd]])/Inventory[[#This Row],[24Lnd]]</f>
        <v>-0.31488801054018445</v>
      </c>
      <c r="BU291" s="36">
        <f>(Inventory[[#This Row],[Adjusted Total]]-Inventory[[#This Row],[24Final]])/Inventory[[#This Row],[24Final]]</f>
        <v>3.8260505958603384E-2</v>
      </c>
    </row>
    <row r="292" spans="1:73" x14ac:dyDescent="0.3">
      <c r="A292" s="25">
        <v>2025</v>
      </c>
      <c r="B292" s="26" t="s">
        <v>713</v>
      </c>
      <c r="C292" s="26">
        <f>LN(Inventory[[#This Row],[Acres]])</f>
        <v>-0.75502258427803282</v>
      </c>
      <c r="D292" s="25">
        <v>0.47</v>
      </c>
      <c r="E292" s="25">
        <v>20583</v>
      </c>
      <c r="F292" s="26" t="s">
        <v>537</v>
      </c>
      <c r="G292" s="26" t="s">
        <v>126</v>
      </c>
      <c r="H292" s="26" t="s">
        <v>349</v>
      </c>
      <c r="I292" s="26" t="s">
        <v>538</v>
      </c>
      <c r="J292" s="26" t="s">
        <v>539</v>
      </c>
      <c r="K292" s="26" t="s">
        <v>350</v>
      </c>
      <c r="L292" s="26" t="s">
        <v>302</v>
      </c>
      <c r="M292" s="26" t="s">
        <v>303</v>
      </c>
      <c r="N292" s="26">
        <v>60</v>
      </c>
      <c r="O292" s="26">
        <f>2024-Inventory[[#This Row],[YrBlt]]</f>
        <v>56</v>
      </c>
      <c r="P292" s="26">
        <f>2024-Inventory[[#This Row],[EffYr]]</f>
        <v>47</v>
      </c>
      <c r="Q292" s="25">
        <v>1968</v>
      </c>
      <c r="R292" s="25">
        <v>1977</v>
      </c>
      <c r="S292" s="25">
        <v>1676</v>
      </c>
      <c r="T292" s="27"/>
      <c r="U292" s="25">
        <v>775</v>
      </c>
      <c r="V292" s="25">
        <f>Inventory[[#This Row],[Bsmt]]-Inventory[[#This Row],[FnBsmt]]</f>
        <v>0</v>
      </c>
      <c r="W292" s="25">
        <v>775</v>
      </c>
      <c r="X292" s="27"/>
      <c r="Y292" s="27">
        <f>Inventory[[#This Row],[MainFn]]+Inventory[[#This Row],[UpprFn]]+Inventory[[#This Row],[FnBsmt]]+Inventory[[#This Row],[AddFn]]</f>
        <v>2451</v>
      </c>
      <c r="Z292" s="27">
        <v>2500</v>
      </c>
      <c r="AA292" s="25">
        <v>12</v>
      </c>
      <c r="AB292" s="25">
        <v>672</v>
      </c>
      <c r="AC292" s="27"/>
      <c r="AD292" s="27"/>
      <c r="AE292" s="27"/>
      <c r="AF292" s="27"/>
      <c r="AG292" s="27"/>
      <c r="AH292" s="27"/>
      <c r="AI292" s="25">
        <v>450903</v>
      </c>
      <c r="AJ292" s="25">
        <v>338177</v>
      </c>
      <c r="AK292" s="25">
        <v>0</v>
      </c>
      <c r="AL292" s="25">
        <v>419200</v>
      </c>
      <c r="AM292" s="25">
        <v>88200</v>
      </c>
      <c r="AN292" s="25">
        <v>331000</v>
      </c>
      <c r="AO292" s="25">
        <v>0</v>
      </c>
      <c r="AP292" s="25">
        <f>Lookups!$B$56*0</f>
        <v>0</v>
      </c>
      <c r="AQ292" s="25">
        <f>Lookups!$B$56*1</f>
        <v>89850.625589999996</v>
      </c>
      <c r="AR292" s="25">
        <f>Lookups!$B$57*Inventory[[#This Row],[LnAcres]]</f>
        <v>-23899.949781097919</v>
      </c>
      <c r="AS292" s="25">
        <f>VLOOKUP(Inventory[[#This Row],[Qlty]],Lookups!$A$62:$E$75,2,FALSE)</f>
        <v>29814.093161000001</v>
      </c>
      <c r="AT292" s="25">
        <f>VLOOKUP(Inventory[[#This Row],[Cnd]],Lookups!$A$76:$E$84,2,FALSE)</f>
        <v>197752.34721000001</v>
      </c>
      <c r="AU292" s="25">
        <f>Inventory[[#This Row],[EffAge]]*Lookups!$B$85</f>
        <v>-10483.143223500001</v>
      </c>
      <c r="AV292" s="25">
        <f>Inventory[[#This Row],[MainFn]]*Lookups!$B$86</f>
        <v>82808.930713852009</v>
      </c>
      <c r="AW292" s="25">
        <f>Inventory[[#This Row],[UpprFn]]*Lookups!$B$87</f>
        <v>0</v>
      </c>
      <c r="AX292" s="25">
        <f>Inventory[[#This Row],[AddFn]]*Lookups!$B$88</f>
        <v>0</v>
      </c>
      <c r="AY292" s="25">
        <f>Inventory[[#This Row],[Bsmt]]*Lookups!$B$89</f>
        <v>22538.468816425</v>
      </c>
      <c r="AZ292" s="25">
        <f>Inventory[[#This Row],[Fixtures]]*Lookups!$B$90</f>
        <v>45504.265262400004</v>
      </c>
      <c r="BA292" s="25">
        <f>Inventory[[#This Row],[WdDeck]]*Lookups!$B$91</f>
        <v>0</v>
      </c>
      <c r="BB292" s="25">
        <f>ROUND(Inventory[[#This Row],[25Det]],-2)</f>
        <v>0</v>
      </c>
      <c r="BC292" s="25">
        <f>ROUND(SUM(Inventory[[#This Row],[Mdl Qlty]:[Mdl WdDeck]])+Inventory[[#This Row],[Mdl Res Intercept]],-2)</f>
        <v>367900</v>
      </c>
      <c r="BD292" s="25">
        <f>ROUND(Inventory[[#This Row],[Mdl Land Intercept]]+Inventory[[#This Row],[Mdl LnAcres]],-2)</f>
        <v>66000</v>
      </c>
      <c r="BE292" s="25">
        <f>Inventory[[#This Row],[Unadj Res Value]]+Inventory[[#This Row],[Unadj Det Value]]+Inventory[[#This Row],[Unadj Land Value]]</f>
        <v>433900</v>
      </c>
      <c r="BF292" s="36">
        <f>(Inventory[[#This Row],[Unadj Total Value]]-Inventory[[#This Row],[24Final]])/Inventory[[#This Row],[24Final]]</f>
        <v>3.506679389312977E-2</v>
      </c>
      <c r="BG292" s="25">
        <f>VLOOKUP(Inventory[[#This Row],[Nbhd]],Lookups!$Q$2:$T$4,4,FALSE)</f>
        <v>0.99970000000000003</v>
      </c>
      <c r="BH292" s="25">
        <f>VLOOKUP(Inventory[[#This Row],[Qlty]],Lookups!$O$7:$R$21,4,FALSE)</f>
        <v>1.0088999999999999</v>
      </c>
      <c r="BI292" s="25">
        <f>VLOOKUP(Inventory[[#This Row],[Cnd]],Lookups!$T$7:$W$16,4,FALSE)</f>
        <v>0.99650000000000005</v>
      </c>
      <c r="BJ292" s="25">
        <f>VLOOKUP(Inventory[[#This Row],[LivArea Range]],Lookups!$T$25:$W$37,4,FALSE)</f>
        <v>0.98919999999999997</v>
      </c>
      <c r="BK292" s="25">
        <f>VLOOKUP(Inventory[[#This Row],[Decade]],Lookups!$O$25:$R$42,4,FALSE)</f>
        <v>0.98119999999999996</v>
      </c>
      <c r="BL292" s="25">
        <f>Inventory[[#This Row],[Nbhd Adj]]*0.95</f>
        <v>0.94971499999999998</v>
      </c>
      <c r="BM292" s="25">
        <f>Inventory[[#This Row],[Nbhd Adj]]*Inventory[[#This Row],[Quality Adj]]*Inventory[[#This Row],[Condition Adj]]*Inventory[[#This Row],[Living Area Adj]]*Inventory[[#This Row],[Decade Adj]]*0.95</f>
        <v>0.92674525201703128</v>
      </c>
      <c r="BN292" s="25">
        <f>ROUND(SUM(Inventory[[#This Row],[Mdl Qlty]:[Mdl WdDeck]])+Inventory[[#This Row],[Mdl Res Intercept]]*Inventory[[#This Row],[Res Adj ]],-2)</f>
        <v>367900</v>
      </c>
      <c r="BO292" s="25">
        <f>ROUND(Inventory[[#This Row],[25Det]]*Inventory[[#This Row],[Det/Nbhd Adj]],-2)</f>
        <v>0</v>
      </c>
      <c r="BP292" s="25">
        <f>Inventory[[#This Row],[Adjusted Res]]+Inventory[[#This Row],[Adj Det ]]</f>
        <v>367900</v>
      </c>
      <c r="BQ292" s="25">
        <f>ROUND((Inventory[[#This Row],[Mdl Land Intercept]]+Inventory[[#This Row],[Mdl LnAcres]])*Inventory[[#This Row],[Det/Nbhd Adj]],-2)</f>
        <v>62600</v>
      </c>
      <c r="BR292" s="25">
        <f>Inventory[[#This Row],[Adjusted Impr Total]]+Inventory[[#This Row],[Adjusted Land Total]]</f>
        <v>430500</v>
      </c>
      <c r="BS292" s="36">
        <f>IFERROR((Inventory[[#This Row],[Adjusted Impr Total]]-Inventory[[#This Row],[24Bldg]])/Inventory[[#This Row],[24Bldg]],0)</f>
        <v>0.11148036253776435</v>
      </c>
      <c r="BT292" s="36">
        <f>(Inventory[[#This Row],[Adjusted Land Total]]-Inventory[[#This Row],[24Lnd]])/Inventory[[#This Row],[24Lnd]]</f>
        <v>-0.29024943310657597</v>
      </c>
      <c r="BU292" s="36">
        <f>(Inventory[[#This Row],[Adjusted Total]]-Inventory[[#This Row],[24Final]])/Inventory[[#This Row],[24Final]]</f>
        <v>2.6956106870229007E-2</v>
      </c>
    </row>
    <row r="293" spans="1:73" x14ac:dyDescent="0.3">
      <c r="A293" s="25">
        <v>2025</v>
      </c>
      <c r="B293" s="26" t="s">
        <v>1010</v>
      </c>
      <c r="C293" s="26">
        <f>LN(Inventory[[#This Row],[Acres]])</f>
        <v>-1.4271163556401458</v>
      </c>
      <c r="D293" s="25">
        <v>0.24</v>
      </c>
      <c r="E293" s="25">
        <v>10450</v>
      </c>
      <c r="F293" s="26" t="s">
        <v>537</v>
      </c>
      <c r="G293" s="26" t="s">
        <v>126</v>
      </c>
      <c r="H293" s="26" t="s">
        <v>349</v>
      </c>
      <c r="I293" s="26" t="s">
        <v>538</v>
      </c>
      <c r="J293" s="26" t="s">
        <v>539</v>
      </c>
      <c r="K293" s="26" t="s">
        <v>350</v>
      </c>
      <c r="L293" s="26" t="s">
        <v>95</v>
      </c>
      <c r="M293" s="26" t="s">
        <v>303</v>
      </c>
      <c r="N293" s="26">
        <v>60</v>
      </c>
      <c r="O293" s="26">
        <f>2024-Inventory[[#This Row],[YrBlt]]</f>
        <v>56</v>
      </c>
      <c r="P293" s="26">
        <f>2024-Inventory[[#This Row],[EffYr]]</f>
        <v>47</v>
      </c>
      <c r="Q293" s="25">
        <v>1968</v>
      </c>
      <c r="R293" s="25">
        <v>1977</v>
      </c>
      <c r="S293" s="25">
        <v>1706</v>
      </c>
      <c r="T293" s="27"/>
      <c r="U293" s="32">
        <v>864</v>
      </c>
      <c r="V293" s="32">
        <f>Inventory[[#This Row],[Bsmt]]-Inventory[[#This Row],[FnBsmt]]</f>
        <v>0</v>
      </c>
      <c r="W293" s="32">
        <v>864</v>
      </c>
      <c r="X293" s="27"/>
      <c r="Y293" s="27">
        <f>Inventory[[#This Row],[MainFn]]+Inventory[[#This Row],[UpprFn]]+Inventory[[#This Row],[FnBsmt]]+Inventory[[#This Row],[AddFn]]</f>
        <v>2570</v>
      </c>
      <c r="Z293" s="27">
        <v>3000</v>
      </c>
      <c r="AA293" s="25">
        <v>11</v>
      </c>
      <c r="AB293" s="32">
        <v>696</v>
      </c>
      <c r="AC293" s="27"/>
      <c r="AD293" s="27"/>
      <c r="AE293" s="27"/>
      <c r="AF293" s="27"/>
      <c r="AG293" s="27"/>
      <c r="AH293" s="27"/>
      <c r="AI293" s="25">
        <v>560126</v>
      </c>
      <c r="AJ293" s="25">
        <v>431297</v>
      </c>
      <c r="AK293" s="25">
        <v>0</v>
      </c>
      <c r="AL293" s="25">
        <v>458900</v>
      </c>
      <c r="AM293" s="25">
        <v>64800</v>
      </c>
      <c r="AN293" s="25">
        <v>394100</v>
      </c>
      <c r="AO293" s="25">
        <v>0</v>
      </c>
      <c r="AP293" s="25">
        <f>Lookups!$B$56*0</f>
        <v>0</v>
      </c>
      <c r="AQ293" s="25">
        <f>Lookups!$B$56*1</f>
        <v>89850.625589999996</v>
      </c>
      <c r="AR293" s="25">
        <f>Lookups!$B$57*Inventory[[#This Row],[LnAcres]]</f>
        <v>-45174.819855485119</v>
      </c>
      <c r="AS293" s="25">
        <f>VLOOKUP(Inventory[[#This Row],[Qlty]],Lookups!$A$62:$E$75,2,FALSE)</f>
        <v>74268.409664999999</v>
      </c>
      <c r="AT293" s="25">
        <f>VLOOKUP(Inventory[[#This Row],[Cnd]],Lookups!$A$76:$E$84,2,FALSE)</f>
        <v>197752.34721000001</v>
      </c>
      <c r="AU293" s="25">
        <f>Inventory[[#This Row],[EffAge]]*Lookups!$B$85</f>
        <v>-10483.143223500001</v>
      </c>
      <c r="AV293" s="25">
        <f>Inventory[[#This Row],[MainFn]]*Lookups!$B$86</f>
        <v>84291.190810162007</v>
      </c>
      <c r="AW293" s="25">
        <f>Inventory[[#This Row],[UpprFn]]*Lookups!$B$87</f>
        <v>0</v>
      </c>
      <c r="AX293" s="25">
        <f>Inventory[[#This Row],[AddFn]]*Lookups!$B$88</f>
        <v>0</v>
      </c>
      <c r="AY293" s="25">
        <f>Inventory[[#This Row],[Bsmt]]*Lookups!$B$89</f>
        <v>25126.757493408</v>
      </c>
      <c r="AZ293" s="25">
        <f>Inventory[[#This Row],[Fixtures]]*Lookups!$B$90</f>
        <v>41712.243157199999</v>
      </c>
      <c r="BA293" s="25">
        <f>Inventory[[#This Row],[WdDeck]]*Lookups!$B$91</f>
        <v>0</v>
      </c>
      <c r="BB293" s="25">
        <f>ROUND(Inventory[[#This Row],[25Det]],-2)</f>
        <v>0</v>
      </c>
      <c r="BC293" s="25">
        <f>ROUND(SUM(Inventory[[#This Row],[Mdl Qlty]:[Mdl WdDeck]])+Inventory[[#This Row],[Mdl Res Intercept]],-2)</f>
        <v>412700</v>
      </c>
      <c r="BD293" s="25">
        <f>ROUND(Inventory[[#This Row],[Mdl Land Intercept]]+Inventory[[#This Row],[Mdl LnAcres]],-2)</f>
        <v>44700</v>
      </c>
      <c r="BE293" s="25">
        <f>Inventory[[#This Row],[Unadj Res Value]]+Inventory[[#This Row],[Unadj Det Value]]+Inventory[[#This Row],[Unadj Land Value]]</f>
        <v>457400</v>
      </c>
      <c r="BF293" s="36">
        <f>(Inventory[[#This Row],[Unadj Total Value]]-Inventory[[#This Row],[24Final]])/Inventory[[#This Row],[24Final]]</f>
        <v>-3.2686859882327304E-3</v>
      </c>
      <c r="BG293" s="25">
        <f>VLOOKUP(Inventory[[#This Row],[Nbhd]],Lookups!$Q$2:$T$4,4,FALSE)</f>
        <v>0.99970000000000003</v>
      </c>
      <c r="BH293" s="25">
        <f>VLOOKUP(Inventory[[#This Row],[Qlty]],Lookups!$O$7:$R$21,4,FALSE)</f>
        <v>0.98380000000000001</v>
      </c>
      <c r="BI293" s="25">
        <f>VLOOKUP(Inventory[[#This Row],[Cnd]],Lookups!$T$7:$W$16,4,FALSE)</f>
        <v>0.99650000000000005</v>
      </c>
      <c r="BJ293" s="25">
        <f>VLOOKUP(Inventory[[#This Row],[LivArea Range]],Lookups!$T$25:$W$37,4,FALSE)</f>
        <v>0.96179999999999999</v>
      </c>
      <c r="BK293" s="25">
        <f>VLOOKUP(Inventory[[#This Row],[Decade]],Lookups!$O$25:$R$42,4,FALSE)</f>
        <v>0.98119999999999996</v>
      </c>
      <c r="BL293" s="25">
        <f>Inventory[[#This Row],[Nbhd Adj]]*0.95</f>
        <v>0.94971499999999998</v>
      </c>
      <c r="BM293" s="25">
        <f>Inventory[[#This Row],[Nbhd Adj]]*Inventory[[#This Row],[Quality Adj]]*Inventory[[#This Row],[Condition Adj]]*Inventory[[#This Row],[Living Area Adj]]*Inventory[[#This Row],[Decade Adj]]*0.95</f>
        <v>0.87865772359428407</v>
      </c>
      <c r="BN293" s="25">
        <f>ROUND(SUM(Inventory[[#This Row],[Mdl Qlty]:[Mdl WdDeck]])+Inventory[[#This Row],[Mdl Res Intercept]]*Inventory[[#This Row],[Res Adj ]],-2)</f>
        <v>412700</v>
      </c>
      <c r="BO293" s="25">
        <f>ROUND(Inventory[[#This Row],[25Det]]*Inventory[[#This Row],[Det/Nbhd Adj]],-2)</f>
        <v>0</v>
      </c>
      <c r="BP293" s="25">
        <f>Inventory[[#This Row],[Adjusted Res]]+Inventory[[#This Row],[Adj Det ]]</f>
        <v>412700</v>
      </c>
      <c r="BQ293" s="25">
        <f>ROUND((Inventory[[#This Row],[Mdl Land Intercept]]+Inventory[[#This Row],[Mdl LnAcres]])*Inventory[[#This Row],[Det/Nbhd Adj]],-2)</f>
        <v>42400</v>
      </c>
      <c r="BR293" s="25">
        <f>Inventory[[#This Row],[Adjusted Impr Total]]+Inventory[[#This Row],[Adjusted Land Total]]</f>
        <v>455100</v>
      </c>
      <c r="BS293" s="36">
        <f>IFERROR((Inventory[[#This Row],[Adjusted Impr Total]]-Inventory[[#This Row],[24Bldg]])/Inventory[[#This Row],[24Bldg]],0)</f>
        <v>4.7196143110885561E-2</v>
      </c>
      <c r="BT293" s="36">
        <f>(Inventory[[#This Row],[Adjusted Land Total]]-Inventory[[#This Row],[24Lnd]])/Inventory[[#This Row],[24Lnd]]</f>
        <v>-0.34567901234567899</v>
      </c>
      <c r="BU293" s="36">
        <f>(Inventory[[#This Row],[Adjusted Total]]-Inventory[[#This Row],[24Final]])/Inventory[[#This Row],[24Final]]</f>
        <v>-8.2806711701895845E-3</v>
      </c>
    </row>
    <row r="294" spans="1:73" x14ac:dyDescent="0.3">
      <c r="A294" s="25">
        <v>2025</v>
      </c>
      <c r="B294" s="26" t="s">
        <v>1910</v>
      </c>
      <c r="C294" s="26">
        <f>LN(Inventory[[#This Row],[Acres]])</f>
        <v>-2.120263536200091</v>
      </c>
      <c r="D294" s="25">
        <v>0.12</v>
      </c>
      <c r="E294" s="31"/>
      <c r="F294" s="26" t="s">
        <v>537</v>
      </c>
      <c r="G294" s="26" t="s">
        <v>126</v>
      </c>
      <c r="H294" s="26" t="s">
        <v>349</v>
      </c>
      <c r="I294" s="26" t="s">
        <v>538</v>
      </c>
      <c r="J294" s="26" t="s">
        <v>539</v>
      </c>
      <c r="K294" s="26" t="s">
        <v>241</v>
      </c>
      <c r="L294" s="26" t="s">
        <v>31</v>
      </c>
      <c r="M294" s="26" t="s">
        <v>303</v>
      </c>
      <c r="N294" s="26">
        <v>60</v>
      </c>
      <c r="O294" s="26">
        <f>2024-Inventory[[#This Row],[YrBlt]]</f>
        <v>56</v>
      </c>
      <c r="P294" s="26">
        <f>2024-Inventory[[#This Row],[EffYr]]</f>
        <v>47</v>
      </c>
      <c r="Q294" s="25">
        <v>1968</v>
      </c>
      <c r="R294" s="25">
        <v>1977</v>
      </c>
      <c r="S294" s="25">
        <v>984</v>
      </c>
      <c r="T294" s="27"/>
      <c r="U294" s="27"/>
      <c r="V294" s="27">
        <f>Inventory[[#This Row],[Bsmt]]-Inventory[[#This Row],[FnBsmt]]</f>
        <v>0</v>
      </c>
      <c r="W294" s="27"/>
      <c r="X294" s="27"/>
      <c r="Y294" s="27">
        <f>Inventory[[#This Row],[MainFn]]+Inventory[[#This Row],[UpprFn]]+Inventory[[#This Row],[FnBsmt]]+Inventory[[#This Row],[AddFn]]</f>
        <v>984</v>
      </c>
      <c r="Z294" s="27">
        <v>1000</v>
      </c>
      <c r="AA294" s="25">
        <v>5</v>
      </c>
      <c r="AB294" s="27"/>
      <c r="AC294" s="27"/>
      <c r="AD294" s="27"/>
      <c r="AE294" s="27"/>
      <c r="AF294" s="27"/>
      <c r="AG294" s="27"/>
      <c r="AH294" s="27"/>
      <c r="AI294" s="25">
        <v>140374</v>
      </c>
      <c r="AJ294" s="25">
        <v>105281</v>
      </c>
      <c r="AK294" s="25">
        <v>0</v>
      </c>
      <c r="AL294" s="25">
        <v>243500</v>
      </c>
      <c r="AM294" s="25">
        <v>40600</v>
      </c>
      <c r="AN294" s="25">
        <v>202900</v>
      </c>
      <c r="AO294" s="25">
        <v>0</v>
      </c>
      <c r="AP294" s="25">
        <f>Lookups!$B$56*0</f>
        <v>0</v>
      </c>
      <c r="AQ294" s="25">
        <f>Lookups!$B$56*1</f>
        <v>89850.625589999996</v>
      </c>
      <c r="AR294" s="25">
        <f>Lookups!$B$57*Inventory[[#This Row],[LnAcres]]</f>
        <v>-67116.12750806773</v>
      </c>
      <c r="AS294" s="25">
        <f>VLOOKUP(Inventory[[#This Row],[Qlty]],Lookups!$A$62:$E$75,2,FALSE)</f>
        <v>-43578.886190266698</v>
      </c>
      <c r="AT294" s="25">
        <f>VLOOKUP(Inventory[[#This Row],[Cnd]],Lookups!$A$76:$E$84,2,FALSE)</f>
        <v>197752.34721000001</v>
      </c>
      <c r="AU294" s="25">
        <f>Inventory[[#This Row],[EffAge]]*Lookups!$B$85</f>
        <v>-10483.143223500001</v>
      </c>
      <c r="AV294" s="25">
        <f>Inventory[[#This Row],[MainFn]]*Lookups!$B$86</f>
        <v>48618.131158968004</v>
      </c>
      <c r="AW294" s="25">
        <f>Inventory[[#This Row],[UpprFn]]*Lookups!$B$87</f>
        <v>0</v>
      </c>
      <c r="AX294" s="25">
        <f>Inventory[[#This Row],[AddFn]]*Lookups!$B$88</f>
        <v>0</v>
      </c>
      <c r="AY294" s="25">
        <f>Inventory[[#This Row],[Bsmt]]*Lookups!$B$89</f>
        <v>0</v>
      </c>
      <c r="AZ294" s="25">
        <f>Inventory[[#This Row],[Fixtures]]*Lookups!$B$90</f>
        <v>18960.110526</v>
      </c>
      <c r="BA294" s="25">
        <f>Inventory[[#This Row],[WdDeck]]*Lookups!$B$91</f>
        <v>0</v>
      </c>
      <c r="BB294" s="25">
        <f>ROUND(Inventory[[#This Row],[25Det]],-2)</f>
        <v>0</v>
      </c>
      <c r="BC294" s="25">
        <f>ROUND(SUM(Inventory[[#This Row],[Mdl Qlty]:[Mdl WdDeck]])+Inventory[[#This Row],[Mdl Res Intercept]],-2)</f>
        <v>211300</v>
      </c>
      <c r="BD294" s="25">
        <f>ROUND(Inventory[[#This Row],[Mdl Land Intercept]]+Inventory[[#This Row],[Mdl LnAcres]],-2)</f>
        <v>22700</v>
      </c>
      <c r="BE294" s="25">
        <f>Inventory[[#This Row],[Unadj Res Value]]+Inventory[[#This Row],[Unadj Det Value]]+Inventory[[#This Row],[Unadj Land Value]]</f>
        <v>234000</v>
      </c>
      <c r="BF294" s="36">
        <f>(Inventory[[#This Row],[Unadj Total Value]]-Inventory[[#This Row],[24Final]])/Inventory[[#This Row],[24Final]]</f>
        <v>-3.9014373716632446E-2</v>
      </c>
      <c r="BG294" s="25">
        <f>VLOOKUP(Inventory[[#This Row],[Nbhd]],Lookups!$Q$2:$T$4,4,FALSE)</f>
        <v>0.99970000000000003</v>
      </c>
      <c r="BH294" s="25">
        <f>VLOOKUP(Inventory[[#This Row],[Qlty]],Lookups!$O$7:$R$21,4,FALSE)</f>
        <v>1</v>
      </c>
      <c r="BI294" s="25">
        <f>VLOOKUP(Inventory[[#This Row],[Cnd]],Lookups!$T$7:$W$16,4,FALSE)</f>
        <v>0.99650000000000005</v>
      </c>
      <c r="BJ294" s="25">
        <f>VLOOKUP(Inventory[[#This Row],[LivArea Range]],Lookups!$T$25:$W$37,4,FALSE)</f>
        <v>1.0148999999999999</v>
      </c>
      <c r="BK294" s="25">
        <f>VLOOKUP(Inventory[[#This Row],[Decade]],Lookups!$O$25:$R$42,4,FALSE)</f>
        <v>0.98119999999999996</v>
      </c>
      <c r="BL294" s="25">
        <f>Inventory[[#This Row],[Nbhd Adj]]*0.95</f>
        <v>0.94971499999999998</v>
      </c>
      <c r="BM294" s="25">
        <f>Inventory[[#This Row],[Nbhd Adj]]*Inventory[[#This Row],[Quality Adj]]*Inventory[[#This Row],[Condition Adj]]*Inventory[[#This Row],[Living Area Adj]]*Inventory[[#This Row],[Decade Adj]]*0.95</f>
        <v>0.94243496956353012</v>
      </c>
      <c r="BN294" s="25">
        <f>ROUND(SUM(Inventory[[#This Row],[Mdl Qlty]:[Mdl WdDeck]])+Inventory[[#This Row],[Mdl Res Intercept]]*Inventory[[#This Row],[Res Adj ]],-2)</f>
        <v>211300</v>
      </c>
      <c r="BO294" s="25">
        <f>ROUND(Inventory[[#This Row],[25Det]]*Inventory[[#This Row],[Det/Nbhd Adj]],-2)</f>
        <v>0</v>
      </c>
      <c r="BP294" s="25">
        <f>Inventory[[#This Row],[Adjusted Res]]+Inventory[[#This Row],[Adj Det ]]</f>
        <v>211300</v>
      </c>
      <c r="BQ294" s="25">
        <f>ROUND((Inventory[[#This Row],[Mdl Land Intercept]]+Inventory[[#This Row],[Mdl LnAcres]])*Inventory[[#This Row],[Det/Nbhd Adj]],-2)</f>
        <v>21600</v>
      </c>
      <c r="BR294" s="25">
        <f>Inventory[[#This Row],[Adjusted Impr Total]]+Inventory[[#This Row],[Adjusted Land Total]]</f>
        <v>232900</v>
      </c>
      <c r="BS294" s="36">
        <f>IFERROR((Inventory[[#This Row],[Adjusted Impr Total]]-Inventory[[#This Row],[24Bldg]])/Inventory[[#This Row],[24Bldg]],0)</f>
        <v>4.1399704287826515E-2</v>
      </c>
      <c r="BT294" s="36">
        <f>(Inventory[[#This Row],[Adjusted Land Total]]-Inventory[[#This Row],[24Lnd]])/Inventory[[#This Row],[24Lnd]]</f>
        <v>-0.46798029556650245</v>
      </c>
      <c r="BU294" s="36">
        <f>(Inventory[[#This Row],[Adjusted Total]]-Inventory[[#This Row],[24Final]])/Inventory[[#This Row],[24Final]]</f>
        <v>-4.3531827515400412E-2</v>
      </c>
    </row>
    <row r="295" spans="1:73" x14ac:dyDescent="0.3">
      <c r="A295" s="25">
        <v>2025</v>
      </c>
      <c r="B295" s="26" t="s">
        <v>2457</v>
      </c>
      <c r="C295" s="26">
        <f>LN(Inventory[[#This Row],[Acres]])</f>
        <v>-1.6607312068216509</v>
      </c>
      <c r="D295" s="25">
        <v>0.19</v>
      </c>
      <c r="E295" s="31"/>
      <c r="F295" s="26" t="s">
        <v>537</v>
      </c>
      <c r="G295" s="26" t="s">
        <v>126</v>
      </c>
      <c r="H295" s="26" t="s">
        <v>349</v>
      </c>
      <c r="I295" s="26" t="s">
        <v>538</v>
      </c>
      <c r="J295" s="26" t="s">
        <v>539</v>
      </c>
      <c r="K295" s="26" t="s">
        <v>241</v>
      </c>
      <c r="L295" s="26" t="s">
        <v>302</v>
      </c>
      <c r="M295" s="26" t="s">
        <v>303</v>
      </c>
      <c r="N295" s="26">
        <v>60</v>
      </c>
      <c r="O295" s="26">
        <f>2024-Inventory[[#This Row],[YrBlt]]</f>
        <v>57</v>
      </c>
      <c r="P295" s="26">
        <f>2024-Inventory[[#This Row],[EffYr]]</f>
        <v>48</v>
      </c>
      <c r="Q295" s="25">
        <v>1967</v>
      </c>
      <c r="R295" s="25">
        <v>1976</v>
      </c>
      <c r="S295" s="25">
        <v>1789</v>
      </c>
      <c r="T295" s="27"/>
      <c r="U295" s="27"/>
      <c r="V295" s="27">
        <f>Inventory[[#This Row],[Bsmt]]-Inventory[[#This Row],[FnBsmt]]</f>
        <v>0</v>
      </c>
      <c r="W295" s="27"/>
      <c r="X295" s="27"/>
      <c r="Y295" s="27">
        <f>Inventory[[#This Row],[MainFn]]+Inventory[[#This Row],[UpprFn]]+Inventory[[#This Row],[FnBsmt]]+Inventory[[#This Row],[AddFn]]</f>
        <v>1789</v>
      </c>
      <c r="Z295" s="27">
        <v>2000</v>
      </c>
      <c r="AA295" s="25">
        <v>8</v>
      </c>
      <c r="AB295" s="32">
        <v>576</v>
      </c>
      <c r="AC295" s="27"/>
      <c r="AD295" s="27"/>
      <c r="AE295" s="27"/>
      <c r="AF295" s="27"/>
      <c r="AG295" s="27"/>
      <c r="AH295" s="27"/>
      <c r="AI295" s="25">
        <v>354879</v>
      </c>
      <c r="AJ295" s="25">
        <v>259062</v>
      </c>
      <c r="AK295" s="25">
        <v>0</v>
      </c>
      <c r="AL295" s="25">
        <v>347000</v>
      </c>
      <c r="AM295" s="25">
        <v>56600</v>
      </c>
      <c r="AN295" s="25">
        <v>290400</v>
      </c>
      <c r="AO295" s="25">
        <v>0</v>
      </c>
      <c r="AP295" s="25">
        <f>Lookups!$B$56*0</f>
        <v>0</v>
      </c>
      <c r="AQ295" s="25">
        <f>Lookups!$B$56*1</f>
        <v>89850.625589999996</v>
      </c>
      <c r="AR295" s="25">
        <f>Lookups!$B$57*Inventory[[#This Row],[LnAcres]]</f>
        <v>-52569.808201026557</v>
      </c>
      <c r="AS295" s="25">
        <f>VLOOKUP(Inventory[[#This Row],[Qlty]],Lookups!$A$62:$E$75,2,FALSE)</f>
        <v>29814.093161000001</v>
      </c>
      <c r="AT295" s="25">
        <f>VLOOKUP(Inventory[[#This Row],[Cnd]],Lookups!$A$76:$E$84,2,FALSE)</f>
        <v>197752.34721000001</v>
      </c>
      <c r="AU295" s="25">
        <f>Inventory[[#This Row],[EffAge]]*Lookups!$B$85</f>
        <v>-10706.188824000001</v>
      </c>
      <c r="AV295" s="25">
        <f>Inventory[[#This Row],[MainFn]]*Lookups!$B$86</f>
        <v>88392.110409953006</v>
      </c>
      <c r="AW295" s="25">
        <f>Inventory[[#This Row],[UpprFn]]*Lookups!$B$87</f>
        <v>0</v>
      </c>
      <c r="AX295" s="25">
        <f>Inventory[[#This Row],[AddFn]]*Lookups!$B$88</f>
        <v>0</v>
      </c>
      <c r="AY295" s="25">
        <f>Inventory[[#This Row],[Bsmt]]*Lookups!$B$89</f>
        <v>0</v>
      </c>
      <c r="AZ295" s="25">
        <f>Inventory[[#This Row],[Fixtures]]*Lookups!$B$90</f>
        <v>30336.176841600001</v>
      </c>
      <c r="BA295" s="25">
        <f>Inventory[[#This Row],[WdDeck]]*Lookups!$B$91</f>
        <v>0</v>
      </c>
      <c r="BB295" s="25">
        <f>ROUND(Inventory[[#This Row],[25Det]],-2)</f>
        <v>0</v>
      </c>
      <c r="BC295" s="25">
        <f>ROUND(SUM(Inventory[[#This Row],[Mdl Qlty]:[Mdl WdDeck]])+Inventory[[#This Row],[Mdl Res Intercept]],-2)</f>
        <v>335600</v>
      </c>
      <c r="BD295" s="25">
        <f>ROUND(Inventory[[#This Row],[Mdl Land Intercept]]+Inventory[[#This Row],[Mdl LnAcres]],-2)</f>
        <v>37300</v>
      </c>
      <c r="BE295" s="25">
        <f>Inventory[[#This Row],[Unadj Res Value]]+Inventory[[#This Row],[Unadj Det Value]]+Inventory[[#This Row],[Unadj Land Value]]</f>
        <v>372900</v>
      </c>
      <c r="BF295" s="36">
        <f>(Inventory[[#This Row],[Unadj Total Value]]-Inventory[[#This Row],[24Final]])/Inventory[[#This Row],[24Final]]</f>
        <v>7.4639769452449573E-2</v>
      </c>
      <c r="BG295" s="25">
        <f>VLOOKUP(Inventory[[#This Row],[Nbhd]],Lookups!$Q$2:$T$4,4,FALSE)</f>
        <v>0.99970000000000003</v>
      </c>
      <c r="BH295" s="25">
        <f>VLOOKUP(Inventory[[#This Row],[Qlty]],Lookups!$O$7:$R$21,4,FALSE)</f>
        <v>1.0088999999999999</v>
      </c>
      <c r="BI295" s="25">
        <f>VLOOKUP(Inventory[[#This Row],[Cnd]],Lookups!$T$7:$W$16,4,FALSE)</f>
        <v>0.99650000000000005</v>
      </c>
      <c r="BJ295" s="25">
        <f>VLOOKUP(Inventory[[#This Row],[LivArea Range]],Lookups!$T$25:$W$37,4,FALSE)</f>
        <v>1.0093000000000001</v>
      </c>
      <c r="BK295" s="25">
        <f>VLOOKUP(Inventory[[#This Row],[Decade]],Lookups!$O$25:$R$42,4,FALSE)</f>
        <v>0.98119999999999996</v>
      </c>
      <c r="BL295" s="25">
        <f>Inventory[[#This Row],[Nbhd Adj]]*0.95</f>
        <v>0.94971499999999998</v>
      </c>
      <c r="BM295" s="25">
        <f>Inventory[[#This Row],[Nbhd Adj]]*Inventory[[#This Row],[Quality Adj]]*Inventory[[#This Row],[Condition Adj]]*Inventory[[#This Row],[Living Area Adj]]*Inventory[[#This Row],[Decade Adj]]*0.95</f>
        <v>0.94557620588434055</v>
      </c>
      <c r="BN295" s="25">
        <f>ROUND(SUM(Inventory[[#This Row],[Mdl Qlty]:[Mdl WdDeck]])+Inventory[[#This Row],[Mdl Res Intercept]]*Inventory[[#This Row],[Res Adj ]],-2)</f>
        <v>335600</v>
      </c>
      <c r="BO295" s="25">
        <f>ROUND(Inventory[[#This Row],[25Det]]*Inventory[[#This Row],[Det/Nbhd Adj]],-2)</f>
        <v>0</v>
      </c>
      <c r="BP295" s="25">
        <f>Inventory[[#This Row],[Adjusted Res]]+Inventory[[#This Row],[Adj Det ]]</f>
        <v>335600</v>
      </c>
      <c r="BQ295" s="25">
        <f>ROUND((Inventory[[#This Row],[Mdl Land Intercept]]+Inventory[[#This Row],[Mdl LnAcres]])*Inventory[[#This Row],[Det/Nbhd Adj]],-2)</f>
        <v>35400</v>
      </c>
      <c r="BR295" s="25">
        <f>Inventory[[#This Row],[Adjusted Impr Total]]+Inventory[[#This Row],[Adjusted Land Total]]</f>
        <v>371000</v>
      </c>
      <c r="BS295" s="36">
        <f>IFERROR((Inventory[[#This Row],[Adjusted Impr Total]]-Inventory[[#This Row],[24Bldg]])/Inventory[[#This Row],[24Bldg]],0)</f>
        <v>0.15564738292011018</v>
      </c>
      <c r="BT295" s="36">
        <f>(Inventory[[#This Row],[Adjusted Land Total]]-Inventory[[#This Row],[24Lnd]])/Inventory[[#This Row],[24Lnd]]</f>
        <v>-0.37455830388692579</v>
      </c>
      <c r="BU295" s="36">
        <f>(Inventory[[#This Row],[Adjusted Total]]-Inventory[[#This Row],[24Final]])/Inventory[[#This Row],[24Final]]</f>
        <v>6.9164265129683003E-2</v>
      </c>
    </row>
    <row r="296" spans="1:73" x14ac:dyDescent="0.3">
      <c r="A296" s="25">
        <v>2025</v>
      </c>
      <c r="B296" s="26" t="s">
        <v>1775</v>
      </c>
      <c r="C296" s="26">
        <f>LN(Inventory[[#This Row],[Acres]])</f>
        <v>-1.8971199848858813</v>
      </c>
      <c r="D296" s="25">
        <v>0.15</v>
      </c>
      <c r="E296" s="25">
        <v>6404</v>
      </c>
      <c r="F296" s="26" t="s">
        <v>537</v>
      </c>
      <c r="G296" s="26" t="s">
        <v>126</v>
      </c>
      <c r="H296" s="26" t="s">
        <v>349</v>
      </c>
      <c r="I296" s="26" t="s">
        <v>538</v>
      </c>
      <c r="J296" s="26" t="s">
        <v>539</v>
      </c>
      <c r="K296" s="26" t="s">
        <v>241</v>
      </c>
      <c r="L296" s="26" t="s">
        <v>302</v>
      </c>
      <c r="M296" s="26" t="s">
        <v>303</v>
      </c>
      <c r="N296" s="26">
        <v>60</v>
      </c>
      <c r="O296" s="26">
        <f>2024-Inventory[[#This Row],[YrBlt]]</f>
        <v>57</v>
      </c>
      <c r="P296" s="26">
        <f>2024-Inventory[[#This Row],[EffYr]]</f>
        <v>48</v>
      </c>
      <c r="Q296" s="25">
        <v>1967</v>
      </c>
      <c r="R296" s="25">
        <v>1976</v>
      </c>
      <c r="S296" s="25">
        <v>1062</v>
      </c>
      <c r="T296" s="27"/>
      <c r="U296" s="25">
        <v>1062</v>
      </c>
      <c r="V296" s="25">
        <f>Inventory[[#This Row],[Bsmt]]-Inventory[[#This Row],[FnBsmt]]</f>
        <v>0</v>
      </c>
      <c r="W296" s="25">
        <v>1062</v>
      </c>
      <c r="X296" s="27"/>
      <c r="Y296" s="27">
        <f>Inventory[[#This Row],[MainFn]]+Inventory[[#This Row],[UpprFn]]+Inventory[[#This Row],[FnBsmt]]+Inventory[[#This Row],[AddFn]]</f>
        <v>2124</v>
      </c>
      <c r="Z296" s="27">
        <v>2500</v>
      </c>
      <c r="AA296" s="25">
        <v>8</v>
      </c>
      <c r="AB296" s="27"/>
      <c r="AC296" s="27"/>
      <c r="AD296" s="32">
        <v>130</v>
      </c>
      <c r="AE296" s="27"/>
      <c r="AF296" s="27"/>
      <c r="AG296" s="27"/>
      <c r="AH296" s="27"/>
      <c r="AI296" s="25">
        <v>318752</v>
      </c>
      <c r="AJ296" s="25">
        <v>232689</v>
      </c>
      <c r="AK296" s="25">
        <v>12142</v>
      </c>
      <c r="AL296" s="25">
        <v>351500</v>
      </c>
      <c r="AM296" s="25">
        <v>48400</v>
      </c>
      <c r="AN296" s="25">
        <v>303100</v>
      </c>
      <c r="AO296" s="25">
        <v>0</v>
      </c>
      <c r="AP296" s="25">
        <f>Lookups!$B$56*0</f>
        <v>0</v>
      </c>
      <c r="AQ296" s="25">
        <f>Lookups!$B$56*1</f>
        <v>89850.625589999996</v>
      </c>
      <c r="AR296" s="25">
        <f>Lookups!$B$57*Inventory[[#This Row],[LnAcres]]</f>
        <v>-60052.604136134301</v>
      </c>
      <c r="AS296" s="25">
        <f>VLOOKUP(Inventory[[#This Row],[Qlty]],Lookups!$A$62:$E$75,2,FALSE)</f>
        <v>29814.093161000001</v>
      </c>
      <c r="AT296" s="25">
        <f>VLOOKUP(Inventory[[#This Row],[Cnd]],Lookups!$A$76:$E$84,2,FALSE)</f>
        <v>197752.34721000001</v>
      </c>
      <c r="AU296" s="25">
        <f>Inventory[[#This Row],[EffAge]]*Lookups!$B$85</f>
        <v>-10706.188824000001</v>
      </c>
      <c r="AV296" s="25">
        <f>Inventory[[#This Row],[MainFn]]*Lookups!$B$86</f>
        <v>52472.007409374004</v>
      </c>
      <c r="AW296" s="25">
        <f>Inventory[[#This Row],[UpprFn]]*Lookups!$B$87</f>
        <v>0</v>
      </c>
      <c r="AX296" s="25">
        <f>Inventory[[#This Row],[AddFn]]*Lookups!$B$88</f>
        <v>0</v>
      </c>
      <c r="AY296" s="25">
        <f>Inventory[[#This Row],[Bsmt]]*Lookups!$B$89</f>
        <v>30884.972752313999</v>
      </c>
      <c r="AZ296" s="25">
        <f>Inventory[[#This Row],[Fixtures]]*Lookups!$B$90</f>
        <v>30336.176841600001</v>
      </c>
      <c r="BA296" s="25">
        <f>Inventory[[#This Row],[WdDeck]]*Lookups!$B$91</f>
        <v>4328.4169858800005</v>
      </c>
      <c r="BB296" s="25">
        <f>ROUND(Inventory[[#This Row],[25Det]],-2)</f>
        <v>12100</v>
      </c>
      <c r="BC296" s="25">
        <f>ROUND(SUM(Inventory[[#This Row],[Mdl Qlty]:[Mdl WdDeck]])+Inventory[[#This Row],[Mdl Res Intercept]],-2)</f>
        <v>334900</v>
      </c>
      <c r="BD296" s="25">
        <f>ROUND(Inventory[[#This Row],[Mdl Land Intercept]]+Inventory[[#This Row],[Mdl LnAcres]],-2)</f>
        <v>29800</v>
      </c>
      <c r="BE296" s="25">
        <f>Inventory[[#This Row],[Unadj Res Value]]+Inventory[[#This Row],[Unadj Det Value]]+Inventory[[#This Row],[Unadj Land Value]]</f>
        <v>376800</v>
      </c>
      <c r="BF296" s="36">
        <f>(Inventory[[#This Row],[Unadj Total Value]]-Inventory[[#This Row],[24Final]])/Inventory[[#This Row],[24Final]]</f>
        <v>7.1977240398293035E-2</v>
      </c>
      <c r="BG296" s="25">
        <f>VLOOKUP(Inventory[[#This Row],[Nbhd]],Lookups!$Q$2:$T$4,4,FALSE)</f>
        <v>0.99970000000000003</v>
      </c>
      <c r="BH296" s="25">
        <f>VLOOKUP(Inventory[[#This Row],[Qlty]],Lookups!$O$7:$R$21,4,FALSE)</f>
        <v>1.0088999999999999</v>
      </c>
      <c r="BI296" s="25">
        <f>VLOOKUP(Inventory[[#This Row],[Cnd]],Lookups!$T$7:$W$16,4,FALSE)</f>
        <v>0.99650000000000005</v>
      </c>
      <c r="BJ296" s="25">
        <f>VLOOKUP(Inventory[[#This Row],[LivArea Range]],Lookups!$T$25:$W$37,4,FALSE)</f>
        <v>0.98919999999999997</v>
      </c>
      <c r="BK296" s="25">
        <f>VLOOKUP(Inventory[[#This Row],[Decade]],Lookups!$O$25:$R$42,4,FALSE)</f>
        <v>0.98119999999999996</v>
      </c>
      <c r="BL296" s="25">
        <f>Inventory[[#This Row],[Nbhd Adj]]*0.95</f>
        <v>0.94971499999999998</v>
      </c>
      <c r="BM296" s="25">
        <f>Inventory[[#This Row],[Nbhd Adj]]*Inventory[[#This Row],[Quality Adj]]*Inventory[[#This Row],[Condition Adj]]*Inventory[[#This Row],[Living Area Adj]]*Inventory[[#This Row],[Decade Adj]]*0.95</f>
        <v>0.92674525201703128</v>
      </c>
      <c r="BN296" s="25">
        <f>ROUND(SUM(Inventory[[#This Row],[Mdl Qlty]:[Mdl WdDeck]])+Inventory[[#This Row],[Mdl Res Intercept]]*Inventory[[#This Row],[Res Adj ]],-2)</f>
        <v>334900</v>
      </c>
      <c r="BO296" s="25">
        <f>ROUND(Inventory[[#This Row],[25Det]]*Inventory[[#This Row],[Det/Nbhd Adj]],-2)</f>
        <v>11500</v>
      </c>
      <c r="BP296" s="25">
        <f>Inventory[[#This Row],[Adjusted Res]]+Inventory[[#This Row],[Adj Det ]]</f>
        <v>346400</v>
      </c>
      <c r="BQ296" s="25">
        <f>ROUND((Inventory[[#This Row],[Mdl Land Intercept]]+Inventory[[#This Row],[Mdl LnAcres]])*Inventory[[#This Row],[Det/Nbhd Adj]],-2)</f>
        <v>28300</v>
      </c>
      <c r="BR296" s="25">
        <f>Inventory[[#This Row],[Adjusted Impr Total]]+Inventory[[#This Row],[Adjusted Land Total]]</f>
        <v>374700</v>
      </c>
      <c r="BS296" s="36">
        <f>IFERROR((Inventory[[#This Row],[Adjusted Impr Total]]-Inventory[[#This Row],[24Bldg]])/Inventory[[#This Row],[24Bldg]],0)</f>
        <v>0.14285714285714285</v>
      </c>
      <c r="BT296" s="36">
        <f>(Inventory[[#This Row],[Adjusted Land Total]]-Inventory[[#This Row],[24Lnd]])/Inventory[[#This Row],[24Lnd]]</f>
        <v>-0.41528925619834711</v>
      </c>
      <c r="BU296" s="36">
        <f>(Inventory[[#This Row],[Adjusted Total]]-Inventory[[#This Row],[24Final]])/Inventory[[#This Row],[24Final]]</f>
        <v>6.6002844950213371E-2</v>
      </c>
    </row>
    <row r="297" spans="1:73" x14ac:dyDescent="0.3">
      <c r="A297" s="25">
        <v>2025</v>
      </c>
      <c r="B297" s="26" t="s">
        <v>2308</v>
      </c>
      <c r="C297" s="26">
        <f>LN(Inventory[[#This Row],[Acres]])</f>
        <v>-1.7147984280919266</v>
      </c>
      <c r="D297" s="25">
        <v>0.18</v>
      </c>
      <c r="E297" s="25">
        <v>8025</v>
      </c>
      <c r="F297" s="26" t="s">
        <v>537</v>
      </c>
      <c r="G297" s="26" t="s">
        <v>126</v>
      </c>
      <c r="H297" s="26" t="s">
        <v>349</v>
      </c>
      <c r="I297" s="26" t="s">
        <v>538</v>
      </c>
      <c r="J297" s="26" t="s">
        <v>539</v>
      </c>
      <c r="K297" s="26" t="s">
        <v>241</v>
      </c>
      <c r="L297" s="26" t="s">
        <v>302</v>
      </c>
      <c r="M297" s="26" t="s">
        <v>323</v>
      </c>
      <c r="N297" s="26">
        <v>60</v>
      </c>
      <c r="O297" s="26">
        <f>2024-Inventory[[#This Row],[YrBlt]]</f>
        <v>57</v>
      </c>
      <c r="P297" s="26">
        <f>2024-Inventory[[#This Row],[EffYr]]</f>
        <v>48</v>
      </c>
      <c r="Q297" s="25">
        <v>1967</v>
      </c>
      <c r="R297" s="25">
        <v>1976</v>
      </c>
      <c r="S297" s="25">
        <v>1502</v>
      </c>
      <c r="T297" s="27"/>
      <c r="U297" s="27"/>
      <c r="V297" s="27">
        <f>Inventory[[#This Row],[Bsmt]]-Inventory[[#This Row],[FnBsmt]]</f>
        <v>0</v>
      </c>
      <c r="W297" s="27"/>
      <c r="X297" s="27"/>
      <c r="Y297" s="27">
        <f>Inventory[[#This Row],[MainFn]]+Inventory[[#This Row],[UpprFn]]+Inventory[[#This Row],[FnBsmt]]+Inventory[[#This Row],[AddFn]]</f>
        <v>1502</v>
      </c>
      <c r="Z297" s="27">
        <v>2000</v>
      </c>
      <c r="AA297" s="25">
        <v>8</v>
      </c>
      <c r="AB297" s="32">
        <v>418</v>
      </c>
      <c r="AC297" s="27"/>
      <c r="AD297" s="25">
        <v>208</v>
      </c>
      <c r="AE297" s="27"/>
      <c r="AF297" s="27"/>
      <c r="AG297" s="27"/>
      <c r="AH297" s="27"/>
      <c r="AI297" s="25">
        <v>311549</v>
      </c>
      <c r="AJ297" s="25">
        <v>224315</v>
      </c>
      <c r="AK297" s="25">
        <v>0</v>
      </c>
      <c r="AL297" s="25">
        <v>305600</v>
      </c>
      <c r="AM297" s="25">
        <v>54700</v>
      </c>
      <c r="AN297" s="25">
        <v>250900</v>
      </c>
      <c r="AO297" s="25">
        <v>0</v>
      </c>
      <c r="AP297" s="25">
        <f>Lookups!$B$56*0</f>
        <v>0</v>
      </c>
      <c r="AQ297" s="25">
        <f>Lookups!$B$56*1</f>
        <v>89850.625589999996</v>
      </c>
      <c r="AR297" s="25">
        <f>Lookups!$B$57*Inventory[[#This Row],[LnAcres]]</f>
        <v>-54281.285314520763</v>
      </c>
      <c r="AS297" s="25">
        <f>VLOOKUP(Inventory[[#This Row],[Qlty]],Lookups!$A$62:$E$75,2,FALSE)</f>
        <v>29814.093161000001</v>
      </c>
      <c r="AT297" s="25">
        <f>VLOOKUP(Inventory[[#This Row],[Cnd]],Lookups!$A$76:$E$84,2,FALSE)</f>
        <v>160472.20319</v>
      </c>
      <c r="AU297" s="25">
        <f>Inventory[[#This Row],[EffAge]]*Lookups!$B$85</f>
        <v>-10706.188824000001</v>
      </c>
      <c r="AV297" s="25">
        <f>Inventory[[#This Row],[MainFn]]*Lookups!$B$86</f>
        <v>74211.822155254005</v>
      </c>
      <c r="AW297" s="25">
        <f>Inventory[[#This Row],[UpprFn]]*Lookups!$B$87</f>
        <v>0</v>
      </c>
      <c r="AX297" s="25">
        <f>Inventory[[#This Row],[AddFn]]*Lookups!$B$88</f>
        <v>0</v>
      </c>
      <c r="AY297" s="25">
        <f>Inventory[[#This Row],[Bsmt]]*Lookups!$B$89</f>
        <v>0</v>
      </c>
      <c r="AZ297" s="25">
        <f>Inventory[[#This Row],[Fixtures]]*Lookups!$B$90</f>
        <v>30336.176841600001</v>
      </c>
      <c r="BA297" s="25">
        <f>Inventory[[#This Row],[WdDeck]]*Lookups!$B$91</f>
        <v>6925.4671774080007</v>
      </c>
      <c r="BB297" s="25">
        <f>ROUND(Inventory[[#This Row],[25Det]],-2)</f>
        <v>0</v>
      </c>
      <c r="BC297" s="25">
        <f>ROUND(SUM(Inventory[[#This Row],[Mdl Qlty]:[Mdl WdDeck]])+Inventory[[#This Row],[Mdl Res Intercept]],-2)</f>
        <v>291100</v>
      </c>
      <c r="BD297" s="25">
        <f>ROUND(Inventory[[#This Row],[Mdl Land Intercept]]+Inventory[[#This Row],[Mdl LnAcres]],-2)</f>
        <v>35600</v>
      </c>
      <c r="BE297" s="25">
        <f>Inventory[[#This Row],[Unadj Res Value]]+Inventory[[#This Row],[Unadj Det Value]]+Inventory[[#This Row],[Unadj Land Value]]</f>
        <v>326700</v>
      </c>
      <c r="BF297" s="36">
        <f>(Inventory[[#This Row],[Unadj Total Value]]-Inventory[[#This Row],[24Final]])/Inventory[[#This Row],[24Final]]</f>
        <v>6.9044502617801054E-2</v>
      </c>
      <c r="BG297" s="25">
        <f>VLOOKUP(Inventory[[#This Row],[Nbhd]],Lookups!$Q$2:$T$4,4,FALSE)</f>
        <v>0.99970000000000003</v>
      </c>
      <c r="BH297" s="25">
        <f>VLOOKUP(Inventory[[#This Row],[Qlty]],Lookups!$O$7:$R$21,4,FALSE)</f>
        <v>1.0088999999999999</v>
      </c>
      <c r="BI297" s="25">
        <f>VLOOKUP(Inventory[[#This Row],[Cnd]],Lookups!$T$7:$W$16,4,FALSE)</f>
        <v>0.99729999999999996</v>
      </c>
      <c r="BJ297" s="25">
        <f>VLOOKUP(Inventory[[#This Row],[LivArea Range]],Lookups!$T$25:$W$37,4,FALSE)</f>
        <v>1.0093000000000001</v>
      </c>
      <c r="BK297" s="25">
        <f>VLOOKUP(Inventory[[#This Row],[Decade]],Lookups!$O$25:$R$42,4,FALSE)</f>
        <v>0.98119999999999996</v>
      </c>
      <c r="BL297" s="25">
        <f>Inventory[[#This Row],[Nbhd Adj]]*0.95</f>
        <v>0.94971499999999998</v>
      </c>
      <c r="BM297" s="25">
        <f>Inventory[[#This Row],[Nbhd Adj]]*Inventory[[#This Row],[Quality Adj]]*Inventory[[#This Row],[Condition Adj]]*Inventory[[#This Row],[Living Area Adj]]*Inventory[[#This Row],[Decade Adj]]*0.95</f>
        <v>0.94633532376161855</v>
      </c>
      <c r="BN297" s="25">
        <f>ROUND(SUM(Inventory[[#This Row],[Mdl Qlty]:[Mdl WdDeck]])+Inventory[[#This Row],[Mdl Res Intercept]]*Inventory[[#This Row],[Res Adj ]],-2)</f>
        <v>291100</v>
      </c>
      <c r="BO297" s="25">
        <f>ROUND(Inventory[[#This Row],[25Det]]*Inventory[[#This Row],[Det/Nbhd Adj]],-2)</f>
        <v>0</v>
      </c>
      <c r="BP297" s="25">
        <f>Inventory[[#This Row],[Adjusted Res]]+Inventory[[#This Row],[Adj Det ]]</f>
        <v>291100</v>
      </c>
      <c r="BQ297" s="25">
        <f>ROUND((Inventory[[#This Row],[Mdl Land Intercept]]+Inventory[[#This Row],[Mdl LnAcres]])*Inventory[[#This Row],[Det/Nbhd Adj]],-2)</f>
        <v>33800</v>
      </c>
      <c r="BR297" s="25">
        <f>Inventory[[#This Row],[Adjusted Impr Total]]+Inventory[[#This Row],[Adjusted Land Total]]</f>
        <v>324900</v>
      </c>
      <c r="BS297" s="36">
        <f>IFERROR((Inventory[[#This Row],[Adjusted Impr Total]]-Inventory[[#This Row],[24Bldg]])/Inventory[[#This Row],[24Bldg]],0)</f>
        <v>0.16022319649262654</v>
      </c>
      <c r="BT297" s="36">
        <f>(Inventory[[#This Row],[Adjusted Land Total]]-Inventory[[#This Row],[24Lnd]])/Inventory[[#This Row],[24Lnd]]</f>
        <v>-0.38208409506398539</v>
      </c>
      <c r="BU297" s="36">
        <f>(Inventory[[#This Row],[Adjusted Total]]-Inventory[[#This Row],[24Final]])/Inventory[[#This Row],[24Final]]</f>
        <v>6.3154450261780098E-2</v>
      </c>
    </row>
    <row r="298" spans="1:73" x14ac:dyDescent="0.3">
      <c r="A298" s="25">
        <v>2025</v>
      </c>
      <c r="B298" s="26" t="s">
        <v>2454</v>
      </c>
      <c r="C298" s="26">
        <f>LN(Inventory[[#This Row],[Acres]])</f>
        <v>-1.6607312068216509</v>
      </c>
      <c r="D298" s="25">
        <v>0.19</v>
      </c>
      <c r="E298" s="31"/>
      <c r="F298" s="26" t="s">
        <v>537</v>
      </c>
      <c r="G298" s="26" t="s">
        <v>126</v>
      </c>
      <c r="H298" s="26" t="s">
        <v>349</v>
      </c>
      <c r="I298" s="26" t="s">
        <v>538</v>
      </c>
      <c r="J298" s="26" t="s">
        <v>539</v>
      </c>
      <c r="K298" s="26" t="s">
        <v>241</v>
      </c>
      <c r="L298" s="26" t="s">
        <v>148</v>
      </c>
      <c r="M298" s="26" t="s">
        <v>303</v>
      </c>
      <c r="N298" s="26">
        <v>60</v>
      </c>
      <c r="O298" s="26">
        <f>2024-Inventory[[#This Row],[YrBlt]]</f>
        <v>57</v>
      </c>
      <c r="P298" s="26">
        <f>2024-Inventory[[#This Row],[EffYr]]</f>
        <v>48</v>
      </c>
      <c r="Q298" s="25">
        <v>1967</v>
      </c>
      <c r="R298" s="25">
        <v>1976</v>
      </c>
      <c r="S298" s="25">
        <v>2076</v>
      </c>
      <c r="T298" s="27"/>
      <c r="U298" s="31"/>
      <c r="V298" s="31">
        <f>Inventory[[#This Row],[Bsmt]]-Inventory[[#This Row],[FnBsmt]]</f>
        <v>0</v>
      </c>
      <c r="W298" s="31"/>
      <c r="X298" s="27"/>
      <c r="Y298" s="27">
        <f>Inventory[[#This Row],[MainFn]]+Inventory[[#This Row],[UpprFn]]+Inventory[[#This Row],[FnBsmt]]+Inventory[[#This Row],[AddFn]]</f>
        <v>2076</v>
      </c>
      <c r="Z298" s="27">
        <v>2500</v>
      </c>
      <c r="AA298" s="25">
        <v>8</v>
      </c>
      <c r="AB298" s="31"/>
      <c r="AC298" s="27"/>
      <c r="AD298" s="31"/>
      <c r="AE298" s="27"/>
      <c r="AF298" s="27"/>
      <c r="AG298" s="27"/>
      <c r="AH298" s="27"/>
      <c r="AI298" s="25">
        <v>409588</v>
      </c>
      <c r="AJ298" s="25">
        <v>298999</v>
      </c>
      <c r="AK298" s="25">
        <v>0</v>
      </c>
      <c r="AL298" s="25">
        <v>376400</v>
      </c>
      <c r="AM298" s="25">
        <v>56600</v>
      </c>
      <c r="AN298" s="25">
        <v>319800</v>
      </c>
      <c r="AO298" s="25">
        <v>0</v>
      </c>
      <c r="AP298" s="25">
        <f>Lookups!$B$56*0</f>
        <v>0</v>
      </c>
      <c r="AQ298" s="25">
        <f>Lookups!$B$56*1</f>
        <v>89850.625589999996</v>
      </c>
      <c r="AR298" s="25">
        <f>Lookups!$B$57*Inventory[[#This Row],[LnAcres]]</f>
        <v>-52569.808201026557</v>
      </c>
      <c r="AS298" s="25">
        <f>VLOOKUP(Inventory[[#This Row],[Qlty]],Lookups!$A$62:$E$75,2,FALSE)</f>
        <v>44121.038090000002</v>
      </c>
      <c r="AT298" s="25">
        <f>VLOOKUP(Inventory[[#This Row],[Cnd]],Lookups!$A$76:$E$84,2,FALSE)</f>
        <v>197752.34721000001</v>
      </c>
      <c r="AU298" s="25">
        <f>Inventory[[#This Row],[EffAge]]*Lookups!$B$85</f>
        <v>-10706.188824000001</v>
      </c>
      <c r="AV298" s="25">
        <f>Inventory[[#This Row],[MainFn]]*Lookups!$B$86</f>
        <v>102572.39866465201</v>
      </c>
      <c r="AW298" s="25">
        <f>Inventory[[#This Row],[UpprFn]]*Lookups!$B$87</f>
        <v>0</v>
      </c>
      <c r="AX298" s="25">
        <f>Inventory[[#This Row],[AddFn]]*Lookups!$B$88</f>
        <v>0</v>
      </c>
      <c r="AY298" s="25">
        <f>Inventory[[#This Row],[Bsmt]]*Lookups!$B$89</f>
        <v>0</v>
      </c>
      <c r="AZ298" s="25">
        <f>Inventory[[#This Row],[Fixtures]]*Lookups!$B$90</f>
        <v>30336.176841600001</v>
      </c>
      <c r="BA298" s="25">
        <f>Inventory[[#This Row],[WdDeck]]*Lookups!$B$91</f>
        <v>0</v>
      </c>
      <c r="BB298" s="25">
        <f>ROUND(Inventory[[#This Row],[25Det]],-2)</f>
        <v>0</v>
      </c>
      <c r="BC298" s="25">
        <f>ROUND(SUM(Inventory[[#This Row],[Mdl Qlty]:[Mdl WdDeck]])+Inventory[[#This Row],[Mdl Res Intercept]],-2)</f>
        <v>364100</v>
      </c>
      <c r="BD298" s="25">
        <f>ROUND(Inventory[[#This Row],[Mdl Land Intercept]]+Inventory[[#This Row],[Mdl LnAcres]],-2)</f>
        <v>37300</v>
      </c>
      <c r="BE298" s="25">
        <f>Inventory[[#This Row],[Unadj Res Value]]+Inventory[[#This Row],[Unadj Det Value]]+Inventory[[#This Row],[Unadj Land Value]]</f>
        <v>401400</v>
      </c>
      <c r="BF298" s="36">
        <f>(Inventory[[#This Row],[Unadj Total Value]]-Inventory[[#This Row],[24Final]])/Inventory[[#This Row],[24Final]]</f>
        <v>6.6418703506907539E-2</v>
      </c>
      <c r="BG298" s="25">
        <f>VLOOKUP(Inventory[[#This Row],[Nbhd]],Lookups!$Q$2:$T$4,4,FALSE)</f>
        <v>0.99970000000000003</v>
      </c>
      <c r="BH298" s="25">
        <f>VLOOKUP(Inventory[[#This Row],[Qlty]],Lookups!$O$7:$R$21,4,FALSE)</f>
        <v>0.98050000000000004</v>
      </c>
      <c r="BI298" s="25">
        <f>VLOOKUP(Inventory[[#This Row],[Cnd]],Lookups!$T$7:$W$16,4,FALSE)</f>
        <v>0.99650000000000005</v>
      </c>
      <c r="BJ298" s="25">
        <f>VLOOKUP(Inventory[[#This Row],[LivArea Range]],Lookups!$T$25:$W$37,4,FALSE)</f>
        <v>0.98919999999999997</v>
      </c>
      <c r="BK298" s="25">
        <f>VLOOKUP(Inventory[[#This Row],[Decade]],Lookups!$O$25:$R$42,4,FALSE)</f>
        <v>0.98119999999999996</v>
      </c>
      <c r="BL298" s="25">
        <f>Inventory[[#This Row],[Nbhd Adj]]*0.95</f>
        <v>0.94971499999999998</v>
      </c>
      <c r="BM298" s="25">
        <f>Inventory[[#This Row],[Nbhd Adj]]*Inventory[[#This Row],[Quality Adj]]*Inventory[[#This Row],[Condition Adj]]*Inventory[[#This Row],[Living Area Adj]]*Inventory[[#This Row],[Decade Adj]]*0.95</f>
        <v>0.90065786460769082</v>
      </c>
      <c r="BN298" s="25">
        <f>ROUND(SUM(Inventory[[#This Row],[Mdl Qlty]:[Mdl WdDeck]])+Inventory[[#This Row],[Mdl Res Intercept]]*Inventory[[#This Row],[Res Adj ]],-2)</f>
        <v>364100</v>
      </c>
      <c r="BO298" s="25">
        <f>ROUND(Inventory[[#This Row],[25Det]]*Inventory[[#This Row],[Det/Nbhd Adj]],-2)</f>
        <v>0</v>
      </c>
      <c r="BP298" s="25">
        <f>Inventory[[#This Row],[Adjusted Res]]+Inventory[[#This Row],[Adj Det ]]</f>
        <v>364100</v>
      </c>
      <c r="BQ298" s="25">
        <f>ROUND((Inventory[[#This Row],[Mdl Land Intercept]]+Inventory[[#This Row],[Mdl LnAcres]])*Inventory[[#This Row],[Det/Nbhd Adj]],-2)</f>
        <v>35400</v>
      </c>
      <c r="BR298" s="25">
        <f>Inventory[[#This Row],[Adjusted Impr Total]]+Inventory[[#This Row],[Adjusted Land Total]]</f>
        <v>399500</v>
      </c>
      <c r="BS298" s="36">
        <f>IFERROR((Inventory[[#This Row],[Adjusted Impr Total]]-Inventory[[#This Row],[24Bldg]])/Inventory[[#This Row],[24Bldg]],0)</f>
        <v>0.13852407754846779</v>
      </c>
      <c r="BT298" s="36">
        <f>(Inventory[[#This Row],[Adjusted Land Total]]-Inventory[[#This Row],[24Lnd]])/Inventory[[#This Row],[24Lnd]]</f>
        <v>-0.37455830388692579</v>
      </c>
      <c r="BU298" s="36">
        <f>(Inventory[[#This Row],[Adjusted Total]]-Inventory[[#This Row],[24Final]])/Inventory[[#This Row],[24Final]]</f>
        <v>6.1370882040382574E-2</v>
      </c>
    </row>
    <row r="299" spans="1:73" x14ac:dyDescent="0.3">
      <c r="A299" s="25">
        <v>2025</v>
      </c>
      <c r="B299" s="26" t="s">
        <v>2299</v>
      </c>
      <c r="C299" s="26">
        <f>LN(Inventory[[#This Row],[Acres]])</f>
        <v>-1.3093333199837622</v>
      </c>
      <c r="D299" s="25">
        <v>0.27</v>
      </c>
      <c r="E299" s="25">
        <v>11882</v>
      </c>
      <c r="F299" s="26" t="s">
        <v>537</v>
      </c>
      <c r="G299" s="26" t="s">
        <v>126</v>
      </c>
      <c r="H299" s="26" t="s">
        <v>349</v>
      </c>
      <c r="I299" s="26" t="s">
        <v>538</v>
      </c>
      <c r="J299" s="26" t="s">
        <v>539</v>
      </c>
      <c r="K299" s="26" t="s">
        <v>241</v>
      </c>
      <c r="L299" s="26" t="s">
        <v>351</v>
      </c>
      <c r="M299" s="26" t="s">
        <v>323</v>
      </c>
      <c r="N299" s="26">
        <v>60</v>
      </c>
      <c r="O299" s="26">
        <f>2024-Inventory[[#This Row],[YrBlt]]</f>
        <v>57</v>
      </c>
      <c r="P299" s="26">
        <f>2024-Inventory[[#This Row],[EffYr]]</f>
        <v>48</v>
      </c>
      <c r="Q299" s="25">
        <v>1967</v>
      </c>
      <c r="R299" s="25">
        <v>1976</v>
      </c>
      <c r="S299" s="25">
        <v>1450</v>
      </c>
      <c r="T299" s="27"/>
      <c r="U299" s="25">
        <v>1450</v>
      </c>
      <c r="V299" s="25">
        <f>Inventory[[#This Row],[Bsmt]]-Inventory[[#This Row],[FnBsmt]]</f>
        <v>417</v>
      </c>
      <c r="W299" s="25">
        <v>1033</v>
      </c>
      <c r="X299" s="27"/>
      <c r="Y299" s="27">
        <f>Inventory[[#This Row],[MainFn]]+Inventory[[#This Row],[UpprFn]]+Inventory[[#This Row],[FnBsmt]]+Inventory[[#This Row],[AddFn]]</f>
        <v>2483</v>
      </c>
      <c r="Z299" s="27">
        <v>2500</v>
      </c>
      <c r="AA299" s="25">
        <v>10</v>
      </c>
      <c r="AB299" s="27"/>
      <c r="AC299" s="27"/>
      <c r="AD299" s="32">
        <v>464</v>
      </c>
      <c r="AE299" s="27"/>
      <c r="AF299" s="27"/>
      <c r="AG299" s="27"/>
      <c r="AH299" s="27"/>
      <c r="AI299" s="25">
        <v>368704</v>
      </c>
      <c r="AJ299" s="25">
        <v>265467</v>
      </c>
      <c r="AK299" s="25">
        <v>13446</v>
      </c>
      <c r="AL299" s="25">
        <v>375200</v>
      </c>
      <c r="AM299" s="25">
        <v>68900</v>
      </c>
      <c r="AN299" s="25">
        <v>306300</v>
      </c>
      <c r="AO299" s="25">
        <v>0</v>
      </c>
      <c r="AP299" s="25">
        <f>Lookups!$B$56*0</f>
        <v>0</v>
      </c>
      <c r="AQ299" s="25">
        <f>Lookups!$B$56*1</f>
        <v>89850.625589999996</v>
      </c>
      <c r="AR299" s="25">
        <f>Lookups!$B$57*Inventory[[#This Row],[LnAcres]]</f>
        <v>-41446.443120973789</v>
      </c>
      <c r="AS299" s="25">
        <f>VLOOKUP(Inventory[[#This Row],[Qlty]],Lookups!$A$62:$E$75,2,FALSE)</f>
        <v>21557.329055999999</v>
      </c>
      <c r="AT299" s="25">
        <f>VLOOKUP(Inventory[[#This Row],[Cnd]],Lookups!$A$76:$E$84,2,FALSE)</f>
        <v>160472.20319</v>
      </c>
      <c r="AU299" s="25">
        <f>Inventory[[#This Row],[EffAge]]*Lookups!$B$85</f>
        <v>-10706.188824000001</v>
      </c>
      <c r="AV299" s="25">
        <f>Inventory[[#This Row],[MainFn]]*Lookups!$B$86</f>
        <v>71642.571321650001</v>
      </c>
      <c r="AW299" s="25">
        <f>Inventory[[#This Row],[UpprFn]]*Lookups!$B$87</f>
        <v>0</v>
      </c>
      <c r="AX299" s="25">
        <f>Inventory[[#This Row],[AddFn]]*Lookups!$B$88</f>
        <v>0</v>
      </c>
      <c r="AY299" s="25">
        <f>Inventory[[#This Row],[Bsmt]]*Lookups!$B$89</f>
        <v>42168.748108150001</v>
      </c>
      <c r="AZ299" s="25">
        <f>Inventory[[#This Row],[Fixtures]]*Lookups!$B$90</f>
        <v>37920.221052000001</v>
      </c>
      <c r="BA299" s="25">
        <f>Inventory[[#This Row],[WdDeck]]*Lookups!$B$91</f>
        <v>15449.119088064002</v>
      </c>
      <c r="BB299" s="25">
        <f>ROUND(Inventory[[#This Row],[25Det]],-2)</f>
        <v>13400</v>
      </c>
      <c r="BC299" s="25">
        <f>ROUND(SUM(Inventory[[#This Row],[Mdl Qlty]:[Mdl WdDeck]])+Inventory[[#This Row],[Mdl Res Intercept]],-2)</f>
        <v>338500</v>
      </c>
      <c r="BD299" s="25">
        <f>ROUND(Inventory[[#This Row],[Mdl Land Intercept]]+Inventory[[#This Row],[Mdl LnAcres]],-2)</f>
        <v>48400</v>
      </c>
      <c r="BE299" s="25">
        <f>Inventory[[#This Row],[Unadj Res Value]]+Inventory[[#This Row],[Unadj Det Value]]+Inventory[[#This Row],[Unadj Land Value]]</f>
        <v>400300</v>
      </c>
      <c r="BF299" s="36">
        <f>(Inventory[[#This Row],[Unadj Total Value]]-Inventory[[#This Row],[24Final]])/Inventory[[#This Row],[24Final]]</f>
        <v>6.6897654584221755E-2</v>
      </c>
      <c r="BG299" s="25">
        <f>VLOOKUP(Inventory[[#This Row],[Nbhd]],Lookups!$Q$2:$T$4,4,FALSE)</f>
        <v>0.99970000000000003</v>
      </c>
      <c r="BH299" s="25">
        <f>VLOOKUP(Inventory[[#This Row],[Qlty]],Lookups!$O$7:$R$21,4,FALSE)</f>
        <v>1.0067999999999999</v>
      </c>
      <c r="BI299" s="25">
        <f>VLOOKUP(Inventory[[#This Row],[Cnd]],Lookups!$T$7:$W$16,4,FALSE)</f>
        <v>0.99729999999999996</v>
      </c>
      <c r="BJ299" s="25">
        <f>VLOOKUP(Inventory[[#This Row],[LivArea Range]],Lookups!$T$25:$W$37,4,FALSE)</f>
        <v>0.98919999999999997</v>
      </c>
      <c r="BK299" s="25">
        <f>VLOOKUP(Inventory[[#This Row],[Decade]],Lookups!$O$25:$R$42,4,FALSE)</f>
        <v>0.98119999999999996</v>
      </c>
      <c r="BL299" s="25">
        <f>Inventory[[#This Row],[Nbhd Adj]]*0.95</f>
        <v>0.94971499999999998</v>
      </c>
      <c r="BM299" s="25">
        <f>Inventory[[#This Row],[Nbhd Adj]]*Inventory[[#This Row],[Quality Adj]]*Inventory[[#This Row],[Condition Adj]]*Inventory[[#This Row],[Living Area Adj]]*Inventory[[#This Row],[Decade Adj]]*0.95</f>
        <v>0.92555870664530138</v>
      </c>
      <c r="BN299" s="25">
        <f>ROUND(SUM(Inventory[[#This Row],[Mdl Qlty]:[Mdl WdDeck]])+Inventory[[#This Row],[Mdl Res Intercept]]*Inventory[[#This Row],[Res Adj ]],-2)</f>
        <v>338500</v>
      </c>
      <c r="BO299" s="25">
        <f>ROUND(Inventory[[#This Row],[25Det]]*Inventory[[#This Row],[Det/Nbhd Adj]],-2)</f>
        <v>12800</v>
      </c>
      <c r="BP299" s="25">
        <f>Inventory[[#This Row],[Adjusted Res]]+Inventory[[#This Row],[Adj Det ]]</f>
        <v>351300</v>
      </c>
      <c r="BQ299" s="25">
        <f>ROUND((Inventory[[#This Row],[Mdl Land Intercept]]+Inventory[[#This Row],[Mdl LnAcres]])*Inventory[[#This Row],[Det/Nbhd Adj]],-2)</f>
        <v>46000</v>
      </c>
      <c r="BR299" s="25">
        <f>Inventory[[#This Row],[Adjusted Impr Total]]+Inventory[[#This Row],[Adjusted Land Total]]</f>
        <v>397300</v>
      </c>
      <c r="BS299" s="36">
        <f>IFERROR((Inventory[[#This Row],[Adjusted Impr Total]]-Inventory[[#This Row],[24Bldg]])/Inventory[[#This Row],[24Bldg]],0)</f>
        <v>0.14691478942213515</v>
      </c>
      <c r="BT299" s="36">
        <f>(Inventory[[#This Row],[Adjusted Land Total]]-Inventory[[#This Row],[24Lnd]])/Inventory[[#This Row],[24Lnd]]</f>
        <v>-0.33236574746008707</v>
      </c>
      <c r="BU299" s="36">
        <f>(Inventory[[#This Row],[Adjusted Total]]-Inventory[[#This Row],[24Final]])/Inventory[[#This Row],[24Final]]</f>
        <v>5.8901918976545842E-2</v>
      </c>
    </row>
    <row r="300" spans="1:73" x14ac:dyDescent="0.3">
      <c r="A300" s="25">
        <v>2025</v>
      </c>
      <c r="B300" s="26" t="s">
        <v>1773</v>
      </c>
      <c r="C300" s="26">
        <f>LN(Inventory[[#This Row],[Acres]])</f>
        <v>-2.0402208285265546</v>
      </c>
      <c r="D300" s="25">
        <v>0.13</v>
      </c>
      <c r="E300" s="32">
        <v>5475</v>
      </c>
      <c r="F300" s="26" t="s">
        <v>537</v>
      </c>
      <c r="G300" s="26" t="s">
        <v>126</v>
      </c>
      <c r="H300" s="26" t="s">
        <v>349</v>
      </c>
      <c r="I300" s="26" t="s">
        <v>538</v>
      </c>
      <c r="J300" s="26" t="s">
        <v>539</v>
      </c>
      <c r="K300" s="26" t="s">
        <v>241</v>
      </c>
      <c r="L300" s="26" t="s">
        <v>351</v>
      </c>
      <c r="M300" s="26" t="s">
        <v>323</v>
      </c>
      <c r="N300" s="26">
        <v>60</v>
      </c>
      <c r="O300" s="26">
        <f>2024-Inventory[[#This Row],[YrBlt]]</f>
        <v>57</v>
      </c>
      <c r="P300" s="26">
        <f>2024-Inventory[[#This Row],[EffYr]]</f>
        <v>48</v>
      </c>
      <c r="Q300" s="25">
        <v>1967</v>
      </c>
      <c r="R300" s="25">
        <v>1976</v>
      </c>
      <c r="S300" s="25">
        <v>1472</v>
      </c>
      <c r="T300" s="27"/>
      <c r="U300" s="27"/>
      <c r="V300" s="27">
        <f>Inventory[[#This Row],[Bsmt]]-Inventory[[#This Row],[FnBsmt]]</f>
        <v>0</v>
      </c>
      <c r="W300" s="27"/>
      <c r="X300" s="27"/>
      <c r="Y300" s="27">
        <f>Inventory[[#This Row],[MainFn]]+Inventory[[#This Row],[UpprFn]]+Inventory[[#This Row],[FnBsmt]]+Inventory[[#This Row],[AddFn]]</f>
        <v>1472</v>
      </c>
      <c r="Z300" s="27">
        <v>1500</v>
      </c>
      <c r="AA300" s="25">
        <v>8</v>
      </c>
      <c r="AB300" s="32">
        <v>264</v>
      </c>
      <c r="AC300" s="27"/>
      <c r="AD300" s="32">
        <v>156</v>
      </c>
      <c r="AE300" s="27"/>
      <c r="AF300" s="27"/>
      <c r="AG300" s="27"/>
      <c r="AH300" s="27"/>
      <c r="AI300" s="25">
        <v>263891</v>
      </c>
      <c r="AJ300" s="25">
        <v>190002</v>
      </c>
      <c r="AK300" s="25">
        <v>0</v>
      </c>
      <c r="AL300" s="25">
        <v>287900</v>
      </c>
      <c r="AM300" s="25">
        <v>43400</v>
      </c>
      <c r="AN300" s="25">
        <v>244500</v>
      </c>
      <c r="AO300" s="25">
        <v>0</v>
      </c>
      <c r="AP300" s="25">
        <f>Lookups!$B$56*0</f>
        <v>0</v>
      </c>
      <c r="AQ300" s="25">
        <f>Lookups!$B$56*1</f>
        <v>89850.625589999996</v>
      </c>
      <c r="AR300" s="25">
        <f>Lookups!$B$57*Inventory[[#This Row],[LnAcres]]</f>
        <v>-64582.406353792743</v>
      </c>
      <c r="AS300" s="25">
        <f>VLOOKUP(Inventory[[#This Row],[Qlty]],Lookups!$A$62:$E$75,2,FALSE)</f>
        <v>21557.329055999999</v>
      </c>
      <c r="AT300" s="25">
        <f>VLOOKUP(Inventory[[#This Row],[Cnd]],Lookups!$A$76:$E$84,2,FALSE)</f>
        <v>160472.20319</v>
      </c>
      <c r="AU300" s="25">
        <f>Inventory[[#This Row],[EffAge]]*Lookups!$B$85</f>
        <v>-10706.188824000001</v>
      </c>
      <c r="AV300" s="25">
        <f>Inventory[[#This Row],[MainFn]]*Lookups!$B$86</f>
        <v>72729.562058944008</v>
      </c>
      <c r="AW300" s="25">
        <f>Inventory[[#This Row],[UpprFn]]*Lookups!$B$87</f>
        <v>0</v>
      </c>
      <c r="AX300" s="25">
        <f>Inventory[[#This Row],[AddFn]]*Lookups!$B$88</f>
        <v>0</v>
      </c>
      <c r="AY300" s="25">
        <f>Inventory[[#This Row],[Bsmt]]*Lookups!$B$89</f>
        <v>0</v>
      </c>
      <c r="AZ300" s="25">
        <f>Inventory[[#This Row],[Fixtures]]*Lookups!$B$90</f>
        <v>30336.176841600001</v>
      </c>
      <c r="BA300" s="25">
        <f>Inventory[[#This Row],[WdDeck]]*Lookups!$B$91</f>
        <v>5194.1003830560003</v>
      </c>
      <c r="BB300" s="25">
        <f>ROUND(Inventory[[#This Row],[25Det]],-2)</f>
        <v>0</v>
      </c>
      <c r="BC300" s="25">
        <f>ROUND(SUM(Inventory[[#This Row],[Mdl Qlty]:[Mdl WdDeck]])+Inventory[[#This Row],[Mdl Res Intercept]],-2)</f>
        <v>279600</v>
      </c>
      <c r="BD300" s="25">
        <f>ROUND(Inventory[[#This Row],[Mdl Land Intercept]]+Inventory[[#This Row],[Mdl LnAcres]],-2)</f>
        <v>25300</v>
      </c>
      <c r="BE300" s="25">
        <f>Inventory[[#This Row],[Unadj Res Value]]+Inventory[[#This Row],[Unadj Det Value]]+Inventory[[#This Row],[Unadj Land Value]]</f>
        <v>304900</v>
      </c>
      <c r="BF300" s="36">
        <f>(Inventory[[#This Row],[Unadj Total Value]]-Inventory[[#This Row],[24Final]])/Inventory[[#This Row],[24Final]]</f>
        <v>5.9048280653004513E-2</v>
      </c>
      <c r="BG300" s="25">
        <f>VLOOKUP(Inventory[[#This Row],[Nbhd]],Lookups!$Q$2:$T$4,4,FALSE)</f>
        <v>0.99970000000000003</v>
      </c>
      <c r="BH300" s="25">
        <f>VLOOKUP(Inventory[[#This Row],[Qlty]],Lookups!$O$7:$R$21,4,FALSE)</f>
        <v>1.0067999999999999</v>
      </c>
      <c r="BI300" s="25">
        <f>VLOOKUP(Inventory[[#This Row],[Cnd]],Lookups!$T$7:$W$16,4,FALSE)</f>
        <v>0.99729999999999996</v>
      </c>
      <c r="BJ300" s="25">
        <f>VLOOKUP(Inventory[[#This Row],[LivArea Range]],Lookups!$T$25:$W$37,4,FALSE)</f>
        <v>1.0157</v>
      </c>
      <c r="BK300" s="25">
        <f>VLOOKUP(Inventory[[#This Row],[Decade]],Lookups!$O$25:$R$42,4,FALSE)</f>
        <v>0.98119999999999996</v>
      </c>
      <c r="BL300" s="25">
        <f>Inventory[[#This Row],[Nbhd Adj]]*0.95</f>
        <v>0.94971499999999998</v>
      </c>
      <c r="BM300" s="25">
        <f>Inventory[[#This Row],[Nbhd Adj]]*Inventory[[#This Row],[Quality Adj]]*Inventory[[#This Row],[Condition Adj]]*Inventory[[#This Row],[Living Area Adj]]*Inventory[[#This Row],[Decade Adj]]*0.95</f>
        <v>0.95035379937285946</v>
      </c>
      <c r="BN300" s="25">
        <f>ROUND(SUM(Inventory[[#This Row],[Mdl Qlty]:[Mdl WdDeck]])+Inventory[[#This Row],[Mdl Res Intercept]]*Inventory[[#This Row],[Res Adj ]],-2)</f>
        <v>279600</v>
      </c>
      <c r="BO300" s="25">
        <f>ROUND(Inventory[[#This Row],[25Det]]*Inventory[[#This Row],[Det/Nbhd Adj]],-2)</f>
        <v>0</v>
      </c>
      <c r="BP300" s="25">
        <f>Inventory[[#This Row],[Adjusted Res]]+Inventory[[#This Row],[Adj Det ]]</f>
        <v>279600</v>
      </c>
      <c r="BQ300" s="25">
        <f>ROUND((Inventory[[#This Row],[Mdl Land Intercept]]+Inventory[[#This Row],[Mdl LnAcres]])*Inventory[[#This Row],[Det/Nbhd Adj]],-2)</f>
        <v>24000</v>
      </c>
      <c r="BR300" s="25">
        <f>Inventory[[#This Row],[Adjusted Impr Total]]+Inventory[[#This Row],[Adjusted Land Total]]</f>
        <v>303600</v>
      </c>
      <c r="BS300" s="36">
        <f>IFERROR((Inventory[[#This Row],[Adjusted Impr Total]]-Inventory[[#This Row],[24Bldg]])/Inventory[[#This Row],[24Bldg]],0)</f>
        <v>0.14355828220858896</v>
      </c>
      <c r="BT300" s="36">
        <f>(Inventory[[#This Row],[Adjusted Land Total]]-Inventory[[#This Row],[24Lnd]])/Inventory[[#This Row],[24Lnd]]</f>
        <v>-0.44700460829493088</v>
      </c>
      <c r="BU300" s="36">
        <f>(Inventory[[#This Row],[Adjusted Total]]-Inventory[[#This Row],[24Final]])/Inventory[[#This Row],[24Final]]</f>
        <v>5.4532823897186521E-2</v>
      </c>
    </row>
    <row r="301" spans="1:73" x14ac:dyDescent="0.3">
      <c r="A301" s="25">
        <v>2025</v>
      </c>
      <c r="B301" s="26" t="s">
        <v>755</v>
      </c>
      <c r="C301" s="26">
        <f>LN(Inventory[[#This Row],[Acres]])</f>
        <v>-0.54472717544167215</v>
      </c>
      <c r="D301" s="25">
        <v>0.57999999999999996</v>
      </c>
      <c r="E301" s="25">
        <v>25366</v>
      </c>
      <c r="F301" s="26" t="s">
        <v>537</v>
      </c>
      <c r="G301" s="26" t="s">
        <v>126</v>
      </c>
      <c r="H301" s="26" t="s">
        <v>349</v>
      </c>
      <c r="I301" s="26" t="s">
        <v>538</v>
      </c>
      <c r="J301" s="26" t="s">
        <v>539</v>
      </c>
      <c r="K301" s="26" t="s">
        <v>241</v>
      </c>
      <c r="L301" s="26" t="s">
        <v>148</v>
      </c>
      <c r="M301" s="26" t="s">
        <v>323</v>
      </c>
      <c r="N301" s="26">
        <v>60</v>
      </c>
      <c r="O301" s="26">
        <f>2024-Inventory[[#This Row],[YrBlt]]</f>
        <v>57</v>
      </c>
      <c r="P301" s="26">
        <f>2024-Inventory[[#This Row],[EffYr]]</f>
        <v>48</v>
      </c>
      <c r="Q301" s="25">
        <v>1967</v>
      </c>
      <c r="R301" s="25">
        <v>1976</v>
      </c>
      <c r="S301" s="25">
        <v>2298</v>
      </c>
      <c r="T301" s="27"/>
      <c r="U301" s="25">
        <v>600</v>
      </c>
      <c r="V301" s="25">
        <f>Inventory[[#This Row],[Bsmt]]-Inventory[[#This Row],[FnBsmt]]</f>
        <v>600</v>
      </c>
      <c r="W301" s="31"/>
      <c r="X301" s="27"/>
      <c r="Y301" s="27">
        <f>Inventory[[#This Row],[MainFn]]+Inventory[[#This Row],[UpprFn]]+Inventory[[#This Row],[FnBsmt]]+Inventory[[#This Row],[AddFn]]</f>
        <v>2298</v>
      </c>
      <c r="Z301" s="27">
        <v>2500</v>
      </c>
      <c r="AA301" s="25">
        <v>11</v>
      </c>
      <c r="AB301" s="32">
        <v>528</v>
      </c>
      <c r="AC301" s="27"/>
      <c r="AD301" s="27"/>
      <c r="AE301" s="27"/>
      <c r="AF301" s="27"/>
      <c r="AG301" s="27"/>
      <c r="AH301" s="27"/>
      <c r="AI301" s="25">
        <v>546020</v>
      </c>
      <c r="AJ301" s="25">
        <v>393134</v>
      </c>
      <c r="AK301" s="25">
        <v>0</v>
      </c>
      <c r="AL301" s="25">
        <v>435900</v>
      </c>
      <c r="AM301" s="25">
        <v>95500</v>
      </c>
      <c r="AN301" s="25">
        <v>340400</v>
      </c>
      <c r="AO301" s="25">
        <v>0</v>
      </c>
      <c r="AP301" s="25">
        <f>Lookups!$B$56*0</f>
        <v>0</v>
      </c>
      <c r="AQ301" s="25">
        <f>Lookups!$B$56*1</f>
        <v>89850.625589999996</v>
      </c>
      <c r="AR301" s="25">
        <f>Lookups!$B$57*Inventory[[#This Row],[LnAcres]]</f>
        <v>-17243.129422286424</v>
      </c>
      <c r="AS301" s="25">
        <f>VLOOKUP(Inventory[[#This Row],[Qlty]],Lookups!$A$62:$E$75,2,FALSE)</f>
        <v>44121.038090000002</v>
      </c>
      <c r="AT301" s="25">
        <f>VLOOKUP(Inventory[[#This Row],[Cnd]],Lookups!$A$76:$E$84,2,FALSE)</f>
        <v>160472.20319</v>
      </c>
      <c r="AU301" s="25">
        <f>Inventory[[#This Row],[EffAge]]*Lookups!$B$85</f>
        <v>-10706.188824000001</v>
      </c>
      <c r="AV301" s="25">
        <f>Inventory[[#This Row],[MainFn]]*Lookups!$B$86</f>
        <v>113541.123377346</v>
      </c>
      <c r="AW301" s="25">
        <f>Inventory[[#This Row],[UpprFn]]*Lookups!$B$87</f>
        <v>0</v>
      </c>
      <c r="AX301" s="25">
        <f>Inventory[[#This Row],[AddFn]]*Lookups!$B$88</f>
        <v>0</v>
      </c>
      <c r="AY301" s="25">
        <f>Inventory[[#This Row],[Bsmt]]*Lookups!$B$89</f>
        <v>17449.1371482</v>
      </c>
      <c r="AZ301" s="25">
        <f>Inventory[[#This Row],[Fixtures]]*Lookups!$B$90</f>
        <v>41712.243157199999</v>
      </c>
      <c r="BA301" s="25">
        <f>Inventory[[#This Row],[WdDeck]]*Lookups!$B$91</f>
        <v>0</v>
      </c>
      <c r="BB301" s="25">
        <f>ROUND(Inventory[[#This Row],[25Det]],-2)</f>
        <v>0</v>
      </c>
      <c r="BC301" s="25">
        <f>ROUND(SUM(Inventory[[#This Row],[Mdl Qlty]:[Mdl WdDeck]])+Inventory[[#This Row],[Mdl Res Intercept]],-2)</f>
        <v>366600</v>
      </c>
      <c r="BD301" s="25">
        <f>ROUND(Inventory[[#This Row],[Mdl Land Intercept]]+Inventory[[#This Row],[Mdl LnAcres]],-2)</f>
        <v>72600</v>
      </c>
      <c r="BE301" s="25">
        <f>Inventory[[#This Row],[Unadj Res Value]]+Inventory[[#This Row],[Unadj Det Value]]+Inventory[[#This Row],[Unadj Land Value]]</f>
        <v>439200</v>
      </c>
      <c r="BF301" s="36">
        <f>(Inventory[[#This Row],[Unadj Total Value]]-Inventory[[#This Row],[24Final]])/Inventory[[#This Row],[24Final]]</f>
        <v>7.5705437026841018E-3</v>
      </c>
      <c r="BG301" s="25">
        <f>VLOOKUP(Inventory[[#This Row],[Nbhd]],Lookups!$Q$2:$T$4,4,FALSE)</f>
        <v>0.99970000000000003</v>
      </c>
      <c r="BH301" s="25">
        <f>VLOOKUP(Inventory[[#This Row],[Qlty]],Lookups!$O$7:$R$21,4,FALSE)</f>
        <v>0.98050000000000004</v>
      </c>
      <c r="BI301" s="25">
        <f>VLOOKUP(Inventory[[#This Row],[Cnd]],Lookups!$T$7:$W$16,4,FALSE)</f>
        <v>0.99729999999999996</v>
      </c>
      <c r="BJ301" s="25">
        <f>VLOOKUP(Inventory[[#This Row],[LivArea Range]],Lookups!$T$25:$W$37,4,FALSE)</f>
        <v>0.98919999999999997</v>
      </c>
      <c r="BK301" s="25">
        <f>VLOOKUP(Inventory[[#This Row],[Decade]],Lookups!$O$25:$R$42,4,FALSE)</f>
        <v>0.98119999999999996</v>
      </c>
      <c r="BL301" s="25">
        <f>Inventory[[#This Row],[Nbhd Adj]]*0.95</f>
        <v>0.94971499999999998</v>
      </c>
      <c r="BM301" s="25">
        <f>Inventory[[#This Row],[Nbhd Adj]]*Inventory[[#This Row],[Quality Adj]]*Inventory[[#This Row],[Condition Adj]]*Inventory[[#This Row],[Living Area Adj]]*Inventory[[#This Row],[Decade Adj]]*0.95</f>
        <v>0.90138092159884586</v>
      </c>
      <c r="BN301" s="25">
        <f>ROUND(SUM(Inventory[[#This Row],[Mdl Qlty]:[Mdl WdDeck]])+Inventory[[#This Row],[Mdl Res Intercept]]*Inventory[[#This Row],[Res Adj ]],-2)</f>
        <v>366600</v>
      </c>
      <c r="BO301" s="25">
        <f>ROUND(Inventory[[#This Row],[25Det]]*Inventory[[#This Row],[Det/Nbhd Adj]],-2)</f>
        <v>0</v>
      </c>
      <c r="BP301" s="25">
        <f>Inventory[[#This Row],[Adjusted Res]]+Inventory[[#This Row],[Adj Det ]]</f>
        <v>366600</v>
      </c>
      <c r="BQ301" s="25">
        <f>ROUND((Inventory[[#This Row],[Mdl Land Intercept]]+Inventory[[#This Row],[Mdl LnAcres]])*Inventory[[#This Row],[Det/Nbhd Adj]],-2)</f>
        <v>69000</v>
      </c>
      <c r="BR301" s="25">
        <f>Inventory[[#This Row],[Adjusted Impr Total]]+Inventory[[#This Row],[Adjusted Land Total]]</f>
        <v>435600</v>
      </c>
      <c r="BS301" s="36">
        <f>IFERROR((Inventory[[#This Row],[Adjusted Impr Total]]-Inventory[[#This Row],[24Bldg]])/Inventory[[#This Row],[24Bldg]],0)</f>
        <v>7.6968272620446532E-2</v>
      </c>
      <c r="BT301" s="36">
        <f>(Inventory[[#This Row],[Adjusted Land Total]]-Inventory[[#This Row],[24Lnd]])/Inventory[[#This Row],[24Lnd]]</f>
        <v>-0.27748691099476441</v>
      </c>
      <c r="BU301" s="36">
        <f>(Inventory[[#This Row],[Adjusted Total]]-Inventory[[#This Row],[24Final]])/Inventory[[#This Row],[24Final]]</f>
        <v>-6.8823124569855469E-4</v>
      </c>
    </row>
    <row r="302" spans="1:73" x14ac:dyDescent="0.3">
      <c r="A302" s="25">
        <v>2025</v>
      </c>
      <c r="B302" s="26" t="s">
        <v>706</v>
      </c>
      <c r="C302" s="26">
        <f>LN(Inventory[[#This Row],[Acres]])</f>
        <v>-1.1394342831883648</v>
      </c>
      <c r="D302" s="25">
        <v>0.32</v>
      </c>
      <c r="E302" s="25">
        <v>13937</v>
      </c>
      <c r="F302" s="26" t="s">
        <v>537</v>
      </c>
      <c r="G302" s="26" t="s">
        <v>126</v>
      </c>
      <c r="H302" s="26" t="s">
        <v>349</v>
      </c>
      <c r="I302" s="26" t="s">
        <v>538</v>
      </c>
      <c r="J302" s="26" t="s">
        <v>539</v>
      </c>
      <c r="K302" s="26" t="s">
        <v>241</v>
      </c>
      <c r="L302" s="26" t="s">
        <v>95</v>
      </c>
      <c r="M302" s="26" t="s">
        <v>303</v>
      </c>
      <c r="N302" s="26">
        <v>60</v>
      </c>
      <c r="O302" s="26">
        <f>2024-Inventory[[#This Row],[YrBlt]]</f>
        <v>57</v>
      </c>
      <c r="P302" s="26">
        <f>2024-Inventory[[#This Row],[EffYr]]</f>
        <v>48</v>
      </c>
      <c r="Q302" s="25">
        <v>1967</v>
      </c>
      <c r="R302" s="25">
        <v>1976</v>
      </c>
      <c r="S302" s="25">
        <v>1952</v>
      </c>
      <c r="T302" s="27"/>
      <c r="U302" s="32">
        <v>1169</v>
      </c>
      <c r="V302" s="32">
        <f>Inventory[[#This Row],[Bsmt]]-Inventory[[#This Row],[FnBsmt]]</f>
        <v>255</v>
      </c>
      <c r="W302" s="32">
        <v>914</v>
      </c>
      <c r="X302" s="27"/>
      <c r="Y302" s="27">
        <f>Inventory[[#This Row],[MainFn]]+Inventory[[#This Row],[UpprFn]]+Inventory[[#This Row],[FnBsmt]]+Inventory[[#This Row],[AddFn]]</f>
        <v>2866</v>
      </c>
      <c r="Z302" s="27">
        <v>3000</v>
      </c>
      <c r="AA302" s="25">
        <v>11</v>
      </c>
      <c r="AB302" s="31"/>
      <c r="AC302" s="32">
        <v>783</v>
      </c>
      <c r="AD302" s="27"/>
      <c r="AE302" s="27"/>
      <c r="AF302" s="27"/>
      <c r="AG302" s="27"/>
      <c r="AH302" s="27"/>
      <c r="AI302" s="25">
        <v>617428</v>
      </c>
      <c r="AJ302" s="25">
        <v>463071</v>
      </c>
      <c r="AK302" s="25">
        <v>0</v>
      </c>
      <c r="AL302" s="25">
        <v>488700</v>
      </c>
      <c r="AM302" s="25">
        <v>74800</v>
      </c>
      <c r="AN302" s="25">
        <v>413900</v>
      </c>
      <c r="AO302" s="25">
        <v>0</v>
      </c>
      <c r="AP302" s="25">
        <f>Lookups!$B$56*0</f>
        <v>0</v>
      </c>
      <c r="AQ302" s="25">
        <f>Lookups!$B$56*1</f>
        <v>89850.625589999996</v>
      </c>
      <c r="AR302" s="25">
        <f>Lookups!$B$57*Inventory[[#This Row],[LnAcres]]</f>
        <v>-36068.354396449467</v>
      </c>
      <c r="AS302" s="25">
        <f>VLOOKUP(Inventory[[#This Row],[Qlty]],Lookups!$A$62:$E$75,2,FALSE)</f>
        <v>74268.409664999999</v>
      </c>
      <c r="AT302" s="25">
        <f>VLOOKUP(Inventory[[#This Row],[Cnd]],Lookups!$A$76:$E$84,2,FALSE)</f>
        <v>197752.34721000001</v>
      </c>
      <c r="AU302" s="25">
        <f>Inventory[[#This Row],[EffAge]]*Lookups!$B$85</f>
        <v>-10706.188824000001</v>
      </c>
      <c r="AV302" s="25">
        <f>Inventory[[#This Row],[MainFn]]*Lookups!$B$86</f>
        <v>96445.723599903999</v>
      </c>
      <c r="AW302" s="25">
        <f>Inventory[[#This Row],[UpprFn]]*Lookups!$B$87</f>
        <v>0</v>
      </c>
      <c r="AX302" s="25">
        <f>Inventory[[#This Row],[AddFn]]*Lookups!$B$88</f>
        <v>0</v>
      </c>
      <c r="AY302" s="25">
        <f>Inventory[[#This Row],[Bsmt]]*Lookups!$B$89</f>
        <v>33996.735543743001</v>
      </c>
      <c r="AZ302" s="25">
        <f>Inventory[[#This Row],[Fixtures]]*Lookups!$B$90</f>
        <v>41712.243157199999</v>
      </c>
      <c r="BA302" s="25">
        <f>Inventory[[#This Row],[WdDeck]]*Lookups!$B$91</f>
        <v>0</v>
      </c>
      <c r="BB302" s="25">
        <f>ROUND(Inventory[[#This Row],[25Det]],-2)</f>
        <v>0</v>
      </c>
      <c r="BC302" s="25">
        <f>ROUND(SUM(Inventory[[#This Row],[Mdl Qlty]:[Mdl WdDeck]])+Inventory[[#This Row],[Mdl Res Intercept]],-2)</f>
        <v>433500</v>
      </c>
      <c r="BD302" s="25">
        <f>ROUND(Inventory[[#This Row],[Mdl Land Intercept]]+Inventory[[#This Row],[Mdl LnAcres]],-2)</f>
        <v>53800</v>
      </c>
      <c r="BE302" s="25">
        <f>Inventory[[#This Row],[Unadj Res Value]]+Inventory[[#This Row],[Unadj Det Value]]+Inventory[[#This Row],[Unadj Land Value]]</f>
        <v>487300</v>
      </c>
      <c r="BF302" s="36">
        <f>(Inventory[[#This Row],[Unadj Total Value]]-Inventory[[#This Row],[24Final]])/Inventory[[#This Row],[24Final]]</f>
        <v>-2.8647431962349089E-3</v>
      </c>
      <c r="BG302" s="25">
        <f>VLOOKUP(Inventory[[#This Row],[Nbhd]],Lookups!$Q$2:$T$4,4,FALSE)</f>
        <v>0.99970000000000003</v>
      </c>
      <c r="BH302" s="25">
        <f>VLOOKUP(Inventory[[#This Row],[Qlty]],Lookups!$O$7:$R$21,4,FALSE)</f>
        <v>0.98380000000000001</v>
      </c>
      <c r="BI302" s="25">
        <f>VLOOKUP(Inventory[[#This Row],[Cnd]],Lookups!$T$7:$W$16,4,FALSE)</f>
        <v>0.99650000000000005</v>
      </c>
      <c r="BJ302" s="25">
        <f>VLOOKUP(Inventory[[#This Row],[LivArea Range]],Lookups!$T$25:$W$37,4,FALSE)</f>
        <v>0.96179999999999999</v>
      </c>
      <c r="BK302" s="25">
        <f>VLOOKUP(Inventory[[#This Row],[Decade]],Lookups!$O$25:$R$42,4,FALSE)</f>
        <v>0.98119999999999996</v>
      </c>
      <c r="BL302" s="25">
        <f>Inventory[[#This Row],[Nbhd Adj]]*0.95</f>
        <v>0.94971499999999998</v>
      </c>
      <c r="BM302" s="25">
        <f>Inventory[[#This Row],[Nbhd Adj]]*Inventory[[#This Row],[Quality Adj]]*Inventory[[#This Row],[Condition Adj]]*Inventory[[#This Row],[Living Area Adj]]*Inventory[[#This Row],[Decade Adj]]*0.95</f>
        <v>0.87865772359428407</v>
      </c>
      <c r="BN302" s="25">
        <f>ROUND(SUM(Inventory[[#This Row],[Mdl Qlty]:[Mdl WdDeck]])+Inventory[[#This Row],[Mdl Res Intercept]]*Inventory[[#This Row],[Res Adj ]],-2)</f>
        <v>433500</v>
      </c>
      <c r="BO302" s="25">
        <f>ROUND(Inventory[[#This Row],[25Det]]*Inventory[[#This Row],[Det/Nbhd Adj]],-2)</f>
        <v>0</v>
      </c>
      <c r="BP302" s="25">
        <f>Inventory[[#This Row],[Adjusted Res]]+Inventory[[#This Row],[Adj Det ]]</f>
        <v>433500</v>
      </c>
      <c r="BQ302" s="25">
        <f>ROUND((Inventory[[#This Row],[Mdl Land Intercept]]+Inventory[[#This Row],[Mdl LnAcres]])*Inventory[[#This Row],[Det/Nbhd Adj]],-2)</f>
        <v>51100</v>
      </c>
      <c r="BR302" s="25">
        <f>Inventory[[#This Row],[Adjusted Impr Total]]+Inventory[[#This Row],[Adjusted Land Total]]</f>
        <v>484600</v>
      </c>
      <c r="BS302" s="36">
        <f>IFERROR((Inventory[[#This Row],[Adjusted Impr Total]]-Inventory[[#This Row],[24Bldg]])/Inventory[[#This Row],[24Bldg]],0)</f>
        <v>4.7354433438028511E-2</v>
      </c>
      <c r="BT302" s="36">
        <f>(Inventory[[#This Row],[Adjusted Land Total]]-Inventory[[#This Row],[24Lnd]])/Inventory[[#This Row],[24Lnd]]</f>
        <v>-0.31684491978609625</v>
      </c>
      <c r="BU302" s="36">
        <f>(Inventory[[#This Row],[Adjusted Total]]-Inventory[[#This Row],[24Final]])/Inventory[[#This Row],[24Final]]</f>
        <v>-8.3896050746879482E-3</v>
      </c>
    </row>
    <row r="303" spans="1:73" x14ac:dyDescent="0.3">
      <c r="A303" s="25">
        <v>2025</v>
      </c>
      <c r="B303" s="26" t="s">
        <v>2350</v>
      </c>
      <c r="C303" s="26">
        <f>LN(Inventory[[#This Row],[Acres]])</f>
        <v>-2.0402208285265546</v>
      </c>
      <c r="D303" s="25">
        <v>0.13</v>
      </c>
      <c r="E303" s="25">
        <v>5507</v>
      </c>
      <c r="F303" s="26" t="s">
        <v>537</v>
      </c>
      <c r="G303" s="26" t="s">
        <v>126</v>
      </c>
      <c r="H303" s="26" t="s">
        <v>349</v>
      </c>
      <c r="I303" s="26" t="s">
        <v>538</v>
      </c>
      <c r="J303" s="26" t="s">
        <v>539</v>
      </c>
      <c r="K303" s="26" t="s">
        <v>241</v>
      </c>
      <c r="L303" s="26" t="s">
        <v>351</v>
      </c>
      <c r="M303" s="26" t="s">
        <v>323</v>
      </c>
      <c r="N303" s="26">
        <v>60</v>
      </c>
      <c r="O303" s="26">
        <f>2024-Inventory[[#This Row],[YrBlt]]</f>
        <v>58</v>
      </c>
      <c r="P303" s="26">
        <f>2024-Inventory[[#This Row],[EffYr]]</f>
        <v>48</v>
      </c>
      <c r="Q303" s="25">
        <v>1966</v>
      </c>
      <c r="R303" s="25">
        <v>1976</v>
      </c>
      <c r="S303" s="25">
        <v>1267</v>
      </c>
      <c r="T303" s="27"/>
      <c r="U303" s="31"/>
      <c r="V303" s="31">
        <f>Inventory[[#This Row],[Bsmt]]-Inventory[[#This Row],[FnBsmt]]</f>
        <v>0</v>
      </c>
      <c r="W303" s="31"/>
      <c r="X303" s="27"/>
      <c r="Y303" s="27">
        <f>Inventory[[#This Row],[MainFn]]+Inventory[[#This Row],[UpprFn]]+Inventory[[#This Row],[FnBsmt]]+Inventory[[#This Row],[AddFn]]</f>
        <v>1267</v>
      </c>
      <c r="Z303" s="27">
        <v>1500</v>
      </c>
      <c r="AA303" s="25">
        <v>8</v>
      </c>
      <c r="AB303" s="32">
        <v>308</v>
      </c>
      <c r="AC303" s="27"/>
      <c r="AD303" s="32">
        <v>160</v>
      </c>
      <c r="AE303" s="27"/>
      <c r="AF303" s="27"/>
      <c r="AG303" s="27"/>
      <c r="AH303" s="27"/>
      <c r="AI303" s="25">
        <v>231444</v>
      </c>
      <c r="AJ303" s="25">
        <v>166640</v>
      </c>
      <c r="AK303" s="25">
        <v>0</v>
      </c>
      <c r="AL303" s="25">
        <v>274300</v>
      </c>
      <c r="AM303" s="25">
        <v>43400</v>
      </c>
      <c r="AN303" s="25">
        <v>230900</v>
      </c>
      <c r="AO303" s="25">
        <v>0</v>
      </c>
      <c r="AP303" s="25">
        <f>Lookups!$B$56*0</f>
        <v>0</v>
      </c>
      <c r="AQ303" s="25">
        <f>Lookups!$B$56*1</f>
        <v>89850.625589999996</v>
      </c>
      <c r="AR303" s="25">
        <f>Lookups!$B$57*Inventory[[#This Row],[LnAcres]]</f>
        <v>-64582.406353792743</v>
      </c>
      <c r="AS303" s="25">
        <f>VLOOKUP(Inventory[[#This Row],[Qlty]],Lookups!$A$62:$E$75,2,FALSE)</f>
        <v>21557.329055999999</v>
      </c>
      <c r="AT303" s="25">
        <f>VLOOKUP(Inventory[[#This Row],[Cnd]],Lookups!$A$76:$E$84,2,FALSE)</f>
        <v>160472.20319</v>
      </c>
      <c r="AU303" s="25">
        <f>Inventory[[#This Row],[EffAge]]*Lookups!$B$85</f>
        <v>-10706.188824000001</v>
      </c>
      <c r="AV303" s="25">
        <f>Inventory[[#This Row],[MainFn]]*Lookups!$B$86</f>
        <v>62600.784734159002</v>
      </c>
      <c r="AW303" s="25">
        <f>Inventory[[#This Row],[UpprFn]]*Lookups!$B$87</f>
        <v>0</v>
      </c>
      <c r="AX303" s="25">
        <f>Inventory[[#This Row],[AddFn]]*Lookups!$B$88</f>
        <v>0</v>
      </c>
      <c r="AY303" s="25">
        <f>Inventory[[#This Row],[Bsmt]]*Lookups!$B$89</f>
        <v>0</v>
      </c>
      <c r="AZ303" s="25">
        <f>Inventory[[#This Row],[Fixtures]]*Lookups!$B$90</f>
        <v>30336.176841600001</v>
      </c>
      <c r="BA303" s="25">
        <f>Inventory[[#This Row],[WdDeck]]*Lookups!$B$91</f>
        <v>5327.2824441600005</v>
      </c>
      <c r="BB303" s="25">
        <f>ROUND(Inventory[[#This Row],[25Det]],-2)</f>
        <v>0</v>
      </c>
      <c r="BC303" s="25">
        <f>ROUND(SUM(Inventory[[#This Row],[Mdl Qlty]:[Mdl WdDeck]])+Inventory[[#This Row],[Mdl Res Intercept]],-2)</f>
        <v>269600</v>
      </c>
      <c r="BD303" s="25">
        <f>ROUND(Inventory[[#This Row],[Mdl Land Intercept]]+Inventory[[#This Row],[Mdl LnAcres]],-2)</f>
        <v>25300</v>
      </c>
      <c r="BE303" s="25">
        <f>Inventory[[#This Row],[Unadj Res Value]]+Inventory[[#This Row],[Unadj Det Value]]+Inventory[[#This Row],[Unadj Land Value]]</f>
        <v>294900</v>
      </c>
      <c r="BF303" s="36">
        <f>(Inventory[[#This Row],[Unadj Total Value]]-Inventory[[#This Row],[24Final]])/Inventory[[#This Row],[24Final]]</f>
        <v>7.5100255195041932E-2</v>
      </c>
      <c r="BG303" s="25">
        <f>VLOOKUP(Inventory[[#This Row],[Nbhd]],Lookups!$Q$2:$T$4,4,FALSE)</f>
        <v>0.99970000000000003</v>
      </c>
      <c r="BH303" s="25">
        <f>VLOOKUP(Inventory[[#This Row],[Qlty]],Lookups!$O$7:$R$21,4,FALSE)</f>
        <v>1.0067999999999999</v>
      </c>
      <c r="BI303" s="25">
        <f>VLOOKUP(Inventory[[#This Row],[Cnd]],Lookups!$T$7:$W$16,4,FALSE)</f>
        <v>0.99729999999999996</v>
      </c>
      <c r="BJ303" s="25">
        <f>VLOOKUP(Inventory[[#This Row],[LivArea Range]],Lookups!$T$25:$W$37,4,FALSE)</f>
        <v>1.0157</v>
      </c>
      <c r="BK303" s="25">
        <f>VLOOKUP(Inventory[[#This Row],[Decade]],Lookups!$O$25:$R$42,4,FALSE)</f>
        <v>0.98119999999999996</v>
      </c>
      <c r="BL303" s="25">
        <f>Inventory[[#This Row],[Nbhd Adj]]*0.95</f>
        <v>0.94971499999999998</v>
      </c>
      <c r="BM303" s="25">
        <f>Inventory[[#This Row],[Nbhd Adj]]*Inventory[[#This Row],[Quality Adj]]*Inventory[[#This Row],[Condition Adj]]*Inventory[[#This Row],[Living Area Adj]]*Inventory[[#This Row],[Decade Adj]]*0.95</f>
        <v>0.95035379937285946</v>
      </c>
      <c r="BN303" s="25">
        <f>ROUND(SUM(Inventory[[#This Row],[Mdl Qlty]:[Mdl WdDeck]])+Inventory[[#This Row],[Mdl Res Intercept]]*Inventory[[#This Row],[Res Adj ]],-2)</f>
        <v>269600</v>
      </c>
      <c r="BO303" s="25">
        <f>ROUND(Inventory[[#This Row],[25Det]]*Inventory[[#This Row],[Det/Nbhd Adj]],-2)</f>
        <v>0</v>
      </c>
      <c r="BP303" s="25">
        <f>Inventory[[#This Row],[Adjusted Res]]+Inventory[[#This Row],[Adj Det ]]</f>
        <v>269600</v>
      </c>
      <c r="BQ303" s="25">
        <f>ROUND((Inventory[[#This Row],[Mdl Land Intercept]]+Inventory[[#This Row],[Mdl LnAcres]])*Inventory[[#This Row],[Det/Nbhd Adj]],-2)</f>
        <v>24000</v>
      </c>
      <c r="BR303" s="25">
        <f>Inventory[[#This Row],[Adjusted Impr Total]]+Inventory[[#This Row],[Adjusted Land Total]]</f>
        <v>293600</v>
      </c>
      <c r="BS303" s="36">
        <f>IFERROR((Inventory[[#This Row],[Adjusted Impr Total]]-Inventory[[#This Row],[24Bldg]])/Inventory[[#This Row],[24Bldg]],0)</f>
        <v>0.16760502381983541</v>
      </c>
      <c r="BT303" s="36">
        <f>(Inventory[[#This Row],[Adjusted Land Total]]-Inventory[[#This Row],[24Lnd]])/Inventory[[#This Row],[24Lnd]]</f>
        <v>-0.44700460829493088</v>
      </c>
      <c r="BU303" s="36">
        <f>(Inventory[[#This Row],[Adjusted Total]]-Inventory[[#This Row],[24Final]])/Inventory[[#This Row],[24Final]]</f>
        <v>7.0360918702150929E-2</v>
      </c>
    </row>
    <row r="304" spans="1:73" x14ac:dyDescent="0.3">
      <c r="A304" s="25">
        <v>2025</v>
      </c>
      <c r="B304" s="26" t="s">
        <v>2290</v>
      </c>
      <c r="C304" s="26">
        <f>LN(Inventory[[#This Row],[Acres]])</f>
        <v>-1.5141277326297755</v>
      </c>
      <c r="D304" s="25">
        <v>0.22</v>
      </c>
      <c r="E304" s="25">
        <v>9732</v>
      </c>
      <c r="F304" s="26" t="s">
        <v>537</v>
      </c>
      <c r="G304" s="26" t="s">
        <v>126</v>
      </c>
      <c r="H304" s="26" t="s">
        <v>349</v>
      </c>
      <c r="I304" s="26" t="s">
        <v>538</v>
      </c>
      <c r="J304" s="26" t="s">
        <v>539</v>
      </c>
      <c r="K304" s="26" t="s">
        <v>241</v>
      </c>
      <c r="L304" s="26" t="s">
        <v>302</v>
      </c>
      <c r="M304" s="26" t="s">
        <v>323</v>
      </c>
      <c r="N304" s="26">
        <v>60</v>
      </c>
      <c r="O304" s="26">
        <f>2024-Inventory[[#This Row],[YrBlt]]</f>
        <v>58</v>
      </c>
      <c r="P304" s="26">
        <f>2024-Inventory[[#This Row],[EffYr]]</f>
        <v>48</v>
      </c>
      <c r="Q304" s="25">
        <v>1966</v>
      </c>
      <c r="R304" s="25">
        <v>1976</v>
      </c>
      <c r="S304" s="25">
        <v>1474</v>
      </c>
      <c r="T304" s="27"/>
      <c r="U304" s="31"/>
      <c r="V304" s="27">
        <f>Inventory[[#This Row],[Bsmt]]-Inventory[[#This Row],[FnBsmt]]</f>
        <v>0</v>
      </c>
      <c r="W304" s="27"/>
      <c r="X304" s="27"/>
      <c r="Y304" s="27">
        <f>Inventory[[#This Row],[MainFn]]+Inventory[[#This Row],[UpprFn]]+Inventory[[#This Row],[FnBsmt]]+Inventory[[#This Row],[AddFn]]</f>
        <v>1474</v>
      </c>
      <c r="Z304" s="27">
        <v>1500</v>
      </c>
      <c r="AA304" s="25">
        <v>8</v>
      </c>
      <c r="AB304" s="25">
        <v>322</v>
      </c>
      <c r="AC304" s="27"/>
      <c r="AD304" s="27"/>
      <c r="AE304" s="27"/>
      <c r="AF304" s="27"/>
      <c r="AG304" s="27"/>
      <c r="AH304" s="27"/>
      <c r="AI304" s="25">
        <v>300326</v>
      </c>
      <c r="AJ304" s="25">
        <v>216235</v>
      </c>
      <c r="AK304" s="25">
        <v>0</v>
      </c>
      <c r="AL304" s="25">
        <v>312800</v>
      </c>
      <c r="AM304" s="25">
        <v>61700</v>
      </c>
      <c r="AN304" s="25">
        <v>251100</v>
      </c>
      <c r="AO304" s="25">
        <v>0</v>
      </c>
      <c r="AP304" s="25">
        <f>Lookups!$B$56*0</f>
        <v>0</v>
      </c>
      <c r="AQ304" s="25">
        <f>Lookups!$B$56*1</f>
        <v>89850.625589999996</v>
      </c>
      <c r="AR304" s="25">
        <f>Lookups!$B$57*Inventory[[#This Row],[LnAcres]]</f>
        <v>-47929.131559187132</v>
      </c>
      <c r="AS304" s="25">
        <f>VLOOKUP(Inventory[[#This Row],[Qlty]],Lookups!$A$62:$E$75,2,FALSE)</f>
        <v>29814.093161000001</v>
      </c>
      <c r="AT304" s="25">
        <f>VLOOKUP(Inventory[[#This Row],[Cnd]],Lookups!$A$76:$E$84,2,FALSE)</f>
        <v>160472.20319</v>
      </c>
      <c r="AU304" s="25">
        <f>Inventory[[#This Row],[EffAge]]*Lookups!$B$85</f>
        <v>-10706.188824000001</v>
      </c>
      <c r="AV304" s="25">
        <f>Inventory[[#This Row],[MainFn]]*Lookups!$B$86</f>
        <v>72828.379398698002</v>
      </c>
      <c r="AW304" s="25">
        <f>Inventory[[#This Row],[UpprFn]]*Lookups!$B$87</f>
        <v>0</v>
      </c>
      <c r="AX304" s="25">
        <f>Inventory[[#This Row],[AddFn]]*Lookups!$B$88</f>
        <v>0</v>
      </c>
      <c r="AY304" s="25">
        <f>Inventory[[#This Row],[Bsmt]]*Lookups!$B$89</f>
        <v>0</v>
      </c>
      <c r="AZ304" s="25">
        <f>Inventory[[#This Row],[Fixtures]]*Lookups!$B$90</f>
        <v>30336.176841600001</v>
      </c>
      <c r="BA304" s="25">
        <f>Inventory[[#This Row],[WdDeck]]*Lookups!$B$91</f>
        <v>0</v>
      </c>
      <c r="BB304" s="25">
        <f>ROUND(Inventory[[#This Row],[25Det]],-2)</f>
        <v>0</v>
      </c>
      <c r="BC304" s="25">
        <f>ROUND(SUM(Inventory[[#This Row],[Mdl Qlty]:[Mdl WdDeck]])+Inventory[[#This Row],[Mdl Res Intercept]],-2)</f>
        <v>282700</v>
      </c>
      <c r="BD304" s="25">
        <f>ROUND(Inventory[[#This Row],[Mdl Land Intercept]]+Inventory[[#This Row],[Mdl LnAcres]],-2)</f>
        <v>41900</v>
      </c>
      <c r="BE304" s="25">
        <f>Inventory[[#This Row],[Unadj Res Value]]+Inventory[[#This Row],[Unadj Det Value]]+Inventory[[#This Row],[Unadj Land Value]]</f>
        <v>324600</v>
      </c>
      <c r="BF304" s="36">
        <f>(Inventory[[#This Row],[Unadj Total Value]]-Inventory[[#This Row],[24Final]])/Inventory[[#This Row],[24Final]]</f>
        <v>3.7723785166240406E-2</v>
      </c>
      <c r="BG304" s="25">
        <f>VLOOKUP(Inventory[[#This Row],[Nbhd]],Lookups!$Q$2:$T$4,4,FALSE)</f>
        <v>0.99970000000000003</v>
      </c>
      <c r="BH304" s="25">
        <f>VLOOKUP(Inventory[[#This Row],[Qlty]],Lookups!$O$7:$R$21,4,FALSE)</f>
        <v>1.0088999999999999</v>
      </c>
      <c r="BI304" s="25">
        <f>VLOOKUP(Inventory[[#This Row],[Cnd]],Lookups!$T$7:$W$16,4,FALSE)</f>
        <v>0.99729999999999996</v>
      </c>
      <c r="BJ304" s="25">
        <f>VLOOKUP(Inventory[[#This Row],[LivArea Range]],Lookups!$T$25:$W$37,4,FALSE)</f>
        <v>1.0157</v>
      </c>
      <c r="BK304" s="25">
        <f>VLOOKUP(Inventory[[#This Row],[Decade]],Lookups!$O$25:$R$42,4,FALSE)</f>
        <v>0.98119999999999996</v>
      </c>
      <c r="BL304" s="25">
        <f>Inventory[[#This Row],[Nbhd Adj]]*0.95</f>
        <v>0.94971499999999998</v>
      </c>
      <c r="BM304" s="25">
        <f>Inventory[[#This Row],[Nbhd Adj]]*Inventory[[#This Row],[Quality Adj]]*Inventory[[#This Row],[Condition Adj]]*Inventory[[#This Row],[Living Area Adj]]*Inventory[[#This Row],[Decade Adj]]*0.95</f>
        <v>0.95233606295915574</v>
      </c>
      <c r="BN304" s="25">
        <f>ROUND(SUM(Inventory[[#This Row],[Mdl Qlty]:[Mdl WdDeck]])+Inventory[[#This Row],[Mdl Res Intercept]]*Inventory[[#This Row],[Res Adj ]],-2)</f>
        <v>282700</v>
      </c>
      <c r="BO304" s="25">
        <f>ROUND(Inventory[[#This Row],[25Det]]*Inventory[[#This Row],[Det/Nbhd Adj]],-2)</f>
        <v>0</v>
      </c>
      <c r="BP304" s="25">
        <f>Inventory[[#This Row],[Adjusted Res]]+Inventory[[#This Row],[Adj Det ]]</f>
        <v>282700</v>
      </c>
      <c r="BQ304" s="25">
        <f>ROUND((Inventory[[#This Row],[Mdl Land Intercept]]+Inventory[[#This Row],[Mdl LnAcres]])*Inventory[[#This Row],[Det/Nbhd Adj]],-2)</f>
        <v>39800</v>
      </c>
      <c r="BR304" s="25">
        <f>Inventory[[#This Row],[Adjusted Impr Total]]+Inventory[[#This Row],[Adjusted Land Total]]</f>
        <v>322500</v>
      </c>
      <c r="BS304" s="36">
        <f>IFERROR((Inventory[[#This Row],[Adjusted Impr Total]]-Inventory[[#This Row],[24Bldg]])/Inventory[[#This Row],[24Bldg]],0)</f>
        <v>0.1258462763839108</v>
      </c>
      <c r="BT304" s="36">
        <f>(Inventory[[#This Row],[Adjusted Land Total]]-Inventory[[#This Row],[24Lnd]])/Inventory[[#This Row],[24Lnd]]</f>
        <v>-0.35494327390599678</v>
      </c>
      <c r="BU304" s="36">
        <f>(Inventory[[#This Row],[Adjusted Total]]-Inventory[[#This Row],[24Final]])/Inventory[[#This Row],[24Final]]</f>
        <v>3.1010230179028132E-2</v>
      </c>
    </row>
    <row r="305" spans="1:73" x14ac:dyDescent="0.3">
      <c r="A305" s="25">
        <v>2025</v>
      </c>
      <c r="B305" s="26" t="s">
        <v>1350</v>
      </c>
      <c r="C305" s="26">
        <f>LN(Inventory[[#This Row],[Acres]])</f>
        <v>-0.61618613942381695</v>
      </c>
      <c r="D305" s="25">
        <v>0.54</v>
      </c>
      <c r="E305" s="25">
        <v>23416</v>
      </c>
      <c r="F305" s="26" t="s">
        <v>537</v>
      </c>
      <c r="G305" s="26" t="s">
        <v>126</v>
      </c>
      <c r="H305" s="26" t="s">
        <v>349</v>
      </c>
      <c r="I305" s="26" t="s">
        <v>538</v>
      </c>
      <c r="J305" s="26" t="s">
        <v>539</v>
      </c>
      <c r="K305" s="26" t="s">
        <v>241</v>
      </c>
      <c r="L305" s="26" t="s">
        <v>351</v>
      </c>
      <c r="M305" s="26" t="s">
        <v>323</v>
      </c>
      <c r="N305" s="26">
        <v>60</v>
      </c>
      <c r="O305" s="26">
        <f>2024-Inventory[[#This Row],[YrBlt]]</f>
        <v>58</v>
      </c>
      <c r="P305" s="26">
        <f>2024-Inventory[[#This Row],[EffYr]]</f>
        <v>48</v>
      </c>
      <c r="Q305" s="25">
        <v>1966</v>
      </c>
      <c r="R305" s="25">
        <v>1976</v>
      </c>
      <c r="S305" s="25">
        <v>1632</v>
      </c>
      <c r="T305" s="31"/>
      <c r="U305" s="32">
        <v>1632</v>
      </c>
      <c r="V305" s="32">
        <f>Inventory[[#This Row],[Bsmt]]-Inventory[[#This Row],[FnBsmt]]</f>
        <v>310</v>
      </c>
      <c r="W305" s="32">
        <v>1322</v>
      </c>
      <c r="X305" s="27"/>
      <c r="Y305" s="27">
        <f>Inventory[[#This Row],[MainFn]]+Inventory[[#This Row],[UpprFn]]+Inventory[[#This Row],[FnBsmt]]+Inventory[[#This Row],[AddFn]]</f>
        <v>2954</v>
      </c>
      <c r="Z305" s="27">
        <v>3000</v>
      </c>
      <c r="AA305" s="25">
        <v>9</v>
      </c>
      <c r="AB305" s="27"/>
      <c r="AC305" s="27"/>
      <c r="AD305" s="25">
        <v>235</v>
      </c>
      <c r="AE305" s="27"/>
      <c r="AF305" s="27"/>
      <c r="AG305" s="27"/>
      <c r="AH305" s="27"/>
      <c r="AI305" s="25">
        <v>378579</v>
      </c>
      <c r="AJ305" s="25">
        <v>272577</v>
      </c>
      <c r="AK305" s="25">
        <v>13468</v>
      </c>
      <c r="AL305" s="25">
        <v>412500</v>
      </c>
      <c r="AM305" s="25">
        <v>93000</v>
      </c>
      <c r="AN305" s="25">
        <v>319500</v>
      </c>
      <c r="AO305" s="25">
        <v>0</v>
      </c>
      <c r="AP305" s="25">
        <f>Lookups!$B$56*0</f>
        <v>0</v>
      </c>
      <c r="AQ305" s="25">
        <f>Lookups!$B$56*1</f>
        <v>89850.625589999996</v>
      </c>
      <c r="AR305" s="25">
        <f>Lookups!$B$57*Inventory[[#This Row],[LnAcres]]</f>
        <v>-19505.135468391178</v>
      </c>
      <c r="AS305" s="25">
        <f>VLOOKUP(Inventory[[#This Row],[Qlty]],Lookups!$A$62:$E$75,2,FALSE)</f>
        <v>21557.329055999999</v>
      </c>
      <c r="AT305" s="25">
        <f>VLOOKUP(Inventory[[#This Row],[Cnd]],Lookups!$A$76:$E$84,2,FALSE)</f>
        <v>160472.20319</v>
      </c>
      <c r="AU305" s="25">
        <f>Inventory[[#This Row],[EffAge]]*Lookups!$B$85</f>
        <v>-10706.188824000001</v>
      </c>
      <c r="AV305" s="25">
        <f>Inventory[[#This Row],[MainFn]]*Lookups!$B$86</f>
        <v>80634.949239263995</v>
      </c>
      <c r="AW305" s="25">
        <f>Inventory[[#This Row],[UpprFn]]*Lookups!$B$87</f>
        <v>0</v>
      </c>
      <c r="AX305" s="25">
        <f>Inventory[[#This Row],[AddFn]]*Lookups!$B$88</f>
        <v>0</v>
      </c>
      <c r="AY305" s="25">
        <f>Inventory[[#This Row],[Bsmt]]*Lookups!$B$89</f>
        <v>47461.653043104001</v>
      </c>
      <c r="AZ305" s="25">
        <f>Inventory[[#This Row],[Fixtures]]*Lookups!$B$90</f>
        <v>34128.198946800003</v>
      </c>
      <c r="BA305" s="25">
        <f>Inventory[[#This Row],[WdDeck]]*Lookups!$B$91</f>
        <v>7824.4460898600009</v>
      </c>
      <c r="BB305" s="25">
        <f>ROUND(Inventory[[#This Row],[25Det]],-2)</f>
        <v>13500</v>
      </c>
      <c r="BC305" s="25">
        <f>ROUND(SUM(Inventory[[#This Row],[Mdl Qlty]:[Mdl WdDeck]])+Inventory[[#This Row],[Mdl Res Intercept]],-2)</f>
        <v>341400</v>
      </c>
      <c r="BD305" s="25">
        <f>ROUND(Inventory[[#This Row],[Mdl Land Intercept]]+Inventory[[#This Row],[Mdl LnAcres]],-2)</f>
        <v>70300</v>
      </c>
      <c r="BE305" s="25">
        <f>Inventory[[#This Row],[Unadj Res Value]]+Inventory[[#This Row],[Unadj Det Value]]+Inventory[[#This Row],[Unadj Land Value]]</f>
        <v>425200</v>
      </c>
      <c r="BF305" s="36">
        <f>(Inventory[[#This Row],[Unadj Total Value]]-Inventory[[#This Row],[24Final]])/Inventory[[#This Row],[24Final]]</f>
        <v>3.0787878787878788E-2</v>
      </c>
      <c r="BG305" s="25">
        <f>VLOOKUP(Inventory[[#This Row],[Nbhd]],Lookups!$Q$2:$T$4,4,FALSE)</f>
        <v>0.99970000000000003</v>
      </c>
      <c r="BH305" s="25">
        <f>VLOOKUP(Inventory[[#This Row],[Qlty]],Lookups!$O$7:$R$21,4,FALSE)</f>
        <v>1.0067999999999999</v>
      </c>
      <c r="BI305" s="25">
        <f>VLOOKUP(Inventory[[#This Row],[Cnd]],Lookups!$T$7:$W$16,4,FALSE)</f>
        <v>0.99729999999999996</v>
      </c>
      <c r="BJ305" s="25">
        <f>VLOOKUP(Inventory[[#This Row],[LivArea Range]],Lookups!$T$25:$W$37,4,FALSE)</f>
        <v>0.96179999999999999</v>
      </c>
      <c r="BK305" s="25">
        <f>VLOOKUP(Inventory[[#This Row],[Decade]],Lookups!$O$25:$R$42,4,FALSE)</f>
        <v>0.98119999999999996</v>
      </c>
      <c r="BL305" s="25">
        <f>Inventory[[#This Row],[Nbhd Adj]]*0.95</f>
        <v>0.94971499999999998</v>
      </c>
      <c r="BM305" s="25">
        <f>Inventory[[#This Row],[Nbhd Adj]]*Inventory[[#This Row],[Quality Adj]]*Inventory[[#This Row],[Condition Adj]]*Inventory[[#This Row],[Living Area Adj]]*Inventory[[#This Row],[Decade Adj]]*0.95</f>
        <v>0.89992151642888285</v>
      </c>
      <c r="BN305" s="25">
        <f>ROUND(SUM(Inventory[[#This Row],[Mdl Qlty]:[Mdl WdDeck]])+Inventory[[#This Row],[Mdl Res Intercept]]*Inventory[[#This Row],[Res Adj ]],-2)</f>
        <v>341400</v>
      </c>
      <c r="BO305" s="25">
        <f>ROUND(Inventory[[#This Row],[25Det]]*Inventory[[#This Row],[Det/Nbhd Adj]],-2)</f>
        <v>12800</v>
      </c>
      <c r="BP305" s="25">
        <f>Inventory[[#This Row],[Adjusted Res]]+Inventory[[#This Row],[Adj Det ]]</f>
        <v>354200</v>
      </c>
      <c r="BQ305" s="25">
        <f>ROUND((Inventory[[#This Row],[Mdl Land Intercept]]+Inventory[[#This Row],[Mdl LnAcres]])*Inventory[[#This Row],[Det/Nbhd Adj]],-2)</f>
        <v>66800</v>
      </c>
      <c r="BR305" s="25">
        <f>Inventory[[#This Row],[Adjusted Impr Total]]+Inventory[[#This Row],[Adjusted Land Total]]</f>
        <v>421000</v>
      </c>
      <c r="BS305" s="36">
        <f>IFERROR((Inventory[[#This Row],[Adjusted Impr Total]]-Inventory[[#This Row],[24Bldg]])/Inventory[[#This Row],[24Bldg]],0)</f>
        <v>0.10860719874804382</v>
      </c>
      <c r="BT305" s="36">
        <f>(Inventory[[#This Row],[Adjusted Land Total]]-Inventory[[#This Row],[24Lnd]])/Inventory[[#This Row],[24Lnd]]</f>
        <v>-0.2817204301075269</v>
      </c>
      <c r="BU305" s="36">
        <f>(Inventory[[#This Row],[Adjusted Total]]-Inventory[[#This Row],[24Final]])/Inventory[[#This Row],[24Final]]</f>
        <v>2.0606060606060607E-2</v>
      </c>
    </row>
    <row r="306" spans="1:73" x14ac:dyDescent="0.3">
      <c r="A306" s="25">
        <v>2025</v>
      </c>
      <c r="B306" s="26" t="s">
        <v>710</v>
      </c>
      <c r="C306" s="26">
        <f>LN(Inventory[[#This Row],[Acres]])</f>
        <v>-1.2039728043259361</v>
      </c>
      <c r="D306" s="25">
        <v>0.3</v>
      </c>
      <c r="E306" s="25">
        <v>13230</v>
      </c>
      <c r="F306" s="26" t="s">
        <v>537</v>
      </c>
      <c r="G306" s="26" t="s">
        <v>126</v>
      </c>
      <c r="H306" s="26" t="s">
        <v>349</v>
      </c>
      <c r="I306" s="26" t="s">
        <v>538</v>
      </c>
      <c r="J306" s="26" t="s">
        <v>539</v>
      </c>
      <c r="K306" s="26" t="s">
        <v>241</v>
      </c>
      <c r="L306" s="26" t="s">
        <v>148</v>
      </c>
      <c r="M306" s="26" t="s">
        <v>206</v>
      </c>
      <c r="N306" s="26">
        <v>60</v>
      </c>
      <c r="O306" s="26">
        <f>2024-Inventory[[#This Row],[YrBlt]]</f>
        <v>58</v>
      </c>
      <c r="P306" s="26">
        <f>2024-Inventory[[#This Row],[EffYr]]</f>
        <v>48</v>
      </c>
      <c r="Q306" s="25">
        <v>1966</v>
      </c>
      <c r="R306" s="25">
        <v>1976</v>
      </c>
      <c r="S306" s="25">
        <v>1710</v>
      </c>
      <c r="T306" s="27"/>
      <c r="U306" s="27"/>
      <c r="V306" s="27">
        <f>Inventory[[#This Row],[Bsmt]]-Inventory[[#This Row],[FnBsmt]]</f>
        <v>0</v>
      </c>
      <c r="W306" s="27"/>
      <c r="X306" s="27"/>
      <c r="Y306" s="27">
        <f>Inventory[[#This Row],[MainFn]]+Inventory[[#This Row],[UpprFn]]+Inventory[[#This Row],[FnBsmt]]+Inventory[[#This Row],[AddFn]]</f>
        <v>1710</v>
      </c>
      <c r="Z306" s="27">
        <v>2000</v>
      </c>
      <c r="AA306" s="25">
        <v>8</v>
      </c>
      <c r="AB306" s="25">
        <v>552</v>
      </c>
      <c r="AC306" s="27"/>
      <c r="AD306" s="27"/>
      <c r="AE306" s="27"/>
      <c r="AF306" s="27"/>
      <c r="AG306" s="27"/>
      <c r="AH306" s="27"/>
      <c r="AI306" s="25">
        <v>411490</v>
      </c>
      <c r="AJ306" s="25">
        <v>292158</v>
      </c>
      <c r="AK306" s="25">
        <v>24612</v>
      </c>
      <c r="AL306" s="25">
        <v>348900</v>
      </c>
      <c r="AM306" s="25">
        <v>72500</v>
      </c>
      <c r="AN306" s="25">
        <v>276400</v>
      </c>
      <c r="AO306" s="25">
        <v>0</v>
      </c>
      <c r="AP306" s="25">
        <f>Lookups!$B$56*0</f>
        <v>0</v>
      </c>
      <c r="AQ306" s="25">
        <f>Lookups!$B$56*1</f>
        <v>89850.625589999996</v>
      </c>
      <c r="AR306" s="25">
        <f>Lookups!$B$57*Inventory[[#This Row],[LnAcres]]</f>
        <v>-38111.29648355169</v>
      </c>
      <c r="AS306" s="25">
        <f>VLOOKUP(Inventory[[#This Row],[Qlty]],Lookups!$A$62:$E$75,2,FALSE)</f>
        <v>44121.038090000002</v>
      </c>
      <c r="AT306" s="25">
        <f>VLOOKUP(Inventory[[#This Row],[Cnd]],Lookups!$A$76:$E$84,2,FALSE)</f>
        <v>133714.53821</v>
      </c>
      <c r="AU306" s="25">
        <f>Inventory[[#This Row],[EffAge]]*Lookups!$B$85</f>
        <v>-10706.188824000001</v>
      </c>
      <c r="AV306" s="25">
        <f>Inventory[[#This Row],[MainFn]]*Lookups!$B$86</f>
        <v>84488.825489670009</v>
      </c>
      <c r="AW306" s="25">
        <f>Inventory[[#This Row],[UpprFn]]*Lookups!$B$87</f>
        <v>0</v>
      </c>
      <c r="AX306" s="25">
        <f>Inventory[[#This Row],[AddFn]]*Lookups!$B$88</f>
        <v>0</v>
      </c>
      <c r="AY306" s="25">
        <f>Inventory[[#This Row],[Bsmt]]*Lookups!$B$89</f>
        <v>0</v>
      </c>
      <c r="AZ306" s="25">
        <f>Inventory[[#This Row],[Fixtures]]*Lookups!$B$90</f>
        <v>30336.176841600001</v>
      </c>
      <c r="BA306" s="25">
        <f>Inventory[[#This Row],[WdDeck]]*Lookups!$B$91</f>
        <v>0</v>
      </c>
      <c r="BB306" s="25">
        <f>ROUND(Inventory[[#This Row],[25Det]],-2)</f>
        <v>24600</v>
      </c>
      <c r="BC306" s="25">
        <f>ROUND(SUM(Inventory[[#This Row],[Mdl Qlty]:[Mdl WdDeck]])+Inventory[[#This Row],[Mdl Res Intercept]],-2)</f>
        <v>282000</v>
      </c>
      <c r="BD306" s="25">
        <f>ROUND(Inventory[[#This Row],[Mdl Land Intercept]]+Inventory[[#This Row],[Mdl LnAcres]],-2)</f>
        <v>51700</v>
      </c>
      <c r="BE306" s="25">
        <f>Inventory[[#This Row],[Unadj Res Value]]+Inventory[[#This Row],[Unadj Det Value]]+Inventory[[#This Row],[Unadj Land Value]]</f>
        <v>358300</v>
      </c>
      <c r="BF306" s="36">
        <f>(Inventory[[#This Row],[Unadj Total Value]]-Inventory[[#This Row],[24Final]])/Inventory[[#This Row],[24Final]]</f>
        <v>2.6941817139581541E-2</v>
      </c>
      <c r="BG306" s="25">
        <f>VLOOKUP(Inventory[[#This Row],[Nbhd]],Lookups!$Q$2:$T$4,4,FALSE)</f>
        <v>0.99970000000000003</v>
      </c>
      <c r="BH306" s="25">
        <f>VLOOKUP(Inventory[[#This Row],[Qlty]],Lookups!$O$7:$R$21,4,FALSE)</f>
        <v>0.98050000000000004</v>
      </c>
      <c r="BI306" s="25">
        <f>VLOOKUP(Inventory[[#This Row],[Cnd]],Lookups!$T$7:$W$16,4,FALSE)</f>
        <v>0.99329999999999996</v>
      </c>
      <c r="BJ306" s="25">
        <f>VLOOKUP(Inventory[[#This Row],[LivArea Range]],Lookups!$T$25:$W$37,4,FALSE)</f>
        <v>1.0093000000000001</v>
      </c>
      <c r="BK306" s="25">
        <f>VLOOKUP(Inventory[[#This Row],[Decade]],Lookups!$O$25:$R$42,4,FALSE)</f>
        <v>0.98119999999999996</v>
      </c>
      <c r="BL306" s="25">
        <f>Inventory[[#This Row],[Nbhd Adj]]*0.95</f>
        <v>0.94971499999999998</v>
      </c>
      <c r="BM306" s="25">
        <f>Inventory[[#This Row],[Nbhd Adj]]*Inventory[[#This Row],[Quality Adj]]*Inventory[[#This Row],[Condition Adj]]*Inventory[[#This Row],[Living Area Adj]]*Inventory[[#This Row],[Decade Adj]]*0.95</f>
        <v>0.91600774066301105</v>
      </c>
      <c r="BN306" s="25">
        <f>ROUND(SUM(Inventory[[#This Row],[Mdl Qlty]:[Mdl WdDeck]])+Inventory[[#This Row],[Mdl Res Intercept]]*Inventory[[#This Row],[Res Adj ]],-2)</f>
        <v>282000</v>
      </c>
      <c r="BO306" s="25">
        <f>ROUND(Inventory[[#This Row],[25Det]]*Inventory[[#This Row],[Det/Nbhd Adj]],-2)</f>
        <v>23400</v>
      </c>
      <c r="BP306" s="25">
        <f>Inventory[[#This Row],[Adjusted Res]]+Inventory[[#This Row],[Adj Det ]]</f>
        <v>305400</v>
      </c>
      <c r="BQ306" s="25">
        <f>ROUND((Inventory[[#This Row],[Mdl Land Intercept]]+Inventory[[#This Row],[Mdl LnAcres]])*Inventory[[#This Row],[Det/Nbhd Adj]],-2)</f>
        <v>49100</v>
      </c>
      <c r="BR306" s="25">
        <f>Inventory[[#This Row],[Adjusted Impr Total]]+Inventory[[#This Row],[Adjusted Land Total]]</f>
        <v>354500</v>
      </c>
      <c r="BS306" s="36">
        <f>IFERROR((Inventory[[#This Row],[Adjusted Impr Total]]-Inventory[[#This Row],[24Bldg]])/Inventory[[#This Row],[24Bldg]],0)</f>
        <v>0.10492040520984081</v>
      </c>
      <c r="BT306" s="36">
        <f>(Inventory[[#This Row],[Adjusted Land Total]]-Inventory[[#This Row],[24Lnd]])/Inventory[[#This Row],[24Lnd]]</f>
        <v>-0.32275862068965516</v>
      </c>
      <c r="BU306" s="36">
        <f>(Inventory[[#This Row],[Adjusted Total]]-Inventory[[#This Row],[24Final]])/Inventory[[#This Row],[24Final]]</f>
        <v>1.6050444253367727E-2</v>
      </c>
    </row>
    <row r="307" spans="1:73" x14ac:dyDescent="0.3">
      <c r="A307" s="25">
        <v>2025</v>
      </c>
      <c r="B307" s="26" t="s">
        <v>652</v>
      </c>
      <c r="C307" s="26">
        <f>LN(Inventory[[#This Row],[Acres]])</f>
        <v>-0.71334988787746478</v>
      </c>
      <c r="D307" s="25">
        <v>0.49</v>
      </c>
      <c r="E307" s="25">
        <v>21182</v>
      </c>
      <c r="F307" s="26" t="s">
        <v>537</v>
      </c>
      <c r="G307" s="26" t="s">
        <v>126</v>
      </c>
      <c r="H307" s="26" t="s">
        <v>349</v>
      </c>
      <c r="I307" s="26" t="s">
        <v>538</v>
      </c>
      <c r="J307" s="26" t="s">
        <v>539</v>
      </c>
      <c r="K307" s="26" t="s">
        <v>241</v>
      </c>
      <c r="L307" s="26" t="s">
        <v>148</v>
      </c>
      <c r="M307" s="26" t="s">
        <v>323</v>
      </c>
      <c r="N307" s="26">
        <v>60</v>
      </c>
      <c r="O307" s="26">
        <f>2024-Inventory[[#This Row],[YrBlt]]</f>
        <v>58</v>
      </c>
      <c r="P307" s="26">
        <f>2024-Inventory[[#This Row],[EffYr]]</f>
        <v>48</v>
      </c>
      <c r="Q307" s="25">
        <v>1966</v>
      </c>
      <c r="R307" s="25">
        <v>1976</v>
      </c>
      <c r="S307" s="25">
        <v>1728</v>
      </c>
      <c r="T307" s="27"/>
      <c r="U307" s="25">
        <v>1728</v>
      </c>
      <c r="V307" s="25">
        <f>Inventory[[#This Row],[Bsmt]]-Inventory[[#This Row],[FnBsmt]]</f>
        <v>513</v>
      </c>
      <c r="W307" s="25">
        <v>1215</v>
      </c>
      <c r="X307" s="27"/>
      <c r="Y307" s="27">
        <f>Inventory[[#This Row],[MainFn]]+Inventory[[#This Row],[UpprFn]]+Inventory[[#This Row],[FnBsmt]]+Inventory[[#This Row],[AddFn]]</f>
        <v>2943</v>
      </c>
      <c r="Z307" s="27">
        <v>3000</v>
      </c>
      <c r="AA307" s="25">
        <v>11</v>
      </c>
      <c r="AB307" s="32">
        <v>576</v>
      </c>
      <c r="AC307" s="27"/>
      <c r="AD307" s="25">
        <v>179</v>
      </c>
      <c r="AE307" s="27"/>
      <c r="AF307" s="27"/>
      <c r="AG307" s="27"/>
      <c r="AH307" s="27"/>
      <c r="AI307" s="25">
        <v>580652</v>
      </c>
      <c r="AJ307" s="25">
        <v>418069</v>
      </c>
      <c r="AK307" s="25">
        <v>0</v>
      </c>
      <c r="AL307" s="25">
        <v>438200</v>
      </c>
      <c r="AM307" s="25">
        <v>89700</v>
      </c>
      <c r="AN307" s="25">
        <v>348500</v>
      </c>
      <c r="AO307" s="25">
        <v>0</v>
      </c>
      <c r="AP307" s="25">
        <f>Lookups!$B$56*0</f>
        <v>0</v>
      </c>
      <c r="AQ307" s="25">
        <f>Lookups!$B$56*1</f>
        <v>89850.625589999996</v>
      </c>
      <c r="AR307" s="25">
        <f>Lookups!$B$57*Inventory[[#This Row],[LnAcres]]</f>
        <v>-22580.816589646583</v>
      </c>
      <c r="AS307" s="25">
        <f>VLOOKUP(Inventory[[#This Row],[Qlty]],Lookups!$A$62:$E$75,2,FALSE)</f>
        <v>44121.038090000002</v>
      </c>
      <c r="AT307" s="25">
        <f>VLOOKUP(Inventory[[#This Row],[Cnd]],Lookups!$A$76:$E$84,2,FALSE)</f>
        <v>160472.20319</v>
      </c>
      <c r="AU307" s="25">
        <f>Inventory[[#This Row],[EffAge]]*Lookups!$B$85</f>
        <v>-10706.188824000001</v>
      </c>
      <c r="AV307" s="25">
        <f>Inventory[[#This Row],[MainFn]]*Lookups!$B$86</f>
        <v>85378.181547455999</v>
      </c>
      <c r="AW307" s="25">
        <f>Inventory[[#This Row],[UpprFn]]*Lookups!$B$87</f>
        <v>0</v>
      </c>
      <c r="AX307" s="25">
        <f>Inventory[[#This Row],[AddFn]]*Lookups!$B$88</f>
        <v>0</v>
      </c>
      <c r="AY307" s="25">
        <f>Inventory[[#This Row],[Bsmt]]*Lookups!$B$89</f>
        <v>50253.514986816001</v>
      </c>
      <c r="AZ307" s="25">
        <f>Inventory[[#This Row],[Fixtures]]*Lookups!$B$90</f>
        <v>41712.243157199999</v>
      </c>
      <c r="BA307" s="25">
        <f>Inventory[[#This Row],[WdDeck]]*Lookups!$B$91</f>
        <v>5959.8972344040003</v>
      </c>
      <c r="BB307" s="25">
        <f>ROUND(Inventory[[#This Row],[25Det]],-2)</f>
        <v>0</v>
      </c>
      <c r="BC307" s="25">
        <f>ROUND(SUM(Inventory[[#This Row],[Mdl Qlty]:[Mdl WdDeck]])+Inventory[[#This Row],[Mdl Res Intercept]],-2)</f>
        <v>377200</v>
      </c>
      <c r="BD307" s="25">
        <f>ROUND(Inventory[[#This Row],[Mdl Land Intercept]]+Inventory[[#This Row],[Mdl LnAcres]],-2)</f>
        <v>67300</v>
      </c>
      <c r="BE307" s="25">
        <f>Inventory[[#This Row],[Unadj Res Value]]+Inventory[[#This Row],[Unadj Det Value]]+Inventory[[#This Row],[Unadj Land Value]]</f>
        <v>444500</v>
      </c>
      <c r="BF307" s="36">
        <f>(Inventory[[#This Row],[Unadj Total Value]]-Inventory[[#This Row],[24Final]])/Inventory[[#This Row],[24Final]]</f>
        <v>1.437699680511182E-2</v>
      </c>
      <c r="BG307" s="25">
        <f>VLOOKUP(Inventory[[#This Row],[Nbhd]],Lookups!$Q$2:$T$4,4,FALSE)</f>
        <v>0.99970000000000003</v>
      </c>
      <c r="BH307" s="25">
        <f>VLOOKUP(Inventory[[#This Row],[Qlty]],Lookups!$O$7:$R$21,4,FALSE)</f>
        <v>0.98050000000000004</v>
      </c>
      <c r="BI307" s="25">
        <f>VLOOKUP(Inventory[[#This Row],[Cnd]],Lookups!$T$7:$W$16,4,FALSE)</f>
        <v>0.99729999999999996</v>
      </c>
      <c r="BJ307" s="25">
        <f>VLOOKUP(Inventory[[#This Row],[LivArea Range]],Lookups!$T$25:$W$37,4,FALSE)</f>
        <v>0.96179999999999999</v>
      </c>
      <c r="BK307" s="25">
        <f>VLOOKUP(Inventory[[#This Row],[Decade]],Lookups!$O$25:$R$42,4,FALSE)</f>
        <v>0.98119999999999996</v>
      </c>
      <c r="BL307" s="25">
        <f>Inventory[[#This Row],[Nbhd Adj]]*0.95</f>
        <v>0.94971499999999998</v>
      </c>
      <c r="BM307" s="25">
        <f>Inventory[[#This Row],[Nbhd Adj]]*Inventory[[#This Row],[Quality Adj]]*Inventory[[#This Row],[Condition Adj]]*Inventory[[#This Row],[Living Area Adj]]*Inventory[[#This Row],[Decade Adj]]*0.95</f>
        <v>0.87641343549713913</v>
      </c>
      <c r="BN307" s="25">
        <f>ROUND(SUM(Inventory[[#This Row],[Mdl Qlty]:[Mdl WdDeck]])+Inventory[[#This Row],[Mdl Res Intercept]]*Inventory[[#This Row],[Res Adj ]],-2)</f>
        <v>377200</v>
      </c>
      <c r="BO307" s="25">
        <f>ROUND(Inventory[[#This Row],[25Det]]*Inventory[[#This Row],[Det/Nbhd Adj]],-2)</f>
        <v>0</v>
      </c>
      <c r="BP307" s="25">
        <f>Inventory[[#This Row],[Adjusted Res]]+Inventory[[#This Row],[Adj Det ]]</f>
        <v>377200</v>
      </c>
      <c r="BQ307" s="25">
        <f>ROUND((Inventory[[#This Row],[Mdl Land Intercept]]+Inventory[[#This Row],[Mdl LnAcres]])*Inventory[[#This Row],[Det/Nbhd Adj]],-2)</f>
        <v>63900</v>
      </c>
      <c r="BR307" s="25">
        <f>Inventory[[#This Row],[Adjusted Impr Total]]+Inventory[[#This Row],[Adjusted Land Total]]</f>
        <v>441100</v>
      </c>
      <c r="BS307" s="36">
        <f>IFERROR((Inventory[[#This Row],[Adjusted Impr Total]]-Inventory[[#This Row],[24Bldg]])/Inventory[[#This Row],[24Bldg]],0)</f>
        <v>8.2352941176470587E-2</v>
      </c>
      <c r="BT307" s="36">
        <f>(Inventory[[#This Row],[Adjusted Land Total]]-Inventory[[#This Row],[24Lnd]])/Inventory[[#This Row],[24Lnd]]</f>
        <v>-0.28762541806020064</v>
      </c>
      <c r="BU307" s="36">
        <f>(Inventory[[#This Row],[Adjusted Total]]-Inventory[[#This Row],[24Final]])/Inventory[[#This Row],[24Final]]</f>
        <v>6.6179826563213147E-3</v>
      </c>
    </row>
    <row r="308" spans="1:73" x14ac:dyDescent="0.3">
      <c r="A308" s="25">
        <v>2025</v>
      </c>
      <c r="B308" s="26" t="s">
        <v>2132</v>
      </c>
      <c r="C308" s="26">
        <f>LN(Inventory[[#This Row],[Acres]])</f>
        <v>-1.3470736479666092</v>
      </c>
      <c r="D308" s="25">
        <v>0.26</v>
      </c>
      <c r="E308" s="31"/>
      <c r="F308" s="26" t="s">
        <v>537</v>
      </c>
      <c r="G308" s="26" t="s">
        <v>126</v>
      </c>
      <c r="H308" s="26" t="s">
        <v>349</v>
      </c>
      <c r="I308" s="26" t="s">
        <v>538</v>
      </c>
      <c r="J308" s="26" t="s">
        <v>539</v>
      </c>
      <c r="K308" s="26" t="s">
        <v>241</v>
      </c>
      <c r="L308" s="26" t="s">
        <v>148</v>
      </c>
      <c r="M308" s="26" t="s">
        <v>323</v>
      </c>
      <c r="N308" s="26">
        <v>60</v>
      </c>
      <c r="O308" s="26">
        <f>2024-Inventory[[#This Row],[YrBlt]]</f>
        <v>58</v>
      </c>
      <c r="P308" s="26">
        <f>2024-Inventory[[#This Row],[EffYr]]</f>
        <v>48</v>
      </c>
      <c r="Q308" s="25">
        <v>1966</v>
      </c>
      <c r="R308" s="25">
        <v>1976</v>
      </c>
      <c r="S308" s="25">
        <v>1518</v>
      </c>
      <c r="T308" s="31"/>
      <c r="U308" s="25">
        <v>1518</v>
      </c>
      <c r="V308" s="25">
        <f>Inventory[[#This Row],[Bsmt]]-Inventory[[#This Row],[FnBsmt]]</f>
        <v>718</v>
      </c>
      <c r="W308" s="25">
        <v>800</v>
      </c>
      <c r="X308" s="27"/>
      <c r="Y308" s="27">
        <f>Inventory[[#This Row],[MainFn]]+Inventory[[#This Row],[UpprFn]]+Inventory[[#This Row],[FnBsmt]]+Inventory[[#This Row],[AddFn]]</f>
        <v>2318</v>
      </c>
      <c r="Z308" s="27">
        <v>2500</v>
      </c>
      <c r="AA308" s="25">
        <v>14</v>
      </c>
      <c r="AB308" s="32">
        <v>552</v>
      </c>
      <c r="AC308" s="27"/>
      <c r="AD308" s="27"/>
      <c r="AE308" s="27"/>
      <c r="AF308" s="27"/>
      <c r="AG308" s="27"/>
      <c r="AH308" s="27"/>
      <c r="AI308" s="25">
        <v>513693</v>
      </c>
      <c r="AJ308" s="25">
        <v>369859</v>
      </c>
      <c r="AK308" s="25">
        <v>0</v>
      </c>
      <c r="AL308" s="25">
        <v>410900</v>
      </c>
      <c r="AM308" s="25">
        <v>67600</v>
      </c>
      <c r="AN308" s="25">
        <v>343300</v>
      </c>
      <c r="AO308" s="25">
        <v>0</v>
      </c>
      <c r="AP308" s="25">
        <f>Lookups!$B$56*0</f>
        <v>0</v>
      </c>
      <c r="AQ308" s="25">
        <f>Lookups!$B$56*1</f>
        <v>89850.625589999996</v>
      </c>
      <c r="AR308" s="25">
        <f>Lookups!$B$57*Inventory[[#This Row],[LnAcres]]</f>
        <v>-42641.098701210125</v>
      </c>
      <c r="AS308" s="25">
        <f>VLOOKUP(Inventory[[#This Row],[Qlty]],Lookups!$A$62:$E$75,2,FALSE)</f>
        <v>44121.038090000002</v>
      </c>
      <c r="AT308" s="25">
        <f>VLOOKUP(Inventory[[#This Row],[Cnd]],Lookups!$A$76:$E$84,2,FALSE)</f>
        <v>160472.20319</v>
      </c>
      <c r="AU308" s="25">
        <f>Inventory[[#This Row],[EffAge]]*Lookups!$B$85</f>
        <v>-10706.188824000001</v>
      </c>
      <c r="AV308" s="25">
        <f>Inventory[[#This Row],[MainFn]]*Lookups!$B$86</f>
        <v>75002.360873286001</v>
      </c>
      <c r="AW308" s="25">
        <f>Inventory[[#This Row],[UpprFn]]*Lookups!$B$87</f>
        <v>0</v>
      </c>
      <c r="AX308" s="25">
        <f>Inventory[[#This Row],[AddFn]]*Lookups!$B$88</f>
        <v>0</v>
      </c>
      <c r="AY308" s="25">
        <f>Inventory[[#This Row],[Bsmt]]*Lookups!$B$89</f>
        <v>44146.316984945996</v>
      </c>
      <c r="AZ308" s="25">
        <f>Inventory[[#This Row],[Fixtures]]*Lookups!$B$90</f>
        <v>53088.3094728</v>
      </c>
      <c r="BA308" s="25">
        <f>Inventory[[#This Row],[WdDeck]]*Lookups!$B$91</f>
        <v>0</v>
      </c>
      <c r="BB308" s="25">
        <f>ROUND(Inventory[[#This Row],[25Det]],-2)</f>
        <v>0</v>
      </c>
      <c r="BC308" s="25">
        <f>ROUND(SUM(Inventory[[#This Row],[Mdl Qlty]:[Mdl WdDeck]])+Inventory[[#This Row],[Mdl Res Intercept]],-2)</f>
        <v>366100</v>
      </c>
      <c r="BD308" s="25">
        <f>ROUND(Inventory[[#This Row],[Mdl Land Intercept]]+Inventory[[#This Row],[Mdl LnAcres]],-2)</f>
        <v>47200</v>
      </c>
      <c r="BE308" s="25">
        <f>Inventory[[#This Row],[Unadj Res Value]]+Inventory[[#This Row],[Unadj Det Value]]+Inventory[[#This Row],[Unadj Land Value]]</f>
        <v>413300</v>
      </c>
      <c r="BF308" s="36">
        <f>(Inventory[[#This Row],[Unadj Total Value]]-Inventory[[#This Row],[24Final]])/Inventory[[#This Row],[24Final]]</f>
        <v>5.8408371866634215E-3</v>
      </c>
      <c r="BG308" s="25">
        <f>VLOOKUP(Inventory[[#This Row],[Nbhd]],Lookups!$Q$2:$T$4,4,FALSE)</f>
        <v>0.99970000000000003</v>
      </c>
      <c r="BH308" s="25">
        <f>VLOOKUP(Inventory[[#This Row],[Qlty]],Lookups!$O$7:$R$21,4,FALSE)</f>
        <v>0.98050000000000004</v>
      </c>
      <c r="BI308" s="25">
        <f>VLOOKUP(Inventory[[#This Row],[Cnd]],Lookups!$T$7:$W$16,4,FALSE)</f>
        <v>0.99729999999999996</v>
      </c>
      <c r="BJ308" s="25">
        <f>VLOOKUP(Inventory[[#This Row],[LivArea Range]],Lookups!$T$25:$W$37,4,FALSE)</f>
        <v>0.98919999999999997</v>
      </c>
      <c r="BK308" s="25">
        <f>VLOOKUP(Inventory[[#This Row],[Decade]],Lookups!$O$25:$R$42,4,FALSE)</f>
        <v>0.98119999999999996</v>
      </c>
      <c r="BL308" s="25">
        <f>Inventory[[#This Row],[Nbhd Adj]]*0.95</f>
        <v>0.94971499999999998</v>
      </c>
      <c r="BM308" s="25">
        <f>Inventory[[#This Row],[Nbhd Adj]]*Inventory[[#This Row],[Quality Adj]]*Inventory[[#This Row],[Condition Adj]]*Inventory[[#This Row],[Living Area Adj]]*Inventory[[#This Row],[Decade Adj]]*0.95</f>
        <v>0.90138092159884586</v>
      </c>
      <c r="BN308" s="25">
        <f>ROUND(SUM(Inventory[[#This Row],[Mdl Qlty]:[Mdl WdDeck]])+Inventory[[#This Row],[Mdl Res Intercept]]*Inventory[[#This Row],[Res Adj ]],-2)</f>
        <v>366100</v>
      </c>
      <c r="BO308" s="25">
        <f>ROUND(Inventory[[#This Row],[25Det]]*Inventory[[#This Row],[Det/Nbhd Adj]],-2)</f>
        <v>0</v>
      </c>
      <c r="BP308" s="25">
        <f>Inventory[[#This Row],[Adjusted Res]]+Inventory[[#This Row],[Adj Det ]]</f>
        <v>366100</v>
      </c>
      <c r="BQ308" s="25">
        <f>ROUND((Inventory[[#This Row],[Mdl Land Intercept]]+Inventory[[#This Row],[Mdl LnAcres]])*Inventory[[#This Row],[Det/Nbhd Adj]],-2)</f>
        <v>44800</v>
      </c>
      <c r="BR308" s="25">
        <f>Inventory[[#This Row],[Adjusted Impr Total]]+Inventory[[#This Row],[Adjusted Land Total]]</f>
        <v>410900</v>
      </c>
      <c r="BS308" s="36">
        <f>IFERROR((Inventory[[#This Row],[Adjusted Impr Total]]-Inventory[[#This Row],[24Bldg]])/Inventory[[#This Row],[24Bldg]],0)</f>
        <v>6.6414214972327412E-2</v>
      </c>
      <c r="BT308" s="36">
        <f>(Inventory[[#This Row],[Adjusted Land Total]]-Inventory[[#This Row],[24Lnd]])/Inventory[[#This Row],[24Lnd]]</f>
        <v>-0.33727810650887574</v>
      </c>
      <c r="BU308" s="36">
        <f>(Inventory[[#This Row],[Adjusted Total]]-Inventory[[#This Row],[24Final]])/Inventory[[#This Row],[24Final]]</f>
        <v>0</v>
      </c>
    </row>
    <row r="309" spans="1:73" x14ac:dyDescent="0.3">
      <c r="A309" s="25">
        <v>2025</v>
      </c>
      <c r="B309" s="26" t="s">
        <v>749</v>
      </c>
      <c r="C309" s="26">
        <f>LN(Inventory[[#This Row],[Acres]])</f>
        <v>-1.0216512475319814</v>
      </c>
      <c r="D309" s="25">
        <v>0.36</v>
      </c>
      <c r="E309" s="25">
        <v>15737</v>
      </c>
      <c r="F309" s="26" t="s">
        <v>537</v>
      </c>
      <c r="G309" s="26" t="s">
        <v>126</v>
      </c>
      <c r="H309" s="26" t="s">
        <v>349</v>
      </c>
      <c r="I309" s="26" t="s">
        <v>538</v>
      </c>
      <c r="J309" s="26" t="s">
        <v>539</v>
      </c>
      <c r="K309" s="26" t="s">
        <v>241</v>
      </c>
      <c r="L309" s="26" t="s">
        <v>95</v>
      </c>
      <c r="M309" s="26" t="s">
        <v>303</v>
      </c>
      <c r="N309" s="26">
        <v>60</v>
      </c>
      <c r="O309" s="26">
        <f>2024-Inventory[[#This Row],[YrBlt]]</f>
        <v>58</v>
      </c>
      <c r="P309" s="26">
        <f>2024-Inventory[[#This Row],[EffYr]]</f>
        <v>48</v>
      </c>
      <c r="Q309" s="25">
        <v>1966</v>
      </c>
      <c r="R309" s="25">
        <v>1976</v>
      </c>
      <c r="S309" s="25">
        <v>1792</v>
      </c>
      <c r="T309" s="27"/>
      <c r="U309" s="25">
        <v>832</v>
      </c>
      <c r="V309" s="25">
        <f>Inventory[[#This Row],[Bsmt]]-Inventory[[#This Row],[FnBsmt]]</f>
        <v>0</v>
      </c>
      <c r="W309" s="25">
        <v>832</v>
      </c>
      <c r="X309" s="27"/>
      <c r="Y309" s="27">
        <f>Inventory[[#This Row],[MainFn]]+Inventory[[#This Row],[UpprFn]]+Inventory[[#This Row],[FnBsmt]]+Inventory[[#This Row],[AddFn]]</f>
        <v>2624</v>
      </c>
      <c r="Z309" s="27">
        <v>3000</v>
      </c>
      <c r="AA309" s="25">
        <v>12</v>
      </c>
      <c r="AB309" s="32">
        <v>768</v>
      </c>
      <c r="AC309" s="27"/>
      <c r="AD309" s="27"/>
      <c r="AE309" s="27"/>
      <c r="AF309" s="27"/>
      <c r="AG309" s="27"/>
      <c r="AH309" s="27"/>
      <c r="AI309" s="25">
        <v>629050</v>
      </c>
      <c r="AJ309" s="25">
        <v>471788</v>
      </c>
      <c r="AK309" s="25">
        <v>0</v>
      </c>
      <c r="AL309" s="25">
        <v>487500</v>
      </c>
      <c r="AM309" s="25">
        <v>78900</v>
      </c>
      <c r="AN309" s="25">
        <v>408600</v>
      </c>
      <c r="AO309" s="25">
        <v>0</v>
      </c>
      <c r="AP309" s="25">
        <f>Lookups!$B$56*0</f>
        <v>0</v>
      </c>
      <c r="AQ309" s="25">
        <f>Lookups!$B$56*1</f>
        <v>89850.625589999996</v>
      </c>
      <c r="AR309" s="25">
        <f>Lookups!$B$57*Inventory[[#This Row],[LnAcres]]</f>
        <v>-32339.977661938148</v>
      </c>
      <c r="AS309" s="25">
        <f>VLOOKUP(Inventory[[#This Row],[Qlty]],Lookups!$A$62:$E$75,2,FALSE)</f>
        <v>74268.409664999999</v>
      </c>
      <c r="AT309" s="25">
        <f>VLOOKUP(Inventory[[#This Row],[Cnd]],Lookups!$A$76:$E$84,2,FALSE)</f>
        <v>197752.34721000001</v>
      </c>
      <c r="AU309" s="25">
        <f>Inventory[[#This Row],[EffAge]]*Lookups!$B$85</f>
        <v>-10706.188824000001</v>
      </c>
      <c r="AV309" s="25">
        <f>Inventory[[#This Row],[MainFn]]*Lookups!$B$86</f>
        <v>88540.336419583997</v>
      </c>
      <c r="AW309" s="25">
        <f>Inventory[[#This Row],[UpprFn]]*Lookups!$B$87</f>
        <v>0</v>
      </c>
      <c r="AX309" s="25">
        <f>Inventory[[#This Row],[AddFn]]*Lookups!$B$88</f>
        <v>0</v>
      </c>
      <c r="AY309" s="25">
        <f>Inventory[[#This Row],[Bsmt]]*Lookups!$B$89</f>
        <v>24196.136845503999</v>
      </c>
      <c r="AZ309" s="25">
        <f>Inventory[[#This Row],[Fixtures]]*Lookups!$B$90</f>
        <v>45504.265262400004</v>
      </c>
      <c r="BA309" s="25">
        <f>Inventory[[#This Row],[WdDeck]]*Lookups!$B$91</f>
        <v>0</v>
      </c>
      <c r="BB309" s="25">
        <f>ROUND(Inventory[[#This Row],[25Det]],-2)</f>
        <v>0</v>
      </c>
      <c r="BC309" s="25">
        <f>ROUND(SUM(Inventory[[#This Row],[Mdl Qlty]:[Mdl WdDeck]])+Inventory[[#This Row],[Mdl Res Intercept]],-2)</f>
        <v>419600</v>
      </c>
      <c r="BD309" s="25">
        <f>ROUND(Inventory[[#This Row],[Mdl Land Intercept]]+Inventory[[#This Row],[Mdl LnAcres]],-2)</f>
        <v>57500</v>
      </c>
      <c r="BE309" s="25">
        <f>Inventory[[#This Row],[Unadj Res Value]]+Inventory[[#This Row],[Unadj Det Value]]+Inventory[[#This Row],[Unadj Land Value]]</f>
        <v>477100</v>
      </c>
      <c r="BF309" s="36">
        <f>(Inventory[[#This Row],[Unadj Total Value]]-Inventory[[#This Row],[24Final]])/Inventory[[#This Row],[24Final]]</f>
        <v>-2.1333333333333333E-2</v>
      </c>
      <c r="BG309" s="25">
        <f>VLOOKUP(Inventory[[#This Row],[Nbhd]],Lookups!$Q$2:$T$4,4,FALSE)</f>
        <v>0.99970000000000003</v>
      </c>
      <c r="BH309" s="25">
        <f>VLOOKUP(Inventory[[#This Row],[Qlty]],Lookups!$O$7:$R$21,4,FALSE)</f>
        <v>0.98380000000000001</v>
      </c>
      <c r="BI309" s="25">
        <f>VLOOKUP(Inventory[[#This Row],[Cnd]],Lookups!$T$7:$W$16,4,FALSE)</f>
        <v>0.99650000000000005</v>
      </c>
      <c r="BJ309" s="25">
        <f>VLOOKUP(Inventory[[#This Row],[LivArea Range]],Lookups!$T$25:$W$37,4,FALSE)</f>
        <v>0.96179999999999999</v>
      </c>
      <c r="BK309" s="25">
        <f>VLOOKUP(Inventory[[#This Row],[Decade]],Lookups!$O$25:$R$42,4,FALSE)</f>
        <v>0.98119999999999996</v>
      </c>
      <c r="BL309" s="25">
        <f>Inventory[[#This Row],[Nbhd Adj]]*0.95</f>
        <v>0.94971499999999998</v>
      </c>
      <c r="BM309" s="25">
        <f>Inventory[[#This Row],[Nbhd Adj]]*Inventory[[#This Row],[Quality Adj]]*Inventory[[#This Row],[Condition Adj]]*Inventory[[#This Row],[Living Area Adj]]*Inventory[[#This Row],[Decade Adj]]*0.95</f>
        <v>0.87865772359428407</v>
      </c>
      <c r="BN309" s="25">
        <f>ROUND(SUM(Inventory[[#This Row],[Mdl Qlty]:[Mdl WdDeck]])+Inventory[[#This Row],[Mdl Res Intercept]]*Inventory[[#This Row],[Res Adj ]],-2)</f>
        <v>419600</v>
      </c>
      <c r="BO309" s="25">
        <f>ROUND(Inventory[[#This Row],[25Det]]*Inventory[[#This Row],[Det/Nbhd Adj]],-2)</f>
        <v>0</v>
      </c>
      <c r="BP309" s="25">
        <f>Inventory[[#This Row],[Adjusted Res]]+Inventory[[#This Row],[Adj Det ]]</f>
        <v>419600</v>
      </c>
      <c r="BQ309" s="25">
        <f>ROUND((Inventory[[#This Row],[Mdl Land Intercept]]+Inventory[[#This Row],[Mdl LnAcres]])*Inventory[[#This Row],[Det/Nbhd Adj]],-2)</f>
        <v>54600</v>
      </c>
      <c r="BR309" s="25">
        <f>Inventory[[#This Row],[Adjusted Impr Total]]+Inventory[[#This Row],[Adjusted Land Total]]</f>
        <v>474200</v>
      </c>
      <c r="BS309" s="36">
        <f>IFERROR((Inventory[[#This Row],[Adjusted Impr Total]]-Inventory[[#This Row],[24Bldg]])/Inventory[[#This Row],[24Bldg]],0)</f>
        <v>2.6921194322075379E-2</v>
      </c>
      <c r="BT309" s="36">
        <f>(Inventory[[#This Row],[Adjusted Land Total]]-Inventory[[#This Row],[24Lnd]])/Inventory[[#This Row],[24Lnd]]</f>
        <v>-0.30798479087452474</v>
      </c>
      <c r="BU309" s="36">
        <f>(Inventory[[#This Row],[Adjusted Total]]-Inventory[[#This Row],[24Final]])/Inventory[[#This Row],[24Final]]</f>
        <v>-2.7282051282051283E-2</v>
      </c>
    </row>
    <row r="310" spans="1:73" x14ac:dyDescent="0.3">
      <c r="A310" s="25">
        <v>2025</v>
      </c>
      <c r="B310" s="26" t="s">
        <v>973</v>
      </c>
      <c r="C310" s="26">
        <f>LN(Inventory[[#This Row],[Acres]])</f>
        <v>0.51879379341516751</v>
      </c>
      <c r="D310" s="25">
        <v>1.68</v>
      </c>
      <c r="E310" s="31"/>
      <c r="F310" s="26" t="s">
        <v>537</v>
      </c>
      <c r="G310" s="26" t="s">
        <v>126</v>
      </c>
      <c r="H310" s="26" t="s">
        <v>349</v>
      </c>
      <c r="I310" s="26" t="s">
        <v>538</v>
      </c>
      <c r="J310" s="26" t="s">
        <v>974</v>
      </c>
      <c r="K310" s="26" t="s">
        <v>300</v>
      </c>
      <c r="L310" s="26" t="s">
        <v>64</v>
      </c>
      <c r="M310" s="26" t="s">
        <v>303</v>
      </c>
      <c r="N310" s="26">
        <v>60</v>
      </c>
      <c r="O310" s="26">
        <f>2024-Inventory[[#This Row],[YrBlt]]</f>
        <v>58</v>
      </c>
      <c r="P310" s="26">
        <f>2024-Inventory[[#This Row],[EffYr]]</f>
        <v>48</v>
      </c>
      <c r="Q310" s="25">
        <v>1966</v>
      </c>
      <c r="R310" s="25">
        <v>1976</v>
      </c>
      <c r="S310" s="25">
        <v>3768</v>
      </c>
      <c r="T310" s="25">
        <v>882</v>
      </c>
      <c r="U310" s="25">
        <v>1014</v>
      </c>
      <c r="V310" s="25">
        <f>Inventory[[#This Row],[Bsmt]]-Inventory[[#This Row],[FnBsmt]]</f>
        <v>0</v>
      </c>
      <c r="W310" s="25">
        <v>1014</v>
      </c>
      <c r="X310" s="27"/>
      <c r="Y310" s="27">
        <f>Inventory[[#This Row],[MainFn]]+Inventory[[#This Row],[UpprFn]]+Inventory[[#This Row],[FnBsmt]]+Inventory[[#This Row],[AddFn]]</f>
        <v>5664</v>
      </c>
      <c r="Z310" s="27">
        <v>5500</v>
      </c>
      <c r="AA310" s="25">
        <v>15</v>
      </c>
      <c r="AB310" s="25">
        <v>516</v>
      </c>
      <c r="AC310" s="27"/>
      <c r="AD310" s="32">
        <v>238</v>
      </c>
      <c r="AE310" s="27"/>
      <c r="AF310" s="27"/>
      <c r="AG310" s="27"/>
      <c r="AH310" s="27"/>
      <c r="AI310" s="25">
        <v>1221165</v>
      </c>
      <c r="AJ310" s="25">
        <v>928085</v>
      </c>
      <c r="AK310" s="25">
        <v>24508</v>
      </c>
      <c r="AL310" s="25">
        <v>827200</v>
      </c>
      <c r="AM310" s="25">
        <v>132600</v>
      </c>
      <c r="AN310" s="25">
        <v>694600</v>
      </c>
      <c r="AO310" s="25">
        <v>0</v>
      </c>
      <c r="AP310" s="25">
        <f>Lookups!$B$56*0</f>
        <v>0</v>
      </c>
      <c r="AQ310" s="25">
        <f>Lookups!$B$56*1</f>
        <v>89850.625589999996</v>
      </c>
      <c r="AR310" s="25">
        <f>Lookups!$B$57*Inventory[[#This Row],[LnAcres]]</f>
        <v>16422.218179372863</v>
      </c>
      <c r="AS310" s="25">
        <f>VLOOKUP(Inventory[[#This Row],[Qlty]],Lookups!$A$62:$E$75,2,FALSE)</f>
        <v>163885.03753</v>
      </c>
      <c r="AT310" s="25">
        <f>VLOOKUP(Inventory[[#This Row],[Cnd]],Lookups!$A$76:$E$84,2,FALSE)</f>
        <v>197752.34721000001</v>
      </c>
      <c r="AU310" s="25">
        <f>Inventory[[#This Row],[EffAge]]*Lookups!$B$85</f>
        <v>-10706.188824000001</v>
      </c>
      <c r="AV310" s="25">
        <f>Inventory[[#This Row],[MainFn]]*Lookups!$B$86</f>
        <v>186171.868096536</v>
      </c>
      <c r="AW310" s="25">
        <f>Inventory[[#This Row],[UpprFn]]*Lookups!$B$87</f>
        <v>39501.624963401999</v>
      </c>
      <c r="AX310" s="25">
        <f>Inventory[[#This Row],[AddFn]]*Lookups!$B$88</f>
        <v>0</v>
      </c>
      <c r="AY310" s="25">
        <f>Inventory[[#This Row],[Bsmt]]*Lookups!$B$89</f>
        <v>29489.041780457999</v>
      </c>
      <c r="AZ310" s="25">
        <f>Inventory[[#This Row],[Fixtures]]*Lookups!$B$90</f>
        <v>56880.331578000005</v>
      </c>
      <c r="BA310" s="25">
        <f>Inventory[[#This Row],[WdDeck]]*Lookups!$B$91</f>
        <v>7924.3326356880007</v>
      </c>
      <c r="BB310" s="25">
        <f>ROUND(Inventory[[#This Row],[25Det]],-2)</f>
        <v>24500</v>
      </c>
      <c r="BC310" s="25">
        <f>ROUND(SUM(Inventory[[#This Row],[Mdl Qlty]:[Mdl WdDeck]])+Inventory[[#This Row],[Mdl Res Intercept]],-2)</f>
        <v>670900</v>
      </c>
      <c r="BD310" s="25">
        <f>ROUND(Inventory[[#This Row],[Mdl Land Intercept]]+Inventory[[#This Row],[Mdl LnAcres]],-2)</f>
        <v>106300</v>
      </c>
      <c r="BE310" s="25">
        <f>Inventory[[#This Row],[Unadj Res Value]]+Inventory[[#This Row],[Unadj Det Value]]+Inventory[[#This Row],[Unadj Land Value]]</f>
        <v>801700</v>
      </c>
      <c r="BF310" s="36">
        <f>(Inventory[[#This Row],[Unadj Total Value]]-Inventory[[#This Row],[24Final]])/Inventory[[#This Row],[24Final]]</f>
        <v>-3.082688588007737E-2</v>
      </c>
      <c r="BG310" s="25">
        <f>VLOOKUP(Inventory[[#This Row],[Nbhd]],Lookups!$Q$2:$T$4,4,FALSE)</f>
        <v>0.99970000000000003</v>
      </c>
      <c r="BH310" s="25">
        <f>VLOOKUP(Inventory[[#This Row],[Qlty]],Lookups!$O$7:$R$21,4,FALSE)</f>
        <v>1</v>
      </c>
      <c r="BI310" s="25">
        <f>VLOOKUP(Inventory[[#This Row],[Cnd]],Lookups!$T$7:$W$16,4,FALSE)</f>
        <v>0.99650000000000005</v>
      </c>
      <c r="BJ310" s="25">
        <f>VLOOKUP(Inventory[[#This Row],[LivArea Range]],Lookups!$T$25:$W$37,4,FALSE)</f>
        <v>1.1091</v>
      </c>
      <c r="BK310" s="25">
        <f>VLOOKUP(Inventory[[#This Row],[Decade]],Lookups!$O$25:$R$42,4,FALSE)</f>
        <v>0.98119999999999996</v>
      </c>
      <c r="BL310" s="25">
        <f>Inventory[[#This Row],[Nbhd Adj]]*0.95</f>
        <v>0.94971499999999998</v>
      </c>
      <c r="BM310" s="25">
        <f>Inventory[[#This Row],[Nbhd Adj]]*Inventory[[#This Row],[Quality Adj]]*Inventory[[#This Row],[Condition Adj]]*Inventory[[#This Row],[Living Area Adj]]*Inventory[[#This Row],[Decade Adj]]*0.95</f>
        <v>1.0299089809270976</v>
      </c>
      <c r="BN310" s="25">
        <f>ROUND(SUM(Inventory[[#This Row],[Mdl Qlty]:[Mdl WdDeck]])+Inventory[[#This Row],[Mdl Res Intercept]]*Inventory[[#This Row],[Res Adj ]],-2)</f>
        <v>670900</v>
      </c>
      <c r="BO310" s="25">
        <f>ROUND(Inventory[[#This Row],[25Det]]*Inventory[[#This Row],[Det/Nbhd Adj]],-2)</f>
        <v>23300</v>
      </c>
      <c r="BP310" s="25">
        <f>Inventory[[#This Row],[Adjusted Res]]+Inventory[[#This Row],[Adj Det ]]</f>
        <v>694200</v>
      </c>
      <c r="BQ310" s="25">
        <f>ROUND((Inventory[[#This Row],[Mdl Land Intercept]]+Inventory[[#This Row],[Mdl LnAcres]])*Inventory[[#This Row],[Det/Nbhd Adj]],-2)</f>
        <v>100900</v>
      </c>
      <c r="BR310" s="25">
        <f>Inventory[[#This Row],[Adjusted Impr Total]]+Inventory[[#This Row],[Adjusted Land Total]]</f>
        <v>795100</v>
      </c>
      <c r="BS310" s="36">
        <f>IFERROR((Inventory[[#This Row],[Adjusted Impr Total]]-Inventory[[#This Row],[24Bldg]])/Inventory[[#This Row],[24Bldg]],0)</f>
        <v>-5.7587100489490354E-4</v>
      </c>
      <c r="BT310" s="36">
        <f>(Inventory[[#This Row],[Adjusted Land Total]]-Inventory[[#This Row],[24Lnd]])/Inventory[[#This Row],[24Lnd]]</f>
        <v>-0.23906485671191555</v>
      </c>
      <c r="BU310" s="36">
        <f>(Inventory[[#This Row],[Adjusted Total]]-Inventory[[#This Row],[24Final]])/Inventory[[#This Row],[24Final]]</f>
        <v>-3.8805609284332687E-2</v>
      </c>
    </row>
    <row r="311" spans="1:73" x14ac:dyDescent="0.3">
      <c r="A311" s="25">
        <v>2025</v>
      </c>
      <c r="B311" s="26" t="s">
        <v>742</v>
      </c>
      <c r="C311" s="26">
        <f>LN(Inventory[[#This Row],[Acres]])</f>
        <v>-2.3025850929940455</v>
      </c>
      <c r="D311" s="25">
        <v>0.1</v>
      </c>
      <c r="E311" s="25">
        <v>4430</v>
      </c>
      <c r="F311" s="26" t="s">
        <v>537</v>
      </c>
      <c r="G311" s="26" t="s">
        <v>126</v>
      </c>
      <c r="H311" s="26" t="s">
        <v>349</v>
      </c>
      <c r="I311" s="26" t="s">
        <v>538</v>
      </c>
      <c r="J311" s="26" t="s">
        <v>586</v>
      </c>
      <c r="K311" s="26" t="s">
        <v>592</v>
      </c>
      <c r="L311" s="26" t="s">
        <v>148</v>
      </c>
      <c r="M311" s="26" t="s">
        <v>323</v>
      </c>
      <c r="N311" s="26">
        <v>60</v>
      </c>
      <c r="O311" s="26">
        <f>2024-Inventory[[#This Row],[YrBlt]]</f>
        <v>59</v>
      </c>
      <c r="P311" s="26">
        <f>2024-Inventory[[#This Row],[EffYr]]</f>
        <v>48</v>
      </c>
      <c r="Q311" s="25">
        <v>1965</v>
      </c>
      <c r="R311" s="25">
        <v>1976</v>
      </c>
      <c r="S311" s="25">
        <v>1388</v>
      </c>
      <c r="T311" s="27"/>
      <c r="U311" s="31"/>
      <c r="V311" s="31">
        <f>Inventory[[#This Row],[Bsmt]]-Inventory[[#This Row],[FnBsmt]]</f>
        <v>0</v>
      </c>
      <c r="W311" s="31"/>
      <c r="X311" s="27"/>
      <c r="Y311" s="27">
        <f>Inventory[[#This Row],[MainFn]]+Inventory[[#This Row],[UpprFn]]+Inventory[[#This Row],[FnBsmt]]+Inventory[[#This Row],[AddFn]]</f>
        <v>1388</v>
      </c>
      <c r="Z311" s="27">
        <v>1500</v>
      </c>
      <c r="AA311" s="25">
        <v>8</v>
      </c>
      <c r="AB311" s="32">
        <v>450</v>
      </c>
      <c r="AC311" s="27"/>
      <c r="AD311" s="27"/>
      <c r="AE311" s="27"/>
      <c r="AF311" s="27"/>
      <c r="AG311" s="27"/>
      <c r="AH311" s="27"/>
      <c r="AI311" s="25">
        <v>350419</v>
      </c>
      <c r="AJ311" s="25">
        <v>252302</v>
      </c>
      <c r="AK311" s="25">
        <v>0</v>
      </c>
      <c r="AL311" s="25">
        <v>232900</v>
      </c>
      <c r="AM311" s="25">
        <v>39300</v>
      </c>
      <c r="AN311" s="25">
        <v>193600</v>
      </c>
      <c r="AO311" s="25">
        <v>0</v>
      </c>
      <c r="AP311" s="25">
        <f>Lookups!$B$56*0</f>
        <v>0</v>
      </c>
      <c r="AQ311" s="25">
        <f>Lookups!$B$56*1</f>
        <v>89850.625589999996</v>
      </c>
      <c r="AR311" s="25">
        <f>Lookups!$B$57*Inventory[[#This Row],[LnAcres]]</f>
        <v>-72887.446329681261</v>
      </c>
      <c r="AS311" s="25">
        <f>VLOOKUP(Inventory[[#This Row],[Qlty]],Lookups!$A$62:$E$75,2,FALSE)</f>
        <v>44121.038090000002</v>
      </c>
      <c r="AT311" s="25">
        <f>VLOOKUP(Inventory[[#This Row],[Cnd]],Lookups!$A$76:$E$84,2,FALSE)</f>
        <v>160472.20319</v>
      </c>
      <c r="AU311" s="25">
        <f>Inventory[[#This Row],[EffAge]]*Lookups!$B$85</f>
        <v>-10706.188824000001</v>
      </c>
      <c r="AV311" s="25">
        <f>Inventory[[#This Row],[MainFn]]*Lookups!$B$86</f>
        <v>68579.233789275997</v>
      </c>
      <c r="AW311" s="25">
        <f>Inventory[[#This Row],[UpprFn]]*Lookups!$B$87</f>
        <v>0</v>
      </c>
      <c r="AX311" s="25">
        <f>Inventory[[#This Row],[AddFn]]*Lookups!$B$88</f>
        <v>0</v>
      </c>
      <c r="AY311" s="25">
        <f>Inventory[[#This Row],[Bsmt]]*Lookups!$B$89</f>
        <v>0</v>
      </c>
      <c r="AZ311" s="25">
        <f>Inventory[[#This Row],[Fixtures]]*Lookups!$B$90</f>
        <v>30336.176841600001</v>
      </c>
      <c r="BA311" s="25">
        <f>Inventory[[#This Row],[WdDeck]]*Lookups!$B$91</f>
        <v>0</v>
      </c>
      <c r="BB311" s="25">
        <f>ROUND(Inventory[[#This Row],[25Det]],-2)</f>
        <v>0</v>
      </c>
      <c r="BC311" s="25">
        <f>ROUND(SUM(Inventory[[#This Row],[Mdl Qlty]:[Mdl WdDeck]])+Inventory[[#This Row],[Mdl Res Intercept]],-2)</f>
        <v>292800</v>
      </c>
      <c r="BD311" s="25">
        <f>ROUND(Inventory[[#This Row],[Mdl Land Intercept]]+Inventory[[#This Row],[Mdl LnAcres]],-2)</f>
        <v>17000</v>
      </c>
      <c r="BE311" s="25">
        <f>Inventory[[#This Row],[Unadj Res Value]]+Inventory[[#This Row],[Unadj Det Value]]+Inventory[[#This Row],[Unadj Land Value]]</f>
        <v>309800</v>
      </c>
      <c r="BF311" s="36">
        <f>(Inventory[[#This Row],[Unadj Total Value]]-Inventory[[#This Row],[24Final]])/Inventory[[#This Row],[24Final]]</f>
        <v>0.33018462859596392</v>
      </c>
      <c r="BG311" s="25">
        <f>VLOOKUP(Inventory[[#This Row],[Nbhd]],Lookups!$Q$2:$T$4,4,FALSE)</f>
        <v>0.99970000000000003</v>
      </c>
      <c r="BH311" s="25">
        <f>VLOOKUP(Inventory[[#This Row],[Qlty]],Lookups!$O$7:$R$21,4,FALSE)</f>
        <v>0.98050000000000004</v>
      </c>
      <c r="BI311" s="25">
        <f>VLOOKUP(Inventory[[#This Row],[Cnd]],Lookups!$T$7:$W$16,4,FALSE)</f>
        <v>0.99729999999999996</v>
      </c>
      <c r="BJ311" s="25">
        <f>VLOOKUP(Inventory[[#This Row],[LivArea Range]],Lookups!$T$25:$W$37,4,FALSE)</f>
        <v>1.0157</v>
      </c>
      <c r="BK311" s="25">
        <f>VLOOKUP(Inventory[[#This Row],[Decade]],Lookups!$O$25:$R$42,4,FALSE)</f>
        <v>0.98119999999999996</v>
      </c>
      <c r="BL311" s="25">
        <f>Inventory[[#This Row],[Nbhd Adj]]*0.95</f>
        <v>0.94971499999999998</v>
      </c>
      <c r="BM311" s="25">
        <f>Inventory[[#This Row],[Nbhd Adj]]*Inventory[[#This Row],[Quality Adj]]*Inventory[[#This Row],[Condition Adj]]*Inventory[[#This Row],[Living Area Adj]]*Inventory[[#This Row],[Decade Adj]]*0.95</f>
        <v>0.92552830779210249</v>
      </c>
      <c r="BN311" s="25">
        <f>ROUND(SUM(Inventory[[#This Row],[Mdl Qlty]:[Mdl WdDeck]])+Inventory[[#This Row],[Mdl Res Intercept]]*Inventory[[#This Row],[Res Adj ]],-2)</f>
        <v>292800</v>
      </c>
      <c r="BO311" s="25">
        <f>ROUND(Inventory[[#This Row],[25Det]]*Inventory[[#This Row],[Det/Nbhd Adj]],-2)</f>
        <v>0</v>
      </c>
      <c r="BP311" s="25">
        <f>Inventory[[#This Row],[Adjusted Res]]+Inventory[[#This Row],[Adj Det ]]</f>
        <v>292800</v>
      </c>
      <c r="BQ311" s="25">
        <f>ROUND((Inventory[[#This Row],[Mdl Land Intercept]]+Inventory[[#This Row],[Mdl LnAcres]])*Inventory[[#This Row],[Det/Nbhd Adj]],-2)</f>
        <v>16100</v>
      </c>
      <c r="BR311" s="25">
        <f>Inventory[[#This Row],[Adjusted Impr Total]]+Inventory[[#This Row],[Adjusted Land Total]]</f>
        <v>308900</v>
      </c>
      <c r="BS311" s="36">
        <f>IFERROR((Inventory[[#This Row],[Adjusted Impr Total]]-Inventory[[#This Row],[24Bldg]])/Inventory[[#This Row],[24Bldg]],0)</f>
        <v>0.51239669421487599</v>
      </c>
      <c r="BT311" s="36">
        <f>(Inventory[[#This Row],[Adjusted Land Total]]-Inventory[[#This Row],[24Lnd]])/Inventory[[#This Row],[24Lnd]]</f>
        <v>-0.59033078880407119</v>
      </c>
      <c r="BU311" s="36">
        <f>(Inventory[[#This Row],[Adjusted Total]]-Inventory[[#This Row],[24Final]])/Inventory[[#This Row],[24Final]]</f>
        <v>0.32632030914555604</v>
      </c>
    </row>
    <row r="312" spans="1:73" x14ac:dyDescent="0.3">
      <c r="A312" s="25">
        <v>2025</v>
      </c>
      <c r="B312" s="26" t="s">
        <v>741</v>
      </c>
      <c r="C312" s="26">
        <f>LN(Inventory[[#This Row],[Acres]])</f>
        <v>-1.9661128563728327</v>
      </c>
      <c r="D312" s="25">
        <v>0.14000000000000001</v>
      </c>
      <c r="E312" s="25">
        <v>6296</v>
      </c>
      <c r="F312" s="26" t="s">
        <v>537</v>
      </c>
      <c r="G312" s="26" t="s">
        <v>126</v>
      </c>
      <c r="H312" s="26" t="s">
        <v>349</v>
      </c>
      <c r="I312" s="26" t="s">
        <v>538</v>
      </c>
      <c r="J312" s="26" t="s">
        <v>586</v>
      </c>
      <c r="K312" s="26" t="s">
        <v>592</v>
      </c>
      <c r="L312" s="26" t="s">
        <v>148</v>
      </c>
      <c r="M312" s="26" t="s">
        <v>323</v>
      </c>
      <c r="N312" s="26">
        <v>60</v>
      </c>
      <c r="O312" s="26">
        <f>2024-Inventory[[#This Row],[YrBlt]]</f>
        <v>59</v>
      </c>
      <c r="P312" s="26">
        <f>2024-Inventory[[#This Row],[EffYr]]</f>
        <v>48</v>
      </c>
      <c r="Q312" s="25">
        <v>1965</v>
      </c>
      <c r="R312" s="25">
        <v>1976</v>
      </c>
      <c r="S312" s="25">
        <v>1487</v>
      </c>
      <c r="T312" s="27"/>
      <c r="U312" s="31"/>
      <c r="V312" s="31">
        <f>Inventory[[#This Row],[Bsmt]]-Inventory[[#This Row],[FnBsmt]]</f>
        <v>0</v>
      </c>
      <c r="W312" s="31"/>
      <c r="X312" s="27"/>
      <c r="Y312" s="27">
        <f>Inventory[[#This Row],[MainFn]]+Inventory[[#This Row],[UpprFn]]+Inventory[[#This Row],[FnBsmt]]+Inventory[[#This Row],[AddFn]]</f>
        <v>1487</v>
      </c>
      <c r="Z312" s="27">
        <v>1500</v>
      </c>
      <c r="AA312" s="25">
        <v>8</v>
      </c>
      <c r="AB312" s="32">
        <v>540</v>
      </c>
      <c r="AC312" s="27"/>
      <c r="AD312" s="27"/>
      <c r="AE312" s="27"/>
      <c r="AF312" s="27"/>
      <c r="AG312" s="27"/>
      <c r="AH312" s="27"/>
      <c r="AI312" s="25">
        <v>370149</v>
      </c>
      <c r="AJ312" s="25">
        <v>266507</v>
      </c>
      <c r="AK312" s="25">
        <v>0</v>
      </c>
      <c r="AL312" s="25">
        <v>245000</v>
      </c>
      <c r="AM312" s="25">
        <v>40500</v>
      </c>
      <c r="AN312" s="25">
        <v>204500</v>
      </c>
      <c r="AO312" s="25">
        <v>0</v>
      </c>
      <c r="AP312" s="25">
        <f>Lookups!$B$56*0</f>
        <v>0</v>
      </c>
      <c r="AQ312" s="25">
        <f>Lookups!$B$56*1</f>
        <v>89850.625589999996</v>
      </c>
      <c r="AR312" s="25">
        <f>Lookups!$B$57*Inventory[[#This Row],[LnAcres]]</f>
        <v>-62236.546971921947</v>
      </c>
      <c r="AS312" s="25">
        <f>VLOOKUP(Inventory[[#This Row],[Qlty]],Lookups!$A$62:$E$75,2,FALSE)</f>
        <v>44121.038090000002</v>
      </c>
      <c r="AT312" s="25">
        <f>VLOOKUP(Inventory[[#This Row],[Cnd]],Lookups!$A$76:$E$84,2,FALSE)</f>
        <v>160472.20319</v>
      </c>
      <c r="AU312" s="25">
        <f>Inventory[[#This Row],[EffAge]]*Lookups!$B$85</f>
        <v>-10706.188824000001</v>
      </c>
      <c r="AV312" s="25">
        <f>Inventory[[#This Row],[MainFn]]*Lookups!$B$86</f>
        <v>73470.692107099007</v>
      </c>
      <c r="AW312" s="25">
        <f>Inventory[[#This Row],[UpprFn]]*Lookups!$B$87</f>
        <v>0</v>
      </c>
      <c r="AX312" s="25">
        <f>Inventory[[#This Row],[AddFn]]*Lookups!$B$88</f>
        <v>0</v>
      </c>
      <c r="AY312" s="25">
        <f>Inventory[[#This Row],[Bsmt]]*Lookups!$B$89</f>
        <v>0</v>
      </c>
      <c r="AZ312" s="25">
        <f>Inventory[[#This Row],[Fixtures]]*Lookups!$B$90</f>
        <v>30336.176841600001</v>
      </c>
      <c r="BA312" s="25">
        <f>Inventory[[#This Row],[WdDeck]]*Lookups!$B$91</f>
        <v>0</v>
      </c>
      <c r="BB312" s="25">
        <f>ROUND(Inventory[[#This Row],[25Det]],-2)</f>
        <v>0</v>
      </c>
      <c r="BC312" s="25">
        <f>ROUND(SUM(Inventory[[#This Row],[Mdl Qlty]:[Mdl WdDeck]])+Inventory[[#This Row],[Mdl Res Intercept]],-2)</f>
        <v>297700</v>
      </c>
      <c r="BD312" s="25">
        <f>ROUND(Inventory[[#This Row],[Mdl Land Intercept]]+Inventory[[#This Row],[Mdl LnAcres]],-2)</f>
        <v>27600</v>
      </c>
      <c r="BE312" s="25">
        <f>Inventory[[#This Row],[Unadj Res Value]]+Inventory[[#This Row],[Unadj Det Value]]+Inventory[[#This Row],[Unadj Land Value]]</f>
        <v>325300</v>
      </c>
      <c r="BF312" s="36">
        <f>(Inventory[[#This Row],[Unadj Total Value]]-Inventory[[#This Row],[24Final]])/Inventory[[#This Row],[24Final]]</f>
        <v>0.32775510204081632</v>
      </c>
      <c r="BG312" s="25">
        <f>VLOOKUP(Inventory[[#This Row],[Nbhd]],Lookups!$Q$2:$T$4,4,FALSE)</f>
        <v>0.99970000000000003</v>
      </c>
      <c r="BH312" s="25">
        <f>VLOOKUP(Inventory[[#This Row],[Qlty]],Lookups!$O$7:$R$21,4,FALSE)</f>
        <v>0.98050000000000004</v>
      </c>
      <c r="BI312" s="25">
        <f>VLOOKUP(Inventory[[#This Row],[Cnd]],Lookups!$T$7:$W$16,4,FALSE)</f>
        <v>0.99729999999999996</v>
      </c>
      <c r="BJ312" s="25">
        <f>VLOOKUP(Inventory[[#This Row],[LivArea Range]],Lookups!$T$25:$W$37,4,FALSE)</f>
        <v>1.0157</v>
      </c>
      <c r="BK312" s="25">
        <f>VLOOKUP(Inventory[[#This Row],[Decade]],Lookups!$O$25:$R$42,4,FALSE)</f>
        <v>0.98119999999999996</v>
      </c>
      <c r="BL312" s="25">
        <f>Inventory[[#This Row],[Nbhd Adj]]*0.95</f>
        <v>0.94971499999999998</v>
      </c>
      <c r="BM312" s="25">
        <f>Inventory[[#This Row],[Nbhd Adj]]*Inventory[[#This Row],[Quality Adj]]*Inventory[[#This Row],[Condition Adj]]*Inventory[[#This Row],[Living Area Adj]]*Inventory[[#This Row],[Decade Adj]]*0.95</f>
        <v>0.92552830779210249</v>
      </c>
      <c r="BN312" s="25">
        <f>ROUND(SUM(Inventory[[#This Row],[Mdl Qlty]:[Mdl WdDeck]])+Inventory[[#This Row],[Mdl Res Intercept]]*Inventory[[#This Row],[Res Adj ]],-2)</f>
        <v>297700</v>
      </c>
      <c r="BO312" s="25">
        <f>ROUND(Inventory[[#This Row],[25Det]]*Inventory[[#This Row],[Det/Nbhd Adj]],-2)</f>
        <v>0</v>
      </c>
      <c r="BP312" s="25">
        <f>Inventory[[#This Row],[Adjusted Res]]+Inventory[[#This Row],[Adj Det ]]</f>
        <v>297700</v>
      </c>
      <c r="BQ312" s="25">
        <f>ROUND((Inventory[[#This Row],[Mdl Land Intercept]]+Inventory[[#This Row],[Mdl LnAcres]])*Inventory[[#This Row],[Det/Nbhd Adj]],-2)</f>
        <v>26200</v>
      </c>
      <c r="BR312" s="25">
        <f>Inventory[[#This Row],[Adjusted Impr Total]]+Inventory[[#This Row],[Adjusted Land Total]]</f>
        <v>323900</v>
      </c>
      <c r="BS312" s="36">
        <f>IFERROR((Inventory[[#This Row],[Adjusted Impr Total]]-Inventory[[#This Row],[24Bldg]])/Inventory[[#This Row],[24Bldg]],0)</f>
        <v>0.45574572127139362</v>
      </c>
      <c r="BT312" s="36">
        <f>(Inventory[[#This Row],[Adjusted Land Total]]-Inventory[[#This Row],[24Lnd]])/Inventory[[#This Row],[24Lnd]]</f>
        <v>-0.35308641975308641</v>
      </c>
      <c r="BU312" s="36">
        <f>(Inventory[[#This Row],[Adjusted Total]]-Inventory[[#This Row],[24Final]])/Inventory[[#This Row],[24Final]]</f>
        <v>0.32204081632653059</v>
      </c>
    </row>
    <row r="313" spans="1:73" x14ac:dyDescent="0.3">
      <c r="A313" s="25">
        <v>2025</v>
      </c>
      <c r="B313" s="26" t="s">
        <v>628</v>
      </c>
      <c r="C313" s="26">
        <f>LN(Inventory[[#This Row],[Acres]])</f>
        <v>-2.120263536200091</v>
      </c>
      <c r="D313" s="25">
        <v>0.12</v>
      </c>
      <c r="E313" s="25">
        <v>5099</v>
      </c>
      <c r="F313" s="26" t="s">
        <v>537</v>
      </c>
      <c r="G313" s="26" t="s">
        <v>126</v>
      </c>
      <c r="H313" s="26" t="s">
        <v>349</v>
      </c>
      <c r="I313" s="26" t="s">
        <v>538</v>
      </c>
      <c r="J313" s="26" t="s">
        <v>586</v>
      </c>
      <c r="K313" s="26" t="s">
        <v>592</v>
      </c>
      <c r="L313" s="26" t="s">
        <v>148</v>
      </c>
      <c r="M313" s="26" t="s">
        <v>303</v>
      </c>
      <c r="N313" s="26">
        <v>60</v>
      </c>
      <c r="O313" s="26">
        <f>2024-Inventory[[#This Row],[YrBlt]]</f>
        <v>59</v>
      </c>
      <c r="P313" s="26">
        <f>2024-Inventory[[#This Row],[EffYr]]</f>
        <v>48</v>
      </c>
      <c r="Q313" s="25">
        <v>1965</v>
      </c>
      <c r="R313" s="25">
        <v>1976</v>
      </c>
      <c r="S313" s="25">
        <v>1742</v>
      </c>
      <c r="T313" s="31"/>
      <c r="U313" s="31"/>
      <c r="V313" s="31">
        <f>Inventory[[#This Row],[Bsmt]]-Inventory[[#This Row],[FnBsmt]]</f>
        <v>0</v>
      </c>
      <c r="W313" s="31"/>
      <c r="X313" s="27"/>
      <c r="Y313" s="27">
        <f>Inventory[[#This Row],[MainFn]]+Inventory[[#This Row],[UpprFn]]+Inventory[[#This Row],[FnBsmt]]+Inventory[[#This Row],[AddFn]]</f>
        <v>1742</v>
      </c>
      <c r="Z313" s="27">
        <v>2000</v>
      </c>
      <c r="AA313" s="25">
        <v>8</v>
      </c>
      <c r="AB313" s="32">
        <v>462</v>
      </c>
      <c r="AC313" s="27"/>
      <c r="AD313" s="27"/>
      <c r="AE313" s="27"/>
      <c r="AF313" s="27"/>
      <c r="AG313" s="27"/>
      <c r="AH313" s="27"/>
      <c r="AI313" s="25">
        <v>421467</v>
      </c>
      <c r="AJ313" s="25">
        <v>307671</v>
      </c>
      <c r="AK313" s="25">
        <v>0</v>
      </c>
      <c r="AL313" s="25">
        <v>295600</v>
      </c>
      <c r="AM313" s="25">
        <v>39800</v>
      </c>
      <c r="AN313" s="25">
        <v>255800</v>
      </c>
      <c r="AO313" s="25">
        <v>0</v>
      </c>
      <c r="AP313" s="25">
        <f>Lookups!$B$56*0</f>
        <v>0</v>
      </c>
      <c r="AQ313" s="25">
        <f>Lookups!$B$56*1</f>
        <v>89850.625589999996</v>
      </c>
      <c r="AR313" s="25">
        <f>Lookups!$B$57*Inventory[[#This Row],[LnAcres]]</f>
        <v>-67116.12750806773</v>
      </c>
      <c r="AS313" s="25">
        <f>VLOOKUP(Inventory[[#This Row],[Qlty]],Lookups!$A$62:$E$75,2,FALSE)</f>
        <v>44121.038090000002</v>
      </c>
      <c r="AT313" s="25">
        <f>VLOOKUP(Inventory[[#This Row],[Cnd]],Lookups!$A$76:$E$84,2,FALSE)</f>
        <v>197752.34721000001</v>
      </c>
      <c r="AU313" s="25">
        <f>Inventory[[#This Row],[EffAge]]*Lookups!$B$85</f>
        <v>-10706.188824000001</v>
      </c>
      <c r="AV313" s="25">
        <f>Inventory[[#This Row],[MainFn]]*Lookups!$B$86</f>
        <v>86069.902925734001</v>
      </c>
      <c r="AW313" s="25">
        <f>Inventory[[#This Row],[UpprFn]]*Lookups!$B$87</f>
        <v>0</v>
      </c>
      <c r="AX313" s="25">
        <f>Inventory[[#This Row],[AddFn]]*Lookups!$B$88</f>
        <v>0</v>
      </c>
      <c r="AY313" s="25">
        <f>Inventory[[#This Row],[Bsmt]]*Lookups!$B$89</f>
        <v>0</v>
      </c>
      <c r="AZ313" s="25">
        <f>Inventory[[#This Row],[Fixtures]]*Lookups!$B$90</f>
        <v>30336.176841600001</v>
      </c>
      <c r="BA313" s="25">
        <f>Inventory[[#This Row],[WdDeck]]*Lookups!$B$91</f>
        <v>0</v>
      </c>
      <c r="BB313" s="25">
        <f>ROUND(Inventory[[#This Row],[25Det]],-2)</f>
        <v>0</v>
      </c>
      <c r="BC313" s="25">
        <f>ROUND(SUM(Inventory[[#This Row],[Mdl Qlty]:[Mdl WdDeck]])+Inventory[[#This Row],[Mdl Res Intercept]],-2)</f>
        <v>347600</v>
      </c>
      <c r="BD313" s="25">
        <f>ROUND(Inventory[[#This Row],[Mdl Land Intercept]]+Inventory[[#This Row],[Mdl LnAcres]],-2)</f>
        <v>22700</v>
      </c>
      <c r="BE313" s="25">
        <f>Inventory[[#This Row],[Unadj Res Value]]+Inventory[[#This Row],[Unadj Det Value]]+Inventory[[#This Row],[Unadj Land Value]]</f>
        <v>370300</v>
      </c>
      <c r="BF313" s="36">
        <f>(Inventory[[#This Row],[Unadj Total Value]]-Inventory[[#This Row],[24Final]])/Inventory[[#This Row],[24Final]]</f>
        <v>0.25270635994587282</v>
      </c>
      <c r="BG313" s="25">
        <f>VLOOKUP(Inventory[[#This Row],[Nbhd]],Lookups!$Q$2:$T$4,4,FALSE)</f>
        <v>0.99970000000000003</v>
      </c>
      <c r="BH313" s="25">
        <f>VLOOKUP(Inventory[[#This Row],[Qlty]],Lookups!$O$7:$R$21,4,FALSE)</f>
        <v>0.98050000000000004</v>
      </c>
      <c r="BI313" s="25">
        <f>VLOOKUP(Inventory[[#This Row],[Cnd]],Lookups!$T$7:$W$16,4,FALSE)</f>
        <v>0.99650000000000005</v>
      </c>
      <c r="BJ313" s="25">
        <f>VLOOKUP(Inventory[[#This Row],[LivArea Range]],Lookups!$T$25:$W$37,4,FALSE)</f>
        <v>1.0093000000000001</v>
      </c>
      <c r="BK313" s="25">
        <f>VLOOKUP(Inventory[[#This Row],[Decade]],Lookups!$O$25:$R$42,4,FALSE)</f>
        <v>0.98119999999999996</v>
      </c>
      <c r="BL313" s="25">
        <f>Inventory[[#This Row],[Nbhd Adj]]*0.95</f>
        <v>0.94971499999999998</v>
      </c>
      <c r="BM313" s="25">
        <f>Inventory[[#This Row],[Nbhd Adj]]*Inventory[[#This Row],[Quality Adj]]*Inventory[[#This Row],[Condition Adj]]*Inventory[[#This Row],[Living Area Adj]]*Inventory[[#This Row],[Decade Adj]]*0.95</f>
        <v>0.91895873710932319</v>
      </c>
      <c r="BN313" s="25">
        <f>ROUND(SUM(Inventory[[#This Row],[Mdl Qlty]:[Mdl WdDeck]])+Inventory[[#This Row],[Mdl Res Intercept]]*Inventory[[#This Row],[Res Adj ]],-2)</f>
        <v>347600</v>
      </c>
      <c r="BO313" s="25">
        <f>ROUND(Inventory[[#This Row],[25Det]]*Inventory[[#This Row],[Det/Nbhd Adj]],-2)</f>
        <v>0</v>
      </c>
      <c r="BP313" s="25">
        <f>Inventory[[#This Row],[Adjusted Res]]+Inventory[[#This Row],[Adj Det ]]</f>
        <v>347600</v>
      </c>
      <c r="BQ313" s="25">
        <f>ROUND((Inventory[[#This Row],[Mdl Land Intercept]]+Inventory[[#This Row],[Mdl LnAcres]])*Inventory[[#This Row],[Det/Nbhd Adj]],-2)</f>
        <v>21600</v>
      </c>
      <c r="BR313" s="25">
        <f>Inventory[[#This Row],[Adjusted Impr Total]]+Inventory[[#This Row],[Adjusted Land Total]]</f>
        <v>369200</v>
      </c>
      <c r="BS313" s="36">
        <f>IFERROR((Inventory[[#This Row],[Adjusted Impr Total]]-Inventory[[#This Row],[24Bldg]])/Inventory[[#This Row],[24Bldg]],0)</f>
        <v>0.35887412040656763</v>
      </c>
      <c r="BT313" s="36">
        <f>(Inventory[[#This Row],[Adjusted Land Total]]-Inventory[[#This Row],[24Lnd]])/Inventory[[#This Row],[24Lnd]]</f>
        <v>-0.457286432160804</v>
      </c>
      <c r="BU313" s="36">
        <f>(Inventory[[#This Row],[Adjusted Total]]-Inventory[[#This Row],[24Final]])/Inventory[[#This Row],[24Final]]</f>
        <v>0.24898511502029769</v>
      </c>
    </row>
    <row r="314" spans="1:73" x14ac:dyDescent="0.3">
      <c r="A314" s="25">
        <v>2025</v>
      </c>
      <c r="B314" s="26" t="s">
        <v>627</v>
      </c>
      <c r="C314" s="26">
        <f>LN(Inventory[[#This Row],[Acres]])</f>
        <v>-2.120263536200091</v>
      </c>
      <c r="D314" s="25">
        <v>0.12</v>
      </c>
      <c r="E314" s="25">
        <v>5352</v>
      </c>
      <c r="F314" s="26" t="s">
        <v>537</v>
      </c>
      <c r="G314" s="26" t="s">
        <v>126</v>
      </c>
      <c r="H314" s="26" t="s">
        <v>349</v>
      </c>
      <c r="I314" s="26" t="s">
        <v>538</v>
      </c>
      <c r="J314" s="26" t="s">
        <v>586</v>
      </c>
      <c r="K314" s="26" t="s">
        <v>592</v>
      </c>
      <c r="L314" s="26" t="s">
        <v>148</v>
      </c>
      <c r="M314" s="26" t="s">
        <v>303</v>
      </c>
      <c r="N314" s="26">
        <v>60</v>
      </c>
      <c r="O314" s="26">
        <f>2024-Inventory[[#This Row],[YrBlt]]</f>
        <v>59</v>
      </c>
      <c r="P314" s="26">
        <f>2024-Inventory[[#This Row],[EffYr]]</f>
        <v>48</v>
      </c>
      <c r="Q314" s="25">
        <v>1965</v>
      </c>
      <c r="R314" s="25">
        <v>1976</v>
      </c>
      <c r="S314" s="25">
        <v>1755</v>
      </c>
      <c r="T314" s="27"/>
      <c r="U314" s="31"/>
      <c r="V314" s="31">
        <f>Inventory[[#This Row],[Bsmt]]-Inventory[[#This Row],[FnBsmt]]</f>
        <v>0</v>
      </c>
      <c r="W314" s="31"/>
      <c r="X314" s="27"/>
      <c r="Y314" s="27">
        <f>Inventory[[#This Row],[MainFn]]+Inventory[[#This Row],[UpprFn]]+Inventory[[#This Row],[FnBsmt]]+Inventory[[#This Row],[AddFn]]</f>
        <v>1755</v>
      </c>
      <c r="Z314" s="27">
        <v>2000</v>
      </c>
      <c r="AA314" s="25">
        <v>9</v>
      </c>
      <c r="AB314" s="32">
        <v>462</v>
      </c>
      <c r="AC314" s="27"/>
      <c r="AD314" s="27"/>
      <c r="AE314" s="27"/>
      <c r="AF314" s="27"/>
      <c r="AG314" s="27"/>
      <c r="AH314" s="27"/>
      <c r="AI314" s="25">
        <v>437049</v>
      </c>
      <c r="AJ314" s="25">
        <v>319046</v>
      </c>
      <c r="AK314" s="25">
        <v>0</v>
      </c>
      <c r="AL314" s="25">
        <v>305200</v>
      </c>
      <c r="AM314" s="25">
        <v>40000</v>
      </c>
      <c r="AN314" s="25">
        <v>265200</v>
      </c>
      <c r="AO314" s="25">
        <v>0</v>
      </c>
      <c r="AP314" s="25">
        <f>Lookups!$B$56*0</f>
        <v>0</v>
      </c>
      <c r="AQ314" s="25">
        <f>Lookups!$B$56*1</f>
        <v>89850.625589999996</v>
      </c>
      <c r="AR314" s="25">
        <f>Lookups!$B$57*Inventory[[#This Row],[LnAcres]]</f>
        <v>-67116.12750806773</v>
      </c>
      <c r="AS314" s="25">
        <f>VLOOKUP(Inventory[[#This Row],[Qlty]],Lookups!$A$62:$E$75,2,FALSE)</f>
        <v>44121.038090000002</v>
      </c>
      <c r="AT314" s="25">
        <f>VLOOKUP(Inventory[[#This Row],[Cnd]],Lookups!$A$76:$E$84,2,FALSE)</f>
        <v>197752.34721000001</v>
      </c>
      <c r="AU314" s="25">
        <f>Inventory[[#This Row],[EffAge]]*Lookups!$B$85</f>
        <v>-10706.188824000001</v>
      </c>
      <c r="AV314" s="25">
        <f>Inventory[[#This Row],[MainFn]]*Lookups!$B$86</f>
        <v>86712.215634135006</v>
      </c>
      <c r="AW314" s="25">
        <f>Inventory[[#This Row],[UpprFn]]*Lookups!$B$87</f>
        <v>0</v>
      </c>
      <c r="AX314" s="25">
        <f>Inventory[[#This Row],[AddFn]]*Lookups!$B$88</f>
        <v>0</v>
      </c>
      <c r="AY314" s="25">
        <f>Inventory[[#This Row],[Bsmt]]*Lookups!$B$89</f>
        <v>0</v>
      </c>
      <c r="AZ314" s="25">
        <f>Inventory[[#This Row],[Fixtures]]*Lookups!$B$90</f>
        <v>34128.198946800003</v>
      </c>
      <c r="BA314" s="25">
        <f>Inventory[[#This Row],[WdDeck]]*Lookups!$B$91</f>
        <v>0</v>
      </c>
      <c r="BB314" s="25">
        <f>ROUND(Inventory[[#This Row],[25Det]],-2)</f>
        <v>0</v>
      </c>
      <c r="BC314" s="25">
        <f>ROUND(SUM(Inventory[[#This Row],[Mdl Qlty]:[Mdl WdDeck]])+Inventory[[#This Row],[Mdl Res Intercept]],-2)</f>
        <v>352000</v>
      </c>
      <c r="BD314" s="25">
        <f>ROUND(Inventory[[#This Row],[Mdl Land Intercept]]+Inventory[[#This Row],[Mdl LnAcres]],-2)</f>
        <v>22700</v>
      </c>
      <c r="BE314" s="25">
        <f>Inventory[[#This Row],[Unadj Res Value]]+Inventory[[#This Row],[Unadj Det Value]]+Inventory[[#This Row],[Unadj Land Value]]</f>
        <v>374700</v>
      </c>
      <c r="BF314" s="36">
        <f>(Inventory[[#This Row],[Unadj Total Value]]-Inventory[[#This Row],[24Final]])/Inventory[[#This Row],[24Final]]</f>
        <v>0.22771952817824379</v>
      </c>
      <c r="BG314" s="25">
        <f>VLOOKUP(Inventory[[#This Row],[Nbhd]],Lookups!$Q$2:$T$4,4,FALSE)</f>
        <v>0.99970000000000003</v>
      </c>
      <c r="BH314" s="25">
        <f>VLOOKUP(Inventory[[#This Row],[Qlty]],Lookups!$O$7:$R$21,4,FALSE)</f>
        <v>0.98050000000000004</v>
      </c>
      <c r="BI314" s="25">
        <f>VLOOKUP(Inventory[[#This Row],[Cnd]],Lookups!$T$7:$W$16,4,FALSE)</f>
        <v>0.99650000000000005</v>
      </c>
      <c r="BJ314" s="25">
        <f>VLOOKUP(Inventory[[#This Row],[LivArea Range]],Lookups!$T$25:$W$37,4,FALSE)</f>
        <v>1.0093000000000001</v>
      </c>
      <c r="BK314" s="25">
        <f>VLOOKUP(Inventory[[#This Row],[Decade]],Lookups!$O$25:$R$42,4,FALSE)</f>
        <v>0.98119999999999996</v>
      </c>
      <c r="BL314" s="25">
        <f>Inventory[[#This Row],[Nbhd Adj]]*0.95</f>
        <v>0.94971499999999998</v>
      </c>
      <c r="BM314" s="25">
        <f>Inventory[[#This Row],[Nbhd Adj]]*Inventory[[#This Row],[Quality Adj]]*Inventory[[#This Row],[Condition Adj]]*Inventory[[#This Row],[Living Area Adj]]*Inventory[[#This Row],[Decade Adj]]*0.95</f>
        <v>0.91895873710932319</v>
      </c>
      <c r="BN314" s="25">
        <f>ROUND(SUM(Inventory[[#This Row],[Mdl Qlty]:[Mdl WdDeck]])+Inventory[[#This Row],[Mdl Res Intercept]]*Inventory[[#This Row],[Res Adj ]],-2)</f>
        <v>352000</v>
      </c>
      <c r="BO314" s="25">
        <f>ROUND(Inventory[[#This Row],[25Det]]*Inventory[[#This Row],[Det/Nbhd Adj]],-2)</f>
        <v>0</v>
      </c>
      <c r="BP314" s="25">
        <f>Inventory[[#This Row],[Adjusted Res]]+Inventory[[#This Row],[Adj Det ]]</f>
        <v>352000</v>
      </c>
      <c r="BQ314" s="25">
        <f>ROUND((Inventory[[#This Row],[Mdl Land Intercept]]+Inventory[[#This Row],[Mdl LnAcres]])*Inventory[[#This Row],[Det/Nbhd Adj]],-2)</f>
        <v>21600</v>
      </c>
      <c r="BR314" s="25">
        <f>Inventory[[#This Row],[Adjusted Impr Total]]+Inventory[[#This Row],[Adjusted Land Total]]</f>
        <v>373600</v>
      </c>
      <c r="BS314" s="36">
        <f>IFERROR((Inventory[[#This Row],[Adjusted Impr Total]]-Inventory[[#This Row],[24Bldg]])/Inventory[[#This Row],[24Bldg]],0)</f>
        <v>0.3273001508295626</v>
      </c>
      <c r="BT314" s="36">
        <f>(Inventory[[#This Row],[Adjusted Land Total]]-Inventory[[#This Row],[24Lnd]])/Inventory[[#This Row],[24Lnd]]</f>
        <v>-0.46</v>
      </c>
      <c r="BU314" s="36">
        <f>(Inventory[[#This Row],[Adjusted Total]]-Inventory[[#This Row],[24Final]])/Inventory[[#This Row],[24Final]]</f>
        <v>0.22411533420707733</v>
      </c>
    </row>
    <row r="315" spans="1:73" x14ac:dyDescent="0.3">
      <c r="A315" s="25">
        <v>2025</v>
      </c>
      <c r="B315" s="26" t="s">
        <v>2086</v>
      </c>
      <c r="C315" s="26">
        <f>LN(Inventory[[#This Row],[Acres]])</f>
        <v>-1.4271163556401458</v>
      </c>
      <c r="D315" s="25">
        <v>0.24</v>
      </c>
      <c r="E315" s="25">
        <v>11297</v>
      </c>
      <c r="F315" s="26" t="s">
        <v>537</v>
      </c>
      <c r="G315" s="26" t="s">
        <v>126</v>
      </c>
      <c r="H315" s="26" t="s">
        <v>349</v>
      </c>
      <c r="I315" s="26" t="s">
        <v>538</v>
      </c>
      <c r="J315" s="26" t="s">
        <v>539</v>
      </c>
      <c r="K315" s="26" t="s">
        <v>241</v>
      </c>
      <c r="L315" s="26" t="s">
        <v>351</v>
      </c>
      <c r="M315" s="26" t="s">
        <v>303</v>
      </c>
      <c r="N315" s="26">
        <v>60</v>
      </c>
      <c r="O315" s="26">
        <f>2024-Inventory[[#This Row],[YrBlt]]</f>
        <v>59</v>
      </c>
      <c r="P315" s="26">
        <f>2024-Inventory[[#This Row],[EffYr]]</f>
        <v>48</v>
      </c>
      <c r="Q315" s="25">
        <v>1965</v>
      </c>
      <c r="R315" s="25">
        <v>1976</v>
      </c>
      <c r="S315" s="25">
        <v>1570</v>
      </c>
      <c r="T315" s="31"/>
      <c r="U315" s="25">
        <v>1570</v>
      </c>
      <c r="V315" s="25">
        <f>Inventory[[#This Row],[Bsmt]]-Inventory[[#This Row],[FnBsmt]]</f>
        <v>1570</v>
      </c>
      <c r="W315" s="31"/>
      <c r="X315" s="27"/>
      <c r="Y315" s="27">
        <f>Inventory[[#This Row],[MainFn]]+Inventory[[#This Row],[UpprFn]]+Inventory[[#This Row],[FnBsmt]]+Inventory[[#This Row],[AddFn]]</f>
        <v>1570</v>
      </c>
      <c r="Z315" s="27">
        <v>2000</v>
      </c>
      <c r="AA315" s="25">
        <v>8</v>
      </c>
      <c r="AB315" s="32">
        <v>550</v>
      </c>
      <c r="AC315" s="27"/>
      <c r="AD315" s="25">
        <v>165</v>
      </c>
      <c r="AE315" s="27"/>
      <c r="AF315" s="27"/>
      <c r="AG315" s="27"/>
      <c r="AH315" s="27"/>
      <c r="AI315" s="25">
        <v>341473</v>
      </c>
      <c r="AJ315" s="25">
        <v>249275</v>
      </c>
      <c r="AK315" s="25">
        <v>0</v>
      </c>
      <c r="AL315" s="25">
        <v>364800</v>
      </c>
      <c r="AM315" s="25">
        <v>64800</v>
      </c>
      <c r="AN315" s="25">
        <v>300000</v>
      </c>
      <c r="AO315" s="25">
        <v>0</v>
      </c>
      <c r="AP315" s="25">
        <f>Lookups!$B$56*0</f>
        <v>0</v>
      </c>
      <c r="AQ315" s="25">
        <f>Lookups!$B$56*1</f>
        <v>89850.625589999996</v>
      </c>
      <c r="AR315" s="25">
        <f>Lookups!$B$57*Inventory[[#This Row],[LnAcres]]</f>
        <v>-45174.819855485119</v>
      </c>
      <c r="AS315" s="25">
        <f>VLOOKUP(Inventory[[#This Row],[Qlty]],Lookups!$A$62:$E$75,2,FALSE)</f>
        <v>21557.329055999999</v>
      </c>
      <c r="AT315" s="25">
        <f>VLOOKUP(Inventory[[#This Row],[Cnd]],Lookups!$A$76:$E$84,2,FALSE)</f>
        <v>197752.34721000001</v>
      </c>
      <c r="AU315" s="25">
        <f>Inventory[[#This Row],[EffAge]]*Lookups!$B$85</f>
        <v>-10706.188824000001</v>
      </c>
      <c r="AV315" s="25">
        <f>Inventory[[#This Row],[MainFn]]*Lookups!$B$86</f>
        <v>77571.611706890006</v>
      </c>
      <c r="AW315" s="25">
        <f>Inventory[[#This Row],[UpprFn]]*Lookups!$B$87</f>
        <v>0</v>
      </c>
      <c r="AX315" s="25">
        <f>Inventory[[#This Row],[AddFn]]*Lookups!$B$88</f>
        <v>0</v>
      </c>
      <c r="AY315" s="25">
        <f>Inventory[[#This Row],[Bsmt]]*Lookups!$B$89</f>
        <v>45658.575537789999</v>
      </c>
      <c r="AZ315" s="25">
        <f>Inventory[[#This Row],[Fixtures]]*Lookups!$B$90</f>
        <v>30336.176841600001</v>
      </c>
      <c r="BA315" s="25">
        <f>Inventory[[#This Row],[WdDeck]]*Lookups!$B$91</f>
        <v>5493.7600205400004</v>
      </c>
      <c r="BB315" s="25">
        <f>ROUND(Inventory[[#This Row],[25Det]],-2)</f>
        <v>0</v>
      </c>
      <c r="BC315" s="25">
        <f>ROUND(SUM(Inventory[[#This Row],[Mdl Qlty]:[Mdl WdDeck]])+Inventory[[#This Row],[Mdl Res Intercept]],-2)</f>
        <v>367700</v>
      </c>
      <c r="BD315" s="25">
        <f>ROUND(Inventory[[#This Row],[Mdl Land Intercept]]+Inventory[[#This Row],[Mdl LnAcres]],-2)</f>
        <v>44700</v>
      </c>
      <c r="BE315" s="25">
        <f>Inventory[[#This Row],[Unadj Res Value]]+Inventory[[#This Row],[Unadj Det Value]]+Inventory[[#This Row],[Unadj Land Value]]</f>
        <v>412400</v>
      </c>
      <c r="BF315" s="36">
        <f>(Inventory[[#This Row],[Unadj Total Value]]-Inventory[[#This Row],[24Final]])/Inventory[[#This Row],[24Final]]</f>
        <v>0.13048245614035087</v>
      </c>
      <c r="BG315" s="25">
        <f>VLOOKUP(Inventory[[#This Row],[Nbhd]],Lookups!$Q$2:$T$4,4,FALSE)</f>
        <v>0.99970000000000003</v>
      </c>
      <c r="BH315" s="25">
        <f>VLOOKUP(Inventory[[#This Row],[Qlty]],Lookups!$O$7:$R$21,4,FALSE)</f>
        <v>1.0067999999999999</v>
      </c>
      <c r="BI315" s="25">
        <f>VLOOKUP(Inventory[[#This Row],[Cnd]],Lookups!$T$7:$W$16,4,FALSE)</f>
        <v>0.99650000000000005</v>
      </c>
      <c r="BJ315" s="25">
        <f>VLOOKUP(Inventory[[#This Row],[LivArea Range]],Lookups!$T$25:$W$37,4,FALSE)</f>
        <v>1.0093000000000001</v>
      </c>
      <c r="BK315" s="25">
        <f>VLOOKUP(Inventory[[#This Row],[Decade]],Lookups!$O$25:$R$42,4,FALSE)</f>
        <v>0.98119999999999996</v>
      </c>
      <c r="BL315" s="25">
        <f>Inventory[[#This Row],[Nbhd Adj]]*0.95</f>
        <v>0.94971499999999998</v>
      </c>
      <c r="BM315" s="25">
        <f>Inventory[[#This Row],[Nbhd Adj]]*Inventory[[#This Row],[Quality Adj]]*Inventory[[#This Row],[Condition Adj]]*Inventory[[#This Row],[Living Area Adj]]*Inventory[[#This Row],[Decade Adj]]*0.95</f>
        <v>0.94360801277069484</v>
      </c>
      <c r="BN315" s="25">
        <f>ROUND(SUM(Inventory[[#This Row],[Mdl Qlty]:[Mdl WdDeck]])+Inventory[[#This Row],[Mdl Res Intercept]]*Inventory[[#This Row],[Res Adj ]],-2)</f>
        <v>367700</v>
      </c>
      <c r="BO315" s="25">
        <f>ROUND(Inventory[[#This Row],[25Det]]*Inventory[[#This Row],[Det/Nbhd Adj]],-2)</f>
        <v>0</v>
      </c>
      <c r="BP315" s="25">
        <f>Inventory[[#This Row],[Adjusted Res]]+Inventory[[#This Row],[Adj Det ]]</f>
        <v>367700</v>
      </c>
      <c r="BQ315" s="25">
        <f>ROUND((Inventory[[#This Row],[Mdl Land Intercept]]+Inventory[[#This Row],[Mdl LnAcres]])*Inventory[[#This Row],[Det/Nbhd Adj]],-2)</f>
        <v>42400</v>
      </c>
      <c r="BR315" s="25">
        <f>Inventory[[#This Row],[Adjusted Impr Total]]+Inventory[[#This Row],[Adjusted Land Total]]</f>
        <v>410100</v>
      </c>
      <c r="BS315" s="36">
        <f>IFERROR((Inventory[[#This Row],[Adjusted Impr Total]]-Inventory[[#This Row],[24Bldg]])/Inventory[[#This Row],[24Bldg]],0)</f>
        <v>0.22566666666666665</v>
      </c>
      <c r="BT315" s="36">
        <f>(Inventory[[#This Row],[Adjusted Land Total]]-Inventory[[#This Row],[24Lnd]])/Inventory[[#This Row],[24Lnd]]</f>
        <v>-0.34567901234567899</v>
      </c>
      <c r="BU315" s="36">
        <f>(Inventory[[#This Row],[Adjusted Total]]-Inventory[[#This Row],[24Final]])/Inventory[[#This Row],[24Final]]</f>
        <v>0.12417763157894737</v>
      </c>
    </row>
    <row r="316" spans="1:73" x14ac:dyDescent="0.3">
      <c r="A316" s="25">
        <v>2025</v>
      </c>
      <c r="B316" s="26" t="s">
        <v>1173</v>
      </c>
      <c r="C316" s="85">
        <f>LN(Inventory[[#This Row],[Acres]])</f>
        <v>-1.7147984280919266</v>
      </c>
      <c r="D316" s="32">
        <v>0.18</v>
      </c>
      <c r="E316" s="31"/>
      <c r="F316" s="26" t="s">
        <v>537</v>
      </c>
      <c r="G316" s="26" t="s">
        <v>126</v>
      </c>
      <c r="H316" s="26" t="s">
        <v>349</v>
      </c>
      <c r="I316" s="26" t="s">
        <v>538</v>
      </c>
      <c r="J316" s="26" t="s">
        <v>539</v>
      </c>
      <c r="K316" s="26" t="s">
        <v>241</v>
      </c>
      <c r="L316" s="26" t="s">
        <v>148</v>
      </c>
      <c r="M316" s="26" t="s">
        <v>303</v>
      </c>
      <c r="N316" s="26">
        <v>60</v>
      </c>
      <c r="O316" s="26">
        <f>2024-Inventory[[#This Row],[YrBlt]]</f>
        <v>59</v>
      </c>
      <c r="P316" s="26">
        <f>2024-Inventory[[#This Row],[EffYr]]</f>
        <v>48</v>
      </c>
      <c r="Q316" s="25">
        <v>1965</v>
      </c>
      <c r="R316" s="25">
        <v>1976</v>
      </c>
      <c r="S316" s="25">
        <v>1050</v>
      </c>
      <c r="T316" s="31"/>
      <c r="U316" s="31"/>
      <c r="V316" s="31">
        <f>Inventory[[#This Row],[Bsmt]]-Inventory[[#This Row],[FnBsmt]]</f>
        <v>0</v>
      </c>
      <c r="W316" s="31"/>
      <c r="X316" s="27"/>
      <c r="Y316" s="27">
        <f>Inventory[[#This Row],[MainFn]]+Inventory[[#This Row],[UpprFn]]+Inventory[[#This Row],[FnBsmt]]+Inventory[[#This Row],[AddFn]]</f>
        <v>1050</v>
      </c>
      <c r="Z316" s="27">
        <v>1500</v>
      </c>
      <c r="AA316" s="25">
        <v>7</v>
      </c>
      <c r="AB316" s="32">
        <v>308</v>
      </c>
      <c r="AC316" s="27"/>
      <c r="AD316" s="31"/>
      <c r="AE316" s="27"/>
      <c r="AF316" s="27"/>
      <c r="AG316" s="27"/>
      <c r="AH316" s="27"/>
      <c r="AI316" s="25">
        <v>269217</v>
      </c>
      <c r="AJ316" s="25">
        <v>196528</v>
      </c>
      <c r="AK316" s="25">
        <v>0</v>
      </c>
      <c r="AL316" s="25">
        <v>316300</v>
      </c>
      <c r="AM316" s="25">
        <v>54700</v>
      </c>
      <c r="AN316" s="25">
        <v>261600</v>
      </c>
      <c r="AO316" s="25">
        <v>0</v>
      </c>
      <c r="AP316" s="25">
        <f>Lookups!$B$56*0</f>
        <v>0</v>
      </c>
      <c r="AQ316" s="25">
        <f>Lookups!$B$56*1</f>
        <v>89850.625589999996</v>
      </c>
      <c r="AR316" s="25">
        <f>Lookups!$B$57*Inventory[[#This Row],[LnAcres]]</f>
        <v>-54281.285314520763</v>
      </c>
      <c r="AS316" s="25">
        <f>VLOOKUP(Inventory[[#This Row],[Qlty]],Lookups!$A$62:$E$75,2,FALSE)</f>
        <v>44121.038090000002</v>
      </c>
      <c r="AT316" s="25">
        <f>VLOOKUP(Inventory[[#This Row],[Cnd]],Lookups!$A$76:$E$84,2,FALSE)</f>
        <v>197752.34721000001</v>
      </c>
      <c r="AU316" s="25">
        <f>Inventory[[#This Row],[EffAge]]*Lookups!$B$85</f>
        <v>-10706.188824000001</v>
      </c>
      <c r="AV316" s="25">
        <f>Inventory[[#This Row],[MainFn]]*Lookups!$B$86</f>
        <v>51879.103370850004</v>
      </c>
      <c r="AW316" s="25">
        <f>Inventory[[#This Row],[UpprFn]]*Lookups!$B$87</f>
        <v>0</v>
      </c>
      <c r="AX316" s="25">
        <f>Inventory[[#This Row],[AddFn]]*Lookups!$B$88</f>
        <v>0</v>
      </c>
      <c r="AY316" s="25">
        <f>Inventory[[#This Row],[Bsmt]]*Lookups!$B$89</f>
        <v>0</v>
      </c>
      <c r="AZ316" s="25">
        <f>Inventory[[#This Row],[Fixtures]]*Lookups!$B$90</f>
        <v>26544.1547364</v>
      </c>
      <c r="BA316" s="25">
        <f>Inventory[[#This Row],[WdDeck]]*Lookups!$B$91</f>
        <v>0</v>
      </c>
      <c r="BB316" s="25">
        <f>ROUND(Inventory[[#This Row],[25Det]],-2)</f>
        <v>0</v>
      </c>
      <c r="BC316" s="25">
        <f>ROUND(SUM(Inventory[[#This Row],[Mdl Qlty]:[Mdl WdDeck]])+Inventory[[#This Row],[Mdl Res Intercept]],-2)</f>
        <v>309600</v>
      </c>
      <c r="BD316" s="25">
        <f>ROUND(Inventory[[#This Row],[Mdl Land Intercept]]+Inventory[[#This Row],[Mdl LnAcres]],-2)</f>
        <v>35600</v>
      </c>
      <c r="BE316" s="25">
        <f>Inventory[[#This Row],[Unadj Res Value]]+Inventory[[#This Row],[Unadj Det Value]]+Inventory[[#This Row],[Unadj Land Value]]</f>
        <v>345200</v>
      </c>
      <c r="BF316" s="36">
        <f>(Inventory[[#This Row],[Unadj Total Value]]-Inventory[[#This Row],[24Final]])/Inventory[[#This Row],[24Final]]</f>
        <v>9.1368953525134369E-2</v>
      </c>
      <c r="BG316" s="25">
        <f>VLOOKUP(Inventory[[#This Row],[Nbhd]],Lookups!$Q$2:$T$4,4,FALSE)</f>
        <v>0.99970000000000003</v>
      </c>
      <c r="BH316" s="25">
        <f>VLOOKUP(Inventory[[#This Row],[Qlty]],Lookups!$O$7:$R$21,4,FALSE)</f>
        <v>0.98050000000000004</v>
      </c>
      <c r="BI316" s="25">
        <f>VLOOKUP(Inventory[[#This Row],[Cnd]],Lookups!$T$7:$W$16,4,FALSE)</f>
        <v>0.99650000000000005</v>
      </c>
      <c r="BJ316" s="25">
        <f>VLOOKUP(Inventory[[#This Row],[LivArea Range]],Lookups!$T$25:$W$37,4,FALSE)</f>
        <v>1.0157</v>
      </c>
      <c r="BK316" s="25">
        <f>VLOOKUP(Inventory[[#This Row],[Decade]],Lookups!$O$25:$R$42,4,FALSE)</f>
        <v>0.98119999999999996</v>
      </c>
      <c r="BL316" s="25">
        <f>Inventory[[#This Row],[Nbhd Adj]]*0.95</f>
        <v>0.94971499999999998</v>
      </c>
      <c r="BM316" s="25">
        <f>Inventory[[#This Row],[Nbhd Adj]]*Inventory[[#This Row],[Quality Adj]]*Inventory[[#This Row],[Condition Adj]]*Inventory[[#This Row],[Living Area Adj]]*Inventory[[#This Row],[Decade Adj]]*0.95</f>
        <v>0.92478588059242983</v>
      </c>
      <c r="BN316" s="25">
        <f>ROUND(SUM(Inventory[[#This Row],[Mdl Qlty]:[Mdl WdDeck]])+Inventory[[#This Row],[Mdl Res Intercept]]*Inventory[[#This Row],[Res Adj ]],-2)</f>
        <v>309600</v>
      </c>
      <c r="BO316" s="25">
        <f>ROUND(Inventory[[#This Row],[25Det]]*Inventory[[#This Row],[Det/Nbhd Adj]],-2)</f>
        <v>0</v>
      </c>
      <c r="BP316" s="25">
        <f>Inventory[[#This Row],[Adjusted Res]]+Inventory[[#This Row],[Adj Det ]]</f>
        <v>309600</v>
      </c>
      <c r="BQ316" s="25">
        <f>ROUND((Inventory[[#This Row],[Mdl Land Intercept]]+Inventory[[#This Row],[Mdl LnAcres]])*Inventory[[#This Row],[Det/Nbhd Adj]],-2)</f>
        <v>33800</v>
      </c>
      <c r="BR316" s="25">
        <f>Inventory[[#This Row],[Adjusted Impr Total]]+Inventory[[#This Row],[Adjusted Land Total]]</f>
        <v>343400</v>
      </c>
      <c r="BS316" s="36">
        <f>IFERROR((Inventory[[#This Row],[Adjusted Impr Total]]-Inventory[[#This Row],[24Bldg]])/Inventory[[#This Row],[24Bldg]],0)</f>
        <v>0.1834862385321101</v>
      </c>
      <c r="BT316" s="36">
        <f>(Inventory[[#This Row],[Adjusted Land Total]]-Inventory[[#This Row],[24Lnd]])/Inventory[[#This Row],[24Lnd]]</f>
        <v>-0.38208409506398539</v>
      </c>
      <c r="BU316" s="36">
        <f>(Inventory[[#This Row],[Adjusted Total]]-Inventory[[#This Row],[24Final]])/Inventory[[#This Row],[24Final]]</f>
        <v>8.5678153651596589E-2</v>
      </c>
    </row>
    <row r="317" spans="1:73" x14ac:dyDescent="0.3">
      <c r="A317" s="25">
        <v>2025</v>
      </c>
      <c r="B317" s="26" t="s">
        <v>2775</v>
      </c>
      <c r="C317" s="26">
        <f>LN(Inventory[[#This Row],[Acres]])</f>
        <v>-1.7719568419318752</v>
      </c>
      <c r="D317" s="25">
        <v>0.17</v>
      </c>
      <c r="E317" s="25">
        <v>7212</v>
      </c>
      <c r="F317" s="26" t="s">
        <v>537</v>
      </c>
      <c r="G317" s="26" t="s">
        <v>126</v>
      </c>
      <c r="H317" s="26" t="s">
        <v>349</v>
      </c>
      <c r="I317" s="26" t="s">
        <v>538</v>
      </c>
      <c r="J317" s="26" t="s">
        <v>539</v>
      </c>
      <c r="K317" s="26" t="s">
        <v>241</v>
      </c>
      <c r="L317" s="26" t="s">
        <v>302</v>
      </c>
      <c r="M317" s="26" t="s">
        <v>303</v>
      </c>
      <c r="N317" s="26">
        <v>60</v>
      </c>
      <c r="O317" s="26">
        <f>2024-Inventory[[#This Row],[YrBlt]]</f>
        <v>59</v>
      </c>
      <c r="P317" s="26">
        <f>2024-Inventory[[#This Row],[EffYr]]</f>
        <v>48</v>
      </c>
      <c r="Q317" s="25">
        <v>1965</v>
      </c>
      <c r="R317" s="25">
        <v>1976</v>
      </c>
      <c r="S317" s="25">
        <v>1805</v>
      </c>
      <c r="T317" s="27"/>
      <c r="U317" s="31"/>
      <c r="V317" s="31">
        <f>Inventory[[#This Row],[Bsmt]]-Inventory[[#This Row],[FnBsmt]]</f>
        <v>0</v>
      </c>
      <c r="W317" s="31"/>
      <c r="X317" s="27"/>
      <c r="Y317" s="27">
        <f>Inventory[[#This Row],[MainFn]]+Inventory[[#This Row],[UpprFn]]+Inventory[[#This Row],[FnBsmt]]+Inventory[[#This Row],[AddFn]]</f>
        <v>1805</v>
      </c>
      <c r="Z317" s="27">
        <v>2000</v>
      </c>
      <c r="AA317" s="25">
        <v>8</v>
      </c>
      <c r="AB317" s="32">
        <v>420</v>
      </c>
      <c r="AC317" s="27"/>
      <c r="AD317" s="27"/>
      <c r="AE317" s="27"/>
      <c r="AF317" s="27"/>
      <c r="AG317" s="27"/>
      <c r="AH317" s="27"/>
      <c r="AI317" s="25">
        <v>342806</v>
      </c>
      <c r="AJ317" s="25">
        <v>250248</v>
      </c>
      <c r="AK317" s="25">
        <v>0</v>
      </c>
      <c r="AL317" s="25">
        <v>339800</v>
      </c>
      <c r="AM317" s="25">
        <v>52700</v>
      </c>
      <c r="AN317" s="25">
        <v>287100</v>
      </c>
      <c r="AO317" s="25">
        <v>0</v>
      </c>
      <c r="AP317" s="25">
        <f>Lookups!$B$56*0</f>
        <v>0</v>
      </c>
      <c r="AQ317" s="25">
        <f>Lookups!$B$56*1</f>
        <v>89850.625589999996</v>
      </c>
      <c r="AR317" s="25">
        <f>Lookups!$B$57*Inventory[[#This Row],[LnAcres]]</f>
        <v>-56090.612940989391</v>
      </c>
      <c r="AS317" s="25">
        <f>VLOOKUP(Inventory[[#This Row],[Qlty]],Lookups!$A$62:$E$75,2,FALSE)</f>
        <v>29814.093161000001</v>
      </c>
      <c r="AT317" s="25">
        <f>VLOOKUP(Inventory[[#This Row],[Cnd]],Lookups!$A$76:$E$84,2,FALSE)</f>
        <v>197752.34721000001</v>
      </c>
      <c r="AU317" s="25">
        <f>Inventory[[#This Row],[EffAge]]*Lookups!$B$85</f>
        <v>-10706.188824000001</v>
      </c>
      <c r="AV317" s="25">
        <f>Inventory[[#This Row],[MainFn]]*Lookups!$B$86</f>
        <v>89182.649127985002</v>
      </c>
      <c r="AW317" s="25">
        <f>Inventory[[#This Row],[UpprFn]]*Lookups!$B$87</f>
        <v>0</v>
      </c>
      <c r="AX317" s="25">
        <f>Inventory[[#This Row],[AddFn]]*Lookups!$B$88</f>
        <v>0</v>
      </c>
      <c r="AY317" s="25">
        <f>Inventory[[#This Row],[Bsmt]]*Lookups!$B$89</f>
        <v>0</v>
      </c>
      <c r="AZ317" s="25">
        <f>Inventory[[#This Row],[Fixtures]]*Lookups!$B$90</f>
        <v>30336.176841600001</v>
      </c>
      <c r="BA317" s="25">
        <f>Inventory[[#This Row],[WdDeck]]*Lookups!$B$91</f>
        <v>0</v>
      </c>
      <c r="BB317" s="25">
        <f>ROUND(Inventory[[#This Row],[25Det]],-2)</f>
        <v>0</v>
      </c>
      <c r="BC317" s="25">
        <f>ROUND(SUM(Inventory[[#This Row],[Mdl Qlty]:[Mdl WdDeck]])+Inventory[[#This Row],[Mdl Res Intercept]],-2)</f>
        <v>336400</v>
      </c>
      <c r="BD317" s="25">
        <f>ROUND(Inventory[[#This Row],[Mdl Land Intercept]]+Inventory[[#This Row],[Mdl LnAcres]],-2)</f>
        <v>33800</v>
      </c>
      <c r="BE317" s="25">
        <f>Inventory[[#This Row],[Unadj Res Value]]+Inventory[[#This Row],[Unadj Det Value]]+Inventory[[#This Row],[Unadj Land Value]]</f>
        <v>370200</v>
      </c>
      <c r="BF317" s="36">
        <f>(Inventory[[#This Row],[Unadj Total Value]]-Inventory[[#This Row],[24Final]])/Inventory[[#This Row],[24Final]]</f>
        <v>8.9464390818128306E-2</v>
      </c>
      <c r="BG317" s="25">
        <f>VLOOKUP(Inventory[[#This Row],[Nbhd]],Lookups!$Q$2:$T$4,4,FALSE)</f>
        <v>0.99970000000000003</v>
      </c>
      <c r="BH317" s="25">
        <f>VLOOKUP(Inventory[[#This Row],[Qlty]],Lookups!$O$7:$R$21,4,FALSE)</f>
        <v>1.0088999999999999</v>
      </c>
      <c r="BI317" s="25">
        <f>VLOOKUP(Inventory[[#This Row],[Cnd]],Lookups!$T$7:$W$16,4,FALSE)</f>
        <v>0.99650000000000005</v>
      </c>
      <c r="BJ317" s="25">
        <f>VLOOKUP(Inventory[[#This Row],[LivArea Range]],Lookups!$T$25:$W$37,4,FALSE)</f>
        <v>1.0093000000000001</v>
      </c>
      <c r="BK317" s="25">
        <f>VLOOKUP(Inventory[[#This Row],[Decade]],Lookups!$O$25:$R$42,4,FALSE)</f>
        <v>0.98119999999999996</v>
      </c>
      <c r="BL317" s="25">
        <f>Inventory[[#This Row],[Nbhd Adj]]*0.95</f>
        <v>0.94971499999999998</v>
      </c>
      <c r="BM317" s="25">
        <f>Inventory[[#This Row],[Nbhd Adj]]*Inventory[[#This Row],[Quality Adj]]*Inventory[[#This Row],[Condition Adj]]*Inventory[[#This Row],[Living Area Adj]]*Inventory[[#This Row],[Decade Adj]]*0.95</f>
        <v>0.94557620588434055</v>
      </c>
      <c r="BN317" s="25">
        <f>ROUND(SUM(Inventory[[#This Row],[Mdl Qlty]:[Mdl WdDeck]])+Inventory[[#This Row],[Mdl Res Intercept]]*Inventory[[#This Row],[Res Adj ]],-2)</f>
        <v>336400</v>
      </c>
      <c r="BO317" s="25">
        <f>ROUND(Inventory[[#This Row],[25Det]]*Inventory[[#This Row],[Det/Nbhd Adj]],-2)</f>
        <v>0</v>
      </c>
      <c r="BP317" s="25">
        <f>Inventory[[#This Row],[Adjusted Res]]+Inventory[[#This Row],[Adj Det ]]</f>
        <v>336400</v>
      </c>
      <c r="BQ317" s="25">
        <f>ROUND((Inventory[[#This Row],[Mdl Land Intercept]]+Inventory[[#This Row],[Mdl LnAcres]])*Inventory[[#This Row],[Det/Nbhd Adj]],-2)</f>
        <v>32100</v>
      </c>
      <c r="BR317" s="25">
        <f>Inventory[[#This Row],[Adjusted Impr Total]]+Inventory[[#This Row],[Adjusted Land Total]]</f>
        <v>368500</v>
      </c>
      <c r="BS317" s="36">
        <f>IFERROR((Inventory[[#This Row],[Adjusted Impr Total]]-Inventory[[#This Row],[24Bldg]])/Inventory[[#This Row],[24Bldg]],0)</f>
        <v>0.17171717171717171</v>
      </c>
      <c r="BT317" s="36">
        <f>(Inventory[[#This Row],[Adjusted Land Total]]-Inventory[[#This Row],[24Lnd]])/Inventory[[#This Row],[24Lnd]]</f>
        <v>-0.39089184060721061</v>
      </c>
      <c r="BU317" s="36">
        <f>(Inventory[[#This Row],[Adjusted Total]]-Inventory[[#This Row],[24Final]])/Inventory[[#This Row],[24Final]]</f>
        <v>8.4461447910535614E-2</v>
      </c>
    </row>
    <row r="318" spans="1:73" x14ac:dyDescent="0.3">
      <c r="A318" s="25">
        <v>2025</v>
      </c>
      <c r="B318" s="26" t="s">
        <v>2675</v>
      </c>
      <c r="C318" s="26">
        <f>LN(Inventory[[#This Row],[Acres]])</f>
        <v>-1.7719568419318752</v>
      </c>
      <c r="D318" s="25">
        <v>0.17</v>
      </c>
      <c r="E318" s="31"/>
      <c r="F318" s="26" t="s">
        <v>537</v>
      </c>
      <c r="G318" s="26" t="s">
        <v>126</v>
      </c>
      <c r="H318" s="26" t="s">
        <v>349</v>
      </c>
      <c r="I318" s="26" t="s">
        <v>538</v>
      </c>
      <c r="J318" s="26" t="s">
        <v>539</v>
      </c>
      <c r="K318" s="26" t="s">
        <v>241</v>
      </c>
      <c r="L318" s="26" t="s">
        <v>351</v>
      </c>
      <c r="M318" s="26" t="s">
        <v>303</v>
      </c>
      <c r="N318" s="26">
        <v>60</v>
      </c>
      <c r="O318" s="26">
        <f>2024-Inventory[[#This Row],[YrBlt]]</f>
        <v>59</v>
      </c>
      <c r="P318" s="26">
        <f>2024-Inventory[[#This Row],[EffYr]]</f>
        <v>48</v>
      </c>
      <c r="Q318" s="25">
        <v>1965</v>
      </c>
      <c r="R318" s="25">
        <v>1976</v>
      </c>
      <c r="S318" s="25">
        <v>1136</v>
      </c>
      <c r="T318" s="27"/>
      <c r="U318" s="31"/>
      <c r="V318" s="31">
        <f>Inventory[[#This Row],[Bsmt]]-Inventory[[#This Row],[FnBsmt]]</f>
        <v>0</v>
      </c>
      <c r="W318" s="31"/>
      <c r="X318" s="27"/>
      <c r="Y318" s="27">
        <f>Inventory[[#This Row],[MainFn]]+Inventory[[#This Row],[UpprFn]]+Inventory[[#This Row],[FnBsmt]]+Inventory[[#This Row],[AddFn]]</f>
        <v>1136</v>
      </c>
      <c r="Z318" s="27">
        <v>1500</v>
      </c>
      <c r="AA318" s="25">
        <v>7</v>
      </c>
      <c r="AB318" s="25">
        <v>399</v>
      </c>
      <c r="AC318" s="27"/>
      <c r="AD318" s="31"/>
      <c r="AE318" s="27"/>
      <c r="AF318" s="27"/>
      <c r="AG318" s="27"/>
      <c r="AH318" s="27"/>
      <c r="AI318" s="25">
        <v>218929</v>
      </c>
      <c r="AJ318" s="25">
        <v>159818</v>
      </c>
      <c r="AK318" s="25">
        <v>0</v>
      </c>
      <c r="AL318" s="25">
        <v>299400</v>
      </c>
      <c r="AM318" s="25">
        <v>52700</v>
      </c>
      <c r="AN318" s="25">
        <v>246700</v>
      </c>
      <c r="AO318" s="25">
        <v>0</v>
      </c>
      <c r="AP318" s="25">
        <f>Lookups!$B$56*0</f>
        <v>0</v>
      </c>
      <c r="AQ318" s="25">
        <f>Lookups!$B$56*1</f>
        <v>89850.625589999996</v>
      </c>
      <c r="AR318" s="25">
        <f>Lookups!$B$57*Inventory[[#This Row],[LnAcres]]</f>
        <v>-56090.612940989391</v>
      </c>
      <c r="AS318" s="25">
        <f>VLOOKUP(Inventory[[#This Row],[Qlty]],Lookups!$A$62:$E$75,2,FALSE)</f>
        <v>21557.329055999999</v>
      </c>
      <c r="AT318" s="25">
        <f>VLOOKUP(Inventory[[#This Row],[Cnd]],Lookups!$A$76:$E$84,2,FALSE)</f>
        <v>197752.34721000001</v>
      </c>
      <c r="AU318" s="25">
        <f>Inventory[[#This Row],[EffAge]]*Lookups!$B$85</f>
        <v>-10706.188824000001</v>
      </c>
      <c r="AV318" s="25">
        <f>Inventory[[#This Row],[MainFn]]*Lookups!$B$86</f>
        <v>56128.248980272001</v>
      </c>
      <c r="AW318" s="25">
        <f>Inventory[[#This Row],[UpprFn]]*Lookups!$B$87</f>
        <v>0</v>
      </c>
      <c r="AX318" s="25">
        <f>Inventory[[#This Row],[AddFn]]*Lookups!$B$88</f>
        <v>0</v>
      </c>
      <c r="AY318" s="25">
        <f>Inventory[[#This Row],[Bsmt]]*Lookups!$B$89</f>
        <v>0</v>
      </c>
      <c r="AZ318" s="25">
        <f>Inventory[[#This Row],[Fixtures]]*Lookups!$B$90</f>
        <v>26544.1547364</v>
      </c>
      <c r="BA318" s="25">
        <f>Inventory[[#This Row],[WdDeck]]*Lookups!$B$91</f>
        <v>0</v>
      </c>
      <c r="BB318" s="25">
        <f>ROUND(Inventory[[#This Row],[25Det]],-2)</f>
        <v>0</v>
      </c>
      <c r="BC318" s="25">
        <f>ROUND(SUM(Inventory[[#This Row],[Mdl Qlty]:[Mdl WdDeck]])+Inventory[[#This Row],[Mdl Res Intercept]],-2)</f>
        <v>291300</v>
      </c>
      <c r="BD318" s="25">
        <f>ROUND(Inventory[[#This Row],[Mdl Land Intercept]]+Inventory[[#This Row],[Mdl LnAcres]],-2)</f>
        <v>33800</v>
      </c>
      <c r="BE318" s="25">
        <f>Inventory[[#This Row],[Unadj Res Value]]+Inventory[[#This Row],[Unadj Det Value]]+Inventory[[#This Row],[Unadj Land Value]]</f>
        <v>325100</v>
      </c>
      <c r="BF318" s="36">
        <f>(Inventory[[#This Row],[Unadj Total Value]]-Inventory[[#This Row],[24Final]])/Inventory[[#This Row],[24Final]]</f>
        <v>8.5838343353373411E-2</v>
      </c>
      <c r="BG318" s="25">
        <f>VLOOKUP(Inventory[[#This Row],[Nbhd]],Lookups!$Q$2:$T$4,4,FALSE)</f>
        <v>0.99970000000000003</v>
      </c>
      <c r="BH318" s="25">
        <f>VLOOKUP(Inventory[[#This Row],[Qlty]],Lookups!$O$7:$R$21,4,FALSE)</f>
        <v>1.0067999999999999</v>
      </c>
      <c r="BI318" s="25">
        <f>VLOOKUP(Inventory[[#This Row],[Cnd]],Lookups!$T$7:$W$16,4,FALSE)</f>
        <v>0.99650000000000005</v>
      </c>
      <c r="BJ318" s="25">
        <f>VLOOKUP(Inventory[[#This Row],[LivArea Range]],Lookups!$T$25:$W$37,4,FALSE)</f>
        <v>1.0157</v>
      </c>
      <c r="BK318" s="25">
        <f>VLOOKUP(Inventory[[#This Row],[Decade]],Lookups!$O$25:$R$42,4,FALSE)</f>
        <v>0.98119999999999996</v>
      </c>
      <c r="BL318" s="25">
        <f>Inventory[[#This Row],[Nbhd Adj]]*0.95</f>
        <v>0.94971499999999998</v>
      </c>
      <c r="BM318" s="25">
        <f>Inventory[[#This Row],[Nbhd Adj]]*Inventory[[#This Row],[Quality Adj]]*Inventory[[#This Row],[Condition Adj]]*Inventory[[#This Row],[Living Area Adj]]*Inventory[[#This Row],[Decade Adj]]*0.95</f>
        <v>0.9495914580116861</v>
      </c>
      <c r="BN318" s="25">
        <f>ROUND(SUM(Inventory[[#This Row],[Mdl Qlty]:[Mdl WdDeck]])+Inventory[[#This Row],[Mdl Res Intercept]]*Inventory[[#This Row],[Res Adj ]],-2)</f>
        <v>291300</v>
      </c>
      <c r="BO318" s="25">
        <f>ROUND(Inventory[[#This Row],[25Det]]*Inventory[[#This Row],[Det/Nbhd Adj]],-2)</f>
        <v>0</v>
      </c>
      <c r="BP318" s="25">
        <f>Inventory[[#This Row],[Adjusted Res]]+Inventory[[#This Row],[Adj Det ]]</f>
        <v>291300</v>
      </c>
      <c r="BQ318" s="25">
        <f>ROUND((Inventory[[#This Row],[Mdl Land Intercept]]+Inventory[[#This Row],[Mdl LnAcres]])*Inventory[[#This Row],[Det/Nbhd Adj]],-2)</f>
        <v>32100</v>
      </c>
      <c r="BR318" s="25">
        <f>Inventory[[#This Row],[Adjusted Impr Total]]+Inventory[[#This Row],[Adjusted Land Total]]</f>
        <v>323400</v>
      </c>
      <c r="BS318" s="36">
        <f>IFERROR((Inventory[[#This Row],[Adjusted Impr Total]]-Inventory[[#This Row],[24Bldg]])/Inventory[[#This Row],[24Bldg]],0)</f>
        <v>0.18078638021888935</v>
      </c>
      <c r="BT318" s="36">
        <f>(Inventory[[#This Row],[Adjusted Land Total]]-Inventory[[#This Row],[24Lnd]])/Inventory[[#This Row],[24Lnd]]</f>
        <v>-0.39089184060721061</v>
      </c>
      <c r="BU318" s="36">
        <f>(Inventory[[#This Row],[Adjusted Total]]-Inventory[[#This Row],[24Final]])/Inventory[[#This Row],[24Final]]</f>
        <v>8.0160320641282562E-2</v>
      </c>
    </row>
    <row r="319" spans="1:73" x14ac:dyDescent="0.3">
      <c r="A319" s="25">
        <v>2025</v>
      </c>
      <c r="B319" s="26" t="s">
        <v>1780</v>
      </c>
      <c r="C319" s="26">
        <f>LN(Inventory[[#This Row],[Acres]])</f>
        <v>-1.9661128563728327</v>
      </c>
      <c r="D319" s="25">
        <v>0.14000000000000001</v>
      </c>
      <c r="E319" s="31"/>
      <c r="F319" s="26" t="s">
        <v>537</v>
      </c>
      <c r="G319" s="26" t="s">
        <v>126</v>
      </c>
      <c r="H319" s="26" t="s">
        <v>349</v>
      </c>
      <c r="I319" s="26" t="s">
        <v>538</v>
      </c>
      <c r="J319" s="26" t="s">
        <v>539</v>
      </c>
      <c r="K319" s="26" t="s">
        <v>173</v>
      </c>
      <c r="L319" s="26" t="s">
        <v>351</v>
      </c>
      <c r="M319" s="26" t="s">
        <v>303</v>
      </c>
      <c r="N319" s="26">
        <v>60</v>
      </c>
      <c r="O319" s="26">
        <f>2024-Inventory[[#This Row],[YrBlt]]</f>
        <v>59</v>
      </c>
      <c r="P319" s="26">
        <f>2024-Inventory[[#This Row],[EffYr]]</f>
        <v>48</v>
      </c>
      <c r="Q319" s="25">
        <v>1965</v>
      </c>
      <c r="R319" s="25">
        <v>1976</v>
      </c>
      <c r="S319" s="25">
        <v>990</v>
      </c>
      <c r="T319" s="27"/>
      <c r="U319" s="31"/>
      <c r="V319" s="31">
        <f>Inventory[[#This Row],[Bsmt]]-Inventory[[#This Row],[FnBsmt]]</f>
        <v>0</v>
      </c>
      <c r="W319" s="31"/>
      <c r="X319" s="27"/>
      <c r="Y319" s="27">
        <f>Inventory[[#This Row],[MainFn]]+Inventory[[#This Row],[UpprFn]]+Inventory[[#This Row],[FnBsmt]]+Inventory[[#This Row],[AddFn]]</f>
        <v>990</v>
      </c>
      <c r="Z319" s="27">
        <v>1000</v>
      </c>
      <c r="AA319" s="25">
        <v>8</v>
      </c>
      <c r="AB319" s="32">
        <v>330</v>
      </c>
      <c r="AC319" s="27"/>
      <c r="AD319" s="27"/>
      <c r="AE319" s="27"/>
      <c r="AF319" s="27"/>
      <c r="AG319" s="27"/>
      <c r="AH319" s="27"/>
      <c r="AI319" s="25">
        <v>193495</v>
      </c>
      <c r="AJ319" s="25">
        <v>141251</v>
      </c>
      <c r="AK319" s="25">
        <v>0</v>
      </c>
      <c r="AL319" s="25">
        <v>290800</v>
      </c>
      <c r="AM319" s="25">
        <v>46000</v>
      </c>
      <c r="AN319" s="25">
        <v>244800</v>
      </c>
      <c r="AO319" s="25">
        <v>0</v>
      </c>
      <c r="AP319" s="25">
        <f>Lookups!$B$56*0</f>
        <v>0</v>
      </c>
      <c r="AQ319" s="25">
        <f>Lookups!$B$56*1</f>
        <v>89850.625589999996</v>
      </c>
      <c r="AR319" s="25">
        <f>Lookups!$B$57*Inventory[[#This Row],[LnAcres]]</f>
        <v>-62236.546971921947</v>
      </c>
      <c r="AS319" s="25">
        <f>VLOOKUP(Inventory[[#This Row],[Qlty]],Lookups!$A$62:$E$75,2,FALSE)</f>
        <v>21557.329055999999</v>
      </c>
      <c r="AT319" s="25">
        <f>VLOOKUP(Inventory[[#This Row],[Cnd]],Lookups!$A$76:$E$84,2,FALSE)</f>
        <v>197752.34721000001</v>
      </c>
      <c r="AU319" s="25">
        <f>Inventory[[#This Row],[EffAge]]*Lookups!$B$85</f>
        <v>-10706.188824000001</v>
      </c>
      <c r="AV319" s="25">
        <f>Inventory[[#This Row],[MainFn]]*Lookups!$B$86</f>
        <v>48914.583178230001</v>
      </c>
      <c r="AW319" s="25">
        <f>Inventory[[#This Row],[UpprFn]]*Lookups!$B$87</f>
        <v>0</v>
      </c>
      <c r="AX319" s="25">
        <f>Inventory[[#This Row],[AddFn]]*Lookups!$B$88</f>
        <v>0</v>
      </c>
      <c r="AY319" s="25">
        <f>Inventory[[#This Row],[Bsmt]]*Lookups!$B$89</f>
        <v>0</v>
      </c>
      <c r="AZ319" s="25">
        <f>Inventory[[#This Row],[Fixtures]]*Lookups!$B$90</f>
        <v>30336.176841600001</v>
      </c>
      <c r="BA319" s="25">
        <f>Inventory[[#This Row],[WdDeck]]*Lookups!$B$91</f>
        <v>0</v>
      </c>
      <c r="BB319" s="25">
        <f>ROUND(Inventory[[#This Row],[25Det]],-2)</f>
        <v>0</v>
      </c>
      <c r="BC319" s="25">
        <f>ROUND(SUM(Inventory[[#This Row],[Mdl Qlty]:[Mdl WdDeck]])+Inventory[[#This Row],[Mdl Res Intercept]],-2)</f>
        <v>287900</v>
      </c>
      <c r="BD319" s="25">
        <f>ROUND(Inventory[[#This Row],[Mdl Land Intercept]]+Inventory[[#This Row],[Mdl LnAcres]],-2)</f>
        <v>27600</v>
      </c>
      <c r="BE319" s="25">
        <f>Inventory[[#This Row],[Unadj Res Value]]+Inventory[[#This Row],[Unadj Det Value]]+Inventory[[#This Row],[Unadj Land Value]]</f>
        <v>315500</v>
      </c>
      <c r="BF319" s="36">
        <f>(Inventory[[#This Row],[Unadj Total Value]]-Inventory[[#This Row],[24Final]])/Inventory[[#This Row],[24Final]]</f>
        <v>8.4938101788170559E-2</v>
      </c>
      <c r="BG319" s="25">
        <f>VLOOKUP(Inventory[[#This Row],[Nbhd]],Lookups!$Q$2:$T$4,4,FALSE)</f>
        <v>0.99970000000000003</v>
      </c>
      <c r="BH319" s="25">
        <f>VLOOKUP(Inventory[[#This Row],[Qlty]],Lookups!$O$7:$R$21,4,FALSE)</f>
        <v>1.0067999999999999</v>
      </c>
      <c r="BI319" s="25">
        <f>VLOOKUP(Inventory[[#This Row],[Cnd]],Lookups!$T$7:$W$16,4,FALSE)</f>
        <v>0.99650000000000005</v>
      </c>
      <c r="BJ319" s="25">
        <f>VLOOKUP(Inventory[[#This Row],[LivArea Range]],Lookups!$T$25:$W$37,4,FALSE)</f>
        <v>1.0148999999999999</v>
      </c>
      <c r="BK319" s="25">
        <f>VLOOKUP(Inventory[[#This Row],[Decade]],Lookups!$O$25:$R$42,4,FALSE)</f>
        <v>0.98119999999999996</v>
      </c>
      <c r="BL319" s="25">
        <f>Inventory[[#This Row],[Nbhd Adj]]*0.95</f>
        <v>0.94971499999999998</v>
      </c>
      <c r="BM319" s="25">
        <f>Inventory[[#This Row],[Nbhd Adj]]*Inventory[[#This Row],[Quality Adj]]*Inventory[[#This Row],[Condition Adj]]*Inventory[[#This Row],[Living Area Adj]]*Inventory[[#This Row],[Decade Adj]]*0.95</f>
        <v>0.94884352735656197</v>
      </c>
      <c r="BN319" s="25">
        <f>ROUND(SUM(Inventory[[#This Row],[Mdl Qlty]:[Mdl WdDeck]])+Inventory[[#This Row],[Mdl Res Intercept]]*Inventory[[#This Row],[Res Adj ]],-2)</f>
        <v>287900</v>
      </c>
      <c r="BO319" s="25">
        <f>ROUND(Inventory[[#This Row],[25Det]]*Inventory[[#This Row],[Det/Nbhd Adj]],-2)</f>
        <v>0</v>
      </c>
      <c r="BP319" s="25">
        <f>Inventory[[#This Row],[Adjusted Res]]+Inventory[[#This Row],[Adj Det ]]</f>
        <v>287900</v>
      </c>
      <c r="BQ319" s="25">
        <f>ROUND((Inventory[[#This Row],[Mdl Land Intercept]]+Inventory[[#This Row],[Mdl LnAcres]])*Inventory[[#This Row],[Det/Nbhd Adj]],-2)</f>
        <v>26200</v>
      </c>
      <c r="BR319" s="25">
        <f>Inventory[[#This Row],[Adjusted Impr Total]]+Inventory[[#This Row],[Adjusted Land Total]]</f>
        <v>314100</v>
      </c>
      <c r="BS319" s="36">
        <f>IFERROR((Inventory[[#This Row],[Adjusted Impr Total]]-Inventory[[#This Row],[24Bldg]])/Inventory[[#This Row],[24Bldg]],0)</f>
        <v>0.17606209150326799</v>
      </c>
      <c r="BT319" s="36">
        <f>(Inventory[[#This Row],[Adjusted Land Total]]-Inventory[[#This Row],[24Lnd]])/Inventory[[#This Row],[24Lnd]]</f>
        <v>-0.43043478260869567</v>
      </c>
      <c r="BU319" s="36">
        <f>(Inventory[[#This Row],[Adjusted Total]]-Inventory[[#This Row],[24Final]])/Inventory[[#This Row],[24Final]]</f>
        <v>8.0123796423658869E-2</v>
      </c>
    </row>
    <row r="320" spans="1:73" x14ac:dyDescent="0.3">
      <c r="A320" s="25">
        <v>2025</v>
      </c>
      <c r="B320" s="26" t="s">
        <v>2032</v>
      </c>
      <c r="C320" s="26">
        <f>LN(Inventory[[#This Row],[Acres]])</f>
        <v>-1.6094379124341003</v>
      </c>
      <c r="D320" s="25">
        <v>0.2</v>
      </c>
      <c r="E320" s="31"/>
      <c r="F320" s="26" t="s">
        <v>537</v>
      </c>
      <c r="G320" s="26" t="s">
        <v>126</v>
      </c>
      <c r="H320" s="26" t="s">
        <v>349</v>
      </c>
      <c r="I320" s="26" t="s">
        <v>538</v>
      </c>
      <c r="J320" s="26" t="s">
        <v>539</v>
      </c>
      <c r="K320" s="26" t="s">
        <v>241</v>
      </c>
      <c r="L320" s="26" t="s">
        <v>351</v>
      </c>
      <c r="M320" s="26" t="s">
        <v>303</v>
      </c>
      <c r="N320" s="26">
        <v>60</v>
      </c>
      <c r="O320" s="26">
        <f>2024-Inventory[[#This Row],[YrBlt]]</f>
        <v>59</v>
      </c>
      <c r="P320" s="26">
        <f>2024-Inventory[[#This Row],[EffYr]]</f>
        <v>48</v>
      </c>
      <c r="Q320" s="25">
        <v>1965</v>
      </c>
      <c r="R320" s="25">
        <v>1976</v>
      </c>
      <c r="S320" s="25">
        <v>1544</v>
      </c>
      <c r="T320" s="31"/>
      <c r="U320" s="31"/>
      <c r="V320" s="31">
        <f>Inventory[[#This Row],[Bsmt]]-Inventory[[#This Row],[FnBsmt]]</f>
        <v>0</v>
      </c>
      <c r="W320" s="31"/>
      <c r="X320" s="27"/>
      <c r="Y320" s="27">
        <f>Inventory[[#This Row],[MainFn]]+Inventory[[#This Row],[UpprFn]]+Inventory[[#This Row],[FnBsmt]]+Inventory[[#This Row],[AddFn]]</f>
        <v>1544</v>
      </c>
      <c r="Z320" s="27">
        <v>2000</v>
      </c>
      <c r="AA320" s="25">
        <v>8</v>
      </c>
      <c r="AB320" s="27"/>
      <c r="AC320" s="27"/>
      <c r="AD320" s="31"/>
      <c r="AE320" s="27"/>
      <c r="AF320" s="27"/>
      <c r="AG320" s="27"/>
      <c r="AH320" s="27"/>
      <c r="AI320" s="25">
        <v>256176</v>
      </c>
      <c r="AJ320" s="25">
        <v>187008</v>
      </c>
      <c r="AK320" s="25">
        <v>0</v>
      </c>
      <c r="AL320" s="25">
        <v>326800</v>
      </c>
      <c r="AM320" s="25">
        <v>58400</v>
      </c>
      <c r="AN320" s="25">
        <v>268400</v>
      </c>
      <c r="AO320" s="25">
        <v>0</v>
      </c>
      <c r="AP320" s="25">
        <f>Lookups!$B$56*0</f>
        <v>0</v>
      </c>
      <c r="AQ320" s="25">
        <f>Lookups!$B$56*1</f>
        <v>89850.625589999996</v>
      </c>
      <c r="AR320" s="25">
        <f>Lookups!$B$57*Inventory[[#This Row],[LnAcres]]</f>
        <v>-50946.13867709865</v>
      </c>
      <c r="AS320" s="25">
        <f>VLOOKUP(Inventory[[#This Row],[Qlty]],Lookups!$A$62:$E$75,2,FALSE)</f>
        <v>21557.329055999999</v>
      </c>
      <c r="AT320" s="25">
        <f>VLOOKUP(Inventory[[#This Row],[Cnd]],Lookups!$A$76:$E$84,2,FALSE)</f>
        <v>197752.34721000001</v>
      </c>
      <c r="AU320" s="25">
        <f>Inventory[[#This Row],[EffAge]]*Lookups!$B$85</f>
        <v>-10706.188824000001</v>
      </c>
      <c r="AV320" s="25">
        <f>Inventory[[#This Row],[MainFn]]*Lookups!$B$86</f>
        <v>76286.986290087996</v>
      </c>
      <c r="AW320" s="25">
        <f>Inventory[[#This Row],[UpprFn]]*Lookups!$B$87</f>
        <v>0</v>
      </c>
      <c r="AX320" s="25">
        <f>Inventory[[#This Row],[AddFn]]*Lookups!$B$88</f>
        <v>0</v>
      </c>
      <c r="AY320" s="25">
        <f>Inventory[[#This Row],[Bsmt]]*Lookups!$B$89</f>
        <v>0</v>
      </c>
      <c r="AZ320" s="25">
        <f>Inventory[[#This Row],[Fixtures]]*Lookups!$B$90</f>
        <v>30336.176841600001</v>
      </c>
      <c r="BA320" s="25">
        <f>Inventory[[#This Row],[WdDeck]]*Lookups!$B$91</f>
        <v>0</v>
      </c>
      <c r="BB320" s="25">
        <f>ROUND(Inventory[[#This Row],[25Det]],-2)</f>
        <v>0</v>
      </c>
      <c r="BC320" s="25">
        <f>ROUND(SUM(Inventory[[#This Row],[Mdl Qlty]:[Mdl WdDeck]])+Inventory[[#This Row],[Mdl Res Intercept]],-2)</f>
        <v>315200</v>
      </c>
      <c r="BD320" s="25">
        <f>ROUND(Inventory[[#This Row],[Mdl Land Intercept]]+Inventory[[#This Row],[Mdl LnAcres]],-2)</f>
        <v>38900</v>
      </c>
      <c r="BE320" s="25">
        <f>Inventory[[#This Row],[Unadj Res Value]]+Inventory[[#This Row],[Unadj Det Value]]+Inventory[[#This Row],[Unadj Land Value]]</f>
        <v>354100</v>
      </c>
      <c r="BF320" s="36">
        <f>(Inventory[[#This Row],[Unadj Total Value]]-Inventory[[#This Row],[24Final]])/Inventory[[#This Row],[24Final]]</f>
        <v>8.353733170134639E-2</v>
      </c>
      <c r="BG320" s="25">
        <f>VLOOKUP(Inventory[[#This Row],[Nbhd]],Lookups!$Q$2:$T$4,4,FALSE)</f>
        <v>0.99970000000000003</v>
      </c>
      <c r="BH320" s="25">
        <f>VLOOKUP(Inventory[[#This Row],[Qlty]],Lookups!$O$7:$R$21,4,FALSE)</f>
        <v>1.0067999999999999</v>
      </c>
      <c r="BI320" s="25">
        <f>VLOOKUP(Inventory[[#This Row],[Cnd]],Lookups!$T$7:$W$16,4,FALSE)</f>
        <v>0.99650000000000005</v>
      </c>
      <c r="BJ320" s="25">
        <f>VLOOKUP(Inventory[[#This Row],[LivArea Range]],Lookups!$T$25:$W$37,4,FALSE)</f>
        <v>1.0093000000000001</v>
      </c>
      <c r="BK320" s="25">
        <f>VLOOKUP(Inventory[[#This Row],[Decade]],Lookups!$O$25:$R$42,4,FALSE)</f>
        <v>0.98119999999999996</v>
      </c>
      <c r="BL320" s="25">
        <f>Inventory[[#This Row],[Nbhd Adj]]*0.95</f>
        <v>0.94971499999999998</v>
      </c>
      <c r="BM320" s="25">
        <f>Inventory[[#This Row],[Nbhd Adj]]*Inventory[[#This Row],[Quality Adj]]*Inventory[[#This Row],[Condition Adj]]*Inventory[[#This Row],[Living Area Adj]]*Inventory[[#This Row],[Decade Adj]]*0.95</f>
        <v>0.94360801277069484</v>
      </c>
      <c r="BN320" s="25">
        <f>ROUND(SUM(Inventory[[#This Row],[Mdl Qlty]:[Mdl WdDeck]])+Inventory[[#This Row],[Mdl Res Intercept]]*Inventory[[#This Row],[Res Adj ]],-2)</f>
        <v>315200</v>
      </c>
      <c r="BO320" s="25">
        <f>ROUND(Inventory[[#This Row],[25Det]]*Inventory[[#This Row],[Det/Nbhd Adj]],-2)</f>
        <v>0</v>
      </c>
      <c r="BP320" s="25">
        <f>Inventory[[#This Row],[Adjusted Res]]+Inventory[[#This Row],[Adj Det ]]</f>
        <v>315200</v>
      </c>
      <c r="BQ320" s="25">
        <f>ROUND((Inventory[[#This Row],[Mdl Land Intercept]]+Inventory[[#This Row],[Mdl LnAcres]])*Inventory[[#This Row],[Det/Nbhd Adj]],-2)</f>
        <v>36900</v>
      </c>
      <c r="BR320" s="25">
        <f>Inventory[[#This Row],[Adjusted Impr Total]]+Inventory[[#This Row],[Adjusted Land Total]]</f>
        <v>352100</v>
      </c>
      <c r="BS320" s="36">
        <f>IFERROR((Inventory[[#This Row],[Adjusted Impr Total]]-Inventory[[#This Row],[24Bldg]])/Inventory[[#This Row],[24Bldg]],0)</f>
        <v>0.17436661698956782</v>
      </c>
      <c r="BT320" s="36">
        <f>(Inventory[[#This Row],[Adjusted Land Total]]-Inventory[[#This Row],[24Lnd]])/Inventory[[#This Row],[24Lnd]]</f>
        <v>-0.36815068493150682</v>
      </c>
      <c r="BU320" s="36">
        <f>(Inventory[[#This Row],[Adjusted Total]]-Inventory[[#This Row],[24Final]])/Inventory[[#This Row],[24Final]]</f>
        <v>7.7417380660954715E-2</v>
      </c>
    </row>
    <row r="321" spans="1:73" x14ac:dyDescent="0.3">
      <c r="A321" s="25">
        <v>2025</v>
      </c>
      <c r="B321" s="26" t="s">
        <v>1465</v>
      </c>
      <c r="C321" s="26">
        <f>LN(Inventory[[#This Row],[Acres]])</f>
        <v>-1.3862943611198906</v>
      </c>
      <c r="D321" s="25">
        <v>0.25</v>
      </c>
      <c r="E321" s="25">
        <v>11074</v>
      </c>
      <c r="F321" s="26" t="s">
        <v>537</v>
      </c>
      <c r="G321" s="26" t="s">
        <v>126</v>
      </c>
      <c r="H321" s="26" t="s">
        <v>349</v>
      </c>
      <c r="I321" s="26" t="s">
        <v>538</v>
      </c>
      <c r="J321" s="26" t="s">
        <v>539</v>
      </c>
      <c r="K321" s="26" t="s">
        <v>241</v>
      </c>
      <c r="L321" s="26" t="s">
        <v>148</v>
      </c>
      <c r="M321" s="26" t="s">
        <v>303</v>
      </c>
      <c r="N321" s="26">
        <v>60</v>
      </c>
      <c r="O321" s="26">
        <f>2024-Inventory[[#This Row],[YrBlt]]</f>
        <v>59</v>
      </c>
      <c r="P321" s="26">
        <f>2024-Inventory[[#This Row],[EffYr]]</f>
        <v>48</v>
      </c>
      <c r="Q321" s="25">
        <v>1965</v>
      </c>
      <c r="R321" s="25">
        <v>1976</v>
      </c>
      <c r="S321" s="25">
        <v>1508</v>
      </c>
      <c r="T321" s="27"/>
      <c r="U321" s="31"/>
      <c r="V321" s="31">
        <f>Inventory[[#This Row],[Bsmt]]-Inventory[[#This Row],[FnBsmt]]</f>
        <v>0</v>
      </c>
      <c r="W321" s="31"/>
      <c r="X321" s="27"/>
      <c r="Y321" s="27">
        <f>Inventory[[#This Row],[MainFn]]+Inventory[[#This Row],[UpprFn]]+Inventory[[#This Row],[FnBsmt]]+Inventory[[#This Row],[AddFn]]</f>
        <v>1508</v>
      </c>
      <c r="Z321" s="27">
        <v>2000</v>
      </c>
      <c r="AA321" s="25">
        <v>8</v>
      </c>
      <c r="AB321" s="32">
        <v>564</v>
      </c>
      <c r="AC321" s="27"/>
      <c r="AD321" s="27"/>
      <c r="AE321" s="27"/>
      <c r="AF321" s="27"/>
      <c r="AG321" s="27"/>
      <c r="AH321" s="27"/>
      <c r="AI321" s="25">
        <v>367014</v>
      </c>
      <c r="AJ321" s="25">
        <v>267920</v>
      </c>
      <c r="AK321" s="25">
        <v>0</v>
      </c>
      <c r="AL321" s="25">
        <v>352900</v>
      </c>
      <c r="AM321" s="25">
        <v>66200</v>
      </c>
      <c r="AN321" s="25">
        <v>286700</v>
      </c>
      <c r="AO321" s="25">
        <v>0</v>
      </c>
      <c r="AP321" s="25">
        <f>Lookups!$B$56*0</f>
        <v>0</v>
      </c>
      <c r="AQ321" s="25">
        <f>Lookups!$B$56*1</f>
        <v>89850.625589999996</v>
      </c>
      <c r="AR321" s="25">
        <f>Lookups!$B$57*Inventory[[#This Row],[LnAcres]]</f>
        <v>-43882.615305165229</v>
      </c>
      <c r="AS321" s="25">
        <f>VLOOKUP(Inventory[[#This Row],[Qlty]],Lookups!$A$62:$E$75,2,FALSE)</f>
        <v>44121.038090000002</v>
      </c>
      <c r="AT321" s="25">
        <f>VLOOKUP(Inventory[[#This Row],[Cnd]],Lookups!$A$76:$E$84,2,FALSE)</f>
        <v>197752.34721000001</v>
      </c>
      <c r="AU321" s="25">
        <f>Inventory[[#This Row],[EffAge]]*Lookups!$B$85</f>
        <v>-10706.188824000001</v>
      </c>
      <c r="AV321" s="25">
        <f>Inventory[[#This Row],[MainFn]]*Lookups!$B$86</f>
        <v>74508.274174516002</v>
      </c>
      <c r="AW321" s="25">
        <f>Inventory[[#This Row],[UpprFn]]*Lookups!$B$87</f>
        <v>0</v>
      </c>
      <c r="AX321" s="25">
        <f>Inventory[[#This Row],[AddFn]]*Lookups!$B$88</f>
        <v>0</v>
      </c>
      <c r="AY321" s="25">
        <f>Inventory[[#This Row],[Bsmt]]*Lookups!$B$89</f>
        <v>0</v>
      </c>
      <c r="AZ321" s="25">
        <f>Inventory[[#This Row],[Fixtures]]*Lookups!$B$90</f>
        <v>30336.176841600001</v>
      </c>
      <c r="BA321" s="25">
        <f>Inventory[[#This Row],[WdDeck]]*Lookups!$B$91</f>
        <v>0</v>
      </c>
      <c r="BB321" s="25">
        <f>ROUND(Inventory[[#This Row],[25Det]],-2)</f>
        <v>0</v>
      </c>
      <c r="BC321" s="25">
        <f>ROUND(SUM(Inventory[[#This Row],[Mdl Qlty]:[Mdl WdDeck]])+Inventory[[#This Row],[Mdl Res Intercept]],-2)</f>
        <v>336000</v>
      </c>
      <c r="BD321" s="25">
        <f>ROUND(Inventory[[#This Row],[Mdl Land Intercept]]+Inventory[[#This Row],[Mdl LnAcres]],-2)</f>
        <v>46000</v>
      </c>
      <c r="BE321" s="25">
        <f>Inventory[[#This Row],[Unadj Res Value]]+Inventory[[#This Row],[Unadj Det Value]]+Inventory[[#This Row],[Unadj Land Value]]</f>
        <v>382000</v>
      </c>
      <c r="BF321" s="36">
        <f>(Inventory[[#This Row],[Unadj Total Value]]-Inventory[[#This Row],[24Final]])/Inventory[[#This Row],[24Final]]</f>
        <v>8.2459620289033725E-2</v>
      </c>
      <c r="BG321" s="25">
        <f>VLOOKUP(Inventory[[#This Row],[Nbhd]],Lookups!$Q$2:$T$4,4,FALSE)</f>
        <v>0.99970000000000003</v>
      </c>
      <c r="BH321" s="25">
        <f>VLOOKUP(Inventory[[#This Row],[Qlty]],Lookups!$O$7:$R$21,4,FALSE)</f>
        <v>0.98050000000000004</v>
      </c>
      <c r="BI321" s="25">
        <f>VLOOKUP(Inventory[[#This Row],[Cnd]],Lookups!$T$7:$W$16,4,FALSE)</f>
        <v>0.99650000000000005</v>
      </c>
      <c r="BJ321" s="25">
        <f>VLOOKUP(Inventory[[#This Row],[LivArea Range]],Lookups!$T$25:$W$37,4,FALSE)</f>
        <v>1.0093000000000001</v>
      </c>
      <c r="BK321" s="25">
        <f>VLOOKUP(Inventory[[#This Row],[Decade]],Lookups!$O$25:$R$42,4,FALSE)</f>
        <v>0.98119999999999996</v>
      </c>
      <c r="BL321" s="25">
        <f>Inventory[[#This Row],[Nbhd Adj]]*0.95</f>
        <v>0.94971499999999998</v>
      </c>
      <c r="BM321" s="25">
        <f>Inventory[[#This Row],[Nbhd Adj]]*Inventory[[#This Row],[Quality Adj]]*Inventory[[#This Row],[Condition Adj]]*Inventory[[#This Row],[Living Area Adj]]*Inventory[[#This Row],[Decade Adj]]*0.95</f>
        <v>0.91895873710932319</v>
      </c>
      <c r="BN321" s="25">
        <f>ROUND(SUM(Inventory[[#This Row],[Mdl Qlty]:[Mdl WdDeck]])+Inventory[[#This Row],[Mdl Res Intercept]]*Inventory[[#This Row],[Res Adj ]],-2)</f>
        <v>336000</v>
      </c>
      <c r="BO321" s="25">
        <f>ROUND(Inventory[[#This Row],[25Det]]*Inventory[[#This Row],[Det/Nbhd Adj]],-2)</f>
        <v>0</v>
      </c>
      <c r="BP321" s="25">
        <f>Inventory[[#This Row],[Adjusted Res]]+Inventory[[#This Row],[Adj Det ]]</f>
        <v>336000</v>
      </c>
      <c r="BQ321" s="25">
        <f>ROUND((Inventory[[#This Row],[Mdl Land Intercept]]+Inventory[[#This Row],[Mdl LnAcres]])*Inventory[[#This Row],[Det/Nbhd Adj]],-2)</f>
        <v>43700</v>
      </c>
      <c r="BR321" s="25">
        <f>Inventory[[#This Row],[Adjusted Impr Total]]+Inventory[[#This Row],[Adjusted Land Total]]</f>
        <v>379700</v>
      </c>
      <c r="BS321" s="36">
        <f>IFERROR((Inventory[[#This Row],[Adjusted Impr Total]]-Inventory[[#This Row],[24Bldg]])/Inventory[[#This Row],[24Bldg]],0)</f>
        <v>0.17195674921520754</v>
      </c>
      <c r="BT321" s="36">
        <f>(Inventory[[#This Row],[Adjusted Land Total]]-Inventory[[#This Row],[24Lnd]])/Inventory[[#This Row],[24Lnd]]</f>
        <v>-0.33987915407854985</v>
      </c>
      <c r="BU321" s="36">
        <f>(Inventory[[#This Row],[Adjusted Total]]-Inventory[[#This Row],[24Final]])/Inventory[[#This Row],[24Final]]</f>
        <v>7.594219325587985E-2</v>
      </c>
    </row>
    <row r="322" spans="1:73" x14ac:dyDescent="0.3">
      <c r="A322" s="25">
        <v>2025</v>
      </c>
      <c r="B322" s="26" t="s">
        <v>2309</v>
      </c>
      <c r="C322" s="26">
        <f>LN(Inventory[[#This Row],[Acres]])</f>
        <v>-1.7147984280919266</v>
      </c>
      <c r="D322" s="25">
        <v>0.18</v>
      </c>
      <c r="E322" s="32">
        <v>8025</v>
      </c>
      <c r="F322" s="26" t="s">
        <v>537</v>
      </c>
      <c r="G322" s="26" t="s">
        <v>126</v>
      </c>
      <c r="H322" s="26" t="s">
        <v>349</v>
      </c>
      <c r="I322" s="26" t="s">
        <v>538</v>
      </c>
      <c r="J322" s="26" t="s">
        <v>539</v>
      </c>
      <c r="K322" s="26" t="s">
        <v>241</v>
      </c>
      <c r="L322" s="26" t="s">
        <v>302</v>
      </c>
      <c r="M322" s="26" t="s">
        <v>323</v>
      </c>
      <c r="N322" s="26">
        <v>60</v>
      </c>
      <c r="O322" s="26">
        <f>2024-Inventory[[#This Row],[YrBlt]]</f>
        <v>59</v>
      </c>
      <c r="P322" s="26">
        <f>2024-Inventory[[#This Row],[EffYr]]</f>
        <v>48</v>
      </c>
      <c r="Q322" s="25">
        <v>1965</v>
      </c>
      <c r="R322" s="25">
        <v>1976</v>
      </c>
      <c r="S322" s="25">
        <v>1688</v>
      </c>
      <c r="T322" s="27"/>
      <c r="U322" s="25">
        <v>1688</v>
      </c>
      <c r="V322" s="32">
        <f>Inventory[[#This Row],[Bsmt]]-Inventory[[#This Row],[FnBsmt]]</f>
        <v>1283</v>
      </c>
      <c r="W322" s="32">
        <v>405</v>
      </c>
      <c r="X322" s="27"/>
      <c r="Y322" s="27">
        <f>Inventory[[#This Row],[MainFn]]+Inventory[[#This Row],[UpprFn]]+Inventory[[#This Row],[FnBsmt]]+Inventory[[#This Row],[AddFn]]</f>
        <v>2093</v>
      </c>
      <c r="Z322" s="27">
        <v>2500</v>
      </c>
      <c r="AA322" s="25">
        <v>7</v>
      </c>
      <c r="AB322" s="32">
        <v>286</v>
      </c>
      <c r="AC322" s="27"/>
      <c r="AD322" s="32">
        <v>100</v>
      </c>
      <c r="AE322" s="27"/>
      <c r="AF322" s="27"/>
      <c r="AG322" s="27"/>
      <c r="AH322" s="27"/>
      <c r="AI322" s="25">
        <v>409488</v>
      </c>
      <c r="AJ322" s="25">
        <v>294831</v>
      </c>
      <c r="AK322" s="25">
        <v>0</v>
      </c>
      <c r="AL322" s="25">
        <v>349900</v>
      </c>
      <c r="AM322" s="25">
        <v>54700</v>
      </c>
      <c r="AN322" s="25">
        <v>295200</v>
      </c>
      <c r="AO322" s="25">
        <v>0</v>
      </c>
      <c r="AP322" s="25">
        <f>Lookups!$B$56*0</f>
        <v>0</v>
      </c>
      <c r="AQ322" s="25">
        <f>Lookups!$B$56*1</f>
        <v>89850.625589999996</v>
      </c>
      <c r="AR322" s="25">
        <f>Lookups!$B$57*Inventory[[#This Row],[LnAcres]]</f>
        <v>-54281.285314520763</v>
      </c>
      <c r="AS322" s="25">
        <f>VLOOKUP(Inventory[[#This Row],[Qlty]],Lookups!$A$62:$E$75,2,FALSE)</f>
        <v>29814.093161000001</v>
      </c>
      <c r="AT322" s="25">
        <f>VLOOKUP(Inventory[[#This Row],[Cnd]],Lookups!$A$76:$E$84,2,FALSE)</f>
        <v>160472.20319</v>
      </c>
      <c r="AU322" s="25">
        <f>Inventory[[#This Row],[EffAge]]*Lookups!$B$85</f>
        <v>-10706.188824000001</v>
      </c>
      <c r="AV322" s="25">
        <f>Inventory[[#This Row],[MainFn]]*Lookups!$B$86</f>
        <v>83401.834752376002</v>
      </c>
      <c r="AW322" s="25">
        <f>Inventory[[#This Row],[UpprFn]]*Lookups!$B$87</f>
        <v>0</v>
      </c>
      <c r="AX322" s="25">
        <f>Inventory[[#This Row],[AddFn]]*Lookups!$B$88</f>
        <v>0</v>
      </c>
      <c r="AY322" s="25">
        <f>Inventory[[#This Row],[Bsmt]]*Lookups!$B$89</f>
        <v>49090.239176935997</v>
      </c>
      <c r="AZ322" s="25">
        <f>Inventory[[#This Row],[Fixtures]]*Lookups!$B$90</f>
        <v>26544.1547364</v>
      </c>
      <c r="BA322" s="25">
        <f>Inventory[[#This Row],[WdDeck]]*Lookups!$B$91</f>
        <v>3329.5515276000006</v>
      </c>
      <c r="BB322" s="25">
        <f>ROUND(Inventory[[#This Row],[25Det]],-2)</f>
        <v>0</v>
      </c>
      <c r="BC322" s="25">
        <f>ROUND(SUM(Inventory[[#This Row],[Mdl Qlty]:[Mdl WdDeck]])+Inventory[[#This Row],[Mdl Res Intercept]],-2)</f>
        <v>341900</v>
      </c>
      <c r="BD322" s="25">
        <f>ROUND(Inventory[[#This Row],[Mdl Land Intercept]]+Inventory[[#This Row],[Mdl LnAcres]],-2)</f>
        <v>35600</v>
      </c>
      <c r="BE322" s="25">
        <f>Inventory[[#This Row],[Unadj Res Value]]+Inventory[[#This Row],[Unadj Det Value]]+Inventory[[#This Row],[Unadj Land Value]]</f>
        <v>377500</v>
      </c>
      <c r="BF322" s="36">
        <f>(Inventory[[#This Row],[Unadj Total Value]]-Inventory[[#This Row],[24Final]])/Inventory[[#This Row],[24Final]]</f>
        <v>7.8879679908545303E-2</v>
      </c>
      <c r="BG322" s="25">
        <f>VLOOKUP(Inventory[[#This Row],[Nbhd]],Lookups!$Q$2:$T$4,4,FALSE)</f>
        <v>0.99970000000000003</v>
      </c>
      <c r="BH322" s="25">
        <f>VLOOKUP(Inventory[[#This Row],[Qlty]],Lookups!$O$7:$R$21,4,FALSE)</f>
        <v>1.0088999999999999</v>
      </c>
      <c r="BI322" s="25">
        <f>VLOOKUP(Inventory[[#This Row],[Cnd]],Lookups!$T$7:$W$16,4,FALSE)</f>
        <v>0.99729999999999996</v>
      </c>
      <c r="BJ322" s="25">
        <f>VLOOKUP(Inventory[[#This Row],[LivArea Range]],Lookups!$T$25:$W$37,4,FALSE)</f>
        <v>0.98919999999999997</v>
      </c>
      <c r="BK322" s="25">
        <f>VLOOKUP(Inventory[[#This Row],[Decade]],Lookups!$O$25:$R$42,4,FALSE)</f>
        <v>0.98119999999999996</v>
      </c>
      <c r="BL322" s="25">
        <f>Inventory[[#This Row],[Nbhd Adj]]*0.95</f>
        <v>0.94971499999999998</v>
      </c>
      <c r="BM322" s="25">
        <f>Inventory[[#This Row],[Nbhd Adj]]*Inventory[[#This Row],[Quality Adj]]*Inventory[[#This Row],[Condition Adj]]*Inventory[[#This Row],[Living Area Adj]]*Inventory[[#This Row],[Decade Adj]]*0.95</f>
        <v>0.92748925221935308</v>
      </c>
      <c r="BN322" s="25">
        <f>ROUND(SUM(Inventory[[#This Row],[Mdl Qlty]:[Mdl WdDeck]])+Inventory[[#This Row],[Mdl Res Intercept]]*Inventory[[#This Row],[Res Adj ]],-2)</f>
        <v>341900</v>
      </c>
      <c r="BO322" s="25">
        <f>ROUND(Inventory[[#This Row],[25Det]]*Inventory[[#This Row],[Det/Nbhd Adj]],-2)</f>
        <v>0</v>
      </c>
      <c r="BP322" s="25">
        <f>Inventory[[#This Row],[Adjusted Res]]+Inventory[[#This Row],[Adj Det ]]</f>
        <v>341900</v>
      </c>
      <c r="BQ322" s="25">
        <f>ROUND((Inventory[[#This Row],[Mdl Land Intercept]]+Inventory[[#This Row],[Mdl LnAcres]])*Inventory[[#This Row],[Det/Nbhd Adj]],-2)</f>
        <v>33800</v>
      </c>
      <c r="BR322" s="25">
        <f>Inventory[[#This Row],[Adjusted Impr Total]]+Inventory[[#This Row],[Adjusted Land Total]]</f>
        <v>375700</v>
      </c>
      <c r="BS322" s="36">
        <f>IFERROR((Inventory[[#This Row],[Adjusted Impr Total]]-Inventory[[#This Row],[24Bldg]])/Inventory[[#This Row],[24Bldg]],0)</f>
        <v>0.15819783197831977</v>
      </c>
      <c r="BT322" s="36">
        <f>(Inventory[[#This Row],[Adjusted Land Total]]-Inventory[[#This Row],[24Lnd]])/Inventory[[#This Row],[24Lnd]]</f>
        <v>-0.38208409506398539</v>
      </c>
      <c r="BU322" s="36">
        <f>(Inventory[[#This Row],[Adjusted Total]]-Inventory[[#This Row],[24Final]])/Inventory[[#This Row],[24Final]]</f>
        <v>7.3735352957987998E-2</v>
      </c>
    </row>
    <row r="323" spans="1:73" x14ac:dyDescent="0.3">
      <c r="A323" s="25">
        <v>2025</v>
      </c>
      <c r="B323" s="26" t="s">
        <v>2090</v>
      </c>
      <c r="C323" s="26">
        <f>LN(Inventory[[#This Row],[Acres]])</f>
        <v>-1.2378743560016174</v>
      </c>
      <c r="D323" s="25">
        <v>0.28999999999999998</v>
      </c>
      <c r="E323" s="25">
        <v>12641</v>
      </c>
      <c r="F323" s="26" t="s">
        <v>537</v>
      </c>
      <c r="G323" s="26" t="s">
        <v>126</v>
      </c>
      <c r="H323" s="26" t="s">
        <v>349</v>
      </c>
      <c r="I323" s="26" t="s">
        <v>538</v>
      </c>
      <c r="J323" s="26" t="s">
        <v>539</v>
      </c>
      <c r="K323" s="26" t="s">
        <v>241</v>
      </c>
      <c r="L323" s="26" t="s">
        <v>148</v>
      </c>
      <c r="M323" s="26" t="s">
        <v>303</v>
      </c>
      <c r="N323" s="26">
        <v>60</v>
      </c>
      <c r="O323" s="26">
        <f>2024-Inventory[[#This Row],[YrBlt]]</f>
        <v>59</v>
      </c>
      <c r="P323" s="26">
        <f>2024-Inventory[[#This Row],[EffYr]]</f>
        <v>48</v>
      </c>
      <c r="Q323" s="25">
        <v>1965</v>
      </c>
      <c r="R323" s="25">
        <v>1976</v>
      </c>
      <c r="S323" s="25">
        <v>1854</v>
      </c>
      <c r="T323" s="27"/>
      <c r="U323" s="25">
        <v>120</v>
      </c>
      <c r="V323" s="25">
        <f>Inventory[[#This Row],[Bsmt]]-Inventory[[#This Row],[FnBsmt]]</f>
        <v>120</v>
      </c>
      <c r="W323" s="31"/>
      <c r="X323" s="27"/>
      <c r="Y323" s="27">
        <f>Inventory[[#This Row],[MainFn]]+Inventory[[#This Row],[UpprFn]]+Inventory[[#This Row],[FnBsmt]]+Inventory[[#This Row],[AddFn]]</f>
        <v>1854</v>
      </c>
      <c r="Z323" s="27">
        <v>2000</v>
      </c>
      <c r="AA323" s="25">
        <v>7</v>
      </c>
      <c r="AB323" s="32">
        <v>528</v>
      </c>
      <c r="AC323" s="27"/>
      <c r="AD323" s="27"/>
      <c r="AE323" s="27"/>
      <c r="AF323" s="27"/>
      <c r="AG323" s="27"/>
      <c r="AH323" s="27"/>
      <c r="AI323" s="25">
        <v>425132</v>
      </c>
      <c r="AJ323" s="25">
        <v>310346</v>
      </c>
      <c r="AK323" s="25">
        <v>0</v>
      </c>
      <c r="AL323" s="25">
        <v>374900</v>
      </c>
      <c r="AM323" s="25">
        <v>71400</v>
      </c>
      <c r="AN323" s="25">
        <v>303500</v>
      </c>
      <c r="AO323" s="25">
        <v>0</v>
      </c>
      <c r="AP323" s="25">
        <f>Lookups!$B$56*0</f>
        <v>0</v>
      </c>
      <c r="AQ323" s="25">
        <f>Lookups!$B$56*1</f>
        <v>89850.625589999996</v>
      </c>
      <c r="AR323" s="25">
        <f>Lookups!$B$57*Inventory[[#This Row],[LnAcres]]</f>
        <v>-39184.437074869042</v>
      </c>
      <c r="AS323" s="25">
        <f>VLOOKUP(Inventory[[#This Row],[Qlty]],Lookups!$A$62:$E$75,2,FALSE)</f>
        <v>44121.038090000002</v>
      </c>
      <c r="AT323" s="25">
        <f>VLOOKUP(Inventory[[#This Row],[Cnd]],Lookups!$A$76:$E$84,2,FALSE)</f>
        <v>197752.34721000001</v>
      </c>
      <c r="AU323" s="25">
        <f>Inventory[[#This Row],[EffAge]]*Lookups!$B$85</f>
        <v>-10706.188824000001</v>
      </c>
      <c r="AV323" s="25">
        <f>Inventory[[#This Row],[MainFn]]*Lookups!$B$86</f>
        <v>91603.673951958001</v>
      </c>
      <c r="AW323" s="25">
        <f>Inventory[[#This Row],[UpprFn]]*Lookups!$B$87</f>
        <v>0</v>
      </c>
      <c r="AX323" s="25">
        <f>Inventory[[#This Row],[AddFn]]*Lookups!$B$88</f>
        <v>0</v>
      </c>
      <c r="AY323" s="25">
        <f>Inventory[[#This Row],[Bsmt]]*Lookups!$B$89</f>
        <v>3489.82742964</v>
      </c>
      <c r="AZ323" s="25">
        <f>Inventory[[#This Row],[Fixtures]]*Lookups!$B$90</f>
        <v>26544.1547364</v>
      </c>
      <c r="BA323" s="25">
        <f>Inventory[[#This Row],[WdDeck]]*Lookups!$B$91</f>
        <v>0</v>
      </c>
      <c r="BB323" s="25">
        <f>ROUND(Inventory[[#This Row],[25Det]],-2)</f>
        <v>0</v>
      </c>
      <c r="BC323" s="25">
        <f>ROUND(SUM(Inventory[[#This Row],[Mdl Qlty]:[Mdl WdDeck]])+Inventory[[#This Row],[Mdl Res Intercept]],-2)</f>
        <v>352800</v>
      </c>
      <c r="BD323" s="25">
        <f>ROUND(Inventory[[#This Row],[Mdl Land Intercept]]+Inventory[[#This Row],[Mdl LnAcres]],-2)</f>
        <v>50700</v>
      </c>
      <c r="BE323" s="25">
        <f>Inventory[[#This Row],[Unadj Res Value]]+Inventory[[#This Row],[Unadj Det Value]]+Inventory[[#This Row],[Unadj Land Value]]</f>
        <v>403500</v>
      </c>
      <c r="BF323" s="36">
        <f>(Inventory[[#This Row],[Unadj Total Value]]-Inventory[[#This Row],[24Final]])/Inventory[[#This Row],[24Final]]</f>
        <v>7.6287009869298483E-2</v>
      </c>
      <c r="BG323" s="25">
        <f>VLOOKUP(Inventory[[#This Row],[Nbhd]],Lookups!$Q$2:$T$4,4,FALSE)</f>
        <v>0.99970000000000003</v>
      </c>
      <c r="BH323" s="25">
        <f>VLOOKUP(Inventory[[#This Row],[Qlty]],Lookups!$O$7:$R$21,4,FALSE)</f>
        <v>0.98050000000000004</v>
      </c>
      <c r="BI323" s="25">
        <f>VLOOKUP(Inventory[[#This Row],[Cnd]],Lookups!$T$7:$W$16,4,FALSE)</f>
        <v>0.99650000000000005</v>
      </c>
      <c r="BJ323" s="25">
        <f>VLOOKUP(Inventory[[#This Row],[LivArea Range]],Lookups!$T$25:$W$37,4,FALSE)</f>
        <v>1.0093000000000001</v>
      </c>
      <c r="BK323" s="25">
        <f>VLOOKUP(Inventory[[#This Row],[Decade]],Lookups!$O$25:$R$42,4,FALSE)</f>
        <v>0.98119999999999996</v>
      </c>
      <c r="BL323" s="25">
        <f>Inventory[[#This Row],[Nbhd Adj]]*0.95</f>
        <v>0.94971499999999998</v>
      </c>
      <c r="BM323" s="25">
        <f>Inventory[[#This Row],[Nbhd Adj]]*Inventory[[#This Row],[Quality Adj]]*Inventory[[#This Row],[Condition Adj]]*Inventory[[#This Row],[Living Area Adj]]*Inventory[[#This Row],[Decade Adj]]*0.95</f>
        <v>0.91895873710932319</v>
      </c>
      <c r="BN323" s="25">
        <f>ROUND(SUM(Inventory[[#This Row],[Mdl Qlty]:[Mdl WdDeck]])+Inventory[[#This Row],[Mdl Res Intercept]]*Inventory[[#This Row],[Res Adj ]],-2)</f>
        <v>352800</v>
      </c>
      <c r="BO323" s="25">
        <f>ROUND(Inventory[[#This Row],[25Det]]*Inventory[[#This Row],[Det/Nbhd Adj]],-2)</f>
        <v>0</v>
      </c>
      <c r="BP323" s="25">
        <f>Inventory[[#This Row],[Adjusted Res]]+Inventory[[#This Row],[Adj Det ]]</f>
        <v>352800</v>
      </c>
      <c r="BQ323" s="25">
        <f>ROUND((Inventory[[#This Row],[Mdl Land Intercept]]+Inventory[[#This Row],[Mdl LnAcres]])*Inventory[[#This Row],[Det/Nbhd Adj]],-2)</f>
        <v>48100</v>
      </c>
      <c r="BR323" s="25">
        <f>Inventory[[#This Row],[Adjusted Impr Total]]+Inventory[[#This Row],[Adjusted Land Total]]</f>
        <v>400900</v>
      </c>
      <c r="BS323" s="36">
        <f>IFERROR((Inventory[[#This Row],[Adjusted Impr Total]]-Inventory[[#This Row],[24Bldg]])/Inventory[[#This Row],[24Bldg]],0)</f>
        <v>0.16243822075782538</v>
      </c>
      <c r="BT323" s="36">
        <f>(Inventory[[#This Row],[Adjusted Land Total]]-Inventory[[#This Row],[24Lnd]])/Inventory[[#This Row],[24Lnd]]</f>
        <v>-0.32633053221288516</v>
      </c>
      <c r="BU323" s="36">
        <f>(Inventory[[#This Row],[Adjusted Total]]-Inventory[[#This Row],[24Final]])/Inventory[[#This Row],[24Final]]</f>
        <v>6.9351827153907711E-2</v>
      </c>
    </row>
    <row r="324" spans="1:73" x14ac:dyDescent="0.3">
      <c r="A324" s="25">
        <v>2025</v>
      </c>
      <c r="B324" s="26" t="s">
        <v>1774</v>
      </c>
      <c r="C324" s="26">
        <f>LN(Inventory[[#This Row],[Acres]])</f>
        <v>-1.9661128563728327</v>
      </c>
      <c r="D324" s="25">
        <v>0.14000000000000001</v>
      </c>
      <c r="E324" s="25">
        <v>5994</v>
      </c>
      <c r="F324" s="26" t="s">
        <v>537</v>
      </c>
      <c r="G324" s="26" t="s">
        <v>126</v>
      </c>
      <c r="H324" s="26" t="s">
        <v>349</v>
      </c>
      <c r="I324" s="26" t="s">
        <v>538</v>
      </c>
      <c r="J324" s="26" t="s">
        <v>539</v>
      </c>
      <c r="K324" s="26" t="s">
        <v>241</v>
      </c>
      <c r="L324" s="26" t="s">
        <v>351</v>
      </c>
      <c r="M324" s="26" t="s">
        <v>206</v>
      </c>
      <c r="N324" s="26">
        <v>60</v>
      </c>
      <c r="O324" s="26">
        <f>2024-Inventory[[#This Row],[YrBlt]]</f>
        <v>59</v>
      </c>
      <c r="P324" s="26">
        <f>2024-Inventory[[#This Row],[EffYr]]</f>
        <v>48</v>
      </c>
      <c r="Q324" s="25">
        <v>1965</v>
      </c>
      <c r="R324" s="25">
        <v>1976</v>
      </c>
      <c r="S324" s="25">
        <v>1472</v>
      </c>
      <c r="T324" s="27"/>
      <c r="U324" s="31"/>
      <c r="V324" s="31">
        <f>Inventory[[#This Row],[Bsmt]]-Inventory[[#This Row],[FnBsmt]]</f>
        <v>0</v>
      </c>
      <c r="W324" s="31"/>
      <c r="X324" s="27"/>
      <c r="Y324" s="27">
        <f>Inventory[[#This Row],[MainFn]]+Inventory[[#This Row],[UpprFn]]+Inventory[[#This Row],[FnBsmt]]+Inventory[[#This Row],[AddFn]]</f>
        <v>1472</v>
      </c>
      <c r="Z324" s="27">
        <v>1500</v>
      </c>
      <c r="AA324" s="25">
        <v>8</v>
      </c>
      <c r="AB324" s="32">
        <v>264</v>
      </c>
      <c r="AC324" s="27"/>
      <c r="AD324" s="27"/>
      <c r="AE324" s="27"/>
      <c r="AF324" s="27"/>
      <c r="AG324" s="27"/>
      <c r="AH324" s="27"/>
      <c r="AI324" s="25">
        <v>251544</v>
      </c>
      <c r="AJ324" s="25">
        <v>178596</v>
      </c>
      <c r="AK324" s="25">
        <v>0</v>
      </c>
      <c r="AL324" s="25">
        <v>257600</v>
      </c>
      <c r="AM324" s="25">
        <v>46000</v>
      </c>
      <c r="AN324" s="25">
        <v>211600</v>
      </c>
      <c r="AO324" s="25">
        <v>0</v>
      </c>
      <c r="AP324" s="25">
        <f>Lookups!$B$56*0</f>
        <v>0</v>
      </c>
      <c r="AQ324" s="25">
        <f>Lookups!$B$56*1</f>
        <v>89850.625589999996</v>
      </c>
      <c r="AR324" s="25">
        <f>Lookups!$B$57*Inventory[[#This Row],[LnAcres]]</f>
        <v>-62236.546971921947</v>
      </c>
      <c r="AS324" s="25">
        <f>VLOOKUP(Inventory[[#This Row],[Qlty]],Lookups!$A$62:$E$75,2,FALSE)</f>
        <v>21557.329055999999</v>
      </c>
      <c r="AT324" s="25">
        <f>VLOOKUP(Inventory[[#This Row],[Cnd]],Lookups!$A$76:$E$84,2,FALSE)</f>
        <v>133714.53821</v>
      </c>
      <c r="AU324" s="25">
        <f>Inventory[[#This Row],[EffAge]]*Lookups!$B$85</f>
        <v>-10706.188824000001</v>
      </c>
      <c r="AV324" s="25">
        <f>Inventory[[#This Row],[MainFn]]*Lookups!$B$86</f>
        <v>72729.562058944008</v>
      </c>
      <c r="AW324" s="25">
        <f>Inventory[[#This Row],[UpprFn]]*Lookups!$B$87</f>
        <v>0</v>
      </c>
      <c r="AX324" s="25">
        <f>Inventory[[#This Row],[AddFn]]*Lookups!$B$88</f>
        <v>0</v>
      </c>
      <c r="AY324" s="25">
        <f>Inventory[[#This Row],[Bsmt]]*Lookups!$B$89</f>
        <v>0</v>
      </c>
      <c r="AZ324" s="25">
        <f>Inventory[[#This Row],[Fixtures]]*Lookups!$B$90</f>
        <v>30336.176841600001</v>
      </c>
      <c r="BA324" s="25">
        <f>Inventory[[#This Row],[WdDeck]]*Lookups!$B$91</f>
        <v>0</v>
      </c>
      <c r="BB324" s="25">
        <f>ROUND(Inventory[[#This Row],[25Det]],-2)</f>
        <v>0</v>
      </c>
      <c r="BC324" s="25">
        <f>ROUND(SUM(Inventory[[#This Row],[Mdl Qlty]:[Mdl WdDeck]])+Inventory[[#This Row],[Mdl Res Intercept]],-2)</f>
        <v>247600</v>
      </c>
      <c r="BD324" s="25">
        <f>ROUND(Inventory[[#This Row],[Mdl Land Intercept]]+Inventory[[#This Row],[Mdl LnAcres]],-2)</f>
        <v>27600</v>
      </c>
      <c r="BE324" s="25">
        <f>Inventory[[#This Row],[Unadj Res Value]]+Inventory[[#This Row],[Unadj Det Value]]+Inventory[[#This Row],[Unadj Land Value]]</f>
        <v>275200</v>
      </c>
      <c r="BF324" s="36">
        <f>(Inventory[[#This Row],[Unadj Total Value]]-Inventory[[#This Row],[24Final]])/Inventory[[#This Row],[24Final]]</f>
        <v>6.8322981366459631E-2</v>
      </c>
      <c r="BG324" s="25">
        <f>VLOOKUP(Inventory[[#This Row],[Nbhd]],Lookups!$Q$2:$T$4,4,FALSE)</f>
        <v>0.99970000000000003</v>
      </c>
      <c r="BH324" s="25">
        <f>VLOOKUP(Inventory[[#This Row],[Qlty]],Lookups!$O$7:$R$21,4,FALSE)</f>
        <v>1.0067999999999999</v>
      </c>
      <c r="BI324" s="25">
        <f>VLOOKUP(Inventory[[#This Row],[Cnd]],Lookups!$T$7:$W$16,4,FALSE)</f>
        <v>0.99329999999999996</v>
      </c>
      <c r="BJ324" s="25">
        <f>VLOOKUP(Inventory[[#This Row],[LivArea Range]],Lookups!$T$25:$W$37,4,FALSE)</f>
        <v>1.0157</v>
      </c>
      <c r="BK324" s="25">
        <f>VLOOKUP(Inventory[[#This Row],[Decade]],Lookups!$O$25:$R$42,4,FALSE)</f>
        <v>0.98119999999999996</v>
      </c>
      <c r="BL324" s="25">
        <f>Inventory[[#This Row],[Nbhd Adj]]*0.95</f>
        <v>0.94971499999999998</v>
      </c>
      <c r="BM324" s="25">
        <f>Inventory[[#This Row],[Nbhd Adj]]*Inventory[[#This Row],[Quality Adj]]*Inventory[[#This Row],[Condition Adj]]*Inventory[[#This Row],[Living Area Adj]]*Inventory[[#This Row],[Decade Adj]]*0.95</f>
        <v>0.94654209256699229</v>
      </c>
      <c r="BN324" s="25">
        <f>ROUND(SUM(Inventory[[#This Row],[Mdl Qlty]:[Mdl WdDeck]])+Inventory[[#This Row],[Mdl Res Intercept]]*Inventory[[#This Row],[Res Adj ]],-2)</f>
        <v>247600</v>
      </c>
      <c r="BO324" s="25">
        <f>ROUND(Inventory[[#This Row],[25Det]]*Inventory[[#This Row],[Det/Nbhd Adj]],-2)</f>
        <v>0</v>
      </c>
      <c r="BP324" s="25">
        <f>Inventory[[#This Row],[Adjusted Res]]+Inventory[[#This Row],[Adj Det ]]</f>
        <v>247600</v>
      </c>
      <c r="BQ324" s="25">
        <f>ROUND((Inventory[[#This Row],[Mdl Land Intercept]]+Inventory[[#This Row],[Mdl LnAcres]])*Inventory[[#This Row],[Det/Nbhd Adj]],-2)</f>
        <v>26200</v>
      </c>
      <c r="BR324" s="25">
        <f>Inventory[[#This Row],[Adjusted Impr Total]]+Inventory[[#This Row],[Adjusted Land Total]]</f>
        <v>273800</v>
      </c>
      <c r="BS324" s="36">
        <f>IFERROR((Inventory[[#This Row],[Adjusted Impr Total]]-Inventory[[#This Row],[24Bldg]])/Inventory[[#This Row],[24Bldg]],0)</f>
        <v>0.17013232514177692</v>
      </c>
      <c r="BT324" s="36">
        <f>(Inventory[[#This Row],[Adjusted Land Total]]-Inventory[[#This Row],[24Lnd]])/Inventory[[#This Row],[24Lnd]]</f>
        <v>-0.43043478260869567</v>
      </c>
      <c r="BU324" s="36">
        <f>(Inventory[[#This Row],[Adjusted Total]]-Inventory[[#This Row],[24Final]])/Inventory[[#This Row],[24Final]]</f>
        <v>6.2888198757763969E-2</v>
      </c>
    </row>
    <row r="325" spans="1:73" x14ac:dyDescent="0.3">
      <c r="A325" s="25">
        <v>2025</v>
      </c>
      <c r="B325" s="26" t="s">
        <v>1174</v>
      </c>
      <c r="C325" s="26">
        <f>LN(Inventory[[#This Row],[Acres]])</f>
        <v>-1.7147984280919266</v>
      </c>
      <c r="D325" s="25">
        <v>0.18</v>
      </c>
      <c r="E325" s="31"/>
      <c r="F325" s="26" t="s">
        <v>537</v>
      </c>
      <c r="G325" s="26" t="s">
        <v>126</v>
      </c>
      <c r="H325" s="26" t="s">
        <v>349</v>
      </c>
      <c r="I325" s="26" t="s">
        <v>538</v>
      </c>
      <c r="J325" s="26" t="s">
        <v>539</v>
      </c>
      <c r="K325" s="26" t="s">
        <v>350</v>
      </c>
      <c r="L325" s="26" t="s">
        <v>302</v>
      </c>
      <c r="M325" s="26" t="s">
        <v>303</v>
      </c>
      <c r="N325" s="26">
        <v>60</v>
      </c>
      <c r="O325" s="26">
        <f>2024-Inventory[[#This Row],[YrBlt]]</f>
        <v>59</v>
      </c>
      <c r="P325" s="26">
        <f>2024-Inventory[[#This Row],[EffYr]]</f>
        <v>48</v>
      </c>
      <c r="Q325" s="25">
        <v>1965</v>
      </c>
      <c r="R325" s="25">
        <v>1976</v>
      </c>
      <c r="S325" s="25">
        <v>1152</v>
      </c>
      <c r="T325" s="27"/>
      <c r="U325" s="25">
        <v>624</v>
      </c>
      <c r="V325" s="32">
        <f>Inventory[[#This Row],[Bsmt]]-Inventory[[#This Row],[FnBsmt]]</f>
        <v>0</v>
      </c>
      <c r="W325" s="32">
        <v>624</v>
      </c>
      <c r="X325" s="27"/>
      <c r="Y325" s="27">
        <f>Inventory[[#This Row],[MainFn]]+Inventory[[#This Row],[UpprFn]]+Inventory[[#This Row],[FnBsmt]]+Inventory[[#This Row],[AddFn]]</f>
        <v>1776</v>
      </c>
      <c r="Z325" s="27">
        <v>2000</v>
      </c>
      <c r="AA325" s="25">
        <v>9</v>
      </c>
      <c r="AB325" s="32">
        <v>528</v>
      </c>
      <c r="AC325" s="27"/>
      <c r="AD325" s="31"/>
      <c r="AE325" s="27"/>
      <c r="AF325" s="27"/>
      <c r="AG325" s="27"/>
      <c r="AH325" s="27"/>
      <c r="AI325" s="25">
        <v>345902</v>
      </c>
      <c r="AJ325" s="25">
        <v>252508</v>
      </c>
      <c r="AK325" s="25">
        <v>0</v>
      </c>
      <c r="AL325" s="25">
        <v>340800</v>
      </c>
      <c r="AM325" s="25">
        <v>54700</v>
      </c>
      <c r="AN325" s="25">
        <v>286100</v>
      </c>
      <c r="AO325" s="25">
        <v>0</v>
      </c>
      <c r="AP325" s="25">
        <f>Lookups!$B$56*0</f>
        <v>0</v>
      </c>
      <c r="AQ325" s="25">
        <f>Lookups!$B$56*1</f>
        <v>89850.625589999996</v>
      </c>
      <c r="AR325" s="25">
        <f>Lookups!$B$57*Inventory[[#This Row],[LnAcres]]</f>
        <v>-54281.285314520763</v>
      </c>
      <c r="AS325" s="25">
        <f>VLOOKUP(Inventory[[#This Row],[Qlty]],Lookups!$A$62:$E$75,2,FALSE)</f>
        <v>29814.093161000001</v>
      </c>
      <c r="AT325" s="25">
        <f>VLOOKUP(Inventory[[#This Row],[Cnd]],Lookups!$A$76:$E$84,2,FALSE)</f>
        <v>197752.34721000001</v>
      </c>
      <c r="AU325" s="25">
        <f>Inventory[[#This Row],[EffAge]]*Lookups!$B$85</f>
        <v>-10706.188824000001</v>
      </c>
      <c r="AV325" s="25">
        <f>Inventory[[#This Row],[MainFn]]*Lookups!$B$86</f>
        <v>56918.787698304004</v>
      </c>
      <c r="AW325" s="25">
        <f>Inventory[[#This Row],[UpprFn]]*Lookups!$B$87</f>
        <v>0</v>
      </c>
      <c r="AX325" s="25">
        <f>Inventory[[#This Row],[AddFn]]*Lookups!$B$88</f>
        <v>0</v>
      </c>
      <c r="AY325" s="25">
        <f>Inventory[[#This Row],[Bsmt]]*Lookups!$B$89</f>
        <v>18147.102634127998</v>
      </c>
      <c r="AZ325" s="25">
        <f>Inventory[[#This Row],[Fixtures]]*Lookups!$B$90</f>
        <v>34128.198946800003</v>
      </c>
      <c r="BA325" s="25">
        <f>Inventory[[#This Row],[WdDeck]]*Lookups!$B$91</f>
        <v>0</v>
      </c>
      <c r="BB325" s="25">
        <f>ROUND(Inventory[[#This Row],[25Det]],-2)</f>
        <v>0</v>
      </c>
      <c r="BC325" s="25">
        <f>ROUND(SUM(Inventory[[#This Row],[Mdl Qlty]:[Mdl WdDeck]])+Inventory[[#This Row],[Mdl Res Intercept]],-2)</f>
        <v>326100</v>
      </c>
      <c r="BD325" s="25">
        <f>ROUND(Inventory[[#This Row],[Mdl Land Intercept]]+Inventory[[#This Row],[Mdl LnAcres]],-2)</f>
        <v>35600</v>
      </c>
      <c r="BE325" s="25">
        <f>Inventory[[#This Row],[Unadj Res Value]]+Inventory[[#This Row],[Unadj Det Value]]+Inventory[[#This Row],[Unadj Land Value]]</f>
        <v>361700</v>
      </c>
      <c r="BF325" s="36">
        <f>(Inventory[[#This Row],[Unadj Total Value]]-Inventory[[#This Row],[24Final]])/Inventory[[#This Row],[24Final]]</f>
        <v>6.1326291079812204E-2</v>
      </c>
      <c r="BG325" s="25">
        <f>VLOOKUP(Inventory[[#This Row],[Nbhd]],Lookups!$Q$2:$T$4,4,FALSE)</f>
        <v>0.99970000000000003</v>
      </c>
      <c r="BH325" s="25">
        <f>VLOOKUP(Inventory[[#This Row],[Qlty]],Lookups!$O$7:$R$21,4,FALSE)</f>
        <v>1.0088999999999999</v>
      </c>
      <c r="BI325" s="25">
        <f>VLOOKUP(Inventory[[#This Row],[Cnd]],Lookups!$T$7:$W$16,4,FALSE)</f>
        <v>0.99650000000000005</v>
      </c>
      <c r="BJ325" s="25">
        <f>VLOOKUP(Inventory[[#This Row],[LivArea Range]],Lookups!$T$25:$W$37,4,FALSE)</f>
        <v>1.0093000000000001</v>
      </c>
      <c r="BK325" s="25">
        <f>VLOOKUP(Inventory[[#This Row],[Decade]],Lookups!$O$25:$R$42,4,FALSE)</f>
        <v>0.98119999999999996</v>
      </c>
      <c r="BL325" s="25">
        <f>Inventory[[#This Row],[Nbhd Adj]]*0.95</f>
        <v>0.94971499999999998</v>
      </c>
      <c r="BM325" s="25">
        <f>Inventory[[#This Row],[Nbhd Adj]]*Inventory[[#This Row],[Quality Adj]]*Inventory[[#This Row],[Condition Adj]]*Inventory[[#This Row],[Living Area Adj]]*Inventory[[#This Row],[Decade Adj]]*0.95</f>
        <v>0.94557620588434055</v>
      </c>
      <c r="BN325" s="25">
        <f>ROUND(SUM(Inventory[[#This Row],[Mdl Qlty]:[Mdl WdDeck]])+Inventory[[#This Row],[Mdl Res Intercept]]*Inventory[[#This Row],[Res Adj ]],-2)</f>
        <v>326100</v>
      </c>
      <c r="BO325" s="25">
        <f>ROUND(Inventory[[#This Row],[25Det]]*Inventory[[#This Row],[Det/Nbhd Adj]],-2)</f>
        <v>0</v>
      </c>
      <c r="BP325" s="25">
        <f>Inventory[[#This Row],[Adjusted Res]]+Inventory[[#This Row],[Adj Det ]]</f>
        <v>326100</v>
      </c>
      <c r="BQ325" s="25">
        <f>ROUND((Inventory[[#This Row],[Mdl Land Intercept]]+Inventory[[#This Row],[Mdl LnAcres]])*Inventory[[#This Row],[Det/Nbhd Adj]],-2)</f>
        <v>33800</v>
      </c>
      <c r="BR325" s="25">
        <f>Inventory[[#This Row],[Adjusted Impr Total]]+Inventory[[#This Row],[Adjusted Land Total]]</f>
        <v>359900</v>
      </c>
      <c r="BS325" s="36">
        <f>IFERROR((Inventory[[#This Row],[Adjusted Impr Total]]-Inventory[[#This Row],[24Bldg]])/Inventory[[#This Row],[24Bldg]],0)</f>
        <v>0.13981125480601189</v>
      </c>
      <c r="BT325" s="36">
        <f>(Inventory[[#This Row],[Adjusted Land Total]]-Inventory[[#This Row],[24Lnd]])/Inventory[[#This Row],[24Lnd]]</f>
        <v>-0.38208409506398539</v>
      </c>
      <c r="BU325" s="36">
        <f>(Inventory[[#This Row],[Adjusted Total]]-Inventory[[#This Row],[24Final]])/Inventory[[#This Row],[24Final]]</f>
        <v>5.6044600938967133E-2</v>
      </c>
    </row>
    <row r="326" spans="1:73" x14ac:dyDescent="0.3">
      <c r="A326" s="25">
        <v>2025</v>
      </c>
      <c r="B326" s="26" t="s">
        <v>1011</v>
      </c>
      <c r="C326" s="26">
        <f>LN(Inventory[[#This Row],[Acres]])</f>
        <v>-1.3470736479666092</v>
      </c>
      <c r="D326" s="25">
        <v>0.26</v>
      </c>
      <c r="E326" s="25">
        <v>11294</v>
      </c>
      <c r="F326" s="26" t="s">
        <v>537</v>
      </c>
      <c r="G326" s="26" t="s">
        <v>126</v>
      </c>
      <c r="H326" s="26" t="s">
        <v>349</v>
      </c>
      <c r="I326" s="26" t="s">
        <v>538</v>
      </c>
      <c r="J326" s="26" t="s">
        <v>539</v>
      </c>
      <c r="K326" s="26" t="s">
        <v>241</v>
      </c>
      <c r="L326" s="26" t="s">
        <v>148</v>
      </c>
      <c r="M326" s="26" t="s">
        <v>303</v>
      </c>
      <c r="N326" s="26">
        <v>60</v>
      </c>
      <c r="O326" s="26">
        <f>2024-Inventory[[#This Row],[YrBlt]]</f>
        <v>59</v>
      </c>
      <c r="P326" s="26">
        <f>2024-Inventory[[#This Row],[EffYr]]</f>
        <v>48</v>
      </c>
      <c r="Q326" s="25">
        <v>1965</v>
      </c>
      <c r="R326" s="25">
        <v>1976</v>
      </c>
      <c r="S326" s="25">
        <v>2088</v>
      </c>
      <c r="T326" s="27"/>
      <c r="U326" s="31"/>
      <c r="V326" s="27">
        <f>Inventory[[#This Row],[Bsmt]]-Inventory[[#This Row],[FnBsmt]]</f>
        <v>0</v>
      </c>
      <c r="W326" s="27"/>
      <c r="X326" s="27"/>
      <c r="Y326" s="27">
        <f>Inventory[[#This Row],[MainFn]]+Inventory[[#This Row],[UpprFn]]+Inventory[[#This Row],[FnBsmt]]+Inventory[[#This Row],[AddFn]]</f>
        <v>2088</v>
      </c>
      <c r="Z326" s="27">
        <v>2500</v>
      </c>
      <c r="AA326" s="25">
        <v>8</v>
      </c>
      <c r="AB326" s="25">
        <v>528</v>
      </c>
      <c r="AC326" s="27"/>
      <c r="AD326" s="27"/>
      <c r="AE326" s="27"/>
      <c r="AF326" s="27"/>
      <c r="AG326" s="27"/>
      <c r="AH326" s="27"/>
      <c r="AI326" s="25">
        <v>447259</v>
      </c>
      <c r="AJ326" s="25">
        <v>326499</v>
      </c>
      <c r="AK326" s="25">
        <v>0</v>
      </c>
      <c r="AL326" s="25">
        <v>388000</v>
      </c>
      <c r="AM326" s="25">
        <v>67600</v>
      </c>
      <c r="AN326" s="25">
        <v>320400</v>
      </c>
      <c r="AO326" s="25">
        <v>0</v>
      </c>
      <c r="AP326" s="25">
        <f>Lookups!$B$56*0</f>
        <v>0</v>
      </c>
      <c r="AQ326" s="25">
        <f>Lookups!$B$56*1</f>
        <v>89850.625589999996</v>
      </c>
      <c r="AR326" s="25">
        <f>Lookups!$B$57*Inventory[[#This Row],[LnAcres]]</f>
        <v>-42641.098701210125</v>
      </c>
      <c r="AS326" s="25">
        <f>VLOOKUP(Inventory[[#This Row],[Qlty]],Lookups!$A$62:$E$75,2,FALSE)</f>
        <v>44121.038090000002</v>
      </c>
      <c r="AT326" s="25">
        <f>VLOOKUP(Inventory[[#This Row],[Cnd]],Lookups!$A$76:$E$84,2,FALSE)</f>
        <v>197752.34721000001</v>
      </c>
      <c r="AU326" s="25">
        <f>Inventory[[#This Row],[EffAge]]*Lookups!$B$85</f>
        <v>-10706.188824000001</v>
      </c>
      <c r="AV326" s="25">
        <f>Inventory[[#This Row],[MainFn]]*Lookups!$B$86</f>
        <v>103165.302703176</v>
      </c>
      <c r="AW326" s="25">
        <f>Inventory[[#This Row],[UpprFn]]*Lookups!$B$87</f>
        <v>0</v>
      </c>
      <c r="AX326" s="25">
        <f>Inventory[[#This Row],[AddFn]]*Lookups!$B$88</f>
        <v>0</v>
      </c>
      <c r="AY326" s="25">
        <f>Inventory[[#This Row],[Bsmt]]*Lookups!$B$89</f>
        <v>0</v>
      </c>
      <c r="AZ326" s="25">
        <f>Inventory[[#This Row],[Fixtures]]*Lookups!$B$90</f>
        <v>30336.176841600001</v>
      </c>
      <c r="BA326" s="25">
        <f>Inventory[[#This Row],[WdDeck]]*Lookups!$B$91</f>
        <v>0</v>
      </c>
      <c r="BB326" s="25">
        <f>ROUND(Inventory[[#This Row],[25Det]],-2)</f>
        <v>0</v>
      </c>
      <c r="BC326" s="25">
        <f>ROUND(SUM(Inventory[[#This Row],[Mdl Qlty]:[Mdl WdDeck]])+Inventory[[#This Row],[Mdl Res Intercept]],-2)</f>
        <v>364700</v>
      </c>
      <c r="BD326" s="25">
        <f>ROUND(Inventory[[#This Row],[Mdl Land Intercept]]+Inventory[[#This Row],[Mdl LnAcres]],-2)</f>
        <v>47200</v>
      </c>
      <c r="BE326" s="25">
        <f>Inventory[[#This Row],[Unadj Res Value]]+Inventory[[#This Row],[Unadj Det Value]]+Inventory[[#This Row],[Unadj Land Value]]</f>
        <v>411900</v>
      </c>
      <c r="BF326" s="36">
        <f>(Inventory[[#This Row],[Unadj Total Value]]-Inventory[[#This Row],[24Final]])/Inventory[[#This Row],[24Final]]</f>
        <v>6.15979381443299E-2</v>
      </c>
      <c r="BG326" s="25">
        <f>VLOOKUP(Inventory[[#This Row],[Nbhd]],Lookups!$Q$2:$T$4,4,FALSE)</f>
        <v>0.99970000000000003</v>
      </c>
      <c r="BH326" s="25">
        <f>VLOOKUP(Inventory[[#This Row],[Qlty]],Lookups!$O$7:$R$21,4,FALSE)</f>
        <v>0.98050000000000004</v>
      </c>
      <c r="BI326" s="25">
        <f>VLOOKUP(Inventory[[#This Row],[Cnd]],Lookups!$T$7:$W$16,4,FALSE)</f>
        <v>0.99650000000000005</v>
      </c>
      <c r="BJ326" s="25">
        <f>VLOOKUP(Inventory[[#This Row],[LivArea Range]],Lookups!$T$25:$W$37,4,FALSE)</f>
        <v>0.98919999999999997</v>
      </c>
      <c r="BK326" s="25">
        <f>VLOOKUP(Inventory[[#This Row],[Decade]],Lookups!$O$25:$R$42,4,FALSE)</f>
        <v>0.98119999999999996</v>
      </c>
      <c r="BL326" s="25">
        <f>Inventory[[#This Row],[Nbhd Adj]]*0.95</f>
        <v>0.94971499999999998</v>
      </c>
      <c r="BM326" s="25">
        <f>Inventory[[#This Row],[Nbhd Adj]]*Inventory[[#This Row],[Quality Adj]]*Inventory[[#This Row],[Condition Adj]]*Inventory[[#This Row],[Living Area Adj]]*Inventory[[#This Row],[Decade Adj]]*0.95</f>
        <v>0.90065786460769082</v>
      </c>
      <c r="BN326" s="25">
        <f>ROUND(SUM(Inventory[[#This Row],[Mdl Qlty]:[Mdl WdDeck]])+Inventory[[#This Row],[Mdl Res Intercept]]*Inventory[[#This Row],[Res Adj ]],-2)</f>
        <v>364700</v>
      </c>
      <c r="BO326" s="25">
        <f>ROUND(Inventory[[#This Row],[25Det]]*Inventory[[#This Row],[Det/Nbhd Adj]],-2)</f>
        <v>0</v>
      </c>
      <c r="BP326" s="25">
        <f>Inventory[[#This Row],[Adjusted Res]]+Inventory[[#This Row],[Adj Det ]]</f>
        <v>364700</v>
      </c>
      <c r="BQ326" s="25">
        <f>ROUND((Inventory[[#This Row],[Mdl Land Intercept]]+Inventory[[#This Row],[Mdl LnAcres]])*Inventory[[#This Row],[Det/Nbhd Adj]],-2)</f>
        <v>44800</v>
      </c>
      <c r="BR326" s="25">
        <f>Inventory[[#This Row],[Adjusted Impr Total]]+Inventory[[#This Row],[Adjusted Land Total]]</f>
        <v>409500</v>
      </c>
      <c r="BS326" s="36">
        <f>IFERROR((Inventory[[#This Row],[Adjusted Impr Total]]-Inventory[[#This Row],[24Bldg]])/Inventory[[#This Row],[24Bldg]],0)</f>
        <v>0.13826466916354557</v>
      </c>
      <c r="BT326" s="36">
        <f>(Inventory[[#This Row],[Adjusted Land Total]]-Inventory[[#This Row],[24Lnd]])/Inventory[[#This Row],[24Lnd]]</f>
        <v>-0.33727810650887574</v>
      </c>
      <c r="BU326" s="36">
        <f>(Inventory[[#This Row],[Adjusted Total]]-Inventory[[#This Row],[24Final]])/Inventory[[#This Row],[24Final]]</f>
        <v>5.5412371134020616E-2</v>
      </c>
    </row>
    <row r="327" spans="1:73" x14ac:dyDescent="0.3">
      <c r="A327" s="25">
        <v>2025</v>
      </c>
      <c r="B327" s="26" t="s">
        <v>2769</v>
      </c>
      <c r="C327" s="26">
        <f>LN(Inventory[[#This Row],[Acres]])</f>
        <v>-1.5606477482646683</v>
      </c>
      <c r="D327" s="25">
        <v>0.21</v>
      </c>
      <c r="E327" s="31"/>
      <c r="F327" s="26" t="s">
        <v>537</v>
      </c>
      <c r="G327" s="26" t="s">
        <v>126</v>
      </c>
      <c r="H327" s="26" t="s">
        <v>349</v>
      </c>
      <c r="I327" s="26" t="s">
        <v>538</v>
      </c>
      <c r="J327" s="26" t="s">
        <v>539</v>
      </c>
      <c r="K327" s="26" t="s">
        <v>241</v>
      </c>
      <c r="L327" s="26" t="s">
        <v>148</v>
      </c>
      <c r="M327" s="26" t="s">
        <v>303</v>
      </c>
      <c r="N327" s="26">
        <v>60</v>
      </c>
      <c r="O327" s="26">
        <f>2024-Inventory[[#This Row],[YrBlt]]</f>
        <v>59</v>
      </c>
      <c r="P327" s="26">
        <f>2024-Inventory[[#This Row],[EffYr]]</f>
        <v>48</v>
      </c>
      <c r="Q327" s="25">
        <v>1965</v>
      </c>
      <c r="R327" s="25">
        <v>1976</v>
      </c>
      <c r="S327" s="25">
        <v>1580</v>
      </c>
      <c r="T327" s="27"/>
      <c r="U327" s="25">
        <v>968</v>
      </c>
      <c r="V327" s="25">
        <f>Inventory[[#This Row],[Bsmt]]-Inventory[[#This Row],[FnBsmt]]</f>
        <v>0</v>
      </c>
      <c r="W327" s="25">
        <v>968</v>
      </c>
      <c r="X327" s="27"/>
      <c r="Y327" s="27">
        <f>Inventory[[#This Row],[MainFn]]+Inventory[[#This Row],[UpprFn]]+Inventory[[#This Row],[FnBsmt]]+Inventory[[#This Row],[AddFn]]</f>
        <v>2548</v>
      </c>
      <c r="Z327" s="27">
        <v>3000</v>
      </c>
      <c r="AA327" s="25">
        <v>8</v>
      </c>
      <c r="AB327" s="32">
        <v>336</v>
      </c>
      <c r="AC327" s="27"/>
      <c r="AD327" s="27"/>
      <c r="AE327" s="27"/>
      <c r="AF327" s="27"/>
      <c r="AG327" s="27"/>
      <c r="AH327" s="27"/>
      <c r="AI327" s="25">
        <v>470886</v>
      </c>
      <c r="AJ327" s="25">
        <v>343747</v>
      </c>
      <c r="AK327" s="25">
        <v>28238</v>
      </c>
      <c r="AL327" s="25">
        <v>411900</v>
      </c>
      <c r="AM327" s="25">
        <v>60100</v>
      </c>
      <c r="AN327" s="25">
        <v>351800</v>
      </c>
      <c r="AO327" s="25">
        <v>0</v>
      </c>
      <c r="AP327" s="25">
        <f>Lookups!$B$56*0</f>
        <v>0</v>
      </c>
      <c r="AQ327" s="25">
        <f>Lookups!$B$56*1</f>
        <v>89850.625589999996</v>
      </c>
      <c r="AR327" s="25">
        <f>Lookups!$B$57*Inventory[[#This Row],[LnAcres]]</f>
        <v>-49401.70477837498</v>
      </c>
      <c r="AS327" s="25">
        <f>VLOOKUP(Inventory[[#This Row],[Qlty]],Lookups!$A$62:$E$75,2,FALSE)</f>
        <v>44121.038090000002</v>
      </c>
      <c r="AT327" s="25">
        <f>VLOOKUP(Inventory[[#This Row],[Cnd]],Lookups!$A$76:$E$84,2,FALSE)</f>
        <v>197752.34721000001</v>
      </c>
      <c r="AU327" s="25">
        <f>Inventory[[#This Row],[EffAge]]*Lookups!$B$85</f>
        <v>-10706.188824000001</v>
      </c>
      <c r="AV327" s="25">
        <f>Inventory[[#This Row],[MainFn]]*Lookups!$B$86</f>
        <v>78065.698405660005</v>
      </c>
      <c r="AW327" s="25">
        <f>Inventory[[#This Row],[UpprFn]]*Lookups!$B$87</f>
        <v>0</v>
      </c>
      <c r="AX327" s="25">
        <f>Inventory[[#This Row],[AddFn]]*Lookups!$B$88</f>
        <v>0</v>
      </c>
      <c r="AY327" s="25">
        <f>Inventory[[#This Row],[Bsmt]]*Lookups!$B$89</f>
        <v>28151.274599095999</v>
      </c>
      <c r="AZ327" s="25">
        <f>Inventory[[#This Row],[Fixtures]]*Lookups!$B$90</f>
        <v>30336.176841600001</v>
      </c>
      <c r="BA327" s="25">
        <f>Inventory[[#This Row],[WdDeck]]*Lookups!$B$91</f>
        <v>0</v>
      </c>
      <c r="BB327" s="25">
        <f>ROUND(Inventory[[#This Row],[25Det]],-2)</f>
        <v>28200</v>
      </c>
      <c r="BC327" s="25">
        <f>ROUND(SUM(Inventory[[#This Row],[Mdl Qlty]:[Mdl WdDeck]])+Inventory[[#This Row],[Mdl Res Intercept]],-2)</f>
        <v>367700</v>
      </c>
      <c r="BD327" s="25">
        <f>ROUND(Inventory[[#This Row],[Mdl Land Intercept]]+Inventory[[#This Row],[Mdl LnAcres]],-2)</f>
        <v>40400</v>
      </c>
      <c r="BE327" s="25">
        <f>Inventory[[#This Row],[Unadj Res Value]]+Inventory[[#This Row],[Unadj Det Value]]+Inventory[[#This Row],[Unadj Land Value]]</f>
        <v>436300</v>
      </c>
      <c r="BF327" s="36">
        <f>(Inventory[[#This Row],[Unadj Total Value]]-Inventory[[#This Row],[24Final]])/Inventory[[#This Row],[24Final]]</f>
        <v>5.9237679048312696E-2</v>
      </c>
      <c r="BG327" s="25">
        <f>VLOOKUP(Inventory[[#This Row],[Nbhd]],Lookups!$Q$2:$T$4,4,FALSE)</f>
        <v>0.99970000000000003</v>
      </c>
      <c r="BH327" s="25">
        <f>VLOOKUP(Inventory[[#This Row],[Qlty]],Lookups!$O$7:$R$21,4,FALSE)</f>
        <v>0.98050000000000004</v>
      </c>
      <c r="BI327" s="25">
        <f>VLOOKUP(Inventory[[#This Row],[Cnd]],Lookups!$T$7:$W$16,4,FALSE)</f>
        <v>0.99650000000000005</v>
      </c>
      <c r="BJ327" s="25">
        <f>VLOOKUP(Inventory[[#This Row],[LivArea Range]],Lookups!$T$25:$W$37,4,FALSE)</f>
        <v>0.96179999999999999</v>
      </c>
      <c r="BK327" s="25">
        <f>VLOOKUP(Inventory[[#This Row],[Decade]],Lookups!$O$25:$R$42,4,FALSE)</f>
        <v>0.98119999999999996</v>
      </c>
      <c r="BL327" s="25">
        <f>Inventory[[#This Row],[Nbhd Adj]]*0.95</f>
        <v>0.94971499999999998</v>
      </c>
      <c r="BM327" s="25">
        <f>Inventory[[#This Row],[Nbhd Adj]]*Inventory[[#This Row],[Quality Adj]]*Inventory[[#This Row],[Condition Adj]]*Inventory[[#This Row],[Living Area Adj]]*Inventory[[#This Row],[Decade Adj]]*0.95</f>
        <v>0.87571040657064003</v>
      </c>
      <c r="BN327" s="25">
        <f>ROUND(SUM(Inventory[[#This Row],[Mdl Qlty]:[Mdl WdDeck]])+Inventory[[#This Row],[Mdl Res Intercept]]*Inventory[[#This Row],[Res Adj ]],-2)</f>
        <v>367700</v>
      </c>
      <c r="BO327" s="25">
        <f>ROUND(Inventory[[#This Row],[25Det]]*Inventory[[#This Row],[Det/Nbhd Adj]],-2)</f>
        <v>26800</v>
      </c>
      <c r="BP327" s="25">
        <f>Inventory[[#This Row],[Adjusted Res]]+Inventory[[#This Row],[Adj Det ]]</f>
        <v>394500</v>
      </c>
      <c r="BQ327" s="25">
        <f>ROUND((Inventory[[#This Row],[Mdl Land Intercept]]+Inventory[[#This Row],[Mdl LnAcres]])*Inventory[[#This Row],[Det/Nbhd Adj]],-2)</f>
        <v>38400</v>
      </c>
      <c r="BR327" s="25">
        <f>Inventory[[#This Row],[Adjusted Impr Total]]+Inventory[[#This Row],[Adjusted Land Total]]</f>
        <v>432900</v>
      </c>
      <c r="BS327" s="36">
        <f>IFERROR((Inventory[[#This Row],[Adjusted Impr Total]]-Inventory[[#This Row],[24Bldg]])/Inventory[[#This Row],[24Bldg]],0)</f>
        <v>0.1213757816941444</v>
      </c>
      <c r="BT327" s="36">
        <f>(Inventory[[#This Row],[Adjusted Land Total]]-Inventory[[#This Row],[24Lnd]])/Inventory[[#This Row],[24Lnd]]</f>
        <v>-0.36106489184692181</v>
      </c>
      <c r="BU327" s="36">
        <f>(Inventory[[#This Row],[Adjusted Total]]-Inventory[[#This Row],[24Final]])/Inventory[[#This Row],[24Final]]</f>
        <v>5.0983248361252731E-2</v>
      </c>
    </row>
    <row r="328" spans="1:73" x14ac:dyDescent="0.3">
      <c r="A328" s="25">
        <v>2025</v>
      </c>
      <c r="B328" s="26" t="s">
        <v>1352</v>
      </c>
      <c r="C328" s="26">
        <f>LN(Inventory[[#This Row],[Acres]])</f>
        <v>-1.5141277326297755</v>
      </c>
      <c r="D328" s="25">
        <v>0.22</v>
      </c>
      <c r="E328" s="25">
        <v>9459</v>
      </c>
      <c r="F328" s="26" t="s">
        <v>537</v>
      </c>
      <c r="G328" s="26" t="s">
        <v>126</v>
      </c>
      <c r="H328" s="26" t="s">
        <v>349</v>
      </c>
      <c r="I328" s="26" t="s">
        <v>538</v>
      </c>
      <c r="J328" s="26" t="s">
        <v>539</v>
      </c>
      <c r="K328" s="26" t="s">
        <v>350</v>
      </c>
      <c r="L328" s="26" t="s">
        <v>302</v>
      </c>
      <c r="M328" s="26" t="s">
        <v>303</v>
      </c>
      <c r="N328" s="26">
        <v>60</v>
      </c>
      <c r="O328" s="26">
        <f>2024-Inventory[[#This Row],[YrBlt]]</f>
        <v>59</v>
      </c>
      <c r="P328" s="26">
        <f>2024-Inventory[[#This Row],[EffYr]]</f>
        <v>48</v>
      </c>
      <c r="Q328" s="25">
        <v>1965</v>
      </c>
      <c r="R328" s="25">
        <v>1976</v>
      </c>
      <c r="S328" s="25">
        <v>1488</v>
      </c>
      <c r="T328" s="31"/>
      <c r="U328" s="25">
        <v>912</v>
      </c>
      <c r="V328" s="32">
        <f>Inventory[[#This Row],[Bsmt]]-Inventory[[#This Row],[FnBsmt]]</f>
        <v>0</v>
      </c>
      <c r="W328" s="32">
        <v>912</v>
      </c>
      <c r="X328" s="27"/>
      <c r="Y328" s="27">
        <f>Inventory[[#This Row],[MainFn]]+Inventory[[#This Row],[UpprFn]]+Inventory[[#This Row],[FnBsmt]]+Inventory[[#This Row],[AddFn]]</f>
        <v>2400</v>
      </c>
      <c r="Z328" s="27">
        <v>2500</v>
      </c>
      <c r="AA328" s="25">
        <v>8</v>
      </c>
      <c r="AB328" s="27"/>
      <c r="AC328" s="27"/>
      <c r="AD328" s="31"/>
      <c r="AE328" s="27"/>
      <c r="AF328" s="27"/>
      <c r="AG328" s="27"/>
      <c r="AH328" s="27"/>
      <c r="AI328" s="25">
        <v>387560</v>
      </c>
      <c r="AJ328" s="25">
        <v>282919</v>
      </c>
      <c r="AK328" s="25">
        <v>18746</v>
      </c>
      <c r="AL328" s="25">
        <v>385400</v>
      </c>
      <c r="AM328" s="25">
        <v>61700</v>
      </c>
      <c r="AN328" s="25">
        <v>323700</v>
      </c>
      <c r="AO328" s="25">
        <v>0</v>
      </c>
      <c r="AP328" s="25">
        <f>Lookups!$B$56*0</f>
        <v>0</v>
      </c>
      <c r="AQ328" s="25">
        <f>Lookups!$B$56*1</f>
        <v>89850.625589999996</v>
      </c>
      <c r="AR328" s="25">
        <f>Lookups!$B$57*Inventory[[#This Row],[LnAcres]]</f>
        <v>-47929.131559187132</v>
      </c>
      <c r="AS328" s="25">
        <f>VLOOKUP(Inventory[[#This Row],[Qlty]],Lookups!$A$62:$E$75,2,FALSE)</f>
        <v>29814.093161000001</v>
      </c>
      <c r="AT328" s="25">
        <f>VLOOKUP(Inventory[[#This Row],[Cnd]],Lookups!$A$76:$E$84,2,FALSE)</f>
        <v>197752.34721000001</v>
      </c>
      <c r="AU328" s="25">
        <f>Inventory[[#This Row],[EffAge]]*Lookups!$B$85</f>
        <v>-10706.188824000001</v>
      </c>
      <c r="AV328" s="25">
        <f>Inventory[[#This Row],[MainFn]]*Lookups!$B$86</f>
        <v>73520.100776976004</v>
      </c>
      <c r="AW328" s="25">
        <f>Inventory[[#This Row],[UpprFn]]*Lookups!$B$87</f>
        <v>0</v>
      </c>
      <c r="AX328" s="25">
        <f>Inventory[[#This Row],[AddFn]]*Lookups!$B$88</f>
        <v>0</v>
      </c>
      <c r="AY328" s="25">
        <f>Inventory[[#This Row],[Bsmt]]*Lookups!$B$89</f>
        <v>26522.688465264</v>
      </c>
      <c r="AZ328" s="25">
        <f>Inventory[[#This Row],[Fixtures]]*Lookups!$B$90</f>
        <v>30336.176841600001</v>
      </c>
      <c r="BA328" s="25">
        <f>Inventory[[#This Row],[WdDeck]]*Lookups!$B$91</f>
        <v>0</v>
      </c>
      <c r="BB328" s="25">
        <f>ROUND(Inventory[[#This Row],[25Det]],-2)</f>
        <v>18700</v>
      </c>
      <c r="BC328" s="25">
        <f>ROUND(SUM(Inventory[[#This Row],[Mdl Qlty]:[Mdl WdDeck]])+Inventory[[#This Row],[Mdl Res Intercept]],-2)</f>
        <v>347200</v>
      </c>
      <c r="BD328" s="25">
        <f>ROUND(Inventory[[#This Row],[Mdl Land Intercept]]+Inventory[[#This Row],[Mdl LnAcres]],-2)</f>
        <v>41900</v>
      </c>
      <c r="BE328" s="25">
        <f>Inventory[[#This Row],[Unadj Res Value]]+Inventory[[#This Row],[Unadj Det Value]]+Inventory[[#This Row],[Unadj Land Value]]</f>
        <v>407800</v>
      </c>
      <c r="BF328" s="36">
        <f>(Inventory[[#This Row],[Unadj Total Value]]-Inventory[[#This Row],[24Final]])/Inventory[[#This Row],[24Final]]</f>
        <v>5.8121432278152571E-2</v>
      </c>
      <c r="BG328" s="25">
        <f>VLOOKUP(Inventory[[#This Row],[Nbhd]],Lookups!$Q$2:$T$4,4,FALSE)</f>
        <v>0.99970000000000003</v>
      </c>
      <c r="BH328" s="25">
        <f>VLOOKUP(Inventory[[#This Row],[Qlty]],Lookups!$O$7:$R$21,4,FALSE)</f>
        <v>1.0088999999999999</v>
      </c>
      <c r="BI328" s="25">
        <f>VLOOKUP(Inventory[[#This Row],[Cnd]],Lookups!$T$7:$W$16,4,FALSE)</f>
        <v>0.99650000000000005</v>
      </c>
      <c r="BJ328" s="25">
        <f>VLOOKUP(Inventory[[#This Row],[LivArea Range]],Lookups!$T$25:$W$37,4,FALSE)</f>
        <v>0.98919999999999997</v>
      </c>
      <c r="BK328" s="25">
        <f>VLOOKUP(Inventory[[#This Row],[Decade]],Lookups!$O$25:$R$42,4,FALSE)</f>
        <v>0.98119999999999996</v>
      </c>
      <c r="BL328" s="25">
        <f>Inventory[[#This Row],[Nbhd Adj]]*0.95</f>
        <v>0.94971499999999998</v>
      </c>
      <c r="BM328" s="25">
        <f>Inventory[[#This Row],[Nbhd Adj]]*Inventory[[#This Row],[Quality Adj]]*Inventory[[#This Row],[Condition Adj]]*Inventory[[#This Row],[Living Area Adj]]*Inventory[[#This Row],[Decade Adj]]*0.95</f>
        <v>0.92674525201703128</v>
      </c>
      <c r="BN328" s="25">
        <f>ROUND(SUM(Inventory[[#This Row],[Mdl Qlty]:[Mdl WdDeck]])+Inventory[[#This Row],[Mdl Res Intercept]]*Inventory[[#This Row],[Res Adj ]],-2)</f>
        <v>347200</v>
      </c>
      <c r="BO328" s="25">
        <f>ROUND(Inventory[[#This Row],[25Det]]*Inventory[[#This Row],[Det/Nbhd Adj]],-2)</f>
        <v>17800</v>
      </c>
      <c r="BP328" s="25">
        <f>Inventory[[#This Row],[Adjusted Res]]+Inventory[[#This Row],[Adj Det ]]</f>
        <v>365000</v>
      </c>
      <c r="BQ328" s="25">
        <f>ROUND((Inventory[[#This Row],[Mdl Land Intercept]]+Inventory[[#This Row],[Mdl LnAcres]])*Inventory[[#This Row],[Det/Nbhd Adj]],-2)</f>
        <v>39800</v>
      </c>
      <c r="BR328" s="25">
        <f>Inventory[[#This Row],[Adjusted Impr Total]]+Inventory[[#This Row],[Adjusted Land Total]]</f>
        <v>404800</v>
      </c>
      <c r="BS328" s="36">
        <f>IFERROR((Inventory[[#This Row],[Adjusted Impr Total]]-Inventory[[#This Row],[24Bldg]])/Inventory[[#This Row],[24Bldg]],0)</f>
        <v>0.12758727216558541</v>
      </c>
      <c r="BT328" s="36">
        <f>(Inventory[[#This Row],[Adjusted Land Total]]-Inventory[[#This Row],[24Lnd]])/Inventory[[#This Row],[24Lnd]]</f>
        <v>-0.35494327390599678</v>
      </c>
      <c r="BU328" s="36">
        <f>(Inventory[[#This Row],[Adjusted Total]]-Inventory[[#This Row],[24Final]])/Inventory[[#This Row],[24Final]]</f>
        <v>5.0337311883757133E-2</v>
      </c>
    </row>
    <row r="329" spans="1:73" x14ac:dyDescent="0.3">
      <c r="A329" s="25">
        <v>2025</v>
      </c>
      <c r="B329" s="26" t="s">
        <v>983</v>
      </c>
      <c r="C329" s="26">
        <f>LN(Inventory[[#This Row],[Acres]])</f>
        <v>-1.3862943611198906</v>
      </c>
      <c r="D329" s="25">
        <v>0.25</v>
      </c>
      <c r="E329" s="25">
        <v>10771</v>
      </c>
      <c r="F329" s="26" t="s">
        <v>537</v>
      </c>
      <c r="G329" s="26" t="s">
        <v>126</v>
      </c>
      <c r="H329" s="26" t="s">
        <v>349</v>
      </c>
      <c r="I329" s="26" t="s">
        <v>538</v>
      </c>
      <c r="J329" s="26" t="s">
        <v>539</v>
      </c>
      <c r="K329" s="26" t="s">
        <v>241</v>
      </c>
      <c r="L329" s="26" t="s">
        <v>148</v>
      </c>
      <c r="M329" s="26" t="s">
        <v>303</v>
      </c>
      <c r="N329" s="26">
        <v>60</v>
      </c>
      <c r="O329" s="26">
        <f>2024-Inventory[[#This Row],[YrBlt]]</f>
        <v>59</v>
      </c>
      <c r="P329" s="26">
        <f>2024-Inventory[[#This Row],[EffYr]]</f>
        <v>48</v>
      </c>
      <c r="Q329" s="25">
        <v>1965</v>
      </c>
      <c r="R329" s="25">
        <v>1976</v>
      </c>
      <c r="S329" s="25">
        <v>2053</v>
      </c>
      <c r="T329" s="27"/>
      <c r="U329" s="32">
        <v>837</v>
      </c>
      <c r="V329" s="32">
        <f>Inventory[[#This Row],[Bsmt]]-Inventory[[#This Row],[FnBsmt]]</f>
        <v>0</v>
      </c>
      <c r="W329" s="32">
        <v>837</v>
      </c>
      <c r="X329" s="27"/>
      <c r="Y329" s="27">
        <f>Inventory[[#This Row],[MainFn]]+Inventory[[#This Row],[UpprFn]]+Inventory[[#This Row],[FnBsmt]]+Inventory[[#This Row],[AddFn]]</f>
        <v>2890</v>
      </c>
      <c r="Z329" s="27">
        <v>3000</v>
      </c>
      <c r="AA329" s="25">
        <v>13</v>
      </c>
      <c r="AB329" s="25">
        <v>575</v>
      </c>
      <c r="AC329" s="27"/>
      <c r="AD329" s="32">
        <v>120</v>
      </c>
      <c r="AE329" s="27"/>
      <c r="AF329" s="27"/>
      <c r="AG329" s="27"/>
      <c r="AH329" s="27"/>
      <c r="AI329" s="25">
        <v>561051</v>
      </c>
      <c r="AJ329" s="25">
        <v>409567</v>
      </c>
      <c r="AK329" s="25">
        <v>0</v>
      </c>
      <c r="AL329" s="25">
        <v>432200</v>
      </c>
      <c r="AM329" s="25">
        <v>66200</v>
      </c>
      <c r="AN329" s="25">
        <v>366000</v>
      </c>
      <c r="AO329" s="25">
        <v>0</v>
      </c>
      <c r="AP329" s="25">
        <f>Lookups!$B$56*0</f>
        <v>0</v>
      </c>
      <c r="AQ329" s="25">
        <f>Lookups!$B$56*1</f>
        <v>89850.625589999996</v>
      </c>
      <c r="AR329" s="25">
        <f>Lookups!$B$57*Inventory[[#This Row],[LnAcres]]</f>
        <v>-43882.615305165229</v>
      </c>
      <c r="AS329" s="25">
        <f>VLOOKUP(Inventory[[#This Row],[Qlty]],Lookups!$A$62:$E$75,2,FALSE)</f>
        <v>44121.038090000002</v>
      </c>
      <c r="AT329" s="25">
        <f>VLOOKUP(Inventory[[#This Row],[Cnd]],Lookups!$A$76:$E$84,2,FALSE)</f>
        <v>197752.34721000001</v>
      </c>
      <c r="AU329" s="25">
        <f>Inventory[[#This Row],[EffAge]]*Lookups!$B$85</f>
        <v>-10706.188824000001</v>
      </c>
      <c r="AV329" s="25">
        <f>Inventory[[#This Row],[MainFn]]*Lookups!$B$86</f>
        <v>101435.999257481</v>
      </c>
      <c r="AW329" s="25">
        <f>Inventory[[#This Row],[UpprFn]]*Lookups!$B$87</f>
        <v>0</v>
      </c>
      <c r="AX329" s="25">
        <f>Inventory[[#This Row],[AddFn]]*Lookups!$B$88</f>
        <v>0</v>
      </c>
      <c r="AY329" s="25">
        <f>Inventory[[#This Row],[Bsmt]]*Lookups!$B$89</f>
        <v>24341.546321738999</v>
      </c>
      <c r="AZ329" s="25">
        <f>Inventory[[#This Row],[Fixtures]]*Lookups!$B$90</f>
        <v>49296.287367600002</v>
      </c>
      <c r="BA329" s="25">
        <f>Inventory[[#This Row],[WdDeck]]*Lookups!$B$91</f>
        <v>3995.4618331200004</v>
      </c>
      <c r="BB329" s="25">
        <f>ROUND(Inventory[[#This Row],[25Det]],-2)</f>
        <v>0</v>
      </c>
      <c r="BC329" s="25">
        <f>ROUND(SUM(Inventory[[#This Row],[Mdl Qlty]:[Mdl WdDeck]])+Inventory[[#This Row],[Mdl Res Intercept]],-2)</f>
        <v>410200</v>
      </c>
      <c r="BD329" s="25">
        <f>ROUND(Inventory[[#This Row],[Mdl Land Intercept]]+Inventory[[#This Row],[Mdl LnAcres]],-2)</f>
        <v>46000</v>
      </c>
      <c r="BE329" s="25">
        <f>Inventory[[#This Row],[Unadj Res Value]]+Inventory[[#This Row],[Unadj Det Value]]+Inventory[[#This Row],[Unadj Land Value]]</f>
        <v>456200</v>
      </c>
      <c r="BF329" s="36">
        <f>(Inventory[[#This Row],[Unadj Total Value]]-Inventory[[#This Row],[24Final]])/Inventory[[#This Row],[24Final]]</f>
        <v>5.5529847292919945E-2</v>
      </c>
      <c r="BG329" s="25">
        <f>VLOOKUP(Inventory[[#This Row],[Nbhd]],Lookups!$Q$2:$T$4,4,FALSE)</f>
        <v>0.99970000000000003</v>
      </c>
      <c r="BH329" s="25">
        <f>VLOOKUP(Inventory[[#This Row],[Qlty]],Lookups!$O$7:$R$21,4,FALSE)</f>
        <v>0.98050000000000004</v>
      </c>
      <c r="BI329" s="25">
        <f>VLOOKUP(Inventory[[#This Row],[Cnd]],Lookups!$T$7:$W$16,4,FALSE)</f>
        <v>0.99650000000000005</v>
      </c>
      <c r="BJ329" s="25">
        <f>VLOOKUP(Inventory[[#This Row],[LivArea Range]],Lookups!$T$25:$W$37,4,FALSE)</f>
        <v>0.96179999999999999</v>
      </c>
      <c r="BK329" s="25">
        <f>VLOOKUP(Inventory[[#This Row],[Decade]],Lookups!$O$25:$R$42,4,FALSE)</f>
        <v>0.98119999999999996</v>
      </c>
      <c r="BL329" s="25">
        <f>Inventory[[#This Row],[Nbhd Adj]]*0.95</f>
        <v>0.94971499999999998</v>
      </c>
      <c r="BM329" s="25">
        <f>Inventory[[#This Row],[Nbhd Adj]]*Inventory[[#This Row],[Quality Adj]]*Inventory[[#This Row],[Condition Adj]]*Inventory[[#This Row],[Living Area Adj]]*Inventory[[#This Row],[Decade Adj]]*0.95</f>
        <v>0.87571040657064003</v>
      </c>
      <c r="BN329" s="25">
        <f>ROUND(SUM(Inventory[[#This Row],[Mdl Qlty]:[Mdl WdDeck]])+Inventory[[#This Row],[Mdl Res Intercept]]*Inventory[[#This Row],[Res Adj ]],-2)</f>
        <v>410200</v>
      </c>
      <c r="BO329" s="25">
        <f>ROUND(Inventory[[#This Row],[25Det]]*Inventory[[#This Row],[Det/Nbhd Adj]],-2)</f>
        <v>0</v>
      </c>
      <c r="BP329" s="25">
        <f>Inventory[[#This Row],[Adjusted Res]]+Inventory[[#This Row],[Adj Det ]]</f>
        <v>410200</v>
      </c>
      <c r="BQ329" s="25">
        <f>ROUND((Inventory[[#This Row],[Mdl Land Intercept]]+Inventory[[#This Row],[Mdl LnAcres]])*Inventory[[#This Row],[Det/Nbhd Adj]],-2)</f>
        <v>43700</v>
      </c>
      <c r="BR329" s="25">
        <f>Inventory[[#This Row],[Adjusted Impr Total]]+Inventory[[#This Row],[Adjusted Land Total]]</f>
        <v>453900</v>
      </c>
      <c r="BS329" s="36">
        <f>IFERROR((Inventory[[#This Row],[Adjusted Impr Total]]-Inventory[[#This Row],[24Bldg]])/Inventory[[#This Row],[24Bldg]],0)</f>
        <v>0.12076502732240438</v>
      </c>
      <c r="BT329" s="36">
        <f>(Inventory[[#This Row],[Adjusted Land Total]]-Inventory[[#This Row],[24Lnd]])/Inventory[[#This Row],[24Lnd]]</f>
        <v>-0.33987915407854985</v>
      </c>
      <c r="BU329" s="36">
        <f>(Inventory[[#This Row],[Adjusted Total]]-Inventory[[#This Row],[24Final]])/Inventory[[#This Row],[24Final]]</f>
        <v>5.0208236927348451E-2</v>
      </c>
    </row>
    <row r="330" spans="1:73" x14ac:dyDescent="0.3">
      <c r="A330" s="25">
        <v>2025</v>
      </c>
      <c r="B330" s="26" t="s">
        <v>1772</v>
      </c>
      <c r="C330" s="26">
        <f>LN(Inventory[[#This Row],[Acres]])</f>
        <v>-2.120263536200091</v>
      </c>
      <c r="D330" s="25">
        <v>0.12</v>
      </c>
      <c r="E330" s="25">
        <v>5314</v>
      </c>
      <c r="F330" s="26" t="s">
        <v>537</v>
      </c>
      <c r="G330" s="26" t="s">
        <v>126</v>
      </c>
      <c r="H330" s="26" t="s">
        <v>349</v>
      </c>
      <c r="I330" s="26" t="s">
        <v>538</v>
      </c>
      <c r="J330" s="26" t="s">
        <v>539</v>
      </c>
      <c r="K330" s="26" t="s">
        <v>241</v>
      </c>
      <c r="L330" s="26" t="s">
        <v>351</v>
      </c>
      <c r="M330" s="26" t="s">
        <v>323</v>
      </c>
      <c r="N330" s="26">
        <v>60</v>
      </c>
      <c r="O330" s="26">
        <f>2024-Inventory[[#This Row],[YrBlt]]</f>
        <v>59</v>
      </c>
      <c r="P330" s="26">
        <f>2024-Inventory[[#This Row],[EffYr]]</f>
        <v>48</v>
      </c>
      <c r="Q330" s="25">
        <v>1965</v>
      </c>
      <c r="R330" s="25">
        <v>1976</v>
      </c>
      <c r="S330" s="25">
        <v>1326</v>
      </c>
      <c r="T330" s="27"/>
      <c r="U330" s="27"/>
      <c r="V330" s="27">
        <f>Inventory[[#This Row],[Bsmt]]-Inventory[[#This Row],[FnBsmt]]</f>
        <v>0</v>
      </c>
      <c r="W330" s="27"/>
      <c r="X330" s="27"/>
      <c r="Y330" s="27">
        <f>Inventory[[#This Row],[MainFn]]+Inventory[[#This Row],[UpprFn]]+Inventory[[#This Row],[FnBsmt]]+Inventory[[#This Row],[AddFn]]</f>
        <v>1326</v>
      </c>
      <c r="Z330" s="27">
        <v>1500</v>
      </c>
      <c r="AA330" s="25">
        <v>8</v>
      </c>
      <c r="AB330" s="25">
        <v>338</v>
      </c>
      <c r="AC330" s="27"/>
      <c r="AD330" s="27"/>
      <c r="AE330" s="27"/>
      <c r="AF330" s="27"/>
      <c r="AG330" s="31"/>
      <c r="AH330" s="27"/>
      <c r="AI330" s="25">
        <v>235465</v>
      </c>
      <c r="AJ330" s="25">
        <v>169535</v>
      </c>
      <c r="AK330" s="25">
        <v>0</v>
      </c>
      <c r="AL330" s="25">
        <v>275300</v>
      </c>
      <c r="AM330" s="25">
        <v>40600</v>
      </c>
      <c r="AN330" s="25">
        <v>234700</v>
      </c>
      <c r="AO330" s="25">
        <v>0</v>
      </c>
      <c r="AP330" s="25">
        <f>Lookups!$B$56*0</f>
        <v>0</v>
      </c>
      <c r="AQ330" s="25">
        <f>Lookups!$B$56*1</f>
        <v>89850.625589999996</v>
      </c>
      <c r="AR330" s="25">
        <f>Lookups!$B$57*Inventory[[#This Row],[LnAcres]]</f>
        <v>-67116.12750806773</v>
      </c>
      <c r="AS330" s="25">
        <f>VLOOKUP(Inventory[[#This Row],[Qlty]],Lookups!$A$62:$E$75,2,FALSE)</f>
        <v>21557.329055999999</v>
      </c>
      <c r="AT330" s="25">
        <f>VLOOKUP(Inventory[[#This Row],[Cnd]],Lookups!$A$76:$E$84,2,FALSE)</f>
        <v>160472.20319</v>
      </c>
      <c r="AU330" s="25">
        <f>Inventory[[#This Row],[EffAge]]*Lookups!$B$85</f>
        <v>-10706.188824000001</v>
      </c>
      <c r="AV330" s="25">
        <f>Inventory[[#This Row],[MainFn]]*Lookups!$B$86</f>
        <v>65515.896256902</v>
      </c>
      <c r="AW330" s="25">
        <f>Inventory[[#This Row],[UpprFn]]*Lookups!$B$87</f>
        <v>0</v>
      </c>
      <c r="AX330" s="25">
        <f>Inventory[[#This Row],[AddFn]]*Lookups!$B$88</f>
        <v>0</v>
      </c>
      <c r="AY330" s="25">
        <f>Inventory[[#This Row],[Bsmt]]*Lookups!$B$89</f>
        <v>0</v>
      </c>
      <c r="AZ330" s="25">
        <f>Inventory[[#This Row],[Fixtures]]*Lookups!$B$90</f>
        <v>30336.176841600001</v>
      </c>
      <c r="BA330" s="25">
        <f>Inventory[[#This Row],[WdDeck]]*Lookups!$B$91</f>
        <v>0</v>
      </c>
      <c r="BB330" s="25">
        <f>ROUND(Inventory[[#This Row],[25Det]],-2)</f>
        <v>0</v>
      </c>
      <c r="BC330" s="25">
        <f>ROUND(SUM(Inventory[[#This Row],[Mdl Qlty]:[Mdl WdDeck]])+Inventory[[#This Row],[Mdl Res Intercept]],-2)</f>
        <v>267200</v>
      </c>
      <c r="BD330" s="25">
        <f>ROUND(Inventory[[#This Row],[Mdl Land Intercept]]+Inventory[[#This Row],[Mdl LnAcres]],-2)</f>
        <v>22700</v>
      </c>
      <c r="BE330" s="25">
        <f>Inventory[[#This Row],[Unadj Res Value]]+Inventory[[#This Row],[Unadj Det Value]]+Inventory[[#This Row],[Unadj Land Value]]</f>
        <v>289900</v>
      </c>
      <c r="BF330" s="36">
        <f>(Inventory[[#This Row],[Unadj Total Value]]-Inventory[[#This Row],[24Final]])/Inventory[[#This Row],[24Final]]</f>
        <v>5.3033054849255357E-2</v>
      </c>
      <c r="BG330" s="25">
        <f>VLOOKUP(Inventory[[#This Row],[Nbhd]],Lookups!$Q$2:$T$4,4,FALSE)</f>
        <v>0.99970000000000003</v>
      </c>
      <c r="BH330" s="25">
        <f>VLOOKUP(Inventory[[#This Row],[Qlty]],Lookups!$O$7:$R$21,4,FALSE)</f>
        <v>1.0067999999999999</v>
      </c>
      <c r="BI330" s="25">
        <f>VLOOKUP(Inventory[[#This Row],[Cnd]],Lookups!$T$7:$W$16,4,FALSE)</f>
        <v>0.99729999999999996</v>
      </c>
      <c r="BJ330" s="25">
        <f>VLOOKUP(Inventory[[#This Row],[LivArea Range]],Lookups!$T$25:$W$37,4,FALSE)</f>
        <v>1.0157</v>
      </c>
      <c r="BK330" s="25">
        <f>VLOOKUP(Inventory[[#This Row],[Decade]],Lookups!$O$25:$R$42,4,FALSE)</f>
        <v>0.98119999999999996</v>
      </c>
      <c r="BL330" s="25">
        <f>Inventory[[#This Row],[Nbhd Adj]]*0.95</f>
        <v>0.94971499999999998</v>
      </c>
      <c r="BM330" s="25">
        <f>Inventory[[#This Row],[Nbhd Adj]]*Inventory[[#This Row],[Quality Adj]]*Inventory[[#This Row],[Condition Adj]]*Inventory[[#This Row],[Living Area Adj]]*Inventory[[#This Row],[Decade Adj]]*0.95</f>
        <v>0.95035379937285946</v>
      </c>
      <c r="BN330" s="25">
        <f>ROUND(SUM(Inventory[[#This Row],[Mdl Qlty]:[Mdl WdDeck]])+Inventory[[#This Row],[Mdl Res Intercept]]*Inventory[[#This Row],[Res Adj ]],-2)</f>
        <v>267200</v>
      </c>
      <c r="BO330" s="25">
        <f>ROUND(Inventory[[#This Row],[25Det]]*Inventory[[#This Row],[Det/Nbhd Adj]],-2)</f>
        <v>0</v>
      </c>
      <c r="BP330" s="25">
        <f>Inventory[[#This Row],[Adjusted Res]]+Inventory[[#This Row],[Adj Det ]]</f>
        <v>267200</v>
      </c>
      <c r="BQ330" s="25">
        <f>ROUND((Inventory[[#This Row],[Mdl Land Intercept]]+Inventory[[#This Row],[Mdl LnAcres]])*Inventory[[#This Row],[Det/Nbhd Adj]],-2)</f>
        <v>21600</v>
      </c>
      <c r="BR330" s="25">
        <f>Inventory[[#This Row],[Adjusted Impr Total]]+Inventory[[#This Row],[Adjusted Land Total]]</f>
        <v>288800</v>
      </c>
      <c r="BS330" s="36">
        <f>IFERROR((Inventory[[#This Row],[Adjusted Impr Total]]-Inventory[[#This Row],[24Bldg]])/Inventory[[#This Row],[24Bldg]],0)</f>
        <v>0.13847464848743077</v>
      </c>
      <c r="BT330" s="36">
        <f>(Inventory[[#This Row],[Adjusted Land Total]]-Inventory[[#This Row],[24Lnd]])/Inventory[[#This Row],[24Lnd]]</f>
        <v>-0.46798029556650245</v>
      </c>
      <c r="BU330" s="36">
        <f>(Inventory[[#This Row],[Adjusted Total]]-Inventory[[#This Row],[24Final]])/Inventory[[#This Row],[24Final]]</f>
        <v>4.9037413730475841E-2</v>
      </c>
    </row>
    <row r="331" spans="1:73" x14ac:dyDescent="0.3">
      <c r="A331" s="25">
        <v>2025</v>
      </c>
      <c r="B331" s="26" t="s">
        <v>1770</v>
      </c>
      <c r="C331" s="26">
        <f>LN(Inventory[[#This Row],[Acres]])</f>
        <v>-2.120263536200091</v>
      </c>
      <c r="D331" s="25">
        <v>0.12</v>
      </c>
      <c r="E331" s="25">
        <v>5234</v>
      </c>
      <c r="F331" s="26" t="s">
        <v>537</v>
      </c>
      <c r="G331" s="26" t="s">
        <v>126</v>
      </c>
      <c r="H331" s="26" t="s">
        <v>349</v>
      </c>
      <c r="I331" s="26" t="s">
        <v>538</v>
      </c>
      <c r="J331" s="26" t="s">
        <v>539</v>
      </c>
      <c r="K331" s="26" t="s">
        <v>241</v>
      </c>
      <c r="L331" s="26" t="s">
        <v>351</v>
      </c>
      <c r="M331" s="26" t="s">
        <v>323</v>
      </c>
      <c r="N331" s="26">
        <v>60</v>
      </c>
      <c r="O331" s="26">
        <f>2024-Inventory[[#This Row],[YrBlt]]</f>
        <v>59</v>
      </c>
      <c r="P331" s="26">
        <f>2024-Inventory[[#This Row],[EffYr]]</f>
        <v>48</v>
      </c>
      <c r="Q331" s="25">
        <v>1965</v>
      </c>
      <c r="R331" s="25">
        <v>1976</v>
      </c>
      <c r="S331" s="25">
        <v>1041</v>
      </c>
      <c r="T331" s="27"/>
      <c r="U331" s="27"/>
      <c r="V331" s="27">
        <f>Inventory[[#This Row],[Bsmt]]-Inventory[[#This Row],[FnBsmt]]</f>
        <v>0</v>
      </c>
      <c r="W331" s="27"/>
      <c r="X331" s="27"/>
      <c r="Y331" s="27">
        <f>Inventory[[#This Row],[MainFn]]+Inventory[[#This Row],[UpprFn]]+Inventory[[#This Row],[FnBsmt]]+Inventory[[#This Row],[AddFn]]</f>
        <v>1041</v>
      </c>
      <c r="Z331" s="27">
        <v>1500</v>
      </c>
      <c r="AA331" s="25">
        <v>5</v>
      </c>
      <c r="AB331" s="25">
        <v>340</v>
      </c>
      <c r="AC331" s="27"/>
      <c r="AD331" s="27"/>
      <c r="AE331" s="27"/>
      <c r="AF331" s="27"/>
      <c r="AG331" s="31"/>
      <c r="AH331" s="27"/>
      <c r="AI331" s="25">
        <v>193744</v>
      </c>
      <c r="AJ331" s="25">
        <v>139496</v>
      </c>
      <c r="AK331" s="25">
        <v>0</v>
      </c>
      <c r="AL331" s="25">
        <v>251200</v>
      </c>
      <c r="AM331" s="25">
        <v>40600</v>
      </c>
      <c r="AN331" s="25">
        <v>210600</v>
      </c>
      <c r="AO331" s="25">
        <v>0</v>
      </c>
      <c r="AP331" s="25">
        <f>Lookups!$B$56*0</f>
        <v>0</v>
      </c>
      <c r="AQ331" s="25">
        <f>Lookups!$B$56*1</f>
        <v>89850.625589999996</v>
      </c>
      <c r="AR331" s="25">
        <f>Lookups!$B$57*Inventory[[#This Row],[LnAcres]]</f>
        <v>-67116.12750806773</v>
      </c>
      <c r="AS331" s="25">
        <f>VLOOKUP(Inventory[[#This Row],[Qlty]],Lookups!$A$62:$E$75,2,FALSE)</f>
        <v>21557.329055999999</v>
      </c>
      <c r="AT331" s="25">
        <f>VLOOKUP(Inventory[[#This Row],[Cnd]],Lookups!$A$76:$E$84,2,FALSE)</f>
        <v>160472.20319</v>
      </c>
      <c r="AU331" s="25">
        <f>Inventory[[#This Row],[EffAge]]*Lookups!$B$85</f>
        <v>-10706.188824000001</v>
      </c>
      <c r="AV331" s="25">
        <f>Inventory[[#This Row],[MainFn]]*Lookups!$B$86</f>
        <v>51434.425341957001</v>
      </c>
      <c r="AW331" s="25">
        <f>Inventory[[#This Row],[UpprFn]]*Lookups!$B$87</f>
        <v>0</v>
      </c>
      <c r="AX331" s="25">
        <f>Inventory[[#This Row],[AddFn]]*Lookups!$B$88</f>
        <v>0</v>
      </c>
      <c r="AY331" s="25">
        <f>Inventory[[#This Row],[Bsmt]]*Lookups!$B$89</f>
        <v>0</v>
      </c>
      <c r="AZ331" s="25">
        <f>Inventory[[#This Row],[Fixtures]]*Lookups!$B$90</f>
        <v>18960.110526</v>
      </c>
      <c r="BA331" s="25">
        <f>Inventory[[#This Row],[WdDeck]]*Lookups!$B$91</f>
        <v>0</v>
      </c>
      <c r="BB331" s="25">
        <f>ROUND(Inventory[[#This Row],[25Det]],-2)</f>
        <v>0</v>
      </c>
      <c r="BC331" s="25">
        <f>ROUND(SUM(Inventory[[#This Row],[Mdl Qlty]:[Mdl WdDeck]])+Inventory[[#This Row],[Mdl Res Intercept]],-2)</f>
        <v>241700</v>
      </c>
      <c r="BD331" s="25">
        <f>ROUND(Inventory[[#This Row],[Mdl Land Intercept]]+Inventory[[#This Row],[Mdl LnAcres]],-2)</f>
        <v>22700</v>
      </c>
      <c r="BE331" s="25">
        <f>Inventory[[#This Row],[Unadj Res Value]]+Inventory[[#This Row],[Unadj Det Value]]+Inventory[[#This Row],[Unadj Land Value]]</f>
        <v>264400</v>
      </c>
      <c r="BF331" s="36">
        <f>(Inventory[[#This Row],[Unadj Total Value]]-Inventory[[#This Row],[24Final]])/Inventory[[#This Row],[24Final]]</f>
        <v>5.2547770700636945E-2</v>
      </c>
      <c r="BG331" s="25">
        <f>VLOOKUP(Inventory[[#This Row],[Nbhd]],Lookups!$Q$2:$T$4,4,FALSE)</f>
        <v>0.99970000000000003</v>
      </c>
      <c r="BH331" s="25">
        <f>VLOOKUP(Inventory[[#This Row],[Qlty]],Lookups!$O$7:$R$21,4,FALSE)</f>
        <v>1.0067999999999999</v>
      </c>
      <c r="BI331" s="25">
        <f>VLOOKUP(Inventory[[#This Row],[Cnd]],Lookups!$T$7:$W$16,4,FALSE)</f>
        <v>0.99729999999999996</v>
      </c>
      <c r="BJ331" s="25">
        <f>VLOOKUP(Inventory[[#This Row],[LivArea Range]],Lookups!$T$25:$W$37,4,FALSE)</f>
        <v>1.0157</v>
      </c>
      <c r="BK331" s="25">
        <f>VLOOKUP(Inventory[[#This Row],[Decade]],Lookups!$O$25:$R$42,4,FALSE)</f>
        <v>0.98119999999999996</v>
      </c>
      <c r="BL331" s="25">
        <f>Inventory[[#This Row],[Nbhd Adj]]*0.95</f>
        <v>0.94971499999999998</v>
      </c>
      <c r="BM331" s="25">
        <f>Inventory[[#This Row],[Nbhd Adj]]*Inventory[[#This Row],[Quality Adj]]*Inventory[[#This Row],[Condition Adj]]*Inventory[[#This Row],[Living Area Adj]]*Inventory[[#This Row],[Decade Adj]]*0.95</f>
        <v>0.95035379937285946</v>
      </c>
      <c r="BN331" s="25">
        <f>ROUND(SUM(Inventory[[#This Row],[Mdl Qlty]:[Mdl WdDeck]])+Inventory[[#This Row],[Mdl Res Intercept]]*Inventory[[#This Row],[Res Adj ]],-2)</f>
        <v>241700</v>
      </c>
      <c r="BO331" s="25">
        <f>ROUND(Inventory[[#This Row],[25Det]]*Inventory[[#This Row],[Det/Nbhd Adj]],-2)</f>
        <v>0</v>
      </c>
      <c r="BP331" s="25">
        <f>Inventory[[#This Row],[Adjusted Res]]+Inventory[[#This Row],[Adj Det ]]</f>
        <v>241700</v>
      </c>
      <c r="BQ331" s="25">
        <f>ROUND((Inventory[[#This Row],[Mdl Land Intercept]]+Inventory[[#This Row],[Mdl LnAcres]])*Inventory[[#This Row],[Det/Nbhd Adj]],-2)</f>
        <v>21600</v>
      </c>
      <c r="BR331" s="25">
        <f>Inventory[[#This Row],[Adjusted Impr Total]]+Inventory[[#This Row],[Adjusted Land Total]]</f>
        <v>263300</v>
      </c>
      <c r="BS331" s="36">
        <f>IFERROR((Inventory[[#This Row],[Adjusted Impr Total]]-Inventory[[#This Row],[24Bldg]])/Inventory[[#This Row],[24Bldg]],0)</f>
        <v>0.14767331433998102</v>
      </c>
      <c r="BT331" s="36">
        <f>(Inventory[[#This Row],[Adjusted Land Total]]-Inventory[[#This Row],[24Lnd]])/Inventory[[#This Row],[24Lnd]]</f>
        <v>-0.46798029556650245</v>
      </c>
      <c r="BU331" s="36">
        <f>(Inventory[[#This Row],[Adjusted Total]]-Inventory[[#This Row],[24Final]])/Inventory[[#This Row],[24Final]]</f>
        <v>4.8168789808917201E-2</v>
      </c>
    </row>
    <row r="332" spans="1:73" x14ac:dyDescent="0.3">
      <c r="A332" s="25">
        <v>2025</v>
      </c>
      <c r="B332" s="26" t="s">
        <v>1635</v>
      </c>
      <c r="C332" s="26">
        <f>LN(Inventory[[#This Row],[Acres]])</f>
        <v>-1.6094379124341003</v>
      </c>
      <c r="D332" s="25">
        <v>0.2</v>
      </c>
      <c r="E332" s="31"/>
      <c r="F332" s="26" t="s">
        <v>537</v>
      </c>
      <c r="G332" s="26" t="s">
        <v>126</v>
      </c>
      <c r="H332" s="26" t="s">
        <v>349</v>
      </c>
      <c r="I332" s="26" t="s">
        <v>538</v>
      </c>
      <c r="J332" s="26" t="s">
        <v>539</v>
      </c>
      <c r="K332" s="26" t="s">
        <v>241</v>
      </c>
      <c r="L332" s="26" t="s">
        <v>351</v>
      </c>
      <c r="M332" s="26" t="s">
        <v>323</v>
      </c>
      <c r="N332" s="26">
        <v>60</v>
      </c>
      <c r="O332" s="26">
        <f>2024-Inventory[[#This Row],[YrBlt]]</f>
        <v>59</v>
      </c>
      <c r="P332" s="26">
        <f>2024-Inventory[[#This Row],[EffYr]]</f>
        <v>48</v>
      </c>
      <c r="Q332" s="25">
        <v>1965</v>
      </c>
      <c r="R332" s="25">
        <v>1976</v>
      </c>
      <c r="S332" s="25">
        <v>1261</v>
      </c>
      <c r="T332" s="27"/>
      <c r="U332" s="27"/>
      <c r="V332" s="27">
        <f>Inventory[[#This Row],[Bsmt]]-Inventory[[#This Row],[FnBsmt]]</f>
        <v>0</v>
      </c>
      <c r="W332" s="27"/>
      <c r="X332" s="27"/>
      <c r="Y332" s="27">
        <f>Inventory[[#This Row],[MainFn]]+Inventory[[#This Row],[UpprFn]]+Inventory[[#This Row],[FnBsmt]]+Inventory[[#This Row],[AddFn]]</f>
        <v>1261</v>
      </c>
      <c r="Z332" s="27">
        <v>1500</v>
      </c>
      <c r="AA332" s="25">
        <v>8</v>
      </c>
      <c r="AB332" s="25">
        <v>440</v>
      </c>
      <c r="AC332" s="27"/>
      <c r="AD332" s="27"/>
      <c r="AE332" s="27"/>
      <c r="AF332" s="27"/>
      <c r="AG332" s="31"/>
      <c r="AH332" s="27"/>
      <c r="AI332" s="25">
        <v>228125</v>
      </c>
      <c r="AJ332" s="25">
        <v>164250</v>
      </c>
      <c r="AK332" s="25">
        <v>0</v>
      </c>
      <c r="AL332" s="25">
        <v>287300</v>
      </c>
      <c r="AM332" s="25">
        <v>58400</v>
      </c>
      <c r="AN332" s="25">
        <v>228900</v>
      </c>
      <c r="AO332" s="25">
        <v>0</v>
      </c>
      <c r="AP332" s="25">
        <f>Lookups!$B$56*0</f>
        <v>0</v>
      </c>
      <c r="AQ332" s="25">
        <f>Lookups!$B$56*1</f>
        <v>89850.625589999996</v>
      </c>
      <c r="AR332" s="25">
        <f>Lookups!$B$57*Inventory[[#This Row],[LnAcres]]</f>
        <v>-50946.13867709865</v>
      </c>
      <c r="AS332" s="25">
        <f>VLOOKUP(Inventory[[#This Row],[Qlty]],Lookups!$A$62:$E$75,2,FALSE)</f>
        <v>21557.329055999999</v>
      </c>
      <c r="AT332" s="25">
        <f>VLOOKUP(Inventory[[#This Row],[Cnd]],Lookups!$A$76:$E$84,2,FALSE)</f>
        <v>160472.20319</v>
      </c>
      <c r="AU332" s="25">
        <f>Inventory[[#This Row],[EffAge]]*Lookups!$B$85</f>
        <v>-10706.188824000001</v>
      </c>
      <c r="AV332" s="25">
        <f>Inventory[[#This Row],[MainFn]]*Lookups!$B$86</f>
        <v>62304.332714896998</v>
      </c>
      <c r="AW332" s="25">
        <f>Inventory[[#This Row],[UpprFn]]*Lookups!$B$87</f>
        <v>0</v>
      </c>
      <c r="AX332" s="25">
        <f>Inventory[[#This Row],[AddFn]]*Lookups!$B$88</f>
        <v>0</v>
      </c>
      <c r="AY332" s="25">
        <f>Inventory[[#This Row],[Bsmt]]*Lookups!$B$89</f>
        <v>0</v>
      </c>
      <c r="AZ332" s="25">
        <f>Inventory[[#This Row],[Fixtures]]*Lookups!$B$90</f>
        <v>30336.176841600001</v>
      </c>
      <c r="BA332" s="25">
        <f>Inventory[[#This Row],[WdDeck]]*Lookups!$B$91</f>
        <v>0</v>
      </c>
      <c r="BB332" s="25">
        <f>ROUND(Inventory[[#This Row],[25Det]],-2)</f>
        <v>0</v>
      </c>
      <c r="BC332" s="25">
        <f>ROUND(SUM(Inventory[[#This Row],[Mdl Qlty]:[Mdl WdDeck]])+Inventory[[#This Row],[Mdl Res Intercept]],-2)</f>
        <v>264000</v>
      </c>
      <c r="BD332" s="25">
        <f>ROUND(Inventory[[#This Row],[Mdl Land Intercept]]+Inventory[[#This Row],[Mdl LnAcres]],-2)</f>
        <v>38900</v>
      </c>
      <c r="BE332" s="25">
        <f>Inventory[[#This Row],[Unadj Res Value]]+Inventory[[#This Row],[Unadj Det Value]]+Inventory[[#This Row],[Unadj Land Value]]</f>
        <v>302900</v>
      </c>
      <c r="BF332" s="36">
        <f>(Inventory[[#This Row],[Unadj Total Value]]-Inventory[[#This Row],[24Final]])/Inventory[[#This Row],[24Final]]</f>
        <v>5.4298642533936653E-2</v>
      </c>
      <c r="BG332" s="25">
        <f>VLOOKUP(Inventory[[#This Row],[Nbhd]],Lookups!$Q$2:$T$4,4,FALSE)</f>
        <v>0.99970000000000003</v>
      </c>
      <c r="BH332" s="25">
        <f>VLOOKUP(Inventory[[#This Row],[Qlty]],Lookups!$O$7:$R$21,4,FALSE)</f>
        <v>1.0067999999999999</v>
      </c>
      <c r="BI332" s="25">
        <f>VLOOKUP(Inventory[[#This Row],[Cnd]],Lookups!$T$7:$W$16,4,FALSE)</f>
        <v>0.99729999999999996</v>
      </c>
      <c r="BJ332" s="25">
        <f>VLOOKUP(Inventory[[#This Row],[LivArea Range]],Lookups!$T$25:$W$37,4,FALSE)</f>
        <v>1.0157</v>
      </c>
      <c r="BK332" s="25">
        <f>VLOOKUP(Inventory[[#This Row],[Decade]],Lookups!$O$25:$R$42,4,FALSE)</f>
        <v>0.98119999999999996</v>
      </c>
      <c r="BL332" s="25">
        <f>Inventory[[#This Row],[Nbhd Adj]]*0.95</f>
        <v>0.94971499999999998</v>
      </c>
      <c r="BM332" s="25">
        <f>Inventory[[#This Row],[Nbhd Adj]]*Inventory[[#This Row],[Quality Adj]]*Inventory[[#This Row],[Condition Adj]]*Inventory[[#This Row],[Living Area Adj]]*Inventory[[#This Row],[Decade Adj]]*0.95</f>
        <v>0.95035379937285946</v>
      </c>
      <c r="BN332" s="25">
        <f>ROUND(SUM(Inventory[[#This Row],[Mdl Qlty]:[Mdl WdDeck]])+Inventory[[#This Row],[Mdl Res Intercept]]*Inventory[[#This Row],[Res Adj ]],-2)</f>
        <v>264000</v>
      </c>
      <c r="BO332" s="25">
        <f>ROUND(Inventory[[#This Row],[25Det]]*Inventory[[#This Row],[Det/Nbhd Adj]],-2)</f>
        <v>0</v>
      </c>
      <c r="BP332" s="25">
        <f>Inventory[[#This Row],[Adjusted Res]]+Inventory[[#This Row],[Adj Det ]]</f>
        <v>264000</v>
      </c>
      <c r="BQ332" s="25">
        <f>ROUND((Inventory[[#This Row],[Mdl Land Intercept]]+Inventory[[#This Row],[Mdl LnAcres]])*Inventory[[#This Row],[Det/Nbhd Adj]],-2)</f>
        <v>36900</v>
      </c>
      <c r="BR332" s="25">
        <f>Inventory[[#This Row],[Adjusted Impr Total]]+Inventory[[#This Row],[Adjusted Land Total]]</f>
        <v>300900</v>
      </c>
      <c r="BS332" s="36">
        <f>IFERROR((Inventory[[#This Row],[Adjusted Impr Total]]-Inventory[[#This Row],[24Bldg]])/Inventory[[#This Row],[24Bldg]],0)</f>
        <v>0.15334207077326342</v>
      </c>
      <c r="BT332" s="36">
        <f>(Inventory[[#This Row],[Adjusted Land Total]]-Inventory[[#This Row],[24Lnd]])/Inventory[[#This Row],[24Lnd]]</f>
        <v>-0.36815068493150682</v>
      </c>
      <c r="BU332" s="36">
        <f>(Inventory[[#This Row],[Adjusted Total]]-Inventory[[#This Row],[24Final]])/Inventory[[#This Row],[24Final]]</f>
        <v>4.7337278106508875E-2</v>
      </c>
    </row>
    <row r="333" spans="1:73" x14ac:dyDescent="0.3">
      <c r="A333" s="25">
        <v>2025</v>
      </c>
      <c r="B333" s="26" t="s">
        <v>1427</v>
      </c>
      <c r="C333" s="26">
        <f>LN(Inventory[[#This Row],[Acres]])</f>
        <v>-1.7147984280919266</v>
      </c>
      <c r="D333" s="25">
        <v>0.18</v>
      </c>
      <c r="E333" s="25">
        <v>8609</v>
      </c>
      <c r="F333" s="26" t="s">
        <v>537</v>
      </c>
      <c r="G333" s="26" t="s">
        <v>126</v>
      </c>
      <c r="H333" s="26" t="s">
        <v>349</v>
      </c>
      <c r="I333" s="26" t="s">
        <v>538</v>
      </c>
      <c r="J333" s="26" t="s">
        <v>539</v>
      </c>
      <c r="K333" s="26" t="s">
        <v>241</v>
      </c>
      <c r="L333" s="26" t="s">
        <v>351</v>
      </c>
      <c r="M333" s="26" t="s">
        <v>323</v>
      </c>
      <c r="N333" s="26">
        <v>60</v>
      </c>
      <c r="O333" s="26">
        <f>2024-Inventory[[#This Row],[YrBlt]]</f>
        <v>59</v>
      </c>
      <c r="P333" s="26">
        <f>2024-Inventory[[#This Row],[EffYr]]</f>
        <v>48</v>
      </c>
      <c r="Q333" s="25">
        <v>1965</v>
      </c>
      <c r="R333" s="25">
        <v>1976</v>
      </c>
      <c r="S333" s="25">
        <v>1456</v>
      </c>
      <c r="T333" s="27"/>
      <c r="U333" s="27"/>
      <c r="V333" s="27">
        <f>Inventory[[#This Row],[Bsmt]]-Inventory[[#This Row],[FnBsmt]]</f>
        <v>0</v>
      </c>
      <c r="W333" s="27"/>
      <c r="X333" s="27"/>
      <c r="Y333" s="27">
        <f>Inventory[[#This Row],[MainFn]]+Inventory[[#This Row],[UpprFn]]+Inventory[[#This Row],[FnBsmt]]+Inventory[[#This Row],[AddFn]]</f>
        <v>1456</v>
      </c>
      <c r="Z333" s="27">
        <v>1500</v>
      </c>
      <c r="AA333" s="25">
        <v>8</v>
      </c>
      <c r="AB333" s="25">
        <v>440</v>
      </c>
      <c r="AC333" s="27"/>
      <c r="AD333" s="27"/>
      <c r="AE333" s="27"/>
      <c r="AF333" s="27"/>
      <c r="AG333" s="31"/>
      <c r="AH333" s="27"/>
      <c r="AI333" s="25">
        <v>246300</v>
      </c>
      <c r="AJ333" s="25">
        <v>177336</v>
      </c>
      <c r="AK333" s="25">
        <v>0</v>
      </c>
      <c r="AL333" s="25">
        <v>293900</v>
      </c>
      <c r="AM333" s="25">
        <v>54700</v>
      </c>
      <c r="AN333" s="25">
        <v>239200</v>
      </c>
      <c r="AO333" s="25">
        <v>0</v>
      </c>
      <c r="AP333" s="25">
        <f>Lookups!$B$56*0</f>
        <v>0</v>
      </c>
      <c r="AQ333" s="25">
        <f>Lookups!$B$56*1</f>
        <v>89850.625589999996</v>
      </c>
      <c r="AR333" s="25">
        <f>Lookups!$B$57*Inventory[[#This Row],[LnAcres]]</f>
        <v>-54281.285314520763</v>
      </c>
      <c r="AS333" s="25">
        <f>VLOOKUP(Inventory[[#This Row],[Qlty]],Lookups!$A$62:$E$75,2,FALSE)</f>
        <v>21557.329055999999</v>
      </c>
      <c r="AT333" s="25">
        <f>VLOOKUP(Inventory[[#This Row],[Cnd]],Lookups!$A$76:$E$84,2,FALSE)</f>
        <v>160472.20319</v>
      </c>
      <c r="AU333" s="25">
        <f>Inventory[[#This Row],[EffAge]]*Lookups!$B$85</f>
        <v>-10706.188824000001</v>
      </c>
      <c r="AV333" s="25">
        <f>Inventory[[#This Row],[MainFn]]*Lookups!$B$86</f>
        <v>71939.023340911997</v>
      </c>
      <c r="AW333" s="25">
        <f>Inventory[[#This Row],[UpprFn]]*Lookups!$B$87</f>
        <v>0</v>
      </c>
      <c r="AX333" s="25">
        <f>Inventory[[#This Row],[AddFn]]*Lookups!$B$88</f>
        <v>0</v>
      </c>
      <c r="AY333" s="25">
        <f>Inventory[[#This Row],[Bsmt]]*Lookups!$B$89</f>
        <v>0</v>
      </c>
      <c r="AZ333" s="25">
        <f>Inventory[[#This Row],[Fixtures]]*Lookups!$B$90</f>
        <v>30336.176841600001</v>
      </c>
      <c r="BA333" s="25">
        <f>Inventory[[#This Row],[WdDeck]]*Lookups!$B$91</f>
        <v>0</v>
      </c>
      <c r="BB333" s="25">
        <f>ROUND(Inventory[[#This Row],[25Det]],-2)</f>
        <v>0</v>
      </c>
      <c r="BC333" s="25">
        <f>ROUND(SUM(Inventory[[#This Row],[Mdl Qlty]:[Mdl WdDeck]])+Inventory[[#This Row],[Mdl Res Intercept]],-2)</f>
        <v>273600</v>
      </c>
      <c r="BD333" s="25">
        <f>ROUND(Inventory[[#This Row],[Mdl Land Intercept]]+Inventory[[#This Row],[Mdl LnAcres]],-2)</f>
        <v>35600</v>
      </c>
      <c r="BE333" s="25">
        <f>Inventory[[#This Row],[Unadj Res Value]]+Inventory[[#This Row],[Unadj Det Value]]+Inventory[[#This Row],[Unadj Land Value]]</f>
        <v>309200</v>
      </c>
      <c r="BF333" s="36">
        <f>(Inventory[[#This Row],[Unadj Total Value]]-Inventory[[#This Row],[24Final]])/Inventory[[#This Row],[24Final]]</f>
        <v>5.2058523307247362E-2</v>
      </c>
      <c r="BG333" s="25">
        <f>VLOOKUP(Inventory[[#This Row],[Nbhd]],Lookups!$Q$2:$T$4,4,FALSE)</f>
        <v>0.99970000000000003</v>
      </c>
      <c r="BH333" s="25">
        <f>VLOOKUP(Inventory[[#This Row],[Qlty]],Lookups!$O$7:$R$21,4,FALSE)</f>
        <v>1.0067999999999999</v>
      </c>
      <c r="BI333" s="25">
        <f>VLOOKUP(Inventory[[#This Row],[Cnd]],Lookups!$T$7:$W$16,4,FALSE)</f>
        <v>0.99729999999999996</v>
      </c>
      <c r="BJ333" s="25">
        <f>VLOOKUP(Inventory[[#This Row],[LivArea Range]],Lookups!$T$25:$W$37,4,FALSE)</f>
        <v>1.0157</v>
      </c>
      <c r="BK333" s="25">
        <f>VLOOKUP(Inventory[[#This Row],[Decade]],Lookups!$O$25:$R$42,4,FALSE)</f>
        <v>0.98119999999999996</v>
      </c>
      <c r="BL333" s="25">
        <f>Inventory[[#This Row],[Nbhd Adj]]*0.95</f>
        <v>0.94971499999999998</v>
      </c>
      <c r="BM333" s="25">
        <f>Inventory[[#This Row],[Nbhd Adj]]*Inventory[[#This Row],[Quality Adj]]*Inventory[[#This Row],[Condition Adj]]*Inventory[[#This Row],[Living Area Adj]]*Inventory[[#This Row],[Decade Adj]]*0.95</f>
        <v>0.95035379937285946</v>
      </c>
      <c r="BN333" s="25">
        <f>ROUND(SUM(Inventory[[#This Row],[Mdl Qlty]:[Mdl WdDeck]])+Inventory[[#This Row],[Mdl Res Intercept]]*Inventory[[#This Row],[Res Adj ]],-2)</f>
        <v>273600</v>
      </c>
      <c r="BO333" s="25">
        <f>ROUND(Inventory[[#This Row],[25Det]]*Inventory[[#This Row],[Det/Nbhd Adj]],-2)</f>
        <v>0</v>
      </c>
      <c r="BP333" s="25">
        <f>Inventory[[#This Row],[Adjusted Res]]+Inventory[[#This Row],[Adj Det ]]</f>
        <v>273600</v>
      </c>
      <c r="BQ333" s="25">
        <f>ROUND((Inventory[[#This Row],[Mdl Land Intercept]]+Inventory[[#This Row],[Mdl LnAcres]])*Inventory[[#This Row],[Det/Nbhd Adj]],-2)</f>
        <v>33800</v>
      </c>
      <c r="BR333" s="25">
        <f>Inventory[[#This Row],[Adjusted Impr Total]]+Inventory[[#This Row],[Adjusted Land Total]]</f>
        <v>307400</v>
      </c>
      <c r="BS333" s="36">
        <f>IFERROR((Inventory[[#This Row],[Adjusted Impr Total]]-Inventory[[#This Row],[24Bldg]])/Inventory[[#This Row],[24Bldg]],0)</f>
        <v>0.14381270903010032</v>
      </c>
      <c r="BT333" s="36">
        <f>(Inventory[[#This Row],[Adjusted Land Total]]-Inventory[[#This Row],[24Lnd]])/Inventory[[#This Row],[24Lnd]]</f>
        <v>-0.38208409506398539</v>
      </c>
      <c r="BU333" s="36">
        <f>(Inventory[[#This Row],[Adjusted Total]]-Inventory[[#This Row],[24Final]])/Inventory[[#This Row],[24Final]]</f>
        <v>4.5933991153453556E-2</v>
      </c>
    </row>
    <row r="334" spans="1:73" x14ac:dyDescent="0.3">
      <c r="A334" s="25">
        <v>2025</v>
      </c>
      <c r="B334" s="26" t="s">
        <v>1353</v>
      </c>
      <c r="C334" s="26">
        <f>LN(Inventory[[#This Row],[Acres]])</f>
        <v>-1.3470736479666092</v>
      </c>
      <c r="D334" s="25">
        <v>0.26</v>
      </c>
      <c r="E334" s="25">
        <v>11206</v>
      </c>
      <c r="F334" s="26" t="s">
        <v>537</v>
      </c>
      <c r="G334" s="26" t="s">
        <v>126</v>
      </c>
      <c r="H334" s="26" t="s">
        <v>349</v>
      </c>
      <c r="I334" s="26" t="s">
        <v>538</v>
      </c>
      <c r="J334" s="26" t="s">
        <v>539</v>
      </c>
      <c r="K334" s="26" t="s">
        <v>241</v>
      </c>
      <c r="L334" s="26" t="s">
        <v>148</v>
      </c>
      <c r="M334" s="26" t="s">
        <v>323</v>
      </c>
      <c r="N334" s="26">
        <v>60</v>
      </c>
      <c r="O334" s="26">
        <f>2024-Inventory[[#This Row],[YrBlt]]</f>
        <v>59</v>
      </c>
      <c r="P334" s="26">
        <f>2024-Inventory[[#This Row],[EffYr]]</f>
        <v>48</v>
      </c>
      <c r="Q334" s="25">
        <v>1965</v>
      </c>
      <c r="R334" s="25">
        <v>1976</v>
      </c>
      <c r="S334" s="25">
        <v>1596</v>
      </c>
      <c r="T334" s="27"/>
      <c r="U334" s="27"/>
      <c r="V334" s="27">
        <f>Inventory[[#This Row],[Bsmt]]-Inventory[[#This Row],[FnBsmt]]</f>
        <v>0</v>
      </c>
      <c r="W334" s="27"/>
      <c r="X334" s="27"/>
      <c r="Y334" s="27">
        <f>Inventory[[#This Row],[MainFn]]+Inventory[[#This Row],[UpprFn]]+Inventory[[#This Row],[FnBsmt]]+Inventory[[#This Row],[AddFn]]</f>
        <v>1596</v>
      </c>
      <c r="Z334" s="27">
        <v>2000</v>
      </c>
      <c r="AA334" s="25">
        <v>9</v>
      </c>
      <c r="AB334" s="25">
        <v>462</v>
      </c>
      <c r="AC334" s="27"/>
      <c r="AD334" s="27"/>
      <c r="AE334" s="27"/>
      <c r="AF334" s="27"/>
      <c r="AG334" s="31"/>
      <c r="AH334" s="27"/>
      <c r="AI334" s="25">
        <v>380835</v>
      </c>
      <c r="AJ334" s="25">
        <v>274201</v>
      </c>
      <c r="AK334" s="25">
        <v>0</v>
      </c>
      <c r="AL334" s="25">
        <v>337800</v>
      </c>
      <c r="AM334" s="25">
        <v>67600</v>
      </c>
      <c r="AN334" s="25">
        <v>270200</v>
      </c>
      <c r="AO334" s="25">
        <v>0</v>
      </c>
      <c r="AP334" s="25">
        <f>Lookups!$B$56*0</f>
        <v>0</v>
      </c>
      <c r="AQ334" s="25">
        <f>Lookups!$B$56*1</f>
        <v>89850.625589999996</v>
      </c>
      <c r="AR334" s="25">
        <f>Lookups!$B$57*Inventory[[#This Row],[LnAcres]]</f>
        <v>-42641.098701210125</v>
      </c>
      <c r="AS334" s="25">
        <f>VLOOKUP(Inventory[[#This Row],[Qlty]],Lookups!$A$62:$E$75,2,FALSE)</f>
        <v>44121.038090000002</v>
      </c>
      <c r="AT334" s="25">
        <f>VLOOKUP(Inventory[[#This Row],[Cnd]],Lookups!$A$76:$E$84,2,FALSE)</f>
        <v>160472.20319</v>
      </c>
      <c r="AU334" s="25">
        <f>Inventory[[#This Row],[EffAge]]*Lookups!$B$85</f>
        <v>-10706.188824000001</v>
      </c>
      <c r="AV334" s="25">
        <f>Inventory[[#This Row],[MainFn]]*Lookups!$B$86</f>
        <v>78856.237123692001</v>
      </c>
      <c r="AW334" s="25">
        <f>Inventory[[#This Row],[UpprFn]]*Lookups!$B$87</f>
        <v>0</v>
      </c>
      <c r="AX334" s="25">
        <f>Inventory[[#This Row],[AddFn]]*Lookups!$B$88</f>
        <v>0</v>
      </c>
      <c r="AY334" s="25">
        <f>Inventory[[#This Row],[Bsmt]]*Lookups!$B$89</f>
        <v>0</v>
      </c>
      <c r="AZ334" s="25">
        <f>Inventory[[#This Row],[Fixtures]]*Lookups!$B$90</f>
        <v>34128.198946800003</v>
      </c>
      <c r="BA334" s="25">
        <f>Inventory[[#This Row],[WdDeck]]*Lookups!$B$91</f>
        <v>0</v>
      </c>
      <c r="BB334" s="25">
        <f>ROUND(Inventory[[#This Row],[25Det]],-2)</f>
        <v>0</v>
      </c>
      <c r="BC334" s="25">
        <f>ROUND(SUM(Inventory[[#This Row],[Mdl Qlty]:[Mdl WdDeck]])+Inventory[[#This Row],[Mdl Res Intercept]],-2)</f>
        <v>306900</v>
      </c>
      <c r="BD334" s="25">
        <f>ROUND(Inventory[[#This Row],[Mdl Land Intercept]]+Inventory[[#This Row],[Mdl LnAcres]],-2)</f>
        <v>47200</v>
      </c>
      <c r="BE334" s="25">
        <f>Inventory[[#This Row],[Unadj Res Value]]+Inventory[[#This Row],[Unadj Det Value]]+Inventory[[#This Row],[Unadj Land Value]]</f>
        <v>354100</v>
      </c>
      <c r="BF334" s="36">
        <f>(Inventory[[#This Row],[Unadj Total Value]]-Inventory[[#This Row],[24Final]])/Inventory[[#This Row],[24Final]]</f>
        <v>4.8253404381290707E-2</v>
      </c>
      <c r="BG334" s="25">
        <f>VLOOKUP(Inventory[[#This Row],[Nbhd]],Lookups!$Q$2:$T$4,4,FALSE)</f>
        <v>0.99970000000000003</v>
      </c>
      <c r="BH334" s="25">
        <f>VLOOKUP(Inventory[[#This Row],[Qlty]],Lookups!$O$7:$R$21,4,FALSE)</f>
        <v>0.98050000000000004</v>
      </c>
      <c r="BI334" s="25">
        <f>VLOOKUP(Inventory[[#This Row],[Cnd]],Lookups!$T$7:$W$16,4,FALSE)</f>
        <v>0.99729999999999996</v>
      </c>
      <c r="BJ334" s="25">
        <f>VLOOKUP(Inventory[[#This Row],[LivArea Range]],Lookups!$T$25:$W$37,4,FALSE)</f>
        <v>1.0093000000000001</v>
      </c>
      <c r="BK334" s="25">
        <f>VLOOKUP(Inventory[[#This Row],[Decade]],Lookups!$O$25:$R$42,4,FALSE)</f>
        <v>0.98119999999999996</v>
      </c>
      <c r="BL334" s="25">
        <f>Inventory[[#This Row],[Nbhd Adj]]*0.95</f>
        <v>0.94971499999999998</v>
      </c>
      <c r="BM334" s="25">
        <f>Inventory[[#This Row],[Nbhd Adj]]*Inventory[[#This Row],[Quality Adj]]*Inventory[[#This Row],[Condition Adj]]*Inventory[[#This Row],[Living Area Adj]]*Inventory[[#This Row],[Decade Adj]]*0.95</f>
        <v>0.91969648622090105</v>
      </c>
      <c r="BN334" s="25">
        <f>ROUND(SUM(Inventory[[#This Row],[Mdl Qlty]:[Mdl WdDeck]])+Inventory[[#This Row],[Mdl Res Intercept]]*Inventory[[#This Row],[Res Adj ]],-2)</f>
        <v>306900</v>
      </c>
      <c r="BO334" s="25">
        <f>ROUND(Inventory[[#This Row],[25Det]]*Inventory[[#This Row],[Det/Nbhd Adj]],-2)</f>
        <v>0</v>
      </c>
      <c r="BP334" s="25">
        <f>Inventory[[#This Row],[Adjusted Res]]+Inventory[[#This Row],[Adj Det ]]</f>
        <v>306900</v>
      </c>
      <c r="BQ334" s="25">
        <f>ROUND((Inventory[[#This Row],[Mdl Land Intercept]]+Inventory[[#This Row],[Mdl LnAcres]])*Inventory[[#This Row],[Det/Nbhd Adj]],-2)</f>
        <v>44800</v>
      </c>
      <c r="BR334" s="25">
        <f>Inventory[[#This Row],[Adjusted Impr Total]]+Inventory[[#This Row],[Adjusted Land Total]]</f>
        <v>351700</v>
      </c>
      <c r="BS334" s="36">
        <f>IFERROR((Inventory[[#This Row],[Adjusted Impr Total]]-Inventory[[#This Row],[24Bldg]])/Inventory[[#This Row],[24Bldg]],0)</f>
        <v>0.13582531458179126</v>
      </c>
      <c r="BT334" s="36">
        <f>(Inventory[[#This Row],[Adjusted Land Total]]-Inventory[[#This Row],[24Lnd]])/Inventory[[#This Row],[24Lnd]]</f>
        <v>-0.33727810650887574</v>
      </c>
      <c r="BU334" s="36">
        <f>(Inventory[[#This Row],[Adjusted Total]]-Inventory[[#This Row],[24Final]])/Inventory[[#This Row],[24Final]]</f>
        <v>4.1148608644168146E-2</v>
      </c>
    </row>
    <row r="335" spans="1:73" x14ac:dyDescent="0.3">
      <c r="A335" s="25">
        <v>2025</v>
      </c>
      <c r="B335" s="26" t="s">
        <v>1285</v>
      </c>
      <c r="C335" s="26">
        <f>LN(Inventory[[#This Row],[Acres]])</f>
        <v>-1.5141277326297755</v>
      </c>
      <c r="D335" s="25">
        <v>0.22</v>
      </c>
      <c r="E335" s="31"/>
      <c r="F335" s="26" t="s">
        <v>537</v>
      </c>
      <c r="G335" s="26" t="s">
        <v>126</v>
      </c>
      <c r="H335" s="26" t="s">
        <v>349</v>
      </c>
      <c r="I335" s="26" t="s">
        <v>538</v>
      </c>
      <c r="J335" s="26" t="s">
        <v>539</v>
      </c>
      <c r="K335" s="26" t="s">
        <v>241</v>
      </c>
      <c r="L335" s="26" t="s">
        <v>302</v>
      </c>
      <c r="M335" s="26" t="s">
        <v>323</v>
      </c>
      <c r="N335" s="26">
        <v>60</v>
      </c>
      <c r="O335" s="26">
        <f>2024-Inventory[[#This Row],[YrBlt]]</f>
        <v>59</v>
      </c>
      <c r="P335" s="26">
        <f>2024-Inventory[[#This Row],[EffYr]]</f>
        <v>48</v>
      </c>
      <c r="Q335" s="25">
        <v>1965</v>
      </c>
      <c r="R335" s="25">
        <v>1976</v>
      </c>
      <c r="S335" s="25">
        <v>1479</v>
      </c>
      <c r="T335" s="27"/>
      <c r="U335" s="32">
        <v>841</v>
      </c>
      <c r="V335" s="32">
        <f>Inventory[[#This Row],[Bsmt]]-Inventory[[#This Row],[FnBsmt]]</f>
        <v>0</v>
      </c>
      <c r="W335" s="32">
        <v>841</v>
      </c>
      <c r="X335" s="27"/>
      <c r="Y335" s="27">
        <f>Inventory[[#This Row],[MainFn]]+Inventory[[#This Row],[UpprFn]]+Inventory[[#This Row],[FnBsmt]]+Inventory[[#This Row],[AddFn]]</f>
        <v>2320</v>
      </c>
      <c r="Z335" s="27">
        <v>2500</v>
      </c>
      <c r="AA335" s="25">
        <v>10</v>
      </c>
      <c r="AB335" s="31"/>
      <c r="AC335" s="32">
        <v>638</v>
      </c>
      <c r="AD335" s="32">
        <v>205</v>
      </c>
      <c r="AE335" s="27"/>
      <c r="AF335" s="27"/>
      <c r="AG335" s="31"/>
      <c r="AH335" s="27"/>
      <c r="AI335" s="25">
        <v>437111</v>
      </c>
      <c r="AJ335" s="25">
        <v>314720</v>
      </c>
      <c r="AK335" s="25">
        <v>0</v>
      </c>
      <c r="AL335" s="25">
        <v>348400</v>
      </c>
      <c r="AM335" s="25">
        <v>61700</v>
      </c>
      <c r="AN335" s="25">
        <v>286700</v>
      </c>
      <c r="AO335" s="25">
        <v>0</v>
      </c>
      <c r="AP335" s="25">
        <f>Lookups!$B$56*0</f>
        <v>0</v>
      </c>
      <c r="AQ335" s="25">
        <f>Lookups!$B$56*1</f>
        <v>89850.625589999996</v>
      </c>
      <c r="AR335" s="25">
        <f>Lookups!$B$57*Inventory[[#This Row],[LnAcres]]</f>
        <v>-47929.131559187132</v>
      </c>
      <c r="AS335" s="25">
        <f>VLOOKUP(Inventory[[#This Row],[Qlty]],Lookups!$A$62:$E$75,2,FALSE)</f>
        <v>29814.093161000001</v>
      </c>
      <c r="AT335" s="25">
        <f>VLOOKUP(Inventory[[#This Row],[Cnd]],Lookups!$A$76:$E$84,2,FALSE)</f>
        <v>160472.20319</v>
      </c>
      <c r="AU335" s="25">
        <f>Inventory[[#This Row],[EffAge]]*Lookups!$B$85</f>
        <v>-10706.188824000001</v>
      </c>
      <c r="AV335" s="25">
        <f>Inventory[[#This Row],[MainFn]]*Lookups!$B$86</f>
        <v>73075.422748083001</v>
      </c>
      <c r="AW335" s="25">
        <f>Inventory[[#This Row],[UpprFn]]*Lookups!$B$87</f>
        <v>0</v>
      </c>
      <c r="AX335" s="25">
        <f>Inventory[[#This Row],[AddFn]]*Lookups!$B$88</f>
        <v>0</v>
      </c>
      <c r="AY335" s="25">
        <f>Inventory[[#This Row],[Bsmt]]*Lookups!$B$89</f>
        <v>24457.873902726998</v>
      </c>
      <c r="AZ335" s="25">
        <f>Inventory[[#This Row],[Fixtures]]*Lookups!$B$90</f>
        <v>37920.221052000001</v>
      </c>
      <c r="BA335" s="25">
        <f>Inventory[[#This Row],[WdDeck]]*Lookups!$B$91</f>
        <v>6825.580631580001</v>
      </c>
      <c r="BB335" s="25">
        <f>ROUND(Inventory[[#This Row],[25Det]],-2)</f>
        <v>0</v>
      </c>
      <c r="BC335" s="25">
        <f>ROUND(SUM(Inventory[[#This Row],[Mdl Qlty]:[Mdl WdDeck]])+Inventory[[#This Row],[Mdl Res Intercept]],-2)</f>
        <v>321900</v>
      </c>
      <c r="BD335" s="25">
        <f>ROUND(Inventory[[#This Row],[Mdl Land Intercept]]+Inventory[[#This Row],[Mdl LnAcres]],-2)</f>
        <v>41900</v>
      </c>
      <c r="BE335" s="25">
        <f>Inventory[[#This Row],[Unadj Res Value]]+Inventory[[#This Row],[Unadj Det Value]]+Inventory[[#This Row],[Unadj Land Value]]</f>
        <v>363800</v>
      </c>
      <c r="BF335" s="36">
        <f>(Inventory[[#This Row],[Unadj Total Value]]-Inventory[[#This Row],[24Final]])/Inventory[[#This Row],[24Final]]</f>
        <v>4.4202066590126293E-2</v>
      </c>
      <c r="BG335" s="25">
        <f>VLOOKUP(Inventory[[#This Row],[Nbhd]],Lookups!$Q$2:$T$4,4,FALSE)</f>
        <v>0.99970000000000003</v>
      </c>
      <c r="BH335" s="25">
        <f>VLOOKUP(Inventory[[#This Row],[Qlty]],Lookups!$O$7:$R$21,4,FALSE)</f>
        <v>1.0088999999999999</v>
      </c>
      <c r="BI335" s="25">
        <f>VLOOKUP(Inventory[[#This Row],[Cnd]],Lookups!$T$7:$W$16,4,FALSE)</f>
        <v>0.99729999999999996</v>
      </c>
      <c r="BJ335" s="25">
        <f>VLOOKUP(Inventory[[#This Row],[LivArea Range]],Lookups!$T$25:$W$37,4,FALSE)</f>
        <v>0.98919999999999997</v>
      </c>
      <c r="BK335" s="25">
        <f>VLOOKUP(Inventory[[#This Row],[Decade]],Lookups!$O$25:$R$42,4,FALSE)</f>
        <v>0.98119999999999996</v>
      </c>
      <c r="BL335" s="25">
        <f>Inventory[[#This Row],[Nbhd Adj]]*0.95</f>
        <v>0.94971499999999998</v>
      </c>
      <c r="BM335" s="25">
        <f>Inventory[[#This Row],[Nbhd Adj]]*Inventory[[#This Row],[Quality Adj]]*Inventory[[#This Row],[Condition Adj]]*Inventory[[#This Row],[Living Area Adj]]*Inventory[[#This Row],[Decade Adj]]*0.95</f>
        <v>0.92748925221935308</v>
      </c>
      <c r="BN335" s="25">
        <f>ROUND(SUM(Inventory[[#This Row],[Mdl Qlty]:[Mdl WdDeck]])+Inventory[[#This Row],[Mdl Res Intercept]]*Inventory[[#This Row],[Res Adj ]],-2)</f>
        <v>321900</v>
      </c>
      <c r="BO335" s="25">
        <f>ROUND(Inventory[[#This Row],[25Det]]*Inventory[[#This Row],[Det/Nbhd Adj]],-2)</f>
        <v>0</v>
      </c>
      <c r="BP335" s="25">
        <f>Inventory[[#This Row],[Adjusted Res]]+Inventory[[#This Row],[Adj Det ]]</f>
        <v>321900</v>
      </c>
      <c r="BQ335" s="25">
        <f>ROUND((Inventory[[#This Row],[Mdl Land Intercept]]+Inventory[[#This Row],[Mdl LnAcres]])*Inventory[[#This Row],[Det/Nbhd Adj]],-2)</f>
        <v>39800</v>
      </c>
      <c r="BR335" s="25">
        <f>Inventory[[#This Row],[Adjusted Impr Total]]+Inventory[[#This Row],[Adjusted Land Total]]</f>
        <v>361700</v>
      </c>
      <c r="BS335" s="36">
        <f>IFERROR((Inventory[[#This Row],[Adjusted Impr Total]]-Inventory[[#This Row],[24Bldg]])/Inventory[[#This Row],[24Bldg]],0)</f>
        <v>0.12277642134635508</v>
      </c>
      <c r="BT335" s="36">
        <f>(Inventory[[#This Row],[Adjusted Land Total]]-Inventory[[#This Row],[24Lnd]])/Inventory[[#This Row],[24Lnd]]</f>
        <v>-0.35494327390599678</v>
      </c>
      <c r="BU335" s="36">
        <f>(Inventory[[#This Row],[Adjusted Total]]-Inventory[[#This Row],[24Final]])/Inventory[[#This Row],[24Final]]</f>
        <v>3.8174512055109071E-2</v>
      </c>
    </row>
    <row r="336" spans="1:73" x14ac:dyDescent="0.3">
      <c r="A336" s="25">
        <v>2025</v>
      </c>
      <c r="B336" s="26" t="s">
        <v>2813</v>
      </c>
      <c r="C336" s="26">
        <f>LN(Inventory[[#This Row],[Acres]])</f>
        <v>-1.4271163556401458</v>
      </c>
      <c r="D336" s="25">
        <v>0.24</v>
      </c>
      <c r="E336" s="25">
        <v>10298</v>
      </c>
      <c r="F336" s="26" t="s">
        <v>537</v>
      </c>
      <c r="G336" s="26" t="s">
        <v>126</v>
      </c>
      <c r="H336" s="26" t="s">
        <v>349</v>
      </c>
      <c r="I336" s="26" t="s">
        <v>538</v>
      </c>
      <c r="J336" s="26" t="s">
        <v>539</v>
      </c>
      <c r="K336" s="26" t="s">
        <v>241</v>
      </c>
      <c r="L336" s="26" t="s">
        <v>351</v>
      </c>
      <c r="M336" s="26" t="s">
        <v>323</v>
      </c>
      <c r="N336" s="26">
        <v>60</v>
      </c>
      <c r="O336" s="26">
        <f>2024-Inventory[[#This Row],[YrBlt]]</f>
        <v>59</v>
      </c>
      <c r="P336" s="26">
        <f>2024-Inventory[[#This Row],[EffYr]]</f>
        <v>48</v>
      </c>
      <c r="Q336" s="25">
        <v>1965</v>
      </c>
      <c r="R336" s="25">
        <v>1976</v>
      </c>
      <c r="S336" s="25">
        <v>1206</v>
      </c>
      <c r="T336" s="27"/>
      <c r="U336" s="31"/>
      <c r="V336" s="31">
        <f>Inventory[[#This Row],[Bsmt]]-Inventory[[#This Row],[FnBsmt]]</f>
        <v>0</v>
      </c>
      <c r="W336" s="31"/>
      <c r="X336" s="27"/>
      <c r="Y336" s="27">
        <f>Inventory[[#This Row],[MainFn]]+Inventory[[#This Row],[UpprFn]]+Inventory[[#This Row],[FnBsmt]]+Inventory[[#This Row],[AddFn]]</f>
        <v>1206</v>
      </c>
      <c r="Z336" s="27">
        <v>1500</v>
      </c>
      <c r="AA336" s="25">
        <v>7</v>
      </c>
      <c r="AB336" s="27"/>
      <c r="AC336" s="27"/>
      <c r="AD336" s="27"/>
      <c r="AE336" s="27"/>
      <c r="AF336" s="27"/>
      <c r="AG336" s="27"/>
      <c r="AH336" s="27"/>
      <c r="AI336" s="25">
        <v>206176</v>
      </c>
      <c r="AJ336" s="25">
        <v>148447</v>
      </c>
      <c r="AK336" s="25">
        <v>0</v>
      </c>
      <c r="AL336" s="25">
        <v>289400</v>
      </c>
      <c r="AM336" s="25">
        <v>64800</v>
      </c>
      <c r="AN336" s="25">
        <v>224600</v>
      </c>
      <c r="AO336" s="25">
        <v>0</v>
      </c>
      <c r="AP336" s="25">
        <f>Lookups!$B$56*0</f>
        <v>0</v>
      </c>
      <c r="AQ336" s="25">
        <f>Lookups!$B$56*1</f>
        <v>89850.625589999996</v>
      </c>
      <c r="AR336" s="25">
        <f>Lookups!$B$57*Inventory[[#This Row],[LnAcres]]</f>
        <v>-45174.819855485119</v>
      </c>
      <c r="AS336" s="25">
        <f>VLOOKUP(Inventory[[#This Row],[Qlty]],Lookups!$A$62:$E$75,2,FALSE)</f>
        <v>21557.329055999999</v>
      </c>
      <c r="AT336" s="25">
        <f>VLOOKUP(Inventory[[#This Row],[Cnd]],Lookups!$A$76:$E$84,2,FALSE)</f>
        <v>160472.20319</v>
      </c>
      <c r="AU336" s="25">
        <f>Inventory[[#This Row],[EffAge]]*Lookups!$B$85</f>
        <v>-10706.188824000001</v>
      </c>
      <c r="AV336" s="25">
        <f>Inventory[[#This Row],[MainFn]]*Lookups!$B$86</f>
        <v>59586.855871662003</v>
      </c>
      <c r="AW336" s="25">
        <f>Inventory[[#This Row],[UpprFn]]*Lookups!$B$87</f>
        <v>0</v>
      </c>
      <c r="AX336" s="25">
        <f>Inventory[[#This Row],[AddFn]]*Lookups!$B$88</f>
        <v>0</v>
      </c>
      <c r="AY336" s="25">
        <f>Inventory[[#This Row],[Bsmt]]*Lookups!$B$89</f>
        <v>0</v>
      </c>
      <c r="AZ336" s="25">
        <f>Inventory[[#This Row],[Fixtures]]*Lookups!$B$90</f>
        <v>26544.1547364</v>
      </c>
      <c r="BA336" s="25">
        <f>Inventory[[#This Row],[WdDeck]]*Lookups!$B$91</f>
        <v>0</v>
      </c>
      <c r="BB336" s="25">
        <f>ROUND(Inventory[[#This Row],[25Det]],-2)</f>
        <v>0</v>
      </c>
      <c r="BC336" s="25">
        <f>ROUND(SUM(Inventory[[#This Row],[Mdl Qlty]:[Mdl WdDeck]])+Inventory[[#This Row],[Mdl Res Intercept]],-2)</f>
        <v>257500</v>
      </c>
      <c r="BD336" s="25">
        <f>ROUND(Inventory[[#This Row],[Mdl Land Intercept]]+Inventory[[#This Row],[Mdl LnAcres]],-2)</f>
        <v>44700</v>
      </c>
      <c r="BE336" s="25">
        <f>Inventory[[#This Row],[Unadj Res Value]]+Inventory[[#This Row],[Unadj Det Value]]+Inventory[[#This Row],[Unadj Land Value]]</f>
        <v>302200</v>
      </c>
      <c r="BF336" s="36">
        <f>(Inventory[[#This Row],[Unadj Total Value]]-Inventory[[#This Row],[24Final]])/Inventory[[#This Row],[24Final]]</f>
        <v>4.42294402211472E-2</v>
      </c>
      <c r="BG336" s="25">
        <f>VLOOKUP(Inventory[[#This Row],[Nbhd]],Lookups!$Q$2:$T$4,4,FALSE)</f>
        <v>0.99970000000000003</v>
      </c>
      <c r="BH336" s="25">
        <f>VLOOKUP(Inventory[[#This Row],[Qlty]],Lookups!$O$7:$R$21,4,FALSE)</f>
        <v>1.0067999999999999</v>
      </c>
      <c r="BI336" s="25">
        <f>VLOOKUP(Inventory[[#This Row],[Cnd]],Lookups!$T$7:$W$16,4,FALSE)</f>
        <v>0.99729999999999996</v>
      </c>
      <c r="BJ336" s="25">
        <f>VLOOKUP(Inventory[[#This Row],[LivArea Range]],Lookups!$T$25:$W$37,4,FALSE)</f>
        <v>1.0157</v>
      </c>
      <c r="BK336" s="25">
        <f>VLOOKUP(Inventory[[#This Row],[Decade]],Lookups!$O$25:$R$42,4,FALSE)</f>
        <v>0.98119999999999996</v>
      </c>
      <c r="BL336" s="25">
        <f>Inventory[[#This Row],[Nbhd Adj]]*0.95</f>
        <v>0.94971499999999998</v>
      </c>
      <c r="BM336" s="25">
        <f>Inventory[[#This Row],[Nbhd Adj]]*Inventory[[#This Row],[Quality Adj]]*Inventory[[#This Row],[Condition Adj]]*Inventory[[#This Row],[Living Area Adj]]*Inventory[[#This Row],[Decade Adj]]*0.95</f>
        <v>0.95035379937285946</v>
      </c>
      <c r="BN336" s="25">
        <f>ROUND(SUM(Inventory[[#This Row],[Mdl Qlty]:[Mdl WdDeck]])+Inventory[[#This Row],[Mdl Res Intercept]]*Inventory[[#This Row],[Res Adj ]],-2)</f>
        <v>257500</v>
      </c>
      <c r="BO336" s="25">
        <f>ROUND(Inventory[[#This Row],[25Det]]*Inventory[[#This Row],[Det/Nbhd Adj]],-2)</f>
        <v>0</v>
      </c>
      <c r="BP336" s="25">
        <f>Inventory[[#This Row],[Adjusted Res]]+Inventory[[#This Row],[Adj Det ]]</f>
        <v>257500</v>
      </c>
      <c r="BQ336" s="25">
        <f>ROUND((Inventory[[#This Row],[Mdl Land Intercept]]+Inventory[[#This Row],[Mdl LnAcres]])*Inventory[[#This Row],[Det/Nbhd Adj]],-2)</f>
        <v>42400</v>
      </c>
      <c r="BR336" s="25">
        <f>Inventory[[#This Row],[Adjusted Impr Total]]+Inventory[[#This Row],[Adjusted Land Total]]</f>
        <v>299900</v>
      </c>
      <c r="BS336" s="36">
        <f>IFERROR((Inventory[[#This Row],[Adjusted Impr Total]]-Inventory[[#This Row],[24Bldg]])/Inventory[[#This Row],[24Bldg]],0)</f>
        <v>0.1464826357969724</v>
      </c>
      <c r="BT336" s="36">
        <f>(Inventory[[#This Row],[Adjusted Land Total]]-Inventory[[#This Row],[24Lnd]])/Inventory[[#This Row],[24Lnd]]</f>
        <v>-0.34567901234567899</v>
      </c>
      <c r="BU336" s="36">
        <f>(Inventory[[#This Row],[Adjusted Total]]-Inventory[[#This Row],[24Final]])/Inventory[[#This Row],[24Final]]</f>
        <v>3.6281962681409811E-2</v>
      </c>
    </row>
    <row r="337" spans="1:73" x14ac:dyDescent="0.3">
      <c r="A337" s="25">
        <v>2025</v>
      </c>
      <c r="B337" s="26" t="s">
        <v>1175</v>
      </c>
      <c r="C337" s="26">
        <f>LN(Inventory[[#This Row],[Acres]])</f>
        <v>-1.7147984280919266</v>
      </c>
      <c r="D337" s="25">
        <v>0.18</v>
      </c>
      <c r="E337" s="31"/>
      <c r="F337" s="26" t="s">
        <v>537</v>
      </c>
      <c r="G337" s="26" t="s">
        <v>126</v>
      </c>
      <c r="H337" s="26" t="s">
        <v>349</v>
      </c>
      <c r="I337" s="26" t="s">
        <v>538</v>
      </c>
      <c r="J337" s="26" t="s">
        <v>539</v>
      </c>
      <c r="K337" s="26" t="s">
        <v>241</v>
      </c>
      <c r="L337" s="26" t="s">
        <v>351</v>
      </c>
      <c r="M337" s="26" t="s">
        <v>323</v>
      </c>
      <c r="N337" s="26">
        <v>60</v>
      </c>
      <c r="O337" s="26">
        <f>2024-Inventory[[#This Row],[YrBlt]]</f>
        <v>59</v>
      </c>
      <c r="P337" s="26">
        <f>2024-Inventory[[#This Row],[EffYr]]</f>
        <v>48</v>
      </c>
      <c r="Q337" s="25">
        <v>1965</v>
      </c>
      <c r="R337" s="25">
        <v>1976</v>
      </c>
      <c r="S337" s="25">
        <v>1168</v>
      </c>
      <c r="T337" s="27"/>
      <c r="U337" s="32">
        <v>1168</v>
      </c>
      <c r="V337" s="32">
        <f>Inventory[[#This Row],[Bsmt]]-Inventory[[#This Row],[FnBsmt]]</f>
        <v>584</v>
      </c>
      <c r="W337" s="32">
        <v>584</v>
      </c>
      <c r="X337" s="27"/>
      <c r="Y337" s="27">
        <f>Inventory[[#This Row],[MainFn]]+Inventory[[#This Row],[UpprFn]]+Inventory[[#This Row],[FnBsmt]]+Inventory[[#This Row],[AddFn]]</f>
        <v>1752</v>
      </c>
      <c r="Z337" s="27">
        <v>2000</v>
      </c>
      <c r="AA337" s="25">
        <v>7</v>
      </c>
      <c r="AB337" s="27"/>
      <c r="AC337" s="27"/>
      <c r="AD337" s="27"/>
      <c r="AE337" s="27"/>
      <c r="AF337" s="27"/>
      <c r="AG337" s="31"/>
      <c r="AH337" s="27"/>
      <c r="AI337" s="25">
        <v>269765</v>
      </c>
      <c r="AJ337" s="25">
        <v>194231</v>
      </c>
      <c r="AK337" s="25">
        <v>0</v>
      </c>
      <c r="AL337" s="25">
        <v>312400</v>
      </c>
      <c r="AM337" s="25">
        <v>54700</v>
      </c>
      <c r="AN337" s="25">
        <v>257700</v>
      </c>
      <c r="AO337" s="25">
        <v>0</v>
      </c>
      <c r="AP337" s="25">
        <f>Lookups!$B$56*0</f>
        <v>0</v>
      </c>
      <c r="AQ337" s="25">
        <f>Lookups!$B$56*1</f>
        <v>89850.625589999996</v>
      </c>
      <c r="AR337" s="25">
        <f>Lookups!$B$57*Inventory[[#This Row],[LnAcres]]</f>
        <v>-54281.285314520763</v>
      </c>
      <c r="AS337" s="25">
        <f>VLOOKUP(Inventory[[#This Row],[Qlty]],Lookups!$A$62:$E$75,2,FALSE)</f>
        <v>21557.329055999999</v>
      </c>
      <c r="AT337" s="25">
        <f>VLOOKUP(Inventory[[#This Row],[Cnd]],Lookups!$A$76:$E$84,2,FALSE)</f>
        <v>160472.20319</v>
      </c>
      <c r="AU337" s="25">
        <f>Inventory[[#This Row],[EffAge]]*Lookups!$B$85</f>
        <v>-10706.188824000001</v>
      </c>
      <c r="AV337" s="25">
        <f>Inventory[[#This Row],[MainFn]]*Lookups!$B$86</f>
        <v>57709.326416336</v>
      </c>
      <c r="AW337" s="25">
        <f>Inventory[[#This Row],[UpprFn]]*Lookups!$B$87</f>
        <v>0</v>
      </c>
      <c r="AX337" s="25">
        <f>Inventory[[#This Row],[AddFn]]*Lookups!$B$88</f>
        <v>0</v>
      </c>
      <c r="AY337" s="25">
        <f>Inventory[[#This Row],[Bsmt]]*Lookups!$B$89</f>
        <v>33967.653648496002</v>
      </c>
      <c r="AZ337" s="25">
        <f>Inventory[[#This Row],[Fixtures]]*Lookups!$B$90</f>
        <v>26544.1547364</v>
      </c>
      <c r="BA337" s="25">
        <f>Inventory[[#This Row],[WdDeck]]*Lookups!$B$91</f>
        <v>0</v>
      </c>
      <c r="BB337" s="25">
        <f>ROUND(Inventory[[#This Row],[25Det]],-2)</f>
        <v>0</v>
      </c>
      <c r="BC337" s="25">
        <f>ROUND(SUM(Inventory[[#This Row],[Mdl Qlty]:[Mdl WdDeck]])+Inventory[[#This Row],[Mdl Res Intercept]],-2)</f>
        <v>289500</v>
      </c>
      <c r="BD337" s="25">
        <f>ROUND(Inventory[[#This Row],[Mdl Land Intercept]]+Inventory[[#This Row],[Mdl LnAcres]],-2)</f>
        <v>35600</v>
      </c>
      <c r="BE337" s="25">
        <f>Inventory[[#This Row],[Unadj Res Value]]+Inventory[[#This Row],[Unadj Det Value]]+Inventory[[#This Row],[Unadj Land Value]]</f>
        <v>325100</v>
      </c>
      <c r="BF337" s="36">
        <f>(Inventory[[#This Row],[Unadj Total Value]]-Inventory[[#This Row],[24Final]])/Inventory[[#This Row],[24Final]]</f>
        <v>4.0653008962868116E-2</v>
      </c>
      <c r="BG337" s="25">
        <f>VLOOKUP(Inventory[[#This Row],[Nbhd]],Lookups!$Q$2:$T$4,4,FALSE)</f>
        <v>0.99970000000000003</v>
      </c>
      <c r="BH337" s="25">
        <f>VLOOKUP(Inventory[[#This Row],[Qlty]],Lookups!$O$7:$R$21,4,FALSE)</f>
        <v>1.0067999999999999</v>
      </c>
      <c r="BI337" s="25">
        <f>VLOOKUP(Inventory[[#This Row],[Cnd]],Lookups!$T$7:$W$16,4,FALSE)</f>
        <v>0.99729999999999996</v>
      </c>
      <c r="BJ337" s="25">
        <f>VLOOKUP(Inventory[[#This Row],[LivArea Range]],Lookups!$T$25:$W$37,4,FALSE)</f>
        <v>1.0093000000000001</v>
      </c>
      <c r="BK337" s="25">
        <f>VLOOKUP(Inventory[[#This Row],[Decade]],Lookups!$O$25:$R$42,4,FALSE)</f>
        <v>0.98119999999999996</v>
      </c>
      <c r="BL337" s="25">
        <f>Inventory[[#This Row],[Nbhd Adj]]*0.95</f>
        <v>0.94971499999999998</v>
      </c>
      <c r="BM337" s="25">
        <f>Inventory[[#This Row],[Nbhd Adj]]*Inventory[[#This Row],[Quality Adj]]*Inventory[[#This Row],[Condition Adj]]*Inventory[[#This Row],[Living Area Adj]]*Inventory[[#This Row],[Decade Adj]]*0.95</f>
        <v>0.94436555056318516</v>
      </c>
      <c r="BN337" s="25">
        <f>ROUND(SUM(Inventory[[#This Row],[Mdl Qlty]:[Mdl WdDeck]])+Inventory[[#This Row],[Mdl Res Intercept]]*Inventory[[#This Row],[Res Adj ]],-2)</f>
        <v>289500</v>
      </c>
      <c r="BO337" s="25">
        <f>ROUND(Inventory[[#This Row],[25Det]]*Inventory[[#This Row],[Det/Nbhd Adj]],-2)</f>
        <v>0</v>
      </c>
      <c r="BP337" s="25">
        <f>Inventory[[#This Row],[Adjusted Res]]+Inventory[[#This Row],[Adj Det ]]</f>
        <v>289500</v>
      </c>
      <c r="BQ337" s="25">
        <f>ROUND((Inventory[[#This Row],[Mdl Land Intercept]]+Inventory[[#This Row],[Mdl LnAcres]])*Inventory[[#This Row],[Det/Nbhd Adj]],-2)</f>
        <v>33800</v>
      </c>
      <c r="BR337" s="25">
        <f>Inventory[[#This Row],[Adjusted Impr Total]]+Inventory[[#This Row],[Adjusted Land Total]]</f>
        <v>323300</v>
      </c>
      <c r="BS337" s="36">
        <f>IFERROR((Inventory[[#This Row],[Adjusted Impr Total]]-Inventory[[#This Row],[24Bldg]])/Inventory[[#This Row],[24Bldg]],0)</f>
        <v>0.12339930151338765</v>
      </c>
      <c r="BT337" s="36">
        <f>(Inventory[[#This Row],[Adjusted Land Total]]-Inventory[[#This Row],[24Lnd]])/Inventory[[#This Row],[24Lnd]]</f>
        <v>-0.38208409506398539</v>
      </c>
      <c r="BU337" s="36">
        <f>(Inventory[[#This Row],[Adjusted Total]]-Inventory[[#This Row],[24Final]])/Inventory[[#This Row],[24Final]]</f>
        <v>3.4891165172855315E-2</v>
      </c>
    </row>
    <row r="338" spans="1:73" x14ac:dyDescent="0.3">
      <c r="A338" s="25">
        <v>2025</v>
      </c>
      <c r="B338" s="26" t="s">
        <v>2113</v>
      </c>
      <c r="C338" s="26">
        <f>LN(Inventory[[#This Row],[Acres]])</f>
        <v>-1.7147984280919266</v>
      </c>
      <c r="D338" s="25">
        <v>0.18</v>
      </c>
      <c r="E338" s="25">
        <v>7807</v>
      </c>
      <c r="F338" s="26" t="s">
        <v>537</v>
      </c>
      <c r="G338" s="26" t="s">
        <v>126</v>
      </c>
      <c r="H338" s="26" t="s">
        <v>349</v>
      </c>
      <c r="I338" s="26" t="s">
        <v>538</v>
      </c>
      <c r="J338" s="26" t="s">
        <v>539</v>
      </c>
      <c r="K338" s="26" t="s">
        <v>241</v>
      </c>
      <c r="L338" s="26" t="s">
        <v>148</v>
      </c>
      <c r="M338" s="26" t="s">
        <v>323</v>
      </c>
      <c r="N338" s="26">
        <v>60</v>
      </c>
      <c r="O338" s="26">
        <f>2024-Inventory[[#This Row],[YrBlt]]</f>
        <v>59</v>
      </c>
      <c r="P338" s="26">
        <f>2024-Inventory[[#This Row],[EffYr]]</f>
        <v>48</v>
      </c>
      <c r="Q338" s="25">
        <v>1965</v>
      </c>
      <c r="R338" s="25">
        <v>1976</v>
      </c>
      <c r="S338" s="25">
        <v>1606</v>
      </c>
      <c r="T338" s="27"/>
      <c r="U338" s="27"/>
      <c r="V338" s="27">
        <f>Inventory[[#This Row],[Bsmt]]-Inventory[[#This Row],[FnBsmt]]</f>
        <v>0</v>
      </c>
      <c r="W338" s="27"/>
      <c r="X338" s="27"/>
      <c r="Y338" s="27">
        <f>Inventory[[#This Row],[MainFn]]+Inventory[[#This Row],[UpprFn]]+Inventory[[#This Row],[FnBsmt]]+Inventory[[#This Row],[AddFn]]</f>
        <v>1606</v>
      </c>
      <c r="Z338" s="27">
        <v>2000</v>
      </c>
      <c r="AA338" s="25">
        <v>10</v>
      </c>
      <c r="AB338" s="25">
        <v>308</v>
      </c>
      <c r="AC338" s="27"/>
      <c r="AD338" s="27"/>
      <c r="AE338" s="27"/>
      <c r="AF338" s="27"/>
      <c r="AG338" s="31"/>
      <c r="AH338" s="27"/>
      <c r="AI338" s="25">
        <v>355679</v>
      </c>
      <c r="AJ338" s="25">
        <v>256089</v>
      </c>
      <c r="AK338" s="25">
        <v>0</v>
      </c>
      <c r="AL338" s="25">
        <v>333500</v>
      </c>
      <c r="AM338" s="25">
        <v>54700</v>
      </c>
      <c r="AN338" s="25">
        <v>278800</v>
      </c>
      <c r="AO338" s="25">
        <v>0</v>
      </c>
      <c r="AP338" s="25">
        <f>Lookups!$B$56*0</f>
        <v>0</v>
      </c>
      <c r="AQ338" s="25">
        <f>Lookups!$B$56*1</f>
        <v>89850.625589999996</v>
      </c>
      <c r="AR338" s="25">
        <f>Lookups!$B$57*Inventory[[#This Row],[LnAcres]]</f>
        <v>-54281.285314520763</v>
      </c>
      <c r="AS338" s="25">
        <f>VLOOKUP(Inventory[[#This Row],[Qlty]],Lookups!$A$62:$E$75,2,FALSE)</f>
        <v>44121.038090000002</v>
      </c>
      <c r="AT338" s="25">
        <f>VLOOKUP(Inventory[[#This Row],[Cnd]],Lookups!$A$76:$E$84,2,FALSE)</f>
        <v>160472.20319</v>
      </c>
      <c r="AU338" s="25">
        <f>Inventory[[#This Row],[EffAge]]*Lookups!$B$85</f>
        <v>-10706.188824000001</v>
      </c>
      <c r="AV338" s="25">
        <f>Inventory[[#This Row],[MainFn]]*Lookups!$B$86</f>
        <v>79350.323822462</v>
      </c>
      <c r="AW338" s="25">
        <f>Inventory[[#This Row],[UpprFn]]*Lookups!$B$87</f>
        <v>0</v>
      </c>
      <c r="AX338" s="25">
        <f>Inventory[[#This Row],[AddFn]]*Lookups!$B$88</f>
        <v>0</v>
      </c>
      <c r="AY338" s="25">
        <f>Inventory[[#This Row],[Bsmt]]*Lookups!$B$89</f>
        <v>0</v>
      </c>
      <c r="AZ338" s="25">
        <f>Inventory[[#This Row],[Fixtures]]*Lookups!$B$90</f>
        <v>37920.221052000001</v>
      </c>
      <c r="BA338" s="25">
        <f>Inventory[[#This Row],[WdDeck]]*Lookups!$B$91</f>
        <v>0</v>
      </c>
      <c r="BB338" s="25">
        <f>ROUND(Inventory[[#This Row],[25Det]],-2)</f>
        <v>0</v>
      </c>
      <c r="BC338" s="25">
        <f>ROUND(SUM(Inventory[[#This Row],[Mdl Qlty]:[Mdl WdDeck]])+Inventory[[#This Row],[Mdl Res Intercept]],-2)</f>
        <v>311200</v>
      </c>
      <c r="BD338" s="25">
        <f>ROUND(Inventory[[#This Row],[Mdl Land Intercept]]+Inventory[[#This Row],[Mdl LnAcres]],-2)</f>
        <v>35600</v>
      </c>
      <c r="BE338" s="25">
        <f>Inventory[[#This Row],[Unadj Res Value]]+Inventory[[#This Row],[Unadj Det Value]]+Inventory[[#This Row],[Unadj Land Value]]</f>
        <v>346800</v>
      </c>
      <c r="BF338" s="36">
        <f>(Inventory[[#This Row],[Unadj Total Value]]-Inventory[[#This Row],[24Final]])/Inventory[[#This Row],[24Final]]</f>
        <v>3.9880059970014994E-2</v>
      </c>
      <c r="BG338" s="25">
        <f>VLOOKUP(Inventory[[#This Row],[Nbhd]],Lookups!$Q$2:$T$4,4,FALSE)</f>
        <v>0.99970000000000003</v>
      </c>
      <c r="BH338" s="25">
        <f>VLOOKUP(Inventory[[#This Row],[Qlty]],Lookups!$O$7:$R$21,4,FALSE)</f>
        <v>0.98050000000000004</v>
      </c>
      <c r="BI338" s="25">
        <f>VLOOKUP(Inventory[[#This Row],[Cnd]],Lookups!$T$7:$W$16,4,FALSE)</f>
        <v>0.99729999999999996</v>
      </c>
      <c r="BJ338" s="25">
        <f>VLOOKUP(Inventory[[#This Row],[LivArea Range]],Lookups!$T$25:$W$37,4,FALSE)</f>
        <v>1.0093000000000001</v>
      </c>
      <c r="BK338" s="25">
        <f>VLOOKUP(Inventory[[#This Row],[Decade]],Lookups!$O$25:$R$42,4,FALSE)</f>
        <v>0.98119999999999996</v>
      </c>
      <c r="BL338" s="25">
        <f>Inventory[[#This Row],[Nbhd Adj]]*0.95</f>
        <v>0.94971499999999998</v>
      </c>
      <c r="BM338" s="25">
        <f>Inventory[[#This Row],[Nbhd Adj]]*Inventory[[#This Row],[Quality Adj]]*Inventory[[#This Row],[Condition Adj]]*Inventory[[#This Row],[Living Area Adj]]*Inventory[[#This Row],[Decade Adj]]*0.95</f>
        <v>0.91969648622090105</v>
      </c>
      <c r="BN338" s="25">
        <f>ROUND(SUM(Inventory[[#This Row],[Mdl Qlty]:[Mdl WdDeck]])+Inventory[[#This Row],[Mdl Res Intercept]]*Inventory[[#This Row],[Res Adj ]],-2)</f>
        <v>311200</v>
      </c>
      <c r="BO338" s="25">
        <f>ROUND(Inventory[[#This Row],[25Det]]*Inventory[[#This Row],[Det/Nbhd Adj]],-2)</f>
        <v>0</v>
      </c>
      <c r="BP338" s="25">
        <f>Inventory[[#This Row],[Adjusted Res]]+Inventory[[#This Row],[Adj Det ]]</f>
        <v>311200</v>
      </c>
      <c r="BQ338" s="25">
        <f>ROUND((Inventory[[#This Row],[Mdl Land Intercept]]+Inventory[[#This Row],[Mdl LnAcres]])*Inventory[[#This Row],[Det/Nbhd Adj]],-2)</f>
        <v>33800</v>
      </c>
      <c r="BR338" s="25">
        <f>Inventory[[#This Row],[Adjusted Impr Total]]+Inventory[[#This Row],[Adjusted Land Total]]</f>
        <v>345000</v>
      </c>
      <c r="BS338" s="36">
        <f>IFERROR((Inventory[[#This Row],[Adjusted Impr Total]]-Inventory[[#This Row],[24Bldg]])/Inventory[[#This Row],[24Bldg]],0)</f>
        <v>0.11621233859397417</v>
      </c>
      <c r="BT338" s="36">
        <f>(Inventory[[#This Row],[Adjusted Land Total]]-Inventory[[#This Row],[24Lnd]])/Inventory[[#This Row],[24Lnd]]</f>
        <v>-0.38208409506398539</v>
      </c>
      <c r="BU338" s="36">
        <f>(Inventory[[#This Row],[Adjusted Total]]-Inventory[[#This Row],[24Final]])/Inventory[[#This Row],[24Final]]</f>
        <v>3.4482758620689655E-2</v>
      </c>
    </row>
    <row r="339" spans="1:73" x14ac:dyDescent="0.3">
      <c r="A339" s="25">
        <v>2025</v>
      </c>
      <c r="B339" s="26" t="s">
        <v>2127</v>
      </c>
      <c r="C339" s="26">
        <f>LN(Inventory[[#This Row],[Acres]])</f>
        <v>-1.5606477482646683</v>
      </c>
      <c r="D339" s="25">
        <v>0.21</v>
      </c>
      <c r="E339" s="25">
        <v>9104</v>
      </c>
      <c r="F339" s="26" t="s">
        <v>537</v>
      </c>
      <c r="G339" s="26" t="s">
        <v>126</v>
      </c>
      <c r="H339" s="26" t="s">
        <v>349</v>
      </c>
      <c r="I339" s="26" t="s">
        <v>538</v>
      </c>
      <c r="J339" s="26" t="s">
        <v>539</v>
      </c>
      <c r="K339" s="26" t="s">
        <v>241</v>
      </c>
      <c r="L339" s="26" t="s">
        <v>302</v>
      </c>
      <c r="M339" s="26" t="s">
        <v>303</v>
      </c>
      <c r="N339" s="26">
        <v>60</v>
      </c>
      <c r="O339" s="26">
        <f>2024-Inventory[[#This Row],[YrBlt]]</f>
        <v>59</v>
      </c>
      <c r="P339" s="26">
        <f>2024-Inventory[[#This Row],[EffYr]]</f>
        <v>48</v>
      </c>
      <c r="Q339" s="25">
        <v>1965</v>
      </c>
      <c r="R339" s="25">
        <v>1976</v>
      </c>
      <c r="S339" s="25">
        <v>1424</v>
      </c>
      <c r="T339" s="27"/>
      <c r="U339" s="25">
        <v>1248</v>
      </c>
      <c r="V339" s="25">
        <f>Inventory[[#This Row],[Bsmt]]-Inventory[[#This Row],[FnBsmt]]</f>
        <v>0</v>
      </c>
      <c r="W339" s="25">
        <v>1248</v>
      </c>
      <c r="X339" s="27"/>
      <c r="Y339" s="27">
        <f>Inventory[[#This Row],[MainFn]]+Inventory[[#This Row],[UpprFn]]+Inventory[[#This Row],[FnBsmt]]+Inventory[[#This Row],[AddFn]]</f>
        <v>2672</v>
      </c>
      <c r="Z339" s="27">
        <v>3000</v>
      </c>
      <c r="AA339" s="25">
        <v>10</v>
      </c>
      <c r="AB339" s="25">
        <v>484</v>
      </c>
      <c r="AC339" s="27"/>
      <c r="AD339" s="27"/>
      <c r="AE339" s="27"/>
      <c r="AF339" s="27"/>
      <c r="AG339" s="31"/>
      <c r="AH339" s="27"/>
      <c r="AI339" s="25">
        <v>422859</v>
      </c>
      <c r="AJ339" s="25">
        <v>308687</v>
      </c>
      <c r="AK339" s="25">
        <v>0</v>
      </c>
      <c r="AL339" s="25">
        <v>387800</v>
      </c>
      <c r="AM339" s="25">
        <v>60100</v>
      </c>
      <c r="AN339" s="25">
        <v>327700</v>
      </c>
      <c r="AO339" s="25">
        <v>0</v>
      </c>
      <c r="AP339" s="25">
        <f>Lookups!$B$56*0</f>
        <v>0</v>
      </c>
      <c r="AQ339" s="25">
        <f>Lookups!$B$56*1</f>
        <v>89850.625589999996</v>
      </c>
      <c r="AR339" s="25">
        <f>Lookups!$B$57*Inventory[[#This Row],[LnAcres]]</f>
        <v>-49401.70477837498</v>
      </c>
      <c r="AS339" s="25">
        <f>VLOOKUP(Inventory[[#This Row],[Qlty]],Lookups!$A$62:$E$75,2,FALSE)</f>
        <v>29814.093161000001</v>
      </c>
      <c r="AT339" s="25">
        <f>VLOOKUP(Inventory[[#This Row],[Cnd]],Lookups!$A$76:$E$84,2,FALSE)</f>
        <v>197752.34721000001</v>
      </c>
      <c r="AU339" s="25">
        <f>Inventory[[#This Row],[EffAge]]*Lookups!$B$85</f>
        <v>-10706.188824000001</v>
      </c>
      <c r="AV339" s="25">
        <f>Inventory[[#This Row],[MainFn]]*Lookups!$B$86</f>
        <v>70357.945904848006</v>
      </c>
      <c r="AW339" s="25">
        <f>Inventory[[#This Row],[UpprFn]]*Lookups!$B$87</f>
        <v>0</v>
      </c>
      <c r="AX339" s="25">
        <f>Inventory[[#This Row],[AddFn]]*Lookups!$B$88</f>
        <v>0</v>
      </c>
      <c r="AY339" s="25">
        <f>Inventory[[#This Row],[Bsmt]]*Lookups!$B$89</f>
        <v>36294.205268255995</v>
      </c>
      <c r="AZ339" s="25">
        <f>Inventory[[#This Row],[Fixtures]]*Lookups!$B$90</f>
        <v>37920.221052000001</v>
      </c>
      <c r="BA339" s="25">
        <f>Inventory[[#This Row],[WdDeck]]*Lookups!$B$91</f>
        <v>0</v>
      </c>
      <c r="BB339" s="25">
        <f>ROUND(Inventory[[#This Row],[25Det]],-2)</f>
        <v>0</v>
      </c>
      <c r="BC339" s="25">
        <f>ROUND(SUM(Inventory[[#This Row],[Mdl Qlty]:[Mdl WdDeck]])+Inventory[[#This Row],[Mdl Res Intercept]],-2)</f>
        <v>361400</v>
      </c>
      <c r="BD339" s="25">
        <f>ROUND(Inventory[[#This Row],[Mdl Land Intercept]]+Inventory[[#This Row],[Mdl LnAcres]],-2)</f>
        <v>40400</v>
      </c>
      <c r="BE339" s="25">
        <f>Inventory[[#This Row],[Unadj Res Value]]+Inventory[[#This Row],[Unadj Det Value]]+Inventory[[#This Row],[Unadj Land Value]]</f>
        <v>401800</v>
      </c>
      <c r="BF339" s="36">
        <f>(Inventory[[#This Row],[Unadj Total Value]]-Inventory[[#This Row],[24Final]])/Inventory[[#This Row],[24Final]]</f>
        <v>3.6101083032490974E-2</v>
      </c>
      <c r="BG339" s="25">
        <f>VLOOKUP(Inventory[[#This Row],[Nbhd]],Lookups!$Q$2:$T$4,4,FALSE)</f>
        <v>0.99970000000000003</v>
      </c>
      <c r="BH339" s="25">
        <f>VLOOKUP(Inventory[[#This Row],[Qlty]],Lookups!$O$7:$R$21,4,FALSE)</f>
        <v>1.0088999999999999</v>
      </c>
      <c r="BI339" s="25">
        <f>VLOOKUP(Inventory[[#This Row],[Cnd]],Lookups!$T$7:$W$16,4,FALSE)</f>
        <v>0.99650000000000005</v>
      </c>
      <c r="BJ339" s="25">
        <f>VLOOKUP(Inventory[[#This Row],[LivArea Range]],Lookups!$T$25:$W$37,4,FALSE)</f>
        <v>0.96179999999999999</v>
      </c>
      <c r="BK339" s="25">
        <f>VLOOKUP(Inventory[[#This Row],[Decade]],Lookups!$O$25:$R$42,4,FALSE)</f>
        <v>0.98119999999999996</v>
      </c>
      <c r="BL339" s="25">
        <f>Inventory[[#This Row],[Nbhd Adj]]*0.95</f>
        <v>0.94971499999999998</v>
      </c>
      <c r="BM339" s="25">
        <f>Inventory[[#This Row],[Nbhd Adj]]*Inventory[[#This Row],[Quality Adj]]*Inventory[[#This Row],[Condition Adj]]*Inventory[[#This Row],[Living Area Adj]]*Inventory[[#This Row],[Decade Adj]]*0.95</f>
        <v>0.9010751955013957</v>
      </c>
      <c r="BN339" s="25">
        <f>ROUND(SUM(Inventory[[#This Row],[Mdl Qlty]:[Mdl WdDeck]])+Inventory[[#This Row],[Mdl Res Intercept]]*Inventory[[#This Row],[Res Adj ]],-2)</f>
        <v>361400</v>
      </c>
      <c r="BO339" s="25">
        <f>ROUND(Inventory[[#This Row],[25Det]]*Inventory[[#This Row],[Det/Nbhd Adj]],-2)</f>
        <v>0</v>
      </c>
      <c r="BP339" s="25">
        <f>Inventory[[#This Row],[Adjusted Res]]+Inventory[[#This Row],[Adj Det ]]</f>
        <v>361400</v>
      </c>
      <c r="BQ339" s="25">
        <f>ROUND((Inventory[[#This Row],[Mdl Land Intercept]]+Inventory[[#This Row],[Mdl LnAcres]])*Inventory[[#This Row],[Det/Nbhd Adj]],-2)</f>
        <v>38400</v>
      </c>
      <c r="BR339" s="25">
        <f>Inventory[[#This Row],[Adjusted Impr Total]]+Inventory[[#This Row],[Adjusted Land Total]]</f>
        <v>399800</v>
      </c>
      <c r="BS339" s="36">
        <f>IFERROR((Inventory[[#This Row],[Adjusted Impr Total]]-Inventory[[#This Row],[24Bldg]])/Inventory[[#This Row],[24Bldg]],0)</f>
        <v>0.10283796155019835</v>
      </c>
      <c r="BT339" s="36">
        <f>(Inventory[[#This Row],[Adjusted Land Total]]-Inventory[[#This Row],[24Lnd]])/Inventory[[#This Row],[24Lnd]]</f>
        <v>-0.36106489184692181</v>
      </c>
      <c r="BU339" s="36">
        <f>(Inventory[[#This Row],[Adjusted Total]]-Inventory[[#This Row],[24Final]])/Inventory[[#This Row],[24Final]]</f>
        <v>3.0943785456420837E-2</v>
      </c>
    </row>
    <row r="340" spans="1:73" x14ac:dyDescent="0.3">
      <c r="A340" s="25">
        <v>2025</v>
      </c>
      <c r="B340" s="26" t="s">
        <v>1782</v>
      </c>
      <c r="C340" s="26">
        <f>LN(Inventory[[#This Row],[Acres]])</f>
        <v>-1.9661128563728327</v>
      </c>
      <c r="D340" s="25">
        <v>0.14000000000000001</v>
      </c>
      <c r="E340" s="31"/>
      <c r="F340" s="26" t="s">
        <v>537</v>
      </c>
      <c r="G340" s="26" t="s">
        <v>126</v>
      </c>
      <c r="H340" s="26" t="s">
        <v>349</v>
      </c>
      <c r="I340" s="26" t="s">
        <v>538</v>
      </c>
      <c r="J340" s="26" t="s">
        <v>539</v>
      </c>
      <c r="K340" s="26" t="s">
        <v>350</v>
      </c>
      <c r="L340" s="26" t="s">
        <v>351</v>
      </c>
      <c r="M340" s="26" t="s">
        <v>323</v>
      </c>
      <c r="N340" s="26">
        <v>60</v>
      </c>
      <c r="O340" s="26">
        <f>2024-Inventory[[#This Row],[YrBlt]]</f>
        <v>59</v>
      </c>
      <c r="P340" s="26">
        <f>2024-Inventory[[#This Row],[EffYr]]</f>
        <v>48</v>
      </c>
      <c r="Q340" s="25">
        <v>1965</v>
      </c>
      <c r="R340" s="25">
        <v>1976</v>
      </c>
      <c r="S340" s="25">
        <v>1198</v>
      </c>
      <c r="T340" s="27"/>
      <c r="U340" s="32">
        <v>500</v>
      </c>
      <c r="V340" s="32">
        <f>Inventory[[#This Row],[Bsmt]]-Inventory[[#This Row],[FnBsmt]]</f>
        <v>0</v>
      </c>
      <c r="W340" s="32">
        <v>500</v>
      </c>
      <c r="X340" s="27"/>
      <c r="Y340" s="27">
        <f>Inventory[[#This Row],[MainFn]]+Inventory[[#This Row],[UpprFn]]+Inventory[[#This Row],[FnBsmt]]+Inventory[[#This Row],[AddFn]]</f>
        <v>1698</v>
      </c>
      <c r="Z340" s="27">
        <v>2000</v>
      </c>
      <c r="AA340" s="25">
        <v>8</v>
      </c>
      <c r="AB340" s="31"/>
      <c r="AC340" s="32">
        <v>100</v>
      </c>
      <c r="AD340" s="27"/>
      <c r="AE340" s="27"/>
      <c r="AF340" s="27"/>
      <c r="AG340" s="31"/>
      <c r="AH340" s="27"/>
      <c r="AI340" s="25">
        <v>250130</v>
      </c>
      <c r="AJ340" s="25">
        <v>180094</v>
      </c>
      <c r="AK340" s="25">
        <v>0</v>
      </c>
      <c r="AL340" s="25">
        <v>292800</v>
      </c>
      <c r="AM340" s="25">
        <v>46000</v>
      </c>
      <c r="AN340" s="25">
        <v>246800</v>
      </c>
      <c r="AO340" s="25">
        <v>0</v>
      </c>
      <c r="AP340" s="25">
        <f>Lookups!$B$56*0</f>
        <v>0</v>
      </c>
      <c r="AQ340" s="25">
        <f>Lookups!$B$56*1</f>
        <v>89850.625589999996</v>
      </c>
      <c r="AR340" s="25">
        <f>Lookups!$B$57*Inventory[[#This Row],[LnAcres]]</f>
        <v>-62236.546971921947</v>
      </c>
      <c r="AS340" s="25">
        <f>VLOOKUP(Inventory[[#This Row],[Qlty]],Lookups!$A$62:$E$75,2,FALSE)</f>
        <v>21557.329055999999</v>
      </c>
      <c r="AT340" s="25">
        <f>VLOOKUP(Inventory[[#This Row],[Cnd]],Lookups!$A$76:$E$84,2,FALSE)</f>
        <v>160472.20319</v>
      </c>
      <c r="AU340" s="25">
        <f>Inventory[[#This Row],[EffAge]]*Lookups!$B$85</f>
        <v>-10706.188824000001</v>
      </c>
      <c r="AV340" s="25">
        <f>Inventory[[#This Row],[MainFn]]*Lookups!$B$86</f>
        <v>59191.586512646005</v>
      </c>
      <c r="AW340" s="25">
        <f>Inventory[[#This Row],[UpprFn]]*Lookups!$B$87</f>
        <v>0</v>
      </c>
      <c r="AX340" s="25">
        <f>Inventory[[#This Row],[AddFn]]*Lookups!$B$88</f>
        <v>0</v>
      </c>
      <c r="AY340" s="25">
        <f>Inventory[[#This Row],[Bsmt]]*Lookups!$B$89</f>
        <v>14540.947623499998</v>
      </c>
      <c r="AZ340" s="25">
        <f>Inventory[[#This Row],[Fixtures]]*Lookups!$B$90</f>
        <v>30336.176841600001</v>
      </c>
      <c r="BA340" s="25">
        <f>Inventory[[#This Row],[WdDeck]]*Lookups!$B$91</f>
        <v>0</v>
      </c>
      <c r="BB340" s="25">
        <f>ROUND(Inventory[[#This Row],[25Det]],-2)</f>
        <v>0</v>
      </c>
      <c r="BC340" s="25">
        <f>ROUND(SUM(Inventory[[#This Row],[Mdl Qlty]:[Mdl WdDeck]])+Inventory[[#This Row],[Mdl Res Intercept]],-2)</f>
        <v>275400</v>
      </c>
      <c r="BD340" s="25">
        <f>ROUND(Inventory[[#This Row],[Mdl Land Intercept]]+Inventory[[#This Row],[Mdl LnAcres]],-2)</f>
        <v>27600</v>
      </c>
      <c r="BE340" s="25">
        <f>Inventory[[#This Row],[Unadj Res Value]]+Inventory[[#This Row],[Unadj Det Value]]+Inventory[[#This Row],[Unadj Land Value]]</f>
        <v>303000</v>
      </c>
      <c r="BF340" s="36">
        <f>(Inventory[[#This Row],[Unadj Total Value]]-Inventory[[#This Row],[24Final]])/Inventory[[#This Row],[24Final]]</f>
        <v>3.4836065573770489E-2</v>
      </c>
      <c r="BG340" s="25">
        <f>VLOOKUP(Inventory[[#This Row],[Nbhd]],Lookups!$Q$2:$T$4,4,FALSE)</f>
        <v>0.99970000000000003</v>
      </c>
      <c r="BH340" s="25">
        <f>VLOOKUP(Inventory[[#This Row],[Qlty]],Lookups!$O$7:$R$21,4,FALSE)</f>
        <v>1.0067999999999999</v>
      </c>
      <c r="BI340" s="25">
        <f>VLOOKUP(Inventory[[#This Row],[Cnd]],Lookups!$T$7:$W$16,4,FALSE)</f>
        <v>0.99729999999999996</v>
      </c>
      <c r="BJ340" s="25">
        <f>VLOOKUP(Inventory[[#This Row],[LivArea Range]],Lookups!$T$25:$W$37,4,FALSE)</f>
        <v>1.0093000000000001</v>
      </c>
      <c r="BK340" s="25">
        <f>VLOOKUP(Inventory[[#This Row],[Decade]],Lookups!$O$25:$R$42,4,FALSE)</f>
        <v>0.98119999999999996</v>
      </c>
      <c r="BL340" s="25">
        <f>Inventory[[#This Row],[Nbhd Adj]]*0.95</f>
        <v>0.94971499999999998</v>
      </c>
      <c r="BM340" s="25">
        <f>Inventory[[#This Row],[Nbhd Adj]]*Inventory[[#This Row],[Quality Adj]]*Inventory[[#This Row],[Condition Adj]]*Inventory[[#This Row],[Living Area Adj]]*Inventory[[#This Row],[Decade Adj]]*0.95</f>
        <v>0.94436555056318516</v>
      </c>
      <c r="BN340" s="25">
        <f>ROUND(SUM(Inventory[[#This Row],[Mdl Qlty]:[Mdl WdDeck]])+Inventory[[#This Row],[Mdl Res Intercept]]*Inventory[[#This Row],[Res Adj ]],-2)</f>
        <v>275400</v>
      </c>
      <c r="BO340" s="25">
        <f>ROUND(Inventory[[#This Row],[25Det]]*Inventory[[#This Row],[Det/Nbhd Adj]],-2)</f>
        <v>0</v>
      </c>
      <c r="BP340" s="25">
        <f>Inventory[[#This Row],[Adjusted Res]]+Inventory[[#This Row],[Adj Det ]]</f>
        <v>275400</v>
      </c>
      <c r="BQ340" s="25">
        <f>ROUND((Inventory[[#This Row],[Mdl Land Intercept]]+Inventory[[#This Row],[Mdl LnAcres]])*Inventory[[#This Row],[Det/Nbhd Adj]],-2)</f>
        <v>26200</v>
      </c>
      <c r="BR340" s="25">
        <f>Inventory[[#This Row],[Adjusted Impr Total]]+Inventory[[#This Row],[Adjusted Land Total]]</f>
        <v>301600</v>
      </c>
      <c r="BS340" s="36">
        <f>IFERROR((Inventory[[#This Row],[Adjusted Impr Total]]-Inventory[[#This Row],[24Bldg]])/Inventory[[#This Row],[24Bldg]],0)</f>
        <v>0.11588330632090761</v>
      </c>
      <c r="BT340" s="36">
        <f>(Inventory[[#This Row],[Adjusted Land Total]]-Inventory[[#This Row],[24Lnd]])/Inventory[[#This Row],[24Lnd]]</f>
        <v>-0.43043478260869567</v>
      </c>
      <c r="BU340" s="36">
        <f>(Inventory[[#This Row],[Adjusted Total]]-Inventory[[#This Row],[24Final]])/Inventory[[#This Row],[24Final]]</f>
        <v>3.0054644808743168E-2</v>
      </c>
    </row>
    <row r="341" spans="1:73" x14ac:dyDescent="0.3">
      <c r="A341" s="25">
        <v>2025</v>
      </c>
      <c r="B341" s="26" t="s">
        <v>1356</v>
      </c>
      <c r="C341" s="26">
        <f>LN(Inventory[[#This Row],[Acres]])</f>
        <v>-1.2729656758128873</v>
      </c>
      <c r="D341" s="25">
        <v>0.28000000000000003</v>
      </c>
      <c r="E341" s="25">
        <v>12363</v>
      </c>
      <c r="F341" s="26" t="s">
        <v>537</v>
      </c>
      <c r="G341" s="26" t="s">
        <v>126</v>
      </c>
      <c r="H341" s="26" t="s">
        <v>349</v>
      </c>
      <c r="I341" s="26" t="s">
        <v>538</v>
      </c>
      <c r="J341" s="26" t="s">
        <v>539</v>
      </c>
      <c r="K341" s="26" t="s">
        <v>241</v>
      </c>
      <c r="L341" s="26" t="s">
        <v>302</v>
      </c>
      <c r="M341" s="26" t="s">
        <v>323</v>
      </c>
      <c r="N341" s="26">
        <v>60</v>
      </c>
      <c r="O341" s="26">
        <f>2024-Inventory[[#This Row],[YrBlt]]</f>
        <v>59</v>
      </c>
      <c r="P341" s="26">
        <f>2024-Inventory[[#This Row],[EffYr]]</f>
        <v>48</v>
      </c>
      <c r="Q341" s="25">
        <v>1965</v>
      </c>
      <c r="R341" s="25">
        <v>1976</v>
      </c>
      <c r="S341" s="25">
        <v>1871</v>
      </c>
      <c r="T341" s="31"/>
      <c r="U341" s="25">
        <v>1506</v>
      </c>
      <c r="V341" s="25">
        <f>Inventory[[#This Row],[Bsmt]]-Inventory[[#This Row],[FnBsmt]]</f>
        <v>0</v>
      </c>
      <c r="W341" s="25">
        <v>1506</v>
      </c>
      <c r="X341" s="27"/>
      <c r="Y341" s="27">
        <f>Inventory[[#This Row],[MainFn]]+Inventory[[#This Row],[UpprFn]]+Inventory[[#This Row],[FnBsmt]]+Inventory[[#This Row],[AddFn]]</f>
        <v>3377</v>
      </c>
      <c r="Z341" s="27">
        <v>3500</v>
      </c>
      <c r="AA341" s="25">
        <v>16</v>
      </c>
      <c r="AB341" s="32">
        <v>483</v>
      </c>
      <c r="AC341" s="27"/>
      <c r="AD341" s="32">
        <v>378</v>
      </c>
      <c r="AE341" s="27"/>
      <c r="AF341" s="27"/>
      <c r="AG341" s="27"/>
      <c r="AH341" s="27"/>
      <c r="AI341" s="25">
        <v>534696</v>
      </c>
      <c r="AJ341" s="25">
        <v>384981</v>
      </c>
      <c r="AK341" s="25">
        <v>0</v>
      </c>
      <c r="AL341" s="25">
        <v>427900</v>
      </c>
      <c r="AM341" s="25">
        <v>70100</v>
      </c>
      <c r="AN341" s="25">
        <v>357800</v>
      </c>
      <c r="AO341" s="25">
        <v>0</v>
      </c>
      <c r="AP341" s="25">
        <f>Lookups!$B$56*0</f>
        <v>0</v>
      </c>
      <c r="AQ341" s="25">
        <f>Lookups!$B$56*1</f>
        <v>89850.625589999996</v>
      </c>
      <c r="AR341" s="25">
        <f>Lookups!$B$57*Inventory[[#This Row],[LnAcres]]</f>
        <v>-40295.239319339329</v>
      </c>
      <c r="AS341" s="25">
        <f>VLOOKUP(Inventory[[#This Row],[Qlty]],Lookups!$A$62:$E$75,2,FALSE)</f>
        <v>29814.093161000001</v>
      </c>
      <c r="AT341" s="25">
        <f>VLOOKUP(Inventory[[#This Row],[Cnd]],Lookups!$A$76:$E$84,2,FALSE)</f>
        <v>160472.20319</v>
      </c>
      <c r="AU341" s="25">
        <f>Inventory[[#This Row],[EffAge]]*Lookups!$B$85</f>
        <v>-10706.188824000001</v>
      </c>
      <c r="AV341" s="25">
        <f>Inventory[[#This Row],[MainFn]]*Lookups!$B$86</f>
        <v>92443.621339867008</v>
      </c>
      <c r="AW341" s="25">
        <f>Inventory[[#This Row],[UpprFn]]*Lookups!$B$87</f>
        <v>0</v>
      </c>
      <c r="AX341" s="25">
        <f>Inventory[[#This Row],[AddFn]]*Lookups!$B$88</f>
        <v>0</v>
      </c>
      <c r="AY341" s="25">
        <f>Inventory[[#This Row],[Bsmt]]*Lookups!$B$89</f>
        <v>43797.334241981996</v>
      </c>
      <c r="AZ341" s="25">
        <f>Inventory[[#This Row],[Fixtures]]*Lookups!$B$90</f>
        <v>60672.353683200003</v>
      </c>
      <c r="BA341" s="25">
        <f>Inventory[[#This Row],[WdDeck]]*Lookups!$B$91</f>
        <v>12585.704774328002</v>
      </c>
      <c r="BB341" s="25">
        <f>ROUND(Inventory[[#This Row],[25Det]],-2)</f>
        <v>0</v>
      </c>
      <c r="BC341" s="25">
        <f>ROUND(SUM(Inventory[[#This Row],[Mdl Qlty]:[Mdl WdDeck]])+Inventory[[#This Row],[Mdl Res Intercept]],-2)</f>
        <v>389100</v>
      </c>
      <c r="BD341" s="25">
        <f>ROUND(Inventory[[#This Row],[Mdl Land Intercept]]+Inventory[[#This Row],[Mdl LnAcres]],-2)</f>
        <v>49600</v>
      </c>
      <c r="BE341" s="25">
        <f>Inventory[[#This Row],[Unadj Res Value]]+Inventory[[#This Row],[Unadj Det Value]]+Inventory[[#This Row],[Unadj Land Value]]</f>
        <v>438700</v>
      </c>
      <c r="BF341" s="36">
        <f>(Inventory[[#This Row],[Unadj Total Value]]-Inventory[[#This Row],[24Final]])/Inventory[[#This Row],[24Final]]</f>
        <v>2.5239541949053517E-2</v>
      </c>
      <c r="BG341" s="25">
        <f>VLOOKUP(Inventory[[#This Row],[Nbhd]],Lookups!$Q$2:$T$4,4,FALSE)</f>
        <v>0.99970000000000003</v>
      </c>
      <c r="BH341" s="25">
        <f>VLOOKUP(Inventory[[#This Row],[Qlty]],Lookups!$O$7:$R$21,4,FALSE)</f>
        <v>1.0088999999999999</v>
      </c>
      <c r="BI341" s="25">
        <f>VLOOKUP(Inventory[[#This Row],[Cnd]],Lookups!$T$7:$W$16,4,FALSE)</f>
        <v>0.99729999999999996</v>
      </c>
      <c r="BJ341" s="25">
        <f>VLOOKUP(Inventory[[#This Row],[LivArea Range]],Lookups!$T$25:$W$37,4,FALSE)</f>
        <v>1.0126999999999999</v>
      </c>
      <c r="BK341" s="25">
        <f>VLOOKUP(Inventory[[#This Row],[Decade]],Lookups!$O$25:$R$42,4,FALSE)</f>
        <v>0.98119999999999996</v>
      </c>
      <c r="BL341" s="25">
        <f>Inventory[[#This Row],[Nbhd Adj]]*0.95</f>
        <v>0.94971499999999998</v>
      </c>
      <c r="BM341" s="25">
        <f>Inventory[[#This Row],[Nbhd Adj]]*Inventory[[#This Row],[Quality Adj]]*Inventory[[#This Row],[Condition Adj]]*Inventory[[#This Row],[Living Area Adj]]*Inventory[[#This Row],[Decade Adj]]*0.95</f>
        <v>0.94952321646031024</v>
      </c>
      <c r="BN341" s="25">
        <f>ROUND(SUM(Inventory[[#This Row],[Mdl Qlty]:[Mdl WdDeck]])+Inventory[[#This Row],[Mdl Res Intercept]]*Inventory[[#This Row],[Res Adj ]],-2)</f>
        <v>389100</v>
      </c>
      <c r="BO341" s="25">
        <f>ROUND(Inventory[[#This Row],[25Det]]*Inventory[[#This Row],[Det/Nbhd Adj]],-2)</f>
        <v>0</v>
      </c>
      <c r="BP341" s="25">
        <f>Inventory[[#This Row],[Adjusted Res]]+Inventory[[#This Row],[Adj Det ]]</f>
        <v>389100</v>
      </c>
      <c r="BQ341" s="25">
        <f>ROUND((Inventory[[#This Row],[Mdl Land Intercept]]+Inventory[[#This Row],[Mdl LnAcres]])*Inventory[[#This Row],[Det/Nbhd Adj]],-2)</f>
        <v>47100</v>
      </c>
      <c r="BR341" s="25">
        <f>Inventory[[#This Row],[Adjusted Impr Total]]+Inventory[[#This Row],[Adjusted Land Total]]</f>
        <v>436200</v>
      </c>
      <c r="BS341" s="36">
        <f>IFERROR((Inventory[[#This Row],[Adjusted Impr Total]]-Inventory[[#This Row],[24Bldg]])/Inventory[[#This Row],[24Bldg]],0)</f>
        <v>8.7479038569032982E-2</v>
      </c>
      <c r="BT341" s="36">
        <f>(Inventory[[#This Row],[Adjusted Land Total]]-Inventory[[#This Row],[24Lnd]])/Inventory[[#This Row],[24Lnd]]</f>
        <v>-0.32810271041369471</v>
      </c>
      <c r="BU341" s="36">
        <f>(Inventory[[#This Row],[Adjusted Total]]-Inventory[[#This Row],[24Final]])/Inventory[[#This Row],[24Final]]</f>
        <v>1.939705538677261E-2</v>
      </c>
    </row>
    <row r="342" spans="1:73" x14ac:dyDescent="0.3">
      <c r="A342" s="25">
        <v>2025</v>
      </c>
      <c r="B342" s="26" t="s">
        <v>1634</v>
      </c>
      <c r="C342" s="26">
        <f>LN(Inventory[[#This Row],[Acres]])</f>
        <v>-0.73396917508020043</v>
      </c>
      <c r="D342" s="25">
        <v>0.48</v>
      </c>
      <c r="E342" s="25">
        <v>20913</v>
      </c>
      <c r="F342" s="26" t="s">
        <v>537</v>
      </c>
      <c r="G342" s="26" t="s">
        <v>126</v>
      </c>
      <c r="H342" s="26" t="s">
        <v>349</v>
      </c>
      <c r="I342" s="26" t="s">
        <v>538</v>
      </c>
      <c r="J342" s="26" t="s">
        <v>539</v>
      </c>
      <c r="K342" s="26" t="s">
        <v>241</v>
      </c>
      <c r="L342" s="26" t="s">
        <v>351</v>
      </c>
      <c r="M342" s="26" t="s">
        <v>323</v>
      </c>
      <c r="N342" s="26">
        <v>60</v>
      </c>
      <c r="O342" s="26">
        <f>2024-Inventory[[#This Row],[YrBlt]]</f>
        <v>59</v>
      </c>
      <c r="P342" s="26">
        <f>2024-Inventory[[#This Row],[EffYr]]</f>
        <v>48</v>
      </c>
      <c r="Q342" s="25">
        <v>1965</v>
      </c>
      <c r="R342" s="25">
        <v>1976</v>
      </c>
      <c r="S342" s="25">
        <v>2024</v>
      </c>
      <c r="T342" s="31"/>
      <c r="U342" s="31"/>
      <c r="V342" s="31">
        <f>Inventory[[#This Row],[Bsmt]]-Inventory[[#This Row],[FnBsmt]]</f>
        <v>0</v>
      </c>
      <c r="W342" s="31"/>
      <c r="X342" s="27"/>
      <c r="Y342" s="27">
        <f>Inventory[[#This Row],[MainFn]]+Inventory[[#This Row],[UpprFn]]+Inventory[[#This Row],[FnBsmt]]+Inventory[[#This Row],[AddFn]]</f>
        <v>2024</v>
      </c>
      <c r="Z342" s="27">
        <v>2500</v>
      </c>
      <c r="AA342" s="25">
        <v>11</v>
      </c>
      <c r="AB342" s="31"/>
      <c r="AC342" s="27"/>
      <c r="AD342" s="32">
        <v>240</v>
      </c>
      <c r="AE342" s="27"/>
      <c r="AF342" s="27"/>
      <c r="AG342" s="27"/>
      <c r="AH342" s="27"/>
      <c r="AI342" s="25">
        <v>309598</v>
      </c>
      <c r="AJ342" s="25">
        <v>222911</v>
      </c>
      <c r="AK342" s="25">
        <v>56832</v>
      </c>
      <c r="AL342" s="25">
        <v>431700</v>
      </c>
      <c r="AM342" s="25">
        <v>88900</v>
      </c>
      <c r="AN342" s="25">
        <v>342800</v>
      </c>
      <c r="AO342" s="25">
        <v>0</v>
      </c>
      <c r="AP342" s="25">
        <f>Lookups!$B$56*0</f>
        <v>0</v>
      </c>
      <c r="AQ342" s="25">
        <f>Lookups!$B$56*1</f>
        <v>89850.625589999996</v>
      </c>
      <c r="AR342" s="25">
        <f>Lookups!$B$57*Inventory[[#This Row],[LnAcres]]</f>
        <v>-23233.512202902497</v>
      </c>
      <c r="AS342" s="25">
        <f>VLOOKUP(Inventory[[#This Row],[Qlty]],Lookups!$A$62:$E$75,2,FALSE)</f>
        <v>21557.329055999999</v>
      </c>
      <c r="AT342" s="25">
        <f>VLOOKUP(Inventory[[#This Row],[Cnd]],Lookups!$A$76:$E$84,2,FALSE)</f>
        <v>160472.20319</v>
      </c>
      <c r="AU342" s="25">
        <f>Inventory[[#This Row],[EffAge]]*Lookups!$B$85</f>
        <v>-10706.188824000001</v>
      </c>
      <c r="AV342" s="25">
        <f>Inventory[[#This Row],[MainFn]]*Lookups!$B$86</f>
        <v>100003.147831048</v>
      </c>
      <c r="AW342" s="25">
        <f>Inventory[[#This Row],[UpprFn]]*Lookups!$B$87</f>
        <v>0</v>
      </c>
      <c r="AX342" s="25">
        <f>Inventory[[#This Row],[AddFn]]*Lookups!$B$88</f>
        <v>0</v>
      </c>
      <c r="AY342" s="25">
        <f>Inventory[[#This Row],[Bsmt]]*Lookups!$B$89</f>
        <v>0</v>
      </c>
      <c r="AZ342" s="25">
        <f>Inventory[[#This Row],[Fixtures]]*Lookups!$B$90</f>
        <v>41712.243157199999</v>
      </c>
      <c r="BA342" s="25">
        <f>Inventory[[#This Row],[WdDeck]]*Lookups!$B$91</f>
        <v>7990.9236662400008</v>
      </c>
      <c r="BB342" s="25">
        <f>ROUND(Inventory[[#This Row],[25Det]],-2)</f>
        <v>56800</v>
      </c>
      <c r="BC342" s="25">
        <f>ROUND(SUM(Inventory[[#This Row],[Mdl Qlty]:[Mdl WdDeck]])+Inventory[[#This Row],[Mdl Res Intercept]],-2)</f>
        <v>321000</v>
      </c>
      <c r="BD342" s="25">
        <f>ROUND(Inventory[[#This Row],[Mdl Land Intercept]]+Inventory[[#This Row],[Mdl LnAcres]],-2)</f>
        <v>66600</v>
      </c>
      <c r="BE342" s="25">
        <f>Inventory[[#This Row],[Unadj Res Value]]+Inventory[[#This Row],[Unadj Det Value]]+Inventory[[#This Row],[Unadj Land Value]]</f>
        <v>444400</v>
      </c>
      <c r="BF342" s="36">
        <f>(Inventory[[#This Row],[Unadj Total Value]]-Inventory[[#This Row],[24Final]])/Inventory[[#This Row],[24Final]]</f>
        <v>2.9418577716006485E-2</v>
      </c>
      <c r="BG342" s="25">
        <f>VLOOKUP(Inventory[[#This Row],[Nbhd]],Lookups!$Q$2:$T$4,4,FALSE)</f>
        <v>0.99970000000000003</v>
      </c>
      <c r="BH342" s="25">
        <f>VLOOKUP(Inventory[[#This Row],[Qlty]],Lookups!$O$7:$R$21,4,FALSE)</f>
        <v>1.0067999999999999</v>
      </c>
      <c r="BI342" s="25">
        <f>VLOOKUP(Inventory[[#This Row],[Cnd]],Lookups!$T$7:$W$16,4,FALSE)</f>
        <v>0.99729999999999996</v>
      </c>
      <c r="BJ342" s="25">
        <f>VLOOKUP(Inventory[[#This Row],[LivArea Range]],Lookups!$T$25:$W$37,4,FALSE)</f>
        <v>0.98919999999999997</v>
      </c>
      <c r="BK342" s="25">
        <f>VLOOKUP(Inventory[[#This Row],[Decade]],Lookups!$O$25:$R$42,4,FALSE)</f>
        <v>0.98119999999999996</v>
      </c>
      <c r="BL342" s="25">
        <f>Inventory[[#This Row],[Nbhd Adj]]*0.95</f>
        <v>0.94971499999999998</v>
      </c>
      <c r="BM342" s="25">
        <f>Inventory[[#This Row],[Nbhd Adj]]*Inventory[[#This Row],[Quality Adj]]*Inventory[[#This Row],[Condition Adj]]*Inventory[[#This Row],[Living Area Adj]]*Inventory[[#This Row],[Decade Adj]]*0.95</f>
        <v>0.92555870664530138</v>
      </c>
      <c r="BN342" s="25">
        <f>ROUND(SUM(Inventory[[#This Row],[Mdl Qlty]:[Mdl WdDeck]])+Inventory[[#This Row],[Mdl Res Intercept]]*Inventory[[#This Row],[Res Adj ]],-2)</f>
        <v>321000</v>
      </c>
      <c r="BO342" s="25">
        <f>ROUND(Inventory[[#This Row],[25Det]]*Inventory[[#This Row],[Det/Nbhd Adj]],-2)</f>
        <v>54000</v>
      </c>
      <c r="BP342" s="25">
        <f>Inventory[[#This Row],[Adjusted Res]]+Inventory[[#This Row],[Adj Det ]]</f>
        <v>375000</v>
      </c>
      <c r="BQ342" s="25">
        <f>ROUND((Inventory[[#This Row],[Mdl Land Intercept]]+Inventory[[#This Row],[Mdl LnAcres]])*Inventory[[#This Row],[Det/Nbhd Adj]],-2)</f>
        <v>63300</v>
      </c>
      <c r="BR342" s="25">
        <f>Inventory[[#This Row],[Adjusted Impr Total]]+Inventory[[#This Row],[Adjusted Land Total]]</f>
        <v>438300</v>
      </c>
      <c r="BS342" s="36">
        <f>IFERROR((Inventory[[#This Row],[Adjusted Impr Total]]-Inventory[[#This Row],[24Bldg]])/Inventory[[#This Row],[24Bldg]],0)</f>
        <v>9.3932322053675618E-2</v>
      </c>
      <c r="BT342" s="36">
        <f>(Inventory[[#This Row],[Adjusted Land Total]]-Inventory[[#This Row],[24Lnd]])/Inventory[[#This Row],[24Lnd]]</f>
        <v>-0.2879640044994376</v>
      </c>
      <c r="BU342" s="36">
        <f>(Inventory[[#This Row],[Adjusted Total]]-Inventory[[#This Row],[24Final]])/Inventory[[#This Row],[24Final]]</f>
        <v>1.5288394718554551E-2</v>
      </c>
    </row>
    <row r="343" spans="1:73" x14ac:dyDescent="0.3">
      <c r="A343" s="25">
        <v>2025</v>
      </c>
      <c r="B343" s="26" t="s">
        <v>2133</v>
      </c>
      <c r="C343" s="26">
        <f>LN(Inventory[[#This Row],[Acres]])</f>
        <v>-1.4271163556401458</v>
      </c>
      <c r="D343" s="25">
        <v>0.24</v>
      </c>
      <c r="E343" s="25">
        <v>10437</v>
      </c>
      <c r="F343" s="26" t="s">
        <v>537</v>
      </c>
      <c r="G343" s="26" t="s">
        <v>126</v>
      </c>
      <c r="H343" s="26" t="s">
        <v>349</v>
      </c>
      <c r="I343" s="26" t="s">
        <v>538</v>
      </c>
      <c r="J343" s="26" t="s">
        <v>539</v>
      </c>
      <c r="K343" s="26" t="s">
        <v>350</v>
      </c>
      <c r="L343" s="26" t="s">
        <v>302</v>
      </c>
      <c r="M343" s="26" t="s">
        <v>323</v>
      </c>
      <c r="N343" s="26">
        <v>60</v>
      </c>
      <c r="O343" s="26">
        <f>2024-Inventory[[#This Row],[YrBlt]]</f>
        <v>59</v>
      </c>
      <c r="P343" s="26">
        <f>2024-Inventory[[#This Row],[EffYr]]</f>
        <v>48</v>
      </c>
      <c r="Q343" s="25">
        <v>1965</v>
      </c>
      <c r="R343" s="25">
        <v>1976</v>
      </c>
      <c r="S343" s="25">
        <v>1652</v>
      </c>
      <c r="T343" s="27"/>
      <c r="U343" s="32">
        <v>480</v>
      </c>
      <c r="V343" s="32">
        <f>Inventory[[#This Row],[Bsmt]]-Inventory[[#This Row],[FnBsmt]]</f>
        <v>0</v>
      </c>
      <c r="W343" s="32">
        <v>480</v>
      </c>
      <c r="X343" s="27"/>
      <c r="Y343" s="27">
        <f>Inventory[[#This Row],[MainFn]]+Inventory[[#This Row],[UpprFn]]+Inventory[[#This Row],[FnBsmt]]+Inventory[[#This Row],[AddFn]]</f>
        <v>2132</v>
      </c>
      <c r="Z343" s="27">
        <v>2500</v>
      </c>
      <c r="AA343" s="25">
        <v>11</v>
      </c>
      <c r="AB343" s="27"/>
      <c r="AC343" s="32">
        <v>462</v>
      </c>
      <c r="AD343" s="27"/>
      <c r="AE343" s="27"/>
      <c r="AF343" s="27"/>
      <c r="AG343" s="27"/>
      <c r="AH343" s="27"/>
      <c r="AI343" s="25">
        <v>369911</v>
      </c>
      <c r="AJ343" s="25">
        <v>266336</v>
      </c>
      <c r="AK343" s="25">
        <v>0</v>
      </c>
      <c r="AL343" s="25">
        <v>355600</v>
      </c>
      <c r="AM343" s="25">
        <v>64800</v>
      </c>
      <c r="AN343" s="25">
        <v>290800</v>
      </c>
      <c r="AO343" s="25">
        <v>0</v>
      </c>
      <c r="AP343" s="25">
        <f>Lookups!$B$56*0</f>
        <v>0</v>
      </c>
      <c r="AQ343" s="25">
        <f>Lookups!$B$56*1</f>
        <v>89850.625589999996</v>
      </c>
      <c r="AR343" s="25">
        <f>Lookups!$B$57*Inventory[[#This Row],[LnAcres]]</f>
        <v>-45174.819855485119</v>
      </c>
      <c r="AS343" s="25">
        <f>VLOOKUP(Inventory[[#This Row],[Qlty]],Lookups!$A$62:$E$75,2,FALSE)</f>
        <v>29814.093161000001</v>
      </c>
      <c r="AT343" s="25">
        <f>VLOOKUP(Inventory[[#This Row],[Cnd]],Lookups!$A$76:$E$84,2,FALSE)</f>
        <v>160472.20319</v>
      </c>
      <c r="AU343" s="25">
        <f>Inventory[[#This Row],[EffAge]]*Lookups!$B$85</f>
        <v>-10706.188824000001</v>
      </c>
      <c r="AV343" s="25">
        <f>Inventory[[#This Row],[MainFn]]*Lookups!$B$86</f>
        <v>81623.122636804008</v>
      </c>
      <c r="AW343" s="25">
        <f>Inventory[[#This Row],[UpprFn]]*Lookups!$B$87</f>
        <v>0</v>
      </c>
      <c r="AX343" s="25">
        <f>Inventory[[#This Row],[AddFn]]*Lookups!$B$88</f>
        <v>0</v>
      </c>
      <c r="AY343" s="25">
        <f>Inventory[[#This Row],[Bsmt]]*Lookups!$B$89</f>
        <v>13959.30971856</v>
      </c>
      <c r="AZ343" s="25">
        <f>Inventory[[#This Row],[Fixtures]]*Lookups!$B$90</f>
        <v>41712.243157199999</v>
      </c>
      <c r="BA343" s="25">
        <f>Inventory[[#This Row],[WdDeck]]*Lookups!$B$91</f>
        <v>0</v>
      </c>
      <c r="BB343" s="25">
        <f>ROUND(Inventory[[#This Row],[25Det]],-2)</f>
        <v>0</v>
      </c>
      <c r="BC343" s="25">
        <f>ROUND(SUM(Inventory[[#This Row],[Mdl Qlty]:[Mdl WdDeck]])+Inventory[[#This Row],[Mdl Res Intercept]],-2)</f>
        <v>316900</v>
      </c>
      <c r="BD343" s="25">
        <f>ROUND(Inventory[[#This Row],[Mdl Land Intercept]]+Inventory[[#This Row],[Mdl LnAcres]],-2)</f>
        <v>44700</v>
      </c>
      <c r="BE343" s="25">
        <f>Inventory[[#This Row],[Unadj Res Value]]+Inventory[[#This Row],[Unadj Det Value]]+Inventory[[#This Row],[Unadj Land Value]]</f>
        <v>361600</v>
      </c>
      <c r="BF343" s="36">
        <f>(Inventory[[#This Row],[Unadj Total Value]]-Inventory[[#This Row],[24Final]])/Inventory[[#This Row],[24Final]]</f>
        <v>1.6872890888638921E-2</v>
      </c>
      <c r="BG343" s="25">
        <f>VLOOKUP(Inventory[[#This Row],[Nbhd]],Lookups!$Q$2:$T$4,4,FALSE)</f>
        <v>0.99970000000000003</v>
      </c>
      <c r="BH343" s="25">
        <f>VLOOKUP(Inventory[[#This Row],[Qlty]],Lookups!$O$7:$R$21,4,FALSE)</f>
        <v>1.0088999999999999</v>
      </c>
      <c r="BI343" s="25">
        <f>VLOOKUP(Inventory[[#This Row],[Cnd]],Lookups!$T$7:$W$16,4,FALSE)</f>
        <v>0.99729999999999996</v>
      </c>
      <c r="BJ343" s="25">
        <f>VLOOKUP(Inventory[[#This Row],[LivArea Range]],Lookups!$T$25:$W$37,4,FALSE)</f>
        <v>0.98919999999999997</v>
      </c>
      <c r="BK343" s="25">
        <f>VLOOKUP(Inventory[[#This Row],[Decade]],Lookups!$O$25:$R$42,4,FALSE)</f>
        <v>0.98119999999999996</v>
      </c>
      <c r="BL343" s="25">
        <f>Inventory[[#This Row],[Nbhd Adj]]*0.95</f>
        <v>0.94971499999999998</v>
      </c>
      <c r="BM343" s="25">
        <f>Inventory[[#This Row],[Nbhd Adj]]*Inventory[[#This Row],[Quality Adj]]*Inventory[[#This Row],[Condition Adj]]*Inventory[[#This Row],[Living Area Adj]]*Inventory[[#This Row],[Decade Adj]]*0.95</f>
        <v>0.92748925221935308</v>
      </c>
      <c r="BN343" s="25">
        <f>ROUND(SUM(Inventory[[#This Row],[Mdl Qlty]:[Mdl WdDeck]])+Inventory[[#This Row],[Mdl Res Intercept]]*Inventory[[#This Row],[Res Adj ]],-2)</f>
        <v>316900</v>
      </c>
      <c r="BO343" s="25">
        <f>ROUND(Inventory[[#This Row],[25Det]]*Inventory[[#This Row],[Det/Nbhd Adj]],-2)</f>
        <v>0</v>
      </c>
      <c r="BP343" s="25">
        <f>Inventory[[#This Row],[Adjusted Res]]+Inventory[[#This Row],[Adj Det ]]</f>
        <v>316900</v>
      </c>
      <c r="BQ343" s="25">
        <f>ROUND((Inventory[[#This Row],[Mdl Land Intercept]]+Inventory[[#This Row],[Mdl LnAcres]])*Inventory[[#This Row],[Det/Nbhd Adj]],-2)</f>
        <v>42400</v>
      </c>
      <c r="BR343" s="25">
        <f>Inventory[[#This Row],[Adjusted Impr Total]]+Inventory[[#This Row],[Adjusted Land Total]]</f>
        <v>359300</v>
      </c>
      <c r="BS343" s="36">
        <f>IFERROR((Inventory[[#This Row],[Adjusted Impr Total]]-Inventory[[#This Row],[24Bldg]])/Inventory[[#This Row],[24Bldg]],0)</f>
        <v>8.9752407152682262E-2</v>
      </c>
      <c r="BT343" s="36">
        <f>(Inventory[[#This Row],[Adjusted Land Total]]-Inventory[[#This Row],[24Lnd]])/Inventory[[#This Row],[24Lnd]]</f>
        <v>-0.34567901234567899</v>
      </c>
      <c r="BU343" s="36">
        <f>(Inventory[[#This Row],[Adjusted Total]]-Inventory[[#This Row],[24Final]])/Inventory[[#This Row],[24Final]]</f>
        <v>1.0404949381327334E-2</v>
      </c>
    </row>
    <row r="344" spans="1:73" x14ac:dyDescent="0.3">
      <c r="A344" s="25">
        <v>2025</v>
      </c>
      <c r="B344" s="26" t="s">
        <v>1354</v>
      </c>
      <c r="C344" s="26">
        <f>LN(Inventory[[#This Row],[Acres]])</f>
        <v>-1.3470736479666092</v>
      </c>
      <c r="D344" s="25">
        <v>0.26</v>
      </c>
      <c r="E344" s="25">
        <v>11206</v>
      </c>
      <c r="F344" s="26" t="s">
        <v>537</v>
      </c>
      <c r="G344" s="26" t="s">
        <v>126</v>
      </c>
      <c r="H344" s="26" t="s">
        <v>349</v>
      </c>
      <c r="I344" s="26" t="s">
        <v>538</v>
      </c>
      <c r="J344" s="26" t="s">
        <v>539</v>
      </c>
      <c r="K344" s="26" t="s">
        <v>241</v>
      </c>
      <c r="L344" s="26" t="s">
        <v>148</v>
      </c>
      <c r="M344" s="26" t="s">
        <v>323</v>
      </c>
      <c r="N344" s="26">
        <v>60</v>
      </c>
      <c r="O344" s="26">
        <f>2024-Inventory[[#This Row],[YrBlt]]</f>
        <v>59</v>
      </c>
      <c r="P344" s="26">
        <f>2024-Inventory[[#This Row],[EffYr]]</f>
        <v>48</v>
      </c>
      <c r="Q344" s="25">
        <v>1965</v>
      </c>
      <c r="R344" s="25">
        <v>1976</v>
      </c>
      <c r="S344" s="25">
        <v>2196</v>
      </c>
      <c r="T344" s="27"/>
      <c r="U344" s="27"/>
      <c r="V344" s="27">
        <f>Inventory[[#This Row],[Bsmt]]-Inventory[[#This Row],[FnBsmt]]</f>
        <v>0</v>
      </c>
      <c r="W344" s="27"/>
      <c r="X344" s="27"/>
      <c r="Y344" s="27">
        <f>Inventory[[#This Row],[MainFn]]+Inventory[[#This Row],[UpprFn]]+Inventory[[#This Row],[FnBsmt]]+Inventory[[#This Row],[AddFn]]</f>
        <v>2196</v>
      </c>
      <c r="Z344" s="27">
        <v>2500</v>
      </c>
      <c r="AA344" s="25">
        <v>12</v>
      </c>
      <c r="AB344" s="27"/>
      <c r="AC344" s="27"/>
      <c r="AD344" s="27"/>
      <c r="AE344" s="27"/>
      <c r="AF344" s="27"/>
      <c r="AG344" s="27"/>
      <c r="AH344" s="27"/>
      <c r="AI344" s="25">
        <v>506327</v>
      </c>
      <c r="AJ344" s="25">
        <v>364555</v>
      </c>
      <c r="AK344" s="25">
        <v>0</v>
      </c>
      <c r="AL344" s="25">
        <v>391600</v>
      </c>
      <c r="AM344" s="25">
        <v>67600</v>
      </c>
      <c r="AN344" s="25">
        <v>324000</v>
      </c>
      <c r="AO344" s="25">
        <v>0</v>
      </c>
      <c r="AP344" s="25">
        <f>Lookups!$B$56*0</f>
        <v>0</v>
      </c>
      <c r="AQ344" s="25">
        <f>Lookups!$B$56*1</f>
        <v>89850.625589999996</v>
      </c>
      <c r="AR344" s="25">
        <f>Lookups!$B$57*Inventory[[#This Row],[LnAcres]]</f>
        <v>-42641.098701210125</v>
      </c>
      <c r="AS344" s="25">
        <f>VLOOKUP(Inventory[[#This Row],[Qlty]],Lookups!$A$62:$E$75,2,FALSE)</f>
        <v>44121.038090000002</v>
      </c>
      <c r="AT344" s="25">
        <f>VLOOKUP(Inventory[[#This Row],[Cnd]],Lookups!$A$76:$E$84,2,FALSE)</f>
        <v>160472.20319</v>
      </c>
      <c r="AU344" s="25">
        <f>Inventory[[#This Row],[EffAge]]*Lookups!$B$85</f>
        <v>-10706.188824000001</v>
      </c>
      <c r="AV344" s="25">
        <f>Inventory[[#This Row],[MainFn]]*Lookups!$B$86</f>
        <v>108501.439049892</v>
      </c>
      <c r="AW344" s="25">
        <f>Inventory[[#This Row],[UpprFn]]*Lookups!$B$87</f>
        <v>0</v>
      </c>
      <c r="AX344" s="25">
        <f>Inventory[[#This Row],[AddFn]]*Lookups!$B$88</f>
        <v>0</v>
      </c>
      <c r="AY344" s="25">
        <f>Inventory[[#This Row],[Bsmt]]*Lookups!$B$89</f>
        <v>0</v>
      </c>
      <c r="AZ344" s="25">
        <f>Inventory[[#This Row],[Fixtures]]*Lookups!$B$90</f>
        <v>45504.265262400004</v>
      </c>
      <c r="BA344" s="25">
        <f>Inventory[[#This Row],[WdDeck]]*Lookups!$B$91</f>
        <v>0</v>
      </c>
      <c r="BB344" s="25">
        <f>ROUND(Inventory[[#This Row],[25Det]],-2)</f>
        <v>0</v>
      </c>
      <c r="BC344" s="25">
        <f>ROUND(SUM(Inventory[[#This Row],[Mdl Qlty]:[Mdl WdDeck]])+Inventory[[#This Row],[Mdl Res Intercept]],-2)</f>
        <v>347900</v>
      </c>
      <c r="BD344" s="25">
        <f>ROUND(Inventory[[#This Row],[Mdl Land Intercept]]+Inventory[[#This Row],[Mdl LnAcres]],-2)</f>
        <v>47200</v>
      </c>
      <c r="BE344" s="25">
        <f>Inventory[[#This Row],[Unadj Res Value]]+Inventory[[#This Row],[Unadj Det Value]]+Inventory[[#This Row],[Unadj Land Value]]</f>
        <v>395100</v>
      </c>
      <c r="BF344" s="36">
        <f>(Inventory[[#This Row],[Unadj Total Value]]-Inventory[[#This Row],[24Final]])/Inventory[[#This Row],[24Final]]</f>
        <v>8.9376915219611854E-3</v>
      </c>
      <c r="BG344" s="25">
        <f>VLOOKUP(Inventory[[#This Row],[Nbhd]],Lookups!$Q$2:$T$4,4,FALSE)</f>
        <v>0.99970000000000003</v>
      </c>
      <c r="BH344" s="25">
        <f>VLOOKUP(Inventory[[#This Row],[Qlty]],Lookups!$O$7:$R$21,4,FALSE)</f>
        <v>0.98050000000000004</v>
      </c>
      <c r="BI344" s="25">
        <f>VLOOKUP(Inventory[[#This Row],[Cnd]],Lookups!$T$7:$W$16,4,FALSE)</f>
        <v>0.99729999999999996</v>
      </c>
      <c r="BJ344" s="25">
        <f>VLOOKUP(Inventory[[#This Row],[LivArea Range]],Lookups!$T$25:$W$37,4,FALSE)</f>
        <v>0.98919999999999997</v>
      </c>
      <c r="BK344" s="25">
        <f>VLOOKUP(Inventory[[#This Row],[Decade]],Lookups!$O$25:$R$42,4,FALSE)</f>
        <v>0.98119999999999996</v>
      </c>
      <c r="BL344" s="25">
        <f>Inventory[[#This Row],[Nbhd Adj]]*0.95</f>
        <v>0.94971499999999998</v>
      </c>
      <c r="BM344" s="25">
        <f>Inventory[[#This Row],[Nbhd Adj]]*Inventory[[#This Row],[Quality Adj]]*Inventory[[#This Row],[Condition Adj]]*Inventory[[#This Row],[Living Area Adj]]*Inventory[[#This Row],[Decade Adj]]*0.95</f>
        <v>0.90138092159884586</v>
      </c>
      <c r="BN344" s="25">
        <f>ROUND(SUM(Inventory[[#This Row],[Mdl Qlty]:[Mdl WdDeck]])+Inventory[[#This Row],[Mdl Res Intercept]]*Inventory[[#This Row],[Res Adj ]],-2)</f>
        <v>347900</v>
      </c>
      <c r="BO344" s="25">
        <f>ROUND(Inventory[[#This Row],[25Det]]*Inventory[[#This Row],[Det/Nbhd Adj]],-2)</f>
        <v>0</v>
      </c>
      <c r="BP344" s="25">
        <f>Inventory[[#This Row],[Adjusted Res]]+Inventory[[#This Row],[Adj Det ]]</f>
        <v>347900</v>
      </c>
      <c r="BQ344" s="25">
        <f>ROUND((Inventory[[#This Row],[Mdl Land Intercept]]+Inventory[[#This Row],[Mdl LnAcres]])*Inventory[[#This Row],[Det/Nbhd Adj]],-2)</f>
        <v>44800</v>
      </c>
      <c r="BR344" s="25">
        <f>Inventory[[#This Row],[Adjusted Impr Total]]+Inventory[[#This Row],[Adjusted Land Total]]</f>
        <v>392700</v>
      </c>
      <c r="BS344" s="36">
        <f>IFERROR((Inventory[[#This Row],[Adjusted Impr Total]]-Inventory[[#This Row],[24Bldg]])/Inventory[[#This Row],[24Bldg]],0)</f>
        <v>7.3765432098765432E-2</v>
      </c>
      <c r="BT344" s="36">
        <f>(Inventory[[#This Row],[Adjusted Land Total]]-Inventory[[#This Row],[24Lnd]])/Inventory[[#This Row],[24Lnd]]</f>
        <v>-0.33727810650887574</v>
      </c>
      <c r="BU344" s="36">
        <f>(Inventory[[#This Row],[Adjusted Total]]-Inventory[[#This Row],[24Final]])/Inventory[[#This Row],[24Final]]</f>
        <v>2.8089887640449437E-3</v>
      </c>
    </row>
    <row r="345" spans="1:73" x14ac:dyDescent="0.3">
      <c r="A345" s="25">
        <v>2025</v>
      </c>
      <c r="B345" s="26" t="s">
        <v>1355</v>
      </c>
      <c r="C345" s="26">
        <f>LN(Inventory[[#This Row],[Acres]])</f>
        <v>-1.3093333199837622</v>
      </c>
      <c r="D345" s="25">
        <v>0.27</v>
      </c>
      <c r="E345" s="25">
        <v>11907</v>
      </c>
      <c r="F345" s="26" t="s">
        <v>537</v>
      </c>
      <c r="G345" s="26" t="s">
        <v>126</v>
      </c>
      <c r="H345" s="26" t="s">
        <v>349</v>
      </c>
      <c r="I345" s="26" t="s">
        <v>538</v>
      </c>
      <c r="J345" s="26" t="s">
        <v>539</v>
      </c>
      <c r="K345" s="26" t="s">
        <v>241</v>
      </c>
      <c r="L345" s="26" t="s">
        <v>95</v>
      </c>
      <c r="M345" s="26" t="s">
        <v>323</v>
      </c>
      <c r="N345" s="26">
        <v>60</v>
      </c>
      <c r="O345" s="26">
        <f>2024-Inventory[[#This Row],[YrBlt]]</f>
        <v>59</v>
      </c>
      <c r="P345" s="26">
        <f>2024-Inventory[[#This Row],[EffYr]]</f>
        <v>48</v>
      </c>
      <c r="Q345" s="25">
        <v>1965</v>
      </c>
      <c r="R345" s="25">
        <v>1976</v>
      </c>
      <c r="S345" s="25">
        <v>1992</v>
      </c>
      <c r="T345" s="27"/>
      <c r="U345" s="32">
        <v>1992</v>
      </c>
      <c r="V345" s="32">
        <f>Inventory[[#This Row],[Bsmt]]-Inventory[[#This Row],[FnBsmt]]</f>
        <v>0</v>
      </c>
      <c r="W345" s="32">
        <v>1992</v>
      </c>
      <c r="X345" s="27"/>
      <c r="Y345" s="27">
        <f>Inventory[[#This Row],[MainFn]]+Inventory[[#This Row],[UpprFn]]+Inventory[[#This Row],[FnBsmt]]+Inventory[[#This Row],[AddFn]]</f>
        <v>3984</v>
      </c>
      <c r="Z345" s="27">
        <v>4000</v>
      </c>
      <c r="AA345" s="25">
        <v>13</v>
      </c>
      <c r="AB345" s="32">
        <v>552</v>
      </c>
      <c r="AC345" s="27"/>
      <c r="AD345" s="32">
        <v>580</v>
      </c>
      <c r="AE345" s="27"/>
      <c r="AF345" s="27"/>
      <c r="AG345" s="27"/>
      <c r="AH345" s="27"/>
      <c r="AI345" s="25">
        <v>763568</v>
      </c>
      <c r="AJ345" s="25">
        <v>565040</v>
      </c>
      <c r="AK345" s="25">
        <v>27800</v>
      </c>
      <c r="AL345" s="25">
        <v>521500</v>
      </c>
      <c r="AM345" s="25">
        <v>68900</v>
      </c>
      <c r="AN345" s="25">
        <v>452600</v>
      </c>
      <c r="AO345" s="25">
        <v>0</v>
      </c>
      <c r="AP345" s="25">
        <f>Lookups!$B$56*0</f>
        <v>0</v>
      </c>
      <c r="AQ345" s="25">
        <f>Lookups!$B$56*1</f>
        <v>89850.625589999996</v>
      </c>
      <c r="AR345" s="25">
        <f>Lookups!$B$57*Inventory[[#This Row],[LnAcres]]</f>
        <v>-41446.443120973789</v>
      </c>
      <c r="AS345" s="25">
        <f>VLOOKUP(Inventory[[#This Row],[Qlty]],Lookups!$A$62:$E$75,2,FALSE)</f>
        <v>74268.409664999999</v>
      </c>
      <c r="AT345" s="25">
        <f>VLOOKUP(Inventory[[#This Row],[Cnd]],Lookups!$A$76:$E$84,2,FALSE)</f>
        <v>160472.20319</v>
      </c>
      <c r="AU345" s="25">
        <f>Inventory[[#This Row],[EffAge]]*Lookups!$B$85</f>
        <v>-10706.188824000001</v>
      </c>
      <c r="AV345" s="25">
        <f>Inventory[[#This Row],[MainFn]]*Lookups!$B$86</f>
        <v>98422.070394983995</v>
      </c>
      <c r="AW345" s="25">
        <f>Inventory[[#This Row],[UpprFn]]*Lookups!$B$87</f>
        <v>0</v>
      </c>
      <c r="AX345" s="25">
        <f>Inventory[[#This Row],[AddFn]]*Lookups!$B$88</f>
        <v>0</v>
      </c>
      <c r="AY345" s="25">
        <f>Inventory[[#This Row],[Bsmt]]*Lookups!$B$89</f>
        <v>57931.135332023994</v>
      </c>
      <c r="AZ345" s="25">
        <f>Inventory[[#This Row],[Fixtures]]*Lookups!$B$90</f>
        <v>49296.287367600002</v>
      </c>
      <c r="BA345" s="25">
        <f>Inventory[[#This Row],[WdDeck]]*Lookups!$B$91</f>
        <v>19311.39886008</v>
      </c>
      <c r="BB345" s="25">
        <f>ROUND(Inventory[[#This Row],[25Det]],-2)</f>
        <v>27800</v>
      </c>
      <c r="BC345" s="25">
        <f>ROUND(SUM(Inventory[[#This Row],[Mdl Qlty]:[Mdl WdDeck]])+Inventory[[#This Row],[Mdl Res Intercept]],-2)</f>
        <v>449000</v>
      </c>
      <c r="BD345" s="25">
        <f>ROUND(Inventory[[#This Row],[Mdl Land Intercept]]+Inventory[[#This Row],[Mdl LnAcres]],-2)</f>
        <v>48400</v>
      </c>
      <c r="BE345" s="25">
        <f>Inventory[[#This Row],[Unadj Res Value]]+Inventory[[#This Row],[Unadj Det Value]]+Inventory[[#This Row],[Unadj Land Value]]</f>
        <v>525200</v>
      </c>
      <c r="BF345" s="36">
        <f>(Inventory[[#This Row],[Unadj Total Value]]-Inventory[[#This Row],[24Final]])/Inventory[[#This Row],[24Final]]</f>
        <v>7.0949185043144777E-3</v>
      </c>
      <c r="BG345" s="25">
        <f>VLOOKUP(Inventory[[#This Row],[Nbhd]],Lookups!$Q$2:$T$4,4,FALSE)</f>
        <v>0.99970000000000003</v>
      </c>
      <c r="BH345" s="25">
        <f>VLOOKUP(Inventory[[#This Row],[Qlty]],Lookups!$O$7:$R$21,4,FALSE)</f>
        <v>0.98380000000000001</v>
      </c>
      <c r="BI345" s="25">
        <f>VLOOKUP(Inventory[[#This Row],[Cnd]],Lookups!$T$7:$W$16,4,FALSE)</f>
        <v>0.99729999999999996</v>
      </c>
      <c r="BJ345" s="25">
        <f>VLOOKUP(Inventory[[#This Row],[LivArea Range]],Lookups!$T$25:$W$37,4,FALSE)</f>
        <v>0.94579999999999997</v>
      </c>
      <c r="BK345" s="25">
        <f>VLOOKUP(Inventory[[#This Row],[Decade]],Lookups!$O$25:$R$42,4,FALSE)</f>
        <v>0.98119999999999996</v>
      </c>
      <c r="BL345" s="25">
        <f>Inventory[[#This Row],[Nbhd Adj]]*0.95</f>
        <v>0.94971499999999998</v>
      </c>
      <c r="BM345" s="25">
        <f>Inventory[[#This Row],[Nbhd Adj]]*Inventory[[#This Row],[Quality Adj]]*Inventory[[#This Row],[Condition Adj]]*Inventory[[#This Row],[Living Area Adj]]*Inventory[[#This Row],[Decade Adj]]*0.95</f>
        <v>0.86473449534698132</v>
      </c>
      <c r="BN345" s="25">
        <f>ROUND(SUM(Inventory[[#This Row],[Mdl Qlty]:[Mdl WdDeck]])+Inventory[[#This Row],[Mdl Res Intercept]]*Inventory[[#This Row],[Res Adj ]],-2)</f>
        <v>449000</v>
      </c>
      <c r="BO345" s="25">
        <f>ROUND(Inventory[[#This Row],[25Det]]*Inventory[[#This Row],[Det/Nbhd Adj]],-2)</f>
        <v>26400</v>
      </c>
      <c r="BP345" s="25">
        <f>Inventory[[#This Row],[Adjusted Res]]+Inventory[[#This Row],[Adj Det ]]</f>
        <v>475400</v>
      </c>
      <c r="BQ345" s="25">
        <f>ROUND((Inventory[[#This Row],[Mdl Land Intercept]]+Inventory[[#This Row],[Mdl LnAcres]])*Inventory[[#This Row],[Det/Nbhd Adj]],-2)</f>
        <v>46000</v>
      </c>
      <c r="BR345" s="25">
        <f>Inventory[[#This Row],[Adjusted Impr Total]]+Inventory[[#This Row],[Adjusted Land Total]]</f>
        <v>521400</v>
      </c>
      <c r="BS345" s="36">
        <f>IFERROR((Inventory[[#This Row],[Adjusted Impr Total]]-Inventory[[#This Row],[24Bldg]])/Inventory[[#This Row],[24Bldg]],0)</f>
        <v>5.0375607600530267E-2</v>
      </c>
      <c r="BT345" s="36">
        <f>(Inventory[[#This Row],[Adjusted Land Total]]-Inventory[[#This Row],[24Lnd]])/Inventory[[#This Row],[24Lnd]]</f>
        <v>-0.33236574746008707</v>
      </c>
      <c r="BU345" s="36">
        <f>(Inventory[[#This Row],[Adjusted Total]]-Inventory[[#This Row],[24Final]])/Inventory[[#This Row],[24Final]]</f>
        <v>-1.9175455417066154E-4</v>
      </c>
    </row>
    <row r="346" spans="1:73" x14ac:dyDescent="0.3">
      <c r="A346" s="25">
        <v>2025</v>
      </c>
      <c r="B346" s="26" t="s">
        <v>1779</v>
      </c>
      <c r="C346" s="26">
        <f>LN(Inventory[[#This Row],[Acres]])</f>
        <v>-1.8971199848858813</v>
      </c>
      <c r="D346" s="25">
        <v>0.15</v>
      </c>
      <c r="E346" s="31"/>
      <c r="F346" s="26" t="s">
        <v>537</v>
      </c>
      <c r="G346" s="26" t="s">
        <v>126</v>
      </c>
      <c r="H346" s="26" t="s">
        <v>349</v>
      </c>
      <c r="I346" s="26" t="s">
        <v>538</v>
      </c>
      <c r="J346" s="26" t="s">
        <v>539</v>
      </c>
      <c r="K346" s="26" t="s">
        <v>241</v>
      </c>
      <c r="L346" s="26" t="s">
        <v>31</v>
      </c>
      <c r="M346" s="26" t="s">
        <v>303</v>
      </c>
      <c r="N346" s="26">
        <v>60</v>
      </c>
      <c r="O346" s="26">
        <f>2024-Inventory[[#This Row],[YrBlt]]</f>
        <v>59</v>
      </c>
      <c r="P346" s="26">
        <f>2024-Inventory[[#This Row],[EffYr]]</f>
        <v>48</v>
      </c>
      <c r="Q346" s="25">
        <v>1965</v>
      </c>
      <c r="R346" s="25">
        <v>1976</v>
      </c>
      <c r="S346" s="25">
        <v>1630</v>
      </c>
      <c r="T346" s="27"/>
      <c r="U346" s="31"/>
      <c r="V346" s="31">
        <f>Inventory[[#This Row],[Bsmt]]-Inventory[[#This Row],[FnBsmt]]</f>
        <v>0</v>
      </c>
      <c r="W346" s="31"/>
      <c r="X346" s="27"/>
      <c r="Y346" s="27">
        <f>Inventory[[#This Row],[MainFn]]+Inventory[[#This Row],[UpprFn]]+Inventory[[#This Row],[FnBsmt]]+Inventory[[#This Row],[AddFn]]</f>
        <v>1630</v>
      </c>
      <c r="Z346" s="27">
        <v>2000</v>
      </c>
      <c r="AA346" s="25">
        <v>8</v>
      </c>
      <c r="AB346" s="31"/>
      <c r="AC346" s="27"/>
      <c r="AD346" s="27"/>
      <c r="AE346" s="27"/>
      <c r="AF346" s="27"/>
      <c r="AG346" s="27"/>
      <c r="AH346" s="27"/>
      <c r="AI346" s="25">
        <v>216243</v>
      </c>
      <c r="AJ346" s="25">
        <v>157857</v>
      </c>
      <c r="AK346" s="25">
        <v>8211</v>
      </c>
      <c r="AL346" s="25">
        <v>303200</v>
      </c>
      <c r="AM346" s="25">
        <v>48400</v>
      </c>
      <c r="AN346" s="25">
        <v>254800</v>
      </c>
      <c r="AO346" s="25">
        <v>0</v>
      </c>
      <c r="AP346" s="25">
        <f>Lookups!$B$56*0</f>
        <v>0</v>
      </c>
      <c r="AQ346" s="25">
        <f>Lookups!$B$56*1</f>
        <v>89850.625589999996</v>
      </c>
      <c r="AR346" s="25">
        <f>Lookups!$B$57*Inventory[[#This Row],[LnAcres]]</f>
        <v>-60052.604136134301</v>
      </c>
      <c r="AS346" s="25">
        <f>VLOOKUP(Inventory[[#This Row],[Qlty]],Lookups!$A$62:$E$75,2,FALSE)</f>
        <v>-43578.886190266698</v>
      </c>
      <c r="AT346" s="25">
        <f>VLOOKUP(Inventory[[#This Row],[Cnd]],Lookups!$A$76:$E$84,2,FALSE)</f>
        <v>197752.34721000001</v>
      </c>
      <c r="AU346" s="25">
        <f>Inventory[[#This Row],[EffAge]]*Lookups!$B$85</f>
        <v>-10706.188824000001</v>
      </c>
      <c r="AV346" s="25">
        <f>Inventory[[#This Row],[MainFn]]*Lookups!$B$86</f>
        <v>80536.131899510001</v>
      </c>
      <c r="AW346" s="25">
        <f>Inventory[[#This Row],[UpprFn]]*Lookups!$B$87</f>
        <v>0</v>
      </c>
      <c r="AX346" s="25">
        <f>Inventory[[#This Row],[AddFn]]*Lookups!$B$88</f>
        <v>0</v>
      </c>
      <c r="AY346" s="25">
        <f>Inventory[[#This Row],[Bsmt]]*Lookups!$B$89</f>
        <v>0</v>
      </c>
      <c r="AZ346" s="25">
        <f>Inventory[[#This Row],[Fixtures]]*Lookups!$B$90</f>
        <v>30336.176841600001</v>
      </c>
      <c r="BA346" s="25">
        <f>Inventory[[#This Row],[WdDeck]]*Lookups!$B$91</f>
        <v>0</v>
      </c>
      <c r="BB346" s="25">
        <f>ROUND(Inventory[[#This Row],[25Det]],-2)</f>
        <v>8200</v>
      </c>
      <c r="BC346" s="25">
        <f>ROUND(SUM(Inventory[[#This Row],[Mdl Qlty]:[Mdl WdDeck]])+Inventory[[#This Row],[Mdl Res Intercept]],-2)</f>
        <v>254300</v>
      </c>
      <c r="BD346" s="25">
        <f>ROUND(Inventory[[#This Row],[Mdl Land Intercept]]+Inventory[[#This Row],[Mdl LnAcres]],-2)</f>
        <v>29800</v>
      </c>
      <c r="BE346" s="25">
        <f>Inventory[[#This Row],[Unadj Res Value]]+Inventory[[#This Row],[Unadj Det Value]]+Inventory[[#This Row],[Unadj Land Value]]</f>
        <v>292300</v>
      </c>
      <c r="BF346" s="36">
        <f>(Inventory[[#This Row],[Unadj Total Value]]-Inventory[[#This Row],[24Final]])/Inventory[[#This Row],[24Final]]</f>
        <v>-3.5949868073878628E-2</v>
      </c>
      <c r="BG346" s="25">
        <f>VLOOKUP(Inventory[[#This Row],[Nbhd]],Lookups!$Q$2:$T$4,4,FALSE)</f>
        <v>0.99970000000000003</v>
      </c>
      <c r="BH346" s="25">
        <f>VLOOKUP(Inventory[[#This Row],[Qlty]],Lookups!$O$7:$R$21,4,FALSE)</f>
        <v>1</v>
      </c>
      <c r="BI346" s="25">
        <f>VLOOKUP(Inventory[[#This Row],[Cnd]],Lookups!$T$7:$W$16,4,FALSE)</f>
        <v>0.99650000000000005</v>
      </c>
      <c r="BJ346" s="25">
        <f>VLOOKUP(Inventory[[#This Row],[LivArea Range]],Lookups!$T$25:$W$37,4,FALSE)</f>
        <v>1.0093000000000001</v>
      </c>
      <c r="BK346" s="25">
        <f>VLOOKUP(Inventory[[#This Row],[Decade]],Lookups!$O$25:$R$42,4,FALSE)</f>
        <v>0.98119999999999996</v>
      </c>
      <c r="BL346" s="25">
        <f>Inventory[[#This Row],[Nbhd Adj]]*0.95</f>
        <v>0.94971499999999998</v>
      </c>
      <c r="BM346" s="25">
        <f>Inventory[[#This Row],[Nbhd Adj]]*Inventory[[#This Row],[Quality Adj]]*Inventory[[#This Row],[Condition Adj]]*Inventory[[#This Row],[Living Area Adj]]*Inventory[[#This Row],[Decade Adj]]*0.95</f>
        <v>0.93723481602174707</v>
      </c>
      <c r="BN346" s="25">
        <f>ROUND(SUM(Inventory[[#This Row],[Mdl Qlty]:[Mdl WdDeck]])+Inventory[[#This Row],[Mdl Res Intercept]]*Inventory[[#This Row],[Res Adj ]],-2)</f>
        <v>254300</v>
      </c>
      <c r="BO346" s="25">
        <f>ROUND(Inventory[[#This Row],[25Det]]*Inventory[[#This Row],[Det/Nbhd Adj]],-2)</f>
        <v>7800</v>
      </c>
      <c r="BP346" s="25">
        <f>Inventory[[#This Row],[Adjusted Res]]+Inventory[[#This Row],[Adj Det ]]</f>
        <v>262100</v>
      </c>
      <c r="BQ346" s="25">
        <f>ROUND((Inventory[[#This Row],[Mdl Land Intercept]]+Inventory[[#This Row],[Mdl LnAcres]])*Inventory[[#This Row],[Det/Nbhd Adj]],-2)</f>
        <v>28300</v>
      </c>
      <c r="BR346" s="25">
        <f>Inventory[[#This Row],[Adjusted Impr Total]]+Inventory[[#This Row],[Adjusted Land Total]]</f>
        <v>290400</v>
      </c>
      <c r="BS346" s="36">
        <f>IFERROR((Inventory[[#This Row],[Adjusted Impr Total]]-Inventory[[#This Row],[24Bldg]])/Inventory[[#This Row],[24Bldg]],0)</f>
        <v>2.8649921507064365E-2</v>
      </c>
      <c r="BT346" s="36">
        <f>(Inventory[[#This Row],[Adjusted Land Total]]-Inventory[[#This Row],[24Lnd]])/Inventory[[#This Row],[24Lnd]]</f>
        <v>-0.41528925619834711</v>
      </c>
      <c r="BU346" s="36">
        <f>(Inventory[[#This Row],[Adjusted Total]]-Inventory[[#This Row],[24Final]])/Inventory[[#This Row],[24Final]]</f>
        <v>-4.221635883905013E-2</v>
      </c>
    </row>
    <row r="347" spans="1:73" x14ac:dyDescent="0.3">
      <c r="A347" s="25">
        <v>2025</v>
      </c>
      <c r="B347" s="26" t="s">
        <v>2455</v>
      </c>
      <c r="C347" s="26">
        <f>LN(Inventory[[#This Row],[Acres]])</f>
        <v>-1.6607312068216509</v>
      </c>
      <c r="D347" s="25">
        <v>0.19</v>
      </c>
      <c r="E347" s="31"/>
      <c r="F347" s="26" t="s">
        <v>537</v>
      </c>
      <c r="G347" s="26" t="s">
        <v>126</v>
      </c>
      <c r="H347" s="26" t="s">
        <v>349</v>
      </c>
      <c r="I347" s="26" t="s">
        <v>538</v>
      </c>
      <c r="J347" s="26" t="s">
        <v>638</v>
      </c>
      <c r="K347" s="26" t="s">
        <v>241</v>
      </c>
      <c r="L347" s="26" t="s">
        <v>148</v>
      </c>
      <c r="M347" s="26" t="s">
        <v>303</v>
      </c>
      <c r="N347" s="26">
        <v>60</v>
      </c>
      <c r="O347" s="26">
        <f>2024-Inventory[[#This Row],[YrBlt]]</f>
        <v>60</v>
      </c>
      <c r="P347" s="26">
        <f>2024-Inventory[[#This Row],[EffYr]]</f>
        <v>49</v>
      </c>
      <c r="Q347" s="25">
        <v>1964</v>
      </c>
      <c r="R347" s="25">
        <v>1975</v>
      </c>
      <c r="S347" s="25">
        <v>1356</v>
      </c>
      <c r="T347" s="27"/>
      <c r="U347" s="31"/>
      <c r="V347" s="31">
        <f>Inventory[[#This Row],[Bsmt]]-Inventory[[#This Row],[FnBsmt]]</f>
        <v>0</v>
      </c>
      <c r="W347" s="31"/>
      <c r="X347" s="27"/>
      <c r="Y347" s="27">
        <f>Inventory[[#This Row],[MainFn]]+Inventory[[#This Row],[UpprFn]]+Inventory[[#This Row],[FnBsmt]]+Inventory[[#This Row],[AddFn]]</f>
        <v>1356</v>
      </c>
      <c r="Z347" s="27">
        <v>1500</v>
      </c>
      <c r="AA347" s="25">
        <v>8</v>
      </c>
      <c r="AB347" s="32">
        <v>728</v>
      </c>
      <c r="AC347" s="27"/>
      <c r="AD347" s="27"/>
      <c r="AE347" s="27"/>
      <c r="AF347" s="27"/>
      <c r="AG347" s="27"/>
      <c r="AH347" s="27"/>
      <c r="AI347" s="25">
        <v>347029</v>
      </c>
      <c r="AJ347" s="25">
        <v>249861</v>
      </c>
      <c r="AK347" s="25">
        <v>0</v>
      </c>
      <c r="AL347" s="25">
        <v>333600</v>
      </c>
      <c r="AM347" s="25">
        <v>56600</v>
      </c>
      <c r="AN347" s="25">
        <v>277000</v>
      </c>
      <c r="AO347" s="25">
        <v>0</v>
      </c>
      <c r="AP347" s="25">
        <f>Lookups!$B$56*0</f>
        <v>0</v>
      </c>
      <c r="AQ347" s="25">
        <f>Lookups!$B$56*1</f>
        <v>89850.625589999996</v>
      </c>
      <c r="AR347" s="25">
        <f>Lookups!$B$57*Inventory[[#This Row],[LnAcres]]</f>
        <v>-52569.808201026557</v>
      </c>
      <c r="AS347" s="25">
        <f>VLOOKUP(Inventory[[#This Row],[Qlty]],Lookups!$A$62:$E$75,2,FALSE)</f>
        <v>44121.038090000002</v>
      </c>
      <c r="AT347" s="25">
        <f>VLOOKUP(Inventory[[#This Row],[Cnd]],Lookups!$A$76:$E$84,2,FALSE)</f>
        <v>197752.34721000001</v>
      </c>
      <c r="AU347" s="25">
        <f>Inventory[[#This Row],[EffAge]]*Lookups!$B$85</f>
        <v>-10929.2344245</v>
      </c>
      <c r="AV347" s="25">
        <f>Inventory[[#This Row],[MainFn]]*Lookups!$B$86</f>
        <v>66998.156353212005</v>
      </c>
      <c r="AW347" s="25">
        <f>Inventory[[#This Row],[UpprFn]]*Lookups!$B$87</f>
        <v>0</v>
      </c>
      <c r="AX347" s="25">
        <f>Inventory[[#This Row],[AddFn]]*Lookups!$B$88</f>
        <v>0</v>
      </c>
      <c r="AY347" s="25">
        <f>Inventory[[#This Row],[Bsmt]]*Lookups!$B$89</f>
        <v>0</v>
      </c>
      <c r="AZ347" s="25">
        <f>Inventory[[#This Row],[Fixtures]]*Lookups!$B$90</f>
        <v>30336.176841600001</v>
      </c>
      <c r="BA347" s="25">
        <f>Inventory[[#This Row],[WdDeck]]*Lookups!$B$91</f>
        <v>0</v>
      </c>
      <c r="BB347" s="25">
        <f>ROUND(Inventory[[#This Row],[25Det]],-2)</f>
        <v>0</v>
      </c>
      <c r="BC347" s="25">
        <f>ROUND(SUM(Inventory[[#This Row],[Mdl Qlty]:[Mdl WdDeck]])+Inventory[[#This Row],[Mdl Res Intercept]],-2)</f>
        <v>328300</v>
      </c>
      <c r="BD347" s="25">
        <f>ROUND(Inventory[[#This Row],[Mdl Land Intercept]]+Inventory[[#This Row],[Mdl LnAcres]],-2)</f>
        <v>37300</v>
      </c>
      <c r="BE347" s="25">
        <f>Inventory[[#This Row],[Unadj Res Value]]+Inventory[[#This Row],[Unadj Det Value]]+Inventory[[#This Row],[Unadj Land Value]]</f>
        <v>365600</v>
      </c>
      <c r="BF347" s="36">
        <f>(Inventory[[#This Row],[Unadj Total Value]]-Inventory[[#This Row],[24Final]])/Inventory[[#This Row],[24Final]]</f>
        <v>9.5923261390887291E-2</v>
      </c>
      <c r="BG347" s="25">
        <f>VLOOKUP(Inventory[[#This Row],[Nbhd]],Lookups!$Q$2:$T$4,4,FALSE)</f>
        <v>0.99970000000000003</v>
      </c>
      <c r="BH347" s="25">
        <f>VLOOKUP(Inventory[[#This Row],[Qlty]],Lookups!$O$7:$R$21,4,FALSE)</f>
        <v>0.98050000000000004</v>
      </c>
      <c r="BI347" s="25">
        <f>VLOOKUP(Inventory[[#This Row],[Cnd]],Lookups!$T$7:$W$16,4,FALSE)</f>
        <v>0.99650000000000005</v>
      </c>
      <c r="BJ347" s="25">
        <f>VLOOKUP(Inventory[[#This Row],[LivArea Range]],Lookups!$T$25:$W$37,4,FALSE)</f>
        <v>1.0157</v>
      </c>
      <c r="BK347" s="25">
        <f>VLOOKUP(Inventory[[#This Row],[Decade]],Lookups!$O$25:$R$42,4,FALSE)</f>
        <v>0.98119999999999996</v>
      </c>
      <c r="BL347" s="25">
        <f>Inventory[[#This Row],[Nbhd Adj]]*0.95</f>
        <v>0.94971499999999998</v>
      </c>
      <c r="BM347" s="25">
        <f>Inventory[[#This Row],[Nbhd Adj]]*Inventory[[#This Row],[Quality Adj]]*Inventory[[#This Row],[Condition Adj]]*Inventory[[#This Row],[Living Area Adj]]*Inventory[[#This Row],[Decade Adj]]*0.95</f>
        <v>0.92478588059242983</v>
      </c>
      <c r="BN347" s="25">
        <f>ROUND(SUM(Inventory[[#This Row],[Mdl Qlty]:[Mdl WdDeck]])+Inventory[[#This Row],[Mdl Res Intercept]]*Inventory[[#This Row],[Res Adj ]],-2)</f>
        <v>328300</v>
      </c>
      <c r="BO347" s="25">
        <f>ROUND(Inventory[[#This Row],[25Det]]*Inventory[[#This Row],[Det/Nbhd Adj]],-2)</f>
        <v>0</v>
      </c>
      <c r="BP347" s="25">
        <f>Inventory[[#This Row],[Adjusted Res]]+Inventory[[#This Row],[Adj Det ]]</f>
        <v>328300</v>
      </c>
      <c r="BQ347" s="25">
        <f>ROUND((Inventory[[#This Row],[Mdl Land Intercept]]+Inventory[[#This Row],[Mdl LnAcres]])*Inventory[[#This Row],[Det/Nbhd Adj]],-2)</f>
        <v>35400</v>
      </c>
      <c r="BR347" s="25">
        <f>Inventory[[#This Row],[Adjusted Impr Total]]+Inventory[[#This Row],[Adjusted Land Total]]</f>
        <v>363700</v>
      </c>
      <c r="BS347" s="36">
        <f>IFERROR((Inventory[[#This Row],[Adjusted Impr Total]]-Inventory[[#This Row],[24Bldg]])/Inventory[[#This Row],[24Bldg]],0)</f>
        <v>0.1851985559566787</v>
      </c>
      <c r="BT347" s="36">
        <f>(Inventory[[#This Row],[Adjusted Land Total]]-Inventory[[#This Row],[24Lnd]])/Inventory[[#This Row],[24Lnd]]</f>
        <v>-0.37455830388692579</v>
      </c>
      <c r="BU347" s="36">
        <f>(Inventory[[#This Row],[Adjusted Total]]-Inventory[[#This Row],[24Final]])/Inventory[[#This Row],[24Final]]</f>
        <v>9.0227817745803351E-2</v>
      </c>
    </row>
    <row r="348" spans="1:73" x14ac:dyDescent="0.3">
      <c r="A348" s="25">
        <v>2025</v>
      </c>
      <c r="B348" s="26" t="s">
        <v>2456</v>
      </c>
      <c r="C348" s="26">
        <f>LN(Inventory[[#This Row],[Acres]])</f>
        <v>-1.6607312068216509</v>
      </c>
      <c r="D348" s="25">
        <v>0.19</v>
      </c>
      <c r="E348" s="31"/>
      <c r="F348" s="26" t="s">
        <v>537</v>
      </c>
      <c r="G348" s="26" t="s">
        <v>126</v>
      </c>
      <c r="H348" s="26" t="s">
        <v>349</v>
      </c>
      <c r="I348" s="26" t="s">
        <v>538</v>
      </c>
      <c r="J348" s="26" t="s">
        <v>539</v>
      </c>
      <c r="K348" s="26" t="s">
        <v>241</v>
      </c>
      <c r="L348" s="26" t="s">
        <v>351</v>
      </c>
      <c r="M348" s="26" t="s">
        <v>303</v>
      </c>
      <c r="N348" s="26">
        <v>60</v>
      </c>
      <c r="O348" s="26">
        <f>2024-Inventory[[#This Row],[YrBlt]]</f>
        <v>60</v>
      </c>
      <c r="P348" s="26">
        <f>2024-Inventory[[#This Row],[EffYr]]</f>
        <v>49</v>
      </c>
      <c r="Q348" s="25">
        <v>1964</v>
      </c>
      <c r="R348" s="25">
        <v>1975</v>
      </c>
      <c r="S348" s="25">
        <v>1262</v>
      </c>
      <c r="T348" s="27"/>
      <c r="U348" s="31"/>
      <c r="V348" s="31">
        <f>Inventory[[#This Row],[Bsmt]]-Inventory[[#This Row],[FnBsmt]]</f>
        <v>0</v>
      </c>
      <c r="W348" s="31"/>
      <c r="X348" s="27"/>
      <c r="Y348" s="27">
        <f>Inventory[[#This Row],[MainFn]]+Inventory[[#This Row],[UpprFn]]+Inventory[[#This Row],[FnBsmt]]+Inventory[[#This Row],[AddFn]]</f>
        <v>1262</v>
      </c>
      <c r="Z348" s="27">
        <v>1500</v>
      </c>
      <c r="AA348" s="25">
        <v>8</v>
      </c>
      <c r="AB348" s="32">
        <v>572</v>
      </c>
      <c r="AC348" s="27"/>
      <c r="AD348" s="27"/>
      <c r="AE348" s="27"/>
      <c r="AF348" s="27"/>
      <c r="AG348" s="27"/>
      <c r="AH348" s="27"/>
      <c r="AI348" s="25">
        <v>233170</v>
      </c>
      <c r="AJ348" s="25">
        <v>167882</v>
      </c>
      <c r="AK348" s="25">
        <v>0</v>
      </c>
      <c r="AL348" s="25">
        <v>308700</v>
      </c>
      <c r="AM348" s="25">
        <v>56600</v>
      </c>
      <c r="AN348" s="25">
        <v>252100</v>
      </c>
      <c r="AO348" s="25">
        <v>0</v>
      </c>
      <c r="AP348" s="25">
        <f>Lookups!$B$56*0</f>
        <v>0</v>
      </c>
      <c r="AQ348" s="25">
        <f>Lookups!$B$56*1</f>
        <v>89850.625589999996</v>
      </c>
      <c r="AR348" s="25">
        <f>Lookups!$B$57*Inventory[[#This Row],[LnAcres]]</f>
        <v>-52569.808201026557</v>
      </c>
      <c r="AS348" s="25">
        <f>VLOOKUP(Inventory[[#This Row],[Qlty]],Lookups!$A$62:$E$75,2,FALSE)</f>
        <v>21557.329055999999</v>
      </c>
      <c r="AT348" s="25">
        <f>VLOOKUP(Inventory[[#This Row],[Cnd]],Lookups!$A$76:$E$84,2,FALSE)</f>
        <v>197752.34721000001</v>
      </c>
      <c r="AU348" s="25">
        <f>Inventory[[#This Row],[EffAge]]*Lookups!$B$85</f>
        <v>-10929.2344245</v>
      </c>
      <c r="AV348" s="25">
        <f>Inventory[[#This Row],[MainFn]]*Lookups!$B$86</f>
        <v>62353.741384774003</v>
      </c>
      <c r="AW348" s="25">
        <f>Inventory[[#This Row],[UpprFn]]*Lookups!$B$87</f>
        <v>0</v>
      </c>
      <c r="AX348" s="25">
        <f>Inventory[[#This Row],[AddFn]]*Lookups!$B$88</f>
        <v>0</v>
      </c>
      <c r="AY348" s="25">
        <f>Inventory[[#This Row],[Bsmt]]*Lookups!$B$89</f>
        <v>0</v>
      </c>
      <c r="AZ348" s="25">
        <f>Inventory[[#This Row],[Fixtures]]*Lookups!$B$90</f>
        <v>30336.176841600001</v>
      </c>
      <c r="BA348" s="25">
        <f>Inventory[[#This Row],[WdDeck]]*Lookups!$B$91</f>
        <v>0</v>
      </c>
      <c r="BB348" s="25">
        <f>ROUND(Inventory[[#This Row],[25Det]],-2)</f>
        <v>0</v>
      </c>
      <c r="BC348" s="25">
        <f>ROUND(SUM(Inventory[[#This Row],[Mdl Qlty]:[Mdl WdDeck]])+Inventory[[#This Row],[Mdl Res Intercept]],-2)</f>
        <v>301100</v>
      </c>
      <c r="BD348" s="25">
        <f>ROUND(Inventory[[#This Row],[Mdl Land Intercept]]+Inventory[[#This Row],[Mdl LnAcres]],-2)</f>
        <v>37300</v>
      </c>
      <c r="BE348" s="25">
        <f>Inventory[[#This Row],[Unadj Res Value]]+Inventory[[#This Row],[Unadj Det Value]]+Inventory[[#This Row],[Unadj Land Value]]</f>
        <v>338400</v>
      </c>
      <c r="BF348" s="36">
        <f>(Inventory[[#This Row],[Unadj Total Value]]-Inventory[[#This Row],[24Final]])/Inventory[[#This Row],[24Final]]</f>
        <v>9.6209912536443148E-2</v>
      </c>
      <c r="BG348" s="25">
        <f>VLOOKUP(Inventory[[#This Row],[Nbhd]],Lookups!$Q$2:$T$4,4,FALSE)</f>
        <v>0.99970000000000003</v>
      </c>
      <c r="BH348" s="25">
        <f>VLOOKUP(Inventory[[#This Row],[Qlty]],Lookups!$O$7:$R$21,4,FALSE)</f>
        <v>1.0067999999999999</v>
      </c>
      <c r="BI348" s="25">
        <f>VLOOKUP(Inventory[[#This Row],[Cnd]],Lookups!$T$7:$W$16,4,FALSE)</f>
        <v>0.99650000000000005</v>
      </c>
      <c r="BJ348" s="25">
        <f>VLOOKUP(Inventory[[#This Row],[LivArea Range]],Lookups!$T$25:$W$37,4,FALSE)</f>
        <v>1.0157</v>
      </c>
      <c r="BK348" s="25">
        <f>VLOOKUP(Inventory[[#This Row],[Decade]],Lookups!$O$25:$R$42,4,FALSE)</f>
        <v>0.98119999999999996</v>
      </c>
      <c r="BL348" s="25">
        <f>Inventory[[#This Row],[Nbhd Adj]]*0.95</f>
        <v>0.94971499999999998</v>
      </c>
      <c r="BM348" s="25">
        <f>Inventory[[#This Row],[Nbhd Adj]]*Inventory[[#This Row],[Quality Adj]]*Inventory[[#This Row],[Condition Adj]]*Inventory[[#This Row],[Living Area Adj]]*Inventory[[#This Row],[Decade Adj]]*0.95</f>
        <v>0.9495914580116861</v>
      </c>
      <c r="BN348" s="25">
        <f>ROUND(SUM(Inventory[[#This Row],[Mdl Qlty]:[Mdl WdDeck]])+Inventory[[#This Row],[Mdl Res Intercept]]*Inventory[[#This Row],[Res Adj ]],-2)</f>
        <v>301100</v>
      </c>
      <c r="BO348" s="25">
        <f>ROUND(Inventory[[#This Row],[25Det]]*Inventory[[#This Row],[Det/Nbhd Adj]],-2)</f>
        <v>0</v>
      </c>
      <c r="BP348" s="25">
        <f>Inventory[[#This Row],[Adjusted Res]]+Inventory[[#This Row],[Adj Det ]]</f>
        <v>301100</v>
      </c>
      <c r="BQ348" s="25">
        <f>ROUND((Inventory[[#This Row],[Mdl Land Intercept]]+Inventory[[#This Row],[Mdl LnAcres]])*Inventory[[#This Row],[Det/Nbhd Adj]],-2)</f>
        <v>35400</v>
      </c>
      <c r="BR348" s="25">
        <f>Inventory[[#This Row],[Adjusted Impr Total]]+Inventory[[#This Row],[Adjusted Land Total]]</f>
        <v>336500</v>
      </c>
      <c r="BS348" s="36">
        <f>IFERROR((Inventory[[#This Row],[Adjusted Impr Total]]-Inventory[[#This Row],[24Bldg]])/Inventory[[#This Row],[24Bldg]],0)</f>
        <v>0.19436731455771519</v>
      </c>
      <c r="BT348" s="36">
        <f>(Inventory[[#This Row],[Adjusted Land Total]]-Inventory[[#This Row],[24Lnd]])/Inventory[[#This Row],[24Lnd]]</f>
        <v>-0.37455830388692579</v>
      </c>
      <c r="BU348" s="36">
        <f>(Inventory[[#This Row],[Adjusted Total]]-Inventory[[#This Row],[24Final]])/Inventory[[#This Row],[24Final]]</f>
        <v>9.0055069646906377E-2</v>
      </c>
    </row>
    <row r="349" spans="1:73" x14ac:dyDescent="0.3">
      <c r="A349" s="25">
        <v>2025</v>
      </c>
      <c r="B349" s="26" t="s">
        <v>1615</v>
      </c>
      <c r="C349" s="26">
        <f>LN(Inventory[[#This Row],[Acres]])</f>
        <v>-1.7147984280919266</v>
      </c>
      <c r="D349" s="25">
        <v>0.18</v>
      </c>
      <c r="E349" s="31"/>
      <c r="F349" s="26" t="s">
        <v>537</v>
      </c>
      <c r="G349" s="26" t="s">
        <v>126</v>
      </c>
      <c r="H349" s="26" t="s">
        <v>349</v>
      </c>
      <c r="I349" s="26" t="s">
        <v>538</v>
      </c>
      <c r="J349" s="26" t="s">
        <v>539</v>
      </c>
      <c r="K349" s="26" t="s">
        <v>241</v>
      </c>
      <c r="L349" s="26" t="s">
        <v>351</v>
      </c>
      <c r="M349" s="26" t="s">
        <v>303</v>
      </c>
      <c r="N349" s="26">
        <v>60</v>
      </c>
      <c r="O349" s="26">
        <f>2024-Inventory[[#This Row],[YrBlt]]</f>
        <v>60</v>
      </c>
      <c r="P349" s="26">
        <f>2024-Inventory[[#This Row],[EffYr]]</f>
        <v>49</v>
      </c>
      <c r="Q349" s="25">
        <v>1964</v>
      </c>
      <c r="R349" s="25">
        <v>1975</v>
      </c>
      <c r="S349" s="25">
        <v>1332</v>
      </c>
      <c r="T349" s="31"/>
      <c r="U349" s="31"/>
      <c r="V349" s="31">
        <f>Inventory[[#This Row],[Bsmt]]-Inventory[[#This Row],[FnBsmt]]</f>
        <v>0</v>
      </c>
      <c r="W349" s="31"/>
      <c r="X349" s="27"/>
      <c r="Y349" s="27">
        <f>Inventory[[#This Row],[MainFn]]+Inventory[[#This Row],[UpprFn]]+Inventory[[#This Row],[FnBsmt]]+Inventory[[#This Row],[AddFn]]</f>
        <v>1332</v>
      </c>
      <c r="Z349" s="27">
        <v>1500</v>
      </c>
      <c r="AA349" s="25">
        <v>8</v>
      </c>
      <c r="AB349" s="27"/>
      <c r="AC349" s="27"/>
      <c r="AD349" s="27"/>
      <c r="AE349" s="27"/>
      <c r="AF349" s="27"/>
      <c r="AG349" s="27"/>
      <c r="AH349" s="27"/>
      <c r="AI349" s="25">
        <v>218474</v>
      </c>
      <c r="AJ349" s="25">
        <v>157301</v>
      </c>
      <c r="AK349" s="25">
        <v>0</v>
      </c>
      <c r="AL349" s="25">
        <v>311200</v>
      </c>
      <c r="AM349" s="25">
        <v>54700</v>
      </c>
      <c r="AN349" s="25">
        <v>256500</v>
      </c>
      <c r="AO349" s="25">
        <v>0</v>
      </c>
      <c r="AP349" s="25">
        <f>Lookups!$B$56*0</f>
        <v>0</v>
      </c>
      <c r="AQ349" s="25">
        <f>Lookups!$B$56*1</f>
        <v>89850.625589999996</v>
      </c>
      <c r="AR349" s="25">
        <f>Lookups!$B$57*Inventory[[#This Row],[LnAcres]]</f>
        <v>-54281.285314520763</v>
      </c>
      <c r="AS349" s="25">
        <f>VLOOKUP(Inventory[[#This Row],[Qlty]],Lookups!$A$62:$E$75,2,FALSE)</f>
        <v>21557.329055999999</v>
      </c>
      <c r="AT349" s="25">
        <f>VLOOKUP(Inventory[[#This Row],[Cnd]],Lookups!$A$76:$E$84,2,FALSE)</f>
        <v>197752.34721000001</v>
      </c>
      <c r="AU349" s="25">
        <f>Inventory[[#This Row],[EffAge]]*Lookups!$B$85</f>
        <v>-10929.2344245</v>
      </c>
      <c r="AV349" s="25">
        <f>Inventory[[#This Row],[MainFn]]*Lookups!$B$86</f>
        <v>65812.348276164004</v>
      </c>
      <c r="AW349" s="25">
        <f>Inventory[[#This Row],[UpprFn]]*Lookups!$B$87</f>
        <v>0</v>
      </c>
      <c r="AX349" s="25">
        <f>Inventory[[#This Row],[AddFn]]*Lookups!$B$88</f>
        <v>0</v>
      </c>
      <c r="AY349" s="25">
        <f>Inventory[[#This Row],[Bsmt]]*Lookups!$B$89</f>
        <v>0</v>
      </c>
      <c r="AZ349" s="25">
        <f>Inventory[[#This Row],[Fixtures]]*Lookups!$B$90</f>
        <v>30336.176841600001</v>
      </c>
      <c r="BA349" s="25">
        <f>Inventory[[#This Row],[WdDeck]]*Lookups!$B$91</f>
        <v>0</v>
      </c>
      <c r="BB349" s="25">
        <f>ROUND(Inventory[[#This Row],[25Det]],-2)</f>
        <v>0</v>
      </c>
      <c r="BC349" s="25">
        <f>ROUND(SUM(Inventory[[#This Row],[Mdl Qlty]:[Mdl WdDeck]])+Inventory[[#This Row],[Mdl Res Intercept]],-2)</f>
        <v>304500</v>
      </c>
      <c r="BD349" s="25">
        <f>ROUND(Inventory[[#This Row],[Mdl Land Intercept]]+Inventory[[#This Row],[Mdl LnAcres]],-2)</f>
        <v>35600</v>
      </c>
      <c r="BE349" s="25">
        <f>Inventory[[#This Row],[Unadj Res Value]]+Inventory[[#This Row],[Unadj Det Value]]+Inventory[[#This Row],[Unadj Land Value]]</f>
        <v>340100</v>
      </c>
      <c r="BF349" s="36">
        <f>(Inventory[[#This Row],[Unadj Total Value]]-Inventory[[#This Row],[24Final]])/Inventory[[#This Row],[24Final]]</f>
        <v>9.2866323907455015E-2</v>
      </c>
      <c r="BG349" s="25">
        <f>VLOOKUP(Inventory[[#This Row],[Nbhd]],Lookups!$Q$2:$T$4,4,FALSE)</f>
        <v>0.99970000000000003</v>
      </c>
      <c r="BH349" s="25">
        <f>VLOOKUP(Inventory[[#This Row],[Qlty]],Lookups!$O$7:$R$21,4,FALSE)</f>
        <v>1.0067999999999999</v>
      </c>
      <c r="BI349" s="25">
        <f>VLOOKUP(Inventory[[#This Row],[Cnd]],Lookups!$T$7:$W$16,4,FALSE)</f>
        <v>0.99650000000000005</v>
      </c>
      <c r="BJ349" s="25">
        <f>VLOOKUP(Inventory[[#This Row],[LivArea Range]],Lookups!$T$25:$W$37,4,FALSE)</f>
        <v>1.0157</v>
      </c>
      <c r="BK349" s="25">
        <f>VLOOKUP(Inventory[[#This Row],[Decade]],Lookups!$O$25:$R$42,4,FALSE)</f>
        <v>0.98119999999999996</v>
      </c>
      <c r="BL349" s="25">
        <f>Inventory[[#This Row],[Nbhd Adj]]*0.95</f>
        <v>0.94971499999999998</v>
      </c>
      <c r="BM349" s="25">
        <f>Inventory[[#This Row],[Nbhd Adj]]*Inventory[[#This Row],[Quality Adj]]*Inventory[[#This Row],[Condition Adj]]*Inventory[[#This Row],[Living Area Adj]]*Inventory[[#This Row],[Decade Adj]]*0.95</f>
        <v>0.9495914580116861</v>
      </c>
      <c r="BN349" s="25">
        <f>ROUND(SUM(Inventory[[#This Row],[Mdl Qlty]:[Mdl WdDeck]])+Inventory[[#This Row],[Mdl Res Intercept]]*Inventory[[#This Row],[Res Adj ]],-2)</f>
        <v>304500</v>
      </c>
      <c r="BO349" s="25">
        <f>ROUND(Inventory[[#This Row],[25Det]]*Inventory[[#This Row],[Det/Nbhd Adj]],-2)</f>
        <v>0</v>
      </c>
      <c r="BP349" s="25">
        <f>Inventory[[#This Row],[Adjusted Res]]+Inventory[[#This Row],[Adj Det ]]</f>
        <v>304500</v>
      </c>
      <c r="BQ349" s="25">
        <f>ROUND((Inventory[[#This Row],[Mdl Land Intercept]]+Inventory[[#This Row],[Mdl LnAcres]])*Inventory[[#This Row],[Det/Nbhd Adj]],-2)</f>
        <v>33800</v>
      </c>
      <c r="BR349" s="25">
        <f>Inventory[[#This Row],[Adjusted Impr Total]]+Inventory[[#This Row],[Adjusted Land Total]]</f>
        <v>338300</v>
      </c>
      <c r="BS349" s="36">
        <f>IFERROR((Inventory[[#This Row],[Adjusted Impr Total]]-Inventory[[#This Row],[24Bldg]])/Inventory[[#This Row],[24Bldg]],0)</f>
        <v>0.1871345029239766</v>
      </c>
      <c r="BT349" s="36">
        <f>(Inventory[[#This Row],[Adjusted Land Total]]-Inventory[[#This Row],[24Lnd]])/Inventory[[#This Row],[24Lnd]]</f>
        <v>-0.38208409506398539</v>
      </c>
      <c r="BU349" s="36">
        <f>(Inventory[[#This Row],[Adjusted Total]]-Inventory[[#This Row],[24Final]])/Inventory[[#This Row],[24Final]]</f>
        <v>8.7082262210796915E-2</v>
      </c>
    </row>
    <row r="350" spans="1:73" x14ac:dyDescent="0.3">
      <c r="A350" s="25">
        <v>2025</v>
      </c>
      <c r="B350" s="26" t="s">
        <v>1778</v>
      </c>
      <c r="C350" s="26">
        <f>LN(Inventory[[#This Row],[Acres]])</f>
        <v>-1.8971199848858813</v>
      </c>
      <c r="D350" s="25">
        <v>0.15</v>
      </c>
      <c r="E350" s="31"/>
      <c r="F350" s="26" t="s">
        <v>537</v>
      </c>
      <c r="G350" s="26" t="s">
        <v>126</v>
      </c>
      <c r="H350" s="26" t="s">
        <v>349</v>
      </c>
      <c r="I350" s="26" t="s">
        <v>538</v>
      </c>
      <c r="J350" s="26" t="s">
        <v>539</v>
      </c>
      <c r="K350" s="26" t="s">
        <v>241</v>
      </c>
      <c r="L350" s="26" t="s">
        <v>351</v>
      </c>
      <c r="M350" s="26" t="s">
        <v>303</v>
      </c>
      <c r="N350" s="26">
        <v>60</v>
      </c>
      <c r="O350" s="26">
        <f>2024-Inventory[[#This Row],[YrBlt]]</f>
        <v>60</v>
      </c>
      <c r="P350" s="26">
        <f>2024-Inventory[[#This Row],[EffYr]]</f>
        <v>49</v>
      </c>
      <c r="Q350" s="25">
        <v>1964</v>
      </c>
      <c r="R350" s="25">
        <v>1975</v>
      </c>
      <c r="S350" s="25">
        <v>1144</v>
      </c>
      <c r="T350" s="27"/>
      <c r="U350" s="31"/>
      <c r="V350" s="31">
        <f>Inventory[[#This Row],[Bsmt]]-Inventory[[#This Row],[FnBsmt]]</f>
        <v>0</v>
      </c>
      <c r="W350" s="31"/>
      <c r="X350" s="27"/>
      <c r="Y350" s="27">
        <f>Inventory[[#This Row],[MainFn]]+Inventory[[#This Row],[UpprFn]]+Inventory[[#This Row],[FnBsmt]]+Inventory[[#This Row],[AddFn]]</f>
        <v>1144</v>
      </c>
      <c r="Z350" s="27">
        <v>1500</v>
      </c>
      <c r="AA350" s="25">
        <v>7</v>
      </c>
      <c r="AB350" s="32">
        <v>364</v>
      </c>
      <c r="AC350" s="27"/>
      <c r="AD350" s="27"/>
      <c r="AE350" s="27"/>
      <c r="AF350" s="27"/>
      <c r="AG350" s="27"/>
      <c r="AH350" s="27"/>
      <c r="AI350" s="25">
        <v>241903</v>
      </c>
      <c r="AJ350" s="25">
        <v>174170</v>
      </c>
      <c r="AK350" s="25">
        <v>0</v>
      </c>
      <c r="AL350" s="25">
        <v>294500</v>
      </c>
      <c r="AM350" s="25">
        <v>48400</v>
      </c>
      <c r="AN350" s="25">
        <v>246100</v>
      </c>
      <c r="AO350" s="25">
        <v>0</v>
      </c>
      <c r="AP350" s="25">
        <f>Lookups!$B$56*0</f>
        <v>0</v>
      </c>
      <c r="AQ350" s="25">
        <f>Lookups!$B$56*1</f>
        <v>89850.625589999996</v>
      </c>
      <c r="AR350" s="25">
        <f>Lookups!$B$57*Inventory[[#This Row],[LnAcres]]</f>
        <v>-60052.604136134301</v>
      </c>
      <c r="AS350" s="25">
        <f>VLOOKUP(Inventory[[#This Row],[Qlty]],Lookups!$A$62:$E$75,2,FALSE)</f>
        <v>21557.329055999999</v>
      </c>
      <c r="AT350" s="25">
        <f>VLOOKUP(Inventory[[#This Row],[Cnd]],Lookups!$A$76:$E$84,2,FALSE)</f>
        <v>197752.34721000001</v>
      </c>
      <c r="AU350" s="25">
        <f>Inventory[[#This Row],[EffAge]]*Lookups!$B$85</f>
        <v>-10929.2344245</v>
      </c>
      <c r="AV350" s="25">
        <f>Inventory[[#This Row],[MainFn]]*Lookups!$B$86</f>
        <v>56523.518339287999</v>
      </c>
      <c r="AW350" s="25">
        <f>Inventory[[#This Row],[UpprFn]]*Lookups!$B$87</f>
        <v>0</v>
      </c>
      <c r="AX350" s="25">
        <f>Inventory[[#This Row],[AddFn]]*Lookups!$B$88</f>
        <v>0</v>
      </c>
      <c r="AY350" s="25">
        <f>Inventory[[#This Row],[Bsmt]]*Lookups!$B$89</f>
        <v>0</v>
      </c>
      <c r="AZ350" s="25">
        <f>Inventory[[#This Row],[Fixtures]]*Lookups!$B$90</f>
        <v>26544.1547364</v>
      </c>
      <c r="BA350" s="25">
        <f>Inventory[[#This Row],[WdDeck]]*Lookups!$B$91</f>
        <v>0</v>
      </c>
      <c r="BB350" s="25">
        <f>ROUND(Inventory[[#This Row],[25Det]],-2)</f>
        <v>0</v>
      </c>
      <c r="BC350" s="25">
        <f>ROUND(SUM(Inventory[[#This Row],[Mdl Qlty]:[Mdl WdDeck]])+Inventory[[#This Row],[Mdl Res Intercept]],-2)</f>
        <v>291400</v>
      </c>
      <c r="BD350" s="25">
        <f>ROUND(Inventory[[#This Row],[Mdl Land Intercept]]+Inventory[[#This Row],[Mdl LnAcres]],-2)</f>
        <v>29800</v>
      </c>
      <c r="BE350" s="25">
        <f>Inventory[[#This Row],[Unadj Res Value]]+Inventory[[#This Row],[Unadj Det Value]]+Inventory[[#This Row],[Unadj Land Value]]</f>
        <v>321200</v>
      </c>
      <c r="BF350" s="36">
        <f>(Inventory[[#This Row],[Unadj Total Value]]-Inventory[[#This Row],[24Final]])/Inventory[[#This Row],[24Final]]</f>
        <v>9.0662139219015281E-2</v>
      </c>
      <c r="BG350" s="25">
        <f>VLOOKUP(Inventory[[#This Row],[Nbhd]],Lookups!$Q$2:$T$4,4,FALSE)</f>
        <v>0.99970000000000003</v>
      </c>
      <c r="BH350" s="25">
        <f>VLOOKUP(Inventory[[#This Row],[Qlty]],Lookups!$O$7:$R$21,4,FALSE)</f>
        <v>1.0067999999999999</v>
      </c>
      <c r="BI350" s="25">
        <f>VLOOKUP(Inventory[[#This Row],[Cnd]],Lookups!$T$7:$W$16,4,FALSE)</f>
        <v>0.99650000000000005</v>
      </c>
      <c r="BJ350" s="25">
        <f>VLOOKUP(Inventory[[#This Row],[LivArea Range]],Lookups!$T$25:$W$37,4,FALSE)</f>
        <v>1.0157</v>
      </c>
      <c r="BK350" s="25">
        <f>VLOOKUP(Inventory[[#This Row],[Decade]],Lookups!$O$25:$R$42,4,FALSE)</f>
        <v>0.98119999999999996</v>
      </c>
      <c r="BL350" s="25">
        <f>Inventory[[#This Row],[Nbhd Adj]]*0.95</f>
        <v>0.94971499999999998</v>
      </c>
      <c r="BM350" s="25">
        <f>Inventory[[#This Row],[Nbhd Adj]]*Inventory[[#This Row],[Quality Adj]]*Inventory[[#This Row],[Condition Adj]]*Inventory[[#This Row],[Living Area Adj]]*Inventory[[#This Row],[Decade Adj]]*0.95</f>
        <v>0.9495914580116861</v>
      </c>
      <c r="BN350" s="25">
        <f>ROUND(SUM(Inventory[[#This Row],[Mdl Qlty]:[Mdl WdDeck]])+Inventory[[#This Row],[Mdl Res Intercept]]*Inventory[[#This Row],[Res Adj ]],-2)</f>
        <v>291400</v>
      </c>
      <c r="BO350" s="25">
        <f>ROUND(Inventory[[#This Row],[25Det]]*Inventory[[#This Row],[Det/Nbhd Adj]],-2)</f>
        <v>0</v>
      </c>
      <c r="BP350" s="25">
        <f>Inventory[[#This Row],[Adjusted Res]]+Inventory[[#This Row],[Adj Det ]]</f>
        <v>291400</v>
      </c>
      <c r="BQ350" s="25">
        <f>ROUND((Inventory[[#This Row],[Mdl Land Intercept]]+Inventory[[#This Row],[Mdl LnAcres]])*Inventory[[#This Row],[Det/Nbhd Adj]],-2)</f>
        <v>28300</v>
      </c>
      <c r="BR350" s="25">
        <f>Inventory[[#This Row],[Adjusted Impr Total]]+Inventory[[#This Row],[Adjusted Land Total]]</f>
        <v>319700</v>
      </c>
      <c r="BS350" s="36">
        <f>IFERROR((Inventory[[#This Row],[Adjusted Impr Total]]-Inventory[[#This Row],[24Bldg]])/Inventory[[#This Row],[24Bldg]],0)</f>
        <v>0.18407151564404714</v>
      </c>
      <c r="BT350" s="36">
        <f>(Inventory[[#This Row],[Adjusted Land Total]]-Inventory[[#This Row],[24Lnd]])/Inventory[[#This Row],[24Lnd]]</f>
        <v>-0.41528925619834711</v>
      </c>
      <c r="BU350" s="36">
        <f>(Inventory[[#This Row],[Adjusted Total]]-Inventory[[#This Row],[24Final]])/Inventory[[#This Row],[24Final]]</f>
        <v>8.5568760611205427E-2</v>
      </c>
    </row>
    <row r="351" spans="1:73" x14ac:dyDescent="0.3">
      <c r="A351" s="25">
        <v>2025</v>
      </c>
      <c r="B351" s="26" t="s">
        <v>1781</v>
      </c>
      <c r="C351" s="26">
        <f>LN(Inventory[[#This Row],[Acres]])</f>
        <v>-1.9661128563728327</v>
      </c>
      <c r="D351" s="25">
        <v>0.14000000000000001</v>
      </c>
      <c r="E351" s="31"/>
      <c r="F351" s="26" t="s">
        <v>537</v>
      </c>
      <c r="G351" s="26" t="s">
        <v>126</v>
      </c>
      <c r="H351" s="26" t="s">
        <v>349</v>
      </c>
      <c r="I351" s="26" t="s">
        <v>538</v>
      </c>
      <c r="J351" s="26" t="s">
        <v>539</v>
      </c>
      <c r="K351" s="26" t="s">
        <v>241</v>
      </c>
      <c r="L351" s="26" t="s">
        <v>351</v>
      </c>
      <c r="M351" s="26" t="s">
        <v>303</v>
      </c>
      <c r="N351" s="26">
        <v>60</v>
      </c>
      <c r="O351" s="26">
        <f>2024-Inventory[[#This Row],[YrBlt]]</f>
        <v>60</v>
      </c>
      <c r="P351" s="26">
        <f>2024-Inventory[[#This Row],[EffYr]]</f>
        <v>49</v>
      </c>
      <c r="Q351" s="25">
        <v>1964</v>
      </c>
      <c r="R351" s="25">
        <v>1975</v>
      </c>
      <c r="S351" s="25">
        <v>1605</v>
      </c>
      <c r="T351" s="27"/>
      <c r="U351" s="31"/>
      <c r="V351" s="27">
        <f>Inventory[[#This Row],[Bsmt]]-Inventory[[#This Row],[FnBsmt]]</f>
        <v>0</v>
      </c>
      <c r="W351" s="27"/>
      <c r="X351" s="27"/>
      <c r="Y351" s="27">
        <f>Inventory[[#This Row],[MainFn]]+Inventory[[#This Row],[UpprFn]]+Inventory[[#This Row],[FnBsmt]]+Inventory[[#This Row],[AddFn]]</f>
        <v>1605</v>
      </c>
      <c r="Z351" s="27">
        <v>2000</v>
      </c>
      <c r="AA351" s="25">
        <v>8</v>
      </c>
      <c r="AB351" s="27"/>
      <c r="AC351" s="27"/>
      <c r="AD351" s="27"/>
      <c r="AE351" s="27"/>
      <c r="AF351" s="27"/>
      <c r="AG351" s="27"/>
      <c r="AH351" s="27"/>
      <c r="AI351" s="25">
        <v>255167</v>
      </c>
      <c r="AJ351" s="25">
        <v>183720</v>
      </c>
      <c r="AK351" s="25">
        <v>0</v>
      </c>
      <c r="AL351" s="25">
        <v>317900</v>
      </c>
      <c r="AM351" s="25">
        <v>46000</v>
      </c>
      <c r="AN351" s="25">
        <v>271900</v>
      </c>
      <c r="AO351" s="25">
        <v>0</v>
      </c>
      <c r="AP351" s="25">
        <f>Lookups!$B$56*0</f>
        <v>0</v>
      </c>
      <c r="AQ351" s="25">
        <f>Lookups!$B$56*1</f>
        <v>89850.625589999996</v>
      </c>
      <c r="AR351" s="25">
        <f>Lookups!$B$57*Inventory[[#This Row],[LnAcres]]</f>
        <v>-62236.546971921947</v>
      </c>
      <c r="AS351" s="25">
        <f>VLOOKUP(Inventory[[#This Row],[Qlty]],Lookups!$A$62:$E$75,2,FALSE)</f>
        <v>21557.329055999999</v>
      </c>
      <c r="AT351" s="25">
        <f>VLOOKUP(Inventory[[#This Row],[Cnd]],Lookups!$A$76:$E$84,2,FALSE)</f>
        <v>197752.34721000001</v>
      </c>
      <c r="AU351" s="25">
        <f>Inventory[[#This Row],[EffAge]]*Lookups!$B$85</f>
        <v>-10929.2344245</v>
      </c>
      <c r="AV351" s="25">
        <f>Inventory[[#This Row],[MainFn]]*Lookups!$B$86</f>
        <v>79300.915152585003</v>
      </c>
      <c r="AW351" s="25">
        <f>Inventory[[#This Row],[UpprFn]]*Lookups!$B$87</f>
        <v>0</v>
      </c>
      <c r="AX351" s="25">
        <f>Inventory[[#This Row],[AddFn]]*Lookups!$B$88</f>
        <v>0</v>
      </c>
      <c r="AY351" s="25">
        <f>Inventory[[#This Row],[Bsmt]]*Lookups!$B$89</f>
        <v>0</v>
      </c>
      <c r="AZ351" s="25">
        <f>Inventory[[#This Row],[Fixtures]]*Lookups!$B$90</f>
        <v>30336.176841600001</v>
      </c>
      <c r="BA351" s="25">
        <f>Inventory[[#This Row],[WdDeck]]*Lookups!$B$91</f>
        <v>0</v>
      </c>
      <c r="BB351" s="25">
        <f>ROUND(Inventory[[#This Row],[25Det]],-2)</f>
        <v>0</v>
      </c>
      <c r="BC351" s="25">
        <f>ROUND(SUM(Inventory[[#This Row],[Mdl Qlty]:[Mdl WdDeck]])+Inventory[[#This Row],[Mdl Res Intercept]],-2)</f>
        <v>318000</v>
      </c>
      <c r="BD351" s="25">
        <f>ROUND(Inventory[[#This Row],[Mdl Land Intercept]]+Inventory[[#This Row],[Mdl LnAcres]],-2)</f>
        <v>27600</v>
      </c>
      <c r="BE351" s="25">
        <f>Inventory[[#This Row],[Unadj Res Value]]+Inventory[[#This Row],[Unadj Det Value]]+Inventory[[#This Row],[Unadj Land Value]]</f>
        <v>345600</v>
      </c>
      <c r="BF351" s="36">
        <f>(Inventory[[#This Row],[Unadj Total Value]]-Inventory[[#This Row],[24Final]])/Inventory[[#This Row],[24Final]]</f>
        <v>8.7134318968228999E-2</v>
      </c>
      <c r="BG351" s="25">
        <f>VLOOKUP(Inventory[[#This Row],[Nbhd]],Lookups!$Q$2:$T$4,4,FALSE)</f>
        <v>0.99970000000000003</v>
      </c>
      <c r="BH351" s="25">
        <f>VLOOKUP(Inventory[[#This Row],[Qlty]],Lookups!$O$7:$R$21,4,FALSE)</f>
        <v>1.0067999999999999</v>
      </c>
      <c r="BI351" s="25">
        <f>VLOOKUP(Inventory[[#This Row],[Cnd]],Lookups!$T$7:$W$16,4,FALSE)</f>
        <v>0.99650000000000005</v>
      </c>
      <c r="BJ351" s="25">
        <f>VLOOKUP(Inventory[[#This Row],[LivArea Range]],Lookups!$T$25:$W$37,4,FALSE)</f>
        <v>1.0093000000000001</v>
      </c>
      <c r="BK351" s="25">
        <f>VLOOKUP(Inventory[[#This Row],[Decade]],Lookups!$O$25:$R$42,4,FALSE)</f>
        <v>0.98119999999999996</v>
      </c>
      <c r="BL351" s="25">
        <f>Inventory[[#This Row],[Nbhd Adj]]*0.95</f>
        <v>0.94971499999999998</v>
      </c>
      <c r="BM351" s="25">
        <f>Inventory[[#This Row],[Nbhd Adj]]*Inventory[[#This Row],[Quality Adj]]*Inventory[[#This Row],[Condition Adj]]*Inventory[[#This Row],[Living Area Adj]]*Inventory[[#This Row],[Decade Adj]]*0.95</f>
        <v>0.94360801277069484</v>
      </c>
      <c r="BN351" s="25">
        <f>ROUND(SUM(Inventory[[#This Row],[Mdl Qlty]:[Mdl WdDeck]])+Inventory[[#This Row],[Mdl Res Intercept]]*Inventory[[#This Row],[Res Adj ]],-2)</f>
        <v>318000</v>
      </c>
      <c r="BO351" s="25">
        <f>ROUND(Inventory[[#This Row],[25Det]]*Inventory[[#This Row],[Det/Nbhd Adj]],-2)</f>
        <v>0</v>
      </c>
      <c r="BP351" s="25">
        <f>Inventory[[#This Row],[Adjusted Res]]+Inventory[[#This Row],[Adj Det ]]</f>
        <v>318000</v>
      </c>
      <c r="BQ351" s="25">
        <f>ROUND((Inventory[[#This Row],[Mdl Land Intercept]]+Inventory[[#This Row],[Mdl LnAcres]])*Inventory[[#This Row],[Det/Nbhd Adj]],-2)</f>
        <v>26200</v>
      </c>
      <c r="BR351" s="25">
        <f>Inventory[[#This Row],[Adjusted Impr Total]]+Inventory[[#This Row],[Adjusted Land Total]]</f>
        <v>344200</v>
      </c>
      <c r="BS351" s="36">
        <f>IFERROR((Inventory[[#This Row],[Adjusted Impr Total]]-Inventory[[#This Row],[24Bldg]])/Inventory[[#This Row],[24Bldg]],0)</f>
        <v>0.16954762780433982</v>
      </c>
      <c r="BT351" s="36">
        <f>(Inventory[[#This Row],[Adjusted Land Total]]-Inventory[[#This Row],[24Lnd]])/Inventory[[#This Row],[24Lnd]]</f>
        <v>-0.43043478260869567</v>
      </c>
      <c r="BU351" s="36">
        <f>(Inventory[[#This Row],[Adjusted Total]]-Inventory[[#This Row],[24Final]])/Inventory[[#This Row],[24Final]]</f>
        <v>8.273041837055678E-2</v>
      </c>
    </row>
    <row r="352" spans="1:73" x14ac:dyDescent="0.3">
      <c r="A352" s="25">
        <v>2025</v>
      </c>
      <c r="B352" s="26" t="s">
        <v>984</v>
      </c>
      <c r="C352" s="26">
        <f>LN(Inventory[[#This Row],[Acres]])</f>
        <v>-1.6094379124341003</v>
      </c>
      <c r="D352" s="25">
        <v>0.2</v>
      </c>
      <c r="E352" s="25">
        <v>8789</v>
      </c>
      <c r="F352" s="26" t="s">
        <v>537</v>
      </c>
      <c r="G352" s="26" t="s">
        <v>126</v>
      </c>
      <c r="H352" s="26" t="s">
        <v>349</v>
      </c>
      <c r="I352" s="26" t="s">
        <v>538</v>
      </c>
      <c r="J352" s="26" t="s">
        <v>539</v>
      </c>
      <c r="K352" s="26" t="s">
        <v>241</v>
      </c>
      <c r="L352" s="26" t="s">
        <v>351</v>
      </c>
      <c r="M352" s="26" t="s">
        <v>303</v>
      </c>
      <c r="N352" s="26">
        <v>60</v>
      </c>
      <c r="O352" s="26">
        <f>2024-Inventory[[#This Row],[YrBlt]]</f>
        <v>60</v>
      </c>
      <c r="P352" s="26">
        <f>2024-Inventory[[#This Row],[EffYr]]</f>
        <v>49</v>
      </c>
      <c r="Q352" s="25">
        <v>1964</v>
      </c>
      <c r="R352" s="25">
        <v>1975</v>
      </c>
      <c r="S352" s="25">
        <v>1708</v>
      </c>
      <c r="T352" s="27"/>
      <c r="U352" s="31"/>
      <c r="V352" s="31">
        <f>Inventory[[#This Row],[Bsmt]]-Inventory[[#This Row],[FnBsmt]]</f>
        <v>0</v>
      </c>
      <c r="W352" s="31"/>
      <c r="X352" s="27"/>
      <c r="Y352" s="27">
        <f>Inventory[[#This Row],[MainFn]]+Inventory[[#This Row],[UpprFn]]+Inventory[[#This Row],[FnBsmt]]+Inventory[[#This Row],[AddFn]]</f>
        <v>1708</v>
      </c>
      <c r="Z352" s="27">
        <v>2000</v>
      </c>
      <c r="AA352" s="25">
        <v>8</v>
      </c>
      <c r="AB352" s="32">
        <v>330</v>
      </c>
      <c r="AC352" s="27"/>
      <c r="AD352" s="27"/>
      <c r="AE352" s="27"/>
      <c r="AF352" s="27"/>
      <c r="AG352" s="27"/>
      <c r="AH352" s="27"/>
      <c r="AI352" s="25">
        <v>282739</v>
      </c>
      <c r="AJ352" s="25">
        <v>203572</v>
      </c>
      <c r="AK352" s="25">
        <v>0</v>
      </c>
      <c r="AL352" s="25">
        <v>333600</v>
      </c>
      <c r="AM352" s="25">
        <v>58400</v>
      </c>
      <c r="AN352" s="25">
        <v>275200</v>
      </c>
      <c r="AO352" s="25">
        <v>0</v>
      </c>
      <c r="AP352" s="25">
        <f>Lookups!$B$56*0</f>
        <v>0</v>
      </c>
      <c r="AQ352" s="25">
        <f>Lookups!$B$56*1</f>
        <v>89850.625589999996</v>
      </c>
      <c r="AR352" s="25">
        <f>Lookups!$B$57*Inventory[[#This Row],[LnAcres]]</f>
        <v>-50946.13867709865</v>
      </c>
      <c r="AS352" s="25">
        <f>VLOOKUP(Inventory[[#This Row],[Qlty]],Lookups!$A$62:$E$75,2,FALSE)</f>
        <v>21557.329055999999</v>
      </c>
      <c r="AT352" s="25">
        <f>VLOOKUP(Inventory[[#This Row],[Cnd]],Lookups!$A$76:$E$84,2,FALSE)</f>
        <v>197752.34721000001</v>
      </c>
      <c r="AU352" s="25">
        <f>Inventory[[#This Row],[EffAge]]*Lookups!$B$85</f>
        <v>-10929.2344245</v>
      </c>
      <c r="AV352" s="25">
        <f>Inventory[[#This Row],[MainFn]]*Lookups!$B$86</f>
        <v>84390.008149916001</v>
      </c>
      <c r="AW352" s="25">
        <f>Inventory[[#This Row],[UpprFn]]*Lookups!$B$87</f>
        <v>0</v>
      </c>
      <c r="AX352" s="25">
        <f>Inventory[[#This Row],[AddFn]]*Lookups!$B$88</f>
        <v>0</v>
      </c>
      <c r="AY352" s="25">
        <f>Inventory[[#This Row],[Bsmt]]*Lookups!$B$89</f>
        <v>0</v>
      </c>
      <c r="AZ352" s="25">
        <f>Inventory[[#This Row],[Fixtures]]*Lookups!$B$90</f>
        <v>30336.176841600001</v>
      </c>
      <c r="BA352" s="25">
        <f>Inventory[[#This Row],[WdDeck]]*Lookups!$B$91</f>
        <v>0</v>
      </c>
      <c r="BB352" s="25">
        <f>ROUND(Inventory[[#This Row],[25Det]],-2)</f>
        <v>0</v>
      </c>
      <c r="BC352" s="25">
        <f>ROUND(SUM(Inventory[[#This Row],[Mdl Qlty]:[Mdl WdDeck]])+Inventory[[#This Row],[Mdl Res Intercept]],-2)</f>
        <v>323100</v>
      </c>
      <c r="BD352" s="25">
        <f>ROUND(Inventory[[#This Row],[Mdl Land Intercept]]+Inventory[[#This Row],[Mdl LnAcres]],-2)</f>
        <v>38900</v>
      </c>
      <c r="BE352" s="25">
        <f>Inventory[[#This Row],[Unadj Res Value]]+Inventory[[#This Row],[Unadj Det Value]]+Inventory[[#This Row],[Unadj Land Value]]</f>
        <v>362000</v>
      </c>
      <c r="BF352" s="36">
        <f>(Inventory[[#This Row],[Unadj Total Value]]-Inventory[[#This Row],[24Final]])/Inventory[[#This Row],[24Final]]</f>
        <v>8.5131894484412468E-2</v>
      </c>
      <c r="BG352" s="25">
        <f>VLOOKUP(Inventory[[#This Row],[Nbhd]],Lookups!$Q$2:$T$4,4,FALSE)</f>
        <v>0.99970000000000003</v>
      </c>
      <c r="BH352" s="25">
        <f>VLOOKUP(Inventory[[#This Row],[Qlty]],Lookups!$O$7:$R$21,4,FALSE)</f>
        <v>1.0067999999999999</v>
      </c>
      <c r="BI352" s="25">
        <f>VLOOKUP(Inventory[[#This Row],[Cnd]],Lookups!$T$7:$W$16,4,FALSE)</f>
        <v>0.99650000000000005</v>
      </c>
      <c r="BJ352" s="25">
        <f>VLOOKUP(Inventory[[#This Row],[LivArea Range]],Lookups!$T$25:$W$37,4,FALSE)</f>
        <v>1.0093000000000001</v>
      </c>
      <c r="BK352" s="25">
        <f>VLOOKUP(Inventory[[#This Row],[Decade]],Lookups!$O$25:$R$42,4,FALSE)</f>
        <v>0.98119999999999996</v>
      </c>
      <c r="BL352" s="25">
        <f>Inventory[[#This Row],[Nbhd Adj]]*0.95</f>
        <v>0.94971499999999998</v>
      </c>
      <c r="BM352" s="25">
        <f>Inventory[[#This Row],[Nbhd Adj]]*Inventory[[#This Row],[Quality Adj]]*Inventory[[#This Row],[Condition Adj]]*Inventory[[#This Row],[Living Area Adj]]*Inventory[[#This Row],[Decade Adj]]*0.95</f>
        <v>0.94360801277069484</v>
      </c>
      <c r="BN352" s="25">
        <f>ROUND(SUM(Inventory[[#This Row],[Mdl Qlty]:[Mdl WdDeck]])+Inventory[[#This Row],[Mdl Res Intercept]]*Inventory[[#This Row],[Res Adj ]],-2)</f>
        <v>323100</v>
      </c>
      <c r="BO352" s="25">
        <f>ROUND(Inventory[[#This Row],[25Det]]*Inventory[[#This Row],[Det/Nbhd Adj]],-2)</f>
        <v>0</v>
      </c>
      <c r="BP352" s="25">
        <f>Inventory[[#This Row],[Adjusted Res]]+Inventory[[#This Row],[Adj Det ]]</f>
        <v>323100</v>
      </c>
      <c r="BQ352" s="25">
        <f>ROUND((Inventory[[#This Row],[Mdl Land Intercept]]+Inventory[[#This Row],[Mdl LnAcres]])*Inventory[[#This Row],[Det/Nbhd Adj]],-2)</f>
        <v>36900</v>
      </c>
      <c r="BR352" s="25">
        <f>Inventory[[#This Row],[Adjusted Impr Total]]+Inventory[[#This Row],[Adjusted Land Total]]</f>
        <v>360000</v>
      </c>
      <c r="BS352" s="36">
        <f>IFERROR((Inventory[[#This Row],[Adjusted Impr Total]]-Inventory[[#This Row],[24Bldg]])/Inventory[[#This Row],[24Bldg]],0)</f>
        <v>0.17405523255813954</v>
      </c>
      <c r="BT352" s="36">
        <f>(Inventory[[#This Row],[Adjusted Land Total]]-Inventory[[#This Row],[24Lnd]])/Inventory[[#This Row],[24Lnd]]</f>
        <v>-0.36815068493150682</v>
      </c>
      <c r="BU352" s="36">
        <f>(Inventory[[#This Row],[Adjusted Total]]-Inventory[[#This Row],[24Final]])/Inventory[[#This Row],[24Final]]</f>
        <v>7.9136690647482008E-2</v>
      </c>
    </row>
    <row r="353" spans="1:73" x14ac:dyDescent="0.3">
      <c r="A353" s="25">
        <v>2025</v>
      </c>
      <c r="B353" s="26" t="s">
        <v>704</v>
      </c>
      <c r="C353" s="26">
        <f>LN(Inventory[[#This Row],[Acres]])</f>
        <v>-1.2378743560016174</v>
      </c>
      <c r="D353" s="25">
        <v>0.28999999999999998</v>
      </c>
      <c r="E353" s="25">
        <v>12676</v>
      </c>
      <c r="F353" s="26" t="s">
        <v>537</v>
      </c>
      <c r="G353" s="26" t="s">
        <v>126</v>
      </c>
      <c r="H353" s="26" t="s">
        <v>349</v>
      </c>
      <c r="I353" s="26" t="s">
        <v>538</v>
      </c>
      <c r="J353" s="26" t="s">
        <v>539</v>
      </c>
      <c r="K353" s="26" t="s">
        <v>241</v>
      </c>
      <c r="L353" s="26" t="s">
        <v>351</v>
      </c>
      <c r="M353" s="26" t="s">
        <v>303</v>
      </c>
      <c r="N353" s="26">
        <v>60</v>
      </c>
      <c r="O353" s="26">
        <f>2024-Inventory[[#This Row],[YrBlt]]</f>
        <v>60</v>
      </c>
      <c r="P353" s="26">
        <f>2024-Inventory[[#This Row],[EffYr]]</f>
        <v>49</v>
      </c>
      <c r="Q353" s="25">
        <v>1964</v>
      </c>
      <c r="R353" s="25">
        <v>1975</v>
      </c>
      <c r="S353" s="25">
        <v>1791</v>
      </c>
      <c r="T353" s="27"/>
      <c r="U353" s="31"/>
      <c r="V353" s="31">
        <f>Inventory[[#This Row],[Bsmt]]-Inventory[[#This Row],[FnBsmt]]</f>
        <v>0</v>
      </c>
      <c r="W353" s="31"/>
      <c r="X353" s="27"/>
      <c r="Y353" s="27">
        <f>Inventory[[#This Row],[MainFn]]+Inventory[[#This Row],[UpprFn]]+Inventory[[#This Row],[FnBsmt]]+Inventory[[#This Row],[AddFn]]</f>
        <v>1791</v>
      </c>
      <c r="Z353" s="27">
        <v>2000</v>
      </c>
      <c r="AA353" s="25">
        <v>8</v>
      </c>
      <c r="AB353" s="32">
        <v>552</v>
      </c>
      <c r="AC353" s="27"/>
      <c r="AD353" s="27"/>
      <c r="AE353" s="27"/>
      <c r="AF353" s="27"/>
      <c r="AG353" s="27"/>
      <c r="AH353" s="27"/>
      <c r="AI353" s="25">
        <v>304796</v>
      </c>
      <c r="AJ353" s="25">
        <v>219453</v>
      </c>
      <c r="AK353" s="25">
        <v>0</v>
      </c>
      <c r="AL353" s="25">
        <v>351400</v>
      </c>
      <c r="AM353" s="25">
        <v>71400</v>
      </c>
      <c r="AN353" s="25">
        <v>280000</v>
      </c>
      <c r="AO353" s="25">
        <v>0</v>
      </c>
      <c r="AP353" s="25">
        <f>Lookups!$B$56*0</f>
        <v>0</v>
      </c>
      <c r="AQ353" s="25">
        <f>Lookups!$B$56*1</f>
        <v>89850.625589999996</v>
      </c>
      <c r="AR353" s="25">
        <f>Lookups!$B$57*Inventory[[#This Row],[LnAcres]]</f>
        <v>-39184.437074869042</v>
      </c>
      <c r="AS353" s="25">
        <f>VLOOKUP(Inventory[[#This Row],[Qlty]],Lookups!$A$62:$E$75,2,FALSE)</f>
        <v>21557.329055999999</v>
      </c>
      <c r="AT353" s="25">
        <f>VLOOKUP(Inventory[[#This Row],[Cnd]],Lookups!$A$76:$E$84,2,FALSE)</f>
        <v>197752.34721000001</v>
      </c>
      <c r="AU353" s="25">
        <f>Inventory[[#This Row],[EffAge]]*Lookups!$B$85</f>
        <v>-10929.2344245</v>
      </c>
      <c r="AV353" s="25">
        <f>Inventory[[#This Row],[MainFn]]*Lookups!$B$86</f>
        <v>88490.927749707</v>
      </c>
      <c r="AW353" s="25">
        <f>Inventory[[#This Row],[UpprFn]]*Lookups!$B$87</f>
        <v>0</v>
      </c>
      <c r="AX353" s="25">
        <f>Inventory[[#This Row],[AddFn]]*Lookups!$B$88</f>
        <v>0</v>
      </c>
      <c r="AY353" s="25">
        <f>Inventory[[#This Row],[Bsmt]]*Lookups!$B$89</f>
        <v>0</v>
      </c>
      <c r="AZ353" s="25">
        <f>Inventory[[#This Row],[Fixtures]]*Lookups!$B$90</f>
        <v>30336.176841600001</v>
      </c>
      <c r="BA353" s="25">
        <f>Inventory[[#This Row],[WdDeck]]*Lookups!$B$91</f>
        <v>0</v>
      </c>
      <c r="BB353" s="25">
        <f>ROUND(Inventory[[#This Row],[25Det]],-2)</f>
        <v>0</v>
      </c>
      <c r="BC353" s="25">
        <f>ROUND(SUM(Inventory[[#This Row],[Mdl Qlty]:[Mdl WdDeck]])+Inventory[[#This Row],[Mdl Res Intercept]],-2)</f>
        <v>327200</v>
      </c>
      <c r="BD353" s="25">
        <f>ROUND(Inventory[[#This Row],[Mdl Land Intercept]]+Inventory[[#This Row],[Mdl LnAcres]],-2)</f>
        <v>50700</v>
      </c>
      <c r="BE353" s="25">
        <f>Inventory[[#This Row],[Unadj Res Value]]+Inventory[[#This Row],[Unadj Det Value]]+Inventory[[#This Row],[Unadj Land Value]]</f>
        <v>377900</v>
      </c>
      <c r="BF353" s="36">
        <f>(Inventory[[#This Row],[Unadj Total Value]]-Inventory[[#This Row],[24Final]])/Inventory[[#This Row],[24Final]]</f>
        <v>7.5412635173591355E-2</v>
      </c>
      <c r="BG353" s="25">
        <f>VLOOKUP(Inventory[[#This Row],[Nbhd]],Lookups!$Q$2:$T$4,4,FALSE)</f>
        <v>0.99970000000000003</v>
      </c>
      <c r="BH353" s="25">
        <f>VLOOKUP(Inventory[[#This Row],[Qlty]],Lookups!$O$7:$R$21,4,FALSE)</f>
        <v>1.0067999999999999</v>
      </c>
      <c r="BI353" s="25">
        <f>VLOOKUP(Inventory[[#This Row],[Cnd]],Lookups!$T$7:$W$16,4,FALSE)</f>
        <v>0.99650000000000005</v>
      </c>
      <c r="BJ353" s="25">
        <f>VLOOKUP(Inventory[[#This Row],[LivArea Range]],Lookups!$T$25:$W$37,4,FALSE)</f>
        <v>1.0093000000000001</v>
      </c>
      <c r="BK353" s="25">
        <f>VLOOKUP(Inventory[[#This Row],[Decade]],Lookups!$O$25:$R$42,4,FALSE)</f>
        <v>0.98119999999999996</v>
      </c>
      <c r="BL353" s="25">
        <f>Inventory[[#This Row],[Nbhd Adj]]*0.95</f>
        <v>0.94971499999999998</v>
      </c>
      <c r="BM353" s="25">
        <f>Inventory[[#This Row],[Nbhd Adj]]*Inventory[[#This Row],[Quality Adj]]*Inventory[[#This Row],[Condition Adj]]*Inventory[[#This Row],[Living Area Adj]]*Inventory[[#This Row],[Decade Adj]]*0.95</f>
        <v>0.94360801277069484</v>
      </c>
      <c r="BN353" s="25">
        <f>ROUND(SUM(Inventory[[#This Row],[Mdl Qlty]:[Mdl WdDeck]])+Inventory[[#This Row],[Mdl Res Intercept]]*Inventory[[#This Row],[Res Adj ]],-2)</f>
        <v>327200</v>
      </c>
      <c r="BO353" s="25">
        <f>ROUND(Inventory[[#This Row],[25Det]]*Inventory[[#This Row],[Det/Nbhd Adj]],-2)</f>
        <v>0</v>
      </c>
      <c r="BP353" s="25">
        <f>Inventory[[#This Row],[Adjusted Res]]+Inventory[[#This Row],[Adj Det ]]</f>
        <v>327200</v>
      </c>
      <c r="BQ353" s="25">
        <f>ROUND((Inventory[[#This Row],[Mdl Land Intercept]]+Inventory[[#This Row],[Mdl LnAcres]])*Inventory[[#This Row],[Det/Nbhd Adj]],-2)</f>
        <v>48100</v>
      </c>
      <c r="BR353" s="25">
        <f>Inventory[[#This Row],[Adjusted Impr Total]]+Inventory[[#This Row],[Adjusted Land Total]]</f>
        <v>375300</v>
      </c>
      <c r="BS353" s="36">
        <f>IFERROR((Inventory[[#This Row],[Adjusted Impr Total]]-Inventory[[#This Row],[24Bldg]])/Inventory[[#This Row],[24Bldg]],0)</f>
        <v>0.16857142857142857</v>
      </c>
      <c r="BT353" s="36">
        <f>(Inventory[[#This Row],[Adjusted Land Total]]-Inventory[[#This Row],[24Lnd]])/Inventory[[#This Row],[24Lnd]]</f>
        <v>-0.32633053221288516</v>
      </c>
      <c r="BU353" s="36">
        <f>(Inventory[[#This Row],[Adjusted Total]]-Inventory[[#This Row],[24Final]])/Inventory[[#This Row],[24Final]]</f>
        <v>6.8013659647125788E-2</v>
      </c>
    </row>
    <row r="354" spans="1:73" x14ac:dyDescent="0.3">
      <c r="A354" s="25">
        <v>2025</v>
      </c>
      <c r="B354" s="26" t="s">
        <v>2128</v>
      </c>
      <c r="C354" s="26">
        <f>LN(Inventory[[#This Row],[Acres]])</f>
        <v>-1.5141277326297755</v>
      </c>
      <c r="D354" s="25">
        <v>0.22</v>
      </c>
      <c r="E354" s="25">
        <v>9667</v>
      </c>
      <c r="F354" s="26" t="s">
        <v>537</v>
      </c>
      <c r="G354" s="26" t="s">
        <v>126</v>
      </c>
      <c r="H354" s="26" t="s">
        <v>349</v>
      </c>
      <c r="I354" s="26" t="s">
        <v>538</v>
      </c>
      <c r="J354" s="26" t="s">
        <v>539</v>
      </c>
      <c r="K354" s="26" t="s">
        <v>241</v>
      </c>
      <c r="L354" s="26" t="s">
        <v>351</v>
      </c>
      <c r="M354" s="26" t="s">
        <v>303</v>
      </c>
      <c r="N354" s="26">
        <v>60</v>
      </c>
      <c r="O354" s="26">
        <f>2024-Inventory[[#This Row],[YrBlt]]</f>
        <v>60</v>
      </c>
      <c r="P354" s="26">
        <f>2024-Inventory[[#This Row],[EffYr]]</f>
        <v>49</v>
      </c>
      <c r="Q354" s="25">
        <v>1964</v>
      </c>
      <c r="R354" s="25">
        <v>1975</v>
      </c>
      <c r="S354" s="25">
        <v>1564</v>
      </c>
      <c r="T354" s="27"/>
      <c r="U354" s="31"/>
      <c r="V354" s="31">
        <f>Inventory[[#This Row],[Bsmt]]-Inventory[[#This Row],[FnBsmt]]</f>
        <v>0</v>
      </c>
      <c r="W354" s="31"/>
      <c r="X354" s="27"/>
      <c r="Y354" s="27">
        <f>Inventory[[#This Row],[MainFn]]+Inventory[[#This Row],[UpprFn]]+Inventory[[#This Row],[FnBsmt]]+Inventory[[#This Row],[AddFn]]</f>
        <v>1564</v>
      </c>
      <c r="Z354" s="27">
        <v>2000</v>
      </c>
      <c r="AA354" s="25">
        <v>8</v>
      </c>
      <c r="AB354" s="25">
        <v>440</v>
      </c>
      <c r="AC354" s="27"/>
      <c r="AD354" s="27"/>
      <c r="AE354" s="27"/>
      <c r="AF354" s="27"/>
      <c r="AG354" s="27"/>
      <c r="AH354" s="27"/>
      <c r="AI354" s="25">
        <v>286297</v>
      </c>
      <c r="AJ354" s="25">
        <v>206134</v>
      </c>
      <c r="AK354" s="25">
        <v>0</v>
      </c>
      <c r="AL354" s="25">
        <v>335300</v>
      </c>
      <c r="AM354" s="25">
        <v>61700</v>
      </c>
      <c r="AN354" s="25">
        <v>273600</v>
      </c>
      <c r="AO354" s="25">
        <v>0</v>
      </c>
      <c r="AP354" s="25">
        <f>Lookups!$B$56*0</f>
        <v>0</v>
      </c>
      <c r="AQ354" s="25">
        <f>Lookups!$B$56*1</f>
        <v>89850.625589999996</v>
      </c>
      <c r="AR354" s="25">
        <f>Lookups!$B$57*Inventory[[#This Row],[LnAcres]]</f>
        <v>-47929.131559187132</v>
      </c>
      <c r="AS354" s="25">
        <f>VLOOKUP(Inventory[[#This Row],[Qlty]],Lookups!$A$62:$E$75,2,FALSE)</f>
        <v>21557.329055999999</v>
      </c>
      <c r="AT354" s="25">
        <f>VLOOKUP(Inventory[[#This Row],[Cnd]],Lookups!$A$76:$E$84,2,FALSE)</f>
        <v>197752.34721000001</v>
      </c>
      <c r="AU354" s="25">
        <f>Inventory[[#This Row],[EffAge]]*Lookups!$B$85</f>
        <v>-10929.2344245</v>
      </c>
      <c r="AV354" s="25">
        <f>Inventory[[#This Row],[MainFn]]*Lookups!$B$86</f>
        <v>77275.159687628009</v>
      </c>
      <c r="AW354" s="25">
        <f>Inventory[[#This Row],[UpprFn]]*Lookups!$B$87</f>
        <v>0</v>
      </c>
      <c r="AX354" s="25">
        <f>Inventory[[#This Row],[AddFn]]*Lookups!$B$88</f>
        <v>0</v>
      </c>
      <c r="AY354" s="25">
        <f>Inventory[[#This Row],[Bsmt]]*Lookups!$B$89</f>
        <v>0</v>
      </c>
      <c r="AZ354" s="25">
        <f>Inventory[[#This Row],[Fixtures]]*Lookups!$B$90</f>
        <v>30336.176841600001</v>
      </c>
      <c r="BA354" s="25">
        <f>Inventory[[#This Row],[WdDeck]]*Lookups!$B$91</f>
        <v>0</v>
      </c>
      <c r="BB354" s="25">
        <f>ROUND(Inventory[[#This Row],[25Det]],-2)</f>
        <v>0</v>
      </c>
      <c r="BC354" s="25">
        <f>ROUND(SUM(Inventory[[#This Row],[Mdl Qlty]:[Mdl WdDeck]])+Inventory[[#This Row],[Mdl Res Intercept]],-2)</f>
        <v>316000</v>
      </c>
      <c r="BD354" s="25">
        <f>ROUND(Inventory[[#This Row],[Mdl Land Intercept]]+Inventory[[#This Row],[Mdl LnAcres]],-2)</f>
        <v>41900</v>
      </c>
      <c r="BE354" s="25">
        <f>Inventory[[#This Row],[Unadj Res Value]]+Inventory[[#This Row],[Unadj Det Value]]+Inventory[[#This Row],[Unadj Land Value]]</f>
        <v>357900</v>
      </c>
      <c r="BF354" s="36">
        <f>(Inventory[[#This Row],[Unadj Total Value]]-Inventory[[#This Row],[24Final]])/Inventory[[#This Row],[24Final]]</f>
        <v>6.7402326274977636E-2</v>
      </c>
      <c r="BG354" s="25">
        <f>VLOOKUP(Inventory[[#This Row],[Nbhd]],Lookups!$Q$2:$T$4,4,FALSE)</f>
        <v>0.99970000000000003</v>
      </c>
      <c r="BH354" s="25">
        <f>VLOOKUP(Inventory[[#This Row],[Qlty]],Lookups!$O$7:$R$21,4,FALSE)</f>
        <v>1.0067999999999999</v>
      </c>
      <c r="BI354" s="25">
        <f>VLOOKUP(Inventory[[#This Row],[Cnd]],Lookups!$T$7:$W$16,4,FALSE)</f>
        <v>0.99650000000000005</v>
      </c>
      <c r="BJ354" s="25">
        <f>VLOOKUP(Inventory[[#This Row],[LivArea Range]],Lookups!$T$25:$W$37,4,FALSE)</f>
        <v>1.0093000000000001</v>
      </c>
      <c r="BK354" s="25">
        <f>VLOOKUP(Inventory[[#This Row],[Decade]],Lookups!$O$25:$R$42,4,FALSE)</f>
        <v>0.98119999999999996</v>
      </c>
      <c r="BL354" s="25">
        <f>Inventory[[#This Row],[Nbhd Adj]]*0.95</f>
        <v>0.94971499999999998</v>
      </c>
      <c r="BM354" s="25">
        <f>Inventory[[#This Row],[Nbhd Adj]]*Inventory[[#This Row],[Quality Adj]]*Inventory[[#This Row],[Condition Adj]]*Inventory[[#This Row],[Living Area Adj]]*Inventory[[#This Row],[Decade Adj]]*0.95</f>
        <v>0.94360801277069484</v>
      </c>
      <c r="BN354" s="25">
        <f>ROUND(SUM(Inventory[[#This Row],[Mdl Qlty]:[Mdl WdDeck]])+Inventory[[#This Row],[Mdl Res Intercept]]*Inventory[[#This Row],[Res Adj ]],-2)</f>
        <v>316000</v>
      </c>
      <c r="BO354" s="25">
        <f>ROUND(Inventory[[#This Row],[25Det]]*Inventory[[#This Row],[Det/Nbhd Adj]],-2)</f>
        <v>0</v>
      </c>
      <c r="BP354" s="25">
        <f>Inventory[[#This Row],[Adjusted Res]]+Inventory[[#This Row],[Adj Det ]]</f>
        <v>316000</v>
      </c>
      <c r="BQ354" s="25">
        <f>ROUND((Inventory[[#This Row],[Mdl Land Intercept]]+Inventory[[#This Row],[Mdl LnAcres]])*Inventory[[#This Row],[Det/Nbhd Adj]],-2)</f>
        <v>39800</v>
      </c>
      <c r="BR354" s="25">
        <f>Inventory[[#This Row],[Adjusted Impr Total]]+Inventory[[#This Row],[Adjusted Land Total]]</f>
        <v>355800</v>
      </c>
      <c r="BS354" s="36">
        <f>IFERROR((Inventory[[#This Row],[Adjusted Impr Total]]-Inventory[[#This Row],[24Bldg]])/Inventory[[#This Row],[24Bldg]],0)</f>
        <v>0.15497076023391812</v>
      </c>
      <c r="BT354" s="36">
        <f>(Inventory[[#This Row],[Adjusted Land Total]]-Inventory[[#This Row],[24Lnd]])/Inventory[[#This Row],[24Lnd]]</f>
        <v>-0.35494327390599678</v>
      </c>
      <c r="BU354" s="36">
        <f>(Inventory[[#This Row],[Adjusted Total]]-Inventory[[#This Row],[24Final]])/Inventory[[#This Row],[24Final]]</f>
        <v>6.113927825827617E-2</v>
      </c>
    </row>
    <row r="355" spans="1:73" x14ac:dyDescent="0.3">
      <c r="A355" s="25">
        <v>2025</v>
      </c>
      <c r="B355" s="26" t="s">
        <v>1777</v>
      </c>
      <c r="C355" s="26">
        <f>LN(Inventory[[#This Row],[Acres]])</f>
        <v>-1.8971199848858813</v>
      </c>
      <c r="D355" s="25">
        <v>0.15</v>
      </c>
      <c r="E355" s="25">
        <v>6732</v>
      </c>
      <c r="F355" s="26" t="s">
        <v>537</v>
      </c>
      <c r="G355" s="26" t="s">
        <v>126</v>
      </c>
      <c r="H355" s="26" t="s">
        <v>349</v>
      </c>
      <c r="I355" s="26" t="s">
        <v>538</v>
      </c>
      <c r="J355" s="26" t="s">
        <v>539</v>
      </c>
      <c r="K355" s="26" t="s">
        <v>241</v>
      </c>
      <c r="L355" s="26" t="s">
        <v>351</v>
      </c>
      <c r="M355" s="26" t="s">
        <v>323</v>
      </c>
      <c r="N355" s="26">
        <v>60</v>
      </c>
      <c r="O355" s="26">
        <f>2024-Inventory[[#This Row],[YrBlt]]</f>
        <v>60</v>
      </c>
      <c r="P355" s="26">
        <f>2024-Inventory[[#This Row],[EffYr]]</f>
        <v>49</v>
      </c>
      <c r="Q355" s="25">
        <v>1964</v>
      </c>
      <c r="R355" s="25">
        <v>1975</v>
      </c>
      <c r="S355" s="25">
        <v>1262</v>
      </c>
      <c r="T355" s="27"/>
      <c r="U355" s="31"/>
      <c r="V355" s="31">
        <f>Inventory[[#This Row],[Bsmt]]-Inventory[[#This Row],[FnBsmt]]</f>
        <v>0</v>
      </c>
      <c r="W355" s="31"/>
      <c r="X355" s="27"/>
      <c r="Y355" s="27">
        <f>Inventory[[#This Row],[MainFn]]+Inventory[[#This Row],[UpprFn]]+Inventory[[#This Row],[FnBsmt]]+Inventory[[#This Row],[AddFn]]</f>
        <v>1262</v>
      </c>
      <c r="Z355" s="27">
        <v>1500</v>
      </c>
      <c r="AA355" s="25">
        <v>8</v>
      </c>
      <c r="AB355" s="32">
        <v>338</v>
      </c>
      <c r="AC355" s="27"/>
      <c r="AD355" s="27"/>
      <c r="AE355" s="27"/>
      <c r="AF355" s="27"/>
      <c r="AG355" s="27"/>
      <c r="AH355" s="27"/>
      <c r="AI355" s="25">
        <v>223287</v>
      </c>
      <c r="AJ355" s="25">
        <v>158534</v>
      </c>
      <c r="AK355" s="25">
        <v>0</v>
      </c>
      <c r="AL355" s="25">
        <v>278100</v>
      </c>
      <c r="AM355" s="25">
        <v>48400</v>
      </c>
      <c r="AN355" s="25">
        <v>229700</v>
      </c>
      <c r="AO355" s="25">
        <v>0</v>
      </c>
      <c r="AP355" s="25">
        <f>Lookups!$B$56*0</f>
        <v>0</v>
      </c>
      <c r="AQ355" s="25">
        <f>Lookups!$B$56*1</f>
        <v>89850.625589999996</v>
      </c>
      <c r="AR355" s="25">
        <f>Lookups!$B$57*Inventory[[#This Row],[LnAcres]]</f>
        <v>-60052.604136134301</v>
      </c>
      <c r="AS355" s="25">
        <f>VLOOKUP(Inventory[[#This Row],[Qlty]],Lookups!$A$62:$E$75,2,FALSE)</f>
        <v>21557.329055999999</v>
      </c>
      <c r="AT355" s="25">
        <f>VLOOKUP(Inventory[[#This Row],[Cnd]],Lookups!$A$76:$E$84,2,FALSE)</f>
        <v>160472.20319</v>
      </c>
      <c r="AU355" s="25">
        <f>Inventory[[#This Row],[EffAge]]*Lookups!$B$85</f>
        <v>-10929.2344245</v>
      </c>
      <c r="AV355" s="25">
        <f>Inventory[[#This Row],[MainFn]]*Lookups!$B$86</f>
        <v>62353.741384774003</v>
      </c>
      <c r="AW355" s="25">
        <f>Inventory[[#This Row],[UpprFn]]*Lookups!$B$87</f>
        <v>0</v>
      </c>
      <c r="AX355" s="25">
        <f>Inventory[[#This Row],[AddFn]]*Lookups!$B$88</f>
        <v>0</v>
      </c>
      <c r="AY355" s="25">
        <f>Inventory[[#This Row],[Bsmt]]*Lookups!$B$89</f>
        <v>0</v>
      </c>
      <c r="AZ355" s="25">
        <f>Inventory[[#This Row],[Fixtures]]*Lookups!$B$90</f>
        <v>30336.176841600001</v>
      </c>
      <c r="BA355" s="25">
        <f>Inventory[[#This Row],[WdDeck]]*Lookups!$B$91</f>
        <v>0</v>
      </c>
      <c r="BB355" s="25">
        <f>ROUND(Inventory[[#This Row],[25Det]],-2)</f>
        <v>0</v>
      </c>
      <c r="BC355" s="25">
        <f>ROUND(SUM(Inventory[[#This Row],[Mdl Qlty]:[Mdl WdDeck]])+Inventory[[#This Row],[Mdl Res Intercept]],-2)</f>
        <v>263800</v>
      </c>
      <c r="BD355" s="25">
        <f>ROUND(Inventory[[#This Row],[Mdl Land Intercept]]+Inventory[[#This Row],[Mdl LnAcres]],-2)</f>
        <v>29800</v>
      </c>
      <c r="BE355" s="25">
        <f>Inventory[[#This Row],[Unadj Res Value]]+Inventory[[#This Row],[Unadj Det Value]]+Inventory[[#This Row],[Unadj Land Value]]</f>
        <v>293600</v>
      </c>
      <c r="BF355" s="36">
        <f>(Inventory[[#This Row],[Unadj Total Value]]-Inventory[[#This Row],[24Final]])/Inventory[[#This Row],[24Final]]</f>
        <v>5.5735346997482921E-2</v>
      </c>
      <c r="BG355" s="25">
        <f>VLOOKUP(Inventory[[#This Row],[Nbhd]],Lookups!$Q$2:$T$4,4,FALSE)</f>
        <v>0.99970000000000003</v>
      </c>
      <c r="BH355" s="25">
        <f>VLOOKUP(Inventory[[#This Row],[Qlty]],Lookups!$O$7:$R$21,4,FALSE)</f>
        <v>1.0067999999999999</v>
      </c>
      <c r="BI355" s="25">
        <f>VLOOKUP(Inventory[[#This Row],[Cnd]],Lookups!$T$7:$W$16,4,FALSE)</f>
        <v>0.99729999999999996</v>
      </c>
      <c r="BJ355" s="25">
        <f>VLOOKUP(Inventory[[#This Row],[LivArea Range]],Lookups!$T$25:$W$37,4,FALSE)</f>
        <v>1.0157</v>
      </c>
      <c r="BK355" s="25">
        <f>VLOOKUP(Inventory[[#This Row],[Decade]],Lookups!$O$25:$R$42,4,FALSE)</f>
        <v>0.98119999999999996</v>
      </c>
      <c r="BL355" s="25">
        <f>Inventory[[#This Row],[Nbhd Adj]]*0.95</f>
        <v>0.94971499999999998</v>
      </c>
      <c r="BM355" s="25">
        <f>Inventory[[#This Row],[Nbhd Adj]]*Inventory[[#This Row],[Quality Adj]]*Inventory[[#This Row],[Condition Adj]]*Inventory[[#This Row],[Living Area Adj]]*Inventory[[#This Row],[Decade Adj]]*0.95</f>
        <v>0.95035379937285946</v>
      </c>
      <c r="BN355" s="25">
        <f>ROUND(SUM(Inventory[[#This Row],[Mdl Qlty]:[Mdl WdDeck]])+Inventory[[#This Row],[Mdl Res Intercept]]*Inventory[[#This Row],[Res Adj ]],-2)</f>
        <v>263800</v>
      </c>
      <c r="BO355" s="25">
        <f>ROUND(Inventory[[#This Row],[25Det]]*Inventory[[#This Row],[Det/Nbhd Adj]],-2)</f>
        <v>0</v>
      </c>
      <c r="BP355" s="25">
        <f>Inventory[[#This Row],[Adjusted Res]]+Inventory[[#This Row],[Adj Det ]]</f>
        <v>263800</v>
      </c>
      <c r="BQ355" s="25">
        <f>ROUND((Inventory[[#This Row],[Mdl Land Intercept]]+Inventory[[#This Row],[Mdl LnAcres]])*Inventory[[#This Row],[Det/Nbhd Adj]],-2)</f>
        <v>28300</v>
      </c>
      <c r="BR355" s="25">
        <f>Inventory[[#This Row],[Adjusted Impr Total]]+Inventory[[#This Row],[Adjusted Land Total]]</f>
        <v>292100</v>
      </c>
      <c r="BS355" s="36">
        <f>IFERROR((Inventory[[#This Row],[Adjusted Impr Total]]-Inventory[[#This Row],[24Bldg]])/Inventory[[#This Row],[24Bldg]],0)</f>
        <v>0.14845450587723116</v>
      </c>
      <c r="BT355" s="36">
        <f>(Inventory[[#This Row],[Adjusted Land Total]]-Inventory[[#This Row],[24Lnd]])/Inventory[[#This Row],[24Lnd]]</f>
        <v>-0.41528925619834711</v>
      </c>
      <c r="BU355" s="36">
        <f>(Inventory[[#This Row],[Adjusted Total]]-Inventory[[#This Row],[24Final]])/Inventory[[#This Row],[24Final]]</f>
        <v>5.034160373966199E-2</v>
      </c>
    </row>
    <row r="356" spans="1:73" x14ac:dyDescent="0.3">
      <c r="A356" s="25">
        <v>2025</v>
      </c>
      <c r="B356" s="26" t="s">
        <v>2017</v>
      </c>
      <c r="C356" s="26">
        <f>LN(Inventory[[#This Row],[Acres]])</f>
        <v>-1.5141277326297755</v>
      </c>
      <c r="D356" s="25">
        <v>0.22</v>
      </c>
      <c r="E356" s="31"/>
      <c r="F356" s="26" t="s">
        <v>537</v>
      </c>
      <c r="G356" s="26" t="s">
        <v>126</v>
      </c>
      <c r="H356" s="26" t="s">
        <v>349</v>
      </c>
      <c r="I356" s="26" t="s">
        <v>538</v>
      </c>
      <c r="J356" s="26" t="s">
        <v>539</v>
      </c>
      <c r="K356" s="26" t="s">
        <v>241</v>
      </c>
      <c r="L356" s="26" t="s">
        <v>302</v>
      </c>
      <c r="M356" s="26" t="s">
        <v>323</v>
      </c>
      <c r="N356" s="26">
        <v>60</v>
      </c>
      <c r="O356" s="26">
        <f>2024-Inventory[[#This Row],[YrBlt]]</f>
        <v>60</v>
      </c>
      <c r="P356" s="26">
        <f>2024-Inventory[[#This Row],[EffYr]]</f>
        <v>49</v>
      </c>
      <c r="Q356" s="25">
        <v>1964</v>
      </c>
      <c r="R356" s="25">
        <v>1975</v>
      </c>
      <c r="S356" s="25">
        <v>1365</v>
      </c>
      <c r="T356" s="27"/>
      <c r="U356" s="27"/>
      <c r="V356" s="27">
        <f>Inventory[[#This Row],[Bsmt]]-Inventory[[#This Row],[FnBsmt]]</f>
        <v>0</v>
      </c>
      <c r="W356" s="27"/>
      <c r="X356" s="27"/>
      <c r="Y356" s="27">
        <f>Inventory[[#This Row],[MainFn]]+Inventory[[#This Row],[UpprFn]]+Inventory[[#This Row],[FnBsmt]]+Inventory[[#This Row],[AddFn]]</f>
        <v>1365</v>
      </c>
      <c r="Z356" s="27">
        <v>1500</v>
      </c>
      <c r="AA356" s="25">
        <v>8</v>
      </c>
      <c r="AB356" s="32">
        <v>441</v>
      </c>
      <c r="AC356" s="27"/>
      <c r="AD356" s="27"/>
      <c r="AE356" s="27"/>
      <c r="AF356" s="27"/>
      <c r="AG356" s="27"/>
      <c r="AH356" s="27"/>
      <c r="AI356" s="25">
        <v>283468</v>
      </c>
      <c r="AJ356" s="25">
        <v>201262</v>
      </c>
      <c r="AK356" s="25">
        <v>0</v>
      </c>
      <c r="AL356" s="25">
        <v>304500</v>
      </c>
      <c r="AM356" s="25">
        <v>61700</v>
      </c>
      <c r="AN356" s="25">
        <v>242800</v>
      </c>
      <c r="AO356" s="25">
        <v>0</v>
      </c>
      <c r="AP356" s="25">
        <f>Lookups!$B$56*0</f>
        <v>0</v>
      </c>
      <c r="AQ356" s="25">
        <f>Lookups!$B$56*1</f>
        <v>89850.625589999996</v>
      </c>
      <c r="AR356" s="25">
        <f>Lookups!$B$57*Inventory[[#This Row],[LnAcres]]</f>
        <v>-47929.131559187132</v>
      </c>
      <c r="AS356" s="25">
        <f>VLOOKUP(Inventory[[#This Row],[Qlty]],Lookups!$A$62:$E$75,2,FALSE)</f>
        <v>29814.093161000001</v>
      </c>
      <c r="AT356" s="25">
        <f>VLOOKUP(Inventory[[#This Row],[Cnd]],Lookups!$A$76:$E$84,2,FALSE)</f>
        <v>160472.20319</v>
      </c>
      <c r="AU356" s="25">
        <f>Inventory[[#This Row],[EffAge]]*Lookups!$B$85</f>
        <v>-10929.2344245</v>
      </c>
      <c r="AV356" s="25">
        <f>Inventory[[#This Row],[MainFn]]*Lookups!$B$86</f>
        <v>67442.834382105008</v>
      </c>
      <c r="AW356" s="25">
        <f>Inventory[[#This Row],[UpprFn]]*Lookups!$B$87</f>
        <v>0</v>
      </c>
      <c r="AX356" s="25">
        <f>Inventory[[#This Row],[AddFn]]*Lookups!$B$88</f>
        <v>0</v>
      </c>
      <c r="AY356" s="25">
        <f>Inventory[[#This Row],[Bsmt]]*Lookups!$B$89</f>
        <v>0</v>
      </c>
      <c r="AZ356" s="25">
        <f>Inventory[[#This Row],[Fixtures]]*Lookups!$B$90</f>
        <v>30336.176841600001</v>
      </c>
      <c r="BA356" s="25">
        <f>Inventory[[#This Row],[WdDeck]]*Lookups!$B$91</f>
        <v>0</v>
      </c>
      <c r="BB356" s="25">
        <f>ROUND(Inventory[[#This Row],[25Det]],-2)</f>
        <v>0</v>
      </c>
      <c r="BC356" s="25">
        <f>ROUND(SUM(Inventory[[#This Row],[Mdl Qlty]:[Mdl WdDeck]])+Inventory[[#This Row],[Mdl Res Intercept]],-2)</f>
        <v>277100</v>
      </c>
      <c r="BD356" s="25">
        <f>ROUND(Inventory[[#This Row],[Mdl Land Intercept]]+Inventory[[#This Row],[Mdl LnAcres]],-2)</f>
        <v>41900</v>
      </c>
      <c r="BE356" s="25">
        <f>Inventory[[#This Row],[Unadj Res Value]]+Inventory[[#This Row],[Unadj Det Value]]+Inventory[[#This Row],[Unadj Land Value]]</f>
        <v>319000</v>
      </c>
      <c r="BF356" s="36">
        <f>(Inventory[[#This Row],[Unadj Total Value]]-Inventory[[#This Row],[24Final]])/Inventory[[#This Row],[24Final]]</f>
        <v>4.7619047619047616E-2</v>
      </c>
      <c r="BG356" s="25">
        <f>VLOOKUP(Inventory[[#This Row],[Nbhd]],Lookups!$Q$2:$T$4,4,FALSE)</f>
        <v>0.99970000000000003</v>
      </c>
      <c r="BH356" s="25">
        <f>VLOOKUP(Inventory[[#This Row],[Qlty]],Lookups!$O$7:$R$21,4,FALSE)</f>
        <v>1.0088999999999999</v>
      </c>
      <c r="BI356" s="25">
        <f>VLOOKUP(Inventory[[#This Row],[Cnd]],Lookups!$T$7:$W$16,4,FALSE)</f>
        <v>0.99729999999999996</v>
      </c>
      <c r="BJ356" s="25">
        <f>VLOOKUP(Inventory[[#This Row],[LivArea Range]],Lookups!$T$25:$W$37,4,FALSE)</f>
        <v>1.0157</v>
      </c>
      <c r="BK356" s="25">
        <f>VLOOKUP(Inventory[[#This Row],[Decade]],Lookups!$O$25:$R$42,4,FALSE)</f>
        <v>0.98119999999999996</v>
      </c>
      <c r="BL356" s="25">
        <f>Inventory[[#This Row],[Nbhd Adj]]*0.95</f>
        <v>0.94971499999999998</v>
      </c>
      <c r="BM356" s="25">
        <f>Inventory[[#This Row],[Nbhd Adj]]*Inventory[[#This Row],[Quality Adj]]*Inventory[[#This Row],[Condition Adj]]*Inventory[[#This Row],[Living Area Adj]]*Inventory[[#This Row],[Decade Adj]]*0.95</f>
        <v>0.95233606295915574</v>
      </c>
      <c r="BN356" s="25">
        <f>ROUND(SUM(Inventory[[#This Row],[Mdl Qlty]:[Mdl WdDeck]])+Inventory[[#This Row],[Mdl Res Intercept]]*Inventory[[#This Row],[Res Adj ]],-2)</f>
        <v>277100</v>
      </c>
      <c r="BO356" s="25">
        <f>ROUND(Inventory[[#This Row],[25Det]]*Inventory[[#This Row],[Det/Nbhd Adj]],-2)</f>
        <v>0</v>
      </c>
      <c r="BP356" s="25">
        <f>Inventory[[#This Row],[Adjusted Res]]+Inventory[[#This Row],[Adj Det ]]</f>
        <v>277100</v>
      </c>
      <c r="BQ356" s="25">
        <f>ROUND((Inventory[[#This Row],[Mdl Land Intercept]]+Inventory[[#This Row],[Mdl LnAcres]])*Inventory[[#This Row],[Det/Nbhd Adj]],-2)</f>
        <v>39800</v>
      </c>
      <c r="BR356" s="25">
        <f>Inventory[[#This Row],[Adjusted Impr Total]]+Inventory[[#This Row],[Adjusted Land Total]]</f>
        <v>316900</v>
      </c>
      <c r="BS356" s="36">
        <f>IFERROR((Inventory[[#This Row],[Adjusted Impr Total]]-Inventory[[#This Row],[24Bldg]])/Inventory[[#This Row],[24Bldg]],0)</f>
        <v>0.14126853377265239</v>
      </c>
      <c r="BT356" s="36">
        <f>(Inventory[[#This Row],[Adjusted Land Total]]-Inventory[[#This Row],[24Lnd]])/Inventory[[#This Row],[24Lnd]]</f>
        <v>-0.35494327390599678</v>
      </c>
      <c r="BU356" s="36">
        <f>(Inventory[[#This Row],[Adjusted Total]]-Inventory[[#This Row],[24Final]])/Inventory[[#This Row],[24Final]]</f>
        <v>4.0722495894909685E-2</v>
      </c>
    </row>
    <row r="357" spans="1:73" x14ac:dyDescent="0.3">
      <c r="A357" s="25">
        <v>2025</v>
      </c>
      <c r="B357" s="26" t="s">
        <v>709</v>
      </c>
      <c r="C357" s="26">
        <f>LN(Inventory[[#This Row],[Acres]])</f>
        <v>-1.2039728043259361</v>
      </c>
      <c r="D357" s="25">
        <v>0.3</v>
      </c>
      <c r="E357" s="25">
        <v>13155</v>
      </c>
      <c r="F357" s="26" t="s">
        <v>537</v>
      </c>
      <c r="G357" s="26" t="s">
        <v>126</v>
      </c>
      <c r="H357" s="26" t="s">
        <v>349</v>
      </c>
      <c r="I357" s="26" t="s">
        <v>538</v>
      </c>
      <c r="J357" s="26" t="s">
        <v>539</v>
      </c>
      <c r="K357" s="26" t="s">
        <v>147</v>
      </c>
      <c r="L357" s="26" t="s">
        <v>148</v>
      </c>
      <c r="M357" s="26" t="s">
        <v>303</v>
      </c>
      <c r="N357" s="26">
        <v>60</v>
      </c>
      <c r="O357" s="26">
        <f>2024-Inventory[[#This Row],[YrBlt]]</f>
        <v>60</v>
      </c>
      <c r="P357" s="26">
        <f>2024-Inventory[[#This Row],[EffYr]]</f>
        <v>49</v>
      </c>
      <c r="Q357" s="25">
        <v>1964</v>
      </c>
      <c r="R357" s="25">
        <v>1975</v>
      </c>
      <c r="S357" s="25">
        <v>1316</v>
      </c>
      <c r="T357" s="32">
        <v>1044</v>
      </c>
      <c r="U357" s="25">
        <v>1316</v>
      </c>
      <c r="V357" s="32">
        <f>Inventory[[#This Row],[Bsmt]]-Inventory[[#This Row],[FnBsmt]]</f>
        <v>0</v>
      </c>
      <c r="W357" s="32">
        <v>1316</v>
      </c>
      <c r="X357" s="27"/>
      <c r="Y357" s="27">
        <f>Inventory[[#This Row],[MainFn]]+Inventory[[#This Row],[UpprFn]]+Inventory[[#This Row],[FnBsmt]]+Inventory[[#This Row],[AddFn]]</f>
        <v>3676</v>
      </c>
      <c r="Z357" s="27">
        <v>4000</v>
      </c>
      <c r="AA357" s="25">
        <v>9</v>
      </c>
      <c r="AB357" s="32">
        <v>575</v>
      </c>
      <c r="AC357" s="27"/>
      <c r="AD357" s="27"/>
      <c r="AE357" s="27"/>
      <c r="AF357" s="27"/>
      <c r="AG357" s="27"/>
      <c r="AH357" s="27"/>
      <c r="AI357" s="25">
        <v>636117</v>
      </c>
      <c r="AJ357" s="25">
        <v>458004</v>
      </c>
      <c r="AK357" s="25">
        <v>0</v>
      </c>
      <c r="AL357" s="25">
        <v>446400</v>
      </c>
      <c r="AM357" s="25">
        <v>72500</v>
      </c>
      <c r="AN357" s="25">
        <v>373900</v>
      </c>
      <c r="AO357" s="25">
        <v>0</v>
      </c>
      <c r="AP357" s="25">
        <f>Lookups!$B$56*0</f>
        <v>0</v>
      </c>
      <c r="AQ357" s="25">
        <f>Lookups!$B$56*1</f>
        <v>89850.625589999996</v>
      </c>
      <c r="AR357" s="25">
        <f>Lookups!$B$57*Inventory[[#This Row],[LnAcres]]</f>
        <v>-38111.29648355169</v>
      </c>
      <c r="AS357" s="25">
        <f>VLOOKUP(Inventory[[#This Row],[Qlty]],Lookups!$A$62:$E$75,2,FALSE)</f>
        <v>44121.038090000002</v>
      </c>
      <c r="AT357" s="25">
        <f>VLOOKUP(Inventory[[#This Row],[Cnd]],Lookups!$A$76:$E$84,2,FALSE)</f>
        <v>197752.34721000001</v>
      </c>
      <c r="AU357" s="25">
        <f>Inventory[[#This Row],[EffAge]]*Lookups!$B$85</f>
        <v>-10929.2344245</v>
      </c>
      <c r="AV357" s="25">
        <f>Inventory[[#This Row],[MainFn]]*Lookups!$B$86</f>
        <v>65021.809558132001</v>
      </c>
      <c r="AW357" s="25">
        <f>Inventory[[#This Row],[UpprFn]]*Lookups!$B$87</f>
        <v>46757.025466883999</v>
      </c>
      <c r="AX357" s="25">
        <f>Inventory[[#This Row],[AddFn]]*Lookups!$B$88</f>
        <v>0</v>
      </c>
      <c r="AY357" s="25">
        <f>Inventory[[#This Row],[Bsmt]]*Lookups!$B$89</f>
        <v>38271.774145051997</v>
      </c>
      <c r="AZ357" s="25">
        <f>Inventory[[#This Row],[Fixtures]]*Lookups!$B$90</f>
        <v>34128.198946800003</v>
      </c>
      <c r="BA357" s="25">
        <f>Inventory[[#This Row],[WdDeck]]*Lookups!$B$91</f>
        <v>0</v>
      </c>
      <c r="BB357" s="25">
        <f>ROUND(Inventory[[#This Row],[25Det]],-2)</f>
        <v>0</v>
      </c>
      <c r="BC357" s="25">
        <f>ROUND(SUM(Inventory[[#This Row],[Mdl Qlty]:[Mdl WdDeck]])+Inventory[[#This Row],[Mdl Res Intercept]],-2)</f>
        <v>415100</v>
      </c>
      <c r="BD357" s="25">
        <f>ROUND(Inventory[[#This Row],[Mdl Land Intercept]]+Inventory[[#This Row],[Mdl LnAcres]],-2)</f>
        <v>51700</v>
      </c>
      <c r="BE357" s="25">
        <f>Inventory[[#This Row],[Unadj Res Value]]+Inventory[[#This Row],[Unadj Det Value]]+Inventory[[#This Row],[Unadj Land Value]]</f>
        <v>466800</v>
      </c>
      <c r="BF357" s="36">
        <f>(Inventory[[#This Row],[Unadj Total Value]]-Inventory[[#This Row],[24Final]])/Inventory[[#This Row],[24Final]]</f>
        <v>4.5698924731182797E-2</v>
      </c>
      <c r="BG357" s="25">
        <f>VLOOKUP(Inventory[[#This Row],[Nbhd]],Lookups!$Q$2:$T$4,4,FALSE)</f>
        <v>0.99970000000000003</v>
      </c>
      <c r="BH357" s="25">
        <f>VLOOKUP(Inventory[[#This Row],[Qlty]],Lookups!$O$7:$R$21,4,FALSE)</f>
        <v>0.98050000000000004</v>
      </c>
      <c r="BI357" s="25">
        <f>VLOOKUP(Inventory[[#This Row],[Cnd]],Lookups!$T$7:$W$16,4,FALSE)</f>
        <v>0.99650000000000005</v>
      </c>
      <c r="BJ357" s="25">
        <f>VLOOKUP(Inventory[[#This Row],[LivArea Range]],Lookups!$T$25:$W$37,4,FALSE)</f>
        <v>0.94579999999999997</v>
      </c>
      <c r="BK357" s="25">
        <f>VLOOKUP(Inventory[[#This Row],[Decade]],Lookups!$O$25:$R$42,4,FALSE)</f>
        <v>0.98119999999999996</v>
      </c>
      <c r="BL357" s="25">
        <f>Inventory[[#This Row],[Nbhd Adj]]*0.95</f>
        <v>0.94971499999999998</v>
      </c>
      <c r="BM357" s="25">
        <f>Inventory[[#This Row],[Nbhd Adj]]*Inventory[[#This Row],[Quality Adj]]*Inventory[[#This Row],[Condition Adj]]*Inventory[[#This Row],[Living Area Adj]]*Inventory[[#This Row],[Decade Adj]]*0.95</f>
        <v>0.86114254786287303</v>
      </c>
      <c r="BN357" s="25">
        <f>ROUND(SUM(Inventory[[#This Row],[Mdl Qlty]:[Mdl WdDeck]])+Inventory[[#This Row],[Mdl Res Intercept]]*Inventory[[#This Row],[Res Adj ]],-2)</f>
        <v>415100</v>
      </c>
      <c r="BO357" s="25">
        <f>ROUND(Inventory[[#This Row],[25Det]]*Inventory[[#This Row],[Det/Nbhd Adj]],-2)</f>
        <v>0</v>
      </c>
      <c r="BP357" s="25">
        <f>Inventory[[#This Row],[Adjusted Res]]+Inventory[[#This Row],[Adj Det ]]</f>
        <v>415100</v>
      </c>
      <c r="BQ357" s="25">
        <f>ROUND((Inventory[[#This Row],[Mdl Land Intercept]]+Inventory[[#This Row],[Mdl LnAcres]])*Inventory[[#This Row],[Det/Nbhd Adj]],-2)</f>
        <v>49100</v>
      </c>
      <c r="BR357" s="25">
        <f>Inventory[[#This Row],[Adjusted Impr Total]]+Inventory[[#This Row],[Adjusted Land Total]]</f>
        <v>464200</v>
      </c>
      <c r="BS357" s="36">
        <f>IFERROR((Inventory[[#This Row],[Adjusted Impr Total]]-Inventory[[#This Row],[24Bldg]])/Inventory[[#This Row],[24Bldg]],0)</f>
        <v>0.11018989034501203</v>
      </c>
      <c r="BT357" s="36">
        <f>(Inventory[[#This Row],[Adjusted Land Total]]-Inventory[[#This Row],[24Lnd]])/Inventory[[#This Row],[24Lnd]]</f>
        <v>-0.32275862068965516</v>
      </c>
      <c r="BU357" s="36">
        <f>(Inventory[[#This Row],[Adjusted Total]]-Inventory[[#This Row],[24Final]])/Inventory[[#This Row],[24Final]]</f>
        <v>3.9874551971326166E-2</v>
      </c>
    </row>
    <row r="358" spans="1:73" x14ac:dyDescent="0.3">
      <c r="A358" s="25">
        <v>2025</v>
      </c>
      <c r="B358" s="26" t="s">
        <v>1012</v>
      </c>
      <c r="C358" s="26">
        <f>LN(Inventory[[#This Row],[Acres]])</f>
        <v>-1.3093333199837622</v>
      </c>
      <c r="D358" s="25">
        <v>0.27</v>
      </c>
      <c r="E358" s="25">
        <v>11578</v>
      </c>
      <c r="F358" s="26" t="s">
        <v>537</v>
      </c>
      <c r="G358" s="26" t="s">
        <v>126</v>
      </c>
      <c r="H358" s="26" t="s">
        <v>349</v>
      </c>
      <c r="I358" s="26" t="s">
        <v>538</v>
      </c>
      <c r="J358" s="26" t="s">
        <v>539</v>
      </c>
      <c r="K358" s="26" t="s">
        <v>241</v>
      </c>
      <c r="L358" s="26" t="s">
        <v>302</v>
      </c>
      <c r="M358" s="26" t="s">
        <v>323</v>
      </c>
      <c r="N358" s="26">
        <v>60</v>
      </c>
      <c r="O358" s="26">
        <f>2024-Inventory[[#This Row],[YrBlt]]</f>
        <v>60</v>
      </c>
      <c r="P358" s="26">
        <f>2024-Inventory[[#This Row],[EffYr]]</f>
        <v>49</v>
      </c>
      <c r="Q358" s="25">
        <v>1964</v>
      </c>
      <c r="R358" s="25">
        <v>1975</v>
      </c>
      <c r="S358" s="25">
        <v>1701</v>
      </c>
      <c r="T358" s="27"/>
      <c r="U358" s="27"/>
      <c r="V358" s="27">
        <f>Inventory[[#This Row],[Bsmt]]-Inventory[[#This Row],[FnBsmt]]</f>
        <v>0</v>
      </c>
      <c r="W358" s="27"/>
      <c r="X358" s="27"/>
      <c r="Y358" s="27">
        <f>Inventory[[#This Row],[MainFn]]+Inventory[[#This Row],[UpprFn]]+Inventory[[#This Row],[FnBsmt]]+Inventory[[#This Row],[AddFn]]</f>
        <v>1701</v>
      </c>
      <c r="Z358" s="27">
        <v>2000</v>
      </c>
      <c r="AA358" s="25">
        <v>5</v>
      </c>
      <c r="AB358" s="27"/>
      <c r="AC358" s="32">
        <v>783</v>
      </c>
      <c r="AD358" s="27"/>
      <c r="AE358" s="27"/>
      <c r="AF358" s="27"/>
      <c r="AG358" s="27"/>
      <c r="AH358" s="27"/>
      <c r="AI358" s="25">
        <v>343318</v>
      </c>
      <c r="AJ358" s="25">
        <v>243756</v>
      </c>
      <c r="AK358" s="25">
        <v>0</v>
      </c>
      <c r="AL358" s="25">
        <v>316100</v>
      </c>
      <c r="AM358" s="25">
        <v>68900</v>
      </c>
      <c r="AN358" s="25">
        <v>247200</v>
      </c>
      <c r="AO358" s="25">
        <v>0</v>
      </c>
      <c r="AP358" s="25">
        <f>Lookups!$B$56*0</f>
        <v>0</v>
      </c>
      <c r="AQ358" s="25">
        <f>Lookups!$B$56*1</f>
        <v>89850.625589999996</v>
      </c>
      <c r="AR358" s="25">
        <f>Lookups!$B$57*Inventory[[#This Row],[LnAcres]]</f>
        <v>-41446.443120973789</v>
      </c>
      <c r="AS358" s="25">
        <f>VLOOKUP(Inventory[[#This Row],[Qlty]],Lookups!$A$62:$E$75,2,FALSE)</f>
        <v>29814.093161000001</v>
      </c>
      <c r="AT358" s="25">
        <f>VLOOKUP(Inventory[[#This Row],[Cnd]],Lookups!$A$76:$E$84,2,FALSE)</f>
        <v>160472.20319</v>
      </c>
      <c r="AU358" s="25">
        <f>Inventory[[#This Row],[EffAge]]*Lookups!$B$85</f>
        <v>-10929.2344245</v>
      </c>
      <c r="AV358" s="25">
        <f>Inventory[[#This Row],[MainFn]]*Lookups!$B$86</f>
        <v>84044.147460777007</v>
      </c>
      <c r="AW358" s="25">
        <f>Inventory[[#This Row],[UpprFn]]*Lookups!$B$87</f>
        <v>0</v>
      </c>
      <c r="AX358" s="25">
        <f>Inventory[[#This Row],[AddFn]]*Lookups!$B$88</f>
        <v>0</v>
      </c>
      <c r="AY358" s="25">
        <f>Inventory[[#This Row],[Bsmt]]*Lookups!$B$89</f>
        <v>0</v>
      </c>
      <c r="AZ358" s="25">
        <f>Inventory[[#This Row],[Fixtures]]*Lookups!$B$90</f>
        <v>18960.110526</v>
      </c>
      <c r="BA358" s="25">
        <f>Inventory[[#This Row],[WdDeck]]*Lookups!$B$91</f>
        <v>0</v>
      </c>
      <c r="BB358" s="25">
        <f>ROUND(Inventory[[#This Row],[25Det]],-2)</f>
        <v>0</v>
      </c>
      <c r="BC358" s="25">
        <f>ROUND(SUM(Inventory[[#This Row],[Mdl Qlty]:[Mdl WdDeck]])+Inventory[[#This Row],[Mdl Res Intercept]],-2)</f>
        <v>282400</v>
      </c>
      <c r="BD358" s="25">
        <f>ROUND(Inventory[[#This Row],[Mdl Land Intercept]]+Inventory[[#This Row],[Mdl LnAcres]],-2)</f>
        <v>48400</v>
      </c>
      <c r="BE358" s="25">
        <f>Inventory[[#This Row],[Unadj Res Value]]+Inventory[[#This Row],[Unadj Det Value]]+Inventory[[#This Row],[Unadj Land Value]]</f>
        <v>330800</v>
      </c>
      <c r="BF358" s="36">
        <f>(Inventory[[#This Row],[Unadj Total Value]]-Inventory[[#This Row],[24Final]])/Inventory[[#This Row],[24Final]]</f>
        <v>4.6504270800379624E-2</v>
      </c>
      <c r="BG358" s="25">
        <f>VLOOKUP(Inventory[[#This Row],[Nbhd]],Lookups!$Q$2:$T$4,4,FALSE)</f>
        <v>0.99970000000000003</v>
      </c>
      <c r="BH358" s="25">
        <f>VLOOKUP(Inventory[[#This Row],[Qlty]],Lookups!$O$7:$R$21,4,FALSE)</f>
        <v>1.0088999999999999</v>
      </c>
      <c r="BI358" s="25">
        <f>VLOOKUP(Inventory[[#This Row],[Cnd]],Lookups!$T$7:$W$16,4,FALSE)</f>
        <v>0.99729999999999996</v>
      </c>
      <c r="BJ358" s="25">
        <f>VLOOKUP(Inventory[[#This Row],[LivArea Range]],Lookups!$T$25:$W$37,4,FALSE)</f>
        <v>1.0093000000000001</v>
      </c>
      <c r="BK358" s="25">
        <f>VLOOKUP(Inventory[[#This Row],[Decade]],Lookups!$O$25:$R$42,4,FALSE)</f>
        <v>0.98119999999999996</v>
      </c>
      <c r="BL358" s="25">
        <f>Inventory[[#This Row],[Nbhd Adj]]*0.95</f>
        <v>0.94971499999999998</v>
      </c>
      <c r="BM358" s="25">
        <f>Inventory[[#This Row],[Nbhd Adj]]*Inventory[[#This Row],[Quality Adj]]*Inventory[[#This Row],[Condition Adj]]*Inventory[[#This Row],[Living Area Adj]]*Inventory[[#This Row],[Decade Adj]]*0.95</f>
        <v>0.94633532376161855</v>
      </c>
      <c r="BN358" s="25">
        <f>ROUND(SUM(Inventory[[#This Row],[Mdl Qlty]:[Mdl WdDeck]])+Inventory[[#This Row],[Mdl Res Intercept]]*Inventory[[#This Row],[Res Adj ]],-2)</f>
        <v>282400</v>
      </c>
      <c r="BO358" s="25">
        <f>ROUND(Inventory[[#This Row],[25Det]]*Inventory[[#This Row],[Det/Nbhd Adj]],-2)</f>
        <v>0</v>
      </c>
      <c r="BP358" s="25">
        <f>Inventory[[#This Row],[Adjusted Res]]+Inventory[[#This Row],[Adj Det ]]</f>
        <v>282400</v>
      </c>
      <c r="BQ358" s="25">
        <f>ROUND((Inventory[[#This Row],[Mdl Land Intercept]]+Inventory[[#This Row],[Mdl LnAcres]])*Inventory[[#This Row],[Det/Nbhd Adj]],-2)</f>
        <v>46000</v>
      </c>
      <c r="BR358" s="25">
        <f>Inventory[[#This Row],[Adjusted Impr Total]]+Inventory[[#This Row],[Adjusted Land Total]]</f>
        <v>328400</v>
      </c>
      <c r="BS358" s="36">
        <f>IFERROR((Inventory[[#This Row],[Adjusted Impr Total]]-Inventory[[#This Row],[24Bldg]])/Inventory[[#This Row],[24Bldg]],0)</f>
        <v>0.14239482200647249</v>
      </c>
      <c r="BT358" s="36">
        <f>(Inventory[[#This Row],[Adjusted Land Total]]-Inventory[[#This Row],[24Lnd]])/Inventory[[#This Row],[24Lnd]]</f>
        <v>-0.33236574746008707</v>
      </c>
      <c r="BU358" s="36">
        <f>(Inventory[[#This Row],[Adjusted Total]]-Inventory[[#This Row],[24Final]])/Inventory[[#This Row],[24Final]]</f>
        <v>3.8911736792154379E-2</v>
      </c>
    </row>
    <row r="359" spans="1:73" x14ac:dyDescent="0.3">
      <c r="A359" s="25">
        <v>2025</v>
      </c>
      <c r="B359" s="26" t="s">
        <v>2494</v>
      </c>
      <c r="C359" s="26">
        <f>LN(Inventory[[#This Row],[Acres]])</f>
        <v>-1.2378743560016174</v>
      </c>
      <c r="D359" s="25">
        <v>0.28999999999999998</v>
      </c>
      <c r="E359" s="25">
        <v>12583</v>
      </c>
      <c r="F359" s="26" t="s">
        <v>537</v>
      </c>
      <c r="G359" s="26" t="s">
        <v>126</v>
      </c>
      <c r="H359" s="26" t="s">
        <v>349</v>
      </c>
      <c r="I359" s="26" t="s">
        <v>538</v>
      </c>
      <c r="J359" s="26" t="s">
        <v>539</v>
      </c>
      <c r="K359" s="26" t="s">
        <v>241</v>
      </c>
      <c r="L359" s="26" t="s">
        <v>302</v>
      </c>
      <c r="M359" s="26" t="s">
        <v>303</v>
      </c>
      <c r="N359" s="26">
        <v>60</v>
      </c>
      <c r="O359" s="26">
        <f>2024-Inventory[[#This Row],[YrBlt]]</f>
        <v>60</v>
      </c>
      <c r="P359" s="26">
        <f>2024-Inventory[[#This Row],[EffYr]]</f>
        <v>49</v>
      </c>
      <c r="Q359" s="25">
        <v>1964</v>
      </c>
      <c r="R359" s="25">
        <v>1975</v>
      </c>
      <c r="S359" s="25">
        <v>1502</v>
      </c>
      <c r="T359" s="31"/>
      <c r="U359" s="25">
        <v>1502</v>
      </c>
      <c r="V359" s="32">
        <f>Inventory[[#This Row],[Bsmt]]-Inventory[[#This Row],[FnBsmt]]</f>
        <v>0</v>
      </c>
      <c r="W359" s="32">
        <v>1502</v>
      </c>
      <c r="X359" s="27"/>
      <c r="Y359" s="27">
        <f>Inventory[[#This Row],[MainFn]]+Inventory[[#This Row],[UpprFn]]+Inventory[[#This Row],[FnBsmt]]+Inventory[[#This Row],[AddFn]]</f>
        <v>3004</v>
      </c>
      <c r="Z359" s="27">
        <v>3500</v>
      </c>
      <c r="AA359" s="25">
        <v>10</v>
      </c>
      <c r="AB359" s="31"/>
      <c r="AC359" s="27"/>
      <c r="AD359" s="31"/>
      <c r="AE359" s="27"/>
      <c r="AF359" s="27"/>
      <c r="AG359" s="27"/>
      <c r="AH359" s="27"/>
      <c r="AI359" s="25">
        <v>453757</v>
      </c>
      <c r="AJ359" s="25">
        <v>326705</v>
      </c>
      <c r="AK359" s="25">
        <v>44409</v>
      </c>
      <c r="AL359" s="25">
        <v>445600</v>
      </c>
      <c r="AM359" s="25">
        <v>71400</v>
      </c>
      <c r="AN359" s="25">
        <v>374200</v>
      </c>
      <c r="AO359" s="25">
        <v>0</v>
      </c>
      <c r="AP359" s="25">
        <f>Lookups!$B$56*0</f>
        <v>0</v>
      </c>
      <c r="AQ359" s="25">
        <f>Lookups!$B$56*1</f>
        <v>89850.625589999996</v>
      </c>
      <c r="AR359" s="25">
        <f>Lookups!$B$57*Inventory[[#This Row],[LnAcres]]</f>
        <v>-39184.437074869042</v>
      </c>
      <c r="AS359" s="25">
        <f>VLOOKUP(Inventory[[#This Row],[Qlty]],Lookups!$A$62:$E$75,2,FALSE)</f>
        <v>29814.093161000001</v>
      </c>
      <c r="AT359" s="25">
        <f>VLOOKUP(Inventory[[#This Row],[Cnd]],Lookups!$A$76:$E$84,2,FALSE)</f>
        <v>197752.34721000001</v>
      </c>
      <c r="AU359" s="25">
        <f>Inventory[[#This Row],[EffAge]]*Lookups!$B$85</f>
        <v>-10929.2344245</v>
      </c>
      <c r="AV359" s="25">
        <f>Inventory[[#This Row],[MainFn]]*Lookups!$B$86</f>
        <v>74211.822155254005</v>
      </c>
      <c r="AW359" s="25">
        <f>Inventory[[#This Row],[UpprFn]]*Lookups!$B$87</f>
        <v>0</v>
      </c>
      <c r="AX359" s="25">
        <f>Inventory[[#This Row],[AddFn]]*Lookups!$B$88</f>
        <v>0</v>
      </c>
      <c r="AY359" s="25">
        <f>Inventory[[#This Row],[Bsmt]]*Lookups!$B$89</f>
        <v>43681.006660993997</v>
      </c>
      <c r="AZ359" s="25">
        <f>Inventory[[#This Row],[Fixtures]]*Lookups!$B$90</f>
        <v>37920.221052000001</v>
      </c>
      <c r="BA359" s="25">
        <f>Inventory[[#This Row],[WdDeck]]*Lookups!$B$91</f>
        <v>0</v>
      </c>
      <c r="BB359" s="25">
        <f>ROUND(Inventory[[#This Row],[25Det]],-2)</f>
        <v>44400</v>
      </c>
      <c r="BC359" s="25">
        <f>ROUND(SUM(Inventory[[#This Row],[Mdl Qlty]:[Mdl WdDeck]])+Inventory[[#This Row],[Mdl Res Intercept]],-2)</f>
        <v>372500</v>
      </c>
      <c r="BD359" s="25">
        <f>ROUND(Inventory[[#This Row],[Mdl Land Intercept]]+Inventory[[#This Row],[Mdl LnAcres]],-2)</f>
        <v>50700</v>
      </c>
      <c r="BE359" s="25">
        <f>Inventory[[#This Row],[Unadj Res Value]]+Inventory[[#This Row],[Unadj Det Value]]+Inventory[[#This Row],[Unadj Land Value]]</f>
        <v>467600</v>
      </c>
      <c r="BF359" s="36">
        <f>(Inventory[[#This Row],[Unadj Total Value]]-Inventory[[#This Row],[24Final]])/Inventory[[#This Row],[24Final]]</f>
        <v>4.9371633752244168E-2</v>
      </c>
      <c r="BG359" s="25">
        <f>VLOOKUP(Inventory[[#This Row],[Nbhd]],Lookups!$Q$2:$T$4,4,FALSE)</f>
        <v>0.99970000000000003</v>
      </c>
      <c r="BH359" s="25">
        <f>VLOOKUP(Inventory[[#This Row],[Qlty]],Lookups!$O$7:$R$21,4,FALSE)</f>
        <v>1.0088999999999999</v>
      </c>
      <c r="BI359" s="25">
        <f>VLOOKUP(Inventory[[#This Row],[Cnd]],Lookups!$T$7:$W$16,4,FALSE)</f>
        <v>0.99650000000000005</v>
      </c>
      <c r="BJ359" s="25">
        <f>VLOOKUP(Inventory[[#This Row],[LivArea Range]],Lookups!$T$25:$W$37,4,FALSE)</f>
        <v>1.0126999999999999</v>
      </c>
      <c r="BK359" s="25">
        <f>VLOOKUP(Inventory[[#This Row],[Decade]],Lookups!$O$25:$R$42,4,FALSE)</f>
        <v>0.98119999999999996</v>
      </c>
      <c r="BL359" s="25">
        <f>Inventory[[#This Row],[Nbhd Adj]]*0.95</f>
        <v>0.94971499999999998</v>
      </c>
      <c r="BM359" s="25">
        <f>Inventory[[#This Row],[Nbhd Adj]]*Inventory[[#This Row],[Quality Adj]]*Inventory[[#This Row],[Condition Adj]]*Inventory[[#This Row],[Living Area Adj]]*Inventory[[#This Row],[Decade Adj]]*0.95</f>
        <v>0.94876154136438273</v>
      </c>
      <c r="BN359" s="25">
        <f>ROUND(SUM(Inventory[[#This Row],[Mdl Qlty]:[Mdl WdDeck]])+Inventory[[#This Row],[Mdl Res Intercept]]*Inventory[[#This Row],[Res Adj ]],-2)</f>
        <v>372500</v>
      </c>
      <c r="BO359" s="25">
        <f>ROUND(Inventory[[#This Row],[25Det]]*Inventory[[#This Row],[Det/Nbhd Adj]],-2)</f>
        <v>42200</v>
      </c>
      <c r="BP359" s="25">
        <f>Inventory[[#This Row],[Adjusted Res]]+Inventory[[#This Row],[Adj Det ]]</f>
        <v>414700</v>
      </c>
      <c r="BQ359" s="25">
        <f>ROUND((Inventory[[#This Row],[Mdl Land Intercept]]+Inventory[[#This Row],[Mdl LnAcres]])*Inventory[[#This Row],[Det/Nbhd Adj]],-2)</f>
        <v>48100</v>
      </c>
      <c r="BR359" s="25">
        <f>Inventory[[#This Row],[Adjusted Impr Total]]+Inventory[[#This Row],[Adjusted Land Total]]</f>
        <v>462800</v>
      </c>
      <c r="BS359" s="36">
        <f>IFERROR((Inventory[[#This Row],[Adjusted Impr Total]]-Inventory[[#This Row],[24Bldg]])/Inventory[[#This Row],[24Bldg]],0)</f>
        <v>0.10823089257081775</v>
      </c>
      <c r="BT359" s="36">
        <f>(Inventory[[#This Row],[Adjusted Land Total]]-Inventory[[#This Row],[24Lnd]])/Inventory[[#This Row],[24Lnd]]</f>
        <v>-0.32633053221288516</v>
      </c>
      <c r="BU359" s="36">
        <f>(Inventory[[#This Row],[Adjusted Total]]-Inventory[[#This Row],[24Final]])/Inventory[[#This Row],[24Final]]</f>
        <v>3.859964093357271E-2</v>
      </c>
    </row>
    <row r="360" spans="1:73" x14ac:dyDescent="0.3">
      <c r="A360" s="25">
        <v>2025</v>
      </c>
      <c r="B360" s="26" t="s">
        <v>2358</v>
      </c>
      <c r="C360" s="26">
        <f>LN(Inventory[[#This Row],[Acres]])</f>
        <v>-1.8325814637483102</v>
      </c>
      <c r="D360" s="25">
        <v>0.16</v>
      </c>
      <c r="E360" s="25">
        <v>7000</v>
      </c>
      <c r="F360" s="26" t="s">
        <v>537</v>
      </c>
      <c r="G360" s="26" t="s">
        <v>126</v>
      </c>
      <c r="H360" s="26" t="s">
        <v>349</v>
      </c>
      <c r="I360" s="26" t="s">
        <v>538</v>
      </c>
      <c r="J360" s="26" t="s">
        <v>539</v>
      </c>
      <c r="K360" s="26" t="s">
        <v>241</v>
      </c>
      <c r="L360" s="26" t="s">
        <v>351</v>
      </c>
      <c r="M360" s="26" t="s">
        <v>323</v>
      </c>
      <c r="N360" s="26">
        <v>60</v>
      </c>
      <c r="O360" s="26">
        <f>2024-Inventory[[#This Row],[YrBlt]]</f>
        <v>60</v>
      </c>
      <c r="P360" s="26">
        <f>2024-Inventory[[#This Row],[EffYr]]</f>
        <v>49</v>
      </c>
      <c r="Q360" s="25">
        <v>1964</v>
      </c>
      <c r="R360" s="25">
        <v>1975</v>
      </c>
      <c r="S360" s="25">
        <v>1364</v>
      </c>
      <c r="T360" s="27"/>
      <c r="U360" s="31"/>
      <c r="V360" s="31">
        <f>Inventory[[#This Row],[Bsmt]]-Inventory[[#This Row],[FnBsmt]]</f>
        <v>0</v>
      </c>
      <c r="W360" s="31"/>
      <c r="X360" s="27"/>
      <c r="Y360" s="27">
        <f>Inventory[[#This Row],[MainFn]]+Inventory[[#This Row],[UpprFn]]+Inventory[[#This Row],[FnBsmt]]+Inventory[[#This Row],[AddFn]]</f>
        <v>1364</v>
      </c>
      <c r="Z360" s="27">
        <v>1500</v>
      </c>
      <c r="AA360" s="25">
        <v>5</v>
      </c>
      <c r="AB360" s="32">
        <v>280</v>
      </c>
      <c r="AC360" s="27"/>
      <c r="AD360" s="27"/>
      <c r="AE360" s="27"/>
      <c r="AF360" s="27"/>
      <c r="AG360" s="27"/>
      <c r="AH360" s="27"/>
      <c r="AI360" s="25">
        <v>241856</v>
      </c>
      <c r="AJ360" s="25">
        <v>171718</v>
      </c>
      <c r="AK360" s="25">
        <v>0</v>
      </c>
      <c r="AL360" s="25">
        <v>278300</v>
      </c>
      <c r="AM360" s="25">
        <v>50600</v>
      </c>
      <c r="AN360" s="25">
        <v>227700</v>
      </c>
      <c r="AO360" s="25">
        <v>0</v>
      </c>
      <c r="AP360" s="25">
        <f>Lookups!$B$56*0</f>
        <v>0</v>
      </c>
      <c r="AQ360" s="25">
        <f>Lookups!$B$56*1</f>
        <v>89850.625589999996</v>
      </c>
      <c r="AR360" s="25">
        <f>Lookups!$B$57*Inventory[[#This Row],[LnAcres]]</f>
        <v>-58009.662049032086</v>
      </c>
      <c r="AS360" s="25">
        <f>VLOOKUP(Inventory[[#This Row],[Qlty]],Lookups!$A$62:$E$75,2,FALSE)</f>
        <v>21557.329055999999</v>
      </c>
      <c r="AT360" s="25">
        <f>VLOOKUP(Inventory[[#This Row],[Cnd]],Lookups!$A$76:$E$84,2,FALSE)</f>
        <v>160472.20319</v>
      </c>
      <c r="AU360" s="25">
        <f>Inventory[[#This Row],[EffAge]]*Lookups!$B$85</f>
        <v>-10929.2344245</v>
      </c>
      <c r="AV360" s="25">
        <f>Inventory[[#This Row],[MainFn]]*Lookups!$B$86</f>
        <v>67393.425712227996</v>
      </c>
      <c r="AW360" s="25">
        <f>Inventory[[#This Row],[UpprFn]]*Lookups!$B$87</f>
        <v>0</v>
      </c>
      <c r="AX360" s="25">
        <f>Inventory[[#This Row],[AddFn]]*Lookups!$B$88</f>
        <v>0</v>
      </c>
      <c r="AY360" s="25">
        <f>Inventory[[#This Row],[Bsmt]]*Lookups!$B$89</f>
        <v>0</v>
      </c>
      <c r="AZ360" s="25">
        <f>Inventory[[#This Row],[Fixtures]]*Lookups!$B$90</f>
        <v>18960.110526</v>
      </c>
      <c r="BA360" s="25">
        <f>Inventory[[#This Row],[WdDeck]]*Lookups!$B$91</f>
        <v>0</v>
      </c>
      <c r="BB360" s="25">
        <f>ROUND(Inventory[[#This Row],[25Det]],-2)</f>
        <v>0</v>
      </c>
      <c r="BC360" s="25">
        <f>ROUND(SUM(Inventory[[#This Row],[Mdl Qlty]:[Mdl WdDeck]])+Inventory[[#This Row],[Mdl Res Intercept]],-2)</f>
        <v>257500</v>
      </c>
      <c r="BD360" s="25">
        <f>ROUND(Inventory[[#This Row],[Mdl Land Intercept]]+Inventory[[#This Row],[Mdl LnAcres]],-2)</f>
        <v>31800</v>
      </c>
      <c r="BE360" s="25">
        <f>Inventory[[#This Row],[Unadj Res Value]]+Inventory[[#This Row],[Unadj Det Value]]+Inventory[[#This Row],[Unadj Land Value]]</f>
        <v>289300</v>
      </c>
      <c r="BF360" s="36">
        <f>(Inventory[[#This Row],[Unadj Total Value]]-Inventory[[#This Row],[24Final]])/Inventory[[#This Row],[24Final]]</f>
        <v>3.9525691699604744E-2</v>
      </c>
      <c r="BG360" s="25">
        <f>VLOOKUP(Inventory[[#This Row],[Nbhd]],Lookups!$Q$2:$T$4,4,FALSE)</f>
        <v>0.99970000000000003</v>
      </c>
      <c r="BH360" s="25">
        <f>VLOOKUP(Inventory[[#This Row],[Qlty]],Lookups!$O$7:$R$21,4,FALSE)</f>
        <v>1.0067999999999999</v>
      </c>
      <c r="BI360" s="25">
        <f>VLOOKUP(Inventory[[#This Row],[Cnd]],Lookups!$T$7:$W$16,4,FALSE)</f>
        <v>0.99729999999999996</v>
      </c>
      <c r="BJ360" s="25">
        <f>VLOOKUP(Inventory[[#This Row],[LivArea Range]],Lookups!$T$25:$W$37,4,FALSE)</f>
        <v>1.0157</v>
      </c>
      <c r="BK360" s="25">
        <f>VLOOKUP(Inventory[[#This Row],[Decade]],Lookups!$O$25:$R$42,4,FALSE)</f>
        <v>0.98119999999999996</v>
      </c>
      <c r="BL360" s="25">
        <f>Inventory[[#This Row],[Nbhd Adj]]*0.95</f>
        <v>0.94971499999999998</v>
      </c>
      <c r="BM360" s="25">
        <f>Inventory[[#This Row],[Nbhd Adj]]*Inventory[[#This Row],[Quality Adj]]*Inventory[[#This Row],[Condition Adj]]*Inventory[[#This Row],[Living Area Adj]]*Inventory[[#This Row],[Decade Adj]]*0.95</f>
        <v>0.95035379937285946</v>
      </c>
      <c r="BN360" s="25">
        <f>ROUND(SUM(Inventory[[#This Row],[Mdl Qlty]:[Mdl WdDeck]])+Inventory[[#This Row],[Mdl Res Intercept]]*Inventory[[#This Row],[Res Adj ]],-2)</f>
        <v>257500</v>
      </c>
      <c r="BO360" s="25">
        <f>ROUND(Inventory[[#This Row],[25Det]]*Inventory[[#This Row],[Det/Nbhd Adj]],-2)</f>
        <v>0</v>
      </c>
      <c r="BP360" s="25">
        <f>Inventory[[#This Row],[Adjusted Res]]+Inventory[[#This Row],[Adj Det ]]</f>
        <v>257500</v>
      </c>
      <c r="BQ360" s="25">
        <f>ROUND((Inventory[[#This Row],[Mdl Land Intercept]]+Inventory[[#This Row],[Mdl LnAcres]])*Inventory[[#This Row],[Det/Nbhd Adj]],-2)</f>
        <v>30200</v>
      </c>
      <c r="BR360" s="25">
        <f>Inventory[[#This Row],[Adjusted Impr Total]]+Inventory[[#This Row],[Adjusted Land Total]]</f>
        <v>287700</v>
      </c>
      <c r="BS360" s="36">
        <f>IFERROR((Inventory[[#This Row],[Adjusted Impr Total]]-Inventory[[#This Row],[24Bldg]])/Inventory[[#This Row],[24Bldg]],0)</f>
        <v>0.13087395696091347</v>
      </c>
      <c r="BT360" s="36">
        <f>(Inventory[[#This Row],[Adjusted Land Total]]-Inventory[[#This Row],[24Lnd]])/Inventory[[#This Row],[24Lnd]]</f>
        <v>-0.40316205533596838</v>
      </c>
      <c r="BU360" s="36">
        <f>(Inventory[[#This Row],[Adjusted Total]]-Inventory[[#This Row],[24Final]])/Inventory[[#This Row],[24Final]]</f>
        <v>3.3776500179662237E-2</v>
      </c>
    </row>
    <row r="361" spans="1:73" x14ac:dyDescent="0.3">
      <c r="A361" s="25">
        <v>2025</v>
      </c>
      <c r="B361" s="26" t="s">
        <v>2053</v>
      </c>
      <c r="C361" s="26">
        <f>LN(Inventory[[#This Row],[Acres]])</f>
        <v>-1.6607312068216509</v>
      </c>
      <c r="D361" s="25">
        <v>0.19</v>
      </c>
      <c r="E361" s="31"/>
      <c r="F361" s="26" t="s">
        <v>537</v>
      </c>
      <c r="G361" s="26" t="s">
        <v>126</v>
      </c>
      <c r="H361" s="26" t="s">
        <v>349</v>
      </c>
      <c r="I361" s="26" t="s">
        <v>538</v>
      </c>
      <c r="J361" s="26" t="s">
        <v>539</v>
      </c>
      <c r="K361" s="26" t="s">
        <v>241</v>
      </c>
      <c r="L361" s="26" t="s">
        <v>351</v>
      </c>
      <c r="M361" s="26" t="s">
        <v>323</v>
      </c>
      <c r="N361" s="26">
        <v>60</v>
      </c>
      <c r="O361" s="26">
        <f>2024-Inventory[[#This Row],[YrBlt]]</f>
        <v>60</v>
      </c>
      <c r="P361" s="26">
        <f>2024-Inventory[[#This Row],[EffYr]]</f>
        <v>49</v>
      </c>
      <c r="Q361" s="25">
        <v>1964</v>
      </c>
      <c r="R361" s="25">
        <v>1975</v>
      </c>
      <c r="S361" s="25">
        <v>1008</v>
      </c>
      <c r="T361" s="27"/>
      <c r="U361" s="31"/>
      <c r="V361" s="31">
        <f>Inventory[[#This Row],[Bsmt]]-Inventory[[#This Row],[FnBsmt]]</f>
        <v>0</v>
      </c>
      <c r="W361" s="31"/>
      <c r="X361" s="27"/>
      <c r="Y361" s="27">
        <f>Inventory[[#This Row],[MainFn]]+Inventory[[#This Row],[UpprFn]]+Inventory[[#This Row],[FnBsmt]]+Inventory[[#This Row],[AddFn]]</f>
        <v>1008</v>
      </c>
      <c r="Z361" s="27">
        <v>1500</v>
      </c>
      <c r="AA361" s="25">
        <v>5</v>
      </c>
      <c r="AB361" s="32">
        <v>336</v>
      </c>
      <c r="AC361" s="27"/>
      <c r="AD361" s="27"/>
      <c r="AE361" s="27"/>
      <c r="AF361" s="27"/>
      <c r="AG361" s="27"/>
      <c r="AH361" s="27"/>
      <c r="AI361" s="25">
        <v>213153</v>
      </c>
      <c r="AJ361" s="25">
        <v>151339</v>
      </c>
      <c r="AK361" s="25">
        <v>0</v>
      </c>
      <c r="AL361" s="25">
        <v>267900</v>
      </c>
      <c r="AM361" s="25">
        <v>56600</v>
      </c>
      <c r="AN361" s="25">
        <v>211300</v>
      </c>
      <c r="AO361" s="25">
        <v>0</v>
      </c>
      <c r="AP361" s="25">
        <f>Lookups!$B$56*0</f>
        <v>0</v>
      </c>
      <c r="AQ361" s="25">
        <f>Lookups!$B$56*1</f>
        <v>89850.625589999996</v>
      </c>
      <c r="AR361" s="25">
        <f>Lookups!$B$57*Inventory[[#This Row],[LnAcres]]</f>
        <v>-52569.808201026557</v>
      </c>
      <c r="AS361" s="25">
        <f>VLOOKUP(Inventory[[#This Row],[Qlty]],Lookups!$A$62:$E$75,2,FALSE)</f>
        <v>21557.329055999999</v>
      </c>
      <c r="AT361" s="25">
        <f>VLOOKUP(Inventory[[#This Row],[Cnd]],Lookups!$A$76:$E$84,2,FALSE)</f>
        <v>160472.20319</v>
      </c>
      <c r="AU361" s="25">
        <f>Inventory[[#This Row],[EffAge]]*Lookups!$B$85</f>
        <v>-10929.2344245</v>
      </c>
      <c r="AV361" s="25">
        <f>Inventory[[#This Row],[MainFn]]*Lookups!$B$86</f>
        <v>49803.939236015998</v>
      </c>
      <c r="AW361" s="25">
        <f>Inventory[[#This Row],[UpprFn]]*Lookups!$B$87</f>
        <v>0</v>
      </c>
      <c r="AX361" s="25">
        <f>Inventory[[#This Row],[AddFn]]*Lookups!$B$88</f>
        <v>0</v>
      </c>
      <c r="AY361" s="25">
        <f>Inventory[[#This Row],[Bsmt]]*Lookups!$B$89</f>
        <v>0</v>
      </c>
      <c r="AZ361" s="25">
        <f>Inventory[[#This Row],[Fixtures]]*Lookups!$B$90</f>
        <v>18960.110526</v>
      </c>
      <c r="BA361" s="25">
        <f>Inventory[[#This Row],[WdDeck]]*Lookups!$B$91</f>
        <v>0</v>
      </c>
      <c r="BB361" s="25">
        <f>ROUND(Inventory[[#This Row],[25Det]],-2)</f>
        <v>0</v>
      </c>
      <c r="BC361" s="25">
        <f>ROUND(SUM(Inventory[[#This Row],[Mdl Qlty]:[Mdl WdDeck]])+Inventory[[#This Row],[Mdl Res Intercept]],-2)</f>
        <v>239900</v>
      </c>
      <c r="BD361" s="25">
        <f>ROUND(Inventory[[#This Row],[Mdl Land Intercept]]+Inventory[[#This Row],[Mdl LnAcres]],-2)</f>
        <v>37300</v>
      </c>
      <c r="BE361" s="25">
        <f>Inventory[[#This Row],[Unadj Res Value]]+Inventory[[#This Row],[Unadj Det Value]]+Inventory[[#This Row],[Unadj Land Value]]</f>
        <v>277200</v>
      </c>
      <c r="BF361" s="36">
        <f>(Inventory[[#This Row],[Unadj Total Value]]-Inventory[[#This Row],[24Final]])/Inventory[[#This Row],[24Final]]</f>
        <v>3.471444568868981E-2</v>
      </c>
      <c r="BG361" s="25">
        <f>VLOOKUP(Inventory[[#This Row],[Nbhd]],Lookups!$Q$2:$T$4,4,FALSE)</f>
        <v>0.99970000000000003</v>
      </c>
      <c r="BH361" s="25">
        <f>VLOOKUP(Inventory[[#This Row],[Qlty]],Lookups!$O$7:$R$21,4,FALSE)</f>
        <v>1.0067999999999999</v>
      </c>
      <c r="BI361" s="25">
        <f>VLOOKUP(Inventory[[#This Row],[Cnd]],Lookups!$T$7:$W$16,4,FALSE)</f>
        <v>0.99729999999999996</v>
      </c>
      <c r="BJ361" s="25">
        <f>VLOOKUP(Inventory[[#This Row],[LivArea Range]],Lookups!$T$25:$W$37,4,FALSE)</f>
        <v>1.0157</v>
      </c>
      <c r="BK361" s="25">
        <f>VLOOKUP(Inventory[[#This Row],[Decade]],Lookups!$O$25:$R$42,4,FALSE)</f>
        <v>0.98119999999999996</v>
      </c>
      <c r="BL361" s="25">
        <f>Inventory[[#This Row],[Nbhd Adj]]*0.95</f>
        <v>0.94971499999999998</v>
      </c>
      <c r="BM361" s="25">
        <f>Inventory[[#This Row],[Nbhd Adj]]*Inventory[[#This Row],[Quality Adj]]*Inventory[[#This Row],[Condition Adj]]*Inventory[[#This Row],[Living Area Adj]]*Inventory[[#This Row],[Decade Adj]]*0.95</f>
        <v>0.95035379937285946</v>
      </c>
      <c r="BN361" s="25">
        <f>ROUND(SUM(Inventory[[#This Row],[Mdl Qlty]:[Mdl WdDeck]])+Inventory[[#This Row],[Mdl Res Intercept]]*Inventory[[#This Row],[Res Adj ]],-2)</f>
        <v>239900</v>
      </c>
      <c r="BO361" s="25">
        <f>ROUND(Inventory[[#This Row],[25Det]]*Inventory[[#This Row],[Det/Nbhd Adj]],-2)</f>
        <v>0</v>
      </c>
      <c r="BP361" s="25">
        <f>Inventory[[#This Row],[Adjusted Res]]+Inventory[[#This Row],[Adj Det ]]</f>
        <v>239900</v>
      </c>
      <c r="BQ361" s="25">
        <f>ROUND((Inventory[[#This Row],[Mdl Land Intercept]]+Inventory[[#This Row],[Mdl LnAcres]])*Inventory[[#This Row],[Det/Nbhd Adj]],-2)</f>
        <v>35400</v>
      </c>
      <c r="BR361" s="25">
        <f>Inventory[[#This Row],[Adjusted Impr Total]]+Inventory[[#This Row],[Adjusted Land Total]]</f>
        <v>275300</v>
      </c>
      <c r="BS361" s="36">
        <f>IFERROR((Inventory[[#This Row],[Adjusted Impr Total]]-Inventory[[#This Row],[24Bldg]])/Inventory[[#This Row],[24Bldg]],0)</f>
        <v>0.13535257927117841</v>
      </c>
      <c r="BT361" s="36">
        <f>(Inventory[[#This Row],[Adjusted Land Total]]-Inventory[[#This Row],[24Lnd]])/Inventory[[#This Row],[24Lnd]]</f>
        <v>-0.37455830388692579</v>
      </c>
      <c r="BU361" s="36">
        <f>(Inventory[[#This Row],[Adjusted Total]]-Inventory[[#This Row],[24Final]])/Inventory[[#This Row],[24Final]]</f>
        <v>2.7622247107129527E-2</v>
      </c>
    </row>
    <row r="362" spans="1:73" x14ac:dyDescent="0.3">
      <c r="A362" s="25">
        <v>2025</v>
      </c>
      <c r="B362" s="26" t="s">
        <v>2436</v>
      </c>
      <c r="C362" s="26">
        <f>LN(Inventory[[#This Row],[Acres]])</f>
        <v>-1.5141277326297755</v>
      </c>
      <c r="D362" s="25">
        <v>0.22</v>
      </c>
      <c r="E362" s="25">
        <v>9800</v>
      </c>
      <c r="F362" s="26" t="s">
        <v>537</v>
      </c>
      <c r="G362" s="26" t="s">
        <v>126</v>
      </c>
      <c r="H362" s="26" t="s">
        <v>349</v>
      </c>
      <c r="I362" s="26" t="s">
        <v>538</v>
      </c>
      <c r="J362" s="26" t="s">
        <v>539</v>
      </c>
      <c r="K362" s="26" t="s">
        <v>241</v>
      </c>
      <c r="L362" s="26" t="s">
        <v>148</v>
      </c>
      <c r="M362" s="26" t="s">
        <v>323</v>
      </c>
      <c r="N362" s="26">
        <v>60</v>
      </c>
      <c r="O362" s="26">
        <f>2024-Inventory[[#This Row],[YrBlt]]</f>
        <v>60</v>
      </c>
      <c r="P362" s="26">
        <f>2024-Inventory[[#This Row],[EffYr]]</f>
        <v>49</v>
      </c>
      <c r="Q362" s="25">
        <v>1964</v>
      </c>
      <c r="R362" s="25">
        <v>1975</v>
      </c>
      <c r="S362" s="25">
        <v>1340</v>
      </c>
      <c r="T362" s="27"/>
      <c r="U362" s="25">
        <v>1340</v>
      </c>
      <c r="V362" s="25">
        <f>Inventory[[#This Row],[Bsmt]]-Inventory[[#This Row],[FnBsmt]]</f>
        <v>0</v>
      </c>
      <c r="W362" s="25">
        <v>1340</v>
      </c>
      <c r="X362" s="27"/>
      <c r="Y362" s="27">
        <f>Inventory[[#This Row],[MainFn]]+Inventory[[#This Row],[UpprFn]]+Inventory[[#This Row],[FnBsmt]]+Inventory[[#This Row],[AddFn]]</f>
        <v>2680</v>
      </c>
      <c r="Z362" s="27">
        <v>3000</v>
      </c>
      <c r="AA362" s="25">
        <v>11</v>
      </c>
      <c r="AB362" s="32">
        <v>520</v>
      </c>
      <c r="AC362" s="27"/>
      <c r="AD362" s="31"/>
      <c r="AE362" s="27"/>
      <c r="AF362" s="27"/>
      <c r="AG362" s="27"/>
      <c r="AH362" s="27"/>
      <c r="AI362" s="25">
        <v>495757</v>
      </c>
      <c r="AJ362" s="25">
        <v>351987</v>
      </c>
      <c r="AK362" s="25">
        <v>0</v>
      </c>
      <c r="AL362" s="25">
        <v>377600</v>
      </c>
      <c r="AM362" s="25">
        <v>61700</v>
      </c>
      <c r="AN362" s="25">
        <v>315900</v>
      </c>
      <c r="AO362" s="25">
        <v>0</v>
      </c>
      <c r="AP362" s="25">
        <f>Lookups!$B$56*0</f>
        <v>0</v>
      </c>
      <c r="AQ362" s="25">
        <f>Lookups!$B$56*1</f>
        <v>89850.625589999996</v>
      </c>
      <c r="AR362" s="25">
        <f>Lookups!$B$57*Inventory[[#This Row],[LnAcres]]</f>
        <v>-47929.131559187132</v>
      </c>
      <c r="AS362" s="25">
        <f>VLOOKUP(Inventory[[#This Row],[Qlty]],Lookups!$A$62:$E$75,2,FALSE)</f>
        <v>44121.038090000002</v>
      </c>
      <c r="AT362" s="25">
        <f>VLOOKUP(Inventory[[#This Row],[Cnd]],Lookups!$A$76:$E$84,2,FALSE)</f>
        <v>160472.20319</v>
      </c>
      <c r="AU362" s="25">
        <f>Inventory[[#This Row],[EffAge]]*Lookups!$B$85</f>
        <v>-10929.2344245</v>
      </c>
      <c r="AV362" s="25">
        <f>Inventory[[#This Row],[MainFn]]*Lookups!$B$86</f>
        <v>66207.617635179995</v>
      </c>
      <c r="AW362" s="25">
        <f>Inventory[[#This Row],[UpprFn]]*Lookups!$B$87</f>
        <v>0</v>
      </c>
      <c r="AX362" s="25">
        <f>Inventory[[#This Row],[AddFn]]*Lookups!$B$88</f>
        <v>0</v>
      </c>
      <c r="AY362" s="25">
        <f>Inventory[[#This Row],[Bsmt]]*Lookups!$B$89</f>
        <v>38969.739630979995</v>
      </c>
      <c r="AZ362" s="25">
        <f>Inventory[[#This Row],[Fixtures]]*Lookups!$B$90</f>
        <v>41712.243157199999</v>
      </c>
      <c r="BA362" s="25">
        <f>Inventory[[#This Row],[WdDeck]]*Lookups!$B$91</f>
        <v>0</v>
      </c>
      <c r="BB362" s="25">
        <f>ROUND(Inventory[[#This Row],[25Det]],-2)</f>
        <v>0</v>
      </c>
      <c r="BC362" s="25">
        <f>ROUND(SUM(Inventory[[#This Row],[Mdl Qlty]:[Mdl WdDeck]])+Inventory[[#This Row],[Mdl Res Intercept]],-2)</f>
        <v>340600</v>
      </c>
      <c r="BD362" s="25">
        <f>ROUND(Inventory[[#This Row],[Mdl Land Intercept]]+Inventory[[#This Row],[Mdl LnAcres]],-2)</f>
        <v>41900</v>
      </c>
      <c r="BE362" s="25">
        <f>Inventory[[#This Row],[Unadj Res Value]]+Inventory[[#This Row],[Unadj Det Value]]+Inventory[[#This Row],[Unadj Land Value]]</f>
        <v>382500</v>
      </c>
      <c r="BF362" s="36">
        <f>(Inventory[[#This Row],[Unadj Total Value]]-Inventory[[#This Row],[24Final]])/Inventory[[#This Row],[24Final]]</f>
        <v>1.2976694915254237E-2</v>
      </c>
      <c r="BG362" s="25">
        <f>VLOOKUP(Inventory[[#This Row],[Nbhd]],Lookups!$Q$2:$T$4,4,FALSE)</f>
        <v>0.99970000000000003</v>
      </c>
      <c r="BH362" s="25">
        <f>VLOOKUP(Inventory[[#This Row],[Qlty]],Lookups!$O$7:$R$21,4,FALSE)</f>
        <v>0.98050000000000004</v>
      </c>
      <c r="BI362" s="25">
        <f>VLOOKUP(Inventory[[#This Row],[Cnd]],Lookups!$T$7:$W$16,4,FALSE)</f>
        <v>0.99729999999999996</v>
      </c>
      <c r="BJ362" s="25">
        <f>VLOOKUP(Inventory[[#This Row],[LivArea Range]],Lookups!$T$25:$W$37,4,FALSE)</f>
        <v>0.96179999999999999</v>
      </c>
      <c r="BK362" s="25">
        <f>VLOOKUP(Inventory[[#This Row],[Decade]],Lookups!$O$25:$R$42,4,FALSE)</f>
        <v>0.98119999999999996</v>
      </c>
      <c r="BL362" s="25">
        <f>Inventory[[#This Row],[Nbhd Adj]]*0.95</f>
        <v>0.94971499999999998</v>
      </c>
      <c r="BM362" s="25">
        <f>Inventory[[#This Row],[Nbhd Adj]]*Inventory[[#This Row],[Quality Adj]]*Inventory[[#This Row],[Condition Adj]]*Inventory[[#This Row],[Living Area Adj]]*Inventory[[#This Row],[Decade Adj]]*0.95</f>
        <v>0.87641343549713913</v>
      </c>
      <c r="BN362" s="25">
        <f>ROUND(SUM(Inventory[[#This Row],[Mdl Qlty]:[Mdl WdDeck]])+Inventory[[#This Row],[Mdl Res Intercept]]*Inventory[[#This Row],[Res Adj ]],-2)</f>
        <v>340600</v>
      </c>
      <c r="BO362" s="25">
        <f>ROUND(Inventory[[#This Row],[25Det]]*Inventory[[#This Row],[Det/Nbhd Adj]],-2)</f>
        <v>0</v>
      </c>
      <c r="BP362" s="25">
        <f>Inventory[[#This Row],[Adjusted Res]]+Inventory[[#This Row],[Adj Det ]]</f>
        <v>340600</v>
      </c>
      <c r="BQ362" s="25">
        <f>ROUND((Inventory[[#This Row],[Mdl Land Intercept]]+Inventory[[#This Row],[Mdl LnAcres]])*Inventory[[#This Row],[Det/Nbhd Adj]],-2)</f>
        <v>39800</v>
      </c>
      <c r="BR362" s="25">
        <f>Inventory[[#This Row],[Adjusted Impr Total]]+Inventory[[#This Row],[Adjusted Land Total]]</f>
        <v>380400</v>
      </c>
      <c r="BS362" s="36">
        <f>IFERROR((Inventory[[#This Row],[Adjusted Impr Total]]-Inventory[[#This Row],[24Bldg]])/Inventory[[#This Row],[24Bldg]],0)</f>
        <v>7.8189300411522639E-2</v>
      </c>
      <c r="BT362" s="36">
        <f>(Inventory[[#This Row],[Adjusted Land Total]]-Inventory[[#This Row],[24Lnd]])/Inventory[[#This Row],[24Lnd]]</f>
        <v>-0.35494327390599678</v>
      </c>
      <c r="BU362" s="36">
        <f>(Inventory[[#This Row],[Adjusted Total]]-Inventory[[#This Row],[24Final]])/Inventory[[#This Row],[24Final]]</f>
        <v>7.4152542372881358E-3</v>
      </c>
    </row>
    <row r="363" spans="1:73" x14ac:dyDescent="0.3">
      <c r="A363" s="25">
        <v>2025</v>
      </c>
      <c r="B363" s="26" t="s">
        <v>1136</v>
      </c>
      <c r="C363" s="26">
        <f>LN(Inventory[[#This Row],[Acres]])</f>
        <v>-1.6094379124341003</v>
      </c>
      <c r="D363" s="25">
        <v>0.2</v>
      </c>
      <c r="E363" s="31"/>
      <c r="F363" s="26" t="s">
        <v>537</v>
      </c>
      <c r="G363" s="26" t="s">
        <v>126</v>
      </c>
      <c r="H363" s="26" t="s">
        <v>349</v>
      </c>
      <c r="I363" s="26" t="s">
        <v>538</v>
      </c>
      <c r="J363" s="26" t="s">
        <v>1137</v>
      </c>
      <c r="K363" s="26" t="s">
        <v>241</v>
      </c>
      <c r="L363" s="26" t="s">
        <v>148</v>
      </c>
      <c r="M363" s="26" t="s">
        <v>323</v>
      </c>
      <c r="N363" s="26">
        <v>60</v>
      </c>
      <c r="O363" s="26">
        <f>2024-Inventory[[#This Row],[YrBlt]]</f>
        <v>60</v>
      </c>
      <c r="P363" s="26">
        <f>2024-Inventory[[#This Row],[EffYr]]</f>
        <v>59</v>
      </c>
      <c r="Q363" s="25">
        <v>1964</v>
      </c>
      <c r="R363" s="25">
        <v>1965</v>
      </c>
      <c r="S363" s="25">
        <v>1760</v>
      </c>
      <c r="T363" s="27"/>
      <c r="U363" s="32">
        <v>1760</v>
      </c>
      <c r="V363" s="32">
        <f>Inventory[[#This Row],[Bsmt]]-Inventory[[#This Row],[FnBsmt]]</f>
        <v>0</v>
      </c>
      <c r="W363" s="32">
        <v>1760</v>
      </c>
      <c r="X363" s="27"/>
      <c r="Y363" s="27">
        <f>Inventory[[#This Row],[MainFn]]+Inventory[[#This Row],[UpprFn]]+Inventory[[#This Row],[FnBsmt]]+Inventory[[#This Row],[AddFn]]</f>
        <v>3520</v>
      </c>
      <c r="Z363" s="27">
        <v>4000</v>
      </c>
      <c r="AA363" s="25">
        <v>13</v>
      </c>
      <c r="AB363" s="32">
        <v>504</v>
      </c>
      <c r="AC363" s="27"/>
      <c r="AD363" s="27"/>
      <c r="AE363" s="27"/>
      <c r="AF363" s="27"/>
      <c r="AG363" s="27"/>
      <c r="AH363" s="27"/>
      <c r="AI363" s="25">
        <v>581567</v>
      </c>
      <c r="AJ363" s="25">
        <v>354756</v>
      </c>
      <c r="AK363" s="25">
        <v>0</v>
      </c>
      <c r="AL363" s="25">
        <v>414000</v>
      </c>
      <c r="AM363" s="25">
        <v>58400</v>
      </c>
      <c r="AN363" s="25">
        <v>355600</v>
      </c>
      <c r="AO363" s="25">
        <v>0</v>
      </c>
      <c r="AP363" s="25">
        <f>Lookups!$B$56*0</f>
        <v>0</v>
      </c>
      <c r="AQ363" s="25">
        <f>Lookups!$B$56*1</f>
        <v>89850.625589999996</v>
      </c>
      <c r="AR363" s="25">
        <f>Lookups!$B$57*Inventory[[#This Row],[LnAcres]]</f>
        <v>-50946.13867709865</v>
      </c>
      <c r="AS363" s="25">
        <f>VLOOKUP(Inventory[[#This Row],[Qlty]],Lookups!$A$62:$E$75,2,FALSE)</f>
        <v>44121.038090000002</v>
      </c>
      <c r="AT363" s="25">
        <f>VLOOKUP(Inventory[[#This Row],[Cnd]],Lookups!$A$76:$E$84,2,FALSE)</f>
        <v>160472.20319</v>
      </c>
      <c r="AU363" s="25">
        <f>Inventory[[#This Row],[EffAge]]*Lookups!$B$85</f>
        <v>-13159.6904295</v>
      </c>
      <c r="AV363" s="25">
        <f>Inventory[[#This Row],[MainFn]]*Lookups!$B$86</f>
        <v>86959.258983520005</v>
      </c>
      <c r="AW363" s="25">
        <f>Inventory[[#This Row],[UpprFn]]*Lookups!$B$87</f>
        <v>0</v>
      </c>
      <c r="AX363" s="25">
        <f>Inventory[[#This Row],[AddFn]]*Lookups!$B$88</f>
        <v>0</v>
      </c>
      <c r="AY363" s="25">
        <f>Inventory[[#This Row],[Bsmt]]*Lookups!$B$89</f>
        <v>51184.135634719998</v>
      </c>
      <c r="AZ363" s="25">
        <f>Inventory[[#This Row],[Fixtures]]*Lookups!$B$90</f>
        <v>49296.287367600002</v>
      </c>
      <c r="BA363" s="25">
        <f>Inventory[[#This Row],[WdDeck]]*Lookups!$B$91</f>
        <v>0</v>
      </c>
      <c r="BB363" s="25">
        <f>ROUND(Inventory[[#This Row],[25Det]],-2)</f>
        <v>0</v>
      </c>
      <c r="BC363" s="25">
        <f>ROUND(SUM(Inventory[[#This Row],[Mdl Qlty]:[Mdl WdDeck]])+Inventory[[#This Row],[Mdl Res Intercept]],-2)</f>
        <v>378900</v>
      </c>
      <c r="BD363" s="25">
        <f>ROUND(Inventory[[#This Row],[Mdl Land Intercept]]+Inventory[[#This Row],[Mdl LnAcres]],-2)</f>
        <v>38900</v>
      </c>
      <c r="BE363" s="25">
        <f>Inventory[[#This Row],[Unadj Res Value]]+Inventory[[#This Row],[Unadj Det Value]]+Inventory[[#This Row],[Unadj Land Value]]</f>
        <v>417800</v>
      </c>
      <c r="BF363" s="36">
        <f>(Inventory[[#This Row],[Unadj Total Value]]-Inventory[[#This Row],[24Final]])/Inventory[[#This Row],[24Final]]</f>
        <v>9.1787439613526568E-3</v>
      </c>
      <c r="BG363" s="25">
        <f>VLOOKUP(Inventory[[#This Row],[Nbhd]],Lookups!$Q$2:$T$4,4,FALSE)</f>
        <v>0.99970000000000003</v>
      </c>
      <c r="BH363" s="25">
        <f>VLOOKUP(Inventory[[#This Row],[Qlty]],Lookups!$O$7:$R$21,4,FALSE)</f>
        <v>0.98050000000000004</v>
      </c>
      <c r="BI363" s="25">
        <f>VLOOKUP(Inventory[[#This Row],[Cnd]],Lookups!$T$7:$W$16,4,FALSE)</f>
        <v>0.99729999999999996</v>
      </c>
      <c r="BJ363" s="25">
        <f>VLOOKUP(Inventory[[#This Row],[LivArea Range]],Lookups!$T$25:$W$37,4,FALSE)</f>
        <v>0.94579999999999997</v>
      </c>
      <c r="BK363" s="25">
        <f>VLOOKUP(Inventory[[#This Row],[Decade]],Lookups!$O$25:$R$42,4,FALSE)</f>
        <v>0.98119999999999996</v>
      </c>
      <c r="BL363" s="25">
        <f>Inventory[[#This Row],[Nbhd Adj]]*0.95</f>
        <v>0.94971499999999998</v>
      </c>
      <c r="BM363" s="25">
        <f>Inventory[[#This Row],[Nbhd Adj]]*Inventory[[#This Row],[Quality Adj]]*Inventory[[#This Row],[Condition Adj]]*Inventory[[#This Row],[Living Area Adj]]*Inventory[[#This Row],[Decade Adj]]*0.95</f>
        <v>0.8618338815691351</v>
      </c>
      <c r="BN363" s="25">
        <f>ROUND(SUM(Inventory[[#This Row],[Mdl Qlty]:[Mdl WdDeck]])+Inventory[[#This Row],[Mdl Res Intercept]]*Inventory[[#This Row],[Res Adj ]],-2)</f>
        <v>378900</v>
      </c>
      <c r="BO363" s="25">
        <f>ROUND(Inventory[[#This Row],[25Det]]*Inventory[[#This Row],[Det/Nbhd Adj]],-2)</f>
        <v>0</v>
      </c>
      <c r="BP363" s="25">
        <f>Inventory[[#This Row],[Adjusted Res]]+Inventory[[#This Row],[Adj Det ]]</f>
        <v>378900</v>
      </c>
      <c r="BQ363" s="25">
        <f>ROUND((Inventory[[#This Row],[Mdl Land Intercept]]+Inventory[[#This Row],[Mdl LnAcres]])*Inventory[[#This Row],[Det/Nbhd Adj]],-2)</f>
        <v>36900</v>
      </c>
      <c r="BR363" s="25">
        <f>Inventory[[#This Row],[Adjusted Impr Total]]+Inventory[[#This Row],[Adjusted Land Total]]</f>
        <v>415800</v>
      </c>
      <c r="BS363" s="36">
        <f>IFERROR((Inventory[[#This Row],[Adjusted Impr Total]]-Inventory[[#This Row],[24Bldg]])/Inventory[[#This Row],[24Bldg]],0)</f>
        <v>6.5523059617547813E-2</v>
      </c>
      <c r="BT363" s="36">
        <f>(Inventory[[#This Row],[Adjusted Land Total]]-Inventory[[#This Row],[24Lnd]])/Inventory[[#This Row],[24Lnd]]</f>
        <v>-0.36815068493150682</v>
      </c>
      <c r="BU363" s="36">
        <f>(Inventory[[#This Row],[Adjusted Total]]-Inventory[[#This Row],[24Final]])/Inventory[[#This Row],[24Final]]</f>
        <v>4.3478260869565218E-3</v>
      </c>
    </row>
    <row r="364" spans="1:73" x14ac:dyDescent="0.3">
      <c r="A364" s="25">
        <v>2025</v>
      </c>
      <c r="B364" s="26" t="s">
        <v>745</v>
      </c>
      <c r="C364" s="26">
        <f>LN(Inventory[[#This Row],[Acres]])</f>
        <v>-0.94160853985844495</v>
      </c>
      <c r="D364" s="25">
        <v>0.39</v>
      </c>
      <c r="E364" s="25">
        <v>16875</v>
      </c>
      <c r="F364" s="26" t="s">
        <v>537</v>
      </c>
      <c r="G364" s="26" t="s">
        <v>126</v>
      </c>
      <c r="H364" s="26" t="s">
        <v>349</v>
      </c>
      <c r="I364" s="26" t="s">
        <v>538</v>
      </c>
      <c r="J364" s="26" t="s">
        <v>539</v>
      </c>
      <c r="K364" s="26" t="s">
        <v>241</v>
      </c>
      <c r="L364" s="26" t="s">
        <v>95</v>
      </c>
      <c r="M364" s="26" t="s">
        <v>303</v>
      </c>
      <c r="N364" s="26">
        <v>60</v>
      </c>
      <c r="O364" s="26">
        <f>2024-Inventory[[#This Row],[YrBlt]]</f>
        <v>60</v>
      </c>
      <c r="P364" s="26">
        <f>2024-Inventory[[#This Row],[EffYr]]</f>
        <v>49</v>
      </c>
      <c r="Q364" s="25">
        <v>1964</v>
      </c>
      <c r="R364" s="25">
        <v>1975</v>
      </c>
      <c r="S364" s="25">
        <v>2598</v>
      </c>
      <c r="T364" s="27"/>
      <c r="U364" s="25">
        <v>1274</v>
      </c>
      <c r="V364" s="25">
        <f>Inventory[[#This Row],[Bsmt]]-Inventory[[#This Row],[FnBsmt]]</f>
        <v>374</v>
      </c>
      <c r="W364" s="25">
        <v>900</v>
      </c>
      <c r="X364" s="27"/>
      <c r="Y364" s="27">
        <f>Inventory[[#This Row],[MainFn]]+Inventory[[#This Row],[UpprFn]]+Inventory[[#This Row],[FnBsmt]]+Inventory[[#This Row],[AddFn]]</f>
        <v>3498</v>
      </c>
      <c r="Z364" s="27">
        <v>3500</v>
      </c>
      <c r="AA364" s="25">
        <v>11</v>
      </c>
      <c r="AB364" s="32">
        <v>600</v>
      </c>
      <c r="AC364" s="27"/>
      <c r="AD364" s="27"/>
      <c r="AE364" s="27"/>
      <c r="AF364" s="27"/>
      <c r="AG364" s="27"/>
      <c r="AH364" s="27"/>
      <c r="AI364" s="25">
        <v>715400</v>
      </c>
      <c r="AJ364" s="25">
        <v>529396</v>
      </c>
      <c r="AK364" s="25">
        <v>0</v>
      </c>
      <c r="AL364" s="25">
        <v>531100</v>
      </c>
      <c r="AM364" s="25">
        <v>81700</v>
      </c>
      <c r="AN364" s="25">
        <v>449400</v>
      </c>
      <c r="AO364" s="25">
        <v>0</v>
      </c>
      <c r="AP364" s="25">
        <f>Lookups!$B$56*0</f>
        <v>0</v>
      </c>
      <c r="AQ364" s="25">
        <f>Lookups!$B$56*1</f>
        <v>89850.625589999996</v>
      </c>
      <c r="AR364" s="25">
        <f>Lookups!$B$57*Inventory[[#This Row],[LnAcres]]</f>
        <v>-29806.256507663158</v>
      </c>
      <c r="AS364" s="25">
        <f>VLOOKUP(Inventory[[#This Row],[Qlty]],Lookups!$A$62:$E$75,2,FALSE)</f>
        <v>74268.409664999999</v>
      </c>
      <c r="AT364" s="25">
        <f>VLOOKUP(Inventory[[#This Row],[Cnd]],Lookups!$A$76:$E$84,2,FALSE)</f>
        <v>197752.34721000001</v>
      </c>
      <c r="AU364" s="25">
        <f>Inventory[[#This Row],[EffAge]]*Lookups!$B$85</f>
        <v>-10929.2344245</v>
      </c>
      <c r="AV364" s="25">
        <f>Inventory[[#This Row],[MainFn]]*Lookups!$B$86</f>
        <v>128363.724340446</v>
      </c>
      <c r="AW364" s="25">
        <f>Inventory[[#This Row],[UpprFn]]*Lookups!$B$87</f>
        <v>0</v>
      </c>
      <c r="AX364" s="25">
        <f>Inventory[[#This Row],[AddFn]]*Lookups!$B$88</f>
        <v>0</v>
      </c>
      <c r="AY364" s="25">
        <f>Inventory[[#This Row],[Bsmt]]*Lookups!$B$89</f>
        <v>37050.334544678</v>
      </c>
      <c r="AZ364" s="25">
        <f>Inventory[[#This Row],[Fixtures]]*Lookups!$B$90</f>
        <v>41712.243157199999</v>
      </c>
      <c r="BA364" s="25">
        <f>Inventory[[#This Row],[WdDeck]]*Lookups!$B$91</f>
        <v>0</v>
      </c>
      <c r="BB364" s="25">
        <f>ROUND(Inventory[[#This Row],[25Det]],-2)</f>
        <v>0</v>
      </c>
      <c r="BC364" s="25">
        <f>ROUND(SUM(Inventory[[#This Row],[Mdl Qlty]:[Mdl WdDeck]])+Inventory[[#This Row],[Mdl Res Intercept]],-2)</f>
        <v>468200</v>
      </c>
      <c r="BD364" s="25">
        <f>ROUND(Inventory[[#This Row],[Mdl Land Intercept]]+Inventory[[#This Row],[Mdl LnAcres]],-2)</f>
        <v>60000</v>
      </c>
      <c r="BE364" s="25">
        <f>Inventory[[#This Row],[Unadj Res Value]]+Inventory[[#This Row],[Unadj Det Value]]+Inventory[[#This Row],[Unadj Land Value]]</f>
        <v>528200</v>
      </c>
      <c r="BF364" s="36">
        <f>(Inventory[[#This Row],[Unadj Total Value]]-Inventory[[#This Row],[24Final]])/Inventory[[#This Row],[24Final]]</f>
        <v>-5.4603652796083599E-3</v>
      </c>
      <c r="BG364" s="25">
        <f>VLOOKUP(Inventory[[#This Row],[Nbhd]],Lookups!$Q$2:$T$4,4,FALSE)</f>
        <v>0.99970000000000003</v>
      </c>
      <c r="BH364" s="25">
        <f>VLOOKUP(Inventory[[#This Row],[Qlty]],Lookups!$O$7:$R$21,4,FALSE)</f>
        <v>0.98380000000000001</v>
      </c>
      <c r="BI364" s="25">
        <f>VLOOKUP(Inventory[[#This Row],[Cnd]],Lookups!$T$7:$W$16,4,FALSE)</f>
        <v>0.99650000000000005</v>
      </c>
      <c r="BJ364" s="25">
        <f>VLOOKUP(Inventory[[#This Row],[LivArea Range]],Lookups!$T$25:$W$37,4,FALSE)</f>
        <v>1.0126999999999999</v>
      </c>
      <c r="BK364" s="25">
        <f>VLOOKUP(Inventory[[#This Row],[Decade]],Lookups!$O$25:$R$42,4,FALSE)</f>
        <v>0.98119999999999996</v>
      </c>
      <c r="BL364" s="25">
        <f>Inventory[[#This Row],[Nbhd Adj]]*0.95</f>
        <v>0.94971499999999998</v>
      </c>
      <c r="BM364" s="25">
        <f>Inventory[[#This Row],[Nbhd Adj]]*Inventory[[#This Row],[Quality Adj]]*Inventory[[#This Row],[Condition Adj]]*Inventory[[#This Row],[Living Area Adj]]*Inventory[[#This Row],[Decade Adj]]*0.95</f>
        <v>0.92515770085665561</v>
      </c>
      <c r="BN364" s="25">
        <f>ROUND(SUM(Inventory[[#This Row],[Mdl Qlty]:[Mdl WdDeck]])+Inventory[[#This Row],[Mdl Res Intercept]]*Inventory[[#This Row],[Res Adj ]],-2)</f>
        <v>468200</v>
      </c>
      <c r="BO364" s="25">
        <f>ROUND(Inventory[[#This Row],[25Det]]*Inventory[[#This Row],[Det/Nbhd Adj]],-2)</f>
        <v>0</v>
      </c>
      <c r="BP364" s="25">
        <f>Inventory[[#This Row],[Adjusted Res]]+Inventory[[#This Row],[Adj Det ]]</f>
        <v>468200</v>
      </c>
      <c r="BQ364" s="25">
        <f>ROUND((Inventory[[#This Row],[Mdl Land Intercept]]+Inventory[[#This Row],[Mdl LnAcres]])*Inventory[[#This Row],[Det/Nbhd Adj]],-2)</f>
        <v>57000</v>
      </c>
      <c r="BR364" s="25">
        <f>Inventory[[#This Row],[Adjusted Impr Total]]+Inventory[[#This Row],[Adjusted Land Total]]</f>
        <v>525200</v>
      </c>
      <c r="BS364" s="36">
        <f>IFERROR((Inventory[[#This Row],[Adjusted Impr Total]]-Inventory[[#This Row],[24Bldg]])/Inventory[[#This Row],[24Bldg]],0)</f>
        <v>4.1833555852247441E-2</v>
      </c>
      <c r="BT364" s="36">
        <f>(Inventory[[#This Row],[Adjusted Land Total]]-Inventory[[#This Row],[24Lnd]])/Inventory[[#This Row],[24Lnd]]</f>
        <v>-0.30232558139534882</v>
      </c>
      <c r="BU364" s="36">
        <f>(Inventory[[#This Row],[Adjusted Total]]-Inventory[[#This Row],[24Final]])/Inventory[[#This Row],[24Final]]</f>
        <v>-1.110901901713425E-2</v>
      </c>
    </row>
    <row r="365" spans="1:73" x14ac:dyDescent="0.3">
      <c r="A365" s="25">
        <v>2025</v>
      </c>
      <c r="B365" s="26" t="s">
        <v>720</v>
      </c>
      <c r="C365" s="26">
        <f>LN(Inventory[[#This Row],[Acres]])</f>
        <v>-0.94160853985844495</v>
      </c>
      <c r="D365" s="25">
        <v>0.39</v>
      </c>
      <c r="E365" s="25">
        <v>16785</v>
      </c>
      <c r="F365" s="26" t="s">
        <v>537</v>
      </c>
      <c r="G365" s="26" t="s">
        <v>126</v>
      </c>
      <c r="H365" s="26" t="s">
        <v>349</v>
      </c>
      <c r="I365" s="26" t="s">
        <v>538</v>
      </c>
      <c r="J365" s="26" t="s">
        <v>539</v>
      </c>
      <c r="K365" s="26" t="s">
        <v>241</v>
      </c>
      <c r="L365" s="26" t="s">
        <v>95</v>
      </c>
      <c r="M365" s="26" t="s">
        <v>303</v>
      </c>
      <c r="N365" s="26">
        <v>60</v>
      </c>
      <c r="O365" s="26">
        <f>2024-Inventory[[#This Row],[YrBlt]]</f>
        <v>60</v>
      </c>
      <c r="P365" s="26">
        <f>2024-Inventory[[#This Row],[EffYr]]</f>
        <v>49</v>
      </c>
      <c r="Q365" s="25">
        <v>1964</v>
      </c>
      <c r="R365" s="25">
        <v>1975</v>
      </c>
      <c r="S365" s="25">
        <v>1948</v>
      </c>
      <c r="T365" s="27"/>
      <c r="U365" s="31"/>
      <c r="V365" s="31">
        <f>Inventory[[#This Row],[Bsmt]]-Inventory[[#This Row],[FnBsmt]]</f>
        <v>0</v>
      </c>
      <c r="W365" s="31"/>
      <c r="X365" s="27"/>
      <c r="Y365" s="27">
        <f>Inventory[[#This Row],[MainFn]]+Inventory[[#This Row],[UpprFn]]+Inventory[[#This Row],[FnBsmt]]+Inventory[[#This Row],[AddFn]]</f>
        <v>1948</v>
      </c>
      <c r="Z365" s="27">
        <v>2000</v>
      </c>
      <c r="AA365" s="25">
        <v>11</v>
      </c>
      <c r="AB365" s="32">
        <v>320</v>
      </c>
      <c r="AC365" s="27"/>
      <c r="AD365" s="27"/>
      <c r="AE365" s="27"/>
      <c r="AF365" s="27"/>
      <c r="AG365" s="27"/>
      <c r="AH365" s="27"/>
      <c r="AI365" s="25">
        <v>504485</v>
      </c>
      <c r="AJ365" s="25">
        <v>373319</v>
      </c>
      <c r="AK365" s="25">
        <v>41773</v>
      </c>
      <c r="AL365" s="25">
        <v>505400</v>
      </c>
      <c r="AM365" s="25">
        <v>81700</v>
      </c>
      <c r="AN365" s="25">
        <v>423700</v>
      </c>
      <c r="AO365" s="25">
        <v>0</v>
      </c>
      <c r="AP365" s="25">
        <f>Lookups!$B$56*0</f>
        <v>0</v>
      </c>
      <c r="AQ365" s="25">
        <f>Lookups!$B$56*1</f>
        <v>89850.625589999996</v>
      </c>
      <c r="AR365" s="25">
        <f>Lookups!$B$57*Inventory[[#This Row],[LnAcres]]</f>
        <v>-29806.256507663158</v>
      </c>
      <c r="AS365" s="25">
        <f>VLOOKUP(Inventory[[#This Row],[Qlty]],Lookups!$A$62:$E$75,2,FALSE)</f>
        <v>74268.409664999999</v>
      </c>
      <c r="AT365" s="25">
        <f>VLOOKUP(Inventory[[#This Row],[Cnd]],Lookups!$A$76:$E$84,2,FALSE)</f>
        <v>197752.34721000001</v>
      </c>
      <c r="AU365" s="25">
        <f>Inventory[[#This Row],[EffAge]]*Lookups!$B$85</f>
        <v>-10929.2344245</v>
      </c>
      <c r="AV365" s="25">
        <f>Inventory[[#This Row],[MainFn]]*Lookups!$B$86</f>
        <v>96248.088920395996</v>
      </c>
      <c r="AW365" s="25">
        <f>Inventory[[#This Row],[UpprFn]]*Lookups!$B$87</f>
        <v>0</v>
      </c>
      <c r="AX365" s="25">
        <f>Inventory[[#This Row],[AddFn]]*Lookups!$B$88</f>
        <v>0</v>
      </c>
      <c r="AY365" s="25">
        <f>Inventory[[#This Row],[Bsmt]]*Lookups!$B$89</f>
        <v>0</v>
      </c>
      <c r="AZ365" s="25">
        <f>Inventory[[#This Row],[Fixtures]]*Lookups!$B$90</f>
        <v>41712.243157199999</v>
      </c>
      <c r="BA365" s="25">
        <f>Inventory[[#This Row],[WdDeck]]*Lookups!$B$91</f>
        <v>0</v>
      </c>
      <c r="BB365" s="25">
        <f>ROUND(Inventory[[#This Row],[25Det]],-2)</f>
        <v>41800</v>
      </c>
      <c r="BC365" s="25">
        <f>ROUND(SUM(Inventory[[#This Row],[Mdl Qlty]:[Mdl WdDeck]])+Inventory[[#This Row],[Mdl Res Intercept]],-2)</f>
        <v>399100</v>
      </c>
      <c r="BD365" s="25">
        <f>ROUND(Inventory[[#This Row],[Mdl Land Intercept]]+Inventory[[#This Row],[Mdl LnAcres]],-2)</f>
        <v>60000</v>
      </c>
      <c r="BE365" s="25">
        <f>Inventory[[#This Row],[Unadj Res Value]]+Inventory[[#This Row],[Unadj Det Value]]+Inventory[[#This Row],[Unadj Land Value]]</f>
        <v>500900</v>
      </c>
      <c r="BF365" s="36">
        <f>(Inventory[[#This Row],[Unadj Total Value]]-Inventory[[#This Row],[24Final]])/Inventory[[#This Row],[24Final]]</f>
        <v>-8.9038385437277406E-3</v>
      </c>
      <c r="BG365" s="25">
        <f>VLOOKUP(Inventory[[#This Row],[Nbhd]],Lookups!$Q$2:$T$4,4,FALSE)</f>
        <v>0.99970000000000003</v>
      </c>
      <c r="BH365" s="25">
        <f>VLOOKUP(Inventory[[#This Row],[Qlty]],Lookups!$O$7:$R$21,4,FALSE)</f>
        <v>0.98380000000000001</v>
      </c>
      <c r="BI365" s="25">
        <f>VLOOKUP(Inventory[[#This Row],[Cnd]],Lookups!$T$7:$W$16,4,FALSE)</f>
        <v>0.99650000000000005</v>
      </c>
      <c r="BJ365" s="25">
        <f>VLOOKUP(Inventory[[#This Row],[LivArea Range]],Lookups!$T$25:$W$37,4,FALSE)</f>
        <v>1.0093000000000001</v>
      </c>
      <c r="BK365" s="25">
        <f>VLOOKUP(Inventory[[#This Row],[Decade]],Lookups!$O$25:$R$42,4,FALSE)</f>
        <v>0.98119999999999996</v>
      </c>
      <c r="BL365" s="25">
        <f>Inventory[[#This Row],[Nbhd Adj]]*0.95</f>
        <v>0.94971499999999998</v>
      </c>
      <c r="BM365" s="25">
        <f>Inventory[[#This Row],[Nbhd Adj]]*Inventory[[#This Row],[Quality Adj]]*Inventory[[#This Row],[Condition Adj]]*Inventory[[#This Row],[Living Area Adj]]*Inventory[[#This Row],[Decade Adj]]*0.95</f>
        <v>0.92205161200219488</v>
      </c>
      <c r="BN365" s="25">
        <f>ROUND(SUM(Inventory[[#This Row],[Mdl Qlty]:[Mdl WdDeck]])+Inventory[[#This Row],[Mdl Res Intercept]]*Inventory[[#This Row],[Res Adj ]],-2)</f>
        <v>399100</v>
      </c>
      <c r="BO365" s="25">
        <f>ROUND(Inventory[[#This Row],[25Det]]*Inventory[[#This Row],[Det/Nbhd Adj]],-2)</f>
        <v>39700</v>
      </c>
      <c r="BP365" s="25">
        <f>Inventory[[#This Row],[Adjusted Res]]+Inventory[[#This Row],[Adj Det ]]</f>
        <v>438800</v>
      </c>
      <c r="BQ365" s="25">
        <f>ROUND((Inventory[[#This Row],[Mdl Land Intercept]]+Inventory[[#This Row],[Mdl LnAcres]])*Inventory[[#This Row],[Det/Nbhd Adj]],-2)</f>
        <v>57000</v>
      </c>
      <c r="BR365" s="25">
        <f>Inventory[[#This Row],[Adjusted Impr Total]]+Inventory[[#This Row],[Adjusted Land Total]]</f>
        <v>495800</v>
      </c>
      <c r="BS365" s="36">
        <f>IFERROR((Inventory[[#This Row],[Adjusted Impr Total]]-Inventory[[#This Row],[24Bldg]])/Inventory[[#This Row],[24Bldg]],0)</f>
        <v>3.5638423412792067E-2</v>
      </c>
      <c r="BT365" s="36">
        <f>(Inventory[[#This Row],[Adjusted Land Total]]-Inventory[[#This Row],[24Lnd]])/Inventory[[#This Row],[24Lnd]]</f>
        <v>-0.30232558139534882</v>
      </c>
      <c r="BU365" s="36">
        <f>(Inventory[[#This Row],[Adjusted Total]]-Inventory[[#This Row],[24Final]])/Inventory[[#This Row],[24Final]]</f>
        <v>-1.8994855559952513E-2</v>
      </c>
    </row>
    <row r="366" spans="1:73" x14ac:dyDescent="0.3">
      <c r="A366" s="25">
        <v>2025</v>
      </c>
      <c r="B366" s="26" t="s">
        <v>629</v>
      </c>
      <c r="C366" s="26">
        <f>LN(Inventory[[#This Row],[Acres]])</f>
        <v>-1.5606477482646683</v>
      </c>
      <c r="D366" s="25">
        <v>0.21</v>
      </c>
      <c r="E366" s="25">
        <v>9176</v>
      </c>
      <c r="F366" s="26" t="s">
        <v>537</v>
      </c>
      <c r="G366" s="26" t="s">
        <v>126</v>
      </c>
      <c r="H366" s="26" t="s">
        <v>349</v>
      </c>
      <c r="I366" s="26" t="s">
        <v>538</v>
      </c>
      <c r="J366" s="26" t="s">
        <v>539</v>
      </c>
      <c r="K366" s="26" t="s">
        <v>241</v>
      </c>
      <c r="L366" s="26" t="s">
        <v>95</v>
      </c>
      <c r="M366" s="26" t="s">
        <v>323</v>
      </c>
      <c r="N366" s="26">
        <v>60</v>
      </c>
      <c r="O366" s="26">
        <f>2024-Inventory[[#This Row],[YrBlt]]</f>
        <v>60</v>
      </c>
      <c r="P366" s="26">
        <f>2024-Inventory[[#This Row],[EffYr]]</f>
        <v>49</v>
      </c>
      <c r="Q366" s="25">
        <v>1964</v>
      </c>
      <c r="R366" s="25">
        <v>1975</v>
      </c>
      <c r="S366" s="25">
        <v>1606</v>
      </c>
      <c r="T366" s="31"/>
      <c r="U366" s="25">
        <v>535</v>
      </c>
      <c r="V366" s="25">
        <f>Inventory[[#This Row],[Bsmt]]-Inventory[[#This Row],[FnBsmt]]</f>
        <v>0</v>
      </c>
      <c r="W366" s="25">
        <v>535</v>
      </c>
      <c r="X366" s="27"/>
      <c r="Y366" s="27">
        <f>Inventory[[#This Row],[MainFn]]+Inventory[[#This Row],[UpprFn]]+Inventory[[#This Row],[FnBsmt]]+Inventory[[#This Row],[AddFn]]</f>
        <v>2141</v>
      </c>
      <c r="Z366" s="27">
        <v>2500</v>
      </c>
      <c r="AA366" s="25">
        <v>10</v>
      </c>
      <c r="AB366" s="32">
        <v>544</v>
      </c>
      <c r="AC366" s="27"/>
      <c r="AD366" s="27"/>
      <c r="AE366" s="27"/>
      <c r="AF366" s="27"/>
      <c r="AG366" s="27"/>
      <c r="AH366" s="27"/>
      <c r="AI366" s="25">
        <v>538211</v>
      </c>
      <c r="AJ366" s="25">
        <v>392894</v>
      </c>
      <c r="AK366" s="25">
        <v>0</v>
      </c>
      <c r="AL366" s="25">
        <v>413400</v>
      </c>
      <c r="AM366" s="25">
        <v>60100</v>
      </c>
      <c r="AN366" s="25">
        <v>353300</v>
      </c>
      <c r="AO366" s="25">
        <v>0</v>
      </c>
      <c r="AP366" s="25">
        <f>Lookups!$B$56*0</f>
        <v>0</v>
      </c>
      <c r="AQ366" s="25">
        <f>Lookups!$B$56*1</f>
        <v>89850.625589999996</v>
      </c>
      <c r="AR366" s="25">
        <f>Lookups!$B$57*Inventory[[#This Row],[LnAcres]]</f>
        <v>-49401.70477837498</v>
      </c>
      <c r="AS366" s="25">
        <f>VLOOKUP(Inventory[[#This Row],[Qlty]],Lookups!$A$62:$E$75,2,FALSE)</f>
        <v>74268.409664999999</v>
      </c>
      <c r="AT366" s="25">
        <f>VLOOKUP(Inventory[[#This Row],[Cnd]],Lookups!$A$76:$E$84,2,FALSE)</f>
        <v>160472.20319</v>
      </c>
      <c r="AU366" s="25">
        <f>Inventory[[#This Row],[EffAge]]*Lookups!$B$85</f>
        <v>-10929.2344245</v>
      </c>
      <c r="AV366" s="25">
        <f>Inventory[[#This Row],[MainFn]]*Lookups!$B$86</f>
        <v>79350.323822462</v>
      </c>
      <c r="AW366" s="25">
        <f>Inventory[[#This Row],[UpprFn]]*Lookups!$B$87</f>
        <v>0</v>
      </c>
      <c r="AX366" s="25">
        <f>Inventory[[#This Row],[AddFn]]*Lookups!$B$88</f>
        <v>0</v>
      </c>
      <c r="AY366" s="25">
        <f>Inventory[[#This Row],[Bsmt]]*Lookups!$B$89</f>
        <v>15558.813957144999</v>
      </c>
      <c r="AZ366" s="25">
        <f>Inventory[[#This Row],[Fixtures]]*Lookups!$B$90</f>
        <v>37920.221052000001</v>
      </c>
      <c r="BA366" s="25">
        <f>Inventory[[#This Row],[WdDeck]]*Lookups!$B$91</f>
        <v>0</v>
      </c>
      <c r="BB366" s="25">
        <f>ROUND(Inventory[[#This Row],[25Det]],-2)</f>
        <v>0</v>
      </c>
      <c r="BC366" s="25">
        <f>ROUND(SUM(Inventory[[#This Row],[Mdl Qlty]:[Mdl WdDeck]])+Inventory[[#This Row],[Mdl Res Intercept]],-2)</f>
        <v>356600</v>
      </c>
      <c r="BD366" s="25">
        <f>ROUND(Inventory[[#This Row],[Mdl Land Intercept]]+Inventory[[#This Row],[Mdl LnAcres]],-2)</f>
        <v>40400</v>
      </c>
      <c r="BE366" s="25">
        <f>Inventory[[#This Row],[Unadj Res Value]]+Inventory[[#This Row],[Unadj Det Value]]+Inventory[[#This Row],[Unadj Land Value]]</f>
        <v>397000</v>
      </c>
      <c r="BF366" s="36">
        <f>(Inventory[[#This Row],[Unadj Total Value]]-Inventory[[#This Row],[24Final]])/Inventory[[#This Row],[24Final]]</f>
        <v>-3.9671020803096278E-2</v>
      </c>
      <c r="BG366" s="25">
        <f>VLOOKUP(Inventory[[#This Row],[Nbhd]],Lookups!$Q$2:$T$4,4,FALSE)</f>
        <v>0.99970000000000003</v>
      </c>
      <c r="BH366" s="25">
        <f>VLOOKUP(Inventory[[#This Row],[Qlty]],Lookups!$O$7:$R$21,4,FALSE)</f>
        <v>0.98380000000000001</v>
      </c>
      <c r="BI366" s="25">
        <f>VLOOKUP(Inventory[[#This Row],[Cnd]],Lookups!$T$7:$W$16,4,FALSE)</f>
        <v>0.99729999999999996</v>
      </c>
      <c r="BJ366" s="25">
        <f>VLOOKUP(Inventory[[#This Row],[LivArea Range]],Lookups!$T$25:$W$37,4,FALSE)</f>
        <v>0.98919999999999997</v>
      </c>
      <c r="BK366" s="25">
        <f>VLOOKUP(Inventory[[#This Row],[Decade]],Lookups!$O$25:$R$42,4,FALSE)</f>
        <v>0.98119999999999996</v>
      </c>
      <c r="BL366" s="25">
        <f>Inventory[[#This Row],[Nbhd Adj]]*0.95</f>
        <v>0.94971499999999998</v>
      </c>
      <c r="BM366" s="25">
        <f>Inventory[[#This Row],[Nbhd Adj]]*Inventory[[#This Row],[Quality Adj]]*Inventory[[#This Row],[Condition Adj]]*Inventory[[#This Row],[Living Area Adj]]*Inventory[[#This Row],[Decade Adj]]*0.95</f>
        <v>0.9044146360723555</v>
      </c>
      <c r="BN366" s="25">
        <f>ROUND(SUM(Inventory[[#This Row],[Mdl Qlty]:[Mdl WdDeck]])+Inventory[[#This Row],[Mdl Res Intercept]]*Inventory[[#This Row],[Res Adj ]],-2)</f>
        <v>356600</v>
      </c>
      <c r="BO366" s="25">
        <f>ROUND(Inventory[[#This Row],[25Det]]*Inventory[[#This Row],[Det/Nbhd Adj]],-2)</f>
        <v>0</v>
      </c>
      <c r="BP366" s="25">
        <f>Inventory[[#This Row],[Adjusted Res]]+Inventory[[#This Row],[Adj Det ]]</f>
        <v>356600</v>
      </c>
      <c r="BQ366" s="25">
        <f>ROUND((Inventory[[#This Row],[Mdl Land Intercept]]+Inventory[[#This Row],[Mdl LnAcres]])*Inventory[[#This Row],[Det/Nbhd Adj]],-2)</f>
        <v>38400</v>
      </c>
      <c r="BR366" s="25">
        <f>Inventory[[#This Row],[Adjusted Impr Total]]+Inventory[[#This Row],[Adjusted Land Total]]</f>
        <v>395000</v>
      </c>
      <c r="BS366" s="36">
        <f>IFERROR((Inventory[[#This Row],[Adjusted Impr Total]]-Inventory[[#This Row],[24Bldg]])/Inventory[[#This Row],[24Bldg]],0)</f>
        <v>9.3405038211152001E-3</v>
      </c>
      <c r="BT366" s="36">
        <f>(Inventory[[#This Row],[Adjusted Land Total]]-Inventory[[#This Row],[24Lnd]])/Inventory[[#This Row],[24Lnd]]</f>
        <v>-0.36106489184692181</v>
      </c>
      <c r="BU366" s="36">
        <f>(Inventory[[#This Row],[Adjusted Total]]-Inventory[[#This Row],[24Final]])/Inventory[[#This Row],[24Final]]</f>
        <v>-4.450895016932753E-2</v>
      </c>
    </row>
    <row r="367" spans="1:73" x14ac:dyDescent="0.3">
      <c r="A367" s="25">
        <v>2025</v>
      </c>
      <c r="B367" s="26" t="s">
        <v>2516</v>
      </c>
      <c r="C367" s="26">
        <f>LN(Inventory[[#This Row],[Acres]])</f>
        <v>0.76546784213957142</v>
      </c>
      <c r="D367" s="25">
        <v>2.15</v>
      </c>
      <c r="E367" s="25">
        <v>93841</v>
      </c>
      <c r="F367" s="26" t="s">
        <v>537</v>
      </c>
      <c r="G367" s="26" t="s">
        <v>544</v>
      </c>
      <c r="H367" s="26" t="s">
        <v>349</v>
      </c>
      <c r="I367" s="26" t="s">
        <v>2517</v>
      </c>
      <c r="J367" s="26" t="s">
        <v>2518</v>
      </c>
      <c r="K367" s="26" t="s">
        <v>241</v>
      </c>
      <c r="L367" s="26" t="s">
        <v>31</v>
      </c>
      <c r="M367" s="26" t="s">
        <v>323</v>
      </c>
      <c r="N367" s="26">
        <v>60</v>
      </c>
      <c r="O367" s="26">
        <f>2024-Inventory[[#This Row],[YrBlt]]</f>
        <v>60</v>
      </c>
      <c r="P367" s="26">
        <f>2024-Inventory[[#This Row],[EffYr]]</f>
        <v>49</v>
      </c>
      <c r="Q367" s="25">
        <v>1964</v>
      </c>
      <c r="R367" s="25">
        <v>1975</v>
      </c>
      <c r="S367" s="25">
        <v>1708</v>
      </c>
      <c r="T367" s="27"/>
      <c r="U367" s="31"/>
      <c r="V367" s="31">
        <f>Inventory[[#This Row],[Bsmt]]-Inventory[[#This Row],[FnBsmt]]</f>
        <v>0</v>
      </c>
      <c r="W367" s="31"/>
      <c r="X367" s="27"/>
      <c r="Y367" s="27">
        <f>Inventory[[#This Row],[MainFn]]+Inventory[[#This Row],[UpprFn]]+Inventory[[#This Row],[FnBsmt]]+Inventory[[#This Row],[AddFn]]</f>
        <v>1708</v>
      </c>
      <c r="Z367" s="27">
        <v>2000</v>
      </c>
      <c r="AA367" s="25">
        <v>8</v>
      </c>
      <c r="AB367" s="27"/>
      <c r="AC367" s="27"/>
      <c r="AD367" s="27"/>
      <c r="AE367" s="27"/>
      <c r="AF367" s="27"/>
      <c r="AG367" s="27"/>
      <c r="AH367" s="27"/>
      <c r="AI367" s="25">
        <v>239694</v>
      </c>
      <c r="AJ367" s="25">
        <v>170183</v>
      </c>
      <c r="AK367" s="25">
        <v>11876</v>
      </c>
      <c r="AL367" s="25">
        <v>871950</v>
      </c>
      <c r="AM367" s="25">
        <v>365950</v>
      </c>
      <c r="AN367" s="25">
        <v>506000</v>
      </c>
      <c r="AO367" s="25">
        <v>0</v>
      </c>
      <c r="AP367" s="25">
        <f>Lookups!$B$56*0</f>
        <v>0</v>
      </c>
      <c r="AQ367" s="25">
        <f>Lookups!$B$56*1</f>
        <v>89850.625589999996</v>
      </c>
      <c r="AR367" s="25">
        <f>Lookups!$B$57*Inventory[[#This Row],[LnAcres]]</f>
        <v>24230.590405020583</v>
      </c>
      <c r="AS367" s="25">
        <f>VLOOKUP(Inventory[[#This Row],[Qlty]],Lookups!$A$62:$E$75,2,FALSE)</f>
        <v>-43578.886190266698</v>
      </c>
      <c r="AT367" s="25">
        <f>VLOOKUP(Inventory[[#This Row],[Cnd]],Lookups!$A$76:$E$84,2,FALSE)</f>
        <v>160472.20319</v>
      </c>
      <c r="AU367" s="25">
        <f>Inventory[[#This Row],[EffAge]]*Lookups!$B$85</f>
        <v>-10929.2344245</v>
      </c>
      <c r="AV367" s="25">
        <f>Inventory[[#This Row],[MainFn]]*Lookups!$B$86</f>
        <v>84390.008149916001</v>
      </c>
      <c r="AW367" s="25">
        <f>Inventory[[#This Row],[UpprFn]]*Lookups!$B$87</f>
        <v>0</v>
      </c>
      <c r="AX367" s="25">
        <f>Inventory[[#This Row],[AddFn]]*Lookups!$B$88</f>
        <v>0</v>
      </c>
      <c r="AY367" s="25">
        <f>Inventory[[#This Row],[Bsmt]]*Lookups!$B$89</f>
        <v>0</v>
      </c>
      <c r="AZ367" s="25">
        <f>Inventory[[#This Row],[Fixtures]]*Lookups!$B$90</f>
        <v>30336.176841600001</v>
      </c>
      <c r="BA367" s="25">
        <f>Inventory[[#This Row],[WdDeck]]*Lookups!$B$91</f>
        <v>0</v>
      </c>
      <c r="BB367" s="25">
        <f>ROUND(Inventory[[#This Row],[25Det]],-2)</f>
        <v>11900</v>
      </c>
      <c r="BC367" s="25">
        <f>ROUND(SUM(Inventory[[#This Row],[Mdl Qlty]:[Mdl WdDeck]])+Inventory[[#This Row],[Mdl Res Intercept]],-2)</f>
        <v>220700</v>
      </c>
      <c r="BD367" s="25">
        <f>ROUND(Inventory[[#This Row],[Mdl Land Intercept]]+Inventory[[#This Row],[Mdl LnAcres]],-2)</f>
        <v>114100</v>
      </c>
      <c r="BE367" s="25">
        <f>Inventory[[#This Row],[Unadj Res Value]]+Inventory[[#This Row],[Unadj Det Value]]+Inventory[[#This Row],[Unadj Land Value]]</f>
        <v>346700</v>
      </c>
      <c r="BF367" s="36">
        <f>(Inventory[[#This Row],[Unadj Total Value]]-Inventory[[#This Row],[24Final]])/Inventory[[#This Row],[24Final]]</f>
        <v>-0.60238545788175923</v>
      </c>
      <c r="BG367" s="25">
        <f>VLOOKUP(Inventory[[#This Row],[Nbhd]],Lookups!$Q$2:$T$4,4,FALSE)</f>
        <v>0.99970000000000003</v>
      </c>
      <c r="BH367" s="25">
        <f>VLOOKUP(Inventory[[#This Row],[Qlty]],Lookups!$O$7:$R$21,4,FALSE)</f>
        <v>1</v>
      </c>
      <c r="BI367" s="25">
        <f>VLOOKUP(Inventory[[#This Row],[Cnd]],Lookups!$T$7:$W$16,4,FALSE)</f>
        <v>0.99729999999999996</v>
      </c>
      <c r="BJ367" s="25">
        <f>VLOOKUP(Inventory[[#This Row],[LivArea Range]],Lookups!$T$25:$W$37,4,FALSE)</f>
        <v>1.0093000000000001</v>
      </c>
      <c r="BK367" s="25">
        <f>VLOOKUP(Inventory[[#This Row],[Decade]],Lookups!$O$25:$R$42,4,FALSE)</f>
        <v>0.98119999999999996</v>
      </c>
      <c r="BL367" s="25">
        <f>Inventory[[#This Row],[Nbhd Adj]]*0.95</f>
        <v>0.94971499999999998</v>
      </c>
      <c r="BM367" s="25">
        <f>Inventory[[#This Row],[Nbhd Adj]]*Inventory[[#This Row],[Quality Adj]]*Inventory[[#This Row],[Condition Adj]]*Inventory[[#This Row],[Living Area Adj]]*Inventory[[#This Row],[Decade Adj]]*0.95</f>
        <v>0.93798723734921063</v>
      </c>
      <c r="BN367" s="25">
        <f>ROUND(SUM(Inventory[[#This Row],[Mdl Qlty]:[Mdl WdDeck]])+Inventory[[#This Row],[Mdl Res Intercept]]*Inventory[[#This Row],[Res Adj ]],-2)</f>
        <v>220700</v>
      </c>
      <c r="BO367" s="25">
        <f>ROUND(Inventory[[#This Row],[25Det]]*Inventory[[#This Row],[Det/Nbhd Adj]],-2)</f>
        <v>11300</v>
      </c>
      <c r="BP367" s="25">
        <f>Inventory[[#This Row],[Adjusted Res]]+Inventory[[#This Row],[Adj Det ]]</f>
        <v>232000</v>
      </c>
      <c r="BQ367" s="25">
        <f>ROUND((Inventory[[#This Row],[Mdl Land Intercept]]+Inventory[[#This Row],[Mdl LnAcres]])*Inventory[[#This Row],[Det/Nbhd Adj]],-2)</f>
        <v>108300</v>
      </c>
      <c r="BR367" s="25">
        <f>Inventory[[#This Row],[Adjusted Impr Total]]+Inventory[[#This Row],[Adjusted Land Total]]</f>
        <v>340300</v>
      </c>
      <c r="BS367" s="36">
        <f>IFERROR((Inventory[[#This Row],[Adjusted Impr Total]]-Inventory[[#This Row],[24Bldg]])/Inventory[[#This Row],[24Bldg]],0)</f>
        <v>-0.54150197628458496</v>
      </c>
      <c r="BT367" s="36">
        <f>(Inventory[[#This Row],[Adjusted Land Total]]-Inventory[[#This Row],[24Lnd]])/Inventory[[#This Row],[24Lnd]]</f>
        <v>-0.70405793141139494</v>
      </c>
      <c r="BU367" s="36">
        <f>(Inventory[[#This Row],[Adjusted Total]]-Inventory[[#This Row],[24Final]])/Inventory[[#This Row],[24Final]]</f>
        <v>-0.60972532828717241</v>
      </c>
    </row>
    <row r="368" spans="1:73" x14ac:dyDescent="0.3">
      <c r="A368" s="25">
        <v>2025</v>
      </c>
      <c r="B368" s="26" t="s">
        <v>2602</v>
      </c>
      <c r="C368" s="26">
        <f>LN(Inventory[[#This Row],[Acres]])</f>
        <v>-1.5141277326297755</v>
      </c>
      <c r="D368" s="25">
        <v>0.22</v>
      </c>
      <c r="E368" s="25">
        <v>9653</v>
      </c>
      <c r="F368" s="26" t="s">
        <v>537</v>
      </c>
      <c r="G368" s="26" t="s">
        <v>126</v>
      </c>
      <c r="H368" s="26" t="s">
        <v>349</v>
      </c>
      <c r="I368" s="26" t="s">
        <v>538</v>
      </c>
      <c r="J368" s="26" t="s">
        <v>539</v>
      </c>
      <c r="K368" s="26" t="s">
        <v>241</v>
      </c>
      <c r="L368" s="26" t="s">
        <v>148</v>
      </c>
      <c r="M368" s="26" t="s">
        <v>303</v>
      </c>
      <c r="N368" s="26">
        <v>70</v>
      </c>
      <c r="O368" s="26">
        <f>2024-Inventory[[#This Row],[YrBlt]]</f>
        <v>61</v>
      </c>
      <c r="P368" s="26">
        <f>2024-Inventory[[#This Row],[EffYr]]</f>
        <v>49</v>
      </c>
      <c r="Q368" s="25">
        <v>1963</v>
      </c>
      <c r="R368" s="25">
        <v>1975</v>
      </c>
      <c r="S368" s="25">
        <v>1415</v>
      </c>
      <c r="T368" s="27"/>
      <c r="U368" s="32">
        <v>648</v>
      </c>
      <c r="V368" s="32">
        <f>Inventory[[#This Row],[Bsmt]]-Inventory[[#This Row],[FnBsmt]]</f>
        <v>648</v>
      </c>
      <c r="W368" s="27"/>
      <c r="X368" s="27"/>
      <c r="Y368" s="27">
        <f>Inventory[[#This Row],[MainFn]]+Inventory[[#This Row],[UpprFn]]+Inventory[[#This Row],[FnBsmt]]+Inventory[[#This Row],[AddFn]]</f>
        <v>1415</v>
      </c>
      <c r="Z368" s="27">
        <v>1500</v>
      </c>
      <c r="AA368" s="25">
        <v>11</v>
      </c>
      <c r="AB368" s="32">
        <v>325</v>
      </c>
      <c r="AC368" s="27"/>
      <c r="AD368" s="27"/>
      <c r="AE368" s="27"/>
      <c r="AF368" s="27"/>
      <c r="AG368" s="27"/>
      <c r="AH368" s="27"/>
      <c r="AI368" s="25">
        <v>366958</v>
      </c>
      <c r="AJ368" s="25">
        <v>264210</v>
      </c>
      <c r="AK368" s="25">
        <v>0</v>
      </c>
      <c r="AL368" s="25">
        <v>364900</v>
      </c>
      <c r="AM368" s="25">
        <v>61700</v>
      </c>
      <c r="AN368" s="25">
        <v>303200</v>
      </c>
      <c r="AO368" s="25">
        <v>0</v>
      </c>
      <c r="AP368" s="25">
        <f>Lookups!$B$56*0</f>
        <v>0</v>
      </c>
      <c r="AQ368" s="25">
        <f>Lookups!$B$56*1</f>
        <v>89850.625589999996</v>
      </c>
      <c r="AR368" s="25">
        <f>Lookups!$B$57*Inventory[[#This Row],[LnAcres]]</f>
        <v>-47929.131559187132</v>
      </c>
      <c r="AS368" s="25">
        <f>VLOOKUP(Inventory[[#This Row],[Qlty]],Lookups!$A$62:$E$75,2,FALSE)</f>
        <v>44121.038090000002</v>
      </c>
      <c r="AT368" s="25">
        <f>VLOOKUP(Inventory[[#This Row],[Cnd]],Lookups!$A$76:$E$84,2,FALSE)</f>
        <v>197752.34721000001</v>
      </c>
      <c r="AU368" s="25">
        <f>Inventory[[#This Row],[EffAge]]*Lookups!$B$85</f>
        <v>-10929.2344245</v>
      </c>
      <c r="AV368" s="25">
        <f>Inventory[[#This Row],[MainFn]]*Lookups!$B$86</f>
        <v>69913.267875955004</v>
      </c>
      <c r="AW368" s="25">
        <f>Inventory[[#This Row],[UpprFn]]*Lookups!$B$87</f>
        <v>0</v>
      </c>
      <c r="AX368" s="25">
        <f>Inventory[[#This Row],[AddFn]]*Lookups!$B$88</f>
        <v>0</v>
      </c>
      <c r="AY368" s="25">
        <f>Inventory[[#This Row],[Bsmt]]*Lookups!$B$89</f>
        <v>18845.068120055999</v>
      </c>
      <c r="AZ368" s="25">
        <f>Inventory[[#This Row],[Fixtures]]*Lookups!$B$90</f>
        <v>41712.243157199999</v>
      </c>
      <c r="BA368" s="25">
        <f>Inventory[[#This Row],[WdDeck]]*Lookups!$B$91</f>
        <v>0</v>
      </c>
      <c r="BB368" s="25">
        <f>ROUND(Inventory[[#This Row],[25Det]],-2)</f>
        <v>0</v>
      </c>
      <c r="BC368" s="25">
        <f>ROUND(SUM(Inventory[[#This Row],[Mdl Qlty]:[Mdl WdDeck]])+Inventory[[#This Row],[Mdl Res Intercept]],-2)</f>
        <v>361400</v>
      </c>
      <c r="BD368" s="25">
        <f>ROUND(Inventory[[#This Row],[Mdl Land Intercept]]+Inventory[[#This Row],[Mdl LnAcres]],-2)</f>
        <v>41900</v>
      </c>
      <c r="BE368" s="25">
        <f>Inventory[[#This Row],[Unadj Res Value]]+Inventory[[#This Row],[Unadj Det Value]]+Inventory[[#This Row],[Unadj Land Value]]</f>
        <v>403300</v>
      </c>
      <c r="BF368" s="36">
        <f>(Inventory[[#This Row],[Unadj Total Value]]-Inventory[[#This Row],[24Final]])/Inventory[[#This Row],[24Final]]</f>
        <v>0.10523431077007399</v>
      </c>
      <c r="BG368" s="25">
        <f>VLOOKUP(Inventory[[#This Row],[Nbhd]],Lookups!$Q$2:$T$4,4,FALSE)</f>
        <v>0.99970000000000003</v>
      </c>
      <c r="BH368" s="25">
        <f>VLOOKUP(Inventory[[#This Row],[Qlty]],Lookups!$O$7:$R$21,4,FALSE)</f>
        <v>0.98050000000000004</v>
      </c>
      <c r="BI368" s="25">
        <f>VLOOKUP(Inventory[[#This Row],[Cnd]],Lookups!$T$7:$W$16,4,FALSE)</f>
        <v>0.99650000000000005</v>
      </c>
      <c r="BJ368" s="25">
        <f>VLOOKUP(Inventory[[#This Row],[LivArea Range]],Lookups!$T$25:$W$37,4,FALSE)</f>
        <v>1.0157</v>
      </c>
      <c r="BK368" s="25">
        <f>VLOOKUP(Inventory[[#This Row],[Decade]],Lookups!$O$25:$R$42,4,FALSE)</f>
        <v>1.0199</v>
      </c>
      <c r="BL368" s="25">
        <f>Inventory[[#This Row],[Nbhd Adj]]*0.95</f>
        <v>0.94971499999999998</v>
      </c>
      <c r="BM368" s="25">
        <f>Inventory[[#This Row],[Nbhd Adj]]*Inventory[[#This Row],[Quality Adj]]*Inventory[[#This Row],[Condition Adj]]*Inventory[[#This Row],[Living Area Adj]]*Inventory[[#This Row],[Decade Adj]]*0.95</f>
        <v>0.96126082309031724</v>
      </c>
      <c r="BN368" s="25">
        <f>ROUND(SUM(Inventory[[#This Row],[Mdl Qlty]:[Mdl WdDeck]])+Inventory[[#This Row],[Mdl Res Intercept]]*Inventory[[#This Row],[Res Adj ]],-2)</f>
        <v>361400</v>
      </c>
      <c r="BO368" s="25">
        <f>ROUND(Inventory[[#This Row],[25Det]]*Inventory[[#This Row],[Det/Nbhd Adj]],-2)</f>
        <v>0</v>
      </c>
      <c r="BP368" s="25">
        <f>Inventory[[#This Row],[Adjusted Res]]+Inventory[[#This Row],[Adj Det ]]</f>
        <v>361400</v>
      </c>
      <c r="BQ368" s="25">
        <f>ROUND((Inventory[[#This Row],[Mdl Land Intercept]]+Inventory[[#This Row],[Mdl LnAcres]])*Inventory[[#This Row],[Det/Nbhd Adj]],-2)</f>
        <v>39800</v>
      </c>
      <c r="BR368" s="25">
        <f>Inventory[[#This Row],[Adjusted Impr Total]]+Inventory[[#This Row],[Adjusted Land Total]]</f>
        <v>401200</v>
      </c>
      <c r="BS368" s="36">
        <f>IFERROR((Inventory[[#This Row],[Adjusted Impr Total]]-Inventory[[#This Row],[24Bldg]])/Inventory[[#This Row],[24Bldg]],0)</f>
        <v>0.19195250659630606</v>
      </c>
      <c r="BT368" s="36">
        <f>(Inventory[[#This Row],[Adjusted Land Total]]-Inventory[[#This Row],[24Lnd]])/Inventory[[#This Row],[24Lnd]]</f>
        <v>-0.35494327390599678</v>
      </c>
      <c r="BU368" s="36">
        <f>(Inventory[[#This Row],[Adjusted Total]]-Inventory[[#This Row],[24Final]])/Inventory[[#This Row],[24Final]]</f>
        <v>9.9479309399835569E-2</v>
      </c>
    </row>
    <row r="369" spans="1:73" x14ac:dyDescent="0.3">
      <c r="A369" s="25">
        <v>2025</v>
      </c>
      <c r="B369" s="26" t="s">
        <v>1328</v>
      </c>
      <c r="C369" s="26">
        <f>LN(Inventory[[#This Row],[Acres]])</f>
        <v>-1.6094379124341003</v>
      </c>
      <c r="D369" s="25">
        <v>0.2</v>
      </c>
      <c r="E369" s="25">
        <v>8628</v>
      </c>
      <c r="F369" s="26" t="s">
        <v>537</v>
      </c>
      <c r="G369" s="26" t="s">
        <v>126</v>
      </c>
      <c r="H369" s="26" t="s">
        <v>349</v>
      </c>
      <c r="I369" s="26" t="s">
        <v>538</v>
      </c>
      <c r="J369" s="26" t="s">
        <v>539</v>
      </c>
      <c r="K369" s="26" t="s">
        <v>241</v>
      </c>
      <c r="L369" s="26" t="s">
        <v>302</v>
      </c>
      <c r="M369" s="26" t="s">
        <v>303</v>
      </c>
      <c r="N369" s="26">
        <v>70</v>
      </c>
      <c r="O369" s="26">
        <f>2024-Inventory[[#This Row],[YrBlt]]</f>
        <v>61</v>
      </c>
      <c r="P369" s="26">
        <f>2024-Inventory[[#This Row],[EffYr]]</f>
        <v>49</v>
      </c>
      <c r="Q369" s="25">
        <v>1963</v>
      </c>
      <c r="R369" s="25">
        <v>1975</v>
      </c>
      <c r="S369" s="25">
        <v>1322</v>
      </c>
      <c r="T369" s="31"/>
      <c r="U369" s="31"/>
      <c r="V369" s="31">
        <f>Inventory[[#This Row],[Bsmt]]-Inventory[[#This Row],[FnBsmt]]</f>
        <v>0</v>
      </c>
      <c r="W369" s="31"/>
      <c r="X369" s="27"/>
      <c r="Y369" s="27">
        <f>Inventory[[#This Row],[MainFn]]+Inventory[[#This Row],[UpprFn]]+Inventory[[#This Row],[FnBsmt]]+Inventory[[#This Row],[AddFn]]</f>
        <v>1322</v>
      </c>
      <c r="Z369" s="27">
        <v>1500</v>
      </c>
      <c r="AA369" s="25">
        <v>7</v>
      </c>
      <c r="AB369" s="32">
        <v>350</v>
      </c>
      <c r="AC369" s="27"/>
      <c r="AD369" s="27"/>
      <c r="AE369" s="27"/>
      <c r="AF369" s="27"/>
      <c r="AG369" s="27"/>
      <c r="AH369" s="27"/>
      <c r="AI369" s="25">
        <v>265324</v>
      </c>
      <c r="AJ369" s="25">
        <v>191033</v>
      </c>
      <c r="AK369" s="25">
        <v>0</v>
      </c>
      <c r="AL369" s="25">
        <v>317800</v>
      </c>
      <c r="AM369" s="25">
        <v>58400</v>
      </c>
      <c r="AN369" s="25">
        <v>259400</v>
      </c>
      <c r="AO369" s="25">
        <v>0</v>
      </c>
      <c r="AP369" s="25">
        <f>Lookups!$B$56*0</f>
        <v>0</v>
      </c>
      <c r="AQ369" s="25">
        <f>Lookups!$B$56*1</f>
        <v>89850.625589999996</v>
      </c>
      <c r="AR369" s="25">
        <f>Lookups!$B$57*Inventory[[#This Row],[LnAcres]]</f>
        <v>-50946.13867709865</v>
      </c>
      <c r="AS369" s="25">
        <f>VLOOKUP(Inventory[[#This Row],[Qlty]],Lookups!$A$62:$E$75,2,FALSE)</f>
        <v>29814.093161000001</v>
      </c>
      <c r="AT369" s="25">
        <f>VLOOKUP(Inventory[[#This Row],[Cnd]],Lookups!$A$76:$E$84,2,FALSE)</f>
        <v>197752.34721000001</v>
      </c>
      <c r="AU369" s="25">
        <f>Inventory[[#This Row],[EffAge]]*Lookups!$B$85</f>
        <v>-10929.2344245</v>
      </c>
      <c r="AV369" s="25">
        <f>Inventory[[#This Row],[MainFn]]*Lookups!$B$86</f>
        <v>65318.261577394005</v>
      </c>
      <c r="AW369" s="25">
        <f>Inventory[[#This Row],[UpprFn]]*Lookups!$B$87</f>
        <v>0</v>
      </c>
      <c r="AX369" s="25">
        <f>Inventory[[#This Row],[AddFn]]*Lookups!$B$88</f>
        <v>0</v>
      </c>
      <c r="AY369" s="25">
        <f>Inventory[[#This Row],[Bsmt]]*Lookups!$B$89</f>
        <v>0</v>
      </c>
      <c r="AZ369" s="25">
        <f>Inventory[[#This Row],[Fixtures]]*Lookups!$B$90</f>
        <v>26544.1547364</v>
      </c>
      <c r="BA369" s="25">
        <f>Inventory[[#This Row],[WdDeck]]*Lookups!$B$91</f>
        <v>0</v>
      </c>
      <c r="BB369" s="25">
        <f>ROUND(Inventory[[#This Row],[25Det]],-2)</f>
        <v>0</v>
      </c>
      <c r="BC369" s="25">
        <f>ROUND(SUM(Inventory[[#This Row],[Mdl Qlty]:[Mdl WdDeck]])+Inventory[[#This Row],[Mdl Res Intercept]],-2)</f>
        <v>308500</v>
      </c>
      <c r="BD369" s="25">
        <f>ROUND(Inventory[[#This Row],[Mdl Land Intercept]]+Inventory[[#This Row],[Mdl LnAcres]],-2)</f>
        <v>38900</v>
      </c>
      <c r="BE369" s="25">
        <f>Inventory[[#This Row],[Unadj Res Value]]+Inventory[[#This Row],[Unadj Det Value]]+Inventory[[#This Row],[Unadj Land Value]]</f>
        <v>347400</v>
      </c>
      <c r="BF369" s="36">
        <f>(Inventory[[#This Row],[Unadj Total Value]]-Inventory[[#This Row],[24Final]])/Inventory[[#This Row],[24Final]]</f>
        <v>9.3140339836375083E-2</v>
      </c>
      <c r="BG369" s="25">
        <f>VLOOKUP(Inventory[[#This Row],[Nbhd]],Lookups!$Q$2:$T$4,4,FALSE)</f>
        <v>0.99970000000000003</v>
      </c>
      <c r="BH369" s="25">
        <f>VLOOKUP(Inventory[[#This Row],[Qlty]],Lookups!$O$7:$R$21,4,FALSE)</f>
        <v>1.0088999999999999</v>
      </c>
      <c r="BI369" s="25">
        <f>VLOOKUP(Inventory[[#This Row],[Cnd]],Lookups!$T$7:$W$16,4,FALSE)</f>
        <v>0.99650000000000005</v>
      </c>
      <c r="BJ369" s="25">
        <f>VLOOKUP(Inventory[[#This Row],[LivArea Range]],Lookups!$T$25:$W$37,4,FALSE)</f>
        <v>1.0157</v>
      </c>
      <c r="BK369" s="25">
        <f>VLOOKUP(Inventory[[#This Row],[Decade]],Lookups!$O$25:$R$42,4,FALSE)</f>
        <v>1.0199</v>
      </c>
      <c r="BL369" s="25">
        <f>Inventory[[#This Row],[Nbhd Adj]]*0.95</f>
        <v>0.94971499999999998</v>
      </c>
      <c r="BM369" s="25">
        <f>Inventory[[#This Row],[Nbhd Adj]]*Inventory[[#This Row],[Quality Adj]]*Inventory[[#This Row],[Condition Adj]]*Inventory[[#This Row],[Living Area Adj]]*Inventory[[#This Row],[Decade Adj]]*0.95</f>
        <v>0.98910356391210685</v>
      </c>
      <c r="BN369" s="25">
        <f>ROUND(SUM(Inventory[[#This Row],[Mdl Qlty]:[Mdl WdDeck]])+Inventory[[#This Row],[Mdl Res Intercept]]*Inventory[[#This Row],[Res Adj ]],-2)</f>
        <v>308500</v>
      </c>
      <c r="BO369" s="25">
        <f>ROUND(Inventory[[#This Row],[25Det]]*Inventory[[#This Row],[Det/Nbhd Adj]],-2)</f>
        <v>0</v>
      </c>
      <c r="BP369" s="25">
        <f>Inventory[[#This Row],[Adjusted Res]]+Inventory[[#This Row],[Adj Det ]]</f>
        <v>308500</v>
      </c>
      <c r="BQ369" s="25">
        <f>ROUND((Inventory[[#This Row],[Mdl Land Intercept]]+Inventory[[#This Row],[Mdl LnAcres]])*Inventory[[#This Row],[Det/Nbhd Adj]],-2)</f>
        <v>36900</v>
      </c>
      <c r="BR369" s="25">
        <f>Inventory[[#This Row],[Adjusted Impr Total]]+Inventory[[#This Row],[Adjusted Land Total]]</f>
        <v>345400</v>
      </c>
      <c r="BS369" s="36">
        <f>IFERROR((Inventory[[#This Row],[Adjusted Impr Total]]-Inventory[[#This Row],[24Bldg]])/Inventory[[#This Row],[24Bldg]],0)</f>
        <v>0.18928296067848882</v>
      </c>
      <c r="BT369" s="36">
        <f>(Inventory[[#This Row],[Adjusted Land Total]]-Inventory[[#This Row],[24Lnd]])/Inventory[[#This Row],[24Lnd]]</f>
        <v>-0.36815068493150682</v>
      </c>
      <c r="BU369" s="36">
        <f>(Inventory[[#This Row],[Adjusted Total]]-Inventory[[#This Row],[24Final]])/Inventory[[#This Row],[24Final]]</f>
        <v>8.6847073631214605E-2</v>
      </c>
    </row>
    <row r="370" spans="1:73" x14ac:dyDescent="0.3">
      <c r="A370" s="25">
        <v>2025</v>
      </c>
      <c r="B370" s="26" t="s">
        <v>1786</v>
      </c>
      <c r="C370" s="26">
        <f>LN(Inventory[[#This Row],[Acres]])</f>
        <v>-0.86750056770472306</v>
      </c>
      <c r="D370" s="25">
        <v>0.42</v>
      </c>
      <c r="E370" s="31"/>
      <c r="F370" s="26" t="s">
        <v>537</v>
      </c>
      <c r="G370" s="26" t="s">
        <v>126</v>
      </c>
      <c r="H370" s="26" t="s">
        <v>349</v>
      </c>
      <c r="I370" s="26" t="s">
        <v>538</v>
      </c>
      <c r="J370" s="26" t="s">
        <v>539</v>
      </c>
      <c r="K370" s="26" t="s">
        <v>241</v>
      </c>
      <c r="L370" s="26" t="s">
        <v>351</v>
      </c>
      <c r="M370" s="26" t="s">
        <v>303</v>
      </c>
      <c r="N370" s="26">
        <v>70</v>
      </c>
      <c r="O370" s="26">
        <f>2024-Inventory[[#This Row],[YrBlt]]</f>
        <v>61</v>
      </c>
      <c r="P370" s="26">
        <f>2024-Inventory[[#This Row],[EffYr]]</f>
        <v>49</v>
      </c>
      <c r="Q370" s="25">
        <v>1963</v>
      </c>
      <c r="R370" s="25">
        <v>1975</v>
      </c>
      <c r="S370" s="25">
        <v>972</v>
      </c>
      <c r="T370" s="27"/>
      <c r="U370" s="32">
        <v>972</v>
      </c>
      <c r="V370" s="32">
        <f>Inventory[[#This Row],[Bsmt]]-Inventory[[#This Row],[FnBsmt]]</f>
        <v>680</v>
      </c>
      <c r="W370" s="32">
        <v>292</v>
      </c>
      <c r="X370" s="27"/>
      <c r="Y370" s="27">
        <f>Inventory[[#This Row],[MainFn]]+Inventory[[#This Row],[UpprFn]]+Inventory[[#This Row],[FnBsmt]]+Inventory[[#This Row],[AddFn]]</f>
        <v>1264</v>
      </c>
      <c r="Z370" s="27">
        <v>1500</v>
      </c>
      <c r="AA370" s="25">
        <v>8</v>
      </c>
      <c r="AB370" s="27"/>
      <c r="AC370" s="27"/>
      <c r="AD370" s="27"/>
      <c r="AE370" s="27"/>
      <c r="AF370" s="27"/>
      <c r="AG370" s="27"/>
      <c r="AH370" s="27"/>
      <c r="AI370" s="25">
        <v>228052</v>
      </c>
      <c r="AJ370" s="25">
        <v>164197</v>
      </c>
      <c r="AK370" s="25">
        <v>44954</v>
      </c>
      <c r="AL370" s="25">
        <v>383800</v>
      </c>
      <c r="AM370" s="25">
        <v>84300</v>
      </c>
      <c r="AN370" s="25">
        <v>299500</v>
      </c>
      <c r="AO370" s="25">
        <v>0</v>
      </c>
      <c r="AP370" s="25">
        <f>Lookups!$B$56*0</f>
        <v>0</v>
      </c>
      <c r="AQ370" s="25">
        <f>Lookups!$B$56*1</f>
        <v>89850.625589999996</v>
      </c>
      <c r="AR370" s="25">
        <f>Lookups!$B$57*Inventory[[#This Row],[LnAcres]]</f>
        <v>-27460.397125792362</v>
      </c>
      <c r="AS370" s="25">
        <f>VLOOKUP(Inventory[[#This Row],[Qlty]],Lookups!$A$62:$E$75,2,FALSE)</f>
        <v>21557.329055999999</v>
      </c>
      <c r="AT370" s="25">
        <f>VLOOKUP(Inventory[[#This Row],[Cnd]],Lookups!$A$76:$E$84,2,FALSE)</f>
        <v>197752.34721000001</v>
      </c>
      <c r="AU370" s="25">
        <f>Inventory[[#This Row],[EffAge]]*Lookups!$B$85</f>
        <v>-10929.2344245</v>
      </c>
      <c r="AV370" s="25">
        <f>Inventory[[#This Row],[MainFn]]*Lookups!$B$86</f>
        <v>48025.227120444004</v>
      </c>
      <c r="AW370" s="25">
        <f>Inventory[[#This Row],[UpprFn]]*Lookups!$B$87</f>
        <v>0</v>
      </c>
      <c r="AX370" s="25">
        <f>Inventory[[#This Row],[AddFn]]*Lookups!$B$88</f>
        <v>0</v>
      </c>
      <c r="AY370" s="25">
        <f>Inventory[[#This Row],[Bsmt]]*Lookups!$B$89</f>
        <v>28267.602180083999</v>
      </c>
      <c r="AZ370" s="25">
        <f>Inventory[[#This Row],[Fixtures]]*Lookups!$B$90</f>
        <v>30336.176841600001</v>
      </c>
      <c r="BA370" s="25">
        <f>Inventory[[#This Row],[WdDeck]]*Lookups!$B$91</f>
        <v>0</v>
      </c>
      <c r="BB370" s="25">
        <f>ROUND(Inventory[[#This Row],[25Det]],-2)</f>
        <v>45000</v>
      </c>
      <c r="BC370" s="25">
        <f>ROUND(SUM(Inventory[[#This Row],[Mdl Qlty]:[Mdl WdDeck]])+Inventory[[#This Row],[Mdl Res Intercept]],-2)</f>
        <v>315000</v>
      </c>
      <c r="BD370" s="25">
        <f>ROUND(Inventory[[#This Row],[Mdl Land Intercept]]+Inventory[[#This Row],[Mdl LnAcres]],-2)</f>
        <v>62400</v>
      </c>
      <c r="BE370" s="25">
        <f>Inventory[[#This Row],[Unadj Res Value]]+Inventory[[#This Row],[Unadj Det Value]]+Inventory[[#This Row],[Unadj Land Value]]</f>
        <v>422400</v>
      </c>
      <c r="BF370" s="36">
        <f>(Inventory[[#This Row],[Unadj Total Value]]-Inventory[[#This Row],[24Final]])/Inventory[[#This Row],[24Final]]</f>
        <v>0.10057321521625846</v>
      </c>
      <c r="BG370" s="25">
        <f>VLOOKUP(Inventory[[#This Row],[Nbhd]],Lookups!$Q$2:$T$4,4,FALSE)</f>
        <v>0.99970000000000003</v>
      </c>
      <c r="BH370" s="25">
        <f>VLOOKUP(Inventory[[#This Row],[Qlty]],Lookups!$O$7:$R$21,4,FALSE)</f>
        <v>1.0067999999999999</v>
      </c>
      <c r="BI370" s="25">
        <f>VLOOKUP(Inventory[[#This Row],[Cnd]],Lookups!$T$7:$W$16,4,FALSE)</f>
        <v>0.99650000000000005</v>
      </c>
      <c r="BJ370" s="25">
        <f>VLOOKUP(Inventory[[#This Row],[LivArea Range]],Lookups!$T$25:$W$37,4,FALSE)</f>
        <v>1.0157</v>
      </c>
      <c r="BK370" s="25">
        <f>VLOOKUP(Inventory[[#This Row],[Decade]],Lookups!$O$25:$R$42,4,FALSE)</f>
        <v>1.0199</v>
      </c>
      <c r="BL370" s="25">
        <f>Inventory[[#This Row],[Nbhd Adj]]*0.95</f>
        <v>0.94971499999999998</v>
      </c>
      <c r="BM370" s="25">
        <f>Inventory[[#This Row],[Nbhd Adj]]*Inventory[[#This Row],[Quality Adj]]*Inventory[[#This Row],[Condition Adj]]*Inventory[[#This Row],[Living Area Adj]]*Inventory[[#This Row],[Decade Adj]]*0.95</f>
        <v>0.98704476969641131</v>
      </c>
      <c r="BN370" s="25">
        <f>ROUND(SUM(Inventory[[#This Row],[Mdl Qlty]:[Mdl WdDeck]])+Inventory[[#This Row],[Mdl Res Intercept]]*Inventory[[#This Row],[Res Adj ]],-2)</f>
        <v>315000</v>
      </c>
      <c r="BO370" s="25">
        <f>ROUND(Inventory[[#This Row],[25Det]]*Inventory[[#This Row],[Det/Nbhd Adj]],-2)</f>
        <v>42700</v>
      </c>
      <c r="BP370" s="25">
        <f>Inventory[[#This Row],[Adjusted Res]]+Inventory[[#This Row],[Adj Det ]]</f>
        <v>357700</v>
      </c>
      <c r="BQ370" s="25">
        <f>ROUND((Inventory[[#This Row],[Mdl Land Intercept]]+Inventory[[#This Row],[Mdl LnAcres]])*Inventory[[#This Row],[Det/Nbhd Adj]],-2)</f>
        <v>59300</v>
      </c>
      <c r="BR370" s="25">
        <f>Inventory[[#This Row],[Adjusted Impr Total]]+Inventory[[#This Row],[Adjusted Land Total]]</f>
        <v>417000</v>
      </c>
      <c r="BS370" s="36">
        <f>IFERROR((Inventory[[#This Row],[Adjusted Impr Total]]-Inventory[[#This Row],[24Bldg]])/Inventory[[#This Row],[24Bldg]],0)</f>
        <v>0.19432387312186977</v>
      </c>
      <c r="BT370" s="36">
        <f>(Inventory[[#This Row],[Adjusted Land Total]]-Inventory[[#This Row],[24Lnd]])/Inventory[[#This Row],[24Lnd]]</f>
        <v>-0.29655990510083036</v>
      </c>
      <c r="BU370" s="36">
        <f>(Inventory[[#This Row],[Adjusted Total]]-Inventory[[#This Row],[24Final]])/Inventory[[#This Row],[24Final]]</f>
        <v>8.6503387180823343E-2</v>
      </c>
    </row>
    <row r="371" spans="1:73" x14ac:dyDescent="0.3">
      <c r="A371" s="25">
        <v>2025</v>
      </c>
      <c r="B371" s="26" t="s">
        <v>2504</v>
      </c>
      <c r="C371" s="26">
        <f>LN(Inventory[[#This Row],[Acres]])</f>
        <v>-1.9661128563728327</v>
      </c>
      <c r="D371" s="25">
        <v>0.14000000000000001</v>
      </c>
      <c r="E371" s="32">
        <v>6246</v>
      </c>
      <c r="F371" s="26" t="s">
        <v>537</v>
      </c>
      <c r="G371" s="26" t="s">
        <v>126</v>
      </c>
      <c r="H371" s="26" t="s">
        <v>349</v>
      </c>
      <c r="I371" s="26" t="s">
        <v>538</v>
      </c>
      <c r="J371" s="26" t="s">
        <v>539</v>
      </c>
      <c r="K371" s="26" t="s">
        <v>241</v>
      </c>
      <c r="L371" s="26" t="s">
        <v>351</v>
      </c>
      <c r="M371" s="26" t="s">
        <v>303</v>
      </c>
      <c r="N371" s="26">
        <v>70</v>
      </c>
      <c r="O371" s="26">
        <f>2024-Inventory[[#This Row],[YrBlt]]</f>
        <v>61</v>
      </c>
      <c r="P371" s="26">
        <f>2024-Inventory[[#This Row],[EffYr]]</f>
        <v>49</v>
      </c>
      <c r="Q371" s="25">
        <v>1963</v>
      </c>
      <c r="R371" s="25">
        <v>1975</v>
      </c>
      <c r="S371" s="25">
        <v>1412</v>
      </c>
      <c r="T371" s="31"/>
      <c r="U371" s="31"/>
      <c r="V371" s="31">
        <f>Inventory[[#This Row],[Bsmt]]-Inventory[[#This Row],[FnBsmt]]</f>
        <v>0</v>
      </c>
      <c r="W371" s="31"/>
      <c r="X371" s="27"/>
      <c r="Y371" s="27">
        <f>Inventory[[#This Row],[MainFn]]+Inventory[[#This Row],[UpprFn]]+Inventory[[#This Row],[FnBsmt]]+Inventory[[#This Row],[AddFn]]</f>
        <v>1412</v>
      </c>
      <c r="Z371" s="27">
        <v>1500</v>
      </c>
      <c r="AA371" s="25">
        <v>8</v>
      </c>
      <c r="AB371" s="31"/>
      <c r="AC371" s="27"/>
      <c r="AD371" s="31"/>
      <c r="AE371" s="27"/>
      <c r="AF371" s="27"/>
      <c r="AG371" s="27"/>
      <c r="AH371" s="27"/>
      <c r="AI371" s="25">
        <v>241392</v>
      </c>
      <c r="AJ371" s="25">
        <v>173802</v>
      </c>
      <c r="AK371" s="25">
        <v>1881</v>
      </c>
      <c r="AL371" s="25">
        <v>310100</v>
      </c>
      <c r="AM371" s="25">
        <v>46000</v>
      </c>
      <c r="AN371" s="25">
        <v>264100</v>
      </c>
      <c r="AO371" s="25">
        <v>0</v>
      </c>
      <c r="AP371" s="25">
        <f>Lookups!$B$56*0</f>
        <v>0</v>
      </c>
      <c r="AQ371" s="25">
        <f>Lookups!$B$56*1</f>
        <v>89850.625589999996</v>
      </c>
      <c r="AR371" s="25">
        <f>Lookups!$B$57*Inventory[[#This Row],[LnAcres]]</f>
        <v>-62236.546971921947</v>
      </c>
      <c r="AS371" s="25">
        <f>VLOOKUP(Inventory[[#This Row],[Qlty]],Lookups!$A$62:$E$75,2,FALSE)</f>
        <v>21557.329055999999</v>
      </c>
      <c r="AT371" s="25">
        <f>VLOOKUP(Inventory[[#This Row],[Cnd]],Lookups!$A$76:$E$84,2,FALSE)</f>
        <v>197752.34721000001</v>
      </c>
      <c r="AU371" s="25">
        <f>Inventory[[#This Row],[EffAge]]*Lookups!$B$85</f>
        <v>-10929.2344245</v>
      </c>
      <c r="AV371" s="25">
        <f>Inventory[[#This Row],[MainFn]]*Lookups!$B$86</f>
        <v>69765.041866323998</v>
      </c>
      <c r="AW371" s="25">
        <f>Inventory[[#This Row],[UpprFn]]*Lookups!$B$87</f>
        <v>0</v>
      </c>
      <c r="AX371" s="25">
        <f>Inventory[[#This Row],[AddFn]]*Lookups!$B$88</f>
        <v>0</v>
      </c>
      <c r="AY371" s="25">
        <f>Inventory[[#This Row],[Bsmt]]*Lookups!$B$89</f>
        <v>0</v>
      </c>
      <c r="AZ371" s="25">
        <f>Inventory[[#This Row],[Fixtures]]*Lookups!$B$90</f>
        <v>30336.176841600001</v>
      </c>
      <c r="BA371" s="25">
        <f>Inventory[[#This Row],[WdDeck]]*Lookups!$B$91</f>
        <v>0</v>
      </c>
      <c r="BB371" s="25">
        <f>ROUND(Inventory[[#This Row],[25Det]],-2)</f>
        <v>1900</v>
      </c>
      <c r="BC371" s="25">
        <f>ROUND(SUM(Inventory[[#This Row],[Mdl Qlty]:[Mdl WdDeck]])+Inventory[[#This Row],[Mdl Res Intercept]],-2)</f>
        <v>308500</v>
      </c>
      <c r="BD371" s="25">
        <f>ROUND(Inventory[[#This Row],[Mdl Land Intercept]]+Inventory[[#This Row],[Mdl LnAcres]],-2)</f>
        <v>27600</v>
      </c>
      <c r="BE371" s="25">
        <f>Inventory[[#This Row],[Unadj Res Value]]+Inventory[[#This Row],[Unadj Det Value]]+Inventory[[#This Row],[Unadj Land Value]]</f>
        <v>338000</v>
      </c>
      <c r="BF371" s="36">
        <f>(Inventory[[#This Row],[Unadj Total Value]]-Inventory[[#This Row],[24Final]])/Inventory[[#This Row],[24Final]]</f>
        <v>8.9970977104159952E-2</v>
      </c>
      <c r="BG371" s="25">
        <f>VLOOKUP(Inventory[[#This Row],[Nbhd]],Lookups!$Q$2:$T$4,4,FALSE)</f>
        <v>0.99970000000000003</v>
      </c>
      <c r="BH371" s="25">
        <f>VLOOKUP(Inventory[[#This Row],[Qlty]],Lookups!$O$7:$R$21,4,FALSE)</f>
        <v>1.0067999999999999</v>
      </c>
      <c r="BI371" s="25">
        <f>VLOOKUP(Inventory[[#This Row],[Cnd]],Lookups!$T$7:$W$16,4,FALSE)</f>
        <v>0.99650000000000005</v>
      </c>
      <c r="BJ371" s="25">
        <f>VLOOKUP(Inventory[[#This Row],[LivArea Range]],Lookups!$T$25:$W$37,4,FALSE)</f>
        <v>1.0157</v>
      </c>
      <c r="BK371" s="25">
        <f>VLOOKUP(Inventory[[#This Row],[Decade]],Lookups!$O$25:$R$42,4,FALSE)</f>
        <v>1.0199</v>
      </c>
      <c r="BL371" s="25">
        <f>Inventory[[#This Row],[Nbhd Adj]]*0.95</f>
        <v>0.94971499999999998</v>
      </c>
      <c r="BM371" s="25">
        <f>Inventory[[#This Row],[Nbhd Adj]]*Inventory[[#This Row],[Quality Adj]]*Inventory[[#This Row],[Condition Adj]]*Inventory[[#This Row],[Living Area Adj]]*Inventory[[#This Row],[Decade Adj]]*0.95</f>
        <v>0.98704476969641131</v>
      </c>
      <c r="BN371" s="25">
        <f>ROUND(SUM(Inventory[[#This Row],[Mdl Qlty]:[Mdl WdDeck]])+Inventory[[#This Row],[Mdl Res Intercept]]*Inventory[[#This Row],[Res Adj ]],-2)</f>
        <v>308500</v>
      </c>
      <c r="BO371" s="25">
        <f>ROUND(Inventory[[#This Row],[25Det]]*Inventory[[#This Row],[Det/Nbhd Adj]],-2)</f>
        <v>1800</v>
      </c>
      <c r="BP371" s="25">
        <f>Inventory[[#This Row],[Adjusted Res]]+Inventory[[#This Row],[Adj Det ]]</f>
        <v>310300</v>
      </c>
      <c r="BQ371" s="25">
        <f>ROUND((Inventory[[#This Row],[Mdl Land Intercept]]+Inventory[[#This Row],[Mdl LnAcres]])*Inventory[[#This Row],[Det/Nbhd Adj]],-2)</f>
        <v>26200</v>
      </c>
      <c r="BR371" s="25">
        <f>Inventory[[#This Row],[Adjusted Impr Total]]+Inventory[[#This Row],[Adjusted Land Total]]</f>
        <v>336500</v>
      </c>
      <c r="BS371" s="36">
        <f>IFERROR((Inventory[[#This Row],[Adjusted Impr Total]]-Inventory[[#This Row],[24Bldg]])/Inventory[[#This Row],[24Bldg]],0)</f>
        <v>0.17493373722074973</v>
      </c>
      <c r="BT371" s="36">
        <f>(Inventory[[#This Row],[Adjusted Land Total]]-Inventory[[#This Row],[24Lnd]])/Inventory[[#This Row],[24Lnd]]</f>
        <v>-0.43043478260869567</v>
      </c>
      <c r="BU371" s="36">
        <f>(Inventory[[#This Row],[Adjusted Total]]-Inventory[[#This Row],[24Final]])/Inventory[[#This Row],[24Final]]</f>
        <v>8.5133827797484685E-2</v>
      </c>
    </row>
    <row r="372" spans="1:73" x14ac:dyDescent="0.3">
      <c r="A372" s="25">
        <v>2025</v>
      </c>
      <c r="B372" s="26" t="s">
        <v>1366</v>
      </c>
      <c r="C372" s="26">
        <f>LN(Inventory[[#This Row],[Acres]])</f>
        <v>-1.5141277326297755</v>
      </c>
      <c r="D372" s="25">
        <v>0.22</v>
      </c>
      <c r="E372" s="25">
        <v>9639</v>
      </c>
      <c r="F372" s="26" t="s">
        <v>537</v>
      </c>
      <c r="G372" s="26" t="s">
        <v>126</v>
      </c>
      <c r="H372" s="26" t="s">
        <v>349</v>
      </c>
      <c r="I372" s="26" t="s">
        <v>538</v>
      </c>
      <c r="J372" s="26" t="s">
        <v>539</v>
      </c>
      <c r="K372" s="26" t="s">
        <v>241</v>
      </c>
      <c r="L372" s="26" t="s">
        <v>148</v>
      </c>
      <c r="M372" s="26" t="s">
        <v>303</v>
      </c>
      <c r="N372" s="26">
        <v>70</v>
      </c>
      <c r="O372" s="26">
        <f>2024-Inventory[[#This Row],[YrBlt]]</f>
        <v>61</v>
      </c>
      <c r="P372" s="26">
        <f>2024-Inventory[[#This Row],[EffYr]]</f>
        <v>49</v>
      </c>
      <c r="Q372" s="25">
        <v>1963</v>
      </c>
      <c r="R372" s="25">
        <v>1975</v>
      </c>
      <c r="S372" s="25">
        <v>2283</v>
      </c>
      <c r="T372" s="27"/>
      <c r="U372" s="31"/>
      <c r="V372" s="31">
        <f>Inventory[[#This Row],[Bsmt]]-Inventory[[#This Row],[FnBsmt]]</f>
        <v>0</v>
      </c>
      <c r="W372" s="31"/>
      <c r="X372" s="27"/>
      <c r="Y372" s="27">
        <f>Inventory[[#This Row],[MainFn]]+Inventory[[#This Row],[UpprFn]]+Inventory[[#This Row],[FnBsmt]]+Inventory[[#This Row],[AddFn]]</f>
        <v>2283</v>
      </c>
      <c r="Z372" s="27">
        <v>2500</v>
      </c>
      <c r="AA372" s="25">
        <v>11</v>
      </c>
      <c r="AB372" s="32">
        <v>440</v>
      </c>
      <c r="AC372" s="27"/>
      <c r="AD372" s="32">
        <v>289</v>
      </c>
      <c r="AE372" s="27"/>
      <c r="AF372" s="27"/>
      <c r="AG372" s="27"/>
      <c r="AH372" s="27"/>
      <c r="AI372" s="25">
        <v>505369</v>
      </c>
      <c r="AJ372" s="25">
        <v>363866</v>
      </c>
      <c r="AK372" s="25">
        <v>0</v>
      </c>
      <c r="AL372" s="25">
        <v>400900</v>
      </c>
      <c r="AM372" s="25">
        <v>61700</v>
      </c>
      <c r="AN372" s="25">
        <v>339200</v>
      </c>
      <c r="AO372" s="25">
        <v>0</v>
      </c>
      <c r="AP372" s="25">
        <f>Lookups!$B$56*0</f>
        <v>0</v>
      </c>
      <c r="AQ372" s="25">
        <f>Lookups!$B$56*1</f>
        <v>89850.625589999996</v>
      </c>
      <c r="AR372" s="25">
        <f>Lookups!$B$57*Inventory[[#This Row],[LnAcres]]</f>
        <v>-47929.131559187132</v>
      </c>
      <c r="AS372" s="25">
        <f>VLOOKUP(Inventory[[#This Row],[Qlty]],Lookups!$A$62:$E$75,2,FALSE)</f>
        <v>44121.038090000002</v>
      </c>
      <c r="AT372" s="25">
        <f>VLOOKUP(Inventory[[#This Row],[Cnd]],Lookups!$A$76:$E$84,2,FALSE)</f>
        <v>197752.34721000001</v>
      </c>
      <c r="AU372" s="25">
        <f>Inventory[[#This Row],[EffAge]]*Lookups!$B$85</f>
        <v>-10929.2344245</v>
      </c>
      <c r="AV372" s="25">
        <f>Inventory[[#This Row],[MainFn]]*Lookups!$B$86</f>
        <v>112799.993329191</v>
      </c>
      <c r="AW372" s="25">
        <f>Inventory[[#This Row],[UpprFn]]*Lookups!$B$87</f>
        <v>0</v>
      </c>
      <c r="AX372" s="25">
        <f>Inventory[[#This Row],[AddFn]]*Lookups!$B$88</f>
        <v>0</v>
      </c>
      <c r="AY372" s="25">
        <f>Inventory[[#This Row],[Bsmt]]*Lookups!$B$89</f>
        <v>0</v>
      </c>
      <c r="AZ372" s="25">
        <f>Inventory[[#This Row],[Fixtures]]*Lookups!$B$90</f>
        <v>41712.243157199999</v>
      </c>
      <c r="BA372" s="25">
        <f>Inventory[[#This Row],[WdDeck]]*Lookups!$B$91</f>
        <v>9622.4039147640015</v>
      </c>
      <c r="BB372" s="25">
        <f>ROUND(Inventory[[#This Row],[25Det]],-2)</f>
        <v>0</v>
      </c>
      <c r="BC372" s="25">
        <f>ROUND(SUM(Inventory[[#This Row],[Mdl Qlty]:[Mdl WdDeck]])+Inventory[[#This Row],[Mdl Res Intercept]],-2)</f>
        <v>395100</v>
      </c>
      <c r="BD372" s="25">
        <f>ROUND(Inventory[[#This Row],[Mdl Land Intercept]]+Inventory[[#This Row],[Mdl LnAcres]],-2)</f>
        <v>41900</v>
      </c>
      <c r="BE372" s="25">
        <f>Inventory[[#This Row],[Unadj Res Value]]+Inventory[[#This Row],[Unadj Det Value]]+Inventory[[#This Row],[Unadj Land Value]]</f>
        <v>437000</v>
      </c>
      <c r="BF372" s="36">
        <f>(Inventory[[#This Row],[Unadj Total Value]]-Inventory[[#This Row],[24Final]])/Inventory[[#This Row],[24Final]]</f>
        <v>9.004739336492891E-2</v>
      </c>
      <c r="BG372" s="25">
        <f>VLOOKUP(Inventory[[#This Row],[Nbhd]],Lookups!$Q$2:$T$4,4,FALSE)</f>
        <v>0.99970000000000003</v>
      </c>
      <c r="BH372" s="25">
        <f>VLOOKUP(Inventory[[#This Row],[Qlty]],Lookups!$O$7:$R$21,4,FALSE)</f>
        <v>0.98050000000000004</v>
      </c>
      <c r="BI372" s="25">
        <f>VLOOKUP(Inventory[[#This Row],[Cnd]],Lookups!$T$7:$W$16,4,FALSE)</f>
        <v>0.99650000000000005</v>
      </c>
      <c r="BJ372" s="25">
        <f>VLOOKUP(Inventory[[#This Row],[LivArea Range]],Lookups!$T$25:$W$37,4,FALSE)</f>
        <v>0.98919999999999997</v>
      </c>
      <c r="BK372" s="25">
        <f>VLOOKUP(Inventory[[#This Row],[Decade]],Lookups!$O$25:$R$42,4,FALSE)</f>
        <v>1.0199</v>
      </c>
      <c r="BL372" s="25">
        <f>Inventory[[#This Row],[Nbhd Adj]]*0.95</f>
        <v>0.94971499999999998</v>
      </c>
      <c r="BM372" s="25">
        <f>Inventory[[#This Row],[Nbhd Adj]]*Inventory[[#This Row],[Quality Adj]]*Inventory[[#This Row],[Condition Adj]]*Inventory[[#This Row],[Living Area Adj]]*Inventory[[#This Row],[Decade Adj]]*0.95</f>
        <v>0.936181161958198</v>
      </c>
      <c r="BN372" s="25">
        <f>ROUND(SUM(Inventory[[#This Row],[Mdl Qlty]:[Mdl WdDeck]])+Inventory[[#This Row],[Mdl Res Intercept]]*Inventory[[#This Row],[Res Adj ]],-2)</f>
        <v>395100</v>
      </c>
      <c r="BO372" s="25">
        <f>ROUND(Inventory[[#This Row],[25Det]]*Inventory[[#This Row],[Det/Nbhd Adj]],-2)</f>
        <v>0</v>
      </c>
      <c r="BP372" s="25">
        <f>Inventory[[#This Row],[Adjusted Res]]+Inventory[[#This Row],[Adj Det ]]</f>
        <v>395100</v>
      </c>
      <c r="BQ372" s="25">
        <f>ROUND((Inventory[[#This Row],[Mdl Land Intercept]]+Inventory[[#This Row],[Mdl LnAcres]])*Inventory[[#This Row],[Det/Nbhd Adj]],-2)</f>
        <v>39800</v>
      </c>
      <c r="BR372" s="25">
        <f>Inventory[[#This Row],[Adjusted Impr Total]]+Inventory[[#This Row],[Adjusted Land Total]]</f>
        <v>434900</v>
      </c>
      <c r="BS372" s="36">
        <f>IFERROR((Inventory[[#This Row],[Adjusted Impr Total]]-Inventory[[#This Row],[24Bldg]])/Inventory[[#This Row],[24Bldg]],0)</f>
        <v>0.16479952830188679</v>
      </c>
      <c r="BT372" s="36">
        <f>(Inventory[[#This Row],[Adjusted Land Total]]-Inventory[[#This Row],[24Lnd]])/Inventory[[#This Row],[24Lnd]]</f>
        <v>-0.35494327390599678</v>
      </c>
      <c r="BU372" s="36">
        <f>(Inventory[[#This Row],[Adjusted Total]]-Inventory[[#This Row],[24Final]])/Inventory[[#This Row],[24Final]]</f>
        <v>8.4809179346470448E-2</v>
      </c>
    </row>
    <row r="373" spans="1:73" x14ac:dyDescent="0.3">
      <c r="A373" s="25">
        <v>2025</v>
      </c>
      <c r="B373" s="26" t="s">
        <v>2083</v>
      </c>
      <c r="C373" s="26">
        <f>LN(Inventory[[#This Row],[Acres]])</f>
        <v>-1.3093333199837622</v>
      </c>
      <c r="D373" s="25">
        <v>0.27</v>
      </c>
      <c r="E373" s="25">
        <v>11900</v>
      </c>
      <c r="F373" s="26" t="s">
        <v>537</v>
      </c>
      <c r="G373" s="26" t="s">
        <v>126</v>
      </c>
      <c r="H373" s="26" t="s">
        <v>349</v>
      </c>
      <c r="I373" s="26" t="s">
        <v>538</v>
      </c>
      <c r="J373" s="26" t="s">
        <v>539</v>
      </c>
      <c r="K373" s="26" t="s">
        <v>241</v>
      </c>
      <c r="L373" s="26" t="s">
        <v>148</v>
      </c>
      <c r="M373" s="26" t="s">
        <v>323</v>
      </c>
      <c r="N373" s="26">
        <v>70</v>
      </c>
      <c r="O373" s="26">
        <f>2024-Inventory[[#This Row],[YrBlt]]</f>
        <v>61</v>
      </c>
      <c r="P373" s="26">
        <f>2024-Inventory[[#This Row],[EffYr]]</f>
        <v>49</v>
      </c>
      <c r="Q373" s="25">
        <v>1963</v>
      </c>
      <c r="R373" s="25">
        <v>1975</v>
      </c>
      <c r="S373" s="25">
        <v>1543</v>
      </c>
      <c r="T373" s="27"/>
      <c r="U373" s="25">
        <v>1543</v>
      </c>
      <c r="V373" s="25">
        <f>Inventory[[#This Row],[Bsmt]]-Inventory[[#This Row],[FnBsmt]]</f>
        <v>1117</v>
      </c>
      <c r="W373" s="25">
        <v>426</v>
      </c>
      <c r="X373" s="27"/>
      <c r="Y373" s="27">
        <f>Inventory[[#This Row],[MainFn]]+Inventory[[#This Row],[UpprFn]]+Inventory[[#This Row],[FnBsmt]]+Inventory[[#This Row],[AddFn]]</f>
        <v>1969</v>
      </c>
      <c r="Z373" s="27">
        <v>2000</v>
      </c>
      <c r="AA373" s="25">
        <v>7</v>
      </c>
      <c r="AB373" s="27"/>
      <c r="AC373" s="27"/>
      <c r="AD373" s="27"/>
      <c r="AE373" s="27"/>
      <c r="AF373" s="27"/>
      <c r="AG373" s="27"/>
      <c r="AH373" s="27"/>
      <c r="AI373" s="25">
        <v>431270</v>
      </c>
      <c r="AJ373" s="25">
        <v>306202</v>
      </c>
      <c r="AK373" s="25">
        <v>21743</v>
      </c>
      <c r="AL373" s="25">
        <v>382800</v>
      </c>
      <c r="AM373" s="25">
        <v>68900</v>
      </c>
      <c r="AN373" s="25">
        <v>313900</v>
      </c>
      <c r="AO373" s="25">
        <v>0</v>
      </c>
      <c r="AP373" s="25">
        <f>Lookups!$B$56*0</f>
        <v>0</v>
      </c>
      <c r="AQ373" s="25">
        <f>Lookups!$B$56*1</f>
        <v>89850.625589999996</v>
      </c>
      <c r="AR373" s="25">
        <f>Lookups!$B$57*Inventory[[#This Row],[LnAcres]]</f>
        <v>-41446.443120973789</v>
      </c>
      <c r="AS373" s="25">
        <f>VLOOKUP(Inventory[[#This Row],[Qlty]],Lookups!$A$62:$E$75,2,FALSE)</f>
        <v>44121.038090000002</v>
      </c>
      <c r="AT373" s="25">
        <f>VLOOKUP(Inventory[[#This Row],[Cnd]],Lookups!$A$76:$E$84,2,FALSE)</f>
        <v>160472.20319</v>
      </c>
      <c r="AU373" s="25">
        <f>Inventory[[#This Row],[EffAge]]*Lookups!$B$85</f>
        <v>-10929.2344245</v>
      </c>
      <c r="AV373" s="25">
        <f>Inventory[[#This Row],[MainFn]]*Lookups!$B$86</f>
        <v>76237.577620210999</v>
      </c>
      <c r="AW373" s="25">
        <f>Inventory[[#This Row],[UpprFn]]*Lookups!$B$87</f>
        <v>0</v>
      </c>
      <c r="AX373" s="25">
        <f>Inventory[[#This Row],[AddFn]]*Lookups!$B$88</f>
        <v>0</v>
      </c>
      <c r="AY373" s="25">
        <f>Inventory[[#This Row],[Bsmt]]*Lookups!$B$89</f>
        <v>44873.364366121001</v>
      </c>
      <c r="AZ373" s="25">
        <f>Inventory[[#This Row],[Fixtures]]*Lookups!$B$90</f>
        <v>26544.1547364</v>
      </c>
      <c r="BA373" s="25">
        <f>Inventory[[#This Row],[WdDeck]]*Lookups!$B$91</f>
        <v>0</v>
      </c>
      <c r="BB373" s="25">
        <f>ROUND(Inventory[[#This Row],[25Det]],-2)</f>
        <v>21700</v>
      </c>
      <c r="BC373" s="25">
        <f>ROUND(SUM(Inventory[[#This Row],[Mdl Qlty]:[Mdl WdDeck]])+Inventory[[#This Row],[Mdl Res Intercept]],-2)</f>
        <v>341300</v>
      </c>
      <c r="BD373" s="25">
        <f>ROUND(Inventory[[#This Row],[Mdl Land Intercept]]+Inventory[[#This Row],[Mdl LnAcres]],-2)</f>
        <v>48400</v>
      </c>
      <c r="BE373" s="25">
        <f>Inventory[[#This Row],[Unadj Res Value]]+Inventory[[#This Row],[Unadj Det Value]]+Inventory[[#This Row],[Unadj Land Value]]</f>
        <v>411400</v>
      </c>
      <c r="BF373" s="36">
        <f>(Inventory[[#This Row],[Unadj Total Value]]-Inventory[[#This Row],[24Final]])/Inventory[[#This Row],[24Final]]</f>
        <v>7.4712643678160925E-2</v>
      </c>
      <c r="BG373" s="25">
        <f>VLOOKUP(Inventory[[#This Row],[Nbhd]],Lookups!$Q$2:$T$4,4,FALSE)</f>
        <v>0.99970000000000003</v>
      </c>
      <c r="BH373" s="25">
        <f>VLOOKUP(Inventory[[#This Row],[Qlty]],Lookups!$O$7:$R$21,4,FALSE)</f>
        <v>0.98050000000000004</v>
      </c>
      <c r="BI373" s="25">
        <f>VLOOKUP(Inventory[[#This Row],[Cnd]],Lookups!$T$7:$W$16,4,FALSE)</f>
        <v>0.99729999999999996</v>
      </c>
      <c r="BJ373" s="25">
        <f>VLOOKUP(Inventory[[#This Row],[LivArea Range]],Lookups!$T$25:$W$37,4,FALSE)</f>
        <v>1.0093000000000001</v>
      </c>
      <c r="BK373" s="25">
        <f>VLOOKUP(Inventory[[#This Row],[Decade]],Lookups!$O$25:$R$42,4,FALSE)</f>
        <v>1.0199</v>
      </c>
      <c r="BL373" s="25">
        <f>Inventory[[#This Row],[Nbhd Adj]]*0.95</f>
        <v>0.94971499999999998</v>
      </c>
      <c r="BM373" s="25">
        <f>Inventory[[#This Row],[Nbhd Adj]]*Inventory[[#This Row],[Quality Adj]]*Inventory[[#This Row],[Condition Adj]]*Inventory[[#This Row],[Living Area Adj]]*Inventory[[#This Row],[Decade Adj]]*0.95</f>
        <v>0.95597069536964641</v>
      </c>
      <c r="BN373" s="25">
        <f>ROUND(SUM(Inventory[[#This Row],[Mdl Qlty]:[Mdl WdDeck]])+Inventory[[#This Row],[Mdl Res Intercept]]*Inventory[[#This Row],[Res Adj ]],-2)</f>
        <v>341300</v>
      </c>
      <c r="BO373" s="25">
        <f>ROUND(Inventory[[#This Row],[25Det]]*Inventory[[#This Row],[Det/Nbhd Adj]],-2)</f>
        <v>20600</v>
      </c>
      <c r="BP373" s="25">
        <f>Inventory[[#This Row],[Adjusted Res]]+Inventory[[#This Row],[Adj Det ]]</f>
        <v>361900</v>
      </c>
      <c r="BQ373" s="25">
        <f>ROUND((Inventory[[#This Row],[Mdl Land Intercept]]+Inventory[[#This Row],[Mdl LnAcres]])*Inventory[[#This Row],[Det/Nbhd Adj]],-2)</f>
        <v>46000</v>
      </c>
      <c r="BR373" s="25">
        <f>Inventory[[#This Row],[Adjusted Impr Total]]+Inventory[[#This Row],[Adjusted Land Total]]</f>
        <v>407900</v>
      </c>
      <c r="BS373" s="36">
        <f>IFERROR((Inventory[[#This Row],[Adjusted Impr Total]]-Inventory[[#This Row],[24Bldg]])/Inventory[[#This Row],[24Bldg]],0)</f>
        <v>0.15291494106403314</v>
      </c>
      <c r="BT373" s="36">
        <f>(Inventory[[#This Row],[Adjusted Land Total]]-Inventory[[#This Row],[24Lnd]])/Inventory[[#This Row],[24Lnd]]</f>
        <v>-0.33236574746008707</v>
      </c>
      <c r="BU373" s="36">
        <f>(Inventory[[#This Row],[Adjusted Total]]-Inventory[[#This Row],[24Final]])/Inventory[[#This Row],[24Final]]</f>
        <v>6.5569487983281091E-2</v>
      </c>
    </row>
    <row r="374" spans="1:73" x14ac:dyDescent="0.3">
      <c r="A374" s="25">
        <v>2025</v>
      </c>
      <c r="B374" s="26" t="s">
        <v>1361</v>
      </c>
      <c r="C374" s="26">
        <f>LN(Inventory[[#This Row],[Acres]])</f>
        <v>-1.3862943611198906</v>
      </c>
      <c r="D374" s="25">
        <v>0.25</v>
      </c>
      <c r="E374" s="25">
        <v>11081</v>
      </c>
      <c r="F374" s="26" t="s">
        <v>537</v>
      </c>
      <c r="G374" s="26" t="s">
        <v>126</v>
      </c>
      <c r="H374" s="26" t="s">
        <v>349</v>
      </c>
      <c r="I374" s="26" t="s">
        <v>538</v>
      </c>
      <c r="J374" s="26" t="s">
        <v>539</v>
      </c>
      <c r="K374" s="26" t="s">
        <v>241</v>
      </c>
      <c r="L374" s="26" t="s">
        <v>148</v>
      </c>
      <c r="M374" s="26" t="s">
        <v>323</v>
      </c>
      <c r="N374" s="26">
        <v>70</v>
      </c>
      <c r="O374" s="26">
        <f>2024-Inventory[[#This Row],[YrBlt]]</f>
        <v>61</v>
      </c>
      <c r="P374" s="26">
        <f>2024-Inventory[[#This Row],[EffYr]]</f>
        <v>49</v>
      </c>
      <c r="Q374" s="25">
        <v>1963</v>
      </c>
      <c r="R374" s="25">
        <v>1975</v>
      </c>
      <c r="S374" s="25">
        <v>1370</v>
      </c>
      <c r="T374" s="27"/>
      <c r="U374" s="31"/>
      <c r="V374" s="31">
        <f>Inventory[[#This Row],[Bsmt]]-Inventory[[#This Row],[FnBsmt]]</f>
        <v>0</v>
      </c>
      <c r="W374" s="31"/>
      <c r="X374" s="27"/>
      <c r="Y374" s="27">
        <f>Inventory[[#This Row],[MainFn]]+Inventory[[#This Row],[UpprFn]]+Inventory[[#This Row],[FnBsmt]]+Inventory[[#This Row],[AddFn]]</f>
        <v>1370</v>
      </c>
      <c r="Z374" s="27">
        <v>1500</v>
      </c>
      <c r="AA374" s="25">
        <v>6</v>
      </c>
      <c r="AB374" s="27"/>
      <c r="AC374" s="27"/>
      <c r="AD374" s="27"/>
      <c r="AE374" s="27"/>
      <c r="AF374" s="27"/>
      <c r="AG374" s="27"/>
      <c r="AH374" s="27"/>
      <c r="AI374" s="25">
        <v>307075</v>
      </c>
      <c r="AJ374" s="25">
        <v>218023</v>
      </c>
      <c r="AK374" s="25">
        <v>14889</v>
      </c>
      <c r="AL374" s="25">
        <v>324000</v>
      </c>
      <c r="AM374" s="25">
        <v>66200</v>
      </c>
      <c r="AN374" s="25">
        <v>257800</v>
      </c>
      <c r="AO374" s="25">
        <v>0</v>
      </c>
      <c r="AP374" s="25">
        <f>Lookups!$B$56*0</f>
        <v>0</v>
      </c>
      <c r="AQ374" s="25">
        <f>Lookups!$B$56*1</f>
        <v>89850.625589999996</v>
      </c>
      <c r="AR374" s="25">
        <f>Lookups!$B$57*Inventory[[#This Row],[LnAcres]]</f>
        <v>-43882.615305165229</v>
      </c>
      <c r="AS374" s="25">
        <f>VLOOKUP(Inventory[[#This Row],[Qlty]],Lookups!$A$62:$E$75,2,FALSE)</f>
        <v>44121.038090000002</v>
      </c>
      <c r="AT374" s="25">
        <f>VLOOKUP(Inventory[[#This Row],[Cnd]],Lookups!$A$76:$E$84,2,FALSE)</f>
        <v>160472.20319</v>
      </c>
      <c r="AU374" s="25">
        <f>Inventory[[#This Row],[EffAge]]*Lookups!$B$85</f>
        <v>-10929.2344245</v>
      </c>
      <c r="AV374" s="25">
        <f>Inventory[[#This Row],[MainFn]]*Lookups!$B$86</f>
        <v>67689.877731490007</v>
      </c>
      <c r="AW374" s="25">
        <f>Inventory[[#This Row],[UpprFn]]*Lookups!$B$87</f>
        <v>0</v>
      </c>
      <c r="AX374" s="25">
        <f>Inventory[[#This Row],[AddFn]]*Lookups!$B$88</f>
        <v>0</v>
      </c>
      <c r="AY374" s="25">
        <f>Inventory[[#This Row],[Bsmt]]*Lookups!$B$89</f>
        <v>0</v>
      </c>
      <c r="AZ374" s="25">
        <f>Inventory[[#This Row],[Fixtures]]*Lookups!$B$90</f>
        <v>22752.132631200002</v>
      </c>
      <c r="BA374" s="25">
        <f>Inventory[[#This Row],[WdDeck]]*Lookups!$B$91</f>
        <v>0</v>
      </c>
      <c r="BB374" s="25">
        <f>ROUND(Inventory[[#This Row],[25Det]],-2)</f>
        <v>14900</v>
      </c>
      <c r="BC374" s="25">
        <f>ROUND(SUM(Inventory[[#This Row],[Mdl Qlty]:[Mdl WdDeck]])+Inventory[[#This Row],[Mdl Res Intercept]],-2)</f>
        <v>284100</v>
      </c>
      <c r="BD374" s="25">
        <f>ROUND(Inventory[[#This Row],[Mdl Land Intercept]]+Inventory[[#This Row],[Mdl LnAcres]],-2)</f>
        <v>46000</v>
      </c>
      <c r="BE374" s="25">
        <f>Inventory[[#This Row],[Unadj Res Value]]+Inventory[[#This Row],[Unadj Det Value]]+Inventory[[#This Row],[Unadj Land Value]]</f>
        <v>345000</v>
      </c>
      <c r="BF374" s="36">
        <f>(Inventory[[#This Row],[Unadj Total Value]]-Inventory[[#This Row],[24Final]])/Inventory[[#This Row],[24Final]]</f>
        <v>6.4814814814814811E-2</v>
      </c>
      <c r="BG374" s="25">
        <f>VLOOKUP(Inventory[[#This Row],[Nbhd]],Lookups!$Q$2:$T$4,4,FALSE)</f>
        <v>0.99970000000000003</v>
      </c>
      <c r="BH374" s="25">
        <f>VLOOKUP(Inventory[[#This Row],[Qlty]],Lookups!$O$7:$R$21,4,FALSE)</f>
        <v>0.98050000000000004</v>
      </c>
      <c r="BI374" s="25">
        <f>VLOOKUP(Inventory[[#This Row],[Cnd]],Lookups!$T$7:$W$16,4,FALSE)</f>
        <v>0.99729999999999996</v>
      </c>
      <c r="BJ374" s="25">
        <f>VLOOKUP(Inventory[[#This Row],[LivArea Range]],Lookups!$T$25:$W$37,4,FALSE)</f>
        <v>1.0157</v>
      </c>
      <c r="BK374" s="25">
        <f>VLOOKUP(Inventory[[#This Row],[Decade]],Lookups!$O$25:$R$42,4,FALSE)</f>
        <v>1.0199</v>
      </c>
      <c r="BL374" s="25">
        <f>Inventory[[#This Row],[Nbhd Adj]]*0.95</f>
        <v>0.94971499999999998</v>
      </c>
      <c r="BM374" s="25">
        <f>Inventory[[#This Row],[Nbhd Adj]]*Inventory[[#This Row],[Quality Adj]]*Inventory[[#This Row],[Condition Adj]]*Inventory[[#This Row],[Living Area Adj]]*Inventory[[#This Row],[Decade Adj]]*0.95</f>
        <v>0.96203253273253719</v>
      </c>
      <c r="BN374" s="25">
        <f>ROUND(SUM(Inventory[[#This Row],[Mdl Qlty]:[Mdl WdDeck]])+Inventory[[#This Row],[Mdl Res Intercept]]*Inventory[[#This Row],[Res Adj ]],-2)</f>
        <v>284100</v>
      </c>
      <c r="BO374" s="25">
        <f>ROUND(Inventory[[#This Row],[25Det]]*Inventory[[#This Row],[Det/Nbhd Adj]],-2)</f>
        <v>14100</v>
      </c>
      <c r="BP374" s="25">
        <f>Inventory[[#This Row],[Adjusted Res]]+Inventory[[#This Row],[Adj Det ]]</f>
        <v>298200</v>
      </c>
      <c r="BQ374" s="25">
        <f>ROUND((Inventory[[#This Row],[Mdl Land Intercept]]+Inventory[[#This Row],[Mdl LnAcres]])*Inventory[[#This Row],[Det/Nbhd Adj]],-2)</f>
        <v>43700</v>
      </c>
      <c r="BR374" s="25">
        <f>Inventory[[#This Row],[Adjusted Impr Total]]+Inventory[[#This Row],[Adjusted Land Total]]</f>
        <v>341900</v>
      </c>
      <c r="BS374" s="36">
        <f>IFERROR((Inventory[[#This Row],[Adjusted Impr Total]]-Inventory[[#This Row],[24Bldg]])/Inventory[[#This Row],[24Bldg]],0)</f>
        <v>0.15671062839410396</v>
      </c>
      <c r="BT374" s="36">
        <f>(Inventory[[#This Row],[Adjusted Land Total]]-Inventory[[#This Row],[24Lnd]])/Inventory[[#This Row],[24Lnd]]</f>
        <v>-0.33987915407854985</v>
      </c>
      <c r="BU374" s="36">
        <f>(Inventory[[#This Row],[Adjusted Total]]-Inventory[[#This Row],[24Final]])/Inventory[[#This Row],[24Final]]</f>
        <v>5.5246913580246915E-2</v>
      </c>
    </row>
    <row r="375" spans="1:73" x14ac:dyDescent="0.3">
      <c r="A375" s="25">
        <v>2025</v>
      </c>
      <c r="B375" s="26" t="s">
        <v>1685</v>
      </c>
      <c r="C375" s="26">
        <f>LN(Inventory[[#This Row],[Acres]])</f>
        <v>-1.2729656758128873</v>
      </c>
      <c r="D375" s="25">
        <v>0.28000000000000003</v>
      </c>
      <c r="E375" s="25">
        <v>12319</v>
      </c>
      <c r="F375" s="26" t="s">
        <v>537</v>
      </c>
      <c r="G375" s="26" t="s">
        <v>126</v>
      </c>
      <c r="H375" s="26" t="s">
        <v>349</v>
      </c>
      <c r="I375" s="26" t="s">
        <v>538</v>
      </c>
      <c r="J375" s="26" t="s">
        <v>539</v>
      </c>
      <c r="K375" s="26" t="s">
        <v>241</v>
      </c>
      <c r="L375" s="26" t="s">
        <v>148</v>
      </c>
      <c r="M375" s="26" t="s">
        <v>303</v>
      </c>
      <c r="N375" s="26">
        <v>70</v>
      </c>
      <c r="O375" s="26">
        <f>2024-Inventory[[#This Row],[YrBlt]]</f>
        <v>61</v>
      </c>
      <c r="P375" s="26">
        <f>2024-Inventory[[#This Row],[EffYr]]</f>
        <v>49</v>
      </c>
      <c r="Q375" s="25">
        <v>1963</v>
      </c>
      <c r="R375" s="25">
        <v>1975</v>
      </c>
      <c r="S375" s="25">
        <v>2172</v>
      </c>
      <c r="T375" s="31"/>
      <c r="U375" s="25">
        <v>2172</v>
      </c>
      <c r="V375" s="32">
        <f>Inventory[[#This Row],[Bsmt]]-Inventory[[#This Row],[FnBsmt]]</f>
        <v>0</v>
      </c>
      <c r="W375" s="32">
        <v>2172</v>
      </c>
      <c r="X375" s="27"/>
      <c r="Y375" s="27">
        <f>Inventory[[#This Row],[MainFn]]+Inventory[[#This Row],[UpprFn]]+Inventory[[#This Row],[FnBsmt]]+Inventory[[#This Row],[AddFn]]</f>
        <v>4344</v>
      </c>
      <c r="Z375" s="27">
        <v>4500</v>
      </c>
      <c r="AA375" s="25">
        <v>8</v>
      </c>
      <c r="AB375" s="32">
        <v>528</v>
      </c>
      <c r="AC375" s="27"/>
      <c r="AD375" s="32">
        <v>195</v>
      </c>
      <c r="AE375" s="27"/>
      <c r="AF375" s="27"/>
      <c r="AG375" s="27"/>
      <c r="AH375" s="27"/>
      <c r="AI375" s="25">
        <v>730967</v>
      </c>
      <c r="AJ375" s="25">
        <v>526296</v>
      </c>
      <c r="AK375" s="25">
        <v>0</v>
      </c>
      <c r="AL375" s="25">
        <v>464000</v>
      </c>
      <c r="AM375" s="25">
        <v>70100</v>
      </c>
      <c r="AN375" s="25">
        <v>393900</v>
      </c>
      <c r="AO375" s="25">
        <v>0</v>
      </c>
      <c r="AP375" s="25">
        <f>Lookups!$B$56*0</f>
        <v>0</v>
      </c>
      <c r="AQ375" s="25">
        <f>Lookups!$B$56*1</f>
        <v>89850.625589999996</v>
      </c>
      <c r="AR375" s="25">
        <f>Lookups!$B$57*Inventory[[#This Row],[LnAcres]]</f>
        <v>-40295.239319339329</v>
      </c>
      <c r="AS375" s="25">
        <f>VLOOKUP(Inventory[[#This Row],[Qlty]],Lookups!$A$62:$E$75,2,FALSE)</f>
        <v>44121.038090000002</v>
      </c>
      <c r="AT375" s="25">
        <f>VLOOKUP(Inventory[[#This Row],[Cnd]],Lookups!$A$76:$E$84,2,FALSE)</f>
        <v>197752.34721000001</v>
      </c>
      <c r="AU375" s="25">
        <f>Inventory[[#This Row],[EffAge]]*Lookups!$B$85</f>
        <v>-10929.2344245</v>
      </c>
      <c r="AV375" s="25">
        <f>Inventory[[#This Row],[MainFn]]*Lookups!$B$86</f>
        <v>107315.630972844</v>
      </c>
      <c r="AW375" s="25">
        <f>Inventory[[#This Row],[UpprFn]]*Lookups!$B$87</f>
        <v>0</v>
      </c>
      <c r="AX375" s="25">
        <f>Inventory[[#This Row],[AddFn]]*Lookups!$B$88</f>
        <v>0</v>
      </c>
      <c r="AY375" s="25">
        <f>Inventory[[#This Row],[Bsmt]]*Lookups!$B$89</f>
        <v>63165.876476483994</v>
      </c>
      <c r="AZ375" s="25">
        <f>Inventory[[#This Row],[Fixtures]]*Lookups!$B$90</f>
        <v>30336.176841600001</v>
      </c>
      <c r="BA375" s="25">
        <f>Inventory[[#This Row],[WdDeck]]*Lookups!$B$91</f>
        <v>6492.6254788200004</v>
      </c>
      <c r="BB375" s="25">
        <f>ROUND(Inventory[[#This Row],[25Det]],-2)</f>
        <v>0</v>
      </c>
      <c r="BC375" s="25">
        <f>ROUND(SUM(Inventory[[#This Row],[Mdl Qlty]:[Mdl WdDeck]])+Inventory[[#This Row],[Mdl Res Intercept]],-2)</f>
        <v>438300</v>
      </c>
      <c r="BD375" s="25">
        <f>ROUND(Inventory[[#This Row],[Mdl Land Intercept]]+Inventory[[#This Row],[Mdl LnAcres]],-2)</f>
        <v>49600</v>
      </c>
      <c r="BE375" s="25">
        <f>Inventory[[#This Row],[Unadj Res Value]]+Inventory[[#This Row],[Unadj Det Value]]+Inventory[[#This Row],[Unadj Land Value]]</f>
        <v>487900</v>
      </c>
      <c r="BF375" s="36">
        <f>(Inventory[[#This Row],[Unadj Total Value]]-Inventory[[#This Row],[24Final]])/Inventory[[#This Row],[24Final]]</f>
        <v>5.1508620689655171E-2</v>
      </c>
      <c r="BG375" s="25">
        <f>VLOOKUP(Inventory[[#This Row],[Nbhd]],Lookups!$Q$2:$T$4,4,FALSE)</f>
        <v>0.99970000000000003</v>
      </c>
      <c r="BH375" s="25">
        <f>VLOOKUP(Inventory[[#This Row],[Qlty]],Lookups!$O$7:$R$21,4,FALSE)</f>
        <v>0.98050000000000004</v>
      </c>
      <c r="BI375" s="25">
        <f>VLOOKUP(Inventory[[#This Row],[Cnd]],Lookups!$T$7:$W$16,4,FALSE)</f>
        <v>0.99650000000000005</v>
      </c>
      <c r="BJ375" s="25">
        <f>VLOOKUP(Inventory[[#This Row],[LivArea Range]],Lookups!$T$25:$W$37,4,FALSE)</f>
        <v>1</v>
      </c>
      <c r="BK375" s="25">
        <f>VLOOKUP(Inventory[[#This Row],[Decade]],Lookups!$O$25:$R$42,4,FALSE)</f>
        <v>1.0199</v>
      </c>
      <c r="BL375" s="25">
        <f>Inventory[[#This Row],[Nbhd Adj]]*0.95</f>
        <v>0.94971499999999998</v>
      </c>
      <c r="BM375" s="25">
        <f>Inventory[[#This Row],[Nbhd Adj]]*Inventory[[#This Row],[Quality Adj]]*Inventory[[#This Row],[Condition Adj]]*Inventory[[#This Row],[Living Area Adj]]*Inventory[[#This Row],[Decade Adj]]*0.95</f>
        <v>0.94640230687242022</v>
      </c>
      <c r="BN375" s="25">
        <f>ROUND(SUM(Inventory[[#This Row],[Mdl Qlty]:[Mdl WdDeck]])+Inventory[[#This Row],[Mdl Res Intercept]]*Inventory[[#This Row],[Res Adj ]],-2)</f>
        <v>438300</v>
      </c>
      <c r="BO375" s="25">
        <f>ROUND(Inventory[[#This Row],[25Det]]*Inventory[[#This Row],[Det/Nbhd Adj]],-2)</f>
        <v>0</v>
      </c>
      <c r="BP375" s="25">
        <f>Inventory[[#This Row],[Adjusted Res]]+Inventory[[#This Row],[Adj Det ]]</f>
        <v>438300</v>
      </c>
      <c r="BQ375" s="25">
        <f>ROUND((Inventory[[#This Row],[Mdl Land Intercept]]+Inventory[[#This Row],[Mdl LnAcres]])*Inventory[[#This Row],[Det/Nbhd Adj]],-2)</f>
        <v>47100</v>
      </c>
      <c r="BR375" s="25">
        <f>Inventory[[#This Row],[Adjusted Impr Total]]+Inventory[[#This Row],[Adjusted Land Total]]</f>
        <v>485400</v>
      </c>
      <c r="BS375" s="36">
        <f>IFERROR((Inventory[[#This Row],[Adjusted Impr Total]]-Inventory[[#This Row],[24Bldg]])/Inventory[[#This Row],[24Bldg]],0)</f>
        <v>0.11271896420411272</v>
      </c>
      <c r="BT375" s="36">
        <f>(Inventory[[#This Row],[Adjusted Land Total]]-Inventory[[#This Row],[24Lnd]])/Inventory[[#This Row],[24Lnd]]</f>
        <v>-0.32810271041369471</v>
      </c>
      <c r="BU375" s="36">
        <f>(Inventory[[#This Row],[Adjusted Total]]-Inventory[[#This Row],[24Final]])/Inventory[[#This Row],[24Final]]</f>
        <v>4.6120689655172416E-2</v>
      </c>
    </row>
    <row r="376" spans="1:73" x14ac:dyDescent="0.3">
      <c r="A376" s="25">
        <v>2025</v>
      </c>
      <c r="B376" s="26" t="s">
        <v>2503</v>
      </c>
      <c r="C376" s="26">
        <f>LN(Inventory[[#This Row],[Acres]])</f>
        <v>-1.7147984280919266</v>
      </c>
      <c r="D376" s="25">
        <v>0.18</v>
      </c>
      <c r="E376" s="25">
        <v>7638</v>
      </c>
      <c r="F376" s="26" t="s">
        <v>537</v>
      </c>
      <c r="G376" s="26" t="s">
        <v>126</v>
      </c>
      <c r="H376" s="26" t="s">
        <v>349</v>
      </c>
      <c r="I376" s="26" t="s">
        <v>538</v>
      </c>
      <c r="J376" s="26" t="s">
        <v>539</v>
      </c>
      <c r="K376" s="26" t="s">
        <v>241</v>
      </c>
      <c r="L376" s="26" t="s">
        <v>351</v>
      </c>
      <c r="M376" s="26" t="s">
        <v>323</v>
      </c>
      <c r="N376" s="26">
        <v>70</v>
      </c>
      <c r="O376" s="26">
        <f>2024-Inventory[[#This Row],[YrBlt]]</f>
        <v>61</v>
      </c>
      <c r="P376" s="26">
        <f>2024-Inventory[[#This Row],[EffYr]]</f>
        <v>49</v>
      </c>
      <c r="Q376" s="25">
        <v>1963</v>
      </c>
      <c r="R376" s="25">
        <v>1975</v>
      </c>
      <c r="S376" s="25">
        <v>1410</v>
      </c>
      <c r="T376" s="31"/>
      <c r="U376" s="31"/>
      <c r="V376" s="31">
        <f>Inventory[[#This Row],[Bsmt]]-Inventory[[#This Row],[FnBsmt]]</f>
        <v>0</v>
      </c>
      <c r="W376" s="31"/>
      <c r="X376" s="27"/>
      <c r="Y376" s="27">
        <f>Inventory[[#This Row],[MainFn]]+Inventory[[#This Row],[UpprFn]]+Inventory[[#This Row],[FnBsmt]]+Inventory[[#This Row],[AddFn]]</f>
        <v>1410</v>
      </c>
      <c r="Z376" s="27">
        <v>1500</v>
      </c>
      <c r="AA376" s="25">
        <v>9</v>
      </c>
      <c r="AB376" s="32">
        <v>440</v>
      </c>
      <c r="AC376" s="27"/>
      <c r="AD376" s="27"/>
      <c r="AE376" s="27"/>
      <c r="AF376" s="27"/>
      <c r="AG376" s="27"/>
      <c r="AH376" s="27"/>
      <c r="AI376" s="25">
        <v>254078</v>
      </c>
      <c r="AJ376" s="25">
        <v>180395</v>
      </c>
      <c r="AK376" s="25">
        <v>0</v>
      </c>
      <c r="AL376" s="25">
        <v>295300</v>
      </c>
      <c r="AM376" s="25">
        <v>54700</v>
      </c>
      <c r="AN376" s="25">
        <v>240600</v>
      </c>
      <c r="AO376" s="25">
        <v>0</v>
      </c>
      <c r="AP376" s="25">
        <f>Lookups!$B$56*0</f>
        <v>0</v>
      </c>
      <c r="AQ376" s="25">
        <f>Lookups!$B$56*1</f>
        <v>89850.625589999996</v>
      </c>
      <c r="AR376" s="25">
        <f>Lookups!$B$57*Inventory[[#This Row],[LnAcres]]</f>
        <v>-54281.285314520763</v>
      </c>
      <c r="AS376" s="25">
        <f>VLOOKUP(Inventory[[#This Row],[Qlty]],Lookups!$A$62:$E$75,2,FALSE)</f>
        <v>21557.329055999999</v>
      </c>
      <c r="AT376" s="25">
        <f>VLOOKUP(Inventory[[#This Row],[Cnd]],Lookups!$A$76:$E$84,2,FALSE)</f>
        <v>160472.20319</v>
      </c>
      <c r="AU376" s="25">
        <f>Inventory[[#This Row],[EffAge]]*Lookups!$B$85</f>
        <v>-10929.2344245</v>
      </c>
      <c r="AV376" s="25">
        <f>Inventory[[#This Row],[MainFn]]*Lookups!$B$86</f>
        <v>69666.224526570004</v>
      </c>
      <c r="AW376" s="25">
        <f>Inventory[[#This Row],[UpprFn]]*Lookups!$B$87</f>
        <v>0</v>
      </c>
      <c r="AX376" s="25">
        <f>Inventory[[#This Row],[AddFn]]*Lookups!$B$88</f>
        <v>0</v>
      </c>
      <c r="AY376" s="25">
        <f>Inventory[[#This Row],[Bsmt]]*Lookups!$B$89</f>
        <v>0</v>
      </c>
      <c r="AZ376" s="25">
        <f>Inventory[[#This Row],[Fixtures]]*Lookups!$B$90</f>
        <v>34128.198946800003</v>
      </c>
      <c r="BA376" s="25">
        <f>Inventory[[#This Row],[WdDeck]]*Lookups!$B$91</f>
        <v>0</v>
      </c>
      <c r="BB376" s="25">
        <f>ROUND(Inventory[[#This Row],[25Det]],-2)</f>
        <v>0</v>
      </c>
      <c r="BC376" s="25">
        <f>ROUND(SUM(Inventory[[#This Row],[Mdl Qlty]:[Mdl WdDeck]])+Inventory[[#This Row],[Mdl Res Intercept]],-2)</f>
        <v>274900</v>
      </c>
      <c r="BD376" s="25">
        <f>ROUND(Inventory[[#This Row],[Mdl Land Intercept]]+Inventory[[#This Row],[Mdl LnAcres]],-2)</f>
        <v>35600</v>
      </c>
      <c r="BE376" s="25">
        <f>Inventory[[#This Row],[Unadj Res Value]]+Inventory[[#This Row],[Unadj Det Value]]+Inventory[[#This Row],[Unadj Land Value]]</f>
        <v>310500</v>
      </c>
      <c r="BF376" s="36">
        <f>(Inventory[[#This Row],[Unadj Total Value]]-Inventory[[#This Row],[24Final]])/Inventory[[#This Row],[24Final]]</f>
        <v>5.1473078225533354E-2</v>
      </c>
      <c r="BG376" s="25">
        <f>VLOOKUP(Inventory[[#This Row],[Nbhd]],Lookups!$Q$2:$T$4,4,FALSE)</f>
        <v>0.99970000000000003</v>
      </c>
      <c r="BH376" s="25">
        <f>VLOOKUP(Inventory[[#This Row],[Qlty]],Lookups!$O$7:$R$21,4,FALSE)</f>
        <v>1.0067999999999999</v>
      </c>
      <c r="BI376" s="25">
        <f>VLOOKUP(Inventory[[#This Row],[Cnd]],Lookups!$T$7:$W$16,4,FALSE)</f>
        <v>0.99729999999999996</v>
      </c>
      <c r="BJ376" s="25">
        <f>VLOOKUP(Inventory[[#This Row],[LivArea Range]],Lookups!$T$25:$W$37,4,FALSE)</f>
        <v>1.0157</v>
      </c>
      <c r="BK376" s="25">
        <f>VLOOKUP(Inventory[[#This Row],[Decade]],Lookups!$O$25:$R$42,4,FALSE)</f>
        <v>1.0199</v>
      </c>
      <c r="BL376" s="25">
        <f>Inventory[[#This Row],[Nbhd Adj]]*0.95</f>
        <v>0.94971499999999998</v>
      </c>
      <c r="BM376" s="25">
        <f>Inventory[[#This Row],[Nbhd Adj]]*Inventory[[#This Row],[Quality Adj]]*Inventory[[#This Row],[Condition Adj]]*Inventory[[#This Row],[Living Area Adj]]*Inventory[[#This Row],[Decade Adj]]*0.95</f>
        <v>0.98783717894453682</v>
      </c>
      <c r="BN376" s="25">
        <f>ROUND(SUM(Inventory[[#This Row],[Mdl Qlty]:[Mdl WdDeck]])+Inventory[[#This Row],[Mdl Res Intercept]]*Inventory[[#This Row],[Res Adj ]],-2)</f>
        <v>274900</v>
      </c>
      <c r="BO376" s="25">
        <f>ROUND(Inventory[[#This Row],[25Det]]*Inventory[[#This Row],[Det/Nbhd Adj]],-2)</f>
        <v>0</v>
      </c>
      <c r="BP376" s="25">
        <f>Inventory[[#This Row],[Adjusted Res]]+Inventory[[#This Row],[Adj Det ]]</f>
        <v>274900</v>
      </c>
      <c r="BQ376" s="25">
        <f>ROUND((Inventory[[#This Row],[Mdl Land Intercept]]+Inventory[[#This Row],[Mdl LnAcres]])*Inventory[[#This Row],[Det/Nbhd Adj]],-2)</f>
        <v>33800</v>
      </c>
      <c r="BR376" s="25">
        <f>Inventory[[#This Row],[Adjusted Impr Total]]+Inventory[[#This Row],[Adjusted Land Total]]</f>
        <v>308700</v>
      </c>
      <c r="BS376" s="36">
        <f>IFERROR((Inventory[[#This Row],[Adjusted Impr Total]]-Inventory[[#This Row],[24Bldg]])/Inventory[[#This Row],[24Bldg]],0)</f>
        <v>0.14256026600166252</v>
      </c>
      <c r="BT376" s="36">
        <f>(Inventory[[#This Row],[Adjusted Land Total]]-Inventory[[#This Row],[24Lnd]])/Inventory[[#This Row],[24Lnd]]</f>
        <v>-0.38208409506398539</v>
      </c>
      <c r="BU376" s="36">
        <f>(Inventory[[#This Row],[Adjusted Total]]-Inventory[[#This Row],[24Final]])/Inventory[[#This Row],[24Final]]</f>
        <v>4.5377582119878093E-2</v>
      </c>
    </row>
    <row r="377" spans="1:73" x14ac:dyDescent="0.3">
      <c r="A377" s="25">
        <v>2025</v>
      </c>
      <c r="B377" s="26" t="s">
        <v>2091</v>
      </c>
      <c r="C377" s="26">
        <f>LN(Inventory[[#This Row],[Acres]])</f>
        <v>-1.3862943611198906</v>
      </c>
      <c r="D377" s="25">
        <v>0.25</v>
      </c>
      <c r="E377" s="25">
        <v>11023</v>
      </c>
      <c r="F377" s="26" t="s">
        <v>537</v>
      </c>
      <c r="G377" s="26" t="s">
        <v>126</v>
      </c>
      <c r="H377" s="26" t="s">
        <v>349</v>
      </c>
      <c r="I377" s="26" t="s">
        <v>538</v>
      </c>
      <c r="J377" s="26" t="s">
        <v>539</v>
      </c>
      <c r="K377" s="26" t="s">
        <v>241</v>
      </c>
      <c r="L377" s="26" t="s">
        <v>148</v>
      </c>
      <c r="M377" s="26" t="s">
        <v>323</v>
      </c>
      <c r="N377" s="26">
        <v>70</v>
      </c>
      <c r="O377" s="26">
        <f>2024-Inventory[[#This Row],[YrBlt]]</f>
        <v>61</v>
      </c>
      <c r="P377" s="26">
        <f>2024-Inventory[[#This Row],[EffYr]]</f>
        <v>49</v>
      </c>
      <c r="Q377" s="25">
        <v>1963</v>
      </c>
      <c r="R377" s="25">
        <v>1975</v>
      </c>
      <c r="S377" s="25">
        <v>1716</v>
      </c>
      <c r="T377" s="27"/>
      <c r="U377" s="31"/>
      <c r="V377" s="27">
        <f>Inventory[[#This Row],[Bsmt]]-Inventory[[#This Row],[FnBsmt]]</f>
        <v>0</v>
      </c>
      <c r="W377" s="27"/>
      <c r="X377" s="27"/>
      <c r="Y377" s="27">
        <f>Inventory[[#This Row],[MainFn]]+Inventory[[#This Row],[UpprFn]]+Inventory[[#This Row],[FnBsmt]]+Inventory[[#This Row],[AddFn]]</f>
        <v>1716</v>
      </c>
      <c r="Z377" s="27">
        <v>2000</v>
      </c>
      <c r="AA377" s="25">
        <v>8</v>
      </c>
      <c r="AB377" s="32">
        <v>324</v>
      </c>
      <c r="AC377" s="27"/>
      <c r="AD377" s="27"/>
      <c r="AE377" s="27"/>
      <c r="AF377" s="27"/>
      <c r="AG377" s="27"/>
      <c r="AH377" s="27"/>
      <c r="AI377" s="25">
        <v>384751</v>
      </c>
      <c r="AJ377" s="25">
        <v>273173</v>
      </c>
      <c r="AK377" s="25">
        <v>0</v>
      </c>
      <c r="AL377" s="25">
        <v>339500</v>
      </c>
      <c r="AM377" s="25">
        <v>66200</v>
      </c>
      <c r="AN377" s="25">
        <v>273300</v>
      </c>
      <c r="AO377" s="25">
        <v>0</v>
      </c>
      <c r="AP377" s="25">
        <f>Lookups!$B$56*0</f>
        <v>0</v>
      </c>
      <c r="AQ377" s="25">
        <f>Lookups!$B$56*1</f>
        <v>89850.625589999996</v>
      </c>
      <c r="AR377" s="25">
        <f>Lookups!$B$57*Inventory[[#This Row],[LnAcres]]</f>
        <v>-43882.615305165229</v>
      </c>
      <c r="AS377" s="25">
        <f>VLOOKUP(Inventory[[#This Row],[Qlty]],Lookups!$A$62:$E$75,2,FALSE)</f>
        <v>44121.038090000002</v>
      </c>
      <c r="AT377" s="25">
        <f>VLOOKUP(Inventory[[#This Row],[Cnd]],Lookups!$A$76:$E$84,2,FALSE)</f>
        <v>160472.20319</v>
      </c>
      <c r="AU377" s="25">
        <f>Inventory[[#This Row],[EffAge]]*Lookups!$B$85</f>
        <v>-10929.2344245</v>
      </c>
      <c r="AV377" s="25">
        <f>Inventory[[#This Row],[MainFn]]*Lookups!$B$86</f>
        <v>84785.277508932006</v>
      </c>
      <c r="AW377" s="25">
        <f>Inventory[[#This Row],[UpprFn]]*Lookups!$B$87</f>
        <v>0</v>
      </c>
      <c r="AX377" s="25">
        <f>Inventory[[#This Row],[AddFn]]*Lookups!$B$88</f>
        <v>0</v>
      </c>
      <c r="AY377" s="25">
        <f>Inventory[[#This Row],[Bsmt]]*Lookups!$B$89</f>
        <v>0</v>
      </c>
      <c r="AZ377" s="25">
        <f>Inventory[[#This Row],[Fixtures]]*Lookups!$B$90</f>
        <v>30336.176841600001</v>
      </c>
      <c r="BA377" s="25">
        <f>Inventory[[#This Row],[WdDeck]]*Lookups!$B$91</f>
        <v>0</v>
      </c>
      <c r="BB377" s="25">
        <f>ROUND(Inventory[[#This Row],[25Det]],-2)</f>
        <v>0</v>
      </c>
      <c r="BC377" s="25">
        <f>ROUND(SUM(Inventory[[#This Row],[Mdl Qlty]:[Mdl WdDeck]])+Inventory[[#This Row],[Mdl Res Intercept]],-2)</f>
        <v>308800</v>
      </c>
      <c r="BD377" s="25">
        <f>ROUND(Inventory[[#This Row],[Mdl Land Intercept]]+Inventory[[#This Row],[Mdl LnAcres]],-2)</f>
        <v>46000</v>
      </c>
      <c r="BE377" s="25">
        <f>Inventory[[#This Row],[Unadj Res Value]]+Inventory[[#This Row],[Unadj Det Value]]+Inventory[[#This Row],[Unadj Land Value]]</f>
        <v>354800</v>
      </c>
      <c r="BF377" s="36">
        <f>(Inventory[[#This Row],[Unadj Total Value]]-Inventory[[#This Row],[24Final]])/Inventory[[#This Row],[24Final]]</f>
        <v>4.5066273932253313E-2</v>
      </c>
      <c r="BG377" s="25">
        <f>VLOOKUP(Inventory[[#This Row],[Nbhd]],Lookups!$Q$2:$T$4,4,FALSE)</f>
        <v>0.99970000000000003</v>
      </c>
      <c r="BH377" s="25">
        <f>VLOOKUP(Inventory[[#This Row],[Qlty]],Lookups!$O$7:$R$21,4,FALSE)</f>
        <v>0.98050000000000004</v>
      </c>
      <c r="BI377" s="25">
        <f>VLOOKUP(Inventory[[#This Row],[Cnd]],Lookups!$T$7:$W$16,4,FALSE)</f>
        <v>0.99729999999999996</v>
      </c>
      <c r="BJ377" s="25">
        <f>VLOOKUP(Inventory[[#This Row],[LivArea Range]],Lookups!$T$25:$W$37,4,FALSE)</f>
        <v>1.0093000000000001</v>
      </c>
      <c r="BK377" s="25">
        <f>VLOOKUP(Inventory[[#This Row],[Decade]],Lookups!$O$25:$R$42,4,FALSE)</f>
        <v>1.0199</v>
      </c>
      <c r="BL377" s="25">
        <f>Inventory[[#This Row],[Nbhd Adj]]*0.95</f>
        <v>0.94971499999999998</v>
      </c>
      <c r="BM377" s="25">
        <f>Inventory[[#This Row],[Nbhd Adj]]*Inventory[[#This Row],[Quality Adj]]*Inventory[[#This Row],[Condition Adj]]*Inventory[[#This Row],[Living Area Adj]]*Inventory[[#This Row],[Decade Adj]]*0.95</f>
        <v>0.95597069536964641</v>
      </c>
      <c r="BN377" s="25">
        <f>ROUND(SUM(Inventory[[#This Row],[Mdl Qlty]:[Mdl WdDeck]])+Inventory[[#This Row],[Mdl Res Intercept]]*Inventory[[#This Row],[Res Adj ]],-2)</f>
        <v>308800</v>
      </c>
      <c r="BO377" s="25">
        <f>ROUND(Inventory[[#This Row],[25Det]]*Inventory[[#This Row],[Det/Nbhd Adj]],-2)</f>
        <v>0</v>
      </c>
      <c r="BP377" s="25">
        <f>Inventory[[#This Row],[Adjusted Res]]+Inventory[[#This Row],[Adj Det ]]</f>
        <v>308800</v>
      </c>
      <c r="BQ377" s="25">
        <f>ROUND((Inventory[[#This Row],[Mdl Land Intercept]]+Inventory[[#This Row],[Mdl LnAcres]])*Inventory[[#This Row],[Det/Nbhd Adj]],-2)</f>
        <v>43700</v>
      </c>
      <c r="BR377" s="25">
        <f>Inventory[[#This Row],[Adjusted Impr Total]]+Inventory[[#This Row],[Adjusted Land Total]]</f>
        <v>352500</v>
      </c>
      <c r="BS377" s="36">
        <f>IFERROR((Inventory[[#This Row],[Adjusted Impr Total]]-Inventory[[#This Row],[24Bldg]])/Inventory[[#This Row],[24Bldg]],0)</f>
        <v>0.12989388949871936</v>
      </c>
      <c r="BT377" s="36">
        <f>(Inventory[[#This Row],[Adjusted Land Total]]-Inventory[[#This Row],[24Lnd]])/Inventory[[#This Row],[24Lnd]]</f>
        <v>-0.33987915407854985</v>
      </c>
      <c r="BU377" s="36">
        <f>(Inventory[[#This Row],[Adjusted Total]]-Inventory[[#This Row],[24Final]])/Inventory[[#This Row],[24Final]]</f>
        <v>3.8291605301914583E-2</v>
      </c>
    </row>
    <row r="378" spans="1:73" x14ac:dyDescent="0.3">
      <c r="A378" s="25">
        <v>2025</v>
      </c>
      <c r="B378" s="26" t="s">
        <v>919</v>
      </c>
      <c r="C378" s="26">
        <f>LN(Inventory[[#This Row],[Acres]])</f>
        <v>-0.9942522733438669</v>
      </c>
      <c r="D378" s="25">
        <v>0.37</v>
      </c>
      <c r="E378" s="25">
        <v>16008</v>
      </c>
      <c r="F378" s="26" t="s">
        <v>537</v>
      </c>
      <c r="G378" s="26" t="s">
        <v>126</v>
      </c>
      <c r="H378" s="26" t="s">
        <v>349</v>
      </c>
      <c r="I378" s="26" t="s">
        <v>538</v>
      </c>
      <c r="J378" s="26" t="s">
        <v>539</v>
      </c>
      <c r="K378" s="26" t="s">
        <v>241</v>
      </c>
      <c r="L378" s="26" t="s">
        <v>351</v>
      </c>
      <c r="M378" s="26" t="s">
        <v>303</v>
      </c>
      <c r="N378" s="26">
        <v>70</v>
      </c>
      <c r="O378" s="26">
        <f>2024-Inventory[[#This Row],[YrBlt]]</f>
        <v>61</v>
      </c>
      <c r="P378" s="26">
        <f>2024-Inventory[[#This Row],[EffYr]]</f>
        <v>49</v>
      </c>
      <c r="Q378" s="25">
        <v>1963</v>
      </c>
      <c r="R378" s="25">
        <v>1975</v>
      </c>
      <c r="S378" s="25">
        <v>1320</v>
      </c>
      <c r="T378" s="31"/>
      <c r="U378" s="25">
        <v>1320</v>
      </c>
      <c r="V378" s="25">
        <f>Inventory[[#This Row],[Bsmt]]-Inventory[[#This Row],[FnBsmt]]</f>
        <v>0</v>
      </c>
      <c r="W378" s="25">
        <v>1320</v>
      </c>
      <c r="X378" s="27"/>
      <c r="Y378" s="27">
        <f>Inventory[[#This Row],[MainFn]]+Inventory[[#This Row],[UpprFn]]+Inventory[[#This Row],[FnBsmt]]+Inventory[[#This Row],[AddFn]]</f>
        <v>2640</v>
      </c>
      <c r="Z378" s="27">
        <v>3000</v>
      </c>
      <c r="AA378" s="25">
        <v>8</v>
      </c>
      <c r="AB378" s="27"/>
      <c r="AC378" s="27"/>
      <c r="AD378" s="27"/>
      <c r="AE378" s="27"/>
      <c r="AF378" s="27"/>
      <c r="AG378" s="27"/>
      <c r="AH378" s="27"/>
      <c r="AI378" s="25">
        <v>341397</v>
      </c>
      <c r="AJ378" s="25">
        <v>245806</v>
      </c>
      <c r="AK378" s="25">
        <v>44467</v>
      </c>
      <c r="AL378" s="25">
        <v>425100</v>
      </c>
      <c r="AM378" s="25">
        <v>79900</v>
      </c>
      <c r="AN378" s="25">
        <v>345200</v>
      </c>
      <c r="AO378" s="25">
        <v>0</v>
      </c>
      <c r="AP378" s="25">
        <f>Lookups!$B$56*0</f>
        <v>0</v>
      </c>
      <c r="AQ378" s="25">
        <f>Lookups!$B$56*1</f>
        <v>89850.625589999996</v>
      </c>
      <c r="AR378" s="25">
        <f>Lookups!$B$57*Inventory[[#This Row],[LnAcres]]</f>
        <v>-31472.673662315807</v>
      </c>
      <c r="AS378" s="25">
        <f>VLOOKUP(Inventory[[#This Row],[Qlty]],Lookups!$A$62:$E$75,2,FALSE)</f>
        <v>21557.329055999999</v>
      </c>
      <c r="AT378" s="25">
        <f>VLOOKUP(Inventory[[#This Row],[Cnd]],Lookups!$A$76:$E$84,2,FALSE)</f>
        <v>197752.34721000001</v>
      </c>
      <c r="AU378" s="25">
        <f>Inventory[[#This Row],[EffAge]]*Lookups!$B$85</f>
        <v>-10929.2344245</v>
      </c>
      <c r="AV378" s="25">
        <f>Inventory[[#This Row],[MainFn]]*Lookups!$B$86</f>
        <v>65219.444237640004</v>
      </c>
      <c r="AW378" s="25">
        <f>Inventory[[#This Row],[UpprFn]]*Lookups!$B$87</f>
        <v>0</v>
      </c>
      <c r="AX378" s="25">
        <f>Inventory[[#This Row],[AddFn]]*Lookups!$B$88</f>
        <v>0</v>
      </c>
      <c r="AY378" s="25">
        <f>Inventory[[#This Row],[Bsmt]]*Lookups!$B$89</f>
        <v>38388.101726039997</v>
      </c>
      <c r="AZ378" s="25">
        <f>Inventory[[#This Row],[Fixtures]]*Lookups!$B$90</f>
        <v>30336.176841600001</v>
      </c>
      <c r="BA378" s="25">
        <f>Inventory[[#This Row],[WdDeck]]*Lookups!$B$91</f>
        <v>0</v>
      </c>
      <c r="BB378" s="25">
        <f>ROUND(Inventory[[#This Row],[25Det]],-2)</f>
        <v>44500</v>
      </c>
      <c r="BC378" s="25">
        <f>ROUND(SUM(Inventory[[#This Row],[Mdl Qlty]:[Mdl WdDeck]])+Inventory[[#This Row],[Mdl Res Intercept]],-2)</f>
        <v>342300</v>
      </c>
      <c r="BD378" s="25">
        <f>ROUND(Inventory[[#This Row],[Mdl Land Intercept]]+Inventory[[#This Row],[Mdl LnAcres]],-2)</f>
        <v>58400</v>
      </c>
      <c r="BE378" s="25">
        <f>Inventory[[#This Row],[Unadj Res Value]]+Inventory[[#This Row],[Unadj Det Value]]+Inventory[[#This Row],[Unadj Land Value]]</f>
        <v>445200</v>
      </c>
      <c r="BF378" s="36">
        <f>(Inventory[[#This Row],[Unadj Total Value]]-Inventory[[#This Row],[24Final]])/Inventory[[#This Row],[24Final]]</f>
        <v>4.728299223712068E-2</v>
      </c>
      <c r="BG378" s="25">
        <f>VLOOKUP(Inventory[[#This Row],[Nbhd]],Lookups!$Q$2:$T$4,4,FALSE)</f>
        <v>0.99970000000000003</v>
      </c>
      <c r="BH378" s="25">
        <f>VLOOKUP(Inventory[[#This Row],[Qlty]],Lookups!$O$7:$R$21,4,FALSE)</f>
        <v>1.0067999999999999</v>
      </c>
      <c r="BI378" s="25">
        <f>VLOOKUP(Inventory[[#This Row],[Cnd]],Lookups!$T$7:$W$16,4,FALSE)</f>
        <v>0.99650000000000005</v>
      </c>
      <c r="BJ378" s="25">
        <f>VLOOKUP(Inventory[[#This Row],[LivArea Range]],Lookups!$T$25:$W$37,4,FALSE)</f>
        <v>0.96179999999999999</v>
      </c>
      <c r="BK378" s="25">
        <f>VLOOKUP(Inventory[[#This Row],[Decade]],Lookups!$O$25:$R$42,4,FALSE)</f>
        <v>1.0199</v>
      </c>
      <c r="BL378" s="25">
        <f>Inventory[[#This Row],[Nbhd Adj]]*0.95</f>
        <v>0.94971499999999998</v>
      </c>
      <c r="BM378" s="25">
        <f>Inventory[[#This Row],[Nbhd Adj]]*Inventory[[#This Row],[Quality Adj]]*Inventory[[#This Row],[Condition Adj]]*Inventory[[#This Row],[Living Area Adj]]*Inventory[[#This Row],[Decade Adj]]*0.95</f>
        <v>0.9346654125174837</v>
      </c>
      <c r="BN378" s="25">
        <f>ROUND(SUM(Inventory[[#This Row],[Mdl Qlty]:[Mdl WdDeck]])+Inventory[[#This Row],[Mdl Res Intercept]]*Inventory[[#This Row],[Res Adj ]],-2)</f>
        <v>342300</v>
      </c>
      <c r="BO378" s="25">
        <f>ROUND(Inventory[[#This Row],[25Det]]*Inventory[[#This Row],[Det/Nbhd Adj]],-2)</f>
        <v>42200</v>
      </c>
      <c r="BP378" s="25">
        <f>Inventory[[#This Row],[Adjusted Res]]+Inventory[[#This Row],[Adj Det ]]</f>
        <v>384500</v>
      </c>
      <c r="BQ378" s="25">
        <f>ROUND((Inventory[[#This Row],[Mdl Land Intercept]]+Inventory[[#This Row],[Mdl LnAcres]])*Inventory[[#This Row],[Det/Nbhd Adj]],-2)</f>
        <v>55400</v>
      </c>
      <c r="BR378" s="25">
        <f>Inventory[[#This Row],[Adjusted Impr Total]]+Inventory[[#This Row],[Adjusted Land Total]]</f>
        <v>439900</v>
      </c>
      <c r="BS378" s="36">
        <f>IFERROR((Inventory[[#This Row],[Adjusted Impr Total]]-Inventory[[#This Row],[24Bldg]])/Inventory[[#This Row],[24Bldg]],0)</f>
        <v>0.11384704519119351</v>
      </c>
      <c r="BT378" s="36">
        <f>(Inventory[[#This Row],[Adjusted Land Total]]-Inventory[[#This Row],[24Lnd]])/Inventory[[#This Row],[24Lnd]]</f>
        <v>-0.30663329161451813</v>
      </c>
      <c r="BU378" s="36">
        <f>(Inventory[[#This Row],[Adjusted Total]]-Inventory[[#This Row],[24Final]])/Inventory[[#This Row],[24Final]]</f>
        <v>3.4815337567631145E-2</v>
      </c>
    </row>
    <row r="379" spans="1:73" x14ac:dyDescent="0.3">
      <c r="A379" s="25">
        <v>2025</v>
      </c>
      <c r="B379" s="26" t="s">
        <v>2092</v>
      </c>
      <c r="C379" s="26">
        <f>LN(Inventory[[#This Row],[Acres]])</f>
        <v>-1.3470736479666092</v>
      </c>
      <c r="D379" s="25">
        <v>0.26</v>
      </c>
      <c r="E379" s="25">
        <v>11451</v>
      </c>
      <c r="F379" s="26" t="s">
        <v>537</v>
      </c>
      <c r="G379" s="26" t="s">
        <v>126</v>
      </c>
      <c r="H379" s="26" t="s">
        <v>349</v>
      </c>
      <c r="I379" s="26" t="s">
        <v>538</v>
      </c>
      <c r="J379" s="26" t="s">
        <v>539</v>
      </c>
      <c r="K379" s="26" t="s">
        <v>241</v>
      </c>
      <c r="L379" s="26" t="s">
        <v>302</v>
      </c>
      <c r="M379" s="26" t="s">
        <v>323</v>
      </c>
      <c r="N379" s="26">
        <v>70</v>
      </c>
      <c r="O379" s="26">
        <f>2024-Inventory[[#This Row],[YrBlt]]</f>
        <v>61</v>
      </c>
      <c r="P379" s="26">
        <f>2024-Inventory[[#This Row],[EffYr]]</f>
        <v>49</v>
      </c>
      <c r="Q379" s="25">
        <v>1963</v>
      </c>
      <c r="R379" s="25">
        <v>1975</v>
      </c>
      <c r="S379" s="25">
        <v>1811</v>
      </c>
      <c r="T379" s="27"/>
      <c r="U379" s="27"/>
      <c r="V379" s="27">
        <f>Inventory[[#This Row],[Bsmt]]-Inventory[[#This Row],[FnBsmt]]</f>
        <v>0</v>
      </c>
      <c r="W379" s="27"/>
      <c r="X379" s="27"/>
      <c r="Y379" s="27">
        <f>Inventory[[#This Row],[MainFn]]+Inventory[[#This Row],[UpprFn]]+Inventory[[#This Row],[FnBsmt]]+Inventory[[#This Row],[AddFn]]</f>
        <v>1811</v>
      </c>
      <c r="Z379" s="27">
        <v>2000</v>
      </c>
      <c r="AA379" s="25">
        <v>8</v>
      </c>
      <c r="AB379" s="31"/>
      <c r="AC379" s="27"/>
      <c r="AD379" s="27"/>
      <c r="AE379" s="27"/>
      <c r="AF379" s="27"/>
      <c r="AG379" s="27"/>
      <c r="AH379" s="27"/>
      <c r="AI379" s="25">
        <v>358526</v>
      </c>
      <c r="AJ379" s="25">
        <v>254553</v>
      </c>
      <c r="AK379" s="25">
        <v>13692</v>
      </c>
      <c r="AL379" s="25">
        <v>349300</v>
      </c>
      <c r="AM379" s="25">
        <v>67600</v>
      </c>
      <c r="AN379" s="25">
        <v>281700</v>
      </c>
      <c r="AO379" s="25">
        <v>0</v>
      </c>
      <c r="AP379" s="25">
        <f>Lookups!$B$56*0</f>
        <v>0</v>
      </c>
      <c r="AQ379" s="25">
        <f>Lookups!$B$56*1</f>
        <v>89850.625589999996</v>
      </c>
      <c r="AR379" s="25">
        <f>Lookups!$B$57*Inventory[[#This Row],[LnAcres]]</f>
        <v>-42641.098701210125</v>
      </c>
      <c r="AS379" s="25">
        <f>VLOOKUP(Inventory[[#This Row],[Qlty]],Lookups!$A$62:$E$75,2,FALSE)</f>
        <v>29814.093161000001</v>
      </c>
      <c r="AT379" s="25">
        <f>VLOOKUP(Inventory[[#This Row],[Cnd]],Lookups!$A$76:$E$84,2,FALSE)</f>
        <v>160472.20319</v>
      </c>
      <c r="AU379" s="25">
        <f>Inventory[[#This Row],[EffAge]]*Lookups!$B$85</f>
        <v>-10929.2344245</v>
      </c>
      <c r="AV379" s="25">
        <f>Inventory[[#This Row],[MainFn]]*Lookups!$B$86</f>
        <v>89479.101147246998</v>
      </c>
      <c r="AW379" s="25">
        <f>Inventory[[#This Row],[UpprFn]]*Lookups!$B$87</f>
        <v>0</v>
      </c>
      <c r="AX379" s="25">
        <f>Inventory[[#This Row],[AddFn]]*Lookups!$B$88</f>
        <v>0</v>
      </c>
      <c r="AY379" s="25">
        <f>Inventory[[#This Row],[Bsmt]]*Lookups!$B$89</f>
        <v>0</v>
      </c>
      <c r="AZ379" s="25">
        <f>Inventory[[#This Row],[Fixtures]]*Lookups!$B$90</f>
        <v>30336.176841600001</v>
      </c>
      <c r="BA379" s="25">
        <f>Inventory[[#This Row],[WdDeck]]*Lookups!$B$91</f>
        <v>0</v>
      </c>
      <c r="BB379" s="25">
        <f>ROUND(Inventory[[#This Row],[25Det]],-2)</f>
        <v>13700</v>
      </c>
      <c r="BC379" s="25">
        <f>ROUND(SUM(Inventory[[#This Row],[Mdl Qlty]:[Mdl WdDeck]])+Inventory[[#This Row],[Mdl Res Intercept]],-2)</f>
        <v>299200</v>
      </c>
      <c r="BD379" s="25">
        <f>ROUND(Inventory[[#This Row],[Mdl Land Intercept]]+Inventory[[#This Row],[Mdl LnAcres]],-2)</f>
        <v>47200</v>
      </c>
      <c r="BE379" s="25">
        <f>Inventory[[#This Row],[Unadj Res Value]]+Inventory[[#This Row],[Unadj Det Value]]+Inventory[[#This Row],[Unadj Land Value]]</f>
        <v>360100</v>
      </c>
      <c r="BF379" s="36">
        <f>(Inventory[[#This Row],[Unadj Total Value]]-Inventory[[#This Row],[24Final]])/Inventory[[#This Row],[24Final]]</f>
        <v>3.0918980818780417E-2</v>
      </c>
      <c r="BG379" s="25">
        <f>VLOOKUP(Inventory[[#This Row],[Nbhd]],Lookups!$Q$2:$T$4,4,FALSE)</f>
        <v>0.99970000000000003</v>
      </c>
      <c r="BH379" s="25">
        <f>VLOOKUP(Inventory[[#This Row],[Qlty]],Lookups!$O$7:$R$21,4,FALSE)</f>
        <v>1.0088999999999999</v>
      </c>
      <c r="BI379" s="25">
        <f>VLOOKUP(Inventory[[#This Row],[Cnd]],Lookups!$T$7:$W$16,4,FALSE)</f>
        <v>0.99729999999999996</v>
      </c>
      <c r="BJ379" s="25">
        <f>VLOOKUP(Inventory[[#This Row],[LivArea Range]],Lookups!$T$25:$W$37,4,FALSE)</f>
        <v>1.0093000000000001</v>
      </c>
      <c r="BK379" s="25">
        <f>VLOOKUP(Inventory[[#This Row],[Decade]],Lookups!$O$25:$R$42,4,FALSE)</f>
        <v>1.0199</v>
      </c>
      <c r="BL379" s="25">
        <f>Inventory[[#This Row],[Nbhd Adj]]*0.95</f>
        <v>0.94971499999999998</v>
      </c>
      <c r="BM379" s="25">
        <f>Inventory[[#This Row],[Nbhd Adj]]*Inventory[[#This Row],[Quality Adj]]*Inventory[[#This Row],[Condition Adj]]*Inventory[[#This Row],[Living Area Adj]]*Inventory[[#This Row],[Decade Adj]]*0.95</f>
        <v>0.98366020862665582</v>
      </c>
      <c r="BN379" s="25">
        <f>ROUND(SUM(Inventory[[#This Row],[Mdl Qlty]:[Mdl WdDeck]])+Inventory[[#This Row],[Mdl Res Intercept]]*Inventory[[#This Row],[Res Adj ]],-2)</f>
        <v>299200</v>
      </c>
      <c r="BO379" s="25">
        <f>ROUND(Inventory[[#This Row],[25Det]]*Inventory[[#This Row],[Det/Nbhd Adj]],-2)</f>
        <v>13000</v>
      </c>
      <c r="BP379" s="25">
        <f>Inventory[[#This Row],[Adjusted Res]]+Inventory[[#This Row],[Adj Det ]]</f>
        <v>312200</v>
      </c>
      <c r="BQ379" s="25">
        <f>ROUND((Inventory[[#This Row],[Mdl Land Intercept]]+Inventory[[#This Row],[Mdl LnAcres]])*Inventory[[#This Row],[Det/Nbhd Adj]],-2)</f>
        <v>44800</v>
      </c>
      <c r="BR379" s="25">
        <f>Inventory[[#This Row],[Adjusted Impr Total]]+Inventory[[#This Row],[Adjusted Land Total]]</f>
        <v>357000</v>
      </c>
      <c r="BS379" s="36">
        <f>IFERROR((Inventory[[#This Row],[Adjusted Impr Total]]-Inventory[[#This Row],[24Bldg]])/Inventory[[#This Row],[24Bldg]],0)</f>
        <v>0.10827121050763223</v>
      </c>
      <c r="BT379" s="36">
        <f>(Inventory[[#This Row],[Adjusted Land Total]]-Inventory[[#This Row],[24Lnd]])/Inventory[[#This Row],[24Lnd]]</f>
        <v>-0.33727810650887574</v>
      </c>
      <c r="BU379" s="36">
        <f>(Inventory[[#This Row],[Adjusted Total]]-Inventory[[#This Row],[24Final]])/Inventory[[#This Row],[24Final]]</f>
        <v>2.2044088176352707E-2</v>
      </c>
    </row>
    <row r="380" spans="1:73" x14ac:dyDescent="0.3">
      <c r="A380" s="25">
        <v>2025</v>
      </c>
      <c r="B380" s="26" t="s">
        <v>2087</v>
      </c>
      <c r="C380" s="26">
        <f>LN(Inventory[[#This Row],[Acres]])</f>
        <v>-1.4271163556401458</v>
      </c>
      <c r="D380" s="25">
        <v>0.24</v>
      </c>
      <c r="E380" s="31"/>
      <c r="F380" s="26" t="s">
        <v>537</v>
      </c>
      <c r="G380" s="26" t="s">
        <v>126</v>
      </c>
      <c r="H380" s="26" t="s">
        <v>349</v>
      </c>
      <c r="I380" s="26" t="s">
        <v>538</v>
      </c>
      <c r="J380" s="26" t="s">
        <v>539</v>
      </c>
      <c r="K380" s="26" t="s">
        <v>241</v>
      </c>
      <c r="L380" s="26" t="s">
        <v>148</v>
      </c>
      <c r="M380" s="26" t="s">
        <v>323</v>
      </c>
      <c r="N380" s="26">
        <v>70</v>
      </c>
      <c r="O380" s="26">
        <f>2024-Inventory[[#This Row],[YrBlt]]</f>
        <v>61</v>
      </c>
      <c r="P380" s="26">
        <f>2024-Inventory[[#This Row],[EffYr]]</f>
        <v>49</v>
      </c>
      <c r="Q380" s="25">
        <v>1963</v>
      </c>
      <c r="R380" s="25">
        <v>1975</v>
      </c>
      <c r="S380" s="25">
        <v>1348</v>
      </c>
      <c r="T380" s="27"/>
      <c r="U380" s="25">
        <v>1348</v>
      </c>
      <c r="V380" s="25">
        <f>Inventory[[#This Row],[Bsmt]]-Inventory[[#This Row],[FnBsmt]]</f>
        <v>0</v>
      </c>
      <c r="W380" s="25">
        <v>1348</v>
      </c>
      <c r="X380" s="27"/>
      <c r="Y380" s="27">
        <f>Inventory[[#This Row],[MainFn]]+Inventory[[#This Row],[UpprFn]]+Inventory[[#This Row],[FnBsmt]]+Inventory[[#This Row],[AddFn]]</f>
        <v>2696</v>
      </c>
      <c r="Z380" s="27">
        <v>3000</v>
      </c>
      <c r="AA380" s="25">
        <v>8</v>
      </c>
      <c r="AB380" s="25">
        <v>651</v>
      </c>
      <c r="AC380" s="27"/>
      <c r="AD380" s="31"/>
      <c r="AE380" s="27"/>
      <c r="AF380" s="27"/>
      <c r="AG380" s="27"/>
      <c r="AH380" s="27"/>
      <c r="AI380" s="25">
        <v>509538</v>
      </c>
      <c r="AJ380" s="25">
        <v>361772</v>
      </c>
      <c r="AK380" s="25">
        <v>0</v>
      </c>
      <c r="AL380" s="25">
        <v>371900</v>
      </c>
      <c r="AM380" s="25">
        <v>64800</v>
      </c>
      <c r="AN380" s="25">
        <v>307100</v>
      </c>
      <c r="AO380" s="25">
        <v>0</v>
      </c>
      <c r="AP380" s="25">
        <f>Lookups!$B$56*0</f>
        <v>0</v>
      </c>
      <c r="AQ380" s="25">
        <f>Lookups!$B$56*1</f>
        <v>89850.625589999996</v>
      </c>
      <c r="AR380" s="25">
        <f>Lookups!$B$57*Inventory[[#This Row],[LnAcres]]</f>
        <v>-45174.819855485119</v>
      </c>
      <c r="AS380" s="25">
        <f>VLOOKUP(Inventory[[#This Row],[Qlty]],Lookups!$A$62:$E$75,2,FALSE)</f>
        <v>44121.038090000002</v>
      </c>
      <c r="AT380" s="25">
        <f>VLOOKUP(Inventory[[#This Row],[Cnd]],Lookups!$A$76:$E$84,2,FALSE)</f>
        <v>160472.20319</v>
      </c>
      <c r="AU380" s="25">
        <f>Inventory[[#This Row],[EffAge]]*Lookups!$B$85</f>
        <v>-10929.2344245</v>
      </c>
      <c r="AV380" s="25">
        <f>Inventory[[#This Row],[MainFn]]*Lookups!$B$86</f>
        <v>66602.886994196</v>
      </c>
      <c r="AW380" s="25">
        <f>Inventory[[#This Row],[UpprFn]]*Lookups!$B$87</f>
        <v>0</v>
      </c>
      <c r="AX380" s="25">
        <f>Inventory[[#This Row],[AddFn]]*Lookups!$B$88</f>
        <v>0</v>
      </c>
      <c r="AY380" s="25">
        <f>Inventory[[#This Row],[Bsmt]]*Lookups!$B$89</f>
        <v>39202.394792955994</v>
      </c>
      <c r="AZ380" s="25">
        <f>Inventory[[#This Row],[Fixtures]]*Lookups!$B$90</f>
        <v>30336.176841600001</v>
      </c>
      <c r="BA380" s="25">
        <f>Inventory[[#This Row],[WdDeck]]*Lookups!$B$91</f>
        <v>0</v>
      </c>
      <c r="BB380" s="25">
        <f>ROUND(Inventory[[#This Row],[25Det]],-2)</f>
        <v>0</v>
      </c>
      <c r="BC380" s="25">
        <f>ROUND(SUM(Inventory[[#This Row],[Mdl Qlty]:[Mdl WdDeck]])+Inventory[[#This Row],[Mdl Res Intercept]],-2)</f>
        <v>329800</v>
      </c>
      <c r="BD380" s="25">
        <f>ROUND(Inventory[[#This Row],[Mdl Land Intercept]]+Inventory[[#This Row],[Mdl LnAcres]],-2)</f>
        <v>44700</v>
      </c>
      <c r="BE380" s="25">
        <f>Inventory[[#This Row],[Unadj Res Value]]+Inventory[[#This Row],[Unadj Det Value]]+Inventory[[#This Row],[Unadj Land Value]]</f>
        <v>374500</v>
      </c>
      <c r="BF380" s="36">
        <f>(Inventory[[#This Row],[Unadj Total Value]]-Inventory[[#This Row],[24Final]])/Inventory[[#This Row],[24Final]]</f>
        <v>6.9911266469481047E-3</v>
      </c>
      <c r="BG380" s="25">
        <f>VLOOKUP(Inventory[[#This Row],[Nbhd]],Lookups!$Q$2:$T$4,4,FALSE)</f>
        <v>0.99970000000000003</v>
      </c>
      <c r="BH380" s="25">
        <f>VLOOKUP(Inventory[[#This Row],[Qlty]],Lookups!$O$7:$R$21,4,FALSE)</f>
        <v>0.98050000000000004</v>
      </c>
      <c r="BI380" s="25">
        <f>VLOOKUP(Inventory[[#This Row],[Cnd]],Lookups!$T$7:$W$16,4,FALSE)</f>
        <v>0.99729999999999996</v>
      </c>
      <c r="BJ380" s="25">
        <f>VLOOKUP(Inventory[[#This Row],[LivArea Range]],Lookups!$T$25:$W$37,4,FALSE)</f>
        <v>0.96179999999999999</v>
      </c>
      <c r="BK380" s="25">
        <f>VLOOKUP(Inventory[[#This Row],[Decade]],Lookups!$O$25:$R$42,4,FALSE)</f>
        <v>1.0199</v>
      </c>
      <c r="BL380" s="25">
        <f>Inventory[[#This Row],[Nbhd Adj]]*0.95</f>
        <v>0.94971499999999998</v>
      </c>
      <c r="BM380" s="25">
        <f>Inventory[[#This Row],[Nbhd Adj]]*Inventory[[#This Row],[Quality Adj]]*Inventory[[#This Row],[Condition Adj]]*Inventory[[#This Row],[Living Area Adj]]*Inventory[[#This Row],[Decade Adj]]*0.95</f>
        <v>0.91098049619194077</v>
      </c>
      <c r="BN380" s="25">
        <f>ROUND(SUM(Inventory[[#This Row],[Mdl Qlty]:[Mdl WdDeck]])+Inventory[[#This Row],[Mdl Res Intercept]]*Inventory[[#This Row],[Res Adj ]],-2)</f>
        <v>329800</v>
      </c>
      <c r="BO380" s="25">
        <f>ROUND(Inventory[[#This Row],[25Det]]*Inventory[[#This Row],[Det/Nbhd Adj]],-2)</f>
        <v>0</v>
      </c>
      <c r="BP380" s="25">
        <f>Inventory[[#This Row],[Adjusted Res]]+Inventory[[#This Row],[Adj Det ]]</f>
        <v>329800</v>
      </c>
      <c r="BQ380" s="25">
        <f>ROUND((Inventory[[#This Row],[Mdl Land Intercept]]+Inventory[[#This Row],[Mdl LnAcres]])*Inventory[[#This Row],[Det/Nbhd Adj]],-2)</f>
        <v>42400</v>
      </c>
      <c r="BR380" s="25">
        <f>Inventory[[#This Row],[Adjusted Impr Total]]+Inventory[[#This Row],[Adjusted Land Total]]</f>
        <v>372200</v>
      </c>
      <c r="BS380" s="36">
        <f>IFERROR((Inventory[[#This Row],[Adjusted Impr Total]]-Inventory[[#This Row],[24Bldg]])/Inventory[[#This Row],[24Bldg]],0)</f>
        <v>7.391729078476067E-2</v>
      </c>
      <c r="BT380" s="36">
        <f>(Inventory[[#This Row],[Adjusted Land Total]]-Inventory[[#This Row],[24Lnd]])/Inventory[[#This Row],[24Lnd]]</f>
        <v>-0.34567901234567899</v>
      </c>
      <c r="BU380" s="36">
        <f>(Inventory[[#This Row],[Adjusted Total]]-Inventory[[#This Row],[24Final]])/Inventory[[#This Row],[24Final]]</f>
        <v>8.0666845926324286E-4</v>
      </c>
    </row>
    <row r="381" spans="1:73" x14ac:dyDescent="0.3">
      <c r="A381" s="25">
        <v>2025</v>
      </c>
      <c r="B381" s="26" t="s">
        <v>645</v>
      </c>
      <c r="C381" s="26">
        <f>LN(Inventory[[#This Row],[Acres]])</f>
        <v>-1.9661128563728327</v>
      </c>
      <c r="D381" s="25">
        <v>0.14000000000000001</v>
      </c>
      <c r="E381" s="25">
        <v>6075</v>
      </c>
      <c r="F381" s="26" t="s">
        <v>543</v>
      </c>
      <c r="G381" s="26" t="s">
        <v>544</v>
      </c>
      <c r="H381" s="26" t="s">
        <v>349</v>
      </c>
      <c r="I381" s="26" t="s">
        <v>538</v>
      </c>
      <c r="J381" s="26" t="s">
        <v>621</v>
      </c>
      <c r="K381" s="26" t="s">
        <v>381</v>
      </c>
      <c r="L381" s="26" t="s">
        <v>302</v>
      </c>
      <c r="M381" s="26" t="s">
        <v>303</v>
      </c>
      <c r="N381" s="26">
        <v>70</v>
      </c>
      <c r="O381" s="26">
        <f>2024-Inventory[[#This Row],[YrBlt]]</f>
        <v>62</v>
      </c>
      <c r="P381" s="26">
        <f>2024-Inventory[[#This Row],[EffYr]]</f>
        <v>49</v>
      </c>
      <c r="Q381" s="25">
        <v>1962</v>
      </c>
      <c r="R381" s="25">
        <v>1975</v>
      </c>
      <c r="S381" s="25">
        <v>1026</v>
      </c>
      <c r="T381" s="27"/>
      <c r="U381" s="27"/>
      <c r="V381" s="27">
        <f>Inventory[[#This Row],[Bsmt]]-Inventory[[#This Row],[FnBsmt]]</f>
        <v>0</v>
      </c>
      <c r="W381" s="27"/>
      <c r="X381" s="27"/>
      <c r="Y381" s="27">
        <f>Inventory[[#This Row],[MainFn]]+Inventory[[#This Row],[UpprFn]]+Inventory[[#This Row],[FnBsmt]]+Inventory[[#This Row],[AddFn]]</f>
        <v>1026</v>
      </c>
      <c r="Z381" s="27">
        <v>1500</v>
      </c>
      <c r="AA381" s="25">
        <v>5</v>
      </c>
      <c r="AB381" s="25">
        <v>324</v>
      </c>
      <c r="AC381" s="27"/>
      <c r="AD381" s="27"/>
      <c r="AE381" s="27"/>
      <c r="AF381" s="27"/>
      <c r="AG381" s="27"/>
      <c r="AH381" s="27"/>
      <c r="AI381" s="25">
        <v>224411</v>
      </c>
      <c r="AJ381" s="25">
        <v>161576</v>
      </c>
      <c r="AK381" s="25">
        <v>0</v>
      </c>
      <c r="AL381" s="25">
        <v>214150</v>
      </c>
      <c r="AM381" s="25">
        <v>54350</v>
      </c>
      <c r="AN381" s="25">
        <v>159800</v>
      </c>
      <c r="AO381" s="25">
        <v>0</v>
      </c>
      <c r="AP381" s="25">
        <f>Lookups!$B$56*0</f>
        <v>0</v>
      </c>
      <c r="AQ381" s="25">
        <f>Lookups!$B$56*1</f>
        <v>89850.625589999996</v>
      </c>
      <c r="AR381" s="25">
        <f>Lookups!$B$57*Inventory[[#This Row],[LnAcres]]</f>
        <v>-62236.546971921947</v>
      </c>
      <c r="AS381" s="25">
        <f>VLOOKUP(Inventory[[#This Row],[Qlty]],Lookups!$A$62:$E$75,2,FALSE)</f>
        <v>29814.093161000001</v>
      </c>
      <c r="AT381" s="25">
        <f>VLOOKUP(Inventory[[#This Row],[Cnd]],Lookups!$A$76:$E$84,2,FALSE)</f>
        <v>197752.34721000001</v>
      </c>
      <c r="AU381" s="25">
        <f>Inventory[[#This Row],[EffAge]]*Lookups!$B$85</f>
        <v>-10929.2344245</v>
      </c>
      <c r="AV381" s="25">
        <f>Inventory[[#This Row],[MainFn]]*Lookups!$B$86</f>
        <v>50693.295293802003</v>
      </c>
      <c r="AW381" s="25">
        <f>Inventory[[#This Row],[UpprFn]]*Lookups!$B$87</f>
        <v>0</v>
      </c>
      <c r="AX381" s="25">
        <f>Inventory[[#This Row],[AddFn]]*Lookups!$B$88</f>
        <v>0</v>
      </c>
      <c r="AY381" s="25">
        <f>Inventory[[#This Row],[Bsmt]]*Lookups!$B$89</f>
        <v>0</v>
      </c>
      <c r="AZ381" s="25">
        <f>Inventory[[#This Row],[Fixtures]]*Lookups!$B$90</f>
        <v>18960.110526</v>
      </c>
      <c r="BA381" s="25">
        <f>Inventory[[#This Row],[WdDeck]]*Lookups!$B$91</f>
        <v>0</v>
      </c>
      <c r="BB381" s="25">
        <f>ROUND(Inventory[[#This Row],[25Det]],-2)</f>
        <v>0</v>
      </c>
      <c r="BC381" s="25">
        <f>ROUND(SUM(Inventory[[#This Row],[Mdl Qlty]:[Mdl WdDeck]])+Inventory[[#This Row],[Mdl Res Intercept]],-2)</f>
        <v>286300</v>
      </c>
      <c r="BD381" s="25">
        <f>ROUND(Inventory[[#This Row],[Mdl Land Intercept]]+Inventory[[#This Row],[Mdl LnAcres]],-2)</f>
        <v>27600</v>
      </c>
      <c r="BE381" s="25">
        <f>Inventory[[#This Row],[Unadj Res Value]]+Inventory[[#This Row],[Unadj Det Value]]+Inventory[[#This Row],[Unadj Land Value]]</f>
        <v>313900</v>
      </c>
      <c r="BF381" s="36">
        <f>(Inventory[[#This Row],[Unadj Total Value]]-Inventory[[#This Row],[24Final]])/Inventory[[#This Row],[24Final]]</f>
        <v>0.46579500350221809</v>
      </c>
      <c r="BG381" s="25">
        <f>VLOOKUP(Inventory[[#This Row],[Nbhd]],Lookups!$Q$2:$T$4,4,FALSE)</f>
        <v>0.99970000000000003</v>
      </c>
      <c r="BH381" s="25">
        <f>VLOOKUP(Inventory[[#This Row],[Qlty]],Lookups!$O$7:$R$21,4,FALSE)</f>
        <v>1.0088999999999999</v>
      </c>
      <c r="BI381" s="25">
        <f>VLOOKUP(Inventory[[#This Row],[Cnd]],Lookups!$T$7:$W$16,4,FALSE)</f>
        <v>0.99650000000000005</v>
      </c>
      <c r="BJ381" s="25">
        <f>VLOOKUP(Inventory[[#This Row],[LivArea Range]],Lookups!$T$25:$W$37,4,FALSE)</f>
        <v>1.0157</v>
      </c>
      <c r="BK381" s="25">
        <f>VLOOKUP(Inventory[[#This Row],[Decade]],Lookups!$O$25:$R$42,4,FALSE)</f>
        <v>1.0199</v>
      </c>
      <c r="BL381" s="25">
        <f>Inventory[[#This Row],[Nbhd Adj]]*0.95</f>
        <v>0.94971499999999998</v>
      </c>
      <c r="BM381" s="25">
        <f>Inventory[[#This Row],[Nbhd Adj]]*Inventory[[#This Row],[Quality Adj]]*Inventory[[#This Row],[Condition Adj]]*Inventory[[#This Row],[Living Area Adj]]*Inventory[[#This Row],[Decade Adj]]*0.95</f>
        <v>0.98910356391210685</v>
      </c>
      <c r="BN381" s="25">
        <f>ROUND(SUM(Inventory[[#This Row],[Mdl Qlty]:[Mdl WdDeck]])+Inventory[[#This Row],[Mdl Res Intercept]]*Inventory[[#This Row],[Res Adj ]],-2)</f>
        <v>286300</v>
      </c>
      <c r="BO381" s="25">
        <f>ROUND(Inventory[[#This Row],[25Det]]*Inventory[[#This Row],[Det/Nbhd Adj]],-2)</f>
        <v>0</v>
      </c>
      <c r="BP381" s="25">
        <f>Inventory[[#This Row],[Adjusted Res]]+Inventory[[#This Row],[Adj Det ]]</f>
        <v>286300</v>
      </c>
      <c r="BQ381" s="25">
        <f>ROUND((Inventory[[#This Row],[Mdl Land Intercept]]+Inventory[[#This Row],[Mdl LnAcres]])*Inventory[[#This Row],[Det/Nbhd Adj]],-2)</f>
        <v>26200</v>
      </c>
      <c r="BR381" s="25">
        <f>Inventory[[#This Row],[Adjusted Impr Total]]+Inventory[[#This Row],[Adjusted Land Total]]</f>
        <v>312500</v>
      </c>
      <c r="BS381" s="36">
        <f>IFERROR((Inventory[[#This Row],[Adjusted Impr Total]]-Inventory[[#This Row],[24Bldg]])/Inventory[[#This Row],[24Bldg]],0)</f>
        <v>0.79161451814768458</v>
      </c>
      <c r="BT381" s="36">
        <f>(Inventory[[#This Row],[Adjusted Land Total]]-Inventory[[#This Row],[24Lnd]])/Inventory[[#This Row],[24Lnd]]</f>
        <v>-0.51793928242870291</v>
      </c>
      <c r="BU381" s="36">
        <f>(Inventory[[#This Row],[Adjusted Total]]-Inventory[[#This Row],[24Final]])/Inventory[[#This Row],[24Final]]</f>
        <v>0.45925752976885359</v>
      </c>
    </row>
    <row r="382" spans="1:73" x14ac:dyDescent="0.3">
      <c r="A382" s="25">
        <v>2025</v>
      </c>
      <c r="B382" s="26" t="s">
        <v>644</v>
      </c>
      <c r="C382" s="26">
        <f>LN(Inventory[[#This Row],[Acres]])</f>
        <v>-1.8971199848858813</v>
      </c>
      <c r="D382" s="25">
        <v>0.15</v>
      </c>
      <c r="E382" s="25">
        <v>6395</v>
      </c>
      <c r="F382" s="26" t="s">
        <v>543</v>
      </c>
      <c r="G382" s="26" t="s">
        <v>544</v>
      </c>
      <c r="H382" s="26" t="s">
        <v>349</v>
      </c>
      <c r="I382" s="26" t="s">
        <v>538</v>
      </c>
      <c r="J382" s="26" t="s">
        <v>621</v>
      </c>
      <c r="K382" s="26" t="s">
        <v>592</v>
      </c>
      <c r="L382" s="26" t="s">
        <v>302</v>
      </c>
      <c r="M382" s="26" t="s">
        <v>303</v>
      </c>
      <c r="N382" s="26">
        <v>70</v>
      </c>
      <c r="O382" s="26">
        <f>2024-Inventory[[#This Row],[YrBlt]]</f>
        <v>62</v>
      </c>
      <c r="P382" s="26">
        <f>2024-Inventory[[#This Row],[EffYr]]</f>
        <v>49</v>
      </c>
      <c r="Q382" s="25">
        <v>1962</v>
      </c>
      <c r="R382" s="25">
        <v>1975</v>
      </c>
      <c r="S382" s="25">
        <v>1008</v>
      </c>
      <c r="T382" s="27"/>
      <c r="U382" s="31"/>
      <c r="V382" s="31">
        <f>Inventory[[#This Row],[Bsmt]]-Inventory[[#This Row],[FnBsmt]]</f>
        <v>0</v>
      </c>
      <c r="W382" s="31"/>
      <c r="X382" s="27"/>
      <c r="Y382" s="27">
        <f>Inventory[[#This Row],[MainFn]]+Inventory[[#This Row],[UpprFn]]+Inventory[[#This Row],[FnBsmt]]+Inventory[[#This Row],[AddFn]]</f>
        <v>1008</v>
      </c>
      <c r="Z382" s="27">
        <v>1500</v>
      </c>
      <c r="AA382" s="25">
        <v>8</v>
      </c>
      <c r="AB382" s="32">
        <v>336</v>
      </c>
      <c r="AC382" s="31"/>
      <c r="AD382" s="31"/>
      <c r="AE382" s="27"/>
      <c r="AF382" s="27"/>
      <c r="AG382" s="27"/>
      <c r="AH382" s="27"/>
      <c r="AI382" s="25">
        <v>237190</v>
      </c>
      <c r="AJ382" s="25">
        <v>170777</v>
      </c>
      <c r="AK382" s="25">
        <v>0</v>
      </c>
      <c r="AL382" s="25">
        <v>223750</v>
      </c>
      <c r="AM382" s="25">
        <v>54950</v>
      </c>
      <c r="AN382" s="25">
        <v>168800</v>
      </c>
      <c r="AO382" s="25">
        <v>0</v>
      </c>
      <c r="AP382" s="25">
        <f>Lookups!$B$56*0</f>
        <v>0</v>
      </c>
      <c r="AQ382" s="25">
        <f>Lookups!$B$56*1</f>
        <v>89850.625589999996</v>
      </c>
      <c r="AR382" s="25">
        <f>Lookups!$B$57*Inventory[[#This Row],[LnAcres]]</f>
        <v>-60052.604136134301</v>
      </c>
      <c r="AS382" s="25">
        <f>VLOOKUP(Inventory[[#This Row],[Qlty]],Lookups!$A$62:$E$75,2,FALSE)</f>
        <v>29814.093161000001</v>
      </c>
      <c r="AT382" s="25">
        <f>VLOOKUP(Inventory[[#This Row],[Cnd]],Lookups!$A$76:$E$84,2,FALSE)</f>
        <v>197752.34721000001</v>
      </c>
      <c r="AU382" s="25">
        <f>Inventory[[#This Row],[EffAge]]*Lookups!$B$85</f>
        <v>-10929.2344245</v>
      </c>
      <c r="AV382" s="25">
        <f>Inventory[[#This Row],[MainFn]]*Lookups!$B$86</f>
        <v>49803.939236015998</v>
      </c>
      <c r="AW382" s="25">
        <f>Inventory[[#This Row],[UpprFn]]*Lookups!$B$87</f>
        <v>0</v>
      </c>
      <c r="AX382" s="25">
        <f>Inventory[[#This Row],[AddFn]]*Lookups!$B$88</f>
        <v>0</v>
      </c>
      <c r="AY382" s="25">
        <f>Inventory[[#This Row],[Bsmt]]*Lookups!$B$89</f>
        <v>0</v>
      </c>
      <c r="AZ382" s="25">
        <f>Inventory[[#This Row],[Fixtures]]*Lookups!$B$90</f>
        <v>30336.176841600001</v>
      </c>
      <c r="BA382" s="25">
        <f>Inventory[[#This Row],[WdDeck]]*Lookups!$B$91</f>
        <v>0</v>
      </c>
      <c r="BB382" s="25">
        <f>ROUND(Inventory[[#This Row],[25Det]],-2)</f>
        <v>0</v>
      </c>
      <c r="BC382" s="25">
        <f>ROUND(SUM(Inventory[[#This Row],[Mdl Qlty]:[Mdl WdDeck]])+Inventory[[#This Row],[Mdl Res Intercept]],-2)</f>
        <v>296800</v>
      </c>
      <c r="BD382" s="25">
        <f>ROUND(Inventory[[#This Row],[Mdl Land Intercept]]+Inventory[[#This Row],[Mdl LnAcres]],-2)</f>
        <v>29800</v>
      </c>
      <c r="BE382" s="25">
        <f>Inventory[[#This Row],[Unadj Res Value]]+Inventory[[#This Row],[Unadj Det Value]]+Inventory[[#This Row],[Unadj Land Value]]</f>
        <v>326600</v>
      </c>
      <c r="BF382" s="36">
        <f>(Inventory[[#This Row],[Unadj Total Value]]-Inventory[[#This Row],[24Final]])/Inventory[[#This Row],[24Final]]</f>
        <v>0.45966480446927377</v>
      </c>
      <c r="BG382" s="25">
        <f>VLOOKUP(Inventory[[#This Row],[Nbhd]],Lookups!$Q$2:$T$4,4,FALSE)</f>
        <v>0.99970000000000003</v>
      </c>
      <c r="BH382" s="25">
        <f>VLOOKUP(Inventory[[#This Row],[Qlty]],Lookups!$O$7:$R$21,4,FALSE)</f>
        <v>1.0088999999999999</v>
      </c>
      <c r="BI382" s="25">
        <f>VLOOKUP(Inventory[[#This Row],[Cnd]],Lookups!$T$7:$W$16,4,FALSE)</f>
        <v>0.99650000000000005</v>
      </c>
      <c r="BJ382" s="25">
        <f>VLOOKUP(Inventory[[#This Row],[LivArea Range]],Lookups!$T$25:$W$37,4,FALSE)</f>
        <v>1.0157</v>
      </c>
      <c r="BK382" s="25">
        <f>VLOOKUP(Inventory[[#This Row],[Decade]],Lookups!$O$25:$R$42,4,FALSE)</f>
        <v>1.0199</v>
      </c>
      <c r="BL382" s="25">
        <f>Inventory[[#This Row],[Nbhd Adj]]*0.95</f>
        <v>0.94971499999999998</v>
      </c>
      <c r="BM382" s="25">
        <f>Inventory[[#This Row],[Nbhd Adj]]*Inventory[[#This Row],[Quality Adj]]*Inventory[[#This Row],[Condition Adj]]*Inventory[[#This Row],[Living Area Adj]]*Inventory[[#This Row],[Decade Adj]]*0.95</f>
        <v>0.98910356391210685</v>
      </c>
      <c r="BN382" s="25">
        <f>ROUND(SUM(Inventory[[#This Row],[Mdl Qlty]:[Mdl WdDeck]])+Inventory[[#This Row],[Mdl Res Intercept]]*Inventory[[#This Row],[Res Adj ]],-2)</f>
        <v>296800</v>
      </c>
      <c r="BO382" s="25">
        <f>ROUND(Inventory[[#This Row],[25Det]]*Inventory[[#This Row],[Det/Nbhd Adj]],-2)</f>
        <v>0</v>
      </c>
      <c r="BP382" s="25">
        <f>Inventory[[#This Row],[Adjusted Res]]+Inventory[[#This Row],[Adj Det ]]</f>
        <v>296800</v>
      </c>
      <c r="BQ382" s="25">
        <f>ROUND((Inventory[[#This Row],[Mdl Land Intercept]]+Inventory[[#This Row],[Mdl LnAcres]])*Inventory[[#This Row],[Det/Nbhd Adj]],-2)</f>
        <v>28300</v>
      </c>
      <c r="BR382" s="25">
        <f>Inventory[[#This Row],[Adjusted Impr Total]]+Inventory[[#This Row],[Adjusted Land Total]]</f>
        <v>325100</v>
      </c>
      <c r="BS382" s="36">
        <f>IFERROR((Inventory[[#This Row],[Adjusted Impr Total]]-Inventory[[#This Row],[24Bldg]])/Inventory[[#This Row],[24Bldg]],0)</f>
        <v>0.75829383886255919</v>
      </c>
      <c r="BT382" s="36">
        <f>(Inventory[[#This Row],[Adjusted Land Total]]-Inventory[[#This Row],[24Lnd]])/Inventory[[#This Row],[24Lnd]]</f>
        <v>-0.48498635122838946</v>
      </c>
      <c r="BU382" s="36">
        <f>(Inventory[[#This Row],[Adjusted Total]]-Inventory[[#This Row],[24Final]])/Inventory[[#This Row],[24Final]]</f>
        <v>0.45296089385474858</v>
      </c>
    </row>
    <row r="383" spans="1:73" x14ac:dyDescent="0.3">
      <c r="A383" s="25">
        <v>2025</v>
      </c>
      <c r="B383" s="26" t="s">
        <v>753</v>
      </c>
      <c r="C383" s="26">
        <f>LN(Inventory[[#This Row],[Acres]])</f>
        <v>-2.2072749131897207</v>
      </c>
      <c r="D383" s="25">
        <v>0.11</v>
      </c>
      <c r="E383" s="25">
        <v>4950</v>
      </c>
      <c r="F383" s="26" t="s">
        <v>543</v>
      </c>
      <c r="G383" s="26" t="s">
        <v>544</v>
      </c>
      <c r="H383" s="26" t="s">
        <v>349</v>
      </c>
      <c r="I383" s="26" t="s">
        <v>538</v>
      </c>
      <c r="J383" s="26" t="s">
        <v>621</v>
      </c>
      <c r="K383" s="26" t="s">
        <v>592</v>
      </c>
      <c r="L383" s="26" t="s">
        <v>302</v>
      </c>
      <c r="M383" s="26" t="s">
        <v>303</v>
      </c>
      <c r="N383" s="26">
        <v>70</v>
      </c>
      <c r="O383" s="26">
        <f>2024-Inventory[[#This Row],[YrBlt]]</f>
        <v>62</v>
      </c>
      <c r="P383" s="26">
        <f>2024-Inventory[[#This Row],[EffYr]]</f>
        <v>49</v>
      </c>
      <c r="Q383" s="25">
        <v>1962</v>
      </c>
      <c r="R383" s="25">
        <v>1975</v>
      </c>
      <c r="S383" s="25">
        <v>1008</v>
      </c>
      <c r="T383" s="31"/>
      <c r="U383" s="31"/>
      <c r="V383" s="27">
        <f>Inventory[[#This Row],[Bsmt]]-Inventory[[#This Row],[FnBsmt]]</f>
        <v>0</v>
      </c>
      <c r="W383" s="27"/>
      <c r="X383" s="27"/>
      <c r="Y383" s="27">
        <f>Inventory[[#This Row],[MainFn]]+Inventory[[#This Row],[UpprFn]]+Inventory[[#This Row],[FnBsmt]]+Inventory[[#This Row],[AddFn]]</f>
        <v>1008</v>
      </c>
      <c r="Z383" s="27">
        <v>1500</v>
      </c>
      <c r="AA383" s="25">
        <v>5</v>
      </c>
      <c r="AB383" s="32">
        <v>336</v>
      </c>
      <c r="AC383" s="31"/>
      <c r="AD383" s="31"/>
      <c r="AE383" s="27"/>
      <c r="AF383" s="27"/>
      <c r="AG383" s="27"/>
      <c r="AH383" s="27"/>
      <c r="AI383" s="25">
        <v>221041</v>
      </c>
      <c r="AJ383" s="25">
        <v>159150</v>
      </c>
      <c r="AK383" s="25">
        <v>0</v>
      </c>
      <c r="AL383" s="25">
        <v>209700</v>
      </c>
      <c r="AM383" s="25">
        <v>52300</v>
      </c>
      <c r="AN383" s="25">
        <v>157400</v>
      </c>
      <c r="AO383" s="25">
        <v>0</v>
      </c>
      <c r="AP383" s="25">
        <f>Lookups!$B$56*0</f>
        <v>0</v>
      </c>
      <c r="AQ383" s="25">
        <f>Lookups!$B$56*1</f>
        <v>89850.625589999996</v>
      </c>
      <c r="AR383" s="25">
        <f>Lookups!$B$57*Inventory[[#This Row],[LnAcres]]</f>
        <v>-69870.439211769743</v>
      </c>
      <c r="AS383" s="25">
        <f>VLOOKUP(Inventory[[#This Row],[Qlty]],Lookups!$A$62:$E$75,2,FALSE)</f>
        <v>29814.093161000001</v>
      </c>
      <c r="AT383" s="25">
        <f>VLOOKUP(Inventory[[#This Row],[Cnd]],Lookups!$A$76:$E$84,2,FALSE)</f>
        <v>197752.34721000001</v>
      </c>
      <c r="AU383" s="25">
        <f>Inventory[[#This Row],[EffAge]]*Lookups!$B$85</f>
        <v>-10929.2344245</v>
      </c>
      <c r="AV383" s="25">
        <f>Inventory[[#This Row],[MainFn]]*Lookups!$B$86</f>
        <v>49803.939236015998</v>
      </c>
      <c r="AW383" s="25">
        <f>Inventory[[#This Row],[UpprFn]]*Lookups!$B$87</f>
        <v>0</v>
      </c>
      <c r="AX383" s="25">
        <f>Inventory[[#This Row],[AddFn]]*Lookups!$B$88</f>
        <v>0</v>
      </c>
      <c r="AY383" s="25">
        <f>Inventory[[#This Row],[Bsmt]]*Lookups!$B$89</f>
        <v>0</v>
      </c>
      <c r="AZ383" s="25">
        <f>Inventory[[#This Row],[Fixtures]]*Lookups!$B$90</f>
        <v>18960.110526</v>
      </c>
      <c r="BA383" s="25">
        <f>Inventory[[#This Row],[WdDeck]]*Lookups!$B$91</f>
        <v>0</v>
      </c>
      <c r="BB383" s="25">
        <f>ROUND(Inventory[[#This Row],[25Det]],-2)</f>
        <v>0</v>
      </c>
      <c r="BC383" s="25">
        <f>ROUND(SUM(Inventory[[#This Row],[Mdl Qlty]:[Mdl WdDeck]])+Inventory[[#This Row],[Mdl Res Intercept]],-2)</f>
        <v>285400</v>
      </c>
      <c r="BD383" s="25">
        <f>ROUND(Inventory[[#This Row],[Mdl Land Intercept]]+Inventory[[#This Row],[Mdl LnAcres]],-2)</f>
        <v>20000</v>
      </c>
      <c r="BE383" s="25">
        <f>Inventory[[#This Row],[Unadj Res Value]]+Inventory[[#This Row],[Unadj Det Value]]+Inventory[[#This Row],[Unadj Land Value]]</f>
        <v>305400</v>
      </c>
      <c r="BF383" s="36">
        <f>(Inventory[[#This Row],[Unadj Total Value]]-Inventory[[#This Row],[24Final]])/Inventory[[#This Row],[24Final]]</f>
        <v>0.4563662374821173</v>
      </c>
      <c r="BG383" s="25">
        <f>VLOOKUP(Inventory[[#This Row],[Nbhd]],Lookups!$Q$2:$T$4,4,FALSE)</f>
        <v>0.99970000000000003</v>
      </c>
      <c r="BH383" s="25">
        <f>VLOOKUP(Inventory[[#This Row],[Qlty]],Lookups!$O$7:$R$21,4,FALSE)</f>
        <v>1.0088999999999999</v>
      </c>
      <c r="BI383" s="25">
        <f>VLOOKUP(Inventory[[#This Row],[Cnd]],Lookups!$T$7:$W$16,4,FALSE)</f>
        <v>0.99650000000000005</v>
      </c>
      <c r="BJ383" s="25">
        <f>VLOOKUP(Inventory[[#This Row],[LivArea Range]],Lookups!$T$25:$W$37,4,FALSE)</f>
        <v>1.0157</v>
      </c>
      <c r="BK383" s="25">
        <f>VLOOKUP(Inventory[[#This Row],[Decade]],Lookups!$O$25:$R$42,4,FALSE)</f>
        <v>1.0199</v>
      </c>
      <c r="BL383" s="25">
        <f>Inventory[[#This Row],[Nbhd Adj]]*0.95</f>
        <v>0.94971499999999998</v>
      </c>
      <c r="BM383" s="25">
        <f>Inventory[[#This Row],[Nbhd Adj]]*Inventory[[#This Row],[Quality Adj]]*Inventory[[#This Row],[Condition Adj]]*Inventory[[#This Row],[Living Area Adj]]*Inventory[[#This Row],[Decade Adj]]*0.95</f>
        <v>0.98910356391210685</v>
      </c>
      <c r="BN383" s="25">
        <f>ROUND(SUM(Inventory[[#This Row],[Mdl Qlty]:[Mdl WdDeck]])+Inventory[[#This Row],[Mdl Res Intercept]]*Inventory[[#This Row],[Res Adj ]],-2)</f>
        <v>285400</v>
      </c>
      <c r="BO383" s="25">
        <f>ROUND(Inventory[[#This Row],[25Det]]*Inventory[[#This Row],[Det/Nbhd Adj]],-2)</f>
        <v>0</v>
      </c>
      <c r="BP383" s="25">
        <f>Inventory[[#This Row],[Adjusted Res]]+Inventory[[#This Row],[Adj Det ]]</f>
        <v>285400</v>
      </c>
      <c r="BQ383" s="25">
        <f>ROUND((Inventory[[#This Row],[Mdl Land Intercept]]+Inventory[[#This Row],[Mdl LnAcres]])*Inventory[[#This Row],[Det/Nbhd Adj]],-2)</f>
        <v>19000</v>
      </c>
      <c r="BR383" s="25">
        <f>Inventory[[#This Row],[Adjusted Impr Total]]+Inventory[[#This Row],[Adjusted Land Total]]</f>
        <v>304400</v>
      </c>
      <c r="BS383" s="36">
        <f>IFERROR((Inventory[[#This Row],[Adjusted Impr Total]]-Inventory[[#This Row],[24Bldg]])/Inventory[[#This Row],[24Bldg]],0)</f>
        <v>0.81321473951715373</v>
      </c>
      <c r="BT383" s="36">
        <f>(Inventory[[#This Row],[Adjusted Land Total]]-Inventory[[#This Row],[24Lnd]])/Inventory[[#This Row],[24Lnd]]</f>
        <v>-0.6367112810707457</v>
      </c>
      <c r="BU383" s="36">
        <f>(Inventory[[#This Row],[Adjusted Total]]-Inventory[[#This Row],[24Final]])/Inventory[[#This Row],[24Final]]</f>
        <v>0.45159752026704819</v>
      </c>
    </row>
    <row r="384" spans="1:73" x14ac:dyDescent="0.3">
      <c r="A384" s="25">
        <v>2025</v>
      </c>
      <c r="B384" s="26" t="s">
        <v>642</v>
      </c>
      <c r="C384" s="26">
        <f>LN(Inventory[[#This Row],[Acres]])</f>
        <v>-2.3025850929940455</v>
      </c>
      <c r="D384" s="25">
        <v>0.1</v>
      </c>
      <c r="E384" s="25">
        <v>4508</v>
      </c>
      <c r="F384" s="26" t="s">
        <v>543</v>
      </c>
      <c r="G384" s="26" t="s">
        <v>544</v>
      </c>
      <c r="H384" s="26" t="s">
        <v>349</v>
      </c>
      <c r="I384" s="26" t="s">
        <v>538</v>
      </c>
      <c r="J384" s="26" t="s">
        <v>621</v>
      </c>
      <c r="K384" s="26" t="s">
        <v>592</v>
      </c>
      <c r="L384" s="26" t="s">
        <v>302</v>
      </c>
      <c r="M384" s="26" t="s">
        <v>303</v>
      </c>
      <c r="N384" s="26">
        <v>70</v>
      </c>
      <c r="O384" s="26">
        <f>2024-Inventory[[#This Row],[YrBlt]]</f>
        <v>62</v>
      </c>
      <c r="P384" s="26">
        <f>2024-Inventory[[#This Row],[EffYr]]</f>
        <v>49</v>
      </c>
      <c r="Q384" s="25">
        <v>1962</v>
      </c>
      <c r="R384" s="25">
        <v>1975</v>
      </c>
      <c r="S384" s="25">
        <v>1008</v>
      </c>
      <c r="T384" s="27"/>
      <c r="U384" s="31"/>
      <c r="V384" s="31">
        <f>Inventory[[#This Row],[Bsmt]]-Inventory[[#This Row],[FnBsmt]]</f>
        <v>0</v>
      </c>
      <c r="W384" s="31"/>
      <c r="X384" s="27"/>
      <c r="Y384" s="27">
        <f>Inventory[[#This Row],[MainFn]]+Inventory[[#This Row],[UpprFn]]+Inventory[[#This Row],[FnBsmt]]+Inventory[[#This Row],[AddFn]]</f>
        <v>1008</v>
      </c>
      <c r="Z384" s="27">
        <v>1500</v>
      </c>
      <c r="AA384" s="25">
        <v>5</v>
      </c>
      <c r="AB384" s="32">
        <v>336</v>
      </c>
      <c r="AC384" s="31"/>
      <c r="AD384" s="31"/>
      <c r="AE384" s="27"/>
      <c r="AF384" s="27"/>
      <c r="AG384" s="27"/>
      <c r="AH384" s="27"/>
      <c r="AI384" s="25">
        <v>222170</v>
      </c>
      <c r="AJ384" s="25">
        <v>159962</v>
      </c>
      <c r="AK384" s="25">
        <v>0</v>
      </c>
      <c r="AL384" s="25">
        <v>209450</v>
      </c>
      <c r="AM384" s="25">
        <v>51250</v>
      </c>
      <c r="AN384" s="25">
        <v>158200</v>
      </c>
      <c r="AO384" s="25">
        <v>0</v>
      </c>
      <c r="AP384" s="25">
        <f>Lookups!$B$56*0</f>
        <v>0</v>
      </c>
      <c r="AQ384" s="25">
        <f>Lookups!$B$56*1</f>
        <v>89850.625589999996</v>
      </c>
      <c r="AR384" s="25">
        <f>Lookups!$B$57*Inventory[[#This Row],[LnAcres]]</f>
        <v>-72887.446329681261</v>
      </c>
      <c r="AS384" s="25">
        <f>VLOOKUP(Inventory[[#This Row],[Qlty]],Lookups!$A$62:$E$75,2,FALSE)</f>
        <v>29814.093161000001</v>
      </c>
      <c r="AT384" s="25">
        <f>VLOOKUP(Inventory[[#This Row],[Cnd]],Lookups!$A$76:$E$84,2,FALSE)</f>
        <v>197752.34721000001</v>
      </c>
      <c r="AU384" s="25">
        <f>Inventory[[#This Row],[EffAge]]*Lookups!$B$85</f>
        <v>-10929.2344245</v>
      </c>
      <c r="AV384" s="25">
        <f>Inventory[[#This Row],[MainFn]]*Lookups!$B$86</f>
        <v>49803.939236015998</v>
      </c>
      <c r="AW384" s="25">
        <f>Inventory[[#This Row],[UpprFn]]*Lookups!$B$87</f>
        <v>0</v>
      </c>
      <c r="AX384" s="25">
        <f>Inventory[[#This Row],[AddFn]]*Lookups!$B$88</f>
        <v>0</v>
      </c>
      <c r="AY384" s="25">
        <f>Inventory[[#This Row],[Bsmt]]*Lookups!$B$89</f>
        <v>0</v>
      </c>
      <c r="AZ384" s="25">
        <f>Inventory[[#This Row],[Fixtures]]*Lookups!$B$90</f>
        <v>18960.110526</v>
      </c>
      <c r="BA384" s="25">
        <f>Inventory[[#This Row],[WdDeck]]*Lookups!$B$91</f>
        <v>0</v>
      </c>
      <c r="BB384" s="25">
        <f>ROUND(Inventory[[#This Row],[25Det]],-2)</f>
        <v>0</v>
      </c>
      <c r="BC384" s="25">
        <f>ROUND(SUM(Inventory[[#This Row],[Mdl Qlty]:[Mdl WdDeck]])+Inventory[[#This Row],[Mdl Res Intercept]],-2)</f>
        <v>285400</v>
      </c>
      <c r="BD384" s="25">
        <f>ROUND(Inventory[[#This Row],[Mdl Land Intercept]]+Inventory[[#This Row],[Mdl LnAcres]],-2)</f>
        <v>17000</v>
      </c>
      <c r="BE384" s="25">
        <f>Inventory[[#This Row],[Unadj Res Value]]+Inventory[[#This Row],[Unadj Det Value]]+Inventory[[#This Row],[Unadj Land Value]]</f>
        <v>302400</v>
      </c>
      <c r="BF384" s="36">
        <f>(Inventory[[#This Row],[Unadj Total Value]]-Inventory[[#This Row],[24Final]])/Inventory[[#This Row],[24Final]]</f>
        <v>0.44378133206015757</v>
      </c>
      <c r="BG384" s="25">
        <f>VLOOKUP(Inventory[[#This Row],[Nbhd]],Lookups!$Q$2:$T$4,4,FALSE)</f>
        <v>0.99970000000000003</v>
      </c>
      <c r="BH384" s="25">
        <f>VLOOKUP(Inventory[[#This Row],[Qlty]],Lookups!$O$7:$R$21,4,FALSE)</f>
        <v>1.0088999999999999</v>
      </c>
      <c r="BI384" s="25">
        <f>VLOOKUP(Inventory[[#This Row],[Cnd]],Lookups!$T$7:$W$16,4,FALSE)</f>
        <v>0.99650000000000005</v>
      </c>
      <c r="BJ384" s="25">
        <f>VLOOKUP(Inventory[[#This Row],[LivArea Range]],Lookups!$T$25:$W$37,4,FALSE)</f>
        <v>1.0157</v>
      </c>
      <c r="BK384" s="25">
        <f>VLOOKUP(Inventory[[#This Row],[Decade]],Lookups!$O$25:$R$42,4,FALSE)</f>
        <v>1.0199</v>
      </c>
      <c r="BL384" s="25">
        <f>Inventory[[#This Row],[Nbhd Adj]]*0.95</f>
        <v>0.94971499999999998</v>
      </c>
      <c r="BM384" s="25">
        <f>Inventory[[#This Row],[Nbhd Adj]]*Inventory[[#This Row],[Quality Adj]]*Inventory[[#This Row],[Condition Adj]]*Inventory[[#This Row],[Living Area Adj]]*Inventory[[#This Row],[Decade Adj]]*0.95</f>
        <v>0.98910356391210685</v>
      </c>
      <c r="BN384" s="25">
        <f>ROUND(SUM(Inventory[[#This Row],[Mdl Qlty]:[Mdl WdDeck]])+Inventory[[#This Row],[Mdl Res Intercept]]*Inventory[[#This Row],[Res Adj ]],-2)</f>
        <v>285400</v>
      </c>
      <c r="BO384" s="25">
        <f>ROUND(Inventory[[#This Row],[25Det]]*Inventory[[#This Row],[Det/Nbhd Adj]],-2)</f>
        <v>0</v>
      </c>
      <c r="BP384" s="25">
        <f>Inventory[[#This Row],[Adjusted Res]]+Inventory[[#This Row],[Adj Det ]]</f>
        <v>285400</v>
      </c>
      <c r="BQ384" s="25">
        <f>ROUND((Inventory[[#This Row],[Mdl Land Intercept]]+Inventory[[#This Row],[Mdl LnAcres]])*Inventory[[#This Row],[Det/Nbhd Adj]],-2)</f>
        <v>16100</v>
      </c>
      <c r="BR384" s="25">
        <f>Inventory[[#This Row],[Adjusted Impr Total]]+Inventory[[#This Row],[Adjusted Land Total]]</f>
        <v>301500</v>
      </c>
      <c r="BS384" s="36">
        <f>IFERROR((Inventory[[#This Row],[Adjusted Impr Total]]-Inventory[[#This Row],[24Bldg]])/Inventory[[#This Row],[24Bldg]],0)</f>
        <v>0.80404551201011376</v>
      </c>
      <c r="BT384" s="36">
        <f>(Inventory[[#This Row],[Adjusted Land Total]]-Inventory[[#This Row],[24Lnd]])/Inventory[[#This Row],[24Lnd]]</f>
        <v>-0.68585365853658542</v>
      </c>
      <c r="BU384" s="36">
        <f>(Inventory[[#This Row],[Adjusted Total]]-Inventory[[#This Row],[24Final]])/Inventory[[#This Row],[24Final]]</f>
        <v>0.43948436380997852</v>
      </c>
    </row>
    <row r="385" spans="1:73" x14ac:dyDescent="0.3">
      <c r="A385" s="25">
        <v>2025</v>
      </c>
      <c r="B385" s="26" t="s">
        <v>643</v>
      </c>
      <c r="C385" s="26">
        <f>LN(Inventory[[#This Row],[Acres]])</f>
        <v>-2.2072749131897207</v>
      </c>
      <c r="D385" s="25">
        <v>0.11</v>
      </c>
      <c r="E385" s="25">
        <v>4655</v>
      </c>
      <c r="F385" s="26" t="s">
        <v>543</v>
      </c>
      <c r="G385" s="26" t="s">
        <v>544</v>
      </c>
      <c r="H385" s="26" t="s">
        <v>349</v>
      </c>
      <c r="I385" s="26" t="s">
        <v>538</v>
      </c>
      <c r="J385" s="26" t="s">
        <v>621</v>
      </c>
      <c r="K385" s="26" t="s">
        <v>592</v>
      </c>
      <c r="L385" s="26" t="s">
        <v>302</v>
      </c>
      <c r="M385" s="26" t="s">
        <v>303</v>
      </c>
      <c r="N385" s="26">
        <v>70</v>
      </c>
      <c r="O385" s="26">
        <f>2024-Inventory[[#This Row],[YrBlt]]</f>
        <v>62</v>
      </c>
      <c r="P385" s="26">
        <f>2024-Inventory[[#This Row],[EffYr]]</f>
        <v>49</v>
      </c>
      <c r="Q385" s="25">
        <v>1962</v>
      </c>
      <c r="R385" s="25">
        <v>1975</v>
      </c>
      <c r="S385" s="25">
        <v>1008</v>
      </c>
      <c r="T385" s="27"/>
      <c r="U385" s="31"/>
      <c r="V385" s="31">
        <f>Inventory[[#This Row],[Bsmt]]-Inventory[[#This Row],[FnBsmt]]</f>
        <v>0</v>
      </c>
      <c r="W385" s="31"/>
      <c r="X385" s="27"/>
      <c r="Y385" s="27">
        <f>Inventory[[#This Row],[MainFn]]+Inventory[[#This Row],[UpprFn]]+Inventory[[#This Row],[FnBsmt]]+Inventory[[#This Row],[AddFn]]</f>
        <v>1008</v>
      </c>
      <c r="Z385" s="27">
        <v>1500</v>
      </c>
      <c r="AA385" s="25">
        <v>8</v>
      </c>
      <c r="AB385" s="32">
        <v>336</v>
      </c>
      <c r="AC385" s="31"/>
      <c r="AD385" s="31"/>
      <c r="AE385" s="27"/>
      <c r="AF385" s="27"/>
      <c r="AG385" s="27"/>
      <c r="AH385" s="27"/>
      <c r="AI385" s="25">
        <v>242541</v>
      </c>
      <c r="AJ385" s="25">
        <v>174630</v>
      </c>
      <c r="AK385" s="25">
        <v>0</v>
      </c>
      <c r="AL385" s="25">
        <v>224300</v>
      </c>
      <c r="AM385" s="25">
        <v>51700</v>
      </c>
      <c r="AN385" s="25">
        <v>172600</v>
      </c>
      <c r="AO385" s="25">
        <v>0</v>
      </c>
      <c r="AP385" s="25">
        <f>Lookups!$B$56*0</f>
        <v>0</v>
      </c>
      <c r="AQ385" s="25">
        <f>Lookups!$B$56*1</f>
        <v>89850.625589999996</v>
      </c>
      <c r="AR385" s="25">
        <f>Lookups!$B$57*Inventory[[#This Row],[LnAcres]]</f>
        <v>-69870.439211769743</v>
      </c>
      <c r="AS385" s="25">
        <f>VLOOKUP(Inventory[[#This Row],[Qlty]],Lookups!$A$62:$E$75,2,FALSE)</f>
        <v>29814.093161000001</v>
      </c>
      <c r="AT385" s="25">
        <f>VLOOKUP(Inventory[[#This Row],[Cnd]],Lookups!$A$76:$E$84,2,FALSE)</f>
        <v>197752.34721000001</v>
      </c>
      <c r="AU385" s="25">
        <f>Inventory[[#This Row],[EffAge]]*Lookups!$B$85</f>
        <v>-10929.2344245</v>
      </c>
      <c r="AV385" s="25">
        <f>Inventory[[#This Row],[MainFn]]*Lookups!$B$86</f>
        <v>49803.939236015998</v>
      </c>
      <c r="AW385" s="25">
        <f>Inventory[[#This Row],[UpprFn]]*Lookups!$B$87</f>
        <v>0</v>
      </c>
      <c r="AX385" s="25">
        <f>Inventory[[#This Row],[AddFn]]*Lookups!$B$88</f>
        <v>0</v>
      </c>
      <c r="AY385" s="25">
        <f>Inventory[[#This Row],[Bsmt]]*Lookups!$B$89</f>
        <v>0</v>
      </c>
      <c r="AZ385" s="25">
        <f>Inventory[[#This Row],[Fixtures]]*Lookups!$B$90</f>
        <v>30336.176841600001</v>
      </c>
      <c r="BA385" s="25">
        <f>Inventory[[#This Row],[WdDeck]]*Lookups!$B$91</f>
        <v>0</v>
      </c>
      <c r="BB385" s="25">
        <f>ROUND(Inventory[[#This Row],[25Det]],-2)</f>
        <v>0</v>
      </c>
      <c r="BC385" s="25">
        <f>ROUND(SUM(Inventory[[#This Row],[Mdl Qlty]:[Mdl WdDeck]])+Inventory[[#This Row],[Mdl Res Intercept]],-2)</f>
        <v>296800</v>
      </c>
      <c r="BD385" s="25">
        <f>ROUND(Inventory[[#This Row],[Mdl Land Intercept]]+Inventory[[#This Row],[Mdl LnAcres]],-2)</f>
        <v>20000</v>
      </c>
      <c r="BE385" s="25">
        <f>Inventory[[#This Row],[Unadj Res Value]]+Inventory[[#This Row],[Unadj Det Value]]+Inventory[[#This Row],[Unadj Land Value]]</f>
        <v>316800</v>
      </c>
      <c r="BF385" s="36">
        <f>(Inventory[[#This Row],[Unadj Total Value]]-Inventory[[#This Row],[24Final]])/Inventory[[#This Row],[24Final]]</f>
        <v>0.41239411502452072</v>
      </c>
      <c r="BG385" s="25">
        <f>VLOOKUP(Inventory[[#This Row],[Nbhd]],Lookups!$Q$2:$T$4,4,FALSE)</f>
        <v>0.99970000000000003</v>
      </c>
      <c r="BH385" s="25">
        <f>VLOOKUP(Inventory[[#This Row],[Qlty]],Lookups!$O$7:$R$21,4,FALSE)</f>
        <v>1.0088999999999999</v>
      </c>
      <c r="BI385" s="25">
        <f>VLOOKUP(Inventory[[#This Row],[Cnd]],Lookups!$T$7:$W$16,4,FALSE)</f>
        <v>0.99650000000000005</v>
      </c>
      <c r="BJ385" s="25">
        <f>VLOOKUP(Inventory[[#This Row],[LivArea Range]],Lookups!$T$25:$W$37,4,FALSE)</f>
        <v>1.0157</v>
      </c>
      <c r="BK385" s="25">
        <f>VLOOKUP(Inventory[[#This Row],[Decade]],Lookups!$O$25:$R$42,4,FALSE)</f>
        <v>1.0199</v>
      </c>
      <c r="BL385" s="25">
        <f>Inventory[[#This Row],[Nbhd Adj]]*0.95</f>
        <v>0.94971499999999998</v>
      </c>
      <c r="BM385" s="25">
        <f>Inventory[[#This Row],[Nbhd Adj]]*Inventory[[#This Row],[Quality Adj]]*Inventory[[#This Row],[Condition Adj]]*Inventory[[#This Row],[Living Area Adj]]*Inventory[[#This Row],[Decade Adj]]*0.95</f>
        <v>0.98910356391210685</v>
      </c>
      <c r="BN385" s="25">
        <f>ROUND(SUM(Inventory[[#This Row],[Mdl Qlty]:[Mdl WdDeck]])+Inventory[[#This Row],[Mdl Res Intercept]]*Inventory[[#This Row],[Res Adj ]],-2)</f>
        <v>296800</v>
      </c>
      <c r="BO385" s="25">
        <f>ROUND(Inventory[[#This Row],[25Det]]*Inventory[[#This Row],[Det/Nbhd Adj]],-2)</f>
        <v>0</v>
      </c>
      <c r="BP385" s="25">
        <f>Inventory[[#This Row],[Adjusted Res]]+Inventory[[#This Row],[Adj Det ]]</f>
        <v>296800</v>
      </c>
      <c r="BQ385" s="25">
        <f>ROUND((Inventory[[#This Row],[Mdl Land Intercept]]+Inventory[[#This Row],[Mdl LnAcres]])*Inventory[[#This Row],[Det/Nbhd Adj]],-2)</f>
        <v>19000</v>
      </c>
      <c r="BR385" s="25">
        <f>Inventory[[#This Row],[Adjusted Impr Total]]+Inventory[[#This Row],[Adjusted Land Total]]</f>
        <v>315800</v>
      </c>
      <c r="BS385" s="36">
        <f>IFERROR((Inventory[[#This Row],[Adjusted Impr Total]]-Inventory[[#This Row],[24Bldg]])/Inventory[[#This Row],[24Bldg]],0)</f>
        <v>0.71958285052143689</v>
      </c>
      <c r="BT385" s="36">
        <f>(Inventory[[#This Row],[Adjusted Land Total]]-Inventory[[#This Row],[24Lnd]])/Inventory[[#This Row],[24Lnd]]</f>
        <v>-0.63249516441005804</v>
      </c>
      <c r="BU385" s="36">
        <f>(Inventory[[#This Row],[Adjusted Total]]-Inventory[[#This Row],[24Final]])/Inventory[[#This Row],[24Final]]</f>
        <v>0.40793580026749887</v>
      </c>
    </row>
    <row r="386" spans="1:73" x14ac:dyDescent="0.3">
      <c r="A386" s="25">
        <v>2025</v>
      </c>
      <c r="B386" s="26" t="s">
        <v>1684</v>
      </c>
      <c r="C386" s="26">
        <f>LN(Inventory[[#This Row],[Acres]])</f>
        <v>-1.2378743560016174</v>
      </c>
      <c r="D386" s="25">
        <v>0.28999999999999998</v>
      </c>
      <c r="E386" s="25">
        <v>12607</v>
      </c>
      <c r="F386" s="26" t="s">
        <v>537</v>
      </c>
      <c r="G386" s="26" t="s">
        <v>126</v>
      </c>
      <c r="H386" s="26" t="s">
        <v>349</v>
      </c>
      <c r="I386" s="26" t="s">
        <v>538</v>
      </c>
      <c r="J386" s="26" t="s">
        <v>539</v>
      </c>
      <c r="K386" s="26" t="s">
        <v>241</v>
      </c>
      <c r="L386" s="26" t="s">
        <v>148</v>
      </c>
      <c r="M386" s="26" t="s">
        <v>303</v>
      </c>
      <c r="N386" s="26">
        <v>70</v>
      </c>
      <c r="O386" s="26">
        <f>2024-Inventory[[#This Row],[YrBlt]]</f>
        <v>62</v>
      </c>
      <c r="P386" s="26">
        <f>2024-Inventory[[#This Row],[EffYr]]</f>
        <v>39</v>
      </c>
      <c r="Q386" s="25">
        <v>1962</v>
      </c>
      <c r="R386" s="25">
        <v>1985</v>
      </c>
      <c r="S386" s="25">
        <v>2062</v>
      </c>
      <c r="T386" s="27"/>
      <c r="U386" s="25">
        <v>2062</v>
      </c>
      <c r="V386" s="25">
        <f>Inventory[[#This Row],[Bsmt]]-Inventory[[#This Row],[FnBsmt]]</f>
        <v>612</v>
      </c>
      <c r="W386" s="25">
        <v>1450</v>
      </c>
      <c r="X386" s="27"/>
      <c r="Y386" s="27">
        <f>Inventory[[#This Row],[MainFn]]+Inventory[[#This Row],[UpprFn]]+Inventory[[#This Row],[FnBsmt]]+Inventory[[#This Row],[AddFn]]</f>
        <v>3512</v>
      </c>
      <c r="Z386" s="27">
        <v>4000</v>
      </c>
      <c r="AA386" s="25">
        <v>12</v>
      </c>
      <c r="AB386" s="32">
        <v>624</v>
      </c>
      <c r="AC386" s="31"/>
      <c r="AD386" s="25">
        <v>545</v>
      </c>
      <c r="AE386" s="27"/>
      <c r="AF386" s="27"/>
      <c r="AG386" s="27"/>
      <c r="AH386" s="27"/>
      <c r="AI386" s="25">
        <v>668054</v>
      </c>
      <c r="AJ386" s="25">
        <v>541124</v>
      </c>
      <c r="AK386" s="25">
        <v>33005</v>
      </c>
      <c r="AL386" s="25">
        <v>501800</v>
      </c>
      <c r="AM386" s="25">
        <v>71400</v>
      </c>
      <c r="AN386" s="25">
        <v>430400</v>
      </c>
      <c r="AO386" s="25">
        <v>0</v>
      </c>
      <c r="AP386" s="25">
        <f>Lookups!$B$56*0</f>
        <v>0</v>
      </c>
      <c r="AQ386" s="25">
        <f>Lookups!$B$56*1</f>
        <v>89850.625589999996</v>
      </c>
      <c r="AR386" s="25">
        <f>Lookups!$B$57*Inventory[[#This Row],[LnAcres]]</f>
        <v>-39184.437074869042</v>
      </c>
      <c r="AS386" s="25">
        <f>VLOOKUP(Inventory[[#This Row],[Qlty]],Lookups!$A$62:$E$75,2,FALSE)</f>
        <v>44121.038090000002</v>
      </c>
      <c r="AT386" s="25">
        <f>VLOOKUP(Inventory[[#This Row],[Cnd]],Lookups!$A$76:$E$84,2,FALSE)</f>
        <v>197752.34721000001</v>
      </c>
      <c r="AU386" s="25">
        <f>Inventory[[#This Row],[EffAge]]*Lookups!$B$85</f>
        <v>-8698.7784195000004</v>
      </c>
      <c r="AV386" s="25">
        <f>Inventory[[#This Row],[MainFn]]*Lookups!$B$86</f>
        <v>101880.677286374</v>
      </c>
      <c r="AW386" s="25">
        <f>Inventory[[#This Row],[UpprFn]]*Lookups!$B$87</f>
        <v>0</v>
      </c>
      <c r="AX386" s="25">
        <f>Inventory[[#This Row],[AddFn]]*Lookups!$B$88</f>
        <v>0</v>
      </c>
      <c r="AY386" s="25">
        <f>Inventory[[#This Row],[Bsmt]]*Lookups!$B$89</f>
        <v>59966.867999313996</v>
      </c>
      <c r="AZ386" s="25">
        <f>Inventory[[#This Row],[Fixtures]]*Lookups!$B$90</f>
        <v>45504.265262400004</v>
      </c>
      <c r="BA386" s="25">
        <f>Inventory[[#This Row],[WdDeck]]*Lookups!$B$91</f>
        <v>18146.05582542</v>
      </c>
      <c r="BB386" s="25">
        <f>ROUND(Inventory[[#This Row],[25Det]],-2)</f>
        <v>33000</v>
      </c>
      <c r="BC386" s="25">
        <f>ROUND(SUM(Inventory[[#This Row],[Mdl Qlty]:[Mdl WdDeck]])+Inventory[[#This Row],[Mdl Res Intercept]],-2)</f>
        <v>458700</v>
      </c>
      <c r="BD386" s="25">
        <f>ROUND(Inventory[[#This Row],[Mdl Land Intercept]]+Inventory[[#This Row],[Mdl LnAcres]],-2)</f>
        <v>50700</v>
      </c>
      <c r="BE386" s="25">
        <f>Inventory[[#This Row],[Unadj Res Value]]+Inventory[[#This Row],[Unadj Det Value]]+Inventory[[#This Row],[Unadj Land Value]]</f>
        <v>542400</v>
      </c>
      <c r="BF386" s="36">
        <f>(Inventory[[#This Row],[Unadj Total Value]]-Inventory[[#This Row],[24Final]])/Inventory[[#This Row],[24Final]]</f>
        <v>8.0908728577122363E-2</v>
      </c>
      <c r="BG386" s="25">
        <f>VLOOKUP(Inventory[[#This Row],[Nbhd]],Lookups!$Q$2:$T$4,4,FALSE)</f>
        <v>0.99970000000000003</v>
      </c>
      <c r="BH386" s="25">
        <f>VLOOKUP(Inventory[[#This Row],[Qlty]],Lookups!$O$7:$R$21,4,FALSE)</f>
        <v>0.98050000000000004</v>
      </c>
      <c r="BI386" s="25">
        <f>VLOOKUP(Inventory[[#This Row],[Cnd]],Lookups!$T$7:$W$16,4,FALSE)</f>
        <v>0.99650000000000005</v>
      </c>
      <c r="BJ386" s="25">
        <f>VLOOKUP(Inventory[[#This Row],[LivArea Range]],Lookups!$T$25:$W$37,4,FALSE)</f>
        <v>0.94579999999999997</v>
      </c>
      <c r="BK386" s="25">
        <f>VLOOKUP(Inventory[[#This Row],[Decade]],Lookups!$O$25:$R$42,4,FALSE)</f>
        <v>1.0199</v>
      </c>
      <c r="BL386" s="25">
        <f>Inventory[[#This Row],[Nbhd Adj]]*0.95</f>
        <v>0.94971499999999998</v>
      </c>
      <c r="BM386" s="25">
        <f>Inventory[[#This Row],[Nbhd Adj]]*Inventory[[#This Row],[Quality Adj]]*Inventory[[#This Row],[Condition Adj]]*Inventory[[#This Row],[Living Area Adj]]*Inventory[[#This Row],[Decade Adj]]*0.95</f>
        <v>0.89510730183993503</v>
      </c>
      <c r="BN386" s="25">
        <f>ROUND(SUM(Inventory[[#This Row],[Mdl Qlty]:[Mdl WdDeck]])+Inventory[[#This Row],[Mdl Res Intercept]]*Inventory[[#This Row],[Res Adj ]],-2)</f>
        <v>458700</v>
      </c>
      <c r="BO386" s="25">
        <f>ROUND(Inventory[[#This Row],[25Det]]*Inventory[[#This Row],[Det/Nbhd Adj]],-2)</f>
        <v>31300</v>
      </c>
      <c r="BP386" s="25">
        <f>Inventory[[#This Row],[Adjusted Res]]+Inventory[[#This Row],[Adj Det ]]</f>
        <v>490000</v>
      </c>
      <c r="BQ386" s="25">
        <f>ROUND((Inventory[[#This Row],[Mdl Land Intercept]]+Inventory[[#This Row],[Mdl LnAcres]])*Inventory[[#This Row],[Det/Nbhd Adj]],-2)</f>
        <v>48100</v>
      </c>
      <c r="BR386" s="25">
        <f>Inventory[[#This Row],[Adjusted Impr Total]]+Inventory[[#This Row],[Adjusted Land Total]]</f>
        <v>538100</v>
      </c>
      <c r="BS386" s="36">
        <f>IFERROR((Inventory[[#This Row],[Adjusted Impr Total]]-Inventory[[#This Row],[24Bldg]])/Inventory[[#This Row],[24Bldg]],0)</f>
        <v>0.13847583643122677</v>
      </c>
      <c r="BT386" s="36">
        <f>(Inventory[[#This Row],[Adjusted Land Total]]-Inventory[[#This Row],[24Lnd]])/Inventory[[#This Row],[24Lnd]]</f>
        <v>-0.32633053221288516</v>
      </c>
      <c r="BU386" s="36">
        <f>(Inventory[[#This Row],[Adjusted Total]]-Inventory[[#This Row],[24Final]])/Inventory[[#This Row],[24Final]]</f>
        <v>7.2339577520924667E-2</v>
      </c>
    </row>
    <row r="387" spans="1:73" x14ac:dyDescent="0.3">
      <c r="A387" s="25">
        <v>2025</v>
      </c>
      <c r="B387" s="26" t="s">
        <v>2139</v>
      </c>
      <c r="C387" s="26">
        <f>LN(Inventory[[#This Row],[Acres]])</f>
        <v>-1.5141277326297755</v>
      </c>
      <c r="D387" s="25">
        <v>0.22</v>
      </c>
      <c r="E387" s="25">
        <v>9366</v>
      </c>
      <c r="F387" s="26" t="s">
        <v>537</v>
      </c>
      <c r="G387" s="26" t="s">
        <v>126</v>
      </c>
      <c r="H387" s="26" t="s">
        <v>349</v>
      </c>
      <c r="I387" s="26" t="s">
        <v>538</v>
      </c>
      <c r="J387" s="26" t="s">
        <v>539</v>
      </c>
      <c r="K387" s="26" t="s">
        <v>241</v>
      </c>
      <c r="L387" s="26" t="s">
        <v>351</v>
      </c>
      <c r="M387" s="26" t="s">
        <v>303</v>
      </c>
      <c r="N387" s="26">
        <v>70</v>
      </c>
      <c r="O387" s="26">
        <f>2024-Inventory[[#This Row],[YrBlt]]</f>
        <v>62</v>
      </c>
      <c r="P387" s="26">
        <f>2024-Inventory[[#This Row],[EffYr]]</f>
        <v>49</v>
      </c>
      <c r="Q387" s="25">
        <v>1962</v>
      </c>
      <c r="R387" s="25">
        <v>1975</v>
      </c>
      <c r="S387" s="25">
        <v>1182</v>
      </c>
      <c r="T387" s="27"/>
      <c r="U387" s="31"/>
      <c r="V387" s="31">
        <f>Inventory[[#This Row],[Bsmt]]-Inventory[[#This Row],[FnBsmt]]</f>
        <v>0</v>
      </c>
      <c r="W387" s="31"/>
      <c r="X387" s="27"/>
      <c r="Y387" s="27">
        <f>Inventory[[#This Row],[MainFn]]+Inventory[[#This Row],[UpprFn]]+Inventory[[#This Row],[FnBsmt]]+Inventory[[#This Row],[AddFn]]</f>
        <v>1182</v>
      </c>
      <c r="Z387" s="27">
        <v>1500</v>
      </c>
      <c r="AA387" s="25">
        <v>6</v>
      </c>
      <c r="AB387" s="32">
        <v>492</v>
      </c>
      <c r="AC387" s="31"/>
      <c r="AD387" s="31"/>
      <c r="AE387" s="27"/>
      <c r="AF387" s="27"/>
      <c r="AG387" s="27"/>
      <c r="AH387" s="27"/>
      <c r="AI387" s="25">
        <v>224869</v>
      </c>
      <c r="AJ387" s="25">
        <v>161906</v>
      </c>
      <c r="AK387" s="25">
        <v>0</v>
      </c>
      <c r="AL387" s="25">
        <v>307800</v>
      </c>
      <c r="AM387" s="25">
        <v>61700</v>
      </c>
      <c r="AN387" s="25">
        <v>246100</v>
      </c>
      <c r="AO387" s="25">
        <v>0</v>
      </c>
      <c r="AP387" s="25">
        <f>Lookups!$B$56*0</f>
        <v>0</v>
      </c>
      <c r="AQ387" s="25">
        <f>Lookups!$B$56*1</f>
        <v>89850.625589999996</v>
      </c>
      <c r="AR387" s="25">
        <f>Lookups!$B$57*Inventory[[#This Row],[LnAcres]]</f>
        <v>-47929.131559187132</v>
      </c>
      <c r="AS387" s="25">
        <f>VLOOKUP(Inventory[[#This Row],[Qlty]],Lookups!$A$62:$E$75,2,FALSE)</f>
        <v>21557.329055999999</v>
      </c>
      <c r="AT387" s="25">
        <f>VLOOKUP(Inventory[[#This Row],[Cnd]],Lookups!$A$76:$E$84,2,FALSE)</f>
        <v>197752.34721000001</v>
      </c>
      <c r="AU387" s="25">
        <f>Inventory[[#This Row],[EffAge]]*Lookups!$B$85</f>
        <v>-10929.2344245</v>
      </c>
      <c r="AV387" s="25">
        <f>Inventory[[#This Row],[MainFn]]*Lookups!$B$86</f>
        <v>58401.047794614002</v>
      </c>
      <c r="AW387" s="25">
        <f>Inventory[[#This Row],[UpprFn]]*Lookups!$B$87</f>
        <v>0</v>
      </c>
      <c r="AX387" s="25">
        <f>Inventory[[#This Row],[AddFn]]*Lookups!$B$88</f>
        <v>0</v>
      </c>
      <c r="AY387" s="25">
        <f>Inventory[[#This Row],[Bsmt]]*Lookups!$B$89</f>
        <v>0</v>
      </c>
      <c r="AZ387" s="25">
        <f>Inventory[[#This Row],[Fixtures]]*Lookups!$B$90</f>
        <v>22752.132631200002</v>
      </c>
      <c r="BA387" s="25">
        <f>Inventory[[#This Row],[WdDeck]]*Lookups!$B$91</f>
        <v>0</v>
      </c>
      <c r="BB387" s="25">
        <f>ROUND(Inventory[[#This Row],[25Det]],-2)</f>
        <v>0</v>
      </c>
      <c r="BC387" s="25">
        <f>ROUND(SUM(Inventory[[#This Row],[Mdl Qlty]:[Mdl WdDeck]])+Inventory[[#This Row],[Mdl Res Intercept]],-2)</f>
        <v>289500</v>
      </c>
      <c r="BD387" s="25">
        <f>ROUND(Inventory[[#This Row],[Mdl Land Intercept]]+Inventory[[#This Row],[Mdl LnAcres]],-2)</f>
        <v>41900</v>
      </c>
      <c r="BE387" s="25">
        <f>Inventory[[#This Row],[Unadj Res Value]]+Inventory[[#This Row],[Unadj Det Value]]+Inventory[[#This Row],[Unadj Land Value]]</f>
        <v>331400</v>
      </c>
      <c r="BF387" s="36">
        <f>(Inventory[[#This Row],[Unadj Total Value]]-Inventory[[#This Row],[24Final]])/Inventory[[#This Row],[24Final]]</f>
        <v>7.6673164392462634E-2</v>
      </c>
      <c r="BG387" s="25">
        <f>VLOOKUP(Inventory[[#This Row],[Nbhd]],Lookups!$Q$2:$T$4,4,FALSE)</f>
        <v>0.99970000000000003</v>
      </c>
      <c r="BH387" s="25">
        <f>VLOOKUP(Inventory[[#This Row],[Qlty]],Lookups!$O$7:$R$21,4,FALSE)</f>
        <v>1.0067999999999999</v>
      </c>
      <c r="BI387" s="25">
        <f>VLOOKUP(Inventory[[#This Row],[Cnd]],Lookups!$T$7:$W$16,4,FALSE)</f>
        <v>0.99650000000000005</v>
      </c>
      <c r="BJ387" s="25">
        <f>VLOOKUP(Inventory[[#This Row],[LivArea Range]],Lookups!$T$25:$W$37,4,FALSE)</f>
        <v>1.0157</v>
      </c>
      <c r="BK387" s="25">
        <f>VLOOKUP(Inventory[[#This Row],[Decade]],Lookups!$O$25:$R$42,4,FALSE)</f>
        <v>1.0199</v>
      </c>
      <c r="BL387" s="25">
        <f>Inventory[[#This Row],[Nbhd Adj]]*0.95</f>
        <v>0.94971499999999998</v>
      </c>
      <c r="BM387" s="25">
        <f>Inventory[[#This Row],[Nbhd Adj]]*Inventory[[#This Row],[Quality Adj]]*Inventory[[#This Row],[Condition Adj]]*Inventory[[#This Row],[Living Area Adj]]*Inventory[[#This Row],[Decade Adj]]*0.95</f>
        <v>0.98704476969641131</v>
      </c>
      <c r="BN387" s="25">
        <f>ROUND(SUM(Inventory[[#This Row],[Mdl Qlty]:[Mdl WdDeck]])+Inventory[[#This Row],[Mdl Res Intercept]]*Inventory[[#This Row],[Res Adj ]],-2)</f>
        <v>289500</v>
      </c>
      <c r="BO387" s="25">
        <f>ROUND(Inventory[[#This Row],[25Det]]*Inventory[[#This Row],[Det/Nbhd Adj]],-2)</f>
        <v>0</v>
      </c>
      <c r="BP387" s="25">
        <f>Inventory[[#This Row],[Adjusted Res]]+Inventory[[#This Row],[Adj Det ]]</f>
        <v>289500</v>
      </c>
      <c r="BQ387" s="25">
        <f>ROUND((Inventory[[#This Row],[Mdl Land Intercept]]+Inventory[[#This Row],[Mdl LnAcres]])*Inventory[[#This Row],[Det/Nbhd Adj]],-2)</f>
        <v>39800</v>
      </c>
      <c r="BR387" s="25">
        <f>Inventory[[#This Row],[Adjusted Impr Total]]+Inventory[[#This Row],[Adjusted Land Total]]</f>
        <v>329300</v>
      </c>
      <c r="BS387" s="36">
        <f>IFERROR((Inventory[[#This Row],[Adjusted Impr Total]]-Inventory[[#This Row],[24Bldg]])/Inventory[[#This Row],[24Bldg]],0)</f>
        <v>0.17635107679804957</v>
      </c>
      <c r="BT387" s="36">
        <f>(Inventory[[#This Row],[Adjusted Land Total]]-Inventory[[#This Row],[24Lnd]])/Inventory[[#This Row],[24Lnd]]</f>
        <v>-0.35494327390599678</v>
      </c>
      <c r="BU387" s="36">
        <f>(Inventory[[#This Row],[Adjusted Total]]-Inventory[[#This Row],[24Final]])/Inventory[[#This Row],[24Final]]</f>
        <v>6.9850552306692654E-2</v>
      </c>
    </row>
    <row r="388" spans="1:73" x14ac:dyDescent="0.3">
      <c r="A388" s="25">
        <v>2025</v>
      </c>
      <c r="B388" s="26" t="s">
        <v>2505</v>
      </c>
      <c r="C388" s="26">
        <f>LN(Inventory[[#This Row],[Acres]])</f>
        <v>-1.5141277326297755</v>
      </c>
      <c r="D388" s="25">
        <v>0.22</v>
      </c>
      <c r="E388" s="25">
        <v>9664</v>
      </c>
      <c r="F388" s="26" t="s">
        <v>537</v>
      </c>
      <c r="G388" s="26" t="s">
        <v>126</v>
      </c>
      <c r="H388" s="26" t="s">
        <v>349</v>
      </c>
      <c r="I388" s="26" t="s">
        <v>538</v>
      </c>
      <c r="J388" s="26" t="s">
        <v>539</v>
      </c>
      <c r="K388" s="26" t="s">
        <v>241</v>
      </c>
      <c r="L388" s="26" t="s">
        <v>302</v>
      </c>
      <c r="M388" s="26" t="s">
        <v>303</v>
      </c>
      <c r="N388" s="26">
        <v>70</v>
      </c>
      <c r="O388" s="26">
        <f>2024-Inventory[[#This Row],[YrBlt]]</f>
        <v>62</v>
      </c>
      <c r="P388" s="26">
        <f>2024-Inventory[[#This Row],[EffYr]]</f>
        <v>49</v>
      </c>
      <c r="Q388" s="25">
        <v>1962</v>
      </c>
      <c r="R388" s="25">
        <v>1975</v>
      </c>
      <c r="S388" s="25">
        <v>1140</v>
      </c>
      <c r="T388" s="27"/>
      <c r="U388" s="31"/>
      <c r="V388" s="31">
        <f>Inventory[[#This Row],[Bsmt]]-Inventory[[#This Row],[FnBsmt]]</f>
        <v>0</v>
      </c>
      <c r="W388" s="31"/>
      <c r="X388" s="27"/>
      <c r="Y388" s="27">
        <f>Inventory[[#This Row],[MainFn]]+Inventory[[#This Row],[UpprFn]]+Inventory[[#This Row],[FnBsmt]]+Inventory[[#This Row],[AddFn]]</f>
        <v>1140</v>
      </c>
      <c r="Z388" s="27">
        <v>1500</v>
      </c>
      <c r="AA388" s="25">
        <v>8</v>
      </c>
      <c r="AB388" s="32">
        <v>400</v>
      </c>
      <c r="AC388" s="31"/>
      <c r="AD388" s="31"/>
      <c r="AE388" s="27"/>
      <c r="AF388" s="27"/>
      <c r="AG388" s="27"/>
      <c r="AH388" s="27"/>
      <c r="AI388" s="25">
        <v>253403</v>
      </c>
      <c r="AJ388" s="25">
        <v>182450</v>
      </c>
      <c r="AK388" s="25">
        <v>0</v>
      </c>
      <c r="AL388" s="25">
        <v>322200</v>
      </c>
      <c r="AM388" s="25">
        <v>61700</v>
      </c>
      <c r="AN388" s="25">
        <v>260500</v>
      </c>
      <c r="AO388" s="25">
        <v>0</v>
      </c>
      <c r="AP388" s="25">
        <f>Lookups!$B$56*0</f>
        <v>0</v>
      </c>
      <c r="AQ388" s="25">
        <f>Lookups!$B$56*1</f>
        <v>89850.625589999996</v>
      </c>
      <c r="AR388" s="25">
        <f>Lookups!$B$57*Inventory[[#This Row],[LnAcres]]</f>
        <v>-47929.131559187132</v>
      </c>
      <c r="AS388" s="25">
        <f>VLOOKUP(Inventory[[#This Row],[Qlty]],Lookups!$A$62:$E$75,2,FALSE)</f>
        <v>29814.093161000001</v>
      </c>
      <c r="AT388" s="25">
        <f>VLOOKUP(Inventory[[#This Row],[Cnd]],Lookups!$A$76:$E$84,2,FALSE)</f>
        <v>197752.34721000001</v>
      </c>
      <c r="AU388" s="25">
        <f>Inventory[[#This Row],[EffAge]]*Lookups!$B$85</f>
        <v>-10929.2344245</v>
      </c>
      <c r="AV388" s="25">
        <f>Inventory[[#This Row],[MainFn]]*Lookups!$B$86</f>
        <v>56325.883659780004</v>
      </c>
      <c r="AW388" s="25">
        <f>Inventory[[#This Row],[UpprFn]]*Lookups!$B$87</f>
        <v>0</v>
      </c>
      <c r="AX388" s="25">
        <f>Inventory[[#This Row],[AddFn]]*Lookups!$B$88</f>
        <v>0</v>
      </c>
      <c r="AY388" s="25">
        <f>Inventory[[#This Row],[Bsmt]]*Lookups!$B$89</f>
        <v>0</v>
      </c>
      <c r="AZ388" s="25">
        <f>Inventory[[#This Row],[Fixtures]]*Lookups!$B$90</f>
        <v>30336.176841600001</v>
      </c>
      <c r="BA388" s="25">
        <f>Inventory[[#This Row],[WdDeck]]*Lookups!$B$91</f>
        <v>0</v>
      </c>
      <c r="BB388" s="25">
        <f>ROUND(Inventory[[#This Row],[25Det]],-2)</f>
        <v>0</v>
      </c>
      <c r="BC388" s="25">
        <f>ROUND(SUM(Inventory[[#This Row],[Mdl Qlty]:[Mdl WdDeck]])+Inventory[[#This Row],[Mdl Res Intercept]],-2)</f>
        <v>303300</v>
      </c>
      <c r="BD388" s="25">
        <f>ROUND(Inventory[[#This Row],[Mdl Land Intercept]]+Inventory[[#This Row],[Mdl LnAcres]],-2)</f>
        <v>41900</v>
      </c>
      <c r="BE388" s="25">
        <f>Inventory[[#This Row],[Unadj Res Value]]+Inventory[[#This Row],[Unadj Det Value]]+Inventory[[#This Row],[Unadj Land Value]]</f>
        <v>345200</v>
      </c>
      <c r="BF388" s="36">
        <f>(Inventory[[#This Row],[Unadj Total Value]]-Inventory[[#This Row],[24Final]])/Inventory[[#This Row],[24Final]]</f>
        <v>7.1384233395406574E-2</v>
      </c>
      <c r="BG388" s="25">
        <f>VLOOKUP(Inventory[[#This Row],[Nbhd]],Lookups!$Q$2:$T$4,4,FALSE)</f>
        <v>0.99970000000000003</v>
      </c>
      <c r="BH388" s="25">
        <f>VLOOKUP(Inventory[[#This Row],[Qlty]],Lookups!$O$7:$R$21,4,FALSE)</f>
        <v>1.0088999999999999</v>
      </c>
      <c r="BI388" s="25">
        <f>VLOOKUP(Inventory[[#This Row],[Cnd]],Lookups!$T$7:$W$16,4,FALSE)</f>
        <v>0.99650000000000005</v>
      </c>
      <c r="BJ388" s="25">
        <f>VLOOKUP(Inventory[[#This Row],[LivArea Range]],Lookups!$T$25:$W$37,4,FALSE)</f>
        <v>1.0157</v>
      </c>
      <c r="BK388" s="25">
        <f>VLOOKUP(Inventory[[#This Row],[Decade]],Lookups!$O$25:$R$42,4,FALSE)</f>
        <v>1.0199</v>
      </c>
      <c r="BL388" s="25">
        <f>Inventory[[#This Row],[Nbhd Adj]]*0.95</f>
        <v>0.94971499999999998</v>
      </c>
      <c r="BM388" s="25">
        <f>Inventory[[#This Row],[Nbhd Adj]]*Inventory[[#This Row],[Quality Adj]]*Inventory[[#This Row],[Condition Adj]]*Inventory[[#This Row],[Living Area Adj]]*Inventory[[#This Row],[Decade Adj]]*0.95</f>
        <v>0.98910356391210685</v>
      </c>
      <c r="BN388" s="25">
        <f>ROUND(SUM(Inventory[[#This Row],[Mdl Qlty]:[Mdl WdDeck]])+Inventory[[#This Row],[Mdl Res Intercept]]*Inventory[[#This Row],[Res Adj ]],-2)</f>
        <v>303300</v>
      </c>
      <c r="BO388" s="25">
        <f>ROUND(Inventory[[#This Row],[25Det]]*Inventory[[#This Row],[Det/Nbhd Adj]],-2)</f>
        <v>0</v>
      </c>
      <c r="BP388" s="25">
        <f>Inventory[[#This Row],[Adjusted Res]]+Inventory[[#This Row],[Adj Det ]]</f>
        <v>303300</v>
      </c>
      <c r="BQ388" s="25">
        <f>ROUND((Inventory[[#This Row],[Mdl Land Intercept]]+Inventory[[#This Row],[Mdl LnAcres]])*Inventory[[#This Row],[Det/Nbhd Adj]],-2)</f>
        <v>39800</v>
      </c>
      <c r="BR388" s="25">
        <f>Inventory[[#This Row],[Adjusted Impr Total]]+Inventory[[#This Row],[Adjusted Land Total]]</f>
        <v>343100</v>
      </c>
      <c r="BS388" s="36">
        <f>IFERROR((Inventory[[#This Row],[Adjusted Impr Total]]-Inventory[[#This Row],[24Bldg]])/Inventory[[#This Row],[24Bldg]],0)</f>
        <v>0.16429942418426105</v>
      </c>
      <c r="BT388" s="36">
        <f>(Inventory[[#This Row],[Adjusted Land Total]]-Inventory[[#This Row],[24Lnd]])/Inventory[[#This Row],[24Lnd]]</f>
        <v>-0.35494327390599678</v>
      </c>
      <c r="BU388" s="36">
        <f>(Inventory[[#This Row],[Adjusted Total]]-Inventory[[#This Row],[24Final]])/Inventory[[#This Row],[24Final]]</f>
        <v>6.4866542520173806E-2</v>
      </c>
    </row>
    <row r="389" spans="1:73" x14ac:dyDescent="0.3">
      <c r="A389" s="25">
        <v>2025</v>
      </c>
      <c r="B389" s="26" t="s">
        <v>2527</v>
      </c>
      <c r="C389" s="26">
        <f>LN(Inventory[[#This Row],[Acres]])</f>
        <v>-1.5606477482646683</v>
      </c>
      <c r="D389" s="25">
        <v>0.21</v>
      </c>
      <c r="E389" s="31"/>
      <c r="F389" s="26" t="s">
        <v>537</v>
      </c>
      <c r="G389" s="26" t="s">
        <v>126</v>
      </c>
      <c r="H389" s="26" t="s">
        <v>349</v>
      </c>
      <c r="I389" s="26" t="s">
        <v>538</v>
      </c>
      <c r="J389" s="26" t="s">
        <v>539</v>
      </c>
      <c r="K389" s="26" t="s">
        <v>241</v>
      </c>
      <c r="L389" s="26" t="s">
        <v>351</v>
      </c>
      <c r="M389" s="26" t="s">
        <v>303</v>
      </c>
      <c r="N389" s="26">
        <v>70</v>
      </c>
      <c r="O389" s="26">
        <f>2024-Inventory[[#This Row],[YrBlt]]</f>
        <v>62</v>
      </c>
      <c r="P389" s="26">
        <f>2024-Inventory[[#This Row],[EffYr]]</f>
        <v>49</v>
      </c>
      <c r="Q389" s="25">
        <v>1962</v>
      </c>
      <c r="R389" s="25">
        <v>1975</v>
      </c>
      <c r="S389" s="25">
        <v>1677</v>
      </c>
      <c r="T389" s="31"/>
      <c r="U389" s="31"/>
      <c r="V389" s="27">
        <f>Inventory[[#This Row],[Bsmt]]-Inventory[[#This Row],[FnBsmt]]</f>
        <v>0</v>
      </c>
      <c r="W389" s="27"/>
      <c r="X389" s="27"/>
      <c r="Y389" s="27">
        <f>Inventory[[#This Row],[MainFn]]+Inventory[[#This Row],[UpprFn]]+Inventory[[#This Row],[FnBsmt]]+Inventory[[#This Row],[AddFn]]</f>
        <v>1677</v>
      </c>
      <c r="Z389" s="27">
        <v>2000</v>
      </c>
      <c r="AA389" s="25">
        <v>8</v>
      </c>
      <c r="AB389" s="27"/>
      <c r="AC389" s="27"/>
      <c r="AD389" s="27"/>
      <c r="AE389" s="27"/>
      <c r="AF389" s="27"/>
      <c r="AG389" s="27"/>
      <c r="AH389" s="27"/>
      <c r="AI389" s="25">
        <v>273189</v>
      </c>
      <c r="AJ389" s="25">
        <v>196696</v>
      </c>
      <c r="AK389" s="25">
        <v>24251</v>
      </c>
      <c r="AL389" s="25">
        <v>362300</v>
      </c>
      <c r="AM389" s="25">
        <v>60100</v>
      </c>
      <c r="AN389" s="25">
        <v>302200</v>
      </c>
      <c r="AO389" s="25">
        <v>0</v>
      </c>
      <c r="AP389" s="25">
        <f>Lookups!$B$56*0</f>
        <v>0</v>
      </c>
      <c r="AQ389" s="25">
        <f>Lookups!$B$56*1</f>
        <v>89850.625589999996</v>
      </c>
      <c r="AR389" s="25">
        <f>Lookups!$B$57*Inventory[[#This Row],[LnAcres]]</f>
        <v>-49401.70477837498</v>
      </c>
      <c r="AS389" s="25">
        <f>VLOOKUP(Inventory[[#This Row],[Qlty]],Lookups!$A$62:$E$75,2,FALSE)</f>
        <v>21557.329055999999</v>
      </c>
      <c r="AT389" s="25">
        <f>VLOOKUP(Inventory[[#This Row],[Cnd]],Lookups!$A$76:$E$84,2,FALSE)</f>
        <v>197752.34721000001</v>
      </c>
      <c r="AU389" s="25">
        <f>Inventory[[#This Row],[EffAge]]*Lookups!$B$85</f>
        <v>-10929.2344245</v>
      </c>
      <c r="AV389" s="25">
        <f>Inventory[[#This Row],[MainFn]]*Lookups!$B$86</f>
        <v>82858.339383729006</v>
      </c>
      <c r="AW389" s="25">
        <f>Inventory[[#This Row],[UpprFn]]*Lookups!$B$87</f>
        <v>0</v>
      </c>
      <c r="AX389" s="25">
        <f>Inventory[[#This Row],[AddFn]]*Lookups!$B$88</f>
        <v>0</v>
      </c>
      <c r="AY389" s="25">
        <f>Inventory[[#This Row],[Bsmt]]*Lookups!$B$89</f>
        <v>0</v>
      </c>
      <c r="AZ389" s="25">
        <f>Inventory[[#This Row],[Fixtures]]*Lookups!$B$90</f>
        <v>30336.176841600001</v>
      </c>
      <c r="BA389" s="25">
        <f>Inventory[[#This Row],[WdDeck]]*Lookups!$B$91</f>
        <v>0</v>
      </c>
      <c r="BB389" s="25">
        <f>ROUND(Inventory[[#This Row],[25Det]],-2)</f>
        <v>24300</v>
      </c>
      <c r="BC389" s="25">
        <f>ROUND(SUM(Inventory[[#This Row],[Mdl Qlty]:[Mdl WdDeck]])+Inventory[[#This Row],[Mdl Res Intercept]],-2)</f>
        <v>321600</v>
      </c>
      <c r="BD389" s="25">
        <f>ROUND(Inventory[[#This Row],[Mdl Land Intercept]]+Inventory[[#This Row],[Mdl LnAcres]],-2)</f>
        <v>40400</v>
      </c>
      <c r="BE389" s="25">
        <f>Inventory[[#This Row],[Unadj Res Value]]+Inventory[[#This Row],[Unadj Det Value]]+Inventory[[#This Row],[Unadj Land Value]]</f>
        <v>386300</v>
      </c>
      <c r="BF389" s="36">
        <f>(Inventory[[#This Row],[Unadj Total Value]]-Inventory[[#This Row],[24Final]])/Inventory[[#This Row],[24Final]]</f>
        <v>6.6243444659122269E-2</v>
      </c>
      <c r="BG389" s="25">
        <f>VLOOKUP(Inventory[[#This Row],[Nbhd]],Lookups!$Q$2:$T$4,4,FALSE)</f>
        <v>0.99970000000000003</v>
      </c>
      <c r="BH389" s="25">
        <f>VLOOKUP(Inventory[[#This Row],[Qlty]],Lookups!$O$7:$R$21,4,FALSE)</f>
        <v>1.0067999999999999</v>
      </c>
      <c r="BI389" s="25">
        <f>VLOOKUP(Inventory[[#This Row],[Cnd]],Lookups!$T$7:$W$16,4,FALSE)</f>
        <v>0.99650000000000005</v>
      </c>
      <c r="BJ389" s="25">
        <f>VLOOKUP(Inventory[[#This Row],[LivArea Range]],Lookups!$T$25:$W$37,4,FALSE)</f>
        <v>1.0093000000000001</v>
      </c>
      <c r="BK389" s="25">
        <f>VLOOKUP(Inventory[[#This Row],[Decade]],Lookups!$O$25:$R$42,4,FALSE)</f>
        <v>1.0199</v>
      </c>
      <c r="BL389" s="25">
        <f>Inventory[[#This Row],[Nbhd Adj]]*0.95</f>
        <v>0.94971499999999998</v>
      </c>
      <c r="BM389" s="25">
        <f>Inventory[[#This Row],[Nbhd Adj]]*Inventory[[#This Row],[Quality Adj]]*Inventory[[#This Row],[Condition Adj]]*Inventory[[#This Row],[Living Area Adj]]*Inventory[[#This Row],[Decade Adj]]*0.95</f>
        <v>0.98082532839872782</v>
      </c>
      <c r="BN389" s="25">
        <f>ROUND(SUM(Inventory[[#This Row],[Mdl Qlty]:[Mdl WdDeck]])+Inventory[[#This Row],[Mdl Res Intercept]]*Inventory[[#This Row],[Res Adj ]],-2)</f>
        <v>321600</v>
      </c>
      <c r="BO389" s="25">
        <f>ROUND(Inventory[[#This Row],[25Det]]*Inventory[[#This Row],[Det/Nbhd Adj]],-2)</f>
        <v>23000</v>
      </c>
      <c r="BP389" s="25">
        <f>Inventory[[#This Row],[Adjusted Res]]+Inventory[[#This Row],[Adj Det ]]</f>
        <v>344600</v>
      </c>
      <c r="BQ389" s="25">
        <f>ROUND((Inventory[[#This Row],[Mdl Land Intercept]]+Inventory[[#This Row],[Mdl LnAcres]])*Inventory[[#This Row],[Det/Nbhd Adj]],-2)</f>
        <v>38400</v>
      </c>
      <c r="BR389" s="25">
        <f>Inventory[[#This Row],[Adjusted Impr Total]]+Inventory[[#This Row],[Adjusted Land Total]]</f>
        <v>383000</v>
      </c>
      <c r="BS389" s="36">
        <f>IFERROR((Inventory[[#This Row],[Adjusted Impr Total]]-Inventory[[#This Row],[24Bldg]])/Inventory[[#This Row],[24Bldg]],0)</f>
        <v>0.14030443414956983</v>
      </c>
      <c r="BT389" s="36">
        <f>(Inventory[[#This Row],[Adjusted Land Total]]-Inventory[[#This Row],[24Lnd]])/Inventory[[#This Row],[24Lnd]]</f>
        <v>-0.36106489184692181</v>
      </c>
      <c r="BU389" s="36">
        <f>(Inventory[[#This Row],[Adjusted Total]]-Inventory[[#This Row],[24Final]])/Inventory[[#This Row],[24Final]]</f>
        <v>5.7134971018492964E-2</v>
      </c>
    </row>
    <row r="390" spans="1:73" x14ac:dyDescent="0.3">
      <c r="A390" s="25">
        <v>2025</v>
      </c>
      <c r="B390" s="26" t="s">
        <v>752</v>
      </c>
      <c r="C390" s="26">
        <f>LN(Inventory[[#This Row],[Acres]])</f>
        <v>-1.0498221244986778</v>
      </c>
      <c r="D390" s="25">
        <v>0.35</v>
      </c>
      <c r="E390" s="25">
        <v>15414</v>
      </c>
      <c r="F390" s="26" t="s">
        <v>537</v>
      </c>
      <c r="G390" s="26" t="s">
        <v>126</v>
      </c>
      <c r="H390" s="26" t="s">
        <v>349</v>
      </c>
      <c r="I390" s="26" t="s">
        <v>538</v>
      </c>
      <c r="J390" s="26" t="s">
        <v>539</v>
      </c>
      <c r="K390" s="26" t="s">
        <v>241</v>
      </c>
      <c r="L390" s="26" t="s">
        <v>302</v>
      </c>
      <c r="M390" s="26" t="s">
        <v>303</v>
      </c>
      <c r="N390" s="26">
        <v>70</v>
      </c>
      <c r="O390" s="26">
        <f>2024-Inventory[[#This Row],[YrBlt]]</f>
        <v>62</v>
      </c>
      <c r="P390" s="26">
        <f>2024-Inventory[[#This Row],[EffYr]]</f>
        <v>49</v>
      </c>
      <c r="Q390" s="25">
        <v>1962</v>
      </c>
      <c r="R390" s="25">
        <v>1975</v>
      </c>
      <c r="S390" s="25">
        <v>1944</v>
      </c>
      <c r="T390" s="27"/>
      <c r="U390" s="31"/>
      <c r="V390" s="31">
        <f>Inventory[[#This Row],[Bsmt]]-Inventory[[#This Row],[FnBsmt]]</f>
        <v>0</v>
      </c>
      <c r="W390" s="31"/>
      <c r="X390" s="27"/>
      <c r="Y390" s="27">
        <f>Inventory[[#This Row],[MainFn]]+Inventory[[#This Row],[UpprFn]]+Inventory[[#This Row],[FnBsmt]]+Inventory[[#This Row],[AddFn]]</f>
        <v>1944</v>
      </c>
      <c r="Z390" s="27">
        <v>2000</v>
      </c>
      <c r="AA390" s="25">
        <v>7</v>
      </c>
      <c r="AB390" s="32">
        <v>506</v>
      </c>
      <c r="AC390" s="27"/>
      <c r="AD390" s="27"/>
      <c r="AE390" s="27"/>
      <c r="AF390" s="27"/>
      <c r="AG390" s="27"/>
      <c r="AH390" s="27"/>
      <c r="AI390" s="25">
        <v>376787</v>
      </c>
      <c r="AJ390" s="25">
        <v>271287</v>
      </c>
      <c r="AK390" s="25">
        <v>0</v>
      </c>
      <c r="AL390" s="25">
        <v>373800</v>
      </c>
      <c r="AM390" s="25">
        <v>77900</v>
      </c>
      <c r="AN390" s="25">
        <v>295900</v>
      </c>
      <c r="AO390" s="25">
        <v>0</v>
      </c>
      <c r="AP390" s="25">
        <f>Lookups!$B$56*0</f>
        <v>0</v>
      </c>
      <c r="AQ390" s="25">
        <f>Lookups!$B$56*1</f>
        <v>89850.625589999996</v>
      </c>
      <c r="AR390" s="25">
        <f>Lookups!$B$57*Inventory[[#This Row],[LnAcres]]</f>
        <v>-33231.715947405908</v>
      </c>
      <c r="AS390" s="25">
        <f>VLOOKUP(Inventory[[#This Row],[Qlty]],Lookups!$A$62:$E$75,2,FALSE)</f>
        <v>29814.093161000001</v>
      </c>
      <c r="AT390" s="25">
        <f>VLOOKUP(Inventory[[#This Row],[Cnd]],Lookups!$A$76:$E$84,2,FALSE)</f>
        <v>197752.34721000001</v>
      </c>
      <c r="AU390" s="25">
        <f>Inventory[[#This Row],[EffAge]]*Lookups!$B$85</f>
        <v>-10929.2344245</v>
      </c>
      <c r="AV390" s="25">
        <f>Inventory[[#This Row],[MainFn]]*Lookups!$B$86</f>
        <v>96050.454240888008</v>
      </c>
      <c r="AW390" s="25">
        <f>Inventory[[#This Row],[UpprFn]]*Lookups!$B$87</f>
        <v>0</v>
      </c>
      <c r="AX390" s="25">
        <f>Inventory[[#This Row],[AddFn]]*Lookups!$B$88</f>
        <v>0</v>
      </c>
      <c r="AY390" s="25">
        <f>Inventory[[#This Row],[Bsmt]]*Lookups!$B$89</f>
        <v>0</v>
      </c>
      <c r="AZ390" s="25">
        <f>Inventory[[#This Row],[Fixtures]]*Lookups!$B$90</f>
        <v>26544.1547364</v>
      </c>
      <c r="BA390" s="25">
        <f>Inventory[[#This Row],[WdDeck]]*Lookups!$B$91</f>
        <v>0</v>
      </c>
      <c r="BB390" s="25">
        <f>ROUND(Inventory[[#This Row],[25Det]],-2)</f>
        <v>0</v>
      </c>
      <c r="BC390" s="25">
        <f>ROUND(SUM(Inventory[[#This Row],[Mdl Qlty]:[Mdl WdDeck]])+Inventory[[#This Row],[Mdl Res Intercept]],-2)</f>
        <v>339200</v>
      </c>
      <c r="BD390" s="25">
        <f>ROUND(Inventory[[#This Row],[Mdl Land Intercept]]+Inventory[[#This Row],[Mdl LnAcres]],-2)</f>
        <v>56600</v>
      </c>
      <c r="BE390" s="25">
        <f>Inventory[[#This Row],[Unadj Res Value]]+Inventory[[#This Row],[Unadj Det Value]]+Inventory[[#This Row],[Unadj Land Value]]</f>
        <v>395800</v>
      </c>
      <c r="BF390" s="36">
        <f>(Inventory[[#This Row],[Unadj Total Value]]-Inventory[[#This Row],[24Final]])/Inventory[[#This Row],[24Final]]</f>
        <v>5.8855002675227391E-2</v>
      </c>
      <c r="BG390" s="25">
        <f>VLOOKUP(Inventory[[#This Row],[Nbhd]],Lookups!$Q$2:$T$4,4,FALSE)</f>
        <v>0.99970000000000003</v>
      </c>
      <c r="BH390" s="25">
        <f>VLOOKUP(Inventory[[#This Row],[Qlty]],Lookups!$O$7:$R$21,4,FALSE)</f>
        <v>1.0088999999999999</v>
      </c>
      <c r="BI390" s="25">
        <f>VLOOKUP(Inventory[[#This Row],[Cnd]],Lookups!$T$7:$W$16,4,FALSE)</f>
        <v>0.99650000000000005</v>
      </c>
      <c r="BJ390" s="25">
        <f>VLOOKUP(Inventory[[#This Row],[LivArea Range]],Lookups!$T$25:$W$37,4,FALSE)</f>
        <v>1.0093000000000001</v>
      </c>
      <c r="BK390" s="25">
        <f>VLOOKUP(Inventory[[#This Row],[Decade]],Lookups!$O$25:$R$42,4,FALSE)</f>
        <v>1.0199</v>
      </c>
      <c r="BL390" s="25">
        <f>Inventory[[#This Row],[Nbhd Adj]]*0.95</f>
        <v>0.94971499999999998</v>
      </c>
      <c r="BM390" s="25">
        <f>Inventory[[#This Row],[Nbhd Adj]]*Inventory[[#This Row],[Quality Adj]]*Inventory[[#This Row],[Condition Adj]]*Inventory[[#This Row],[Living Area Adj]]*Inventory[[#This Row],[Decade Adj]]*0.95</f>
        <v>0.98287115000146663</v>
      </c>
      <c r="BN390" s="25">
        <f>ROUND(SUM(Inventory[[#This Row],[Mdl Qlty]:[Mdl WdDeck]])+Inventory[[#This Row],[Mdl Res Intercept]]*Inventory[[#This Row],[Res Adj ]],-2)</f>
        <v>339200</v>
      </c>
      <c r="BO390" s="25">
        <f>ROUND(Inventory[[#This Row],[25Det]]*Inventory[[#This Row],[Det/Nbhd Adj]],-2)</f>
        <v>0</v>
      </c>
      <c r="BP390" s="25">
        <f>Inventory[[#This Row],[Adjusted Res]]+Inventory[[#This Row],[Adj Det ]]</f>
        <v>339200</v>
      </c>
      <c r="BQ390" s="25">
        <f>ROUND((Inventory[[#This Row],[Mdl Land Intercept]]+Inventory[[#This Row],[Mdl LnAcres]])*Inventory[[#This Row],[Det/Nbhd Adj]],-2)</f>
        <v>53800</v>
      </c>
      <c r="BR390" s="25">
        <f>Inventory[[#This Row],[Adjusted Impr Total]]+Inventory[[#This Row],[Adjusted Land Total]]</f>
        <v>393000</v>
      </c>
      <c r="BS390" s="36">
        <f>IFERROR((Inventory[[#This Row],[Adjusted Impr Total]]-Inventory[[#This Row],[24Bldg]])/Inventory[[#This Row],[24Bldg]],0)</f>
        <v>0.14633322068266305</v>
      </c>
      <c r="BT390" s="36">
        <f>(Inventory[[#This Row],[Adjusted Land Total]]-Inventory[[#This Row],[24Lnd]])/Inventory[[#This Row],[24Lnd]]</f>
        <v>-0.30937098844672656</v>
      </c>
      <c r="BU390" s="36">
        <f>(Inventory[[#This Row],[Adjusted Total]]-Inventory[[#This Row],[24Final]])/Inventory[[#This Row],[24Final]]</f>
        <v>5.1364365971107544E-2</v>
      </c>
    </row>
    <row r="391" spans="1:73" x14ac:dyDescent="0.3">
      <c r="A391" s="25">
        <v>2025</v>
      </c>
      <c r="B391" s="26" t="s">
        <v>708</v>
      </c>
      <c r="C391" s="26">
        <f>LN(Inventory[[#This Row],[Acres]])</f>
        <v>-1.1711829815029451</v>
      </c>
      <c r="D391" s="25">
        <v>0.31</v>
      </c>
      <c r="E391" s="25">
        <v>13576</v>
      </c>
      <c r="F391" s="26" t="s">
        <v>537</v>
      </c>
      <c r="G391" s="26" t="s">
        <v>126</v>
      </c>
      <c r="H391" s="26" t="s">
        <v>349</v>
      </c>
      <c r="I391" s="26" t="s">
        <v>538</v>
      </c>
      <c r="J391" s="26" t="s">
        <v>539</v>
      </c>
      <c r="K391" s="26" t="s">
        <v>241</v>
      </c>
      <c r="L391" s="26" t="s">
        <v>148</v>
      </c>
      <c r="M391" s="26" t="s">
        <v>303</v>
      </c>
      <c r="N391" s="26">
        <v>70</v>
      </c>
      <c r="O391" s="26">
        <f>2024-Inventory[[#This Row],[YrBlt]]</f>
        <v>62</v>
      </c>
      <c r="P391" s="26">
        <f>2024-Inventory[[#This Row],[EffYr]]</f>
        <v>49</v>
      </c>
      <c r="Q391" s="25">
        <v>1962</v>
      </c>
      <c r="R391" s="25">
        <v>1975</v>
      </c>
      <c r="S391" s="25">
        <v>1650</v>
      </c>
      <c r="T391" s="27"/>
      <c r="U391" s="32">
        <v>784</v>
      </c>
      <c r="V391" s="32">
        <f>Inventory[[#This Row],[Bsmt]]-Inventory[[#This Row],[FnBsmt]]</f>
        <v>100</v>
      </c>
      <c r="W391" s="32">
        <v>684</v>
      </c>
      <c r="X391" s="27"/>
      <c r="Y391" s="27">
        <f>Inventory[[#This Row],[MainFn]]+Inventory[[#This Row],[UpprFn]]+Inventory[[#This Row],[FnBsmt]]+Inventory[[#This Row],[AddFn]]</f>
        <v>2334</v>
      </c>
      <c r="Z391" s="27">
        <v>2500</v>
      </c>
      <c r="AA391" s="25">
        <v>11</v>
      </c>
      <c r="AB391" s="25">
        <v>575</v>
      </c>
      <c r="AC391" s="27"/>
      <c r="AD391" s="27"/>
      <c r="AE391" s="27"/>
      <c r="AF391" s="27"/>
      <c r="AG391" s="27"/>
      <c r="AH391" s="27"/>
      <c r="AI391" s="25">
        <v>522180</v>
      </c>
      <c r="AJ391" s="25">
        <v>375970</v>
      </c>
      <c r="AK391" s="25">
        <v>0</v>
      </c>
      <c r="AL391" s="25">
        <v>410400</v>
      </c>
      <c r="AM391" s="25">
        <v>73700</v>
      </c>
      <c r="AN391" s="25">
        <v>336700</v>
      </c>
      <c r="AO391" s="25">
        <v>0</v>
      </c>
      <c r="AP391" s="25">
        <f>Lookups!$B$56*0</f>
        <v>0</v>
      </c>
      <c r="AQ391" s="25">
        <f>Lookups!$B$56*1</f>
        <v>89850.625589999996</v>
      </c>
      <c r="AR391" s="25">
        <f>Lookups!$B$57*Inventory[[#This Row],[LnAcres]]</f>
        <v>-37073.347241874442</v>
      </c>
      <c r="AS391" s="25">
        <f>VLOOKUP(Inventory[[#This Row],[Qlty]],Lookups!$A$62:$E$75,2,FALSE)</f>
        <v>44121.038090000002</v>
      </c>
      <c r="AT391" s="25">
        <f>VLOOKUP(Inventory[[#This Row],[Cnd]],Lookups!$A$76:$E$84,2,FALSE)</f>
        <v>197752.34721000001</v>
      </c>
      <c r="AU391" s="25">
        <f>Inventory[[#This Row],[EffAge]]*Lookups!$B$85</f>
        <v>-10929.2344245</v>
      </c>
      <c r="AV391" s="25">
        <f>Inventory[[#This Row],[MainFn]]*Lookups!$B$86</f>
        <v>81524.305297049999</v>
      </c>
      <c r="AW391" s="25">
        <f>Inventory[[#This Row],[UpprFn]]*Lookups!$B$87</f>
        <v>0</v>
      </c>
      <c r="AX391" s="25">
        <f>Inventory[[#This Row],[AddFn]]*Lookups!$B$88</f>
        <v>0</v>
      </c>
      <c r="AY391" s="25">
        <f>Inventory[[#This Row],[Bsmt]]*Lookups!$B$89</f>
        <v>22800.205873647999</v>
      </c>
      <c r="AZ391" s="25">
        <f>Inventory[[#This Row],[Fixtures]]*Lookups!$B$90</f>
        <v>41712.243157199999</v>
      </c>
      <c r="BA391" s="25">
        <f>Inventory[[#This Row],[WdDeck]]*Lookups!$B$91</f>
        <v>0</v>
      </c>
      <c r="BB391" s="25">
        <f>ROUND(Inventory[[#This Row],[25Det]],-2)</f>
        <v>0</v>
      </c>
      <c r="BC391" s="25">
        <f>ROUND(SUM(Inventory[[#This Row],[Mdl Qlty]:[Mdl WdDeck]])+Inventory[[#This Row],[Mdl Res Intercept]],-2)</f>
        <v>377000</v>
      </c>
      <c r="BD391" s="25">
        <f>ROUND(Inventory[[#This Row],[Mdl Land Intercept]]+Inventory[[#This Row],[Mdl LnAcres]],-2)</f>
        <v>52800</v>
      </c>
      <c r="BE391" s="25">
        <f>Inventory[[#This Row],[Unadj Res Value]]+Inventory[[#This Row],[Unadj Det Value]]+Inventory[[#This Row],[Unadj Land Value]]</f>
        <v>429800</v>
      </c>
      <c r="BF391" s="36">
        <f>(Inventory[[#This Row],[Unadj Total Value]]-Inventory[[#This Row],[24Final]])/Inventory[[#This Row],[24Final]]</f>
        <v>4.7270955165692005E-2</v>
      </c>
      <c r="BG391" s="25">
        <f>VLOOKUP(Inventory[[#This Row],[Nbhd]],Lookups!$Q$2:$T$4,4,FALSE)</f>
        <v>0.99970000000000003</v>
      </c>
      <c r="BH391" s="25">
        <f>VLOOKUP(Inventory[[#This Row],[Qlty]],Lookups!$O$7:$R$21,4,FALSE)</f>
        <v>0.98050000000000004</v>
      </c>
      <c r="BI391" s="25">
        <f>VLOOKUP(Inventory[[#This Row],[Cnd]],Lookups!$T$7:$W$16,4,FALSE)</f>
        <v>0.99650000000000005</v>
      </c>
      <c r="BJ391" s="25">
        <f>VLOOKUP(Inventory[[#This Row],[LivArea Range]],Lookups!$T$25:$W$37,4,FALSE)</f>
        <v>0.98919999999999997</v>
      </c>
      <c r="BK391" s="25">
        <f>VLOOKUP(Inventory[[#This Row],[Decade]],Lookups!$O$25:$R$42,4,FALSE)</f>
        <v>1.0199</v>
      </c>
      <c r="BL391" s="25">
        <f>Inventory[[#This Row],[Nbhd Adj]]*0.95</f>
        <v>0.94971499999999998</v>
      </c>
      <c r="BM391" s="25">
        <f>Inventory[[#This Row],[Nbhd Adj]]*Inventory[[#This Row],[Quality Adj]]*Inventory[[#This Row],[Condition Adj]]*Inventory[[#This Row],[Living Area Adj]]*Inventory[[#This Row],[Decade Adj]]*0.95</f>
        <v>0.936181161958198</v>
      </c>
      <c r="BN391" s="25">
        <f>ROUND(SUM(Inventory[[#This Row],[Mdl Qlty]:[Mdl WdDeck]])+Inventory[[#This Row],[Mdl Res Intercept]]*Inventory[[#This Row],[Res Adj ]],-2)</f>
        <v>377000</v>
      </c>
      <c r="BO391" s="25">
        <f>ROUND(Inventory[[#This Row],[25Det]]*Inventory[[#This Row],[Det/Nbhd Adj]],-2)</f>
        <v>0</v>
      </c>
      <c r="BP391" s="25">
        <f>Inventory[[#This Row],[Adjusted Res]]+Inventory[[#This Row],[Adj Det ]]</f>
        <v>377000</v>
      </c>
      <c r="BQ391" s="25">
        <f>ROUND((Inventory[[#This Row],[Mdl Land Intercept]]+Inventory[[#This Row],[Mdl LnAcres]])*Inventory[[#This Row],[Det/Nbhd Adj]],-2)</f>
        <v>50100</v>
      </c>
      <c r="BR391" s="25">
        <f>Inventory[[#This Row],[Adjusted Impr Total]]+Inventory[[#This Row],[Adjusted Land Total]]</f>
        <v>427100</v>
      </c>
      <c r="BS391" s="36">
        <f>IFERROR((Inventory[[#This Row],[Adjusted Impr Total]]-Inventory[[#This Row],[24Bldg]])/Inventory[[#This Row],[24Bldg]],0)</f>
        <v>0.11969111969111969</v>
      </c>
      <c r="BT391" s="36">
        <f>(Inventory[[#This Row],[Adjusted Land Total]]-Inventory[[#This Row],[24Lnd]])/Inventory[[#This Row],[24Lnd]]</f>
        <v>-0.32021709633649931</v>
      </c>
      <c r="BU391" s="36">
        <f>(Inventory[[#This Row],[Adjusted Total]]-Inventory[[#This Row],[24Final]])/Inventory[[#This Row],[24Final]]</f>
        <v>4.0692007797270953E-2</v>
      </c>
    </row>
    <row r="392" spans="1:73" x14ac:dyDescent="0.3">
      <c r="A392" s="25">
        <v>2025</v>
      </c>
      <c r="B392" s="26" t="s">
        <v>751</v>
      </c>
      <c r="C392" s="26">
        <f>LN(Inventory[[#This Row],[Acres]])</f>
        <v>-1.0788096613719298</v>
      </c>
      <c r="D392" s="25">
        <v>0.34</v>
      </c>
      <c r="E392" s="25">
        <v>14730</v>
      </c>
      <c r="F392" s="26" t="s">
        <v>537</v>
      </c>
      <c r="G392" s="26" t="s">
        <v>126</v>
      </c>
      <c r="H392" s="26" t="s">
        <v>349</v>
      </c>
      <c r="I392" s="26" t="s">
        <v>538</v>
      </c>
      <c r="J392" s="26" t="s">
        <v>539</v>
      </c>
      <c r="K392" s="26" t="s">
        <v>241</v>
      </c>
      <c r="L392" s="26" t="s">
        <v>148</v>
      </c>
      <c r="M392" s="26" t="s">
        <v>303</v>
      </c>
      <c r="N392" s="26">
        <v>70</v>
      </c>
      <c r="O392" s="26">
        <f>2024-Inventory[[#This Row],[YrBlt]]</f>
        <v>62</v>
      </c>
      <c r="P392" s="26">
        <f>2024-Inventory[[#This Row],[EffYr]]</f>
        <v>49</v>
      </c>
      <c r="Q392" s="25">
        <v>1962</v>
      </c>
      <c r="R392" s="25">
        <v>1975</v>
      </c>
      <c r="S392" s="25">
        <v>2052</v>
      </c>
      <c r="T392" s="27"/>
      <c r="U392" s="25">
        <v>1018</v>
      </c>
      <c r="V392" s="32">
        <f>Inventory[[#This Row],[Bsmt]]-Inventory[[#This Row],[FnBsmt]]</f>
        <v>300</v>
      </c>
      <c r="W392" s="32">
        <v>718</v>
      </c>
      <c r="X392" s="27"/>
      <c r="Y392" s="27">
        <f>Inventory[[#This Row],[MainFn]]+Inventory[[#This Row],[UpprFn]]+Inventory[[#This Row],[FnBsmt]]+Inventory[[#This Row],[AddFn]]</f>
        <v>2770</v>
      </c>
      <c r="Z392" s="27">
        <v>3000</v>
      </c>
      <c r="AA392" s="25">
        <v>12</v>
      </c>
      <c r="AB392" s="32">
        <v>540</v>
      </c>
      <c r="AC392" s="27"/>
      <c r="AD392" s="27"/>
      <c r="AE392" s="27"/>
      <c r="AF392" s="27"/>
      <c r="AG392" s="27"/>
      <c r="AH392" s="27"/>
      <c r="AI392" s="25">
        <v>540050</v>
      </c>
      <c r="AJ392" s="25">
        <v>388836</v>
      </c>
      <c r="AK392" s="25">
        <v>0</v>
      </c>
      <c r="AL392" s="25">
        <v>445300</v>
      </c>
      <c r="AM392" s="25">
        <v>76900</v>
      </c>
      <c r="AN392" s="25">
        <v>368400</v>
      </c>
      <c r="AO392" s="25">
        <v>0</v>
      </c>
      <c r="AP392" s="25">
        <f>Lookups!$B$56*0</f>
        <v>0</v>
      </c>
      <c r="AQ392" s="25">
        <f>Lookups!$B$56*1</f>
        <v>89850.625589999996</v>
      </c>
      <c r="AR392" s="25">
        <f>Lookups!$B$57*Inventory[[#This Row],[LnAcres]]</f>
        <v>-34149.305288406773</v>
      </c>
      <c r="AS392" s="25">
        <f>VLOOKUP(Inventory[[#This Row],[Qlty]],Lookups!$A$62:$E$75,2,FALSE)</f>
        <v>44121.038090000002</v>
      </c>
      <c r="AT392" s="25">
        <f>VLOOKUP(Inventory[[#This Row],[Cnd]],Lookups!$A$76:$E$84,2,FALSE)</f>
        <v>197752.34721000001</v>
      </c>
      <c r="AU392" s="25">
        <f>Inventory[[#This Row],[EffAge]]*Lookups!$B$85</f>
        <v>-10929.2344245</v>
      </c>
      <c r="AV392" s="25">
        <f>Inventory[[#This Row],[MainFn]]*Lookups!$B$86</f>
        <v>101386.59058760401</v>
      </c>
      <c r="AW392" s="25">
        <f>Inventory[[#This Row],[UpprFn]]*Lookups!$B$87</f>
        <v>0</v>
      </c>
      <c r="AX392" s="25">
        <f>Inventory[[#This Row],[AddFn]]*Lookups!$B$88</f>
        <v>0</v>
      </c>
      <c r="AY392" s="25">
        <f>Inventory[[#This Row],[Bsmt]]*Lookups!$B$89</f>
        <v>29605.369361445999</v>
      </c>
      <c r="AZ392" s="25">
        <f>Inventory[[#This Row],[Fixtures]]*Lookups!$B$90</f>
        <v>45504.265262400004</v>
      </c>
      <c r="BA392" s="25">
        <f>Inventory[[#This Row],[WdDeck]]*Lookups!$B$91</f>
        <v>0</v>
      </c>
      <c r="BB392" s="25">
        <f>ROUND(Inventory[[#This Row],[25Det]],-2)</f>
        <v>0</v>
      </c>
      <c r="BC392" s="25">
        <f>ROUND(SUM(Inventory[[#This Row],[Mdl Qlty]:[Mdl WdDeck]])+Inventory[[#This Row],[Mdl Res Intercept]],-2)</f>
        <v>407400</v>
      </c>
      <c r="BD392" s="25">
        <f>ROUND(Inventory[[#This Row],[Mdl Land Intercept]]+Inventory[[#This Row],[Mdl LnAcres]],-2)</f>
        <v>55700</v>
      </c>
      <c r="BE392" s="25">
        <f>Inventory[[#This Row],[Unadj Res Value]]+Inventory[[#This Row],[Unadj Det Value]]+Inventory[[#This Row],[Unadj Land Value]]</f>
        <v>463100</v>
      </c>
      <c r="BF392" s="36">
        <f>(Inventory[[#This Row],[Unadj Total Value]]-Inventory[[#This Row],[24Final]])/Inventory[[#This Row],[24Final]]</f>
        <v>3.9973051875140352E-2</v>
      </c>
      <c r="BG392" s="25">
        <f>VLOOKUP(Inventory[[#This Row],[Nbhd]],Lookups!$Q$2:$T$4,4,FALSE)</f>
        <v>0.99970000000000003</v>
      </c>
      <c r="BH392" s="25">
        <f>VLOOKUP(Inventory[[#This Row],[Qlty]],Lookups!$O$7:$R$21,4,FALSE)</f>
        <v>0.98050000000000004</v>
      </c>
      <c r="BI392" s="25">
        <f>VLOOKUP(Inventory[[#This Row],[Cnd]],Lookups!$T$7:$W$16,4,FALSE)</f>
        <v>0.99650000000000005</v>
      </c>
      <c r="BJ392" s="25">
        <f>VLOOKUP(Inventory[[#This Row],[LivArea Range]],Lookups!$T$25:$W$37,4,FALSE)</f>
        <v>0.96179999999999999</v>
      </c>
      <c r="BK392" s="25">
        <f>VLOOKUP(Inventory[[#This Row],[Decade]],Lookups!$O$25:$R$42,4,FALSE)</f>
        <v>1.0199</v>
      </c>
      <c r="BL392" s="25">
        <f>Inventory[[#This Row],[Nbhd Adj]]*0.95</f>
        <v>0.94971499999999998</v>
      </c>
      <c r="BM392" s="25">
        <f>Inventory[[#This Row],[Nbhd Adj]]*Inventory[[#This Row],[Quality Adj]]*Inventory[[#This Row],[Condition Adj]]*Inventory[[#This Row],[Living Area Adj]]*Inventory[[#This Row],[Decade Adj]]*0.95</f>
        <v>0.91024973874989379</v>
      </c>
      <c r="BN392" s="25">
        <f>ROUND(SUM(Inventory[[#This Row],[Mdl Qlty]:[Mdl WdDeck]])+Inventory[[#This Row],[Mdl Res Intercept]]*Inventory[[#This Row],[Res Adj ]],-2)</f>
        <v>407400</v>
      </c>
      <c r="BO392" s="25">
        <f>ROUND(Inventory[[#This Row],[25Det]]*Inventory[[#This Row],[Det/Nbhd Adj]],-2)</f>
        <v>0</v>
      </c>
      <c r="BP392" s="25">
        <f>Inventory[[#This Row],[Adjusted Res]]+Inventory[[#This Row],[Adj Det ]]</f>
        <v>407400</v>
      </c>
      <c r="BQ392" s="25">
        <f>ROUND((Inventory[[#This Row],[Mdl Land Intercept]]+Inventory[[#This Row],[Mdl LnAcres]])*Inventory[[#This Row],[Det/Nbhd Adj]],-2)</f>
        <v>52900</v>
      </c>
      <c r="BR392" s="25">
        <f>Inventory[[#This Row],[Adjusted Impr Total]]+Inventory[[#This Row],[Adjusted Land Total]]</f>
        <v>460300</v>
      </c>
      <c r="BS392" s="36">
        <f>IFERROR((Inventory[[#This Row],[Adjusted Impr Total]]-Inventory[[#This Row],[24Bldg]])/Inventory[[#This Row],[24Bldg]],0)</f>
        <v>0.10586319218241043</v>
      </c>
      <c r="BT392" s="36">
        <f>(Inventory[[#This Row],[Adjusted Land Total]]-Inventory[[#This Row],[24Lnd]])/Inventory[[#This Row],[24Lnd]]</f>
        <v>-0.31209362808842656</v>
      </c>
      <c r="BU392" s="36">
        <f>(Inventory[[#This Row],[Adjusted Total]]-Inventory[[#This Row],[24Final]])/Inventory[[#This Row],[24Final]]</f>
        <v>3.368515607455648E-2</v>
      </c>
    </row>
    <row r="393" spans="1:73" x14ac:dyDescent="0.3">
      <c r="A393" s="25">
        <v>2025</v>
      </c>
      <c r="B393" s="26" t="s">
        <v>1743</v>
      </c>
      <c r="C393" s="26">
        <f>LN(Inventory[[#This Row],[Acres]])</f>
        <v>-1.3093333199837622</v>
      </c>
      <c r="D393" s="25">
        <v>0.27</v>
      </c>
      <c r="E393" s="31"/>
      <c r="F393" s="26" t="s">
        <v>537</v>
      </c>
      <c r="G393" s="26" t="s">
        <v>126</v>
      </c>
      <c r="H393" s="26" t="s">
        <v>349</v>
      </c>
      <c r="I393" s="26" t="s">
        <v>538</v>
      </c>
      <c r="J393" s="26" t="s">
        <v>539</v>
      </c>
      <c r="K393" s="26" t="s">
        <v>241</v>
      </c>
      <c r="L393" s="26" t="s">
        <v>351</v>
      </c>
      <c r="M393" s="26" t="s">
        <v>323</v>
      </c>
      <c r="N393" s="26">
        <v>70</v>
      </c>
      <c r="O393" s="26">
        <f>2024-Inventory[[#This Row],[YrBlt]]</f>
        <v>62</v>
      </c>
      <c r="P393" s="26">
        <f>2024-Inventory[[#This Row],[EffYr]]</f>
        <v>49</v>
      </c>
      <c r="Q393" s="25">
        <v>1962</v>
      </c>
      <c r="R393" s="25">
        <v>1975</v>
      </c>
      <c r="S393" s="25">
        <v>1287</v>
      </c>
      <c r="T393" s="27"/>
      <c r="U393" s="31"/>
      <c r="V393" s="31">
        <f>Inventory[[#This Row],[Bsmt]]-Inventory[[#This Row],[FnBsmt]]</f>
        <v>0</v>
      </c>
      <c r="W393" s="31"/>
      <c r="X393" s="27"/>
      <c r="Y393" s="27">
        <f>Inventory[[#This Row],[MainFn]]+Inventory[[#This Row],[UpprFn]]+Inventory[[#This Row],[FnBsmt]]+Inventory[[#This Row],[AddFn]]</f>
        <v>1287</v>
      </c>
      <c r="Z393" s="27">
        <v>1500</v>
      </c>
      <c r="AA393" s="25">
        <v>5</v>
      </c>
      <c r="AB393" s="32">
        <v>400</v>
      </c>
      <c r="AC393" s="27"/>
      <c r="AD393" s="31"/>
      <c r="AE393" s="27"/>
      <c r="AF393" s="27"/>
      <c r="AG393" s="27"/>
      <c r="AH393" s="27"/>
      <c r="AI393" s="25">
        <v>230124</v>
      </c>
      <c r="AJ393" s="25">
        <v>163388</v>
      </c>
      <c r="AK393" s="25">
        <v>0</v>
      </c>
      <c r="AL393" s="25">
        <v>290900</v>
      </c>
      <c r="AM393" s="25">
        <v>68900</v>
      </c>
      <c r="AN393" s="25">
        <v>222000</v>
      </c>
      <c r="AO393" s="25">
        <v>0</v>
      </c>
      <c r="AP393" s="25">
        <f>Lookups!$B$56*0</f>
        <v>0</v>
      </c>
      <c r="AQ393" s="25">
        <f>Lookups!$B$56*1</f>
        <v>89850.625589999996</v>
      </c>
      <c r="AR393" s="25">
        <f>Lookups!$B$57*Inventory[[#This Row],[LnAcres]]</f>
        <v>-41446.443120973789</v>
      </c>
      <c r="AS393" s="25">
        <f>VLOOKUP(Inventory[[#This Row],[Qlty]],Lookups!$A$62:$E$75,2,FALSE)</f>
        <v>21557.329055999999</v>
      </c>
      <c r="AT393" s="25">
        <f>VLOOKUP(Inventory[[#This Row],[Cnd]],Lookups!$A$76:$E$84,2,FALSE)</f>
        <v>160472.20319</v>
      </c>
      <c r="AU393" s="25">
        <f>Inventory[[#This Row],[EffAge]]*Lookups!$B$85</f>
        <v>-10929.2344245</v>
      </c>
      <c r="AV393" s="25">
        <f>Inventory[[#This Row],[MainFn]]*Lookups!$B$86</f>
        <v>63588.958131699001</v>
      </c>
      <c r="AW393" s="25">
        <f>Inventory[[#This Row],[UpprFn]]*Lookups!$B$87</f>
        <v>0</v>
      </c>
      <c r="AX393" s="25">
        <f>Inventory[[#This Row],[AddFn]]*Lookups!$B$88</f>
        <v>0</v>
      </c>
      <c r="AY393" s="25">
        <f>Inventory[[#This Row],[Bsmt]]*Lookups!$B$89</f>
        <v>0</v>
      </c>
      <c r="AZ393" s="25">
        <f>Inventory[[#This Row],[Fixtures]]*Lookups!$B$90</f>
        <v>18960.110526</v>
      </c>
      <c r="BA393" s="25">
        <f>Inventory[[#This Row],[WdDeck]]*Lookups!$B$91</f>
        <v>0</v>
      </c>
      <c r="BB393" s="25">
        <f>ROUND(Inventory[[#This Row],[25Det]],-2)</f>
        <v>0</v>
      </c>
      <c r="BC393" s="25">
        <f>ROUND(SUM(Inventory[[#This Row],[Mdl Qlty]:[Mdl WdDeck]])+Inventory[[#This Row],[Mdl Res Intercept]],-2)</f>
        <v>253600</v>
      </c>
      <c r="BD393" s="25">
        <f>ROUND(Inventory[[#This Row],[Mdl Land Intercept]]+Inventory[[#This Row],[Mdl LnAcres]],-2)</f>
        <v>48400</v>
      </c>
      <c r="BE393" s="25">
        <f>Inventory[[#This Row],[Unadj Res Value]]+Inventory[[#This Row],[Unadj Det Value]]+Inventory[[#This Row],[Unadj Land Value]]</f>
        <v>302000</v>
      </c>
      <c r="BF393" s="36">
        <f>(Inventory[[#This Row],[Unadj Total Value]]-Inventory[[#This Row],[24Final]])/Inventory[[#This Row],[24Final]]</f>
        <v>3.8157442420075627E-2</v>
      </c>
      <c r="BG393" s="25">
        <f>VLOOKUP(Inventory[[#This Row],[Nbhd]],Lookups!$Q$2:$T$4,4,FALSE)</f>
        <v>0.99970000000000003</v>
      </c>
      <c r="BH393" s="25">
        <f>VLOOKUP(Inventory[[#This Row],[Qlty]],Lookups!$O$7:$R$21,4,FALSE)</f>
        <v>1.0067999999999999</v>
      </c>
      <c r="BI393" s="25">
        <f>VLOOKUP(Inventory[[#This Row],[Cnd]],Lookups!$T$7:$W$16,4,FALSE)</f>
        <v>0.99729999999999996</v>
      </c>
      <c r="BJ393" s="25">
        <f>VLOOKUP(Inventory[[#This Row],[LivArea Range]],Lookups!$T$25:$W$37,4,FALSE)</f>
        <v>1.0157</v>
      </c>
      <c r="BK393" s="25">
        <f>VLOOKUP(Inventory[[#This Row],[Decade]],Lookups!$O$25:$R$42,4,FALSE)</f>
        <v>1.0199</v>
      </c>
      <c r="BL393" s="25">
        <f>Inventory[[#This Row],[Nbhd Adj]]*0.95</f>
        <v>0.94971499999999998</v>
      </c>
      <c r="BM393" s="25">
        <f>Inventory[[#This Row],[Nbhd Adj]]*Inventory[[#This Row],[Quality Adj]]*Inventory[[#This Row],[Condition Adj]]*Inventory[[#This Row],[Living Area Adj]]*Inventory[[#This Row],[Decade Adj]]*0.95</f>
        <v>0.98783717894453682</v>
      </c>
      <c r="BN393" s="25">
        <f>ROUND(SUM(Inventory[[#This Row],[Mdl Qlty]:[Mdl WdDeck]])+Inventory[[#This Row],[Mdl Res Intercept]]*Inventory[[#This Row],[Res Adj ]],-2)</f>
        <v>253600</v>
      </c>
      <c r="BO393" s="25">
        <f>ROUND(Inventory[[#This Row],[25Det]]*Inventory[[#This Row],[Det/Nbhd Adj]],-2)</f>
        <v>0</v>
      </c>
      <c r="BP393" s="25">
        <f>Inventory[[#This Row],[Adjusted Res]]+Inventory[[#This Row],[Adj Det ]]</f>
        <v>253600</v>
      </c>
      <c r="BQ393" s="25">
        <f>ROUND((Inventory[[#This Row],[Mdl Land Intercept]]+Inventory[[#This Row],[Mdl LnAcres]])*Inventory[[#This Row],[Det/Nbhd Adj]],-2)</f>
        <v>46000</v>
      </c>
      <c r="BR393" s="25">
        <f>Inventory[[#This Row],[Adjusted Impr Total]]+Inventory[[#This Row],[Adjusted Land Total]]</f>
        <v>299600</v>
      </c>
      <c r="BS393" s="36">
        <f>IFERROR((Inventory[[#This Row],[Adjusted Impr Total]]-Inventory[[#This Row],[24Bldg]])/Inventory[[#This Row],[24Bldg]],0)</f>
        <v>0.14234234234234233</v>
      </c>
      <c r="BT393" s="36">
        <f>(Inventory[[#This Row],[Adjusted Land Total]]-Inventory[[#This Row],[24Lnd]])/Inventory[[#This Row],[24Lnd]]</f>
        <v>-0.33236574746008707</v>
      </c>
      <c r="BU393" s="36">
        <f>(Inventory[[#This Row],[Adjusted Total]]-Inventory[[#This Row],[24Final]])/Inventory[[#This Row],[24Final]]</f>
        <v>2.9907184599518737E-2</v>
      </c>
    </row>
    <row r="394" spans="1:73" x14ac:dyDescent="0.3">
      <c r="A394" s="25">
        <v>2025</v>
      </c>
      <c r="B394" s="26" t="s">
        <v>2770</v>
      </c>
      <c r="C394" s="26">
        <f>LN(Inventory[[#This Row],[Acres]])</f>
        <v>-1.5606477482646683</v>
      </c>
      <c r="D394" s="25">
        <v>0.21</v>
      </c>
      <c r="E394" s="31"/>
      <c r="F394" s="26" t="s">
        <v>537</v>
      </c>
      <c r="G394" s="26" t="s">
        <v>126</v>
      </c>
      <c r="H394" s="26" t="s">
        <v>349</v>
      </c>
      <c r="I394" s="26" t="s">
        <v>538</v>
      </c>
      <c r="J394" s="26" t="s">
        <v>539</v>
      </c>
      <c r="K394" s="26" t="s">
        <v>241</v>
      </c>
      <c r="L394" s="26" t="s">
        <v>351</v>
      </c>
      <c r="M394" s="26" t="s">
        <v>323</v>
      </c>
      <c r="N394" s="26">
        <v>70</v>
      </c>
      <c r="O394" s="26">
        <f>2024-Inventory[[#This Row],[YrBlt]]</f>
        <v>62</v>
      </c>
      <c r="P394" s="26">
        <f>2024-Inventory[[#This Row],[EffYr]]</f>
        <v>49</v>
      </c>
      <c r="Q394" s="25">
        <v>1962</v>
      </c>
      <c r="R394" s="25">
        <v>1975</v>
      </c>
      <c r="S394" s="25">
        <v>1664</v>
      </c>
      <c r="T394" s="27"/>
      <c r="U394" s="31"/>
      <c r="V394" s="31">
        <f>Inventory[[#This Row],[Bsmt]]-Inventory[[#This Row],[FnBsmt]]</f>
        <v>0</v>
      </c>
      <c r="W394" s="31"/>
      <c r="X394" s="27"/>
      <c r="Y394" s="27">
        <f>Inventory[[#This Row],[MainFn]]+Inventory[[#This Row],[UpprFn]]+Inventory[[#This Row],[FnBsmt]]+Inventory[[#This Row],[AddFn]]</f>
        <v>1664</v>
      </c>
      <c r="Z394" s="27">
        <v>2000</v>
      </c>
      <c r="AA394" s="25">
        <v>8</v>
      </c>
      <c r="AB394" s="27"/>
      <c r="AC394" s="27"/>
      <c r="AD394" s="31"/>
      <c r="AE394" s="27"/>
      <c r="AF394" s="27"/>
      <c r="AG394" s="27"/>
      <c r="AH394" s="27"/>
      <c r="AI394" s="25">
        <v>278030</v>
      </c>
      <c r="AJ394" s="25">
        <v>197401</v>
      </c>
      <c r="AK394" s="25">
        <v>0</v>
      </c>
      <c r="AL394" s="25">
        <v>315200</v>
      </c>
      <c r="AM394" s="25">
        <v>60100</v>
      </c>
      <c r="AN394" s="25">
        <v>255100</v>
      </c>
      <c r="AO394" s="25">
        <v>0</v>
      </c>
      <c r="AP394" s="25">
        <f>Lookups!$B$56*0</f>
        <v>0</v>
      </c>
      <c r="AQ394" s="25">
        <f>Lookups!$B$56*1</f>
        <v>89850.625589999996</v>
      </c>
      <c r="AR394" s="25">
        <f>Lookups!$B$57*Inventory[[#This Row],[LnAcres]]</f>
        <v>-49401.70477837498</v>
      </c>
      <c r="AS394" s="25">
        <f>VLOOKUP(Inventory[[#This Row],[Qlty]],Lookups!$A$62:$E$75,2,FALSE)</f>
        <v>21557.329055999999</v>
      </c>
      <c r="AT394" s="25">
        <f>VLOOKUP(Inventory[[#This Row],[Cnd]],Lookups!$A$76:$E$84,2,FALSE)</f>
        <v>160472.20319</v>
      </c>
      <c r="AU394" s="25">
        <f>Inventory[[#This Row],[EffAge]]*Lookups!$B$85</f>
        <v>-10929.2344245</v>
      </c>
      <c r="AV394" s="25">
        <f>Inventory[[#This Row],[MainFn]]*Lookups!$B$86</f>
        <v>82216.026675328001</v>
      </c>
      <c r="AW394" s="25">
        <f>Inventory[[#This Row],[UpprFn]]*Lookups!$B$87</f>
        <v>0</v>
      </c>
      <c r="AX394" s="25">
        <f>Inventory[[#This Row],[AddFn]]*Lookups!$B$88</f>
        <v>0</v>
      </c>
      <c r="AY394" s="25">
        <f>Inventory[[#This Row],[Bsmt]]*Lookups!$B$89</f>
        <v>0</v>
      </c>
      <c r="AZ394" s="25">
        <f>Inventory[[#This Row],[Fixtures]]*Lookups!$B$90</f>
        <v>30336.176841600001</v>
      </c>
      <c r="BA394" s="25">
        <f>Inventory[[#This Row],[WdDeck]]*Lookups!$B$91</f>
        <v>0</v>
      </c>
      <c r="BB394" s="25">
        <f>ROUND(Inventory[[#This Row],[25Det]],-2)</f>
        <v>0</v>
      </c>
      <c r="BC394" s="25">
        <f>ROUND(SUM(Inventory[[#This Row],[Mdl Qlty]:[Mdl WdDeck]])+Inventory[[#This Row],[Mdl Res Intercept]],-2)</f>
        <v>283700</v>
      </c>
      <c r="BD394" s="25">
        <f>ROUND(Inventory[[#This Row],[Mdl Land Intercept]]+Inventory[[#This Row],[Mdl LnAcres]],-2)</f>
        <v>40400</v>
      </c>
      <c r="BE394" s="25">
        <f>Inventory[[#This Row],[Unadj Res Value]]+Inventory[[#This Row],[Unadj Det Value]]+Inventory[[#This Row],[Unadj Land Value]]</f>
        <v>324100</v>
      </c>
      <c r="BF394" s="36">
        <f>(Inventory[[#This Row],[Unadj Total Value]]-Inventory[[#This Row],[24Final]])/Inventory[[#This Row],[24Final]]</f>
        <v>2.8236040609137057E-2</v>
      </c>
      <c r="BG394" s="25">
        <f>VLOOKUP(Inventory[[#This Row],[Nbhd]],Lookups!$Q$2:$T$4,4,FALSE)</f>
        <v>0.99970000000000003</v>
      </c>
      <c r="BH394" s="25">
        <f>VLOOKUP(Inventory[[#This Row],[Qlty]],Lookups!$O$7:$R$21,4,FALSE)</f>
        <v>1.0067999999999999</v>
      </c>
      <c r="BI394" s="25">
        <f>VLOOKUP(Inventory[[#This Row],[Cnd]],Lookups!$T$7:$W$16,4,FALSE)</f>
        <v>0.99729999999999996</v>
      </c>
      <c r="BJ394" s="25">
        <f>VLOOKUP(Inventory[[#This Row],[LivArea Range]],Lookups!$T$25:$W$37,4,FALSE)</f>
        <v>1.0093000000000001</v>
      </c>
      <c r="BK394" s="25">
        <f>VLOOKUP(Inventory[[#This Row],[Decade]],Lookups!$O$25:$R$42,4,FALSE)</f>
        <v>1.0199</v>
      </c>
      <c r="BL394" s="25">
        <f>Inventory[[#This Row],[Nbhd Adj]]*0.95</f>
        <v>0.94971499999999998</v>
      </c>
      <c r="BM394" s="25">
        <f>Inventory[[#This Row],[Nbhd Adj]]*Inventory[[#This Row],[Quality Adj]]*Inventory[[#This Row],[Condition Adj]]*Inventory[[#This Row],[Living Area Adj]]*Inventory[[#This Row],[Decade Adj]]*0.95</f>
        <v>0.98161274461821502</v>
      </c>
      <c r="BN394" s="25">
        <f>ROUND(SUM(Inventory[[#This Row],[Mdl Qlty]:[Mdl WdDeck]])+Inventory[[#This Row],[Mdl Res Intercept]]*Inventory[[#This Row],[Res Adj ]],-2)</f>
        <v>283700</v>
      </c>
      <c r="BO394" s="25">
        <f>ROUND(Inventory[[#This Row],[25Det]]*Inventory[[#This Row],[Det/Nbhd Adj]],-2)</f>
        <v>0</v>
      </c>
      <c r="BP394" s="25">
        <f>Inventory[[#This Row],[Adjusted Res]]+Inventory[[#This Row],[Adj Det ]]</f>
        <v>283700</v>
      </c>
      <c r="BQ394" s="25">
        <f>ROUND((Inventory[[#This Row],[Mdl Land Intercept]]+Inventory[[#This Row],[Mdl LnAcres]])*Inventory[[#This Row],[Det/Nbhd Adj]],-2)</f>
        <v>38400</v>
      </c>
      <c r="BR394" s="25">
        <f>Inventory[[#This Row],[Adjusted Impr Total]]+Inventory[[#This Row],[Adjusted Land Total]]</f>
        <v>322100</v>
      </c>
      <c r="BS394" s="36">
        <f>IFERROR((Inventory[[#This Row],[Adjusted Impr Total]]-Inventory[[#This Row],[24Bldg]])/Inventory[[#This Row],[24Bldg]],0)</f>
        <v>0.11211289690317522</v>
      </c>
      <c r="BT394" s="36">
        <f>(Inventory[[#This Row],[Adjusted Land Total]]-Inventory[[#This Row],[24Lnd]])/Inventory[[#This Row],[24Lnd]]</f>
        <v>-0.36106489184692181</v>
      </c>
      <c r="BU394" s="36">
        <f>(Inventory[[#This Row],[Adjusted Total]]-Inventory[[#This Row],[24Final]])/Inventory[[#This Row],[24Final]]</f>
        <v>2.1890862944162436E-2</v>
      </c>
    </row>
    <row r="395" spans="1:73" x14ac:dyDescent="0.3">
      <c r="A395" s="25">
        <v>2025</v>
      </c>
      <c r="B395" s="26" t="s">
        <v>2134</v>
      </c>
      <c r="C395" s="26">
        <f>LN(Inventory[[#This Row],[Acres]])</f>
        <v>-1.3093333199837622</v>
      </c>
      <c r="D395" s="25">
        <v>0.27</v>
      </c>
      <c r="E395" s="25">
        <v>11636</v>
      </c>
      <c r="F395" s="26" t="s">
        <v>537</v>
      </c>
      <c r="G395" s="26" t="s">
        <v>126</v>
      </c>
      <c r="H395" s="26" t="s">
        <v>349</v>
      </c>
      <c r="I395" s="26" t="s">
        <v>538</v>
      </c>
      <c r="J395" s="26" t="s">
        <v>539</v>
      </c>
      <c r="K395" s="26" t="s">
        <v>241</v>
      </c>
      <c r="L395" s="26" t="s">
        <v>302</v>
      </c>
      <c r="M395" s="26" t="s">
        <v>323</v>
      </c>
      <c r="N395" s="26">
        <v>70</v>
      </c>
      <c r="O395" s="26">
        <f>2024-Inventory[[#This Row],[YrBlt]]</f>
        <v>62</v>
      </c>
      <c r="P395" s="26">
        <f>2024-Inventory[[#This Row],[EffYr]]</f>
        <v>49</v>
      </c>
      <c r="Q395" s="25">
        <v>1962</v>
      </c>
      <c r="R395" s="25">
        <v>1975</v>
      </c>
      <c r="S395" s="25">
        <v>1272</v>
      </c>
      <c r="T395" s="27"/>
      <c r="U395" s="31"/>
      <c r="V395" s="27">
        <f>Inventory[[#This Row],[Bsmt]]-Inventory[[#This Row],[FnBsmt]]</f>
        <v>0</v>
      </c>
      <c r="W395" s="27"/>
      <c r="X395" s="27"/>
      <c r="Y395" s="27">
        <f>Inventory[[#This Row],[MainFn]]+Inventory[[#This Row],[UpprFn]]+Inventory[[#This Row],[FnBsmt]]+Inventory[[#This Row],[AddFn]]</f>
        <v>1272</v>
      </c>
      <c r="Z395" s="27">
        <v>1500</v>
      </c>
      <c r="AA395" s="25">
        <v>7</v>
      </c>
      <c r="AB395" s="32">
        <v>420</v>
      </c>
      <c r="AC395" s="31"/>
      <c r="AD395" s="27"/>
      <c r="AE395" s="27"/>
      <c r="AF395" s="27"/>
      <c r="AG395" s="27"/>
      <c r="AH395" s="27"/>
      <c r="AI395" s="25">
        <v>266854</v>
      </c>
      <c r="AJ395" s="25">
        <v>189466</v>
      </c>
      <c r="AK395" s="25">
        <v>25501</v>
      </c>
      <c r="AL395" s="25">
        <v>331800</v>
      </c>
      <c r="AM395" s="25">
        <v>68900</v>
      </c>
      <c r="AN395" s="25">
        <v>262900</v>
      </c>
      <c r="AO395" s="25">
        <v>0</v>
      </c>
      <c r="AP395" s="25">
        <f>Lookups!$B$56*0</f>
        <v>0</v>
      </c>
      <c r="AQ395" s="25">
        <f>Lookups!$B$56*1</f>
        <v>89850.625589999996</v>
      </c>
      <c r="AR395" s="25">
        <f>Lookups!$B$57*Inventory[[#This Row],[LnAcres]]</f>
        <v>-41446.443120973789</v>
      </c>
      <c r="AS395" s="25">
        <f>VLOOKUP(Inventory[[#This Row],[Qlty]],Lookups!$A$62:$E$75,2,FALSE)</f>
        <v>29814.093161000001</v>
      </c>
      <c r="AT395" s="25">
        <f>VLOOKUP(Inventory[[#This Row],[Cnd]],Lookups!$A$76:$E$84,2,FALSE)</f>
        <v>160472.20319</v>
      </c>
      <c r="AU395" s="25">
        <f>Inventory[[#This Row],[EffAge]]*Lookups!$B$85</f>
        <v>-10929.2344245</v>
      </c>
      <c r="AV395" s="25">
        <f>Inventory[[#This Row],[MainFn]]*Lookups!$B$86</f>
        <v>62847.828083544002</v>
      </c>
      <c r="AW395" s="25">
        <f>Inventory[[#This Row],[UpprFn]]*Lookups!$B$87</f>
        <v>0</v>
      </c>
      <c r="AX395" s="25">
        <f>Inventory[[#This Row],[AddFn]]*Lookups!$B$88</f>
        <v>0</v>
      </c>
      <c r="AY395" s="25">
        <f>Inventory[[#This Row],[Bsmt]]*Lookups!$B$89</f>
        <v>0</v>
      </c>
      <c r="AZ395" s="25">
        <f>Inventory[[#This Row],[Fixtures]]*Lookups!$B$90</f>
        <v>26544.1547364</v>
      </c>
      <c r="BA395" s="25">
        <f>Inventory[[#This Row],[WdDeck]]*Lookups!$B$91</f>
        <v>0</v>
      </c>
      <c r="BB395" s="25">
        <f>ROUND(Inventory[[#This Row],[25Det]],-2)</f>
        <v>25500</v>
      </c>
      <c r="BC395" s="25">
        <f>ROUND(SUM(Inventory[[#This Row],[Mdl Qlty]:[Mdl WdDeck]])+Inventory[[#This Row],[Mdl Res Intercept]],-2)</f>
        <v>268700</v>
      </c>
      <c r="BD395" s="25">
        <f>ROUND(Inventory[[#This Row],[Mdl Land Intercept]]+Inventory[[#This Row],[Mdl LnAcres]],-2)</f>
        <v>48400</v>
      </c>
      <c r="BE395" s="25">
        <f>Inventory[[#This Row],[Unadj Res Value]]+Inventory[[#This Row],[Unadj Det Value]]+Inventory[[#This Row],[Unadj Land Value]]</f>
        <v>342600</v>
      </c>
      <c r="BF395" s="36">
        <f>(Inventory[[#This Row],[Unadj Total Value]]-Inventory[[#This Row],[24Final]])/Inventory[[#This Row],[24Final]]</f>
        <v>3.25497287522604E-2</v>
      </c>
      <c r="BG395" s="25">
        <f>VLOOKUP(Inventory[[#This Row],[Nbhd]],Lookups!$Q$2:$T$4,4,FALSE)</f>
        <v>0.99970000000000003</v>
      </c>
      <c r="BH395" s="25">
        <f>VLOOKUP(Inventory[[#This Row],[Qlty]],Lookups!$O$7:$R$21,4,FALSE)</f>
        <v>1.0088999999999999</v>
      </c>
      <c r="BI395" s="25">
        <f>VLOOKUP(Inventory[[#This Row],[Cnd]],Lookups!$T$7:$W$16,4,FALSE)</f>
        <v>0.99729999999999996</v>
      </c>
      <c r="BJ395" s="25">
        <f>VLOOKUP(Inventory[[#This Row],[LivArea Range]],Lookups!$T$25:$W$37,4,FALSE)</f>
        <v>1.0157</v>
      </c>
      <c r="BK395" s="25">
        <f>VLOOKUP(Inventory[[#This Row],[Decade]],Lookups!$O$25:$R$42,4,FALSE)</f>
        <v>1.0199</v>
      </c>
      <c r="BL395" s="25">
        <f>Inventory[[#This Row],[Nbhd Adj]]*0.95</f>
        <v>0.94971499999999998</v>
      </c>
      <c r="BM395" s="25">
        <f>Inventory[[#This Row],[Nbhd Adj]]*Inventory[[#This Row],[Quality Adj]]*Inventory[[#This Row],[Condition Adj]]*Inventory[[#This Row],[Living Area Adj]]*Inventory[[#This Row],[Decade Adj]]*0.95</f>
        <v>0.98989762598047604</v>
      </c>
      <c r="BN395" s="25">
        <f>ROUND(SUM(Inventory[[#This Row],[Mdl Qlty]:[Mdl WdDeck]])+Inventory[[#This Row],[Mdl Res Intercept]]*Inventory[[#This Row],[Res Adj ]],-2)</f>
        <v>268700</v>
      </c>
      <c r="BO395" s="25">
        <f>ROUND(Inventory[[#This Row],[25Det]]*Inventory[[#This Row],[Det/Nbhd Adj]],-2)</f>
        <v>24200</v>
      </c>
      <c r="BP395" s="25">
        <f>Inventory[[#This Row],[Adjusted Res]]+Inventory[[#This Row],[Adj Det ]]</f>
        <v>292900</v>
      </c>
      <c r="BQ395" s="25">
        <f>ROUND((Inventory[[#This Row],[Mdl Land Intercept]]+Inventory[[#This Row],[Mdl LnAcres]])*Inventory[[#This Row],[Det/Nbhd Adj]],-2)</f>
        <v>46000</v>
      </c>
      <c r="BR395" s="25">
        <f>Inventory[[#This Row],[Adjusted Impr Total]]+Inventory[[#This Row],[Adjusted Land Total]]</f>
        <v>338900</v>
      </c>
      <c r="BS395" s="36">
        <f>IFERROR((Inventory[[#This Row],[Adjusted Impr Total]]-Inventory[[#This Row],[24Bldg]])/Inventory[[#This Row],[24Bldg]],0)</f>
        <v>0.11411182959300115</v>
      </c>
      <c r="BT395" s="36">
        <f>(Inventory[[#This Row],[Adjusted Land Total]]-Inventory[[#This Row],[24Lnd]])/Inventory[[#This Row],[24Lnd]]</f>
        <v>-0.33236574746008707</v>
      </c>
      <c r="BU395" s="36">
        <f>(Inventory[[#This Row],[Adjusted Total]]-Inventory[[#This Row],[24Final]])/Inventory[[#This Row],[24Final]]</f>
        <v>2.1398432790837855E-2</v>
      </c>
    </row>
    <row r="396" spans="1:73" x14ac:dyDescent="0.3">
      <c r="A396" s="25">
        <v>2025</v>
      </c>
      <c r="B396" s="26" t="s">
        <v>1346</v>
      </c>
      <c r="C396" s="26">
        <f>LN(Inventory[[#This Row],[Acres]])</f>
        <v>-1.6607312068216509</v>
      </c>
      <c r="D396" s="25">
        <v>0.19</v>
      </c>
      <c r="E396" s="25">
        <v>8263</v>
      </c>
      <c r="F396" s="26" t="s">
        <v>537</v>
      </c>
      <c r="G396" s="26" t="s">
        <v>126</v>
      </c>
      <c r="H396" s="26" t="s">
        <v>349</v>
      </c>
      <c r="I396" s="26" t="s">
        <v>538</v>
      </c>
      <c r="J396" s="26" t="s">
        <v>539</v>
      </c>
      <c r="K396" s="26" t="s">
        <v>350</v>
      </c>
      <c r="L396" s="26" t="s">
        <v>302</v>
      </c>
      <c r="M396" s="26" t="s">
        <v>323</v>
      </c>
      <c r="N396" s="26">
        <v>70</v>
      </c>
      <c r="O396" s="26">
        <f>2024-Inventory[[#This Row],[YrBlt]]</f>
        <v>62</v>
      </c>
      <c r="P396" s="26">
        <f>2024-Inventory[[#This Row],[EffYr]]</f>
        <v>49</v>
      </c>
      <c r="Q396" s="25">
        <v>1962</v>
      </c>
      <c r="R396" s="25">
        <v>1975</v>
      </c>
      <c r="S396" s="25">
        <v>1296</v>
      </c>
      <c r="T396" s="27"/>
      <c r="U396" s="25">
        <v>567</v>
      </c>
      <c r="V396" s="25">
        <f>Inventory[[#This Row],[Bsmt]]-Inventory[[#This Row],[FnBsmt]]</f>
        <v>0</v>
      </c>
      <c r="W396" s="25">
        <v>567</v>
      </c>
      <c r="X396" s="27"/>
      <c r="Y396" s="27">
        <f>Inventory[[#This Row],[MainFn]]+Inventory[[#This Row],[UpprFn]]+Inventory[[#This Row],[FnBsmt]]+Inventory[[#This Row],[AddFn]]</f>
        <v>1863</v>
      </c>
      <c r="Z396" s="27">
        <v>2000</v>
      </c>
      <c r="AA396" s="25">
        <v>11</v>
      </c>
      <c r="AB396" s="27"/>
      <c r="AC396" s="32">
        <v>351</v>
      </c>
      <c r="AD396" s="27"/>
      <c r="AE396" s="27"/>
      <c r="AF396" s="27"/>
      <c r="AG396" s="27"/>
      <c r="AH396" s="27"/>
      <c r="AI396" s="25">
        <v>332241</v>
      </c>
      <c r="AJ396" s="25">
        <v>235891</v>
      </c>
      <c r="AK396" s="25">
        <v>0</v>
      </c>
      <c r="AL396" s="25">
        <v>330400</v>
      </c>
      <c r="AM396" s="25">
        <v>56600</v>
      </c>
      <c r="AN396" s="25">
        <v>273800</v>
      </c>
      <c r="AO396" s="25">
        <v>0</v>
      </c>
      <c r="AP396" s="25">
        <f>Lookups!$B$56*0</f>
        <v>0</v>
      </c>
      <c r="AQ396" s="25">
        <f>Lookups!$B$56*1</f>
        <v>89850.625589999996</v>
      </c>
      <c r="AR396" s="25">
        <f>Lookups!$B$57*Inventory[[#This Row],[LnAcres]]</f>
        <v>-52569.808201026557</v>
      </c>
      <c r="AS396" s="25">
        <f>VLOOKUP(Inventory[[#This Row],[Qlty]],Lookups!$A$62:$E$75,2,FALSE)</f>
        <v>29814.093161000001</v>
      </c>
      <c r="AT396" s="25">
        <f>VLOOKUP(Inventory[[#This Row],[Cnd]],Lookups!$A$76:$E$84,2,FALSE)</f>
        <v>160472.20319</v>
      </c>
      <c r="AU396" s="25">
        <f>Inventory[[#This Row],[EffAge]]*Lookups!$B$85</f>
        <v>-10929.2344245</v>
      </c>
      <c r="AV396" s="25">
        <f>Inventory[[#This Row],[MainFn]]*Lookups!$B$86</f>
        <v>64033.636160592003</v>
      </c>
      <c r="AW396" s="25">
        <f>Inventory[[#This Row],[UpprFn]]*Lookups!$B$87</f>
        <v>0</v>
      </c>
      <c r="AX396" s="25">
        <f>Inventory[[#This Row],[AddFn]]*Lookups!$B$88</f>
        <v>0</v>
      </c>
      <c r="AY396" s="25">
        <f>Inventory[[#This Row],[Bsmt]]*Lookups!$B$89</f>
        <v>16489.434605048998</v>
      </c>
      <c r="AZ396" s="25">
        <f>Inventory[[#This Row],[Fixtures]]*Lookups!$B$90</f>
        <v>41712.243157199999</v>
      </c>
      <c r="BA396" s="25">
        <f>Inventory[[#This Row],[WdDeck]]*Lookups!$B$91</f>
        <v>0</v>
      </c>
      <c r="BB396" s="25">
        <f>ROUND(Inventory[[#This Row],[25Det]],-2)</f>
        <v>0</v>
      </c>
      <c r="BC396" s="25">
        <f>ROUND(SUM(Inventory[[#This Row],[Mdl Qlty]:[Mdl WdDeck]])+Inventory[[#This Row],[Mdl Res Intercept]],-2)</f>
        <v>301600</v>
      </c>
      <c r="BD396" s="25">
        <f>ROUND(Inventory[[#This Row],[Mdl Land Intercept]]+Inventory[[#This Row],[Mdl LnAcres]],-2)</f>
        <v>37300</v>
      </c>
      <c r="BE396" s="25">
        <f>Inventory[[#This Row],[Unadj Res Value]]+Inventory[[#This Row],[Unadj Det Value]]+Inventory[[#This Row],[Unadj Land Value]]</f>
        <v>338900</v>
      </c>
      <c r="BF396" s="36">
        <f>(Inventory[[#This Row],[Unadj Total Value]]-Inventory[[#This Row],[24Final]])/Inventory[[#This Row],[24Final]]</f>
        <v>2.5726392251815982E-2</v>
      </c>
      <c r="BG396" s="25">
        <f>VLOOKUP(Inventory[[#This Row],[Nbhd]],Lookups!$Q$2:$T$4,4,FALSE)</f>
        <v>0.99970000000000003</v>
      </c>
      <c r="BH396" s="25">
        <f>VLOOKUP(Inventory[[#This Row],[Qlty]],Lookups!$O$7:$R$21,4,FALSE)</f>
        <v>1.0088999999999999</v>
      </c>
      <c r="BI396" s="25">
        <f>VLOOKUP(Inventory[[#This Row],[Cnd]],Lookups!$T$7:$W$16,4,FALSE)</f>
        <v>0.99729999999999996</v>
      </c>
      <c r="BJ396" s="25">
        <f>VLOOKUP(Inventory[[#This Row],[LivArea Range]],Lookups!$T$25:$W$37,4,FALSE)</f>
        <v>1.0093000000000001</v>
      </c>
      <c r="BK396" s="25">
        <f>VLOOKUP(Inventory[[#This Row],[Decade]],Lookups!$O$25:$R$42,4,FALSE)</f>
        <v>1.0199</v>
      </c>
      <c r="BL396" s="25">
        <f>Inventory[[#This Row],[Nbhd Adj]]*0.95</f>
        <v>0.94971499999999998</v>
      </c>
      <c r="BM396" s="25">
        <f>Inventory[[#This Row],[Nbhd Adj]]*Inventory[[#This Row],[Quality Adj]]*Inventory[[#This Row],[Condition Adj]]*Inventory[[#This Row],[Living Area Adj]]*Inventory[[#This Row],[Decade Adj]]*0.95</f>
        <v>0.98366020862665582</v>
      </c>
      <c r="BN396" s="25">
        <f>ROUND(SUM(Inventory[[#This Row],[Mdl Qlty]:[Mdl WdDeck]])+Inventory[[#This Row],[Mdl Res Intercept]]*Inventory[[#This Row],[Res Adj ]],-2)</f>
        <v>301600</v>
      </c>
      <c r="BO396" s="25">
        <f>ROUND(Inventory[[#This Row],[25Det]]*Inventory[[#This Row],[Det/Nbhd Adj]],-2)</f>
        <v>0</v>
      </c>
      <c r="BP396" s="25">
        <f>Inventory[[#This Row],[Adjusted Res]]+Inventory[[#This Row],[Adj Det ]]</f>
        <v>301600</v>
      </c>
      <c r="BQ396" s="25">
        <f>ROUND((Inventory[[#This Row],[Mdl Land Intercept]]+Inventory[[#This Row],[Mdl LnAcres]])*Inventory[[#This Row],[Det/Nbhd Adj]],-2)</f>
        <v>35400</v>
      </c>
      <c r="BR396" s="25">
        <f>Inventory[[#This Row],[Adjusted Impr Total]]+Inventory[[#This Row],[Adjusted Land Total]]</f>
        <v>337000</v>
      </c>
      <c r="BS396" s="36">
        <f>IFERROR((Inventory[[#This Row],[Adjusted Impr Total]]-Inventory[[#This Row],[24Bldg]])/Inventory[[#This Row],[24Bldg]],0)</f>
        <v>0.10153396639883126</v>
      </c>
      <c r="BT396" s="36">
        <f>(Inventory[[#This Row],[Adjusted Land Total]]-Inventory[[#This Row],[24Lnd]])/Inventory[[#This Row],[24Lnd]]</f>
        <v>-0.37455830388692579</v>
      </c>
      <c r="BU396" s="36">
        <f>(Inventory[[#This Row],[Adjusted Total]]-Inventory[[#This Row],[24Final]])/Inventory[[#This Row],[24Final]]</f>
        <v>1.9975786924939468E-2</v>
      </c>
    </row>
    <row r="397" spans="1:73" x14ac:dyDescent="0.3">
      <c r="A397" s="25">
        <v>2025</v>
      </c>
      <c r="B397" s="26" t="s">
        <v>750</v>
      </c>
      <c r="C397" s="26">
        <f>LN(Inventory[[#This Row],[Acres]])</f>
        <v>-0.9942522733438669</v>
      </c>
      <c r="D397" s="25">
        <v>0.37</v>
      </c>
      <c r="E397" s="25">
        <v>16112</v>
      </c>
      <c r="F397" s="26" t="s">
        <v>537</v>
      </c>
      <c r="G397" s="26" t="s">
        <v>126</v>
      </c>
      <c r="H397" s="26" t="s">
        <v>349</v>
      </c>
      <c r="I397" s="26" t="s">
        <v>538</v>
      </c>
      <c r="J397" s="26" t="s">
        <v>539</v>
      </c>
      <c r="K397" s="26" t="s">
        <v>241</v>
      </c>
      <c r="L397" s="26" t="s">
        <v>148</v>
      </c>
      <c r="M397" s="26" t="s">
        <v>323</v>
      </c>
      <c r="N397" s="26">
        <v>70</v>
      </c>
      <c r="O397" s="26">
        <f>2024-Inventory[[#This Row],[YrBlt]]</f>
        <v>62</v>
      </c>
      <c r="P397" s="26">
        <f>2024-Inventory[[#This Row],[EffYr]]</f>
        <v>49</v>
      </c>
      <c r="Q397" s="25">
        <v>1962</v>
      </c>
      <c r="R397" s="25">
        <v>1975</v>
      </c>
      <c r="S397" s="25">
        <v>2197</v>
      </c>
      <c r="T397" s="27"/>
      <c r="U397" s="25">
        <v>200</v>
      </c>
      <c r="V397" s="25">
        <f>Inventory[[#This Row],[Bsmt]]-Inventory[[#This Row],[FnBsmt]]</f>
        <v>200</v>
      </c>
      <c r="W397" s="31"/>
      <c r="X397" s="27"/>
      <c r="Y397" s="27">
        <f>Inventory[[#This Row],[MainFn]]+Inventory[[#This Row],[UpprFn]]+Inventory[[#This Row],[FnBsmt]]+Inventory[[#This Row],[AddFn]]</f>
        <v>2197</v>
      </c>
      <c r="Z397" s="27">
        <v>2500</v>
      </c>
      <c r="AA397" s="25">
        <v>10</v>
      </c>
      <c r="AB397" s="32">
        <v>580</v>
      </c>
      <c r="AC397" s="27"/>
      <c r="AD397" s="27"/>
      <c r="AE397" s="27"/>
      <c r="AF397" s="27"/>
      <c r="AG397" s="27"/>
      <c r="AH397" s="27"/>
      <c r="AI397" s="25">
        <v>485819</v>
      </c>
      <c r="AJ397" s="25">
        <v>344931</v>
      </c>
      <c r="AK397" s="25">
        <v>0</v>
      </c>
      <c r="AL397" s="25">
        <v>393800</v>
      </c>
      <c r="AM397" s="25">
        <v>79900</v>
      </c>
      <c r="AN397" s="25">
        <v>313900</v>
      </c>
      <c r="AO397" s="25">
        <v>0</v>
      </c>
      <c r="AP397" s="25">
        <f>Lookups!$B$56*0</f>
        <v>0</v>
      </c>
      <c r="AQ397" s="25">
        <f>Lookups!$B$56*1</f>
        <v>89850.625589999996</v>
      </c>
      <c r="AR397" s="25">
        <f>Lookups!$B$57*Inventory[[#This Row],[LnAcres]]</f>
        <v>-31472.673662315807</v>
      </c>
      <c r="AS397" s="25">
        <f>VLOOKUP(Inventory[[#This Row],[Qlty]],Lookups!$A$62:$E$75,2,FALSE)</f>
        <v>44121.038090000002</v>
      </c>
      <c r="AT397" s="25">
        <f>VLOOKUP(Inventory[[#This Row],[Cnd]],Lookups!$A$76:$E$84,2,FALSE)</f>
        <v>160472.20319</v>
      </c>
      <c r="AU397" s="25">
        <f>Inventory[[#This Row],[EffAge]]*Lookups!$B$85</f>
        <v>-10929.2344245</v>
      </c>
      <c r="AV397" s="25">
        <f>Inventory[[#This Row],[MainFn]]*Lookups!$B$86</f>
        <v>108550.84771976901</v>
      </c>
      <c r="AW397" s="25">
        <f>Inventory[[#This Row],[UpprFn]]*Lookups!$B$87</f>
        <v>0</v>
      </c>
      <c r="AX397" s="25">
        <f>Inventory[[#This Row],[AddFn]]*Lookups!$B$88</f>
        <v>0</v>
      </c>
      <c r="AY397" s="25">
        <f>Inventory[[#This Row],[Bsmt]]*Lookups!$B$89</f>
        <v>5816.3790493999995</v>
      </c>
      <c r="AZ397" s="25">
        <f>Inventory[[#This Row],[Fixtures]]*Lookups!$B$90</f>
        <v>37920.221052000001</v>
      </c>
      <c r="BA397" s="25">
        <f>Inventory[[#This Row],[WdDeck]]*Lookups!$B$91</f>
        <v>0</v>
      </c>
      <c r="BB397" s="25">
        <f>ROUND(Inventory[[#This Row],[25Det]],-2)</f>
        <v>0</v>
      </c>
      <c r="BC397" s="25">
        <f>ROUND(SUM(Inventory[[#This Row],[Mdl Qlty]:[Mdl WdDeck]])+Inventory[[#This Row],[Mdl Res Intercept]],-2)</f>
        <v>346000</v>
      </c>
      <c r="BD397" s="25">
        <f>ROUND(Inventory[[#This Row],[Mdl Land Intercept]]+Inventory[[#This Row],[Mdl LnAcres]],-2)</f>
        <v>58400</v>
      </c>
      <c r="BE397" s="25">
        <f>Inventory[[#This Row],[Unadj Res Value]]+Inventory[[#This Row],[Unadj Det Value]]+Inventory[[#This Row],[Unadj Land Value]]</f>
        <v>404400</v>
      </c>
      <c r="BF397" s="36">
        <f>(Inventory[[#This Row],[Unadj Total Value]]-Inventory[[#This Row],[24Final]])/Inventory[[#This Row],[24Final]]</f>
        <v>2.6917216861350939E-2</v>
      </c>
      <c r="BG397" s="25">
        <f>VLOOKUP(Inventory[[#This Row],[Nbhd]],Lookups!$Q$2:$T$4,4,FALSE)</f>
        <v>0.99970000000000003</v>
      </c>
      <c r="BH397" s="25">
        <f>VLOOKUP(Inventory[[#This Row],[Qlty]],Lookups!$O$7:$R$21,4,FALSE)</f>
        <v>0.98050000000000004</v>
      </c>
      <c r="BI397" s="25">
        <f>VLOOKUP(Inventory[[#This Row],[Cnd]],Lookups!$T$7:$W$16,4,FALSE)</f>
        <v>0.99729999999999996</v>
      </c>
      <c r="BJ397" s="25">
        <f>VLOOKUP(Inventory[[#This Row],[LivArea Range]],Lookups!$T$25:$W$37,4,FALSE)</f>
        <v>0.98919999999999997</v>
      </c>
      <c r="BK397" s="25">
        <f>VLOOKUP(Inventory[[#This Row],[Decade]],Lookups!$O$25:$R$42,4,FALSE)</f>
        <v>1.0199</v>
      </c>
      <c r="BL397" s="25">
        <f>Inventory[[#This Row],[Nbhd Adj]]*0.95</f>
        <v>0.94971499999999998</v>
      </c>
      <c r="BM397" s="25">
        <f>Inventory[[#This Row],[Nbhd Adj]]*Inventory[[#This Row],[Quality Adj]]*Inventory[[#This Row],[Condition Adj]]*Inventory[[#This Row],[Living Area Adj]]*Inventory[[#This Row],[Decade Adj]]*0.95</f>
        <v>0.93693273740181715</v>
      </c>
      <c r="BN397" s="25">
        <f>ROUND(SUM(Inventory[[#This Row],[Mdl Qlty]:[Mdl WdDeck]])+Inventory[[#This Row],[Mdl Res Intercept]]*Inventory[[#This Row],[Res Adj ]],-2)</f>
        <v>346000</v>
      </c>
      <c r="BO397" s="25">
        <f>ROUND(Inventory[[#This Row],[25Det]]*Inventory[[#This Row],[Det/Nbhd Adj]],-2)</f>
        <v>0</v>
      </c>
      <c r="BP397" s="25">
        <f>Inventory[[#This Row],[Adjusted Res]]+Inventory[[#This Row],[Adj Det ]]</f>
        <v>346000</v>
      </c>
      <c r="BQ397" s="25">
        <f>ROUND((Inventory[[#This Row],[Mdl Land Intercept]]+Inventory[[#This Row],[Mdl LnAcres]])*Inventory[[#This Row],[Det/Nbhd Adj]],-2)</f>
        <v>55400</v>
      </c>
      <c r="BR397" s="25">
        <f>Inventory[[#This Row],[Adjusted Impr Total]]+Inventory[[#This Row],[Adjusted Land Total]]</f>
        <v>401400</v>
      </c>
      <c r="BS397" s="36">
        <f>IFERROR((Inventory[[#This Row],[Adjusted Impr Total]]-Inventory[[#This Row],[24Bldg]])/Inventory[[#This Row],[24Bldg]],0)</f>
        <v>0.10226186683657215</v>
      </c>
      <c r="BT397" s="36">
        <f>(Inventory[[#This Row],[Adjusted Land Total]]-Inventory[[#This Row],[24Lnd]])/Inventory[[#This Row],[24Lnd]]</f>
        <v>-0.30663329161451813</v>
      </c>
      <c r="BU397" s="36">
        <f>(Inventory[[#This Row],[Adjusted Total]]-Inventory[[#This Row],[24Final]])/Inventory[[#This Row],[24Final]]</f>
        <v>1.9299136617572373E-2</v>
      </c>
    </row>
    <row r="398" spans="1:73" x14ac:dyDescent="0.3">
      <c r="A398" s="25">
        <v>2025</v>
      </c>
      <c r="B398" s="26" t="s">
        <v>2016</v>
      </c>
      <c r="C398" s="26">
        <f>LN(Inventory[[#This Row],[Acres]])</f>
        <v>-1.1711829815029451</v>
      </c>
      <c r="D398" s="25">
        <v>0.31</v>
      </c>
      <c r="E398" s="31"/>
      <c r="F398" s="26" t="s">
        <v>537</v>
      </c>
      <c r="G398" s="26" t="s">
        <v>126</v>
      </c>
      <c r="H398" s="26" t="s">
        <v>349</v>
      </c>
      <c r="I398" s="26" t="s">
        <v>538</v>
      </c>
      <c r="J398" s="26" t="s">
        <v>539</v>
      </c>
      <c r="K398" s="26" t="s">
        <v>241</v>
      </c>
      <c r="L398" s="26" t="s">
        <v>148</v>
      </c>
      <c r="M398" s="26" t="s">
        <v>303</v>
      </c>
      <c r="N398" s="26">
        <v>70</v>
      </c>
      <c r="O398" s="26">
        <f>2024-Inventory[[#This Row],[YrBlt]]</f>
        <v>62</v>
      </c>
      <c r="P398" s="26">
        <f>2024-Inventory[[#This Row],[EffYr]]</f>
        <v>49</v>
      </c>
      <c r="Q398" s="25">
        <v>1962</v>
      </c>
      <c r="R398" s="25">
        <v>1975</v>
      </c>
      <c r="S398" s="25">
        <v>1938</v>
      </c>
      <c r="T398" s="27"/>
      <c r="U398" s="25">
        <v>1228</v>
      </c>
      <c r="V398" s="32">
        <f>Inventory[[#This Row],[Bsmt]]-Inventory[[#This Row],[FnBsmt]]</f>
        <v>0</v>
      </c>
      <c r="W398" s="32">
        <v>1228</v>
      </c>
      <c r="X398" s="27"/>
      <c r="Y398" s="27">
        <f>Inventory[[#This Row],[MainFn]]+Inventory[[#This Row],[UpprFn]]+Inventory[[#This Row],[FnBsmt]]+Inventory[[#This Row],[AddFn]]</f>
        <v>3166</v>
      </c>
      <c r="Z398" s="27">
        <v>3500</v>
      </c>
      <c r="AA398" s="25">
        <v>13</v>
      </c>
      <c r="AB398" s="25">
        <v>696</v>
      </c>
      <c r="AC398" s="27"/>
      <c r="AD398" s="27"/>
      <c r="AE398" s="27"/>
      <c r="AF398" s="27"/>
      <c r="AG398" s="27"/>
      <c r="AH398" s="27"/>
      <c r="AI398" s="25">
        <v>604127</v>
      </c>
      <c r="AJ398" s="25">
        <v>434971</v>
      </c>
      <c r="AK398" s="25">
        <v>23410</v>
      </c>
      <c r="AL398" s="25">
        <v>475300</v>
      </c>
      <c r="AM398" s="25">
        <v>73700</v>
      </c>
      <c r="AN398" s="25">
        <v>401600</v>
      </c>
      <c r="AO398" s="25">
        <v>0</v>
      </c>
      <c r="AP398" s="25">
        <f>Lookups!$B$56*0</f>
        <v>0</v>
      </c>
      <c r="AQ398" s="25">
        <f>Lookups!$B$56*1</f>
        <v>89850.625589999996</v>
      </c>
      <c r="AR398" s="25">
        <f>Lookups!$B$57*Inventory[[#This Row],[LnAcres]]</f>
        <v>-37073.347241874442</v>
      </c>
      <c r="AS398" s="25">
        <f>VLOOKUP(Inventory[[#This Row],[Qlty]],Lookups!$A$62:$E$75,2,FALSE)</f>
        <v>44121.038090000002</v>
      </c>
      <c r="AT398" s="25">
        <f>VLOOKUP(Inventory[[#This Row],[Cnd]],Lookups!$A$76:$E$84,2,FALSE)</f>
        <v>197752.34721000001</v>
      </c>
      <c r="AU398" s="25">
        <f>Inventory[[#This Row],[EffAge]]*Lookups!$B$85</f>
        <v>-10929.2344245</v>
      </c>
      <c r="AV398" s="25">
        <f>Inventory[[#This Row],[MainFn]]*Lookups!$B$86</f>
        <v>95754.002221625997</v>
      </c>
      <c r="AW398" s="25">
        <f>Inventory[[#This Row],[UpprFn]]*Lookups!$B$87</f>
        <v>0</v>
      </c>
      <c r="AX398" s="25">
        <f>Inventory[[#This Row],[AddFn]]*Lookups!$B$88</f>
        <v>0</v>
      </c>
      <c r="AY398" s="25">
        <f>Inventory[[#This Row],[Bsmt]]*Lookups!$B$89</f>
        <v>35712.567363315997</v>
      </c>
      <c r="AZ398" s="25">
        <f>Inventory[[#This Row],[Fixtures]]*Lookups!$B$90</f>
        <v>49296.287367600002</v>
      </c>
      <c r="BA398" s="25">
        <f>Inventory[[#This Row],[WdDeck]]*Lookups!$B$91</f>
        <v>0</v>
      </c>
      <c r="BB398" s="25">
        <f>ROUND(Inventory[[#This Row],[25Det]],-2)</f>
        <v>23400</v>
      </c>
      <c r="BC398" s="25">
        <f>ROUND(SUM(Inventory[[#This Row],[Mdl Qlty]:[Mdl WdDeck]])+Inventory[[#This Row],[Mdl Res Intercept]],-2)</f>
        <v>411700</v>
      </c>
      <c r="BD398" s="25">
        <f>ROUND(Inventory[[#This Row],[Mdl Land Intercept]]+Inventory[[#This Row],[Mdl LnAcres]],-2)</f>
        <v>52800</v>
      </c>
      <c r="BE398" s="25">
        <f>Inventory[[#This Row],[Unadj Res Value]]+Inventory[[#This Row],[Unadj Det Value]]+Inventory[[#This Row],[Unadj Land Value]]</f>
        <v>487900</v>
      </c>
      <c r="BF398" s="36">
        <f>(Inventory[[#This Row],[Unadj Total Value]]-Inventory[[#This Row],[24Final]])/Inventory[[#This Row],[24Final]]</f>
        <v>2.6509572901325478E-2</v>
      </c>
      <c r="BG398" s="25">
        <f>VLOOKUP(Inventory[[#This Row],[Nbhd]],Lookups!$Q$2:$T$4,4,FALSE)</f>
        <v>0.99970000000000003</v>
      </c>
      <c r="BH398" s="25">
        <f>VLOOKUP(Inventory[[#This Row],[Qlty]],Lookups!$O$7:$R$21,4,FALSE)</f>
        <v>0.98050000000000004</v>
      </c>
      <c r="BI398" s="25">
        <f>VLOOKUP(Inventory[[#This Row],[Cnd]],Lookups!$T$7:$W$16,4,FALSE)</f>
        <v>0.99650000000000005</v>
      </c>
      <c r="BJ398" s="25">
        <f>VLOOKUP(Inventory[[#This Row],[LivArea Range]],Lookups!$T$25:$W$37,4,FALSE)</f>
        <v>1.0126999999999999</v>
      </c>
      <c r="BK398" s="25">
        <f>VLOOKUP(Inventory[[#This Row],[Decade]],Lookups!$O$25:$R$42,4,FALSE)</f>
        <v>1.0199</v>
      </c>
      <c r="BL398" s="25">
        <f>Inventory[[#This Row],[Nbhd Adj]]*0.95</f>
        <v>0.94971499999999998</v>
      </c>
      <c r="BM398" s="25">
        <f>Inventory[[#This Row],[Nbhd Adj]]*Inventory[[#This Row],[Quality Adj]]*Inventory[[#This Row],[Condition Adj]]*Inventory[[#This Row],[Living Area Adj]]*Inventory[[#This Row],[Decade Adj]]*0.95</f>
        <v>0.95842161616969979</v>
      </c>
      <c r="BN398" s="25">
        <f>ROUND(SUM(Inventory[[#This Row],[Mdl Qlty]:[Mdl WdDeck]])+Inventory[[#This Row],[Mdl Res Intercept]]*Inventory[[#This Row],[Res Adj ]],-2)</f>
        <v>411700</v>
      </c>
      <c r="BO398" s="25">
        <f>ROUND(Inventory[[#This Row],[25Det]]*Inventory[[#This Row],[Det/Nbhd Adj]],-2)</f>
        <v>22200</v>
      </c>
      <c r="BP398" s="25">
        <f>Inventory[[#This Row],[Adjusted Res]]+Inventory[[#This Row],[Adj Det ]]</f>
        <v>433900</v>
      </c>
      <c r="BQ398" s="25">
        <f>ROUND((Inventory[[#This Row],[Mdl Land Intercept]]+Inventory[[#This Row],[Mdl LnAcres]])*Inventory[[#This Row],[Det/Nbhd Adj]],-2)</f>
        <v>50100</v>
      </c>
      <c r="BR398" s="25">
        <f>Inventory[[#This Row],[Adjusted Impr Total]]+Inventory[[#This Row],[Adjusted Land Total]]</f>
        <v>484000</v>
      </c>
      <c r="BS398" s="36">
        <f>IFERROR((Inventory[[#This Row],[Adjusted Impr Total]]-Inventory[[#This Row],[24Bldg]])/Inventory[[#This Row],[24Bldg]],0)</f>
        <v>8.0428286852589639E-2</v>
      </c>
      <c r="BT398" s="36">
        <f>(Inventory[[#This Row],[Adjusted Land Total]]-Inventory[[#This Row],[24Lnd]])/Inventory[[#This Row],[24Lnd]]</f>
        <v>-0.32021709633649931</v>
      </c>
      <c r="BU398" s="36">
        <f>(Inventory[[#This Row],[Adjusted Total]]-Inventory[[#This Row],[24Final]])/Inventory[[#This Row],[24Final]]</f>
        <v>1.8304228908058068E-2</v>
      </c>
    </row>
    <row r="399" spans="1:73" x14ac:dyDescent="0.3">
      <c r="A399" s="25">
        <v>2025</v>
      </c>
      <c r="B399" s="26" t="s">
        <v>2540</v>
      </c>
      <c r="C399" s="26">
        <f>LN(Inventory[[#This Row],[Acres]])</f>
        <v>-1.5606477482646683</v>
      </c>
      <c r="D399" s="25">
        <v>0.21</v>
      </c>
      <c r="E399" s="31"/>
      <c r="F399" s="26" t="s">
        <v>537</v>
      </c>
      <c r="G399" s="26" t="s">
        <v>126</v>
      </c>
      <c r="H399" s="26" t="s">
        <v>349</v>
      </c>
      <c r="I399" s="26" t="s">
        <v>538</v>
      </c>
      <c r="J399" s="26" t="s">
        <v>539</v>
      </c>
      <c r="K399" s="26" t="s">
        <v>241</v>
      </c>
      <c r="L399" s="26" t="s">
        <v>302</v>
      </c>
      <c r="M399" s="26" t="s">
        <v>323</v>
      </c>
      <c r="N399" s="26">
        <v>70</v>
      </c>
      <c r="O399" s="26">
        <f>2024-Inventory[[#This Row],[YrBlt]]</f>
        <v>62</v>
      </c>
      <c r="P399" s="26">
        <f>2024-Inventory[[#This Row],[EffYr]]</f>
        <v>49</v>
      </c>
      <c r="Q399" s="25">
        <v>1962</v>
      </c>
      <c r="R399" s="25">
        <v>1975</v>
      </c>
      <c r="S399" s="25">
        <v>1250</v>
      </c>
      <c r="T399" s="31"/>
      <c r="U399" s="25">
        <v>1250</v>
      </c>
      <c r="V399" s="25">
        <f>Inventory[[#This Row],[Bsmt]]-Inventory[[#This Row],[FnBsmt]]</f>
        <v>0</v>
      </c>
      <c r="W399" s="25">
        <v>1250</v>
      </c>
      <c r="X399" s="27"/>
      <c r="Y399" s="27">
        <f>Inventory[[#This Row],[MainFn]]+Inventory[[#This Row],[UpprFn]]+Inventory[[#This Row],[FnBsmt]]+Inventory[[#This Row],[AddFn]]</f>
        <v>2500</v>
      </c>
      <c r="Z399" s="27">
        <v>3000</v>
      </c>
      <c r="AA399" s="25">
        <v>8</v>
      </c>
      <c r="AB399" s="27"/>
      <c r="AC399" s="27"/>
      <c r="AD399" s="32">
        <v>132</v>
      </c>
      <c r="AE399" s="27"/>
      <c r="AF399" s="27"/>
      <c r="AG399" s="27"/>
      <c r="AH399" s="27"/>
      <c r="AI399" s="25">
        <v>361706</v>
      </c>
      <c r="AJ399" s="25">
        <v>256811</v>
      </c>
      <c r="AK399" s="25">
        <v>6750</v>
      </c>
      <c r="AL399" s="25">
        <v>352300</v>
      </c>
      <c r="AM399" s="25">
        <v>60100</v>
      </c>
      <c r="AN399" s="25">
        <v>292200</v>
      </c>
      <c r="AO399" s="25">
        <v>0</v>
      </c>
      <c r="AP399" s="25">
        <f>Lookups!$B$56*0</f>
        <v>0</v>
      </c>
      <c r="AQ399" s="25">
        <f>Lookups!$B$56*1</f>
        <v>89850.625589999996</v>
      </c>
      <c r="AR399" s="25">
        <f>Lookups!$B$57*Inventory[[#This Row],[LnAcres]]</f>
        <v>-49401.70477837498</v>
      </c>
      <c r="AS399" s="25">
        <f>VLOOKUP(Inventory[[#This Row],[Qlty]],Lookups!$A$62:$E$75,2,FALSE)</f>
        <v>29814.093161000001</v>
      </c>
      <c r="AT399" s="25">
        <f>VLOOKUP(Inventory[[#This Row],[Cnd]],Lookups!$A$76:$E$84,2,FALSE)</f>
        <v>160472.20319</v>
      </c>
      <c r="AU399" s="25">
        <f>Inventory[[#This Row],[EffAge]]*Lookups!$B$85</f>
        <v>-10929.2344245</v>
      </c>
      <c r="AV399" s="25">
        <f>Inventory[[#This Row],[MainFn]]*Lookups!$B$86</f>
        <v>61760.837346250002</v>
      </c>
      <c r="AW399" s="25">
        <f>Inventory[[#This Row],[UpprFn]]*Lookups!$B$87</f>
        <v>0</v>
      </c>
      <c r="AX399" s="25">
        <f>Inventory[[#This Row],[AddFn]]*Lookups!$B$88</f>
        <v>0</v>
      </c>
      <c r="AY399" s="25">
        <f>Inventory[[#This Row],[Bsmt]]*Lookups!$B$89</f>
        <v>36352.369058749995</v>
      </c>
      <c r="AZ399" s="25">
        <f>Inventory[[#This Row],[Fixtures]]*Lookups!$B$90</f>
        <v>30336.176841600001</v>
      </c>
      <c r="BA399" s="25">
        <f>Inventory[[#This Row],[WdDeck]]*Lookups!$B$91</f>
        <v>4395.0080164320007</v>
      </c>
      <c r="BB399" s="25">
        <f>ROUND(Inventory[[#This Row],[25Det]],-2)</f>
        <v>6800</v>
      </c>
      <c r="BC399" s="25">
        <f>ROUND(SUM(Inventory[[#This Row],[Mdl Qlty]:[Mdl WdDeck]])+Inventory[[#This Row],[Mdl Res Intercept]],-2)</f>
        <v>312200</v>
      </c>
      <c r="BD399" s="25">
        <f>ROUND(Inventory[[#This Row],[Mdl Land Intercept]]+Inventory[[#This Row],[Mdl LnAcres]],-2)</f>
        <v>40400</v>
      </c>
      <c r="BE399" s="25">
        <f>Inventory[[#This Row],[Unadj Res Value]]+Inventory[[#This Row],[Unadj Det Value]]+Inventory[[#This Row],[Unadj Land Value]]</f>
        <v>359400</v>
      </c>
      <c r="BF399" s="36">
        <f>(Inventory[[#This Row],[Unadj Total Value]]-Inventory[[#This Row],[24Final]])/Inventory[[#This Row],[24Final]]</f>
        <v>2.0153278455861481E-2</v>
      </c>
      <c r="BG399" s="25">
        <f>VLOOKUP(Inventory[[#This Row],[Nbhd]],Lookups!$Q$2:$T$4,4,FALSE)</f>
        <v>0.99970000000000003</v>
      </c>
      <c r="BH399" s="25">
        <f>VLOOKUP(Inventory[[#This Row],[Qlty]],Lookups!$O$7:$R$21,4,FALSE)</f>
        <v>1.0088999999999999</v>
      </c>
      <c r="BI399" s="25">
        <f>VLOOKUP(Inventory[[#This Row],[Cnd]],Lookups!$T$7:$W$16,4,FALSE)</f>
        <v>0.99729999999999996</v>
      </c>
      <c r="BJ399" s="25">
        <f>VLOOKUP(Inventory[[#This Row],[LivArea Range]],Lookups!$T$25:$W$37,4,FALSE)</f>
        <v>0.96179999999999999</v>
      </c>
      <c r="BK399" s="25">
        <f>VLOOKUP(Inventory[[#This Row],[Decade]],Lookups!$O$25:$R$42,4,FALSE)</f>
        <v>1.0199</v>
      </c>
      <c r="BL399" s="25">
        <f>Inventory[[#This Row],[Nbhd Adj]]*0.95</f>
        <v>0.94971499999999998</v>
      </c>
      <c r="BM399" s="25">
        <f>Inventory[[#This Row],[Nbhd Adj]]*Inventory[[#This Row],[Quality Adj]]*Inventory[[#This Row],[Condition Adj]]*Inventory[[#This Row],[Living Area Adj]]*Inventory[[#This Row],[Decade Adj]]*0.95</f>
        <v>0.93736687670377261</v>
      </c>
      <c r="BN399" s="25">
        <f>ROUND(SUM(Inventory[[#This Row],[Mdl Qlty]:[Mdl WdDeck]])+Inventory[[#This Row],[Mdl Res Intercept]]*Inventory[[#This Row],[Res Adj ]],-2)</f>
        <v>312200</v>
      </c>
      <c r="BO399" s="25">
        <f>ROUND(Inventory[[#This Row],[25Det]]*Inventory[[#This Row],[Det/Nbhd Adj]],-2)</f>
        <v>6400</v>
      </c>
      <c r="BP399" s="25">
        <f>Inventory[[#This Row],[Adjusted Res]]+Inventory[[#This Row],[Adj Det ]]</f>
        <v>318600</v>
      </c>
      <c r="BQ399" s="25">
        <f>ROUND((Inventory[[#This Row],[Mdl Land Intercept]]+Inventory[[#This Row],[Mdl LnAcres]])*Inventory[[#This Row],[Det/Nbhd Adj]],-2)</f>
        <v>38400</v>
      </c>
      <c r="BR399" s="25">
        <f>Inventory[[#This Row],[Adjusted Impr Total]]+Inventory[[#This Row],[Adjusted Land Total]]</f>
        <v>357000</v>
      </c>
      <c r="BS399" s="36">
        <f>IFERROR((Inventory[[#This Row],[Adjusted Impr Total]]-Inventory[[#This Row],[24Bldg]])/Inventory[[#This Row],[24Bldg]],0)</f>
        <v>9.034907597535935E-2</v>
      </c>
      <c r="BT399" s="36">
        <f>(Inventory[[#This Row],[Adjusted Land Total]]-Inventory[[#This Row],[24Lnd]])/Inventory[[#This Row],[24Lnd]]</f>
        <v>-0.36106489184692181</v>
      </c>
      <c r="BU399" s="36">
        <f>(Inventory[[#This Row],[Adjusted Total]]-Inventory[[#This Row],[24Final]])/Inventory[[#This Row],[24Final]]</f>
        <v>1.3340902639795628E-2</v>
      </c>
    </row>
    <row r="400" spans="1:73" x14ac:dyDescent="0.3">
      <c r="A400" s="25">
        <v>2025</v>
      </c>
      <c r="B400" s="26" t="s">
        <v>2059</v>
      </c>
      <c r="C400" s="26">
        <f>LN(Inventory[[#This Row],[Acres]])</f>
        <v>-1.3862943611198906</v>
      </c>
      <c r="D400" s="25">
        <v>0.25</v>
      </c>
      <c r="E400" s="25">
        <v>10842</v>
      </c>
      <c r="F400" s="26" t="s">
        <v>537</v>
      </c>
      <c r="G400" s="26" t="s">
        <v>126</v>
      </c>
      <c r="H400" s="26" t="s">
        <v>349</v>
      </c>
      <c r="I400" s="26" t="s">
        <v>538</v>
      </c>
      <c r="J400" s="26" t="s">
        <v>539</v>
      </c>
      <c r="K400" s="26" t="s">
        <v>241</v>
      </c>
      <c r="L400" s="26" t="s">
        <v>351</v>
      </c>
      <c r="M400" s="26" t="s">
        <v>323</v>
      </c>
      <c r="N400" s="26">
        <v>70</v>
      </c>
      <c r="O400" s="26">
        <f>2024-Inventory[[#This Row],[YrBlt]]</f>
        <v>62</v>
      </c>
      <c r="P400" s="26">
        <f>2024-Inventory[[#This Row],[EffYr]]</f>
        <v>49</v>
      </c>
      <c r="Q400" s="25">
        <v>1962</v>
      </c>
      <c r="R400" s="25">
        <v>1975</v>
      </c>
      <c r="S400" s="25">
        <v>1796</v>
      </c>
      <c r="T400" s="27"/>
      <c r="U400" s="31"/>
      <c r="V400" s="31">
        <f>Inventory[[#This Row],[Bsmt]]-Inventory[[#This Row],[FnBsmt]]</f>
        <v>0</v>
      </c>
      <c r="W400" s="31"/>
      <c r="X400" s="27"/>
      <c r="Y400" s="27">
        <f>Inventory[[#This Row],[MainFn]]+Inventory[[#This Row],[UpprFn]]+Inventory[[#This Row],[FnBsmt]]+Inventory[[#This Row],[AddFn]]</f>
        <v>1796</v>
      </c>
      <c r="Z400" s="27">
        <v>2000</v>
      </c>
      <c r="AA400" s="25">
        <v>8</v>
      </c>
      <c r="AB400" s="25">
        <v>592</v>
      </c>
      <c r="AC400" s="27"/>
      <c r="AD400" s="31"/>
      <c r="AE400" s="27"/>
      <c r="AF400" s="27"/>
      <c r="AG400" s="27"/>
      <c r="AH400" s="27"/>
      <c r="AI400" s="25">
        <v>311366</v>
      </c>
      <c r="AJ400" s="25">
        <v>221070</v>
      </c>
      <c r="AK400" s="25">
        <v>0</v>
      </c>
      <c r="AL400" s="25">
        <v>331500</v>
      </c>
      <c r="AM400" s="25">
        <v>66200</v>
      </c>
      <c r="AN400" s="25">
        <v>265300</v>
      </c>
      <c r="AO400" s="25">
        <v>0</v>
      </c>
      <c r="AP400" s="25">
        <f>Lookups!$B$56*0</f>
        <v>0</v>
      </c>
      <c r="AQ400" s="25">
        <f>Lookups!$B$56*1</f>
        <v>89850.625589999996</v>
      </c>
      <c r="AR400" s="25">
        <f>Lookups!$B$57*Inventory[[#This Row],[LnAcres]]</f>
        <v>-43882.615305165229</v>
      </c>
      <c r="AS400" s="25">
        <f>VLOOKUP(Inventory[[#This Row],[Qlty]],Lookups!$A$62:$E$75,2,FALSE)</f>
        <v>21557.329055999999</v>
      </c>
      <c r="AT400" s="25">
        <f>VLOOKUP(Inventory[[#This Row],[Cnd]],Lookups!$A$76:$E$84,2,FALSE)</f>
        <v>160472.20319</v>
      </c>
      <c r="AU400" s="25">
        <f>Inventory[[#This Row],[EffAge]]*Lookups!$B$85</f>
        <v>-10929.2344245</v>
      </c>
      <c r="AV400" s="25">
        <f>Inventory[[#This Row],[MainFn]]*Lookups!$B$86</f>
        <v>88737.971099091999</v>
      </c>
      <c r="AW400" s="25">
        <f>Inventory[[#This Row],[UpprFn]]*Lookups!$B$87</f>
        <v>0</v>
      </c>
      <c r="AX400" s="25">
        <f>Inventory[[#This Row],[AddFn]]*Lookups!$B$88</f>
        <v>0</v>
      </c>
      <c r="AY400" s="25">
        <f>Inventory[[#This Row],[Bsmt]]*Lookups!$B$89</f>
        <v>0</v>
      </c>
      <c r="AZ400" s="25">
        <f>Inventory[[#This Row],[Fixtures]]*Lookups!$B$90</f>
        <v>30336.176841600001</v>
      </c>
      <c r="BA400" s="25">
        <f>Inventory[[#This Row],[WdDeck]]*Lookups!$B$91</f>
        <v>0</v>
      </c>
      <c r="BB400" s="25">
        <f>ROUND(Inventory[[#This Row],[25Det]],-2)</f>
        <v>0</v>
      </c>
      <c r="BC400" s="25">
        <f>ROUND(SUM(Inventory[[#This Row],[Mdl Qlty]:[Mdl WdDeck]])+Inventory[[#This Row],[Mdl Res Intercept]],-2)</f>
        <v>290200</v>
      </c>
      <c r="BD400" s="25">
        <f>ROUND(Inventory[[#This Row],[Mdl Land Intercept]]+Inventory[[#This Row],[Mdl LnAcres]],-2)</f>
        <v>46000</v>
      </c>
      <c r="BE400" s="25">
        <f>Inventory[[#This Row],[Unadj Res Value]]+Inventory[[#This Row],[Unadj Det Value]]+Inventory[[#This Row],[Unadj Land Value]]</f>
        <v>336200</v>
      </c>
      <c r="BF400" s="36">
        <f>(Inventory[[#This Row],[Unadj Total Value]]-Inventory[[#This Row],[24Final]])/Inventory[[#This Row],[24Final]]</f>
        <v>1.4177978883861237E-2</v>
      </c>
      <c r="BG400" s="25">
        <f>VLOOKUP(Inventory[[#This Row],[Nbhd]],Lookups!$Q$2:$T$4,4,FALSE)</f>
        <v>0.99970000000000003</v>
      </c>
      <c r="BH400" s="25">
        <f>VLOOKUP(Inventory[[#This Row],[Qlty]],Lookups!$O$7:$R$21,4,FALSE)</f>
        <v>1.0067999999999999</v>
      </c>
      <c r="BI400" s="25">
        <f>VLOOKUP(Inventory[[#This Row],[Cnd]],Lookups!$T$7:$W$16,4,FALSE)</f>
        <v>0.99729999999999996</v>
      </c>
      <c r="BJ400" s="25">
        <f>VLOOKUP(Inventory[[#This Row],[LivArea Range]],Lookups!$T$25:$W$37,4,FALSE)</f>
        <v>1.0093000000000001</v>
      </c>
      <c r="BK400" s="25">
        <f>VLOOKUP(Inventory[[#This Row],[Decade]],Lookups!$O$25:$R$42,4,FALSE)</f>
        <v>1.0199</v>
      </c>
      <c r="BL400" s="25">
        <f>Inventory[[#This Row],[Nbhd Adj]]*0.95</f>
        <v>0.94971499999999998</v>
      </c>
      <c r="BM400" s="25">
        <f>Inventory[[#This Row],[Nbhd Adj]]*Inventory[[#This Row],[Quality Adj]]*Inventory[[#This Row],[Condition Adj]]*Inventory[[#This Row],[Living Area Adj]]*Inventory[[#This Row],[Decade Adj]]*0.95</f>
        <v>0.98161274461821502</v>
      </c>
      <c r="BN400" s="25">
        <f>ROUND(SUM(Inventory[[#This Row],[Mdl Qlty]:[Mdl WdDeck]])+Inventory[[#This Row],[Mdl Res Intercept]]*Inventory[[#This Row],[Res Adj ]],-2)</f>
        <v>290200</v>
      </c>
      <c r="BO400" s="25">
        <f>ROUND(Inventory[[#This Row],[25Det]]*Inventory[[#This Row],[Det/Nbhd Adj]],-2)</f>
        <v>0</v>
      </c>
      <c r="BP400" s="25">
        <f>Inventory[[#This Row],[Adjusted Res]]+Inventory[[#This Row],[Adj Det ]]</f>
        <v>290200</v>
      </c>
      <c r="BQ400" s="25">
        <f>ROUND((Inventory[[#This Row],[Mdl Land Intercept]]+Inventory[[#This Row],[Mdl LnAcres]])*Inventory[[#This Row],[Det/Nbhd Adj]],-2)</f>
        <v>43700</v>
      </c>
      <c r="BR400" s="25">
        <f>Inventory[[#This Row],[Adjusted Impr Total]]+Inventory[[#This Row],[Adjusted Land Total]]</f>
        <v>333900</v>
      </c>
      <c r="BS400" s="36">
        <f>IFERROR((Inventory[[#This Row],[Adjusted Impr Total]]-Inventory[[#This Row],[24Bldg]])/Inventory[[#This Row],[24Bldg]],0)</f>
        <v>9.3856012061816804E-2</v>
      </c>
      <c r="BT400" s="36">
        <f>(Inventory[[#This Row],[Adjusted Land Total]]-Inventory[[#This Row],[24Lnd]])/Inventory[[#This Row],[24Lnd]]</f>
        <v>-0.33987915407854985</v>
      </c>
      <c r="BU400" s="36">
        <f>(Inventory[[#This Row],[Adjusted Total]]-Inventory[[#This Row],[24Final]])/Inventory[[#This Row],[24Final]]</f>
        <v>7.2398190045248872E-3</v>
      </c>
    </row>
    <row r="401" spans="1:73" x14ac:dyDescent="0.3">
      <c r="A401" s="25">
        <v>2025</v>
      </c>
      <c r="B401" s="26" t="s">
        <v>1431</v>
      </c>
      <c r="C401" s="26">
        <f>LN(Inventory[[#This Row],[Acres]])</f>
        <v>-1.6607312068216509</v>
      </c>
      <c r="D401" s="25">
        <v>0.19</v>
      </c>
      <c r="E401" s="25">
        <v>8400</v>
      </c>
      <c r="F401" s="26" t="s">
        <v>537</v>
      </c>
      <c r="G401" s="26" t="s">
        <v>126</v>
      </c>
      <c r="H401" s="26" t="s">
        <v>349</v>
      </c>
      <c r="I401" s="26" t="s">
        <v>538</v>
      </c>
      <c r="J401" s="26" t="s">
        <v>539</v>
      </c>
      <c r="K401" s="26" t="s">
        <v>242</v>
      </c>
      <c r="L401" s="26" t="s">
        <v>302</v>
      </c>
      <c r="M401" s="26" t="s">
        <v>323</v>
      </c>
      <c r="N401" s="26">
        <v>70</v>
      </c>
      <c r="O401" s="26">
        <f>2024-Inventory[[#This Row],[YrBlt]]</f>
        <v>62</v>
      </c>
      <c r="P401" s="26">
        <f>2024-Inventory[[#This Row],[EffYr]]</f>
        <v>49</v>
      </c>
      <c r="Q401" s="25">
        <v>1962</v>
      </c>
      <c r="R401" s="25">
        <v>1975</v>
      </c>
      <c r="S401" s="25">
        <v>1116</v>
      </c>
      <c r="T401" s="27"/>
      <c r="U401" s="25">
        <v>1131</v>
      </c>
      <c r="V401" s="25">
        <f>Inventory[[#This Row],[Bsmt]]-Inventory[[#This Row],[FnBsmt]]</f>
        <v>0</v>
      </c>
      <c r="W401" s="25">
        <v>1131</v>
      </c>
      <c r="X401" s="27"/>
      <c r="Y401" s="27">
        <f>Inventory[[#This Row],[MainFn]]+Inventory[[#This Row],[UpprFn]]+Inventory[[#This Row],[FnBsmt]]+Inventory[[#This Row],[AddFn]]</f>
        <v>2247</v>
      </c>
      <c r="Z401" s="27">
        <v>2500</v>
      </c>
      <c r="AA401" s="25">
        <v>9</v>
      </c>
      <c r="AB401" s="25">
        <v>713</v>
      </c>
      <c r="AC401" s="27"/>
      <c r="AD401" s="31"/>
      <c r="AE401" s="27"/>
      <c r="AF401" s="27"/>
      <c r="AG401" s="27"/>
      <c r="AH401" s="27"/>
      <c r="AI401" s="25">
        <v>375806</v>
      </c>
      <c r="AJ401" s="25">
        <v>266822</v>
      </c>
      <c r="AK401" s="25">
        <v>0</v>
      </c>
      <c r="AL401" s="25">
        <v>336700</v>
      </c>
      <c r="AM401" s="25">
        <v>56600</v>
      </c>
      <c r="AN401" s="25">
        <v>280100</v>
      </c>
      <c r="AO401" s="25">
        <v>0</v>
      </c>
      <c r="AP401" s="25">
        <f>Lookups!$B$56*0</f>
        <v>0</v>
      </c>
      <c r="AQ401" s="25">
        <f>Lookups!$B$56*1</f>
        <v>89850.625589999996</v>
      </c>
      <c r="AR401" s="25">
        <f>Lookups!$B$57*Inventory[[#This Row],[LnAcres]]</f>
        <v>-52569.808201026557</v>
      </c>
      <c r="AS401" s="25">
        <f>VLOOKUP(Inventory[[#This Row],[Qlty]],Lookups!$A$62:$E$75,2,FALSE)</f>
        <v>29814.093161000001</v>
      </c>
      <c r="AT401" s="25">
        <f>VLOOKUP(Inventory[[#This Row],[Cnd]],Lookups!$A$76:$E$84,2,FALSE)</f>
        <v>160472.20319</v>
      </c>
      <c r="AU401" s="25">
        <f>Inventory[[#This Row],[EffAge]]*Lookups!$B$85</f>
        <v>-10929.2344245</v>
      </c>
      <c r="AV401" s="25">
        <f>Inventory[[#This Row],[MainFn]]*Lookups!$B$86</f>
        <v>55140.075582732003</v>
      </c>
      <c r="AW401" s="25">
        <f>Inventory[[#This Row],[UpprFn]]*Lookups!$B$87</f>
        <v>0</v>
      </c>
      <c r="AX401" s="25">
        <f>Inventory[[#This Row],[AddFn]]*Lookups!$B$88</f>
        <v>0</v>
      </c>
      <c r="AY401" s="25">
        <f>Inventory[[#This Row],[Bsmt]]*Lookups!$B$89</f>
        <v>32891.623524356997</v>
      </c>
      <c r="AZ401" s="25">
        <f>Inventory[[#This Row],[Fixtures]]*Lookups!$B$90</f>
        <v>34128.198946800003</v>
      </c>
      <c r="BA401" s="25">
        <f>Inventory[[#This Row],[WdDeck]]*Lookups!$B$91</f>
        <v>0</v>
      </c>
      <c r="BB401" s="25">
        <f>ROUND(Inventory[[#This Row],[25Det]],-2)</f>
        <v>0</v>
      </c>
      <c r="BC401" s="25">
        <f>ROUND(SUM(Inventory[[#This Row],[Mdl Qlty]:[Mdl WdDeck]])+Inventory[[#This Row],[Mdl Res Intercept]],-2)</f>
        <v>301500</v>
      </c>
      <c r="BD401" s="25">
        <f>ROUND(Inventory[[#This Row],[Mdl Land Intercept]]+Inventory[[#This Row],[Mdl LnAcres]],-2)</f>
        <v>37300</v>
      </c>
      <c r="BE401" s="25">
        <f>Inventory[[#This Row],[Unadj Res Value]]+Inventory[[#This Row],[Unadj Det Value]]+Inventory[[#This Row],[Unadj Land Value]]</f>
        <v>338800</v>
      </c>
      <c r="BF401" s="36">
        <f>(Inventory[[#This Row],[Unadj Total Value]]-Inventory[[#This Row],[24Final]])/Inventory[[#This Row],[24Final]]</f>
        <v>6.2370062370062374E-3</v>
      </c>
      <c r="BG401" s="25">
        <f>VLOOKUP(Inventory[[#This Row],[Nbhd]],Lookups!$Q$2:$T$4,4,FALSE)</f>
        <v>0.99970000000000003</v>
      </c>
      <c r="BH401" s="25">
        <f>VLOOKUP(Inventory[[#This Row],[Qlty]],Lookups!$O$7:$R$21,4,FALSE)</f>
        <v>1.0088999999999999</v>
      </c>
      <c r="BI401" s="25">
        <f>VLOOKUP(Inventory[[#This Row],[Cnd]],Lookups!$T$7:$W$16,4,FALSE)</f>
        <v>0.99729999999999996</v>
      </c>
      <c r="BJ401" s="25">
        <f>VLOOKUP(Inventory[[#This Row],[LivArea Range]],Lookups!$T$25:$W$37,4,FALSE)</f>
        <v>0.98919999999999997</v>
      </c>
      <c r="BK401" s="25">
        <f>VLOOKUP(Inventory[[#This Row],[Decade]],Lookups!$O$25:$R$42,4,FALSE)</f>
        <v>1.0199</v>
      </c>
      <c r="BL401" s="25">
        <f>Inventory[[#This Row],[Nbhd Adj]]*0.95</f>
        <v>0.94971499999999998</v>
      </c>
      <c r="BM401" s="25">
        <f>Inventory[[#This Row],[Nbhd Adj]]*Inventory[[#This Row],[Quality Adj]]*Inventory[[#This Row],[Condition Adj]]*Inventory[[#This Row],[Living Area Adj]]*Inventory[[#This Row],[Decade Adj]]*0.95</f>
        <v>0.96407081974981479</v>
      </c>
      <c r="BN401" s="25">
        <f>ROUND(SUM(Inventory[[#This Row],[Mdl Qlty]:[Mdl WdDeck]])+Inventory[[#This Row],[Mdl Res Intercept]]*Inventory[[#This Row],[Res Adj ]],-2)</f>
        <v>301500</v>
      </c>
      <c r="BO401" s="25">
        <f>ROUND(Inventory[[#This Row],[25Det]]*Inventory[[#This Row],[Det/Nbhd Adj]],-2)</f>
        <v>0</v>
      </c>
      <c r="BP401" s="25">
        <f>Inventory[[#This Row],[Adjusted Res]]+Inventory[[#This Row],[Adj Det ]]</f>
        <v>301500</v>
      </c>
      <c r="BQ401" s="25">
        <f>ROUND((Inventory[[#This Row],[Mdl Land Intercept]]+Inventory[[#This Row],[Mdl LnAcres]])*Inventory[[#This Row],[Det/Nbhd Adj]],-2)</f>
        <v>35400</v>
      </c>
      <c r="BR401" s="25">
        <f>Inventory[[#This Row],[Adjusted Impr Total]]+Inventory[[#This Row],[Adjusted Land Total]]</f>
        <v>336900</v>
      </c>
      <c r="BS401" s="36">
        <f>IFERROR((Inventory[[#This Row],[Adjusted Impr Total]]-Inventory[[#This Row],[24Bldg]])/Inventory[[#This Row],[24Bldg]],0)</f>
        <v>7.6401285255265974E-2</v>
      </c>
      <c r="BT401" s="36">
        <f>(Inventory[[#This Row],[Adjusted Land Total]]-Inventory[[#This Row],[24Lnd]])/Inventory[[#This Row],[24Lnd]]</f>
        <v>-0.37455830388692579</v>
      </c>
      <c r="BU401" s="36">
        <f>(Inventory[[#This Row],[Adjusted Total]]-Inventory[[#This Row],[24Final]])/Inventory[[#This Row],[24Final]]</f>
        <v>5.9400059400059396E-4</v>
      </c>
    </row>
    <row r="402" spans="1:73" x14ac:dyDescent="0.3">
      <c r="A402" s="25">
        <v>2025</v>
      </c>
      <c r="B402" s="26" t="s">
        <v>982</v>
      </c>
      <c r="C402" s="26">
        <f>LN(Inventory[[#This Row],[Acres]])</f>
        <v>-1.3862943611198906</v>
      </c>
      <c r="D402" s="25">
        <v>0.25</v>
      </c>
      <c r="E402" s="25">
        <v>10744</v>
      </c>
      <c r="F402" s="26" t="s">
        <v>537</v>
      </c>
      <c r="G402" s="26" t="s">
        <v>126</v>
      </c>
      <c r="H402" s="26" t="s">
        <v>349</v>
      </c>
      <c r="I402" s="26" t="s">
        <v>538</v>
      </c>
      <c r="J402" s="26" t="s">
        <v>539</v>
      </c>
      <c r="K402" s="26" t="s">
        <v>241</v>
      </c>
      <c r="L402" s="26" t="s">
        <v>95</v>
      </c>
      <c r="M402" s="26" t="s">
        <v>303</v>
      </c>
      <c r="N402" s="26">
        <v>70</v>
      </c>
      <c r="O402" s="26">
        <f>2024-Inventory[[#This Row],[YrBlt]]</f>
        <v>62</v>
      </c>
      <c r="P402" s="26">
        <f>2024-Inventory[[#This Row],[EffYr]]</f>
        <v>49</v>
      </c>
      <c r="Q402" s="25">
        <v>1962</v>
      </c>
      <c r="R402" s="25">
        <v>1975</v>
      </c>
      <c r="S402" s="25">
        <v>2400</v>
      </c>
      <c r="T402" s="27"/>
      <c r="U402" s="27"/>
      <c r="V402" s="27">
        <f>Inventory[[#This Row],[Bsmt]]-Inventory[[#This Row],[FnBsmt]]</f>
        <v>0</v>
      </c>
      <c r="W402" s="27"/>
      <c r="X402" s="27"/>
      <c r="Y402" s="27">
        <f>Inventory[[#This Row],[MainFn]]+Inventory[[#This Row],[UpprFn]]+Inventory[[#This Row],[FnBsmt]]+Inventory[[#This Row],[AddFn]]</f>
        <v>2400</v>
      </c>
      <c r="Z402" s="27">
        <v>2500</v>
      </c>
      <c r="AA402" s="25">
        <v>10</v>
      </c>
      <c r="AB402" s="25">
        <v>504</v>
      </c>
      <c r="AC402" s="27"/>
      <c r="AD402" s="27"/>
      <c r="AE402" s="27"/>
      <c r="AF402" s="27"/>
      <c r="AG402" s="27"/>
      <c r="AH402" s="27"/>
      <c r="AI402" s="25">
        <v>540098</v>
      </c>
      <c r="AJ402" s="25">
        <v>399673</v>
      </c>
      <c r="AK402" s="25">
        <v>22122</v>
      </c>
      <c r="AL402" s="25">
        <v>487000</v>
      </c>
      <c r="AM402" s="25">
        <v>66200</v>
      </c>
      <c r="AN402" s="25">
        <v>420800</v>
      </c>
      <c r="AO402" s="25">
        <v>0</v>
      </c>
      <c r="AP402" s="25">
        <f>Lookups!$B$56*0</f>
        <v>0</v>
      </c>
      <c r="AQ402" s="25">
        <f>Lookups!$B$56*1</f>
        <v>89850.625589999996</v>
      </c>
      <c r="AR402" s="25">
        <f>Lookups!$B$57*Inventory[[#This Row],[LnAcres]]</f>
        <v>-43882.615305165229</v>
      </c>
      <c r="AS402" s="25">
        <f>VLOOKUP(Inventory[[#This Row],[Qlty]],Lookups!$A$62:$E$75,2,FALSE)</f>
        <v>74268.409664999999</v>
      </c>
      <c r="AT402" s="25">
        <f>VLOOKUP(Inventory[[#This Row],[Cnd]],Lookups!$A$76:$E$84,2,FALSE)</f>
        <v>197752.34721000001</v>
      </c>
      <c r="AU402" s="25">
        <f>Inventory[[#This Row],[EffAge]]*Lookups!$B$85</f>
        <v>-10929.2344245</v>
      </c>
      <c r="AV402" s="25">
        <f>Inventory[[#This Row],[MainFn]]*Lookups!$B$86</f>
        <v>118580.8077048</v>
      </c>
      <c r="AW402" s="25">
        <f>Inventory[[#This Row],[UpprFn]]*Lookups!$B$87</f>
        <v>0</v>
      </c>
      <c r="AX402" s="25">
        <f>Inventory[[#This Row],[AddFn]]*Lookups!$B$88</f>
        <v>0</v>
      </c>
      <c r="AY402" s="25">
        <f>Inventory[[#This Row],[Bsmt]]*Lookups!$B$89</f>
        <v>0</v>
      </c>
      <c r="AZ402" s="25">
        <f>Inventory[[#This Row],[Fixtures]]*Lookups!$B$90</f>
        <v>37920.221052000001</v>
      </c>
      <c r="BA402" s="25">
        <f>Inventory[[#This Row],[WdDeck]]*Lookups!$B$91</f>
        <v>0</v>
      </c>
      <c r="BB402" s="25">
        <f>ROUND(Inventory[[#This Row],[25Det]],-2)</f>
        <v>22100</v>
      </c>
      <c r="BC402" s="25">
        <f>ROUND(SUM(Inventory[[#This Row],[Mdl Qlty]:[Mdl WdDeck]])+Inventory[[#This Row],[Mdl Res Intercept]],-2)</f>
        <v>417600</v>
      </c>
      <c r="BD402" s="25">
        <f>ROUND(Inventory[[#This Row],[Mdl Land Intercept]]+Inventory[[#This Row],[Mdl LnAcres]],-2)</f>
        <v>46000</v>
      </c>
      <c r="BE402" s="25">
        <f>Inventory[[#This Row],[Unadj Res Value]]+Inventory[[#This Row],[Unadj Det Value]]+Inventory[[#This Row],[Unadj Land Value]]</f>
        <v>485700</v>
      </c>
      <c r="BF402" s="36">
        <f>(Inventory[[#This Row],[Unadj Total Value]]-Inventory[[#This Row],[24Final]])/Inventory[[#This Row],[24Final]]</f>
        <v>-2.6694045174537988E-3</v>
      </c>
      <c r="BG402" s="25">
        <f>VLOOKUP(Inventory[[#This Row],[Nbhd]],Lookups!$Q$2:$T$4,4,FALSE)</f>
        <v>0.99970000000000003</v>
      </c>
      <c r="BH402" s="25">
        <f>VLOOKUP(Inventory[[#This Row],[Qlty]],Lookups!$O$7:$R$21,4,FALSE)</f>
        <v>0.98380000000000001</v>
      </c>
      <c r="BI402" s="25">
        <f>VLOOKUP(Inventory[[#This Row],[Cnd]],Lookups!$T$7:$W$16,4,FALSE)</f>
        <v>0.99650000000000005</v>
      </c>
      <c r="BJ402" s="25">
        <f>VLOOKUP(Inventory[[#This Row],[LivArea Range]],Lookups!$T$25:$W$37,4,FALSE)</f>
        <v>0.98919999999999997</v>
      </c>
      <c r="BK402" s="25">
        <f>VLOOKUP(Inventory[[#This Row],[Decade]],Lookups!$O$25:$R$42,4,FALSE)</f>
        <v>1.0199</v>
      </c>
      <c r="BL402" s="25">
        <f>Inventory[[#This Row],[Nbhd Adj]]*0.95</f>
        <v>0.94971499999999998</v>
      </c>
      <c r="BM402" s="25">
        <f>Inventory[[#This Row],[Nbhd Adj]]*Inventory[[#This Row],[Quality Adj]]*Inventory[[#This Row],[Condition Adj]]*Inventory[[#This Row],[Living Area Adj]]*Inventory[[#This Row],[Decade Adj]]*0.95</f>
        <v>0.93933200115703741</v>
      </c>
      <c r="BN402" s="25">
        <f>ROUND(SUM(Inventory[[#This Row],[Mdl Qlty]:[Mdl WdDeck]])+Inventory[[#This Row],[Mdl Res Intercept]]*Inventory[[#This Row],[Res Adj ]],-2)</f>
        <v>417600</v>
      </c>
      <c r="BO402" s="25">
        <f>ROUND(Inventory[[#This Row],[25Det]]*Inventory[[#This Row],[Det/Nbhd Adj]],-2)</f>
        <v>21000</v>
      </c>
      <c r="BP402" s="25">
        <f>Inventory[[#This Row],[Adjusted Res]]+Inventory[[#This Row],[Adj Det ]]</f>
        <v>438600</v>
      </c>
      <c r="BQ402" s="25">
        <f>ROUND((Inventory[[#This Row],[Mdl Land Intercept]]+Inventory[[#This Row],[Mdl LnAcres]])*Inventory[[#This Row],[Det/Nbhd Adj]],-2)</f>
        <v>43700</v>
      </c>
      <c r="BR402" s="25">
        <f>Inventory[[#This Row],[Adjusted Impr Total]]+Inventory[[#This Row],[Adjusted Land Total]]</f>
        <v>482300</v>
      </c>
      <c r="BS402" s="36">
        <f>IFERROR((Inventory[[#This Row],[Adjusted Impr Total]]-Inventory[[#This Row],[24Bldg]])/Inventory[[#This Row],[24Bldg]],0)</f>
        <v>4.2300380228136883E-2</v>
      </c>
      <c r="BT402" s="36">
        <f>(Inventory[[#This Row],[Adjusted Land Total]]-Inventory[[#This Row],[24Lnd]])/Inventory[[#This Row],[24Lnd]]</f>
        <v>-0.33987915407854985</v>
      </c>
      <c r="BU402" s="36">
        <f>(Inventory[[#This Row],[Adjusted Total]]-Inventory[[#This Row],[24Final]])/Inventory[[#This Row],[24Final]]</f>
        <v>-9.6509240246406575E-3</v>
      </c>
    </row>
    <row r="403" spans="1:73" x14ac:dyDescent="0.3">
      <c r="A403" s="25">
        <v>2025</v>
      </c>
      <c r="B403" s="26" t="s">
        <v>882</v>
      </c>
      <c r="C403" s="26">
        <f>LN(Inventory[[#This Row],[Acres]])</f>
        <v>-1.5141277326297755</v>
      </c>
      <c r="D403" s="25">
        <v>0.22</v>
      </c>
      <c r="E403" s="25">
        <v>9460</v>
      </c>
      <c r="F403" s="26" t="s">
        <v>537</v>
      </c>
      <c r="G403" s="26" t="s">
        <v>126</v>
      </c>
      <c r="H403" s="26" t="s">
        <v>349</v>
      </c>
      <c r="I403" s="26" t="s">
        <v>538</v>
      </c>
      <c r="J403" s="26" t="s">
        <v>539</v>
      </c>
      <c r="K403" s="26" t="s">
        <v>241</v>
      </c>
      <c r="L403" s="26" t="s">
        <v>302</v>
      </c>
      <c r="M403" s="26" t="s">
        <v>323</v>
      </c>
      <c r="N403" s="26">
        <v>70</v>
      </c>
      <c r="O403" s="26">
        <f>2024-Inventory[[#This Row],[YrBlt]]</f>
        <v>62</v>
      </c>
      <c r="P403" s="26">
        <f>2024-Inventory[[#This Row],[EffYr]]</f>
        <v>49</v>
      </c>
      <c r="Q403" s="25">
        <v>1962</v>
      </c>
      <c r="R403" s="25">
        <v>1975</v>
      </c>
      <c r="S403" s="25">
        <v>1310</v>
      </c>
      <c r="T403" s="27"/>
      <c r="U403" s="25">
        <v>1310</v>
      </c>
      <c r="V403" s="32">
        <f>Inventory[[#This Row],[Bsmt]]-Inventory[[#This Row],[FnBsmt]]</f>
        <v>0</v>
      </c>
      <c r="W403" s="32">
        <v>1310</v>
      </c>
      <c r="X403" s="27"/>
      <c r="Y403" s="27">
        <f>Inventory[[#This Row],[MainFn]]+Inventory[[#This Row],[UpprFn]]+Inventory[[#This Row],[FnBsmt]]+Inventory[[#This Row],[AddFn]]</f>
        <v>2620</v>
      </c>
      <c r="Z403" s="27">
        <v>3000</v>
      </c>
      <c r="AA403" s="25">
        <v>8</v>
      </c>
      <c r="AB403" s="31"/>
      <c r="AC403" s="27"/>
      <c r="AD403" s="31"/>
      <c r="AE403" s="27"/>
      <c r="AF403" s="27"/>
      <c r="AG403" s="27"/>
      <c r="AH403" s="27"/>
      <c r="AI403" s="25">
        <v>382515</v>
      </c>
      <c r="AJ403" s="25">
        <v>271586</v>
      </c>
      <c r="AK403" s="25">
        <v>0</v>
      </c>
      <c r="AL403" s="25">
        <v>356600</v>
      </c>
      <c r="AM403" s="25">
        <v>61700</v>
      </c>
      <c r="AN403" s="25">
        <v>294900</v>
      </c>
      <c r="AO403" s="25">
        <v>0</v>
      </c>
      <c r="AP403" s="25">
        <f>Lookups!$B$56*0</f>
        <v>0</v>
      </c>
      <c r="AQ403" s="25">
        <f>Lookups!$B$56*1</f>
        <v>89850.625589999996</v>
      </c>
      <c r="AR403" s="25">
        <f>Lookups!$B$57*Inventory[[#This Row],[LnAcres]]</f>
        <v>-47929.131559187132</v>
      </c>
      <c r="AS403" s="25">
        <f>VLOOKUP(Inventory[[#This Row],[Qlty]],Lookups!$A$62:$E$75,2,FALSE)</f>
        <v>29814.093161000001</v>
      </c>
      <c r="AT403" s="25">
        <f>VLOOKUP(Inventory[[#This Row],[Cnd]],Lookups!$A$76:$E$84,2,FALSE)</f>
        <v>160472.20319</v>
      </c>
      <c r="AU403" s="25">
        <f>Inventory[[#This Row],[EffAge]]*Lookups!$B$85</f>
        <v>-10929.2344245</v>
      </c>
      <c r="AV403" s="25">
        <f>Inventory[[#This Row],[MainFn]]*Lookups!$B$86</f>
        <v>64725.357538870005</v>
      </c>
      <c r="AW403" s="25">
        <f>Inventory[[#This Row],[UpprFn]]*Lookups!$B$87</f>
        <v>0</v>
      </c>
      <c r="AX403" s="25">
        <f>Inventory[[#This Row],[AddFn]]*Lookups!$B$88</f>
        <v>0</v>
      </c>
      <c r="AY403" s="25">
        <f>Inventory[[#This Row],[Bsmt]]*Lookups!$B$89</f>
        <v>38097.282773569998</v>
      </c>
      <c r="AZ403" s="25">
        <f>Inventory[[#This Row],[Fixtures]]*Lookups!$B$90</f>
        <v>30336.176841600001</v>
      </c>
      <c r="BA403" s="25">
        <f>Inventory[[#This Row],[WdDeck]]*Lookups!$B$91</f>
        <v>0</v>
      </c>
      <c r="BB403" s="25">
        <f>ROUND(Inventory[[#This Row],[25Det]],-2)</f>
        <v>0</v>
      </c>
      <c r="BC403" s="25">
        <f>ROUND(SUM(Inventory[[#This Row],[Mdl Qlty]:[Mdl WdDeck]])+Inventory[[#This Row],[Mdl Res Intercept]],-2)</f>
        <v>312500</v>
      </c>
      <c r="BD403" s="25">
        <f>ROUND(Inventory[[#This Row],[Mdl Land Intercept]]+Inventory[[#This Row],[Mdl LnAcres]],-2)</f>
        <v>41900</v>
      </c>
      <c r="BE403" s="25">
        <f>Inventory[[#This Row],[Unadj Res Value]]+Inventory[[#This Row],[Unadj Det Value]]+Inventory[[#This Row],[Unadj Land Value]]</f>
        <v>354400</v>
      </c>
      <c r="BF403" s="36">
        <f>(Inventory[[#This Row],[Unadj Total Value]]-Inventory[[#This Row],[24Final]])/Inventory[[#This Row],[24Final]]</f>
        <v>-6.1693774537296695E-3</v>
      </c>
      <c r="BG403" s="25">
        <f>VLOOKUP(Inventory[[#This Row],[Nbhd]],Lookups!$Q$2:$T$4,4,FALSE)</f>
        <v>0.99970000000000003</v>
      </c>
      <c r="BH403" s="25">
        <f>VLOOKUP(Inventory[[#This Row],[Qlty]],Lookups!$O$7:$R$21,4,FALSE)</f>
        <v>1.0088999999999999</v>
      </c>
      <c r="BI403" s="25">
        <f>VLOOKUP(Inventory[[#This Row],[Cnd]],Lookups!$T$7:$W$16,4,FALSE)</f>
        <v>0.99729999999999996</v>
      </c>
      <c r="BJ403" s="25">
        <f>VLOOKUP(Inventory[[#This Row],[LivArea Range]],Lookups!$T$25:$W$37,4,FALSE)</f>
        <v>0.96179999999999999</v>
      </c>
      <c r="BK403" s="25">
        <f>VLOOKUP(Inventory[[#This Row],[Decade]],Lookups!$O$25:$R$42,4,FALSE)</f>
        <v>1.0199</v>
      </c>
      <c r="BL403" s="25">
        <f>Inventory[[#This Row],[Nbhd Adj]]*0.95</f>
        <v>0.94971499999999998</v>
      </c>
      <c r="BM403" s="25">
        <f>Inventory[[#This Row],[Nbhd Adj]]*Inventory[[#This Row],[Quality Adj]]*Inventory[[#This Row],[Condition Adj]]*Inventory[[#This Row],[Living Area Adj]]*Inventory[[#This Row],[Decade Adj]]*0.95</f>
        <v>0.93736687670377261</v>
      </c>
      <c r="BN403" s="25">
        <f>ROUND(SUM(Inventory[[#This Row],[Mdl Qlty]:[Mdl WdDeck]])+Inventory[[#This Row],[Mdl Res Intercept]]*Inventory[[#This Row],[Res Adj ]],-2)</f>
        <v>312500</v>
      </c>
      <c r="BO403" s="25">
        <f>ROUND(Inventory[[#This Row],[25Det]]*Inventory[[#This Row],[Det/Nbhd Adj]],-2)</f>
        <v>0</v>
      </c>
      <c r="BP403" s="25">
        <f>Inventory[[#This Row],[Adjusted Res]]+Inventory[[#This Row],[Adj Det ]]</f>
        <v>312500</v>
      </c>
      <c r="BQ403" s="25">
        <f>ROUND((Inventory[[#This Row],[Mdl Land Intercept]]+Inventory[[#This Row],[Mdl LnAcres]])*Inventory[[#This Row],[Det/Nbhd Adj]],-2)</f>
        <v>39800</v>
      </c>
      <c r="BR403" s="25">
        <f>Inventory[[#This Row],[Adjusted Impr Total]]+Inventory[[#This Row],[Adjusted Land Total]]</f>
        <v>352300</v>
      </c>
      <c r="BS403" s="36">
        <f>IFERROR((Inventory[[#This Row],[Adjusted Impr Total]]-Inventory[[#This Row],[24Bldg]])/Inventory[[#This Row],[24Bldg]],0)</f>
        <v>5.9681247880637507E-2</v>
      </c>
      <c r="BT403" s="36">
        <f>(Inventory[[#This Row],[Adjusted Land Total]]-Inventory[[#This Row],[24Lnd]])/Inventory[[#This Row],[24Lnd]]</f>
        <v>-0.35494327390599678</v>
      </c>
      <c r="BU403" s="36">
        <f>(Inventory[[#This Row],[Adjusted Total]]-Inventory[[#This Row],[24Final]])/Inventory[[#This Row],[24Final]]</f>
        <v>-1.2058328659562535E-2</v>
      </c>
    </row>
    <row r="404" spans="1:73" x14ac:dyDescent="0.3">
      <c r="A404" s="25">
        <v>2025</v>
      </c>
      <c r="B404" s="26" t="s">
        <v>733</v>
      </c>
      <c r="C404" s="26">
        <f>LN(Inventory[[#This Row],[Acres]])</f>
        <v>-1.1711829815029451</v>
      </c>
      <c r="D404" s="25">
        <v>0.31</v>
      </c>
      <c r="E404" s="25">
        <v>13663</v>
      </c>
      <c r="F404" s="26" t="s">
        <v>537</v>
      </c>
      <c r="G404" s="26" t="s">
        <v>126</v>
      </c>
      <c r="H404" s="26" t="s">
        <v>349</v>
      </c>
      <c r="I404" s="26" t="s">
        <v>538</v>
      </c>
      <c r="J404" s="26" t="s">
        <v>539</v>
      </c>
      <c r="K404" s="26" t="s">
        <v>241</v>
      </c>
      <c r="L404" s="26" t="s">
        <v>95</v>
      </c>
      <c r="M404" s="26" t="s">
        <v>206</v>
      </c>
      <c r="N404" s="26">
        <v>70</v>
      </c>
      <c r="O404" s="26">
        <f>2024-Inventory[[#This Row],[YrBlt]]</f>
        <v>62</v>
      </c>
      <c r="P404" s="26">
        <f>2024-Inventory[[#This Row],[EffYr]]</f>
        <v>49</v>
      </c>
      <c r="Q404" s="25">
        <v>1962</v>
      </c>
      <c r="R404" s="25">
        <v>1975</v>
      </c>
      <c r="S404" s="25">
        <v>1610</v>
      </c>
      <c r="T404" s="27"/>
      <c r="U404" s="32">
        <v>800</v>
      </c>
      <c r="V404" s="32">
        <f>Inventory[[#This Row],[Bsmt]]-Inventory[[#This Row],[FnBsmt]]</f>
        <v>561</v>
      </c>
      <c r="W404" s="32">
        <v>239</v>
      </c>
      <c r="X404" s="27"/>
      <c r="Y404" s="27">
        <f>Inventory[[#This Row],[MainFn]]+Inventory[[#This Row],[UpprFn]]+Inventory[[#This Row],[FnBsmt]]+Inventory[[#This Row],[AddFn]]</f>
        <v>1849</v>
      </c>
      <c r="Z404" s="27">
        <v>2000</v>
      </c>
      <c r="AA404" s="25">
        <v>7</v>
      </c>
      <c r="AB404" s="25">
        <v>575</v>
      </c>
      <c r="AC404" s="27"/>
      <c r="AD404" s="27"/>
      <c r="AE404" s="27"/>
      <c r="AF404" s="27"/>
      <c r="AG404" s="27"/>
      <c r="AH404" s="27"/>
      <c r="AI404" s="25">
        <v>510566</v>
      </c>
      <c r="AJ404" s="25">
        <v>367608</v>
      </c>
      <c r="AK404" s="25">
        <v>0</v>
      </c>
      <c r="AL404" s="25">
        <v>386100</v>
      </c>
      <c r="AM404" s="25">
        <v>73700</v>
      </c>
      <c r="AN404" s="25">
        <v>312400</v>
      </c>
      <c r="AO404" s="25">
        <v>0</v>
      </c>
      <c r="AP404" s="25">
        <f>Lookups!$B$56*0</f>
        <v>0</v>
      </c>
      <c r="AQ404" s="25">
        <f>Lookups!$B$56*1</f>
        <v>89850.625589999996</v>
      </c>
      <c r="AR404" s="25">
        <f>Lookups!$B$57*Inventory[[#This Row],[LnAcres]]</f>
        <v>-37073.347241874442</v>
      </c>
      <c r="AS404" s="25">
        <f>VLOOKUP(Inventory[[#This Row],[Qlty]],Lookups!$A$62:$E$75,2,FALSE)</f>
        <v>74268.409664999999</v>
      </c>
      <c r="AT404" s="25">
        <f>VLOOKUP(Inventory[[#This Row],[Cnd]],Lookups!$A$76:$E$84,2,FALSE)</f>
        <v>133714.53821</v>
      </c>
      <c r="AU404" s="25">
        <f>Inventory[[#This Row],[EffAge]]*Lookups!$B$85</f>
        <v>-10929.2344245</v>
      </c>
      <c r="AV404" s="25">
        <f>Inventory[[#This Row],[MainFn]]*Lookups!$B$86</f>
        <v>79547.958501970003</v>
      </c>
      <c r="AW404" s="25">
        <f>Inventory[[#This Row],[UpprFn]]*Lookups!$B$87</f>
        <v>0</v>
      </c>
      <c r="AX404" s="25">
        <f>Inventory[[#This Row],[AddFn]]*Lookups!$B$88</f>
        <v>0</v>
      </c>
      <c r="AY404" s="25">
        <f>Inventory[[#This Row],[Bsmt]]*Lookups!$B$89</f>
        <v>23265.516197599998</v>
      </c>
      <c r="AZ404" s="25">
        <f>Inventory[[#This Row],[Fixtures]]*Lookups!$B$90</f>
        <v>26544.1547364</v>
      </c>
      <c r="BA404" s="25">
        <f>Inventory[[#This Row],[WdDeck]]*Lookups!$B$91</f>
        <v>0</v>
      </c>
      <c r="BB404" s="25">
        <f>ROUND(Inventory[[#This Row],[25Det]],-2)</f>
        <v>0</v>
      </c>
      <c r="BC404" s="25">
        <f>ROUND(SUM(Inventory[[#This Row],[Mdl Qlty]:[Mdl WdDeck]])+Inventory[[#This Row],[Mdl Res Intercept]],-2)</f>
        <v>326400</v>
      </c>
      <c r="BD404" s="25">
        <f>ROUND(Inventory[[#This Row],[Mdl Land Intercept]]+Inventory[[#This Row],[Mdl LnAcres]],-2)</f>
        <v>52800</v>
      </c>
      <c r="BE404" s="25">
        <f>Inventory[[#This Row],[Unadj Res Value]]+Inventory[[#This Row],[Unadj Det Value]]+Inventory[[#This Row],[Unadj Land Value]]</f>
        <v>379200</v>
      </c>
      <c r="BF404" s="36">
        <f>(Inventory[[#This Row],[Unadj Total Value]]-Inventory[[#This Row],[24Final]])/Inventory[[#This Row],[24Final]]</f>
        <v>-1.7871017871017872E-2</v>
      </c>
      <c r="BG404" s="25">
        <f>VLOOKUP(Inventory[[#This Row],[Nbhd]],Lookups!$Q$2:$T$4,4,FALSE)</f>
        <v>0.99970000000000003</v>
      </c>
      <c r="BH404" s="25">
        <f>VLOOKUP(Inventory[[#This Row],[Qlty]],Lookups!$O$7:$R$21,4,FALSE)</f>
        <v>0.98380000000000001</v>
      </c>
      <c r="BI404" s="25">
        <f>VLOOKUP(Inventory[[#This Row],[Cnd]],Lookups!$T$7:$W$16,4,FALSE)</f>
        <v>0.99329999999999996</v>
      </c>
      <c r="BJ404" s="25">
        <f>VLOOKUP(Inventory[[#This Row],[LivArea Range]],Lookups!$T$25:$W$37,4,FALSE)</f>
        <v>1.0093000000000001</v>
      </c>
      <c r="BK404" s="25">
        <f>VLOOKUP(Inventory[[#This Row],[Decade]],Lookups!$O$25:$R$42,4,FALSE)</f>
        <v>1.0199</v>
      </c>
      <c r="BL404" s="25">
        <f>Inventory[[#This Row],[Nbhd Adj]]*0.95</f>
        <v>0.94971499999999998</v>
      </c>
      <c r="BM404" s="25">
        <f>Inventory[[#This Row],[Nbhd Adj]]*Inventory[[#This Row],[Quality Adj]]*Inventory[[#This Row],[Condition Adj]]*Inventory[[#This Row],[Living Area Adj]]*Inventory[[#This Row],[Decade Adj]]*0.95</f>
        <v>0.95534099897868752</v>
      </c>
      <c r="BN404" s="25">
        <f>ROUND(SUM(Inventory[[#This Row],[Mdl Qlty]:[Mdl WdDeck]])+Inventory[[#This Row],[Mdl Res Intercept]]*Inventory[[#This Row],[Res Adj ]],-2)</f>
        <v>326400</v>
      </c>
      <c r="BO404" s="25">
        <f>ROUND(Inventory[[#This Row],[25Det]]*Inventory[[#This Row],[Det/Nbhd Adj]],-2)</f>
        <v>0</v>
      </c>
      <c r="BP404" s="25">
        <f>Inventory[[#This Row],[Adjusted Res]]+Inventory[[#This Row],[Adj Det ]]</f>
        <v>326400</v>
      </c>
      <c r="BQ404" s="25">
        <f>ROUND((Inventory[[#This Row],[Mdl Land Intercept]]+Inventory[[#This Row],[Mdl LnAcres]])*Inventory[[#This Row],[Det/Nbhd Adj]],-2)</f>
        <v>50100</v>
      </c>
      <c r="BR404" s="25">
        <f>Inventory[[#This Row],[Adjusted Impr Total]]+Inventory[[#This Row],[Adjusted Land Total]]</f>
        <v>376500</v>
      </c>
      <c r="BS404" s="36">
        <f>IFERROR((Inventory[[#This Row],[Adjusted Impr Total]]-Inventory[[#This Row],[24Bldg]])/Inventory[[#This Row],[24Bldg]],0)</f>
        <v>4.4814340588988477E-2</v>
      </c>
      <c r="BT404" s="36">
        <f>(Inventory[[#This Row],[Adjusted Land Total]]-Inventory[[#This Row],[24Lnd]])/Inventory[[#This Row],[24Lnd]]</f>
        <v>-0.32021709633649931</v>
      </c>
      <c r="BU404" s="36">
        <f>(Inventory[[#This Row],[Adjusted Total]]-Inventory[[#This Row],[24Final]])/Inventory[[#This Row],[24Final]]</f>
        <v>-2.4864024864024864E-2</v>
      </c>
    </row>
    <row r="405" spans="1:73" x14ac:dyDescent="0.3">
      <c r="A405" s="25">
        <v>2025</v>
      </c>
      <c r="B405" s="26" t="s">
        <v>653</v>
      </c>
      <c r="C405" s="26">
        <f>LN(Inventory[[#This Row],[Acres]])</f>
        <v>-0.89159811928378363</v>
      </c>
      <c r="D405" s="25">
        <v>0.41</v>
      </c>
      <c r="E405" s="25">
        <v>17948</v>
      </c>
      <c r="F405" s="26" t="s">
        <v>537</v>
      </c>
      <c r="G405" s="26" t="s">
        <v>126</v>
      </c>
      <c r="H405" s="26" t="s">
        <v>349</v>
      </c>
      <c r="I405" s="26" t="s">
        <v>538</v>
      </c>
      <c r="J405" s="26" t="s">
        <v>539</v>
      </c>
      <c r="K405" s="26" t="s">
        <v>241</v>
      </c>
      <c r="L405" s="26" t="s">
        <v>64</v>
      </c>
      <c r="M405" s="26" t="s">
        <v>303</v>
      </c>
      <c r="N405" s="26">
        <v>70</v>
      </c>
      <c r="O405" s="26">
        <f>2024-Inventory[[#This Row],[YrBlt]]</f>
        <v>62</v>
      </c>
      <c r="P405" s="26">
        <f>2024-Inventory[[#This Row],[EffYr]]</f>
        <v>49</v>
      </c>
      <c r="Q405" s="25">
        <v>1962</v>
      </c>
      <c r="R405" s="25">
        <v>1975</v>
      </c>
      <c r="S405" s="25">
        <v>2358</v>
      </c>
      <c r="T405" s="27"/>
      <c r="U405" s="32">
        <v>1793</v>
      </c>
      <c r="V405" s="32">
        <f>Inventory[[#This Row],[Bsmt]]-Inventory[[#This Row],[FnBsmt]]</f>
        <v>0</v>
      </c>
      <c r="W405" s="32">
        <v>1793</v>
      </c>
      <c r="X405" s="27"/>
      <c r="Y405" s="27">
        <f>Inventory[[#This Row],[MainFn]]+Inventory[[#This Row],[UpprFn]]+Inventory[[#This Row],[FnBsmt]]+Inventory[[#This Row],[AddFn]]</f>
        <v>4151</v>
      </c>
      <c r="Z405" s="27">
        <v>4500</v>
      </c>
      <c r="AA405" s="25">
        <v>12</v>
      </c>
      <c r="AB405" s="25">
        <v>1008</v>
      </c>
      <c r="AC405" s="27"/>
      <c r="AD405" s="27"/>
      <c r="AE405" s="27"/>
      <c r="AF405" s="27"/>
      <c r="AG405" s="27"/>
      <c r="AH405" s="27"/>
      <c r="AI405" s="25">
        <v>892383</v>
      </c>
      <c r="AJ405" s="25">
        <v>669287</v>
      </c>
      <c r="AK405" s="25">
        <v>0</v>
      </c>
      <c r="AL405" s="25">
        <v>645700</v>
      </c>
      <c r="AM405" s="25">
        <v>83400</v>
      </c>
      <c r="AN405" s="25">
        <v>562300</v>
      </c>
      <c r="AO405" s="25">
        <v>0</v>
      </c>
      <c r="AP405" s="25">
        <f>Lookups!$B$56*0</f>
        <v>0</v>
      </c>
      <c r="AQ405" s="25">
        <f>Lookups!$B$56*1</f>
        <v>89850.625589999996</v>
      </c>
      <c r="AR405" s="25">
        <f>Lookups!$B$57*Inventory[[#This Row],[LnAcres]]</f>
        <v>-28223.195861326454</v>
      </c>
      <c r="AS405" s="25">
        <f>VLOOKUP(Inventory[[#This Row],[Qlty]],Lookups!$A$62:$E$75,2,FALSE)</f>
        <v>163885.03753</v>
      </c>
      <c r="AT405" s="25">
        <f>VLOOKUP(Inventory[[#This Row],[Cnd]],Lookups!$A$76:$E$84,2,FALSE)</f>
        <v>197752.34721000001</v>
      </c>
      <c r="AU405" s="25">
        <f>Inventory[[#This Row],[EffAge]]*Lookups!$B$85</f>
        <v>-10929.2344245</v>
      </c>
      <c r="AV405" s="25">
        <f>Inventory[[#This Row],[MainFn]]*Lookups!$B$86</f>
        <v>116505.64356996601</v>
      </c>
      <c r="AW405" s="25">
        <f>Inventory[[#This Row],[UpprFn]]*Lookups!$B$87</f>
        <v>0</v>
      </c>
      <c r="AX405" s="25">
        <f>Inventory[[#This Row],[AddFn]]*Lookups!$B$88</f>
        <v>0</v>
      </c>
      <c r="AY405" s="25">
        <f>Inventory[[#This Row],[Bsmt]]*Lookups!$B$89</f>
        <v>52143.838177870995</v>
      </c>
      <c r="AZ405" s="25">
        <f>Inventory[[#This Row],[Fixtures]]*Lookups!$B$90</f>
        <v>45504.265262400004</v>
      </c>
      <c r="BA405" s="25">
        <f>Inventory[[#This Row],[WdDeck]]*Lookups!$B$91</f>
        <v>0</v>
      </c>
      <c r="BB405" s="25">
        <f>ROUND(Inventory[[#This Row],[25Det]],-2)</f>
        <v>0</v>
      </c>
      <c r="BC405" s="25">
        <f>ROUND(SUM(Inventory[[#This Row],[Mdl Qlty]:[Mdl WdDeck]])+Inventory[[#This Row],[Mdl Res Intercept]],-2)</f>
        <v>564900</v>
      </c>
      <c r="BD405" s="25">
        <f>ROUND(Inventory[[#This Row],[Mdl Land Intercept]]+Inventory[[#This Row],[Mdl LnAcres]],-2)</f>
        <v>61600</v>
      </c>
      <c r="BE405" s="25">
        <f>Inventory[[#This Row],[Unadj Res Value]]+Inventory[[#This Row],[Unadj Det Value]]+Inventory[[#This Row],[Unadj Land Value]]</f>
        <v>626500</v>
      </c>
      <c r="BF405" s="36">
        <f>(Inventory[[#This Row],[Unadj Total Value]]-Inventory[[#This Row],[24Final]])/Inventory[[#This Row],[24Final]]</f>
        <v>-2.9735171132104693E-2</v>
      </c>
      <c r="BG405" s="25">
        <f>VLOOKUP(Inventory[[#This Row],[Nbhd]],Lookups!$Q$2:$T$4,4,FALSE)</f>
        <v>0.99970000000000003</v>
      </c>
      <c r="BH405" s="25">
        <f>VLOOKUP(Inventory[[#This Row],[Qlty]],Lookups!$O$7:$R$21,4,FALSE)</f>
        <v>1</v>
      </c>
      <c r="BI405" s="25">
        <f>VLOOKUP(Inventory[[#This Row],[Cnd]],Lookups!$T$7:$W$16,4,FALSE)</f>
        <v>0.99650000000000005</v>
      </c>
      <c r="BJ405" s="25">
        <f>VLOOKUP(Inventory[[#This Row],[LivArea Range]],Lookups!$T$25:$W$37,4,FALSE)</f>
        <v>1</v>
      </c>
      <c r="BK405" s="25">
        <f>VLOOKUP(Inventory[[#This Row],[Decade]],Lookups!$O$25:$R$42,4,FALSE)</f>
        <v>1.0199</v>
      </c>
      <c r="BL405" s="25">
        <f>Inventory[[#This Row],[Nbhd Adj]]*0.95</f>
        <v>0.94971499999999998</v>
      </c>
      <c r="BM405" s="25">
        <f>Inventory[[#This Row],[Nbhd Adj]]*Inventory[[#This Row],[Quality Adj]]*Inventory[[#This Row],[Condition Adj]]*Inventory[[#This Row],[Living Area Adj]]*Inventory[[#This Row],[Decade Adj]]*0.95</f>
        <v>0.96522417835024987</v>
      </c>
      <c r="BN405" s="25">
        <f>ROUND(SUM(Inventory[[#This Row],[Mdl Qlty]:[Mdl WdDeck]])+Inventory[[#This Row],[Mdl Res Intercept]]*Inventory[[#This Row],[Res Adj ]],-2)</f>
        <v>564900</v>
      </c>
      <c r="BO405" s="25">
        <f>ROUND(Inventory[[#This Row],[25Det]]*Inventory[[#This Row],[Det/Nbhd Adj]],-2)</f>
        <v>0</v>
      </c>
      <c r="BP405" s="25">
        <f>Inventory[[#This Row],[Adjusted Res]]+Inventory[[#This Row],[Adj Det ]]</f>
        <v>564900</v>
      </c>
      <c r="BQ405" s="25">
        <f>ROUND((Inventory[[#This Row],[Mdl Land Intercept]]+Inventory[[#This Row],[Mdl LnAcres]])*Inventory[[#This Row],[Det/Nbhd Adj]],-2)</f>
        <v>58500</v>
      </c>
      <c r="BR405" s="25">
        <f>Inventory[[#This Row],[Adjusted Impr Total]]+Inventory[[#This Row],[Adjusted Land Total]]</f>
        <v>623400</v>
      </c>
      <c r="BS405" s="36">
        <f>IFERROR((Inventory[[#This Row],[Adjusted Impr Total]]-Inventory[[#This Row],[24Bldg]])/Inventory[[#This Row],[24Bldg]],0)</f>
        <v>4.6238662635603774E-3</v>
      </c>
      <c r="BT405" s="36">
        <f>(Inventory[[#This Row],[Adjusted Land Total]]-Inventory[[#This Row],[24Lnd]])/Inventory[[#This Row],[24Lnd]]</f>
        <v>-0.29856115107913667</v>
      </c>
      <c r="BU405" s="36">
        <f>(Inventory[[#This Row],[Adjusted Total]]-Inventory[[#This Row],[24Final]])/Inventory[[#This Row],[24Final]]</f>
        <v>-3.4536162304475759E-2</v>
      </c>
    </row>
    <row r="406" spans="1:73" x14ac:dyDescent="0.3">
      <c r="A406" s="25">
        <v>2025</v>
      </c>
      <c r="B406" s="26" t="s">
        <v>747</v>
      </c>
      <c r="C406" s="26">
        <f>LN(Inventory[[#This Row],[Acres]])</f>
        <v>-1.1394342831883648</v>
      </c>
      <c r="D406" s="25">
        <v>0.32</v>
      </c>
      <c r="E406" s="25">
        <v>14098</v>
      </c>
      <c r="F406" s="26" t="s">
        <v>537</v>
      </c>
      <c r="G406" s="26" t="s">
        <v>126</v>
      </c>
      <c r="H406" s="26" t="s">
        <v>349</v>
      </c>
      <c r="I406" s="26" t="s">
        <v>538</v>
      </c>
      <c r="J406" s="26" t="s">
        <v>539</v>
      </c>
      <c r="K406" s="26" t="s">
        <v>241</v>
      </c>
      <c r="L406" s="26" t="s">
        <v>95</v>
      </c>
      <c r="M406" s="26" t="s">
        <v>303</v>
      </c>
      <c r="N406" s="26">
        <v>70</v>
      </c>
      <c r="O406" s="26">
        <f>2024-Inventory[[#This Row],[YrBlt]]</f>
        <v>62</v>
      </c>
      <c r="P406" s="26">
        <f>2024-Inventory[[#This Row],[EffYr]]</f>
        <v>49</v>
      </c>
      <c r="Q406" s="25">
        <v>1962</v>
      </c>
      <c r="R406" s="25">
        <v>1975</v>
      </c>
      <c r="S406" s="25">
        <v>1726</v>
      </c>
      <c r="T406" s="27"/>
      <c r="U406" s="32">
        <v>1641</v>
      </c>
      <c r="V406" s="32">
        <f>Inventory[[#This Row],[Bsmt]]-Inventory[[#This Row],[FnBsmt]]</f>
        <v>105</v>
      </c>
      <c r="W406" s="32">
        <v>1536</v>
      </c>
      <c r="X406" s="27"/>
      <c r="Y406" s="27">
        <f>Inventory[[#This Row],[MainFn]]+Inventory[[#This Row],[UpprFn]]+Inventory[[#This Row],[FnBsmt]]+Inventory[[#This Row],[AddFn]]</f>
        <v>3262</v>
      </c>
      <c r="Z406" s="27">
        <v>3500</v>
      </c>
      <c r="AA406" s="25">
        <v>10</v>
      </c>
      <c r="AB406" s="25">
        <v>500</v>
      </c>
      <c r="AC406" s="27"/>
      <c r="AD406" s="31"/>
      <c r="AE406" s="27"/>
      <c r="AF406" s="27"/>
      <c r="AG406" s="27"/>
      <c r="AH406" s="27"/>
      <c r="AI406" s="25">
        <v>614662</v>
      </c>
      <c r="AJ406" s="25">
        <v>454850</v>
      </c>
      <c r="AK406" s="25">
        <v>0</v>
      </c>
      <c r="AL406" s="25">
        <v>500600</v>
      </c>
      <c r="AM406" s="25">
        <v>74800</v>
      </c>
      <c r="AN406" s="25">
        <v>425800</v>
      </c>
      <c r="AO406" s="25">
        <v>0</v>
      </c>
      <c r="AP406" s="25">
        <f>Lookups!$B$56*0</f>
        <v>0</v>
      </c>
      <c r="AQ406" s="25">
        <f>Lookups!$B$56*1</f>
        <v>89850.625589999996</v>
      </c>
      <c r="AR406" s="25">
        <f>Lookups!$B$57*Inventory[[#This Row],[LnAcres]]</f>
        <v>-36068.354396449467</v>
      </c>
      <c r="AS406" s="25">
        <f>VLOOKUP(Inventory[[#This Row],[Qlty]],Lookups!$A$62:$E$75,2,FALSE)</f>
        <v>74268.409664999999</v>
      </c>
      <c r="AT406" s="25">
        <f>VLOOKUP(Inventory[[#This Row],[Cnd]],Lookups!$A$76:$E$84,2,FALSE)</f>
        <v>197752.34721000001</v>
      </c>
      <c r="AU406" s="25">
        <f>Inventory[[#This Row],[EffAge]]*Lookups!$B$85</f>
        <v>-10929.2344245</v>
      </c>
      <c r="AV406" s="25">
        <f>Inventory[[#This Row],[MainFn]]*Lookups!$B$86</f>
        <v>85279.364207702005</v>
      </c>
      <c r="AW406" s="25">
        <f>Inventory[[#This Row],[UpprFn]]*Lookups!$B$87</f>
        <v>0</v>
      </c>
      <c r="AX406" s="25">
        <f>Inventory[[#This Row],[AddFn]]*Lookups!$B$88</f>
        <v>0</v>
      </c>
      <c r="AY406" s="25">
        <f>Inventory[[#This Row],[Bsmt]]*Lookups!$B$89</f>
        <v>47723.390100327</v>
      </c>
      <c r="AZ406" s="25">
        <f>Inventory[[#This Row],[Fixtures]]*Lookups!$B$90</f>
        <v>37920.221052000001</v>
      </c>
      <c r="BA406" s="25">
        <f>Inventory[[#This Row],[WdDeck]]*Lookups!$B$91</f>
        <v>0</v>
      </c>
      <c r="BB406" s="25">
        <f>ROUND(Inventory[[#This Row],[25Det]],-2)</f>
        <v>0</v>
      </c>
      <c r="BC406" s="25">
        <f>ROUND(SUM(Inventory[[#This Row],[Mdl Qlty]:[Mdl WdDeck]])+Inventory[[#This Row],[Mdl Res Intercept]],-2)</f>
        <v>432000</v>
      </c>
      <c r="BD406" s="25">
        <f>ROUND(Inventory[[#This Row],[Mdl Land Intercept]]+Inventory[[#This Row],[Mdl LnAcres]],-2)</f>
        <v>53800</v>
      </c>
      <c r="BE406" s="25">
        <f>Inventory[[#This Row],[Unadj Res Value]]+Inventory[[#This Row],[Unadj Det Value]]+Inventory[[#This Row],[Unadj Land Value]]</f>
        <v>485800</v>
      </c>
      <c r="BF406" s="36">
        <f>(Inventory[[#This Row],[Unadj Total Value]]-Inventory[[#This Row],[24Final]])/Inventory[[#This Row],[24Final]]</f>
        <v>-2.9564522572912505E-2</v>
      </c>
      <c r="BG406" s="25">
        <f>VLOOKUP(Inventory[[#This Row],[Nbhd]],Lookups!$Q$2:$T$4,4,FALSE)</f>
        <v>0.99970000000000003</v>
      </c>
      <c r="BH406" s="25">
        <f>VLOOKUP(Inventory[[#This Row],[Qlty]],Lookups!$O$7:$R$21,4,FALSE)</f>
        <v>0.98380000000000001</v>
      </c>
      <c r="BI406" s="25">
        <f>VLOOKUP(Inventory[[#This Row],[Cnd]],Lookups!$T$7:$W$16,4,FALSE)</f>
        <v>0.99650000000000005</v>
      </c>
      <c r="BJ406" s="25">
        <f>VLOOKUP(Inventory[[#This Row],[LivArea Range]],Lookups!$T$25:$W$37,4,FALSE)</f>
        <v>1.0126999999999999</v>
      </c>
      <c r="BK406" s="25">
        <f>VLOOKUP(Inventory[[#This Row],[Decade]],Lookups!$O$25:$R$42,4,FALSE)</f>
        <v>1.0199</v>
      </c>
      <c r="BL406" s="25">
        <f>Inventory[[#This Row],[Nbhd Adj]]*0.95</f>
        <v>0.94971499999999998</v>
      </c>
      <c r="BM406" s="25">
        <f>Inventory[[#This Row],[Nbhd Adj]]*Inventory[[#This Row],[Quality Adj]]*Inventory[[#This Row],[Condition Adj]]*Inventory[[#This Row],[Living Area Adj]]*Inventory[[#This Row],[Decade Adj]]*0.95</f>
        <v>0.96164730850357028</v>
      </c>
      <c r="BN406" s="25">
        <f>ROUND(SUM(Inventory[[#This Row],[Mdl Qlty]:[Mdl WdDeck]])+Inventory[[#This Row],[Mdl Res Intercept]]*Inventory[[#This Row],[Res Adj ]],-2)</f>
        <v>432000</v>
      </c>
      <c r="BO406" s="25">
        <f>ROUND(Inventory[[#This Row],[25Det]]*Inventory[[#This Row],[Det/Nbhd Adj]],-2)</f>
        <v>0</v>
      </c>
      <c r="BP406" s="25">
        <f>Inventory[[#This Row],[Adjusted Res]]+Inventory[[#This Row],[Adj Det ]]</f>
        <v>432000</v>
      </c>
      <c r="BQ406" s="25">
        <f>ROUND((Inventory[[#This Row],[Mdl Land Intercept]]+Inventory[[#This Row],[Mdl LnAcres]])*Inventory[[#This Row],[Det/Nbhd Adj]],-2)</f>
        <v>51100</v>
      </c>
      <c r="BR406" s="25">
        <f>Inventory[[#This Row],[Adjusted Impr Total]]+Inventory[[#This Row],[Adjusted Land Total]]</f>
        <v>483100</v>
      </c>
      <c r="BS406" s="36">
        <f>IFERROR((Inventory[[#This Row],[Adjusted Impr Total]]-Inventory[[#This Row],[24Bldg]])/Inventory[[#This Row],[24Bldg]],0)</f>
        <v>1.4560826679192109E-2</v>
      </c>
      <c r="BT406" s="36">
        <f>(Inventory[[#This Row],[Adjusted Land Total]]-Inventory[[#This Row],[24Lnd]])/Inventory[[#This Row],[24Lnd]]</f>
        <v>-0.31684491978609625</v>
      </c>
      <c r="BU406" s="36">
        <f>(Inventory[[#This Row],[Adjusted Total]]-Inventory[[#This Row],[24Final]])/Inventory[[#This Row],[24Final]]</f>
        <v>-3.495805033959249E-2</v>
      </c>
    </row>
    <row r="407" spans="1:73" x14ac:dyDescent="0.3">
      <c r="A407" s="25">
        <v>2025</v>
      </c>
      <c r="B407" s="26" t="s">
        <v>707</v>
      </c>
      <c r="C407" s="26">
        <f>LN(Inventory[[#This Row],[Acres]])</f>
        <v>-0.9942522733438669</v>
      </c>
      <c r="D407" s="25">
        <v>0.37</v>
      </c>
      <c r="E407" s="25">
        <v>16006</v>
      </c>
      <c r="F407" s="26" t="s">
        <v>537</v>
      </c>
      <c r="G407" s="26" t="s">
        <v>126</v>
      </c>
      <c r="H407" s="26" t="s">
        <v>349</v>
      </c>
      <c r="I407" s="26" t="s">
        <v>538</v>
      </c>
      <c r="J407" s="26" t="s">
        <v>539</v>
      </c>
      <c r="K407" s="26" t="s">
        <v>241</v>
      </c>
      <c r="L407" s="26" t="s">
        <v>95</v>
      </c>
      <c r="M407" s="26" t="s">
        <v>323</v>
      </c>
      <c r="N407" s="26">
        <v>70</v>
      </c>
      <c r="O407" s="26">
        <f>2024-Inventory[[#This Row],[YrBlt]]</f>
        <v>62</v>
      </c>
      <c r="P407" s="26">
        <f>2024-Inventory[[#This Row],[EffYr]]</f>
        <v>49</v>
      </c>
      <c r="Q407" s="25">
        <v>1962</v>
      </c>
      <c r="R407" s="25">
        <v>1975</v>
      </c>
      <c r="S407" s="25">
        <v>2187</v>
      </c>
      <c r="T407" s="27"/>
      <c r="U407" s="25">
        <v>2187</v>
      </c>
      <c r="V407" s="25">
        <f>Inventory[[#This Row],[Bsmt]]-Inventory[[#This Row],[FnBsmt]]</f>
        <v>660</v>
      </c>
      <c r="W407" s="25">
        <v>1527</v>
      </c>
      <c r="X407" s="27"/>
      <c r="Y407" s="27">
        <f>Inventory[[#This Row],[MainFn]]+Inventory[[#This Row],[UpprFn]]+Inventory[[#This Row],[FnBsmt]]+Inventory[[#This Row],[AddFn]]</f>
        <v>3714</v>
      </c>
      <c r="Z407" s="27">
        <v>4000</v>
      </c>
      <c r="AA407" s="25">
        <v>13</v>
      </c>
      <c r="AB407" s="25">
        <v>506</v>
      </c>
      <c r="AC407" s="27"/>
      <c r="AD407" s="32">
        <v>450</v>
      </c>
      <c r="AE407" s="27"/>
      <c r="AF407" s="27"/>
      <c r="AG407" s="27"/>
      <c r="AH407" s="27"/>
      <c r="AI407" s="25">
        <v>796478</v>
      </c>
      <c r="AJ407" s="25">
        <v>581429</v>
      </c>
      <c r="AK407" s="25">
        <v>0</v>
      </c>
      <c r="AL407" s="25">
        <v>535400</v>
      </c>
      <c r="AM407" s="25">
        <v>79900</v>
      </c>
      <c r="AN407" s="25">
        <v>455500</v>
      </c>
      <c r="AO407" s="25">
        <v>0</v>
      </c>
      <c r="AP407" s="25">
        <f>Lookups!$B$56*0</f>
        <v>0</v>
      </c>
      <c r="AQ407" s="25">
        <f>Lookups!$B$56*1</f>
        <v>89850.625589999996</v>
      </c>
      <c r="AR407" s="25">
        <f>Lookups!$B$57*Inventory[[#This Row],[LnAcres]]</f>
        <v>-31472.673662315807</v>
      </c>
      <c r="AS407" s="25">
        <f>VLOOKUP(Inventory[[#This Row],[Qlty]],Lookups!$A$62:$E$75,2,FALSE)</f>
        <v>74268.409664999999</v>
      </c>
      <c r="AT407" s="25">
        <f>VLOOKUP(Inventory[[#This Row],[Cnd]],Lookups!$A$76:$E$84,2,FALSE)</f>
        <v>160472.20319</v>
      </c>
      <c r="AU407" s="25">
        <f>Inventory[[#This Row],[EffAge]]*Lookups!$B$85</f>
        <v>-10929.2344245</v>
      </c>
      <c r="AV407" s="25">
        <f>Inventory[[#This Row],[MainFn]]*Lookups!$B$86</f>
        <v>108056.76102099901</v>
      </c>
      <c r="AW407" s="25">
        <f>Inventory[[#This Row],[UpprFn]]*Lookups!$B$87</f>
        <v>0</v>
      </c>
      <c r="AX407" s="25">
        <f>Inventory[[#This Row],[AddFn]]*Lookups!$B$88</f>
        <v>0</v>
      </c>
      <c r="AY407" s="25">
        <f>Inventory[[#This Row],[Bsmt]]*Lookups!$B$89</f>
        <v>63602.104905188993</v>
      </c>
      <c r="AZ407" s="25">
        <f>Inventory[[#This Row],[Fixtures]]*Lookups!$B$90</f>
        <v>49296.287367600002</v>
      </c>
      <c r="BA407" s="25">
        <f>Inventory[[#This Row],[WdDeck]]*Lookups!$B$91</f>
        <v>14982.981874200001</v>
      </c>
      <c r="BB407" s="25">
        <f>ROUND(Inventory[[#This Row],[25Det]],-2)</f>
        <v>0</v>
      </c>
      <c r="BC407" s="25">
        <f>ROUND(SUM(Inventory[[#This Row],[Mdl Qlty]:[Mdl WdDeck]])+Inventory[[#This Row],[Mdl Res Intercept]],-2)</f>
        <v>459700</v>
      </c>
      <c r="BD407" s="25">
        <f>ROUND(Inventory[[#This Row],[Mdl Land Intercept]]+Inventory[[#This Row],[Mdl LnAcres]],-2)</f>
        <v>58400</v>
      </c>
      <c r="BE407" s="25">
        <f>Inventory[[#This Row],[Unadj Res Value]]+Inventory[[#This Row],[Unadj Det Value]]+Inventory[[#This Row],[Unadj Land Value]]</f>
        <v>518100</v>
      </c>
      <c r="BF407" s="36">
        <f>(Inventory[[#This Row],[Unadj Total Value]]-Inventory[[#This Row],[24Final]])/Inventory[[#This Row],[24Final]]</f>
        <v>-3.2312289876727678E-2</v>
      </c>
      <c r="BG407" s="25">
        <f>VLOOKUP(Inventory[[#This Row],[Nbhd]],Lookups!$Q$2:$T$4,4,FALSE)</f>
        <v>0.99970000000000003</v>
      </c>
      <c r="BH407" s="25">
        <f>VLOOKUP(Inventory[[#This Row],[Qlty]],Lookups!$O$7:$R$21,4,FALSE)</f>
        <v>0.98380000000000001</v>
      </c>
      <c r="BI407" s="25">
        <f>VLOOKUP(Inventory[[#This Row],[Cnd]],Lookups!$T$7:$W$16,4,FALSE)</f>
        <v>0.99729999999999996</v>
      </c>
      <c r="BJ407" s="25">
        <f>VLOOKUP(Inventory[[#This Row],[LivArea Range]],Lookups!$T$25:$W$37,4,FALSE)</f>
        <v>0.94579999999999997</v>
      </c>
      <c r="BK407" s="25">
        <f>VLOOKUP(Inventory[[#This Row],[Decade]],Lookups!$O$25:$R$42,4,FALSE)</f>
        <v>1.0199</v>
      </c>
      <c r="BL407" s="25">
        <f>Inventory[[#This Row],[Nbhd Adj]]*0.95</f>
        <v>0.94971499999999998</v>
      </c>
      <c r="BM407" s="25">
        <f>Inventory[[#This Row],[Nbhd Adj]]*Inventory[[#This Row],[Quality Adj]]*Inventory[[#This Row],[Condition Adj]]*Inventory[[#This Row],[Living Area Adj]]*Inventory[[#This Row],[Decade Adj]]*0.95</f>
        <v>0.89884092112146985</v>
      </c>
      <c r="BN407" s="25">
        <f>ROUND(SUM(Inventory[[#This Row],[Mdl Qlty]:[Mdl WdDeck]])+Inventory[[#This Row],[Mdl Res Intercept]]*Inventory[[#This Row],[Res Adj ]],-2)</f>
        <v>459700</v>
      </c>
      <c r="BO407" s="25">
        <f>ROUND(Inventory[[#This Row],[25Det]]*Inventory[[#This Row],[Det/Nbhd Adj]],-2)</f>
        <v>0</v>
      </c>
      <c r="BP407" s="25">
        <f>Inventory[[#This Row],[Adjusted Res]]+Inventory[[#This Row],[Adj Det ]]</f>
        <v>459700</v>
      </c>
      <c r="BQ407" s="25">
        <f>ROUND((Inventory[[#This Row],[Mdl Land Intercept]]+Inventory[[#This Row],[Mdl LnAcres]])*Inventory[[#This Row],[Det/Nbhd Adj]],-2)</f>
        <v>55400</v>
      </c>
      <c r="BR407" s="25">
        <f>Inventory[[#This Row],[Adjusted Impr Total]]+Inventory[[#This Row],[Adjusted Land Total]]</f>
        <v>515100</v>
      </c>
      <c r="BS407" s="36">
        <f>IFERROR((Inventory[[#This Row],[Adjusted Impr Total]]-Inventory[[#This Row],[24Bldg]])/Inventory[[#This Row],[24Bldg]],0)</f>
        <v>9.2206366630076843E-3</v>
      </c>
      <c r="BT407" s="36">
        <f>(Inventory[[#This Row],[Adjusted Land Total]]-Inventory[[#This Row],[24Lnd]])/Inventory[[#This Row],[24Lnd]]</f>
        <v>-0.30663329161451813</v>
      </c>
      <c r="BU407" s="36">
        <f>(Inventory[[#This Row],[Adjusted Total]]-Inventory[[#This Row],[24Final]])/Inventory[[#This Row],[24Final]]</f>
        <v>-3.7915577138587973E-2</v>
      </c>
    </row>
    <row r="408" spans="1:73" x14ac:dyDescent="0.3">
      <c r="A408" s="25">
        <v>2025</v>
      </c>
      <c r="B408" s="26" t="s">
        <v>647</v>
      </c>
      <c r="C408" s="26">
        <f>LN(Inventory[[#This Row],[Acres]])</f>
        <v>-2.120263536200091</v>
      </c>
      <c r="D408" s="25">
        <v>0.12</v>
      </c>
      <c r="E408" s="25">
        <v>5153</v>
      </c>
      <c r="F408" s="26" t="s">
        <v>543</v>
      </c>
      <c r="G408" s="26" t="s">
        <v>544</v>
      </c>
      <c r="H408" s="26" t="s">
        <v>349</v>
      </c>
      <c r="I408" s="26" t="s">
        <v>538</v>
      </c>
      <c r="J408" s="26" t="s">
        <v>621</v>
      </c>
      <c r="K408" s="26" t="s">
        <v>592</v>
      </c>
      <c r="L408" s="26" t="s">
        <v>302</v>
      </c>
      <c r="M408" s="26" t="s">
        <v>303</v>
      </c>
      <c r="N408" s="26">
        <v>70</v>
      </c>
      <c r="O408" s="26">
        <f>2024-Inventory[[#This Row],[YrBlt]]</f>
        <v>63</v>
      </c>
      <c r="P408" s="26">
        <f>2024-Inventory[[#This Row],[EffYr]]</f>
        <v>49</v>
      </c>
      <c r="Q408" s="25">
        <v>1961</v>
      </c>
      <c r="R408" s="25">
        <v>1975</v>
      </c>
      <c r="S408" s="25">
        <v>1008</v>
      </c>
      <c r="T408" s="27"/>
      <c r="U408" s="27"/>
      <c r="V408" s="27">
        <f>Inventory[[#This Row],[Bsmt]]-Inventory[[#This Row],[FnBsmt]]</f>
        <v>0</v>
      </c>
      <c r="W408" s="27"/>
      <c r="X408" s="27"/>
      <c r="Y408" s="27">
        <f>Inventory[[#This Row],[MainFn]]+Inventory[[#This Row],[UpprFn]]+Inventory[[#This Row],[FnBsmt]]+Inventory[[#This Row],[AddFn]]</f>
        <v>1008</v>
      </c>
      <c r="Z408" s="27">
        <v>1500</v>
      </c>
      <c r="AA408" s="25">
        <v>5</v>
      </c>
      <c r="AB408" s="25">
        <v>336</v>
      </c>
      <c r="AC408" s="27"/>
      <c r="AD408" s="27"/>
      <c r="AE408" s="27"/>
      <c r="AF408" s="27"/>
      <c r="AG408" s="27"/>
      <c r="AH408" s="27"/>
      <c r="AI408" s="25">
        <v>219817</v>
      </c>
      <c r="AJ408" s="25">
        <v>158268</v>
      </c>
      <c r="AK408" s="25">
        <v>0</v>
      </c>
      <c r="AL408" s="25">
        <v>209300</v>
      </c>
      <c r="AM408" s="25">
        <v>52700</v>
      </c>
      <c r="AN408" s="25">
        <v>156600</v>
      </c>
      <c r="AO408" s="25">
        <v>0</v>
      </c>
      <c r="AP408" s="25">
        <f>Lookups!$B$56*0</f>
        <v>0</v>
      </c>
      <c r="AQ408" s="25">
        <f>Lookups!$B$56*1</f>
        <v>89850.625589999996</v>
      </c>
      <c r="AR408" s="25">
        <f>Lookups!$B$57*Inventory[[#This Row],[LnAcres]]</f>
        <v>-67116.12750806773</v>
      </c>
      <c r="AS408" s="25">
        <f>VLOOKUP(Inventory[[#This Row],[Qlty]],Lookups!$A$62:$E$75,2,FALSE)</f>
        <v>29814.093161000001</v>
      </c>
      <c r="AT408" s="25">
        <f>VLOOKUP(Inventory[[#This Row],[Cnd]],Lookups!$A$76:$E$84,2,FALSE)</f>
        <v>197752.34721000001</v>
      </c>
      <c r="AU408" s="25">
        <f>Inventory[[#This Row],[EffAge]]*Lookups!$B$85</f>
        <v>-10929.2344245</v>
      </c>
      <c r="AV408" s="25">
        <f>Inventory[[#This Row],[MainFn]]*Lookups!$B$86</f>
        <v>49803.939236015998</v>
      </c>
      <c r="AW408" s="25">
        <f>Inventory[[#This Row],[UpprFn]]*Lookups!$B$87</f>
        <v>0</v>
      </c>
      <c r="AX408" s="25">
        <f>Inventory[[#This Row],[AddFn]]*Lookups!$B$88</f>
        <v>0</v>
      </c>
      <c r="AY408" s="25">
        <f>Inventory[[#This Row],[Bsmt]]*Lookups!$B$89</f>
        <v>0</v>
      </c>
      <c r="AZ408" s="25">
        <f>Inventory[[#This Row],[Fixtures]]*Lookups!$B$90</f>
        <v>18960.110526</v>
      </c>
      <c r="BA408" s="25">
        <f>Inventory[[#This Row],[WdDeck]]*Lookups!$B$91</f>
        <v>0</v>
      </c>
      <c r="BB408" s="25">
        <f>ROUND(Inventory[[#This Row],[25Det]],-2)</f>
        <v>0</v>
      </c>
      <c r="BC408" s="25">
        <f>ROUND(SUM(Inventory[[#This Row],[Mdl Qlty]:[Mdl WdDeck]])+Inventory[[#This Row],[Mdl Res Intercept]],-2)</f>
        <v>285400</v>
      </c>
      <c r="BD408" s="25">
        <f>ROUND(Inventory[[#This Row],[Mdl Land Intercept]]+Inventory[[#This Row],[Mdl LnAcres]],-2)</f>
        <v>22700</v>
      </c>
      <c r="BE408" s="25">
        <f>Inventory[[#This Row],[Unadj Res Value]]+Inventory[[#This Row],[Unadj Det Value]]+Inventory[[#This Row],[Unadj Land Value]]</f>
        <v>308100</v>
      </c>
      <c r="BF408" s="36">
        <f>(Inventory[[#This Row],[Unadj Total Value]]-Inventory[[#This Row],[24Final]])/Inventory[[#This Row],[24Final]]</f>
        <v>0.47204968944099379</v>
      </c>
      <c r="BG408" s="25">
        <f>VLOOKUP(Inventory[[#This Row],[Nbhd]],Lookups!$Q$2:$T$4,4,FALSE)</f>
        <v>0.99970000000000003</v>
      </c>
      <c r="BH408" s="25">
        <f>VLOOKUP(Inventory[[#This Row],[Qlty]],Lookups!$O$7:$R$21,4,FALSE)</f>
        <v>1.0088999999999999</v>
      </c>
      <c r="BI408" s="25">
        <f>VLOOKUP(Inventory[[#This Row],[Cnd]],Lookups!$T$7:$W$16,4,FALSE)</f>
        <v>0.99650000000000005</v>
      </c>
      <c r="BJ408" s="25">
        <f>VLOOKUP(Inventory[[#This Row],[LivArea Range]],Lookups!$T$25:$W$37,4,FALSE)</f>
        <v>1.0157</v>
      </c>
      <c r="BK408" s="25">
        <f>VLOOKUP(Inventory[[#This Row],[Decade]],Lookups!$O$25:$R$42,4,FALSE)</f>
        <v>1.0199</v>
      </c>
      <c r="BL408" s="25">
        <f>Inventory[[#This Row],[Nbhd Adj]]*0.95</f>
        <v>0.94971499999999998</v>
      </c>
      <c r="BM408" s="25">
        <f>Inventory[[#This Row],[Nbhd Adj]]*Inventory[[#This Row],[Quality Adj]]*Inventory[[#This Row],[Condition Adj]]*Inventory[[#This Row],[Living Area Adj]]*Inventory[[#This Row],[Decade Adj]]*0.95</f>
        <v>0.98910356391210685</v>
      </c>
      <c r="BN408" s="25">
        <f>ROUND(SUM(Inventory[[#This Row],[Mdl Qlty]:[Mdl WdDeck]])+Inventory[[#This Row],[Mdl Res Intercept]]*Inventory[[#This Row],[Res Adj ]],-2)</f>
        <v>285400</v>
      </c>
      <c r="BO408" s="25">
        <f>ROUND(Inventory[[#This Row],[25Det]]*Inventory[[#This Row],[Det/Nbhd Adj]],-2)</f>
        <v>0</v>
      </c>
      <c r="BP408" s="25">
        <f>Inventory[[#This Row],[Adjusted Res]]+Inventory[[#This Row],[Adj Det ]]</f>
        <v>285400</v>
      </c>
      <c r="BQ408" s="25">
        <f>ROUND((Inventory[[#This Row],[Mdl Land Intercept]]+Inventory[[#This Row],[Mdl LnAcres]])*Inventory[[#This Row],[Det/Nbhd Adj]],-2)</f>
        <v>21600</v>
      </c>
      <c r="BR408" s="25">
        <f>Inventory[[#This Row],[Adjusted Impr Total]]+Inventory[[#This Row],[Adjusted Land Total]]</f>
        <v>307000</v>
      </c>
      <c r="BS408" s="36">
        <f>IFERROR((Inventory[[#This Row],[Adjusted Impr Total]]-Inventory[[#This Row],[24Bldg]])/Inventory[[#This Row],[24Bldg]],0)</f>
        <v>0.82247765006385698</v>
      </c>
      <c r="BT408" s="36">
        <f>(Inventory[[#This Row],[Adjusted Land Total]]-Inventory[[#This Row],[24Lnd]])/Inventory[[#This Row],[24Lnd]]</f>
        <v>-0.59013282732447814</v>
      </c>
      <c r="BU408" s="36">
        <f>(Inventory[[#This Row],[Adjusted Total]]-Inventory[[#This Row],[24Final]])/Inventory[[#This Row],[24Final]]</f>
        <v>0.46679407548972768</v>
      </c>
    </row>
    <row r="409" spans="1:73" x14ac:dyDescent="0.3">
      <c r="A409" s="25">
        <v>2025</v>
      </c>
      <c r="B409" s="26" t="s">
        <v>731</v>
      </c>
      <c r="C409" s="26">
        <f>LN(Inventory[[#This Row],[Acres]])</f>
        <v>-2.0402208285265546</v>
      </c>
      <c r="D409" s="25">
        <v>0.13</v>
      </c>
      <c r="E409" s="25">
        <v>5714</v>
      </c>
      <c r="F409" s="26" t="s">
        <v>543</v>
      </c>
      <c r="G409" s="26" t="s">
        <v>544</v>
      </c>
      <c r="H409" s="26" t="s">
        <v>349</v>
      </c>
      <c r="I409" s="26" t="s">
        <v>538</v>
      </c>
      <c r="J409" s="26" t="s">
        <v>621</v>
      </c>
      <c r="K409" s="26" t="s">
        <v>592</v>
      </c>
      <c r="L409" s="26" t="s">
        <v>302</v>
      </c>
      <c r="M409" s="26" t="s">
        <v>303</v>
      </c>
      <c r="N409" s="26">
        <v>70</v>
      </c>
      <c r="O409" s="26">
        <f>2024-Inventory[[#This Row],[YrBlt]]</f>
        <v>63</v>
      </c>
      <c r="P409" s="26">
        <f>2024-Inventory[[#This Row],[EffYr]]</f>
        <v>49</v>
      </c>
      <c r="Q409" s="25">
        <v>1961</v>
      </c>
      <c r="R409" s="25">
        <v>1975</v>
      </c>
      <c r="S409" s="25">
        <v>1064</v>
      </c>
      <c r="T409" s="27"/>
      <c r="U409" s="27"/>
      <c r="V409" s="27">
        <f>Inventory[[#This Row],[Bsmt]]-Inventory[[#This Row],[FnBsmt]]</f>
        <v>0</v>
      </c>
      <c r="W409" s="27"/>
      <c r="X409" s="27"/>
      <c r="Y409" s="27">
        <f>Inventory[[#This Row],[MainFn]]+Inventory[[#This Row],[UpprFn]]+Inventory[[#This Row],[FnBsmt]]+Inventory[[#This Row],[AddFn]]</f>
        <v>1064</v>
      </c>
      <c r="Z409" s="27">
        <v>1500</v>
      </c>
      <c r="AA409" s="25">
        <v>5</v>
      </c>
      <c r="AB409" s="32">
        <v>336</v>
      </c>
      <c r="AC409" s="31"/>
      <c r="AD409" s="32">
        <v>50</v>
      </c>
      <c r="AE409" s="27"/>
      <c r="AF409" s="27"/>
      <c r="AG409" s="27"/>
      <c r="AH409" s="27"/>
      <c r="AI409" s="25">
        <v>232019</v>
      </c>
      <c r="AJ409" s="25">
        <v>167054</v>
      </c>
      <c r="AK409" s="25">
        <v>0</v>
      </c>
      <c r="AL409" s="25">
        <v>218950</v>
      </c>
      <c r="AM409" s="25">
        <v>53750</v>
      </c>
      <c r="AN409" s="25">
        <v>165200</v>
      </c>
      <c r="AO409" s="25">
        <v>0</v>
      </c>
      <c r="AP409" s="25">
        <f>Lookups!$B$56*0</f>
        <v>0</v>
      </c>
      <c r="AQ409" s="25">
        <f>Lookups!$B$56*1</f>
        <v>89850.625589999996</v>
      </c>
      <c r="AR409" s="25">
        <f>Lookups!$B$57*Inventory[[#This Row],[LnAcres]]</f>
        <v>-64582.406353792743</v>
      </c>
      <c r="AS409" s="25">
        <f>VLOOKUP(Inventory[[#This Row],[Qlty]],Lookups!$A$62:$E$75,2,FALSE)</f>
        <v>29814.093161000001</v>
      </c>
      <c r="AT409" s="25">
        <f>VLOOKUP(Inventory[[#This Row],[Cnd]],Lookups!$A$76:$E$84,2,FALSE)</f>
        <v>197752.34721000001</v>
      </c>
      <c r="AU409" s="25">
        <f>Inventory[[#This Row],[EffAge]]*Lookups!$B$85</f>
        <v>-10929.2344245</v>
      </c>
      <c r="AV409" s="25">
        <f>Inventory[[#This Row],[MainFn]]*Lookups!$B$86</f>
        <v>52570.824749127998</v>
      </c>
      <c r="AW409" s="25">
        <f>Inventory[[#This Row],[UpprFn]]*Lookups!$B$87</f>
        <v>0</v>
      </c>
      <c r="AX409" s="25">
        <f>Inventory[[#This Row],[AddFn]]*Lookups!$B$88</f>
        <v>0</v>
      </c>
      <c r="AY409" s="25">
        <f>Inventory[[#This Row],[Bsmt]]*Lookups!$B$89</f>
        <v>0</v>
      </c>
      <c r="AZ409" s="25">
        <f>Inventory[[#This Row],[Fixtures]]*Lookups!$B$90</f>
        <v>18960.110526</v>
      </c>
      <c r="BA409" s="25">
        <f>Inventory[[#This Row],[WdDeck]]*Lookups!$B$91</f>
        <v>1664.7757638000003</v>
      </c>
      <c r="BB409" s="25">
        <f>ROUND(Inventory[[#This Row],[25Det]],-2)</f>
        <v>0</v>
      </c>
      <c r="BC409" s="25">
        <f>ROUND(SUM(Inventory[[#This Row],[Mdl Qlty]:[Mdl WdDeck]])+Inventory[[#This Row],[Mdl Res Intercept]],-2)</f>
        <v>289800</v>
      </c>
      <c r="BD409" s="25">
        <f>ROUND(Inventory[[#This Row],[Mdl Land Intercept]]+Inventory[[#This Row],[Mdl LnAcres]],-2)</f>
        <v>25300</v>
      </c>
      <c r="BE409" s="25">
        <f>Inventory[[#This Row],[Unadj Res Value]]+Inventory[[#This Row],[Unadj Det Value]]+Inventory[[#This Row],[Unadj Land Value]]</f>
        <v>315100</v>
      </c>
      <c r="BF409" s="36">
        <f>(Inventory[[#This Row],[Unadj Total Value]]-Inventory[[#This Row],[24Final]])/Inventory[[#This Row],[24Final]]</f>
        <v>0.43914135647408081</v>
      </c>
      <c r="BG409" s="25">
        <f>VLOOKUP(Inventory[[#This Row],[Nbhd]],Lookups!$Q$2:$T$4,4,FALSE)</f>
        <v>0.99970000000000003</v>
      </c>
      <c r="BH409" s="25">
        <f>VLOOKUP(Inventory[[#This Row],[Qlty]],Lookups!$O$7:$R$21,4,FALSE)</f>
        <v>1.0088999999999999</v>
      </c>
      <c r="BI409" s="25">
        <f>VLOOKUP(Inventory[[#This Row],[Cnd]],Lookups!$T$7:$W$16,4,FALSE)</f>
        <v>0.99650000000000005</v>
      </c>
      <c r="BJ409" s="25">
        <f>VLOOKUP(Inventory[[#This Row],[LivArea Range]],Lookups!$T$25:$W$37,4,FALSE)</f>
        <v>1.0157</v>
      </c>
      <c r="BK409" s="25">
        <f>VLOOKUP(Inventory[[#This Row],[Decade]],Lookups!$O$25:$R$42,4,FALSE)</f>
        <v>1.0199</v>
      </c>
      <c r="BL409" s="25">
        <f>Inventory[[#This Row],[Nbhd Adj]]*0.95</f>
        <v>0.94971499999999998</v>
      </c>
      <c r="BM409" s="25">
        <f>Inventory[[#This Row],[Nbhd Adj]]*Inventory[[#This Row],[Quality Adj]]*Inventory[[#This Row],[Condition Adj]]*Inventory[[#This Row],[Living Area Adj]]*Inventory[[#This Row],[Decade Adj]]*0.95</f>
        <v>0.98910356391210685</v>
      </c>
      <c r="BN409" s="25">
        <f>ROUND(SUM(Inventory[[#This Row],[Mdl Qlty]:[Mdl WdDeck]])+Inventory[[#This Row],[Mdl Res Intercept]]*Inventory[[#This Row],[Res Adj ]],-2)</f>
        <v>289800</v>
      </c>
      <c r="BO409" s="25">
        <f>ROUND(Inventory[[#This Row],[25Det]]*Inventory[[#This Row],[Det/Nbhd Adj]],-2)</f>
        <v>0</v>
      </c>
      <c r="BP409" s="25">
        <f>Inventory[[#This Row],[Adjusted Res]]+Inventory[[#This Row],[Adj Det ]]</f>
        <v>289800</v>
      </c>
      <c r="BQ409" s="25">
        <f>ROUND((Inventory[[#This Row],[Mdl Land Intercept]]+Inventory[[#This Row],[Mdl LnAcres]])*Inventory[[#This Row],[Det/Nbhd Adj]],-2)</f>
        <v>24000</v>
      </c>
      <c r="BR409" s="25">
        <f>Inventory[[#This Row],[Adjusted Impr Total]]+Inventory[[#This Row],[Adjusted Land Total]]</f>
        <v>313800</v>
      </c>
      <c r="BS409" s="36">
        <f>IFERROR((Inventory[[#This Row],[Adjusted Impr Total]]-Inventory[[#This Row],[24Bldg]])/Inventory[[#This Row],[24Bldg]],0)</f>
        <v>0.75423728813559321</v>
      </c>
      <c r="BT409" s="36">
        <f>(Inventory[[#This Row],[Adjusted Land Total]]-Inventory[[#This Row],[24Lnd]])/Inventory[[#This Row],[24Lnd]]</f>
        <v>-0.55348837209302326</v>
      </c>
      <c r="BU409" s="36">
        <f>(Inventory[[#This Row],[Adjusted Total]]-Inventory[[#This Row],[24Final]])/Inventory[[#This Row],[24Final]]</f>
        <v>0.4332039278374058</v>
      </c>
    </row>
    <row r="410" spans="1:73" x14ac:dyDescent="0.3">
      <c r="A410" s="25">
        <v>2025</v>
      </c>
      <c r="B410" s="26" t="s">
        <v>646</v>
      </c>
      <c r="C410" s="26">
        <f>LN(Inventory[[#This Row],[Acres]])</f>
        <v>-2.8134107167600364</v>
      </c>
      <c r="D410" s="25">
        <v>0.06</v>
      </c>
      <c r="E410" s="25">
        <v>4031</v>
      </c>
      <c r="F410" s="26" t="s">
        <v>543</v>
      </c>
      <c r="G410" s="26" t="s">
        <v>544</v>
      </c>
      <c r="H410" s="26" t="s">
        <v>349</v>
      </c>
      <c r="I410" s="26" t="s">
        <v>538</v>
      </c>
      <c r="J410" s="26" t="s">
        <v>621</v>
      </c>
      <c r="K410" s="26" t="s">
        <v>592</v>
      </c>
      <c r="L410" s="26" t="s">
        <v>302</v>
      </c>
      <c r="M410" s="26" t="s">
        <v>303</v>
      </c>
      <c r="N410" s="26">
        <v>70</v>
      </c>
      <c r="O410" s="26">
        <f>2024-Inventory[[#This Row],[YrBlt]]</f>
        <v>63</v>
      </c>
      <c r="P410" s="26">
        <f>2024-Inventory[[#This Row],[EffYr]]</f>
        <v>49</v>
      </c>
      <c r="Q410" s="25">
        <v>1961</v>
      </c>
      <c r="R410" s="25">
        <v>1975</v>
      </c>
      <c r="S410" s="25">
        <v>1008</v>
      </c>
      <c r="T410" s="27"/>
      <c r="U410" s="31"/>
      <c r="V410" s="31">
        <f>Inventory[[#This Row],[Bsmt]]-Inventory[[#This Row],[FnBsmt]]</f>
        <v>0</v>
      </c>
      <c r="W410" s="31"/>
      <c r="X410" s="27"/>
      <c r="Y410" s="27">
        <f>Inventory[[#This Row],[MainFn]]+Inventory[[#This Row],[UpprFn]]+Inventory[[#This Row],[FnBsmt]]+Inventory[[#This Row],[AddFn]]</f>
        <v>1008</v>
      </c>
      <c r="Z410" s="27">
        <v>1500</v>
      </c>
      <c r="AA410" s="25">
        <v>5</v>
      </c>
      <c r="AB410" s="32">
        <v>336</v>
      </c>
      <c r="AC410" s="31"/>
      <c r="AD410" s="27"/>
      <c r="AE410" s="27"/>
      <c r="AF410" s="27"/>
      <c r="AG410" s="27"/>
      <c r="AH410" s="27"/>
      <c r="AI410" s="25">
        <v>221057</v>
      </c>
      <c r="AJ410" s="25">
        <v>159161</v>
      </c>
      <c r="AK410" s="25">
        <v>0</v>
      </c>
      <c r="AL410" s="25">
        <v>207550</v>
      </c>
      <c r="AM410" s="25">
        <v>50150</v>
      </c>
      <c r="AN410" s="25">
        <v>157400</v>
      </c>
      <c r="AO410" s="25">
        <v>0</v>
      </c>
      <c r="AP410" s="25">
        <f>Lookups!$B$56*0</f>
        <v>0</v>
      </c>
      <c r="AQ410" s="25">
        <f>Lookups!$B$56*1</f>
        <v>89850.625589999996</v>
      </c>
      <c r="AR410" s="25">
        <f>Lookups!$B$57*Inventory[[#This Row],[LnAcres]]</f>
        <v>-89057.435160650348</v>
      </c>
      <c r="AS410" s="25">
        <f>VLOOKUP(Inventory[[#This Row],[Qlty]],Lookups!$A$62:$E$75,2,FALSE)</f>
        <v>29814.093161000001</v>
      </c>
      <c r="AT410" s="25">
        <f>VLOOKUP(Inventory[[#This Row],[Cnd]],Lookups!$A$76:$E$84,2,FALSE)</f>
        <v>197752.34721000001</v>
      </c>
      <c r="AU410" s="25">
        <f>Inventory[[#This Row],[EffAge]]*Lookups!$B$85</f>
        <v>-10929.2344245</v>
      </c>
      <c r="AV410" s="25">
        <f>Inventory[[#This Row],[MainFn]]*Lookups!$B$86</f>
        <v>49803.939236015998</v>
      </c>
      <c r="AW410" s="25">
        <f>Inventory[[#This Row],[UpprFn]]*Lookups!$B$87</f>
        <v>0</v>
      </c>
      <c r="AX410" s="25">
        <f>Inventory[[#This Row],[AddFn]]*Lookups!$B$88</f>
        <v>0</v>
      </c>
      <c r="AY410" s="25">
        <f>Inventory[[#This Row],[Bsmt]]*Lookups!$B$89</f>
        <v>0</v>
      </c>
      <c r="AZ410" s="25">
        <f>Inventory[[#This Row],[Fixtures]]*Lookups!$B$90</f>
        <v>18960.110526</v>
      </c>
      <c r="BA410" s="25">
        <f>Inventory[[#This Row],[WdDeck]]*Lookups!$B$91</f>
        <v>0</v>
      </c>
      <c r="BB410" s="25">
        <f>ROUND(Inventory[[#This Row],[25Det]],-2)</f>
        <v>0</v>
      </c>
      <c r="BC410" s="25">
        <f>ROUND(SUM(Inventory[[#This Row],[Mdl Qlty]:[Mdl WdDeck]])+Inventory[[#This Row],[Mdl Res Intercept]],-2)</f>
        <v>285400</v>
      </c>
      <c r="BD410" s="25">
        <f>ROUND(Inventory[[#This Row],[Mdl Land Intercept]]+Inventory[[#This Row],[Mdl LnAcres]],-2)</f>
        <v>800</v>
      </c>
      <c r="BE410" s="25">
        <f>Inventory[[#This Row],[Unadj Res Value]]+Inventory[[#This Row],[Unadj Det Value]]+Inventory[[#This Row],[Unadj Land Value]]</f>
        <v>286200</v>
      </c>
      <c r="BF410" s="36">
        <f>(Inventory[[#This Row],[Unadj Total Value]]-Inventory[[#This Row],[24Final]])/Inventory[[#This Row],[24Final]]</f>
        <v>0.37894483257046496</v>
      </c>
      <c r="BG410" s="25">
        <f>VLOOKUP(Inventory[[#This Row],[Nbhd]],Lookups!$Q$2:$T$4,4,FALSE)</f>
        <v>0.99970000000000003</v>
      </c>
      <c r="BH410" s="25">
        <f>VLOOKUP(Inventory[[#This Row],[Qlty]],Lookups!$O$7:$R$21,4,FALSE)</f>
        <v>1.0088999999999999</v>
      </c>
      <c r="BI410" s="25">
        <f>VLOOKUP(Inventory[[#This Row],[Cnd]],Lookups!$T$7:$W$16,4,FALSE)</f>
        <v>0.99650000000000005</v>
      </c>
      <c r="BJ410" s="25">
        <f>VLOOKUP(Inventory[[#This Row],[LivArea Range]],Lookups!$T$25:$W$37,4,FALSE)</f>
        <v>1.0157</v>
      </c>
      <c r="BK410" s="25">
        <f>VLOOKUP(Inventory[[#This Row],[Decade]],Lookups!$O$25:$R$42,4,FALSE)</f>
        <v>1.0199</v>
      </c>
      <c r="BL410" s="25">
        <f>Inventory[[#This Row],[Nbhd Adj]]*0.95</f>
        <v>0.94971499999999998</v>
      </c>
      <c r="BM410" s="25">
        <f>Inventory[[#This Row],[Nbhd Adj]]*Inventory[[#This Row],[Quality Adj]]*Inventory[[#This Row],[Condition Adj]]*Inventory[[#This Row],[Living Area Adj]]*Inventory[[#This Row],[Decade Adj]]*0.95</f>
        <v>0.98910356391210685</v>
      </c>
      <c r="BN410" s="25">
        <f>ROUND(SUM(Inventory[[#This Row],[Mdl Qlty]:[Mdl WdDeck]])+Inventory[[#This Row],[Mdl Res Intercept]]*Inventory[[#This Row],[Res Adj ]],-2)</f>
        <v>285400</v>
      </c>
      <c r="BO410" s="25">
        <f>ROUND(Inventory[[#This Row],[25Det]]*Inventory[[#This Row],[Det/Nbhd Adj]],-2)</f>
        <v>0</v>
      </c>
      <c r="BP410" s="25">
        <f>Inventory[[#This Row],[Adjusted Res]]+Inventory[[#This Row],[Adj Det ]]</f>
        <v>285400</v>
      </c>
      <c r="BQ410" s="25">
        <f>ROUND((Inventory[[#This Row],[Mdl Land Intercept]]+Inventory[[#This Row],[Mdl LnAcres]])*Inventory[[#This Row],[Det/Nbhd Adj]],-2)</f>
        <v>800</v>
      </c>
      <c r="BR410" s="25">
        <f>Inventory[[#This Row],[Adjusted Impr Total]]+Inventory[[#This Row],[Adjusted Land Total]]</f>
        <v>286200</v>
      </c>
      <c r="BS410" s="36">
        <f>IFERROR((Inventory[[#This Row],[Adjusted Impr Total]]-Inventory[[#This Row],[24Bldg]])/Inventory[[#This Row],[24Bldg]],0)</f>
        <v>0.81321473951715373</v>
      </c>
      <c r="BT410" s="36">
        <f>(Inventory[[#This Row],[Adjusted Land Total]]-Inventory[[#This Row],[24Lnd]])/Inventory[[#This Row],[24Lnd]]</f>
        <v>-0.98404785643070791</v>
      </c>
      <c r="BU410" s="36">
        <f>(Inventory[[#This Row],[Adjusted Total]]-Inventory[[#This Row],[24Final]])/Inventory[[#This Row],[24Final]]</f>
        <v>0.37894483257046496</v>
      </c>
    </row>
    <row r="411" spans="1:73" x14ac:dyDescent="0.3">
      <c r="A411" s="25">
        <v>2025</v>
      </c>
      <c r="B411" s="26" t="s">
        <v>1232</v>
      </c>
      <c r="C411" s="26">
        <f>LN(Inventory[[#This Row],[Acres]])</f>
        <v>-1.7147984280919266</v>
      </c>
      <c r="D411" s="25">
        <v>0.18</v>
      </c>
      <c r="E411" s="25">
        <v>7800</v>
      </c>
      <c r="F411" s="26" t="s">
        <v>537</v>
      </c>
      <c r="G411" s="26" t="s">
        <v>126</v>
      </c>
      <c r="H411" s="26" t="s">
        <v>349</v>
      </c>
      <c r="I411" s="26" t="s">
        <v>538</v>
      </c>
      <c r="J411" s="26" t="s">
        <v>539</v>
      </c>
      <c r="K411" s="26" t="s">
        <v>241</v>
      </c>
      <c r="L411" s="26" t="s">
        <v>351</v>
      </c>
      <c r="M411" s="26" t="s">
        <v>352</v>
      </c>
      <c r="N411" s="26">
        <v>70</v>
      </c>
      <c r="O411" s="26">
        <f>2024-Inventory[[#This Row],[YrBlt]]</f>
        <v>63</v>
      </c>
      <c r="P411" s="26">
        <f>2024-Inventory[[#This Row],[EffYr]]</f>
        <v>49</v>
      </c>
      <c r="Q411" s="25">
        <v>1961</v>
      </c>
      <c r="R411" s="25">
        <v>1975</v>
      </c>
      <c r="S411" s="25">
        <v>1324</v>
      </c>
      <c r="T411" s="27"/>
      <c r="U411" s="31"/>
      <c r="V411" s="31">
        <f>Inventory[[#This Row],[Bsmt]]-Inventory[[#This Row],[FnBsmt]]</f>
        <v>0</v>
      </c>
      <c r="W411" s="31"/>
      <c r="X411" s="27"/>
      <c r="Y411" s="27">
        <f>Inventory[[#This Row],[MainFn]]+Inventory[[#This Row],[UpprFn]]+Inventory[[#This Row],[FnBsmt]]+Inventory[[#This Row],[AddFn]]</f>
        <v>1324</v>
      </c>
      <c r="Z411" s="27">
        <v>1500</v>
      </c>
      <c r="AA411" s="25">
        <v>8</v>
      </c>
      <c r="AB411" s="25">
        <v>336</v>
      </c>
      <c r="AC411" s="31"/>
      <c r="AD411" s="31"/>
      <c r="AE411" s="27"/>
      <c r="AF411" s="27"/>
      <c r="AG411" s="27"/>
      <c r="AH411" s="27"/>
      <c r="AI411" s="25">
        <v>247872</v>
      </c>
      <c r="AJ411" s="25">
        <v>183425</v>
      </c>
      <c r="AK411" s="25">
        <v>0</v>
      </c>
      <c r="AL411" s="25">
        <v>355200</v>
      </c>
      <c r="AM411" s="25">
        <v>54700</v>
      </c>
      <c r="AN411" s="25">
        <v>300500</v>
      </c>
      <c r="AO411" s="25">
        <v>0</v>
      </c>
      <c r="AP411" s="25">
        <f>Lookups!$B$56*0</f>
        <v>0</v>
      </c>
      <c r="AQ411" s="25">
        <f>Lookups!$B$56*1</f>
        <v>89850.625589999996</v>
      </c>
      <c r="AR411" s="25">
        <f>Lookups!$B$57*Inventory[[#This Row],[LnAcres]]</f>
        <v>-54281.285314520763</v>
      </c>
      <c r="AS411" s="25">
        <f>VLOOKUP(Inventory[[#This Row],[Qlty]],Lookups!$A$62:$E$75,2,FALSE)</f>
        <v>21557.329055999999</v>
      </c>
      <c r="AT411" s="25">
        <f>VLOOKUP(Inventory[[#This Row],[Cnd]],Lookups!$A$76:$E$84,2,FALSE)</f>
        <v>284810.60806</v>
      </c>
      <c r="AU411" s="25">
        <f>Inventory[[#This Row],[EffAge]]*Lookups!$B$85</f>
        <v>-10929.2344245</v>
      </c>
      <c r="AV411" s="25">
        <f>Inventory[[#This Row],[MainFn]]*Lookups!$B$86</f>
        <v>65417.078917147999</v>
      </c>
      <c r="AW411" s="25">
        <f>Inventory[[#This Row],[UpprFn]]*Lookups!$B$87</f>
        <v>0</v>
      </c>
      <c r="AX411" s="25">
        <f>Inventory[[#This Row],[AddFn]]*Lookups!$B$88</f>
        <v>0</v>
      </c>
      <c r="AY411" s="25">
        <f>Inventory[[#This Row],[Bsmt]]*Lookups!$B$89</f>
        <v>0</v>
      </c>
      <c r="AZ411" s="25">
        <f>Inventory[[#This Row],[Fixtures]]*Lookups!$B$90</f>
        <v>30336.176841600001</v>
      </c>
      <c r="BA411" s="25">
        <f>Inventory[[#This Row],[WdDeck]]*Lookups!$B$91</f>
        <v>0</v>
      </c>
      <c r="BB411" s="25">
        <f>ROUND(Inventory[[#This Row],[25Det]],-2)</f>
        <v>0</v>
      </c>
      <c r="BC411" s="25">
        <f>ROUND(SUM(Inventory[[#This Row],[Mdl Qlty]:[Mdl WdDeck]])+Inventory[[#This Row],[Mdl Res Intercept]],-2)</f>
        <v>391200</v>
      </c>
      <c r="BD411" s="25">
        <f>ROUND(Inventory[[#This Row],[Mdl Land Intercept]]+Inventory[[#This Row],[Mdl LnAcres]],-2)</f>
        <v>35600</v>
      </c>
      <c r="BE411" s="25">
        <f>Inventory[[#This Row],[Unadj Res Value]]+Inventory[[#This Row],[Unadj Det Value]]+Inventory[[#This Row],[Unadj Land Value]]</f>
        <v>426800</v>
      </c>
      <c r="BF411" s="36">
        <f>(Inventory[[#This Row],[Unadj Total Value]]-Inventory[[#This Row],[24Final]])/Inventory[[#This Row],[24Final]]</f>
        <v>0.20157657657657657</v>
      </c>
      <c r="BG411" s="25">
        <f>VLOOKUP(Inventory[[#This Row],[Nbhd]],Lookups!$Q$2:$T$4,4,FALSE)</f>
        <v>0.99970000000000003</v>
      </c>
      <c r="BH411" s="25">
        <f>VLOOKUP(Inventory[[#This Row],[Qlty]],Lookups!$O$7:$R$21,4,FALSE)</f>
        <v>1.0067999999999999</v>
      </c>
      <c r="BI411" s="25">
        <f>VLOOKUP(Inventory[[#This Row],[Cnd]],Lookups!$T$7:$W$16,4,FALSE)</f>
        <v>1.0158</v>
      </c>
      <c r="BJ411" s="25">
        <f>VLOOKUP(Inventory[[#This Row],[LivArea Range]],Lookups!$T$25:$W$37,4,FALSE)</f>
        <v>1.0157</v>
      </c>
      <c r="BK411" s="25">
        <f>VLOOKUP(Inventory[[#This Row],[Decade]],Lookups!$O$25:$R$42,4,FALSE)</f>
        <v>1.0199</v>
      </c>
      <c r="BL411" s="25">
        <f>Inventory[[#This Row],[Nbhd Adj]]*0.95</f>
        <v>0.94971499999999998</v>
      </c>
      <c r="BM411" s="25">
        <f>Inventory[[#This Row],[Nbhd Adj]]*Inventory[[#This Row],[Quality Adj]]*Inventory[[#This Row],[Condition Adj]]*Inventory[[#This Row],[Living Area Adj]]*Inventory[[#This Row],[Decade Adj]]*0.95</f>
        <v>1.0061616428074407</v>
      </c>
      <c r="BN411" s="25">
        <f>ROUND(SUM(Inventory[[#This Row],[Mdl Qlty]:[Mdl WdDeck]])+Inventory[[#This Row],[Mdl Res Intercept]]*Inventory[[#This Row],[Res Adj ]],-2)</f>
        <v>391200</v>
      </c>
      <c r="BO411" s="25">
        <f>ROUND(Inventory[[#This Row],[25Det]]*Inventory[[#This Row],[Det/Nbhd Adj]],-2)</f>
        <v>0</v>
      </c>
      <c r="BP411" s="25">
        <f>Inventory[[#This Row],[Adjusted Res]]+Inventory[[#This Row],[Adj Det ]]</f>
        <v>391200</v>
      </c>
      <c r="BQ411" s="25">
        <f>ROUND((Inventory[[#This Row],[Mdl Land Intercept]]+Inventory[[#This Row],[Mdl LnAcres]])*Inventory[[#This Row],[Det/Nbhd Adj]],-2)</f>
        <v>33800</v>
      </c>
      <c r="BR411" s="25">
        <f>Inventory[[#This Row],[Adjusted Impr Total]]+Inventory[[#This Row],[Adjusted Land Total]]</f>
        <v>425000</v>
      </c>
      <c r="BS411" s="36">
        <f>IFERROR((Inventory[[#This Row],[Adjusted Impr Total]]-Inventory[[#This Row],[24Bldg]])/Inventory[[#This Row],[24Bldg]],0)</f>
        <v>0.30183028286189684</v>
      </c>
      <c r="BT411" s="36">
        <f>(Inventory[[#This Row],[Adjusted Land Total]]-Inventory[[#This Row],[24Lnd]])/Inventory[[#This Row],[24Lnd]]</f>
        <v>-0.38208409506398539</v>
      </c>
      <c r="BU411" s="36">
        <f>(Inventory[[#This Row],[Adjusted Total]]-Inventory[[#This Row],[24Final]])/Inventory[[#This Row],[24Final]]</f>
        <v>0.196509009009009</v>
      </c>
    </row>
    <row r="412" spans="1:73" x14ac:dyDescent="0.3">
      <c r="A412" s="25">
        <v>2025</v>
      </c>
      <c r="B412" s="26" t="s">
        <v>2805</v>
      </c>
      <c r="C412" s="26">
        <f>LN(Inventory[[#This Row],[Acres]])</f>
        <v>-1.8971199848858813</v>
      </c>
      <c r="D412" s="25">
        <v>0.15</v>
      </c>
      <c r="E412" s="31"/>
      <c r="F412" s="26" t="s">
        <v>537</v>
      </c>
      <c r="G412" s="26" t="s">
        <v>126</v>
      </c>
      <c r="H412" s="26" t="s">
        <v>349</v>
      </c>
      <c r="I412" s="26" t="s">
        <v>538</v>
      </c>
      <c r="J412" s="26" t="s">
        <v>539</v>
      </c>
      <c r="K412" s="26" t="s">
        <v>350</v>
      </c>
      <c r="L412" s="26" t="s">
        <v>302</v>
      </c>
      <c r="M412" s="26" t="s">
        <v>323</v>
      </c>
      <c r="N412" s="26">
        <v>70</v>
      </c>
      <c r="O412" s="26">
        <f>2024-Inventory[[#This Row],[YrBlt]]</f>
        <v>63</v>
      </c>
      <c r="P412" s="26">
        <f>2024-Inventory[[#This Row],[EffYr]]</f>
        <v>49</v>
      </c>
      <c r="Q412" s="25">
        <v>1961</v>
      </c>
      <c r="R412" s="25">
        <v>1975</v>
      </c>
      <c r="S412" s="25">
        <v>1260</v>
      </c>
      <c r="T412" s="27"/>
      <c r="U412" s="32">
        <v>672</v>
      </c>
      <c r="V412" s="32">
        <f>Inventory[[#This Row],[Bsmt]]-Inventory[[#This Row],[FnBsmt]]</f>
        <v>0</v>
      </c>
      <c r="W412" s="32">
        <v>672</v>
      </c>
      <c r="X412" s="27"/>
      <c r="Y412" s="27">
        <f>Inventory[[#This Row],[MainFn]]+Inventory[[#This Row],[UpprFn]]+Inventory[[#This Row],[FnBsmt]]+Inventory[[#This Row],[AddFn]]</f>
        <v>1932</v>
      </c>
      <c r="Z412" s="27">
        <v>2000</v>
      </c>
      <c r="AA412" s="25">
        <v>8</v>
      </c>
      <c r="AB412" s="25">
        <v>480</v>
      </c>
      <c r="AC412" s="27"/>
      <c r="AD412" s="32">
        <v>208</v>
      </c>
      <c r="AE412" s="27"/>
      <c r="AF412" s="27"/>
      <c r="AG412" s="27"/>
      <c r="AH412" s="27"/>
      <c r="AI412" s="25">
        <v>355461</v>
      </c>
      <c r="AJ412" s="25">
        <v>252377</v>
      </c>
      <c r="AK412" s="25">
        <v>0</v>
      </c>
      <c r="AL412" s="25">
        <v>312300</v>
      </c>
      <c r="AM412" s="25">
        <v>48400</v>
      </c>
      <c r="AN412" s="25">
        <v>263900</v>
      </c>
      <c r="AO412" s="25">
        <v>0</v>
      </c>
      <c r="AP412" s="25">
        <f>Lookups!$B$56*0</f>
        <v>0</v>
      </c>
      <c r="AQ412" s="25">
        <f>Lookups!$B$56*1</f>
        <v>89850.625589999996</v>
      </c>
      <c r="AR412" s="25">
        <f>Lookups!$B$57*Inventory[[#This Row],[LnAcres]]</f>
        <v>-60052.604136134301</v>
      </c>
      <c r="AS412" s="25">
        <f>VLOOKUP(Inventory[[#This Row],[Qlty]],Lookups!$A$62:$E$75,2,FALSE)</f>
        <v>29814.093161000001</v>
      </c>
      <c r="AT412" s="25">
        <f>VLOOKUP(Inventory[[#This Row],[Cnd]],Lookups!$A$76:$E$84,2,FALSE)</f>
        <v>160472.20319</v>
      </c>
      <c r="AU412" s="25">
        <f>Inventory[[#This Row],[EffAge]]*Lookups!$B$85</f>
        <v>-10929.2344245</v>
      </c>
      <c r="AV412" s="25">
        <f>Inventory[[#This Row],[MainFn]]*Lookups!$B$86</f>
        <v>62254.924045020001</v>
      </c>
      <c r="AW412" s="25">
        <f>Inventory[[#This Row],[UpprFn]]*Lookups!$B$87</f>
        <v>0</v>
      </c>
      <c r="AX412" s="25">
        <f>Inventory[[#This Row],[AddFn]]*Lookups!$B$88</f>
        <v>0</v>
      </c>
      <c r="AY412" s="25">
        <f>Inventory[[#This Row],[Bsmt]]*Lookups!$B$89</f>
        <v>19543.033605983997</v>
      </c>
      <c r="AZ412" s="25">
        <f>Inventory[[#This Row],[Fixtures]]*Lookups!$B$90</f>
        <v>30336.176841600001</v>
      </c>
      <c r="BA412" s="25">
        <f>Inventory[[#This Row],[WdDeck]]*Lookups!$B$91</f>
        <v>6925.4671774080007</v>
      </c>
      <c r="BB412" s="25">
        <f>ROUND(Inventory[[#This Row],[25Det]],-2)</f>
        <v>0</v>
      </c>
      <c r="BC412" s="25">
        <f>ROUND(SUM(Inventory[[#This Row],[Mdl Qlty]:[Mdl WdDeck]])+Inventory[[#This Row],[Mdl Res Intercept]],-2)</f>
        <v>298400</v>
      </c>
      <c r="BD412" s="25">
        <f>ROUND(Inventory[[#This Row],[Mdl Land Intercept]]+Inventory[[#This Row],[Mdl LnAcres]],-2)</f>
        <v>29800</v>
      </c>
      <c r="BE412" s="25">
        <f>Inventory[[#This Row],[Unadj Res Value]]+Inventory[[#This Row],[Unadj Det Value]]+Inventory[[#This Row],[Unadj Land Value]]</f>
        <v>328200</v>
      </c>
      <c r="BF412" s="36">
        <f>(Inventory[[#This Row],[Unadj Total Value]]-Inventory[[#This Row],[24Final]])/Inventory[[#This Row],[24Final]]</f>
        <v>5.0912584053794431E-2</v>
      </c>
      <c r="BG412" s="25">
        <f>VLOOKUP(Inventory[[#This Row],[Nbhd]],Lookups!$Q$2:$T$4,4,FALSE)</f>
        <v>0.99970000000000003</v>
      </c>
      <c r="BH412" s="25">
        <f>VLOOKUP(Inventory[[#This Row],[Qlty]],Lookups!$O$7:$R$21,4,FALSE)</f>
        <v>1.0088999999999999</v>
      </c>
      <c r="BI412" s="25">
        <f>VLOOKUP(Inventory[[#This Row],[Cnd]],Lookups!$T$7:$W$16,4,FALSE)</f>
        <v>0.99729999999999996</v>
      </c>
      <c r="BJ412" s="25">
        <f>VLOOKUP(Inventory[[#This Row],[LivArea Range]],Lookups!$T$25:$W$37,4,FALSE)</f>
        <v>1.0093000000000001</v>
      </c>
      <c r="BK412" s="25">
        <f>VLOOKUP(Inventory[[#This Row],[Decade]],Lookups!$O$25:$R$42,4,FALSE)</f>
        <v>1.0199</v>
      </c>
      <c r="BL412" s="25">
        <f>Inventory[[#This Row],[Nbhd Adj]]*0.95</f>
        <v>0.94971499999999998</v>
      </c>
      <c r="BM412" s="25">
        <f>Inventory[[#This Row],[Nbhd Adj]]*Inventory[[#This Row],[Quality Adj]]*Inventory[[#This Row],[Condition Adj]]*Inventory[[#This Row],[Living Area Adj]]*Inventory[[#This Row],[Decade Adj]]*0.95</f>
        <v>0.98366020862665582</v>
      </c>
      <c r="BN412" s="25">
        <f>ROUND(SUM(Inventory[[#This Row],[Mdl Qlty]:[Mdl WdDeck]])+Inventory[[#This Row],[Mdl Res Intercept]]*Inventory[[#This Row],[Res Adj ]],-2)</f>
        <v>298400</v>
      </c>
      <c r="BO412" s="25">
        <f>ROUND(Inventory[[#This Row],[25Det]]*Inventory[[#This Row],[Det/Nbhd Adj]],-2)</f>
        <v>0</v>
      </c>
      <c r="BP412" s="25">
        <f>Inventory[[#This Row],[Adjusted Res]]+Inventory[[#This Row],[Adj Det ]]</f>
        <v>298400</v>
      </c>
      <c r="BQ412" s="25">
        <f>ROUND((Inventory[[#This Row],[Mdl Land Intercept]]+Inventory[[#This Row],[Mdl LnAcres]])*Inventory[[#This Row],[Det/Nbhd Adj]],-2)</f>
        <v>28300</v>
      </c>
      <c r="BR412" s="25">
        <f>Inventory[[#This Row],[Adjusted Impr Total]]+Inventory[[#This Row],[Adjusted Land Total]]</f>
        <v>326700</v>
      </c>
      <c r="BS412" s="36">
        <f>IFERROR((Inventory[[#This Row],[Adjusted Impr Total]]-Inventory[[#This Row],[24Bldg]])/Inventory[[#This Row],[24Bldg]],0)</f>
        <v>0.13073133762788935</v>
      </c>
      <c r="BT412" s="36">
        <f>(Inventory[[#This Row],[Adjusted Land Total]]-Inventory[[#This Row],[24Lnd]])/Inventory[[#This Row],[24Lnd]]</f>
        <v>-0.41528925619834711</v>
      </c>
      <c r="BU412" s="36">
        <f>(Inventory[[#This Row],[Adjusted Total]]-Inventory[[#This Row],[24Final]])/Inventory[[#This Row],[24Final]]</f>
        <v>4.6109510086455328E-2</v>
      </c>
    </row>
    <row r="413" spans="1:73" x14ac:dyDescent="0.3">
      <c r="A413" s="25">
        <v>2025</v>
      </c>
      <c r="B413" s="26" t="s">
        <v>791</v>
      </c>
      <c r="C413" s="26">
        <f>LN(Inventory[[#This Row],[Acres]])</f>
        <v>-1.4271163556401458</v>
      </c>
      <c r="D413" s="25">
        <v>0.24</v>
      </c>
      <c r="E413" s="25">
        <v>10529</v>
      </c>
      <c r="F413" s="26" t="s">
        <v>537</v>
      </c>
      <c r="G413" s="26" t="s">
        <v>126</v>
      </c>
      <c r="H413" s="26" t="s">
        <v>349</v>
      </c>
      <c r="I413" s="26" t="s">
        <v>538</v>
      </c>
      <c r="J413" s="26" t="s">
        <v>539</v>
      </c>
      <c r="K413" s="26" t="s">
        <v>241</v>
      </c>
      <c r="L413" s="26" t="s">
        <v>148</v>
      </c>
      <c r="M413" s="26" t="s">
        <v>303</v>
      </c>
      <c r="N413" s="26">
        <v>70</v>
      </c>
      <c r="O413" s="26">
        <f>2024-Inventory[[#This Row],[YrBlt]]</f>
        <v>63</v>
      </c>
      <c r="P413" s="26">
        <f>2024-Inventory[[#This Row],[EffYr]]</f>
        <v>49</v>
      </c>
      <c r="Q413" s="25">
        <v>1961</v>
      </c>
      <c r="R413" s="25">
        <v>1975</v>
      </c>
      <c r="S413" s="25">
        <v>1200</v>
      </c>
      <c r="T413" s="27"/>
      <c r="U413" s="31"/>
      <c r="V413" s="31">
        <f>Inventory[[#This Row],[Bsmt]]-Inventory[[#This Row],[FnBsmt]]</f>
        <v>0</v>
      </c>
      <c r="W413" s="31"/>
      <c r="X413" s="27"/>
      <c r="Y413" s="27">
        <f>Inventory[[#This Row],[MainFn]]+Inventory[[#This Row],[UpprFn]]+Inventory[[#This Row],[FnBsmt]]+Inventory[[#This Row],[AddFn]]</f>
        <v>1200</v>
      </c>
      <c r="Z413" s="27">
        <v>1500</v>
      </c>
      <c r="AA413" s="25">
        <v>7</v>
      </c>
      <c r="AB413" s="27"/>
      <c r="AC413" s="31"/>
      <c r="AD413" s="31"/>
      <c r="AE413" s="27"/>
      <c r="AF413" s="27"/>
      <c r="AG413" s="27"/>
      <c r="AH413" s="27"/>
      <c r="AI413" s="25">
        <v>346888</v>
      </c>
      <c r="AJ413" s="25">
        <v>249759</v>
      </c>
      <c r="AK413" s="25">
        <v>0</v>
      </c>
      <c r="AL413" s="25">
        <v>344000</v>
      </c>
      <c r="AM413" s="25">
        <v>64800</v>
      </c>
      <c r="AN413" s="25">
        <v>279200</v>
      </c>
      <c r="AO413" s="25">
        <v>0</v>
      </c>
      <c r="AP413" s="25">
        <f>Lookups!$B$56*0</f>
        <v>0</v>
      </c>
      <c r="AQ413" s="25">
        <f>Lookups!$B$56*1</f>
        <v>89850.625589999996</v>
      </c>
      <c r="AR413" s="25">
        <f>Lookups!$B$57*Inventory[[#This Row],[LnAcres]]</f>
        <v>-45174.819855485119</v>
      </c>
      <c r="AS413" s="25">
        <f>VLOOKUP(Inventory[[#This Row],[Qlty]],Lookups!$A$62:$E$75,2,FALSE)</f>
        <v>44121.038090000002</v>
      </c>
      <c r="AT413" s="25">
        <f>VLOOKUP(Inventory[[#This Row],[Cnd]],Lookups!$A$76:$E$84,2,FALSE)</f>
        <v>197752.34721000001</v>
      </c>
      <c r="AU413" s="25">
        <f>Inventory[[#This Row],[EffAge]]*Lookups!$B$85</f>
        <v>-10929.2344245</v>
      </c>
      <c r="AV413" s="25">
        <f>Inventory[[#This Row],[MainFn]]*Lookups!$B$86</f>
        <v>59290.403852399999</v>
      </c>
      <c r="AW413" s="25">
        <f>Inventory[[#This Row],[UpprFn]]*Lookups!$B$87</f>
        <v>0</v>
      </c>
      <c r="AX413" s="25">
        <f>Inventory[[#This Row],[AddFn]]*Lookups!$B$88</f>
        <v>0</v>
      </c>
      <c r="AY413" s="25">
        <f>Inventory[[#This Row],[Bsmt]]*Lookups!$B$89</f>
        <v>0</v>
      </c>
      <c r="AZ413" s="25">
        <f>Inventory[[#This Row],[Fixtures]]*Lookups!$B$90</f>
        <v>26544.1547364</v>
      </c>
      <c r="BA413" s="25">
        <f>Inventory[[#This Row],[WdDeck]]*Lookups!$B$91</f>
        <v>0</v>
      </c>
      <c r="BB413" s="25">
        <f>ROUND(Inventory[[#This Row],[25Det]],-2)</f>
        <v>0</v>
      </c>
      <c r="BC413" s="25">
        <f>ROUND(SUM(Inventory[[#This Row],[Mdl Qlty]:[Mdl WdDeck]])+Inventory[[#This Row],[Mdl Res Intercept]],-2)</f>
        <v>316800</v>
      </c>
      <c r="BD413" s="25">
        <f>ROUND(Inventory[[#This Row],[Mdl Land Intercept]]+Inventory[[#This Row],[Mdl LnAcres]],-2)</f>
        <v>44700</v>
      </c>
      <c r="BE413" s="25">
        <f>Inventory[[#This Row],[Unadj Res Value]]+Inventory[[#This Row],[Unadj Det Value]]+Inventory[[#This Row],[Unadj Land Value]]</f>
        <v>361500</v>
      </c>
      <c r="BF413" s="36">
        <f>(Inventory[[#This Row],[Unadj Total Value]]-Inventory[[#This Row],[24Final]])/Inventory[[#This Row],[24Final]]</f>
        <v>5.0872093023255814E-2</v>
      </c>
      <c r="BG413" s="25">
        <f>VLOOKUP(Inventory[[#This Row],[Nbhd]],Lookups!$Q$2:$T$4,4,FALSE)</f>
        <v>0.99970000000000003</v>
      </c>
      <c r="BH413" s="25">
        <f>VLOOKUP(Inventory[[#This Row],[Qlty]],Lookups!$O$7:$R$21,4,FALSE)</f>
        <v>0.98050000000000004</v>
      </c>
      <c r="BI413" s="25">
        <f>VLOOKUP(Inventory[[#This Row],[Cnd]],Lookups!$T$7:$W$16,4,FALSE)</f>
        <v>0.99650000000000005</v>
      </c>
      <c r="BJ413" s="25">
        <f>VLOOKUP(Inventory[[#This Row],[LivArea Range]],Lookups!$T$25:$W$37,4,FALSE)</f>
        <v>1.0157</v>
      </c>
      <c r="BK413" s="25">
        <f>VLOOKUP(Inventory[[#This Row],[Decade]],Lookups!$O$25:$R$42,4,FALSE)</f>
        <v>1.0199</v>
      </c>
      <c r="BL413" s="25">
        <f>Inventory[[#This Row],[Nbhd Adj]]*0.95</f>
        <v>0.94971499999999998</v>
      </c>
      <c r="BM413" s="25">
        <f>Inventory[[#This Row],[Nbhd Adj]]*Inventory[[#This Row],[Quality Adj]]*Inventory[[#This Row],[Condition Adj]]*Inventory[[#This Row],[Living Area Adj]]*Inventory[[#This Row],[Decade Adj]]*0.95</f>
        <v>0.96126082309031724</v>
      </c>
      <c r="BN413" s="25">
        <f>ROUND(SUM(Inventory[[#This Row],[Mdl Qlty]:[Mdl WdDeck]])+Inventory[[#This Row],[Mdl Res Intercept]]*Inventory[[#This Row],[Res Adj ]],-2)</f>
        <v>316800</v>
      </c>
      <c r="BO413" s="25">
        <f>ROUND(Inventory[[#This Row],[25Det]]*Inventory[[#This Row],[Det/Nbhd Adj]],-2)</f>
        <v>0</v>
      </c>
      <c r="BP413" s="25">
        <f>Inventory[[#This Row],[Adjusted Res]]+Inventory[[#This Row],[Adj Det ]]</f>
        <v>316800</v>
      </c>
      <c r="BQ413" s="25">
        <f>ROUND((Inventory[[#This Row],[Mdl Land Intercept]]+Inventory[[#This Row],[Mdl LnAcres]])*Inventory[[#This Row],[Det/Nbhd Adj]],-2)</f>
        <v>42400</v>
      </c>
      <c r="BR413" s="25">
        <f>Inventory[[#This Row],[Adjusted Impr Total]]+Inventory[[#This Row],[Adjusted Land Total]]</f>
        <v>359200</v>
      </c>
      <c r="BS413" s="36">
        <f>IFERROR((Inventory[[#This Row],[Adjusted Impr Total]]-Inventory[[#This Row],[24Bldg]])/Inventory[[#This Row],[24Bldg]],0)</f>
        <v>0.1346704871060172</v>
      </c>
      <c r="BT413" s="36">
        <f>(Inventory[[#This Row],[Adjusted Land Total]]-Inventory[[#This Row],[24Lnd]])/Inventory[[#This Row],[24Lnd]]</f>
        <v>-0.34567901234567899</v>
      </c>
      <c r="BU413" s="36">
        <f>(Inventory[[#This Row],[Adjusted Total]]-Inventory[[#This Row],[24Final]])/Inventory[[#This Row],[24Final]]</f>
        <v>4.4186046511627906E-2</v>
      </c>
    </row>
    <row r="414" spans="1:73" x14ac:dyDescent="0.3">
      <c r="A414" s="25">
        <v>2025</v>
      </c>
      <c r="B414" s="26" t="s">
        <v>1171</v>
      </c>
      <c r="C414" s="26">
        <f>LN(Inventory[[#This Row],[Acres]])</f>
        <v>-1.7719568419318752</v>
      </c>
      <c r="D414" s="25">
        <v>0.17</v>
      </c>
      <c r="E414" s="31"/>
      <c r="F414" s="26" t="s">
        <v>537</v>
      </c>
      <c r="G414" s="26" t="s">
        <v>126</v>
      </c>
      <c r="H414" s="26" t="s">
        <v>349</v>
      </c>
      <c r="I414" s="26" t="s">
        <v>538</v>
      </c>
      <c r="J414" s="26" t="s">
        <v>539</v>
      </c>
      <c r="K414" s="26" t="s">
        <v>241</v>
      </c>
      <c r="L414" s="26" t="s">
        <v>351</v>
      </c>
      <c r="M414" s="26" t="s">
        <v>206</v>
      </c>
      <c r="N414" s="26">
        <v>70</v>
      </c>
      <c r="O414" s="26">
        <f>2024-Inventory[[#This Row],[YrBlt]]</f>
        <v>63</v>
      </c>
      <c r="P414" s="26">
        <f>2024-Inventory[[#This Row],[EffYr]]</f>
        <v>49</v>
      </c>
      <c r="Q414" s="25">
        <v>1961</v>
      </c>
      <c r="R414" s="25">
        <v>1975</v>
      </c>
      <c r="S414" s="25">
        <v>1156</v>
      </c>
      <c r="T414" s="27"/>
      <c r="U414" s="32">
        <v>1056</v>
      </c>
      <c r="V414" s="32">
        <f>Inventory[[#This Row],[Bsmt]]-Inventory[[#This Row],[FnBsmt]]</f>
        <v>556</v>
      </c>
      <c r="W414" s="32">
        <v>500</v>
      </c>
      <c r="X414" s="27"/>
      <c r="Y414" s="27">
        <f>Inventory[[#This Row],[MainFn]]+Inventory[[#This Row],[UpprFn]]+Inventory[[#This Row],[FnBsmt]]+Inventory[[#This Row],[AddFn]]</f>
        <v>1656</v>
      </c>
      <c r="Z414" s="27">
        <v>2000</v>
      </c>
      <c r="AA414" s="25">
        <v>5</v>
      </c>
      <c r="AB414" s="25">
        <v>288</v>
      </c>
      <c r="AC414" s="27"/>
      <c r="AD414" s="25">
        <v>95</v>
      </c>
      <c r="AE414" s="27"/>
      <c r="AF414" s="27"/>
      <c r="AG414" s="27"/>
      <c r="AH414" s="27"/>
      <c r="AI414" s="25">
        <v>265191</v>
      </c>
      <c r="AJ414" s="25">
        <v>185634</v>
      </c>
      <c r="AK414" s="25">
        <v>0</v>
      </c>
      <c r="AL414" s="25">
        <v>287600</v>
      </c>
      <c r="AM414" s="25">
        <v>52700</v>
      </c>
      <c r="AN414" s="25">
        <v>234900</v>
      </c>
      <c r="AO414" s="25">
        <v>0</v>
      </c>
      <c r="AP414" s="25">
        <f>Lookups!$B$56*0</f>
        <v>0</v>
      </c>
      <c r="AQ414" s="25">
        <f>Lookups!$B$56*1</f>
        <v>89850.625589999996</v>
      </c>
      <c r="AR414" s="25">
        <f>Lookups!$B$57*Inventory[[#This Row],[LnAcres]]</f>
        <v>-56090.612940989391</v>
      </c>
      <c r="AS414" s="25">
        <f>VLOOKUP(Inventory[[#This Row],[Qlty]],Lookups!$A$62:$E$75,2,FALSE)</f>
        <v>21557.329055999999</v>
      </c>
      <c r="AT414" s="25">
        <f>VLOOKUP(Inventory[[#This Row],[Cnd]],Lookups!$A$76:$E$84,2,FALSE)</f>
        <v>133714.53821</v>
      </c>
      <c r="AU414" s="25">
        <f>Inventory[[#This Row],[EffAge]]*Lookups!$B$85</f>
        <v>-10929.2344245</v>
      </c>
      <c r="AV414" s="25">
        <f>Inventory[[#This Row],[MainFn]]*Lookups!$B$86</f>
        <v>57116.422377811999</v>
      </c>
      <c r="AW414" s="25">
        <f>Inventory[[#This Row],[UpprFn]]*Lookups!$B$87</f>
        <v>0</v>
      </c>
      <c r="AX414" s="25">
        <f>Inventory[[#This Row],[AddFn]]*Lookups!$B$88</f>
        <v>0</v>
      </c>
      <c r="AY414" s="25">
        <f>Inventory[[#This Row],[Bsmt]]*Lookups!$B$89</f>
        <v>30710.481380832</v>
      </c>
      <c r="AZ414" s="25">
        <f>Inventory[[#This Row],[Fixtures]]*Lookups!$B$90</f>
        <v>18960.110526</v>
      </c>
      <c r="BA414" s="25">
        <f>Inventory[[#This Row],[WdDeck]]*Lookups!$B$91</f>
        <v>3163.0739512200003</v>
      </c>
      <c r="BB414" s="25">
        <f>ROUND(Inventory[[#This Row],[25Det]],-2)</f>
        <v>0</v>
      </c>
      <c r="BC414" s="25">
        <f>ROUND(SUM(Inventory[[#This Row],[Mdl Qlty]:[Mdl WdDeck]])+Inventory[[#This Row],[Mdl Res Intercept]],-2)</f>
        <v>254300</v>
      </c>
      <c r="BD414" s="25">
        <f>ROUND(Inventory[[#This Row],[Mdl Land Intercept]]+Inventory[[#This Row],[Mdl LnAcres]],-2)</f>
        <v>33800</v>
      </c>
      <c r="BE414" s="25">
        <f>Inventory[[#This Row],[Unadj Res Value]]+Inventory[[#This Row],[Unadj Det Value]]+Inventory[[#This Row],[Unadj Land Value]]</f>
        <v>288100</v>
      </c>
      <c r="BF414" s="36">
        <f>(Inventory[[#This Row],[Unadj Total Value]]-Inventory[[#This Row],[24Final]])/Inventory[[#This Row],[24Final]]</f>
        <v>1.7385257301808068E-3</v>
      </c>
      <c r="BG414" s="25">
        <f>VLOOKUP(Inventory[[#This Row],[Nbhd]],Lookups!$Q$2:$T$4,4,FALSE)</f>
        <v>0.99970000000000003</v>
      </c>
      <c r="BH414" s="25">
        <f>VLOOKUP(Inventory[[#This Row],[Qlty]],Lookups!$O$7:$R$21,4,FALSE)</f>
        <v>1.0067999999999999</v>
      </c>
      <c r="BI414" s="25">
        <f>VLOOKUP(Inventory[[#This Row],[Cnd]],Lookups!$T$7:$W$16,4,FALSE)</f>
        <v>0.99329999999999996</v>
      </c>
      <c r="BJ414" s="25">
        <f>VLOOKUP(Inventory[[#This Row],[LivArea Range]],Lookups!$T$25:$W$37,4,FALSE)</f>
        <v>1.0093000000000001</v>
      </c>
      <c r="BK414" s="25">
        <f>VLOOKUP(Inventory[[#This Row],[Decade]],Lookups!$O$25:$R$42,4,FALSE)</f>
        <v>1.0199</v>
      </c>
      <c r="BL414" s="25">
        <f>Inventory[[#This Row],[Nbhd Adj]]*0.95</f>
        <v>0.94971499999999998</v>
      </c>
      <c r="BM414" s="25">
        <f>Inventory[[#This Row],[Nbhd Adj]]*Inventory[[#This Row],[Quality Adj]]*Inventory[[#This Row],[Condition Adj]]*Inventory[[#This Row],[Living Area Adj]]*Inventory[[#This Row],[Decade Adj]]*0.95</f>
        <v>0.97767566352077906</v>
      </c>
      <c r="BN414" s="25">
        <f>ROUND(SUM(Inventory[[#This Row],[Mdl Qlty]:[Mdl WdDeck]])+Inventory[[#This Row],[Mdl Res Intercept]]*Inventory[[#This Row],[Res Adj ]],-2)</f>
        <v>254300</v>
      </c>
      <c r="BO414" s="25">
        <f>ROUND(Inventory[[#This Row],[25Det]]*Inventory[[#This Row],[Det/Nbhd Adj]],-2)</f>
        <v>0</v>
      </c>
      <c r="BP414" s="25">
        <f>Inventory[[#This Row],[Adjusted Res]]+Inventory[[#This Row],[Adj Det ]]</f>
        <v>254300</v>
      </c>
      <c r="BQ414" s="25">
        <f>ROUND((Inventory[[#This Row],[Mdl Land Intercept]]+Inventory[[#This Row],[Mdl LnAcres]])*Inventory[[#This Row],[Det/Nbhd Adj]],-2)</f>
        <v>32100</v>
      </c>
      <c r="BR414" s="25">
        <f>Inventory[[#This Row],[Adjusted Impr Total]]+Inventory[[#This Row],[Adjusted Land Total]]</f>
        <v>286400</v>
      </c>
      <c r="BS414" s="36">
        <f>IFERROR((Inventory[[#This Row],[Adjusted Impr Total]]-Inventory[[#This Row],[24Bldg]])/Inventory[[#This Row],[24Bldg]],0)</f>
        <v>8.2588335461898685E-2</v>
      </c>
      <c r="BT414" s="36">
        <f>(Inventory[[#This Row],[Adjusted Land Total]]-Inventory[[#This Row],[24Lnd]])/Inventory[[#This Row],[24Lnd]]</f>
        <v>-0.39089184060721061</v>
      </c>
      <c r="BU414" s="36">
        <f>(Inventory[[#This Row],[Adjusted Total]]-Inventory[[#This Row],[24Final]])/Inventory[[#This Row],[24Final]]</f>
        <v>-4.172461752433936E-3</v>
      </c>
    </row>
    <row r="415" spans="1:73" x14ac:dyDescent="0.3">
      <c r="A415" s="25">
        <v>2025</v>
      </c>
      <c r="B415" s="26" t="s">
        <v>1170</v>
      </c>
      <c r="C415" s="26">
        <f>LN(Inventory[[#This Row],[Acres]])</f>
        <v>-1.7719568419318752</v>
      </c>
      <c r="D415" s="25">
        <v>0.17</v>
      </c>
      <c r="E415" s="31"/>
      <c r="F415" s="26" t="s">
        <v>537</v>
      </c>
      <c r="G415" s="26" t="s">
        <v>126</v>
      </c>
      <c r="H415" s="26" t="s">
        <v>349</v>
      </c>
      <c r="I415" s="26" t="s">
        <v>538</v>
      </c>
      <c r="J415" s="26" t="s">
        <v>539</v>
      </c>
      <c r="K415" s="26" t="s">
        <v>241</v>
      </c>
      <c r="L415" s="26" t="s">
        <v>302</v>
      </c>
      <c r="M415" s="26" t="s">
        <v>323</v>
      </c>
      <c r="N415" s="26">
        <v>70</v>
      </c>
      <c r="O415" s="26">
        <f>2024-Inventory[[#This Row],[YrBlt]]</f>
        <v>63</v>
      </c>
      <c r="P415" s="26">
        <f>2024-Inventory[[#This Row],[EffYr]]</f>
        <v>49</v>
      </c>
      <c r="Q415" s="25">
        <v>1961</v>
      </c>
      <c r="R415" s="25">
        <v>1975</v>
      </c>
      <c r="S415" s="25">
        <v>1453</v>
      </c>
      <c r="T415" s="27"/>
      <c r="U415" s="25">
        <v>1153</v>
      </c>
      <c r="V415" s="25">
        <f>Inventory[[#This Row],[Bsmt]]-Inventory[[#This Row],[FnBsmt]]</f>
        <v>0</v>
      </c>
      <c r="W415" s="25">
        <v>1153</v>
      </c>
      <c r="X415" s="27"/>
      <c r="Y415" s="27">
        <f>Inventory[[#This Row],[MainFn]]+Inventory[[#This Row],[UpprFn]]+Inventory[[#This Row],[FnBsmt]]+Inventory[[#This Row],[AddFn]]</f>
        <v>2606</v>
      </c>
      <c r="Z415" s="27">
        <v>3000</v>
      </c>
      <c r="AA415" s="25">
        <v>10</v>
      </c>
      <c r="AB415" s="27"/>
      <c r="AC415" s="31"/>
      <c r="AD415" s="31"/>
      <c r="AE415" s="27"/>
      <c r="AF415" s="27"/>
      <c r="AG415" s="27"/>
      <c r="AH415" s="27"/>
      <c r="AI415" s="25">
        <v>377451</v>
      </c>
      <c r="AJ415" s="25">
        <v>267990</v>
      </c>
      <c r="AK415" s="25">
        <v>0</v>
      </c>
      <c r="AL415" s="25">
        <v>357300</v>
      </c>
      <c r="AM415" s="25">
        <v>52700</v>
      </c>
      <c r="AN415" s="25">
        <v>304600</v>
      </c>
      <c r="AO415" s="25">
        <v>0</v>
      </c>
      <c r="AP415" s="25">
        <f>Lookups!$B$56*0</f>
        <v>0</v>
      </c>
      <c r="AQ415" s="25">
        <f>Lookups!$B$56*1</f>
        <v>89850.625589999996</v>
      </c>
      <c r="AR415" s="25">
        <f>Lookups!$B$57*Inventory[[#This Row],[LnAcres]]</f>
        <v>-56090.612940989391</v>
      </c>
      <c r="AS415" s="25">
        <f>VLOOKUP(Inventory[[#This Row],[Qlty]],Lookups!$A$62:$E$75,2,FALSE)</f>
        <v>29814.093161000001</v>
      </c>
      <c r="AT415" s="25">
        <f>VLOOKUP(Inventory[[#This Row],[Cnd]],Lookups!$A$76:$E$84,2,FALSE)</f>
        <v>160472.20319</v>
      </c>
      <c r="AU415" s="25">
        <f>Inventory[[#This Row],[EffAge]]*Lookups!$B$85</f>
        <v>-10929.2344245</v>
      </c>
      <c r="AV415" s="25">
        <f>Inventory[[#This Row],[MainFn]]*Lookups!$B$86</f>
        <v>71790.797331281006</v>
      </c>
      <c r="AW415" s="25">
        <f>Inventory[[#This Row],[UpprFn]]*Lookups!$B$87</f>
        <v>0</v>
      </c>
      <c r="AX415" s="25">
        <f>Inventory[[#This Row],[AddFn]]*Lookups!$B$88</f>
        <v>0</v>
      </c>
      <c r="AY415" s="25">
        <f>Inventory[[#This Row],[Bsmt]]*Lookups!$B$89</f>
        <v>33531.425219790995</v>
      </c>
      <c r="AZ415" s="25">
        <f>Inventory[[#This Row],[Fixtures]]*Lookups!$B$90</f>
        <v>37920.221052000001</v>
      </c>
      <c r="BA415" s="25">
        <f>Inventory[[#This Row],[WdDeck]]*Lookups!$B$91</f>
        <v>0</v>
      </c>
      <c r="BB415" s="25">
        <f>ROUND(Inventory[[#This Row],[25Det]],-2)</f>
        <v>0</v>
      </c>
      <c r="BC415" s="25">
        <f>ROUND(SUM(Inventory[[#This Row],[Mdl Qlty]:[Mdl WdDeck]])+Inventory[[#This Row],[Mdl Res Intercept]],-2)</f>
        <v>322600</v>
      </c>
      <c r="BD415" s="25">
        <f>ROUND(Inventory[[#This Row],[Mdl Land Intercept]]+Inventory[[#This Row],[Mdl LnAcres]],-2)</f>
        <v>33800</v>
      </c>
      <c r="BE415" s="25">
        <f>Inventory[[#This Row],[Unadj Res Value]]+Inventory[[#This Row],[Unadj Det Value]]+Inventory[[#This Row],[Unadj Land Value]]</f>
        <v>356400</v>
      </c>
      <c r="BF415" s="36">
        <f>(Inventory[[#This Row],[Unadj Total Value]]-Inventory[[#This Row],[24Final]])/Inventory[[#This Row],[24Final]]</f>
        <v>-2.5188916876574307E-3</v>
      </c>
      <c r="BG415" s="25">
        <f>VLOOKUP(Inventory[[#This Row],[Nbhd]],Lookups!$Q$2:$T$4,4,FALSE)</f>
        <v>0.99970000000000003</v>
      </c>
      <c r="BH415" s="25">
        <f>VLOOKUP(Inventory[[#This Row],[Qlty]],Lookups!$O$7:$R$21,4,FALSE)</f>
        <v>1.0088999999999999</v>
      </c>
      <c r="BI415" s="25">
        <f>VLOOKUP(Inventory[[#This Row],[Cnd]],Lookups!$T$7:$W$16,4,FALSE)</f>
        <v>0.99729999999999996</v>
      </c>
      <c r="BJ415" s="25">
        <f>VLOOKUP(Inventory[[#This Row],[LivArea Range]],Lookups!$T$25:$W$37,4,FALSE)</f>
        <v>0.96179999999999999</v>
      </c>
      <c r="BK415" s="25">
        <f>VLOOKUP(Inventory[[#This Row],[Decade]],Lookups!$O$25:$R$42,4,FALSE)</f>
        <v>1.0199</v>
      </c>
      <c r="BL415" s="25">
        <f>Inventory[[#This Row],[Nbhd Adj]]*0.95</f>
        <v>0.94971499999999998</v>
      </c>
      <c r="BM415" s="25">
        <f>Inventory[[#This Row],[Nbhd Adj]]*Inventory[[#This Row],[Quality Adj]]*Inventory[[#This Row],[Condition Adj]]*Inventory[[#This Row],[Living Area Adj]]*Inventory[[#This Row],[Decade Adj]]*0.95</f>
        <v>0.93736687670377261</v>
      </c>
      <c r="BN415" s="25">
        <f>ROUND(SUM(Inventory[[#This Row],[Mdl Qlty]:[Mdl WdDeck]])+Inventory[[#This Row],[Mdl Res Intercept]]*Inventory[[#This Row],[Res Adj ]],-2)</f>
        <v>322600</v>
      </c>
      <c r="BO415" s="25">
        <f>ROUND(Inventory[[#This Row],[25Det]]*Inventory[[#This Row],[Det/Nbhd Adj]],-2)</f>
        <v>0</v>
      </c>
      <c r="BP415" s="25">
        <f>Inventory[[#This Row],[Adjusted Res]]+Inventory[[#This Row],[Adj Det ]]</f>
        <v>322600</v>
      </c>
      <c r="BQ415" s="25">
        <f>ROUND((Inventory[[#This Row],[Mdl Land Intercept]]+Inventory[[#This Row],[Mdl LnAcres]])*Inventory[[#This Row],[Det/Nbhd Adj]],-2)</f>
        <v>32100</v>
      </c>
      <c r="BR415" s="25">
        <f>Inventory[[#This Row],[Adjusted Impr Total]]+Inventory[[#This Row],[Adjusted Land Total]]</f>
        <v>354700</v>
      </c>
      <c r="BS415" s="36">
        <f>IFERROR((Inventory[[#This Row],[Adjusted Impr Total]]-Inventory[[#This Row],[24Bldg]])/Inventory[[#This Row],[24Bldg]],0)</f>
        <v>5.9093893630991462E-2</v>
      </c>
      <c r="BT415" s="36">
        <f>(Inventory[[#This Row],[Adjusted Land Total]]-Inventory[[#This Row],[24Lnd]])/Inventory[[#This Row],[24Lnd]]</f>
        <v>-0.39089184060721061</v>
      </c>
      <c r="BU415" s="36">
        <f>(Inventory[[#This Row],[Adjusted Total]]-Inventory[[#This Row],[24Final]])/Inventory[[#This Row],[24Final]]</f>
        <v>-7.2767982087881336E-3</v>
      </c>
    </row>
    <row r="416" spans="1:73" x14ac:dyDescent="0.3">
      <c r="A416" s="25">
        <v>2025</v>
      </c>
      <c r="B416" s="26" t="s">
        <v>748</v>
      </c>
      <c r="C416" s="26">
        <f>LN(Inventory[[#This Row],[Acres]])</f>
        <v>-1.0788096613719298</v>
      </c>
      <c r="D416" s="25">
        <v>0.34</v>
      </c>
      <c r="E416" s="25">
        <v>14720</v>
      </c>
      <c r="F416" s="26" t="s">
        <v>537</v>
      </c>
      <c r="G416" s="26" t="s">
        <v>126</v>
      </c>
      <c r="H416" s="26" t="s">
        <v>349</v>
      </c>
      <c r="I416" s="26" t="s">
        <v>538</v>
      </c>
      <c r="J416" s="26" t="s">
        <v>539</v>
      </c>
      <c r="K416" s="26" t="s">
        <v>241</v>
      </c>
      <c r="L416" s="26" t="s">
        <v>95</v>
      </c>
      <c r="M416" s="26" t="s">
        <v>303</v>
      </c>
      <c r="N416" s="26">
        <v>70</v>
      </c>
      <c r="O416" s="26">
        <f>2024-Inventory[[#This Row],[YrBlt]]</f>
        <v>63</v>
      </c>
      <c r="P416" s="26">
        <f>2024-Inventory[[#This Row],[EffYr]]</f>
        <v>49</v>
      </c>
      <c r="Q416" s="25">
        <v>1961</v>
      </c>
      <c r="R416" s="25">
        <v>1975</v>
      </c>
      <c r="S416" s="25">
        <v>1870</v>
      </c>
      <c r="T416" s="27"/>
      <c r="U416" s="25">
        <v>758</v>
      </c>
      <c r="V416" s="25">
        <f>Inventory[[#This Row],[Bsmt]]-Inventory[[#This Row],[FnBsmt]]</f>
        <v>258</v>
      </c>
      <c r="W416" s="25">
        <v>500</v>
      </c>
      <c r="X416" s="27"/>
      <c r="Y416" s="27">
        <f>Inventory[[#This Row],[MainFn]]+Inventory[[#This Row],[UpprFn]]+Inventory[[#This Row],[FnBsmt]]+Inventory[[#This Row],[AddFn]]</f>
        <v>2370</v>
      </c>
      <c r="Z416" s="27">
        <v>2500</v>
      </c>
      <c r="AA416" s="25">
        <v>10</v>
      </c>
      <c r="AB416" s="32">
        <v>494</v>
      </c>
      <c r="AC416" s="31"/>
      <c r="AD416" s="31"/>
      <c r="AE416" s="27"/>
      <c r="AF416" s="27"/>
      <c r="AG416" s="27"/>
      <c r="AH416" s="27"/>
      <c r="AI416" s="25">
        <v>558810</v>
      </c>
      <c r="AJ416" s="25">
        <v>413519</v>
      </c>
      <c r="AK416" s="25">
        <v>0</v>
      </c>
      <c r="AL416" s="25">
        <v>474000</v>
      </c>
      <c r="AM416" s="25">
        <v>76900</v>
      </c>
      <c r="AN416" s="25">
        <v>397100</v>
      </c>
      <c r="AO416" s="25">
        <v>0</v>
      </c>
      <c r="AP416" s="25">
        <f>Lookups!$B$56*0</f>
        <v>0</v>
      </c>
      <c r="AQ416" s="25">
        <f>Lookups!$B$56*1</f>
        <v>89850.625589999996</v>
      </c>
      <c r="AR416" s="25">
        <f>Lookups!$B$57*Inventory[[#This Row],[LnAcres]]</f>
        <v>-34149.305288406773</v>
      </c>
      <c r="AS416" s="25">
        <f>VLOOKUP(Inventory[[#This Row],[Qlty]],Lookups!$A$62:$E$75,2,FALSE)</f>
        <v>74268.409664999999</v>
      </c>
      <c r="AT416" s="25">
        <f>VLOOKUP(Inventory[[#This Row],[Cnd]],Lookups!$A$76:$E$84,2,FALSE)</f>
        <v>197752.34721000001</v>
      </c>
      <c r="AU416" s="25">
        <f>Inventory[[#This Row],[EffAge]]*Lookups!$B$85</f>
        <v>-10929.2344245</v>
      </c>
      <c r="AV416" s="25">
        <f>Inventory[[#This Row],[MainFn]]*Lookups!$B$86</f>
        <v>92394.212669989996</v>
      </c>
      <c r="AW416" s="25">
        <f>Inventory[[#This Row],[UpprFn]]*Lookups!$B$87</f>
        <v>0</v>
      </c>
      <c r="AX416" s="25">
        <f>Inventory[[#This Row],[AddFn]]*Lookups!$B$88</f>
        <v>0</v>
      </c>
      <c r="AY416" s="25">
        <f>Inventory[[#This Row],[Bsmt]]*Lookups!$B$89</f>
        <v>22044.076597225998</v>
      </c>
      <c r="AZ416" s="25">
        <f>Inventory[[#This Row],[Fixtures]]*Lookups!$B$90</f>
        <v>37920.221052000001</v>
      </c>
      <c r="BA416" s="25">
        <f>Inventory[[#This Row],[WdDeck]]*Lookups!$B$91</f>
        <v>0</v>
      </c>
      <c r="BB416" s="25">
        <f>ROUND(Inventory[[#This Row],[25Det]],-2)</f>
        <v>0</v>
      </c>
      <c r="BC416" s="25">
        <f>ROUND(SUM(Inventory[[#This Row],[Mdl Qlty]:[Mdl WdDeck]])+Inventory[[#This Row],[Mdl Res Intercept]],-2)</f>
        <v>413500</v>
      </c>
      <c r="BD416" s="25">
        <f>ROUND(Inventory[[#This Row],[Mdl Land Intercept]]+Inventory[[#This Row],[Mdl LnAcres]],-2)</f>
        <v>55700</v>
      </c>
      <c r="BE416" s="25">
        <f>Inventory[[#This Row],[Unadj Res Value]]+Inventory[[#This Row],[Unadj Det Value]]+Inventory[[#This Row],[Unadj Land Value]]</f>
        <v>469200</v>
      </c>
      <c r="BF416" s="36">
        <f>(Inventory[[#This Row],[Unadj Total Value]]-Inventory[[#This Row],[24Final]])/Inventory[[#This Row],[24Final]]</f>
        <v>-1.0126582278481013E-2</v>
      </c>
      <c r="BG416" s="25">
        <f>VLOOKUP(Inventory[[#This Row],[Nbhd]],Lookups!$Q$2:$T$4,4,FALSE)</f>
        <v>0.99970000000000003</v>
      </c>
      <c r="BH416" s="25">
        <f>VLOOKUP(Inventory[[#This Row],[Qlty]],Lookups!$O$7:$R$21,4,FALSE)</f>
        <v>0.98380000000000001</v>
      </c>
      <c r="BI416" s="25">
        <f>VLOOKUP(Inventory[[#This Row],[Cnd]],Lookups!$T$7:$W$16,4,FALSE)</f>
        <v>0.99650000000000005</v>
      </c>
      <c r="BJ416" s="25">
        <f>VLOOKUP(Inventory[[#This Row],[LivArea Range]],Lookups!$T$25:$W$37,4,FALSE)</f>
        <v>0.98919999999999997</v>
      </c>
      <c r="BK416" s="25">
        <f>VLOOKUP(Inventory[[#This Row],[Decade]],Lookups!$O$25:$R$42,4,FALSE)</f>
        <v>1.0199</v>
      </c>
      <c r="BL416" s="25">
        <f>Inventory[[#This Row],[Nbhd Adj]]*0.95</f>
        <v>0.94971499999999998</v>
      </c>
      <c r="BM416" s="25">
        <f>Inventory[[#This Row],[Nbhd Adj]]*Inventory[[#This Row],[Quality Adj]]*Inventory[[#This Row],[Condition Adj]]*Inventory[[#This Row],[Living Area Adj]]*Inventory[[#This Row],[Decade Adj]]*0.95</f>
        <v>0.93933200115703741</v>
      </c>
      <c r="BN416" s="25">
        <f>ROUND(SUM(Inventory[[#This Row],[Mdl Qlty]:[Mdl WdDeck]])+Inventory[[#This Row],[Mdl Res Intercept]]*Inventory[[#This Row],[Res Adj ]],-2)</f>
        <v>413500</v>
      </c>
      <c r="BO416" s="25">
        <f>ROUND(Inventory[[#This Row],[25Det]]*Inventory[[#This Row],[Det/Nbhd Adj]],-2)</f>
        <v>0</v>
      </c>
      <c r="BP416" s="25">
        <f>Inventory[[#This Row],[Adjusted Res]]+Inventory[[#This Row],[Adj Det ]]</f>
        <v>413500</v>
      </c>
      <c r="BQ416" s="25">
        <f>ROUND((Inventory[[#This Row],[Mdl Land Intercept]]+Inventory[[#This Row],[Mdl LnAcres]])*Inventory[[#This Row],[Det/Nbhd Adj]],-2)</f>
        <v>52900</v>
      </c>
      <c r="BR416" s="25">
        <f>Inventory[[#This Row],[Adjusted Impr Total]]+Inventory[[#This Row],[Adjusted Land Total]]</f>
        <v>466400</v>
      </c>
      <c r="BS416" s="36">
        <f>IFERROR((Inventory[[#This Row],[Adjusted Impr Total]]-Inventory[[#This Row],[24Bldg]])/Inventory[[#This Row],[24Bldg]],0)</f>
        <v>4.1299420800805842E-2</v>
      </c>
      <c r="BT416" s="36">
        <f>(Inventory[[#This Row],[Adjusted Land Total]]-Inventory[[#This Row],[24Lnd]])/Inventory[[#This Row],[24Lnd]]</f>
        <v>-0.31209362808842656</v>
      </c>
      <c r="BU416" s="36">
        <f>(Inventory[[#This Row],[Adjusted Total]]-Inventory[[#This Row],[24Final]])/Inventory[[#This Row],[24Final]]</f>
        <v>-1.6033755274261603E-2</v>
      </c>
    </row>
    <row r="417" spans="1:73" x14ac:dyDescent="0.3">
      <c r="A417" s="25">
        <v>2025</v>
      </c>
      <c r="B417" s="26" t="s">
        <v>2580</v>
      </c>
      <c r="C417" s="26">
        <f>LN(Inventory[[#This Row],[Acres]])</f>
        <v>-1.2729656758128873</v>
      </c>
      <c r="D417" s="25">
        <v>0.28000000000000003</v>
      </c>
      <c r="E417" s="25">
        <v>12070</v>
      </c>
      <c r="F417" s="26" t="s">
        <v>537</v>
      </c>
      <c r="G417" s="26" t="s">
        <v>126</v>
      </c>
      <c r="H417" s="26" t="s">
        <v>349</v>
      </c>
      <c r="I417" s="26" t="s">
        <v>538</v>
      </c>
      <c r="J417" s="26" t="s">
        <v>539</v>
      </c>
      <c r="K417" s="26" t="s">
        <v>241</v>
      </c>
      <c r="L417" s="26" t="s">
        <v>302</v>
      </c>
      <c r="M417" s="26" t="s">
        <v>352</v>
      </c>
      <c r="N417" s="26">
        <v>70</v>
      </c>
      <c r="O417" s="26">
        <f>2024-Inventory[[#This Row],[YrBlt]]</f>
        <v>64</v>
      </c>
      <c r="P417" s="26">
        <f>2024-Inventory[[#This Row],[EffYr]]</f>
        <v>49</v>
      </c>
      <c r="Q417" s="25">
        <v>1960</v>
      </c>
      <c r="R417" s="25">
        <v>1975</v>
      </c>
      <c r="S417" s="25">
        <v>1537</v>
      </c>
      <c r="T417" s="27"/>
      <c r="U417" s="31"/>
      <c r="V417" s="27">
        <f>Inventory[[#This Row],[Bsmt]]-Inventory[[#This Row],[FnBsmt]]</f>
        <v>0</v>
      </c>
      <c r="W417" s="27"/>
      <c r="X417" s="27"/>
      <c r="Y417" s="27">
        <f>Inventory[[#This Row],[MainFn]]+Inventory[[#This Row],[UpprFn]]+Inventory[[#This Row],[FnBsmt]]+Inventory[[#This Row],[AddFn]]</f>
        <v>1537</v>
      </c>
      <c r="Z417" s="27">
        <v>2000</v>
      </c>
      <c r="AA417" s="25">
        <v>8</v>
      </c>
      <c r="AB417" s="25">
        <v>520</v>
      </c>
      <c r="AC417" s="27"/>
      <c r="AD417" s="31"/>
      <c r="AE417" s="27"/>
      <c r="AF417" s="27"/>
      <c r="AG417" s="27"/>
      <c r="AH417" s="27"/>
      <c r="AI417" s="25">
        <v>329177</v>
      </c>
      <c r="AJ417" s="25">
        <v>243591</v>
      </c>
      <c r="AK417" s="25">
        <v>0</v>
      </c>
      <c r="AL417" s="25">
        <v>378900</v>
      </c>
      <c r="AM417" s="25">
        <v>70100</v>
      </c>
      <c r="AN417" s="25">
        <v>308800</v>
      </c>
      <c r="AO417" s="25">
        <v>0</v>
      </c>
      <c r="AP417" s="25">
        <f>Lookups!$B$56*0</f>
        <v>0</v>
      </c>
      <c r="AQ417" s="25">
        <f>Lookups!$B$56*1</f>
        <v>89850.625589999996</v>
      </c>
      <c r="AR417" s="25">
        <f>Lookups!$B$57*Inventory[[#This Row],[LnAcres]]</f>
        <v>-40295.239319339329</v>
      </c>
      <c r="AS417" s="25">
        <f>VLOOKUP(Inventory[[#This Row],[Qlty]],Lookups!$A$62:$E$75,2,FALSE)</f>
        <v>29814.093161000001</v>
      </c>
      <c r="AT417" s="25">
        <f>VLOOKUP(Inventory[[#This Row],[Cnd]],Lookups!$A$76:$E$84,2,FALSE)</f>
        <v>284810.60806</v>
      </c>
      <c r="AU417" s="25">
        <f>Inventory[[#This Row],[EffAge]]*Lookups!$B$85</f>
        <v>-10929.2344245</v>
      </c>
      <c r="AV417" s="25">
        <f>Inventory[[#This Row],[MainFn]]*Lookups!$B$86</f>
        <v>75941.125600949003</v>
      </c>
      <c r="AW417" s="25">
        <f>Inventory[[#This Row],[UpprFn]]*Lookups!$B$87</f>
        <v>0</v>
      </c>
      <c r="AX417" s="25">
        <f>Inventory[[#This Row],[AddFn]]*Lookups!$B$88</f>
        <v>0</v>
      </c>
      <c r="AY417" s="25">
        <f>Inventory[[#This Row],[Bsmt]]*Lookups!$B$89</f>
        <v>0</v>
      </c>
      <c r="AZ417" s="25">
        <f>Inventory[[#This Row],[Fixtures]]*Lookups!$B$90</f>
        <v>30336.176841600001</v>
      </c>
      <c r="BA417" s="25">
        <f>Inventory[[#This Row],[WdDeck]]*Lookups!$B$91</f>
        <v>0</v>
      </c>
      <c r="BB417" s="25">
        <f>ROUND(Inventory[[#This Row],[25Det]],-2)</f>
        <v>0</v>
      </c>
      <c r="BC417" s="25">
        <f>ROUND(SUM(Inventory[[#This Row],[Mdl Qlty]:[Mdl WdDeck]])+Inventory[[#This Row],[Mdl Res Intercept]],-2)</f>
        <v>410000</v>
      </c>
      <c r="BD417" s="25">
        <f>ROUND(Inventory[[#This Row],[Mdl Land Intercept]]+Inventory[[#This Row],[Mdl LnAcres]],-2)</f>
        <v>49600</v>
      </c>
      <c r="BE417" s="25">
        <f>Inventory[[#This Row],[Unadj Res Value]]+Inventory[[#This Row],[Unadj Det Value]]+Inventory[[#This Row],[Unadj Land Value]]</f>
        <v>459600</v>
      </c>
      <c r="BF417" s="36">
        <f>(Inventory[[#This Row],[Unadj Total Value]]-Inventory[[#This Row],[24Final]])/Inventory[[#This Row],[24Final]]</f>
        <v>0.21298495645288995</v>
      </c>
      <c r="BG417" s="25">
        <f>VLOOKUP(Inventory[[#This Row],[Nbhd]],Lookups!$Q$2:$T$4,4,FALSE)</f>
        <v>0.99970000000000003</v>
      </c>
      <c r="BH417" s="25">
        <f>VLOOKUP(Inventory[[#This Row],[Qlty]],Lookups!$O$7:$R$21,4,FALSE)</f>
        <v>1.0088999999999999</v>
      </c>
      <c r="BI417" s="25">
        <f>VLOOKUP(Inventory[[#This Row],[Cnd]],Lookups!$T$7:$W$16,4,FALSE)</f>
        <v>1.0158</v>
      </c>
      <c r="BJ417" s="25">
        <f>VLOOKUP(Inventory[[#This Row],[LivArea Range]],Lookups!$T$25:$W$37,4,FALSE)</f>
        <v>1.0093000000000001</v>
      </c>
      <c r="BK417" s="25">
        <f>VLOOKUP(Inventory[[#This Row],[Decade]],Lookups!$O$25:$R$42,4,FALSE)</f>
        <v>1.0199</v>
      </c>
      <c r="BL417" s="25">
        <f>Inventory[[#This Row],[Nbhd Adj]]*0.95</f>
        <v>0.94971499999999998</v>
      </c>
      <c r="BM417" s="25">
        <f>Inventory[[#This Row],[Nbhd Adj]]*Inventory[[#This Row],[Quality Adj]]*Inventory[[#This Row],[Condition Adj]]*Inventory[[#This Row],[Living Area Adj]]*Inventory[[#This Row],[Decade Adj]]*0.95</f>
        <v>1.0019071893341593</v>
      </c>
      <c r="BN417" s="25">
        <f>ROUND(SUM(Inventory[[#This Row],[Mdl Qlty]:[Mdl WdDeck]])+Inventory[[#This Row],[Mdl Res Intercept]]*Inventory[[#This Row],[Res Adj ]],-2)</f>
        <v>410000</v>
      </c>
      <c r="BO417" s="25">
        <f>ROUND(Inventory[[#This Row],[25Det]]*Inventory[[#This Row],[Det/Nbhd Adj]],-2)</f>
        <v>0</v>
      </c>
      <c r="BP417" s="25">
        <f>Inventory[[#This Row],[Adjusted Res]]+Inventory[[#This Row],[Adj Det ]]</f>
        <v>410000</v>
      </c>
      <c r="BQ417" s="25">
        <f>ROUND((Inventory[[#This Row],[Mdl Land Intercept]]+Inventory[[#This Row],[Mdl LnAcres]])*Inventory[[#This Row],[Det/Nbhd Adj]],-2)</f>
        <v>47100</v>
      </c>
      <c r="BR417" s="25">
        <f>Inventory[[#This Row],[Adjusted Impr Total]]+Inventory[[#This Row],[Adjusted Land Total]]</f>
        <v>457100</v>
      </c>
      <c r="BS417" s="36">
        <f>IFERROR((Inventory[[#This Row],[Adjusted Impr Total]]-Inventory[[#This Row],[24Bldg]])/Inventory[[#This Row],[24Bldg]],0)</f>
        <v>0.32772020725388601</v>
      </c>
      <c r="BT417" s="36">
        <f>(Inventory[[#This Row],[Adjusted Land Total]]-Inventory[[#This Row],[24Lnd]])/Inventory[[#This Row],[24Lnd]]</f>
        <v>-0.32810271041369471</v>
      </c>
      <c r="BU417" s="36">
        <f>(Inventory[[#This Row],[Adjusted Total]]-Inventory[[#This Row],[24Final]])/Inventory[[#This Row],[24Final]]</f>
        <v>0.20638690947479546</v>
      </c>
    </row>
    <row r="418" spans="1:73" x14ac:dyDescent="0.3">
      <c r="A418" s="25">
        <v>2025</v>
      </c>
      <c r="B418" s="26" t="s">
        <v>1521</v>
      </c>
      <c r="C418" s="26">
        <f>LN(Inventory[[#This Row],[Acres]])</f>
        <v>-3.2188758248682006</v>
      </c>
      <c r="D418" s="25">
        <v>0.04</v>
      </c>
      <c r="E418" s="25">
        <v>1344</v>
      </c>
      <c r="F418" s="26" t="s">
        <v>537</v>
      </c>
      <c r="G418" s="26" t="s">
        <v>28</v>
      </c>
      <c r="H418" s="26" t="s">
        <v>349</v>
      </c>
      <c r="I418" s="26" t="s">
        <v>538</v>
      </c>
      <c r="J418" s="26" t="s">
        <v>551</v>
      </c>
      <c r="K418" s="26" t="s">
        <v>381</v>
      </c>
      <c r="L418" s="26" t="s">
        <v>302</v>
      </c>
      <c r="M418" s="26" t="s">
        <v>323</v>
      </c>
      <c r="N418" s="26">
        <v>70</v>
      </c>
      <c r="O418" s="26">
        <f>2024-Inventory[[#This Row],[YrBlt]]</f>
        <v>64</v>
      </c>
      <c r="P418" s="26">
        <f>2024-Inventory[[#This Row],[EffYr]]</f>
        <v>49</v>
      </c>
      <c r="Q418" s="25">
        <v>1960</v>
      </c>
      <c r="R418" s="25">
        <v>1975</v>
      </c>
      <c r="S418" s="25">
        <v>1008</v>
      </c>
      <c r="T418" s="27"/>
      <c r="U418" s="31"/>
      <c r="V418" s="31">
        <f>Inventory[[#This Row],[Bsmt]]-Inventory[[#This Row],[FnBsmt]]</f>
        <v>0</v>
      </c>
      <c r="W418" s="31"/>
      <c r="X418" s="27"/>
      <c r="Y418" s="27">
        <f>Inventory[[#This Row],[MainFn]]+Inventory[[#This Row],[UpprFn]]+Inventory[[#This Row],[FnBsmt]]+Inventory[[#This Row],[AddFn]]</f>
        <v>1008</v>
      </c>
      <c r="Z418" s="27">
        <v>1500</v>
      </c>
      <c r="AA418" s="25">
        <v>5</v>
      </c>
      <c r="AB418" s="32">
        <v>336</v>
      </c>
      <c r="AC418" s="27"/>
      <c r="AD418" s="31"/>
      <c r="AE418" s="27"/>
      <c r="AF418" s="27"/>
      <c r="AG418" s="27"/>
      <c r="AH418" s="27"/>
      <c r="AI418" s="25">
        <v>219068</v>
      </c>
      <c r="AJ418" s="25">
        <v>155538</v>
      </c>
      <c r="AK418" s="25">
        <v>0</v>
      </c>
      <c r="AL418" s="25">
        <v>209000</v>
      </c>
      <c r="AM418" s="25">
        <v>31400</v>
      </c>
      <c r="AN418" s="25">
        <v>177600</v>
      </c>
      <c r="AO418" s="25">
        <v>0</v>
      </c>
      <c r="AP418" s="25">
        <f>Lookups!$B$56*0</f>
        <v>0</v>
      </c>
      <c r="AQ418" s="25">
        <f>Lookups!$B$56*1</f>
        <v>89850.625589999996</v>
      </c>
      <c r="AR418" s="25">
        <f>Lookups!$B$57*Inventory[[#This Row],[LnAcres]]</f>
        <v>-101892.2773541973</v>
      </c>
      <c r="AS418" s="25">
        <f>VLOOKUP(Inventory[[#This Row],[Qlty]],Lookups!$A$62:$E$75,2,FALSE)</f>
        <v>29814.093161000001</v>
      </c>
      <c r="AT418" s="25">
        <f>VLOOKUP(Inventory[[#This Row],[Cnd]],Lookups!$A$76:$E$84,2,FALSE)</f>
        <v>160472.20319</v>
      </c>
      <c r="AU418" s="25">
        <f>Inventory[[#This Row],[EffAge]]*Lookups!$B$85</f>
        <v>-10929.2344245</v>
      </c>
      <c r="AV418" s="25">
        <f>Inventory[[#This Row],[MainFn]]*Lookups!$B$86</f>
        <v>49803.939236015998</v>
      </c>
      <c r="AW418" s="25">
        <f>Inventory[[#This Row],[UpprFn]]*Lookups!$B$87</f>
        <v>0</v>
      </c>
      <c r="AX418" s="25">
        <f>Inventory[[#This Row],[AddFn]]*Lookups!$B$88</f>
        <v>0</v>
      </c>
      <c r="AY418" s="25">
        <f>Inventory[[#This Row],[Bsmt]]*Lookups!$B$89</f>
        <v>0</v>
      </c>
      <c r="AZ418" s="25">
        <f>Inventory[[#This Row],[Fixtures]]*Lookups!$B$90</f>
        <v>18960.110526</v>
      </c>
      <c r="BA418" s="25">
        <f>Inventory[[#This Row],[WdDeck]]*Lookups!$B$91</f>
        <v>0</v>
      </c>
      <c r="BB418" s="25">
        <f>ROUND(Inventory[[#This Row],[25Det]],-2)</f>
        <v>0</v>
      </c>
      <c r="BC418" s="25">
        <f>ROUND(SUM(Inventory[[#This Row],[Mdl Qlty]:[Mdl WdDeck]])+Inventory[[#This Row],[Mdl Res Intercept]],-2)</f>
        <v>248100</v>
      </c>
      <c r="BD418" s="25">
        <f>ROUND(Inventory[[#This Row],[Mdl Land Intercept]]+Inventory[[#This Row],[Mdl LnAcres]],-2)</f>
        <v>-12000</v>
      </c>
      <c r="BE418" s="25">
        <f>Inventory[[#This Row],[Unadj Res Value]]+Inventory[[#This Row],[Unadj Det Value]]+Inventory[[#This Row],[Unadj Land Value]]</f>
        <v>236100</v>
      </c>
      <c r="BF418" s="36">
        <f>(Inventory[[#This Row],[Unadj Total Value]]-Inventory[[#This Row],[24Final]])/Inventory[[#This Row],[24Final]]</f>
        <v>0.12966507177033493</v>
      </c>
      <c r="BG418" s="25">
        <f>VLOOKUP(Inventory[[#This Row],[Nbhd]],Lookups!$Q$2:$T$4,4,FALSE)</f>
        <v>0.99970000000000003</v>
      </c>
      <c r="BH418" s="25">
        <f>VLOOKUP(Inventory[[#This Row],[Qlty]],Lookups!$O$7:$R$21,4,FALSE)</f>
        <v>1.0088999999999999</v>
      </c>
      <c r="BI418" s="25">
        <f>VLOOKUP(Inventory[[#This Row],[Cnd]],Lookups!$T$7:$W$16,4,FALSE)</f>
        <v>0.99729999999999996</v>
      </c>
      <c r="BJ418" s="25">
        <f>VLOOKUP(Inventory[[#This Row],[LivArea Range]],Lookups!$T$25:$W$37,4,FALSE)</f>
        <v>1.0157</v>
      </c>
      <c r="BK418" s="25">
        <f>VLOOKUP(Inventory[[#This Row],[Decade]],Lookups!$O$25:$R$42,4,FALSE)</f>
        <v>1.0199</v>
      </c>
      <c r="BL418" s="25">
        <f>Inventory[[#This Row],[Nbhd Adj]]*0.95</f>
        <v>0.94971499999999998</v>
      </c>
      <c r="BM418" s="25">
        <f>Inventory[[#This Row],[Nbhd Adj]]*Inventory[[#This Row],[Quality Adj]]*Inventory[[#This Row],[Condition Adj]]*Inventory[[#This Row],[Living Area Adj]]*Inventory[[#This Row],[Decade Adj]]*0.95</f>
        <v>0.98989762598047604</v>
      </c>
      <c r="BN418" s="25">
        <f>ROUND(SUM(Inventory[[#This Row],[Mdl Qlty]:[Mdl WdDeck]])+Inventory[[#This Row],[Mdl Res Intercept]]*Inventory[[#This Row],[Res Adj ]],-2)</f>
        <v>248100</v>
      </c>
      <c r="BO418" s="25">
        <f>ROUND(Inventory[[#This Row],[25Det]]*Inventory[[#This Row],[Det/Nbhd Adj]],-2)</f>
        <v>0</v>
      </c>
      <c r="BP418" s="25">
        <f>Inventory[[#This Row],[Adjusted Res]]+Inventory[[#This Row],[Adj Det ]]</f>
        <v>248100</v>
      </c>
      <c r="BQ418" s="25">
        <f>ROUND((Inventory[[#This Row],[Mdl Land Intercept]]+Inventory[[#This Row],[Mdl LnAcres]])*Inventory[[#This Row],[Det/Nbhd Adj]],-2)</f>
        <v>-11400</v>
      </c>
      <c r="BR418" s="25">
        <f>Inventory[[#This Row],[Adjusted Impr Total]]+Inventory[[#This Row],[Adjusted Land Total]]</f>
        <v>236700</v>
      </c>
      <c r="BS418" s="36">
        <f>IFERROR((Inventory[[#This Row],[Adjusted Impr Total]]-Inventory[[#This Row],[24Bldg]])/Inventory[[#This Row],[24Bldg]],0)</f>
        <v>0.39695945945945948</v>
      </c>
      <c r="BT418" s="36">
        <f>(Inventory[[#This Row],[Adjusted Land Total]]-Inventory[[#This Row],[24Lnd]])/Inventory[[#This Row],[24Lnd]]</f>
        <v>-1.3630573248407643</v>
      </c>
      <c r="BU418" s="36">
        <f>(Inventory[[#This Row],[Adjusted Total]]-Inventory[[#This Row],[24Final]])/Inventory[[#This Row],[24Final]]</f>
        <v>0.13253588516746412</v>
      </c>
    </row>
    <row r="419" spans="1:73" x14ac:dyDescent="0.3">
      <c r="A419" s="25">
        <v>2025</v>
      </c>
      <c r="B419" s="26" t="s">
        <v>1522</v>
      </c>
      <c r="C419" s="26">
        <f>LN(Inventory[[#This Row],[Acres]])</f>
        <v>-3.2188758248682006</v>
      </c>
      <c r="D419" s="25">
        <v>0.04</v>
      </c>
      <c r="E419" s="32">
        <v>1344</v>
      </c>
      <c r="F419" s="26" t="s">
        <v>537</v>
      </c>
      <c r="G419" s="26" t="s">
        <v>28</v>
      </c>
      <c r="H419" s="26" t="s">
        <v>349</v>
      </c>
      <c r="I419" s="26" t="s">
        <v>538</v>
      </c>
      <c r="J419" s="26" t="s">
        <v>551</v>
      </c>
      <c r="K419" s="26" t="s">
        <v>381</v>
      </c>
      <c r="L419" s="26" t="s">
        <v>302</v>
      </c>
      <c r="M419" s="26" t="s">
        <v>323</v>
      </c>
      <c r="N419" s="26">
        <v>70</v>
      </c>
      <c r="O419" s="26">
        <f>2024-Inventory[[#This Row],[YrBlt]]</f>
        <v>64</v>
      </c>
      <c r="P419" s="26">
        <f>2024-Inventory[[#This Row],[EffYr]]</f>
        <v>49</v>
      </c>
      <c r="Q419" s="25">
        <v>1960</v>
      </c>
      <c r="R419" s="25">
        <v>1975</v>
      </c>
      <c r="S419" s="25">
        <v>1008</v>
      </c>
      <c r="T419" s="31"/>
      <c r="U419" s="31"/>
      <c r="V419" s="31">
        <f>Inventory[[#This Row],[Bsmt]]-Inventory[[#This Row],[FnBsmt]]</f>
        <v>0</v>
      </c>
      <c r="W419" s="31"/>
      <c r="X419" s="27"/>
      <c r="Y419" s="27">
        <f>Inventory[[#This Row],[MainFn]]+Inventory[[#This Row],[UpprFn]]+Inventory[[#This Row],[FnBsmt]]+Inventory[[#This Row],[AddFn]]</f>
        <v>1008</v>
      </c>
      <c r="Z419" s="27">
        <v>1500</v>
      </c>
      <c r="AA419" s="25">
        <v>5</v>
      </c>
      <c r="AB419" s="25">
        <v>336</v>
      </c>
      <c r="AC419" s="27"/>
      <c r="AD419" s="27"/>
      <c r="AE419" s="27"/>
      <c r="AF419" s="27"/>
      <c r="AG419" s="27"/>
      <c r="AH419" s="27"/>
      <c r="AI419" s="25">
        <v>219068</v>
      </c>
      <c r="AJ419" s="25">
        <v>155538</v>
      </c>
      <c r="AK419" s="25">
        <v>0</v>
      </c>
      <c r="AL419" s="25">
        <v>209000</v>
      </c>
      <c r="AM419" s="25">
        <v>31400</v>
      </c>
      <c r="AN419" s="25">
        <v>177600</v>
      </c>
      <c r="AO419" s="25">
        <v>0</v>
      </c>
      <c r="AP419" s="25">
        <f>Lookups!$B$56*0</f>
        <v>0</v>
      </c>
      <c r="AQ419" s="25">
        <f>Lookups!$B$56*1</f>
        <v>89850.625589999996</v>
      </c>
      <c r="AR419" s="25">
        <f>Lookups!$B$57*Inventory[[#This Row],[LnAcres]]</f>
        <v>-101892.2773541973</v>
      </c>
      <c r="AS419" s="25">
        <f>VLOOKUP(Inventory[[#This Row],[Qlty]],Lookups!$A$62:$E$75,2,FALSE)</f>
        <v>29814.093161000001</v>
      </c>
      <c r="AT419" s="25">
        <f>VLOOKUP(Inventory[[#This Row],[Cnd]],Lookups!$A$76:$E$84,2,FALSE)</f>
        <v>160472.20319</v>
      </c>
      <c r="AU419" s="25">
        <f>Inventory[[#This Row],[EffAge]]*Lookups!$B$85</f>
        <v>-10929.2344245</v>
      </c>
      <c r="AV419" s="25">
        <f>Inventory[[#This Row],[MainFn]]*Lookups!$B$86</f>
        <v>49803.939236015998</v>
      </c>
      <c r="AW419" s="25">
        <f>Inventory[[#This Row],[UpprFn]]*Lookups!$B$87</f>
        <v>0</v>
      </c>
      <c r="AX419" s="25">
        <f>Inventory[[#This Row],[AddFn]]*Lookups!$B$88</f>
        <v>0</v>
      </c>
      <c r="AY419" s="25">
        <f>Inventory[[#This Row],[Bsmt]]*Lookups!$B$89</f>
        <v>0</v>
      </c>
      <c r="AZ419" s="25">
        <f>Inventory[[#This Row],[Fixtures]]*Lookups!$B$90</f>
        <v>18960.110526</v>
      </c>
      <c r="BA419" s="25">
        <f>Inventory[[#This Row],[WdDeck]]*Lookups!$B$91</f>
        <v>0</v>
      </c>
      <c r="BB419" s="25">
        <f>ROUND(Inventory[[#This Row],[25Det]],-2)</f>
        <v>0</v>
      </c>
      <c r="BC419" s="25">
        <f>ROUND(SUM(Inventory[[#This Row],[Mdl Qlty]:[Mdl WdDeck]])+Inventory[[#This Row],[Mdl Res Intercept]],-2)</f>
        <v>248100</v>
      </c>
      <c r="BD419" s="25">
        <f>ROUND(Inventory[[#This Row],[Mdl Land Intercept]]+Inventory[[#This Row],[Mdl LnAcres]],-2)</f>
        <v>-12000</v>
      </c>
      <c r="BE419" s="25">
        <f>Inventory[[#This Row],[Unadj Res Value]]+Inventory[[#This Row],[Unadj Det Value]]+Inventory[[#This Row],[Unadj Land Value]]</f>
        <v>236100</v>
      </c>
      <c r="BF419" s="36">
        <f>(Inventory[[#This Row],[Unadj Total Value]]-Inventory[[#This Row],[24Final]])/Inventory[[#This Row],[24Final]]</f>
        <v>0.12966507177033493</v>
      </c>
      <c r="BG419" s="25">
        <f>VLOOKUP(Inventory[[#This Row],[Nbhd]],Lookups!$Q$2:$T$4,4,FALSE)</f>
        <v>0.99970000000000003</v>
      </c>
      <c r="BH419" s="25">
        <f>VLOOKUP(Inventory[[#This Row],[Qlty]],Lookups!$O$7:$R$21,4,FALSE)</f>
        <v>1.0088999999999999</v>
      </c>
      <c r="BI419" s="25">
        <f>VLOOKUP(Inventory[[#This Row],[Cnd]],Lookups!$T$7:$W$16,4,FALSE)</f>
        <v>0.99729999999999996</v>
      </c>
      <c r="BJ419" s="25">
        <f>VLOOKUP(Inventory[[#This Row],[LivArea Range]],Lookups!$T$25:$W$37,4,FALSE)</f>
        <v>1.0157</v>
      </c>
      <c r="BK419" s="25">
        <f>VLOOKUP(Inventory[[#This Row],[Decade]],Lookups!$O$25:$R$42,4,FALSE)</f>
        <v>1.0199</v>
      </c>
      <c r="BL419" s="25">
        <f>Inventory[[#This Row],[Nbhd Adj]]*0.95</f>
        <v>0.94971499999999998</v>
      </c>
      <c r="BM419" s="25">
        <f>Inventory[[#This Row],[Nbhd Adj]]*Inventory[[#This Row],[Quality Adj]]*Inventory[[#This Row],[Condition Adj]]*Inventory[[#This Row],[Living Area Adj]]*Inventory[[#This Row],[Decade Adj]]*0.95</f>
        <v>0.98989762598047604</v>
      </c>
      <c r="BN419" s="25">
        <f>ROUND(SUM(Inventory[[#This Row],[Mdl Qlty]:[Mdl WdDeck]])+Inventory[[#This Row],[Mdl Res Intercept]]*Inventory[[#This Row],[Res Adj ]],-2)</f>
        <v>248100</v>
      </c>
      <c r="BO419" s="25">
        <f>ROUND(Inventory[[#This Row],[25Det]]*Inventory[[#This Row],[Det/Nbhd Adj]],-2)</f>
        <v>0</v>
      </c>
      <c r="BP419" s="25">
        <f>Inventory[[#This Row],[Adjusted Res]]+Inventory[[#This Row],[Adj Det ]]</f>
        <v>248100</v>
      </c>
      <c r="BQ419" s="25">
        <f>ROUND((Inventory[[#This Row],[Mdl Land Intercept]]+Inventory[[#This Row],[Mdl LnAcres]])*Inventory[[#This Row],[Det/Nbhd Adj]],-2)</f>
        <v>-11400</v>
      </c>
      <c r="BR419" s="25">
        <f>Inventory[[#This Row],[Adjusted Impr Total]]+Inventory[[#This Row],[Adjusted Land Total]]</f>
        <v>236700</v>
      </c>
      <c r="BS419" s="36">
        <f>IFERROR((Inventory[[#This Row],[Adjusted Impr Total]]-Inventory[[#This Row],[24Bldg]])/Inventory[[#This Row],[24Bldg]],0)</f>
        <v>0.39695945945945948</v>
      </c>
      <c r="BT419" s="36">
        <f>(Inventory[[#This Row],[Adjusted Land Total]]-Inventory[[#This Row],[24Lnd]])/Inventory[[#This Row],[24Lnd]]</f>
        <v>-1.3630573248407643</v>
      </c>
      <c r="BU419" s="36">
        <f>(Inventory[[#This Row],[Adjusted Total]]-Inventory[[#This Row],[24Final]])/Inventory[[#This Row],[24Final]]</f>
        <v>0.13253588516746412</v>
      </c>
    </row>
    <row r="420" spans="1:73" x14ac:dyDescent="0.3">
      <c r="A420" s="25">
        <v>2025</v>
      </c>
      <c r="B420" s="26" t="s">
        <v>1374</v>
      </c>
      <c r="C420" s="26">
        <f>LN(Inventory[[#This Row],[Acres]])</f>
        <v>-1.5141277326297755</v>
      </c>
      <c r="D420" s="25">
        <v>0.22</v>
      </c>
      <c r="E420" s="32">
        <v>9630</v>
      </c>
      <c r="F420" s="26" t="s">
        <v>537</v>
      </c>
      <c r="G420" s="26" t="s">
        <v>126</v>
      </c>
      <c r="H420" s="26" t="s">
        <v>349</v>
      </c>
      <c r="I420" s="26" t="s">
        <v>538</v>
      </c>
      <c r="J420" s="26" t="s">
        <v>539</v>
      </c>
      <c r="K420" s="26" t="s">
        <v>241</v>
      </c>
      <c r="L420" s="26" t="s">
        <v>351</v>
      </c>
      <c r="M420" s="26" t="s">
        <v>303</v>
      </c>
      <c r="N420" s="26">
        <v>70</v>
      </c>
      <c r="O420" s="26">
        <f>2024-Inventory[[#This Row],[YrBlt]]</f>
        <v>64</v>
      </c>
      <c r="P420" s="26">
        <f>2024-Inventory[[#This Row],[EffYr]]</f>
        <v>49</v>
      </c>
      <c r="Q420" s="25">
        <v>1960</v>
      </c>
      <c r="R420" s="25">
        <v>1975</v>
      </c>
      <c r="S420" s="25">
        <v>1296</v>
      </c>
      <c r="T420" s="31"/>
      <c r="U420" s="25">
        <v>1296</v>
      </c>
      <c r="V420" s="32">
        <f>Inventory[[#This Row],[Bsmt]]-Inventory[[#This Row],[FnBsmt]]</f>
        <v>796</v>
      </c>
      <c r="W420" s="32">
        <v>500</v>
      </c>
      <c r="X420" s="27"/>
      <c r="Y420" s="27">
        <f>Inventory[[#This Row],[MainFn]]+Inventory[[#This Row],[UpprFn]]+Inventory[[#This Row],[FnBsmt]]+Inventory[[#This Row],[AddFn]]</f>
        <v>1796</v>
      </c>
      <c r="Z420" s="27">
        <v>2000</v>
      </c>
      <c r="AA420" s="25">
        <v>8</v>
      </c>
      <c r="AB420" s="32">
        <v>540</v>
      </c>
      <c r="AC420" s="27"/>
      <c r="AD420" s="32">
        <v>466</v>
      </c>
      <c r="AE420" s="27"/>
      <c r="AF420" s="27"/>
      <c r="AG420" s="27"/>
      <c r="AH420" s="27"/>
      <c r="AI420" s="25">
        <v>321213</v>
      </c>
      <c r="AJ420" s="25">
        <v>231273</v>
      </c>
      <c r="AK420" s="25">
        <v>0</v>
      </c>
      <c r="AL420" s="25">
        <v>355500</v>
      </c>
      <c r="AM420" s="25">
        <v>61700</v>
      </c>
      <c r="AN420" s="25">
        <v>293800</v>
      </c>
      <c r="AO420" s="25">
        <v>0</v>
      </c>
      <c r="AP420" s="25">
        <f>Lookups!$B$56*0</f>
        <v>0</v>
      </c>
      <c r="AQ420" s="25">
        <f>Lookups!$B$56*1</f>
        <v>89850.625589999996</v>
      </c>
      <c r="AR420" s="25">
        <f>Lookups!$B$57*Inventory[[#This Row],[LnAcres]]</f>
        <v>-47929.131559187132</v>
      </c>
      <c r="AS420" s="25">
        <f>VLOOKUP(Inventory[[#This Row],[Qlty]],Lookups!$A$62:$E$75,2,FALSE)</f>
        <v>21557.329055999999</v>
      </c>
      <c r="AT420" s="25">
        <f>VLOOKUP(Inventory[[#This Row],[Cnd]],Lookups!$A$76:$E$84,2,FALSE)</f>
        <v>197752.34721000001</v>
      </c>
      <c r="AU420" s="25">
        <f>Inventory[[#This Row],[EffAge]]*Lookups!$B$85</f>
        <v>-10929.2344245</v>
      </c>
      <c r="AV420" s="25">
        <f>Inventory[[#This Row],[MainFn]]*Lookups!$B$86</f>
        <v>64033.636160592003</v>
      </c>
      <c r="AW420" s="25">
        <f>Inventory[[#This Row],[UpprFn]]*Lookups!$B$87</f>
        <v>0</v>
      </c>
      <c r="AX420" s="25">
        <f>Inventory[[#This Row],[AddFn]]*Lookups!$B$88</f>
        <v>0</v>
      </c>
      <c r="AY420" s="25">
        <f>Inventory[[#This Row],[Bsmt]]*Lookups!$B$89</f>
        <v>37690.136240111999</v>
      </c>
      <c r="AZ420" s="25">
        <f>Inventory[[#This Row],[Fixtures]]*Lookups!$B$90</f>
        <v>30336.176841600001</v>
      </c>
      <c r="BA420" s="25">
        <f>Inventory[[#This Row],[WdDeck]]*Lookups!$B$91</f>
        <v>15515.710118616002</v>
      </c>
      <c r="BB420" s="25">
        <f>ROUND(Inventory[[#This Row],[25Det]],-2)</f>
        <v>0</v>
      </c>
      <c r="BC420" s="25">
        <f>ROUND(SUM(Inventory[[#This Row],[Mdl Qlty]:[Mdl WdDeck]])+Inventory[[#This Row],[Mdl Res Intercept]],-2)</f>
        <v>356000</v>
      </c>
      <c r="BD420" s="25">
        <f>ROUND(Inventory[[#This Row],[Mdl Land Intercept]]+Inventory[[#This Row],[Mdl LnAcres]],-2)</f>
        <v>41900</v>
      </c>
      <c r="BE420" s="25">
        <f>Inventory[[#This Row],[Unadj Res Value]]+Inventory[[#This Row],[Unadj Det Value]]+Inventory[[#This Row],[Unadj Land Value]]</f>
        <v>397900</v>
      </c>
      <c r="BF420" s="36">
        <f>(Inventory[[#This Row],[Unadj Total Value]]-Inventory[[#This Row],[24Final]])/Inventory[[#This Row],[24Final]]</f>
        <v>0.11926863572433193</v>
      </c>
      <c r="BG420" s="25">
        <f>VLOOKUP(Inventory[[#This Row],[Nbhd]],Lookups!$Q$2:$T$4,4,FALSE)</f>
        <v>0.99970000000000003</v>
      </c>
      <c r="BH420" s="25">
        <f>VLOOKUP(Inventory[[#This Row],[Qlty]],Lookups!$O$7:$R$21,4,FALSE)</f>
        <v>1.0067999999999999</v>
      </c>
      <c r="BI420" s="25">
        <f>VLOOKUP(Inventory[[#This Row],[Cnd]],Lookups!$T$7:$W$16,4,FALSE)</f>
        <v>0.99650000000000005</v>
      </c>
      <c r="BJ420" s="25">
        <f>VLOOKUP(Inventory[[#This Row],[LivArea Range]],Lookups!$T$25:$W$37,4,FALSE)</f>
        <v>1.0093000000000001</v>
      </c>
      <c r="BK420" s="25">
        <f>VLOOKUP(Inventory[[#This Row],[Decade]],Lookups!$O$25:$R$42,4,FALSE)</f>
        <v>1.0199</v>
      </c>
      <c r="BL420" s="25">
        <f>Inventory[[#This Row],[Nbhd Adj]]*0.95</f>
        <v>0.94971499999999998</v>
      </c>
      <c r="BM420" s="25">
        <f>Inventory[[#This Row],[Nbhd Adj]]*Inventory[[#This Row],[Quality Adj]]*Inventory[[#This Row],[Condition Adj]]*Inventory[[#This Row],[Living Area Adj]]*Inventory[[#This Row],[Decade Adj]]*0.95</f>
        <v>0.98082532839872782</v>
      </c>
      <c r="BN420" s="25">
        <f>ROUND(SUM(Inventory[[#This Row],[Mdl Qlty]:[Mdl WdDeck]])+Inventory[[#This Row],[Mdl Res Intercept]]*Inventory[[#This Row],[Res Adj ]],-2)</f>
        <v>356000</v>
      </c>
      <c r="BO420" s="25">
        <f>ROUND(Inventory[[#This Row],[25Det]]*Inventory[[#This Row],[Det/Nbhd Adj]],-2)</f>
        <v>0</v>
      </c>
      <c r="BP420" s="25">
        <f>Inventory[[#This Row],[Adjusted Res]]+Inventory[[#This Row],[Adj Det ]]</f>
        <v>356000</v>
      </c>
      <c r="BQ420" s="25">
        <f>ROUND((Inventory[[#This Row],[Mdl Land Intercept]]+Inventory[[#This Row],[Mdl LnAcres]])*Inventory[[#This Row],[Det/Nbhd Adj]],-2)</f>
        <v>39800</v>
      </c>
      <c r="BR420" s="25">
        <f>Inventory[[#This Row],[Adjusted Impr Total]]+Inventory[[#This Row],[Adjusted Land Total]]</f>
        <v>395800</v>
      </c>
      <c r="BS420" s="36">
        <f>IFERROR((Inventory[[#This Row],[Adjusted Impr Total]]-Inventory[[#This Row],[24Bldg]])/Inventory[[#This Row],[24Bldg]],0)</f>
        <v>0.21170864533696393</v>
      </c>
      <c r="BT420" s="36">
        <f>(Inventory[[#This Row],[Adjusted Land Total]]-Inventory[[#This Row],[24Lnd]])/Inventory[[#This Row],[24Lnd]]</f>
        <v>-0.35494327390599678</v>
      </c>
      <c r="BU420" s="36">
        <f>(Inventory[[#This Row],[Adjusted Total]]-Inventory[[#This Row],[24Final]])/Inventory[[#This Row],[24Final]]</f>
        <v>0.11336146272855134</v>
      </c>
    </row>
    <row r="421" spans="1:73" x14ac:dyDescent="0.3">
      <c r="A421" s="25">
        <v>2025</v>
      </c>
      <c r="B421" s="26" t="s">
        <v>1519</v>
      </c>
      <c r="C421" s="26">
        <f>LN(Inventory[[#This Row],[Acres]])</f>
        <v>-2.9957322735539909</v>
      </c>
      <c r="D421" s="25">
        <v>0.05</v>
      </c>
      <c r="E421" s="25">
        <v>1400</v>
      </c>
      <c r="F421" s="26" t="s">
        <v>537</v>
      </c>
      <c r="G421" s="26" t="s">
        <v>28</v>
      </c>
      <c r="H421" s="26" t="s">
        <v>349</v>
      </c>
      <c r="I421" s="26" t="s">
        <v>538</v>
      </c>
      <c r="J421" s="26" t="s">
        <v>551</v>
      </c>
      <c r="K421" s="26" t="s">
        <v>381</v>
      </c>
      <c r="L421" s="26" t="s">
        <v>302</v>
      </c>
      <c r="M421" s="26" t="s">
        <v>323</v>
      </c>
      <c r="N421" s="26">
        <v>70</v>
      </c>
      <c r="O421" s="26">
        <f>2024-Inventory[[#This Row],[YrBlt]]</f>
        <v>64</v>
      </c>
      <c r="P421" s="26">
        <f>2024-Inventory[[#This Row],[EffYr]]</f>
        <v>49</v>
      </c>
      <c r="Q421" s="25">
        <v>1960</v>
      </c>
      <c r="R421" s="25">
        <v>1975</v>
      </c>
      <c r="S421" s="25">
        <v>1064</v>
      </c>
      <c r="T421" s="27"/>
      <c r="U421" s="31"/>
      <c r="V421" s="31">
        <f>Inventory[[#This Row],[Bsmt]]-Inventory[[#This Row],[FnBsmt]]</f>
        <v>0</v>
      </c>
      <c r="W421" s="31"/>
      <c r="X421" s="27"/>
      <c r="Y421" s="27">
        <f>Inventory[[#This Row],[MainFn]]+Inventory[[#This Row],[UpprFn]]+Inventory[[#This Row],[FnBsmt]]+Inventory[[#This Row],[AddFn]]</f>
        <v>1064</v>
      </c>
      <c r="Z421" s="27">
        <v>1500</v>
      </c>
      <c r="AA421" s="25">
        <v>7</v>
      </c>
      <c r="AB421" s="32">
        <v>336</v>
      </c>
      <c r="AC421" s="27"/>
      <c r="AD421" s="27"/>
      <c r="AE421" s="27"/>
      <c r="AF421" s="27"/>
      <c r="AG421" s="27"/>
      <c r="AH421" s="27"/>
      <c r="AI421" s="25">
        <v>240094</v>
      </c>
      <c r="AJ421" s="25">
        <v>170467</v>
      </c>
      <c r="AK421" s="25">
        <v>0</v>
      </c>
      <c r="AL421" s="25">
        <v>229000</v>
      </c>
      <c r="AM421" s="25">
        <v>34400</v>
      </c>
      <c r="AN421" s="25">
        <v>194600</v>
      </c>
      <c r="AO421" s="25">
        <v>0</v>
      </c>
      <c r="AP421" s="25">
        <f>Lookups!$B$56*0</f>
        <v>0</v>
      </c>
      <c r="AQ421" s="25">
        <f>Lookups!$B$56*1</f>
        <v>89850.625589999996</v>
      </c>
      <c r="AR421" s="25">
        <f>Lookups!$B$57*Inventory[[#This Row],[LnAcres]]</f>
        <v>-94828.753982263879</v>
      </c>
      <c r="AS421" s="25">
        <f>VLOOKUP(Inventory[[#This Row],[Qlty]],Lookups!$A$62:$E$75,2,FALSE)</f>
        <v>29814.093161000001</v>
      </c>
      <c r="AT421" s="25">
        <f>VLOOKUP(Inventory[[#This Row],[Cnd]],Lookups!$A$76:$E$84,2,FALSE)</f>
        <v>160472.20319</v>
      </c>
      <c r="AU421" s="25">
        <f>Inventory[[#This Row],[EffAge]]*Lookups!$B$85</f>
        <v>-10929.2344245</v>
      </c>
      <c r="AV421" s="25">
        <f>Inventory[[#This Row],[MainFn]]*Lookups!$B$86</f>
        <v>52570.824749127998</v>
      </c>
      <c r="AW421" s="25">
        <f>Inventory[[#This Row],[UpprFn]]*Lookups!$B$87</f>
        <v>0</v>
      </c>
      <c r="AX421" s="25">
        <f>Inventory[[#This Row],[AddFn]]*Lookups!$B$88</f>
        <v>0</v>
      </c>
      <c r="AY421" s="25">
        <f>Inventory[[#This Row],[Bsmt]]*Lookups!$B$89</f>
        <v>0</v>
      </c>
      <c r="AZ421" s="25">
        <f>Inventory[[#This Row],[Fixtures]]*Lookups!$B$90</f>
        <v>26544.1547364</v>
      </c>
      <c r="BA421" s="25">
        <f>Inventory[[#This Row],[WdDeck]]*Lookups!$B$91</f>
        <v>0</v>
      </c>
      <c r="BB421" s="25">
        <f>ROUND(Inventory[[#This Row],[25Det]],-2)</f>
        <v>0</v>
      </c>
      <c r="BC421" s="25">
        <f>ROUND(SUM(Inventory[[#This Row],[Mdl Qlty]:[Mdl WdDeck]])+Inventory[[#This Row],[Mdl Res Intercept]],-2)</f>
        <v>258500</v>
      </c>
      <c r="BD421" s="25">
        <f>ROUND(Inventory[[#This Row],[Mdl Land Intercept]]+Inventory[[#This Row],[Mdl LnAcres]],-2)</f>
        <v>-5000</v>
      </c>
      <c r="BE421" s="25">
        <f>Inventory[[#This Row],[Unadj Res Value]]+Inventory[[#This Row],[Unadj Det Value]]+Inventory[[#This Row],[Unadj Land Value]]</f>
        <v>253500</v>
      </c>
      <c r="BF421" s="36">
        <f>(Inventory[[#This Row],[Unadj Total Value]]-Inventory[[#This Row],[24Final]])/Inventory[[#This Row],[24Final]]</f>
        <v>0.10698689956331878</v>
      </c>
      <c r="BG421" s="25">
        <f>VLOOKUP(Inventory[[#This Row],[Nbhd]],Lookups!$Q$2:$T$4,4,FALSE)</f>
        <v>0.99970000000000003</v>
      </c>
      <c r="BH421" s="25">
        <f>VLOOKUP(Inventory[[#This Row],[Qlty]],Lookups!$O$7:$R$21,4,FALSE)</f>
        <v>1.0088999999999999</v>
      </c>
      <c r="BI421" s="25">
        <f>VLOOKUP(Inventory[[#This Row],[Cnd]],Lookups!$T$7:$W$16,4,FALSE)</f>
        <v>0.99729999999999996</v>
      </c>
      <c r="BJ421" s="25">
        <f>VLOOKUP(Inventory[[#This Row],[LivArea Range]],Lookups!$T$25:$W$37,4,FALSE)</f>
        <v>1.0157</v>
      </c>
      <c r="BK421" s="25">
        <f>VLOOKUP(Inventory[[#This Row],[Decade]],Lookups!$O$25:$R$42,4,FALSE)</f>
        <v>1.0199</v>
      </c>
      <c r="BL421" s="25">
        <f>Inventory[[#This Row],[Nbhd Adj]]*0.95</f>
        <v>0.94971499999999998</v>
      </c>
      <c r="BM421" s="25">
        <f>Inventory[[#This Row],[Nbhd Adj]]*Inventory[[#This Row],[Quality Adj]]*Inventory[[#This Row],[Condition Adj]]*Inventory[[#This Row],[Living Area Adj]]*Inventory[[#This Row],[Decade Adj]]*0.95</f>
        <v>0.98989762598047604</v>
      </c>
      <c r="BN421" s="25">
        <f>ROUND(SUM(Inventory[[#This Row],[Mdl Qlty]:[Mdl WdDeck]])+Inventory[[#This Row],[Mdl Res Intercept]]*Inventory[[#This Row],[Res Adj ]],-2)</f>
        <v>258500</v>
      </c>
      <c r="BO421" s="25">
        <f>ROUND(Inventory[[#This Row],[25Det]]*Inventory[[#This Row],[Det/Nbhd Adj]],-2)</f>
        <v>0</v>
      </c>
      <c r="BP421" s="25">
        <f>Inventory[[#This Row],[Adjusted Res]]+Inventory[[#This Row],[Adj Det ]]</f>
        <v>258500</v>
      </c>
      <c r="BQ421" s="25">
        <f>ROUND((Inventory[[#This Row],[Mdl Land Intercept]]+Inventory[[#This Row],[Mdl LnAcres]])*Inventory[[#This Row],[Det/Nbhd Adj]],-2)</f>
        <v>-4700</v>
      </c>
      <c r="BR421" s="25">
        <f>Inventory[[#This Row],[Adjusted Impr Total]]+Inventory[[#This Row],[Adjusted Land Total]]</f>
        <v>253800</v>
      </c>
      <c r="BS421" s="36">
        <f>IFERROR((Inventory[[#This Row],[Adjusted Impr Total]]-Inventory[[#This Row],[24Bldg]])/Inventory[[#This Row],[24Bldg]],0)</f>
        <v>0.32836587872559098</v>
      </c>
      <c r="BT421" s="36">
        <f>(Inventory[[#This Row],[Adjusted Land Total]]-Inventory[[#This Row],[24Lnd]])/Inventory[[#This Row],[24Lnd]]</f>
        <v>-1.1366279069767442</v>
      </c>
      <c r="BU421" s="36">
        <f>(Inventory[[#This Row],[Adjusted Total]]-Inventory[[#This Row],[24Final]])/Inventory[[#This Row],[24Final]]</f>
        <v>0.10829694323144105</v>
      </c>
    </row>
    <row r="422" spans="1:73" x14ac:dyDescent="0.3">
      <c r="A422" s="25">
        <v>2025</v>
      </c>
      <c r="B422" s="26" t="s">
        <v>1006</v>
      </c>
      <c r="C422" s="26">
        <f>LN(Inventory[[#This Row],[Acres]])</f>
        <v>-1.3470736479666092</v>
      </c>
      <c r="D422" s="25">
        <v>0.26</v>
      </c>
      <c r="E422" s="25">
        <v>11472</v>
      </c>
      <c r="F422" s="26" t="s">
        <v>537</v>
      </c>
      <c r="G422" s="26" t="s">
        <v>126</v>
      </c>
      <c r="H422" s="26" t="s">
        <v>349</v>
      </c>
      <c r="I422" s="26" t="s">
        <v>538</v>
      </c>
      <c r="J422" s="26" t="s">
        <v>539</v>
      </c>
      <c r="K422" s="26" t="s">
        <v>241</v>
      </c>
      <c r="L422" s="26" t="s">
        <v>351</v>
      </c>
      <c r="M422" s="26" t="s">
        <v>303</v>
      </c>
      <c r="N422" s="26">
        <v>70</v>
      </c>
      <c r="O422" s="26">
        <f>2024-Inventory[[#This Row],[YrBlt]]</f>
        <v>64</v>
      </c>
      <c r="P422" s="26">
        <f>2024-Inventory[[#This Row],[EffYr]]</f>
        <v>49</v>
      </c>
      <c r="Q422" s="25">
        <v>1960</v>
      </c>
      <c r="R422" s="25">
        <v>1975</v>
      </c>
      <c r="S422" s="25">
        <v>1608</v>
      </c>
      <c r="T422" s="27"/>
      <c r="U422" s="25">
        <v>840</v>
      </c>
      <c r="V422" s="32">
        <f>Inventory[[#This Row],[Bsmt]]-Inventory[[#This Row],[FnBsmt]]</f>
        <v>840</v>
      </c>
      <c r="W422" s="27"/>
      <c r="X422" s="27"/>
      <c r="Y422" s="27">
        <f>Inventory[[#This Row],[MainFn]]+Inventory[[#This Row],[UpprFn]]+Inventory[[#This Row],[FnBsmt]]+Inventory[[#This Row],[AddFn]]</f>
        <v>1608</v>
      </c>
      <c r="Z422" s="27">
        <v>2000</v>
      </c>
      <c r="AA422" s="25">
        <v>8</v>
      </c>
      <c r="AB422" s="25">
        <v>572</v>
      </c>
      <c r="AC422" s="27"/>
      <c r="AD422" s="25">
        <v>240</v>
      </c>
      <c r="AE422" s="27"/>
      <c r="AF422" s="27"/>
      <c r="AG422" s="27"/>
      <c r="AH422" s="27"/>
      <c r="AI422" s="25">
        <v>322657</v>
      </c>
      <c r="AJ422" s="25">
        <v>232313</v>
      </c>
      <c r="AK422" s="25">
        <v>0</v>
      </c>
      <c r="AL422" s="25">
        <v>357300</v>
      </c>
      <c r="AM422" s="25">
        <v>67600</v>
      </c>
      <c r="AN422" s="25">
        <v>289700</v>
      </c>
      <c r="AO422" s="25">
        <v>0</v>
      </c>
      <c r="AP422" s="25">
        <f>Lookups!$B$56*0</f>
        <v>0</v>
      </c>
      <c r="AQ422" s="25">
        <f>Lookups!$B$56*1</f>
        <v>89850.625589999996</v>
      </c>
      <c r="AR422" s="25">
        <f>Lookups!$B$57*Inventory[[#This Row],[LnAcres]]</f>
        <v>-42641.098701210125</v>
      </c>
      <c r="AS422" s="25">
        <f>VLOOKUP(Inventory[[#This Row],[Qlty]],Lookups!$A$62:$E$75,2,FALSE)</f>
        <v>21557.329055999999</v>
      </c>
      <c r="AT422" s="25">
        <f>VLOOKUP(Inventory[[#This Row],[Cnd]],Lookups!$A$76:$E$84,2,FALSE)</f>
        <v>197752.34721000001</v>
      </c>
      <c r="AU422" s="25">
        <f>Inventory[[#This Row],[EffAge]]*Lookups!$B$85</f>
        <v>-10929.2344245</v>
      </c>
      <c r="AV422" s="25">
        <f>Inventory[[#This Row],[MainFn]]*Lookups!$B$86</f>
        <v>79449.141162216009</v>
      </c>
      <c r="AW422" s="25">
        <f>Inventory[[#This Row],[UpprFn]]*Lookups!$B$87</f>
        <v>0</v>
      </c>
      <c r="AX422" s="25">
        <f>Inventory[[#This Row],[AddFn]]*Lookups!$B$88</f>
        <v>0</v>
      </c>
      <c r="AY422" s="25">
        <f>Inventory[[#This Row],[Bsmt]]*Lookups!$B$89</f>
        <v>24428.792007479999</v>
      </c>
      <c r="AZ422" s="25">
        <f>Inventory[[#This Row],[Fixtures]]*Lookups!$B$90</f>
        <v>30336.176841600001</v>
      </c>
      <c r="BA422" s="25">
        <f>Inventory[[#This Row],[WdDeck]]*Lookups!$B$91</f>
        <v>7990.9236662400008</v>
      </c>
      <c r="BB422" s="25">
        <f>ROUND(Inventory[[#This Row],[25Det]],-2)</f>
        <v>0</v>
      </c>
      <c r="BC422" s="25">
        <f>ROUND(SUM(Inventory[[#This Row],[Mdl Qlty]:[Mdl WdDeck]])+Inventory[[#This Row],[Mdl Res Intercept]],-2)</f>
        <v>350600</v>
      </c>
      <c r="BD422" s="25">
        <f>ROUND(Inventory[[#This Row],[Mdl Land Intercept]]+Inventory[[#This Row],[Mdl LnAcres]],-2)</f>
        <v>47200</v>
      </c>
      <c r="BE422" s="25">
        <f>Inventory[[#This Row],[Unadj Res Value]]+Inventory[[#This Row],[Unadj Det Value]]+Inventory[[#This Row],[Unadj Land Value]]</f>
        <v>397800</v>
      </c>
      <c r="BF422" s="36">
        <f>(Inventory[[#This Row],[Unadj Total Value]]-Inventory[[#This Row],[24Final]])/Inventory[[#This Row],[24Final]]</f>
        <v>0.11335012594458438</v>
      </c>
      <c r="BG422" s="25">
        <f>VLOOKUP(Inventory[[#This Row],[Nbhd]],Lookups!$Q$2:$T$4,4,FALSE)</f>
        <v>0.99970000000000003</v>
      </c>
      <c r="BH422" s="25">
        <f>VLOOKUP(Inventory[[#This Row],[Qlty]],Lookups!$O$7:$R$21,4,FALSE)</f>
        <v>1.0067999999999999</v>
      </c>
      <c r="BI422" s="25">
        <f>VLOOKUP(Inventory[[#This Row],[Cnd]],Lookups!$T$7:$W$16,4,FALSE)</f>
        <v>0.99650000000000005</v>
      </c>
      <c r="BJ422" s="25">
        <f>VLOOKUP(Inventory[[#This Row],[LivArea Range]],Lookups!$T$25:$W$37,4,FALSE)</f>
        <v>1.0093000000000001</v>
      </c>
      <c r="BK422" s="25">
        <f>VLOOKUP(Inventory[[#This Row],[Decade]],Lookups!$O$25:$R$42,4,FALSE)</f>
        <v>1.0199</v>
      </c>
      <c r="BL422" s="25">
        <f>Inventory[[#This Row],[Nbhd Adj]]*0.95</f>
        <v>0.94971499999999998</v>
      </c>
      <c r="BM422" s="25">
        <f>Inventory[[#This Row],[Nbhd Adj]]*Inventory[[#This Row],[Quality Adj]]*Inventory[[#This Row],[Condition Adj]]*Inventory[[#This Row],[Living Area Adj]]*Inventory[[#This Row],[Decade Adj]]*0.95</f>
        <v>0.98082532839872782</v>
      </c>
      <c r="BN422" s="25">
        <f>ROUND(SUM(Inventory[[#This Row],[Mdl Qlty]:[Mdl WdDeck]])+Inventory[[#This Row],[Mdl Res Intercept]]*Inventory[[#This Row],[Res Adj ]],-2)</f>
        <v>350600</v>
      </c>
      <c r="BO422" s="25">
        <f>ROUND(Inventory[[#This Row],[25Det]]*Inventory[[#This Row],[Det/Nbhd Adj]],-2)</f>
        <v>0</v>
      </c>
      <c r="BP422" s="25">
        <f>Inventory[[#This Row],[Adjusted Res]]+Inventory[[#This Row],[Adj Det ]]</f>
        <v>350600</v>
      </c>
      <c r="BQ422" s="25">
        <f>ROUND((Inventory[[#This Row],[Mdl Land Intercept]]+Inventory[[#This Row],[Mdl LnAcres]])*Inventory[[#This Row],[Det/Nbhd Adj]],-2)</f>
        <v>44800</v>
      </c>
      <c r="BR422" s="25">
        <f>Inventory[[#This Row],[Adjusted Impr Total]]+Inventory[[#This Row],[Adjusted Land Total]]</f>
        <v>395400</v>
      </c>
      <c r="BS422" s="36">
        <f>IFERROR((Inventory[[#This Row],[Adjusted Impr Total]]-Inventory[[#This Row],[24Bldg]])/Inventory[[#This Row],[24Bldg]],0)</f>
        <v>0.21021746634449431</v>
      </c>
      <c r="BT422" s="36">
        <f>(Inventory[[#This Row],[Adjusted Land Total]]-Inventory[[#This Row],[24Lnd]])/Inventory[[#This Row],[24Lnd]]</f>
        <v>-0.33727810650887574</v>
      </c>
      <c r="BU422" s="36">
        <f>(Inventory[[#This Row],[Adjusted Total]]-Inventory[[#This Row],[24Final]])/Inventory[[#This Row],[24Final]]</f>
        <v>0.10663308144416457</v>
      </c>
    </row>
    <row r="423" spans="1:73" x14ac:dyDescent="0.3">
      <c r="A423" s="25">
        <v>2025</v>
      </c>
      <c r="B423" s="26" t="s">
        <v>2372</v>
      </c>
      <c r="C423" s="26">
        <f>LN(Inventory[[#This Row],[Acres]])</f>
        <v>-1.5141277326297755</v>
      </c>
      <c r="D423" s="25">
        <v>0.22</v>
      </c>
      <c r="E423" s="27"/>
      <c r="F423" s="26" t="s">
        <v>537</v>
      </c>
      <c r="G423" s="26" t="s">
        <v>126</v>
      </c>
      <c r="H423" s="26" t="s">
        <v>349</v>
      </c>
      <c r="I423" s="26" t="s">
        <v>538</v>
      </c>
      <c r="J423" s="26" t="s">
        <v>539</v>
      </c>
      <c r="K423" s="26" t="s">
        <v>241</v>
      </c>
      <c r="L423" s="26" t="s">
        <v>148</v>
      </c>
      <c r="M423" s="26" t="s">
        <v>323</v>
      </c>
      <c r="N423" s="26">
        <v>70</v>
      </c>
      <c r="O423" s="26">
        <f>2024-Inventory[[#This Row],[YrBlt]]</f>
        <v>64</v>
      </c>
      <c r="P423" s="26">
        <f>2024-Inventory[[#This Row],[EffYr]]</f>
        <v>49</v>
      </c>
      <c r="Q423" s="25">
        <v>1960</v>
      </c>
      <c r="R423" s="25">
        <v>1975</v>
      </c>
      <c r="S423" s="25">
        <v>1464</v>
      </c>
      <c r="T423" s="27"/>
      <c r="U423" s="25">
        <v>1464</v>
      </c>
      <c r="V423" s="25">
        <f>Inventory[[#This Row],[Bsmt]]-Inventory[[#This Row],[FnBsmt]]</f>
        <v>732</v>
      </c>
      <c r="W423" s="25">
        <v>732</v>
      </c>
      <c r="X423" s="27"/>
      <c r="Y423" s="27">
        <f>Inventory[[#This Row],[MainFn]]+Inventory[[#This Row],[UpprFn]]+Inventory[[#This Row],[FnBsmt]]+Inventory[[#This Row],[AddFn]]</f>
        <v>2196</v>
      </c>
      <c r="Z423" s="27">
        <v>2500</v>
      </c>
      <c r="AA423" s="25">
        <v>10</v>
      </c>
      <c r="AB423" s="27"/>
      <c r="AC423" s="27"/>
      <c r="AD423" s="32">
        <v>766</v>
      </c>
      <c r="AE423" s="27"/>
      <c r="AF423" s="27"/>
      <c r="AG423" s="27"/>
      <c r="AH423" s="27"/>
      <c r="AI423" s="25">
        <v>459794</v>
      </c>
      <c r="AJ423" s="25">
        <v>326454</v>
      </c>
      <c r="AK423" s="25">
        <v>0</v>
      </c>
      <c r="AL423" s="25">
        <v>372400</v>
      </c>
      <c r="AM423" s="25">
        <v>61700</v>
      </c>
      <c r="AN423" s="25">
        <v>310700</v>
      </c>
      <c r="AO423" s="25">
        <v>0</v>
      </c>
      <c r="AP423" s="25">
        <f>Lookups!$B$56*0</f>
        <v>0</v>
      </c>
      <c r="AQ423" s="25">
        <f>Lookups!$B$56*1</f>
        <v>89850.625589999996</v>
      </c>
      <c r="AR423" s="25">
        <f>Lookups!$B$57*Inventory[[#This Row],[LnAcres]]</f>
        <v>-47929.131559187132</v>
      </c>
      <c r="AS423" s="25">
        <f>VLOOKUP(Inventory[[#This Row],[Qlty]],Lookups!$A$62:$E$75,2,FALSE)</f>
        <v>44121.038090000002</v>
      </c>
      <c r="AT423" s="25">
        <f>VLOOKUP(Inventory[[#This Row],[Cnd]],Lookups!$A$76:$E$84,2,FALSE)</f>
        <v>160472.20319</v>
      </c>
      <c r="AU423" s="25">
        <f>Inventory[[#This Row],[EffAge]]*Lookups!$B$85</f>
        <v>-10929.2344245</v>
      </c>
      <c r="AV423" s="25">
        <f>Inventory[[#This Row],[MainFn]]*Lookups!$B$86</f>
        <v>72334.292699928003</v>
      </c>
      <c r="AW423" s="25">
        <f>Inventory[[#This Row],[UpprFn]]*Lookups!$B$87</f>
        <v>0</v>
      </c>
      <c r="AX423" s="25">
        <f>Inventory[[#This Row],[AddFn]]*Lookups!$B$88</f>
        <v>0</v>
      </c>
      <c r="AY423" s="25">
        <f>Inventory[[#This Row],[Bsmt]]*Lookups!$B$89</f>
        <v>42575.894641608</v>
      </c>
      <c r="AZ423" s="25">
        <f>Inventory[[#This Row],[Fixtures]]*Lookups!$B$90</f>
        <v>37920.221052000001</v>
      </c>
      <c r="BA423" s="25">
        <f>Inventory[[#This Row],[WdDeck]]*Lookups!$B$91</f>
        <v>25504.364701416001</v>
      </c>
      <c r="BB423" s="25">
        <f>ROUND(Inventory[[#This Row],[25Det]],-2)</f>
        <v>0</v>
      </c>
      <c r="BC423" s="25">
        <f>ROUND(SUM(Inventory[[#This Row],[Mdl Qlty]:[Mdl WdDeck]])+Inventory[[#This Row],[Mdl Res Intercept]],-2)</f>
        <v>372000</v>
      </c>
      <c r="BD423" s="25">
        <f>ROUND(Inventory[[#This Row],[Mdl Land Intercept]]+Inventory[[#This Row],[Mdl LnAcres]],-2)</f>
        <v>41900</v>
      </c>
      <c r="BE423" s="25">
        <f>Inventory[[#This Row],[Unadj Res Value]]+Inventory[[#This Row],[Unadj Det Value]]+Inventory[[#This Row],[Unadj Land Value]]</f>
        <v>413900</v>
      </c>
      <c r="BF423" s="36">
        <f>(Inventory[[#This Row],[Unadj Total Value]]-Inventory[[#This Row],[24Final]])/Inventory[[#This Row],[24Final]]</f>
        <v>0.11143931256713212</v>
      </c>
      <c r="BG423" s="25">
        <f>VLOOKUP(Inventory[[#This Row],[Nbhd]],Lookups!$Q$2:$T$4,4,FALSE)</f>
        <v>0.99970000000000003</v>
      </c>
      <c r="BH423" s="25">
        <f>VLOOKUP(Inventory[[#This Row],[Qlty]],Lookups!$O$7:$R$21,4,FALSE)</f>
        <v>0.98050000000000004</v>
      </c>
      <c r="BI423" s="25">
        <f>VLOOKUP(Inventory[[#This Row],[Cnd]],Lookups!$T$7:$W$16,4,FALSE)</f>
        <v>0.99729999999999996</v>
      </c>
      <c r="BJ423" s="25">
        <f>VLOOKUP(Inventory[[#This Row],[LivArea Range]],Lookups!$T$25:$W$37,4,FALSE)</f>
        <v>0.98919999999999997</v>
      </c>
      <c r="BK423" s="25">
        <f>VLOOKUP(Inventory[[#This Row],[Decade]],Lookups!$O$25:$R$42,4,FALSE)</f>
        <v>1.0199</v>
      </c>
      <c r="BL423" s="25">
        <f>Inventory[[#This Row],[Nbhd Adj]]*0.95</f>
        <v>0.94971499999999998</v>
      </c>
      <c r="BM423" s="25">
        <f>Inventory[[#This Row],[Nbhd Adj]]*Inventory[[#This Row],[Quality Adj]]*Inventory[[#This Row],[Condition Adj]]*Inventory[[#This Row],[Living Area Adj]]*Inventory[[#This Row],[Decade Adj]]*0.95</f>
        <v>0.93693273740181715</v>
      </c>
      <c r="BN423" s="25">
        <f>ROUND(SUM(Inventory[[#This Row],[Mdl Qlty]:[Mdl WdDeck]])+Inventory[[#This Row],[Mdl Res Intercept]]*Inventory[[#This Row],[Res Adj ]],-2)</f>
        <v>372000</v>
      </c>
      <c r="BO423" s="25">
        <f>ROUND(Inventory[[#This Row],[25Det]]*Inventory[[#This Row],[Det/Nbhd Adj]],-2)</f>
        <v>0</v>
      </c>
      <c r="BP423" s="25">
        <f>Inventory[[#This Row],[Adjusted Res]]+Inventory[[#This Row],[Adj Det ]]</f>
        <v>372000</v>
      </c>
      <c r="BQ423" s="25">
        <f>ROUND((Inventory[[#This Row],[Mdl Land Intercept]]+Inventory[[#This Row],[Mdl LnAcres]])*Inventory[[#This Row],[Det/Nbhd Adj]],-2)</f>
        <v>39800</v>
      </c>
      <c r="BR423" s="25">
        <f>Inventory[[#This Row],[Adjusted Impr Total]]+Inventory[[#This Row],[Adjusted Land Total]]</f>
        <v>411800</v>
      </c>
      <c r="BS423" s="36">
        <f>IFERROR((Inventory[[#This Row],[Adjusted Impr Total]]-Inventory[[#This Row],[24Bldg]])/Inventory[[#This Row],[24Bldg]],0)</f>
        <v>0.19729642742195044</v>
      </c>
      <c r="BT423" s="36">
        <f>(Inventory[[#This Row],[Adjusted Land Total]]-Inventory[[#This Row],[24Lnd]])/Inventory[[#This Row],[24Lnd]]</f>
        <v>-0.35494327390599678</v>
      </c>
      <c r="BU423" s="36">
        <f>(Inventory[[#This Row],[Adjusted Total]]-Inventory[[#This Row],[24Final]])/Inventory[[#This Row],[24Final]]</f>
        <v>0.10580021482277122</v>
      </c>
    </row>
    <row r="424" spans="1:73" x14ac:dyDescent="0.3">
      <c r="A424" s="25">
        <v>2025</v>
      </c>
      <c r="B424" s="26" t="s">
        <v>1523</v>
      </c>
      <c r="C424" s="26">
        <f>LN(Inventory[[#This Row],[Acres]])</f>
        <v>-3.2188758248682006</v>
      </c>
      <c r="D424" s="25">
        <v>0.04</v>
      </c>
      <c r="E424" s="32">
        <v>1400</v>
      </c>
      <c r="F424" s="26" t="s">
        <v>537</v>
      </c>
      <c r="G424" s="26" t="s">
        <v>28</v>
      </c>
      <c r="H424" s="26" t="s">
        <v>349</v>
      </c>
      <c r="I424" s="26" t="s">
        <v>538</v>
      </c>
      <c r="J424" s="26" t="s">
        <v>551</v>
      </c>
      <c r="K424" s="26" t="s">
        <v>381</v>
      </c>
      <c r="L424" s="26" t="s">
        <v>302</v>
      </c>
      <c r="M424" s="26" t="s">
        <v>323</v>
      </c>
      <c r="N424" s="26">
        <v>70</v>
      </c>
      <c r="O424" s="26">
        <f>2024-Inventory[[#This Row],[YrBlt]]</f>
        <v>64</v>
      </c>
      <c r="P424" s="26">
        <f>2024-Inventory[[#This Row],[EffYr]]</f>
        <v>49</v>
      </c>
      <c r="Q424" s="25">
        <v>1960</v>
      </c>
      <c r="R424" s="25">
        <v>1975</v>
      </c>
      <c r="S424" s="25">
        <v>1064</v>
      </c>
      <c r="T424" s="27"/>
      <c r="U424" s="27"/>
      <c r="V424" s="27">
        <f>Inventory[[#This Row],[Bsmt]]-Inventory[[#This Row],[FnBsmt]]</f>
        <v>0</v>
      </c>
      <c r="W424" s="27"/>
      <c r="X424" s="27"/>
      <c r="Y424" s="27">
        <f>Inventory[[#This Row],[MainFn]]+Inventory[[#This Row],[UpprFn]]+Inventory[[#This Row],[FnBsmt]]+Inventory[[#This Row],[AddFn]]</f>
        <v>1064</v>
      </c>
      <c r="Z424" s="27">
        <v>1500</v>
      </c>
      <c r="AA424" s="25">
        <v>5</v>
      </c>
      <c r="AB424" s="32">
        <v>336</v>
      </c>
      <c r="AC424" s="27"/>
      <c r="AD424" s="32">
        <v>120</v>
      </c>
      <c r="AE424" s="27"/>
      <c r="AF424" s="27"/>
      <c r="AG424" s="27"/>
      <c r="AH424" s="27"/>
      <c r="AI424" s="25">
        <v>232084</v>
      </c>
      <c r="AJ424" s="25">
        <v>164780</v>
      </c>
      <c r="AK424" s="25">
        <v>0</v>
      </c>
      <c r="AL424" s="25">
        <v>221500</v>
      </c>
      <c r="AM424" s="25">
        <v>33200</v>
      </c>
      <c r="AN424" s="25">
        <v>188300</v>
      </c>
      <c r="AO424" s="25">
        <v>0</v>
      </c>
      <c r="AP424" s="25">
        <f>Lookups!$B$56*0</f>
        <v>0</v>
      </c>
      <c r="AQ424" s="25">
        <f>Lookups!$B$56*1</f>
        <v>89850.625589999996</v>
      </c>
      <c r="AR424" s="25">
        <f>Lookups!$B$57*Inventory[[#This Row],[LnAcres]]</f>
        <v>-101892.2773541973</v>
      </c>
      <c r="AS424" s="25">
        <f>VLOOKUP(Inventory[[#This Row],[Qlty]],Lookups!$A$62:$E$75,2,FALSE)</f>
        <v>29814.093161000001</v>
      </c>
      <c r="AT424" s="25">
        <f>VLOOKUP(Inventory[[#This Row],[Cnd]],Lookups!$A$76:$E$84,2,FALSE)</f>
        <v>160472.20319</v>
      </c>
      <c r="AU424" s="25">
        <f>Inventory[[#This Row],[EffAge]]*Lookups!$B$85</f>
        <v>-10929.2344245</v>
      </c>
      <c r="AV424" s="25">
        <f>Inventory[[#This Row],[MainFn]]*Lookups!$B$86</f>
        <v>52570.824749127998</v>
      </c>
      <c r="AW424" s="25">
        <f>Inventory[[#This Row],[UpprFn]]*Lookups!$B$87</f>
        <v>0</v>
      </c>
      <c r="AX424" s="25">
        <f>Inventory[[#This Row],[AddFn]]*Lookups!$B$88</f>
        <v>0</v>
      </c>
      <c r="AY424" s="25">
        <f>Inventory[[#This Row],[Bsmt]]*Lookups!$B$89</f>
        <v>0</v>
      </c>
      <c r="AZ424" s="25">
        <f>Inventory[[#This Row],[Fixtures]]*Lookups!$B$90</f>
        <v>18960.110526</v>
      </c>
      <c r="BA424" s="25">
        <f>Inventory[[#This Row],[WdDeck]]*Lookups!$B$91</f>
        <v>3995.4618331200004</v>
      </c>
      <c r="BB424" s="25">
        <f>ROUND(Inventory[[#This Row],[25Det]],-2)</f>
        <v>0</v>
      </c>
      <c r="BC424" s="25">
        <f>ROUND(SUM(Inventory[[#This Row],[Mdl Qlty]:[Mdl WdDeck]])+Inventory[[#This Row],[Mdl Res Intercept]],-2)</f>
        <v>254900</v>
      </c>
      <c r="BD424" s="25">
        <f>ROUND(Inventory[[#This Row],[Mdl Land Intercept]]+Inventory[[#This Row],[Mdl LnAcres]],-2)</f>
        <v>-12000</v>
      </c>
      <c r="BE424" s="25">
        <f>Inventory[[#This Row],[Unadj Res Value]]+Inventory[[#This Row],[Unadj Det Value]]+Inventory[[#This Row],[Unadj Land Value]]</f>
        <v>242900</v>
      </c>
      <c r="BF424" s="36">
        <f>(Inventory[[#This Row],[Unadj Total Value]]-Inventory[[#This Row],[24Final]])/Inventory[[#This Row],[24Final]]</f>
        <v>9.6613995485327314E-2</v>
      </c>
      <c r="BG424" s="25">
        <f>VLOOKUP(Inventory[[#This Row],[Nbhd]],Lookups!$Q$2:$T$4,4,FALSE)</f>
        <v>0.99970000000000003</v>
      </c>
      <c r="BH424" s="25">
        <f>VLOOKUP(Inventory[[#This Row],[Qlty]],Lookups!$O$7:$R$21,4,FALSE)</f>
        <v>1.0088999999999999</v>
      </c>
      <c r="BI424" s="25">
        <f>VLOOKUP(Inventory[[#This Row],[Cnd]],Lookups!$T$7:$W$16,4,FALSE)</f>
        <v>0.99729999999999996</v>
      </c>
      <c r="BJ424" s="25">
        <f>VLOOKUP(Inventory[[#This Row],[LivArea Range]],Lookups!$T$25:$W$37,4,FALSE)</f>
        <v>1.0157</v>
      </c>
      <c r="BK424" s="25">
        <f>VLOOKUP(Inventory[[#This Row],[Decade]],Lookups!$O$25:$R$42,4,FALSE)</f>
        <v>1.0199</v>
      </c>
      <c r="BL424" s="25">
        <f>Inventory[[#This Row],[Nbhd Adj]]*0.95</f>
        <v>0.94971499999999998</v>
      </c>
      <c r="BM424" s="25">
        <f>Inventory[[#This Row],[Nbhd Adj]]*Inventory[[#This Row],[Quality Adj]]*Inventory[[#This Row],[Condition Adj]]*Inventory[[#This Row],[Living Area Adj]]*Inventory[[#This Row],[Decade Adj]]*0.95</f>
        <v>0.98989762598047604</v>
      </c>
      <c r="BN424" s="25">
        <f>ROUND(SUM(Inventory[[#This Row],[Mdl Qlty]:[Mdl WdDeck]])+Inventory[[#This Row],[Mdl Res Intercept]]*Inventory[[#This Row],[Res Adj ]],-2)</f>
        <v>254900</v>
      </c>
      <c r="BO424" s="25">
        <f>ROUND(Inventory[[#This Row],[25Det]]*Inventory[[#This Row],[Det/Nbhd Adj]],-2)</f>
        <v>0</v>
      </c>
      <c r="BP424" s="25">
        <f>Inventory[[#This Row],[Adjusted Res]]+Inventory[[#This Row],[Adj Det ]]</f>
        <v>254900</v>
      </c>
      <c r="BQ424" s="25">
        <f>ROUND((Inventory[[#This Row],[Mdl Land Intercept]]+Inventory[[#This Row],[Mdl LnAcres]])*Inventory[[#This Row],[Det/Nbhd Adj]],-2)</f>
        <v>-11400</v>
      </c>
      <c r="BR424" s="25">
        <f>Inventory[[#This Row],[Adjusted Impr Total]]+Inventory[[#This Row],[Adjusted Land Total]]</f>
        <v>243500</v>
      </c>
      <c r="BS424" s="36">
        <f>IFERROR((Inventory[[#This Row],[Adjusted Impr Total]]-Inventory[[#This Row],[24Bldg]])/Inventory[[#This Row],[24Bldg]],0)</f>
        <v>0.35369091874668085</v>
      </c>
      <c r="BT424" s="36">
        <f>(Inventory[[#This Row],[Adjusted Land Total]]-Inventory[[#This Row],[24Lnd]])/Inventory[[#This Row],[24Lnd]]</f>
        <v>-1.3433734939759037</v>
      </c>
      <c r="BU424" s="36">
        <f>(Inventory[[#This Row],[Adjusted Total]]-Inventory[[#This Row],[24Final]])/Inventory[[#This Row],[24Final]]</f>
        <v>9.9322799097065456E-2</v>
      </c>
    </row>
    <row r="425" spans="1:73" x14ac:dyDescent="0.3">
      <c r="A425" s="25">
        <v>2025</v>
      </c>
      <c r="B425" s="26" t="s">
        <v>1609</v>
      </c>
      <c r="C425" s="26">
        <f>LN(Inventory[[#This Row],[Acres]])</f>
        <v>-1.5606477482646683</v>
      </c>
      <c r="D425" s="25">
        <v>0.21</v>
      </c>
      <c r="E425" s="27"/>
      <c r="F425" s="26" t="s">
        <v>537</v>
      </c>
      <c r="G425" s="26" t="s">
        <v>126</v>
      </c>
      <c r="H425" s="26" t="s">
        <v>349</v>
      </c>
      <c r="I425" s="26" t="s">
        <v>538</v>
      </c>
      <c r="J425" s="26" t="s">
        <v>546</v>
      </c>
      <c r="K425" s="26" t="s">
        <v>241</v>
      </c>
      <c r="L425" s="26" t="s">
        <v>302</v>
      </c>
      <c r="M425" s="26" t="s">
        <v>323</v>
      </c>
      <c r="N425" s="26">
        <v>70</v>
      </c>
      <c r="O425" s="26">
        <f>2024-Inventory[[#This Row],[YrBlt]]</f>
        <v>64</v>
      </c>
      <c r="P425" s="26">
        <f>2024-Inventory[[#This Row],[EffYr]]</f>
        <v>49</v>
      </c>
      <c r="Q425" s="25">
        <v>1960</v>
      </c>
      <c r="R425" s="25">
        <v>1975</v>
      </c>
      <c r="S425" s="25">
        <v>1208</v>
      </c>
      <c r="T425" s="27"/>
      <c r="U425" s="25">
        <v>948</v>
      </c>
      <c r="V425" s="25">
        <f>Inventory[[#This Row],[Bsmt]]-Inventory[[#This Row],[FnBsmt]]</f>
        <v>379</v>
      </c>
      <c r="W425" s="25">
        <v>569</v>
      </c>
      <c r="X425" s="27"/>
      <c r="Y425" s="27">
        <f>Inventory[[#This Row],[MainFn]]+Inventory[[#This Row],[UpprFn]]+Inventory[[#This Row],[FnBsmt]]+Inventory[[#This Row],[AddFn]]</f>
        <v>1777</v>
      </c>
      <c r="Z425" s="27">
        <v>2000</v>
      </c>
      <c r="AA425" s="25">
        <v>6</v>
      </c>
      <c r="AB425" s="27"/>
      <c r="AC425" s="32">
        <v>260</v>
      </c>
      <c r="AD425" s="32">
        <v>588</v>
      </c>
      <c r="AE425" s="27"/>
      <c r="AF425" s="27"/>
      <c r="AG425" s="27"/>
      <c r="AH425" s="27"/>
      <c r="AI425" s="25">
        <v>315715</v>
      </c>
      <c r="AJ425" s="25">
        <v>224158</v>
      </c>
      <c r="AK425" s="25">
        <v>0</v>
      </c>
      <c r="AL425" s="25">
        <v>316000</v>
      </c>
      <c r="AM425" s="25">
        <v>60100</v>
      </c>
      <c r="AN425" s="25">
        <v>255900</v>
      </c>
      <c r="AO425" s="25">
        <v>0</v>
      </c>
      <c r="AP425" s="25">
        <f>Lookups!$B$56*0</f>
        <v>0</v>
      </c>
      <c r="AQ425" s="25">
        <f>Lookups!$B$56*1</f>
        <v>89850.625589999996</v>
      </c>
      <c r="AR425" s="25">
        <f>Lookups!$B$57*Inventory[[#This Row],[LnAcres]]</f>
        <v>-49401.70477837498</v>
      </c>
      <c r="AS425" s="25">
        <f>VLOOKUP(Inventory[[#This Row],[Qlty]],Lookups!$A$62:$E$75,2,FALSE)</f>
        <v>29814.093161000001</v>
      </c>
      <c r="AT425" s="25">
        <f>VLOOKUP(Inventory[[#This Row],[Cnd]],Lookups!$A$76:$E$84,2,FALSE)</f>
        <v>160472.20319</v>
      </c>
      <c r="AU425" s="25">
        <f>Inventory[[#This Row],[EffAge]]*Lookups!$B$85</f>
        <v>-10929.2344245</v>
      </c>
      <c r="AV425" s="25">
        <f>Inventory[[#This Row],[MainFn]]*Lookups!$B$86</f>
        <v>59685.673211416004</v>
      </c>
      <c r="AW425" s="25">
        <f>Inventory[[#This Row],[UpprFn]]*Lookups!$B$87</f>
        <v>0</v>
      </c>
      <c r="AX425" s="25">
        <f>Inventory[[#This Row],[AddFn]]*Lookups!$B$88</f>
        <v>0</v>
      </c>
      <c r="AY425" s="25">
        <f>Inventory[[#This Row],[Bsmt]]*Lookups!$B$89</f>
        <v>27569.636694155997</v>
      </c>
      <c r="AZ425" s="25">
        <f>Inventory[[#This Row],[Fixtures]]*Lookups!$B$90</f>
        <v>22752.132631200002</v>
      </c>
      <c r="BA425" s="25">
        <f>Inventory[[#This Row],[WdDeck]]*Lookups!$B$91</f>
        <v>19577.762982288001</v>
      </c>
      <c r="BB425" s="25">
        <f>ROUND(Inventory[[#This Row],[25Det]],-2)</f>
        <v>0</v>
      </c>
      <c r="BC425" s="25">
        <f>ROUND(SUM(Inventory[[#This Row],[Mdl Qlty]:[Mdl WdDeck]])+Inventory[[#This Row],[Mdl Res Intercept]],-2)</f>
        <v>308900</v>
      </c>
      <c r="BD425" s="25">
        <f>ROUND(Inventory[[#This Row],[Mdl Land Intercept]]+Inventory[[#This Row],[Mdl LnAcres]],-2)</f>
        <v>40400</v>
      </c>
      <c r="BE425" s="25">
        <f>Inventory[[#This Row],[Unadj Res Value]]+Inventory[[#This Row],[Unadj Det Value]]+Inventory[[#This Row],[Unadj Land Value]]</f>
        <v>349300</v>
      </c>
      <c r="BF425" s="36">
        <f>(Inventory[[#This Row],[Unadj Total Value]]-Inventory[[#This Row],[24Final]])/Inventory[[#This Row],[24Final]]</f>
        <v>0.10537974683544304</v>
      </c>
      <c r="BG425" s="25">
        <f>VLOOKUP(Inventory[[#This Row],[Nbhd]],Lookups!$Q$2:$T$4,4,FALSE)</f>
        <v>0.99970000000000003</v>
      </c>
      <c r="BH425" s="25">
        <f>VLOOKUP(Inventory[[#This Row],[Qlty]],Lookups!$O$7:$R$21,4,FALSE)</f>
        <v>1.0088999999999999</v>
      </c>
      <c r="BI425" s="25">
        <f>VLOOKUP(Inventory[[#This Row],[Cnd]],Lookups!$T$7:$W$16,4,FALSE)</f>
        <v>0.99729999999999996</v>
      </c>
      <c r="BJ425" s="25">
        <f>VLOOKUP(Inventory[[#This Row],[LivArea Range]],Lookups!$T$25:$W$37,4,FALSE)</f>
        <v>1.0093000000000001</v>
      </c>
      <c r="BK425" s="25">
        <f>VLOOKUP(Inventory[[#This Row],[Decade]],Lookups!$O$25:$R$42,4,FALSE)</f>
        <v>1.0199</v>
      </c>
      <c r="BL425" s="25">
        <f>Inventory[[#This Row],[Nbhd Adj]]*0.95</f>
        <v>0.94971499999999998</v>
      </c>
      <c r="BM425" s="25">
        <f>Inventory[[#This Row],[Nbhd Adj]]*Inventory[[#This Row],[Quality Adj]]*Inventory[[#This Row],[Condition Adj]]*Inventory[[#This Row],[Living Area Adj]]*Inventory[[#This Row],[Decade Adj]]*0.95</f>
        <v>0.98366020862665582</v>
      </c>
      <c r="BN425" s="25">
        <f>ROUND(SUM(Inventory[[#This Row],[Mdl Qlty]:[Mdl WdDeck]])+Inventory[[#This Row],[Mdl Res Intercept]]*Inventory[[#This Row],[Res Adj ]],-2)</f>
        <v>308900</v>
      </c>
      <c r="BO425" s="25">
        <f>ROUND(Inventory[[#This Row],[25Det]]*Inventory[[#This Row],[Det/Nbhd Adj]],-2)</f>
        <v>0</v>
      </c>
      <c r="BP425" s="25">
        <f>Inventory[[#This Row],[Adjusted Res]]+Inventory[[#This Row],[Adj Det ]]</f>
        <v>308900</v>
      </c>
      <c r="BQ425" s="25">
        <f>ROUND((Inventory[[#This Row],[Mdl Land Intercept]]+Inventory[[#This Row],[Mdl LnAcres]])*Inventory[[#This Row],[Det/Nbhd Adj]],-2)</f>
        <v>38400</v>
      </c>
      <c r="BR425" s="25">
        <f>Inventory[[#This Row],[Adjusted Impr Total]]+Inventory[[#This Row],[Adjusted Land Total]]</f>
        <v>347300</v>
      </c>
      <c r="BS425" s="36">
        <f>IFERROR((Inventory[[#This Row],[Adjusted Impr Total]]-Inventory[[#This Row],[24Bldg]])/Inventory[[#This Row],[24Bldg]],0)</f>
        <v>0.20711215318483783</v>
      </c>
      <c r="BT425" s="36">
        <f>(Inventory[[#This Row],[Adjusted Land Total]]-Inventory[[#This Row],[24Lnd]])/Inventory[[#This Row],[24Lnd]]</f>
        <v>-0.36106489184692181</v>
      </c>
      <c r="BU425" s="36">
        <f>(Inventory[[#This Row],[Adjusted Total]]-Inventory[[#This Row],[24Final]])/Inventory[[#This Row],[24Final]]</f>
        <v>9.9050632911392406E-2</v>
      </c>
    </row>
    <row r="426" spans="1:73" x14ac:dyDescent="0.3">
      <c r="A426" s="25">
        <v>2025</v>
      </c>
      <c r="B426" s="26" t="s">
        <v>2643</v>
      </c>
      <c r="C426" s="26">
        <f>LN(Inventory[[#This Row],[Acres]])</f>
        <v>-1.7719568419318752</v>
      </c>
      <c r="D426" s="25">
        <v>0.17</v>
      </c>
      <c r="E426" s="32">
        <v>7226</v>
      </c>
      <c r="F426" s="26" t="s">
        <v>537</v>
      </c>
      <c r="G426" s="26" t="s">
        <v>126</v>
      </c>
      <c r="H426" s="26" t="s">
        <v>349</v>
      </c>
      <c r="I426" s="26" t="s">
        <v>538</v>
      </c>
      <c r="J426" s="26" t="s">
        <v>539</v>
      </c>
      <c r="K426" s="26" t="s">
        <v>241</v>
      </c>
      <c r="L426" s="26" t="s">
        <v>148</v>
      </c>
      <c r="M426" s="26" t="s">
        <v>323</v>
      </c>
      <c r="N426" s="26">
        <v>70</v>
      </c>
      <c r="O426" s="26">
        <f>2024-Inventory[[#This Row],[YrBlt]]</f>
        <v>64</v>
      </c>
      <c r="P426" s="26">
        <f>2024-Inventory[[#This Row],[EffYr]]</f>
        <v>49</v>
      </c>
      <c r="Q426" s="25">
        <v>1960</v>
      </c>
      <c r="R426" s="25">
        <v>1975</v>
      </c>
      <c r="S426" s="25">
        <v>1976</v>
      </c>
      <c r="T426" s="27"/>
      <c r="U426" s="25">
        <v>1049</v>
      </c>
      <c r="V426" s="25">
        <f>Inventory[[#This Row],[Bsmt]]-Inventory[[#This Row],[FnBsmt]]</f>
        <v>521</v>
      </c>
      <c r="W426" s="25">
        <v>528</v>
      </c>
      <c r="X426" s="27"/>
      <c r="Y426" s="27">
        <f>Inventory[[#This Row],[MainFn]]+Inventory[[#This Row],[UpprFn]]+Inventory[[#This Row],[FnBsmt]]+Inventory[[#This Row],[AddFn]]</f>
        <v>2504</v>
      </c>
      <c r="Z426" s="27">
        <v>3000</v>
      </c>
      <c r="AA426" s="25">
        <v>8</v>
      </c>
      <c r="AB426" s="27"/>
      <c r="AC426" s="27"/>
      <c r="AD426" s="32">
        <v>655</v>
      </c>
      <c r="AE426" s="27"/>
      <c r="AF426" s="27"/>
      <c r="AG426" s="27"/>
      <c r="AH426" s="27"/>
      <c r="AI426" s="25">
        <v>495002</v>
      </c>
      <c r="AJ426" s="25">
        <v>351451</v>
      </c>
      <c r="AK426" s="25">
        <v>21526</v>
      </c>
      <c r="AL426" s="25">
        <v>389200</v>
      </c>
      <c r="AM426" s="25">
        <v>52700</v>
      </c>
      <c r="AN426" s="25">
        <v>336500</v>
      </c>
      <c r="AO426" s="25">
        <v>0</v>
      </c>
      <c r="AP426" s="25">
        <f>Lookups!$B$56*0</f>
        <v>0</v>
      </c>
      <c r="AQ426" s="25">
        <f>Lookups!$B$56*1</f>
        <v>89850.625589999996</v>
      </c>
      <c r="AR426" s="25">
        <f>Lookups!$B$57*Inventory[[#This Row],[LnAcres]]</f>
        <v>-56090.612940989391</v>
      </c>
      <c r="AS426" s="25">
        <f>VLOOKUP(Inventory[[#This Row],[Qlty]],Lookups!$A$62:$E$75,2,FALSE)</f>
        <v>44121.038090000002</v>
      </c>
      <c r="AT426" s="25">
        <f>VLOOKUP(Inventory[[#This Row],[Cnd]],Lookups!$A$76:$E$84,2,FALSE)</f>
        <v>160472.20319</v>
      </c>
      <c r="AU426" s="25">
        <f>Inventory[[#This Row],[EffAge]]*Lookups!$B$85</f>
        <v>-10929.2344245</v>
      </c>
      <c r="AV426" s="25">
        <f>Inventory[[#This Row],[MainFn]]*Lookups!$B$86</f>
        <v>97631.531676952</v>
      </c>
      <c r="AW426" s="25">
        <f>Inventory[[#This Row],[UpprFn]]*Lookups!$B$87</f>
        <v>0</v>
      </c>
      <c r="AX426" s="25">
        <f>Inventory[[#This Row],[AddFn]]*Lookups!$B$88</f>
        <v>0</v>
      </c>
      <c r="AY426" s="25">
        <f>Inventory[[#This Row],[Bsmt]]*Lookups!$B$89</f>
        <v>30506.908114103</v>
      </c>
      <c r="AZ426" s="25">
        <f>Inventory[[#This Row],[Fixtures]]*Lookups!$B$90</f>
        <v>30336.176841600001</v>
      </c>
      <c r="BA426" s="25">
        <f>Inventory[[#This Row],[WdDeck]]*Lookups!$B$91</f>
        <v>21808.562505780003</v>
      </c>
      <c r="BB426" s="25">
        <f>ROUND(Inventory[[#This Row],[25Det]],-2)</f>
        <v>21500</v>
      </c>
      <c r="BC426" s="25">
        <f>ROUND(SUM(Inventory[[#This Row],[Mdl Qlty]:[Mdl WdDeck]])+Inventory[[#This Row],[Mdl Res Intercept]],-2)</f>
        <v>373900</v>
      </c>
      <c r="BD426" s="25">
        <f>ROUND(Inventory[[#This Row],[Mdl Land Intercept]]+Inventory[[#This Row],[Mdl LnAcres]],-2)</f>
        <v>33800</v>
      </c>
      <c r="BE426" s="25">
        <f>Inventory[[#This Row],[Unadj Res Value]]+Inventory[[#This Row],[Unadj Det Value]]+Inventory[[#This Row],[Unadj Land Value]]</f>
        <v>429200</v>
      </c>
      <c r="BF426" s="36">
        <f>(Inventory[[#This Row],[Unadj Total Value]]-Inventory[[#This Row],[24Final]])/Inventory[[#This Row],[24Final]]</f>
        <v>0.10277492291880781</v>
      </c>
      <c r="BG426" s="25">
        <f>VLOOKUP(Inventory[[#This Row],[Nbhd]],Lookups!$Q$2:$T$4,4,FALSE)</f>
        <v>0.99970000000000003</v>
      </c>
      <c r="BH426" s="25">
        <f>VLOOKUP(Inventory[[#This Row],[Qlty]],Lookups!$O$7:$R$21,4,FALSE)</f>
        <v>0.98050000000000004</v>
      </c>
      <c r="BI426" s="25">
        <f>VLOOKUP(Inventory[[#This Row],[Cnd]],Lookups!$T$7:$W$16,4,FALSE)</f>
        <v>0.99729999999999996</v>
      </c>
      <c r="BJ426" s="25">
        <f>VLOOKUP(Inventory[[#This Row],[LivArea Range]],Lookups!$T$25:$W$37,4,FALSE)</f>
        <v>0.96179999999999999</v>
      </c>
      <c r="BK426" s="25">
        <f>VLOOKUP(Inventory[[#This Row],[Decade]],Lookups!$O$25:$R$42,4,FALSE)</f>
        <v>1.0199</v>
      </c>
      <c r="BL426" s="25">
        <f>Inventory[[#This Row],[Nbhd Adj]]*0.95</f>
        <v>0.94971499999999998</v>
      </c>
      <c r="BM426" s="25">
        <f>Inventory[[#This Row],[Nbhd Adj]]*Inventory[[#This Row],[Quality Adj]]*Inventory[[#This Row],[Condition Adj]]*Inventory[[#This Row],[Living Area Adj]]*Inventory[[#This Row],[Decade Adj]]*0.95</f>
        <v>0.91098049619194077</v>
      </c>
      <c r="BN426" s="25">
        <f>ROUND(SUM(Inventory[[#This Row],[Mdl Qlty]:[Mdl WdDeck]])+Inventory[[#This Row],[Mdl Res Intercept]]*Inventory[[#This Row],[Res Adj ]],-2)</f>
        <v>373900</v>
      </c>
      <c r="BO426" s="25">
        <f>ROUND(Inventory[[#This Row],[25Det]]*Inventory[[#This Row],[Det/Nbhd Adj]],-2)</f>
        <v>20400</v>
      </c>
      <c r="BP426" s="25">
        <f>Inventory[[#This Row],[Adjusted Res]]+Inventory[[#This Row],[Adj Det ]]</f>
        <v>394300</v>
      </c>
      <c r="BQ426" s="25">
        <f>ROUND((Inventory[[#This Row],[Mdl Land Intercept]]+Inventory[[#This Row],[Mdl LnAcres]])*Inventory[[#This Row],[Det/Nbhd Adj]],-2)</f>
        <v>32100</v>
      </c>
      <c r="BR426" s="25">
        <f>Inventory[[#This Row],[Adjusted Impr Total]]+Inventory[[#This Row],[Adjusted Land Total]]</f>
        <v>426400</v>
      </c>
      <c r="BS426" s="36">
        <f>IFERROR((Inventory[[#This Row],[Adjusted Impr Total]]-Inventory[[#This Row],[24Bldg]])/Inventory[[#This Row],[24Bldg]],0)</f>
        <v>0.17176820208023774</v>
      </c>
      <c r="BT426" s="36">
        <f>(Inventory[[#This Row],[Adjusted Land Total]]-Inventory[[#This Row],[24Lnd]])/Inventory[[#This Row],[24Lnd]]</f>
        <v>-0.39089184060721061</v>
      </c>
      <c r="BU426" s="36">
        <f>(Inventory[[#This Row],[Adjusted Total]]-Inventory[[#This Row],[24Final]])/Inventory[[#This Row],[24Final]]</f>
        <v>9.5580678314491269E-2</v>
      </c>
    </row>
    <row r="427" spans="1:73" x14ac:dyDescent="0.3">
      <c r="A427" s="25">
        <v>2025</v>
      </c>
      <c r="B427" s="26" t="s">
        <v>1520</v>
      </c>
      <c r="C427" s="26">
        <f>LN(Inventory[[#This Row],[Acres]])</f>
        <v>-3.2188758248682006</v>
      </c>
      <c r="D427" s="25">
        <v>0.04</v>
      </c>
      <c r="E427" s="32">
        <v>1400</v>
      </c>
      <c r="F427" s="26" t="s">
        <v>537</v>
      </c>
      <c r="G427" s="26" t="s">
        <v>28</v>
      </c>
      <c r="H427" s="26" t="s">
        <v>349</v>
      </c>
      <c r="I427" s="26" t="s">
        <v>538</v>
      </c>
      <c r="J427" s="26" t="s">
        <v>551</v>
      </c>
      <c r="K427" s="26" t="s">
        <v>381</v>
      </c>
      <c r="L427" s="26" t="s">
        <v>302</v>
      </c>
      <c r="M427" s="26" t="s">
        <v>323</v>
      </c>
      <c r="N427" s="26">
        <v>70</v>
      </c>
      <c r="O427" s="26">
        <f>2024-Inventory[[#This Row],[YrBlt]]</f>
        <v>64</v>
      </c>
      <c r="P427" s="26">
        <f>2024-Inventory[[#This Row],[EffYr]]</f>
        <v>49</v>
      </c>
      <c r="Q427" s="25">
        <v>1960</v>
      </c>
      <c r="R427" s="25">
        <v>1975</v>
      </c>
      <c r="S427" s="25">
        <v>1064</v>
      </c>
      <c r="T427" s="27"/>
      <c r="U427" s="31"/>
      <c r="V427" s="31">
        <f>Inventory[[#This Row],[Bsmt]]-Inventory[[#This Row],[FnBsmt]]</f>
        <v>0</v>
      </c>
      <c r="W427" s="31"/>
      <c r="X427" s="27"/>
      <c r="Y427" s="27">
        <f>Inventory[[#This Row],[MainFn]]+Inventory[[#This Row],[UpprFn]]+Inventory[[#This Row],[FnBsmt]]+Inventory[[#This Row],[AddFn]]</f>
        <v>1064</v>
      </c>
      <c r="Z427" s="27">
        <v>1500</v>
      </c>
      <c r="AA427" s="25">
        <v>5</v>
      </c>
      <c r="AB427" s="32">
        <v>336</v>
      </c>
      <c r="AC427" s="27"/>
      <c r="AD427" s="27"/>
      <c r="AE427" s="27"/>
      <c r="AF427" s="27"/>
      <c r="AG427" s="27"/>
      <c r="AH427" s="27"/>
      <c r="AI427" s="25">
        <v>229356</v>
      </c>
      <c r="AJ427" s="25">
        <v>162843</v>
      </c>
      <c r="AK427" s="25">
        <v>0</v>
      </c>
      <c r="AL427" s="25">
        <v>218900</v>
      </c>
      <c r="AM427" s="25">
        <v>32800</v>
      </c>
      <c r="AN427" s="25">
        <v>186100</v>
      </c>
      <c r="AO427" s="25">
        <v>0</v>
      </c>
      <c r="AP427" s="25">
        <f>Lookups!$B$56*0</f>
        <v>0</v>
      </c>
      <c r="AQ427" s="25">
        <f>Lookups!$B$56*1</f>
        <v>89850.625589999996</v>
      </c>
      <c r="AR427" s="25">
        <f>Lookups!$B$57*Inventory[[#This Row],[LnAcres]]</f>
        <v>-101892.2773541973</v>
      </c>
      <c r="AS427" s="25">
        <f>VLOOKUP(Inventory[[#This Row],[Qlty]],Lookups!$A$62:$E$75,2,FALSE)</f>
        <v>29814.093161000001</v>
      </c>
      <c r="AT427" s="25">
        <f>VLOOKUP(Inventory[[#This Row],[Cnd]],Lookups!$A$76:$E$84,2,FALSE)</f>
        <v>160472.20319</v>
      </c>
      <c r="AU427" s="25">
        <f>Inventory[[#This Row],[EffAge]]*Lookups!$B$85</f>
        <v>-10929.2344245</v>
      </c>
      <c r="AV427" s="25">
        <f>Inventory[[#This Row],[MainFn]]*Lookups!$B$86</f>
        <v>52570.824749127998</v>
      </c>
      <c r="AW427" s="25">
        <f>Inventory[[#This Row],[UpprFn]]*Lookups!$B$87</f>
        <v>0</v>
      </c>
      <c r="AX427" s="25">
        <f>Inventory[[#This Row],[AddFn]]*Lookups!$B$88</f>
        <v>0</v>
      </c>
      <c r="AY427" s="25">
        <f>Inventory[[#This Row],[Bsmt]]*Lookups!$B$89</f>
        <v>0</v>
      </c>
      <c r="AZ427" s="25">
        <f>Inventory[[#This Row],[Fixtures]]*Lookups!$B$90</f>
        <v>18960.110526</v>
      </c>
      <c r="BA427" s="25">
        <f>Inventory[[#This Row],[WdDeck]]*Lookups!$B$91</f>
        <v>0</v>
      </c>
      <c r="BB427" s="25">
        <f>ROUND(Inventory[[#This Row],[25Det]],-2)</f>
        <v>0</v>
      </c>
      <c r="BC427" s="25">
        <f>ROUND(SUM(Inventory[[#This Row],[Mdl Qlty]:[Mdl WdDeck]])+Inventory[[#This Row],[Mdl Res Intercept]],-2)</f>
        <v>250900</v>
      </c>
      <c r="BD427" s="25">
        <f>ROUND(Inventory[[#This Row],[Mdl Land Intercept]]+Inventory[[#This Row],[Mdl LnAcres]],-2)</f>
        <v>-12000</v>
      </c>
      <c r="BE427" s="25">
        <f>Inventory[[#This Row],[Unadj Res Value]]+Inventory[[#This Row],[Unadj Det Value]]+Inventory[[#This Row],[Unadj Land Value]]</f>
        <v>238900</v>
      </c>
      <c r="BF427" s="36">
        <f>(Inventory[[#This Row],[Unadj Total Value]]-Inventory[[#This Row],[24Final]])/Inventory[[#This Row],[24Final]]</f>
        <v>9.1365920511649157E-2</v>
      </c>
      <c r="BG427" s="25">
        <f>VLOOKUP(Inventory[[#This Row],[Nbhd]],Lookups!$Q$2:$T$4,4,FALSE)</f>
        <v>0.99970000000000003</v>
      </c>
      <c r="BH427" s="25">
        <f>VLOOKUP(Inventory[[#This Row],[Qlty]],Lookups!$O$7:$R$21,4,FALSE)</f>
        <v>1.0088999999999999</v>
      </c>
      <c r="BI427" s="25">
        <f>VLOOKUP(Inventory[[#This Row],[Cnd]],Lookups!$T$7:$W$16,4,FALSE)</f>
        <v>0.99729999999999996</v>
      </c>
      <c r="BJ427" s="25">
        <f>VLOOKUP(Inventory[[#This Row],[LivArea Range]],Lookups!$T$25:$W$37,4,FALSE)</f>
        <v>1.0157</v>
      </c>
      <c r="BK427" s="25">
        <f>VLOOKUP(Inventory[[#This Row],[Decade]],Lookups!$O$25:$R$42,4,FALSE)</f>
        <v>1.0199</v>
      </c>
      <c r="BL427" s="25">
        <f>Inventory[[#This Row],[Nbhd Adj]]*0.95</f>
        <v>0.94971499999999998</v>
      </c>
      <c r="BM427" s="25">
        <f>Inventory[[#This Row],[Nbhd Adj]]*Inventory[[#This Row],[Quality Adj]]*Inventory[[#This Row],[Condition Adj]]*Inventory[[#This Row],[Living Area Adj]]*Inventory[[#This Row],[Decade Adj]]*0.95</f>
        <v>0.98989762598047604</v>
      </c>
      <c r="BN427" s="25">
        <f>ROUND(SUM(Inventory[[#This Row],[Mdl Qlty]:[Mdl WdDeck]])+Inventory[[#This Row],[Mdl Res Intercept]]*Inventory[[#This Row],[Res Adj ]],-2)</f>
        <v>250900</v>
      </c>
      <c r="BO427" s="25">
        <f>ROUND(Inventory[[#This Row],[25Det]]*Inventory[[#This Row],[Det/Nbhd Adj]],-2)</f>
        <v>0</v>
      </c>
      <c r="BP427" s="25">
        <f>Inventory[[#This Row],[Adjusted Res]]+Inventory[[#This Row],[Adj Det ]]</f>
        <v>250900</v>
      </c>
      <c r="BQ427" s="25">
        <f>ROUND((Inventory[[#This Row],[Mdl Land Intercept]]+Inventory[[#This Row],[Mdl LnAcres]])*Inventory[[#This Row],[Det/Nbhd Adj]],-2)</f>
        <v>-11400</v>
      </c>
      <c r="BR427" s="25">
        <f>Inventory[[#This Row],[Adjusted Impr Total]]+Inventory[[#This Row],[Adjusted Land Total]]</f>
        <v>239500</v>
      </c>
      <c r="BS427" s="36">
        <f>IFERROR((Inventory[[#This Row],[Adjusted Impr Total]]-Inventory[[#This Row],[24Bldg]])/Inventory[[#This Row],[24Bldg]],0)</f>
        <v>0.34819989253089739</v>
      </c>
      <c r="BT427" s="36">
        <f>(Inventory[[#This Row],[Adjusted Land Total]]-Inventory[[#This Row],[24Lnd]])/Inventory[[#This Row],[24Lnd]]</f>
        <v>-1.3475609756097562</v>
      </c>
      <c r="BU427" s="36">
        <f>(Inventory[[#This Row],[Adjusted Total]]-Inventory[[#This Row],[24Final]])/Inventory[[#This Row],[24Final]]</f>
        <v>9.4106898126998628E-2</v>
      </c>
    </row>
    <row r="428" spans="1:73" x14ac:dyDescent="0.3">
      <c r="A428" s="25">
        <v>2025</v>
      </c>
      <c r="B428" s="26" t="s">
        <v>610</v>
      </c>
      <c r="C428" s="26">
        <f>LN(Inventory[[#This Row],[Acres]])</f>
        <v>-1.2378743560016174</v>
      </c>
      <c r="D428" s="25">
        <v>0.28999999999999998</v>
      </c>
      <c r="E428" s="25">
        <v>12444</v>
      </c>
      <c r="F428" s="26" t="s">
        <v>537</v>
      </c>
      <c r="G428" s="26" t="s">
        <v>126</v>
      </c>
      <c r="H428" s="26" t="s">
        <v>349</v>
      </c>
      <c r="I428" s="26" t="s">
        <v>538</v>
      </c>
      <c r="J428" s="26" t="s">
        <v>539</v>
      </c>
      <c r="K428" s="26" t="s">
        <v>241</v>
      </c>
      <c r="L428" s="26" t="s">
        <v>351</v>
      </c>
      <c r="M428" s="26" t="s">
        <v>303</v>
      </c>
      <c r="N428" s="26">
        <v>70</v>
      </c>
      <c r="O428" s="26">
        <f>2024-Inventory[[#This Row],[YrBlt]]</f>
        <v>64</v>
      </c>
      <c r="P428" s="26">
        <f>2024-Inventory[[#This Row],[EffYr]]</f>
        <v>49</v>
      </c>
      <c r="Q428" s="25">
        <v>1960</v>
      </c>
      <c r="R428" s="25">
        <v>1975</v>
      </c>
      <c r="S428" s="25">
        <v>1196</v>
      </c>
      <c r="T428" s="31"/>
      <c r="U428" s="31"/>
      <c r="V428" s="31">
        <f>Inventory[[#This Row],[Bsmt]]-Inventory[[#This Row],[FnBsmt]]</f>
        <v>0</v>
      </c>
      <c r="W428" s="31"/>
      <c r="X428" s="27"/>
      <c r="Y428" s="27">
        <f>Inventory[[#This Row],[MainFn]]+Inventory[[#This Row],[UpprFn]]+Inventory[[#This Row],[FnBsmt]]+Inventory[[#This Row],[AddFn]]</f>
        <v>1196</v>
      </c>
      <c r="Z428" s="27">
        <v>1500</v>
      </c>
      <c r="AA428" s="25">
        <v>6</v>
      </c>
      <c r="AB428" s="27"/>
      <c r="AC428" s="27"/>
      <c r="AD428" s="25">
        <v>153</v>
      </c>
      <c r="AE428" s="27"/>
      <c r="AF428" s="27"/>
      <c r="AG428" s="27"/>
      <c r="AH428" s="27"/>
      <c r="AI428" s="25">
        <v>200166</v>
      </c>
      <c r="AJ428" s="25">
        <v>144120</v>
      </c>
      <c r="AK428" s="25">
        <v>23058</v>
      </c>
      <c r="AL428" s="25">
        <v>334300</v>
      </c>
      <c r="AM428" s="25">
        <v>71400</v>
      </c>
      <c r="AN428" s="25">
        <v>262900</v>
      </c>
      <c r="AO428" s="25">
        <v>0</v>
      </c>
      <c r="AP428" s="25">
        <f>Lookups!$B$56*0</f>
        <v>0</v>
      </c>
      <c r="AQ428" s="25">
        <f>Lookups!$B$56*1</f>
        <v>89850.625589999996</v>
      </c>
      <c r="AR428" s="25">
        <f>Lookups!$B$57*Inventory[[#This Row],[LnAcres]]</f>
        <v>-39184.437074869042</v>
      </c>
      <c r="AS428" s="25">
        <f>VLOOKUP(Inventory[[#This Row],[Qlty]],Lookups!$A$62:$E$75,2,FALSE)</f>
        <v>21557.329055999999</v>
      </c>
      <c r="AT428" s="25">
        <f>VLOOKUP(Inventory[[#This Row],[Cnd]],Lookups!$A$76:$E$84,2,FALSE)</f>
        <v>197752.34721000001</v>
      </c>
      <c r="AU428" s="25">
        <f>Inventory[[#This Row],[EffAge]]*Lookups!$B$85</f>
        <v>-10929.2344245</v>
      </c>
      <c r="AV428" s="25">
        <f>Inventory[[#This Row],[MainFn]]*Lookups!$B$86</f>
        <v>59092.769172892004</v>
      </c>
      <c r="AW428" s="25">
        <f>Inventory[[#This Row],[UpprFn]]*Lookups!$B$87</f>
        <v>0</v>
      </c>
      <c r="AX428" s="25">
        <f>Inventory[[#This Row],[AddFn]]*Lookups!$B$88</f>
        <v>0</v>
      </c>
      <c r="AY428" s="25">
        <f>Inventory[[#This Row],[Bsmt]]*Lookups!$B$89</f>
        <v>0</v>
      </c>
      <c r="AZ428" s="25">
        <f>Inventory[[#This Row],[Fixtures]]*Lookups!$B$90</f>
        <v>22752.132631200002</v>
      </c>
      <c r="BA428" s="25">
        <f>Inventory[[#This Row],[WdDeck]]*Lookups!$B$91</f>
        <v>5094.2138372280006</v>
      </c>
      <c r="BB428" s="25">
        <f>ROUND(Inventory[[#This Row],[25Det]],-2)</f>
        <v>23100</v>
      </c>
      <c r="BC428" s="25">
        <f>ROUND(SUM(Inventory[[#This Row],[Mdl Qlty]:[Mdl WdDeck]])+Inventory[[#This Row],[Mdl Res Intercept]],-2)</f>
        <v>295300</v>
      </c>
      <c r="BD428" s="25">
        <f>ROUND(Inventory[[#This Row],[Mdl Land Intercept]]+Inventory[[#This Row],[Mdl LnAcres]],-2)</f>
        <v>50700</v>
      </c>
      <c r="BE428" s="25">
        <f>Inventory[[#This Row],[Unadj Res Value]]+Inventory[[#This Row],[Unadj Det Value]]+Inventory[[#This Row],[Unadj Land Value]]</f>
        <v>369100</v>
      </c>
      <c r="BF428" s="36">
        <f>(Inventory[[#This Row],[Unadj Total Value]]-Inventory[[#This Row],[24Final]])/Inventory[[#This Row],[24Final]]</f>
        <v>0.10409811546515106</v>
      </c>
      <c r="BG428" s="25">
        <f>VLOOKUP(Inventory[[#This Row],[Nbhd]],Lookups!$Q$2:$T$4,4,FALSE)</f>
        <v>0.99970000000000003</v>
      </c>
      <c r="BH428" s="25">
        <f>VLOOKUP(Inventory[[#This Row],[Qlty]],Lookups!$O$7:$R$21,4,FALSE)</f>
        <v>1.0067999999999999</v>
      </c>
      <c r="BI428" s="25">
        <f>VLOOKUP(Inventory[[#This Row],[Cnd]],Lookups!$T$7:$W$16,4,FALSE)</f>
        <v>0.99650000000000005</v>
      </c>
      <c r="BJ428" s="25">
        <f>VLOOKUP(Inventory[[#This Row],[LivArea Range]],Lookups!$T$25:$W$37,4,FALSE)</f>
        <v>1.0157</v>
      </c>
      <c r="BK428" s="25">
        <f>VLOOKUP(Inventory[[#This Row],[Decade]],Lookups!$O$25:$R$42,4,FALSE)</f>
        <v>1.0199</v>
      </c>
      <c r="BL428" s="25">
        <f>Inventory[[#This Row],[Nbhd Adj]]*0.95</f>
        <v>0.94971499999999998</v>
      </c>
      <c r="BM428" s="25">
        <f>Inventory[[#This Row],[Nbhd Adj]]*Inventory[[#This Row],[Quality Adj]]*Inventory[[#This Row],[Condition Adj]]*Inventory[[#This Row],[Living Area Adj]]*Inventory[[#This Row],[Decade Adj]]*0.95</f>
        <v>0.98704476969641131</v>
      </c>
      <c r="BN428" s="25">
        <f>ROUND(SUM(Inventory[[#This Row],[Mdl Qlty]:[Mdl WdDeck]])+Inventory[[#This Row],[Mdl Res Intercept]]*Inventory[[#This Row],[Res Adj ]],-2)</f>
        <v>295300</v>
      </c>
      <c r="BO428" s="25">
        <f>ROUND(Inventory[[#This Row],[25Det]]*Inventory[[#This Row],[Det/Nbhd Adj]],-2)</f>
        <v>21900</v>
      </c>
      <c r="BP428" s="25">
        <f>Inventory[[#This Row],[Adjusted Res]]+Inventory[[#This Row],[Adj Det ]]</f>
        <v>317200</v>
      </c>
      <c r="BQ428" s="25">
        <f>ROUND((Inventory[[#This Row],[Mdl Land Intercept]]+Inventory[[#This Row],[Mdl LnAcres]])*Inventory[[#This Row],[Det/Nbhd Adj]],-2)</f>
        <v>48100</v>
      </c>
      <c r="BR428" s="25">
        <f>Inventory[[#This Row],[Adjusted Impr Total]]+Inventory[[#This Row],[Adjusted Land Total]]</f>
        <v>365300</v>
      </c>
      <c r="BS428" s="36">
        <f>IFERROR((Inventory[[#This Row],[Adjusted Impr Total]]-Inventory[[#This Row],[24Bldg]])/Inventory[[#This Row],[24Bldg]],0)</f>
        <v>0.20654241156333206</v>
      </c>
      <c r="BT428" s="36">
        <f>(Inventory[[#This Row],[Adjusted Land Total]]-Inventory[[#This Row],[24Lnd]])/Inventory[[#This Row],[24Lnd]]</f>
        <v>-0.32633053221288516</v>
      </c>
      <c r="BU428" s="36">
        <f>(Inventory[[#This Row],[Adjusted Total]]-Inventory[[#This Row],[24Final]])/Inventory[[#This Row],[24Final]]</f>
        <v>9.2731079868381694E-2</v>
      </c>
    </row>
    <row r="429" spans="1:73" x14ac:dyDescent="0.3">
      <c r="A429" s="25">
        <v>2025</v>
      </c>
      <c r="B429" s="26" t="s">
        <v>1524</v>
      </c>
      <c r="C429" s="26">
        <f>LN(Inventory[[#This Row],[Acres]])</f>
        <v>-3.2188758248682006</v>
      </c>
      <c r="D429" s="25">
        <v>0.04</v>
      </c>
      <c r="E429" s="32">
        <v>1400</v>
      </c>
      <c r="F429" s="26" t="s">
        <v>537</v>
      </c>
      <c r="G429" s="26" t="s">
        <v>28</v>
      </c>
      <c r="H429" s="26" t="s">
        <v>349</v>
      </c>
      <c r="I429" s="26" t="s">
        <v>538</v>
      </c>
      <c r="J429" s="26" t="s">
        <v>551</v>
      </c>
      <c r="K429" s="26" t="s">
        <v>381</v>
      </c>
      <c r="L429" s="26" t="s">
        <v>302</v>
      </c>
      <c r="M429" s="26" t="s">
        <v>323</v>
      </c>
      <c r="N429" s="26">
        <v>70</v>
      </c>
      <c r="O429" s="26">
        <f>2024-Inventory[[#This Row],[YrBlt]]</f>
        <v>64</v>
      </c>
      <c r="P429" s="26">
        <f>2024-Inventory[[#This Row],[EffYr]]</f>
        <v>49</v>
      </c>
      <c r="Q429" s="25">
        <v>1960</v>
      </c>
      <c r="R429" s="25">
        <v>1975</v>
      </c>
      <c r="S429" s="25">
        <v>1064</v>
      </c>
      <c r="T429" s="31"/>
      <c r="U429" s="31"/>
      <c r="V429" s="31">
        <f>Inventory[[#This Row],[Bsmt]]-Inventory[[#This Row],[FnBsmt]]</f>
        <v>0</v>
      </c>
      <c r="W429" s="31"/>
      <c r="X429" s="27"/>
      <c r="Y429" s="27">
        <f>Inventory[[#This Row],[MainFn]]+Inventory[[#This Row],[UpprFn]]+Inventory[[#This Row],[FnBsmt]]+Inventory[[#This Row],[AddFn]]</f>
        <v>1064</v>
      </c>
      <c r="Z429" s="27">
        <v>1500</v>
      </c>
      <c r="AA429" s="25">
        <v>5</v>
      </c>
      <c r="AB429" s="25">
        <v>336</v>
      </c>
      <c r="AC429" s="27"/>
      <c r="AD429" s="25">
        <v>50</v>
      </c>
      <c r="AE429" s="27"/>
      <c r="AF429" s="27"/>
      <c r="AG429" s="27"/>
      <c r="AH429" s="27"/>
      <c r="AI429" s="25">
        <v>233012</v>
      </c>
      <c r="AJ429" s="25">
        <v>165439</v>
      </c>
      <c r="AK429" s="25">
        <v>0</v>
      </c>
      <c r="AL429" s="25">
        <v>222300</v>
      </c>
      <c r="AM429" s="25">
        <v>33300</v>
      </c>
      <c r="AN429" s="25">
        <v>189000</v>
      </c>
      <c r="AO429" s="25">
        <v>0</v>
      </c>
      <c r="AP429" s="25">
        <f>Lookups!$B$56*0</f>
        <v>0</v>
      </c>
      <c r="AQ429" s="25">
        <f>Lookups!$B$56*1</f>
        <v>89850.625589999996</v>
      </c>
      <c r="AR429" s="25">
        <f>Lookups!$B$57*Inventory[[#This Row],[LnAcres]]</f>
        <v>-101892.2773541973</v>
      </c>
      <c r="AS429" s="25">
        <f>VLOOKUP(Inventory[[#This Row],[Qlty]],Lookups!$A$62:$E$75,2,FALSE)</f>
        <v>29814.093161000001</v>
      </c>
      <c r="AT429" s="25">
        <f>VLOOKUP(Inventory[[#This Row],[Cnd]],Lookups!$A$76:$E$84,2,FALSE)</f>
        <v>160472.20319</v>
      </c>
      <c r="AU429" s="25">
        <f>Inventory[[#This Row],[EffAge]]*Lookups!$B$85</f>
        <v>-10929.2344245</v>
      </c>
      <c r="AV429" s="25">
        <f>Inventory[[#This Row],[MainFn]]*Lookups!$B$86</f>
        <v>52570.824749127998</v>
      </c>
      <c r="AW429" s="25">
        <f>Inventory[[#This Row],[UpprFn]]*Lookups!$B$87</f>
        <v>0</v>
      </c>
      <c r="AX429" s="25">
        <f>Inventory[[#This Row],[AddFn]]*Lookups!$B$88</f>
        <v>0</v>
      </c>
      <c r="AY429" s="25">
        <f>Inventory[[#This Row],[Bsmt]]*Lookups!$B$89</f>
        <v>0</v>
      </c>
      <c r="AZ429" s="25">
        <f>Inventory[[#This Row],[Fixtures]]*Lookups!$B$90</f>
        <v>18960.110526</v>
      </c>
      <c r="BA429" s="25">
        <f>Inventory[[#This Row],[WdDeck]]*Lookups!$B$91</f>
        <v>1664.7757638000003</v>
      </c>
      <c r="BB429" s="25">
        <f>ROUND(Inventory[[#This Row],[25Det]],-2)</f>
        <v>0</v>
      </c>
      <c r="BC429" s="25">
        <f>ROUND(SUM(Inventory[[#This Row],[Mdl Qlty]:[Mdl WdDeck]])+Inventory[[#This Row],[Mdl Res Intercept]],-2)</f>
        <v>252600</v>
      </c>
      <c r="BD429" s="25">
        <f>ROUND(Inventory[[#This Row],[Mdl Land Intercept]]+Inventory[[#This Row],[Mdl LnAcres]],-2)</f>
        <v>-12000</v>
      </c>
      <c r="BE429" s="25">
        <f>Inventory[[#This Row],[Unadj Res Value]]+Inventory[[#This Row],[Unadj Det Value]]+Inventory[[#This Row],[Unadj Land Value]]</f>
        <v>240600</v>
      </c>
      <c r="BF429" s="36">
        <f>(Inventory[[#This Row],[Unadj Total Value]]-Inventory[[#This Row],[24Final]])/Inventory[[#This Row],[24Final]]</f>
        <v>8.2321187584345479E-2</v>
      </c>
      <c r="BG429" s="25">
        <f>VLOOKUP(Inventory[[#This Row],[Nbhd]],Lookups!$Q$2:$T$4,4,FALSE)</f>
        <v>0.99970000000000003</v>
      </c>
      <c r="BH429" s="25">
        <f>VLOOKUP(Inventory[[#This Row],[Qlty]],Lookups!$O$7:$R$21,4,FALSE)</f>
        <v>1.0088999999999999</v>
      </c>
      <c r="BI429" s="25">
        <f>VLOOKUP(Inventory[[#This Row],[Cnd]],Lookups!$T$7:$W$16,4,FALSE)</f>
        <v>0.99729999999999996</v>
      </c>
      <c r="BJ429" s="25">
        <f>VLOOKUP(Inventory[[#This Row],[LivArea Range]],Lookups!$T$25:$W$37,4,FALSE)</f>
        <v>1.0157</v>
      </c>
      <c r="BK429" s="25">
        <f>VLOOKUP(Inventory[[#This Row],[Decade]],Lookups!$O$25:$R$42,4,FALSE)</f>
        <v>1.0199</v>
      </c>
      <c r="BL429" s="25">
        <f>Inventory[[#This Row],[Nbhd Adj]]*0.95</f>
        <v>0.94971499999999998</v>
      </c>
      <c r="BM429" s="25">
        <f>Inventory[[#This Row],[Nbhd Adj]]*Inventory[[#This Row],[Quality Adj]]*Inventory[[#This Row],[Condition Adj]]*Inventory[[#This Row],[Living Area Adj]]*Inventory[[#This Row],[Decade Adj]]*0.95</f>
        <v>0.98989762598047604</v>
      </c>
      <c r="BN429" s="25">
        <f>ROUND(SUM(Inventory[[#This Row],[Mdl Qlty]:[Mdl WdDeck]])+Inventory[[#This Row],[Mdl Res Intercept]]*Inventory[[#This Row],[Res Adj ]],-2)</f>
        <v>252600</v>
      </c>
      <c r="BO429" s="25">
        <f>ROUND(Inventory[[#This Row],[25Det]]*Inventory[[#This Row],[Det/Nbhd Adj]],-2)</f>
        <v>0</v>
      </c>
      <c r="BP429" s="25">
        <f>Inventory[[#This Row],[Adjusted Res]]+Inventory[[#This Row],[Adj Det ]]</f>
        <v>252600</v>
      </c>
      <c r="BQ429" s="25">
        <f>ROUND((Inventory[[#This Row],[Mdl Land Intercept]]+Inventory[[#This Row],[Mdl LnAcres]])*Inventory[[#This Row],[Det/Nbhd Adj]],-2)</f>
        <v>-11400</v>
      </c>
      <c r="BR429" s="25">
        <f>Inventory[[#This Row],[Adjusted Impr Total]]+Inventory[[#This Row],[Adjusted Land Total]]</f>
        <v>241200</v>
      </c>
      <c r="BS429" s="36">
        <f>IFERROR((Inventory[[#This Row],[Adjusted Impr Total]]-Inventory[[#This Row],[24Bldg]])/Inventory[[#This Row],[24Bldg]],0)</f>
        <v>0.33650793650793653</v>
      </c>
      <c r="BT429" s="36">
        <f>(Inventory[[#This Row],[Adjusted Land Total]]-Inventory[[#This Row],[24Lnd]])/Inventory[[#This Row],[24Lnd]]</f>
        <v>-1.3423423423423424</v>
      </c>
      <c r="BU429" s="36">
        <f>(Inventory[[#This Row],[Adjusted Total]]-Inventory[[#This Row],[24Final]])/Inventory[[#This Row],[24Final]]</f>
        <v>8.5020242914979755E-2</v>
      </c>
    </row>
    <row r="430" spans="1:73" x14ac:dyDescent="0.3">
      <c r="A430" s="25">
        <v>2025</v>
      </c>
      <c r="B430" s="26" t="s">
        <v>1953</v>
      </c>
      <c r="C430" s="26">
        <f>LN(Inventory[[#This Row],[Acres]])</f>
        <v>-1.9661128563728327</v>
      </c>
      <c r="D430" s="25">
        <v>0.14000000000000001</v>
      </c>
      <c r="E430" s="25">
        <v>6114</v>
      </c>
      <c r="F430" s="26" t="s">
        <v>537</v>
      </c>
      <c r="G430" s="26" t="s">
        <v>126</v>
      </c>
      <c r="H430" s="26" t="s">
        <v>349</v>
      </c>
      <c r="I430" s="26" t="s">
        <v>538</v>
      </c>
      <c r="J430" s="26" t="s">
        <v>539</v>
      </c>
      <c r="K430" s="26" t="s">
        <v>241</v>
      </c>
      <c r="L430" s="26" t="s">
        <v>351</v>
      </c>
      <c r="M430" s="26" t="s">
        <v>303</v>
      </c>
      <c r="N430" s="26">
        <v>70</v>
      </c>
      <c r="O430" s="26">
        <f>2024-Inventory[[#This Row],[YrBlt]]</f>
        <v>64</v>
      </c>
      <c r="P430" s="26">
        <f>2024-Inventory[[#This Row],[EffYr]]</f>
        <v>49</v>
      </c>
      <c r="Q430" s="25">
        <v>1960</v>
      </c>
      <c r="R430" s="25">
        <v>1975</v>
      </c>
      <c r="S430" s="25">
        <v>1458</v>
      </c>
      <c r="T430" s="31"/>
      <c r="U430" s="25">
        <v>1458</v>
      </c>
      <c r="V430" s="25">
        <f>Inventory[[#This Row],[Bsmt]]-Inventory[[#This Row],[FnBsmt]]</f>
        <v>729</v>
      </c>
      <c r="W430" s="25">
        <v>729</v>
      </c>
      <c r="X430" s="27"/>
      <c r="Y430" s="27">
        <f>Inventory[[#This Row],[MainFn]]+Inventory[[#This Row],[UpprFn]]+Inventory[[#This Row],[FnBsmt]]+Inventory[[#This Row],[AddFn]]</f>
        <v>2187</v>
      </c>
      <c r="Z430" s="27">
        <v>2500</v>
      </c>
      <c r="AA430" s="25">
        <v>7</v>
      </c>
      <c r="AB430" s="31"/>
      <c r="AC430" s="27"/>
      <c r="AD430" s="32">
        <v>88</v>
      </c>
      <c r="AE430" s="27"/>
      <c r="AF430" s="27"/>
      <c r="AG430" s="27"/>
      <c r="AH430" s="27"/>
      <c r="AI430" s="25">
        <v>333913</v>
      </c>
      <c r="AJ430" s="25">
        <v>240417</v>
      </c>
      <c r="AK430" s="25">
        <v>0</v>
      </c>
      <c r="AL430" s="25">
        <v>349800</v>
      </c>
      <c r="AM430" s="25">
        <v>46000</v>
      </c>
      <c r="AN430" s="25">
        <v>303800</v>
      </c>
      <c r="AO430" s="25">
        <v>0</v>
      </c>
      <c r="AP430" s="25">
        <f>Lookups!$B$56*0</f>
        <v>0</v>
      </c>
      <c r="AQ430" s="25">
        <f>Lookups!$B$56*1</f>
        <v>89850.625589999996</v>
      </c>
      <c r="AR430" s="25">
        <f>Lookups!$B$57*Inventory[[#This Row],[LnAcres]]</f>
        <v>-62236.546971921947</v>
      </c>
      <c r="AS430" s="25">
        <f>VLOOKUP(Inventory[[#This Row],[Qlty]],Lookups!$A$62:$E$75,2,FALSE)</f>
        <v>21557.329055999999</v>
      </c>
      <c r="AT430" s="25">
        <f>VLOOKUP(Inventory[[#This Row],[Cnd]],Lookups!$A$76:$E$84,2,FALSE)</f>
        <v>197752.34721000001</v>
      </c>
      <c r="AU430" s="25">
        <f>Inventory[[#This Row],[EffAge]]*Lookups!$B$85</f>
        <v>-10929.2344245</v>
      </c>
      <c r="AV430" s="25">
        <f>Inventory[[#This Row],[MainFn]]*Lookups!$B$86</f>
        <v>72037.840680666006</v>
      </c>
      <c r="AW430" s="25">
        <f>Inventory[[#This Row],[UpprFn]]*Lookups!$B$87</f>
        <v>0</v>
      </c>
      <c r="AX430" s="25">
        <f>Inventory[[#This Row],[AddFn]]*Lookups!$B$88</f>
        <v>0</v>
      </c>
      <c r="AY430" s="25">
        <f>Inventory[[#This Row],[Bsmt]]*Lookups!$B$89</f>
        <v>42401.403270126</v>
      </c>
      <c r="AZ430" s="25">
        <f>Inventory[[#This Row],[Fixtures]]*Lookups!$B$90</f>
        <v>26544.1547364</v>
      </c>
      <c r="BA430" s="25">
        <f>Inventory[[#This Row],[WdDeck]]*Lookups!$B$91</f>
        <v>2930.0053442880003</v>
      </c>
      <c r="BB430" s="25">
        <f>ROUND(Inventory[[#This Row],[25Det]],-2)</f>
        <v>0</v>
      </c>
      <c r="BC430" s="25">
        <f>ROUND(SUM(Inventory[[#This Row],[Mdl Qlty]:[Mdl WdDeck]])+Inventory[[#This Row],[Mdl Res Intercept]],-2)</f>
        <v>352300</v>
      </c>
      <c r="BD430" s="25">
        <f>ROUND(Inventory[[#This Row],[Mdl Land Intercept]]+Inventory[[#This Row],[Mdl LnAcres]],-2)</f>
        <v>27600</v>
      </c>
      <c r="BE430" s="25">
        <f>Inventory[[#This Row],[Unadj Res Value]]+Inventory[[#This Row],[Unadj Det Value]]+Inventory[[#This Row],[Unadj Land Value]]</f>
        <v>379900</v>
      </c>
      <c r="BF430" s="36">
        <f>(Inventory[[#This Row],[Unadj Total Value]]-Inventory[[#This Row],[24Final]])/Inventory[[#This Row],[24Final]]</f>
        <v>8.6049170954831333E-2</v>
      </c>
      <c r="BG430" s="25">
        <f>VLOOKUP(Inventory[[#This Row],[Nbhd]],Lookups!$Q$2:$T$4,4,FALSE)</f>
        <v>0.99970000000000003</v>
      </c>
      <c r="BH430" s="25">
        <f>VLOOKUP(Inventory[[#This Row],[Qlty]],Lookups!$O$7:$R$21,4,FALSE)</f>
        <v>1.0067999999999999</v>
      </c>
      <c r="BI430" s="25">
        <f>VLOOKUP(Inventory[[#This Row],[Cnd]],Lookups!$T$7:$W$16,4,FALSE)</f>
        <v>0.99650000000000005</v>
      </c>
      <c r="BJ430" s="25">
        <f>VLOOKUP(Inventory[[#This Row],[LivArea Range]],Lookups!$T$25:$W$37,4,FALSE)</f>
        <v>0.98919999999999997</v>
      </c>
      <c r="BK430" s="25">
        <f>VLOOKUP(Inventory[[#This Row],[Decade]],Lookups!$O$25:$R$42,4,FALSE)</f>
        <v>1.0199</v>
      </c>
      <c r="BL430" s="25">
        <f>Inventory[[#This Row],[Nbhd Adj]]*0.95</f>
        <v>0.94971499999999998</v>
      </c>
      <c r="BM430" s="25">
        <f>Inventory[[#This Row],[Nbhd Adj]]*Inventory[[#This Row],[Quality Adj]]*Inventory[[#This Row],[Condition Adj]]*Inventory[[#This Row],[Living Area Adj]]*Inventory[[#This Row],[Decade Adj]]*0.95</f>
        <v>0.96129239557319079</v>
      </c>
      <c r="BN430" s="25">
        <f>ROUND(SUM(Inventory[[#This Row],[Mdl Qlty]:[Mdl WdDeck]])+Inventory[[#This Row],[Mdl Res Intercept]]*Inventory[[#This Row],[Res Adj ]],-2)</f>
        <v>352300</v>
      </c>
      <c r="BO430" s="25">
        <f>ROUND(Inventory[[#This Row],[25Det]]*Inventory[[#This Row],[Det/Nbhd Adj]],-2)</f>
        <v>0</v>
      </c>
      <c r="BP430" s="25">
        <f>Inventory[[#This Row],[Adjusted Res]]+Inventory[[#This Row],[Adj Det ]]</f>
        <v>352300</v>
      </c>
      <c r="BQ430" s="25">
        <f>ROUND((Inventory[[#This Row],[Mdl Land Intercept]]+Inventory[[#This Row],[Mdl LnAcres]])*Inventory[[#This Row],[Det/Nbhd Adj]],-2)</f>
        <v>26200</v>
      </c>
      <c r="BR430" s="25">
        <f>Inventory[[#This Row],[Adjusted Impr Total]]+Inventory[[#This Row],[Adjusted Land Total]]</f>
        <v>378500</v>
      </c>
      <c r="BS430" s="36">
        <f>IFERROR((Inventory[[#This Row],[Adjusted Impr Total]]-Inventory[[#This Row],[24Bldg]])/Inventory[[#This Row],[24Bldg]],0)</f>
        <v>0.15964450296247532</v>
      </c>
      <c r="BT430" s="36">
        <f>(Inventory[[#This Row],[Adjusted Land Total]]-Inventory[[#This Row],[24Lnd]])/Inventory[[#This Row],[24Lnd]]</f>
        <v>-0.43043478260869567</v>
      </c>
      <c r="BU430" s="36">
        <f>(Inventory[[#This Row],[Adjusted Total]]-Inventory[[#This Row],[24Final]])/Inventory[[#This Row],[24Final]]</f>
        <v>8.2046883933676387E-2</v>
      </c>
    </row>
    <row r="431" spans="1:73" x14ac:dyDescent="0.3">
      <c r="A431" s="25">
        <v>2025</v>
      </c>
      <c r="B431" s="26" t="s">
        <v>2050</v>
      </c>
      <c r="C431" s="26">
        <f>LN(Inventory[[#This Row],[Acres]])</f>
        <v>-1.7719568419318752</v>
      </c>
      <c r="D431" s="25">
        <v>0.17</v>
      </c>
      <c r="E431" s="27"/>
      <c r="F431" s="26" t="s">
        <v>537</v>
      </c>
      <c r="G431" s="26" t="s">
        <v>126</v>
      </c>
      <c r="H431" s="26" t="s">
        <v>349</v>
      </c>
      <c r="I431" s="26" t="s">
        <v>538</v>
      </c>
      <c r="J431" s="26" t="s">
        <v>539</v>
      </c>
      <c r="K431" s="26" t="s">
        <v>173</v>
      </c>
      <c r="L431" s="26" t="s">
        <v>351</v>
      </c>
      <c r="M431" s="26" t="s">
        <v>323</v>
      </c>
      <c r="N431" s="26">
        <v>70</v>
      </c>
      <c r="O431" s="26">
        <f>2024-Inventory[[#This Row],[YrBlt]]</f>
        <v>64</v>
      </c>
      <c r="P431" s="26">
        <f>2024-Inventory[[#This Row],[EffYr]]</f>
        <v>49</v>
      </c>
      <c r="Q431" s="25">
        <v>1960</v>
      </c>
      <c r="R431" s="25">
        <v>1975</v>
      </c>
      <c r="S431" s="25">
        <v>1192</v>
      </c>
      <c r="T431" s="25">
        <v>154</v>
      </c>
      <c r="U431" s="25">
        <v>132</v>
      </c>
      <c r="V431" s="25">
        <f>Inventory[[#This Row],[Bsmt]]-Inventory[[#This Row],[FnBsmt]]</f>
        <v>0</v>
      </c>
      <c r="W431" s="25">
        <v>132</v>
      </c>
      <c r="X431" s="27"/>
      <c r="Y431" s="27">
        <f>Inventory[[#This Row],[MainFn]]+Inventory[[#This Row],[UpprFn]]+Inventory[[#This Row],[FnBsmt]]+Inventory[[#This Row],[AddFn]]</f>
        <v>1478</v>
      </c>
      <c r="Z431" s="27">
        <v>1500</v>
      </c>
      <c r="AA431" s="25">
        <v>5</v>
      </c>
      <c r="AB431" s="27"/>
      <c r="AC431" s="27"/>
      <c r="AD431" s="32">
        <v>320</v>
      </c>
      <c r="AE431" s="27"/>
      <c r="AF431" s="27"/>
      <c r="AG431" s="27"/>
      <c r="AH431" s="27"/>
      <c r="AI431" s="25">
        <v>224083</v>
      </c>
      <c r="AJ431" s="25">
        <v>159099</v>
      </c>
      <c r="AK431" s="25">
        <v>0</v>
      </c>
      <c r="AL431" s="25">
        <v>279800</v>
      </c>
      <c r="AM431" s="25">
        <v>52700</v>
      </c>
      <c r="AN431" s="25">
        <v>227100</v>
      </c>
      <c r="AO431" s="25">
        <v>0</v>
      </c>
      <c r="AP431" s="25">
        <f>Lookups!$B$56*0</f>
        <v>0</v>
      </c>
      <c r="AQ431" s="25">
        <f>Lookups!$B$56*1</f>
        <v>89850.625589999996</v>
      </c>
      <c r="AR431" s="25">
        <f>Lookups!$B$57*Inventory[[#This Row],[LnAcres]]</f>
        <v>-56090.612940989391</v>
      </c>
      <c r="AS431" s="25">
        <f>VLOOKUP(Inventory[[#This Row],[Qlty]],Lookups!$A$62:$E$75,2,FALSE)</f>
        <v>21557.329055999999</v>
      </c>
      <c r="AT431" s="25">
        <f>VLOOKUP(Inventory[[#This Row],[Cnd]],Lookups!$A$76:$E$84,2,FALSE)</f>
        <v>160472.20319</v>
      </c>
      <c r="AU431" s="25">
        <f>Inventory[[#This Row],[EffAge]]*Lookups!$B$85</f>
        <v>-10929.2344245</v>
      </c>
      <c r="AV431" s="25">
        <f>Inventory[[#This Row],[MainFn]]*Lookups!$B$86</f>
        <v>58895.134493384001</v>
      </c>
      <c r="AW431" s="25">
        <f>Inventory[[#This Row],[UpprFn]]*Lookups!$B$87</f>
        <v>6897.1091205940002</v>
      </c>
      <c r="AX431" s="25">
        <f>Inventory[[#This Row],[AddFn]]*Lookups!$B$88</f>
        <v>0</v>
      </c>
      <c r="AY431" s="25">
        <f>Inventory[[#This Row],[Bsmt]]*Lookups!$B$89</f>
        <v>3838.8101726039999</v>
      </c>
      <c r="AZ431" s="25">
        <f>Inventory[[#This Row],[Fixtures]]*Lookups!$B$90</f>
        <v>18960.110526</v>
      </c>
      <c r="BA431" s="25">
        <f>Inventory[[#This Row],[WdDeck]]*Lookups!$B$91</f>
        <v>10654.564888320001</v>
      </c>
      <c r="BB431" s="25">
        <f>ROUND(Inventory[[#This Row],[25Det]],-2)</f>
        <v>0</v>
      </c>
      <c r="BC431" s="25">
        <f>ROUND(SUM(Inventory[[#This Row],[Mdl Qlty]:[Mdl WdDeck]])+Inventory[[#This Row],[Mdl Res Intercept]],-2)</f>
        <v>270300</v>
      </c>
      <c r="BD431" s="25">
        <f>ROUND(Inventory[[#This Row],[Mdl Land Intercept]]+Inventory[[#This Row],[Mdl LnAcres]],-2)</f>
        <v>33800</v>
      </c>
      <c r="BE431" s="25">
        <f>Inventory[[#This Row],[Unadj Res Value]]+Inventory[[#This Row],[Unadj Det Value]]+Inventory[[#This Row],[Unadj Land Value]]</f>
        <v>304100</v>
      </c>
      <c r="BF431" s="36">
        <f>(Inventory[[#This Row],[Unadj Total Value]]-Inventory[[#This Row],[24Final]])/Inventory[[#This Row],[24Final]]</f>
        <v>8.6847748391708363E-2</v>
      </c>
      <c r="BG431" s="25">
        <f>VLOOKUP(Inventory[[#This Row],[Nbhd]],Lookups!$Q$2:$T$4,4,FALSE)</f>
        <v>0.99970000000000003</v>
      </c>
      <c r="BH431" s="25">
        <f>VLOOKUP(Inventory[[#This Row],[Qlty]],Lookups!$O$7:$R$21,4,FALSE)</f>
        <v>1.0067999999999999</v>
      </c>
      <c r="BI431" s="25">
        <f>VLOOKUP(Inventory[[#This Row],[Cnd]],Lookups!$T$7:$W$16,4,FALSE)</f>
        <v>0.99729999999999996</v>
      </c>
      <c r="BJ431" s="25">
        <f>VLOOKUP(Inventory[[#This Row],[LivArea Range]],Lookups!$T$25:$W$37,4,FALSE)</f>
        <v>1.0157</v>
      </c>
      <c r="BK431" s="25">
        <f>VLOOKUP(Inventory[[#This Row],[Decade]],Lookups!$O$25:$R$42,4,FALSE)</f>
        <v>1.0199</v>
      </c>
      <c r="BL431" s="25">
        <f>Inventory[[#This Row],[Nbhd Adj]]*0.95</f>
        <v>0.94971499999999998</v>
      </c>
      <c r="BM431" s="25">
        <f>Inventory[[#This Row],[Nbhd Adj]]*Inventory[[#This Row],[Quality Adj]]*Inventory[[#This Row],[Condition Adj]]*Inventory[[#This Row],[Living Area Adj]]*Inventory[[#This Row],[Decade Adj]]*0.95</f>
        <v>0.98783717894453682</v>
      </c>
      <c r="BN431" s="25">
        <f>ROUND(SUM(Inventory[[#This Row],[Mdl Qlty]:[Mdl WdDeck]])+Inventory[[#This Row],[Mdl Res Intercept]]*Inventory[[#This Row],[Res Adj ]],-2)</f>
        <v>270300</v>
      </c>
      <c r="BO431" s="25">
        <f>ROUND(Inventory[[#This Row],[25Det]]*Inventory[[#This Row],[Det/Nbhd Adj]],-2)</f>
        <v>0</v>
      </c>
      <c r="BP431" s="25">
        <f>Inventory[[#This Row],[Adjusted Res]]+Inventory[[#This Row],[Adj Det ]]</f>
        <v>270300</v>
      </c>
      <c r="BQ431" s="25">
        <f>ROUND((Inventory[[#This Row],[Mdl Land Intercept]]+Inventory[[#This Row],[Mdl LnAcres]])*Inventory[[#This Row],[Det/Nbhd Adj]],-2)</f>
        <v>32100</v>
      </c>
      <c r="BR431" s="25">
        <f>Inventory[[#This Row],[Adjusted Impr Total]]+Inventory[[#This Row],[Adjusted Land Total]]</f>
        <v>302400</v>
      </c>
      <c r="BS431" s="36">
        <f>IFERROR((Inventory[[#This Row],[Adjusted Impr Total]]-Inventory[[#This Row],[24Bldg]])/Inventory[[#This Row],[24Bldg]],0)</f>
        <v>0.19022457067371201</v>
      </c>
      <c r="BT431" s="36">
        <f>(Inventory[[#This Row],[Adjusted Land Total]]-Inventory[[#This Row],[24Lnd]])/Inventory[[#This Row],[24Lnd]]</f>
        <v>-0.39089184060721061</v>
      </c>
      <c r="BU431" s="36">
        <f>(Inventory[[#This Row],[Adjusted Total]]-Inventory[[#This Row],[24Final]])/Inventory[[#This Row],[24Final]]</f>
        <v>8.0771979985704068E-2</v>
      </c>
    </row>
    <row r="432" spans="1:73" x14ac:dyDescent="0.3">
      <c r="A432" s="25">
        <v>2025</v>
      </c>
      <c r="B432" s="26" t="s">
        <v>2911</v>
      </c>
      <c r="C432" s="26">
        <f>LN(Inventory[[#This Row],[Acres]])</f>
        <v>-1.1711829815029451</v>
      </c>
      <c r="D432" s="25">
        <v>0.31</v>
      </c>
      <c r="E432" s="32">
        <v>13466</v>
      </c>
      <c r="F432" s="26" t="s">
        <v>537</v>
      </c>
      <c r="G432" s="26" t="s">
        <v>126</v>
      </c>
      <c r="H432" s="26" t="s">
        <v>349</v>
      </c>
      <c r="I432" s="26" t="s">
        <v>538</v>
      </c>
      <c r="J432" s="26" t="s">
        <v>539</v>
      </c>
      <c r="K432" s="26" t="s">
        <v>241</v>
      </c>
      <c r="L432" s="26" t="s">
        <v>64</v>
      </c>
      <c r="M432" s="26" t="s">
        <v>352</v>
      </c>
      <c r="N432" s="26">
        <v>70</v>
      </c>
      <c r="O432" s="26">
        <f>2024-Inventory[[#This Row],[YrBlt]]</f>
        <v>64</v>
      </c>
      <c r="P432" s="26">
        <f>2024-Inventory[[#This Row],[EffYr]]</f>
        <v>49</v>
      </c>
      <c r="Q432" s="25">
        <v>1960</v>
      </c>
      <c r="R432" s="25">
        <v>1975</v>
      </c>
      <c r="S432" s="25">
        <v>2519</v>
      </c>
      <c r="T432" s="27"/>
      <c r="U432" s="25">
        <v>1727</v>
      </c>
      <c r="V432" s="25">
        <f>Inventory[[#This Row],[Bsmt]]-Inventory[[#This Row],[FnBsmt]]</f>
        <v>1157</v>
      </c>
      <c r="W432" s="25">
        <v>570</v>
      </c>
      <c r="X432" s="27"/>
      <c r="Y432" s="27">
        <f>Inventory[[#This Row],[MainFn]]+Inventory[[#This Row],[UpprFn]]+Inventory[[#This Row],[FnBsmt]]+Inventory[[#This Row],[AddFn]]</f>
        <v>3089</v>
      </c>
      <c r="Z432" s="27">
        <v>3500</v>
      </c>
      <c r="AA432" s="25">
        <v>10</v>
      </c>
      <c r="AB432" s="32">
        <v>720</v>
      </c>
      <c r="AC432" s="27"/>
      <c r="AD432" s="27"/>
      <c r="AE432" s="27"/>
      <c r="AF432" s="27"/>
      <c r="AG432" s="27"/>
      <c r="AH432" s="27"/>
      <c r="AI432" s="25">
        <v>744147</v>
      </c>
      <c r="AJ432" s="25">
        <v>572993</v>
      </c>
      <c r="AK432" s="25">
        <v>0</v>
      </c>
      <c r="AL432" s="25">
        <v>648500</v>
      </c>
      <c r="AM432" s="25">
        <v>73700</v>
      </c>
      <c r="AN432" s="25">
        <v>574800</v>
      </c>
      <c r="AO432" s="25">
        <v>0</v>
      </c>
      <c r="AP432" s="25">
        <f>Lookups!$B$56*0</f>
        <v>0</v>
      </c>
      <c r="AQ432" s="25">
        <f>Lookups!$B$56*1</f>
        <v>89850.625589999996</v>
      </c>
      <c r="AR432" s="25">
        <f>Lookups!$B$57*Inventory[[#This Row],[LnAcres]]</f>
        <v>-37073.347241874442</v>
      </c>
      <c r="AS432" s="25">
        <f>VLOOKUP(Inventory[[#This Row],[Qlty]],Lookups!$A$62:$E$75,2,FALSE)</f>
        <v>163885.03753</v>
      </c>
      <c r="AT432" s="25">
        <f>VLOOKUP(Inventory[[#This Row],[Cnd]],Lookups!$A$76:$E$84,2,FALSE)</f>
        <v>284810.60806</v>
      </c>
      <c r="AU432" s="25">
        <f>Inventory[[#This Row],[EffAge]]*Lookups!$B$85</f>
        <v>-10929.2344245</v>
      </c>
      <c r="AV432" s="25">
        <f>Inventory[[#This Row],[MainFn]]*Lookups!$B$86</f>
        <v>124460.43942016301</v>
      </c>
      <c r="AW432" s="25">
        <f>Inventory[[#This Row],[UpprFn]]*Lookups!$B$87</f>
        <v>0</v>
      </c>
      <c r="AX432" s="25">
        <f>Inventory[[#This Row],[AddFn]]*Lookups!$B$88</f>
        <v>0</v>
      </c>
      <c r="AY432" s="25">
        <f>Inventory[[#This Row],[Bsmt]]*Lookups!$B$89</f>
        <v>50224.433091569001</v>
      </c>
      <c r="AZ432" s="25">
        <f>Inventory[[#This Row],[Fixtures]]*Lookups!$B$90</f>
        <v>37920.221052000001</v>
      </c>
      <c r="BA432" s="25">
        <f>Inventory[[#This Row],[WdDeck]]*Lookups!$B$91</f>
        <v>0</v>
      </c>
      <c r="BB432" s="25">
        <f>ROUND(Inventory[[#This Row],[25Det]],-2)</f>
        <v>0</v>
      </c>
      <c r="BC432" s="25">
        <f>ROUND(SUM(Inventory[[#This Row],[Mdl Qlty]:[Mdl WdDeck]])+Inventory[[#This Row],[Mdl Res Intercept]],-2)</f>
        <v>650400</v>
      </c>
      <c r="BD432" s="25">
        <f>ROUND(Inventory[[#This Row],[Mdl Land Intercept]]+Inventory[[#This Row],[Mdl LnAcres]],-2)</f>
        <v>52800</v>
      </c>
      <c r="BE432" s="25">
        <f>Inventory[[#This Row],[Unadj Res Value]]+Inventory[[#This Row],[Unadj Det Value]]+Inventory[[#This Row],[Unadj Land Value]]</f>
        <v>703200</v>
      </c>
      <c r="BF432" s="36">
        <f>(Inventory[[#This Row],[Unadj Total Value]]-Inventory[[#This Row],[24Final]])/Inventory[[#This Row],[24Final]]</f>
        <v>8.4348496530454897E-2</v>
      </c>
      <c r="BG432" s="25">
        <f>VLOOKUP(Inventory[[#This Row],[Nbhd]],Lookups!$Q$2:$T$4,4,FALSE)</f>
        <v>0.99970000000000003</v>
      </c>
      <c r="BH432" s="25">
        <f>VLOOKUP(Inventory[[#This Row],[Qlty]],Lookups!$O$7:$R$21,4,FALSE)</f>
        <v>1</v>
      </c>
      <c r="BI432" s="25">
        <f>VLOOKUP(Inventory[[#This Row],[Cnd]],Lookups!$T$7:$W$16,4,FALSE)</f>
        <v>1.0158</v>
      </c>
      <c r="BJ432" s="25">
        <f>VLOOKUP(Inventory[[#This Row],[LivArea Range]],Lookups!$T$25:$W$37,4,FALSE)</f>
        <v>1.0126999999999999</v>
      </c>
      <c r="BK432" s="25">
        <f>VLOOKUP(Inventory[[#This Row],[Decade]],Lookups!$O$25:$R$42,4,FALSE)</f>
        <v>1.0199</v>
      </c>
      <c r="BL432" s="25">
        <f>Inventory[[#This Row],[Nbhd Adj]]*0.95</f>
        <v>0.94971499999999998</v>
      </c>
      <c r="BM432" s="25">
        <f>Inventory[[#This Row],[Nbhd Adj]]*Inventory[[#This Row],[Quality Adj]]*Inventory[[#This Row],[Condition Adj]]*Inventory[[#This Row],[Living Area Adj]]*Inventory[[#This Row],[Decade Adj]]*0.95</f>
        <v>0.99641419901340689</v>
      </c>
      <c r="BN432" s="25">
        <f>ROUND(SUM(Inventory[[#This Row],[Mdl Qlty]:[Mdl WdDeck]])+Inventory[[#This Row],[Mdl Res Intercept]]*Inventory[[#This Row],[Res Adj ]],-2)</f>
        <v>650400</v>
      </c>
      <c r="BO432" s="25">
        <f>ROUND(Inventory[[#This Row],[25Det]]*Inventory[[#This Row],[Det/Nbhd Adj]],-2)</f>
        <v>0</v>
      </c>
      <c r="BP432" s="25">
        <f>Inventory[[#This Row],[Adjusted Res]]+Inventory[[#This Row],[Adj Det ]]</f>
        <v>650400</v>
      </c>
      <c r="BQ432" s="25">
        <f>ROUND((Inventory[[#This Row],[Mdl Land Intercept]]+Inventory[[#This Row],[Mdl LnAcres]])*Inventory[[#This Row],[Det/Nbhd Adj]],-2)</f>
        <v>50100</v>
      </c>
      <c r="BR432" s="25">
        <f>Inventory[[#This Row],[Adjusted Impr Total]]+Inventory[[#This Row],[Adjusted Land Total]]</f>
        <v>700500</v>
      </c>
      <c r="BS432" s="36">
        <f>IFERROR((Inventory[[#This Row],[Adjusted Impr Total]]-Inventory[[#This Row],[24Bldg]])/Inventory[[#This Row],[24Bldg]],0)</f>
        <v>0.13152400835073069</v>
      </c>
      <c r="BT432" s="36">
        <f>(Inventory[[#This Row],[Adjusted Land Total]]-Inventory[[#This Row],[24Lnd]])/Inventory[[#This Row],[24Lnd]]</f>
        <v>-0.32021709633649931</v>
      </c>
      <c r="BU432" s="36">
        <f>(Inventory[[#This Row],[Adjusted Total]]-Inventory[[#This Row],[24Final]])/Inventory[[#This Row],[24Final]]</f>
        <v>8.0185042405551271E-2</v>
      </c>
    </row>
    <row r="433" spans="1:73" x14ac:dyDescent="0.3">
      <c r="A433" s="25">
        <v>2025</v>
      </c>
      <c r="B433" s="26" t="s">
        <v>2882</v>
      </c>
      <c r="C433" s="26">
        <f>LN(Inventory[[#This Row],[Acres]])</f>
        <v>-1.8971199848858813</v>
      </c>
      <c r="D433" s="25">
        <v>0.15</v>
      </c>
      <c r="E433" s="27"/>
      <c r="F433" s="26" t="s">
        <v>537</v>
      </c>
      <c r="G433" s="26" t="s">
        <v>126</v>
      </c>
      <c r="H433" s="26" t="s">
        <v>349</v>
      </c>
      <c r="I433" s="26" t="s">
        <v>538</v>
      </c>
      <c r="J433" s="26" t="s">
        <v>539</v>
      </c>
      <c r="K433" s="26" t="s">
        <v>241</v>
      </c>
      <c r="L433" s="26" t="s">
        <v>351</v>
      </c>
      <c r="M433" s="26" t="s">
        <v>303</v>
      </c>
      <c r="N433" s="26">
        <v>70</v>
      </c>
      <c r="O433" s="26">
        <f>2024-Inventory[[#This Row],[YrBlt]]</f>
        <v>64</v>
      </c>
      <c r="P433" s="26">
        <f>2024-Inventory[[#This Row],[EffYr]]</f>
        <v>49</v>
      </c>
      <c r="Q433" s="25">
        <v>1960</v>
      </c>
      <c r="R433" s="25">
        <v>1975</v>
      </c>
      <c r="S433" s="25">
        <v>1575</v>
      </c>
      <c r="T433" s="31"/>
      <c r="U433" s="31"/>
      <c r="V433" s="31">
        <f>Inventory[[#This Row],[Bsmt]]-Inventory[[#This Row],[FnBsmt]]</f>
        <v>0</v>
      </c>
      <c r="W433" s="31"/>
      <c r="X433" s="27"/>
      <c r="Y433" s="27">
        <f>Inventory[[#This Row],[MainFn]]+Inventory[[#This Row],[UpprFn]]+Inventory[[#This Row],[FnBsmt]]+Inventory[[#This Row],[AddFn]]</f>
        <v>1575</v>
      </c>
      <c r="Z433" s="27">
        <v>2000</v>
      </c>
      <c r="AA433" s="25">
        <v>8</v>
      </c>
      <c r="AB433" s="27"/>
      <c r="AC433" s="27"/>
      <c r="AD433" s="31"/>
      <c r="AE433" s="27"/>
      <c r="AF433" s="27"/>
      <c r="AG433" s="27"/>
      <c r="AH433" s="27"/>
      <c r="AI433" s="25">
        <v>259756</v>
      </c>
      <c r="AJ433" s="25">
        <v>187024</v>
      </c>
      <c r="AK433" s="25">
        <v>0</v>
      </c>
      <c r="AL433" s="25">
        <v>319800</v>
      </c>
      <c r="AM433" s="25">
        <v>48400</v>
      </c>
      <c r="AN433" s="25">
        <v>271400</v>
      </c>
      <c r="AO433" s="25">
        <v>0</v>
      </c>
      <c r="AP433" s="25">
        <f>Lookups!$B$56*0</f>
        <v>0</v>
      </c>
      <c r="AQ433" s="25">
        <f>Lookups!$B$56*1</f>
        <v>89850.625589999996</v>
      </c>
      <c r="AR433" s="25">
        <f>Lookups!$B$57*Inventory[[#This Row],[LnAcres]]</f>
        <v>-60052.604136134301</v>
      </c>
      <c r="AS433" s="25">
        <f>VLOOKUP(Inventory[[#This Row],[Qlty]],Lookups!$A$62:$E$75,2,FALSE)</f>
        <v>21557.329055999999</v>
      </c>
      <c r="AT433" s="25">
        <f>VLOOKUP(Inventory[[#This Row],[Cnd]],Lookups!$A$76:$E$84,2,FALSE)</f>
        <v>197752.34721000001</v>
      </c>
      <c r="AU433" s="25">
        <f>Inventory[[#This Row],[EffAge]]*Lookups!$B$85</f>
        <v>-10929.2344245</v>
      </c>
      <c r="AV433" s="25">
        <f>Inventory[[#This Row],[MainFn]]*Lookups!$B$86</f>
        <v>77818.655056275005</v>
      </c>
      <c r="AW433" s="25">
        <f>Inventory[[#This Row],[UpprFn]]*Lookups!$B$87</f>
        <v>0</v>
      </c>
      <c r="AX433" s="25">
        <f>Inventory[[#This Row],[AddFn]]*Lookups!$B$88</f>
        <v>0</v>
      </c>
      <c r="AY433" s="25">
        <f>Inventory[[#This Row],[Bsmt]]*Lookups!$B$89</f>
        <v>0</v>
      </c>
      <c r="AZ433" s="25">
        <f>Inventory[[#This Row],[Fixtures]]*Lookups!$B$90</f>
        <v>30336.176841600001</v>
      </c>
      <c r="BA433" s="25">
        <f>Inventory[[#This Row],[WdDeck]]*Lookups!$B$91</f>
        <v>0</v>
      </c>
      <c r="BB433" s="25">
        <f>ROUND(Inventory[[#This Row],[25Det]],-2)</f>
        <v>0</v>
      </c>
      <c r="BC433" s="25">
        <f>ROUND(SUM(Inventory[[#This Row],[Mdl Qlty]:[Mdl WdDeck]])+Inventory[[#This Row],[Mdl Res Intercept]],-2)</f>
        <v>316500</v>
      </c>
      <c r="BD433" s="25">
        <f>ROUND(Inventory[[#This Row],[Mdl Land Intercept]]+Inventory[[#This Row],[Mdl LnAcres]],-2)</f>
        <v>29800</v>
      </c>
      <c r="BE433" s="25">
        <f>Inventory[[#This Row],[Unadj Res Value]]+Inventory[[#This Row],[Unadj Det Value]]+Inventory[[#This Row],[Unadj Land Value]]</f>
        <v>346300</v>
      </c>
      <c r="BF433" s="36">
        <f>(Inventory[[#This Row],[Unadj Total Value]]-Inventory[[#This Row],[24Final]])/Inventory[[#This Row],[24Final]]</f>
        <v>8.2864290181363348E-2</v>
      </c>
      <c r="BG433" s="25">
        <f>VLOOKUP(Inventory[[#This Row],[Nbhd]],Lookups!$Q$2:$T$4,4,FALSE)</f>
        <v>0.99970000000000003</v>
      </c>
      <c r="BH433" s="25">
        <f>VLOOKUP(Inventory[[#This Row],[Qlty]],Lookups!$O$7:$R$21,4,FALSE)</f>
        <v>1.0067999999999999</v>
      </c>
      <c r="BI433" s="25">
        <f>VLOOKUP(Inventory[[#This Row],[Cnd]],Lookups!$T$7:$W$16,4,FALSE)</f>
        <v>0.99650000000000005</v>
      </c>
      <c r="BJ433" s="25">
        <f>VLOOKUP(Inventory[[#This Row],[LivArea Range]],Lookups!$T$25:$W$37,4,FALSE)</f>
        <v>1.0093000000000001</v>
      </c>
      <c r="BK433" s="25">
        <f>VLOOKUP(Inventory[[#This Row],[Decade]],Lookups!$O$25:$R$42,4,FALSE)</f>
        <v>1.0199</v>
      </c>
      <c r="BL433" s="25">
        <f>Inventory[[#This Row],[Nbhd Adj]]*0.95</f>
        <v>0.94971499999999998</v>
      </c>
      <c r="BM433" s="25">
        <f>Inventory[[#This Row],[Nbhd Adj]]*Inventory[[#This Row],[Quality Adj]]*Inventory[[#This Row],[Condition Adj]]*Inventory[[#This Row],[Living Area Adj]]*Inventory[[#This Row],[Decade Adj]]*0.95</f>
        <v>0.98082532839872782</v>
      </c>
      <c r="BN433" s="25">
        <f>ROUND(SUM(Inventory[[#This Row],[Mdl Qlty]:[Mdl WdDeck]])+Inventory[[#This Row],[Mdl Res Intercept]]*Inventory[[#This Row],[Res Adj ]],-2)</f>
        <v>316500</v>
      </c>
      <c r="BO433" s="25">
        <f>ROUND(Inventory[[#This Row],[25Det]]*Inventory[[#This Row],[Det/Nbhd Adj]],-2)</f>
        <v>0</v>
      </c>
      <c r="BP433" s="25">
        <f>Inventory[[#This Row],[Adjusted Res]]+Inventory[[#This Row],[Adj Det ]]</f>
        <v>316500</v>
      </c>
      <c r="BQ433" s="25">
        <f>ROUND((Inventory[[#This Row],[Mdl Land Intercept]]+Inventory[[#This Row],[Mdl LnAcres]])*Inventory[[#This Row],[Det/Nbhd Adj]],-2)</f>
        <v>28300</v>
      </c>
      <c r="BR433" s="25">
        <f>Inventory[[#This Row],[Adjusted Impr Total]]+Inventory[[#This Row],[Adjusted Land Total]]</f>
        <v>344800</v>
      </c>
      <c r="BS433" s="36">
        <f>IFERROR((Inventory[[#This Row],[Adjusted Impr Total]]-Inventory[[#This Row],[24Bldg]])/Inventory[[#This Row],[24Bldg]],0)</f>
        <v>0.16617538688282976</v>
      </c>
      <c r="BT433" s="36">
        <f>(Inventory[[#This Row],[Adjusted Land Total]]-Inventory[[#This Row],[24Lnd]])/Inventory[[#This Row],[24Lnd]]</f>
        <v>-0.41528925619834711</v>
      </c>
      <c r="BU433" s="36">
        <f>(Inventory[[#This Row],[Adjusted Total]]-Inventory[[#This Row],[24Final]])/Inventory[[#This Row],[24Final]]</f>
        <v>7.8173858661663542E-2</v>
      </c>
    </row>
    <row r="434" spans="1:73" x14ac:dyDescent="0.3">
      <c r="A434" s="25">
        <v>2025</v>
      </c>
      <c r="B434" s="26" t="s">
        <v>2368</v>
      </c>
      <c r="C434" s="26">
        <f>LN(Inventory[[#This Row],[Acres]])</f>
        <v>-1.5141277326297755</v>
      </c>
      <c r="D434" s="25">
        <v>0.22</v>
      </c>
      <c r="E434" s="27"/>
      <c r="F434" s="26" t="s">
        <v>537</v>
      </c>
      <c r="G434" s="26" t="s">
        <v>126</v>
      </c>
      <c r="H434" s="26" t="s">
        <v>349</v>
      </c>
      <c r="I434" s="26" t="s">
        <v>538</v>
      </c>
      <c r="J434" s="26" t="s">
        <v>539</v>
      </c>
      <c r="K434" s="26" t="s">
        <v>241</v>
      </c>
      <c r="L434" s="26" t="s">
        <v>351</v>
      </c>
      <c r="M434" s="26" t="s">
        <v>303</v>
      </c>
      <c r="N434" s="26">
        <v>70</v>
      </c>
      <c r="O434" s="26">
        <f>2024-Inventory[[#This Row],[YrBlt]]</f>
        <v>64</v>
      </c>
      <c r="P434" s="26">
        <f>2024-Inventory[[#This Row],[EffYr]]</f>
        <v>49</v>
      </c>
      <c r="Q434" s="25">
        <v>1960</v>
      </c>
      <c r="R434" s="25">
        <v>1975</v>
      </c>
      <c r="S434" s="25">
        <v>1605</v>
      </c>
      <c r="T434" s="31"/>
      <c r="U434" s="31"/>
      <c r="V434" s="31">
        <f>Inventory[[#This Row],[Bsmt]]-Inventory[[#This Row],[FnBsmt]]</f>
        <v>0</v>
      </c>
      <c r="W434" s="31"/>
      <c r="X434" s="27"/>
      <c r="Y434" s="27">
        <f>Inventory[[#This Row],[MainFn]]+Inventory[[#This Row],[UpprFn]]+Inventory[[#This Row],[FnBsmt]]+Inventory[[#This Row],[AddFn]]</f>
        <v>1605</v>
      </c>
      <c r="Z434" s="27">
        <v>2000</v>
      </c>
      <c r="AA434" s="25">
        <v>8</v>
      </c>
      <c r="AB434" s="32">
        <v>288</v>
      </c>
      <c r="AC434" s="27"/>
      <c r="AD434" s="27"/>
      <c r="AE434" s="27"/>
      <c r="AF434" s="27"/>
      <c r="AG434" s="27"/>
      <c r="AH434" s="27"/>
      <c r="AI434" s="25">
        <v>260976</v>
      </c>
      <c r="AJ434" s="25">
        <v>187903</v>
      </c>
      <c r="AK434" s="25">
        <v>0</v>
      </c>
      <c r="AL434" s="25">
        <v>333200</v>
      </c>
      <c r="AM434" s="25">
        <v>61700</v>
      </c>
      <c r="AN434" s="25">
        <v>271500</v>
      </c>
      <c r="AO434" s="25">
        <v>0</v>
      </c>
      <c r="AP434" s="25">
        <f>Lookups!$B$56*0</f>
        <v>0</v>
      </c>
      <c r="AQ434" s="25">
        <f>Lookups!$B$56*1</f>
        <v>89850.625589999996</v>
      </c>
      <c r="AR434" s="25">
        <f>Lookups!$B$57*Inventory[[#This Row],[LnAcres]]</f>
        <v>-47929.131559187132</v>
      </c>
      <c r="AS434" s="25">
        <f>VLOOKUP(Inventory[[#This Row],[Qlty]],Lookups!$A$62:$E$75,2,FALSE)</f>
        <v>21557.329055999999</v>
      </c>
      <c r="AT434" s="25">
        <f>VLOOKUP(Inventory[[#This Row],[Cnd]],Lookups!$A$76:$E$84,2,FALSE)</f>
        <v>197752.34721000001</v>
      </c>
      <c r="AU434" s="25">
        <f>Inventory[[#This Row],[EffAge]]*Lookups!$B$85</f>
        <v>-10929.2344245</v>
      </c>
      <c r="AV434" s="25">
        <f>Inventory[[#This Row],[MainFn]]*Lookups!$B$86</f>
        <v>79300.915152585003</v>
      </c>
      <c r="AW434" s="25">
        <f>Inventory[[#This Row],[UpprFn]]*Lookups!$B$87</f>
        <v>0</v>
      </c>
      <c r="AX434" s="25">
        <f>Inventory[[#This Row],[AddFn]]*Lookups!$B$88</f>
        <v>0</v>
      </c>
      <c r="AY434" s="25">
        <f>Inventory[[#This Row],[Bsmt]]*Lookups!$B$89</f>
        <v>0</v>
      </c>
      <c r="AZ434" s="25">
        <f>Inventory[[#This Row],[Fixtures]]*Lookups!$B$90</f>
        <v>30336.176841600001</v>
      </c>
      <c r="BA434" s="25">
        <f>Inventory[[#This Row],[WdDeck]]*Lookups!$B$91</f>
        <v>0</v>
      </c>
      <c r="BB434" s="25">
        <f>ROUND(Inventory[[#This Row],[25Det]],-2)</f>
        <v>0</v>
      </c>
      <c r="BC434" s="25">
        <f>ROUND(SUM(Inventory[[#This Row],[Mdl Qlty]:[Mdl WdDeck]])+Inventory[[#This Row],[Mdl Res Intercept]],-2)</f>
        <v>318000</v>
      </c>
      <c r="BD434" s="25">
        <f>ROUND(Inventory[[#This Row],[Mdl Land Intercept]]+Inventory[[#This Row],[Mdl LnAcres]],-2)</f>
        <v>41900</v>
      </c>
      <c r="BE434" s="25">
        <f>Inventory[[#This Row],[Unadj Res Value]]+Inventory[[#This Row],[Unadj Det Value]]+Inventory[[#This Row],[Unadj Land Value]]</f>
        <v>359900</v>
      </c>
      <c r="BF434" s="36">
        <f>(Inventory[[#This Row],[Unadj Total Value]]-Inventory[[#This Row],[24Final]])/Inventory[[#This Row],[24Final]]</f>
        <v>8.0132052821128452E-2</v>
      </c>
      <c r="BG434" s="25">
        <f>VLOOKUP(Inventory[[#This Row],[Nbhd]],Lookups!$Q$2:$T$4,4,FALSE)</f>
        <v>0.99970000000000003</v>
      </c>
      <c r="BH434" s="25">
        <f>VLOOKUP(Inventory[[#This Row],[Qlty]],Lookups!$O$7:$R$21,4,FALSE)</f>
        <v>1.0067999999999999</v>
      </c>
      <c r="BI434" s="25">
        <f>VLOOKUP(Inventory[[#This Row],[Cnd]],Lookups!$T$7:$W$16,4,FALSE)</f>
        <v>0.99650000000000005</v>
      </c>
      <c r="BJ434" s="25">
        <f>VLOOKUP(Inventory[[#This Row],[LivArea Range]],Lookups!$T$25:$W$37,4,FALSE)</f>
        <v>1.0093000000000001</v>
      </c>
      <c r="BK434" s="25">
        <f>VLOOKUP(Inventory[[#This Row],[Decade]],Lookups!$O$25:$R$42,4,FALSE)</f>
        <v>1.0199</v>
      </c>
      <c r="BL434" s="25">
        <f>Inventory[[#This Row],[Nbhd Adj]]*0.95</f>
        <v>0.94971499999999998</v>
      </c>
      <c r="BM434" s="25">
        <f>Inventory[[#This Row],[Nbhd Adj]]*Inventory[[#This Row],[Quality Adj]]*Inventory[[#This Row],[Condition Adj]]*Inventory[[#This Row],[Living Area Adj]]*Inventory[[#This Row],[Decade Adj]]*0.95</f>
        <v>0.98082532839872782</v>
      </c>
      <c r="BN434" s="25">
        <f>ROUND(SUM(Inventory[[#This Row],[Mdl Qlty]:[Mdl WdDeck]])+Inventory[[#This Row],[Mdl Res Intercept]]*Inventory[[#This Row],[Res Adj ]],-2)</f>
        <v>318000</v>
      </c>
      <c r="BO434" s="25">
        <f>ROUND(Inventory[[#This Row],[25Det]]*Inventory[[#This Row],[Det/Nbhd Adj]],-2)</f>
        <v>0</v>
      </c>
      <c r="BP434" s="25">
        <f>Inventory[[#This Row],[Adjusted Res]]+Inventory[[#This Row],[Adj Det ]]</f>
        <v>318000</v>
      </c>
      <c r="BQ434" s="25">
        <f>ROUND((Inventory[[#This Row],[Mdl Land Intercept]]+Inventory[[#This Row],[Mdl LnAcres]])*Inventory[[#This Row],[Det/Nbhd Adj]],-2)</f>
        <v>39800</v>
      </c>
      <c r="BR434" s="25">
        <f>Inventory[[#This Row],[Adjusted Impr Total]]+Inventory[[#This Row],[Adjusted Land Total]]</f>
        <v>357800</v>
      </c>
      <c r="BS434" s="36">
        <f>IFERROR((Inventory[[#This Row],[Adjusted Impr Total]]-Inventory[[#This Row],[24Bldg]])/Inventory[[#This Row],[24Bldg]],0)</f>
        <v>0.17127071823204421</v>
      </c>
      <c r="BT434" s="36">
        <f>(Inventory[[#This Row],[Adjusted Land Total]]-Inventory[[#This Row],[24Lnd]])/Inventory[[#This Row],[24Lnd]]</f>
        <v>-0.35494327390599678</v>
      </c>
      <c r="BU434" s="36">
        <f>(Inventory[[#This Row],[Adjusted Total]]-Inventory[[#This Row],[24Final]])/Inventory[[#This Row],[24Final]]</f>
        <v>7.3829531812725085E-2</v>
      </c>
    </row>
    <row r="435" spans="1:73" x14ac:dyDescent="0.3">
      <c r="A435" s="25">
        <v>2025</v>
      </c>
      <c r="B435" s="26" t="s">
        <v>2881</v>
      </c>
      <c r="C435" s="26">
        <f>LN(Inventory[[#This Row],[Acres]])</f>
        <v>-1.5141277326297755</v>
      </c>
      <c r="D435" s="25">
        <v>0.22</v>
      </c>
      <c r="E435" s="27"/>
      <c r="F435" s="26" t="s">
        <v>537</v>
      </c>
      <c r="G435" s="26" t="s">
        <v>126</v>
      </c>
      <c r="H435" s="26" t="s">
        <v>349</v>
      </c>
      <c r="I435" s="26" t="s">
        <v>538</v>
      </c>
      <c r="J435" s="26" t="s">
        <v>539</v>
      </c>
      <c r="K435" s="26" t="s">
        <v>350</v>
      </c>
      <c r="L435" s="26" t="s">
        <v>302</v>
      </c>
      <c r="M435" s="26" t="s">
        <v>323</v>
      </c>
      <c r="N435" s="26">
        <v>70</v>
      </c>
      <c r="O435" s="26">
        <f>2024-Inventory[[#This Row],[YrBlt]]</f>
        <v>64</v>
      </c>
      <c r="P435" s="26">
        <f>2024-Inventory[[#This Row],[EffYr]]</f>
        <v>49</v>
      </c>
      <c r="Q435" s="25">
        <v>1960</v>
      </c>
      <c r="R435" s="25">
        <v>1975</v>
      </c>
      <c r="S435" s="25">
        <v>1054</v>
      </c>
      <c r="T435" s="27"/>
      <c r="U435" s="25">
        <v>966</v>
      </c>
      <c r="V435" s="25">
        <f>Inventory[[#This Row],[Bsmt]]-Inventory[[#This Row],[FnBsmt]]</f>
        <v>460</v>
      </c>
      <c r="W435" s="25">
        <v>506</v>
      </c>
      <c r="X435" s="27"/>
      <c r="Y435" s="27">
        <f>Inventory[[#This Row],[MainFn]]+Inventory[[#This Row],[UpprFn]]+Inventory[[#This Row],[FnBsmt]]+Inventory[[#This Row],[AddFn]]</f>
        <v>1560</v>
      </c>
      <c r="Z435" s="27">
        <v>2000</v>
      </c>
      <c r="AA435" s="25">
        <v>8</v>
      </c>
      <c r="AB435" s="27"/>
      <c r="AC435" s="32">
        <v>460</v>
      </c>
      <c r="AD435" s="32">
        <v>304</v>
      </c>
      <c r="AE435" s="27"/>
      <c r="AF435" s="27"/>
      <c r="AG435" s="27"/>
      <c r="AH435" s="27"/>
      <c r="AI435" s="25">
        <v>330588</v>
      </c>
      <c r="AJ435" s="25">
        <v>234717</v>
      </c>
      <c r="AK435" s="25">
        <v>0</v>
      </c>
      <c r="AL435" s="25">
        <v>316600</v>
      </c>
      <c r="AM435" s="25">
        <v>61700</v>
      </c>
      <c r="AN435" s="25">
        <v>254900</v>
      </c>
      <c r="AO435" s="25">
        <v>0</v>
      </c>
      <c r="AP435" s="25">
        <f>Lookups!$B$56*0</f>
        <v>0</v>
      </c>
      <c r="AQ435" s="25">
        <f>Lookups!$B$56*1</f>
        <v>89850.625589999996</v>
      </c>
      <c r="AR435" s="25">
        <f>Lookups!$B$57*Inventory[[#This Row],[LnAcres]]</f>
        <v>-47929.131559187132</v>
      </c>
      <c r="AS435" s="25">
        <f>VLOOKUP(Inventory[[#This Row],[Qlty]],Lookups!$A$62:$E$75,2,FALSE)</f>
        <v>29814.093161000001</v>
      </c>
      <c r="AT435" s="25">
        <f>VLOOKUP(Inventory[[#This Row],[Cnd]],Lookups!$A$76:$E$84,2,FALSE)</f>
        <v>160472.20319</v>
      </c>
      <c r="AU435" s="25">
        <f>Inventory[[#This Row],[EffAge]]*Lookups!$B$85</f>
        <v>-10929.2344245</v>
      </c>
      <c r="AV435" s="25">
        <f>Inventory[[#This Row],[MainFn]]*Lookups!$B$86</f>
        <v>52076.738050357999</v>
      </c>
      <c r="AW435" s="25">
        <f>Inventory[[#This Row],[UpprFn]]*Lookups!$B$87</f>
        <v>0</v>
      </c>
      <c r="AX435" s="25">
        <f>Inventory[[#This Row],[AddFn]]*Lookups!$B$88</f>
        <v>0</v>
      </c>
      <c r="AY435" s="25">
        <f>Inventory[[#This Row],[Bsmt]]*Lookups!$B$89</f>
        <v>28093.110808601999</v>
      </c>
      <c r="AZ435" s="25">
        <f>Inventory[[#This Row],[Fixtures]]*Lookups!$B$90</f>
        <v>30336.176841600001</v>
      </c>
      <c r="BA435" s="25">
        <f>Inventory[[#This Row],[WdDeck]]*Lookups!$B$91</f>
        <v>10121.836643904</v>
      </c>
      <c r="BB435" s="25">
        <f>ROUND(Inventory[[#This Row],[25Det]],-2)</f>
        <v>0</v>
      </c>
      <c r="BC435" s="25">
        <f>ROUND(SUM(Inventory[[#This Row],[Mdl Qlty]:[Mdl WdDeck]])+Inventory[[#This Row],[Mdl Res Intercept]],-2)</f>
        <v>300000</v>
      </c>
      <c r="BD435" s="25">
        <f>ROUND(Inventory[[#This Row],[Mdl Land Intercept]]+Inventory[[#This Row],[Mdl LnAcres]],-2)</f>
        <v>41900</v>
      </c>
      <c r="BE435" s="25">
        <f>Inventory[[#This Row],[Unadj Res Value]]+Inventory[[#This Row],[Unadj Det Value]]+Inventory[[#This Row],[Unadj Land Value]]</f>
        <v>341900</v>
      </c>
      <c r="BF435" s="36">
        <f>(Inventory[[#This Row],[Unadj Total Value]]-Inventory[[#This Row],[24Final]])/Inventory[[#This Row],[24Final]]</f>
        <v>7.9911560328490214E-2</v>
      </c>
      <c r="BG435" s="25">
        <f>VLOOKUP(Inventory[[#This Row],[Nbhd]],Lookups!$Q$2:$T$4,4,FALSE)</f>
        <v>0.99970000000000003</v>
      </c>
      <c r="BH435" s="25">
        <f>VLOOKUP(Inventory[[#This Row],[Qlty]],Lookups!$O$7:$R$21,4,FALSE)</f>
        <v>1.0088999999999999</v>
      </c>
      <c r="BI435" s="25">
        <f>VLOOKUP(Inventory[[#This Row],[Cnd]],Lookups!$T$7:$W$16,4,FALSE)</f>
        <v>0.99729999999999996</v>
      </c>
      <c r="BJ435" s="25">
        <f>VLOOKUP(Inventory[[#This Row],[LivArea Range]],Lookups!$T$25:$W$37,4,FALSE)</f>
        <v>1.0093000000000001</v>
      </c>
      <c r="BK435" s="25">
        <f>VLOOKUP(Inventory[[#This Row],[Decade]],Lookups!$O$25:$R$42,4,FALSE)</f>
        <v>1.0199</v>
      </c>
      <c r="BL435" s="25">
        <f>Inventory[[#This Row],[Nbhd Adj]]*0.95</f>
        <v>0.94971499999999998</v>
      </c>
      <c r="BM435" s="25">
        <f>Inventory[[#This Row],[Nbhd Adj]]*Inventory[[#This Row],[Quality Adj]]*Inventory[[#This Row],[Condition Adj]]*Inventory[[#This Row],[Living Area Adj]]*Inventory[[#This Row],[Decade Adj]]*0.95</f>
        <v>0.98366020862665582</v>
      </c>
      <c r="BN435" s="25">
        <f>ROUND(SUM(Inventory[[#This Row],[Mdl Qlty]:[Mdl WdDeck]])+Inventory[[#This Row],[Mdl Res Intercept]]*Inventory[[#This Row],[Res Adj ]],-2)</f>
        <v>300000</v>
      </c>
      <c r="BO435" s="25">
        <f>ROUND(Inventory[[#This Row],[25Det]]*Inventory[[#This Row],[Det/Nbhd Adj]],-2)</f>
        <v>0</v>
      </c>
      <c r="BP435" s="25">
        <f>Inventory[[#This Row],[Adjusted Res]]+Inventory[[#This Row],[Adj Det ]]</f>
        <v>300000</v>
      </c>
      <c r="BQ435" s="25">
        <f>ROUND((Inventory[[#This Row],[Mdl Land Intercept]]+Inventory[[#This Row],[Mdl LnAcres]])*Inventory[[#This Row],[Det/Nbhd Adj]],-2)</f>
        <v>39800</v>
      </c>
      <c r="BR435" s="25">
        <f>Inventory[[#This Row],[Adjusted Impr Total]]+Inventory[[#This Row],[Adjusted Land Total]]</f>
        <v>339800</v>
      </c>
      <c r="BS435" s="36">
        <f>IFERROR((Inventory[[#This Row],[Adjusted Impr Total]]-Inventory[[#This Row],[24Bldg]])/Inventory[[#This Row],[24Bldg]],0)</f>
        <v>0.17693213024715576</v>
      </c>
      <c r="BT435" s="36">
        <f>(Inventory[[#This Row],[Adjusted Land Total]]-Inventory[[#This Row],[24Lnd]])/Inventory[[#This Row],[24Lnd]]</f>
        <v>-0.35494327390599678</v>
      </c>
      <c r="BU435" s="36">
        <f>(Inventory[[#This Row],[Adjusted Total]]-Inventory[[#This Row],[24Final]])/Inventory[[#This Row],[24Final]]</f>
        <v>7.3278584965255841E-2</v>
      </c>
    </row>
    <row r="436" spans="1:73" x14ac:dyDescent="0.3">
      <c r="A436" s="25">
        <v>2025</v>
      </c>
      <c r="B436" s="26" t="s">
        <v>1382</v>
      </c>
      <c r="C436" s="26">
        <f>LN(Inventory[[#This Row],[Acres]])</f>
        <v>-1.6094379124341003</v>
      </c>
      <c r="D436" s="25">
        <v>0.2</v>
      </c>
      <c r="E436" s="32">
        <v>8829</v>
      </c>
      <c r="F436" s="26" t="s">
        <v>537</v>
      </c>
      <c r="G436" s="26" t="s">
        <v>126</v>
      </c>
      <c r="H436" s="26" t="s">
        <v>349</v>
      </c>
      <c r="I436" s="26" t="s">
        <v>538</v>
      </c>
      <c r="J436" s="26" t="s">
        <v>539</v>
      </c>
      <c r="K436" s="26" t="s">
        <v>350</v>
      </c>
      <c r="L436" s="26" t="s">
        <v>148</v>
      </c>
      <c r="M436" s="26" t="s">
        <v>303</v>
      </c>
      <c r="N436" s="26">
        <v>70</v>
      </c>
      <c r="O436" s="26">
        <f>2024-Inventory[[#This Row],[YrBlt]]</f>
        <v>64</v>
      </c>
      <c r="P436" s="26">
        <f>2024-Inventory[[#This Row],[EffYr]]</f>
        <v>49</v>
      </c>
      <c r="Q436" s="25">
        <v>1960</v>
      </c>
      <c r="R436" s="25">
        <v>1975</v>
      </c>
      <c r="S436" s="25">
        <v>1494</v>
      </c>
      <c r="T436" s="31"/>
      <c r="U436" s="25">
        <v>995</v>
      </c>
      <c r="V436" s="25">
        <f>Inventory[[#This Row],[Bsmt]]-Inventory[[#This Row],[FnBsmt]]</f>
        <v>0</v>
      </c>
      <c r="W436" s="25">
        <v>995</v>
      </c>
      <c r="X436" s="27"/>
      <c r="Y436" s="27">
        <f>Inventory[[#This Row],[MainFn]]+Inventory[[#This Row],[UpprFn]]+Inventory[[#This Row],[FnBsmt]]+Inventory[[#This Row],[AddFn]]</f>
        <v>2489</v>
      </c>
      <c r="Z436" s="27">
        <v>2500</v>
      </c>
      <c r="AA436" s="25">
        <v>10</v>
      </c>
      <c r="AB436" s="27"/>
      <c r="AC436" s="32">
        <v>475</v>
      </c>
      <c r="AD436" s="32">
        <v>336</v>
      </c>
      <c r="AE436" s="27"/>
      <c r="AF436" s="27"/>
      <c r="AG436" s="27"/>
      <c r="AH436" s="27"/>
      <c r="AI436" s="25">
        <v>513671</v>
      </c>
      <c r="AJ436" s="25">
        <v>369843</v>
      </c>
      <c r="AK436" s="25">
        <v>0</v>
      </c>
      <c r="AL436" s="25">
        <v>393600</v>
      </c>
      <c r="AM436" s="25">
        <v>58400</v>
      </c>
      <c r="AN436" s="25">
        <v>335200</v>
      </c>
      <c r="AO436" s="25">
        <v>0</v>
      </c>
      <c r="AP436" s="25">
        <f>Lookups!$B$56*0</f>
        <v>0</v>
      </c>
      <c r="AQ436" s="25">
        <f>Lookups!$B$56*1</f>
        <v>89850.625589999996</v>
      </c>
      <c r="AR436" s="25">
        <f>Lookups!$B$57*Inventory[[#This Row],[LnAcres]]</f>
        <v>-50946.13867709865</v>
      </c>
      <c r="AS436" s="25">
        <f>VLOOKUP(Inventory[[#This Row],[Qlty]],Lookups!$A$62:$E$75,2,FALSE)</f>
        <v>44121.038090000002</v>
      </c>
      <c r="AT436" s="25">
        <f>VLOOKUP(Inventory[[#This Row],[Cnd]],Lookups!$A$76:$E$84,2,FALSE)</f>
        <v>197752.34721000001</v>
      </c>
      <c r="AU436" s="25">
        <f>Inventory[[#This Row],[EffAge]]*Lookups!$B$85</f>
        <v>-10929.2344245</v>
      </c>
      <c r="AV436" s="25">
        <f>Inventory[[#This Row],[MainFn]]*Lookups!$B$86</f>
        <v>73816.552796238</v>
      </c>
      <c r="AW436" s="25">
        <f>Inventory[[#This Row],[UpprFn]]*Lookups!$B$87</f>
        <v>0</v>
      </c>
      <c r="AX436" s="25">
        <f>Inventory[[#This Row],[AddFn]]*Lookups!$B$88</f>
        <v>0</v>
      </c>
      <c r="AY436" s="25">
        <f>Inventory[[#This Row],[Bsmt]]*Lookups!$B$89</f>
        <v>28936.485770764997</v>
      </c>
      <c r="AZ436" s="25">
        <f>Inventory[[#This Row],[Fixtures]]*Lookups!$B$90</f>
        <v>37920.221052000001</v>
      </c>
      <c r="BA436" s="25">
        <f>Inventory[[#This Row],[WdDeck]]*Lookups!$B$91</f>
        <v>11187.293132736002</v>
      </c>
      <c r="BB436" s="25">
        <f>ROUND(Inventory[[#This Row],[25Det]],-2)</f>
        <v>0</v>
      </c>
      <c r="BC436" s="25">
        <f>ROUND(SUM(Inventory[[#This Row],[Mdl Qlty]:[Mdl WdDeck]])+Inventory[[#This Row],[Mdl Res Intercept]],-2)</f>
        <v>382800</v>
      </c>
      <c r="BD436" s="25">
        <f>ROUND(Inventory[[#This Row],[Mdl Land Intercept]]+Inventory[[#This Row],[Mdl LnAcres]],-2)</f>
        <v>38900</v>
      </c>
      <c r="BE436" s="25">
        <f>Inventory[[#This Row],[Unadj Res Value]]+Inventory[[#This Row],[Unadj Det Value]]+Inventory[[#This Row],[Unadj Land Value]]</f>
        <v>421700</v>
      </c>
      <c r="BF436" s="36">
        <f>(Inventory[[#This Row],[Unadj Total Value]]-Inventory[[#This Row],[24Final]])/Inventory[[#This Row],[24Final]]</f>
        <v>7.1392276422764231E-2</v>
      </c>
      <c r="BG436" s="25">
        <f>VLOOKUP(Inventory[[#This Row],[Nbhd]],Lookups!$Q$2:$T$4,4,FALSE)</f>
        <v>0.99970000000000003</v>
      </c>
      <c r="BH436" s="25">
        <f>VLOOKUP(Inventory[[#This Row],[Qlty]],Lookups!$O$7:$R$21,4,FALSE)</f>
        <v>0.98050000000000004</v>
      </c>
      <c r="BI436" s="25">
        <f>VLOOKUP(Inventory[[#This Row],[Cnd]],Lookups!$T$7:$W$16,4,FALSE)</f>
        <v>0.99650000000000005</v>
      </c>
      <c r="BJ436" s="25">
        <f>VLOOKUP(Inventory[[#This Row],[LivArea Range]],Lookups!$T$25:$W$37,4,FALSE)</f>
        <v>0.98919999999999997</v>
      </c>
      <c r="BK436" s="25">
        <f>VLOOKUP(Inventory[[#This Row],[Decade]],Lookups!$O$25:$R$42,4,FALSE)</f>
        <v>1.0199</v>
      </c>
      <c r="BL436" s="25">
        <f>Inventory[[#This Row],[Nbhd Adj]]*0.95</f>
        <v>0.94971499999999998</v>
      </c>
      <c r="BM436" s="25">
        <f>Inventory[[#This Row],[Nbhd Adj]]*Inventory[[#This Row],[Quality Adj]]*Inventory[[#This Row],[Condition Adj]]*Inventory[[#This Row],[Living Area Adj]]*Inventory[[#This Row],[Decade Adj]]*0.95</f>
        <v>0.936181161958198</v>
      </c>
      <c r="BN436" s="25">
        <f>ROUND(SUM(Inventory[[#This Row],[Mdl Qlty]:[Mdl WdDeck]])+Inventory[[#This Row],[Mdl Res Intercept]]*Inventory[[#This Row],[Res Adj ]],-2)</f>
        <v>382800</v>
      </c>
      <c r="BO436" s="25">
        <f>ROUND(Inventory[[#This Row],[25Det]]*Inventory[[#This Row],[Det/Nbhd Adj]],-2)</f>
        <v>0</v>
      </c>
      <c r="BP436" s="25">
        <f>Inventory[[#This Row],[Adjusted Res]]+Inventory[[#This Row],[Adj Det ]]</f>
        <v>382800</v>
      </c>
      <c r="BQ436" s="25">
        <f>ROUND((Inventory[[#This Row],[Mdl Land Intercept]]+Inventory[[#This Row],[Mdl LnAcres]])*Inventory[[#This Row],[Det/Nbhd Adj]],-2)</f>
        <v>36900</v>
      </c>
      <c r="BR436" s="25">
        <f>Inventory[[#This Row],[Adjusted Impr Total]]+Inventory[[#This Row],[Adjusted Land Total]]</f>
        <v>419700</v>
      </c>
      <c r="BS436" s="36">
        <f>IFERROR((Inventory[[#This Row],[Adjusted Impr Total]]-Inventory[[#This Row],[24Bldg]])/Inventory[[#This Row],[24Bldg]],0)</f>
        <v>0.14200477326968974</v>
      </c>
      <c r="BT436" s="36">
        <f>(Inventory[[#This Row],[Adjusted Land Total]]-Inventory[[#This Row],[24Lnd]])/Inventory[[#This Row],[24Lnd]]</f>
        <v>-0.36815068493150682</v>
      </c>
      <c r="BU436" s="36">
        <f>(Inventory[[#This Row],[Adjusted Total]]-Inventory[[#This Row],[24Final]])/Inventory[[#This Row],[24Final]]</f>
        <v>6.6310975609756101E-2</v>
      </c>
    </row>
    <row r="437" spans="1:73" x14ac:dyDescent="0.3">
      <c r="A437" s="25">
        <v>2025</v>
      </c>
      <c r="B437" s="26" t="s">
        <v>2802</v>
      </c>
      <c r="C437" s="26">
        <f>LN(Inventory[[#This Row],[Acres]])</f>
        <v>-1.8971199848858813</v>
      </c>
      <c r="D437" s="25">
        <v>0.15</v>
      </c>
      <c r="E437" s="27"/>
      <c r="F437" s="26" t="s">
        <v>537</v>
      </c>
      <c r="G437" s="26" t="s">
        <v>126</v>
      </c>
      <c r="H437" s="26" t="s">
        <v>349</v>
      </c>
      <c r="I437" s="26" t="s">
        <v>538</v>
      </c>
      <c r="J437" s="26" t="s">
        <v>539</v>
      </c>
      <c r="K437" s="26" t="s">
        <v>241</v>
      </c>
      <c r="L437" s="26" t="s">
        <v>302</v>
      </c>
      <c r="M437" s="26" t="s">
        <v>206</v>
      </c>
      <c r="N437" s="26">
        <v>70</v>
      </c>
      <c r="O437" s="26">
        <f>2024-Inventory[[#This Row],[YrBlt]]</f>
        <v>64</v>
      </c>
      <c r="P437" s="26">
        <f>2024-Inventory[[#This Row],[EffYr]]</f>
        <v>49</v>
      </c>
      <c r="Q437" s="25">
        <v>1960</v>
      </c>
      <c r="R437" s="25">
        <v>1975</v>
      </c>
      <c r="S437" s="25">
        <v>1145</v>
      </c>
      <c r="T437" s="27"/>
      <c r="U437" s="25">
        <v>1145</v>
      </c>
      <c r="V437" s="25">
        <f>Inventory[[#This Row],[Bsmt]]-Inventory[[#This Row],[FnBsmt]]</f>
        <v>572</v>
      </c>
      <c r="W437" s="25">
        <v>573</v>
      </c>
      <c r="X437" s="27"/>
      <c r="Y437" s="27">
        <f>Inventory[[#This Row],[MainFn]]+Inventory[[#This Row],[UpprFn]]+Inventory[[#This Row],[FnBsmt]]+Inventory[[#This Row],[AddFn]]</f>
        <v>1718</v>
      </c>
      <c r="Z437" s="27">
        <v>2000</v>
      </c>
      <c r="AA437" s="25">
        <v>8</v>
      </c>
      <c r="AB437" s="32">
        <v>420</v>
      </c>
      <c r="AC437" s="27"/>
      <c r="AD437" s="32">
        <v>105</v>
      </c>
      <c r="AE437" s="27"/>
      <c r="AF437" s="27"/>
      <c r="AG437" s="27"/>
      <c r="AH437" s="27"/>
      <c r="AI437" s="25">
        <v>333658</v>
      </c>
      <c r="AJ437" s="25">
        <v>233561</v>
      </c>
      <c r="AK437" s="25">
        <v>0</v>
      </c>
      <c r="AL437" s="25">
        <v>285700</v>
      </c>
      <c r="AM437" s="25">
        <v>48400</v>
      </c>
      <c r="AN437" s="25">
        <v>237300</v>
      </c>
      <c r="AO437" s="25">
        <v>0</v>
      </c>
      <c r="AP437" s="25">
        <f>Lookups!$B$56*0</f>
        <v>0</v>
      </c>
      <c r="AQ437" s="25">
        <f>Lookups!$B$56*1</f>
        <v>89850.625589999996</v>
      </c>
      <c r="AR437" s="25">
        <f>Lookups!$B$57*Inventory[[#This Row],[LnAcres]]</f>
        <v>-60052.604136134301</v>
      </c>
      <c r="AS437" s="25">
        <f>VLOOKUP(Inventory[[#This Row],[Qlty]],Lookups!$A$62:$E$75,2,FALSE)</f>
        <v>29814.093161000001</v>
      </c>
      <c r="AT437" s="25">
        <f>VLOOKUP(Inventory[[#This Row],[Cnd]],Lookups!$A$76:$E$84,2,FALSE)</f>
        <v>133714.53821</v>
      </c>
      <c r="AU437" s="25">
        <f>Inventory[[#This Row],[EffAge]]*Lookups!$B$85</f>
        <v>-10929.2344245</v>
      </c>
      <c r="AV437" s="25">
        <f>Inventory[[#This Row],[MainFn]]*Lookups!$B$86</f>
        <v>56572.927009165003</v>
      </c>
      <c r="AW437" s="25">
        <f>Inventory[[#This Row],[UpprFn]]*Lookups!$B$87</f>
        <v>0</v>
      </c>
      <c r="AX437" s="25">
        <f>Inventory[[#This Row],[AddFn]]*Lookups!$B$88</f>
        <v>0</v>
      </c>
      <c r="AY437" s="25">
        <f>Inventory[[#This Row],[Bsmt]]*Lookups!$B$89</f>
        <v>33298.770057814996</v>
      </c>
      <c r="AZ437" s="25">
        <f>Inventory[[#This Row],[Fixtures]]*Lookups!$B$90</f>
        <v>30336.176841600001</v>
      </c>
      <c r="BA437" s="25">
        <f>Inventory[[#This Row],[WdDeck]]*Lookups!$B$91</f>
        <v>3496.0291039800004</v>
      </c>
      <c r="BB437" s="25">
        <f>ROUND(Inventory[[#This Row],[25Det]],-2)</f>
        <v>0</v>
      </c>
      <c r="BC437" s="25">
        <f>ROUND(SUM(Inventory[[#This Row],[Mdl Qlty]:[Mdl WdDeck]])+Inventory[[#This Row],[Mdl Res Intercept]],-2)</f>
        <v>276300</v>
      </c>
      <c r="BD437" s="25">
        <f>ROUND(Inventory[[#This Row],[Mdl Land Intercept]]+Inventory[[#This Row],[Mdl LnAcres]],-2)</f>
        <v>29800</v>
      </c>
      <c r="BE437" s="25">
        <f>Inventory[[#This Row],[Unadj Res Value]]+Inventory[[#This Row],[Unadj Det Value]]+Inventory[[#This Row],[Unadj Land Value]]</f>
        <v>306100</v>
      </c>
      <c r="BF437" s="36">
        <f>(Inventory[[#This Row],[Unadj Total Value]]-Inventory[[#This Row],[24Final]])/Inventory[[#This Row],[24Final]]</f>
        <v>7.1403570178508929E-2</v>
      </c>
      <c r="BG437" s="25">
        <f>VLOOKUP(Inventory[[#This Row],[Nbhd]],Lookups!$Q$2:$T$4,4,FALSE)</f>
        <v>0.99970000000000003</v>
      </c>
      <c r="BH437" s="25">
        <f>VLOOKUP(Inventory[[#This Row],[Qlty]],Lookups!$O$7:$R$21,4,FALSE)</f>
        <v>1.0088999999999999</v>
      </c>
      <c r="BI437" s="25">
        <f>VLOOKUP(Inventory[[#This Row],[Cnd]],Lookups!$T$7:$W$16,4,FALSE)</f>
        <v>0.99329999999999996</v>
      </c>
      <c r="BJ437" s="25">
        <f>VLOOKUP(Inventory[[#This Row],[LivArea Range]],Lookups!$T$25:$W$37,4,FALSE)</f>
        <v>1.0093000000000001</v>
      </c>
      <c r="BK437" s="25">
        <f>VLOOKUP(Inventory[[#This Row],[Decade]],Lookups!$O$25:$R$42,4,FALSE)</f>
        <v>1.0199</v>
      </c>
      <c r="BL437" s="25">
        <f>Inventory[[#This Row],[Nbhd Adj]]*0.95</f>
        <v>0.94971499999999998</v>
      </c>
      <c r="BM437" s="25">
        <f>Inventory[[#This Row],[Nbhd Adj]]*Inventory[[#This Row],[Quality Adj]]*Inventory[[#This Row],[Condition Adj]]*Inventory[[#This Row],[Living Area Adj]]*Inventory[[#This Row],[Decade Adj]]*0.95</f>
        <v>0.97971491550070933</v>
      </c>
      <c r="BN437" s="25">
        <f>ROUND(SUM(Inventory[[#This Row],[Mdl Qlty]:[Mdl WdDeck]])+Inventory[[#This Row],[Mdl Res Intercept]]*Inventory[[#This Row],[Res Adj ]],-2)</f>
        <v>276300</v>
      </c>
      <c r="BO437" s="25">
        <f>ROUND(Inventory[[#This Row],[25Det]]*Inventory[[#This Row],[Det/Nbhd Adj]],-2)</f>
        <v>0</v>
      </c>
      <c r="BP437" s="25">
        <f>Inventory[[#This Row],[Adjusted Res]]+Inventory[[#This Row],[Adj Det ]]</f>
        <v>276300</v>
      </c>
      <c r="BQ437" s="25">
        <f>ROUND((Inventory[[#This Row],[Mdl Land Intercept]]+Inventory[[#This Row],[Mdl LnAcres]])*Inventory[[#This Row],[Det/Nbhd Adj]],-2)</f>
        <v>28300</v>
      </c>
      <c r="BR437" s="25">
        <f>Inventory[[#This Row],[Adjusted Impr Total]]+Inventory[[#This Row],[Adjusted Land Total]]</f>
        <v>304600</v>
      </c>
      <c r="BS437" s="36">
        <f>IFERROR((Inventory[[#This Row],[Adjusted Impr Total]]-Inventory[[#This Row],[24Bldg]])/Inventory[[#This Row],[24Bldg]],0)</f>
        <v>0.16434892541087232</v>
      </c>
      <c r="BT437" s="36">
        <f>(Inventory[[#This Row],[Adjusted Land Total]]-Inventory[[#This Row],[24Lnd]])/Inventory[[#This Row],[24Lnd]]</f>
        <v>-0.41528925619834711</v>
      </c>
      <c r="BU437" s="36">
        <f>(Inventory[[#This Row],[Adjusted Total]]-Inventory[[#This Row],[24Final]])/Inventory[[#This Row],[24Final]]</f>
        <v>6.6153307665383271E-2</v>
      </c>
    </row>
    <row r="438" spans="1:73" x14ac:dyDescent="0.3">
      <c r="A438" s="25">
        <v>2025</v>
      </c>
      <c r="B438" s="26" t="s">
        <v>2293</v>
      </c>
      <c r="C438" s="26">
        <f>LN(Inventory[[#This Row],[Acres]])</f>
        <v>-1.3470736479666092</v>
      </c>
      <c r="D438" s="25">
        <v>0.26</v>
      </c>
      <c r="E438" s="32">
        <v>11347</v>
      </c>
      <c r="F438" s="26" t="s">
        <v>537</v>
      </c>
      <c r="G438" s="26" t="s">
        <v>126</v>
      </c>
      <c r="H438" s="26" t="s">
        <v>349</v>
      </c>
      <c r="I438" s="26" t="s">
        <v>538</v>
      </c>
      <c r="J438" s="26" t="s">
        <v>539</v>
      </c>
      <c r="K438" s="26" t="s">
        <v>241</v>
      </c>
      <c r="L438" s="26" t="s">
        <v>302</v>
      </c>
      <c r="M438" s="26" t="s">
        <v>303</v>
      </c>
      <c r="N438" s="26">
        <v>70</v>
      </c>
      <c r="O438" s="26">
        <f>2024-Inventory[[#This Row],[YrBlt]]</f>
        <v>64</v>
      </c>
      <c r="P438" s="26">
        <f>2024-Inventory[[#This Row],[EffYr]]</f>
        <v>49</v>
      </c>
      <c r="Q438" s="25">
        <v>1960</v>
      </c>
      <c r="R438" s="25">
        <v>1975</v>
      </c>
      <c r="S438" s="25">
        <v>1624</v>
      </c>
      <c r="T438" s="31"/>
      <c r="U438" s="31"/>
      <c r="V438" s="31">
        <f>Inventory[[#This Row],[Bsmt]]-Inventory[[#This Row],[FnBsmt]]</f>
        <v>0</v>
      </c>
      <c r="W438" s="31"/>
      <c r="X438" s="27"/>
      <c r="Y438" s="27">
        <f>Inventory[[#This Row],[MainFn]]+Inventory[[#This Row],[UpprFn]]+Inventory[[#This Row],[FnBsmt]]+Inventory[[#This Row],[AddFn]]</f>
        <v>1624</v>
      </c>
      <c r="Z438" s="27">
        <v>2000</v>
      </c>
      <c r="AA438" s="25">
        <v>9</v>
      </c>
      <c r="AB438" s="32">
        <v>480</v>
      </c>
      <c r="AC438" s="27"/>
      <c r="AD438" s="27"/>
      <c r="AE438" s="27"/>
      <c r="AF438" s="27"/>
      <c r="AG438" s="27"/>
      <c r="AH438" s="27"/>
      <c r="AI438" s="25">
        <v>325980</v>
      </c>
      <c r="AJ438" s="25">
        <v>234706</v>
      </c>
      <c r="AK438" s="25">
        <v>0</v>
      </c>
      <c r="AL438" s="25">
        <v>353700</v>
      </c>
      <c r="AM438" s="25">
        <v>67600</v>
      </c>
      <c r="AN438" s="25">
        <v>286100</v>
      </c>
      <c r="AO438" s="25">
        <v>0</v>
      </c>
      <c r="AP438" s="25">
        <f>Lookups!$B$56*0</f>
        <v>0</v>
      </c>
      <c r="AQ438" s="25">
        <f>Lookups!$B$56*1</f>
        <v>89850.625589999996</v>
      </c>
      <c r="AR438" s="25">
        <f>Lookups!$B$57*Inventory[[#This Row],[LnAcres]]</f>
        <v>-42641.098701210125</v>
      </c>
      <c r="AS438" s="25">
        <f>VLOOKUP(Inventory[[#This Row],[Qlty]],Lookups!$A$62:$E$75,2,FALSE)</f>
        <v>29814.093161000001</v>
      </c>
      <c r="AT438" s="25">
        <f>VLOOKUP(Inventory[[#This Row],[Cnd]],Lookups!$A$76:$E$84,2,FALSE)</f>
        <v>197752.34721000001</v>
      </c>
      <c r="AU438" s="25">
        <f>Inventory[[#This Row],[EffAge]]*Lookups!$B$85</f>
        <v>-10929.2344245</v>
      </c>
      <c r="AV438" s="25">
        <f>Inventory[[#This Row],[MainFn]]*Lookups!$B$86</f>
        <v>80239.679880248004</v>
      </c>
      <c r="AW438" s="25">
        <f>Inventory[[#This Row],[UpprFn]]*Lookups!$B$87</f>
        <v>0</v>
      </c>
      <c r="AX438" s="25">
        <f>Inventory[[#This Row],[AddFn]]*Lookups!$B$88</f>
        <v>0</v>
      </c>
      <c r="AY438" s="25">
        <f>Inventory[[#This Row],[Bsmt]]*Lookups!$B$89</f>
        <v>0</v>
      </c>
      <c r="AZ438" s="25">
        <f>Inventory[[#This Row],[Fixtures]]*Lookups!$B$90</f>
        <v>34128.198946800003</v>
      </c>
      <c r="BA438" s="25">
        <f>Inventory[[#This Row],[WdDeck]]*Lookups!$B$91</f>
        <v>0</v>
      </c>
      <c r="BB438" s="25">
        <f>ROUND(Inventory[[#This Row],[25Det]],-2)</f>
        <v>0</v>
      </c>
      <c r="BC438" s="25">
        <f>ROUND(SUM(Inventory[[#This Row],[Mdl Qlty]:[Mdl WdDeck]])+Inventory[[#This Row],[Mdl Res Intercept]],-2)</f>
        <v>331000</v>
      </c>
      <c r="BD438" s="25">
        <f>ROUND(Inventory[[#This Row],[Mdl Land Intercept]]+Inventory[[#This Row],[Mdl LnAcres]],-2)</f>
        <v>47200</v>
      </c>
      <c r="BE438" s="25">
        <f>Inventory[[#This Row],[Unadj Res Value]]+Inventory[[#This Row],[Unadj Det Value]]+Inventory[[#This Row],[Unadj Land Value]]</f>
        <v>378200</v>
      </c>
      <c r="BF438" s="36">
        <f>(Inventory[[#This Row],[Unadj Total Value]]-Inventory[[#This Row],[24Final]])/Inventory[[#This Row],[24Final]]</f>
        <v>6.9267741023466209E-2</v>
      </c>
      <c r="BG438" s="25">
        <f>VLOOKUP(Inventory[[#This Row],[Nbhd]],Lookups!$Q$2:$T$4,4,FALSE)</f>
        <v>0.99970000000000003</v>
      </c>
      <c r="BH438" s="25">
        <f>VLOOKUP(Inventory[[#This Row],[Qlty]],Lookups!$O$7:$R$21,4,FALSE)</f>
        <v>1.0088999999999999</v>
      </c>
      <c r="BI438" s="25">
        <f>VLOOKUP(Inventory[[#This Row],[Cnd]],Lookups!$T$7:$W$16,4,FALSE)</f>
        <v>0.99650000000000005</v>
      </c>
      <c r="BJ438" s="25">
        <f>VLOOKUP(Inventory[[#This Row],[LivArea Range]],Lookups!$T$25:$W$37,4,FALSE)</f>
        <v>1.0093000000000001</v>
      </c>
      <c r="BK438" s="25">
        <f>VLOOKUP(Inventory[[#This Row],[Decade]],Lookups!$O$25:$R$42,4,FALSE)</f>
        <v>1.0199</v>
      </c>
      <c r="BL438" s="25">
        <f>Inventory[[#This Row],[Nbhd Adj]]*0.95</f>
        <v>0.94971499999999998</v>
      </c>
      <c r="BM438" s="25">
        <f>Inventory[[#This Row],[Nbhd Adj]]*Inventory[[#This Row],[Quality Adj]]*Inventory[[#This Row],[Condition Adj]]*Inventory[[#This Row],[Living Area Adj]]*Inventory[[#This Row],[Decade Adj]]*0.95</f>
        <v>0.98287115000146663</v>
      </c>
      <c r="BN438" s="25">
        <f>ROUND(SUM(Inventory[[#This Row],[Mdl Qlty]:[Mdl WdDeck]])+Inventory[[#This Row],[Mdl Res Intercept]]*Inventory[[#This Row],[Res Adj ]],-2)</f>
        <v>331000</v>
      </c>
      <c r="BO438" s="25">
        <f>ROUND(Inventory[[#This Row],[25Det]]*Inventory[[#This Row],[Det/Nbhd Adj]],-2)</f>
        <v>0</v>
      </c>
      <c r="BP438" s="25">
        <f>Inventory[[#This Row],[Adjusted Res]]+Inventory[[#This Row],[Adj Det ]]</f>
        <v>331000</v>
      </c>
      <c r="BQ438" s="25">
        <f>ROUND((Inventory[[#This Row],[Mdl Land Intercept]]+Inventory[[#This Row],[Mdl LnAcres]])*Inventory[[#This Row],[Det/Nbhd Adj]],-2)</f>
        <v>44800</v>
      </c>
      <c r="BR438" s="25">
        <f>Inventory[[#This Row],[Adjusted Impr Total]]+Inventory[[#This Row],[Adjusted Land Total]]</f>
        <v>375800</v>
      </c>
      <c r="BS438" s="36">
        <f>IFERROR((Inventory[[#This Row],[Adjusted Impr Total]]-Inventory[[#This Row],[24Bldg]])/Inventory[[#This Row],[24Bldg]],0)</f>
        <v>0.15693813351974834</v>
      </c>
      <c r="BT438" s="36">
        <f>(Inventory[[#This Row],[Adjusted Land Total]]-Inventory[[#This Row],[24Lnd]])/Inventory[[#This Row],[24Lnd]]</f>
        <v>-0.33727810650887574</v>
      </c>
      <c r="BU438" s="36">
        <f>(Inventory[[#This Row],[Adjusted Total]]-Inventory[[#This Row],[24Final]])/Inventory[[#This Row],[24Final]]</f>
        <v>6.248232965790218E-2</v>
      </c>
    </row>
    <row r="439" spans="1:73" x14ac:dyDescent="0.3">
      <c r="A439" s="25">
        <v>2025</v>
      </c>
      <c r="B439" s="26" t="s">
        <v>1169</v>
      </c>
      <c r="C439" s="26">
        <f>LN(Inventory[[#This Row],[Acres]])</f>
        <v>-1.7719568419318752</v>
      </c>
      <c r="D439" s="25">
        <v>0.17</v>
      </c>
      <c r="E439" s="27"/>
      <c r="F439" s="26" t="s">
        <v>537</v>
      </c>
      <c r="G439" s="26" t="s">
        <v>126</v>
      </c>
      <c r="H439" s="26" t="s">
        <v>349</v>
      </c>
      <c r="I439" s="26" t="s">
        <v>538</v>
      </c>
      <c r="J439" s="26" t="s">
        <v>539</v>
      </c>
      <c r="K439" s="26" t="s">
        <v>241</v>
      </c>
      <c r="L439" s="26" t="s">
        <v>351</v>
      </c>
      <c r="M439" s="26" t="s">
        <v>323</v>
      </c>
      <c r="N439" s="26">
        <v>70</v>
      </c>
      <c r="O439" s="26">
        <f>2024-Inventory[[#This Row],[YrBlt]]</f>
        <v>64</v>
      </c>
      <c r="P439" s="26">
        <f>2024-Inventory[[#This Row],[EffYr]]</f>
        <v>49</v>
      </c>
      <c r="Q439" s="25">
        <v>1960</v>
      </c>
      <c r="R439" s="25">
        <v>1975</v>
      </c>
      <c r="S439" s="25">
        <v>1124</v>
      </c>
      <c r="T439" s="27"/>
      <c r="U439" s="25">
        <v>1100</v>
      </c>
      <c r="V439" s="25">
        <f>Inventory[[#This Row],[Bsmt]]-Inventory[[#This Row],[FnBsmt]]</f>
        <v>550</v>
      </c>
      <c r="W439" s="25">
        <v>550</v>
      </c>
      <c r="X439" s="27"/>
      <c r="Y439" s="27">
        <f>Inventory[[#This Row],[MainFn]]+Inventory[[#This Row],[UpprFn]]+Inventory[[#This Row],[FnBsmt]]+Inventory[[#This Row],[AddFn]]</f>
        <v>1674</v>
      </c>
      <c r="Z439" s="27">
        <v>2000</v>
      </c>
      <c r="AA439" s="25">
        <v>9</v>
      </c>
      <c r="AB439" s="27"/>
      <c r="AC439" s="27"/>
      <c r="AD439" s="32">
        <v>192</v>
      </c>
      <c r="AE439" s="27"/>
      <c r="AF439" s="27"/>
      <c r="AG439" s="27"/>
      <c r="AH439" s="27"/>
      <c r="AI439" s="25">
        <v>270271</v>
      </c>
      <c r="AJ439" s="25">
        <v>191892</v>
      </c>
      <c r="AK439" s="25">
        <v>0</v>
      </c>
      <c r="AL439" s="25">
        <v>311800</v>
      </c>
      <c r="AM439" s="25">
        <v>52700</v>
      </c>
      <c r="AN439" s="25">
        <v>259100</v>
      </c>
      <c r="AO439" s="25">
        <v>0</v>
      </c>
      <c r="AP439" s="25">
        <f>Lookups!$B$56*0</f>
        <v>0</v>
      </c>
      <c r="AQ439" s="25">
        <f>Lookups!$B$56*1</f>
        <v>89850.625589999996</v>
      </c>
      <c r="AR439" s="25">
        <f>Lookups!$B$57*Inventory[[#This Row],[LnAcres]]</f>
        <v>-56090.612940989391</v>
      </c>
      <c r="AS439" s="25">
        <f>VLOOKUP(Inventory[[#This Row],[Qlty]],Lookups!$A$62:$E$75,2,FALSE)</f>
        <v>21557.329055999999</v>
      </c>
      <c r="AT439" s="25">
        <f>VLOOKUP(Inventory[[#This Row],[Cnd]],Lookups!$A$76:$E$84,2,FALSE)</f>
        <v>160472.20319</v>
      </c>
      <c r="AU439" s="25">
        <f>Inventory[[#This Row],[EffAge]]*Lookups!$B$85</f>
        <v>-10929.2344245</v>
      </c>
      <c r="AV439" s="25">
        <f>Inventory[[#This Row],[MainFn]]*Lookups!$B$86</f>
        <v>55535.344941748001</v>
      </c>
      <c r="AW439" s="25">
        <f>Inventory[[#This Row],[UpprFn]]*Lookups!$B$87</f>
        <v>0</v>
      </c>
      <c r="AX439" s="25">
        <f>Inventory[[#This Row],[AddFn]]*Lookups!$B$88</f>
        <v>0</v>
      </c>
      <c r="AY439" s="25">
        <f>Inventory[[#This Row],[Bsmt]]*Lookups!$B$89</f>
        <v>31990.0847717</v>
      </c>
      <c r="AZ439" s="25">
        <f>Inventory[[#This Row],[Fixtures]]*Lookups!$B$90</f>
        <v>34128.198946800003</v>
      </c>
      <c r="BA439" s="25">
        <f>Inventory[[#This Row],[WdDeck]]*Lookups!$B$91</f>
        <v>6392.7389329920006</v>
      </c>
      <c r="BB439" s="25">
        <f>ROUND(Inventory[[#This Row],[25Det]],-2)</f>
        <v>0</v>
      </c>
      <c r="BC439" s="25">
        <f>ROUND(SUM(Inventory[[#This Row],[Mdl Qlty]:[Mdl WdDeck]])+Inventory[[#This Row],[Mdl Res Intercept]],-2)</f>
        <v>299100</v>
      </c>
      <c r="BD439" s="25">
        <f>ROUND(Inventory[[#This Row],[Mdl Land Intercept]]+Inventory[[#This Row],[Mdl LnAcres]],-2)</f>
        <v>33800</v>
      </c>
      <c r="BE439" s="25">
        <f>Inventory[[#This Row],[Unadj Res Value]]+Inventory[[#This Row],[Unadj Det Value]]+Inventory[[#This Row],[Unadj Land Value]]</f>
        <v>332900</v>
      </c>
      <c r="BF439" s="36">
        <f>(Inventory[[#This Row],[Unadj Total Value]]-Inventory[[#This Row],[24Final]])/Inventory[[#This Row],[24Final]]</f>
        <v>6.7671584348941632E-2</v>
      </c>
      <c r="BG439" s="25">
        <f>VLOOKUP(Inventory[[#This Row],[Nbhd]],Lookups!$Q$2:$T$4,4,FALSE)</f>
        <v>0.99970000000000003</v>
      </c>
      <c r="BH439" s="25">
        <f>VLOOKUP(Inventory[[#This Row],[Qlty]],Lookups!$O$7:$R$21,4,FALSE)</f>
        <v>1.0067999999999999</v>
      </c>
      <c r="BI439" s="25">
        <f>VLOOKUP(Inventory[[#This Row],[Cnd]],Lookups!$T$7:$W$16,4,FALSE)</f>
        <v>0.99729999999999996</v>
      </c>
      <c r="BJ439" s="25">
        <f>VLOOKUP(Inventory[[#This Row],[LivArea Range]],Lookups!$T$25:$W$37,4,FALSE)</f>
        <v>1.0093000000000001</v>
      </c>
      <c r="BK439" s="25">
        <f>VLOOKUP(Inventory[[#This Row],[Decade]],Lookups!$O$25:$R$42,4,FALSE)</f>
        <v>1.0199</v>
      </c>
      <c r="BL439" s="25">
        <f>Inventory[[#This Row],[Nbhd Adj]]*0.95</f>
        <v>0.94971499999999998</v>
      </c>
      <c r="BM439" s="25">
        <f>Inventory[[#This Row],[Nbhd Adj]]*Inventory[[#This Row],[Quality Adj]]*Inventory[[#This Row],[Condition Adj]]*Inventory[[#This Row],[Living Area Adj]]*Inventory[[#This Row],[Decade Adj]]*0.95</f>
        <v>0.98161274461821502</v>
      </c>
      <c r="BN439" s="25">
        <f>ROUND(SUM(Inventory[[#This Row],[Mdl Qlty]:[Mdl WdDeck]])+Inventory[[#This Row],[Mdl Res Intercept]]*Inventory[[#This Row],[Res Adj ]],-2)</f>
        <v>299100</v>
      </c>
      <c r="BO439" s="25">
        <f>ROUND(Inventory[[#This Row],[25Det]]*Inventory[[#This Row],[Det/Nbhd Adj]],-2)</f>
        <v>0</v>
      </c>
      <c r="BP439" s="25">
        <f>Inventory[[#This Row],[Adjusted Res]]+Inventory[[#This Row],[Adj Det ]]</f>
        <v>299100</v>
      </c>
      <c r="BQ439" s="25">
        <f>ROUND((Inventory[[#This Row],[Mdl Land Intercept]]+Inventory[[#This Row],[Mdl LnAcres]])*Inventory[[#This Row],[Det/Nbhd Adj]],-2)</f>
        <v>32100</v>
      </c>
      <c r="BR439" s="25">
        <f>Inventory[[#This Row],[Adjusted Impr Total]]+Inventory[[#This Row],[Adjusted Land Total]]</f>
        <v>331200</v>
      </c>
      <c r="BS439" s="36">
        <f>IFERROR((Inventory[[#This Row],[Adjusted Impr Total]]-Inventory[[#This Row],[24Bldg]])/Inventory[[#This Row],[24Bldg]],0)</f>
        <v>0.15438054805094559</v>
      </c>
      <c r="BT439" s="36">
        <f>(Inventory[[#This Row],[Adjusted Land Total]]-Inventory[[#This Row],[24Lnd]])/Inventory[[#This Row],[24Lnd]]</f>
        <v>-0.39089184060721061</v>
      </c>
      <c r="BU439" s="36">
        <f>(Inventory[[#This Row],[Adjusted Total]]-Inventory[[#This Row],[24Final]])/Inventory[[#This Row],[24Final]]</f>
        <v>6.2219371391917896E-2</v>
      </c>
    </row>
    <row r="440" spans="1:73" x14ac:dyDescent="0.3">
      <c r="A440" s="25">
        <v>2025</v>
      </c>
      <c r="B440" s="26" t="s">
        <v>1605</v>
      </c>
      <c r="C440" s="26">
        <f>LN(Inventory[[#This Row],[Acres]])</f>
        <v>-1.5606477482646683</v>
      </c>
      <c r="D440" s="25">
        <v>0.21</v>
      </c>
      <c r="E440" s="27"/>
      <c r="F440" s="26" t="s">
        <v>537</v>
      </c>
      <c r="G440" s="26" t="s">
        <v>126</v>
      </c>
      <c r="H440" s="26" t="s">
        <v>349</v>
      </c>
      <c r="I440" s="26" t="s">
        <v>538</v>
      </c>
      <c r="J440" s="26" t="s">
        <v>539</v>
      </c>
      <c r="K440" s="26" t="s">
        <v>241</v>
      </c>
      <c r="L440" s="26" t="s">
        <v>351</v>
      </c>
      <c r="M440" s="26" t="s">
        <v>303</v>
      </c>
      <c r="N440" s="26">
        <v>70</v>
      </c>
      <c r="O440" s="26">
        <f>2024-Inventory[[#This Row],[YrBlt]]</f>
        <v>64</v>
      </c>
      <c r="P440" s="26">
        <f>2024-Inventory[[#This Row],[EffYr]]</f>
        <v>49</v>
      </c>
      <c r="Q440" s="25">
        <v>1960</v>
      </c>
      <c r="R440" s="25">
        <v>1975</v>
      </c>
      <c r="S440" s="25">
        <v>1666</v>
      </c>
      <c r="T440" s="31"/>
      <c r="U440" s="25">
        <v>1022</v>
      </c>
      <c r="V440" s="32">
        <f>Inventory[[#This Row],[Bsmt]]-Inventory[[#This Row],[FnBsmt]]</f>
        <v>406</v>
      </c>
      <c r="W440" s="32">
        <v>616</v>
      </c>
      <c r="X440" s="27"/>
      <c r="Y440" s="27">
        <f>Inventory[[#This Row],[MainFn]]+Inventory[[#This Row],[UpprFn]]+Inventory[[#This Row],[FnBsmt]]+Inventory[[#This Row],[AddFn]]</f>
        <v>2282</v>
      </c>
      <c r="Z440" s="27">
        <v>2500</v>
      </c>
      <c r="AA440" s="25">
        <v>9</v>
      </c>
      <c r="AB440" s="27"/>
      <c r="AC440" s="32">
        <v>266</v>
      </c>
      <c r="AD440" s="27"/>
      <c r="AE440" s="27"/>
      <c r="AF440" s="27"/>
      <c r="AG440" s="27"/>
      <c r="AH440" s="27"/>
      <c r="AI440" s="25">
        <v>328885</v>
      </c>
      <c r="AJ440" s="25">
        <v>236797</v>
      </c>
      <c r="AK440" s="25">
        <v>6068</v>
      </c>
      <c r="AL440" s="25">
        <v>376000</v>
      </c>
      <c r="AM440" s="25">
        <v>60100</v>
      </c>
      <c r="AN440" s="25">
        <v>315900</v>
      </c>
      <c r="AO440" s="25">
        <v>0</v>
      </c>
      <c r="AP440" s="25">
        <f>Lookups!$B$56*0</f>
        <v>0</v>
      </c>
      <c r="AQ440" s="25">
        <f>Lookups!$B$56*1</f>
        <v>89850.625589999996</v>
      </c>
      <c r="AR440" s="25">
        <f>Lookups!$B$57*Inventory[[#This Row],[LnAcres]]</f>
        <v>-49401.70477837498</v>
      </c>
      <c r="AS440" s="25">
        <f>VLOOKUP(Inventory[[#This Row],[Qlty]],Lookups!$A$62:$E$75,2,FALSE)</f>
        <v>21557.329055999999</v>
      </c>
      <c r="AT440" s="25">
        <f>VLOOKUP(Inventory[[#This Row],[Cnd]],Lookups!$A$76:$E$84,2,FALSE)</f>
        <v>197752.34721000001</v>
      </c>
      <c r="AU440" s="25">
        <f>Inventory[[#This Row],[EffAge]]*Lookups!$B$85</f>
        <v>-10929.2344245</v>
      </c>
      <c r="AV440" s="25">
        <f>Inventory[[#This Row],[MainFn]]*Lookups!$B$86</f>
        <v>82314.844015081995</v>
      </c>
      <c r="AW440" s="25">
        <f>Inventory[[#This Row],[UpprFn]]*Lookups!$B$87</f>
        <v>0</v>
      </c>
      <c r="AX440" s="25">
        <f>Inventory[[#This Row],[AddFn]]*Lookups!$B$88</f>
        <v>0</v>
      </c>
      <c r="AY440" s="25">
        <f>Inventory[[#This Row],[Bsmt]]*Lookups!$B$89</f>
        <v>29721.696942433999</v>
      </c>
      <c r="AZ440" s="25">
        <f>Inventory[[#This Row],[Fixtures]]*Lookups!$B$90</f>
        <v>34128.198946800003</v>
      </c>
      <c r="BA440" s="25">
        <f>Inventory[[#This Row],[WdDeck]]*Lookups!$B$91</f>
        <v>0</v>
      </c>
      <c r="BB440" s="25">
        <f>ROUND(Inventory[[#This Row],[25Det]],-2)</f>
        <v>6100</v>
      </c>
      <c r="BC440" s="25">
        <f>ROUND(SUM(Inventory[[#This Row],[Mdl Qlty]:[Mdl WdDeck]])+Inventory[[#This Row],[Mdl Res Intercept]],-2)</f>
        <v>354500</v>
      </c>
      <c r="BD440" s="25">
        <f>ROUND(Inventory[[#This Row],[Mdl Land Intercept]]+Inventory[[#This Row],[Mdl LnAcres]],-2)</f>
        <v>40400</v>
      </c>
      <c r="BE440" s="25">
        <f>Inventory[[#This Row],[Unadj Res Value]]+Inventory[[#This Row],[Unadj Det Value]]+Inventory[[#This Row],[Unadj Land Value]]</f>
        <v>401000</v>
      </c>
      <c r="BF440" s="36">
        <f>(Inventory[[#This Row],[Unadj Total Value]]-Inventory[[#This Row],[24Final]])/Inventory[[#This Row],[24Final]]</f>
        <v>6.6489361702127658E-2</v>
      </c>
      <c r="BG440" s="25">
        <f>VLOOKUP(Inventory[[#This Row],[Nbhd]],Lookups!$Q$2:$T$4,4,FALSE)</f>
        <v>0.99970000000000003</v>
      </c>
      <c r="BH440" s="25">
        <f>VLOOKUP(Inventory[[#This Row],[Qlty]],Lookups!$O$7:$R$21,4,FALSE)</f>
        <v>1.0067999999999999</v>
      </c>
      <c r="BI440" s="25">
        <f>VLOOKUP(Inventory[[#This Row],[Cnd]],Lookups!$T$7:$W$16,4,FALSE)</f>
        <v>0.99650000000000005</v>
      </c>
      <c r="BJ440" s="25">
        <f>VLOOKUP(Inventory[[#This Row],[LivArea Range]],Lookups!$T$25:$W$37,4,FALSE)</f>
        <v>0.98919999999999997</v>
      </c>
      <c r="BK440" s="25">
        <f>VLOOKUP(Inventory[[#This Row],[Decade]],Lookups!$O$25:$R$42,4,FALSE)</f>
        <v>1.0199</v>
      </c>
      <c r="BL440" s="25">
        <f>Inventory[[#This Row],[Nbhd Adj]]*0.95</f>
        <v>0.94971499999999998</v>
      </c>
      <c r="BM440" s="25">
        <f>Inventory[[#This Row],[Nbhd Adj]]*Inventory[[#This Row],[Quality Adj]]*Inventory[[#This Row],[Condition Adj]]*Inventory[[#This Row],[Living Area Adj]]*Inventory[[#This Row],[Decade Adj]]*0.95</f>
        <v>0.96129239557319079</v>
      </c>
      <c r="BN440" s="25">
        <f>ROUND(SUM(Inventory[[#This Row],[Mdl Qlty]:[Mdl WdDeck]])+Inventory[[#This Row],[Mdl Res Intercept]]*Inventory[[#This Row],[Res Adj ]],-2)</f>
        <v>354500</v>
      </c>
      <c r="BO440" s="25">
        <f>ROUND(Inventory[[#This Row],[25Det]]*Inventory[[#This Row],[Det/Nbhd Adj]],-2)</f>
        <v>5800</v>
      </c>
      <c r="BP440" s="25">
        <f>Inventory[[#This Row],[Adjusted Res]]+Inventory[[#This Row],[Adj Det ]]</f>
        <v>360300</v>
      </c>
      <c r="BQ440" s="25">
        <f>ROUND((Inventory[[#This Row],[Mdl Land Intercept]]+Inventory[[#This Row],[Mdl LnAcres]])*Inventory[[#This Row],[Det/Nbhd Adj]],-2)</f>
        <v>38400</v>
      </c>
      <c r="BR440" s="25">
        <f>Inventory[[#This Row],[Adjusted Impr Total]]+Inventory[[#This Row],[Adjusted Land Total]]</f>
        <v>398700</v>
      </c>
      <c r="BS440" s="36">
        <f>IFERROR((Inventory[[#This Row],[Adjusted Impr Total]]-Inventory[[#This Row],[24Bldg]])/Inventory[[#This Row],[24Bldg]],0)</f>
        <v>0.14055080721747387</v>
      </c>
      <c r="BT440" s="36">
        <f>(Inventory[[#This Row],[Adjusted Land Total]]-Inventory[[#This Row],[24Lnd]])/Inventory[[#This Row],[24Lnd]]</f>
        <v>-0.36106489184692181</v>
      </c>
      <c r="BU440" s="36">
        <f>(Inventory[[#This Row],[Adjusted Total]]-Inventory[[#This Row],[24Final]])/Inventory[[#This Row],[24Final]]</f>
        <v>6.0372340425531912E-2</v>
      </c>
    </row>
    <row r="441" spans="1:73" x14ac:dyDescent="0.3">
      <c r="A441" s="25">
        <v>2025</v>
      </c>
      <c r="B441" s="26" t="s">
        <v>1762</v>
      </c>
      <c r="C441" s="26">
        <f>LN(Inventory[[#This Row],[Acres]])</f>
        <v>-1.7147984280919266</v>
      </c>
      <c r="D441" s="25">
        <v>0.18</v>
      </c>
      <c r="E441" s="27"/>
      <c r="F441" s="26" t="s">
        <v>537</v>
      </c>
      <c r="G441" s="26" t="s">
        <v>126</v>
      </c>
      <c r="H441" s="26" t="s">
        <v>349</v>
      </c>
      <c r="I441" s="26" t="s">
        <v>538</v>
      </c>
      <c r="J441" s="26" t="s">
        <v>539</v>
      </c>
      <c r="K441" s="26" t="s">
        <v>241</v>
      </c>
      <c r="L441" s="26" t="s">
        <v>302</v>
      </c>
      <c r="M441" s="26" t="s">
        <v>323</v>
      </c>
      <c r="N441" s="26">
        <v>70</v>
      </c>
      <c r="O441" s="26">
        <f>2024-Inventory[[#This Row],[YrBlt]]</f>
        <v>64</v>
      </c>
      <c r="P441" s="26">
        <f>2024-Inventory[[#This Row],[EffYr]]</f>
        <v>49</v>
      </c>
      <c r="Q441" s="25">
        <v>1960</v>
      </c>
      <c r="R441" s="25">
        <v>1975</v>
      </c>
      <c r="S441" s="25">
        <v>1717</v>
      </c>
      <c r="T441" s="27"/>
      <c r="U441" s="31"/>
      <c r="V441" s="31">
        <f>Inventory[[#This Row],[Bsmt]]-Inventory[[#This Row],[FnBsmt]]</f>
        <v>0</v>
      </c>
      <c r="W441" s="31"/>
      <c r="X441" s="31"/>
      <c r="Y441" s="31">
        <f>Inventory[[#This Row],[MainFn]]+Inventory[[#This Row],[UpprFn]]+Inventory[[#This Row],[FnBsmt]]+Inventory[[#This Row],[AddFn]]</f>
        <v>1717</v>
      </c>
      <c r="Z441" s="27">
        <v>2000</v>
      </c>
      <c r="AA441" s="25">
        <v>8</v>
      </c>
      <c r="AB441" s="31"/>
      <c r="AC441" s="27"/>
      <c r="AD441" s="25">
        <v>400</v>
      </c>
      <c r="AE441" s="27"/>
      <c r="AF441" s="27"/>
      <c r="AG441" s="27"/>
      <c r="AH441" s="27"/>
      <c r="AI441" s="25">
        <v>325599</v>
      </c>
      <c r="AJ441" s="25">
        <v>231175</v>
      </c>
      <c r="AK441" s="25">
        <v>0</v>
      </c>
      <c r="AL441" s="25">
        <v>322400</v>
      </c>
      <c r="AM441" s="25">
        <v>54700</v>
      </c>
      <c r="AN441" s="25">
        <v>267700</v>
      </c>
      <c r="AO441" s="25">
        <v>0</v>
      </c>
      <c r="AP441" s="25">
        <f>Lookups!$B$56*0</f>
        <v>0</v>
      </c>
      <c r="AQ441" s="25">
        <f>Lookups!$B$56*1</f>
        <v>89850.625589999996</v>
      </c>
      <c r="AR441" s="25">
        <f>Lookups!$B$57*Inventory[[#This Row],[LnAcres]]</f>
        <v>-54281.285314520763</v>
      </c>
      <c r="AS441" s="25">
        <f>VLOOKUP(Inventory[[#This Row],[Qlty]],Lookups!$A$62:$E$75,2,FALSE)</f>
        <v>29814.093161000001</v>
      </c>
      <c r="AT441" s="25">
        <f>VLOOKUP(Inventory[[#This Row],[Cnd]],Lookups!$A$76:$E$84,2,FALSE)</f>
        <v>160472.20319</v>
      </c>
      <c r="AU441" s="25">
        <f>Inventory[[#This Row],[EffAge]]*Lookups!$B$85</f>
        <v>-10929.2344245</v>
      </c>
      <c r="AV441" s="25">
        <f>Inventory[[#This Row],[MainFn]]*Lookups!$B$86</f>
        <v>84834.686178809003</v>
      </c>
      <c r="AW441" s="25">
        <f>Inventory[[#This Row],[UpprFn]]*Lookups!$B$87</f>
        <v>0</v>
      </c>
      <c r="AX441" s="25">
        <f>Inventory[[#This Row],[AddFn]]*Lookups!$B$88</f>
        <v>0</v>
      </c>
      <c r="AY441" s="25">
        <f>Inventory[[#This Row],[Bsmt]]*Lookups!$B$89</f>
        <v>0</v>
      </c>
      <c r="AZ441" s="25">
        <f>Inventory[[#This Row],[Fixtures]]*Lookups!$B$90</f>
        <v>30336.176841600001</v>
      </c>
      <c r="BA441" s="25">
        <f>Inventory[[#This Row],[WdDeck]]*Lookups!$B$91</f>
        <v>13318.206110400002</v>
      </c>
      <c r="BB441" s="25">
        <f>ROUND(Inventory[[#This Row],[25Det]],-2)</f>
        <v>0</v>
      </c>
      <c r="BC441" s="25">
        <f>ROUND(SUM(Inventory[[#This Row],[Mdl Qlty]:[Mdl WdDeck]])+Inventory[[#This Row],[Mdl Res Intercept]],-2)</f>
        <v>307800</v>
      </c>
      <c r="BD441" s="25">
        <f>ROUND(Inventory[[#This Row],[Mdl Land Intercept]]+Inventory[[#This Row],[Mdl LnAcres]],-2)</f>
        <v>35600</v>
      </c>
      <c r="BE441" s="25">
        <f>Inventory[[#This Row],[Unadj Res Value]]+Inventory[[#This Row],[Unadj Det Value]]+Inventory[[#This Row],[Unadj Land Value]]</f>
        <v>343400</v>
      </c>
      <c r="BF441" s="36">
        <f>(Inventory[[#This Row],[Unadj Total Value]]-Inventory[[#This Row],[24Final]])/Inventory[[#This Row],[24Final]]</f>
        <v>6.5136476426799012E-2</v>
      </c>
      <c r="BG441" s="25">
        <f>VLOOKUP(Inventory[[#This Row],[Nbhd]],Lookups!$Q$2:$T$4,4,FALSE)</f>
        <v>0.99970000000000003</v>
      </c>
      <c r="BH441" s="25">
        <f>VLOOKUP(Inventory[[#This Row],[Qlty]],Lookups!$O$7:$R$21,4,FALSE)</f>
        <v>1.0088999999999999</v>
      </c>
      <c r="BI441" s="25">
        <f>VLOOKUP(Inventory[[#This Row],[Cnd]],Lookups!$T$7:$W$16,4,FALSE)</f>
        <v>0.99729999999999996</v>
      </c>
      <c r="BJ441" s="25">
        <f>VLOOKUP(Inventory[[#This Row],[LivArea Range]],Lookups!$T$25:$W$37,4,FALSE)</f>
        <v>1.0093000000000001</v>
      </c>
      <c r="BK441" s="25">
        <f>VLOOKUP(Inventory[[#This Row],[Decade]],Lookups!$O$25:$R$42,4,FALSE)</f>
        <v>1.0199</v>
      </c>
      <c r="BL441" s="25">
        <f>Inventory[[#This Row],[Nbhd Adj]]*0.95</f>
        <v>0.94971499999999998</v>
      </c>
      <c r="BM441" s="25">
        <f>Inventory[[#This Row],[Nbhd Adj]]*Inventory[[#This Row],[Quality Adj]]*Inventory[[#This Row],[Condition Adj]]*Inventory[[#This Row],[Living Area Adj]]*Inventory[[#This Row],[Decade Adj]]*0.95</f>
        <v>0.98366020862665582</v>
      </c>
      <c r="BN441" s="25">
        <f>ROUND(SUM(Inventory[[#This Row],[Mdl Qlty]:[Mdl WdDeck]])+Inventory[[#This Row],[Mdl Res Intercept]]*Inventory[[#This Row],[Res Adj ]],-2)</f>
        <v>307800</v>
      </c>
      <c r="BO441" s="25">
        <f>ROUND(Inventory[[#This Row],[25Det]]*Inventory[[#This Row],[Det/Nbhd Adj]],-2)</f>
        <v>0</v>
      </c>
      <c r="BP441" s="25">
        <f>Inventory[[#This Row],[Adjusted Res]]+Inventory[[#This Row],[Adj Det ]]</f>
        <v>307800</v>
      </c>
      <c r="BQ441" s="25">
        <f>ROUND((Inventory[[#This Row],[Mdl Land Intercept]]+Inventory[[#This Row],[Mdl LnAcres]])*Inventory[[#This Row],[Det/Nbhd Adj]],-2)</f>
        <v>33800</v>
      </c>
      <c r="BR441" s="25">
        <f>Inventory[[#This Row],[Adjusted Impr Total]]+Inventory[[#This Row],[Adjusted Land Total]]</f>
        <v>341600</v>
      </c>
      <c r="BS441" s="36">
        <f>IFERROR((Inventory[[#This Row],[Adjusted Impr Total]]-Inventory[[#This Row],[24Bldg]])/Inventory[[#This Row],[24Bldg]],0)</f>
        <v>0.14979454613373178</v>
      </c>
      <c r="BT441" s="36">
        <f>(Inventory[[#This Row],[Adjusted Land Total]]-Inventory[[#This Row],[24Lnd]])/Inventory[[#This Row],[24Lnd]]</f>
        <v>-0.38208409506398539</v>
      </c>
      <c r="BU441" s="36">
        <f>(Inventory[[#This Row],[Adjusted Total]]-Inventory[[#This Row],[24Final]])/Inventory[[#This Row],[24Final]]</f>
        <v>5.9553349875930521E-2</v>
      </c>
    </row>
    <row r="442" spans="1:73" x14ac:dyDescent="0.3">
      <c r="A442" s="25">
        <v>2025</v>
      </c>
      <c r="B442" s="26" t="s">
        <v>2023</v>
      </c>
      <c r="C442" s="26">
        <f>LN(Inventory[[#This Row],[Acres]])</f>
        <v>-1.5141277326297755</v>
      </c>
      <c r="D442" s="25">
        <v>0.22</v>
      </c>
      <c r="E442" s="27"/>
      <c r="F442" s="26" t="s">
        <v>537</v>
      </c>
      <c r="G442" s="26" t="s">
        <v>126</v>
      </c>
      <c r="H442" s="26" t="s">
        <v>349</v>
      </c>
      <c r="I442" s="26" t="s">
        <v>538</v>
      </c>
      <c r="J442" s="26" t="s">
        <v>539</v>
      </c>
      <c r="K442" s="26" t="s">
        <v>241</v>
      </c>
      <c r="L442" s="26" t="s">
        <v>351</v>
      </c>
      <c r="M442" s="26" t="s">
        <v>323</v>
      </c>
      <c r="N442" s="26">
        <v>70</v>
      </c>
      <c r="O442" s="26">
        <f>2024-Inventory[[#This Row],[YrBlt]]</f>
        <v>64</v>
      </c>
      <c r="P442" s="26">
        <f>2024-Inventory[[#This Row],[EffYr]]</f>
        <v>49</v>
      </c>
      <c r="Q442" s="25">
        <v>1960</v>
      </c>
      <c r="R442" s="25">
        <v>1975</v>
      </c>
      <c r="S442" s="25">
        <v>1364</v>
      </c>
      <c r="T442" s="27"/>
      <c r="U442" s="25">
        <v>1129</v>
      </c>
      <c r="V442" s="32">
        <f>Inventory[[#This Row],[Bsmt]]-Inventory[[#This Row],[FnBsmt]]</f>
        <v>799</v>
      </c>
      <c r="W442" s="32">
        <v>330</v>
      </c>
      <c r="X442" s="27"/>
      <c r="Y442" s="27">
        <f>Inventory[[#This Row],[MainFn]]+Inventory[[#This Row],[UpprFn]]+Inventory[[#This Row],[FnBsmt]]+Inventory[[#This Row],[AddFn]]</f>
        <v>1694</v>
      </c>
      <c r="Z442" s="27">
        <v>2000</v>
      </c>
      <c r="AA442" s="25">
        <v>8</v>
      </c>
      <c r="AB442" s="31"/>
      <c r="AC442" s="32">
        <v>237</v>
      </c>
      <c r="AD442" s="32">
        <v>60</v>
      </c>
      <c r="AE442" s="27"/>
      <c r="AF442" s="27"/>
      <c r="AG442" s="27"/>
      <c r="AH442" s="27"/>
      <c r="AI442" s="25">
        <v>289545</v>
      </c>
      <c r="AJ442" s="25">
        <v>205577</v>
      </c>
      <c r="AK442" s="25">
        <v>0</v>
      </c>
      <c r="AL442" s="25">
        <v>325100</v>
      </c>
      <c r="AM442" s="25">
        <v>61700</v>
      </c>
      <c r="AN442" s="25">
        <v>263400</v>
      </c>
      <c r="AO442" s="25">
        <v>0</v>
      </c>
      <c r="AP442" s="25">
        <f>Lookups!$B$56*0</f>
        <v>0</v>
      </c>
      <c r="AQ442" s="25">
        <f>Lookups!$B$56*1</f>
        <v>89850.625589999996</v>
      </c>
      <c r="AR442" s="25">
        <f>Lookups!$B$57*Inventory[[#This Row],[LnAcres]]</f>
        <v>-47929.131559187132</v>
      </c>
      <c r="AS442" s="25">
        <f>VLOOKUP(Inventory[[#This Row],[Qlty]],Lookups!$A$62:$E$75,2,FALSE)</f>
        <v>21557.329055999999</v>
      </c>
      <c r="AT442" s="25">
        <f>VLOOKUP(Inventory[[#This Row],[Cnd]],Lookups!$A$76:$E$84,2,FALSE)</f>
        <v>160472.20319</v>
      </c>
      <c r="AU442" s="25">
        <f>Inventory[[#This Row],[EffAge]]*Lookups!$B$85</f>
        <v>-10929.2344245</v>
      </c>
      <c r="AV442" s="25">
        <f>Inventory[[#This Row],[MainFn]]*Lookups!$B$86</f>
        <v>67393.425712227996</v>
      </c>
      <c r="AW442" s="25">
        <f>Inventory[[#This Row],[UpprFn]]*Lookups!$B$87</f>
        <v>0</v>
      </c>
      <c r="AX442" s="25">
        <f>Inventory[[#This Row],[AddFn]]*Lookups!$B$88</f>
        <v>0</v>
      </c>
      <c r="AY442" s="25">
        <f>Inventory[[#This Row],[Bsmt]]*Lookups!$B$89</f>
        <v>32833.459733862997</v>
      </c>
      <c r="AZ442" s="25">
        <f>Inventory[[#This Row],[Fixtures]]*Lookups!$B$90</f>
        <v>30336.176841600001</v>
      </c>
      <c r="BA442" s="25">
        <f>Inventory[[#This Row],[WdDeck]]*Lookups!$B$91</f>
        <v>1997.7309165600002</v>
      </c>
      <c r="BB442" s="25">
        <f>ROUND(Inventory[[#This Row],[25Det]],-2)</f>
        <v>0</v>
      </c>
      <c r="BC442" s="25">
        <f>ROUND(SUM(Inventory[[#This Row],[Mdl Qlty]:[Mdl WdDeck]])+Inventory[[#This Row],[Mdl Res Intercept]],-2)</f>
        <v>303700</v>
      </c>
      <c r="BD442" s="25">
        <f>ROUND(Inventory[[#This Row],[Mdl Land Intercept]]+Inventory[[#This Row],[Mdl LnAcres]],-2)</f>
        <v>41900</v>
      </c>
      <c r="BE442" s="25">
        <f>Inventory[[#This Row],[Unadj Res Value]]+Inventory[[#This Row],[Unadj Det Value]]+Inventory[[#This Row],[Unadj Land Value]]</f>
        <v>345600</v>
      </c>
      <c r="BF442" s="36">
        <f>(Inventory[[#This Row],[Unadj Total Value]]-Inventory[[#This Row],[24Final]])/Inventory[[#This Row],[24Final]]</f>
        <v>6.3057520762842198E-2</v>
      </c>
      <c r="BG442" s="25">
        <f>VLOOKUP(Inventory[[#This Row],[Nbhd]],Lookups!$Q$2:$T$4,4,FALSE)</f>
        <v>0.99970000000000003</v>
      </c>
      <c r="BH442" s="25">
        <f>VLOOKUP(Inventory[[#This Row],[Qlty]],Lookups!$O$7:$R$21,4,FALSE)</f>
        <v>1.0067999999999999</v>
      </c>
      <c r="BI442" s="25">
        <f>VLOOKUP(Inventory[[#This Row],[Cnd]],Lookups!$T$7:$W$16,4,FALSE)</f>
        <v>0.99729999999999996</v>
      </c>
      <c r="BJ442" s="25">
        <f>VLOOKUP(Inventory[[#This Row],[LivArea Range]],Lookups!$T$25:$W$37,4,FALSE)</f>
        <v>1.0093000000000001</v>
      </c>
      <c r="BK442" s="25">
        <f>VLOOKUP(Inventory[[#This Row],[Decade]],Lookups!$O$25:$R$42,4,FALSE)</f>
        <v>1.0199</v>
      </c>
      <c r="BL442" s="25">
        <f>Inventory[[#This Row],[Nbhd Adj]]*0.95</f>
        <v>0.94971499999999998</v>
      </c>
      <c r="BM442" s="25">
        <f>Inventory[[#This Row],[Nbhd Adj]]*Inventory[[#This Row],[Quality Adj]]*Inventory[[#This Row],[Condition Adj]]*Inventory[[#This Row],[Living Area Adj]]*Inventory[[#This Row],[Decade Adj]]*0.95</f>
        <v>0.98161274461821502</v>
      </c>
      <c r="BN442" s="25">
        <f>ROUND(SUM(Inventory[[#This Row],[Mdl Qlty]:[Mdl WdDeck]])+Inventory[[#This Row],[Mdl Res Intercept]]*Inventory[[#This Row],[Res Adj ]],-2)</f>
        <v>303700</v>
      </c>
      <c r="BO442" s="25">
        <f>ROUND(Inventory[[#This Row],[25Det]]*Inventory[[#This Row],[Det/Nbhd Adj]],-2)</f>
        <v>0</v>
      </c>
      <c r="BP442" s="25">
        <f>Inventory[[#This Row],[Adjusted Res]]+Inventory[[#This Row],[Adj Det ]]</f>
        <v>303700</v>
      </c>
      <c r="BQ442" s="25">
        <f>ROUND((Inventory[[#This Row],[Mdl Land Intercept]]+Inventory[[#This Row],[Mdl LnAcres]])*Inventory[[#This Row],[Det/Nbhd Adj]],-2)</f>
        <v>39800</v>
      </c>
      <c r="BR442" s="25">
        <f>Inventory[[#This Row],[Adjusted Impr Total]]+Inventory[[#This Row],[Adjusted Land Total]]</f>
        <v>343500</v>
      </c>
      <c r="BS442" s="36">
        <f>IFERROR((Inventory[[#This Row],[Adjusted Impr Total]]-Inventory[[#This Row],[24Bldg]])/Inventory[[#This Row],[24Bldg]],0)</f>
        <v>0.15299924069855733</v>
      </c>
      <c r="BT442" s="36">
        <f>(Inventory[[#This Row],[Adjusted Land Total]]-Inventory[[#This Row],[24Lnd]])/Inventory[[#This Row],[24Lnd]]</f>
        <v>-0.35494327390599678</v>
      </c>
      <c r="BU442" s="36">
        <f>(Inventory[[#This Row],[Adjusted Total]]-Inventory[[#This Row],[24Final]])/Inventory[[#This Row],[24Final]]</f>
        <v>5.6597969855429101E-2</v>
      </c>
    </row>
    <row r="443" spans="1:73" x14ac:dyDescent="0.3">
      <c r="A443" s="25">
        <v>2025</v>
      </c>
      <c r="B443" s="26" t="s">
        <v>2295</v>
      </c>
      <c r="C443" s="26">
        <f>LN(Inventory[[#This Row],[Acres]])</f>
        <v>-1.2729656758128873</v>
      </c>
      <c r="D443" s="25">
        <v>0.28000000000000003</v>
      </c>
      <c r="E443" s="32">
        <v>12219</v>
      </c>
      <c r="F443" s="26" t="s">
        <v>537</v>
      </c>
      <c r="G443" s="26" t="s">
        <v>126</v>
      </c>
      <c r="H443" s="26" t="s">
        <v>349</v>
      </c>
      <c r="I443" s="26" t="s">
        <v>538</v>
      </c>
      <c r="J443" s="26" t="s">
        <v>539</v>
      </c>
      <c r="K443" s="26" t="s">
        <v>241</v>
      </c>
      <c r="L443" s="26" t="s">
        <v>148</v>
      </c>
      <c r="M443" s="26" t="s">
        <v>303</v>
      </c>
      <c r="N443" s="26">
        <v>70</v>
      </c>
      <c r="O443" s="26">
        <f>2024-Inventory[[#This Row],[YrBlt]]</f>
        <v>64</v>
      </c>
      <c r="P443" s="26">
        <f>2024-Inventory[[#This Row],[EffYr]]</f>
        <v>49</v>
      </c>
      <c r="Q443" s="25">
        <v>1960</v>
      </c>
      <c r="R443" s="25">
        <v>1975</v>
      </c>
      <c r="S443" s="25">
        <v>1516</v>
      </c>
      <c r="T443" s="27"/>
      <c r="U443" s="31"/>
      <c r="V443" s="27">
        <f>Inventory[[#This Row],[Bsmt]]-Inventory[[#This Row],[FnBsmt]]</f>
        <v>0</v>
      </c>
      <c r="W443" s="27"/>
      <c r="X443" s="27"/>
      <c r="Y443" s="27">
        <f>Inventory[[#This Row],[MainFn]]+Inventory[[#This Row],[UpprFn]]+Inventory[[#This Row],[FnBsmt]]+Inventory[[#This Row],[AddFn]]</f>
        <v>1516</v>
      </c>
      <c r="Z443" s="27">
        <v>2000</v>
      </c>
      <c r="AA443" s="25">
        <v>8</v>
      </c>
      <c r="AB443" s="32">
        <v>325</v>
      </c>
      <c r="AC443" s="27"/>
      <c r="AD443" s="27"/>
      <c r="AE443" s="27"/>
      <c r="AF443" s="27"/>
      <c r="AG443" s="27"/>
      <c r="AH443" s="27"/>
      <c r="AI443" s="25">
        <v>348291</v>
      </c>
      <c r="AJ443" s="25">
        <v>250770</v>
      </c>
      <c r="AK443" s="25">
        <v>0</v>
      </c>
      <c r="AL443" s="25">
        <v>363100</v>
      </c>
      <c r="AM443" s="25">
        <v>70100</v>
      </c>
      <c r="AN443" s="25">
        <v>293000</v>
      </c>
      <c r="AO443" s="25">
        <v>0</v>
      </c>
      <c r="AP443" s="25">
        <f>Lookups!$B$56*0</f>
        <v>0</v>
      </c>
      <c r="AQ443" s="25">
        <f>Lookups!$B$56*1</f>
        <v>89850.625589999996</v>
      </c>
      <c r="AR443" s="25">
        <f>Lookups!$B$57*Inventory[[#This Row],[LnAcres]]</f>
        <v>-40295.239319339329</v>
      </c>
      <c r="AS443" s="25">
        <f>VLOOKUP(Inventory[[#This Row],[Qlty]],Lookups!$A$62:$E$75,2,FALSE)</f>
        <v>44121.038090000002</v>
      </c>
      <c r="AT443" s="25">
        <f>VLOOKUP(Inventory[[#This Row],[Cnd]],Lookups!$A$76:$E$84,2,FALSE)</f>
        <v>197752.34721000001</v>
      </c>
      <c r="AU443" s="25">
        <f>Inventory[[#This Row],[EffAge]]*Lookups!$B$85</f>
        <v>-10929.2344245</v>
      </c>
      <c r="AV443" s="25">
        <f>Inventory[[#This Row],[MainFn]]*Lookups!$B$86</f>
        <v>74903.543533532007</v>
      </c>
      <c r="AW443" s="25">
        <f>Inventory[[#This Row],[UpprFn]]*Lookups!$B$87</f>
        <v>0</v>
      </c>
      <c r="AX443" s="25">
        <f>Inventory[[#This Row],[AddFn]]*Lookups!$B$88</f>
        <v>0</v>
      </c>
      <c r="AY443" s="25">
        <f>Inventory[[#This Row],[Bsmt]]*Lookups!$B$89</f>
        <v>0</v>
      </c>
      <c r="AZ443" s="25">
        <f>Inventory[[#This Row],[Fixtures]]*Lookups!$B$90</f>
        <v>30336.176841600001</v>
      </c>
      <c r="BA443" s="25">
        <f>Inventory[[#This Row],[WdDeck]]*Lookups!$B$91</f>
        <v>0</v>
      </c>
      <c r="BB443" s="25">
        <f>ROUND(Inventory[[#This Row],[25Det]],-2)</f>
        <v>0</v>
      </c>
      <c r="BC443" s="25">
        <f>ROUND(SUM(Inventory[[#This Row],[Mdl Qlty]:[Mdl WdDeck]])+Inventory[[#This Row],[Mdl Res Intercept]],-2)</f>
        <v>336200</v>
      </c>
      <c r="BD443" s="25">
        <f>ROUND(Inventory[[#This Row],[Mdl Land Intercept]]+Inventory[[#This Row],[Mdl LnAcres]],-2)</f>
        <v>49600</v>
      </c>
      <c r="BE443" s="25">
        <f>Inventory[[#This Row],[Unadj Res Value]]+Inventory[[#This Row],[Unadj Det Value]]+Inventory[[#This Row],[Unadj Land Value]]</f>
        <v>385800</v>
      </c>
      <c r="BF443" s="36">
        <f>(Inventory[[#This Row],[Unadj Total Value]]-Inventory[[#This Row],[24Final]])/Inventory[[#This Row],[24Final]]</f>
        <v>6.2517212889011298E-2</v>
      </c>
      <c r="BG443" s="25">
        <f>VLOOKUP(Inventory[[#This Row],[Nbhd]],Lookups!$Q$2:$T$4,4,FALSE)</f>
        <v>0.99970000000000003</v>
      </c>
      <c r="BH443" s="25">
        <f>VLOOKUP(Inventory[[#This Row],[Qlty]],Lookups!$O$7:$R$21,4,FALSE)</f>
        <v>0.98050000000000004</v>
      </c>
      <c r="BI443" s="25">
        <f>VLOOKUP(Inventory[[#This Row],[Cnd]],Lookups!$T$7:$W$16,4,FALSE)</f>
        <v>0.99650000000000005</v>
      </c>
      <c r="BJ443" s="25">
        <f>VLOOKUP(Inventory[[#This Row],[LivArea Range]],Lookups!$T$25:$W$37,4,FALSE)</f>
        <v>1.0093000000000001</v>
      </c>
      <c r="BK443" s="25">
        <f>VLOOKUP(Inventory[[#This Row],[Decade]],Lookups!$O$25:$R$42,4,FALSE)</f>
        <v>1.0199</v>
      </c>
      <c r="BL443" s="25">
        <f>Inventory[[#This Row],[Nbhd Adj]]*0.95</f>
        <v>0.94971499999999998</v>
      </c>
      <c r="BM443" s="25">
        <f>Inventory[[#This Row],[Nbhd Adj]]*Inventory[[#This Row],[Quality Adj]]*Inventory[[#This Row],[Condition Adj]]*Inventory[[#This Row],[Living Area Adj]]*Inventory[[#This Row],[Decade Adj]]*0.95</f>
        <v>0.95520384832633376</v>
      </c>
      <c r="BN443" s="25">
        <f>ROUND(SUM(Inventory[[#This Row],[Mdl Qlty]:[Mdl WdDeck]])+Inventory[[#This Row],[Mdl Res Intercept]]*Inventory[[#This Row],[Res Adj ]],-2)</f>
        <v>336200</v>
      </c>
      <c r="BO443" s="25">
        <f>ROUND(Inventory[[#This Row],[25Det]]*Inventory[[#This Row],[Det/Nbhd Adj]],-2)</f>
        <v>0</v>
      </c>
      <c r="BP443" s="25">
        <f>Inventory[[#This Row],[Adjusted Res]]+Inventory[[#This Row],[Adj Det ]]</f>
        <v>336200</v>
      </c>
      <c r="BQ443" s="25">
        <f>ROUND((Inventory[[#This Row],[Mdl Land Intercept]]+Inventory[[#This Row],[Mdl LnAcres]])*Inventory[[#This Row],[Det/Nbhd Adj]],-2)</f>
        <v>47100</v>
      </c>
      <c r="BR443" s="25">
        <f>Inventory[[#This Row],[Adjusted Impr Total]]+Inventory[[#This Row],[Adjusted Land Total]]</f>
        <v>383300</v>
      </c>
      <c r="BS443" s="36">
        <f>IFERROR((Inventory[[#This Row],[Adjusted Impr Total]]-Inventory[[#This Row],[24Bldg]])/Inventory[[#This Row],[24Bldg]],0)</f>
        <v>0.14744027303754267</v>
      </c>
      <c r="BT443" s="36">
        <f>(Inventory[[#This Row],[Adjusted Land Total]]-Inventory[[#This Row],[24Lnd]])/Inventory[[#This Row],[24Lnd]]</f>
        <v>-0.32810271041369471</v>
      </c>
      <c r="BU443" s="36">
        <f>(Inventory[[#This Row],[Adjusted Total]]-Inventory[[#This Row],[24Final]])/Inventory[[#This Row],[24Final]]</f>
        <v>5.5632057284494628E-2</v>
      </c>
    </row>
    <row r="444" spans="1:73" x14ac:dyDescent="0.3">
      <c r="A444" s="25">
        <v>2025</v>
      </c>
      <c r="B444" s="26" t="s">
        <v>2727</v>
      </c>
      <c r="C444" s="26">
        <f>LN(Inventory[[#This Row],[Acres]])</f>
        <v>-1.6094379124341003</v>
      </c>
      <c r="D444" s="25">
        <v>0.2</v>
      </c>
      <c r="E444" s="32">
        <v>8681</v>
      </c>
      <c r="F444" s="26" t="s">
        <v>537</v>
      </c>
      <c r="G444" s="26" t="s">
        <v>126</v>
      </c>
      <c r="H444" s="26" t="s">
        <v>349</v>
      </c>
      <c r="I444" s="26" t="s">
        <v>538</v>
      </c>
      <c r="J444" s="26" t="s">
        <v>539</v>
      </c>
      <c r="K444" s="26" t="s">
        <v>241</v>
      </c>
      <c r="L444" s="26" t="s">
        <v>302</v>
      </c>
      <c r="M444" s="26" t="s">
        <v>323</v>
      </c>
      <c r="N444" s="26">
        <v>70</v>
      </c>
      <c r="O444" s="26">
        <f>2024-Inventory[[#This Row],[YrBlt]]</f>
        <v>64</v>
      </c>
      <c r="P444" s="26">
        <f>2024-Inventory[[#This Row],[EffYr]]</f>
        <v>49</v>
      </c>
      <c r="Q444" s="25">
        <v>1960</v>
      </c>
      <c r="R444" s="25">
        <v>1975</v>
      </c>
      <c r="S444" s="25">
        <v>1612</v>
      </c>
      <c r="T444" s="27"/>
      <c r="U444" s="25">
        <v>510</v>
      </c>
      <c r="V444" s="25">
        <f>Inventory[[#This Row],[Bsmt]]-Inventory[[#This Row],[FnBsmt]]</f>
        <v>0</v>
      </c>
      <c r="W444" s="25">
        <v>510</v>
      </c>
      <c r="X444" s="27"/>
      <c r="Y444" s="27">
        <f>Inventory[[#This Row],[MainFn]]+Inventory[[#This Row],[UpprFn]]+Inventory[[#This Row],[FnBsmt]]+Inventory[[#This Row],[AddFn]]</f>
        <v>2122</v>
      </c>
      <c r="Z444" s="27">
        <v>2500</v>
      </c>
      <c r="AA444" s="25">
        <v>8</v>
      </c>
      <c r="AB444" s="32">
        <v>308</v>
      </c>
      <c r="AC444" s="27"/>
      <c r="AD444" s="32">
        <v>412</v>
      </c>
      <c r="AE444" s="27"/>
      <c r="AF444" s="27"/>
      <c r="AG444" s="27"/>
      <c r="AH444" s="27"/>
      <c r="AI444" s="25">
        <v>379176</v>
      </c>
      <c r="AJ444" s="25">
        <v>269215</v>
      </c>
      <c r="AK444" s="25">
        <v>0</v>
      </c>
      <c r="AL444" s="25">
        <v>336700</v>
      </c>
      <c r="AM444" s="25">
        <v>58400</v>
      </c>
      <c r="AN444" s="25">
        <v>278300</v>
      </c>
      <c r="AO444" s="25">
        <v>0</v>
      </c>
      <c r="AP444" s="25">
        <f>Lookups!$B$56*0</f>
        <v>0</v>
      </c>
      <c r="AQ444" s="25">
        <f>Lookups!$B$56*1</f>
        <v>89850.625589999996</v>
      </c>
      <c r="AR444" s="25">
        <f>Lookups!$B$57*Inventory[[#This Row],[LnAcres]]</f>
        <v>-50946.13867709865</v>
      </c>
      <c r="AS444" s="25">
        <f>VLOOKUP(Inventory[[#This Row],[Qlty]],Lookups!$A$62:$E$75,2,FALSE)</f>
        <v>29814.093161000001</v>
      </c>
      <c r="AT444" s="25">
        <f>VLOOKUP(Inventory[[#This Row],[Cnd]],Lookups!$A$76:$E$84,2,FALSE)</f>
        <v>160472.20319</v>
      </c>
      <c r="AU444" s="25">
        <f>Inventory[[#This Row],[EffAge]]*Lookups!$B$85</f>
        <v>-10929.2344245</v>
      </c>
      <c r="AV444" s="25">
        <f>Inventory[[#This Row],[MainFn]]*Lookups!$B$86</f>
        <v>79646.775841723997</v>
      </c>
      <c r="AW444" s="25">
        <f>Inventory[[#This Row],[UpprFn]]*Lookups!$B$87</f>
        <v>0</v>
      </c>
      <c r="AX444" s="25">
        <f>Inventory[[#This Row],[AddFn]]*Lookups!$B$88</f>
        <v>0</v>
      </c>
      <c r="AY444" s="25">
        <f>Inventory[[#This Row],[Bsmt]]*Lookups!$B$89</f>
        <v>14831.766575969999</v>
      </c>
      <c r="AZ444" s="25">
        <f>Inventory[[#This Row],[Fixtures]]*Lookups!$B$90</f>
        <v>30336.176841600001</v>
      </c>
      <c r="BA444" s="25">
        <f>Inventory[[#This Row],[WdDeck]]*Lookups!$B$91</f>
        <v>13717.752293712001</v>
      </c>
      <c r="BB444" s="25">
        <f>ROUND(Inventory[[#This Row],[25Det]],-2)</f>
        <v>0</v>
      </c>
      <c r="BC444" s="25">
        <f>ROUND(SUM(Inventory[[#This Row],[Mdl Qlty]:[Mdl WdDeck]])+Inventory[[#This Row],[Mdl Res Intercept]],-2)</f>
        <v>317900</v>
      </c>
      <c r="BD444" s="25">
        <f>ROUND(Inventory[[#This Row],[Mdl Land Intercept]]+Inventory[[#This Row],[Mdl LnAcres]],-2)</f>
        <v>38900</v>
      </c>
      <c r="BE444" s="25">
        <f>Inventory[[#This Row],[Unadj Res Value]]+Inventory[[#This Row],[Unadj Det Value]]+Inventory[[#This Row],[Unadj Land Value]]</f>
        <v>356800</v>
      </c>
      <c r="BF444" s="36">
        <f>(Inventory[[#This Row],[Unadj Total Value]]-Inventory[[#This Row],[24Final]])/Inventory[[#This Row],[24Final]]</f>
        <v>5.9697059697059698E-2</v>
      </c>
      <c r="BG444" s="25">
        <f>VLOOKUP(Inventory[[#This Row],[Nbhd]],Lookups!$Q$2:$T$4,4,FALSE)</f>
        <v>0.99970000000000003</v>
      </c>
      <c r="BH444" s="25">
        <f>VLOOKUP(Inventory[[#This Row],[Qlty]],Lookups!$O$7:$R$21,4,FALSE)</f>
        <v>1.0088999999999999</v>
      </c>
      <c r="BI444" s="25">
        <f>VLOOKUP(Inventory[[#This Row],[Cnd]],Lookups!$T$7:$W$16,4,FALSE)</f>
        <v>0.99729999999999996</v>
      </c>
      <c r="BJ444" s="25">
        <f>VLOOKUP(Inventory[[#This Row],[LivArea Range]],Lookups!$T$25:$W$37,4,FALSE)</f>
        <v>0.98919999999999997</v>
      </c>
      <c r="BK444" s="25">
        <f>VLOOKUP(Inventory[[#This Row],[Decade]],Lookups!$O$25:$R$42,4,FALSE)</f>
        <v>1.0199</v>
      </c>
      <c r="BL444" s="25">
        <f>Inventory[[#This Row],[Nbhd Adj]]*0.95</f>
        <v>0.94971499999999998</v>
      </c>
      <c r="BM444" s="25">
        <f>Inventory[[#This Row],[Nbhd Adj]]*Inventory[[#This Row],[Quality Adj]]*Inventory[[#This Row],[Condition Adj]]*Inventory[[#This Row],[Living Area Adj]]*Inventory[[#This Row],[Decade Adj]]*0.95</f>
        <v>0.96407081974981479</v>
      </c>
      <c r="BN444" s="25">
        <f>ROUND(SUM(Inventory[[#This Row],[Mdl Qlty]:[Mdl WdDeck]])+Inventory[[#This Row],[Mdl Res Intercept]]*Inventory[[#This Row],[Res Adj ]],-2)</f>
        <v>317900</v>
      </c>
      <c r="BO444" s="25">
        <f>ROUND(Inventory[[#This Row],[25Det]]*Inventory[[#This Row],[Det/Nbhd Adj]],-2)</f>
        <v>0</v>
      </c>
      <c r="BP444" s="25">
        <f>Inventory[[#This Row],[Adjusted Res]]+Inventory[[#This Row],[Adj Det ]]</f>
        <v>317900</v>
      </c>
      <c r="BQ444" s="25">
        <f>ROUND((Inventory[[#This Row],[Mdl Land Intercept]]+Inventory[[#This Row],[Mdl LnAcres]])*Inventory[[#This Row],[Det/Nbhd Adj]],-2)</f>
        <v>36900</v>
      </c>
      <c r="BR444" s="25">
        <f>Inventory[[#This Row],[Adjusted Impr Total]]+Inventory[[#This Row],[Adjusted Land Total]]</f>
        <v>354800</v>
      </c>
      <c r="BS444" s="36">
        <f>IFERROR((Inventory[[#This Row],[Adjusted Impr Total]]-Inventory[[#This Row],[24Bldg]])/Inventory[[#This Row],[24Bldg]],0)</f>
        <v>0.14229249011857709</v>
      </c>
      <c r="BT444" s="36">
        <f>(Inventory[[#This Row],[Adjusted Land Total]]-Inventory[[#This Row],[24Lnd]])/Inventory[[#This Row],[24Lnd]]</f>
        <v>-0.36815068493150682</v>
      </c>
      <c r="BU444" s="36">
        <f>(Inventory[[#This Row],[Adjusted Total]]-Inventory[[#This Row],[24Final]])/Inventory[[#This Row],[24Final]]</f>
        <v>5.3757053757053759E-2</v>
      </c>
    </row>
    <row r="445" spans="1:73" x14ac:dyDescent="0.3">
      <c r="A445" s="25">
        <v>2025</v>
      </c>
      <c r="B445" s="26" t="s">
        <v>2369</v>
      </c>
      <c r="C445" s="26">
        <f>LN(Inventory[[#This Row],[Acres]])</f>
        <v>-1.5141277326297755</v>
      </c>
      <c r="D445" s="25">
        <v>0.22</v>
      </c>
      <c r="E445" s="27"/>
      <c r="F445" s="26" t="s">
        <v>537</v>
      </c>
      <c r="G445" s="26" t="s">
        <v>126</v>
      </c>
      <c r="H445" s="26" t="s">
        <v>349</v>
      </c>
      <c r="I445" s="26" t="s">
        <v>538</v>
      </c>
      <c r="J445" s="26" t="s">
        <v>638</v>
      </c>
      <c r="K445" s="26" t="s">
        <v>241</v>
      </c>
      <c r="L445" s="26" t="s">
        <v>148</v>
      </c>
      <c r="M445" s="26" t="s">
        <v>323</v>
      </c>
      <c r="N445" s="26">
        <v>70</v>
      </c>
      <c r="O445" s="26">
        <f>2024-Inventory[[#This Row],[YrBlt]]</f>
        <v>64</v>
      </c>
      <c r="P445" s="26">
        <f>2024-Inventory[[#This Row],[EffYr]]</f>
        <v>49</v>
      </c>
      <c r="Q445" s="25">
        <v>1960</v>
      </c>
      <c r="R445" s="25">
        <v>1975</v>
      </c>
      <c r="S445" s="25">
        <v>1463</v>
      </c>
      <c r="T445" s="27"/>
      <c r="U445" s="31"/>
      <c r="V445" s="31">
        <f>Inventory[[#This Row],[Bsmt]]-Inventory[[#This Row],[FnBsmt]]</f>
        <v>0</v>
      </c>
      <c r="W445" s="31"/>
      <c r="X445" s="27"/>
      <c r="Y445" s="27">
        <f>Inventory[[#This Row],[MainFn]]+Inventory[[#This Row],[UpprFn]]+Inventory[[#This Row],[FnBsmt]]+Inventory[[#This Row],[AddFn]]</f>
        <v>1463</v>
      </c>
      <c r="Z445" s="27">
        <v>1500</v>
      </c>
      <c r="AA445" s="25">
        <v>7</v>
      </c>
      <c r="AB445" s="32">
        <v>432</v>
      </c>
      <c r="AC445" s="27"/>
      <c r="AD445" s="32">
        <v>187</v>
      </c>
      <c r="AE445" s="27"/>
      <c r="AF445" s="27"/>
      <c r="AG445" s="27"/>
      <c r="AH445" s="27"/>
      <c r="AI445" s="25">
        <v>364308</v>
      </c>
      <c r="AJ445" s="25">
        <v>258659</v>
      </c>
      <c r="AK445" s="25">
        <v>0</v>
      </c>
      <c r="AL445" s="25">
        <v>321500</v>
      </c>
      <c r="AM445" s="25">
        <v>61700</v>
      </c>
      <c r="AN445" s="25">
        <v>259800</v>
      </c>
      <c r="AO445" s="25">
        <v>0</v>
      </c>
      <c r="AP445" s="25">
        <f>Lookups!$B$56*0</f>
        <v>0</v>
      </c>
      <c r="AQ445" s="25">
        <f>Lookups!$B$56*1</f>
        <v>89850.625589999996</v>
      </c>
      <c r="AR445" s="25">
        <f>Lookups!$B$57*Inventory[[#This Row],[LnAcres]]</f>
        <v>-47929.131559187132</v>
      </c>
      <c r="AS445" s="25">
        <f>VLOOKUP(Inventory[[#This Row],[Qlty]],Lookups!$A$62:$E$75,2,FALSE)</f>
        <v>44121.038090000002</v>
      </c>
      <c r="AT445" s="25">
        <f>VLOOKUP(Inventory[[#This Row],[Cnd]],Lookups!$A$76:$E$84,2,FALSE)</f>
        <v>160472.20319</v>
      </c>
      <c r="AU445" s="25">
        <f>Inventory[[#This Row],[EffAge]]*Lookups!$B$85</f>
        <v>-10929.2344245</v>
      </c>
      <c r="AV445" s="25">
        <f>Inventory[[#This Row],[MainFn]]*Lookups!$B$86</f>
        <v>72284.884030051006</v>
      </c>
      <c r="AW445" s="25">
        <f>Inventory[[#This Row],[UpprFn]]*Lookups!$B$87</f>
        <v>0</v>
      </c>
      <c r="AX445" s="25">
        <f>Inventory[[#This Row],[AddFn]]*Lookups!$B$88</f>
        <v>0</v>
      </c>
      <c r="AY445" s="25">
        <f>Inventory[[#This Row],[Bsmt]]*Lookups!$B$89</f>
        <v>0</v>
      </c>
      <c r="AZ445" s="25">
        <f>Inventory[[#This Row],[Fixtures]]*Lookups!$B$90</f>
        <v>26544.1547364</v>
      </c>
      <c r="BA445" s="25">
        <f>Inventory[[#This Row],[WdDeck]]*Lookups!$B$91</f>
        <v>6226.2613566120008</v>
      </c>
      <c r="BB445" s="25">
        <f>ROUND(Inventory[[#This Row],[25Det]],-2)</f>
        <v>0</v>
      </c>
      <c r="BC445" s="25">
        <f>ROUND(SUM(Inventory[[#This Row],[Mdl Qlty]:[Mdl WdDeck]])+Inventory[[#This Row],[Mdl Res Intercept]],-2)</f>
        <v>298700</v>
      </c>
      <c r="BD445" s="25">
        <f>ROUND(Inventory[[#This Row],[Mdl Land Intercept]]+Inventory[[#This Row],[Mdl LnAcres]],-2)</f>
        <v>41900</v>
      </c>
      <c r="BE445" s="25">
        <f>Inventory[[#This Row],[Unadj Res Value]]+Inventory[[#This Row],[Unadj Det Value]]+Inventory[[#This Row],[Unadj Land Value]]</f>
        <v>340600</v>
      </c>
      <c r="BF445" s="36">
        <f>(Inventory[[#This Row],[Unadj Total Value]]-Inventory[[#This Row],[24Final]])/Inventory[[#This Row],[24Final]]</f>
        <v>5.9409020217729397E-2</v>
      </c>
      <c r="BG445" s="25">
        <f>VLOOKUP(Inventory[[#This Row],[Nbhd]],Lookups!$Q$2:$T$4,4,FALSE)</f>
        <v>0.99970000000000003</v>
      </c>
      <c r="BH445" s="25">
        <f>VLOOKUP(Inventory[[#This Row],[Qlty]],Lookups!$O$7:$R$21,4,FALSE)</f>
        <v>0.98050000000000004</v>
      </c>
      <c r="BI445" s="25">
        <f>VLOOKUP(Inventory[[#This Row],[Cnd]],Lookups!$T$7:$W$16,4,FALSE)</f>
        <v>0.99729999999999996</v>
      </c>
      <c r="BJ445" s="25">
        <f>VLOOKUP(Inventory[[#This Row],[LivArea Range]],Lookups!$T$25:$W$37,4,FALSE)</f>
        <v>1.0157</v>
      </c>
      <c r="BK445" s="25">
        <f>VLOOKUP(Inventory[[#This Row],[Decade]],Lookups!$O$25:$R$42,4,FALSE)</f>
        <v>1.0199</v>
      </c>
      <c r="BL445" s="25">
        <f>Inventory[[#This Row],[Nbhd Adj]]*0.95</f>
        <v>0.94971499999999998</v>
      </c>
      <c r="BM445" s="25">
        <f>Inventory[[#This Row],[Nbhd Adj]]*Inventory[[#This Row],[Quality Adj]]*Inventory[[#This Row],[Condition Adj]]*Inventory[[#This Row],[Living Area Adj]]*Inventory[[#This Row],[Decade Adj]]*0.95</f>
        <v>0.96203253273253719</v>
      </c>
      <c r="BN445" s="25">
        <f>ROUND(SUM(Inventory[[#This Row],[Mdl Qlty]:[Mdl WdDeck]])+Inventory[[#This Row],[Mdl Res Intercept]]*Inventory[[#This Row],[Res Adj ]],-2)</f>
        <v>298700</v>
      </c>
      <c r="BO445" s="25">
        <f>ROUND(Inventory[[#This Row],[25Det]]*Inventory[[#This Row],[Det/Nbhd Adj]],-2)</f>
        <v>0</v>
      </c>
      <c r="BP445" s="25">
        <f>Inventory[[#This Row],[Adjusted Res]]+Inventory[[#This Row],[Adj Det ]]</f>
        <v>298700</v>
      </c>
      <c r="BQ445" s="25">
        <f>ROUND((Inventory[[#This Row],[Mdl Land Intercept]]+Inventory[[#This Row],[Mdl LnAcres]])*Inventory[[#This Row],[Det/Nbhd Adj]],-2)</f>
        <v>39800</v>
      </c>
      <c r="BR445" s="25">
        <f>Inventory[[#This Row],[Adjusted Impr Total]]+Inventory[[#This Row],[Adjusted Land Total]]</f>
        <v>338500</v>
      </c>
      <c r="BS445" s="36">
        <f>IFERROR((Inventory[[#This Row],[Adjusted Impr Total]]-Inventory[[#This Row],[24Bldg]])/Inventory[[#This Row],[24Bldg]],0)</f>
        <v>0.14973056197074672</v>
      </c>
      <c r="BT445" s="36">
        <f>(Inventory[[#This Row],[Adjusted Land Total]]-Inventory[[#This Row],[24Lnd]])/Inventory[[#This Row],[24Lnd]]</f>
        <v>-0.35494327390599678</v>
      </c>
      <c r="BU445" s="36">
        <f>(Inventory[[#This Row],[Adjusted Total]]-Inventory[[#This Row],[24Final]])/Inventory[[#This Row],[24Final]]</f>
        <v>5.2877138413685847E-2</v>
      </c>
    </row>
    <row r="446" spans="1:73" x14ac:dyDescent="0.3">
      <c r="A446" s="25">
        <v>2025</v>
      </c>
      <c r="B446" s="26" t="s">
        <v>859</v>
      </c>
      <c r="C446" s="26">
        <f>LN(Inventory[[#This Row],[Acres]])</f>
        <v>-1.8971199848858813</v>
      </c>
      <c r="D446" s="25">
        <v>0.15</v>
      </c>
      <c r="E446" s="32">
        <v>6728</v>
      </c>
      <c r="F446" s="26" t="s">
        <v>537</v>
      </c>
      <c r="G446" s="26" t="s">
        <v>126</v>
      </c>
      <c r="H446" s="26" t="s">
        <v>349</v>
      </c>
      <c r="I446" s="26" t="s">
        <v>538</v>
      </c>
      <c r="J446" s="26" t="s">
        <v>539</v>
      </c>
      <c r="K446" s="26" t="s">
        <v>241</v>
      </c>
      <c r="L446" s="26" t="s">
        <v>148</v>
      </c>
      <c r="M446" s="26" t="s">
        <v>323</v>
      </c>
      <c r="N446" s="26">
        <v>70</v>
      </c>
      <c r="O446" s="26">
        <f>2024-Inventory[[#This Row],[YrBlt]]</f>
        <v>64</v>
      </c>
      <c r="P446" s="26">
        <f>2024-Inventory[[#This Row],[EffYr]]</f>
        <v>49</v>
      </c>
      <c r="Q446" s="25">
        <v>1960</v>
      </c>
      <c r="R446" s="25">
        <v>1975</v>
      </c>
      <c r="S446" s="25">
        <v>1387</v>
      </c>
      <c r="T446" s="27"/>
      <c r="U446" s="31"/>
      <c r="V446" s="31">
        <f>Inventory[[#This Row],[Bsmt]]-Inventory[[#This Row],[FnBsmt]]</f>
        <v>0</v>
      </c>
      <c r="W446" s="31"/>
      <c r="X446" s="27"/>
      <c r="Y446" s="27">
        <f>Inventory[[#This Row],[MainFn]]+Inventory[[#This Row],[UpprFn]]+Inventory[[#This Row],[FnBsmt]]+Inventory[[#This Row],[AddFn]]</f>
        <v>1387</v>
      </c>
      <c r="Z446" s="27">
        <v>1500</v>
      </c>
      <c r="AA446" s="25">
        <v>8</v>
      </c>
      <c r="AB446" s="32">
        <v>308</v>
      </c>
      <c r="AC446" s="27"/>
      <c r="AD446" s="27"/>
      <c r="AE446" s="27"/>
      <c r="AF446" s="27"/>
      <c r="AG446" s="27"/>
      <c r="AH446" s="27"/>
      <c r="AI446" s="25">
        <v>358161</v>
      </c>
      <c r="AJ446" s="25">
        <v>254294</v>
      </c>
      <c r="AK446" s="25">
        <v>0</v>
      </c>
      <c r="AL446" s="25">
        <v>304900</v>
      </c>
      <c r="AM446" s="25">
        <v>48400</v>
      </c>
      <c r="AN446" s="25">
        <v>256500</v>
      </c>
      <c r="AO446" s="25">
        <v>0</v>
      </c>
      <c r="AP446" s="25">
        <f>Lookups!$B$56*0</f>
        <v>0</v>
      </c>
      <c r="AQ446" s="25">
        <f>Lookups!$B$56*1</f>
        <v>89850.625589999996</v>
      </c>
      <c r="AR446" s="25">
        <f>Lookups!$B$57*Inventory[[#This Row],[LnAcres]]</f>
        <v>-60052.604136134301</v>
      </c>
      <c r="AS446" s="25">
        <f>VLOOKUP(Inventory[[#This Row],[Qlty]],Lookups!$A$62:$E$75,2,FALSE)</f>
        <v>44121.038090000002</v>
      </c>
      <c r="AT446" s="25">
        <f>VLOOKUP(Inventory[[#This Row],[Cnd]],Lookups!$A$76:$E$84,2,FALSE)</f>
        <v>160472.20319</v>
      </c>
      <c r="AU446" s="25">
        <f>Inventory[[#This Row],[EffAge]]*Lookups!$B$85</f>
        <v>-10929.2344245</v>
      </c>
      <c r="AV446" s="25">
        <f>Inventory[[#This Row],[MainFn]]*Lookups!$B$86</f>
        <v>68529.825119399</v>
      </c>
      <c r="AW446" s="25">
        <f>Inventory[[#This Row],[UpprFn]]*Lookups!$B$87</f>
        <v>0</v>
      </c>
      <c r="AX446" s="25">
        <f>Inventory[[#This Row],[AddFn]]*Lookups!$B$88</f>
        <v>0</v>
      </c>
      <c r="AY446" s="25">
        <f>Inventory[[#This Row],[Bsmt]]*Lookups!$B$89</f>
        <v>0</v>
      </c>
      <c r="AZ446" s="25">
        <f>Inventory[[#This Row],[Fixtures]]*Lookups!$B$90</f>
        <v>30336.176841600001</v>
      </c>
      <c r="BA446" s="25">
        <f>Inventory[[#This Row],[WdDeck]]*Lookups!$B$91</f>
        <v>0</v>
      </c>
      <c r="BB446" s="25">
        <f>ROUND(Inventory[[#This Row],[25Det]],-2)</f>
        <v>0</v>
      </c>
      <c r="BC446" s="25">
        <f>ROUND(SUM(Inventory[[#This Row],[Mdl Qlty]:[Mdl WdDeck]])+Inventory[[#This Row],[Mdl Res Intercept]],-2)</f>
        <v>292500</v>
      </c>
      <c r="BD446" s="25">
        <f>ROUND(Inventory[[#This Row],[Mdl Land Intercept]]+Inventory[[#This Row],[Mdl LnAcres]],-2)</f>
        <v>29800</v>
      </c>
      <c r="BE446" s="25">
        <f>Inventory[[#This Row],[Unadj Res Value]]+Inventory[[#This Row],[Unadj Det Value]]+Inventory[[#This Row],[Unadj Land Value]]</f>
        <v>322300</v>
      </c>
      <c r="BF446" s="36">
        <f>(Inventory[[#This Row],[Unadj Total Value]]-Inventory[[#This Row],[24Final]])/Inventory[[#This Row],[24Final]]</f>
        <v>5.706789111183995E-2</v>
      </c>
      <c r="BG446" s="25">
        <f>VLOOKUP(Inventory[[#This Row],[Nbhd]],Lookups!$Q$2:$T$4,4,FALSE)</f>
        <v>0.99970000000000003</v>
      </c>
      <c r="BH446" s="25">
        <f>VLOOKUP(Inventory[[#This Row],[Qlty]],Lookups!$O$7:$R$21,4,FALSE)</f>
        <v>0.98050000000000004</v>
      </c>
      <c r="BI446" s="25">
        <f>VLOOKUP(Inventory[[#This Row],[Cnd]],Lookups!$T$7:$W$16,4,FALSE)</f>
        <v>0.99729999999999996</v>
      </c>
      <c r="BJ446" s="25">
        <f>VLOOKUP(Inventory[[#This Row],[LivArea Range]],Lookups!$T$25:$W$37,4,FALSE)</f>
        <v>1.0157</v>
      </c>
      <c r="BK446" s="25">
        <f>VLOOKUP(Inventory[[#This Row],[Decade]],Lookups!$O$25:$R$42,4,FALSE)</f>
        <v>1.0199</v>
      </c>
      <c r="BL446" s="25">
        <f>Inventory[[#This Row],[Nbhd Adj]]*0.95</f>
        <v>0.94971499999999998</v>
      </c>
      <c r="BM446" s="25">
        <f>Inventory[[#This Row],[Nbhd Adj]]*Inventory[[#This Row],[Quality Adj]]*Inventory[[#This Row],[Condition Adj]]*Inventory[[#This Row],[Living Area Adj]]*Inventory[[#This Row],[Decade Adj]]*0.95</f>
        <v>0.96203253273253719</v>
      </c>
      <c r="BN446" s="25">
        <f>ROUND(SUM(Inventory[[#This Row],[Mdl Qlty]:[Mdl WdDeck]])+Inventory[[#This Row],[Mdl Res Intercept]]*Inventory[[#This Row],[Res Adj ]],-2)</f>
        <v>292500</v>
      </c>
      <c r="BO446" s="25">
        <f>ROUND(Inventory[[#This Row],[25Det]]*Inventory[[#This Row],[Det/Nbhd Adj]],-2)</f>
        <v>0</v>
      </c>
      <c r="BP446" s="25">
        <f>Inventory[[#This Row],[Adjusted Res]]+Inventory[[#This Row],[Adj Det ]]</f>
        <v>292500</v>
      </c>
      <c r="BQ446" s="25">
        <f>ROUND((Inventory[[#This Row],[Mdl Land Intercept]]+Inventory[[#This Row],[Mdl LnAcres]])*Inventory[[#This Row],[Det/Nbhd Adj]],-2)</f>
        <v>28300</v>
      </c>
      <c r="BR446" s="25">
        <f>Inventory[[#This Row],[Adjusted Impr Total]]+Inventory[[#This Row],[Adjusted Land Total]]</f>
        <v>320800</v>
      </c>
      <c r="BS446" s="36">
        <f>IFERROR((Inventory[[#This Row],[Adjusted Impr Total]]-Inventory[[#This Row],[24Bldg]])/Inventory[[#This Row],[24Bldg]],0)</f>
        <v>0.14035087719298245</v>
      </c>
      <c r="BT446" s="36">
        <f>(Inventory[[#This Row],[Adjusted Land Total]]-Inventory[[#This Row],[24Lnd]])/Inventory[[#This Row],[24Lnd]]</f>
        <v>-0.41528925619834711</v>
      </c>
      <c r="BU446" s="36">
        <f>(Inventory[[#This Row],[Adjusted Total]]-Inventory[[#This Row],[24Final]])/Inventory[[#This Row],[24Final]]</f>
        <v>5.2148245326336502E-2</v>
      </c>
    </row>
    <row r="447" spans="1:73" x14ac:dyDescent="0.3">
      <c r="A447" s="25">
        <v>2025</v>
      </c>
      <c r="B447" s="26" t="s">
        <v>822</v>
      </c>
      <c r="C447" s="26">
        <f>LN(Inventory[[#This Row],[Acres]])</f>
        <v>-2.120263536200091</v>
      </c>
      <c r="D447" s="25">
        <v>0.12</v>
      </c>
      <c r="E447" s="32">
        <v>5134</v>
      </c>
      <c r="F447" s="26" t="s">
        <v>537</v>
      </c>
      <c r="G447" s="26" t="s">
        <v>126</v>
      </c>
      <c r="H447" s="26" t="s">
        <v>349</v>
      </c>
      <c r="I447" s="26" t="s">
        <v>538</v>
      </c>
      <c r="J447" s="26" t="s">
        <v>539</v>
      </c>
      <c r="K447" s="26" t="s">
        <v>241</v>
      </c>
      <c r="L447" s="26" t="s">
        <v>351</v>
      </c>
      <c r="M447" s="26" t="s">
        <v>323</v>
      </c>
      <c r="N447" s="26">
        <v>70</v>
      </c>
      <c r="O447" s="26">
        <f>2024-Inventory[[#This Row],[YrBlt]]</f>
        <v>64</v>
      </c>
      <c r="P447" s="26">
        <f>2024-Inventory[[#This Row],[EffYr]]</f>
        <v>49</v>
      </c>
      <c r="Q447" s="25">
        <v>1960</v>
      </c>
      <c r="R447" s="25">
        <v>1975</v>
      </c>
      <c r="S447" s="25">
        <v>864</v>
      </c>
      <c r="T447" s="31"/>
      <c r="U447" s="25">
        <v>864</v>
      </c>
      <c r="V447" s="25">
        <f>Inventory[[#This Row],[Bsmt]]-Inventory[[#This Row],[FnBsmt]]</f>
        <v>264</v>
      </c>
      <c r="W447" s="25">
        <v>600</v>
      </c>
      <c r="X447" s="27"/>
      <c r="Y447" s="27">
        <f>Inventory[[#This Row],[MainFn]]+Inventory[[#This Row],[UpprFn]]+Inventory[[#This Row],[FnBsmt]]+Inventory[[#This Row],[AddFn]]</f>
        <v>1464</v>
      </c>
      <c r="Z447" s="27">
        <v>1500</v>
      </c>
      <c r="AA447" s="25">
        <v>8</v>
      </c>
      <c r="AB447" s="32">
        <v>264</v>
      </c>
      <c r="AC447" s="27"/>
      <c r="AD447" s="32">
        <v>60</v>
      </c>
      <c r="AE447" s="27"/>
      <c r="AF447" s="27"/>
      <c r="AG447" s="27"/>
      <c r="AH447" s="27"/>
      <c r="AI447" s="25">
        <v>232149</v>
      </c>
      <c r="AJ447" s="25">
        <v>164826</v>
      </c>
      <c r="AK447" s="25">
        <v>0</v>
      </c>
      <c r="AL447" s="25">
        <v>278600</v>
      </c>
      <c r="AM447" s="25">
        <v>40600</v>
      </c>
      <c r="AN447" s="25">
        <v>238000</v>
      </c>
      <c r="AO447" s="25">
        <v>0</v>
      </c>
      <c r="AP447" s="25">
        <f>Lookups!$B$56*0</f>
        <v>0</v>
      </c>
      <c r="AQ447" s="25">
        <f>Lookups!$B$56*1</f>
        <v>89850.625589999996</v>
      </c>
      <c r="AR447" s="25">
        <f>Lookups!$B$57*Inventory[[#This Row],[LnAcres]]</f>
        <v>-67116.12750806773</v>
      </c>
      <c r="AS447" s="25">
        <f>VLOOKUP(Inventory[[#This Row],[Qlty]],Lookups!$A$62:$E$75,2,FALSE)</f>
        <v>21557.329055999999</v>
      </c>
      <c r="AT447" s="25">
        <f>VLOOKUP(Inventory[[#This Row],[Cnd]],Lookups!$A$76:$E$84,2,FALSE)</f>
        <v>160472.20319</v>
      </c>
      <c r="AU447" s="25">
        <f>Inventory[[#This Row],[EffAge]]*Lookups!$B$85</f>
        <v>-10929.2344245</v>
      </c>
      <c r="AV447" s="25">
        <f>Inventory[[#This Row],[MainFn]]*Lookups!$B$86</f>
        <v>42689.090773727999</v>
      </c>
      <c r="AW447" s="25">
        <f>Inventory[[#This Row],[UpprFn]]*Lookups!$B$87</f>
        <v>0</v>
      </c>
      <c r="AX447" s="25">
        <f>Inventory[[#This Row],[AddFn]]*Lookups!$B$88</f>
        <v>0</v>
      </c>
      <c r="AY447" s="25">
        <f>Inventory[[#This Row],[Bsmt]]*Lookups!$B$89</f>
        <v>25126.757493408</v>
      </c>
      <c r="AZ447" s="25">
        <f>Inventory[[#This Row],[Fixtures]]*Lookups!$B$90</f>
        <v>30336.176841600001</v>
      </c>
      <c r="BA447" s="25">
        <f>Inventory[[#This Row],[WdDeck]]*Lookups!$B$91</f>
        <v>1997.7309165600002</v>
      </c>
      <c r="BB447" s="25">
        <f>ROUND(Inventory[[#This Row],[25Det]],-2)</f>
        <v>0</v>
      </c>
      <c r="BC447" s="25">
        <f>ROUND(SUM(Inventory[[#This Row],[Mdl Qlty]:[Mdl WdDeck]])+Inventory[[#This Row],[Mdl Res Intercept]],-2)</f>
        <v>271300</v>
      </c>
      <c r="BD447" s="25">
        <f>ROUND(Inventory[[#This Row],[Mdl Land Intercept]]+Inventory[[#This Row],[Mdl LnAcres]],-2)</f>
        <v>22700</v>
      </c>
      <c r="BE447" s="25">
        <f>Inventory[[#This Row],[Unadj Res Value]]+Inventory[[#This Row],[Unadj Det Value]]+Inventory[[#This Row],[Unadj Land Value]]</f>
        <v>294000</v>
      </c>
      <c r="BF447" s="36">
        <f>(Inventory[[#This Row],[Unadj Total Value]]-Inventory[[#This Row],[24Final]])/Inventory[[#This Row],[24Final]]</f>
        <v>5.5276381909547742E-2</v>
      </c>
      <c r="BG447" s="25">
        <f>VLOOKUP(Inventory[[#This Row],[Nbhd]],Lookups!$Q$2:$T$4,4,FALSE)</f>
        <v>0.99970000000000003</v>
      </c>
      <c r="BH447" s="25">
        <f>VLOOKUP(Inventory[[#This Row],[Qlty]],Lookups!$O$7:$R$21,4,FALSE)</f>
        <v>1.0067999999999999</v>
      </c>
      <c r="BI447" s="25">
        <f>VLOOKUP(Inventory[[#This Row],[Cnd]],Lookups!$T$7:$W$16,4,FALSE)</f>
        <v>0.99729999999999996</v>
      </c>
      <c r="BJ447" s="25">
        <f>VLOOKUP(Inventory[[#This Row],[LivArea Range]],Lookups!$T$25:$W$37,4,FALSE)</f>
        <v>1.0157</v>
      </c>
      <c r="BK447" s="25">
        <f>VLOOKUP(Inventory[[#This Row],[Decade]],Lookups!$O$25:$R$42,4,FALSE)</f>
        <v>1.0199</v>
      </c>
      <c r="BL447" s="25">
        <f>Inventory[[#This Row],[Nbhd Adj]]*0.95</f>
        <v>0.94971499999999998</v>
      </c>
      <c r="BM447" s="25">
        <f>Inventory[[#This Row],[Nbhd Adj]]*Inventory[[#This Row],[Quality Adj]]*Inventory[[#This Row],[Condition Adj]]*Inventory[[#This Row],[Living Area Adj]]*Inventory[[#This Row],[Decade Adj]]*0.95</f>
        <v>0.98783717894453682</v>
      </c>
      <c r="BN447" s="25">
        <f>ROUND(SUM(Inventory[[#This Row],[Mdl Qlty]:[Mdl WdDeck]])+Inventory[[#This Row],[Mdl Res Intercept]]*Inventory[[#This Row],[Res Adj ]],-2)</f>
        <v>271300</v>
      </c>
      <c r="BO447" s="25">
        <f>ROUND(Inventory[[#This Row],[25Det]]*Inventory[[#This Row],[Det/Nbhd Adj]],-2)</f>
        <v>0</v>
      </c>
      <c r="BP447" s="25">
        <f>Inventory[[#This Row],[Adjusted Res]]+Inventory[[#This Row],[Adj Det ]]</f>
        <v>271300</v>
      </c>
      <c r="BQ447" s="25">
        <f>ROUND((Inventory[[#This Row],[Mdl Land Intercept]]+Inventory[[#This Row],[Mdl LnAcres]])*Inventory[[#This Row],[Det/Nbhd Adj]],-2)</f>
        <v>21600</v>
      </c>
      <c r="BR447" s="25">
        <f>Inventory[[#This Row],[Adjusted Impr Total]]+Inventory[[#This Row],[Adjusted Land Total]]</f>
        <v>292900</v>
      </c>
      <c r="BS447" s="36">
        <f>IFERROR((Inventory[[#This Row],[Adjusted Impr Total]]-Inventory[[#This Row],[24Bldg]])/Inventory[[#This Row],[24Bldg]],0)</f>
        <v>0.13991596638655462</v>
      </c>
      <c r="BT447" s="36">
        <f>(Inventory[[#This Row],[Adjusted Land Total]]-Inventory[[#This Row],[24Lnd]])/Inventory[[#This Row],[24Lnd]]</f>
        <v>-0.46798029556650245</v>
      </c>
      <c r="BU447" s="36">
        <f>(Inventory[[#This Row],[Adjusted Total]]-Inventory[[#This Row],[24Final]])/Inventory[[#This Row],[24Final]]</f>
        <v>5.1328068916008614E-2</v>
      </c>
    </row>
    <row r="448" spans="1:73" x14ac:dyDescent="0.3">
      <c r="A448" s="25">
        <v>2025</v>
      </c>
      <c r="B448" s="26" t="s">
        <v>2315</v>
      </c>
      <c r="C448" s="26">
        <f>LN(Inventory[[#This Row],[Acres]])</f>
        <v>-1.6607312068216509</v>
      </c>
      <c r="D448" s="25">
        <v>0.19</v>
      </c>
      <c r="E448" s="32">
        <v>8266</v>
      </c>
      <c r="F448" s="26" t="s">
        <v>537</v>
      </c>
      <c r="G448" s="26" t="s">
        <v>126</v>
      </c>
      <c r="H448" s="26" t="s">
        <v>349</v>
      </c>
      <c r="I448" s="26" t="s">
        <v>538</v>
      </c>
      <c r="J448" s="26" t="s">
        <v>539</v>
      </c>
      <c r="K448" s="26" t="s">
        <v>241</v>
      </c>
      <c r="L448" s="26" t="s">
        <v>351</v>
      </c>
      <c r="M448" s="26" t="s">
        <v>323</v>
      </c>
      <c r="N448" s="26">
        <v>70</v>
      </c>
      <c r="O448" s="26">
        <f>2024-Inventory[[#This Row],[YrBlt]]</f>
        <v>64</v>
      </c>
      <c r="P448" s="26">
        <f>2024-Inventory[[#This Row],[EffYr]]</f>
        <v>49</v>
      </c>
      <c r="Q448" s="25">
        <v>1960</v>
      </c>
      <c r="R448" s="25">
        <v>1975</v>
      </c>
      <c r="S448" s="25">
        <v>1205</v>
      </c>
      <c r="T448" s="27"/>
      <c r="U448" s="31"/>
      <c r="V448" s="27">
        <f>Inventory[[#This Row],[Bsmt]]-Inventory[[#This Row],[FnBsmt]]</f>
        <v>0</v>
      </c>
      <c r="W448" s="27"/>
      <c r="X448" s="32">
        <v>120</v>
      </c>
      <c r="Y448" s="32">
        <f>Inventory[[#This Row],[MainFn]]+Inventory[[#This Row],[UpprFn]]+Inventory[[#This Row],[FnBsmt]]+Inventory[[#This Row],[AddFn]]</f>
        <v>1325</v>
      </c>
      <c r="Z448" s="27">
        <v>1500</v>
      </c>
      <c r="AA448" s="25">
        <v>8</v>
      </c>
      <c r="AB448" s="32">
        <v>264</v>
      </c>
      <c r="AC448" s="27"/>
      <c r="AD448" s="27"/>
      <c r="AE448" s="27"/>
      <c r="AF448" s="27"/>
      <c r="AG448" s="27"/>
      <c r="AH448" s="27"/>
      <c r="AI448" s="25">
        <v>226605</v>
      </c>
      <c r="AJ448" s="25">
        <v>160890</v>
      </c>
      <c r="AK448" s="25">
        <v>0</v>
      </c>
      <c r="AL448" s="25">
        <v>290900</v>
      </c>
      <c r="AM448" s="25">
        <v>56600</v>
      </c>
      <c r="AN448" s="25">
        <v>234300</v>
      </c>
      <c r="AO448" s="25">
        <v>0</v>
      </c>
      <c r="AP448" s="25">
        <f>Lookups!$B$56*0</f>
        <v>0</v>
      </c>
      <c r="AQ448" s="25">
        <f>Lookups!$B$56*1</f>
        <v>89850.625589999996</v>
      </c>
      <c r="AR448" s="25">
        <f>Lookups!$B$57*Inventory[[#This Row],[LnAcres]]</f>
        <v>-52569.808201026557</v>
      </c>
      <c r="AS448" s="25">
        <f>VLOOKUP(Inventory[[#This Row],[Qlty]],Lookups!$A$62:$E$75,2,FALSE)</f>
        <v>21557.329055999999</v>
      </c>
      <c r="AT448" s="25">
        <f>VLOOKUP(Inventory[[#This Row],[Cnd]],Lookups!$A$76:$E$84,2,FALSE)</f>
        <v>160472.20319</v>
      </c>
      <c r="AU448" s="25">
        <f>Inventory[[#This Row],[EffAge]]*Lookups!$B$85</f>
        <v>-10929.2344245</v>
      </c>
      <c r="AV448" s="25">
        <f>Inventory[[#This Row],[MainFn]]*Lookups!$B$86</f>
        <v>59537.447201784998</v>
      </c>
      <c r="AW448" s="25">
        <f>Inventory[[#This Row],[UpprFn]]*Lookups!$B$87</f>
        <v>0</v>
      </c>
      <c r="AX448" s="25">
        <f>Inventory[[#This Row],[AddFn]]*Lookups!$B$88</f>
        <v>7811.3605261200009</v>
      </c>
      <c r="AY448" s="25">
        <f>Inventory[[#This Row],[Bsmt]]*Lookups!$B$89</f>
        <v>0</v>
      </c>
      <c r="AZ448" s="25">
        <f>Inventory[[#This Row],[Fixtures]]*Lookups!$B$90</f>
        <v>30336.176841600001</v>
      </c>
      <c r="BA448" s="25">
        <f>Inventory[[#This Row],[WdDeck]]*Lookups!$B$91</f>
        <v>0</v>
      </c>
      <c r="BB448" s="25">
        <f>ROUND(Inventory[[#This Row],[25Det]],-2)</f>
        <v>0</v>
      </c>
      <c r="BC448" s="25">
        <f>ROUND(SUM(Inventory[[#This Row],[Mdl Qlty]:[Mdl WdDeck]])+Inventory[[#This Row],[Mdl Res Intercept]],-2)</f>
        <v>268800</v>
      </c>
      <c r="BD448" s="25">
        <f>ROUND(Inventory[[#This Row],[Mdl Land Intercept]]+Inventory[[#This Row],[Mdl LnAcres]],-2)</f>
        <v>37300</v>
      </c>
      <c r="BE448" s="25">
        <f>Inventory[[#This Row],[Unadj Res Value]]+Inventory[[#This Row],[Unadj Det Value]]+Inventory[[#This Row],[Unadj Land Value]]</f>
        <v>306100</v>
      </c>
      <c r="BF448" s="36">
        <f>(Inventory[[#This Row],[Unadj Total Value]]-Inventory[[#This Row],[24Final]])/Inventory[[#This Row],[24Final]]</f>
        <v>5.2251632863526985E-2</v>
      </c>
      <c r="BG448" s="25">
        <f>VLOOKUP(Inventory[[#This Row],[Nbhd]],Lookups!$Q$2:$T$4,4,FALSE)</f>
        <v>0.99970000000000003</v>
      </c>
      <c r="BH448" s="25">
        <f>VLOOKUP(Inventory[[#This Row],[Qlty]],Lookups!$O$7:$R$21,4,FALSE)</f>
        <v>1.0067999999999999</v>
      </c>
      <c r="BI448" s="25">
        <f>VLOOKUP(Inventory[[#This Row],[Cnd]],Lookups!$T$7:$W$16,4,FALSE)</f>
        <v>0.99729999999999996</v>
      </c>
      <c r="BJ448" s="25">
        <f>VLOOKUP(Inventory[[#This Row],[LivArea Range]],Lookups!$T$25:$W$37,4,FALSE)</f>
        <v>1.0157</v>
      </c>
      <c r="BK448" s="25">
        <f>VLOOKUP(Inventory[[#This Row],[Decade]],Lookups!$O$25:$R$42,4,FALSE)</f>
        <v>1.0199</v>
      </c>
      <c r="BL448" s="25">
        <f>Inventory[[#This Row],[Nbhd Adj]]*0.95</f>
        <v>0.94971499999999998</v>
      </c>
      <c r="BM448" s="25">
        <f>Inventory[[#This Row],[Nbhd Adj]]*Inventory[[#This Row],[Quality Adj]]*Inventory[[#This Row],[Condition Adj]]*Inventory[[#This Row],[Living Area Adj]]*Inventory[[#This Row],[Decade Adj]]*0.95</f>
        <v>0.98783717894453682</v>
      </c>
      <c r="BN448" s="25">
        <f>ROUND(SUM(Inventory[[#This Row],[Mdl Qlty]:[Mdl WdDeck]])+Inventory[[#This Row],[Mdl Res Intercept]]*Inventory[[#This Row],[Res Adj ]],-2)</f>
        <v>268800</v>
      </c>
      <c r="BO448" s="25">
        <f>ROUND(Inventory[[#This Row],[25Det]]*Inventory[[#This Row],[Det/Nbhd Adj]],-2)</f>
        <v>0</v>
      </c>
      <c r="BP448" s="25">
        <f>Inventory[[#This Row],[Adjusted Res]]+Inventory[[#This Row],[Adj Det ]]</f>
        <v>268800</v>
      </c>
      <c r="BQ448" s="25">
        <f>ROUND((Inventory[[#This Row],[Mdl Land Intercept]]+Inventory[[#This Row],[Mdl LnAcres]])*Inventory[[#This Row],[Det/Nbhd Adj]],-2)</f>
        <v>35400</v>
      </c>
      <c r="BR448" s="25">
        <f>Inventory[[#This Row],[Adjusted Impr Total]]+Inventory[[#This Row],[Adjusted Land Total]]</f>
        <v>304200</v>
      </c>
      <c r="BS448" s="36">
        <f>IFERROR((Inventory[[#This Row],[Adjusted Impr Total]]-Inventory[[#This Row],[24Bldg]])/Inventory[[#This Row],[24Bldg]],0)</f>
        <v>0.147247119078105</v>
      </c>
      <c r="BT448" s="36">
        <f>(Inventory[[#This Row],[Adjusted Land Total]]-Inventory[[#This Row],[24Lnd]])/Inventory[[#This Row],[24Lnd]]</f>
        <v>-0.37455830388692579</v>
      </c>
      <c r="BU448" s="36">
        <f>(Inventory[[#This Row],[Adjusted Total]]-Inventory[[#This Row],[24Final]])/Inventory[[#This Row],[24Final]]</f>
        <v>4.5720178755586115E-2</v>
      </c>
    </row>
    <row r="449" spans="1:73" x14ac:dyDescent="0.3">
      <c r="A449" s="25">
        <v>2025</v>
      </c>
      <c r="B449" s="26" t="s">
        <v>821</v>
      </c>
      <c r="C449" s="26">
        <f>LN(Inventory[[#This Row],[Acres]])</f>
        <v>-1.7147984280919266</v>
      </c>
      <c r="D449" s="25">
        <v>0.18</v>
      </c>
      <c r="E449" s="32">
        <v>7634</v>
      </c>
      <c r="F449" s="26" t="s">
        <v>537</v>
      </c>
      <c r="G449" s="26" t="s">
        <v>126</v>
      </c>
      <c r="H449" s="26" t="s">
        <v>349</v>
      </c>
      <c r="I449" s="26" t="s">
        <v>538</v>
      </c>
      <c r="J449" s="26" t="s">
        <v>539</v>
      </c>
      <c r="K449" s="26" t="s">
        <v>241</v>
      </c>
      <c r="L449" s="26" t="s">
        <v>351</v>
      </c>
      <c r="M449" s="26" t="s">
        <v>323</v>
      </c>
      <c r="N449" s="26">
        <v>70</v>
      </c>
      <c r="O449" s="26">
        <f>2024-Inventory[[#This Row],[YrBlt]]</f>
        <v>64</v>
      </c>
      <c r="P449" s="26">
        <f>2024-Inventory[[#This Row],[EffYr]]</f>
        <v>49</v>
      </c>
      <c r="Q449" s="25">
        <v>1960</v>
      </c>
      <c r="R449" s="25">
        <v>1975</v>
      </c>
      <c r="S449" s="25">
        <v>1134</v>
      </c>
      <c r="T449" s="27"/>
      <c r="U449" s="31"/>
      <c r="V449" s="27">
        <f>Inventory[[#This Row],[Bsmt]]-Inventory[[#This Row],[FnBsmt]]</f>
        <v>0</v>
      </c>
      <c r="W449" s="27"/>
      <c r="X449" s="27"/>
      <c r="Y449" s="27">
        <f>Inventory[[#This Row],[MainFn]]+Inventory[[#This Row],[UpprFn]]+Inventory[[#This Row],[FnBsmt]]+Inventory[[#This Row],[AddFn]]</f>
        <v>1134</v>
      </c>
      <c r="Z449" s="27">
        <v>1500</v>
      </c>
      <c r="AA449" s="25">
        <v>5</v>
      </c>
      <c r="AB449" s="27"/>
      <c r="AC449" s="27"/>
      <c r="AD449" s="27"/>
      <c r="AE449" s="27"/>
      <c r="AF449" s="27"/>
      <c r="AG449" s="27"/>
      <c r="AH449" s="27"/>
      <c r="AI449" s="25">
        <v>189498</v>
      </c>
      <c r="AJ449" s="25">
        <v>134544</v>
      </c>
      <c r="AK449" s="25">
        <v>18539</v>
      </c>
      <c r="AL449" s="25">
        <v>284500</v>
      </c>
      <c r="AM449" s="25">
        <v>54700</v>
      </c>
      <c r="AN449" s="25">
        <v>229800</v>
      </c>
      <c r="AO449" s="25">
        <v>0</v>
      </c>
      <c r="AP449" s="25">
        <f>Lookups!$B$56*0</f>
        <v>0</v>
      </c>
      <c r="AQ449" s="25">
        <f>Lookups!$B$56*1</f>
        <v>89850.625589999996</v>
      </c>
      <c r="AR449" s="25">
        <f>Lookups!$B$57*Inventory[[#This Row],[LnAcres]]</f>
        <v>-54281.285314520763</v>
      </c>
      <c r="AS449" s="25">
        <f>VLOOKUP(Inventory[[#This Row],[Qlty]],Lookups!$A$62:$E$75,2,FALSE)</f>
        <v>21557.329055999999</v>
      </c>
      <c r="AT449" s="25">
        <f>VLOOKUP(Inventory[[#This Row],[Cnd]],Lookups!$A$76:$E$84,2,FALSE)</f>
        <v>160472.20319</v>
      </c>
      <c r="AU449" s="25">
        <f>Inventory[[#This Row],[EffAge]]*Lookups!$B$85</f>
        <v>-10929.2344245</v>
      </c>
      <c r="AV449" s="25">
        <f>Inventory[[#This Row],[MainFn]]*Lookups!$B$86</f>
        <v>56029.431640518</v>
      </c>
      <c r="AW449" s="25">
        <f>Inventory[[#This Row],[UpprFn]]*Lookups!$B$87</f>
        <v>0</v>
      </c>
      <c r="AX449" s="25">
        <f>Inventory[[#This Row],[AddFn]]*Lookups!$B$88</f>
        <v>0</v>
      </c>
      <c r="AY449" s="25">
        <f>Inventory[[#This Row],[Bsmt]]*Lookups!$B$89</f>
        <v>0</v>
      </c>
      <c r="AZ449" s="25">
        <f>Inventory[[#This Row],[Fixtures]]*Lookups!$B$90</f>
        <v>18960.110526</v>
      </c>
      <c r="BA449" s="25">
        <f>Inventory[[#This Row],[WdDeck]]*Lookups!$B$91</f>
        <v>0</v>
      </c>
      <c r="BB449" s="25">
        <f>ROUND(Inventory[[#This Row],[25Det]],-2)</f>
        <v>18500</v>
      </c>
      <c r="BC449" s="25">
        <f>ROUND(SUM(Inventory[[#This Row],[Mdl Qlty]:[Mdl WdDeck]])+Inventory[[#This Row],[Mdl Res Intercept]],-2)</f>
        <v>246100</v>
      </c>
      <c r="BD449" s="25">
        <f>ROUND(Inventory[[#This Row],[Mdl Land Intercept]]+Inventory[[#This Row],[Mdl LnAcres]],-2)</f>
        <v>35600</v>
      </c>
      <c r="BE449" s="25">
        <f>Inventory[[#This Row],[Unadj Res Value]]+Inventory[[#This Row],[Unadj Det Value]]+Inventory[[#This Row],[Unadj Land Value]]</f>
        <v>300200</v>
      </c>
      <c r="BF449" s="36">
        <f>(Inventory[[#This Row],[Unadj Total Value]]-Inventory[[#This Row],[24Final]])/Inventory[[#This Row],[24Final]]</f>
        <v>5.5184534270650266E-2</v>
      </c>
      <c r="BG449" s="25">
        <f>VLOOKUP(Inventory[[#This Row],[Nbhd]],Lookups!$Q$2:$T$4,4,FALSE)</f>
        <v>0.99970000000000003</v>
      </c>
      <c r="BH449" s="25">
        <f>VLOOKUP(Inventory[[#This Row],[Qlty]],Lookups!$O$7:$R$21,4,FALSE)</f>
        <v>1.0067999999999999</v>
      </c>
      <c r="BI449" s="25">
        <f>VLOOKUP(Inventory[[#This Row],[Cnd]],Lookups!$T$7:$W$16,4,FALSE)</f>
        <v>0.99729999999999996</v>
      </c>
      <c r="BJ449" s="25">
        <f>VLOOKUP(Inventory[[#This Row],[LivArea Range]],Lookups!$T$25:$W$37,4,FALSE)</f>
        <v>1.0157</v>
      </c>
      <c r="BK449" s="25">
        <f>VLOOKUP(Inventory[[#This Row],[Decade]],Lookups!$O$25:$R$42,4,FALSE)</f>
        <v>1.0199</v>
      </c>
      <c r="BL449" s="25">
        <f>Inventory[[#This Row],[Nbhd Adj]]*0.95</f>
        <v>0.94971499999999998</v>
      </c>
      <c r="BM449" s="25">
        <f>Inventory[[#This Row],[Nbhd Adj]]*Inventory[[#This Row],[Quality Adj]]*Inventory[[#This Row],[Condition Adj]]*Inventory[[#This Row],[Living Area Adj]]*Inventory[[#This Row],[Decade Adj]]*0.95</f>
        <v>0.98783717894453682</v>
      </c>
      <c r="BN449" s="25">
        <f>ROUND(SUM(Inventory[[#This Row],[Mdl Qlty]:[Mdl WdDeck]])+Inventory[[#This Row],[Mdl Res Intercept]]*Inventory[[#This Row],[Res Adj ]],-2)</f>
        <v>246100</v>
      </c>
      <c r="BO449" s="25">
        <f>ROUND(Inventory[[#This Row],[25Det]]*Inventory[[#This Row],[Det/Nbhd Adj]],-2)</f>
        <v>17600</v>
      </c>
      <c r="BP449" s="25">
        <f>Inventory[[#This Row],[Adjusted Res]]+Inventory[[#This Row],[Adj Det ]]</f>
        <v>263700</v>
      </c>
      <c r="BQ449" s="25">
        <f>ROUND((Inventory[[#This Row],[Mdl Land Intercept]]+Inventory[[#This Row],[Mdl LnAcres]])*Inventory[[#This Row],[Det/Nbhd Adj]],-2)</f>
        <v>33800</v>
      </c>
      <c r="BR449" s="25">
        <f>Inventory[[#This Row],[Adjusted Impr Total]]+Inventory[[#This Row],[Adjusted Land Total]]</f>
        <v>297500</v>
      </c>
      <c r="BS449" s="36">
        <f>IFERROR((Inventory[[#This Row],[Adjusted Impr Total]]-Inventory[[#This Row],[24Bldg]])/Inventory[[#This Row],[24Bldg]],0)</f>
        <v>0.1475195822454308</v>
      </c>
      <c r="BT449" s="36">
        <f>(Inventory[[#This Row],[Adjusted Land Total]]-Inventory[[#This Row],[24Lnd]])/Inventory[[#This Row],[24Lnd]]</f>
        <v>-0.38208409506398539</v>
      </c>
      <c r="BU449" s="36">
        <f>(Inventory[[#This Row],[Adjusted Total]]-Inventory[[#This Row],[24Final]])/Inventory[[#This Row],[24Final]]</f>
        <v>4.5694200351493852E-2</v>
      </c>
    </row>
    <row r="450" spans="1:73" x14ac:dyDescent="0.3">
      <c r="A450" s="25">
        <v>2025</v>
      </c>
      <c r="B450" s="26" t="s">
        <v>2534</v>
      </c>
      <c r="C450" s="26">
        <f>LN(Inventory[[#This Row],[Acres]])</f>
        <v>-1.2729656758128873</v>
      </c>
      <c r="D450" s="25">
        <v>0.28000000000000003</v>
      </c>
      <c r="E450" s="32">
        <v>12355</v>
      </c>
      <c r="F450" s="26" t="s">
        <v>537</v>
      </c>
      <c r="G450" s="26" t="s">
        <v>126</v>
      </c>
      <c r="H450" s="26" t="s">
        <v>349</v>
      </c>
      <c r="I450" s="26" t="s">
        <v>538</v>
      </c>
      <c r="J450" s="26" t="s">
        <v>539</v>
      </c>
      <c r="K450" s="26" t="s">
        <v>241</v>
      </c>
      <c r="L450" s="26" t="s">
        <v>148</v>
      </c>
      <c r="M450" s="26" t="s">
        <v>303</v>
      </c>
      <c r="N450" s="26">
        <v>70</v>
      </c>
      <c r="O450" s="26">
        <f>2024-Inventory[[#This Row],[YrBlt]]</f>
        <v>64</v>
      </c>
      <c r="P450" s="26">
        <f>2024-Inventory[[#This Row],[EffYr]]</f>
        <v>49</v>
      </c>
      <c r="Q450" s="25">
        <v>1960</v>
      </c>
      <c r="R450" s="25">
        <v>1975</v>
      </c>
      <c r="S450" s="25">
        <v>1552</v>
      </c>
      <c r="T450" s="27"/>
      <c r="U450" s="25">
        <v>696</v>
      </c>
      <c r="V450" s="25">
        <f>Inventory[[#This Row],[Bsmt]]-Inventory[[#This Row],[FnBsmt]]</f>
        <v>0</v>
      </c>
      <c r="W450" s="25">
        <v>696</v>
      </c>
      <c r="X450" s="27"/>
      <c r="Y450" s="27">
        <f>Inventory[[#This Row],[MainFn]]+Inventory[[#This Row],[UpprFn]]+Inventory[[#This Row],[FnBsmt]]+Inventory[[#This Row],[AddFn]]</f>
        <v>2248</v>
      </c>
      <c r="Z450" s="27">
        <v>2500</v>
      </c>
      <c r="AA450" s="25">
        <v>7</v>
      </c>
      <c r="AB450" s="27"/>
      <c r="AC450" s="27"/>
      <c r="AD450" s="31"/>
      <c r="AE450" s="27"/>
      <c r="AF450" s="27"/>
      <c r="AG450" s="27"/>
      <c r="AH450" s="27"/>
      <c r="AI450" s="25">
        <v>442403</v>
      </c>
      <c r="AJ450" s="25">
        <v>318530</v>
      </c>
      <c r="AK450" s="25">
        <v>14022</v>
      </c>
      <c r="AL450" s="25">
        <v>396800</v>
      </c>
      <c r="AM450" s="25">
        <v>70100</v>
      </c>
      <c r="AN450" s="25">
        <v>326700</v>
      </c>
      <c r="AO450" s="25">
        <v>0</v>
      </c>
      <c r="AP450" s="25">
        <f>Lookups!$B$56*0</f>
        <v>0</v>
      </c>
      <c r="AQ450" s="25">
        <f>Lookups!$B$56*1</f>
        <v>89850.625589999996</v>
      </c>
      <c r="AR450" s="25">
        <f>Lookups!$B$57*Inventory[[#This Row],[LnAcres]]</f>
        <v>-40295.239319339329</v>
      </c>
      <c r="AS450" s="25">
        <f>VLOOKUP(Inventory[[#This Row],[Qlty]],Lookups!$A$62:$E$75,2,FALSE)</f>
        <v>44121.038090000002</v>
      </c>
      <c r="AT450" s="25">
        <f>VLOOKUP(Inventory[[#This Row],[Cnd]],Lookups!$A$76:$E$84,2,FALSE)</f>
        <v>197752.34721000001</v>
      </c>
      <c r="AU450" s="25">
        <f>Inventory[[#This Row],[EffAge]]*Lookups!$B$85</f>
        <v>-10929.2344245</v>
      </c>
      <c r="AV450" s="25">
        <f>Inventory[[#This Row],[MainFn]]*Lookups!$B$86</f>
        <v>76682.255649104001</v>
      </c>
      <c r="AW450" s="25">
        <f>Inventory[[#This Row],[UpprFn]]*Lookups!$B$87</f>
        <v>0</v>
      </c>
      <c r="AX450" s="25">
        <f>Inventory[[#This Row],[AddFn]]*Lookups!$B$88</f>
        <v>0</v>
      </c>
      <c r="AY450" s="25">
        <f>Inventory[[#This Row],[Bsmt]]*Lookups!$B$89</f>
        <v>20240.999091911999</v>
      </c>
      <c r="AZ450" s="25">
        <f>Inventory[[#This Row],[Fixtures]]*Lookups!$B$90</f>
        <v>26544.1547364</v>
      </c>
      <c r="BA450" s="25">
        <f>Inventory[[#This Row],[WdDeck]]*Lookups!$B$91</f>
        <v>0</v>
      </c>
      <c r="BB450" s="25">
        <f>ROUND(Inventory[[#This Row],[25Det]],-2)</f>
        <v>14000</v>
      </c>
      <c r="BC450" s="25">
        <f>ROUND(SUM(Inventory[[#This Row],[Mdl Qlty]:[Mdl WdDeck]])+Inventory[[#This Row],[Mdl Res Intercept]],-2)</f>
        <v>354400</v>
      </c>
      <c r="BD450" s="25">
        <f>ROUND(Inventory[[#This Row],[Mdl Land Intercept]]+Inventory[[#This Row],[Mdl LnAcres]],-2)</f>
        <v>49600</v>
      </c>
      <c r="BE450" s="25">
        <f>Inventory[[#This Row],[Unadj Res Value]]+Inventory[[#This Row],[Unadj Det Value]]+Inventory[[#This Row],[Unadj Land Value]]</f>
        <v>418000</v>
      </c>
      <c r="BF450" s="36">
        <f>(Inventory[[#This Row],[Unadj Total Value]]-Inventory[[#This Row],[24Final]])/Inventory[[#This Row],[24Final]]</f>
        <v>5.3427419354838711E-2</v>
      </c>
      <c r="BG450" s="25">
        <f>VLOOKUP(Inventory[[#This Row],[Nbhd]],Lookups!$Q$2:$T$4,4,FALSE)</f>
        <v>0.99970000000000003</v>
      </c>
      <c r="BH450" s="25">
        <f>VLOOKUP(Inventory[[#This Row],[Qlty]],Lookups!$O$7:$R$21,4,FALSE)</f>
        <v>0.98050000000000004</v>
      </c>
      <c r="BI450" s="25">
        <f>VLOOKUP(Inventory[[#This Row],[Cnd]],Lookups!$T$7:$W$16,4,FALSE)</f>
        <v>0.99650000000000005</v>
      </c>
      <c r="BJ450" s="25">
        <f>VLOOKUP(Inventory[[#This Row],[LivArea Range]],Lookups!$T$25:$W$37,4,FALSE)</f>
        <v>0.98919999999999997</v>
      </c>
      <c r="BK450" s="25">
        <f>VLOOKUP(Inventory[[#This Row],[Decade]],Lookups!$O$25:$R$42,4,FALSE)</f>
        <v>1.0199</v>
      </c>
      <c r="BL450" s="25">
        <f>Inventory[[#This Row],[Nbhd Adj]]*0.95</f>
        <v>0.94971499999999998</v>
      </c>
      <c r="BM450" s="25">
        <f>Inventory[[#This Row],[Nbhd Adj]]*Inventory[[#This Row],[Quality Adj]]*Inventory[[#This Row],[Condition Adj]]*Inventory[[#This Row],[Living Area Adj]]*Inventory[[#This Row],[Decade Adj]]*0.95</f>
        <v>0.936181161958198</v>
      </c>
      <c r="BN450" s="25">
        <f>ROUND(SUM(Inventory[[#This Row],[Mdl Qlty]:[Mdl WdDeck]])+Inventory[[#This Row],[Mdl Res Intercept]]*Inventory[[#This Row],[Res Adj ]],-2)</f>
        <v>354400</v>
      </c>
      <c r="BO450" s="25">
        <f>ROUND(Inventory[[#This Row],[25Det]]*Inventory[[#This Row],[Det/Nbhd Adj]],-2)</f>
        <v>13300</v>
      </c>
      <c r="BP450" s="25">
        <f>Inventory[[#This Row],[Adjusted Res]]+Inventory[[#This Row],[Adj Det ]]</f>
        <v>367700</v>
      </c>
      <c r="BQ450" s="25">
        <f>ROUND((Inventory[[#This Row],[Mdl Land Intercept]]+Inventory[[#This Row],[Mdl LnAcres]])*Inventory[[#This Row],[Det/Nbhd Adj]],-2)</f>
        <v>47100</v>
      </c>
      <c r="BR450" s="25">
        <f>Inventory[[#This Row],[Adjusted Impr Total]]+Inventory[[#This Row],[Adjusted Land Total]]</f>
        <v>414800</v>
      </c>
      <c r="BS450" s="36">
        <f>IFERROR((Inventory[[#This Row],[Adjusted Impr Total]]-Inventory[[#This Row],[24Bldg]])/Inventory[[#This Row],[24Bldg]],0)</f>
        <v>0.12549739822467096</v>
      </c>
      <c r="BT450" s="36">
        <f>(Inventory[[#This Row],[Adjusted Land Total]]-Inventory[[#This Row],[24Lnd]])/Inventory[[#This Row],[24Lnd]]</f>
        <v>-0.32810271041369471</v>
      </c>
      <c r="BU450" s="36">
        <f>(Inventory[[#This Row],[Adjusted Total]]-Inventory[[#This Row],[24Final]])/Inventory[[#This Row],[24Final]]</f>
        <v>4.5362903225806453E-2</v>
      </c>
    </row>
    <row r="451" spans="1:73" x14ac:dyDescent="0.3">
      <c r="A451" s="25">
        <v>2025</v>
      </c>
      <c r="B451" s="26" t="s">
        <v>719</v>
      </c>
      <c r="C451" s="26">
        <f>LN(Inventory[[#This Row],[Acres]])</f>
        <v>-1.4271163556401458</v>
      </c>
      <c r="D451" s="25">
        <v>0.24</v>
      </c>
      <c r="E451" s="32">
        <v>10630</v>
      </c>
      <c r="F451" s="26" t="s">
        <v>537</v>
      </c>
      <c r="G451" s="26" t="s">
        <v>126</v>
      </c>
      <c r="H451" s="26" t="s">
        <v>349</v>
      </c>
      <c r="I451" s="26" t="s">
        <v>538</v>
      </c>
      <c r="J451" s="26" t="s">
        <v>539</v>
      </c>
      <c r="K451" s="26" t="s">
        <v>241</v>
      </c>
      <c r="L451" s="26" t="s">
        <v>302</v>
      </c>
      <c r="M451" s="26" t="s">
        <v>303</v>
      </c>
      <c r="N451" s="26">
        <v>70</v>
      </c>
      <c r="O451" s="26">
        <f>2024-Inventory[[#This Row],[YrBlt]]</f>
        <v>64</v>
      </c>
      <c r="P451" s="26">
        <f>2024-Inventory[[#This Row],[EffYr]]</f>
        <v>49</v>
      </c>
      <c r="Q451" s="25">
        <v>1960</v>
      </c>
      <c r="R451" s="25">
        <v>1975</v>
      </c>
      <c r="S451" s="25">
        <v>1818</v>
      </c>
      <c r="T451" s="27"/>
      <c r="U451" s="25">
        <v>700</v>
      </c>
      <c r="V451" s="25">
        <f>Inventory[[#This Row],[Bsmt]]-Inventory[[#This Row],[FnBsmt]]</f>
        <v>0</v>
      </c>
      <c r="W451" s="25">
        <v>700</v>
      </c>
      <c r="X451" s="27"/>
      <c r="Y451" s="27">
        <f>Inventory[[#This Row],[MainFn]]+Inventory[[#This Row],[UpprFn]]+Inventory[[#This Row],[FnBsmt]]+Inventory[[#This Row],[AddFn]]</f>
        <v>2518</v>
      </c>
      <c r="Z451" s="27">
        <v>3000</v>
      </c>
      <c r="AA451" s="25">
        <v>9</v>
      </c>
      <c r="AB451" s="27"/>
      <c r="AC451" s="27"/>
      <c r="AD451" s="31"/>
      <c r="AE451" s="27"/>
      <c r="AF451" s="27"/>
      <c r="AG451" s="27"/>
      <c r="AH451" s="27"/>
      <c r="AI451" s="25">
        <v>413537</v>
      </c>
      <c r="AJ451" s="25">
        <v>297747</v>
      </c>
      <c r="AK451" s="25">
        <v>0</v>
      </c>
      <c r="AL451" s="25">
        <v>386000</v>
      </c>
      <c r="AM451" s="25">
        <v>64800</v>
      </c>
      <c r="AN451" s="25">
        <v>321200</v>
      </c>
      <c r="AO451" s="25">
        <v>0</v>
      </c>
      <c r="AP451" s="25">
        <f>Lookups!$B$56*0</f>
        <v>0</v>
      </c>
      <c r="AQ451" s="25">
        <f>Lookups!$B$56*1</f>
        <v>89850.625589999996</v>
      </c>
      <c r="AR451" s="25">
        <f>Lookups!$B$57*Inventory[[#This Row],[LnAcres]]</f>
        <v>-45174.819855485119</v>
      </c>
      <c r="AS451" s="25">
        <f>VLOOKUP(Inventory[[#This Row],[Qlty]],Lookups!$A$62:$E$75,2,FALSE)</f>
        <v>29814.093161000001</v>
      </c>
      <c r="AT451" s="25">
        <f>VLOOKUP(Inventory[[#This Row],[Cnd]],Lookups!$A$76:$E$84,2,FALSE)</f>
        <v>197752.34721000001</v>
      </c>
      <c r="AU451" s="25">
        <f>Inventory[[#This Row],[EffAge]]*Lookups!$B$85</f>
        <v>-10929.2344245</v>
      </c>
      <c r="AV451" s="25">
        <f>Inventory[[#This Row],[MainFn]]*Lookups!$B$86</f>
        <v>89824.961836386006</v>
      </c>
      <c r="AW451" s="25">
        <f>Inventory[[#This Row],[UpprFn]]*Lookups!$B$87</f>
        <v>0</v>
      </c>
      <c r="AX451" s="25">
        <f>Inventory[[#This Row],[AddFn]]*Lookups!$B$88</f>
        <v>0</v>
      </c>
      <c r="AY451" s="25">
        <f>Inventory[[#This Row],[Bsmt]]*Lookups!$B$89</f>
        <v>20357.326672899999</v>
      </c>
      <c r="AZ451" s="25">
        <f>Inventory[[#This Row],[Fixtures]]*Lookups!$B$90</f>
        <v>34128.198946800003</v>
      </c>
      <c r="BA451" s="25">
        <f>Inventory[[#This Row],[WdDeck]]*Lookups!$B$91</f>
        <v>0</v>
      </c>
      <c r="BB451" s="25">
        <f>ROUND(Inventory[[#This Row],[25Det]],-2)</f>
        <v>0</v>
      </c>
      <c r="BC451" s="25">
        <f>ROUND(SUM(Inventory[[#This Row],[Mdl Qlty]:[Mdl WdDeck]])+Inventory[[#This Row],[Mdl Res Intercept]],-2)</f>
        <v>360900</v>
      </c>
      <c r="BD451" s="25">
        <f>ROUND(Inventory[[#This Row],[Mdl Land Intercept]]+Inventory[[#This Row],[Mdl LnAcres]],-2)</f>
        <v>44700</v>
      </c>
      <c r="BE451" s="25">
        <f>Inventory[[#This Row],[Unadj Res Value]]+Inventory[[#This Row],[Unadj Det Value]]+Inventory[[#This Row],[Unadj Land Value]]</f>
        <v>405600</v>
      </c>
      <c r="BF451" s="36">
        <f>(Inventory[[#This Row],[Unadj Total Value]]-Inventory[[#This Row],[24Final]])/Inventory[[#This Row],[24Final]]</f>
        <v>5.0777202072538857E-2</v>
      </c>
      <c r="BG451" s="25">
        <f>VLOOKUP(Inventory[[#This Row],[Nbhd]],Lookups!$Q$2:$T$4,4,FALSE)</f>
        <v>0.99970000000000003</v>
      </c>
      <c r="BH451" s="25">
        <f>VLOOKUP(Inventory[[#This Row],[Qlty]],Lookups!$O$7:$R$21,4,FALSE)</f>
        <v>1.0088999999999999</v>
      </c>
      <c r="BI451" s="25">
        <f>VLOOKUP(Inventory[[#This Row],[Cnd]],Lookups!$T$7:$W$16,4,FALSE)</f>
        <v>0.99650000000000005</v>
      </c>
      <c r="BJ451" s="25">
        <f>VLOOKUP(Inventory[[#This Row],[LivArea Range]],Lookups!$T$25:$W$37,4,FALSE)</f>
        <v>0.96179999999999999</v>
      </c>
      <c r="BK451" s="25">
        <f>VLOOKUP(Inventory[[#This Row],[Decade]],Lookups!$O$25:$R$42,4,FALSE)</f>
        <v>1.0199</v>
      </c>
      <c r="BL451" s="25">
        <f>Inventory[[#This Row],[Nbhd Adj]]*0.95</f>
        <v>0.94971499999999998</v>
      </c>
      <c r="BM451" s="25">
        <f>Inventory[[#This Row],[Nbhd Adj]]*Inventory[[#This Row],[Quality Adj]]*Inventory[[#This Row],[Condition Adj]]*Inventory[[#This Row],[Living Area Adj]]*Inventory[[#This Row],[Decade Adj]]*0.95</f>
        <v>0.93661495300843212</v>
      </c>
      <c r="BN451" s="25">
        <f>ROUND(SUM(Inventory[[#This Row],[Mdl Qlty]:[Mdl WdDeck]])+Inventory[[#This Row],[Mdl Res Intercept]]*Inventory[[#This Row],[Res Adj ]],-2)</f>
        <v>360900</v>
      </c>
      <c r="BO451" s="25">
        <f>ROUND(Inventory[[#This Row],[25Det]]*Inventory[[#This Row],[Det/Nbhd Adj]],-2)</f>
        <v>0</v>
      </c>
      <c r="BP451" s="25">
        <f>Inventory[[#This Row],[Adjusted Res]]+Inventory[[#This Row],[Adj Det ]]</f>
        <v>360900</v>
      </c>
      <c r="BQ451" s="25">
        <f>ROUND((Inventory[[#This Row],[Mdl Land Intercept]]+Inventory[[#This Row],[Mdl LnAcres]])*Inventory[[#This Row],[Det/Nbhd Adj]],-2)</f>
        <v>42400</v>
      </c>
      <c r="BR451" s="25">
        <f>Inventory[[#This Row],[Adjusted Impr Total]]+Inventory[[#This Row],[Adjusted Land Total]]</f>
        <v>403300</v>
      </c>
      <c r="BS451" s="36">
        <f>IFERROR((Inventory[[#This Row],[Adjusted Impr Total]]-Inventory[[#This Row],[24Bldg]])/Inventory[[#This Row],[24Bldg]],0)</f>
        <v>0.12359900373599003</v>
      </c>
      <c r="BT451" s="36">
        <f>(Inventory[[#This Row],[Adjusted Land Total]]-Inventory[[#This Row],[24Lnd]])/Inventory[[#This Row],[24Lnd]]</f>
        <v>-0.34567901234567899</v>
      </c>
      <c r="BU451" s="36">
        <f>(Inventory[[#This Row],[Adjusted Total]]-Inventory[[#This Row],[24Final]])/Inventory[[#This Row],[24Final]]</f>
        <v>4.4818652849740931E-2</v>
      </c>
    </row>
    <row r="452" spans="1:73" x14ac:dyDescent="0.3">
      <c r="A452" s="25">
        <v>2025</v>
      </c>
      <c r="B452" s="26" t="s">
        <v>2808</v>
      </c>
      <c r="C452" s="26">
        <f>LN(Inventory[[#This Row],[Acres]])</f>
        <v>-1.6094379124341003</v>
      </c>
      <c r="D452" s="25">
        <v>0.2</v>
      </c>
      <c r="E452" s="32">
        <v>8554</v>
      </c>
      <c r="F452" s="26" t="s">
        <v>537</v>
      </c>
      <c r="G452" s="26" t="s">
        <v>126</v>
      </c>
      <c r="H452" s="26" t="s">
        <v>349</v>
      </c>
      <c r="I452" s="26" t="s">
        <v>538</v>
      </c>
      <c r="J452" s="26" t="s">
        <v>539</v>
      </c>
      <c r="K452" s="26" t="s">
        <v>241</v>
      </c>
      <c r="L452" s="26" t="s">
        <v>351</v>
      </c>
      <c r="M452" s="26" t="s">
        <v>323</v>
      </c>
      <c r="N452" s="26">
        <v>70</v>
      </c>
      <c r="O452" s="26">
        <f>2024-Inventory[[#This Row],[YrBlt]]</f>
        <v>64</v>
      </c>
      <c r="P452" s="26">
        <f>2024-Inventory[[#This Row],[EffYr]]</f>
        <v>49</v>
      </c>
      <c r="Q452" s="25">
        <v>1960</v>
      </c>
      <c r="R452" s="25">
        <v>1975</v>
      </c>
      <c r="S452" s="25">
        <v>1203</v>
      </c>
      <c r="T452" s="27"/>
      <c r="U452" s="31"/>
      <c r="V452" s="31">
        <f>Inventory[[#This Row],[Bsmt]]-Inventory[[#This Row],[FnBsmt]]</f>
        <v>0</v>
      </c>
      <c r="W452" s="31"/>
      <c r="X452" s="27"/>
      <c r="Y452" s="27">
        <f>Inventory[[#This Row],[MainFn]]+Inventory[[#This Row],[UpprFn]]+Inventory[[#This Row],[FnBsmt]]+Inventory[[#This Row],[AddFn]]</f>
        <v>1203</v>
      </c>
      <c r="Z452" s="27">
        <v>1500</v>
      </c>
      <c r="AA452" s="25">
        <v>8</v>
      </c>
      <c r="AB452" s="31"/>
      <c r="AC452" s="27"/>
      <c r="AD452" s="27"/>
      <c r="AE452" s="27"/>
      <c r="AF452" s="27"/>
      <c r="AG452" s="27"/>
      <c r="AH452" s="27"/>
      <c r="AI452" s="25">
        <v>191882</v>
      </c>
      <c r="AJ452" s="25">
        <v>136236</v>
      </c>
      <c r="AK452" s="25">
        <v>26229</v>
      </c>
      <c r="AL452" s="25">
        <v>308900</v>
      </c>
      <c r="AM452" s="25">
        <v>58400</v>
      </c>
      <c r="AN452" s="25">
        <v>250500</v>
      </c>
      <c r="AO452" s="25">
        <v>0</v>
      </c>
      <c r="AP452" s="25">
        <f>Lookups!$B$56*0</f>
        <v>0</v>
      </c>
      <c r="AQ452" s="25">
        <f>Lookups!$B$56*1</f>
        <v>89850.625589999996</v>
      </c>
      <c r="AR452" s="25">
        <f>Lookups!$B$57*Inventory[[#This Row],[LnAcres]]</f>
        <v>-50946.13867709865</v>
      </c>
      <c r="AS452" s="25">
        <f>VLOOKUP(Inventory[[#This Row],[Qlty]],Lookups!$A$62:$E$75,2,FALSE)</f>
        <v>21557.329055999999</v>
      </c>
      <c r="AT452" s="25">
        <f>VLOOKUP(Inventory[[#This Row],[Cnd]],Lookups!$A$76:$E$84,2,FALSE)</f>
        <v>160472.20319</v>
      </c>
      <c r="AU452" s="25">
        <f>Inventory[[#This Row],[EffAge]]*Lookups!$B$85</f>
        <v>-10929.2344245</v>
      </c>
      <c r="AV452" s="25">
        <f>Inventory[[#This Row],[MainFn]]*Lookups!$B$86</f>
        <v>59438.629862031004</v>
      </c>
      <c r="AW452" s="25">
        <f>Inventory[[#This Row],[UpprFn]]*Lookups!$B$87</f>
        <v>0</v>
      </c>
      <c r="AX452" s="25">
        <f>Inventory[[#This Row],[AddFn]]*Lookups!$B$88</f>
        <v>0</v>
      </c>
      <c r="AY452" s="25">
        <f>Inventory[[#This Row],[Bsmt]]*Lookups!$B$89</f>
        <v>0</v>
      </c>
      <c r="AZ452" s="25">
        <f>Inventory[[#This Row],[Fixtures]]*Lookups!$B$90</f>
        <v>30336.176841600001</v>
      </c>
      <c r="BA452" s="25">
        <f>Inventory[[#This Row],[WdDeck]]*Lookups!$B$91</f>
        <v>0</v>
      </c>
      <c r="BB452" s="25">
        <f>ROUND(Inventory[[#This Row],[25Det]],-2)</f>
        <v>26200</v>
      </c>
      <c r="BC452" s="25">
        <f>ROUND(SUM(Inventory[[#This Row],[Mdl Qlty]:[Mdl WdDeck]])+Inventory[[#This Row],[Mdl Res Intercept]],-2)</f>
        <v>260900</v>
      </c>
      <c r="BD452" s="25">
        <f>ROUND(Inventory[[#This Row],[Mdl Land Intercept]]+Inventory[[#This Row],[Mdl LnAcres]],-2)</f>
        <v>38900</v>
      </c>
      <c r="BE452" s="25">
        <f>Inventory[[#This Row],[Unadj Res Value]]+Inventory[[#This Row],[Unadj Det Value]]+Inventory[[#This Row],[Unadj Land Value]]</f>
        <v>326000</v>
      </c>
      <c r="BF452" s="36">
        <f>(Inventory[[#This Row],[Unadj Total Value]]-Inventory[[#This Row],[24Final]])/Inventory[[#This Row],[24Final]]</f>
        <v>5.5357720945289735E-2</v>
      </c>
      <c r="BG452" s="25">
        <f>VLOOKUP(Inventory[[#This Row],[Nbhd]],Lookups!$Q$2:$T$4,4,FALSE)</f>
        <v>0.99970000000000003</v>
      </c>
      <c r="BH452" s="25">
        <f>VLOOKUP(Inventory[[#This Row],[Qlty]],Lookups!$O$7:$R$21,4,FALSE)</f>
        <v>1.0067999999999999</v>
      </c>
      <c r="BI452" s="25">
        <f>VLOOKUP(Inventory[[#This Row],[Cnd]],Lookups!$T$7:$W$16,4,FALSE)</f>
        <v>0.99729999999999996</v>
      </c>
      <c r="BJ452" s="25">
        <f>VLOOKUP(Inventory[[#This Row],[LivArea Range]],Lookups!$T$25:$W$37,4,FALSE)</f>
        <v>1.0157</v>
      </c>
      <c r="BK452" s="25">
        <f>VLOOKUP(Inventory[[#This Row],[Decade]],Lookups!$O$25:$R$42,4,FALSE)</f>
        <v>1.0199</v>
      </c>
      <c r="BL452" s="25">
        <f>Inventory[[#This Row],[Nbhd Adj]]*0.95</f>
        <v>0.94971499999999998</v>
      </c>
      <c r="BM452" s="25">
        <f>Inventory[[#This Row],[Nbhd Adj]]*Inventory[[#This Row],[Quality Adj]]*Inventory[[#This Row],[Condition Adj]]*Inventory[[#This Row],[Living Area Adj]]*Inventory[[#This Row],[Decade Adj]]*0.95</f>
        <v>0.98783717894453682</v>
      </c>
      <c r="BN452" s="25">
        <f>ROUND(SUM(Inventory[[#This Row],[Mdl Qlty]:[Mdl WdDeck]])+Inventory[[#This Row],[Mdl Res Intercept]]*Inventory[[#This Row],[Res Adj ]],-2)</f>
        <v>260900</v>
      </c>
      <c r="BO452" s="25">
        <f>ROUND(Inventory[[#This Row],[25Det]]*Inventory[[#This Row],[Det/Nbhd Adj]],-2)</f>
        <v>24900</v>
      </c>
      <c r="BP452" s="25">
        <f>Inventory[[#This Row],[Adjusted Res]]+Inventory[[#This Row],[Adj Det ]]</f>
        <v>285800</v>
      </c>
      <c r="BQ452" s="25">
        <f>ROUND((Inventory[[#This Row],[Mdl Land Intercept]]+Inventory[[#This Row],[Mdl LnAcres]])*Inventory[[#This Row],[Det/Nbhd Adj]],-2)</f>
        <v>36900</v>
      </c>
      <c r="BR452" s="25">
        <f>Inventory[[#This Row],[Adjusted Impr Total]]+Inventory[[#This Row],[Adjusted Land Total]]</f>
        <v>322700</v>
      </c>
      <c r="BS452" s="36">
        <f>IFERROR((Inventory[[#This Row],[Adjusted Impr Total]]-Inventory[[#This Row],[24Bldg]])/Inventory[[#This Row],[24Bldg]],0)</f>
        <v>0.14091816367265469</v>
      </c>
      <c r="BT452" s="36">
        <f>(Inventory[[#This Row],[Adjusted Land Total]]-Inventory[[#This Row],[24Lnd]])/Inventory[[#This Row],[24Lnd]]</f>
        <v>-0.36815068493150682</v>
      </c>
      <c r="BU452" s="36">
        <f>(Inventory[[#This Row],[Adjusted Total]]-Inventory[[#This Row],[24Final]])/Inventory[[#This Row],[24Final]]</f>
        <v>4.4674651990935579E-2</v>
      </c>
    </row>
    <row r="453" spans="1:73" x14ac:dyDescent="0.3">
      <c r="A453" s="25">
        <v>2025</v>
      </c>
      <c r="B453" s="26" t="s">
        <v>1610</v>
      </c>
      <c r="C453" s="26">
        <f>LN(Inventory[[#This Row],[Acres]])</f>
        <v>-1.5606477482646683</v>
      </c>
      <c r="D453" s="25">
        <v>0.21</v>
      </c>
      <c r="E453" s="27"/>
      <c r="F453" s="26" t="s">
        <v>537</v>
      </c>
      <c r="G453" s="26" t="s">
        <v>126</v>
      </c>
      <c r="H453" s="26" t="s">
        <v>349</v>
      </c>
      <c r="I453" s="26" t="s">
        <v>538</v>
      </c>
      <c r="J453" s="26" t="s">
        <v>539</v>
      </c>
      <c r="K453" s="26" t="s">
        <v>5</v>
      </c>
      <c r="L453" s="26" t="s">
        <v>302</v>
      </c>
      <c r="M453" s="26" t="s">
        <v>303</v>
      </c>
      <c r="N453" s="26">
        <v>70</v>
      </c>
      <c r="O453" s="26">
        <f>2024-Inventory[[#This Row],[YrBlt]]</f>
        <v>64</v>
      </c>
      <c r="P453" s="26">
        <f>2024-Inventory[[#This Row],[EffYr]]</f>
        <v>49</v>
      </c>
      <c r="Q453" s="25">
        <v>1960</v>
      </c>
      <c r="R453" s="25">
        <v>1975</v>
      </c>
      <c r="S453" s="25">
        <v>1410</v>
      </c>
      <c r="T453" s="31"/>
      <c r="U453" s="25">
        <v>834</v>
      </c>
      <c r="V453" s="32">
        <f>Inventory[[#This Row],[Bsmt]]-Inventory[[#This Row],[FnBsmt]]</f>
        <v>0</v>
      </c>
      <c r="W453" s="32">
        <v>834</v>
      </c>
      <c r="X453" s="27"/>
      <c r="Y453" s="27">
        <f>Inventory[[#This Row],[MainFn]]+Inventory[[#This Row],[UpprFn]]+Inventory[[#This Row],[FnBsmt]]+Inventory[[#This Row],[AddFn]]</f>
        <v>2244</v>
      </c>
      <c r="Z453" s="27">
        <v>2500</v>
      </c>
      <c r="AA453" s="25">
        <v>8</v>
      </c>
      <c r="AB453" s="27"/>
      <c r="AC453" s="32">
        <v>504</v>
      </c>
      <c r="AD453" s="25">
        <v>98</v>
      </c>
      <c r="AE453" s="27"/>
      <c r="AF453" s="27"/>
      <c r="AG453" s="27"/>
      <c r="AH453" s="27"/>
      <c r="AI453" s="25">
        <v>385438</v>
      </c>
      <c r="AJ453" s="25">
        <v>277515</v>
      </c>
      <c r="AK453" s="25">
        <v>0</v>
      </c>
      <c r="AL453" s="25">
        <v>367000</v>
      </c>
      <c r="AM453" s="25">
        <v>60100</v>
      </c>
      <c r="AN453" s="25">
        <v>306900</v>
      </c>
      <c r="AO453" s="25">
        <v>0</v>
      </c>
      <c r="AP453" s="25">
        <f>Lookups!$B$56*0</f>
        <v>0</v>
      </c>
      <c r="AQ453" s="25">
        <f>Lookups!$B$56*1</f>
        <v>89850.625589999996</v>
      </c>
      <c r="AR453" s="25">
        <f>Lookups!$B$57*Inventory[[#This Row],[LnAcres]]</f>
        <v>-49401.70477837498</v>
      </c>
      <c r="AS453" s="25">
        <f>VLOOKUP(Inventory[[#This Row],[Qlty]],Lookups!$A$62:$E$75,2,FALSE)</f>
        <v>29814.093161000001</v>
      </c>
      <c r="AT453" s="25">
        <f>VLOOKUP(Inventory[[#This Row],[Cnd]],Lookups!$A$76:$E$84,2,FALSE)</f>
        <v>197752.34721000001</v>
      </c>
      <c r="AU453" s="25">
        <f>Inventory[[#This Row],[EffAge]]*Lookups!$B$85</f>
        <v>-10929.2344245</v>
      </c>
      <c r="AV453" s="25">
        <f>Inventory[[#This Row],[MainFn]]*Lookups!$B$86</f>
        <v>69666.224526570004</v>
      </c>
      <c r="AW453" s="25">
        <f>Inventory[[#This Row],[UpprFn]]*Lookups!$B$87</f>
        <v>0</v>
      </c>
      <c r="AX453" s="25">
        <f>Inventory[[#This Row],[AddFn]]*Lookups!$B$88</f>
        <v>0</v>
      </c>
      <c r="AY453" s="25">
        <f>Inventory[[#This Row],[Bsmt]]*Lookups!$B$89</f>
        <v>24254.300635997999</v>
      </c>
      <c r="AZ453" s="25">
        <f>Inventory[[#This Row],[Fixtures]]*Lookups!$B$90</f>
        <v>30336.176841600001</v>
      </c>
      <c r="BA453" s="25">
        <f>Inventory[[#This Row],[WdDeck]]*Lookups!$B$91</f>
        <v>3262.9604970480004</v>
      </c>
      <c r="BB453" s="25">
        <f>ROUND(Inventory[[#This Row],[25Det]],-2)</f>
        <v>0</v>
      </c>
      <c r="BC453" s="25">
        <f>ROUND(SUM(Inventory[[#This Row],[Mdl Qlty]:[Mdl WdDeck]])+Inventory[[#This Row],[Mdl Res Intercept]],-2)</f>
        <v>344200</v>
      </c>
      <c r="BD453" s="25">
        <f>ROUND(Inventory[[#This Row],[Mdl Land Intercept]]+Inventory[[#This Row],[Mdl LnAcres]],-2)</f>
        <v>40400</v>
      </c>
      <c r="BE453" s="25">
        <f>Inventory[[#This Row],[Unadj Res Value]]+Inventory[[#This Row],[Unadj Det Value]]+Inventory[[#This Row],[Unadj Land Value]]</f>
        <v>384600</v>
      </c>
      <c r="BF453" s="36">
        <f>(Inventory[[#This Row],[Unadj Total Value]]-Inventory[[#This Row],[24Final]])/Inventory[[#This Row],[24Final]]</f>
        <v>4.7956403269754769E-2</v>
      </c>
      <c r="BG453" s="25">
        <f>VLOOKUP(Inventory[[#This Row],[Nbhd]],Lookups!$Q$2:$T$4,4,FALSE)</f>
        <v>0.99970000000000003</v>
      </c>
      <c r="BH453" s="25">
        <f>VLOOKUP(Inventory[[#This Row],[Qlty]],Lookups!$O$7:$R$21,4,FALSE)</f>
        <v>1.0088999999999999</v>
      </c>
      <c r="BI453" s="25">
        <f>VLOOKUP(Inventory[[#This Row],[Cnd]],Lookups!$T$7:$W$16,4,FALSE)</f>
        <v>0.99650000000000005</v>
      </c>
      <c r="BJ453" s="25">
        <f>VLOOKUP(Inventory[[#This Row],[LivArea Range]],Lookups!$T$25:$W$37,4,FALSE)</f>
        <v>0.98919999999999997</v>
      </c>
      <c r="BK453" s="25">
        <f>VLOOKUP(Inventory[[#This Row],[Decade]],Lookups!$O$25:$R$42,4,FALSE)</f>
        <v>1.0199</v>
      </c>
      <c r="BL453" s="25">
        <f>Inventory[[#This Row],[Nbhd Adj]]*0.95</f>
        <v>0.94971499999999998</v>
      </c>
      <c r="BM453" s="25">
        <f>Inventory[[#This Row],[Nbhd Adj]]*Inventory[[#This Row],[Quality Adj]]*Inventory[[#This Row],[Condition Adj]]*Inventory[[#This Row],[Living Area Adj]]*Inventory[[#This Row],[Decade Adj]]*0.95</f>
        <v>0.9632974750633615</v>
      </c>
      <c r="BN453" s="25">
        <f>ROUND(SUM(Inventory[[#This Row],[Mdl Qlty]:[Mdl WdDeck]])+Inventory[[#This Row],[Mdl Res Intercept]]*Inventory[[#This Row],[Res Adj ]],-2)</f>
        <v>344200</v>
      </c>
      <c r="BO453" s="25">
        <f>ROUND(Inventory[[#This Row],[25Det]]*Inventory[[#This Row],[Det/Nbhd Adj]],-2)</f>
        <v>0</v>
      </c>
      <c r="BP453" s="25">
        <f>Inventory[[#This Row],[Adjusted Res]]+Inventory[[#This Row],[Adj Det ]]</f>
        <v>344200</v>
      </c>
      <c r="BQ453" s="25">
        <f>ROUND((Inventory[[#This Row],[Mdl Land Intercept]]+Inventory[[#This Row],[Mdl LnAcres]])*Inventory[[#This Row],[Det/Nbhd Adj]],-2)</f>
        <v>38400</v>
      </c>
      <c r="BR453" s="25">
        <f>Inventory[[#This Row],[Adjusted Impr Total]]+Inventory[[#This Row],[Adjusted Land Total]]</f>
        <v>382600</v>
      </c>
      <c r="BS453" s="36">
        <f>IFERROR((Inventory[[#This Row],[Adjusted Impr Total]]-Inventory[[#This Row],[24Bldg]])/Inventory[[#This Row],[24Bldg]],0)</f>
        <v>0.12153796024763766</v>
      </c>
      <c r="BT453" s="36">
        <f>(Inventory[[#This Row],[Adjusted Land Total]]-Inventory[[#This Row],[24Lnd]])/Inventory[[#This Row],[24Lnd]]</f>
        <v>-0.36106489184692181</v>
      </c>
      <c r="BU453" s="36">
        <f>(Inventory[[#This Row],[Adjusted Total]]-Inventory[[#This Row],[24Final]])/Inventory[[#This Row],[24Final]]</f>
        <v>4.2506811989100821E-2</v>
      </c>
    </row>
    <row r="454" spans="1:73" x14ac:dyDescent="0.3">
      <c r="A454" s="25">
        <v>2025</v>
      </c>
      <c r="B454" s="26" t="s">
        <v>2644</v>
      </c>
      <c r="C454" s="26">
        <f>LN(Inventory[[#This Row],[Acres]])</f>
        <v>-1.7719568419318752</v>
      </c>
      <c r="D454" s="25">
        <v>0.17</v>
      </c>
      <c r="E454" s="32">
        <v>7257</v>
      </c>
      <c r="F454" s="26" t="s">
        <v>537</v>
      </c>
      <c r="G454" s="26" t="s">
        <v>126</v>
      </c>
      <c r="H454" s="26" t="s">
        <v>349</v>
      </c>
      <c r="I454" s="26" t="s">
        <v>538</v>
      </c>
      <c r="J454" s="26" t="s">
        <v>539</v>
      </c>
      <c r="K454" s="26" t="s">
        <v>5</v>
      </c>
      <c r="L454" s="26" t="s">
        <v>351</v>
      </c>
      <c r="M454" s="26" t="s">
        <v>303</v>
      </c>
      <c r="N454" s="26">
        <v>70</v>
      </c>
      <c r="O454" s="26">
        <f>2024-Inventory[[#This Row],[YrBlt]]</f>
        <v>64</v>
      </c>
      <c r="P454" s="26">
        <f>2024-Inventory[[#This Row],[EffYr]]</f>
        <v>49</v>
      </c>
      <c r="Q454" s="25">
        <v>1960</v>
      </c>
      <c r="R454" s="25">
        <v>1975</v>
      </c>
      <c r="S454" s="25">
        <v>1300</v>
      </c>
      <c r="T454" s="27"/>
      <c r="U454" s="25">
        <v>1300</v>
      </c>
      <c r="V454" s="25">
        <f>Inventory[[#This Row],[Bsmt]]-Inventory[[#This Row],[FnBsmt]]</f>
        <v>0</v>
      </c>
      <c r="W454" s="25">
        <v>1300</v>
      </c>
      <c r="X454" s="27"/>
      <c r="Y454" s="27">
        <f>Inventory[[#This Row],[MainFn]]+Inventory[[#This Row],[UpprFn]]+Inventory[[#This Row],[FnBsmt]]+Inventory[[#This Row],[AddFn]]</f>
        <v>2600</v>
      </c>
      <c r="Z454" s="27">
        <v>3000</v>
      </c>
      <c r="AA454" s="25">
        <v>9</v>
      </c>
      <c r="AB454" s="27"/>
      <c r="AC454" s="27"/>
      <c r="AD454" s="27"/>
      <c r="AE454" s="27"/>
      <c r="AF454" s="27"/>
      <c r="AG454" s="27"/>
      <c r="AH454" s="27"/>
      <c r="AI454" s="25">
        <v>358617</v>
      </c>
      <c r="AJ454" s="25">
        <v>258204</v>
      </c>
      <c r="AK454" s="25">
        <v>29011</v>
      </c>
      <c r="AL454" s="25">
        <v>388200</v>
      </c>
      <c r="AM454" s="25">
        <v>52700</v>
      </c>
      <c r="AN454" s="25">
        <v>335500</v>
      </c>
      <c r="AO454" s="25">
        <v>0</v>
      </c>
      <c r="AP454" s="25">
        <f>Lookups!$B$56*0</f>
        <v>0</v>
      </c>
      <c r="AQ454" s="25">
        <f>Lookups!$B$56*1</f>
        <v>89850.625589999996</v>
      </c>
      <c r="AR454" s="25">
        <f>Lookups!$B$57*Inventory[[#This Row],[LnAcres]]</f>
        <v>-56090.612940989391</v>
      </c>
      <c r="AS454" s="25">
        <f>VLOOKUP(Inventory[[#This Row],[Qlty]],Lookups!$A$62:$E$75,2,FALSE)</f>
        <v>21557.329055999999</v>
      </c>
      <c r="AT454" s="25">
        <f>VLOOKUP(Inventory[[#This Row],[Cnd]],Lookups!$A$76:$E$84,2,FALSE)</f>
        <v>197752.34721000001</v>
      </c>
      <c r="AU454" s="25">
        <f>Inventory[[#This Row],[EffAge]]*Lookups!$B$85</f>
        <v>-10929.2344245</v>
      </c>
      <c r="AV454" s="25">
        <f>Inventory[[#This Row],[MainFn]]*Lookups!$B$86</f>
        <v>64231.270840099998</v>
      </c>
      <c r="AW454" s="25">
        <f>Inventory[[#This Row],[UpprFn]]*Lookups!$B$87</f>
        <v>0</v>
      </c>
      <c r="AX454" s="25">
        <f>Inventory[[#This Row],[AddFn]]*Lookups!$B$88</f>
        <v>0</v>
      </c>
      <c r="AY454" s="25">
        <f>Inventory[[#This Row],[Bsmt]]*Lookups!$B$89</f>
        <v>37806.463821099998</v>
      </c>
      <c r="AZ454" s="25">
        <f>Inventory[[#This Row],[Fixtures]]*Lookups!$B$90</f>
        <v>34128.198946800003</v>
      </c>
      <c r="BA454" s="25">
        <f>Inventory[[#This Row],[WdDeck]]*Lookups!$B$91</f>
        <v>0</v>
      </c>
      <c r="BB454" s="25">
        <f>ROUND(Inventory[[#This Row],[25Det]],-2)</f>
        <v>29000</v>
      </c>
      <c r="BC454" s="25">
        <f>ROUND(SUM(Inventory[[#This Row],[Mdl Qlty]:[Mdl WdDeck]])+Inventory[[#This Row],[Mdl Res Intercept]],-2)</f>
        <v>344500</v>
      </c>
      <c r="BD454" s="25">
        <f>ROUND(Inventory[[#This Row],[Mdl Land Intercept]]+Inventory[[#This Row],[Mdl LnAcres]],-2)</f>
        <v>33800</v>
      </c>
      <c r="BE454" s="25">
        <f>Inventory[[#This Row],[Unadj Res Value]]+Inventory[[#This Row],[Unadj Det Value]]+Inventory[[#This Row],[Unadj Land Value]]</f>
        <v>407300</v>
      </c>
      <c r="BF454" s="36">
        <f>(Inventory[[#This Row],[Unadj Total Value]]-Inventory[[#This Row],[24Final]])/Inventory[[#This Row],[24Final]]</f>
        <v>4.920144255538382E-2</v>
      </c>
      <c r="BG454" s="25">
        <f>VLOOKUP(Inventory[[#This Row],[Nbhd]],Lookups!$Q$2:$T$4,4,FALSE)</f>
        <v>0.99970000000000003</v>
      </c>
      <c r="BH454" s="25">
        <f>VLOOKUP(Inventory[[#This Row],[Qlty]],Lookups!$O$7:$R$21,4,FALSE)</f>
        <v>1.0067999999999999</v>
      </c>
      <c r="BI454" s="25">
        <f>VLOOKUP(Inventory[[#This Row],[Cnd]],Lookups!$T$7:$W$16,4,FALSE)</f>
        <v>0.99650000000000005</v>
      </c>
      <c r="BJ454" s="25">
        <f>VLOOKUP(Inventory[[#This Row],[LivArea Range]],Lookups!$T$25:$W$37,4,FALSE)</f>
        <v>0.96179999999999999</v>
      </c>
      <c r="BK454" s="25">
        <f>VLOOKUP(Inventory[[#This Row],[Decade]],Lookups!$O$25:$R$42,4,FALSE)</f>
        <v>1.0199</v>
      </c>
      <c r="BL454" s="25">
        <f>Inventory[[#This Row],[Nbhd Adj]]*0.95</f>
        <v>0.94971499999999998</v>
      </c>
      <c r="BM454" s="25">
        <f>Inventory[[#This Row],[Nbhd Adj]]*Inventory[[#This Row],[Quality Adj]]*Inventory[[#This Row],[Condition Adj]]*Inventory[[#This Row],[Living Area Adj]]*Inventory[[#This Row],[Decade Adj]]*0.95</f>
        <v>0.9346654125174837</v>
      </c>
      <c r="BN454" s="25">
        <f>ROUND(SUM(Inventory[[#This Row],[Mdl Qlty]:[Mdl WdDeck]])+Inventory[[#This Row],[Mdl Res Intercept]]*Inventory[[#This Row],[Res Adj ]],-2)</f>
        <v>344500</v>
      </c>
      <c r="BO454" s="25">
        <f>ROUND(Inventory[[#This Row],[25Det]]*Inventory[[#This Row],[Det/Nbhd Adj]],-2)</f>
        <v>27600</v>
      </c>
      <c r="BP454" s="25">
        <f>Inventory[[#This Row],[Adjusted Res]]+Inventory[[#This Row],[Adj Det ]]</f>
        <v>372100</v>
      </c>
      <c r="BQ454" s="25">
        <f>ROUND((Inventory[[#This Row],[Mdl Land Intercept]]+Inventory[[#This Row],[Mdl LnAcres]])*Inventory[[#This Row],[Det/Nbhd Adj]],-2)</f>
        <v>32100</v>
      </c>
      <c r="BR454" s="25">
        <f>Inventory[[#This Row],[Adjusted Impr Total]]+Inventory[[#This Row],[Adjusted Land Total]]</f>
        <v>404200</v>
      </c>
      <c r="BS454" s="36">
        <f>IFERROR((Inventory[[#This Row],[Adjusted Impr Total]]-Inventory[[#This Row],[24Bldg]])/Inventory[[#This Row],[24Bldg]],0)</f>
        <v>0.10909090909090909</v>
      </c>
      <c r="BT454" s="36">
        <f>(Inventory[[#This Row],[Adjusted Land Total]]-Inventory[[#This Row],[24Lnd]])/Inventory[[#This Row],[24Lnd]]</f>
        <v>-0.39089184060721061</v>
      </c>
      <c r="BU454" s="36">
        <f>(Inventory[[#This Row],[Adjusted Total]]-Inventory[[#This Row],[24Final]])/Inventory[[#This Row],[24Final]]</f>
        <v>4.1215868109222051E-2</v>
      </c>
    </row>
    <row r="455" spans="1:73" x14ac:dyDescent="0.3">
      <c r="A455" s="25">
        <v>2025</v>
      </c>
      <c r="B455" s="26" t="s">
        <v>2367</v>
      </c>
      <c r="C455" s="26">
        <f>LN(Inventory[[#This Row],[Acres]])</f>
        <v>-2.0402208285265546</v>
      </c>
      <c r="D455" s="25">
        <v>0.13</v>
      </c>
      <c r="E455" s="27"/>
      <c r="F455" s="26" t="s">
        <v>537</v>
      </c>
      <c r="G455" s="26" t="s">
        <v>126</v>
      </c>
      <c r="H455" s="26" t="s">
        <v>349</v>
      </c>
      <c r="I455" s="26" t="s">
        <v>538</v>
      </c>
      <c r="J455" s="26" t="s">
        <v>539</v>
      </c>
      <c r="K455" s="26" t="s">
        <v>241</v>
      </c>
      <c r="L455" s="26" t="s">
        <v>351</v>
      </c>
      <c r="M455" s="26" t="s">
        <v>323</v>
      </c>
      <c r="N455" s="26">
        <v>70</v>
      </c>
      <c r="O455" s="26">
        <f>2024-Inventory[[#This Row],[YrBlt]]</f>
        <v>64</v>
      </c>
      <c r="P455" s="26">
        <f>2024-Inventory[[#This Row],[EffYr]]</f>
        <v>49</v>
      </c>
      <c r="Q455" s="25">
        <v>1960</v>
      </c>
      <c r="R455" s="25">
        <v>1975</v>
      </c>
      <c r="S455" s="25">
        <v>1325</v>
      </c>
      <c r="T455" s="31"/>
      <c r="U455" s="31"/>
      <c r="V455" s="31">
        <f>Inventory[[#This Row],[Bsmt]]-Inventory[[#This Row],[FnBsmt]]</f>
        <v>0</v>
      </c>
      <c r="W455" s="31"/>
      <c r="X455" s="27"/>
      <c r="Y455" s="27">
        <f>Inventory[[#This Row],[MainFn]]+Inventory[[#This Row],[UpprFn]]+Inventory[[#This Row],[FnBsmt]]+Inventory[[#This Row],[AddFn]]</f>
        <v>1325</v>
      </c>
      <c r="Z455" s="27">
        <v>1500</v>
      </c>
      <c r="AA455" s="25">
        <v>8</v>
      </c>
      <c r="AB455" s="27"/>
      <c r="AC455" s="27"/>
      <c r="AD455" s="31"/>
      <c r="AE455" s="27"/>
      <c r="AF455" s="27"/>
      <c r="AG455" s="27"/>
      <c r="AH455" s="27"/>
      <c r="AI455" s="25">
        <v>219692</v>
      </c>
      <c r="AJ455" s="25">
        <v>155981</v>
      </c>
      <c r="AK455" s="25">
        <v>0</v>
      </c>
      <c r="AL455" s="25">
        <v>279700</v>
      </c>
      <c r="AM455" s="25">
        <v>43400</v>
      </c>
      <c r="AN455" s="25">
        <v>236300</v>
      </c>
      <c r="AO455" s="25">
        <v>0</v>
      </c>
      <c r="AP455" s="25">
        <f>Lookups!$B$56*0</f>
        <v>0</v>
      </c>
      <c r="AQ455" s="25">
        <f>Lookups!$B$56*1</f>
        <v>89850.625589999996</v>
      </c>
      <c r="AR455" s="25">
        <f>Lookups!$B$57*Inventory[[#This Row],[LnAcres]]</f>
        <v>-64582.406353792743</v>
      </c>
      <c r="AS455" s="25">
        <f>VLOOKUP(Inventory[[#This Row],[Qlty]],Lookups!$A$62:$E$75,2,FALSE)</f>
        <v>21557.329055999999</v>
      </c>
      <c r="AT455" s="25">
        <f>VLOOKUP(Inventory[[#This Row],[Cnd]],Lookups!$A$76:$E$84,2,FALSE)</f>
        <v>160472.20319</v>
      </c>
      <c r="AU455" s="25">
        <f>Inventory[[#This Row],[EffAge]]*Lookups!$B$85</f>
        <v>-10929.2344245</v>
      </c>
      <c r="AV455" s="25">
        <f>Inventory[[#This Row],[MainFn]]*Lookups!$B$86</f>
        <v>65466.487587025003</v>
      </c>
      <c r="AW455" s="25">
        <f>Inventory[[#This Row],[UpprFn]]*Lookups!$B$87</f>
        <v>0</v>
      </c>
      <c r="AX455" s="25">
        <f>Inventory[[#This Row],[AddFn]]*Lookups!$B$88</f>
        <v>0</v>
      </c>
      <c r="AY455" s="25">
        <f>Inventory[[#This Row],[Bsmt]]*Lookups!$B$89</f>
        <v>0</v>
      </c>
      <c r="AZ455" s="25">
        <f>Inventory[[#This Row],[Fixtures]]*Lookups!$B$90</f>
        <v>30336.176841600001</v>
      </c>
      <c r="BA455" s="25">
        <f>Inventory[[#This Row],[WdDeck]]*Lookups!$B$91</f>
        <v>0</v>
      </c>
      <c r="BB455" s="25">
        <f>ROUND(Inventory[[#This Row],[25Det]],-2)</f>
        <v>0</v>
      </c>
      <c r="BC455" s="25">
        <f>ROUND(SUM(Inventory[[#This Row],[Mdl Qlty]:[Mdl WdDeck]])+Inventory[[#This Row],[Mdl Res Intercept]],-2)</f>
        <v>266900</v>
      </c>
      <c r="BD455" s="25">
        <f>ROUND(Inventory[[#This Row],[Mdl Land Intercept]]+Inventory[[#This Row],[Mdl LnAcres]],-2)</f>
        <v>25300</v>
      </c>
      <c r="BE455" s="25">
        <f>Inventory[[#This Row],[Unadj Res Value]]+Inventory[[#This Row],[Unadj Det Value]]+Inventory[[#This Row],[Unadj Land Value]]</f>
        <v>292200</v>
      </c>
      <c r="BF455" s="36">
        <f>(Inventory[[#This Row],[Unadj Total Value]]-Inventory[[#This Row],[24Final]])/Inventory[[#This Row],[24Final]]</f>
        <v>4.46907400786557E-2</v>
      </c>
      <c r="BG455" s="25">
        <f>VLOOKUP(Inventory[[#This Row],[Nbhd]],Lookups!$Q$2:$T$4,4,FALSE)</f>
        <v>0.99970000000000003</v>
      </c>
      <c r="BH455" s="25">
        <f>VLOOKUP(Inventory[[#This Row],[Qlty]],Lookups!$O$7:$R$21,4,FALSE)</f>
        <v>1.0067999999999999</v>
      </c>
      <c r="BI455" s="25">
        <f>VLOOKUP(Inventory[[#This Row],[Cnd]],Lookups!$T$7:$W$16,4,FALSE)</f>
        <v>0.99729999999999996</v>
      </c>
      <c r="BJ455" s="25">
        <f>VLOOKUP(Inventory[[#This Row],[LivArea Range]],Lookups!$T$25:$W$37,4,FALSE)</f>
        <v>1.0157</v>
      </c>
      <c r="BK455" s="25">
        <f>VLOOKUP(Inventory[[#This Row],[Decade]],Lookups!$O$25:$R$42,4,FALSE)</f>
        <v>1.0199</v>
      </c>
      <c r="BL455" s="25">
        <f>Inventory[[#This Row],[Nbhd Adj]]*0.95</f>
        <v>0.94971499999999998</v>
      </c>
      <c r="BM455" s="25">
        <f>Inventory[[#This Row],[Nbhd Adj]]*Inventory[[#This Row],[Quality Adj]]*Inventory[[#This Row],[Condition Adj]]*Inventory[[#This Row],[Living Area Adj]]*Inventory[[#This Row],[Decade Adj]]*0.95</f>
        <v>0.98783717894453682</v>
      </c>
      <c r="BN455" s="25">
        <f>ROUND(SUM(Inventory[[#This Row],[Mdl Qlty]:[Mdl WdDeck]])+Inventory[[#This Row],[Mdl Res Intercept]]*Inventory[[#This Row],[Res Adj ]],-2)</f>
        <v>266900</v>
      </c>
      <c r="BO455" s="25">
        <f>ROUND(Inventory[[#This Row],[25Det]]*Inventory[[#This Row],[Det/Nbhd Adj]],-2)</f>
        <v>0</v>
      </c>
      <c r="BP455" s="25">
        <f>Inventory[[#This Row],[Adjusted Res]]+Inventory[[#This Row],[Adj Det ]]</f>
        <v>266900</v>
      </c>
      <c r="BQ455" s="25">
        <f>ROUND((Inventory[[#This Row],[Mdl Land Intercept]]+Inventory[[#This Row],[Mdl LnAcres]])*Inventory[[#This Row],[Det/Nbhd Adj]],-2)</f>
        <v>24000</v>
      </c>
      <c r="BR455" s="25">
        <f>Inventory[[#This Row],[Adjusted Impr Total]]+Inventory[[#This Row],[Adjusted Land Total]]</f>
        <v>290900</v>
      </c>
      <c r="BS455" s="36">
        <f>IFERROR((Inventory[[#This Row],[Adjusted Impr Total]]-Inventory[[#This Row],[24Bldg]])/Inventory[[#This Row],[24Bldg]],0)</f>
        <v>0.12949640287769784</v>
      </c>
      <c r="BT455" s="36">
        <f>(Inventory[[#This Row],[Adjusted Land Total]]-Inventory[[#This Row],[24Lnd]])/Inventory[[#This Row],[24Lnd]]</f>
        <v>-0.44700460829493088</v>
      </c>
      <c r="BU455" s="36">
        <f>(Inventory[[#This Row],[Adjusted Total]]-Inventory[[#This Row],[24Final]])/Inventory[[#This Row],[24Final]]</f>
        <v>4.0042903110475508E-2</v>
      </c>
    </row>
    <row r="456" spans="1:73" x14ac:dyDescent="0.3">
      <c r="A456" s="25">
        <v>2025</v>
      </c>
      <c r="B456" s="26" t="s">
        <v>1616</v>
      </c>
      <c r="C456" s="26">
        <f>LN(Inventory[[#This Row],[Acres]])</f>
        <v>-1.7147984280919266</v>
      </c>
      <c r="D456" s="25">
        <v>0.18</v>
      </c>
      <c r="E456" s="27"/>
      <c r="F456" s="26" t="s">
        <v>537</v>
      </c>
      <c r="G456" s="26" t="s">
        <v>126</v>
      </c>
      <c r="H456" s="26" t="s">
        <v>349</v>
      </c>
      <c r="I456" s="26" t="s">
        <v>538</v>
      </c>
      <c r="J456" s="26" t="s">
        <v>539</v>
      </c>
      <c r="K456" s="26" t="s">
        <v>241</v>
      </c>
      <c r="L456" s="26" t="s">
        <v>302</v>
      </c>
      <c r="M456" s="26" t="s">
        <v>323</v>
      </c>
      <c r="N456" s="26">
        <v>70</v>
      </c>
      <c r="O456" s="26">
        <f>2024-Inventory[[#This Row],[YrBlt]]</f>
        <v>64</v>
      </c>
      <c r="P456" s="26">
        <f>2024-Inventory[[#This Row],[EffYr]]</f>
        <v>49</v>
      </c>
      <c r="Q456" s="25">
        <v>1960</v>
      </c>
      <c r="R456" s="25">
        <v>1975</v>
      </c>
      <c r="S456" s="25">
        <v>1248</v>
      </c>
      <c r="T456" s="27"/>
      <c r="U456" s="25">
        <v>1248</v>
      </c>
      <c r="V456" s="25">
        <f>Inventory[[#This Row],[Bsmt]]-Inventory[[#This Row],[FnBsmt]]</f>
        <v>624</v>
      </c>
      <c r="W456" s="25">
        <v>624</v>
      </c>
      <c r="X456" s="27"/>
      <c r="Y456" s="27">
        <f>Inventory[[#This Row],[MainFn]]+Inventory[[#This Row],[UpprFn]]+Inventory[[#This Row],[FnBsmt]]+Inventory[[#This Row],[AddFn]]</f>
        <v>1872</v>
      </c>
      <c r="Z456" s="27">
        <v>2000</v>
      </c>
      <c r="AA456" s="25">
        <v>8</v>
      </c>
      <c r="AB456" s="32">
        <v>300</v>
      </c>
      <c r="AC456" s="27"/>
      <c r="AD456" s="27"/>
      <c r="AE456" s="27"/>
      <c r="AF456" s="27"/>
      <c r="AG456" s="27"/>
      <c r="AH456" s="27"/>
      <c r="AI456" s="25">
        <v>342719</v>
      </c>
      <c r="AJ456" s="25">
        <v>243330</v>
      </c>
      <c r="AK456" s="25">
        <v>0</v>
      </c>
      <c r="AL456" s="25">
        <v>328600</v>
      </c>
      <c r="AM456" s="25">
        <v>54700</v>
      </c>
      <c r="AN456" s="25">
        <v>273900</v>
      </c>
      <c r="AO456" s="25">
        <v>0</v>
      </c>
      <c r="AP456" s="25">
        <f>Lookups!$B$56*0</f>
        <v>0</v>
      </c>
      <c r="AQ456" s="25">
        <f>Lookups!$B$56*1</f>
        <v>89850.625589999996</v>
      </c>
      <c r="AR456" s="25">
        <f>Lookups!$B$57*Inventory[[#This Row],[LnAcres]]</f>
        <v>-54281.285314520763</v>
      </c>
      <c r="AS456" s="25">
        <f>VLOOKUP(Inventory[[#This Row],[Qlty]],Lookups!$A$62:$E$75,2,FALSE)</f>
        <v>29814.093161000001</v>
      </c>
      <c r="AT456" s="25">
        <f>VLOOKUP(Inventory[[#This Row],[Cnd]],Lookups!$A$76:$E$84,2,FALSE)</f>
        <v>160472.20319</v>
      </c>
      <c r="AU456" s="25">
        <f>Inventory[[#This Row],[EffAge]]*Lookups!$B$85</f>
        <v>-10929.2344245</v>
      </c>
      <c r="AV456" s="25">
        <f>Inventory[[#This Row],[MainFn]]*Lookups!$B$86</f>
        <v>61662.020006496001</v>
      </c>
      <c r="AW456" s="25">
        <f>Inventory[[#This Row],[UpprFn]]*Lookups!$B$87</f>
        <v>0</v>
      </c>
      <c r="AX456" s="25">
        <f>Inventory[[#This Row],[AddFn]]*Lookups!$B$88</f>
        <v>0</v>
      </c>
      <c r="AY456" s="25">
        <f>Inventory[[#This Row],[Bsmt]]*Lookups!$B$89</f>
        <v>36294.205268255995</v>
      </c>
      <c r="AZ456" s="25">
        <f>Inventory[[#This Row],[Fixtures]]*Lookups!$B$90</f>
        <v>30336.176841600001</v>
      </c>
      <c r="BA456" s="25">
        <f>Inventory[[#This Row],[WdDeck]]*Lookups!$B$91</f>
        <v>0</v>
      </c>
      <c r="BB456" s="25">
        <f>ROUND(Inventory[[#This Row],[25Det]],-2)</f>
        <v>0</v>
      </c>
      <c r="BC456" s="25">
        <f>ROUND(SUM(Inventory[[#This Row],[Mdl Qlty]:[Mdl WdDeck]])+Inventory[[#This Row],[Mdl Res Intercept]],-2)</f>
        <v>307600</v>
      </c>
      <c r="BD456" s="25">
        <f>ROUND(Inventory[[#This Row],[Mdl Land Intercept]]+Inventory[[#This Row],[Mdl LnAcres]],-2)</f>
        <v>35600</v>
      </c>
      <c r="BE456" s="25">
        <f>Inventory[[#This Row],[Unadj Res Value]]+Inventory[[#This Row],[Unadj Det Value]]+Inventory[[#This Row],[Unadj Land Value]]</f>
        <v>343200</v>
      </c>
      <c r="BF456" s="36">
        <f>(Inventory[[#This Row],[Unadj Total Value]]-Inventory[[#This Row],[24Final]])/Inventory[[#This Row],[24Final]]</f>
        <v>4.4430919050517347E-2</v>
      </c>
      <c r="BG456" s="25">
        <f>VLOOKUP(Inventory[[#This Row],[Nbhd]],Lookups!$Q$2:$T$4,4,FALSE)</f>
        <v>0.99970000000000003</v>
      </c>
      <c r="BH456" s="25">
        <f>VLOOKUP(Inventory[[#This Row],[Qlty]],Lookups!$O$7:$R$21,4,FALSE)</f>
        <v>1.0088999999999999</v>
      </c>
      <c r="BI456" s="25">
        <f>VLOOKUP(Inventory[[#This Row],[Cnd]],Lookups!$T$7:$W$16,4,FALSE)</f>
        <v>0.99729999999999996</v>
      </c>
      <c r="BJ456" s="25">
        <f>VLOOKUP(Inventory[[#This Row],[LivArea Range]],Lookups!$T$25:$W$37,4,FALSE)</f>
        <v>1.0093000000000001</v>
      </c>
      <c r="BK456" s="25">
        <f>VLOOKUP(Inventory[[#This Row],[Decade]],Lookups!$O$25:$R$42,4,FALSE)</f>
        <v>1.0199</v>
      </c>
      <c r="BL456" s="25">
        <f>Inventory[[#This Row],[Nbhd Adj]]*0.95</f>
        <v>0.94971499999999998</v>
      </c>
      <c r="BM456" s="25">
        <f>Inventory[[#This Row],[Nbhd Adj]]*Inventory[[#This Row],[Quality Adj]]*Inventory[[#This Row],[Condition Adj]]*Inventory[[#This Row],[Living Area Adj]]*Inventory[[#This Row],[Decade Adj]]*0.95</f>
        <v>0.98366020862665582</v>
      </c>
      <c r="BN456" s="25">
        <f>ROUND(SUM(Inventory[[#This Row],[Mdl Qlty]:[Mdl WdDeck]])+Inventory[[#This Row],[Mdl Res Intercept]]*Inventory[[#This Row],[Res Adj ]],-2)</f>
        <v>307600</v>
      </c>
      <c r="BO456" s="25">
        <f>ROUND(Inventory[[#This Row],[25Det]]*Inventory[[#This Row],[Det/Nbhd Adj]],-2)</f>
        <v>0</v>
      </c>
      <c r="BP456" s="25">
        <f>Inventory[[#This Row],[Adjusted Res]]+Inventory[[#This Row],[Adj Det ]]</f>
        <v>307600</v>
      </c>
      <c r="BQ456" s="25">
        <f>ROUND((Inventory[[#This Row],[Mdl Land Intercept]]+Inventory[[#This Row],[Mdl LnAcres]])*Inventory[[#This Row],[Det/Nbhd Adj]],-2)</f>
        <v>33800</v>
      </c>
      <c r="BR456" s="25">
        <f>Inventory[[#This Row],[Adjusted Impr Total]]+Inventory[[#This Row],[Adjusted Land Total]]</f>
        <v>341400</v>
      </c>
      <c r="BS456" s="36">
        <f>IFERROR((Inventory[[#This Row],[Adjusted Impr Total]]-Inventory[[#This Row],[24Bldg]])/Inventory[[#This Row],[24Bldg]],0)</f>
        <v>0.12303760496531581</v>
      </c>
      <c r="BT456" s="36">
        <f>(Inventory[[#This Row],[Adjusted Land Total]]-Inventory[[#This Row],[24Lnd]])/Inventory[[#This Row],[24Lnd]]</f>
        <v>-0.38208409506398539</v>
      </c>
      <c r="BU456" s="36">
        <f>(Inventory[[#This Row],[Adjusted Total]]-Inventory[[#This Row],[24Final]])/Inventory[[#This Row],[24Final]]</f>
        <v>3.8953134510042606E-2</v>
      </c>
    </row>
    <row r="457" spans="1:73" x14ac:dyDescent="0.3">
      <c r="A457" s="25">
        <v>2025</v>
      </c>
      <c r="B457" s="26" t="s">
        <v>2125</v>
      </c>
      <c r="C457" s="26">
        <f>LN(Inventory[[#This Row],[Acres]])</f>
        <v>-1.6094379124341003</v>
      </c>
      <c r="D457" s="25">
        <v>0.2</v>
      </c>
      <c r="E457" s="25">
        <v>8829</v>
      </c>
      <c r="F457" s="26" t="s">
        <v>537</v>
      </c>
      <c r="G457" s="26" t="s">
        <v>126</v>
      </c>
      <c r="H457" s="26" t="s">
        <v>349</v>
      </c>
      <c r="I457" s="26" t="s">
        <v>538</v>
      </c>
      <c r="J457" s="26" t="s">
        <v>539</v>
      </c>
      <c r="K457" s="26" t="s">
        <v>241</v>
      </c>
      <c r="L457" s="26" t="s">
        <v>302</v>
      </c>
      <c r="M457" s="26" t="s">
        <v>303</v>
      </c>
      <c r="N457" s="26">
        <v>70</v>
      </c>
      <c r="O457" s="26">
        <f>2024-Inventory[[#This Row],[YrBlt]]</f>
        <v>64</v>
      </c>
      <c r="P457" s="26">
        <f>2024-Inventory[[#This Row],[EffYr]]</f>
        <v>49</v>
      </c>
      <c r="Q457" s="25">
        <v>1960</v>
      </c>
      <c r="R457" s="25">
        <v>1975</v>
      </c>
      <c r="S457" s="25">
        <v>1392</v>
      </c>
      <c r="T457" s="27"/>
      <c r="U457" s="25">
        <v>1392</v>
      </c>
      <c r="V457" s="32">
        <f>Inventory[[#This Row],[Bsmt]]-Inventory[[#This Row],[FnBsmt]]</f>
        <v>0</v>
      </c>
      <c r="W457" s="32">
        <v>1392</v>
      </c>
      <c r="X457" s="27"/>
      <c r="Y457" s="27">
        <f>Inventory[[#This Row],[MainFn]]+Inventory[[#This Row],[UpprFn]]+Inventory[[#This Row],[FnBsmt]]+Inventory[[#This Row],[AddFn]]</f>
        <v>2784</v>
      </c>
      <c r="Z457" s="27">
        <v>3000</v>
      </c>
      <c r="AA457" s="25">
        <v>7</v>
      </c>
      <c r="AB457" s="25">
        <v>525</v>
      </c>
      <c r="AC457" s="27"/>
      <c r="AD457" s="32">
        <v>128</v>
      </c>
      <c r="AE457" s="27"/>
      <c r="AF457" s="27"/>
      <c r="AG457" s="27"/>
      <c r="AH457" s="27"/>
      <c r="AI457" s="25">
        <v>418049</v>
      </c>
      <c r="AJ457" s="25">
        <v>300995</v>
      </c>
      <c r="AK457" s="25">
        <v>0</v>
      </c>
      <c r="AL457" s="25">
        <v>379300</v>
      </c>
      <c r="AM457" s="25">
        <v>58400</v>
      </c>
      <c r="AN457" s="25">
        <v>320900</v>
      </c>
      <c r="AO457" s="25">
        <v>0</v>
      </c>
      <c r="AP457" s="25">
        <f>Lookups!$B$56*0</f>
        <v>0</v>
      </c>
      <c r="AQ457" s="25">
        <f>Lookups!$B$56*1</f>
        <v>89850.625589999996</v>
      </c>
      <c r="AR457" s="25">
        <f>Lookups!$B$57*Inventory[[#This Row],[LnAcres]]</f>
        <v>-50946.13867709865</v>
      </c>
      <c r="AS457" s="25">
        <f>VLOOKUP(Inventory[[#This Row],[Qlty]],Lookups!$A$62:$E$75,2,FALSE)</f>
        <v>29814.093161000001</v>
      </c>
      <c r="AT457" s="25">
        <f>VLOOKUP(Inventory[[#This Row],[Cnd]],Lookups!$A$76:$E$84,2,FALSE)</f>
        <v>197752.34721000001</v>
      </c>
      <c r="AU457" s="25">
        <f>Inventory[[#This Row],[EffAge]]*Lookups!$B$85</f>
        <v>-10929.2344245</v>
      </c>
      <c r="AV457" s="25">
        <f>Inventory[[#This Row],[MainFn]]*Lookups!$B$86</f>
        <v>68776.868468784</v>
      </c>
      <c r="AW457" s="25">
        <f>Inventory[[#This Row],[UpprFn]]*Lookups!$B$87</f>
        <v>0</v>
      </c>
      <c r="AX457" s="25">
        <f>Inventory[[#This Row],[AddFn]]*Lookups!$B$88</f>
        <v>0</v>
      </c>
      <c r="AY457" s="25">
        <f>Inventory[[#This Row],[Bsmt]]*Lookups!$B$89</f>
        <v>40481.998183823998</v>
      </c>
      <c r="AZ457" s="25">
        <f>Inventory[[#This Row],[Fixtures]]*Lookups!$B$90</f>
        <v>26544.1547364</v>
      </c>
      <c r="BA457" s="25">
        <f>Inventory[[#This Row],[WdDeck]]*Lookups!$B$91</f>
        <v>4261.8259553280004</v>
      </c>
      <c r="BB457" s="25">
        <f>ROUND(Inventory[[#This Row],[25Det]],-2)</f>
        <v>0</v>
      </c>
      <c r="BC457" s="25">
        <f>ROUND(SUM(Inventory[[#This Row],[Mdl Qlty]:[Mdl WdDeck]])+Inventory[[#This Row],[Mdl Res Intercept]],-2)</f>
        <v>356700</v>
      </c>
      <c r="BD457" s="25">
        <f>ROUND(Inventory[[#This Row],[Mdl Land Intercept]]+Inventory[[#This Row],[Mdl LnAcres]],-2)</f>
        <v>38900</v>
      </c>
      <c r="BE457" s="25">
        <f>Inventory[[#This Row],[Unadj Res Value]]+Inventory[[#This Row],[Unadj Det Value]]+Inventory[[#This Row],[Unadj Land Value]]</f>
        <v>395600</v>
      </c>
      <c r="BF457" s="36">
        <f>(Inventory[[#This Row],[Unadj Total Value]]-Inventory[[#This Row],[24Final]])/Inventory[[#This Row],[24Final]]</f>
        <v>4.2973899288162407E-2</v>
      </c>
      <c r="BG457" s="25">
        <f>VLOOKUP(Inventory[[#This Row],[Nbhd]],Lookups!$Q$2:$T$4,4,FALSE)</f>
        <v>0.99970000000000003</v>
      </c>
      <c r="BH457" s="25">
        <f>VLOOKUP(Inventory[[#This Row],[Qlty]],Lookups!$O$7:$R$21,4,FALSE)</f>
        <v>1.0088999999999999</v>
      </c>
      <c r="BI457" s="25">
        <f>VLOOKUP(Inventory[[#This Row],[Cnd]],Lookups!$T$7:$W$16,4,FALSE)</f>
        <v>0.99650000000000005</v>
      </c>
      <c r="BJ457" s="25">
        <f>VLOOKUP(Inventory[[#This Row],[LivArea Range]],Lookups!$T$25:$W$37,4,FALSE)</f>
        <v>0.96179999999999999</v>
      </c>
      <c r="BK457" s="25">
        <f>VLOOKUP(Inventory[[#This Row],[Decade]],Lookups!$O$25:$R$42,4,FALSE)</f>
        <v>1.0199</v>
      </c>
      <c r="BL457" s="25">
        <f>Inventory[[#This Row],[Nbhd Adj]]*0.95</f>
        <v>0.94971499999999998</v>
      </c>
      <c r="BM457" s="25">
        <f>Inventory[[#This Row],[Nbhd Adj]]*Inventory[[#This Row],[Quality Adj]]*Inventory[[#This Row],[Condition Adj]]*Inventory[[#This Row],[Living Area Adj]]*Inventory[[#This Row],[Decade Adj]]*0.95</f>
        <v>0.93661495300843212</v>
      </c>
      <c r="BN457" s="25">
        <f>ROUND(SUM(Inventory[[#This Row],[Mdl Qlty]:[Mdl WdDeck]])+Inventory[[#This Row],[Mdl Res Intercept]]*Inventory[[#This Row],[Res Adj ]],-2)</f>
        <v>356700</v>
      </c>
      <c r="BO457" s="25">
        <f>ROUND(Inventory[[#This Row],[25Det]]*Inventory[[#This Row],[Det/Nbhd Adj]],-2)</f>
        <v>0</v>
      </c>
      <c r="BP457" s="25">
        <f>Inventory[[#This Row],[Adjusted Res]]+Inventory[[#This Row],[Adj Det ]]</f>
        <v>356700</v>
      </c>
      <c r="BQ457" s="25">
        <f>ROUND((Inventory[[#This Row],[Mdl Land Intercept]]+Inventory[[#This Row],[Mdl LnAcres]])*Inventory[[#This Row],[Det/Nbhd Adj]],-2)</f>
        <v>36900</v>
      </c>
      <c r="BR457" s="25">
        <f>Inventory[[#This Row],[Adjusted Impr Total]]+Inventory[[#This Row],[Adjusted Land Total]]</f>
        <v>393600</v>
      </c>
      <c r="BS457" s="36">
        <f>IFERROR((Inventory[[#This Row],[Adjusted Impr Total]]-Inventory[[#This Row],[24Bldg]])/Inventory[[#This Row],[24Bldg]],0)</f>
        <v>0.11156123402929262</v>
      </c>
      <c r="BT457" s="36">
        <f>(Inventory[[#This Row],[Adjusted Land Total]]-Inventory[[#This Row],[24Lnd]])/Inventory[[#This Row],[24Lnd]]</f>
        <v>-0.36815068493150682</v>
      </c>
      <c r="BU457" s="36">
        <f>(Inventory[[#This Row],[Adjusted Total]]-Inventory[[#This Row],[24Final]])/Inventory[[#This Row],[24Final]]</f>
        <v>3.7701028209860266E-2</v>
      </c>
    </row>
    <row r="458" spans="1:73" x14ac:dyDescent="0.3">
      <c r="A458" s="25">
        <v>2025</v>
      </c>
      <c r="B458" s="26" t="s">
        <v>823</v>
      </c>
      <c r="C458" s="26">
        <f>LN(Inventory[[#This Row],[Acres]])</f>
        <v>-1.3093333199837622</v>
      </c>
      <c r="D458" s="25">
        <v>0.27</v>
      </c>
      <c r="E458" s="25">
        <v>11721</v>
      </c>
      <c r="F458" s="26" t="s">
        <v>537</v>
      </c>
      <c r="G458" s="26" t="s">
        <v>126</v>
      </c>
      <c r="H458" s="26" t="s">
        <v>349</v>
      </c>
      <c r="I458" s="26" t="s">
        <v>538</v>
      </c>
      <c r="J458" s="26" t="s">
        <v>539</v>
      </c>
      <c r="K458" s="26" t="s">
        <v>241</v>
      </c>
      <c r="L458" s="26" t="s">
        <v>302</v>
      </c>
      <c r="M458" s="26" t="s">
        <v>206</v>
      </c>
      <c r="N458" s="26">
        <v>70</v>
      </c>
      <c r="O458" s="26">
        <f>2024-Inventory[[#This Row],[YrBlt]]</f>
        <v>64</v>
      </c>
      <c r="P458" s="26">
        <f>2024-Inventory[[#This Row],[EffYr]]</f>
        <v>49</v>
      </c>
      <c r="Q458" s="25">
        <v>1960</v>
      </c>
      <c r="R458" s="25">
        <v>1975</v>
      </c>
      <c r="S458" s="25">
        <v>1286</v>
      </c>
      <c r="T458" s="27"/>
      <c r="U458" s="32">
        <v>1286</v>
      </c>
      <c r="V458" s="32">
        <f>Inventory[[#This Row],[Bsmt]]-Inventory[[#This Row],[FnBsmt]]</f>
        <v>286</v>
      </c>
      <c r="W458" s="32">
        <v>1000</v>
      </c>
      <c r="X458" s="27"/>
      <c r="Y458" s="27">
        <f>Inventory[[#This Row],[MainFn]]+Inventory[[#This Row],[UpprFn]]+Inventory[[#This Row],[FnBsmt]]+Inventory[[#This Row],[AddFn]]</f>
        <v>2286</v>
      </c>
      <c r="Z458" s="27">
        <v>2500</v>
      </c>
      <c r="AA458" s="25">
        <v>8</v>
      </c>
      <c r="AB458" s="31"/>
      <c r="AC458" s="27"/>
      <c r="AD458" s="32">
        <v>168</v>
      </c>
      <c r="AE458" s="27"/>
      <c r="AF458" s="27"/>
      <c r="AG458" s="27"/>
      <c r="AH458" s="27"/>
      <c r="AI458" s="25">
        <v>391598</v>
      </c>
      <c r="AJ458" s="25">
        <v>274119</v>
      </c>
      <c r="AK458" s="25">
        <v>13322</v>
      </c>
      <c r="AL458" s="25">
        <v>335700</v>
      </c>
      <c r="AM458" s="25">
        <v>68900</v>
      </c>
      <c r="AN458" s="25">
        <v>266800</v>
      </c>
      <c r="AO458" s="25">
        <v>0</v>
      </c>
      <c r="AP458" s="25">
        <f>Lookups!$B$56*0</f>
        <v>0</v>
      </c>
      <c r="AQ458" s="25">
        <f>Lookups!$B$56*1</f>
        <v>89850.625589999996</v>
      </c>
      <c r="AR458" s="25">
        <f>Lookups!$B$57*Inventory[[#This Row],[LnAcres]]</f>
        <v>-41446.443120973789</v>
      </c>
      <c r="AS458" s="25">
        <f>VLOOKUP(Inventory[[#This Row],[Qlty]],Lookups!$A$62:$E$75,2,FALSE)</f>
        <v>29814.093161000001</v>
      </c>
      <c r="AT458" s="25">
        <f>VLOOKUP(Inventory[[#This Row],[Cnd]],Lookups!$A$76:$E$84,2,FALSE)</f>
        <v>133714.53821</v>
      </c>
      <c r="AU458" s="25">
        <f>Inventory[[#This Row],[EffAge]]*Lookups!$B$85</f>
        <v>-10929.2344245</v>
      </c>
      <c r="AV458" s="25">
        <f>Inventory[[#This Row],[MainFn]]*Lookups!$B$86</f>
        <v>63539.549461822004</v>
      </c>
      <c r="AW458" s="25">
        <f>Inventory[[#This Row],[UpprFn]]*Lookups!$B$87</f>
        <v>0</v>
      </c>
      <c r="AX458" s="25">
        <f>Inventory[[#This Row],[AddFn]]*Lookups!$B$88</f>
        <v>0</v>
      </c>
      <c r="AY458" s="25">
        <f>Inventory[[#This Row],[Bsmt]]*Lookups!$B$89</f>
        <v>37399.317287641999</v>
      </c>
      <c r="AZ458" s="25">
        <f>Inventory[[#This Row],[Fixtures]]*Lookups!$B$90</f>
        <v>30336.176841600001</v>
      </c>
      <c r="BA458" s="25">
        <f>Inventory[[#This Row],[WdDeck]]*Lookups!$B$91</f>
        <v>5593.646566368001</v>
      </c>
      <c r="BB458" s="25">
        <f>ROUND(Inventory[[#This Row],[25Det]],-2)</f>
        <v>13300</v>
      </c>
      <c r="BC458" s="25">
        <f>ROUND(SUM(Inventory[[#This Row],[Mdl Qlty]:[Mdl WdDeck]])+Inventory[[#This Row],[Mdl Res Intercept]],-2)</f>
        <v>289500</v>
      </c>
      <c r="BD458" s="25">
        <f>ROUND(Inventory[[#This Row],[Mdl Land Intercept]]+Inventory[[#This Row],[Mdl LnAcres]],-2)</f>
        <v>48400</v>
      </c>
      <c r="BE458" s="25">
        <f>Inventory[[#This Row],[Unadj Res Value]]+Inventory[[#This Row],[Unadj Det Value]]+Inventory[[#This Row],[Unadj Land Value]]</f>
        <v>351200</v>
      </c>
      <c r="BF458" s="36">
        <f>(Inventory[[#This Row],[Unadj Total Value]]-Inventory[[#This Row],[24Final]])/Inventory[[#This Row],[24Final]]</f>
        <v>4.6172177539469762E-2</v>
      </c>
      <c r="BG458" s="25">
        <f>VLOOKUP(Inventory[[#This Row],[Nbhd]],Lookups!$Q$2:$T$4,4,FALSE)</f>
        <v>0.99970000000000003</v>
      </c>
      <c r="BH458" s="25">
        <f>VLOOKUP(Inventory[[#This Row],[Qlty]],Lookups!$O$7:$R$21,4,FALSE)</f>
        <v>1.0088999999999999</v>
      </c>
      <c r="BI458" s="25">
        <f>VLOOKUP(Inventory[[#This Row],[Cnd]],Lookups!$T$7:$W$16,4,FALSE)</f>
        <v>0.99329999999999996</v>
      </c>
      <c r="BJ458" s="25">
        <f>VLOOKUP(Inventory[[#This Row],[LivArea Range]],Lookups!$T$25:$W$37,4,FALSE)</f>
        <v>0.98919999999999997</v>
      </c>
      <c r="BK458" s="25">
        <f>VLOOKUP(Inventory[[#This Row],[Decade]],Lookups!$O$25:$R$42,4,FALSE)</f>
        <v>1.0199</v>
      </c>
      <c r="BL458" s="25">
        <f>Inventory[[#This Row],[Nbhd Adj]]*0.95</f>
        <v>0.94971499999999998</v>
      </c>
      <c r="BM458" s="25">
        <f>Inventory[[#This Row],[Nbhd Adj]]*Inventory[[#This Row],[Quality Adj]]*Inventory[[#This Row],[Condition Adj]]*Inventory[[#This Row],[Living Area Adj]]*Inventory[[#This Row],[Decade Adj]]*0.95</f>
        <v>0.96020409631754822</v>
      </c>
      <c r="BN458" s="25">
        <f>ROUND(SUM(Inventory[[#This Row],[Mdl Qlty]:[Mdl WdDeck]])+Inventory[[#This Row],[Mdl Res Intercept]]*Inventory[[#This Row],[Res Adj ]],-2)</f>
        <v>289500</v>
      </c>
      <c r="BO458" s="25">
        <f>ROUND(Inventory[[#This Row],[25Det]]*Inventory[[#This Row],[Det/Nbhd Adj]],-2)</f>
        <v>12700</v>
      </c>
      <c r="BP458" s="25">
        <f>Inventory[[#This Row],[Adjusted Res]]+Inventory[[#This Row],[Adj Det ]]</f>
        <v>302200</v>
      </c>
      <c r="BQ458" s="25">
        <f>ROUND((Inventory[[#This Row],[Mdl Land Intercept]]+Inventory[[#This Row],[Mdl LnAcres]])*Inventory[[#This Row],[Det/Nbhd Adj]],-2)</f>
        <v>46000</v>
      </c>
      <c r="BR458" s="25">
        <f>Inventory[[#This Row],[Adjusted Impr Total]]+Inventory[[#This Row],[Adjusted Land Total]]</f>
        <v>348200</v>
      </c>
      <c r="BS458" s="36">
        <f>IFERROR((Inventory[[#This Row],[Adjusted Impr Total]]-Inventory[[#This Row],[24Bldg]])/Inventory[[#This Row],[24Bldg]],0)</f>
        <v>0.13268365817091454</v>
      </c>
      <c r="BT458" s="36">
        <f>(Inventory[[#This Row],[Adjusted Land Total]]-Inventory[[#This Row],[24Lnd]])/Inventory[[#This Row],[24Lnd]]</f>
        <v>-0.33236574746008707</v>
      </c>
      <c r="BU458" s="36">
        <f>(Inventory[[#This Row],[Adjusted Total]]-Inventory[[#This Row],[24Final]])/Inventory[[#This Row],[24Final]]</f>
        <v>3.7235627047959491E-2</v>
      </c>
    </row>
    <row r="459" spans="1:73" x14ac:dyDescent="0.3">
      <c r="A459" s="25">
        <v>2025</v>
      </c>
      <c r="B459" s="26" t="s">
        <v>2641</v>
      </c>
      <c r="C459" s="26">
        <f>LN(Inventory[[#This Row],[Acres]])</f>
        <v>-1.7719568419318752</v>
      </c>
      <c r="D459" s="25">
        <v>0.17</v>
      </c>
      <c r="E459" s="32">
        <v>7280</v>
      </c>
      <c r="F459" s="26" t="s">
        <v>537</v>
      </c>
      <c r="G459" s="26" t="s">
        <v>126</v>
      </c>
      <c r="H459" s="26" t="s">
        <v>349</v>
      </c>
      <c r="I459" s="26" t="s">
        <v>538</v>
      </c>
      <c r="J459" s="26" t="s">
        <v>539</v>
      </c>
      <c r="K459" s="26" t="s">
        <v>241</v>
      </c>
      <c r="L459" s="26" t="s">
        <v>302</v>
      </c>
      <c r="M459" s="26" t="s">
        <v>303</v>
      </c>
      <c r="N459" s="26">
        <v>70</v>
      </c>
      <c r="O459" s="26">
        <f>2024-Inventory[[#This Row],[YrBlt]]</f>
        <v>64</v>
      </c>
      <c r="P459" s="26">
        <f>2024-Inventory[[#This Row],[EffYr]]</f>
        <v>49</v>
      </c>
      <c r="Q459" s="25">
        <v>1960</v>
      </c>
      <c r="R459" s="25">
        <v>1975</v>
      </c>
      <c r="S459" s="25">
        <v>1398</v>
      </c>
      <c r="T459" s="27"/>
      <c r="U459" s="25">
        <v>725</v>
      </c>
      <c r="V459" s="25">
        <f>Inventory[[#This Row],[Bsmt]]-Inventory[[#This Row],[FnBsmt]]</f>
        <v>0</v>
      </c>
      <c r="W459" s="25">
        <v>725</v>
      </c>
      <c r="X459" s="27"/>
      <c r="Y459" s="27">
        <f>Inventory[[#This Row],[MainFn]]+Inventory[[#This Row],[UpprFn]]+Inventory[[#This Row],[FnBsmt]]+Inventory[[#This Row],[AddFn]]</f>
        <v>2123</v>
      </c>
      <c r="Z459" s="27">
        <v>2500</v>
      </c>
      <c r="AA459" s="25">
        <v>7</v>
      </c>
      <c r="AB459" s="32">
        <v>448</v>
      </c>
      <c r="AC459" s="31"/>
      <c r="AD459" s="31"/>
      <c r="AE459" s="27"/>
      <c r="AF459" s="27"/>
      <c r="AG459" s="27"/>
      <c r="AH459" s="27"/>
      <c r="AI459" s="25">
        <v>378672</v>
      </c>
      <c r="AJ459" s="25">
        <v>272644</v>
      </c>
      <c r="AK459" s="25">
        <v>0</v>
      </c>
      <c r="AL459" s="25">
        <v>352500</v>
      </c>
      <c r="AM459" s="25">
        <v>52700</v>
      </c>
      <c r="AN459" s="25">
        <v>299800</v>
      </c>
      <c r="AO459" s="25">
        <v>0</v>
      </c>
      <c r="AP459" s="25">
        <f>Lookups!$B$56*0</f>
        <v>0</v>
      </c>
      <c r="AQ459" s="25">
        <f>Lookups!$B$56*1</f>
        <v>89850.625589999996</v>
      </c>
      <c r="AR459" s="25">
        <f>Lookups!$B$57*Inventory[[#This Row],[LnAcres]]</f>
        <v>-56090.612940989391</v>
      </c>
      <c r="AS459" s="25">
        <f>VLOOKUP(Inventory[[#This Row],[Qlty]],Lookups!$A$62:$E$75,2,FALSE)</f>
        <v>29814.093161000001</v>
      </c>
      <c r="AT459" s="25">
        <f>VLOOKUP(Inventory[[#This Row],[Cnd]],Lookups!$A$76:$E$84,2,FALSE)</f>
        <v>197752.34721000001</v>
      </c>
      <c r="AU459" s="25">
        <f>Inventory[[#This Row],[EffAge]]*Lookups!$B$85</f>
        <v>-10929.2344245</v>
      </c>
      <c r="AV459" s="25">
        <f>Inventory[[#This Row],[MainFn]]*Lookups!$B$86</f>
        <v>69073.320488045996</v>
      </c>
      <c r="AW459" s="25">
        <f>Inventory[[#This Row],[UpprFn]]*Lookups!$B$87</f>
        <v>0</v>
      </c>
      <c r="AX459" s="25">
        <f>Inventory[[#This Row],[AddFn]]*Lookups!$B$88</f>
        <v>0</v>
      </c>
      <c r="AY459" s="25">
        <f>Inventory[[#This Row],[Bsmt]]*Lookups!$B$89</f>
        <v>21084.374054075</v>
      </c>
      <c r="AZ459" s="25">
        <f>Inventory[[#This Row],[Fixtures]]*Lookups!$B$90</f>
        <v>26544.1547364</v>
      </c>
      <c r="BA459" s="25">
        <f>Inventory[[#This Row],[WdDeck]]*Lookups!$B$91</f>
        <v>0</v>
      </c>
      <c r="BB459" s="25">
        <f>ROUND(Inventory[[#This Row],[25Det]],-2)</f>
        <v>0</v>
      </c>
      <c r="BC459" s="25">
        <f>ROUND(SUM(Inventory[[#This Row],[Mdl Qlty]:[Mdl WdDeck]])+Inventory[[#This Row],[Mdl Res Intercept]],-2)</f>
        <v>333300</v>
      </c>
      <c r="BD459" s="25">
        <f>ROUND(Inventory[[#This Row],[Mdl Land Intercept]]+Inventory[[#This Row],[Mdl LnAcres]],-2)</f>
        <v>33800</v>
      </c>
      <c r="BE459" s="25">
        <f>Inventory[[#This Row],[Unadj Res Value]]+Inventory[[#This Row],[Unadj Det Value]]+Inventory[[#This Row],[Unadj Land Value]]</f>
        <v>367100</v>
      </c>
      <c r="BF459" s="36">
        <f>(Inventory[[#This Row],[Unadj Total Value]]-Inventory[[#This Row],[24Final]])/Inventory[[#This Row],[24Final]]</f>
        <v>4.141843971631206E-2</v>
      </c>
      <c r="BG459" s="25">
        <f>VLOOKUP(Inventory[[#This Row],[Nbhd]],Lookups!$Q$2:$T$4,4,FALSE)</f>
        <v>0.99970000000000003</v>
      </c>
      <c r="BH459" s="25">
        <f>VLOOKUP(Inventory[[#This Row],[Qlty]],Lookups!$O$7:$R$21,4,FALSE)</f>
        <v>1.0088999999999999</v>
      </c>
      <c r="BI459" s="25">
        <f>VLOOKUP(Inventory[[#This Row],[Cnd]],Lookups!$T$7:$W$16,4,FALSE)</f>
        <v>0.99650000000000005</v>
      </c>
      <c r="BJ459" s="25">
        <f>VLOOKUP(Inventory[[#This Row],[LivArea Range]],Lookups!$T$25:$W$37,4,FALSE)</f>
        <v>0.98919999999999997</v>
      </c>
      <c r="BK459" s="25">
        <f>VLOOKUP(Inventory[[#This Row],[Decade]],Lookups!$O$25:$R$42,4,FALSE)</f>
        <v>1.0199</v>
      </c>
      <c r="BL459" s="25">
        <f>Inventory[[#This Row],[Nbhd Adj]]*0.95</f>
        <v>0.94971499999999998</v>
      </c>
      <c r="BM459" s="25">
        <f>Inventory[[#This Row],[Nbhd Adj]]*Inventory[[#This Row],[Quality Adj]]*Inventory[[#This Row],[Condition Adj]]*Inventory[[#This Row],[Living Area Adj]]*Inventory[[#This Row],[Decade Adj]]*0.95</f>
        <v>0.9632974750633615</v>
      </c>
      <c r="BN459" s="25">
        <f>ROUND(SUM(Inventory[[#This Row],[Mdl Qlty]:[Mdl WdDeck]])+Inventory[[#This Row],[Mdl Res Intercept]]*Inventory[[#This Row],[Res Adj ]],-2)</f>
        <v>333300</v>
      </c>
      <c r="BO459" s="25">
        <f>ROUND(Inventory[[#This Row],[25Det]]*Inventory[[#This Row],[Det/Nbhd Adj]],-2)</f>
        <v>0</v>
      </c>
      <c r="BP459" s="25">
        <f>Inventory[[#This Row],[Adjusted Res]]+Inventory[[#This Row],[Adj Det ]]</f>
        <v>333300</v>
      </c>
      <c r="BQ459" s="25">
        <f>ROUND((Inventory[[#This Row],[Mdl Land Intercept]]+Inventory[[#This Row],[Mdl LnAcres]])*Inventory[[#This Row],[Det/Nbhd Adj]],-2)</f>
        <v>32100</v>
      </c>
      <c r="BR459" s="25">
        <f>Inventory[[#This Row],[Adjusted Impr Total]]+Inventory[[#This Row],[Adjusted Land Total]]</f>
        <v>365400</v>
      </c>
      <c r="BS459" s="36">
        <f>IFERROR((Inventory[[#This Row],[Adjusted Impr Total]]-Inventory[[#This Row],[24Bldg]])/Inventory[[#This Row],[24Bldg]],0)</f>
        <v>0.11174116077384923</v>
      </c>
      <c r="BT459" s="36">
        <f>(Inventory[[#This Row],[Adjusted Land Total]]-Inventory[[#This Row],[24Lnd]])/Inventory[[#This Row],[24Lnd]]</f>
        <v>-0.39089184060721061</v>
      </c>
      <c r="BU459" s="36">
        <f>(Inventory[[#This Row],[Adjusted Total]]-Inventory[[#This Row],[24Final]])/Inventory[[#This Row],[24Final]]</f>
        <v>3.6595744680851063E-2</v>
      </c>
    </row>
    <row r="460" spans="1:73" x14ac:dyDescent="0.3">
      <c r="A460" s="25">
        <v>2025</v>
      </c>
      <c r="B460" s="26" t="s">
        <v>1325</v>
      </c>
      <c r="C460" s="26">
        <f>LN(Inventory[[#This Row],[Acres]])</f>
        <v>-1.5141277326297755</v>
      </c>
      <c r="D460" s="25">
        <v>0.22</v>
      </c>
      <c r="E460" s="25">
        <v>9672</v>
      </c>
      <c r="F460" s="26" t="s">
        <v>537</v>
      </c>
      <c r="G460" s="26" t="s">
        <v>126</v>
      </c>
      <c r="H460" s="26" t="s">
        <v>349</v>
      </c>
      <c r="I460" s="26" t="s">
        <v>538</v>
      </c>
      <c r="J460" s="26" t="s">
        <v>539</v>
      </c>
      <c r="K460" s="26" t="s">
        <v>241</v>
      </c>
      <c r="L460" s="26" t="s">
        <v>148</v>
      </c>
      <c r="M460" s="26" t="s">
        <v>303</v>
      </c>
      <c r="N460" s="26">
        <v>70</v>
      </c>
      <c r="O460" s="26">
        <f>2024-Inventory[[#This Row],[YrBlt]]</f>
        <v>64</v>
      </c>
      <c r="P460" s="26">
        <f>2024-Inventory[[#This Row],[EffYr]]</f>
        <v>49</v>
      </c>
      <c r="Q460" s="25">
        <v>1960</v>
      </c>
      <c r="R460" s="25">
        <v>1975</v>
      </c>
      <c r="S460" s="25">
        <v>1217</v>
      </c>
      <c r="T460" s="27"/>
      <c r="U460" s="25">
        <v>1100</v>
      </c>
      <c r="V460" s="25">
        <f>Inventory[[#This Row],[Bsmt]]-Inventory[[#This Row],[FnBsmt]]</f>
        <v>100</v>
      </c>
      <c r="W460" s="25">
        <v>1000</v>
      </c>
      <c r="X460" s="27"/>
      <c r="Y460" s="27">
        <f>Inventory[[#This Row],[MainFn]]+Inventory[[#This Row],[UpprFn]]+Inventory[[#This Row],[FnBsmt]]+Inventory[[#This Row],[AddFn]]</f>
        <v>2217</v>
      </c>
      <c r="Z460" s="27">
        <v>2500</v>
      </c>
      <c r="AA460" s="25">
        <v>12</v>
      </c>
      <c r="AB460" s="32">
        <v>440</v>
      </c>
      <c r="AC460" s="31"/>
      <c r="AD460" s="31"/>
      <c r="AE460" s="27"/>
      <c r="AF460" s="27"/>
      <c r="AG460" s="27"/>
      <c r="AH460" s="27"/>
      <c r="AI460" s="25">
        <v>428151</v>
      </c>
      <c r="AJ460" s="25">
        <v>308269</v>
      </c>
      <c r="AK460" s="25">
        <v>0</v>
      </c>
      <c r="AL460" s="25">
        <v>394100</v>
      </c>
      <c r="AM460" s="25">
        <v>61700</v>
      </c>
      <c r="AN460" s="25">
        <v>332400</v>
      </c>
      <c r="AO460" s="25">
        <v>0</v>
      </c>
      <c r="AP460" s="25">
        <f>Lookups!$B$56*0</f>
        <v>0</v>
      </c>
      <c r="AQ460" s="25">
        <f>Lookups!$B$56*1</f>
        <v>89850.625589999996</v>
      </c>
      <c r="AR460" s="25">
        <f>Lookups!$B$57*Inventory[[#This Row],[LnAcres]]</f>
        <v>-47929.131559187132</v>
      </c>
      <c r="AS460" s="25">
        <f>VLOOKUP(Inventory[[#This Row],[Qlty]],Lookups!$A$62:$E$75,2,FALSE)</f>
        <v>44121.038090000002</v>
      </c>
      <c r="AT460" s="25">
        <f>VLOOKUP(Inventory[[#This Row],[Cnd]],Lookups!$A$76:$E$84,2,FALSE)</f>
        <v>197752.34721000001</v>
      </c>
      <c r="AU460" s="25">
        <f>Inventory[[#This Row],[EffAge]]*Lookups!$B$85</f>
        <v>-10929.2344245</v>
      </c>
      <c r="AV460" s="25">
        <f>Inventory[[#This Row],[MainFn]]*Lookups!$B$86</f>
        <v>60130.351240308999</v>
      </c>
      <c r="AW460" s="25">
        <f>Inventory[[#This Row],[UpprFn]]*Lookups!$B$87</f>
        <v>0</v>
      </c>
      <c r="AX460" s="25">
        <f>Inventory[[#This Row],[AddFn]]*Lookups!$B$88</f>
        <v>0</v>
      </c>
      <c r="AY460" s="25">
        <f>Inventory[[#This Row],[Bsmt]]*Lookups!$B$89</f>
        <v>31990.0847717</v>
      </c>
      <c r="AZ460" s="25">
        <f>Inventory[[#This Row],[Fixtures]]*Lookups!$B$90</f>
        <v>45504.265262400004</v>
      </c>
      <c r="BA460" s="25">
        <f>Inventory[[#This Row],[WdDeck]]*Lookups!$B$91</f>
        <v>0</v>
      </c>
      <c r="BB460" s="25">
        <f>ROUND(Inventory[[#This Row],[25Det]],-2)</f>
        <v>0</v>
      </c>
      <c r="BC460" s="25">
        <f>ROUND(SUM(Inventory[[#This Row],[Mdl Qlty]:[Mdl WdDeck]])+Inventory[[#This Row],[Mdl Res Intercept]],-2)</f>
        <v>368600</v>
      </c>
      <c r="BD460" s="25">
        <f>ROUND(Inventory[[#This Row],[Mdl Land Intercept]]+Inventory[[#This Row],[Mdl LnAcres]],-2)</f>
        <v>41900</v>
      </c>
      <c r="BE460" s="25">
        <f>Inventory[[#This Row],[Unadj Res Value]]+Inventory[[#This Row],[Unadj Det Value]]+Inventory[[#This Row],[Unadj Land Value]]</f>
        <v>410500</v>
      </c>
      <c r="BF460" s="36">
        <f>(Inventory[[#This Row],[Unadj Total Value]]-Inventory[[#This Row],[24Final]])/Inventory[[#This Row],[24Final]]</f>
        <v>4.1613803603146413E-2</v>
      </c>
      <c r="BG460" s="25">
        <f>VLOOKUP(Inventory[[#This Row],[Nbhd]],Lookups!$Q$2:$T$4,4,FALSE)</f>
        <v>0.99970000000000003</v>
      </c>
      <c r="BH460" s="25">
        <f>VLOOKUP(Inventory[[#This Row],[Qlty]],Lookups!$O$7:$R$21,4,FALSE)</f>
        <v>0.98050000000000004</v>
      </c>
      <c r="BI460" s="25">
        <f>VLOOKUP(Inventory[[#This Row],[Cnd]],Lookups!$T$7:$W$16,4,FALSE)</f>
        <v>0.99650000000000005</v>
      </c>
      <c r="BJ460" s="25">
        <f>VLOOKUP(Inventory[[#This Row],[LivArea Range]],Lookups!$T$25:$W$37,4,FALSE)</f>
        <v>0.98919999999999997</v>
      </c>
      <c r="BK460" s="25">
        <f>VLOOKUP(Inventory[[#This Row],[Decade]],Lookups!$O$25:$R$42,4,FALSE)</f>
        <v>1.0199</v>
      </c>
      <c r="BL460" s="25">
        <f>Inventory[[#This Row],[Nbhd Adj]]*0.95</f>
        <v>0.94971499999999998</v>
      </c>
      <c r="BM460" s="25">
        <f>Inventory[[#This Row],[Nbhd Adj]]*Inventory[[#This Row],[Quality Adj]]*Inventory[[#This Row],[Condition Adj]]*Inventory[[#This Row],[Living Area Adj]]*Inventory[[#This Row],[Decade Adj]]*0.95</f>
        <v>0.936181161958198</v>
      </c>
      <c r="BN460" s="25">
        <f>ROUND(SUM(Inventory[[#This Row],[Mdl Qlty]:[Mdl WdDeck]])+Inventory[[#This Row],[Mdl Res Intercept]]*Inventory[[#This Row],[Res Adj ]],-2)</f>
        <v>368600</v>
      </c>
      <c r="BO460" s="25">
        <f>ROUND(Inventory[[#This Row],[25Det]]*Inventory[[#This Row],[Det/Nbhd Adj]],-2)</f>
        <v>0</v>
      </c>
      <c r="BP460" s="25">
        <f>Inventory[[#This Row],[Adjusted Res]]+Inventory[[#This Row],[Adj Det ]]</f>
        <v>368600</v>
      </c>
      <c r="BQ460" s="25">
        <f>ROUND((Inventory[[#This Row],[Mdl Land Intercept]]+Inventory[[#This Row],[Mdl LnAcres]])*Inventory[[#This Row],[Det/Nbhd Adj]],-2)</f>
        <v>39800</v>
      </c>
      <c r="BR460" s="25">
        <f>Inventory[[#This Row],[Adjusted Impr Total]]+Inventory[[#This Row],[Adjusted Land Total]]</f>
        <v>408400</v>
      </c>
      <c r="BS460" s="36">
        <f>IFERROR((Inventory[[#This Row],[Adjusted Impr Total]]-Inventory[[#This Row],[24Bldg]])/Inventory[[#This Row],[24Bldg]],0)</f>
        <v>0.10890493381468111</v>
      </c>
      <c r="BT460" s="36">
        <f>(Inventory[[#This Row],[Adjusted Land Total]]-Inventory[[#This Row],[24Lnd]])/Inventory[[#This Row],[24Lnd]]</f>
        <v>-0.35494327390599678</v>
      </c>
      <c r="BU460" s="36">
        <f>(Inventory[[#This Row],[Adjusted Total]]-Inventory[[#This Row],[24Final]])/Inventory[[#This Row],[24Final]]</f>
        <v>3.628520680030449E-2</v>
      </c>
    </row>
    <row r="461" spans="1:73" x14ac:dyDescent="0.3">
      <c r="A461" s="25">
        <v>2025</v>
      </c>
      <c r="B461" s="26" t="s">
        <v>2126</v>
      </c>
      <c r="C461" s="26">
        <f>LN(Inventory[[#This Row],[Acres]])</f>
        <v>-1.4271163556401458</v>
      </c>
      <c r="D461" s="25">
        <v>0.24</v>
      </c>
      <c r="E461" s="25">
        <v>10332</v>
      </c>
      <c r="F461" s="26" t="s">
        <v>537</v>
      </c>
      <c r="G461" s="26" t="s">
        <v>126</v>
      </c>
      <c r="H461" s="26" t="s">
        <v>349</v>
      </c>
      <c r="I461" s="26" t="s">
        <v>538</v>
      </c>
      <c r="J461" s="26" t="s">
        <v>539</v>
      </c>
      <c r="K461" s="26" t="s">
        <v>241</v>
      </c>
      <c r="L461" s="26" t="s">
        <v>148</v>
      </c>
      <c r="M461" s="26" t="s">
        <v>303</v>
      </c>
      <c r="N461" s="26">
        <v>70</v>
      </c>
      <c r="O461" s="26">
        <f>2024-Inventory[[#This Row],[YrBlt]]</f>
        <v>64</v>
      </c>
      <c r="P461" s="26">
        <f>2024-Inventory[[#This Row],[EffYr]]</f>
        <v>49</v>
      </c>
      <c r="Q461" s="25">
        <v>1960</v>
      </c>
      <c r="R461" s="25">
        <v>1975</v>
      </c>
      <c r="S461" s="25">
        <v>1543</v>
      </c>
      <c r="T461" s="27"/>
      <c r="U461" s="25">
        <v>1144</v>
      </c>
      <c r="V461" s="25">
        <f>Inventory[[#This Row],[Bsmt]]-Inventory[[#This Row],[FnBsmt]]</f>
        <v>0</v>
      </c>
      <c r="W461" s="25">
        <v>1144</v>
      </c>
      <c r="X461" s="27"/>
      <c r="Y461" s="27">
        <f>Inventory[[#This Row],[MainFn]]+Inventory[[#This Row],[UpprFn]]+Inventory[[#This Row],[FnBsmt]]+Inventory[[#This Row],[AddFn]]</f>
        <v>2687</v>
      </c>
      <c r="Z461" s="27">
        <v>3000</v>
      </c>
      <c r="AA461" s="25">
        <v>13</v>
      </c>
      <c r="AB461" s="32">
        <v>441</v>
      </c>
      <c r="AC461" s="27"/>
      <c r="AD461" s="32">
        <v>120</v>
      </c>
      <c r="AE461" s="27"/>
      <c r="AF461" s="27"/>
      <c r="AG461" s="27"/>
      <c r="AH461" s="27"/>
      <c r="AI461" s="25">
        <v>497991</v>
      </c>
      <c r="AJ461" s="25">
        <v>358554</v>
      </c>
      <c r="AK461" s="25">
        <v>23659</v>
      </c>
      <c r="AL461" s="25">
        <v>442800</v>
      </c>
      <c r="AM461" s="25">
        <v>64800</v>
      </c>
      <c r="AN461" s="25">
        <v>378000</v>
      </c>
      <c r="AO461" s="25">
        <v>0</v>
      </c>
      <c r="AP461" s="25">
        <f>Lookups!$B$56*0</f>
        <v>0</v>
      </c>
      <c r="AQ461" s="25">
        <f>Lookups!$B$56*1</f>
        <v>89850.625589999996</v>
      </c>
      <c r="AR461" s="25">
        <f>Lookups!$B$57*Inventory[[#This Row],[LnAcres]]</f>
        <v>-45174.819855485119</v>
      </c>
      <c r="AS461" s="25">
        <f>VLOOKUP(Inventory[[#This Row],[Qlty]],Lookups!$A$62:$E$75,2,FALSE)</f>
        <v>44121.038090000002</v>
      </c>
      <c r="AT461" s="25">
        <f>VLOOKUP(Inventory[[#This Row],[Cnd]],Lookups!$A$76:$E$84,2,FALSE)</f>
        <v>197752.34721000001</v>
      </c>
      <c r="AU461" s="25">
        <f>Inventory[[#This Row],[EffAge]]*Lookups!$B$85</f>
        <v>-10929.2344245</v>
      </c>
      <c r="AV461" s="25">
        <f>Inventory[[#This Row],[MainFn]]*Lookups!$B$86</f>
        <v>76237.577620210999</v>
      </c>
      <c r="AW461" s="25">
        <f>Inventory[[#This Row],[UpprFn]]*Lookups!$B$87</f>
        <v>0</v>
      </c>
      <c r="AX461" s="25">
        <f>Inventory[[#This Row],[AddFn]]*Lookups!$B$88</f>
        <v>0</v>
      </c>
      <c r="AY461" s="25">
        <f>Inventory[[#This Row],[Bsmt]]*Lookups!$B$89</f>
        <v>33269.688162567996</v>
      </c>
      <c r="AZ461" s="25">
        <f>Inventory[[#This Row],[Fixtures]]*Lookups!$B$90</f>
        <v>49296.287367600002</v>
      </c>
      <c r="BA461" s="25">
        <f>Inventory[[#This Row],[WdDeck]]*Lookups!$B$91</f>
        <v>3995.4618331200004</v>
      </c>
      <c r="BB461" s="25">
        <f>ROUND(Inventory[[#This Row],[25Det]],-2)</f>
        <v>23700</v>
      </c>
      <c r="BC461" s="25">
        <f>ROUND(SUM(Inventory[[#This Row],[Mdl Qlty]:[Mdl WdDeck]])+Inventory[[#This Row],[Mdl Res Intercept]],-2)</f>
        <v>393700</v>
      </c>
      <c r="BD461" s="25">
        <f>ROUND(Inventory[[#This Row],[Mdl Land Intercept]]+Inventory[[#This Row],[Mdl LnAcres]],-2)</f>
        <v>44700</v>
      </c>
      <c r="BE461" s="25">
        <f>Inventory[[#This Row],[Unadj Res Value]]+Inventory[[#This Row],[Unadj Det Value]]+Inventory[[#This Row],[Unadj Land Value]]</f>
        <v>462100</v>
      </c>
      <c r="BF461" s="36">
        <f>(Inventory[[#This Row],[Unadj Total Value]]-Inventory[[#This Row],[24Final]])/Inventory[[#This Row],[24Final]]</f>
        <v>4.358626919602529E-2</v>
      </c>
      <c r="BG461" s="25">
        <f>VLOOKUP(Inventory[[#This Row],[Nbhd]],Lookups!$Q$2:$T$4,4,FALSE)</f>
        <v>0.99970000000000003</v>
      </c>
      <c r="BH461" s="25">
        <f>VLOOKUP(Inventory[[#This Row],[Qlty]],Lookups!$O$7:$R$21,4,FALSE)</f>
        <v>0.98050000000000004</v>
      </c>
      <c r="BI461" s="25">
        <f>VLOOKUP(Inventory[[#This Row],[Cnd]],Lookups!$T$7:$W$16,4,FALSE)</f>
        <v>0.99650000000000005</v>
      </c>
      <c r="BJ461" s="25">
        <f>VLOOKUP(Inventory[[#This Row],[LivArea Range]],Lookups!$T$25:$W$37,4,FALSE)</f>
        <v>0.96179999999999999</v>
      </c>
      <c r="BK461" s="25">
        <f>VLOOKUP(Inventory[[#This Row],[Decade]],Lookups!$O$25:$R$42,4,FALSE)</f>
        <v>1.0199</v>
      </c>
      <c r="BL461" s="25">
        <f>Inventory[[#This Row],[Nbhd Adj]]*0.95</f>
        <v>0.94971499999999998</v>
      </c>
      <c r="BM461" s="25">
        <f>Inventory[[#This Row],[Nbhd Adj]]*Inventory[[#This Row],[Quality Adj]]*Inventory[[#This Row],[Condition Adj]]*Inventory[[#This Row],[Living Area Adj]]*Inventory[[#This Row],[Decade Adj]]*0.95</f>
        <v>0.91024973874989379</v>
      </c>
      <c r="BN461" s="25">
        <f>ROUND(SUM(Inventory[[#This Row],[Mdl Qlty]:[Mdl WdDeck]])+Inventory[[#This Row],[Mdl Res Intercept]]*Inventory[[#This Row],[Res Adj ]],-2)</f>
        <v>393700</v>
      </c>
      <c r="BO461" s="25">
        <f>ROUND(Inventory[[#This Row],[25Det]]*Inventory[[#This Row],[Det/Nbhd Adj]],-2)</f>
        <v>22500</v>
      </c>
      <c r="BP461" s="25">
        <f>Inventory[[#This Row],[Adjusted Res]]+Inventory[[#This Row],[Adj Det ]]</f>
        <v>416200</v>
      </c>
      <c r="BQ461" s="25">
        <f>ROUND((Inventory[[#This Row],[Mdl Land Intercept]]+Inventory[[#This Row],[Mdl LnAcres]])*Inventory[[#This Row],[Det/Nbhd Adj]],-2)</f>
        <v>42400</v>
      </c>
      <c r="BR461" s="25">
        <f>Inventory[[#This Row],[Adjusted Impr Total]]+Inventory[[#This Row],[Adjusted Land Total]]</f>
        <v>458600</v>
      </c>
      <c r="BS461" s="36">
        <f>IFERROR((Inventory[[#This Row],[Adjusted Impr Total]]-Inventory[[#This Row],[24Bldg]])/Inventory[[#This Row],[24Bldg]],0)</f>
        <v>0.10105820105820106</v>
      </c>
      <c r="BT461" s="36">
        <f>(Inventory[[#This Row],[Adjusted Land Total]]-Inventory[[#This Row],[24Lnd]])/Inventory[[#This Row],[24Lnd]]</f>
        <v>-0.34567901234567899</v>
      </c>
      <c r="BU461" s="36">
        <f>(Inventory[[#This Row],[Adjusted Total]]-Inventory[[#This Row],[24Final]])/Inventory[[#This Row],[24Final]]</f>
        <v>3.5682023486901533E-2</v>
      </c>
    </row>
    <row r="462" spans="1:73" x14ac:dyDescent="0.3">
      <c r="A462" s="25">
        <v>2025</v>
      </c>
      <c r="B462" s="26" t="s">
        <v>2104</v>
      </c>
      <c r="C462" s="26">
        <f>LN(Inventory[[#This Row],[Acres]])</f>
        <v>-1.8325814637483102</v>
      </c>
      <c r="D462" s="25">
        <v>0.16</v>
      </c>
      <c r="E462" s="31"/>
      <c r="F462" s="26" t="s">
        <v>537</v>
      </c>
      <c r="G462" s="26" t="s">
        <v>126</v>
      </c>
      <c r="H462" s="26" t="s">
        <v>349</v>
      </c>
      <c r="I462" s="26" t="s">
        <v>538</v>
      </c>
      <c r="J462" s="26" t="s">
        <v>539</v>
      </c>
      <c r="K462" s="26" t="s">
        <v>4</v>
      </c>
      <c r="L462" s="26" t="s">
        <v>302</v>
      </c>
      <c r="M462" s="26" t="s">
        <v>323</v>
      </c>
      <c r="N462" s="26">
        <v>70</v>
      </c>
      <c r="O462" s="26">
        <f>2024-Inventory[[#This Row],[YrBlt]]</f>
        <v>64</v>
      </c>
      <c r="P462" s="26">
        <f>2024-Inventory[[#This Row],[EffYr]]</f>
        <v>49</v>
      </c>
      <c r="Q462" s="25">
        <v>1960</v>
      </c>
      <c r="R462" s="25">
        <v>1975</v>
      </c>
      <c r="S462" s="25">
        <v>991</v>
      </c>
      <c r="T462" s="27"/>
      <c r="U462" s="25">
        <v>504</v>
      </c>
      <c r="V462" s="32">
        <f>Inventory[[#This Row],[Bsmt]]-Inventory[[#This Row],[FnBsmt]]</f>
        <v>0</v>
      </c>
      <c r="W462" s="32">
        <v>504</v>
      </c>
      <c r="X462" s="27"/>
      <c r="Y462" s="27">
        <f>Inventory[[#This Row],[MainFn]]+Inventory[[#This Row],[UpprFn]]+Inventory[[#This Row],[FnBsmt]]+Inventory[[#This Row],[AddFn]]</f>
        <v>1495</v>
      </c>
      <c r="Z462" s="27">
        <v>1500</v>
      </c>
      <c r="AA462" s="25">
        <v>5</v>
      </c>
      <c r="AB462" s="27"/>
      <c r="AC462" s="31"/>
      <c r="AD462" s="27"/>
      <c r="AE462" s="27"/>
      <c r="AF462" s="27"/>
      <c r="AG462" s="27"/>
      <c r="AH462" s="27"/>
      <c r="AI462" s="25">
        <v>255306</v>
      </c>
      <c r="AJ462" s="25">
        <v>181267</v>
      </c>
      <c r="AK462" s="25">
        <v>7107</v>
      </c>
      <c r="AL462" s="25">
        <v>288900</v>
      </c>
      <c r="AM462" s="25">
        <v>50600</v>
      </c>
      <c r="AN462" s="25">
        <v>238300</v>
      </c>
      <c r="AO462" s="25">
        <v>0</v>
      </c>
      <c r="AP462" s="25">
        <f>Lookups!$B$56*0</f>
        <v>0</v>
      </c>
      <c r="AQ462" s="25">
        <f>Lookups!$B$56*1</f>
        <v>89850.625589999996</v>
      </c>
      <c r="AR462" s="25">
        <f>Lookups!$B$57*Inventory[[#This Row],[LnAcres]]</f>
        <v>-58009.662049032086</v>
      </c>
      <c r="AS462" s="25">
        <f>VLOOKUP(Inventory[[#This Row],[Qlty]],Lookups!$A$62:$E$75,2,FALSE)</f>
        <v>29814.093161000001</v>
      </c>
      <c r="AT462" s="25">
        <f>VLOOKUP(Inventory[[#This Row],[Cnd]],Lookups!$A$76:$E$84,2,FALSE)</f>
        <v>160472.20319</v>
      </c>
      <c r="AU462" s="25">
        <f>Inventory[[#This Row],[EffAge]]*Lookups!$B$85</f>
        <v>-10929.2344245</v>
      </c>
      <c r="AV462" s="25">
        <f>Inventory[[#This Row],[MainFn]]*Lookups!$B$86</f>
        <v>48963.991848106998</v>
      </c>
      <c r="AW462" s="25">
        <f>Inventory[[#This Row],[UpprFn]]*Lookups!$B$87</f>
        <v>0</v>
      </c>
      <c r="AX462" s="25">
        <f>Inventory[[#This Row],[AddFn]]*Lookups!$B$88</f>
        <v>0</v>
      </c>
      <c r="AY462" s="25">
        <f>Inventory[[#This Row],[Bsmt]]*Lookups!$B$89</f>
        <v>14657.275204488</v>
      </c>
      <c r="AZ462" s="25">
        <f>Inventory[[#This Row],[Fixtures]]*Lookups!$B$90</f>
        <v>18960.110526</v>
      </c>
      <c r="BA462" s="25">
        <f>Inventory[[#This Row],[WdDeck]]*Lookups!$B$91</f>
        <v>0</v>
      </c>
      <c r="BB462" s="25">
        <f>ROUND(Inventory[[#This Row],[25Det]],-2)</f>
        <v>7100</v>
      </c>
      <c r="BC462" s="25">
        <f>ROUND(SUM(Inventory[[#This Row],[Mdl Qlty]:[Mdl WdDeck]])+Inventory[[#This Row],[Mdl Res Intercept]],-2)</f>
        <v>261900</v>
      </c>
      <c r="BD462" s="25">
        <f>ROUND(Inventory[[#This Row],[Mdl Land Intercept]]+Inventory[[#This Row],[Mdl LnAcres]],-2)</f>
        <v>31800</v>
      </c>
      <c r="BE462" s="25">
        <f>Inventory[[#This Row],[Unadj Res Value]]+Inventory[[#This Row],[Unadj Det Value]]+Inventory[[#This Row],[Unadj Land Value]]</f>
        <v>300800</v>
      </c>
      <c r="BF462" s="36">
        <f>(Inventory[[#This Row],[Unadj Total Value]]-Inventory[[#This Row],[24Final]])/Inventory[[#This Row],[24Final]]</f>
        <v>4.1190723433714091E-2</v>
      </c>
      <c r="BG462" s="25">
        <f>VLOOKUP(Inventory[[#This Row],[Nbhd]],Lookups!$Q$2:$T$4,4,FALSE)</f>
        <v>0.99970000000000003</v>
      </c>
      <c r="BH462" s="25">
        <f>VLOOKUP(Inventory[[#This Row],[Qlty]],Lookups!$O$7:$R$21,4,FALSE)</f>
        <v>1.0088999999999999</v>
      </c>
      <c r="BI462" s="25">
        <f>VLOOKUP(Inventory[[#This Row],[Cnd]],Lookups!$T$7:$W$16,4,FALSE)</f>
        <v>0.99729999999999996</v>
      </c>
      <c r="BJ462" s="25">
        <f>VLOOKUP(Inventory[[#This Row],[LivArea Range]],Lookups!$T$25:$W$37,4,FALSE)</f>
        <v>1.0157</v>
      </c>
      <c r="BK462" s="25">
        <f>VLOOKUP(Inventory[[#This Row],[Decade]],Lookups!$O$25:$R$42,4,FALSE)</f>
        <v>1.0199</v>
      </c>
      <c r="BL462" s="25">
        <f>Inventory[[#This Row],[Nbhd Adj]]*0.95</f>
        <v>0.94971499999999998</v>
      </c>
      <c r="BM462" s="25">
        <f>Inventory[[#This Row],[Nbhd Adj]]*Inventory[[#This Row],[Quality Adj]]*Inventory[[#This Row],[Condition Adj]]*Inventory[[#This Row],[Living Area Adj]]*Inventory[[#This Row],[Decade Adj]]*0.95</f>
        <v>0.98989762598047604</v>
      </c>
      <c r="BN462" s="25">
        <f>ROUND(SUM(Inventory[[#This Row],[Mdl Qlty]:[Mdl WdDeck]])+Inventory[[#This Row],[Mdl Res Intercept]]*Inventory[[#This Row],[Res Adj ]],-2)</f>
        <v>261900</v>
      </c>
      <c r="BO462" s="25">
        <f>ROUND(Inventory[[#This Row],[25Det]]*Inventory[[#This Row],[Det/Nbhd Adj]],-2)</f>
        <v>6700</v>
      </c>
      <c r="BP462" s="25">
        <f>Inventory[[#This Row],[Adjusted Res]]+Inventory[[#This Row],[Adj Det ]]</f>
        <v>268600</v>
      </c>
      <c r="BQ462" s="25">
        <f>ROUND((Inventory[[#This Row],[Mdl Land Intercept]]+Inventory[[#This Row],[Mdl LnAcres]])*Inventory[[#This Row],[Det/Nbhd Adj]],-2)</f>
        <v>30200</v>
      </c>
      <c r="BR462" s="25">
        <f>Inventory[[#This Row],[Adjusted Impr Total]]+Inventory[[#This Row],[Adjusted Land Total]]</f>
        <v>298800</v>
      </c>
      <c r="BS462" s="36">
        <f>IFERROR((Inventory[[#This Row],[Adjusted Impr Total]]-Inventory[[#This Row],[24Bldg]])/Inventory[[#This Row],[24Bldg]],0)</f>
        <v>0.12715065044062107</v>
      </c>
      <c r="BT462" s="36">
        <f>(Inventory[[#This Row],[Adjusted Land Total]]-Inventory[[#This Row],[24Lnd]])/Inventory[[#This Row],[24Lnd]]</f>
        <v>-0.40316205533596838</v>
      </c>
      <c r="BU462" s="36">
        <f>(Inventory[[#This Row],[Adjusted Total]]-Inventory[[#This Row],[24Final]])/Inventory[[#This Row],[24Final]]</f>
        <v>3.4267912772585667E-2</v>
      </c>
    </row>
    <row r="463" spans="1:73" x14ac:dyDescent="0.3">
      <c r="A463" s="25">
        <v>2025</v>
      </c>
      <c r="B463" s="26" t="s">
        <v>2002</v>
      </c>
      <c r="C463" s="26">
        <f>LN(Inventory[[#This Row],[Acres]])</f>
        <v>-2.3025850929940455</v>
      </c>
      <c r="D463" s="25">
        <v>0.1</v>
      </c>
      <c r="E463" s="25">
        <v>4511</v>
      </c>
      <c r="F463" s="26" t="s">
        <v>537</v>
      </c>
      <c r="G463" s="26" t="s">
        <v>126</v>
      </c>
      <c r="H463" s="26" t="s">
        <v>349</v>
      </c>
      <c r="I463" s="26" t="s">
        <v>538</v>
      </c>
      <c r="J463" s="26" t="s">
        <v>539</v>
      </c>
      <c r="K463" s="26" t="s">
        <v>241</v>
      </c>
      <c r="L463" s="26" t="s">
        <v>205</v>
      </c>
      <c r="M463" s="26" t="s">
        <v>323</v>
      </c>
      <c r="N463" s="26">
        <v>70</v>
      </c>
      <c r="O463" s="26">
        <f>2024-Inventory[[#This Row],[YrBlt]]</f>
        <v>64</v>
      </c>
      <c r="P463" s="26">
        <f>2024-Inventory[[#This Row],[EffYr]]</f>
        <v>49</v>
      </c>
      <c r="Q463" s="25">
        <v>1960</v>
      </c>
      <c r="R463" s="25">
        <v>1975</v>
      </c>
      <c r="S463" s="25">
        <v>1161</v>
      </c>
      <c r="T463" s="27"/>
      <c r="U463" s="31"/>
      <c r="V463" s="27">
        <f>Inventory[[#This Row],[Bsmt]]-Inventory[[#This Row],[FnBsmt]]</f>
        <v>0</v>
      </c>
      <c r="W463" s="27"/>
      <c r="X463" s="27"/>
      <c r="Y463" s="27">
        <f>Inventory[[#This Row],[MainFn]]+Inventory[[#This Row],[UpprFn]]+Inventory[[#This Row],[FnBsmt]]+Inventory[[#This Row],[AddFn]]</f>
        <v>1161</v>
      </c>
      <c r="Z463" s="27">
        <v>1500</v>
      </c>
      <c r="AA463" s="25">
        <v>5</v>
      </c>
      <c r="AB463" s="31"/>
      <c r="AC463" s="27"/>
      <c r="AD463" s="27"/>
      <c r="AE463" s="27"/>
      <c r="AF463" s="27"/>
      <c r="AG463" s="27"/>
      <c r="AH463" s="27"/>
      <c r="AI463" s="25">
        <v>182017</v>
      </c>
      <c r="AJ463" s="25">
        <v>129232</v>
      </c>
      <c r="AK463" s="25">
        <v>0</v>
      </c>
      <c r="AL463" s="25">
        <v>234000</v>
      </c>
      <c r="AM463" s="25">
        <v>34200</v>
      </c>
      <c r="AN463" s="25">
        <v>199800</v>
      </c>
      <c r="AO463" s="25">
        <v>0</v>
      </c>
      <c r="AP463" s="25">
        <f>Lookups!$B$56*0</f>
        <v>0</v>
      </c>
      <c r="AQ463" s="25">
        <f>Lookups!$B$56*1</f>
        <v>89850.625589999996</v>
      </c>
      <c r="AR463" s="25">
        <f>Lookups!$B$57*Inventory[[#This Row],[LnAcres]]</f>
        <v>-72887.446329681261</v>
      </c>
      <c r="AS463" s="25">
        <f>VLOOKUP(Inventory[[#This Row],[Qlty]],Lookups!$A$62:$E$75,2,FALSE)</f>
        <v>0</v>
      </c>
      <c r="AT463" s="25">
        <f>VLOOKUP(Inventory[[#This Row],[Cnd]],Lookups!$A$76:$E$84,2,FALSE)</f>
        <v>160472.20319</v>
      </c>
      <c r="AU463" s="25">
        <f>Inventory[[#This Row],[EffAge]]*Lookups!$B$85</f>
        <v>-10929.2344245</v>
      </c>
      <c r="AV463" s="25">
        <f>Inventory[[#This Row],[MainFn]]*Lookups!$B$86</f>
        <v>57363.465727196999</v>
      </c>
      <c r="AW463" s="25">
        <f>Inventory[[#This Row],[UpprFn]]*Lookups!$B$87</f>
        <v>0</v>
      </c>
      <c r="AX463" s="25">
        <f>Inventory[[#This Row],[AddFn]]*Lookups!$B$88</f>
        <v>0</v>
      </c>
      <c r="AY463" s="25">
        <f>Inventory[[#This Row],[Bsmt]]*Lookups!$B$89</f>
        <v>0</v>
      </c>
      <c r="AZ463" s="25">
        <f>Inventory[[#This Row],[Fixtures]]*Lookups!$B$90</f>
        <v>18960.110526</v>
      </c>
      <c r="BA463" s="25">
        <f>Inventory[[#This Row],[WdDeck]]*Lookups!$B$91</f>
        <v>0</v>
      </c>
      <c r="BB463" s="25">
        <f>ROUND(Inventory[[#This Row],[25Det]],-2)</f>
        <v>0</v>
      </c>
      <c r="BC463" s="25">
        <f>ROUND(SUM(Inventory[[#This Row],[Mdl Qlty]:[Mdl WdDeck]])+Inventory[[#This Row],[Mdl Res Intercept]],-2)</f>
        <v>225900</v>
      </c>
      <c r="BD463" s="25">
        <f>ROUND(Inventory[[#This Row],[Mdl Land Intercept]]+Inventory[[#This Row],[Mdl LnAcres]],-2)</f>
        <v>17000</v>
      </c>
      <c r="BE463" s="25">
        <f>Inventory[[#This Row],[Unadj Res Value]]+Inventory[[#This Row],[Unadj Det Value]]+Inventory[[#This Row],[Unadj Land Value]]</f>
        <v>242900</v>
      </c>
      <c r="BF463" s="36">
        <f>(Inventory[[#This Row],[Unadj Total Value]]-Inventory[[#This Row],[24Final]])/Inventory[[#This Row],[24Final]]</f>
        <v>3.8034188034188031E-2</v>
      </c>
      <c r="BG463" s="25">
        <f>VLOOKUP(Inventory[[#This Row],[Nbhd]],Lookups!$Q$2:$T$4,4,FALSE)</f>
        <v>0.99970000000000003</v>
      </c>
      <c r="BH463" s="25">
        <f>VLOOKUP(Inventory[[#This Row],[Qlty]],Lookups!$O$7:$R$21,4,FALSE)</f>
        <v>0.99180000000000001</v>
      </c>
      <c r="BI463" s="25">
        <f>VLOOKUP(Inventory[[#This Row],[Cnd]],Lookups!$T$7:$W$16,4,FALSE)</f>
        <v>0.99729999999999996</v>
      </c>
      <c r="BJ463" s="25">
        <f>VLOOKUP(Inventory[[#This Row],[LivArea Range]],Lookups!$T$25:$W$37,4,FALSE)</f>
        <v>1.0157</v>
      </c>
      <c r="BK463" s="25">
        <f>VLOOKUP(Inventory[[#This Row],[Decade]],Lookups!$O$25:$R$42,4,FALSE)</f>
        <v>1.0199</v>
      </c>
      <c r="BL463" s="25">
        <f>Inventory[[#This Row],[Nbhd Adj]]*0.95</f>
        <v>0.94971499999999998</v>
      </c>
      <c r="BM463" s="25">
        <f>Inventory[[#This Row],[Nbhd Adj]]*Inventory[[#This Row],[Quality Adj]]*Inventory[[#This Row],[Condition Adj]]*Inventory[[#This Row],[Living Area Adj]]*Inventory[[#This Row],[Decade Adj]]*0.95</f>
        <v>0.97311970011640037</v>
      </c>
      <c r="BN463" s="25">
        <f>ROUND(SUM(Inventory[[#This Row],[Mdl Qlty]:[Mdl WdDeck]])+Inventory[[#This Row],[Mdl Res Intercept]]*Inventory[[#This Row],[Res Adj ]],-2)</f>
        <v>225900</v>
      </c>
      <c r="BO463" s="25">
        <f>ROUND(Inventory[[#This Row],[25Det]]*Inventory[[#This Row],[Det/Nbhd Adj]],-2)</f>
        <v>0</v>
      </c>
      <c r="BP463" s="25">
        <f>Inventory[[#This Row],[Adjusted Res]]+Inventory[[#This Row],[Adj Det ]]</f>
        <v>225900</v>
      </c>
      <c r="BQ463" s="25">
        <f>ROUND((Inventory[[#This Row],[Mdl Land Intercept]]+Inventory[[#This Row],[Mdl LnAcres]])*Inventory[[#This Row],[Det/Nbhd Adj]],-2)</f>
        <v>16100</v>
      </c>
      <c r="BR463" s="25">
        <f>Inventory[[#This Row],[Adjusted Impr Total]]+Inventory[[#This Row],[Adjusted Land Total]]</f>
        <v>242000</v>
      </c>
      <c r="BS463" s="36">
        <f>IFERROR((Inventory[[#This Row],[Adjusted Impr Total]]-Inventory[[#This Row],[24Bldg]])/Inventory[[#This Row],[24Bldg]],0)</f>
        <v>0.13063063063063063</v>
      </c>
      <c r="BT463" s="36">
        <f>(Inventory[[#This Row],[Adjusted Land Total]]-Inventory[[#This Row],[24Lnd]])/Inventory[[#This Row],[24Lnd]]</f>
        <v>-0.5292397660818714</v>
      </c>
      <c r="BU463" s="36">
        <f>(Inventory[[#This Row],[Adjusted Total]]-Inventory[[#This Row],[24Final]])/Inventory[[#This Row],[24Final]]</f>
        <v>3.4188034188034191E-2</v>
      </c>
    </row>
    <row r="464" spans="1:73" x14ac:dyDescent="0.3">
      <c r="A464" s="25">
        <v>2025</v>
      </c>
      <c r="B464" s="26" t="s">
        <v>1783</v>
      </c>
      <c r="C464" s="26">
        <f>LN(Inventory[[#This Row],[Acres]])</f>
        <v>-1.9661128563728327</v>
      </c>
      <c r="D464" s="25">
        <v>0.14000000000000001</v>
      </c>
      <c r="E464" s="31"/>
      <c r="F464" s="26" t="s">
        <v>537</v>
      </c>
      <c r="G464" s="26" t="s">
        <v>126</v>
      </c>
      <c r="H464" s="26" t="s">
        <v>349</v>
      </c>
      <c r="I464" s="26" t="s">
        <v>538</v>
      </c>
      <c r="J464" s="26" t="s">
        <v>539</v>
      </c>
      <c r="K464" s="26" t="s">
        <v>241</v>
      </c>
      <c r="L464" s="26" t="s">
        <v>351</v>
      </c>
      <c r="M464" s="26" t="s">
        <v>323</v>
      </c>
      <c r="N464" s="26">
        <v>70</v>
      </c>
      <c r="O464" s="26">
        <f>2024-Inventory[[#This Row],[YrBlt]]</f>
        <v>64</v>
      </c>
      <c r="P464" s="26">
        <f>2024-Inventory[[#This Row],[EffYr]]</f>
        <v>49</v>
      </c>
      <c r="Q464" s="25">
        <v>1960</v>
      </c>
      <c r="R464" s="25">
        <v>1975</v>
      </c>
      <c r="S464" s="25">
        <v>1128</v>
      </c>
      <c r="T464" s="31"/>
      <c r="U464" s="31"/>
      <c r="V464" s="27">
        <f>Inventory[[#This Row],[Bsmt]]-Inventory[[#This Row],[FnBsmt]]</f>
        <v>0</v>
      </c>
      <c r="W464" s="27"/>
      <c r="X464" s="27"/>
      <c r="Y464" s="27">
        <f>Inventory[[#This Row],[MainFn]]+Inventory[[#This Row],[UpprFn]]+Inventory[[#This Row],[FnBsmt]]+Inventory[[#This Row],[AddFn]]</f>
        <v>1128</v>
      </c>
      <c r="Z464" s="27">
        <v>1500</v>
      </c>
      <c r="AA464" s="25">
        <v>7</v>
      </c>
      <c r="AB464" s="32">
        <v>408</v>
      </c>
      <c r="AC464" s="27"/>
      <c r="AD464" s="31"/>
      <c r="AE464" s="27"/>
      <c r="AF464" s="27"/>
      <c r="AG464" s="27"/>
      <c r="AH464" s="27"/>
      <c r="AI464" s="25">
        <v>220940</v>
      </c>
      <c r="AJ464" s="25">
        <v>156867</v>
      </c>
      <c r="AK464" s="25">
        <v>0</v>
      </c>
      <c r="AL464" s="25">
        <v>270400</v>
      </c>
      <c r="AM464" s="25">
        <v>46000</v>
      </c>
      <c r="AN464" s="25">
        <v>224400</v>
      </c>
      <c r="AO464" s="25">
        <v>0</v>
      </c>
      <c r="AP464" s="25">
        <f>Lookups!$B$56*0</f>
        <v>0</v>
      </c>
      <c r="AQ464" s="25">
        <f>Lookups!$B$56*1</f>
        <v>89850.625589999996</v>
      </c>
      <c r="AR464" s="25">
        <f>Lookups!$B$57*Inventory[[#This Row],[LnAcres]]</f>
        <v>-62236.546971921947</v>
      </c>
      <c r="AS464" s="25">
        <f>VLOOKUP(Inventory[[#This Row],[Qlty]],Lookups!$A$62:$E$75,2,FALSE)</f>
        <v>21557.329055999999</v>
      </c>
      <c r="AT464" s="25">
        <f>VLOOKUP(Inventory[[#This Row],[Cnd]],Lookups!$A$76:$E$84,2,FALSE)</f>
        <v>160472.20319</v>
      </c>
      <c r="AU464" s="25">
        <f>Inventory[[#This Row],[EffAge]]*Lookups!$B$85</f>
        <v>-10929.2344245</v>
      </c>
      <c r="AV464" s="25">
        <f>Inventory[[#This Row],[MainFn]]*Lookups!$B$86</f>
        <v>55732.979621256003</v>
      </c>
      <c r="AW464" s="25">
        <f>Inventory[[#This Row],[UpprFn]]*Lookups!$B$87</f>
        <v>0</v>
      </c>
      <c r="AX464" s="25">
        <f>Inventory[[#This Row],[AddFn]]*Lookups!$B$88</f>
        <v>0</v>
      </c>
      <c r="AY464" s="25">
        <f>Inventory[[#This Row],[Bsmt]]*Lookups!$B$89</f>
        <v>0</v>
      </c>
      <c r="AZ464" s="25">
        <f>Inventory[[#This Row],[Fixtures]]*Lookups!$B$90</f>
        <v>26544.1547364</v>
      </c>
      <c r="BA464" s="25">
        <f>Inventory[[#This Row],[WdDeck]]*Lookups!$B$91</f>
        <v>0</v>
      </c>
      <c r="BB464" s="25">
        <f>ROUND(Inventory[[#This Row],[25Det]],-2)</f>
        <v>0</v>
      </c>
      <c r="BC464" s="25">
        <f>ROUND(SUM(Inventory[[#This Row],[Mdl Qlty]:[Mdl WdDeck]])+Inventory[[#This Row],[Mdl Res Intercept]],-2)</f>
        <v>253400</v>
      </c>
      <c r="BD464" s="25">
        <f>ROUND(Inventory[[#This Row],[Mdl Land Intercept]]+Inventory[[#This Row],[Mdl LnAcres]],-2)</f>
        <v>27600</v>
      </c>
      <c r="BE464" s="25">
        <f>Inventory[[#This Row],[Unadj Res Value]]+Inventory[[#This Row],[Unadj Det Value]]+Inventory[[#This Row],[Unadj Land Value]]</f>
        <v>281000</v>
      </c>
      <c r="BF464" s="36">
        <f>(Inventory[[#This Row],[Unadj Total Value]]-Inventory[[#This Row],[24Final]])/Inventory[[#This Row],[24Final]]</f>
        <v>3.9201183431952662E-2</v>
      </c>
      <c r="BG464" s="25">
        <f>VLOOKUP(Inventory[[#This Row],[Nbhd]],Lookups!$Q$2:$T$4,4,FALSE)</f>
        <v>0.99970000000000003</v>
      </c>
      <c r="BH464" s="25">
        <f>VLOOKUP(Inventory[[#This Row],[Qlty]],Lookups!$O$7:$R$21,4,FALSE)</f>
        <v>1.0067999999999999</v>
      </c>
      <c r="BI464" s="25">
        <f>VLOOKUP(Inventory[[#This Row],[Cnd]],Lookups!$T$7:$W$16,4,FALSE)</f>
        <v>0.99729999999999996</v>
      </c>
      <c r="BJ464" s="25">
        <f>VLOOKUP(Inventory[[#This Row],[LivArea Range]],Lookups!$T$25:$W$37,4,FALSE)</f>
        <v>1.0157</v>
      </c>
      <c r="BK464" s="25">
        <f>VLOOKUP(Inventory[[#This Row],[Decade]],Lookups!$O$25:$R$42,4,FALSE)</f>
        <v>1.0199</v>
      </c>
      <c r="BL464" s="25">
        <f>Inventory[[#This Row],[Nbhd Adj]]*0.95</f>
        <v>0.94971499999999998</v>
      </c>
      <c r="BM464" s="25">
        <f>Inventory[[#This Row],[Nbhd Adj]]*Inventory[[#This Row],[Quality Adj]]*Inventory[[#This Row],[Condition Adj]]*Inventory[[#This Row],[Living Area Adj]]*Inventory[[#This Row],[Decade Adj]]*0.95</f>
        <v>0.98783717894453682</v>
      </c>
      <c r="BN464" s="25">
        <f>ROUND(SUM(Inventory[[#This Row],[Mdl Qlty]:[Mdl WdDeck]])+Inventory[[#This Row],[Mdl Res Intercept]]*Inventory[[#This Row],[Res Adj ]],-2)</f>
        <v>253400</v>
      </c>
      <c r="BO464" s="25">
        <f>ROUND(Inventory[[#This Row],[25Det]]*Inventory[[#This Row],[Det/Nbhd Adj]],-2)</f>
        <v>0</v>
      </c>
      <c r="BP464" s="25">
        <f>Inventory[[#This Row],[Adjusted Res]]+Inventory[[#This Row],[Adj Det ]]</f>
        <v>253400</v>
      </c>
      <c r="BQ464" s="25">
        <f>ROUND((Inventory[[#This Row],[Mdl Land Intercept]]+Inventory[[#This Row],[Mdl LnAcres]])*Inventory[[#This Row],[Det/Nbhd Adj]],-2)</f>
        <v>26200</v>
      </c>
      <c r="BR464" s="25">
        <f>Inventory[[#This Row],[Adjusted Impr Total]]+Inventory[[#This Row],[Adjusted Land Total]]</f>
        <v>279600</v>
      </c>
      <c r="BS464" s="36">
        <f>IFERROR((Inventory[[#This Row],[Adjusted Impr Total]]-Inventory[[#This Row],[24Bldg]])/Inventory[[#This Row],[24Bldg]],0)</f>
        <v>0.12923351158645277</v>
      </c>
      <c r="BT464" s="36">
        <f>(Inventory[[#This Row],[Adjusted Land Total]]-Inventory[[#This Row],[24Lnd]])/Inventory[[#This Row],[24Lnd]]</f>
        <v>-0.43043478260869567</v>
      </c>
      <c r="BU464" s="36">
        <f>(Inventory[[#This Row],[Adjusted Total]]-Inventory[[#This Row],[24Final]])/Inventory[[#This Row],[24Final]]</f>
        <v>3.4023668639053255E-2</v>
      </c>
    </row>
    <row r="465" spans="1:73" x14ac:dyDescent="0.3">
      <c r="A465" s="25">
        <v>2025</v>
      </c>
      <c r="B465" s="26" t="s">
        <v>1614</v>
      </c>
      <c r="C465" s="26">
        <f>LN(Inventory[[#This Row],[Acres]])</f>
        <v>-1.6607312068216509</v>
      </c>
      <c r="D465" s="25">
        <v>0.19</v>
      </c>
      <c r="E465" s="31"/>
      <c r="F465" s="26" t="s">
        <v>537</v>
      </c>
      <c r="G465" s="26" t="s">
        <v>126</v>
      </c>
      <c r="H465" s="26" t="s">
        <v>349</v>
      </c>
      <c r="I465" s="26" t="s">
        <v>538</v>
      </c>
      <c r="J465" s="26" t="s">
        <v>539</v>
      </c>
      <c r="K465" s="26" t="s">
        <v>241</v>
      </c>
      <c r="L465" s="26" t="s">
        <v>351</v>
      </c>
      <c r="M465" s="26" t="s">
        <v>323</v>
      </c>
      <c r="N465" s="26">
        <v>70</v>
      </c>
      <c r="O465" s="26">
        <f>2024-Inventory[[#This Row],[YrBlt]]</f>
        <v>64</v>
      </c>
      <c r="P465" s="26">
        <f>2024-Inventory[[#This Row],[EffYr]]</f>
        <v>49</v>
      </c>
      <c r="Q465" s="25">
        <v>1960</v>
      </c>
      <c r="R465" s="25">
        <v>1975</v>
      </c>
      <c r="S465" s="25">
        <v>1008</v>
      </c>
      <c r="T465" s="31"/>
      <c r="U465" s="27"/>
      <c r="V465" s="27">
        <f>Inventory[[#This Row],[Bsmt]]-Inventory[[#This Row],[FnBsmt]]</f>
        <v>0</v>
      </c>
      <c r="W465" s="27"/>
      <c r="X465" s="27"/>
      <c r="Y465" s="27">
        <f>Inventory[[#This Row],[MainFn]]+Inventory[[#This Row],[UpprFn]]+Inventory[[#This Row],[FnBsmt]]+Inventory[[#This Row],[AddFn]]</f>
        <v>1008</v>
      </c>
      <c r="Z465" s="27">
        <v>1500</v>
      </c>
      <c r="AA465" s="25">
        <v>7</v>
      </c>
      <c r="AB465" s="25">
        <v>240</v>
      </c>
      <c r="AC465" s="27"/>
      <c r="AD465" s="27"/>
      <c r="AE465" s="27"/>
      <c r="AF465" s="27"/>
      <c r="AG465" s="27"/>
      <c r="AH465" s="27"/>
      <c r="AI465" s="25">
        <v>191416</v>
      </c>
      <c r="AJ465" s="25">
        <v>135905</v>
      </c>
      <c r="AK465" s="25">
        <v>0</v>
      </c>
      <c r="AL465" s="25">
        <v>273500</v>
      </c>
      <c r="AM465" s="25">
        <v>56600</v>
      </c>
      <c r="AN465" s="25">
        <v>216900</v>
      </c>
      <c r="AO465" s="25">
        <v>0</v>
      </c>
      <c r="AP465" s="25">
        <f>Lookups!$B$56*0</f>
        <v>0</v>
      </c>
      <c r="AQ465" s="25">
        <f>Lookups!$B$56*1</f>
        <v>89850.625589999996</v>
      </c>
      <c r="AR465" s="25">
        <f>Lookups!$B$57*Inventory[[#This Row],[LnAcres]]</f>
        <v>-52569.808201026557</v>
      </c>
      <c r="AS465" s="25">
        <f>VLOOKUP(Inventory[[#This Row],[Qlty]],Lookups!$A$62:$E$75,2,FALSE)</f>
        <v>21557.329055999999</v>
      </c>
      <c r="AT465" s="25">
        <f>VLOOKUP(Inventory[[#This Row],[Cnd]],Lookups!$A$76:$E$84,2,FALSE)</f>
        <v>160472.20319</v>
      </c>
      <c r="AU465" s="25">
        <f>Inventory[[#This Row],[EffAge]]*Lookups!$B$85</f>
        <v>-10929.2344245</v>
      </c>
      <c r="AV465" s="25">
        <f>Inventory[[#This Row],[MainFn]]*Lookups!$B$86</f>
        <v>49803.939236015998</v>
      </c>
      <c r="AW465" s="25">
        <f>Inventory[[#This Row],[UpprFn]]*Lookups!$B$87</f>
        <v>0</v>
      </c>
      <c r="AX465" s="25">
        <f>Inventory[[#This Row],[AddFn]]*Lookups!$B$88</f>
        <v>0</v>
      </c>
      <c r="AY465" s="25">
        <f>Inventory[[#This Row],[Bsmt]]*Lookups!$B$89</f>
        <v>0</v>
      </c>
      <c r="AZ465" s="25">
        <f>Inventory[[#This Row],[Fixtures]]*Lookups!$B$90</f>
        <v>26544.1547364</v>
      </c>
      <c r="BA465" s="25">
        <f>Inventory[[#This Row],[WdDeck]]*Lookups!$B$91</f>
        <v>0</v>
      </c>
      <c r="BB465" s="25">
        <f>ROUND(Inventory[[#This Row],[25Det]],-2)</f>
        <v>0</v>
      </c>
      <c r="BC465" s="25">
        <f>ROUND(SUM(Inventory[[#This Row],[Mdl Qlty]:[Mdl WdDeck]])+Inventory[[#This Row],[Mdl Res Intercept]],-2)</f>
        <v>247400</v>
      </c>
      <c r="BD465" s="25">
        <f>ROUND(Inventory[[#This Row],[Mdl Land Intercept]]+Inventory[[#This Row],[Mdl LnAcres]],-2)</f>
        <v>37300</v>
      </c>
      <c r="BE465" s="25">
        <f>Inventory[[#This Row],[Unadj Res Value]]+Inventory[[#This Row],[Unadj Det Value]]+Inventory[[#This Row],[Unadj Land Value]]</f>
        <v>284700</v>
      </c>
      <c r="BF465" s="36">
        <f>(Inventory[[#This Row],[Unadj Total Value]]-Inventory[[#This Row],[24Final]])/Inventory[[#This Row],[24Final]]</f>
        <v>4.0950639853747715E-2</v>
      </c>
      <c r="BG465" s="25">
        <f>VLOOKUP(Inventory[[#This Row],[Nbhd]],Lookups!$Q$2:$T$4,4,FALSE)</f>
        <v>0.99970000000000003</v>
      </c>
      <c r="BH465" s="25">
        <f>VLOOKUP(Inventory[[#This Row],[Qlty]],Lookups!$O$7:$R$21,4,FALSE)</f>
        <v>1.0067999999999999</v>
      </c>
      <c r="BI465" s="25">
        <f>VLOOKUP(Inventory[[#This Row],[Cnd]],Lookups!$T$7:$W$16,4,FALSE)</f>
        <v>0.99729999999999996</v>
      </c>
      <c r="BJ465" s="25">
        <f>VLOOKUP(Inventory[[#This Row],[LivArea Range]],Lookups!$T$25:$W$37,4,FALSE)</f>
        <v>1.0157</v>
      </c>
      <c r="BK465" s="25">
        <f>VLOOKUP(Inventory[[#This Row],[Decade]],Lookups!$O$25:$R$42,4,FALSE)</f>
        <v>1.0199</v>
      </c>
      <c r="BL465" s="25">
        <f>Inventory[[#This Row],[Nbhd Adj]]*0.95</f>
        <v>0.94971499999999998</v>
      </c>
      <c r="BM465" s="25">
        <f>Inventory[[#This Row],[Nbhd Adj]]*Inventory[[#This Row],[Quality Adj]]*Inventory[[#This Row],[Condition Adj]]*Inventory[[#This Row],[Living Area Adj]]*Inventory[[#This Row],[Decade Adj]]*0.95</f>
        <v>0.98783717894453682</v>
      </c>
      <c r="BN465" s="25">
        <f>ROUND(SUM(Inventory[[#This Row],[Mdl Qlty]:[Mdl WdDeck]])+Inventory[[#This Row],[Mdl Res Intercept]]*Inventory[[#This Row],[Res Adj ]],-2)</f>
        <v>247400</v>
      </c>
      <c r="BO465" s="25">
        <f>ROUND(Inventory[[#This Row],[25Det]]*Inventory[[#This Row],[Det/Nbhd Adj]],-2)</f>
        <v>0</v>
      </c>
      <c r="BP465" s="25">
        <f>Inventory[[#This Row],[Adjusted Res]]+Inventory[[#This Row],[Adj Det ]]</f>
        <v>247400</v>
      </c>
      <c r="BQ465" s="25">
        <f>ROUND((Inventory[[#This Row],[Mdl Land Intercept]]+Inventory[[#This Row],[Mdl LnAcres]])*Inventory[[#This Row],[Det/Nbhd Adj]],-2)</f>
        <v>35400</v>
      </c>
      <c r="BR465" s="25">
        <f>Inventory[[#This Row],[Adjusted Impr Total]]+Inventory[[#This Row],[Adjusted Land Total]]</f>
        <v>282800</v>
      </c>
      <c r="BS465" s="36">
        <f>IFERROR((Inventory[[#This Row],[Adjusted Impr Total]]-Inventory[[#This Row],[24Bldg]])/Inventory[[#This Row],[24Bldg]],0)</f>
        <v>0.14061779621945597</v>
      </c>
      <c r="BT465" s="36">
        <f>(Inventory[[#This Row],[Adjusted Land Total]]-Inventory[[#This Row],[24Lnd]])/Inventory[[#This Row],[24Lnd]]</f>
        <v>-0.37455830388692579</v>
      </c>
      <c r="BU465" s="36">
        <f>(Inventory[[#This Row],[Adjusted Total]]-Inventory[[#This Row],[24Final]])/Inventory[[#This Row],[24Final]]</f>
        <v>3.4003656307129801E-2</v>
      </c>
    </row>
    <row r="466" spans="1:73" x14ac:dyDescent="0.3">
      <c r="A466" s="25">
        <v>2025</v>
      </c>
      <c r="B466" s="26" t="s">
        <v>2262</v>
      </c>
      <c r="C466" s="26">
        <f>LN(Inventory[[#This Row],[Acres]])</f>
        <v>-1.0788096613719298</v>
      </c>
      <c r="D466" s="25">
        <v>0.34</v>
      </c>
      <c r="E466" s="25">
        <v>15000</v>
      </c>
      <c r="F466" s="26" t="s">
        <v>537</v>
      </c>
      <c r="G466" s="26" t="s">
        <v>126</v>
      </c>
      <c r="H466" s="26" t="s">
        <v>349</v>
      </c>
      <c r="I466" s="26" t="s">
        <v>538</v>
      </c>
      <c r="J466" s="26" t="s">
        <v>539</v>
      </c>
      <c r="K466" s="26" t="s">
        <v>241</v>
      </c>
      <c r="L466" s="26" t="s">
        <v>148</v>
      </c>
      <c r="M466" s="26" t="s">
        <v>303</v>
      </c>
      <c r="N466" s="26">
        <v>70</v>
      </c>
      <c r="O466" s="26">
        <f>2024-Inventory[[#This Row],[YrBlt]]</f>
        <v>64</v>
      </c>
      <c r="P466" s="26">
        <f>2024-Inventory[[#This Row],[EffYr]]</f>
        <v>49</v>
      </c>
      <c r="Q466" s="25">
        <v>1960</v>
      </c>
      <c r="R466" s="25">
        <v>1975</v>
      </c>
      <c r="S466" s="25">
        <v>1469</v>
      </c>
      <c r="T466" s="31"/>
      <c r="U466" s="32">
        <v>759</v>
      </c>
      <c r="V466" s="32">
        <f>Inventory[[#This Row],[Bsmt]]-Inventory[[#This Row],[FnBsmt]]</f>
        <v>23</v>
      </c>
      <c r="W466" s="32">
        <v>736</v>
      </c>
      <c r="X466" s="27"/>
      <c r="Y466" s="27">
        <f>Inventory[[#This Row],[MainFn]]+Inventory[[#This Row],[UpprFn]]+Inventory[[#This Row],[FnBsmt]]+Inventory[[#This Row],[AddFn]]</f>
        <v>2205</v>
      </c>
      <c r="Z466" s="27">
        <v>2500</v>
      </c>
      <c r="AA466" s="25">
        <v>7</v>
      </c>
      <c r="AB466" s="31"/>
      <c r="AC466" s="27"/>
      <c r="AD466" s="27"/>
      <c r="AE466" s="27"/>
      <c r="AF466" s="27"/>
      <c r="AG466" s="27"/>
      <c r="AH466" s="27"/>
      <c r="AI466" s="25">
        <v>444247</v>
      </c>
      <c r="AJ466" s="25">
        <v>319858</v>
      </c>
      <c r="AK466" s="25">
        <v>30954</v>
      </c>
      <c r="AL466" s="25">
        <v>420700</v>
      </c>
      <c r="AM466" s="25">
        <v>76900</v>
      </c>
      <c r="AN466" s="25">
        <v>343800</v>
      </c>
      <c r="AO466" s="25">
        <v>0</v>
      </c>
      <c r="AP466" s="25">
        <f>Lookups!$B$56*0</f>
        <v>0</v>
      </c>
      <c r="AQ466" s="25">
        <f>Lookups!$B$56*1</f>
        <v>89850.625589999996</v>
      </c>
      <c r="AR466" s="25">
        <f>Lookups!$B$57*Inventory[[#This Row],[LnAcres]]</f>
        <v>-34149.305288406773</v>
      </c>
      <c r="AS466" s="25">
        <f>VLOOKUP(Inventory[[#This Row],[Qlty]],Lookups!$A$62:$E$75,2,FALSE)</f>
        <v>44121.038090000002</v>
      </c>
      <c r="AT466" s="25">
        <f>VLOOKUP(Inventory[[#This Row],[Cnd]],Lookups!$A$76:$E$84,2,FALSE)</f>
        <v>197752.34721000001</v>
      </c>
      <c r="AU466" s="25">
        <f>Inventory[[#This Row],[EffAge]]*Lookups!$B$85</f>
        <v>-10929.2344245</v>
      </c>
      <c r="AV466" s="25">
        <f>Inventory[[#This Row],[MainFn]]*Lookups!$B$86</f>
        <v>72581.336049313002</v>
      </c>
      <c r="AW466" s="25">
        <f>Inventory[[#This Row],[UpprFn]]*Lookups!$B$87</f>
        <v>0</v>
      </c>
      <c r="AX466" s="25">
        <f>Inventory[[#This Row],[AddFn]]*Lookups!$B$88</f>
        <v>0</v>
      </c>
      <c r="AY466" s="25">
        <f>Inventory[[#This Row],[Bsmt]]*Lookups!$B$89</f>
        <v>22073.158492472998</v>
      </c>
      <c r="AZ466" s="25">
        <f>Inventory[[#This Row],[Fixtures]]*Lookups!$B$90</f>
        <v>26544.1547364</v>
      </c>
      <c r="BA466" s="25">
        <f>Inventory[[#This Row],[WdDeck]]*Lookups!$B$91</f>
        <v>0</v>
      </c>
      <c r="BB466" s="25">
        <f>ROUND(Inventory[[#This Row],[25Det]],-2)</f>
        <v>31000</v>
      </c>
      <c r="BC466" s="25">
        <f>ROUND(SUM(Inventory[[#This Row],[Mdl Qlty]:[Mdl WdDeck]])+Inventory[[#This Row],[Mdl Res Intercept]],-2)</f>
        <v>352100</v>
      </c>
      <c r="BD466" s="25">
        <f>ROUND(Inventory[[#This Row],[Mdl Land Intercept]]+Inventory[[#This Row],[Mdl LnAcres]],-2)</f>
        <v>55700</v>
      </c>
      <c r="BE466" s="25">
        <f>Inventory[[#This Row],[Unadj Res Value]]+Inventory[[#This Row],[Unadj Det Value]]+Inventory[[#This Row],[Unadj Land Value]]</f>
        <v>438800</v>
      </c>
      <c r="BF466" s="36">
        <f>(Inventory[[#This Row],[Unadj Total Value]]-Inventory[[#This Row],[24Final]])/Inventory[[#This Row],[24Final]]</f>
        <v>4.3023532208224385E-2</v>
      </c>
      <c r="BG466" s="25">
        <f>VLOOKUP(Inventory[[#This Row],[Nbhd]],Lookups!$Q$2:$T$4,4,FALSE)</f>
        <v>0.99970000000000003</v>
      </c>
      <c r="BH466" s="25">
        <f>VLOOKUP(Inventory[[#This Row],[Qlty]],Lookups!$O$7:$R$21,4,FALSE)</f>
        <v>0.98050000000000004</v>
      </c>
      <c r="BI466" s="25">
        <f>VLOOKUP(Inventory[[#This Row],[Cnd]],Lookups!$T$7:$W$16,4,FALSE)</f>
        <v>0.99650000000000005</v>
      </c>
      <c r="BJ466" s="25">
        <f>VLOOKUP(Inventory[[#This Row],[LivArea Range]],Lookups!$T$25:$W$37,4,FALSE)</f>
        <v>0.98919999999999997</v>
      </c>
      <c r="BK466" s="25">
        <f>VLOOKUP(Inventory[[#This Row],[Decade]],Lookups!$O$25:$R$42,4,FALSE)</f>
        <v>1.0199</v>
      </c>
      <c r="BL466" s="25">
        <f>Inventory[[#This Row],[Nbhd Adj]]*0.95</f>
        <v>0.94971499999999998</v>
      </c>
      <c r="BM466" s="25">
        <f>Inventory[[#This Row],[Nbhd Adj]]*Inventory[[#This Row],[Quality Adj]]*Inventory[[#This Row],[Condition Adj]]*Inventory[[#This Row],[Living Area Adj]]*Inventory[[#This Row],[Decade Adj]]*0.95</f>
        <v>0.936181161958198</v>
      </c>
      <c r="BN466" s="25">
        <f>ROUND(SUM(Inventory[[#This Row],[Mdl Qlty]:[Mdl WdDeck]])+Inventory[[#This Row],[Mdl Res Intercept]]*Inventory[[#This Row],[Res Adj ]],-2)</f>
        <v>352100</v>
      </c>
      <c r="BO466" s="25">
        <f>ROUND(Inventory[[#This Row],[25Det]]*Inventory[[#This Row],[Det/Nbhd Adj]],-2)</f>
        <v>29400</v>
      </c>
      <c r="BP466" s="25">
        <f>Inventory[[#This Row],[Adjusted Res]]+Inventory[[#This Row],[Adj Det ]]</f>
        <v>381500</v>
      </c>
      <c r="BQ466" s="25">
        <f>ROUND((Inventory[[#This Row],[Mdl Land Intercept]]+Inventory[[#This Row],[Mdl LnAcres]])*Inventory[[#This Row],[Det/Nbhd Adj]],-2)</f>
        <v>52900</v>
      </c>
      <c r="BR466" s="25">
        <f>Inventory[[#This Row],[Adjusted Impr Total]]+Inventory[[#This Row],[Adjusted Land Total]]</f>
        <v>434400</v>
      </c>
      <c r="BS466" s="36">
        <f>IFERROR((Inventory[[#This Row],[Adjusted Impr Total]]-Inventory[[#This Row],[24Bldg]])/Inventory[[#This Row],[24Bldg]],0)</f>
        <v>0.10965677719604421</v>
      </c>
      <c r="BT466" s="36">
        <f>(Inventory[[#This Row],[Adjusted Land Total]]-Inventory[[#This Row],[24Lnd]])/Inventory[[#This Row],[24Lnd]]</f>
        <v>-0.31209362808842656</v>
      </c>
      <c r="BU466" s="36">
        <f>(Inventory[[#This Row],[Adjusted Total]]-Inventory[[#This Row],[24Final]])/Inventory[[#This Row],[24Final]]</f>
        <v>3.2564772997385312E-2</v>
      </c>
    </row>
    <row r="467" spans="1:73" x14ac:dyDescent="0.3">
      <c r="A467" s="25">
        <v>2025</v>
      </c>
      <c r="B467" s="26" t="s">
        <v>1336</v>
      </c>
      <c r="C467" s="26">
        <f>LN(Inventory[[#This Row],[Acres]])</f>
        <v>-1.7147984280919266</v>
      </c>
      <c r="D467" s="25">
        <v>0.18</v>
      </c>
      <c r="E467" s="25">
        <v>7957</v>
      </c>
      <c r="F467" s="26" t="s">
        <v>537</v>
      </c>
      <c r="G467" s="26" t="s">
        <v>126</v>
      </c>
      <c r="H467" s="26" t="s">
        <v>349</v>
      </c>
      <c r="I467" s="26" t="s">
        <v>538</v>
      </c>
      <c r="J467" s="26" t="s">
        <v>539</v>
      </c>
      <c r="K467" s="26" t="s">
        <v>241</v>
      </c>
      <c r="L467" s="26" t="s">
        <v>302</v>
      </c>
      <c r="M467" s="26" t="s">
        <v>323</v>
      </c>
      <c r="N467" s="26">
        <v>70</v>
      </c>
      <c r="O467" s="26">
        <f>2024-Inventory[[#This Row],[YrBlt]]</f>
        <v>64</v>
      </c>
      <c r="P467" s="26">
        <f>2024-Inventory[[#This Row],[EffYr]]</f>
        <v>49</v>
      </c>
      <c r="Q467" s="25">
        <v>1960</v>
      </c>
      <c r="R467" s="25">
        <v>1975</v>
      </c>
      <c r="S467" s="25">
        <v>1324</v>
      </c>
      <c r="T467" s="27"/>
      <c r="U467" s="31"/>
      <c r="V467" s="31">
        <f>Inventory[[#This Row],[Bsmt]]-Inventory[[#This Row],[FnBsmt]]</f>
        <v>0</v>
      </c>
      <c r="W467" s="31"/>
      <c r="X467" s="27"/>
      <c r="Y467" s="27">
        <f>Inventory[[#This Row],[MainFn]]+Inventory[[#This Row],[UpprFn]]+Inventory[[#This Row],[FnBsmt]]+Inventory[[#This Row],[AddFn]]</f>
        <v>1324</v>
      </c>
      <c r="Z467" s="27">
        <v>1500</v>
      </c>
      <c r="AA467" s="25">
        <v>6</v>
      </c>
      <c r="AB467" s="32">
        <v>312</v>
      </c>
      <c r="AC467" s="31"/>
      <c r="AD467" s="31"/>
      <c r="AE467" s="27"/>
      <c r="AF467" s="27"/>
      <c r="AG467" s="27"/>
      <c r="AH467" s="27"/>
      <c r="AI467" s="25">
        <v>271840</v>
      </c>
      <c r="AJ467" s="25">
        <v>193006</v>
      </c>
      <c r="AK467" s="25">
        <v>0</v>
      </c>
      <c r="AL467" s="25">
        <v>292000</v>
      </c>
      <c r="AM467" s="25">
        <v>54700</v>
      </c>
      <c r="AN467" s="25">
        <v>237300</v>
      </c>
      <c r="AO467" s="25">
        <v>0</v>
      </c>
      <c r="AP467" s="25">
        <f>Lookups!$B$56*0</f>
        <v>0</v>
      </c>
      <c r="AQ467" s="25">
        <f>Lookups!$B$56*1</f>
        <v>89850.625589999996</v>
      </c>
      <c r="AR467" s="25">
        <f>Lookups!$B$57*Inventory[[#This Row],[LnAcres]]</f>
        <v>-54281.285314520763</v>
      </c>
      <c r="AS467" s="25">
        <f>VLOOKUP(Inventory[[#This Row],[Qlty]],Lookups!$A$62:$E$75,2,FALSE)</f>
        <v>29814.093161000001</v>
      </c>
      <c r="AT467" s="25">
        <f>VLOOKUP(Inventory[[#This Row],[Cnd]],Lookups!$A$76:$E$84,2,FALSE)</f>
        <v>160472.20319</v>
      </c>
      <c r="AU467" s="25">
        <f>Inventory[[#This Row],[EffAge]]*Lookups!$B$85</f>
        <v>-10929.2344245</v>
      </c>
      <c r="AV467" s="25">
        <f>Inventory[[#This Row],[MainFn]]*Lookups!$B$86</f>
        <v>65417.078917147999</v>
      </c>
      <c r="AW467" s="25">
        <f>Inventory[[#This Row],[UpprFn]]*Lookups!$B$87</f>
        <v>0</v>
      </c>
      <c r="AX467" s="25">
        <f>Inventory[[#This Row],[AddFn]]*Lookups!$B$88</f>
        <v>0</v>
      </c>
      <c r="AY467" s="25">
        <f>Inventory[[#This Row],[Bsmt]]*Lookups!$B$89</f>
        <v>0</v>
      </c>
      <c r="AZ467" s="25">
        <f>Inventory[[#This Row],[Fixtures]]*Lookups!$B$90</f>
        <v>22752.132631200002</v>
      </c>
      <c r="BA467" s="25">
        <f>Inventory[[#This Row],[WdDeck]]*Lookups!$B$91</f>
        <v>0</v>
      </c>
      <c r="BB467" s="25">
        <f>ROUND(Inventory[[#This Row],[25Det]],-2)</f>
        <v>0</v>
      </c>
      <c r="BC467" s="25">
        <f>ROUND(SUM(Inventory[[#This Row],[Mdl Qlty]:[Mdl WdDeck]])+Inventory[[#This Row],[Mdl Res Intercept]],-2)</f>
        <v>267500</v>
      </c>
      <c r="BD467" s="25">
        <f>ROUND(Inventory[[#This Row],[Mdl Land Intercept]]+Inventory[[#This Row],[Mdl LnAcres]],-2)</f>
        <v>35600</v>
      </c>
      <c r="BE467" s="25">
        <f>Inventory[[#This Row],[Unadj Res Value]]+Inventory[[#This Row],[Unadj Det Value]]+Inventory[[#This Row],[Unadj Land Value]]</f>
        <v>303100</v>
      </c>
      <c r="BF467" s="36">
        <f>(Inventory[[#This Row],[Unadj Total Value]]-Inventory[[#This Row],[24Final]])/Inventory[[#This Row],[24Final]]</f>
        <v>3.801369863013699E-2</v>
      </c>
      <c r="BG467" s="25">
        <f>VLOOKUP(Inventory[[#This Row],[Nbhd]],Lookups!$Q$2:$T$4,4,FALSE)</f>
        <v>0.99970000000000003</v>
      </c>
      <c r="BH467" s="25">
        <f>VLOOKUP(Inventory[[#This Row],[Qlty]],Lookups!$O$7:$R$21,4,FALSE)</f>
        <v>1.0088999999999999</v>
      </c>
      <c r="BI467" s="25">
        <f>VLOOKUP(Inventory[[#This Row],[Cnd]],Lookups!$T$7:$W$16,4,FALSE)</f>
        <v>0.99729999999999996</v>
      </c>
      <c r="BJ467" s="25">
        <f>VLOOKUP(Inventory[[#This Row],[LivArea Range]],Lookups!$T$25:$W$37,4,FALSE)</f>
        <v>1.0157</v>
      </c>
      <c r="BK467" s="25">
        <f>VLOOKUP(Inventory[[#This Row],[Decade]],Lookups!$O$25:$R$42,4,FALSE)</f>
        <v>1.0199</v>
      </c>
      <c r="BL467" s="25">
        <f>Inventory[[#This Row],[Nbhd Adj]]*0.95</f>
        <v>0.94971499999999998</v>
      </c>
      <c r="BM467" s="25">
        <f>Inventory[[#This Row],[Nbhd Adj]]*Inventory[[#This Row],[Quality Adj]]*Inventory[[#This Row],[Condition Adj]]*Inventory[[#This Row],[Living Area Adj]]*Inventory[[#This Row],[Decade Adj]]*0.95</f>
        <v>0.98989762598047604</v>
      </c>
      <c r="BN467" s="25">
        <f>ROUND(SUM(Inventory[[#This Row],[Mdl Qlty]:[Mdl WdDeck]])+Inventory[[#This Row],[Mdl Res Intercept]]*Inventory[[#This Row],[Res Adj ]],-2)</f>
        <v>267500</v>
      </c>
      <c r="BO467" s="25">
        <f>ROUND(Inventory[[#This Row],[25Det]]*Inventory[[#This Row],[Det/Nbhd Adj]],-2)</f>
        <v>0</v>
      </c>
      <c r="BP467" s="25">
        <f>Inventory[[#This Row],[Adjusted Res]]+Inventory[[#This Row],[Adj Det ]]</f>
        <v>267500</v>
      </c>
      <c r="BQ467" s="25">
        <f>ROUND((Inventory[[#This Row],[Mdl Land Intercept]]+Inventory[[#This Row],[Mdl LnAcres]])*Inventory[[#This Row],[Det/Nbhd Adj]],-2)</f>
        <v>33800</v>
      </c>
      <c r="BR467" s="25">
        <f>Inventory[[#This Row],[Adjusted Impr Total]]+Inventory[[#This Row],[Adjusted Land Total]]</f>
        <v>301300</v>
      </c>
      <c r="BS467" s="36">
        <f>IFERROR((Inventory[[#This Row],[Adjusted Impr Total]]-Inventory[[#This Row],[24Bldg]])/Inventory[[#This Row],[24Bldg]],0)</f>
        <v>0.12726506531816267</v>
      </c>
      <c r="BT467" s="36">
        <f>(Inventory[[#This Row],[Adjusted Land Total]]-Inventory[[#This Row],[24Lnd]])/Inventory[[#This Row],[24Lnd]]</f>
        <v>-0.38208409506398539</v>
      </c>
      <c r="BU467" s="36">
        <f>(Inventory[[#This Row],[Adjusted Total]]-Inventory[[#This Row],[24Final]])/Inventory[[#This Row],[24Final]]</f>
        <v>3.1849315068493152E-2</v>
      </c>
    </row>
    <row r="468" spans="1:73" x14ac:dyDescent="0.3">
      <c r="A468" s="25">
        <v>2025</v>
      </c>
      <c r="B468" s="26" t="s">
        <v>2366</v>
      </c>
      <c r="C468" s="26">
        <f>LN(Inventory[[#This Row],[Acres]])</f>
        <v>-2.0402208285265546</v>
      </c>
      <c r="D468" s="25">
        <v>0.13</v>
      </c>
      <c r="E468" s="31"/>
      <c r="F468" s="26" t="s">
        <v>537</v>
      </c>
      <c r="G468" s="26" t="s">
        <v>126</v>
      </c>
      <c r="H468" s="26" t="s">
        <v>349</v>
      </c>
      <c r="I468" s="26" t="s">
        <v>538</v>
      </c>
      <c r="J468" s="26" t="s">
        <v>539</v>
      </c>
      <c r="K468" s="26" t="s">
        <v>5</v>
      </c>
      <c r="L468" s="26" t="s">
        <v>351</v>
      </c>
      <c r="M468" s="26" t="s">
        <v>323</v>
      </c>
      <c r="N468" s="26">
        <v>70</v>
      </c>
      <c r="O468" s="26">
        <f>2024-Inventory[[#This Row],[YrBlt]]</f>
        <v>64</v>
      </c>
      <c r="P468" s="26">
        <f>2024-Inventory[[#This Row],[EffYr]]</f>
        <v>49</v>
      </c>
      <c r="Q468" s="25">
        <v>1960</v>
      </c>
      <c r="R468" s="25">
        <v>1975</v>
      </c>
      <c r="S468" s="25">
        <v>1044</v>
      </c>
      <c r="T468" s="27"/>
      <c r="U468" s="25">
        <v>1008</v>
      </c>
      <c r="V468" s="25">
        <f>Inventory[[#This Row],[Bsmt]]-Inventory[[#This Row],[FnBsmt]]</f>
        <v>0</v>
      </c>
      <c r="W468" s="25">
        <v>1008</v>
      </c>
      <c r="X468" s="27"/>
      <c r="Y468" s="27">
        <f>Inventory[[#This Row],[MainFn]]+Inventory[[#This Row],[UpprFn]]+Inventory[[#This Row],[FnBsmt]]+Inventory[[#This Row],[AddFn]]</f>
        <v>2052</v>
      </c>
      <c r="Z468" s="27">
        <v>2500</v>
      </c>
      <c r="AA468" s="25">
        <v>8</v>
      </c>
      <c r="AB468" s="31"/>
      <c r="AC468" s="27"/>
      <c r="AD468" s="32">
        <v>160</v>
      </c>
      <c r="AE468" s="27"/>
      <c r="AF468" s="27"/>
      <c r="AG468" s="27"/>
      <c r="AH468" s="27"/>
      <c r="AI468" s="25">
        <v>281270</v>
      </c>
      <c r="AJ468" s="25">
        <v>199702</v>
      </c>
      <c r="AK468" s="25">
        <v>0</v>
      </c>
      <c r="AL468" s="25">
        <v>302100</v>
      </c>
      <c r="AM468" s="25">
        <v>43400</v>
      </c>
      <c r="AN468" s="25">
        <v>258700</v>
      </c>
      <c r="AO468" s="25">
        <v>0</v>
      </c>
      <c r="AP468" s="25">
        <f>Lookups!$B$56*0</f>
        <v>0</v>
      </c>
      <c r="AQ468" s="25">
        <f>Lookups!$B$56*1</f>
        <v>89850.625589999996</v>
      </c>
      <c r="AR468" s="25">
        <f>Lookups!$B$57*Inventory[[#This Row],[LnAcres]]</f>
        <v>-64582.406353792743</v>
      </c>
      <c r="AS468" s="25">
        <f>VLOOKUP(Inventory[[#This Row],[Qlty]],Lookups!$A$62:$E$75,2,FALSE)</f>
        <v>21557.329055999999</v>
      </c>
      <c r="AT468" s="25">
        <f>VLOOKUP(Inventory[[#This Row],[Cnd]],Lookups!$A$76:$E$84,2,FALSE)</f>
        <v>160472.20319</v>
      </c>
      <c r="AU468" s="25">
        <f>Inventory[[#This Row],[EffAge]]*Lookups!$B$85</f>
        <v>-10929.2344245</v>
      </c>
      <c r="AV468" s="25">
        <f>Inventory[[#This Row],[MainFn]]*Lookups!$B$86</f>
        <v>51582.651351588</v>
      </c>
      <c r="AW468" s="25">
        <f>Inventory[[#This Row],[UpprFn]]*Lookups!$B$87</f>
        <v>0</v>
      </c>
      <c r="AX468" s="25">
        <f>Inventory[[#This Row],[AddFn]]*Lookups!$B$88</f>
        <v>0</v>
      </c>
      <c r="AY468" s="25">
        <f>Inventory[[#This Row],[Bsmt]]*Lookups!$B$89</f>
        <v>29314.550408976</v>
      </c>
      <c r="AZ468" s="25">
        <f>Inventory[[#This Row],[Fixtures]]*Lookups!$B$90</f>
        <v>30336.176841600001</v>
      </c>
      <c r="BA468" s="25">
        <f>Inventory[[#This Row],[WdDeck]]*Lookups!$B$91</f>
        <v>5327.2824441600005</v>
      </c>
      <c r="BB468" s="25">
        <f>ROUND(Inventory[[#This Row],[25Det]],-2)</f>
        <v>0</v>
      </c>
      <c r="BC468" s="25">
        <f>ROUND(SUM(Inventory[[#This Row],[Mdl Qlty]:[Mdl WdDeck]])+Inventory[[#This Row],[Mdl Res Intercept]],-2)</f>
        <v>287700</v>
      </c>
      <c r="BD468" s="25">
        <f>ROUND(Inventory[[#This Row],[Mdl Land Intercept]]+Inventory[[#This Row],[Mdl LnAcres]],-2)</f>
        <v>25300</v>
      </c>
      <c r="BE468" s="25">
        <f>Inventory[[#This Row],[Unadj Res Value]]+Inventory[[#This Row],[Unadj Det Value]]+Inventory[[#This Row],[Unadj Land Value]]</f>
        <v>313000</v>
      </c>
      <c r="BF468" s="36">
        <f>(Inventory[[#This Row],[Unadj Total Value]]-Inventory[[#This Row],[24Final]])/Inventory[[#This Row],[24Final]]</f>
        <v>3.6080767957629926E-2</v>
      </c>
      <c r="BG468" s="25">
        <f>VLOOKUP(Inventory[[#This Row],[Nbhd]],Lookups!$Q$2:$T$4,4,FALSE)</f>
        <v>0.99970000000000003</v>
      </c>
      <c r="BH468" s="25">
        <f>VLOOKUP(Inventory[[#This Row],[Qlty]],Lookups!$O$7:$R$21,4,FALSE)</f>
        <v>1.0067999999999999</v>
      </c>
      <c r="BI468" s="25">
        <f>VLOOKUP(Inventory[[#This Row],[Cnd]],Lookups!$T$7:$W$16,4,FALSE)</f>
        <v>0.99729999999999996</v>
      </c>
      <c r="BJ468" s="25">
        <f>VLOOKUP(Inventory[[#This Row],[LivArea Range]],Lookups!$T$25:$W$37,4,FALSE)</f>
        <v>0.98919999999999997</v>
      </c>
      <c r="BK468" s="25">
        <f>VLOOKUP(Inventory[[#This Row],[Decade]],Lookups!$O$25:$R$42,4,FALSE)</f>
        <v>1.0199</v>
      </c>
      <c r="BL468" s="25">
        <f>Inventory[[#This Row],[Nbhd Adj]]*0.95</f>
        <v>0.94971499999999998</v>
      </c>
      <c r="BM468" s="25">
        <f>Inventory[[#This Row],[Nbhd Adj]]*Inventory[[#This Row],[Quality Adj]]*Inventory[[#This Row],[Condition Adj]]*Inventory[[#This Row],[Living Area Adj]]*Inventory[[#This Row],[Decade Adj]]*0.95</f>
        <v>0.9620641305621106</v>
      </c>
      <c r="BN468" s="25">
        <f>ROUND(SUM(Inventory[[#This Row],[Mdl Qlty]:[Mdl WdDeck]])+Inventory[[#This Row],[Mdl Res Intercept]]*Inventory[[#This Row],[Res Adj ]],-2)</f>
        <v>287700</v>
      </c>
      <c r="BO468" s="25">
        <f>ROUND(Inventory[[#This Row],[25Det]]*Inventory[[#This Row],[Det/Nbhd Adj]],-2)</f>
        <v>0</v>
      </c>
      <c r="BP468" s="25">
        <f>Inventory[[#This Row],[Adjusted Res]]+Inventory[[#This Row],[Adj Det ]]</f>
        <v>287700</v>
      </c>
      <c r="BQ468" s="25">
        <f>ROUND((Inventory[[#This Row],[Mdl Land Intercept]]+Inventory[[#This Row],[Mdl LnAcres]])*Inventory[[#This Row],[Det/Nbhd Adj]],-2)</f>
        <v>24000</v>
      </c>
      <c r="BR468" s="25">
        <f>Inventory[[#This Row],[Adjusted Impr Total]]+Inventory[[#This Row],[Adjusted Land Total]]</f>
        <v>311700</v>
      </c>
      <c r="BS468" s="36">
        <f>IFERROR((Inventory[[#This Row],[Adjusted Impr Total]]-Inventory[[#This Row],[24Bldg]])/Inventory[[#This Row],[24Bldg]],0)</f>
        <v>0.11209895632006185</v>
      </c>
      <c r="BT468" s="36">
        <f>(Inventory[[#This Row],[Adjusted Land Total]]-Inventory[[#This Row],[24Lnd]])/Inventory[[#This Row],[24Lnd]]</f>
        <v>-0.44700460829493088</v>
      </c>
      <c r="BU468" s="36">
        <f>(Inventory[[#This Row],[Adjusted Total]]-Inventory[[#This Row],[24Final]])/Inventory[[#This Row],[24Final]]</f>
        <v>3.1777557100297914E-2</v>
      </c>
    </row>
    <row r="469" spans="1:73" x14ac:dyDescent="0.3">
      <c r="A469" s="25">
        <v>2025</v>
      </c>
      <c r="B469" s="26" t="s">
        <v>1711</v>
      </c>
      <c r="C469" s="26">
        <f>LN(Inventory[[#This Row],[Acres]])</f>
        <v>-1.7147984280919266</v>
      </c>
      <c r="D469" s="25">
        <v>0.18</v>
      </c>
      <c r="E469" s="25">
        <v>7718</v>
      </c>
      <c r="F469" s="26" t="s">
        <v>537</v>
      </c>
      <c r="G469" s="26" t="s">
        <v>126</v>
      </c>
      <c r="H469" s="26" t="s">
        <v>349</v>
      </c>
      <c r="I469" s="26" t="s">
        <v>538</v>
      </c>
      <c r="J469" s="26" t="s">
        <v>539</v>
      </c>
      <c r="K469" s="26" t="s">
        <v>241</v>
      </c>
      <c r="L469" s="26" t="s">
        <v>148</v>
      </c>
      <c r="M469" s="26" t="s">
        <v>323</v>
      </c>
      <c r="N469" s="26">
        <v>70</v>
      </c>
      <c r="O469" s="26">
        <f>2024-Inventory[[#This Row],[YrBlt]]</f>
        <v>64</v>
      </c>
      <c r="P469" s="26">
        <f>2024-Inventory[[#This Row],[EffYr]]</f>
        <v>49</v>
      </c>
      <c r="Q469" s="25">
        <v>1960</v>
      </c>
      <c r="R469" s="25">
        <v>1975</v>
      </c>
      <c r="S469" s="25">
        <v>1548</v>
      </c>
      <c r="T469" s="27"/>
      <c r="U469" s="31"/>
      <c r="V469" s="31">
        <f>Inventory[[#This Row],[Bsmt]]-Inventory[[#This Row],[FnBsmt]]</f>
        <v>0</v>
      </c>
      <c r="W469" s="31"/>
      <c r="X469" s="27"/>
      <c r="Y469" s="27">
        <f>Inventory[[#This Row],[MainFn]]+Inventory[[#This Row],[UpprFn]]+Inventory[[#This Row],[FnBsmt]]+Inventory[[#This Row],[AddFn]]</f>
        <v>1548</v>
      </c>
      <c r="Z469" s="27">
        <v>2000</v>
      </c>
      <c r="AA469" s="25">
        <v>8</v>
      </c>
      <c r="AB469" s="25">
        <v>288</v>
      </c>
      <c r="AC469" s="27"/>
      <c r="AD469" s="27"/>
      <c r="AE469" s="27"/>
      <c r="AF469" s="27"/>
      <c r="AG469" s="27"/>
      <c r="AH469" s="27"/>
      <c r="AI469" s="25">
        <v>398892</v>
      </c>
      <c r="AJ469" s="25">
        <v>283213</v>
      </c>
      <c r="AK469" s="25">
        <v>0</v>
      </c>
      <c r="AL469" s="25">
        <v>324100</v>
      </c>
      <c r="AM469" s="25">
        <v>54700</v>
      </c>
      <c r="AN469" s="25">
        <v>269400</v>
      </c>
      <c r="AO469" s="25">
        <v>0</v>
      </c>
      <c r="AP469" s="25">
        <f>Lookups!$B$56*0</f>
        <v>0</v>
      </c>
      <c r="AQ469" s="25">
        <f>Lookups!$B$56*1</f>
        <v>89850.625589999996</v>
      </c>
      <c r="AR469" s="25">
        <f>Lookups!$B$57*Inventory[[#This Row],[LnAcres]]</f>
        <v>-54281.285314520763</v>
      </c>
      <c r="AS469" s="25">
        <f>VLOOKUP(Inventory[[#This Row],[Qlty]],Lookups!$A$62:$E$75,2,FALSE)</f>
        <v>44121.038090000002</v>
      </c>
      <c r="AT469" s="25">
        <f>VLOOKUP(Inventory[[#This Row],[Cnd]],Lookups!$A$76:$E$84,2,FALSE)</f>
        <v>160472.20319</v>
      </c>
      <c r="AU469" s="25">
        <f>Inventory[[#This Row],[EffAge]]*Lookups!$B$85</f>
        <v>-10929.2344245</v>
      </c>
      <c r="AV469" s="25">
        <f>Inventory[[#This Row],[MainFn]]*Lookups!$B$86</f>
        <v>76484.620969595999</v>
      </c>
      <c r="AW469" s="25">
        <f>Inventory[[#This Row],[UpprFn]]*Lookups!$B$87</f>
        <v>0</v>
      </c>
      <c r="AX469" s="25">
        <f>Inventory[[#This Row],[AddFn]]*Lookups!$B$88</f>
        <v>0</v>
      </c>
      <c r="AY469" s="25">
        <f>Inventory[[#This Row],[Bsmt]]*Lookups!$B$89</f>
        <v>0</v>
      </c>
      <c r="AZ469" s="25">
        <f>Inventory[[#This Row],[Fixtures]]*Lookups!$B$90</f>
        <v>30336.176841600001</v>
      </c>
      <c r="BA469" s="25">
        <f>Inventory[[#This Row],[WdDeck]]*Lookups!$B$91</f>
        <v>0</v>
      </c>
      <c r="BB469" s="25">
        <f>ROUND(Inventory[[#This Row],[25Det]],-2)</f>
        <v>0</v>
      </c>
      <c r="BC469" s="25">
        <f>ROUND(SUM(Inventory[[#This Row],[Mdl Qlty]:[Mdl WdDeck]])+Inventory[[#This Row],[Mdl Res Intercept]],-2)</f>
        <v>300500</v>
      </c>
      <c r="BD469" s="25">
        <f>ROUND(Inventory[[#This Row],[Mdl Land Intercept]]+Inventory[[#This Row],[Mdl LnAcres]],-2)</f>
        <v>35600</v>
      </c>
      <c r="BE469" s="25">
        <f>Inventory[[#This Row],[Unadj Res Value]]+Inventory[[#This Row],[Unadj Det Value]]+Inventory[[#This Row],[Unadj Land Value]]</f>
        <v>336100</v>
      </c>
      <c r="BF469" s="36">
        <f>(Inventory[[#This Row],[Unadj Total Value]]-Inventory[[#This Row],[24Final]])/Inventory[[#This Row],[24Final]]</f>
        <v>3.7025609379821044E-2</v>
      </c>
      <c r="BG469" s="25">
        <f>VLOOKUP(Inventory[[#This Row],[Nbhd]],Lookups!$Q$2:$T$4,4,FALSE)</f>
        <v>0.99970000000000003</v>
      </c>
      <c r="BH469" s="25">
        <f>VLOOKUP(Inventory[[#This Row],[Qlty]],Lookups!$O$7:$R$21,4,FALSE)</f>
        <v>0.98050000000000004</v>
      </c>
      <c r="BI469" s="25">
        <f>VLOOKUP(Inventory[[#This Row],[Cnd]],Lookups!$T$7:$W$16,4,FALSE)</f>
        <v>0.99729999999999996</v>
      </c>
      <c r="BJ469" s="25">
        <f>VLOOKUP(Inventory[[#This Row],[LivArea Range]],Lookups!$T$25:$W$37,4,FALSE)</f>
        <v>1.0093000000000001</v>
      </c>
      <c r="BK469" s="25">
        <f>VLOOKUP(Inventory[[#This Row],[Decade]],Lookups!$O$25:$R$42,4,FALSE)</f>
        <v>1.0199</v>
      </c>
      <c r="BL469" s="25">
        <f>Inventory[[#This Row],[Nbhd Adj]]*0.95</f>
        <v>0.94971499999999998</v>
      </c>
      <c r="BM469" s="25">
        <f>Inventory[[#This Row],[Nbhd Adj]]*Inventory[[#This Row],[Quality Adj]]*Inventory[[#This Row],[Condition Adj]]*Inventory[[#This Row],[Living Area Adj]]*Inventory[[#This Row],[Decade Adj]]*0.95</f>
        <v>0.95597069536964641</v>
      </c>
      <c r="BN469" s="25">
        <f>ROUND(SUM(Inventory[[#This Row],[Mdl Qlty]:[Mdl WdDeck]])+Inventory[[#This Row],[Mdl Res Intercept]]*Inventory[[#This Row],[Res Adj ]],-2)</f>
        <v>300500</v>
      </c>
      <c r="BO469" s="25">
        <f>ROUND(Inventory[[#This Row],[25Det]]*Inventory[[#This Row],[Det/Nbhd Adj]],-2)</f>
        <v>0</v>
      </c>
      <c r="BP469" s="25">
        <f>Inventory[[#This Row],[Adjusted Res]]+Inventory[[#This Row],[Adj Det ]]</f>
        <v>300500</v>
      </c>
      <c r="BQ469" s="25">
        <f>ROUND((Inventory[[#This Row],[Mdl Land Intercept]]+Inventory[[#This Row],[Mdl LnAcres]])*Inventory[[#This Row],[Det/Nbhd Adj]],-2)</f>
        <v>33800</v>
      </c>
      <c r="BR469" s="25">
        <f>Inventory[[#This Row],[Adjusted Impr Total]]+Inventory[[#This Row],[Adjusted Land Total]]</f>
        <v>334300</v>
      </c>
      <c r="BS469" s="36">
        <f>IFERROR((Inventory[[#This Row],[Adjusted Impr Total]]-Inventory[[#This Row],[24Bldg]])/Inventory[[#This Row],[24Bldg]],0)</f>
        <v>0.11544172234595397</v>
      </c>
      <c r="BT469" s="36">
        <f>(Inventory[[#This Row],[Adjusted Land Total]]-Inventory[[#This Row],[24Lnd]])/Inventory[[#This Row],[24Lnd]]</f>
        <v>-0.38208409506398539</v>
      </c>
      <c r="BU469" s="36">
        <f>(Inventory[[#This Row],[Adjusted Total]]-Inventory[[#This Row],[24Final]])/Inventory[[#This Row],[24Final]]</f>
        <v>3.1471767972847883E-2</v>
      </c>
    </row>
    <row r="470" spans="1:73" x14ac:dyDescent="0.3">
      <c r="A470" s="25">
        <v>2025</v>
      </c>
      <c r="B470" s="26" t="s">
        <v>1613</v>
      </c>
      <c r="C470" s="26">
        <f>LN(Inventory[[#This Row],[Acres]])</f>
        <v>-1.6607312068216509</v>
      </c>
      <c r="D470" s="25">
        <v>0.19</v>
      </c>
      <c r="E470" s="31"/>
      <c r="F470" s="26" t="s">
        <v>537</v>
      </c>
      <c r="G470" s="26" t="s">
        <v>126</v>
      </c>
      <c r="H470" s="26" t="s">
        <v>349</v>
      </c>
      <c r="I470" s="26" t="s">
        <v>538</v>
      </c>
      <c r="J470" s="26" t="s">
        <v>539</v>
      </c>
      <c r="K470" s="26" t="s">
        <v>241</v>
      </c>
      <c r="L470" s="26" t="s">
        <v>148</v>
      </c>
      <c r="M470" s="26" t="s">
        <v>323</v>
      </c>
      <c r="N470" s="26">
        <v>70</v>
      </c>
      <c r="O470" s="26">
        <f>2024-Inventory[[#This Row],[YrBlt]]</f>
        <v>64</v>
      </c>
      <c r="P470" s="26">
        <f>2024-Inventory[[#This Row],[EffYr]]</f>
        <v>49</v>
      </c>
      <c r="Q470" s="25">
        <v>1960</v>
      </c>
      <c r="R470" s="25">
        <v>1975</v>
      </c>
      <c r="S470" s="25">
        <v>1961</v>
      </c>
      <c r="T470" s="27"/>
      <c r="U470" s="31"/>
      <c r="V470" s="31">
        <f>Inventory[[#This Row],[Bsmt]]-Inventory[[#This Row],[FnBsmt]]</f>
        <v>0</v>
      </c>
      <c r="W470" s="31"/>
      <c r="X470" s="27"/>
      <c r="Y470" s="27">
        <f>Inventory[[#This Row],[MainFn]]+Inventory[[#This Row],[UpprFn]]+Inventory[[#This Row],[FnBsmt]]+Inventory[[#This Row],[AddFn]]</f>
        <v>1961</v>
      </c>
      <c r="Z470" s="27">
        <v>2000</v>
      </c>
      <c r="AA470" s="25">
        <v>10</v>
      </c>
      <c r="AB470" s="32">
        <v>252</v>
      </c>
      <c r="AC470" s="27"/>
      <c r="AD470" s="27"/>
      <c r="AE470" s="27"/>
      <c r="AF470" s="27"/>
      <c r="AG470" s="27"/>
      <c r="AH470" s="27"/>
      <c r="AI470" s="25">
        <v>425406</v>
      </c>
      <c r="AJ470" s="25">
        <v>302038</v>
      </c>
      <c r="AK470" s="25">
        <v>22839</v>
      </c>
      <c r="AL470" s="25">
        <v>374000</v>
      </c>
      <c r="AM470" s="25">
        <v>56600</v>
      </c>
      <c r="AN470" s="25">
        <v>317400</v>
      </c>
      <c r="AO470" s="25">
        <v>0</v>
      </c>
      <c r="AP470" s="25">
        <f>Lookups!$B$56*0</f>
        <v>0</v>
      </c>
      <c r="AQ470" s="25">
        <f>Lookups!$B$56*1</f>
        <v>89850.625589999996</v>
      </c>
      <c r="AR470" s="25">
        <f>Lookups!$B$57*Inventory[[#This Row],[LnAcres]]</f>
        <v>-52569.808201026557</v>
      </c>
      <c r="AS470" s="25">
        <f>VLOOKUP(Inventory[[#This Row],[Qlty]],Lookups!$A$62:$E$75,2,FALSE)</f>
        <v>44121.038090000002</v>
      </c>
      <c r="AT470" s="25">
        <f>VLOOKUP(Inventory[[#This Row],[Cnd]],Lookups!$A$76:$E$84,2,FALSE)</f>
        <v>160472.20319</v>
      </c>
      <c r="AU470" s="25">
        <f>Inventory[[#This Row],[EffAge]]*Lookups!$B$85</f>
        <v>-10929.2344245</v>
      </c>
      <c r="AV470" s="25">
        <f>Inventory[[#This Row],[MainFn]]*Lookups!$B$86</f>
        <v>96890.401628797001</v>
      </c>
      <c r="AW470" s="25">
        <f>Inventory[[#This Row],[UpprFn]]*Lookups!$B$87</f>
        <v>0</v>
      </c>
      <c r="AX470" s="25">
        <f>Inventory[[#This Row],[AddFn]]*Lookups!$B$88</f>
        <v>0</v>
      </c>
      <c r="AY470" s="25">
        <f>Inventory[[#This Row],[Bsmt]]*Lookups!$B$89</f>
        <v>0</v>
      </c>
      <c r="AZ470" s="25">
        <f>Inventory[[#This Row],[Fixtures]]*Lookups!$B$90</f>
        <v>37920.221052000001</v>
      </c>
      <c r="BA470" s="25">
        <f>Inventory[[#This Row],[WdDeck]]*Lookups!$B$91</f>
        <v>0</v>
      </c>
      <c r="BB470" s="25">
        <f>ROUND(Inventory[[#This Row],[25Det]],-2)</f>
        <v>22800</v>
      </c>
      <c r="BC470" s="25">
        <f>ROUND(SUM(Inventory[[#This Row],[Mdl Qlty]:[Mdl WdDeck]])+Inventory[[#This Row],[Mdl Res Intercept]],-2)</f>
        <v>328500</v>
      </c>
      <c r="BD470" s="25">
        <f>ROUND(Inventory[[#This Row],[Mdl Land Intercept]]+Inventory[[#This Row],[Mdl LnAcres]],-2)</f>
        <v>37300</v>
      </c>
      <c r="BE470" s="25">
        <f>Inventory[[#This Row],[Unadj Res Value]]+Inventory[[#This Row],[Unadj Det Value]]+Inventory[[#This Row],[Unadj Land Value]]</f>
        <v>388600</v>
      </c>
      <c r="BF470" s="36">
        <f>(Inventory[[#This Row],[Unadj Total Value]]-Inventory[[#This Row],[24Final]])/Inventory[[#This Row],[24Final]]</f>
        <v>3.9037433155080216E-2</v>
      </c>
      <c r="BG470" s="25">
        <f>VLOOKUP(Inventory[[#This Row],[Nbhd]],Lookups!$Q$2:$T$4,4,FALSE)</f>
        <v>0.99970000000000003</v>
      </c>
      <c r="BH470" s="25">
        <f>VLOOKUP(Inventory[[#This Row],[Qlty]],Lookups!$O$7:$R$21,4,FALSE)</f>
        <v>0.98050000000000004</v>
      </c>
      <c r="BI470" s="25">
        <f>VLOOKUP(Inventory[[#This Row],[Cnd]],Lookups!$T$7:$W$16,4,FALSE)</f>
        <v>0.99729999999999996</v>
      </c>
      <c r="BJ470" s="25">
        <f>VLOOKUP(Inventory[[#This Row],[LivArea Range]],Lookups!$T$25:$W$37,4,FALSE)</f>
        <v>1.0093000000000001</v>
      </c>
      <c r="BK470" s="25">
        <f>VLOOKUP(Inventory[[#This Row],[Decade]],Lookups!$O$25:$R$42,4,FALSE)</f>
        <v>1.0199</v>
      </c>
      <c r="BL470" s="25">
        <f>Inventory[[#This Row],[Nbhd Adj]]*0.95</f>
        <v>0.94971499999999998</v>
      </c>
      <c r="BM470" s="25">
        <f>Inventory[[#This Row],[Nbhd Adj]]*Inventory[[#This Row],[Quality Adj]]*Inventory[[#This Row],[Condition Adj]]*Inventory[[#This Row],[Living Area Adj]]*Inventory[[#This Row],[Decade Adj]]*0.95</f>
        <v>0.95597069536964641</v>
      </c>
      <c r="BN470" s="25">
        <f>ROUND(SUM(Inventory[[#This Row],[Mdl Qlty]:[Mdl WdDeck]])+Inventory[[#This Row],[Mdl Res Intercept]]*Inventory[[#This Row],[Res Adj ]],-2)</f>
        <v>328500</v>
      </c>
      <c r="BO470" s="25">
        <f>ROUND(Inventory[[#This Row],[25Det]]*Inventory[[#This Row],[Det/Nbhd Adj]],-2)</f>
        <v>21700</v>
      </c>
      <c r="BP470" s="25">
        <f>Inventory[[#This Row],[Adjusted Res]]+Inventory[[#This Row],[Adj Det ]]</f>
        <v>350200</v>
      </c>
      <c r="BQ470" s="25">
        <f>ROUND((Inventory[[#This Row],[Mdl Land Intercept]]+Inventory[[#This Row],[Mdl LnAcres]])*Inventory[[#This Row],[Det/Nbhd Adj]],-2)</f>
        <v>35400</v>
      </c>
      <c r="BR470" s="25">
        <f>Inventory[[#This Row],[Adjusted Impr Total]]+Inventory[[#This Row],[Adjusted Land Total]]</f>
        <v>385600</v>
      </c>
      <c r="BS470" s="36">
        <f>IFERROR((Inventory[[#This Row],[Adjusted Impr Total]]-Inventory[[#This Row],[24Bldg]])/Inventory[[#This Row],[24Bldg]],0)</f>
        <v>0.1033396345305608</v>
      </c>
      <c r="BT470" s="36">
        <f>(Inventory[[#This Row],[Adjusted Land Total]]-Inventory[[#This Row],[24Lnd]])/Inventory[[#This Row],[24Lnd]]</f>
        <v>-0.37455830388692579</v>
      </c>
      <c r="BU470" s="36">
        <f>(Inventory[[#This Row],[Adjusted Total]]-Inventory[[#This Row],[24Final]])/Inventory[[#This Row],[24Final]]</f>
        <v>3.1016042780748664E-2</v>
      </c>
    </row>
    <row r="471" spans="1:73" x14ac:dyDescent="0.3">
      <c r="A471" s="25">
        <v>2025</v>
      </c>
      <c r="B471" s="26" t="s">
        <v>2542</v>
      </c>
      <c r="C471" s="26">
        <f>LN(Inventory[[#This Row],[Acres]])</f>
        <v>-1.5606477482646683</v>
      </c>
      <c r="D471" s="25">
        <v>0.21</v>
      </c>
      <c r="E471" s="31"/>
      <c r="F471" s="26" t="s">
        <v>537</v>
      </c>
      <c r="G471" s="26" t="s">
        <v>126</v>
      </c>
      <c r="H471" s="26" t="s">
        <v>349</v>
      </c>
      <c r="I471" s="26" t="s">
        <v>538</v>
      </c>
      <c r="J471" s="26" t="s">
        <v>539</v>
      </c>
      <c r="K471" s="26" t="s">
        <v>241</v>
      </c>
      <c r="L471" s="26" t="s">
        <v>351</v>
      </c>
      <c r="M471" s="26" t="s">
        <v>323</v>
      </c>
      <c r="N471" s="26">
        <v>70</v>
      </c>
      <c r="O471" s="26">
        <f>2024-Inventory[[#This Row],[YrBlt]]</f>
        <v>64</v>
      </c>
      <c r="P471" s="26">
        <f>2024-Inventory[[#This Row],[EffYr]]</f>
        <v>49</v>
      </c>
      <c r="Q471" s="25">
        <v>1960</v>
      </c>
      <c r="R471" s="25">
        <v>1975</v>
      </c>
      <c r="S471" s="25">
        <v>1099</v>
      </c>
      <c r="T471" s="27"/>
      <c r="U471" s="31"/>
      <c r="V471" s="31">
        <f>Inventory[[#This Row],[Bsmt]]-Inventory[[#This Row],[FnBsmt]]</f>
        <v>0</v>
      </c>
      <c r="W471" s="31"/>
      <c r="X471" s="27"/>
      <c r="Y471" s="27">
        <f>Inventory[[#This Row],[MainFn]]+Inventory[[#This Row],[UpprFn]]+Inventory[[#This Row],[FnBsmt]]+Inventory[[#This Row],[AddFn]]</f>
        <v>1099</v>
      </c>
      <c r="Z471" s="27">
        <v>1500</v>
      </c>
      <c r="AA471" s="25">
        <v>7</v>
      </c>
      <c r="AB471" s="32">
        <v>300</v>
      </c>
      <c r="AC471" s="31"/>
      <c r="AD471" s="27"/>
      <c r="AE471" s="27"/>
      <c r="AF471" s="27"/>
      <c r="AG471" s="27"/>
      <c r="AH471" s="27"/>
      <c r="AI471" s="25">
        <v>199985</v>
      </c>
      <c r="AJ471" s="25">
        <v>141989</v>
      </c>
      <c r="AK471" s="25">
        <v>0</v>
      </c>
      <c r="AL471" s="25">
        <v>281600</v>
      </c>
      <c r="AM471" s="25">
        <v>60100</v>
      </c>
      <c r="AN471" s="25">
        <v>221500</v>
      </c>
      <c r="AO471" s="25">
        <v>0</v>
      </c>
      <c r="AP471" s="25">
        <f>Lookups!$B$56*0</f>
        <v>0</v>
      </c>
      <c r="AQ471" s="25">
        <f>Lookups!$B$56*1</f>
        <v>89850.625589999996</v>
      </c>
      <c r="AR471" s="25">
        <f>Lookups!$B$57*Inventory[[#This Row],[LnAcres]]</f>
        <v>-49401.70477837498</v>
      </c>
      <c r="AS471" s="25">
        <f>VLOOKUP(Inventory[[#This Row],[Qlty]],Lookups!$A$62:$E$75,2,FALSE)</f>
        <v>21557.329055999999</v>
      </c>
      <c r="AT471" s="25">
        <f>VLOOKUP(Inventory[[#This Row],[Cnd]],Lookups!$A$76:$E$84,2,FALSE)</f>
        <v>160472.20319</v>
      </c>
      <c r="AU471" s="25">
        <f>Inventory[[#This Row],[EffAge]]*Lookups!$B$85</f>
        <v>-10929.2344245</v>
      </c>
      <c r="AV471" s="25">
        <f>Inventory[[#This Row],[MainFn]]*Lookups!$B$86</f>
        <v>54300.128194823003</v>
      </c>
      <c r="AW471" s="25">
        <f>Inventory[[#This Row],[UpprFn]]*Lookups!$B$87</f>
        <v>0</v>
      </c>
      <c r="AX471" s="25">
        <f>Inventory[[#This Row],[AddFn]]*Lookups!$B$88</f>
        <v>0</v>
      </c>
      <c r="AY471" s="25">
        <f>Inventory[[#This Row],[Bsmt]]*Lookups!$B$89</f>
        <v>0</v>
      </c>
      <c r="AZ471" s="25">
        <f>Inventory[[#This Row],[Fixtures]]*Lookups!$B$90</f>
        <v>26544.1547364</v>
      </c>
      <c r="BA471" s="25">
        <f>Inventory[[#This Row],[WdDeck]]*Lookups!$B$91</f>
        <v>0</v>
      </c>
      <c r="BB471" s="25">
        <f>ROUND(Inventory[[#This Row],[25Det]],-2)</f>
        <v>0</v>
      </c>
      <c r="BC471" s="25">
        <f>ROUND(SUM(Inventory[[#This Row],[Mdl Qlty]:[Mdl WdDeck]])+Inventory[[#This Row],[Mdl Res Intercept]],-2)</f>
        <v>251900</v>
      </c>
      <c r="BD471" s="25">
        <f>ROUND(Inventory[[#This Row],[Mdl Land Intercept]]+Inventory[[#This Row],[Mdl LnAcres]],-2)</f>
        <v>40400</v>
      </c>
      <c r="BE471" s="25">
        <f>Inventory[[#This Row],[Unadj Res Value]]+Inventory[[#This Row],[Unadj Det Value]]+Inventory[[#This Row],[Unadj Land Value]]</f>
        <v>292300</v>
      </c>
      <c r="BF471" s="36">
        <f>(Inventory[[#This Row],[Unadj Total Value]]-Inventory[[#This Row],[24Final]])/Inventory[[#This Row],[24Final]]</f>
        <v>3.7997159090909088E-2</v>
      </c>
      <c r="BG471" s="25">
        <f>VLOOKUP(Inventory[[#This Row],[Nbhd]],Lookups!$Q$2:$T$4,4,FALSE)</f>
        <v>0.99970000000000003</v>
      </c>
      <c r="BH471" s="25">
        <f>VLOOKUP(Inventory[[#This Row],[Qlty]],Lookups!$O$7:$R$21,4,FALSE)</f>
        <v>1.0067999999999999</v>
      </c>
      <c r="BI471" s="25">
        <f>VLOOKUP(Inventory[[#This Row],[Cnd]],Lookups!$T$7:$W$16,4,FALSE)</f>
        <v>0.99729999999999996</v>
      </c>
      <c r="BJ471" s="25">
        <f>VLOOKUP(Inventory[[#This Row],[LivArea Range]],Lookups!$T$25:$W$37,4,FALSE)</f>
        <v>1.0157</v>
      </c>
      <c r="BK471" s="25">
        <f>VLOOKUP(Inventory[[#This Row],[Decade]],Lookups!$O$25:$R$42,4,FALSE)</f>
        <v>1.0199</v>
      </c>
      <c r="BL471" s="25">
        <f>Inventory[[#This Row],[Nbhd Adj]]*0.95</f>
        <v>0.94971499999999998</v>
      </c>
      <c r="BM471" s="25">
        <f>Inventory[[#This Row],[Nbhd Adj]]*Inventory[[#This Row],[Quality Adj]]*Inventory[[#This Row],[Condition Adj]]*Inventory[[#This Row],[Living Area Adj]]*Inventory[[#This Row],[Decade Adj]]*0.95</f>
        <v>0.98783717894453682</v>
      </c>
      <c r="BN471" s="25">
        <f>ROUND(SUM(Inventory[[#This Row],[Mdl Qlty]:[Mdl WdDeck]])+Inventory[[#This Row],[Mdl Res Intercept]]*Inventory[[#This Row],[Res Adj ]],-2)</f>
        <v>251900</v>
      </c>
      <c r="BO471" s="25">
        <f>ROUND(Inventory[[#This Row],[25Det]]*Inventory[[#This Row],[Det/Nbhd Adj]],-2)</f>
        <v>0</v>
      </c>
      <c r="BP471" s="25">
        <f>Inventory[[#This Row],[Adjusted Res]]+Inventory[[#This Row],[Adj Det ]]</f>
        <v>251900</v>
      </c>
      <c r="BQ471" s="25">
        <f>ROUND((Inventory[[#This Row],[Mdl Land Intercept]]+Inventory[[#This Row],[Mdl LnAcres]])*Inventory[[#This Row],[Det/Nbhd Adj]],-2)</f>
        <v>38400</v>
      </c>
      <c r="BR471" s="25">
        <f>Inventory[[#This Row],[Adjusted Impr Total]]+Inventory[[#This Row],[Adjusted Land Total]]</f>
        <v>290300</v>
      </c>
      <c r="BS471" s="36">
        <f>IFERROR((Inventory[[#This Row],[Adjusted Impr Total]]-Inventory[[#This Row],[24Bldg]])/Inventory[[#This Row],[24Bldg]],0)</f>
        <v>0.13724604966139956</v>
      </c>
      <c r="BT471" s="36">
        <f>(Inventory[[#This Row],[Adjusted Land Total]]-Inventory[[#This Row],[24Lnd]])/Inventory[[#This Row],[24Lnd]]</f>
        <v>-0.36106489184692181</v>
      </c>
      <c r="BU471" s="36">
        <f>(Inventory[[#This Row],[Adjusted Total]]-Inventory[[#This Row],[24Final]])/Inventory[[#This Row],[24Final]]</f>
        <v>3.0894886363636364E-2</v>
      </c>
    </row>
    <row r="472" spans="1:73" x14ac:dyDescent="0.3">
      <c r="A472" s="25">
        <v>2025</v>
      </c>
      <c r="B472" s="26" t="s">
        <v>1337</v>
      </c>
      <c r="C472" s="85">
        <f>LN(Inventory[[#This Row],[Acres]])</f>
        <v>-1.5606477482646683</v>
      </c>
      <c r="D472" s="32">
        <v>0.21</v>
      </c>
      <c r="E472" s="25">
        <v>9264</v>
      </c>
      <c r="F472" s="26" t="s">
        <v>537</v>
      </c>
      <c r="G472" s="26" t="s">
        <v>126</v>
      </c>
      <c r="H472" s="26" t="s">
        <v>349</v>
      </c>
      <c r="I472" s="26" t="s">
        <v>538</v>
      </c>
      <c r="J472" s="26" t="s">
        <v>539</v>
      </c>
      <c r="K472" s="26" t="s">
        <v>241</v>
      </c>
      <c r="L472" s="26" t="s">
        <v>351</v>
      </c>
      <c r="M472" s="26" t="s">
        <v>323</v>
      </c>
      <c r="N472" s="26">
        <v>70</v>
      </c>
      <c r="O472" s="26">
        <f>2024-Inventory[[#This Row],[YrBlt]]</f>
        <v>64</v>
      </c>
      <c r="P472" s="26">
        <f>2024-Inventory[[#This Row],[EffYr]]</f>
        <v>49</v>
      </c>
      <c r="Q472" s="25">
        <v>1960</v>
      </c>
      <c r="R472" s="25">
        <v>1975</v>
      </c>
      <c r="S472" s="25">
        <v>1624</v>
      </c>
      <c r="T472" s="31"/>
      <c r="U472" s="27"/>
      <c r="V472" s="27">
        <f>Inventory[[#This Row],[Bsmt]]-Inventory[[#This Row],[FnBsmt]]</f>
        <v>0</v>
      </c>
      <c r="W472" s="27"/>
      <c r="X472" s="27"/>
      <c r="Y472" s="27">
        <f>Inventory[[#This Row],[MainFn]]+Inventory[[#This Row],[UpprFn]]+Inventory[[#This Row],[FnBsmt]]+Inventory[[#This Row],[AddFn]]</f>
        <v>1624</v>
      </c>
      <c r="Z472" s="27">
        <v>2000</v>
      </c>
      <c r="AA472" s="25">
        <v>7</v>
      </c>
      <c r="AB472" s="31"/>
      <c r="AC472" s="27"/>
      <c r="AD472" s="27"/>
      <c r="AE472" s="27"/>
      <c r="AF472" s="27"/>
      <c r="AG472" s="27"/>
      <c r="AH472" s="27"/>
      <c r="AI472" s="25">
        <v>262484</v>
      </c>
      <c r="AJ472" s="25">
        <v>186364</v>
      </c>
      <c r="AK472" s="25">
        <v>0</v>
      </c>
      <c r="AL472" s="25">
        <v>307700</v>
      </c>
      <c r="AM472" s="25">
        <v>60100</v>
      </c>
      <c r="AN472" s="25">
        <v>247600</v>
      </c>
      <c r="AO472" s="25">
        <v>0</v>
      </c>
      <c r="AP472" s="25">
        <f>Lookups!$B$56*0</f>
        <v>0</v>
      </c>
      <c r="AQ472" s="25">
        <f>Lookups!$B$56*1</f>
        <v>89850.625589999996</v>
      </c>
      <c r="AR472" s="25">
        <f>Lookups!$B$57*Inventory[[#This Row],[LnAcres]]</f>
        <v>-49401.70477837498</v>
      </c>
      <c r="AS472" s="25">
        <f>VLOOKUP(Inventory[[#This Row],[Qlty]],Lookups!$A$62:$E$75,2,FALSE)</f>
        <v>21557.329055999999</v>
      </c>
      <c r="AT472" s="25">
        <f>VLOOKUP(Inventory[[#This Row],[Cnd]],Lookups!$A$76:$E$84,2,FALSE)</f>
        <v>160472.20319</v>
      </c>
      <c r="AU472" s="25">
        <f>Inventory[[#This Row],[EffAge]]*Lookups!$B$85</f>
        <v>-10929.2344245</v>
      </c>
      <c r="AV472" s="25">
        <f>Inventory[[#This Row],[MainFn]]*Lookups!$B$86</f>
        <v>80239.679880248004</v>
      </c>
      <c r="AW472" s="25">
        <f>Inventory[[#This Row],[UpprFn]]*Lookups!$B$87</f>
        <v>0</v>
      </c>
      <c r="AX472" s="25">
        <f>Inventory[[#This Row],[AddFn]]*Lookups!$B$88</f>
        <v>0</v>
      </c>
      <c r="AY472" s="25">
        <f>Inventory[[#This Row],[Bsmt]]*Lookups!$B$89</f>
        <v>0</v>
      </c>
      <c r="AZ472" s="25">
        <f>Inventory[[#This Row],[Fixtures]]*Lookups!$B$90</f>
        <v>26544.1547364</v>
      </c>
      <c r="BA472" s="25">
        <f>Inventory[[#This Row],[WdDeck]]*Lookups!$B$91</f>
        <v>0</v>
      </c>
      <c r="BB472" s="25">
        <f>ROUND(Inventory[[#This Row],[25Det]],-2)</f>
        <v>0</v>
      </c>
      <c r="BC472" s="25">
        <f>ROUND(SUM(Inventory[[#This Row],[Mdl Qlty]:[Mdl WdDeck]])+Inventory[[#This Row],[Mdl Res Intercept]],-2)</f>
        <v>277900</v>
      </c>
      <c r="BD472" s="25">
        <f>ROUND(Inventory[[#This Row],[Mdl Land Intercept]]+Inventory[[#This Row],[Mdl LnAcres]],-2)</f>
        <v>40400</v>
      </c>
      <c r="BE472" s="25">
        <f>Inventory[[#This Row],[Unadj Res Value]]+Inventory[[#This Row],[Unadj Det Value]]+Inventory[[#This Row],[Unadj Land Value]]</f>
        <v>318300</v>
      </c>
      <c r="BF472" s="36">
        <f>(Inventory[[#This Row],[Unadj Total Value]]-Inventory[[#This Row],[24Final]])/Inventory[[#This Row],[24Final]]</f>
        <v>3.4449138771530712E-2</v>
      </c>
      <c r="BG472" s="25">
        <f>VLOOKUP(Inventory[[#This Row],[Nbhd]],Lookups!$Q$2:$T$4,4,FALSE)</f>
        <v>0.99970000000000003</v>
      </c>
      <c r="BH472" s="25">
        <f>VLOOKUP(Inventory[[#This Row],[Qlty]],Lookups!$O$7:$R$21,4,FALSE)</f>
        <v>1.0067999999999999</v>
      </c>
      <c r="BI472" s="25">
        <f>VLOOKUP(Inventory[[#This Row],[Cnd]],Lookups!$T$7:$W$16,4,FALSE)</f>
        <v>0.99729999999999996</v>
      </c>
      <c r="BJ472" s="25">
        <f>VLOOKUP(Inventory[[#This Row],[LivArea Range]],Lookups!$T$25:$W$37,4,FALSE)</f>
        <v>1.0093000000000001</v>
      </c>
      <c r="BK472" s="25">
        <f>VLOOKUP(Inventory[[#This Row],[Decade]],Lookups!$O$25:$R$42,4,FALSE)</f>
        <v>1.0199</v>
      </c>
      <c r="BL472" s="25">
        <f>Inventory[[#This Row],[Nbhd Adj]]*0.95</f>
        <v>0.94971499999999998</v>
      </c>
      <c r="BM472" s="25">
        <f>Inventory[[#This Row],[Nbhd Adj]]*Inventory[[#This Row],[Quality Adj]]*Inventory[[#This Row],[Condition Adj]]*Inventory[[#This Row],[Living Area Adj]]*Inventory[[#This Row],[Decade Adj]]*0.95</f>
        <v>0.98161274461821502</v>
      </c>
      <c r="BN472" s="25">
        <f>ROUND(SUM(Inventory[[#This Row],[Mdl Qlty]:[Mdl WdDeck]])+Inventory[[#This Row],[Mdl Res Intercept]]*Inventory[[#This Row],[Res Adj ]],-2)</f>
        <v>277900</v>
      </c>
      <c r="BO472" s="25">
        <f>ROUND(Inventory[[#This Row],[25Det]]*Inventory[[#This Row],[Det/Nbhd Adj]],-2)</f>
        <v>0</v>
      </c>
      <c r="BP472" s="25">
        <f>Inventory[[#This Row],[Adjusted Res]]+Inventory[[#This Row],[Adj Det ]]</f>
        <v>277900</v>
      </c>
      <c r="BQ472" s="25">
        <f>ROUND((Inventory[[#This Row],[Mdl Land Intercept]]+Inventory[[#This Row],[Mdl LnAcres]])*Inventory[[#This Row],[Det/Nbhd Adj]],-2)</f>
        <v>38400</v>
      </c>
      <c r="BR472" s="25">
        <f>Inventory[[#This Row],[Adjusted Impr Total]]+Inventory[[#This Row],[Adjusted Land Total]]</f>
        <v>316300</v>
      </c>
      <c r="BS472" s="36">
        <f>IFERROR((Inventory[[#This Row],[Adjusted Impr Total]]-Inventory[[#This Row],[24Bldg]])/Inventory[[#This Row],[24Bldg]],0)</f>
        <v>0.12237479806138933</v>
      </c>
      <c r="BT472" s="36">
        <f>(Inventory[[#This Row],[Adjusted Land Total]]-Inventory[[#This Row],[24Lnd]])/Inventory[[#This Row],[24Lnd]]</f>
        <v>-0.36106489184692181</v>
      </c>
      <c r="BU472" s="36">
        <f>(Inventory[[#This Row],[Adjusted Total]]-Inventory[[#This Row],[24Final]])/Inventory[[#This Row],[24Final]]</f>
        <v>2.7949301267468314E-2</v>
      </c>
    </row>
    <row r="473" spans="1:73" x14ac:dyDescent="0.3">
      <c r="A473" s="25">
        <v>2025</v>
      </c>
      <c r="B473" s="26" t="s">
        <v>2803</v>
      </c>
      <c r="C473" s="85">
        <f>LN(Inventory[[#This Row],[Acres]])</f>
        <v>-1.8325814637483102</v>
      </c>
      <c r="D473" s="32">
        <v>0.16</v>
      </c>
      <c r="E473" s="31"/>
      <c r="F473" s="26" t="s">
        <v>537</v>
      </c>
      <c r="G473" s="26" t="s">
        <v>126</v>
      </c>
      <c r="H473" s="26" t="s">
        <v>349</v>
      </c>
      <c r="I473" s="26" t="s">
        <v>538</v>
      </c>
      <c r="J473" s="26" t="s">
        <v>539</v>
      </c>
      <c r="K473" s="26" t="s">
        <v>241</v>
      </c>
      <c r="L473" s="26" t="s">
        <v>302</v>
      </c>
      <c r="M473" s="26" t="s">
        <v>323</v>
      </c>
      <c r="N473" s="26">
        <v>70</v>
      </c>
      <c r="O473" s="26">
        <f>2024-Inventory[[#This Row],[YrBlt]]</f>
        <v>64</v>
      </c>
      <c r="P473" s="26">
        <f>2024-Inventory[[#This Row],[EffYr]]</f>
        <v>49</v>
      </c>
      <c r="Q473" s="25">
        <v>1960</v>
      </c>
      <c r="R473" s="25">
        <v>1975</v>
      </c>
      <c r="S473" s="25">
        <v>1106</v>
      </c>
      <c r="T473" s="31"/>
      <c r="U473" s="32">
        <v>1106</v>
      </c>
      <c r="V473" s="32">
        <f>Inventory[[#This Row],[Bsmt]]-Inventory[[#This Row],[FnBsmt]]</f>
        <v>553</v>
      </c>
      <c r="W473" s="32">
        <v>553</v>
      </c>
      <c r="X473" s="27"/>
      <c r="Y473" s="27">
        <f>Inventory[[#This Row],[MainFn]]+Inventory[[#This Row],[UpprFn]]+Inventory[[#This Row],[FnBsmt]]+Inventory[[#This Row],[AddFn]]</f>
        <v>1659</v>
      </c>
      <c r="Z473" s="27">
        <v>2000</v>
      </c>
      <c r="AA473" s="25">
        <v>7</v>
      </c>
      <c r="AB473" s="32">
        <v>441</v>
      </c>
      <c r="AC473" s="27"/>
      <c r="AD473" s="31"/>
      <c r="AE473" s="27"/>
      <c r="AF473" s="27"/>
      <c r="AG473" s="27"/>
      <c r="AH473" s="27"/>
      <c r="AI473" s="25">
        <v>319671</v>
      </c>
      <c r="AJ473" s="25">
        <v>226966</v>
      </c>
      <c r="AK473" s="25">
        <v>0</v>
      </c>
      <c r="AL473" s="25">
        <v>314200</v>
      </c>
      <c r="AM473" s="25">
        <v>50600</v>
      </c>
      <c r="AN473" s="25">
        <v>263600</v>
      </c>
      <c r="AO473" s="25">
        <v>0</v>
      </c>
      <c r="AP473" s="25">
        <f>Lookups!$B$56*0</f>
        <v>0</v>
      </c>
      <c r="AQ473" s="25">
        <f>Lookups!$B$56*1</f>
        <v>89850.625589999996</v>
      </c>
      <c r="AR473" s="25">
        <f>Lookups!$B$57*Inventory[[#This Row],[LnAcres]]</f>
        <v>-58009.662049032086</v>
      </c>
      <c r="AS473" s="25">
        <f>VLOOKUP(Inventory[[#This Row],[Qlty]],Lookups!$A$62:$E$75,2,FALSE)</f>
        <v>29814.093161000001</v>
      </c>
      <c r="AT473" s="25">
        <f>VLOOKUP(Inventory[[#This Row],[Cnd]],Lookups!$A$76:$E$84,2,FALSE)</f>
        <v>160472.20319</v>
      </c>
      <c r="AU473" s="25">
        <f>Inventory[[#This Row],[EffAge]]*Lookups!$B$85</f>
        <v>-10929.2344245</v>
      </c>
      <c r="AV473" s="25">
        <f>Inventory[[#This Row],[MainFn]]*Lookups!$B$86</f>
        <v>54645.988883962003</v>
      </c>
      <c r="AW473" s="25">
        <f>Inventory[[#This Row],[UpprFn]]*Lookups!$B$87</f>
        <v>0</v>
      </c>
      <c r="AX473" s="25">
        <f>Inventory[[#This Row],[AddFn]]*Lookups!$B$88</f>
        <v>0</v>
      </c>
      <c r="AY473" s="25">
        <f>Inventory[[#This Row],[Bsmt]]*Lookups!$B$89</f>
        <v>32164.576143181999</v>
      </c>
      <c r="AZ473" s="25">
        <f>Inventory[[#This Row],[Fixtures]]*Lookups!$B$90</f>
        <v>26544.1547364</v>
      </c>
      <c r="BA473" s="25">
        <f>Inventory[[#This Row],[WdDeck]]*Lookups!$B$91</f>
        <v>0</v>
      </c>
      <c r="BB473" s="25">
        <f>ROUND(Inventory[[#This Row],[25Det]],-2)</f>
        <v>0</v>
      </c>
      <c r="BC473" s="25">
        <f>ROUND(SUM(Inventory[[#This Row],[Mdl Qlty]:[Mdl WdDeck]])+Inventory[[#This Row],[Mdl Res Intercept]],-2)</f>
        <v>292700</v>
      </c>
      <c r="BD473" s="25">
        <f>ROUND(Inventory[[#This Row],[Mdl Land Intercept]]+Inventory[[#This Row],[Mdl LnAcres]],-2)</f>
        <v>31800</v>
      </c>
      <c r="BE473" s="25">
        <f>Inventory[[#This Row],[Unadj Res Value]]+Inventory[[#This Row],[Unadj Det Value]]+Inventory[[#This Row],[Unadj Land Value]]</f>
        <v>324500</v>
      </c>
      <c r="BF473" s="36">
        <f>(Inventory[[#This Row],[Unadj Total Value]]-Inventory[[#This Row],[24Final]])/Inventory[[#This Row],[24Final]]</f>
        <v>3.278166772756206E-2</v>
      </c>
      <c r="BG473" s="25">
        <f>VLOOKUP(Inventory[[#This Row],[Nbhd]],Lookups!$Q$2:$T$4,4,FALSE)</f>
        <v>0.99970000000000003</v>
      </c>
      <c r="BH473" s="25">
        <f>VLOOKUP(Inventory[[#This Row],[Qlty]],Lookups!$O$7:$R$21,4,FALSE)</f>
        <v>1.0088999999999999</v>
      </c>
      <c r="BI473" s="25">
        <f>VLOOKUP(Inventory[[#This Row],[Cnd]],Lookups!$T$7:$W$16,4,FALSE)</f>
        <v>0.99729999999999996</v>
      </c>
      <c r="BJ473" s="25">
        <f>VLOOKUP(Inventory[[#This Row],[LivArea Range]],Lookups!$T$25:$W$37,4,FALSE)</f>
        <v>1.0093000000000001</v>
      </c>
      <c r="BK473" s="25">
        <f>VLOOKUP(Inventory[[#This Row],[Decade]],Lookups!$O$25:$R$42,4,FALSE)</f>
        <v>1.0199</v>
      </c>
      <c r="BL473" s="25">
        <f>Inventory[[#This Row],[Nbhd Adj]]*0.95</f>
        <v>0.94971499999999998</v>
      </c>
      <c r="BM473" s="25">
        <f>Inventory[[#This Row],[Nbhd Adj]]*Inventory[[#This Row],[Quality Adj]]*Inventory[[#This Row],[Condition Adj]]*Inventory[[#This Row],[Living Area Adj]]*Inventory[[#This Row],[Decade Adj]]*0.95</f>
        <v>0.98366020862665582</v>
      </c>
      <c r="BN473" s="25">
        <f>ROUND(SUM(Inventory[[#This Row],[Mdl Qlty]:[Mdl WdDeck]])+Inventory[[#This Row],[Mdl Res Intercept]]*Inventory[[#This Row],[Res Adj ]],-2)</f>
        <v>292700</v>
      </c>
      <c r="BO473" s="25">
        <f>ROUND(Inventory[[#This Row],[25Det]]*Inventory[[#This Row],[Det/Nbhd Adj]],-2)</f>
        <v>0</v>
      </c>
      <c r="BP473" s="25">
        <f>Inventory[[#This Row],[Adjusted Res]]+Inventory[[#This Row],[Adj Det ]]</f>
        <v>292700</v>
      </c>
      <c r="BQ473" s="25">
        <f>ROUND((Inventory[[#This Row],[Mdl Land Intercept]]+Inventory[[#This Row],[Mdl LnAcres]])*Inventory[[#This Row],[Det/Nbhd Adj]],-2)</f>
        <v>30200</v>
      </c>
      <c r="BR473" s="25">
        <f>Inventory[[#This Row],[Adjusted Impr Total]]+Inventory[[#This Row],[Adjusted Land Total]]</f>
        <v>322900</v>
      </c>
      <c r="BS473" s="36">
        <f>IFERROR((Inventory[[#This Row],[Adjusted Impr Total]]-Inventory[[#This Row],[24Bldg]])/Inventory[[#This Row],[24Bldg]],0)</f>
        <v>0.11039453717754173</v>
      </c>
      <c r="BT473" s="36">
        <f>(Inventory[[#This Row],[Adjusted Land Total]]-Inventory[[#This Row],[24Lnd]])/Inventory[[#This Row],[24Lnd]]</f>
        <v>-0.40316205533596838</v>
      </c>
      <c r="BU473" s="36">
        <f>(Inventory[[#This Row],[Adjusted Total]]-Inventory[[#This Row],[24Final]])/Inventory[[#This Row],[24Final]]</f>
        <v>2.7689369828134944E-2</v>
      </c>
    </row>
    <row r="474" spans="1:73" x14ac:dyDescent="0.3">
      <c r="A474" s="25">
        <v>2025</v>
      </c>
      <c r="B474" s="26" t="s">
        <v>1784</v>
      </c>
      <c r="C474" s="26">
        <f>LN(Inventory[[#This Row],[Acres]])</f>
        <v>-1.5141277326297755</v>
      </c>
      <c r="D474" s="25">
        <v>0.22</v>
      </c>
      <c r="E474" s="31"/>
      <c r="F474" s="26" t="s">
        <v>537</v>
      </c>
      <c r="G474" s="26" t="s">
        <v>126</v>
      </c>
      <c r="H474" s="26" t="s">
        <v>349</v>
      </c>
      <c r="I474" s="26" t="s">
        <v>538</v>
      </c>
      <c r="J474" s="26" t="s">
        <v>539</v>
      </c>
      <c r="K474" s="26" t="s">
        <v>241</v>
      </c>
      <c r="L474" s="26" t="s">
        <v>351</v>
      </c>
      <c r="M474" s="26" t="s">
        <v>323</v>
      </c>
      <c r="N474" s="26">
        <v>70</v>
      </c>
      <c r="O474" s="26">
        <f>2024-Inventory[[#This Row],[YrBlt]]</f>
        <v>64</v>
      </c>
      <c r="P474" s="26">
        <f>2024-Inventory[[#This Row],[EffYr]]</f>
        <v>49</v>
      </c>
      <c r="Q474" s="25">
        <v>1960</v>
      </c>
      <c r="R474" s="25">
        <v>1975</v>
      </c>
      <c r="S474" s="25">
        <v>1325</v>
      </c>
      <c r="T474" s="27"/>
      <c r="U474" s="31"/>
      <c r="V474" s="31">
        <f>Inventory[[#This Row],[Bsmt]]-Inventory[[#This Row],[FnBsmt]]</f>
        <v>0</v>
      </c>
      <c r="W474" s="31"/>
      <c r="X474" s="27"/>
      <c r="Y474" s="27">
        <f>Inventory[[#This Row],[MainFn]]+Inventory[[#This Row],[UpprFn]]+Inventory[[#This Row],[FnBsmt]]+Inventory[[#This Row],[AddFn]]</f>
        <v>1325</v>
      </c>
      <c r="Z474" s="27">
        <v>1500</v>
      </c>
      <c r="AA474" s="25">
        <v>7</v>
      </c>
      <c r="AB474" s="27"/>
      <c r="AC474" s="27"/>
      <c r="AD474" s="27"/>
      <c r="AE474" s="27"/>
      <c r="AF474" s="27"/>
      <c r="AG474" s="27"/>
      <c r="AH474" s="27"/>
      <c r="AI474" s="25">
        <v>225704</v>
      </c>
      <c r="AJ474" s="25">
        <v>160250</v>
      </c>
      <c r="AK474" s="25">
        <v>0</v>
      </c>
      <c r="AL474" s="25">
        <v>295200</v>
      </c>
      <c r="AM474" s="25">
        <v>61700</v>
      </c>
      <c r="AN474" s="25">
        <v>233500</v>
      </c>
      <c r="AO474" s="25">
        <v>0</v>
      </c>
      <c r="AP474" s="25">
        <f>Lookups!$B$56*0</f>
        <v>0</v>
      </c>
      <c r="AQ474" s="25">
        <f>Lookups!$B$56*1</f>
        <v>89850.625589999996</v>
      </c>
      <c r="AR474" s="25">
        <f>Lookups!$B$57*Inventory[[#This Row],[LnAcres]]</f>
        <v>-47929.131559187132</v>
      </c>
      <c r="AS474" s="25">
        <f>VLOOKUP(Inventory[[#This Row],[Qlty]],Lookups!$A$62:$E$75,2,FALSE)</f>
        <v>21557.329055999999</v>
      </c>
      <c r="AT474" s="25">
        <f>VLOOKUP(Inventory[[#This Row],[Cnd]],Lookups!$A$76:$E$84,2,FALSE)</f>
        <v>160472.20319</v>
      </c>
      <c r="AU474" s="25">
        <f>Inventory[[#This Row],[EffAge]]*Lookups!$B$85</f>
        <v>-10929.2344245</v>
      </c>
      <c r="AV474" s="25">
        <f>Inventory[[#This Row],[MainFn]]*Lookups!$B$86</f>
        <v>65466.487587025003</v>
      </c>
      <c r="AW474" s="25">
        <f>Inventory[[#This Row],[UpprFn]]*Lookups!$B$87</f>
        <v>0</v>
      </c>
      <c r="AX474" s="25">
        <f>Inventory[[#This Row],[AddFn]]*Lookups!$B$88</f>
        <v>0</v>
      </c>
      <c r="AY474" s="25">
        <f>Inventory[[#This Row],[Bsmt]]*Lookups!$B$89</f>
        <v>0</v>
      </c>
      <c r="AZ474" s="25">
        <f>Inventory[[#This Row],[Fixtures]]*Lookups!$B$90</f>
        <v>26544.1547364</v>
      </c>
      <c r="BA474" s="25">
        <f>Inventory[[#This Row],[WdDeck]]*Lookups!$B$91</f>
        <v>0</v>
      </c>
      <c r="BB474" s="25">
        <f>ROUND(Inventory[[#This Row],[25Det]],-2)</f>
        <v>0</v>
      </c>
      <c r="BC474" s="25">
        <f>ROUND(SUM(Inventory[[#This Row],[Mdl Qlty]:[Mdl WdDeck]])+Inventory[[#This Row],[Mdl Res Intercept]],-2)</f>
        <v>263100</v>
      </c>
      <c r="BD474" s="25">
        <f>ROUND(Inventory[[#This Row],[Mdl Land Intercept]]+Inventory[[#This Row],[Mdl LnAcres]],-2)</f>
        <v>41900</v>
      </c>
      <c r="BE474" s="25">
        <f>Inventory[[#This Row],[Unadj Res Value]]+Inventory[[#This Row],[Unadj Det Value]]+Inventory[[#This Row],[Unadj Land Value]]</f>
        <v>305000</v>
      </c>
      <c r="BF474" s="36">
        <f>(Inventory[[#This Row],[Unadj Total Value]]-Inventory[[#This Row],[24Final]])/Inventory[[#This Row],[24Final]]</f>
        <v>3.3197831978319783E-2</v>
      </c>
      <c r="BG474" s="25">
        <f>VLOOKUP(Inventory[[#This Row],[Nbhd]],Lookups!$Q$2:$T$4,4,FALSE)</f>
        <v>0.99970000000000003</v>
      </c>
      <c r="BH474" s="25">
        <f>VLOOKUP(Inventory[[#This Row],[Qlty]],Lookups!$O$7:$R$21,4,FALSE)</f>
        <v>1.0067999999999999</v>
      </c>
      <c r="BI474" s="25">
        <f>VLOOKUP(Inventory[[#This Row],[Cnd]],Lookups!$T$7:$W$16,4,FALSE)</f>
        <v>0.99729999999999996</v>
      </c>
      <c r="BJ474" s="25">
        <f>VLOOKUP(Inventory[[#This Row],[LivArea Range]],Lookups!$T$25:$W$37,4,FALSE)</f>
        <v>1.0157</v>
      </c>
      <c r="BK474" s="25">
        <f>VLOOKUP(Inventory[[#This Row],[Decade]],Lookups!$O$25:$R$42,4,FALSE)</f>
        <v>1.0199</v>
      </c>
      <c r="BL474" s="25">
        <f>Inventory[[#This Row],[Nbhd Adj]]*0.95</f>
        <v>0.94971499999999998</v>
      </c>
      <c r="BM474" s="25">
        <f>Inventory[[#This Row],[Nbhd Adj]]*Inventory[[#This Row],[Quality Adj]]*Inventory[[#This Row],[Condition Adj]]*Inventory[[#This Row],[Living Area Adj]]*Inventory[[#This Row],[Decade Adj]]*0.95</f>
        <v>0.98783717894453682</v>
      </c>
      <c r="BN474" s="25">
        <f>ROUND(SUM(Inventory[[#This Row],[Mdl Qlty]:[Mdl WdDeck]])+Inventory[[#This Row],[Mdl Res Intercept]]*Inventory[[#This Row],[Res Adj ]],-2)</f>
        <v>263100</v>
      </c>
      <c r="BO474" s="25">
        <f>ROUND(Inventory[[#This Row],[25Det]]*Inventory[[#This Row],[Det/Nbhd Adj]],-2)</f>
        <v>0</v>
      </c>
      <c r="BP474" s="25">
        <f>Inventory[[#This Row],[Adjusted Res]]+Inventory[[#This Row],[Adj Det ]]</f>
        <v>263100</v>
      </c>
      <c r="BQ474" s="25">
        <f>ROUND((Inventory[[#This Row],[Mdl Land Intercept]]+Inventory[[#This Row],[Mdl LnAcres]])*Inventory[[#This Row],[Det/Nbhd Adj]],-2)</f>
        <v>39800</v>
      </c>
      <c r="BR474" s="25">
        <f>Inventory[[#This Row],[Adjusted Impr Total]]+Inventory[[#This Row],[Adjusted Land Total]]</f>
        <v>302900</v>
      </c>
      <c r="BS474" s="36">
        <f>IFERROR((Inventory[[#This Row],[Adjusted Impr Total]]-Inventory[[#This Row],[24Bldg]])/Inventory[[#This Row],[24Bldg]],0)</f>
        <v>0.12676659528907924</v>
      </c>
      <c r="BT474" s="36">
        <f>(Inventory[[#This Row],[Adjusted Land Total]]-Inventory[[#This Row],[24Lnd]])/Inventory[[#This Row],[24Lnd]]</f>
        <v>-0.35494327390599678</v>
      </c>
      <c r="BU474" s="36">
        <f>(Inventory[[#This Row],[Adjusted Total]]-Inventory[[#This Row],[24Final]])/Inventory[[#This Row],[24Final]]</f>
        <v>2.6084010840108401E-2</v>
      </c>
    </row>
    <row r="475" spans="1:73" x14ac:dyDescent="0.3">
      <c r="A475" s="25">
        <v>2025</v>
      </c>
      <c r="B475" s="26" t="s">
        <v>2138</v>
      </c>
      <c r="C475" s="26">
        <f>LN(Inventory[[#This Row],[Acres]])</f>
        <v>-1.7147984280919266</v>
      </c>
      <c r="D475" s="25">
        <v>0.18</v>
      </c>
      <c r="E475" s="32">
        <v>7873</v>
      </c>
      <c r="F475" s="26" t="s">
        <v>537</v>
      </c>
      <c r="G475" s="26" t="s">
        <v>126</v>
      </c>
      <c r="H475" s="26" t="s">
        <v>349</v>
      </c>
      <c r="I475" s="26" t="s">
        <v>538</v>
      </c>
      <c r="J475" s="26" t="s">
        <v>539</v>
      </c>
      <c r="K475" s="26" t="s">
        <v>241</v>
      </c>
      <c r="L475" s="26" t="s">
        <v>302</v>
      </c>
      <c r="M475" s="26" t="s">
        <v>323</v>
      </c>
      <c r="N475" s="26">
        <v>70</v>
      </c>
      <c r="O475" s="26">
        <f>2024-Inventory[[#This Row],[YrBlt]]</f>
        <v>64</v>
      </c>
      <c r="P475" s="26">
        <f>2024-Inventory[[#This Row],[EffYr]]</f>
        <v>49</v>
      </c>
      <c r="Q475" s="25">
        <v>1960</v>
      </c>
      <c r="R475" s="25">
        <v>1975</v>
      </c>
      <c r="S475" s="25">
        <v>1607</v>
      </c>
      <c r="T475" s="27"/>
      <c r="U475" s="31"/>
      <c r="V475" s="31">
        <f>Inventory[[#This Row],[Bsmt]]-Inventory[[#This Row],[FnBsmt]]</f>
        <v>0</v>
      </c>
      <c r="W475" s="31"/>
      <c r="X475" s="27"/>
      <c r="Y475" s="27">
        <f>Inventory[[#This Row],[MainFn]]+Inventory[[#This Row],[UpprFn]]+Inventory[[#This Row],[FnBsmt]]+Inventory[[#This Row],[AddFn]]</f>
        <v>1607</v>
      </c>
      <c r="Z475" s="27">
        <v>2000</v>
      </c>
      <c r="AA475" s="25">
        <v>8</v>
      </c>
      <c r="AB475" s="25">
        <v>462</v>
      </c>
      <c r="AC475" s="27"/>
      <c r="AD475" s="27"/>
      <c r="AE475" s="27"/>
      <c r="AF475" s="27"/>
      <c r="AG475" s="27"/>
      <c r="AH475" s="27"/>
      <c r="AI475" s="25">
        <v>323868</v>
      </c>
      <c r="AJ475" s="25">
        <v>229946</v>
      </c>
      <c r="AK475" s="25">
        <v>0</v>
      </c>
      <c r="AL475" s="25">
        <v>314900</v>
      </c>
      <c r="AM475" s="25">
        <v>54700</v>
      </c>
      <c r="AN475" s="25">
        <v>260200</v>
      </c>
      <c r="AO475" s="25">
        <v>0</v>
      </c>
      <c r="AP475" s="25">
        <f>Lookups!$B$56*0</f>
        <v>0</v>
      </c>
      <c r="AQ475" s="25">
        <f>Lookups!$B$56*1</f>
        <v>89850.625589999996</v>
      </c>
      <c r="AR475" s="25">
        <f>Lookups!$B$57*Inventory[[#This Row],[LnAcres]]</f>
        <v>-54281.285314520763</v>
      </c>
      <c r="AS475" s="25">
        <f>VLOOKUP(Inventory[[#This Row],[Qlty]],Lookups!$A$62:$E$75,2,FALSE)</f>
        <v>29814.093161000001</v>
      </c>
      <c r="AT475" s="25">
        <f>VLOOKUP(Inventory[[#This Row],[Cnd]],Lookups!$A$76:$E$84,2,FALSE)</f>
        <v>160472.20319</v>
      </c>
      <c r="AU475" s="25">
        <f>Inventory[[#This Row],[EffAge]]*Lookups!$B$85</f>
        <v>-10929.2344245</v>
      </c>
      <c r="AV475" s="25">
        <f>Inventory[[#This Row],[MainFn]]*Lookups!$B$86</f>
        <v>79399.732492338997</v>
      </c>
      <c r="AW475" s="25">
        <f>Inventory[[#This Row],[UpprFn]]*Lookups!$B$87</f>
        <v>0</v>
      </c>
      <c r="AX475" s="25">
        <f>Inventory[[#This Row],[AddFn]]*Lookups!$B$88</f>
        <v>0</v>
      </c>
      <c r="AY475" s="25">
        <f>Inventory[[#This Row],[Bsmt]]*Lookups!$B$89</f>
        <v>0</v>
      </c>
      <c r="AZ475" s="25">
        <f>Inventory[[#This Row],[Fixtures]]*Lookups!$B$90</f>
        <v>30336.176841600001</v>
      </c>
      <c r="BA475" s="25">
        <f>Inventory[[#This Row],[WdDeck]]*Lookups!$B$91</f>
        <v>0</v>
      </c>
      <c r="BB475" s="25">
        <f>ROUND(Inventory[[#This Row],[25Det]],-2)</f>
        <v>0</v>
      </c>
      <c r="BC475" s="25">
        <f>ROUND(SUM(Inventory[[#This Row],[Mdl Qlty]:[Mdl WdDeck]])+Inventory[[#This Row],[Mdl Res Intercept]],-2)</f>
        <v>289100</v>
      </c>
      <c r="BD475" s="25">
        <f>ROUND(Inventory[[#This Row],[Mdl Land Intercept]]+Inventory[[#This Row],[Mdl LnAcres]],-2)</f>
        <v>35600</v>
      </c>
      <c r="BE475" s="25">
        <f>Inventory[[#This Row],[Unadj Res Value]]+Inventory[[#This Row],[Unadj Det Value]]+Inventory[[#This Row],[Unadj Land Value]]</f>
        <v>324700</v>
      </c>
      <c r="BF475" s="36">
        <f>(Inventory[[#This Row],[Unadj Total Value]]-Inventory[[#This Row],[24Final]])/Inventory[[#This Row],[24Final]]</f>
        <v>3.1120990790727214E-2</v>
      </c>
      <c r="BG475" s="25">
        <f>VLOOKUP(Inventory[[#This Row],[Nbhd]],Lookups!$Q$2:$T$4,4,FALSE)</f>
        <v>0.99970000000000003</v>
      </c>
      <c r="BH475" s="25">
        <f>VLOOKUP(Inventory[[#This Row],[Qlty]],Lookups!$O$7:$R$21,4,FALSE)</f>
        <v>1.0088999999999999</v>
      </c>
      <c r="BI475" s="25">
        <f>VLOOKUP(Inventory[[#This Row],[Cnd]],Lookups!$T$7:$W$16,4,FALSE)</f>
        <v>0.99729999999999996</v>
      </c>
      <c r="BJ475" s="25">
        <f>VLOOKUP(Inventory[[#This Row],[LivArea Range]],Lookups!$T$25:$W$37,4,FALSE)</f>
        <v>1.0093000000000001</v>
      </c>
      <c r="BK475" s="25">
        <f>VLOOKUP(Inventory[[#This Row],[Decade]],Lookups!$O$25:$R$42,4,FALSE)</f>
        <v>1.0199</v>
      </c>
      <c r="BL475" s="25">
        <f>Inventory[[#This Row],[Nbhd Adj]]*0.95</f>
        <v>0.94971499999999998</v>
      </c>
      <c r="BM475" s="25">
        <f>Inventory[[#This Row],[Nbhd Adj]]*Inventory[[#This Row],[Quality Adj]]*Inventory[[#This Row],[Condition Adj]]*Inventory[[#This Row],[Living Area Adj]]*Inventory[[#This Row],[Decade Adj]]*0.95</f>
        <v>0.98366020862665582</v>
      </c>
      <c r="BN475" s="25">
        <f>ROUND(SUM(Inventory[[#This Row],[Mdl Qlty]:[Mdl WdDeck]])+Inventory[[#This Row],[Mdl Res Intercept]]*Inventory[[#This Row],[Res Adj ]],-2)</f>
        <v>289100</v>
      </c>
      <c r="BO475" s="25">
        <f>ROUND(Inventory[[#This Row],[25Det]]*Inventory[[#This Row],[Det/Nbhd Adj]],-2)</f>
        <v>0</v>
      </c>
      <c r="BP475" s="25">
        <f>Inventory[[#This Row],[Adjusted Res]]+Inventory[[#This Row],[Adj Det ]]</f>
        <v>289100</v>
      </c>
      <c r="BQ475" s="25">
        <f>ROUND((Inventory[[#This Row],[Mdl Land Intercept]]+Inventory[[#This Row],[Mdl LnAcres]])*Inventory[[#This Row],[Det/Nbhd Adj]],-2)</f>
        <v>33800</v>
      </c>
      <c r="BR475" s="25">
        <f>Inventory[[#This Row],[Adjusted Impr Total]]+Inventory[[#This Row],[Adjusted Land Total]]</f>
        <v>322900</v>
      </c>
      <c r="BS475" s="36">
        <f>IFERROR((Inventory[[#This Row],[Adjusted Impr Total]]-Inventory[[#This Row],[24Bldg]])/Inventory[[#This Row],[24Bldg]],0)</f>
        <v>0.11106840891621829</v>
      </c>
      <c r="BT475" s="36">
        <f>(Inventory[[#This Row],[Adjusted Land Total]]-Inventory[[#This Row],[24Lnd]])/Inventory[[#This Row],[24Lnd]]</f>
        <v>-0.38208409506398539</v>
      </c>
      <c r="BU475" s="36">
        <f>(Inventory[[#This Row],[Adjusted Total]]-Inventory[[#This Row],[24Final]])/Inventory[[#This Row],[24Final]]</f>
        <v>2.540489044140997E-2</v>
      </c>
    </row>
    <row r="476" spans="1:73" x14ac:dyDescent="0.3">
      <c r="A476" s="25">
        <v>2025</v>
      </c>
      <c r="B476" s="26" t="s">
        <v>743</v>
      </c>
      <c r="C476" s="26">
        <f>LN(Inventory[[#This Row],[Acres]])</f>
        <v>-0.82098055206983023</v>
      </c>
      <c r="D476" s="25">
        <v>0.44</v>
      </c>
      <c r="E476" s="32">
        <v>19006</v>
      </c>
      <c r="F476" s="26" t="s">
        <v>537</v>
      </c>
      <c r="G476" s="26" t="s">
        <v>126</v>
      </c>
      <c r="H476" s="26" t="s">
        <v>349</v>
      </c>
      <c r="I476" s="26" t="s">
        <v>538</v>
      </c>
      <c r="J476" s="26" t="s">
        <v>539</v>
      </c>
      <c r="K476" s="26" t="s">
        <v>241</v>
      </c>
      <c r="L476" s="26" t="s">
        <v>148</v>
      </c>
      <c r="M476" s="26" t="s">
        <v>303</v>
      </c>
      <c r="N476" s="26">
        <v>70</v>
      </c>
      <c r="O476" s="26">
        <f>2024-Inventory[[#This Row],[YrBlt]]</f>
        <v>64</v>
      </c>
      <c r="P476" s="26">
        <f>2024-Inventory[[#This Row],[EffYr]]</f>
        <v>49</v>
      </c>
      <c r="Q476" s="25">
        <v>1960</v>
      </c>
      <c r="R476" s="25">
        <v>1975</v>
      </c>
      <c r="S476" s="25">
        <v>2424</v>
      </c>
      <c r="T476" s="27"/>
      <c r="U476" s="31"/>
      <c r="V476" s="31">
        <f>Inventory[[#This Row],[Bsmt]]-Inventory[[#This Row],[FnBsmt]]</f>
        <v>0</v>
      </c>
      <c r="W476" s="31"/>
      <c r="X476" s="27"/>
      <c r="Y476" s="27">
        <f>Inventory[[#This Row],[MainFn]]+Inventory[[#This Row],[UpprFn]]+Inventory[[#This Row],[FnBsmt]]+Inventory[[#This Row],[AddFn]]</f>
        <v>2424</v>
      </c>
      <c r="Z476" s="27">
        <v>2500</v>
      </c>
      <c r="AA476" s="25">
        <v>10</v>
      </c>
      <c r="AB476" s="32">
        <v>695</v>
      </c>
      <c r="AC476" s="27"/>
      <c r="AD476" s="31"/>
      <c r="AE476" s="27"/>
      <c r="AF476" s="27"/>
      <c r="AG476" s="27"/>
      <c r="AH476" s="27"/>
      <c r="AI476" s="25">
        <v>568114</v>
      </c>
      <c r="AJ476" s="25">
        <v>409042</v>
      </c>
      <c r="AK476" s="25">
        <v>0</v>
      </c>
      <c r="AL476" s="25">
        <v>438200</v>
      </c>
      <c r="AM476" s="25">
        <v>85900</v>
      </c>
      <c r="AN476" s="25">
        <v>352300</v>
      </c>
      <c r="AO476" s="25">
        <v>0</v>
      </c>
      <c r="AP476" s="25">
        <f>Lookups!$B$56*0</f>
        <v>0</v>
      </c>
      <c r="AQ476" s="25">
        <f>Lookups!$B$56*1</f>
        <v>89850.625589999996</v>
      </c>
      <c r="AR476" s="25">
        <f>Lookups!$B$57*Inventory[[#This Row],[LnAcres]]</f>
        <v>-25987.823906604521</v>
      </c>
      <c r="AS476" s="25">
        <f>VLOOKUP(Inventory[[#This Row],[Qlty]],Lookups!$A$62:$E$75,2,FALSE)</f>
        <v>44121.038090000002</v>
      </c>
      <c r="AT476" s="25">
        <f>VLOOKUP(Inventory[[#This Row],[Cnd]],Lookups!$A$76:$E$84,2,FALSE)</f>
        <v>197752.34721000001</v>
      </c>
      <c r="AU476" s="25">
        <f>Inventory[[#This Row],[EffAge]]*Lookups!$B$85</f>
        <v>-10929.2344245</v>
      </c>
      <c r="AV476" s="25">
        <f>Inventory[[#This Row],[MainFn]]*Lookups!$B$86</f>
        <v>119766.615781848</v>
      </c>
      <c r="AW476" s="25">
        <f>Inventory[[#This Row],[UpprFn]]*Lookups!$B$87</f>
        <v>0</v>
      </c>
      <c r="AX476" s="25">
        <f>Inventory[[#This Row],[AddFn]]*Lookups!$B$88</f>
        <v>0</v>
      </c>
      <c r="AY476" s="25">
        <f>Inventory[[#This Row],[Bsmt]]*Lookups!$B$89</f>
        <v>0</v>
      </c>
      <c r="AZ476" s="25">
        <f>Inventory[[#This Row],[Fixtures]]*Lookups!$B$90</f>
        <v>37920.221052000001</v>
      </c>
      <c r="BA476" s="25">
        <f>Inventory[[#This Row],[WdDeck]]*Lookups!$B$91</f>
        <v>0</v>
      </c>
      <c r="BB476" s="25">
        <f>ROUND(Inventory[[#This Row],[25Det]],-2)</f>
        <v>0</v>
      </c>
      <c r="BC476" s="25">
        <f>ROUND(SUM(Inventory[[#This Row],[Mdl Qlty]:[Mdl WdDeck]])+Inventory[[#This Row],[Mdl Res Intercept]],-2)</f>
        <v>388600</v>
      </c>
      <c r="BD476" s="25">
        <f>ROUND(Inventory[[#This Row],[Mdl Land Intercept]]+Inventory[[#This Row],[Mdl LnAcres]],-2)</f>
        <v>63900</v>
      </c>
      <c r="BE476" s="25">
        <f>Inventory[[#This Row],[Unadj Res Value]]+Inventory[[#This Row],[Unadj Det Value]]+Inventory[[#This Row],[Unadj Land Value]]</f>
        <v>452500</v>
      </c>
      <c r="BF476" s="36">
        <f>(Inventory[[#This Row],[Unadj Total Value]]-Inventory[[#This Row],[24Final]])/Inventory[[#This Row],[24Final]]</f>
        <v>3.2633500684618892E-2</v>
      </c>
      <c r="BG476" s="25">
        <f>VLOOKUP(Inventory[[#This Row],[Nbhd]],Lookups!$Q$2:$T$4,4,FALSE)</f>
        <v>0.99970000000000003</v>
      </c>
      <c r="BH476" s="25">
        <f>VLOOKUP(Inventory[[#This Row],[Qlty]],Lookups!$O$7:$R$21,4,FALSE)</f>
        <v>0.98050000000000004</v>
      </c>
      <c r="BI476" s="25">
        <f>VLOOKUP(Inventory[[#This Row],[Cnd]],Lookups!$T$7:$W$16,4,FALSE)</f>
        <v>0.99650000000000005</v>
      </c>
      <c r="BJ476" s="25">
        <f>VLOOKUP(Inventory[[#This Row],[LivArea Range]],Lookups!$T$25:$W$37,4,FALSE)</f>
        <v>0.98919999999999997</v>
      </c>
      <c r="BK476" s="25">
        <f>VLOOKUP(Inventory[[#This Row],[Decade]],Lookups!$O$25:$R$42,4,FALSE)</f>
        <v>1.0199</v>
      </c>
      <c r="BL476" s="25">
        <f>Inventory[[#This Row],[Nbhd Adj]]*0.95</f>
        <v>0.94971499999999998</v>
      </c>
      <c r="BM476" s="25">
        <f>Inventory[[#This Row],[Nbhd Adj]]*Inventory[[#This Row],[Quality Adj]]*Inventory[[#This Row],[Condition Adj]]*Inventory[[#This Row],[Living Area Adj]]*Inventory[[#This Row],[Decade Adj]]*0.95</f>
        <v>0.936181161958198</v>
      </c>
      <c r="BN476" s="25">
        <f>ROUND(SUM(Inventory[[#This Row],[Mdl Qlty]:[Mdl WdDeck]])+Inventory[[#This Row],[Mdl Res Intercept]]*Inventory[[#This Row],[Res Adj ]],-2)</f>
        <v>388600</v>
      </c>
      <c r="BO476" s="25">
        <f>ROUND(Inventory[[#This Row],[25Det]]*Inventory[[#This Row],[Det/Nbhd Adj]],-2)</f>
        <v>0</v>
      </c>
      <c r="BP476" s="25">
        <f>Inventory[[#This Row],[Adjusted Res]]+Inventory[[#This Row],[Adj Det ]]</f>
        <v>388600</v>
      </c>
      <c r="BQ476" s="25">
        <f>ROUND((Inventory[[#This Row],[Mdl Land Intercept]]+Inventory[[#This Row],[Mdl LnAcres]])*Inventory[[#This Row],[Det/Nbhd Adj]],-2)</f>
        <v>60700</v>
      </c>
      <c r="BR476" s="25">
        <f>Inventory[[#This Row],[Adjusted Impr Total]]+Inventory[[#This Row],[Adjusted Land Total]]</f>
        <v>449300</v>
      </c>
      <c r="BS476" s="36">
        <f>IFERROR((Inventory[[#This Row],[Adjusted Impr Total]]-Inventory[[#This Row],[24Bldg]])/Inventory[[#This Row],[24Bldg]],0)</f>
        <v>0.10303718421799603</v>
      </c>
      <c r="BT476" s="36">
        <f>(Inventory[[#This Row],[Adjusted Land Total]]-Inventory[[#This Row],[24Lnd]])/Inventory[[#This Row],[24Lnd]]</f>
        <v>-0.29336437718277064</v>
      </c>
      <c r="BU476" s="36">
        <f>(Inventory[[#This Row],[Adjusted Total]]-Inventory[[#This Row],[24Final]])/Inventory[[#This Row],[24Final]]</f>
        <v>2.5330899132816064E-2</v>
      </c>
    </row>
    <row r="477" spans="1:73" x14ac:dyDescent="0.3">
      <c r="A477" s="25">
        <v>2025</v>
      </c>
      <c r="B477" s="26" t="s">
        <v>2292</v>
      </c>
      <c r="C477" s="26">
        <f>LN(Inventory[[#This Row],[Acres]])</f>
        <v>-1.1711829815029451</v>
      </c>
      <c r="D477" s="25">
        <v>0.31</v>
      </c>
      <c r="E477" s="32">
        <v>13469</v>
      </c>
      <c r="F477" s="26" t="s">
        <v>537</v>
      </c>
      <c r="G477" s="26" t="s">
        <v>126</v>
      </c>
      <c r="H477" s="26" t="s">
        <v>349</v>
      </c>
      <c r="I477" s="26" t="s">
        <v>538</v>
      </c>
      <c r="J477" s="26" t="s">
        <v>539</v>
      </c>
      <c r="K477" s="26" t="s">
        <v>241</v>
      </c>
      <c r="L477" s="26" t="s">
        <v>302</v>
      </c>
      <c r="M477" s="26" t="s">
        <v>323</v>
      </c>
      <c r="N477" s="26">
        <v>70</v>
      </c>
      <c r="O477" s="26">
        <f>2024-Inventory[[#This Row],[YrBlt]]</f>
        <v>64</v>
      </c>
      <c r="P477" s="26">
        <f>2024-Inventory[[#This Row],[EffYr]]</f>
        <v>49</v>
      </c>
      <c r="Q477" s="25">
        <v>1960</v>
      </c>
      <c r="R477" s="25">
        <v>1975</v>
      </c>
      <c r="S477" s="25">
        <v>1468</v>
      </c>
      <c r="T477" s="27"/>
      <c r="U477" s="31"/>
      <c r="V477" s="31">
        <f>Inventory[[#This Row],[Bsmt]]-Inventory[[#This Row],[FnBsmt]]</f>
        <v>0</v>
      </c>
      <c r="W477" s="31"/>
      <c r="X477" s="27"/>
      <c r="Y477" s="27">
        <f>Inventory[[#This Row],[MainFn]]+Inventory[[#This Row],[UpprFn]]+Inventory[[#This Row],[FnBsmt]]+Inventory[[#This Row],[AddFn]]</f>
        <v>1468</v>
      </c>
      <c r="Z477" s="27">
        <v>1500</v>
      </c>
      <c r="AA477" s="25">
        <v>8</v>
      </c>
      <c r="AB477" s="27"/>
      <c r="AC477" s="27"/>
      <c r="AD477" s="27"/>
      <c r="AE477" s="27"/>
      <c r="AF477" s="27"/>
      <c r="AG477" s="27"/>
      <c r="AH477" s="27"/>
      <c r="AI477" s="25">
        <v>295494</v>
      </c>
      <c r="AJ477" s="25">
        <v>209801</v>
      </c>
      <c r="AK477" s="25">
        <v>15282</v>
      </c>
      <c r="AL477" s="25">
        <v>338300</v>
      </c>
      <c r="AM477" s="25">
        <v>73700</v>
      </c>
      <c r="AN477" s="25">
        <v>264600</v>
      </c>
      <c r="AO477" s="25">
        <v>0</v>
      </c>
      <c r="AP477" s="25">
        <f>Lookups!$B$56*0</f>
        <v>0</v>
      </c>
      <c r="AQ477" s="25">
        <f>Lookups!$B$56*1</f>
        <v>89850.625589999996</v>
      </c>
      <c r="AR477" s="25">
        <f>Lookups!$B$57*Inventory[[#This Row],[LnAcres]]</f>
        <v>-37073.347241874442</v>
      </c>
      <c r="AS477" s="25">
        <f>VLOOKUP(Inventory[[#This Row],[Qlty]],Lookups!$A$62:$E$75,2,FALSE)</f>
        <v>29814.093161000001</v>
      </c>
      <c r="AT477" s="25">
        <f>VLOOKUP(Inventory[[#This Row],[Cnd]],Lookups!$A$76:$E$84,2,FALSE)</f>
        <v>160472.20319</v>
      </c>
      <c r="AU477" s="25">
        <f>Inventory[[#This Row],[EffAge]]*Lookups!$B$85</f>
        <v>-10929.2344245</v>
      </c>
      <c r="AV477" s="25">
        <f>Inventory[[#This Row],[MainFn]]*Lookups!$B$86</f>
        <v>72531.927379436005</v>
      </c>
      <c r="AW477" s="25">
        <f>Inventory[[#This Row],[UpprFn]]*Lookups!$B$87</f>
        <v>0</v>
      </c>
      <c r="AX477" s="25">
        <f>Inventory[[#This Row],[AddFn]]*Lookups!$B$88</f>
        <v>0</v>
      </c>
      <c r="AY477" s="25">
        <f>Inventory[[#This Row],[Bsmt]]*Lookups!$B$89</f>
        <v>0</v>
      </c>
      <c r="AZ477" s="25">
        <f>Inventory[[#This Row],[Fixtures]]*Lookups!$B$90</f>
        <v>30336.176841600001</v>
      </c>
      <c r="BA477" s="25">
        <f>Inventory[[#This Row],[WdDeck]]*Lookups!$B$91</f>
        <v>0</v>
      </c>
      <c r="BB477" s="25">
        <f>ROUND(Inventory[[#This Row],[25Det]],-2)</f>
        <v>15300</v>
      </c>
      <c r="BC477" s="25">
        <f>ROUND(SUM(Inventory[[#This Row],[Mdl Qlty]:[Mdl WdDeck]])+Inventory[[#This Row],[Mdl Res Intercept]],-2)</f>
        <v>282200</v>
      </c>
      <c r="BD477" s="25">
        <f>ROUND(Inventory[[#This Row],[Mdl Land Intercept]]+Inventory[[#This Row],[Mdl LnAcres]],-2)</f>
        <v>52800</v>
      </c>
      <c r="BE477" s="25">
        <f>Inventory[[#This Row],[Unadj Res Value]]+Inventory[[#This Row],[Unadj Det Value]]+Inventory[[#This Row],[Unadj Land Value]]</f>
        <v>350300</v>
      </c>
      <c r="BF477" s="36">
        <f>(Inventory[[#This Row],[Unadj Total Value]]-Inventory[[#This Row],[24Final]])/Inventory[[#This Row],[24Final]]</f>
        <v>3.5471475022169671E-2</v>
      </c>
      <c r="BG477" s="25">
        <f>VLOOKUP(Inventory[[#This Row],[Nbhd]],Lookups!$Q$2:$T$4,4,FALSE)</f>
        <v>0.99970000000000003</v>
      </c>
      <c r="BH477" s="25">
        <f>VLOOKUP(Inventory[[#This Row],[Qlty]],Lookups!$O$7:$R$21,4,FALSE)</f>
        <v>1.0088999999999999</v>
      </c>
      <c r="BI477" s="25">
        <f>VLOOKUP(Inventory[[#This Row],[Cnd]],Lookups!$T$7:$W$16,4,FALSE)</f>
        <v>0.99729999999999996</v>
      </c>
      <c r="BJ477" s="25">
        <f>VLOOKUP(Inventory[[#This Row],[LivArea Range]],Lookups!$T$25:$W$37,4,FALSE)</f>
        <v>1.0157</v>
      </c>
      <c r="BK477" s="25">
        <f>VLOOKUP(Inventory[[#This Row],[Decade]],Lookups!$O$25:$R$42,4,FALSE)</f>
        <v>1.0199</v>
      </c>
      <c r="BL477" s="25">
        <f>Inventory[[#This Row],[Nbhd Adj]]*0.95</f>
        <v>0.94971499999999998</v>
      </c>
      <c r="BM477" s="25">
        <f>Inventory[[#This Row],[Nbhd Adj]]*Inventory[[#This Row],[Quality Adj]]*Inventory[[#This Row],[Condition Adj]]*Inventory[[#This Row],[Living Area Adj]]*Inventory[[#This Row],[Decade Adj]]*0.95</f>
        <v>0.98989762598047604</v>
      </c>
      <c r="BN477" s="25">
        <f>ROUND(SUM(Inventory[[#This Row],[Mdl Qlty]:[Mdl WdDeck]])+Inventory[[#This Row],[Mdl Res Intercept]]*Inventory[[#This Row],[Res Adj ]],-2)</f>
        <v>282200</v>
      </c>
      <c r="BO477" s="25">
        <f>ROUND(Inventory[[#This Row],[25Det]]*Inventory[[#This Row],[Det/Nbhd Adj]],-2)</f>
        <v>14500</v>
      </c>
      <c r="BP477" s="25">
        <f>Inventory[[#This Row],[Adjusted Res]]+Inventory[[#This Row],[Adj Det ]]</f>
        <v>296700</v>
      </c>
      <c r="BQ477" s="25">
        <f>ROUND((Inventory[[#This Row],[Mdl Land Intercept]]+Inventory[[#This Row],[Mdl LnAcres]])*Inventory[[#This Row],[Det/Nbhd Adj]],-2)</f>
        <v>50100</v>
      </c>
      <c r="BR477" s="25">
        <f>Inventory[[#This Row],[Adjusted Impr Total]]+Inventory[[#This Row],[Adjusted Land Total]]</f>
        <v>346800</v>
      </c>
      <c r="BS477" s="36">
        <f>IFERROR((Inventory[[#This Row],[Adjusted Impr Total]]-Inventory[[#This Row],[24Bldg]])/Inventory[[#This Row],[24Bldg]],0)</f>
        <v>0.12131519274376418</v>
      </c>
      <c r="BT477" s="36">
        <f>(Inventory[[#This Row],[Adjusted Land Total]]-Inventory[[#This Row],[24Lnd]])/Inventory[[#This Row],[24Lnd]]</f>
        <v>-0.32021709633649931</v>
      </c>
      <c r="BU477" s="36">
        <f>(Inventory[[#This Row],[Adjusted Total]]-Inventory[[#This Row],[24Final]])/Inventory[[#This Row],[24Final]]</f>
        <v>2.5125628140703519E-2</v>
      </c>
    </row>
    <row r="478" spans="1:73" x14ac:dyDescent="0.3">
      <c r="A478" s="25">
        <v>2025</v>
      </c>
      <c r="B478" s="26" t="s">
        <v>2296</v>
      </c>
      <c r="C478" s="26">
        <f>LN(Inventory[[#This Row],[Acres]])</f>
        <v>-1.3862943611198906</v>
      </c>
      <c r="D478" s="25">
        <v>0.25</v>
      </c>
      <c r="E478" s="32">
        <v>10829</v>
      </c>
      <c r="F478" s="26" t="s">
        <v>537</v>
      </c>
      <c r="G478" s="26" t="s">
        <v>126</v>
      </c>
      <c r="H478" s="26" t="s">
        <v>349</v>
      </c>
      <c r="I478" s="26" t="s">
        <v>538</v>
      </c>
      <c r="J478" s="26" t="s">
        <v>539</v>
      </c>
      <c r="K478" s="26" t="s">
        <v>241</v>
      </c>
      <c r="L478" s="26" t="s">
        <v>148</v>
      </c>
      <c r="M478" s="26" t="s">
        <v>303</v>
      </c>
      <c r="N478" s="26">
        <v>70</v>
      </c>
      <c r="O478" s="26">
        <f>2024-Inventory[[#This Row],[YrBlt]]</f>
        <v>64</v>
      </c>
      <c r="P478" s="26">
        <f>2024-Inventory[[#This Row],[EffYr]]</f>
        <v>49</v>
      </c>
      <c r="Q478" s="25">
        <v>1960</v>
      </c>
      <c r="R478" s="25">
        <v>1975</v>
      </c>
      <c r="S478" s="25">
        <v>1835</v>
      </c>
      <c r="T478" s="27"/>
      <c r="U478" s="25">
        <v>1485</v>
      </c>
      <c r="V478" s="25">
        <f>Inventory[[#This Row],[Bsmt]]-Inventory[[#This Row],[FnBsmt]]</f>
        <v>0</v>
      </c>
      <c r="W478" s="25">
        <v>1485</v>
      </c>
      <c r="X478" s="27"/>
      <c r="Y478" s="27">
        <f>Inventory[[#This Row],[MainFn]]+Inventory[[#This Row],[UpprFn]]+Inventory[[#This Row],[FnBsmt]]+Inventory[[#This Row],[AddFn]]</f>
        <v>3320</v>
      </c>
      <c r="Z478" s="27">
        <v>3500</v>
      </c>
      <c r="AA478" s="25">
        <v>12</v>
      </c>
      <c r="AB478" s="27"/>
      <c r="AC478" s="27"/>
      <c r="AD478" s="27"/>
      <c r="AE478" s="27"/>
      <c r="AF478" s="27"/>
      <c r="AG478" s="27"/>
      <c r="AH478" s="27"/>
      <c r="AI478" s="25">
        <v>573949</v>
      </c>
      <c r="AJ478" s="25">
        <v>413243</v>
      </c>
      <c r="AK478" s="25">
        <v>0</v>
      </c>
      <c r="AL478" s="25">
        <v>443300</v>
      </c>
      <c r="AM478" s="25">
        <v>66200</v>
      </c>
      <c r="AN478" s="25">
        <v>377100</v>
      </c>
      <c r="AO478" s="25">
        <v>0</v>
      </c>
      <c r="AP478" s="25">
        <f>Lookups!$B$56*0</f>
        <v>0</v>
      </c>
      <c r="AQ478" s="25">
        <f>Lookups!$B$56*1</f>
        <v>89850.625589999996</v>
      </c>
      <c r="AR478" s="25">
        <f>Lookups!$B$57*Inventory[[#This Row],[LnAcres]]</f>
        <v>-43882.615305165229</v>
      </c>
      <c r="AS478" s="25">
        <f>VLOOKUP(Inventory[[#This Row],[Qlty]],Lookups!$A$62:$E$75,2,FALSE)</f>
        <v>44121.038090000002</v>
      </c>
      <c r="AT478" s="25">
        <f>VLOOKUP(Inventory[[#This Row],[Cnd]],Lookups!$A$76:$E$84,2,FALSE)</f>
        <v>197752.34721000001</v>
      </c>
      <c r="AU478" s="25">
        <f>Inventory[[#This Row],[EffAge]]*Lookups!$B$85</f>
        <v>-10929.2344245</v>
      </c>
      <c r="AV478" s="25">
        <f>Inventory[[#This Row],[MainFn]]*Lookups!$B$86</f>
        <v>90664.909224294999</v>
      </c>
      <c r="AW478" s="25">
        <f>Inventory[[#This Row],[UpprFn]]*Lookups!$B$87</f>
        <v>0</v>
      </c>
      <c r="AX478" s="25">
        <f>Inventory[[#This Row],[AddFn]]*Lookups!$B$88</f>
        <v>0</v>
      </c>
      <c r="AY478" s="25">
        <f>Inventory[[#This Row],[Bsmt]]*Lookups!$B$89</f>
        <v>43186.614441794998</v>
      </c>
      <c r="AZ478" s="25">
        <f>Inventory[[#This Row],[Fixtures]]*Lookups!$B$90</f>
        <v>45504.265262400004</v>
      </c>
      <c r="BA478" s="25">
        <f>Inventory[[#This Row],[WdDeck]]*Lookups!$B$91</f>
        <v>0</v>
      </c>
      <c r="BB478" s="25">
        <f>ROUND(Inventory[[#This Row],[25Det]],-2)</f>
        <v>0</v>
      </c>
      <c r="BC478" s="25">
        <f>ROUND(SUM(Inventory[[#This Row],[Mdl Qlty]:[Mdl WdDeck]])+Inventory[[#This Row],[Mdl Res Intercept]],-2)</f>
        <v>410300</v>
      </c>
      <c r="BD478" s="25">
        <f>ROUND(Inventory[[#This Row],[Mdl Land Intercept]]+Inventory[[#This Row],[Mdl LnAcres]],-2)</f>
        <v>46000</v>
      </c>
      <c r="BE478" s="25">
        <f>Inventory[[#This Row],[Unadj Res Value]]+Inventory[[#This Row],[Unadj Det Value]]+Inventory[[#This Row],[Unadj Land Value]]</f>
        <v>456300</v>
      </c>
      <c r="BF478" s="36">
        <f>(Inventory[[#This Row],[Unadj Total Value]]-Inventory[[#This Row],[24Final]])/Inventory[[#This Row],[24Final]]</f>
        <v>2.932551319648094E-2</v>
      </c>
      <c r="BG478" s="25">
        <f>VLOOKUP(Inventory[[#This Row],[Nbhd]],Lookups!$Q$2:$T$4,4,FALSE)</f>
        <v>0.99970000000000003</v>
      </c>
      <c r="BH478" s="25">
        <f>VLOOKUP(Inventory[[#This Row],[Qlty]],Lookups!$O$7:$R$21,4,FALSE)</f>
        <v>0.98050000000000004</v>
      </c>
      <c r="BI478" s="25">
        <f>VLOOKUP(Inventory[[#This Row],[Cnd]],Lookups!$T$7:$W$16,4,FALSE)</f>
        <v>0.99650000000000005</v>
      </c>
      <c r="BJ478" s="25">
        <f>VLOOKUP(Inventory[[#This Row],[LivArea Range]],Lookups!$T$25:$W$37,4,FALSE)</f>
        <v>1.0126999999999999</v>
      </c>
      <c r="BK478" s="25">
        <f>VLOOKUP(Inventory[[#This Row],[Decade]],Lookups!$O$25:$R$42,4,FALSE)</f>
        <v>1.0199</v>
      </c>
      <c r="BL478" s="25">
        <f>Inventory[[#This Row],[Nbhd Adj]]*0.95</f>
        <v>0.94971499999999998</v>
      </c>
      <c r="BM478" s="25">
        <f>Inventory[[#This Row],[Nbhd Adj]]*Inventory[[#This Row],[Quality Adj]]*Inventory[[#This Row],[Condition Adj]]*Inventory[[#This Row],[Living Area Adj]]*Inventory[[#This Row],[Decade Adj]]*0.95</f>
        <v>0.95842161616969979</v>
      </c>
      <c r="BN478" s="25">
        <f>ROUND(SUM(Inventory[[#This Row],[Mdl Qlty]:[Mdl WdDeck]])+Inventory[[#This Row],[Mdl Res Intercept]]*Inventory[[#This Row],[Res Adj ]],-2)</f>
        <v>410300</v>
      </c>
      <c r="BO478" s="25">
        <f>ROUND(Inventory[[#This Row],[25Det]]*Inventory[[#This Row],[Det/Nbhd Adj]],-2)</f>
        <v>0</v>
      </c>
      <c r="BP478" s="25">
        <f>Inventory[[#This Row],[Adjusted Res]]+Inventory[[#This Row],[Adj Det ]]</f>
        <v>410300</v>
      </c>
      <c r="BQ478" s="25">
        <f>ROUND((Inventory[[#This Row],[Mdl Land Intercept]]+Inventory[[#This Row],[Mdl LnAcres]])*Inventory[[#This Row],[Det/Nbhd Adj]],-2)</f>
        <v>43700</v>
      </c>
      <c r="BR478" s="25">
        <f>Inventory[[#This Row],[Adjusted Impr Total]]+Inventory[[#This Row],[Adjusted Land Total]]</f>
        <v>454000</v>
      </c>
      <c r="BS478" s="36">
        <f>IFERROR((Inventory[[#This Row],[Adjusted Impr Total]]-Inventory[[#This Row],[24Bldg]])/Inventory[[#This Row],[24Bldg]],0)</f>
        <v>8.8040307610713339E-2</v>
      </c>
      <c r="BT478" s="36">
        <f>(Inventory[[#This Row],[Adjusted Land Total]]-Inventory[[#This Row],[24Lnd]])/Inventory[[#This Row],[24Lnd]]</f>
        <v>-0.33987915407854985</v>
      </c>
      <c r="BU478" s="36">
        <f>(Inventory[[#This Row],[Adjusted Total]]-Inventory[[#This Row],[24Final]])/Inventory[[#This Row],[24Final]]</f>
        <v>2.4137153169411233E-2</v>
      </c>
    </row>
    <row r="479" spans="1:73" x14ac:dyDescent="0.3">
      <c r="A479" s="25">
        <v>2025</v>
      </c>
      <c r="B479" s="26" t="s">
        <v>2294</v>
      </c>
      <c r="C479" s="26">
        <f>LN(Inventory[[#This Row],[Acres]])</f>
        <v>-1.5141277326297755</v>
      </c>
      <c r="D479" s="25">
        <v>0.22</v>
      </c>
      <c r="E479" s="25">
        <v>9522</v>
      </c>
      <c r="F479" s="26" t="s">
        <v>537</v>
      </c>
      <c r="G479" s="26" t="s">
        <v>126</v>
      </c>
      <c r="H479" s="26" t="s">
        <v>349</v>
      </c>
      <c r="I479" s="26" t="s">
        <v>538</v>
      </c>
      <c r="J479" s="26" t="s">
        <v>539</v>
      </c>
      <c r="K479" s="26" t="s">
        <v>241</v>
      </c>
      <c r="L479" s="26" t="s">
        <v>148</v>
      </c>
      <c r="M479" s="26" t="s">
        <v>323</v>
      </c>
      <c r="N479" s="26">
        <v>70</v>
      </c>
      <c r="O479" s="26">
        <f>2024-Inventory[[#This Row],[YrBlt]]</f>
        <v>64</v>
      </c>
      <c r="P479" s="26">
        <f>2024-Inventory[[#This Row],[EffYr]]</f>
        <v>49</v>
      </c>
      <c r="Q479" s="25">
        <v>1960</v>
      </c>
      <c r="R479" s="25">
        <v>1975</v>
      </c>
      <c r="S479" s="25">
        <v>1363</v>
      </c>
      <c r="T479" s="27"/>
      <c r="U479" s="31"/>
      <c r="V479" s="31">
        <f>Inventory[[#This Row],[Bsmt]]-Inventory[[#This Row],[FnBsmt]]</f>
        <v>0</v>
      </c>
      <c r="W479" s="31"/>
      <c r="X479" s="27"/>
      <c r="Y479" s="27">
        <f>Inventory[[#This Row],[MainFn]]+Inventory[[#This Row],[UpprFn]]+Inventory[[#This Row],[FnBsmt]]+Inventory[[#This Row],[AddFn]]</f>
        <v>1363</v>
      </c>
      <c r="Z479" s="27">
        <v>1500</v>
      </c>
      <c r="AA479" s="25">
        <v>8</v>
      </c>
      <c r="AB479" s="27"/>
      <c r="AC479" s="27"/>
      <c r="AD479" s="31"/>
      <c r="AE479" s="27"/>
      <c r="AF479" s="27"/>
      <c r="AG479" s="27"/>
      <c r="AH479" s="27"/>
      <c r="AI479" s="25">
        <v>353672</v>
      </c>
      <c r="AJ479" s="25">
        <v>251107</v>
      </c>
      <c r="AK479" s="25">
        <v>0</v>
      </c>
      <c r="AL479" s="25">
        <v>323500</v>
      </c>
      <c r="AM479" s="25">
        <v>61700</v>
      </c>
      <c r="AN479" s="25">
        <v>261800</v>
      </c>
      <c r="AO479" s="25">
        <v>0</v>
      </c>
      <c r="AP479" s="25">
        <f>Lookups!$B$56*0</f>
        <v>0</v>
      </c>
      <c r="AQ479" s="25">
        <f>Lookups!$B$56*1</f>
        <v>89850.625589999996</v>
      </c>
      <c r="AR479" s="25">
        <f>Lookups!$B$57*Inventory[[#This Row],[LnAcres]]</f>
        <v>-47929.131559187132</v>
      </c>
      <c r="AS479" s="25">
        <f>VLOOKUP(Inventory[[#This Row],[Qlty]],Lookups!$A$62:$E$75,2,FALSE)</f>
        <v>44121.038090000002</v>
      </c>
      <c r="AT479" s="25">
        <f>VLOOKUP(Inventory[[#This Row],[Cnd]],Lookups!$A$76:$E$84,2,FALSE)</f>
        <v>160472.20319</v>
      </c>
      <c r="AU479" s="25">
        <f>Inventory[[#This Row],[EffAge]]*Lookups!$B$85</f>
        <v>-10929.2344245</v>
      </c>
      <c r="AV479" s="25">
        <f>Inventory[[#This Row],[MainFn]]*Lookups!$B$86</f>
        <v>67344.017042350999</v>
      </c>
      <c r="AW479" s="25">
        <f>Inventory[[#This Row],[UpprFn]]*Lookups!$B$87</f>
        <v>0</v>
      </c>
      <c r="AX479" s="25">
        <f>Inventory[[#This Row],[AddFn]]*Lookups!$B$88</f>
        <v>0</v>
      </c>
      <c r="AY479" s="25">
        <f>Inventory[[#This Row],[Bsmt]]*Lookups!$B$89</f>
        <v>0</v>
      </c>
      <c r="AZ479" s="25">
        <f>Inventory[[#This Row],[Fixtures]]*Lookups!$B$90</f>
        <v>30336.176841600001</v>
      </c>
      <c r="BA479" s="25">
        <f>Inventory[[#This Row],[WdDeck]]*Lookups!$B$91</f>
        <v>0</v>
      </c>
      <c r="BB479" s="25">
        <f>ROUND(Inventory[[#This Row],[25Det]],-2)</f>
        <v>0</v>
      </c>
      <c r="BC479" s="25">
        <f>ROUND(SUM(Inventory[[#This Row],[Mdl Qlty]:[Mdl WdDeck]])+Inventory[[#This Row],[Mdl Res Intercept]],-2)</f>
        <v>291300</v>
      </c>
      <c r="BD479" s="25">
        <f>ROUND(Inventory[[#This Row],[Mdl Land Intercept]]+Inventory[[#This Row],[Mdl LnAcres]],-2)</f>
        <v>41900</v>
      </c>
      <c r="BE479" s="25">
        <f>Inventory[[#This Row],[Unadj Res Value]]+Inventory[[#This Row],[Unadj Det Value]]+Inventory[[#This Row],[Unadj Land Value]]</f>
        <v>333200</v>
      </c>
      <c r="BF479" s="36">
        <f>(Inventory[[#This Row],[Unadj Total Value]]-Inventory[[#This Row],[24Final]])/Inventory[[#This Row],[24Final]]</f>
        <v>2.9984544049459043E-2</v>
      </c>
      <c r="BG479" s="25">
        <f>VLOOKUP(Inventory[[#This Row],[Nbhd]],Lookups!$Q$2:$T$4,4,FALSE)</f>
        <v>0.99970000000000003</v>
      </c>
      <c r="BH479" s="25">
        <f>VLOOKUP(Inventory[[#This Row],[Qlty]],Lookups!$O$7:$R$21,4,FALSE)</f>
        <v>0.98050000000000004</v>
      </c>
      <c r="BI479" s="25">
        <f>VLOOKUP(Inventory[[#This Row],[Cnd]],Lookups!$T$7:$W$16,4,FALSE)</f>
        <v>0.99729999999999996</v>
      </c>
      <c r="BJ479" s="25">
        <f>VLOOKUP(Inventory[[#This Row],[LivArea Range]],Lookups!$T$25:$W$37,4,FALSE)</f>
        <v>1.0157</v>
      </c>
      <c r="BK479" s="25">
        <f>VLOOKUP(Inventory[[#This Row],[Decade]],Lookups!$O$25:$R$42,4,FALSE)</f>
        <v>1.0199</v>
      </c>
      <c r="BL479" s="25">
        <f>Inventory[[#This Row],[Nbhd Adj]]*0.95</f>
        <v>0.94971499999999998</v>
      </c>
      <c r="BM479" s="25">
        <f>Inventory[[#This Row],[Nbhd Adj]]*Inventory[[#This Row],[Quality Adj]]*Inventory[[#This Row],[Condition Adj]]*Inventory[[#This Row],[Living Area Adj]]*Inventory[[#This Row],[Decade Adj]]*0.95</f>
        <v>0.96203253273253719</v>
      </c>
      <c r="BN479" s="25">
        <f>ROUND(SUM(Inventory[[#This Row],[Mdl Qlty]:[Mdl WdDeck]])+Inventory[[#This Row],[Mdl Res Intercept]]*Inventory[[#This Row],[Res Adj ]],-2)</f>
        <v>291300</v>
      </c>
      <c r="BO479" s="25">
        <f>ROUND(Inventory[[#This Row],[25Det]]*Inventory[[#This Row],[Det/Nbhd Adj]],-2)</f>
        <v>0</v>
      </c>
      <c r="BP479" s="25">
        <f>Inventory[[#This Row],[Adjusted Res]]+Inventory[[#This Row],[Adj Det ]]</f>
        <v>291300</v>
      </c>
      <c r="BQ479" s="25">
        <f>ROUND((Inventory[[#This Row],[Mdl Land Intercept]]+Inventory[[#This Row],[Mdl LnAcres]])*Inventory[[#This Row],[Det/Nbhd Adj]],-2)</f>
        <v>39800</v>
      </c>
      <c r="BR479" s="25">
        <f>Inventory[[#This Row],[Adjusted Impr Total]]+Inventory[[#This Row],[Adjusted Land Total]]</f>
        <v>331100</v>
      </c>
      <c r="BS479" s="36">
        <f>IFERROR((Inventory[[#This Row],[Adjusted Impr Total]]-Inventory[[#This Row],[24Bldg]])/Inventory[[#This Row],[24Bldg]],0)</f>
        <v>0.11268143621084797</v>
      </c>
      <c r="BT479" s="36">
        <f>(Inventory[[#This Row],[Adjusted Land Total]]-Inventory[[#This Row],[24Lnd]])/Inventory[[#This Row],[24Lnd]]</f>
        <v>-0.35494327390599678</v>
      </c>
      <c r="BU479" s="36">
        <f>(Inventory[[#This Row],[Adjusted Total]]-Inventory[[#This Row],[24Final]])/Inventory[[#This Row],[24Final]]</f>
        <v>2.349304482225657E-2</v>
      </c>
    </row>
    <row r="480" spans="1:73" x14ac:dyDescent="0.3">
      <c r="A480" s="25">
        <v>2025</v>
      </c>
      <c r="B480" s="26" t="s">
        <v>1747</v>
      </c>
      <c r="C480" s="26">
        <f>LN(Inventory[[#This Row],[Acres]])</f>
        <v>-1.5141277326297755</v>
      </c>
      <c r="D480" s="25">
        <v>0.22</v>
      </c>
      <c r="E480" s="27"/>
      <c r="F480" s="26" t="s">
        <v>537</v>
      </c>
      <c r="G480" s="26" t="s">
        <v>126</v>
      </c>
      <c r="H480" s="26" t="s">
        <v>349</v>
      </c>
      <c r="I480" s="26" t="s">
        <v>538</v>
      </c>
      <c r="J480" s="26" t="s">
        <v>539</v>
      </c>
      <c r="K480" s="26" t="s">
        <v>241</v>
      </c>
      <c r="L480" s="26" t="s">
        <v>351</v>
      </c>
      <c r="M480" s="26" t="s">
        <v>323</v>
      </c>
      <c r="N480" s="26">
        <v>70</v>
      </c>
      <c r="O480" s="26">
        <f>2024-Inventory[[#This Row],[YrBlt]]</f>
        <v>64</v>
      </c>
      <c r="P480" s="26">
        <f>2024-Inventory[[#This Row],[EffYr]]</f>
        <v>49</v>
      </c>
      <c r="Q480" s="25">
        <v>1960</v>
      </c>
      <c r="R480" s="25">
        <v>1975</v>
      </c>
      <c r="S480" s="25">
        <v>1625</v>
      </c>
      <c r="T480" s="27"/>
      <c r="U480" s="31"/>
      <c r="V480" s="31">
        <f>Inventory[[#This Row],[Bsmt]]-Inventory[[#This Row],[FnBsmt]]</f>
        <v>0</v>
      </c>
      <c r="W480" s="31"/>
      <c r="X480" s="27"/>
      <c r="Y480" s="27">
        <f>Inventory[[#This Row],[MainFn]]+Inventory[[#This Row],[UpprFn]]+Inventory[[#This Row],[FnBsmt]]+Inventory[[#This Row],[AddFn]]</f>
        <v>1625</v>
      </c>
      <c r="Z480" s="27">
        <v>2000</v>
      </c>
      <c r="AA480" s="25">
        <v>5</v>
      </c>
      <c r="AB480" s="27"/>
      <c r="AC480" s="27"/>
      <c r="AD480" s="31"/>
      <c r="AE480" s="27"/>
      <c r="AF480" s="27"/>
      <c r="AG480" s="27"/>
      <c r="AH480" s="27"/>
      <c r="AI480" s="25">
        <v>252353</v>
      </c>
      <c r="AJ480" s="25">
        <v>179171</v>
      </c>
      <c r="AK480" s="25">
        <v>0</v>
      </c>
      <c r="AL480" s="25">
        <v>303600</v>
      </c>
      <c r="AM480" s="25">
        <v>61700</v>
      </c>
      <c r="AN480" s="25">
        <v>241900</v>
      </c>
      <c r="AO480" s="25">
        <v>0</v>
      </c>
      <c r="AP480" s="25">
        <f>Lookups!$B$56*0</f>
        <v>0</v>
      </c>
      <c r="AQ480" s="25">
        <f>Lookups!$B$56*1</f>
        <v>89850.625589999996</v>
      </c>
      <c r="AR480" s="25">
        <f>Lookups!$B$57*Inventory[[#This Row],[LnAcres]]</f>
        <v>-47929.131559187132</v>
      </c>
      <c r="AS480" s="25">
        <f>VLOOKUP(Inventory[[#This Row],[Qlty]],Lookups!$A$62:$E$75,2,FALSE)</f>
        <v>21557.329055999999</v>
      </c>
      <c r="AT480" s="25">
        <f>VLOOKUP(Inventory[[#This Row],[Cnd]],Lookups!$A$76:$E$84,2,FALSE)</f>
        <v>160472.20319</v>
      </c>
      <c r="AU480" s="25">
        <f>Inventory[[#This Row],[EffAge]]*Lookups!$B$85</f>
        <v>-10929.2344245</v>
      </c>
      <c r="AV480" s="25">
        <f>Inventory[[#This Row],[MainFn]]*Lookups!$B$86</f>
        <v>80289.088550125001</v>
      </c>
      <c r="AW480" s="25">
        <f>Inventory[[#This Row],[UpprFn]]*Lookups!$B$87</f>
        <v>0</v>
      </c>
      <c r="AX480" s="25">
        <f>Inventory[[#This Row],[AddFn]]*Lookups!$B$88</f>
        <v>0</v>
      </c>
      <c r="AY480" s="25">
        <f>Inventory[[#This Row],[Bsmt]]*Lookups!$B$89</f>
        <v>0</v>
      </c>
      <c r="AZ480" s="25">
        <f>Inventory[[#This Row],[Fixtures]]*Lookups!$B$90</f>
        <v>18960.110526</v>
      </c>
      <c r="BA480" s="25">
        <f>Inventory[[#This Row],[WdDeck]]*Lookups!$B$91</f>
        <v>0</v>
      </c>
      <c r="BB480" s="25">
        <f>ROUND(Inventory[[#This Row],[25Det]],-2)</f>
        <v>0</v>
      </c>
      <c r="BC480" s="25">
        <f>ROUND(SUM(Inventory[[#This Row],[Mdl Qlty]:[Mdl WdDeck]])+Inventory[[#This Row],[Mdl Res Intercept]],-2)</f>
        <v>270300</v>
      </c>
      <c r="BD480" s="25">
        <f>ROUND(Inventory[[#This Row],[Mdl Land Intercept]]+Inventory[[#This Row],[Mdl LnAcres]],-2)</f>
        <v>41900</v>
      </c>
      <c r="BE480" s="25">
        <f>Inventory[[#This Row],[Unadj Res Value]]+Inventory[[#This Row],[Unadj Det Value]]+Inventory[[#This Row],[Unadj Land Value]]</f>
        <v>312200</v>
      </c>
      <c r="BF480" s="36">
        <f>(Inventory[[#This Row],[Unadj Total Value]]-Inventory[[#This Row],[24Final]])/Inventory[[#This Row],[24Final]]</f>
        <v>2.8326745718050064E-2</v>
      </c>
      <c r="BG480" s="25">
        <f>VLOOKUP(Inventory[[#This Row],[Nbhd]],Lookups!$Q$2:$T$4,4,FALSE)</f>
        <v>0.99970000000000003</v>
      </c>
      <c r="BH480" s="25">
        <f>VLOOKUP(Inventory[[#This Row],[Qlty]],Lookups!$O$7:$R$21,4,FALSE)</f>
        <v>1.0067999999999999</v>
      </c>
      <c r="BI480" s="25">
        <f>VLOOKUP(Inventory[[#This Row],[Cnd]],Lookups!$T$7:$W$16,4,FALSE)</f>
        <v>0.99729999999999996</v>
      </c>
      <c r="BJ480" s="25">
        <f>VLOOKUP(Inventory[[#This Row],[LivArea Range]],Lookups!$T$25:$W$37,4,FALSE)</f>
        <v>1.0093000000000001</v>
      </c>
      <c r="BK480" s="25">
        <f>VLOOKUP(Inventory[[#This Row],[Decade]],Lookups!$O$25:$R$42,4,FALSE)</f>
        <v>1.0199</v>
      </c>
      <c r="BL480" s="25">
        <f>Inventory[[#This Row],[Nbhd Adj]]*0.95</f>
        <v>0.94971499999999998</v>
      </c>
      <c r="BM480" s="25">
        <f>Inventory[[#This Row],[Nbhd Adj]]*Inventory[[#This Row],[Quality Adj]]*Inventory[[#This Row],[Condition Adj]]*Inventory[[#This Row],[Living Area Adj]]*Inventory[[#This Row],[Decade Adj]]*0.95</f>
        <v>0.98161274461821502</v>
      </c>
      <c r="BN480" s="25">
        <f>ROUND(SUM(Inventory[[#This Row],[Mdl Qlty]:[Mdl WdDeck]])+Inventory[[#This Row],[Mdl Res Intercept]]*Inventory[[#This Row],[Res Adj ]],-2)</f>
        <v>270300</v>
      </c>
      <c r="BO480" s="25">
        <f>ROUND(Inventory[[#This Row],[25Det]]*Inventory[[#This Row],[Det/Nbhd Adj]],-2)</f>
        <v>0</v>
      </c>
      <c r="BP480" s="25">
        <f>Inventory[[#This Row],[Adjusted Res]]+Inventory[[#This Row],[Adj Det ]]</f>
        <v>270300</v>
      </c>
      <c r="BQ480" s="25">
        <f>ROUND((Inventory[[#This Row],[Mdl Land Intercept]]+Inventory[[#This Row],[Mdl LnAcres]])*Inventory[[#This Row],[Det/Nbhd Adj]],-2)</f>
        <v>39800</v>
      </c>
      <c r="BR480" s="25">
        <f>Inventory[[#This Row],[Adjusted Impr Total]]+Inventory[[#This Row],[Adjusted Land Total]]</f>
        <v>310100</v>
      </c>
      <c r="BS480" s="36">
        <f>IFERROR((Inventory[[#This Row],[Adjusted Impr Total]]-Inventory[[#This Row],[24Bldg]])/Inventory[[#This Row],[24Bldg]],0)</f>
        <v>0.11740388590326581</v>
      </c>
      <c r="BT480" s="36">
        <f>(Inventory[[#This Row],[Adjusted Land Total]]-Inventory[[#This Row],[24Lnd]])/Inventory[[#This Row],[24Lnd]]</f>
        <v>-0.35494327390599678</v>
      </c>
      <c r="BU480" s="36">
        <f>(Inventory[[#This Row],[Adjusted Total]]-Inventory[[#This Row],[24Final]])/Inventory[[#This Row],[24Final]]</f>
        <v>2.1409749670619236E-2</v>
      </c>
    </row>
    <row r="481" spans="1:73" x14ac:dyDescent="0.3">
      <c r="A481" s="25">
        <v>2025</v>
      </c>
      <c r="B481" s="26" t="s">
        <v>2007</v>
      </c>
      <c r="C481" s="26">
        <f>LN(Inventory[[#This Row],[Acres]])</f>
        <v>-0.71334988787746478</v>
      </c>
      <c r="D481" s="25">
        <v>0.49</v>
      </c>
      <c r="E481" s="32">
        <v>21253</v>
      </c>
      <c r="F481" s="26" t="s">
        <v>537</v>
      </c>
      <c r="G481" s="26" t="s">
        <v>126</v>
      </c>
      <c r="H481" s="26" t="s">
        <v>349</v>
      </c>
      <c r="I481" s="26" t="s">
        <v>538</v>
      </c>
      <c r="J481" s="26" t="s">
        <v>539</v>
      </c>
      <c r="K481" s="26" t="s">
        <v>241</v>
      </c>
      <c r="L481" s="26" t="s">
        <v>351</v>
      </c>
      <c r="M481" s="26" t="s">
        <v>206</v>
      </c>
      <c r="N481" s="26">
        <v>70</v>
      </c>
      <c r="O481" s="26">
        <f>2024-Inventory[[#This Row],[YrBlt]]</f>
        <v>64</v>
      </c>
      <c r="P481" s="26">
        <f>2024-Inventory[[#This Row],[EffYr]]</f>
        <v>49</v>
      </c>
      <c r="Q481" s="25">
        <v>1960</v>
      </c>
      <c r="R481" s="25">
        <v>1975</v>
      </c>
      <c r="S481" s="25">
        <v>1514</v>
      </c>
      <c r="T481" s="27"/>
      <c r="U481" s="31"/>
      <c r="V481" s="31">
        <f>Inventory[[#This Row],[Bsmt]]-Inventory[[#This Row],[FnBsmt]]</f>
        <v>0</v>
      </c>
      <c r="W481" s="31"/>
      <c r="X481" s="27"/>
      <c r="Y481" s="27">
        <f>Inventory[[#This Row],[MainFn]]+Inventory[[#This Row],[UpprFn]]+Inventory[[#This Row],[FnBsmt]]+Inventory[[#This Row],[AddFn]]</f>
        <v>1514</v>
      </c>
      <c r="Z481" s="27">
        <v>2000</v>
      </c>
      <c r="AA481" s="25">
        <v>8</v>
      </c>
      <c r="AB481" s="27"/>
      <c r="AC481" s="27"/>
      <c r="AD481" s="27"/>
      <c r="AE481" s="27"/>
      <c r="AF481" s="27"/>
      <c r="AG481" s="27"/>
      <c r="AH481" s="27"/>
      <c r="AI481" s="25">
        <v>260014</v>
      </c>
      <c r="AJ481" s="25">
        <v>182010</v>
      </c>
      <c r="AK481" s="25">
        <v>0</v>
      </c>
      <c r="AL481" s="25">
        <v>307100</v>
      </c>
      <c r="AM481" s="25">
        <v>89700</v>
      </c>
      <c r="AN481" s="25">
        <v>217400</v>
      </c>
      <c r="AO481" s="25">
        <v>0</v>
      </c>
      <c r="AP481" s="25">
        <f>Lookups!$B$56*0</f>
        <v>0</v>
      </c>
      <c r="AQ481" s="25">
        <f>Lookups!$B$56*1</f>
        <v>89850.625589999996</v>
      </c>
      <c r="AR481" s="25">
        <f>Lookups!$B$57*Inventory[[#This Row],[LnAcres]]</f>
        <v>-22580.816589646583</v>
      </c>
      <c r="AS481" s="25">
        <f>VLOOKUP(Inventory[[#This Row],[Qlty]],Lookups!$A$62:$E$75,2,FALSE)</f>
        <v>21557.329055999999</v>
      </c>
      <c r="AT481" s="25">
        <f>VLOOKUP(Inventory[[#This Row],[Cnd]],Lookups!$A$76:$E$84,2,FALSE)</f>
        <v>133714.53821</v>
      </c>
      <c r="AU481" s="25">
        <f>Inventory[[#This Row],[EffAge]]*Lookups!$B$85</f>
        <v>-10929.2344245</v>
      </c>
      <c r="AV481" s="25">
        <f>Inventory[[#This Row],[MainFn]]*Lookups!$B$86</f>
        <v>74804.726193777999</v>
      </c>
      <c r="AW481" s="25">
        <f>Inventory[[#This Row],[UpprFn]]*Lookups!$B$87</f>
        <v>0</v>
      </c>
      <c r="AX481" s="25">
        <f>Inventory[[#This Row],[AddFn]]*Lookups!$B$88</f>
        <v>0</v>
      </c>
      <c r="AY481" s="25">
        <f>Inventory[[#This Row],[Bsmt]]*Lookups!$B$89</f>
        <v>0</v>
      </c>
      <c r="AZ481" s="25">
        <f>Inventory[[#This Row],[Fixtures]]*Lookups!$B$90</f>
        <v>30336.176841600001</v>
      </c>
      <c r="BA481" s="25">
        <f>Inventory[[#This Row],[WdDeck]]*Lookups!$B$91</f>
        <v>0</v>
      </c>
      <c r="BB481" s="25">
        <f>ROUND(Inventory[[#This Row],[25Det]],-2)</f>
        <v>0</v>
      </c>
      <c r="BC481" s="25">
        <f>ROUND(SUM(Inventory[[#This Row],[Mdl Qlty]:[Mdl WdDeck]])+Inventory[[#This Row],[Mdl Res Intercept]],-2)</f>
        <v>249500</v>
      </c>
      <c r="BD481" s="25">
        <f>ROUND(Inventory[[#This Row],[Mdl Land Intercept]]+Inventory[[#This Row],[Mdl LnAcres]],-2)</f>
        <v>67300</v>
      </c>
      <c r="BE481" s="25">
        <f>Inventory[[#This Row],[Unadj Res Value]]+Inventory[[#This Row],[Unadj Det Value]]+Inventory[[#This Row],[Unadj Land Value]]</f>
        <v>316800</v>
      </c>
      <c r="BF481" s="36">
        <f>(Inventory[[#This Row],[Unadj Total Value]]-Inventory[[#This Row],[24Final]])/Inventory[[#This Row],[24Final]]</f>
        <v>3.1585802670140023E-2</v>
      </c>
      <c r="BG481" s="25">
        <f>VLOOKUP(Inventory[[#This Row],[Nbhd]],Lookups!$Q$2:$T$4,4,FALSE)</f>
        <v>0.99970000000000003</v>
      </c>
      <c r="BH481" s="25">
        <f>VLOOKUP(Inventory[[#This Row],[Qlty]],Lookups!$O$7:$R$21,4,FALSE)</f>
        <v>1.0067999999999999</v>
      </c>
      <c r="BI481" s="25">
        <f>VLOOKUP(Inventory[[#This Row],[Cnd]],Lookups!$T$7:$W$16,4,FALSE)</f>
        <v>0.99329999999999996</v>
      </c>
      <c r="BJ481" s="25">
        <f>VLOOKUP(Inventory[[#This Row],[LivArea Range]],Lookups!$T$25:$W$37,4,FALSE)</f>
        <v>1.0093000000000001</v>
      </c>
      <c r="BK481" s="25">
        <f>VLOOKUP(Inventory[[#This Row],[Decade]],Lookups!$O$25:$R$42,4,FALSE)</f>
        <v>1.0199</v>
      </c>
      <c r="BL481" s="25">
        <f>Inventory[[#This Row],[Nbhd Adj]]*0.95</f>
        <v>0.94971499999999998</v>
      </c>
      <c r="BM481" s="25">
        <f>Inventory[[#This Row],[Nbhd Adj]]*Inventory[[#This Row],[Quality Adj]]*Inventory[[#This Row],[Condition Adj]]*Inventory[[#This Row],[Living Area Adj]]*Inventory[[#This Row],[Decade Adj]]*0.95</f>
        <v>0.97767566352077906</v>
      </c>
      <c r="BN481" s="25">
        <f>ROUND(SUM(Inventory[[#This Row],[Mdl Qlty]:[Mdl WdDeck]])+Inventory[[#This Row],[Mdl Res Intercept]]*Inventory[[#This Row],[Res Adj ]],-2)</f>
        <v>249500</v>
      </c>
      <c r="BO481" s="25">
        <f>ROUND(Inventory[[#This Row],[25Det]]*Inventory[[#This Row],[Det/Nbhd Adj]],-2)</f>
        <v>0</v>
      </c>
      <c r="BP481" s="25">
        <f>Inventory[[#This Row],[Adjusted Res]]+Inventory[[#This Row],[Adj Det ]]</f>
        <v>249500</v>
      </c>
      <c r="BQ481" s="25">
        <f>ROUND((Inventory[[#This Row],[Mdl Land Intercept]]+Inventory[[#This Row],[Mdl LnAcres]])*Inventory[[#This Row],[Det/Nbhd Adj]],-2)</f>
        <v>63900</v>
      </c>
      <c r="BR481" s="25">
        <f>Inventory[[#This Row],[Adjusted Impr Total]]+Inventory[[#This Row],[Adjusted Land Total]]</f>
        <v>313400</v>
      </c>
      <c r="BS481" s="36">
        <f>IFERROR((Inventory[[#This Row],[Adjusted Impr Total]]-Inventory[[#This Row],[24Bldg]])/Inventory[[#This Row],[24Bldg]],0)</f>
        <v>0.14765409383624656</v>
      </c>
      <c r="BT481" s="36">
        <f>(Inventory[[#This Row],[Adjusted Land Total]]-Inventory[[#This Row],[24Lnd]])/Inventory[[#This Row],[24Lnd]]</f>
        <v>-0.28762541806020064</v>
      </c>
      <c r="BU481" s="36">
        <f>(Inventory[[#This Row],[Adjusted Total]]-Inventory[[#This Row],[24Final]])/Inventory[[#This Row],[24Final]]</f>
        <v>2.0514490394008468E-2</v>
      </c>
    </row>
    <row r="482" spans="1:73" x14ac:dyDescent="0.3">
      <c r="A482" s="25">
        <v>2025</v>
      </c>
      <c r="B482" s="26" t="s">
        <v>1744</v>
      </c>
      <c r="C482" s="26">
        <f>LN(Inventory[[#This Row],[Acres]])</f>
        <v>-1.5606477482646683</v>
      </c>
      <c r="D482" s="25">
        <v>0.21</v>
      </c>
      <c r="E482" s="27"/>
      <c r="F482" s="26" t="s">
        <v>537</v>
      </c>
      <c r="G482" s="26" t="s">
        <v>126</v>
      </c>
      <c r="H482" s="26" t="s">
        <v>349</v>
      </c>
      <c r="I482" s="26" t="s">
        <v>538</v>
      </c>
      <c r="J482" s="26" t="s">
        <v>539</v>
      </c>
      <c r="K482" s="26" t="s">
        <v>241</v>
      </c>
      <c r="L482" s="26" t="s">
        <v>351</v>
      </c>
      <c r="M482" s="26" t="s">
        <v>323</v>
      </c>
      <c r="N482" s="26">
        <v>70</v>
      </c>
      <c r="O482" s="26">
        <f>2024-Inventory[[#This Row],[YrBlt]]</f>
        <v>64</v>
      </c>
      <c r="P482" s="26">
        <f>2024-Inventory[[#This Row],[EffYr]]</f>
        <v>49</v>
      </c>
      <c r="Q482" s="25">
        <v>1960</v>
      </c>
      <c r="R482" s="25">
        <v>1975</v>
      </c>
      <c r="S482" s="25">
        <v>1169</v>
      </c>
      <c r="T482" s="27"/>
      <c r="U482" s="25">
        <v>594</v>
      </c>
      <c r="V482" s="25">
        <f>Inventory[[#This Row],[Bsmt]]-Inventory[[#This Row],[FnBsmt]]</f>
        <v>10</v>
      </c>
      <c r="W482" s="25">
        <v>584</v>
      </c>
      <c r="X482" s="27"/>
      <c r="Y482" s="27">
        <f>Inventory[[#This Row],[MainFn]]+Inventory[[#This Row],[UpprFn]]+Inventory[[#This Row],[FnBsmt]]+Inventory[[#This Row],[AddFn]]</f>
        <v>1753</v>
      </c>
      <c r="Z482" s="27">
        <v>2000</v>
      </c>
      <c r="AA482" s="25">
        <v>9</v>
      </c>
      <c r="AB482" s="27"/>
      <c r="AC482" s="32">
        <v>372</v>
      </c>
      <c r="AD482" s="27"/>
      <c r="AE482" s="27"/>
      <c r="AF482" s="27"/>
      <c r="AG482" s="27"/>
      <c r="AH482" s="27"/>
      <c r="AI482" s="25">
        <v>259565</v>
      </c>
      <c r="AJ482" s="25">
        <v>184291</v>
      </c>
      <c r="AK482" s="25">
        <v>0</v>
      </c>
      <c r="AL482" s="25">
        <v>312700</v>
      </c>
      <c r="AM482" s="25">
        <v>60100</v>
      </c>
      <c r="AN482" s="25">
        <v>252600</v>
      </c>
      <c r="AO482" s="25">
        <v>0</v>
      </c>
      <c r="AP482" s="25">
        <f>Lookups!$B$56*0</f>
        <v>0</v>
      </c>
      <c r="AQ482" s="25">
        <f>Lookups!$B$56*1</f>
        <v>89850.625589999996</v>
      </c>
      <c r="AR482" s="25">
        <f>Lookups!$B$57*Inventory[[#This Row],[LnAcres]]</f>
        <v>-49401.70477837498</v>
      </c>
      <c r="AS482" s="25">
        <f>VLOOKUP(Inventory[[#This Row],[Qlty]],Lookups!$A$62:$E$75,2,FALSE)</f>
        <v>21557.329055999999</v>
      </c>
      <c r="AT482" s="25">
        <f>VLOOKUP(Inventory[[#This Row],[Cnd]],Lookups!$A$76:$E$84,2,FALSE)</f>
        <v>160472.20319</v>
      </c>
      <c r="AU482" s="25">
        <f>Inventory[[#This Row],[EffAge]]*Lookups!$B$85</f>
        <v>-10929.2344245</v>
      </c>
      <c r="AV482" s="25">
        <f>Inventory[[#This Row],[MainFn]]*Lookups!$B$86</f>
        <v>57758.735086213004</v>
      </c>
      <c r="AW482" s="25">
        <f>Inventory[[#This Row],[UpprFn]]*Lookups!$B$87</f>
        <v>0</v>
      </c>
      <c r="AX482" s="25">
        <f>Inventory[[#This Row],[AddFn]]*Lookups!$B$88</f>
        <v>0</v>
      </c>
      <c r="AY482" s="25">
        <f>Inventory[[#This Row],[Bsmt]]*Lookups!$B$89</f>
        <v>17274.645776718</v>
      </c>
      <c r="AZ482" s="25">
        <f>Inventory[[#This Row],[Fixtures]]*Lookups!$B$90</f>
        <v>34128.198946800003</v>
      </c>
      <c r="BA482" s="25">
        <f>Inventory[[#This Row],[WdDeck]]*Lookups!$B$91</f>
        <v>0</v>
      </c>
      <c r="BB482" s="25">
        <f>ROUND(Inventory[[#This Row],[25Det]],-2)</f>
        <v>0</v>
      </c>
      <c r="BC482" s="25">
        <f>ROUND(SUM(Inventory[[#This Row],[Mdl Qlty]:[Mdl WdDeck]])+Inventory[[#This Row],[Mdl Res Intercept]],-2)</f>
        <v>280300</v>
      </c>
      <c r="BD482" s="25">
        <f>ROUND(Inventory[[#This Row],[Mdl Land Intercept]]+Inventory[[#This Row],[Mdl LnAcres]],-2)</f>
        <v>40400</v>
      </c>
      <c r="BE482" s="25">
        <f>Inventory[[#This Row],[Unadj Res Value]]+Inventory[[#This Row],[Unadj Det Value]]+Inventory[[#This Row],[Unadj Land Value]]</f>
        <v>320700</v>
      </c>
      <c r="BF482" s="36">
        <f>(Inventory[[#This Row],[Unadj Total Value]]-Inventory[[#This Row],[24Final]])/Inventory[[#This Row],[24Final]]</f>
        <v>2.5583626479053406E-2</v>
      </c>
      <c r="BG482" s="25">
        <f>VLOOKUP(Inventory[[#This Row],[Nbhd]],Lookups!$Q$2:$T$4,4,FALSE)</f>
        <v>0.99970000000000003</v>
      </c>
      <c r="BH482" s="25">
        <f>VLOOKUP(Inventory[[#This Row],[Qlty]],Lookups!$O$7:$R$21,4,FALSE)</f>
        <v>1.0067999999999999</v>
      </c>
      <c r="BI482" s="25">
        <f>VLOOKUP(Inventory[[#This Row],[Cnd]],Lookups!$T$7:$W$16,4,FALSE)</f>
        <v>0.99729999999999996</v>
      </c>
      <c r="BJ482" s="25">
        <f>VLOOKUP(Inventory[[#This Row],[LivArea Range]],Lookups!$T$25:$W$37,4,FALSE)</f>
        <v>1.0093000000000001</v>
      </c>
      <c r="BK482" s="25">
        <f>VLOOKUP(Inventory[[#This Row],[Decade]],Lookups!$O$25:$R$42,4,FALSE)</f>
        <v>1.0199</v>
      </c>
      <c r="BL482" s="25">
        <f>Inventory[[#This Row],[Nbhd Adj]]*0.95</f>
        <v>0.94971499999999998</v>
      </c>
      <c r="BM482" s="25">
        <f>Inventory[[#This Row],[Nbhd Adj]]*Inventory[[#This Row],[Quality Adj]]*Inventory[[#This Row],[Condition Adj]]*Inventory[[#This Row],[Living Area Adj]]*Inventory[[#This Row],[Decade Adj]]*0.95</f>
        <v>0.98161274461821502</v>
      </c>
      <c r="BN482" s="25">
        <f>ROUND(SUM(Inventory[[#This Row],[Mdl Qlty]:[Mdl WdDeck]])+Inventory[[#This Row],[Mdl Res Intercept]]*Inventory[[#This Row],[Res Adj ]],-2)</f>
        <v>280300</v>
      </c>
      <c r="BO482" s="25">
        <f>ROUND(Inventory[[#This Row],[25Det]]*Inventory[[#This Row],[Det/Nbhd Adj]],-2)</f>
        <v>0</v>
      </c>
      <c r="BP482" s="25">
        <f>Inventory[[#This Row],[Adjusted Res]]+Inventory[[#This Row],[Adj Det ]]</f>
        <v>280300</v>
      </c>
      <c r="BQ482" s="25">
        <f>ROUND((Inventory[[#This Row],[Mdl Land Intercept]]+Inventory[[#This Row],[Mdl LnAcres]])*Inventory[[#This Row],[Det/Nbhd Adj]],-2)</f>
        <v>38400</v>
      </c>
      <c r="BR482" s="25">
        <f>Inventory[[#This Row],[Adjusted Impr Total]]+Inventory[[#This Row],[Adjusted Land Total]]</f>
        <v>318700</v>
      </c>
      <c r="BS482" s="36">
        <f>IFERROR((Inventory[[#This Row],[Adjusted Impr Total]]-Inventory[[#This Row],[24Bldg]])/Inventory[[#This Row],[24Bldg]],0)</f>
        <v>0.10965954077593032</v>
      </c>
      <c r="BT482" s="36">
        <f>(Inventory[[#This Row],[Adjusted Land Total]]-Inventory[[#This Row],[24Lnd]])/Inventory[[#This Row],[24Lnd]]</f>
        <v>-0.36106489184692181</v>
      </c>
      <c r="BU482" s="36">
        <f>(Inventory[[#This Row],[Adjusted Total]]-Inventory[[#This Row],[24Final]])/Inventory[[#This Row],[24Final]]</f>
        <v>1.9187719859290055E-2</v>
      </c>
    </row>
    <row r="483" spans="1:73" x14ac:dyDescent="0.3">
      <c r="A483" s="25">
        <v>2025</v>
      </c>
      <c r="B483" s="26" t="s">
        <v>2862</v>
      </c>
      <c r="C483" s="26">
        <f>LN(Inventory[[#This Row],[Acres]])</f>
        <v>-1.7719568419318752</v>
      </c>
      <c r="D483" s="25">
        <v>0.17</v>
      </c>
      <c r="E483" s="32">
        <v>7504</v>
      </c>
      <c r="F483" s="26" t="s">
        <v>537</v>
      </c>
      <c r="G483" s="26" t="s">
        <v>126</v>
      </c>
      <c r="H483" s="26" t="s">
        <v>349</v>
      </c>
      <c r="I483" s="26" t="s">
        <v>538</v>
      </c>
      <c r="J483" s="26" t="s">
        <v>539</v>
      </c>
      <c r="K483" s="26" t="s">
        <v>241</v>
      </c>
      <c r="L483" s="26" t="s">
        <v>148</v>
      </c>
      <c r="M483" s="26" t="s">
        <v>323</v>
      </c>
      <c r="N483" s="26">
        <v>70</v>
      </c>
      <c r="O483" s="26">
        <f>2024-Inventory[[#This Row],[YrBlt]]</f>
        <v>64</v>
      </c>
      <c r="P483" s="26">
        <f>2024-Inventory[[#This Row],[EffYr]]</f>
        <v>49</v>
      </c>
      <c r="Q483" s="25">
        <v>1960</v>
      </c>
      <c r="R483" s="25">
        <v>1975</v>
      </c>
      <c r="S483" s="25">
        <v>1315</v>
      </c>
      <c r="T483" s="27"/>
      <c r="U483" s="25">
        <v>876</v>
      </c>
      <c r="V483" s="25">
        <f>Inventory[[#This Row],[Bsmt]]-Inventory[[#This Row],[FnBsmt]]</f>
        <v>84</v>
      </c>
      <c r="W483" s="25">
        <v>792</v>
      </c>
      <c r="X483" s="27"/>
      <c r="Y483" s="27">
        <f>Inventory[[#This Row],[MainFn]]+Inventory[[#This Row],[UpprFn]]+Inventory[[#This Row],[FnBsmt]]+Inventory[[#This Row],[AddFn]]</f>
        <v>2107</v>
      </c>
      <c r="Z483" s="27">
        <v>2500</v>
      </c>
      <c r="AA483" s="25">
        <v>8</v>
      </c>
      <c r="AB483" s="32">
        <v>364</v>
      </c>
      <c r="AC483" s="27"/>
      <c r="AD483" s="27"/>
      <c r="AE483" s="27"/>
      <c r="AF483" s="27"/>
      <c r="AG483" s="27"/>
      <c r="AH483" s="27"/>
      <c r="AI483" s="25">
        <v>413649</v>
      </c>
      <c r="AJ483" s="25">
        <v>293691</v>
      </c>
      <c r="AK483" s="25">
        <v>21462</v>
      </c>
      <c r="AL483" s="25">
        <v>360300</v>
      </c>
      <c r="AM483" s="25">
        <v>52700</v>
      </c>
      <c r="AN483" s="25">
        <v>307600</v>
      </c>
      <c r="AO483" s="25">
        <v>0</v>
      </c>
      <c r="AP483" s="25">
        <f>Lookups!$B$56*0</f>
        <v>0</v>
      </c>
      <c r="AQ483" s="25">
        <f>Lookups!$B$56*1</f>
        <v>89850.625589999996</v>
      </c>
      <c r="AR483" s="25">
        <f>Lookups!$B$57*Inventory[[#This Row],[LnAcres]]</f>
        <v>-56090.612940989391</v>
      </c>
      <c r="AS483" s="25">
        <f>VLOOKUP(Inventory[[#This Row],[Qlty]],Lookups!$A$62:$E$75,2,FALSE)</f>
        <v>44121.038090000002</v>
      </c>
      <c r="AT483" s="25">
        <f>VLOOKUP(Inventory[[#This Row],[Cnd]],Lookups!$A$76:$E$84,2,FALSE)</f>
        <v>160472.20319</v>
      </c>
      <c r="AU483" s="25">
        <f>Inventory[[#This Row],[EffAge]]*Lookups!$B$85</f>
        <v>-10929.2344245</v>
      </c>
      <c r="AV483" s="25">
        <f>Inventory[[#This Row],[MainFn]]*Lookups!$B$86</f>
        <v>64972.400888255004</v>
      </c>
      <c r="AW483" s="25">
        <f>Inventory[[#This Row],[UpprFn]]*Lookups!$B$87</f>
        <v>0</v>
      </c>
      <c r="AX483" s="25">
        <f>Inventory[[#This Row],[AddFn]]*Lookups!$B$88</f>
        <v>0</v>
      </c>
      <c r="AY483" s="25">
        <f>Inventory[[#This Row],[Bsmt]]*Lookups!$B$89</f>
        <v>25475.740236371999</v>
      </c>
      <c r="AZ483" s="25">
        <f>Inventory[[#This Row],[Fixtures]]*Lookups!$B$90</f>
        <v>30336.176841600001</v>
      </c>
      <c r="BA483" s="25">
        <f>Inventory[[#This Row],[WdDeck]]*Lookups!$B$91</f>
        <v>0</v>
      </c>
      <c r="BB483" s="25">
        <f>ROUND(Inventory[[#This Row],[25Det]],-2)</f>
        <v>21500</v>
      </c>
      <c r="BC483" s="25">
        <f>ROUND(SUM(Inventory[[#This Row],[Mdl Qlty]:[Mdl WdDeck]])+Inventory[[#This Row],[Mdl Res Intercept]],-2)</f>
        <v>314400</v>
      </c>
      <c r="BD483" s="25">
        <f>ROUND(Inventory[[#This Row],[Mdl Land Intercept]]+Inventory[[#This Row],[Mdl LnAcres]],-2)</f>
        <v>33800</v>
      </c>
      <c r="BE483" s="25">
        <f>Inventory[[#This Row],[Unadj Res Value]]+Inventory[[#This Row],[Unadj Det Value]]+Inventory[[#This Row],[Unadj Land Value]]</f>
        <v>369700</v>
      </c>
      <c r="BF483" s="36">
        <f>(Inventory[[#This Row],[Unadj Total Value]]-Inventory[[#This Row],[24Final]])/Inventory[[#This Row],[24Final]]</f>
        <v>2.6089369969469887E-2</v>
      </c>
      <c r="BG483" s="25">
        <f>VLOOKUP(Inventory[[#This Row],[Nbhd]],Lookups!$Q$2:$T$4,4,FALSE)</f>
        <v>0.99970000000000003</v>
      </c>
      <c r="BH483" s="25">
        <f>VLOOKUP(Inventory[[#This Row],[Qlty]],Lookups!$O$7:$R$21,4,FALSE)</f>
        <v>0.98050000000000004</v>
      </c>
      <c r="BI483" s="25">
        <f>VLOOKUP(Inventory[[#This Row],[Cnd]],Lookups!$T$7:$W$16,4,FALSE)</f>
        <v>0.99729999999999996</v>
      </c>
      <c r="BJ483" s="25">
        <f>VLOOKUP(Inventory[[#This Row],[LivArea Range]],Lookups!$T$25:$W$37,4,FALSE)</f>
        <v>0.98919999999999997</v>
      </c>
      <c r="BK483" s="25">
        <f>VLOOKUP(Inventory[[#This Row],[Decade]],Lookups!$O$25:$R$42,4,FALSE)</f>
        <v>1.0199</v>
      </c>
      <c r="BL483" s="25">
        <f>Inventory[[#This Row],[Nbhd Adj]]*0.95</f>
        <v>0.94971499999999998</v>
      </c>
      <c r="BM483" s="25">
        <f>Inventory[[#This Row],[Nbhd Adj]]*Inventory[[#This Row],[Quality Adj]]*Inventory[[#This Row],[Condition Adj]]*Inventory[[#This Row],[Living Area Adj]]*Inventory[[#This Row],[Decade Adj]]*0.95</f>
        <v>0.93693273740181715</v>
      </c>
      <c r="BN483" s="25">
        <f>ROUND(SUM(Inventory[[#This Row],[Mdl Qlty]:[Mdl WdDeck]])+Inventory[[#This Row],[Mdl Res Intercept]]*Inventory[[#This Row],[Res Adj ]],-2)</f>
        <v>314400</v>
      </c>
      <c r="BO483" s="25">
        <f>ROUND(Inventory[[#This Row],[25Det]]*Inventory[[#This Row],[Det/Nbhd Adj]],-2)</f>
        <v>20400</v>
      </c>
      <c r="BP483" s="25">
        <f>Inventory[[#This Row],[Adjusted Res]]+Inventory[[#This Row],[Adj Det ]]</f>
        <v>334800</v>
      </c>
      <c r="BQ483" s="25">
        <f>ROUND((Inventory[[#This Row],[Mdl Land Intercept]]+Inventory[[#This Row],[Mdl LnAcres]])*Inventory[[#This Row],[Det/Nbhd Adj]],-2)</f>
        <v>32100</v>
      </c>
      <c r="BR483" s="25">
        <f>Inventory[[#This Row],[Adjusted Impr Total]]+Inventory[[#This Row],[Adjusted Land Total]]</f>
        <v>366900</v>
      </c>
      <c r="BS483" s="36">
        <f>IFERROR((Inventory[[#This Row],[Adjusted Impr Total]]-Inventory[[#This Row],[24Bldg]])/Inventory[[#This Row],[24Bldg]],0)</f>
        <v>8.8426527958387513E-2</v>
      </c>
      <c r="BT483" s="36">
        <f>(Inventory[[#This Row],[Adjusted Land Total]]-Inventory[[#This Row],[24Lnd]])/Inventory[[#This Row],[24Lnd]]</f>
        <v>-0.39089184060721061</v>
      </c>
      <c r="BU483" s="36">
        <f>(Inventory[[#This Row],[Adjusted Total]]-Inventory[[#This Row],[24Final]])/Inventory[[#This Row],[24Final]]</f>
        <v>1.8318068276436304E-2</v>
      </c>
    </row>
    <row r="484" spans="1:73" x14ac:dyDescent="0.3">
      <c r="A484" s="25">
        <v>2025</v>
      </c>
      <c r="B484" s="26" t="s">
        <v>1768</v>
      </c>
      <c r="C484" s="26">
        <f>LN(Inventory[[#This Row],[Acres]])</f>
        <v>-1.5141277326297755</v>
      </c>
      <c r="D484" s="25">
        <v>0.22</v>
      </c>
      <c r="E484" s="25">
        <v>9728</v>
      </c>
      <c r="F484" s="26" t="s">
        <v>537</v>
      </c>
      <c r="G484" s="26" t="s">
        <v>126</v>
      </c>
      <c r="H484" s="26" t="s">
        <v>349</v>
      </c>
      <c r="I484" s="26" t="s">
        <v>538</v>
      </c>
      <c r="J484" s="26" t="s">
        <v>539</v>
      </c>
      <c r="K484" s="26" t="s">
        <v>5</v>
      </c>
      <c r="L484" s="26" t="s">
        <v>351</v>
      </c>
      <c r="M484" s="26" t="s">
        <v>206</v>
      </c>
      <c r="N484" s="26">
        <v>70</v>
      </c>
      <c r="O484" s="26">
        <f>2024-Inventory[[#This Row],[YrBlt]]</f>
        <v>64</v>
      </c>
      <c r="P484" s="26">
        <f>2024-Inventory[[#This Row],[EffYr]]</f>
        <v>49</v>
      </c>
      <c r="Q484" s="25">
        <v>1960</v>
      </c>
      <c r="R484" s="25">
        <v>1975</v>
      </c>
      <c r="S484" s="25">
        <v>1200</v>
      </c>
      <c r="T484" s="27"/>
      <c r="U484" s="25">
        <v>1200</v>
      </c>
      <c r="V484" s="25">
        <f>Inventory[[#This Row],[Bsmt]]-Inventory[[#This Row],[FnBsmt]]</f>
        <v>0</v>
      </c>
      <c r="W484" s="25">
        <v>1200</v>
      </c>
      <c r="X484" s="27"/>
      <c r="Y484" s="27">
        <f>Inventory[[#This Row],[MainFn]]+Inventory[[#This Row],[UpprFn]]+Inventory[[#This Row],[FnBsmt]]+Inventory[[#This Row],[AddFn]]</f>
        <v>2400</v>
      </c>
      <c r="Z484" s="27">
        <v>2500</v>
      </c>
      <c r="AA484" s="25">
        <v>8</v>
      </c>
      <c r="AB484" s="27"/>
      <c r="AC484" s="27"/>
      <c r="AD484" s="32">
        <v>60</v>
      </c>
      <c r="AE484" s="27"/>
      <c r="AF484" s="27"/>
      <c r="AG484" s="27"/>
      <c r="AH484" s="27"/>
      <c r="AI484" s="25">
        <v>307784</v>
      </c>
      <c r="AJ484" s="25">
        <v>215449</v>
      </c>
      <c r="AK484" s="25">
        <v>9346</v>
      </c>
      <c r="AL484" s="25">
        <v>313900</v>
      </c>
      <c r="AM484" s="25">
        <v>61700</v>
      </c>
      <c r="AN484" s="25">
        <v>252200</v>
      </c>
      <c r="AO484" s="25">
        <v>0</v>
      </c>
      <c r="AP484" s="25">
        <f>Lookups!$B$56*0</f>
        <v>0</v>
      </c>
      <c r="AQ484" s="25">
        <f>Lookups!$B$56*1</f>
        <v>89850.625589999996</v>
      </c>
      <c r="AR484" s="25">
        <f>Lookups!$B$57*Inventory[[#This Row],[LnAcres]]</f>
        <v>-47929.131559187132</v>
      </c>
      <c r="AS484" s="25">
        <f>VLOOKUP(Inventory[[#This Row],[Qlty]],Lookups!$A$62:$E$75,2,FALSE)</f>
        <v>21557.329055999999</v>
      </c>
      <c r="AT484" s="25">
        <f>VLOOKUP(Inventory[[#This Row],[Cnd]],Lookups!$A$76:$E$84,2,FALSE)</f>
        <v>133714.53821</v>
      </c>
      <c r="AU484" s="25">
        <f>Inventory[[#This Row],[EffAge]]*Lookups!$B$85</f>
        <v>-10929.2344245</v>
      </c>
      <c r="AV484" s="25">
        <f>Inventory[[#This Row],[MainFn]]*Lookups!$B$86</f>
        <v>59290.403852399999</v>
      </c>
      <c r="AW484" s="25">
        <f>Inventory[[#This Row],[UpprFn]]*Lookups!$B$87</f>
        <v>0</v>
      </c>
      <c r="AX484" s="25">
        <f>Inventory[[#This Row],[AddFn]]*Lookups!$B$88</f>
        <v>0</v>
      </c>
      <c r="AY484" s="25">
        <f>Inventory[[#This Row],[Bsmt]]*Lookups!$B$89</f>
        <v>34898.274296399999</v>
      </c>
      <c r="AZ484" s="25">
        <f>Inventory[[#This Row],[Fixtures]]*Lookups!$B$90</f>
        <v>30336.176841600001</v>
      </c>
      <c r="BA484" s="25">
        <f>Inventory[[#This Row],[WdDeck]]*Lookups!$B$91</f>
        <v>1997.7309165600002</v>
      </c>
      <c r="BB484" s="25">
        <f>ROUND(Inventory[[#This Row],[25Det]],-2)</f>
        <v>9300</v>
      </c>
      <c r="BC484" s="25">
        <f>ROUND(SUM(Inventory[[#This Row],[Mdl Qlty]:[Mdl WdDeck]])+Inventory[[#This Row],[Mdl Res Intercept]],-2)</f>
        <v>270900</v>
      </c>
      <c r="BD484" s="25">
        <f>ROUND(Inventory[[#This Row],[Mdl Land Intercept]]+Inventory[[#This Row],[Mdl LnAcres]],-2)</f>
        <v>41900</v>
      </c>
      <c r="BE484" s="25">
        <f>Inventory[[#This Row],[Unadj Res Value]]+Inventory[[#This Row],[Unadj Det Value]]+Inventory[[#This Row],[Unadj Land Value]]</f>
        <v>322100</v>
      </c>
      <c r="BF484" s="36">
        <f>(Inventory[[#This Row],[Unadj Total Value]]-Inventory[[#This Row],[24Final]])/Inventory[[#This Row],[24Final]]</f>
        <v>2.6122969098438992E-2</v>
      </c>
      <c r="BG484" s="25">
        <f>VLOOKUP(Inventory[[#This Row],[Nbhd]],Lookups!$Q$2:$T$4,4,FALSE)</f>
        <v>0.99970000000000003</v>
      </c>
      <c r="BH484" s="25">
        <f>VLOOKUP(Inventory[[#This Row],[Qlty]],Lookups!$O$7:$R$21,4,FALSE)</f>
        <v>1.0067999999999999</v>
      </c>
      <c r="BI484" s="25">
        <f>VLOOKUP(Inventory[[#This Row],[Cnd]],Lookups!$T$7:$W$16,4,FALSE)</f>
        <v>0.99329999999999996</v>
      </c>
      <c r="BJ484" s="25">
        <f>VLOOKUP(Inventory[[#This Row],[LivArea Range]],Lookups!$T$25:$W$37,4,FALSE)</f>
        <v>0.98919999999999997</v>
      </c>
      <c r="BK484" s="25">
        <f>VLOOKUP(Inventory[[#This Row],[Decade]],Lookups!$O$25:$R$42,4,FALSE)</f>
        <v>1.0199</v>
      </c>
      <c r="BL484" s="25">
        <f>Inventory[[#This Row],[Nbhd Adj]]*0.95</f>
        <v>0.94971499999999998</v>
      </c>
      <c r="BM484" s="25">
        <f>Inventory[[#This Row],[Nbhd Adj]]*Inventory[[#This Row],[Quality Adj]]*Inventory[[#This Row],[Condition Adj]]*Inventory[[#This Row],[Living Area Adj]]*Inventory[[#This Row],[Decade Adj]]*0.95</f>
        <v>0.95820545561751158</v>
      </c>
      <c r="BN484" s="25">
        <f>ROUND(SUM(Inventory[[#This Row],[Mdl Qlty]:[Mdl WdDeck]])+Inventory[[#This Row],[Mdl Res Intercept]]*Inventory[[#This Row],[Res Adj ]],-2)</f>
        <v>270900</v>
      </c>
      <c r="BO484" s="25">
        <f>ROUND(Inventory[[#This Row],[25Det]]*Inventory[[#This Row],[Det/Nbhd Adj]],-2)</f>
        <v>8900</v>
      </c>
      <c r="BP484" s="25">
        <f>Inventory[[#This Row],[Adjusted Res]]+Inventory[[#This Row],[Adj Det ]]</f>
        <v>279800</v>
      </c>
      <c r="BQ484" s="25">
        <f>ROUND((Inventory[[#This Row],[Mdl Land Intercept]]+Inventory[[#This Row],[Mdl LnAcres]])*Inventory[[#This Row],[Det/Nbhd Adj]],-2)</f>
        <v>39800</v>
      </c>
      <c r="BR484" s="25">
        <f>Inventory[[#This Row],[Adjusted Impr Total]]+Inventory[[#This Row],[Adjusted Land Total]]</f>
        <v>319600</v>
      </c>
      <c r="BS484" s="36">
        <f>IFERROR((Inventory[[#This Row],[Adjusted Impr Total]]-Inventory[[#This Row],[24Bldg]])/Inventory[[#This Row],[24Bldg]],0)</f>
        <v>0.10943695479777954</v>
      </c>
      <c r="BT484" s="36">
        <f>(Inventory[[#This Row],[Adjusted Land Total]]-Inventory[[#This Row],[24Lnd]])/Inventory[[#This Row],[24Lnd]]</f>
        <v>-0.35494327390599678</v>
      </c>
      <c r="BU484" s="36">
        <f>(Inventory[[#This Row],[Adjusted Total]]-Inventory[[#This Row],[24Final]])/Inventory[[#This Row],[24Final]]</f>
        <v>1.8158649251353933E-2</v>
      </c>
    </row>
    <row r="485" spans="1:73" x14ac:dyDescent="0.3">
      <c r="A485" s="25">
        <v>2025</v>
      </c>
      <c r="B485" s="26" t="s">
        <v>1172</v>
      </c>
      <c r="C485" s="26">
        <f>LN(Inventory[[#This Row],[Acres]])</f>
        <v>-1.7719568419318752</v>
      </c>
      <c r="D485" s="25">
        <v>0.17</v>
      </c>
      <c r="E485" s="27"/>
      <c r="F485" s="26" t="s">
        <v>537</v>
      </c>
      <c r="G485" s="26" t="s">
        <v>126</v>
      </c>
      <c r="H485" s="26" t="s">
        <v>349</v>
      </c>
      <c r="I485" s="26" t="s">
        <v>538</v>
      </c>
      <c r="J485" s="26" t="s">
        <v>539</v>
      </c>
      <c r="K485" s="26" t="s">
        <v>241</v>
      </c>
      <c r="L485" s="26" t="s">
        <v>205</v>
      </c>
      <c r="M485" s="26" t="s">
        <v>303</v>
      </c>
      <c r="N485" s="26">
        <v>70</v>
      </c>
      <c r="O485" s="26">
        <f>2024-Inventory[[#This Row],[YrBlt]]</f>
        <v>64</v>
      </c>
      <c r="P485" s="26">
        <f>2024-Inventory[[#This Row],[EffYr]]</f>
        <v>49</v>
      </c>
      <c r="Q485" s="25">
        <v>1960</v>
      </c>
      <c r="R485" s="25">
        <v>1975</v>
      </c>
      <c r="S485" s="25">
        <v>1026</v>
      </c>
      <c r="T485" s="27"/>
      <c r="U485" s="25">
        <v>1026</v>
      </c>
      <c r="V485" s="25">
        <f>Inventory[[#This Row],[Bsmt]]-Inventory[[#This Row],[FnBsmt]]</f>
        <v>0</v>
      </c>
      <c r="W485" s="25">
        <v>1026</v>
      </c>
      <c r="X485" s="27"/>
      <c r="Y485" s="27">
        <f>Inventory[[#This Row],[MainFn]]+Inventory[[#This Row],[UpprFn]]+Inventory[[#This Row],[FnBsmt]]+Inventory[[#This Row],[AddFn]]</f>
        <v>2052</v>
      </c>
      <c r="Z485" s="27">
        <v>2500</v>
      </c>
      <c r="AA485" s="25">
        <v>8</v>
      </c>
      <c r="AB485" s="27"/>
      <c r="AC485" s="27"/>
      <c r="AD485" s="31"/>
      <c r="AE485" s="27"/>
      <c r="AF485" s="27"/>
      <c r="AG485" s="27"/>
      <c r="AH485" s="27"/>
      <c r="AI485" s="25">
        <v>243793</v>
      </c>
      <c r="AJ485" s="25">
        <v>175531</v>
      </c>
      <c r="AK485" s="25">
        <v>11854</v>
      </c>
      <c r="AL485" s="25">
        <v>336200</v>
      </c>
      <c r="AM485" s="25">
        <v>52700</v>
      </c>
      <c r="AN485" s="25">
        <v>283500</v>
      </c>
      <c r="AO485" s="25">
        <v>0</v>
      </c>
      <c r="AP485" s="25">
        <f>Lookups!$B$56*0</f>
        <v>0</v>
      </c>
      <c r="AQ485" s="25">
        <f>Lookups!$B$56*1</f>
        <v>89850.625589999996</v>
      </c>
      <c r="AR485" s="25">
        <f>Lookups!$B$57*Inventory[[#This Row],[LnAcres]]</f>
        <v>-56090.612940989391</v>
      </c>
      <c r="AS485" s="25">
        <f>VLOOKUP(Inventory[[#This Row],[Qlty]],Lookups!$A$62:$E$75,2,FALSE)</f>
        <v>0</v>
      </c>
      <c r="AT485" s="25">
        <f>VLOOKUP(Inventory[[#This Row],[Cnd]],Lookups!$A$76:$E$84,2,FALSE)</f>
        <v>197752.34721000001</v>
      </c>
      <c r="AU485" s="25">
        <f>Inventory[[#This Row],[EffAge]]*Lookups!$B$85</f>
        <v>-10929.2344245</v>
      </c>
      <c r="AV485" s="25">
        <f>Inventory[[#This Row],[MainFn]]*Lookups!$B$86</f>
        <v>50693.295293802003</v>
      </c>
      <c r="AW485" s="25">
        <f>Inventory[[#This Row],[UpprFn]]*Lookups!$B$87</f>
        <v>0</v>
      </c>
      <c r="AX485" s="25">
        <f>Inventory[[#This Row],[AddFn]]*Lookups!$B$88</f>
        <v>0</v>
      </c>
      <c r="AY485" s="25">
        <f>Inventory[[#This Row],[Bsmt]]*Lookups!$B$89</f>
        <v>29838.024523421998</v>
      </c>
      <c r="AZ485" s="25">
        <f>Inventory[[#This Row],[Fixtures]]*Lookups!$B$90</f>
        <v>30336.176841600001</v>
      </c>
      <c r="BA485" s="25">
        <f>Inventory[[#This Row],[WdDeck]]*Lookups!$B$91</f>
        <v>0</v>
      </c>
      <c r="BB485" s="25">
        <f>ROUND(Inventory[[#This Row],[25Det]],-2)</f>
        <v>11900</v>
      </c>
      <c r="BC485" s="25">
        <f>ROUND(SUM(Inventory[[#This Row],[Mdl Qlty]:[Mdl WdDeck]])+Inventory[[#This Row],[Mdl Res Intercept]],-2)</f>
        <v>297700</v>
      </c>
      <c r="BD485" s="25">
        <f>ROUND(Inventory[[#This Row],[Mdl Land Intercept]]+Inventory[[#This Row],[Mdl LnAcres]],-2)</f>
        <v>33800</v>
      </c>
      <c r="BE485" s="25">
        <f>Inventory[[#This Row],[Unadj Res Value]]+Inventory[[#This Row],[Unadj Det Value]]+Inventory[[#This Row],[Unadj Land Value]]</f>
        <v>343400</v>
      </c>
      <c r="BF485" s="36">
        <f>(Inventory[[#This Row],[Unadj Total Value]]-Inventory[[#This Row],[24Final]])/Inventory[[#This Row],[24Final]]</f>
        <v>2.1415823914336704E-2</v>
      </c>
      <c r="BG485" s="25">
        <f>VLOOKUP(Inventory[[#This Row],[Nbhd]],Lookups!$Q$2:$T$4,4,FALSE)</f>
        <v>0.99970000000000003</v>
      </c>
      <c r="BH485" s="25">
        <f>VLOOKUP(Inventory[[#This Row],[Qlty]],Lookups!$O$7:$R$21,4,FALSE)</f>
        <v>0.99180000000000001</v>
      </c>
      <c r="BI485" s="25">
        <f>VLOOKUP(Inventory[[#This Row],[Cnd]],Lookups!$T$7:$W$16,4,FALSE)</f>
        <v>0.99650000000000005</v>
      </c>
      <c r="BJ485" s="25">
        <f>VLOOKUP(Inventory[[#This Row],[LivArea Range]],Lookups!$T$25:$W$37,4,FALSE)</f>
        <v>0.98919999999999997</v>
      </c>
      <c r="BK485" s="25">
        <f>VLOOKUP(Inventory[[#This Row],[Decade]],Lookups!$O$25:$R$42,4,FALSE)</f>
        <v>1.0199</v>
      </c>
      <c r="BL485" s="25">
        <f>Inventory[[#This Row],[Nbhd Adj]]*0.95</f>
        <v>0.94971499999999998</v>
      </c>
      <c r="BM485" s="25">
        <f>Inventory[[#This Row],[Nbhd Adj]]*Inventory[[#This Row],[Quality Adj]]*Inventory[[#This Row],[Condition Adj]]*Inventory[[#This Row],[Living Area Adj]]*Inventory[[#This Row],[Decade Adj]]*0.95</f>
        <v>0.94697039921483006</v>
      </c>
      <c r="BN485" s="25">
        <f>ROUND(SUM(Inventory[[#This Row],[Mdl Qlty]:[Mdl WdDeck]])+Inventory[[#This Row],[Mdl Res Intercept]]*Inventory[[#This Row],[Res Adj ]],-2)</f>
        <v>297700</v>
      </c>
      <c r="BO485" s="25">
        <f>ROUND(Inventory[[#This Row],[25Det]]*Inventory[[#This Row],[Det/Nbhd Adj]],-2)</f>
        <v>11300</v>
      </c>
      <c r="BP485" s="25">
        <f>Inventory[[#This Row],[Adjusted Res]]+Inventory[[#This Row],[Adj Det ]]</f>
        <v>309000</v>
      </c>
      <c r="BQ485" s="25">
        <f>ROUND((Inventory[[#This Row],[Mdl Land Intercept]]+Inventory[[#This Row],[Mdl LnAcres]])*Inventory[[#This Row],[Det/Nbhd Adj]],-2)</f>
        <v>32100</v>
      </c>
      <c r="BR485" s="25">
        <f>Inventory[[#This Row],[Adjusted Impr Total]]+Inventory[[#This Row],[Adjusted Land Total]]</f>
        <v>341100</v>
      </c>
      <c r="BS485" s="36">
        <f>IFERROR((Inventory[[#This Row],[Adjusted Impr Total]]-Inventory[[#This Row],[24Bldg]])/Inventory[[#This Row],[24Bldg]],0)</f>
        <v>8.9947089947089942E-2</v>
      </c>
      <c r="BT485" s="36">
        <f>(Inventory[[#This Row],[Adjusted Land Total]]-Inventory[[#This Row],[24Lnd]])/Inventory[[#This Row],[24Lnd]]</f>
        <v>-0.39089184060721061</v>
      </c>
      <c r="BU485" s="36">
        <f>(Inventory[[#This Row],[Adjusted Total]]-Inventory[[#This Row],[24Final]])/Inventory[[#This Row],[24Final]]</f>
        <v>1.4574657941701367E-2</v>
      </c>
    </row>
    <row r="486" spans="1:73" x14ac:dyDescent="0.3">
      <c r="A486" s="25">
        <v>2025</v>
      </c>
      <c r="B486" s="26" t="s">
        <v>1178</v>
      </c>
      <c r="C486" s="26">
        <f>LN(Inventory[[#This Row],[Acres]])</f>
        <v>-1.4696759700589417</v>
      </c>
      <c r="D486" s="25">
        <v>0.23</v>
      </c>
      <c r="E486" s="25">
        <v>10480</v>
      </c>
      <c r="F486" s="26" t="s">
        <v>537</v>
      </c>
      <c r="G486" s="26" t="s">
        <v>126</v>
      </c>
      <c r="H486" s="26" t="s">
        <v>349</v>
      </c>
      <c r="I486" s="26" t="s">
        <v>538</v>
      </c>
      <c r="J486" s="26" t="s">
        <v>539</v>
      </c>
      <c r="K486" s="26" t="s">
        <v>241</v>
      </c>
      <c r="L486" s="26" t="s">
        <v>351</v>
      </c>
      <c r="M486" s="26" t="s">
        <v>323</v>
      </c>
      <c r="N486" s="26">
        <v>70</v>
      </c>
      <c r="O486" s="26">
        <f>2024-Inventory[[#This Row],[YrBlt]]</f>
        <v>64</v>
      </c>
      <c r="P486" s="26">
        <f>2024-Inventory[[#This Row],[EffYr]]</f>
        <v>49</v>
      </c>
      <c r="Q486" s="25">
        <v>1960</v>
      </c>
      <c r="R486" s="25">
        <v>1975</v>
      </c>
      <c r="S486" s="25">
        <v>1358</v>
      </c>
      <c r="T486" s="27"/>
      <c r="U486" s="32">
        <v>506</v>
      </c>
      <c r="V486" s="32">
        <f>Inventory[[#This Row],[Bsmt]]-Inventory[[#This Row],[FnBsmt]]</f>
        <v>0</v>
      </c>
      <c r="W486" s="32">
        <v>506</v>
      </c>
      <c r="X486" s="27"/>
      <c r="Y486" s="27">
        <f>Inventory[[#This Row],[MainFn]]+Inventory[[#This Row],[UpprFn]]+Inventory[[#This Row],[FnBsmt]]+Inventory[[#This Row],[AddFn]]</f>
        <v>1864</v>
      </c>
      <c r="Z486" s="27">
        <v>2000</v>
      </c>
      <c r="AA486" s="25">
        <v>5</v>
      </c>
      <c r="AB486" s="27"/>
      <c r="AC486" s="27"/>
      <c r="AD486" s="27"/>
      <c r="AE486" s="27"/>
      <c r="AF486" s="27"/>
      <c r="AG486" s="31"/>
      <c r="AH486" s="27"/>
      <c r="AI486" s="25">
        <v>278292</v>
      </c>
      <c r="AJ486" s="25">
        <v>197587</v>
      </c>
      <c r="AK486" s="25">
        <v>0</v>
      </c>
      <c r="AL486" s="25">
        <v>309700</v>
      </c>
      <c r="AM486" s="25">
        <v>63300</v>
      </c>
      <c r="AN486" s="25">
        <v>246400</v>
      </c>
      <c r="AO486" s="25">
        <v>0</v>
      </c>
      <c r="AP486" s="25">
        <f>Lookups!$B$56*0</f>
        <v>0</v>
      </c>
      <c r="AQ486" s="25">
        <f>Lookups!$B$56*1</f>
        <v>89850.625589999996</v>
      </c>
      <c r="AR486" s="25">
        <f>Lookups!$B$57*Inventory[[#This Row],[LnAcres]]</f>
        <v>-46522.028095997222</v>
      </c>
      <c r="AS486" s="25">
        <f>VLOOKUP(Inventory[[#This Row],[Qlty]],Lookups!$A$62:$E$75,2,FALSE)</f>
        <v>21557.329055999999</v>
      </c>
      <c r="AT486" s="25">
        <f>VLOOKUP(Inventory[[#This Row],[Cnd]],Lookups!$A$76:$E$84,2,FALSE)</f>
        <v>160472.20319</v>
      </c>
      <c r="AU486" s="25">
        <f>Inventory[[#This Row],[EffAge]]*Lookups!$B$85</f>
        <v>-10929.2344245</v>
      </c>
      <c r="AV486" s="25">
        <f>Inventory[[#This Row],[MainFn]]*Lookups!$B$86</f>
        <v>67096.973692965999</v>
      </c>
      <c r="AW486" s="25">
        <f>Inventory[[#This Row],[UpprFn]]*Lookups!$B$87</f>
        <v>0</v>
      </c>
      <c r="AX486" s="25">
        <f>Inventory[[#This Row],[AddFn]]*Lookups!$B$88</f>
        <v>0</v>
      </c>
      <c r="AY486" s="25">
        <f>Inventory[[#This Row],[Bsmt]]*Lookups!$B$89</f>
        <v>14715.438994982</v>
      </c>
      <c r="AZ486" s="25">
        <f>Inventory[[#This Row],[Fixtures]]*Lookups!$B$90</f>
        <v>18960.110526</v>
      </c>
      <c r="BA486" s="25">
        <f>Inventory[[#This Row],[WdDeck]]*Lookups!$B$91</f>
        <v>0</v>
      </c>
      <c r="BB486" s="25">
        <f>ROUND(Inventory[[#This Row],[25Det]],-2)</f>
        <v>0</v>
      </c>
      <c r="BC486" s="25">
        <f>ROUND(SUM(Inventory[[#This Row],[Mdl Qlty]:[Mdl WdDeck]])+Inventory[[#This Row],[Mdl Res Intercept]],-2)</f>
        <v>271900</v>
      </c>
      <c r="BD486" s="25">
        <f>ROUND(Inventory[[#This Row],[Mdl Land Intercept]]+Inventory[[#This Row],[Mdl LnAcres]],-2)</f>
        <v>43300</v>
      </c>
      <c r="BE486" s="25">
        <f>Inventory[[#This Row],[Unadj Res Value]]+Inventory[[#This Row],[Unadj Det Value]]+Inventory[[#This Row],[Unadj Land Value]]</f>
        <v>315200</v>
      </c>
      <c r="BF486" s="36">
        <f>(Inventory[[#This Row],[Unadj Total Value]]-Inventory[[#This Row],[24Final]])/Inventory[[#This Row],[24Final]]</f>
        <v>1.7759121730707136E-2</v>
      </c>
      <c r="BG486" s="25">
        <f>VLOOKUP(Inventory[[#This Row],[Nbhd]],Lookups!$Q$2:$T$4,4,FALSE)</f>
        <v>0.99970000000000003</v>
      </c>
      <c r="BH486" s="25">
        <f>VLOOKUP(Inventory[[#This Row],[Qlty]],Lookups!$O$7:$R$21,4,FALSE)</f>
        <v>1.0067999999999999</v>
      </c>
      <c r="BI486" s="25">
        <f>VLOOKUP(Inventory[[#This Row],[Cnd]],Lookups!$T$7:$W$16,4,FALSE)</f>
        <v>0.99729999999999996</v>
      </c>
      <c r="BJ486" s="25">
        <f>VLOOKUP(Inventory[[#This Row],[LivArea Range]],Lookups!$T$25:$W$37,4,FALSE)</f>
        <v>1.0093000000000001</v>
      </c>
      <c r="BK486" s="25">
        <f>VLOOKUP(Inventory[[#This Row],[Decade]],Lookups!$O$25:$R$42,4,FALSE)</f>
        <v>1.0199</v>
      </c>
      <c r="BL486" s="25">
        <f>Inventory[[#This Row],[Nbhd Adj]]*0.95</f>
        <v>0.94971499999999998</v>
      </c>
      <c r="BM486" s="25">
        <f>Inventory[[#This Row],[Nbhd Adj]]*Inventory[[#This Row],[Quality Adj]]*Inventory[[#This Row],[Condition Adj]]*Inventory[[#This Row],[Living Area Adj]]*Inventory[[#This Row],[Decade Adj]]*0.95</f>
        <v>0.98161274461821502</v>
      </c>
      <c r="BN486" s="25">
        <f>ROUND(SUM(Inventory[[#This Row],[Mdl Qlty]:[Mdl WdDeck]])+Inventory[[#This Row],[Mdl Res Intercept]]*Inventory[[#This Row],[Res Adj ]],-2)</f>
        <v>271900</v>
      </c>
      <c r="BO486" s="25">
        <f>ROUND(Inventory[[#This Row],[25Det]]*Inventory[[#This Row],[Det/Nbhd Adj]],-2)</f>
        <v>0</v>
      </c>
      <c r="BP486" s="25">
        <f>Inventory[[#This Row],[Adjusted Res]]+Inventory[[#This Row],[Adj Det ]]</f>
        <v>271900</v>
      </c>
      <c r="BQ486" s="25">
        <f>ROUND((Inventory[[#This Row],[Mdl Land Intercept]]+Inventory[[#This Row],[Mdl LnAcres]])*Inventory[[#This Row],[Det/Nbhd Adj]],-2)</f>
        <v>41100</v>
      </c>
      <c r="BR486" s="25">
        <f>Inventory[[#This Row],[Adjusted Impr Total]]+Inventory[[#This Row],[Adjusted Land Total]]</f>
        <v>313000</v>
      </c>
      <c r="BS486" s="36">
        <f>IFERROR((Inventory[[#This Row],[Adjusted Impr Total]]-Inventory[[#This Row],[24Bldg]])/Inventory[[#This Row],[24Bldg]],0)</f>
        <v>0.10349025974025974</v>
      </c>
      <c r="BT486" s="36">
        <f>(Inventory[[#This Row],[Adjusted Land Total]]-Inventory[[#This Row],[24Lnd]])/Inventory[[#This Row],[24Lnd]]</f>
        <v>-0.35071090047393366</v>
      </c>
      <c r="BU486" s="36">
        <f>(Inventory[[#This Row],[Adjusted Total]]-Inventory[[#This Row],[24Final]])/Inventory[[#This Row],[24Final]]</f>
        <v>1.0655473038424281E-2</v>
      </c>
    </row>
    <row r="487" spans="1:73" x14ac:dyDescent="0.3">
      <c r="A487" s="25">
        <v>2025</v>
      </c>
      <c r="B487" s="26" t="s">
        <v>2528</v>
      </c>
      <c r="C487" s="26">
        <f>LN(Inventory[[#This Row],[Acres]])</f>
        <v>-1.5606477482646683</v>
      </c>
      <c r="D487" s="25">
        <v>0.21</v>
      </c>
      <c r="E487" s="25">
        <v>8990</v>
      </c>
      <c r="F487" s="26" t="s">
        <v>537</v>
      </c>
      <c r="G487" s="26" t="s">
        <v>126</v>
      </c>
      <c r="H487" s="26" t="s">
        <v>349</v>
      </c>
      <c r="I487" s="26" t="s">
        <v>538</v>
      </c>
      <c r="J487" s="26" t="s">
        <v>539</v>
      </c>
      <c r="K487" s="26" t="s">
        <v>241</v>
      </c>
      <c r="L487" s="26" t="s">
        <v>351</v>
      </c>
      <c r="M487" s="26" t="s">
        <v>323</v>
      </c>
      <c r="N487" s="26">
        <v>70</v>
      </c>
      <c r="O487" s="26">
        <f>2024-Inventory[[#This Row],[YrBlt]]</f>
        <v>64</v>
      </c>
      <c r="P487" s="26">
        <f>2024-Inventory[[#This Row],[EffYr]]</f>
        <v>49</v>
      </c>
      <c r="Q487" s="25">
        <v>1960</v>
      </c>
      <c r="R487" s="25">
        <v>1975</v>
      </c>
      <c r="S487" s="25">
        <v>1134</v>
      </c>
      <c r="T487" s="31"/>
      <c r="U487" s="31"/>
      <c r="V487" s="31">
        <f>Inventory[[#This Row],[Bsmt]]-Inventory[[#This Row],[FnBsmt]]</f>
        <v>0</v>
      </c>
      <c r="W487" s="31"/>
      <c r="X487" s="27"/>
      <c r="Y487" s="27">
        <f>Inventory[[#This Row],[MainFn]]+Inventory[[#This Row],[UpprFn]]+Inventory[[#This Row],[FnBsmt]]+Inventory[[#This Row],[AddFn]]</f>
        <v>1134</v>
      </c>
      <c r="Z487" s="27">
        <v>1500</v>
      </c>
      <c r="AA487" s="25">
        <v>7</v>
      </c>
      <c r="AB487" s="32">
        <v>420</v>
      </c>
      <c r="AC487" s="27"/>
      <c r="AD487" s="31"/>
      <c r="AE487" s="27"/>
      <c r="AF487" s="27"/>
      <c r="AG487" s="27"/>
      <c r="AH487" s="27"/>
      <c r="AI487" s="25">
        <v>225934</v>
      </c>
      <c r="AJ487" s="25">
        <v>160413</v>
      </c>
      <c r="AK487" s="25">
        <v>0</v>
      </c>
      <c r="AL487" s="25">
        <v>289500</v>
      </c>
      <c r="AM487" s="25">
        <v>60100</v>
      </c>
      <c r="AN487" s="25">
        <v>229400</v>
      </c>
      <c r="AO487" s="25">
        <v>0</v>
      </c>
      <c r="AP487" s="25">
        <f>Lookups!$B$56*0</f>
        <v>0</v>
      </c>
      <c r="AQ487" s="25">
        <f>Lookups!$B$56*1</f>
        <v>89850.625589999996</v>
      </c>
      <c r="AR487" s="25">
        <f>Lookups!$B$57*Inventory[[#This Row],[LnAcres]]</f>
        <v>-49401.70477837498</v>
      </c>
      <c r="AS487" s="25">
        <f>VLOOKUP(Inventory[[#This Row],[Qlty]],Lookups!$A$62:$E$75,2,FALSE)</f>
        <v>21557.329055999999</v>
      </c>
      <c r="AT487" s="25">
        <f>VLOOKUP(Inventory[[#This Row],[Cnd]],Lookups!$A$76:$E$84,2,FALSE)</f>
        <v>160472.20319</v>
      </c>
      <c r="AU487" s="25">
        <f>Inventory[[#This Row],[EffAge]]*Lookups!$B$85</f>
        <v>-10929.2344245</v>
      </c>
      <c r="AV487" s="25">
        <f>Inventory[[#This Row],[MainFn]]*Lookups!$B$86</f>
        <v>56029.431640518</v>
      </c>
      <c r="AW487" s="25">
        <f>Inventory[[#This Row],[UpprFn]]*Lookups!$B$87</f>
        <v>0</v>
      </c>
      <c r="AX487" s="25">
        <f>Inventory[[#This Row],[AddFn]]*Lookups!$B$88</f>
        <v>0</v>
      </c>
      <c r="AY487" s="25">
        <f>Inventory[[#This Row],[Bsmt]]*Lookups!$B$89</f>
        <v>0</v>
      </c>
      <c r="AZ487" s="25">
        <f>Inventory[[#This Row],[Fixtures]]*Lookups!$B$90</f>
        <v>26544.1547364</v>
      </c>
      <c r="BA487" s="25">
        <f>Inventory[[#This Row],[WdDeck]]*Lookups!$B$91</f>
        <v>0</v>
      </c>
      <c r="BB487" s="25">
        <f>ROUND(Inventory[[#This Row],[25Det]],-2)</f>
        <v>0</v>
      </c>
      <c r="BC487" s="25">
        <f>ROUND(SUM(Inventory[[#This Row],[Mdl Qlty]:[Mdl WdDeck]])+Inventory[[#This Row],[Mdl Res Intercept]],-2)</f>
        <v>253700</v>
      </c>
      <c r="BD487" s="25">
        <f>ROUND(Inventory[[#This Row],[Mdl Land Intercept]]+Inventory[[#This Row],[Mdl LnAcres]],-2)</f>
        <v>40400</v>
      </c>
      <c r="BE487" s="25">
        <f>Inventory[[#This Row],[Unadj Res Value]]+Inventory[[#This Row],[Unadj Det Value]]+Inventory[[#This Row],[Unadj Land Value]]</f>
        <v>294100</v>
      </c>
      <c r="BF487" s="36">
        <f>(Inventory[[#This Row],[Unadj Total Value]]-Inventory[[#This Row],[24Final]])/Inventory[[#This Row],[24Final]]</f>
        <v>1.5889464594127805E-2</v>
      </c>
      <c r="BG487" s="25">
        <f>VLOOKUP(Inventory[[#This Row],[Nbhd]],Lookups!$Q$2:$T$4,4,FALSE)</f>
        <v>0.99970000000000003</v>
      </c>
      <c r="BH487" s="25">
        <f>VLOOKUP(Inventory[[#This Row],[Qlty]],Lookups!$O$7:$R$21,4,FALSE)</f>
        <v>1.0067999999999999</v>
      </c>
      <c r="BI487" s="25">
        <f>VLOOKUP(Inventory[[#This Row],[Cnd]],Lookups!$T$7:$W$16,4,FALSE)</f>
        <v>0.99729999999999996</v>
      </c>
      <c r="BJ487" s="25">
        <f>VLOOKUP(Inventory[[#This Row],[LivArea Range]],Lookups!$T$25:$W$37,4,FALSE)</f>
        <v>1.0157</v>
      </c>
      <c r="BK487" s="25">
        <f>VLOOKUP(Inventory[[#This Row],[Decade]],Lookups!$O$25:$R$42,4,FALSE)</f>
        <v>1.0199</v>
      </c>
      <c r="BL487" s="25">
        <f>Inventory[[#This Row],[Nbhd Adj]]*0.95</f>
        <v>0.94971499999999998</v>
      </c>
      <c r="BM487" s="25">
        <f>Inventory[[#This Row],[Nbhd Adj]]*Inventory[[#This Row],[Quality Adj]]*Inventory[[#This Row],[Condition Adj]]*Inventory[[#This Row],[Living Area Adj]]*Inventory[[#This Row],[Decade Adj]]*0.95</f>
        <v>0.98783717894453682</v>
      </c>
      <c r="BN487" s="25">
        <f>ROUND(SUM(Inventory[[#This Row],[Mdl Qlty]:[Mdl WdDeck]])+Inventory[[#This Row],[Mdl Res Intercept]]*Inventory[[#This Row],[Res Adj ]],-2)</f>
        <v>253700</v>
      </c>
      <c r="BO487" s="25">
        <f>ROUND(Inventory[[#This Row],[25Det]]*Inventory[[#This Row],[Det/Nbhd Adj]],-2)</f>
        <v>0</v>
      </c>
      <c r="BP487" s="25">
        <f>Inventory[[#This Row],[Adjusted Res]]+Inventory[[#This Row],[Adj Det ]]</f>
        <v>253700</v>
      </c>
      <c r="BQ487" s="25">
        <f>ROUND((Inventory[[#This Row],[Mdl Land Intercept]]+Inventory[[#This Row],[Mdl LnAcres]])*Inventory[[#This Row],[Det/Nbhd Adj]],-2)</f>
        <v>38400</v>
      </c>
      <c r="BR487" s="25">
        <f>Inventory[[#This Row],[Adjusted Impr Total]]+Inventory[[#This Row],[Adjusted Land Total]]</f>
        <v>292100</v>
      </c>
      <c r="BS487" s="36">
        <f>IFERROR((Inventory[[#This Row],[Adjusted Impr Total]]-Inventory[[#This Row],[24Bldg]])/Inventory[[#This Row],[24Bldg]],0)</f>
        <v>0.10592850915431561</v>
      </c>
      <c r="BT487" s="36">
        <f>(Inventory[[#This Row],[Adjusted Land Total]]-Inventory[[#This Row],[24Lnd]])/Inventory[[#This Row],[24Lnd]]</f>
        <v>-0.36106489184692181</v>
      </c>
      <c r="BU487" s="36">
        <f>(Inventory[[#This Row],[Adjusted Total]]-Inventory[[#This Row],[24Final]])/Inventory[[#This Row],[24Final]]</f>
        <v>8.9810017271157172E-3</v>
      </c>
    </row>
    <row r="488" spans="1:73" x14ac:dyDescent="0.3">
      <c r="A488" s="25">
        <v>2025</v>
      </c>
      <c r="B488" s="26" t="s">
        <v>2474</v>
      </c>
      <c r="C488" s="26">
        <f>LN(Inventory[[#This Row],[Acres]])</f>
        <v>-1.3470736479666092</v>
      </c>
      <c r="D488" s="25">
        <v>0.26</v>
      </c>
      <c r="E488" s="25">
        <v>11250</v>
      </c>
      <c r="F488" s="26" t="s">
        <v>537</v>
      </c>
      <c r="G488" s="26" t="s">
        <v>126</v>
      </c>
      <c r="H488" s="26" t="s">
        <v>349</v>
      </c>
      <c r="I488" s="26" t="s">
        <v>538</v>
      </c>
      <c r="J488" s="26" t="s">
        <v>539</v>
      </c>
      <c r="K488" s="26" t="s">
        <v>241</v>
      </c>
      <c r="L488" s="26" t="s">
        <v>351</v>
      </c>
      <c r="M488" s="26" t="s">
        <v>323</v>
      </c>
      <c r="N488" s="26">
        <v>70</v>
      </c>
      <c r="O488" s="26">
        <f>2024-Inventory[[#This Row],[YrBlt]]</f>
        <v>64</v>
      </c>
      <c r="P488" s="26">
        <f>2024-Inventory[[#This Row],[EffYr]]</f>
        <v>49</v>
      </c>
      <c r="Q488" s="25">
        <v>1960</v>
      </c>
      <c r="R488" s="25">
        <v>1975</v>
      </c>
      <c r="S488" s="25">
        <v>1152</v>
      </c>
      <c r="T488" s="27"/>
      <c r="U488" s="25">
        <v>1152</v>
      </c>
      <c r="V488" s="25">
        <f>Inventory[[#This Row],[Bsmt]]-Inventory[[#This Row],[FnBsmt]]</f>
        <v>392</v>
      </c>
      <c r="W488" s="25">
        <v>760</v>
      </c>
      <c r="X488" s="27"/>
      <c r="Y488" s="27">
        <f>Inventory[[#This Row],[MainFn]]+Inventory[[#This Row],[UpprFn]]+Inventory[[#This Row],[FnBsmt]]+Inventory[[#This Row],[AddFn]]</f>
        <v>1912</v>
      </c>
      <c r="Z488" s="27">
        <v>2000</v>
      </c>
      <c r="AA488" s="25">
        <v>9</v>
      </c>
      <c r="AB488" s="27"/>
      <c r="AC488" s="27"/>
      <c r="AD488" s="32">
        <v>120</v>
      </c>
      <c r="AE488" s="27"/>
      <c r="AF488" s="27"/>
      <c r="AG488" s="27"/>
      <c r="AH488" s="27"/>
      <c r="AI488" s="25">
        <v>293314</v>
      </c>
      <c r="AJ488" s="25">
        <v>208253</v>
      </c>
      <c r="AK488" s="25">
        <v>11854</v>
      </c>
      <c r="AL488" s="25">
        <v>352900</v>
      </c>
      <c r="AM488" s="25">
        <v>67600</v>
      </c>
      <c r="AN488" s="25">
        <v>285300</v>
      </c>
      <c r="AO488" s="25">
        <v>0</v>
      </c>
      <c r="AP488" s="25">
        <f>Lookups!$B$56*0</f>
        <v>0</v>
      </c>
      <c r="AQ488" s="25">
        <f>Lookups!$B$56*1</f>
        <v>89850.625589999996</v>
      </c>
      <c r="AR488" s="25">
        <f>Lookups!$B$57*Inventory[[#This Row],[LnAcres]]</f>
        <v>-42641.098701210125</v>
      </c>
      <c r="AS488" s="25">
        <f>VLOOKUP(Inventory[[#This Row],[Qlty]],Lookups!$A$62:$E$75,2,FALSE)</f>
        <v>21557.329055999999</v>
      </c>
      <c r="AT488" s="25">
        <f>VLOOKUP(Inventory[[#This Row],[Cnd]],Lookups!$A$76:$E$84,2,FALSE)</f>
        <v>160472.20319</v>
      </c>
      <c r="AU488" s="25">
        <f>Inventory[[#This Row],[EffAge]]*Lookups!$B$85</f>
        <v>-10929.2344245</v>
      </c>
      <c r="AV488" s="25">
        <f>Inventory[[#This Row],[MainFn]]*Lookups!$B$86</f>
        <v>56918.787698304004</v>
      </c>
      <c r="AW488" s="25">
        <f>Inventory[[#This Row],[UpprFn]]*Lookups!$B$87</f>
        <v>0</v>
      </c>
      <c r="AX488" s="25">
        <f>Inventory[[#This Row],[AddFn]]*Lookups!$B$88</f>
        <v>0</v>
      </c>
      <c r="AY488" s="25">
        <f>Inventory[[#This Row],[Bsmt]]*Lookups!$B$89</f>
        <v>33502.343324543996</v>
      </c>
      <c r="AZ488" s="25">
        <f>Inventory[[#This Row],[Fixtures]]*Lookups!$B$90</f>
        <v>34128.198946800003</v>
      </c>
      <c r="BA488" s="25">
        <f>Inventory[[#This Row],[WdDeck]]*Lookups!$B$91</f>
        <v>3995.4618331200004</v>
      </c>
      <c r="BB488" s="25">
        <f>ROUND(Inventory[[#This Row],[25Det]],-2)</f>
        <v>11900</v>
      </c>
      <c r="BC488" s="25">
        <f>ROUND(SUM(Inventory[[#This Row],[Mdl Qlty]:[Mdl WdDeck]])+Inventory[[#This Row],[Mdl Res Intercept]],-2)</f>
        <v>299600</v>
      </c>
      <c r="BD488" s="25">
        <f>ROUND(Inventory[[#This Row],[Mdl Land Intercept]]+Inventory[[#This Row],[Mdl LnAcres]],-2)</f>
        <v>47200</v>
      </c>
      <c r="BE488" s="25">
        <f>Inventory[[#This Row],[Unadj Res Value]]+Inventory[[#This Row],[Unadj Det Value]]+Inventory[[#This Row],[Unadj Land Value]]</f>
        <v>358700</v>
      </c>
      <c r="BF488" s="36">
        <f>(Inventory[[#This Row],[Unadj Total Value]]-Inventory[[#This Row],[24Final]])/Inventory[[#This Row],[24Final]]</f>
        <v>1.6435250779257581E-2</v>
      </c>
      <c r="BG488" s="25">
        <f>VLOOKUP(Inventory[[#This Row],[Nbhd]],Lookups!$Q$2:$T$4,4,FALSE)</f>
        <v>0.99970000000000003</v>
      </c>
      <c r="BH488" s="25">
        <f>VLOOKUP(Inventory[[#This Row],[Qlty]],Lookups!$O$7:$R$21,4,FALSE)</f>
        <v>1.0067999999999999</v>
      </c>
      <c r="BI488" s="25">
        <f>VLOOKUP(Inventory[[#This Row],[Cnd]],Lookups!$T$7:$W$16,4,FALSE)</f>
        <v>0.99729999999999996</v>
      </c>
      <c r="BJ488" s="25">
        <f>VLOOKUP(Inventory[[#This Row],[LivArea Range]],Lookups!$T$25:$W$37,4,FALSE)</f>
        <v>1.0093000000000001</v>
      </c>
      <c r="BK488" s="25">
        <f>VLOOKUP(Inventory[[#This Row],[Decade]],Lookups!$O$25:$R$42,4,FALSE)</f>
        <v>1.0199</v>
      </c>
      <c r="BL488" s="25">
        <f>Inventory[[#This Row],[Nbhd Adj]]*0.95</f>
        <v>0.94971499999999998</v>
      </c>
      <c r="BM488" s="25">
        <f>Inventory[[#This Row],[Nbhd Adj]]*Inventory[[#This Row],[Quality Adj]]*Inventory[[#This Row],[Condition Adj]]*Inventory[[#This Row],[Living Area Adj]]*Inventory[[#This Row],[Decade Adj]]*0.95</f>
        <v>0.98161274461821502</v>
      </c>
      <c r="BN488" s="25">
        <f>ROUND(SUM(Inventory[[#This Row],[Mdl Qlty]:[Mdl WdDeck]])+Inventory[[#This Row],[Mdl Res Intercept]]*Inventory[[#This Row],[Res Adj ]],-2)</f>
        <v>299600</v>
      </c>
      <c r="BO488" s="25">
        <f>ROUND(Inventory[[#This Row],[25Det]]*Inventory[[#This Row],[Det/Nbhd Adj]],-2)</f>
        <v>11300</v>
      </c>
      <c r="BP488" s="25">
        <f>Inventory[[#This Row],[Adjusted Res]]+Inventory[[#This Row],[Adj Det ]]</f>
        <v>310900</v>
      </c>
      <c r="BQ488" s="25">
        <f>ROUND((Inventory[[#This Row],[Mdl Land Intercept]]+Inventory[[#This Row],[Mdl LnAcres]])*Inventory[[#This Row],[Det/Nbhd Adj]],-2)</f>
        <v>44800</v>
      </c>
      <c r="BR488" s="25">
        <f>Inventory[[#This Row],[Adjusted Impr Total]]+Inventory[[#This Row],[Adjusted Land Total]]</f>
        <v>355700</v>
      </c>
      <c r="BS488" s="36">
        <f>IFERROR((Inventory[[#This Row],[Adjusted Impr Total]]-Inventory[[#This Row],[24Bldg]])/Inventory[[#This Row],[24Bldg]],0)</f>
        <v>8.9730108657553459E-2</v>
      </c>
      <c r="BT488" s="36">
        <f>(Inventory[[#This Row],[Adjusted Land Total]]-Inventory[[#This Row],[24Lnd]])/Inventory[[#This Row],[24Lnd]]</f>
        <v>-0.33727810650887574</v>
      </c>
      <c r="BU488" s="36">
        <f>(Inventory[[#This Row],[Adjusted Total]]-Inventory[[#This Row],[24Final]])/Inventory[[#This Row],[24Final]]</f>
        <v>7.9342589968829699E-3</v>
      </c>
    </row>
    <row r="489" spans="1:73" x14ac:dyDescent="0.3">
      <c r="A489" s="25">
        <v>2025</v>
      </c>
      <c r="B489" s="26" t="s">
        <v>964</v>
      </c>
      <c r="C489" s="26">
        <f>LN(Inventory[[#This Row],[Acres]])</f>
        <v>-0.71334988787746478</v>
      </c>
      <c r="D489" s="25">
        <v>0.49</v>
      </c>
      <c r="E489" s="32">
        <v>21205</v>
      </c>
      <c r="F489" s="26" t="s">
        <v>537</v>
      </c>
      <c r="G489" s="26" t="s">
        <v>126</v>
      </c>
      <c r="H489" s="26" t="s">
        <v>349</v>
      </c>
      <c r="I489" s="26" t="s">
        <v>538</v>
      </c>
      <c r="J489" s="26" t="s">
        <v>539</v>
      </c>
      <c r="K489" s="26" t="s">
        <v>241</v>
      </c>
      <c r="L489" s="26" t="s">
        <v>351</v>
      </c>
      <c r="M489" s="26" t="s">
        <v>323</v>
      </c>
      <c r="N489" s="26">
        <v>70</v>
      </c>
      <c r="O489" s="26">
        <f>2024-Inventory[[#This Row],[YrBlt]]</f>
        <v>64</v>
      </c>
      <c r="P489" s="26">
        <f>2024-Inventory[[#This Row],[EffYr]]</f>
        <v>49</v>
      </c>
      <c r="Q489" s="25">
        <v>1960</v>
      </c>
      <c r="R489" s="25">
        <v>1975</v>
      </c>
      <c r="S489" s="25">
        <v>1537</v>
      </c>
      <c r="T489" s="31"/>
      <c r="U489" s="25">
        <v>686</v>
      </c>
      <c r="V489" s="32">
        <f>Inventory[[#This Row],[Bsmt]]-Inventory[[#This Row],[FnBsmt]]</f>
        <v>0</v>
      </c>
      <c r="W489" s="32">
        <v>686</v>
      </c>
      <c r="X489" s="27"/>
      <c r="Y489" s="27">
        <f>Inventory[[#This Row],[MainFn]]+Inventory[[#This Row],[UpprFn]]+Inventory[[#This Row],[FnBsmt]]+Inventory[[#This Row],[AddFn]]</f>
        <v>2223</v>
      </c>
      <c r="Z489" s="27">
        <v>2500</v>
      </c>
      <c r="AA489" s="25">
        <v>9</v>
      </c>
      <c r="AB489" s="27"/>
      <c r="AC489" s="27"/>
      <c r="AD489" s="32">
        <v>139</v>
      </c>
      <c r="AE489" s="27"/>
      <c r="AF489" s="27"/>
      <c r="AG489" s="27"/>
      <c r="AH489" s="27"/>
      <c r="AI489" s="25">
        <v>323631</v>
      </c>
      <c r="AJ489" s="25">
        <v>229778</v>
      </c>
      <c r="AK489" s="25">
        <v>4886</v>
      </c>
      <c r="AL489" s="25">
        <v>372500</v>
      </c>
      <c r="AM489" s="25">
        <v>89700</v>
      </c>
      <c r="AN489" s="25">
        <v>282800</v>
      </c>
      <c r="AO489" s="25">
        <v>0</v>
      </c>
      <c r="AP489" s="25">
        <f>Lookups!$B$56*0</f>
        <v>0</v>
      </c>
      <c r="AQ489" s="25">
        <f>Lookups!$B$56*1</f>
        <v>89850.625589999996</v>
      </c>
      <c r="AR489" s="25">
        <f>Lookups!$B$57*Inventory[[#This Row],[LnAcres]]</f>
        <v>-22580.816589646583</v>
      </c>
      <c r="AS489" s="25">
        <f>VLOOKUP(Inventory[[#This Row],[Qlty]],Lookups!$A$62:$E$75,2,FALSE)</f>
        <v>21557.329055999999</v>
      </c>
      <c r="AT489" s="25">
        <f>VLOOKUP(Inventory[[#This Row],[Cnd]],Lookups!$A$76:$E$84,2,FALSE)</f>
        <v>160472.20319</v>
      </c>
      <c r="AU489" s="25">
        <f>Inventory[[#This Row],[EffAge]]*Lookups!$B$85</f>
        <v>-10929.2344245</v>
      </c>
      <c r="AV489" s="25">
        <f>Inventory[[#This Row],[MainFn]]*Lookups!$B$86</f>
        <v>75941.125600949003</v>
      </c>
      <c r="AW489" s="25">
        <f>Inventory[[#This Row],[UpprFn]]*Lookups!$B$87</f>
        <v>0</v>
      </c>
      <c r="AX489" s="25">
        <f>Inventory[[#This Row],[AddFn]]*Lookups!$B$88</f>
        <v>0</v>
      </c>
      <c r="AY489" s="25">
        <f>Inventory[[#This Row],[Bsmt]]*Lookups!$B$89</f>
        <v>19950.180139442</v>
      </c>
      <c r="AZ489" s="25">
        <f>Inventory[[#This Row],[Fixtures]]*Lookups!$B$90</f>
        <v>34128.198946800003</v>
      </c>
      <c r="BA489" s="25">
        <f>Inventory[[#This Row],[WdDeck]]*Lookups!$B$91</f>
        <v>4628.0766233640006</v>
      </c>
      <c r="BB489" s="25">
        <f>ROUND(Inventory[[#This Row],[25Det]],-2)</f>
        <v>4900</v>
      </c>
      <c r="BC489" s="25">
        <f>ROUND(SUM(Inventory[[#This Row],[Mdl Qlty]:[Mdl WdDeck]])+Inventory[[#This Row],[Mdl Res Intercept]],-2)</f>
        <v>305700</v>
      </c>
      <c r="BD489" s="25">
        <f>ROUND(Inventory[[#This Row],[Mdl Land Intercept]]+Inventory[[#This Row],[Mdl LnAcres]],-2)</f>
        <v>67300</v>
      </c>
      <c r="BE489" s="25">
        <f>Inventory[[#This Row],[Unadj Res Value]]+Inventory[[#This Row],[Unadj Det Value]]+Inventory[[#This Row],[Unadj Land Value]]</f>
        <v>377900</v>
      </c>
      <c r="BF489" s="36">
        <f>(Inventory[[#This Row],[Unadj Total Value]]-Inventory[[#This Row],[24Final]])/Inventory[[#This Row],[24Final]]</f>
        <v>1.4496644295302013E-2</v>
      </c>
      <c r="BG489" s="25">
        <f>VLOOKUP(Inventory[[#This Row],[Nbhd]],Lookups!$Q$2:$T$4,4,FALSE)</f>
        <v>0.99970000000000003</v>
      </c>
      <c r="BH489" s="25">
        <f>VLOOKUP(Inventory[[#This Row],[Qlty]],Lookups!$O$7:$R$21,4,FALSE)</f>
        <v>1.0067999999999999</v>
      </c>
      <c r="BI489" s="25">
        <f>VLOOKUP(Inventory[[#This Row],[Cnd]],Lookups!$T$7:$W$16,4,FALSE)</f>
        <v>0.99729999999999996</v>
      </c>
      <c r="BJ489" s="25">
        <f>VLOOKUP(Inventory[[#This Row],[LivArea Range]],Lookups!$T$25:$W$37,4,FALSE)</f>
        <v>0.98919999999999997</v>
      </c>
      <c r="BK489" s="25">
        <f>VLOOKUP(Inventory[[#This Row],[Decade]],Lookups!$O$25:$R$42,4,FALSE)</f>
        <v>1.0199</v>
      </c>
      <c r="BL489" s="25">
        <f>Inventory[[#This Row],[Nbhd Adj]]*0.95</f>
        <v>0.94971499999999998</v>
      </c>
      <c r="BM489" s="25">
        <f>Inventory[[#This Row],[Nbhd Adj]]*Inventory[[#This Row],[Quality Adj]]*Inventory[[#This Row],[Condition Adj]]*Inventory[[#This Row],[Living Area Adj]]*Inventory[[#This Row],[Decade Adj]]*0.95</f>
        <v>0.9620641305621106</v>
      </c>
      <c r="BN489" s="25">
        <f>ROUND(SUM(Inventory[[#This Row],[Mdl Qlty]:[Mdl WdDeck]])+Inventory[[#This Row],[Mdl Res Intercept]]*Inventory[[#This Row],[Res Adj ]],-2)</f>
        <v>305700</v>
      </c>
      <c r="BO489" s="25">
        <f>ROUND(Inventory[[#This Row],[25Det]]*Inventory[[#This Row],[Det/Nbhd Adj]],-2)</f>
        <v>4600</v>
      </c>
      <c r="BP489" s="25">
        <f>Inventory[[#This Row],[Adjusted Res]]+Inventory[[#This Row],[Adj Det ]]</f>
        <v>310300</v>
      </c>
      <c r="BQ489" s="25">
        <f>ROUND((Inventory[[#This Row],[Mdl Land Intercept]]+Inventory[[#This Row],[Mdl LnAcres]])*Inventory[[#This Row],[Det/Nbhd Adj]],-2)</f>
        <v>63900</v>
      </c>
      <c r="BR489" s="25">
        <f>Inventory[[#This Row],[Adjusted Impr Total]]+Inventory[[#This Row],[Adjusted Land Total]]</f>
        <v>374200</v>
      </c>
      <c r="BS489" s="36">
        <f>IFERROR((Inventory[[#This Row],[Adjusted Impr Total]]-Inventory[[#This Row],[24Bldg]])/Inventory[[#This Row],[24Bldg]],0)</f>
        <v>9.7241867043847241E-2</v>
      </c>
      <c r="BT489" s="36">
        <f>(Inventory[[#This Row],[Adjusted Land Total]]-Inventory[[#This Row],[24Lnd]])/Inventory[[#This Row],[24Lnd]]</f>
        <v>-0.28762541806020064</v>
      </c>
      <c r="BU489" s="36">
        <f>(Inventory[[#This Row],[Adjusted Total]]-Inventory[[#This Row],[24Final]])/Inventory[[#This Row],[24Final]]</f>
        <v>4.5637583892617446E-3</v>
      </c>
    </row>
    <row r="490" spans="1:73" x14ac:dyDescent="0.3">
      <c r="A490" s="25">
        <v>2025</v>
      </c>
      <c r="B490" s="26" t="s">
        <v>1009</v>
      </c>
      <c r="C490" s="26">
        <f>LN(Inventory[[#This Row],[Acres]])</f>
        <v>-1.4271163556401458</v>
      </c>
      <c r="D490" s="25">
        <v>0.24</v>
      </c>
      <c r="E490" s="25">
        <v>10288</v>
      </c>
      <c r="F490" s="26" t="s">
        <v>537</v>
      </c>
      <c r="G490" s="26" t="s">
        <v>126</v>
      </c>
      <c r="H490" s="26" t="s">
        <v>349</v>
      </c>
      <c r="I490" s="26" t="s">
        <v>538</v>
      </c>
      <c r="J490" s="26" t="s">
        <v>539</v>
      </c>
      <c r="K490" s="26" t="s">
        <v>241</v>
      </c>
      <c r="L490" s="26" t="s">
        <v>95</v>
      </c>
      <c r="M490" s="26" t="s">
        <v>303</v>
      </c>
      <c r="N490" s="26">
        <v>70</v>
      </c>
      <c r="O490" s="26">
        <f>2024-Inventory[[#This Row],[YrBlt]]</f>
        <v>64</v>
      </c>
      <c r="P490" s="26">
        <f>2024-Inventory[[#This Row],[EffYr]]</f>
        <v>49</v>
      </c>
      <c r="Q490" s="25">
        <v>1960</v>
      </c>
      <c r="R490" s="25">
        <v>1975</v>
      </c>
      <c r="S490" s="25">
        <v>1721</v>
      </c>
      <c r="T490" s="31"/>
      <c r="U490" s="27"/>
      <c r="V490" s="27">
        <f>Inventory[[#This Row],[Bsmt]]-Inventory[[#This Row],[FnBsmt]]</f>
        <v>0</v>
      </c>
      <c r="W490" s="27"/>
      <c r="X490" s="27"/>
      <c r="Y490" s="27">
        <f>Inventory[[#This Row],[MainFn]]+Inventory[[#This Row],[UpprFn]]+Inventory[[#This Row],[FnBsmt]]+Inventory[[#This Row],[AddFn]]</f>
        <v>1721</v>
      </c>
      <c r="Z490" s="27">
        <v>2000</v>
      </c>
      <c r="AA490" s="25">
        <v>9</v>
      </c>
      <c r="AB490" s="32">
        <v>686</v>
      </c>
      <c r="AC490" s="27"/>
      <c r="AD490" s="32">
        <v>98</v>
      </c>
      <c r="AE490" s="27"/>
      <c r="AF490" s="27"/>
      <c r="AG490" s="27"/>
      <c r="AH490" s="27"/>
      <c r="AI490" s="25">
        <v>462071</v>
      </c>
      <c r="AJ490" s="25">
        <v>341933</v>
      </c>
      <c r="AK490" s="25">
        <v>0</v>
      </c>
      <c r="AL490" s="25">
        <v>424300</v>
      </c>
      <c r="AM490" s="25">
        <v>64800</v>
      </c>
      <c r="AN490" s="25">
        <v>359500</v>
      </c>
      <c r="AO490" s="25">
        <v>0</v>
      </c>
      <c r="AP490" s="25">
        <f>Lookups!$B$56*0</f>
        <v>0</v>
      </c>
      <c r="AQ490" s="25">
        <f>Lookups!$B$56*1</f>
        <v>89850.625589999996</v>
      </c>
      <c r="AR490" s="25">
        <f>Lookups!$B$57*Inventory[[#This Row],[LnAcres]]</f>
        <v>-45174.819855485119</v>
      </c>
      <c r="AS490" s="25">
        <f>VLOOKUP(Inventory[[#This Row],[Qlty]],Lookups!$A$62:$E$75,2,FALSE)</f>
        <v>74268.409664999999</v>
      </c>
      <c r="AT490" s="25">
        <f>VLOOKUP(Inventory[[#This Row],[Cnd]],Lookups!$A$76:$E$84,2,FALSE)</f>
        <v>197752.34721000001</v>
      </c>
      <c r="AU490" s="25">
        <f>Inventory[[#This Row],[EffAge]]*Lookups!$B$85</f>
        <v>-10929.2344245</v>
      </c>
      <c r="AV490" s="25">
        <f>Inventory[[#This Row],[MainFn]]*Lookups!$B$86</f>
        <v>85032.320858317005</v>
      </c>
      <c r="AW490" s="25">
        <f>Inventory[[#This Row],[UpprFn]]*Lookups!$B$87</f>
        <v>0</v>
      </c>
      <c r="AX490" s="25">
        <f>Inventory[[#This Row],[AddFn]]*Lookups!$B$88</f>
        <v>0</v>
      </c>
      <c r="AY490" s="25">
        <f>Inventory[[#This Row],[Bsmt]]*Lookups!$B$89</f>
        <v>0</v>
      </c>
      <c r="AZ490" s="25">
        <f>Inventory[[#This Row],[Fixtures]]*Lookups!$B$90</f>
        <v>34128.198946800003</v>
      </c>
      <c r="BA490" s="25">
        <f>Inventory[[#This Row],[WdDeck]]*Lookups!$B$91</f>
        <v>3262.9604970480004</v>
      </c>
      <c r="BB490" s="25">
        <f>ROUND(Inventory[[#This Row],[25Det]],-2)</f>
        <v>0</v>
      </c>
      <c r="BC490" s="25">
        <f>ROUND(SUM(Inventory[[#This Row],[Mdl Qlty]:[Mdl WdDeck]])+Inventory[[#This Row],[Mdl Res Intercept]],-2)</f>
        <v>383500</v>
      </c>
      <c r="BD490" s="25">
        <f>ROUND(Inventory[[#This Row],[Mdl Land Intercept]]+Inventory[[#This Row],[Mdl LnAcres]],-2)</f>
        <v>44700</v>
      </c>
      <c r="BE490" s="25">
        <f>Inventory[[#This Row],[Unadj Res Value]]+Inventory[[#This Row],[Unadj Det Value]]+Inventory[[#This Row],[Unadj Land Value]]</f>
        <v>428200</v>
      </c>
      <c r="BF490" s="36">
        <f>(Inventory[[#This Row],[Unadj Total Value]]-Inventory[[#This Row],[24Final]])/Inventory[[#This Row],[24Final]]</f>
        <v>9.1916097101107704E-3</v>
      </c>
      <c r="BG490" s="25">
        <f>VLOOKUP(Inventory[[#This Row],[Nbhd]],Lookups!$Q$2:$T$4,4,FALSE)</f>
        <v>0.99970000000000003</v>
      </c>
      <c r="BH490" s="25">
        <f>VLOOKUP(Inventory[[#This Row],[Qlty]],Lookups!$O$7:$R$21,4,FALSE)</f>
        <v>0.98380000000000001</v>
      </c>
      <c r="BI490" s="25">
        <f>VLOOKUP(Inventory[[#This Row],[Cnd]],Lookups!$T$7:$W$16,4,FALSE)</f>
        <v>0.99650000000000005</v>
      </c>
      <c r="BJ490" s="25">
        <f>VLOOKUP(Inventory[[#This Row],[LivArea Range]],Lookups!$T$25:$W$37,4,FALSE)</f>
        <v>1.0093000000000001</v>
      </c>
      <c r="BK490" s="25">
        <f>VLOOKUP(Inventory[[#This Row],[Decade]],Lookups!$O$25:$R$42,4,FALSE)</f>
        <v>1.0199</v>
      </c>
      <c r="BL490" s="25">
        <f>Inventory[[#This Row],[Nbhd Adj]]*0.95</f>
        <v>0.94971499999999998</v>
      </c>
      <c r="BM490" s="25">
        <f>Inventory[[#This Row],[Nbhd Adj]]*Inventory[[#This Row],[Quality Adj]]*Inventory[[#This Row],[Condition Adj]]*Inventory[[#This Row],[Living Area Adj]]*Inventory[[#This Row],[Decade Adj]]*0.95</f>
        <v>0.95841871084492314</v>
      </c>
      <c r="BN490" s="25">
        <f>ROUND(SUM(Inventory[[#This Row],[Mdl Qlty]:[Mdl WdDeck]])+Inventory[[#This Row],[Mdl Res Intercept]]*Inventory[[#This Row],[Res Adj ]],-2)</f>
        <v>383500</v>
      </c>
      <c r="BO490" s="25">
        <f>ROUND(Inventory[[#This Row],[25Det]]*Inventory[[#This Row],[Det/Nbhd Adj]],-2)</f>
        <v>0</v>
      </c>
      <c r="BP490" s="25">
        <f>Inventory[[#This Row],[Adjusted Res]]+Inventory[[#This Row],[Adj Det ]]</f>
        <v>383500</v>
      </c>
      <c r="BQ490" s="25">
        <f>ROUND((Inventory[[#This Row],[Mdl Land Intercept]]+Inventory[[#This Row],[Mdl LnAcres]])*Inventory[[#This Row],[Det/Nbhd Adj]],-2)</f>
        <v>42400</v>
      </c>
      <c r="BR490" s="25">
        <f>Inventory[[#This Row],[Adjusted Impr Total]]+Inventory[[#This Row],[Adjusted Land Total]]</f>
        <v>425900</v>
      </c>
      <c r="BS490" s="36">
        <f>IFERROR((Inventory[[#This Row],[Adjusted Impr Total]]-Inventory[[#This Row],[24Bldg]])/Inventory[[#This Row],[24Bldg]],0)</f>
        <v>6.6759388038942977E-2</v>
      </c>
      <c r="BT490" s="36">
        <f>(Inventory[[#This Row],[Adjusted Land Total]]-Inventory[[#This Row],[24Lnd]])/Inventory[[#This Row],[24Lnd]]</f>
        <v>-0.34567901234567899</v>
      </c>
      <c r="BU490" s="36">
        <f>(Inventory[[#This Row],[Adjusted Total]]-Inventory[[#This Row],[24Final]])/Inventory[[#This Row],[24Final]]</f>
        <v>3.7709168041480086E-3</v>
      </c>
    </row>
    <row r="491" spans="1:73" x14ac:dyDescent="0.3">
      <c r="A491" s="25">
        <v>2025</v>
      </c>
      <c r="B491" s="26" t="s">
        <v>2799</v>
      </c>
      <c r="C491" s="26">
        <f>LN(Inventory[[#This Row],[Acres]])</f>
        <v>-1.8325814637483102</v>
      </c>
      <c r="D491" s="25">
        <v>0.16</v>
      </c>
      <c r="E491" s="25">
        <v>7156</v>
      </c>
      <c r="F491" s="26" t="s">
        <v>537</v>
      </c>
      <c r="G491" s="26" t="s">
        <v>126</v>
      </c>
      <c r="H491" s="26" t="s">
        <v>349</v>
      </c>
      <c r="I491" s="26" t="s">
        <v>538</v>
      </c>
      <c r="J491" s="26" t="s">
        <v>539</v>
      </c>
      <c r="K491" s="26" t="s">
        <v>241</v>
      </c>
      <c r="L491" s="26" t="s">
        <v>351</v>
      </c>
      <c r="M491" s="26" t="s">
        <v>206</v>
      </c>
      <c r="N491" s="26">
        <v>70</v>
      </c>
      <c r="O491" s="26">
        <f>2024-Inventory[[#This Row],[YrBlt]]</f>
        <v>64</v>
      </c>
      <c r="P491" s="26">
        <f>2024-Inventory[[#This Row],[EffYr]]</f>
        <v>49</v>
      </c>
      <c r="Q491" s="25">
        <v>1960</v>
      </c>
      <c r="R491" s="25">
        <v>1975</v>
      </c>
      <c r="S491" s="25">
        <v>1250</v>
      </c>
      <c r="T491" s="27"/>
      <c r="U491" s="25">
        <v>1022</v>
      </c>
      <c r="V491" s="25">
        <f>Inventory[[#This Row],[Bsmt]]-Inventory[[#This Row],[FnBsmt]]</f>
        <v>0</v>
      </c>
      <c r="W491" s="25">
        <v>1022</v>
      </c>
      <c r="X491" s="27"/>
      <c r="Y491" s="27">
        <f>Inventory[[#This Row],[MainFn]]+Inventory[[#This Row],[UpprFn]]+Inventory[[#This Row],[FnBsmt]]+Inventory[[#This Row],[AddFn]]</f>
        <v>2272</v>
      </c>
      <c r="Z491" s="27">
        <v>2500</v>
      </c>
      <c r="AA491" s="25">
        <v>11</v>
      </c>
      <c r="AB491" s="32">
        <v>288</v>
      </c>
      <c r="AC491" s="27"/>
      <c r="AD491" s="27"/>
      <c r="AE491" s="27"/>
      <c r="AF491" s="27"/>
      <c r="AG491" s="27"/>
      <c r="AH491" s="27"/>
      <c r="AI491" s="25">
        <v>317693</v>
      </c>
      <c r="AJ491" s="25">
        <v>222385</v>
      </c>
      <c r="AK491" s="25">
        <v>0</v>
      </c>
      <c r="AL491" s="25">
        <v>306900</v>
      </c>
      <c r="AM491" s="25">
        <v>50600</v>
      </c>
      <c r="AN491" s="25">
        <v>256300</v>
      </c>
      <c r="AO491" s="25">
        <v>0</v>
      </c>
      <c r="AP491" s="25">
        <f>Lookups!$B$56*0</f>
        <v>0</v>
      </c>
      <c r="AQ491" s="25">
        <f>Lookups!$B$56*1</f>
        <v>89850.625589999996</v>
      </c>
      <c r="AR491" s="25">
        <f>Lookups!$B$57*Inventory[[#This Row],[LnAcres]]</f>
        <v>-58009.662049032086</v>
      </c>
      <c r="AS491" s="25">
        <f>VLOOKUP(Inventory[[#This Row],[Qlty]],Lookups!$A$62:$E$75,2,FALSE)</f>
        <v>21557.329055999999</v>
      </c>
      <c r="AT491" s="25">
        <f>VLOOKUP(Inventory[[#This Row],[Cnd]],Lookups!$A$76:$E$84,2,FALSE)</f>
        <v>133714.53821</v>
      </c>
      <c r="AU491" s="25">
        <f>Inventory[[#This Row],[EffAge]]*Lookups!$B$85</f>
        <v>-10929.2344245</v>
      </c>
      <c r="AV491" s="25">
        <f>Inventory[[#This Row],[MainFn]]*Lookups!$B$86</f>
        <v>61760.837346250002</v>
      </c>
      <c r="AW491" s="25">
        <f>Inventory[[#This Row],[UpprFn]]*Lookups!$B$87</f>
        <v>0</v>
      </c>
      <c r="AX491" s="25">
        <f>Inventory[[#This Row],[AddFn]]*Lookups!$B$88</f>
        <v>0</v>
      </c>
      <c r="AY491" s="25">
        <f>Inventory[[#This Row],[Bsmt]]*Lookups!$B$89</f>
        <v>29721.696942433999</v>
      </c>
      <c r="AZ491" s="25">
        <f>Inventory[[#This Row],[Fixtures]]*Lookups!$B$90</f>
        <v>41712.243157199999</v>
      </c>
      <c r="BA491" s="25">
        <f>Inventory[[#This Row],[WdDeck]]*Lookups!$B$91</f>
        <v>0</v>
      </c>
      <c r="BB491" s="25">
        <f>ROUND(Inventory[[#This Row],[25Det]],-2)</f>
        <v>0</v>
      </c>
      <c r="BC491" s="25">
        <f>ROUND(SUM(Inventory[[#This Row],[Mdl Qlty]:[Mdl WdDeck]])+Inventory[[#This Row],[Mdl Res Intercept]],-2)</f>
        <v>277500</v>
      </c>
      <c r="BD491" s="25">
        <f>ROUND(Inventory[[#This Row],[Mdl Land Intercept]]+Inventory[[#This Row],[Mdl LnAcres]],-2)</f>
        <v>31800</v>
      </c>
      <c r="BE491" s="25">
        <f>Inventory[[#This Row],[Unadj Res Value]]+Inventory[[#This Row],[Unadj Det Value]]+Inventory[[#This Row],[Unadj Land Value]]</f>
        <v>309300</v>
      </c>
      <c r="BF491" s="36">
        <f>(Inventory[[#This Row],[Unadj Total Value]]-Inventory[[#This Row],[24Final]])/Inventory[[#This Row],[24Final]]</f>
        <v>7.8201368523949169E-3</v>
      </c>
      <c r="BG491" s="25">
        <f>VLOOKUP(Inventory[[#This Row],[Nbhd]],Lookups!$Q$2:$T$4,4,FALSE)</f>
        <v>0.99970000000000003</v>
      </c>
      <c r="BH491" s="25">
        <f>VLOOKUP(Inventory[[#This Row],[Qlty]],Lookups!$O$7:$R$21,4,FALSE)</f>
        <v>1.0067999999999999</v>
      </c>
      <c r="BI491" s="25">
        <f>VLOOKUP(Inventory[[#This Row],[Cnd]],Lookups!$T$7:$W$16,4,FALSE)</f>
        <v>0.99329999999999996</v>
      </c>
      <c r="BJ491" s="25">
        <f>VLOOKUP(Inventory[[#This Row],[LivArea Range]],Lookups!$T$25:$W$37,4,FALSE)</f>
        <v>0.98919999999999997</v>
      </c>
      <c r="BK491" s="25">
        <f>VLOOKUP(Inventory[[#This Row],[Decade]],Lookups!$O$25:$R$42,4,FALSE)</f>
        <v>1.0199</v>
      </c>
      <c r="BL491" s="25">
        <f>Inventory[[#This Row],[Nbhd Adj]]*0.95</f>
        <v>0.94971499999999998</v>
      </c>
      <c r="BM491" s="25">
        <f>Inventory[[#This Row],[Nbhd Adj]]*Inventory[[#This Row],[Quality Adj]]*Inventory[[#This Row],[Condition Adj]]*Inventory[[#This Row],[Living Area Adj]]*Inventory[[#This Row],[Decade Adj]]*0.95</f>
        <v>0.95820545561751158</v>
      </c>
      <c r="BN491" s="25">
        <f>ROUND(SUM(Inventory[[#This Row],[Mdl Qlty]:[Mdl WdDeck]])+Inventory[[#This Row],[Mdl Res Intercept]]*Inventory[[#This Row],[Res Adj ]],-2)</f>
        <v>277500</v>
      </c>
      <c r="BO491" s="25">
        <f>ROUND(Inventory[[#This Row],[25Det]]*Inventory[[#This Row],[Det/Nbhd Adj]],-2)</f>
        <v>0</v>
      </c>
      <c r="BP491" s="25">
        <f>Inventory[[#This Row],[Adjusted Res]]+Inventory[[#This Row],[Adj Det ]]</f>
        <v>277500</v>
      </c>
      <c r="BQ491" s="25">
        <f>ROUND((Inventory[[#This Row],[Mdl Land Intercept]]+Inventory[[#This Row],[Mdl LnAcres]])*Inventory[[#This Row],[Det/Nbhd Adj]],-2)</f>
        <v>30200</v>
      </c>
      <c r="BR491" s="25">
        <f>Inventory[[#This Row],[Adjusted Impr Total]]+Inventory[[#This Row],[Adjusted Land Total]]</f>
        <v>307700</v>
      </c>
      <c r="BS491" s="36">
        <f>IFERROR((Inventory[[#This Row],[Adjusted Impr Total]]-Inventory[[#This Row],[24Bldg]])/Inventory[[#This Row],[24Bldg]],0)</f>
        <v>8.2715567694108469E-2</v>
      </c>
      <c r="BT491" s="36">
        <f>(Inventory[[#This Row],[Adjusted Land Total]]-Inventory[[#This Row],[24Lnd]])/Inventory[[#This Row],[24Lnd]]</f>
        <v>-0.40316205533596838</v>
      </c>
      <c r="BU491" s="36">
        <f>(Inventory[[#This Row],[Adjusted Total]]-Inventory[[#This Row],[24Final]])/Inventory[[#This Row],[24Final]]</f>
        <v>2.606712284131639E-3</v>
      </c>
    </row>
    <row r="492" spans="1:73" x14ac:dyDescent="0.3">
      <c r="A492" s="25">
        <v>2025</v>
      </c>
      <c r="B492" s="26" t="s">
        <v>2291</v>
      </c>
      <c r="C492" s="26">
        <f>LN(Inventory[[#This Row],[Acres]])</f>
        <v>-1.5141277326297755</v>
      </c>
      <c r="D492" s="25">
        <v>0.22</v>
      </c>
      <c r="E492" s="25">
        <v>9732</v>
      </c>
      <c r="F492" s="26" t="s">
        <v>537</v>
      </c>
      <c r="G492" s="26" t="s">
        <v>126</v>
      </c>
      <c r="H492" s="26" t="s">
        <v>349</v>
      </c>
      <c r="I492" s="26" t="s">
        <v>538</v>
      </c>
      <c r="J492" s="26" t="s">
        <v>539</v>
      </c>
      <c r="K492" s="26" t="s">
        <v>241</v>
      </c>
      <c r="L492" s="26" t="s">
        <v>148</v>
      </c>
      <c r="M492" s="26" t="s">
        <v>323</v>
      </c>
      <c r="N492" s="26">
        <v>70</v>
      </c>
      <c r="O492" s="26">
        <f>2024-Inventory[[#This Row],[YrBlt]]</f>
        <v>64</v>
      </c>
      <c r="P492" s="26">
        <f>2024-Inventory[[#This Row],[EffYr]]</f>
        <v>49</v>
      </c>
      <c r="Q492" s="25">
        <v>1960</v>
      </c>
      <c r="R492" s="25">
        <v>1975</v>
      </c>
      <c r="S492" s="25">
        <v>1316</v>
      </c>
      <c r="T492" s="31"/>
      <c r="U492" s="25">
        <v>1316</v>
      </c>
      <c r="V492" s="32">
        <f>Inventory[[#This Row],[Bsmt]]-Inventory[[#This Row],[FnBsmt]]</f>
        <v>78</v>
      </c>
      <c r="W492" s="32">
        <v>1238</v>
      </c>
      <c r="X492" s="27"/>
      <c r="Y492" s="27">
        <f>Inventory[[#This Row],[MainFn]]+Inventory[[#This Row],[UpprFn]]+Inventory[[#This Row],[FnBsmt]]+Inventory[[#This Row],[AddFn]]</f>
        <v>2554</v>
      </c>
      <c r="Z492" s="27">
        <v>3000</v>
      </c>
      <c r="AA492" s="25">
        <v>10</v>
      </c>
      <c r="AB492" s="25">
        <v>360</v>
      </c>
      <c r="AC492" s="27"/>
      <c r="AD492" s="27"/>
      <c r="AE492" s="27"/>
      <c r="AF492" s="27"/>
      <c r="AG492" s="27"/>
      <c r="AH492" s="27"/>
      <c r="AI492" s="25">
        <v>493616</v>
      </c>
      <c r="AJ492" s="25">
        <v>350467</v>
      </c>
      <c r="AK492" s="25">
        <v>0</v>
      </c>
      <c r="AL492" s="25">
        <v>373800</v>
      </c>
      <c r="AM492" s="25">
        <v>61700</v>
      </c>
      <c r="AN492" s="25">
        <v>312100</v>
      </c>
      <c r="AO492" s="25">
        <v>0</v>
      </c>
      <c r="AP492" s="25">
        <f>Lookups!$B$56*0</f>
        <v>0</v>
      </c>
      <c r="AQ492" s="25">
        <f>Lookups!$B$56*1</f>
        <v>89850.625589999996</v>
      </c>
      <c r="AR492" s="25">
        <f>Lookups!$B$57*Inventory[[#This Row],[LnAcres]]</f>
        <v>-47929.131559187132</v>
      </c>
      <c r="AS492" s="25">
        <f>VLOOKUP(Inventory[[#This Row],[Qlty]],Lookups!$A$62:$E$75,2,FALSE)</f>
        <v>44121.038090000002</v>
      </c>
      <c r="AT492" s="25">
        <f>VLOOKUP(Inventory[[#This Row],[Cnd]],Lookups!$A$76:$E$84,2,FALSE)</f>
        <v>160472.20319</v>
      </c>
      <c r="AU492" s="25">
        <f>Inventory[[#This Row],[EffAge]]*Lookups!$B$85</f>
        <v>-10929.2344245</v>
      </c>
      <c r="AV492" s="25">
        <f>Inventory[[#This Row],[MainFn]]*Lookups!$B$86</f>
        <v>65021.809558132001</v>
      </c>
      <c r="AW492" s="25">
        <f>Inventory[[#This Row],[UpprFn]]*Lookups!$B$87</f>
        <v>0</v>
      </c>
      <c r="AX492" s="25">
        <f>Inventory[[#This Row],[AddFn]]*Lookups!$B$88</f>
        <v>0</v>
      </c>
      <c r="AY492" s="25">
        <f>Inventory[[#This Row],[Bsmt]]*Lookups!$B$89</f>
        <v>38271.774145051997</v>
      </c>
      <c r="AZ492" s="25">
        <f>Inventory[[#This Row],[Fixtures]]*Lookups!$B$90</f>
        <v>37920.221052000001</v>
      </c>
      <c r="BA492" s="25">
        <f>Inventory[[#This Row],[WdDeck]]*Lookups!$B$91</f>
        <v>0</v>
      </c>
      <c r="BB492" s="25">
        <f>ROUND(Inventory[[#This Row],[25Det]],-2)</f>
        <v>0</v>
      </c>
      <c r="BC492" s="25">
        <f>ROUND(SUM(Inventory[[#This Row],[Mdl Qlty]:[Mdl WdDeck]])+Inventory[[#This Row],[Mdl Res Intercept]],-2)</f>
        <v>334900</v>
      </c>
      <c r="BD492" s="25">
        <f>ROUND(Inventory[[#This Row],[Mdl Land Intercept]]+Inventory[[#This Row],[Mdl LnAcres]],-2)</f>
        <v>41900</v>
      </c>
      <c r="BE492" s="25">
        <f>Inventory[[#This Row],[Unadj Res Value]]+Inventory[[#This Row],[Unadj Det Value]]+Inventory[[#This Row],[Unadj Land Value]]</f>
        <v>376800</v>
      </c>
      <c r="BF492" s="36">
        <f>(Inventory[[#This Row],[Unadj Total Value]]-Inventory[[#This Row],[24Final]])/Inventory[[#This Row],[24Final]]</f>
        <v>8.0256821829855531E-3</v>
      </c>
      <c r="BG492" s="25">
        <f>VLOOKUP(Inventory[[#This Row],[Nbhd]],Lookups!$Q$2:$T$4,4,FALSE)</f>
        <v>0.99970000000000003</v>
      </c>
      <c r="BH492" s="25">
        <f>VLOOKUP(Inventory[[#This Row],[Qlty]],Lookups!$O$7:$R$21,4,FALSE)</f>
        <v>0.98050000000000004</v>
      </c>
      <c r="BI492" s="25">
        <f>VLOOKUP(Inventory[[#This Row],[Cnd]],Lookups!$T$7:$W$16,4,FALSE)</f>
        <v>0.99729999999999996</v>
      </c>
      <c r="BJ492" s="25">
        <f>VLOOKUP(Inventory[[#This Row],[LivArea Range]],Lookups!$T$25:$W$37,4,FALSE)</f>
        <v>0.96179999999999999</v>
      </c>
      <c r="BK492" s="25">
        <f>VLOOKUP(Inventory[[#This Row],[Decade]],Lookups!$O$25:$R$42,4,FALSE)</f>
        <v>1.0199</v>
      </c>
      <c r="BL492" s="25">
        <f>Inventory[[#This Row],[Nbhd Adj]]*0.95</f>
        <v>0.94971499999999998</v>
      </c>
      <c r="BM492" s="25">
        <f>Inventory[[#This Row],[Nbhd Adj]]*Inventory[[#This Row],[Quality Adj]]*Inventory[[#This Row],[Condition Adj]]*Inventory[[#This Row],[Living Area Adj]]*Inventory[[#This Row],[Decade Adj]]*0.95</f>
        <v>0.91098049619194077</v>
      </c>
      <c r="BN492" s="25">
        <f>ROUND(SUM(Inventory[[#This Row],[Mdl Qlty]:[Mdl WdDeck]])+Inventory[[#This Row],[Mdl Res Intercept]]*Inventory[[#This Row],[Res Adj ]],-2)</f>
        <v>334900</v>
      </c>
      <c r="BO492" s="25">
        <f>ROUND(Inventory[[#This Row],[25Det]]*Inventory[[#This Row],[Det/Nbhd Adj]],-2)</f>
        <v>0</v>
      </c>
      <c r="BP492" s="25">
        <f>Inventory[[#This Row],[Adjusted Res]]+Inventory[[#This Row],[Adj Det ]]</f>
        <v>334900</v>
      </c>
      <c r="BQ492" s="25">
        <f>ROUND((Inventory[[#This Row],[Mdl Land Intercept]]+Inventory[[#This Row],[Mdl LnAcres]])*Inventory[[#This Row],[Det/Nbhd Adj]],-2)</f>
        <v>39800</v>
      </c>
      <c r="BR492" s="25">
        <f>Inventory[[#This Row],[Adjusted Impr Total]]+Inventory[[#This Row],[Adjusted Land Total]]</f>
        <v>374700</v>
      </c>
      <c r="BS492" s="36">
        <f>IFERROR((Inventory[[#This Row],[Adjusted Impr Total]]-Inventory[[#This Row],[24Bldg]])/Inventory[[#This Row],[24Bldg]],0)</f>
        <v>7.3053508490868307E-2</v>
      </c>
      <c r="BT492" s="36">
        <f>(Inventory[[#This Row],[Adjusted Land Total]]-Inventory[[#This Row],[24Lnd]])/Inventory[[#This Row],[24Lnd]]</f>
        <v>-0.35494327390599678</v>
      </c>
      <c r="BU492" s="36">
        <f>(Inventory[[#This Row],[Adjusted Total]]-Inventory[[#This Row],[24Final]])/Inventory[[#This Row],[24Final]]</f>
        <v>2.407704654895666E-3</v>
      </c>
    </row>
    <row r="493" spans="1:73" x14ac:dyDescent="0.3">
      <c r="A493" s="25">
        <v>2025</v>
      </c>
      <c r="B493" s="26" t="s">
        <v>1281</v>
      </c>
      <c r="C493" s="26">
        <f>LN(Inventory[[#This Row],[Acres]])</f>
        <v>-1.7147984280919266</v>
      </c>
      <c r="D493" s="25">
        <v>0.18</v>
      </c>
      <c r="E493" s="31"/>
      <c r="F493" s="26" t="s">
        <v>537</v>
      </c>
      <c r="G493" s="26" t="s">
        <v>126</v>
      </c>
      <c r="H493" s="26" t="s">
        <v>349</v>
      </c>
      <c r="I493" s="26" t="s">
        <v>538</v>
      </c>
      <c r="J493" s="26" t="s">
        <v>539</v>
      </c>
      <c r="K493" s="26" t="s">
        <v>241</v>
      </c>
      <c r="L493" s="26" t="s">
        <v>148</v>
      </c>
      <c r="M493" s="26" t="s">
        <v>323</v>
      </c>
      <c r="N493" s="26">
        <v>70</v>
      </c>
      <c r="O493" s="26">
        <f>2024-Inventory[[#This Row],[YrBlt]]</f>
        <v>64</v>
      </c>
      <c r="P493" s="26">
        <f>2024-Inventory[[#This Row],[EffYr]]</f>
        <v>49</v>
      </c>
      <c r="Q493" s="25">
        <v>1960</v>
      </c>
      <c r="R493" s="25">
        <v>1975</v>
      </c>
      <c r="S493" s="25">
        <v>1547</v>
      </c>
      <c r="T493" s="31"/>
      <c r="U493" s="25">
        <v>1188</v>
      </c>
      <c r="V493" s="32">
        <f>Inventory[[#This Row],[Bsmt]]-Inventory[[#This Row],[FnBsmt]]</f>
        <v>0</v>
      </c>
      <c r="W493" s="32">
        <v>1188</v>
      </c>
      <c r="X493" s="27"/>
      <c r="Y493" s="27">
        <f>Inventory[[#This Row],[MainFn]]+Inventory[[#This Row],[UpprFn]]+Inventory[[#This Row],[FnBsmt]]+Inventory[[#This Row],[AddFn]]</f>
        <v>2735</v>
      </c>
      <c r="Z493" s="27">
        <v>3000</v>
      </c>
      <c r="AA493" s="25">
        <v>8</v>
      </c>
      <c r="AB493" s="27"/>
      <c r="AC493" s="27"/>
      <c r="AD493" s="27"/>
      <c r="AE493" s="27"/>
      <c r="AF493" s="27"/>
      <c r="AG493" s="27"/>
      <c r="AH493" s="27"/>
      <c r="AI493" s="25">
        <v>531357</v>
      </c>
      <c r="AJ493" s="25">
        <v>377263</v>
      </c>
      <c r="AK493" s="25">
        <v>27696</v>
      </c>
      <c r="AL493" s="25">
        <v>395400</v>
      </c>
      <c r="AM493" s="25">
        <v>54700</v>
      </c>
      <c r="AN493" s="25">
        <v>340700</v>
      </c>
      <c r="AO493" s="25">
        <v>0</v>
      </c>
      <c r="AP493" s="25">
        <f>Lookups!$B$56*0</f>
        <v>0</v>
      </c>
      <c r="AQ493" s="25">
        <f>Lookups!$B$56*1</f>
        <v>89850.625589999996</v>
      </c>
      <c r="AR493" s="25">
        <f>Lookups!$B$57*Inventory[[#This Row],[LnAcres]]</f>
        <v>-54281.285314520763</v>
      </c>
      <c r="AS493" s="25">
        <f>VLOOKUP(Inventory[[#This Row],[Qlty]],Lookups!$A$62:$E$75,2,FALSE)</f>
        <v>44121.038090000002</v>
      </c>
      <c r="AT493" s="25">
        <f>VLOOKUP(Inventory[[#This Row],[Cnd]],Lookups!$A$76:$E$84,2,FALSE)</f>
        <v>160472.20319</v>
      </c>
      <c r="AU493" s="25">
        <f>Inventory[[#This Row],[EffAge]]*Lookups!$B$85</f>
        <v>-10929.2344245</v>
      </c>
      <c r="AV493" s="25">
        <f>Inventory[[#This Row],[MainFn]]*Lookups!$B$86</f>
        <v>76435.212299719002</v>
      </c>
      <c r="AW493" s="25">
        <f>Inventory[[#This Row],[UpprFn]]*Lookups!$B$87</f>
        <v>0</v>
      </c>
      <c r="AX493" s="25">
        <f>Inventory[[#This Row],[AddFn]]*Lookups!$B$88</f>
        <v>0</v>
      </c>
      <c r="AY493" s="25">
        <f>Inventory[[#This Row],[Bsmt]]*Lookups!$B$89</f>
        <v>34549.291553436</v>
      </c>
      <c r="AZ493" s="25">
        <f>Inventory[[#This Row],[Fixtures]]*Lookups!$B$90</f>
        <v>30336.176841600001</v>
      </c>
      <c r="BA493" s="25">
        <f>Inventory[[#This Row],[WdDeck]]*Lookups!$B$91</f>
        <v>0</v>
      </c>
      <c r="BB493" s="25">
        <f>ROUND(Inventory[[#This Row],[25Det]],-2)</f>
        <v>27700</v>
      </c>
      <c r="BC493" s="25">
        <f>ROUND(SUM(Inventory[[#This Row],[Mdl Qlty]:[Mdl WdDeck]])+Inventory[[#This Row],[Mdl Res Intercept]],-2)</f>
        <v>335000</v>
      </c>
      <c r="BD493" s="25">
        <f>ROUND(Inventory[[#This Row],[Mdl Land Intercept]]+Inventory[[#This Row],[Mdl LnAcres]],-2)</f>
        <v>35600</v>
      </c>
      <c r="BE493" s="25">
        <f>Inventory[[#This Row],[Unadj Res Value]]+Inventory[[#This Row],[Unadj Det Value]]+Inventory[[#This Row],[Unadj Land Value]]</f>
        <v>398300</v>
      </c>
      <c r="BF493" s="36">
        <f>(Inventory[[#This Row],[Unadj Total Value]]-Inventory[[#This Row],[24Final]])/Inventory[[#This Row],[24Final]]</f>
        <v>7.3343449671219021E-3</v>
      </c>
      <c r="BG493" s="25">
        <f>VLOOKUP(Inventory[[#This Row],[Nbhd]],Lookups!$Q$2:$T$4,4,FALSE)</f>
        <v>0.99970000000000003</v>
      </c>
      <c r="BH493" s="25">
        <f>VLOOKUP(Inventory[[#This Row],[Qlty]],Lookups!$O$7:$R$21,4,FALSE)</f>
        <v>0.98050000000000004</v>
      </c>
      <c r="BI493" s="25">
        <f>VLOOKUP(Inventory[[#This Row],[Cnd]],Lookups!$T$7:$W$16,4,FALSE)</f>
        <v>0.99729999999999996</v>
      </c>
      <c r="BJ493" s="25">
        <f>VLOOKUP(Inventory[[#This Row],[LivArea Range]],Lookups!$T$25:$W$37,4,FALSE)</f>
        <v>0.96179999999999999</v>
      </c>
      <c r="BK493" s="25">
        <f>VLOOKUP(Inventory[[#This Row],[Decade]],Lookups!$O$25:$R$42,4,FALSE)</f>
        <v>1.0199</v>
      </c>
      <c r="BL493" s="25">
        <f>Inventory[[#This Row],[Nbhd Adj]]*0.95</f>
        <v>0.94971499999999998</v>
      </c>
      <c r="BM493" s="25">
        <f>Inventory[[#This Row],[Nbhd Adj]]*Inventory[[#This Row],[Quality Adj]]*Inventory[[#This Row],[Condition Adj]]*Inventory[[#This Row],[Living Area Adj]]*Inventory[[#This Row],[Decade Adj]]*0.95</f>
        <v>0.91098049619194077</v>
      </c>
      <c r="BN493" s="25">
        <f>ROUND(SUM(Inventory[[#This Row],[Mdl Qlty]:[Mdl WdDeck]])+Inventory[[#This Row],[Mdl Res Intercept]]*Inventory[[#This Row],[Res Adj ]],-2)</f>
        <v>335000</v>
      </c>
      <c r="BO493" s="25">
        <f>ROUND(Inventory[[#This Row],[25Det]]*Inventory[[#This Row],[Det/Nbhd Adj]],-2)</f>
        <v>26300</v>
      </c>
      <c r="BP493" s="25">
        <f>Inventory[[#This Row],[Adjusted Res]]+Inventory[[#This Row],[Adj Det ]]</f>
        <v>361300</v>
      </c>
      <c r="BQ493" s="25">
        <f>ROUND((Inventory[[#This Row],[Mdl Land Intercept]]+Inventory[[#This Row],[Mdl LnAcres]])*Inventory[[#This Row],[Det/Nbhd Adj]],-2)</f>
        <v>33800</v>
      </c>
      <c r="BR493" s="25">
        <f>Inventory[[#This Row],[Adjusted Impr Total]]+Inventory[[#This Row],[Adjusted Land Total]]</f>
        <v>395100</v>
      </c>
      <c r="BS493" s="36">
        <f>IFERROR((Inventory[[#This Row],[Adjusted Impr Total]]-Inventory[[#This Row],[24Bldg]])/Inventory[[#This Row],[24Bldg]],0)</f>
        <v>6.0463751100675082E-2</v>
      </c>
      <c r="BT493" s="36">
        <f>(Inventory[[#This Row],[Adjusted Land Total]]-Inventory[[#This Row],[24Lnd]])/Inventory[[#This Row],[24Lnd]]</f>
        <v>-0.38208409506398539</v>
      </c>
      <c r="BU493" s="36">
        <f>(Inventory[[#This Row],[Adjusted Total]]-Inventory[[#This Row],[24Final]])/Inventory[[#This Row],[24Final]]</f>
        <v>-7.5872534142640367E-4</v>
      </c>
    </row>
    <row r="494" spans="1:73" x14ac:dyDescent="0.3">
      <c r="A494" s="25">
        <v>2025</v>
      </c>
      <c r="B494" s="26" t="s">
        <v>1370</v>
      </c>
      <c r="C494" s="26">
        <f>LN(Inventory[[#This Row],[Acres]])</f>
        <v>-1.3470736479666092</v>
      </c>
      <c r="D494" s="25">
        <v>0.26</v>
      </c>
      <c r="E494" s="25">
        <v>11213</v>
      </c>
      <c r="F494" s="26" t="s">
        <v>537</v>
      </c>
      <c r="G494" s="26" t="s">
        <v>126</v>
      </c>
      <c r="H494" s="26" t="s">
        <v>349</v>
      </c>
      <c r="I494" s="26" t="s">
        <v>538</v>
      </c>
      <c r="J494" s="26" t="s">
        <v>539</v>
      </c>
      <c r="K494" s="26" t="s">
        <v>241</v>
      </c>
      <c r="L494" s="26" t="s">
        <v>302</v>
      </c>
      <c r="M494" s="26" t="s">
        <v>323</v>
      </c>
      <c r="N494" s="26">
        <v>70</v>
      </c>
      <c r="O494" s="26">
        <f>2024-Inventory[[#This Row],[YrBlt]]</f>
        <v>64</v>
      </c>
      <c r="P494" s="26">
        <f>2024-Inventory[[#This Row],[EffYr]]</f>
        <v>49</v>
      </c>
      <c r="Q494" s="25">
        <v>1960</v>
      </c>
      <c r="R494" s="25">
        <v>1975</v>
      </c>
      <c r="S494" s="25">
        <v>1311</v>
      </c>
      <c r="T494" s="27"/>
      <c r="U494" s="25">
        <v>1311</v>
      </c>
      <c r="V494" s="25">
        <f>Inventory[[#This Row],[Bsmt]]-Inventory[[#This Row],[FnBsmt]]</f>
        <v>249</v>
      </c>
      <c r="W494" s="25">
        <v>1062</v>
      </c>
      <c r="X494" s="27"/>
      <c r="Y494" s="27">
        <f>Inventory[[#This Row],[MainFn]]+Inventory[[#This Row],[UpprFn]]+Inventory[[#This Row],[FnBsmt]]+Inventory[[#This Row],[AddFn]]</f>
        <v>2373</v>
      </c>
      <c r="Z494" s="27">
        <v>2500</v>
      </c>
      <c r="AA494" s="25">
        <v>8</v>
      </c>
      <c r="AB494" s="27"/>
      <c r="AC494" s="27"/>
      <c r="AD494" s="27"/>
      <c r="AE494" s="27"/>
      <c r="AF494" s="27"/>
      <c r="AG494" s="27"/>
      <c r="AH494" s="27"/>
      <c r="AI494" s="25">
        <v>372916</v>
      </c>
      <c r="AJ494" s="25">
        <v>264770</v>
      </c>
      <c r="AK494" s="25">
        <v>0</v>
      </c>
      <c r="AL494" s="25">
        <v>358100</v>
      </c>
      <c r="AM494" s="25">
        <v>67600</v>
      </c>
      <c r="AN494" s="25">
        <v>290500</v>
      </c>
      <c r="AO494" s="25">
        <v>0</v>
      </c>
      <c r="AP494" s="25">
        <f>Lookups!$B$56*0</f>
        <v>0</v>
      </c>
      <c r="AQ494" s="25">
        <f>Lookups!$B$56*1</f>
        <v>89850.625589999996</v>
      </c>
      <c r="AR494" s="25">
        <f>Lookups!$B$57*Inventory[[#This Row],[LnAcres]]</f>
        <v>-42641.098701210125</v>
      </c>
      <c r="AS494" s="25">
        <f>VLOOKUP(Inventory[[#This Row],[Qlty]],Lookups!$A$62:$E$75,2,FALSE)</f>
        <v>29814.093161000001</v>
      </c>
      <c r="AT494" s="25">
        <f>VLOOKUP(Inventory[[#This Row],[Cnd]],Lookups!$A$76:$E$84,2,FALSE)</f>
        <v>160472.20319</v>
      </c>
      <c r="AU494" s="25">
        <f>Inventory[[#This Row],[EffAge]]*Lookups!$B$85</f>
        <v>-10929.2344245</v>
      </c>
      <c r="AV494" s="25">
        <f>Inventory[[#This Row],[MainFn]]*Lookups!$B$86</f>
        <v>64774.766208747002</v>
      </c>
      <c r="AW494" s="25">
        <f>Inventory[[#This Row],[UpprFn]]*Lookups!$B$87</f>
        <v>0</v>
      </c>
      <c r="AX494" s="25">
        <f>Inventory[[#This Row],[AddFn]]*Lookups!$B$88</f>
        <v>0</v>
      </c>
      <c r="AY494" s="25">
        <f>Inventory[[#This Row],[Bsmt]]*Lookups!$B$89</f>
        <v>38126.364668816997</v>
      </c>
      <c r="AZ494" s="25">
        <f>Inventory[[#This Row],[Fixtures]]*Lookups!$B$90</f>
        <v>30336.176841600001</v>
      </c>
      <c r="BA494" s="25">
        <f>Inventory[[#This Row],[WdDeck]]*Lookups!$B$91</f>
        <v>0</v>
      </c>
      <c r="BB494" s="25">
        <f>ROUND(Inventory[[#This Row],[25Det]],-2)</f>
        <v>0</v>
      </c>
      <c r="BC494" s="25">
        <f>ROUND(SUM(Inventory[[#This Row],[Mdl Qlty]:[Mdl WdDeck]])+Inventory[[#This Row],[Mdl Res Intercept]],-2)</f>
        <v>312600</v>
      </c>
      <c r="BD494" s="25">
        <f>ROUND(Inventory[[#This Row],[Mdl Land Intercept]]+Inventory[[#This Row],[Mdl LnAcres]],-2)</f>
        <v>47200</v>
      </c>
      <c r="BE494" s="25">
        <f>Inventory[[#This Row],[Unadj Res Value]]+Inventory[[#This Row],[Unadj Det Value]]+Inventory[[#This Row],[Unadj Land Value]]</f>
        <v>359800</v>
      </c>
      <c r="BF494" s="36">
        <f>(Inventory[[#This Row],[Unadj Total Value]]-Inventory[[#This Row],[24Final]])/Inventory[[#This Row],[24Final]]</f>
        <v>4.7472772968444573E-3</v>
      </c>
      <c r="BG494" s="25">
        <f>VLOOKUP(Inventory[[#This Row],[Nbhd]],Lookups!$Q$2:$T$4,4,FALSE)</f>
        <v>0.99970000000000003</v>
      </c>
      <c r="BH494" s="25">
        <f>VLOOKUP(Inventory[[#This Row],[Qlty]],Lookups!$O$7:$R$21,4,FALSE)</f>
        <v>1.0088999999999999</v>
      </c>
      <c r="BI494" s="25">
        <f>VLOOKUP(Inventory[[#This Row],[Cnd]],Lookups!$T$7:$W$16,4,FALSE)</f>
        <v>0.99729999999999996</v>
      </c>
      <c r="BJ494" s="25">
        <f>VLOOKUP(Inventory[[#This Row],[LivArea Range]],Lookups!$T$25:$W$37,4,FALSE)</f>
        <v>0.98919999999999997</v>
      </c>
      <c r="BK494" s="25">
        <f>VLOOKUP(Inventory[[#This Row],[Decade]],Lookups!$O$25:$R$42,4,FALSE)</f>
        <v>1.0199</v>
      </c>
      <c r="BL494" s="25">
        <f>Inventory[[#This Row],[Nbhd Adj]]*0.95</f>
        <v>0.94971499999999998</v>
      </c>
      <c r="BM494" s="25">
        <f>Inventory[[#This Row],[Nbhd Adj]]*Inventory[[#This Row],[Quality Adj]]*Inventory[[#This Row],[Condition Adj]]*Inventory[[#This Row],[Living Area Adj]]*Inventory[[#This Row],[Decade Adj]]*0.95</f>
        <v>0.96407081974981479</v>
      </c>
      <c r="BN494" s="25">
        <f>ROUND(SUM(Inventory[[#This Row],[Mdl Qlty]:[Mdl WdDeck]])+Inventory[[#This Row],[Mdl Res Intercept]]*Inventory[[#This Row],[Res Adj ]],-2)</f>
        <v>312600</v>
      </c>
      <c r="BO494" s="25">
        <f>ROUND(Inventory[[#This Row],[25Det]]*Inventory[[#This Row],[Det/Nbhd Adj]],-2)</f>
        <v>0</v>
      </c>
      <c r="BP494" s="25">
        <f>Inventory[[#This Row],[Adjusted Res]]+Inventory[[#This Row],[Adj Det ]]</f>
        <v>312600</v>
      </c>
      <c r="BQ494" s="25">
        <f>ROUND((Inventory[[#This Row],[Mdl Land Intercept]]+Inventory[[#This Row],[Mdl LnAcres]])*Inventory[[#This Row],[Det/Nbhd Adj]],-2)</f>
        <v>44800</v>
      </c>
      <c r="BR494" s="25">
        <f>Inventory[[#This Row],[Adjusted Impr Total]]+Inventory[[#This Row],[Adjusted Land Total]]</f>
        <v>357400</v>
      </c>
      <c r="BS494" s="36">
        <f>IFERROR((Inventory[[#This Row],[Adjusted Impr Total]]-Inventory[[#This Row],[24Bldg]])/Inventory[[#This Row],[24Bldg]],0)</f>
        <v>7.6075731497418239E-2</v>
      </c>
      <c r="BT494" s="36">
        <f>(Inventory[[#This Row],[Adjusted Land Total]]-Inventory[[#This Row],[24Lnd]])/Inventory[[#This Row],[24Lnd]]</f>
        <v>-0.33727810650887574</v>
      </c>
      <c r="BU494" s="36">
        <f>(Inventory[[#This Row],[Adjusted Total]]-Inventory[[#This Row],[24Final]])/Inventory[[#This Row],[24Final]]</f>
        <v>-1.9547612398771292E-3</v>
      </c>
    </row>
    <row r="495" spans="1:73" x14ac:dyDescent="0.3">
      <c r="A495" s="25">
        <v>2025</v>
      </c>
      <c r="B495" s="26" t="s">
        <v>1176</v>
      </c>
      <c r="C495" s="26">
        <f>LN(Inventory[[#This Row],[Acres]])</f>
        <v>-1.7719568419318752</v>
      </c>
      <c r="D495" s="25">
        <v>0.17</v>
      </c>
      <c r="E495" s="32">
        <v>7620</v>
      </c>
      <c r="F495" s="26" t="s">
        <v>537</v>
      </c>
      <c r="G495" s="26" t="s">
        <v>126</v>
      </c>
      <c r="H495" s="26" t="s">
        <v>349</v>
      </c>
      <c r="I495" s="26" t="s">
        <v>538</v>
      </c>
      <c r="J495" s="26" t="s">
        <v>539</v>
      </c>
      <c r="K495" s="26" t="s">
        <v>241</v>
      </c>
      <c r="L495" s="26" t="s">
        <v>302</v>
      </c>
      <c r="M495" s="26" t="s">
        <v>323</v>
      </c>
      <c r="N495" s="26">
        <v>70</v>
      </c>
      <c r="O495" s="26">
        <f>2024-Inventory[[#This Row],[YrBlt]]</f>
        <v>64</v>
      </c>
      <c r="P495" s="26">
        <f>2024-Inventory[[#This Row],[EffYr]]</f>
        <v>49</v>
      </c>
      <c r="Q495" s="25">
        <v>1960</v>
      </c>
      <c r="R495" s="25">
        <v>1975</v>
      </c>
      <c r="S495" s="25">
        <v>1100</v>
      </c>
      <c r="T495" s="27"/>
      <c r="U495" s="25">
        <v>1100</v>
      </c>
      <c r="V495" s="25">
        <f>Inventory[[#This Row],[Bsmt]]-Inventory[[#This Row],[FnBsmt]]</f>
        <v>0</v>
      </c>
      <c r="W495" s="25">
        <v>1100</v>
      </c>
      <c r="X495" s="27"/>
      <c r="Y495" s="27">
        <f>Inventory[[#This Row],[MainFn]]+Inventory[[#This Row],[UpprFn]]+Inventory[[#This Row],[FnBsmt]]+Inventory[[#This Row],[AddFn]]</f>
        <v>2200</v>
      </c>
      <c r="Z495" s="27">
        <v>2500</v>
      </c>
      <c r="AA495" s="25">
        <v>10</v>
      </c>
      <c r="AB495" s="32">
        <v>910</v>
      </c>
      <c r="AC495" s="27"/>
      <c r="AD495" s="27"/>
      <c r="AE495" s="27"/>
      <c r="AF495" s="27"/>
      <c r="AG495" s="27"/>
      <c r="AH495" s="27"/>
      <c r="AI495" s="25">
        <v>368346</v>
      </c>
      <c r="AJ495" s="25">
        <v>261526</v>
      </c>
      <c r="AK495" s="25">
        <v>0</v>
      </c>
      <c r="AL495" s="25">
        <v>337200</v>
      </c>
      <c r="AM495" s="25">
        <v>52700</v>
      </c>
      <c r="AN495" s="25">
        <v>284500</v>
      </c>
      <c r="AO495" s="25">
        <v>0</v>
      </c>
      <c r="AP495" s="25">
        <f>Lookups!$B$56*0</f>
        <v>0</v>
      </c>
      <c r="AQ495" s="25">
        <f>Lookups!$B$56*1</f>
        <v>89850.625589999996</v>
      </c>
      <c r="AR495" s="25">
        <f>Lookups!$B$57*Inventory[[#This Row],[LnAcres]]</f>
        <v>-56090.612940989391</v>
      </c>
      <c r="AS495" s="25">
        <f>VLOOKUP(Inventory[[#This Row],[Qlty]],Lookups!$A$62:$E$75,2,FALSE)</f>
        <v>29814.093161000001</v>
      </c>
      <c r="AT495" s="25">
        <f>VLOOKUP(Inventory[[#This Row],[Cnd]],Lookups!$A$76:$E$84,2,FALSE)</f>
        <v>160472.20319</v>
      </c>
      <c r="AU495" s="25">
        <f>Inventory[[#This Row],[EffAge]]*Lookups!$B$85</f>
        <v>-10929.2344245</v>
      </c>
      <c r="AV495" s="25">
        <f>Inventory[[#This Row],[MainFn]]*Lookups!$B$86</f>
        <v>54349.5368647</v>
      </c>
      <c r="AW495" s="25">
        <f>Inventory[[#This Row],[UpprFn]]*Lookups!$B$87</f>
        <v>0</v>
      </c>
      <c r="AX495" s="25">
        <f>Inventory[[#This Row],[AddFn]]*Lookups!$B$88</f>
        <v>0</v>
      </c>
      <c r="AY495" s="25">
        <f>Inventory[[#This Row],[Bsmt]]*Lookups!$B$89</f>
        <v>31990.0847717</v>
      </c>
      <c r="AZ495" s="25">
        <f>Inventory[[#This Row],[Fixtures]]*Lookups!$B$90</f>
        <v>37920.221052000001</v>
      </c>
      <c r="BA495" s="25">
        <f>Inventory[[#This Row],[WdDeck]]*Lookups!$B$91</f>
        <v>0</v>
      </c>
      <c r="BB495" s="25">
        <f>ROUND(Inventory[[#This Row],[25Det]],-2)</f>
        <v>0</v>
      </c>
      <c r="BC495" s="25">
        <f>ROUND(SUM(Inventory[[#This Row],[Mdl Qlty]:[Mdl WdDeck]])+Inventory[[#This Row],[Mdl Res Intercept]],-2)</f>
        <v>303600</v>
      </c>
      <c r="BD495" s="25">
        <f>ROUND(Inventory[[#This Row],[Mdl Land Intercept]]+Inventory[[#This Row],[Mdl LnAcres]],-2)</f>
        <v>33800</v>
      </c>
      <c r="BE495" s="25">
        <f>Inventory[[#This Row],[Unadj Res Value]]+Inventory[[#This Row],[Unadj Det Value]]+Inventory[[#This Row],[Unadj Land Value]]</f>
        <v>337400</v>
      </c>
      <c r="BF495" s="36">
        <f>(Inventory[[#This Row],[Unadj Total Value]]-Inventory[[#This Row],[24Final]])/Inventory[[#This Row],[24Final]]</f>
        <v>5.9311981020166078E-4</v>
      </c>
      <c r="BG495" s="25">
        <f>VLOOKUP(Inventory[[#This Row],[Nbhd]],Lookups!$Q$2:$T$4,4,FALSE)</f>
        <v>0.99970000000000003</v>
      </c>
      <c r="BH495" s="25">
        <f>VLOOKUP(Inventory[[#This Row],[Qlty]],Lookups!$O$7:$R$21,4,FALSE)</f>
        <v>1.0088999999999999</v>
      </c>
      <c r="BI495" s="25">
        <f>VLOOKUP(Inventory[[#This Row],[Cnd]],Lookups!$T$7:$W$16,4,FALSE)</f>
        <v>0.99729999999999996</v>
      </c>
      <c r="BJ495" s="25">
        <f>VLOOKUP(Inventory[[#This Row],[LivArea Range]],Lookups!$T$25:$W$37,4,FALSE)</f>
        <v>0.98919999999999997</v>
      </c>
      <c r="BK495" s="25">
        <f>VLOOKUP(Inventory[[#This Row],[Decade]],Lookups!$O$25:$R$42,4,FALSE)</f>
        <v>1.0199</v>
      </c>
      <c r="BL495" s="25">
        <f>Inventory[[#This Row],[Nbhd Adj]]*0.95</f>
        <v>0.94971499999999998</v>
      </c>
      <c r="BM495" s="25">
        <f>Inventory[[#This Row],[Nbhd Adj]]*Inventory[[#This Row],[Quality Adj]]*Inventory[[#This Row],[Condition Adj]]*Inventory[[#This Row],[Living Area Adj]]*Inventory[[#This Row],[Decade Adj]]*0.95</f>
        <v>0.96407081974981479</v>
      </c>
      <c r="BN495" s="25">
        <f>ROUND(SUM(Inventory[[#This Row],[Mdl Qlty]:[Mdl WdDeck]])+Inventory[[#This Row],[Mdl Res Intercept]]*Inventory[[#This Row],[Res Adj ]],-2)</f>
        <v>303600</v>
      </c>
      <c r="BO495" s="25">
        <f>ROUND(Inventory[[#This Row],[25Det]]*Inventory[[#This Row],[Det/Nbhd Adj]],-2)</f>
        <v>0</v>
      </c>
      <c r="BP495" s="25">
        <f>Inventory[[#This Row],[Adjusted Res]]+Inventory[[#This Row],[Adj Det ]]</f>
        <v>303600</v>
      </c>
      <c r="BQ495" s="25">
        <f>ROUND((Inventory[[#This Row],[Mdl Land Intercept]]+Inventory[[#This Row],[Mdl LnAcres]])*Inventory[[#This Row],[Det/Nbhd Adj]],-2)</f>
        <v>32100</v>
      </c>
      <c r="BR495" s="25">
        <f>Inventory[[#This Row],[Adjusted Impr Total]]+Inventory[[#This Row],[Adjusted Land Total]]</f>
        <v>335700</v>
      </c>
      <c r="BS495" s="36">
        <f>IFERROR((Inventory[[#This Row],[Adjusted Impr Total]]-Inventory[[#This Row],[24Bldg]])/Inventory[[#This Row],[24Bldg]],0)</f>
        <v>6.7135325131810197E-2</v>
      </c>
      <c r="BT495" s="36">
        <f>(Inventory[[#This Row],[Adjusted Land Total]]-Inventory[[#This Row],[24Lnd]])/Inventory[[#This Row],[24Lnd]]</f>
        <v>-0.39089184060721061</v>
      </c>
      <c r="BU495" s="36">
        <f>(Inventory[[#This Row],[Adjusted Total]]-Inventory[[#This Row],[24Final]])/Inventory[[#This Row],[24Final]]</f>
        <v>-4.4483985765124559E-3</v>
      </c>
    </row>
    <row r="496" spans="1:73" x14ac:dyDescent="0.3">
      <c r="A496" s="25">
        <v>2025</v>
      </c>
      <c r="B496" s="26" t="s">
        <v>2094</v>
      </c>
      <c r="C496" s="26">
        <f>LN(Inventory[[#This Row],[Acres]])</f>
        <v>-0.916290731874155</v>
      </c>
      <c r="D496" s="25">
        <v>0.4</v>
      </c>
      <c r="E496" s="32">
        <v>17261</v>
      </c>
      <c r="F496" s="26" t="s">
        <v>537</v>
      </c>
      <c r="G496" s="26" t="s">
        <v>126</v>
      </c>
      <c r="H496" s="26" t="s">
        <v>349</v>
      </c>
      <c r="I496" s="26" t="s">
        <v>538</v>
      </c>
      <c r="J496" s="26" t="s">
        <v>539</v>
      </c>
      <c r="K496" s="26" t="s">
        <v>241</v>
      </c>
      <c r="L496" s="26" t="s">
        <v>148</v>
      </c>
      <c r="M496" s="26" t="s">
        <v>323</v>
      </c>
      <c r="N496" s="26">
        <v>70</v>
      </c>
      <c r="O496" s="26">
        <f>2024-Inventory[[#This Row],[YrBlt]]</f>
        <v>64</v>
      </c>
      <c r="P496" s="26">
        <f>2024-Inventory[[#This Row],[EffYr]]</f>
        <v>49</v>
      </c>
      <c r="Q496" s="25">
        <v>1960</v>
      </c>
      <c r="R496" s="25">
        <v>1975</v>
      </c>
      <c r="S496" s="25">
        <v>1713</v>
      </c>
      <c r="T496" s="27"/>
      <c r="U496" s="25">
        <v>1713</v>
      </c>
      <c r="V496" s="25">
        <f>Inventory[[#This Row],[Bsmt]]-Inventory[[#This Row],[FnBsmt]]</f>
        <v>435</v>
      </c>
      <c r="W496" s="25">
        <v>1278</v>
      </c>
      <c r="X496" s="27"/>
      <c r="Y496" s="27">
        <f>Inventory[[#This Row],[MainFn]]+Inventory[[#This Row],[UpprFn]]+Inventory[[#This Row],[FnBsmt]]+Inventory[[#This Row],[AddFn]]</f>
        <v>2991</v>
      </c>
      <c r="Z496" s="27">
        <v>3000</v>
      </c>
      <c r="AA496" s="25">
        <v>11</v>
      </c>
      <c r="AB496" s="32">
        <v>552</v>
      </c>
      <c r="AC496" s="27"/>
      <c r="AD496" s="27"/>
      <c r="AE496" s="27"/>
      <c r="AF496" s="27"/>
      <c r="AG496" s="27"/>
      <c r="AH496" s="27"/>
      <c r="AI496" s="25">
        <v>593196</v>
      </c>
      <c r="AJ496" s="25">
        <v>421169</v>
      </c>
      <c r="AK496" s="25">
        <v>0</v>
      </c>
      <c r="AL496" s="25">
        <v>430500</v>
      </c>
      <c r="AM496" s="25">
        <v>82600</v>
      </c>
      <c r="AN496" s="25">
        <v>347900</v>
      </c>
      <c r="AO496" s="25">
        <v>0</v>
      </c>
      <c r="AP496" s="25">
        <f>Lookups!$B$56*0</f>
        <v>0</v>
      </c>
      <c r="AQ496" s="25">
        <f>Lookups!$B$56*1</f>
        <v>89850.625589999996</v>
      </c>
      <c r="AR496" s="25">
        <f>Lookups!$B$57*Inventory[[#This Row],[LnAcres]]</f>
        <v>-29004.831024516039</v>
      </c>
      <c r="AS496" s="25">
        <f>VLOOKUP(Inventory[[#This Row],[Qlty]],Lookups!$A$62:$E$75,2,FALSE)</f>
        <v>44121.038090000002</v>
      </c>
      <c r="AT496" s="25">
        <f>VLOOKUP(Inventory[[#This Row],[Cnd]],Lookups!$A$76:$E$84,2,FALSE)</f>
        <v>160472.20319</v>
      </c>
      <c r="AU496" s="25">
        <f>Inventory[[#This Row],[EffAge]]*Lookups!$B$85</f>
        <v>-10929.2344245</v>
      </c>
      <c r="AV496" s="25">
        <f>Inventory[[#This Row],[MainFn]]*Lookups!$B$86</f>
        <v>84637.051499301</v>
      </c>
      <c r="AW496" s="25">
        <f>Inventory[[#This Row],[UpprFn]]*Lookups!$B$87</f>
        <v>0</v>
      </c>
      <c r="AX496" s="25">
        <f>Inventory[[#This Row],[AddFn]]*Lookups!$B$88</f>
        <v>0</v>
      </c>
      <c r="AY496" s="25">
        <f>Inventory[[#This Row],[Bsmt]]*Lookups!$B$89</f>
        <v>49817.286558110995</v>
      </c>
      <c r="AZ496" s="25">
        <f>Inventory[[#This Row],[Fixtures]]*Lookups!$B$90</f>
        <v>41712.243157199999</v>
      </c>
      <c r="BA496" s="25">
        <f>Inventory[[#This Row],[WdDeck]]*Lookups!$B$91</f>
        <v>0</v>
      </c>
      <c r="BB496" s="25">
        <f>ROUND(Inventory[[#This Row],[25Det]],-2)</f>
        <v>0</v>
      </c>
      <c r="BC496" s="25">
        <f>ROUND(SUM(Inventory[[#This Row],[Mdl Qlty]:[Mdl WdDeck]])+Inventory[[#This Row],[Mdl Res Intercept]],-2)</f>
        <v>369800</v>
      </c>
      <c r="BD496" s="25">
        <f>ROUND(Inventory[[#This Row],[Mdl Land Intercept]]+Inventory[[#This Row],[Mdl LnAcres]],-2)</f>
        <v>60800</v>
      </c>
      <c r="BE496" s="25">
        <f>Inventory[[#This Row],[Unadj Res Value]]+Inventory[[#This Row],[Unadj Det Value]]+Inventory[[#This Row],[Unadj Land Value]]</f>
        <v>430600</v>
      </c>
      <c r="BF496" s="36">
        <f>(Inventory[[#This Row],[Unadj Total Value]]-Inventory[[#This Row],[24Final]])/Inventory[[#This Row],[24Final]]</f>
        <v>2.3228803716608595E-4</v>
      </c>
      <c r="BG496" s="25">
        <f>VLOOKUP(Inventory[[#This Row],[Nbhd]],Lookups!$Q$2:$T$4,4,FALSE)</f>
        <v>0.99970000000000003</v>
      </c>
      <c r="BH496" s="25">
        <f>VLOOKUP(Inventory[[#This Row],[Qlty]],Lookups!$O$7:$R$21,4,FALSE)</f>
        <v>0.98050000000000004</v>
      </c>
      <c r="BI496" s="25">
        <f>VLOOKUP(Inventory[[#This Row],[Cnd]],Lookups!$T$7:$W$16,4,FALSE)</f>
        <v>0.99729999999999996</v>
      </c>
      <c r="BJ496" s="25">
        <f>VLOOKUP(Inventory[[#This Row],[LivArea Range]],Lookups!$T$25:$W$37,4,FALSE)</f>
        <v>0.96179999999999999</v>
      </c>
      <c r="BK496" s="25">
        <f>VLOOKUP(Inventory[[#This Row],[Decade]],Lookups!$O$25:$R$42,4,FALSE)</f>
        <v>1.0199</v>
      </c>
      <c r="BL496" s="25">
        <f>Inventory[[#This Row],[Nbhd Adj]]*0.95</f>
        <v>0.94971499999999998</v>
      </c>
      <c r="BM496" s="25">
        <f>Inventory[[#This Row],[Nbhd Adj]]*Inventory[[#This Row],[Quality Adj]]*Inventory[[#This Row],[Condition Adj]]*Inventory[[#This Row],[Living Area Adj]]*Inventory[[#This Row],[Decade Adj]]*0.95</f>
        <v>0.91098049619194077</v>
      </c>
      <c r="BN496" s="25">
        <f>ROUND(SUM(Inventory[[#This Row],[Mdl Qlty]:[Mdl WdDeck]])+Inventory[[#This Row],[Mdl Res Intercept]]*Inventory[[#This Row],[Res Adj ]],-2)</f>
        <v>369800</v>
      </c>
      <c r="BO496" s="25">
        <f>ROUND(Inventory[[#This Row],[25Det]]*Inventory[[#This Row],[Det/Nbhd Adj]],-2)</f>
        <v>0</v>
      </c>
      <c r="BP496" s="25">
        <f>Inventory[[#This Row],[Adjusted Res]]+Inventory[[#This Row],[Adj Det ]]</f>
        <v>369800</v>
      </c>
      <c r="BQ496" s="25">
        <f>ROUND((Inventory[[#This Row],[Mdl Land Intercept]]+Inventory[[#This Row],[Mdl LnAcres]])*Inventory[[#This Row],[Det/Nbhd Adj]],-2)</f>
        <v>57800</v>
      </c>
      <c r="BR496" s="25">
        <f>Inventory[[#This Row],[Adjusted Impr Total]]+Inventory[[#This Row],[Adjusted Land Total]]</f>
        <v>427600</v>
      </c>
      <c r="BS496" s="36">
        <f>IFERROR((Inventory[[#This Row],[Adjusted Impr Total]]-Inventory[[#This Row],[24Bldg]])/Inventory[[#This Row],[24Bldg]],0)</f>
        <v>6.2949123311296346E-2</v>
      </c>
      <c r="BT496" s="36">
        <f>(Inventory[[#This Row],[Adjusted Land Total]]-Inventory[[#This Row],[24Lnd]])/Inventory[[#This Row],[24Lnd]]</f>
        <v>-0.30024213075060535</v>
      </c>
      <c r="BU496" s="36">
        <f>(Inventory[[#This Row],[Adjusted Total]]-Inventory[[#This Row],[24Final]])/Inventory[[#This Row],[24Final]]</f>
        <v>-6.7363530778164924E-3</v>
      </c>
    </row>
    <row r="497" spans="1:73" x14ac:dyDescent="0.3">
      <c r="A497" s="25">
        <v>2025</v>
      </c>
      <c r="B497" s="26" t="s">
        <v>2642</v>
      </c>
      <c r="C497" s="26">
        <f>LN(Inventory[[#This Row],[Acres]])</f>
        <v>-1.7719568419318752</v>
      </c>
      <c r="D497" s="25">
        <v>0.17</v>
      </c>
      <c r="E497" s="32">
        <v>7281</v>
      </c>
      <c r="F497" s="26" t="s">
        <v>537</v>
      </c>
      <c r="G497" s="26" t="s">
        <v>126</v>
      </c>
      <c r="H497" s="26" t="s">
        <v>349</v>
      </c>
      <c r="I497" s="26" t="s">
        <v>538</v>
      </c>
      <c r="J497" s="26" t="s">
        <v>539</v>
      </c>
      <c r="K497" s="26" t="s">
        <v>5</v>
      </c>
      <c r="L497" s="26" t="s">
        <v>351</v>
      </c>
      <c r="M497" s="26" t="s">
        <v>323</v>
      </c>
      <c r="N497" s="26">
        <v>70</v>
      </c>
      <c r="O497" s="26">
        <f>2024-Inventory[[#This Row],[YrBlt]]</f>
        <v>64</v>
      </c>
      <c r="P497" s="26">
        <f>2024-Inventory[[#This Row],[EffYr]]</f>
        <v>49</v>
      </c>
      <c r="Q497" s="25">
        <v>1960</v>
      </c>
      <c r="R497" s="25">
        <v>1975</v>
      </c>
      <c r="S497" s="25">
        <v>1300</v>
      </c>
      <c r="T497" s="27"/>
      <c r="U497" s="25">
        <v>1300</v>
      </c>
      <c r="V497" s="25">
        <f>Inventory[[#This Row],[Bsmt]]-Inventory[[#This Row],[FnBsmt]]</f>
        <v>0</v>
      </c>
      <c r="W497" s="25">
        <v>1300</v>
      </c>
      <c r="X497" s="27"/>
      <c r="Y497" s="27">
        <f>Inventory[[#This Row],[MainFn]]+Inventory[[#This Row],[UpprFn]]+Inventory[[#This Row],[FnBsmt]]+Inventory[[#This Row],[AddFn]]</f>
        <v>2600</v>
      </c>
      <c r="Z497" s="27">
        <v>3000</v>
      </c>
      <c r="AA497" s="25">
        <v>8</v>
      </c>
      <c r="AB497" s="27"/>
      <c r="AC497" s="27"/>
      <c r="AD497" s="27"/>
      <c r="AE497" s="27"/>
      <c r="AF497" s="27"/>
      <c r="AG497" s="27"/>
      <c r="AH497" s="27"/>
      <c r="AI497" s="25">
        <v>342512</v>
      </c>
      <c r="AJ497" s="25">
        <v>243184</v>
      </c>
      <c r="AK497" s="25">
        <v>0</v>
      </c>
      <c r="AL497" s="25">
        <v>338700</v>
      </c>
      <c r="AM497" s="25">
        <v>52700</v>
      </c>
      <c r="AN497" s="25">
        <v>286000</v>
      </c>
      <c r="AO497" s="25">
        <v>0</v>
      </c>
      <c r="AP497" s="25">
        <f>Lookups!$B$56*0</f>
        <v>0</v>
      </c>
      <c r="AQ497" s="25">
        <f>Lookups!$B$56*1</f>
        <v>89850.625589999996</v>
      </c>
      <c r="AR497" s="25">
        <f>Lookups!$B$57*Inventory[[#This Row],[LnAcres]]</f>
        <v>-56090.612940989391</v>
      </c>
      <c r="AS497" s="25">
        <f>VLOOKUP(Inventory[[#This Row],[Qlty]],Lookups!$A$62:$E$75,2,FALSE)</f>
        <v>21557.329055999999</v>
      </c>
      <c r="AT497" s="25">
        <f>VLOOKUP(Inventory[[#This Row],[Cnd]],Lookups!$A$76:$E$84,2,FALSE)</f>
        <v>160472.20319</v>
      </c>
      <c r="AU497" s="25">
        <f>Inventory[[#This Row],[EffAge]]*Lookups!$B$85</f>
        <v>-10929.2344245</v>
      </c>
      <c r="AV497" s="25">
        <f>Inventory[[#This Row],[MainFn]]*Lookups!$B$86</f>
        <v>64231.270840099998</v>
      </c>
      <c r="AW497" s="25">
        <f>Inventory[[#This Row],[UpprFn]]*Lookups!$B$87</f>
        <v>0</v>
      </c>
      <c r="AX497" s="25">
        <f>Inventory[[#This Row],[AddFn]]*Lookups!$B$88</f>
        <v>0</v>
      </c>
      <c r="AY497" s="25">
        <f>Inventory[[#This Row],[Bsmt]]*Lookups!$B$89</f>
        <v>37806.463821099998</v>
      </c>
      <c r="AZ497" s="25">
        <f>Inventory[[#This Row],[Fixtures]]*Lookups!$B$90</f>
        <v>30336.176841600001</v>
      </c>
      <c r="BA497" s="25">
        <f>Inventory[[#This Row],[WdDeck]]*Lookups!$B$91</f>
        <v>0</v>
      </c>
      <c r="BB497" s="25">
        <f>ROUND(Inventory[[#This Row],[25Det]],-2)</f>
        <v>0</v>
      </c>
      <c r="BC497" s="25">
        <f>ROUND(SUM(Inventory[[#This Row],[Mdl Qlty]:[Mdl WdDeck]])+Inventory[[#This Row],[Mdl Res Intercept]],-2)</f>
        <v>303500</v>
      </c>
      <c r="BD497" s="25">
        <f>ROUND(Inventory[[#This Row],[Mdl Land Intercept]]+Inventory[[#This Row],[Mdl LnAcres]],-2)</f>
        <v>33800</v>
      </c>
      <c r="BE497" s="25">
        <f>Inventory[[#This Row],[Unadj Res Value]]+Inventory[[#This Row],[Unadj Det Value]]+Inventory[[#This Row],[Unadj Land Value]]</f>
        <v>337300</v>
      </c>
      <c r="BF497" s="36">
        <f>(Inventory[[#This Row],[Unadj Total Value]]-Inventory[[#This Row],[24Final]])/Inventory[[#This Row],[24Final]]</f>
        <v>-4.1334514319456743E-3</v>
      </c>
      <c r="BG497" s="25">
        <f>VLOOKUP(Inventory[[#This Row],[Nbhd]],Lookups!$Q$2:$T$4,4,FALSE)</f>
        <v>0.99970000000000003</v>
      </c>
      <c r="BH497" s="25">
        <f>VLOOKUP(Inventory[[#This Row],[Qlty]],Lookups!$O$7:$R$21,4,FALSE)</f>
        <v>1.0067999999999999</v>
      </c>
      <c r="BI497" s="25">
        <f>VLOOKUP(Inventory[[#This Row],[Cnd]],Lookups!$T$7:$W$16,4,FALSE)</f>
        <v>0.99729999999999996</v>
      </c>
      <c r="BJ497" s="25">
        <f>VLOOKUP(Inventory[[#This Row],[LivArea Range]],Lookups!$T$25:$W$37,4,FALSE)</f>
        <v>0.96179999999999999</v>
      </c>
      <c r="BK497" s="25">
        <f>VLOOKUP(Inventory[[#This Row],[Decade]],Lookups!$O$25:$R$42,4,FALSE)</f>
        <v>1.0199</v>
      </c>
      <c r="BL497" s="25">
        <f>Inventory[[#This Row],[Nbhd Adj]]*0.95</f>
        <v>0.94971499999999998</v>
      </c>
      <c r="BM497" s="25">
        <f>Inventory[[#This Row],[Nbhd Adj]]*Inventory[[#This Row],[Quality Adj]]*Inventory[[#This Row],[Condition Adj]]*Inventory[[#This Row],[Living Area Adj]]*Inventory[[#This Row],[Decade Adj]]*0.95</f>
        <v>0.93541577110254559</v>
      </c>
      <c r="BN497" s="25">
        <f>ROUND(SUM(Inventory[[#This Row],[Mdl Qlty]:[Mdl WdDeck]])+Inventory[[#This Row],[Mdl Res Intercept]]*Inventory[[#This Row],[Res Adj ]],-2)</f>
        <v>303500</v>
      </c>
      <c r="BO497" s="25">
        <f>ROUND(Inventory[[#This Row],[25Det]]*Inventory[[#This Row],[Det/Nbhd Adj]],-2)</f>
        <v>0</v>
      </c>
      <c r="BP497" s="25">
        <f>Inventory[[#This Row],[Adjusted Res]]+Inventory[[#This Row],[Adj Det ]]</f>
        <v>303500</v>
      </c>
      <c r="BQ497" s="25">
        <f>ROUND((Inventory[[#This Row],[Mdl Land Intercept]]+Inventory[[#This Row],[Mdl LnAcres]])*Inventory[[#This Row],[Det/Nbhd Adj]],-2)</f>
        <v>32100</v>
      </c>
      <c r="BR497" s="25">
        <f>Inventory[[#This Row],[Adjusted Impr Total]]+Inventory[[#This Row],[Adjusted Land Total]]</f>
        <v>335600</v>
      </c>
      <c r="BS497" s="36">
        <f>IFERROR((Inventory[[#This Row],[Adjusted Impr Total]]-Inventory[[#This Row],[24Bldg]])/Inventory[[#This Row],[24Bldg]],0)</f>
        <v>6.1188811188811192E-2</v>
      </c>
      <c r="BT497" s="36">
        <f>(Inventory[[#This Row],[Adjusted Land Total]]-Inventory[[#This Row],[24Lnd]])/Inventory[[#This Row],[24Lnd]]</f>
        <v>-0.39089184060721061</v>
      </c>
      <c r="BU497" s="36">
        <f>(Inventory[[#This Row],[Adjusted Total]]-Inventory[[#This Row],[24Final]])/Inventory[[#This Row],[24Final]]</f>
        <v>-9.1526424564511363E-3</v>
      </c>
    </row>
    <row r="498" spans="1:73" x14ac:dyDescent="0.3">
      <c r="A498" s="25">
        <v>2025</v>
      </c>
      <c r="B498" s="26" t="s">
        <v>2359</v>
      </c>
      <c r="C498" s="26">
        <f>LN(Inventory[[#This Row],[Acres]])</f>
        <v>-2.0402208285265546</v>
      </c>
      <c r="D498" s="25">
        <v>0.13</v>
      </c>
      <c r="E498" s="32">
        <v>5750</v>
      </c>
      <c r="F498" s="26" t="s">
        <v>537</v>
      </c>
      <c r="G498" s="26" t="s">
        <v>126</v>
      </c>
      <c r="H498" s="26" t="s">
        <v>349</v>
      </c>
      <c r="I498" s="26" t="s">
        <v>538</v>
      </c>
      <c r="J498" s="26" t="s">
        <v>539</v>
      </c>
      <c r="K498" s="26" t="s">
        <v>241</v>
      </c>
      <c r="L498" s="26" t="s">
        <v>351</v>
      </c>
      <c r="M498" s="26" t="s">
        <v>323</v>
      </c>
      <c r="N498" s="26">
        <v>70</v>
      </c>
      <c r="O498" s="26">
        <f>2024-Inventory[[#This Row],[YrBlt]]</f>
        <v>64</v>
      </c>
      <c r="P498" s="26">
        <f>2024-Inventory[[#This Row],[EffYr]]</f>
        <v>49</v>
      </c>
      <c r="Q498" s="25">
        <v>1960</v>
      </c>
      <c r="R498" s="25">
        <v>1975</v>
      </c>
      <c r="S498" s="25">
        <v>1348</v>
      </c>
      <c r="T498" s="27"/>
      <c r="U498" s="31"/>
      <c r="V498" s="31">
        <f>Inventory[[#This Row],[Bsmt]]-Inventory[[#This Row],[FnBsmt]]</f>
        <v>0</v>
      </c>
      <c r="W498" s="31"/>
      <c r="X498" s="27"/>
      <c r="Y498" s="27">
        <f>Inventory[[#This Row],[MainFn]]+Inventory[[#This Row],[UpprFn]]+Inventory[[#This Row],[FnBsmt]]+Inventory[[#This Row],[AddFn]]</f>
        <v>1348</v>
      </c>
      <c r="Z498" s="27">
        <v>1500</v>
      </c>
      <c r="AA498" s="25">
        <v>8</v>
      </c>
      <c r="AB498" s="27"/>
      <c r="AC498" s="31"/>
      <c r="AD498" s="31"/>
      <c r="AE498" s="27"/>
      <c r="AF498" s="27"/>
      <c r="AG498" s="27"/>
      <c r="AH498" s="27"/>
      <c r="AI498" s="25">
        <v>261584</v>
      </c>
      <c r="AJ498" s="25">
        <v>185725</v>
      </c>
      <c r="AK498" s="25">
        <v>0</v>
      </c>
      <c r="AL498" s="25">
        <v>295600</v>
      </c>
      <c r="AM498" s="25">
        <v>43400</v>
      </c>
      <c r="AN498" s="25">
        <v>252200</v>
      </c>
      <c r="AO498" s="25">
        <v>0</v>
      </c>
      <c r="AP498" s="25">
        <f>Lookups!$B$56*0</f>
        <v>0</v>
      </c>
      <c r="AQ498" s="25">
        <f>Lookups!$B$56*1</f>
        <v>89850.625589999996</v>
      </c>
      <c r="AR498" s="25">
        <f>Lookups!$B$57*Inventory[[#This Row],[LnAcres]]</f>
        <v>-64582.406353792743</v>
      </c>
      <c r="AS498" s="25">
        <f>VLOOKUP(Inventory[[#This Row],[Qlty]],Lookups!$A$62:$E$75,2,FALSE)</f>
        <v>21557.329055999999</v>
      </c>
      <c r="AT498" s="25">
        <f>VLOOKUP(Inventory[[#This Row],[Cnd]],Lookups!$A$76:$E$84,2,FALSE)</f>
        <v>160472.20319</v>
      </c>
      <c r="AU498" s="25">
        <f>Inventory[[#This Row],[EffAge]]*Lookups!$B$85</f>
        <v>-10929.2344245</v>
      </c>
      <c r="AV498" s="25">
        <f>Inventory[[#This Row],[MainFn]]*Lookups!$B$86</f>
        <v>66602.886994196</v>
      </c>
      <c r="AW498" s="25">
        <f>Inventory[[#This Row],[UpprFn]]*Lookups!$B$87</f>
        <v>0</v>
      </c>
      <c r="AX498" s="25">
        <f>Inventory[[#This Row],[AddFn]]*Lookups!$B$88</f>
        <v>0</v>
      </c>
      <c r="AY498" s="25">
        <f>Inventory[[#This Row],[Bsmt]]*Lookups!$B$89</f>
        <v>0</v>
      </c>
      <c r="AZ498" s="25">
        <f>Inventory[[#This Row],[Fixtures]]*Lookups!$B$90</f>
        <v>30336.176841600001</v>
      </c>
      <c r="BA498" s="25">
        <f>Inventory[[#This Row],[WdDeck]]*Lookups!$B$91</f>
        <v>0</v>
      </c>
      <c r="BB498" s="25">
        <f>ROUND(Inventory[[#This Row],[25Det]],-2)</f>
        <v>0</v>
      </c>
      <c r="BC498" s="25">
        <f>ROUND(SUM(Inventory[[#This Row],[Mdl Qlty]:[Mdl WdDeck]])+Inventory[[#This Row],[Mdl Res Intercept]],-2)</f>
        <v>268000</v>
      </c>
      <c r="BD498" s="25">
        <f>ROUND(Inventory[[#This Row],[Mdl Land Intercept]]+Inventory[[#This Row],[Mdl LnAcres]],-2)</f>
        <v>25300</v>
      </c>
      <c r="BE498" s="25">
        <f>Inventory[[#This Row],[Unadj Res Value]]+Inventory[[#This Row],[Unadj Det Value]]+Inventory[[#This Row],[Unadj Land Value]]</f>
        <v>293300</v>
      </c>
      <c r="BF498" s="36">
        <f>(Inventory[[#This Row],[Unadj Total Value]]-Inventory[[#This Row],[24Final]])/Inventory[[#This Row],[24Final]]</f>
        <v>-7.7807848443843027E-3</v>
      </c>
      <c r="BG498" s="25">
        <f>VLOOKUP(Inventory[[#This Row],[Nbhd]],Lookups!$Q$2:$T$4,4,FALSE)</f>
        <v>0.99970000000000003</v>
      </c>
      <c r="BH498" s="25">
        <f>VLOOKUP(Inventory[[#This Row],[Qlty]],Lookups!$O$7:$R$21,4,FALSE)</f>
        <v>1.0067999999999999</v>
      </c>
      <c r="BI498" s="25">
        <f>VLOOKUP(Inventory[[#This Row],[Cnd]],Lookups!$T$7:$W$16,4,FALSE)</f>
        <v>0.99729999999999996</v>
      </c>
      <c r="BJ498" s="25">
        <f>VLOOKUP(Inventory[[#This Row],[LivArea Range]],Lookups!$T$25:$W$37,4,FALSE)</f>
        <v>1.0157</v>
      </c>
      <c r="BK498" s="25">
        <f>VLOOKUP(Inventory[[#This Row],[Decade]],Lookups!$O$25:$R$42,4,FALSE)</f>
        <v>1.0199</v>
      </c>
      <c r="BL498" s="25">
        <f>Inventory[[#This Row],[Nbhd Adj]]*0.95</f>
        <v>0.94971499999999998</v>
      </c>
      <c r="BM498" s="25">
        <f>Inventory[[#This Row],[Nbhd Adj]]*Inventory[[#This Row],[Quality Adj]]*Inventory[[#This Row],[Condition Adj]]*Inventory[[#This Row],[Living Area Adj]]*Inventory[[#This Row],[Decade Adj]]*0.95</f>
        <v>0.98783717894453682</v>
      </c>
      <c r="BN498" s="25">
        <f>ROUND(SUM(Inventory[[#This Row],[Mdl Qlty]:[Mdl WdDeck]])+Inventory[[#This Row],[Mdl Res Intercept]]*Inventory[[#This Row],[Res Adj ]],-2)</f>
        <v>268000</v>
      </c>
      <c r="BO498" s="25">
        <f>ROUND(Inventory[[#This Row],[25Det]]*Inventory[[#This Row],[Det/Nbhd Adj]],-2)</f>
        <v>0</v>
      </c>
      <c r="BP498" s="25">
        <f>Inventory[[#This Row],[Adjusted Res]]+Inventory[[#This Row],[Adj Det ]]</f>
        <v>268000</v>
      </c>
      <c r="BQ498" s="25">
        <f>ROUND((Inventory[[#This Row],[Mdl Land Intercept]]+Inventory[[#This Row],[Mdl LnAcres]])*Inventory[[#This Row],[Det/Nbhd Adj]],-2)</f>
        <v>24000</v>
      </c>
      <c r="BR498" s="25">
        <f>Inventory[[#This Row],[Adjusted Impr Total]]+Inventory[[#This Row],[Adjusted Land Total]]</f>
        <v>292000</v>
      </c>
      <c r="BS498" s="36">
        <f>IFERROR((Inventory[[#This Row],[Adjusted Impr Total]]-Inventory[[#This Row],[24Bldg]])/Inventory[[#This Row],[24Bldg]],0)</f>
        <v>6.2648691514670896E-2</v>
      </c>
      <c r="BT498" s="36">
        <f>(Inventory[[#This Row],[Adjusted Land Total]]-Inventory[[#This Row],[24Lnd]])/Inventory[[#This Row],[24Lnd]]</f>
        <v>-0.44700460829493088</v>
      </c>
      <c r="BU498" s="36">
        <f>(Inventory[[#This Row],[Adjusted Total]]-Inventory[[#This Row],[24Final]])/Inventory[[#This Row],[24Final]]</f>
        <v>-1.2178619756427604E-2</v>
      </c>
    </row>
    <row r="499" spans="1:73" x14ac:dyDescent="0.3">
      <c r="A499" s="25">
        <v>2025</v>
      </c>
      <c r="B499" s="26" t="s">
        <v>1608</v>
      </c>
      <c r="C499" s="26">
        <f>LN(Inventory[[#This Row],[Acres]])</f>
        <v>-1.5606477482646683</v>
      </c>
      <c r="D499" s="25">
        <v>0.21</v>
      </c>
      <c r="E499" s="31"/>
      <c r="F499" s="26" t="s">
        <v>537</v>
      </c>
      <c r="G499" s="26" t="s">
        <v>126</v>
      </c>
      <c r="H499" s="26" t="s">
        <v>349</v>
      </c>
      <c r="I499" s="26" t="s">
        <v>538</v>
      </c>
      <c r="J499" s="26" t="s">
        <v>539</v>
      </c>
      <c r="K499" s="26" t="s">
        <v>241</v>
      </c>
      <c r="L499" s="26" t="s">
        <v>302</v>
      </c>
      <c r="M499" s="26" t="s">
        <v>323</v>
      </c>
      <c r="N499" s="26">
        <v>70</v>
      </c>
      <c r="O499" s="26">
        <f>2024-Inventory[[#This Row],[YrBlt]]</f>
        <v>64</v>
      </c>
      <c r="P499" s="26">
        <f>2024-Inventory[[#This Row],[EffYr]]</f>
        <v>49</v>
      </c>
      <c r="Q499" s="25">
        <v>1960</v>
      </c>
      <c r="R499" s="25">
        <v>1975</v>
      </c>
      <c r="S499" s="25">
        <v>1412</v>
      </c>
      <c r="T499" s="27"/>
      <c r="U499" s="32">
        <v>1412</v>
      </c>
      <c r="V499" s="32">
        <f>Inventory[[#This Row],[Bsmt]]-Inventory[[#This Row],[FnBsmt]]</f>
        <v>0</v>
      </c>
      <c r="W499" s="32">
        <v>1412</v>
      </c>
      <c r="X499" s="27"/>
      <c r="Y499" s="27">
        <f>Inventory[[#This Row],[MainFn]]+Inventory[[#This Row],[UpprFn]]+Inventory[[#This Row],[FnBsmt]]+Inventory[[#This Row],[AddFn]]</f>
        <v>2824</v>
      </c>
      <c r="Z499" s="27">
        <v>3000</v>
      </c>
      <c r="AA499" s="25">
        <v>10</v>
      </c>
      <c r="AB499" s="32">
        <v>264</v>
      </c>
      <c r="AC499" s="27"/>
      <c r="AD499" s="27"/>
      <c r="AE499" s="27"/>
      <c r="AF499" s="27"/>
      <c r="AG499" s="27"/>
      <c r="AH499" s="27"/>
      <c r="AI499" s="25">
        <v>413961</v>
      </c>
      <c r="AJ499" s="25">
        <v>293912</v>
      </c>
      <c r="AK499" s="25">
        <v>0</v>
      </c>
      <c r="AL499" s="25">
        <v>371800</v>
      </c>
      <c r="AM499" s="25">
        <v>60100</v>
      </c>
      <c r="AN499" s="25">
        <v>311700</v>
      </c>
      <c r="AO499" s="25">
        <v>0</v>
      </c>
      <c r="AP499" s="25">
        <f>Lookups!$B$56*0</f>
        <v>0</v>
      </c>
      <c r="AQ499" s="25">
        <f>Lookups!$B$56*1</f>
        <v>89850.625589999996</v>
      </c>
      <c r="AR499" s="25">
        <f>Lookups!$B$57*Inventory[[#This Row],[LnAcres]]</f>
        <v>-49401.70477837498</v>
      </c>
      <c r="AS499" s="25">
        <f>VLOOKUP(Inventory[[#This Row],[Qlty]],Lookups!$A$62:$E$75,2,FALSE)</f>
        <v>29814.093161000001</v>
      </c>
      <c r="AT499" s="25">
        <f>VLOOKUP(Inventory[[#This Row],[Cnd]],Lookups!$A$76:$E$84,2,FALSE)</f>
        <v>160472.20319</v>
      </c>
      <c r="AU499" s="25">
        <f>Inventory[[#This Row],[EffAge]]*Lookups!$B$85</f>
        <v>-10929.2344245</v>
      </c>
      <c r="AV499" s="25">
        <f>Inventory[[#This Row],[MainFn]]*Lookups!$B$86</f>
        <v>69765.041866323998</v>
      </c>
      <c r="AW499" s="25">
        <f>Inventory[[#This Row],[UpprFn]]*Lookups!$B$87</f>
        <v>0</v>
      </c>
      <c r="AX499" s="25">
        <f>Inventory[[#This Row],[AddFn]]*Lookups!$B$88</f>
        <v>0</v>
      </c>
      <c r="AY499" s="25">
        <f>Inventory[[#This Row],[Bsmt]]*Lookups!$B$89</f>
        <v>41063.636088763997</v>
      </c>
      <c r="AZ499" s="25">
        <f>Inventory[[#This Row],[Fixtures]]*Lookups!$B$90</f>
        <v>37920.221052000001</v>
      </c>
      <c r="BA499" s="25">
        <f>Inventory[[#This Row],[WdDeck]]*Lookups!$B$91</f>
        <v>0</v>
      </c>
      <c r="BB499" s="25">
        <f>ROUND(Inventory[[#This Row],[25Det]],-2)</f>
        <v>0</v>
      </c>
      <c r="BC499" s="25">
        <f>ROUND(SUM(Inventory[[#This Row],[Mdl Qlty]:[Mdl WdDeck]])+Inventory[[#This Row],[Mdl Res Intercept]],-2)</f>
        <v>328100</v>
      </c>
      <c r="BD499" s="25">
        <f>ROUND(Inventory[[#This Row],[Mdl Land Intercept]]+Inventory[[#This Row],[Mdl LnAcres]],-2)</f>
        <v>40400</v>
      </c>
      <c r="BE499" s="25">
        <f>Inventory[[#This Row],[Unadj Res Value]]+Inventory[[#This Row],[Unadj Det Value]]+Inventory[[#This Row],[Unadj Land Value]]</f>
        <v>368500</v>
      </c>
      <c r="BF499" s="36">
        <f>(Inventory[[#This Row],[Unadj Total Value]]-Inventory[[#This Row],[24Final]])/Inventory[[#This Row],[24Final]]</f>
        <v>-8.8757396449704144E-3</v>
      </c>
      <c r="BG499" s="25">
        <f>VLOOKUP(Inventory[[#This Row],[Nbhd]],Lookups!$Q$2:$T$4,4,FALSE)</f>
        <v>0.99970000000000003</v>
      </c>
      <c r="BH499" s="25">
        <f>VLOOKUP(Inventory[[#This Row],[Qlty]],Lookups!$O$7:$R$21,4,FALSE)</f>
        <v>1.0088999999999999</v>
      </c>
      <c r="BI499" s="25">
        <f>VLOOKUP(Inventory[[#This Row],[Cnd]],Lookups!$T$7:$W$16,4,FALSE)</f>
        <v>0.99729999999999996</v>
      </c>
      <c r="BJ499" s="25">
        <f>VLOOKUP(Inventory[[#This Row],[LivArea Range]],Lookups!$T$25:$W$37,4,FALSE)</f>
        <v>0.96179999999999999</v>
      </c>
      <c r="BK499" s="25">
        <f>VLOOKUP(Inventory[[#This Row],[Decade]],Lookups!$O$25:$R$42,4,FALSE)</f>
        <v>1.0199</v>
      </c>
      <c r="BL499" s="25">
        <f>Inventory[[#This Row],[Nbhd Adj]]*0.95</f>
        <v>0.94971499999999998</v>
      </c>
      <c r="BM499" s="25">
        <f>Inventory[[#This Row],[Nbhd Adj]]*Inventory[[#This Row],[Quality Adj]]*Inventory[[#This Row],[Condition Adj]]*Inventory[[#This Row],[Living Area Adj]]*Inventory[[#This Row],[Decade Adj]]*0.95</f>
        <v>0.93736687670377261</v>
      </c>
      <c r="BN499" s="25">
        <f>ROUND(SUM(Inventory[[#This Row],[Mdl Qlty]:[Mdl WdDeck]])+Inventory[[#This Row],[Mdl Res Intercept]]*Inventory[[#This Row],[Res Adj ]],-2)</f>
        <v>328100</v>
      </c>
      <c r="BO499" s="25">
        <f>ROUND(Inventory[[#This Row],[25Det]]*Inventory[[#This Row],[Det/Nbhd Adj]],-2)</f>
        <v>0</v>
      </c>
      <c r="BP499" s="25">
        <f>Inventory[[#This Row],[Adjusted Res]]+Inventory[[#This Row],[Adj Det ]]</f>
        <v>328100</v>
      </c>
      <c r="BQ499" s="25">
        <f>ROUND((Inventory[[#This Row],[Mdl Land Intercept]]+Inventory[[#This Row],[Mdl LnAcres]])*Inventory[[#This Row],[Det/Nbhd Adj]],-2)</f>
        <v>38400</v>
      </c>
      <c r="BR499" s="25">
        <f>Inventory[[#This Row],[Adjusted Impr Total]]+Inventory[[#This Row],[Adjusted Land Total]]</f>
        <v>366500</v>
      </c>
      <c r="BS499" s="36">
        <f>IFERROR((Inventory[[#This Row],[Adjusted Impr Total]]-Inventory[[#This Row],[24Bldg]])/Inventory[[#This Row],[24Bldg]],0)</f>
        <v>5.2614693615656079E-2</v>
      </c>
      <c r="BT499" s="36">
        <f>(Inventory[[#This Row],[Adjusted Land Total]]-Inventory[[#This Row],[24Lnd]])/Inventory[[#This Row],[24Lnd]]</f>
        <v>-0.36106489184692181</v>
      </c>
      <c r="BU499" s="36">
        <f>(Inventory[[#This Row],[Adjusted Total]]-Inventory[[#This Row],[24Final]])/Inventory[[#This Row],[24Final]]</f>
        <v>-1.4254975793437331E-2</v>
      </c>
    </row>
    <row r="500" spans="1:73" x14ac:dyDescent="0.3">
      <c r="A500" s="25">
        <v>2025</v>
      </c>
      <c r="B500" s="26" t="s">
        <v>1599</v>
      </c>
      <c r="C500" s="26">
        <f>LN(Inventory[[#This Row],[Acres]])</f>
        <v>-1.5606477482646683</v>
      </c>
      <c r="D500" s="25">
        <v>0.21</v>
      </c>
      <c r="E500" s="31"/>
      <c r="F500" s="26" t="s">
        <v>537</v>
      </c>
      <c r="G500" s="26" t="s">
        <v>126</v>
      </c>
      <c r="H500" s="26" t="s">
        <v>349</v>
      </c>
      <c r="I500" s="26" t="s">
        <v>538</v>
      </c>
      <c r="J500" s="26" t="s">
        <v>539</v>
      </c>
      <c r="K500" s="26" t="s">
        <v>241</v>
      </c>
      <c r="L500" s="26" t="s">
        <v>302</v>
      </c>
      <c r="M500" s="26" t="s">
        <v>323</v>
      </c>
      <c r="N500" s="26">
        <v>70</v>
      </c>
      <c r="O500" s="26">
        <f>2024-Inventory[[#This Row],[YrBlt]]</f>
        <v>64</v>
      </c>
      <c r="P500" s="26">
        <f>2024-Inventory[[#This Row],[EffYr]]</f>
        <v>49</v>
      </c>
      <c r="Q500" s="25">
        <v>1960</v>
      </c>
      <c r="R500" s="25">
        <v>1975</v>
      </c>
      <c r="S500" s="25">
        <v>1440</v>
      </c>
      <c r="T500" s="31"/>
      <c r="U500" s="32">
        <v>1440</v>
      </c>
      <c r="V500" s="32">
        <f>Inventory[[#This Row],[Bsmt]]-Inventory[[#This Row],[FnBsmt]]</f>
        <v>150</v>
      </c>
      <c r="W500" s="32">
        <v>1290</v>
      </c>
      <c r="X500" s="27"/>
      <c r="Y500" s="27">
        <f>Inventory[[#This Row],[MainFn]]+Inventory[[#This Row],[UpprFn]]+Inventory[[#This Row],[FnBsmt]]+Inventory[[#This Row],[AddFn]]</f>
        <v>2730</v>
      </c>
      <c r="Z500" s="27">
        <v>3000</v>
      </c>
      <c r="AA500" s="25">
        <v>10</v>
      </c>
      <c r="AB500" s="27"/>
      <c r="AC500" s="27"/>
      <c r="AD500" s="27"/>
      <c r="AE500" s="27"/>
      <c r="AF500" s="27"/>
      <c r="AG500" s="27"/>
      <c r="AH500" s="27"/>
      <c r="AI500" s="25">
        <v>413640</v>
      </c>
      <c r="AJ500" s="25">
        <v>293684</v>
      </c>
      <c r="AK500" s="25">
        <v>9413</v>
      </c>
      <c r="AL500" s="25">
        <v>383400</v>
      </c>
      <c r="AM500" s="25">
        <v>60100</v>
      </c>
      <c r="AN500" s="25">
        <v>323300</v>
      </c>
      <c r="AO500" s="25">
        <v>0</v>
      </c>
      <c r="AP500" s="25">
        <f>Lookups!$B$56*0</f>
        <v>0</v>
      </c>
      <c r="AQ500" s="25">
        <f>Lookups!$B$56*1</f>
        <v>89850.625589999996</v>
      </c>
      <c r="AR500" s="25">
        <f>Lookups!$B$57*Inventory[[#This Row],[LnAcres]]</f>
        <v>-49401.70477837498</v>
      </c>
      <c r="AS500" s="25">
        <f>VLOOKUP(Inventory[[#This Row],[Qlty]],Lookups!$A$62:$E$75,2,FALSE)</f>
        <v>29814.093161000001</v>
      </c>
      <c r="AT500" s="25">
        <f>VLOOKUP(Inventory[[#This Row],[Cnd]],Lookups!$A$76:$E$84,2,FALSE)</f>
        <v>160472.20319</v>
      </c>
      <c r="AU500" s="25">
        <f>Inventory[[#This Row],[EffAge]]*Lookups!$B$85</f>
        <v>-10929.2344245</v>
      </c>
      <c r="AV500" s="25">
        <f>Inventory[[#This Row],[MainFn]]*Lookups!$B$86</f>
        <v>71148.484622880002</v>
      </c>
      <c r="AW500" s="25">
        <f>Inventory[[#This Row],[UpprFn]]*Lookups!$B$87</f>
        <v>0</v>
      </c>
      <c r="AX500" s="25">
        <f>Inventory[[#This Row],[AddFn]]*Lookups!$B$88</f>
        <v>0</v>
      </c>
      <c r="AY500" s="25">
        <f>Inventory[[#This Row],[Bsmt]]*Lookups!$B$89</f>
        <v>41877.929155679994</v>
      </c>
      <c r="AZ500" s="25">
        <f>Inventory[[#This Row],[Fixtures]]*Lookups!$B$90</f>
        <v>37920.221052000001</v>
      </c>
      <c r="BA500" s="25">
        <f>Inventory[[#This Row],[WdDeck]]*Lookups!$B$91</f>
        <v>0</v>
      </c>
      <c r="BB500" s="25">
        <f>ROUND(Inventory[[#This Row],[25Det]],-2)</f>
        <v>9400</v>
      </c>
      <c r="BC500" s="25">
        <f>ROUND(SUM(Inventory[[#This Row],[Mdl Qlty]:[Mdl WdDeck]])+Inventory[[#This Row],[Mdl Res Intercept]],-2)</f>
        <v>330300</v>
      </c>
      <c r="BD500" s="25">
        <f>ROUND(Inventory[[#This Row],[Mdl Land Intercept]]+Inventory[[#This Row],[Mdl LnAcres]],-2)</f>
        <v>40400</v>
      </c>
      <c r="BE500" s="25">
        <f>Inventory[[#This Row],[Unadj Res Value]]+Inventory[[#This Row],[Unadj Det Value]]+Inventory[[#This Row],[Unadj Land Value]]</f>
        <v>380100</v>
      </c>
      <c r="BF500" s="36">
        <f>(Inventory[[#This Row],[Unadj Total Value]]-Inventory[[#This Row],[24Final]])/Inventory[[#This Row],[24Final]]</f>
        <v>-8.6071987480438178E-3</v>
      </c>
      <c r="BG500" s="25">
        <f>VLOOKUP(Inventory[[#This Row],[Nbhd]],Lookups!$Q$2:$T$4,4,FALSE)</f>
        <v>0.99970000000000003</v>
      </c>
      <c r="BH500" s="25">
        <f>VLOOKUP(Inventory[[#This Row],[Qlty]],Lookups!$O$7:$R$21,4,FALSE)</f>
        <v>1.0088999999999999</v>
      </c>
      <c r="BI500" s="25">
        <f>VLOOKUP(Inventory[[#This Row],[Cnd]],Lookups!$T$7:$W$16,4,FALSE)</f>
        <v>0.99729999999999996</v>
      </c>
      <c r="BJ500" s="25">
        <f>VLOOKUP(Inventory[[#This Row],[LivArea Range]],Lookups!$T$25:$W$37,4,FALSE)</f>
        <v>0.96179999999999999</v>
      </c>
      <c r="BK500" s="25">
        <f>VLOOKUP(Inventory[[#This Row],[Decade]],Lookups!$O$25:$R$42,4,FALSE)</f>
        <v>1.0199</v>
      </c>
      <c r="BL500" s="25">
        <f>Inventory[[#This Row],[Nbhd Adj]]*0.95</f>
        <v>0.94971499999999998</v>
      </c>
      <c r="BM500" s="25">
        <f>Inventory[[#This Row],[Nbhd Adj]]*Inventory[[#This Row],[Quality Adj]]*Inventory[[#This Row],[Condition Adj]]*Inventory[[#This Row],[Living Area Adj]]*Inventory[[#This Row],[Decade Adj]]*0.95</f>
        <v>0.93736687670377261</v>
      </c>
      <c r="BN500" s="25">
        <f>ROUND(SUM(Inventory[[#This Row],[Mdl Qlty]:[Mdl WdDeck]])+Inventory[[#This Row],[Mdl Res Intercept]]*Inventory[[#This Row],[Res Adj ]],-2)</f>
        <v>330300</v>
      </c>
      <c r="BO500" s="25">
        <f>ROUND(Inventory[[#This Row],[25Det]]*Inventory[[#This Row],[Det/Nbhd Adj]],-2)</f>
        <v>8900</v>
      </c>
      <c r="BP500" s="25">
        <f>Inventory[[#This Row],[Adjusted Res]]+Inventory[[#This Row],[Adj Det ]]</f>
        <v>339200</v>
      </c>
      <c r="BQ500" s="25">
        <f>ROUND((Inventory[[#This Row],[Mdl Land Intercept]]+Inventory[[#This Row],[Mdl LnAcres]])*Inventory[[#This Row],[Det/Nbhd Adj]],-2)</f>
        <v>38400</v>
      </c>
      <c r="BR500" s="25">
        <f>Inventory[[#This Row],[Adjusted Impr Total]]+Inventory[[#This Row],[Adjusted Land Total]]</f>
        <v>377600</v>
      </c>
      <c r="BS500" s="36">
        <f>IFERROR((Inventory[[#This Row],[Adjusted Impr Total]]-Inventory[[#This Row],[24Bldg]])/Inventory[[#This Row],[24Bldg]],0)</f>
        <v>4.9180327868852458E-2</v>
      </c>
      <c r="BT500" s="36">
        <f>(Inventory[[#This Row],[Adjusted Land Total]]-Inventory[[#This Row],[24Lnd]])/Inventory[[#This Row],[24Lnd]]</f>
        <v>-0.36106489184692181</v>
      </c>
      <c r="BU500" s="36">
        <f>(Inventory[[#This Row],[Adjusted Total]]-Inventory[[#This Row],[24Final]])/Inventory[[#This Row],[24Final]]</f>
        <v>-1.5127803860198226E-2</v>
      </c>
    </row>
    <row r="501" spans="1:73" x14ac:dyDescent="0.3">
      <c r="A501" s="25">
        <v>2025</v>
      </c>
      <c r="B501" s="26" t="s">
        <v>746</v>
      </c>
      <c r="C501" s="26">
        <f>LN(Inventory[[#This Row],[Acres]])</f>
        <v>-1.0498221244986778</v>
      </c>
      <c r="D501" s="25">
        <v>0.35</v>
      </c>
      <c r="E501" s="25">
        <v>15096</v>
      </c>
      <c r="F501" s="26" t="s">
        <v>537</v>
      </c>
      <c r="G501" s="26" t="s">
        <v>126</v>
      </c>
      <c r="H501" s="26" t="s">
        <v>349</v>
      </c>
      <c r="I501" s="26" t="s">
        <v>538</v>
      </c>
      <c r="J501" s="26" t="s">
        <v>539</v>
      </c>
      <c r="K501" s="26" t="s">
        <v>241</v>
      </c>
      <c r="L501" s="26" t="s">
        <v>95</v>
      </c>
      <c r="M501" s="26" t="s">
        <v>303</v>
      </c>
      <c r="N501" s="26">
        <v>70</v>
      </c>
      <c r="O501" s="26">
        <f>2024-Inventory[[#This Row],[YrBlt]]</f>
        <v>64</v>
      </c>
      <c r="P501" s="26">
        <f>2024-Inventory[[#This Row],[EffYr]]</f>
        <v>49</v>
      </c>
      <c r="Q501" s="25">
        <v>1960</v>
      </c>
      <c r="R501" s="25">
        <v>1975</v>
      </c>
      <c r="S501" s="25">
        <v>2208</v>
      </c>
      <c r="T501" s="31"/>
      <c r="U501" s="27"/>
      <c r="V501" s="27">
        <f>Inventory[[#This Row],[Bsmt]]-Inventory[[#This Row],[FnBsmt]]</f>
        <v>0</v>
      </c>
      <c r="W501" s="27"/>
      <c r="X501" s="27"/>
      <c r="Y501" s="27">
        <f>Inventory[[#This Row],[MainFn]]+Inventory[[#This Row],[UpprFn]]+Inventory[[#This Row],[FnBsmt]]+Inventory[[#This Row],[AddFn]]</f>
        <v>2208</v>
      </c>
      <c r="Z501" s="27">
        <v>2500</v>
      </c>
      <c r="AA501" s="25">
        <v>10</v>
      </c>
      <c r="AB501" s="32">
        <v>480</v>
      </c>
      <c r="AC501" s="27"/>
      <c r="AD501" s="27"/>
      <c r="AE501" s="27"/>
      <c r="AF501" s="27"/>
      <c r="AG501" s="27"/>
      <c r="AH501" s="27"/>
      <c r="AI501" s="25">
        <v>557094</v>
      </c>
      <c r="AJ501" s="25">
        <v>412250</v>
      </c>
      <c r="AK501" s="25">
        <v>0</v>
      </c>
      <c r="AL501" s="25">
        <v>475000</v>
      </c>
      <c r="AM501" s="25">
        <v>77900</v>
      </c>
      <c r="AN501" s="25">
        <v>397100</v>
      </c>
      <c r="AO501" s="25">
        <v>0</v>
      </c>
      <c r="AP501" s="25">
        <f>Lookups!$B$56*0</f>
        <v>0</v>
      </c>
      <c r="AQ501" s="25">
        <f>Lookups!$B$56*1</f>
        <v>89850.625589999996</v>
      </c>
      <c r="AR501" s="25">
        <f>Lookups!$B$57*Inventory[[#This Row],[LnAcres]]</f>
        <v>-33231.715947405908</v>
      </c>
      <c r="AS501" s="25">
        <f>VLOOKUP(Inventory[[#This Row],[Qlty]],Lookups!$A$62:$E$75,2,FALSE)</f>
        <v>74268.409664999999</v>
      </c>
      <c r="AT501" s="25">
        <f>VLOOKUP(Inventory[[#This Row],[Cnd]],Lookups!$A$76:$E$84,2,FALSE)</f>
        <v>197752.34721000001</v>
      </c>
      <c r="AU501" s="25">
        <f>Inventory[[#This Row],[EffAge]]*Lookups!$B$85</f>
        <v>-10929.2344245</v>
      </c>
      <c r="AV501" s="25">
        <f>Inventory[[#This Row],[MainFn]]*Lookups!$B$86</f>
        <v>109094.343088416</v>
      </c>
      <c r="AW501" s="25">
        <f>Inventory[[#This Row],[UpprFn]]*Lookups!$B$87</f>
        <v>0</v>
      </c>
      <c r="AX501" s="25">
        <f>Inventory[[#This Row],[AddFn]]*Lookups!$B$88</f>
        <v>0</v>
      </c>
      <c r="AY501" s="25">
        <f>Inventory[[#This Row],[Bsmt]]*Lookups!$B$89</f>
        <v>0</v>
      </c>
      <c r="AZ501" s="25">
        <f>Inventory[[#This Row],[Fixtures]]*Lookups!$B$90</f>
        <v>37920.221052000001</v>
      </c>
      <c r="BA501" s="25">
        <f>Inventory[[#This Row],[WdDeck]]*Lookups!$B$91</f>
        <v>0</v>
      </c>
      <c r="BB501" s="25">
        <f>ROUND(Inventory[[#This Row],[25Det]],-2)</f>
        <v>0</v>
      </c>
      <c r="BC501" s="25">
        <f>ROUND(SUM(Inventory[[#This Row],[Mdl Qlty]:[Mdl WdDeck]])+Inventory[[#This Row],[Mdl Res Intercept]],-2)</f>
        <v>408100</v>
      </c>
      <c r="BD501" s="25">
        <f>ROUND(Inventory[[#This Row],[Mdl Land Intercept]]+Inventory[[#This Row],[Mdl LnAcres]],-2)</f>
        <v>56600</v>
      </c>
      <c r="BE501" s="25">
        <f>Inventory[[#This Row],[Unadj Res Value]]+Inventory[[#This Row],[Unadj Det Value]]+Inventory[[#This Row],[Unadj Land Value]]</f>
        <v>464700</v>
      </c>
      <c r="BF501" s="36">
        <f>(Inventory[[#This Row],[Unadj Total Value]]-Inventory[[#This Row],[24Final]])/Inventory[[#This Row],[24Final]]</f>
        <v>-2.1684210526315788E-2</v>
      </c>
      <c r="BG501" s="25">
        <f>VLOOKUP(Inventory[[#This Row],[Nbhd]],Lookups!$Q$2:$T$4,4,FALSE)</f>
        <v>0.99970000000000003</v>
      </c>
      <c r="BH501" s="25">
        <f>VLOOKUP(Inventory[[#This Row],[Qlty]],Lookups!$O$7:$R$21,4,FALSE)</f>
        <v>0.98380000000000001</v>
      </c>
      <c r="BI501" s="25">
        <f>VLOOKUP(Inventory[[#This Row],[Cnd]],Lookups!$T$7:$W$16,4,FALSE)</f>
        <v>0.99650000000000005</v>
      </c>
      <c r="BJ501" s="25">
        <f>VLOOKUP(Inventory[[#This Row],[LivArea Range]],Lookups!$T$25:$W$37,4,FALSE)</f>
        <v>0.98919999999999997</v>
      </c>
      <c r="BK501" s="25">
        <f>VLOOKUP(Inventory[[#This Row],[Decade]],Lookups!$O$25:$R$42,4,FALSE)</f>
        <v>1.0199</v>
      </c>
      <c r="BL501" s="25">
        <f>Inventory[[#This Row],[Nbhd Adj]]*0.95</f>
        <v>0.94971499999999998</v>
      </c>
      <c r="BM501" s="25">
        <f>Inventory[[#This Row],[Nbhd Adj]]*Inventory[[#This Row],[Quality Adj]]*Inventory[[#This Row],[Condition Adj]]*Inventory[[#This Row],[Living Area Adj]]*Inventory[[#This Row],[Decade Adj]]*0.95</f>
        <v>0.93933200115703741</v>
      </c>
      <c r="BN501" s="25">
        <f>ROUND(SUM(Inventory[[#This Row],[Mdl Qlty]:[Mdl WdDeck]])+Inventory[[#This Row],[Mdl Res Intercept]]*Inventory[[#This Row],[Res Adj ]],-2)</f>
        <v>408100</v>
      </c>
      <c r="BO501" s="25">
        <f>ROUND(Inventory[[#This Row],[25Det]]*Inventory[[#This Row],[Det/Nbhd Adj]],-2)</f>
        <v>0</v>
      </c>
      <c r="BP501" s="25">
        <f>Inventory[[#This Row],[Adjusted Res]]+Inventory[[#This Row],[Adj Det ]]</f>
        <v>408100</v>
      </c>
      <c r="BQ501" s="25">
        <f>ROUND((Inventory[[#This Row],[Mdl Land Intercept]]+Inventory[[#This Row],[Mdl LnAcres]])*Inventory[[#This Row],[Det/Nbhd Adj]],-2)</f>
        <v>53800</v>
      </c>
      <c r="BR501" s="25">
        <f>Inventory[[#This Row],[Adjusted Impr Total]]+Inventory[[#This Row],[Adjusted Land Total]]</f>
        <v>461900</v>
      </c>
      <c r="BS501" s="36">
        <f>IFERROR((Inventory[[#This Row],[Adjusted Impr Total]]-Inventory[[#This Row],[24Bldg]])/Inventory[[#This Row],[24Bldg]],0)</f>
        <v>2.7700831024930747E-2</v>
      </c>
      <c r="BT501" s="36">
        <f>(Inventory[[#This Row],[Adjusted Land Total]]-Inventory[[#This Row],[24Lnd]])/Inventory[[#This Row],[24Lnd]]</f>
        <v>-0.30937098844672656</v>
      </c>
      <c r="BU501" s="36">
        <f>(Inventory[[#This Row],[Adjusted Total]]-Inventory[[#This Row],[24Final]])/Inventory[[#This Row],[24Final]]</f>
        <v>-2.7578947368421054E-2</v>
      </c>
    </row>
    <row r="502" spans="1:73" x14ac:dyDescent="0.3">
      <c r="A502" s="25">
        <v>2025</v>
      </c>
      <c r="B502" s="26" t="s">
        <v>2678</v>
      </c>
      <c r="C502" s="26">
        <f>LN(Inventory[[#This Row],[Acres]])</f>
        <v>-1.2729656758128873</v>
      </c>
      <c r="D502" s="25">
        <v>0.28000000000000003</v>
      </c>
      <c r="E502" s="25">
        <v>12389</v>
      </c>
      <c r="F502" s="26" t="s">
        <v>537</v>
      </c>
      <c r="G502" s="26" t="s">
        <v>126</v>
      </c>
      <c r="H502" s="26" t="s">
        <v>349</v>
      </c>
      <c r="I502" s="26" t="s">
        <v>538</v>
      </c>
      <c r="J502" s="26" t="s">
        <v>539</v>
      </c>
      <c r="K502" s="26" t="s">
        <v>241</v>
      </c>
      <c r="L502" s="26" t="s">
        <v>95</v>
      </c>
      <c r="M502" s="26" t="s">
        <v>323</v>
      </c>
      <c r="N502" s="26">
        <v>70</v>
      </c>
      <c r="O502" s="26">
        <f>2024-Inventory[[#This Row],[YrBlt]]</f>
        <v>64</v>
      </c>
      <c r="P502" s="26">
        <f>2024-Inventory[[#This Row],[EffYr]]</f>
        <v>49</v>
      </c>
      <c r="Q502" s="25">
        <v>1960</v>
      </c>
      <c r="R502" s="25">
        <v>1975</v>
      </c>
      <c r="S502" s="25">
        <v>2093</v>
      </c>
      <c r="T502" s="27"/>
      <c r="U502" s="32">
        <v>1796</v>
      </c>
      <c r="V502" s="32">
        <f>Inventory[[#This Row],[Bsmt]]-Inventory[[#This Row],[FnBsmt]]</f>
        <v>0</v>
      </c>
      <c r="W502" s="32">
        <v>1796</v>
      </c>
      <c r="X502" s="27"/>
      <c r="Y502" s="27">
        <f>Inventory[[#This Row],[MainFn]]+Inventory[[#This Row],[UpprFn]]+Inventory[[#This Row],[FnBsmt]]+Inventory[[#This Row],[AddFn]]</f>
        <v>3889</v>
      </c>
      <c r="Z502" s="27">
        <v>4000</v>
      </c>
      <c r="AA502" s="25">
        <v>13</v>
      </c>
      <c r="AB502" s="27"/>
      <c r="AC502" s="27"/>
      <c r="AD502" s="32">
        <v>387</v>
      </c>
      <c r="AE502" s="27"/>
      <c r="AF502" s="27"/>
      <c r="AG502" s="27"/>
      <c r="AH502" s="27"/>
      <c r="AI502" s="25">
        <v>900035</v>
      </c>
      <c r="AJ502" s="25">
        <v>657026</v>
      </c>
      <c r="AK502" s="25">
        <v>10379</v>
      </c>
      <c r="AL502" s="25">
        <v>514900</v>
      </c>
      <c r="AM502" s="25">
        <v>70100</v>
      </c>
      <c r="AN502" s="25">
        <v>444800</v>
      </c>
      <c r="AO502" s="25">
        <v>0</v>
      </c>
      <c r="AP502" s="25">
        <f>Lookups!$B$56*0</f>
        <v>0</v>
      </c>
      <c r="AQ502" s="25">
        <f>Lookups!$B$56*1</f>
        <v>89850.625589999996</v>
      </c>
      <c r="AR502" s="25">
        <f>Lookups!$B$57*Inventory[[#This Row],[LnAcres]]</f>
        <v>-40295.239319339329</v>
      </c>
      <c r="AS502" s="25">
        <f>VLOOKUP(Inventory[[#This Row],[Qlty]],Lookups!$A$62:$E$75,2,FALSE)</f>
        <v>74268.409664999999</v>
      </c>
      <c r="AT502" s="25">
        <f>VLOOKUP(Inventory[[#This Row],[Cnd]],Lookups!$A$76:$E$84,2,FALSE)</f>
        <v>160472.20319</v>
      </c>
      <c r="AU502" s="25">
        <f>Inventory[[#This Row],[EffAge]]*Lookups!$B$85</f>
        <v>-10929.2344245</v>
      </c>
      <c r="AV502" s="25">
        <f>Inventory[[#This Row],[MainFn]]*Lookups!$B$86</f>
        <v>103412.346052561</v>
      </c>
      <c r="AW502" s="25">
        <f>Inventory[[#This Row],[UpprFn]]*Lookups!$B$87</f>
        <v>0</v>
      </c>
      <c r="AX502" s="25">
        <f>Inventory[[#This Row],[AddFn]]*Lookups!$B$88</f>
        <v>0</v>
      </c>
      <c r="AY502" s="25">
        <f>Inventory[[#This Row],[Bsmt]]*Lookups!$B$89</f>
        <v>52231.083863611995</v>
      </c>
      <c r="AZ502" s="25">
        <f>Inventory[[#This Row],[Fixtures]]*Lookups!$B$90</f>
        <v>49296.287367600002</v>
      </c>
      <c r="BA502" s="25">
        <f>Inventory[[#This Row],[WdDeck]]*Lookups!$B$91</f>
        <v>12885.364411812001</v>
      </c>
      <c r="BB502" s="25">
        <f>ROUND(Inventory[[#This Row],[25Det]],-2)</f>
        <v>10400</v>
      </c>
      <c r="BC502" s="25">
        <f>ROUND(SUM(Inventory[[#This Row],[Mdl Qlty]:[Mdl WdDeck]])+Inventory[[#This Row],[Mdl Res Intercept]],-2)</f>
        <v>441600</v>
      </c>
      <c r="BD502" s="25">
        <f>ROUND(Inventory[[#This Row],[Mdl Land Intercept]]+Inventory[[#This Row],[Mdl LnAcres]],-2)</f>
        <v>49600</v>
      </c>
      <c r="BE502" s="25">
        <f>Inventory[[#This Row],[Unadj Res Value]]+Inventory[[#This Row],[Unadj Det Value]]+Inventory[[#This Row],[Unadj Land Value]]</f>
        <v>501600</v>
      </c>
      <c r="BF502" s="36">
        <f>(Inventory[[#This Row],[Unadj Total Value]]-Inventory[[#This Row],[24Final]])/Inventory[[#This Row],[24Final]]</f>
        <v>-2.5830258302583026E-2</v>
      </c>
      <c r="BG502" s="25">
        <f>VLOOKUP(Inventory[[#This Row],[Nbhd]],Lookups!$Q$2:$T$4,4,FALSE)</f>
        <v>0.99970000000000003</v>
      </c>
      <c r="BH502" s="25">
        <f>VLOOKUP(Inventory[[#This Row],[Qlty]],Lookups!$O$7:$R$21,4,FALSE)</f>
        <v>0.98380000000000001</v>
      </c>
      <c r="BI502" s="25">
        <f>VLOOKUP(Inventory[[#This Row],[Cnd]],Lookups!$T$7:$W$16,4,FALSE)</f>
        <v>0.99729999999999996</v>
      </c>
      <c r="BJ502" s="25">
        <f>VLOOKUP(Inventory[[#This Row],[LivArea Range]],Lookups!$T$25:$W$37,4,FALSE)</f>
        <v>0.94579999999999997</v>
      </c>
      <c r="BK502" s="25">
        <f>VLOOKUP(Inventory[[#This Row],[Decade]],Lookups!$O$25:$R$42,4,FALSE)</f>
        <v>1.0199</v>
      </c>
      <c r="BL502" s="25">
        <f>Inventory[[#This Row],[Nbhd Adj]]*0.95</f>
        <v>0.94971499999999998</v>
      </c>
      <c r="BM502" s="25">
        <f>Inventory[[#This Row],[Nbhd Adj]]*Inventory[[#This Row],[Quality Adj]]*Inventory[[#This Row],[Condition Adj]]*Inventory[[#This Row],[Living Area Adj]]*Inventory[[#This Row],[Decade Adj]]*0.95</f>
        <v>0.89884092112146985</v>
      </c>
      <c r="BN502" s="25">
        <f>ROUND(SUM(Inventory[[#This Row],[Mdl Qlty]:[Mdl WdDeck]])+Inventory[[#This Row],[Mdl Res Intercept]]*Inventory[[#This Row],[Res Adj ]],-2)</f>
        <v>441600</v>
      </c>
      <c r="BO502" s="25">
        <f>ROUND(Inventory[[#This Row],[25Det]]*Inventory[[#This Row],[Det/Nbhd Adj]],-2)</f>
        <v>9900</v>
      </c>
      <c r="BP502" s="25">
        <f>Inventory[[#This Row],[Adjusted Res]]+Inventory[[#This Row],[Adj Det ]]</f>
        <v>451500</v>
      </c>
      <c r="BQ502" s="25">
        <f>ROUND((Inventory[[#This Row],[Mdl Land Intercept]]+Inventory[[#This Row],[Mdl LnAcres]])*Inventory[[#This Row],[Det/Nbhd Adj]],-2)</f>
        <v>47100</v>
      </c>
      <c r="BR502" s="25">
        <f>Inventory[[#This Row],[Adjusted Impr Total]]+Inventory[[#This Row],[Adjusted Land Total]]</f>
        <v>498600</v>
      </c>
      <c r="BS502" s="36">
        <f>IFERROR((Inventory[[#This Row],[Adjusted Impr Total]]-Inventory[[#This Row],[24Bldg]])/Inventory[[#This Row],[24Bldg]],0)</f>
        <v>1.506294964028777E-2</v>
      </c>
      <c r="BT502" s="36">
        <f>(Inventory[[#This Row],[Adjusted Land Total]]-Inventory[[#This Row],[24Lnd]])/Inventory[[#This Row],[24Lnd]]</f>
        <v>-0.32810271041369471</v>
      </c>
      <c r="BU502" s="36">
        <f>(Inventory[[#This Row],[Adjusted Total]]-Inventory[[#This Row],[24Final]])/Inventory[[#This Row],[24Final]]</f>
        <v>-3.1656632355797243E-2</v>
      </c>
    </row>
    <row r="503" spans="1:73" x14ac:dyDescent="0.3">
      <c r="A503" s="25">
        <v>2025</v>
      </c>
      <c r="B503" s="26" t="s">
        <v>712</v>
      </c>
      <c r="C503" s="26">
        <f>LN(Inventory[[#This Row],[Acres]])</f>
        <v>-1.1711829815029451</v>
      </c>
      <c r="D503" s="25">
        <v>0.31</v>
      </c>
      <c r="E503" s="25">
        <v>13471</v>
      </c>
      <c r="F503" s="26" t="s">
        <v>537</v>
      </c>
      <c r="G503" s="26" t="s">
        <v>126</v>
      </c>
      <c r="H503" s="26" t="s">
        <v>349</v>
      </c>
      <c r="I503" s="26" t="s">
        <v>538</v>
      </c>
      <c r="J503" s="26" t="s">
        <v>539</v>
      </c>
      <c r="K503" s="26" t="s">
        <v>241</v>
      </c>
      <c r="L503" s="26" t="s">
        <v>95</v>
      </c>
      <c r="M503" s="26" t="s">
        <v>323</v>
      </c>
      <c r="N503" s="26">
        <v>70</v>
      </c>
      <c r="O503" s="26">
        <f>2024-Inventory[[#This Row],[YrBlt]]</f>
        <v>64</v>
      </c>
      <c r="P503" s="26">
        <f>2024-Inventory[[#This Row],[EffYr]]</f>
        <v>49</v>
      </c>
      <c r="Q503" s="25">
        <v>1960</v>
      </c>
      <c r="R503" s="25">
        <v>1975</v>
      </c>
      <c r="S503" s="25">
        <v>2187</v>
      </c>
      <c r="T503" s="27"/>
      <c r="U503" s="32">
        <v>2187</v>
      </c>
      <c r="V503" s="32">
        <f>Inventory[[#This Row],[Bsmt]]-Inventory[[#This Row],[FnBsmt]]</f>
        <v>1162</v>
      </c>
      <c r="W503" s="32">
        <v>1025</v>
      </c>
      <c r="X503" s="27"/>
      <c r="Y503" s="27">
        <f>Inventory[[#This Row],[MainFn]]+Inventory[[#This Row],[UpprFn]]+Inventory[[#This Row],[FnBsmt]]+Inventory[[#This Row],[AddFn]]</f>
        <v>3212</v>
      </c>
      <c r="Z503" s="27">
        <v>3500</v>
      </c>
      <c r="AA503" s="25">
        <v>14</v>
      </c>
      <c r="AB503" s="32">
        <v>728</v>
      </c>
      <c r="AC503" s="27"/>
      <c r="AD503" s="32">
        <v>360</v>
      </c>
      <c r="AE503" s="27"/>
      <c r="AF503" s="27"/>
      <c r="AG503" s="27"/>
      <c r="AH503" s="27"/>
      <c r="AI503" s="25">
        <v>767931</v>
      </c>
      <c r="AJ503" s="25">
        <v>560590</v>
      </c>
      <c r="AK503" s="25">
        <v>0</v>
      </c>
      <c r="AL503" s="25">
        <v>527600</v>
      </c>
      <c r="AM503" s="25">
        <v>73700</v>
      </c>
      <c r="AN503" s="25">
        <v>453900</v>
      </c>
      <c r="AO503" s="25">
        <v>0</v>
      </c>
      <c r="AP503" s="25">
        <f>Lookups!$B$56*0</f>
        <v>0</v>
      </c>
      <c r="AQ503" s="25">
        <f>Lookups!$B$56*1</f>
        <v>89850.625589999996</v>
      </c>
      <c r="AR503" s="25">
        <f>Lookups!$B$57*Inventory[[#This Row],[LnAcres]]</f>
        <v>-37073.347241874442</v>
      </c>
      <c r="AS503" s="25">
        <f>VLOOKUP(Inventory[[#This Row],[Qlty]],Lookups!$A$62:$E$75,2,FALSE)</f>
        <v>74268.409664999999</v>
      </c>
      <c r="AT503" s="25">
        <f>VLOOKUP(Inventory[[#This Row],[Cnd]],Lookups!$A$76:$E$84,2,FALSE)</f>
        <v>160472.20319</v>
      </c>
      <c r="AU503" s="25">
        <f>Inventory[[#This Row],[EffAge]]*Lookups!$B$85</f>
        <v>-10929.2344245</v>
      </c>
      <c r="AV503" s="25">
        <f>Inventory[[#This Row],[MainFn]]*Lookups!$B$86</f>
        <v>108056.76102099901</v>
      </c>
      <c r="AW503" s="25">
        <f>Inventory[[#This Row],[UpprFn]]*Lookups!$B$87</f>
        <v>0</v>
      </c>
      <c r="AX503" s="25">
        <f>Inventory[[#This Row],[AddFn]]*Lookups!$B$88</f>
        <v>0</v>
      </c>
      <c r="AY503" s="25">
        <f>Inventory[[#This Row],[Bsmt]]*Lookups!$B$89</f>
        <v>63602.104905188993</v>
      </c>
      <c r="AZ503" s="25">
        <f>Inventory[[#This Row],[Fixtures]]*Lookups!$B$90</f>
        <v>53088.3094728</v>
      </c>
      <c r="BA503" s="25">
        <f>Inventory[[#This Row],[WdDeck]]*Lookups!$B$91</f>
        <v>11986.385499360002</v>
      </c>
      <c r="BB503" s="25">
        <f>ROUND(Inventory[[#This Row],[25Det]],-2)</f>
        <v>0</v>
      </c>
      <c r="BC503" s="25">
        <f>ROUND(SUM(Inventory[[#This Row],[Mdl Qlty]:[Mdl WdDeck]])+Inventory[[#This Row],[Mdl Res Intercept]],-2)</f>
        <v>460500</v>
      </c>
      <c r="BD503" s="25">
        <f>ROUND(Inventory[[#This Row],[Mdl Land Intercept]]+Inventory[[#This Row],[Mdl LnAcres]],-2)</f>
        <v>52800</v>
      </c>
      <c r="BE503" s="25">
        <f>Inventory[[#This Row],[Unadj Res Value]]+Inventory[[#This Row],[Unadj Det Value]]+Inventory[[#This Row],[Unadj Land Value]]</f>
        <v>513300</v>
      </c>
      <c r="BF503" s="36">
        <f>(Inventory[[#This Row],[Unadj Total Value]]-Inventory[[#This Row],[24Final]])/Inventory[[#This Row],[24Final]]</f>
        <v>-2.7103866565579986E-2</v>
      </c>
      <c r="BG503" s="25">
        <f>VLOOKUP(Inventory[[#This Row],[Nbhd]],Lookups!$Q$2:$T$4,4,FALSE)</f>
        <v>0.99970000000000003</v>
      </c>
      <c r="BH503" s="25">
        <f>VLOOKUP(Inventory[[#This Row],[Qlty]],Lookups!$O$7:$R$21,4,FALSE)</f>
        <v>0.98380000000000001</v>
      </c>
      <c r="BI503" s="25">
        <f>VLOOKUP(Inventory[[#This Row],[Cnd]],Lookups!$T$7:$W$16,4,FALSE)</f>
        <v>0.99729999999999996</v>
      </c>
      <c r="BJ503" s="25">
        <f>VLOOKUP(Inventory[[#This Row],[LivArea Range]],Lookups!$T$25:$W$37,4,FALSE)</f>
        <v>1.0126999999999999</v>
      </c>
      <c r="BK503" s="25">
        <f>VLOOKUP(Inventory[[#This Row],[Decade]],Lookups!$O$25:$R$42,4,FALSE)</f>
        <v>1.0199</v>
      </c>
      <c r="BL503" s="25">
        <f>Inventory[[#This Row],[Nbhd Adj]]*0.95</f>
        <v>0.94971499999999998</v>
      </c>
      <c r="BM503" s="25">
        <f>Inventory[[#This Row],[Nbhd Adj]]*Inventory[[#This Row],[Quality Adj]]*Inventory[[#This Row],[Condition Adj]]*Inventory[[#This Row],[Living Area Adj]]*Inventory[[#This Row],[Decade Adj]]*0.95</f>
        <v>0.96241932842008082</v>
      </c>
      <c r="BN503" s="25">
        <f>ROUND(SUM(Inventory[[#This Row],[Mdl Qlty]:[Mdl WdDeck]])+Inventory[[#This Row],[Mdl Res Intercept]]*Inventory[[#This Row],[Res Adj ]],-2)</f>
        <v>460500</v>
      </c>
      <c r="BO503" s="25">
        <f>ROUND(Inventory[[#This Row],[25Det]]*Inventory[[#This Row],[Det/Nbhd Adj]],-2)</f>
        <v>0</v>
      </c>
      <c r="BP503" s="25">
        <f>Inventory[[#This Row],[Adjusted Res]]+Inventory[[#This Row],[Adj Det ]]</f>
        <v>460500</v>
      </c>
      <c r="BQ503" s="25">
        <f>ROUND((Inventory[[#This Row],[Mdl Land Intercept]]+Inventory[[#This Row],[Mdl LnAcres]])*Inventory[[#This Row],[Det/Nbhd Adj]],-2)</f>
        <v>50100</v>
      </c>
      <c r="BR503" s="25">
        <f>Inventory[[#This Row],[Adjusted Impr Total]]+Inventory[[#This Row],[Adjusted Land Total]]</f>
        <v>510600</v>
      </c>
      <c r="BS503" s="36">
        <f>IFERROR((Inventory[[#This Row],[Adjusted Impr Total]]-Inventory[[#This Row],[24Bldg]])/Inventory[[#This Row],[24Bldg]],0)</f>
        <v>1.4540647719762063E-2</v>
      </c>
      <c r="BT503" s="36">
        <f>(Inventory[[#This Row],[Adjusted Land Total]]-Inventory[[#This Row],[24Lnd]])/Inventory[[#This Row],[24Lnd]]</f>
        <v>-0.32021709633649931</v>
      </c>
      <c r="BU503" s="36">
        <f>(Inventory[[#This Row],[Adjusted Total]]-Inventory[[#This Row],[24Final]])/Inventory[[#This Row],[24Final]]</f>
        <v>-3.2221379833206977E-2</v>
      </c>
    </row>
    <row r="504" spans="1:73" x14ac:dyDescent="0.3">
      <c r="A504" s="25">
        <v>2025</v>
      </c>
      <c r="B504" s="26" t="s">
        <v>2298</v>
      </c>
      <c r="C504" s="26">
        <f>LN(Inventory[[#This Row],[Acres]])</f>
        <v>-1.3470736479666092</v>
      </c>
      <c r="D504" s="25">
        <v>0.26</v>
      </c>
      <c r="E504" s="25">
        <v>11303</v>
      </c>
      <c r="F504" s="26" t="s">
        <v>537</v>
      </c>
      <c r="G504" s="26" t="s">
        <v>126</v>
      </c>
      <c r="H504" s="26" t="s">
        <v>349</v>
      </c>
      <c r="I504" s="26" t="s">
        <v>538</v>
      </c>
      <c r="J504" s="26" t="s">
        <v>539</v>
      </c>
      <c r="K504" s="26" t="s">
        <v>241</v>
      </c>
      <c r="L504" s="26" t="s">
        <v>95</v>
      </c>
      <c r="M504" s="26" t="s">
        <v>323</v>
      </c>
      <c r="N504" s="26">
        <v>70</v>
      </c>
      <c r="O504" s="26">
        <f>2024-Inventory[[#This Row],[YrBlt]]</f>
        <v>64</v>
      </c>
      <c r="P504" s="26">
        <f>2024-Inventory[[#This Row],[EffYr]]</f>
        <v>49</v>
      </c>
      <c r="Q504" s="25">
        <v>1960</v>
      </c>
      <c r="R504" s="25">
        <v>1975</v>
      </c>
      <c r="S504" s="25">
        <v>1449</v>
      </c>
      <c r="T504" s="31"/>
      <c r="U504" s="32">
        <v>1449</v>
      </c>
      <c r="V504" s="32">
        <f>Inventory[[#This Row],[Bsmt]]-Inventory[[#This Row],[FnBsmt]]</f>
        <v>446</v>
      </c>
      <c r="W504" s="32">
        <v>1003</v>
      </c>
      <c r="X504" s="27"/>
      <c r="Y504" s="27">
        <f>Inventory[[#This Row],[MainFn]]+Inventory[[#This Row],[UpprFn]]+Inventory[[#This Row],[FnBsmt]]+Inventory[[#This Row],[AddFn]]</f>
        <v>2452</v>
      </c>
      <c r="Z504" s="27">
        <v>2500</v>
      </c>
      <c r="AA504" s="25">
        <v>13</v>
      </c>
      <c r="AB504" s="32">
        <v>440</v>
      </c>
      <c r="AC504" s="27"/>
      <c r="AD504" s="32">
        <v>268</v>
      </c>
      <c r="AE504" s="27"/>
      <c r="AF504" s="27"/>
      <c r="AG504" s="27"/>
      <c r="AH504" s="27"/>
      <c r="AI504" s="25">
        <v>567342</v>
      </c>
      <c r="AJ504" s="25">
        <v>414160</v>
      </c>
      <c r="AK504" s="25">
        <v>0</v>
      </c>
      <c r="AL504" s="25">
        <v>457700</v>
      </c>
      <c r="AM504" s="25">
        <v>67600</v>
      </c>
      <c r="AN504" s="25">
        <v>390100</v>
      </c>
      <c r="AO504" s="25">
        <v>0</v>
      </c>
      <c r="AP504" s="25">
        <f>Lookups!$B$56*0</f>
        <v>0</v>
      </c>
      <c r="AQ504" s="25">
        <f>Lookups!$B$56*1</f>
        <v>89850.625589999996</v>
      </c>
      <c r="AR504" s="25">
        <f>Lookups!$B$57*Inventory[[#This Row],[LnAcres]]</f>
        <v>-42641.098701210125</v>
      </c>
      <c r="AS504" s="25">
        <f>VLOOKUP(Inventory[[#This Row],[Qlty]],Lookups!$A$62:$E$75,2,FALSE)</f>
        <v>74268.409664999999</v>
      </c>
      <c r="AT504" s="25">
        <f>VLOOKUP(Inventory[[#This Row],[Cnd]],Lookups!$A$76:$E$84,2,FALSE)</f>
        <v>160472.20319</v>
      </c>
      <c r="AU504" s="25">
        <f>Inventory[[#This Row],[EffAge]]*Lookups!$B$85</f>
        <v>-10929.2344245</v>
      </c>
      <c r="AV504" s="25">
        <f>Inventory[[#This Row],[MainFn]]*Lookups!$B$86</f>
        <v>71593.162651773004</v>
      </c>
      <c r="AW504" s="25">
        <f>Inventory[[#This Row],[UpprFn]]*Lookups!$B$87</f>
        <v>0</v>
      </c>
      <c r="AX504" s="25">
        <f>Inventory[[#This Row],[AddFn]]*Lookups!$B$88</f>
        <v>0</v>
      </c>
      <c r="AY504" s="25">
        <f>Inventory[[#This Row],[Bsmt]]*Lookups!$B$89</f>
        <v>42139.666212903001</v>
      </c>
      <c r="AZ504" s="25">
        <f>Inventory[[#This Row],[Fixtures]]*Lookups!$B$90</f>
        <v>49296.287367600002</v>
      </c>
      <c r="BA504" s="25">
        <f>Inventory[[#This Row],[WdDeck]]*Lookups!$B$91</f>
        <v>8923.1980939680016</v>
      </c>
      <c r="BB504" s="25">
        <f>ROUND(Inventory[[#This Row],[25Det]],-2)</f>
        <v>0</v>
      </c>
      <c r="BC504" s="25">
        <f>ROUND(SUM(Inventory[[#This Row],[Mdl Qlty]:[Mdl WdDeck]])+Inventory[[#This Row],[Mdl Res Intercept]],-2)</f>
        <v>395800</v>
      </c>
      <c r="BD504" s="25">
        <f>ROUND(Inventory[[#This Row],[Mdl Land Intercept]]+Inventory[[#This Row],[Mdl LnAcres]],-2)</f>
        <v>47200</v>
      </c>
      <c r="BE504" s="25">
        <f>Inventory[[#This Row],[Unadj Res Value]]+Inventory[[#This Row],[Unadj Det Value]]+Inventory[[#This Row],[Unadj Land Value]]</f>
        <v>443000</v>
      </c>
      <c r="BF504" s="36">
        <f>(Inventory[[#This Row],[Unadj Total Value]]-Inventory[[#This Row],[24Final]])/Inventory[[#This Row],[24Final]]</f>
        <v>-3.2117107275507976E-2</v>
      </c>
      <c r="BG504" s="25">
        <f>VLOOKUP(Inventory[[#This Row],[Nbhd]],Lookups!$Q$2:$T$4,4,FALSE)</f>
        <v>0.99970000000000003</v>
      </c>
      <c r="BH504" s="25">
        <f>VLOOKUP(Inventory[[#This Row],[Qlty]],Lookups!$O$7:$R$21,4,FALSE)</f>
        <v>0.98380000000000001</v>
      </c>
      <c r="BI504" s="25">
        <f>VLOOKUP(Inventory[[#This Row],[Cnd]],Lookups!$T$7:$W$16,4,FALSE)</f>
        <v>0.99729999999999996</v>
      </c>
      <c r="BJ504" s="25">
        <f>VLOOKUP(Inventory[[#This Row],[LivArea Range]],Lookups!$T$25:$W$37,4,FALSE)</f>
        <v>0.98919999999999997</v>
      </c>
      <c r="BK504" s="25">
        <f>VLOOKUP(Inventory[[#This Row],[Decade]],Lookups!$O$25:$R$42,4,FALSE)</f>
        <v>1.0199</v>
      </c>
      <c r="BL504" s="25">
        <f>Inventory[[#This Row],[Nbhd Adj]]*0.95</f>
        <v>0.94971499999999998</v>
      </c>
      <c r="BM504" s="25">
        <f>Inventory[[#This Row],[Nbhd Adj]]*Inventory[[#This Row],[Quality Adj]]*Inventory[[#This Row],[Condition Adj]]*Inventory[[#This Row],[Living Area Adj]]*Inventory[[#This Row],[Decade Adj]]*0.95</f>
        <v>0.94008610612535215</v>
      </c>
      <c r="BN504" s="25">
        <f>ROUND(SUM(Inventory[[#This Row],[Mdl Qlty]:[Mdl WdDeck]])+Inventory[[#This Row],[Mdl Res Intercept]]*Inventory[[#This Row],[Res Adj ]],-2)</f>
        <v>395800</v>
      </c>
      <c r="BO504" s="25">
        <f>ROUND(Inventory[[#This Row],[25Det]]*Inventory[[#This Row],[Det/Nbhd Adj]],-2)</f>
        <v>0</v>
      </c>
      <c r="BP504" s="25">
        <f>Inventory[[#This Row],[Adjusted Res]]+Inventory[[#This Row],[Adj Det ]]</f>
        <v>395800</v>
      </c>
      <c r="BQ504" s="25">
        <f>ROUND((Inventory[[#This Row],[Mdl Land Intercept]]+Inventory[[#This Row],[Mdl LnAcres]])*Inventory[[#This Row],[Det/Nbhd Adj]],-2)</f>
        <v>44800</v>
      </c>
      <c r="BR504" s="25">
        <f>Inventory[[#This Row],[Adjusted Impr Total]]+Inventory[[#This Row],[Adjusted Land Total]]</f>
        <v>440600</v>
      </c>
      <c r="BS504" s="36">
        <f>IFERROR((Inventory[[#This Row],[Adjusted Impr Total]]-Inventory[[#This Row],[24Bldg]])/Inventory[[#This Row],[24Bldg]],0)</f>
        <v>1.4611638041527814E-2</v>
      </c>
      <c r="BT504" s="36">
        <f>(Inventory[[#This Row],[Adjusted Land Total]]-Inventory[[#This Row],[24Lnd]])/Inventory[[#This Row],[24Lnd]]</f>
        <v>-0.33727810650887574</v>
      </c>
      <c r="BU504" s="36">
        <f>(Inventory[[#This Row],[Adjusted Total]]-Inventory[[#This Row],[24Final]])/Inventory[[#This Row],[24Final]]</f>
        <v>-3.7360716626611321E-2</v>
      </c>
    </row>
    <row r="505" spans="1:73" x14ac:dyDescent="0.3">
      <c r="A505" s="25">
        <v>2025</v>
      </c>
      <c r="B505" s="26" t="s">
        <v>2082</v>
      </c>
      <c r="C505" s="26">
        <f>LN(Inventory[[#This Row],[Acres]])</f>
        <v>-1.3093333199837622</v>
      </c>
      <c r="D505" s="25">
        <v>0.27</v>
      </c>
      <c r="E505" s="25">
        <v>11900</v>
      </c>
      <c r="F505" s="26" t="s">
        <v>537</v>
      </c>
      <c r="G505" s="26" t="s">
        <v>126</v>
      </c>
      <c r="H505" s="26" t="s">
        <v>349</v>
      </c>
      <c r="I505" s="26" t="s">
        <v>538</v>
      </c>
      <c r="J505" s="26" t="s">
        <v>539</v>
      </c>
      <c r="K505" s="26" t="s">
        <v>300</v>
      </c>
      <c r="L505" s="26" t="s">
        <v>148</v>
      </c>
      <c r="M505" s="26" t="s">
        <v>352</v>
      </c>
      <c r="N505" s="26">
        <v>70</v>
      </c>
      <c r="O505" s="26">
        <f>2024-Inventory[[#This Row],[YrBlt]]</f>
        <v>65</v>
      </c>
      <c r="P505" s="26">
        <f>2024-Inventory[[#This Row],[EffYr]]</f>
        <v>50</v>
      </c>
      <c r="Q505" s="25">
        <v>1959</v>
      </c>
      <c r="R505" s="25">
        <v>1974</v>
      </c>
      <c r="S505" s="25">
        <v>2656</v>
      </c>
      <c r="T505" s="31"/>
      <c r="U505" s="27"/>
      <c r="V505" s="27">
        <f>Inventory[[#This Row],[Bsmt]]-Inventory[[#This Row],[FnBsmt]]</f>
        <v>0</v>
      </c>
      <c r="W505" s="27"/>
      <c r="X505" s="27"/>
      <c r="Y505" s="27">
        <f>Inventory[[#This Row],[MainFn]]+Inventory[[#This Row],[UpprFn]]+Inventory[[#This Row],[FnBsmt]]+Inventory[[#This Row],[AddFn]]</f>
        <v>2656</v>
      </c>
      <c r="Z505" s="27">
        <v>3000</v>
      </c>
      <c r="AA505" s="25">
        <v>6</v>
      </c>
      <c r="AB505" s="32">
        <v>766</v>
      </c>
      <c r="AC505" s="27"/>
      <c r="AD505" s="27"/>
      <c r="AE505" s="27"/>
      <c r="AF505" s="27"/>
      <c r="AG505" s="27"/>
      <c r="AH505" s="27"/>
      <c r="AI505" s="25">
        <v>521545</v>
      </c>
      <c r="AJ505" s="25">
        <v>380728</v>
      </c>
      <c r="AK505" s="25">
        <v>0</v>
      </c>
      <c r="AL505" s="25">
        <v>441000</v>
      </c>
      <c r="AM505" s="25">
        <v>68900</v>
      </c>
      <c r="AN505" s="25">
        <v>372100</v>
      </c>
      <c r="AO505" s="25">
        <v>0</v>
      </c>
      <c r="AP505" s="25">
        <f>Lookups!$B$56*0</f>
        <v>0</v>
      </c>
      <c r="AQ505" s="25">
        <f>Lookups!$B$56*1</f>
        <v>89850.625589999996</v>
      </c>
      <c r="AR505" s="25">
        <f>Lookups!$B$57*Inventory[[#This Row],[LnAcres]]</f>
        <v>-41446.443120973789</v>
      </c>
      <c r="AS505" s="25">
        <f>VLOOKUP(Inventory[[#This Row],[Qlty]],Lookups!$A$62:$E$75,2,FALSE)</f>
        <v>44121.038090000002</v>
      </c>
      <c r="AT505" s="25">
        <f>VLOOKUP(Inventory[[#This Row],[Cnd]],Lookups!$A$76:$E$84,2,FALSE)</f>
        <v>284810.60806</v>
      </c>
      <c r="AU505" s="25">
        <f>Inventory[[#This Row],[EffAge]]*Lookups!$B$85</f>
        <v>-11152.280025</v>
      </c>
      <c r="AV505" s="25">
        <f>Inventory[[#This Row],[MainFn]]*Lookups!$B$86</f>
        <v>131229.427193312</v>
      </c>
      <c r="AW505" s="25">
        <f>Inventory[[#This Row],[UpprFn]]*Lookups!$B$87</f>
        <v>0</v>
      </c>
      <c r="AX505" s="25">
        <f>Inventory[[#This Row],[AddFn]]*Lookups!$B$88</f>
        <v>0</v>
      </c>
      <c r="AY505" s="25">
        <f>Inventory[[#This Row],[Bsmt]]*Lookups!$B$89</f>
        <v>0</v>
      </c>
      <c r="AZ505" s="25">
        <f>Inventory[[#This Row],[Fixtures]]*Lookups!$B$90</f>
        <v>22752.132631200002</v>
      </c>
      <c r="BA505" s="25">
        <f>Inventory[[#This Row],[WdDeck]]*Lookups!$B$91</f>
        <v>0</v>
      </c>
      <c r="BB505" s="25">
        <f>ROUND(Inventory[[#This Row],[25Det]],-2)</f>
        <v>0</v>
      </c>
      <c r="BC505" s="25">
        <f>ROUND(SUM(Inventory[[#This Row],[Mdl Qlty]:[Mdl WdDeck]])+Inventory[[#This Row],[Mdl Res Intercept]],-2)</f>
        <v>471800</v>
      </c>
      <c r="BD505" s="25">
        <f>ROUND(Inventory[[#This Row],[Mdl Land Intercept]]+Inventory[[#This Row],[Mdl LnAcres]],-2)</f>
        <v>48400</v>
      </c>
      <c r="BE505" s="25">
        <f>Inventory[[#This Row],[Unadj Res Value]]+Inventory[[#This Row],[Unadj Det Value]]+Inventory[[#This Row],[Unadj Land Value]]</f>
        <v>520200</v>
      </c>
      <c r="BF505" s="36">
        <f>(Inventory[[#This Row],[Unadj Total Value]]-Inventory[[#This Row],[24Final]])/Inventory[[#This Row],[24Final]]</f>
        <v>0.17959183673469387</v>
      </c>
      <c r="BG505" s="25">
        <f>VLOOKUP(Inventory[[#This Row],[Nbhd]],Lookups!$Q$2:$T$4,4,FALSE)</f>
        <v>0.99970000000000003</v>
      </c>
      <c r="BH505" s="25">
        <f>VLOOKUP(Inventory[[#This Row],[Qlty]],Lookups!$O$7:$R$21,4,FALSE)</f>
        <v>0.98050000000000004</v>
      </c>
      <c r="BI505" s="25">
        <f>VLOOKUP(Inventory[[#This Row],[Cnd]],Lookups!$T$7:$W$16,4,FALSE)</f>
        <v>1.0158</v>
      </c>
      <c r="BJ505" s="25">
        <f>VLOOKUP(Inventory[[#This Row],[LivArea Range]],Lookups!$T$25:$W$37,4,FALSE)</f>
        <v>0.96179999999999999</v>
      </c>
      <c r="BK505" s="25">
        <f>VLOOKUP(Inventory[[#This Row],[Decade]],Lookups!$O$25:$R$42,4,FALSE)</f>
        <v>1.0199</v>
      </c>
      <c r="BL505" s="25">
        <f>Inventory[[#This Row],[Nbhd Adj]]*0.95</f>
        <v>0.94971499999999998</v>
      </c>
      <c r="BM505" s="25">
        <f>Inventory[[#This Row],[Nbhd Adj]]*Inventory[[#This Row],[Quality Adj]]*Inventory[[#This Row],[Condition Adj]]*Inventory[[#This Row],[Living Area Adj]]*Inventory[[#This Row],[Decade Adj]]*0.95</f>
        <v>0.92787926203927951</v>
      </c>
      <c r="BN505" s="25">
        <f>ROUND(SUM(Inventory[[#This Row],[Mdl Qlty]:[Mdl WdDeck]])+Inventory[[#This Row],[Mdl Res Intercept]]*Inventory[[#This Row],[Res Adj ]],-2)</f>
        <v>471800</v>
      </c>
      <c r="BO505" s="25">
        <f>ROUND(Inventory[[#This Row],[25Det]]*Inventory[[#This Row],[Det/Nbhd Adj]],-2)</f>
        <v>0</v>
      </c>
      <c r="BP505" s="25">
        <f>Inventory[[#This Row],[Adjusted Res]]+Inventory[[#This Row],[Adj Det ]]</f>
        <v>471800</v>
      </c>
      <c r="BQ505" s="25">
        <f>ROUND((Inventory[[#This Row],[Mdl Land Intercept]]+Inventory[[#This Row],[Mdl LnAcres]])*Inventory[[#This Row],[Det/Nbhd Adj]],-2)</f>
        <v>46000</v>
      </c>
      <c r="BR505" s="25">
        <f>Inventory[[#This Row],[Adjusted Impr Total]]+Inventory[[#This Row],[Adjusted Land Total]]</f>
        <v>517800</v>
      </c>
      <c r="BS505" s="36">
        <f>IFERROR((Inventory[[#This Row],[Adjusted Impr Total]]-Inventory[[#This Row],[24Bldg]])/Inventory[[#This Row],[24Bldg]],0)</f>
        <v>0.2679387261488847</v>
      </c>
      <c r="BT505" s="36">
        <f>(Inventory[[#This Row],[Adjusted Land Total]]-Inventory[[#This Row],[24Lnd]])/Inventory[[#This Row],[24Lnd]]</f>
        <v>-0.33236574746008707</v>
      </c>
      <c r="BU505" s="36">
        <f>(Inventory[[#This Row],[Adjusted Total]]-Inventory[[#This Row],[24Final]])/Inventory[[#This Row],[24Final]]</f>
        <v>0.17414965986394557</v>
      </c>
    </row>
    <row r="506" spans="1:73" x14ac:dyDescent="0.3">
      <c r="A506" s="25">
        <v>2025</v>
      </c>
      <c r="B506" s="26" t="s">
        <v>2095</v>
      </c>
      <c r="C506" s="26">
        <f>LN(Inventory[[#This Row],[Acres]])</f>
        <v>-1.5606477482646683</v>
      </c>
      <c r="D506" s="25">
        <v>0.21</v>
      </c>
      <c r="E506" s="32">
        <v>9300</v>
      </c>
      <c r="F506" s="26" t="s">
        <v>537</v>
      </c>
      <c r="G506" s="26" t="s">
        <v>126</v>
      </c>
      <c r="H506" s="26" t="s">
        <v>349</v>
      </c>
      <c r="I506" s="26" t="s">
        <v>538</v>
      </c>
      <c r="J506" s="26" t="s">
        <v>539</v>
      </c>
      <c r="K506" s="26" t="s">
        <v>350</v>
      </c>
      <c r="L506" s="26" t="s">
        <v>148</v>
      </c>
      <c r="M506" s="26" t="s">
        <v>303</v>
      </c>
      <c r="N506" s="26">
        <v>70</v>
      </c>
      <c r="O506" s="26">
        <f>2024-Inventory[[#This Row],[YrBlt]]</f>
        <v>65</v>
      </c>
      <c r="P506" s="26">
        <f>2024-Inventory[[#This Row],[EffYr]]</f>
        <v>50</v>
      </c>
      <c r="Q506" s="25">
        <v>1959</v>
      </c>
      <c r="R506" s="25">
        <v>1974</v>
      </c>
      <c r="S506" s="25">
        <v>1448</v>
      </c>
      <c r="T506" s="27"/>
      <c r="U506" s="25">
        <v>1005</v>
      </c>
      <c r="V506" s="25">
        <f>Inventory[[#This Row],[Bsmt]]-Inventory[[#This Row],[FnBsmt]]</f>
        <v>813</v>
      </c>
      <c r="W506" s="25">
        <v>192</v>
      </c>
      <c r="X506" s="27"/>
      <c r="Y506" s="27">
        <f>Inventory[[#This Row],[MainFn]]+Inventory[[#This Row],[UpprFn]]+Inventory[[#This Row],[FnBsmt]]+Inventory[[#This Row],[AddFn]]</f>
        <v>1640</v>
      </c>
      <c r="Z506" s="27">
        <v>2000</v>
      </c>
      <c r="AA506" s="25">
        <v>10</v>
      </c>
      <c r="AB506" s="27"/>
      <c r="AC506" s="25">
        <v>260</v>
      </c>
      <c r="AD506" s="27"/>
      <c r="AE506" s="27"/>
      <c r="AF506" s="27"/>
      <c r="AG506" s="27"/>
      <c r="AH506" s="27"/>
      <c r="AI506" s="25">
        <v>421774</v>
      </c>
      <c r="AJ506" s="25">
        <v>303677</v>
      </c>
      <c r="AK506" s="25">
        <v>0</v>
      </c>
      <c r="AL506" s="25">
        <v>373800</v>
      </c>
      <c r="AM506" s="25">
        <v>60100</v>
      </c>
      <c r="AN506" s="25">
        <v>313700</v>
      </c>
      <c r="AO506" s="25">
        <v>0</v>
      </c>
      <c r="AP506" s="25">
        <f>Lookups!$B$56*0</f>
        <v>0</v>
      </c>
      <c r="AQ506" s="25">
        <f>Lookups!$B$56*1</f>
        <v>89850.625589999996</v>
      </c>
      <c r="AR506" s="25">
        <f>Lookups!$B$57*Inventory[[#This Row],[LnAcres]]</f>
        <v>-49401.70477837498</v>
      </c>
      <c r="AS506" s="25">
        <f>VLOOKUP(Inventory[[#This Row],[Qlty]],Lookups!$A$62:$E$75,2,FALSE)</f>
        <v>44121.038090000002</v>
      </c>
      <c r="AT506" s="25">
        <f>VLOOKUP(Inventory[[#This Row],[Cnd]],Lookups!$A$76:$E$84,2,FALSE)</f>
        <v>197752.34721000001</v>
      </c>
      <c r="AU506" s="25">
        <f>Inventory[[#This Row],[EffAge]]*Lookups!$B$85</f>
        <v>-11152.280025</v>
      </c>
      <c r="AV506" s="25">
        <f>Inventory[[#This Row],[MainFn]]*Lookups!$B$86</f>
        <v>71543.753981896007</v>
      </c>
      <c r="AW506" s="25">
        <f>Inventory[[#This Row],[UpprFn]]*Lookups!$B$87</f>
        <v>0</v>
      </c>
      <c r="AX506" s="25">
        <f>Inventory[[#This Row],[AddFn]]*Lookups!$B$88</f>
        <v>0</v>
      </c>
      <c r="AY506" s="25">
        <f>Inventory[[#This Row],[Bsmt]]*Lookups!$B$89</f>
        <v>29227.304723235</v>
      </c>
      <c r="AZ506" s="25">
        <f>Inventory[[#This Row],[Fixtures]]*Lookups!$B$90</f>
        <v>37920.221052000001</v>
      </c>
      <c r="BA506" s="25">
        <f>Inventory[[#This Row],[WdDeck]]*Lookups!$B$91</f>
        <v>0</v>
      </c>
      <c r="BB506" s="25">
        <f>ROUND(Inventory[[#This Row],[25Det]],-2)</f>
        <v>0</v>
      </c>
      <c r="BC506" s="25">
        <f>ROUND(SUM(Inventory[[#This Row],[Mdl Qlty]:[Mdl WdDeck]])+Inventory[[#This Row],[Mdl Res Intercept]],-2)</f>
        <v>369400</v>
      </c>
      <c r="BD506" s="25">
        <f>ROUND(Inventory[[#This Row],[Mdl Land Intercept]]+Inventory[[#This Row],[Mdl LnAcres]],-2)</f>
        <v>40400</v>
      </c>
      <c r="BE506" s="25">
        <f>Inventory[[#This Row],[Unadj Res Value]]+Inventory[[#This Row],[Unadj Det Value]]+Inventory[[#This Row],[Unadj Land Value]]</f>
        <v>409800</v>
      </c>
      <c r="BF506" s="36">
        <f>(Inventory[[#This Row],[Unadj Total Value]]-Inventory[[#This Row],[24Final]])/Inventory[[#This Row],[24Final]]</f>
        <v>9.6308186195826651E-2</v>
      </c>
      <c r="BG506" s="25">
        <f>VLOOKUP(Inventory[[#This Row],[Nbhd]],Lookups!$Q$2:$T$4,4,FALSE)</f>
        <v>0.99970000000000003</v>
      </c>
      <c r="BH506" s="25">
        <f>VLOOKUP(Inventory[[#This Row],[Qlty]],Lookups!$O$7:$R$21,4,FALSE)</f>
        <v>0.98050000000000004</v>
      </c>
      <c r="BI506" s="25">
        <f>VLOOKUP(Inventory[[#This Row],[Cnd]],Lookups!$T$7:$W$16,4,FALSE)</f>
        <v>0.99650000000000005</v>
      </c>
      <c r="BJ506" s="25">
        <f>VLOOKUP(Inventory[[#This Row],[LivArea Range]],Lookups!$T$25:$W$37,4,FALSE)</f>
        <v>1.0093000000000001</v>
      </c>
      <c r="BK506" s="25">
        <f>VLOOKUP(Inventory[[#This Row],[Decade]],Lookups!$O$25:$R$42,4,FALSE)</f>
        <v>1.0199</v>
      </c>
      <c r="BL506" s="25">
        <f>Inventory[[#This Row],[Nbhd Adj]]*0.95</f>
        <v>0.94971499999999998</v>
      </c>
      <c r="BM506" s="25">
        <f>Inventory[[#This Row],[Nbhd Adj]]*Inventory[[#This Row],[Quality Adj]]*Inventory[[#This Row],[Condition Adj]]*Inventory[[#This Row],[Living Area Adj]]*Inventory[[#This Row],[Decade Adj]]*0.95</f>
        <v>0.95520384832633376</v>
      </c>
      <c r="BN506" s="25">
        <f>ROUND(SUM(Inventory[[#This Row],[Mdl Qlty]:[Mdl WdDeck]])+Inventory[[#This Row],[Mdl Res Intercept]]*Inventory[[#This Row],[Res Adj ]],-2)</f>
        <v>369400</v>
      </c>
      <c r="BO506" s="25">
        <f>ROUND(Inventory[[#This Row],[25Det]]*Inventory[[#This Row],[Det/Nbhd Adj]],-2)</f>
        <v>0</v>
      </c>
      <c r="BP506" s="25">
        <f>Inventory[[#This Row],[Adjusted Res]]+Inventory[[#This Row],[Adj Det ]]</f>
        <v>369400</v>
      </c>
      <c r="BQ506" s="25">
        <f>ROUND((Inventory[[#This Row],[Mdl Land Intercept]]+Inventory[[#This Row],[Mdl LnAcres]])*Inventory[[#This Row],[Det/Nbhd Adj]],-2)</f>
        <v>38400</v>
      </c>
      <c r="BR506" s="25">
        <f>Inventory[[#This Row],[Adjusted Impr Total]]+Inventory[[#This Row],[Adjusted Land Total]]</f>
        <v>407800</v>
      </c>
      <c r="BS506" s="36">
        <f>IFERROR((Inventory[[#This Row],[Adjusted Impr Total]]-Inventory[[#This Row],[24Bldg]])/Inventory[[#This Row],[24Bldg]],0)</f>
        <v>0.17755817660184889</v>
      </c>
      <c r="BT506" s="36">
        <f>(Inventory[[#This Row],[Adjusted Land Total]]-Inventory[[#This Row],[24Lnd]])/Inventory[[#This Row],[24Lnd]]</f>
        <v>-0.36106489184692181</v>
      </c>
      <c r="BU506" s="36">
        <f>(Inventory[[#This Row],[Adjusted Total]]-Inventory[[#This Row],[24Final]])/Inventory[[#This Row],[24Final]]</f>
        <v>9.0957731407169604E-2</v>
      </c>
    </row>
    <row r="507" spans="1:73" x14ac:dyDescent="0.3">
      <c r="A507" s="25">
        <v>2025</v>
      </c>
      <c r="B507" s="26" t="s">
        <v>2480</v>
      </c>
      <c r="C507" s="26">
        <f>LN(Inventory[[#This Row],[Acres]])</f>
        <v>-1.6094379124341003</v>
      </c>
      <c r="D507" s="25">
        <v>0.2</v>
      </c>
      <c r="E507" s="32">
        <v>8680</v>
      </c>
      <c r="F507" s="26" t="s">
        <v>537</v>
      </c>
      <c r="G507" s="26" t="s">
        <v>126</v>
      </c>
      <c r="H507" s="26" t="s">
        <v>349</v>
      </c>
      <c r="I507" s="26" t="s">
        <v>538</v>
      </c>
      <c r="J507" s="26" t="s">
        <v>539</v>
      </c>
      <c r="K507" s="26" t="s">
        <v>241</v>
      </c>
      <c r="L507" s="26" t="s">
        <v>351</v>
      </c>
      <c r="M507" s="26" t="s">
        <v>323</v>
      </c>
      <c r="N507" s="26">
        <v>70</v>
      </c>
      <c r="O507" s="26">
        <f>2024-Inventory[[#This Row],[YrBlt]]</f>
        <v>65</v>
      </c>
      <c r="P507" s="26">
        <f>2024-Inventory[[#This Row],[EffYr]]</f>
        <v>50</v>
      </c>
      <c r="Q507" s="25">
        <v>1959</v>
      </c>
      <c r="R507" s="25">
        <v>1974</v>
      </c>
      <c r="S507" s="25">
        <v>1715</v>
      </c>
      <c r="T507" s="27"/>
      <c r="U507" s="25">
        <v>640</v>
      </c>
      <c r="V507" s="25">
        <f>Inventory[[#This Row],[Bsmt]]-Inventory[[#This Row],[FnBsmt]]</f>
        <v>640</v>
      </c>
      <c r="W507" s="31"/>
      <c r="X507" s="27"/>
      <c r="Y507" s="27">
        <f>Inventory[[#This Row],[MainFn]]+Inventory[[#This Row],[UpprFn]]+Inventory[[#This Row],[FnBsmt]]+Inventory[[#This Row],[AddFn]]</f>
        <v>1715</v>
      </c>
      <c r="Z507" s="27">
        <v>2000</v>
      </c>
      <c r="AA507" s="25">
        <v>8</v>
      </c>
      <c r="AB507" s="27"/>
      <c r="AC507" s="27"/>
      <c r="AD507" s="31"/>
      <c r="AE507" s="27"/>
      <c r="AF507" s="27"/>
      <c r="AG507" s="27"/>
      <c r="AH507" s="27"/>
      <c r="AI507" s="25">
        <v>294414</v>
      </c>
      <c r="AJ507" s="25">
        <v>206090</v>
      </c>
      <c r="AK507" s="25">
        <v>10950</v>
      </c>
      <c r="AL507" s="25">
        <v>334700</v>
      </c>
      <c r="AM507" s="25">
        <v>58400</v>
      </c>
      <c r="AN507" s="25">
        <v>276300</v>
      </c>
      <c r="AO507" s="25">
        <v>0</v>
      </c>
      <c r="AP507" s="25">
        <f>Lookups!$B$56*0</f>
        <v>0</v>
      </c>
      <c r="AQ507" s="25">
        <f>Lookups!$B$56*1</f>
        <v>89850.625589999996</v>
      </c>
      <c r="AR507" s="25">
        <f>Lookups!$B$57*Inventory[[#This Row],[LnAcres]]</f>
        <v>-50946.13867709865</v>
      </c>
      <c r="AS507" s="25">
        <f>VLOOKUP(Inventory[[#This Row],[Qlty]],Lookups!$A$62:$E$75,2,FALSE)</f>
        <v>21557.329055999999</v>
      </c>
      <c r="AT507" s="25">
        <f>VLOOKUP(Inventory[[#This Row],[Cnd]],Lookups!$A$76:$E$84,2,FALSE)</f>
        <v>160472.20319</v>
      </c>
      <c r="AU507" s="25">
        <f>Inventory[[#This Row],[EffAge]]*Lookups!$B$85</f>
        <v>-11152.280025</v>
      </c>
      <c r="AV507" s="25">
        <f>Inventory[[#This Row],[MainFn]]*Lookups!$B$86</f>
        <v>84735.868839055009</v>
      </c>
      <c r="AW507" s="25">
        <f>Inventory[[#This Row],[UpprFn]]*Lookups!$B$87</f>
        <v>0</v>
      </c>
      <c r="AX507" s="25">
        <f>Inventory[[#This Row],[AddFn]]*Lookups!$B$88</f>
        <v>0</v>
      </c>
      <c r="AY507" s="25">
        <f>Inventory[[#This Row],[Bsmt]]*Lookups!$B$89</f>
        <v>18612.41295808</v>
      </c>
      <c r="AZ507" s="25">
        <f>Inventory[[#This Row],[Fixtures]]*Lookups!$B$90</f>
        <v>30336.176841600001</v>
      </c>
      <c r="BA507" s="25">
        <f>Inventory[[#This Row],[WdDeck]]*Lookups!$B$91</f>
        <v>0</v>
      </c>
      <c r="BB507" s="25">
        <f>ROUND(Inventory[[#This Row],[25Det]],-2)</f>
        <v>11000</v>
      </c>
      <c r="BC507" s="25">
        <f>ROUND(SUM(Inventory[[#This Row],[Mdl Qlty]:[Mdl WdDeck]])+Inventory[[#This Row],[Mdl Res Intercept]],-2)</f>
        <v>304600</v>
      </c>
      <c r="BD507" s="25">
        <f>ROUND(Inventory[[#This Row],[Mdl Land Intercept]]+Inventory[[#This Row],[Mdl LnAcres]],-2)</f>
        <v>38900</v>
      </c>
      <c r="BE507" s="25">
        <f>Inventory[[#This Row],[Unadj Res Value]]+Inventory[[#This Row],[Unadj Det Value]]+Inventory[[#This Row],[Unadj Land Value]]</f>
        <v>354500</v>
      </c>
      <c r="BF507" s="36">
        <f>(Inventory[[#This Row],[Unadj Total Value]]-Inventory[[#This Row],[24Final]])/Inventory[[#This Row],[24Final]]</f>
        <v>5.915745443680908E-2</v>
      </c>
      <c r="BG507" s="25">
        <f>VLOOKUP(Inventory[[#This Row],[Nbhd]],Lookups!$Q$2:$T$4,4,FALSE)</f>
        <v>0.99970000000000003</v>
      </c>
      <c r="BH507" s="25">
        <f>VLOOKUP(Inventory[[#This Row],[Qlty]],Lookups!$O$7:$R$21,4,FALSE)</f>
        <v>1.0067999999999999</v>
      </c>
      <c r="BI507" s="25">
        <f>VLOOKUP(Inventory[[#This Row],[Cnd]],Lookups!$T$7:$W$16,4,FALSE)</f>
        <v>0.99729999999999996</v>
      </c>
      <c r="BJ507" s="25">
        <f>VLOOKUP(Inventory[[#This Row],[LivArea Range]],Lookups!$T$25:$W$37,4,FALSE)</f>
        <v>1.0093000000000001</v>
      </c>
      <c r="BK507" s="25">
        <f>VLOOKUP(Inventory[[#This Row],[Decade]],Lookups!$O$25:$R$42,4,FALSE)</f>
        <v>1.0199</v>
      </c>
      <c r="BL507" s="25">
        <f>Inventory[[#This Row],[Nbhd Adj]]*0.95</f>
        <v>0.94971499999999998</v>
      </c>
      <c r="BM507" s="25">
        <f>Inventory[[#This Row],[Nbhd Adj]]*Inventory[[#This Row],[Quality Adj]]*Inventory[[#This Row],[Condition Adj]]*Inventory[[#This Row],[Living Area Adj]]*Inventory[[#This Row],[Decade Adj]]*0.95</f>
        <v>0.98161274461821502</v>
      </c>
      <c r="BN507" s="25">
        <f>ROUND(SUM(Inventory[[#This Row],[Mdl Qlty]:[Mdl WdDeck]])+Inventory[[#This Row],[Mdl Res Intercept]]*Inventory[[#This Row],[Res Adj ]],-2)</f>
        <v>304600</v>
      </c>
      <c r="BO507" s="25">
        <f>ROUND(Inventory[[#This Row],[25Det]]*Inventory[[#This Row],[Det/Nbhd Adj]],-2)</f>
        <v>10400</v>
      </c>
      <c r="BP507" s="25">
        <f>Inventory[[#This Row],[Adjusted Res]]+Inventory[[#This Row],[Adj Det ]]</f>
        <v>315000</v>
      </c>
      <c r="BQ507" s="25">
        <f>ROUND((Inventory[[#This Row],[Mdl Land Intercept]]+Inventory[[#This Row],[Mdl LnAcres]])*Inventory[[#This Row],[Det/Nbhd Adj]],-2)</f>
        <v>36900</v>
      </c>
      <c r="BR507" s="25">
        <f>Inventory[[#This Row],[Adjusted Impr Total]]+Inventory[[#This Row],[Adjusted Land Total]]</f>
        <v>351900</v>
      </c>
      <c r="BS507" s="36">
        <f>IFERROR((Inventory[[#This Row],[Adjusted Impr Total]]-Inventory[[#This Row],[24Bldg]])/Inventory[[#This Row],[24Bldg]],0)</f>
        <v>0.14006514657980457</v>
      </c>
      <c r="BT507" s="36">
        <f>(Inventory[[#This Row],[Adjusted Land Total]]-Inventory[[#This Row],[24Lnd]])/Inventory[[#This Row],[24Lnd]]</f>
        <v>-0.36815068493150682</v>
      </c>
      <c r="BU507" s="36">
        <f>(Inventory[[#This Row],[Adjusted Total]]-Inventory[[#This Row],[24Final]])/Inventory[[#This Row],[24Final]]</f>
        <v>5.1389303854197786E-2</v>
      </c>
    </row>
    <row r="508" spans="1:73" x14ac:dyDescent="0.3">
      <c r="A508" s="25">
        <v>2025</v>
      </c>
      <c r="B508" s="26" t="s">
        <v>2532</v>
      </c>
      <c r="C508" s="26">
        <f>LN(Inventory[[#This Row],[Acres]])</f>
        <v>-1.5606477482646683</v>
      </c>
      <c r="D508" s="25">
        <v>0.21</v>
      </c>
      <c r="E508" s="27"/>
      <c r="F508" s="26" t="s">
        <v>537</v>
      </c>
      <c r="G508" s="26" t="s">
        <v>126</v>
      </c>
      <c r="H508" s="26" t="s">
        <v>349</v>
      </c>
      <c r="I508" s="26" t="s">
        <v>538</v>
      </c>
      <c r="J508" s="26" t="s">
        <v>539</v>
      </c>
      <c r="K508" s="26" t="s">
        <v>300</v>
      </c>
      <c r="L508" s="26" t="s">
        <v>302</v>
      </c>
      <c r="M508" s="26" t="s">
        <v>303</v>
      </c>
      <c r="N508" s="26">
        <v>70</v>
      </c>
      <c r="O508" s="26">
        <f>2024-Inventory[[#This Row],[YrBlt]]</f>
        <v>65</v>
      </c>
      <c r="P508" s="26">
        <f>2024-Inventory[[#This Row],[EffYr]]</f>
        <v>50</v>
      </c>
      <c r="Q508" s="25">
        <v>1959</v>
      </c>
      <c r="R508" s="25">
        <v>1974</v>
      </c>
      <c r="S508" s="25">
        <v>1572</v>
      </c>
      <c r="T508" s="27"/>
      <c r="U508" s="31"/>
      <c r="V508" s="31">
        <f>Inventory[[#This Row],[Bsmt]]-Inventory[[#This Row],[FnBsmt]]</f>
        <v>0</v>
      </c>
      <c r="W508" s="31"/>
      <c r="X508" s="27"/>
      <c r="Y508" s="27">
        <f>Inventory[[#This Row],[MainFn]]+Inventory[[#This Row],[UpprFn]]+Inventory[[#This Row],[FnBsmt]]+Inventory[[#This Row],[AddFn]]</f>
        <v>1572</v>
      </c>
      <c r="Z508" s="27">
        <v>2000</v>
      </c>
      <c r="AA508" s="25">
        <v>8</v>
      </c>
      <c r="AB508" s="27"/>
      <c r="AC508" s="27"/>
      <c r="AD508" s="27"/>
      <c r="AE508" s="27"/>
      <c r="AF508" s="27"/>
      <c r="AG508" s="27"/>
      <c r="AH508" s="27"/>
      <c r="AI508" s="25">
        <v>316741</v>
      </c>
      <c r="AJ508" s="25">
        <v>228054</v>
      </c>
      <c r="AK508" s="25">
        <v>0</v>
      </c>
      <c r="AL508" s="25">
        <v>345200</v>
      </c>
      <c r="AM508" s="25">
        <v>60100</v>
      </c>
      <c r="AN508" s="25">
        <v>285100</v>
      </c>
      <c r="AO508" s="25">
        <v>0</v>
      </c>
      <c r="AP508" s="25">
        <f>Lookups!$B$56*0</f>
        <v>0</v>
      </c>
      <c r="AQ508" s="25">
        <f>Lookups!$B$56*1</f>
        <v>89850.625589999996</v>
      </c>
      <c r="AR508" s="25">
        <f>Lookups!$B$57*Inventory[[#This Row],[LnAcres]]</f>
        <v>-49401.70477837498</v>
      </c>
      <c r="AS508" s="25">
        <f>VLOOKUP(Inventory[[#This Row],[Qlty]],Lookups!$A$62:$E$75,2,FALSE)</f>
        <v>29814.093161000001</v>
      </c>
      <c r="AT508" s="25">
        <f>VLOOKUP(Inventory[[#This Row],[Cnd]],Lookups!$A$76:$E$84,2,FALSE)</f>
        <v>197752.34721000001</v>
      </c>
      <c r="AU508" s="25">
        <f>Inventory[[#This Row],[EffAge]]*Lookups!$B$85</f>
        <v>-11152.280025</v>
      </c>
      <c r="AV508" s="25">
        <f>Inventory[[#This Row],[MainFn]]*Lookups!$B$86</f>
        <v>77670.429046644</v>
      </c>
      <c r="AW508" s="25">
        <f>Inventory[[#This Row],[UpprFn]]*Lookups!$B$87</f>
        <v>0</v>
      </c>
      <c r="AX508" s="25">
        <f>Inventory[[#This Row],[AddFn]]*Lookups!$B$88</f>
        <v>0</v>
      </c>
      <c r="AY508" s="25">
        <f>Inventory[[#This Row],[Bsmt]]*Lookups!$B$89</f>
        <v>0</v>
      </c>
      <c r="AZ508" s="25">
        <f>Inventory[[#This Row],[Fixtures]]*Lookups!$B$90</f>
        <v>30336.176841600001</v>
      </c>
      <c r="BA508" s="25">
        <f>Inventory[[#This Row],[WdDeck]]*Lookups!$B$91</f>
        <v>0</v>
      </c>
      <c r="BB508" s="25">
        <f>ROUND(Inventory[[#This Row],[25Det]],-2)</f>
        <v>0</v>
      </c>
      <c r="BC508" s="25">
        <f>ROUND(SUM(Inventory[[#This Row],[Mdl Qlty]:[Mdl WdDeck]])+Inventory[[#This Row],[Mdl Res Intercept]],-2)</f>
        <v>324400</v>
      </c>
      <c r="BD508" s="25">
        <f>ROUND(Inventory[[#This Row],[Mdl Land Intercept]]+Inventory[[#This Row],[Mdl LnAcres]],-2)</f>
        <v>40400</v>
      </c>
      <c r="BE508" s="25">
        <f>Inventory[[#This Row],[Unadj Res Value]]+Inventory[[#This Row],[Unadj Det Value]]+Inventory[[#This Row],[Unadj Land Value]]</f>
        <v>364800</v>
      </c>
      <c r="BF508" s="36">
        <f>(Inventory[[#This Row],[Unadj Total Value]]-Inventory[[#This Row],[24Final]])/Inventory[[#This Row],[24Final]]</f>
        <v>5.6778679026651215E-2</v>
      </c>
      <c r="BG508" s="25">
        <f>VLOOKUP(Inventory[[#This Row],[Nbhd]],Lookups!$Q$2:$T$4,4,FALSE)</f>
        <v>0.99970000000000003</v>
      </c>
      <c r="BH508" s="25">
        <f>VLOOKUP(Inventory[[#This Row],[Qlty]],Lookups!$O$7:$R$21,4,FALSE)</f>
        <v>1.0088999999999999</v>
      </c>
      <c r="BI508" s="25">
        <f>VLOOKUP(Inventory[[#This Row],[Cnd]],Lookups!$T$7:$W$16,4,FALSE)</f>
        <v>0.99650000000000005</v>
      </c>
      <c r="BJ508" s="25">
        <f>VLOOKUP(Inventory[[#This Row],[LivArea Range]],Lookups!$T$25:$W$37,4,FALSE)</f>
        <v>1.0093000000000001</v>
      </c>
      <c r="BK508" s="25">
        <f>VLOOKUP(Inventory[[#This Row],[Decade]],Lookups!$O$25:$R$42,4,FALSE)</f>
        <v>1.0199</v>
      </c>
      <c r="BL508" s="25">
        <f>Inventory[[#This Row],[Nbhd Adj]]*0.95</f>
        <v>0.94971499999999998</v>
      </c>
      <c r="BM508" s="25">
        <f>Inventory[[#This Row],[Nbhd Adj]]*Inventory[[#This Row],[Quality Adj]]*Inventory[[#This Row],[Condition Adj]]*Inventory[[#This Row],[Living Area Adj]]*Inventory[[#This Row],[Decade Adj]]*0.95</f>
        <v>0.98287115000146663</v>
      </c>
      <c r="BN508" s="25">
        <f>ROUND(SUM(Inventory[[#This Row],[Mdl Qlty]:[Mdl WdDeck]])+Inventory[[#This Row],[Mdl Res Intercept]]*Inventory[[#This Row],[Res Adj ]],-2)</f>
        <v>324400</v>
      </c>
      <c r="BO508" s="25">
        <f>ROUND(Inventory[[#This Row],[25Det]]*Inventory[[#This Row],[Det/Nbhd Adj]],-2)</f>
        <v>0</v>
      </c>
      <c r="BP508" s="25">
        <f>Inventory[[#This Row],[Adjusted Res]]+Inventory[[#This Row],[Adj Det ]]</f>
        <v>324400</v>
      </c>
      <c r="BQ508" s="25">
        <f>ROUND((Inventory[[#This Row],[Mdl Land Intercept]]+Inventory[[#This Row],[Mdl LnAcres]])*Inventory[[#This Row],[Det/Nbhd Adj]],-2)</f>
        <v>38400</v>
      </c>
      <c r="BR508" s="25">
        <f>Inventory[[#This Row],[Adjusted Impr Total]]+Inventory[[#This Row],[Adjusted Land Total]]</f>
        <v>362800</v>
      </c>
      <c r="BS508" s="36">
        <f>IFERROR((Inventory[[#This Row],[Adjusted Impr Total]]-Inventory[[#This Row],[24Bldg]])/Inventory[[#This Row],[24Bldg]],0)</f>
        <v>0.1378463696948439</v>
      </c>
      <c r="BT508" s="36">
        <f>(Inventory[[#This Row],[Adjusted Land Total]]-Inventory[[#This Row],[24Lnd]])/Inventory[[#This Row],[24Lnd]]</f>
        <v>-0.36106489184692181</v>
      </c>
      <c r="BU508" s="36">
        <f>(Inventory[[#This Row],[Adjusted Total]]-Inventory[[#This Row],[24Final]])/Inventory[[#This Row],[24Final]]</f>
        <v>5.0984936268829661E-2</v>
      </c>
    </row>
    <row r="509" spans="1:73" x14ac:dyDescent="0.3">
      <c r="A509" s="25">
        <v>2025</v>
      </c>
      <c r="B509" s="26" t="s">
        <v>1359</v>
      </c>
      <c r="C509" s="26">
        <f>LN(Inventory[[#This Row],[Acres]])</f>
        <v>-1.4696759700589417</v>
      </c>
      <c r="D509" s="25">
        <v>0.23</v>
      </c>
      <c r="E509" s="25">
        <v>10158</v>
      </c>
      <c r="F509" s="26" t="s">
        <v>537</v>
      </c>
      <c r="G509" s="26" t="s">
        <v>126</v>
      </c>
      <c r="H509" s="26" t="s">
        <v>349</v>
      </c>
      <c r="I509" s="26" t="s">
        <v>538</v>
      </c>
      <c r="J509" s="26" t="s">
        <v>539</v>
      </c>
      <c r="K509" s="26" t="s">
        <v>241</v>
      </c>
      <c r="L509" s="26" t="s">
        <v>302</v>
      </c>
      <c r="M509" s="26" t="s">
        <v>323</v>
      </c>
      <c r="N509" s="26">
        <v>70</v>
      </c>
      <c r="O509" s="26">
        <f>2024-Inventory[[#This Row],[YrBlt]]</f>
        <v>65</v>
      </c>
      <c r="P509" s="26">
        <f>2024-Inventory[[#This Row],[EffYr]]</f>
        <v>50</v>
      </c>
      <c r="Q509" s="25">
        <v>1959</v>
      </c>
      <c r="R509" s="25">
        <v>1974</v>
      </c>
      <c r="S509" s="25">
        <v>1956</v>
      </c>
      <c r="T509" s="27"/>
      <c r="U509" s="31"/>
      <c r="V509" s="31">
        <f>Inventory[[#This Row],[Bsmt]]-Inventory[[#This Row],[FnBsmt]]</f>
        <v>0</v>
      </c>
      <c r="W509" s="31"/>
      <c r="X509" s="27"/>
      <c r="Y509" s="27">
        <f>Inventory[[#This Row],[MainFn]]+Inventory[[#This Row],[UpprFn]]+Inventory[[#This Row],[FnBsmt]]+Inventory[[#This Row],[AddFn]]</f>
        <v>1956</v>
      </c>
      <c r="Z509" s="27">
        <v>2000</v>
      </c>
      <c r="AA509" s="25">
        <v>9</v>
      </c>
      <c r="AB509" s="27"/>
      <c r="AC509" s="27"/>
      <c r="AD509" s="27"/>
      <c r="AE509" s="27"/>
      <c r="AF509" s="27"/>
      <c r="AG509" s="27"/>
      <c r="AH509" s="27"/>
      <c r="AI509" s="25">
        <v>392307</v>
      </c>
      <c r="AJ509" s="25">
        <v>274615</v>
      </c>
      <c r="AK509" s="25">
        <v>21608</v>
      </c>
      <c r="AL509" s="25">
        <v>363200</v>
      </c>
      <c r="AM509" s="25">
        <v>63300</v>
      </c>
      <c r="AN509" s="25">
        <v>299900</v>
      </c>
      <c r="AO509" s="25">
        <v>0</v>
      </c>
      <c r="AP509" s="25">
        <f>Lookups!$B$56*0</f>
        <v>0</v>
      </c>
      <c r="AQ509" s="25">
        <f>Lookups!$B$56*1</f>
        <v>89850.625589999996</v>
      </c>
      <c r="AR509" s="25">
        <f>Lookups!$B$57*Inventory[[#This Row],[LnAcres]]</f>
        <v>-46522.028095997222</v>
      </c>
      <c r="AS509" s="25">
        <f>VLOOKUP(Inventory[[#This Row],[Qlty]],Lookups!$A$62:$E$75,2,FALSE)</f>
        <v>29814.093161000001</v>
      </c>
      <c r="AT509" s="25">
        <f>VLOOKUP(Inventory[[#This Row],[Cnd]],Lookups!$A$76:$E$84,2,FALSE)</f>
        <v>160472.20319</v>
      </c>
      <c r="AU509" s="25">
        <f>Inventory[[#This Row],[EffAge]]*Lookups!$B$85</f>
        <v>-11152.280025</v>
      </c>
      <c r="AV509" s="25">
        <f>Inventory[[#This Row],[MainFn]]*Lookups!$B$86</f>
        <v>96643.358279412001</v>
      </c>
      <c r="AW509" s="25">
        <f>Inventory[[#This Row],[UpprFn]]*Lookups!$B$87</f>
        <v>0</v>
      </c>
      <c r="AX509" s="25">
        <f>Inventory[[#This Row],[AddFn]]*Lookups!$B$88</f>
        <v>0</v>
      </c>
      <c r="AY509" s="25">
        <f>Inventory[[#This Row],[Bsmt]]*Lookups!$B$89</f>
        <v>0</v>
      </c>
      <c r="AZ509" s="25">
        <f>Inventory[[#This Row],[Fixtures]]*Lookups!$B$90</f>
        <v>34128.198946800003</v>
      </c>
      <c r="BA509" s="25">
        <f>Inventory[[#This Row],[WdDeck]]*Lookups!$B$91</f>
        <v>0</v>
      </c>
      <c r="BB509" s="25">
        <f>ROUND(Inventory[[#This Row],[25Det]],-2)</f>
        <v>21600</v>
      </c>
      <c r="BC509" s="25">
        <f>ROUND(SUM(Inventory[[#This Row],[Mdl Qlty]:[Mdl WdDeck]])+Inventory[[#This Row],[Mdl Res Intercept]],-2)</f>
        <v>309900</v>
      </c>
      <c r="BD509" s="25">
        <f>ROUND(Inventory[[#This Row],[Mdl Land Intercept]]+Inventory[[#This Row],[Mdl LnAcres]],-2)</f>
        <v>43300</v>
      </c>
      <c r="BE509" s="25">
        <f>Inventory[[#This Row],[Unadj Res Value]]+Inventory[[#This Row],[Unadj Det Value]]+Inventory[[#This Row],[Unadj Land Value]]</f>
        <v>374800</v>
      </c>
      <c r="BF509" s="36">
        <f>(Inventory[[#This Row],[Unadj Total Value]]-Inventory[[#This Row],[24Final]])/Inventory[[#This Row],[24Final]]</f>
        <v>3.1938325991189426E-2</v>
      </c>
      <c r="BG509" s="25">
        <f>VLOOKUP(Inventory[[#This Row],[Nbhd]],Lookups!$Q$2:$T$4,4,FALSE)</f>
        <v>0.99970000000000003</v>
      </c>
      <c r="BH509" s="25">
        <f>VLOOKUP(Inventory[[#This Row],[Qlty]],Lookups!$O$7:$R$21,4,FALSE)</f>
        <v>1.0088999999999999</v>
      </c>
      <c r="BI509" s="25">
        <f>VLOOKUP(Inventory[[#This Row],[Cnd]],Lookups!$T$7:$W$16,4,FALSE)</f>
        <v>0.99729999999999996</v>
      </c>
      <c r="BJ509" s="25">
        <f>VLOOKUP(Inventory[[#This Row],[LivArea Range]],Lookups!$T$25:$W$37,4,FALSE)</f>
        <v>1.0093000000000001</v>
      </c>
      <c r="BK509" s="25">
        <f>VLOOKUP(Inventory[[#This Row],[Decade]],Lookups!$O$25:$R$42,4,FALSE)</f>
        <v>1.0199</v>
      </c>
      <c r="BL509" s="25">
        <f>Inventory[[#This Row],[Nbhd Adj]]*0.95</f>
        <v>0.94971499999999998</v>
      </c>
      <c r="BM509" s="25">
        <f>Inventory[[#This Row],[Nbhd Adj]]*Inventory[[#This Row],[Quality Adj]]*Inventory[[#This Row],[Condition Adj]]*Inventory[[#This Row],[Living Area Adj]]*Inventory[[#This Row],[Decade Adj]]*0.95</f>
        <v>0.98366020862665582</v>
      </c>
      <c r="BN509" s="25">
        <f>ROUND(SUM(Inventory[[#This Row],[Mdl Qlty]:[Mdl WdDeck]])+Inventory[[#This Row],[Mdl Res Intercept]]*Inventory[[#This Row],[Res Adj ]],-2)</f>
        <v>309900</v>
      </c>
      <c r="BO509" s="25">
        <f>ROUND(Inventory[[#This Row],[25Det]]*Inventory[[#This Row],[Det/Nbhd Adj]],-2)</f>
        <v>20500</v>
      </c>
      <c r="BP509" s="25">
        <f>Inventory[[#This Row],[Adjusted Res]]+Inventory[[#This Row],[Adj Det ]]</f>
        <v>330400</v>
      </c>
      <c r="BQ509" s="25">
        <f>ROUND((Inventory[[#This Row],[Mdl Land Intercept]]+Inventory[[#This Row],[Mdl LnAcres]])*Inventory[[#This Row],[Det/Nbhd Adj]],-2)</f>
        <v>41100</v>
      </c>
      <c r="BR509" s="25">
        <f>Inventory[[#This Row],[Adjusted Impr Total]]+Inventory[[#This Row],[Adjusted Land Total]]</f>
        <v>371500</v>
      </c>
      <c r="BS509" s="36">
        <f>IFERROR((Inventory[[#This Row],[Adjusted Impr Total]]-Inventory[[#This Row],[24Bldg]])/Inventory[[#This Row],[24Bldg]],0)</f>
        <v>0.10170056685561854</v>
      </c>
      <c r="BT509" s="36">
        <f>(Inventory[[#This Row],[Adjusted Land Total]]-Inventory[[#This Row],[24Lnd]])/Inventory[[#This Row],[24Lnd]]</f>
        <v>-0.35071090047393366</v>
      </c>
      <c r="BU509" s="36">
        <f>(Inventory[[#This Row],[Adjusted Total]]-Inventory[[#This Row],[24Final]])/Inventory[[#This Row],[24Final]]</f>
        <v>2.2852422907488987E-2</v>
      </c>
    </row>
    <row r="510" spans="1:73" x14ac:dyDescent="0.3">
      <c r="A510" s="25">
        <v>2025</v>
      </c>
      <c r="B510" s="26" t="s">
        <v>1293</v>
      </c>
      <c r="C510" s="26">
        <f>LN(Inventory[[#This Row],[Acres]])</f>
        <v>-1.3470736479666092</v>
      </c>
      <c r="D510" s="25">
        <v>0.26</v>
      </c>
      <c r="E510" s="25">
        <v>11322</v>
      </c>
      <c r="F510" s="26" t="s">
        <v>537</v>
      </c>
      <c r="G510" s="26" t="s">
        <v>126</v>
      </c>
      <c r="H510" s="26" t="s">
        <v>349</v>
      </c>
      <c r="I510" s="26" t="s">
        <v>538</v>
      </c>
      <c r="J510" s="26" t="s">
        <v>539</v>
      </c>
      <c r="K510" s="26" t="s">
        <v>350</v>
      </c>
      <c r="L510" s="26" t="s">
        <v>95</v>
      </c>
      <c r="M510" s="26" t="s">
        <v>303</v>
      </c>
      <c r="N510" s="26">
        <v>70</v>
      </c>
      <c r="O510" s="26">
        <f>2024-Inventory[[#This Row],[YrBlt]]</f>
        <v>65</v>
      </c>
      <c r="P510" s="26">
        <f>2024-Inventory[[#This Row],[EffYr]]</f>
        <v>50</v>
      </c>
      <c r="Q510" s="25">
        <v>1959</v>
      </c>
      <c r="R510" s="25">
        <v>1974</v>
      </c>
      <c r="S510" s="25">
        <v>1447</v>
      </c>
      <c r="T510" s="31"/>
      <c r="U510" s="25">
        <v>720</v>
      </c>
      <c r="V510" s="32">
        <f>Inventory[[#This Row],[Bsmt]]-Inventory[[#This Row],[FnBsmt]]</f>
        <v>0</v>
      </c>
      <c r="W510" s="32">
        <v>720</v>
      </c>
      <c r="X510" s="27"/>
      <c r="Y510" s="27">
        <f>Inventory[[#This Row],[MainFn]]+Inventory[[#This Row],[UpprFn]]+Inventory[[#This Row],[FnBsmt]]+Inventory[[#This Row],[AddFn]]</f>
        <v>2167</v>
      </c>
      <c r="Z510" s="27">
        <v>2500</v>
      </c>
      <c r="AA510" s="25">
        <v>8</v>
      </c>
      <c r="AB510" s="32">
        <v>630</v>
      </c>
      <c r="AC510" s="27"/>
      <c r="AD510" s="27"/>
      <c r="AE510" s="27"/>
      <c r="AF510" s="27"/>
      <c r="AG510" s="27"/>
      <c r="AH510" s="27"/>
      <c r="AI510" s="25">
        <v>503078</v>
      </c>
      <c r="AJ510" s="25">
        <v>367247</v>
      </c>
      <c r="AK510" s="25">
        <v>0</v>
      </c>
      <c r="AL510" s="25">
        <v>437500</v>
      </c>
      <c r="AM510" s="25">
        <v>67600</v>
      </c>
      <c r="AN510" s="25">
        <v>369900</v>
      </c>
      <c r="AO510" s="25">
        <v>0</v>
      </c>
      <c r="AP510" s="25">
        <f>Lookups!$B$56*0</f>
        <v>0</v>
      </c>
      <c r="AQ510" s="25">
        <f>Lookups!$B$56*1</f>
        <v>89850.625589999996</v>
      </c>
      <c r="AR510" s="25">
        <f>Lookups!$B$57*Inventory[[#This Row],[LnAcres]]</f>
        <v>-42641.098701210125</v>
      </c>
      <c r="AS510" s="25">
        <f>VLOOKUP(Inventory[[#This Row],[Qlty]],Lookups!$A$62:$E$75,2,FALSE)</f>
        <v>74268.409664999999</v>
      </c>
      <c r="AT510" s="25">
        <f>VLOOKUP(Inventory[[#This Row],[Cnd]],Lookups!$A$76:$E$84,2,FALSE)</f>
        <v>197752.34721000001</v>
      </c>
      <c r="AU510" s="25">
        <f>Inventory[[#This Row],[EffAge]]*Lookups!$B$85</f>
        <v>-11152.280025</v>
      </c>
      <c r="AV510" s="25">
        <f>Inventory[[#This Row],[MainFn]]*Lookups!$B$86</f>
        <v>71494.345312018995</v>
      </c>
      <c r="AW510" s="25">
        <f>Inventory[[#This Row],[UpprFn]]*Lookups!$B$87</f>
        <v>0</v>
      </c>
      <c r="AX510" s="25">
        <f>Inventory[[#This Row],[AddFn]]*Lookups!$B$88</f>
        <v>0</v>
      </c>
      <c r="AY510" s="25">
        <f>Inventory[[#This Row],[Bsmt]]*Lookups!$B$89</f>
        <v>20938.964577839997</v>
      </c>
      <c r="AZ510" s="25">
        <f>Inventory[[#This Row],[Fixtures]]*Lookups!$B$90</f>
        <v>30336.176841600001</v>
      </c>
      <c r="BA510" s="25">
        <f>Inventory[[#This Row],[WdDeck]]*Lookups!$B$91</f>
        <v>0</v>
      </c>
      <c r="BB510" s="25">
        <f>ROUND(Inventory[[#This Row],[25Det]],-2)</f>
        <v>0</v>
      </c>
      <c r="BC510" s="25">
        <f>ROUND(SUM(Inventory[[#This Row],[Mdl Qlty]:[Mdl WdDeck]])+Inventory[[#This Row],[Mdl Res Intercept]],-2)</f>
        <v>383600</v>
      </c>
      <c r="BD510" s="25">
        <f>ROUND(Inventory[[#This Row],[Mdl Land Intercept]]+Inventory[[#This Row],[Mdl LnAcres]],-2)</f>
        <v>47200</v>
      </c>
      <c r="BE510" s="25">
        <f>Inventory[[#This Row],[Unadj Res Value]]+Inventory[[#This Row],[Unadj Det Value]]+Inventory[[#This Row],[Unadj Land Value]]</f>
        <v>430800</v>
      </c>
      <c r="BF510" s="36">
        <f>(Inventory[[#This Row],[Unadj Total Value]]-Inventory[[#This Row],[24Final]])/Inventory[[#This Row],[24Final]]</f>
        <v>-1.5314285714285714E-2</v>
      </c>
      <c r="BG510" s="25">
        <f>VLOOKUP(Inventory[[#This Row],[Nbhd]],Lookups!$Q$2:$T$4,4,FALSE)</f>
        <v>0.99970000000000003</v>
      </c>
      <c r="BH510" s="25">
        <f>VLOOKUP(Inventory[[#This Row],[Qlty]],Lookups!$O$7:$R$21,4,FALSE)</f>
        <v>0.98380000000000001</v>
      </c>
      <c r="BI510" s="25">
        <f>VLOOKUP(Inventory[[#This Row],[Cnd]],Lookups!$T$7:$W$16,4,FALSE)</f>
        <v>0.99650000000000005</v>
      </c>
      <c r="BJ510" s="25">
        <f>VLOOKUP(Inventory[[#This Row],[LivArea Range]],Lookups!$T$25:$W$37,4,FALSE)</f>
        <v>0.98919999999999997</v>
      </c>
      <c r="BK510" s="25">
        <f>VLOOKUP(Inventory[[#This Row],[Decade]],Lookups!$O$25:$R$42,4,FALSE)</f>
        <v>1.0199</v>
      </c>
      <c r="BL510" s="25">
        <f>Inventory[[#This Row],[Nbhd Adj]]*0.95</f>
        <v>0.94971499999999998</v>
      </c>
      <c r="BM510" s="25">
        <f>Inventory[[#This Row],[Nbhd Adj]]*Inventory[[#This Row],[Quality Adj]]*Inventory[[#This Row],[Condition Adj]]*Inventory[[#This Row],[Living Area Adj]]*Inventory[[#This Row],[Decade Adj]]*0.95</f>
        <v>0.93933200115703741</v>
      </c>
      <c r="BN510" s="25">
        <f>ROUND(SUM(Inventory[[#This Row],[Mdl Qlty]:[Mdl WdDeck]])+Inventory[[#This Row],[Mdl Res Intercept]]*Inventory[[#This Row],[Res Adj ]],-2)</f>
        <v>383600</v>
      </c>
      <c r="BO510" s="25">
        <f>ROUND(Inventory[[#This Row],[25Det]]*Inventory[[#This Row],[Det/Nbhd Adj]],-2)</f>
        <v>0</v>
      </c>
      <c r="BP510" s="25">
        <f>Inventory[[#This Row],[Adjusted Res]]+Inventory[[#This Row],[Adj Det ]]</f>
        <v>383600</v>
      </c>
      <c r="BQ510" s="25">
        <f>ROUND((Inventory[[#This Row],[Mdl Land Intercept]]+Inventory[[#This Row],[Mdl LnAcres]])*Inventory[[#This Row],[Det/Nbhd Adj]],-2)</f>
        <v>44800</v>
      </c>
      <c r="BR510" s="25">
        <f>Inventory[[#This Row],[Adjusted Impr Total]]+Inventory[[#This Row],[Adjusted Land Total]]</f>
        <v>428400</v>
      </c>
      <c r="BS510" s="36">
        <f>IFERROR((Inventory[[#This Row],[Adjusted Impr Total]]-Inventory[[#This Row],[24Bldg]])/Inventory[[#This Row],[24Bldg]],0)</f>
        <v>3.7037037037037035E-2</v>
      </c>
      <c r="BT510" s="36">
        <f>(Inventory[[#This Row],[Adjusted Land Total]]-Inventory[[#This Row],[24Lnd]])/Inventory[[#This Row],[24Lnd]]</f>
        <v>-0.33727810650887574</v>
      </c>
      <c r="BU510" s="36">
        <f>(Inventory[[#This Row],[Adjusted Total]]-Inventory[[#This Row],[24Final]])/Inventory[[#This Row],[24Final]]</f>
        <v>-2.0799999999999999E-2</v>
      </c>
    </row>
    <row r="511" spans="1:73" x14ac:dyDescent="0.3">
      <c r="A511" s="25">
        <v>2025</v>
      </c>
      <c r="B511" s="26" t="s">
        <v>1928</v>
      </c>
      <c r="C511" s="26">
        <f>LN(Inventory[[#This Row],[Acres]])</f>
        <v>-1.6607312068216509</v>
      </c>
      <c r="D511" s="25">
        <v>0.19</v>
      </c>
      <c r="E511" s="27"/>
      <c r="F511" s="26" t="s">
        <v>537</v>
      </c>
      <c r="G511" s="26" t="s">
        <v>126</v>
      </c>
      <c r="H511" s="26" t="s">
        <v>349</v>
      </c>
      <c r="I511" s="26" t="s">
        <v>538</v>
      </c>
      <c r="J511" s="26" t="s">
        <v>539</v>
      </c>
      <c r="K511" s="26" t="s">
        <v>242</v>
      </c>
      <c r="L511" s="26" t="s">
        <v>302</v>
      </c>
      <c r="M511" s="26" t="s">
        <v>303</v>
      </c>
      <c r="N511" s="26">
        <v>70</v>
      </c>
      <c r="O511" s="26">
        <f>2024-Inventory[[#This Row],[YrBlt]]</f>
        <v>66</v>
      </c>
      <c r="P511" s="26">
        <f>2024-Inventory[[#This Row],[EffYr]]</f>
        <v>50</v>
      </c>
      <c r="Q511" s="25">
        <v>1958</v>
      </c>
      <c r="R511" s="25">
        <v>1974</v>
      </c>
      <c r="S511" s="25">
        <v>1107</v>
      </c>
      <c r="T511" s="31"/>
      <c r="U511" s="25">
        <v>1107</v>
      </c>
      <c r="V511" s="25">
        <f>Inventory[[#This Row],[Bsmt]]-Inventory[[#This Row],[FnBsmt]]</f>
        <v>553</v>
      </c>
      <c r="W511" s="25">
        <v>554</v>
      </c>
      <c r="X511" s="27"/>
      <c r="Y511" s="27">
        <f>Inventory[[#This Row],[MainFn]]+Inventory[[#This Row],[UpprFn]]+Inventory[[#This Row],[FnBsmt]]+Inventory[[#This Row],[AddFn]]</f>
        <v>1661</v>
      </c>
      <c r="Z511" s="27">
        <v>2000</v>
      </c>
      <c r="AA511" s="25">
        <v>8</v>
      </c>
      <c r="AB511" s="27"/>
      <c r="AC511" s="27"/>
      <c r="AD511" s="31"/>
      <c r="AE511" s="27"/>
      <c r="AF511" s="27"/>
      <c r="AG511" s="27"/>
      <c r="AH511" s="27"/>
      <c r="AI511" s="25">
        <v>304124</v>
      </c>
      <c r="AJ511" s="25">
        <v>218969</v>
      </c>
      <c r="AK511" s="25">
        <v>0</v>
      </c>
      <c r="AL511" s="25">
        <v>342100</v>
      </c>
      <c r="AM511" s="25">
        <v>56600</v>
      </c>
      <c r="AN511" s="25">
        <v>285500</v>
      </c>
      <c r="AO511" s="25">
        <v>0</v>
      </c>
      <c r="AP511" s="25">
        <f>Lookups!$B$56*0</f>
        <v>0</v>
      </c>
      <c r="AQ511" s="25">
        <f>Lookups!$B$56*1</f>
        <v>89850.625589999996</v>
      </c>
      <c r="AR511" s="25">
        <f>Lookups!$B$57*Inventory[[#This Row],[LnAcres]]</f>
        <v>-52569.808201026557</v>
      </c>
      <c r="AS511" s="25">
        <f>VLOOKUP(Inventory[[#This Row],[Qlty]],Lookups!$A$62:$E$75,2,FALSE)</f>
        <v>29814.093161000001</v>
      </c>
      <c r="AT511" s="25">
        <f>VLOOKUP(Inventory[[#This Row],[Cnd]],Lookups!$A$76:$E$84,2,FALSE)</f>
        <v>197752.34721000001</v>
      </c>
      <c r="AU511" s="25">
        <f>Inventory[[#This Row],[EffAge]]*Lookups!$B$85</f>
        <v>-11152.280025</v>
      </c>
      <c r="AV511" s="25">
        <f>Inventory[[#This Row],[MainFn]]*Lookups!$B$86</f>
        <v>54695.397553839</v>
      </c>
      <c r="AW511" s="25">
        <f>Inventory[[#This Row],[UpprFn]]*Lookups!$B$87</f>
        <v>0</v>
      </c>
      <c r="AX511" s="25">
        <f>Inventory[[#This Row],[AddFn]]*Lookups!$B$88</f>
        <v>0</v>
      </c>
      <c r="AY511" s="25">
        <f>Inventory[[#This Row],[Bsmt]]*Lookups!$B$89</f>
        <v>32193.658038428999</v>
      </c>
      <c r="AZ511" s="25">
        <f>Inventory[[#This Row],[Fixtures]]*Lookups!$B$90</f>
        <v>30336.176841600001</v>
      </c>
      <c r="BA511" s="25">
        <f>Inventory[[#This Row],[WdDeck]]*Lookups!$B$91</f>
        <v>0</v>
      </c>
      <c r="BB511" s="25">
        <f>ROUND(Inventory[[#This Row],[25Det]],-2)</f>
        <v>0</v>
      </c>
      <c r="BC511" s="25">
        <f>ROUND(SUM(Inventory[[#This Row],[Mdl Qlty]:[Mdl WdDeck]])+Inventory[[#This Row],[Mdl Res Intercept]],-2)</f>
        <v>333600</v>
      </c>
      <c r="BD511" s="25">
        <f>ROUND(Inventory[[#This Row],[Mdl Land Intercept]]+Inventory[[#This Row],[Mdl LnAcres]],-2)</f>
        <v>37300</v>
      </c>
      <c r="BE511" s="25">
        <f>Inventory[[#This Row],[Unadj Res Value]]+Inventory[[#This Row],[Unadj Det Value]]+Inventory[[#This Row],[Unadj Land Value]]</f>
        <v>370900</v>
      </c>
      <c r="BF511" s="36">
        <f>(Inventory[[#This Row],[Unadj Total Value]]-Inventory[[#This Row],[24Final]])/Inventory[[#This Row],[24Final]]</f>
        <v>8.4185910552470045E-2</v>
      </c>
      <c r="BG511" s="25">
        <f>VLOOKUP(Inventory[[#This Row],[Nbhd]],Lookups!$Q$2:$T$4,4,FALSE)</f>
        <v>0.99970000000000003</v>
      </c>
      <c r="BH511" s="25">
        <f>VLOOKUP(Inventory[[#This Row],[Qlty]],Lookups!$O$7:$R$21,4,FALSE)</f>
        <v>1.0088999999999999</v>
      </c>
      <c r="BI511" s="25">
        <f>VLOOKUP(Inventory[[#This Row],[Cnd]],Lookups!$T$7:$W$16,4,FALSE)</f>
        <v>0.99650000000000005</v>
      </c>
      <c r="BJ511" s="25">
        <f>VLOOKUP(Inventory[[#This Row],[LivArea Range]],Lookups!$T$25:$W$37,4,FALSE)</f>
        <v>1.0093000000000001</v>
      </c>
      <c r="BK511" s="25">
        <f>VLOOKUP(Inventory[[#This Row],[Decade]],Lookups!$O$25:$R$42,4,FALSE)</f>
        <v>1.0199</v>
      </c>
      <c r="BL511" s="25">
        <f>Inventory[[#This Row],[Nbhd Adj]]*0.95</f>
        <v>0.94971499999999998</v>
      </c>
      <c r="BM511" s="25">
        <f>Inventory[[#This Row],[Nbhd Adj]]*Inventory[[#This Row],[Quality Adj]]*Inventory[[#This Row],[Condition Adj]]*Inventory[[#This Row],[Living Area Adj]]*Inventory[[#This Row],[Decade Adj]]*0.95</f>
        <v>0.98287115000146663</v>
      </c>
      <c r="BN511" s="25">
        <f>ROUND(SUM(Inventory[[#This Row],[Mdl Qlty]:[Mdl WdDeck]])+Inventory[[#This Row],[Mdl Res Intercept]]*Inventory[[#This Row],[Res Adj ]],-2)</f>
        <v>333600</v>
      </c>
      <c r="BO511" s="25">
        <f>ROUND(Inventory[[#This Row],[25Det]]*Inventory[[#This Row],[Det/Nbhd Adj]],-2)</f>
        <v>0</v>
      </c>
      <c r="BP511" s="25">
        <f>Inventory[[#This Row],[Adjusted Res]]+Inventory[[#This Row],[Adj Det ]]</f>
        <v>333600</v>
      </c>
      <c r="BQ511" s="25">
        <f>ROUND((Inventory[[#This Row],[Mdl Land Intercept]]+Inventory[[#This Row],[Mdl LnAcres]])*Inventory[[#This Row],[Det/Nbhd Adj]],-2)</f>
        <v>35400</v>
      </c>
      <c r="BR511" s="25">
        <f>Inventory[[#This Row],[Adjusted Impr Total]]+Inventory[[#This Row],[Adjusted Land Total]]</f>
        <v>369000</v>
      </c>
      <c r="BS511" s="36">
        <f>IFERROR((Inventory[[#This Row],[Adjusted Impr Total]]-Inventory[[#This Row],[24Bldg]])/Inventory[[#This Row],[24Bldg]],0)</f>
        <v>0.16847635726795096</v>
      </c>
      <c r="BT511" s="36">
        <f>(Inventory[[#This Row],[Adjusted Land Total]]-Inventory[[#This Row],[24Lnd]])/Inventory[[#This Row],[24Lnd]]</f>
        <v>-0.37455830388692579</v>
      </c>
      <c r="BU511" s="36">
        <f>(Inventory[[#This Row],[Adjusted Total]]-Inventory[[#This Row],[24Final]])/Inventory[[#This Row],[24Final]]</f>
        <v>7.8631978953522363E-2</v>
      </c>
    </row>
    <row r="512" spans="1:73" x14ac:dyDescent="0.3">
      <c r="A512" s="25">
        <v>2025</v>
      </c>
      <c r="B512" s="26" t="s">
        <v>2529</v>
      </c>
      <c r="C512" s="26">
        <f>LN(Inventory[[#This Row],[Acres]])</f>
        <v>-1.5606477482646683</v>
      </c>
      <c r="D512" s="25">
        <v>0.21</v>
      </c>
      <c r="E512" s="32">
        <v>8990</v>
      </c>
      <c r="F512" s="26" t="s">
        <v>537</v>
      </c>
      <c r="G512" s="26" t="s">
        <v>126</v>
      </c>
      <c r="H512" s="26" t="s">
        <v>349</v>
      </c>
      <c r="I512" s="26" t="s">
        <v>538</v>
      </c>
      <c r="J512" s="26" t="s">
        <v>539</v>
      </c>
      <c r="K512" s="26" t="s">
        <v>241</v>
      </c>
      <c r="L512" s="26" t="s">
        <v>351</v>
      </c>
      <c r="M512" s="26" t="s">
        <v>303</v>
      </c>
      <c r="N512" s="26">
        <v>70</v>
      </c>
      <c r="O512" s="26">
        <f>2024-Inventory[[#This Row],[YrBlt]]</f>
        <v>66</v>
      </c>
      <c r="P512" s="26">
        <f>2024-Inventory[[#This Row],[EffYr]]</f>
        <v>50</v>
      </c>
      <c r="Q512" s="25">
        <v>1958</v>
      </c>
      <c r="R512" s="25">
        <v>1974</v>
      </c>
      <c r="S512" s="25">
        <v>1215</v>
      </c>
      <c r="T512" s="31"/>
      <c r="U512" s="31"/>
      <c r="V512" s="27">
        <f>Inventory[[#This Row],[Bsmt]]-Inventory[[#This Row],[FnBsmt]]</f>
        <v>0</v>
      </c>
      <c r="W512" s="27"/>
      <c r="X512" s="27"/>
      <c r="Y512" s="27">
        <f>Inventory[[#This Row],[MainFn]]+Inventory[[#This Row],[UpprFn]]+Inventory[[#This Row],[FnBsmt]]+Inventory[[#This Row],[AddFn]]</f>
        <v>1215</v>
      </c>
      <c r="Z512" s="27">
        <v>1500</v>
      </c>
      <c r="AA512" s="25">
        <v>8</v>
      </c>
      <c r="AB512" s="27"/>
      <c r="AC512" s="31"/>
      <c r="AD512" s="31"/>
      <c r="AE512" s="27"/>
      <c r="AF512" s="27"/>
      <c r="AG512" s="27"/>
      <c r="AH512" s="27"/>
      <c r="AI512" s="25">
        <v>203368</v>
      </c>
      <c r="AJ512" s="25">
        <v>146425</v>
      </c>
      <c r="AK512" s="25">
        <v>10057</v>
      </c>
      <c r="AL512" s="25">
        <v>321700</v>
      </c>
      <c r="AM512" s="25">
        <v>60100</v>
      </c>
      <c r="AN512" s="25">
        <v>261600</v>
      </c>
      <c r="AO512" s="25">
        <v>0</v>
      </c>
      <c r="AP512" s="25">
        <f>Lookups!$B$56*0</f>
        <v>0</v>
      </c>
      <c r="AQ512" s="25">
        <f>Lookups!$B$56*1</f>
        <v>89850.625589999996</v>
      </c>
      <c r="AR512" s="25">
        <f>Lookups!$B$57*Inventory[[#This Row],[LnAcres]]</f>
        <v>-49401.70477837498</v>
      </c>
      <c r="AS512" s="25">
        <f>VLOOKUP(Inventory[[#This Row],[Qlty]],Lookups!$A$62:$E$75,2,FALSE)</f>
        <v>21557.329055999999</v>
      </c>
      <c r="AT512" s="25">
        <f>VLOOKUP(Inventory[[#This Row],[Cnd]],Lookups!$A$76:$E$84,2,FALSE)</f>
        <v>197752.34721000001</v>
      </c>
      <c r="AU512" s="25">
        <f>Inventory[[#This Row],[EffAge]]*Lookups!$B$85</f>
        <v>-11152.280025</v>
      </c>
      <c r="AV512" s="25">
        <f>Inventory[[#This Row],[MainFn]]*Lookups!$B$86</f>
        <v>60031.533900555005</v>
      </c>
      <c r="AW512" s="25">
        <f>Inventory[[#This Row],[UpprFn]]*Lookups!$B$87</f>
        <v>0</v>
      </c>
      <c r="AX512" s="25">
        <f>Inventory[[#This Row],[AddFn]]*Lookups!$B$88</f>
        <v>0</v>
      </c>
      <c r="AY512" s="25">
        <f>Inventory[[#This Row],[Bsmt]]*Lookups!$B$89</f>
        <v>0</v>
      </c>
      <c r="AZ512" s="25">
        <f>Inventory[[#This Row],[Fixtures]]*Lookups!$B$90</f>
        <v>30336.176841600001</v>
      </c>
      <c r="BA512" s="25">
        <f>Inventory[[#This Row],[WdDeck]]*Lookups!$B$91</f>
        <v>0</v>
      </c>
      <c r="BB512" s="25">
        <f>ROUND(Inventory[[#This Row],[25Det]],-2)</f>
        <v>10100</v>
      </c>
      <c r="BC512" s="25">
        <f>ROUND(SUM(Inventory[[#This Row],[Mdl Qlty]:[Mdl WdDeck]])+Inventory[[#This Row],[Mdl Res Intercept]],-2)</f>
        <v>298500</v>
      </c>
      <c r="BD512" s="25">
        <f>ROUND(Inventory[[#This Row],[Mdl Land Intercept]]+Inventory[[#This Row],[Mdl LnAcres]],-2)</f>
        <v>40400</v>
      </c>
      <c r="BE512" s="25">
        <f>Inventory[[#This Row],[Unadj Res Value]]+Inventory[[#This Row],[Unadj Det Value]]+Inventory[[#This Row],[Unadj Land Value]]</f>
        <v>349000</v>
      </c>
      <c r="BF512" s="36">
        <f>(Inventory[[#This Row],[Unadj Total Value]]-Inventory[[#This Row],[24Final]])/Inventory[[#This Row],[24Final]]</f>
        <v>8.4861672365557972E-2</v>
      </c>
      <c r="BG512" s="25">
        <f>VLOOKUP(Inventory[[#This Row],[Nbhd]],Lookups!$Q$2:$T$4,4,FALSE)</f>
        <v>0.99970000000000003</v>
      </c>
      <c r="BH512" s="25">
        <f>VLOOKUP(Inventory[[#This Row],[Qlty]],Lookups!$O$7:$R$21,4,FALSE)</f>
        <v>1.0067999999999999</v>
      </c>
      <c r="BI512" s="25">
        <f>VLOOKUP(Inventory[[#This Row],[Cnd]],Lookups!$T$7:$W$16,4,FALSE)</f>
        <v>0.99650000000000005</v>
      </c>
      <c r="BJ512" s="25">
        <f>VLOOKUP(Inventory[[#This Row],[LivArea Range]],Lookups!$T$25:$W$37,4,FALSE)</f>
        <v>1.0157</v>
      </c>
      <c r="BK512" s="25">
        <f>VLOOKUP(Inventory[[#This Row],[Decade]],Lookups!$O$25:$R$42,4,FALSE)</f>
        <v>1.0199</v>
      </c>
      <c r="BL512" s="25">
        <f>Inventory[[#This Row],[Nbhd Adj]]*0.95</f>
        <v>0.94971499999999998</v>
      </c>
      <c r="BM512" s="25">
        <f>Inventory[[#This Row],[Nbhd Adj]]*Inventory[[#This Row],[Quality Adj]]*Inventory[[#This Row],[Condition Adj]]*Inventory[[#This Row],[Living Area Adj]]*Inventory[[#This Row],[Decade Adj]]*0.95</f>
        <v>0.98704476969641131</v>
      </c>
      <c r="BN512" s="25">
        <f>ROUND(SUM(Inventory[[#This Row],[Mdl Qlty]:[Mdl WdDeck]])+Inventory[[#This Row],[Mdl Res Intercept]]*Inventory[[#This Row],[Res Adj ]],-2)</f>
        <v>298500</v>
      </c>
      <c r="BO512" s="25">
        <f>ROUND(Inventory[[#This Row],[25Det]]*Inventory[[#This Row],[Det/Nbhd Adj]],-2)</f>
        <v>9600</v>
      </c>
      <c r="BP512" s="25">
        <f>Inventory[[#This Row],[Adjusted Res]]+Inventory[[#This Row],[Adj Det ]]</f>
        <v>308100</v>
      </c>
      <c r="BQ512" s="25">
        <f>ROUND((Inventory[[#This Row],[Mdl Land Intercept]]+Inventory[[#This Row],[Mdl LnAcres]])*Inventory[[#This Row],[Det/Nbhd Adj]],-2)</f>
        <v>38400</v>
      </c>
      <c r="BR512" s="25">
        <f>Inventory[[#This Row],[Adjusted Impr Total]]+Inventory[[#This Row],[Adjusted Land Total]]</f>
        <v>346500</v>
      </c>
      <c r="BS512" s="36">
        <f>IFERROR((Inventory[[#This Row],[Adjusted Impr Total]]-Inventory[[#This Row],[24Bldg]])/Inventory[[#This Row],[24Bldg]],0)</f>
        <v>0.17775229357798164</v>
      </c>
      <c r="BT512" s="36">
        <f>(Inventory[[#This Row],[Adjusted Land Total]]-Inventory[[#This Row],[24Lnd]])/Inventory[[#This Row],[24Lnd]]</f>
        <v>-0.36106489184692181</v>
      </c>
      <c r="BU512" s="36">
        <f>(Inventory[[#This Row],[Adjusted Total]]-Inventory[[#This Row],[24Final]])/Inventory[[#This Row],[24Final]]</f>
        <v>7.7090456947466579E-2</v>
      </c>
    </row>
    <row r="513" spans="1:73" x14ac:dyDescent="0.3">
      <c r="A513" s="25">
        <v>2025</v>
      </c>
      <c r="B513" s="26" t="s">
        <v>2804</v>
      </c>
      <c r="C513" s="26">
        <f>LN(Inventory[[#This Row],[Acres]])</f>
        <v>-1.8325814637483102</v>
      </c>
      <c r="D513" s="25">
        <v>0.16</v>
      </c>
      <c r="E513" s="27"/>
      <c r="F513" s="26" t="s">
        <v>537</v>
      </c>
      <c r="G513" s="26" t="s">
        <v>126</v>
      </c>
      <c r="H513" s="26" t="s">
        <v>349</v>
      </c>
      <c r="I513" s="26" t="s">
        <v>538</v>
      </c>
      <c r="J513" s="26" t="s">
        <v>539</v>
      </c>
      <c r="K513" s="26" t="s">
        <v>241</v>
      </c>
      <c r="L513" s="26" t="s">
        <v>351</v>
      </c>
      <c r="M513" s="26" t="s">
        <v>323</v>
      </c>
      <c r="N513" s="26">
        <v>70</v>
      </c>
      <c r="O513" s="26">
        <f>2024-Inventory[[#This Row],[YrBlt]]</f>
        <v>66</v>
      </c>
      <c r="P513" s="26">
        <f>2024-Inventory[[#This Row],[EffYr]]</f>
        <v>50</v>
      </c>
      <c r="Q513" s="25">
        <v>1958</v>
      </c>
      <c r="R513" s="25">
        <v>1974</v>
      </c>
      <c r="S513" s="25">
        <v>1155</v>
      </c>
      <c r="T513" s="27"/>
      <c r="U513" s="31"/>
      <c r="V513" s="31">
        <f>Inventory[[#This Row],[Bsmt]]-Inventory[[#This Row],[FnBsmt]]</f>
        <v>0</v>
      </c>
      <c r="W513" s="31"/>
      <c r="X513" s="27"/>
      <c r="Y513" s="27">
        <f>Inventory[[#This Row],[MainFn]]+Inventory[[#This Row],[UpprFn]]+Inventory[[#This Row],[FnBsmt]]+Inventory[[#This Row],[AddFn]]</f>
        <v>1155</v>
      </c>
      <c r="Z513" s="27">
        <v>1500</v>
      </c>
      <c r="AA513" s="25">
        <v>5</v>
      </c>
      <c r="AB513" s="32">
        <v>546</v>
      </c>
      <c r="AC513" s="31"/>
      <c r="AD513" s="32">
        <v>135</v>
      </c>
      <c r="AE513" s="27"/>
      <c r="AF513" s="27"/>
      <c r="AG513" s="27"/>
      <c r="AH513" s="27"/>
      <c r="AI513" s="25">
        <v>227416</v>
      </c>
      <c r="AJ513" s="25">
        <v>159191</v>
      </c>
      <c r="AK513" s="25">
        <v>0</v>
      </c>
      <c r="AL513" s="25">
        <v>263300</v>
      </c>
      <c r="AM513" s="25">
        <v>50600</v>
      </c>
      <c r="AN513" s="25">
        <v>212700</v>
      </c>
      <c r="AO513" s="25">
        <v>0</v>
      </c>
      <c r="AP513" s="25">
        <f>Lookups!$B$56*0</f>
        <v>0</v>
      </c>
      <c r="AQ513" s="25">
        <f>Lookups!$B$56*1</f>
        <v>89850.625589999996</v>
      </c>
      <c r="AR513" s="25">
        <f>Lookups!$B$57*Inventory[[#This Row],[LnAcres]]</f>
        <v>-58009.662049032086</v>
      </c>
      <c r="AS513" s="25">
        <f>VLOOKUP(Inventory[[#This Row],[Qlty]],Lookups!$A$62:$E$75,2,FALSE)</f>
        <v>21557.329055999999</v>
      </c>
      <c r="AT513" s="25">
        <f>VLOOKUP(Inventory[[#This Row],[Cnd]],Lookups!$A$76:$E$84,2,FALSE)</f>
        <v>160472.20319</v>
      </c>
      <c r="AU513" s="25">
        <f>Inventory[[#This Row],[EffAge]]*Lookups!$B$85</f>
        <v>-11152.280025</v>
      </c>
      <c r="AV513" s="25">
        <f>Inventory[[#This Row],[MainFn]]*Lookups!$B$86</f>
        <v>57067.013707935002</v>
      </c>
      <c r="AW513" s="25">
        <f>Inventory[[#This Row],[UpprFn]]*Lookups!$B$87</f>
        <v>0</v>
      </c>
      <c r="AX513" s="25">
        <f>Inventory[[#This Row],[AddFn]]*Lookups!$B$88</f>
        <v>0</v>
      </c>
      <c r="AY513" s="25">
        <f>Inventory[[#This Row],[Bsmt]]*Lookups!$B$89</f>
        <v>0</v>
      </c>
      <c r="AZ513" s="25">
        <f>Inventory[[#This Row],[Fixtures]]*Lookups!$B$90</f>
        <v>18960.110526</v>
      </c>
      <c r="BA513" s="25">
        <f>Inventory[[#This Row],[WdDeck]]*Lookups!$B$91</f>
        <v>4494.8945622600004</v>
      </c>
      <c r="BB513" s="25">
        <f>ROUND(Inventory[[#This Row],[25Det]],-2)</f>
        <v>0</v>
      </c>
      <c r="BC513" s="25">
        <f>ROUND(SUM(Inventory[[#This Row],[Mdl Qlty]:[Mdl WdDeck]])+Inventory[[#This Row],[Mdl Res Intercept]],-2)</f>
        <v>251400</v>
      </c>
      <c r="BD513" s="25">
        <f>ROUND(Inventory[[#This Row],[Mdl Land Intercept]]+Inventory[[#This Row],[Mdl LnAcres]],-2)</f>
        <v>31800</v>
      </c>
      <c r="BE513" s="25">
        <f>Inventory[[#This Row],[Unadj Res Value]]+Inventory[[#This Row],[Unadj Det Value]]+Inventory[[#This Row],[Unadj Land Value]]</f>
        <v>283200</v>
      </c>
      <c r="BF513" s="36">
        <f>(Inventory[[#This Row],[Unadj Total Value]]-Inventory[[#This Row],[24Final]])/Inventory[[#This Row],[24Final]]</f>
        <v>7.5579187238890996E-2</v>
      </c>
      <c r="BG513" s="25">
        <f>VLOOKUP(Inventory[[#This Row],[Nbhd]],Lookups!$Q$2:$T$4,4,FALSE)</f>
        <v>0.99970000000000003</v>
      </c>
      <c r="BH513" s="25">
        <f>VLOOKUP(Inventory[[#This Row],[Qlty]],Lookups!$O$7:$R$21,4,FALSE)</f>
        <v>1.0067999999999999</v>
      </c>
      <c r="BI513" s="25">
        <f>VLOOKUP(Inventory[[#This Row],[Cnd]],Lookups!$T$7:$W$16,4,FALSE)</f>
        <v>0.99729999999999996</v>
      </c>
      <c r="BJ513" s="25">
        <f>VLOOKUP(Inventory[[#This Row],[LivArea Range]],Lookups!$T$25:$W$37,4,FALSE)</f>
        <v>1.0157</v>
      </c>
      <c r="BK513" s="25">
        <f>VLOOKUP(Inventory[[#This Row],[Decade]],Lookups!$O$25:$R$42,4,FALSE)</f>
        <v>1.0199</v>
      </c>
      <c r="BL513" s="25">
        <f>Inventory[[#This Row],[Nbhd Adj]]*0.95</f>
        <v>0.94971499999999998</v>
      </c>
      <c r="BM513" s="25">
        <f>Inventory[[#This Row],[Nbhd Adj]]*Inventory[[#This Row],[Quality Adj]]*Inventory[[#This Row],[Condition Adj]]*Inventory[[#This Row],[Living Area Adj]]*Inventory[[#This Row],[Decade Adj]]*0.95</f>
        <v>0.98783717894453682</v>
      </c>
      <c r="BN513" s="25">
        <f>ROUND(SUM(Inventory[[#This Row],[Mdl Qlty]:[Mdl WdDeck]])+Inventory[[#This Row],[Mdl Res Intercept]]*Inventory[[#This Row],[Res Adj ]],-2)</f>
        <v>251400</v>
      </c>
      <c r="BO513" s="25">
        <f>ROUND(Inventory[[#This Row],[25Det]]*Inventory[[#This Row],[Det/Nbhd Adj]],-2)</f>
        <v>0</v>
      </c>
      <c r="BP513" s="25">
        <f>Inventory[[#This Row],[Adjusted Res]]+Inventory[[#This Row],[Adj Det ]]</f>
        <v>251400</v>
      </c>
      <c r="BQ513" s="25">
        <f>ROUND((Inventory[[#This Row],[Mdl Land Intercept]]+Inventory[[#This Row],[Mdl LnAcres]])*Inventory[[#This Row],[Det/Nbhd Adj]],-2)</f>
        <v>30200</v>
      </c>
      <c r="BR513" s="25">
        <f>Inventory[[#This Row],[Adjusted Impr Total]]+Inventory[[#This Row],[Adjusted Land Total]]</f>
        <v>281600</v>
      </c>
      <c r="BS513" s="36">
        <f>IFERROR((Inventory[[#This Row],[Adjusted Impr Total]]-Inventory[[#This Row],[24Bldg]])/Inventory[[#This Row],[24Bldg]],0)</f>
        <v>0.18194640338504936</v>
      </c>
      <c r="BT513" s="36">
        <f>(Inventory[[#This Row],[Adjusted Land Total]]-Inventory[[#This Row],[24Lnd]])/Inventory[[#This Row],[24Lnd]]</f>
        <v>-0.40316205533596838</v>
      </c>
      <c r="BU513" s="36">
        <f>(Inventory[[#This Row],[Adjusted Total]]-Inventory[[#This Row],[24Final]])/Inventory[[#This Row],[24Final]]</f>
        <v>6.9502468666919864E-2</v>
      </c>
    </row>
    <row r="514" spans="1:73" x14ac:dyDescent="0.3">
      <c r="A514" s="25">
        <v>2025</v>
      </c>
      <c r="B514" s="26" t="s">
        <v>614</v>
      </c>
      <c r="C514" s="26">
        <f>LN(Inventory[[#This Row],[Acres]])</f>
        <v>-0.9942522733438669</v>
      </c>
      <c r="D514" s="25">
        <v>0.37</v>
      </c>
      <c r="E514" s="32">
        <v>16134</v>
      </c>
      <c r="F514" s="26" t="s">
        <v>537</v>
      </c>
      <c r="G514" s="26" t="s">
        <v>126</v>
      </c>
      <c r="H514" s="26" t="s">
        <v>349</v>
      </c>
      <c r="I514" s="26" t="s">
        <v>538</v>
      </c>
      <c r="J514" s="26" t="s">
        <v>539</v>
      </c>
      <c r="K514" s="26" t="s">
        <v>241</v>
      </c>
      <c r="L514" s="26" t="s">
        <v>351</v>
      </c>
      <c r="M514" s="26" t="s">
        <v>303</v>
      </c>
      <c r="N514" s="26">
        <v>70</v>
      </c>
      <c r="O514" s="26">
        <f>2024-Inventory[[#This Row],[YrBlt]]</f>
        <v>66</v>
      </c>
      <c r="P514" s="26">
        <f>2024-Inventory[[#This Row],[EffYr]]</f>
        <v>50</v>
      </c>
      <c r="Q514" s="25">
        <v>1958</v>
      </c>
      <c r="R514" s="25">
        <v>1974</v>
      </c>
      <c r="S514" s="25">
        <v>1190</v>
      </c>
      <c r="T514" s="31"/>
      <c r="U514" s="31"/>
      <c r="V514" s="27">
        <f>Inventory[[#This Row],[Bsmt]]-Inventory[[#This Row],[FnBsmt]]</f>
        <v>0</v>
      </c>
      <c r="W514" s="27"/>
      <c r="X514" s="27"/>
      <c r="Y514" s="27">
        <f>Inventory[[#This Row],[MainFn]]+Inventory[[#This Row],[UpprFn]]+Inventory[[#This Row],[FnBsmt]]+Inventory[[#This Row],[AddFn]]</f>
        <v>1190</v>
      </c>
      <c r="Z514" s="27">
        <v>1500</v>
      </c>
      <c r="AA514" s="25">
        <v>5</v>
      </c>
      <c r="AB514" s="27"/>
      <c r="AC514" s="27"/>
      <c r="AD514" s="27"/>
      <c r="AE514" s="27"/>
      <c r="AF514" s="27"/>
      <c r="AG514" s="27"/>
      <c r="AH514" s="27"/>
      <c r="AI514" s="25">
        <v>190071</v>
      </c>
      <c r="AJ514" s="25">
        <v>136851</v>
      </c>
      <c r="AK514" s="25">
        <v>49227</v>
      </c>
      <c r="AL514" s="25">
        <v>363900</v>
      </c>
      <c r="AM514" s="25">
        <v>79900</v>
      </c>
      <c r="AN514" s="25">
        <v>284000</v>
      </c>
      <c r="AO514" s="25">
        <v>0</v>
      </c>
      <c r="AP514" s="25">
        <f>Lookups!$B$56*0</f>
        <v>0</v>
      </c>
      <c r="AQ514" s="25">
        <f>Lookups!$B$56*1</f>
        <v>89850.625589999996</v>
      </c>
      <c r="AR514" s="25">
        <f>Lookups!$B$57*Inventory[[#This Row],[LnAcres]]</f>
        <v>-31472.673662315807</v>
      </c>
      <c r="AS514" s="25">
        <f>VLOOKUP(Inventory[[#This Row],[Qlty]],Lookups!$A$62:$E$75,2,FALSE)</f>
        <v>21557.329055999999</v>
      </c>
      <c r="AT514" s="25">
        <f>VLOOKUP(Inventory[[#This Row],[Cnd]],Lookups!$A$76:$E$84,2,FALSE)</f>
        <v>197752.34721000001</v>
      </c>
      <c r="AU514" s="25">
        <f>Inventory[[#This Row],[EffAge]]*Lookups!$B$85</f>
        <v>-11152.280025</v>
      </c>
      <c r="AV514" s="25">
        <f>Inventory[[#This Row],[MainFn]]*Lookups!$B$86</f>
        <v>58796.31715363</v>
      </c>
      <c r="AW514" s="25">
        <f>Inventory[[#This Row],[UpprFn]]*Lookups!$B$87</f>
        <v>0</v>
      </c>
      <c r="AX514" s="25">
        <f>Inventory[[#This Row],[AddFn]]*Lookups!$B$88</f>
        <v>0</v>
      </c>
      <c r="AY514" s="25">
        <f>Inventory[[#This Row],[Bsmt]]*Lookups!$B$89</f>
        <v>0</v>
      </c>
      <c r="AZ514" s="25">
        <f>Inventory[[#This Row],[Fixtures]]*Lookups!$B$90</f>
        <v>18960.110526</v>
      </c>
      <c r="BA514" s="25">
        <f>Inventory[[#This Row],[WdDeck]]*Lookups!$B$91</f>
        <v>0</v>
      </c>
      <c r="BB514" s="25">
        <f>ROUND(Inventory[[#This Row],[25Det]],-2)</f>
        <v>49200</v>
      </c>
      <c r="BC514" s="25">
        <f>ROUND(SUM(Inventory[[#This Row],[Mdl Qlty]:[Mdl WdDeck]])+Inventory[[#This Row],[Mdl Res Intercept]],-2)</f>
        <v>285900</v>
      </c>
      <c r="BD514" s="25">
        <f>ROUND(Inventory[[#This Row],[Mdl Land Intercept]]+Inventory[[#This Row],[Mdl LnAcres]],-2)</f>
        <v>58400</v>
      </c>
      <c r="BE514" s="25">
        <f>Inventory[[#This Row],[Unadj Res Value]]+Inventory[[#This Row],[Unadj Det Value]]+Inventory[[#This Row],[Unadj Land Value]]</f>
        <v>393500</v>
      </c>
      <c r="BF514" s="36">
        <f>(Inventory[[#This Row],[Unadj Total Value]]-Inventory[[#This Row],[24Final]])/Inventory[[#This Row],[24Final]]</f>
        <v>8.1341027754877712E-2</v>
      </c>
      <c r="BG514" s="25">
        <f>VLOOKUP(Inventory[[#This Row],[Nbhd]],Lookups!$Q$2:$T$4,4,FALSE)</f>
        <v>0.99970000000000003</v>
      </c>
      <c r="BH514" s="25">
        <f>VLOOKUP(Inventory[[#This Row],[Qlty]],Lookups!$O$7:$R$21,4,FALSE)</f>
        <v>1.0067999999999999</v>
      </c>
      <c r="BI514" s="25">
        <f>VLOOKUP(Inventory[[#This Row],[Cnd]],Lookups!$T$7:$W$16,4,FALSE)</f>
        <v>0.99650000000000005</v>
      </c>
      <c r="BJ514" s="25">
        <f>VLOOKUP(Inventory[[#This Row],[LivArea Range]],Lookups!$T$25:$W$37,4,FALSE)</f>
        <v>1.0157</v>
      </c>
      <c r="BK514" s="25">
        <f>VLOOKUP(Inventory[[#This Row],[Decade]],Lookups!$O$25:$R$42,4,FALSE)</f>
        <v>1.0199</v>
      </c>
      <c r="BL514" s="25">
        <f>Inventory[[#This Row],[Nbhd Adj]]*0.95</f>
        <v>0.94971499999999998</v>
      </c>
      <c r="BM514" s="25">
        <f>Inventory[[#This Row],[Nbhd Adj]]*Inventory[[#This Row],[Quality Adj]]*Inventory[[#This Row],[Condition Adj]]*Inventory[[#This Row],[Living Area Adj]]*Inventory[[#This Row],[Decade Adj]]*0.95</f>
        <v>0.98704476969641131</v>
      </c>
      <c r="BN514" s="25">
        <f>ROUND(SUM(Inventory[[#This Row],[Mdl Qlty]:[Mdl WdDeck]])+Inventory[[#This Row],[Mdl Res Intercept]]*Inventory[[#This Row],[Res Adj ]],-2)</f>
        <v>285900</v>
      </c>
      <c r="BO514" s="25">
        <f>ROUND(Inventory[[#This Row],[25Det]]*Inventory[[#This Row],[Det/Nbhd Adj]],-2)</f>
        <v>46800</v>
      </c>
      <c r="BP514" s="25">
        <f>Inventory[[#This Row],[Adjusted Res]]+Inventory[[#This Row],[Adj Det ]]</f>
        <v>332700</v>
      </c>
      <c r="BQ514" s="25">
        <f>ROUND((Inventory[[#This Row],[Mdl Land Intercept]]+Inventory[[#This Row],[Mdl LnAcres]])*Inventory[[#This Row],[Det/Nbhd Adj]],-2)</f>
        <v>55400</v>
      </c>
      <c r="BR514" s="25">
        <f>Inventory[[#This Row],[Adjusted Impr Total]]+Inventory[[#This Row],[Adjusted Land Total]]</f>
        <v>388100</v>
      </c>
      <c r="BS514" s="36">
        <f>IFERROR((Inventory[[#This Row],[Adjusted Impr Total]]-Inventory[[#This Row],[24Bldg]])/Inventory[[#This Row],[24Bldg]],0)</f>
        <v>0.17147887323943661</v>
      </c>
      <c r="BT514" s="36">
        <f>(Inventory[[#This Row],[Adjusted Land Total]]-Inventory[[#This Row],[24Lnd]])/Inventory[[#This Row],[24Lnd]]</f>
        <v>-0.30663329161451813</v>
      </c>
      <c r="BU514" s="36">
        <f>(Inventory[[#This Row],[Adjusted Total]]-Inventory[[#This Row],[24Final]])/Inventory[[#This Row],[24Final]]</f>
        <v>6.650178620500137E-2</v>
      </c>
    </row>
    <row r="515" spans="1:73" x14ac:dyDescent="0.3">
      <c r="A515" s="25">
        <v>2025</v>
      </c>
      <c r="B515" s="26" t="s">
        <v>1005</v>
      </c>
      <c r="C515" s="26">
        <f>LN(Inventory[[#This Row],[Acres]])</f>
        <v>-1.1086626245216111</v>
      </c>
      <c r="D515" s="25">
        <v>0.33</v>
      </c>
      <c r="E515" s="32">
        <v>14412</v>
      </c>
      <c r="F515" s="26" t="s">
        <v>537</v>
      </c>
      <c r="G515" s="26" t="s">
        <v>126</v>
      </c>
      <c r="H515" s="26" t="s">
        <v>349</v>
      </c>
      <c r="I515" s="26" t="s">
        <v>538</v>
      </c>
      <c r="J515" s="26" t="s">
        <v>539</v>
      </c>
      <c r="K515" s="26" t="s">
        <v>241</v>
      </c>
      <c r="L515" s="26" t="s">
        <v>148</v>
      </c>
      <c r="M515" s="26" t="s">
        <v>303</v>
      </c>
      <c r="N515" s="26">
        <v>70</v>
      </c>
      <c r="O515" s="26">
        <f>2024-Inventory[[#This Row],[YrBlt]]</f>
        <v>66</v>
      </c>
      <c r="P515" s="26">
        <f>2024-Inventory[[#This Row],[EffYr]]</f>
        <v>50</v>
      </c>
      <c r="Q515" s="25">
        <v>1958</v>
      </c>
      <c r="R515" s="25">
        <v>1974</v>
      </c>
      <c r="S515" s="25">
        <v>1825</v>
      </c>
      <c r="T515" s="27"/>
      <c r="U515" s="31"/>
      <c r="V515" s="31">
        <f>Inventory[[#This Row],[Bsmt]]-Inventory[[#This Row],[FnBsmt]]</f>
        <v>0</v>
      </c>
      <c r="W515" s="31"/>
      <c r="X515" s="27"/>
      <c r="Y515" s="27">
        <f>Inventory[[#This Row],[MainFn]]+Inventory[[#This Row],[UpprFn]]+Inventory[[#This Row],[FnBsmt]]+Inventory[[#This Row],[AddFn]]</f>
        <v>1825</v>
      </c>
      <c r="Z515" s="27">
        <v>2000</v>
      </c>
      <c r="AA515" s="25">
        <v>8</v>
      </c>
      <c r="AB515" s="32">
        <v>506</v>
      </c>
      <c r="AC515" s="27"/>
      <c r="AD515" s="31"/>
      <c r="AE515" s="27"/>
      <c r="AF515" s="27"/>
      <c r="AG515" s="27"/>
      <c r="AH515" s="27"/>
      <c r="AI515" s="25">
        <v>427566</v>
      </c>
      <c r="AJ515" s="25">
        <v>307848</v>
      </c>
      <c r="AK515" s="25">
        <v>0</v>
      </c>
      <c r="AL515" s="25">
        <v>378800</v>
      </c>
      <c r="AM515" s="25">
        <v>75900</v>
      </c>
      <c r="AN515" s="25">
        <v>302900</v>
      </c>
      <c r="AO515" s="25">
        <v>0</v>
      </c>
      <c r="AP515" s="25">
        <f>Lookups!$B$56*0</f>
        <v>0</v>
      </c>
      <c r="AQ515" s="25">
        <f>Lookups!$B$56*1</f>
        <v>89850.625589999996</v>
      </c>
      <c r="AR515" s="25">
        <f>Lookups!$B$57*Inventory[[#This Row],[LnAcres]]</f>
        <v>-35094.289365640165</v>
      </c>
      <c r="AS515" s="25">
        <f>VLOOKUP(Inventory[[#This Row],[Qlty]],Lookups!$A$62:$E$75,2,FALSE)</f>
        <v>44121.038090000002</v>
      </c>
      <c r="AT515" s="25">
        <f>VLOOKUP(Inventory[[#This Row],[Cnd]],Lookups!$A$76:$E$84,2,FALSE)</f>
        <v>197752.34721000001</v>
      </c>
      <c r="AU515" s="25">
        <f>Inventory[[#This Row],[EffAge]]*Lookups!$B$85</f>
        <v>-11152.280025</v>
      </c>
      <c r="AV515" s="25">
        <f>Inventory[[#This Row],[MainFn]]*Lookups!$B$86</f>
        <v>90170.822525525</v>
      </c>
      <c r="AW515" s="25">
        <f>Inventory[[#This Row],[UpprFn]]*Lookups!$B$87</f>
        <v>0</v>
      </c>
      <c r="AX515" s="25">
        <f>Inventory[[#This Row],[AddFn]]*Lookups!$B$88</f>
        <v>0</v>
      </c>
      <c r="AY515" s="25">
        <f>Inventory[[#This Row],[Bsmt]]*Lookups!$B$89</f>
        <v>0</v>
      </c>
      <c r="AZ515" s="25">
        <f>Inventory[[#This Row],[Fixtures]]*Lookups!$B$90</f>
        <v>30336.176841600001</v>
      </c>
      <c r="BA515" s="25">
        <f>Inventory[[#This Row],[WdDeck]]*Lookups!$B$91</f>
        <v>0</v>
      </c>
      <c r="BB515" s="25">
        <f>ROUND(Inventory[[#This Row],[25Det]],-2)</f>
        <v>0</v>
      </c>
      <c r="BC515" s="25">
        <f>ROUND(SUM(Inventory[[#This Row],[Mdl Qlty]:[Mdl WdDeck]])+Inventory[[#This Row],[Mdl Res Intercept]],-2)</f>
        <v>351200</v>
      </c>
      <c r="BD515" s="25">
        <f>ROUND(Inventory[[#This Row],[Mdl Land Intercept]]+Inventory[[#This Row],[Mdl LnAcres]],-2)</f>
        <v>54800</v>
      </c>
      <c r="BE515" s="25">
        <f>Inventory[[#This Row],[Unadj Res Value]]+Inventory[[#This Row],[Unadj Det Value]]+Inventory[[#This Row],[Unadj Land Value]]</f>
        <v>406000</v>
      </c>
      <c r="BF515" s="36">
        <f>(Inventory[[#This Row],[Unadj Total Value]]-Inventory[[#This Row],[24Final]])/Inventory[[#This Row],[24Final]]</f>
        <v>7.1805702217529035E-2</v>
      </c>
      <c r="BG515" s="25">
        <f>VLOOKUP(Inventory[[#This Row],[Nbhd]],Lookups!$Q$2:$T$4,4,FALSE)</f>
        <v>0.99970000000000003</v>
      </c>
      <c r="BH515" s="25">
        <f>VLOOKUP(Inventory[[#This Row],[Qlty]],Lookups!$O$7:$R$21,4,FALSE)</f>
        <v>0.98050000000000004</v>
      </c>
      <c r="BI515" s="25">
        <f>VLOOKUP(Inventory[[#This Row],[Cnd]],Lookups!$T$7:$W$16,4,FALSE)</f>
        <v>0.99650000000000005</v>
      </c>
      <c r="BJ515" s="25">
        <f>VLOOKUP(Inventory[[#This Row],[LivArea Range]],Lookups!$T$25:$W$37,4,FALSE)</f>
        <v>1.0093000000000001</v>
      </c>
      <c r="BK515" s="25">
        <f>VLOOKUP(Inventory[[#This Row],[Decade]],Lookups!$O$25:$R$42,4,FALSE)</f>
        <v>1.0199</v>
      </c>
      <c r="BL515" s="25">
        <f>Inventory[[#This Row],[Nbhd Adj]]*0.95</f>
        <v>0.94971499999999998</v>
      </c>
      <c r="BM515" s="25">
        <f>Inventory[[#This Row],[Nbhd Adj]]*Inventory[[#This Row],[Quality Adj]]*Inventory[[#This Row],[Condition Adj]]*Inventory[[#This Row],[Living Area Adj]]*Inventory[[#This Row],[Decade Adj]]*0.95</f>
        <v>0.95520384832633376</v>
      </c>
      <c r="BN515" s="25">
        <f>ROUND(SUM(Inventory[[#This Row],[Mdl Qlty]:[Mdl WdDeck]])+Inventory[[#This Row],[Mdl Res Intercept]]*Inventory[[#This Row],[Res Adj ]],-2)</f>
        <v>351200</v>
      </c>
      <c r="BO515" s="25">
        <f>ROUND(Inventory[[#This Row],[25Det]]*Inventory[[#This Row],[Det/Nbhd Adj]],-2)</f>
        <v>0</v>
      </c>
      <c r="BP515" s="25">
        <f>Inventory[[#This Row],[Adjusted Res]]+Inventory[[#This Row],[Adj Det ]]</f>
        <v>351200</v>
      </c>
      <c r="BQ515" s="25">
        <f>ROUND((Inventory[[#This Row],[Mdl Land Intercept]]+Inventory[[#This Row],[Mdl LnAcres]])*Inventory[[#This Row],[Det/Nbhd Adj]],-2)</f>
        <v>52000</v>
      </c>
      <c r="BR515" s="25">
        <f>Inventory[[#This Row],[Adjusted Impr Total]]+Inventory[[#This Row],[Adjusted Land Total]]</f>
        <v>403200</v>
      </c>
      <c r="BS515" s="36">
        <f>IFERROR((Inventory[[#This Row],[Adjusted Impr Total]]-Inventory[[#This Row],[24Bldg]])/Inventory[[#This Row],[24Bldg]],0)</f>
        <v>0.15945856718388907</v>
      </c>
      <c r="BT515" s="36">
        <f>(Inventory[[#This Row],[Adjusted Land Total]]-Inventory[[#This Row],[24Lnd]])/Inventory[[#This Row],[24Lnd]]</f>
        <v>-0.31488801054018445</v>
      </c>
      <c r="BU515" s="36">
        <f>(Inventory[[#This Row],[Adjusted Total]]-Inventory[[#This Row],[24Final]])/Inventory[[#This Row],[24Final]]</f>
        <v>6.4413938753959871E-2</v>
      </c>
    </row>
    <row r="516" spans="1:73" x14ac:dyDescent="0.3">
      <c r="A516" s="25">
        <v>2025</v>
      </c>
      <c r="B516" s="26" t="s">
        <v>2796</v>
      </c>
      <c r="C516" s="26">
        <f>LN(Inventory[[#This Row],[Acres]])</f>
        <v>-1.8971199848858813</v>
      </c>
      <c r="D516" s="25">
        <v>0.15</v>
      </c>
      <c r="E516" s="27"/>
      <c r="F516" s="26" t="s">
        <v>537</v>
      </c>
      <c r="G516" s="26" t="s">
        <v>126</v>
      </c>
      <c r="H516" s="26" t="s">
        <v>349</v>
      </c>
      <c r="I516" s="26" t="s">
        <v>538</v>
      </c>
      <c r="J516" s="26" t="s">
        <v>539</v>
      </c>
      <c r="K516" s="26" t="s">
        <v>241</v>
      </c>
      <c r="L516" s="26" t="s">
        <v>148</v>
      </c>
      <c r="M516" s="26" t="s">
        <v>303</v>
      </c>
      <c r="N516" s="26">
        <v>70</v>
      </c>
      <c r="O516" s="26">
        <f>2024-Inventory[[#This Row],[YrBlt]]</f>
        <v>66</v>
      </c>
      <c r="P516" s="26">
        <f>2024-Inventory[[#This Row],[EffYr]]</f>
        <v>50</v>
      </c>
      <c r="Q516" s="25">
        <v>1958</v>
      </c>
      <c r="R516" s="25">
        <v>1974</v>
      </c>
      <c r="S516" s="25">
        <v>1865</v>
      </c>
      <c r="T516" s="27"/>
      <c r="U516" s="31"/>
      <c r="V516" s="27">
        <f>Inventory[[#This Row],[Bsmt]]-Inventory[[#This Row],[FnBsmt]]</f>
        <v>0</v>
      </c>
      <c r="W516" s="27"/>
      <c r="X516" s="27"/>
      <c r="Y516" s="27">
        <f>Inventory[[#This Row],[MainFn]]+Inventory[[#This Row],[UpprFn]]+Inventory[[#This Row],[FnBsmt]]+Inventory[[#This Row],[AddFn]]</f>
        <v>1865</v>
      </c>
      <c r="Z516" s="27">
        <v>2000</v>
      </c>
      <c r="AA516" s="25">
        <v>8</v>
      </c>
      <c r="AB516" s="25">
        <v>384</v>
      </c>
      <c r="AC516" s="27"/>
      <c r="AD516" s="27"/>
      <c r="AE516" s="27"/>
      <c r="AF516" s="27"/>
      <c r="AG516" s="27"/>
      <c r="AH516" s="27"/>
      <c r="AI516" s="25">
        <v>405562</v>
      </c>
      <c r="AJ516" s="25">
        <v>292005</v>
      </c>
      <c r="AK516" s="25">
        <v>0</v>
      </c>
      <c r="AL516" s="25">
        <v>360400</v>
      </c>
      <c r="AM516" s="25">
        <v>48400</v>
      </c>
      <c r="AN516" s="25">
        <v>312000</v>
      </c>
      <c r="AO516" s="25">
        <v>0</v>
      </c>
      <c r="AP516" s="25">
        <f>Lookups!$B$56*0</f>
        <v>0</v>
      </c>
      <c r="AQ516" s="25">
        <f>Lookups!$B$56*1</f>
        <v>89850.625589999996</v>
      </c>
      <c r="AR516" s="25">
        <f>Lookups!$B$57*Inventory[[#This Row],[LnAcres]]</f>
        <v>-60052.604136134301</v>
      </c>
      <c r="AS516" s="25">
        <f>VLOOKUP(Inventory[[#This Row],[Qlty]],Lookups!$A$62:$E$75,2,FALSE)</f>
        <v>44121.038090000002</v>
      </c>
      <c r="AT516" s="25">
        <f>VLOOKUP(Inventory[[#This Row],[Cnd]],Lookups!$A$76:$E$84,2,FALSE)</f>
        <v>197752.34721000001</v>
      </c>
      <c r="AU516" s="25">
        <f>Inventory[[#This Row],[EffAge]]*Lookups!$B$85</f>
        <v>-11152.280025</v>
      </c>
      <c r="AV516" s="25">
        <f>Inventory[[#This Row],[MainFn]]*Lookups!$B$86</f>
        <v>92147.169320604997</v>
      </c>
      <c r="AW516" s="25">
        <f>Inventory[[#This Row],[UpprFn]]*Lookups!$B$87</f>
        <v>0</v>
      </c>
      <c r="AX516" s="25">
        <f>Inventory[[#This Row],[AddFn]]*Lookups!$B$88</f>
        <v>0</v>
      </c>
      <c r="AY516" s="25">
        <f>Inventory[[#This Row],[Bsmt]]*Lookups!$B$89</f>
        <v>0</v>
      </c>
      <c r="AZ516" s="25">
        <f>Inventory[[#This Row],[Fixtures]]*Lookups!$B$90</f>
        <v>30336.176841600001</v>
      </c>
      <c r="BA516" s="25">
        <f>Inventory[[#This Row],[WdDeck]]*Lookups!$B$91</f>
        <v>0</v>
      </c>
      <c r="BB516" s="25">
        <f>ROUND(Inventory[[#This Row],[25Det]],-2)</f>
        <v>0</v>
      </c>
      <c r="BC516" s="25">
        <f>ROUND(SUM(Inventory[[#This Row],[Mdl Qlty]:[Mdl WdDeck]])+Inventory[[#This Row],[Mdl Res Intercept]],-2)</f>
        <v>353200</v>
      </c>
      <c r="BD516" s="25">
        <f>ROUND(Inventory[[#This Row],[Mdl Land Intercept]]+Inventory[[#This Row],[Mdl LnAcres]],-2)</f>
        <v>29800</v>
      </c>
      <c r="BE516" s="25">
        <f>Inventory[[#This Row],[Unadj Res Value]]+Inventory[[#This Row],[Unadj Det Value]]+Inventory[[#This Row],[Unadj Land Value]]</f>
        <v>383000</v>
      </c>
      <c r="BF516" s="36">
        <f>(Inventory[[#This Row],[Unadj Total Value]]-Inventory[[#This Row],[24Final]])/Inventory[[#This Row],[24Final]]</f>
        <v>6.2708102108768038E-2</v>
      </c>
      <c r="BG516" s="25">
        <f>VLOOKUP(Inventory[[#This Row],[Nbhd]],Lookups!$Q$2:$T$4,4,FALSE)</f>
        <v>0.99970000000000003</v>
      </c>
      <c r="BH516" s="25">
        <f>VLOOKUP(Inventory[[#This Row],[Qlty]],Lookups!$O$7:$R$21,4,FALSE)</f>
        <v>0.98050000000000004</v>
      </c>
      <c r="BI516" s="25">
        <f>VLOOKUP(Inventory[[#This Row],[Cnd]],Lookups!$T$7:$W$16,4,FALSE)</f>
        <v>0.99650000000000005</v>
      </c>
      <c r="BJ516" s="25">
        <f>VLOOKUP(Inventory[[#This Row],[LivArea Range]],Lookups!$T$25:$W$37,4,FALSE)</f>
        <v>1.0093000000000001</v>
      </c>
      <c r="BK516" s="25">
        <f>VLOOKUP(Inventory[[#This Row],[Decade]],Lookups!$O$25:$R$42,4,FALSE)</f>
        <v>1.0199</v>
      </c>
      <c r="BL516" s="25">
        <f>Inventory[[#This Row],[Nbhd Adj]]*0.95</f>
        <v>0.94971499999999998</v>
      </c>
      <c r="BM516" s="25">
        <f>Inventory[[#This Row],[Nbhd Adj]]*Inventory[[#This Row],[Quality Adj]]*Inventory[[#This Row],[Condition Adj]]*Inventory[[#This Row],[Living Area Adj]]*Inventory[[#This Row],[Decade Adj]]*0.95</f>
        <v>0.95520384832633376</v>
      </c>
      <c r="BN516" s="25">
        <f>ROUND(SUM(Inventory[[#This Row],[Mdl Qlty]:[Mdl WdDeck]])+Inventory[[#This Row],[Mdl Res Intercept]]*Inventory[[#This Row],[Res Adj ]],-2)</f>
        <v>353200</v>
      </c>
      <c r="BO516" s="25">
        <f>ROUND(Inventory[[#This Row],[25Det]]*Inventory[[#This Row],[Det/Nbhd Adj]],-2)</f>
        <v>0</v>
      </c>
      <c r="BP516" s="25">
        <f>Inventory[[#This Row],[Adjusted Res]]+Inventory[[#This Row],[Adj Det ]]</f>
        <v>353200</v>
      </c>
      <c r="BQ516" s="25">
        <f>ROUND((Inventory[[#This Row],[Mdl Land Intercept]]+Inventory[[#This Row],[Mdl LnAcres]])*Inventory[[#This Row],[Det/Nbhd Adj]],-2)</f>
        <v>28300</v>
      </c>
      <c r="BR516" s="25">
        <f>Inventory[[#This Row],[Adjusted Impr Total]]+Inventory[[#This Row],[Adjusted Land Total]]</f>
        <v>381500</v>
      </c>
      <c r="BS516" s="36">
        <f>IFERROR((Inventory[[#This Row],[Adjusted Impr Total]]-Inventory[[#This Row],[24Bldg]])/Inventory[[#This Row],[24Bldg]],0)</f>
        <v>0.13205128205128205</v>
      </c>
      <c r="BT516" s="36">
        <f>(Inventory[[#This Row],[Adjusted Land Total]]-Inventory[[#This Row],[24Lnd]])/Inventory[[#This Row],[24Lnd]]</f>
        <v>-0.41528925619834711</v>
      </c>
      <c r="BU516" s="36">
        <f>(Inventory[[#This Row],[Adjusted Total]]-Inventory[[#This Row],[24Final]])/Inventory[[#This Row],[24Final]]</f>
        <v>5.8546059933407328E-2</v>
      </c>
    </row>
    <row r="517" spans="1:73" x14ac:dyDescent="0.3">
      <c r="A517" s="25">
        <v>2025</v>
      </c>
      <c r="B517" s="26" t="s">
        <v>2864</v>
      </c>
      <c r="C517" s="26">
        <f>LN(Inventory[[#This Row],[Acres]])</f>
        <v>-1.6607312068216509</v>
      </c>
      <c r="D517" s="25">
        <v>0.19</v>
      </c>
      <c r="E517" s="27"/>
      <c r="F517" s="26" t="s">
        <v>537</v>
      </c>
      <c r="G517" s="26" t="s">
        <v>126</v>
      </c>
      <c r="H517" s="26" t="s">
        <v>349</v>
      </c>
      <c r="I517" s="26" t="s">
        <v>538</v>
      </c>
      <c r="J517" s="26" t="s">
        <v>539</v>
      </c>
      <c r="K517" s="26" t="s">
        <v>241</v>
      </c>
      <c r="L517" s="26" t="s">
        <v>302</v>
      </c>
      <c r="M517" s="26" t="s">
        <v>303</v>
      </c>
      <c r="N517" s="26">
        <v>70</v>
      </c>
      <c r="O517" s="26">
        <f>2024-Inventory[[#This Row],[YrBlt]]</f>
        <v>66</v>
      </c>
      <c r="P517" s="26">
        <f>2024-Inventory[[#This Row],[EffYr]]</f>
        <v>50</v>
      </c>
      <c r="Q517" s="25">
        <v>1958</v>
      </c>
      <c r="R517" s="25">
        <v>1974</v>
      </c>
      <c r="S517" s="25">
        <v>934</v>
      </c>
      <c r="T517" s="31"/>
      <c r="U517" s="25">
        <v>934</v>
      </c>
      <c r="V517" s="32">
        <f>Inventory[[#This Row],[Bsmt]]-Inventory[[#This Row],[FnBsmt]]</f>
        <v>0</v>
      </c>
      <c r="W517" s="32">
        <v>934</v>
      </c>
      <c r="X517" s="27"/>
      <c r="Y517" s="27">
        <f>Inventory[[#This Row],[MainFn]]+Inventory[[#This Row],[UpprFn]]+Inventory[[#This Row],[FnBsmt]]+Inventory[[#This Row],[AddFn]]</f>
        <v>1868</v>
      </c>
      <c r="Z517" s="27">
        <v>2000</v>
      </c>
      <c r="AA517" s="25">
        <v>8</v>
      </c>
      <c r="AB517" s="32">
        <v>242</v>
      </c>
      <c r="AC517" s="27"/>
      <c r="AD517" s="27"/>
      <c r="AE517" s="27"/>
      <c r="AF517" s="27"/>
      <c r="AG517" s="27"/>
      <c r="AH517" s="27"/>
      <c r="AI517" s="25">
        <v>298163</v>
      </c>
      <c r="AJ517" s="25">
        <v>214677</v>
      </c>
      <c r="AK517" s="25">
        <v>0</v>
      </c>
      <c r="AL517" s="25">
        <v>336400</v>
      </c>
      <c r="AM517" s="25">
        <v>56600</v>
      </c>
      <c r="AN517" s="25">
        <v>279800</v>
      </c>
      <c r="AO517" s="25">
        <v>0</v>
      </c>
      <c r="AP517" s="25">
        <f>Lookups!$B$56*0</f>
        <v>0</v>
      </c>
      <c r="AQ517" s="25">
        <f>Lookups!$B$56*1</f>
        <v>89850.625589999996</v>
      </c>
      <c r="AR517" s="25">
        <f>Lookups!$B$57*Inventory[[#This Row],[LnAcres]]</f>
        <v>-52569.808201026557</v>
      </c>
      <c r="AS517" s="25">
        <f>VLOOKUP(Inventory[[#This Row],[Qlty]],Lookups!$A$62:$E$75,2,FALSE)</f>
        <v>29814.093161000001</v>
      </c>
      <c r="AT517" s="25">
        <f>VLOOKUP(Inventory[[#This Row],[Cnd]],Lookups!$A$76:$E$84,2,FALSE)</f>
        <v>197752.34721000001</v>
      </c>
      <c r="AU517" s="25">
        <f>Inventory[[#This Row],[EffAge]]*Lookups!$B$85</f>
        <v>-11152.280025</v>
      </c>
      <c r="AV517" s="25">
        <f>Inventory[[#This Row],[MainFn]]*Lookups!$B$86</f>
        <v>46147.697665118001</v>
      </c>
      <c r="AW517" s="25">
        <f>Inventory[[#This Row],[UpprFn]]*Lookups!$B$87</f>
        <v>0</v>
      </c>
      <c r="AX517" s="25">
        <f>Inventory[[#This Row],[AddFn]]*Lookups!$B$88</f>
        <v>0</v>
      </c>
      <c r="AY517" s="25">
        <f>Inventory[[#This Row],[Bsmt]]*Lookups!$B$89</f>
        <v>27162.490160697998</v>
      </c>
      <c r="AZ517" s="25">
        <f>Inventory[[#This Row],[Fixtures]]*Lookups!$B$90</f>
        <v>30336.176841600001</v>
      </c>
      <c r="BA517" s="25">
        <f>Inventory[[#This Row],[WdDeck]]*Lookups!$B$91</f>
        <v>0</v>
      </c>
      <c r="BB517" s="25">
        <f>ROUND(Inventory[[#This Row],[25Det]],-2)</f>
        <v>0</v>
      </c>
      <c r="BC517" s="25">
        <f>ROUND(SUM(Inventory[[#This Row],[Mdl Qlty]:[Mdl WdDeck]])+Inventory[[#This Row],[Mdl Res Intercept]],-2)</f>
        <v>320100</v>
      </c>
      <c r="BD517" s="25">
        <f>ROUND(Inventory[[#This Row],[Mdl Land Intercept]]+Inventory[[#This Row],[Mdl LnAcres]],-2)</f>
        <v>37300</v>
      </c>
      <c r="BE517" s="25">
        <f>Inventory[[#This Row],[Unadj Res Value]]+Inventory[[#This Row],[Unadj Det Value]]+Inventory[[#This Row],[Unadj Land Value]]</f>
        <v>357400</v>
      </c>
      <c r="BF517" s="36">
        <f>(Inventory[[#This Row],[Unadj Total Value]]-Inventory[[#This Row],[24Final]])/Inventory[[#This Row],[24Final]]</f>
        <v>6.2425683709869201E-2</v>
      </c>
      <c r="BG517" s="25">
        <f>VLOOKUP(Inventory[[#This Row],[Nbhd]],Lookups!$Q$2:$T$4,4,FALSE)</f>
        <v>0.99970000000000003</v>
      </c>
      <c r="BH517" s="25">
        <f>VLOOKUP(Inventory[[#This Row],[Qlty]],Lookups!$O$7:$R$21,4,FALSE)</f>
        <v>1.0088999999999999</v>
      </c>
      <c r="BI517" s="25">
        <f>VLOOKUP(Inventory[[#This Row],[Cnd]],Lookups!$T$7:$W$16,4,FALSE)</f>
        <v>0.99650000000000005</v>
      </c>
      <c r="BJ517" s="25">
        <f>VLOOKUP(Inventory[[#This Row],[LivArea Range]],Lookups!$T$25:$W$37,4,FALSE)</f>
        <v>1.0093000000000001</v>
      </c>
      <c r="BK517" s="25">
        <f>VLOOKUP(Inventory[[#This Row],[Decade]],Lookups!$O$25:$R$42,4,FALSE)</f>
        <v>1.0199</v>
      </c>
      <c r="BL517" s="25">
        <f>Inventory[[#This Row],[Nbhd Adj]]*0.95</f>
        <v>0.94971499999999998</v>
      </c>
      <c r="BM517" s="25">
        <f>Inventory[[#This Row],[Nbhd Adj]]*Inventory[[#This Row],[Quality Adj]]*Inventory[[#This Row],[Condition Adj]]*Inventory[[#This Row],[Living Area Adj]]*Inventory[[#This Row],[Decade Adj]]*0.95</f>
        <v>0.98287115000146663</v>
      </c>
      <c r="BN517" s="25">
        <f>ROUND(SUM(Inventory[[#This Row],[Mdl Qlty]:[Mdl WdDeck]])+Inventory[[#This Row],[Mdl Res Intercept]]*Inventory[[#This Row],[Res Adj ]],-2)</f>
        <v>320100</v>
      </c>
      <c r="BO517" s="25">
        <f>ROUND(Inventory[[#This Row],[25Det]]*Inventory[[#This Row],[Det/Nbhd Adj]],-2)</f>
        <v>0</v>
      </c>
      <c r="BP517" s="25">
        <f>Inventory[[#This Row],[Adjusted Res]]+Inventory[[#This Row],[Adj Det ]]</f>
        <v>320100</v>
      </c>
      <c r="BQ517" s="25">
        <f>ROUND((Inventory[[#This Row],[Mdl Land Intercept]]+Inventory[[#This Row],[Mdl LnAcres]])*Inventory[[#This Row],[Det/Nbhd Adj]],-2)</f>
        <v>35400</v>
      </c>
      <c r="BR517" s="25">
        <f>Inventory[[#This Row],[Adjusted Impr Total]]+Inventory[[#This Row],[Adjusted Land Total]]</f>
        <v>355500</v>
      </c>
      <c r="BS517" s="36">
        <f>IFERROR((Inventory[[#This Row],[Adjusted Impr Total]]-Inventory[[#This Row],[24Bldg]])/Inventory[[#This Row],[24Bldg]],0)</f>
        <v>0.14403145103645462</v>
      </c>
      <c r="BT517" s="36">
        <f>(Inventory[[#This Row],[Adjusted Land Total]]-Inventory[[#This Row],[24Lnd]])/Inventory[[#This Row],[24Lnd]]</f>
        <v>-0.37455830388692579</v>
      </c>
      <c r="BU517" s="36">
        <f>(Inventory[[#This Row],[Adjusted Total]]-Inventory[[#This Row],[24Final]])/Inventory[[#This Row],[24Final]]</f>
        <v>5.6777645659928655E-2</v>
      </c>
    </row>
    <row r="518" spans="1:73" x14ac:dyDescent="0.3">
      <c r="A518" s="25">
        <v>2025</v>
      </c>
      <c r="B518" s="26" t="s">
        <v>1008</v>
      </c>
      <c r="C518" s="26">
        <f>LN(Inventory[[#This Row],[Acres]])</f>
        <v>-1.3862943611198906</v>
      </c>
      <c r="D518" s="25">
        <v>0.25</v>
      </c>
      <c r="E518" s="25">
        <v>10876</v>
      </c>
      <c r="F518" s="26" t="s">
        <v>537</v>
      </c>
      <c r="G518" s="26" t="s">
        <v>126</v>
      </c>
      <c r="H518" s="26" t="s">
        <v>349</v>
      </c>
      <c r="I518" s="26" t="s">
        <v>538</v>
      </c>
      <c r="J518" s="26" t="s">
        <v>539</v>
      </c>
      <c r="K518" s="26" t="s">
        <v>241</v>
      </c>
      <c r="L518" s="26" t="s">
        <v>148</v>
      </c>
      <c r="M518" s="26" t="s">
        <v>303</v>
      </c>
      <c r="N518" s="26">
        <v>70</v>
      </c>
      <c r="O518" s="26">
        <f>2024-Inventory[[#This Row],[YrBlt]]</f>
        <v>66</v>
      </c>
      <c r="P518" s="26">
        <f>2024-Inventory[[#This Row],[EffYr]]</f>
        <v>50</v>
      </c>
      <c r="Q518" s="25">
        <v>1958</v>
      </c>
      <c r="R518" s="25">
        <v>1974</v>
      </c>
      <c r="S518" s="25">
        <v>1776</v>
      </c>
      <c r="T518" s="27"/>
      <c r="U518" s="31"/>
      <c r="V518" s="27">
        <f>Inventory[[#This Row],[Bsmt]]-Inventory[[#This Row],[FnBsmt]]</f>
        <v>0</v>
      </c>
      <c r="W518" s="27"/>
      <c r="X518" s="27"/>
      <c r="Y518" s="27">
        <f>Inventory[[#This Row],[MainFn]]+Inventory[[#This Row],[UpprFn]]+Inventory[[#This Row],[FnBsmt]]+Inventory[[#This Row],[AddFn]]</f>
        <v>1776</v>
      </c>
      <c r="Z518" s="27">
        <v>2000</v>
      </c>
      <c r="AA518" s="25">
        <v>11</v>
      </c>
      <c r="AB518" s="32">
        <v>608</v>
      </c>
      <c r="AC518" s="27"/>
      <c r="AD518" s="27"/>
      <c r="AE518" s="27"/>
      <c r="AF518" s="27"/>
      <c r="AG518" s="31"/>
      <c r="AH518" s="27"/>
      <c r="AI518" s="25">
        <v>404732</v>
      </c>
      <c r="AJ518" s="25">
        <v>291407</v>
      </c>
      <c r="AK518" s="25">
        <v>0</v>
      </c>
      <c r="AL518" s="25">
        <v>383900</v>
      </c>
      <c r="AM518" s="25">
        <v>66200</v>
      </c>
      <c r="AN518" s="25">
        <v>317700</v>
      </c>
      <c r="AO518" s="25">
        <v>0</v>
      </c>
      <c r="AP518" s="25">
        <f>Lookups!$B$56*0</f>
        <v>0</v>
      </c>
      <c r="AQ518" s="25">
        <f>Lookups!$B$56*1</f>
        <v>89850.625589999996</v>
      </c>
      <c r="AR518" s="25">
        <f>Lookups!$B$57*Inventory[[#This Row],[LnAcres]]</f>
        <v>-43882.615305165229</v>
      </c>
      <c r="AS518" s="25">
        <f>VLOOKUP(Inventory[[#This Row],[Qlty]],Lookups!$A$62:$E$75,2,FALSE)</f>
        <v>44121.038090000002</v>
      </c>
      <c r="AT518" s="25">
        <f>VLOOKUP(Inventory[[#This Row],[Cnd]],Lookups!$A$76:$E$84,2,FALSE)</f>
        <v>197752.34721000001</v>
      </c>
      <c r="AU518" s="25">
        <f>Inventory[[#This Row],[EffAge]]*Lookups!$B$85</f>
        <v>-11152.280025</v>
      </c>
      <c r="AV518" s="25">
        <f>Inventory[[#This Row],[MainFn]]*Lookups!$B$86</f>
        <v>87749.797701552001</v>
      </c>
      <c r="AW518" s="25">
        <f>Inventory[[#This Row],[UpprFn]]*Lookups!$B$87</f>
        <v>0</v>
      </c>
      <c r="AX518" s="25">
        <f>Inventory[[#This Row],[AddFn]]*Lookups!$B$88</f>
        <v>0</v>
      </c>
      <c r="AY518" s="25">
        <f>Inventory[[#This Row],[Bsmt]]*Lookups!$B$89</f>
        <v>0</v>
      </c>
      <c r="AZ518" s="25">
        <f>Inventory[[#This Row],[Fixtures]]*Lookups!$B$90</f>
        <v>41712.243157199999</v>
      </c>
      <c r="BA518" s="25">
        <f>Inventory[[#This Row],[WdDeck]]*Lookups!$B$91</f>
        <v>0</v>
      </c>
      <c r="BB518" s="25">
        <f>ROUND(Inventory[[#This Row],[25Det]],-2)</f>
        <v>0</v>
      </c>
      <c r="BC518" s="25">
        <f>ROUND(SUM(Inventory[[#This Row],[Mdl Qlty]:[Mdl WdDeck]])+Inventory[[#This Row],[Mdl Res Intercept]],-2)</f>
        <v>360200</v>
      </c>
      <c r="BD518" s="25">
        <f>ROUND(Inventory[[#This Row],[Mdl Land Intercept]]+Inventory[[#This Row],[Mdl LnAcres]],-2)</f>
        <v>46000</v>
      </c>
      <c r="BE518" s="25">
        <f>Inventory[[#This Row],[Unadj Res Value]]+Inventory[[#This Row],[Unadj Det Value]]+Inventory[[#This Row],[Unadj Land Value]]</f>
        <v>406200</v>
      </c>
      <c r="BF518" s="36">
        <f>(Inventory[[#This Row],[Unadj Total Value]]-Inventory[[#This Row],[24Final]])/Inventory[[#This Row],[24Final]]</f>
        <v>5.8088043761396195E-2</v>
      </c>
      <c r="BG518" s="25">
        <f>VLOOKUP(Inventory[[#This Row],[Nbhd]],Lookups!$Q$2:$T$4,4,FALSE)</f>
        <v>0.99970000000000003</v>
      </c>
      <c r="BH518" s="25">
        <f>VLOOKUP(Inventory[[#This Row],[Qlty]],Lookups!$O$7:$R$21,4,FALSE)</f>
        <v>0.98050000000000004</v>
      </c>
      <c r="BI518" s="25">
        <f>VLOOKUP(Inventory[[#This Row],[Cnd]],Lookups!$T$7:$W$16,4,FALSE)</f>
        <v>0.99650000000000005</v>
      </c>
      <c r="BJ518" s="25">
        <f>VLOOKUP(Inventory[[#This Row],[LivArea Range]],Lookups!$T$25:$W$37,4,FALSE)</f>
        <v>1.0093000000000001</v>
      </c>
      <c r="BK518" s="25">
        <f>VLOOKUP(Inventory[[#This Row],[Decade]],Lookups!$O$25:$R$42,4,FALSE)</f>
        <v>1.0199</v>
      </c>
      <c r="BL518" s="25">
        <f>Inventory[[#This Row],[Nbhd Adj]]*0.95</f>
        <v>0.94971499999999998</v>
      </c>
      <c r="BM518" s="25">
        <f>Inventory[[#This Row],[Nbhd Adj]]*Inventory[[#This Row],[Quality Adj]]*Inventory[[#This Row],[Condition Adj]]*Inventory[[#This Row],[Living Area Adj]]*Inventory[[#This Row],[Decade Adj]]*0.95</f>
        <v>0.95520384832633376</v>
      </c>
      <c r="BN518" s="25">
        <f>ROUND(SUM(Inventory[[#This Row],[Mdl Qlty]:[Mdl WdDeck]])+Inventory[[#This Row],[Mdl Res Intercept]]*Inventory[[#This Row],[Res Adj ]],-2)</f>
        <v>360200</v>
      </c>
      <c r="BO518" s="25">
        <f>ROUND(Inventory[[#This Row],[25Det]]*Inventory[[#This Row],[Det/Nbhd Adj]],-2)</f>
        <v>0</v>
      </c>
      <c r="BP518" s="25">
        <f>Inventory[[#This Row],[Adjusted Res]]+Inventory[[#This Row],[Adj Det ]]</f>
        <v>360200</v>
      </c>
      <c r="BQ518" s="25">
        <f>ROUND((Inventory[[#This Row],[Mdl Land Intercept]]+Inventory[[#This Row],[Mdl LnAcres]])*Inventory[[#This Row],[Det/Nbhd Adj]],-2)</f>
        <v>43700</v>
      </c>
      <c r="BR518" s="25">
        <f>Inventory[[#This Row],[Adjusted Impr Total]]+Inventory[[#This Row],[Adjusted Land Total]]</f>
        <v>403900</v>
      </c>
      <c r="BS518" s="36">
        <f>IFERROR((Inventory[[#This Row],[Adjusted Impr Total]]-Inventory[[#This Row],[24Bldg]])/Inventory[[#This Row],[24Bldg]],0)</f>
        <v>0.13377400062952471</v>
      </c>
      <c r="BT518" s="36">
        <f>(Inventory[[#This Row],[Adjusted Land Total]]-Inventory[[#This Row],[24Lnd]])/Inventory[[#This Row],[24Lnd]]</f>
        <v>-0.33987915407854985</v>
      </c>
      <c r="BU518" s="36">
        <f>(Inventory[[#This Row],[Adjusted Total]]-Inventory[[#This Row],[24Final]])/Inventory[[#This Row],[24Final]]</f>
        <v>5.2096900234436049E-2</v>
      </c>
    </row>
    <row r="519" spans="1:73" x14ac:dyDescent="0.3">
      <c r="A519" s="25">
        <v>2025</v>
      </c>
      <c r="B519" s="26" t="s">
        <v>2371</v>
      </c>
      <c r="C519" s="26">
        <f>LN(Inventory[[#This Row],[Acres]])</f>
        <v>-1.5141277326297755</v>
      </c>
      <c r="D519" s="25">
        <v>0.22</v>
      </c>
      <c r="E519" s="31"/>
      <c r="F519" s="26" t="s">
        <v>537</v>
      </c>
      <c r="G519" s="26" t="s">
        <v>126</v>
      </c>
      <c r="H519" s="26" t="s">
        <v>349</v>
      </c>
      <c r="I519" s="26" t="s">
        <v>538</v>
      </c>
      <c r="J519" s="26" t="s">
        <v>539</v>
      </c>
      <c r="K519" s="26" t="s">
        <v>241</v>
      </c>
      <c r="L519" s="26" t="s">
        <v>302</v>
      </c>
      <c r="M519" s="26" t="s">
        <v>323</v>
      </c>
      <c r="N519" s="26">
        <v>70</v>
      </c>
      <c r="O519" s="26">
        <f>2024-Inventory[[#This Row],[YrBlt]]</f>
        <v>66</v>
      </c>
      <c r="P519" s="26">
        <f>2024-Inventory[[#This Row],[EffYr]]</f>
        <v>50</v>
      </c>
      <c r="Q519" s="25">
        <v>1958</v>
      </c>
      <c r="R519" s="25">
        <v>1974</v>
      </c>
      <c r="S519" s="25">
        <v>1593</v>
      </c>
      <c r="T519" s="27"/>
      <c r="U519" s="31"/>
      <c r="V519" s="27">
        <f>Inventory[[#This Row],[Bsmt]]-Inventory[[#This Row],[FnBsmt]]</f>
        <v>0</v>
      </c>
      <c r="W519" s="27"/>
      <c r="X519" s="27"/>
      <c r="Y519" s="27">
        <f>Inventory[[#This Row],[MainFn]]+Inventory[[#This Row],[UpprFn]]+Inventory[[#This Row],[FnBsmt]]+Inventory[[#This Row],[AddFn]]</f>
        <v>1593</v>
      </c>
      <c r="Z519" s="27">
        <v>2000</v>
      </c>
      <c r="AA519" s="25">
        <v>8</v>
      </c>
      <c r="AB519" s="32">
        <v>315</v>
      </c>
      <c r="AC519" s="27"/>
      <c r="AD519" s="32">
        <v>219</v>
      </c>
      <c r="AE519" s="27"/>
      <c r="AF519" s="27"/>
      <c r="AG519" s="31"/>
      <c r="AH519" s="27"/>
      <c r="AI519" s="25">
        <v>310015</v>
      </c>
      <c r="AJ519" s="25">
        <v>217011</v>
      </c>
      <c r="AK519" s="25">
        <v>0</v>
      </c>
      <c r="AL519" s="25">
        <v>319400</v>
      </c>
      <c r="AM519" s="25">
        <v>61700</v>
      </c>
      <c r="AN519" s="25">
        <v>257700</v>
      </c>
      <c r="AO519" s="25">
        <v>0</v>
      </c>
      <c r="AP519" s="25">
        <f>Lookups!$B$56*0</f>
        <v>0</v>
      </c>
      <c r="AQ519" s="25">
        <f>Lookups!$B$56*1</f>
        <v>89850.625589999996</v>
      </c>
      <c r="AR519" s="25">
        <f>Lookups!$B$57*Inventory[[#This Row],[LnAcres]]</f>
        <v>-47929.131559187132</v>
      </c>
      <c r="AS519" s="25">
        <f>VLOOKUP(Inventory[[#This Row],[Qlty]],Lookups!$A$62:$E$75,2,FALSE)</f>
        <v>29814.093161000001</v>
      </c>
      <c r="AT519" s="25">
        <f>VLOOKUP(Inventory[[#This Row],[Cnd]],Lookups!$A$76:$E$84,2,FALSE)</f>
        <v>160472.20319</v>
      </c>
      <c r="AU519" s="25">
        <f>Inventory[[#This Row],[EffAge]]*Lookups!$B$85</f>
        <v>-11152.280025</v>
      </c>
      <c r="AV519" s="25">
        <f>Inventory[[#This Row],[MainFn]]*Lookups!$B$86</f>
        <v>78708.011114060995</v>
      </c>
      <c r="AW519" s="25">
        <f>Inventory[[#This Row],[UpprFn]]*Lookups!$B$87</f>
        <v>0</v>
      </c>
      <c r="AX519" s="25">
        <f>Inventory[[#This Row],[AddFn]]*Lookups!$B$88</f>
        <v>0</v>
      </c>
      <c r="AY519" s="25">
        <f>Inventory[[#This Row],[Bsmt]]*Lookups!$B$89</f>
        <v>0</v>
      </c>
      <c r="AZ519" s="25">
        <f>Inventory[[#This Row],[Fixtures]]*Lookups!$B$90</f>
        <v>30336.176841600001</v>
      </c>
      <c r="BA519" s="25">
        <f>Inventory[[#This Row],[WdDeck]]*Lookups!$B$91</f>
        <v>7291.7178454440009</v>
      </c>
      <c r="BB519" s="25">
        <f>ROUND(Inventory[[#This Row],[25Det]],-2)</f>
        <v>0</v>
      </c>
      <c r="BC519" s="25">
        <f>ROUND(SUM(Inventory[[#This Row],[Mdl Qlty]:[Mdl WdDeck]])+Inventory[[#This Row],[Mdl Res Intercept]],-2)</f>
        <v>295500</v>
      </c>
      <c r="BD519" s="25">
        <f>ROUND(Inventory[[#This Row],[Mdl Land Intercept]]+Inventory[[#This Row],[Mdl LnAcres]],-2)</f>
        <v>41900</v>
      </c>
      <c r="BE519" s="25">
        <f>Inventory[[#This Row],[Unadj Res Value]]+Inventory[[#This Row],[Unadj Det Value]]+Inventory[[#This Row],[Unadj Land Value]]</f>
        <v>337400</v>
      </c>
      <c r="BF519" s="36">
        <f>(Inventory[[#This Row],[Unadj Total Value]]-Inventory[[#This Row],[24Final]])/Inventory[[#This Row],[24Final]]</f>
        <v>5.6355666875391355E-2</v>
      </c>
      <c r="BG519" s="25">
        <f>VLOOKUP(Inventory[[#This Row],[Nbhd]],Lookups!$Q$2:$T$4,4,FALSE)</f>
        <v>0.99970000000000003</v>
      </c>
      <c r="BH519" s="25">
        <f>VLOOKUP(Inventory[[#This Row],[Qlty]],Lookups!$O$7:$R$21,4,FALSE)</f>
        <v>1.0088999999999999</v>
      </c>
      <c r="BI519" s="25">
        <f>VLOOKUP(Inventory[[#This Row],[Cnd]],Lookups!$T$7:$W$16,4,FALSE)</f>
        <v>0.99729999999999996</v>
      </c>
      <c r="BJ519" s="25">
        <f>VLOOKUP(Inventory[[#This Row],[LivArea Range]],Lookups!$T$25:$W$37,4,FALSE)</f>
        <v>1.0093000000000001</v>
      </c>
      <c r="BK519" s="25">
        <f>VLOOKUP(Inventory[[#This Row],[Decade]],Lookups!$O$25:$R$42,4,FALSE)</f>
        <v>1.0199</v>
      </c>
      <c r="BL519" s="25">
        <f>Inventory[[#This Row],[Nbhd Adj]]*0.95</f>
        <v>0.94971499999999998</v>
      </c>
      <c r="BM519" s="25">
        <f>Inventory[[#This Row],[Nbhd Adj]]*Inventory[[#This Row],[Quality Adj]]*Inventory[[#This Row],[Condition Adj]]*Inventory[[#This Row],[Living Area Adj]]*Inventory[[#This Row],[Decade Adj]]*0.95</f>
        <v>0.98366020862665582</v>
      </c>
      <c r="BN519" s="25">
        <f>ROUND(SUM(Inventory[[#This Row],[Mdl Qlty]:[Mdl WdDeck]])+Inventory[[#This Row],[Mdl Res Intercept]]*Inventory[[#This Row],[Res Adj ]],-2)</f>
        <v>295500</v>
      </c>
      <c r="BO519" s="25">
        <f>ROUND(Inventory[[#This Row],[25Det]]*Inventory[[#This Row],[Det/Nbhd Adj]],-2)</f>
        <v>0</v>
      </c>
      <c r="BP519" s="25">
        <f>Inventory[[#This Row],[Adjusted Res]]+Inventory[[#This Row],[Adj Det ]]</f>
        <v>295500</v>
      </c>
      <c r="BQ519" s="25">
        <f>ROUND((Inventory[[#This Row],[Mdl Land Intercept]]+Inventory[[#This Row],[Mdl LnAcres]])*Inventory[[#This Row],[Det/Nbhd Adj]],-2)</f>
        <v>39800</v>
      </c>
      <c r="BR519" s="25">
        <f>Inventory[[#This Row],[Adjusted Impr Total]]+Inventory[[#This Row],[Adjusted Land Total]]</f>
        <v>335300</v>
      </c>
      <c r="BS519" s="36">
        <f>IFERROR((Inventory[[#This Row],[Adjusted Impr Total]]-Inventory[[#This Row],[24Bldg]])/Inventory[[#This Row],[24Bldg]],0)</f>
        <v>0.14668218859138532</v>
      </c>
      <c r="BT519" s="36">
        <f>(Inventory[[#This Row],[Adjusted Land Total]]-Inventory[[#This Row],[24Lnd]])/Inventory[[#This Row],[24Lnd]]</f>
        <v>-0.35494327390599678</v>
      </c>
      <c r="BU519" s="36">
        <f>(Inventory[[#This Row],[Adjusted Total]]-Inventory[[#This Row],[24Final]])/Inventory[[#This Row],[24Final]]</f>
        <v>4.9780839073262369E-2</v>
      </c>
    </row>
    <row r="520" spans="1:73" x14ac:dyDescent="0.3">
      <c r="A520" s="25">
        <v>2025</v>
      </c>
      <c r="B520" s="26" t="s">
        <v>1746</v>
      </c>
      <c r="C520" s="26">
        <f>LN(Inventory[[#This Row],[Acres]])</f>
        <v>-1.5606477482646683</v>
      </c>
      <c r="D520" s="25">
        <v>0.21</v>
      </c>
      <c r="E520" s="31"/>
      <c r="F520" s="26" t="s">
        <v>537</v>
      </c>
      <c r="G520" s="26" t="s">
        <v>126</v>
      </c>
      <c r="H520" s="26" t="s">
        <v>349</v>
      </c>
      <c r="I520" s="26" t="s">
        <v>538</v>
      </c>
      <c r="J520" s="26" t="s">
        <v>539</v>
      </c>
      <c r="K520" s="26" t="s">
        <v>241</v>
      </c>
      <c r="L520" s="26" t="s">
        <v>302</v>
      </c>
      <c r="M520" s="26" t="s">
        <v>303</v>
      </c>
      <c r="N520" s="26">
        <v>70</v>
      </c>
      <c r="O520" s="26">
        <f>2024-Inventory[[#This Row],[YrBlt]]</f>
        <v>66</v>
      </c>
      <c r="P520" s="26">
        <f>2024-Inventory[[#This Row],[EffYr]]</f>
        <v>50</v>
      </c>
      <c r="Q520" s="25">
        <v>1958</v>
      </c>
      <c r="R520" s="25">
        <v>1974</v>
      </c>
      <c r="S520" s="25">
        <v>1996</v>
      </c>
      <c r="T520" s="27"/>
      <c r="U520" s="31"/>
      <c r="V520" s="27">
        <f>Inventory[[#This Row],[Bsmt]]-Inventory[[#This Row],[FnBsmt]]</f>
        <v>0</v>
      </c>
      <c r="W520" s="27"/>
      <c r="X520" s="27"/>
      <c r="Y520" s="27">
        <f>Inventory[[#This Row],[MainFn]]+Inventory[[#This Row],[UpprFn]]+Inventory[[#This Row],[FnBsmt]]+Inventory[[#This Row],[AddFn]]</f>
        <v>1996</v>
      </c>
      <c r="Z520" s="27">
        <v>2000</v>
      </c>
      <c r="AA520" s="25">
        <v>7</v>
      </c>
      <c r="AB520" s="27"/>
      <c r="AC520" s="27"/>
      <c r="AD520" s="27"/>
      <c r="AE520" s="27"/>
      <c r="AF520" s="27"/>
      <c r="AG520" s="31"/>
      <c r="AH520" s="27"/>
      <c r="AI520" s="25">
        <v>347299</v>
      </c>
      <c r="AJ520" s="25">
        <v>250055</v>
      </c>
      <c r="AK520" s="25">
        <v>5831</v>
      </c>
      <c r="AL520" s="25">
        <v>367300</v>
      </c>
      <c r="AM520" s="25">
        <v>60100</v>
      </c>
      <c r="AN520" s="25">
        <v>307200</v>
      </c>
      <c r="AO520" s="25">
        <v>0</v>
      </c>
      <c r="AP520" s="25">
        <f>Lookups!$B$56*0</f>
        <v>0</v>
      </c>
      <c r="AQ520" s="25">
        <f>Lookups!$B$56*1</f>
        <v>89850.625589999996</v>
      </c>
      <c r="AR520" s="25">
        <f>Lookups!$B$57*Inventory[[#This Row],[LnAcres]]</f>
        <v>-49401.70477837498</v>
      </c>
      <c r="AS520" s="25">
        <f>VLOOKUP(Inventory[[#This Row],[Qlty]],Lookups!$A$62:$E$75,2,FALSE)</f>
        <v>29814.093161000001</v>
      </c>
      <c r="AT520" s="25">
        <f>VLOOKUP(Inventory[[#This Row],[Cnd]],Lookups!$A$76:$E$84,2,FALSE)</f>
        <v>197752.34721000001</v>
      </c>
      <c r="AU520" s="25">
        <f>Inventory[[#This Row],[EffAge]]*Lookups!$B$85</f>
        <v>-11152.280025</v>
      </c>
      <c r="AV520" s="25">
        <f>Inventory[[#This Row],[MainFn]]*Lookups!$B$86</f>
        <v>98619.705074491998</v>
      </c>
      <c r="AW520" s="25">
        <f>Inventory[[#This Row],[UpprFn]]*Lookups!$B$87</f>
        <v>0</v>
      </c>
      <c r="AX520" s="25">
        <f>Inventory[[#This Row],[AddFn]]*Lookups!$B$88</f>
        <v>0</v>
      </c>
      <c r="AY520" s="25">
        <f>Inventory[[#This Row],[Bsmt]]*Lookups!$B$89</f>
        <v>0</v>
      </c>
      <c r="AZ520" s="25">
        <f>Inventory[[#This Row],[Fixtures]]*Lookups!$B$90</f>
        <v>26544.1547364</v>
      </c>
      <c r="BA520" s="25">
        <f>Inventory[[#This Row],[WdDeck]]*Lookups!$B$91</f>
        <v>0</v>
      </c>
      <c r="BB520" s="25">
        <f>ROUND(Inventory[[#This Row],[25Det]],-2)</f>
        <v>5800</v>
      </c>
      <c r="BC520" s="25">
        <f>ROUND(SUM(Inventory[[#This Row],[Mdl Qlty]:[Mdl WdDeck]])+Inventory[[#This Row],[Mdl Res Intercept]],-2)</f>
        <v>341600</v>
      </c>
      <c r="BD520" s="25">
        <f>ROUND(Inventory[[#This Row],[Mdl Land Intercept]]+Inventory[[#This Row],[Mdl LnAcres]],-2)</f>
        <v>40400</v>
      </c>
      <c r="BE520" s="25">
        <f>Inventory[[#This Row],[Unadj Res Value]]+Inventory[[#This Row],[Unadj Det Value]]+Inventory[[#This Row],[Unadj Land Value]]</f>
        <v>387800</v>
      </c>
      <c r="BF520" s="36">
        <f>(Inventory[[#This Row],[Unadj Total Value]]-Inventory[[#This Row],[24Final]])/Inventory[[#This Row],[24Final]]</f>
        <v>5.5812687176694797E-2</v>
      </c>
      <c r="BG520" s="25">
        <f>VLOOKUP(Inventory[[#This Row],[Nbhd]],Lookups!$Q$2:$T$4,4,FALSE)</f>
        <v>0.99970000000000003</v>
      </c>
      <c r="BH520" s="25">
        <f>VLOOKUP(Inventory[[#This Row],[Qlty]],Lookups!$O$7:$R$21,4,FALSE)</f>
        <v>1.0088999999999999</v>
      </c>
      <c r="BI520" s="25">
        <f>VLOOKUP(Inventory[[#This Row],[Cnd]],Lookups!$T$7:$W$16,4,FALSE)</f>
        <v>0.99650000000000005</v>
      </c>
      <c r="BJ520" s="25">
        <f>VLOOKUP(Inventory[[#This Row],[LivArea Range]],Lookups!$T$25:$W$37,4,FALSE)</f>
        <v>1.0093000000000001</v>
      </c>
      <c r="BK520" s="25">
        <f>VLOOKUP(Inventory[[#This Row],[Decade]],Lookups!$O$25:$R$42,4,FALSE)</f>
        <v>1.0199</v>
      </c>
      <c r="BL520" s="25">
        <f>Inventory[[#This Row],[Nbhd Adj]]*0.95</f>
        <v>0.94971499999999998</v>
      </c>
      <c r="BM520" s="25">
        <f>Inventory[[#This Row],[Nbhd Adj]]*Inventory[[#This Row],[Quality Adj]]*Inventory[[#This Row],[Condition Adj]]*Inventory[[#This Row],[Living Area Adj]]*Inventory[[#This Row],[Decade Adj]]*0.95</f>
        <v>0.98287115000146663</v>
      </c>
      <c r="BN520" s="25">
        <f>ROUND(SUM(Inventory[[#This Row],[Mdl Qlty]:[Mdl WdDeck]])+Inventory[[#This Row],[Mdl Res Intercept]]*Inventory[[#This Row],[Res Adj ]],-2)</f>
        <v>341600</v>
      </c>
      <c r="BO520" s="25">
        <f>ROUND(Inventory[[#This Row],[25Det]]*Inventory[[#This Row],[Det/Nbhd Adj]],-2)</f>
        <v>5500</v>
      </c>
      <c r="BP520" s="25">
        <f>Inventory[[#This Row],[Adjusted Res]]+Inventory[[#This Row],[Adj Det ]]</f>
        <v>347100</v>
      </c>
      <c r="BQ520" s="25">
        <f>ROUND((Inventory[[#This Row],[Mdl Land Intercept]]+Inventory[[#This Row],[Mdl LnAcres]])*Inventory[[#This Row],[Det/Nbhd Adj]],-2)</f>
        <v>38400</v>
      </c>
      <c r="BR520" s="25">
        <f>Inventory[[#This Row],[Adjusted Impr Total]]+Inventory[[#This Row],[Adjusted Land Total]]</f>
        <v>385500</v>
      </c>
      <c r="BS520" s="36">
        <f>IFERROR((Inventory[[#This Row],[Adjusted Impr Total]]-Inventory[[#This Row],[24Bldg]])/Inventory[[#This Row],[24Bldg]],0)</f>
        <v>0.1298828125</v>
      </c>
      <c r="BT520" s="36">
        <f>(Inventory[[#This Row],[Adjusted Land Total]]-Inventory[[#This Row],[24Lnd]])/Inventory[[#This Row],[24Lnd]]</f>
        <v>-0.36106489184692181</v>
      </c>
      <c r="BU520" s="36">
        <f>(Inventory[[#This Row],[Adjusted Total]]-Inventory[[#This Row],[24Final]])/Inventory[[#This Row],[24Final]]</f>
        <v>4.9550775932480258E-2</v>
      </c>
    </row>
    <row r="521" spans="1:73" x14ac:dyDescent="0.3">
      <c r="A521" s="25">
        <v>2025</v>
      </c>
      <c r="B521" s="26" t="s">
        <v>2639</v>
      </c>
      <c r="C521" s="26">
        <f>LN(Inventory[[#This Row],[Acres]])</f>
        <v>-1.6607312068216509</v>
      </c>
      <c r="D521" s="25">
        <v>0.19</v>
      </c>
      <c r="E521" s="25">
        <v>8424</v>
      </c>
      <c r="F521" s="26" t="s">
        <v>537</v>
      </c>
      <c r="G521" s="26" t="s">
        <v>126</v>
      </c>
      <c r="H521" s="26" t="s">
        <v>349</v>
      </c>
      <c r="I521" s="26" t="s">
        <v>538</v>
      </c>
      <c r="J521" s="26" t="s">
        <v>539</v>
      </c>
      <c r="K521" s="26" t="s">
        <v>241</v>
      </c>
      <c r="L521" s="26" t="s">
        <v>351</v>
      </c>
      <c r="M521" s="26" t="s">
        <v>303</v>
      </c>
      <c r="N521" s="26">
        <v>70</v>
      </c>
      <c r="O521" s="26">
        <f>2024-Inventory[[#This Row],[YrBlt]]</f>
        <v>66</v>
      </c>
      <c r="P521" s="26">
        <f>2024-Inventory[[#This Row],[EffYr]]</f>
        <v>50</v>
      </c>
      <c r="Q521" s="25">
        <v>1958</v>
      </c>
      <c r="R521" s="25">
        <v>1974</v>
      </c>
      <c r="S521" s="25">
        <v>1505</v>
      </c>
      <c r="T521" s="27"/>
      <c r="U521" s="31"/>
      <c r="V521" s="27">
        <f>Inventory[[#This Row],[Bsmt]]-Inventory[[#This Row],[FnBsmt]]</f>
        <v>0</v>
      </c>
      <c r="W521" s="27"/>
      <c r="X521" s="27"/>
      <c r="Y521" s="27">
        <f>Inventory[[#This Row],[MainFn]]+Inventory[[#This Row],[UpprFn]]+Inventory[[#This Row],[FnBsmt]]+Inventory[[#This Row],[AddFn]]</f>
        <v>1505</v>
      </c>
      <c r="Z521" s="27">
        <v>2000</v>
      </c>
      <c r="AA521" s="25">
        <v>8</v>
      </c>
      <c r="AB521" s="27"/>
      <c r="AC521" s="27"/>
      <c r="AD521" s="27"/>
      <c r="AE521" s="27"/>
      <c r="AF521" s="27"/>
      <c r="AG521" s="31"/>
      <c r="AH521" s="27"/>
      <c r="AI521" s="25">
        <v>257689</v>
      </c>
      <c r="AJ521" s="25">
        <v>185536</v>
      </c>
      <c r="AK521" s="25">
        <v>0</v>
      </c>
      <c r="AL521" s="25">
        <v>331900</v>
      </c>
      <c r="AM521" s="25">
        <v>56600</v>
      </c>
      <c r="AN521" s="25">
        <v>275300</v>
      </c>
      <c r="AO521" s="25">
        <v>0</v>
      </c>
      <c r="AP521" s="25">
        <f>Lookups!$B$56*0</f>
        <v>0</v>
      </c>
      <c r="AQ521" s="25">
        <f>Lookups!$B$56*1</f>
        <v>89850.625589999996</v>
      </c>
      <c r="AR521" s="25">
        <f>Lookups!$B$57*Inventory[[#This Row],[LnAcres]]</f>
        <v>-52569.808201026557</v>
      </c>
      <c r="AS521" s="25">
        <f>VLOOKUP(Inventory[[#This Row],[Qlty]],Lookups!$A$62:$E$75,2,FALSE)</f>
        <v>21557.329055999999</v>
      </c>
      <c r="AT521" s="25">
        <f>VLOOKUP(Inventory[[#This Row],[Cnd]],Lookups!$A$76:$E$84,2,FALSE)</f>
        <v>197752.34721000001</v>
      </c>
      <c r="AU521" s="25">
        <f>Inventory[[#This Row],[EffAge]]*Lookups!$B$85</f>
        <v>-11152.280025</v>
      </c>
      <c r="AV521" s="25">
        <f>Inventory[[#This Row],[MainFn]]*Lookups!$B$86</f>
        <v>74360.048164884996</v>
      </c>
      <c r="AW521" s="25">
        <f>Inventory[[#This Row],[UpprFn]]*Lookups!$B$87</f>
        <v>0</v>
      </c>
      <c r="AX521" s="25">
        <f>Inventory[[#This Row],[AddFn]]*Lookups!$B$88</f>
        <v>0</v>
      </c>
      <c r="AY521" s="25">
        <f>Inventory[[#This Row],[Bsmt]]*Lookups!$B$89</f>
        <v>0</v>
      </c>
      <c r="AZ521" s="25">
        <f>Inventory[[#This Row],[Fixtures]]*Lookups!$B$90</f>
        <v>30336.176841600001</v>
      </c>
      <c r="BA521" s="25">
        <f>Inventory[[#This Row],[WdDeck]]*Lookups!$B$91</f>
        <v>0</v>
      </c>
      <c r="BB521" s="25">
        <f>ROUND(Inventory[[#This Row],[25Det]],-2)</f>
        <v>0</v>
      </c>
      <c r="BC521" s="25">
        <f>ROUND(SUM(Inventory[[#This Row],[Mdl Qlty]:[Mdl WdDeck]])+Inventory[[#This Row],[Mdl Res Intercept]],-2)</f>
        <v>312900</v>
      </c>
      <c r="BD521" s="25">
        <f>ROUND(Inventory[[#This Row],[Mdl Land Intercept]]+Inventory[[#This Row],[Mdl LnAcres]],-2)</f>
        <v>37300</v>
      </c>
      <c r="BE521" s="25">
        <f>Inventory[[#This Row],[Unadj Res Value]]+Inventory[[#This Row],[Unadj Det Value]]+Inventory[[#This Row],[Unadj Land Value]]</f>
        <v>350200</v>
      </c>
      <c r="BF521" s="36">
        <f>(Inventory[[#This Row],[Unadj Total Value]]-Inventory[[#This Row],[24Final]])/Inventory[[#This Row],[24Final]]</f>
        <v>5.5137089484784574E-2</v>
      </c>
      <c r="BG521" s="25">
        <f>VLOOKUP(Inventory[[#This Row],[Nbhd]],Lookups!$Q$2:$T$4,4,FALSE)</f>
        <v>0.99970000000000003</v>
      </c>
      <c r="BH521" s="25">
        <f>VLOOKUP(Inventory[[#This Row],[Qlty]],Lookups!$O$7:$R$21,4,FALSE)</f>
        <v>1.0067999999999999</v>
      </c>
      <c r="BI521" s="25">
        <f>VLOOKUP(Inventory[[#This Row],[Cnd]],Lookups!$T$7:$W$16,4,FALSE)</f>
        <v>0.99650000000000005</v>
      </c>
      <c r="BJ521" s="25">
        <f>VLOOKUP(Inventory[[#This Row],[LivArea Range]],Lookups!$T$25:$W$37,4,FALSE)</f>
        <v>1.0093000000000001</v>
      </c>
      <c r="BK521" s="25">
        <f>VLOOKUP(Inventory[[#This Row],[Decade]],Lookups!$O$25:$R$42,4,FALSE)</f>
        <v>1.0199</v>
      </c>
      <c r="BL521" s="25">
        <f>Inventory[[#This Row],[Nbhd Adj]]*0.95</f>
        <v>0.94971499999999998</v>
      </c>
      <c r="BM521" s="25">
        <f>Inventory[[#This Row],[Nbhd Adj]]*Inventory[[#This Row],[Quality Adj]]*Inventory[[#This Row],[Condition Adj]]*Inventory[[#This Row],[Living Area Adj]]*Inventory[[#This Row],[Decade Adj]]*0.95</f>
        <v>0.98082532839872782</v>
      </c>
      <c r="BN521" s="25">
        <f>ROUND(SUM(Inventory[[#This Row],[Mdl Qlty]:[Mdl WdDeck]])+Inventory[[#This Row],[Mdl Res Intercept]]*Inventory[[#This Row],[Res Adj ]],-2)</f>
        <v>312900</v>
      </c>
      <c r="BO521" s="25">
        <f>ROUND(Inventory[[#This Row],[25Det]]*Inventory[[#This Row],[Det/Nbhd Adj]],-2)</f>
        <v>0</v>
      </c>
      <c r="BP521" s="25">
        <f>Inventory[[#This Row],[Adjusted Res]]+Inventory[[#This Row],[Adj Det ]]</f>
        <v>312900</v>
      </c>
      <c r="BQ521" s="25">
        <f>ROUND((Inventory[[#This Row],[Mdl Land Intercept]]+Inventory[[#This Row],[Mdl LnAcres]])*Inventory[[#This Row],[Det/Nbhd Adj]],-2)</f>
        <v>35400</v>
      </c>
      <c r="BR521" s="25">
        <f>Inventory[[#This Row],[Adjusted Impr Total]]+Inventory[[#This Row],[Adjusted Land Total]]</f>
        <v>348300</v>
      </c>
      <c r="BS521" s="36">
        <f>IFERROR((Inventory[[#This Row],[Adjusted Impr Total]]-Inventory[[#This Row],[24Bldg]])/Inventory[[#This Row],[24Bldg]],0)</f>
        <v>0.1365782782419179</v>
      </c>
      <c r="BT521" s="36">
        <f>(Inventory[[#This Row],[Adjusted Land Total]]-Inventory[[#This Row],[24Lnd]])/Inventory[[#This Row],[24Lnd]]</f>
        <v>-0.37455830388692579</v>
      </c>
      <c r="BU521" s="36">
        <f>(Inventory[[#This Row],[Adjusted Total]]-Inventory[[#This Row],[24Final]])/Inventory[[#This Row],[24Final]]</f>
        <v>4.941247363663754E-2</v>
      </c>
    </row>
    <row r="522" spans="1:73" x14ac:dyDescent="0.3">
      <c r="A522" s="25">
        <v>2025</v>
      </c>
      <c r="B522" s="26" t="s">
        <v>2811</v>
      </c>
      <c r="C522" s="26">
        <f>LN(Inventory[[#This Row],[Acres]])</f>
        <v>-1.4271163556401458</v>
      </c>
      <c r="D522" s="25">
        <v>0.24</v>
      </c>
      <c r="E522" s="25">
        <v>10244</v>
      </c>
      <c r="F522" s="26" t="s">
        <v>537</v>
      </c>
      <c r="G522" s="26" t="s">
        <v>126</v>
      </c>
      <c r="H522" s="26" t="s">
        <v>349</v>
      </c>
      <c r="I522" s="26" t="s">
        <v>538</v>
      </c>
      <c r="J522" s="26" t="s">
        <v>539</v>
      </c>
      <c r="K522" s="26" t="s">
        <v>241</v>
      </c>
      <c r="L522" s="26" t="s">
        <v>351</v>
      </c>
      <c r="M522" s="26" t="s">
        <v>303</v>
      </c>
      <c r="N522" s="26">
        <v>70</v>
      </c>
      <c r="O522" s="26">
        <f>2024-Inventory[[#This Row],[YrBlt]]</f>
        <v>66</v>
      </c>
      <c r="P522" s="26">
        <f>2024-Inventory[[#This Row],[EffYr]]</f>
        <v>50</v>
      </c>
      <c r="Q522" s="25">
        <v>1958</v>
      </c>
      <c r="R522" s="25">
        <v>1974</v>
      </c>
      <c r="S522" s="25">
        <v>1985</v>
      </c>
      <c r="T522" s="27"/>
      <c r="U522" s="31"/>
      <c r="V522" s="27">
        <f>Inventory[[#This Row],[Bsmt]]-Inventory[[#This Row],[FnBsmt]]</f>
        <v>0</v>
      </c>
      <c r="W522" s="27"/>
      <c r="X522" s="27"/>
      <c r="Y522" s="27">
        <f>Inventory[[#This Row],[MainFn]]+Inventory[[#This Row],[UpprFn]]+Inventory[[#This Row],[FnBsmt]]+Inventory[[#This Row],[AddFn]]</f>
        <v>1985</v>
      </c>
      <c r="Z522" s="27">
        <v>2000</v>
      </c>
      <c r="AA522" s="25">
        <v>8</v>
      </c>
      <c r="AB522" s="27"/>
      <c r="AC522" s="27"/>
      <c r="AD522" s="27"/>
      <c r="AE522" s="27"/>
      <c r="AF522" s="27"/>
      <c r="AG522" s="31"/>
      <c r="AH522" s="27"/>
      <c r="AI522" s="25">
        <v>311880</v>
      </c>
      <c r="AJ522" s="25">
        <v>224554</v>
      </c>
      <c r="AK522" s="25">
        <v>0</v>
      </c>
      <c r="AL522" s="25">
        <v>361400</v>
      </c>
      <c r="AM522" s="25">
        <v>64800</v>
      </c>
      <c r="AN522" s="25">
        <v>296600</v>
      </c>
      <c r="AO522" s="25">
        <v>0</v>
      </c>
      <c r="AP522" s="25">
        <f>Lookups!$B$56*0</f>
        <v>0</v>
      </c>
      <c r="AQ522" s="25">
        <f>Lookups!$B$56*1</f>
        <v>89850.625589999996</v>
      </c>
      <c r="AR522" s="25">
        <f>Lookups!$B$57*Inventory[[#This Row],[LnAcres]]</f>
        <v>-45174.819855485119</v>
      </c>
      <c r="AS522" s="25">
        <f>VLOOKUP(Inventory[[#This Row],[Qlty]],Lookups!$A$62:$E$75,2,FALSE)</f>
        <v>21557.329055999999</v>
      </c>
      <c r="AT522" s="25">
        <f>VLOOKUP(Inventory[[#This Row],[Cnd]],Lookups!$A$76:$E$84,2,FALSE)</f>
        <v>197752.34721000001</v>
      </c>
      <c r="AU522" s="25">
        <f>Inventory[[#This Row],[EffAge]]*Lookups!$B$85</f>
        <v>-11152.280025</v>
      </c>
      <c r="AV522" s="25">
        <f>Inventory[[#This Row],[MainFn]]*Lookups!$B$86</f>
        <v>98076.209705845002</v>
      </c>
      <c r="AW522" s="25">
        <f>Inventory[[#This Row],[UpprFn]]*Lookups!$B$87</f>
        <v>0</v>
      </c>
      <c r="AX522" s="25">
        <f>Inventory[[#This Row],[AddFn]]*Lookups!$B$88</f>
        <v>0</v>
      </c>
      <c r="AY522" s="25">
        <f>Inventory[[#This Row],[Bsmt]]*Lookups!$B$89</f>
        <v>0</v>
      </c>
      <c r="AZ522" s="25">
        <f>Inventory[[#This Row],[Fixtures]]*Lookups!$B$90</f>
        <v>30336.176841600001</v>
      </c>
      <c r="BA522" s="25">
        <f>Inventory[[#This Row],[WdDeck]]*Lookups!$B$91</f>
        <v>0</v>
      </c>
      <c r="BB522" s="25">
        <f>ROUND(Inventory[[#This Row],[25Det]],-2)</f>
        <v>0</v>
      </c>
      <c r="BC522" s="25">
        <f>ROUND(SUM(Inventory[[#This Row],[Mdl Qlty]:[Mdl WdDeck]])+Inventory[[#This Row],[Mdl Res Intercept]],-2)</f>
        <v>336600</v>
      </c>
      <c r="BD522" s="25">
        <f>ROUND(Inventory[[#This Row],[Mdl Land Intercept]]+Inventory[[#This Row],[Mdl LnAcres]],-2)</f>
        <v>44700</v>
      </c>
      <c r="BE522" s="25">
        <f>Inventory[[#This Row],[Unadj Res Value]]+Inventory[[#This Row],[Unadj Det Value]]+Inventory[[#This Row],[Unadj Land Value]]</f>
        <v>381300</v>
      </c>
      <c r="BF522" s="36">
        <f>(Inventory[[#This Row],[Unadj Total Value]]-Inventory[[#This Row],[24Final]])/Inventory[[#This Row],[24Final]]</f>
        <v>5.5063641394576646E-2</v>
      </c>
      <c r="BG522" s="25">
        <f>VLOOKUP(Inventory[[#This Row],[Nbhd]],Lookups!$Q$2:$T$4,4,FALSE)</f>
        <v>0.99970000000000003</v>
      </c>
      <c r="BH522" s="25">
        <f>VLOOKUP(Inventory[[#This Row],[Qlty]],Lookups!$O$7:$R$21,4,FALSE)</f>
        <v>1.0067999999999999</v>
      </c>
      <c r="BI522" s="25">
        <f>VLOOKUP(Inventory[[#This Row],[Cnd]],Lookups!$T$7:$W$16,4,FALSE)</f>
        <v>0.99650000000000005</v>
      </c>
      <c r="BJ522" s="25">
        <f>VLOOKUP(Inventory[[#This Row],[LivArea Range]],Lookups!$T$25:$W$37,4,FALSE)</f>
        <v>1.0093000000000001</v>
      </c>
      <c r="BK522" s="25">
        <f>VLOOKUP(Inventory[[#This Row],[Decade]],Lookups!$O$25:$R$42,4,FALSE)</f>
        <v>1.0199</v>
      </c>
      <c r="BL522" s="25">
        <f>Inventory[[#This Row],[Nbhd Adj]]*0.95</f>
        <v>0.94971499999999998</v>
      </c>
      <c r="BM522" s="25">
        <f>Inventory[[#This Row],[Nbhd Adj]]*Inventory[[#This Row],[Quality Adj]]*Inventory[[#This Row],[Condition Adj]]*Inventory[[#This Row],[Living Area Adj]]*Inventory[[#This Row],[Decade Adj]]*0.95</f>
        <v>0.98082532839872782</v>
      </c>
      <c r="BN522" s="25">
        <f>ROUND(SUM(Inventory[[#This Row],[Mdl Qlty]:[Mdl WdDeck]])+Inventory[[#This Row],[Mdl Res Intercept]]*Inventory[[#This Row],[Res Adj ]],-2)</f>
        <v>336600</v>
      </c>
      <c r="BO522" s="25">
        <f>ROUND(Inventory[[#This Row],[25Det]]*Inventory[[#This Row],[Det/Nbhd Adj]],-2)</f>
        <v>0</v>
      </c>
      <c r="BP522" s="25">
        <f>Inventory[[#This Row],[Adjusted Res]]+Inventory[[#This Row],[Adj Det ]]</f>
        <v>336600</v>
      </c>
      <c r="BQ522" s="25">
        <f>ROUND((Inventory[[#This Row],[Mdl Land Intercept]]+Inventory[[#This Row],[Mdl LnAcres]])*Inventory[[#This Row],[Det/Nbhd Adj]],-2)</f>
        <v>42400</v>
      </c>
      <c r="BR522" s="25">
        <f>Inventory[[#This Row],[Adjusted Impr Total]]+Inventory[[#This Row],[Adjusted Land Total]]</f>
        <v>379000</v>
      </c>
      <c r="BS522" s="36">
        <f>IFERROR((Inventory[[#This Row],[Adjusted Impr Total]]-Inventory[[#This Row],[24Bldg]])/Inventory[[#This Row],[24Bldg]],0)</f>
        <v>0.13486176668914363</v>
      </c>
      <c r="BT522" s="36">
        <f>(Inventory[[#This Row],[Adjusted Land Total]]-Inventory[[#This Row],[24Lnd]])/Inventory[[#This Row],[24Lnd]]</f>
        <v>-0.34567901234567899</v>
      </c>
      <c r="BU522" s="36">
        <f>(Inventory[[#This Row],[Adjusted Total]]-Inventory[[#This Row],[24Final]])/Inventory[[#This Row],[24Final]]</f>
        <v>4.8699501936912006E-2</v>
      </c>
    </row>
    <row r="523" spans="1:73" x14ac:dyDescent="0.3">
      <c r="A523" s="25">
        <v>2025</v>
      </c>
      <c r="B523" s="26" t="s">
        <v>2080</v>
      </c>
      <c r="C523" s="26">
        <f>LN(Inventory[[#This Row],[Acres]])</f>
        <v>-1.3093333199837622</v>
      </c>
      <c r="D523" s="25">
        <v>0.27</v>
      </c>
      <c r="E523" s="25">
        <v>11900</v>
      </c>
      <c r="F523" s="26" t="s">
        <v>537</v>
      </c>
      <c r="G523" s="26" t="s">
        <v>126</v>
      </c>
      <c r="H523" s="26" t="s">
        <v>349</v>
      </c>
      <c r="I523" s="26" t="s">
        <v>538</v>
      </c>
      <c r="J523" s="26" t="s">
        <v>539</v>
      </c>
      <c r="K523" s="26" t="s">
        <v>241</v>
      </c>
      <c r="L523" s="26" t="s">
        <v>205</v>
      </c>
      <c r="M523" s="26" t="s">
        <v>303</v>
      </c>
      <c r="N523" s="26">
        <v>70</v>
      </c>
      <c r="O523" s="26">
        <f>2024-Inventory[[#This Row],[YrBlt]]</f>
        <v>66</v>
      </c>
      <c r="P523" s="26">
        <f>2024-Inventory[[#This Row],[EffYr]]</f>
        <v>50</v>
      </c>
      <c r="Q523" s="25">
        <v>1958</v>
      </c>
      <c r="R523" s="25">
        <v>1974</v>
      </c>
      <c r="S523" s="25">
        <v>1440</v>
      </c>
      <c r="T523" s="27"/>
      <c r="U523" s="31"/>
      <c r="V523" s="27">
        <f>Inventory[[#This Row],[Bsmt]]-Inventory[[#This Row],[FnBsmt]]</f>
        <v>0</v>
      </c>
      <c r="W523" s="27"/>
      <c r="X523" s="27"/>
      <c r="Y523" s="27">
        <f>Inventory[[#This Row],[MainFn]]+Inventory[[#This Row],[UpprFn]]+Inventory[[#This Row],[FnBsmt]]+Inventory[[#This Row],[AddFn]]</f>
        <v>1440</v>
      </c>
      <c r="Z523" s="27">
        <v>1500</v>
      </c>
      <c r="AA523" s="25">
        <v>5</v>
      </c>
      <c r="AB523" s="27"/>
      <c r="AC523" s="27"/>
      <c r="AD523" s="27"/>
      <c r="AE523" s="27"/>
      <c r="AF523" s="27"/>
      <c r="AG523" s="31"/>
      <c r="AH523" s="27"/>
      <c r="AI523" s="25">
        <v>211403</v>
      </c>
      <c r="AJ523" s="25">
        <v>152210</v>
      </c>
      <c r="AK523" s="25">
        <v>5597</v>
      </c>
      <c r="AL523" s="25">
        <v>314700</v>
      </c>
      <c r="AM523" s="25">
        <v>68900</v>
      </c>
      <c r="AN523" s="25">
        <v>245800</v>
      </c>
      <c r="AO523" s="25">
        <v>0</v>
      </c>
      <c r="AP523" s="25">
        <f>Lookups!$B$56*0</f>
        <v>0</v>
      </c>
      <c r="AQ523" s="25">
        <f>Lookups!$B$56*1</f>
        <v>89850.625589999996</v>
      </c>
      <c r="AR523" s="25">
        <f>Lookups!$B$57*Inventory[[#This Row],[LnAcres]]</f>
        <v>-41446.443120973789</v>
      </c>
      <c r="AS523" s="25">
        <f>VLOOKUP(Inventory[[#This Row],[Qlty]],Lookups!$A$62:$E$75,2,FALSE)</f>
        <v>0</v>
      </c>
      <c r="AT523" s="25">
        <f>VLOOKUP(Inventory[[#This Row],[Cnd]],Lookups!$A$76:$E$84,2,FALSE)</f>
        <v>197752.34721000001</v>
      </c>
      <c r="AU523" s="25">
        <f>Inventory[[#This Row],[EffAge]]*Lookups!$B$85</f>
        <v>-11152.280025</v>
      </c>
      <c r="AV523" s="25">
        <f>Inventory[[#This Row],[MainFn]]*Lookups!$B$86</f>
        <v>71148.484622880002</v>
      </c>
      <c r="AW523" s="25">
        <f>Inventory[[#This Row],[UpprFn]]*Lookups!$B$87</f>
        <v>0</v>
      </c>
      <c r="AX523" s="25">
        <f>Inventory[[#This Row],[AddFn]]*Lookups!$B$88</f>
        <v>0</v>
      </c>
      <c r="AY523" s="25">
        <f>Inventory[[#This Row],[Bsmt]]*Lookups!$B$89</f>
        <v>0</v>
      </c>
      <c r="AZ523" s="25">
        <f>Inventory[[#This Row],[Fixtures]]*Lookups!$B$90</f>
        <v>18960.110526</v>
      </c>
      <c r="BA523" s="25">
        <f>Inventory[[#This Row],[WdDeck]]*Lookups!$B$91</f>
        <v>0</v>
      </c>
      <c r="BB523" s="25">
        <f>ROUND(Inventory[[#This Row],[25Det]],-2)</f>
        <v>5600</v>
      </c>
      <c r="BC523" s="25">
        <f>ROUND(SUM(Inventory[[#This Row],[Mdl Qlty]:[Mdl WdDeck]])+Inventory[[#This Row],[Mdl Res Intercept]],-2)</f>
        <v>276700</v>
      </c>
      <c r="BD523" s="25">
        <f>ROUND(Inventory[[#This Row],[Mdl Land Intercept]]+Inventory[[#This Row],[Mdl LnAcres]],-2)</f>
        <v>48400</v>
      </c>
      <c r="BE523" s="25">
        <f>Inventory[[#This Row],[Unadj Res Value]]+Inventory[[#This Row],[Unadj Det Value]]+Inventory[[#This Row],[Unadj Land Value]]</f>
        <v>330700</v>
      </c>
      <c r="BF523" s="36">
        <f>(Inventory[[#This Row],[Unadj Total Value]]-Inventory[[#This Row],[24Final]])/Inventory[[#This Row],[24Final]]</f>
        <v>5.0842071814426439E-2</v>
      </c>
      <c r="BG523" s="25">
        <f>VLOOKUP(Inventory[[#This Row],[Nbhd]],Lookups!$Q$2:$T$4,4,FALSE)</f>
        <v>0.99970000000000003</v>
      </c>
      <c r="BH523" s="25">
        <f>VLOOKUP(Inventory[[#This Row],[Qlty]],Lookups!$O$7:$R$21,4,FALSE)</f>
        <v>0.99180000000000001</v>
      </c>
      <c r="BI523" s="25">
        <f>VLOOKUP(Inventory[[#This Row],[Cnd]],Lookups!$T$7:$W$16,4,FALSE)</f>
        <v>0.99650000000000005</v>
      </c>
      <c r="BJ523" s="25">
        <f>VLOOKUP(Inventory[[#This Row],[LivArea Range]],Lookups!$T$25:$W$37,4,FALSE)</f>
        <v>1.0157</v>
      </c>
      <c r="BK523" s="25">
        <f>VLOOKUP(Inventory[[#This Row],[Decade]],Lookups!$O$25:$R$42,4,FALSE)</f>
        <v>1.0199</v>
      </c>
      <c r="BL523" s="25">
        <f>Inventory[[#This Row],[Nbhd Adj]]*0.95</f>
        <v>0.94971499999999998</v>
      </c>
      <c r="BM523" s="25">
        <f>Inventory[[#This Row],[Nbhd Adj]]*Inventory[[#This Row],[Quality Adj]]*Inventory[[#This Row],[Condition Adj]]*Inventory[[#This Row],[Living Area Adj]]*Inventory[[#This Row],[Decade Adj]]*0.95</f>
        <v>0.97233909672715635</v>
      </c>
      <c r="BN523" s="25">
        <f>ROUND(SUM(Inventory[[#This Row],[Mdl Qlty]:[Mdl WdDeck]])+Inventory[[#This Row],[Mdl Res Intercept]]*Inventory[[#This Row],[Res Adj ]],-2)</f>
        <v>276700</v>
      </c>
      <c r="BO523" s="25">
        <f>ROUND(Inventory[[#This Row],[25Det]]*Inventory[[#This Row],[Det/Nbhd Adj]],-2)</f>
        <v>5300</v>
      </c>
      <c r="BP523" s="25">
        <f>Inventory[[#This Row],[Adjusted Res]]+Inventory[[#This Row],[Adj Det ]]</f>
        <v>282000</v>
      </c>
      <c r="BQ523" s="25">
        <f>ROUND((Inventory[[#This Row],[Mdl Land Intercept]]+Inventory[[#This Row],[Mdl LnAcres]])*Inventory[[#This Row],[Det/Nbhd Adj]],-2)</f>
        <v>46000</v>
      </c>
      <c r="BR523" s="25">
        <f>Inventory[[#This Row],[Adjusted Impr Total]]+Inventory[[#This Row],[Adjusted Land Total]]</f>
        <v>328000</v>
      </c>
      <c r="BS523" s="36">
        <f>IFERROR((Inventory[[#This Row],[Adjusted Impr Total]]-Inventory[[#This Row],[24Bldg]])/Inventory[[#This Row],[24Bldg]],0)</f>
        <v>0.14727420667209112</v>
      </c>
      <c r="BT523" s="36">
        <f>(Inventory[[#This Row],[Adjusted Land Total]]-Inventory[[#This Row],[24Lnd]])/Inventory[[#This Row],[24Lnd]]</f>
        <v>-0.33236574746008707</v>
      </c>
      <c r="BU523" s="36">
        <f>(Inventory[[#This Row],[Adjusted Total]]-Inventory[[#This Row],[24Final]])/Inventory[[#This Row],[24Final]]</f>
        <v>4.2262472195741974E-2</v>
      </c>
    </row>
    <row r="524" spans="1:73" x14ac:dyDescent="0.3">
      <c r="A524" s="25">
        <v>2025</v>
      </c>
      <c r="B524" s="26" t="s">
        <v>2800</v>
      </c>
      <c r="C524" s="26">
        <f>LN(Inventory[[#This Row],[Acres]])</f>
        <v>-1.8971199848858813</v>
      </c>
      <c r="D524" s="25">
        <v>0.15</v>
      </c>
      <c r="E524" s="31"/>
      <c r="F524" s="26" t="s">
        <v>537</v>
      </c>
      <c r="G524" s="26" t="s">
        <v>126</v>
      </c>
      <c r="H524" s="26" t="s">
        <v>349</v>
      </c>
      <c r="I524" s="26" t="s">
        <v>538</v>
      </c>
      <c r="J524" s="26" t="s">
        <v>539</v>
      </c>
      <c r="K524" s="26" t="s">
        <v>241</v>
      </c>
      <c r="L524" s="26" t="s">
        <v>351</v>
      </c>
      <c r="M524" s="26" t="s">
        <v>323</v>
      </c>
      <c r="N524" s="26">
        <v>70</v>
      </c>
      <c r="O524" s="26">
        <f>2024-Inventory[[#This Row],[YrBlt]]</f>
        <v>66</v>
      </c>
      <c r="P524" s="26">
        <f>2024-Inventory[[#This Row],[EffYr]]</f>
        <v>50</v>
      </c>
      <c r="Q524" s="25">
        <v>1958</v>
      </c>
      <c r="R524" s="25">
        <v>1974</v>
      </c>
      <c r="S524" s="25">
        <v>1444</v>
      </c>
      <c r="T524" s="27"/>
      <c r="U524" s="27"/>
      <c r="V524" s="27">
        <f>Inventory[[#This Row],[Bsmt]]-Inventory[[#This Row],[FnBsmt]]</f>
        <v>0</v>
      </c>
      <c r="W524" s="27"/>
      <c r="X524" s="27"/>
      <c r="Y524" s="27">
        <f>Inventory[[#This Row],[MainFn]]+Inventory[[#This Row],[UpprFn]]+Inventory[[#This Row],[FnBsmt]]+Inventory[[#This Row],[AddFn]]</f>
        <v>1444</v>
      </c>
      <c r="Z524" s="27">
        <v>1500</v>
      </c>
      <c r="AA524" s="25">
        <v>7</v>
      </c>
      <c r="AB524" s="32">
        <v>264</v>
      </c>
      <c r="AC524" s="27"/>
      <c r="AD524" s="27"/>
      <c r="AE524" s="27"/>
      <c r="AF524" s="27"/>
      <c r="AG524" s="27"/>
      <c r="AH524" s="27"/>
      <c r="AI524" s="25">
        <v>243465</v>
      </c>
      <c r="AJ524" s="25">
        <v>170426</v>
      </c>
      <c r="AK524" s="25">
        <v>0</v>
      </c>
      <c r="AL524" s="25">
        <v>286300</v>
      </c>
      <c r="AM524" s="25">
        <v>48400</v>
      </c>
      <c r="AN524" s="25">
        <v>237900</v>
      </c>
      <c r="AO524" s="25">
        <v>0</v>
      </c>
      <c r="AP524" s="25">
        <f>Lookups!$B$56*0</f>
        <v>0</v>
      </c>
      <c r="AQ524" s="25">
        <f>Lookups!$B$56*1</f>
        <v>89850.625589999996</v>
      </c>
      <c r="AR524" s="25">
        <f>Lookups!$B$57*Inventory[[#This Row],[LnAcres]]</f>
        <v>-60052.604136134301</v>
      </c>
      <c r="AS524" s="25">
        <f>VLOOKUP(Inventory[[#This Row],[Qlty]],Lookups!$A$62:$E$75,2,FALSE)</f>
        <v>21557.329055999999</v>
      </c>
      <c r="AT524" s="25">
        <f>VLOOKUP(Inventory[[#This Row],[Cnd]],Lookups!$A$76:$E$84,2,FALSE)</f>
        <v>160472.20319</v>
      </c>
      <c r="AU524" s="25">
        <f>Inventory[[#This Row],[EffAge]]*Lookups!$B$85</f>
        <v>-11152.280025</v>
      </c>
      <c r="AV524" s="25">
        <f>Inventory[[#This Row],[MainFn]]*Lookups!$B$86</f>
        <v>71346.119302388004</v>
      </c>
      <c r="AW524" s="25">
        <f>Inventory[[#This Row],[UpprFn]]*Lookups!$B$87</f>
        <v>0</v>
      </c>
      <c r="AX524" s="25">
        <f>Inventory[[#This Row],[AddFn]]*Lookups!$B$88</f>
        <v>0</v>
      </c>
      <c r="AY524" s="25">
        <f>Inventory[[#This Row],[Bsmt]]*Lookups!$B$89</f>
        <v>0</v>
      </c>
      <c r="AZ524" s="25">
        <f>Inventory[[#This Row],[Fixtures]]*Lookups!$B$90</f>
        <v>26544.1547364</v>
      </c>
      <c r="BA524" s="25">
        <f>Inventory[[#This Row],[WdDeck]]*Lookups!$B$91</f>
        <v>0</v>
      </c>
      <c r="BB524" s="25">
        <f>ROUND(Inventory[[#This Row],[25Det]],-2)</f>
        <v>0</v>
      </c>
      <c r="BC524" s="25">
        <f>ROUND(SUM(Inventory[[#This Row],[Mdl Qlty]:[Mdl WdDeck]])+Inventory[[#This Row],[Mdl Res Intercept]],-2)</f>
        <v>268800</v>
      </c>
      <c r="BD524" s="25">
        <f>ROUND(Inventory[[#This Row],[Mdl Land Intercept]]+Inventory[[#This Row],[Mdl LnAcres]],-2)</f>
        <v>29800</v>
      </c>
      <c r="BE524" s="25">
        <f>Inventory[[#This Row],[Unadj Res Value]]+Inventory[[#This Row],[Unadj Det Value]]+Inventory[[#This Row],[Unadj Land Value]]</f>
        <v>298600</v>
      </c>
      <c r="BF524" s="36">
        <f>(Inventory[[#This Row],[Unadj Total Value]]-Inventory[[#This Row],[24Final]])/Inventory[[#This Row],[24Final]]</f>
        <v>4.2961928047502616E-2</v>
      </c>
      <c r="BG524" s="25">
        <f>VLOOKUP(Inventory[[#This Row],[Nbhd]],Lookups!$Q$2:$T$4,4,FALSE)</f>
        <v>0.99970000000000003</v>
      </c>
      <c r="BH524" s="25">
        <f>VLOOKUP(Inventory[[#This Row],[Qlty]],Lookups!$O$7:$R$21,4,FALSE)</f>
        <v>1.0067999999999999</v>
      </c>
      <c r="BI524" s="25">
        <f>VLOOKUP(Inventory[[#This Row],[Cnd]],Lookups!$T$7:$W$16,4,FALSE)</f>
        <v>0.99729999999999996</v>
      </c>
      <c r="BJ524" s="25">
        <f>VLOOKUP(Inventory[[#This Row],[LivArea Range]],Lookups!$T$25:$W$37,4,FALSE)</f>
        <v>1.0157</v>
      </c>
      <c r="BK524" s="25">
        <f>VLOOKUP(Inventory[[#This Row],[Decade]],Lookups!$O$25:$R$42,4,FALSE)</f>
        <v>1.0199</v>
      </c>
      <c r="BL524" s="25">
        <f>Inventory[[#This Row],[Nbhd Adj]]*0.95</f>
        <v>0.94971499999999998</v>
      </c>
      <c r="BM524" s="25">
        <f>Inventory[[#This Row],[Nbhd Adj]]*Inventory[[#This Row],[Quality Adj]]*Inventory[[#This Row],[Condition Adj]]*Inventory[[#This Row],[Living Area Adj]]*Inventory[[#This Row],[Decade Adj]]*0.95</f>
        <v>0.98783717894453682</v>
      </c>
      <c r="BN524" s="25">
        <f>ROUND(SUM(Inventory[[#This Row],[Mdl Qlty]:[Mdl WdDeck]])+Inventory[[#This Row],[Mdl Res Intercept]]*Inventory[[#This Row],[Res Adj ]],-2)</f>
        <v>268800</v>
      </c>
      <c r="BO524" s="25">
        <f>ROUND(Inventory[[#This Row],[25Det]]*Inventory[[#This Row],[Det/Nbhd Adj]],-2)</f>
        <v>0</v>
      </c>
      <c r="BP524" s="25">
        <f>Inventory[[#This Row],[Adjusted Res]]+Inventory[[#This Row],[Adj Det ]]</f>
        <v>268800</v>
      </c>
      <c r="BQ524" s="25">
        <f>ROUND((Inventory[[#This Row],[Mdl Land Intercept]]+Inventory[[#This Row],[Mdl LnAcres]])*Inventory[[#This Row],[Det/Nbhd Adj]],-2)</f>
        <v>28300</v>
      </c>
      <c r="BR524" s="25">
        <f>Inventory[[#This Row],[Adjusted Impr Total]]+Inventory[[#This Row],[Adjusted Land Total]]</f>
        <v>297100</v>
      </c>
      <c r="BS524" s="36">
        <f>IFERROR((Inventory[[#This Row],[Adjusted Impr Total]]-Inventory[[#This Row],[24Bldg]])/Inventory[[#This Row],[24Bldg]],0)</f>
        <v>0.12988650693568726</v>
      </c>
      <c r="BT524" s="36">
        <f>(Inventory[[#This Row],[Adjusted Land Total]]-Inventory[[#This Row],[24Lnd]])/Inventory[[#This Row],[24Lnd]]</f>
        <v>-0.41528925619834711</v>
      </c>
      <c r="BU524" s="36">
        <f>(Inventory[[#This Row],[Adjusted Total]]-Inventory[[#This Row],[24Final]])/Inventory[[#This Row],[24Final]]</f>
        <v>3.7722668529514496E-2</v>
      </c>
    </row>
    <row r="525" spans="1:73" x14ac:dyDescent="0.3">
      <c r="A525" s="25">
        <v>2025</v>
      </c>
      <c r="B525" s="26" t="s">
        <v>2795</v>
      </c>
      <c r="C525" s="26">
        <f>LN(Inventory[[#This Row],[Acres]])</f>
        <v>-1.6607312068216509</v>
      </c>
      <c r="D525" s="25">
        <v>0.19</v>
      </c>
      <c r="E525" s="25">
        <v>8317</v>
      </c>
      <c r="F525" s="26" t="s">
        <v>537</v>
      </c>
      <c r="G525" s="26" t="s">
        <v>126</v>
      </c>
      <c r="H525" s="26" t="s">
        <v>349</v>
      </c>
      <c r="I525" s="26" t="s">
        <v>538</v>
      </c>
      <c r="J525" s="26" t="s">
        <v>539</v>
      </c>
      <c r="K525" s="26" t="s">
        <v>241</v>
      </c>
      <c r="L525" s="26" t="s">
        <v>351</v>
      </c>
      <c r="M525" s="26" t="s">
        <v>303</v>
      </c>
      <c r="N525" s="26">
        <v>70</v>
      </c>
      <c r="O525" s="26">
        <f>2024-Inventory[[#This Row],[YrBlt]]</f>
        <v>66</v>
      </c>
      <c r="P525" s="26">
        <f>2024-Inventory[[#This Row],[EffYr]]</f>
        <v>50</v>
      </c>
      <c r="Q525" s="25">
        <v>1958</v>
      </c>
      <c r="R525" s="25">
        <v>1974</v>
      </c>
      <c r="S525" s="25">
        <v>1378</v>
      </c>
      <c r="T525" s="27"/>
      <c r="U525" s="32">
        <v>1036</v>
      </c>
      <c r="V525" s="32">
        <f>Inventory[[#This Row],[Bsmt]]-Inventory[[#This Row],[FnBsmt]]</f>
        <v>0</v>
      </c>
      <c r="W525" s="32">
        <v>1036</v>
      </c>
      <c r="X525" s="27"/>
      <c r="Y525" s="27">
        <f>Inventory[[#This Row],[MainFn]]+Inventory[[#This Row],[UpprFn]]+Inventory[[#This Row],[FnBsmt]]+Inventory[[#This Row],[AddFn]]</f>
        <v>2414</v>
      </c>
      <c r="Z525" s="27">
        <v>2500</v>
      </c>
      <c r="AA525" s="25">
        <v>9</v>
      </c>
      <c r="AB525" s="32">
        <v>252</v>
      </c>
      <c r="AC525" s="27"/>
      <c r="AD525" s="27"/>
      <c r="AE525" s="27"/>
      <c r="AF525" s="27"/>
      <c r="AG525" s="27"/>
      <c r="AH525" s="27"/>
      <c r="AI525" s="25">
        <v>325650</v>
      </c>
      <c r="AJ525" s="25">
        <v>234468</v>
      </c>
      <c r="AK525" s="25">
        <v>0</v>
      </c>
      <c r="AL525" s="25">
        <v>362500</v>
      </c>
      <c r="AM525" s="25">
        <v>56600</v>
      </c>
      <c r="AN525" s="25">
        <v>305900</v>
      </c>
      <c r="AO525" s="25">
        <v>0</v>
      </c>
      <c r="AP525" s="25">
        <f>Lookups!$B$56*0</f>
        <v>0</v>
      </c>
      <c r="AQ525" s="25">
        <f>Lookups!$B$56*1</f>
        <v>89850.625589999996</v>
      </c>
      <c r="AR525" s="25">
        <f>Lookups!$B$57*Inventory[[#This Row],[LnAcres]]</f>
        <v>-52569.808201026557</v>
      </c>
      <c r="AS525" s="25">
        <f>VLOOKUP(Inventory[[#This Row],[Qlty]],Lookups!$A$62:$E$75,2,FALSE)</f>
        <v>21557.329055999999</v>
      </c>
      <c r="AT525" s="25">
        <f>VLOOKUP(Inventory[[#This Row],[Cnd]],Lookups!$A$76:$E$84,2,FALSE)</f>
        <v>197752.34721000001</v>
      </c>
      <c r="AU525" s="25">
        <f>Inventory[[#This Row],[EffAge]]*Lookups!$B$85</f>
        <v>-11152.280025</v>
      </c>
      <c r="AV525" s="25">
        <f>Inventory[[#This Row],[MainFn]]*Lookups!$B$86</f>
        <v>68085.147090505998</v>
      </c>
      <c r="AW525" s="25">
        <f>Inventory[[#This Row],[UpprFn]]*Lookups!$B$87</f>
        <v>0</v>
      </c>
      <c r="AX525" s="25">
        <f>Inventory[[#This Row],[AddFn]]*Lookups!$B$88</f>
        <v>0</v>
      </c>
      <c r="AY525" s="25">
        <f>Inventory[[#This Row],[Bsmt]]*Lookups!$B$89</f>
        <v>30128.843475891998</v>
      </c>
      <c r="AZ525" s="25">
        <f>Inventory[[#This Row],[Fixtures]]*Lookups!$B$90</f>
        <v>34128.198946800003</v>
      </c>
      <c r="BA525" s="25">
        <f>Inventory[[#This Row],[WdDeck]]*Lookups!$B$91</f>
        <v>0</v>
      </c>
      <c r="BB525" s="25">
        <f>ROUND(Inventory[[#This Row],[25Det]],-2)</f>
        <v>0</v>
      </c>
      <c r="BC525" s="25">
        <f>ROUND(SUM(Inventory[[#This Row],[Mdl Qlty]:[Mdl WdDeck]])+Inventory[[#This Row],[Mdl Res Intercept]],-2)</f>
        <v>340500</v>
      </c>
      <c r="BD525" s="25">
        <f>ROUND(Inventory[[#This Row],[Mdl Land Intercept]]+Inventory[[#This Row],[Mdl LnAcres]],-2)</f>
        <v>37300</v>
      </c>
      <c r="BE525" s="25">
        <f>Inventory[[#This Row],[Unadj Res Value]]+Inventory[[#This Row],[Unadj Det Value]]+Inventory[[#This Row],[Unadj Land Value]]</f>
        <v>377800</v>
      </c>
      <c r="BF525" s="36">
        <f>(Inventory[[#This Row],[Unadj Total Value]]-Inventory[[#This Row],[24Final]])/Inventory[[#This Row],[24Final]]</f>
        <v>4.2206896551724139E-2</v>
      </c>
      <c r="BG525" s="25">
        <f>VLOOKUP(Inventory[[#This Row],[Nbhd]],Lookups!$Q$2:$T$4,4,FALSE)</f>
        <v>0.99970000000000003</v>
      </c>
      <c r="BH525" s="25">
        <f>VLOOKUP(Inventory[[#This Row],[Qlty]],Lookups!$O$7:$R$21,4,FALSE)</f>
        <v>1.0067999999999999</v>
      </c>
      <c r="BI525" s="25">
        <f>VLOOKUP(Inventory[[#This Row],[Cnd]],Lookups!$T$7:$W$16,4,FALSE)</f>
        <v>0.99650000000000005</v>
      </c>
      <c r="BJ525" s="25">
        <f>VLOOKUP(Inventory[[#This Row],[LivArea Range]],Lookups!$T$25:$W$37,4,FALSE)</f>
        <v>0.98919999999999997</v>
      </c>
      <c r="BK525" s="25">
        <f>VLOOKUP(Inventory[[#This Row],[Decade]],Lookups!$O$25:$R$42,4,FALSE)</f>
        <v>1.0199</v>
      </c>
      <c r="BL525" s="25">
        <f>Inventory[[#This Row],[Nbhd Adj]]*0.95</f>
        <v>0.94971499999999998</v>
      </c>
      <c r="BM525" s="25">
        <f>Inventory[[#This Row],[Nbhd Adj]]*Inventory[[#This Row],[Quality Adj]]*Inventory[[#This Row],[Condition Adj]]*Inventory[[#This Row],[Living Area Adj]]*Inventory[[#This Row],[Decade Adj]]*0.95</f>
        <v>0.96129239557319079</v>
      </c>
      <c r="BN525" s="25">
        <f>ROUND(SUM(Inventory[[#This Row],[Mdl Qlty]:[Mdl WdDeck]])+Inventory[[#This Row],[Mdl Res Intercept]]*Inventory[[#This Row],[Res Adj ]],-2)</f>
        <v>340500</v>
      </c>
      <c r="BO525" s="25">
        <f>ROUND(Inventory[[#This Row],[25Det]]*Inventory[[#This Row],[Det/Nbhd Adj]],-2)</f>
        <v>0</v>
      </c>
      <c r="BP525" s="25">
        <f>Inventory[[#This Row],[Adjusted Res]]+Inventory[[#This Row],[Adj Det ]]</f>
        <v>340500</v>
      </c>
      <c r="BQ525" s="25">
        <f>ROUND((Inventory[[#This Row],[Mdl Land Intercept]]+Inventory[[#This Row],[Mdl LnAcres]])*Inventory[[#This Row],[Det/Nbhd Adj]],-2)</f>
        <v>35400</v>
      </c>
      <c r="BR525" s="25">
        <f>Inventory[[#This Row],[Adjusted Impr Total]]+Inventory[[#This Row],[Adjusted Land Total]]</f>
        <v>375900</v>
      </c>
      <c r="BS525" s="36">
        <f>IFERROR((Inventory[[#This Row],[Adjusted Impr Total]]-Inventory[[#This Row],[24Bldg]])/Inventory[[#This Row],[24Bldg]],0)</f>
        <v>0.11310885910428245</v>
      </c>
      <c r="BT525" s="36">
        <f>(Inventory[[#This Row],[Adjusted Land Total]]-Inventory[[#This Row],[24Lnd]])/Inventory[[#This Row],[24Lnd]]</f>
        <v>-0.37455830388692579</v>
      </c>
      <c r="BU525" s="36">
        <f>(Inventory[[#This Row],[Adjusted Total]]-Inventory[[#This Row],[24Final]])/Inventory[[#This Row],[24Final]]</f>
        <v>3.6965517241379309E-2</v>
      </c>
    </row>
    <row r="526" spans="1:73" x14ac:dyDescent="0.3">
      <c r="A526" s="25">
        <v>2025</v>
      </c>
      <c r="B526" s="26" t="s">
        <v>2512</v>
      </c>
      <c r="C526" s="26">
        <f>LN(Inventory[[#This Row],[Acres]])</f>
        <v>-1.5141277326297755</v>
      </c>
      <c r="D526" s="25">
        <v>0.22</v>
      </c>
      <c r="E526" s="25">
        <v>9380</v>
      </c>
      <c r="F526" s="26" t="s">
        <v>537</v>
      </c>
      <c r="G526" s="26" t="s">
        <v>126</v>
      </c>
      <c r="H526" s="26" t="s">
        <v>349</v>
      </c>
      <c r="I526" s="26" t="s">
        <v>538</v>
      </c>
      <c r="J526" s="26" t="s">
        <v>539</v>
      </c>
      <c r="K526" s="26" t="s">
        <v>241</v>
      </c>
      <c r="L526" s="26" t="s">
        <v>351</v>
      </c>
      <c r="M526" s="26" t="s">
        <v>303</v>
      </c>
      <c r="N526" s="26">
        <v>70</v>
      </c>
      <c r="O526" s="26">
        <f>2024-Inventory[[#This Row],[YrBlt]]</f>
        <v>66</v>
      </c>
      <c r="P526" s="26">
        <f>2024-Inventory[[#This Row],[EffYr]]</f>
        <v>50</v>
      </c>
      <c r="Q526" s="25">
        <v>1958</v>
      </c>
      <c r="R526" s="25">
        <v>1974</v>
      </c>
      <c r="S526" s="25">
        <v>1092</v>
      </c>
      <c r="T526" s="31"/>
      <c r="U526" s="32">
        <v>1092</v>
      </c>
      <c r="V526" s="32">
        <f>Inventory[[#This Row],[Bsmt]]-Inventory[[#This Row],[FnBsmt]]</f>
        <v>0</v>
      </c>
      <c r="W526" s="32">
        <v>1092</v>
      </c>
      <c r="X526" s="27"/>
      <c r="Y526" s="27">
        <f>Inventory[[#This Row],[MainFn]]+Inventory[[#This Row],[UpprFn]]+Inventory[[#This Row],[FnBsmt]]+Inventory[[#This Row],[AddFn]]</f>
        <v>2184</v>
      </c>
      <c r="Z526" s="27">
        <v>2500</v>
      </c>
      <c r="AA526" s="25">
        <v>7</v>
      </c>
      <c r="AB526" s="27"/>
      <c r="AC526" s="27"/>
      <c r="AD526" s="27"/>
      <c r="AE526" s="27"/>
      <c r="AF526" s="27"/>
      <c r="AG526" s="27"/>
      <c r="AH526" s="27"/>
      <c r="AI526" s="25">
        <v>288526</v>
      </c>
      <c r="AJ526" s="25">
        <v>207739</v>
      </c>
      <c r="AK526" s="25">
        <v>0</v>
      </c>
      <c r="AL526" s="25">
        <v>348300</v>
      </c>
      <c r="AM526" s="25">
        <v>61700</v>
      </c>
      <c r="AN526" s="25">
        <v>286600</v>
      </c>
      <c r="AO526" s="25">
        <v>0</v>
      </c>
      <c r="AP526" s="25">
        <f>Lookups!$B$56*0</f>
        <v>0</v>
      </c>
      <c r="AQ526" s="25">
        <f>Lookups!$B$56*1</f>
        <v>89850.625589999996</v>
      </c>
      <c r="AR526" s="25">
        <f>Lookups!$B$57*Inventory[[#This Row],[LnAcres]]</f>
        <v>-47929.131559187132</v>
      </c>
      <c r="AS526" s="25">
        <f>VLOOKUP(Inventory[[#This Row],[Qlty]],Lookups!$A$62:$E$75,2,FALSE)</f>
        <v>21557.329055999999</v>
      </c>
      <c r="AT526" s="25">
        <f>VLOOKUP(Inventory[[#This Row],[Cnd]],Lookups!$A$76:$E$84,2,FALSE)</f>
        <v>197752.34721000001</v>
      </c>
      <c r="AU526" s="25">
        <f>Inventory[[#This Row],[EffAge]]*Lookups!$B$85</f>
        <v>-11152.280025</v>
      </c>
      <c r="AV526" s="25">
        <f>Inventory[[#This Row],[MainFn]]*Lookups!$B$86</f>
        <v>53954.267505684002</v>
      </c>
      <c r="AW526" s="25">
        <f>Inventory[[#This Row],[UpprFn]]*Lookups!$B$87</f>
        <v>0</v>
      </c>
      <c r="AX526" s="25">
        <f>Inventory[[#This Row],[AddFn]]*Lookups!$B$88</f>
        <v>0</v>
      </c>
      <c r="AY526" s="25">
        <f>Inventory[[#This Row],[Bsmt]]*Lookups!$B$89</f>
        <v>31757.429609723997</v>
      </c>
      <c r="AZ526" s="25">
        <f>Inventory[[#This Row],[Fixtures]]*Lookups!$B$90</f>
        <v>26544.1547364</v>
      </c>
      <c r="BA526" s="25">
        <f>Inventory[[#This Row],[WdDeck]]*Lookups!$B$91</f>
        <v>0</v>
      </c>
      <c r="BB526" s="25">
        <f>ROUND(Inventory[[#This Row],[25Det]],-2)</f>
        <v>0</v>
      </c>
      <c r="BC526" s="25">
        <f>ROUND(SUM(Inventory[[#This Row],[Mdl Qlty]:[Mdl WdDeck]])+Inventory[[#This Row],[Mdl Res Intercept]],-2)</f>
        <v>320400</v>
      </c>
      <c r="BD526" s="25">
        <f>ROUND(Inventory[[#This Row],[Mdl Land Intercept]]+Inventory[[#This Row],[Mdl LnAcres]],-2)</f>
        <v>41900</v>
      </c>
      <c r="BE526" s="25">
        <f>Inventory[[#This Row],[Unadj Res Value]]+Inventory[[#This Row],[Unadj Det Value]]+Inventory[[#This Row],[Unadj Land Value]]</f>
        <v>362300</v>
      </c>
      <c r="BF526" s="36">
        <f>(Inventory[[#This Row],[Unadj Total Value]]-Inventory[[#This Row],[24Final]])/Inventory[[#This Row],[24Final]]</f>
        <v>4.0195233993683605E-2</v>
      </c>
      <c r="BG526" s="25">
        <f>VLOOKUP(Inventory[[#This Row],[Nbhd]],Lookups!$Q$2:$T$4,4,FALSE)</f>
        <v>0.99970000000000003</v>
      </c>
      <c r="BH526" s="25">
        <f>VLOOKUP(Inventory[[#This Row],[Qlty]],Lookups!$O$7:$R$21,4,FALSE)</f>
        <v>1.0067999999999999</v>
      </c>
      <c r="BI526" s="25">
        <f>VLOOKUP(Inventory[[#This Row],[Cnd]],Lookups!$T$7:$W$16,4,FALSE)</f>
        <v>0.99650000000000005</v>
      </c>
      <c r="BJ526" s="25">
        <f>VLOOKUP(Inventory[[#This Row],[LivArea Range]],Lookups!$T$25:$W$37,4,FALSE)</f>
        <v>0.98919999999999997</v>
      </c>
      <c r="BK526" s="25">
        <f>VLOOKUP(Inventory[[#This Row],[Decade]],Lookups!$O$25:$R$42,4,FALSE)</f>
        <v>1.0199</v>
      </c>
      <c r="BL526" s="25">
        <f>Inventory[[#This Row],[Nbhd Adj]]*0.95</f>
        <v>0.94971499999999998</v>
      </c>
      <c r="BM526" s="25">
        <f>Inventory[[#This Row],[Nbhd Adj]]*Inventory[[#This Row],[Quality Adj]]*Inventory[[#This Row],[Condition Adj]]*Inventory[[#This Row],[Living Area Adj]]*Inventory[[#This Row],[Decade Adj]]*0.95</f>
        <v>0.96129239557319079</v>
      </c>
      <c r="BN526" s="25">
        <f>ROUND(SUM(Inventory[[#This Row],[Mdl Qlty]:[Mdl WdDeck]])+Inventory[[#This Row],[Mdl Res Intercept]]*Inventory[[#This Row],[Res Adj ]],-2)</f>
        <v>320400</v>
      </c>
      <c r="BO526" s="25">
        <f>ROUND(Inventory[[#This Row],[25Det]]*Inventory[[#This Row],[Det/Nbhd Adj]],-2)</f>
        <v>0</v>
      </c>
      <c r="BP526" s="25">
        <f>Inventory[[#This Row],[Adjusted Res]]+Inventory[[#This Row],[Adj Det ]]</f>
        <v>320400</v>
      </c>
      <c r="BQ526" s="25">
        <f>ROUND((Inventory[[#This Row],[Mdl Land Intercept]]+Inventory[[#This Row],[Mdl LnAcres]])*Inventory[[#This Row],[Det/Nbhd Adj]],-2)</f>
        <v>39800</v>
      </c>
      <c r="BR526" s="25">
        <f>Inventory[[#This Row],[Adjusted Impr Total]]+Inventory[[#This Row],[Adjusted Land Total]]</f>
        <v>360200</v>
      </c>
      <c r="BS526" s="36">
        <f>IFERROR((Inventory[[#This Row],[Adjusted Impr Total]]-Inventory[[#This Row],[24Bldg]])/Inventory[[#This Row],[24Bldg]],0)</f>
        <v>0.11793440334961619</v>
      </c>
      <c r="BT526" s="36">
        <f>(Inventory[[#This Row],[Adjusted Land Total]]-Inventory[[#This Row],[24Lnd]])/Inventory[[#This Row],[24Lnd]]</f>
        <v>-0.35494327390599678</v>
      </c>
      <c r="BU526" s="36">
        <f>(Inventory[[#This Row],[Adjusted Total]]-Inventory[[#This Row],[24Final]])/Inventory[[#This Row],[24Final]]</f>
        <v>3.4165948894631065E-2</v>
      </c>
    </row>
    <row r="527" spans="1:73" x14ac:dyDescent="0.3">
      <c r="A527" s="25">
        <v>2025</v>
      </c>
      <c r="B527" s="26" t="s">
        <v>2370</v>
      </c>
      <c r="C527" s="26">
        <f>LN(Inventory[[#This Row],[Acres]])</f>
        <v>-1.5141277326297755</v>
      </c>
      <c r="D527" s="25">
        <v>0.22</v>
      </c>
      <c r="E527" s="31"/>
      <c r="F527" s="26" t="s">
        <v>537</v>
      </c>
      <c r="G527" s="26" t="s">
        <v>126</v>
      </c>
      <c r="H527" s="26" t="s">
        <v>349</v>
      </c>
      <c r="I527" s="26" t="s">
        <v>538</v>
      </c>
      <c r="J527" s="26" t="s">
        <v>539</v>
      </c>
      <c r="K527" s="26" t="s">
        <v>241</v>
      </c>
      <c r="L527" s="26" t="s">
        <v>148</v>
      </c>
      <c r="M527" s="26" t="s">
        <v>323</v>
      </c>
      <c r="N527" s="26">
        <v>70</v>
      </c>
      <c r="O527" s="26">
        <f>2024-Inventory[[#This Row],[YrBlt]]</f>
        <v>66</v>
      </c>
      <c r="P527" s="26">
        <f>2024-Inventory[[#This Row],[EffYr]]</f>
        <v>50</v>
      </c>
      <c r="Q527" s="25">
        <v>1958</v>
      </c>
      <c r="R527" s="25">
        <v>1974</v>
      </c>
      <c r="S527" s="25">
        <v>1450</v>
      </c>
      <c r="T527" s="31"/>
      <c r="U527" s="27"/>
      <c r="V527" s="27">
        <f>Inventory[[#This Row],[Bsmt]]-Inventory[[#This Row],[FnBsmt]]</f>
        <v>0</v>
      </c>
      <c r="W527" s="27"/>
      <c r="X527" s="27"/>
      <c r="Y527" s="27">
        <f>Inventory[[#This Row],[MainFn]]+Inventory[[#This Row],[UpprFn]]+Inventory[[#This Row],[FnBsmt]]+Inventory[[#This Row],[AddFn]]</f>
        <v>1450</v>
      </c>
      <c r="Z527" s="27">
        <v>1500</v>
      </c>
      <c r="AA527" s="25">
        <v>10</v>
      </c>
      <c r="AB527" s="32">
        <v>264</v>
      </c>
      <c r="AC527" s="27"/>
      <c r="AD527" s="27"/>
      <c r="AE527" s="27"/>
      <c r="AF527" s="27"/>
      <c r="AG527" s="27"/>
      <c r="AH527" s="27"/>
      <c r="AI527" s="25">
        <v>359404</v>
      </c>
      <c r="AJ527" s="25">
        <v>251583</v>
      </c>
      <c r="AK527" s="25">
        <v>0</v>
      </c>
      <c r="AL527" s="25">
        <v>332200</v>
      </c>
      <c r="AM527" s="25">
        <v>61700</v>
      </c>
      <c r="AN527" s="25">
        <v>270500</v>
      </c>
      <c r="AO527" s="25">
        <v>0</v>
      </c>
      <c r="AP527" s="25">
        <f>Lookups!$B$56*0</f>
        <v>0</v>
      </c>
      <c r="AQ527" s="25">
        <f>Lookups!$B$56*1</f>
        <v>89850.625589999996</v>
      </c>
      <c r="AR527" s="25">
        <f>Lookups!$B$57*Inventory[[#This Row],[LnAcres]]</f>
        <v>-47929.131559187132</v>
      </c>
      <c r="AS527" s="25">
        <f>VLOOKUP(Inventory[[#This Row],[Qlty]],Lookups!$A$62:$E$75,2,FALSE)</f>
        <v>44121.038090000002</v>
      </c>
      <c r="AT527" s="25">
        <f>VLOOKUP(Inventory[[#This Row],[Cnd]],Lookups!$A$76:$E$84,2,FALSE)</f>
        <v>160472.20319</v>
      </c>
      <c r="AU527" s="25">
        <f>Inventory[[#This Row],[EffAge]]*Lookups!$B$85</f>
        <v>-11152.280025</v>
      </c>
      <c r="AV527" s="25">
        <f>Inventory[[#This Row],[MainFn]]*Lookups!$B$86</f>
        <v>71642.571321650001</v>
      </c>
      <c r="AW527" s="25">
        <f>Inventory[[#This Row],[UpprFn]]*Lookups!$B$87</f>
        <v>0</v>
      </c>
      <c r="AX527" s="25">
        <f>Inventory[[#This Row],[AddFn]]*Lookups!$B$88</f>
        <v>0</v>
      </c>
      <c r="AY527" s="25">
        <f>Inventory[[#This Row],[Bsmt]]*Lookups!$B$89</f>
        <v>0</v>
      </c>
      <c r="AZ527" s="25">
        <f>Inventory[[#This Row],[Fixtures]]*Lookups!$B$90</f>
        <v>37920.221052000001</v>
      </c>
      <c r="BA527" s="25">
        <f>Inventory[[#This Row],[WdDeck]]*Lookups!$B$91</f>
        <v>0</v>
      </c>
      <c r="BB527" s="25">
        <f>ROUND(Inventory[[#This Row],[25Det]],-2)</f>
        <v>0</v>
      </c>
      <c r="BC527" s="25">
        <f>ROUND(SUM(Inventory[[#This Row],[Mdl Qlty]:[Mdl WdDeck]])+Inventory[[#This Row],[Mdl Res Intercept]],-2)</f>
        <v>303000</v>
      </c>
      <c r="BD527" s="25">
        <f>ROUND(Inventory[[#This Row],[Mdl Land Intercept]]+Inventory[[#This Row],[Mdl LnAcres]],-2)</f>
        <v>41900</v>
      </c>
      <c r="BE527" s="25">
        <f>Inventory[[#This Row],[Unadj Res Value]]+Inventory[[#This Row],[Unadj Det Value]]+Inventory[[#This Row],[Unadj Land Value]]</f>
        <v>344900</v>
      </c>
      <c r="BF527" s="36">
        <f>(Inventory[[#This Row],[Unadj Total Value]]-Inventory[[#This Row],[24Final]])/Inventory[[#This Row],[24Final]]</f>
        <v>3.8229981938591208E-2</v>
      </c>
      <c r="BG527" s="25">
        <f>VLOOKUP(Inventory[[#This Row],[Nbhd]],Lookups!$Q$2:$T$4,4,FALSE)</f>
        <v>0.99970000000000003</v>
      </c>
      <c r="BH527" s="25">
        <f>VLOOKUP(Inventory[[#This Row],[Qlty]],Lookups!$O$7:$R$21,4,FALSE)</f>
        <v>0.98050000000000004</v>
      </c>
      <c r="BI527" s="25">
        <f>VLOOKUP(Inventory[[#This Row],[Cnd]],Lookups!$T$7:$W$16,4,FALSE)</f>
        <v>0.99729999999999996</v>
      </c>
      <c r="BJ527" s="25">
        <f>VLOOKUP(Inventory[[#This Row],[LivArea Range]],Lookups!$T$25:$W$37,4,FALSE)</f>
        <v>1.0157</v>
      </c>
      <c r="BK527" s="25">
        <f>VLOOKUP(Inventory[[#This Row],[Decade]],Lookups!$O$25:$R$42,4,FALSE)</f>
        <v>1.0199</v>
      </c>
      <c r="BL527" s="25">
        <f>Inventory[[#This Row],[Nbhd Adj]]*0.95</f>
        <v>0.94971499999999998</v>
      </c>
      <c r="BM527" s="25">
        <f>Inventory[[#This Row],[Nbhd Adj]]*Inventory[[#This Row],[Quality Adj]]*Inventory[[#This Row],[Condition Adj]]*Inventory[[#This Row],[Living Area Adj]]*Inventory[[#This Row],[Decade Adj]]*0.95</f>
        <v>0.96203253273253719</v>
      </c>
      <c r="BN527" s="25">
        <f>ROUND(SUM(Inventory[[#This Row],[Mdl Qlty]:[Mdl WdDeck]])+Inventory[[#This Row],[Mdl Res Intercept]]*Inventory[[#This Row],[Res Adj ]],-2)</f>
        <v>303000</v>
      </c>
      <c r="BO527" s="25">
        <f>ROUND(Inventory[[#This Row],[25Det]]*Inventory[[#This Row],[Det/Nbhd Adj]],-2)</f>
        <v>0</v>
      </c>
      <c r="BP527" s="25">
        <f>Inventory[[#This Row],[Adjusted Res]]+Inventory[[#This Row],[Adj Det ]]</f>
        <v>303000</v>
      </c>
      <c r="BQ527" s="25">
        <f>ROUND((Inventory[[#This Row],[Mdl Land Intercept]]+Inventory[[#This Row],[Mdl LnAcres]])*Inventory[[#This Row],[Det/Nbhd Adj]],-2)</f>
        <v>39800</v>
      </c>
      <c r="BR527" s="25">
        <f>Inventory[[#This Row],[Adjusted Impr Total]]+Inventory[[#This Row],[Adjusted Land Total]]</f>
        <v>342800</v>
      </c>
      <c r="BS527" s="36">
        <f>IFERROR((Inventory[[#This Row],[Adjusted Impr Total]]-Inventory[[#This Row],[24Bldg]])/Inventory[[#This Row],[24Bldg]],0)</f>
        <v>0.12014787430683918</v>
      </c>
      <c r="BT527" s="36">
        <f>(Inventory[[#This Row],[Adjusted Land Total]]-Inventory[[#This Row],[24Lnd]])/Inventory[[#This Row],[24Lnd]]</f>
        <v>-0.35494327390599678</v>
      </c>
      <c r="BU527" s="36">
        <f>(Inventory[[#This Row],[Adjusted Total]]-Inventory[[#This Row],[24Final]])/Inventory[[#This Row],[24Final]]</f>
        <v>3.1908488862131247E-2</v>
      </c>
    </row>
    <row r="528" spans="1:73" x14ac:dyDescent="0.3">
      <c r="A528" s="25">
        <v>2025</v>
      </c>
      <c r="B528" s="26" t="s">
        <v>2658</v>
      </c>
      <c r="C528" s="26">
        <f>LN(Inventory[[#This Row],[Acres]])</f>
        <v>-1.6607312068216509</v>
      </c>
      <c r="D528" s="25">
        <v>0.19</v>
      </c>
      <c r="E528" s="25">
        <v>8140</v>
      </c>
      <c r="F528" s="26" t="s">
        <v>537</v>
      </c>
      <c r="G528" s="26" t="s">
        <v>126</v>
      </c>
      <c r="H528" s="26" t="s">
        <v>349</v>
      </c>
      <c r="I528" s="26" t="s">
        <v>538</v>
      </c>
      <c r="J528" s="26" t="s">
        <v>539</v>
      </c>
      <c r="K528" s="26" t="s">
        <v>241</v>
      </c>
      <c r="L528" s="26" t="s">
        <v>148</v>
      </c>
      <c r="M528" s="26" t="s">
        <v>303</v>
      </c>
      <c r="N528" s="26">
        <v>70</v>
      </c>
      <c r="O528" s="26">
        <f>2024-Inventory[[#This Row],[YrBlt]]</f>
        <v>66</v>
      </c>
      <c r="P528" s="26">
        <f>2024-Inventory[[#This Row],[EffYr]]</f>
        <v>50</v>
      </c>
      <c r="Q528" s="25">
        <v>1958</v>
      </c>
      <c r="R528" s="25">
        <v>1974</v>
      </c>
      <c r="S528" s="25">
        <v>1056</v>
      </c>
      <c r="T528" s="27"/>
      <c r="U528" s="32">
        <v>1056</v>
      </c>
      <c r="V528" s="32">
        <f>Inventory[[#This Row],[Bsmt]]-Inventory[[#This Row],[FnBsmt]]</f>
        <v>0</v>
      </c>
      <c r="W528" s="32">
        <v>1056</v>
      </c>
      <c r="X528" s="27"/>
      <c r="Y528" s="27">
        <f>Inventory[[#This Row],[MainFn]]+Inventory[[#This Row],[UpprFn]]+Inventory[[#This Row],[FnBsmt]]+Inventory[[#This Row],[AddFn]]</f>
        <v>2112</v>
      </c>
      <c r="Z528" s="27">
        <v>2500</v>
      </c>
      <c r="AA528" s="25">
        <v>8</v>
      </c>
      <c r="AB528" s="32">
        <v>384</v>
      </c>
      <c r="AC528" s="27"/>
      <c r="AD528" s="27"/>
      <c r="AE528" s="27"/>
      <c r="AF528" s="27"/>
      <c r="AG528" s="27"/>
      <c r="AH528" s="27"/>
      <c r="AI528" s="25">
        <v>414193</v>
      </c>
      <c r="AJ528" s="25">
        <v>298219</v>
      </c>
      <c r="AK528" s="25">
        <v>0</v>
      </c>
      <c r="AL528" s="25">
        <v>367800</v>
      </c>
      <c r="AM528" s="25">
        <v>56600</v>
      </c>
      <c r="AN528" s="25">
        <v>311200</v>
      </c>
      <c r="AO528" s="25">
        <v>0</v>
      </c>
      <c r="AP528" s="25">
        <f>Lookups!$B$56*0</f>
        <v>0</v>
      </c>
      <c r="AQ528" s="25">
        <f>Lookups!$B$56*1</f>
        <v>89850.625589999996</v>
      </c>
      <c r="AR528" s="25">
        <f>Lookups!$B$57*Inventory[[#This Row],[LnAcres]]</f>
        <v>-52569.808201026557</v>
      </c>
      <c r="AS528" s="25">
        <f>VLOOKUP(Inventory[[#This Row],[Qlty]],Lookups!$A$62:$E$75,2,FALSE)</f>
        <v>44121.038090000002</v>
      </c>
      <c r="AT528" s="25">
        <f>VLOOKUP(Inventory[[#This Row],[Cnd]],Lookups!$A$76:$E$84,2,FALSE)</f>
        <v>197752.34721000001</v>
      </c>
      <c r="AU528" s="25">
        <f>Inventory[[#This Row],[EffAge]]*Lookups!$B$85</f>
        <v>-11152.280025</v>
      </c>
      <c r="AV528" s="25">
        <f>Inventory[[#This Row],[MainFn]]*Lookups!$B$86</f>
        <v>52175.555390112</v>
      </c>
      <c r="AW528" s="25">
        <f>Inventory[[#This Row],[UpprFn]]*Lookups!$B$87</f>
        <v>0</v>
      </c>
      <c r="AX528" s="25">
        <f>Inventory[[#This Row],[AddFn]]*Lookups!$B$88</f>
        <v>0</v>
      </c>
      <c r="AY528" s="25">
        <f>Inventory[[#This Row],[Bsmt]]*Lookups!$B$89</f>
        <v>30710.481380832</v>
      </c>
      <c r="AZ528" s="25">
        <f>Inventory[[#This Row],[Fixtures]]*Lookups!$B$90</f>
        <v>30336.176841600001</v>
      </c>
      <c r="BA528" s="25">
        <f>Inventory[[#This Row],[WdDeck]]*Lookups!$B$91</f>
        <v>0</v>
      </c>
      <c r="BB528" s="25">
        <f>ROUND(Inventory[[#This Row],[25Det]],-2)</f>
        <v>0</v>
      </c>
      <c r="BC528" s="25">
        <f>ROUND(SUM(Inventory[[#This Row],[Mdl Qlty]:[Mdl WdDeck]])+Inventory[[#This Row],[Mdl Res Intercept]],-2)</f>
        <v>343900</v>
      </c>
      <c r="BD528" s="25">
        <f>ROUND(Inventory[[#This Row],[Mdl Land Intercept]]+Inventory[[#This Row],[Mdl LnAcres]],-2)</f>
        <v>37300</v>
      </c>
      <c r="BE528" s="25">
        <f>Inventory[[#This Row],[Unadj Res Value]]+Inventory[[#This Row],[Unadj Det Value]]+Inventory[[#This Row],[Unadj Land Value]]</f>
        <v>381200</v>
      </c>
      <c r="BF528" s="36">
        <f>(Inventory[[#This Row],[Unadj Total Value]]-Inventory[[#This Row],[24Final]])/Inventory[[#This Row],[24Final]]</f>
        <v>3.6432843936922241E-2</v>
      </c>
      <c r="BG528" s="25">
        <f>VLOOKUP(Inventory[[#This Row],[Nbhd]],Lookups!$Q$2:$T$4,4,FALSE)</f>
        <v>0.99970000000000003</v>
      </c>
      <c r="BH528" s="25">
        <f>VLOOKUP(Inventory[[#This Row],[Qlty]],Lookups!$O$7:$R$21,4,FALSE)</f>
        <v>0.98050000000000004</v>
      </c>
      <c r="BI528" s="25">
        <f>VLOOKUP(Inventory[[#This Row],[Cnd]],Lookups!$T$7:$W$16,4,FALSE)</f>
        <v>0.99650000000000005</v>
      </c>
      <c r="BJ528" s="25">
        <f>VLOOKUP(Inventory[[#This Row],[LivArea Range]],Lookups!$T$25:$W$37,4,FALSE)</f>
        <v>0.98919999999999997</v>
      </c>
      <c r="BK528" s="25">
        <f>VLOOKUP(Inventory[[#This Row],[Decade]],Lookups!$O$25:$R$42,4,FALSE)</f>
        <v>1.0199</v>
      </c>
      <c r="BL528" s="25">
        <f>Inventory[[#This Row],[Nbhd Adj]]*0.95</f>
        <v>0.94971499999999998</v>
      </c>
      <c r="BM528" s="25">
        <f>Inventory[[#This Row],[Nbhd Adj]]*Inventory[[#This Row],[Quality Adj]]*Inventory[[#This Row],[Condition Adj]]*Inventory[[#This Row],[Living Area Adj]]*Inventory[[#This Row],[Decade Adj]]*0.95</f>
        <v>0.936181161958198</v>
      </c>
      <c r="BN528" s="25">
        <f>ROUND(SUM(Inventory[[#This Row],[Mdl Qlty]:[Mdl WdDeck]])+Inventory[[#This Row],[Mdl Res Intercept]]*Inventory[[#This Row],[Res Adj ]],-2)</f>
        <v>343900</v>
      </c>
      <c r="BO528" s="25">
        <f>ROUND(Inventory[[#This Row],[25Det]]*Inventory[[#This Row],[Det/Nbhd Adj]],-2)</f>
        <v>0</v>
      </c>
      <c r="BP528" s="25">
        <f>Inventory[[#This Row],[Adjusted Res]]+Inventory[[#This Row],[Adj Det ]]</f>
        <v>343900</v>
      </c>
      <c r="BQ528" s="25">
        <f>ROUND((Inventory[[#This Row],[Mdl Land Intercept]]+Inventory[[#This Row],[Mdl LnAcres]])*Inventory[[#This Row],[Det/Nbhd Adj]],-2)</f>
        <v>35400</v>
      </c>
      <c r="BR528" s="25">
        <f>Inventory[[#This Row],[Adjusted Impr Total]]+Inventory[[#This Row],[Adjusted Land Total]]</f>
        <v>379300</v>
      </c>
      <c r="BS528" s="36">
        <f>IFERROR((Inventory[[#This Row],[Adjusted Impr Total]]-Inventory[[#This Row],[24Bldg]])/Inventory[[#This Row],[24Bldg]],0)</f>
        <v>0.10507712082262211</v>
      </c>
      <c r="BT528" s="36">
        <f>(Inventory[[#This Row],[Adjusted Land Total]]-Inventory[[#This Row],[24Lnd]])/Inventory[[#This Row],[24Lnd]]</f>
        <v>-0.37455830388692579</v>
      </c>
      <c r="BU528" s="36">
        <f>(Inventory[[#This Row],[Adjusted Total]]-Inventory[[#This Row],[24Final]])/Inventory[[#This Row],[24Final]]</f>
        <v>3.1266992930940728E-2</v>
      </c>
    </row>
    <row r="529" spans="1:73" x14ac:dyDescent="0.3">
      <c r="A529" s="25">
        <v>2025</v>
      </c>
      <c r="B529" s="26" t="s">
        <v>856</v>
      </c>
      <c r="C529" s="26">
        <f>LN(Inventory[[#This Row],[Acres]])</f>
        <v>-1.8325814637483102</v>
      </c>
      <c r="D529" s="25">
        <v>0.16</v>
      </c>
      <c r="E529" s="25">
        <v>6848</v>
      </c>
      <c r="F529" s="26" t="s">
        <v>537</v>
      </c>
      <c r="G529" s="26" t="s">
        <v>126</v>
      </c>
      <c r="H529" s="26" t="s">
        <v>349</v>
      </c>
      <c r="I529" s="26" t="s">
        <v>538</v>
      </c>
      <c r="J529" s="26" t="s">
        <v>539</v>
      </c>
      <c r="K529" s="26" t="s">
        <v>241</v>
      </c>
      <c r="L529" s="26" t="s">
        <v>302</v>
      </c>
      <c r="M529" s="26" t="s">
        <v>323</v>
      </c>
      <c r="N529" s="26">
        <v>70</v>
      </c>
      <c r="O529" s="26">
        <f>2024-Inventory[[#This Row],[YrBlt]]</f>
        <v>66</v>
      </c>
      <c r="P529" s="26">
        <f>2024-Inventory[[#This Row],[EffYr]]</f>
        <v>50</v>
      </c>
      <c r="Q529" s="25">
        <v>1958</v>
      </c>
      <c r="R529" s="25">
        <v>1974</v>
      </c>
      <c r="S529" s="25">
        <v>1547</v>
      </c>
      <c r="T529" s="27"/>
      <c r="U529" s="27"/>
      <c r="V529" s="27">
        <f>Inventory[[#This Row],[Bsmt]]-Inventory[[#This Row],[FnBsmt]]</f>
        <v>0</v>
      </c>
      <c r="W529" s="27"/>
      <c r="X529" s="27"/>
      <c r="Y529" s="27">
        <f>Inventory[[#This Row],[MainFn]]+Inventory[[#This Row],[UpprFn]]+Inventory[[#This Row],[FnBsmt]]+Inventory[[#This Row],[AddFn]]</f>
        <v>1547</v>
      </c>
      <c r="Z529" s="27">
        <v>2000</v>
      </c>
      <c r="AA529" s="25">
        <v>8</v>
      </c>
      <c r="AB529" s="27"/>
      <c r="AC529" s="27"/>
      <c r="AD529" s="27"/>
      <c r="AE529" s="27"/>
      <c r="AF529" s="27"/>
      <c r="AG529" s="27"/>
      <c r="AH529" s="27"/>
      <c r="AI529" s="25">
        <v>305917</v>
      </c>
      <c r="AJ529" s="25">
        <v>214142</v>
      </c>
      <c r="AK529" s="25">
        <v>0</v>
      </c>
      <c r="AL529" s="25">
        <v>306900</v>
      </c>
      <c r="AM529" s="25">
        <v>50600</v>
      </c>
      <c r="AN529" s="25">
        <v>256300</v>
      </c>
      <c r="AO529" s="25">
        <v>0</v>
      </c>
      <c r="AP529" s="25">
        <f>Lookups!$B$56*0</f>
        <v>0</v>
      </c>
      <c r="AQ529" s="25">
        <f>Lookups!$B$56*1</f>
        <v>89850.625589999996</v>
      </c>
      <c r="AR529" s="25">
        <f>Lookups!$B$57*Inventory[[#This Row],[LnAcres]]</f>
        <v>-58009.662049032086</v>
      </c>
      <c r="AS529" s="25">
        <f>VLOOKUP(Inventory[[#This Row],[Qlty]],Lookups!$A$62:$E$75,2,FALSE)</f>
        <v>29814.093161000001</v>
      </c>
      <c r="AT529" s="25">
        <f>VLOOKUP(Inventory[[#This Row],[Cnd]],Lookups!$A$76:$E$84,2,FALSE)</f>
        <v>160472.20319</v>
      </c>
      <c r="AU529" s="25">
        <f>Inventory[[#This Row],[EffAge]]*Lookups!$B$85</f>
        <v>-11152.280025</v>
      </c>
      <c r="AV529" s="25">
        <f>Inventory[[#This Row],[MainFn]]*Lookups!$B$86</f>
        <v>76435.212299719002</v>
      </c>
      <c r="AW529" s="25">
        <f>Inventory[[#This Row],[UpprFn]]*Lookups!$B$87</f>
        <v>0</v>
      </c>
      <c r="AX529" s="25">
        <f>Inventory[[#This Row],[AddFn]]*Lookups!$B$88</f>
        <v>0</v>
      </c>
      <c r="AY529" s="25">
        <f>Inventory[[#This Row],[Bsmt]]*Lookups!$B$89</f>
        <v>0</v>
      </c>
      <c r="AZ529" s="25">
        <f>Inventory[[#This Row],[Fixtures]]*Lookups!$B$90</f>
        <v>30336.176841600001</v>
      </c>
      <c r="BA529" s="25">
        <f>Inventory[[#This Row],[WdDeck]]*Lookups!$B$91</f>
        <v>0</v>
      </c>
      <c r="BB529" s="25">
        <f>ROUND(Inventory[[#This Row],[25Det]],-2)</f>
        <v>0</v>
      </c>
      <c r="BC529" s="25">
        <f>ROUND(SUM(Inventory[[#This Row],[Mdl Qlty]:[Mdl WdDeck]])+Inventory[[#This Row],[Mdl Res Intercept]],-2)</f>
        <v>285900</v>
      </c>
      <c r="BD529" s="25">
        <f>ROUND(Inventory[[#This Row],[Mdl Land Intercept]]+Inventory[[#This Row],[Mdl LnAcres]],-2)</f>
        <v>31800</v>
      </c>
      <c r="BE529" s="25">
        <f>Inventory[[#This Row],[Unadj Res Value]]+Inventory[[#This Row],[Unadj Det Value]]+Inventory[[#This Row],[Unadj Land Value]]</f>
        <v>317700</v>
      </c>
      <c r="BF529" s="36">
        <f>(Inventory[[#This Row],[Unadj Total Value]]-Inventory[[#This Row],[24Final]])/Inventory[[#This Row],[24Final]]</f>
        <v>3.519061583577713E-2</v>
      </c>
      <c r="BG529" s="25">
        <f>VLOOKUP(Inventory[[#This Row],[Nbhd]],Lookups!$Q$2:$T$4,4,FALSE)</f>
        <v>0.99970000000000003</v>
      </c>
      <c r="BH529" s="25">
        <f>VLOOKUP(Inventory[[#This Row],[Qlty]],Lookups!$O$7:$R$21,4,FALSE)</f>
        <v>1.0088999999999999</v>
      </c>
      <c r="BI529" s="25">
        <f>VLOOKUP(Inventory[[#This Row],[Cnd]],Lookups!$T$7:$W$16,4,FALSE)</f>
        <v>0.99729999999999996</v>
      </c>
      <c r="BJ529" s="25">
        <f>VLOOKUP(Inventory[[#This Row],[LivArea Range]],Lookups!$T$25:$W$37,4,FALSE)</f>
        <v>1.0093000000000001</v>
      </c>
      <c r="BK529" s="25">
        <f>VLOOKUP(Inventory[[#This Row],[Decade]],Lookups!$O$25:$R$42,4,FALSE)</f>
        <v>1.0199</v>
      </c>
      <c r="BL529" s="25">
        <f>Inventory[[#This Row],[Nbhd Adj]]*0.95</f>
        <v>0.94971499999999998</v>
      </c>
      <c r="BM529" s="25">
        <f>Inventory[[#This Row],[Nbhd Adj]]*Inventory[[#This Row],[Quality Adj]]*Inventory[[#This Row],[Condition Adj]]*Inventory[[#This Row],[Living Area Adj]]*Inventory[[#This Row],[Decade Adj]]*0.95</f>
        <v>0.98366020862665582</v>
      </c>
      <c r="BN529" s="25">
        <f>ROUND(SUM(Inventory[[#This Row],[Mdl Qlty]:[Mdl WdDeck]])+Inventory[[#This Row],[Mdl Res Intercept]]*Inventory[[#This Row],[Res Adj ]],-2)</f>
        <v>285900</v>
      </c>
      <c r="BO529" s="25">
        <f>ROUND(Inventory[[#This Row],[25Det]]*Inventory[[#This Row],[Det/Nbhd Adj]],-2)</f>
        <v>0</v>
      </c>
      <c r="BP529" s="25">
        <f>Inventory[[#This Row],[Adjusted Res]]+Inventory[[#This Row],[Adj Det ]]</f>
        <v>285900</v>
      </c>
      <c r="BQ529" s="25">
        <f>ROUND((Inventory[[#This Row],[Mdl Land Intercept]]+Inventory[[#This Row],[Mdl LnAcres]])*Inventory[[#This Row],[Det/Nbhd Adj]],-2)</f>
        <v>30200</v>
      </c>
      <c r="BR529" s="25">
        <f>Inventory[[#This Row],[Adjusted Impr Total]]+Inventory[[#This Row],[Adjusted Land Total]]</f>
        <v>316100</v>
      </c>
      <c r="BS529" s="36">
        <f>IFERROR((Inventory[[#This Row],[Adjusted Impr Total]]-Inventory[[#This Row],[24Bldg]])/Inventory[[#This Row],[24Bldg]],0)</f>
        <v>0.11548966055403824</v>
      </c>
      <c r="BT529" s="36">
        <f>(Inventory[[#This Row],[Adjusted Land Total]]-Inventory[[#This Row],[24Lnd]])/Inventory[[#This Row],[24Lnd]]</f>
        <v>-0.40316205533596838</v>
      </c>
      <c r="BU529" s="36">
        <f>(Inventory[[#This Row],[Adjusted Total]]-Inventory[[#This Row],[24Final]])/Inventory[[#This Row],[24Final]]</f>
        <v>2.9977191267513848E-2</v>
      </c>
    </row>
    <row r="530" spans="1:73" x14ac:dyDescent="0.3">
      <c r="A530" s="25">
        <v>2025</v>
      </c>
      <c r="B530" s="26" t="s">
        <v>1970</v>
      </c>
      <c r="C530" s="26">
        <f>LN(Inventory[[#This Row],[Acres]])</f>
        <v>-1.5606477482646683</v>
      </c>
      <c r="D530" s="25">
        <v>0.21</v>
      </c>
      <c r="E530" s="31"/>
      <c r="F530" s="26" t="s">
        <v>537</v>
      </c>
      <c r="G530" s="26" t="s">
        <v>126</v>
      </c>
      <c r="H530" s="26" t="s">
        <v>349</v>
      </c>
      <c r="I530" s="26" t="s">
        <v>538</v>
      </c>
      <c r="J530" s="26" t="s">
        <v>539</v>
      </c>
      <c r="K530" s="26" t="s">
        <v>241</v>
      </c>
      <c r="L530" s="26" t="s">
        <v>302</v>
      </c>
      <c r="M530" s="26" t="s">
        <v>323</v>
      </c>
      <c r="N530" s="26">
        <v>70</v>
      </c>
      <c r="O530" s="26">
        <f>2024-Inventory[[#This Row],[YrBlt]]</f>
        <v>66</v>
      </c>
      <c r="P530" s="26">
        <f>2024-Inventory[[#This Row],[EffYr]]</f>
        <v>50</v>
      </c>
      <c r="Q530" s="25">
        <v>1958</v>
      </c>
      <c r="R530" s="25">
        <v>1974</v>
      </c>
      <c r="S530" s="25">
        <v>1190</v>
      </c>
      <c r="T530" s="31"/>
      <c r="U530" s="32">
        <v>1190</v>
      </c>
      <c r="V530" s="32">
        <f>Inventory[[#This Row],[Bsmt]]-Inventory[[#This Row],[FnBsmt]]</f>
        <v>10</v>
      </c>
      <c r="W530" s="32">
        <v>1180</v>
      </c>
      <c r="X530" s="27"/>
      <c r="Y530" s="27">
        <f>Inventory[[#This Row],[MainFn]]+Inventory[[#This Row],[UpprFn]]+Inventory[[#This Row],[FnBsmt]]+Inventory[[#This Row],[AddFn]]</f>
        <v>2370</v>
      </c>
      <c r="Z530" s="27">
        <v>2500</v>
      </c>
      <c r="AA530" s="25">
        <v>9</v>
      </c>
      <c r="AB530" s="27"/>
      <c r="AC530" s="27"/>
      <c r="AD530" s="32">
        <v>272</v>
      </c>
      <c r="AE530" s="27"/>
      <c r="AF530" s="27"/>
      <c r="AG530" s="27"/>
      <c r="AH530" s="27"/>
      <c r="AI530" s="25">
        <v>352230</v>
      </c>
      <c r="AJ530" s="25">
        <v>246561</v>
      </c>
      <c r="AK530" s="25">
        <v>7182</v>
      </c>
      <c r="AL530" s="25">
        <v>352400</v>
      </c>
      <c r="AM530" s="25">
        <v>60100</v>
      </c>
      <c r="AN530" s="25">
        <v>292300</v>
      </c>
      <c r="AO530" s="25">
        <v>0</v>
      </c>
      <c r="AP530" s="25">
        <f>Lookups!$B$56*0</f>
        <v>0</v>
      </c>
      <c r="AQ530" s="25">
        <f>Lookups!$B$56*1</f>
        <v>89850.625589999996</v>
      </c>
      <c r="AR530" s="25">
        <f>Lookups!$B$57*Inventory[[#This Row],[LnAcres]]</f>
        <v>-49401.70477837498</v>
      </c>
      <c r="AS530" s="25">
        <f>VLOOKUP(Inventory[[#This Row],[Qlty]],Lookups!$A$62:$E$75,2,FALSE)</f>
        <v>29814.093161000001</v>
      </c>
      <c r="AT530" s="25">
        <f>VLOOKUP(Inventory[[#This Row],[Cnd]],Lookups!$A$76:$E$84,2,FALSE)</f>
        <v>160472.20319</v>
      </c>
      <c r="AU530" s="25">
        <f>Inventory[[#This Row],[EffAge]]*Lookups!$B$85</f>
        <v>-11152.280025</v>
      </c>
      <c r="AV530" s="25">
        <f>Inventory[[#This Row],[MainFn]]*Lookups!$B$86</f>
        <v>58796.31715363</v>
      </c>
      <c r="AW530" s="25">
        <f>Inventory[[#This Row],[UpprFn]]*Lookups!$B$87</f>
        <v>0</v>
      </c>
      <c r="AX530" s="25">
        <f>Inventory[[#This Row],[AddFn]]*Lookups!$B$88</f>
        <v>0</v>
      </c>
      <c r="AY530" s="25">
        <f>Inventory[[#This Row],[Bsmt]]*Lookups!$B$89</f>
        <v>34607.45534393</v>
      </c>
      <c r="AZ530" s="25">
        <f>Inventory[[#This Row],[Fixtures]]*Lookups!$B$90</f>
        <v>34128.198946800003</v>
      </c>
      <c r="BA530" s="25">
        <f>Inventory[[#This Row],[WdDeck]]*Lookups!$B$91</f>
        <v>9056.3801550720018</v>
      </c>
      <c r="BB530" s="25">
        <f>ROUND(Inventory[[#This Row],[25Det]],-2)</f>
        <v>7200</v>
      </c>
      <c r="BC530" s="25">
        <f>ROUND(SUM(Inventory[[#This Row],[Mdl Qlty]:[Mdl WdDeck]])+Inventory[[#This Row],[Mdl Res Intercept]],-2)</f>
        <v>315700</v>
      </c>
      <c r="BD530" s="25">
        <f>ROUND(Inventory[[#This Row],[Mdl Land Intercept]]+Inventory[[#This Row],[Mdl LnAcres]],-2)</f>
        <v>40400</v>
      </c>
      <c r="BE530" s="25">
        <f>Inventory[[#This Row],[Unadj Res Value]]+Inventory[[#This Row],[Unadj Det Value]]+Inventory[[#This Row],[Unadj Land Value]]</f>
        <v>363300</v>
      </c>
      <c r="BF530" s="36">
        <f>(Inventory[[#This Row],[Unadj Total Value]]-Inventory[[#This Row],[24Final]])/Inventory[[#This Row],[24Final]]</f>
        <v>3.0930760499432462E-2</v>
      </c>
      <c r="BG530" s="25">
        <f>VLOOKUP(Inventory[[#This Row],[Nbhd]],Lookups!$Q$2:$T$4,4,FALSE)</f>
        <v>0.99970000000000003</v>
      </c>
      <c r="BH530" s="25">
        <f>VLOOKUP(Inventory[[#This Row],[Qlty]],Lookups!$O$7:$R$21,4,FALSE)</f>
        <v>1.0088999999999999</v>
      </c>
      <c r="BI530" s="25">
        <f>VLOOKUP(Inventory[[#This Row],[Cnd]],Lookups!$T$7:$W$16,4,FALSE)</f>
        <v>0.99729999999999996</v>
      </c>
      <c r="BJ530" s="25">
        <f>VLOOKUP(Inventory[[#This Row],[LivArea Range]],Lookups!$T$25:$W$37,4,FALSE)</f>
        <v>0.98919999999999997</v>
      </c>
      <c r="BK530" s="25">
        <f>VLOOKUP(Inventory[[#This Row],[Decade]],Lookups!$O$25:$R$42,4,FALSE)</f>
        <v>1.0199</v>
      </c>
      <c r="BL530" s="25">
        <f>Inventory[[#This Row],[Nbhd Adj]]*0.95</f>
        <v>0.94971499999999998</v>
      </c>
      <c r="BM530" s="25">
        <f>Inventory[[#This Row],[Nbhd Adj]]*Inventory[[#This Row],[Quality Adj]]*Inventory[[#This Row],[Condition Adj]]*Inventory[[#This Row],[Living Area Adj]]*Inventory[[#This Row],[Decade Adj]]*0.95</f>
        <v>0.96407081974981479</v>
      </c>
      <c r="BN530" s="25">
        <f>ROUND(SUM(Inventory[[#This Row],[Mdl Qlty]:[Mdl WdDeck]])+Inventory[[#This Row],[Mdl Res Intercept]]*Inventory[[#This Row],[Res Adj ]],-2)</f>
        <v>315700</v>
      </c>
      <c r="BO530" s="25">
        <f>ROUND(Inventory[[#This Row],[25Det]]*Inventory[[#This Row],[Det/Nbhd Adj]],-2)</f>
        <v>6800</v>
      </c>
      <c r="BP530" s="25">
        <f>Inventory[[#This Row],[Adjusted Res]]+Inventory[[#This Row],[Adj Det ]]</f>
        <v>322500</v>
      </c>
      <c r="BQ530" s="25">
        <f>ROUND((Inventory[[#This Row],[Mdl Land Intercept]]+Inventory[[#This Row],[Mdl LnAcres]])*Inventory[[#This Row],[Det/Nbhd Adj]],-2)</f>
        <v>38400</v>
      </c>
      <c r="BR530" s="25">
        <f>Inventory[[#This Row],[Adjusted Impr Total]]+Inventory[[#This Row],[Adjusted Land Total]]</f>
        <v>360900</v>
      </c>
      <c r="BS530" s="36">
        <f>IFERROR((Inventory[[#This Row],[Adjusted Impr Total]]-Inventory[[#This Row],[24Bldg]])/Inventory[[#This Row],[24Bldg]],0)</f>
        <v>0.10331850838179953</v>
      </c>
      <c r="BT530" s="36">
        <f>(Inventory[[#This Row],[Adjusted Land Total]]-Inventory[[#This Row],[24Lnd]])/Inventory[[#This Row],[24Lnd]]</f>
        <v>-0.36106489184692181</v>
      </c>
      <c r="BU530" s="36">
        <f>(Inventory[[#This Row],[Adjusted Total]]-Inventory[[#This Row],[24Final]])/Inventory[[#This Row],[24Final]]</f>
        <v>2.4120317820658342E-2</v>
      </c>
    </row>
    <row r="531" spans="1:73" x14ac:dyDescent="0.3">
      <c r="A531" s="25">
        <v>2025</v>
      </c>
      <c r="B531" s="26" t="s">
        <v>2511</v>
      </c>
      <c r="C531" s="26">
        <f>LN(Inventory[[#This Row],[Acres]])</f>
        <v>-1.6607312068216509</v>
      </c>
      <c r="D531" s="25">
        <v>0.19</v>
      </c>
      <c r="E531" s="25">
        <v>8269</v>
      </c>
      <c r="F531" s="26" t="s">
        <v>537</v>
      </c>
      <c r="G531" s="26" t="s">
        <v>126</v>
      </c>
      <c r="H531" s="26" t="s">
        <v>349</v>
      </c>
      <c r="I531" s="26" t="s">
        <v>538</v>
      </c>
      <c r="J531" s="26" t="s">
        <v>539</v>
      </c>
      <c r="K531" s="26" t="s">
        <v>241</v>
      </c>
      <c r="L531" s="26" t="s">
        <v>302</v>
      </c>
      <c r="M531" s="26" t="s">
        <v>323</v>
      </c>
      <c r="N531" s="26">
        <v>70</v>
      </c>
      <c r="O531" s="26">
        <f>2024-Inventory[[#This Row],[YrBlt]]</f>
        <v>66</v>
      </c>
      <c r="P531" s="26">
        <f>2024-Inventory[[#This Row],[EffYr]]</f>
        <v>50</v>
      </c>
      <c r="Q531" s="25">
        <v>1958</v>
      </c>
      <c r="R531" s="25">
        <v>1974</v>
      </c>
      <c r="S531" s="25">
        <v>1637</v>
      </c>
      <c r="T531" s="31"/>
      <c r="U531" s="27"/>
      <c r="V531" s="27">
        <f>Inventory[[#This Row],[Bsmt]]-Inventory[[#This Row],[FnBsmt]]</f>
        <v>0</v>
      </c>
      <c r="W531" s="27"/>
      <c r="X531" s="27"/>
      <c r="Y531" s="27">
        <f>Inventory[[#This Row],[MainFn]]+Inventory[[#This Row],[UpprFn]]+Inventory[[#This Row],[FnBsmt]]+Inventory[[#This Row],[AddFn]]</f>
        <v>1637</v>
      </c>
      <c r="Z531" s="27">
        <v>2000</v>
      </c>
      <c r="AA531" s="25">
        <v>8</v>
      </c>
      <c r="AB531" s="32">
        <v>312</v>
      </c>
      <c r="AC531" s="27"/>
      <c r="AD531" s="27"/>
      <c r="AE531" s="27"/>
      <c r="AF531" s="27"/>
      <c r="AG531" s="27"/>
      <c r="AH531" s="27"/>
      <c r="AI531" s="25">
        <v>310478</v>
      </c>
      <c r="AJ531" s="25">
        <v>217335</v>
      </c>
      <c r="AK531" s="25">
        <v>0</v>
      </c>
      <c r="AL531" s="25">
        <v>318200</v>
      </c>
      <c r="AM531" s="25">
        <v>56600</v>
      </c>
      <c r="AN531" s="25">
        <v>261600</v>
      </c>
      <c r="AO531" s="25">
        <v>0</v>
      </c>
      <c r="AP531" s="25">
        <f>Lookups!$B$56*0</f>
        <v>0</v>
      </c>
      <c r="AQ531" s="25">
        <f>Lookups!$B$56*1</f>
        <v>89850.625589999996</v>
      </c>
      <c r="AR531" s="25">
        <f>Lookups!$B$57*Inventory[[#This Row],[LnAcres]]</f>
        <v>-52569.808201026557</v>
      </c>
      <c r="AS531" s="25">
        <f>VLOOKUP(Inventory[[#This Row],[Qlty]],Lookups!$A$62:$E$75,2,FALSE)</f>
        <v>29814.093161000001</v>
      </c>
      <c r="AT531" s="25">
        <f>VLOOKUP(Inventory[[#This Row],[Cnd]],Lookups!$A$76:$E$84,2,FALSE)</f>
        <v>160472.20319</v>
      </c>
      <c r="AU531" s="25">
        <f>Inventory[[#This Row],[EffAge]]*Lookups!$B$85</f>
        <v>-11152.280025</v>
      </c>
      <c r="AV531" s="25">
        <f>Inventory[[#This Row],[MainFn]]*Lookups!$B$86</f>
        <v>80881.992588649009</v>
      </c>
      <c r="AW531" s="25">
        <f>Inventory[[#This Row],[UpprFn]]*Lookups!$B$87</f>
        <v>0</v>
      </c>
      <c r="AX531" s="25">
        <f>Inventory[[#This Row],[AddFn]]*Lookups!$B$88</f>
        <v>0</v>
      </c>
      <c r="AY531" s="25">
        <f>Inventory[[#This Row],[Bsmt]]*Lookups!$B$89</f>
        <v>0</v>
      </c>
      <c r="AZ531" s="25">
        <f>Inventory[[#This Row],[Fixtures]]*Lookups!$B$90</f>
        <v>30336.176841600001</v>
      </c>
      <c r="BA531" s="25">
        <f>Inventory[[#This Row],[WdDeck]]*Lookups!$B$91</f>
        <v>0</v>
      </c>
      <c r="BB531" s="25">
        <f>ROUND(Inventory[[#This Row],[25Det]],-2)</f>
        <v>0</v>
      </c>
      <c r="BC531" s="25">
        <f>ROUND(SUM(Inventory[[#This Row],[Mdl Qlty]:[Mdl WdDeck]])+Inventory[[#This Row],[Mdl Res Intercept]],-2)</f>
        <v>290400</v>
      </c>
      <c r="BD531" s="25">
        <f>ROUND(Inventory[[#This Row],[Mdl Land Intercept]]+Inventory[[#This Row],[Mdl LnAcres]],-2)</f>
        <v>37300</v>
      </c>
      <c r="BE531" s="25">
        <f>Inventory[[#This Row],[Unadj Res Value]]+Inventory[[#This Row],[Unadj Det Value]]+Inventory[[#This Row],[Unadj Land Value]]</f>
        <v>327700</v>
      </c>
      <c r="BF531" s="36">
        <f>(Inventory[[#This Row],[Unadj Total Value]]-Inventory[[#This Row],[24Final]])/Inventory[[#This Row],[24Final]]</f>
        <v>2.9855436832181018E-2</v>
      </c>
      <c r="BG531" s="25">
        <f>VLOOKUP(Inventory[[#This Row],[Nbhd]],Lookups!$Q$2:$T$4,4,FALSE)</f>
        <v>0.99970000000000003</v>
      </c>
      <c r="BH531" s="25">
        <f>VLOOKUP(Inventory[[#This Row],[Qlty]],Lookups!$O$7:$R$21,4,FALSE)</f>
        <v>1.0088999999999999</v>
      </c>
      <c r="BI531" s="25">
        <f>VLOOKUP(Inventory[[#This Row],[Cnd]],Lookups!$T$7:$W$16,4,FALSE)</f>
        <v>0.99729999999999996</v>
      </c>
      <c r="BJ531" s="25">
        <f>VLOOKUP(Inventory[[#This Row],[LivArea Range]],Lookups!$T$25:$W$37,4,FALSE)</f>
        <v>1.0093000000000001</v>
      </c>
      <c r="BK531" s="25">
        <f>VLOOKUP(Inventory[[#This Row],[Decade]],Lookups!$O$25:$R$42,4,FALSE)</f>
        <v>1.0199</v>
      </c>
      <c r="BL531" s="25">
        <f>Inventory[[#This Row],[Nbhd Adj]]*0.95</f>
        <v>0.94971499999999998</v>
      </c>
      <c r="BM531" s="25">
        <f>Inventory[[#This Row],[Nbhd Adj]]*Inventory[[#This Row],[Quality Adj]]*Inventory[[#This Row],[Condition Adj]]*Inventory[[#This Row],[Living Area Adj]]*Inventory[[#This Row],[Decade Adj]]*0.95</f>
        <v>0.98366020862665582</v>
      </c>
      <c r="BN531" s="25">
        <f>ROUND(SUM(Inventory[[#This Row],[Mdl Qlty]:[Mdl WdDeck]])+Inventory[[#This Row],[Mdl Res Intercept]]*Inventory[[#This Row],[Res Adj ]],-2)</f>
        <v>290400</v>
      </c>
      <c r="BO531" s="25">
        <f>ROUND(Inventory[[#This Row],[25Det]]*Inventory[[#This Row],[Det/Nbhd Adj]],-2)</f>
        <v>0</v>
      </c>
      <c r="BP531" s="25">
        <f>Inventory[[#This Row],[Adjusted Res]]+Inventory[[#This Row],[Adj Det ]]</f>
        <v>290400</v>
      </c>
      <c r="BQ531" s="25">
        <f>ROUND((Inventory[[#This Row],[Mdl Land Intercept]]+Inventory[[#This Row],[Mdl LnAcres]])*Inventory[[#This Row],[Det/Nbhd Adj]],-2)</f>
        <v>35400</v>
      </c>
      <c r="BR531" s="25">
        <f>Inventory[[#This Row],[Adjusted Impr Total]]+Inventory[[#This Row],[Adjusted Land Total]]</f>
        <v>325800</v>
      </c>
      <c r="BS531" s="36">
        <f>IFERROR((Inventory[[#This Row],[Adjusted Impr Total]]-Inventory[[#This Row],[24Bldg]])/Inventory[[#This Row],[24Bldg]],0)</f>
        <v>0.11009174311926606</v>
      </c>
      <c r="BT531" s="36">
        <f>(Inventory[[#This Row],[Adjusted Land Total]]-Inventory[[#This Row],[24Lnd]])/Inventory[[#This Row],[24Lnd]]</f>
        <v>-0.37455830388692579</v>
      </c>
      <c r="BU531" s="36">
        <f>(Inventory[[#This Row],[Adjusted Total]]-Inventory[[#This Row],[24Final]])/Inventory[[#This Row],[24Final]]</f>
        <v>2.3884349465744813E-2</v>
      </c>
    </row>
    <row r="532" spans="1:73" x14ac:dyDescent="0.3">
      <c r="A532" s="25">
        <v>2025</v>
      </c>
      <c r="B532" s="26" t="s">
        <v>2533</v>
      </c>
      <c r="C532" s="26">
        <f>LN(Inventory[[#This Row],[Acres]])</f>
        <v>-1.5606477482646683</v>
      </c>
      <c r="D532" s="25">
        <v>0.21</v>
      </c>
      <c r="E532" s="25">
        <v>8990</v>
      </c>
      <c r="F532" s="26" t="s">
        <v>537</v>
      </c>
      <c r="G532" s="26" t="s">
        <v>126</v>
      </c>
      <c r="H532" s="26" t="s">
        <v>349</v>
      </c>
      <c r="I532" s="26" t="s">
        <v>538</v>
      </c>
      <c r="J532" s="26" t="s">
        <v>539</v>
      </c>
      <c r="K532" s="26" t="s">
        <v>241</v>
      </c>
      <c r="L532" s="26" t="s">
        <v>351</v>
      </c>
      <c r="M532" s="26" t="s">
        <v>323</v>
      </c>
      <c r="N532" s="26">
        <v>70</v>
      </c>
      <c r="O532" s="26">
        <f>2024-Inventory[[#This Row],[YrBlt]]</f>
        <v>66</v>
      </c>
      <c r="P532" s="26">
        <f>2024-Inventory[[#This Row],[EffYr]]</f>
        <v>50</v>
      </c>
      <c r="Q532" s="25">
        <v>1958</v>
      </c>
      <c r="R532" s="25">
        <v>1974</v>
      </c>
      <c r="S532" s="25">
        <v>1426</v>
      </c>
      <c r="T532" s="27"/>
      <c r="U532" s="27"/>
      <c r="V532" s="27">
        <f>Inventory[[#This Row],[Bsmt]]-Inventory[[#This Row],[FnBsmt]]</f>
        <v>0</v>
      </c>
      <c r="W532" s="27"/>
      <c r="X532" s="27"/>
      <c r="Y532" s="27">
        <f>Inventory[[#This Row],[MainFn]]+Inventory[[#This Row],[UpprFn]]+Inventory[[#This Row],[FnBsmt]]+Inventory[[#This Row],[AddFn]]</f>
        <v>1426</v>
      </c>
      <c r="Z532" s="27">
        <v>1500</v>
      </c>
      <c r="AA532" s="25">
        <v>7</v>
      </c>
      <c r="AB532" s="32">
        <v>536</v>
      </c>
      <c r="AC532" s="27"/>
      <c r="AD532" s="27"/>
      <c r="AE532" s="27"/>
      <c r="AF532" s="27"/>
      <c r="AG532" s="27"/>
      <c r="AH532" s="27"/>
      <c r="AI532" s="25">
        <v>265274</v>
      </c>
      <c r="AJ532" s="25">
        <v>185692</v>
      </c>
      <c r="AK532" s="25">
        <v>0</v>
      </c>
      <c r="AL532" s="25">
        <v>301600</v>
      </c>
      <c r="AM532" s="25">
        <v>60100</v>
      </c>
      <c r="AN532" s="25">
        <v>241500</v>
      </c>
      <c r="AO532" s="25">
        <v>0</v>
      </c>
      <c r="AP532" s="25">
        <f>Lookups!$B$56*0</f>
        <v>0</v>
      </c>
      <c r="AQ532" s="25">
        <f>Lookups!$B$56*1</f>
        <v>89850.625589999996</v>
      </c>
      <c r="AR532" s="25">
        <f>Lookups!$B$57*Inventory[[#This Row],[LnAcres]]</f>
        <v>-49401.70477837498</v>
      </c>
      <c r="AS532" s="25">
        <f>VLOOKUP(Inventory[[#This Row],[Qlty]],Lookups!$A$62:$E$75,2,FALSE)</f>
        <v>21557.329055999999</v>
      </c>
      <c r="AT532" s="25">
        <f>VLOOKUP(Inventory[[#This Row],[Cnd]],Lookups!$A$76:$E$84,2,FALSE)</f>
        <v>160472.20319</v>
      </c>
      <c r="AU532" s="25">
        <f>Inventory[[#This Row],[EffAge]]*Lookups!$B$85</f>
        <v>-11152.280025</v>
      </c>
      <c r="AV532" s="25">
        <f>Inventory[[#This Row],[MainFn]]*Lookups!$B$86</f>
        <v>70456.763244602</v>
      </c>
      <c r="AW532" s="25">
        <f>Inventory[[#This Row],[UpprFn]]*Lookups!$B$87</f>
        <v>0</v>
      </c>
      <c r="AX532" s="25">
        <f>Inventory[[#This Row],[AddFn]]*Lookups!$B$88</f>
        <v>0</v>
      </c>
      <c r="AY532" s="25">
        <f>Inventory[[#This Row],[Bsmt]]*Lookups!$B$89</f>
        <v>0</v>
      </c>
      <c r="AZ532" s="25">
        <f>Inventory[[#This Row],[Fixtures]]*Lookups!$B$90</f>
        <v>26544.1547364</v>
      </c>
      <c r="BA532" s="25">
        <f>Inventory[[#This Row],[WdDeck]]*Lookups!$B$91</f>
        <v>0</v>
      </c>
      <c r="BB532" s="25">
        <f>ROUND(Inventory[[#This Row],[25Det]],-2)</f>
        <v>0</v>
      </c>
      <c r="BC532" s="25">
        <f>ROUND(SUM(Inventory[[#This Row],[Mdl Qlty]:[Mdl WdDeck]])+Inventory[[#This Row],[Mdl Res Intercept]],-2)</f>
        <v>267900</v>
      </c>
      <c r="BD532" s="25">
        <f>ROUND(Inventory[[#This Row],[Mdl Land Intercept]]+Inventory[[#This Row],[Mdl LnAcres]],-2)</f>
        <v>40400</v>
      </c>
      <c r="BE532" s="25">
        <f>Inventory[[#This Row],[Unadj Res Value]]+Inventory[[#This Row],[Unadj Det Value]]+Inventory[[#This Row],[Unadj Land Value]]</f>
        <v>308300</v>
      </c>
      <c r="BF532" s="36">
        <f>(Inventory[[#This Row],[Unadj Total Value]]-Inventory[[#This Row],[24Final]])/Inventory[[#This Row],[24Final]]</f>
        <v>2.2214854111405835E-2</v>
      </c>
      <c r="BG532" s="25">
        <f>VLOOKUP(Inventory[[#This Row],[Nbhd]],Lookups!$Q$2:$T$4,4,FALSE)</f>
        <v>0.99970000000000003</v>
      </c>
      <c r="BH532" s="25">
        <f>VLOOKUP(Inventory[[#This Row],[Qlty]],Lookups!$O$7:$R$21,4,FALSE)</f>
        <v>1.0067999999999999</v>
      </c>
      <c r="BI532" s="25">
        <f>VLOOKUP(Inventory[[#This Row],[Cnd]],Lookups!$T$7:$W$16,4,FALSE)</f>
        <v>0.99729999999999996</v>
      </c>
      <c r="BJ532" s="25">
        <f>VLOOKUP(Inventory[[#This Row],[LivArea Range]],Lookups!$T$25:$W$37,4,FALSE)</f>
        <v>1.0157</v>
      </c>
      <c r="BK532" s="25">
        <f>VLOOKUP(Inventory[[#This Row],[Decade]],Lookups!$O$25:$R$42,4,FALSE)</f>
        <v>1.0199</v>
      </c>
      <c r="BL532" s="25">
        <f>Inventory[[#This Row],[Nbhd Adj]]*0.95</f>
        <v>0.94971499999999998</v>
      </c>
      <c r="BM532" s="25">
        <f>Inventory[[#This Row],[Nbhd Adj]]*Inventory[[#This Row],[Quality Adj]]*Inventory[[#This Row],[Condition Adj]]*Inventory[[#This Row],[Living Area Adj]]*Inventory[[#This Row],[Decade Adj]]*0.95</f>
        <v>0.98783717894453682</v>
      </c>
      <c r="BN532" s="25">
        <f>ROUND(SUM(Inventory[[#This Row],[Mdl Qlty]:[Mdl WdDeck]])+Inventory[[#This Row],[Mdl Res Intercept]]*Inventory[[#This Row],[Res Adj ]],-2)</f>
        <v>267900</v>
      </c>
      <c r="BO532" s="25">
        <f>ROUND(Inventory[[#This Row],[25Det]]*Inventory[[#This Row],[Det/Nbhd Adj]],-2)</f>
        <v>0</v>
      </c>
      <c r="BP532" s="25">
        <f>Inventory[[#This Row],[Adjusted Res]]+Inventory[[#This Row],[Adj Det ]]</f>
        <v>267900</v>
      </c>
      <c r="BQ532" s="25">
        <f>ROUND((Inventory[[#This Row],[Mdl Land Intercept]]+Inventory[[#This Row],[Mdl LnAcres]])*Inventory[[#This Row],[Det/Nbhd Adj]],-2)</f>
        <v>38400</v>
      </c>
      <c r="BR532" s="25">
        <f>Inventory[[#This Row],[Adjusted Impr Total]]+Inventory[[#This Row],[Adjusted Land Total]]</f>
        <v>306300</v>
      </c>
      <c r="BS532" s="36">
        <f>IFERROR((Inventory[[#This Row],[Adjusted Impr Total]]-Inventory[[#This Row],[24Bldg]])/Inventory[[#This Row],[24Bldg]],0)</f>
        <v>0.1093167701863354</v>
      </c>
      <c r="BT532" s="36">
        <f>(Inventory[[#This Row],[Adjusted Land Total]]-Inventory[[#This Row],[24Lnd]])/Inventory[[#This Row],[24Lnd]]</f>
        <v>-0.36106489184692181</v>
      </c>
      <c r="BU532" s="36">
        <f>(Inventory[[#This Row],[Adjusted Total]]-Inventory[[#This Row],[24Final]])/Inventory[[#This Row],[24Final]]</f>
        <v>1.5583554376657824E-2</v>
      </c>
    </row>
    <row r="533" spans="1:73" x14ac:dyDescent="0.3">
      <c r="A533" s="25">
        <v>2025</v>
      </c>
      <c r="B533" s="26" t="s">
        <v>2857</v>
      </c>
      <c r="C533" s="26">
        <f>LN(Inventory[[#This Row],[Acres]])</f>
        <v>-1.3093333199837622</v>
      </c>
      <c r="D533" s="25">
        <v>0.27</v>
      </c>
      <c r="E533" s="25">
        <v>11901</v>
      </c>
      <c r="F533" s="26" t="s">
        <v>537</v>
      </c>
      <c r="G533" s="26" t="s">
        <v>126</v>
      </c>
      <c r="H533" s="26" t="s">
        <v>349</v>
      </c>
      <c r="I533" s="26" t="s">
        <v>538</v>
      </c>
      <c r="J533" s="26" t="s">
        <v>539</v>
      </c>
      <c r="K533" s="26" t="s">
        <v>241</v>
      </c>
      <c r="L533" s="26" t="s">
        <v>148</v>
      </c>
      <c r="M533" s="26" t="s">
        <v>323</v>
      </c>
      <c r="N533" s="26">
        <v>70</v>
      </c>
      <c r="O533" s="26">
        <f>2024-Inventory[[#This Row],[YrBlt]]</f>
        <v>66</v>
      </c>
      <c r="P533" s="26">
        <f>2024-Inventory[[#This Row],[EffYr]]</f>
        <v>50</v>
      </c>
      <c r="Q533" s="25">
        <v>1958</v>
      </c>
      <c r="R533" s="25">
        <v>1974</v>
      </c>
      <c r="S533" s="25">
        <v>2211</v>
      </c>
      <c r="T533" s="27"/>
      <c r="U533" s="32">
        <v>1228</v>
      </c>
      <c r="V533" s="32">
        <f>Inventory[[#This Row],[Bsmt]]-Inventory[[#This Row],[FnBsmt]]</f>
        <v>0</v>
      </c>
      <c r="W533" s="32">
        <v>1228</v>
      </c>
      <c r="X533" s="27"/>
      <c r="Y533" s="27">
        <f>Inventory[[#This Row],[MainFn]]+Inventory[[#This Row],[UpprFn]]+Inventory[[#This Row],[FnBsmt]]+Inventory[[#This Row],[AddFn]]</f>
        <v>3439</v>
      </c>
      <c r="Z533" s="27">
        <v>3500</v>
      </c>
      <c r="AA533" s="25">
        <v>15</v>
      </c>
      <c r="AB533" s="31"/>
      <c r="AC533" s="32">
        <v>504</v>
      </c>
      <c r="AD533" s="32">
        <v>237</v>
      </c>
      <c r="AE533" s="27"/>
      <c r="AF533" s="27"/>
      <c r="AG533" s="27"/>
      <c r="AH533" s="27"/>
      <c r="AI533" s="25">
        <v>655765</v>
      </c>
      <c r="AJ533" s="25">
        <v>459036</v>
      </c>
      <c r="AK533" s="25">
        <v>0</v>
      </c>
      <c r="AL533" s="25">
        <v>442900</v>
      </c>
      <c r="AM533" s="25">
        <v>68900</v>
      </c>
      <c r="AN533" s="25">
        <v>374000</v>
      </c>
      <c r="AO533" s="25">
        <v>0</v>
      </c>
      <c r="AP533" s="25">
        <f>Lookups!$B$56*0</f>
        <v>0</v>
      </c>
      <c r="AQ533" s="25">
        <f>Lookups!$B$56*1</f>
        <v>89850.625589999996</v>
      </c>
      <c r="AR533" s="25">
        <f>Lookups!$B$57*Inventory[[#This Row],[LnAcres]]</f>
        <v>-41446.443120973789</v>
      </c>
      <c r="AS533" s="25">
        <f>VLOOKUP(Inventory[[#This Row],[Qlty]],Lookups!$A$62:$E$75,2,FALSE)</f>
        <v>44121.038090000002</v>
      </c>
      <c r="AT533" s="25">
        <f>VLOOKUP(Inventory[[#This Row],[Cnd]],Lookups!$A$76:$E$84,2,FALSE)</f>
        <v>160472.20319</v>
      </c>
      <c r="AU533" s="25">
        <f>Inventory[[#This Row],[EffAge]]*Lookups!$B$85</f>
        <v>-11152.280025</v>
      </c>
      <c r="AV533" s="25">
        <f>Inventory[[#This Row],[MainFn]]*Lookups!$B$86</f>
        <v>109242.56909804701</v>
      </c>
      <c r="AW533" s="25">
        <f>Inventory[[#This Row],[UpprFn]]*Lookups!$B$87</f>
        <v>0</v>
      </c>
      <c r="AX533" s="25">
        <f>Inventory[[#This Row],[AddFn]]*Lookups!$B$88</f>
        <v>0</v>
      </c>
      <c r="AY533" s="25">
        <f>Inventory[[#This Row],[Bsmt]]*Lookups!$B$89</f>
        <v>35712.567363315997</v>
      </c>
      <c r="AZ533" s="25">
        <f>Inventory[[#This Row],[Fixtures]]*Lookups!$B$90</f>
        <v>56880.331578000005</v>
      </c>
      <c r="BA533" s="25">
        <f>Inventory[[#This Row],[WdDeck]]*Lookups!$B$91</f>
        <v>7891.0371204120011</v>
      </c>
      <c r="BB533" s="25">
        <f>ROUND(Inventory[[#This Row],[25Det]],-2)</f>
        <v>0</v>
      </c>
      <c r="BC533" s="25">
        <f>ROUND(SUM(Inventory[[#This Row],[Mdl Qlty]:[Mdl WdDeck]])+Inventory[[#This Row],[Mdl Res Intercept]],-2)</f>
        <v>403200</v>
      </c>
      <c r="BD533" s="25">
        <f>ROUND(Inventory[[#This Row],[Mdl Land Intercept]]+Inventory[[#This Row],[Mdl LnAcres]],-2)</f>
        <v>48400</v>
      </c>
      <c r="BE533" s="25">
        <f>Inventory[[#This Row],[Unadj Res Value]]+Inventory[[#This Row],[Unadj Det Value]]+Inventory[[#This Row],[Unadj Land Value]]</f>
        <v>451600</v>
      </c>
      <c r="BF533" s="36">
        <f>(Inventory[[#This Row],[Unadj Total Value]]-Inventory[[#This Row],[24Final]])/Inventory[[#This Row],[24Final]]</f>
        <v>1.9643260329645518E-2</v>
      </c>
      <c r="BG533" s="25">
        <f>VLOOKUP(Inventory[[#This Row],[Nbhd]],Lookups!$Q$2:$T$4,4,FALSE)</f>
        <v>0.99970000000000003</v>
      </c>
      <c r="BH533" s="25">
        <f>VLOOKUP(Inventory[[#This Row],[Qlty]],Lookups!$O$7:$R$21,4,FALSE)</f>
        <v>0.98050000000000004</v>
      </c>
      <c r="BI533" s="25">
        <f>VLOOKUP(Inventory[[#This Row],[Cnd]],Lookups!$T$7:$W$16,4,FALSE)</f>
        <v>0.99729999999999996</v>
      </c>
      <c r="BJ533" s="25">
        <f>VLOOKUP(Inventory[[#This Row],[LivArea Range]],Lookups!$T$25:$W$37,4,FALSE)</f>
        <v>1.0126999999999999</v>
      </c>
      <c r="BK533" s="25">
        <f>VLOOKUP(Inventory[[#This Row],[Decade]],Lookups!$O$25:$R$42,4,FALSE)</f>
        <v>1.0199</v>
      </c>
      <c r="BL533" s="25">
        <f>Inventory[[#This Row],[Nbhd Adj]]*0.95</f>
        <v>0.94971499999999998</v>
      </c>
      <c r="BM533" s="25">
        <f>Inventory[[#This Row],[Nbhd Adj]]*Inventory[[#This Row],[Quality Adj]]*Inventory[[#This Row],[Condition Adj]]*Inventory[[#This Row],[Living Area Adj]]*Inventory[[#This Row],[Decade Adj]]*0.95</f>
        <v>0.95919104646868192</v>
      </c>
      <c r="BN533" s="25">
        <f>ROUND(SUM(Inventory[[#This Row],[Mdl Qlty]:[Mdl WdDeck]])+Inventory[[#This Row],[Mdl Res Intercept]]*Inventory[[#This Row],[Res Adj ]],-2)</f>
        <v>403200</v>
      </c>
      <c r="BO533" s="25">
        <f>ROUND(Inventory[[#This Row],[25Det]]*Inventory[[#This Row],[Det/Nbhd Adj]],-2)</f>
        <v>0</v>
      </c>
      <c r="BP533" s="25">
        <f>Inventory[[#This Row],[Adjusted Res]]+Inventory[[#This Row],[Adj Det ]]</f>
        <v>403200</v>
      </c>
      <c r="BQ533" s="25">
        <f>ROUND((Inventory[[#This Row],[Mdl Land Intercept]]+Inventory[[#This Row],[Mdl LnAcres]])*Inventory[[#This Row],[Det/Nbhd Adj]],-2)</f>
        <v>46000</v>
      </c>
      <c r="BR533" s="25">
        <f>Inventory[[#This Row],[Adjusted Impr Total]]+Inventory[[#This Row],[Adjusted Land Total]]</f>
        <v>449200</v>
      </c>
      <c r="BS533" s="36">
        <f>IFERROR((Inventory[[#This Row],[Adjusted Impr Total]]-Inventory[[#This Row],[24Bldg]])/Inventory[[#This Row],[24Bldg]],0)</f>
        <v>7.8074866310160432E-2</v>
      </c>
      <c r="BT533" s="36">
        <f>(Inventory[[#This Row],[Adjusted Land Total]]-Inventory[[#This Row],[24Lnd]])/Inventory[[#This Row],[24Lnd]]</f>
        <v>-0.33236574746008707</v>
      </c>
      <c r="BU533" s="36">
        <f>(Inventory[[#This Row],[Adjusted Total]]-Inventory[[#This Row],[24Final]])/Inventory[[#This Row],[24Final]]</f>
        <v>1.4224429893881237E-2</v>
      </c>
    </row>
    <row r="534" spans="1:73" x14ac:dyDescent="0.3">
      <c r="A534" s="25">
        <v>2025</v>
      </c>
      <c r="B534" s="26" t="s">
        <v>2884</v>
      </c>
      <c r="C534" s="26">
        <f>LN(Inventory[[#This Row],[Acres]])</f>
        <v>-1.6607312068216509</v>
      </c>
      <c r="D534" s="25">
        <v>0.19</v>
      </c>
      <c r="E534" s="25">
        <v>8317</v>
      </c>
      <c r="F534" s="26" t="s">
        <v>537</v>
      </c>
      <c r="G534" s="26" t="s">
        <v>126</v>
      </c>
      <c r="H534" s="26" t="s">
        <v>349</v>
      </c>
      <c r="I534" s="26" t="s">
        <v>538</v>
      </c>
      <c r="J534" s="26" t="s">
        <v>539</v>
      </c>
      <c r="K534" s="26" t="s">
        <v>241</v>
      </c>
      <c r="L534" s="26" t="s">
        <v>148</v>
      </c>
      <c r="M534" s="26" t="s">
        <v>303</v>
      </c>
      <c r="N534" s="26">
        <v>70</v>
      </c>
      <c r="O534" s="26">
        <f>2024-Inventory[[#This Row],[YrBlt]]</f>
        <v>66</v>
      </c>
      <c r="P534" s="26">
        <f>2024-Inventory[[#This Row],[EffYr]]</f>
        <v>50</v>
      </c>
      <c r="Q534" s="25">
        <v>1958</v>
      </c>
      <c r="R534" s="25">
        <v>1974</v>
      </c>
      <c r="S534" s="25">
        <v>1325</v>
      </c>
      <c r="T534" s="27"/>
      <c r="U534" s="32">
        <v>1197</v>
      </c>
      <c r="V534" s="32">
        <f>Inventory[[#This Row],[Bsmt]]-Inventory[[#This Row],[FnBsmt]]</f>
        <v>0</v>
      </c>
      <c r="W534" s="32">
        <v>1197</v>
      </c>
      <c r="X534" s="27"/>
      <c r="Y534" s="27">
        <f>Inventory[[#This Row],[MainFn]]+Inventory[[#This Row],[UpprFn]]+Inventory[[#This Row],[FnBsmt]]+Inventory[[#This Row],[AddFn]]</f>
        <v>2522</v>
      </c>
      <c r="Z534" s="27">
        <v>3000</v>
      </c>
      <c r="AA534" s="25">
        <v>12</v>
      </c>
      <c r="AB534" s="25">
        <v>550</v>
      </c>
      <c r="AC534" s="27"/>
      <c r="AD534" s="27"/>
      <c r="AE534" s="27"/>
      <c r="AF534" s="27"/>
      <c r="AG534" s="27"/>
      <c r="AH534" s="27"/>
      <c r="AI534" s="25">
        <v>472096</v>
      </c>
      <c r="AJ534" s="25">
        <v>339909</v>
      </c>
      <c r="AK534" s="25">
        <v>0</v>
      </c>
      <c r="AL534" s="25">
        <v>406900</v>
      </c>
      <c r="AM534" s="25">
        <v>56600</v>
      </c>
      <c r="AN534" s="25">
        <v>350300</v>
      </c>
      <c r="AO534" s="25">
        <v>0</v>
      </c>
      <c r="AP534" s="25">
        <f>Lookups!$B$56*0</f>
        <v>0</v>
      </c>
      <c r="AQ534" s="25">
        <f>Lookups!$B$56*1</f>
        <v>89850.625589999996</v>
      </c>
      <c r="AR534" s="25">
        <f>Lookups!$B$57*Inventory[[#This Row],[LnAcres]]</f>
        <v>-52569.808201026557</v>
      </c>
      <c r="AS534" s="25">
        <f>VLOOKUP(Inventory[[#This Row],[Qlty]],Lookups!$A$62:$E$75,2,FALSE)</f>
        <v>44121.038090000002</v>
      </c>
      <c r="AT534" s="25">
        <f>VLOOKUP(Inventory[[#This Row],[Cnd]],Lookups!$A$76:$E$84,2,FALSE)</f>
        <v>197752.34721000001</v>
      </c>
      <c r="AU534" s="25">
        <f>Inventory[[#This Row],[EffAge]]*Lookups!$B$85</f>
        <v>-11152.280025</v>
      </c>
      <c r="AV534" s="25">
        <f>Inventory[[#This Row],[MainFn]]*Lookups!$B$86</f>
        <v>65466.487587025003</v>
      </c>
      <c r="AW534" s="25">
        <f>Inventory[[#This Row],[UpprFn]]*Lookups!$B$87</f>
        <v>0</v>
      </c>
      <c r="AX534" s="25">
        <f>Inventory[[#This Row],[AddFn]]*Lookups!$B$88</f>
        <v>0</v>
      </c>
      <c r="AY534" s="25">
        <f>Inventory[[#This Row],[Bsmt]]*Lookups!$B$89</f>
        <v>34811.028610658999</v>
      </c>
      <c r="AZ534" s="25">
        <f>Inventory[[#This Row],[Fixtures]]*Lookups!$B$90</f>
        <v>45504.265262400004</v>
      </c>
      <c r="BA534" s="25">
        <f>Inventory[[#This Row],[WdDeck]]*Lookups!$B$91</f>
        <v>0</v>
      </c>
      <c r="BB534" s="25">
        <f>ROUND(Inventory[[#This Row],[25Det]],-2)</f>
        <v>0</v>
      </c>
      <c r="BC534" s="25">
        <f>ROUND(SUM(Inventory[[#This Row],[Mdl Qlty]:[Mdl WdDeck]])+Inventory[[#This Row],[Mdl Res Intercept]],-2)</f>
        <v>376500</v>
      </c>
      <c r="BD534" s="25">
        <f>ROUND(Inventory[[#This Row],[Mdl Land Intercept]]+Inventory[[#This Row],[Mdl LnAcres]],-2)</f>
        <v>37300</v>
      </c>
      <c r="BE534" s="25">
        <f>Inventory[[#This Row],[Unadj Res Value]]+Inventory[[#This Row],[Unadj Det Value]]+Inventory[[#This Row],[Unadj Land Value]]</f>
        <v>413800</v>
      </c>
      <c r="BF534" s="36">
        <f>(Inventory[[#This Row],[Unadj Total Value]]-Inventory[[#This Row],[24Final]])/Inventory[[#This Row],[24Final]]</f>
        <v>1.6957483411157534E-2</v>
      </c>
      <c r="BG534" s="25">
        <f>VLOOKUP(Inventory[[#This Row],[Nbhd]],Lookups!$Q$2:$T$4,4,FALSE)</f>
        <v>0.99970000000000003</v>
      </c>
      <c r="BH534" s="25">
        <f>VLOOKUP(Inventory[[#This Row],[Qlty]],Lookups!$O$7:$R$21,4,FALSE)</f>
        <v>0.98050000000000004</v>
      </c>
      <c r="BI534" s="25">
        <f>VLOOKUP(Inventory[[#This Row],[Cnd]],Lookups!$T$7:$W$16,4,FALSE)</f>
        <v>0.99650000000000005</v>
      </c>
      <c r="BJ534" s="25">
        <f>VLOOKUP(Inventory[[#This Row],[LivArea Range]],Lookups!$T$25:$W$37,4,FALSE)</f>
        <v>0.96179999999999999</v>
      </c>
      <c r="BK534" s="25">
        <f>VLOOKUP(Inventory[[#This Row],[Decade]],Lookups!$O$25:$R$42,4,FALSE)</f>
        <v>1.0199</v>
      </c>
      <c r="BL534" s="25">
        <f>Inventory[[#This Row],[Nbhd Adj]]*0.95</f>
        <v>0.94971499999999998</v>
      </c>
      <c r="BM534" s="25">
        <f>Inventory[[#This Row],[Nbhd Adj]]*Inventory[[#This Row],[Quality Adj]]*Inventory[[#This Row],[Condition Adj]]*Inventory[[#This Row],[Living Area Adj]]*Inventory[[#This Row],[Decade Adj]]*0.95</f>
        <v>0.91024973874989379</v>
      </c>
      <c r="BN534" s="25">
        <f>ROUND(SUM(Inventory[[#This Row],[Mdl Qlty]:[Mdl WdDeck]])+Inventory[[#This Row],[Mdl Res Intercept]]*Inventory[[#This Row],[Res Adj ]],-2)</f>
        <v>376500</v>
      </c>
      <c r="BO534" s="25">
        <f>ROUND(Inventory[[#This Row],[25Det]]*Inventory[[#This Row],[Det/Nbhd Adj]],-2)</f>
        <v>0</v>
      </c>
      <c r="BP534" s="25">
        <f>Inventory[[#This Row],[Adjusted Res]]+Inventory[[#This Row],[Adj Det ]]</f>
        <v>376500</v>
      </c>
      <c r="BQ534" s="25">
        <f>ROUND((Inventory[[#This Row],[Mdl Land Intercept]]+Inventory[[#This Row],[Mdl LnAcres]])*Inventory[[#This Row],[Det/Nbhd Adj]],-2)</f>
        <v>35400</v>
      </c>
      <c r="BR534" s="25">
        <f>Inventory[[#This Row],[Adjusted Impr Total]]+Inventory[[#This Row],[Adjusted Land Total]]</f>
        <v>411900</v>
      </c>
      <c r="BS534" s="36">
        <f>IFERROR((Inventory[[#This Row],[Adjusted Impr Total]]-Inventory[[#This Row],[24Bldg]])/Inventory[[#This Row],[24Bldg]],0)</f>
        <v>7.4793034541821291E-2</v>
      </c>
      <c r="BT534" s="36">
        <f>(Inventory[[#This Row],[Adjusted Land Total]]-Inventory[[#This Row],[24Lnd]])/Inventory[[#This Row],[24Lnd]]</f>
        <v>-0.37455830388692579</v>
      </c>
      <c r="BU534" s="36">
        <f>(Inventory[[#This Row],[Adjusted Total]]-Inventory[[#This Row],[24Final]])/Inventory[[#This Row],[24Final]]</f>
        <v>1.2288031457360531E-2</v>
      </c>
    </row>
    <row r="535" spans="1:73" x14ac:dyDescent="0.3">
      <c r="A535" s="25">
        <v>2025</v>
      </c>
      <c r="B535" s="26" t="s">
        <v>1925</v>
      </c>
      <c r="C535" s="26">
        <f>LN(Inventory[[#This Row],[Acres]])</f>
        <v>-1.4696759700589417</v>
      </c>
      <c r="D535" s="25">
        <v>0.23</v>
      </c>
      <c r="E535" s="27"/>
      <c r="F535" s="26" t="s">
        <v>537</v>
      </c>
      <c r="G535" s="26" t="s">
        <v>126</v>
      </c>
      <c r="H535" s="26" t="s">
        <v>349</v>
      </c>
      <c r="I535" s="26" t="s">
        <v>538</v>
      </c>
      <c r="J535" s="26" t="s">
        <v>539</v>
      </c>
      <c r="K535" s="26" t="s">
        <v>241</v>
      </c>
      <c r="L535" s="26" t="s">
        <v>351</v>
      </c>
      <c r="M535" s="26" t="s">
        <v>323</v>
      </c>
      <c r="N535" s="26">
        <v>70</v>
      </c>
      <c r="O535" s="26">
        <f>2024-Inventory[[#This Row],[YrBlt]]</f>
        <v>66</v>
      </c>
      <c r="P535" s="26">
        <f>2024-Inventory[[#This Row],[EffYr]]</f>
        <v>50</v>
      </c>
      <c r="Q535" s="25">
        <v>1958</v>
      </c>
      <c r="R535" s="25">
        <v>1974</v>
      </c>
      <c r="S535" s="25">
        <v>1066</v>
      </c>
      <c r="T535" s="27"/>
      <c r="U535" s="25">
        <v>1066</v>
      </c>
      <c r="V535" s="25">
        <f>Inventory[[#This Row],[Bsmt]]-Inventory[[#This Row],[FnBsmt]]</f>
        <v>0</v>
      </c>
      <c r="W535" s="25">
        <v>1066</v>
      </c>
      <c r="X535" s="27"/>
      <c r="Y535" s="27">
        <f>Inventory[[#This Row],[MainFn]]+Inventory[[#This Row],[UpprFn]]+Inventory[[#This Row],[FnBsmt]]+Inventory[[#This Row],[AddFn]]</f>
        <v>2132</v>
      </c>
      <c r="Z535" s="27">
        <v>2500</v>
      </c>
      <c r="AA535" s="25">
        <v>8</v>
      </c>
      <c r="AB535" s="31"/>
      <c r="AC535" s="27"/>
      <c r="AD535" s="27"/>
      <c r="AE535" s="27"/>
      <c r="AF535" s="27"/>
      <c r="AG535" s="27"/>
      <c r="AH535" s="27"/>
      <c r="AI535" s="25">
        <v>277279</v>
      </c>
      <c r="AJ535" s="25">
        <v>194095</v>
      </c>
      <c r="AK535" s="25">
        <v>0</v>
      </c>
      <c r="AL535" s="25">
        <v>325300</v>
      </c>
      <c r="AM535" s="25">
        <v>63300</v>
      </c>
      <c r="AN535" s="25">
        <v>262000</v>
      </c>
      <c r="AO535" s="25">
        <v>0</v>
      </c>
      <c r="AP535" s="25">
        <f>Lookups!$B$56*0</f>
        <v>0</v>
      </c>
      <c r="AQ535" s="25">
        <f>Lookups!$B$56*1</f>
        <v>89850.625589999996</v>
      </c>
      <c r="AR535" s="25">
        <f>Lookups!$B$57*Inventory[[#This Row],[LnAcres]]</f>
        <v>-46522.028095997222</v>
      </c>
      <c r="AS535" s="25">
        <f>VLOOKUP(Inventory[[#This Row],[Qlty]],Lookups!$A$62:$E$75,2,FALSE)</f>
        <v>21557.329055999999</v>
      </c>
      <c r="AT535" s="25">
        <f>VLOOKUP(Inventory[[#This Row],[Cnd]],Lookups!$A$76:$E$84,2,FALSE)</f>
        <v>160472.20319</v>
      </c>
      <c r="AU535" s="25">
        <f>Inventory[[#This Row],[EffAge]]*Lookups!$B$85</f>
        <v>-11152.280025</v>
      </c>
      <c r="AV535" s="25">
        <f>Inventory[[#This Row],[MainFn]]*Lookups!$B$86</f>
        <v>52669.642088881999</v>
      </c>
      <c r="AW535" s="25">
        <f>Inventory[[#This Row],[UpprFn]]*Lookups!$B$87</f>
        <v>0</v>
      </c>
      <c r="AX535" s="25">
        <f>Inventory[[#This Row],[AddFn]]*Lookups!$B$88</f>
        <v>0</v>
      </c>
      <c r="AY535" s="25">
        <f>Inventory[[#This Row],[Bsmt]]*Lookups!$B$89</f>
        <v>31001.300333301999</v>
      </c>
      <c r="AZ535" s="25">
        <f>Inventory[[#This Row],[Fixtures]]*Lookups!$B$90</f>
        <v>30336.176841600001</v>
      </c>
      <c r="BA535" s="25">
        <f>Inventory[[#This Row],[WdDeck]]*Lookups!$B$91</f>
        <v>0</v>
      </c>
      <c r="BB535" s="25">
        <f>ROUND(Inventory[[#This Row],[25Det]],-2)</f>
        <v>0</v>
      </c>
      <c r="BC535" s="25">
        <f>ROUND(SUM(Inventory[[#This Row],[Mdl Qlty]:[Mdl WdDeck]])+Inventory[[#This Row],[Mdl Res Intercept]],-2)</f>
        <v>284900</v>
      </c>
      <c r="BD535" s="25">
        <f>ROUND(Inventory[[#This Row],[Mdl Land Intercept]]+Inventory[[#This Row],[Mdl LnAcres]],-2)</f>
        <v>43300</v>
      </c>
      <c r="BE535" s="25">
        <f>Inventory[[#This Row],[Unadj Res Value]]+Inventory[[#This Row],[Unadj Det Value]]+Inventory[[#This Row],[Unadj Land Value]]</f>
        <v>328200</v>
      </c>
      <c r="BF535" s="36">
        <f>(Inventory[[#This Row],[Unadj Total Value]]-Inventory[[#This Row],[24Final]])/Inventory[[#This Row],[24Final]]</f>
        <v>8.9148478327697508E-3</v>
      </c>
      <c r="BG535" s="25">
        <f>VLOOKUP(Inventory[[#This Row],[Nbhd]],Lookups!$Q$2:$T$4,4,FALSE)</f>
        <v>0.99970000000000003</v>
      </c>
      <c r="BH535" s="25">
        <f>VLOOKUP(Inventory[[#This Row],[Qlty]],Lookups!$O$7:$R$21,4,FALSE)</f>
        <v>1.0067999999999999</v>
      </c>
      <c r="BI535" s="25">
        <f>VLOOKUP(Inventory[[#This Row],[Cnd]],Lookups!$T$7:$W$16,4,FALSE)</f>
        <v>0.99729999999999996</v>
      </c>
      <c r="BJ535" s="25">
        <f>VLOOKUP(Inventory[[#This Row],[LivArea Range]],Lookups!$T$25:$W$37,4,FALSE)</f>
        <v>0.98919999999999997</v>
      </c>
      <c r="BK535" s="25">
        <f>VLOOKUP(Inventory[[#This Row],[Decade]],Lookups!$O$25:$R$42,4,FALSE)</f>
        <v>1.0199</v>
      </c>
      <c r="BL535" s="25">
        <f>Inventory[[#This Row],[Nbhd Adj]]*0.95</f>
        <v>0.94971499999999998</v>
      </c>
      <c r="BM535" s="25">
        <f>Inventory[[#This Row],[Nbhd Adj]]*Inventory[[#This Row],[Quality Adj]]*Inventory[[#This Row],[Condition Adj]]*Inventory[[#This Row],[Living Area Adj]]*Inventory[[#This Row],[Decade Adj]]*0.95</f>
        <v>0.9620641305621106</v>
      </c>
      <c r="BN535" s="25">
        <f>ROUND(SUM(Inventory[[#This Row],[Mdl Qlty]:[Mdl WdDeck]])+Inventory[[#This Row],[Mdl Res Intercept]]*Inventory[[#This Row],[Res Adj ]],-2)</f>
        <v>284900</v>
      </c>
      <c r="BO535" s="25">
        <f>ROUND(Inventory[[#This Row],[25Det]]*Inventory[[#This Row],[Det/Nbhd Adj]],-2)</f>
        <v>0</v>
      </c>
      <c r="BP535" s="25">
        <f>Inventory[[#This Row],[Adjusted Res]]+Inventory[[#This Row],[Adj Det ]]</f>
        <v>284900</v>
      </c>
      <c r="BQ535" s="25">
        <f>ROUND((Inventory[[#This Row],[Mdl Land Intercept]]+Inventory[[#This Row],[Mdl LnAcres]])*Inventory[[#This Row],[Det/Nbhd Adj]],-2)</f>
        <v>41100</v>
      </c>
      <c r="BR535" s="25">
        <f>Inventory[[#This Row],[Adjusted Impr Total]]+Inventory[[#This Row],[Adjusted Land Total]]</f>
        <v>326000</v>
      </c>
      <c r="BS535" s="36">
        <f>IFERROR((Inventory[[#This Row],[Adjusted Impr Total]]-Inventory[[#This Row],[24Bldg]])/Inventory[[#This Row],[24Bldg]],0)</f>
        <v>8.740458015267176E-2</v>
      </c>
      <c r="BT535" s="36">
        <f>(Inventory[[#This Row],[Adjusted Land Total]]-Inventory[[#This Row],[24Lnd]])/Inventory[[#This Row],[24Lnd]]</f>
        <v>-0.35071090047393366</v>
      </c>
      <c r="BU535" s="36">
        <f>(Inventory[[#This Row],[Adjusted Total]]-Inventory[[#This Row],[24Final]])/Inventory[[#This Row],[24Final]]</f>
        <v>2.1518598217030432E-3</v>
      </c>
    </row>
    <row r="536" spans="1:73" x14ac:dyDescent="0.3">
      <c r="A536" s="25">
        <v>2025</v>
      </c>
      <c r="B536" s="26" t="s">
        <v>2031</v>
      </c>
      <c r="C536" s="26">
        <f>LN(Inventory[[#This Row],[Acres]])</f>
        <v>-1.6094379124341003</v>
      </c>
      <c r="D536" s="25">
        <v>0.2</v>
      </c>
      <c r="E536" s="27"/>
      <c r="F536" s="26" t="s">
        <v>537</v>
      </c>
      <c r="G536" s="26" t="s">
        <v>126</v>
      </c>
      <c r="H536" s="26" t="s">
        <v>349</v>
      </c>
      <c r="I536" s="26" t="s">
        <v>538</v>
      </c>
      <c r="J536" s="26" t="s">
        <v>539</v>
      </c>
      <c r="K536" s="26" t="s">
        <v>241</v>
      </c>
      <c r="L536" s="26" t="s">
        <v>148</v>
      </c>
      <c r="M536" s="26" t="s">
        <v>323</v>
      </c>
      <c r="N536" s="26">
        <v>70</v>
      </c>
      <c r="O536" s="26">
        <f>2024-Inventory[[#This Row],[YrBlt]]</f>
        <v>66</v>
      </c>
      <c r="P536" s="26">
        <f>2024-Inventory[[#This Row],[EffYr]]</f>
        <v>50</v>
      </c>
      <c r="Q536" s="25">
        <v>1958</v>
      </c>
      <c r="R536" s="25">
        <v>1974</v>
      </c>
      <c r="S536" s="25">
        <v>1230</v>
      </c>
      <c r="T536" s="27"/>
      <c r="U536" s="32">
        <v>1230</v>
      </c>
      <c r="V536" s="32">
        <f>Inventory[[#This Row],[Bsmt]]-Inventory[[#This Row],[FnBsmt]]</f>
        <v>0</v>
      </c>
      <c r="W536" s="32">
        <v>1230</v>
      </c>
      <c r="X536" s="27"/>
      <c r="Y536" s="27">
        <f>Inventory[[#This Row],[MainFn]]+Inventory[[#This Row],[UpprFn]]+Inventory[[#This Row],[FnBsmt]]+Inventory[[#This Row],[AddFn]]</f>
        <v>2460</v>
      </c>
      <c r="Z536" s="27">
        <v>2500</v>
      </c>
      <c r="AA536" s="25">
        <v>7</v>
      </c>
      <c r="AB536" s="27"/>
      <c r="AC536" s="27"/>
      <c r="AD536" s="32">
        <v>144</v>
      </c>
      <c r="AE536" s="27"/>
      <c r="AF536" s="27"/>
      <c r="AG536" s="27"/>
      <c r="AH536" s="27"/>
      <c r="AI536" s="25">
        <v>425891</v>
      </c>
      <c r="AJ536" s="25">
        <v>298124</v>
      </c>
      <c r="AK536" s="25">
        <v>0</v>
      </c>
      <c r="AL536" s="25">
        <v>359800</v>
      </c>
      <c r="AM536" s="25">
        <v>58400</v>
      </c>
      <c r="AN536" s="25">
        <v>301400</v>
      </c>
      <c r="AO536" s="25">
        <v>0</v>
      </c>
      <c r="AP536" s="25">
        <f>Lookups!$B$56*0</f>
        <v>0</v>
      </c>
      <c r="AQ536" s="25">
        <f>Lookups!$B$56*1</f>
        <v>89850.625589999996</v>
      </c>
      <c r="AR536" s="25">
        <f>Lookups!$B$57*Inventory[[#This Row],[LnAcres]]</f>
        <v>-50946.13867709865</v>
      </c>
      <c r="AS536" s="25">
        <f>VLOOKUP(Inventory[[#This Row],[Qlty]],Lookups!$A$62:$E$75,2,FALSE)</f>
        <v>44121.038090000002</v>
      </c>
      <c r="AT536" s="25">
        <f>VLOOKUP(Inventory[[#This Row],[Cnd]],Lookups!$A$76:$E$84,2,FALSE)</f>
        <v>160472.20319</v>
      </c>
      <c r="AU536" s="25">
        <f>Inventory[[#This Row],[EffAge]]*Lookups!$B$85</f>
        <v>-11152.280025</v>
      </c>
      <c r="AV536" s="25">
        <f>Inventory[[#This Row],[MainFn]]*Lookups!$B$86</f>
        <v>60772.663948710004</v>
      </c>
      <c r="AW536" s="25">
        <f>Inventory[[#This Row],[UpprFn]]*Lookups!$B$87</f>
        <v>0</v>
      </c>
      <c r="AX536" s="25">
        <f>Inventory[[#This Row],[AddFn]]*Lookups!$B$88</f>
        <v>0</v>
      </c>
      <c r="AY536" s="25">
        <f>Inventory[[#This Row],[Bsmt]]*Lookups!$B$89</f>
        <v>35770.731153809997</v>
      </c>
      <c r="AZ536" s="25">
        <f>Inventory[[#This Row],[Fixtures]]*Lookups!$B$90</f>
        <v>26544.1547364</v>
      </c>
      <c r="BA536" s="25">
        <f>Inventory[[#This Row],[WdDeck]]*Lookups!$B$91</f>
        <v>4794.5541997440005</v>
      </c>
      <c r="BB536" s="25">
        <f>ROUND(Inventory[[#This Row],[25Det]],-2)</f>
        <v>0</v>
      </c>
      <c r="BC536" s="25">
        <f>ROUND(SUM(Inventory[[#This Row],[Mdl Qlty]:[Mdl WdDeck]])+Inventory[[#This Row],[Mdl Res Intercept]],-2)</f>
        <v>321300</v>
      </c>
      <c r="BD536" s="25">
        <f>ROUND(Inventory[[#This Row],[Mdl Land Intercept]]+Inventory[[#This Row],[Mdl LnAcres]],-2)</f>
        <v>38900</v>
      </c>
      <c r="BE536" s="25">
        <f>Inventory[[#This Row],[Unadj Res Value]]+Inventory[[#This Row],[Unadj Det Value]]+Inventory[[#This Row],[Unadj Land Value]]</f>
        <v>360200</v>
      </c>
      <c r="BF536" s="36">
        <f>(Inventory[[#This Row],[Unadj Total Value]]-Inventory[[#This Row],[24Final]])/Inventory[[#This Row],[24Final]]</f>
        <v>1.1117287381878821E-3</v>
      </c>
      <c r="BG536" s="25">
        <f>VLOOKUP(Inventory[[#This Row],[Nbhd]],Lookups!$Q$2:$T$4,4,FALSE)</f>
        <v>0.99970000000000003</v>
      </c>
      <c r="BH536" s="25">
        <f>VLOOKUP(Inventory[[#This Row],[Qlty]],Lookups!$O$7:$R$21,4,FALSE)</f>
        <v>0.98050000000000004</v>
      </c>
      <c r="BI536" s="25">
        <f>VLOOKUP(Inventory[[#This Row],[Cnd]],Lookups!$T$7:$W$16,4,FALSE)</f>
        <v>0.99729999999999996</v>
      </c>
      <c r="BJ536" s="25">
        <f>VLOOKUP(Inventory[[#This Row],[LivArea Range]],Lookups!$T$25:$W$37,4,FALSE)</f>
        <v>0.98919999999999997</v>
      </c>
      <c r="BK536" s="25">
        <f>VLOOKUP(Inventory[[#This Row],[Decade]],Lookups!$O$25:$R$42,4,FALSE)</f>
        <v>1.0199</v>
      </c>
      <c r="BL536" s="25">
        <f>Inventory[[#This Row],[Nbhd Adj]]*0.95</f>
        <v>0.94971499999999998</v>
      </c>
      <c r="BM536" s="25">
        <f>Inventory[[#This Row],[Nbhd Adj]]*Inventory[[#This Row],[Quality Adj]]*Inventory[[#This Row],[Condition Adj]]*Inventory[[#This Row],[Living Area Adj]]*Inventory[[#This Row],[Decade Adj]]*0.95</f>
        <v>0.93693273740181715</v>
      </c>
      <c r="BN536" s="25">
        <f>ROUND(SUM(Inventory[[#This Row],[Mdl Qlty]:[Mdl WdDeck]])+Inventory[[#This Row],[Mdl Res Intercept]]*Inventory[[#This Row],[Res Adj ]],-2)</f>
        <v>321300</v>
      </c>
      <c r="BO536" s="25">
        <f>ROUND(Inventory[[#This Row],[25Det]]*Inventory[[#This Row],[Det/Nbhd Adj]],-2)</f>
        <v>0</v>
      </c>
      <c r="BP536" s="25">
        <f>Inventory[[#This Row],[Adjusted Res]]+Inventory[[#This Row],[Adj Det ]]</f>
        <v>321300</v>
      </c>
      <c r="BQ536" s="25">
        <f>ROUND((Inventory[[#This Row],[Mdl Land Intercept]]+Inventory[[#This Row],[Mdl LnAcres]])*Inventory[[#This Row],[Det/Nbhd Adj]],-2)</f>
        <v>36900</v>
      </c>
      <c r="BR536" s="25">
        <f>Inventory[[#This Row],[Adjusted Impr Total]]+Inventory[[#This Row],[Adjusted Land Total]]</f>
        <v>358200</v>
      </c>
      <c r="BS536" s="36">
        <f>IFERROR((Inventory[[#This Row],[Adjusted Impr Total]]-Inventory[[#This Row],[24Bldg]])/Inventory[[#This Row],[24Bldg]],0)</f>
        <v>6.6025215660252157E-2</v>
      </c>
      <c r="BT536" s="36">
        <f>(Inventory[[#This Row],[Adjusted Land Total]]-Inventory[[#This Row],[24Lnd]])/Inventory[[#This Row],[24Lnd]]</f>
        <v>-0.36815068493150682</v>
      </c>
      <c r="BU536" s="36">
        <f>(Inventory[[#This Row],[Adjusted Total]]-Inventory[[#This Row],[24Final]])/Inventory[[#This Row],[24Final]]</f>
        <v>-4.4469149527515284E-3</v>
      </c>
    </row>
    <row r="537" spans="1:73" x14ac:dyDescent="0.3">
      <c r="A537" s="25">
        <v>2025</v>
      </c>
      <c r="B537" s="26" t="s">
        <v>907</v>
      </c>
      <c r="C537" s="26">
        <f>LN(Inventory[[#This Row],[Acres]])</f>
        <v>-0.73396917508020043</v>
      </c>
      <c r="D537" s="25">
        <v>0.48</v>
      </c>
      <c r="E537" s="32">
        <v>20835</v>
      </c>
      <c r="F537" s="26" t="s">
        <v>537</v>
      </c>
      <c r="G537" s="26" t="s">
        <v>126</v>
      </c>
      <c r="H537" s="26" t="s">
        <v>349</v>
      </c>
      <c r="I537" s="26" t="s">
        <v>538</v>
      </c>
      <c r="J537" s="26" t="s">
        <v>539</v>
      </c>
      <c r="K537" s="26" t="s">
        <v>241</v>
      </c>
      <c r="L537" s="26" t="s">
        <v>95</v>
      </c>
      <c r="M537" s="26" t="s">
        <v>303</v>
      </c>
      <c r="N537" s="26">
        <v>70</v>
      </c>
      <c r="O537" s="26">
        <f>2024-Inventory[[#This Row],[YrBlt]]</f>
        <v>66</v>
      </c>
      <c r="P537" s="26">
        <f>2024-Inventory[[#This Row],[EffYr]]</f>
        <v>50</v>
      </c>
      <c r="Q537" s="25">
        <v>1958</v>
      </c>
      <c r="R537" s="25">
        <v>1974</v>
      </c>
      <c r="S537" s="25">
        <v>2914</v>
      </c>
      <c r="T537" s="31"/>
      <c r="U537" s="25">
        <v>720</v>
      </c>
      <c r="V537" s="25">
        <f>Inventory[[#This Row],[Bsmt]]-Inventory[[#This Row],[FnBsmt]]</f>
        <v>0</v>
      </c>
      <c r="W537" s="25">
        <v>720</v>
      </c>
      <c r="X537" s="27"/>
      <c r="Y537" s="27">
        <f>Inventory[[#This Row],[MainFn]]+Inventory[[#This Row],[UpprFn]]+Inventory[[#This Row],[FnBsmt]]+Inventory[[#This Row],[AddFn]]</f>
        <v>3634</v>
      </c>
      <c r="Z537" s="27">
        <v>4000</v>
      </c>
      <c r="AA537" s="25">
        <v>14</v>
      </c>
      <c r="AB537" s="27"/>
      <c r="AC537" s="27"/>
      <c r="AD537" s="27"/>
      <c r="AE537" s="27"/>
      <c r="AF537" s="27"/>
      <c r="AG537" s="27"/>
      <c r="AH537" s="27"/>
      <c r="AI537" s="25">
        <v>755563</v>
      </c>
      <c r="AJ537" s="25">
        <v>551561</v>
      </c>
      <c r="AK537" s="25">
        <v>60288</v>
      </c>
      <c r="AL537" s="25">
        <v>602400</v>
      </c>
      <c r="AM537" s="25">
        <v>88900</v>
      </c>
      <c r="AN537" s="25">
        <v>513500</v>
      </c>
      <c r="AO537" s="25">
        <v>0</v>
      </c>
      <c r="AP537" s="25">
        <f>Lookups!$B$56*0</f>
        <v>0</v>
      </c>
      <c r="AQ537" s="25">
        <f>Lookups!$B$56*1</f>
        <v>89850.625589999996</v>
      </c>
      <c r="AR537" s="25">
        <f>Lookups!$B$57*Inventory[[#This Row],[LnAcres]]</f>
        <v>-23233.512202902497</v>
      </c>
      <c r="AS537" s="25">
        <f>VLOOKUP(Inventory[[#This Row],[Qlty]],Lookups!$A$62:$E$75,2,FALSE)</f>
        <v>74268.409664999999</v>
      </c>
      <c r="AT537" s="25">
        <f>VLOOKUP(Inventory[[#This Row],[Cnd]],Lookups!$A$76:$E$84,2,FALSE)</f>
        <v>197752.34721000001</v>
      </c>
      <c r="AU537" s="25">
        <f>Inventory[[#This Row],[EffAge]]*Lookups!$B$85</f>
        <v>-11152.280025</v>
      </c>
      <c r="AV537" s="25">
        <f>Inventory[[#This Row],[MainFn]]*Lookups!$B$86</f>
        <v>143976.86402157802</v>
      </c>
      <c r="AW537" s="25">
        <f>Inventory[[#This Row],[UpprFn]]*Lookups!$B$87</f>
        <v>0</v>
      </c>
      <c r="AX537" s="25">
        <f>Inventory[[#This Row],[AddFn]]*Lookups!$B$88</f>
        <v>0</v>
      </c>
      <c r="AY537" s="25">
        <f>Inventory[[#This Row],[Bsmt]]*Lookups!$B$89</f>
        <v>20938.964577839997</v>
      </c>
      <c r="AZ537" s="25">
        <f>Inventory[[#This Row],[Fixtures]]*Lookups!$B$90</f>
        <v>53088.3094728</v>
      </c>
      <c r="BA537" s="25">
        <f>Inventory[[#This Row],[WdDeck]]*Lookups!$B$91</f>
        <v>0</v>
      </c>
      <c r="BB537" s="25">
        <f>ROUND(Inventory[[#This Row],[25Det]],-2)</f>
        <v>60300</v>
      </c>
      <c r="BC537" s="25">
        <f>ROUND(SUM(Inventory[[#This Row],[Mdl Qlty]:[Mdl WdDeck]])+Inventory[[#This Row],[Mdl Res Intercept]],-2)</f>
        <v>478900</v>
      </c>
      <c r="BD537" s="25">
        <f>ROUND(Inventory[[#This Row],[Mdl Land Intercept]]+Inventory[[#This Row],[Mdl LnAcres]],-2)</f>
        <v>66600</v>
      </c>
      <c r="BE537" s="25">
        <f>Inventory[[#This Row],[Unadj Res Value]]+Inventory[[#This Row],[Unadj Det Value]]+Inventory[[#This Row],[Unadj Land Value]]</f>
        <v>605800</v>
      </c>
      <c r="BF537" s="36">
        <f>(Inventory[[#This Row],[Unadj Total Value]]-Inventory[[#This Row],[24Final]])/Inventory[[#This Row],[24Final]]</f>
        <v>5.6440903054448873E-3</v>
      </c>
      <c r="BG537" s="25">
        <f>VLOOKUP(Inventory[[#This Row],[Nbhd]],Lookups!$Q$2:$T$4,4,FALSE)</f>
        <v>0.99970000000000003</v>
      </c>
      <c r="BH537" s="25">
        <f>VLOOKUP(Inventory[[#This Row],[Qlty]],Lookups!$O$7:$R$21,4,FALSE)</f>
        <v>0.98380000000000001</v>
      </c>
      <c r="BI537" s="25">
        <f>VLOOKUP(Inventory[[#This Row],[Cnd]],Lookups!$T$7:$W$16,4,FALSE)</f>
        <v>0.99650000000000005</v>
      </c>
      <c r="BJ537" s="25">
        <f>VLOOKUP(Inventory[[#This Row],[LivArea Range]],Lookups!$T$25:$W$37,4,FALSE)</f>
        <v>0.94579999999999997</v>
      </c>
      <c r="BK537" s="25">
        <f>VLOOKUP(Inventory[[#This Row],[Decade]],Lookups!$O$25:$R$42,4,FALSE)</f>
        <v>1.0199</v>
      </c>
      <c r="BL537" s="25">
        <f>Inventory[[#This Row],[Nbhd Adj]]*0.95</f>
        <v>0.94971499999999998</v>
      </c>
      <c r="BM537" s="25">
        <f>Inventory[[#This Row],[Nbhd Adj]]*Inventory[[#This Row],[Quality Adj]]*Inventory[[#This Row],[Condition Adj]]*Inventory[[#This Row],[Living Area Adj]]*Inventory[[#This Row],[Decade Adj]]*0.95</f>
        <v>0.8981199016319511</v>
      </c>
      <c r="BN537" s="25">
        <f>ROUND(SUM(Inventory[[#This Row],[Mdl Qlty]:[Mdl WdDeck]])+Inventory[[#This Row],[Mdl Res Intercept]]*Inventory[[#This Row],[Res Adj ]],-2)</f>
        <v>478900</v>
      </c>
      <c r="BO537" s="25">
        <f>ROUND(Inventory[[#This Row],[25Det]]*Inventory[[#This Row],[Det/Nbhd Adj]],-2)</f>
        <v>57300</v>
      </c>
      <c r="BP537" s="25">
        <f>Inventory[[#This Row],[Adjusted Res]]+Inventory[[#This Row],[Adj Det ]]</f>
        <v>536200</v>
      </c>
      <c r="BQ537" s="25">
        <f>ROUND((Inventory[[#This Row],[Mdl Land Intercept]]+Inventory[[#This Row],[Mdl LnAcres]])*Inventory[[#This Row],[Det/Nbhd Adj]],-2)</f>
        <v>63300</v>
      </c>
      <c r="BR537" s="25">
        <f>Inventory[[#This Row],[Adjusted Impr Total]]+Inventory[[#This Row],[Adjusted Land Total]]</f>
        <v>599500</v>
      </c>
      <c r="BS537" s="36">
        <f>IFERROR((Inventory[[#This Row],[Adjusted Impr Total]]-Inventory[[#This Row],[24Bldg]])/Inventory[[#This Row],[24Bldg]],0)</f>
        <v>4.4206426484907496E-2</v>
      </c>
      <c r="BT537" s="36">
        <f>(Inventory[[#This Row],[Adjusted Land Total]]-Inventory[[#This Row],[24Lnd]])/Inventory[[#This Row],[24Lnd]]</f>
        <v>-0.2879640044994376</v>
      </c>
      <c r="BU537" s="36">
        <f>(Inventory[[#This Row],[Adjusted Total]]-Inventory[[#This Row],[24Final]])/Inventory[[#This Row],[24Final]]</f>
        <v>-4.8140770252324038E-3</v>
      </c>
    </row>
    <row r="538" spans="1:73" x14ac:dyDescent="0.3">
      <c r="A538" s="25">
        <v>2025</v>
      </c>
      <c r="B538" s="26" t="s">
        <v>1013</v>
      </c>
      <c r="C538" s="26">
        <f>LN(Inventory[[#This Row],[Acres]])</f>
        <v>-1.2729656758128873</v>
      </c>
      <c r="D538" s="25">
        <v>0.28000000000000003</v>
      </c>
      <c r="E538" s="25">
        <v>12377</v>
      </c>
      <c r="F538" s="26" t="s">
        <v>537</v>
      </c>
      <c r="G538" s="26" t="s">
        <v>126</v>
      </c>
      <c r="H538" s="26" t="s">
        <v>349</v>
      </c>
      <c r="I538" s="26" t="s">
        <v>538</v>
      </c>
      <c r="J538" s="26" t="s">
        <v>539</v>
      </c>
      <c r="K538" s="26" t="s">
        <v>242</v>
      </c>
      <c r="L538" s="26" t="s">
        <v>148</v>
      </c>
      <c r="M538" s="26" t="s">
        <v>323</v>
      </c>
      <c r="N538" s="26">
        <v>70</v>
      </c>
      <c r="O538" s="26">
        <f>2024-Inventory[[#This Row],[YrBlt]]</f>
        <v>66</v>
      </c>
      <c r="P538" s="26">
        <f>2024-Inventory[[#This Row],[EffYr]]</f>
        <v>50</v>
      </c>
      <c r="Q538" s="25">
        <v>1958</v>
      </c>
      <c r="R538" s="25">
        <v>1974</v>
      </c>
      <c r="S538" s="25">
        <v>1917</v>
      </c>
      <c r="T538" s="31"/>
      <c r="U538" s="25">
        <v>1388</v>
      </c>
      <c r="V538" s="25">
        <f>Inventory[[#This Row],[Bsmt]]-Inventory[[#This Row],[FnBsmt]]</f>
        <v>0</v>
      </c>
      <c r="W538" s="25">
        <v>1388</v>
      </c>
      <c r="X538" s="27"/>
      <c r="Y538" s="27">
        <f>Inventory[[#This Row],[MainFn]]+Inventory[[#This Row],[UpprFn]]+Inventory[[#This Row],[FnBsmt]]+Inventory[[#This Row],[AddFn]]</f>
        <v>3305</v>
      </c>
      <c r="Z538" s="27">
        <v>3500</v>
      </c>
      <c r="AA538" s="25">
        <v>11</v>
      </c>
      <c r="AB538" s="27"/>
      <c r="AC538" s="32">
        <v>529</v>
      </c>
      <c r="AD538" s="27"/>
      <c r="AE538" s="27"/>
      <c r="AF538" s="27"/>
      <c r="AG538" s="27"/>
      <c r="AH538" s="27"/>
      <c r="AI538" s="25">
        <v>573820</v>
      </c>
      <c r="AJ538" s="25">
        <v>401674</v>
      </c>
      <c r="AK538" s="25">
        <v>0</v>
      </c>
      <c r="AL538" s="25">
        <v>419900</v>
      </c>
      <c r="AM538" s="25">
        <v>70100</v>
      </c>
      <c r="AN538" s="25">
        <v>349800</v>
      </c>
      <c r="AO538" s="25">
        <v>0</v>
      </c>
      <c r="AP538" s="25">
        <f>Lookups!$B$56*0</f>
        <v>0</v>
      </c>
      <c r="AQ538" s="25">
        <f>Lookups!$B$56*1</f>
        <v>89850.625589999996</v>
      </c>
      <c r="AR538" s="25">
        <f>Lookups!$B$57*Inventory[[#This Row],[LnAcres]]</f>
        <v>-40295.239319339329</v>
      </c>
      <c r="AS538" s="25">
        <f>VLOOKUP(Inventory[[#This Row],[Qlty]],Lookups!$A$62:$E$75,2,FALSE)</f>
        <v>44121.038090000002</v>
      </c>
      <c r="AT538" s="25">
        <f>VLOOKUP(Inventory[[#This Row],[Cnd]],Lookups!$A$76:$E$84,2,FALSE)</f>
        <v>160472.20319</v>
      </c>
      <c r="AU538" s="25">
        <f>Inventory[[#This Row],[EffAge]]*Lookups!$B$85</f>
        <v>-11152.280025</v>
      </c>
      <c r="AV538" s="25">
        <f>Inventory[[#This Row],[MainFn]]*Lookups!$B$86</f>
        <v>94716.420154209001</v>
      </c>
      <c r="AW538" s="25">
        <f>Inventory[[#This Row],[UpprFn]]*Lookups!$B$87</f>
        <v>0</v>
      </c>
      <c r="AX538" s="25">
        <f>Inventory[[#This Row],[AddFn]]*Lookups!$B$88</f>
        <v>0</v>
      </c>
      <c r="AY538" s="25">
        <f>Inventory[[#This Row],[Bsmt]]*Lookups!$B$89</f>
        <v>40365.670602835999</v>
      </c>
      <c r="AZ538" s="25">
        <f>Inventory[[#This Row],[Fixtures]]*Lookups!$B$90</f>
        <v>41712.243157199999</v>
      </c>
      <c r="BA538" s="25">
        <f>Inventory[[#This Row],[WdDeck]]*Lookups!$B$91</f>
        <v>0</v>
      </c>
      <c r="BB538" s="25">
        <f>ROUND(Inventory[[#This Row],[25Det]],-2)</f>
        <v>0</v>
      </c>
      <c r="BC538" s="25">
        <f>ROUND(SUM(Inventory[[#This Row],[Mdl Qlty]:[Mdl WdDeck]])+Inventory[[#This Row],[Mdl Res Intercept]],-2)</f>
        <v>370200</v>
      </c>
      <c r="BD538" s="25">
        <f>ROUND(Inventory[[#This Row],[Mdl Land Intercept]]+Inventory[[#This Row],[Mdl LnAcres]],-2)</f>
        <v>49600</v>
      </c>
      <c r="BE538" s="25">
        <f>Inventory[[#This Row],[Unadj Res Value]]+Inventory[[#This Row],[Unadj Det Value]]+Inventory[[#This Row],[Unadj Land Value]]</f>
        <v>419800</v>
      </c>
      <c r="BF538" s="36">
        <f>(Inventory[[#This Row],[Unadj Total Value]]-Inventory[[#This Row],[24Final]])/Inventory[[#This Row],[24Final]]</f>
        <v>-2.3815194093831864E-4</v>
      </c>
      <c r="BG538" s="25">
        <f>VLOOKUP(Inventory[[#This Row],[Nbhd]],Lookups!$Q$2:$T$4,4,FALSE)</f>
        <v>0.99970000000000003</v>
      </c>
      <c r="BH538" s="25">
        <f>VLOOKUP(Inventory[[#This Row],[Qlty]],Lookups!$O$7:$R$21,4,FALSE)</f>
        <v>0.98050000000000004</v>
      </c>
      <c r="BI538" s="25">
        <f>VLOOKUP(Inventory[[#This Row],[Cnd]],Lookups!$T$7:$W$16,4,FALSE)</f>
        <v>0.99729999999999996</v>
      </c>
      <c r="BJ538" s="25">
        <f>VLOOKUP(Inventory[[#This Row],[LivArea Range]],Lookups!$T$25:$W$37,4,FALSE)</f>
        <v>1.0126999999999999</v>
      </c>
      <c r="BK538" s="25">
        <f>VLOOKUP(Inventory[[#This Row],[Decade]],Lookups!$O$25:$R$42,4,FALSE)</f>
        <v>1.0199</v>
      </c>
      <c r="BL538" s="25">
        <f>Inventory[[#This Row],[Nbhd Adj]]*0.95</f>
        <v>0.94971499999999998</v>
      </c>
      <c r="BM538" s="25">
        <f>Inventory[[#This Row],[Nbhd Adj]]*Inventory[[#This Row],[Quality Adj]]*Inventory[[#This Row],[Condition Adj]]*Inventory[[#This Row],[Living Area Adj]]*Inventory[[#This Row],[Decade Adj]]*0.95</f>
        <v>0.95919104646868192</v>
      </c>
      <c r="BN538" s="25">
        <f>ROUND(SUM(Inventory[[#This Row],[Mdl Qlty]:[Mdl WdDeck]])+Inventory[[#This Row],[Mdl Res Intercept]]*Inventory[[#This Row],[Res Adj ]],-2)</f>
        <v>370200</v>
      </c>
      <c r="BO538" s="25">
        <f>ROUND(Inventory[[#This Row],[25Det]]*Inventory[[#This Row],[Det/Nbhd Adj]],-2)</f>
        <v>0</v>
      </c>
      <c r="BP538" s="25">
        <f>Inventory[[#This Row],[Adjusted Res]]+Inventory[[#This Row],[Adj Det ]]</f>
        <v>370200</v>
      </c>
      <c r="BQ538" s="25">
        <f>ROUND((Inventory[[#This Row],[Mdl Land Intercept]]+Inventory[[#This Row],[Mdl LnAcres]])*Inventory[[#This Row],[Det/Nbhd Adj]],-2)</f>
        <v>47100</v>
      </c>
      <c r="BR538" s="25">
        <f>Inventory[[#This Row],[Adjusted Impr Total]]+Inventory[[#This Row],[Adjusted Land Total]]</f>
        <v>417300</v>
      </c>
      <c r="BS538" s="36">
        <f>IFERROR((Inventory[[#This Row],[Adjusted Impr Total]]-Inventory[[#This Row],[24Bldg]])/Inventory[[#This Row],[24Bldg]],0)</f>
        <v>5.8319039451114926E-2</v>
      </c>
      <c r="BT538" s="36">
        <f>(Inventory[[#This Row],[Adjusted Land Total]]-Inventory[[#This Row],[24Lnd]])/Inventory[[#This Row],[24Lnd]]</f>
        <v>-0.32810271041369471</v>
      </c>
      <c r="BU538" s="36">
        <f>(Inventory[[#This Row],[Adjusted Total]]-Inventory[[#This Row],[24Final]])/Inventory[[#This Row],[24Final]]</f>
        <v>-6.1919504643962852E-3</v>
      </c>
    </row>
    <row r="539" spans="1:73" x14ac:dyDescent="0.3">
      <c r="A539" s="25">
        <v>2025</v>
      </c>
      <c r="B539" s="26" t="s">
        <v>744</v>
      </c>
      <c r="C539" s="26">
        <f>LN(Inventory[[#This Row],[Acres]])</f>
        <v>-0.96758402626170559</v>
      </c>
      <c r="D539" s="25">
        <v>0.38</v>
      </c>
      <c r="E539" s="32">
        <v>16388</v>
      </c>
      <c r="F539" s="26" t="s">
        <v>537</v>
      </c>
      <c r="G539" s="26" t="s">
        <v>126</v>
      </c>
      <c r="H539" s="26" t="s">
        <v>349</v>
      </c>
      <c r="I539" s="26" t="s">
        <v>538</v>
      </c>
      <c r="J539" s="26" t="s">
        <v>539</v>
      </c>
      <c r="K539" s="26" t="s">
        <v>241</v>
      </c>
      <c r="L539" s="26" t="s">
        <v>148</v>
      </c>
      <c r="M539" s="26" t="s">
        <v>323</v>
      </c>
      <c r="N539" s="26">
        <v>70</v>
      </c>
      <c r="O539" s="26">
        <f>2024-Inventory[[#This Row],[YrBlt]]</f>
        <v>66</v>
      </c>
      <c r="P539" s="26">
        <f>2024-Inventory[[#This Row],[EffYr]]</f>
        <v>50</v>
      </c>
      <c r="Q539" s="25">
        <v>1958</v>
      </c>
      <c r="R539" s="25">
        <v>1974</v>
      </c>
      <c r="S539" s="25">
        <v>1784</v>
      </c>
      <c r="T539" s="31"/>
      <c r="U539" s="31"/>
      <c r="V539" s="31">
        <f>Inventory[[#This Row],[Bsmt]]-Inventory[[#This Row],[FnBsmt]]</f>
        <v>0</v>
      </c>
      <c r="W539" s="31"/>
      <c r="X539" s="27"/>
      <c r="Y539" s="27">
        <f>Inventory[[#This Row],[MainFn]]+Inventory[[#This Row],[UpprFn]]+Inventory[[#This Row],[FnBsmt]]+Inventory[[#This Row],[AddFn]]</f>
        <v>1784</v>
      </c>
      <c r="Z539" s="27">
        <v>2000</v>
      </c>
      <c r="AA539" s="25">
        <v>10</v>
      </c>
      <c r="AB539" s="32">
        <v>620</v>
      </c>
      <c r="AC539" s="27"/>
      <c r="AD539" s="31"/>
      <c r="AE539" s="27"/>
      <c r="AF539" s="27"/>
      <c r="AG539" s="27"/>
      <c r="AH539" s="27"/>
      <c r="AI539" s="25">
        <v>421755</v>
      </c>
      <c r="AJ539" s="25">
        <v>295229</v>
      </c>
      <c r="AK539" s="25">
        <v>26353</v>
      </c>
      <c r="AL539" s="25">
        <v>404600</v>
      </c>
      <c r="AM539" s="25">
        <v>80800</v>
      </c>
      <c r="AN539" s="25">
        <v>323800</v>
      </c>
      <c r="AO539" s="25">
        <v>0</v>
      </c>
      <c r="AP539" s="25">
        <f>Lookups!$B$56*0</f>
        <v>0</v>
      </c>
      <c r="AQ539" s="25">
        <f>Lookups!$B$56*1</f>
        <v>89850.625589999996</v>
      </c>
      <c r="AR539" s="25">
        <f>Lookups!$B$57*Inventory[[#This Row],[LnAcres]]</f>
        <v>-30628.500548443946</v>
      </c>
      <c r="AS539" s="25">
        <f>VLOOKUP(Inventory[[#This Row],[Qlty]],Lookups!$A$62:$E$75,2,FALSE)</f>
        <v>44121.038090000002</v>
      </c>
      <c r="AT539" s="25">
        <f>VLOOKUP(Inventory[[#This Row],[Cnd]],Lookups!$A$76:$E$84,2,FALSE)</f>
        <v>160472.20319</v>
      </c>
      <c r="AU539" s="25">
        <f>Inventory[[#This Row],[EffAge]]*Lookups!$B$85</f>
        <v>-11152.280025</v>
      </c>
      <c r="AV539" s="25">
        <f>Inventory[[#This Row],[MainFn]]*Lookups!$B$86</f>
        <v>88145.067060568006</v>
      </c>
      <c r="AW539" s="25">
        <f>Inventory[[#This Row],[UpprFn]]*Lookups!$B$87</f>
        <v>0</v>
      </c>
      <c r="AX539" s="25">
        <f>Inventory[[#This Row],[AddFn]]*Lookups!$B$88</f>
        <v>0</v>
      </c>
      <c r="AY539" s="25">
        <f>Inventory[[#This Row],[Bsmt]]*Lookups!$B$89</f>
        <v>0</v>
      </c>
      <c r="AZ539" s="25">
        <f>Inventory[[#This Row],[Fixtures]]*Lookups!$B$90</f>
        <v>37920.221052000001</v>
      </c>
      <c r="BA539" s="25">
        <f>Inventory[[#This Row],[WdDeck]]*Lookups!$B$91</f>
        <v>0</v>
      </c>
      <c r="BB539" s="25">
        <f>ROUND(Inventory[[#This Row],[25Det]],-2)</f>
        <v>26400</v>
      </c>
      <c r="BC539" s="25">
        <f>ROUND(SUM(Inventory[[#This Row],[Mdl Qlty]:[Mdl WdDeck]])+Inventory[[#This Row],[Mdl Res Intercept]],-2)</f>
        <v>319500</v>
      </c>
      <c r="BD539" s="25">
        <f>ROUND(Inventory[[#This Row],[Mdl Land Intercept]]+Inventory[[#This Row],[Mdl LnAcres]],-2)</f>
        <v>59200</v>
      </c>
      <c r="BE539" s="25">
        <f>Inventory[[#This Row],[Unadj Res Value]]+Inventory[[#This Row],[Unadj Det Value]]+Inventory[[#This Row],[Unadj Land Value]]</f>
        <v>405100</v>
      </c>
      <c r="BF539" s="36">
        <f>(Inventory[[#This Row],[Unadj Total Value]]-Inventory[[#This Row],[24Final]])/Inventory[[#This Row],[24Final]]</f>
        <v>1.235788433020267E-3</v>
      </c>
      <c r="BG539" s="25">
        <f>VLOOKUP(Inventory[[#This Row],[Nbhd]],Lookups!$Q$2:$T$4,4,FALSE)</f>
        <v>0.99970000000000003</v>
      </c>
      <c r="BH539" s="25">
        <f>VLOOKUP(Inventory[[#This Row],[Qlty]],Lookups!$O$7:$R$21,4,FALSE)</f>
        <v>0.98050000000000004</v>
      </c>
      <c r="BI539" s="25">
        <f>VLOOKUP(Inventory[[#This Row],[Cnd]],Lookups!$T$7:$W$16,4,FALSE)</f>
        <v>0.99729999999999996</v>
      </c>
      <c r="BJ539" s="25">
        <f>VLOOKUP(Inventory[[#This Row],[LivArea Range]],Lookups!$T$25:$W$37,4,FALSE)</f>
        <v>1.0093000000000001</v>
      </c>
      <c r="BK539" s="25">
        <f>VLOOKUP(Inventory[[#This Row],[Decade]],Lookups!$O$25:$R$42,4,FALSE)</f>
        <v>1.0199</v>
      </c>
      <c r="BL539" s="25">
        <f>Inventory[[#This Row],[Nbhd Adj]]*0.95</f>
        <v>0.94971499999999998</v>
      </c>
      <c r="BM539" s="25">
        <f>Inventory[[#This Row],[Nbhd Adj]]*Inventory[[#This Row],[Quality Adj]]*Inventory[[#This Row],[Condition Adj]]*Inventory[[#This Row],[Living Area Adj]]*Inventory[[#This Row],[Decade Adj]]*0.95</f>
        <v>0.95597069536964641</v>
      </c>
      <c r="BN539" s="25">
        <f>ROUND(SUM(Inventory[[#This Row],[Mdl Qlty]:[Mdl WdDeck]])+Inventory[[#This Row],[Mdl Res Intercept]]*Inventory[[#This Row],[Res Adj ]],-2)</f>
        <v>319500</v>
      </c>
      <c r="BO539" s="25">
        <f>ROUND(Inventory[[#This Row],[25Det]]*Inventory[[#This Row],[Det/Nbhd Adj]],-2)</f>
        <v>25000</v>
      </c>
      <c r="BP539" s="25">
        <f>Inventory[[#This Row],[Adjusted Res]]+Inventory[[#This Row],[Adj Det ]]</f>
        <v>344500</v>
      </c>
      <c r="BQ539" s="25">
        <f>ROUND((Inventory[[#This Row],[Mdl Land Intercept]]+Inventory[[#This Row],[Mdl LnAcres]])*Inventory[[#This Row],[Det/Nbhd Adj]],-2)</f>
        <v>56200</v>
      </c>
      <c r="BR539" s="25">
        <f>Inventory[[#This Row],[Adjusted Impr Total]]+Inventory[[#This Row],[Adjusted Land Total]]</f>
        <v>400700</v>
      </c>
      <c r="BS539" s="36">
        <f>IFERROR((Inventory[[#This Row],[Adjusted Impr Total]]-Inventory[[#This Row],[24Bldg]])/Inventory[[#This Row],[24Bldg]],0)</f>
        <v>6.3928350833848055E-2</v>
      </c>
      <c r="BT539" s="36">
        <f>(Inventory[[#This Row],[Adjusted Land Total]]-Inventory[[#This Row],[24Lnd]])/Inventory[[#This Row],[24Lnd]]</f>
        <v>-0.30445544554455445</v>
      </c>
      <c r="BU539" s="36">
        <f>(Inventory[[#This Row],[Adjusted Total]]-Inventory[[#This Row],[24Final]])/Inventory[[#This Row],[24Final]]</f>
        <v>-9.6391497775580818E-3</v>
      </c>
    </row>
    <row r="540" spans="1:73" x14ac:dyDescent="0.3">
      <c r="A540" s="25">
        <v>2025</v>
      </c>
      <c r="B540" s="26" t="s">
        <v>1489</v>
      </c>
      <c r="C540" s="26">
        <f>LN(Inventory[[#This Row],[Acres]])</f>
        <v>-1.4696759700589417</v>
      </c>
      <c r="D540" s="25">
        <v>0.23</v>
      </c>
      <c r="E540" s="32">
        <v>10175</v>
      </c>
      <c r="F540" s="26" t="s">
        <v>537</v>
      </c>
      <c r="G540" s="26" t="s">
        <v>126</v>
      </c>
      <c r="H540" s="26" t="s">
        <v>349</v>
      </c>
      <c r="I540" s="26" t="s">
        <v>538</v>
      </c>
      <c r="J540" s="26" t="s">
        <v>539</v>
      </c>
      <c r="K540" s="26" t="s">
        <v>241</v>
      </c>
      <c r="L540" s="26" t="s">
        <v>95</v>
      </c>
      <c r="M540" s="26" t="s">
        <v>303</v>
      </c>
      <c r="N540" s="26">
        <v>70</v>
      </c>
      <c r="O540" s="26">
        <f>2024-Inventory[[#This Row],[YrBlt]]</f>
        <v>66</v>
      </c>
      <c r="P540" s="26">
        <f>2024-Inventory[[#This Row],[EffYr]]</f>
        <v>50</v>
      </c>
      <c r="Q540" s="25">
        <v>1958</v>
      </c>
      <c r="R540" s="25">
        <v>1974</v>
      </c>
      <c r="S540" s="25">
        <v>1194</v>
      </c>
      <c r="T540" s="27"/>
      <c r="U540" s="25">
        <v>1194</v>
      </c>
      <c r="V540" s="32">
        <f>Inventory[[#This Row],[Bsmt]]-Inventory[[#This Row],[FnBsmt]]</f>
        <v>0</v>
      </c>
      <c r="W540" s="32">
        <v>1194</v>
      </c>
      <c r="X540" s="27"/>
      <c r="Y540" s="27">
        <f>Inventory[[#This Row],[MainFn]]+Inventory[[#This Row],[UpprFn]]+Inventory[[#This Row],[FnBsmt]]+Inventory[[#This Row],[AddFn]]</f>
        <v>2388</v>
      </c>
      <c r="Z540" s="27">
        <v>2500</v>
      </c>
      <c r="AA540" s="25">
        <v>8</v>
      </c>
      <c r="AB540" s="32">
        <v>300</v>
      </c>
      <c r="AC540" s="27"/>
      <c r="AD540" s="32">
        <v>180</v>
      </c>
      <c r="AE540" s="27"/>
      <c r="AF540" s="27"/>
      <c r="AG540" s="27"/>
      <c r="AH540" s="27"/>
      <c r="AI540" s="25">
        <v>469375</v>
      </c>
      <c r="AJ540" s="25">
        <v>342644</v>
      </c>
      <c r="AK540" s="25">
        <v>0</v>
      </c>
      <c r="AL540" s="25">
        <v>438000</v>
      </c>
      <c r="AM540" s="25">
        <v>63300</v>
      </c>
      <c r="AN540" s="25">
        <v>374700</v>
      </c>
      <c r="AO540" s="25">
        <v>0</v>
      </c>
      <c r="AP540" s="25">
        <f>Lookups!$B$56*0</f>
        <v>0</v>
      </c>
      <c r="AQ540" s="25">
        <f>Lookups!$B$56*1</f>
        <v>89850.625589999996</v>
      </c>
      <c r="AR540" s="25">
        <f>Lookups!$B$57*Inventory[[#This Row],[LnAcres]]</f>
        <v>-46522.028095997222</v>
      </c>
      <c r="AS540" s="25">
        <f>VLOOKUP(Inventory[[#This Row],[Qlty]],Lookups!$A$62:$E$75,2,FALSE)</f>
        <v>74268.409664999999</v>
      </c>
      <c r="AT540" s="25">
        <f>VLOOKUP(Inventory[[#This Row],[Cnd]],Lookups!$A$76:$E$84,2,FALSE)</f>
        <v>197752.34721000001</v>
      </c>
      <c r="AU540" s="25">
        <f>Inventory[[#This Row],[EffAge]]*Lookups!$B$85</f>
        <v>-11152.280025</v>
      </c>
      <c r="AV540" s="25">
        <f>Inventory[[#This Row],[MainFn]]*Lookups!$B$86</f>
        <v>58993.951833138002</v>
      </c>
      <c r="AW540" s="25">
        <f>Inventory[[#This Row],[UpprFn]]*Lookups!$B$87</f>
        <v>0</v>
      </c>
      <c r="AX540" s="25">
        <f>Inventory[[#This Row],[AddFn]]*Lookups!$B$88</f>
        <v>0</v>
      </c>
      <c r="AY540" s="25">
        <f>Inventory[[#This Row],[Bsmt]]*Lookups!$B$89</f>
        <v>34723.782924917999</v>
      </c>
      <c r="AZ540" s="25">
        <f>Inventory[[#This Row],[Fixtures]]*Lookups!$B$90</f>
        <v>30336.176841600001</v>
      </c>
      <c r="BA540" s="25">
        <f>Inventory[[#This Row],[WdDeck]]*Lookups!$B$91</f>
        <v>5993.1927496800008</v>
      </c>
      <c r="BB540" s="25">
        <f>ROUND(Inventory[[#This Row],[25Det]],-2)</f>
        <v>0</v>
      </c>
      <c r="BC540" s="25">
        <f>ROUND(SUM(Inventory[[#This Row],[Mdl Qlty]:[Mdl WdDeck]])+Inventory[[#This Row],[Mdl Res Intercept]],-2)</f>
        <v>390900</v>
      </c>
      <c r="BD540" s="25">
        <f>ROUND(Inventory[[#This Row],[Mdl Land Intercept]]+Inventory[[#This Row],[Mdl LnAcres]],-2)</f>
        <v>43300</v>
      </c>
      <c r="BE540" s="25">
        <f>Inventory[[#This Row],[Unadj Res Value]]+Inventory[[#This Row],[Unadj Det Value]]+Inventory[[#This Row],[Unadj Land Value]]</f>
        <v>434200</v>
      </c>
      <c r="BF540" s="36">
        <f>(Inventory[[#This Row],[Unadj Total Value]]-Inventory[[#This Row],[24Final]])/Inventory[[#This Row],[24Final]]</f>
        <v>-8.6757990867579911E-3</v>
      </c>
      <c r="BG540" s="25">
        <f>VLOOKUP(Inventory[[#This Row],[Nbhd]],Lookups!$Q$2:$T$4,4,FALSE)</f>
        <v>0.99970000000000003</v>
      </c>
      <c r="BH540" s="25">
        <f>VLOOKUP(Inventory[[#This Row],[Qlty]],Lookups!$O$7:$R$21,4,FALSE)</f>
        <v>0.98380000000000001</v>
      </c>
      <c r="BI540" s="25">
        <f>VLOOKUP(Inventory[[#This Row],[Cnd]],Lookups!$T$7:$W$16,4,FALSE)</f>
        <v>0.99650000000000005</v>
      </c>
      <c r="BJ540" s="25">
        <f>VLOOKUP(Inventory[[#This Row],[LivArea Range]],Lookups!$T$25:$W$37,4,FALSE)</f>
        <v>0.98919999999999997</v>
      </c>
      <c r="BK540" s="25">
        <f>VLOOKUP(Inventory[[#This Row],[Decade]],Lookups!$O$25:$R$42,4,FALSE)</f>
        <v>1.0199</v>
      </c>
      <c r="BL540" s="25">
        <f>Inventory[[#This Row],[Nbhd Adj]]*0.95</f>
        <v>0.94971499999999998</v>
      </c>
      <c r="BM540" s="25">
        <f>Inventory[[#This Row],[Nbhd Adj]]*Inventory[[#This Row],[Quality Adj]]*Inventory[[#This Row],[Condition Adj]]*Inventory[[#This Row],[Living Area Adj]]*Inventory[[#This Row],[Decade Adj]]*0.95</f>
        <v>0.93933200115703741</v>
      </c>
      <c r="BN540" s="25">
        <f>ROUND(SUM(Inventory[[#This Row],[Mdl Qlty]:[Mdl WdDeck]])+Inventory[[#This Row],[Mdl Res Intercept]]*Inventory[[#This Row],[Res Adj ]],-2)</f>
        <v>390900</v>
      </c>
      <c r="BO540" s="25">
        <f>ROUND(Inventory[[#This Row],[25Det]]*Inventory[[#This Row],[Det/Nbhd Adj]],-2)</f>
        <v>0</v>
      </c>
      <c r="BP540" s="25">
        <f>Inventory[[#This Row],[Adjusted Res]]+Inventory[[#This Row],[Adj Det ]]</f>
        <v>390900</v>
      </c>
      <c r="BQ540" s="25">
        <f>ROUND((Inventory[[#This Row],[Mdl Land Intercept]]+Inventory[[#This Row],[Mdl LnAcres]])*Inventory[[#This Row],[Det/Nbhd Adj]],-2)</f>
        <v>41100</v>
      </c>
      <c r="BR540" s="25">
        <f>Inventory[[#This Row],[Adjusted Impr Total]]+Inventory[[#This Row],[Adjusted Land Total]]</f>
        <v>432000</v>
      </c>
      <c r="BS540" s="36">
        <f>IFERROR((Inventory[[#This Row],[Adjusted Impr Total]]-Inventory[[#This Row],[24Bldg]])/Inventory[[#This Row],[24Bldg]],0)</f>
        <v>4.3234587670136111E-2</v>
      </c>
      <c r="BT540" s="36">
        <f>(Inventory[[#This Row],[Adjusted Land Total]]-Inventory[[#This Row],[24Lnd]])/Inventory[[#This Row],[24Lnd]]</f>
        <v>-0.35071090047393366</v>
      </c>
      <c r="BU540" s="36">
        <f>(Inventory[[#This Row],[Adjusted Total]]-Inventory[[#This Row],[24Final]])/Inventory[[#This Row],[24Final]]</f>
        <v>-1.3698630136986301E-2</v>
      </c>
    </row>
    <row r="541" spans="1:73" x14ac:dyDescent="0.3">
      <c r="A541" s="25">
        <v>2025</v>
      </c>
      <c r="B541" s="26" t="s">
        <v>2801</v>
      </c>
      <c r="C541" s="26">
        <f>LN(Inventory[[#This Row],[Acres]])</f>
        <v>-1.8971199848858813</v>
      </c>
      <c r="D541" s="25">
        <v>0.15</v>
      </c>
      <c r="E541" s="31"/>
      <c r="F541" s="26" t="s">
        <v>537</v>
      </c>
      <c r="G541" s="26" t="s">
        <v>126</v>
      </c>
      <c r="H541" s="26" t="s">
        <v>349</v>
      </c>
      <c r="I541" s="26" t="s">
        <v>538</v>
      </c>
      <c r="J541" s="26" t="s">
        <v>539</v>
      </c>
      <c r="K541" s="26" t="s">
        <v>241</v>
      </c>
      <c r="L541" s="26" t="s">
        <v>351</v>
      </c>
      <c r="M541" s="26" t="s">
        <v>323</v>
      </c>
      <c r="N541" s="26">
        <v>70</v>
      </c>
      <c r="O541" s="26">
        <f>2024-Inventory[[#This Row],[YrBlt]]</f>
        <v>66</v>
      </c>
      <c r="P541" s="26">
        <f>2024-Inventory[[#This Row],[EffYr]]</f>
        <v>50</v>
      </c>
      <c r="Q541" s="25">
        <v>1958</v>
      </c>
      <c r="R541" s="25">
        <v>1974</v>
      </c>
      <c r="S541" s="25">
        <v>1220</v>
      </c>
      <c r="T541" s="27"/>
      <c r="U541" s="25">
        <v>1220</v>
      </c>
      <c r="V541" s="25">
        <f>Inventory[[#This Row],[Bsmt]]-Inventory[[#This Row],[FnBsmt]]</f>
        <v>0</v>
      </c>
      <c r="W541" s="25">
        <v>1220</v>
      </c>
      <c r="X541" s="27"/>
      <c r="Y541" s="27">
        <f>Inventory[[#This Row],[MainFn]]+Inventory[[#This Row],[UpprFn]]+Inventory[[#This Row],[FnBsmt]]+Inventory[[#This Row],[AddFn]]</f>
        <v>2440</v>
      </c>
      <c r="Z541" s="27">
        <v>2500</v>
      </c>
      <c r="AA541" s="25">
        <v>8</v>
      </c>
      <c r="AB541" s="32">
        <v>378</v>
      </c>
      <c r="AC541" s="27"/>
      <c r="AD541" s="27"/>
      <c r="AE541" s="27"/>
      <c r="AF541" s="27"/>
      <c r="AG541" s="27"/>
      <c r="AH541" s="27"/>
      <c r="AI541" s="25">
        <v>326163</v>
      </c>
      <c r="AJ541" s="25">
        <v>228314</v>
      </c>
      <c r="AK541" s="25">
        <v>0</v>
      </c>
      <c r="AL541" s="25">
        <v>330700</v>
      </c>
      <c r="AM541" s="25">
        <v>48400</v>
      </c>
      <c r="AN541" s="25">
        <v>282300</v>
      </c>
      <c r="AO541" s="25">
        <v>0</v>
      </c>
      <c r="AP541" s="25">
        <f>Lookups!$B$56*0</f>
        <v>0</v>
      </c>
      <c r="AQ541" s="25">
        <f>Lookups!$B$56*1</f>
        <v>89850.625589999996</v>
      </c>
      <c r="AR541" s="25">
        <f>Lookups!$B$57*Inventory[[#This Row],[LnAcres]]</f>
        <v>-60052.604136134301</v>
      </c>
      <c r="AS541" s="25">
        <f>VLOOKUP(Inventory[[#This Row],[Qlty]],Lookups!$A$62:$E$75,2,FALSE)</f>
        <v>21557.329055999999</v>
      </c>
      <c r="AT541" s="25">
        <f>VLOOKUP(Inventory[[#This Row],[Cnd]],Lookups!$A$76:$E$84,2,FALSE)</f>
        <v>160472.20319</v>
      </c>
      <c r="AU541" s="25">
        <f>Inventory[[#This Row],[EffAge]]*Lookups!$B$85</f>
        <v>-11152.280025</v>
      </c>
      <c r="AV541" s="25">
        <f>Inventory[[#This Row],[MainFn]]*Lookups!$B$86</f>
        <v>60278.577249940005</v>
      </c>
      <c r="AW541" s="25">
        <f>Inventory[[#This Row],[UpprFn]]*Lookups!$B$87</f>
        <v>0</v>
      </c>
      <c r="AX541" s="25">
        <f>Inventory[[#This Row],[AddFn]]*Lookups!$B$88</f>
        <v>0</v>
      </c>
      <c r="AY541" s="25">
        <f>Inventory[[#This Row],[Bsmt]]*Lookups!$B$89</f>
        <v>35479.912201339997</v>
      </c>
      <c r="AZ541" s="25">
        <f>Inventory[[#This Row],[Fixtures]]*Lookups!$B$90</f>
        <v>30336.176841600001</v>
      </c>
      <c r="BA541" s="25">
        <f>Inventory[[#This Row],[WdDeck]]*Lookups!$B$91</f>
        <v>0</v>
      </c>
      <c r="BB541" s="25">
        <f>ROUND(Inventory[[#This Row],[25Det]],-2)</f>
        <v>0</v>
      </c>
      <c r="BC541" s="25">
        <f>ROUND(SUM(Inventory[[#This Row],[Mdl Qlty]:[Mdl WdDeck]])+Inventory[[#This Row],[Mdl Res Intercept]],-2)</f>
        <v>297000</v>
      </c>
      <c r="BD541" s="25">
        <f>ROUND(Inventory[[#This Row],[Mdl Land Intercept]]+Inventory[[#This Row],[Mdl LnAcres]],-2)</f>
        <v>29800</v>
      </c>
      <c r="BE541" s="25">
        <f>Inventory[[#This Row],[Unadj Res Value]]+Inventory[[#This Row],[Unadj Det Value]]+Inventory[[#This Row],[Unadj Land Value]]</f>
        <v>326800</v>
      </c>
      <c r="BF541" s="36">
        <f>(Inventory[[#This Row],[Unadj Total Value]]-Inventory[[#This Row],[24Final]])/Inventory[[#This Row],[24Final]]</f>
        <v>-1.1793166011490778E-2</v>
      </c>
      <c r="BG541" s="25">
        <f>VLOOKUP(Inventory[[#This Row],[Nbhd]],Lookups!$Q$2:$T$4,4,FALSE)</f>
        <v>0.99970000000000003</v>
      </c>
      <c r="BH541" s="25">
        <f>VLOOKUP(Inventory[[#This Row],[Qlty]],Lookups!$O$7:$R$21,4,FALSE)</f>
        <v>1.0067999999999999</v>
      </c>
      <c r="BI541" s="25">
        <f>VLOOKUP(Inventory[[#This Row],[Cnd]],Lookups!$T$7:$W$16,4,FALSE)</f>
        <v>0.99729999999999996</v>
      </c>
      <c r="BJ541" s="25">
        <f>VLOOKUP(Inventory[[#This Row],[LivArea Range]],Lookups!$T$25:$W$37,4,FALSE)</f>
        <v>0.98919999999999997</v>
      </c>
      <c r="BK541" s="25">
        <f>VLOOKUP(Inventory[[#This Row],[Decade]],Lookups!$O$25:$R$42,4,FALSE)</f>
        <v>1.0199</v>
      </c>
      <c r="BL541" s="25">
        <f>Inventory[[#This Row],[Nbhd Adj]]*0.95</f>
        <v>0.94971499999999998</v>
      </c>
      <c r="BM541" s="25">
        <f>Inventory[[#This Row],[Nbhd Adj]]*Inventory[[#This Row],[Quality Adj]]*Inventory[[#This Row],[Condition Adj]]*Inventory[[#This Row],[Living Area Adj]]*Inventory[[#This Row],[Decade Adj]]*0.95</f>
        <v>0.9620641305621106</v>
      </c>
      <c r="BN541" s="25">
        <f>ROUND(SUM(Inventory[[#This Row],[Mdl Qlty]:[Mdl WdDeck]])+Inventory[[#This Row],[Mdl Res Intercept]]*Inventory[[#This Row],[Res Adj ]],-2)</f>
        <v>297000</v>
      </c>
      <c r="BO541" s="25">
        <f>ROUND(Inventory[[#This Row],[25Det]]*Inventory[[#This Row],[Det/Nbhd Adj]],-2)</f>
        <v>0</v>
      </c>
      <c r="BP541" s="25">
        <f>Inventory[[#This Row],[Adjusted Res]]+Inventory[[#This Row],[Adj Det ]]</f>
        <v>297000</v>
      </c>
      <c r="BQ541" s="25">
        <f>ROUND((Inventory[[#This Row],[Mdl Land Intercept]]+Inventory[[#This Row],[Mdl LnAcres]])*Inventory[[#This Row],[Det/Nbhd Adj]],-2)</f>
        <v>28300</v>
      </c>
      <c r="BR541" s="25">
        <f>Inventory[[#This Row],[Adjusted Impr Total]]+Inventory[[#This Row],[Adjusted Land Total]]</f>
        <v>325300</v>
      </c>
      <c r="BS541" s="36">
        <f>IFERROR((Inventory[[#This Row],[Adjusted Impr Total]]-Inventory[[#This Row],[24Bldg]])/Inventory[[#This Row],[24Bldg]],0)</f>
        <v>5.2072263549415514E-2</v>
      </c>
      <c r="BT541" s="36">
        <f>(Inventory[[#This Row],[Adjusted Land Total]]-Inventory[[#This Row],[24Lnd]])/Inventory[[#This Row],[24Lnd]]</f>
        <v>-0.41528925619834711</v>
      </c>
      <c r="BU541" s="36">
        <f>(Inventory[[#This Row],[Adjusted Total]]-Inventory[[#This Row],[24Final]])/Inventory[[#This Row],[24Final]]</f>
        <v>-1.6328999092833384E-2</v>
      </c>
    </row>
    <row r="542" spans="1:73" x14ac:dyDescent="0.3">
      <c r="A542" s="25">
        <v>2025</v>
      </c>
      <c r="B542" s="26" t="s">
        <v>1742</v>
      </c>
      <c r="C542" s="26">
        <f>LN(Inventory[[#This Row],[Acres]])</f>
        <v>-1.0788096613719298</v>
      </c>
      <c r="D542" s="25">
        <v>0.34</v>
      </c>
      <c r="E542" s="27"/>
      <c r="F542" s="26" t="s">
        <v>537</v>
      </c>
      <c r="G542" s="26" t="s">
        <v>126</v>
      </c>
      <c r="H542" s="26" t="s">
        <v>349</v>
      </c>
      <c r="I542" s="26" t="s">
        <v>538</v>
      </c>
      <c r="J542" s="26" t="s">
        <v>539</v>
      </c>
      <c r="K542" s="26" t="s">
        <v>5</v>
      </c>
      <c r="L542" s="26" t="s">
        <v>205</v>
      </c>
      <c r="M542" s="26" t="s">
        <v>206</v>
      </c>
      <c r="N542" s="26">
        <v>70</v>
      </c>
      <c r="O542" s="26">
        <f>2024-Inventory[[#This Row],[YrBlt]]</f>
        <v>66</v>
      </c>
      <c r="P542" s="26">
        <f>2024-Inventory[[#This Row],[EffYr]]</f>
        <v>50</v>
      </c>
      <c r="Q542" s="25">
        <v>1958</v>
      </c>
      <c r="R542" s="25">
        <v>1974</v>
      </c>
      <c r="S542" s="25">
        <v>1456</v>
      </c>
      <c r="T542" s="27"/>
      <c r="U542" s="25">
        <v>1064</v>
      </c>
      <c r="V542" s="25">
        <f>Inventory[[#This Row],[Bsmt]]-Inventory[[#This Row],[FnBsmt]]</f>
        <v>0</v>
      </c>
      <c r="W542" s="25">
        <v>1064</v>
      </c>
      <c r="X542" s="27"/>
      <c r="Y542" s="27">
        <f>Inventory[[#This Row],[MainFn]]+Inventory[[#This Row],[UpprFn]]+Inventory[[#This Row],[FnBsmt]]+Inventory[[#This Row],[AddFn]]</f>
        <v>2520</v>
      </c>
      <c r="Z542" s="27">
        <v>3000</v>
      </c>
      <c r="AA542" s="25">
        <v>10</v>
      </c>
      <c r="AB542" s="27"/>
      <c r="AC542" s="32">
        <v>392</v>
      </c>
      <c r="AD542" s="27"/>
      <c r="AE542" s="27"/>
      <c r="AF542" s="27"/>
      <c r="AG542" s="27"/>
      <c r="AH542" s="27"/>
      <c r="AI542" s="25">
        <v>320708</v>
      </c>
      <c r="AJ542" s="25">
        <v>221289</v>
      </c>
      <c r="AK542" s="25">
        <v>0</v>
      </c>
      <c r="AL542" s="25">
        <v>325000</v>
      </c>
      <c r="AM542" s="25">
        <v>76900</v>
      </c>
      <c r="AN542" s="25">
        <v>248100</v>
      </c>
      <c r="AO542" s="25">
        <v>0</v>
      </c>
      <c r="AP542" s="25">
        <f>Lookups!$B$56*0</f>
        <v>0</v>
      </c>
      <c r="AQ542" s="25">
        <f>Lookups!$B$56*1</f>
        <v>89850.625589999996</v>
      </c>
      <c r="AR542" s="25">
        <f>Lookups!$B$57*Inventory[[#This Row],[LnAcres]]</f>
        <v>-34149.305288406773</v>
      </c>
      <c r="AS542" s="25">
        <f>VLOOKUP(Inventory[[#This Row],[Qlty]],Lookups!$A$62:$E$75,2,FALSE)</f>
        <v>0</v>
      </c>
      <c r="AT542" s="25">
        <f>VLOOKUP(Inventory[[#This Row],[Cnd]],Lookups!$A$76:$E$84,2,FALSE)</f>
        <v>133714.53821</v>
      </c>
      <c r="AU542" s="25">
        <f>Inventory[[#This Row],[EffAge]]*Lookups!$B$85</f>
        <v>-11152.280025</v>
      </c>
      <c r="AV542" s="25">
        <f>Inventory[[#This Row],[MainFn]]*Lookups!$B$86</f>
        <v>71939.023340911997</v>
      </c>
      <c r="AW542" s="25">
        <f>Inventory[[#This Row],[UpprFn]]*Lookups!$B$87</f>
        <v>0</v>
      </c>
      <c r="AX542" s="25">
        <f>Inventory[[#This Row],[AddFn]]*Lookups!$B$88</f>
        <v>0</v>
      </c>
      <c r="AY542" s="25">
        <f>Inventory[[#This Row],[Bsmt]]*Lookups!$B$89</f>
        <v>30943.136542807999</v>
      </c>
      <c r="AZ542" s="25">
        <f>Inventory[[#This Row],[Fixtures]]*Lookups!$B$90</f>
        <v>37920.221052000001</v>
      </c>
      <c r="BA542" s="25">
        <f>Inventory[[#This Row],[WdDeck]]*Lookups!$B$91</f>
        <v>0</v>
      </c>
      <c r="BB542" s="25">
        <f>ROUND(Inventory[[#This Row],[25Det]],-2)</f>
        <v>0</v>
      </c>
      <c r="BC542" s="25">
        <f>ROUND(SUM(Inventory[[#This Row],[Mdl Qlty]:[Mdl WdDeck]])+Inventory[[#This Row],[Mdl Res Intercept]],-2)</f>
        <v>263400</v>
      </c>
      <c r="BD542" s="25">
        <f>ROUND(Inventory[[#This Row],[Mdl Land Intercept]]+Inventory[[#This Row],[Mdl LnAcres]],-2)</f>
        <v>55700</v>
      </c>
      <c r="BE542" s="25">
        <f>Inventory[[#This Row],[Unadj Res Value]]+Inventory[[#This Row],[Unadj Det Value]]+Inventory[[#This Row],[Unadj Land Value]]</f>
        <v>319100</v>
      </c>
      <c r="BF542" s="36">
        <f>(Inventory[[#This Row],[Unadj Total Value]]-Inventory[[#This Row],[24Final]])/Inventory[[#This Row],[24Final]]</f>
        <v>-1.8153846153846152E-2</v>
      </c>
      <c r="BG542" s="25">
        <f>VLOOKUP(Inventory[[#This Row],[Nbhd]],Lookups!$Q$2:$T$4,4,FALSE)</f>
        <v>0.99970000000000003</v>
      </c>
      <c r="BH542" s="25">
        <f>VLOOKUP(Inventory[[#This Row],[Qlty]],Lookups!$O$7:$R$21,4,FALSE)</f>
        <v>0.99180000000000001</v>
      </c>
      <c r="BI542" s="25">
        <f>VLOOKUP(Inventory[[#This Row],[Cnd]],Lookups!$T$7:$W$16,4,FALSE)</f>
        <v>0.99329999999999996</v>
      </c>
      <c r="BJ542" s="25">
        <f>VLOOKUP(Inventory[[#This Row],[LivArea Range]],Lookups!$T$25:$W$37,4,FALSE)</f>
        <v>0.96179999999999999</v>
      </c>
      <c r="BK542" s="25">
        <f>VLOOKUP(Inventory[[#This Row],[Decade]],Lookups!$O$25:$R$42,4,FALSE)</f>
        <v>1.0199</v>
      </c>
      <c r="BL542" s="25">
        <f>Inventory[[#This Row],[Nbhd Adj]]*0.95</f>
        <v>0.94971499999999998</v>
      </c>
      <c r="BM542" s="25">
        <f>Inventory[[#This Row],[Nbhd Adj]]*Inventory[[#This Row],[Quality Adj]]*Inventory[[#This Row],[Condition Adj]]*Inventory[[#This Row],[Living Area Adj]]*Inventory[[#This Row],[Decade Adj]]*0.95</f>
        <v>0.91778340639271327</v>
      </c>
      <c r="BN542" s="25">
        <f>ROUND(SUM(Inventory[[#This Row],[Mdl Qlty]:[Mdl WdDeck]])+Inventory[[#This Row],[Mdl Res Intercept]]*Inventory[[#This Row],[Res Adj ]],-2)</f>
        <v>263400</v>
      </c>
      <c r="BO542" s="25">
        <f>ROUND(Inventory[[#This Row],[25Det]]*Inventory[[#This Row],[Det/Nbhd Adj]],-2)</f>
        <v>0</v>
      </c>
      <c r="BP542" s="25">
        <f>Inventory[[#This Row],[Adjusted Res]]+Inventory[[#This Row],[Adj Det ]]</f>
        <v>263400</v>
      </c>
      <c r="BQ542" s="25">
        <f>ROUND((Inventory[[#This Row],[Mdl Land Intercept]]+Inventory[[#This Row],[Mdl LnAcres]])*Inventory[[#This Row],[Det/Nbhd Adj]],-2)</f>
        <v>52900</v>
      </c>
      <c r="BR542" s="25">
        <f>Inventory[[#This Row],[Adjusted Impr Total]]+Inventory[[#This Row],[Adjusted Land Total]]</f>
        <v>316300</v>
      </c>
      <c r="BS542" s="36">
        <f>IFERROR((Inventory[[#This Row],[Adjusted Impr Total]]-Inventory[[#This Row],[24Bldg]])/Inventory[[#This Row],[24Bldg]],0)</f>
        <v>6.1668681983071343E-2</v>
      </c>
      <c r="BT542" s="36">
        <f>(Inventory[[#This Row],[Adjusted Land Total]]-Inventory[[#This Row],[24Lnd]])/Inventory[[#This Row],[24Lnd]]</f>
        <v>-0.31209362808842656</v>
      </c>
      <c r="BU542" s="36">
        <f>(Inventory[[#This Row],[Adjusted Total]]-Inventory[[#This Row],[24Final]])/Inventory[[#This Row],[24Final]]</f>
        <v>-2.6769230769230771E-2</v>
      </c>
    </row>
    <row r="543" spans="1:73" x14ac:dyDescent="0.3">
      <c r="A543" s="25">
        <v>2025</v>
      </c>
      <c r="B543" s="26" t="s">
        <v>970</v>
      </c>
      <c r="C543" s="26">
        <f>LN(Inventory[[#This Row],[Acres]])</f>
        <v>-2.120263536200091</v>
      </c>
      <c r="D543" s="25">
        <v>0.12</v>
      </c>
      <c r="E543" s="32">
        <v>5360</v>
      </c>
      <c r="F543" s="26" t="s">
        <v>537</v>
      </c>
      <c r="G543" s="26" t="s">
        <v>126</v>
      </c>
      <c r="H543" s="26" t="s">
        <v>349</v>
      </c>
      <c r="I543" s="26" t="s">
        <v>538</v>
      </c>
      <c r="J543" s="26" t="s">
        <v>539</v>
      </c>
      <c r="K543" s="26" t="s">
        <v>242</v>
      </c>
      <c r="L543" s="26" t="s">
        <v>31</v>
      </c>
      <c r="M543" s="26" t="s">
        <v>323</v>
      </c>
      <c r="N543" s="26">
        <v>70</v>
      </c>
      <c r="O543" s="26">
        <f>2024-Inventory[[#This Row],[YrBlt]]</f>
        <v>66</v>
      </c>
      <c r="P543" s="26">
        <f>2024-Inventory[[#This Row],[EffYr]]</f>
        <v>50</v>
      </c>
      <c r="Q543" s="25">
        <v>1958</v>
      </c>
      <c r="R543" s="25">
        <v>1974</v>
      </c>
      <c r="S543" s="25">
        <v>1280</v>
      </c>
      <c r="T543" s="31"/>
      <c r="U543" s="31"/>
      <c r="V543" s="31">
        <f>Inventory[[#This Row],[Bsmt]]-Inventory[[#This Row],[FnBsmt]]</f>
        <v>0</v>
      </c>
      <c r="W543" s="31"/>
      <c r="X543" s="27"/>
      <c r="Y543" s="27">
        <f>Inventory[[#This Row],[MainFn]]+Inventory[[#This Row],[UpprFn]]+Inventory[[#This Row],[FnBsmt]]+Inventory[[#This Row],[AddFn]]</f>
        <v>1280</v>
      </c>
      <c r="Z543" s="27">
        <v>1500</v>
      </c>
      <c r="AA543" s="25">
        <v>5</v>
      </c>
      <c r="AB543" s="27"/>
      <c r="AC543" s="27"/>
      <c r="AD543" s="27"/>
      <c r="AE543" s="27"/>
      <c r="AF543" s="27"/>
      <c r="AG543" s="27"/>
      <c r="AH543" s="27"/>
      <c r="AI543" s="25">
        <v>166578</v>
      </c>
      <c r="AJ543" s="25">
        <v>116605</v>
      </c>
      <c r="AK543" s="25">
        <v>0</v>
      </c>
      <c r="AL543" s="25">
        <v>237500</v>
      </c>
      <c r="AM543" s="25">
        <v>40600</v>
      </c>
      <c r="AN543" s="25">
        <v>196900</v>
      </c>
      <c r="AO543" s="25">
        <v>0</v>
      </c>
      <c r="AP543" s="25">
        <f>Lookups!$B$56*0</f>
        <v>0</v>
      </c>
      <c r="AQ543" s="25">
        <f>Lookups!$B$56*1</f>
        <v>89850.625589999996</v>
      </c>
      <c r="AR543" s="25">
        <f>Lookups!$B$57*Inventory[[#This Row],[LnAcres]]</f>
        <v>-67116.12750806773</v>
      </c>
      <c r="AS543" s="25">
        <f>VLOOKUP(Inventory[[#This Row],[Qlty]],Lookups!$A$62:$E$75,2,FALSE)</f>
        <v>-43578.886190266698</v>
      </c>
      <c r="AT543" s="25">
        <f>VLOOKUP(Inventory[[#This Row],[Cnd]],Lookups!$A$76:$E$84,2,FALSE)</f>
        <v>160472.20319</v>
      </c>
      <c r="AU543" s="25">
        <f>Inventory[[#This Row],[EffAge]]*Lookups!$B$85</f>
        <v>-11152.280025</v>
      </c>
      <c r="AV543" s="25">
        <f>Inventory[[#This Row],[MainFn]]*Lookups!$B$86</f>
        <v>63243.09744256</v>
      </c>
      <c r="AW543" s="25">
        <f>Inventory[[#This Row],[UpprFn]]*Lookups!$B$87</f>
        <v>0</v>
      </c>
      <c r="AX543" s="25">
        <f>Inventory[[#This Row],[AddFn]]*Lookups!$B$88</f>
        <v>0</v>
      </c>
      <c r="AY543" s="25">
        <f>Inventory[[#This Row],[Bsmt]]*Lookups!$B$89</f>
        <v>0</v>
      </c>
      <c r="AZ543" s="25">
        <f>Inventory[[#This Row],[Fixtures]]*Lookups!$B$90</f>
        <v>18960.110526</v>
      </c>
      <c r="BA543" s="25">
        <f>Inventory[[#This Row],[WdDeck]]*Lookups!$B$91</f>
        <v>0</v>
      </c>
      <c r="BB543" s="25">
        <f>ROUND(Inventory[[#This Row],[25Det]],-2)</f>
        <v>0</v>
      </c>
      <c r="BC543" s="25">
        <f>ROUND(SUM(Inventory[[#This Row],[Mdl Qlty]:[Mdl WdDeck]])+Inventory[[#This Row],[Mdl Res Intercept]],-2)</f>
        <v>187900</v>
      </c>
      <c r="BD543" s="25">
        <f>ROUND(Inventory[[#This Row],[Mdl Land Intercept]]+Inventory[[#This Row],[Mdl LnAcres]],-2)</f>
        <v>22700</v>
      </c>
      <c r="BE543" s="25">
        <f>Inventory[[#This Row],[Unadj Res Value]]+Inventory[[#This Row],[Unadj Det Value]]+Inventory[[#This Row],[Unadj Land Value]]</f>
        <v>210600</v>
      </c>
      <c r="BF543" s="36">
        <f>(Inventory[[#This Row],[Unadj Total Value]]-Inventory[[#This Row],[24Final]])/Inventory[[#This Row],[24Final]]</f>
        <v>-0.11326315789473684</v>
      </c>
      <c r="BG543" s="25">
        <f>VLOOKUP(Inventory[[#This Row],[Nbhd]],Lookups!$Q$2:$T$4,4,FALSE)</f>
        <v>0.99970000000000003</v>
      </c>
      <c r="BH543" s="25">
        <f>VLOOKUP(Inventory[[#This Row],[Qlty]],Lookups!$O$7:$R$21,4,FALSE)</f>
        <v>1</v>
      </c>
      <c r="BI543" s="25">
        <f>VLOOKUP(Inventory[[#This Row],[Cnd]],Lookups!$T$7:$W$16,4,FALSE)</f>
        <v>0.99729999999999996</v>
      </c>
      <c r="BJ543" s="25">
        <f>VLOOKUP(Inventory[[#This Row],[LivArea Range]],Lookups!$T$25:$W$37,4,FALSE)</f>
        <v>1.0157</v>
      </c>
      <c r="BK543" s="25">
        <f>VLOOKUP(Inventory[[#This Row],[Decade]],Lookups!$O$25:$R$42,4,FALSE)</f>
        <v>1.0199</v>
      </c>
      <c r="BL543" s="25">
        <f>Inventory[[#This Row],[Nbhd Adj]]*0.95</f>
        <v>0.94971499999999998</v>
      </c>
      <c r="BM543" s="25">
        <f>Inventory[[#This Row],[Nbhd Adj]]*Inventory[[#This Row],[Quality Adj]]*Inventory[[#This Row],[Condition Adj]]*Inventory[[#This Row],[Living Area Adj]]*Inventory[[#This Row],[Decade Adj]]*0.95</f>
        <v>0.98116525520911479</v>
      </c>
      <c r="BN543" s="25">
        <f>ROUND(SUM(Inventory[[#This Row],[Mdl Qlty]:[Mdl WdDeck]])+Inventory[[#This Row],[Mdl Res Intercept]]*Inventory[[#This Row],[Res Adj ]],-2)</f>
        <v>187900</v>
      </c>
      <c r="BO543" s="25">
        <f>ROUND(Inventory[[#This Row],[25Det]]*Inventory[[#This Row],[Det/Nbhd Adj]],-2)</f>
        <v>0</v>
      </c>
      <c r="BP543" s="25">
        <f>Inventory[[#This Row],[Adjusted Res]]+Inventory[[#This Row],[Adj Det ]]</f>
        <v>187900</v>
      </c>
      <c r="BQ543" s="25">
        <f>ROUND((Inventory[[#This Row],[Mdl Land Intercept]]+Inventory[[#This Row],[Mdl LnAcres]])*Inventory[[#This Row],[Det/Nbhd Adj]],-2)</f>
        <v>21600</v>
      </c>
      <c r="BR543" s="25">
        <f>Inventory[[#This Row],[Adjusted Impr Total]]+Inventory[[#This Row],[Adjusted Land Total]]</f>
        <v>209500</v>
      </c>
      <c r="BS543" s="36">
        <f>IFERROR((Inventory[[#This Row],[Adjusted Impr Total]]-Inventory[[#This Row],[24Bldg]])/Inventory[[#This Row],[24Bldg]],0)</f>
        <v>-4.5708481462671403E-2</v>
      </c>
      <c r="BT543" s="36">
        <f>(Inventory[[#This Row],[Adjusted Land Total]]-Inventory[[#This Row],[24Lnd]])/Inventory[[#This Row],[24Lnd]]</f>
        <v>-0.46798029556650245</v>
      </c>
      <c r="BU543" s="36">
        <f>(Inventory[[#This Row],[Adjusted Total]]-Inventory[[#This Row],[24Final]])/Inventory[[#This Row],[24Final]]</f>
        <v>-0.11789473684210526</v>
      </c>
    </row>
    <row r="544" spans="1:73" x14ac:dyDescent="0.3">
      <c r="A544" s="25">
        <v>2025</v>
      </c>
      <c r="B544" s="26" t="s">
        <v>2530</v>
      </c>
      <c r="C544" s="26">
        <f>LN(Inventory[[#This Row],[Acres]])</f>
        <v>-1.5606477482646683</v>
      </c>
      <c r="D544" s="25">
        <v>0.21</v>
      </c>
      <c r="E544" s="27"/>
      <c r="F544" s="26" t="s">
        <v>537</v>
      </c>
      <c r="G544" s="26" t="s">
        <v>126</v>
      </c>
      <c r="H544" s="26" t="s">
        <v>349</v>
      </c>
      <c r="I544" s="26" t="s">
        <v>538</v>
      </c>
      <c r="J544" s="26" t="s">
        <v>539</v>
      </c>
      <c r="K544" s="26" t="s">
        <v>241</v>
      </c>
      <c r="L544" s="26" t="s">
        <v>351</v>
      </c>
      <c r="M544" s="26" t="s">
        <v>303</v>
      </c>
      <c r="N544" s="26">
        <v>70</v>
      </c>
      <c r="O544" s="26">
        <f>2024-Inventory[[#This Row],[YrBlt]]</f>
        <v>67</v>
      </c>
      <c r="P544" s="26">
        <f>2024-Inventory[[#This Row],[EffYr]]</f>
        <v>50</v>
      </c>
      <c r="Q544" s="25">
        <v>1957</v>
      </c>
      <c r="R544" s="25">
        <v>1974</v>
      </c>
      <c r="S544" s="25">
        <v>1784</v>
      </c>
      <c r="T544" s="31"/>
      <c r="U544" s="31"/>
      <c r="V544" s="31">
        <f>Inventory[[#This Row],[Bsmt]]-Inventory[[#This Row],[FnBsmt]]</f>
        <v>0</v>
      </c>
      <c r="W544" s="31"/>
      <c r="X544" s="27"/>
      <c r="Y544" s="27">
        <f>Inventory[[#This Row],[MainFn]]+Inventory[[#This Row],[UpprFn]]+Inventory[[#This Row],[FnBsmt]]+Inventory[[#This Row],[AddFn]]</f>
        <v>1784</v>
      </c>
      <c r="Z544" s="27">
        <v>2000</v>
      </c>
      <c r="AA544" s="25">
        <v>5</v>
      </c>
      <c r="AB544" s="27"/>
      <c r="AC544" s="27"/>
      <c r="AD544" s="27"/>
      <c r="AE544" s="27"/>
      <c r="AF544" s="27"/>
      <c r="AG544" s="27"/>
      <c r="AH544" s="27"/>
      <c r="AI544" s="25">
        <v>287000</v>
      </c>
      <c r="AJ544" s="25">
        <v>206640</v>
      </c>
      <c r="AK544" s="25">
        <v>10026</v>
      </c>
      <c r="AL544" s="25">
        <v>337400</v>
      </c>
      <c r="AM544" s="25">
        <v>60100</v>
      </c>
      <c r="AN544" s="25">
        <v>277300</v>
      </c>
      <c r="AO544" s="25">
        <v>0</v>
      </c>
      <c r="AP544" s="25">
        <f>Lookups!$B$56*0</f>
        <v>0</v>
      </c>
      <c r="AQ544" s="25">
        <f>Lookups!$B$56*1</f>
        <v>89850.625589999996</v>
      </c>
      <c r="AR544" s="25">
        <f>Lookups!$B$57*Inventory[[#This Row],[LnAcres]]</f>
        <v>-49401.70477837498</v>
      </c>
      <c r="AS544" s="25">
        <f>VLOOKUP(Inventory[[#This Row],[Qlty]],Lookups!$A$62:$E$75,2,FALSE)</f>
        <v>21557.329055999999</v>
      </c>
      <c r="AT544" s="25">
        <f>VLOOKUP(Inventory[[#This Row],[Cnd]],Lookups!$A$76:$E$84,2,FALSE)</f>
        <v>197752.34721000001</v>
      </c>
      <c r="AU544" s="25">
        <f>Inventory[[#This Row],[EffAge]]*Lookups!$B$85</f>
        <v>-11152.280025</v>
      </c>
      <c r="AV544" s="25">
        <f>Inventory[[#This Row],[MainFn]]*Lookups!$B$86</f>
        <v>88145.067060568006</v>
      </c>
      <c r="AW544" s="25">
        <f>Inventory[[#This Row],[UpprFn]]*Lookups!$B$87</f>
        <v>0</v>
      </c>
      <c r="AX544" s="25">
        <f>Inventory[[#This Row],[AddFn]]*Lookups!$B$88</f>
        <v>0</v>
      </c>
      <c r="AY544" s="25">
        <f>Inventory[[#This Row],[Bsmt]]*Lookups!$B$89</f>
        <v>0</v>
      </c>
      <c r="AZ544" s="25">
        <f>Inventory[[#This Row],[Fixtures]]*Lookups!$B$90</f>
        <v>18960.110526</v>
      </c>
      <c r="BA544" s="25">
        <f>Inventory[[#This Row],[WdDeck]]*Lookups!$B$91</f>
        <v>0</v>
      </c>
      <c r="BB544" s="25">
        <f>ROUND(Inventory[[#This Row],[25Det]],-2)</f>
        <v>10000</v>
      </c>
      <c r="BC544" s="25">
        <f>ROUND(SUM(Inventory[[#This Row],[Mdl Qlty]:[Mdl WdDeck]])+Inventory[[#This Row],[Mdl Res Intercept]],-2)</f>
        <v>315300</v>
      </c>
      <c r="BD544" s="25">
        <f>ROUND(Inventory[[#This Row],[Mdl Land Intercept]]+Inventory[[#This Row],[Mdl LnAcres]],-2)</f>
        <v>40400</v>
      </c>
      <c r="BE544" s="25">
        <f>Inventory[[#This Row],[Unadj Res Value]]+Inventory[[#This Row],[Unadj Det Value]]+Inventory[[#This Row],[Unadj Land Value]]</f>
        <v>365700</v>
      </c>
      <c r="BF544" s="36">
        <f>(Inventory[[#This Row],[Unadj Total Value]]-Inventory[[#This Row],[24Final]])/Inventory[[#This Row],[24Final]]</f>
        <v>8.387670420865441E-2</v>
      </c>
      <c r="BG544" s="25">
        <f>VLOOKUP(Inventory[[#This Row],[Nbhd]],Lookups!$Q$2:$T$4,4,FALSE)</f>
        <v>0.99970000000000003</v>
      </c>
      <c r="BH544" s="25">
        <f>VLOOKUP(Inventory[[#This Row],[Qlty]],Lookups!$O$7:$R$21,4,FALSE)</f>
        <v>1.0067999999999999</v>
      </c>
      <c r="BI544" s="25">
        <f>VLOOKUP(Inventory[[#This Row],[Cnd]],Lookups!$T$7:$W$16,4,FALSE)</f>
        <v>0.99650000000000005</v>
      </c>
      <c r="BJ544" s="25">
        <f>VLOOKUP(Inventory[[#This Row],[LivArea Range]],Lookups!$T$25:$W$37,4,FALSE)</f>
        <v>1.0093000000000001</v>
      </c>
      <c r="BK544" s="25">
        <f>VLOOKUP(Inventory[[#This Row],[Decade]],Lookups!$O$25:$R$42,4,FALSE)</f>
        <v>1.0199</v>
      </c>
      <c r="BL544" s="25">
        <f>Inventory[[#This Row],[Nbhd Adj]]*0.95</f>
        <v>0.94971499999999998</v>
      </c>
      <c r="BM544" s="25">
        <f>Inventory[[#This Row],[Nbhd Adj]]*Inventory[[#This Row],[Quality Adj]]*Inventory[[#This Row],[Condition Adj]]*Inventory[[#This Row],[Living Area Adj]]*Inventory[[#This Row],[Decade Adj]]*0.95</f>
        <v>0.98082532839872782</v>
      </c>
      <c r="BN544" s="25">
        <f>ROUND(SUM(Inventory[[#This Row],[Mdl Qlty]:[Mdl WdDeck]])+Inventory[[#This Row],[Mdl Res Intercept]]*Inventory[[#This Row],[Res Adj ]],-2)</f>
        <v>315300</v>
      </c>
      <c r="BO544" s="25">
        <f>ROUND(Inventory[[#This Row],[25Det]]*Inventory[[#This Row],[Det/Nbhd Adj]],-2)</f>
        <v>9500</v>
      </c>
      <c r="BP544" s="25">
        <f>Inventory[[#This Row],[Adjusted Res]]+Inventory[[#This Row],[Adj Det ]]</f>
        <v>324800</v>
      </c>
      <c r="BQ544" s="25">
        <f>ROUND((Inventory[[#This Row],[Mdl Land Intercept]]+Inventory[[#This Row],[Mdl LnAcres]])*Inventory[[#This Row],[Det/Nbhd Adj]],-2)</f>
        <v>38400</v>
      </c>
      <c r="BR544" s="25">
        <f>Inventory[[#This Row],[Adjusted Impr Total]]+Inventory[[#This Row],[Adjusted Land Total]]</f>
        <v>363200</v>
      </c>
      <c r="BS544" s="36">
        <f>IFERROR((Inventory[[#This Row],[Adjusted Impr Total]]-Inventory[[#This Row],[24Bldg]])/Inventory[[#This Row],[24Bldg]],0)</f>
        <v>0.17129462675802379</v>
      </c>
      <c r="BT544" s="36">
        <f>(Inventory[[#This Row],[Adjusted Land Total]]-Inventory[[#This Row],[24Lnd]])/Inventory[[#This Row],[24Lnd]]</f>
        <v>-0.36106489184692181</v>
      </c>
      <c r="BU544" s="36">
        <f>(Inventory[[#This Row],[Adjusted Total]]-Inventory[[#This Row],[24Final]])/Inventory[[#This Row],[24Final]]</f>
        <v>7.6467101363366929E-2</v>
      </c>
    </row>
    <row r="545" spans="1:73" x14ac:dyDescent="0.3">
      <c r="A545" s="25">
        <v>2025</v>
      </c>
      <c r="B545" s="26" t="s">
        <v>1815</v>
      </c>
      <c r="C545" s="26">
        <f>LN(Inventory[[#This Row],[Acres]])</f>
        <v>-1.1394342831883648</v>
      </c>
      <c r="D545" s="25">
        <v>0.32</v>
      </c>
      <c r="E545" s="32">
        <v>14000</v>
      </c>
      <c r="F545" s="26" t="s">
        <v>537</v>
      </c>
      <c r="G545" s="26" t="s">
        <v>126</v>
      </c>
      <c r="H545" s="26" t="s">
        <v>349</v>
      </c>
      <c r="I545" s="26" t="s">
        <v>538</v>
      </c>
      <c r="J545" s="26" t="s">
        <v>539</v>
      </c>
      <c r="K545" s="26" t="s">
        <v>241</v>
      </c>
      <c r="L545" s="26" t="s">
        <v>148</v>
      </c>
      <c r="M545" s="26" t="s">
        <v>303</v>
      </c>
      <c r="N545" s="26">
        <v>70</v>
      </c>
      <c r="O545" s="26">
        <f>2024-Inventory[[#This Row],[YrBlt]]</f>
        <v>67</v>
      </c>
      <c r="P545" s="26">
        <f>2024-Inventory[[#This Row],[EffYr]]</f>
        <v>50</v>
      </c>
      <c r="Q545" s="25">
        <v>1957</v>
      </c>
      <c r="R545" s="25">
        <v>1974</v>
      </c>
      <c r="S545" s="25">
        <v>1300</v>
      </c>
      <c r="T545" s="27"/>
      <c r="U545" s="31"/>
      <c r="V545" s="31">
        <f>Inventory[[#This Row],[Bsmt]]-Inventory[[#This Row],[FnBsmt]]</f>
        <v>0</v>
      </c>
      <c r="W545" s="31"/>
      <c r="X545" s="27"/>
      <c r="Y545" s="27">
        <f>Inventory[[#This Row],[MainFn]]+Inventory[[#This Row],[UpprFn]]+Inventory[[#This Row],[FnBsmt]]+Inventory[[#This Row],[AddFn]]</f>
        <v>1300</v>
      </c>
      <c r="Z545" s="27">
        <v>1500</v>
      </c>
      <c r="AA545" s="25">
        <v>7</v>
      </c>
      <c r="AB545" s="32">
        <v>672</v>
      </c>
      <c r="AC545" s="27"/>
      <c r="AD545" s="27"/>
      <c r="AE545" s="27"/>
      <c r="AF545" s="27"/>
      <c r="AG545" s="27"/>
      <c r="AH545" s="27"/>
      <c r="AI545" s="25">
        <v>346751</v>
      </c>
      <c r="AJ545" s="25">
        <v>249661</v>
      </c>
      <c r="AK545" s="25">
        <v>0</v>
      </c>
      <c r="AL545" s="25">
        <v>349300</v>
      </c>
      <c r="AM545" s="25">
        <v>74800</v>
      </c>
      <c r="AN545" s="25">
        <v>274500</v>
      </c>
      <c r="AO545" s="25">
        <v>0</v>
      </c>
      <c r="AP545" s="25">
        <f>Lookups!$B$56*0</f>
        <v>0</v>
      </c>
      <c r="AQ545" s="25">
        <f>Lookups!$B$56*1</f>
        <v>89850.625589999996</v>
      </c>
      <c r="AR545" s="25">
        <f>Lookups!$B$57*Inventory[[#This Row],[LnAcres]]</f>
        <v>-36068.354396449467</v>
      </c>
      <c r="AS545" s="25">
        <f>VLOOKUP(Inventory[[#This Row],[Qlty]],Lookups!$A$62:$E$75,2,FALSE)</f>
        <v>44121.038090000002</v>
      </c>
      <c r="AT545" s="25">
        <f>VLOOKUP(Inventory[[#This Row],[Cnd]],Lookups!$A$76:$E$84,2,FALSE)</f>
        <v>197752.34721000001</v>
      </c>
      <c r="AU545" s="25">
        <f>Inventory[[#This Row],[EffAge]]*Lookups!$B$85</f>
        <v>-11152.280025</v>
      </c>
      <c r="AV545" s="25">
        <f>Inventory[[#This Row],[MainFn]]*Lookups!$B$86</f>
        <v>64231.270840099998</v>
      </c>
      <c r="AW545" s="25">
        <f>Inventory[[#This Row],[UpprFn]]*Lookups!$B$87</f>
        <v>0</v>
      </c>
      <c r="AX545" s="25">
        <f>Inventory[[#This Row],[AddFn]]*Lookups!$B$88</f>
        <v>0</v>
      </c>
      <c r="AY545" s="25">
        <f>Inventory[[#This Row],[Bsmt]]*Lookups!$B$89</f>
        <v>0</v>
      </c>
      <c r="AZ545" s="25">
        <f>Inventory[[#This Row],[Fixtures]]*Lookups!$B$90</f>
        <v>26544.1547364</v>
      </c>
      <c r="BA545" s="25">
        <f>Inventory[[#This Row],[WdDeck]]*Lookups!$B$91</f>
        <v>0</v>
      </c>
      <c r="BB545" s="25">
        <f>ROUND(Inventory[[#This Row],[25Det]],-2)</f>
        <v>0</v>
      </c>
      <c r="BC545" s="25">
        <f>ROUND(SUM(Inventory[[#This Row],[Mdl Qlty]:[Mdl WdDeck]])+Inventory[[#This Row],[Mdl Res Intercept]],-2)</f>
        <v>321500</v>
      </c>
      <c r="BD545" s="25">
        <f>ROUND(Inventory[[#This Row],[Mdl Land Intercept]]+Inventory[[#This Row],[Mdl LnAcres]],-2)</f>
        <v>53800</v>
      </c>
      <c r="BE545" s="25">
        <f>Inventory[[#This Row],[Unadj Res Value]]+Inventory[[#This Row],[Unadj Det Value]]+Inventory[[#This Row],[Unadj Land Value]]</f>
        <v>375300</v>
      </c>
      <c r="BF545" s="36">
        <f>(Inventory[[#This Row],[Unadj Total Value]]-Inventory[[#This Row],[24Final]])/Inventory[[#This Row],[24Final]]</f>
        <v>7.4434583452619524E-2</v>
      </c>
      <c r="BG545" s="25">
        <f>VLOOKUP(Inventory[[#This Row],[Nbhd]],Lookups!$Q$2:$T$4,4,FALSE)</f>
        <v>0.99970000000000003</v>
      </c>
      <c r="BH545" s="25">
        <f>VLOOKUP(Inventory[[#This Row],[Qlty]],Lookups!$O$7:$R$21,4,FALSE)</f>
        <v>0.98050000000000004</v>
      </c>
      <c r="BI545" s="25">
        <f>VLOOKUP(Inventory[[#This Row],[Cnd]],Lookups!$T$7:$W$16,4,FALSE)</f>
        <v>0.99650000000000005</v>
      </c>
      <c r="BJ545" s="25">
        <f>VLOOKUP(Inventory[[#This Row],[LivArea Range]],Lookups!$T$25:$W$37,4,FALSE)</f>
        <v>1.0157</v>
      </c>
      <c r="BK545" s="25">
        <f>VLOOKUP(Inventory[[#This Row],[Decade]],Lookups!$O$25:$R$42,4,FALSE)</f>
        <v>1.0199</v>
      </c>
      <c r="BL545" s="25">
        <f>Inventory[[#This Row],[Nbhd Adj]]*0.95</f>
        <v>0.94971499999999998</v>
      </c>
      <c r="BM545" s="25">
        <f>Inventory[[#This Row],[Nbhd Adj]]*Inventory[[#This Row],[Quality Adj]]*Inventory[[#This Row],[Condition Adj]]*Inventory[[#This Row],[Living Area Adj]]*Inventory[[#This Row],[Decade Adj]]*0.95</f>
        <v>0.96126082309031724</v>
      </c>
      <c r="BN545" s="25">
        <f>ROUND(SUM(Inventory[[#This Row],[Mdl Qlty]:[Mdl WdDeck]])+Inventory[[#This Row],[Mdl Res Intercept]]*Inventory[[#This Row],[Res Adj ]],-2)</f>
        <v>321500</v>
      </c>
      <c r="BO545" s="25">
        <f>ROUND(Inventory[[#This Row],[25Det]]*Inventory[[#This Row],[Det/Nbhd Adj]],-2)</f>
        <v>0</v>
      </c>
      <c r="BP545" s="25">
        <f>Inventory[[#This Row],[Adjusted Res]]+Inventory[[#This Row],[Adj Det ]]</f>
        <v>321500</v>
      </c>
      <c r="BQ545" s="25">
        <f>ROUND((Inventory[[#This Row],[Mdl Land Intercept]]+Inventory[[#This Row],[Mdl LnAcres]])*Inventory[[#This Row],[Det/Nbhd Adj]],-2)</f>
        <v>51100</v>
      </c>
      <c r="BR545" s="25">
        <f>Inventory[[#This Row],[Adjusted Impr Total]]+Inventory[[#This Row],[Adjusted Land Total]]</f>
        <v>372600</v>
      </c>
      <c r="BS545" s="36">
        <f>IFERROR((Inventory[[#This Row],[Adjusted Impr Total]]-Inventory[[#This Row],[24Bldg]])/Inventory[[#This Row],[24Bldg]],0)</f>
        <v>0.17122040072859745</v>
      </c>
      <c r="BT545" s="36">
        <f>(Inventory[[#This Row],[Adjusted Land Total]]-Inventory[[#This Row],[24Lnd]])/Inventory[[#This Row],[24Lnd]]</f>
        <v>-0.31684491978609625</v>
      </c>
      <c r="BU545" s="36">
        <f>(Inventory[[#This Row],[Adjusted Total]]-Inventory[[#This Row],[24Final]])/Inventory[[#This Row],[24Final]]</f>
        <v>6.670483824792442E-2</v>
      </c>
    </row>
    <row r="546" spans="1:73" x14ac:dyDescent="0.3">
      <c r="A546" s="25">
        <v>2025</v>
      </c>
      <c r="B546" s="26" t="s">
        <v>1364</v>
      </c>
      <c r="C546" s="26">
        <f>LN(Inventory[[#This Row],[Acres]])</f>
        <v>-1.3862943611198906</v>
      </c>
      <c r="D546" s="25">
        <v>0.25</v>
      </c>
      <c r="E546" s="32">
        <v>11081</v>
      </c>
      <c r="F546" s="26" t="s">
        <v>537</v>
      </c>
      <c r="G546" s="26" t="s">
        <v>126</v>
      </c>
      <c r="H546" s="26" t="s">
        <v>349</v>
      </c>
      <c r="I546" s="26" t="s">
        <v>538</v>
      </c>
      <c r="J546" s="26" t="s">
        <v>539</v>
      </c>
      <c r="K546" s="26" t="s">
        <v>241</v>
      </c>
      <c r="L546" s="26" t="s">
        <v>351</v>
      </c>
      <c r="M546" s="26" t="s">
        <v>303</v>
      </c>
      <c r="N546" s="26">
        <v>70</v>
      </c>
      <c r="O546" s="26">
        <f>2024-Inventory[[#This Row],[YrBlt]]</f>
        <v>67</v>
      </c>
      <c r="P546" s="26">
        <f>2024-Inventory[[#This Row],[EffYr]]</f>
        <v>50</v>
      </c>
      <c r="Q546" s="25">
        <v>1957</v>
      </c>
      <c r="R546" s="25">
        <v>1974</v>
      </c>
      <c r="S546" s="25">
        <v>1607</v>
      </c>
      <c r="T546" s="31"/>
      <c r="U546" s="25">
        <v>795</v>
      </c>
      <c r="V546" s="25">
        <f>Inventory[[#This Row],[Bsmt]]-Inventory[[#This Row],[FnBsmt]]</f>
        <v>645</v>
      </c>
      <c r="W546" s="25">
        <v>150</v>
      </c>
      <c r="X546" s="27"/>
      <c r="Y546" s="27">
        <f>Inventory[[#This Row],[MainFn]]+Inventory[[#This Row],[UpprFn]]+Inventory[[#This Row],[FnBsmt]]+Inventory[[#This Row],[AddFn]]</f>
        <v>1757</v>
      </c>
      <c r="Z546" s="27">
        <v>2000</v>
      </c>
      <c r="AA546" s="25">
        <v>11</v>
      </c>
      <c r="AB546" s="27"/>
      <c r="AC546" s="27"/>
      <c r="AD546" s="31"/>
      <c r="AE546" s="27"/>
      <c r="AF546" s="27"/>
      <c r="AG546" s="27"/>
      <c r="AH546" s="27"/>
      <c r="AI546" s="25">
        <v>314418</v>
      </c>
      <c r="AJ546" s="25">
        <v>226381</v>
      </c>
      <c r="AK546" s="25">
        <v>0</v>
      </c>
      <c r="AL546" s="25">
        <v>371500</v>
      </c>
      <c r="AM546" s="25">
        <v>66200</v>
      </c>
      <c r="AN546" s="25">
        <v>305300</v>
      </c>
      <c r="AO546" s="25">
        <v>0</v>
      </c>
      <c r="AP546" s="25">
        <f>Lookups!$B$56*0</f>
        <v>0</v>
      </c>
      <c r="AQ546" s="25">
        <f>Lookups!$B$56*1</f>
        <v>89850.625589999996</v>
      </c>
      <c r="AR546" s="25">
        <f>Lookups!$B$57*Inventory[[#This Row],[LnAcres]]</f>
        <v>-43882.615305165229</v>
      </c>
      <c r="AS546" s="25">
        <f>VLOOKUP(Inventory[[#This Row],[Qlty]],Lookups!$A$62:$E$75,2,FALSE)</f>
        <v>21557.329055999999</v>
      </c>
      <c r="AT546" s="25">
        <f>VLOOKUP(Inventory[[#This Row],[Cnd]],Lookups!$A$76:$E$84,2,FALSE)</f>
        <v>197752.34721000001</v>
      </c>
      <c r="AU546" s="25">
        <f>Inventory[[#This Row],[EffAge]]*Lookups!$B$85</f>
        <v>-11152.280025</v>
      </c>
      <c r="AV546" s="25">
        <f>Inventory[[#This Row],[MainFn]]*Lookups!$B$86</f>
        <v>79399.732492338997</v>
      </c>
      <c r="AW546" s="25">
        <f>Inventory[[#This Row],[UpprFn]]*Lookups!$B$87</f>
        <v>0</v>
      </c>
      <c r="AX546" s="25">
        <f>Inventory[[#This Row],[AddFn]]*Lookups!$B$88</f>
        <v>0</v>
      </c>
      <c r="AY546" s="25">
        <f>Inventory[[#This Row],[Bsmt]]*Lookups!$B$89</f>
        <v>23120.106721364999</v>
      </c>
      <c r="AZ546" s="25">
        <f>Inventory[[#This Row],[Fixtures]]*Lookups!$B$90</f>
        <v>41712.243157199999</v>
      </c>
      <c r="BA546" s="25">
        <f>Inventory[[#This Row],[WdDeck]]*Lookups!$B$91</f>
        <v>0</v>
      </c>
      <c r="BB546" s="25">
        <f>ROUND(Inventory[[#This Row],[25Det]],-2)</f>
        <v>0</v>
      </c>
      <c r="BC546" s="25">
        <f>ROUND(SUM(Inventory[[#This Row],[Mdl Qlty]:[Mdl WdDeck]])+Inventory[[#This Row],[Mdl Res Intercept]],-2)</f>
        <v>352400</v>
      </c>
      <c r="BD546" s="25">
        <f>ROUND(Inventory[[#This Row],[Mdl Land Intercept]]+Inventory[[#This Row],[Mdl LnAcres]],-2)</f>
        <v>46000</v>
      </c>
      <c r="BE546" s="25">
        <f>Inventory[[#This Row],[Unadj Res Value]]+Inventory[[#This Row],[Unadj Det Value]]+Inventory[[#This Row],[Unadj Land Value]]</f>
        <v>398400</v>
      </c>
      <c r="BF546" s="36">
        <f>(Inventory[[#This Row],[Unadj Total Value]]-Inventory[[#This Row],[24Final]])/Inventory[[#This Row],[24Final]]</f>
        <v>7.2409152086137282E-2</v>
      </c>
      <c r="BG546" s="25">
        <f>VLOOKUP(Inventory[[#This Row],[Nbhd]],Lookups!$Q$2:$T$4,4,FALSE)</f>
        <v>0.99970000000000003</v>
      </c>
      <c r="BH546" s="25">
        <f>VLOOKUP(Inventory[[#This Row],[Qlty]],Lookups!$O$7:$R$21,4,FALSE)</f>
        <v>1.0067999999999999</v>
      </c>
      <c r="BI546" s="25">
        <f>VLOOKUP(Inventory[[#This Row],[Cnd]],Lookups!$T$7:$W$16,4,FALSE)</f>
        <v>0.99650000000000005</v>
      </c>
      <c r="BJ546" s="25">
        <f>VLOOKUP(Inventory[[#This Row],[LivArea Range]],Lookups!$T$25:$W$37,4,FALSE)</f>
        <v>1.0093000000000001</v>
      </c>
      <c r="BK546" s="25">
        <f>VLOOKUP(Inventory[[#This Row],[Decade]],Lookups!$O$25:$R$42,4,FALSE)</f>
        <v>1.0199</v>
      </c>
      <c r="BL546" s="25">
        <f>Inventory[[#This Row],[Nbhd Adj]]*0.95</f>
        <v>0.94971499999999998</v>
      </c>
      <c r="BM546" s="25">
        <f>Inventory[[#This Row],[Nbhd Adj]]*Inventory[[#This Row],[Quality Adj]]*Inventory[[#This Row],[Condition Adj]]*Inventory[[#This Row],[Living Area Adj]]*Inventory[[#This Row],[Decade Adj]]*0.95</f>
        <v>0.98082532839872782</v>
      </c>
      <c r="BN546" s="25">
        <f>ROUND(SUM(Inventory[[#This Row],[Mdl Qlty]:[Mdl WdDeck]])+Inventory[[#This Row],[Mdl Res Intercept]]*Inventory[[#This Row],[Res Adj ]],-2)</f>
        <v>352400</v>
      </c>
      <c r="BO546" s="25">
        <f>ROUND(Inventory[[#This Row],[25Det]]*Inventory[[#This Row],[Det/Nbhd Adj]],-2)</f>
        <v>0</v>
      </c>
      <c r="BP546" s="25">
        <f>Inventory[[#This Row],[Adjusted Res]]+Inventory[[#This Row],[Adj Det ]]</f>
        <v>352400</v>
      </c>
      <c r="BQ546" s="25">
        <f>ROUND((Inventory[[#This Row],[Mdl Land Intercept]]+Inventory[[#This Row],[Mdl LnAcres]])*Inventory[[#This Row],[Det/Nbhd Adj]],-2)</f>
        <v>43700</v>
      </c>
      <c r="BR546" s="25">
        <f>Inventory[[#This Row],[Adjusted Impr Total]]+Inventory[[#This Row],[Adjusted Land Total]]</f>
        <v>396100</v>
      </c>
      <c r="BS546" s="36">
        <f>IFERROR((Inventory[[#This Row],[Adjusted Impr Total]]-Inventory[[#This Row],[24Bldg]])/Inventory[[#This Row],[24Bldg]],0)</f>
        <v>0.15427448411398625</v>
      </c>
      <c r="BT546" s="36">
        <f>(Inventory[[#This Row],[Adjusted Land Total]]-Inventory[[#This Row],[24Lnd]])/Inventory[[#This Row],[24Lnd]]</f>
        <v>-0.33987915407854985</v>
      </c>
      <c r="BU546" s="36">
        <f>(Inventory[[#This Row],[Adjusted Total]]-Inventory[[#This Row],[24Final]])/Inventory[[#This Row],[24Final]]</f>
        <v>6.621803499327053E-2</v>
      </c>
    </row>
    <row r="547" spans="1:73" x14ac:dyDescent="0.3">
      <c r="A547" s="25">
        <v>2025</v>
      </c>
      <c r="B547" s="26" t="s">
        <v>2638</v>
      </c>
      <c r="C547" s="26">
        <f>LN(Inventory[[#This Row],[Acres]])</f>
        <v>-1.6607312068216509</v>
      </c>
      <c r="D547" s="25">
        <v>0.19</v>
      </c>
      <c r="E547" s="25">
        <v>8328</v>
      </c>
      <c r="F547" s="26" t="s">
        <v>537</v>
      </c>
      <c r="G547" s="26" t="s">
        <v>126</v>
      </c>
      <c r="H547" s="26" t="s">
        <v>349</v>
      </c>
      <c r="I547" s="26" t="s">
        <v>538</v>
      </c>
      <c r="J547" s="26" t="s">
        <v>539</v>
      </c>
      <c r="K547" s="26" t="s">
        <v>241</v>
      </c>
      <c r="L547" s="26" t="s">
        <v>351</v>
      </c>
      <c r="M547" s="26" t="s">
        <v>323</v>
      </c>
      <c r="N547" s="26">
        <v>70</v>
      </c>
      <c r="O547" s="26">
        <f>2024-Inventory[[#This Row],[YrBlt]]</f>
        <v>67</v>
      </c>
      <c r="P547" s="26">
        <f>2024-Inventory[[#This Row],[EffYr]]</f>
        <v>50</v>
      </c>
      <c r="Q547" s="25">
        <v>1957</v>
      </c>
      <c r="R547" s="25">
        <v>1974</v>
      </c>
      <c r="S547" s="25">
        <v>1144</v>
      </c>
      <c r="T547" s="27"/>
      <c r="U547" s="25">
        <v>1144</v>
      </c>
      <c r="V547" s="32">
        <f>Inventory[[#This Row],[Bsmt]]-Inventory[[#This Row],[FnBsmt]]</f>
        <v>0</v>
      </c>
      <c r="W547" s="32">
        <v>1144</v>
      </c>
      <c r="X547" s="27"/>
      <c r="Y547" s="27">
        <f>Inventory[[#This Row],[MainFn]]+Inventory[[#This Row],[UpprFn]]+Inventory[[#This Row],[FnBsmt]]+Inventory[[#This Row],[AddFn]]</f>
        <v>2288</v>
      </c>
      <c r="Z547" s="27">
        <v>2500</v>
      </c>
      <c r="AA547" s="25">
        <v>8</v>
      </c>
      <c r="AB547" s="27"/>
      <c r="AC547" s="27"/>
      <c r="AD547" s="32">
        <v>572</v>
      </c>
      <c r="AE547" s="27"/>
      <c r="AF547" s="27"/>
      <c r="AG547" s="27"/>
      <c r="AH547" s="27"/>
      <c r="AI547" s="25">
        <v>310805</v>
      </c>
      <c r="AJ547" s="25">
        <v>217564</v>
      </c>
      <c r="AK547" s="25">
        <v>0</v>
      </c>
      <c r="AL547" s="25">
        <v>326600</v>
      </c>
      <c r="AM547" s="25">
        <v>56600</v>
      </c>
      <c r="AN547" s="25">
        <v>270000</v>
      </c>
      <c r="AO547" s="25">
        <v>0</v>
      </c>
      <c r="AP547" s="25">
        <f>Lookups!$B$56*0</f>
        <v>0</v>
      </c>
      <c r="AQ547" s="25">
        <f>Lookups!$B$56*1</f>
        <v>89850.625589999996</v>
      </c>
      <c r="AR547" s="25">
        <f>Lookups!$B$57*Inventory[[#This Row],[LnAcres]]</f>
        <v>-52569.808201026557</v>
      </c>
      <c r="AS547" s="25">
        <f>VLOOKUP(Inventory[[#This Row],[Qlty]],Lookups!$A$62:$E$75,2,FALSE)</f>
        <v>21557.329055999999</v>
      </c>
      <c r="AT547" s="25">
        <f>VLOOKUP(Inventory[[#This Row],[Cnd]],Lookups!$A$76:$E$84,2,FALSE)</f>
        <v>160472.20319</v>
      </c>
      <c r="AU547" s="25">
        <f>Inventory[[#This Row],[EffAge]]*Lookups!$B$85</f>
        <v>-11152.280025</v>
      </c>
      <c r="AV547" s="25">
        <f>Inventory[[#This Row],[MainFn]]*Lookups!$B$86</f>
        <v>56523.518339287999</v>
      </c>
      <c r="AW547" s="25">
        <f>Inventory[[#This Row],[UpprFn]]*Lookups!$B$87</f>
        <v>0</v>
      </c>
      <c r="AX547" s="25">
        <f>Inventory[[#This Row],[AddFn]]*Lookups!$B$88</f>
        <v>0</v>
      </c>
      <c r="AY547" s="25">
        <f>Inventory[[#This Row],[Bsmt]]*Lookups!$B$89</f>
        <v>33269.688162567996</v>
      </c>
      <c r="AZ547" s="25">
        <f>Inventory[[#This Row],[Fixtures]]*Lookups!$B$90</f>
        <v>30336.176841600001</v>
      </c>
      <c r="BA547" s="25">
        <f>Inventory[[#This Row],[WdDeck]]*Lookups!$B$91</f>
        <v>19045.034737872003</v>
      </c>
      <c r="BB547" s="25">
        <f>ROUND(Inventory[[#This Row],[25Det]],-2)</f>
        <v>0</v>
      </c>
      <c r="BC547" s="25">
        <f>ROUND(SUM(Inventory[[#This Row],[Mdl Qlty]:[Mdl WdDeck]])+Inventory[[#This Row],[Mdl Res Intercept]],-2)</f>
        <v>310100</v>
      </c>
      <c r="BD547" s="25">
        <f>ROUND(Inventory[[#This Row],[Mdl Land Intercept]]+Inventory[[#This Row],[Mdl LnAcres]],-2)</f>
        <v>37300</v>
      </c>
      <c r="BE547" s="25">
        <f>Inventory[[#This Row],[Unadj Res Value]]+Inventory[[#This Row],[Unadj Det Value]]+Inventory[[#This Row],[Unadj Land Value]]</f>
        <v>347400</v>
      </c>
      <c r="BF547" s="36">
        <f>(Inventory[[#This Row],[Unadj Total Value]]-Inventory[[#This Row],[24Final]])/Inventory[[#This Row],[24Final]]</f>
        <v>6.3686466625842014E-2</v>
      </c>
      <c r="BG547" s="25">
        <f>VLOOKUP(Inventory[[#This Row],[Nbhd]],Lookups!$Q$2:$T$4,4,FALSE)</f>
        <v>0.99970000000000003</v>
      </c>
      <c r="BH547" s="25">
        <f>VLOOKUP(Inventory[[#This Row],[Qlty]],Lookups!$O$7:$R$21,4,FALSE)</f>
        <v>1.0067999999999999</v>
      </c>
      <c r="BI547" s="25">
        <f>VLOOKUP(Inventory[[#This Row],[Cnd]],Lookups!$T$7:$W$16,4,FALSE)</f>
        <v>0.99729999999999996</v>
      </c>
      <c r="BJ547" s="25">
        <f>VLOOKUP(Inventory[[#This Row],[LivArea Range]],Lookups!$T$25:$W$37,4,FALSE)</f>
        <v>0.98919999999999997</v>
      </c>
      <c r="BK547" s="25">
        <f>VLOOKUP(Inventory[[#This Row],[Decade]],Lookups!$O$25:$R$42,4,FALSE)</f>
        <v>1.0199</v>
      </c>
      <c r="BL547" s="25">
        <f>Inventory[[#This Row],[Nbhd Adj]]*0.95</f>
        <v>0.94971499999999998</v>
      </c>
      <c r="BM547" s="25">
        <f>Inventory[[#This Row],[Nbhd Adj]]*Inventory[[#This Row],[Quality Adj]]*Inventory[[#This Row],[Condition Adj]]*Inventory[[#This Row],[Living Area Adj]]*Inventory[[#This Row],[Decade Adj]]*0.95</f>
        <v>0.9620641305621106</v>
      </c>
      <c r="BN547" s="25">
        <f>ROUND(SUM(Inventory[[#This Row],[Mdl Qlty]:[Mdl WdDeck]])+Inventory[[#This Row],[Mdl Res Intercept]]*Inventory[[#This Row],[Res Adj ]],-2)</f>
        <v>310100</v>
      </c>
      <c r="BO547" s="25">
        <f>ROUND(Inventory[[#This Row],[25Det]]*Inventory[[#This Row],[Det/Nbhd Adj]],-2)</f>
        <v>0</v>
      </c>
      <c r="BP547" s="25">
        <f>Inventory[[#This Row],[Adjusted Res]]+Inventory[[#This Row],[Adj Det ]]</f>
        <v>310100</v>
      </c>
      <c r="BQ547" s="25">
        <f>ROUND((Inventory[[#This Row],[Mdl Land Intercept]]+Inventory[[#This Row],[Mdl LnAcres]])*Inventory[[#This Row],[Det/Nbhd Adj]],-2)</f>
        <v>35400</v>
      </c>
      <c r="BR547" s="25">
        <f>Inventory[[#This Row],[Adjusted Impr Total]]+Inventory[[#This Row],[Adjusted Land Total]]</f>
        <v>345500</v>
      </c>
      <c r="BS547" s="36">
        <f>IFERROR((Inventory[[#This Row],[Adjusted Impr Total]]-Inventory[[#This Row],[24Bldg]])/Inventory[[#This Row],[24Bldg]],0)</f>
        <v>0.14851851851851852</v>
      </c>
      <c r="BT547" s="36">
        <f>(Inventory[[#This Row],[Adjusted Land Total]]-Inventory[[#This Row],[24Lnd]])/Inventory[[#This Row],[24Lnd]]</f>
        <v>-0.37455830388692579</v>
      </c>
      <c r="BU547" s="36">
        <f>(Inventory[[#This Row],[Adjusted Total]]-Inventory[[#This Row],[24Final]])/Inventory[[#This Row],[24Final]]</f>
        <v>5.7868952847519903E-2</v>
      </c>
    </row>
    <row r="548" spans="1:73" x14ac:dyDescent="0.3">
      <c r="A548" s="25">
        <v>2025</v>
      </c>
      <c r="B548" s="26" t="s">
        <v>2093</v>
      </c>
      <c r="C548" s="26">
        <f>LN(Inventory[[#This Row],[Acres]])</f>
        <v>-1.7719568419318752</v>
      </c>
      <c r="D548" s="25">
        <v>0.17</v>
      </c>
      <c r="E548" s="32">
        <v>7341</v>
      </c>
      <c r="F548" s="26" t="s">
        <v>537</v>
      </c>
      <c r="G548" s="26" t="s">
        <v>126</v>
      </c>
      <c r="H548" s="26" t="s">
        <v>349</v>
      </c>
      <c r="I548" s="26" t="s">
        <v>538</v>
      </c>
      <c r="J548" s="26" t="s">
        <v>539</v>
      </c>
      <c r="K548" s="26" t="s">
        <v>241</v>
      </c>
      <c r="L548" s="26" t="s">
        <v>351</v>
      </c>
      <c r="M548" s="26" t="s">
        <v>206</v>
      </c>
      <c r="N548" s="26">
        <v>70</v>
      </c>
      <c r="O548" s="26">
        <f>2024-Inventory[[#This Row],[YrBlt]]</f>
        <v>67</v>
      </c>
      <c r="P548" s="26">
        <f>2024-Inventory[[#This Row],[EffYr]]</f>
        <v>50</v>
      </c>
      <c r="Q548" s="25">
        <v>1957</v>
      </c>
      <c r="R548" s="25">
        <v>1974</v>
      </c>
      <c r="S548" s="25">
        <v>1475</v>
      </c>
      <c r="T548" s="27"/>
      <c r="U548" s="31"/>
      <c r="V548" s="31">
        <f>Inventory[[#This Row],[Bsmt]]-Inventory[[#This Row],[FnBsmt]]</f>
        <v>0</v>
      </c>
      <c r="W548" s="31"/>
      <c r="X548" s="27"/>
      <c r="Y548" s="27">
        <f>Inventory[[#This Row],[MainFn]]+Inventory[[#This Row],[UpprFn]]+Inventory[[#This Row],[FnBsmt]]+Inventory[[#This Row],[AddFn]]</f>
        <v>1475</v>
      </c>
      <c r="Z548" s="27">
        <v>1500</v>
      </c>
      <c r="AA548" s="25">
        <v>7</v>
      </c>
      <c r="AB548" s="27"/>
      <c r="AC548" s="27"/>
      <c r="AD548" s="31"/>
      <c r="AE548" s="27"/>
      <c r="AF548" s="27"/>
      <c r="AG548" s="27"/>
      <c r="AH548" s="27"/>
      <c r="AI548" s="25">
        <v>250171</v>
      </c>
      <c r="AJ548" s="25">
        <v>172618</v>
      </c>
      <c r="AK548" s="25">
        <v>0</v>
      </c>
      <c r="AL548" s="25">
        <v>260800</v>
      </c>
      <c r="AM548" s="25">
        <v>52700</v>
      </c>
      <c r="AN548" s="25">
        <v>208100</v>
      </c>
      <c r="AO548" s="25">
        <v>0</v>
      </c>
      <c r="AP548" s="25">
        <f>Lookups!$B$56*0</f>
        <v>0</v>
      </c>
      <c r="AQ548" s="25">
        <f>Lookups!$B$56*1</f>
        <v>89850.625589999996</v>
      </c>
      <c r="AR548" s="25">
        <f>Lookups!$B$57*Inventory[[#This Row],[LnAcres]]</f>
        <v>-56090.612940989391</v>
      </c>
      <c r="AS548" s="25">
        <f>VLOOKUP(Inventory[[#This Row],[Qlty]],Lookups!$A$62:$E$75,2,FALSE)</f>
        <v>21557.329055999999</v>
      </c>
      <c r="AT548" s="25">
        <f>VLOOKUP(Inventory[[#This Row],[Cnd]],Lookups!$A$76:$E$84,2,FALSE)</f>
        <v>133714.53821</v>
      </c>
      <c r="AU548" s="25">
        <f>Inventory[[#This Row],[EffAge]]*Lookups!$B$85</f>
        <v>-11152.280025</v>
      </c>
      <c r="AV548" s="25">
        <f>Inventory[[#This Row],[MainFn]]*Lookups!$B$86</f>
        <v>72877.788068574999</v>
      </c>
      <c r="AW548" s="25">
        <f>Inventory[[#This Row],[UpprFn]]*Lookups!$B$87</f>
        <v>0</v>
      </c>
      <c r="AX548" s="25">
        <f>Inventory[[#This Row],[AddFn]]*Lookups!$B$88</f>
        <v>0</v>
      </c>
      <c r="AY548" s="25">
        <f>Inventory[[#This Row],[Bsmt]]*Lookups!$B$89</f>
        <v>0</v>
      </c>
      <c r="AZ548" s="25">
        <f>Inventory[[#This Row],[Fixtures]]*Lookups!$B$90</f>
        <v>26544.1547364</v>
      </c>
      <c r="BA548" s="25">
        <f>Inventory[[#This Row],[WdDeck]]*Lookups!$B$91</f>
        <v>0</v>
      </c>
      <c r="BB548" s="25">
        <f>ROUND(Inventory[[#This Row],[25Det]],-2)</f>
        <v>0</v>
      </c>
      <c r="BC548" s="25">
        <f>ROUND(SUM(Inventory[[#This Row],[Mdl Qlty]:[Mdl WdDeck]])+Inventory[[#This Row],[Mdl Res Intercept]],-2)</f>
        <v>243500</v>
      </c>
      <c r="BD548" s="25">
        <f>ROUND(Inventory[[#This Row],[Mdl Land Intercept]]+Inventory[[#This Row],[Mdl LnAcres]],-2)</f>
        <v>33800</v>
      </c>
      <c r="BE548" s="25">
        <f>Inventory[[#This Row],[Unadj Res Value]]+Inventory[[#This Row],[Unadj Det Value]]+Inventory[[#This Row],[Unadj Land Value]]</f>
        <v>277300</v>
      </c>
      <c r="BF548" s="36">
        <f>(Inventory[[#This Row],[Unadj Total Value]]-Inventory[[#This Row],[24Final]])/Inventory[[#This Row],[24Final]]</f>
        <v>6.3266871165644167E-2</v>
      </c>
      <c r="BG548" s="25">
        <f>VLOOKUP(Inventory[[#This Row],[Nbhd]],Lookups!$Q$2:$T$4,4,FALSE)</f>
        <v>0.99970000000000003</v>
      </c>
      <c r="BH548" s="25">
        <f>VLOOKUP(Inventory[[#This Row],[Qlty]],Lookups!$O$7:$R$21,4,FALSE)</f>
        <v>1.0067999999999999</v>
      </c>
      <c r="BI548" s="25">
        <f>VLOOKUP(Inventory[[#This Row],[Cnd]],Lookups!$T$7:$W$16,4,FALSE)</f>
        <v>0.99329999999999996</v>
      </c>
      <c r="BJ548" s="25">
        <f>VLOOKUP(Inventory[[#This Row],[LivArea Range]],Lookups!$T$25:$W$37,4,FALSE)</f>
        <v>1.0157</v>
      </c>
      <c r="BK548" s="25">
        <f>VLOOKUP(Inventory[[#This Row],[Decade]],Lookups!$O$25:$R$42,4,FALSE)</f>
        <v>1.0199</v>
      </c>
      <c r="BL548" s="25">
        <f>Inventory[[#This Row],[Nbhd Adj]]*0.95</f>
        <v>0.94971499999999998</v>
      </c>
      <c r="BM548" s="25">
        <f>Inventory[[#This Row],[Nbhd Adj]]*Inventory[[#This Row],[Quality Adj]]*Inventory[[#This Row],[Condition Adj]]*Inventory[[#This Row],[Living Area Adj]]*Inventory[[#This Row],[Decade Adj]]*0.95</f>
        <v>0.98387513270390892</v>
      </c>
      <c r="BN548" s="25">
        <f>ROUND(SUM(Inventory[[#This Row],[Mdl Qlty]:[Mdl WdDeck]])+Inventory[[#This Row],[Mdl Res Intercept]]*Inventory[[#This Row],[Res Adj ]],-2)</f>
        <v>243500</v>
      </c>
      <c r="BO548" s="25">
        <f>ROUND(Inventory[[#This Row],[25Det]]*Inventory[[#This Row],[Det/Nbhd Adj]],-2)</f>
        <v>0</v>
      </c>
      <c r="BP548" s="25">
        <f>Inventory[[#This Row],[Adjusted Res]]+Inventory[[#This Row],[Adj Det ]]</f>
        <v>243500</v>
      </c>
      <c r="BQ548" s="25">
        <f>ROUND((Inventory[[#This Row],[Mdl Land Intercept]]+Inventory[[#This Row],[Mdl LnAcres]])*Inventory[[#This Row],[Det/Nbhd Adj]],-2)</f>
        <v>32100</v>
      </c>
      <c r="BR548" s="25">
        <f>Inventory[[#This Row],[Adjusted Impr Total]]+Inventory[[#This Row],[Adjusted Land Total]]</f>
        <v>275600</v>
      </c>
      <c r="BS548" s="36">
        <f>IFERROR((Inventory[[#This Row],[Adjusted Impr Total]]-Inventory[[#This Row],[24Bldg]])/Inventory[[#This Row],[24Bldg]],0)</f>
        <v>0.17011052378664104</v>
      </c>
      <c r="BT548" s="36">
        <f>(Inventory[[#This Row],[Adjusted Land Total]]-Inventory[[#This Row],[24Lnd]])/Inventory[[#This Row],[24Lnd]]</f>
        <v>-0.39089184060721061</v>
      </c>
      <c r="BU548" s="36">
        <f>(Inventory[[#This Row],[Adjusted Total]]-Inventory[[#This Row],[24Final]])/Inventory[[#This Row],[24Final]]</f>
        <v>5.674846625766871E-2</v>
      </c>
    </row>
    <row r="549" spans="1:73" x14ac:dyDescent="0.3">
      <c r="A549" s="25">
        <v>2025</v>
      </c>
      <c r="B549" s="26" t="s">
        <v>1993</v>
      </c>
      <c r="C549" s="26">
        <f>LN(Inventory[[#This Row],[Acres]])</f>
        <v>-1.8325814637483102</v>
      </c>
      <c r="D549" s="25">
        <v>0.16</v>
      </c>
      <c r="E549" s="32">
        <v>6776</v>
      </c>
      <c r="F549" s="26" t="s">
        <v>537</v>
      </c>
      <c r="G549" s="26" t="s">
        <v>126</v>
      </c>
      <c r="H549" s="26" t="s">
        <v>349</v>
      </c>
      <c r="I549" s="26" t="s">
        <v>538</v>
      </c>
      <c r="J549" s="26" t="s">
        <v>539</v>
      </c>
      <c r="K549" s="26" t="s">
        <v>241</v>
      </c>
      <c r="L549" s="26" t="s">
        <v>148</v>
      </c>
      <c r="M549" s="26" t="s">
        <v>323</v>
      </c>
      <c r="N549" s="26">
        <v>70</v>
      </c>
      <c r="O549" s="26">
        <f>2024-Inventory[[#This Row],[YrBlt]]</f>
        <v>67</v>
      </c>
      <c r="P549" s="26">
        <f>2024-Inventory[[#This Row],[EffYr]]</f>
        <v>50</v>
      </c>
      <c r="Q549" s="25">
        <v>1957</v>
      </c>
      <c r="R549" s="25">
        <v>1974</v>
      </c>
      <c r="S549" s="25">
        <v>1440</v>
      </c>
      <c r="T549" s="27"/>
      <c r="U549" s="31"/>
      <c r="V549" s="31">
        <f>Inventory[[#This Row],[Bsmt]]-Inventory[[#This Row],[FnBsmt]]</f>
        <v>0</v>
      </c>
      <c r="W549" s="31"/>
      <c r="X549" s="27"/>
      <c r="Y549" s="27">
        <f>Inventory[[#This Row],[MainFn]]+Inventory[[#This Row],[UpprFn]]+Inventory[[#This Row],[FnBsmt]]+Inventory[[#This Row],[AddFn]]</f>
        <v>1440</v>
      </c>
      <c r="Z549" s="27">
        <v>1500</v>
      </c>
      <c r="AA549" s="25">
        <v>5</v>
      </c>
      <c r="AB549" s="32">
        <v>360</v>
      </c>
      <c r="AC549" s="27"/>
      <c r="AD549" s="27"/>
      <c r="AE549" s="27"/>
      <c r="AF549" s="27"/>
      <c r="AG549" s="27"/>
      <c r="AH549" s="27"/>
      <c r="AI549" s="25">
        <v>345616</v>
      </c>
      <c r="AJ549" s="25">
        <v>241931</v>
      </c>
      <c r="AK549" s="25">
        <v>0</v>
      </c>
      <c r="AL549" s="25">
        <v>301400</v>
      </c>
      <c r="AM549" s="25">
        <v>50600</v>
      </c>
      <c r="AN549" s="25">
        <v>250800</v>
      </c>
      <c r="AO549" s="25">
        <v>0</v>
      </c>
      <c r="AP549" s="25">
        <f>Lookups!$B$56*0</f>
        <v>0</v>
      </c>
      <c r="AQ549" s="25">
        <f>Lookups!$B$56*1</f>
        <v>89850.625589999996</v>
      </c>
      <c r="AR549" s="25">
        <f>Lookups!$B$57*Inventory[[#This Row],[LnAcres]]</f>
        <v>-58009.662049032086</v>
      </c>
      <c r="AS549" s="25">
        <f>VLOOKUP(Inventory[[#This Row],[Qlty]],Lookups!$A$62:$E$75,2,FALSE)</f>
        <v>44121.038090000002</v>
      </c>
      <c r="AT549" s="25">
        <f>VLOOKUP(Inventory[[#This Row],[Cnd]],Lookups!$A$76:$E$84,2,FALSE)</f>
        <v>160472.20319</v>
      </c>
      <c r="AU549" s="25">
        <f>Inventory[[#This Row],[EffAge]]*Lookups!$B$85</f>
        <v>-11152.280025</v>
      </c>
      <c r="AV549" s="25">
        <f>Inventory[[#This Row],[MainFn]]*Lookups!$B$86</f>
        <v>71148.484622880002</v>
      </c>
      <c r="AW549" s="25">
        <f>Inventory[[#This Row],[UpprFn]]*Lookups!$B$87</f>
        <v>0</v>
      </c>
      <c r="AX549" s="25">
        <f>Inventory[[#This Row],[AddFn]]*Lookups!$B$88</f>
        <v>0</v>
      </c>
      <c r="AY549" s="25">
        <f>Inventory[[#This Row],[Bsmt]]*Lookups!$B$89</f>
        <v>0</v>
      </c>
      <c r="AZ549" s="25">
        <f>Inventory[[#This Row],[Fixtures]]*Lookups!$B$90</f>
        <v>18960.110526</v>
      </c>
      <c r="BA549" s="25">
        <f>Inventory[[#This Row],[WdDeck]]*Lookups!$B$91</f>
        <v>0</v>
      </c>
      <c r="BB549" s="25">
        <f>ROUND(Inventory[[#This Row],[25Det]],-2)</f>
        <v>0</v>
      </c>
      <c r="BC549" s="25">
        <f>ROUND(SUM(Inventory[[#This Row],[Mdl Qlty]:[Mdl WdDeck]])+Inventory[[#This Row],[Mdl Res Intercept]],-2)</f>
        <v>283500</v>
      </c>
      <c r="BD549" s="25">
        <f>ROUND(Inventory[[#This Row],[Mdl Land Intercept]]+Inventory[[#This Row],[Mdl LnAcres]],-2)</f>
        <v>31800</v>
      </c>
      <c r="BE549" s="25">
        <f>Inventory[[#This Row],[Unadj Res Value]]+Inventory[[#This Row],[Unadj Det Value]]+Inventory[[#This Row],[Unadj Land Value]]</f>
        <v>315300</v>
      </c>
      <c r="BF549" s="36">
        <f>(Inventory[[#This Row],[Unadj Total Value]]-Inventory[[#This Row],[24Final]])/Inventory[[#This Row],[24Final]]</f>
        <v>4.6118115461181157E-2</v>
      </c>
      <c r="BG549" s="25">
        <f>VLOOKUP(Inventory[[#This Row],[Nbhd]],Lookups!$Q$2:$T$4,4,FALSE)</f>
        <v>0.99970000000000003</v>
      </c>
      <c r="BH549" s="25">
        <f>VLOOKUP(Inventory[[#This Row],[Qlty]],Lookups!$O$7:$R$21,4,FALSE)</f>
        <v>0.98050000000000004</v>
      </c>
      <c r="BI549" s="25">
        <f>VLOOKUP(Inventory[[#This Row],[Cnd]],Lookups!$T$7:$W$16,4,FALSE)</f>
        <v>0.99729999999999996</v>
      </c>
      <c r="BJ549" s="25">
        <f>VLOOKUP(Inventory[[#This Row],[LivArea Range]],Lookups!$T$25:$W$37,4,FALSE)</f>
        <v>1.0157</v>
      </c>
      <c r="BK549" s="25">
        <f>VLOOKUP(Inventory[[#This Row],[Decade]],Lookups!$O$25:$R$42,4,FALSE)</f>
        <v>1.0199</v>
      </c>
      <c r="BL549" s="25">
        <f>Inventory[[#This Row],[Nbhd Adj]]*0.95</f>
        <v>0.94971499999999998</v>
      </c>
      <c r="BM549" s="25">
        <f>Inventory[[#This Row],[Nbhd Adj]]*Inventory[[#This Row],[Quality Adj]]*Inventory[[#This Row],[Condition Adj]]*Inventory[[#This Row],[Living Area Adj]]*Inventory[[#This Row],[Decade Adj]]*0.95</f>
        <v>0.96203253273253719</v>
      </c>
      <c r="BN549" s="25">
        <f>ROUND(SUM(Inventory[[#This Row],[Mdl Qlty]:[Mdl WdDeck]])+Inventory[[#This Row],[Mdl Res Intercept]]*Inventory[[#This Row],[Res Adj ]],-2)</f>
        <v>283500</v>
      </c>
      <c r="BO549" s="25">
        <f>ROUND(Inventory[[#This Row],[25Det]]*Inventory[[#This Row],[Det/Nbhd Adj]],-2)</f>
        <v>0</v>
      </c>
      <c r="BP549" s="25">
        <f>Inventory[[#This Row],[Adjusted Res]]+Inventory[[#This Row],[Adj Det ]]</f>
        <v>283500</v>
      </c>
      <c r="BQ549" s="25">
        <f>ROUND((Inventory[[#This Row],[Mdl Land Intercept]]+Inventory[[#This Row],[Mdl LnAcres]])*Inventory[[#This Row],[Det/Nbhd Adj]],-2)</f>
        <v>30200</v>
      </c>
      <c r="BR549" s="25">
        <f>Inventory[[#This Row],[Adjusted Impr Total]]+Inventory[[#This Row],[Adjusted Land Total]]</f>
        <v>313700</v>
      </c>
      <c r="BS549" s="36">
        <f>IFERROR((Inventory[[#This Row],[Adjusted Impr Total]]-Inventory[[#This Row],[24Bldg]])/Inventory[[#This Row],[24Bldg]],0)</f>
        <v>0.13038277511961721</v>
      </c>
      <c r="BT549" s="36">
        <f>(Inventory[[#This Row],[Adjusted Land Total]]-Inventory[[#This Row],[24Lnd]])/Inventory[[#This Row],[24Lnd]]</f>
        <v>-0.40316205533596838</v>
      </c>
      <c r="BU549" s="36">
        <f>(Inventory[[#This Row],[Adjusted Total]]-Inventory[[#This Row],[24Final]])/Inventory[[#This Row],[24Final]]</f>
        <v>4.0809555408095555E-2</v>
      </c>
    </row>
    <row r="550" spans="1:73" x14ac:dyDescent="0.3">
      <c r="A550" s="25">
        <v>2025</v>
      </c>
      <c r="B550" s="26" t="s">
        <v>2585</v>
      </c>
      <c r="C550" s="26">
        <f>LN(Inventory[[#This Row],[Acres]])</f>
        <v>-1.6094379124341003</v>
      </c>
      <c r="D550" s="25">
        <v>0.2</v>
      </c>
      <c r="E550" s="32">
        <v>8501</v>
      </c>
      <c r="F550" s="26" t="s">
        <v>537</v>
      </c>
      <c r="G550" s="26" t="s">
        <v>126</v>
      </c>
      <c r="H550" s="26" t="s">
        <v>349</v>
      </c>
      <c r="I550" s="26" t="s">
        <v>538</v>
      </c>
      <c r="J550" s="26" t="s">
        <v>539</v>
      </c>
      <c r="K550" s="26" t="s">
        <v>241</v>
      </c>
      <c r="L550" s="26" t="s">
        <v>302</v>
      </c>
      <c r="M550" s="26" t="s">
        <v>323</v>
      </c>
      <c r="N550" s="26">
        <v>70</v>
      </c>
      <c r="O550" s="26">
        <f>2024-Inventory[[#This Row],[YrBlt]]</f>
        <v>67</v>
      </c>
      <c r="P550" s="26">
        <f>2024-Inventory[[#This Row],[EffYr]]</f>
        <v>50</v>
      </c>
      <c r="Q550" s="25">
        <v>1957</v>
      </c>
      <c r="R550" s="25">
        <v>1974</v>
      </c>
      <c r="S550" s="25">
        <v>1328</v>
      </c>
      <c r="T550" s="27"/>
      <c r="U550" s="31"/>
      <c r="V550" s="27">
        <f>Inventory[[#This Row],[Bsmt]]-Inventory[[#This Row],[FnBsmt]]</f>
        <v>0</v>
      </c>
      <c r="W550" s="27"/>
      <c r="X550" s="27"/>
      <c r="Y550" s="27">
        <f>Inventory[[#This Row],[MainFn]]+Inventory[[#This Row],[UpprFn]]+Inventory[[#This Row],[FnBsmt]]+Inventory[[#This Row],[AddFn]]</f>
        <v>1328</v>
      </c>
      <c r="Z550" s="27">
        <v>1500</v>
      </c>
      <c r="AA550" s="25">
        <v>5</v>
      </c>
      <c r="AB550" s="32">
        <v>240</v>
      </c>
      <c r="AC550" s="27"/>
      <c r="AD550" s="27"/>
      <c r="AE550" s="27"/>
      <c r="AF550" s="27"/>
      <c r="AG550" s="27"/>
      <c r="AH550" s="27"/>
      <c r="AI550" s="25">
        <v>258010</v>
      </c>
      <c r="AJ550" s="25">
        <v>180607</v>
      </c>
      <c r="AK550" s="25">
        <v>0</v>
      </c>
      <c r="AL550" s="25">
        <v>291200</v>
      </c>
      <c r="AM550" s="25">
        <v>58400</v>
      </c>
      <c r="AN550" s="25">
        <v>232800</v>
      </c>
      <c r="AO550" s="25">
        <v>0</v>
      </c>
      <c r="AP550" s="25">
        <f>Lookups!$B$56*0</f>
        <v>0</v>
      </c>
      <c r="AQ550" s="25">
        <f>Lookups!$B$56*1</f>
        <v>89850.625589999996</v>
      </c>
      <c r="AR550" s="25">
        <f>Lookups!$B$57*Inventory[[#This Row],[LnAcres]]</f>
        <v>-50946.13867709865</v>
      </c>
      <c r="AS550" s="25">
        <f>VLOOKUP(Inventory[[#This Row],[Qlty]],Lookups!$A$62:$E$75,2,FALSE)</f>
        <v>29814.093161000001</v>
      </c>
      <c r="AT550" s="25">
        <f>VLOOKUP(Inventory[[#This Row],[Cnd]],Lookups!$A$76:$E$84,2,FALSE)</f>
        <v>160472.20319</v>
      </c>
      <c r="AU550" s="25">
        <f>Inventory[[#This Row],[EffAge]]*Lookups!$B$85</f>
        <v>-11152.280025</v>
      </c>
      <c r="AV550" s="25">
        <f>Inventory[[#This Row],[MainFn]]*Lookups!$B$86</f>
        <v>65614.713596656002</v>
      </c>
      <c r="AW550" s="25">
        <f>Inventory[[#This Row],[UpprFn]]*Lookups!$B$87</f>
        <v>0</v>
      </c>
      <c r="AX550" s="25">
        <f>Inventory[[#This Row],[AddFn]]*Lookups!$B$88</f>
        <v>0</v>
      </c>
      <c r="AY550" s="25">
        <f>Inventory[[#This Row],[Bsmt]]*Lookups!$B$89</f>
        <v>0</v>
      </c>
      <c r="AZ550" s="25">
        <f>Inventory[[#This Row],[Fixtures]]*Lookups!$B$90</f>
        <v>18960.110526</v>
      </c>
      <c r="BA550" s="25">
        <f>Inventory[[#This Row],[WdDeck]]*Lookups!$B$91</f>
        <v>0</v>
      </c>
      <c r="BB550" s="25">
        <f>ROUND(Inventory[[#This Row],[25Det]],-2)</f>
        <v>0</v>
      </c>
      <c r="BC550" s="25">
        <f>ROUND(SUM(Inventory[[#This Row],[Mdl Qlty]:[Mdl WdDeck]])+Inventory[[#This Row],[Mdl Res Intercept]],-2)</f>
        <v>263700</v>
      </c>
      <c r="BD550" s="25">
        <f>ROUND(Inventory[[#This Row],[Mdl Land Intercept]]+Inventory[[#This Row],[Mdl LnAcres]],-2)</f>
        <v>38900</v>
      </c>
      <c r="BE550" s="25">
        <f>Inventory[[#This Row],[Unadj Res Value]]+Inventory[[#This Row],[Unadj Det Value]]+Inventory[[#This Row],[Unadj Land Value]]</f>
        <v>302600</v>
      </c>
      <c r="BF550" s="36">
        <f>(Inventory[[#This Row],[Unadj Total Value]]-Inventory[[#This Row],[24Final]])/Inventory[[#This Row],[24Final]]</f>
        <v>3.9148351648351648E-2</v>
      </c>
      <c r="BG550" s="25">
        <f>VLOOKUP(Inventory[[#This Row],[Nbhd]],Lookups!$Q$2:$T$4,4,FALSE)</f>
        <v>0.99970000000000003</v>
      </c>
      <c r="BH550" s="25">
        <f>VLOOKUP(Inventory[[#This Row],[Qlty]],Lookups!$O$7:$R$21,4,FALSE)</f>
        <v>1.0088999999999999</v>
      </c>
      <c r="BI550" s="25">
        <f>VLOOKUP(Inventory[[#This Row],[Cnd]],Lookups!$T$7:$W$16,4,FALSE)</f>
        <v>0.99729999999999996</v>
      </c>
      <c r="BJ550" s="25">
        <f>VLOOKUP(Inventory[[#This Row],[LivArea Range]],Lookups!$T$25:$W$37,4,FALSE)</f>
        <v>1.0157</v>
      </c>
      <c r="BK550" s="25">
        <f>VLOOKUP(Inventory[[#This Row],[Decade]],Lookups!$O$25:$R$42,4,FALSE)</f>
        <v>1.0199</v>
      </c>
      <c r="BL550" s="25">
        <f>Inventory[[#This Row],[Nbhd Adj]]*0.95</f>
        <v>0.94971499999999998</v>
      </c>
      <c r="BM550" s="25">
        <f>Inventory[[#This Row],[Nbhd Adj]]*Inventory[[#This Row],[Quality Adj]]*Inventory[[#This Row],[Condition Adj]]*Inventory[[#This Row],[Living Area Adj]]*Inventory[[#This Row],[Decade Adj]]*0.95</f>
        <v>0.98989762598047604</v>
      </c>
      <c r="BN550" s="25">
        <f>ROUND(SUM(Inventory[[#This Row],[Mdl Qlty]:[Mdl WdDeck]])+Inventory[[#This Row],[Mdl Res Intercept]]*Inventory[[#This Row],[Res Adj ]],-2)</f>
        <v>263700</v>
      </c>
      <c r="BO550" s="25">
        <f>ROUND(Inventory[[#This Row],[25Det]]*Inventory[[#This Row],[Det/Nbhd Adj]],-2)</f>
        <v>0</v>
      </c>
      <c r="BP550" s="25">
        <f>Inventory[[#This Row],[Adjusted Res]]+Inventory[[#This Row],[Adj Det ]]</f>
        <v>263700</v>
      </c>
      <c r="BQ550" s="25">
        <f>ROUND((Inventory[[#This Row],[Mdl Land Intercept]]+Inventory[[#This Row],[Mdl LnAcres]])*Inventory[[#This Row],[Det/Nbhd Adj]],-2)</f>
        <v>36900</v>
      </c>
      <c r="BR550" s="25">
        <f>Inventory[[#This Row],[Adjusted Impr Total]]+Inventory[[#This Row],[Adjusted Land Total]]</f>
        <v>300600</v>
      </c>
      <c r="BS550" s="36">
        <f>IFERROR((Inventory[[#This Row],[Adjusted Impr Total]]-Inventory[[#This Row],[24Bldg]])/Inventory[[#This Row],[24Bldg]],0)</f>
        <v>0.1327319587628866</v>
      </c>
      <c r="BT550" s="36">
        <f>(Inventory[[#This Row],[Adjusted Land Total]]-Inventory[[#This Row],[24Lnd]])/Inventory[[#This Row],[24Lnd]]</f>
        <v>-0.36815068493150682</v>
      </c>
      <c r="BU550" s="36">
        <f>(Inventory[[#This Row],[Adjusted Total]]-Inventory[[#This Row],[24Final]])/Inventory[[#This Row],[24Final]]</f>
        <v>3.2280219780219783E-2</v>
      </c>
    </row>
    <row r="551" spans="1:73" x14ac:dyDescent="0.3">
      <c r="A551" s="25">
        <v>2025</v>
      </c>
      <c r="B551" s="26" t="s">
        <v>1363</v>
      </c>
      <c r="C551" s="26">
        <f>LN(Inventory[[#This Row],[Acres]])</f>
        <v>-1.5141277326297755</v>
      </c>
      <c r="D551" s="25">
        <v>0.22</v>
      </c>
      <c r="E551" s="32">
        <v>9779</v>
      </c>
      <c r="F551" s="26" t="s">
        <v>537</v>
      </c>
      <c r="G551" s="26" t="s">
        <v>126</v>
      </c>
      <c r="H551" s="26" t="s">
        <v>349</v>
      </c>
      <c r="I551" s="26" t="s">
        <v>538</v>
      </c>
      <c r="J551" s="26" t="s">
        <v>539</v>
      </c>
      <c r="K551" s="26" t="s">
        <v>241</v>
      </c>
      <c r="L551" s="26" t="s">
        <v>148</v>
      </c>
      <c r="M551" s="26" t="s">
        <v>323</v>
      </c>
      <c r="N551" s="26">
        <v>70</v>
      </c>
      <c r="O551" s="26">
        <f>2024-Inventory[[#This Row],[YrBlt]]</f>
        <v>67</v>
      </c>
      <c r="P551" s="26">
        <f>2024-Inventory[[#This Row],[EffYr]]</f>
        <v>50</v>
      </c>
      <c r="Q551" s="25">
        <v>1957</v>
      </c>
      <c r="R551" s="25">
        <v>1974</v>
      </c>
      <c r="S551" s="25">
        <v>1874</v>
      </c>
      <c r="T551" s="27"/>
      <c r="U551" s="31"/>
      <c r="V551" s="27">
        <f>Inventory[[#This Row],[Bsmt]]-Inventory[[#This Row],[FnBsmt]]</f>
        <v>0</v>
      </c>
      <c r="W551" s="27"/>
      <c r="X551" s="27"/>
      <c r="Y551" s="27">
        <f>Inventory[[#This Row],[MainFn]]+Inventory[[#This Row],[UpprFn]]+Inventory[[#This Row],[FnBsmt]]+Inventory[[#This Row],[AddFn]]</f>
        <v>1874</v>
      </c>
      <c r="Z551" s="27">
        <v>2000</v>
      </c>
      <c r="AA551" s="25">
        <v>9</v>
      </c>
      <c r="AB551" s="32">
        <v>242</v>
      </c>
      <c r="AC551" s="27"/>
      <c r="AD551" s="27"/>
      <c r="AE551" s="27"/>
      <c r="AF551" s="27"/>
      <c r="AG551" s="27"/>
      <c r="AH551" s="27"/>
      <c r="AI551" s="25">
        <v>442473</v>
      </c>
      <c r="AJ551" s="25">
        <v>309731</v>
      </c>
      <c r="AK551" s="25">
        <v>0</v>
      </c>
      <c r="AL551" s="25">
        <v>348800</v>
      </c>
      <c r="AM551" s="25">
        <v>61700</v>
      </c>
      <c r="AN551" s="25">
        <v>287100</v>
      </c>
      <c r="AO551" s="25">
        <v>0</v>
      </c>
      <c r="AP551" s="25">
        <f>Lookups!$B$56*0</f>
        <v>0</v>
      </c>
      <c r="AQ551" s="25">
        <f>Lookups!$B$56*1</f>
        <v>89850.625589999996</v>
      </c>
      <c r="AR551" s="25">
        <f>Lookups!$B$57*Inventory[[#This Row],[LnAcres]]</f>
        <v>-47929.131559187132</v>
      </c>
      <c r="AS551" s="25">
        <f>VLOOKUP(Inventory[[#This Row],[Qlty]],Lookups!$A$62:$E$75,2,FALSE)</f>
        <v>44121.038090000002</v>
      </c>
      <c r="AT551" s="25">
        <f>VLOOKUP(Inventory[[#This Row],[Cnd]],Lookups!$A$76:$E$84,2,FALSE)</f>
        <v>160472.20319</v>
      </c>
      <c r="AU551" s="25">
        <f>Inventory[[#This Row],[EffAge]]*Lookups!$B$85</f>
        <v>-11152.280025</v>
      </c>
      <c r="AV551" s="25">
        <f>Inventory[[#This Row],[MainFn]]*Lookups!$B$86</f>
        <v>92591.847349497999</v>
      </c>
      <c r="AW551" s="25">
        <f>Inventory[[#This Row],[UpprFn]]*Lookups!$B$87</f>
        <v>0</v>
      </c>
      <c r="AX551" s="25">
        <f>Inventory[[#This Row],[AddFn]]*Lookups!$B$88</f>
        <v>0</v>
      </c>
      <c r="AY551" s="25">
        <f>Inventory[[#This Row],[Bsmt]]*Lookups!$B$89</f>
        <v>0</v>
      </c>
      <c r="AZ551" s="25">
        <f>Inventory[[#This Row],[Fixtures]]*Lookups!$B$90</f>
        <v>34128.198946800003</v>
      </c>
      <c r="BA551" s="25">
        <f>Inventory[[#This Row],[WdDeck]]*Lookups!$B$91</f>
        <v>0</v>
      </c>
      <c r="BB551" s="25">
        <f>ROUND(Inventory[[#This Row],[25Det]],-2)</f>
        <v>0</v>
      </c>
      <c r="BC551" s="25">
        <f>ROUND(SUM(Inventory[[#This Row],[Mdl Qlty]:[Mdl WdDeck]])+Inventory[[#This Row],[Mdl Res Intercept]],-2)</f>
        <v>320200</v>
      </c>
      <c r="BD551" s="25">
        <f>ROUND(Inventory[[#This Row],[Mdl Land Intercept]]+Inventory[[#This Row],[Mdl LnAcres]],-2)</f>
        <v>41900</v>
      </c>
      <c r="BE551" s="25">
        <f>Inventory[[#This Row],[Unadj Res Value]]+Inventory[[#This Row],[Unadj Det Value]]+Inventory[[#This Row],[Unadj Land Value]]</f>
        <v>362100</v>
      </c>
      <c r="BF551" s="36">
        <f>(Inventory[[#This Row],[Unadj Total Value]]-Inventory[[#This Row],[24Final]])/Inventory[[#This Row],[24Final]]</f>
        <v>3.8130733944954129E-2</v>
      </c>
      <c r="BG551" s="25">
        <f>VLOOKUP(Inventory[[#This Row],[Nbhd]],Lookups!$Q$2:$T$4,4,FALSE)</f>
        <v>0.99970000000000003</v>
      </c>
      <c r="BH551" s="25">
        <f>VLOOKUP(Inventory[[#This Row],[Qlty]],Lookups!$O$7:$R$21,4,FALSE)</f>
        <v>0.98050000000000004</v>
      </c>
      <c r="BI551" s="25">
        <f>VLOOKUP(Inventory[[#This Row],[Cnd]],Lookups!$T$7:$W$16,4,FALSE)</f>
        <v>0.99729999999999996</v>
      </c>
      <c r="BJ551" s="25">
        <f>VLOOKUP(Inventory[[#This Row],[LivArea Range]],Lookups!$T$25:$W$37,4,FALSE)</f>
        <v>1.0093000000000001</v>
      </c>
      <c r="BK551" s="25">
        <f>VLOOKUP(Inventory[[#This Row],[Decade]],Lookups!$O$25:$R$42,4,FALSE)</f>
        <v>1.0199</v>
      </c>
      <c r="BL551" s="25">
        <f>Inventory[[#This Row],[Nbhd Adj]]*0.95</f>
        <v>0.94971499999999998</v>
      </c>
      <c r="BM551" s="25">
        <f>Inventory[[#This Row],[Nbhd Adj]]*Inventory[[#This Row],[Quality Adj]]*Inventory[[#This Row],[Condition Adj]]*Inventory[[#This Row],[Living Area Adj]]*Inventory[[#This Row],[Decade Adj]]*0.95</f>
        <v>0.95597069536964641</v>
      </c>
      <c r="BN551" s="25">
        <f>ROUND(SUM(Inventory[[#This Row],[Mdl Qlty]:[Mdl WdDeck]])+Inventory[[#This Row],[Mdl Res Intercept]]*Inventory[[#This Row],[Res Adj ]],-2)</f>
        <v>320200</v>
      </c>
      <c r="BO551" s="25">
        <f>ROUND(Inventory[[#This Row],[25Det]]*Inventory[[#This Row],[Det/Nbhd Adj]],-2)</f>
        <v>0</v>
      </c>
      <c r="BP551" s="25">
        <f>Inventory[[#This Row],[Adjusted Res]]+Inventory[[#This Row],[Adj Det ]]</f>
        <v>320200</v>
      </c>
      <c r="BQ551" s="25">
        <f>ROUND((Inventory[[#This Row],[Mdl Land Intercept]]+Inventory[[#This Row],[Mdl LnAcres]])*Inventory[[#This Row],[Det/Nbhd Adj]],-2)</f>
        <v>39800</v>
      </c>
      <c r="BR551" s="25">
        <f>Inventory[[#This Row],[Adjusted Impr Total]]+Inventory[[#This Row],[Adjusted Land Total]]</f>
        <v>360000</v>
      </c>
      <c r="BS551" s="36">
        <f>IFERROR((Inventory[[#This Row],[Adjusted Impr Total]]-Inventory[[#This Row],[24Bldg]])/Inventory[[#This Row],[24Bldg]],0)</f>
        <v>0.11529083942877047</v>
      </c>
      <c r="BT551" s="36">
        <f>(Inventory[[#This Row],[Adjusted Land Total]]-Inventory[[#This Row],[24Lnd]])/Inventory[[#This Row],[24Lnd]]</f>
        <v>-0.35494327390599678</v>
      </c>
      <c r="BU551" s="36">
        <f>(Inventory[[#This Row],[Adjusted Total]]-Inventory[[#This Row],[24Final]])/Inventory[[#This Row],[24Final]]</f>
        <v>3.2110091743119268E-2</v>
      </c>
    </row>
    <row r="552" spans="1:73" x14ac:dyDescent="0.3">
      <c r="A552" s="25">
        <v>2025</v>
      </c>
      <c r="B552" s="26" t="s">
        <v>2251</v>
      </c>
      <c r="C552" s="26">
        <f>LN(Inventory[[#This Row],[Acres]])</f>
        <v>-1.7147984280919266</v>
      </c>
      <c r="D552" s="25">
        <v>0.18</v>
      </c>
      <c r="E552" s="32">
        <v>7875</v>
      </c>
      <c r="F552" s="26" t="s">
        <v>537</v>
      </c>
      <c r="G552" s="26" t="s">
        <v>126</v>
      </c>
      <c r="H552" s="26" t="s">
        <v>349</v>
      </c>
      <c r="I552" s="26" t="s">
        <v>538</v>
      </c>
      <c r="J552" s="26" t="s">
        <v>539</v>
      </c>
      <c r="K552" s="26" t="s">
        <v>242</v>
      </c>
      <c r="L552" s="26" t="s">
        <v>351</v>
      </c>
      <c r="M552" s="26" t="s">
        <v>323</v>
      </c>
      <c r="N552" s="26">
        <v>70</v>
      </c>
      <c r="O552" s="26">
        <f>2024-Inventory[[#This Row],[YrBlt]]</f>
        <v>67</v>
      </c>
      <c r="P552" s="26">
        <f>2024-Inventory[[#This Row],[EffYr]]</f>
        <v>50</v>
      </c>
      <c r="Q552" s="25">
        <v>1957</v>
      </c>
      <c r="R552" s="25">
        <v>1974</v>
      </c>
      <c r="S552" s="25">
        <v>1094</v>
      </c>
      <c r="T552" s="27"/>
      <c r="U552" s="25">
        <v>1094</v>
      </c>
      <c r="V552" s="25">
        <f>Inventory[[#This Row],[Bsmt]]-Inventory[[#This Row],[FnBsmt]]</f>
        <v>540</v>
      </c>
      <c r="W552" s="25">
        <v>554</v>
      </c>
      <c r="X552" s="27"/>
      <c r="Y552" s="27">
        <f>Inventory[[#This Row],[MainFn]]+Inventory[[#This Row],[UpprFn]]+Inventory[[#This Row],[FnBsmt]]+Inventory[[#This Row],[AddFn]]</f>
        <v>1648</v>
      </c>
      <c r="Z552" s="27">
        <v>2000</v>
      </c>
      <c r="AA552" s="25">
        <v>7</v>
      </c>
      <c r="AB552" s="27"/>
      <c r="AC552" s="27"/>
      <c r="AD552" s="27"/>
      <c r="AE552" s="27"/>
      <c r="AF552" s="27"/>
      <c r="AG552" s="27"/>
      <c r="AH552" s="27"/>
      <c r="AI552" s="25">
        <v>258687</v>
      </c>
      <c r="AJ552" s="25">
        <v>181081</v>
      </c>
      <c r="AK552" s="25">
        <v>5613</v>
      </c>
      <c r="AL552" s="25">
        <v>312400</v>
      </c>
      <c r="AM552" s="25">
        <v>54700</v>
      </c>
      <c r="AN552" s="25">
        <v>257700</v>
      </c>
      <c r="AO552" s="25">
        <v>0</v>
      </c>
      <c r="AP552" s="25">
        <f>Lookups!$B$56*0</f>
        <v>0</v>
      </c>
      <c r="AQ552" s="25">
        <f>Lookups!$B$56*1</f>
        <v>89850.625589999996</v>
      </c>
      <c r="AR552" s="25">
        <f>Lookups!$B$57*Inventory[[#This Row],[LnAcres]]</f>
        <v>-54281.285314520763</v>
      </c>
      <c r="AS552" s="25">
        <f>VLOOKUP(Inventory[[#This Row],[Qlty]],Lookups!$A$62:$E$75,2,FALSE)</f>
        <v>21557.329055999999</v>
      </c>
      <c r="AT552" s="25">
        <f>VLOOKUP(Inventory[[#This Row],[Cnd]],Lookups!$A$76:$E$84,2,FALSE)</f>
        <v>160472.20319</v>
      </c>
      <c r="AU552" s="25">
        <f>Inventory[[#This Row],[EffAge]]*Lookups!$B$85</f>
        <v>-11152.280025</v>
      </c>
      <c r="AV552" s="25">
        <f>Inventory[[#This Row],[MainFn]]*Lookups!$B$86</f>
        <v>54053.084845438003</v>
      </c>
      <c r="AW552" s="25">
        <f>Inventory[[#This Row],[UpprFn]]*Lookups!$B$87</f>
        <v>0</v>
      </c>
      <c r="AX552" s="25">
        <f>Inventory[[#This Row],[AddFn]]*Lookups!$B$88</f>
        <v>0</v>
      </c>
      <c r="AY552" s="25">
        <f>Inventory[[#This Row],[Bsmt]]*Lookups!$B$89</f>
        <v>31815.593400218</v>
      </c>
      <c r="AZ552" s="25">
        <f>Inventory[[#This Row],[Fixtures]]*Lookups!$B$90</f>
        <v>26544.1547364</v>
      </c>
      <c r="BA552" s="25">
        <f>Inventory[[#This Row],[WdDeck]]*Lookups!$B$91</f>
        <v>0</v>
      </c>
      <c r="BB552" s="25">
        <f>ROUND(Inventory[[#This Row],[25Det]],-2)</f>
        <v>5600</v>
      </c>
      <c r="BC552" s="25">
        <f>ROUND(SUM(Inventory[[#This Row],[Mdl Qlty]:[Mdl WdDeck]])+Inventory[[#This Row],[Mdl Res Intercept]],-2)</f>
        <v>283300</v>
      </c>
      <c r="BD552" s="25">
        <f>ROUND(Inventory[[#This Row],[Mdl Land Intercept]]+Inventory[[#This Row],[Mdl LnAcres]],-2)</f>
        <v>35600</v>
      </c>
      <c r="BE552" s="25">
        <f>Inventory[[#This Row],[Unadj Res Value]]+Inventory[[#This Row],[Unadj Det Value]]+Inventory[[#This Row],[Unadj Land Value]]</f>
        <v>324500</v>
      </c>
      <c r="BF552" s="36">
        <f>(Inventory[[#This Row],[Unadj Total Value]]-Inventory[[#This Row],[24Final]])/Inventory[[#This Row],[24Final]]</f>
        <v>3.873239436619718E-2</v>
      </c>
      <c r="BG552" s="25">
        <f>VLOOKUP(Inventory[[#This Row],[Nbhd]],Lookups!$Q$2:$T$4,4,FALSE)</f>
        <v>0.99970000000000003</v>
      </c>
      <c r="BH552" s="25">
        <f>VLOOKUP(Inventory[[#This Row],[Qlty]],Lookups!$O$7:$R$21,4,FALSE)</f>
        <v>1.0067999999999999</v>
      </c>
      <c r="BI552" s="25">
        <f>VLOOKUP(Inventory[[#This Row],[Cnd]],Lookups!$T$7:$W$16,4,FALSE)</f>
        <v>0.99729999999999996</v>
      </c>
      <c r="BJ552" s="25">
        <f>VLOOKUP(Inventory[[#This Row],[LivArea Range]],Lookups!$T$25:$W$37,4,FALSE)</f>
        <v>1.0093000000000001</v>
      </c>
      <c r="BK552" s="25">
        <f>VLOOKUP(Inventory[[#This Row],[Decade]],Lookups!$O$25:$R$42,4,FALSE)</f>
        <v>1.0199</v>
      </c>
      <c r="BL552" s="25">
        <f>Inventory[[#This Row],[Nbhd Adj]]*0.95</f>
        <v>0.94971499999999998</v>
      </c>
      <c r="BM552" s="25">
        <f>Inventory[[#This Row],[Nbhd Adj]]*Inventory[[#This Row],[Quality Adj]]*Inventory[[#This Row],[Condition Adj]]*Inventory[[#This Row],[Living Area Adj]]*Inventory[[#This Row],[Decade Adj]]*0.95</f>
        <v>0.98161274461821502</v>
      </c>
      <c r="BN552" s="25">
        <f>ROUND(SUM(Inventory[[#This Row],[Mdl Qlty]:[Mdl WdDeck]])+Inventory[[#This Row],[Mdl Res Intercept]]*Inventory[[#This Row],[Res Adj ]],-2)</f>
        <v>283300</v>
      </c>
      <c r="BO552" s="25">
        <f>ROUND(Inventory[[#This Row],[25Det]]*Inventory[[#This Row],[Det/Nbhd Adj]],-2)</f>
        <v>5300</v>
      </c>
      <c r="BP552" s="25">
        <f>Inventory[[#This Row],[Adjusted Res]]+Inventory[[#This Row],[Adj Det ]]</f>
        <v>288600</v>
      </c>
      <c r="BQ552" s="25">
        <f>ROUND((Inventory[[#This Row],[Mdl Land Intercept]]+Inventory[[#This Row],[Mdl LnAcres]])*Inventory[[#This Row],[Det/Nbhd Adj]],-2)</f>
        <v>33800</v>
      </c>
      <c r="BR552" s="25">
        <f>Inventory[[#This Row],[Adjusted Impr Total]]+Inventory[[#This Row],[Adjusted Land Total]]</f>
        <v>322400</v>
      </c>
      <c r="BS552" s="36">
        <f>IFERROR((Inventory[[#This Row],[Adjusted Impr Total]]-Inventory[[#This Row],[24Bldg]])/Inventory[[#This Row],[24Bldg]],0)</f>
        <v>0.11990686845168801</v>
      </c>
      <c r="BT552" s="36">
        <f>(Inventory[[#This Row],[Adjusted Land Total]]-Inventory[[#This Row],[24Lnd]])/Inventory[[#This Row],[24Lnd]]</f>
        <v>-0.38208409506398539</v>
      </c>
      <c r="BU552" s="36">
        <f>(Inventory[[#This Row],[Adjusted Total]]-Inventory[[#This Row],[24Final]])/Inventory[[#This Row],[24Final]]</f>
        <v>3.2010243277848911E-2</v>
      </c>
    </row>
    <row r="553" spans="1:73" x14ac:dyDescent="0.3">
      <c r="A553" s="25">
        <v>2025</v>
      </c>
      <c r="B553" s="26" t="s">
        <v>1360</v>
      </c>
      <c r="C553" s="26">
        <f>LN(Inventory[[#This Row],[Acres]])</f>
        <v>-1.3862943611198906</v>
      </c>
      <c r="D553" s="25">
        <v>0.25</v>
      </c>
      <c r="E553" s="25">
        <v>10967</v>
      </c>
      <c r="F553" s="26" t="s">
        <v>537</v>
      </c>
      <c r="G553" s="26" t="s">
        <v>126</v>
      </c>
      <c r="H553" s="26" t="s">
        <v>349</v>
      </c>
      <c r="I553" s="26" t="s">
        <v>538</v>
      </c>
      <c r="J553" s="26" t="s">
        <v>539</v>
      </c>
      <c r="K553" s="26" t="s">
        <v>241</v>
      </c>
      <c r="L553" s="26" t="s">
        <v>148</v>
      </c>
      <c r="M553" s="26" t="s">
        <v>303</v>
      </c>
      <c r="N553" s="26">
        <v>70</v>
      </c>
      <c r="O553" s="26">
        <f>2024-Inventory[[#This Row],[YrBlt]]</f>
        <v>67</v>
      </c>
      <c r="P553" s="26">
        <f>2024-Inventory[[#This Row],[EffYr]]</f>
        <v>50</v>
      </c>
      <c r="Q553" s="25">
        <v>1957</v>
      </c>
      <c r="R553" s="25">
        <v>1974</v>
      </c>
      <c r="S553" s="25">
        <v>1494</v>
      </c>
      <c r="T553" s="27"/>
      <c r="U553" s="25">
        <v>1494</v>
      </c>
      <c r="V553" s="25">
        <f>Inventory[[#This Row],[Bsmt]]-Inventory[[#This Row],[FnBsmt]]</f>
        <v>95</v>
      </c>
      <c r="W553" s="25">
        <v>1399</v>
      </c>
      <c r="X553" s="27"/>
      <c r="Y553" s="27">
        <f>Inventory[[#This Row],[MainFn]]+Inventory[[#This Row],[UpprFn]]+Inventory[[#This Row],[FnBsmt]]+Inventory[[#This Row],[AddFn]]</f>
        <v>2893</v>
      </c>
      <c r="Z553" s="27">
        <v>3000</v>
      </c>
      <c r="AA553" s="25">
        <v>11</v>
      </c>
      <c r="AB553" s="32">
        <v>276</v>
      </c>
      <c r="AC553" s="27"/>
      <c r="AD553" s="27"/>
      <c r="AE553" s="27"/>
      <c r="AF553" s="27"/>
      <c r="AG553" s="27"/>
      <c r="AH553" s="27"/>
      <c r="AI553" s="25">
        <v>504058</v>
      </c>
      <c r="AJ553" s="25">
        <v>362922</v>
      </c>
      <c r="AK553" s="25">
        <v>22268</v>
      </c>
      <c r="AL553" s="25">
        <v>442700</v>
      </c>
      <c r="AM553" s="25">
        <v>66200</v>
      </c>
      <c r="AN553" s="25">
        <v>376500</v>
      </c>
      <c r="AO553" s="25">
        <v>0</v>
      </c>
      <c r="AP553" s="25">
        <f>Lookups!$B$56*0</f>
        <v>0</v>
      </c>
      <c r="AQ553" s="25">
        <f>Lookups!$B$56*1</f>
        <v>89850.625589999996</v>
      </c>
      <c r="AR553" s="25">
        <f>Lookups!$B$57*Inventory[[#This Row],[LnAcres]]</f>
        <v>-43882.615305165229</v>
      </c>
      <c r="AS553" s="25">
        <f>VLOOKUP(Inventory[[#This Row],[Qlty]],Lookups!$A$62:$E$75,2,FALSE)</f>
        <v>44121.038090000002</v>
      </c>
      <c r="AT553" s="25">
        <f>VLOOKUP(Inventory[[#This Row],[Cnd]],Lookups!$A$76:$E$84,2,FALSE)</f>
        <v>197752.34721000001</v>
      </c>
      <c r="AU553" s="25">
        <f>Inventory[[#This Row],[EffAge]]*Lookups!$B$85</f>
        <v>-11152.280025</v>
      </c>
      <c r="AV553" s="25">
        <f>Inventory[[#This Row],[MainFn]]*Lookups!$B$86</f>
        <v>73816.552796238</v>
      </c>
      <c r="AW553" s="25">
        <f>Inventory[[#This Row],[UpprFn]]*Lookups!$B$87</f>
        <v>0</v>
      </c>
      <c r="AX553" s="25">
        <f>Inventory[[#This Row],[AddFn]]*Lookups!$B$88</f>
        <v>0</v>
      </c>
      <c r="AY553" s="25">
        <f>Inventory[[#This Row],[Bsmt]]*Lookups!$B$89</f>
        <v>43448.351499017997</v>
      </c>
      <c r="AZ553" s="25">
        <f>Inventory[[#This Row],[Fixtures]]*Lookups!$B$90</f>
        <v>41712.243157199999</v>
      </c>
      <c r="BA553" s="25">
        <f>Inventory[[#This Row],[WdDeck]]*Lookups!$B$91</f>
        <v>0</v>
      </c>
      <c r="BB553" s="25">
        <f>ROUND(Inventory[[#This Row],[25Det]],-2)</f>
        <v>22300</v>
      </c>
      <c r="BC553" s="25">
        <f>ROUND(SUM(Inventory[[#This Row],[Mdl Qlty]:[Mdl WdDeck]])+Inventory[[#This Row],[Mdl Res Intercept]],-2)</f>
        <v>389700</v>
      </c>
      <c r="BD553" s="25">
        <f>ROUND(Inventory[[#This Row],[Mdl Land Intercept]]+Inventory[[#This Row],[Mdl LnAcres]],-2)</f>
        <v>46000</v>
      </c>
      <c r="BE553" s="25">
        <f>Inventory[[#This Row],[Unadj Res Value]]+Inventory[[#This Row],[Unadj Det Value]]+Inventory[[#This Row],[Unadj Land Value]]</f>
        <v>458000</v>
      </c>
      <c r="BF553" s="36">
        <f>(Inventory[[#This Row],[Unadj Total Value]]-Inventory[[#This Row],[24Final]])/Inventory[[#This Row],[24Final]]</f>
        <v>3.4560650553422181E-2</v>
      </c>
      <c r="BG553" s="25">
        <f>VLOOKUP(Inventory[[#This Row],[Nbhd]],Lookups!$Q$2:$T$4,4,FALSE)</f>
        <v>0.99970000000000003</v>
      </c>
      <c r="BH553" s="25">
        <f>VLOOKUP(Inventory[[#This Row],[Qlty]],Lookups!$O$7:$R$21,4,FALSE)</f>
        <v>0.98050000000000004</v>
      </c>
      <c r="BI553" s="25">
        <f>VLOOKUP(Inventory[[#This Row],[Cnd]],Lookups!$T$7:$W$16,4,FALSE)</f>
        <v>0.99650000000000005</v>
      </c>
      <c r="BJ553" s="25">
        <f>VLOOKUP(Inventory[[#This Row],[LivArea Range]],Lookups!$T$25:$W$37,4,FALSE)</f>
        <v>0.96179999999999999</v>
      </c>
      <c r="BK553" s="25">
        <f>VLOOKUP(Inventory[[#This Row],[Decade]],Lookups!$O$25:$R$42,4,FALSE)</f>
        <v>1.0199</v>
      </c>
      <c r="BL553" s="25">
        <f>Inventory[[#This Row],[Nbhd Adj]]*0.95</f>
        <v>0.94971499999999998</v>
      </c>
      <c r="BM553" s="25">
        <f>Inventory[[#This Row],[Nbhd Adj]]*Inventory[[#This Row],[Quality Adj]]*Inventory[[#This Row],[Condition Adj]]*Inventory[[#This Row],[Living Area Adj]]*Inventory[[#This Row],[Decade Adj]]*0.95</f>
        <v>0.91024973874989379</v>
      </c>
      <c r="BN553" s="25">
        <f>ROUND(SUM(Inventory[[#This Row],[Mdl Qlty]:[Mdl WdDeck]])+Inventory[[#This Row],[Mdl Res Intercept]]*Inventory[[#This Row],[Res Adj ]],-2)</f>
        <v>389700</v>
      </c>
      <c r="BO553" s="25">
        <f>ROUND(Inventory[[#This Row],[25Det]]*Inventory[[#This Row],[Det/Nbhd Adj]],-2)</f>
        <v>21100</v>
      </c>
      <c r="BP553" s="25">
        <f>Inventory[[#This Row],[Adjusted Res]]+Inventory[[#This Row],[Adj Det ]]</f>
        <v>410800</v>
      </c>
      <c r="BQ553" s="25">
        <f>ROUND((Inventory[[#This Row],[Mdl Land Intercept]]+Inventory[[#This Row],[Mdl LnAcres]])*Inventory[[#This Row],[Det/Nbhd Adj]],-2)</f>
        <v>43700</v>
      </c>
      <c r="BR553" s="25">
        <f>Inventory[[#This Row],[Adjusted Impr Total]]+Inventory[[#This Row],[Adjusted Land Total]]</f>
        <v>454500</v>
      </c>
      <c r="BS553" s="36">
        <f>IFERROR((Inventory[[#This Row],[Adjusted Impr Total]]-Inventory[[#This Row],[24Bldg]])/Inventory[[#This Row],[24Bldg]],0)</f>
        <v>9.1102257636122175E-2</v>
      </c>
      <c r="BT553" s="36">
        <f>(Inventory[[#This Row],[Adjusted Land Total]]-Inventory[[#This Row],[24Lnd]])/Inventory[[#This Row],[24Lnd]]</f>
        <v>-0.33987915407854985</v>
      </c>
      <c r="BU553" s="36">
        <f>(Inventory[[#This Row],[Adjusted Total]]-Inventory[[#This Row],[24Final]])/Inventory[[#This Row],[24Final]]</f>
        <v>2.6654619381070704E-2</v>
      </c>
    </row>
    <row r="554" spans="1:73" x14ac:dyDescent="0.3">
      <c r="A554" s="25">
        <v>2025</v>
      </c>
      <c r="B554" s="26" t="s">
        <v>2489</v>
      </c>
      <c r="C554" s="26">
        <f>LN(Inventory[[#This Row],[Acres]])</f>
        <v>-1.2039728043259361</v>
      </c>
      <c r="D554" s="25">
        <v>0.3</v>
      </c>
      <c r="E554" s="32">
        <v>13020</v>
      </c>
      <c r="F554" s="26" t="s">
        <v>537</v>
      </c>
      <c r="G554" s="26" t="s">
        <v>126</v>
      </c>
      <c r="H554" s="26" t="s">
        <v>349</v>
      </c>
      <c r="I554" s="26" t="s">
        <v>538</v>
      </c>
      <c r="J554" s="26" t="s">
        <v>539</v>
      </c>
      <c r="K554" s="26" t="s">
        <v>350</v>
      </c>
      <c r="L554" s="26" t="s">
        <v>148</v>
      </c>
      <c r="M554" s="26" t="s">
        <v>323</v>
      </c>
      <c r="N554" s="26">
        <v>70</v>
      </c>
      <c r="O554" s="26">
        <f>2024-Inventory[[#This Row],[YrBlt]]</f>
        <v>67</v>
      </c>
      <c r="P554" s="26">
        <f>2024-Inventory[[#This Row],[EffYr]]</f>
        <v>50</v>
      </c>
      <c r="Q554" s="25">
        <v>1957</v>
      </c>
      <c r="R554" s="25">
        <v>1974</v>
      </c>
      <c r="S554" s="25">
        <v>1452</v>
      </c>
      <c r="T554" s="27"/>
      <c r="U554" s="25">
        <v>696</v>
      </c>
      <c r="V554" s="25">
        <f>Inventory[[#This Row],[Bsmt]]-Inventory[[#This Row],[FnBsmt]]</f>
        <v>0</v>
      </c>
      <c r="W554" s="25">
        <v>696</v>
      </c>
      <c r="X554" s="27"/>
      <c r="Y554" s="27">
        <f>Inventory[[#This Row],[MainFn]]+Inventory[[#This Row],[UpprFn]]+Inventory[[#This Row],[FnBsmt]]+Inventory[[#This Row],[AddFn]]</f>
        <v>2148</v>
      </c>
      <c r="Z554" s="27">
        <v>2500</v>
      </c>
      <c r="AA554" s="25">
        <v>9</v>
      </c>
      <c r="AB554" s="32">
        <v>500</v>
      </c>
      <c r="AC554" s="27"/>
      <c r="AD554" s="27"/>
      <c r="AE554" s="27"/>
      <c r="AF554" s="27"/>
      <c r="AG554" s="27"/>
      <c r="AH554" s="27"/>
      <c r="AI554" s="25">
        <v>458727</v>
      </c>
      <c r="AJ554" s="25">
        <v>321109</v>
      </c>
      <c r="AK554" s="25">
        <v>45212</v>
      </c>
      <c r="AL554" s="25">
        <v>402800</v>
      </c>
      <c r="AM554" s="25">
        <v>72500</v>
      </c>
      <c r="AN554" s="25">
        <v>330300</v>
      </c>
      <c r="AO554" s="25">
        <v>0</v>
      </c>
      <c r="AP554" s="25">
        <f>Lookups!$B$56*0</f>
        <v>0</v>
      </c>
      <c r="AQ554" s="25">
        <f>Lookups!$B$56*1</f>
        <v>89850.625589999996</v>
      </c>
      <c r="AR554" s="25">
        <f>Lookups!$B$57*Inventory[[#This Row],[LnAcres]]</f>
        <v>-38111.29648355169</v>
      </c>
      <c r="AS554" s="25">
        <f>VLOOKUP(Inventory[[#This Row],[Qlty]],Lookups!$A$62:$E$75,2,FALSE)</f>
        <v>44121.038090000002</v>
      </c>
      <c r="AT554" s="25">
        <f>VLOOKUP(Inventory[[#This Row],[Cnd]],Lookups!$A$76:$E$84,2,FALSE)</f>
        <v>160472.20319</v>
      </c>
      <c r="AU554" s="25">
        <f>Inventory[[#This Row],[EffAge]]*Lookups!$B$85</f>
        <v>-11152.280025</v>
      </c>
      <c r="AV554" s="25">
        <f>Inventory[[#This Row],[MainFn]]*Lookups!$B$86</f>
        <v>71741.388661403995</v>
      </c>
      <c r="AW554" s="25">
        <f>Inventory[[#This Row],[UpprFn]]*Lookups!$B$87</f>
        <v>0</v>
      </c>
      <c r="AX554" s="25">
        <f>Inventory[[#This Row],[AddFn]]*Lookups!$B$88</f>
        <v>0</v>
      </c>
      <c r="AY554" s="25">
        <f>Inventory[[#This Row],[Bsmt]]*Lookups!$B$89</f>
        <v>20240.999091911999</v>
      </c>
      <c r="AZ554" s="25">
        <f>Inventory[[#This Row],[Fixtures]]*Lookups!$B$90</f>
        <v>34128.198946800003</v>
      </c>
      <c r="BA554" s="25">
        <f>Inventory[[#This Row],[WdDeck]]*Lookups!$B$91</f>
        <v>0</v>
      </c>
      <c r="BB554" s="25">
        <f>ROUND(Inventory[[#This Row],[25Det]],-2)</f>
        <v>45200</v>
      </c>
      <c r="BC554" s="25">
        <f>ROUND(SUM(Inventory[[#This Row],[Mdl Qlty]:[Mdl WdDeck]])+Inventory[[#This Row],[Mdl Res Intercept]],-2)</f>
        <v>319600</v>
      </c>
      <c r="BD554" s="25">
        <f>ROUND(Inventory[[#This Row],[Mdl Land Intercept]]+Inventory[[#This Row],[Mdl LnAcres]],-2)</f>
        <v>51700</v>
      </c>
      <c r="BE554" s="25">
        <f>Inventory[[#This Row],[Unadj Res Value]]+Inventory[[#This Row],[Unadj Det Value]]+Inventory[[#This Row],[Unadj Land Value]]</f>
        <v>416500</v>
      </c>
      <c r="BF554" s="36">
        <f>(Inventory[[#This Row],[Unadj Total Value]]-Inventory[[#This Row],[24Final]])/Inventory[[#This Row],[24Final]]</f>
        <v>3.4011916583912609E-2</v>
      </c>
      <c r="BG554" s="25">
        <f>VLOOKUP(Inventory[[#This Row],[Nbhd]],Lookups!$Q$2:$T$4,4,FALSE)</f>
        <v>0.99970000000000003</v>
      </c>
      <c r="BH554" s="25">
        <f>VLOOKUP(Inventory[[#This Row],[Qlty]],Lookups!$O$7:$R$21,4,FALSE)</f>
        <v>0.98050000000000004</v>
      </c>
      <c r="BI554" s="25">
        <f>VLOOKUP(Inventory[[#This Row],[Cnd]],Lookups!$T$7:$W$16,4,FALSE)</f>
        <v>0.99729999999999996</v>
      </c>
      <c r="BJ554" s="25">
        <f>VLOOKUP(Inventory[[#This Row],[LivArea Range]],Lookups!$T$25:$W$37,4,FALSE)</f>
        <v>0.98919999999999997</v>
      </c>
      <c r="BK554" s="25">
        <f>VLOOKUP(Inventory[[#This Row],[Decade]],Lookups!$O$25:$R$42,4,FALSE)</f>
        <v>1.0199</v>
      </c>
      <c r="BL554" s="25">
        <f>Inventory[[#This Row],[Nbhd Adj]]*0.95</f>
        <v>0.94971499999999998</v>
      </c>
      <c r="BM554" s="25">
        <f>Inventory[[#This Row],[Nbhd Adj]]*Inventory[[#This Row],[Quality Adj]]*Inventory[[#This Row],[Condition Adj]]*Inventory[[#This Row],[Living Area Adj]]*Inventory[[#This Row],[Decade Adj]]*0.95</f>
        <v>0.93693273740181715</v>
      </c>
      <c r="BN554" s="25">
        <f>ROUND(SUM(Inventory[[#This Row],[Mdl Qlty]:[Mdl WdDeck]])+Inventory[[#This Row],[Mdl Res Intercept]]*Inventory[[#This Row],[Res Adj ]],-2)</f>
        <v>319600</v>
      </c>
      <c r="BO554" s="25">
        <f>ROUND(Inventory[[#This Row],[25Det]]*Inventory[[#This Row],[Det/Nbhd Adj]],-2)</f>
        <v>42900</v>
      </c>
      <c r="BP554" s="25">
        <f>Inventory[[#This Row],[Adjusted Res]]+Inventory[[#This Row],[Adj Det ]]</f>
        <v>362500</v>
      </c>
      <c r="BQ554" s="25">
        <f>ROUND((Inventory[[#This Row],[Mdl Land Intercept]]+Inventory[[#This Row],[Mdl LnAcres]])*Inventory[[#This Row],[Det/Nbhd Adj]],-2)</f>
        <v>49100</v>
      </c>
      <c r="BR554" s="25">
        <f>Inventory[[#This Row],[Adjusted Impr Total]]+Inventory[[#This Row],[Adjusted Land Total]]</f>
        <v>411600</v>
      </c>
      <c r="BS554" s="36">
        <f>IFERROR((Inventory[[#This Row],[Adjusted Impr Total]]-Inventory[[#This Row],[24Bldg]])/Inventory[[#This Row],[24Bldg]],0)</f>
        <v>9.7487132909476235E-2</v>
      </c>
      <c r="BT554" s="36">
        <f>(Inventory[[#This Row],[Adjusted Land Total]]-Inventory[[#This Row],[24Lnd]])/Inventory[[#This Row],[24Lnd]]</f>
        <v>-0.32275862068965516</v>
      </c>
      <c r="BU554" s="36">
        <f>(Inventory[[#This Row],[Adjusted Total]]-Inventory[[#This Row],[24Final]])/Inventory[[#This Row],[24Final]]</f>
        <v>2.1847070506454815E-2</v>
      </c>
    </row>
    <row r="555" spans="1:73" x14ac:dyDescent="0.3">
      <c r="A555" s="25">
        <v>2025</v>
      </c>
      <c r="B555" s="26" t="s">
        <v>1357</v>
      </c>
      <c r="C555" s="26">
        <f>LN(Inventory[[#This Row],[Acres]])</f>
        <v>-1.4696759700589417</v>
      </c>
      <c r="D555" s="25">
        <v>0.23</v>
      </c>
      <c r="E555" s="32">
        <v>10044</v>
      </c>
      <c r="F555" s="26" t="s">
        <v>537</v>
      </c>
      <c r="G555" s="26" t="s">
        <v>126</v>
      </c>
      <c r="H555" s="26" t="s">
        <v>349</v>
      </c>
      <c r="I555" s="26" t="s">
        <v>538</v>
      </c>
      <c r="J555" s="26" t="s">
        <v>539</v>
      </c>
      <c r="K555" s="26" t="s">
        <v>241</v>
      </c>
      <c r="L555" s="26" t="s">
        <v>302</v>
      </c>
      <c r="M555" s="26" t="s">
        <v>303</v>
      </c>
      <c r="N555" s="26">
        <v>70</v>
      </c>
      <c r="O555" s="26">
        <f>2024-Inventory[[#This Row],[YrBlt]]</f>
        <v>67</v>
      </c>
      <c r="P555" s="26">
        <f>2024-Inventory[[#This Row],[EffYr]]</f>
        <v>50</v>
      </c>
      <c r="Q555" s="25">
        <v>1957</v>
      </c>
      <c r="R555" s="25">
        <v>1974</v>
      </c>
      <c r="S555" s="25">
        <v>1680</v>
      </c>
      <c r="T555" s="27"/>
      <c r="U555" s="32">
        <v>1723</v>
      </c>
      <c r="V555" s="32">
        <f>Inventory[[#This Row],[Bsmt]]-Inventory[[#This Row],[FnBsmt]]</f>
        <v>517</v>
      </c>
      <c r="W555" s="32">
        <v>1206</v>
      </c>
      <c r="X555" s="27"/>
      <c r="Y555" s="27">
        <f>Inventory[[#This Row],[MainFn]]+Inventory[[#This Row],[UpprFn]]+Inventory[[#This Row],[FnBsmt]]+Inventory[[#This Row],[AddFn]]</f>
        <v>2886</v>
      </c>
      <c r="Z555" s="27">
        <v>3000</v>
      </c>
      <c r="AA555" s="25">
        <v>11</v>
      </c>
      <c r="AB555" s="25">
        <v>540</v>
      </c>
      <c r="AC555" s="27"/>
      <c r="AD555" s="27"/>
      <c r="AE555" s="27"/>
      <c r="AF555" s="27"/>
      <c r="AG555" s="27"/>
      <c r="AH555" s="27"/>
      <c r="AI555" s="25">
        <v>496981</v>
      </c>
      <c r="AJ555" s="25">
        <v>357826</v>
      </c>
      <c r="AK555" s="25">
        <v>0</v>
      </c>
      <c r="AL555" s="25">
        <v>426900</v>
      </c>
      <c r="AM555" s="25">
        <v>63300</v>
      </c>
      <c r="AN555" s="25">
        <v>363600</v>
      </c>
      <c r="AO555" s="25">
        <v>0</v>
      </c>
      <c r="AP555" s="25">
        <f>Lookups!$B$56*0</f>
        <v>0</v>
      </c>
      <c r="AQ555" s="25">
        <f>Lookups!$B$56*1</f>
        <v>89850.625589999996</v>
      </c>
      <c r="AR555" s="25">
        <f>Lookups!$B$57*Inventory[[#This Row],[LnAcres]]</f>
        <v>-46522.028095997222</v>
      </c>
      <c r="AS555" s="25">
        <f>VLOOKUP(Inventory[[#This Row],[Qlty]],Lookups!$A$62:$E$75,2,FALSE)</f>
        <v>29814.093161000001</v>
      </c>
      <c r="AT555" s="25">
        <f>VLOOKUP(Inventory[[#This Row],[Cnd]],Lookups!$A$76:$E$84,2,FALSE)</f>
        <v>197752.34721000001</v>
      </c>
      <c r="AU555" s="25">
        <f>Inventory[[#This Row],[EffAge]]*Lookups!$B$85</f>
        <v>-11152.280025</v>
      </c>
      <c r="AV555" s="25">
        <f>Inventory[[#This Row],[MainFn]]*Lookups!$B$86</f>
        <v>83006.565393359997</v>
      </c>
      <c r="AW555" s="25">
        <f>Inventory[[#This Row],[UpprFn]]*Lookups!$B$87</f>
        <v>0</v>
      </c>
      <c r="AX555" s="25">
        <f>Inventory[[#This Row],[AddFn]]*Lookups!$B$88</f>
        <v>0</v>
      </c>
      <c r="AY555" s="25">
        <f>Inventory[[#This Row],[Bsmt]]*Lookups!$B$89</f>
        <v>50108.105510581001</v>
      </c>
      <c r="AZ555" s="25">
        <f>Inventory[[#This Row],[Fixtures]]*Lookups!$B$90</f>
        <v>41712.243157199999</v>
      </c>
      <c r="BA555" s="25">
        <f>Inventory[[#This Row],[WdDeck]]*Lookups!$B$91</f>
        <v>0</v>
      </c>
      <c r="BB555" s="25">
        <f>ROUND(Inventory[[#This Row],[25Det]],-2)</f>
        <v>0</v>
      </c>
      <c r="BC555" s="25">
        <f>ROUND(SUM(Inventory[[#This Row],[Mdl Qlty]:[Mdl WdDeck]])+Inventory[[#This Row],[Mdl Res Intercept]],-2)</f>
        <v>391200</v>
      </c>
      <c r="BD555" s="25">
        <f>ROUND(Inventory[[#This Row],[Mdl Land Intercept]]+Inventory[[#This Row],[Mdl LnAcres]],-2)</f>
        <v>43300</v>
      </c>
      <c r="BE555" s="25">
        <f>Inventory[[#This Row],[Unadj Res Value]]+Inventory[[#This Row],[Unadj Det Value]]+Inventory[[#This Row],[Unadj Land Value]]</f>
        <v>434500</v>
      </c>
      <c r="BF555" s="36">
        <f>(Inventory[[#This Row],[Unadj Total Value]]-Inventory[[#This Row],[24Final]])/Inventory[[#This Row],[24Final]]</f>
        <v>1.7802764113375499E-2</v>
      </c>
      <c r="BG555" s="25">
        <f>VLOOKUP(Inventory[[#This Row],[Nbhd]],Lookups!$Q$2:$T$4,4,FALSE)</f>
        <v>0.99970000000000003</v>
      </c>
      <c r="BH555" s="25">
        <f>VLOOKUP(Inventory[[#This Row],[Qlty]],Lookups!$O$7:$R$21,4,FALSE)</f>
        <v>1.0088999999999999</v>
      </c>
      <c r="BI555" s="25">
        <f>VLOOKUP(Inventory[[#This Row],[Cnd]],Lookups!$T$7:$W$16,4,FALSE)</f>
        <v>0.99650000000000005</v>
      </c>
      <c r="BJ555" s="25">
        <f>VLOOKUP(Inventory[[#This Row],[LivArea Range]],Lookups!$T$25:$W$37,4,FALSE)</f>
        <v>0.96179999999999999</v>
      </c>
      <c r="BK555" s="25">
        <f>VLOOKUP(Inventory[[#This Row],[Decade]],Lookups!$O$25:$R$42,4,FALSE)</f>
        <v>1.0199</v>
      </c>
      <c r="BL555" s="25">
        <f>Inventory[[#This Row],[Nbhd Adj]]*0.95</f>
        <v>0.94971499999999998</v>
      </c>
      <c r="BM555" s="25">
        <f>Inventory[[#This Row],[Nbhd Adj]]*Inventory[[#This Row],[Quality Adj]]*Inventory[[#This Row],[Condition Adj]]*Inventory[[#This Row],[Living Area Adj]]*Inventory[[#This Row],[Decade Adj]]*0.95</f>
        <v>0.93661495300843212</v>
      </c>
      <c r="BN555" s="25">
        <f>ROUND(SUM(Inventory[[#This Row],[Mdl Qlty]:[Mdl WdDeck]])+Inventory[[#This Row],[Mdl Res Intercept]]*Inventory[[#This Row],[Res Adj ]],-2)</f>
        <v>391200</v>
      </c>
      <c r="BO555" s="25">
        <f>ROUND(Inventory[[#This Row],[25Det]]*Inventory[[#This Row],[Det/Nbhd Adj]],-2)</f>
        <v>0</v>
      </c>
      <c r="BP555" s="25">
        <f>Inventory[[#This Row],[Adjusted Res]]+Inventory[[#This Row],[Adj Det ]]</f>
        <v>391200</v>
      </c>
      <c r="BQ555" s="25">
        <f>ROUND((Inventory[[#This Row],[Mdl Land Intercept]]+Inventory[[#This Row],[Mdl LnAcres]])*Inventory[[#This Row],[Det/Nbhd Adj]],-2)</f>
        <v>41100</v>
      </c>
      <c r="BR555" s="25">
        <f>Inventory[[#This Row],[Adjusted Impr Total]]+Inventory[[#This Row],[Adjusted Land Total]]</f>
        <v>432300</v>
      </c>
      <c r="BS555" s="36">
        <f>IFERROR((Inventory[[#This Row],[Adjusted Impr Total]]-Inventory[[#This Row],[24Bldg]])/Inventory[[#This Row],[24Bldg]],0)</f>
        <v>7.590759075907591E-2</v>
      </c>
      <c r="BT555" s="36">
        <f>(Inventory[[#This Row],[Adjusted Land Total]]-Inventory[[#This Row],[24Lnd]])/Inventory[[#This Row],[24Lnd]]</f>
        <v>-0.35071090047393366</v>
      </c>
      <c r="BU555" s="36">
        <f>(Inventory[[#This Row],[Adjusted Total]]-Inventory[[#This Row],[24Final]])/Inventory[[#This Row],[24Final]]</f>
        <v>1.2649332396345749E-2</v>
      </c>
    </row>
    <row r="556" spans="1:73" x14ac:dyDescent="0.3">
      <c r="A556" s="25">
        <v>2025</v>
      </c>
      <c r="B556" s="26" t="s">
        <v>1705</v>
      </c>
      <c r="C556" s="26">
        <f>LN(Inventory[[#This Row],[Acres]])</f>
        <v>-1.3470736479666092</v>
      </c>
      <c r="D556" s="25">
        <v>0.26</v>
      </c>
      <c r="E556" s="25">
        <v>11466</v>
      </c>
      <c r="F556" s="26" t="s">
        <v>537</v>
      </c>
      <c r="G556" s="26" t="s">
        <v>126</v>
      </c>
      <c r="H556" s="26" t="s">
        <v>349</v>
      </c>
      <c r="I556" s="26" t="s">
        <v>538</v>
      </c>
      <c r="J556" s="26" t="s">
        <v>539</v>
      </c>
      <c r="K556" s="26" t="s">
        <v>242</v>
      </c>
      <c r="L556" s="26" t="s">
        <v>148</v>
      </c>
      <c r="M556" s="26" t="s">
        <v>323</v>
      </c>
      <c r="N556" s="26">
        <v>70</v>
      </c>
      <c r="O556" s="26">
        <f>2024-Inventory[[#This Row],[YrBlt]]</f>
        <v>67</v>
      </c>
      <c r="P556" s="26">
        <f>2024-Inventory[[#This Row],[EffYr]]</f>
        <v>50</v>
      </c>
      <c r="Q556" s="25">
        <v>1957</v>
      </c>
      <c r="R556" s="25">
        <v>1974</v>
      </c>
      <c r="S556" s="25">
        <v>1617</v>
      </c>
      <c r="T556" s="27"/>
      <c r="U556" s="25">
        <v>1613</v>
      </c>
      <c r="V556" s="25">
        <f>Inventory[[#This Row],[Bsmt]]-Inventory[[#This Row],[FnBsmt]]</f>
        <v>484</v>
      </c>
      <c r="W556" s="25">
        <v>1129</v>
      </c>
      <c r="X556" s="27"/>
      <c r="Y556" s="27">
        <f>Inventory[[#This Row],[MainFn]]+Inventory[[#This Row],[UpprFn]]+Inventory[[#This Row],[FnBsmt]]+Inventory[[#This Row],[AddFn]]</f>
        <v>2746</v>
      </c>
      <c r="Z556" s="27">
        <v>3000</v>
      </c>
      <c r="AA556" s="25">
        <v>12</v>
      </c>
      <c r="AB556" s="27"/>
      <c r="AC556" s="27"/>
      <c r="AD556" s="27"/>
      <c r="AE556" s="27"/>
      <c r="AF556" s="27"/>
      <c r="AG556" s="27"/>
      <c r="AH556" s="27"/>
      <c r="AI556" s="25">
        <v>524087</v>
      </c>
      <c r="AJ556" s="25">
        <v>366861</v>
      </c>
      <c r="AK556" s="25">
        <v>38200</v>
      </c>
      <c r="AL556" s="25">
        <v>442100</v>
      </c>
      <c r="AM556" s="25">
        <v>67600</v>
      </c>
      <c r="AN556" s="25">
        <v>374500</v>
      </c>
      <c r="AO556" s="25">
        <v>0</v>
      </c>
      <c r="AP556" s="25">
        <f>Lookups!$B$56*0</f>
        <v>0</v>
      </c>
      <c r="AQ556" s="25">
        <f>Lookups!$B$56*1</f>
        <v>89850.625589999996</v>
      </c>
      <c r="AR556" s="25">
        <f>Lookups!$B$57*Inventory[[#This Row],[LnAcres]]</f>
        <v>-42641.098701210125</v>
      </c>
      <c r="AS556" s="25">
        <f>VLOOKUP(Inventory[[#This Row],[Qlty]],Lookups!$A$62:$E$75,2,FALSE)</f>
        <v>44121.038090000002</v>
      </c>
      <c r="AT556" s="25">
        <f>VLOOKUP(Inventory[[#This Row],[Cnd]],Lookups!$A$76:$E$84,2,FALSE)</f>
        <v>160472.20319</v>
      </c>
      <c r="AU556" s="25">
        <f>Inventory[[#This Row],[EffAge]]*Lookups!$B$85</f>
        <v>-11152.280025</v>
      </c>
      <c r="AV556" s="25">
        <f>Inventory[[#This Row],[MainFn]]*Lookups!$B$86</f>
        <v>79893.819191108996</v>
      </c>
      <c r="AW556" s="25">
        <f>Inventory[[#This Row],[UpprFn]]*Lookups!$B$87</f>
        <v>0</v>
      </c>
      <c r="AX556" s="25">
        <f>Inventory[[#This Row],[AddFn]]*Lookups!$B$88</f>
        <v>0</v>
      </c>
      <c r="AY556" s="25">
        <f>Inventory[[#This Row],[Bsmt]]*Lookups!$B$89</f>
        <v>46909.097033410995</v>
      </c>
      <c r="AZ556" s="25">
        <f>Inventory[[#This Row],[Fixtures]]*Lookups!$B$90</f>
        <v>45504.265262400004</v>
      </c>
      <c r="BA556" s="25">
        <f>Inventory[[#This Row],[WdDeck]]*Lookups!$B$91</f>
        <v>0</v>
      </c>
      <c r="BB556" s="25">
        <f>ROUND(Inventory[[#This Row],[25Det]],-2)</f>
        <v>38200</v>
      </c>
      <c r="BC556" s="25">
        <f>ROUND(SUM(Inventory[[#This Row],[Mdl Qlty]:[Mdl WdDeck]])+Inventory[[#This Row],[Mdl Res Intercept]],-2)</f>
        <v>365700</v>
      </c>
      <c r="BD556" s="25">
        <f>ROUND(Inventory[[#This Row],[Mdl Land Intercept]]+Inventory[[#This Row],[Mdl LnAcres]],-2)</f>
        <v>47200</v>
      </c>
      <c r="BE556" s="25">
        <f>Inventory[[#This Row],[Unadj Res Value]]+Inventory[[#This Row],[Unadj Det Value]]+Inventory[[#This Row],[Unadj Land Value]]</f>
        <v>451100</v>
      </c>
      <c r="BF556" s="36">
        <f>(Inventory[[#This Row],[Unadj Total Value]]-Inventory[[#This Row],[24Final]])/Inventory[[#This Row],[24Final]]</f>
        <v>2.0357385206966748E-2</v>
      </c>
      <c r="BG556" s="25">
        <f>VLOOKUP(Inventory[[#This Row],[Nbhd]],Lookups!$Q$2:$T$4,4,FALSE)</f>
        <v>0.99970000000000003</v>
      </c>
      <c r="BH556" s="25">
        <f>VLOOKUP(Inventory[[#This Row],[Qlty]],Lookups!$O$7:$R$21,4,FALSE)</f>
        <v>0.98050000000000004</v>
      </c>
      <c r="BI556" s="25">
        <f>VLOOKUP(Inventory[[#This Row],[Cnd]],Lookups!$T$7:$W$16,4,FALSE)</f>
        <v>0.99729999999999996</v>
      </c>
      <c r="BJ556" s="25">
        <f>VLOOKUP(Inventory[[#This Row],[LivArea Range]],Lookups!$T$25:$W$37,4,FALSE)</f>
        <v>0.96179999999999999</v>
      </c>
      <c r="BK556" s="25">
        <f>VLOOKUP(Inventory[[#This Row],[Decade]],Lookups!$O$25:$R$42,4,FALSE)</f>
        <v>1.0199</v>
      </c>
      <c r="BL556" s="25">
        <f>Inventory[[#This Row],[Nbhd Adj]]*0.95</f>
        <v>0.94971499999999998</v>
      </c>
      <c r="BM556" s="25">
        <f>Inventory[[#This Row],[Nbhd Adj]]*Inventory[[#This Row],[Quality Adj]]*Inventory[[#This Row],[Condition Adj]]*Inventory[[#This Row],[Living Area Adj]]*Inventory[[#This Row],[Decade Adj]]*0.95</f>
        <v>0.91098049619194077</v>
      </c>
      <c r="BN556" s="25">
        <f>ROUND(SUM(Inventory[[#This Row],[Mdl Qlty]:[Mdl WdDeck]])+Inventory[[#This Row],[Mdl Res Intercept]]*Inventory[[#This Row],[Res Adj ]],-2)</f>
        <v>365700</v>
      </c>
      <c r="BO556" s="25">
        <f>ROUND(Inventory[[#This Row],[25Det]]*Inventory[[#This Row],[Det/Nbhd Adj]],-2)</f>
        <v>36300</v>
      </c>
      <c r="BP556" s="25">
        <f>Inventory[[#This Row],[Adjusted Res]]+Inventory[[#This Row],[Adj Det ]]</f>
        <v>402000</v>
      </c>
      <c r="BQ556" s="25">
        <f>ROUND((Inventory[[#This Row],[Mdl Land Intercept]]+Inventory[[#This Row],[Mdl LnAcres]])*Inventory[[#This Row],[Det/Nbhd Adj]],-2)</f>
        <v>44800</v>
      </c>
      <c r="BR556" s="25">
        <f>Inventory[[#This Row],[Adjusted Impr Total]]+Inventory[[#This Row],[Adjusted Land Total]]</f>
        <v>446800</v>
      </c>
      <c r="BS556" s="36">
        <f>IFERROR((Inventory[[#This Row],[Adjusted Impr Total]]-Inventory[[#This Row],[24Bldg]])/Inventory[[#This Row],[24Bldg]],0)</f>
        <v>7.3431241655540727E-2</v>
      </c>
      <c r="BT556" s="36">
        <f>(Inventory[[#This Row],[Adjusted Land Total]]-Inventory[[#This Row],[24Lnd]])/Inventory[[#This Row],[24Lnd]]</f>
        <v>-0.33727810650887574</v>
      </c>
      <c r="BU556" s="36">
        <f>(Inventory[[#This Row],[Adjusted Total]]-Inventory[[#This Row],[24Final]])/Inventory[[#This Row],[24Final]]</f>
        <v>1.063107894141597E-2</v>
      </c>
    </row>
    <row r="557" spans="1:73" x14ac:dyDescent="0.3">
      <c r="A557" s="25">
        <v>2025</v>
      </c>
      <c r="B557" s="26" t="s">
        <v>1101</v>
      </c>
      <c r="C557" s="26">
        <f>LN(Inventory[[#This Row],[Acres]])</f>
        <v>-1.5141277326297755</v>
      </c>
      <c r="D557" s="25">
        <v>0.22</v>
      </c>
      <c r="E557" s="27"/>
      <c r="F557" s="26" t="s">
        <v>537</v>
      </c>
      <c r="G557" s="26" t="s">
        <v>126</v>
      </c>
      <c r="H557" s="26" t="s">
        <v>349</v>
      </c>
      <c r="I557" s="26" t="s">
        <v>538</v>
      </c>
      <c r="J557" s="26" t="s">
        <v>539</v>
      </c>
      <c r="K557" s="26" t="s">
        <v>241</v>
      </c>
      <c r="L557" s="26" t="s">
        <v>351</v>
      </c>
      <c r="M557" s="26" t="s">
        <v>206</v>
      </c>
      <c r="N557" s="26">
        <v>70</v>
      </c>
      <c r="O557" s="26">
        <f>2024-Inventory[[#This Row],[YrBlt]]</f>
        <v>67</v>
      </c>
      <c r="P557" s="26">
        <f>2024-Inventory[[#This Row],[EffYr]]</f>
        <v>50</v>
      </c>
      <c r="Q557" s="25">
        <v>1957</v>
      </c>
      <c r="R557" s="25">
        <v>1974</v>
      </c>
      <c r="S557" s="25">
        <v>1441</v>
      </c>
      <c r="T557" s="27"/>
      <c r="U557" s="32">
        <v>985</v>
      </c>
      <c r="V557" s="32">
        <f>Inventory[[#This Row],[Bsmt]]-Inventory[[#This Row],[FnBsmt]]</f>
        <v>0</v>
      </c>
      <c r="W557" s="32">
        <v>985</v>
      </c>
      <c r="X557" s="27"/>
      <c r="Y557" s="27">
        <f>Inventory[[#This Row],[MainFn]]+Inventory[[#This Row],[UpprFn]]+Inventory[[#This Row],[FnBsmt]]+Inventory[[#This Row],[AddFn]]</f>
        <v>2426</v>
      </c>
      <c r="Z557" s="27">
        <v>2500</v>
      </c>
      <c r="AA557" s="25">
        <v>7</v>
      </c>
      <c r="AB557" s="27"/>
      <c r="AC557" s="32">
        <v>456</v>
      </c>
      <c r="AD557" s="32">
        <v>133</v>
      </c>
      <c r="AE557" s="27"/>
      <c r="AF557" s="27"/>
      <c r="AG557" s="27"/>
      <c r="AH557" s="27"/>
      <c r="AI557" s="25">
        <v>348962</v>
      </c>
      <c r="AJ557" s="25">
        <v>240784</v>
      </c>
      <c r="AK557" s="25">
        <v>0</v>
      </c>
      <c r="AL557" s="25">
        <v>312200</v>
      </c>
      <c r="AM557" s="25">
        <v>61700</v>
      </c>
      <c r="AN557" s="25">
        <v>250500</v>
      </c>
      <c r="AO557" s="25">
        <v>0</v>
      </c>
      <c r="AP557" s="25">
        <f>Lookups!$B$56*0</f>
        <v>0</v>
      </c>
      <c r="AQ557" s="25">
        <f>Lookups!$B$56*1</f>
        <v>89850.625589999996</v>
      </c>
      <c r="AR557" s="25">
        <f>Lookups!$B$57*Inventory[[#This Row],[LnAcres]]</f>
        <v>-47929.131559187132</v>
      </c>
      <c r="AS557" s="25">
        <f>VLOOKUP(Inventory[[#This Row],[Qlty]],Lookups!$A$62:$E$75,2,FALSE)</f>
        <v>21557.329055999999</v>
      </c>
      <c r="AT557" s="25">
        <f>VLOOKUP(Inventory[[#This Row],[Cnd]],Lookups!$A$76:$E$84,2,FALSE)</f>
        <v>133714.53821</v>
      </c>
      <c r="AU557" s="25">
        <f>Inventory[[#This Row],[EffAge]]*Lookups!$B$85</f>
        <v>-11152.280025</v>
      </c>
      <c r="AV557" s="25">
        <f>Inventory[[#This Row],[MainFn]]*Lookups!$B$86</f>
        <v>71197.893292756999</v>
      </c>
      <c r="AW557" s="25">
        <f>Inventory[[#This Row],[UpprFn]]*Lookups!$B$87</f>
        <v>0</v>
      </c>
      <c r="AX557" s="25">
        <f>Inventory[[#This Row],[AddFn]]*Lookups!$B$88</f>
        <v>0</v>
      </c>
      <c r="AY557" s="25">
        <f>Inventory[[#This Row],[Bsmt]]*Lookups!$B$89</f>
        <v>28645.666818294998</v>
      </c>
      <c r="AZ557" s="25">
        <f>Inventory[[#This Row],[Fixtures]]*Lookups!$B$90</f>
        <v>26544.1547364</v>
      </c>
      <c r="BA557" s="25">
        <f>Inventory[[#This Row],[WdDeck]]*Lookups!$B$91</f>
        <v>4428.3035317080003</v>
      </c>
      <c r="BB557" s="25">
        <f>ROUND(Inventory[[#This Row],[25Det]],-2)</f>
        <v>0</v>
      </c>
      <c r="BC557" s="25">
        <f>ROUND(SUM(Inventory[[#This Row],[Mdl Qlty]:[Mdl WdDeck]])+Inventory[[#This Row],[Mdl Res Intercept]],-2)</f>
        <v>274900</v>
      </c>
      <c r="BD557" s="25">
        <f>ROUND(Inventory[[#This Row],[Mdl Land Intercept]]+Inventory[[#This Row],[Mdl LnAcres]],-2)</f>
        <v>41900</v>
      </c>
      <c r="BE557" s="25">
        <f>Inventory[[#This Row],[Unadj Res Value]]+Inventory[[#This Row],[Unadj Det Value]]+Inventory[[#This Row],[Unadj Land Value]]</f>
        <v>316800</v>
      </c>
      <c r="BF557" s="36">
        <f>(Inventory[[#This Row],[Unadj Total Value]]-Inventory[[#This Row],[24Final]])/Inventory[[#This Row],[24Final]]</f>
        <v>1.4734144778987828E-2</v>
      </c>
      <c r="BG557" s="25">
        <f>VLOOKUP(Inventory[[#This Row],[Nbhd]],Lookups!$Q$2:$T$4,4,FALSE)</f>
        <v>0.99970000000000003</v>
      </c>
      <c r="BH557" s="25">
        <f>VLOOKUP(Inventory[[#This Row],[Qlty]],Lookups!$O$7:$R$21,4,FALSE)</f>
        <v>1.0067999999999999</v>
      </c>
      <c r="BI557" s="25">
        <f>VLOOKUP(Inventory[[#This Row],[Cnd]],Lookups!$T$7:$W$16,4,FALSE)</f>
        <v>0.99329999999999996</v>
      </c>
      <c r="BJ557" s="25">
        <f>VLOOKUP(Inventory[[#This Row],[LivArea Range]],Lookups!$T$25:$W$37,4,FALSE)</f>
        <v>0.98919999999999997</v>
      </c>
      <c r="BK557" s="25">
        <f>VLOOKUP(Inventory[[#This Row],[Decade]],Lookups!$O$25:$R$42,4,FALSE)</f>
        <v>1.0199</v>
      </c>
      <c r="BL557" s="25">
        <f>Inventory[[#This Row],[Nbhd Adj]]*0.95</f>
        <v>0.94971499999999998</v>
      </c>
      <c r="BM557" s="25">
        <f>Inventory[[#This Row],[Nbhd Adj]]*Inventory[[#This Row],[Quality Adj]]*Inventory[[#This Row],[Condition Adj]]*Inventory[[#This Row],[Living Area Adj]]*Inventory[[#This Row],[Decade Adj]]*0.95</f>
        <v>0.95820545561751158</v>
      </c>
      <c r="BN557" s="25">
        <f>ROUND(SUM(Inventory[[#This Row],[Mdl Qlty]:[Mdl WdDeck]])+Inventory[[#This Row],[Mdl Res Intercept]]*Inventory[[#This Row],[Res Adj ]],-2)</f>
        <v>274900</v>
      </c>
      <c r="BO557" s="25">
        <f>ROUND(Inventory[[#This Row],[25Det]]*Inventory[[#This Row],[Det/Nbhd Adj]],-2)</f>
        <v>0</v>
      </c>
      <c r="BP557" s="25">
        <f>Inventory[[#This Row],[Adjusted Res]]+Inventory[[#This Row],[Adj Det ]]</f>
        <v>274900</v>
      </c>
      <c r="BQ557" s="25">
        <f>ROUND((Inventory[[#This Row],[Mdl Land Intercept]]+Inventory[[#This Row],[Mdl LnAcres]])*Inventory[[#This Row],[Det/Nbhd Adj]],-2)</f>
        <v>39800</v>
      </c>
      <c r="BR557" s="25">
        <f>Inventory[[#This Row],[Adjusted Impr Total]]+Inventory[[#This Row],[Adjusted Land Total]]</f>
        <v>314700</v>
      </c>
      <c r="BS557" s="36">
        <f>IFERROR((Inventory[[#This Row],[Adjusted Impr Total]]-Inventory[[#This Row],[24Bldg]])/Inventory[[#This Row],[24Bldg]],0)</f>
        <v>9.7405189620758489E-2</v>
      </c>
      <c r="BT557" s="36">
        <f>(Inventory[[#This Row],[Adjusted Land Total]]-Inventory[[#This Row],[24Lnd]])/Inventory[[#This Row],[24Lnd]]</f>
        <v>-0.35494327390599678</v>
      </c>
      <c r="BU557" s="36">
        <f>(Inventory[[#This Row],[Adjusted Total]]-Inventory[[#This Row],[24Final]])/Inventory[[#This Row],[24Final]]</f>
        <v>8.0076873798846891E-3</v>
      </c>
    </row>
    <row r="558" spans="1:73" x14ac:dyDescent="0.3">
      <c r="A558" s="25">
        <v>2025</v>
      </c>
      <c r="B558" s="26" t="s">
        <v>2287</v>
      </c>
      <c r="C558" s="26">
        <f>LN(Inventory[[#This Row],[Acres]])</f>
        <v>-1.0788096613719298</v>
      </c>
      <c r="D558" s="25">
        <v>0.34</v>
      </c>
      <c r="E558" s="32">
        <v>14800</v>
      </c>
      <c r="F558" s="26" t="s">
        <v>537</v>
      </c>
      <c r="G558" s="26" t="s">
        <v>126</v>
      </c>
      <c r="H558" s="26" t="s">
        <v>349</v>
      </c>
      <c r="I558" s="26" t="s">
        <v>538</v>
      </c>
      <c r="J558" s="26" t="s">
        <v>539</v>
      </c>
      <c r="K558" s="26" t="s">
        <v>300</v>
      </c>
      <c r="L558" s="26" t="s">
        <v>95</v>
      </c>
      <c r="M558" s="26" t="s">
        <v>303</v>
      </c>
      <c r="N558" s="26">
        <v>70</v>
      </c>
      <c r="O558" s="26">
        <f>2024-Inventory[[#This Row],[YrBlt]]</f>
        <v>67</v>
      </c>
      <c r="P558" s="26">
        <f>2024-Inventory[[#This Row],[EffYr]]</f>
        <v>50</v>
      </c>
      <c r="Q558" s="25">
        <v>1957</v>
      </c>
      <c r="R558" s="25">
        <v>1974</v>
      </c>
      <c r="S558" s="25">
        <v>3991</v>
      </c>
      <c r="T558" s="31"/>
      <c r="U558" s="27"/>
      <c r="V558" s="27">
        <f>Inventory[[#This Row],[Bsmt]]-Inventory[[#This Row],[FnBsmt]]</f>
        <v>0</v>
      </c>
      <c r="W558" s="27"/>
      <c r="X558" s="27"/>
      <c r="Y558" s="27">
        <f>Inventory[[#This Row],[MainFn]]+Inventory[[#This Row],[UpprFn]]+Inventory[[#This Row],[FnBsmt]]+Inventory[[#This Row],[AddFn]]</f>
        <v>3991</v>
      </c>
      <c r="Z558" s="27">
        <v>4000</v>
      </c>
      <c r="AA558" s="25">
        <v>11</v>
      </c>
      <c r="AB558" s="32">
        <v>269</v>
      </c>
      <c r="AC558" s="27"/>
      <c r="AD558" s="27"/>
      <c r="AE558" s="27"/>
      <c r="AF558" s="27"/>
      <c r="AG558" s="27"/>
      <c r="AH558" s="27"/>
      <c r="AI558" s="25">
        <v>812255</v>
      </c>
      <c r="AJ558" s="25">
        <v>592946</v>
      </c>
      <c r="AK558" s="25">
        <v>0</v>
      </c>
      <c r="AL558" s="25">
        <v>565800</v>
      </c>
      <c r="AM558" s="25">
        <v>76900</v>
      </c>
      <c r="AN558" s="25">
        <v>488900</v>
      </c>
      <c r="AO558" s="25">
        <v>0</v>
      </c>
      <c r="AP558" s="25">
        <f>Lookups!$B$56*0</f>
        <v>0</v>
      </c>
      <c r="AQ558" s="25">
        <f>Lookups!$B$56*1</f>
        <v>89850.625589999996</v>
      </c>
      <c r="AR558" s="25">
        <f>Lookups!$B$57*Inventory[[#This Row],[LnAcres]]</f>
        <v>-34149.305288406773</v>
      </c>
      <c r="AS558" s="25">
        <f>VLOOKUP(Inventory[[#This Row],[Qlty]],Lookups!$A$62:$E$75,2,FALSE)</f>
        <v>74268.409664999999</v>
      </c>
      <c r="AT558" s="25">
        <f>VLOOKUP(Inventory[[#This Row],[Cnd]],Lookups!$A$76:$E$84,2,FALSE)</f>
        <v>197752.34721000001</v>
      </c>
      <c r="AU558" s="25">
        <f>Inventory[[#This Row],[EffAge]]*Lookups!$B$85</f>
        <v>-11152.280025</v>
      </c>
      <c r="AV558" s="25">
        <f>Inventory[[#This Row],[MainFn]]*Lookups!$B$86</f>
        <v>197190.00147910701</v>
      </c>
      <c r="AW558" s="25">
        <f>Inventory[[#This Row],[UpprFn]]*Lookups!$B$87</f>
        <v>0</v>
      </c>
      <c r="AX558" s="25">
        <f>Inventory[[#This Row],[AddFn]]*Lookups!$B$88</f>
        <v>0</v>
      </c>
      <c r="AY558" s="25">
        <f>Inventory[[#This Row],[Bsmt]]*Lookups!$B$89</f>
        <v>0</v>
      </c>
      <c r="AZ558" s="25">
        <f>Inventory[[#This Row],[Fixtures]]*Lookups!$B$90</f>
        <v>41712.243157199999</v>
      </c>
      <c r="BA558" s="25">
        <f>Inventory[[#This Row],[WdDeck]]*Lookups!$B$91</f>
        <v>0</v>
      </c>
      <c r="BB558" s="25">
        <f>ROUND(Inventory[[#This Row],[25Det]],-2)</f>
        <v>0</v>
      </c>
      <c r="BC558" s="25">
        <f>ROUND(SUM(Inventory[[#This Row],[Mdl Qlty]:[Mdl WdDeck]])+Inventory[[#This Row],[Mdl Res Intercept]],-2)</f>
        <v>499800</v>
      </c>
      <c r="BD558" s="25">
        <f>ROUND(Inventory[[#This Row],[Mdl Land Intercept]]+Inventory[[#This Row],[Mdl LnAcres]],-2)</f>
        <v>55700</v>
      </c>
      <c r="BE558" s="25">
        <f>Inventory[[#This Row],[Unadj Res Value]]+Inventory[[#This Row],[Unadj Det Value]]+Inventory[[#This Row],[Unadj Land Value]]</f>
        <v>555500</v>
      </c>
      <c r="BF558" s="36">
        <f>(Inventory[[#This Row],[Unadj Total Value]]-Inventory[[#This Row],[24Final]])/Inventory[[#This Row],[24Final]]</f>
        <v>-1.8204312477907388E-2</v>
      </c>
      <c r="BG558" s="25">
        <f>VLOOKUP(Inventory[[#This Row],[Nbhd]],Lookups!$Q$2:$T$4,4,FALSE)</f>
        <v>0.99970000000000003</v>
      </c>
      <c r="BH558" s="25">
        <f>VLOOKUP(Inventory[[#This Row],[Qlty]],Lookups!$O$7:$R$21,4,FALSE)</f>
        <v>0.98380000000000001</v>
      </c>
      <c r="BI558" s="25">
        <f>VLOOKUP(Inventory[[#This Row],[Cnd]],Lookups!$T$7:$W$16,4,FALSE)</f>
        <v>0.99650000000000005</v>
      </c>
      <c r="BJ558" s="25">
        <f>VLOOKUP(Inventory[[#This Row],[LivArea Range]],Lookups!$T$25:$W$37,4,FALSE)</f>
        <v>0.94579999999999997</v>
      </c>
      <c r="BK558" s="25">
        <f>VLOOKUP(Inventory[[#This Row],[Decade]],Lookups!$O$25:$R$42,4,FALSE)</f>
        <v>1.0199</v>
      </c>
      <c r="BL558" s="25">
        <f>Inventory[[#This Row],[Nbhd Adj]]*0.95</f>
        <v>0.94971499999999998</v>
      </c>
      <c r="BM558" s="25">
        <f>Inventory[[#This Row],[Nbhd Adj]]*Inventory[[#This Row],[Quality Adj]]*Inventory[[#This Row],[Condition Adj]]*Inventory[[#This Row],[Living Area Adj]]*Inventory[[#This Row],[Decade Adj]]*0.95</f>
        <v>0.8981199016319511</v>
      </c>
      <c r="BN558" s="25">
        <f>ROUND(SUM(Inventory[[#This Row],[Mdl Qlty]:[Mdl WdDeck]])+Inventory[[#This Row],[Mdl Res Intercept]]*Inventory[[#This Row],[Res Adj ]],-2)</f>
        <v>499800</v>
      </c>
      <c r="BO558" s="25">
        <f>ROUND(Inventory[[#This Row],[25Det]]*Inventory[[#This Row],[Det/Nbhd Adj]],-2)</f>
        <v>0</v>
      </c>
      <c r="BP558" s="25">
        <f>Inventory[[#This Row],[Adjusted Res]]+Inventory[[#This Row],[Adj Det ]]</f>
        <v>499800</v>
      </c>
      <c r="BQ558" s="25">
        <f>ROUND((Inventory[[#This Row],[Mdl Land Intercept]]+Inventory[[#This Row],[Mdl LnAcres]])*Inventory[[#This Row],[Det/Nbhd Adj]],-2)</f>
        <v>52900</v>
      </c>
      <c r="BR558" s="25">
        <f>Inventory[[#This Row],[Adjusted Impr Total]]+Inventory[[#This Row],[Adjusted Land Total]]</f>
        <v>552700</v>
      </c>
      <c r="BS558" s="36">
        <f>IFERROR((Inventory[[#This Row],[Adjusted Impr Total]]-Inventory[[#This Row],[24Bldg]])/Inventory[[#This Row],[24Bldg]],0)</f>
        <v>2.2294947842094497E-2</v>
      </c>
      <c r="BT558" s="36">
        <f>(Inventory[[#This Row],[Adjusted Land Total]]-Inventory[[#This Row],[24Lnd]])/Inventory[[#This Row],[24Lnd]]</f>
        <v>-0.31209362808842656</v>
      </c>
      <c r="BU558" s="36">
        <f>(Inventory[[#This Row],[Adjusted Total]]-Inventory[[#This Row],[24Final]])/Inventory[[#This Row],[24Final]]</f>
        <v>-2.3153057617532696E-2</v>
      </c>
    </row>
    <row r="559" spans="1:73" x14ac:dyDescent="0.3">
      <c r="A559" s="25">
        <v>2025</v>
      </c>
      <c r="B559" s="26" t="s">
        <v>1142</v>
      </c>
      <c r="C559" s="26">
        <f>LN(Inventory[[#This Row],[Acres]])</f>
        <v>-2.3025850929940455</v>
      </c>
      <c r="D559" s="25">
        <v>0.1</v>
      </c>
      <c r="E559" s="31"/>
      <c r="F559" s="26" t="s">
        <v>537</v>
      </c>
      <c r="G559" s="26" t="s">
        <v>126</v>
      </c>
      <c r="H559" s="26" t="s">
        <v>349</v>
      </c>
      <c r="I559" s="26" t="s">
        <v>538</v>
      </c>
      <c r="J559" s="26" t="s">
        <v>539</v>
      </c>
      <c r="K559" s="26" t="s">
        <v>241</v>
      </c>
      <c r="L559" s="26" t="s">
        <v>351</v>
      </c>
      <c r="M559" s="26" t="s">
        <v>323</v>
      </c>
      <c r="N559" s="26">
        <v>70</v>
      </c>
      <c r="O559" s="26">
        <f>2024-Inventory[[#This Row],[YrBlt]]</f>
        <v>68</v>
      </c>
      <c r="P559" s="26">
        <f>2024-Inventory[[#This Row],[EffYr]]</f>
        <v>50</v>
      </c>
      <c r="Q559" s="25">
        <v>1956</v>
      </c>
      <c r="R559" s="25">
        <v>1974</v>
      </c>
      <c r="S559" s="25">
        <v>946</v>
      </c>
      <c r="T559" s="27"/>
      <c r="U559" s="25">
        <v>704</v>
      </c>
      <c r="V559" s="25">
        <f>Inventory[[#This Row],[Bsmt]]-Inventory[[#This Row],[FnBsmt]]</f>
        <v>704</v>
      </c>
      <c r="W559" s="31"/>
      <c r="X559" s="27"/>
      <c r="Y559" s="27">
        <f>Inventory[[#This Row],[MainFn]]+Inventory[[#This Row],[UpprFn]]+Inventory[[#This Row],[FnBsmt]]+Inventory[[#This Row],[AddFn]]</f>
        <v>946</v>
      </c>
      <c r="Z559" s="27">
        <v>1000</v>
      </c>
      <c r="AA559" s="25">
        <v>5</v>
      </c>
      <c r="AB559" s="27"/>
      <c r="AC559" s="27"/>
      <c r="AD559" s="31"/>
      <c r="AE559" s="27"/>
      <c r="AF559" s="27"/>
      <c r="AG559" s="27"/>
      <c r="AH559" s="27"/>
      <c r="AI559" s="25">
        <v>186521</v>
      </c>
      <c r="AJ559" s="25">
        <v>130565</v>
      </c>
      <c r="AK559" s="25">
        <v>0</v>
      </c>
      <c r="AL559" s="25">
        <v>249500</v>
      </c>
      <c r="AM559" s="25">
        <v>34200</v>
      </c>
      <c r="AN559" s="25">
        <v>215300</v>
      </c>
      <c r="AO559" s="25">
        <v>0</v>
      </c>
      <c r="AP559" s="25">
        <f>Lookups!$B$56*0</f>
        <v>0</v>
      </c>
      <c r="AQ559" s="25">
        <f>Lookups!$B$56*1</f>
        <v>89850.625589999996</v>
      </c>
      <c r="AR559" s="25">
        <f>Lookups!$B$57*Inventory[[#This Row],[LnAcres]]</f>
        <v>-72887.446329681261</v>
      </c>
      <c r="AS559" s="25">
        <f>VLOOKUP(Inventory[[#This Row],[Qlty]],Lookups!$A$62:$E$75,2,FALSE)</f>
        <v>21557.329055999999</v>
      </c>
      <c r="AT559" s="25">
        <f>VLOOKUP(Inventory[[#This Row],[Cnd]],Lookups!$A$76:$E$84,2,FALSE)</f>
        <v>160472.20319</v>
      </c>
      <c r="AU559" s="25">
        <f>Inventory[[#This Row],[EffAge]]*Lookups!$B$85</f>
        <v>-11152.280025</v>
      </c>
      <c r="AV559" s="25">
        <f>Inventory[[#This Row],[MainFn]]*Lookups!$B$86</f>
        <v>46740.601703642002</v>
      </c>
      <c r="AW559" s="25">
        <f>Inventory[[#This Row],[UpprFn]]*Lookups!$B$87</f>
        <v>0</v>
      </c>
      <c r="AX559" s="25">
        <f>Inventory[[#This Row],[AddFn]]*Lookups!$B$88</f>
        <v>0</v>
      </c>
      <c r="AY559" s="25">
        <f>Inventory[[#This Row],[Bsmt]]*Lookups!$B$89</f>
        <v>20473.654253887998</v>
      </c>
      <c r="AZ559" s="25">
        <f>Inventory[[#This Row],[Fixtures]]*Lookups!$B$90</f>
        <v>18960.110526</v>
      </c>
      <c r="BA559" s="25">
        <f>Inventory[[#This Row],[WdDeck]]*Lookups!$B$91</f>
        <v>0</v>
      </c>
      <c r="BB559" s="25">
        <f>ROUND(Inventory[[#This Row],[25Det]],-2)</f>
        <v>0</v>
      </c>
      <c r="BC559" s="25">
        <f>ROUND(SUM(Inventory[[#This Row],[Mdl Qlty]:[Mdl WdDeck]])+Inventory[[#This Row],[Mdl Res Intercept]],-2)</f>
        <v>257100</v>
      </c>
      <c r="BD559" s="25">
        <f>ROUND(Inventory[[#This Row],[Mdl Land Intercept]]+Inventory[[#This Row],[Mdl LnAcres]],-2)</f>
        <v>17000</v>
      </c>
      <c r="BE559" s="25">
        <f>Inventory[[#This Row],[Unadj Res Value]]+Inventory[[#This Row],[Unadj Det Value]]+Inventory[[#This Row],[Unadj Land Value]]</f>
        <v>274100</v>
      </c>
      <c r="BF559" s="36">
        <f>(Inventory[[#This Row],[Unadj Total Value]]-Inventory[[#This Row],[24Final]])/Inventory[[#This Row],[24Final]]</f>
        <v>9.8597194388777551E-2</v>
      </c>
      <c r="BG559" s="25">
        <f>VLOOKUP(Inventory[[#This Row],[Nbhd]],Lookups!$Q$2:$T$4,4,FALSE)</f>
        <v>0.99970000000000003</v>
      </c>
      <c r="BH559" s="25">
        <f>VLOOKUP(Inventory[[#This Row],[Qlty]],Lookups!$O$7:$R$21,4,FALSE)</f>
        <v>1.0067999999999999</v>
      </c>
      <c r="BI559" s="25">
        <f>VLOOKUP(Inventory[[#This Row],[Cnd]],Lookups!$T$7:$W$16,4,FALSE)</f>
        <v>0.99729999999999996</v>
      </c>
      <c r="BJ559" s="25">
        <f>VLOOKUP(Inventory[[#This Row],[LivArea Range]],Lookups!$T$25:$W$37,4,FALSE)</f>
        <v>1.0148999999999999</v>
      </c>
      <c r="BK559" s="25">
        <f>VLOOKUP(Inventory[[#This Row],[Decade]],Lookups!$O$25:$R$42,4,FALSE)</f>
        <v>1.0199</v>
      </c>
      <c r="BL559" s="25">
        <f>Inventory[[#This Row],[Nbhd Adj]]*0.95</f>
        <v>0.94971499999999998</v>
      </c>
      <c r="BM559" s="25">
        <f>Inventory[[#This Row],[Nbhd Adj]]*Inventory[[#This Row],[Quality Adj]]*Inventory[[#This Row],[Condition Adj]]*Inventory[[#This Row],[Living Area Adj]]*Inventory[[#This Row],[Decade Adj]]*0.95</f>
        <v>0.98705912465374646</v>
      </c>
      <c r="BN559" s="25">
        <f>ROUND(SUM(Inventory[[#This Row],[Mdl Qlty]:[Mdl WdDeck]])+Inventory[[#This Row],[Mdl Res Intercept]]*Inventory[[#This Row],[Res Adj ]],-2)</f>
        <v>257100</v>
      </c>
      <c r="BO559" s="25">
        <f>ROUND(Inventory[[#This Row],[25Det]]*Inventory[[#This Row],[Det/Nbhd Adj]],-2)</f>
        <v>0</v>
      </c>
      <c r="BP559" s="25">
        <f>Inventory[[#This Row],[Adjusted Res]]+Inventory[[#This Row],[Adj Det ]]</f>
        <v>257100</v>
      </c>
      <c r="BQ559" s="25">
        <f>ROUND((Inventory[[#This Row],[Mdl Land Intercept]]+Inventory[[#This Row],[Mdl LnAcres]])*Inventory[[#This Row],[Det/Nbhd Adj]],-2)</f>
        <v>16100</v>
      </c>
      <c r="BR559" s="25">
        <f>Inventory[[#This Row],[Adjusted Impr Total]]+Inventory[[#This Row],[Adjusted Land Total]]</f>
        <v>273200</v>
      </c>
      <c r="BS559" s="36">
        <f>IFERROR((Inventory[[#This Row],[Adjusted Impr Total]]-Inventory[[#This Row],[24Bldg]])/Inventory[[#This Row],[24Bldg]],0)</f>
        <v>0.19414770088248956</v>
      </c>
      <c r="BT559" s="36">
        <f>(Inventory[[#This Row],[Adjusted Land Total]]-Inventory[[#This Row],[24Lnd]])/Inventory[[#This Row],[24Lnd]]</f>
        <v>-0.5292397660818714</v>
      </c>
      <c r="BU559" s="36">
        <f>(Inventory[[#This Row],[Adjusted Total]]-Inventory[[#This Row],[24Final]])/Inventory[[#This Row],[24Final]]</f>
        <v>9.498997995991984E-2</v>
      </c>
    </row>
    <row r="560" spans="1:73" x14ac:dyDescent="0.3">
      <c r="A560" s="25">
        <v>2025</v>
      </c>
      <c r="B560" s="26" t="s">
        <v>1322</v>
      </c>
      <c r="C560" s="26">
        <f>LN(Inventory[[#This Row],[Acres]])</f>
        <v>-1.9661128563728327</v>
      </c>
      <c r="D560" s="25">
        <v>0.14000000000000001</v>
      </c>
      <c r="E560" s="25">
        <v>6084</v>
      </c>
      <c r="F560" s="26" t="s">
        <v>537</v>
      </c>
      <c r="G560" s="26" t="s">
        <v>126</v>
      </c>
      <c r="H560" s="26" t="s">
        <v>349</v>
      </c>
      <c r="I560" s="26" t="s">
        <v>538</v>
      </c>
      <c r="J560" s="26" t="s">
        <v>539</v>
      </c>
      <c r="K560" s="26" t="s">
        <v>241</v>
      </c>
      <c r="L560" s="26" t="s">
        <v>351</v>
      </c>
      <c r="M560" s="26" t="s">
        <v>303</v>
      </c>
      <c r="N560" s="26">
        <v>70</v>
      </c>
      <c r="O560" s="26">
        <f>2024-Inventory[[#This Row],[YrBlt]]</f>
        <v>68</v>
      </c>
      <c r="P560" s="26">
        <f>2024-Inventory[[#This Row],[EffYr]]</f>
        <v>50</v>
      </c>
      <c r="Q560" s="25">
        <v>1956</v>
      </c>
      <c r="R560" s="25">
        <v>1974</v>
      </c>
      <c r="S560" s="25">
        <v>1204</v>
      </c>
      <c r="T560" s="27"/>
      <c r="U560" s="31"/>
      <c r="V560" s="31">
        <f>Inventory[[#This Row],[Bsmt]]-Inventory[[#This Row],[FnBsmt]]</f>
        <v>0</v>
      </c>
      <c r="W560" s="31"/>
      <c r="X560" s="27"/>
      <c r="Y560" s="27">
        <f>Inventory[[#This Row],[MainFn]]+Inventory[[#This Row],[UpprFn]]+Inventory[[#This Row],[FnBsmt]]+Inventory[[#This Row],[AddFn]]</f>
        <v>1204</v>
      </c>
      <c r="Z560" s="27">
        <v>1500</v>
      </c>
      <c r="AA560" s="25">
        <v>5</v>
      </c>
      <c r="AB560" s="32">
        <v>312</v>
      </c>
      <c r="AC560" s="27"/>
      <c r="AD560" s="27"/>
      <c r="AE560" s="27"/>
      <c r="AF560" s="27"/>
      <c r="AG560" s="27"/>
      <c r="AH560" s="27"/>
      <c r="AI560" s="25">
        <v>213272</v>
      </c>
      <c r="AJ560" s="25">
        <v>153556</v>
      </c>
      <c r="AK560" s="25">
        <v>0</v>
      </c>
      <c r="AL560" s="25">
        <v>287300</v>
      </c>
      <c r="AM560" s="25">
        <v>46000</v>
      </c>
      <c r="AN560" s="25">
        <v>241300</v>
      </c>
      <c r="AO560" s="25">
        <v>0</v>
      </c>
      <c r="AP560" s="25">
        <f>Lookups!$B$56*0</f>
        <v>0</v>
      </c>
      <c r="AQ560" s="25">
        <f>Lookups!$B$56*1</f>
        <v>89850.625589999996</v>
      </c>
      <c r="AR560" s="25">
        <f>Lookups!$B$57*Inventory[[#This Row],[LnAcres]]</f>
        <v>-62236.546971921947</v>
      </c>
      <c r="AS560" s="25">
        <f>VLOOKUP(Inventory[[#This Row],[Qlty]],Lookups!$A$62:$E$75,2,FALSE)</f>
        <v>21557.329055999999</v>
      </c>
      <c r="AT560" s="25">
        <f>VLOOKUP(Inventory[[#This Row],[Cnd]],Lookups!$A$76:$E$84,2,FALSE)</f>
        <v>197752.34721000001</v>
      </c>
      <c r="AU560" s="25">
        <f>Inventory[[#This Row],[EffAge]]*Lookups!$B$85</f>
        <v>-11152.280025</v>
      </c>
      <c r="AV560" s="25">
        <f>Inventory[[#This Row],[MainFn]]*Lookups!$B$86</f>
        <v>59488.038531908001</v>
      </c>
      <c r="AW560" s="25">
        <f>Inventory[[#This Row],[UpprFn]]*Lookups!$B$87</f>
        <v>0</v>
      </c>
      <c r="AX560" s="25">
        <f>Inventory[[#This Row],[AddFn]]*Lookups!$B$88</f>
        <v>0</v>
      </c>
      <c r="AY560" s="25">
        <f>Inventory[[#This Row],[Bsmt]]*Lookups!$B$89</f>
        <v>0</v>
      </c>
      <c r="AZ560" s="25">
        <f>Inventory[[#This Row],[Fixtures]]*Lookups!$B$90</f>
        <v>18960.110526</v>
      </c>
      <c r="BA560" s="25">
        <f>Inventory[[#This Row],[WdDeck]]*Lookups!$B$91</f>
        <v>0</v>
      </c>
      <c r="BB560" s="25">
        <f>ROUND(Inventory[[#This Row],[25Det]],-2)</f>
        <v>0</v>
      </c>
      <c r="BC560" s="25">
        <f>ROUND(SUM(Inventory[[#This Row],[Mdl Qlty]:[Mdl WdDeck]])+Inventory[[#This Row],[Mdl Res Intercept]],-2)</f>
        <v>286600</v>
      </c>
      <c r="BD560" s="25">
        <f>ROUND(Inventory[[#This Row],[Mdl Land Intercept]]+Inventory[[#This Row],[Mdl LnAcres]],-2)</f>
        <v>27600</v>
      </c>
      <c r="BE560" s="25">
        <f>Inventory[[#This Row],[Unadj Res Value]]+Inventory[[#This Row],[Unadj Det Value]]+Inventory[[#This Row],[Unadj Land Value]]</f>
        <v>314200</v>
      </c>
      <c r="BF560" s="36">
        <f>(Inventory[[#This Row],[Unadj Total Value]]-Inventory[[#This Row],[24Final]])/Inventory[[#This Row],[24Final]]</f>
        <v>9.363035154890359E-2</v>
      </c>
      <c r="BG560" s="25">
        <f>VLOOKUP(Inventory[[#This Row],[Nbhd]],Lookups!$Q$2:$T$4,4,FALSE)</f>
        <v>0.99970000000000003</v>
      </c>
      <c r="BH560" s="25">
        <f>VLOOKUP(Inventory[[#This Row],[Qlty]],Lookups!$O$7:$R$21,4,FALSE)</f>
        <v>1.0067999999999999</v>
      </c>
      <c r="BI560" s="25">
        <f>VLOOKUP(Inventory[[#This Row],[Cnd]],Lookups!$T$7:$W$16,4,FALSE)</f>
        <v>0.99650000000000005</v>
      </c>
      <c r="BJ560" s="25">
        <f>VLOOKUP(Inventory[[#This Row],[LivArea Range]],Lookups!$T$25:$W$37,4,FALSE)</f>
        <v>1.0157</v>
      </c>
      <c r="BK560" s="25">
        <f>VLOOKUP(Inventory[[#This Row],[Decade]],Lookups!$O$25:$R$42,4,FALSE)</f>
        <v>1.0199</v>
      </c>
      <c r="BL560" s="25">
        <f>Inventory[[#This Row],[Nbhd Adj]]*0.95</f>
        <v>0.94971499999999998</v>
      </c>
      <c r="BM560" s="25">
        <f>Inventory[[#This Row],[Nbhd Adj]]*Inventory[[#This Row],[Quality Adj]]*Inventory[[#This Row],[Condition Adj]]*Inventory[[#This Row],[Living Area Adj]]*Inventory[[#This Row],[Decade Adj]]*0.95</f>
        <v>0.98704476969641131</v>
      </c>
      <c r="BN560" s="25">
        <f>ROUND(SUM(Inventory[[#This Row],[Mdl Qlty]:[Mdl WdDeck]])+Inventory[[#This Row],[Mdl Res Intercept]]*Inventory[[#This Row],[Res Adj ]],-2)</f>
        <v>286600</v>
      </c>
      <c r="BO560" s="25">
        <f>ROUND(Inventory[[#This Row],[25Det]]*Inventory[[#This Row],[Det/Nbhd Adj]],-2)</f>
        <v>0</v>
      </c>
      <c r="BP560" s="25">
        <f>Inventory[[#This Row],[Adjusted Res]]+Inventory[[#This Row],[Adj Det ]]</f>
        <v>286600</v>
      </c>
      <c r="BQ560" s="25">
        <f>ROUND((Inventory[[#This Row],[Mdl Land Intercept]]+Inventory[[#This Row],[Mdl LnAcres]])*Inventory[[#This Row],[Det/Nbhd Adj]],-2)</f>
        <v>26200</v>
      </c>
      <c r="BR560" s="25">
        <f>Inventory[[#This Row],[Adjusted Impr Total]]+Inventory[[#This Row],[Adjusted Land Total]]</f>
        <v>312800</v>
      </c>
      <c r="BS560" s="36">
        <f>IFERROR((Inventory[[#This Row],[Adjusted Impr Total]]-Inventory[[#This Row],[24Bldg]])/Inventory[[#This Row],[24Bldg]],0)</f>
        <v>0.18773311230832987</v>
      </c>
      <c r="BT560" s="36">
        <f>(Inventory[[#This Row],[Adjusted Land Total]]-Inventory[[#This Row],[24Lnd]])/Inventory[[#This Row],[24Lnd]]</f>
        <v>-0.43043478260869567</v>
      </c>
      <c r="BU560" s="36">
        <f>(Inventory[[#This Row],[Adjusted Total]]-Inventory[[#This Row],[24Final]])/Inventory[[#This Row],[24Final]]</f>
        <v>8.8757396449704137E-2</v>
      </c>
    </row>
    <row r="561" spans="1:73" x14ac:dyDescent="0.3">
      <c r="A561" s="25">
        <v>2025</v>
      </c>
      <c r="B561" s="26" t="s">
        <v>1617</v>
      </c>
      <c r="C561" s="26">
        <f>LN(Inventory[[#This Row],[Acres]])</f>
        <v>-1.6607312068216509</v>
      </c>
      <c r="D561" s="25">
        <v>0.19</v>
      </c>
      <c r="E561" s="27"/>
      <c r="F561" s="26" t="s">
        <v>537</v>
      </c>
      <c r="G561" s="26" t="s">
        <v>126</v>
      </c>
      <c r="H561" s="26" t="s">
        <v>349</v>
      </c>
      <c r="I561" s="26" t="s">
        <v>538</v>
      </c>
      <c r="J561" s="26" t="s">
        <v>539</v>
      </c>
      <c r="K561" s="26" t="s">
        <v>242</v>
      </c>
      <c r="L561" s="26" t="s">
        <v>351</v>
      </c>
      <c r="M561" s="26" t="s">
        <v>323</v>
      </c>
      <c r="N561" s="26">
        <v>70</v>
      </c>
      <c r="O561" s="26">
        <f>2024-Inventory[[#This Row],[YrBlt]]</f>
        <v>68</v>
      </c>
      <c r="P561" s="26">
        <f>2024-Inventory[[#This Row],[EffYr]]</f>
        <v>50</v>
      </c>
      <c r="Q561" s="25">
        <v>1956</v>
      </c>
      <c r="R561" s="25">
        <v>1974</v>
      </c>
      <c r="S561" s="25">
        <v>1063</v>
      </c>
      <c r="T561" s="27"/>
      <c r="U561" s="25">
        <v>1063</v>
      </c>
      <c r="V561" s="25">
        <f>Inventory[[#This Row],[Bsmt]]-Inventory[[#This Row],[FnBsmt]]</f>
        <v>1063</v>
      </c>
      <c r="W561" s="31"/>
      <c r="X561" s="27"/>
      <c r="Y561" s="27">
        <f>Inventory[[#This Row],[MainFn]]+Inventory[[#This Row],[UpprFn]]+Inventory[[#This Row],[FnBsmt]]+Inventory[[#This Row],[AddFn]]</f>
        <v>1063</v>
      </c>
      <c r="Z561" s="27">
        <v>1500</v>
      </c>
      <c r="AA561" s="25">
        <v>5</v>
      </c>
      <c r="AB561" s="27"/>
      <c r="AC561" s="27"/>
      <c r="AD561" s="27"/>
      <c r="AE561" s="27"/>
      <c r="AF561" s="27"/>
      <c r="AG561" s="27"/>
      <c r="AH561" s="27"/>
      <c r="AI561" s="25">
        <v>217959</v>
      </c>
      <c r="AJ561" s="25">
        <v>152571</v>
      </c>
      <c r="AK561" s="25">
        <v>0</v>
      </c>
      <c r="AL561" s="25">
        <v>283900</v>
      </c>
      <c r="AM561" s="25">
        <v>56600</v>
      </c>
      <c r="AN561" s="25">
        <v>227300</v>
      </c>
      <c r="AO561" s="25">
        <v>0</v>
      </c>
      <c r="AP561" s="25">
        <f>Lookups!$B$56*0</f>
        <v>0</v>
      </c>
      <c r="AQ561" s="25">
        <f>Lookups!$B$56*1</f>
        <v>89850.625589999996</v>
      </c>
      <c r="AR561" s="25">
        <f>Lookups!$B$57*Inventory[[#This Row],[LnAcres]]</f>
        <v>-52569.808201026557</v>
      </c>
      <c r="AS561" s="25">
        <f>VLOOKUP(Inventory[[#This Row],[Qlty]],Lookups!$A$62:$E$75,2,FALSE)</f>
        <v>21557.329055999999</v>
      </c>
      <c r="AT561" s="25">
        <f>VLOOKUP(Inventory[[#This Row],[Cnd]],Lookups!$A$76:$E$84,2,FALSE)</f>
        <v>160472.20319</v>
      </c>
      <c r="AU561" s="25">
        <f>Inventory[[#This Row],[EffAge]]*Lookups!$B$85</f>
        <v>-11152.280025</v>
      </c>
      <c r="AV561" s="25">
        <f>Inventory[[#This Row],[MainFn]]*Lookups!$B$86</f>
        <v>52521.416079251001</v>
      </c>
      <c r="AW561" s="25">
        <f>Inventory[[#This Row],[UpprFn]]*Lookups!$B$87</f>
        <v>0</v>
      </c>
      <c r="AX561" s="25">
        <f>Inventory[[#This Row],[AddFn]]*Lookups!$B$88</f>
        <v>0</v>
      </c>
      <c r="AY561" s="25">
        <f>Inventory[[#This Row],[Bsmt]]*Lookups!$B$89</f>
        <v>30914.054647560999</v>
      </c>
      <c r="AZ561" s="25">
        <f>Inventory[[#This Row],[Fixtures]]*Lookups!$B$90</f>
        <v>18960.110526</v>
      </c>
      <c r="BA561" s="25">
        <f>Inventory[[#This Row],[WdDeck]]*Lookups!$B$91</f>
        <v>0</v>
      </c>
      <c r="BB561" s="25">
        <f>ROUND(Inventory[[#This Row],[25Det]],-2)</f>
        <v>0</v>
      </c>
      <c r="BC561" s="25">
        <f>ROUND(SUM(Inventory[[#This Row],[Mdl Qlty]:[Mdl WdDeck]])+Inventory[[#This Row],[Mdl Res Intercept]],-2)</f>
        <v>273300</v>
      </c>
      <c r="BD561" s="25">
        <f>ROUND(Inventory[[#This Row],[Mdl Land Intercept]]+Inventory[[#This Row],[Mdl LnAcres]],-2)</f>
        <v>37300</v>
      </c>
      <c r="BE561" s="25">
        <f>Inventory[[#This Row],[Unadj Res Value]]+Inventory[[#This Row],[Unadj Det Value]]+Inventory[[#This Row],[Unadj Land Value]]</f>
        <v>310600</v>
      </c>
      <c r="BF561" s="36">
        <f>(Inventory[[#This Row],[Unadj Total Value]]-Inventory[[#This Row],[24Final]])/Inventory[[#This Row],[24Final]]</f>
        <v>9.4047199718210642E-2</v>
      </c>
      <c r="BG561" s="25">
        <f>VLOOKUP(Inventory[[#This Row],[Nbhd]],Lookups!$Q$2:$T$4,4,FALSE)</f>
        <v>0.99970000000000003</v>
      </c>
      <c r="BH561" s="25">
        <f>VLOOKUP(Inventory[[#This Row],[Qlty]],Lookups!$O$7:$R$21,4,FALSE)</f>
        <v>1.0067999999999999</v>
      </c>
      <c r="BI561" s="25">
        <f>VLOOKUP(Inventory[[#This Row],[Cnd]],Lookups!$T$7:$W$16,4,FALSE)</f>
        <v>0.99729999999999996</v>
      </c>
      <c r="BJ561" s="25">
        <f>VLOOKUP(Inventory[[#This Row],[LivArea Range]],Lookups!$T$25:$W$37,4,FALSE)</f>
        <v>1.0157</v>
      </c>
      <c r="BK561" s="25">
        <f>VLOOKUP(Inventory[[#This Row],[Decade]],Lookups!$O$25:$R$42,4,FALSE)</f>
        <v>1.0199</v>
      </c>
      <c r="BL561" s="25">
        <f>Inventory[[#This Row],[Nbhd Adj]]*0.95</f>
        <v>0.94971499999999998</v>
      </c>
      <c r="BM561" s="25">
        <f>Inventory[[#This Row],[Nbhd Adj]]*Inventory[[#This Row],[Quality Adj]]*Inventory[[#This Row],[Condition Adj]]*Inventory[[#This Row],[Living Area Adj]]*Inventory[[#This Row],[Decade Adj]]*0.95</f>
        <v>0.98783717894453682</v>
      </c>
      <c r="BN561" s="25">
        <f>ROUND(SUM(Inventory[[#This Row],[Mdl Qlty]:[Mdl WdDeck]])+Inventory[[#This Row],[Mdl Res Intercept]]*Inventory[[#This Row],[Res Adj ]],-2)</f>
        <v>273300</v>
      </c>
      <c r="BO561" s="25">
        <f>ROUND(Inventory[[#This Row],[25Det]]*Inventory[[#This Row],[Det/Nbhd Adj]],-2)</f>
        <v>0</v>
      </c>
      <c r="BP561" s="25">
        <f>Inventory[[#This Row],[Adjusted Res]]+Inventory[[#This Row],[Adj Det ]]</f>
        <v>273300</v>
      </c>
      <c r="BQ561" s="25">
        <f>ROUND((Inventory[[#This Row],[Mdl Land Intercept]]+Inventory[[#This Row],[Mdl LnAcres]])*Inventory[[#This Row],[Det/Nbhd Adj]],-2)</f>
        <v>35400</v>
      </c>
      <c r="BR561" s="25">
        <f>Inventory[[#This Row],[Adjusted Impr Total]]+Inventory[[#This Row],[Adjusted Land Total]]</f>
        <v>308700</v>
      </c>
      <c r="BS561" s="36">
        <f>IFERROR((Inventory[[#This Row],[Adjusted Impr Total]]-Inventory[[#This Row],[24Bldg]])/Inventory[[#This Row],[24Bldg]],0)</f>
        <v>0.2023757149142103</v>
      </c>
      <c r="BT561" s="36">
        <f>(Inventory[[#This Row],[Adjusted Land Total]]-Inventory[[#This Row],[24Lnd]])/Inventory[[#This Row],[24Lnd]]</f>
        <v>-0.37455830388692579</v>
      </c>
      <c r="BU561" s="36">
        <f>(Inventory[[#This Row],[Adjusted Total]]-Inventory[[#This Row],[24Final]])/Inventory[[#This Row],[24Final]]</f>
        <v>8.7354702359985908E-2</v>
      </c>
    </row>
    <row r="562" spans="1:73" x14ac:dyDescent="0.3">
      <c r="A562" s="25">
        <v>2025</v>
      </c>
      <c r="B562" s="26" t="s">
        <v>849</v>
      </c>
      <c r="C562" s="26">
        <f>LN(Inventory[[#This Row],[Acres]])</f>
        <v>-1.6607312068216509</v>
      </c>
      <c r="D562" s="25">
        <v>0.19</v>
      </c>
      <c r="E562" s="32">
        <v>8073</v>
      </c>
      <c r="F562" s="26" t="s">
        <v>537</v>
      </c>
      <c r="G562" s="26" t="s">
        <v>126</v>
      </c>
      <c r="H562" s="26" t="s">
        <v>349</v>
      </c>
      <c r="I562" s="26" t="s">
        <v>538</v>
      </c>
      <c r="J562" s="26" t="s">
        <v>539</v>
      </c>
      <c r="K562" s="26" t="s">
        <v>241</v>
      </c>
      <c r="L562" s="26" t="s">
        <v>351</v>
      </c>
      <c r="M562" s="26" t="s">
        <v>323</v>
      </c>
      <c r="N562" s="26">
        <v>70</v>
      </c>
      <c r="O562" s="26">
        <f>2024-Inventory[[#This Row],[YrBlt]]</f>
        <v>68</v>
      </c>
      <c r="P562" s="26">
        <f>2024-Inventory[[#This Row],[EffYr]]</f>
        <v>50</v>
      </c>
      <c r="Q562" s="25">
        <v>1956</v>
      </c>
      <c r="R562" s="25">
        <v>1974</v>
      </c>
      <c r="S562" s="25">
        <v>950</v>
      </c>
      <c r="T562" s="27"/>
      <c r="U562" s="25">
        <v>950</v>
      </c>
      <c r="V562" s="25">
        <f>Inventory[[#This Row],[Bsmt]]-Inventory[[#This Row],[FnBsmt]]</f>
        <v>950</v>
      </c>
      <c r="W562" s="25">
        <v>0</v>
      </c>
      <c r="X562" s="27"/>
      <c r="Y562" s="27">
        <f>Inventory[[#This Row],[MainFn]]+Inventory[[#This Row],[UpprFn]]+Inventory[[#This Row],[FnBsmt]]+Inventory[[#This Row],[AddFn]]</f>
        <v>950</v>
      </c>
      <c r="Z562" s="27">
        <v>1000</v>
      </c>
      <c r="AA562" s="25">
        <v>7</v>
      </c>
      <c r="AB562" s="27"/>
      <c r="AC562" s="27"/>
      <c r="AD562" s="31"/>
      <c r="AE562" s="27"/>
      <c r="AF562" s="27"/>
      <c r="AG562" s="27"/>
      <c r="AH562" s="27"/>
      <c r="AI562" s="25">
        <v>191985</v>
      </c>
      <c r="AJ562" s="25">
        <v>134390</v>
      </c>
      <c r="AK562" s="25">
        <v>0</v>
      </c>
      <c r="AL562" s="25">
        <v>284200</v>
      </c>
      <c r="AM562" s="25">
        <v>56600</v>
      </c>
      <c r="AN562" s="25">
        <v>227600</v>
      </c>
      <c r="AO562" s="25">
        <v>0</v>
      </c>
      <c r="AP562" s="25">
        <f>Lookups!$B$56*0</f>
        <v>0</v>
      </c>
      <c r="AQ562" s="25">
        <f>Lookups!$B$56*1</f>
        <v>89850.625589999996</v>
      </c>
      <c r="AR562" s="25">
        <f>Lookups!$B$57*Inventory[[#This Row],[LnAcres]]</f>
        <v>-52569.808201026557</v>
      </c>
      <c r="AS562" s="25">
        <f>VLOOKUP(Inventory[[#This Row],[Qlty]],Lookups!$A$62:$E$75,2,FALSE)</f>
        <v>21557.329055999999</v>
      </c>
      <c r="AT562" s="25">
        <f>VLOOKUP(Inventory[[#This Row],[Cnd]],Lookups!$A$76:$E$84,2,FALSE)</f>
        <v>160472.20319</v>
      </c>
      <c r="AU562" s="25">
        <f>Inventory[[#This Row],[EffAge]]*Lookups!$B$85</f>
        <v>-11152.280025</v>
      </c>
      <c r="AV562" s="25">
        <f>Inventory[[#This Row],[MainFn]]*Lookups!$B$86</f>
        <v>46938.236383150004</v>
      </c>
      <c r="AW562" s="25">
        <f>Inventory[[#This Row],[UpprFn]]*Lookups!$B$87</f>
        <v>0</v>
      </c>
      <c r="AX562" s="25">
        <f>Inventory[[#This Row],[AddFn]]*Lookups!$B$88</f>
        <v>0</v>
      </c>
      <c r="AY562" s="25">
        <f>Inventory[[#This Row],[Bsmt]]*Lookups!$B$89</f>
        <v>27627.800484649997</v>
      </c>
      <c r="AZ562" s="25">
        <f>Inventory[[#This Row],[Fixtures]]*Lookups!$B$90</f>
        <v>26544.1547364</v>
      </c>
      <c r="BA562" s="25">
        <f>Inventory[[#This Row],[WdDeck]]*Lookups!$B$91</f>
        <v>0</v>
      </c>
      <c r="BB562" s="25">
        <f>ROUND(Inventory[[#This Row],[25Det]],-2)</f>
        <v>0</v>
      </c>
      <c r="BC562" s="25">
        <f>ROUND(SUM(Inventory[[#This Row],[Mdl Qlty]:[Mdl WdDeck]])+Inventory[[#This Row],[Mdl Res Intercept]],-2)</f>
        <v>272000</v>
      </c>
      <c r="BD562" s="25">
        <f>ROUND(Inventory[[#This Row],[Mdl Land Intercept]]+Inventory[[#This Row],[Mdl LnAcres]],-2)</f>
        <v>37300</v>
      </c>
      <c r="BE562" s="25">
        <f>Inventory[[#This Row],[Unadj Res Value]]+Inventory[[#This Row],[Unadj Det Value]]+Inventory[[#This Row],[Unadj Land Value]]</f>
        <v>309300</v>
      </c>
      <c r="BF562" s="36">
        <f>(Inventory[[#This Row],[Unadj Total Value]]-Inventory[[#This Row],[24Final]])/Inventory[[#This Row],[24Final]]</f>
        <v>8.8318085855031661E-2</v>
      </c>
      <c r="BG562" s="25">
        <f>VLOOKUP(Inventory[[#This Row],[Nbhd]],Lookups!$Q$2:$T$4,4,FALSE)</f>
        <v>0.99970000000000003</v>
      </c>
      <c r="BH562" s="25">
        <f>VLOOKUP(Inventory[[#This Row],[Qlty]],Lookups!$O$7:$R$21,4,FALSE)</f>
        <v>1.0067999999999999</v>
      </c>
      <c r="BI562" s="25">
        <f>VLOOKUP(Inventory[[#This Row],[Cnd]],Lookups!$T$7:$W$16,4,FALSE)</f>
        <v>0.99729999999999996</v>
      </c>
      <c r="BJ562" s="25">
        <f>VLOOKUP(Inventory[[#This Row],[LivArea Range]],Lookups!$T$25:$W$37,4,FALSE)</f>
        <v>1.0148999999999999</v>
      </c>
      <c r="BK562" s="25">
        <f>VLOOKUP(Inventory[[#This Row],[Decade]],Lookups!$O$25:$R$42,4,FALSE)</f>
        <v>1.0199</v>
      </c>
      <c r="BL562" s="25">
        <f>Inventory[[#This Row],[Nbhd Adj]]*0.95</f>
        <v>0.94971499999999998</v>
      </c>
      <c r="BM562" s="25">
        <f>Inventory[[#This Row],[Nbhd Adj]]*Inventory[[#This Row],[Quality Adj]]*Inventory[[#This Row],[Condition Adj]]*Inventory[[#This Row],[Living Area Adj]]*Inventory[[#This Row],[Decade Adj]]*0.95</f>
        <v>0.98705912465374646</v>
      </c>
      <c r="BN562" s="25">
        <f>ROUND(SUM(Inventory[[#This Row],[Mdl Qlty]:[Mdl WdDeck]])+Inventory[[#This Row],[Mdl Res Intercept]]*Inventory[[#This Row],[Res Adj ]],-2)</f>
        <v>272000</v>
      </c>
      <c r="BO562" s="25">
        <f>ROUND(Inventory[[#This Row],[25Det]]*Inventory[[#This Row],[Det/Nbhd Adj]],-2)</f>
        <v>0</v>
      </c>
      <c r="BP562" s="25">
        <f>Inventory[[#This Row],[Adjusted Res]]+Inventory[[#This Row],[Adj Det ]]</f>
        <v>272000</v>
      </c>
      <c r="BQ562" s="25">
        <f>ROUND((Inventory[[#This Row],[Mdl Land Intercept]]+Inventory[[#This Row],[Mdl LnAcres]])*Inventory[[#This Row],[Det/Nbhd Adj]],-2)</f>
        <v>35400</v>
      </c>
      <c r="BR562" s="25">
        <f>Inventory[[#This Row],[Adjusted Impr Total]]+Inventory[[#This Row],[Adjusted Land Total]]</f>
        <v>307400</v>
      </c>
      <c r="BS562" s="36">
        <f>IFERROR((Inventory[[#This Row],[Adjusted Impr Total]]-Inventory[[#This Row],[24Bldg]])/Inventory[[#This Row],[24Bldg]],0)</f>
        <v>0.19507908611599298</v>
      </c>
      <c r="BT562" s="36">
        <f>(Inventory[[#This Row],[Adjusted Land Total]]-Inventory[[#This Row],[24Lnd]])/Inventory[[#This Row],[24Lnd]]</f>
        <v>-0.37455830388692579</v>
      </c>
      <c r="BU562" s="36">
        <f>(Inventory[[#This Row],[Adjusted Total]]-Inventory[[#This Row],[24Final]])/Inventory[[#This Row],[24Final]]</f>
        <v>8.1632653061224483E-2</v>
      </c>
    </row>
    <row r="563" spans="1:73" x14ac:dyDescent="0.3">
      <c r="A563" s="25">
        <v>2025</v>
      </c>
      <c r="B563" s="26" t="s">
        <v>2003</v>
      </c>
      <c r="C563" s="26">
        <f>LN(Inventory[[#This Row],[Acres]])</f>
        <v>-1.6607312068216509</v>
      </c>
      <c r="D563" s="25">
        <v>0.19</v>
      </c>
      <c r="E563" s="32">
        <v>8127</v>
      </c>
      <c r="F563" s="26" t="s">
        <v>537</v>
      </c>
      <c r="G563" s="26" t="s">
        <v>126</v>
      </c>
      <c r="H563" s="26" t="s">
        <v>349</v>
      </c>
      <c r="I563" s="26" t="s">
        <v>538</v>
      </c>
      <c r="J563" s="26" t="s">
        <v>539</v>
      </c>
      <c r="K563" s="26" t="s">
        <v>241</v>
      </c>
      <c r="L563" s="26" t="s">
        <v>302</v>
      </c>
      <c r="M563" s="26" t="s">
        <v>303</v>
      </c>
      <c r="N563" s="26">
        <v>70</v>
      </c>
      <c r="O563" s="26">
        <f>2024-Inventory[[#This Row],[YrBlt]]</f>
        <v>68</v>
      </c>
      <c r="P563" s="26">
        <f>2024-Inventory[[#This Row],[EffYr]]</f>
        <v>50</v>
      </c>
      <c r="Q563" s="25">
        <v>1956</v>
      </c>
      <c r="R563" s="25">
        <v>1974</v>
      </c>
      <c r="S563" s="25">
        <v>1195</v>
      </c>
      <c r="T563" s="27"/>
      <c r="U563" s="27"/>
      <c r="V563" s="27">
        <f>Inventory[[#This Row],[Bsmt]]-Inventory[[#This Row],[FnBsmt]]</f>
        <v>0</v>
      </c>
      <c r="W563" s="27"/>
      <c r="X563" s="27"/>
      <c r="Y563" s="27">
        <f>Inventory[[#This Row],[MainFn]]+Inventory[[#This Row],[UpprFn]]+Inventory[[#This Row],[FnBsmt]]+Inventory[[#This Row],[AddFn]]</f>
        <v>1195</v>
      </c>
      <c r="Z563" s="27">
        <v>1500</v>
      </c>
      <c r="AA563" s="25">
        <v>5</v>
      </c>
      <c r="AB563" s="27"/>
      <c r="AC563" s="27"/>
      <c r="AD563" s="27"/>
      <c r="AE563" s="27"/>
      <c r="AF563" s="27"/>
      <c r="AG563" s="27"/>
      <c r="AH563" s="27"/>
      <c r="AI563" s="25">
        <v>252993</v>
      </c>
      <c r="AJ563" s="25">
        <v>182155</v>
      </c>
      <c r="AK563" s="25">
        <v>0</v>
      </c>
      <c r="AL563" s="25">
        <v>305300</v>
      </c>
      <c r="AM563" s="25">
        <v>56600</v>
      </c>
      <c r="AN563" s="25">
        <v>248700</v>
      </c>
      <c r="AO563" s="25">
        <v>0</v>
      </c>
      <c r="AP563" s="25">
        <f>Lookups!$B$56*0</f>
        <v>0</v>
      </c>
      <c r="AQ563" s="25">
        <f>Lookups!$B$56*1</f>
        <v>89850.625589999996</v>
      </c>
      <c r="AR563" s="25">
        <f>Lookups!$B$57*Inventory[[#This Row],[LnAcres]]</f>
        <v>-52569.808201026557</v>
      </c>
      <c r="AS563" s="25">
        <f>VLOOKUP(Inventory[[#This Row],[Qlty]],Lookups!$A$62:$E$75,2,FALSE)</f>
        <v>29814.093161000001</v>
      </c>
      <c r="AT563" s="25">
        <f>VLOOKUP(Inventory[[#This Row],[Cnd]],Lookups!$A$76:$E$84,2,FALSE)</f>
        <v>197752.34721000001</v>
      </c>
      <c r="AU563" s="25">
        <f>Inventory[[#This Row],[EffAge]]*Lookups!$B$85</f>
        <v>-11152.280025</v>
      </c>
      <c r="AV563" s="25">
        <f>Inventory[[#This Row],[MainFn]]*Lookups!$B$86</f>
        <v>59043.360503014999</v>
      </c>
      <c r="AW563" s="25">
        <f>Inventory[[#This Row],[UpprFn]]*Lookups!$B$87</f>
        <v>0</v>
      </c>
      <c r="AX563" s="25">
        <f>Inventory[[#This Row],[AddFn]]*Lookups!$B$88</f>
        <v>0</v>
      </c>
      <c r="AY563" s="25">
        <f>Inventory[[#This Row],[Bsmt]]*Lookups!$B$89</f>
        <v>0</v>
      </c>
      <c r="AZ563" s="25">
        <f>Inventory[[#This Row],[Fixtures]]*Lookups!$B$90</f>
        <v>18960.110526</v>
      </c>
      <c r="BA563" s="25">
        <f>Inventory[[#This Row],[WdDeck]]*Lookups!$B$91</f>
        <v>0</v>
      </c>
      <c r="BB563" s="25">
        <f>ROUND(Inventory[[#This Row],[25Det]],-2)</f>
        <v>0</v>
      </c>
      <c r="BC563" s="25">
        <f>ROUND(SUM(Inventory[[#This Row],[Mdl Qlty]:[Mdl WdDeck]])+Inventory[[#This Row],[Mdl Res Intercept]],-2)</f>
        <v>294400</v>
      </c>
      <c r="BD563" s="25">
        <f>ROUND(Inventory[[#This Row],[Mdl Land Intercept]]+Inventory[[#This Row],[Mdl LnAcres]],-2)</f>
        <v>37300</v>
      </c>
      <c r="BE563" s="25">
        <f>Inventory[[#This Row],[Unadj Res Value]]+Inventory[[#This Row],[Unadj Det Value]]+Inventory[[#This Row],[Unadj Land Value]]</f>
        <v>331700</v>
      </c>
      <c r="BF563" s="36">
        <f>(Inventory[[#This Row],[Unadj Total Value]]-Inventory[[#This Row],[24Final]])/Inventory[[#This Row],[24Final]]</f>
        <v>8.6472322305928592E-2</v>
      </c>
      <c r="BG563" s="25">
        <f>VLOOKUP(Inventory[[#This Row],[Nbhd]],Lookups!$Q$2:$T$4,4,FALSE)</f>
        <v>0.99970000000000003</v>
      </c>
      <c r="BH563" s="25">
        <f>VLOOKUP(Inventory[[#This Row],[Qlty]],Lookups!$O$7:$R$21,4,FALSE)</f>
        <v>1.0088999999999999</v>
      </c>
      <c r="BI563" s="25">
        <f>VLOOKUP(Inventory[[#This Row],[Cnd]],Lookups!$T$7:$W$16,4,FALSE)</f>
        <v>0.99650000000000005</v>
      </c>
      <c r="BJ563" s="25">
        <f>VLOOKUP(Inventory[[#This Row],[LivArea Range]],Lookups!$T$25:$W$37,4,FALSE)</f>
        <v>1.0157</v>
      </c>
      <c r="BK563" s="25">
        <f>VLOOKUP(Inventory[[#This Row],[Decade]],Lookups!$O$25:$R$42,4,FALSE)</f>
        <v>1.0199</v>
      </c>
      <c r="BL563" s="25">
        <f>Inventory[[#This Row],[Nbhd Adj]]*0.95</f>
        <v>0.94971499999999998</v>
      </c>
      <c r="BM563" s="25">
        <f>Inventory[[#This Row],[Nbhd Adj]]*Inventory[[#This Row],[Quality Adj]]*Inventory[[#This Row],[Condition Adj]]*Inventory[[#This Row],[Living Area Adj]]*Inventory[[#This Row],[Decade Adj]]*0.95</f>
        <v>0.98910356391210685</v>
      </c>
      <c r="BN563" s="25">
        <f>ROUND(SUM(Inventory[[#This Row],[Mdl Qlty]:[Mdl WdDeck]])+Inventory[[#This Row],[Mdl Res Intercept]]*Inventory[[#This Row],[Res Adj ]],-2)</f>
        <v>294400</v>
      </c>
      <c r="BO563" s="25">
        <f>ROUND(Inventory[[#This Row],[25Det]]*Inventory[[#This Row],[Det/Nbhd Adj]],-2)</f>
        <v>0</v>
      </c>
      <c r="BP563" s="25">
        <f>Inventory[[#This Row],[Adjusted Res]]+Inventory[[#This Row],[Adj Det ]]</f>
        <v>294400</v>
      </c>
      <c r="BQ563" s="25">
        <f>ROUND((Inventory[[#This Row],[Mdl Land Intercept]]+Inventory[[#This Row],[Mdl LnAcres]])*Inventory[[#This Row],[Det/Nbhd Adj]],-2)</f>
        <v>35400</v>
      </c>
      <c r="BR563" s="25">
        <f>Inventory[[#This Row],[Adjusted Impr Total]]+Inventory[[#This Row],[Adjusted Land Total]]</f>
        <v>329800</v>
      </c>
      <c r="BS563" s="36">
        <f>IFERROR((Inventory[[#This Row],[Adjusted Impr Total]]-Inventory[[#This Row],[24Bldg]])/Inventory[[#This Row],[24Bldg]],0)</f>
        <v>0.18375552874949738</v>
      </c>
      <c r="BT563" s="36">
        <f>(Inventory[[#This Row],[Adjusted Land Total]]-Inventory[[#This Row],[24Lnd]])/Inventory[[#This Row],[24Lnd]]</f>
        <v>-0.37455830388692579</v>
      </c>
      <c r="BU563" s="36">
        <f>(Inventory[[#This Row],[Adjusted Total]]-Inventory[[#This Row],[24Final]])/Inventory[[#This Row],[24Final]]</f>
        <v>8.0248935473304944E-2</v>
      </c>
    </row>
    <row r="564" spans="1:73" x14ac:dyDescent="0.3">
      <c r="A564" s="25">
        <v>2025</v>
      </c>
      <c r="B564" s="26" t="s">
        <v>2110</v>
      </c>
      <c r="C564" s="26">
        <f>LN(Inventory[[#This Row],[Acres]])</f>
        <v>-1.3093333199837622</v>
      </c>
      <c r="D564" s="25">
        <v>0.27</v>
      </c>
      <c r="E564" s="25">
        <v>11900</v>
      </c>
      <c r="F564" s="26" t="s">
        <v>537</v>
      </c>
      <c r="G564" s="26" t="s">
        <v>126</v>
      </c>
      <c r="H564" s="26" t="s">
        <v>349</v>
      </c>
      <c r="I564" s="26" t="s">
        <v>538</v>
      </c>
      <c r="J564" s="26" t="s">
        <v>539</v>
      </c>
      <c r="K564" s="26" t="s">
        <v>241</v>
      </c>
      <c r="L564" s="26" t="s">
        <v>148</v>
      </c>
      <c r="M564" s="26" t="s">
        <v>303</v>
      </c>
      <c r="N564" s="26">
        <v>70</v>
      </c>
      <c r="O564" s="26">
        <f>2024-Inventory[[#This Row],[YrBlt]]</f>
        <v>68</v>
      </c>
      <c r="P564" s="26">
        <f>2024-Inventory[[#This Row],[EffYr]]</f>
        <v>50</v>
      </c>
      <c r="Q564" s="25">
        <v>1956</v>
      </c>
      <c r="R564" s="25">
        <v>1974</v>
      </c>
      <c r="S564" s="25">
        <v>1787</v>
      </c>
      <c r="T564" s="27"/>
      <c r="U564" s="31"/>
      <c r="V564" s="31">
        <f>Inventory[[#This Row],[Bsmt]]-Inventory[[#This Row],[FnBsmt]]</f>
        <v>0</v>
      </c>
      <c r="W564" s="31"/>
      <c r="X564" s="27"/>
      <c r="Y564" s="27">
        <f>Inventory[[#This Row],[MainFn]]+Inventory[[#This Row],[UpprFn]]+Inventory[[#This Row],[FnBsmt]]+Inventory[[#This Row],[AddFn]]</f>
        <v>1787</v>
      </c>
      <c r="Z564" s="27">
        <v>2000</v>
      </c>
      <c r="AA564" s="25">
        <v>8</v>
      </c>
      <c r="AB564" s="25">
        <v>380</v>
      </c>
      <c r="AC564" s="27"/>
      <c r="AD564" s="27"/>
      <c r="AE564" s="27"/>
      <c r="AF564" s="27"/>
      <c r="AG564" s="27"/>
      <c r="AH564" s="27"/>
      <c r="AI564" s="25">
        <v>412357</v>
      </c>
      <c r="AJ564" s="25">
        <v>296897</v>
      </c>
      <c r="AK564" s="25">
        <v>0</v>
      </c>
      <c r="AL564" s="25">
        <v>374300</v>
      </c>
      <c r="AM564" s="25">
        <v>68900</v>
      </c>
      <c r="AN564" s="25">
        <v>305400</v>
      </c>
      <c r="AO564" s="25">
        <v>0</v>
      </c>
      <c r="AP564" s="25">
        <f>Lookups!$B$56*0</f>
        <v>0</v>
      </c>
      <c r="AQ564" s="25">
        <f>Lookups!$B$56*1</f>
        <v>89850.625589999996</v>
      </c>
      <c r="AR564" s="25">
        <f>Lookups!$B$57*Inventory[[#This Row],[LnAcres]]</f>
        <v>-41446.443120973789</v>
      </c>
      <c r="AS564" s="25">
        <f>VLOOKUP(Inventory[[#This Row],[Qlty]],Lookups!$A$62:$E$75,2,FALSE)</f>
        <v>44121.038090000002</v>
      </c>
      <c r="AT564" s="25">
        <f>VLOOKUP(Inventory[[#This Row],[Cnd]],Lookups!$A$76:$E$84,2,FALSE)</f>
        <v>197752.34721000001</v>
      </c>
      <c r="AU564" s="25">
        <f>Inventory[[#This Row],[EffAge]]*Lookups!$B$85</f>
        <v>-11152.280025</v>
      </c>
      <c r="AV564" s="25">
        <f>Inventory[[#This Row],[MainFn]]*Lookups!$B$86</f>
        <v>88293.293070198997</v>
      </c>
      <c r="AW564" s="25">
        <f>Inventory[[#This Row],[UpprFn]]*Lookups!$B$87</f>
        <v>0</v>
      </c>
      <c r="AX564" s="25">
        <f>Inventory[[#This Row],[AddFn]]*Lookups!$B$88</f>
        <v>0</v>
      </c>
      <c r="AY564" s="25">
        <f>Inventory[[#This Row],[Bsmt]]*Lookups!$B$89</f>
        <v>0</v>
      </c>
      <c r="AZ564" s="25">
        <f>Inventory[[#This Row],[Fixtures]]*Lookups!$B$90</f>
        <v>30336.176841600001</v>
      </c>
      <c r="BA564" s="25">
        <f>Inventory[[#This Row],[WdDeck]]*Lookups!$B$91</f>
        <v>0</v>
      </c>
      <c r="BB564" s="25">
        <f>ROUND(Inventory[[#This Row],[25Det]],-2)</f>
        <v>0</v>
      </c>
      <c r="BC564" s="25">
        <f>ROUND(SUM(Inventory[[#This Row],[Mdl Qlty]:[Mdl WdDeck]])+Inventory[[#This Row],[Mdl Res Intercept]],-2)</f>
        <v>349400</v>
      </c>
      <c r="BD564" s="25">
        <f>ROUND(Inventory[[#This Row],[Mdl Land Intercept]]+Inventory[[#This Row],[Mdl LnAcres]],-2)</f>
        <v>48400</v>
      </c>
      <c r="BE564" s="25">
        <f>Inventory[[#This Row],[Unadj Res Value]]+Inventory[[#This Row],[Unadj Det Value]]+Inventory[[#This Row],[Unadj Land Value]]</f>
        <v>397800</v>
      </c>
      <c r="BF564" s="36">
        <f>(Inventory[[#This Row],[Unadj Total Value]]-Inventory[[#This Row],[24Final]])/Inventory[[#This Row],[24Final]]</f>
        <v>6.2783863211327812E-2</v>
      </c>
      <c r="BG564" s="25">
        <f>VLOOKUP(Inventory[[#This Row],[Nbhd]],Lookups!$Q$2:$T$4,4,FALSE)</f>
        <v>0.99970000000000003</v>
      </c>
      <c r="BH564" s="25">
        <f>VLOOKUP(Inventory[[#This Row],[Qlty]],Lookups!$O$7:$R$21,4,FALSE)</f>
        <v>0.98050000000000004</v>
      </c>
      <c r="BI564" s="25">
        <f>VLOOKUP(Inventory[[#This Row],[Cnd]],Lookups!$T$7:$W$16,4,FALSE)</f>
        <v>0.99650000000000005</v>
      </c>
      <c r="BJ564" s="25">
        <f>VLOOKUP(Inventory[[#This Row],[LivArea Range]],Lookups!$T$25:$W$37,4,FALSE)</f>
        <v>1.0093000000000001</v>
      </c>
      <c r="BK564" s="25">
        <f>VLOOKUP(Inventory[[#This Row],[Decade]],Lookups!$O$25:$R$42,4,FALSE)</f>
        <v>1.0199</v>
      </c>
      <c r="BL564" s="25">
        <f>Inventory[[#This Row],[Nbhd Adj]]*0.95</f>
        <v>0.94971499999999998</v>
      </c>
      <c r="BM564" s="25">
        <f>Inventory[[#This Row],[Nbhd Adj]]*Inventory[[#This Row],[Quality Adj]]*Inventory[[#This Row],[Condition Adj]]*Inventory[[#This Row],[Living Area Adj]]*Inventory[[#This Row],[Decade Adj]]*0.95</f>
        <v>0.95520384832633376</v>
      </c>
      <c r="BN564" s="25">
        <f>ROUND(SUM(Inventory[[#This Row],[Mdl Qlty]:[Mdl WdDeck]])+Inventory[[#This Row],[Mdl Res Intercept]]*Inventory[[#This Row],[Res Adj ]],-2)</f>
        <v>349400</v>
      </c>
      <c r="BO564" s="25">
        <f>ROUND(Inventory[[#This Row],[25Det]]*Inventory[[#This Row],[Det/Nbhd Adj]],-2)</f>
        <v>0</v>
      </c>
      <c r="BP564" s="25">
        <f>Inventory[[#This Row],[Adjusted Res]]+Inventory[[#This Row],[Adj Det ]]</f>
        <v>349400</v>
      </c>
      <c r="BQ564" s="25">
        <f>ROUND((Inventory[[#This Row],[Mdl Land Intercept]]+Inventory[[#This Row],[Mdl LnAcres]])*Inventory[[#This Row],[Det/Nbhd Adj]],-2)</f>
        <v>46000</v>
      </c>
      <c r="BR564" s="25">
        <f>Inventory[[#This Row],[Adjusted Impr Total]]+Inventory[[#This Row],[Adjusted Land Total]]</f>
        <v>395400</v>
      </c>
      <c r="BS564" s="36">
        <f>IFERROR((Inventory[[#This Row],[Adjusted Impr Total]]-Inventory[[#This Row],[24Bldg]])/Inventory[[#This Row],[24Bldg]],0)</f>
        <v>0.14407334643091027</v>
      </c>
      <c r="BT564" s="36">
        <f>(Inventory[[#This Row],[Adjusted Land Total]]-Inventory[[#This Row],[24Lnd]])/Inventory[[#This Row],[24Lnd]]</f>
        <v>-0.33236574746008707</v>
      </c>
      <c r="BU564" s="36">
        <f>(Inventory[[#This Row],[Adjusted Total]]-Inventory[[#This Row],[24Final]])/Inventory[[#This Row],[24Final]]</f>
        <v>5.6371894202511354E-2</v>
      </c>
    </row>
    <row r="565" spans="1:73" x14ac:dyDescent="0.3">
      <c r="A565" s="25">
        <v>2025</v>
      </c>
      <c r="B565" s="26" t="s">
        <v>2526</v>
      </c>
      <c r="C565" s="26">
        <f>LN(Inventory[[#This Row],[Acres]])</f>
        <v>-1.5606477482646683</v>
      </c>
      <c r="D565" s="25">
        <v>0.21</v>
      </c>
      <c r="E565" s="31"/>
      <c r="F565" s="26" t="s">
        <v>537</v>
      </c>
      <c r="G565" s="26" t="s">
        <v>126</v>
      </c>
      <c r="H565" s="26" t="s">
        <v>349</v>
      </c>
      <c r="I565" s="26" t="s">
        <v>538</v>
      </c>
      <c r="J565" s="26" t="s">
        <v>539</v>
      </c>
      <c r="K565" s="26" t="s">
        <v>241</v>
      </c>
      <c r="L565" s="26" t="s">
        <v>148</v>
      </c>
      <c r="M565" s="26" t="s">
        <v>323</v>
      </c>
      <c r="N565" s="26">
        <v>70</v>
      </c>
      <c r="O565" s="26">
        <f>2024-Inventory[[#This Row],[YrBlt]]</f>
        <v>68</v>
      </c>
      <c r="P565" s="26">
        <f>2024-Inventory[[#This Row],[EffYr]]</f>
        <v>50</v>
      </c>
      <c r="Q565" s="25">
        <v>1956</v>
      </c>
      <c r="R565" s="25">
        <v>1974</v>
      </c>
      <c r="S565" s="25">
        <v>1400</v>
      </c>
      <c r="T565" s="27"/>
      <c r="U565" s="27"/>
      <c r="V565" s="27">
        <f>Inventory[[#This Row],[Bsmt]]-Inventory[[#This Row],[FnBsmt]]</f>
        <v>0</v>
      </c>
      <c r="W565" s="27"/>
      <c r="X565" s="27"/>
      <c r="Y565" s="27">
        <f>Inventory[[#This Row],[MainFn]]+Inventory[[#This Row],[UpprFn]]+Inventory[[#This Row],[FnBsmt]]+Inventory[[#This Row],[AddFn]]</f>
        <v>1400</v>
      </c>
      <c r="Z565" s="27">
        <v>1500</v>
      </c>
      <c r="AA565" s="25">
        <v>8</v>
      </c>
      <c r="AB565" s="31"/>
      <c r="AC565" s="27"/>
      <c r="AD565" s="27"/>
      <c r="AE565" s="27"/>
      <c r="AF565" s="27"/>
      <c r="AG565" s="27"/>
      <c r="AH565" s="27"/>
      <c r="AI565" s="25">
        <v>295874</v>
      </c>
      <c r="AJ565" s="25">
        <v>207112</v>
      </c>
      <c r="AK565" s="25">
        <v>16031</v>
      </c>
      <c r="AL565" s="25">
        <v>334600</v>
      </c>
      <c r="AM565" s="25">
        <v>60100</v>
      </c>
      <c r="AN565" s="25">
        <v>274500</v>
      </c>
      <c r="AO565" s="25">
        <v>0</v>
      </c>
      <c r="AP565" s="25">
        <f>Lookups!$B$56*0</f>
        <v>0</v>
      </c>
      <c r="AQ565" s="25">
        <f>Lookups!$B$56*1</f>
        <v>89850.625589999996</v>
      </c>
      <c r="AR565" s="25">
        <f>Lookups!$B$57*Inventory[[#This Row],[LnAcres]]</f>
        <v>-49401.70477837498</v>
      </c>
      <c r="AS565" s="25">
        <f>VLOOKUP(Inventory[[#This Row],[Qlty]],Lookups!$A$62:$E$75,2,FALSE)</f>
        <v>44121.038090000002</v>
      </c>
      <c r="AT565" s="25">
        <f>VLOOKUP(Inventory[[#This Row],[Cnd]],Lookups!$A$76:$E$84,2,FALSE)</f>
        <v>160472.20319</v>
      </c>
      <c r="AU565" s="25">
        <f>Inventory[[#This Row],[EffAge]]*Lookups!$B$85</f>
        <v>-11152.280025</v>
      </c>
      <c r="AV565" s="25">
        <f>Inventory[[#This Row],[MainFn]]*Lookups!$B$86</f>
        <v>69172.137827800005</v>
      </c>
      <c r="AW565" s="25">
        <f>Inventory[[#This Row],[UpprFn]]*Lookups!$B$87</f>
        <v>0</v>
      </c>
      <c r="AX565" s="25">
        <f>Inventory[[#This Row],[AddFn]]*Lookups!$B$88</f>
        <v>0</v>
      </c>
      <c r="AY565" s="25">
        <f>Inventory[[#This Row],[Bsmt]]*Lookups!$B$89</f>
        <v>0</v>
      </c>
      <c r="AZ565" s="25">
        <f>Inventory[[#This Row],[Fixtures]]*Lookups!$B$90</f>
        <v>30336.176841600001</v>
      </c>
      <c r="BA565" s="25">
        <f>Inventory[[#This Row],[WdDeck]]*Lookups!$B$91</f>
        <v>0</v>
      </c>
      <c r="BB565" s="25">
        <f>ROUND(Inventory[[#This Row],[25Det]],-2)</f>
        <v>16000</v>
      </c>
      <c r="BC565" s="25">
        <f>ROUND(SUM(Inventory[[#This Row],[Mdl Qlty]:[Mdl WdDeck]])+Inventory[[#This Row],[Mdl Res Intercept]],-2)</f>
        <v>292900</v>
      </c>
      <c r="BD565" s="25">
        <f>ROUND(Inventory[[#This Row],[Mdl Land Intercept]]+Inventory[[#This Row],[Mdl LnAcres]],-2)</f>
        <v>40400</v>
      </c>
      <c r="BE565" s="25">
        <f>Inventory[[#This Row],[Unadj Res Value]]+Inventory[[#This Row],[Unadj Det Value]]+Inventory[[#This Row],[Unadj Land Value]]</f>
        <v>349300</v>
      </c>
      <c r="BF565" s="36">
        <f>(Inventory[[#This Row],[Unadj Total Value]]-Inventory[[#This Row],[24Final]])/Inventory[[#This Row],[24Final]]</f>
        <v>4.3933054393305436E-2</v>
      </c>
      <c r="BG565" s="25">
        <f>VLOOKUP(Inventory[[#This Row],[Nbhd]],Lookups!$Q$2:$T$4,4,FALSE)</f>
        <v>0.99970000000000003</v>
      </c>
      <c r="BH565" s="25">
        <f>VLOOKUP(Inventory[[#This Row],[Qlty]],Lookups!$O$7:$R$21,4,FALSE)</f>
        <v>0.98050000000000004</v>
      </c>
      <c r="BI565" s="25">
        <f>VLOOKUP(Inventory[[#This Row],[Cnd]],Lookups!$T$7:$W$16,4,FALSE)</f>
        <v>0.99729999999999996</v>
      </c>
      <c r="BJ565" s="25">
        <f>VLOOKUP(Inventory[[#This Row],[LivArea Range]],Lookups!$T$25:$W$37,4,FALSE)</f>
        <v>1.0157</v>
      </c>
      <c r="BK565" s="25">
        <f>VLOOKUP(Inventory[[#This Row],[Decade]],Lookups!$O$25:$R$42,4,FALSE)</f>
        <v>1.0199</v>
      </c>
      <c r="BL565" s="25">
        <f>Inventory[[#This Row],[Nbhd Adj]]*0.95</f>
        <v>0.94971499999999998</v>
      </c>
      <c r="BM565" s="25">
        <f>Inventory[[#This Row],[Nbhd Adj]]*Inventory[[#This Row],[Quality Adj]]*Inventory[[#This Row],[Condition Adj]]*Inventory[[#This Row],[Living Area Adj]]*Inventory[[#This Row],[Decade Adj]]*0.95</f>
        <v>0.96203253273253719</v>
      </c>
      <c r="BN565" s="25">
        <f>ROUND(SUM(Inventory[[#This Row],[Mdl Qlty]:[Mdl WdDeck]])+Inventory[[#This Row],[Mdl Res Intercept]]*Inventory[[#This Row],[Res Adj ]],-2)</f>
        <v>292900</v>
      </c>
      <c r="BO565" s="25">
        <f>ROUND(Inventory[[#This Row],[25Det]]*Inventory[[#This Row],[Det/Nbhd Adj]],-2)</f>
        <v>15200</v>
      </c>
      <c r="BP565" s="25">
        <f>Inventory[[#This Row],[Adjusted Res]]+Inventory[[#This Row],[Adj Det ]]</f>
        <v>308100</v>
      </c>
      <c r="BQ565" s="25">
        <f>ROUND((Inventory[[#This Row],[Mdl Land Intercept]]+Inventory[[#This Row],[Mdl LnAcres]])*Inventory[[#This Row],[Det/Nbhd Adj]],-2)</f>
        <v>38400</v>
      </c>
      <c r="BR565" s="25">
        <f>Inventory[[#This Row],[Adjusted Impr Total]]+Inventory[[#This Row],[Adjusted Land Total]]</f>
        <v>346500</v>
      </c>
      <c r="BS565" s="36">
        <f>IFERROR((Inventory[[#This Row],[Adjusted Impr Total]]-Inventory[[#This Row],[24Bldg]])/Inventory[[#This Row],[24Bldg]],0)</f>
        <v>0.12240437158469945</v>
      </c>
      <c r="BT565" s="36">
        <f>(Inventory[[#This Row],[Adjusted Land Total]]-Inventory[[#This Row],[24Lnd]])/Inventory[[#This Row],[24Lnd]]</f>
        <v>-0.36106489184692181</v>
      </c>
      <c r="BU565" s="36">
        <f>(Inventory[[#This Row],[Adjusted Total]]-Inventory[[#This Row],[24Final]])/Inventory[[#This Row],[24Final]]</f>
        <v>3.5564853556485358E-2</v>
      </c>
    </row>
    <row r="566" spans="1:73" x14ac:dyDescent="0.3">
      <c r="A566" s="25">
        <v>2025</v>
      </c>
      <c r="B566" s="26" t="s">
        <v>1365</v>
      </c>
      <c r="C566" s="26">
        <f>LN(Inventory[[#This Row],[Acres]])</f>
        <v>-1.5141277326297755</v>
      </c>
      <c r="D566" s="25">
        <v>0.22</v>
      </c>
      <c r="E566" s="25">
        <v>9470</v>
      </c>
      <c r="F566" s="26" t="s">
        <v>537</v>
      </c>
      <c r="G566" s="26" t="s">
        <v>126</v>
      </c>
      <c r="H566" s="26" t="s">
        <v>349</v>
      </c>
      <c r="I566" s="26" t="s">
        <v>538</v>
      </c>
      <c r="J566" s="26" t="s">
        <v>539</v>
      </c>
      <c r="K566" s="26" t="s">
        <v>241</v>
      </c>
      <c r="L566" s="26" t="s">
        <v>302</v>
      </c>
      <c r="M566" s="26" t="s">
        <v>323</v>
      </c>
      <c r="N566" s="26">
        <v>70</v>
      </c>
      <c r="O566" s="26">
        <f>2024-Inventory[[#This Row],[YrBlt]]</f>
        <v>68</v>
      </c>
      <c r="P566" s="26">
        <f>2024-Inventory[[#This Row],[EffYr]]</f>
        <v>50</v>
      </c>
      <c r="Q566" s="25">
        <v>1956</v>
      </c>
      <c r="R566" s="25">
        <v>1974</v>
      </c>
      <c r="S566" s="25">
        <v>1696</v>
      </c>
      <c r="T566" s="27"/>
      <c r="U566" s="27"/>
      <c r="V566" s="27">
        <f>Inventory[[#This Row],[Bsmt]]-Inventory[[#This Row],[FnBsmt]]</f>
        <v>0</v>
      </c>
      <c r="W566" s="27"/>
      <c r="X566" s="27"/>
      <c r="Y566" s="27">
        <f>Inventory[[#This Row],[MainFn]]+Inventory[[#This Row],[UpprFn]]+Inventory[[#This Row],[FnBsmt]]+Inventory[[#This Row],[AddFn]]</f>
        <v>1696</v>
      </c>
      <c r="Z566" s="27">
        <v>2000</v>
      </c>
      <c r="AA566" s="25">
        <v>9</v>
      </c>
      <c r="AB566" s="32">
        <v>809</v>
      </c>
      <c r="AC566" s="27"/>
      <c r="AD566" s="27"/>
      <c r="AE566" s="27"/>
      <c r="AF566" s="27"/>
      <c r="AG566" s="27"/>
      <c r="AH566" s="27"/>
      <c r="AI566" s="25">
        <v>365340</v>
      </c>
      <c r="AJ566" s="25">
        <v>255738</v>
      </c>
      <c r="AK566" s="25">
        <v>0</v>
      </c>
      <c r="AL566" s="25">
        <v>325700</v>
      </c>
      <c r="AM566" s="25">
        <v>61700</v>
      </c>
      <c r="AN566" s="25">
        <v>264000</v>
      </c>
      <c r="AO566" s="25">
        <v>0</v>
      </c>
      <c r="AP566" s="25">
        <f>Lookups!$B$56*0</f>
        <v>0</v>
      </c>
      <c r="AQ566" s="25">
        <f>Lookups!$B$56*1</f>
        <v>89850.625589999996</v>
      </c>
      <c r="AR566" s="25">
        <f>Lookups!$B$57*Inventory[[#This Row],[LnAcres]]</f>
        <v>-47929.131559187132</v>
      </c>
      <c r="AS566" s="25">
        <f>VLOOKUP(Inventory[[#This Row],[Qlty]],Lookups!$A$62:$E$75,2,FALSE)</f>
        <v>29814.093161000001</v>
      </c>
      <c r="AT566" s="25">
        <f>VLOOKUP(Inventory[[#This Row],[Cnd]],Lookups!$A$76:$E$84,2,FALSE)</f>
        <v>160472.20319</v>
      </c>
      <c r="AU566" s="25">
        <f>Inventory[[#This Row],[EffAge]]*Lookups!$B$85</f>
        <v>-11152.280025</v>
      </c>
      <c r="AV566" s="25">
        <f>Inventory[[#This Row],[MainFn]]*Lookups!$B$86</f>
        <v>83797.104111392007</v>
      </c>
      <c r="AW566" s="25">
        <f>Inventory[[#This Row],[UpprFn]]*Lookups!$B$87</f>
        <v>0</v>
      </c>
      <c r="AX566" s="25">
        <f>Inventory[[#This Row],[AddFn]]*Lookups!$B$88</f>
        <v>0</v>
      </c>
      <c r="AY566" s="25">
        <f>Inventory[[#This Row],[Bsmt]]*Lookups!$B$89</f>
        <v>0</v>
      </c>
      <c r="AZ566" s="25">
        <f>Inventory[[#This Row],[Fixtures]]*Lookups!$B$90</f>
        <v>34128.198946800003</v>
      </c>
      <c r="BA566" s="25">
        <f>Inventory[[#This Row],[WdDeck]]*Lookups!$B$91</f>
        <v>0</v>
      </c>
      <c r="BB566" s="25">
        <f>ROUND(Inventory[[#This Row],[25Det]],-2)</f>
        <v>0</v>
      </c>
      <c r="BC566" s="25">
        <f>ROUND(SUM(Inventory[[#This Row],[Mdl Qlty]:[Mdl WdDeck]])+Inventory[[#This Row],[Mdl Res Intercept]],-2)</f>
        <v>297100</v>
      </c>
      <c r="BD566" s="25">
        <f>ROUND(Inventory[[#This Row],[Mdl Land Intercept]]+Inventory[[#This Row],[Mdl LnAcres]],-2)</f>
        <v>41900</v>
      </c>
      <c r="BE566" s="25">
        <f>Inventory[[#This Row],[Unadj Res Value]]+Inventory[[#This Row],[Unadj Det Value]]+Inventory[[#This Row],[Unadj Land Value]]</f>
        <v>339000</v>
      </c>
      <c r="BF566" s="36">
        <f>(Inventory[[#This Row],[Unadj Total Value]]-Inventory[[#This Row],[24Final]])/Inventory[[#This Row],[24Final]]</f>
        <v>4.0835124347559107E-2</v>
      </c>
      <c r="BG566" s="25">
        <f>VLOOKUP(Inventory[[#This Row],[Nbhd]],Lookups!$Q$2:$T$4,4,FALSE)</f>
        <v>0.99970000000000003</v>
      </c>
      <c r="BH566" s="25">
        <f>VLOOKUP(Inventory[[#This Row],[Qlty]],Lookups!$O$7:$R$21,4,FALSE)</f>
        <v>1.0088999999999999</v>
      </c>
      <c r="BI566" s="25">
        <f>VLOOKUP(Inventory[[#This Row],[Cnd]],Lookups!$T$7:$W$16,4,FALSE)</f>
        <v>0.99729999999999996</v>
      </c>
      <c r="BJ566" s="25">
        <f>VLOOKUP(Inventory[[#This Row],[LivArea Range]],Lookups!$T$25:$W$37,4,FALSE)</f>
        <v>1.0093000000000001</v>
      </c>
      <c r="BK566" s="25">
        <f>VLOOKUP(Inventory[[#This Row],[Decade]],Lookups!$O$25:$R$42,4,FALSE)</f>
        <v>1.0199</v>
      </c>
      <c r="BL566" s="25">
        <f>Inventory[[#This Row],[Nbhd Adj]]*0.95</f>
        <v>0.94971499999999998</v>
      </c>
      <c r="BM566" s="25">
        <f>Inventory[[#This Row],[Nbhd Adj]]*Inventory[[#This Row],[Quality Adj]]*Inventory[[#This Row],[Condition Adj]]*Inventory[[#This Row],[Living Area Adj]]*Inventory[[#This Row],[Decade Adj]]*0.95</f>
        <v>0.98366020862665582</v>
      </c>
      <c r="BN566" s="25">
        <f>ROUND(SUM(Inventory[[#This Row],[Mdl Qlty]:[Mdl WdDeck]])+Inventory[[#This Row],[Mdl Res Intercept]]*Inventory[[#This Row],[Res Adj ]],-2)</f>
        <v>297100</v>
      </c>
      <c r="BO566" s="25">
        <f>ROUND(Inventory[[#This Row],[25Det]]*Inventory[[#This Row],[Det/Nbhd Adj]],-2)</f>
        <v>0</v>
      </c>
      <c r="BP566" s="25">
        <f>Inventory[[#This Row],[Adjusted Res]]+Inventory[[#This Row],[Adj Det ]]</f>
        <v>297100</v>
      </c>
      <c r="BQ566" s="25">
        <f>ROUND((Inventory[[#This Row],[Mdl Land Intercept]]+Inventory[[#This Row],[Mdl LnAcres]])*Inventory[[#This Row],[Det/Nbhd Adj]],-2)</f>
        <v>39800</v>
      </c>
      <c r="BR566" s="25">
        <f>Inventory[[#This Row],[Adjusted Impr Total]]+Inventory[[#This Row],[Adjusted Land Total]]</f>
        <v>336900</v>
      </c>
      <c r="BS566" s="36">
        <f>IFERROR((Inventory[[#This Row],[Adjusted Impr Total]]-Inventory[[#This Row],[24Bldg]])/Inventory[[#This Row],[24Bldg]],0)</f>
        <v>0.12537878787878787</v>
      </c>
      <c r="BT566" s="36">
        <f>(Inventory[[#This Row],[Adjusted Land Total]]-Inventory[[#This Row],[24Lnd]])/Inventory[[#This Row],[24Lnd]]</f>
        <v>-0.35494327390599678</v>
      </c>
      <c r="BU566" s="36">
        <f>(Inventory[[#This Row],[Adjusted Total]]-Inventory[[#This Row],[24Final]])/Inventory[[#This Row],[24Final]]</f>
        <v>3.4387473134786614E-2</v>
      </c>
    </row>
    <row r="567" spans="1:73" x14ac:dyDescent="0.3">
      <c r="A567" s="25">
        <v>2025</v>
      </c>
      <c r="B567" s="26" t="s">
        <v>2816</v>
      </c>
      <c r="C567" s="26">
        <f>LN(Inventory[[#This Row],[Acres]])</f>
        <v>-1.6607312068216509</v>
      </c>
      <c r="D567" s="25">
        <v>0.19</v>
      </c>
      <c r="E567" s="31"/>
      <c r="F567" s="26" t="s">
        <v>537</v>
      </c>
      <c r="G567" s="26" t="s">
        <v>126</v>
      </c>
      <c r="H567" s="26" t="s">
        <v>349</v>
      </c>
      <c r="I567" s="26" t="s">
        <v>538</v>
      </c>
      <c r="J567" s="26" t="s">
        <v>539</v>
      </c>
      <c r="K567" s="26" t="s">
        <v>241</v>
      </c>
      <c r="L567" s="26" t="s">
        <v>351</v>
      </c>
      <c r="M567" s="26" t="s">
        <v>323</v>
      </c>
      <c r="N567" s="26">
        <v>70</v>
      </c>
      <c r="O567" s="26">
        <f>2024-Inventory[[#This Row],[YrBlt]]</f>
        <v>68</v>
      </c>
      <c r="P567" s="26">
        <f>2024-Inventory[[#This Row],[EffYr]]</f>
        <v>50</v>
      </c>
      <c r="Q567" s="25">
        <v>1956</v>
      </c>
      <c r="R567" s="25">
        <v>1974</v>
      </c>
      <c r="S567" s="25">
        <v>1106</v>
      </c>
      <c r="T567" s="27"/>
      <c r="U567" s="27"/>
      <c r="V567" s="27">
        <f>Inventory[[#This Row],[Bsmt]]-Inventory[[#This Row],[FnBsmt]]</f>
        <v>0</v>
      </c>
      <c r="W567" s="27"/>
      <c r="X567" s="27"/>
      <c r="Y567" s="27">
        <f>Inventory[[#This Row],[MainFn]]+Inventory[[#This Row],[UpprFn]]+Inventory[[#This Row],[FnBsmt]]+Inventory[[#This Row],[AddFn]]</f>
        <v>1106</v>
      </c>
      <c r="Z567" s="27">
        <v>1500</v>
      </c>
      <c r="AA567" s="25">
        <v>6</v>
      </c>
      <c r="AB567" s="32">
        <v>240</v>
      </c>
      <c r="AC567" s="27"/>
      <c r="AD567" s="27"/>
      <c r="AE567" s="27"/>
      <c r="AF567" s="27"/>
      <c r="AG567" s="27"/>
      <c r="AH567" s="27"/>
      <c r="AI567" s="25">
        <v>215254</v>
      </c>
      <c r="AJ567" s="25">
        <v>150678</v>
      </c>
      <c r="AK567" s="25">
        <v>0</v>
      </c>
      <c r="AL567" s="25">
        <v>275100</v>
      </c>
      <c r="AM567" s="25">
        <v>56600</v>
      </c>
      <c r="AN567" s="25">
        <v>218500</v>
      </c>
      <c r="AO567" s="25">
        <v>0</v>
      </c>
      <c r="AP567" s="25">
        <f>Lookups!$B$56*0</f>
        <v>0</v>
      </c>
      <c r="AQ567" s="25">
        <f>Lookups!$B$56*1</f>
        <v>89850.625589999996</v>
      </c>
      <c r="AR567" s="25">
        <f>Lookups!$B$57*Inventory[[#This Row],[LnAcres]]</f>
        <v>-52569.808201026557</v>
      </c>
      <c r="AS567" s="25">
        <f>VLOOKUP(Inventory[[#This Row],[Qlty]],Lookups!$A$62:$E$75,2,FALSE)</f>
        <v>21557.329055999999</v>
      </c>
      <c r="AT567" s="25">
        <f>VLOOKUP(Inventory[[#This Row],[Cnd]],Lookups!$A$76:$E$84,2,FALSE)</f>
        <v>160472.20319</v>
      </c>
      <c r="AU567" s="25">
        <f>Inventory[[#This Row],[EffAge]]*Lookups!$B$85</f>
        <v>-11152.280025</v>
      </c>
      <c r="AV567" s="25">
        <f>Inventory[[#This Row],[MainFn]]*Lookups!$B$86</f>
        <v>54645.988883962003</v>
      </c>
      <c r="AW567" s="25">
        <f>Inventory[[#This Row],[UpprFn]]*Lookups!$B$87</f>
        <v>0</v>
      </c>
      <c r="AX567" s="25">
        <f>Inventory[[#This Row],[AddFn]]*Lookups!$B$88</f>
        <v>0</v>
      </c>
      <c r="AY567" s="25">
        <f>Inventory[[#This Row],[Bsmt]]*Lookups!$B$89</f>
        <v>0</v>
      </c>
      <c r="AZ567" s="25">
        <f>Inventory[[#This Row],[Fixtures]]*Lookups!$B$90</f>
        <v>22752.132631200002</v>
      </c>
      <c r="BA567" s="25">
        <f>Inventory[[#This Row],[WdDeck]]*Lookups!$B$91</f>
        <v>0</v>
      </c>
      <c r="BB567" s="25">
        <f>ROUND(Inventory[[#This Row],[25Det]],-2)</f>
        <v>0</v>
      </c>
      <c r="BC567" s="25">
        <f>ROUND(SUM(Inventory[[#This Row],[Mdl Qlty]:[Mdl WdDeck]])+Inventory[[#This Row],[Mdl Res Intercept]],-2)</f>
        <v>248300</v>
      </c>
      <c r="BD567" s="25">
        <f>ROUND(Inventory[[#This Row],[Mdl Land Intercept]]+Inventory[[#This Row],[Mdl LnAcres]],-2)</f>
        <v>37300</v>
      </c>
      <c r="BE567" s="25">
        <f>Inventory[[#This Row],[Unadj Res Value]]+Inventory[[#This Row],[Unadj Det Value]]+Inventory[[#This Row],[Unadj Land Value]]</f>
        <v>285600</v>
      </c>
      <c r="BF567" s="36">
        <f>(Inventory[[#This Row],[Unadj Total Value]]-Inventory[[#This Row],[24Final]])/Inventory[[#This Row],[24Final]]</f>
        <v>3.8167938931297711E-2</v>
      </c>
      <c r="BG567" s="25">
        <f>VLOOKUP(Inventory[[#This Row],[Nbhd]],Lookups!$Q$2:$T$4,4,FALSE)</f>
        <v>0.99970000000000003</v>
      </c>
      <c r="BH567" s="25">
        <f>VLOOKUP(Inventory[[#This Row],[Qlty]],Lookups!$O$7:$R$21,4,FALSE)</f>
        <v>1.0067999999999999</v>
      </c>
      <c r="BI567" s="25">
        <f>VLOOKUP(Inventory[[#This Row],[Cnd]],Lookups!$T$7:$W$16,4,FALSE)</f>
        <v>0.99729999999999996</v>
      </c>
      <c r="BJ567" s="25">
        <f>VLOOKUP(Inventory[[#This Row],[LivArea Range]],Lookups!$T$25:$W$37,4,FALSE)</f>
        <v>1.0157</v>
      </c>
      <c r="BK567" s="25">
        <f>VLOOKUP(Inventory[[#This Row],[Decade]],Lookups!$O$25:$R$42,4,FALSE)</f>
        <v>1.0199</v>
      </c>
      <c r="BL567" s="25">
        <f>Inventory[[#This Row],[Nbhd Adj]]*0.95</f>
        <v>0.94971499999999998</v>
      </c>
      <c r="BM567" s="25">
        <f>Inventory[[#This Row],[Nbhd Adj]]*Inventory[[#This Row],[Quality Adj]]*Inventory[[#This Row],[Condition Adj]]*Inventory[[#This Row],[Living Area Adj]]*Inventory[[#This Row],[Decade Adj]]*0.95</f>
        <v>0.98783717894453682</v>
      </c>
      <c r="BN567" s="25">
        <f>ROUND(SUM(Inventory[[#This Row],[Mdl Qlty]:[Mdl WdDeck]])+Inventory[[#This Row],[Mdl Res Intercept]]*Inventory[[#This Row],[Res Adj ]],-2)</f>
        <v>248300</v>
      </c>
      <c r="BO567" s="25">
        <f>ROUND(Inventory[[#This Row],[25Det]]*Inventory[[#This Row],[Det/Nbhd Adj]],-2)</f>
        <v>0</v>
      </c>
      <c r="BP567" s="25">
        <f>Inventory[[#This Row],[Adjusted Res]]+Inventory[[#This Row],[Adj Det ]]</f>
        <v>248300</v>
      </c>
      <c r="BQ567" s="25">
        <f>ROUND((Inventory[[#This Row],[Mdl Land Intercept]]+Inventory[[#This Row],[Mdl LnAcres]])*Inventory[[#This Row],[Det/Nbhd Adj]],-2)</f>
        <v>35400</v>
      </c>
      <c r="BR567" s="25">
        <f>Inventory[[#This Row],[Adjusted Impr Total]]+Inventory[[#This Row],[Adjusted Land Total]]</f>
        <v>283700</v>
      </c>
      <c r="BS567" s="36">
        <f>IFERROR((Inventory[[#This Row],[Adjusted Impr Total]]-Inventory[[#This Row],[24Bldg]])/Inventory[[#This Row],[24Bldg]],0)</f>
        <v>0.13638443935926772</v>
      </c>
      <c r="BT567" s="36">
        <f>(Inventory[[#This Row],[Adjusted Land Total]]-Inventory[[#This Row],[24Lnd]])/Inventory[[#This Row],[24Lnd]]</f>
        <v>-0.37455830388692579</v>
      </c>
      <c r="BU567" s="36">
        <f>(Inventory[[#This Row],[Adjusted Total]]-Inventory[[#This Row],[24Final]])/Inventory[[#This Row],[24Final]]</f>
        <v>3.1261359505634315E-2</v>
      </c>
    </row>
    <row r="568" spans="1:73" x14ac:dyDescent="0.3">
      <c r="A568" s="25">
        <v>2025</v>
      </c>
      <c r="B568" s="26" t="s">
        <v>957</v>
      </c>
      <c r="C568" s="26">
        <f>LN(Inventory[[#This Row],[Acres]])</f>
        <v>-1.2039728043259361</v>
      </c>
      <c r="D568" s="25">
        <v>0.3</v>
      </c>
      <c r="E568" s="32">
        <v>12973</v>
      </c>
      <c r="F568" s="26" t="s">
        <v>537</v>
      </c>
      <c r="G568" s="26" t="s">
        <v>126</v>
      </c>
      <c r="H568" s="26" t="s">
        <v>349</v>
      </c>
      <c r="I568" s="26" t="s">
        <v>538</v>
      </c>
      <c r="J568" s="26" t="s">
        <v>539</v>
      </c>
      <c r="K568" s="26" t="s">
        <v>242</v>
      </c>
      <c r="L568" s="26" t="s">
        <v>148</v>
      </c>
      <c r="M568" s="26" t="s">
        <v>323</v>
      </c>
      <c r="N568" s="26">
        <v>70</v>
      </c>
      <c r="O568" s="26">
        <f>2024-Inventory[[#This Row],[YrBlt]]</f>
        <v>68</v>
      </c>
      <c r="P568" s="26">
        <f>2024-Inventory[[#This Row],[EffYr]]</f>
        <v>50</v>
      </c>
      <c r="Q568" s="25">
        <v>1956</v>
      </c>
      <c r="R568" s="25">
        <v>1974</v>
      </c>
      <c r="S568" s="25">
        <v>1542</v>
      </c>
      <c r="T568" s="27"/>
      <c r="U568" s="25">
        <v>1544</v>
      </c>
      <c r="V568" s="25">
        <f>Inventory[[#This Row],[Bsmt]]-Inventory[[#This Row],[FnBsmt]]</f>
        <v>772</v>
      </c>
      <c r="W568" s="25">
        <v>772</v>
      </c>
      <c r="X568" s="27"/>
      <c r="Y568" s="27">
        <f>Inventory[[#This Row],[MainFn]]+Inventory[[#This Row],[UpprFn]]+Inventory[[#This Row],[FnBsmt]]+Inventory[[#This Row],[AddFn]]</f>
        <v>2314</v>
      </c>
      <c r="Z568" s="27">
        <v>2500</v>
      </c>
      <c r="AA568" s="25">
        <v>8</v>
      </c>
      <c r="AB568" s="27"/>
      <c r="AC568" s="27"/>
      <c r="AD568" s="31"/>
      <c r="AE568" s="27"/>
      <c r="AF568" s="27"/>
      <c r="AG568" s="27"/>
      <c r="AH568" s="27"/>
      <c r="AI568" s="25">
        <v>471005</v>
      </c>
      <c r="AJ568" s="25">
        <v>329704</v>
      </c>
      <c r="AK568" s="25">
        <v>16241</v>
      </c>
      <c r="AL568" s="25">
        <v>397900</v>
      </c>
      <c r="AM568" s="25">
        <v>72500</v>
      </c>
      <c r="AN568" s="25">
        <v>325400</v>
      </c>
      <c r="AO568" s="25">
        <v>0</v>
      </c>
      <c r="AP568" s="25">
        <f>Lookups!$B$56*0</f>
        <v>0</v>
      </c>
      <c r="AQ568" s="25">
        <f>Lookups!$B$56*1</f>
        <v>89850.625589999996</v>
      </c>
      <c r="AR568" s="25">
        <f>Lookups!$B$57*Inventory[[#This Row],[LnAcres]]</f>
        <v>-38111.29648355169</v>
      </c>
      <c r="AS568" s="25">
        <f>VLOOKUP(Inventory[[#This Row],[Qlty]],Lookups!$A$62:$E$75,2,FALSE)</f>
        <v>44121.038090000002</v>
      </c>
      <c r="AT568" s="25">
        <f>VLOOKUP(Inventory[[#This Row],[Cnd]],Lookups!$A$76:$E$84,2,FALSE)</f>
        <v>160472.20319</v>
      </c>
      <c r="AU568" s="25">
        <f>Inventory[[#This Row],[EffAge]]*Lookups!$B$85</f>
        <v>-11152.280025</v>
      </c>
      <c r="AV568" s="25">
        <f>Inventory[[#This Row],[MainFn]]*Lookups!$B$86</f>
        <v>76188.168950334002</v>
      </c>
      <c r="AW568" s="25">
        <f>Inventory[[#This Row],[UpprFn]]*Lookups!$B$87</f>
        <v>0</v>
      </c>
      <c r="AX568" s="25">
        <f>Inventory[[#This Row],[AddFn]]*Lookups!$B$88</f>
        <v>0</v>
      </c>
      <c r="AY568" s="25">
        <f>Inventory[[#This Row],[Bsmt]]*Lookups!$B$89</f>
        <v>44902.446261368001</v>
      </c>
      <c r="AZ568" s="25">
        <f>Inventory[[#This Row],[Fixtures]]*Lookups!$B$90</f>
        <v>30336.176841600001</v>
      </c>
      <c r="BA568" s="25">
        <f>Inventory[[#This Row],[WdDeck]]*Lookups!$B$91</f>
        <v>0</v>
      </c>
      <c r="BB568" s="25">
        <f>ROUND(Inventory[[#This Row],[25Det]],-2)</f>
        <v>16200</v>
      </c>
      <c r="BC568" s="25">
        <f>ROUND(SUM(Inventory[[#This Row],[Mdl Qlty]:[Mdl WdDeck]])+Inventory[[#This Row],[Mdl Res Intercept]],-2)</f>
        <v>344900</v>
      </c>
      <c r="BD568" s="25">
        <f>ROUND(Inventory[[#This Row],[Mdl Land Intercept]]+Inventory[[#This Row],[Mdl LnAcres]],-2)</f>
        <v>51700</v>
      </c>
      <c r="BE568" s="25">
        <f>Inventory[[#This Row],[Unadj Res Value]]+Inventory[[#This Row],[Unadj Det Value]]+Inventory[[#This Row],[Unadj Land Value]]</f>
        <v>412800</v>
      </c>
      <c r="BF568" s="36">
        <f>(Inventory[[#This Row],[Unadj Total Value]]-Inventory[[#This Row],[24Final]])/Inventory[[#This Row],[24Final]]</f>
        <v>3.7446594621764265E-2</v>
      </c>
      <c r="BG568" s="25">
        <f>VLOOKUP(Inventory[[#This Row],[Nbhd]],Lookups!$Q$2:$T$4,4,FALSE)</f>
        <v>0.99970000000000003</v>
      </c>
      <c r="BH568" s="25">
        <f>VLOOKUP(Inventory[[#This Row],[Qlty]],Lookups!$O$7:$R$21,4,FALSE)</f>
        <v>0.98050000000000004</v>
      </c>
      <c r="BI568" s="25">
        <f>VLOOKUP(Inventory[[#This Row],[Cnd]],Lookups!$T$7:$W$16,4,FALSE)</f>
        <v>0.99729999999999996</v>
      </c>
      <c r="BJ568" s="25">
        <f>VLOOKUP(Inventory[[#This Row],[LivArea Range]],Lookups!$T$25:$W$37,4,FALSE)</f>
        <v>0.98919999999999997</v>
      </c>
      <c r="BK568" s="25">
        <f>VLOOKUP(Inventory[[#This Row],[Decade]],Lookups!$O$25:$R$42,4,FALSE)</f>
        <v>1.0199</v>
      </c>
      <c r="BL568" s="25">
        <f>Inventory[[#This Row],[Nbhd Adj]]*0.95</f>
        <v>0.94971499999999998</v>
      </c>
      <c r="BM568" s="25">
        <f>Inventory[[#This Row],[Nbhd Adj]]*Inventory[[#This Row],[Quality Adj]]*Inventory[[#This Row],[Condition Adj]]*Inventory[[#This Row],[Living Area Adj]]*Inventory[[#This Row],[Decade Adj]]*0.95</f>
        <v>0.93693273740181715</v>
      </c>
      <c r="BN568" s="25">
        <f>ROUND(SUM(Inventory[[#This Row],[Mdl Qlty]:[Mdl WdDeck]])+Inventory[[#This Row],[Mdl Res Intercept]]*Inventory[[#This Row],[Res Adj ]],-2)</f>
        <v>344900</v>
      </c>
      <c r="BO568" s="25">
        <f>ROUND(Inventory[[#This Row],[25Det]]*Inventory[[#This Row],[Det/Nbhd Adj]],-2)</f>
        <v>15400</v>
      </c>
      <c r="BP568" s="25">
        <f>Inventory[[#This Row],[Adjusted Res]]+Inventory[[#This Row],[Adj Det ]]</f>
        <v>360300</v>
      </c>
      <c r="BQ568" s="25">
        <f>ROUND((Inventory[[#This Row],[Mdl Land Intercept]]+Inventory[[#This Row],[Mdl LnAcres]])*Inventory[[#This Row],[Det/Nbhd Adj]],-2)</f>
        <v>49100</v>
      </c>
      <c r="BR568" s="25">
        <f>Inventory[[#This Row],[Adjusted Impr Total]]+Inventory[[#This Row],[Adjusted Land Total]]</f>
        <v>409400</v>
      </c>
      <c r="BS568" s="36">
        <f>IFERROR((Inventory[[#This Row],[Adjusted Impr Total]]-Inventory[[#This Row],[24Bldg]])/Inventory[[#This Row],[24Bldg]],0)</f>
        <v>0.10725261216963737</v>
      </c>
      <c r="BT568" s="36">
        <f>(Inventory[[#This Row],[Adjusted Land Total]]-Inventory[[#This Row],[24Lnd]])/Inventory[[#This Row],[24Lnd]]</f>
        <v>-0.32275862068965516</v>
      </c>
      <c r="BU568" s="36">
        <f>(Inventory[[#This Row],[Adjusted Total]]-Inventory[[#This Row],[24Final]])/Inventory[[#This Row],[24Final]]</f>
        <v>2.8901734104046242E-2</v>
      </c>
    </row>
    <row r="569" spans="1:73" x14ac:dyDescent="0.3">
      <c r="A569" s="25">
        <v>2025</v>
      </c>
      <c r="B569" s="26" t="s">
        <v>2508</v>
      </c>
      <c r="C569" s="26">
        <f>LN(Inventory[[#This Row],[Acres]])</f>
        <v>-1.6607312068216509</v>
      </c>
      <c r="D569" s="25">
        <v>0.19</v>
      </c>
      <c r="E569" s="32">
        <v>8087</v>
      </c>
      <c r="F569" s="26" t="s">
        <v>537</v>
      </c>
      <c r="G569" s="26" t="s">
        <v>126</v>
      </c>
      <c r="H569" s="26" t="s">
        <v>349</v>
      </c>
      <c r="I569" s="26" t="s">
        <v>538</v>
      </c>
      <c r="J569" s="26" t="s">
        <v>539</v>
      </c>
      <c r="K569" s="26" t="s">
        <v>173</v>
      </c>
      <c r="L569" s="26" t="s">
        <v>351</v>
      </c>
      <c r="M569" s="26" t="s">
        <v>323</v>
      </c>
      <c r="N569" s="26">
        <v>70</v>
      </c>
      <c r="O569" s="26">
        <f>2024-Inventory[[#This Row],[YrBlt]]</f>
        <v>68</v>
      </c>
      <c r="P569" s="26">
        <f>2024-Inventory[[#This Row],[EffYr]]</f>
        <v>50</v>
      </c>
      <c r="Q569" s="25">
        <v>1956</v>
      </c>
      <c r="R569" s="25">
        <v>1974</v>
      </c>
      <c r="S569" s="25">
        <v>1376</v>
      </c>
      <c r="T569" s="32">
        <v>972</v>
      </c>
      <c r="U569" s="31"/>
      <c r="V569" s="31">
        <f>Inventory[[#This Row],[Bsmt]]-Inventory[[#This Row],[FnBsmt]]</f>
        <v>0</v>
      </c>
      <c r="W569" s="31"/>
      <c r="X569" s="27"/>
      <c r="Y569" s="27">
        <f>Inventory[[#This Row],[MainFn]]+Inventory[[#This Row],[UpprFn]]+Inventory[[#This Row],[FnBsmt]]+Inventory[[#This Row],[AddFn]]</f>
        <v>2348</v>
      </c>
      <c r="Z569" s="27">
        <v>2500</v>
      </c>
      <c r="AA569" s="25">
        <v>8</v>
      </c>
      <c r="AB569" s="27"/>
      <c r="AC569" s="27"/>
      <c r="AD569" s="27"/>
      <c r="AE569" s="27"/>
      <c r="AF569" s="27"/>
      <c r="AG569" s="27"/>
      <c r="AH569" s="27"/>
      <c r="AI569" s="25">
        <v>333911</v>
      </c>
      <c r="AJ569" s="25">
        <v>233738</v>
      </c>
      <c r="AK569" s="25">
        <v>33722</v>
      </c>
      <c r="AL569" s="25">
        <v>374600</v>
      </c>
      <c r="AM569" s="25">
        <v>56600</v>
      </c>
      <c r="AN569" s="25">
        <v>318000</v>
      </c>
      <c r="AO569" s="25">
        <v>0</v>
      </c>
      <c r="AP569" s="25">
        <f>Lookups!$B$56*0</f>
        <v>0</v>
      </c>
      <c r="AQ569" s="25">
        <f>Lookups!$B$56*1</f>
        <v>89850.625589999996</v>
      </c>
      <c r="AR569" s="25">
        <f>Lookups!$B$57*Inventory[[#This Row],[LnAcres]]</f>
        <v>-52569.808201026557</v>
      </c>
      <c r="AS569" s="25">
        <f>VLOOKUP(Inventory[[#This Row],[Qlty]],Lookups!$A$62:$E$75,2,FALSE)</f>
        <v>21557.329055999999</v>
      </c>
      <c r="AT569" s="25">
        <f>VLOOKUP(Inventory[[#This Row],[Cnd]],Lookups!$A$76:$E$84,2,FALSE)</f>
        <v>160472.20319</v>
      </c>
      <c r="AU569" s="25">
        <f>Inventory[[#This Row],[EffAge]]*Lookups!$B$85</f>
        <v>-11152.280025</v>
      </c>
      <c r="AV569" s="25">
        <f>Inventory[[#This Row],[MainFn]]*Lookups!$B$86</f>
        <v>67986.329750752004</v>
      </c>
      <c r="AW569" s="25">
        <f>Inventory[[#This Row],[UpprFn]]*Lookups!$B$87</f>
        <v>43532.403020892001</v>
      </c>
      <c r="AX569" s="25">
        <f>Inventory[[#This Row],[AddFn]]*Lookups!$B$88</f>
        <v>0</v>
      </c>
      <c r="AY569" s="25">
        <f>Inventory[[#This Row],[Bsmt]]*Lookups!$B$89</f>
        <v>0</v>
      </c>
      <c r="AZ569" s="25">
        <f>Inventory[[#This Row],[Fixtures]]*Lookups!$B$90</f>
        <v>30336.176841600001</v>
      </c>
      <c r="BA569" s="25">
        <f>Inventory[[#This Row],[WdDeck]]*Lookups!$B$91</f>
        <v>0</v>
      </c>
      <c r="BB569" s="25">
        <f>ROUND(Inventory[[#This Row],[25Det]],-2)</f>
        <v>33700</v>
      </c>
      <c r="BC569" s="25">
        <f>ROUND(SUM(Inventory[[#This Row],[Mdl Qlty]:[Mdl WdDeck]])+Inventory[[#This Row],[Mdl Res Intercept]],-2)</f>
        <v>312700</v>
      </c>
      <c r="BD569" s="25">
        <f>ROUND(Inventory[[#This Row],[Mdl Land Intercept]]+Inventory[[#This Row],[Mdl LnAcres]],-2)</f>
        <v>37300</v>
      </c>
      <c r="BE569" s="25">
        <f>Inventory[[#This Row],[Unadj Res Value]]+Inventory[[#This Row],[Unadj Det Value]]+Inventory[[#This Row],[Unadj Land Value]]</f>
        <v>383700</v>
      </c>
      <c r="BF569" s="36">
        <f>(Inventory[[#This Row],[Unadj Total Value]]-Inventory[[#This Row],[24Final]])/Inventory[[#This Row],[24Final]]</f>
        <v>2.4292578750667378E-2</v>
      </c>
      <c r="BG569" s="25">
        <f>VLOOKUP(Inventory[[#This Row],[Nbhd]],Lookups!$Q$2:$T$4,4,FALSE)</f>
        <v>0.99970000000000003</v>
      </c>
      <c r="BH569" s="25">
        <f>VLOOKUP(Inventory[[#This Row],[Qlty]],Lookups!$O$7:$R$21,4,FALSE)</f>
        <v>1.0067999999999999</v>
      </c>
      <c r="BI569" s="25">
        <f>VLOOKUP(Inventory[[#This Row],[Cnd]],Lookups!$T$7:$W$16,4,FALSE)</f>
        <v>0.99729999999999996</v>
      </c>
      <c r="BJ569" s="25">
        <f>VLOOKUP(Inventory[[#This Row],[LivArea Range]],Lookups!$T$25:$W$37,4,FALSE)</f>
        <v>0.98919999999999997</v>
      </c>
      <c r="BK569" s="25">
        <f>VLOOKUP(Inventory[[#This Row],[Decade]],Lookups!$O$25:$R$42,4,FALSE)</f>
        <v>1.0199</v>
      </c>
      <c r="BL569" s="25">
        <f>Inventory[[#This Row],[Nbhd Adj]]*0.95</f>
        <v>0.94971499999999998</v>
      </c>
      <c r="BM569" s="25">
        <f>Inventory[[#This Row],[Nbhd Adj]]*Inventory[[#This Row],[Quality Adj]]*Inventory[[#This Row],[Condition Adj]]*Inventory[[#This Row],[Living Area Adj]]*Inventory[[#This Row],[Decade Adj]]*0.95</f>
        <v>0.9620641305621106</v>
      </c>
      <c r="BN569" s="25">
        <f>ROUND(SUM(Inventory[[#This Row],[Mdl Qlty]:[Mdl WdDeck]])+Inventory[[#This Row],[Mdl Res Intercept]]*Inventory[[#This Row],[Res Adj ]],-2)</f>
        <v>312700</v>
      </c>
      <c r="BO569" s="25">
        <f>ROUND(Inventory[[#This Row],[25Det]]*Inventory[[#This Row],[Det/Nbhd Adj]],-2)</f>
        <v>32000</v>
      </c>
      <c r="BP569" s="25">
        <f>Inventory[[#This Row],[Adjusted Res]]+Inventory[[#This Row],[Adj Det ]]</f>
        <v>344700</v>
      </c>
      <c r="BQ569" s="25">
        <f>ROUND((Inventory[[#This Row],[Mdl Land Intercept]]+Inventory[[#This Row],[Mdl LnAcres]])*Inventory[[#This Row],[Det/Nbhd Adj]],-2)</f>
        <v>35400</v>
      </c>
      <c r="BR569" s="25">
        <f>Inventory[[#This Row],[Adjusted Impr Total]]+Inventory[[#This Row],[Adjusted Land Total]]</f>
        <v>380100</v>
      </c>
      <c r="BS569" s="36">
        <f>IFERROR((Inventory[[#This Row],[Adjusted Impr Total]]-Inventory[[#This Row],[24Bldg]])/Inventory[[#This Row],[24Bldg]],0)</f>
        <v>8.3962264150943391E-2</v>
      </c>
      <c r="BT569" s="36">
        <f>(Inventory[[#This Row],[Adjusted Land Total]]-Inventory[[#This Row],[24Lnd]])/Inventory[[#This Row],[24Lnd]]</f>
        <v>-0.37455830388692579</v>
      </c>
      <c r="BU569" s="36">
        <f>(Inventory[[#This Row],[Adjusted Total]]-Inventory[[#This Row],[24Final]])/Inventory[[#This Row],[24Final]]</f>
        <v>1.4682327816337427E-2</v>
      </c>
    </row>
    <row r="570" spans="1:73" x14ac:dyDescent="0.3">
      <c r="A570" s="25">
        <v>2025</v>
      </c>
      <c r="B570" s="26" t="s">
        <v>1277</v>
      </c>
      <c r="C570" s="26">
        <f>LN(Inventory[[#This Row],[Acres]])</f>
        <v>-1.3093333199837622</v>
      </c>
      <c r="D570" s="25">
        <v>0.27</v>
      </c>
      <c r="E570" s="32">
        <v>11951</v>
      </c>
      <c r="F570" s="26" t="s">
        <v>537</v>
      </c>
      <c r="G570" s="26" t="s">
        <v>126</v>
      </c>
      <c r="H570" s="26" t="s">
        <v>349</v>
      </c>
      <c r="I570" s="26" t="s">
        <v>538</v>
      </c>
      <c r="J570" s="26" t="s">
        <v>539</v>
      </c>
      <c r="K570" s="26" t="s">
        <v>241</v>
      </c>
      <c r="L570" s="26" t="s">
        <v>64</v>
      </c>
      <c r="M570" s="26" t="s">
        <v>303</v>
      </c>
      <c r="N570" s="26">
        <v>70</v>
      </c>
      <c r="O570" s="26">
        <f>2024-Inventory[[#This Row],[YrBlt]]</f>
        <v>68</v>
      </c>
      <c r="P570" s="26">
        <f>2024-Inventory[[#This Row],[EffYr]]</f>
        <v>50</v>
      </c>
      <c r="Q570" s="25">
        <v>1956</v>
      </c>
      <c r="R570" s="25">
        <v>1974</v>
      </c>
      <c r="S570" s="25">
        <v>1653</v>
      </c>
      <c r="T570" s="27"/>
      <c r="U570" s="31"/>
      <c r="V570" s="31">
        <f>Inventory[[#This Row],[Bsmt]]-Inventory[[#This Row],[FnBsmt]]</f>
        <v>0</v>
      </c>
      <c r="W570" s="31"/>
      <c r="X570" s="27"/>
      <c r="Y570" s="27">
        <f>Inventory[[#This Row],[MainFn]]+Inventory[[#This Row],[UpprFn]]+Inventory[[#This Row],[FnBsmt]]+Inventory[[#This Row],[AddFn]]</f>
        <v>1653</v>
      </c>
      <c r="Z570" s="27">
        <v>2000</v>
      </c>
      <c r="AA570" s="25">
        <v>10</v>
      </c>
      <c r="AB570" s="25">
        <v>575</v>
      </c>
      <c r="AC570" s="27"/>
      <c r="AD570" s="31"/>
      <c r="AE570" s="27"/>
      <c r="AF570" s="27"/>
      <c r="AG570" s="27"/>
      <c r="AH570" s="27"/>
      <c r="AI570" s="25">
        <v>497714</v>
      </c>
      <c r="AJ570" s="25">
        <v>363331</v>
      </c>
      <c r="AK570" s="25">
        <v>29572</v>
      </c>
      <c r="AL570" s="25">
        <v>543300</v>
      </c>
      <c r="AM570" s="25">
        <v>68900</v>
      </c>
      <c r="AN570" s="25">
        <v>474400</v>
      </c>
      <c r="AO570" s="25">
        <v>0</v>
      </c>
      <c r="AP570" s="25">
        <f>Lookups!$B$56*0</f>
        <v>0</v>
      </c>
      <c r="AQ570" s="25">
        <f>Lookups!$B$56*1</f>
        <v>89850.625589999996</v>
      </c>
      <c r="AR570" s="25">
        <f>Lookups!$B$57*Inventory[[#This Row],[LnAcres]]</f>
        <v>-41446.443120973789</v>
      </c>
      <c r="AS570" s="25">
        <f>VLOOKUP(Inventory[[#This Row],[Qlty]],Lookups!$A$62:$E$75,2,FALSE)</f>
        <v>163885.03753</v>
      </c>
      <c r="AT570" s="25">
        <f>VLOOKUP(Inventory[[#This Row],[Cnd]],Lookups!$A$76:$E$84,2,FALSE)</f>
        <v>197752.34721000001</v>
      </c>
      <c r="AU570" s="25">
        <f>Inventory[[#This Row],[EffAge]]*Lookups!$B$85</f>
        <v>-11152.280025</v>
      </c>
      <c r="AV570" s="25">
        <f>Inventory[[#This Row],[MainFn]]*Lookups!$B$86</f>
        <v>81672.531306681005</v>
      </c>
      <c r="AW570" s="25">
        <f>Inventory[[#This Row],[UpprFn]]*Lookups!$B$87</f>
        <v>0</v>
      </c>
      <c r="AX570" s="25">
        <f>Inventory[[#This Row],[AddFn]]*Lookups!$B$88</f>
        <v>0</v>
      </c>
      <c r="AY570" s="25">
        <f>Inventory[[#This Row],[Bsmt]]*Lookups!$B$89</f>
        <v>0</v>
      </c>
      <c r="AZ570" s="25">
        <f>Inventory[[#This Row],[Fixtures]]*Lookups!$B$90</f>
        <v>37920.221052000001</v>
      </c>
      <c r="BA570" s="25">
        <f>Inventory[[#This Row],[WdDeck]]*Lookups!$B$91</f>
        <v>0</v>
      </c>
      <c r="BB570" s="25">
        <f>ROUND(Inventory[[#This Row],[25Det]],-2)</f>
        <v>29600</v>
      </c>
      <c r="BC570" s="25">
        <f>ROUND(SUM(Inventory[[#This Row],[Mdl Qlty]:[Mdl WdDeck]])+Inventory[[#This Row],[Mdl Res Intercept]],-2)</f>
        <v>470100</v>
      </c>
      <c r="BD570" s="25">
        <f>ROUND(Inventory[[#This Row],[Mdl Land Intercept]]+Inventory[[#This Row],[Mdl LnAcres]],-2)</f>
        <v>48400</v>
      </c>
      <c r="BE570" s="25">
        <f>Inventory[[#This Row],[Unadj Res Value]]+Inventory[[#This Row],[Unadj Det Value]]+Inventory[[#This Row],[Unadj Land Value]]</f>
        <v>548100</v>
      </c>
      <c r="BF570" s="36">
        <f>(Inventory[[#This Row],[Unadj Total Value]]-Inventory[[#This Row],[24Final]])/Inventory[[#This Row],[24Final]]</f>
        <v>8.8348978464936508E-3</v>
      </c>
      <c r="BG570" s="25">
        <f>VLOOKUP(Inventory[[#This Row],[Nbhd]],Lookups!$Q$2:$T$4,4,FALSE)</f>
        <v>0.99970000000000003</v>
      </c>
      <c r="BH570" s="25">
        <f>VLOOKUP(Inventory[[#This Row],[Qlty]],Lookups!$O$7:$R$21,4,FALSE)</f>
        <v>1</v>
      </c>
      <c r="BI570" s="25">
        <f>VLOOKUP(Inventory[[#This Row],[Cnd]],Lookups!$T$7:$W$16,4,FALSE)</f>
        <v>0.99650000000000005</v>
      </c>
      <c r="BJ570" s="25">
        <f>VLOOKUP(Inventory[[#This Row],[LivArea Range]],Lookups!$T$25:$W$37,4,FALSE)</f>
        <v>1.0093000000000001</v>
      </c>
      <c r="BK570" s="25">
        <f>VLOOKUP(Inventory[[#This Row],[Decade]],Lookups!$O$25:$R$42,4,FALSE)</f>
        <v>1.0199</v>
      </c>
      <c r="BL570" s="25">
        <f>Inventory[[#This Row],[Nbhd Adj]]*0.95</f>
        <v>0.94971499999999998</v>
      </c>
      <c r="BM570" s="25">
        <f>Inventory[[#This Row],[Nbhd Adj]]*Inventory[[#This Row],[Quality Adj]]*Inventory[[#This Row],[Condition Adj]]*Inventory[[#This Row],[Living Area Adj]]*Inventory[[#This Row],[Decade Adj]]*0.95</f>
        <v>0.97420076320890747</v>
      </c>
      <c r="BN570" s="25">
        <f>ROUND(SUM(Inventory[[#This Row],[Mdl Qlty]:[Mdl WdDeck]])+Inventory[[#This Row],[Mdl Res Intercept]]*Inventory[[#This Row],[Res Adj ]],-2)</f>
        <v>470100</v>
      </c>
      <c r="BO570" s="25">
        <f>ROUND(Inventory[[#This Row],[25Det]]*Inventory[[#This Row],[Det/Nbhd Adj]],-2)</f>
        <v>28100</v>
      </c>
      <c r="BP570" s="25">
        <f>Inventory[[#This Row],[Adjusted Res]]+Inventory[[#This Row],[Adj Det ]]</f>
        <v>498200</v>
      </c>
      <c r="BQ570" s="25">
        <f>ROUND((Inventory[[#This Row],[Mdl Land Intercept]]+Inventory[[#This Row],[Mdl LnAcres]])*Inventory[[#This Row],[Det/Nbhd Adj]],-2)</f>
        <v>46000</v>
      </c>
      <c r="BR570" s="25">
        <f>Inventory[[#This Row],[Adjusted Impr Total]]+Inventory[[#This Row],[Adjusted Land Total]]</f>
        <v>544200</v>
      </c>
      <c r="BS570" s="36">
        <f>IFERROR((Inventory[[#This Row],[Adjusted Impr Total]]-Inventory[[#This Row],[24Bldg]])/Inventory[[#This Row],[24Bldg]],0)</f>
        <v>5.0168634064080946E-2</v>
      </c>
      <c r="BT570" s="36">
        <f>(Inventory[[#This Row],[Adjusted Land Total]]-Inventory[[#This Row],[24Lnd]])/Inventory[[#This Row],[24Lnd]]</f>
        <v>-0.33236574746008707</v>
      </c>
      <c r="BU570" s="36">
        <f>(Inventory[[#This Row],[Adjusted Total]]-Inventory[[#This Row],[24Final]])/Inventory[[#This Row],[24Final]]</f>
        <v>1.6565433462175593E-3</v>
      </c>
    </row>
    <row r="571" spans="1:73" x14ac:dyDescent="0.3">
      <c r="A571" s="25">
        <v>2025</v>
      </c>
      <c r="B571" s="26" t="s">
        <v>2640</v>
      </c>
      <c r="C571" s="26">
        <f>LN(Inventory[[#This Row],[Acres]])</f>
        <v>-1.6094379124341003</v>
      </c>
      <c r="D571" s="25">
        <v>0.2</v>
      </c>
      <c r="E571" s="32">
        <v>8528</v>
      </c>
      <c r="F571" s="26" t="s">
        <v>537</v>
      </c>
      <c r="G571" s="26" t="s">
        <v>126</v>
      </c>
      <c r="H571" s="26" t="s">
        <v>349</v>
      </c>
      <c r="I571" s="26" t="s">
        <v>538</v>
      </c>
      <c r="J571" s="26" t="s">
        <v>539</v>
      </c>
      <c r="K571" s="26" t="s">
        <v>241</v>
      </c>
      <c r="L571" s="26" t="s">
        <v>302</v>
      </c>
      <c r="M571" s="26" t="s">
        <v>323</v>
      </c>
      <c r="N571" s="26">
        <v>70</v>
      </c>
      <c r="O571" s="26">
        <f>2024-Inventory[[#This Row],[YrBlt]]</f>
        <v>68</v>
      </c>
      <c r="P571" s="26">
        <f>2024-Inventory[[#This Row],[EffYr]]</f>
        <v>50</v>
      </c>
      <c r="Q571" s="25">
        <v>1956</v>
      </c>
      <c r="R571" s="25">
        <v>1974</v>
      </c>
      <c r="S571" s="25">
        <v>1260</v>
      </c>
      <c r="T571" s="27"/>
      <c r="U571" s="25">
        <v>1260</v>
      </c>
      <c r="V571" s="25">
        <f>Inventory[[#This Row],[Bsmt]]-Inventory[[#This Row],[FnBsmt]]</f>
        <v>235</v>
      </c>
      <c r="W571" s="25">
        <v>1025</v>
      </c>
      <c r="X571" s="27"/>
      <c r="Y571" s="27">
        <f>Inventory[[#This Row],[MainFn]]+Inventory[[#This Row],[UpprFn]]+Inventory[[#This Row],[FnBsmt]]+Inventory[[#This Row],[AddFn]]</f>
        <v>2285</v>
      </c>
      <c r="Z571" s="27">
        <v>2500</v>
      </c>
      <c r="AA571" s="25">
        <v>8</v>
      </c>
      <c r="AB571" s="27"/>
      <c r="AC571" s="27"/>
      <c r="AD571" s="27"/>
      <c r="AE571" s="27"/>
      <c r="AF571" s="27"/>
      <c r="AG571" s="27"/>
      <c r="AH571" s="27"/>
      <c r="AI571" s="25">
        <v>389008</v>
      </c>
      <c r="AJ571" s="25">
        <v>272306</v>
      </c>
      <c r="AK571" s="25">
        <v>0</v>
      </c>
      <c r="AL571" s="25">
        <v>345400</v>
      </c>
      <c r="AM571" s="25">
        <v>58400</v>
      </c>
      <c r="AN571" s="25">
        <v>287000</v>
      </c>
      <c r="AO571" s="25">
        <v>0</v>
      </c>
      <c r="AP571" s="25">
        <f>Lookups!$B$56*0</f>
        <v>0</v>
      </c>
      <c r="AQ571" s="25">
        <f>Lookups!$B$56*1</f>
        <v>89850.625589999996</v>
      </c>
      <c r="AR571" s="25">
        <f>Lookups!$B$57*Inventory[[#This Row],[LnAcres]]</f>
        <v>-50946.13867709865</v>
      </c>
      <c r="AS571" s="25">
        <f>VLOOKUP(Inventory[[#This Row],[Qlty]],Lookups!$A$62:$E$75,2,FALSE)</f>
        <v>29814.093161000001</v>
      </c>
      <c r="AT571" s="25">
        <f>VLOOKUP(Inventory[[#This Row],[Cnd]],Lookups!$A$76:$E$84,2,FALSE)</f>
        <v>160472.20319</v>
      </c>
      <c r="AU571" s="25">
        <f>Inventory[[#This Row],[EffAge]]*Lookups!$B$85</f>
        <v>-11152.280025</v>
      </c>
      <c r="AV571" s="25">
        <f>Inventory[[#This Row],[MainFn]]*Lookups!$B$86</f>
        <v>62254.924045020001</v>
      </c>
      <c r="AW571" s="25">
        <f>Inventory[[#This Row],[UpprFn]]*Lookups!$B$87</f>
        <v>0</v>
      </c>
      <c r="AX571" s="25">
        <f>Inventory[[#This Row],[AddFn]]*Lookups!$B$88</f>
        <v>0</v>
      </c>
      <c r="AY571" s="25">
        <f>Inventory[[#This Row],[Bsmt]]*Lookups!$B$89</f>
        <v>36643.188011220001</v>
      </c>
      <c r="AZ571" s="25">
        <f>Inventory[[#This Row],[Fixtures]]*Lookups!$B$90</f>
        <v>30336.176841600001</v>
      </c>
      <c r="BA571" s="25">
        <f>Inventory[[#This Row],[WdDeck]]*Lookups!$B$91</f>
        <v>0</v>
      </c>
      <c r="BB571" s="25">
        <f>ROUND(Inventory[[#This Row],[25Det]],-2)</f>
        <v>0</v>
      </c>
      <c r="BC571" s="25">
        <f>ROUND(SUM(Inventory[[#This Row],[Mdl Qlty]:[Mdl WdDeck]])+Inventory[[#This Row],[Mdl Res Intercept]],-2)</f>
        <v>308400</v>
      </c>
      <c r="BD571" s="25">
        <f>ROUND(Inventory[[#This Row],[Mdl Land Intercept]]+Inventory[[#This Row],[Mdl LnAcres]],-2)</f>
        <v>38900</v>
      </c>
      <c r="BE571" s="25">
        <f>Inventory[[#This Row],[Unadj Res Value]]+Inventory[[#This Row],[Unadj Det Value]]+Inventory[[#This Row],[Unadj Land Value]]</f>
        <v>347300</v>
      </c>
      <c r="BF571" s="36">
        <f>(Inventory[[#This Row],[Unadj Total Value]]-Inventory[[#This Row],[24Final]])/Inventory[[#This Row],[24Final]]</f>
        <v>5.5008685581933985E-3</v>
      </c>
      <c r="BG571" s="25">
        <f>VLOOKUP(Inventory[[#This Row],[Nbhd]],Lookups!$Q$2:$T$4,4,FALSE)</f>
        <v>0.99970000000000003</v>
      </c>
      <c r="BH571" s="25">
        <f>VLOOKUP(Inventory[[#This Row],[Qlty]],Lookups!$O$7:$R$21,4,FALSE)</f>
        <v>1.0088999999999999</v>
      </c>
      <c r="BI571" s="25">
        <f>VLOOKUP(Inventory[[#This Row],[Cnd]],Lookups!$T$7:$W$16,4,FALSE)</f>
        <v>0.99729999999999996</v>
      </c>
      <c r="BJ571" s="25">
        <f>VLOOKUP(Inventory[[#This Row],[LivArea Range]],Lookups!$T$25:$W$37,4,FALSE)</f>
        <v>0.98919999999999997</v>
      </c>
      <c r="BK571" s="25">
        <f>VLOOKUP(Inventory[[#This Row],[Decade]],Lookups!$O$25:$R$42,4,FALSE)</f>
        <v>1.0199</v>
      </c>
      <c r="BL571" s="25">
        <f>Inventory[[#This Row],[Nbhd Adj]]*0.95</f>
        <v>0.94971499999999998</v>
      </c>
      <c r="BM571" s="25">
        <f>Inventory[[#This Row],[Nbhd Adj]]*Inventory[[#This Row],[Quality Adj]]*Inventory[[#This Row],[Condition Adj]]*Inventory[[#This Row],[Living Area Adj]]*Inventory[[#This Row],[Decade Adj]]*0.95</f>
        <v>0.96407081974981479</v>
      </c>
      <c r="BN571" s="25">
        <f>ROUND(SUM(Inventory[[#This Row],[Mdl Qlty]:[Mdl WdDeck]])+Inventory[[#This Row],[Mdl Res Intercept]]*Inventory[[#This Row],[Res Adj ]],-2)</f>
        <v>308400</v>
      </c>
      <c r="BO571" s="25">
        <f>ROUND(Inventory[[#This Row],[25Det]]*Inventory[[#This Row],[Det/Nbhd Adj]],-2)</f>
        <v>0</v>
      </c>
      <c r="BP571" s="25">
        <f>Inventory[[#This Row],[Adjusted Res]]+Inventory[[#This Row],[Adj Det ]]</f>
        <v>308400</v>
      </c>
      <c r="BQ571" s="25">
        <f>ROUND((Inventory[[#This Row],[Mdl Land Intercept]]+Inventory[[#This Row],[Mdl LnAcres]])*Inventory[[#This Row],[Det/Nbhd Adj]],-2)</f>
        <v>36900</v>
      </c>
      <c r="BR571" s="25">
        <f>Inventory[[#This Row],[Adjusted Impr Total]]+Inventory[[#This Row],[Adjusted Land Total]]</f>
        <v>345300</v>
      </c>
      <c r="BS571" s="36">
        <f>IFERROR((Inventory[[#This Row],[Adjusted Impr Total]]-Inventory[[#This Row],[24Bldg]])/Inventory[[#This Row],[24Bldg]],0)</f>
        <v>7.456445993031359E-2</v>
      </c>
      <c r="BT571" s="36">
        <f>(Inventory[[#This Row],[Adjusted Land Total]]-Inventory[[#This Row],[24Lnd]])/Inventory[[#This Row],[24Lnd]]</f>
        <v>-0.36815068493150682</v>
      </c>
      <c r="BU571" s="36">
        <f>(Inventory[[#This Row],[Adjusted Total]]-Inventory[[#This Row],[24Final]])/Inventory[[#This Row],[24Final]]</f>
        <v>-2.8951939779965256E-4</v>
      </c>
    </row>
    <row r="572" spans="1:73" x14ac:dyDescent="0.3">
      <c r="A572" s="25">
        <v>2025</v>
      </c>
      <c r="B572" s="26" t="s">
        <v>1326</v>
      </c>
      <c r="C572" s="26">
        <f>LN(Inventory[[#This Row],[Acres]])</f>
        <v>-1.7719568419318752</v>
      </c>
      <c r="D572" s="25">
        <v>0.17</v>
      </c>
      <c r="E572" s="32">
        <v>7488</v>
      </c>
      <c r="F572" s="26" t="s">
        <v>537</v>
      </c>
      <c r="G572" s="26" t="s">
        <v>126</v>
      </c>
      <c r="H572" s="26" t="s">
        <v>349</v>
      </c>
      <c r="I572" s="26" t="s">
        <v>538</v>
      </c>
      <c r="J572" s="26" t="s">
        <v>539</v>
      </c>
      <c r="K572" s="26" t="s">
        <v>241</v>
      </c>
      <c r="L572" s="26" t="s">
        <v>351</v>
      </c>
      <c r="M572" s="26" t="s">
        <v>323</v>
      </c>
      <c r="N572" s="26">
        <v>70</v>
      </c>
      <c r="O572" s="26">
        <f>2024-Inventory[[#This Row],[YrBlt]]</f>
        <v>68</v>
      </c>
      <c r="P572" s="26">
        <f>2024-Inventory[[#This Row],[EffYr]]</f>
        <v>50</v>
      </c>
      <c r="Q572" s="25">
        <v>1956</v>
      </c>
      <c r="R572" s="25">
        <v>1974</v>
      </c>
      <c r="S572" s="25">
        <v>1138</v>
      </c>
      <c r="T572" s="27"/>
      <c r="U572" s="32">
        <v>1138</v>
      </c>
      <c r="V572" s="32">
        <f>Inventory[[#This Row],[Bsmt]]-Inventory[[#This Row],[FnBsmt]]</f>
        <v>0</v>
      </c>
      <c r="W572" s="32">
        <v>1138</v>
      </c>
      <c r="X572" s="27"/>
      <c r="Y572" s="27">
        <f>Inventory[[#This Row],[MainFn]]+Inventory[[#This Row],[UpprFn]]+Inventory[[#This Row],[FnBsmt]]+Inventory[[#This Row],[AddFn]]</f>
        <v>2276</v>
      </c>
      <c r="Z572" s="27">
        <v>2500</v>
      </c>
      <c r="AA572" s="25">
        <v>9</v>
      </c>
      <c r="AB572" s="25">
        <v>504</v>
      </c>
      <c r="AC572" s="27"/>
      <c r="AD572" s="27"/>
      <c r="AE572" s="27"/>
      <c r="AF572" s="27"/>
      <c r="AG572" s="27"/>
      <c r="AH572" s="27"/>
      <c r="AI572" s="25">
        <v>309689</v>
      </c>
      <c r="AJ572" s="25">
        <v>216782</v>
      </c>
      <c r="AK572" s="25">
        <v>0</v>
      </c>
      <c r="AL572" s="25">
        <v>326700</v>
      </c>
      <c r="AM572" s="25">
        <v>52700</v>
      </c>
      <c r="AN572" s="25">
        <v>274000</v>
      </c>
      <c r="AO572" s="25">
        <v>0</v>
      </c>
      <c r="AP572" s="25">
        <f>Lookups!$B$56*0</f>
        <v>0</v>
      </c>
      <c r="AQ572" s="25">
        <f>Lookups!$B$56*1</f>
        <v>89850.625589999996</v>
      </c>
      <c r="AR572" s="25">
        <f>Lookups!$B$57*Inventory[[#This Row],[LnAcres]]</f>
        <v>-56090.612940989391</v>
      </c>
      <c r="AS572" s="25">
        <f>VLOOKUP(Inventory[[#This Row],[Qlty]],Lookups!$A$62:$E$75,2,FALSE)</f>
        <v>21557.329055999999</v>
      </c>
      <c r="AT572" s="25">
        <f>VLOOKUP(Inventory[[#This Row],[Cnd]],Lookups!$A$76:$E$84,2,FALSE)</f>
        <v>160472.20319</v>
      </c>
      <c r="AU572" s="25">
        <f>Inventory[[#This Row],[EffAge]]*Lookups!$B$85</f>
        <v>-11152.280025</v>
      </c>
      <c r="AV572" s="25">
        <f>Inventory[[#This Row],[MainFn]]*Lookups!$B$86</f>
        <v>56227.066320026002</v>
      </c>
      <c r="AW572" s="25">
        <f>Inventory[[#This Row],[UpprFn]]*Lookups!$B$87</f>
        <v>0</v>
      </c>
      <c r="AX572" s="25">
        <f>Inventory[[#This Row],[AddFn]]*Lookups!$B$88</f>
        <v>0</v>
      </c>
      <c r="AY572" s="25">
        <f>Inventory[[#This Row],[Bsmt]]*Lookups!$B$89</f>
        <v>33095.196791085997</v>
      </c>
      <c r="AZ572" s="25">
        <f>Inventory[[#This Row],[Fixtures]]*Lookups!$B$90</f>
        <v>34128.198946800003</v>
      </c>
      <c r="BA572" s="25">
        <f>Inventory[[#This Row],[WdDeck]]*Lookups!$B$91</f>
        <v>0</v>
      </c>
      <c r="BB572" s="25">
        <f>ROUND(Inventory[[#This Row],[25Det]],-2)</f>
        <v>0</v>
      </c>
      <c r="BC572" s="25">
        <f>ROUND(SUM(Inventory[[#This Row],[Mdl Qlty]:[Mdl WdDeck]])+Inventory[[#This Row],[Mdl Res Intercept]],-2)</f>
        <v>294300</v>
      </c>
      <c r="BD572" s="25">
        <f>ROUND(Inventory[[#This Row],[Mdl Land Intercept]]+Inventory[[#This Row],[Mdl LnAcres]],-2)</f>
        <v>33800</v>
      </c>
      <c r="BE572" s="25">
        <f>Inventory[[#This Row],[Unadj Res Value]]+Inventory[[#This Row],[Unadj Det Value]]+Inventory[[#This Row],[Unadj Land Value]]</f>
        <v>328100</v>
      </c>
      <c r="BF572" s="36">
        <f>(Inventory[[#This Row],[Unadj Total Value]]-Inventory[[#This Row],[24Final]])/Inventory[[#This Row],[24Final]]</f>
        <v>4.2852770125497396E-3</v>
      </c>
      <c r="BG572" s="25">
        <f>VLOOKUP(Inventory[[#This Row],[Nbhd]],Lookups!$Q$2:$T$4,4,FALSE)</f>
        <v>0.99970000000000003</v>
      </c>
      <c r="BH572" s="25">
        <f>VLOOKUP(Inventory[[#This Row],[Qlty]],Lookups!$O$7:$R$21,4,FALSE)</f>
        <v>1.0067999999999999</v>
      </c>
      <c r="BI572" s="25">
        <f>VLOOKUP(Inventory[[#This Row],[Cnd]],Lookups!$T$7:$W$16,4,FALSE)</f>
        <v>0.99729999999999996</v>
      </c>
      <c r="BJ572" s="25">
        <f>VLOOKUP(Inventory[[#This Row],[LivArea Range]],Lookups!$T$25:$W$37,4,FALSE)</f>
        <v>0.98919999999999997</v>
      </c>
      <c r="BK572" s="25">
        <f>VLOOKUP(Inventory[[#This Row],[Decade]],Lookups!$O$25:$R$42,4,FALSE)</f>
        <v>1.0199</v>
      </c>
      <c r="BL572" s="25">
        <f>Inventory[[#This Row],[Nbhd Adj]]*0.95</f>
        <v>0.94971499999999998</v>
      </c>
      <c r="BM572" s="25">
        <f>Inventory[[#This Row],[Nbhd Adj]]*Inventory[[#This Row],[Quality Adj]]*Inventory[[#This Row],[Condition Adj]]*Inventory[[#This Row],[Living Area Adj]]*Inventory[[#This Row],[Decade Adj]]*0.95</f>
        <v>0.9620641305621106</v>
      </c>
      <c r="BN572" s="25">
        <f>ROUND(SUM(Inventory[[#This Row],[Mdl Qlty]:[Mdl WdDeck]])+Inventory[[#This Row],[Mdl Res Intercept]]*Inventory[[#This Row],[Res Adj ]],-2)</f>
        <v>294300</v>
      </c>
      <c r="BO572" s="25">
        <f>ROUND(Inventory[[#This Row],[25Det]]*Inventory[[#This Row],[Det/Nbhd Adj]],-2)</f>
        <v>0</v>
      </c>
      <c r="BP572" s="25">
        <f>Inventory[[#This Row],[Adjusted Res]]+Inventory[[#This Row],[Adj Det ]]</f>
        <v>294300</v>
      </c>
      <c r="BQ572" s="25">
        <f>ROUND((Inventory[[#This Row],[Mdl Land Intercept]]+Inventory[[#This Row],[Mdl LnAcres]])*Inventory[[#This Row],[Det/Nbhd Adj]],-2)</f>
        <v>32100</v>
      </c>
      <c r="BR572" s="25">
        <f>Inventory[[#This Row],[Adjusted Impr Total]]+Inventory[[#This Row],[Adjusted Land Total]]</f>
        <v>326400</v>
      </c>
      <c r="BS572" s="36">
        <f>IFERROR((Inventory[[#This Row],[Adjusted Impr Total]]-Inventory[[#This Row],[24Bldg]])/Inventory[[#This Row],[24Bldg]],0)</f>
        <v>7.4087591240875911E-2</v>
      </c>
      <c r="BT572" s="36">
        <f>(Inventory[[#This Row],[Adjusted Land Total]]-Inventory[[#This Row],[24Lnd]])/Inventory[[#This Row],[24Lnd]]</f>
        <v>-0.39089184060721061</v>
      </c>
      <c r="BU572" s="36">
        <f>(Inventory[[#This Row],[Adjusted Total]]-Inventory[[#This Row],[24Final]])/Inventory[[#This Row],[24Final]]</f>
        <v>-9.1827364554637281E-4</v>
      </c>
    </row>
    <row r="573" spans="1:73" x14ac:dyDescent="0.3">
      <c r="A573" s="25">
        <v>2025</v>
      </c>
      <c r="B573" s="26" t="s">
        <v>1757</v>
      </c>
      <c r="C573" s="26">
        <f>LN(Inventory[[#This Row],[Acres]])</f>
        <v>-1.3862943611198906</v>
      </c>
      <c r="D573" s="25">
        <v>0.25</v>
      </c>
      <c r="E573" s="27"/>
      <c r="F573" s="26" t="s">
        <v>537</v>
      </c>
      <c r="G573" s="26" t="s">
        <v>126</v>
      </c>
      <c r="H573" s="26" t="s">
        <v>349</v>
      </c>
      <c r="I573" s="26" t="s">
        <v>538</v>
      </c>
      <c r="J573" s="26" t="s">
        <v>539</v>
      </c>
      <c r="K573" s="26" t="s">
        <v>241</v>
      </c>
      <c r="L573" s="26" t="s">
        <v>351</v>
      </c>
      <c r="M573" s="26" t="s">
        <v>323</v>
      </c>
      <c r="N573" s="26">
        <v>70</v>
      </c>
      <c r="O573" s="26">
        <f>2024-Inventory[[#This Row],[YrBlt]]</f>
        <v>68</v>
      </c>
      <c r="P573" s="26">
        <f>2024-Inventory[[#This Row],[EffYr]]</f>
        <v>50</v>
      </c>
      <c r="Q573" s="25">
        <v>1956</v>
      </c>
      <c r="R573" s="25">
        <v>1974</v>
      </c>
      <c r="S573" s="25">
        <v>1120</v>
      </c>
      <c r="T573" s="27"/>
      <c r="U573" s="25">
        <v>1120</v>
      </c>
      <c r="V573" s="25">
        <f>Inventory[[#This Row],[Bsmt]]-Inventory[[#This Row],[FnBsmt]]</f>
        <v>0</v>
      </c>
      <c r="W573" s="25">
        <v>1120</v>
      </c>
      <c r="X573" s="27"/>
      <c r="Y573" s="27">
        <f>Inventory[[#This Row],[MainFn]]+Inventory[[#This Row],[UpprFn]]+Inventory[[#This Row],[FnBsmt]]+Inventory[[#This Row],[AddFn]]</f>
        <v>2240</v>
      </c>
      <c r="Z573" s="27">
        <v>2500</v>
      </c>
      <c r="AA573" s="25">
        <v>8</v>
      </c>
      <c r="AB573" s="25">
        <v>325</v>
      </c>
      <c r="AC573" s="27"/>
      <c r="AD573" s="27"/>
      <c r="AE573" s="27"/>
      <c r="AF573" s="27"/>
      <c r="AG573" s="27"/>
      <c r="AH573" s="27"/>
      <c r="AI573" s="25">
        <v>304591</v>
      </c>
      <c r="AJ573" s="25">
        <v>213214</v>
      </c>
      <c r="AK573" s="25">
        <v>0</v>
      </c>
      <c r="AL573" s="25">
        <v>341800</v>
      </c>
      <c r="AM573" s="25">
        <v>66200</v>
      </c>
      <c r="AN573" s="25">
        <v>275600</v>
      </c>
      <c r="AO573" s="25">
        <v>0</v>
      </c>
      <c r="AP573" s="25">
        <f>Lookups!$B$56*0</f>
        <v>0</v>
      </c>
      <c r="AQ573" s="25">
        <f>Lookups!$B$56*1</f>
        <v>89850.625589999996</v>
      </c>
      <c r="AR573" s="25">
        <f>Lookups!$B$57*Inventory[[#This Row],[LnAcres]]</f>
        <v>-43882.615305165229</v>
      </c>
      <c r="AS573" s="25">
        <f>VLOOKUP(Inventory[[#This Row],[Qlty]],Lookups!$A$62:$E$75,2,FALSE)</f>
        <v>21557.329055999999</v>
      </c>
      <c r="AT573" s="25">
        <f>VLOOKUP(Inventory[[#This Row],[Cnd]],Lookups!$A$76:$E$84,2,FALSE)</f>
        <v>160472.20319</v>
      </c>
      <c r="AU573" s="25">
        <f>Inventory[[#This Row],[EffAge]]*Lookups!$B$85</f>
        <v>-11152.280025</v>
      </c>
      <c r="AV573" s="25">
        <f>Inventory[[#This Row],[MainFn]]*Lookups!$B$86</f>
        <v>55337.710262239998</v>
      </c>
      <c r="AW573" s="25">
        <f>Inventory[[#This Row],[UpprFn]]*Lookups!$B$87</f>
        <v>0</v>
      </c>
      <c r="AX573" s="25">
        <f>Inventory[[#This Row],[AddFn]]*Lookups!$B$88</f>
        <v>0</v>
      </c>
      <c r="AY573" s="25">
        <f>Inventory[[#This Row],[Bsmt]]*Lookups!$B$89</f>
        <v>32571.722676639998</v>
      </c>
      <c r="AZ573" s="25">
        <f>Inventory[[#This Row],[Fixtures]]*Lookups!$B$90</f>
        <v>30336.176841600001</v>
      </c>
      <c r="BA573" s="25">
        <f>Inventory[[#This Row],[WdDeck]]*Lookups!$B$91</f>
        <v>0</v>
      </c>
      <c r="BB573" s="25">
        <f>ROUND(Inventory[[#This Row],[25Det]],-2)</f>
        <v>0</v>
      </c>
      <c r="BC573" s="25">
        <f>ROUND(SUM(Inventory[[#This Row],[Mdl Qlty]:[Mdl WdDeck]])+Inventory[[#This Row],[Mdl Res Intercept]],-2)</f>
        <v>289100</v>
      </c>
      <c r="BD573" s="25">
        <f>ROUND(Inventory[[#This Row],[Mdl Land Intercept]]+Inventory[[#This Row],[Mdl LnAcres]],-2)</f>
        <v>46000</v>
      </c>
      <c r="BE573" s="25">
        <f>Inventory[[#This Row],[Unadj Res Value]]+Inventory[[#This Row],[Unadj Det Value]]+Inventory[[#This Row],[Unadj Land Value]]</f>
        <v>335100</v>
      </c>
      <c r="BF573" s="36">
        <f>(Inventory[[#This Row],[Unadj Total Value]]-Inventory[[#This Row],[24Final]])/Inventory[[#This Row],[24Final]]</f>
        <v>-1.960210649502633E-2</v>
      </c>
      <c r="BG573" s="25">
        <f>VLOOKUP(Inventory[[#This Row],[Nbhd]],Lookups!$Q$2:$T$4,4,FALSE)</f>
        <v>0.99970000000000003</v>
      </c>
      <c r="BH573" s="25">
        <f>VLOOKUP(Inventory[[#This Row],[Qlty]],Lookups!$O$7:$R$21,4,FALSE)</f>
        <v>1.0067999999999999</v>
      </c>
      <c r="BI573" s="25">
        <f>VLOOKUP(Inventory[[#This Row],[Cnd]],Lookups!$T$7:$W$16,4,FALSE)</f>
        <v>0.99729999999999996</v>
      </c>
      <c r="BJ573" s="25">
        <f>VLOOKUP(Inventory[[#This Row],[LivArea Range]],Lookups!$T$25:$W$37,4,FALSE)</f>
        <v>0.98919999999999997</v>
      </c>
      <c r="BK573" s="25">
        <f>VLOOKUP(Inventory[[#This Row],[Decade]],Lookups!$O$25:$R$42,4,FALSE)</f>
        <v>1.0199</v>
      </c>
      <c r="BL573" s="25">
        <f>Inventory[[#This Row],[Nbhd Adj]]*0.95</f>
        <v>0.94971499999999998</v>
      </c>
      <c r="BM573" s="25">
        <f>Inventory[[#This Row],[Nbhd Adj]]*Inventory[[#This Row],[Quality Adj]]*Inventory[[#This Row],[Condition Adj]]*Inventory[[#This Row],[Living Area Adj]]*Inventory[[#This Row],[Decade Adj]]*0.95</f>
        <v>0.9620641305621106</v>
      </c>
      <c r="BN573" s="25">
        <f>ROUND(SUM(Inventory[[#This Row],[Mdl Qlty]:[Mdl WdDeck]])+Inventory[[#This Row],[Mdl Res Intercept]]*Inventory[[#This Row],[Res Adj ]],-2)</f>
        <v>289100</v>
      </c>
      <c r="BO573" s="25">
        <f>ROUND(Inventory[[#This Row],[25Det]]*Inventory[[#This Row],[Det/Nbhd Adj]],-2)</f>
        <v>0</v>
      </c>
      <c r="BP573" s="25">
        <f>Inventory[[#This Row],[Adjusted Res]]+Inventory[[#This Row],[Adj Det ]]</f>
        <v>289100</v>
      </c>
      <c r="BQ573" s="25">
        <f>ROUND((Inventory[[#This Row],[Mdl Land Intercept]]+Inventory[[#This Row],[Mdl LnAcres]])*Inventory[[#This Row],[Det/Nbhd Adj]],-2)</f>
        <v>43700</v>
      </c>
      <c r="BR573" s="25">
        <f>Inventory[[#This Row],[Adjusted Impr Total]]+Inventory[[#This Row],[Adjusted Land Total]]</f>
        <v>332800</v>
      </c>
      <c r="BS573" s="36">
        <f>IFERROR((Inventory[[#This Row],[Adjusted Impr Total]]-Inventory[[#This Row],[24Bldg]])/Inventory[[#This Row],[24Bldg]],0)</f>
        <v>4.8984034833091439E-2</v>
      </c>
      <c r="BT573" s="36">
        <f>(Inventory[[#This Row],[Adjusted Land Total]]-Inventory[[#This Row],[24Lnd]])/Inventory[[#This Row],[24Lnd]]</f>
        <v>-0.33987915407854985</v>
      </c>
      <c r="BU573" s="36">
        <f>(Inventory[[#This Row],[Adjusted Total]]-Inventory[[#This Row],[24Final]])/Inventory[[#This Row],[24Final]]</f>
        <v>-2.6331187829139849E-2</v>
      </c>
    </row>
    <row r="574" spans="1:73" x14ac:dyDescent="0.3">
      <c r="A574" s="25">
        <v>2025</v>
      </c>
      <c r="B574" s="26" t="s">
        <v>1612</v>
      </c>
      <c r="C574" s="26">
        <f>LN(Inventory[[#This Row],[Acres]])</f>
        <v>-1.6607312068216509</v>
      </c>
      <c r="D574" s="25">
        <v>0.19</v>
      </c>
      <c r="E574" s="27"/>
      <c r="F574" s="26" t="s">
        <v>537</v>
      </c>
      <c r="G574" s="26" t="s">
        <v>126</v>
      </c>
      <c r="H574" s="26" t="s">
        <v>349</v>
      </c>
      <c r="I574" s="26" t="s">
        <v>538</v>
      </c>
      <c r="J574" s="26" t="s">
        <v>539</v>
      </c>
      <c r="K574" s="26" t="s">
        <v>241</v>
      </c>
      <c r="L574" s="26" t="s">
        <v>351</v>
      </c>
      <c r="M574" s="26" t="s">
        <v>303</v>
      </c>
      <c r="N574" s="26">
        <v>70</v>
      </c>
      <c r="O574" s="26">
        <f>2024-Inventory[[#This Row],[YrBlt]]</f>
        <v>69</v>
      </c>
      <c r="P574" s="26">
        <f>2024-Inventory[[#This Row],[EffYr]]</f>
        <v>50</v>
      </c>
      <c r="Q574" s="25">
        <v>1955</v>
      </c>
      <c r="R574" s="25">
        <v>1974</v>
      </c>
      <c r="S574" s="25">
        <v>1471</v>
      </c>
      <c r="T574" s="27"/>
      <c r="U574" s="31"/>
      <c r="V574" s="31">
        <f>Inventory[[#This Row],[Bsmt]]-Inventory[[#This Row],[FnBsmt]]</f>
        <v>0</v>
      </c>
      <c r="W574" s="31"/>
      <c r="X574" s="27"/>
      <c r="Y574" s="27">
        <f>Inventory[[#This Row],[MainFn]]+Inventory[[#This Row],[UpprFn]]+Inventory[[#This Row],[FnBsmt]]+Inventory[[#This Row],[AddFn]]</f>
        <v>1471</v>
      </c>
      <c r="Z574" s="27">
        <v>1500</v>
      </c>
      <c r="AA574" s="25">
        <v>8</v>
      </c>
      <c r="AB574" s="27"/>
      <c r="AC574" s="27"/>
      <c r="AD574" s="27"/>
      <c r="AE574" s="27"/>
      <c r="AF574" s="27"/>
      <c r="AG574" s="27"/>
      <c r="AH574" s="27"/>
      <c r="AI574" s="25">
        <v>236817</v>
      </c>
      <c r="AJ574" s="25">
        <v>170508</v>
      </c>
      <c r="AK574" s="25">
        <v>9413</v>
      </c>
      <c r="AL574" s="25">
        <v>236900</v>
      </c>
      <c r="AM574" s="25">
        <v>56600</v>
      </c>
      <c r="AN574" s="25">
        <v>180300</v>
      </c>
      <c r="AO574" s="25">
        <v>0</v>
      </c>
      <c r="AP574" s="25">
        <f>Lookups!$B$56*0</f>
        <v>0</v>
      </c>
      <c r="AQ574" s="25">
        <f>Lookups!$B$56*1</f>
        <v>89850.625589999996</v>
      </c>
      <c r="AR574" s="25">
        <f>Lookups!$B$57*Inventory[[#This Row],[LnAcres]]</f>
        <v>-52569.808201026557</v>
      </c>
      <c r="AS574" s="25">
        <f>VLOOKUP(Inventory[[#This Row],[Qlty]],Lookups!$A$62:$E$75,2,FALSE)</f>
        <v>21557.329055999999</v>
      </c>
      <c r="AT574" s="25">
        <f>VLOOKUP(Inventory[[#This Row],[Cnd]],Lookups!$A$76:$E$84,2,FALSE)</f>
        <v>197752.34721000001</v>
      </c>
      <c r="AU574" s="25">
        <f>Inventory[[#This Row],[EffAge]]*Lookups!$B$85</f>
        <v>-11152.280025</v>
      </c>
      <c r="AV574" s="25">
        <f>Inventory[[#This Row],[MainFn]]*Lookups!$B$86</f>
        <v>72680.153389066996</v>
      </c>
      <c r="AW574" s="25">
        <f>Inventory[[#This Row],[UpprFn]]*Lookups!$B$87</f>
        <v>0</v>
      </c>
      <c r="AX574" s="25">
        <f>Inventory[[#This Row],[AddFn]]*Lookups!$B$88</f>
        <v>0</v>
      </c>
      <c r="AY574" s="25">
        <f>Inventory[[#This Row],[Bsmt]]*Lookups!$B$89</f>
        <v>0</v>
      </c>
      <c r="AZ574" s="25">
        <f>Inventory[[#This Row],[Fixtures]]*Lookups!$B$90</f>
        <v>30336.176841600001</v>
      </c>
      <c r="BA574" s="25">
        <f>Inventory[[#This Row],[WdDeck]]*Lookups!$B$91</f>
        <v>0</v>
      </c>
      <c r="BB574" s="25">
        <f>ROUND(Inventory[[#This Row],[25Det]],-2)</f>
        <v>9400</v>
      </c>
      <c r="BC574" s="25">
        <f>ROUND(SUM(Inventory[[#This Row],[Mdl Qlty]:[Mdl WdDeck]])+Inventory[[#This Row],[Mdl Res Intercept]],-2)</f>
        <v>311200</v>
      </c>
      <c r="BD574" s="25">
        <f>ROUND(Inventory[[#This Row],[Mdl Land Intercept]]+Inventory[[#This Row],[Mdl LnAcres]],-2)</f>
        <v>37300</v>
      </c>
      <c r="BE574" s="25">
        <f>Inventory[[#This Row],[Unadj Res Value]]+Inventory[[#This Row],[Unadj Det Value]]+Inventory[[#This Row],[Unadj Land Value]]</f>
        <v>357900</v>
      </c>
      <c r="BF574" s="36">
        <f>(Inventory[[#This Row],[Unadj Total Value]]-Inventory[[#This Row],[24Final]])/Inventory[[#This Row],[24Final]]</f>
        <v>0.5107640354579992</v>
      </c>
      <c r="BG574" s="25">
        <f>VLOOKUP(Inventory[[#This Row],[Nbhd]],Lookups!$Q$2:$T$4,4,FALSE)</f>
        <v>0.99970000000000003</v>
      </c>
      <c r="BH574" s="25">
        <f>VLOOKUP(Inventory[[#This Row],[Qlty]],Lookups!$O$7:$R$21,4,FALSE)</f>
        <v>1.0067999999999999</v>
      </c>
      <c r="BI574" s="25">
        <f>VLOOKUP(Inventory[[#This Row],[Cnd]],Lookups!$T$7:$W$16,4,FALSE)</f>
        <v>0.99650000000000005</v>
      </c>
      <c r="BJ574" s="25">
        <f>VLOOKUP(Inventory[[#This Row],[LivArea Range]],Lookups!$T$25:$W$37,4,FALSE)</f>
        <v>1.0157</v>
      </c>
      <c r="BK574" s="25">
        <f>VLOOKUP(Inventory[[#This Row],[Decade]],Lookups!$O$25:$R$42,4,FALSE)</f>
        <v>1.0199</v>
      </c>
      <c r="BL574" s="25">
        <f>Inventory[[#This Row],[Nbhd Adj]]*0.95</f>
        <v>0.94971499999999998</v>
      </c>
      <c r="BM574" s="25">
        <f>Inventory[[#This Row],[Nbhd Adj]]*Inventory[[#This Row],[Quality Adj]]*Inventory[[#This Row],[Condition Adj]]*Inventory[[#This Row],[Living Area Adj]]*Inventory[[#This Row],[Decade Adj]]*0.95</f>
        <v>0.98704476969641131</v>
      </c>
      <c r="BN574" s="25">
        <f>ROUND(SUM(Inventory[[#This Row],[Mdl Qlty]:[Mdl WdDeck]])+Inventory[[#This Row],[Mdl Res Intercept]]*Inventory[[#This Row],[Res Adj ]],-2)</f>
        <v>311200</v>
      </c>
      <c r="BO574" s="25">
        <f>ROUND(Inventory[[#This Row],[25Det]]*Inventory[[#This Row],[Det/Nbhd Adj]],-2)</f>
        <v>8900</v>
      </c>
      <c r="BP574" s="25">
        <f>Inventory[[#This Row],[Adjusted Res]]+Inventory[[#This Row],[Adj Det ]]</f>
        <v>320100</v>
      </c>
      <c r="BQ574" s="25">
        <f>ROUND((Inventory[[#This Row],[Mdl Land Intercept]]+Inventory[[#This Row],[Mdl LnAcres]])*Inventory[[#This Row],[Det/Nbhd Adj]],-2)</f>
        <v>35400</v>
      </c>
      <c r="BR574" s="25">
        <f>Inventory[[#This Row],[Adjusted Impr Total]]+Inventory[[#This Row],[Adjusted Land Total]]</f>
        <v>355500</v>
      </c>
      <c r="BS574" s="36">
        <f>IFERROR((Inventory[[#This Row],[Adjusted Impr Total]]-Inventory[[#This Row],[24Bldg]])/Inventory[[#This Row],[24Bldg]],0)</f>
        <v>0.77537437603993342</v>
      </c>
      <c r="BT574" s="36">
        <f>(Inventory[[#This Row],[Adjusted Land Total]]-Inventory[[#This Row],[24Lnd]])/Inventory[[#This Row],[24Lnd]]</f>
        <v>-0.37455830388692579</v>
      </c>
      <c r="BU574" s="36">
        <f>(Inventory[[#This Row],[Adjusted Total]]-Inventory[[#This Row],[24Final]])/Inventory[[#This Row],[24Final]]</f>
        <v>0.50063317855635292</v>
      </c>
    </row>
    <row r="575" spans="1:73" x14ac:dyDescent="0.3">
      <c r="A575" s="25">
        <v>2025</v>
      </c>
      <c r="B575" s="26" t="s">
        <v>1838</v>
      </c>
      <c r="C575" s="26">
        <f>LN(Inventory[[#This Row],[Acres]])</f>
        <v>-1.4696759700589417</v>
      </c>
      <c r="D575" s="25">
        <v>0.23</v>
      </c>
      <c r="E575" s="31"/>
      <c r="F575" s="26" t="s">
        <v>537</v>
      </c>
      <c r="G575" s="26" t="s">
        <v>126</v>
      </c>
      <c r="H575" s="26" t="s">
        <v>349</v>
      </c>
      <c r="I575" s="26" t="s">
        <v>538</v>
      </c>
      <c r="J575" s="26" t="s">
        <v>539</v>
      </c>
      <c r="K575" s="26" t="s">
        <v>241</v>
      </c>
      <c r="L575" s="26" t="s">
        <v>148</v>
      </c>
      <c r="M575" s="26" t="s">
        <v>303</v>
      </c>
      <c r="N575" s="26">
        <v>70</v>
      </c>
      <c r="O575" s="26">
        <f>2024-Inventory[[#This Row],[YrBlt]]</f>
        <v>69</v>
      </c>
      <c r="P575" s="26">
        <f>2024-Inventory[[#This Row],[EffYr]]</f>
        <v>41</v>
      </c>
      <c r="Q575" s="25">
        <v>1955</v>
      </c>
      <c r="R575" s="25">
        <v>1983</v>
      </c>
      <c r="S575" s="25">
        <v>1776</v>
      </c>
      <c r="T575" s="27"/>
      <c r="U575" s="25">
        <v>1158</v>
      </c>
      <c r="V575" s="25">
        <f>Inventory[[#This Row],[Bsmt]]-Inventory[[#This Row],[FnBsmt]]</f>
        <v>0</v>
      </c>
      <c r="W575" s="25">
        <v>1158</v>
      </c>
      <c r="X575" s="27"/>
      <c r="Y575" s="27">
        <f>Inventory[[#This Row],[MainFn]]+Inventory[[#This Row],[UpprFn]]+Inventory[[#This Row],[FnBsmt]]+Inventory[[#This Row],[AddFn]]</f>
        <v>2934</v>
      </c>
      <c r="Z575" s="27">
        <v>3000</v>
      </c>
      <c r="AA575" s="25">
        <v>14</v>
      </c>
      <c r="AB575" s="31"/>
      <c r="AC575" s="27"/>
      <c r="AD575" s="32">
        <v>230</v>
      </c>
      <c r="AE575" s="27"/>
      <c r="AF575" s="27"/>
      <c r="AG575" s="27"/>
      <c r="AH575" s="27"/>
      <c r="AI575" s="25">
        <v>342163</v>
      </c>
      <c r="AJ575" s="25">
        <v>239514</v>
      </c>
      <c r="AK575" s="25">
        <v>0</v>
      </c>
      <c r="AL575" s="25">
        <v>346700</v>
      </c>
      <c r="AM575" s="25">
        <v>63300</v>
      </c>
      <c r="AN575" s="25">
        <v>283400</v>
      </c>
      <c r="AO575" s="25">
        <v>0</v>
      </c>
      <c r="AP575" s="25">
        <f>Lookups!$B$56*0</f>
        <v>0</v>
      </c>
      <c r="AQ575" s="25">
        <f>Lookups!$B$56*1</f>
        <v>89850.625589999996</v>
      </c>
      <c r="AR575" s="25">
        <f>Lookups!$B$57*Inventory[[#This Row],[LnAcres]]</f>
        <v>-46522.028095997222</v>
      </c>
      <c r="AS575" s="25">
        <f>VLOOKUP(Inventory[[#This Row],[Qlty]],Lookups!$A$62:$E$75,2,FALSE)</f>
        <v>44121.038090000002</v>
      </c>
      <c r="AT575" s="25">
        <f>VLOOKUP(Inventory[[#This Row],[Cnd]],Lookups!$A$76:$E$84,2,FALSE)</f>
        <v>197752.34721000001</v>
      </c>
      <c r="AU575" s="25">
        <f>Inventory[[#This Row],[EffAge]]*Lookups!$B$85</f>
        <v>-9144.8696204999997</v>
      </c>
      <c r="AV575" s="25">
        <f>Inventory[[#This Row],[MainFn]]*Lookups!$B$86</f>
        <v>87749.797701552001</v>
      </c>
      <c r="AW575" s="25">
        <f>Inventory[[#This Row],[UpprFn]]*Lookups!$B$87</f>
        <v>0</v>
      </c>
      <c r="AX575" s="25">
        <f>Inventory[[#This Row],[AddFn]]*Lookups!$B$88</f>
        <v>0</v>
      </c>
      <c r="AY575" s="25">
        <f>Inventory[[#This Row],[Bsmt]]*Lookups!$B$89</f>
        <v>33676.834696025995</v>
      </c>
      <c r="AZ575" s="25">
        <f>Inventory[[#This Row],[Fixtures]]*Lookups!$B$90</f>
        <v>53088.3094728</v>
      </c>
      <c r="BA575" s="25">
        <f>Inventory[[#This Row],[WdDeck]]*Lookups!$B$91</f>
        <v>7657.9685134800011</v>
      </c>
      <c r="BB575" s="25">
        <f>ROUND(Inventory[[#This Row],[25Det]],-2)</f>
        <v>0</v>
      </c>
      <c r="BC575" s="25">
        <f>ROUND(SUM(Inventory[[#This Row],[Mdl Qlty]:[Mdl WdDeck]])+Inventory[[#This Row],[Mdl Res Intercept]],-2)</f>
        <v>414900</v>
      </c>
      <c r="BD575" s="25">
        <f>ROUND(Inventory[[#This Row],[Mdl Land Intercept]]+Inventory[[#This Row],[Mdl LnAcres]],-2)</f>
        <v>43300</v>
      </c>
      <c r="BE575" s="25">
        <f>Inventory[[#This Row],[Unadj Res Value]]+Inventory[[#This Row],[Unadj Det Value]]+Inventory[[#This Row],[Unadj Land Value]]</f>
        <v>458200</v>
      </c>
      <c r="BF575" s="36">
        <f>(Inventory[[#This Row],[Unadj Total Value]]-Inventory[[#This Row],[24Final]])/Inventory[[#This Row],[24Final]]</f>
        <v>0.32160369195269684</v>
      </c>
      <c r="BG575" s="25">
        <f>VLOOKUP(Inventory[[#This Row],[Nbhd]],Lookups!$Q$2:$T$4,4,FALSE)</f>
        <v>0.99970000000000003</v>
      </c>
      <c r="BH575" s="25">
        <f>VLOOKUP(Inventory[[#This Row],[Qlty]],Lookups!$O$7:$R$21,4,FALSE)</f>
        <v>0.98050000000000004</v>
      </c>
      <c r="BI575" s="25">
        <f>VLOOKUP(Inventory[[#This Row],[Cnd]],Lookups!$T$7:$W$16,4,FALSE)</f>
        <v>0.99650000000000005</v>
      </c>
      <c r="BJ575" s="25">
        <f>VLOOKUP(Inventory[[#This Row],[LivArea Range]],Lookups!$T$25:$W$37,4,FALSE)</f>
        <v>0.96179999999999999</v>
      </c>
      <c r="BK575" s="25">
        <f>VLOOKUP(Inventory[[#This Row],[Decade]],Lookups!$O$25:$R$42,4,FALSE)</f>
        <v>1.0199</v>
      </c>
      <c r="BL575" s="25">
        <f>Inventory[[#This Row],[Nbhd Adj]]*0.95</f>
        <v>0.94971499999999998</v>
      </c>
      <c r="BM575" s="25">
        <f>Inventory[[#This Row],[Nbhd Adj]]*Inventory[[#This Row],[Quality Adj]]*Inventory[[#This Row],[Condition Adj]]*Inventory[[#This Row],[Living Area Adj]]*Inventory[[#This Row],[Decade Adj]]*0.95</f>
        <v>0.91024973874989379</v>
      </c>
      <c r="BN575" s="25">
        <f>ROUND(SUM(Inventory[[#This Row],[Mdl Qlty]:[Mdl WdDeck]])+Inventory[[#This Row],[Mdl Res Intercept]]*Inventory[[#This Row],[Res Adj ]],-2)</f>
        <v>414900</v>
      </c>
      <c r="BO575" s="25">
        <f>ROUND(Inventory[[#This Row],[25Det]]*Inventory[[#This Row],[Det/Nbhd Adj]],-2)</f>
        <v>0</v>
      </c>
      <c r="BP575" s="25">
        <f>Inventory[[#This Row],[Adjusted Res]]+Inventory[[#This Row],[Adj Det ]]</f>
        <v>414900</v>
      </c>
      <c r="BQ575" s="25">
        <f>ROUND((Inventory[[#This Row],[Mdl Land Intercept]]+Inventory[[#This Row],[Mdl LnAcres]])*Inventory[[#This Row],[Det/Nbhd Adj]],-2)</f>
        <v>41100</v>
      </c>
      <c r="BR575" s="25">
        <f>Inventory[[#This Row],[Adjusted Impr Total]]+Inventory[[#This Row],[Adjusted Land Total]]</f>
        <v>456000</v>
      </c>
      <c r="BS575" s="36">
        <f>IFERROR((Inventory[[#This Row],[Adjusted Impr Total]]-Inventory[[#This Row],[24Bldg]])/Inventory[[#This Row],[24Bldg]],0)</f>
        <v>0.46400846859562456</v>
      </c>
      <c r="BT575" s="36">
        <f>(Inventory[[#This Row],[Adjusted Land Total]]-Inventory[[#This Row],[24Lnd]])/Inventory[[#This Row],[24Lnd]]</f>
        <v>-0.35071090047393366</v>
      </c>
      <c r="BU575" s="36">
        <f>(Inventory[[#This Row],[Adjusted Total]]-Inventory[[#This Row],[24Final]])/Inventory[[#This Row],[24Final]]</f>
        <v>0.3152581482549755</v>
      </c>
    </row>
    <row r="576" spans="1:73" x14ac:dyDescent="0.3">
      <c r="A576" s="25">
        <v>2025</v>
      </c>
      <c r="B576" s="26" t="s">
        <v>811</v>
      </c>
      <c r="C576" s="26">
        <f>LN(Inventory[[#This Row],[Acres]])</f>
        <v>-1.6094379124341003</v>
      </c>
      <c r="D576" s="25">
        <v>0.2</v>
      </c>
      <c r="E576" s="32">
        <v>8620</v>
      </c>
      <c r="F576" s="26" t="s">
        <v>537</v>
      </c>
      <c r="G576" s="26" t="s">
        <v>126</v>
      </c>
      <c r="H576" s="26" t="s">
        <v>349</v>
      </c>
      <c r="I576" s="26" t="s">
        <v>538</v>
      </c>
      <c r="J576" s="26" t="s">
        <v>539</v>
      </c>
      <c r="K576" s="26" t="s">
        <v>242</v>
      </c>
      <c r="L576" s="26" t="s">
        <v>351</v>
      </c>
      <c r="M576" s="26" t="s">
        <v>303</v>
      </c>
      <c r="N576" s="26">
        <v>70</v>
      </c>
      <c r="O576" s="26">
        <f>2024-Inventory[[#This Row],[YrBlt]]</f>
        <v>69</v>
      </c>
      <c r="P576" s="26">
        <f>2024-Inventory[[#This Row],[EffYr]]</f>
        <v>50</v>
      </c>
      <c r="Q576" s="25">
        <v>1955</v>
      </c>
      <c r="R576" s="25">
        <v>1974</v>
      </c>
      <c r="S576" s="25">
        <v>1342</v>
      </c>
      <c r="T576" s="27"/>
      <c r="U576" s="32">
        <v>1268</v>
      </c>
      <c r="V576" s="32">
        <f>Inventory[[#This Row],[Bsmt]]-Inventory[[#This Row],[FnBsmt]]</f>
        <v>1268</v>
      </c>
      <c r="W576" s="32">
        <v>0</v>
      </c>
      <c r="X576" s="27"/>
      <c r="Y576" s="27">
        <f>Inventory[[#This Row],[MainFn]]+Inventory[[#This Row],[UpprFn]]+Inventory[[#This Row],[FnBsmt]]+Inventory[[#This Row],[AddFn]]</f>
        <v>1342</v>
      </c>
      <c r="Z576" s="27">
        <v>1500</v>
      </c>
      <c r="AA576" s="25">
        <v>7</v>
      </c>
      <c r="AB576" s="25">
        <v>240</v>
      </c>
      <c r="AC576" s="27"/>
      <c r="AD576" s="25">
        <v>285</v>
      </c>
      <c r="AE576" s="27"/>
      <c r="AF576" s="27"/>
      <c r="AG576" s="27"/>
      <c r="AH576" s="27"/>
      <c r="AI576" s="25">
        <v>283389</v>
      </c>
      <c r="AJ576" s="25">
        <v>204040</v>
      </c>
      <c r="AK576" s="25">
        <v>0</v>
      </c>
      <c r="AL576" s="25">
        <v>337000</v>
      </c>
      <c r="AM576" s="25">
        <v>58400</v>
      </c>
      <c r="AN576" s="25">
        <v>278600</v>
      </c>
      <c r="AO576" s="25">
        <v>0</v>
      </c>
      <c r="AP576" s="25">
        <f>Lookups!$B$56*0</f>
        <v>0</v>
      </c>
      <c r="AQ576" s="25">
        <f>Lookups!$B$56*1</f>
        <v>89850.625589999996</v>
      </c>
      <c r="AR576" s="25">
        <f>Lookups!$B$57*Inventory[[#This Row],[LnAcres]]</f>
        <v>-50946.13867709865</v>
      </c>
      <c r="AS576" s="25">
        <f>VLOOKUP(Inventory[[#This Row],[Qlty]],Lookups!$A$62:$E$75,2,FALSE)</f>
        <v>21557.329055999999</v>
      </c>
      <c r="AT576" s="25">
        <f>VLOOKUP(Inventory[[#This Row],[Cnd]],Lookups!$A$76:$E$84,2,FALSE)</f>
        <v>197752.34721000001</v>
      </c>
      <c r="AU576" s="25">
        <f>Inventory[[#This Row],[EffAge]]*Lookups!$B$85</f>
        <v>-11152.280025</v>
      </c>
      <c r="AV576" s="25">
        <f>Inventory[[#This Row],[MainFn]]*Lookups!$B$86</f>
        <v>66306.434974934004</v>
      </c>
      <c r="AW576" s="25">
        <f>Inventory[[#This Row],[UpprFn]]*Lookups!$B$87</f>
        <v>0</v>
      </c>
      <c r="AX576" s="25">
        <f>Inventory[[#This Row],[AddFn]]*Lookups!$B$88</f>
        <v>0</v>
      </c>
      <c r="AY576" s="25">
        <f>Inventory[[#This Row],[Bsmt]]*Lookups!$B$89</f>
        <v>36875.843173196001</v>
      </c>
      <c r="AZ576" s="25">
        <f>Inventory[[#This Row],[Fixtures]]*Lookups!$B$90</f>
        <v>26544.1547364</v>
      </c>
      <c r="BA576" s="25">
        <f>Inventory[[#This Row],[WdDeck]]*Lookups!$B$91</f>
        <v>9489.2218536600012</v>
      </c>
      <c r="BB576" s="25">
        <f>ROUND(Inventory[[#This Row],[25Det]],-2)</f>
        <v>0</v>
      </c>
      <c r="BC576" s="25">
        <f>ROUND(SUM(Inventory[[#This Row],[Mdl Qlty]:[Mdl WdDeck]])+Inventory[[#This Row],[Mdl Res Intercept]],-2)</f>
        <v>347400</v>
      </c>
      <c r="BD576" s="25">
        <f>ROUND(Inventory[[#This Row],[Mdl Land Intercept]]+Inventory[[#This Row],[Mdl LnAcres]],-2)</f>
        <v>38900</v>
      </c>
      <c r="BE576" s="25">
        <f>Inventory[[#This Row],[Unadj Res Value]]+Inventory[[#This Row],[Unadj Det Value]]+Inventory[[#This Row],[Unadj Land Value]]</f>
        <v>386300</v>
      </c>
      <c r="BF576" s="36">
        <f>(Inventory[[#This Row],[Unadj Total Value]]-Inventory[[#This Row],[24Final]])/Inventory[[#This Row],[24Final]]</f>
        <v>0.14629080118694363</v>
      </c>
      <c r="BG576" s="25">
        <f>VLOOKUP(Inventory[[#This Row],[Nbhd]],Lookups!$Q$2:$T$4,4,FALSE)</f>
        <v>0.99970000000000003</v>
      </c>
      <c r="BH576" s="25">
        <f>VLOOKUP(Inventory[[#This Row],[Qlty]],Lookups!$O$7:$R$21,4,FALSE)</f>
        <v>1.0067999999999999</v>
      </c>
      <c r="BI576" s="25">
        <f>VLOOKUP(Inventory[[#This Row],[Cnd]],Lookups!$T$7:$W$16,4,FALSE)</f>
        <v>0.99650000000000005</v>
      </c>
      <c r="BJ576" s="25">
        <f>VLOOKUP(Inventory[[#This Row],[LivArea Range]],Lookups!$T$25:$W$37,4,FALSE)</f>
        <v>1.0157</v>
      </c>
      <c r="BK576" s="25">
        <f>VLOOKUP(Inventory[[#This Row],[Decade]],Lookups!$O$25:$R$42,4,FALSE)</f>
        <v>1.0199</v>
      </c>
      <c r="BL576" s="25">
        <f>Inventory[[#This Row],[Nbhd Adj]]*0.95</f>
        <v>0.94971499999999998</v>
      </c>
      <c r="BM576" s="25">
        <f>Inventory[[#This Row],[Nbhd Adj]]*Inventory[[#This Row],[Quality Adj]]*Inventory[[#This Row],[Condition Adj]]*Inventory[[#This Row],[Living Area Adj]]*Inventory[[#This Row],[Decade Adj]]*0.95</f>
        <v>0.98704476969641131</v>
      </c>
      <c r="BN576" s="25">
        <f>ROUND(SUM(Inventory[[#This Row],[Mdl Qlty]:[Mdl WdDeck]])+Inventory[[#This Row],[Mdl Res Intercept]]*Inventory[[#This Row],[Res Adj ]],-2)</f>
        <v>347400</v>
      </c>
      <c r="BO576" s="25">
        <f>ROUND(Inventory[[#This Row],[25Det]]*Inventory[[#This Row],[Det/Nbhd Adj]],-2)</f>
        <v>0</v>
      </c>
      <c r="BP576" s="25">
        <f>Inventory[[#This Row],[Adjusted Res]]+Inventory[[#This Row],[Adj Det ]]</f>
        <v>347400</v>
      </c>
      <c r="BQ576" s="25">
        <f>ROUND((Inventory[[#This Row],[Mdl Land Intercept]]+Inventory[[#This Row],[Mdl LnAcres]])*Inventory[[#This Row],[Det/Nbhd Adj]],-2)</f>
        <v>36900</v>
      </c>
      <c r="BR576" s="25">
        <f>Inventory[[#This Row],[Adjusted Impr Total]]+Inventory[[#This Row],[Adjusted Land Total]]</f>
        <v>384300</v>
      </c>
      <c r="BS576" s="36">
        <f>IFERROR((Inventory[[#This Row],[Adjusted Impr Total]]-Inventory[[#This Row],[24Bldg]])/Inventory[[#This Row],[24Bldg]],0)</f>
        <v>0.24694903086862885</v>
      </c>
      <c r="BT576" s="36">
        <f>(Inventory[[#This Row],[Adjusted Land Total]]-Inventory[[#This Row],[24Lnd]])/Inventory[[#This Row],[24Lnd]]</f>
        <v>-0.36815068493150682</v>
      </c>
      <c r="BU576" s="36">
        <f>(Inventory[[#This Row],[Adjusted Total]]-Inventory[[#This Row],[24Final]])/Inventory[[#This Row],[24Final]]</f>
        <v>0.14035608308605341</v>
      </c>
    </row>
    <row r="577" spans="1:73" x14ac:dyDescent="0.3">
      <c r="A577" s="25">
        <v>2025</v>
      </c>
      <c r="B577" s="26" t="s">
        <v>1606</v>
      </c>
      <c r="C577" s="26">
        <f>LN(Inventory[[#This Row],[Acres]])</f>
        <v>-1.6607312068216509</v>
      </c>
      <c r="D577" s="25">
        <v>0.19</v>
      </c>
      <c r="E577" s="31"/>
      <c r="F577" s="26" t="s">
        <v>537</v>
      </c>
      <c r="G577" s="26" t="s">
        <v>126</v>
      </c>
      <c r="H577" s="26" t="s">
        <v>349</v>
      </c>
      <c r="I577" s="26" t="s">
        <v>538</v>
      </c>
      <c r="J577" s="26" t="s">
        <v>539</v>
      </c>
      <c r="K577" s="26" t="s">
        <v>241</v>
      </c>
      <c r="L577" s="26" t="s">
        <v>351</v>
      </c>
      <c r="M577" s="26" t="s">
        <v>303</v>
      </c>
      <c r="N577" s="26">
        <v>70</v>
      </c>
      <c r="O577" s="26">
        <f>2024-Inventory[[#This Row],[YrBlt]]</f>
        <v>69</v>
      </c>
      <c r="P577" s="26">
        <f>2024-Inventory[[#This Row],[EffYr]]</f>
        <v>50</v>
      </c>
      <c r="Q577" s="25">
        <v>1955</v>
      </c>
      <c r="R577" s="25">
        <v>1974</v>
      </c>
      <c r="S577" s="25">
        <v>1164</v>
      </c>
      <c r="T577" s="27"/>
      <c r="U577" s="25">
        <v>624</v>
      </c>
      <c r="V577" s="25">
        <f>Inventory[[#This Row],[Bsmt]]-Inventory[[#This Row],[FnBsmt]]</f>
        <v>624</v>
      </c>
      <c r="W577" s="31"/>
      <c r="X577" s="27"/>
      <c r="Y577" s="27">
        <f>Inventory[[#This Row],[MainFn]]+Inventory[[#This Row],[UpprFn]]+Inventory[[#This Row],[FnBsmt]]+Inventory[[#This Row],[AddFn]]</f>
        <v>1164</v>
      </c>
      <c r="Z577" s="27">
        <v>1500</v>
      </c>
      <c r="AA577" s="25">
        <v>8</v>
      </c>
      <c r="AB577" s="27"/>
      <c r="AC577" s="32">
        <v>540</v>
      </c>
      <c r="AD577" s="32">
        <v>516</v>
      </c>
      <c r="AE577" s="27"/>
      <c r="AF577" s="27"/>
      <c r="AG577" s="27"/>
      <c r="AH577" s="27"/>
      <c r="AI577" s="25">
        <v>264554</v>
      </c>
      <c r="AJ577" s="25">
        <v>190479</v>
      </c>
      <c r="AK577" s="25">
        <v>0</v>
      </c>
      <c r="AL577" s="25">
        <v>322900</v>
      </c>
      <c r="AM577" s="25">
        <v>56600</v>
      </c>
      <c r="AN577" s="25">
        <v>266300</v>
      </c>
      <c r="AO577" s="25">
        <v>0</v>
      </c>
      <c r="AP577" s="25">
        <f>Lookups!$B$56*0</f>
        <v>0</v>
      </c>
      <c r="AQ577" s="25">
        <f>Lookups!$B$56*1</f>
        <v>89850.625589999996</v>
      </c>
      <c r="AR577" s="25">
        <f>Lookups!$B$57*Inventory[[#This Row],[LnAcres]]</f>
        <v>-52569.808201026557</v>
      </c>
      <c r="AS577" s="25">
        <f>VLOOKUP(Inventory[[#This Row],[Qlty]],Lookups!$A$62:$E$75,2,FALSE)</f>
        <v>21557.329055999999</v>
      </c>
      <c r="AT577" s="25">
        <f>VLOOKUP(Inventory[[#This Row],[Cnd]],Lookups!$A$76:$E$84,2,FALSE)</f>
        <v>197752.34721000001</v>
      </c>
      <c r="AU577" s="25">
        <f>Inventory[[#This Row],[EffAge]]*Lookups!$B$85</f>
        <v>-11152.280025</v>
      </c>
      <c r="AV577" s="25">
        <f>Inventory[[#This Row],[MainFn]]*Lookups!$B$86</f>
        <v>57511.691736828005</v>
      </c>
      <c r="AW577" s="25">
        <f>Inventory[[#This Row],[UpprFn]]*Lookups!$B$87</f>
        <v>0</v>
      </c>
      <c r="AX577" s="25">
        <f>Inventory[[#This Row],[AddFn]]*Lookups!$B$88</f>
        <v>0</v>
      </c>
      <c r="AY577" s="25">
        <f>Inventory[[#This Row],[Bsmt]]*Lookups!$B$89</f>
        <v>18147.102634127998</v>
      </c>
      <c r="AZ577" s="25">
        <f>Inventory[[#This Row],[Fixtures]]*Lookups!$B$90</f>
        <v>30336.176841600001</v>
      </c>
      <c r="BA577" s="25">
        <f>Inventory[[#This Row],[WdDeck]]*Lookups!$B$91</f>
        <v>17180.485882416</v>
      </c>
      <c r="BB577" s="25">
        <f>ROUND(Inventory[[#This Row],[25Det]],-2)</f>
        <v>0</v>
      </c>
      <c r="BC577" s="25">
        <f>ROUND(SUM(Inventory[[#This Row],[Mdl Qlty]:[Mdl WdDeck]])+Inventory[[#This Row],[Mdl Res Intercept]],-2)</f>
        <v>331300</v>
      </c>
      <c r="BD577" s="25">
        <f>ROUND(Inventory[[#This Row],[Mdl Land Intercept]]+Inventory[[#This Row],[Mdl LnAcres]],-2)</f>
        <v>37300</v>
      </c>
      <c r="BE577" s="25">
        <f>Inventory[[#This Row],[Unadj Res Value]]+Inventory[[#This Row],[Unadj Det Value]]+Inventory[[#This Row],[Unadj Land Value]]</f>
        <v>368600</v>
      </c>
      <c r="BF577" s="36">
        <f>(Inventory[[#This Row],[Unadj Total Value]]-Inventory[[#This Row],[24Final]])/Inventory[[#This Row],[24Final]]</f>
        <v>0.14152988541344069</v>
      </c>
      <c r="BG577" s="25">
        <f>VLOOKUP(Inventory[[#This Row],[Nbhd]],Lookups!$Q$2:$T$4,4,FALSE)</f>
        <v>0.99970000000000003</v>
      </c>
      <c r="BH577" s="25">
        <f>VLOOKUP(Inventory[[#This Row],[Qlty]],Lookups!$O$7:$R$21,4,FALSE)</f>
        <v>1.0067999999999999</v>
      </c>
      <c r="BI577" s="25">
        <f>VLOOKUP(Inventory[[#This Row],[Cnd]],Lookups!$T$7:$W$16,4,FALSE)</f>
        <v>0.99650000000000005</v>
      </c>
      <c r="BJ577" s="25">
        <f>VLOOKUP(Inventory[[#This Row],[LivArea Range]],Lookups!$T$25:$W$37,4,FALSE)</f>
        <v>1.0157</v>
      </c>
      <c r="BK577" s="25">
        <f>VLOOKUP(Inventory[[#This Row],[Decade]],Lookups!$O$25:$R$42,4,FALSE)</f>
        <v>1.0199</v>
      </c>
      <c r="BL577" s="25">
        <f>Inventory[[#This Row],[Nbhd Adj]]*0.95</f>
        <v>0.94971499999999998</v>
      </c>
      <c r="BM577" s="25">
        <f>Inventory[[#This Row],[Nbhd Adj]]*Inventory[[#This Row],[Quality Adj]]*Inventory[[#This Row],[Condition Adj]]*Inventory[[#This Row],[Living Area Adj]]*Inventory[[#This Row],[Decade Adj]]*0.95</f>
        <v>0.98704476969641131</v>
      </c>
      <c r="BN577" s="25">
        <f>ROUND(SUM(Inventory[[#This Row],[Mdl Qlty]:[Mdl WdDeck]])+Inventory[[#This Row],[Mdl Res Intercept]]*Inventory[[#This Row],[Res Adj ]],-2)</f>
        <v>331300</v>
      </c>
      <c r="BO577" s="25">
        <f>ROUND(Inventory[[#This Row],[25Det]]*Inventory[[#This Row],[Det/Nbhd Adj]],-2)</f>
        <v>0</v>
      </c>
      <c r="BP577" s="25">
        <f>Inventory[[#This Row],[Adjusted Res]]+Inventory[[#This Row],[Adj Det ]]</f>
        <v>331300</v>
      </c>
      <c r="BQ577" s="25">
        <f>ROUND((Inventory[[#This Row],[Mdl Land Intercept]]+Inventory[[#This Row],[Mdl LnAcres]])*Inventory[[#This Row],[Det/Nbhd Adj]],-2)</f>
        <v>35400</v>
      </c>
      <c r="BR577" s="25">
        <f>Inventory[[#This Row],[Adjusted Impr Total]]+Inventory[[#This Row],[Adjusted Land Total]]</f>
        <v>366700</v>
      </c>
      <c r="BS577" s="36">
        <f>IFERROR((Inventory[[#This Row],[Adjusted Impr Total]]-Inventory[[#This Row],[24Bldg]])/Inventory[[#This Row],[24Bldg]],0)</f>
        <v>0.24408561772437101</v>
      </c>
      <c r="BT577" s="36">
        <f>(Inventory[[#This Row],[Adjusted Land Total]]-Inventory[[#This Row],[24Lnd]])/Inventory[[#This Row],[24Lnd]]</f>
        <v>-0.37455830388692579</v>
      </c>
      <c r="BU577" s="36">
        <f>(Inventory[[#This Row],[Adjusted Total]]-Inventory[[#This Row],[24Final]])/Inventory[[#This Row],[24Final]]</f>
        <v>0.13564571074636111</v>
      </c>
    </row>
    <row r="578" spans="1:73" x14ac:dyDescent="0.3">
      <c r="A578" s="25">
        <v>2025</v>
      </c>
      <c r="B578" s="26" t="s">
        <v>1432</v>
      </c>
      <c r="C578" s="26">
        <f>LN(Inventory[[#This Row],[Acres]])</f>
        <v>-1.5141277326297755</v>
      </c>
      <c r="D578" s="25">
        <v>0.22</v>
      </c>
      <c r="E578" s="25">
        <v>9733</v>
      </c>
      <c r="F578" s="26" t="s">
        <v>537</v>
      </c>
      <c r="G578" s="26" t="s">
        <v>126</v>
      </c>
      <c r="H578" s="26" t="s">
        <v>349</v>
      </c>
      <c r="I578" s="26" t="s">
        <v>538</v>
      </c>
      <c r="J578" s="26" t="s">
        <v>539</v>
      </c>
      <c r="K578" s="26" t="s">
        <v>241</v>
      </c>
      <c r="L578" s="26" t="s">
        <v>148</v>
      </c>
      <c r="M578" s="26" t="s">
        <v>303</v>
      </c>
      <c r="N578" s="26">
        <v>70</v>
      </c>
      <c r="O578" s="26">
        <f>2024-Inventory[[#This Row],[YrBlt]]</f>
        <v>69</v>
      </c>
      <c r="P578" s="26">
        <f>2024-Inventory[[#This Row],[EffYr]]</f>
        <v>50</v>
      </c>
      <c r="Q578" s="25">
        <v>1955</v>
      </c>
      <c r="R578" s="25">
        <v>1974</v>
      </c>
      <c r="S578" s="25">
        <v>1261</v>
      </c>
      <c r="T578" s="27"/>
      <c r="U578" s="25">
        <v>1282</v>
      </c>
      <c r="V578" s="25">
        <f>Inventory[[#This Row],[Bsmt]]-Inventory[[#This Row],[FnBsmt]]</f>
        <v>1282</v>
      </c>
      <c r="W578" s="31"/>
      <c r="X578" s="27"/>
      <c r="Y578" s="27">
        <f>Inventory[[#This Row],[MainFn]]+Inventory[[#This Row],[UpprFn]]+Inventory[[#This Row],[FnBsmt]]+Inventory[[#This Row],[AddFn]]</f>
        <v>1261</v>
      </c>
      <c r="Z578" s="27">
        <v>1500</v>
      </c>
      <c r="AA578" s="25">
        <v>5</v>
      </c>
      <c r="AB578" s="25">
        <v>308</v>
      </c>
      <c r="AC578" s="27"/>
      <c r="AD578" s="27"/>
      <c r="AE578" s="27"/>
      <c r="AF578" s="27"/>
      <c r="AG578" s="27"/>
      <c r="AH578" s="27"/>
      <c r="AI578" s="25">
        <v>349908</v>
      </c>
      <c r="AJ578" s="25">
        <v>251934</v>
      </c>
      <c r="AK578" s="25">
        <v>0</v>
      </c>
      <c r="AL578" s="25">
        <v>346500</v>
      </c>
      <c r="AM578" s="25">
        <v>61700</v>
      </c>
      <c r="AN578" s="25">
        <v>284800</v>
      </c>
      <c r="AO578" s="25">
        <v>0</v>
      </c>
      <c r="AP578" s="25">
        <f>Lookups!$B$56*0</f>
        <v>0</v>
      </c>
      <c r="AQ578" s="25">
        <f>Lookups!$B$56*1</f>
        <v>89850.625589999996</v>
      </c>
      <c r="AR578" s="25">
        <f>Lookups!$B$57*Inventory[[#This Row],[LnAcres]]</f>
        <v>-47929.131559187132</v>
      </c>
      <c r="AS578" s="25">
        <f>VLOOKUP(Inventory[[#This Row],[Qlty]],Lookups!$A$62:$E$75,2,FALSE)</f>
        <v>44121.038090000002</v>
      </c>
      <c r="AT578" s="25">
        <f>VLOOKUP(Inventory[[#This Row],[Cnd]],Lookups!$A$76:$E$84,2,FALSE)</f>
        <v>197752.34721000001</v>
      </c>
      <c r="AU578" s="25">
        <f>Inventory[[#This Row],[EffAge]]*Lookups!$B$85</f>
        <v>-11152.280025</v>
      </c>
      <c r="AV578" s="25">
        <f>Inventory[[#This Row],[MainFn]]*Lookups!$B$86</f>
        <v>62304.332714896998</v>
      </c>
      <c r="AW578" s="25">
        <f>Inventory[[#This Row],[UpprFn]]*Lookups!$B$87</f>
        <v>0</v>
      </c>
      <c r="AX578" s="25">
        <f>Inventory[[#This Row],[AddFn]]*Lookups!$B$88</f>
        <v>0</v>
      </c>
      <c r="AY578" s="25">
        <f>Inventory[[#This Row],[Bsmt]]*Lookups!$B$89</f>
        <v>37282.989706654</v>
      </c>
      <c r="AZ578" s="25">
        <f>Inventory[[#This Row],[Fixtures]]*Lookups!$B$90</f>
        <v>18960.110526</v>
      </c>
      <c r="BA578" s="25">
        <f>Inventory[[#This Row],[WdDeck]]*Lookups!$B$91</f>
        <v>0</v>
      </c>
      <c r="BB578" s="25">
        <f>ROUND(Inventory[[#This Row],[25Det]],-2)</f>
        <v>0</v>
      </c>
      <c r="BC578" s="25">
        <f>ROUND(SUM(Inventory[[#This Row],[Mdl Qlty]:[Mdl WdDeck]])+Inventory[[#This Row],[Mdl Res Intercept]],-2)</f>
        <v>349300</v>
      </c>
      <c r="BD578" s="25">
        <f>ROUND(Inventory[[#This Row],[Mdl Land Intercept]]+Inventory[[#This Row],[Mdl LnAcres]],-2)</f>
        <v>41900</v>
      </c>
      <c r="BE578" s="25">
        <f>Inventory[[#This Row],[Unadj Res Value]]+Inventory[[#This Row],[Unadj Det Value]]+Inventory[[#This Row],[Unadj Land Value]]</f>
        <v>391200</v>
      </c>
      <c r="BF578" s="36">
        <f>(Inventory[[#This Row],[Unadj Total Value]]-Inventory[[#This Row],[24Final]])/Inventory[[#This Row],[24Final]]</f>
        <v>0.12900432900432901</v>
      </c>
      <c r="BG578" s="25">
        <f>VLOOKUP(Inventory[[#This Row],[Nbhd]],Lookups!$Q$2:$T$4,4,FALSE)</f>
        <v>0.99970000000000003</v>
      </c>
      <c r="BH578" s="25">
        <f>VLOOKUP(Inventory[[#This Row],[Qlty]],Lookups!$O$7:$R$21,4,FALSE)</f>
        <v>0.98050000000000004</v>
      </c>
      <c r="BI578" s="25">
        <f>VLOOKUP(Inventory[[#This Row],[Cnd]],Lookups!$T$7:$W$16,4,FALSE)</f>
        <v>0.99650000000000005</v>
      </c>
      <c r="BJ578" s="25">
        <f>VLOOKUP(Inventory[[#This Row],[LivArea Range]],Lookups!$T$25:$W$37,4,FALSE)</f>
        <v>1.0157</v>
      </c>
      <c r="BK578" s="25">
        <f>VLOOKUP(Inventory[[#This Row],[Decade]],Lookups!$O$25:$R$42,4,FALSE)</f>
        <v>1.0199</v>
      </c>
      <c r="BL578" s="25">
        <f>Inventory[[#This Row],[Nbhd Adj]]*0.95</f>
        <v>0.94971499999999998</v>
      </c>
      <c r="BM578" s="25">
        <f>Inventory[[#This Row],[Nbhd Adj]]*Inventory[[#This Row],[Quality Adj]]*Inventory[[#This Row],[Condition Adj]]*Inventory[[#This Row],[Living Area Adj]]*Inventory[[#This Row],[Decade Adj]]*0.95</f>
        <v>0.96126082309031724</v>
      </c>
      <c r="BN578" s="25">
        <f>ROUND(SUM(Inventory[[#This Row],[Mdl Qlty]:[Mdl WdDeck]])+Inventory[[#This Row],[Mdl Res Intercept]]*Inventory[[#This Row],[Res Adj ]],-2)</f>
        <v>349300</v>
      </c>
      <c r="BO578" s="25">
        <f>ROUND(Inventory[[#This Row],[25Det]]*Inventory[[#This Row],[Det/Nbhd Adj]],-2)</f>
        <v>0</v>
      </c>
      <c r="BP578" s="25">
        <f>Inventory[[#This Row],[Adjusted Res]]+Inventory[[#This Row],[Adj Det ]]</f>
        <v>349300</v>
      </c>
      <c r="BQ578" s="25">
        <f>ROUND((Inventory[[#This Row],[Mdl Land Intercept]]+Inventory[[#This Row],[Mdl LnAcres]])*Inventory[[#This Row],[Det/Nbhd Adj]],-2)</f>
        <v>39800</v>
      </c>
      <c r="BR578" s="25">
        <f>Inventory[[#This Row],[Adjusted Impr Total]]+Inventory[[#This Row],[Adjusted Land Total]]</f>
        <v>389100</v>
      </c>
      <c r="BS578" s="36">
        <f>IFERROR((Inventory[[#This Row],[Adjusted Impr Total]]-Inventory[[#This Row],[24Bldg]])/Inventory[[#This Row],[24Bldg]],0)</f>
        <v>0.2264747191011236</v>
      </c>
      <c r="BT578" s="36">
        <f>(Inventory[[#This Row],[Adjusted Land Total]]-Inventory[[#This Row],[24Lnd]])/Inventory[[#This Row],[24Lnd]]</f>
        <v>-0.35494327390599678</v>
      </c>
      <c r="BU578" s="36">
        <f>(Inventory[[#This Row],[Adjusted Total]]-Inventory[[#This Row],[24Final]])/Inventory[[#This Row],[24Final]]</f>
        <v>0.12294372294372294</v>
      </c>
    </row>
    <row r="579" spans="1:73" x14ac:dyDescent="0.3">
      <c r="A579" s="25">
        <v>2025</v>
      </c>
      <c r="B579" s="26" t="s">
        <v>1422</v>
      </c>
      <c r="C579" s="26">
        <f>LN(Inventory[[#This Row],[Acres]])</f>
        <v>-1.7147984280919266</v>
      </c>
      <c r="D579" s="25">
        <v>0.18</v>
      </c>
      <c r="E579" s="25">
        <v>7665</v>
      </c>
      <c r="F579" s="26" t="s">
        <v>537</v>
      </c>
      <c r="G579" s="26" t="s">
        <v>126</v>
      </c>
      <c r="H579" s="26" t="s">
        <v>349</v>
      </c>
      <c r="I579" s="26" t="s">
        <v>538</v>
      </c>
      <c r="J579" s="26" t="s">
        <v>539</v>
      </c>
      <c r="K579" s="26" t="s">
        <v>241</v>
      </c>
      <c r="L579" s="26" t="s">
        <v>302</v>
      </c>
      <c r="M579" s="26" t="s">
        <v>303</v>
      </c>
      <c r="N579" s="26">
        <v>70</v>
      </c>
      <c r="O579" s="26">
        <f>2024-Inventory[[#This Row],[YrBlt]]</f>
        <v>69</v>
      </c>
      <c r="P579" s="26">
        <f>2024-Inventory[[#This Row],[EffYr]]</f>
        <v>50</v>
      </c>
      <c r="Q579" s="25">
        <v>1955</v>
      </c>
      <c r="R579" s="25">
        <v>1974</v>
      </c>
      <c r="S579" s="25">
        <v>1422</v>
      </c>
      <c r="T579" s="27"/>
      <c r="U579" s="32">
        <v>1422</v>
      </c>
      <c r="V579" s="32">
        <f>Inventory[[#This Row],[Bsmt]]-Inventory[[#This Row],[FnBsmt]]</f>
        <v>0</v>
      </c>
      <c r="W579" s="32">
        <v>1422</v>
      </c>
      <c r="X579" s="27"/>
      <c r="Y579" s="27">
        <f>Inventory[[#This Row],[MainFn]]+Inventory[[#This Row],[UpprFn]]+Inventory[[#This Row],[FnBsmt]]+Inventory[[#This Row],[AddFn]]</f>
        <v>2844</v>
      </c>
      <c r="Z579" s="27">
        <v>3000</v>
      </c>
      <c r="AA579" s="25">
        <v>8</v>
      </c>
      <c r="AB579" s="31"/>
      <c r="AC579" s="27"/>
      <c r="AD579" s="32">
        <v>913</v>
      </c>
      <c r="AE579" s="27"/>
      <c r="AF579" s="27"/>
      <c r="AG579" s="27"/>
      <c r="AH579" s="27"/>
      <c r="AI579" s="25">
        <v>432597</v>
      </c>
      <c r="AJ579" s="25">
        <v>311470</v>
      </c>
      <c r="AK579" s="25">
        <v>0</v>
      </c>
      <c r="AL579" s="25">
        <v>378900</v>
      </c>
      <c r="AM579" s="25">
        <v>54700</v>
      </c>
      <c r="AN579" s="25">
        <v>324200</v>
      </c>
      <c r="AO579" s="25">
        <v>0</v>
      </c>
      <c r="AP579" s="25">
        <f>Lookups!$B$56*0</f>
        <v>0</v>
      </c>
      <c r="AQ579" s="25">
        <f>Lookups!$B$56*1</f>
        <v>89850.625589999996</v>
      </c>
      <c r="AR579" s="25">
        <f>Lookups!$B$57*Inventory[[#This Row],[LnAcres]]</f>
        <v>-54281.285314520763</v>
      </c>
      <c r="AS579" s="25">
        <f>VLOOKUP(Inventory[[#This Row],[Qlty]],Lookups!$A$62:$E$75,2,FALSE)</f>
        <v>29814.093161000001</v>
      </c>
      <c r="AT579" s="25">
        <f>VLOOKUP(Inventory[[#This Row],[Cnd]],Lookups!$A$76:$E$84,2,FALSE)</f>
        <v>197752.34721000001</v>
      </c>
      <c r="AU579" s="25">
        <f>Inventory[[#This Row],[EffAge]]*Lookups!$B$85</f>
        <v>-11152.280025</v>
      </c>
      <c r="AV579" s="25">
        <f>Inventory[[#This Row],[MainFn]]*Lookups!$B$86</f>
        <v>70259.128565093997</v>
      </c>
      <c r="AW579" s="25">
        <f>Inventory[[#This Row],[UpprFn]]*Lookups!$B$87</f>
        <v>0</v>
      </c>
      <c r="AX579" s="25">
        <f>Inventory[[#This Row],[AddFn]]*Lookups!$B$88</f>
        <v>0</v>
      </c>
      <c r="AY579" s="25">
        <f>Inventory[[#This Row],[Bsmt]]*Lookups!$B$89</f>
        <v>41354.455041233996</v>
      </c>
      <c r="AZ579" s="25">
        <f>Inventory[[#This Row],[Fixtures]]*Lookups!$B$90</f>
        <v>30336.176841600001</v>
      </c>
      <c r="BA579" s="25">
        <f>Inventory[[#This Row],[WdDeck]]*Lookups!$B$91</f>
        <v>30398.805446988004</v>
      </c>
      <c r="BB579" s="25">
        <f>ROUND(Inventory[[#This Row],[25Det]],-2)</f>
        <v>0</v>
      </c>
      <c r="BC579" s="25">
        <f>ROUND(SUM(Inventory[[#This Row],[Mdl Qlty]:[Mdl WdDeck]])+Inventory[[#This Row],[Mdl Res Intercept]],-2)</f>
        <v>388800</v>
      </c>
      <c r="BD579" s="25">
        <f>ROUND(Inventory[[#This Row],[Mdl Land Intercept]]+Inventory[[#This Row],[Mdl LnAcres]],-2)</f>
        <v>35600</v>
      </c>
      <c r="BE579" s="25">
        <f>Inventory[[#This Row],[Unadj Res Value]]+Inventory[[#This Row],[Unadj Det Value]]+Inventory[[#This Row],[Unadj Land Value]]</f>
        <v>424400</v>
      </c>
      <c r="BF579" s="36">
        <f>(Inventory[[#This Row],[Unadj Total Value]]-Inventory[[#This Row],[24Final]])/Inventory[[#This Row],[24Final]]</f>
        <v>0.1200844550013196</v>
      </c>
      <c r="BG579" s="25">
        <f>VLOOKUP(Inventory[[#This Row],[Nbhd]],Lookups!$Q$2:$T$4,4,FALSE)</f>
        <v>0.99970000000000003</v>
      </c>
      <c r="BH579" s="25">
        <f>VLOOKUP(Inventory[[#This Row],[Qlty]],Lookups!$O$7:$R$21,4,FALSE)</f>
        <v>1.0088999999999999</v>
      </c>
      <c r="BI579" s="25">
        <f>VLOOKUP(Inventory[[#This Row],[Cnd]],Lookups!$T$7:$W$16,4,FALSE)</f>
        <v>0.99650000000000005</v>
      </c>
      <c r="BJ579" s="25">
        <f>VLOOKUP(Inventory[[#This Row],[LivArea Range]],Lookups!$T$25:$W$37,4,FALSE)</f>
        <v>0.96179999999999999</v>
      </c>
      <c r="BK579" s="25">
        <f>VLOOKUP(Inventory[[#This Row],[Decade]],Lookups!$O$25:$R$42,4,FALSE)</f>
        <v>1.0199</v>
      </c>
      <c r="BL579" s="25">
        <f>Inventory[[#This Row],[Nbhd Adj]]*0.95</f>
        <v>0.94971499999999998</v>
      </c>
      <c r="BM579" s="25">
        <f>Inventory[[#This Row],[Nbhd Adj]]*Inventory[[#This Row],[Quality Adj]]*Inventory[[#This Row],[Condition Adj]]*Inventory[[#This Row],[Living Area Adj]]*Inventory[[#This Row],[Decade Adj]]*0.95</f>
        <v>0.93661495300843212</v>
      </c>
      <c r="BN579" s="25">
        <f>ROUND(SUM(Inventory[[#This Row],[Mdl Qlty]:[Mdl WdDeck]])+Inventory[[#This Row],[Mdl Res Intercept]]*Inventory[[#This Row],[Res Adj ]],-2)</f>
        <v>388800</v>
      </c>
      <c r="BO579" s="25">
        <f>ROUND(Inventory[[#This Row],[25Det]]*Inventory[[#This Row],[Det/Nbhd Adj]],-2)</f>
        <v>0</v>
      </c>
      <c r="BP579" s="25">
        <f>Inventory[[#This Row],[Adjusted Res]]+Inventory[[#This Row],[Adj Det ]]</f>
        <v>388800</v>
      </c>
      <c r="BQ579" s="25">
        <f>ROUND((Inventory[[#This Row],[Mdl Land Intercept]]+Inventory[[#This Row],[Mdl LnAcres]])*Inventory[[#This Row],[Det/Nbhd Adj]],-2)</f>
        <v>33800</v>
      </c>
      <c r="BR579" s="25">
        <f>Inventory[[#This Row],[Adjusted Impr Total]]+Inventory[[#This Row],[Adjusted Land Total]]</f>
        <v>422600</v>
      </c>
      <c r="BS579" s="36">
        <f>IFERROR((Inventory[[#This Row],[Adjusted Impr Total]]-Inventory[[#This Row],[24Bldg]])/Inventory[[#This Row],[24Bldg]],0)</f>
        <v>0.19925971622455274</v>
      </c>
      <c r="BT579" s="36">
        <f>(Inventory[[#This Row],[Adjusted Land Total]]-Inventory[[#This Row],[24Lnd]])/Inventory[[#This Row],[24Lnd]]</f>
        <v>-0.38208409506398539</v>
      </c>
      <c r="BU579" s="36">
        <f>(Inventory[[#This Row],[Adjusted Total]]-Inventory[[#This Row],[24Final]])/Inventory[[#This Row],[24Final]]</f>
        <v>0.11533386117709159</v>
      </c>
    </row>
    <row r="580" spans="1:73" x14ac:dyDescent="0.3">
      <c r="A580" s="25">
        <v>2025</v>
      </c>
      <c r="B580" s="26" t="s">
        <v>1445</v>
      </c>
      <c r="C580" s="26">
        <f>LN(Inventory[[#This Row],[Acres]])</f>
        <v>-1.9661128563728327</v>
      </c>
      <c r="D580" s="25">
        <v>0.14000000000000001</v>
      </c>
      <c r="E580" s="32">
        <v>5889</v>
      </c>
      <c r="F580" s="26" t="s">
        <v>537</v>
      </c>
      <c r="G580" s="26" t="s">
        <v>126</v>
      </c>
      <c r="H580" s="26" t="s">
        <v>349</v>
      </c>
      <c r="I580" s="26" t="s">
        <v>538</v>
      </c>
      <c r="J580" s="26" t="s">
        <v>539</v>
      </c>
      <c r="K580" s="26" t="s">
        <v>242</v>
      </c>
      <c r="L580" s="26" t="s">
        <v>351</v>
      </c>
      <c r="M580" s="26" t="s">
        <v>303</v>
      </c>
      <c r="N580" s="26">
        <v>70</v>
      </c>
      <c r="O580" s="26">
        <f>2024-Inventory[[#This Row],[YrBlt]]</f>
        <v>69</v>
      </c>
      <c r="P580" s="26">
        <f>2024-Inventory[[#This Row],[EffYr]]</f>
        <v>50</v>
      </c>
      <c r="Q580" s="25">
        <v>1955</v>
      </c>
      <c r="R580" s="25">
        <v>1974</v>
      </c>
      <c r="S580" s="25">
        <v>928</v>
      </c>
      <c r="T580" s="27"/>
      <c r="U580" s="27"/>
      <c r="V580" s="27">
        <f>Inventory[[#This Row],[Bsmt]]-Inventory[[#This Row],[FnBsmt]]</f>
        <v>0</v>
      </c>
      <c r="W580" s="27"/>
      <c r="X580" s="27"/>
      <c r="Y580" s="27">
        <f>Inventory[[#This Row],[MainFn]]+Inventory[[#This Row],[UpprFn]]+Inventory[[#This Row],[FnBsmt]]+Inventory[[#This Row],[AddFn]]</f>
        <v>928</v>
      </c>
      <c r="Z580" s="27">
        <v>1000</v>
      </c>
      <c r="AA580" s="25">
        <v>5</v>
      </c>
      <c r="AB580" s="27"/>
      <c r="AC580" s="27"/>
      <c r="AD580" s="31"/>
      <c r="AE580" s="27"/>
      <c r="AF580" s="27"/>
      <c r="AG580" s="27"/>
      <c r="AH580" s="27"/>
      <c r="AI580" s="25">
        <v>165539</v>
      </c>
      <c r="AJ580" s="25">
        <v>119188</v>
      </c>
      <c r="AK580" s="25">
        <v>7779</v>
      </c>
      <c r="AL580" s="25">
        <v>276700</v>
      </c>
      <c r="AM580" s="25">
        <v>46000</v>
      </c>
      <c r="AN580" s="25">
        <v>230700</v>
      </c>
      <c r="AO580" s="25">
        <v>0</v>
      </c>
      <c r="AP580" s="25">
        <f>Lookups!$B$56*0</f>
        <v>0</v>
      </c>
      <c r="AQ580" s="25">
        <f>Lookups!$B$56*1</f>
        <v>89850.625589999996</v>
      </c>
      <c r="AR580" s="25">
        <f>Lookups!$B$57*Inventory[[#This Row],[LnAcres]]</f>
        <v>-62236.546971921947</v>
      </c>
      <c r="AS580" s="25">
        <f>VLOOKUP(Inventory[[#This Row],[Qlty]],Lookups!$A$62:$E$75,2,FALSE)</f>
        <v>21557.329055999999</v>
      </c>
      <c r="AT580" s="25">
        <f>VLOOKUP(Inventory[[#This Row],[Cnd]],Lookups!$A$76:$E$84,2,FALSE)</f>
        <v>197752.34721000001</v>
      </c>
      <c r="AU580" s="25">
        <f>Inventory[[#This Row],[EffAge]]*Lookups!$B$85</f>
        <v>-11152.280025</v>
      </c>
      <c r="AV580" s="25">
        <f>Inventory[[#This Row],[MainFn]]*Lookups!$B$86</f>
        <v>45851.245645856005</v>
      </c>
      <c r="AW580" s="25">
        <f>Inventory[[#This Row],[UpprFn]]*Lookups!$B$87</f>
        <v>0</v>
      </c>
      <c r="AX580" s="25">
        <f>Inventory[[#This Row],[AddFn]]*Lookups!$B$88</f>
        <v>0</v>
      </c>
      <c r="AY580" s="25">
        <f>Inventory[[#This Row],[Bsmt]]*Lookups!$B$89</f>
        <v>0</v>
      </c>
      <c r="AZ580" s="25">
        <f>Inventory[[#This Row],[Fixtures]]*Lookups!$B$90</f>
        <v>18960.110526</v>
      </c>
      <c r="BA580" s="25">
        <f>Inventory[[#This Row],[WdDeck]]*Lookups!$B$91</f>
        <v>0</v>
      </c>
      <c r="BB580" s="25">
        <f>ROUND(Inventory[[#This Row],[25Det]],-2)</f>
        <v>7800</v>
      </c>
      <c r="BC580" s="25">
        <f>ROUND(SUM(Inventory[[#This Row],[Mdl Qlty]:[Mdl WdDeck]])+Inventory[[#This Row],[Mdl Res Intercept]],-2)</f>
        <v>273000</v>
      </c>
      <c r="BD580" s="25">
        <f>ROUND(Inventory[[#This Row],[Mdl Land Intercept]]+Inventory[[#This Row],[Mdl LnAcres]],-2)</f>
        <v>27600</v>
      </c>
      <c r="BE580" s="25">
        <f>Inventory[[#This Row],[Unadj Res Value]]+Inventory[[#This Row],[Unadj Det Value]]+Inventory[[#This Row],[Unadj Land Value]]</f>
        <v>308400</v>
      </c>
      <c r="BF580" s="36">
        <f>(Inventory[[#This Row],[Unadj Total Value]]-Inventory[[#This Row],[24Final]])/Inventory[[#This Row],[24Final]]</f>
        <v>0.11456451029996385</v>
      </c>
      <c r="BG580" s="25">
        <f>VLOOKUP(Inventory[[#This Row],[Nbhd]],Lookups!$Q$2:$T$4,4,FALSE)</f>
        <v>0.99970000000000003</v>
      </c>
      <c r="BH580" s="25">
        <f>VLOOKUP(Inventory[[#This Row],[Qlty]],Lookups!$O$7:$R$21,4,FALSE)</f>
        <v>1.0067999999999999</v>
      </c>
      <c r="BI580" s="25">
        <f>VLOOKUP(Inventory[[#This Row],[Cnd]],Lookups!$T$7:$W$16,4,FALSE)</f>
        <v>0.99650000000000005</v>
      </c>
      <c r="BJ580" s="25">
        <f>VLOOKUP(Inventory[[#This Row],[LivArea Range]],Lookups!$T$25:$W$37,4,FALSE)</f>
        <v>1.0148999999999999</v>
      </c>
      <c r="BK580" s="25">
        <f>VLOOKUP(Inventory[[#This Row],[Decade]],Lookups!$O$25:$R$42,4,FALSE)</f>
        <v>1.0199</v>
      </c>
      <c r="BL580" s="25">
        <f>Inventory[[#This Row],[Nbhd Adj]]*0.95</f>
        <v>0.94971499999999998</v>
      </c>
      <c r="BM580" s="25">
        <f>Inventory[[#This Row],[Nbhd Adj]]*Inventory[[#This Row],[Quality Adj]]*Inventory[[#This Row],[Condition Adj]]*Inventory[[#This Row],[Living Area Adj]]*Inventory[[#This Row],[Decade Adj]]*0.95</f>
        <v>0.98626733953420054</v>
      </c>
      <c r="BN580" s="25">
        <f>ROUND(SUM(Inventory[[#This Row],[Mdl Qlty]:[Mdl WdDeck]])+Inventory[[#This Row],[Mdl Res Intercept]]*Inventory[[#This Row],[Res Adj ]],-2)</f>
        <v>273000</v>
      </c>
      <c r="BO580" s="25">
        <f>ROUND(Inventory[[#This Row],[25Det]]*Inventory[[#This Row],[Det/Nbhd Adj]],-2)</f>
        <v>7400</v>
      </c>
      <c r="BP580" s="25">
        <f>Inventory[[#This Row],[Adjusted Res]]+Inventory[[#This Row],[Adj Det ]]</f>
        <v>280400</v>
      </c>
      <c r="BQ580" s="25">
        <f>ROUND((Inventory[[#This Row],[Mdl Land Intercept]]+Inventory[[#This Row],[Mdl LnAcres]])*Inventory[[#This Row],[Det/Nbhd Adj]],-2)</f>
        <v>26200</v>
      </c>
      <c r="BR580" s="25">
        <f>Inventory[[#This Row],[Adjusted Impr Total]]+Inventory[[#This Row],[Adjusted Land Total]]</f>
        <v>306600</v>
      </c>
      <c r="BS580" s="36">
        <f>IFERROR((Inventory[[#This Row],[Adjusted Impr Total]]-Inventory[[#This Row],[24Bldg]])/Inventory[[#This Row],[24Bldg]],0)</f>
        <v>0.21543129605548331</v>
      </c>
      <c r="BT580" s="36">
        <f>(Inventory[[#This Row],[Adjusted Land Total]]-Inventory[[#This Row],[24Lnd]])/Inventory[[#This Row],[24Lnd]]</f>
        <v>-0.43043478260869567</v>
      </c>
      <c r="BU580" s="36">
        <f>(Inventory[[#This Row],[Adjusted Total]]-Inventory[[#This Row],[24Final]])/Inventory[[#This Row],[24Final]]</f>
        <v>0.10805926996747379</v>
      </c>
    </row>
    <row r="581" spans="1:73" x14ac:dyDescent="0.3">
      <c r="A581" s="25">
        <v>2025</v>
      </c>
      <c r="B581" s="26" t="s">
        <v>2909</v>
      </c>
      <c r="C581" s="26">
        <f>LN(Inventory[[#This Row],[Acres]])</f>
        <v>-1.6607312068216509</v>
      </c>
      <c r="D581" s="25">
        <v>0.19</v>
      </c>
      <c r="E581" s="32">
        <v>8417</v>
      </c>
      <c r="F581" s="26" t="s">
        <v>537</v>
      </c>
      <c r="G581" s="26" t="s">
        <v>126</v>
      </c>
      <c r="H581" s="26" t="s">
        <v>349</v>
      </c>
      <c r="I581" s="26" t="s">
        <v>538</v>
      </c>
      <c r="J581" s="26" t="s">
        <v>539</v>
      </c>
      <c r="K581" s="26" t="s">
        <v>242</v>
      </c>
      <c r="L581" s="26" t="s">
        <v>148</v>
      </c>
      <c r="M581" s="26" t="s">
        <v>303</v>
      </c>
      <c r="N581" s="26">
        <v>70</v>
      </c>
      <c r="O581" s="26">
        <f>2024-Inventory[[#This Row],[YrBlt]]</f>
        <v>69</v>
      </c>
      <c r="P581" s="26">
        <f>2024-Inventory[[#This Row],[EffYr]]</f>
        <v>50</v>
      </c>
      <c r="Q581" s="25">
        <v>1955</v>
      </c>
      <c r="R581" s="25">
        <v>1974</v>
      </c>
      <c r="S581" s="25">
        <v>1548</v>
      </c>
      <c r="T581" s="27"/>
      <c r="U581" s="25">
        <v>1548</v>
      </c>
      <c r="V581" s="25">
        <f>Inventory[[#This Row],[Bsmt]]-Inventory[[#This Row],[FnBsmt]]</f>
        <v>1084</v>
      </c>
      <c r="W581" s="25">
        <v>464</v>
      </c>
      <c r="X581" s="27"/>
      <c r="Y581" s="27">
        <f>Inventory[[#This Row],[MainFn]]+Inventory[[#This Row],[UpprFn]]+Inventory[[#This Row],[FnBsmt]]+Inventory[[#This Row],[AddFn]]</f>
        <v>2012</v>
      </c>
      <c r="Z581" s="27">
        <v>2500</v>
      </c>
      <c r="AA581" s="25">
        <v>8</v>
      </c>
      <c r="AB581" s="31"/>
      <c r="AC581" s="27"/>
      <c r="AD581" s="32">
        <v>112</v>
      </c>
      <c r="AE581" s="27"/>
      <c r="AF581" s="27"/>
      <c r="AG581" s="27"/>
      <c r="AH581" s="27"/>
      <c r="AI581" s="25">
        <v>458513</v>
      </c>
      <c r="AJ581" s="25">
        <v>330129</v>
      </c>
      <c r="AK581" s="25">
        <v>11490</v>
      </c>
      <c r="AL581" s="25">
        <v>392200</v>
      </c>
      <c r="AM581" s="25">
        <v>56600</v>
      </c>
      <c r="AN581" s="25">
        <v>335600</v>
      </c>
      <c r="AO581" s="25">
        <v>0</v>
      </c>
      <c r="AP581" s="25">
        <f>Lookups!$B$56*0</f>
        <v>0</v>
      </c>
      <c r="AQ581" s="25">
        <f>Lookups!$B$56*1</f>
        <v>89850.625589999996</v>
      </c>
      <c r="AR581" s="25">
        <f>Lookups!$B$57*Inventory[[#This Row],[LnAcres]]</f>
        <v>-52569.808201026557</v>
      </c>
      <c r="AS581" s="25">
        <f>VLOOKUP(Inventory[[#This Row],[Qlty]],Lookups!$A$62:$E$75,2,FALSE)</f>
        <v>44121.038090000002</v>
      </c>
      <c r="AT581" s="25">
        <f>VLOOKUP(Inventory[[#This Row],[Cnd]],Lookups!$A$76:$E$84,2,FALSE)</f>
        <v>197752.34721000001</v>
      </c>
      <c r="AU581" s="25">
        <f>Inventory[[#This Row],[EffAge]]*Lookups!$B$85</f>
        <v>-11152.280025</v>
      </c>
      <c r="AV581" s="25">
        <f>Inventory[[#This Row],[MainFn]]*Lookups!$B$86</f>
        <v>76484.620969595999</v>
      </c>
      <c r="AW581" s="25">
        <f>Inventory[[#This Row],[UpprFn]]*Lookups!$B$87</f>
        <v>0</v>
      </c>
      <c r="AX581" s="25">
        <f>Inventory[[#This Row],[AddFn]]*Lookups!$B$88</f>
        <v>0</v>
      </c>
      <c r="AY581" s="25">
        <f>Inventory[[#This Row],[Bsmt]]*Lookups!$B$89</f>
        <v>45018.773842356</v>
      </c>
      <c r="AZ581" s="25">
        <f>Inventory[[#This Row],[Fixtures]]*Lookups!$B$90</f>
        <v>30336.176841600001</v>
      </c>
      <c r="BA581" s="25">
        <f>Inventory[[#This Row],[WdDeck]]*Lookups!$B$91</f>
        <v>3729.0977109120004</v>
      </c>
      <c r="BB581" s="25">
        <f>ROUND(Inventory[[#This Row],[25Det]],-2)</f>
        <v>11500</v>
      </c>
      <c r="BC581" s="25">
        <f>ROUND(SUM(Inventory[[#This Row],[Mdl Qlty]:[Mdl WdDeck]])+Inventory[[#This Row],[Mdl Res Intercept]],-2)</f>
        <v>386300</v>
      </c>
      <c r="BD581" s="25">
        <f>ROUND(Inventory[[#This Row],[Mdl Land Intercept]]+Inventory[[#This Row],[Mdl LnAcres]],-2)</f>
        <v>37300</v>
      </c>
      <c r="BE581" s="25">
        <f>Inventory[[#This Row],[Unadj Res Value]]+Inventory[[#This Row],[Unadj Det Value]]+Inventory[[#This Row],[Unadj Land Value]]</f>
        <v>435100</v>
      </c>
      <c r="BF581" s="36">
        <f>(Inventory[[#This Row],[Unadj Total Value]]-Inventory[[#This Row],[24Final]])/Inventory[[#This Row],[24Final]]</f>
        <v>0.10938296787353391</v>
      </c>
      <c r="BG581" s="25">
        <f>VLOOKUP(Inventory[[#This Row],[Nbhd]],Lookups!$Q$2:$T$4,4,FALSE)</f>
        <v>0.99970000000000003</v>
      </c>
      <c r="BH581" s="25">
        <f>VLOOKUP(Inventory[[#This Row],[Qlty]],Lookups!$O$7:$R$21,4,FALSE)</f>
        <v>0.98050000000000004</v>
      </c>
      <c r="BI581" s="25">
        <f>VLOOKUP(Inventory[[#This Row],[Cnd]],Lookups!$T$7:$W$16,4,FALSE)</f>
        <v>0.99650000000000005</v>
      </c>
      <c r="BJ581" s="25">
        <f>VLOOKUP(Inventory[[#This Row],[LivArea Range]],Lookups!$T$25:$W$37,4,FALSE)</f>
        <v>0.98919999999999997</v>
      </c>
      <c r="BK581" s="25">
        <f>VLOOKUP(Inventory[[#This Row],[Decade]],Lookups!$O$25:$R$42,4,FALSE)</f>
        <v>1.0199</v>
      </c>
      <c r="BL581" s="25">
        <f>Inventory[[#This Row],[Nbhd Adj]]*0.95</f>
        <v>0.94971499999999998</v>
      </c>
      <c r="BM581" s="25">
        <f>Inventory[[#This Row],[Nbhd Adj]]*Inventory[[#This Row],[Quality Adj]]*Inventory[[#This Row],[Condition Adj]]*Inventory[[#This Row],[Living Area Adj]]*Inventory[[#This Row],[Decade Adj]]*0.95</f>
        <v>0.936181161958198</v>
      </c>
      <c r="BN581" s="25">
        <f>ROUND(SUM(Inventory[[#This Row],[Mdl Qlty]:[Mdl WdDeck]])+Inventory[[#This Row],[Mdl Res Intercept]]*Inventory[[#This Row],[Res Adj ]],-2)</f>
        <v>386300</v>
      </c>
      <c r="BO581" s="25">
        <f>ROUND(Inventory[[#This Row],[25Det]]*Inventory[[#This Row],[Det/Nbhd Adj]],-2)</f>
        <v>10900</v>
      </c>
      <c r="BP581" s="25">
        <f>Inventory[[#This Row],[Adjusted Res]]+Inventory[[#This Row],[Adj Det ]]</f>
        <v>397200</v>
      </c>
      <c r="BQ581" s="25">
        <f>ROUND((Inventory[[#This Row],[Mdl Land Intercept]]+Inventory[[#This Row],[Mdl LnAcres]])*Inventory[[#This Row],[Det/Nbhd Adj]],-2)</f>
        <v>35400</v>
      </c>
      <c r="BR581" s="25">
        <f>Inventory[[#This Row],[Adjusted Impr Total]]+Inventory[[#This Row],[Adjusted Land Total]]</f>
        <v>432600</v>
      </c>
      <c r="BS581" s="36">
        <f>IFERROR((Inventory[[#This Row],[Adjusted Impr Total]]-Inventory[[#This Row],[24Bldg]])/Inventory[[#This Row],[24Bldg]],0)</f>
        <v>0.1835518474374255</v>
      </c>
      <c r="BT581" s="36">
        <f>(Inventory[[#This Row],[Adjusted Land Total]]-Inventory[[#This Row],[24Lnd]])/Inventory[[#This Row],[24Lnd]]</f>
        <v>-0.37455830388692579</v>
      </c>
      <c r="BU581" s="36">
        <f>(Inventory[[#This Row],[Adjusted Total]]-Inventory[[#This Row],[24Final]])/Inventory[[#This Row],[24Final]]</f>
        <v>0.10300866904640489</v>
      </c>
    </row>
    <row r="582" spans="1:73" x14ac:dyDescent="0.3">
      <c r="A582" s="25">
        <v>2025</v>
      </c>
      <c r="B582" s="26" t="s">
        <v>1793</v>
      </c>
      <c r="C582" s="26">
        <f>LN(Inventory[[#This Row],[Acres]])</f>
        <v>-1.7719568419318752</v>
      </c>
      <c r="D582" s="25">
        <v>0.17</v>
      </c>
      <c r="E582" s="27"/>
      <c r="F582" s="26" t="s">
        <v>537</v>
      </c>
      <c r="G582" s="26" t="s">
        <v>126</v>
      </c>
      <c r="H582" s="26" t="s">
        <v>349</v>
      </c>
      <c r="I582" s="26" t="s">
        <v>538</v>
      </c>
      <c r="J582" s="26" t="s">
        <v>539</v>
      </c>
      <c r="K582" s="26" t="s">
        <v>241</v>
      </c>
      <c r="L582" s="26" t="s">
        <v>351</v>
      </c>
      <c r="M582" s="26" t="s">
        <v>303</v>
      </c>
      <c r="N582" s="26">
        <v>70</v>
      </c>
      <c r="O582" s="26">
        <f>2024-Inventory[[#This Row],[YrBlt]]</f>
        <v>69</v>
      </c>
      <c r="P582" s="26">
        <f>2024-Inventory[[#This Row],[EffYr]]</f>
        <v>50</v>
      </c>
      <c r="Q582" s="25">
        <v>1955</v>
      </c>
      <c r="R582" s="25">
        <v>1974</v>
      </c>
      <c r="S582" s="25">
        <v>1167</v>
      </c>
      <c r="T582" s="27"/>
      <c r="U582" s="32">
        <v>782</v>
      </c>
      <c r="V582" s="32">
        <f>Inventory[[#This Row],[Bsmt]]-Inventory[[#This Row],[FnBsmt]]</f>
        <v>782</v>
      </c>
      <c r="W582" s="27"/>
      <c r="X582" s="27"/>
      <c r="Y582" s="27">
        <f>Inventory[[#This Row],[MainFn]]+Inventory[[#This Row],[UpprFn]]+Inventory[[#This Row],[FnBsmt]]+Inventory[[#This Row],[AddFn]]</f>
        <v>1167</v>
      </c>
      <c r="Z582" s="27">
        <v>1500</v>
      </c>
      <c r="AA582" s="25">
        <v>5</v>
      </c>
      <c r="AB582" s="25">
        <v>288</v>
      </c>
      <c r="AC582" s="27"/>
      <c r="AD582" s="27"/>
      <c r="AE582" s="27"/>
      <c r="AF582" s="27"/>
      <c r="AG582" s="27"/>
      <c r="AH582" s="27"/>
      <c r="AI582" s="25">
        <v>243078</v>
      </c>
      <c r="AJ582" s="25">
        <v>175016</v>
      </c>
      <c r="AK582" s="25">
        <v>0</v>
      </c>
      <c r="AL582" s="25">
        <v>308700</v>
      </c>
      <c r="AM582" s="25">
        <v>52700</v>
      </c>
      <c r="AN582" s="25">
        <v>256000</v>
      </c>
      <c r="AO582" s="25">
        <v>0</v>
      </c>
      <c r="AP582" s="25">
        <f>Lookups!$B$56*0</f>
        <v>0</v>
      </c>
      <c r="AQ582" s="25">
        <f>Lookups!$B$56*1</f>
        <v>89850.625589999996</v>
      </c>
      <c r="AR582" s="25">
        <f>Lookups!$B$57*Inventory[[#This Row],[LnAcres]]</f>
        <v>-56090.612940989391</v>
      </c>
      <c r="AS582" s="25">
        <f>VLOOKUP(Inventory[[#This Row],[Qlty]],Lookups!$A$62:$E$75,2,FALSE)</f>
        <v>21557.329055999999</v>
      </c>
      <c r="AT582" s="25">
        <f>VLOOKUP(Inventory[[#This Row],[Cnd]],Lookups!$A$76:$E$84,2,FALSE)</f>
        <v>197752.34721000001</v>
      </c>
      <c r="AU582" s="25">
        <f>Inventory[[#This Row],[EffAge]]*Lookups!$B$85</f>
        <v>-11152.280025</v>
      </c>
      <c r="AV582" s="25">
        <f>Inventory[[#This Row],[MainFn]]*Lookups!$B$86</f>
        <v>57659.917746459003</v>
      </c>
      <c r="AW582" s="25">
        <f>Inventory[[#This Row],[UpprFn]]*Lookups!$B$87</f>
        <v>0</v>
      </c>
      <c r="AX582" s="25">
        <f>Inventory[[#This Row],[AddFn]]*Lookups!$B$88</f>
        <v>0</v>
      </c>
      <c r="AY582" s="25">
        <f>Inventory[[#This Row],[Bsmt]]*Lookups!$B$89</f>
        <v>22742.042083154</v>
      </c>
      <c r="AZ582" s="25">
        <f>Inventory[[#This Row],[Fixtures]]*Lookups!$B$90</f>
        <v>18960.110526</v>
      </c>
      <c r="BA582" s="25">
        <f>Inventory[[#This Row],[WdDeck]]*Lookups!$B$91</f>
        <v>0</v>
      </c>
      <c r="BB582" s="25">
        <f>ROUND(Inventory[[#This Row],[25Det]],-2)</f>
        <v>0</v>
      </c>
      <c r="BC582" s="25">
        <f>ROUND(SUM(Inventory[[#This Row],[Mdl Qlty]:[Mdl WdDeck]])+Inventory[[#This Row],[Mdl Res Intercept]],-2)</f>
        <v>307500</v>
      </c>
      <c r="BD582" s="25">
        <f>ROUND(Inventory[[#This Row],[Mdl Land Intercept]]+Inventory[[#This Row],[Mdl LnAcres]],-2)</f>
        <v>33800</v>
      </c>
      <c r="BE582" s="25">
        <f>Inventory[[#This Row],[Unadj Res Value]]+Inventory[[#This Row],[Unadj Det Value]]+Inventory[[#This Row],[Unadj Land Value]]</f>
        <v>341300</v>
      </c>
      <c r="BF582" s="36">
        <f>(Inventory[[#This Row],[Unadj Total Value]]-Inventory[[#This Row],[24Final]])/Inventory[[#This Row],[24Final]]</f>
        <v>0.10560414642047296</v>
      </c>
      <c r="BG582" s="25">
        <f>VLOOKUP(Inventory[[#This Row],[Nbhd]],Lookups!$Q$2:$T$4,4,FALSE)</f>
        <v>0.99970000000000003</v>
      </c>
      <c r="BH582" s="25">
        <f>VLOOKUP(Inventory[[#This Row],[Qlty]],Lookups!$O$7:$R$21,4,FALSE)</f>
        <v>1.0067999999999999</v>
      </c>
      <c r="BI582" s="25">
        <f>VLOOKUP(Inventory[[#This Row],[Cnd]],Lookups!$T$7:$W$16,4,FALSE)</f>
        <v>0.99650000000000005</v>
      </c>
      <c r="BJ582" s="25">
        <f>VLOOKUP(Inventory[[#This Row],[LivArea Range]],Lookups!$T$25:$W$37,4,FALSE)</f>
        <v>1.0157</v>
      </c>
      <c r="BK582" s="25">
        <f>VLOOKUP(Inventory[[#This Row],[Decade]],Lookups!$O$25:$R$42,4,FALSE)</f>
        <v>1.0199</v>
      </c>
      <c r="BL582" s="25">
        <f>Inventory[[#This Row],[Nbhd Adj]]*0.95</f>
        <v>0.94971499999999998</v>
      </c>
      <c r="BM582" s="25">
        <f>Inventory[[#This Row],[Nbhd Adj]]*Inventory[[#This Row],[Quality Adj]]*Inventory[[#This Row],[Condition Adj]]*Inventory[[#This Row],[Living Area Adj]]*Inventory[[#This Row],[Decade Adj]]*0.95</f>
        <v>0.98704476969641131</v>
      </c>
      <c r="BN582" s="25">
        <f>ROUND(SUM(Inventory[[#This Row],[Mdl Qlty]:[Mdl WdDeck]])+Inventory[[#This Row],[Mdl Res Intercept]]*Inventory[[#This Row],[Res Adj ]],-2)</f>
        <v>307500</v>
      </c>
      <c r="BO582" s="25">
        <f>ROUND(Inventory[[#This Row],[25Det]]*Inventory[[#This Row],[Det/Nbhd Adj]],-2)</f>
        <v>0</v>
      </c>
      <c r="BP582" s="25">
        <f>Inventory[[#This Row],[Adjusted Res]]+Inventory[[#This Row],[Adj Det ]]</f>
        <v>307500</v>
      </c>
      <c r="BQ582" s="25">
        <f>ROUND((Inventory[[#This Row],[Mdl Land Intercept]]+Inventory[[#This Row],[Mdl LnAcres]])*Inventory[[#This Row],[Det/Nbhd Adj]],-2)</f>
        <v>32100</v>
      </c>
      <c r="BR582" s="25">
        <f>Inventory[[#This Row],[Adjusted Impr Total]]+Inventory[[#This Row],[Adjusted Land Total]]</f>
        <v>339600</v>
      </c>
      <c r="BS582" s="36">
        <f>IFERROR((Inventory[[#This Row],[Adjusted Impr Total]]-Inventory[[#This Row],[24Bldg]])/Inventory[[#This Row],[24Bldg]],0)</f>
        <v>0.201171875</v>
      </c>
      <c r="BT582" s="36">
        <f>(Inventory[[#This Row],[Adjusted Land Total]]-Inventory[[#This Row],[24Lnd]])/Inventory[[#This Row],[24Lnd]]</f>
        <v>-0.39089184060721061</v>
      </c>
      <c r="BU582" s="36">
        <f>(Inventory[[#This Row],[Adjusted Total]]-Inventory[[#This Row],[24Final]])/Inventory[[#This Row],[24Final]]</f>
        <v>0.1000971817298348</v>
      </c>
    </row>
    <row r="583" spans="1:73" x14ac:dyDescent="0.3">
      <c r="A583" s="25">
        <v>2025</v>
      </c>
      <c r="B583" s="26" t="s">
        <v>2006</v>
      </c>
      <c r="C583" s="26">
        <f>LN(Inventory[[#This Row],[Acres]])</f>
        <v>-0.59783700075562041</v>
      </c>
      <c r="D583" s="25">
        <v>0.55000000000000004</v>
      </c>
      <c r="E583" s="25">
        <v>23951</v>
      </c>
      <c r="F583" s="26" t="s">
        <v>537</v>
      </c>
      <c r="G583" s="26" t="s">
        <v>126</v>
      </c>
      <c r="H583" s="26" t="s">
        <v>349</v>
      </c>
      <c r="I583" s="26" t="s">
        <v>538</v>
      </c>
      <c r="J583" s="26" t="s">
        <v>539</v>
      </c>
      <c r="K583" s="26" t="s">
        <v>241</v>
      </c>
      <c r="L583" s="26" t="s">
        <v>148</v>
      </c>
      <c r="M583" s="26" t="s">
        <v>303</v>
      </c>
      <c r="N583" s="26">
        <v>70</v>
      </c>
      <c r="O583" s="26">
        <f>2024-Inventory[[#This Row],[YrBlt]]</f>
        <v>69</v>
      </c>
      <c r="P583" s="26">
        <f>2024-Inventory[[#This Row],[EffYr]]</f>
        <v>50</v>
      </c>
      <c r="Q583" s="25">
        <v>1955</v>
      </c>
      <c r="R583" s="25">
        <v>1974</v>
      </c>
      <c r="S583" s="25">
        <v>1536</v>
      </c>
      <c r="T583" s="27"/>
      <c r="U583" s="32">
        <v>1536</v>
      </c>
      <c r="V583" s="32">
        <f>Inventory[[#This Row],[Bsmt]]-Inventory[[#This Row],[FnBsmt]]</f>
        <v>1536</v>
      </c>
      <c r="W583" s="27"/>
      <c r="X583" s="27"/>
      <c r="Y583" s="27">
        <f>Inventory[[#This Row],[MainFn]]+Inventory[[#This Row],[UpprFn]]+Inventory[[#This Row],[FnBsmt]]+Inventory[[#This Row],[AddFn]]</f>
        <v>1536</v>
      </c>
      <c r="Z583" s="27">
        <v>2000</v>
      </c>
      <c r="AA583" s="25">
        <v>8</v>
      </c>
      <c r="AB583" s="27"/>
      <c r="AC583" s="27"/>
      <c r="AD583" s="32">
        <v>120</v>
      </c>
      <c r="AE583" s="27"/>
      <c r="AF583" s="27"/>
      <c r="AG583" s="27"/>
      <c r="AH583" s="27"/>
      <c r="AI583" s="25">
        <v>423557</v>
      </c>
      <c r="AJ583" s="25">
        <v>304961</v>
      </c>
      <c r="AK583" s="25">
        <v>13364</v>
      </c>
      <c r="AL583" s="25">
        <v>426600</v>
      </c>
      <c r="AM583" s="25">
        <v>93700</v>
      </c>
      <c r="AN583" s="25">
        <v>332900</v>
      </c>
      <c r="AO583" s="25">
        <v>0</v>
      </c>
      <c r="AP583" s="25">
        <f>Lookups!$B$56*0</f>
        <v>0</v>
      </c>
      <c r="AQ583" s="25">
        <f>Lookups!$B$56*1</f>
        <v>89850.625589999996</v>
      </c>
      <c r="AR583" s="25">
        <f>Lookups!$B$57*Inventory[[#This Row],[LnAcres]]</f>
        <v>-18924.300534671092</v>
      </c>
      <c r="AS583" s="25">
        <f>VLOOKUP(Inventory[[#This Row],[Qlty]],Lookups!$A$62:$E$75,2,FALSE)</f>
        <v>44121.038090000002</v>
      </c>
      <c r="AT583" s="25">
        <f>VLOOKUP(Inventory[[#This Row],[Cnd]],Lookups!$A$76:$E$84,2,FALSE)</f>
        <v>197752.34721000001</v>
      </c>
      <c r="AU583" s="25">
        <f>Inventory[[#This Row],[EffAge]]*Lookups!$B$85</f>
        <v>-11152.280025</v>
      </c>
      <c r="AV583" s="25">
        <f>Inventory[[#This Row],[MainFn]]*Lookups!$B$86</f>
        <v>75891.716931072006</v>
      </c>
      <c r="AW583" s="25">
        <f>Inventory[[#This Row],[UpprFn]]*Lookups!$B$87</f>
        <v>0</v>
      </c>
      <c r="AX583" s="25">
        <f>Inventory[[#This Row],[AddFn]]*Lookups!$B$88</f>
        <v>0</v>
      </c>
      <c r="AY583" s="25">
        <f>Inventory[[#This Row],[Bsmt]]*Lookups!$B$89</f>
        <v>44669.791099391994</v>
      </c>
      <c r="AZ583" s="25">
        <f>Inventory[[#This Row],[Fixtures]]*Lookups!$B$90</f>
        <v>30336.176841600001</v>
      </c>
      <c r="BA583" s="25">
        <f>Inventory[[#This Row],[WdDeck]]*Lookups!$B$91</f>
        <v>3995.4618331200004</v>
      </c>
      <c r="BB583" s="25">
        <f>ROUND(Inventory[[#This Row],[25Det]],-2)</f>
        <v>13400</v>
      </c>
      <c r="BC583" s="25">
        <f>ROUND(SUM(Inventory[[#This Row],[Mdl Qlty]:[Mdl WdDeck]])+Inventory[[#This Row],[Mdl Res Intercept]],-2)</f>
        <v>385600</v>
      </c>
      <c r="BD583" s="25">
        <f>ROUND(Inventory[[#This Row],[Mdl Land Intercept]]+Inventory[[#This Row],[Mdl LnAcres]],-2)</f>
        <v>70900</v>
      </c>
      <c r="BE583" s="25">
        <f>Inventory[[#This Row],[Unadj Res Value]]+Inventory[[#This Row],[Unadj Det Value]]+Inventory[[#This Row],[Unadj Land Value]]</f>
        <v>469900</v>
      </c>
      <c r="BF583" s="36">
        <f>(Inventory[[#This Row],[Unadj Total Value]]-Inventory[[#This Row],[24Final]])/Inventory[[#This Row],[24Final]]</f>
        <v>0.10150023441162681</v>
      </c>
      <c r="BG583" s="25">
        <f>VLOOKUP(Inventory[[#This Row],[Nbhd]],Lookups!$Q$2:$T$4,4,FALSE)</f>
        <v>0.99970000000000003</v>
      </c>
      <c r="BH583" s="25">
        <f>VLOOKUP(Inventory[[#This Row],[Qlty]],Lookups!$O$7:$R$21,4,FALSE)</f>
        <v>0.98050000000000004</v>
      </c>
      <c r="BI583" s="25">
        <f>VLOOKUP(Inventory[[#This Row],[Cnd]],Lookups!$T$7:$W$16,4,FALSE)</f>
        <v>0.99650000000000005</v>
      </c>
      <c r="BJ583" s="25">
        <f>VLOOKUP(Inventory[[#This Row],[LivArea Range]],Lookups!$T$25:$W$37,4,FALSE)</f>
        <v>1.0093000000000001</v>
      </c>
      <c r="BK583" s="25">
        <f>VLOOKUP(Inventory[[#This Row],[Decade]],Lookups!$O$25:$R$42,4,FALSE)</f>
        <v>1.0199</v>
      </c>
      <c r="BL583" s="25">
        <f>Inventory[[#This Row],[Nbhd Adj]]*0.95</f>
        <v>0.94971499999999998</v>
      </c>
      <c r="BM583" s="25">
        <f>Inventory[[#This Row],[Nbhd Adj]]*Inventory[[#This Row],[Quality Adj]]*Inventory[[#This Row],[Condition Adj]]*Inventory[[#This Row],[Living Area Adj]]*Inventory[[#This Row],[Decade Adj]]*0.95</f>
        <v>0.95520384832633376</v>
      </c>
      <c r="BN583" s="25">
        <f>ROUND(SUM(Inventory[[#This Row],[Mdl Qlty]:[Mdl WdDeck]])+Inventory[[#This Row],[Mdl Res Intercept]]*Inventory[[#This Row],[Res Adj ]],-2)</f>
        <v>385600</v>
      </c>
      <c r="BO583" s="25">
        <f>ROUND(Inventory[[#This Row],[25Det]]*Inventory[[#This Row],[Det/Nbhd Adj]],-2)</f>
        <v>12700</v>
      </c>
      <c r="BP583" s="25">
        <f>Inventory[[#This Row],[Adjusted Res]]+Inventory[[#This Row],[Adj Det ]]</f>
        <v>398300</v>
      </c>
      <c r="BQ583" s="25">
        <f>ROUND((Inventory[[#This Row],[Mdl Land Intercept]]+Inventory[[#This Row],[Mdl LnAcres]])*Inventory[[#This Row],[Det/Nbhd Adj]],-2)</f>
        <v>67400</v>
      </c>
      <c r="BR583" s="25">
        <f>Inventory[[#This Row],[Adjusted Impr Total]]+Inventory[[#This Row],[Adjusted Land Total]]</f>
        <v>465700</v>
      </c>
      <c r="BS583" s="36">
        <f>IFERROR((Inventory[[#This Row],[Adjusted Impr Total]]-Inventory[[#This Row],[24Bldg]])/Inventory[[#This Row],[24Bldg]],0)</f>
        <v>0.19645539200961248</v>
      </c>
      <c r="BT583" s="36">
        <f>(Inventory[[#This Row],[Adjusted Land Total]]-Inventory[[#This Row],[24Lnd]])/Inventory[[#This Row],[24Lnd]]</f>
        <v>-0.28068303094983993</v>
      </c>
      <c r="BU583" s="36">
        <f>(Inventory[[#This Row],[Adjusted Total]]-Inventory[[#This Row],[24Final]])/Inventory[[#This Row],[24Final]]</f>
        <v>9.1654946085325831E-2</v>
      </c>
    </row>
    <row r="584" spans="1:73" x14ac:dyDescent="0.3">
      <c r="A584" s="25">
        <v>2025</v>
      </c>
      <c r="B584" s="26" t="s">
        <v>862</v>
      </c>
      <c r="C584" s="26">
        <f>LN(Inventory[[#This Row],[Acres]])</f>
        <v>-1.8971199848858813</v>
      </c>
      <c r="D584" s="25">
        <v>0.15</v>
      </c>
      <c r="E584" s="25">
        <v>6636</v>
      </c>
      <c r="F584" s="26" t="s">
        <v>537</v>
      </c>
      <c r="G584" s="26" t="s">
        <v>126</v>
      </c>
      <c r="H584" s="26" t="s">
        <v>349</v>
      </c>
      <c r="I584" s="26" t="s">
        <v>538</v>
      </c>
      <c r="J584" s="26" t="s">
        <v>539</v>
      </c>
      <c r="K584" s="26" t="s">
        <v>241</v>
      </c>
      <c r="L584" s="26" t="s">
        <v>351</v>
      </c>
      <c r="M584" s="26" t="s">
        <v>303</v>
      </c>
      <c r="N584" s="26">
        <v>70</v>
      </c>
      <c r="O584" s="26">
        <f>2024-Inventory[[#This Row],[YrBlt]]</f>
        <v>69</v>
      </c>
      <c r="P584" s="26">
        <f>2024-Inventory[[#This Row],[EffYr]]</f>
        <v>50</v>
      </c>
      <c r="Q584" s="25">
        <v>1955</v>
      </c>
      <c r="R584" s="25">
        <v>1974</v>
      </c>
      <c r="S584" s="25">
        <v>1200</v>
      </c>
      <c r="T584" s="27"/>
      <c r="U584" s="31"/>
      <c r="V584" s="31">
        <f>Inventory[[#This Row],[Bsmt]]-Inventory[[#This Row],[FnBsmt]]</f>
        <v>0</v>
      </c>
      <c r="W584" s="31"/>
      <c r="X584" s="27"/>
      <c r="Y584" s="27">
        <f>Inventory[[#This Row],[MainFn]]+Inventory[[#This Row],[UpprFn]]+Inventory[[#This Row],[FnBsmt]]+Inventory[[#This Row],[AddFn]]</f>
        <v>1200</v>
      </c>
      <c r="Z584" s="27">
        <v>1500</v>
      </c>
      <c r="AA584" s="25">
        <v>5</v>
      </c>
      <c r="AB584" s="27"/>
      <c r="AC584" s="31"/>
      <c r="AD584" s="31"/>
      <c r="AE584" s="27"/>
      <c r="AF584" s="27"/>
      <c r="AG584" s="27"/>
      <c r="AH584" s="27"/>
      <c r="AI584" s="25">
        <v>192581</v>
      </c>
      <c r="AJ584" s="25">
        <v>138658</v>
      </c>
      <c r="AK584" s="25">
        <v>6050</v>
      </c>
      <c r="AL584" s="25">
        <v>293700</v>
      </c>
      <c r="AM584" s="25">
        <v>48400</v>
      </c>
      <c r="AN584" s="25">
        <v>245300</v>
      </c>
      <c r="AO584" s="25">
        <v>0</v>
      </c>
      <c r="AP584" s="25">
        <f>Lookups!$B$56*0</f>
        <v>0</v>
      </c>
      <c r="AQ584" s="25">
        <f>Lookups!$B$56*1</f>
        <v>89850.625589999996</v>
      </c>
      <c r="AR584" s="25">
        <f>Lookups!$B$57*Inventory[[#This Row],[LnAcres]]</f>
        <v>-60052.604136134301</v>
      </c>
      <c r="AS584" s="25">
        <f>VLOOKUP(Inventory[[#This Row],[Qlty]],Lookups!$A$62:$E$75,2,FALSE)</f>
        <v>21557.329055999999</v>
      </c>
      <c r="AT584" s="25">
        <f>VLOOKUP(Inventory[[#This Row],[Cnd]],Lookups!$A$76:$E$84,2,FALSE)</f>
        <v>197752.34721000001</v>
      </c>
      <c r="AU584" s="25">
        <f>Inventory[[#This Row],[EffAge]]*Lookups!$B$85</f>
        <v>-11152.280025</v>
      </c>
      <c r="AV584" s="25">
        <f>Inventory[[#This Row],[MainFn]]*Lookups!$B$86</f>
        <v>59290.403852399999</v>
      </c>
      <c r="AW584" s="25">
        <f>Inventory[[#This Row],[UpprFn]]*Lookups!$B$87</f>
        <v>0</v>
      </c>
      <c r="AX584" s="25">
        <f>Inventory[[#This Row],[AddFn]]*Lookups!$B$88</f>
        <v>0</v>
      </c>
      <c r="AY584" s="25">
        <f>Inventory[[#This Row],[Bsmt]]*Lookups!$B$89</f>
        <v>0</v>
      </c>
      <c r="AZ584" s="25">
        <f>Inventory[[#This Row],[Fixtures]]*Lookups!$B$90</f>
        <v>18960.110526</v>
      </c>
      <c r="BA584" s="25">
        <f>Inventory[[#This Row],[WdDeck]]*Lookups!$B$91</f>
        <v>0</v>
      </c>
      <c r="BB584" s="25">
        <f>ROUND(Inventory[[#This Row],[25Det]],-2)</f>
        <v>6100</v>
      </c>
      <c r="BC584" s="25">
        <f>ROUND(SUM(Inventory[[#This Row],[Mdl Qlty]:[Mdl WdDeck]])+Inventory[[#This Row],[Mdl Res Intercept]],-2)</f>
        <v>286400</v>
      </c>
      <c r="BD584" s="25">
        <f>ROUND(Inventory[[#This Row],[Mdl Land Intercept]]+Inventory[[#This Row],[Mdl LnAcres]],-2)</f>
        <v>29800</v>
      </c>
      <c r="BE584" s="25">
        <f>Inventory[[#This Row],[Unadj Res Value]]+Inventory[[#This Row],[Unadj Det Value]]+Inventory[[#This Row],[Unadj Land Value]]</f>
        <v>322300</v>
      </c>
      <c r="BF584" s="36">
        <f>(Inventory[[#This Row],[Unadj Total Value]]-Inventory[[#This Row],[24Final]])/Inventory[[#This Row],[24Final]]</f>
        <v>9.7378277153558054E-2</v>
      </c>
      <c r="BG584" s="25">
        <f>VLOOKUP(Inventory[[#This Row],[Nbhd]],Lookups!$Q$2:$T$4,4,FALSE)</f>
        <v>0.99970000000000003</v>
      </c>
      <c r="BH584" s="25">
        <f>VLOOKUP(Inventory[[#This Row],[Qlty]],Lookups!$O$7:$R$21,4,FALSE)</f>
        <v>1.0067999999999999</v>
      </c>
      <c r="BI584" s="25">
        <f>VLOOKUP(Inventory[[#This Row],[Cnd]],Lookups!$T$7:$W$16,4,FALSE)</f>
        <v>0.99650000000000005</v>
      </c>
      <c r="BJ584" s="25">
        <f>VLOOKUP(Inventory[[#This Row],[LivArea Range]],Lookups!$T$25:$W$37,4,FALSE)</f>
        <v>1.0157</v>
      </c>
      <c r="BK584" s="25">
        <f>VLOOKUP(Inventory[[#This Row],[Decade]],Lookups!$O$25:$R$42,4,FALSE)</f>
        <v>1.0199</v>
      </c>
      <c r="BL584" s="25">
        <f>Inventory[[#This Row],[Nbhd Adj]]*0.95</f>
        <v>0.94971499999999998</v>
      </c>
      <c r="BM584" s="25">
        <f>Inventory[[#This Row],[Nbhd Adj]]*Inventory[[#This Row],[Quality Adj]]*Inventory[[#This Row],[Condition Adj]]*Inventory[[#This Row],[Living Area Adj]]*Inventory[[#This Row],[Decade Adj]]*0.95</f>
        <v>0.98704476969641131</v>
      </c>
      <c r="BN584" s="25">
        <f>ROUND(SUM(Inventory[[#This Row],[Mdl Qlty]:[Mdl WdDeck]])+Inventory[[#This Row],[Mdl Res Intercept]]*Inventory[[#This Row],[Res Adj ]],-2)</f>
        <v>286400</v>
      </c>
      <c r="BO584" s="25">
        <f>ROUND(Inventory[[#This Row],[25Det]]*Inventory[[#This Row],[Det/Nbhd Adj]],-2)</f>
        <v>5700</v>
      </c>
      <c r="BP584" s="25">
        <f>Inventory[[#This Row],[Adjusted Res]]+Inventory[[#This Row],[Adj Det ]]</f>
        <v>292100</v>
      </c>
      <c r="BQ584" s="25">
        <f>ROUND((Inventory[[#This Row],[Mdl Land Intercept]]+Inventory[[#This Row],[Mdl LnAcres]])*Inventory[[#This Row],[Det/Nbhd Adj]],-2)</f>
        <v>28300</v>
      </c>
      <c r="BR584" s="25">
        <f>Inventory[[#This Row],[Adjusted Impr Total]]+Inventory[[#This Row],[Adjusted Land Total]]</f>
        <v>320400</v>
      </c>
      <c r="BS584" s="36">
        <f>IFERROR((Inventory[[#This Row],[Adjusted Impr Total]]-Inventory[[#This Row],[24Bldg]])/Inventory[[#This Row],[24Bldg]],0)</f>
        <v>0.19078679168365267</v>
      </c>
      <c r="BT584" s="36">
        <f>(Inventory[[#This Row],[Adjusted Land Total]]-Inventory[[#This Row],[24Lnd]])/Inventory[[#This Row],[24Lnd]]</f>
        <v>-0.41528925619834711</v>
      </c>
      <c r="BU584" s="36">
        <f>(Inventory[[#This Row],[Adjusted Total]]-Inventory[[#This Row],[24Final]])/Inventory[[#This Row],[24Final]]</f>
        <v>9.0909090909090912E-2</v>
      </c>
    </row>
    <row r="585" spans="1:73" x14ac:dyDescent="0.3">
      <c r="A585" s="25">
        <v>2025</v>
      </c>
      <c r="B585" s="26" t="s">
        <v>864</v>
      </c>
      <c r="C585" s="26">
        <f>LN(Inventory[[#This Row],[Acres]])</f>
        <v>-1.8971199848858813</v>
      </c>
      <c r="D585" s="25">
        <v>0.15</v>
      </c>
      <c r="E585" s="32">
        <v>6532</v>
      </c>
      <c r="F585" s="26" t="s">
        <v>537</v>
      </c>
      <c r="G585" s="26" t="s">
        <v>126</v>
      </c>
      <c r="H585" s="26" t="s">
        <v>349</v>
      </c>
      <c r="I585" s="26" t="s">
        <v>538</v>
      </c>
      <c r="J585" s="26" t="s">
        <v>539</v>
      </c>
      <c r="K585" s="26" t="s">
        <v>241</v>
      </c>
      <c r="L585" s="26" t="s">
        <v>351</v>
      </c>
      <c r="M585" s="26" t="s">
        <v>303</v>
      </c>
      <c r="N585" s="26">
        <v>70</v>
      </c>
      <c r="O585" s="26">
        <f>2024-Inventory[[#This Row],[YrBlt]]</f>
        <v>69</v>
      </c>
      <c r="P585" s="26">
        <f>2024-Inventory[[#This Row],[EffYr]]</f>
        <v>50</v>
      </c>
      <c r="Q585" s="25">
        <v>1955</v>
      </c>
      <c r="R585" s="25">
        <v>1974</v>
      </c>
      <c r="S585" s="25">
        <v>1064</v>
      </c>
      <c r="T585" s="27"/>
      <c r="U585" s="31"/>
      <c r="V585" s="31">
        <f>Inventory[[#This Row],[Bsmt]]-Inventory[[#This Row],[FnBsmt]]</f>
        <v>0</v>
      </c>
      <c r="W585" s="31"/>
      <c r="X585" s="27"/>
      <c r="Y585" s="27">
        <f>Inventory[[#This Row],[MainFn]]+Inventory[[#This Row],[UpprFn]]+Inventory[[#This Row],[FnBsmt]]+Inventory[[#This Row],[AddFn]]</f>
        <v>1064</v>
      </c>
      <c r="Z585" s="27">
        <v>1500</v>
      </c>
      <c r="AA585" s="25">
        <v>5</v>
      </c>
      <c r="AB585" s="27"/>
      <c r="AC585" s="31"/>
      <c r="AD585" s="27"/>
      <c r="AE585" s="27"/>
      <c r="AF585" s="27"/>
      <c r="AG585" s="27"/>
      <c r="AH585" s="27"/>
      <c r="AI585" s="25">
        <v>180312</v>
      </c>
      <c r="AJ585" s="25">
        <v>129825</v>
      </c>
      <c r="AK585" s="25">
        <v>5261</v>
      </c>
      <c r="AL585" s="25">
        <v>287500</v>
      </c>
      <c r="AM585" s="25">
        <v>48400</v>
      </c>
      <c r="AN585" s="25">
        <v>239100</v>
      </c>
      <c r="AO585" s="25">
        <v>0</v>
      </c>
      <c r="AP585" s="25">
        <f>Lookups!$B$56*0</f>
        <v>0</v>
      </c>
      <c r="AQ585" s="25">
        <f>Lookups!$B$56*1</f>
        <v>89850.625589999996</v>
      </c>
      <c r="AR585" s="25">
        <f>Lookups!$B$57*Inventory[[#This Row],[LnAcres]]</f>
        <v>-60052.604136134301</v>
      </c>
      <c r="AS585" s="25">
        <f>VLOOKUP(Inventory[[#This Row],[Qlty]],Lookups!$A$62:$E$75,2,FALSE)</f>
        <v>21557.329055999999</v>
      </c>
      <c r="AT585" s="25">
        <f>VLOOKUP(Inventory[[#This Row],[Cnd]],Lookups!$A$76:$E$84,2,FALSE)</f>
        <v>197752.34721000001</v>
      </c>
      <c r="AU585" s="25">
        <f>Inventory[[#This Row],[EffAge]]*Lookups!$B$85</f>
        <v>-11152.280025</v>
      </c>
      <c r="AV585" s="25">
        <f>Inventory[[#This Row],[MainFn]]*Lookups!$B$86</f>
        <v>52570.824749127998</v>
      </c>
      <c r="AW585" s="25">
        <f>Inventory[[#This Row],[UpprFn]]*Lookups!$B$87</f>
        <v>0</v>
      </c>
      <c r="AX585" s="25">
        <f>Inventory[[#This Row],[AddFn]]*Lookups!$B$88</f>
        <v>0</v>
      </c>
      <c r="AY585" s="25">
        <f>Inventory[[#This Row],[Bsmt]]*Lookups!$B$89</f>
        <v>0</v>
      </c>
      <c r="AZ585" s="25">
        <f>Inventory[[#This Row],[Fixtures]]*Lookups!$B$90</f>
        <v>18960.110526</v>
      </c>
      <c r="BA585" s="25">
        <f>Inventory[[#This Row],[WdDeck]]*Lookups!$B$91</f>
        <v>0</v>
      </c>
      <c r="BB585" s="25">
        <f>ROUND(Inventory[[#This Row],[25Det]],-2)</f>
        <v>5300</v>
      </c>
      <c r="BC585" s="25">
        <f>ROUND(SUM(Inventory[[#This Row],[Mdl Qlty]:[Mdl WdDeck]])+Inventory[[#This Row],[Mdl Res Intercept]],-2)</f>
        <v>279700</v>
      </c>
      <c r="BD585" s="25">
        <f>ROUND(Inventory[[#This Row],[Mdl Land Intercept]]+Inventory[[#This Row],[Mdl LnAcres]],-2)</f>
        <v>29800</v>
      </c>
      <c r="BE585" s="25">
        <f>Inventory[[#This Row],[Unadj Res Value]]+Inventory[[#This Row],[Unadj Det Value]]+Inventory[[#This Row],[Unadj Land Value]]</f>
        <v>314800</v>
      </c>
      <c r="BF585" s="36">
        <f>(Inventory[[#This Row],[Unadj Total Value]]-Inventory[[#This Row],[24Final]])/Inventory[[#This Row],[24Final]]</f>
        <v>9.4956521739130439E-2</v>
      </c>
      <c r="BG585" s="25">
        <f>VLOOKUP(Inventory[[#This Row],[Nbhd]],Lookups!$Q$2:$T$4,4,FALSE)</f>
        <v>0.99970000000000003</v>
      </c>
      <c r="BH585" s="25">
        <f>VLOOKUP(Inventory[[#This Row],[Qlty]],Lookups!$O$7:$R$21,4,FALSE)</f>
        <v>1.0067999999999999</v>
      </c>
      <c r="BI585" s="25">
        <f>VLOOKUP(Inventory[[#This Row],[Cnd]],Lookups!$T$7:$W$16,4,FALSE)</f>
        <v>0.99650000000000005</v>
      </c>
      <c r="BJ585" s="25">
        <f>VLOOKUP(Inventory[[#This Row],[LivArea Range]],Lookups!$T$25:$W$37,4,FALSE)</f>
        <v>1.0157</v>
      </c>
      <c r="BK585" s="25">
        <f>VLOOKUP(Inventory[[#This Row],[Decade]],Lookups!$O$25:$R$42,4,FALSE)</f>
        <v>1.0199</v>
      </c>
      <c r="BL585" s="25">
        <f>Inventory[[#This Row],[Nbhd Adj]]*0.95</f>
        <v>0.94971499999999998</v>
      </c>
      <c r="BM585" s="25">
        <f>Inventory[[#This Row],[Nbhd Adj]]*Inventory[[#This Row],[Quality Adj]]*Inventory[[#This Row],[Condition Adj]]*Inventory[[#This Row],[Living Area Adj]]*Inventory[[#This Row],[Decade Adj]]*0.95</f>
        <v>0.98704476969641131</v>
      </c>
      <c r="BN585" s="25">
        <f>ROUND(SUM(Inventory[[#This Row],[Mdl Qlty]:[Mdl WdDeck]])+Inventory[[#This Row],[Mdl Res Intercept]]*Inventory[[#This Row],[Res Adj ]],-2)</f>
        <v>279700</v>
      </c>
      <c r="BO585" s="25">
        <f>ROUND(Inventory[[#This Row],[25Det]]*Inventory[[#This Row],[Det/Nbhd Adj]],-2)</f>
        <v>5000</v>
      </c>
      <c r="BP585" s="25">
        <f>Inventory[[#This Row],[Adjusted Res]]+Inventory[[#This Row],[Adj Det ]]</f>
        <v>284700</v>
      </c>
      <c r="BQ585" s="25">
        <f>ROUND((Inventory[[#This Row],[Mdl Land Intercept]]+Inventory[[#This Row],[Mdl LnAcres]])*Inventory[[#This Row],[Det/Nbhd Adj]],-2)</f>
        <v>28300</v>
      </c>
      <c r="BR585" s="25">
        <f>Inventory[[#This Row],[Adjusted Impr Total]]+Inventory[[#This Row],[Adjusted Land Total]]</f>
        <v>313000</v>
      </c>
      <c r="BS585" s="36">
        <f>IFERROR((Inventory[[#This Row],[Adjusted Impr Total]]-Inventory[[#This Row],[24Bldg]])/Inventory[[#This Row],[24Bldg]],0)</f>
        <v>0.19071518193224593</v>
      </c>
      <c r="BT585" s="36">
        <f>(Inventory[[#This Row],[Adjusted Land Total]]-Inventory[[#This Row],[24Lnd]])/Inventory[[#This Row],[24Lnd]]</f>
        <v>-0.41528925619834711</v>
      </c>
      <c r="BU585" s="36">
        <f>(Inventory[[#This Row],[Adjusted Total]]-Inventory[[#This Row],[24Final]])/Inventory[[#This Row],[24Final]]</f>
        <v>8.8695652173913037E-2</v>
      </c>
    </row>
    <row r="586" spans="1:73" x14ac:dyDescent="0.3">
      <c r="A586" s="25">
        <v>2025</v>
      </c>
      <c r="B586" s="26" t="s">
        <v>1816</v>
      </c>
      <c r="C586" s="26">
        <f>LN(Inventory[[#This Row],[Acres]])</f>
        <v>-1.1394342831883648</v>
      </c>
      <c r="D586" s="25">
        <v>0.32</v>
      </c>
      <c r="E586" s="25">
        <v>14000</v>
      </c>
      <c r="F586" s="26" t="s">
        <v>537</v>
      </c>
      <c r="G586" s="26" t="s">
        <v>126</v>
      </c>
      <c r="H586" s="26" t="s">
        <v>349</v>
      </c>
      <c r="I586" s="26" t="s">
        <v>538</v>
      </c>
      <c r="J586" s="26" t="s">
        <v>539</v>
      </c>
      <c r="K586" s="26" t="s">
        <v>300</v>
      </c>
      <c r="L586" s="26" t="s">
        <v>148</v>
      </c>
      <c r="M586" s="26" t="s">
        <v>303</v>
      </c>
      <c r="N586" s="26">
        <v>70</v>
      </c>
      <c r="O586" s="26">
        <f>2024-Inventory[[#This Row],[YrBlt]]</f>
        <v>69</v>
      </c>
      <c r="P586" s="26">
        <f>2024-Inventory[[#This Row],[EffYr]]</f>
        <v>50</v>
      </c>
      <c r="Q586" s="25">
        <v>1955</v>
      </c>
      <c r="R586" s="25">
        <v>1974</v>
      </c>
      <c r="S586" s="25">
        <v>1985</v>
      </c>
      <c r="T586" s="27"/>
      <c r="U586" s="25">
        <v>1055</v>
      </c>
      <c r="V586" s="25">
        <f>Inventory[[#This Row],[Bsmt]]-Inventory[[#This Row],[FnBsmt]]</f>
        <v>1055</v>
      </c>
      <c r="W586" s="31"/>
      <c r="X586" s="27"/>
      <c r="Y586" s="27">
        <f>Inventory[[#This Row],[MainFn]]+Inventory[[#This Row],[UpprFn]]+Inventory[[#This Row],[FnBsmt]]+Inventory[[#This Row],[AddFn]]</f>
        <v>1985</v>
      </c>
      <c r="Z586" s="27">
        <v>2000</v>
      </c>
      <c r="AA586" s="25">
        <v>7</v>
      </c>
      <c r="AB586" s="32">
        <v>500</v>
      </c>
      <c r="AC586" s="31"/>
      <c r="AD586" s="27"/>
      <c r="AE586" s="27"/>
      <c r="AF586" s="27"/>
      <c r="AG586" s="27"/>
      <c r="AH586" s="27"/>
      <c r="AI586" s="25">
        <v>460058</v>
      </c>
      <c r="AJ586" s="25">
        <v>331242</v>
      </c>
      <c r="AK586" s="25">
        <v>1012</v>
      </c>
      <c r="AL586" s="25">
        <v>402600</v>
      </c>
      <c r="AM586" s="25">
        <v>74800</v>
      </c>
      <c r="AN586" s="25">
        <v>327800</v>
      </c>
      <c r="AO586" s="25">
        <v>0</v>
      </c>
      <c r="AP586" s="25">
        <f>Lookups!$B$56*0</f>
        <v>0</v>
      </c>
      <c r="AQ586" s="25">
        <f>Lookups!$B$56*1</f>
        <v>89850.625589999996</v>
      </c>
      <c r="AR586" s="25">
        <f>Lookups!$B$57*Inventory[[#This Row],[LnAcres]]</f>
        <v>-36068.354396449467</v>
      </c>
      <c r="AS586" s="25">
        <f>VLOOKUP(Inventory[[#This Row],[Qlty]],Lookups!$A$62:$E$75,2,FALSE)</f>
        <v>44121.038090000002</v>
      </c>
      <c r="AT586" s="25">
        <f>VLOOKUP(Inventory[[#This Row],[Cnd]],Lookups!$A$76:$E$84,2,FALSE)</f>
        <v>197752.34721000001</v>
      </c>
      <c r="AU586" s="25">
        <f>Inventory[[#This Row],[EffAge]]*Lookups!$B$85</f>
        <v>-11152.280025</v>
      </c>
      <c r="AV586" s="25">
        <f>Inventory[[#This Row],[MainFn]]*Lookups!$B$86</f>
        <v>98076.209705845002</v>
      </c>
      <c r="AW586" s="25">
        <f>Inventory[[#This Row],[UpprFn]]*Lookups!$B$87</f>
        <v>0</v>
      </c>
      <c r="AX586" s="25">
        <f>Inventory[[#This Row],[AddFn]]*Lookups!$B$88</f>
        <v>0</v>
      </c>
      <c r="AY586" s="25">
        <f>Inventory[[#This Row],[Bsmt]]*Lookups!$B$89</f>
        <v>30681.399485585</v>
      </c>
      <c r="AZ586" s="25">
        <f>Inventory[[#This Row],[Fixtures]]*Lookups!$B$90</f>
        <v>26544.1547364</v>
      </c>
      <c r="BA586" s="25">
        <f>Inventory[[#This Row],[WdDeck]]*Lookups!$B$91</f>
        <v>0</v>
      </c>
      <c r="BB586" s="25">
        <f>ROUND(Inventory[[#This Row],[25Det]],-2)</f>
        <v>1000</v>
      </c>
      <c r="BC586" s="25">
        <f>ROUND(SUM(Inventory[[#This Row],[Mdl Qlty]:[Mdl WdDeck]])+Inventory[[#This Row],[Mdl Res Intercept]],-2)</f>
        <v>386000</v>
      </c>
      <c r="BD586" s="25">
        <f>ROUND(Inventory[[#This Row],[Mdl Land Intercept]]+Inventory[[#This Row],[Mdl LnAcres]],-2)</f>
        <v>53800</v>
      </c>
      <c r="BE586" s="25">
        <f>Inventory[[#This Row],[Unadj Res Value]]+Inventory[[#This Row],[Unadj Det Value]]+Inventory[[#This Row],[Unadj Land Value]]</f>
        <v>440800</v>
      </c>
      <c r="BF586" s="36">
        <f>(Inventory[[#This Row],[Unadj Total Value]]-Inventory[[#This Row],[24Final]])/Inventory[[#This Row],[24Final]]</f>
        <v>9.4883258817685043E-2</v>
      </c>
      <c r="BG586" s="25">
        <f>VLOOKUP(Inventory[[#This Row],[Nbhd]],Lookups!$Q$2:$T$4,4,FALSE)</f>
        <v>0.99970000000000003</v>
      </c>
      <c r="BH586" s="25">
        <f>VLOOKUP(Inventory[[#This Row],[Qlty]],Lookups!$O$7:$R$21,4,FALSE)</f>
        <v>0.98050000000000004</v>
      </c>
      <c r="BI586" s="25">
        <f>VLOOKUP(Inventory[[#This Row],[Cnd]],Lookups!$T$7:$W$16,4,FALSE)</f>
        <v>0.99650000000000005</v>
      </c>
      <c r="BJ586" s="25">
        <f>VLOOKUP(Inventory[[#This Row],[LivArea Range]],Lookups!$T$25:$W$37,4,FALSE)</f>
        <v>1.0093000000000001</v>
      </c>
      <c r="BK586" s="25">
        <f>VLOOKUP(Inventory[[#This Row],[Decade]],Lookups!$O$25:$R$42,4,FALSE)</f>
        <v>1.0199</v>
      </c>
      <c r="BL586" s="25">
        <f>Inventory[[#This Row],[Nbhd Adj]]*0.95</f>
        <v>0.94971499999999998</v>
      </c>
      <c r="BM586" s="25">
        <f>Inventory[[#This Row],[Nbhd Adj]]*Inventory[[#This Row],[Quality Adj]]*Inventory[[#This Row],[Condition Adj]]*Inventory[[#This Row],[Living Area Adj]]*Inventory[[#This Row],[Decade Adj]]*0.95</f>
        <v>0.95520384832633376</v>
      </c>
      <c r="BN586" s="25">
        <f>ROUND(SUM(Inventory[[#This Row],[Mdl Qlty]:[Mdl WdDeck]])+Inventory[[#This Row],[Mdl Res Intercept]]*Inventory[[#This Row],[Res Adj ]],-2)</f>
        <v>386000</v>
      </c>
      <c r="BO586" s="25">
        <f>ROUND(Inventory[[#This Row],[25Det]]*Inventory[[#This Row],[Det/Nbhd Adj]],-2)</f>
        <v>1000</v>
      </c>
      <c r="BP586" s="25">
        <f>Inventory[[#This Row],[Adjusted Res]]+Inventory[[#This Row],[Adj Det ]]</f>
        <v>387000</v>
      </c>
      <c r="BQ586" s="25">
        <f>ROUND((Inventory[[#This Row],[Mdl Land Intercept]]+Inventory[[#This Row],[Mdl LnAcres]])*Inventory[[#This Row],[Det/Nbhd Adj]],-2)</f>
        <v>51100</v>
      </c>
      <c r="BR586" s="25">
        <f>Inventory[[#This Row],[Adjusted Impr Total]]+Inventory[[#This Row],[Adjusted Land Total]]</f>
        <v>438100</v>
      </c>
      <c r="BS586" s="36">
        <f>IFERROR((Inventory[[#This Row],[Adjusted Impr Total]]-Inventory[[#This Row],[24Bldg]])/Inventory[[#This Row],[24Bldg]],0)</f>
        <v>0.18059792556436852</v>
      </c>
      <c r="BT586" s="36">
        <f>(Inventory[[#This Row],[Adjusted Land Total]]-Inventory[[#This Row],[24Lnd]])/Inventory[[#This Row],[24Lnd]]</f>
        <v>-0.31684491978609625</v>
      </c>
      <c r="BU586" s="36">
        <f>(Inventory[[#This Row],[Adjusted Total]]-Inventory[[#This Row],[24Final]])/Inventory[[#This Row],[24Final]]</f>
        <v>8.8176850471932439E-2</v>
      </c>
    </row>
    <row r="587" spans="1:73" x14ac:dyDescent="0.3">
      <c r="A587" s="25">
        <v>2025</v>
      </c>
      <c r="B587" s="26" t="s">
        <v>1440</v>
      </c>
      <c r="C587" s="26">
        <f>LN(Inventory[[#This Row],[Acres]])</f>
        <v>-1.8971199848858813</v>
      </c>
      <c r="D587" s="25">
        <v>0.15</v>
      </c>
      <c r="E587" s="32">
        <v>6350</v>
      </c>
      <c r="F587" s="26" t="s">
        <v>537</v>
      </c>
      <c r="G587" s="26" t="s">
        <v>126</v>
      </c>
      <c r="H587" s="26" t="s">
        <v>349</v>
      </c>
      <c r="I587" s="26" t="s">
        <v>538</v>
      </c>
      <c r="J587" s="26" t="s">
        <v>539</v>
      </c>
      <c r="K587" s="26" t="s">
        <v>241</v>
      </c>
      <c r="L587" s="26" t="s">
        <v>302</v>
      </c>
      <c r="M587" s="26" t="s">
        <v>303</v>
      </c>
      <c r="N587" s="26">
        <v>70</v>
      </c>
      <c r="O587" s="26">
        <f>2024-Inventory[[#This Row],[YrBlt]]</f>
        <v>69</v>
      </c>
      <c r="P587" s="26">
        <f>2024-Inventory[[#This Row],[EffYr]]</f>
        <v>50</v>
      </c>
      <c r="Q587" s="25">
        <v>1955</v>
      </c>
      <c r="R587" s="25">
        <v>1974</v>
      </c>
      <c r="S587" s="25">
        <v>1048</v>
      </c>
      <c r="T587" s="27"/>
      <c r="U587" s="25">
        <v>550</v>
      </c>
      <c r="V587" s="25">
        <f>Inventory[[#This Row],[Bsmt]]-Inventory[[#This Row],[FnBsmt]]</f>
        <v>275</v>
      </c>
      <c r="W587" s="25">
        <v>275</v>
      </c>
      <c r="X587" s="27"/>
      <c r="Y587" s="27">
        <f>Inventory[[#This Row],[MainFn]]+Inventory[[#This Row],[UpprFn]]+Inventory[[#This Row],[FnBsmt]]+Inventory[[#This Row],[AddFn]]</f>
        <v>1323</v>
      </c>
      <c r="Z587" s="27">
        <v>1500</v>
      </c>
      <c r="AA587" s="25">
        <v>5</v>
      </c>
      <c r="AB587" s="32">
        <v>299</v>
      </c>
      <c r="AC587" s="27"/>
      <c r="AD587" s="31"/>
      <c r="AE587" s="27"/>
      <c r="AF587" s="27"/>
      <c r="AG587" s="27"/>
      <c r="AH587" s="27"/>
      <c r="AI587" s="25">
        <v>287097</v>
      </c>
      <c r="AJ587" s="25">
        <v>206710</v>
      </c>
      <c r="AK587" s="25">
        <v>0</v>
      </c>
      <c r="AL587" s="25">
        <v>305000</v>
      </c>
      <c r="AM587" s="25">
        <v>48400</v>
      </c>
      <c r="AN587" s="25">
        <v>256600</v>
      </c>
      <c r="AO587" s="25">
        <v>0</v>
      </c>
      <c r="AP587" s="25">
        <f>Lookups!$B$56*0</f>
        <v>0</v>
      </c>
      <c r="AQ587" s="25">
        <f>Lookups!$B$56*1</f>
        <v>89850.625589999996</v>
      </c>
      <c r="AR587" s="25">
        <f>Lookups!$B$57*Inventory[[#This Row],[LnAcres]]</f>
        <v>-60052.604136134301</v>
      </c>
      <c r="AS587" s="25">
        <f>VLOOKUP(Inventory[[#This Row],[Qlty]],Lookups!$A$62:$E$75,2,FALSE)</f>
        <v>29814.093161000001</v>
      </c>
      <c r="AT587" s="25">
        <f>VLOOKUP(Inventory[[#This Row],[Cnd]],Lookups!$A$76:$E$84,2,FALSE)</f>
        <v>197752.34721000001</v>
      </c>
      <c r="AU587" s="25">
        <f>Inventory[[#This Row],[EffAge]]*Lookups!$B$85</f>
        <v>-11152.280025</v>
      </c>
      <c r="AV587" s="25">
        <f>Inventory[[#This Row],[MainFn]]*Lookups!$B$86</f>
        <v>51780.286031096002</v>
      </c>
      <c r="AW587" s="25">
        <f>Inventory[[#This Row],[UpprFn]]*Lookups!$B$87</f>
        <v>0</v>
      </c>
      <c r="AX587" s="25">
        <f>Inventory[[#This Row],[AddFn]]*Lookups!$B$88</f>
        <v>0</v>
      </c>
      <c r="AY587" s="25">
        <f>Inventory[[#This Row],[Bsmt]]*Lookups!$B$89</f>
        <v>15995.04238585</v>
      </c>
      <c r="AZ587" s="25">
        <f>Inventory[[#This Row],[Fixtures]]*Lookups!$B$90</f>
        <v>18960.110526</v>
      </c>
      <c r="BA587" s="25">
        <f>Inventory[[#This Row],[WdDeck]]*Lookups!$B$91</f>
        <v>0</v>
      </c>
      <c r="BB587" s="25">
        <f>ROUND(Inventory[[#This Row],[25Det]],-2)</f>
        <v>0</v>
      </c>
      <c r="BC587" s="25">
        <f>ROUND(SUM(Inventory[[#This Row],[Mdl Qlty]:[Mdl WdDeck]])+Inventory[[#This Row],[Mdl Res Intercept]],-2)</f>
        <v>303100</v>
      </c>
      <c r="BD587" s="25">
        <f>ROUND(Inventory[[#This Row],[Mdl Land Intercept]]+Inventory[[#This Row],[Mdl LnAcres]],-2)</f>
        <v>29800</v>
      </c>
      <c r="BE587" s="25">
        <f>Inventory[[#This Row],[Unadj Res Value]]+Inventory[[#This Row],[Unadj Det Value]]+Inventory[[#This Row],[Unadj Land Value]]</f>
        <v>332900</v>
      </c>
      <c r="BF587" s="36">
        <f>(Inventory[[#This Row],[Unadj Total Value]]-Inventory[[#This Row],[24Final]])/Inventory[[#This Row],[24Final]]</f>
        <v>9.1475409836065572E-2</v>
      </c>
      <c r="BG587" s="25">
        <f>VLOOKUP(Inventory[[#This Row],[Nbhd]],Lookups!$Q$2:$T$4,4,FALSE)</f>
        <v>0.99970000000000003</v>
      </c>
      <c r="BH587" s="25">
        <f>VLOOKUP(Inventory[[#This Row],[Qlty]],Lookups!$O$7:$R$21,4,FALSE)</f>
        <v>1.0088999999999999</v>
      </c>
      <c r="BI587" s="25">
        <f>VLOOKUP(Inventory[[#This Row],[Cnd]],Lookups!$T$7:$W$16,4,FALSE)</f>
        <v>0.99650000000000005</v>
      </c>
      <c r="BJ587" s="25">
        <f>VLOOKUP(Inventory[[#This Row],[LivArea Range]],Lookups!$T$25:$W$37,4,FALSE)</f>
        <v>1.0157</v>
      </c>
      <c r="BK587" s="25">
        <f>VLOOKUP(Inventory[[#This Row],[Decade]],Lookups!$O$25:$R$42,4,FALSE)</f>
        <v>1.0199</v>
      </c>
      <c r="BL587" s="25">
        <f>Inventory[[#This Row],[Nbhd Adj]]*0.95</f>
        <v>0.94971499999999998</v>
      </c>
      <c r="BM587" s="25">
        <f>Inventory[[#This Row],[Nbhd Adj]]*Inventory[[#This Row],[Quality Adj]]*Inventory[[#This Row],[Condition Adj]]*Inventory[[#This Row],[Living Area Adj]]*Inventory[[#This Row],[Decade Adj]]*0.95</f>
        <v>0.98910356391210685</v>
      </c>
      <c r="BN587" s="25">
        <f>ROUND(SUM(Inventory[[#This Row],[Mdl Qlty]:[Mdl WdDeck]])+Inventory[[#This Row],[Mdl Res Intercept]]*Inventory[[#This Row],[Res Adj ]],-2)</f>
        <v>303100</v>
      </c>
      <c r="BO587" s="25">
        <f>ROUND(Inventory[[#This Row],[25Det]]*Inventory[[#This Row],[Det/Nbhd Adj]],-2)</f>
        <v>0</v>
      </c>
      <c r="BP587" s="25">
        <f>Inventory[[#This Row],[Adjusted Res]]+Inventory[[#This Row],[Adj Det ]]</f>
        <v>303100</v>
      </c>
      <c r="BQ587" s="25">
        <f>ROUND((Inventory[[#This Row],[Mdl Land Intercept]]+Inventory[[#This Row],[Mdl LnAcres]])*Inventory[[#This Row],[Det/Nbhd Adj]],-2)</f>
        <v>28300</v>
      </c>
      <c r="BR587" s="25">
        <f>Inventory[[#This Row],[Adjusted Impr Total]]+Inventory[[#This Row],[Adjusted Land Total]]</f>
        <v>331400</v>
      </c>
      <c r="BS587" s="36">
        <f>IFERROR((Inventory[[#This Row],[Adjusted Impr Total]]-Inventory[[#This Row],[24Bldg]])/Inventory[[#This Row],[24Bldg]],0)</f>
        <v>0.18121590023382697</v>
      </c>
      <c r="BT587" s="36">
        <f>(Inventory[[#This Row],[Adjusted Land Total]]-Inventory[[#This Row],[24Lnd]])/Inventory[[#This Row],[24Lnd]]</f>
        <v>-0.41528925619834711</v>
      </c>
      <c r="BU587" s="36">
        <f>(Inventory[[#This Row],[Adjusted Total]]-Inventory[[#This Row],[24Final]])/Inventory[[#This Row],[24Final]]</f>
        <v>8.6557377049180331E-2</v>
      </c>
    </row>
    <row r="588" spans="1:73" x14ac:dyDescent="0.3">
      <c r="A588" s="25">
        <v>2025</v>
      </c>
      <c r="B588" s="26" t="s">
        <v>1941</v>
      </c>
      <c r="C588" s="26">
        <f>LN(Inventory[[#This Row],[Acres]])</f>
        <v>-1.6607312068216509</v>
      </c>
      <c r="D588" s="25">
        <v>0.19</v>
      </c>
      <c r="E588" s="27"/>
      <c r="F588" s="26" t="s">
        <v>537</v>
      </c>
      <c r="G588" s="26" t="s">
        <v>126</v>
      </c>
      <c r="H588" s="26" t="s">
        <v>349</v>
      </c>
      <c r="I588" s="26" t="s">
        <v>538</v>
      </c>
      <c r="J588" s="26" t="s">
        <v>539</v>
      </c>
      <c r="K588" s="26" t="s">
        <v>241</v>
      </c>
      <c r="L588" s="26" t="s">
        <v>148</v>
      </c>
      <c r="M588" s="26" t="s">
        <v>303</v>
      </c>
      <c r="N588" s="26">
        <v>70</v>
      </c>
      <c r="O588" s="26">
        <f>2024-Inventory[[#This Row],[YrBlt]]</f>
        <v>69</v>
      </c>
      <c r="P588" s="26">
        <f>2024-Inventory[[#This Row],[EffYr]]</f>
        <v>50</v>
      </c>
      <c r="Q588" s="25">
        <v>1955</v>
      </c>
      <c r="R588" s="25">
        <v>1974</v>
      </c>
      <c r="S588" s="25">
        <v>1141</v>
      </c>
      <c r="T588" s="27"/>
      <c r="U588" s="31"/>
      <c r="V588" s="31">
        <f>Inventory[[#This Row],[Bsmt]]-Inventory[[#This Row],[FnBsmt]]</f>
        <v>0</v>
      </c>
      <c r="W588" s="31"/>
      <c r="X588" s="27"/>
      <c r="Y588" s="27">
        <f>Inventory[[#This Row],[MainFn]]+Inventory[[#This Row],[UpprFn]]+Inventory[[#This Row],[FnBsmt]]+Inventory[[#This Row],[AddFn]]</f>
        <v>1141</v>
      </c>
      <c r="Z588" s="27">
        <v>1500</v>
      </c>
      <c r="AA588" s="25">
        <v>8</v>
      </c>
      <c r="AB588" s="32">
        <v>252</v>
      </c>
      <c r="AC588" s="27"/>
      <c r="AD588" s="27"/>
      <c r="AE588" s="27"/>
      <c r="AF588" s="27"/>
      <c r="AG588" s="27"/>
      <c r="AH588" s="27"/>
      <c r="AI588" s="25">
        <v>269158</v>
      </c>
      <c r="AJ588" s="25">
        <v>193794</v>
      </c>
      <c r="AK588" s="25">
        <v>0</v>
      </c>
      <c r="AL588" s="25">
        <v>324800</v>
      </c>
      <c r="AM588" s="25">
        <v>56600</v>
      </c>
      <c r="AN588" s="25">
        <v>268200</v>
      </c>
      <c r="AO588" s="25">
        <v>0</v>
      </c>
      <c r="AP588" s="25">
        <f>Lookups!$B$56*0</f>
        <v>0</v>
      </c>
      <c r="AQ588" s="25">
        <f>Lookups!$B$56*1</f>
        <v>89850.625589999996</v>
      </c>
      <c r="AR588" s="25">
        <f>Lookups!$B$57*Inventory[[#This Row],[LnAcres]]</f>
        <v>-52569.808201026557</v>
      </c>
      <c r="AS588" s="25">
        <f>VLOOKUP(Inventory[[#This Row],[Qlty]],Lookups!$A$62:$E$75,2,FALSE)</f>
        <v>44121.038090000002</v>
      </c>
      <c r="AT588" s="25">
        <f>VLOOKUP(Inventory[[#This Row],[Cnd]],Lookups!$A$76:$E$84,2,FALSE)</f>
        <v>197752.34721000001</v>
      </c>
      <c r="AU588" s="25">
        <f>Inventory[[#This Row],[EffAge]]*Lookups!$B$85</f>
        <v>-11152.280025</v>
      </c>
      <c r="AV588" s="25">
        <f>Inventory[[#This Row],[MainFn]]*Lookups!$B$86</f>
        <v>56375.292329657001</v>
      </c>
      <c r="AW588" s="25">
        <f>Inventory[[#This Row],[UpprFn]]*Lookups!$B$87</f>
        <v>0</v>
      </c>
      <c r="AX588" s="25">
        <f>Inventory[[#This Row],[AddFn]]*Lookups!$B$88</f>
        <v>0</v>
      </c>
      <c r="AY588" s="25">
        <f>Inventory[[#This Row],[Bsmt]]*Lookups!$B$89</f>
        <v>0</v>
      </c>
      <c r="AZ588" s="25">
        <f>Inventory[[#This Row],[Fixtures]]*Lookups!$B$90</f>
        <v>30336.176841600001</v>
      </c>
      <c r="BA588" s="25">
        <f>Inventory[[#This Row],[WdDeck]]*Lookups!$B$91</f>
        <v>0</v>
      </c>
      <c r="BB588" s="25">
        <f>ROUND(Inventory[[#This Row],[25Det]],-2)</f>
        <v>0</v>
      </c>
      <c r="BC588" s="25">
        <f>ROUND(SUM(Inventory[[#This Row],[Mdl Qlty]:[Mdl WdDeck]])+Inventory[[#This Row],[Mdl Res Intercept]],-2)</f>
        <v>317400</v>
      </c>
      <c r="BD588" s="25">
        <f>ROUND(Inventory[[#This Row],[Mdl Land Intercept]]+Inventory[[#This Row],[Mdl LnAcres]],-2)</f>
        <v>37300</v>
      </c>
      <c r="BE588" s="25">
        <f>Inventory[[#This Row],[Unadj Res Value]]+Inventory[[#This Row],[Unadj Det Value]]+Inventory[[#This Row],[Unadj Land Value]]</f>
        <v>354700</v>
      </c>
      <c r="BF588" s="36">
        <f>(Inventory[[#This Row],[Unadj Total Value]]-Inventory[[#This Row],[24Final]])/Inventory[[#This Row],[24Final]]</f>
        <v>9.2056650246305424E-2</v>
      </c>
      <c r="BG588" s="25">
        <f>VLOOKUP(Inventory[[#This Row],[Nbhd]],Lookups!$Q$2:$T$4,4,FALSE)</f>
        <v>0.99970000000000003</v>
      </c>
      <c r="BH588" s="25">
        <f>VLOOKUP(Inventory[[#This Row],[Qlty]],Lookups!$O$7:$R$21,4,FALSE)</f>
        <v>0.98050000000000004</v>
      </c>
      <c r="BI588" s="25">
        <f>VLOOKUP(Inventory[[#This Row],[Cnd]],Lookups!$T$7:$W$16,4,FALSE)</f>
        <v>0.99650000000000005</v>
      </c>
      <c r="BJ588" s="25">
        <f>VLOOKUP(Inventory[[#This Row],[LivArea Range]],Lookups!$T$25:$W$37,4,FALSE)</f>
        <v>1.0157</v>
      </c>
      <c r="BK588" s="25">
        <f>VLOOKUP(Inventory[[#This Row],[Decade]],Lookups!$O$25:$R$42,4,FALSE)</f>
        <v>1.0199</v>
      </c>
      <c r="BL588" s="25">
        <f>Inventory[[#This Row],[Nbhd Adj]]*0.95</f>
        <v>0.94971499999999998</v>
      </c>
      <c r="BM588" s="25">
        <f>Inventory[[#This Row],[Nbhd Adj]]*Inventory[[#This Row],[Quality Adj]]*Inventory[[#This Row],[Condition Adj]]*Inventory[[#This Row],[Living Area Adj]]*Inventory[[#This Row],[Decade Adj]]*0.95</f>
        <v>0.96126082309031724</v>
      </c>
      <c r="BN588" s="25">
        <f>ROUND(SUM(Inventory[[#This Row],[Mdl Qlty]:[Mdl WdDeck]])+Inventory[[#This Row],[Mdl Res Intercept]]*Inventory[[#This Row],[Res Adj ]],-2)</f>
        <v>317400</v>
      </c>
      <c r="BO588" s="25">
        <f>ROUND(Inventory[[#This Row],[25Det]]*Inventory[[#This Row],[Det/Nbhd Adj]],-2)</f>
        <v>0</v>
      </c>
      <c r="BP588" s="25">
        <f>Inventory[[#This Row],[Adjusted Res]]+Inventory[[#This Row],[Adj Det ]]</f>
        <v>317400</v>
      </c>
      <c r="BQ588" s="25">
        <f>ROUND((Inventory[[#This Row],[Mdl Land Intercept]]+Inventory[[#This Row],[Mdl LnAcres]])*Inventory[[#This Row],[Det/Nbhd Adj]],-2)</f>
        <v>35400</v>
      </c>
      <c r="BR588" s="25">
        <f>Inventory[[#This Row],[Adjusted Impr Total]]+Inventory[[#This Row],[Adjusted Land Total]]</f>
        <v>352800</v>
      </c>
      <c r="BS588" s="36">
        <f>IFERROR((Inventory[[#This Row],[Adjusted Impr Total]]-Inventory[[#This Row],[24Bldg]])/Inventory[[#This Row],[24Bldg]],0)</f>
        <v>0.18344519015659955</v>
      </c>
      <c r="BT588" s="36">
        <f>(Inventory[[#This Row],[Adjusted Land Total]]-Inventory[[#This Row],[24Lnd]])/Inventory[[#This Row],[24Lnd]]</f>
        <v>-0.37455830388692579</v>
      </c>
      <c r="BU588" s="36">
        <f>(Inventory[[#This Row],[Adjusted Total]]-Inventory[[#This Row],[24Final]])/Inventory[[#This Row],[24Final]]</f>
        <v>8.6206896551724144E-2</v>
      </c>
    </row>
    <row r="589" spans="1:73" x14ac:dyDescent="0.3">
      <c r="A589" s="25">
        <v>2025</v>
      </c>
      <c r="B589" s="26" t="s">
        <v>2215</v>
      </c>
      <c r="C589" s="26">
        <f>LN(Inventory[[#This Row],[Acres]])</f>
        <v>-1.8325814637483102</v>
      </c>
      <c r="D589" s="25">
        <v>0.16</v>
      </c>
      <c r="E589" s="32">
        <v>6999</v>
      </c>
      <c r="F589" s="26" t="s">
        <v>537</v>
      </c>
      <c r="G589" s="26" t="s">
        <v>126</v>
      </c>
      <c r="H589" s="26" t="s">
        <v>349</v>
      </c>
      <c r="I589" s="26" t="s">
        <v>538</v>
      </c>
      <c r="J589" s="26" t="s">
        <v>539</v>
      </c>
      <c r="K589" s="26" t="s">
        <v>269</v>
      </c>
      <c r="L589" s="26" t="s">
        <v>351</v>
      </c>
      <c r="M589" s="26" t="s">
        <v>303</v>
      </c>
      <c r="N589" s="26">
        <v>70</v>
      </c>
      <c r="O589" s="26">
        <f>2024-Inventory[[#This Row],[YrBlt]]</f>
        <v>69</v>
      </c>
      <c r="P589" s="26">
        <f>2024-Inventory[[#This Row],[EffYr]]</f>
        <v>50</v>
      </c>
      <c r="Q589" s="25">
        <v>1955</v>
      </c>
      <c r="R589" s="25">
        <v>1974</v>
      </c>
      <c r="S589" s="25">
        <v>1322</v>
      </c>
      <c r="T589" s="27"/>
      <c r="U589" s="25">
        <v>644</v>
      </c>
      <c r="V589" s="25">
        <f>Inventory[[#This Row],[Bsmt]]-Inventory[[#This Row],[FnBsmt]]</f>
        <v>0</v>
      </c>
      <c r="W589" s="25">
        <v>644</v>
      </c>
      <c r="X589" s="27"/>
      <c r="Y589" s="27">
        <f>Inventory[[#This Row],[MainFn]]+Inventory[[#This Row],[UpprFn]]+Inventory[[#This Row],[FnBsmt]]+Inventory[[#This Row],[AddFn]]</f>
        <v>1966</v>
      </c>
      <c r="Z589" s="27">
        <v>2000</v>
      </c>
      <c r="AA589" s="25">
        <v>5</v>
      </c>
      <c r="AB589" s="27"/>
      <c r="AC589" s="27"/>
      <c r="AD589" s="32">
        <v>162</v>
      </c>
      <c r="AE589" s="27"/>
      <c r="AF589" s="27"/>
      <c r="AG589" s="27"/>
      <c r="AH589" s="27"/>
      <c r="AI589" s="25">
        <v>278342</v>
      </c>
      <c r="AJ589" s="25">
        <v>200406</v>
      </c>
      <c r="AK589" s="25">
        <v>7229</v>
      </c>
      <c r="AL589" s="25">
        <v>326200</v>
      </c>
      <c r="AM589" s="25">
        <v>50600</v>
      </c>
      <c r="AN589" s="25">
        <v>275600</v>
      </c>
      <c r="AO589" s="25">
        <v>0</v>
      </c>
      <c r="AP589" s="25">
        <f>Lookups!$B$56*0</f>
        <v>0</v>
      </c>
      <c r="AQ589" s="25">
        <f>Lookups!$B$56*1</f>
        <v>89850.625589999996</v>
      </c>
      <c r="AR589" s="25">
        <f>Lookups!$B$57*Inventory[[#This Row],[LnAcres]]</f>
        <v>-58009.662049032086</v>
      </c>
      <c r="AS589" s="25">
        <f>VLOOKUP(Inventory[[#This Row],[Qlty]],Lookups!$A$62:$E$75,2,FALSE)</f>
        <v>21557.329055999999</v>
      </c>
      <c r="AT589" s="25">
        <f>VLOOKUP(Inventory[[#This Row],[Cnd]],Lookups!$A$76:$E$84,2,FALSE)</f>
        <v>197752.34721000001</v>
      </c>
      <c r="AU589" s="25">
        <f>Inventory[[#This Row],[EffAge]]*Lookups!$B$85</f>
        <v>-11152.280025</v>
      </c>
      <c r="AV589" s="25">
        <f>Inventory[[#This Row],[MainFn]]*Lookups!$B$86</f>
        <v>65318.261577394005</v>
      </c>
      <c r="AW589" s="25">
        <f>Inventory[[#This Row],[UpprFn]]*Lookups!$B$87</f>
        <v>0</v>
      </c>
      <c r="AX589" s="25">
        <f>Inventory[[#This Row],[AddFn]]*Lookups!$B$88</f>
        <v>0</v>
      </c>
      <c r="AY589" s="25">
        <f>Inventory[[#This Row],[Bsmt]]*Lookups!$B$89</f>
        <v>18728.740539068</v>
      </c>
      <c r="AZ589" s="25">
        <f>Inventory[[#This Row],[Fixtures]]*Lookups!$B$90</f>
        <v>18960.110526</v>
      </c>
      <c r="BA589" s="25">
        <f>Inventory[[#This Row],[WdDeck]]*Lookups!$B$91</f>
        <v>5393.8734747120006</v>
      </c>
      <c r="BB589" s="25">
        <f>ROUND(Inventory[[#This Row],[25Det]],-2)</f>
        <v>7200</v>
      </c>
      <c r="BC589" s="25">
        <f>ROUND(SUM(Inventory[[#This Row],[Mdl Qlty]:[Mdl WdDeck]])+Inventory[[#This Row],[Mdl Res Intercept]],-2)</f>
        <v>316600</v>
      </c>
      <c r="BD589" s="25">
        <f>ROUND(Inventory[[#This Row],[Mdl Land Intercept]]+Inventory[[#This Row],[Mdl LnAcres]],-2)</f>
        <v>31800</v>
      </c>
      <c r="BE589" s="25">
        <f>Inventory[[#This Row],[Unadj Res Value]]+Inventory[[#This Row],[Unadj Det Value]]+Inventory[[#This Row],[Unadj Land Value]]</f>
        <v>355600</v>
      </c>
      <c r="BF589" s="36">
        <f>(Inventory[[#This Row],[Unadj Total Value]]-Inventory[[#This Row],[24Final]])/Inventory[[#This Row],[24Final]]</f>
        <v>9.012875536480687E-2</v>
      </c>
      <c r="BG589" s="25">
        <f>VLOOKUP(Inventory[[#This Row],[Nbhd]],Lookups!$Q$2:$T$4,4,FALSE)</f>
        <v>0.99970000000000003</v>
      </c>
      <c r="BH589" s="25">
        <f>VLOOKUP(Inventory[[#This Row],[Qlty]],Lookups!$O$7:$R$21,4,FALSE)</f>
        <v>1.0067999999999999</v>
      </c>
      <c r="BI589" s="25">
        <f>VLOOKUP(Inventory[[#This Row],[Cnd]],Lookups!$T$7:$W$16,4,FALSE)</f>
        <v>0.99650000000000005</v>
      </c>
      <c r="BJ589" s="25">
        <f>VLOOKUP(Inventory[[#This Row],[LivArea Range]],Lookups!$T$25:$W$37,4,FALSE)</f>
        <v>1.0093000000000001</v>
      </c>
      <c r="BK589" s="25">
        <f>VLOOKUP(Inventory[[#This Row],[Decade]],Lookups!$O$25:$R$42,4,FALSE)</f>
        <v>1.0199</v>
      </c>
      <c r="BL589" s="25">
        <f>Inventory[[#This Row],[Nbhd Adj]]*0.95</f>
        <v>0.94971499999999998</v>
      </c>
      <c r="BM589" s="25">
        <f>Inventory[[#This Row],[Nbhd Adj]]*Inventory[[#This Row],[Quality Adj]]*Inventory[[#This Row],[Condition Adj]]*Inventory[[#This Row],[Living Area Adj]]*Inventory[[#This Row],[Decade Adj]]*0.95</f>
        <v>0.98082532839872782</v>
      </c>
      <c r="BN589" s="25">
        <f>ROUND(SUM(Inventory[[#This Row],[Mdl Qlty]:[Mdl WdDeck]])+Inventory[[#This Row],[Mdl Res Intercept]]*Inventory[[#This Row],[Res Adj ]],-2)</f>
        <v>316600</v>
      </c>
      <c r="BO589" s="25">
        <f>ROUND(Inventory[[#This Row],[25Det]]*Inventory[[#This Row],[Det/Nbhd Adj]],-2)</f>
        <v>6900</v>
      </c>
      <c r="BP589" s="25">
        <f>Inventory[[#This Row],[Adjusted Res]]+Inventory[[#This Row],[Adj Det ]]</f>
        <v>323500</v>
      </c>
      <c r="BQ589" s="25">
        <f>ROUND((Inventory[[#This Row],[Mdl Land Intercept]]+Inventory[[#This Row],[Mdl LnAcres]])*Inventory[[#This Row],[Det/Nbhd Adj]],-2)</f>
        <v>30200</v>
      </c>
      <c r="BR589" s="25">
        <f>Inventory[[#This Row],[Adjusted Impr Total]]+Inventory[[#This Row],[Adjusted Land Total]]</f>
        <v>353700</v>
      </c>
      <c r="BS589" s="36">
        <f>IFERROR((Inventory[[#This Row],[Adjusted Impr Total]]-Inventory[[#This Row],[24Bldg]])/Inventory[[#This Row],[24Bldg]],0)</f>
        <v>0.17380261248185777</v>
      </c>
      <c r="BT589" s="36">
        <f>(Inventory[[#This Row],[Adjusted Land Total]]-Inventory[[#This Row],[24Lnd]])/Inventory[[#This Row],[24Lnd]]</f>
        <v>-0.40316205533596838</v>
      </c>
      <c r="BU589" s="36">
        <f>(Inventory[[#This Row],[Adjusted Total]]-Inventory[[#This Row],[24Final]])/Inventory[[#This Row],[24Final]]</f>
        <v>8.430410790925813E-2</v>
      </c>
    </row>
    <row r="590" spans="1:73" x14ac:dyDescent="0.3">
      <c r="A590" s="25">
        <v>2025</v>
      </c>
      <c r="B590" s="26" t="s">
        <v>2814</v>
      </c>
      <c r="C590" s="26">
        <f>LN(Inventory[[#This Row],[Acres]])</f>
        <v>-1.3862943611198906</v>
      </c>
      <c r="D590" s="25">
        <v>0.25</v>
      </c>
      <c r="E590" s="25">
        <v>10685</v>
      </c>
      <c r="F590" s="26" t="s">
        <v>537</v>
      </c>
      <c r="G590" s="26" t="s">
        <v>126</v>
      </c>
      <c r="H590" s="26" t="s">
        <v>349</v>
      </c>
      <c r="I590" s="26" t="s">
        <v>538</v>
      </c>
      <c r="J590" s="26" t="s">
        <v>539</v>
      </c>
      <c r="K590" s="26" t="s">
        <v>241</v>
      </c>
      <c r="L590" s="26" t="s">
        <v>351</v>
      </c>
      <c r="M590" s="26" t="s">
        <v>323</v>
      </c>
      <c r="N590" s="26">
        <v>70</v>
      </c>
      <c r="O590" s="26">
        <f>2024-Inventory[[#This Row],[YrBlt]]</f>
        <v>69</v>
      </c>
      <c r="P590" s="26">
        <f>2024-Inventory[[#This Row],[EffYr]]</f>
        <v>50</v>
      </c>
      <c r="Q590" s="25">
        <v>1955</v>
      </c>
      <c r="R590" s="25">
        <v>1974</v>
      </c>
      <c r="S590" s="25">
        <v>1638</v>
      </c>
      <c r="T590" s="27"/>
      <c r="U590" s="27"/>
      <c r="V590" s="27">
        <f>Inventory[[#This Row],[Bsmt]]-Inventory[[#This Row],[FnBsmt]]</f>
        <v>0</v>
      </c>
      <c r="W590" s="27"/>
      <c r="X590" s="27"/>
      <c r="Y590" s="27">
        <f>Inventory[[#This Row],[MainFn]]+Inventory[[#This Row],[UpprFn]]+Inventory[[#This Row],[FnBsmt]]+Inventory[[#This Row],[AddFn]]</f>
        <v>1638</v>
      </c>
      <c r="Z590" s="27">
        <v>2000</v>
      </c>
      <c r="AA590" s="25">
        <v>6</v>
      </c>
      <c r="AB590" s="32">
        <v>855</v>
      </c>
      <c r="AC590" s="27"/>
      <c r="AD590" s="32">
        <v>570</v>
      </c>
      <c r="AE590" s="27"/>
      <c r="AF590" s="27"/>
      <c r="AG590" s="27"/>
      <c r="AH590" s="27"/>
      <c r="AI590" s="25">
        <v>299710</v>
      </c>
      <c r="AJ590" s="25">
        <v>209797</v>
      </c>
      <c r="AK590" s="25">
        <v>0</v>
      </c>
      <c r="AL590" s="25">
        <v>311200</v>
      </c>
      <c r="AM590" s="25">
        <v>66200</v>
      </c>
      <c r="AN590" s="25">
        <v>245000</v>
      </c>
      <c r="AO590" s="25">
        <v>0</v>
      </c>
      <c r="AP590" s="25">
        <f>Lookups!$B$56*0</f>
        <v>0</v>
      </c>
      <c r="AQ590" s="25">
        <f>Lookups!$B$56*1</f>
        <v>89850.625589999996</v>
      </c>
      <c r="AR590" s="25">
        <f>Lookups!$B$57*Inventory[[#This Row],[LnAcres]]</f>
        <v>-43882.615305165229</v>
      </c>
      <c r="AS590" s="25">
        <f>VLOOKUP(Inventory[[#This Row],[Qlty]],Lookups!$A$62:$E$75,2,FALSE)</f>
        <v>21557.329055999999</v>
      </c>
      <c r="AT590" s="25">
        <f>VLOOKUP(Inventory[[#This Row],[Cnd]],Lookups!$A$76:$E$84,2,FALSE)</f>
        <v>160472.20319</v>
      </c>
      <c r="AU590" s="25">
        <f>Inventory[[#This Row],[EffAge]]*Lookups!$B$85</f>
        <v>-11152.280025</v>
      </c>
      <c r="AV590" s="25">
        <f>Inventory[[#This Row],[MainFn]]*Lookups!$B$86</f>
        <v>80931.401258526006</v>
      </c>
      <c r="AW590" s="25">
        <f>Inventory[[#This Row],[UpprFn]]*Lookups!$B$87</f>
        <v>0</v>
      </c>
      <c r="AX590" s="25">
        <f>Inventory[[#This Row],[AddFn]]*Lookups!$B$88</f>
        <v>0</v>
      </c>
      <c r="AY590" s="25">
        <f>Inventory[[#This Row],[Bsmt]]*Lookups!$B$89</f>
        <v>0</v>
      </c>
      <c r="AZ590" s="25">
        <f>Inventory[[#This Row],[Fixtures]]*Lookups!$B$90</f>
        <v>22752.132631200002</v>
      </c>
      <c r="BA590" s="25">
        <f>Inventory[[#This Row],[WdDeck]]*Lookups!$B$91</f>
        <v>18978.443707320002</v>
      </c>
      <c r="BB590" s="25">
        <f>ROUND(Inventory[[#This Row],[25Det]],-2)</f>
        <v>0</v>
      </c>
      <c r="BC590" s="25">
        <f>ROUND(SUM(Inventory[[#This Row],[Mdl Qlty]:[Mdl WdDeck]])+Inventory[[#This Row],[Mdl Res Intercept]],-2)</f>
        <v>293500</v>
      </c>
      <c r="BD590" s="25">
        <f>ROUND(Inventory[[#This Row],[Mdl Land Intercept]]+Inventory[[#This Row],[Mdl LnAcres]],-2)</f>
        <v>46000</v>
      </c>
      <c r="BE590" s="25">
        <f>Inventory[[#This Row],[Unadj Res Value]]+Inventory[[#This Row],[Unadj Det Value]]+Inventory[[#This Row],[Unadj Land Value]]</f>
        <v>339500</v>
      </c>
      <c r="BF590" s="36">
        <f>(Inventory[[#This Row],[Unadj Total Value]]-Inventory[[#This Row],[24Final]])/Inventory[[#This Row],[24Final]]</f>
        <v>9.093830334190231E-2</v>
      </c>
      <c r="BG590" s="25">
        <f>VLOOKUP(Inventory[[#This Row],[Nbhd]],Lookups!$Q$2:$T$4,4,FALSE)</f>
        <v>0.99970000000000003</v>
      </c>
      <c r="BH590" s="25">
        <f>VLOOKUP(Inventory[[#This Row],[Qlty]],Lookups!$O$7:$R$21,4,FALSE)</f>
        <v>1.0067999999999999</v>
      </c>
      <c r="BI590" s="25">
        <f>VLOOKUP(Inventory[[#This Row],[Cnd]],Lookups!$T$7:$W$16,4,FALSE)</f>
        <v>0.99729999999999996</v>
      </c>
      <c r="BJ590" s="25">
        <f>VLOOKUP(Inventory[[#This Row],[LivArea Range]],Lookups!$T$25:$W$37,4,FALSE)</f>
        <v>1.0093000000000001</v>
      </c>
      <c r="BK590" s="25">
        <f>VLOOKUP(Inventory[[#This Row],[Decade]],Lookups!$O$25:$R$42,4,FALSE)</f>
        <v>1.0199</v>
      </c>
      <c r="BL590" s="25">
        <f>Inventory[[#This Row],[Nbhd Adj]]*0.95</f>
        <v>0.94971499999999998</v>
      </c>
      <c r="BM590" s="25">
        <f>Inventory[[#This Row],[Nbhd Adj]]*Inventory[[#This Row],[Quality Adj]]*Inventory[[#This Row],[Condition Adj]]*Inventory[[#This Row],[Living Area Adj]]*Inventory[[#This Row],[Decade Adj]]*0.95</f>
        <v>0.98161274461821502</v>
      </c>
      <c r="BN590" s="25">
        <f>ROUND(SUM(Inventory[[#This Row],[Mdl Qlty]:[Mdl WdDeck]])+Inventory[[#This Row],[Mdl Res Intercept]]*Inventory[[#This Row],[Res Adj ]],-2)</f>
        <v>293500</v>
      </c>
      <c r="BO590" s="25">
        <f>ROUND(Inventory[[#This Row],[25Det]]*Inventory[[#This Row],[Det/Nbhd Adj]],-2)</f>
        <v>0</v>
      </c>
      <c r="BP590" s="25">
        <f>Inventory[[#This Row],[Adjusted Res]]+Inventory[[#This Row],[Adj Det ]]</f>
        <v>293500</v>
      </c>
      <c r="BQ590" s="25">
        <f>ROUND((Inventory[[#This Row],[Mdl Land Intercept]]+Inventory[[#This Row],[Mdl LnAcres]])*Inventory[[#This Row],[Det/Nbhd Adj]],-2)</f>
        <v>43700</v>
      </c>
      <c r="BR590" s="25">
        <f>Inventory[[#This Row],[Adjusted Impr Total]]+Inventory[[#This Row],[Adjusted Land Total]]</f>
        <v>337200</v>
      </c>
      <c r="BS590" s="36">
        <f>IFERROR((Inventory[[#This Row],[Adjusted Impr Total]]-Inventory[[#This Row],[24Bldg]])/Inventory[[#This Row],[24Bldg]],0)</f>
        <v>0.19795918367346937</v>
      </c>
      <c r="BT590" s="36">
        <f>(Inventory[[#This Row],[Adjusted Land Total]]-Inventory[[#This Row],[24Lnd]])/Inventory[[#This Row],[24Lnd]]</f>
        <v>-0.33987915407854985</v>
      </c>
      <c r="BU590" s="36">
        <f>(Inventory[[#This Row],[Adjusted Total]]-Inventory[[#This Row],[24Final]])/Inventory[[#This Row],[24Final]]</f>
        <v>8.3547557840616973E-2</v>
      </c>
    </row>
    <row r="591" spans="1:73" x14ac:dyDescent="0.3">
      <c r="A591" s="25">
        <v>2025</v>
      </c>
      <c r="B591" s="26" t="s">
        <v>809</v>
      </c>
      <c r="C591" s="26">
        <f>LN(Inventory[[#This Row],[Acres]])</f>
        <v>-1.6094379124341003</v>
      </c>
      <c r="D591" s="25">
        <v>0.2</v>
      </c>
      <c r="E591" s="25">
        <v>8754</v>
      </c>
      <c r="F591" s="26" t="s">
        <v>537</v>
      </c>
      <c r="G591" s="26" t="s">
        <v>126</v>
      </c>
      <c r="H591" s="26" t="s">
        <v>349</v>
      </c>
      <c r="I591" s="26" t="s">
        <v>538</v>
      </c>
      <c r="J591" s="26" t="s">
        <v>539</v>
      </c>
      <c r="K591" s="26" t="s">
        <v>242</v>
      </c>
      <c r="L591" s="26" t="s">
        <v>302</v>
      </c>
      <c r="M591" s="26" t="s">
        <v>323</v>
      </c>
      <c r="N591" s="26">
        <v>70</v>
      </c>
      <c r="O591" s="26">
        <f>2024-Inventory[[#This Row],[YrBlt]]</f>
        <v>69</v>
      </c>
      <c r="P591" s="26">
        <f>2024-Inventory[[#This Row],[EffYr]]</f>
        <v>50</v>
      </c>
      <c r="Q591" s="25">
        <v>1955</v>
      </c>
      <c r="R591" s="25">
        <v>1974</v>
      </c>
      <c r="S591" s="25">
        <v>1185</v>
      </c>
      <c r="T591" s="31"/>
      <c r="U591" s="25">
        <v>660</v>
      </c>
      <c r="V591" s="25">
        <f>Inventory[[#This Row],[Bsmt]]-Inventory[[#This Row],[FnBsmt]]</f>
        <v>0</v>
      </c>
      <c r="W591" s="25">
        <v>660</v>
      </c>
      <c r="X591" s="27"/>
      <c r="Y591" s="27">
        <f>Inventory[[#This Row],[MainFn]]+Inventory[[#This Row],[UpprFn]]+Inventory[[#This Row],[FnBsmt]]+Inventory[[#This Row],[AddFn]]</f>
        <v>1845</v>
      </c>
      <c r="Z591" s="27">
        <v>2000</v>
      </c>
      <c r="AA591" s="25">
        <v>9</v>
      </c>
      <c r="AB591" s="27"/>
      <c r="AC591" s="32">
        <v>525</v>
      </c>
      <c r="AD591" s="32">
        <v>666</v>
      </c>
      <c r="AE591" s="27"/>
      <c r="AF591" s="27"/>
      <c r="AG591" s="27"/>
      <c r="AH591" s="27"/>
      <c r="AI591" s="25">
        <v>367055</v>
      </c>
      <c r="AJ591" s="25">
        <v>256939</v>
      </c>
      <c r="AK591" s="25">
        <v>0</v>
      </c>
      <c r="AL591" s="25">
        <v>323300</v>
      </c>
      <c r="AM591" s="25">
        <v>58400</v>
      </c>
      <c r="AN591" s="25">
        <v>264900</v>
      </c>
      <c r="AO591" s="25">
        <v>0</v>
      </c>
      <c r="AP591" s="25">
        <f>Lookups!$B$56*0</f>
        <v>0</v>
      </c>
      <c r="AQ591" s="25">
        <f>Lookups!$B$56*1</f>
        <v>89850.625589999996</v>
      </c>
      <c r="AR591" s="25">
        <f>Lookups!$B$57*Inventory[[#This Row],[LnAcres]]</f>
        <v>-50946.13867709865</v>
      </c>
      <c r="AS591" s="25">
        <f>VLOOKUP(Inventory[[#This Row],[Qlty]],Lookups!$A$62:$E$75,2,FALSE)</f>
        <v>29814.093161000001</v>
      </c>
      <c r="AT591" s="25">
        <f>VLOOKUP(Inventory[[#This Row],[Cnd]],Lookups!$A$76:$E$84,2,FALSE)</f>
        <v>160472.20319</v>
      </c>
      <c r="AU591" s="25">
        <f>Inventory[[#This Row],[EffAge]]*Lookups!$B$85</f>
        <v>-11152.280025</v>
      </c>
      <c r="AV591" s="25">
        <f>Inventory[[#This Row],[MainFn]]*Lookups!$B$86</f>
        <v>58549.273804245</v>
      </c>
      <c r="AW591" s="25">
        <f>Inventory[[#This Row],[UpprFn]]*Lookups!$B$87</f>
        <v>0</v>
      </c>
      <c r="AX591" s="25">
        <f>Inventory[[#This Row],[AddFn]]*Lookups!$B$88</f>
        <v>0</v>
      </c>
      <c r="AY591" s="25">
        <f>Inventory[[#This Row],[Bsmt]]*Lookups!$B$89</f>
        <v>19194.050863019998</v>
      </c>
      <c r="AZ591" s="25">
        <f>Inventory[[#This Row],[Fixtures]]*Lookups!$B$90</f>
        <v>34128.198946800003</v>
      </c>
      <c r="BA591" s="25">
        <f>Inventory[[#This Row],[WdDeck]]*Lookups!$B$91</f>
        <v>22174.813173816001</v>
      </c>
      <c r="BB591" s="25">
        <f>ROUND(Inventory[[#This Row],[25Det]],-2)</f>
        <v>0</v>
      </c>
      <c r="BC591" s="25">
        <f>ROUND(SUM(Inventory[[#This Row],[Mdl Qlty]:[Mdl WdDeck]])+Inventory[[#This Row],[Mdl Res Intercept]],-2)</f>
        <v>313200</v>
      </c>
      <c r="BD591" s="25">
        <f>ROUND(Inventory[[#This Row],[Mdl Land Intercept]]+Inventory[[#This Row],[Mdl LnAcres]],-2)</f>
        <v>38900</v>
      </c>
      <c r="BE591" s="25">
        <f>Inventory[[#This Row],[Unadj Res Value]]+Inventory[[#This Row],[Unadj Det Value]]+Inventory[[#This Row],[Unadj Land Value]]</f>
        <v>352100</v>
      </c>
      <c r="BF591" s="36">
        <f>(Inventory[[#This Row],[Unadj Total Value]]-Inventory[[#This Row],[24Final]])/Inventory[[#This Row],[24Final]]</f>
        <v>8.9081348592638415E-2</v>
      </c>
      <c r="BG591" s="25">
        <f>VLOOKUP(Inventory[[#This Row],[Nbhd]],Lookups!$Q$2:$T$4,4,FALSE)</f>
        <v>0.99970000000000003</v>
      </c>
      <c r="BH591" s="25">
        <f>VLOOKUP(Inventory[[#This Row],[Qlty]],Lookups!$O$7:$R$21,4,FALSE)</f>
        <v>1.0088999999999999</v>
      </c>
      <c r="BI591" s="25">
        <f>VLOOKUP(Inventory[[#This Row],[Cnd]],Lookups!$T$7:$W$16,4,FALSE)</f>
        <v>0.99729999999999996</v>
      </c>
      <c r="BJ591" s="25">
        <f>VLOOKUP(Inventory[[#This Row],[LivArea Range]],Lookups!$T$25:$W$37,4,FALSE)</f>
        <v>1.0093000000000001</v>
      </c>
      <c r="BK591" s="25">
        <f>VLOOKUP(Inventory[[#This Row],[Decade]],Lookups!$O$25:$R$42,4,FALSE)</f>
        <v>1.0199</v>
      </c>
      <c r="BL591" s="25">
        <f>Inventory[[#This Row],[Nbhd Adj]]*0.95</f>
        <v>0.94971499999999998</v>
      </c>
      <c r="BM591" s="25">
        <f>Inventory[[#This Row],[Nbhd Adj]]*Inventory[[#This Row],[Quality Adj]]*Inventory[[#This Row],[Condition Adj]]*Inventory[[#This Row],[Living Area Adj]]*Inventory[[#This Row],[Decade Adj]]*0.95</f>
        <v>0.98366020862665582</v>
      </c>
      <c r="BN591" s="25">
        <f>ROUND(SUM(Inventory[[#This Row],[Mdl Qlty]:[Mdl WdDeck]])+Inventory[[#This Row],[Mdl Res Intercept]]*Inventory[[#This Row],[Res Adj ]],-2)</f>
        <v>313200</v>
      </c>
      <c r="BO591" s="25">
        <f>ROUND(Inventory[[#This Row],[25Det]]*Inventory[[#This Row],[Det/Nbhd Adj]],-2)</f>
        <v>0</v>
      </c>
      <c r="BP591" s="25">
        <f>Inventory[[#This Row],[Adjusted Res]]+Inventory[[#This Row],[Adj Det ]]</f>
        <v>313200</v>
      </c>
      <c r="BQ591" s="25">
        <f>ROUND((Inventory[[#This Row],[Mdl Land Intercept]]+Inventory[[#This Row],[Mdl LnAcres]])*Inventory[[#This Row],[Det/Nbhd Adj]],-2)</f>
        <v>36900</v>
      </c>
      <c r="BR591" s="25">
        <f>Inventory[[#This Row],[Adjusted Impr Total]]+Inventory[[#This Row],[Adjusted Land Total]]</f>
        <v>350100</v>
      </c>
      <c r="BS591" s="36">
        <f>IFERROR((Inventory[[#This Row],[Adjusted Impr Total]]-Inventory[[#This Row],[24Bldg]])/Inventory[[#This Row],[24Bldg]],0)</f>
        <v>0.18233295583238959</v>
      </c>
      <c r="BT591" s="36">
        <f>(Inventory[[#This Row],[Adjusted Land Total]]-Inventory[[#This Row],[24Lnd]])/Inventory[[#This Row],[24Lnd]]</f>
        <v>-0.36815068493150682</v>
      </c>
      <c r="BU591" s="36">
        <f>(Inventory[[#This Row],[Adjusted Total]]-Inventory[[#This Row],[24Final]])/Inventory[[#This Row],[24Final]]</f>
        <v>8.2895143829260748E-2</v>
      </c>
    </row>
    <row r="592" spans="1:73" x14ac:dyDescent="0.3">
      <c r="A592" s="25">
        <v>2025</v>
      </c>
      <c r="B592" s="26" t="s">
        <v>2024</v>
      </c>
      <c r="C592" s="26">
        <f>LN(Inventory[[#This Row],[Acres]])</f>
        <v>-1.4271163556401458</v>
      </c>
      <c r="D592" s="25">
        <v>0.24</v>
      </c>
      <c r="E592" s="31"/>
      <c r="F592" s="26" t="s">
        <v>537</v>
      </c>
      <c r="G592" s="26" t="s">
        <v>126</v>
      </c>
      <c r="H592" s="26" t="s">
        <v>349</v>
      </c>
      <c r="I592" s="26" t="s">
        <v>538</v>
      </c>
      <c r="J592" s="26" t="s">
        <v>539</v>
      </c>
      <c r="K592" s="26" t="s">
        <v>242</v>
      </c>
      <c r="L592" s="26" t="s">
        <v>351</v>
      </c>
      <c r="M592" s="26" t="s">
        <v>323</v>
      </c>
      <c r="N592" s="26">
        <v>70</v>
      </c>
      <c r="O592" s="26">
        <f>2024-Inventory[[#This Row],[YrBlt]]</f>
        <v>69</v>
      </c>
      <c r="P592" s="26">
        <f>2024-Inventory[[#This Row],[EffYr]]</f>
        <v>50</v>
      </c>
      <c r="Q592" s="25">
        <v>1955</v>
      </c>
      <c r="R592" s="25">
        <v>1974</v>
      </c>
      <c r="S592" s="25">
        <v>1657</v>
      </c>
      <c r="T592" s="31"/>
      <c r="U592" s="31"/>
      <c r="V592" s="31">
        <f>Inventory[[#This Row],[Bsmt]]-Inventory[[#This Row],[FnBsmt]]</f>
        <v>0</v>
      </c>
      <c r="W592" s="31"/>
      <c r="X592" s="27"/>
      <c r="Y592" s="27">
        <f>Inventory[[#This Row],[MainFn]]+Inventory[[#This Row],[UpprFn]]+Inventory[[#This Row],[FnBsmt]]+Inventory[[#This Row],[AddFn]]</f>
        <v>1657</v>
      </c>
      <c r="Z592" s="27">
        <v>2000</v>
      </c>
      <c r="AA592" s="25">
        <v>8</v>
      </c>
      <c r="AB592" s="27"/>
      <c r="AC592" s="27"/>
      <c r="AD592" s="25">
        <v>540</v>
      </c>
      <c r="AE592" s="27"/>
      <c r="AF592" s="27"/>
      <c r="AG592" s="27"/>
      <c r="AH592" s="27"/>
      <c r="AI592" s="25">
        <v>283529</v>
      </c>
      <c r="AJ592" s="25">
        <v>198470</v>
      </c>
      <c r="AK592" s="25">
        <v>21225</v>
      </c>
      <c r="AL592" s="25">
        <v>336400</v>
      </c>
      <c r="AM592" s="25">
        <v>64800</v>
      </c>
      <c r="AN592" s="25">
        <v>271600</v>
      </c>
      <c r="AO592" s="25">
        <v>0</v>
      </c>
      <c r="AP592" s="25">
        <f>Lookups!$B$56*0</f>
        <v>0</v>
      </c>
      <c r="AQ592" s="25">
        <f>Lookups!$B$56*1</f>
        <v>89850.625589999996</v>
      </c>
      <c r="AR592" s="25">
        <f>Lookups!$B$57*Inventory[[#This Row],[LnAcres]]</f>
        <v>-45174.819855485119</v>
      </c>
      <c r="AS592" s="25">
        <f>VLOOKUP(Inventory[[#This Row],[Qlty]],Lookups!$A$62:$E$75,2,FALSE)</f>
        <v>21557.329055999999</v>
      </c>
      <c r="AT592" s="25">
        <f>VLOOKUP(Inventory[[#This Row],[Cnd]],Lookups!$A$76:$E$84,2,FALSE)</f>
        <v>160472.20319</v>
      </c>
      <c r="AU592" s="25">
        <f>Inventory[[#This Row],[EffAge]]*Lookups!$B$85</f>
        <v>-11152.280025</v>
      </c>
      <c r="AV592" s="25">
        <f>Inventory[[#This Row],[MainFn]]*Lookups!$B$86</f>
        <v>81870.165986189008</v>
      </c>
      <c r="AW592" s="25">
        <f>Inventory[[#This Row],[UpprFn]]*Lookups!$B$87</f>
        <v>0</v>
      </c>
      <c r="AX592" s="25">
        <f>Inventory[[#This Row],[AddFn]]*Lookups!$B$88</f>
        <v>0</v>
      </c>
      <c r="AY592" s="25">
        <f>Inventory[[#This Row],[Bsmt]]*Lookups!$B$89</f>
        <v>0</v>
      </c>
      <c r="AZ592" s="25">
        <f>Inventory[[#This Row],[Fixtures]]*Lookups!$B$90</f>
        <v>30336.176841600001</v>
      </c>
      <c r="BA592" s="25">
        <f>Inventory[[#This Row],[WdDeck]]*Lookups!$B$91</f>
        <v>17979.578249040002</v>
      </c>
      <c r="BB592" s="25">
        <f>ROUND(Inventory[[#This Row],[25Det]],-2)</f>
        <v>21200</v>
      </c>
      <c r="BC592" s="25">
        <f>ROUND(SUM(Inventory[[#This Row],[Mdl Qlty]:[Mdl WdDeck]])+Inventory[[#This Row],[Mdl Res Intercept]],-2)</f>
        <v>301100</v>
      </c>
      <c r="BD592" s="25">
        <f>ROUND(Inventory[[#This Row],[Mdl Land Intercept]]+Inventory[[#This Row],[Mdl LnAcres]],-2)</f>
        <v>44700</v>
      </c>
      <c r="BE592" s="25">
        <f>Inventory[[#This Row],[Unadj Res Value]]+Inventory[[#This Row],[Unadj Det Value]]+Inventory[[#This Row],[Unadj Land Value]]</f>
        <v>367000</v>
      </c>
      <c r="BF592" s="36">
        <f>(Inventory[[#This Row],[Unadj Total Value]]-Inventory[[#This Row],[24Final]])/Inventory[[#This Row],[24Final]]</f>
        <v>9.0963139120095127E-2</v>
      </c>
      <c r="BG592" s="25">
        <f>VLOOKUP(Inventory[[#This Row],[Nbhd]],Lookups!$Q$2:$T$4,4,FALSE)</f>
        <v>0.99970000000000003</v>
      </c>
      <c r="BH592" s="25">
        <f>VLOOKUP(Inventory[[#This Row],[Qlty]],Lookups!$O$7:$R$21,4,FALSE)</f>
        <v>1.0067999999999999</v>
      </c>
      <c r="BI592" s="25">
        <f>VLOOKUP(Inventory[[#This Row],[Cnd]],Lookups!$T$7:$W$16,4,FALSE)</f>
        <v>0.99729999999999996</v>
      </c>
      <c r="BJ592" s="25">
        <f>VLOOKUP(Inventory[[#This Row],[LivArea Range]],Lookups!$T$25:$W$37,4,FALSE)</f>
        <v>1.0093000000000001</v>
      </c>
      <c r="BK592" s="25">
        <f>VLOOKUP(Inventory[[#This Row],[Decade]],Lookups!$O$25:$R$42,4,FALSE)</f>
        <v>1.0199</v>
      </c>
      <c r="BL592" s="25">
        <f>Inventory[[#This Row],[Nbhd Adj]]*0.95</f>
        <v>0.94971499999999998</v>
      </c>
      <c r="BM592" s="25">
        <f>Inventory[[#This Row],[Nbhd Adj]]*Inventory[[#This Row],[Quality Adj]]*Inventory[[#This Row],[Condition Adj]]*Inventory[[#This Row],[Living Area Adj]]*Inventory[[#This Row],[Decade Adj]]*0.95</f>
        <v>0.98161274461821502</v>
      </c>
      <c r="BN592" s="25">
        <f>ROUND(SUM(Inventory[[#This Row],[Mdl Qlty]:[Mdl WdDeck]])+Inventory[[#This Row],[Mdl Res Intercept]]*Inventory[[#This Row],[Res Adj ]],-2)</f>
        <v>301100</v>
      </c>
      <c r="BO592" s="25">
        <f>ROUND(Inventory[[#This Row],[25Det]]*Inventory[[#This Row],[Det/Nbhd Adj]],-2)</f>
        <v>20200</v>
      </c>
      <c r="BP592" s="25">
        <f>Inventory[[#This Row],[Adjusted Res]]+Inventory[[#This Row],[Adj Det ]]</f>
        <v>321300</v>
      </c>
      <c r="BQ592" s="25">
        <f>ROUND((Inventory[[#This Row],[Mdl Land Intercept]]+Inventory[[#This Row],[Mdl LnAcres]])*Inventory[[#This Row],[Det/Nbhd Adj]],-2)</f>
        <v>42400</v>
      </c>
      <c r="BR592" s="25">
        <f>Inventory[[#This Row],[Adjusted Impr Total]]+Inventory[[#This Row],[Adjusted Land Total]]</f>
        <v>363700</v>
      </c>
      <c r="BS592" s="36">
        <f>IFERROR((Inventory[[#This Row],[Adjusted Impr Total]]-Inventory[[#This Row],[24Bldg]])/Inventory[[#This Row],[24Bldg]],0)</f>
        <v>0.18298969072164947</v>
      </c>
      <c r="BT592" s="36">
        <f>(Inventory[[#This Row],[Adjusted Land Total]]-Inventory[[#This Row],[24Lnd]])/Inventory[[#This Row],[24Lnd]]</f>
        <v>-0.34567901234567899</v>
      </c>
      <c r="BU592" s="36">
        <f>(Inventory[[#This Row],[Adjusted Total]]-Inventory[[#This Row],[24Final]])/Inventory[[#This Row],[24Final]]</f>
        <v>8.1153388822829964E-2</v>
      </c>
    </row>
    <row r="593" spans="1:73" x14ac:dyDescent="0.3">
      <c r="A593" s="25">
        <v>2025</v>
      </c>
      <c r="B593" s="26" t="s">
        <v>756</v>
      </c>
      <c r="C593" s="26">
        <f>LN(Inventory[[#This Row],[Acres]])</f>
        <v>-1.5141277326297755</v>
      </c>
      <c r="D593" s="25">
        <v>0.22</v>
      </c>
      <c r="E593" s="25">
        <v>9496</v>
      </c>
      <c r="F593" s="26" t="s">
        <v>537</v>
      </c>
      <c r="G593" s="26" t="s">
        <v>126</v>
      </c>
      <c r="H593" s="26" t="s">
        <v>349</v>
      </c>
      <c r="I593" s="26" t="s">
        <v>538</v>
      </c>
      <c r="J593" s="26" t="s">
        <v>539</v>
      </c>
      <c r="K593" s="26" t="s">
        <v>241</v>
      </c>
      <c r="L593" s="26" t="s">
        <v>302</v>
      </c>
      <c r="M593" s="26" t="s">
        <v>323</v>
      </c>
      <c r="N593" s="26">
        <v>70</v>
      </c>
      <c r="O593" s="26">
        <f>2024-Inventory[[#This Row],[YrBlt]]</f>
        <v>69</v>
      </c>
      <c r="P593" s="26">
        <f>2024-Inventory[[#This Row],[EffYr]]</f>
        <v>50</v>
      </c>
      <c r="Q593" s="25">
        <v>1955</v>
      </c>
      <c r="R593" s="25">
        <v>1974</v>
      </c>
      <c r="S593" s="25">
        <v>1225</v>
      </c>
      <c r="T593" s="31"/>
      <c r="U593" s="25">
        <v>985</v>
      </c>
      <c r="V593" s="25">
        <f>Inventory[[#This Row],[Bsmt]]-Inventory[[#This Row],[FnBsmt]]</f>
        <v>985</v>
      </c>
      <c r="W593" s="31"/>
      <c r="X593" s="27"/>
      <c r="Y593" s="27">
        <f>Inventory[[#This Row],[MainFn]]+Inventory[[#This Row],[UpprFn]]+Inventory[[#This Row],[FnBsmt]]+Inventory[[#This Row],[AddFn]]</f>
        <v>1225</v>
      </c>
      <c r="Z593" s="27">
        <v>1500</v>
      </c>
      <c r="AA593" s="25">
        <v>5</v>
      </c>
      <c r="AB593" s="27"/>
      <c r="AC593" s="32">
        <v>240</v>
      </c>
      <c r="AD593" s="27"/>
      <c r="AE593" s="27"/>
      <c r="AF593" s="27"/>
      <c r="AG593" s="27"/>
      <c r="AH593" s="27"/>
      <c r="AI593" s="25">
        <v>293683</v>
      </c>
      <c r="AJ593" s="25">
        <v>205578</v>
      </c>
      <c r="AK593" s="25">
        <v>0</v>
      </c>
      <c r="AL593" s="25">
        <v>303900</v>
      </c>
      <c r="AM593" s="25">
        <v>61700</v>
      </c>
      <c r="AN593" s="25">
        <v>242200</v>
      </c>
      <c r="AO593" s="25">
        <v>0</v>
      </c>
      <c r="AP593" s="25">
        <f>Lookups!$B$56*0</f>
        <v>0</v>
      </c>
      <c r="AQ593" s="25">
        <f>Lookups!$B$56*1</f>
        <v>89850.625589999996</v>
      </c>
      <c r="AR593" s="25">
        <f>Lookups!$B$57*Inventory[[#This Row],[LnAcres]]</f>
        <v>-47929.131559187132</v>
      </c>
      <c r="AS593" s="25">
        <f>VLOOKUP(Inventory[[#This Row],[Qlty]],Lookups!$A$62:$E$75,2,FALSE)</f>
        <v>29814.093161000001</v>
      </c>
      <c r="AT593" s="25">
        <f>VLOOKUP(Inventory[[#This Row],[Cnd]],Lookups!$A$76:$E$84,2,FALSE)</f>
        <v>160472.20319</v>
      </c>
      <c r="AU593" s="25">
        <f>Inventory[[#This Row],[EffAge]]*Lookups!$B$85</f>
        <v>-11152.280025</v>
      </c>
      <c r="AV593" s="25">
        <f>Inventory[[#This Row],[MainFn]]*Lookups!$B$86</f>
        <v>60525.620599325004</v>
      </c>
      <c r="AW593" s="25">
        <f>Inventory[[#This Row],[UpprFn]]*Lookups!$B$87</f>
        <v>0</v>
      </c>
      <c r="AX593" s="25">
        <f>Inventory[[#This Row],[AddFn]]*Lookups!$B$88</f>
        <v>0</v>
      </c>
      <c r="AY593" s="25">
        <f>Inventory[[#This Row],[Bsmt]]*Lookups!$B$89</f>
        <v>28645.666818294998</v>
      </c>
      <c r="AZ593" s="25">
        <f>Inventory[[#This Row],[Fixtures]]*Lookups!$B$90</f>
        <v>18960.110526</v>
      </c>
      <c r="BA593" s="25">
        <f>Inventory[[#This Row],[WdDeck]]*Lookups!$B$91</f>
        <v>0</v>
      </c>
      <c r="BB593" s="25">
        <f>ROUND(Inventory[[#This Row],[25Det]],-2)</f>
        <v>0</v>
      </c>
      <c r="BC593" s="25">
        <f>ROUND(SUM(Inventory[[#This Row],[Mdl Qlty]:[Mdl WdDeck]])+Inventory[[#This Row],[Mdl Res Intercept]],-2)</f>
        <v>287300</v>
      </c>
      <c r="BD593" s="25">
        <f>ROUND(Inventory[[#This Row],[Mdl Land Intercept]]+Inventory[[#This Row],[Mdl LnAcres]],-2)</f>
        <v>41900</v>
      </c>
      <c r="BE593" s="25">
        <f>Inventory[[#This Row],[Unadj Res Value]]+Inventory[[#This Row],[Unadj Det Value]]+Inventory[[#This Row],[Unadj Land Value]]</f>
        <v>329200</v>
      </c>
      <c r="BF593" s="36">
        <f>(Inventory[[#This Row],[Unadj Total Value]]-Inventory[[#This Row],[24Final]])/Inventory[[#This Row],[24Final]]</f>
        <v>8.3251069430733793E-2</v>
      </c>
      <c r="BG593" s="25">
        <f>VLOOKUP(Inventory[[#This Row],[Nbhd]],Lookups!$Q$2:$T$4,4,FALSE)</f>
        <v>0.99970000000000003</v>
      </c>
      <c r="BH593" s="25">
        <f>VLOOKUP(Inventory[[#This Row],[Qlty]],Lookups!$O$7:$R$21,4,FALSE)</f>
        <v>1.0088999999999999</v>
      </c>
      <c r="BI593" s="25">
        <f>VLOOKUP(Inventory[[#This Row],[Cnd]],Lookups!$T$7:$W$16,4,FALSE)</f>
        <v>0.99729999999999996</v>
      </c>
      <c r="BJ593" s="25">
        <f>VLOOKUP(Inventory[[#This Row],[LivArea Range]],Lookups!$T$25:$W$37,4,FALSE)</f>
        <v>1.0157</v>
      </c>
      <c r="BK593" s="25">
        <f>VLOOKUP(Inventory[[#This Row],[Decade]],Lookups!$O$25:$R$42,4,FALSE)</f>
        <v>1.0199</v>
      </c>
      <c r="BL593" s="25">
        <f>Inventory[[#This Row],[Nbhd Adj]]*0.95</f>
        <v>0.94971499999999998</v>
      </c>
      <c r="BM593" s="25">
        <f>Inventory[[#This Row],[Nbhd Adj]]*Inventory[[#This Row],[Quality Adj]]*Inventory[[#This Row],[Condition Adj]]*Inventory[[#This Row],[Living Area Adj]]*Inventory[[#This Row],[Decade Adj]]*0.95</f>
        <v>0.98989762598047604</v>
      </c>
      <c r="BN593" s="25">
        <f>ROUND(SUM(Inventory[[#This Row],[Mdl Qlty]:[Mdl WdDeck]])+Inventory[[#This Row],[Mdl Res Intercept]]*Inventory[[#This Row],[Res Adj ]],-2)</f>
        <v>287300</v>
      </c>
      <c r="BO593" s="25">
        <f>ROUND(Inventory[[#This Row],[25Det]]*Inventory[[#This Row],[Det/Nbhd Adj]],-2)</f>
        <v>0</v>
      </c>
      <c r="BP593" s="25">
        <f>Inventory[[#This Row],[Adjusted Res]]+Inventory[[#This Row],[Adj Det ]]</f>
        <v>287300</v>
      </c>
      <c r="BQ593" s="25">
        <f>ROUND((Inventory[[#This Row],[Mdl Land Intercept]]+Inventory[[#This Row],[Mdl LnAcres]])*Inventory[[#This Row],[Det/Nbhd Adj]],-2)</f>
        <v>39800</v>
      </c>
      <c r="BR593" s="25">
        <f>Inventory[[#This Row],[Adjusted Impr Total]]+Inventory[[#This Row],[Adjusted Land Total]]</f>
        <v>327100</v>
      </c>
      <c r="BS593" s="36">
        <f>IFERROR((Inventory[[#This Row],[Adjusted Impr Total]]-Inventory[[#This Row],[24Bldg]])/Inventory[[#This Row],[24Bldg]],0)</f>
        <v>0.18620974401321222</v>
      </c>
      <c r="BT593" s="36">
        <f>(Inventory[[#This Row],[Adjusted Land Total]]-Inventory[[#This Row],[24Lnd]])/Inventory[[#This Row],[24Lnd]]</f>
        <v>-0.35494327390599678</v>
      </c>
      <c r="BU593" s="36">
        <f>(Inventory[[#This Row],[Adjusted Total]]-Inventory[[#This Row],[24Final]])/Inventory[[#This Row],[24Final]]</f>
        <v>7.6340901612372489E-2</v>
      </c>
    </row>
    <row r="594" spans="1:73" x14ac:dyDescent="0.3">
      <c r="A594" s="25">
        <v>2025</v>
      </c>
      <c r="B594" s="26" t="s">
        <v>865</v>
      </c>
      <c r="C594" s="26">
        <f>LN(Inventory[[#This Row],[Acres]])</f>
        <v>-1.8971199848858813</v>
      </c>
      <c r="D594" s="25">
        <v>0.15</v>
      </c>
      <c r="E594" s="25">
        <v>6682</v>
      </c>
      <c r="F594" s="26" t="s">
        <v>537</v>
      </c>
      <c r="G594" s="26" t="s">
        <v>126</v>
      </c>
      <c r="H594" s="26" t="s">
        <v>349</v>
      </c>
      <c r="I594" s="26" t="s">
        <v>538</v>
      </c>
      <c r="J594" s="26" t="s">
        <v>539</v>
      </c>
      <c r="K594" s="26" t="s">
        <v>241</v>
      </c>
      <c r="L594" s="26" t="s">
        <v>148</v>
      </c>
      <c r="M594" s="26" t="s">
        <v>303</v>
      </c>
      <c r="N594" s="26">
        <v>70</v>
      </c>
      <c r="O594" s="26">
        <f>2024-Inventory[[#This Row],[YrBlt]]</f>
        <v>69</v>
      </c>
      <c r="P594" s="26">
        <f>2024-Inventory[[#This Row],[EffYr]]</f>
        <v>50</v>
      </c>
      <c r="Q594" s="25">
        <v>1955</v>
      </c>
      <c r="R594" s="25">
        <v>1974</v>
      </c>
      <c r="S594" s="25">
        <v>1336</v>
      </c>
      <c r="T594" s="27"/>
      <c r="U594" s="31"/>
      <c r="V594" s="27">
        <f>Inventory[[#This Row],[Bsmt]]-Inventory[[#This Row],[FnBsmt]]</f>
        <v>0</v>
      </c>
      <c r="W594" s="27"/>
      <c r="X594" s="27"/>
      <c r="Y594" s="27">
        <f>Inventory[[#This Row],[MainFn]]+Inventory[[#This Row],[UpprFn]]+Inventory[[#This Row],[FnBsmt]]+Inventory[[#This Row],[AddFn]]</f>
        <v>1336</v>
      </c>
      <c r="Z594" s="27">
        <v>1500</v>
      </c>
      <c r="AA594" s="25">
        <v>8</v>
      </c>
      <c r="AB594" s="27"/>
      <c r="AC594" s="27"/>
      <c r="AD594" s="27"/>
      <c r="AE594" s="27"/>
      <c r="AF594" s="27"/>
      <c r="AG594" s="27"/>
      <c r="AH594" s="27"/>
      <c r="AI594" s="25">
        <v>328656</v>
      </c>
      <c r="AJ594" s="25">
        <v>236632</v>
      </c>
      <c r="AK594" s="25">
        <v>0</v>
      </c>
      <c r="AL594" s="25">
        <v>330200</v>
      </c>
      <c r="AM594" s="25">
        <v>48400</v>
      </c>
      <c r="AN594" s="25">
        <v>281800</v>
      </c>
      <c r="AO594" s="25">
        <v>0</v>
      </c>
      <c r="AP594" s="25">
        <f>Lookups!$B$56*0</f>
        <v>0</v>
      </c>
      <c r="AQ594" s="25">
        <f>Lookups!$B$56*1</f>
        <v>89850.625589999996</v>
      </c>
      <c r="AR594" s="25">
        <f>Lookups!$B$57*Inventory[[#This Row],[LnAcres]]</f>
        <v>-60052.604136134301</v>
      </c>
      <c r="AS594" s="25">
        <f>VLOOKUP(Inventory[[#This Row],[Qlty]],Lookups!$A$62:$E$75,2,FALSE)</f>
        <v>44121.038090000002</v>
      </c>
      <c r="AT594" s="25">
        <f>VLOOKUP(Inventory[[#This Row],[Cnd]],Lookups!$A$76:$E$84,2,FALSE)</f>
        <v>197752.34721000001</v>
      </c>
      <c r="AU594" s="25">
        <f>Inventory[[#This Row],[EffAge]]*Lookups!$B$85</f>
        <v>-11152.280025</v>
      </c>
      <c r="AV594" s="25">
        <f>Inventory[[#This Row],[MainFn]]*Lookups!$B$86</f>
        <v>66009.982955672007</v>
      </c>
      <c r="AW594" s="25">
        <f>Inventory[[#This Row],[UpprFn]]*Lookups!$B$87</f>
        <v>0</v>
      </c>
      <c r="AX594" s="25">
        <f>Inventory[[#This Row],[AddFn]]*Lookups!$B$88</f>
        <v>0</v>
      </c>
      <c r="AY594" s="25">
        <f>Inventory[[#This Row],[Bsmt]]*Lookups!$B$89</f>
        <v>0</v>
      </c>
      <c r="AZ594" s="25">
        <f>Inventory[[#This Row],[Fixtures]]*Lookups!$B$90</f>
        <v>30336.176841600001</v>
      </c>
      <c r="BA594" s="25">
        <f>Inventory[[#This Row],[WdDeck]]*Lookups!$B$91</f>
        <v>0</v>
      </c>
      <c r="BB594" s="25">
        <f>ROUND(Inventory[[#This Row],[25Det]],-2)</f>
        <v>0</v>
      </c>
      <c r="BC594" s="25">
        <f>ROUND(SUM(Inventory[[#This Row],[Mdl Qlty]:[Mdl WdDeck]])+Inventory[[#This Row],[Mdl Res Intercept]],-2)</f>
        <v>327100</v>
      </c>
      <c r="BD594" s="25">
        <f>ROUND(Inventory[[#This Row],[Mdl Land Intercept]]+Inventory[[#This Row],[Mdl LnAcres]],-2)</f>
        <v>29800</v>
      </c>
      <c r="BE594" s="25">
        <f>Inventory[[#This Row],[Unadj Res Value]]+Inventory[[#This Row],[Unadj Det Value]]+Inventory[[#This Row],[Unadj Land Value]]</f>
        <v>356900</v>
      </c>
      <c r="BF594" s="36">
        <f>(Inventory[[#This Row],[Unadj Total Value]]-Inventory[[#This Row],[24Final]])/Inventory[[#This Row],[24Final]]</f>
        <v>8.0860084797092668E-2</v>
      </c>
      <c r="BG594" s="25">
        <f>VLOOKUP(Inventory[[#This Row],[Nbhd]],Lookups!$Q$2:$T$4,4,FALSE)</f>
        <v>0.99970000000000003</v>
      </c>
      <c r="BH594" s="25">
        <f>VLOOKUP(Inventory[[#This Row],[Qlty]],Lookups!$O$7:$R$21,4,FALSE)</f>
        <v>0.98050000000000004</v>
      </c>
      <c r="BI594" s="25">
        <f>VLOOKUP(Inventory[[#This Row],[Cnd]],Lookups!$T$7:$W$16,4,FALSE)</f>
        <v>0.99650000000000005</v>
      </c>
      <c r="BJ594" s="25">
        <f>VLOOKUP(Inventory[[#This Row],[LivArea Range]],Lookups!$T$25:$W$37,4,FALSE)</f>
        <v>1.0157</v>
      </c>
      <c r="BK594" s="25">
        <f>VLOOKUP(Inventory[[#This Row],[Decade]],Lookups!$O$25:$R$42,4,FALSE)</f>
        <v>1.0199</v>
      </c>
      <c r="BL594" s="25">
        <f>Inventory[[#This Row],[Nbhd Adj]]*0.95</f>
        <v>0.94971499999999998</v>
      </c>
      <c r="BM594" s="25">
        <f>Inventory[[#This Row],[Nbhd Adj]]*Inventory[[#This Row],[Quality Adj]]*Inventory[[#This Row],[Condition Adj]]*Inventory[[#This Row],[Living Area Adj]]*Inventory[[#This Row],[Decade Adj]]*0.95</f>
        <v>0.96126082309031724</v>
      </c>
      <c r="BN594" s="25">
        <f>ROUND(SUM(Inventory[[#This Row],[Mdl Qlty]:[Mdl WdDeck]])+Inventory[[#This Row],[Mdl Res Intercept]]*Inventory[[#This Row],[Res Adj ]],-2)</f>
        <v>327100</v>
      </c>
      <c r="BO594" s="25">
        <f>ROUND(Inventory[[#This Row],[25Det]]*Inventory[[#This Row],[Det/Nbhd Adj]],-2)</f>
        <v>0</v>
      </c>
      <c r="BP594" s="25">
        <f>Inventory[[#This Row],[Adjusted Res]]+Inventory[[#This Row],[Adj Det ]]</f>
        <v>327100</v>
      </c>
      <c r="BQ594" s="25">
        <f>ROUND((Inventory[[#This Row],[Mdl Land Intercept]]+Inventory[[#This Row],[Mdl LnAcres]])*Inventory[[#This Row],[Det/Nbhd Adj]],-2)</f>
        <v>28300</v>
      </c>
      <c r="BR594" s="25">
        <f>Inventory[[#This Row],[Adjusted Impr Total]]+Inventory[[#This Row],[Adjusted Land Total]]</f>
        <v>355400</v>
      </c>
      <c r="BS594" s="36">
        <f>IFERROR((Inventory[[#This Row],[Adjusted Impr Total]]-Inventory[[#This Row],[24Bldg]])/Inventory[[#This Row],[24Bldg]],0)</f>
        <v>0.16075230660042583</v>
      </c>
      <c r="BT594" s="36">
        <f>(Inventory[[#This Row],[Adjusted Land Total]]-Inventory[[#This Row],[24Lnd]])/Inventory[[#This Row],[24Lnd]]</f>
        <v>-0.41528925619834711</v>
      </c>
      <c r="BU594" s="36">
        <f>(Inventory[[#This Row],[Adjusted Total]]-Inventory[[#This Row],[24Final]])/Inventory[[#This Row],[24Final]]</f>
        <v>7.6317383403997574E-2</v>
      </c>
    </row>
    <row r="595" spans="1:73" x14ac:dyDescent="0.3">
      <c r="A595" s="25">
        <v>2025</v>
      </c>
      <c r="B595" s="26" t="s">
        <v>771</v>
      </c>
      <c r="C595" s="26">
        <f>LN(Inventory[[#This Row],[Acres]])</f>
        <v>-1.6607312068216509</v>
      </c>
      <c r="D595" s="25">
        <v>0.19</v>
      </c>
      <c r="E595" s="25">
        <v>8454</v>
      </c>
      <c r="F595" s="26" t="s">
        <v>537</v>
      </c>
      <c r="G595" s="26" t="s">
        <v>126</v>
      </c>
      <c r="H595" s="26" t="s">
        <v>349</v>
      </c>
      <c r="I595" s="26" t="s">
        <v>538</v>
      </c>
      <c r="J595" s="26" t="s">
        <v>539</v>
      </c>
      <c r="K595" s="26" t="s">
        <v>241</v>
      </c>
      <c r="L595" s="26" t="s">
        <v>351</v>
      </c>
      <c r="M595" s="26" t="s">
        <v>323</v>
      </c>
      <c r="N595" s="26">
        <v>70</v>
      </c>
      <c r="O595" s="26">
        <f>2024-Inventory[[#This Row],[YrBlt]]</f>
        <v>69</v>
      </c>
      <c r="P595" s="26">
        <f>2024-Inventory[[#This Row],[EffYr]]</f>
        <v>50</v>
      </c>
      <c r="Q595" s="25">
        <v>1955</v>
      </c>
      <c r="R595" s="25">
        <v>1974</v>
      </c>
      <c r="S595" s="25">
        <v>1029</v>
      </c>
      <c r="T595" s="27"/>
      <c r="U595" s="25">
        <v>1029</v>
      </c>
      <c r="V595" s="25">
        <f>Inventory[[#This Row],[Bsmt]]-Inventory[[#This Row],[FnBsmt]]</f>
        <v>1029</v>
      </c>
      <c r="W595" s="31"/>
      <c r="X595" s="27"/>
      <c r="Y595" s="27">
        <f>Inventory[[#This Row],[MainFn]]+Inventory[[#This Row],[UpprFn]]+Inventory[[#This Row],[FnBsmt]]+Inventory[[#This Row],[AddFn]]</f>
        <v>1029</v>
      </c>
      <c r="Z595" s="27">
        <v>1500</v>
      </c>
      <c r="AA595" s="25">
        <v>5</v>
      </c>
      <c r="AB595" s="31"/>
      <c r="AC595" s="27"/>
      <c r="AD595" s="31"/>
      <c r="AE595" s="27"/>
      <c r="AF595" s="27"/>
      <c r="AG595" s="27"/>
      <c r="AH595" s="27"/>
      <c r="AI595" s="25">
        <v>214497</v>
      </c>
      <c r="AJ595" s="25">
        <v>150148</v>
      </c>
      <c r="AK595" s="25">
        <v>5261</v>
      </c>
      <c r="AL595" s="25">
        <v>289000</v>
      </c>
      <c r="AM595" s="25">
        <v>56600</v>
      </c>
      <c r="AN595" s="25">
        <v>232400</v>
      </c>
      <c r="AO595" s="25">
        <v>0</v>
      </c>
      <c r="AP595" s="25">
        <f>Lookups!$B$56*0</f>
        <v>0</v>
      </c>
      <c r="AQ595" s="25">
        <f>Lookups!$B$56*1</f>
        <v>89850.625589999996</v>
      </c>
      <c r="AR595" s="25">
        <f>Lookups!$B$57*Inventory[[#This Row],[LnAcres]]</f>
        <v>-52569.808201026557</v>
      </c>
      <c r="AS595" s="25">
        <f>VLOOKUP(Inventory[[#This Row],[Qlty]],Lookups!$A$62:$E$75,2,FALSE)</f>
        <v>21557.329055999999</v>
      </c>
      <c r="AT595" s="25">
        <f>VLOOKUP(Inventory[[#This Row],[Cnd]],Lookups!$A$76:$E$84,2,FALSE)</f>
        <v>160472.20319</v>
      </c>
      <c r="AU595" s="25">
        <f>Inventory[[#This Row],[EffAge]]*Lookups!$B$85</f>
        <v>-11152.280025</v>
      </c>
      <c r="AV595" s="25">
        <f>Inventory[[#This Row],[MainFn]]*Lookups!$B$86</f>
        <v>50841.521303433001</v>
      </c>
      <c r="AW595" s="25">
        <f>Inventory[[#This Row],[UpprFn]]*Lookups!$B$87</f>
        <v>0</v>
      </c>
      <c r="AX595" s="25">
        <f>Inventory[[#This Row],[AddFn]]*Lookups!$B$88</f>
        <v>0</v>
      </c>
      <c r="AY595" s="25">
        <f>Inventory[[#This Row],[Bsmt]]*Lookups!$B$89</f>
        <v>29925.270209162998</v>
      </c>
      <c r="AZ595" s="25">
        <f>Inventory[[#This Row],[Fixtures]]*Lookups!$B$90</f>
        <v>18960.110526</v>
      </c>
      <c r="BA595" s="25">
        <f>Inventory[[#This Row],[WdDeck]]*Lookups!$B$91</f>
        <v>0</v>
      </c>
      <c r="BB595" s="25">
        <f>ROUND(Inventory[[#This Row],[25Det]],-2)</f>
        <v>5300</v>
      </c>
      <c r="BC595" s="25">
        <f>ROUND(SUM(Inventory[[#This Row],[Mdl Qlty]:[Mdl WdDeck]])+Inventory[[#This Row],[Mdl Res Intercept]],-2)</f>
        <v>270600</v>
      </c>
      <c r="BD595" s="25">
        <f>ROUND(Inventory[[#This Row],[Mdl Land Intercept]]+Inventory[[#This Row],[Mdl LnAcres]],-2)</f>
        <v>37300</v>
      </c>
      <c r="BE595" s="25">
        <f>Inventory[[#This Row],[Unadj Res Value]]+Inventory[[#This Row],[Unadj Det Value]]+Inventory[[#This Row],[Unadj Land Value]]</f>
        <v>313200</v>
      </c>
      <c r="BF595" s="36">
        <f>(Inventory[[#This Row],[Unadj Total Value]]-Inventory[[#This Row],[24Final]])/Inventory[[#This Row],[24Final]]</f>
        <v>8.3737024221453293E-2</v>
      </c>
      <c r="BG595" s="25">
        <f>VLOOKUP(Inventory[[#This Row],[Nbhd]],Lookups!$Q$2:$T$4,4,FALSE)</f>
        <v>0.99970000000000003</v>
      </c>
      <c r="BH595" s="25">
        <f>VLOOKUP(Inventory[[#This Row],[Qlty]],Lookups!$O$7:$R$21,4,FALSE)</f>
        <v>1.0067999999999999</v>
      </c>
      <c r="BI595" s="25">
        <f>VLOOKUP(Inventory[[#This Row],[Cnd]],Lookups!$T$7:$W$16,4,FALSE)</f>
        <v>0.99729999999999996</v>
      </c>
      <c r="BJ595" s="25">
        <f>VLOOKUP(Inventory[[#This Row],[LivArea Range]],Lookups!$T$25:$W$37,4,FALSE)</f>
        <v>1.0157</v>
      </c>
      <c r="BK595" s="25">
        <f>VLOOKUP(Inventory[[#This Row],[Decade]],Lookups!$O$25:$R$42,4,FALSE)</f>
        <v>1.0199</v>
      </c>
      <c r="BL595" s="25">
        <f>Inventory[[#This Row],[Nbhd Adj]]*0.95</f>
        <v>0.94971499999999998</v>
      </c>
      <c r="BM595" s="25">
        <f>Inventory[[#This Row],[Nbhd Adj]]*Inventory[[#This Row],[Quality Adj]]*Inventory[[#This Row],[Condition Adj]]*Inventory[[#This Row],[Living Area Adj]]*Inventory[[#This Row],[Decade Adj]]*0.95</f>
        <v>0.98783717894453682</v>
      </c>
      <c r="BN595" s="25">
        <f>ROUND(SUM(Inventory[[#This Row],[Mdl Qlty]:[Mdl WdDeck]])+Inventory[[#This Row],[Mdl Res Intercept]]*Inventory[[#This Row],[Res Adj ]],-2)</f>
        <v>270600</v>
      </c>
      <c r="BO595" s="25">
        <f>ROUND(Inventory[[#This Row],[25Det]]*Inventory[[#This Row],[Det/Nbhd Adj]],-2)</f>
        <v>5000</v>
      </c>
      <c r="BP595" s="25">
        <f>Inventory[[#This Row],[Adjusted Res]]+Inventory[[#This Row],[Adj Det ]]</f>
        <v>275600</v>
      </c>
      <c r="BQ595" s="25">
        <f>ROUND((Inventory[[#This Row],[Mdl Land Intercept]]+Inventory[[#This Row],[Mdl LnAcres]])*Inventory[[#This Row],[Det/Nbhd Adj]],-2)</f>
        <v>35400</v>
      </c>
      <c r="BR595" s="25">
        <f>Inventory[[#This Row],[Adjusted Impr Total]]+Inventory[[#This Row],[Adjusted Land Total]]</f>
        <v>311000</v>
      </c>
      <c r="BS595" s="36">
        <f>IFERROR((Inventory[[#This Row],[Adjusted Impr Total]]-Inventory[[#This Row],[24Bldg]])/Inventory[[#This Row],[24Bldg]],0)</f>
        <v>0.18588640275387264</v>
      </c>
      <c r="BT595" s="36">
        <f>(Inventory[[#This Row],[Adjusted Land Total]]-Inventory[[#This Row],[24Lnd]])/Inventory[[#This Row],[24Lnd]]</f>
        <v>-0.37455830388692579</v>
      </c>
      <c r="BU595" s="36">
        <f>(Inventory[[#This Row],[Adjusted Total]]-Inventory[[#This Row],[24Final]])/Inventory[[#This Row],[24Final]]</f>
        <v>7.6124567474048443E-2</v>
      </c>
    </row>
    <row r="596" spans="1:73" x14ac:dyDescent="0.3">
      <c r="A596" s="25">
        <v>2025</v>
      </c>
      <c r="B596" s="26" t="s">
        <v>812</v>
      </c>
      <c r="C596" s="26">
        <f>LN(Inventory[[#This Row],[Acres]])</f>
        <v>-1.6094379124341003</v>
      </c>
      <c r="D596" s="25">
        <v>0.2</v>
      </c>
      <c r="E596" s="25">
        <v>8871</v>
      </c>
      <c r="F596" s="26" t="s">
        <v>537</v>
      </c>
      <c r="G596" s="26" t="s">
        <v>126</v>
      </c>
      <c r="H596" s="26" t="s">
        <v>349</v>
      </c>
      <c r="I596" s="26" t="s">
        <v>538</v>
      </c>
      <c r="J596" s="26" t="s">
        <v>539</v>
      </c>
      <c r="K596" s="26" t="s">
        <v>241</v>
      </c>
      <c r="L596" s="26" t="s">
        <v>351</v>
      </c>
      <c r="M596" s="26" t="s">
        <v>323</v>
      </c>
      <c r="N596" s="26">
        <v>70</v>
      </c>
      <c r="O596" s="26">
        <f>2024-Inventory[[#This Row],[YrBlt]]</f>
        <v>69</v>
      </c>
      <c r="P596" s="26">
        <f>2024-Inventory[[#This Row],[EffYr]]</f>
        <v>50</v>
      </c>
      <c r="Q596" s="25">
        <v>1955</v>
      </c>
      <c r="R596" s="25">
        <v>1974</v>
      </c>
      <c r="S596" s="25">
        <v>1011</v>
      </c>
      <c r="T596" s="27"/>
      <c r="U596" s="25">
        <v>1004</v>
      </c>
      <c r="V596" s="25">
        <f>Inventory[[#This Row],[Bsmt]]-Inventory[[#This Row],[FnBsmt]]</f>
        <v>1004</v>
      </c>
      <c r="W596" s="25">
        <v>0</v>
      </c>
      <c r="X596" s="27"/>
      <c r="Y596" s="27">
        <f>Inventory[[#This Row],[MainFn]]+Inventory[[#This Row],[UpprFn]]+Inventory[[#This Row],[FnBsmt]]+Inventory[[#This Row],[AddFn]]</f>
        <v>1011</v>
      </c>
      <c r="Z596" s="27">
        <v>1500</v>
      </c>
      <c r="AA596" s="25">
        <v>5</v>
      </c>
      <c r="AB596" s="32">
        <v>264</v>
      </c>
      <c r="AC596" s="27"/>
      <c r="AD596" s="27"/>
      <c r="AE596" s="27"/>
      <c r="AF596" s="27"/>
      <c r="AG596" s="27"/>
      <c r="AH596" s="27"/>
      <c r="AI596" s="25">
        <v>222682</v>
      </c>
      <c r="AJ596" s="25">
        <v>155877</v>
      </c>
      <c r="AK596" s="25">
        <v>0</v>
      </c>
      <c r="AL596" s="25">
        <v>284900</v>
      </c>
      <c r="AM596" s="25">
        <v>58400</v>
      </c>
      <c r="AN596" s="25">
        <v>226500</v>
      </c>
      <c r="AO596" s="25">
        <v>0</v>
      </c>
      <c r="AP596" s="25">
        <f>Lookups!$B$56*0</f>
        <v>0</v>
      </c>
      <c r="AQ596" s="25">
        <f>Lookups!$B$56*1</f>
        <v>89850.625589999996</v>
      </c>
      <c r="AR596" s="25">
        <f>Lookups!$B$57*Inventory[[#This Row],[LnAcres]]</f>
        <v>-50946.13867709865</v>
      </c>
      <c r="AS596" s="25">
        <f>VLOOKUP(Inventory[[#This Row],[Qlty]],Lookups!$A$62:$E$75,2,FALSE)</f>
        <v>21557.329055999999</v>
      </c>
      <c r="AT596" s="25">
        <f>VLOOKUP(Inventory[[#This Row],[Cnd]],Lookups!$A$76:$E$84,2,FALSE)</f>
        <v>160472.20319</v>
      </c>
      <c r="AU596" s="25">
        <f>Inventory[[#This Row],[EffAge]]*Lookups!$B$85</f>
        <v>-11152.280025</v>
      </c>
      <c r="AV596" s="25">
        <f>Inventory[[#This Row],[MainFn]]*Lookups!$B$86</f>
        <v>49952.165245647004</v>
      </c>
      <c r="AW596" s="25">
        <f>Inventory[[#This Row],[UpprFn]]*Lookups!$B$87</f>
        <v>0</v>
      </c>
      <c r="AX596" s="25">
        <f>Inventory[[#This Row],[AddFn]]*Lookups!$B$88</f>
        <v>0</v>
      </c>
      <c r="AY596" s="25">
        <f>Inventory[[#This Row],[Bsmt]]*Lookups!$B$89</f>
        <v>29198.222827988</v>
      </c>
      <c r="AZ596" s="25">
        <f>Inventory[[#This Row],[Fixtures]]*Lookups!$B$90</f>
        <v>18960.110526</v>
      </c>
      <c r="BA596" s="25">
        <f>Inventory[[#This Row],[WdDeck]]*Lookups!$B$91</f>
        <v>0</v>
      </c>
      <c r="BB596" s="25">
        <f>ROUND(Inventory[[#This Row],[25Det]],-2)</f>
        <v>0</v>
      </c>
      <c r="BC596" s="25">
        <f>ROUND(SUM(Inventory[[#This Row],[Mdl Qlty]:[Mdl WdDeck]])+Inventory[[#This Row],[Mdl Res Intercept]],-2)</f>
        <v>269000</v>
      </c>
      <c r="BD596" s="25">
        <f>ROUND(Inventory[[#This Row],[Mdl Land Intercept]]+Inventory[[#This Row],[Mdl LnAcres]],-2)</f>
        <v>38900</v>
      </c>
      <c r="BE596" s="25">
        <f>Inventory[[#This Row],[Unadj Res Value]]+Inventory[[#This Row],[Unadj Det Value]]+Inventory[[#This Row],[Unadj Land Value]]</f>
        <v>307900</v>
      </c>
      <c r="BF596" s="36">
        <f>(Inventory[[#This Row],[Unadj Total Value]]-Inventory[[#This Row],[24Final]])/Inventory[[#This Row],[24Final]]</f>
        <v>8.0730080730080728E-2</v>
      </c>
      <c r="BG596" s="25">
        <f>VLOOKUP(Inventory[[#This Row],[Nbhd]],Lookups!$Q$2:$T$4,4,FALSE)</f>
        <v>0.99970000000000003</v>
      </c>
      <c r="BH596" s="25">
        <f>VLOOKUP(Inventory[[#This Row],[Qlty]],Lookups!$O$7:$R$21,4,FALSE)</f>
        <v>1.0067999999999999</v>
      </c>
      <c r="BI596" s="25">
        <f>VLOOKUP(Inventory[[#This Row],[Cnd]],Lookups!$T$7:$W$16,4,FALSE)</f>
        <v>0.99729999999999996</v>
      </c>
      <c r="BJ596" s="25">
        <f>VLOOKUP(Inventory[[#This Row],[LivArea Range]],Lookups!$T$25:$W$37,4,FALSE)</f>
        <v>1.0157</v>
      </c>
      <c r="BK596" s="25">
        <f>VLOOKUP(Inventory[[#This Row],[Decade]],Lookups!$O$25:$R$42,4,FALSE)</f>
        <v>1.0199</v>
      </c>
      <c r="BL596" s="25">
        <f>Inventory[[#This Row],[Nbhd Adj]]*0.95</f>
        <v>0.94971499999999998</v>
      </c>
      <c r="BM596" s="25">
        <f>Inventory[[#This Row],[Nbhd Adj]]*Inventory[[#This Row],[Quality Adj]]*Inventory[[#This Row],[Condition Adj]]*Inventory[[#This Row],[Living Area Adj]]*Inventory[[#This Row],[Decade Adj]]*0.95</f>
        <v>0.98783717894453682</v>
      </c>
      <c r="BN596" s="25">
        <f>ROUND(SUM(Inventory[[#This Row],[Mdl Qlty]:[Mdl WdDeck]])+Inventory[[#This Row],[Mdl Res Intercept]]*Inventory[[#This Row],[Res Adj ]],-2)</f>
        <v>269000</v>
      </c>
      <c r="BO596" s="25">
        <f>ROUND(Inventory[[#This Row],[25Det]]*Inventory[[#This Row],[Det/Nbhd Adj]],-2)</f>
        <v>0</v>
      </c>
      <c r="BP596" s="25">
        <f>Inventory[[#This Row],[Adjusted Res]]+Inventory[[#This Row],[Adj Det ]]</f>
        <v>269000</v>
      </c>
      <c r="BQ596" s="25">
        <f>ROUND((Inventory[[#This Row],[Mdl Land Intercept]]+Inventory[[#This Row],[Mdl LnAcres]])*Inventory[[#This Row],[Det/Nbhd Adj]],-2)</f>
        <v>36900</v>
      </c>
      <c r="BR596" s="25">
        <f>Inventory[[#This Row],[Adjusted Impr Total]]+Inventory[[#This Row],[Adjusted Land Total]]</f>
        <v>305900</v>
      </c>
      <c r="BS596" s="36">
        <f>IFERROR((Inventory[[#This Row],[Adjusted Impr Total]]-Inventory[[#This Row],[24Bldg]])/Inventory[[#This Row],[24Bldg]],0)</f>
        <v>0.18763796909492272</v>
      </c>
      <c r="BT596" s="36">
        <f>(Inventory[[#This Row],[Adjusted Land Total]]-Inventory[[#This Row],[24Lnd]])/Inventory[[#This Row],[24Lnd]]</f>
        <v>-0.36815068493150682</v>
      </c>
      <c r="BU596" s="36">
        <f>(Inventory[[#This Row],[Adjusted Total]]-Inventory[[#This Row],[24Final]])/Inventory[[#This Row],[24Final]]</f>
        <v>7.3710073710073709E-2</v>
      </c>
    </row>
    <row r="597" spans="1:73" x14ac:dyDescent="0.3">
      <c r="A597" s="25">
        <v>2025</v>
      </c>
      <c r="B597" s="26" t="s">
        <v>857</v>
      </c>
      <c r="C597" s="26">
        <f>LN(Inventory[[#This Row],[Acres]])</f>
        <v>-1.8971199848858813</v>
      </c>
      <c r="D597" s="25">
        <v>0.15</v>
      </c>
      <c r="E597" s="25">
        <v>6747</v>
      </c>
      <c r="F597" s="26" t="s">
        <v>537</v>
      </c>
      <c r="G597" s="26" t="s">
        <v>126</v>
      </c>
      <c r="H597" s="26" t="s">
        <v>349</v>
      </c>
      <c r="I597" s="26" t="s">
        <v>538</v>
      </c>
      <c r="J597" s="26" t="s">
        <v>539</v>
      </c>
      <c r="K597" s="26" t="s">
        <v>241</v>
      </c>
      <c r="L597" s="26" t="s">
        <v>148</v>
      </c>
      <c r="M597" s="26" t="s">
        <v>323</v>
      </c>
      <c r="N597" s="26">
        <v>70</v>
      </c>
      <c r="O597" s="26">
        <f>2024-Inventory[[#This Row],[YrBlt]]</f>
        <v>69</v>
      </c>
      <c r="P597" s="26">
        <f>2024-Inventory[[#This Row],[EffYr]]</f>
        <v>50</v>
      </c>
      <c r="Q597" s="25">
        <v>1955</v>
      </c>
      <c r="R597" s="25">
        <v>1974</v>
      </c>
      <c r="S597" s="25">
        <v>1282</v>
      </c>
      <c r="T597" s="31"/>
      <c r="U597" s="25">
        <v>1270</v>
      </c>
      <c r="V597" s="25">
        <f>Inventory[[#This Row],[Bsmt]]-Inventory[[#This Row],[FnBsmt]]</f>
        <v>635</v>
      </c>
      <c r="W597" s="25">
        <v>635</v>
      </c>
      <c r="X597" s="27"/>
      <c r="Y597" s="27">
        <f>Inventory[[#This Row],[MainFn]]+Inventory[[#This Row],[UpprFn]]+Inventory[[#This Row],[FnBsmt]]+Inventory[[#This Row],[AddFn]]</f>
        <v>1917</v>
      </c>
      <c r="Z597" s="27">
        <v>2000</v>
      </c>
      <c r="AA597" s="25">
        <v>8</v>
      </c>
      <c r="AB597" s="32">
        <v>406</v>
      </c>
      <c r="AC597" s="27"/>
      <c r="AD597" s="25">
        <v>288</v>
      </c>
      <c r="AE597" s="27"/>
      <c r="AF597" s="27"/>
      <c r="AG597" s="27"/>
      <c r="AH597" s="27"/>
      <c r="AI597" s="25">
        <v>428263</v>
      </c>
      <c r="AJ597" s="25">
        <v>299784</v>
      </c>
      <c r="AK597" s="25">
        <v>0</v>
      </c>
      <c r="AL597" s="25">
        <v>337500</v>
      </c>
      <c r="AM597" s="25">
        <v>48400</v>
      </c>
      <c r="AN597" s="25">
        <v>289100</v>
      </c>
      <c r="AO597" s="25">
        <v>0</v>
      </c>
      <c r="AP597" s="25">
        <f>Lookups!$B$56*0</f>
        <v>0</v>
      </c>
      <c r="AQ597" s="25">
        <f>Lookups!$B$56*1</f>
        <v>89850.625589999996</v>
      </c>
      <c r="AR597" s="25">
        <f>Lookups!$B$57*Inventory[[#This Row],[LnAcres]]</f>
        <v>-60052.604136134301</v>
      </c>
      <c r="AS597" s="25">
        <f>VLOOKUP(Inventory[[#This Row],[Qlty]],Lookups!$A$62:$E$75,2,FALSE)</f>
        <v>44121.038090000002</v>
      </c>
      <c r="AT597" s="25">
        <f>VLOOKUP(Inventory[[#This Row],[Cnd]],Lookups!$A$76:$E$84,2,FALSE)</f>
        <v>160472.20319</v>
      </c>
      <c r="AU597" s="25">
        <f>Inventory[[#This Row],[EffAge]]*Lookups!$B$85</f>
        <v>-11152.280025</v>
      </c>
      <c r="AV597" s="25">
        <f>Inventory[[#This Row],[MainFn]]*Lookups!$B$86</f>
        <v>63341.914782314001</v>
      </c>
      <c r="AW597" s="25">
        <f>Inventory[[#This Row],[UpprFn]]*Lookups!$B$87</f>
        <v>0</v>
      </c>
      <c r="AX597" s="25">
        <f>Inventory[[#This Row],[AddFn]]*Lookups!$B$88</f>
        <v>0</v>
      </c>
      <c r="AY597" s="25">
        <f>Inventory[[#This Row],[Bsmt]]*Lookups!$B$89</f>
        <v>36934.006963690001</v>
      </c>
      <c r="AZ597" s="25">
        <f>Inventory[[#This Row],[Fixtures]]*Lookups!$B$90</f>
        <v>30336.176841600001</v>
      </c>
      <c r="BA597" s="25">
        <f>Inventory[[#This Row],[WdDeck]]*Lookups!$B$91</f>
        <v>9589.1083994880009</v>
      </c>
      <c r="BB597" s="25">
        <f>ROUND(Inventory[[#This Row],[25Det]],-2)</f>
        <v>0</v>
      </c>
      <c r="BC597" s="25">
        <f>ROUND(SUM(Inventory[[#This Row],[Mdl Qlty]:[Mdl WdDeck]])+Inventory[[#This Row],[Mdl Res Intercept]],-2)</f>
        <v>333600</v>
      </c>
      <c r="BD597" s="25">
        <f>ROUND(Inventory[[#This Row],[Mdl Land Intercept]]+Inventory[[#This Row],[Mdl LnAcres]],-2)</f>
        <v>29800</v>
      </c>
      <c r="BE597" s="25">
        <f>Inventory[[#This Row],[Unadj Res Value]]+Inventory[[#This Row],[Unadj Det Value]]+Inventory[[#This Row],[Unadj Land Value]]</f>
        <v>363400</v>
      </c>
      <c r="BF597" s="36">
        <f>(Inventory[[#This Row],[Unadj Total Value]]-Inventory[[#This Row],[24Final]])/Inventory[[#This Row],[24Final]]</f>
        <v>7.6740740740740734E-2</v>
      </c>
      <c r="BG597" s="25">
        <f>VLOOKUP(Inventory[[#This Row],[Nbhd]],Lookups!$Q$2:$T$4,4,FALSE)</f>
        <v>0.99970000000000003</v>
      </c>
      <c r="BH597" s="25">
        <f>VLOOKUP(Inventory[[#This Row],[Qlty]],Lookups!$O$7:$R$21,4,FALSE)</f>
        <v>0.98050000000000004</v>
      </c>
      <c r="BI597" s="25">
        <f>VLOOKUP(Inventory[[#This Row],[Cnd]],Lookups!$T$7:$W$16,4,FALSE)</f>
        <v>0.99729999999999996</v>
      </c>
      <c r="BJ597" s="25">
        <f>VLOOKUP(Inventory[[#This Row],[LivArea Range]],Lookups!$T$25:$W$37,4,FALSE)</f>
        <v>1.0093000000000001</v>
      </c>
      <c r="BK597" s="25">
        <f>VLOOKUP(Inventory[[#This Row],[Decade]],Lookups!$O$25:$R$42,4,FALSE)</f>
        <v>1.0199</v>
      </c>
      <c r="BL597" s="25">
        <f>Inventory[[#This Row],[Nbhd Adj]]*0.95</f>
        <v>0.94971499999999998</v>
      </c>
      <c r="BM597" s="25">
        <f>Inventory[[#This Row],[Nbhd Adj]]*Inventory[[#This Row],[Quality Adj]]*Inventory[[#This Row],[Condition Adj]]*Inventory[[#This Row],[Living Area Adj]]*Inventory[[#This Row],[Decade Adj]]*0.95</f>
        <v>0.95597069536964641</v>
      </c>
      <c r="BN597" s="25">
        <f>ROUND(SUM(Inventory[[#This Row],[Mdl Qlty]:[Mdl WdDeck]])+Inventory[[#This Row],[Mdl Res Intercept]]*Inventory[[#This Row],[Res Adj ]],-2)</f>
        <v>333600</v>
      </c>
      <c r="BO597" s="25">
        <f>ROUND(Inventory[[#This Row],[25Det]]*Inventory[[#This Row],[Det/Nbhd Adj]],-2)</f>
        <v>0</v>
      </c>
      <c r="BP597" s="25">
        <f>Inventory[[#This Row],[Adjusted Res]]+Inventory[[#This Row],[Adj Det ]]</f>
        <v>333600</v>
      </c>
      <c r="BQ597" s="25">
        <f>ROUND((Inventory[[#This Row],[Mdl Land Intercept]]+Inventory[[#This Row],[Mdl LnAcres]])*Inventory[[#This Row],[Det/Nbhd Adj]],-2)</f>
        <v>28300</v>
      </c>
      <c r="BR597" s="25">
        <f>Inventory[[#This Row],[Adjusted Impr Total]]+Inventory[[#This Row],[Adjusted Land Total]]</f>
        <v>361900</v>
      </c>
      <c r="BS597" s="36">
        <f>IFERROR((Inventory[[#This Row],[Adjusted Impr Total]]-Inventory[[#This Row],[24Bldg]])/Inventory[[#This Row],[24Bldg]],0)</f>
        <v>0.15392597717052922</v>
      </c>
      <c r="BT597" s="36">
        <f>(Inventory[[#This Row],[Adjusted Land Total]]-Inventory[[#This Row],[24Lnd]])/Inventory[[#This Row],[24Lnd]]</f>
        <v>-0.41528925619834711</v>
      </c>
      <c r="BU597" s="36">
        <f>(Inventory[[#This Row],[Adjusted Total]]-Inventory[[#This Row],[24Final]])/Inventory[[#This Row],[24Final]]</f>
        <v>7.2296296296296303E-2</v>
      </c>
    </row>
    <row r="598" spans="1:73" x14ac:dyDescent="0.3">
      <c r="A598" s="25">
        <v>2025</v>
      </c>
      <c r="B598" s="26" t="s">
        <v>2812</v>
      </c>
      <c r="C598" s="26">
        <f>LN(Inventory[[#This Row],[Acres]])</f>
        <v>-1.4271163556401458</v>
      </c>
      <c r="D598" s="25">
        <v>0.24</v>
      </c>
      <c r="E598" s="25">
        <v>10271</v>
      </c>
      <c r="F598" s="26" t="s">
        <v>537</v>
      </c>
      <c r="G598" s="26" t="s">
        <v>126</v>
      </c>
      <c r="H598" s="26" t="s">
        <v>349</v>
      </c>
      <c r="I598" s="26" t="s">
        <v>538</v>
      </c>
      <c r="J598" s="26" t="s">
        <v>539</v>
      </c>
      <c r="K598" s="26" t="s">
        <v>241</v>
      </c>
      <c r="L598" s="26" t="s">
        <v>351</v>
      </c>
      <c r="M598" s="26" t="s">
        <v>303</v>
      </c>
      <c r="N598" s="26">
        <v>70</v>
      </c>
      <c r="O598" s="26">
        <f>2024-Inventory[[#This Row],[YrBlt]]</f>
        <v>69</v>
      </c>
      <c r="P598" s="26">
        <f>2024-Inventory[[#This Row],[EffYr]]</f>
        <v>50</v>
      </c>
      <c r="Q598" s="25">
        <v>1955</v>
      </c>
      <c r="R598" s="25">
        <v>1974</v>
      </c>
      <c r="S598" s="25">
        <v>1145</v>
      </c>
      <c r="T598" s="27"/>
      <c r="U598" s="31"/>
      <c r="V598" s="27">
        <f>Inventory[[#This Row],[Bsmt]]-Inventory[[#This Row],[FnBsmt]]</f>
        <v>0</v>
      </c>
      <c r="W598" s="27"/>
      <c r="X598" s="27"/>
      <c r="Y598" s="27">
        <f>Inventory[[#This Row],[MainFn]]+Inventory[[#This Row],[UpprFn]]+Inventory[[#This Row],[FnBsmt]]+Inventory[[#This Row],[AddFn]]</f>
        <v>1145</v>
      </c>
      <c r="Z598" s="27">
        <v>1500</v>
      </c>
      <c r="AA598" s="25">
        <v>7</v>
      </c>
      <c r="AB598" s="27"/>
      <c r="AC598" s="27"/>
      <c r="AD598" s="27"/>
      <c r="AE598" s="27"/>
      <c r="AF598" s="27"/>
      <c r="AG598" s="27"/>
      <c r="AH598" s="27"/>
      <c r="AI598" s="25">
        <v>204030</v>
      </c>
      <c r="AJ598" s="25">
        <v>146902</v>
      </c>
      <c r="AK598" s="25">
        <v>6843</v>
      </c>
      <c r="AL598" s="25">
        <v>318400</v>
      </c>
      <c r="AM598" s="25">
        <v>64800</v>
      </c>
      <c r="AN598" s="25">
        <v>253600</v>
      </c>
      <c r="AO598" s="25">
        <v>0</v>
      </c>
      <c r="AP598" s="25">
        <f>Lookups!$B$56*0</f>
        <v>0</v>
      </c>
      <c r="AQ598" s="25">
        <f>Lookups!$B$56*1</f>
        <v>89850.625589999996</v>
      </c>
      <c r="AR598" s="25">
        <f>Lookups!$B$57*Inventory[[#This Row],[LnAcres]]</f>
        <v>-45174.819855485119</v>
      </c>
      <c r="AS598" s="25">
        <f>VLOOKUP(Inventory[[#This Row],[Qlty]],Lookups!$A$62:$E$75,2,FALSE)</f>
        <v>21557.329055999999</v>
      </c>
      <c r="AT598" s="25">
        <f>VLOOKUP(Inventory[[#This Row],[Cnd]],Lookups!$A$76:$E$84,2,FALSE)</f>
        <v>197752.34721000001</v>
      </c>
      <c r="AU598" s="25">
        <f>Inventory[[#This Row],[EffAge]]*Lookups!$B$85</f>
        <v>-11152.280025</v>
      </c>
      <c r="AV598" s="25">
        <f>Inventory[[#This Row],[MainFn]]*Lookups!$B$86</f>
        <v>56572.927009165003</v>
      </c>
      <c r="AW598" s="25">
        <f>Inventory[[#This Row],[UpprFn]]*Lookups!$B$87</f>
        <v>0</v>
      </c>
      <c r="AX598" s="25">
        <f>Inventory[[#This Row],[AddFn]]*Lookups!$B$88</f>
        <v>0</v>
      </c>
      <c r="AY598" s="25">
        <f>Inventory[[#This Row],[Bsmt]]*Lookups!$B$89</f>
        <v>0</v>
      </c>
      <c r="AZ598" s="25">
        <f>Inventory[[#This Row],[Fixtures]]*Lookups!$B$90</f>
        <v>26544.1547364</v>
      </c>
      <c r="BA598" s="25">
        <f>Inventory[[#This Row],[WdDeck]]*Lookups!$B$91</f>
        <v>0</v>
      </c>
      <c r="BB598" s="25">
        <f>ROUND(Inventory[[#This Row],[25Det]],-2)</f>
        <v>6800</v>
      </c>
      <c r="BC598" s="25">
        <f>ROUND(SUM(Inventory[[#This Row],[Mdl Qlty]:[Mdl WdDeck]])+Inventory[[#This Row],[Mdl Res Intercept]],-2)</f>
        <v>291300</v>
      </c>
      <c r="BD598" s="25">
        <f>ROUND(Inventory[[#This Row],[Mdl Land Intercept]]+Inventory[[#This Row],[Mdl LnAcres]],-2)</f>
        <v>44700</v>
      </c>
      <c r="BE598" s="25">
        <f>Inventory[[#This Row],[Unadj Res Value]]+Inventory[[#This Row],[Unadj Det Value]]+Inventory[[#This Row],[Unadj Land Value]]</f>
        <v>342800</v>
      </c>
      <c r="BF598" s="36">
        <f>(Inventory[[#This Row],[Unadj Total Value]]-Inventory[[#This Row],[24Final]])/Inventory[[#This Row],[24Final]]</f>
        <v>7.6633165829145727E-2</v>
      </c>
      <c r="BG598" s="25">
        <f>VLOOKUP(Inventory[[#This Row],[Nbhd]],Lookups!$Q$2:$T$4,4,FALSE)</f>
        <v>0.99970000000000003</v>
      </c>
      <c r="BH598" s="25">
        <f>VLOOKUP(Inventory[[#This Row],[Qlty]],Lookups!$O$7:$R$21,4,FALSE)</f>
        <v>1.0067999999999999</v>
      </c>
      <c r="BI598" s="25">
        <f>VLOOKUP(Inventory[[#This Row],[Cnd]],Lookups!$T$7:$W$16,4,FALSE)</f>
        <v>0.99650000000000005</v>
      </c>
      <c r="BJ598" s="25">
        <f>VLOOKUP(Inventory[[#This Row],[LivArea Range]],Lookups!$T$25:$W$37,4,FALSE)</f>
        <v>1.0157</v>
      </c>
      <c r="BK598" s="25">
        <f>VLOOKUP(Inventory[[#This Row],[Decade]],Lookups!$O$25:$R$42,4,FALSE)</f>
        <v>1.0199</v>
      </c>
      <c r="BL598" s="25">
        <f>Inventory[[#This Row],[Nbhd Adj]]*0.95</f>
        <v>0.94971499999999998</v>
      </c>
      <c r="BM598" s="25">
        <f>Inventory[[#This Row],[Nbhd Adj]]*Inventory[[#This Row],[Quality Adj]]*Inventory[[#This Row],[Condition Adj]]*Inventory[[#This Row],[Living Area Adj]]*Inventory[[#This Row],[Decade Adj]]*0.95</f>
        <v>0.98704476969641131</v>
      </c>
      <c r="BN598" s="25">
        <f>ROUND(SUM(Inventory[[#This Row],[Mdl Qlty]:[Mdl WdDeck]])+Inventory[[#This Row],[Mdl Res Intercept]]*Inventory[[#This Row],[Res Adj ]],-2)</f>
        <v>291300</v>
      </c>
      <c r="BO598" s="25">
        <f>ROUND(Inventory[[#This Row],[25Det]]*Inventory[[#This Row],[Det/Nbhd Adj]],-2)</f>
        <v>6500</v>
      </c>
      <c r="BP598" s="25">
        <f>Inventory[[#This Row],[Adjusted Res]]+Inventory[[#This Row],[Adj Det ]]</f>
        <v>297800</v>
      </c>
      <c r="BQ598" s="25">
        <f>ROUND((Inventory[[#This Row],[Mdl Land Intercept]]+Inventory[[#This Row],[Mdl LnAcres]])*Inventory[[#This Row],[Det/Nbhd Adj]],-2)</f>
        <v>42400</v>
      </c>
      <c r="BR598" s="25">
        <f>Inventory[[#This Row],[Adjusted Impr Total]]+Inventory[[#This Row],[Adjusted Land Total]]</f>
        <v>340200</v>
      </c>
      <c r="BS598" s="36">
        <f>IFERROR((Inventory[[#This Row],[Adjusted Impr Total]]-Inventory[[#This Row],[24Bldg]])/Inventory[[#This Row],[24Bldg]],0)</f>
        <v>0.17429022082018927</v>
      </c>
      <c r="BT598" s="36">
        <f>(Inventory[[#This Row],[Adjusted Land Total]]-Inventory[[#This Row],[24Lnd]])/Inventory[[#This Row],[24Lnd]]</f>
        <v>-0.34567901234567899</v>
      </c>
      <c r="BU598" s="36">
        <f>(Inventory[[#This Row],[Adjusted Total]]-Inventory[[#This Row],[24Final]])/Inventory[[#This Row],[24Final]]</f>
        <v>6.846733668341709E-2</v>
      </c>
    </row>
    <row r="599" spans="1:73" x14ac:dyDescent="0.3">
      <c r="A599" s="25">
        <v>2025</v>
      </c>
      <c r="B599" s="26" t="s">
        <v>2538</v>
      </c>
      <c r="C599" s="26">
        <f>LN(Inventory[[#This Row],[Acres]])</f>
        <v>-1.5141277326297755</v>
      </c>
      <c r="D599" s="25">
        <v>0.22</v>
      </c>
      <c r="E599" s="31"/>
      <c r="F599" s="26" t="s">
        <v>537</v>
      </c>
      <c r="G599" s="26" t="s">
        <v>126</v>
      </c>
      <c r="H599" s="26" t="s">
        <v>349</v>
      </c>
      <c r="I599" s="26" t="s">
        <v>538</v>
      </c>
      <c r="J599" s="26" t="s">
        <v>539</v>
      </c>
      <c r="K599" s="26" t="s">
        <v>241</v>
      </c>
      <c r="L599" s="26" t="s">
        <v>148</v>
      </c>
      <c r="M599" s="26" t="s">
        <v>323</v>
      </c>
      <c r="N599" s="26">
        <v>70</v>
      </c>
      <c r="O599" s="26">
        <f>2024-Inventory[[#This Row],[YrBlt]]</f>
        <v>69</v>
      </c>
      <c r="P599" s="26">
        <f>2024-Inventory[[#This Row],[EffYr]]</f>
        <v>50</v>
      </c>
      <c r="Q599" s="25">
        <v>1955</v>
      </c>
      <c r="R599" s="25">
        <v>1974</v>
      </c>
      <c r="S599" s="25">
        <v>1581</v>
      </c>
      <c r="T599" s="27"/>
      <c r="U599" s="31"/>
      <c r="V599" s="27">
        <f>Inventory[[#This Row],[Bsmt]]-Inventory[[#This Row],[FnBsmt]]</f>
        <v>0</v>
      </c>
      <c r="W599" s="27"/>
      <c r="X599" s="27"/>
      <c r="Y599" s="27">
        <f>Inventory[[#This Row],[MainFn]]+Inventory[[#This Row],[UpprFn]]+Inventory[[#This Row],[FnBsmt]]+Inventory[[#This Row],[AddFn]]</f>
        <v>1581</v>
      </c>
      <c r="Z599" s="27">
        <v>2000</v>
      </c>
      <c r="AA599" s="25">
        <v>12</v>
      </c>
      <c r="AB599" s="32">
        <v>308</v>
      </c>
      <c r="AC599" s="27"/>
      <c r="AD599" s="32">
        <v>387</v>
      </c>
      <c r="AE599" s="27"/>
      <c r="AF599" s="27"/>
      <c r="AG599" s="27"/>
      <c r="AH599" s="27"/>
      <c r="AI599" s="25">
        <v>371966</v>
      </c>
      <c r="AJ599" s="25">
        <v>260376</v>
      </c>
      <c r="AK599" s="25">
        <v>0</v>
      </c>
      <c r="AL599" s="25">
        <v>347500</v>
      </c>
      <c r="AM599" s="25">
        <v>61700</v>
      </c>
      <c r="AN599" s="25">
        <v>285800</v>
      </c>
      <c r="AO599" s="25">
        <v>0</v>
      </c>
      <c r="AP599" s="25">
        <f>Lookups!$B$56*0</f>
        <v>0</v>
      </c>
      <c r="AQ599" s="25">
        <f>Lookups!$B$56*1</f>
        <v>89850.625589999996</v>
      </c>
      <c r="AR599" s="25">
        <f>Lookups!$B$57*Inventory[[#This Row],[LnAcres]]</f>
        <v>-47929.131559187132</v>
      </c>
      <c r="AS599" s="25">
        <f>VLOOKUP(Inventory[[#This Row],[Qlty]],Lookups!$A$62:$E$75,2,FALSE)</f>
        <v>44121.038090000002</v>
      </c>
      <c r="AT599" s="25">
        <f>VLOOKUP(Inventory[[#This Row],[Cnd]],Lookups!$A$76:$E$84,2,FALSE)</f>
        <v>160472.20319</v>
      </c>
      <c r="AU599" s="25">
        <f>Inventory[[#This Row],[EffAge]]*Lookups!$B$85</f>
        <v>-11152.280025</v>
      </c>
      <c r="AV599" s="25">
        <f>Inventory[[#This Row],[MainFn]]*Lookups!$B$86</f>
        <v>78115.107075537002</v>
      </c>
      <c r="AW599" s="25">
        <f>Inventory[[#This Row],[UpprFn]]*Lookups!$B$87</f>
        <v>0</v>
      </c>
      <c r="AX599" s="25">
        <f>Inventory[[#This Row],[AddFn]]*Lookups!$B$88</f>
        <v>0</v>
      </c>
      <c r="AY599" s="25">
        <f>Inventory[[#This Row],[Bsmt]]*Lookups!$B$89</f>
        <v>0</v>
      </c>
      <c r="AZ599" s="25">
        <f>Inventory[[#This Row],[Fixtures]]*Lookups!$B$90</f>
        <v>45504.265262400004</v>
      </c>
      <c r="BA599" s="25">
        <f>Inventory[[#This Row],[WdDeck]]*Lookups!$B$91</f>
        <v>12885.364411812001</v>
      </c>
      <c r="BB599" s="25">
        <f>ROUND(Inventory[[#This Row],[25Det]],-2)</f>
        <v>0</v>
      </c>
      <c r="BC599" s="25">
        <f>ROUND(SUM(Inventory[[#This Row],[Mdl Qlty]:[Mdl WdDeck]])+Inventory[[#This Row],[Mdl Res Intercept]],-2)</f>
        <v>329900</v>
      </c>
      <c r="BD599" s="25">
        <f>ROUND(Inventory[[#This Row],[Mdl Land Intercept]]+Inventory[[#This Row],[Mdl LnAcres]],-2)</f>
        <v>41900</v>
      </c>
      <c r="BE599" s="25">
        <f>Inventory[[#This Row],[Unadj Res Value]]+Inventory[[#This Row],[Unadj Det Value]]+Inventory[[#This Row],[Unadj Land Value]]</f>
        <v>371800</v>
      </c>
      <c r="BF599" s="36">
        <f>(Inventory[[#This Row],[Unadj Total Value]]-Inventory[[#This Row],[24Final]])/Inventory[[#This Row],[24Final]]</f>
        <v>6.9928057553956841E-2</v>
      </c>
      <c r="BG599" s="25">
        <f>VLOOKUP(Inventory[[#This Row],[Nbhd]],Lookups!$Q$2:$T$4,4,FALSE)</f>
        <v>0.99970000000000003</v>
      </c>
      <c r="BH599" s="25">
        <f>VLOOKUP(Inventory[[#This Row],[Qlty]],Lookups!$O$7:$R$21,4,FALSE)</f>
        <v>0.98050000000000004</v>
      </c>
      <c r="BI599" s="25">
        <f>VLOOKUP(Inventory[[#This Row],[Cnd]],Lookups!$T$7:$W$16,4,FALSE)</f>
        <v>0.99729999999999996</v>
      </c>
      <c r="BJ599" s="25">
        <f>VLOOKUP(Inventory[[#This Row],[LivArea Range]],Lookups!$T$25:$W$37,4,FALSE)</f>
        <v>1.0093000000000001</v>
      </c>
      <c r="BK599" s="25">
        <f>VLOOKUP(Inventory[[#This Row],[Decade]],Lookups!$O$25:$R$42,4,FALSE)</f>
        <v>1.0199</v>
      </c>
      <c r="BL599" s="25">
        <f>Inventory[[#This Row],[Nbhd Adj]]*0.95</f>
        <v>0.94971499999999998</v>
      </c>
      <c r="BM599" s="25">
        <f>Inventory[[#This Row],[Nbhd Adj]]*Inventory[[#This Row],[Quality Adj]]*Inventory[[#This Row],[Condition Adj]]*Inventory[[#This Row],[Living Area Adj]]*Inventory[[#This Row],[Decade Adj]]*0.95</f>
        <v>0.95597069536964641</v>
      </c>
      <c r="BN599" s="25">
        <f>ROUND(SUM(Inventory[[#This Row],[Mdl Qlty]:[Mdl WdDeck]])+Inventory[[#This Row],[Mdl Res Intercept]]*Inventory[[#This Row],[Res Adj ]],-2)</f>
        <v>329900</v>
      </c>
      <c r="BO599" s="25">
        <f>ROUND(Inventory[[#This Row],[25Det]]*Inventory[[#This Row],[Det/Nbhd Adj]],-2)</f>
        <v>0</v>
      </c>
      <c r="BP599" s="25">
        <f>Inventory[[#This Row],[Adjusted Res]]+Inventory[[#This Row],[Adj Det ]]</f>
        <v>329900</v>
      </c>
      <c r="BQ599" s="25">
        <f>ROUND((Inventory[[#This Row],[Mdl Land Intercept]]+Inventory[[#This Row],[Mdl LnAcres]])*Inventory[[#This Row],[Det/Nbhd Adj]],-2)</f>
        <v>39800</v>
      </c>
      <c r="BR599" s="25">
        <f>Inventory[[#This Row],[Adjusted Impr Total]]+Inventory[[#This Row],[Adjusted Land Total]]</f>
        <v>369700</v>
      </c>
      <c r="BS599" s="36">
        <f>IFERROR((Inventory[[#This Row],[Adjusted Impr Total]]-Inventory[[#This Row],[24Bldg]])/Inventory[[#This Row],[24Bldg]],0)</f>
        <v>0.1543037088873338</v>
      </c>
      <c r="BT599" s="36">
        <f>(Inventory[[#This Row],[Adjusted Land Total]]-Inventory[[#This Row],[24Lnd]])/Inventory[[#This Row],[24Lnd]]</f>
        <v>-0.35494327390599678</v>
      </c>
      <c r="BU599" s="36">
        <f>(Inventory[[#This Row],[Adjusted Total]]-Inventory[[#This Row],[24Final]])/Inventory[[#This Row],[24Final]]</f>
        <v>6.3884892086330941E-2</v>
      </c>
    </row>
    <row r="600" spans="1:73" x14ac:dyDescent="0.3">
      <c r="A600" s="25">
        <v>2025</v>
      </c>
      <c r="B600" s="26" t="s">
        <v>863</v>
      </c>
      <c r="C600" s="26">
        <f>LN(Inventory[[#This Row],[Acres]])</f>
        <v>-1.8971199848858813</v>
      </c>
      <c r="D600" s="25">
        <v>0.15</v>
      </c>
      <c r="E600" s="25">
        <v>6559</v>
      </c>
      <c r="F600" s="26" t="s">
        <v>537</v>
      </c>
      <c r="G600" s="26" t="s">
        <v>126</v>
      </c>
      <c r="H600" s="26" t="s">
        <v>349</v>
      </c>
      <c r="I600" s="26" t="s">
        <v>538</v>
      </c>
      <c r="J600" s="26" t="s">
        <v>539</v>
      </c>
      <c r="K600" s="26" t="s">
        <v>241</v>
      </c>
      <c r="L600" s="26" t="s">
        <v>351</v>
      </c>
      <c r="M600" s="26" t="s">
        <v>323</v>
      </c>
      <c r="N600" s="26">
        <v>70</v>
      </c>
      <c r="O600" s="26">
        <f>2024-Inventory[[#This Row],[YrBlt]]</f>
        <v>69</v>
      </c>
      <c r="P600" s="26">
        <f>2024-Inventory[[#This Row],[EffYr]]</f>
        <v>50</v>
      </c>
      <c r="Q600" s="25">
        <v>1955</v>
      </c>
      <c r="R600" s="25">
        <v>1974</v>
      </c>
      <c r="S600" s="25">
        <v>1244</v>
      </c>
      <c r="T600" s="27"/>
      <c r="U600" s="27"/>
      <c r="V600" s="27">
        <f>Inventory[[#This Row],[Bsmt]]-Inventory[[#This Row],[FnBsmt]]</f>
        <v>0</v>
      </c>
      <c r="W600" s="27"/>
      <c r="X600" s="27"/>
      <c r="Y600" s="27">
        <f>Inventory[[#This Row],[MainFn]]+Inventory[[#This Row],[UpprFn]]+Inventory[[#This Row],[FnBsmt]]+Inventory[[#This Row],[AddFn]]</f>
        <v>1244</v>
      </c>
      <c r="Z600" s="27">
        <v>1500</v>
      </c>
      <c r="AA600" s="25">
        <v>5</v>
      </c>
      <c r="AB600" s="25">
        <v>288</v>
      </c>
      <c r="AC600" s="27"/>
      <c r="AD600" s="32">
        <v>84</v>
      </c>
      <c r="AE600" s="27"/>
      <c r="AF600" s="27"/>
      <c r="AG600" s="27"/>
      <c r="AH600" s="27"/>
      <c r="AI600" s="25">
        <v>213971</v>
      </c>
      <c r="AJ600" s="25">
        <v>149780</v>
      </c>
      <c r="AK600" s="25">
        <v>0</v>
      </c>
      <c r="AL600" s="25">
        <v>265500</v>
      </c>
      <c r="AM600" s="25">
        <v>48400</v>
      </c>
      <c r="AN600" s="25">
        <v>217100</v>
      </c>
      <c r="AO600" s="25">
        <v>0</v>
      </c>
      <c r="AP600" s="25">
        <f>Lookups!$B$56*0</f>
        <v>0</v>
      </c>
      <c r="AQ600" s="25">
        <f>Lookups!$B$56*1</f>
        <v>89850.625589999996</v>
      </c>
      <c r="AR600" s="25">
        <f>Lookups!$B$57*Inventory[[#This Row],[LnAcres]]</f>
        <v>-60052.604136134301</v>
      </c>
      <c r="AS600" s="25">
        <f>VLOOKUP(Inventory[[#This Row],[Qlty]],Lookups!$A$62:$E$75,2,FALSE)</f>
        <v>21557.329055999999</v>
      </c>
      <c r="AT600" s="25">
        <f>VLOOKUP(Inventory[[#This Row],[Cnd]],Lookups!$A$76:$E$84,2,FALSE)</f>
        <v>160472.20319</v>
      </c>
      <c r="AU600" s="25">
        <f>Inventory[[#This Row],[EffAge]]*Lookups!$B$85</f>
        <v>-11152.280025</v>
      </c>
      <c r="AV600" s="25">
        <f>Inventory[[#This Row],[MainFn]]*Lookups!$B$86</f>
        <v>61464.385326987998</v>
      </c>
      <c r="AW600" s="25">
        <f>Inventory[[#This Row],[UpprFn]]*Lookups!$B$87</f>
        <v>0</v>
      </c>
      <c r="AX600" s="25">
        <f>Inventory[[#This Row],[AddFn]]*Lookups!$B$88</f>
        <v>0</v>
      </c>
      <c r="AY600" s="25">
        <f>Inventory[[#This Row],[Bsmt]]*Lookups!$B$89</f>
        <v>0</v>
      </c>
      <c r="AZ600" s="25">
        <f>Inventory[[#This Row],[Fixtures]]*Lookups!$B$90</f>
        <v>18960.110526</v>
      </c>
      <c r="BA600" s="25">
        <f>Inventory[[#This Row],[WdDeck]]*Lookups!$B$91</f>
        <v>2796.8232831840005</v>
      </c>
      <c r="BB600" s="25">
        <f>ROUND(Inventory[[#This Row],[25Det]],-2)</f>
        <v>0</v>
      </c>
      <c r="BC600" s="25">
        <f>ROUND(SUM(Inventory[[#This Row],[Mdl Qlty]:[Mdl WdDeck]])+Inventory[[#This Row],[Mdl Res Intercept]],-2)</f>
        <v>254100</v>
      </c>
      <c r="BD600" s="25">
        <f>ROUND(Inventory[[#This Row],[Mdl Land Intercept]]+Inventory[[#This Row],[Mdl LnAcres]],-2)</f>
        <v>29800</v>
      </c>
      <c r="BE600" s="25">
        <f>Inventory[[#This Row],[Unadj Res Value]]+Inventory[[#This Row],[Unadj Det Value]]+Inventory[[#This Row],[Unadj Land Value]]</f>
        <v>283900</v>
      </c>
      <c r="BF600" s="36">
        <f>(Inventory[[#This Row],[Unadj Total Value]]-Inventory[[#This Row],[24Final]])/Inventory[[#This Row],[24Final]]</f>
        <v>6.9303201506591333E-2</v>
      </c>
      <c r="BG600" s="25">
        <f>VLOOKUP(Inventory[[#This Row],[Nbhd]],Lookups!$Q$2:$T$4,4,FALSE)</f>
        <v>0.99970000000000003</v>
      </c>
      <c r="BH600" s="25">
        <f>VLOOKUP(Inventory[[#This Row],[Qlty]],Lookups!$O$7:$R$21,4,FALSE)</f>
        <v>1.0067999999999999</v>
      </c>
      <c r="BI600" s="25">
        <f>VLOOKUP(Inventory[[#This Row],[Cnd]],Lookups!$T$7:$W$16,4,FALSE)</f>
        <v>0.99729999999999996</v>
      </c>
      <c r="BJ600" s="25">
        <f>VLOOKUP(Inventory[[#This Row],[LivArea Range]],Lookups!$T$25:$W$37,4,FALSE)</f>
        <v>1.0157</v>
      </c>
      <c r="BK600" s="25">
        <f>VLOOKUP(Inventory[[#This Row],[Decade]],Lookups!$O$25:$R$42,4,FALSE)</f>
        <v>1.0199</v>
      </c>
      <c r="BL600" s="25">
        <f>Inventory[[#This Row],[Nbhd Adj]]*0.95</f>
        <v>0.94971499999999998</v>
      </c>
      <c r="BM600" s="25">
        <f>Inventory[[#This Row],[Nbhd Adj]]*Inventory[[#This Row],[Quality Adj]]*Inventory[[#This Row],[Condition Adj]]*Inventory[[#This Row],[Living Area Adj]]*Inventory[[#This Row],[Decade Adj]]*0.95</f>
        <v>0.98783717894453682</v>
      </c>
      <c r="BN600" s="25">
        <f>ROUND(SUM(Inventory[[#This Row],[Mdl Qlty]:[Mdl WdDeck]])+Inventory[[#This Row],[Mdl Res Intercept]]*Inventory[[#This Row],[Res Adj ]],-2)</f>
        <v>254100</v>
      </c>
      <c r="BO600" s="25">
        <f>ROUND(Inventory[[#This Row],[25Det]]*Inventory[[#This Row],[Det/Nbhd Adj]],-2)</f>
        <v>0</v>
      </c>
      <c r="BP600" s="25">
        <f>Inventory[[#This Row],[Adjusted Res]]+Inventory[[#This Row],[Adj Det ]]</f>
        <v>254100</v>
      </c>
      <c r="BQ600" s="25">
        <f>ROUND((Inventory[[#This Row],[Mdl Land Intercept]]+Inventory[[#This Row],[Mdl LnAcres]])*Inventory[[#This Row],[Det/Nbhd Adj]],-2)</f>
        <v>28300</v>
      </c>
      <c r="BR600" s="25">
        <f>Inventory[[#This Row],[Adjusted Impr Total]]+Inventory[[#This Row],[Adjusted Land Total]]</f>
        <v>282400</v>
      </c>
      <c r="BS600" s="36">
        <f>IFERROR((Inventory[[#This Row],[Adjusted Impr Total]]-Inventory[[#This Row],[24Bldg]])/Inventory[[#This Row],[24Bldg]],0)</f>
        <v>0.17042837402118841</v>
      </c>
      <c r="BT600" s="36">
        <f>(Inventory[[#This Row],[Adjusted Land Total]]-Inventory[[#This Row],[24Lnd]])/Inventory[[#This Row],[24Lnd]]</f>
        <v>-0.41528925619834711</v>
      </c>
      <c r="BU600" s="36">
        <f>(Inventory[[#This Row],[Adjusted Total]]-Inventory[[#This Row],[24Final]])/Inventory[[#This Row],[24Final]]</f>
        <v>6.365348399246705E-2</v>
      </c>
    </row>
    <row r="601" spans="1:73" x14ac:dyDescent="0.3">
      <c r="A601" s="25">
        <v>2025</v>
      </c>
      <c r="B601" s="26" t="s">
        <v>1381</v>
      </c>
      <c r="C601" s="26">
        <f>LN(Inventory[[#This Row],[Acres]])</f>
        <v>-1.5606477482646683</v>
      </c>
      <c r="D601" s="25">
        <v>0.21</v>
      </c>
      <c r="E601" s="25">
        <v>9057</v>
      </c>
      <c r="F601" s="26" t="s">
        <v>537</v>
      </c>
      <c r="G601" s="26" t="s">
        <v>126</v>
      </c>
      <c r="H601" s="26" t="s">
        <v>349</v>
      </c>
      <c r="I601" s="26" t="s">
        <v>538</v>
      </c>
      <c r="J601" s="26" t="s">
        <v>539</v>
      </c>
      <c r="K601" s="26" t="s">
        <v>241</v>
      </c>
      <c r="L601" s="26" t="s">
        <v>148</v>
      </c>
      <c r="M601" s="26" t="s">
        <v>303</v>
      </c>
      <c r="N601" s="26">
        <v>70</v>
      </c>
      <c r="O601" s="26">
        <f>2024-Inventory[[#This Row],[YrBlt]]</f>
        <v>69</v>
      </c>
      <c r="P601" s="26">
        <f>2024-Inventory[[#This Row],[EffYr]]</f>
        <v>50</v>
      </c>
      <c r="Q601" s="25">
        <v>1955</v>
      </c>
      <c r="R601" s="25">
        <v>1974</v>
      </c>
      <c r="S601" s="25">
        <v>1260</v>
      </c>
      <c r="T601" s="27"/>
      <c r="U601" s="25">
        <v>1260</v>
      </c>
      <c r="V601" s="32">
        <f>Inventory[[#This Row],[Bsmt]]-Inventory[[#This Row],[FnBsmt]]</f>
        <v>0</v>
      </c>
      <c r="W601" s="32">
        <v>1260</v>
      </c>
      <c r="X601" s="27"/>
      <c r="Y601" s="27">
        <f>Inventory[[#This Row],[MainFn]]+Inventory[[#This Row],[UpprFn]]+Inventory[[#This Row],[FnBsmt]]+Inventory[[#This Row],[AddFn]]</f>
        <v>2520</v>
      </c>
      <c r="Z601" s="27">
        <v>3000</v>
      </c>
      <c r="AA601" s="25">
        <v>8</v>
      </c>
      <c r="AB601" s="27"/>
      <c r="AC601" s="27"/>
      <c r="AD601" s="25">
        <v>168</v>
      </c>
      <c r="AE601" s="27"/>
      <c r="AF601" s="27"/>
      <c r="AG601" s="27"/>
      <c r="AH601" s="27"/>
      <c r="AI601" s="25">
        <v>455290</v>
      </c>
      <c r="AJ601" s="25">
        <v>327809</v>
      </c>
      <c r="AK601" s="25">
        <v>19957</v>
      </c>
      <c r="AL601" s="25">
        <v>397700</v>
      </c>
      <c r="AM601" s="25">
        <v>60100</v>
      </c>
      <c r="AN601" s="25">
        <v>337600</v>
      </c>
      <c r="AO601" s="25">
        <v>0</v>
      </c>
      <c r="AP601" s="25">
        <f>Lookups!$B$56*0</f>
        <v>0</v>
      </c>
      <c r="AQ601" s="25">
        <f>Lookups!$B$56*1</f>
        <v>89850.625589999996</v>
      </c>
      <c r="AR601" s="25">
        <f>Lookups!$B$57*Inventory[[#This Row],[LnAcres]]</f>
        <v>-49401.70477837498</v>
      </c>
      <c r="AS601" s="25">
        <f>VLOOKUP(Inventory[[#This Row],[Qlty]],Lookups!$A$62:$E$75,2,FALSE)</f>
        <v>44121.038090000002</v>
      </c>
      <c r="AT601" s="25">
        <f>VLOOKUP(Inventory[[#This Row],[Cnd]],Lookups!$A$76:$E$84,2,FALSE)</f>
        <v>197752.34721000001</v>
      </c>
      <c r="AU601" s="25">
        <f>Inventory[[#This Row],[EffAge]]*Lookups!$B$85</f>
        <v>-11152.280025</v>
      </c>
      <c r="AV601" s="25">
        <f>Inventory[[#This Row],[MainFn]]*Lookups!$B$86</f>
        <v>62254.924045020001</v>
      </c>
      <c r="AW601" s="25">
        <f>Inventory[[#This Row],[UpprFn]]*Lookups!$B$87</f>
        <v>0</v>
      </c>
      <c r="AX601" s="25">
        <f>Inventory[[#This Row],[AddFn]]*Lookups!$B$88</f>
        <v>0</v>
      </c>
      <c r="AY601" s="25">
        <f>Inventory[[#This Row],[Bsmt]]*Lookups!$B$89</f>
        <v>36643.188011220001</v>
      </c>
      <c r="AZ601" s="25">
        <f>Inventory[[#This Row],[Fixtures]]*Lookups!$B$90</f>
        <v>30336.176841600001</v>
      </c>
      <c r="BA601" s="25">
        <f>Inventory[[#This Row],[WdDeck]]*Lookups!$B$91</f>
        <v>5593.646566368001</v>
      </c>
      <c r="BB601" s="25">
        <f>ROUND(Inventory[[#This Row],[25Det]],-2)</f>
        <v>20000</v>
      </c>
      <c r="BC601" s="25">
        <f>ROUND(SUM(Inventory[[#This Row],[Mdl Qlty]:[Mdl WdDeck]])+Inventory[[#This Row],[Mdl Res Intercept]],-2)</f>
        <v>365500</v>
      </c>
      <c r="BD601" s="25">
        <f>ROUND(Inventory[[#This Row],[Mdl Land Intercept]]+Inventory[[#This Row],[Mdl LnAcres]],-2)</f>
        <v>40400</v>
      </c>
      <c r="BE601" s="25">
        <f>Inventory[[#This Row],[Unadj Res Value]]+Inventory[[#This Row],[Unadj Det Value]]+Inventory[[#This Row],[Unadj Land Value]]</f>
        <v>425900</v>
      </c>
      <c r="BF601" s="36">
        <f>(Inventory[[#This Row],[Unadj Total Value]]-Inventory[[#This Row],[24Final]])/Inventory[[#This Row],[24Final]]</f>
        <v>7.0907719386472209E-2</v>
      </c>
      <c r="BG601" s="25">
        <f>VLOOKUP(Inventory[[#This Row],[Nbhd]],Lookups!$Q$2:$T$4,4,FALSE)</f>
        <v>0.99970000000000003</v>
      </c>
      <c r="BH601" s="25">
        <f>VLOOKUP(Inventory[[#This Row],[Qlty]],Lookups!$O$7:$R$21,4,FALSE)</f>
        <v>0.98050000000000004</v>
      </c>
      <c r="BI601" s="25">
        <f>VLOOKUP(Inventory[[#This Row],[Cnd]],Lookups!$T$7:$W$16,4,FALSE)</f>
        <v>0.99650000000000005</v>
      </c>
      <c r="BJ601" s="25">
        <f>VLOOKUP(Inventory[[#This Row],[LivArea Range]],Lookups!$T$25:$W$37,4,FALSE)</f>
        <v>0.96179999999999999</v>
      </c>
      <c r="BK601" s="25">
        <f>VLOOKUP(Inventory[[#This Row],[Decade]],Lookups!$O$25:$R$42,4,FALSE)</f>
        <v>1.0199</v>
      </c>
      <c r="BL601" s="25">
        <f>Inventory[[#This Row],[Nbhd Adj]]*0.95</f>
        <v>0.94971499999999998</v>
      </c>
      <c r="BM601" s="25">
        <f>Inventory[[#This Row],[Nbhd Adj]]*Inventory[[#This Row],[Quality Adj]]*Inventory[[#This Row],[Condition Adj]]*Inventory[[#This Row],[Living Area Adj]]*Inventory[[#This Row],[Decade Adj]]*0.95</f>
        <v>0.91024973874989379</v>
      </c>
      <c r="BN601" s="25">
        <f>ROUND(SUM(Inventory[[#This Row],[Mdl Qlty]:[Mdl WdDeck]])+Inventory[[#This Row],[Mdl Res Intercept]]*Inventory[[#This Row],[Res Adj ]],-2)</f>
        <v>365500</v>
      </c>
      <c r="BO601" s="25">
        <f>ROUND(Inventory[[#This Row],[25Det]]*Inventory[[#This Row],[Det/Nbhd Adj]],-2)</f>
        <v>19000</v>
      </c>
      <c r="BP601" s="25">
        <f>Inventory[[#This Row],[Adjusted Res]]+Inventory[[#This Row],[Adj Det ]]</f>
        <v>384500</v>
      </c>
      <c r="BQ601" s="25">
        <f>ROUND((Inventory[[#This Row],[Mdl Land Intercept]]+Inventory[[#This Row],[Mdl LnAcres]])*Inventory[[#This Row],[Det/Nbhd Adj]],-2)</f>
        <v>38400</v>
      </c>
      <c r="BR601" s="25">
        <f>Inventory[[#This Row],[Adjusted Impr Total]]+Inventory[[#This Row],[Adjusted Land Total]]</f>
        <v>422900</v>
      </c>
      <c r="BS601" s="36">
        <f>IFERROR((Inventory[[#This Row],[Adjusted Impr Total]]-Inventory[[#This Row],[24Bldg]])/Inventory[[#This Row],[24Bldg]],0)</f>
        <v>0.1389218009478673</v>
      </c>
      <c r="BT601" s="36">
        <f>(Inventory[[#This Row],[Adjusted Land Total]]-Inventory[[#This Row],[24Lnd]])/Inventory[[#This Row],[24Lnd]]</f>
        <v>-0.36106489184692181</v>
      </c>
      <c r="BU601" s="36">
        <f>(Inventory[[#This Row],[Adjusted Total]]-Inventory[[#This Row],[24Final]])/Inventory[[#This Row],[24Final]]</f>
        <v>6.3364344983656021E-2</v>
      </c>
    </row>
    <row r="602" spans="1:73" x14ac:dyDescent="0.3">
      <c r="A602" s="25">
        <v>2025</v>
      </c>
      <c r="B602" s="26" t="s">
        <v>2670</v>
      </c>
      <c r="C602" s="26">
        <f>LN(Inventory[[#This Row],[Acres]])</f>
        <v>-1.7719568419318752</v>
      </c>
      <c r="D602" s="25">
        <v>0.17</v>
      </c>
      <c r="E602" s="31"/>
      <c r="F602" s="26" t="s">
        <v>537</v>
      </c>
      <c r="G602" s="26" t="s">
        <v>126</v>
      </c>
      <c r="H602" s="26" t="s">
        <v>349</v>
      </c>
      <c r="I602" s="26" t="s">
        <v>538</v>
      </c>
      <c r="J602" s="26" t="s">
        <v>539</v>
      </c>
      <c r="K602" s="26" t="s">
        <v>241</v>
      </c>
      <c r="L602" s="26" t="s">
        <v>351</v>
      </c>
      <c r="M602" s="26" t="s">
        <v>206</v>
      </c>
      <c r="N602" s="26">
        <v>70</v>
      </c>
      <c r="O602" s="26">
        <f>2024-Inventory[[#This Row],[YrBlt]]</f>
        <v>69</v>
      </c>
      <c r="P602" s="26">
        <f>2024-Inventory[[#This Row],[EffYr]]</f>
        <v>50</v>
      </c>
      <c r="Q602" s="25">
        <v>1955</v>
      </c>
      <c r="R602" s="25">
        <v>1974</v>
      </c>
      <c r="S602" s="25">
        <v>1192</v>
      </c>
      <c r="T602" s="27"/>
      <c r="U602" s="25">
        <v>850</v>
      </c>
      <c r="V602" s="25">
        <f>Inventory[[#This Row],[Bsmt]]-Inventory[[#This Row],[FnBsmt]]</f>
        <v>0</v>
      </c>
      <c r="W602" s="25">
        <v>850</v>
      </c>
      <c r="X602" s="27"/>
      <c r="Y602" s="27">
        <f>Inventory[[#This Row],[MainFn]]+Inventory[[#This Row],[UpprFn]]+Inventory[[#This Row],[FnBsmt]]+Inventory[[#This Row],[AddFn]]</f>
        <v>2042</v>
      </c>
      <c r="Z602" s="27">
        <v>2500</v>
      </c>
      <c r="AA602" s="25">
        <v>5</v>
      </c>
      <c r="AB602" s="27"/>
      <c r="AC602" s="27"/>
      <c r="AD602" s="32">
        <v>246</v>
      </c>
      <c r="AE602" s="27"/>
      <c r="AF602" s="27"/>
      <c r="AG602" s="27"/>
      <c r="AH602" s="27"/>
      <c r="AI602" s="25">
        <v>282447</v>
      </c>
      <c r="AJ602" s="25">
        <v>194888</v>
      </c>
      <c r="AK602" s="25">
        <v>0</v>
      </c>
      <c r="AL602" s="25">
        <v>269900</v>
      </c>
      <c r="AM602" s="25">
        <v>52700</v>
      </c>
      <c r="AN602" s="25">
        <v>217200</v>
      </c>
      <c r="AO602" s="25">
        <v>0</v>
      </c>
      <c r="AP602" s="25">
        <f>Lookups!$B$56*0</f>
        <v>0</v>
      </c>
      <c r="AQ602" s="25">
        <f>Lookups!$B$56*1</f>
        <v>89850.625589999996</v>
      </c>
      <c r="AR602" s="25">
        <f>Lookups!$B$57*Inventory[[#This Row],[LnAcres]]</f>
        <v>-56090.612940989391</v>
      </c>
      <c r="AS602" s="25">
        <f>VLOOKUP(Inventory[[#This Row],[Qlty]],Lookups!$A$62:$E$75,2,FALSE)</f>
        <v>21557.329055999999</v>
      </c>
      <c r="AT602" s="25">
        <f>VLOOKUP(Inventory[[#This Row],[Cnd]],Lookups!$A$76:$E$84,2,FALSE)</f>
        <v>133714.53821</v>
      </c>
      <c r="AU602" s="25">
        <f>Inventory[[#This Row],[EffAge]]*Lookups!$B$85</f>
        <v>-11152.280025</v>
      </c>
      <c r="AV602" s="25">
        <f>Inventory[[#This Row],[MainFn]]*Lookups!$B$86</f>
        <v>58895.134493384001</v>
      </c>
      <c r="AW602" s="25">
        <f>Inventory[[#This Row],[UpprFn]]*Lookups!$B$87</f>
        <v>0</v>
      </c>
      <c r="AX602" s="25">
        <f>Inventory[[#This Row],[AddFn]]*Lookups!$B$88</f>
        <v>0</v>
      </c>
      <c r="AY602" s="25">
        <f>Inventory[[#This Row],[Bsmt]]*Lookups!$B$89</f>
        <v>24719.610959949998</v>
      </c>
      <c r="AZ602" s="25">
        <f>Inventory[[#This Row],[Fixtures]]*Lookups!$B$90</f>
        <v>18960.110526</v>
      </c>
      <c r="BA602" s="25">
        <f>Inventory[[#This Row],[WdDeck]]*Lookups!$B$91</f>
        <v>8190.6967578960011</v>
      </c>
      <c r="BB602" s="25">
        <f>ROUND(Inventory[[#This Row],[25Det]],-2)</f>
        <v>0</v>
      </c>
      <c r="BC602" s="25">
        <f>ROUND(SUM(Inventory[[#This Row],[Mdl Qlty]:[Mdl WdDeck]])+Inventory[[#This Row],[Mdl Res Intercept]],-2)</f>
        <v>254900</v>
      </c>
      <c r="BD602" s="25">
        <f>ROUND(Inventory[[#This Row],[Mdl Land Intercept]]+Inventory[[#This Row],[Mdl LnAcres]],-2)</f>
        <v>33800</v>
      </c>
      <c r="BE602" s="25">
        <f>Inventory[[#This Row],[Unadj Res Value]]+Inventory[[#This Row],[Unadj Det Value]]+Inventory[[#This Row],[Unadj Land Value]]</f>
        <v>288700</v>
      </c>
      <c r="BF602" s="36">
        <f>(Inventory[[#This Row],[Unadj Total Value]]-Inventory[[#This Row],[24Final]])/Inventory[[#This Row],[24Final]]</f>
        <v>6.965542793627269E-2</v>
      </c>
      <c r="BG602" s="25">
        <f>VLOOKUP(Inventory[[#This Row],[Nbhd]],Lookups!$Q$2:$T$4,4,FALSE)</f>
        <v>0.99970000000000003</v>
      </c>
      <c r="BH602" s="25">
        <f>VLOOKUP(Inventory[[#This Row],[Qlty]],Lookups!$O$7:$R$21,4,FALSE)</f>
        <v>1.0067999999999999</v>
      </c>
      <c r="BI602" s="25">
        <f>VLOOKUP(Inventory[[#This Row],[Cnd]],Lookups!$T$7:$W$16,4,FALSE)</f>
        <v>0.99329999999999996</v>
      </c>
      <c r="BJ602" s="25">
        <f>VLOOKUP(Inventory[[#This Row],[LivArea Range]],Lookups!$T$25:$W$37,4,FALSE)</f>
        <v>0.98919999999999997</v>
      </c>
      <c r="BK602" s="25">
        <f>VLOOKUP(Inventory[[#This Row],[Decade]],Lookups!$O$25:$R$42,4,FALSE)</f>
        <v>1.0199</v>
      </c>
      <c r="BL602" s="25">
        <f>Inventory[[#This Row],[Nbhd Adj]]*0.95</f>
        <v>0.94971499999999998</v>
      </c>
      <c r="BM602" s="25">
        <f>Inventory[[#This Row],[Nbhd Adj]]*Inventory[[#This Row],[Quality Adj]]*Inventory[[#This Row],[Condition Adj]]*Inventory[[#This Row],[Living Area Adj]]*Inventory[[#This Row],[Decade Adj]]*0.95</f>
        <v>0.95820545561751158</v>
      </c>
      <c r="BN602" s="25">
        <f>ROUND(SUM(Inventory[[#This Row],[Mdl Qlty]:[Mdl WdDeck]])+Inventory[[#This Row],[Mdl Res Intercept]]*Inventory[[#This Row],[Res Adj ]],-2)</f>
        <v>254900</v>
      </c>
      <c r="BO602" s="25">
        <f>ROUND(Inventory[[#This Row],[25Det]]*Inventory[[#This Row],[Det/Nbhd Adj]],-2)</f>
        <v>0</v>
      </c>
      <c r="BP602" s="25">
        <f>Inventory[[#This Row],[Adjusted Res]]+Inventory[[#This Row],[Adj Det ]]</f>
        <v>254900</v>
      </c>
      <c r="BQ602" s="25">
        <f>ROUND((Inventory[[#This Row],[Mdl Land Intercept]]+Inventory[[#This Row],[Mdl LnAcres]])*Inventory[[#This Row],[Det/Nbhd Adj]],-2)</f>
        <v>32100</v>
      </c>
      <c r="BR602" s="25">
        <f>Inventory[[#This Row],[Adjusted Impr Total]]+Inventory[[#This Row],[Adjusted Land Total]]</f>
        <v>287000</v>
      </c>
      <c r="BS602" s="36">
        <f>IFERROR((Inventory[[#This Row],[Adjusted Impr Total]]-Inventory[[#This Row],[24Bldg]])/Inventory[[#This Row],[24Bldg]],0)</f>
        <v>0.17357274401473297</v>
      </c>
      <c r="BT602" s="36">
        <f>(Inventory[[#This Row],[Adjusted Land Total]]-Inventory[[#This Row],[24Lnd]])/Inventory[[#This Row],[24Lnd]]</f>
        <v>-0.39089184060721061</v>
      </c>
      <c r="BU602" s="36">
        <f>(Inventory[[#This Row],[Adjusted Total]]-Inventory[[#This Row],[24Final]])/Inventory[[#This Row],[24Final]]</f>
        <v>6.3356798814375698E-2</v>
      </c>
    </row>
    <row r="603" spans="1:73" x14ac:dyDescent="0.3">
      <c r="A603" s="25">
        <v>2025</v>
      </c>
      <c r="B603" s="26" t="s">
        <v>1600</v>
      </c>
      <c r="C603" s="26">
        <f>LN(Inventory[[#This Row],[Acres]])</f>
        <v>-1.5606477482646683</v>
      </c>
      <c r="D603" s="25">
        <v>0.21</v>
      </c>
      <c r="E603" s="31"/>
      <c r="F603" s="26" t="s">
        <v>537</v>
      </c>
      <c r="G603" s="26" t="s">
        <v>126</v>
      </c>
      <c r="H603" s="26" t="s">
        <v>349</v>
      </c>
      <c r="I603" s="26" t="s">
        <v>538</v>
      </c>
      <c r="J603" s="26" t="s">
        <v>539</v>
      </c>
      <c r="K603" s="26" t="s">
        <v>241</v>
      </c>
      <c r="L603" s="26" t="s">
        <v>302</v>
      </c>
      <c r="M603" s="26" t="s">
        <v>303</v>
      </c>
      <c r="N603" s="26">
        <v>70</v>
      </c>
      <c r="O603" s="26">
        <f>2024-Inventory[[#This Row],[YrBlt]]</f>
        <v>69</v>
      </c>
      <c r="P603" s="26">
        <f>2024-Inventory[[#This Row],[EffYr]]</f>
        <v>50</v>
      </c>
      <c r="Q603" s="25">
        <v>1955</v>
      </c>
      <c r="R603" s="25">
        <v>1974</v>
      </c>
      <c r="S603" s="25">
        <v>1706</v>
      </c>
      <c r="T603" s="31"/>
      <c r="U603" s="32">
        <v>832</v>
      </c>
      <c r="V603" s="32">
        <f>Inventory[[#This Row],[Bsmt]]-Inventory[[#This Row],[FnBsmt]]</f>
        <v>0</v>
      </c>
      <c r="W603" s="32">
        <v>832</v>
      </c>
      <c r="X603" s="27"/>
      <c r="Y603" s="27">
        <f>Inventory[[#This Row],[MainFn]]+Inventory[[#This Row],[UpprFn]]+Inventory[[#This Row],[FnBsmt]]+Inventory[[#This Row],[AddFn]]</f>
        <v>2538</v>
      </c>
      <c r="Z603" s="27">
        <v>3000</v>
      </c>
      <c r="AA603" s="25">
        <v>5</v>
      </c>
      <c r="AB603" s="31"/>
      <c r="AC603" s="32">
        <v>874</v>
      </c>
      <c r="AD603" s="32">
        <v>130</v>
      </c>
      <c r="AE603" s="27"/>
      <c r="AF603" s="27"/>
      <c r="AG603" s="27"/>
      <c r="AH603" s="27"/>
      <c r="AI603" s="25">
        <v>412487</v>
      </c>
      <c r="AJ603" s="25">
        <v>296991</v>
      </c>
      <c r="AK603" s="25">
        <v>0</v>
      </c>
      <c r="AL603" s="25">
        <v>364000</v>
      </c>
      <c r="AM603" s="25">
        <v>60100</v>
      </c>
      <c r="AN603" s="25">
        <v>303900</v>
      </c>
      <c r="AO603" s="25">
        <v>0</v>
      </c>
      <c r="AP603" s="25">
        <f>Lookups!$B$56*0</f>
        <v>0</v>
      </c>
      <c r="AQ603" s="25">
        <f>Lookups!$B$56*1</f>
        <v>89850.625589999996</v>
      </c>
      <c r="AR603" s="25">
        <f>Lookups!$B$57*Inventory[[#This Row],[LnAcres]]</f>
        <v>-49401.70477837498</v>
      </c>
      <c r="AS603" s="25">
        <f>VLOOKUP(Inventory[[#This Row],[Qlty]],Lookups!$A$62:$E$75,2,FALSE)</f>
        <v>29814.093161000001</v>
      </c>
      <c r="AT603" s="25">
        <f>VLOOKUP(Inventory[[#This Row],[Cnd]],Lookups!$A$76:$E$84,2,FALSE)</f>
        <v>197752.34721000001</v>
      </c>
      <c r="AU603" s="25">
        <f>Inventory[[#This Row],[EffAge]]*Lookups!$B$85</f>
        <v>-11152.280025</v>
      </c>
      <c r="AV603" s="25">
        <f>Inventory[[#This Row],[MainFn]]*Lookups!$B$86</f>
        <v>84291.190810162007</v>
      </c>
      <c r="AW603" s="25">
        <f>Inventory[[#This Row],[UpprFn]]*Lookups!$B$87</f>
        <v>0</v>
      </c>
      <c r="AX603" s="25">
        <f>Inventory[[#This Row],[AddFn]]*Lookups!$B$88</f>
        <v>0</v>
      </c>
      <c r="AY603" s="25">
        <f>Inventory[[#This Row],[Bsmt]]*Lookups!$B$89</f>
        <v>24196.136845503999</v>
      </c>
      <c r="AZ603" s="25">
        <f>Inventory[[#This Row],[Fixtures]]*Lookups!$B$90</f>
        <v>18960.110526</v>
      </c>
      <c r="BA603" s="25">
        <f>Inventory[[#This Row],[WdDeck]]*Lookups!$B$91</f>
        <v>4328.4169858800005</v>
      </c>
      <c r="BB603" s="25">
        <f>ROUND(Inventory[[#This Row],[25Det]],-2)</f>
        <v>0</v>
      </c>
      <c r="BC603" s="25">
        <f>ROUND(SUM(Inventory[[#This Row],[Mdl Qlty]:[Mdl WdDeck]])+Inventory[[#This Row],[Mdl Res Intercept]],-2)</f>
        <v>348200</v>
      </c>
      <c r="BD603" s="25">
        <f>ROUND(Inventory[[#This Row],[Mdl Land Intercept]]+Inventory[[#This Row],[Mdl LnAcres]],-2)</f>
        <v>40400</v>
      </c>
      <c r="BE603" s="25">
        <f>Inventory[[#This Row],[Unadj Res Value]]+Inventory[[#This Row],[Unadj Det Value]]+Inventory[[#This Row],[Unadj Land Value]]</f>
        <v>388600</v>
      </c>
      <c r="BF603" s="36">
        <f>(Inventory[[#This Row],[Unadj Total Value]]-Inventory[[#This Row],[24Final]])/Inventory[[#This Row],[24Final]]</f>
        <v>6.7582417582417578E-2</v>
      </c>
      <c r="BG603" s="25">
        <f>VLOOKUP(Inventory[[#This Row],[Nbhd]],Lookups!$Q$2:$T$4,4,FALSE)</f>
        <v>0.99970000000000003</v>
      </c>
      <c r="BH603" s="25">
        <f>VLOOKUP(Inventory[[#This Row],[Qlty]],Lookups!$O$7:$R$21,4,FALSE)</f>
        <v>1.0088999999999999</v>
      </c>
      <c r="BI603" s="25">
        <f>VLOOKUP(Inventory[[#This Row],[Cnd]],Lookups!$T$7:$W$16,4,FALSE)</f>
        <v>0.99650000000000005</v>
      </c>
      <c r="BJ603" s="25">
        <f>VLOOKUP(Inventory[[#This Row],[LivArea Range]],Lookups!$T$25:$W$37,4,FALSE)</f>
        <v>0.96179999999999999</v>
      </c>
      <c r="BK603" s="25">
        <f>VLOOKUP(Inventory[[#This Row],[Decade]],Lookups!$O$25:$R$42,4,FALSE)</f>
        <v>1.0199</v>
      </c>
      <c r="BL603" s="25">
        <f>Inventory[[#This Row],[Nbhd Adj]]*0.95</f>
        <v>0.94971499999999998</v>
      </c>
      <c r="BM603" s="25">
        <f>Inventory[[#This Row],[Nbhd Adj]]*Inventory[[#This Row],[Quality Adj]]*Inventory[[#This Row],[Condition Adj]]*Inventory[[#This Row],[Living Area Adj]]*Inventory[[#This Row],[Decade Adj]]*0.95</f>
        <v>0.93661495300843212</v>
      </c>
      <c r="BN603" s="25">
        <f>ROUND(SUM(Inventory[[#This Row],[Mdl Qlty]:[Mdl WdDeck]])+Inventory[[#This Row],[Mdl Res Intercept]]*Inventory[[#This Row],[Res Adj ]],-2)</f>
        <v>348200</v>
      </c>
      <c r="BO603" s="25">
        <f>ROUND(Inventory[[#This Row],[25Det]]*Inventory[[#This Row],[Det/Nbhd Adj]],-2)</f>
        <v>0</v>
      </c>
      <c r="BP603" s="25">
        <f>Inventory[[#This Row],[Adjusted Res]]+Inventory[[#This Row],[Adj Det ]]</f>
        <v>348200</v>
      </c>
      <c r="BQ603" s="25">
        <f>ROUND((Inventory[[#This Row],[Mdl Land Intercept]]+Inventory[[#This Row],[Mdl LnAcres]])*Inventory[[#This Row],[Det/Nbhd Adj]],-2)</f>
        <v>38400</v>
      </c>
      <c r="BR603" s="25">
        <f>Inventory[[#This Row],[Adjusted Impr Total]]+Inventory[[#This Row],[Adjusted Land Total]]</f>
        <v>386600</v>
      </c>
      <c r="BS603" s="36">
        <f>IFERROR((Inventory[[#This Row],[Adjusted Impr Total]]-Inventory[[#This Row],[24Bldg]])/Inventory[[#This Row],[24Bldg]],0)</f>
        <v>0.14577163540638369</v>
      </c>
      <c r="BT603" s="36">
        <f>(Inventory[[#This Row],[Adjusted Land Total]]-Inventory[[#This Row],[24Lnd]])/Inventory[[#This Row],[24Lnd]]</f>
        <v>-0.36106489184692181</v>
      </c>
      <c r="BU603" s="36">
        <f>(Inventory[[#This Row],[Adjusted Total]]-Inventory[[#This Row],[24Final]])/Inventory[[#This Row],[24Final]]</f>
        <v>6.2087912087912089E-2</v>
      </c>
    </row>
    <row r="604" spans="1:73" x14ac:dyDescent="0.3">
      <c r="A604" s="25">
        <v>2025</v>
      </c>
      <c r="B604" s="26" t="s">
        <v>1611</v>
      </c>
      <c r="C604" s="26">
        <f>LN(Inventory[[#This Row],[Acres]])</f>
        <v>-1.6607312068216509</v>
      </c>
      <c r="D604" s="25">
        <v>0.19</v>
      </c>
      <c r="E604" s="31"/>
      <c r="F604" s="26" t="s">
        <v>537</v>
      </c>
      <c r="G604" s="26" t="s">
        <v>126</v>
      </c>
      <c r="H604" s="26" t="s">
        <v>349</v>
      </c>
      <c r="I604" s="26" t="s">
        <v>538</v>
      </c>
      <c r="J604" s="26" t="s">
        <v>539</v>
      </c>
      <c r="K604" s="26" t="s">
        <v>242</v>
      </c>
      <c r="L604" s="26" t="s">
        <v>302</v>
      </c>
      <c r="M604" s="26" t="s">
        <v>303</v>
      </c>
      <c r="N604" s="26">
        <v>70</v>
      </c>
      <c r="O604" s="26">
        <f>2024-Inventory[[#This Row],[YrBlt]]</f>
        <v>69</v>
      </c>
      <c r="P604" s="26">
        <f>2024-Inventory[[#This Row],[EffYr]]</f>
        <v>50</v>
      </c>
      <c r="Q604" s="25">
        <v>1955</v>
      </c>
      <c r="R604" s="25">
        <v>1974</v>
      </c>
      <c r="S604" s="25">
        <v>1492</v>
      </c>
      <c r="T604" s="27"/>
      <c r="U604" s="27"/>
      <c r="V604" s="27">
        <f>Inventory[[#This Row],[Bsmt]]-Inventory[[#This Row],[FnBsmt]]</f>
        <v>0</v>
      </c>
      <c r="W604" s="27"/>
      <c r="X604" s="27"/>
      <c r="Y604" s="27">
        <f>Inventory[[#This Row],[MainFn]]+Inventory[[#This Row],[UpprFn]]+Inventory[[#This Row],[FnBsmt]]+Inventory[[#This Row],[AddFn]]</f>
        <v>1492</v>
      </c>
      <c r="Z604" s="27">
        <v>1500</v>
      </c>
      <c r="AA604" s="25">
        <v>8</v>
      </c>
      <c r="AB604" s="27"/>
      <c r="AC604" s="27"/>
      <c r="AD604" s="27"/>
      <c r="AE604" s="27"/>
      <c r="AF604" s="27"/>
      <c r="AG604" s="27"/>
      <c r="AH604" s="27"/>
      <c r="AI604" s="25">
        <v>300150</v>
      </c>
      <c r="AJ604" s="25">
        <v>216108</v>
      </c>
      <c r="AK604" s="25">
        <v>0</v>
      </c>
      <c r="AL604" s="25">
        <v>335800</v>
      </c>
      <c r="AM604" s="25">
        <v>56600</v>
      </c>
      <c r="AN604" s="25">
        <v>279200</v>
      </c>
      <c r="AO604" s="25">
        <v>0</v>
      </c>
      <c r="AP604" s="25">
        <f>Lookups!$B$56*0</f>
        <v>0</v>
      </c>
      <c r="AQ604" s="25">
        <f>Lookups!$B$56*1</f>
        <v>89850.625589999996</v>
      </c>
      <c r="AR604" s="25">
        <f>Lookups!$B$57*Inventory[[#This Row],[LnAcres]]</f>
        <v>-52569.808201026557</v>
      </c>
      <c r="AS604" s="25">
        <f>VLOOKUP(Inventory[[#This Row],[Qlty]],Lookups!$A$62:$E$75,2,FALSE)</f>
        <v>29814.093161000001</v>
      </c>
      <c r="AT604" s="25">
        <f>VLOOKUP(Inventory[[#This Row],[Cnd]],Lookups!$A$76:$E$84,2,FALSE)</f>
        <v>197752.34721000001</v>
      </c>
      <c r="AU604" s="25">
        <f>Inventory[[#This Row],[EffAge]]*Lookups!$B$85</f>
        <v>-11152.280025</v>
      </c>
      <c r="AV604" s="25">
        <f>Inventory[[#This Row],[MainFn]]*Lookups!$B$86</f>
        <v>73717.735456484006</v>
      </c>
      <c r="AW604" s="25">
        <f>Inventory[[#This Row],[UpprFn]]*Lookups!$B$87</f>
        <v>0</v>
      </c>
      <c r="AX604" s="25">
        <f>Inventory[[#This Row],[AddFn]]*Lookups!$B$88</f>
        <v>0</v>
      </c>
      <c r="AY604" s="25">
        <f>Inventory[[#This Row],[Bsmt]]*Lookups!$B$89</f>
        <v>0</v>
      </c>
      <c r="AZ604" s="25">
        <f>Inventory[[#This Row],[Fixtures]]*Lookups!$B$90</f>
        <v>30336.176841600001</v>
      </c>
      <c r="BA604" s="25">
        <f>Inventory[[#This Row],[WdDeck]]*Lookups!$B$91</f>
        <v>0</v>
      </c>
      <c r="BB604" s="25">
        <f>ROUND(Inventory[[#This Row],[25Det]],-2)</f>
        <v>0</v>
      </c>
      <c r="BC604" s="25">
        <f>ROUND(SUM(Inventory[[#This Row],[Mdl Qlty]:[Mdl WdDeck]])+Inventory[[#This Row],[Mdl Res Intercept]],-2)</f>
        <v>320500</v>
      </c>
      <c r="BD604" s="25">
        <f>ROUND(Inventory[[#This Row],[Mdl Land Intercept]]+Inventory[[#This Row],[Mdl LnAcres]],-2)</f>
        <v>37300</v>
      </c>
      <c r="BE604" s="25">
        <f>Inventory[[#This Row],[Unadj Res Value]]+Inventory[[#This Row],[Unadj Det Value]]+Inventory[[#This Row],[Unadj Land Value]]</f>
        <v>357800</v>
      </c>
      <c r="BF604" s="36">
        <f>(Inventory[[#This Row],[Unadj Total Value]]-Inventory[[#This Row],[24Final]])/Inventory[[#This Row],[24Final]]</f>
        <v>6.5515187611673617E-2</v>
      </c>
      <c r="BG604" s="25">
        <f>VLOOKUP(Inventory[[#This Row],[Nbhd]],Lookups!$Q$2:$T$4,4,FALSE)</f>
        <v>0.99970000000000003</v>
      </c>
      <c r="BH604" s="25">
        <f>VLOOKUP(Inventory[[#This Row],[Qlty]],Lookups!$O$7:$R$21,4,FALSE)</f>
        <v>1.0088999999999999</v>
      </c>
      <c r="BI604" s="25">
        <f>VLOOKUP(Inventory[[#This Row],[Cnd]],Lookups!$T$7:$W$16,4,FALSE)</f>
        <v>0.99650000000000005</v>
      </c>
      <c r="BJ604" s="25">
        <f>VLOOKUP(Inventory[[#This Row],[LivArea Range]],Lookups!$T$25:$W$37,4,FALSE)</f>
        <v>1.0157</v>
      </c>
      <c r="BK604" s="25">
        <f>VLOOKUP(Inventory[[#This Row],[Decade]],Lookups!$O$25:$R$42,4,FALSE)</f>
        <v>1.0199</v>
      </c>
      <c r="BL604" s="25">
        <f>Inventory[[#This Row],[Nbhd Adj]]*0.95</f>
        <v>0.94971499999999998</v>
      </c>
      <c r="BM604" s="25">
        <f>Inventory[[#This Row],[Nbhd Adj]]*Inventory[[#This Row],[Quality Adj]]*Inventory[[#This Row],[Condition Adj]]*Inventory[[#This Row],[Living Area Adj]]*Inventory[[#This Row],[Decade Adj]]*0.95</f>
        <v>0.98910356391210685</v>
      </c>
      <c r="BN604" s="25">
        <f>ROUND(SUM(Inventory[[#This Row],[Mdl Qlty]:[Mdl WdDeck]])+Inventory[[#This Row],[Mdl Res Intercept]]*Inventory[[#This Row],[Res Adj ]],-2)</f>
        <v>320500</v>
      </c>
      <c r="BO604" s="25">
        <f>ROUND(Inventory[[#This Row],[25Det]]*Inventory[[#This Row],[Det/Nbhd Adj]],-2)</f>
        <v>0</v>
      </c>
      <c r="BP604" s="25">
        <f>Inventory[[#This Row],[Adjusted Res]]+Inventory[[#This Row],[Adj Det ]]</f>
        <v>320500</v>
      </c>
      <c r="BQ604" s="25">
        <f>ROUND((Inventory[[#This Row],[Mdl Land Intercept]]+Inventory[[#This Row],[Mdl LnAcres]])*Inventory[[#This Row],[Det/Nbhd Adj]],-2)</f>
        <v>35400</v>
      </c>
      <c r="BR604" s="25">
        <f>Inventory[[#This Row],[Adjusted Impr Total]]+Inventory[[#This Row],[Adjusted Land Total]]</f>
        <v>355900</v>
      </c>
      <c r="BS604" s="36">
        <f>IFERROR((Inventory[[#This Row],[Adjusted Impr Total]]-Inventory[[#This Row],[24Bldg]])/Inventory[[#This Row],[24Bldg]],0)</f>
        <v>0.14792263610315187</v>
      </c>
      <c r="BT604" s="36">
        <f>(Inventory[[#This Row],[Adjusted Land Total]]-Inventory[[#This Row],[24Lnd]])/Inventory[[#This Row],[24Lnd]]</f>
        <v>-0.37455830388692579</v>
      </c>
      <c r="BU604" s="36">
        <f>(Inventory[[#This Row],[Adjusted Total]]-Inventory[[#This Row],[24Final]])/Inventory[[#This Row],[24Final]]</f>
        <v>5.9857057772483624E-2</v>
      </c>
    </row>
    <row r="605" spans="1:73" x14ac:dyDescent="0.3">
      <c r="A605" s="25">
        <v>2025</v>
      </c>
      <c r="B605" s="26" t="s">
        <v>2242</v>
      </c>
      <c r="C605" s="26">
        <f>LN(Inventory[[#This Row],[Acres]])</f>
        <v>-1.5606477482646683</v>
      </c>
      <c r="D605" s="25">
        <v>0.21</v>
      </c>
      <c r="E605" s="32">
        <v>8955</v>
      </c>
      <c r="F605" s="26" t="s">
        <v>537</v>
      </c>
      <c r="G605" s="26" t="s">
        <v>126</v>
      </c>
      <c r="H605" s="26" t="s">
        <v>349</v>
      </c>
      <c r="I605" s="26" t="s">
        <v>538</v>
      </c>
      <c r="J605" s="26" t="s">
        <v>539</v>
      </c>
      <c r="K605" s="26" t="s">
        <v>241</v>
      </c>
      <c r="L605" s="26" t="s">
        <v>351</v>
      </c>
      <c r="M605" s="26" t="s">
        <v>303</v>
      </c>
      <c r="N605" s="26">
        <v>70</v>
      </c>
      <c r="O605" s="26">
        <f>2024-Inventory[[#This Row],[YrBlt]]</f>
        <v>69</v>
      </c>
      <c r="P605" s="26">
        <f>2024-Inventory[[#This Row],[EffYr]]</f>
        <v>50</v>
      </c>
      <c r="Q605" s="25">
        <v>1955</v>
      </c>
      <c r="R605" s="25">
        <v>1974</v>
      </c>
      <c r="S605" s="25">
        <v>1168</v>
      </c>
      <c r="T605" s="27"/>
      <c r="U605" s="25">
        <v>1168</v>
      </c>
      <c r="V605" s="25">
        <f>Inventory[[#This Row],[Bsmt]]-Inventory[[#This Row],[FnBsmt]]</f>
        <v>0</v>
      </c>
      <c r="W605" s="25">
        <v>1168</v>
      </c>
      <c r="X605" s="27"/>
      <c r="Y605" s="27">
        <f>Inventory[[#This Row],[MainFn]]+Inventory[[#This Row],[UpprFn]]+Inventory[[#This Row],[FnBsmt]]+Inventory[[#This Row],[AddFn]]</f>
        <v>2336</v>
      </c>
      <c r="Z605" s="27">
        <v>2500</v>
      </c>
      <c r="AA605" s="25">
        <v>8</v>
      </c>
      <c r="AB605" s="32">
        <v>360</v>
      </c>
      <c r="AC605" s="27"/>
      <c r="AD605" s="32">
        <v>198</v>
      </c>
      <c r="AE605" s="27"/>
      <c r="AF605" s="27"/>
      <c r="AG605" s="27"/>
      <c r="AH605" s="27"/>
      <c r="AI605" s="25">
        <v>328484</v>
      </c>
      <c r="AJ605" s="25">
        <v>236508</v>
      </c>
      <c r="AK605" s="25">
        <v>0</v>
      </c>
      <c r="AL605" s="25">
        <v>354200</v>
      </c>
      <c r="AM605" s="25">
        <v>60100</v>
      </c>
      <c r="AN605" s="25">
        <v>294100</v>
      </c>
      <c r="AO605" s="25">
        <v>0</v>
      </c>
      <c r="AP605" s="25">
        <f>Lookups!$B$56*0</f>
        <v>0</v>
      </c>
      <c r="AQ605" s="25">
        <f>Lookups!$B$56*1</f>
        <v>89850.625589999996</v>
      </c>
      <c r="AR605" s="25">
        <f>Lookups!$B$57*Inventory[[#This Row],[LnAcres]]</f>
        <v>-49401.70477837498</v>
      </c>
      <c r="AS605" s="25">
        <f>VLOOKUP(Inventory[[#This Row],[Qlty]],Lookups!$A$62:$E$75,2,FALSE)</f>
        <v>21557.329055999999</v>
      </c>
      <c r="AT605" s="25">
        <f>VLOOKUP(Inventory[[#This Row],[Cnd]],Lookups!$A$76:$E$84,2,FALSE)</f>
        <v>197752.34721000001</v>
      </c>
      <c r="AU605" s="25">
        <f>Inventory[[#This Row],[EffAge]]*Lookups!$B$85</f>
        <v>-11152.280025</v>
      </c>
      <c r="AV605" s="25">
        <f>Inventory[[#This Row],[MainFn]]*Lookups!$B$86</f>
        <v>57709.326416336</v>
      </c>
      <c r="AW605" s="25">
        <f>Inventory[[#This Row],[UpprFn]]*Lookups!$B$87</f>
        <v>0</v>
      </c>
      <c r="AX605" s="25">
        <f>Inventory[[#This Row],[AddFn]]*Lookups!$B$88</f>
        <v>0</v>
      </c>
      <c r="AY605" s="25">
        <f>Inventory[[#This Row],[Bsmt]]*Lookups!$B$89</f>
        <v>33967.653648496002</v>
      </c>
      <c r="AZ605" s="25">
        <f>Inventory[[#This Row],[Fixtures]]*Lookups!$B$90</f>
        <v>30336.176841600001</v>
      </c>
      <c r="BA605" s="25">
        <f>Inventory[[#This Row],[WdDeck]]*Lookups!$B$91</f>
        <v>6592.512024648001</v>
      </c>
      <c r="BB605" s="25">
        <f>ROUND(Inventory[[#This Row],[25Det]],-2)</f>
        <v>0</v>
      </c>
      <c r="BC605" s="25">
        <f>ROUND(SUM(Inventory[[#This Row],[Mdl Qlty]:[Mdl WdDeck]])+Inventory[[#This Row],[Mdl Res Intercept]],-2)</f>
        <v>336800</v>
      </c>
      <c r="BD605" s="25">
        <f>ROUND(Inventory[[#This Row],[Mdl Land Intercept]]+Inventory[[#This Row],[Mdl LnAcres]],-2)</f>
        <v>40400</v>
      </c>
      <c r="BE605" s="25">
        <f>Inventory[[#This Row],[Unadj Res Value]]+Inventory[[#This Row],[Unadj Det Value]]+Inventory[[#This Row],[Unadj Land Value]]</f>
        <v>377200</v>
      </c>
      <c r="BF605" s="36">
        <f>(Inventory[[#This Row],[Unadj Total Value]]-Inventory[[#This Row],[24Final]])/Inventory[[#This Row],[24Final]]</f>
        <v>6.4935064935064929E-2</v>
      </c>
      <c r="BG605" s="25">
        <f>VLOOKUP(Inventory[[#This Row],[Nbhd]],Lookups!$Q$2:$T$4,4,FALSE)</f>
        <v>0.99970000000000003</v>
      </c>
      <c r="BH605" s="25">
        <f>VLOOKUP(Inventory[[#This Row],[Qlty]],Lookups!$O$7:$R$21,4,FALSE)</f>
        <v>1.0067999999999999</v>
      </c>
      <c r="BI605" s="25">
        <f>VLOOKUP(Inventory[[#This Row],[Cnd]],Lookups!$T$7:$W$16,4,FALSE)</f>
        <v>0.99650000000000005</v>
      </c>
      <c r="BJ605" s="25">
        <f>VLOOKUP(Inventory[[#This Row],[LivArea Range]],Lookups!$T$25:$W$37,4,FALSE)</f>
        <v>0.98919999999999997</v>
      </c>
      <c r="BK605" s="25">
        <f>VLOOKUP(Inventory[[#This Row],[Decade]],Lookups!$O$25:$R$42,4,FALSE)</f>
        <v>1.0199</v>
      </c>
      <c r="BL605" s="25">
        <f>Inventory[[#This Row],[Nbhd Adj]]*0.95</f>
        <v>0.94971499999999998</v>
      </c>
      <c r="BM605" s="25">
        <f>Inventory[[#This Row],[Nbhd Adj]]*Inventory[[#This Row],[Quality Adj]]*Inventory[[#This Row],[Condition Adj]]*Inventory[[#This Row],[Living Area Adj]]*Inventory[[#This Row],[Decade Adj]]*0.95</f>
        <v>0.96129239557319079</v>
      </c>
      <c r="BN605" s="25">
        <f>ROUND(SUM(Inventory[[#This Row],[Mdl Qlty]:[Mdl WdDeck]])+Inventory[[#This Row],[Mdl Res Intercept]]*Inventory[[#This Row],[Res Adj ]],-2)</f>
        <v>336800</v>
      </c>
      <c r="BO605" s="25">
        <f>ROUND(Inventory[[#This Row],[25Det]]*Inventory[[#This Row],[Det/Nbhd Adj]],-2)</f>
        <v>0</v>
      </c>
      <c r="BP605" s="25">
        <f>Inventory[[#This Row],[Adjusted Res]]+Inventory[[#This Row],[Adj Det ]]</f>
        <v>336800</v>
      </c>
      <c r="BQ605" s="25">
        <f>ROUND((Inventory[[#This Row],[Mdl Land Intercept]]+Inventory[[#This Row],[Mdl LnAcres]])*Inventory[[#This Row],[Det/Nbhd Adj]],-2)</f>
        <v>38400</v>
      </c>
      <c r="BR605" s="25">
        <f>Inventory[[#This Row],[Adjusted Impr Total]]+Inventory[[#This Row],[Adjusted Land Total]]</f>
        <v>375200</v>
      </c>
      <c r="BS605" s="36">
        <f>IFERROR((Inventory[[#This Row],[Adjusted Impr Total]]-Inventory[[#This Row],[24Bldg]])/Inventory[[#This Row],[24Bldg]],0)</f>
        <v>0.14518871132267935</v>
      </c>
      <c r="BT605" s="36">
        <f>(Inventory[[#This Row],[Adjusted Land Total]]-Inventory[[#This Row],[24Lnd]])/Inventory[[#This Row],[24Lnd]]</f>
        <v>-0.36106489184692181</v>
      </c>
      <c r="BU605" s="36">
        <f>(Inventory[[#This Row],[Adjusted Total]]-Inventory[[#This Row],[24Final]])/Inventory[[#This Row],[24Final]]</f>
        <v>5.9288537549407112E-2</v>
      </c>
    </row>
    <row r="606" spans="1:73" x14ac:dyDescent="0.3">
      <c r="A606" s="25">
        <v>2025</v>
      </c>
      <c r="B606" s="26" t="s">
        <v>2832</v>
      </c>
      <c r="C606" s="26">
        <f>LN(Inventory[[#This Row],[Acres]])</f>
        <v>-1.6607312068216509</v>
      </c>
      <c r="D606" s="25">
        <v>0.19</v>
      </c>
      <c r="E606" s="31"/>
      <c r="F606" s="26" t="s">
        <v>537</v>
      </c>
      <c r="G606" s="26" t="s">
        <v>126</v>
      </c>
      <c r="H606" s="26" t="s">
        <v>349</v>
      </c>
      <c r="I606" s="26" t="s">
        <v>538</v>
      </c>
      <c r="J606" s="26" t="s">
        <v>539</v>
      </c>
      <c r="K606" s="26" t="s">
        <v>241</v>
      </c>
      <c r="L606" s="26" t="s">
        <v>148</v>
      </c>
      <c r="M606" s="26" t="s">
        <v>323</v>
      </c>
      <c r="N606" s="26">
        <v>70</v>
      </c>
      <c r="O606" s="26">
        <f>2024-Inventory[[#This Row],[YrBlt]]</f>
        <v>69</v>
      </c>
      <c r="P606" s="26">
        <f>2024-Inventory[[#This Row],[EffYr]]</f>
        <v>50</v>
      </c>
      <c r="Q606" s="25">
        <v>1955</v>
      </c>
      <c r="R606" s="25">
        <v>1974</v>
      </c>
      <c r="S606" s="25">
        <v>1362</v>
      </c>
      <c r="T606" s="31"/>
      <c r="U606" s="25">
        <v>1362</v>
      </c>
      <c r="V606" s="25">
        <f>Inventory[[#This Row],[Bsmt]]-Inventory[[#This Row],[FnBsmt]]</f>
        <v>951</v>
      </c>
      <c r="W606" s="25">
        <v>411</v>
      </c>
      <c r="X606" s="27"/>
      <c r="Y606" s="27">
        <f>Inventory[[#This Row],[MainFn]]+Inventory[[#This Row],[UpprFn]]+Inventory[[#This Row],[FnBsmt]]+Inventory[[#This Row],[AddFn]]</f>
        <v>1773</v>
      </c>
      <c r="Z606" s="27">
        <v>2000</v>
      </c>
      <c r="AA606" s="25">
        <v>8</v>
      </c>
      <c r="AB606" s="27"/>
      <c r="AC606" s="27"/>
      <c r="AD606" s="27"/>
      <c r="AE606" s="27"/>
      <c r="AF606" s="27"/>
      <c r="AG606" s="27"/>
      <c r="AH606" s="27"/>
      <c r="AI606" s="25">
        <v>401340</v>
      </c>
      <c r="AJ606" s="25">
        <v>280938</v>
      </c>
      <c r="AK606" s="25">
        <v>10394</v>
      </c>
      <c r="AL606" s="25">
        <v>355700</v>
      </c>
      <c r="AM606" s="25">
        <v>56600</v>
      </c>
      <c r="AN606" s="25">
        <v>299100</v>
      </c>
      <c r="AO606" s="25">
        <v>0</v>
      </c>
      <c r="AP606" s="25">
        <f>Lookups!$B$56*0</f>
        <v>0</v>
      </c>
      <c r="AQ606" s="25">
        <f>Lookups!$B$56*1</f>
        <v>89850.625589999996</v>
      </c>
      <c r="AR606" s="25">
        <f>Lookups!$B$57*Inventory[[#This Row],[LnAcres]]</f>
        <v>-52569.808201026557</v>
      </c>
      <c r="AS606" s="25">
        <f>VLOOKUP(Inventory[[#This Row],[Qlty]],Lookups!$A$62:$E$75,2,FALSE)</f>
        <v>44121.038090000002</v>
      </c>
      <c r="AT606" s="25">
        <f>VLOOKUP(Inventory[[#This Row],[Cnd]],Lookups!$A$76:$E$84,2,FALSE)</f>
        <v>160472.20319</v>
      </c>
      <c r="AU606" s="25">
        <f>Inventory[[#This Row],[EffAge]]*Lookups!$B$85</f>
        <v>-11152.280025</v>
      </c>
      <c r="AV606" s="25">
        <f>Inventory[[#This Row],[MainFn]]*Lookups!$B$86</f>
        <v>67294.608372474002</v>
      </c>
      <c r="AW606" s="25">
        <f>Inventory[[#This Row],[UpprFn]]*Lookups!$B$87</f>
        <v>0</v>
      </c>
      <c r="AX606" s="25">
        <f>Inventory[[#This Row],[AddFn]]*Lookups!$B$88</f>
        <v>0</v>
      </c>
      <c r="AY606" s="25">
        <f>Inventory[[#This Row],[Bsmt]]*Lookups!$B$89</f>
        <v>39609.541326414001</v>
      </c>
      <c r="AZ606" s="25">
        <f>Inventory[[#This Row],[Fixtures]]*Lookups!$B$90</f>
        <v>30336.176841600001</v>
      </c>
      <c r="BA606" s="25">
        <f>Inventory[[#This Row],[WdDeck]]*Lookups!$B$91</f>
        <v>0</v>
      </c>
      <c r="BB606" s="25">
        <f>ROUND(Inventory[[#This Row],[25Det]],-2)</f>
        <v>10400</v>
      </c>
      <c r="BC606" s="25">
        <f>ROUND(SUM(Inventory[[#This Row],[Mdl Qlty]:[Mdl WdDeck]])+Inventory[[#This Row],[Mdl Res Intercept]],-2)</f>
        <v>330700</v>
      </c>
      <c r="BD606" s="25">
        <f>ROUND(Inventory[[#This Row],[Mdl Land Intercept]]+Inventory[[#This Row],[Mdl LnAcres]],-2)</f>
        <v>37300</v>
      </c>
      <c r="BE606" s="25">
        <f>Inventory[[#This Row],[Unadj Res Value]]+Inventory[[#This Row],[Unadj Det Value]]+Inventory[[#This Row],[Unadj Land Value]]</f>
        <v>378400</v>
      </c>
      <c r="BF606" s="36">
        <f>(Inventory[[#This Row],[Unadj Total Value]]-Inventory[[#This Row],[24Final]])/Inventory[[#This Row],[24Final]]</f>
        <v>6.3817824008996341E-2</v>
      </c>
      <c r="BG606" s="25">
        <f>VLOOKUP(Inventory[[#This Row],[Nbhd]],Lookups!$Q$2:$T$4,4,FALSE)</f>
        <v>0.99970000000000003</v>
      </c>
      <c r="BH606" s="25">
        <f>VLOOKUP(Inventory[[#This Row],[Qlty]],Lookups!$O$7:$R$21,4,FALSE)</f>
        <v>0.98050000000000004</v>
      </c>
      <c r="BI606" s="25">
        <f>VLOOKUP(Inventory[[#This Row],[Cnd]],Lookups!$T$7:$W$16,4,FALSE)</f>
        <v>0.99729999999999996</v>
      </c>
      <c r="BJ606" s="25">
        <f>VLOOKUP(Inventory[[#This Row],[LivArea Range]],Lookups!$T$25:$W$37,4,FALSE)</f>
        <v>1.0093000000000001</v>
      </c>
      <c r="BK606" s="25">
        <f>VLOOKUP(Inventory[[#This Row],[Decade]],Lookups!$O$25:$R$42,4,FALSE)</f>
        <v>1.0199</v>
      </c>
      <c r="BL606" s="25">
        <f>Inventory[[#This Row],[Nbhd Adj]]*0.95</f>
        <v>0.94971499999999998</v>
      </c>
      <c r="BM606" s="25">
        <f>Inventory[[#This Row],[Nbhd Adj]]*Inventory[[#This Row],[Quality Adj]]*Inventory[[#This Row],[Condition Adj]]*Inventory[[#This Row],[Living Area Adj]]*Inventory[[#This Row],[Decade Adj]]*0.95</f>
        <v>0.95597069536964641</v>
      </c>
      <c r="BN606" s="25">
        <f>ROUND(SUM(Inventory[[#This Row],[Mdl Qlty]:[Mdl WdDeck]])+Inventory[[#This Row],[Mdl Res Intercept]]*Inventory[[#This Row],[Res Adj ]],-2)</f>
        <v>330700</v>
      </c>
      <c r="BO606" s="25">
        <f>ROUND(Inventory[[#This Row],[25Det]]*Inventory[[#This Row],[Det/Nbhd Adj]],-2)</f>
        <v>9900</v>
      </c>
      <c r="BP606" s="25">
        <f>Inventory[[#This Row],[Adjusted Res]]+Inventory[[#This Row],[Adj Det ]]</f>
        <v>340600</v>
      </c>
      <c r="BQ606" s="25">
        <f>ROUND((Inventory[[#This Row],[Mdl Land Intercept]]+Inventory[[#This Row],[Mdl LnAcres]])*Inventory[[#This Row],[Det/Nbhd Adj]],-2)</f>
        <v>35400</v>
      </c>
      <c r="BR606" s="25">
        <f>Inventory[[#This Row],[Adjusted Impr Total]]+Inventory[[#This Row],[Adjusted Land Total]]</f>
        <v>376000</v>
      </c>
      <c r="BS606" s="36">
        <f>IFERROR((Inventory[[#This Row],[Adjusted Impr Total]]-Inventory[[#This Row],[24Bldg]])/Inventory[[#This Row],[24Bldg]],0)</f>
        <v>0.13874958207957205</v>
      </c>
      <c r="BT606" s="36">
        <f>(Inventory[[#This Row],[Adjusted Land Total]]-Inventory[[#This Row],[24Lnd]])/Inventory[[#This Row],[24Lnd]]</f>
        <v>-0.37455830388692579</v>
      </c>
      <c r="BU606" s="36">
        <f>(Inventory[[#This Row],[Adjusted Total]]-Inventory[[#This Row],[24Final]])/Inventory[[#This Row],[24Final]]</f>
        <v>5.7070565082935058E-2</v>
      </c>
    </row>
    <row r="607" spans="1:73" x14ac:dyDescent="0.3">
      <c r="A607" s="25">
        <v>2025</v>
      </c>
      <c r="B607" s="26" t="s">
        <v>1607</v>
      </c>
      <c r="C607" s="26">
        <f>LN(Inventory[[#This Row],[Acres]])</f>
        <v>-1.5606477482646683</v>
      </c>
      <c r="D607" s="25">
        <v>0.21</v>
      </c>
      <c r="E607" s="27"/>
      <c r="F607" s="26" t="s">
        <v>537</v>
      </c>
      <c r="G607" s="26" t="s">
        <v>126</v>
      </c>
      <c r="H607" s="26" t="s">
        <v>349</v>
      </c>
      <c r="I607" s="26" t="s">
        <v>538</v>
      </c>
      <c r="J607" s="26" t="s">
        <v>539</v>
      </c>
      <c r="K607" s="26" t="s">
        <v>241</v>
      </c>
      <c r="L607" s="26" t="s">
        <v>351</v>
      </c>
      <c r="M607" s="26" t="s">
        <v>323</v>
      </c>
      <c r="N607" s="26">
        <v>70</v>
      </c>
      <c r="O607" s="26">
        <f>2024-Inventory[[#This Row],[YrBlt]]</f>
        <v>69</v>
      </c>
      <c r="P607" s="26">
        <f>2024-Inventory[[#This Row],[EffYr]]</f>
        <v>50</v>
      </c>
      <c r="Q607" s="25">
        <v>1955</v>
      </c>
      <c r="R607" s="25">
        <v>1974</v>
      </c>
      <c r="S607" s="25">
        <v>1344</v>
      </c>
      <c r="T607" s="31"/>
      <c r="U607" s="25">
        <v>1036</v>
      </c>
      <c r="V607" s="25">
        <f>Inventory[[#This Row],[Bsmt]]-Inventory[[#This Row],[FnBsmt]]</f>
        <v>1036</v>
      </c>
      <c r="W607" s="31"/>
      <c r="X607" s="27"/>
      <c r="Y607" s="27">
        <f>Inventory[[#This Row],[MainFn]]+Inventory[[#This Row],[UpprFn]]+Inventory[[#This Row],[FnBsmt]]+Inventory[[#This Row],[AddFn]]</f>
        <v>1344</v>
      </c>
      <c r="Z607" s="27">
        <v>1500</v>
      </c>
      <c r="AA607" s="25">
        <v>8</v>
      </c>
      <c r="AB607" s="27"/>
      <c r="AC607" s="32">
        <v>308</v>
      </c>
      <c r="AD607" s="27"/>
      <c r="AE607" s="27"/>
      <c r="AF607" s="27"/>
      <c r="AG607" s="27"/>
      <c r="AH607" s="27"/>
      <c r="AI607" s="25">
        <v>284994</v>
      </c>
      <c r="AJ607" s="25">
        <v>199496</v>
      </c>
      <c r="AK607" s="25">
        <v>0</v>
      </c>
      <c r="AL607" s="25">
        <v>318200</v>
      </c>
      <c r="AM607" s="25">
        <v>60100</v>
      </c>
      <c r="AN607" s="25">
        <v>258100</v>
      </c>
      <c r="AO607" s="25">
        <v>0</v>
      </c>
      <c r="AP607" s="25">
        <f>Lookups!$B$56*0</f>
        <v>0</v>
      </c>
      <c r="AQ607" s="25">
        <f>Lookups!$B$56*1</f>
        <v>89850.625589999996</v>
      </c>
      <c r="AR607" s="25">
        <f>Lookups!$B$57*Inventory[[#This Row],[LnAcres]]</f>
        <v>-49401.70477837498</v>
      </c>
      <c r="AS607" s="25">
        <f>VLOOKUP(Inventory[[#This Row],[Qlty]],Lookups!$A$62:$E$75,2,FALSE)</f>
        <v>21557.329055999999</v>
      </c>
      <c r="AT607" s="25">
        <f>VLOOKUP(Inventory[[#This Row],[Cnd]],Lookups!$A$76:$E$84,2,FALSE)</f>
        <v>160472.20319</v>
      </c>
      <c r="AU607" s="25">
        <f>Inventory[[#This Row],[EffAge]]*Lookups!$B$85</f>
        <v>-11152.280025</v>
      </c>
      <c r="AV607" s="25">
        <f>Inventory[[#This Row],[MainFn]]*Lookups!$B$86</f>
        <v>66405.252314687998</v>
      </c>
      <c r="AW607" s="25">
        <f>Inventory[[#This Row],[UpprFn]]*Lookups!$B$87</f>
        <v>0</v>
      </c>
      <c r="AX607" s="25">
        <f>Inventory[[#This Row],[AddFn]]*Lookups!$B$88</f>
        <v>0</v>
      </c>
      <c r="AY607" s="25">
        <f>Inventory[[#This Row],[Bsmt]]*Lookups!$B$89</f>
        <v>30128.843475891998</v>
      </c>
      <c r="AZ607" s="25">
        <f>Inventory[[#This Row],[Fixtures]]*Lookups!$B$90</f>
        <v>30336.176841600001</v>
      </c>
      <c r="BA607" s="25">
        <f>Inventory[[#This Row],[WdDeck]]*Lookups!$B$91</f>
        <v>0</v>
      </c>
      <c r="BB607" s="25">
        <f>ROUND(Inventory[[#This Row],[25Det]],-2)</f>
        <v>0</v>
      </c>
      <c r="BC607" s="25">
        <f>ROUND(SUM(Inventory[[#This Row],[Mdl Qlty]:[Mdl WdDeck]])+Inventory[[#This Row],[Mdl Res Intercept]],-2)</f>
        <v>297700</v>
      </c>
      <c r="BD607" s="25">
        <f>ROUND(Inventory[[#This Row],[Mdl Land Intercept]]+Inventory[[#This Row],[Mdl LnAcres]],-2)</f>
        <v>40400</v>
      </c>
      <c r="BE607" s="25">
        <f>Inventory[[#This Row],[Unadj Res Value]]+Inventory[[#This Row],[Unadj Det Value]]+Inventory[[#This Row],[Unadj Land Value]]</f>
        <v>338100</v>
      </c>
      <c r="BF607" s="36">
        <f>(Inventory[[#This Row],[Unadj Total Value]]-Inventory[[#This Row],[24Final]])/Inventory[[#This Row],[24Final]]</f>
        <v>6.2539283469516024E-2</v>
      </c>
      <c r="BG607" s="25">
        <f>VLOOKUP(Inventory[[#This Row],[Nbhd]],Lookups!$Q$2:$T$4,4,FALSE)</f>
        <v>0.99970000000000003</v>
      </c>
      <c r="BH607" s="25">
        <f>VLOOKUP(Inventory[[#This Row],[Qlty]],Lookups!$O$7:$R$21,4,FALSE)</f>
        <v>1.0067999999999999</v>
      </c>
      <c r="BI607" s="25">
        <f>VLOOKUP(Inventory[[#This Row],[Cnd]],Lookups!$T$7:$W$16,4,FALSE)</f>
        <v>0.99729999999999996</v>
      </c>
      <c r="BJ607" s="25">
        <f>VLOOKUP(Inventory[[#This Row],[LivArea Range]],Lookups!$T$25:$W$37,4,FALSE)</f>
        <v>1.0157</v>
      </c>
      <c r="BK607" s="25">
        <f>VLOOKUP(Inventory[[#This Row],[Decade]],Lookups!$O$25:$R$42,4,FALSE)</f>
        <v>1.0199</v>
      </c>
      <c r="BL607" s="25">
        <f>Inventory[[#This Row],[Nbhd Adj]]*0.95</f>
        <v>0.94971499999999998</v>
      </c>
      <c r="BM607" s="25">
        <f>Inventory[[#This Row],[Nbhd Adj]]*Inventory[[#This Row],[Quality Adj]]*Inventory[[#This Row],[Condition Adj]]*Inventory[[#This Row],[Living Area Adj]]*Inventory[[#This Row],[Decade Adj]]*0.95</f>
        <v>0.98783717894453682</v>
      </c>
      <c r="BN607" s="25">
        <f>ROUND(SUM(Inventory[[#This Row],[Mdl Qlty]:[Mdl WdDeck]])+Inventory[[#This Row],[Mdl Res Intercept]]*Inventory[[#This Row],[Res Adj ]],-2)</f>
        <v>297700</v>
      </c>
      <c r="BO607" s="25">
        <f>ROUND(Inventory[[#This Row],[25Det]]*Inventory[[#This Row],[Det/Nbhd Adj]],-2)</f>
        <v>0</v>
      </c>
      <c r="BP607" s="25">
        <f>Inventory[[#This Row],[Adjusted Res]]+Inventory[[#This Row],[Adj Det ]]</f>
        <v>297700</v>
      </c>
      <c r="BQ607" s="25">
        <f>ROUND((Inventory[[#This Row],[Mdl Land Intercept]]+Inventory[[#This Row],[Mdl LnAcres]])*Inventory[[#This Row],[Det/Nbhd Adj]],-2)</f>
        <v>38400</v>
      </c>
      <c r="BR607" s="25">
        <f>Inventory[[#This Row],[Adjusted Impr Total]]+Inventory[[#This Row],[Adjusted Land Total]]</f>
        <v>336100</v>
      </c>
      <c r="BS607" s="36">
        <f>IFERROR((Inventory[[#This Row],[Adjusted Impr Total]]-Inventory[[#This Row],[24Bldg]])/Inventory[[#This Row],[24Bldg]],0)</f>
        <v>0.15342890352576521</v>
      </c>
      <c r="BT607" s="36">
        <f>(Inventory[[#This Row],[Adjusted Land Total]]-Inventory[[#This Row],[24Lnd]])/Inventory[[#This Row],[24Lnd]]</f>
        <v>-0.36106489184692181</v>
      </c>
      <c r="BU607" s="36">
        <f>(Inventory[[#This Row],[Adjusted Total]]-Inventory[[#This Row],[24Final]])/Inventory[[#This Row],[24Final]]</f>
        <v>5.6253928346951601E-2</v>
      </c>
    </row>
    <row r="608" spans="1:73" x14ac:dyDescent="0.3">
      <c r="A608" s="25">
        <v>2025</v>
      </c>
      <c r="B608" s="26" t="s">
        <v>790</v>
      </c>
      <c r="C608" s="26">
        <f>LN(Inventory[[#This Row],[Acres]])</f>
        <v>-1.5141277326297755</v>
      </c>
      <c r="D608" s="25">
        <v>0.22</v>
      </c>
      <c r="E608" s="32">
        <v>9487</v>
      </c>
      <c r="F608" s="26" t="s">
        <v>537</v>
      </c>
      <c r="G608" s="26" t="s">
        <v>126</v>
      </c>
      <c r="H608" s="26" t="s">
        <v>349</v>
      </c>
      <c r="I608" s="26" t="s">
        <v>538</v>
      </c>
      <c r="J608" s="26" t="s">
        <v>539</v>
      </c>
      <c r="K608" s="26" t="s">
        <v>241</v>
      </c>
      <c r="L608" s="26" t="s">
        <v>302</v>
      </c>
      <c r="M608" s="26" t="s">
        <v>323</v>
      </c>
      <c r="N608" s="26">
        <v>70</v>
      </c>
      <c r="O608" s="26">
        <f>2024-Inventory[[#This Row],[YrBlt]]</f>
        <v>69</v>
      </c>
      <c r="P608" s="26">
        <f>2024-Inventory[[#This Row],[EffYr]]</f>
        <v>50</v>
      </c>
      <c r="Q608" s="25">
        <v>1955</v>
      </c>
      <c r="R608" s="25">
        <v>1974</v>
      </c>
      <c r="S608" s="25">
        <v>1260</v>
      </c>
      <c r="T608" s="31"/>
      <c r="U608" s="25">
        <v>1300</v>
      </c>
      <c r="V608" s="32">
        <f>Inventory[[#This Row],[Bsmt]]-Inventory[[#This Row],[FnBsmt]]</f>
        <v>1100</v>
      </c>
      <c r="W608" s="32">
        <v>200</v>
      </c>
      <c r="X608" s="27"/>
      <c r="Y608" s="27">
        <f>Inventory[[#This Row],[MainFn]]+Inventory[[#This Row],[UpprFn]]+Inventory[[#This Row],[FnBsmt]]+Inventory[[#This Row],[AddFn]]</f>
        <v>1460</v>
      </c>
      <c r="Z608" s="27">
        <v>1500</v>
      </c>
      <c r="AA608" s="25">
        <v>7</v>
      </c>
      <c r="AB608" s="27"/>
      <c r="AC608" s="27"/>
      <c r="AD608" s="31"/>
      <c r="AE608" s="27"/>
      <c r="AF608" s="27"/>
      <c r="AG608" s="27"/>
      <c r="AH608" s="27"/>
      <c r="AI608" s="25">
        <v>302328</v>
      </c>
      <c r="AJ608" s="25">
        <v>211630</v>
      </c>
      <c r="AK608" s="25">
        <v>2105</v>
      </c>
      <c r="AL608" s="25">
        <v>329000</v>
      </c>
      <c r="AM608" s="25">
        <v>61700</v>
      </c>
      <c r="AN608" s="25">
        <v>267300</v>
      </c>
      <c r="AO608" s="25">
        <v>0</v>
      </c>
      <c r="AP608" s="25">
        <f>Lookups!$B$56*0</f>
        <v>0</v>
      </c>
      <c r="AQ608" s="25">
        <f>Lookups!$B$56*1</f>
        <v>89850.625589999996</v>
      </c>
      <c r="AR608" s="25">
        <f>Lookups!$B$57*Inventory[[#This Row],[LnAcres]]</f>
        <v>-47929.131559187132</v>
      </c>
      <c r="AS608" s="25">
        <f>VLOOKUP(Inventory[[#This Row],[Qlty]],Lookups!$A$62:$E$75,2,FALSE)</f>
        <v>29814.093161000001</v>
      </c>
      <c r="AT608" s="25">
        <f>VLOOKUP(Inventory[[#This Row],[Cnd]],Lookups!$A$76:$E$84,2,FALSE)</f>
        <v>160472.20319</v>
      </c>
      <c r="AU608" s="25">
        <f>Inventory[[#This Row],[EffAge]]*Lookups!$B$85</f>
        <v>-11152.280025</v>
      </c>
      <c r="AV608" s="25">
        <f>Inventory[[#This Row],[MainFn]]*Lookups!$B$86</f>
        <v>62254.924045020001</v>
      </c>
      <c r="AW608" s="25">
        <f>Inventory[[#This Row],[UpprFn]]*Lookups!$B$87</f>
        <v>0</v>
      </c>
      <c r="AX608" s="25">
        <f>Inventory[[#This Row],[AddFn]]*Lookups!$B$88</f>
        <v>0</v>
      </c>
      <c r="AY608" s="25">
        <f>Inventory[[#This Row],[Bsmt]]*Lookups!$B$89</f>
        <v>37806.463821099998</v>
      </c>
      <c r="AZ608" s="25">
        <f>Inventory[[#This Row],[Fixtures]]*Lookups!$B$90</f>
        <v>26544.1547364</v>
      </c>
      <c r="BA608" s="25">
        <f>Inventory[[#This Row],[WdDeck]]*Lookups!$B$91</f>
        <v>0</v>
      </c>
      <c r="BB608" s="25">
        <f>ROUND(Inventory[[#This Row],[25Det]],-2)</f>
        <v>2100</v>
      </c>
      <c r="BC608" s="25">
        <f>ROUND(SUM(Inventory[[#This Row],[Mdl Qlty]:[Mdl WdDeck]])+Inventory[[#This Row],[Mdl Res Intercept]],-2)</f>
        <v>305700</v>
      </c>
      <c r="BD608" s="25">
        <f>ROUND(Inventory[[#This Row],[Mdl Land Intercept]]+Inventory[[#This Row],[Mdl LnAcres]],-2)</f>
        <v>41900</v>
      </c>
      <c r="BE608" s="25">
        <f>Inventory[[#This Row],[Unadj Res Value]]+Inventory[[#This Row],[Unadj Det Value]]+Inventory[[#This Row],[Unadj Land Value]]</f>
        <v>349700</v>
      </c>
      <c r="BF608" s="36">
        <f>(Inventory[[#This Row],[Unadj Total Value]]-Inventory[[#This Row],[24Final]])/Inventory[[#This Row],[24Final]]</f>
        <v>6.2917933130699086E-2</v>
      </c>
      <c r="BG608" s="25">
        <f>VLOOKUP(Inventory[[#This Row],[Nbhd]],Lookups!$Q$2:$T$4,4,FALSE)</f>
        <v>0.99970000000000003</v>
      </c>
      <c r="BH608" s="25">
        <f>VLOOKUP(Inventory[[#This Row],[Qlty]],Lookups!$O$7:$R$21,4,FALSE)</f>
        <v>1.0088999999999999</v>
      </c>
      <c r="BI608" s="25">
        <f>VLOOKUP(Inventory[[#This Row],[Cnd]],Lookups!$T$7:$W$16,4,FALSE)</f>
        <v>0.99729999999999996</v>
      </c>
      <c r="BJ608" s="25">
        <f>VLOOKUP(Inventory[[#This Row],[LivArea Range]],Lookups!$T$25:$W$37,4,FALSE)</f>
        <v>1.0157</v>
      </c>
      <c r="BK608" s="25">
        <f>VLOOKUP(Inventory[[#This Row],[Decade]],Lookups!$O$25:$R$42,4,FALSE)</f>
        <v>1.0199</v>
      </c>
      <c r="BL608" s="25">
        <f>Inventory[[#This Row],[Nbhd Adj]]*0.95</f>
        <v>0.94971499999999998</v>
      </c>
      <c r="BM608" s="25">
        <f>Inventory[[#This Row],[Nbhd Adj]]*Inventory[[#This Row],[Quality Adj]]*Inventory[[#This Row],[Condition Adj]]*Inventory[[#This Row],[Living Area Adj]]*Inventory[[#This Row],[Decade Adj]]*0.95</f>
        <v>0.98989762598047604</v>
      </c>
      <c r="BN608" s="25">
        <f>ROUND(SUM(Inventory[[#This Row],[Mdl Qlty]:[Mdl WdDeck]])+Inventory[[#This Row],[Mdl Res Intercept]]*Inventory[[#This Row],[Res Adj ]],-2)</f>
        <v>305700</v>
      </c>
      <c r="BO608" s="25">
        <f>ROUND(Inventory[[#This Row],[25Det]]*Inventory[[#This Row],[Det/Nbhd Adj]],-2)</f>
        <v>2000</v>
      </c>
      <c r="BP608" s="25">
        <f>Inventory[[#This Row],[Adjusted Res]]+Inventory[[#This Row],[Adj Det ]]</f>
        <v>307700</v>
      </c>
      <c r="BQ608" s="25">
        <f>ROUND((Inventory[[#This Row],[Mdl Land Intercept]]+Inventory[[#This Row],[Mdl LnAcres]])*Inventory[[#This Row],[Det/Nbhd Adj]],-2)</f>
        <v>39800</v>
      </c>
      <c r="BR608" s="25">
        <f>Inventory[[#This Row],[Adjusted Impr Total]]+Inventory[[#This Row],[Adjusted Land Total]]</f>
        <v>347500</v>
      </c>
      <c r="BS608" s="36">
        <f>IFERROR((Inventory[[#This Row],[Adjusted Impr Total]]-Inventory[[#This Row],[24Bldg]])/Inventory[[#This Row],[24Bldg]],0)</f>
        <v>0.15114104002992892</v>
      </c>
      <c r="BT608" s="36">
        <f>(Inventory[[#This Row],[Adjusted Land Total]]-Inventory[[#This Row],[24Lnd]])/Inventory[[#This Row],[24Lnd]]</f>
        <v>-0.35494327390599678</v>
      </c>
      <c r="BU608" s="36">
        <f>(Inventory[[#This Row],[Adjusted Total]]-Inventory[[#This Row],[24Final]])/Inventory[[#This Row],[24Final]]</f>
        <v>5.6231003039513679E-2</v>
      </c>
    </row>
    <row r="609" spans="1:73" x14ac:dyDescent="0.3">
      <c r="A609" s="25">
        <v>2025</v>
      </c>
      <c r="B609" s="26" t="s">
        <v>1497</v>
      </c>
      <c r="C609" s="26">
        <f>LN(Inventory[[#This Row],[Acres]])</f>
        <v>-1.4271163556401458</v>
      </c>
      <c r="D609" s="25">
        <v>0.24</v>
      </c>
      <c r="E609" s="25">
        <v>10577</v>
      </c>
      <c r="F609" s="26" t="s">
        <v>537</v>
      </c>
      <c r="G609" s="26" t="s">
        <v>126</v>
      </c>
      <c r="H609" s="26" t="s">
        <v>349</v>
      </c>
      <c r="I609" s="26" t="s">
        <v>538</v>
      </c>
      <c r="J609" s="26" t="s">
        <v>539</v>
      </c>
      <c r="K609" s="26" t="s">
        <v>241</v>
      </c>
      <c r="L609" s="26" t="s">
        <v>351</v>
      </c>
      <c r="M609" s="26" t="s">
        <v>303</v>
      </c>
      <c r="N609" s="26">
        <v>70</v>
      </c>
      <c r="O609" s="26">
        <f>2024-Inventory[[#This Row],[YrBlt]]</f>
        <v>69</v>
      </c>
      <c r="P609" s="26">
        <f>2024-Inventory[[#This Row],[EffYr]]</f>
        <v>50</v>
      </c>
      <c r="Q609" s="25">
        <v>1955</v>
      </c>
      <c r="R609" s="25">
        <v>1974</v>
      </c>
      <c r="S609" s="25">
        <v>1301</v>
      </c>
      <c r="T609" s="27"/>
      <c r="U609" s="25">
        <v>1053</v>
      </c>
      <c r="V609" s="25">
        <f>Inventory[[#This Row],[Bsmt]]-Inventory[[#This Row],[FnBsmt]]</f>
        <v>526</v>
      </c>
      <c r="W609" s="25">
        <v>527</v>
      </c>
      <c r="X609" s="27"/>
      <c r="Y609" s="27">
        <f>Inventory[[#This Row],[MainFn]]+Inventory[[#This Row],[UpprFn]]+Inventory[[#This Row],[FnBsmt]]+Inventory[[#This Row],[AddFn]]</f>
        <v>1828</v>
      </c>
      <c r="Z609" s="27">
        <v>2000</v>
      </c>
      <c r="AA609" s="25">
        <v>5</v>
      </c>
      <c r="AB609" s="32">
        <v>440</v>
      </c>
      <c r="AC609" s="27"/>
      <c r="AD609" s="27"/>
      <c r="AE609" s="27"/>
      <c r="AF609" s="27"/>
      <c r="AG609" s="27"/>
      <c r="AH609" s="27"/>
      <c r="AI609" s="25">
        <v>314519</v>
      </c>
      <c r="AJ609" s="25">
        <v>226454</v>
      </c>
      <c r="AK609" s="25">
        <v>22051</v>
      </c>
      <c r="AL609" s="25">
        <v>364800</v>
      </c>
      <c r="AM609" s="25">
        <v>64800</v>
      </c>
      <c r="AN609" s="25">
        <v>300000</v>
      </c>
      <c r="AO609" s="25">
        <v>0</v>
      </c>
      <c r="AP609" s="25">
        <f>Lookups!$B$56*0</f>
        <v>0</v>
      </c>
      <c r="AQ609" s="25">
        <f>Lookups!$B$56*1</f>
        <v>89850.625589999996</v>
      </c>
      <c r="AR609" s="25">
        <f>Lookups!$B$57*Inventory[[#This Row],[LnAcres]]</f>
        <v>-45174.819855485119</v>
      </c>
      <c r="AS609" s="25">
        <f>VLOOKUP(Inventory[[#This Row],[Qlty]],Lookups!$A$62:$E$75,2,FALSE)</f>
        <v>21557.329055999999</v>
      </c>
      <c r="AT609" s="25">
        <f>VLOOKUP(Inventory[[#This Row],[Cnd]],Lookups!$A$76:$E$84,2,FALSE)</f>
        <v>197752.34721000001</v>
      </c>
      <c r="AU609" s="25">
        <f>Inventory[[#This Row],[EffAge]]*Lookups!$B$85</f>
        <v>-11152.280025</v>
      </c>
      <c r="AV609" s="25">
        <f>Inventory[[#This Row],[MainFn]]*Lookups!$B$86</f>
        <v>64280.679509977002</v>
      </c>
      <c r="AW609" s="25">
        <f>Inventory[[#This Row],[UpprFn]]*Lookups!$B$87</f>
        <v>0</v>
      </c>
      <c r="AX609" s="25">
        <f>Inventory[[#This Row],[AddFn]]*Lookups!$B$88</f>
        <v>0</v>
      </c>
      <c r="AY609" s="25">
        <f>Inventory[[#This Row],[Bsmt]]*Lookups!$B$89</f>
        <v>30623.235695091</v>
      </c>
      <c r="AZ609" s="25">
        <f>Inventory[[#This Row],[Fixtures]]*Lookups!$B$90</f>
        <v>18960.110526</v>
      </c>
      <c r="BA609" s="25">
        <f>Inventory[[#This Row],[WdDeck]]*Lookups!$B$91</f>
        <v>0</v>
      </c>
      <c r="BB609" s="25">
        <f>ROUND(Inventory[[#This Row],[25Det]],-2)</f>
        <v>22100</v>
      </c>
      <c r="BC609" s="25">
        <f>ROUND(SUM(Inventory[[#This Row],[Mdl Qlty]:[Mdl WdDeck]])+Inventory[[#This Row],[Mdl Res Intercept]],-2)</f>
        <v>322000</v>
      </c>
      <c r="BD609" s="25">
        <f>ROUND(Inventory[[#This Row],[Mdl Land Intercept]]+Inventory[[#This Row],[Mdl LnAcres]],-2)</f>
        <v>44700</v>
      </c>
      <c r="BE609" s="25">
        <f>Inventory[[#This Row],[Unadj Res Value]]+Inventory[[#This Row],[Unadj Det Value]]+Inventory[[#This Row],[Unadj Land Value]]</f>
        <v>388800</v>
      </c>
      <c r="BF609" s="36">
        <f>(Inventory[[#This Row],[Unadj Total Value]]-Inventory[[#This Row],[24Final]])/Inventory[[#This Row],[24Final]]</f>
        <v>6.5789473684210523E-2</v>
      </c>
      <c r="BG609" s="25">
        <f>VLOOKUP(Inventory[[#This Row],[Nbhd]],Lookups!$Q$2:$T$4,4,FALSE)</f>
        <v>0.99970000000000003</v>
      </c>
      <c r="BH609" s="25">
        <f>VLOOKUP(Inventory[[#This Row],[Qlty]],Lookups!$O$7:$R$21,4,FALSE)</f>
        <v>1.0067999999999999</v>
      </c>
      <c r="BI609" s="25">
        <f>VLOOKUP(Inventory[[#This Row],[Cnd]],Lookups!$T$7:$W$16,4,FALSE)</f>
        <v>0.99650000000000005</v>
      </c>
      <c r="BJ609" s="25">
        <f>VLOOKUP(Inventory[[#This Row],[LivArea Range]],Lookups!$T$25:$W$37,4,FALSE)</f>
        <v>1.0093000000000001</v>
      </c>
      <c r="BK609" s="25">
        <f>VLOOKUP(Inventory[[#This Row],[Decade]],Lookups!$O$25:$R$42,4,FALSE)</f>
        <v>1.0199</v>
      </c>
      <c r="BL609" s="25">
        <f>Inventory[[#This Row],[Nbhd Adj]]*0.95</f>
        <v>0.94971499999999998</v>
      </c>
      <c r="BM609" s="25">
        <f>Inventory[[#This Row],[Nbhd Adj]]*Inventory[[#This Row],[Quality Adj]]*Inventory[[#This Row],[Condition Adj]]*Inventory[[#This Row],[Living Area Adj]]*Inventory[[#This Row],[Decade Adj]]*0.95</f>
        <v>0.98082532839872782</v>
      </c>
      <c r="BN609" s="25">
        <f>ROUND(SUM(Inventory[[#This Row],[Mdl Qlty]:[Mdl WdDeck]])+Inventory[[#This Row],[Mdl Res Intercept]]*Inventory[[#This Row],[Res Adj ]],-2)</f>
        <v>322000</v>
      </c>
      <c r="BO609" s="25">
        <f>ROUND(Inventory[[#This Row],[25Det]]*Inventory[[#This Row],[Det/Nbhd Adj]],-2)</f>
        <v>20900</v>
      </c>
      <c r="BP609" s="25">
        <f>Inventory[[#This Row],[Adjusted Res]]+Inventory[[#This Row],[Adj Det ]]</f>
        <v>342900</v>
      </c>
      <c r="BQ609" s="25">
        <f>ROUND((Inventory[[#This Row],[Mdl Land Intercept]]+Inventory[[#This Row],[Mdl LnAcres]])*Inventory[[#This Row],[Det/Nbhd Adj]],-2)</f>
        <v>42400</v>
      </c>
      <c r="BR609" s="25">
        <f>Inventory[[#This Row],[Adjusted Impr Total]]+Inventory[[#This Row],[Adjusted Land Total]]</f>
        <v>385300</v>
      </c>
      <c r="BS609" s="36">
        <f>IFERROR((Inventory[[#This Row],[Adjusted Impr Total]]-Inventory[[#This Row],[24Bldg]])/Inventory[[#This Row],[24Bldg]],0)</f>
        <v>0.14299999999999999</v>
      </c>
      <c r="BT609" s="36">
        <f>(Inventory[[#This Row],[Adjusted Land Total]]-Inventory[[#This Row],[24Lnd]])/Inventory[[#This Row],[24Lnd]]</f>
        <v>-0.34567901234567899</v>
      </c>
      <c r="BU609" s="36">
        <f>(Inventory[[#This Row],[Adjusted Total]]-Inventory[[#This Row],[24Final]])/Inventory[[#This Row],[24Final]]</f>
        <v>5.6195175438596492E-2</v>
      </c>
    </row>
    <row r="610" spans="1:73" x14ac:dyDescent="0.3">
      <c r="A610" s="25">
        <v>2025</v>
      </c>
      <c r="B610" s="26" t="s">
        <v>2214</v>
      </c>
      <c r="C610" s="26">
        <f>LN(Inventory[[#This Row],[Acres]])</f>
        <v>-1.8325814637483102</v>
      </c>
      <c r="D610" s="25">
        <v>0.16</v>
      </c>
      <c r="E610" s="25">
        <v>6981</v>
      </c>
      <c r="F610" s="26" t="s">
        <v>537</v>
      </c>
      <c r="G610" s="26" t="s">
        <v>126</v>
      </c>
      <c r="H610" s="26" t="s">
        <v>349</v>
      </c>
      <c r="I610" s="26" t="s">
        <v>538</v>
      </c>
      <c r="J610" s="26" t="s">
        <v>539</v>
      </c>
      <c r="K610" s="26" t="s">
        <v>269</v>
      </c>
      <c r="L610" s="26" t="s">
        <v>302</v>
      </c>
      <c r="M610" s="26" t="s">
        <v>303</v>
      </c>
      <c r="N610" s="26">
        <v>70</v>
      </c>
      <c r="O610" s="26">
        <f>2024-Inventory[[#This Row],[YrBlt]]</f>
        <v>69</v>
      </c>
      <c r="P610" s="26">
        <f>2024-Inventory[[#This Row],[EffYr]]</f>
        <v>50</v>
      </c>
      <c r="Q610" s="25">
        <v>1955</v>
      </c>
      <c r="R610" s="25">
        <v>1974</v>
      </c>
      <c r="S610" s="25">
        <v>1406</v>
      </c>
      <c r="T610" s="27"/>
      <c r="U610" s="25">
        <v>722</v>
      </c>
      <c r="V610" s="25">
        <f>Inventory[[#This Row],[Bsmt]]-Inventory[[#This Row],[FnBsmt]]</f>
        <v>0</v>
      </c>
      <c r="W610" s="25">
        <v>722</v>
      </c>
      <c r="X610" s="27"/>
      <c r="Y610" s="27">
        <f>Inventory[[#This Row],[MainFn]]+Inventory[[#This Row],[UpprFn]]+Inventory[[#This Row],[FnBsmt]]+Inventory[[#This Row],[AddFn]]</f>
        <v>2128</v>
      </c>
      <c r="Z610" s="27">
        <v>2500</v>
      </c>
      <c r="AA610" s="25">
        <v>9</v>
      </c>
      <c r="AB610" s="27"/>
      <c r="AC610" s="27"/>
      <c r="AD610" s="27"/>
      <c r="AE610" s="27"/>
      <c r="AF610" s="27"/>
      <c r="AG610" s="27"/>
      <c r="AH610" s="27"/>
      <c r="AI610" s="25">
        <v>336197</v>
      </c>
      <c r="AJ610" s="25">
        <v>242062</v>
      </c>
      <c r="AK610" s="25">
        <v>6155</v>
      </c>
      <c r="AL610" s="25">
        <v>357300</v>
      </c>
      <c r="AM610" s="25">
        <v>50600</v>
      </c>
      <c r="AN610" s="25">
        <v>306700</v>
      </c>
      <c r="AO610" s="25">
        <v>0</v>
      </c>
      <c r="AP610" s="25">
        <f>Lookups!$B$56*0</f>
        <v>0</v>
      </c>
      <c r="AQ610" s="25">
        <f>Lookups!$B$56*1</f>
        <v>89850.625589999996</v>
      </c>
      <c r="AR610" s="25">
        <f>Lookups!$B$57*Inventory[[#This Row],[LnAcres]]</f>
        <v>-58009.662049032086</v>
      </c>
      <c r="AS610" s="25">
        <f>VLOOKUP(Inventory[[#This Row],[Qlty]],Lookups!$A$62:$E$75,2,FALSE)</f>
        <v>29814.093161000001</v>
      </c>
      <c r="AT610" s="25">
        <f>VLOOKUP(Inventory[[#This Row],[Cnd]],Lookups!$A$76:$E$84,2,FALSE)</f>
        <v>197752.34721000001</v>
      </c>
      <c r="AU610" s="25">
        <f>Inventory[[#This Row],[EffAge]]*Lookups!$B$85</f>
        <v>-11152.280025</v>
      </c>
      <c r="AV610" s="25">
        <f>Inventory[[#This Row],[MainFn]]*Lookups!$B$86</f>
        <v>69468.589847062001</v>
      </c>
      <c r="AW610" s="25">
        <f>Inventory[[#This Row],[UpprFn]]*Lookups!$B$87</f>
        <v>0</v>
      </c>
      <c r="AX610" s="25">
        <f>Inventory[[#This Row],[AddFn]]*Lookups!$B$88</f>
        <v>0</v>
      </c>
      <c r="AY610" s="25">
        <f>Inventory[[#This Row],[Bsmt]]*Lookups!$B$89</f>
        <v>20997.128368334001</v>
      </c>
      <c r="AZ610" s="25">
        <f>Inventory[[#This Row],[Fixtures]]*Lookups!$B$90</f>
        <v>34128.198946800003</v>
      </c>
      <c r="BA610" s="25">
        <f>Inventory[[#This Row],[WdDeck]]*Lookups!$B$91</f>
        <v>0</v>
      </c>
      <c r="BB610" s="25">
        <f>ROUND(Inventory[[#This Row],[25Det]],-2)</f>
        <v>6200</v>
      </c>
      <c r="BC610" s="25">
        <f>ROUND(SUM(Inventory[[#This Row],[Mdl Qlty]:[Mdl WdDeck]])+Inventory[[#This Row],[Mdl Res Intercept]],-2)</f>
        <v>341000</v>
      </c>
      <c r="BD610" s="25">
        <f>ROUND(Inventory[[#This Row],[Mdl Land Intercept]]+Inventory[[#This Row],[Mdl LnAcres]],-2)</f>
        <v>31800</v>
      </c>
      <c r="BE610" s="25">
        <f>Inventory[[#This Row],[Unadj Res Value]]+Inventory[[#This Row],[Unadj Det Value]]+Inventory[[#This Row],[Unadj Land Value]]</f>
        <v>379000</v>
      </c>
      <c r="BF610" s="36">
        <f>(Inventory[[#This Row],[Unadj Total Value]]-Inventory[[#This Row],[24Final]])/Inventory[[#This Row],[24Final]]</f>
        <v>6.0733277357962495E-2</v>
      </c>
      <c r="BG610" s="25">
        <f>VLOOKUP(Inventory[[#This Row],[Nbhd]],Lookups!$Q$2:$T$4,4,FALSE)</f>
        <v>0.99970000000000003</v>
      </c>
      <c r="BH610" s="25">
        <f>VLOOKUP(Inventory[[#This Row],[Qlty]],Lookups!$O$7:$R$21,4,FALSE)</f>
        <v>1.0088999999999999</v>
      </c>
      <c r="BI610" s="25">
        <f>VLOOKUP(Inventory[[#This Row],[Cnd]],Lookups!$T$7:$W$16,4,FALSE)</f>
        <v>0.99650000000000005</v>
      </c>
      <c r="BJ610" s="25">
        <f>VLOOKUP(Inventory[[#This Row],[LivArea Range]],Lookups!$T$25:$W$37,4,FALSE)</f>
        <v>0.98919999999999997</v>
      </c>
      <c r="BK610" s="25">
        <f>VLOOKUP(Inventory[[#This Row],[Decade]],Lookups!$O$25:$R$42,4,FALSE)</f>
        <v>1.0199</v>
      </c>
      <c r="BL610" s="25">
        <f>Inventory[[#This Row],[Nbhd Adj]]*0.95</f>
        <v>0.94971499999999998</v>
      </c>
      <c r="BM610" s="25">
        <f>Inventory[[#This Row],[Nbhd Adj]]*Inventory[[#This Row],[Quality Adj]]*Inventory[[#This Row],[Condition Adj]]*Inventory[[#This Row],[Living Area Adj]]*Inventory[[#This Row],[Decade Adj]]*0.95</f>
        <v>0.9632974750633615</v>
      </c>
      <c r="BN610" s="25">
        <f>ROUND(SUM(Inventory[[#This Row],[Mdl Qlty]:[Mdl WdDeck]])+Inventory[[#This Row],[Mdl Res Intercept]]*Inventory[[#This Row],[Res Adj ]],-2)</f>
        <v>341000</v>
      </c>
      <c r="BO610" s="25">
        <f>ROUND(Inventory[[#This Row],[25Det]]*Inventory[[#This Row],[Det/Nbhd Adj]],-2)</f>
        <v>5800</v>
      </c>
      <c r="BP610" s="25">
        <f>Inventory[[#This Row],[Adjusted Res]]+Inventory[[#This Row],[Adj Det ]]</f>
        <v>346800</v>
      </c>
      <c r="BQ610" s="25">
        <f>ROUND((Inventory[[#This Row],[Mdl Land Intercept]]+Inventory[[#This Row],[Mdl LnAcres]])*Inventory[[#This Row],[Det/Nbhd Adj]],-2)</f>
        <v>30200</v>
      </c>
      <c r="BR610" s="25">
        <f>Inventory[[#This Row],[Adjusted Impr Total]]+Inventory[[#This Row],[Adjusted Land Total]]</f>
        <v>377000</v>
      </c>
      <c r="BS610" s="36">
        <f>IFERROR((Inventory[[#This Row],[Adjusted Impr Total]]-Inventory[[#This Row],[24Bldg]])/Inventory[[#This Row],[24Bldg]],0)</f>
        <v>0.13074665797195956</v>
      </c>
      <c r="BT610" s="36">
        <f>(Inventory[[#This Row],[Adjusted Land Total]]-Inventory[[#This Row],[24Lnd]])/Inventory[[#This Row],[24Lnd]]</f>
        <v>-0.40316205533596838</v>
      </c>
      <c r="BU610" s="36">
        <f>(Inventory[[#This Row],[Adjusted Total]]-Inventory[[#This Row],[24Final]])/Inventory[[#This Row],[24Final]]</f>
        <v>5.5135740274279317E-2</v>
      </c>
    </row>
    <row r="611" spans="1:73" x14ac:dyDescent="0.3">
      <c r="A611" s="25">
        <v>2025</v>
      </c>
      <c r="B611" s="26" t="s">
        <v>1926</v>
      </c>
      <c r="C611" s="26">
        <f>LN(Inventory[[#This Row],[Acres]])</f>
        <v>-1.6094379124341003</v>
      </c>
      <c r="D611" s="25">
        <v>0.2</v>
      </c>
      <c r="E611" s="27"/>
      <c r="F611" s="26" t="s">
        <v>537</v>
      </c>
      <c r="G611" s="26" t="s">
        <v>126</v>
      </c>
      <c r="H611" s="26" t="s">
        <v>349</v>
      </c>
      <c r="I611" s="26" t="s">
        <v>538</v>
      </c>
      <c r="J611" s="26" t="s">
        <v>539</v>
      </c>
      <c r="K611" s="26" t="s">
        <v>241</v>
      </c>
      <c r="L611" s="26" t="s">
        <v>302</v>
      </c>
      <c r="M611" s="26" t="s">
        <v>303</v>
      </c>
      <c r="N611" s="26">
        <v>70</v>
      </c>
      <c r="O611" s="26">
        <f>2024-Inventory[[#This Row],[YrBlt]]</f>
        <v>69</v>
      </c>
      <c r="P611" s="26">
        <f>2024-Inventory[[#This Row],[EffYr]]</f>
        <v>50</v>
      </c>
      <c r="Q611" s="25">
        <v>1955</v>
      </c>
      <c r="R611" s="25">
        <v>1974</v>
      </c>
      <c r="S611" s="25">
        <v>1181</v>
      </c>
      <c r="T611" s="27"/>
      <c r="U611" s="25">
        <v>810</v>
      </c>
      <c r="V611" s="25">
        <f>Inventory[[#This Row],[Bsmt]]-Inventory[[#This Row],[FnBsmt]]</f>
        <v>0</v>
      </c>
      <c r="W611" s="25">
        <v>810</v>
      </c>
      <c r="X611" s="27"/>
      <c r="Y611" s="27">
        <f>Inventory[[#This Row],[MainFn]]+Inventory[[#This Row],[UpprFn]]+Inventory[[#This Row],[FnBsmt]]+Inventory[[#This Row],[AddFn]]</f>
        <v>1991</v>
      </c>
      <c r="Z611" s="27">
        <v>2000</v>
      </c>
      <c r="AA611" s="25">
        <v>10</v>
      </c>
      <c r="AB611" s="31"/>
      <c r="AC611" s="32">
        <v>351</v>
      </c>
      <c r="AD611" s="32">
        <v>160</v>
      </c>
      <c r="AE611" s="27"/>
      <c r="AF611" s="27"/>
      <c r="AG611" s="27"/>
      <c r="AH611" s="27"/>
      <c r="AI611" s="25">
        <v>370793</v>
      </c>
      <c r="AJ611" s="25">
        <v>266971</v>
      </c>
      <c r="AK611" s="25">
        <v>14846</v>
      </c>
      <c r="AL611" s="25">
        <v>372400</v>
      </c>
      <c r="AM611" s="25">
        <v>58400</v>
      </c>
      <c r="AN611" s="25">
        <v>314000</v>
      </c>
      <c r="AO611" s="25">
        <v>0</v>
      </c>
      <c r="AP611" s="25">
        <f>Lookups!$B$56*0</f>
        <v>0</v>
      </c>
      <c r="AQ611" s="25">
        <f>Lookups!$B$56*1</f>
        <v>89850.625589999996</v>
      </c>
      <c r="AR611" s="25">
        <f>Lookups!$B$57*Inventory[[#This Row],[LnAcres]]</f>
        <v>-50946.13867709865</v>
      </c>
      <c r="AS611" s="25">
        <f>VLOOKUP(Inventory[[#This Row],[Qlty]],Lookups!$A$62:$E$75,2,FALSE)</f>
        <v>29814.093161000001</v>
      </c>
      <c r="AT611" s="25">
        <f>VLOOKUP(Inventory[[#This Row],[Cnd]],Lookups!$A$76:$E$84,2,FALSE)</f>
        <v>197752.34721000001</v>
      </c>
      <c r="AU611" s="25">
        <f>Inventory[[#This Row],[EffAge]]*Lookups!$B$85</f>
        <v>-11152.280025</v>
      </c>
      <c r="AV611" s="25">
        <f>Inventory[[#This Row],[MainFn]]*Lookups!$B$86</f>
        <v>58351.639124737005</v>
      </c>
      <c r="AW611" s="25">
        <f>Inventory[[#This Row],[UpprFn]]*Lookups!$B$87</f>
        <v>0</v>
      </c>
      <c r="AX611" s="25">
        <f>Inventory[[#This Row],[AddFn]]*Lookups!$B$88</f>
        <v>0</v>
      </c>
      <c r="AY611" s="25">
        <f>Inventory[[#This Row],[Bsmt]]*Lookups!$B$89</f>
        <v>23556.335150069997</v>
      </c>
      <c r="AZ611" s="25">
        <f>Inventory[[#This Row],[Fixtures]]*Lookups!$B$90</f>
        <v>37920.221052000001</v>
      </c>
      <c r="BA611" s="25">
        <f>Inventory[[#This Row],[WdDeck]]*Lookups!$B$91</f>
        <v>5327.2824441600005</v>
      </c>
      <c r="BB611" s="25">
        <f>ROUND(Inventory[[#This Row],[25Det]],-2)</f>
        <v>14800</v>
      </c>
      <c r="BC611" s="25">
        <f>ROUND(SUM(Inventory[[#This Row],[Mdl Qlty]:[Mdl WdDeck]])+Inventory[[#This Row],[Mdl Res Intercept]],-2)</f>
        <v>341600</v>
      </c>
      <c r="BD611" s="25">
        <f>ROUND(Inventory[[#This Row],[Mdl Land Intercept]]+Inventory[[#This Row],[Mdl LnAcres]],-2)</f>
        <v>38900</v>
      </c>
      <c r="BE611" s="25">
        <f>Inventory[[#This Row],[Unadj Res Value]]+Inventory[[#This Row],[Unadj Det Value]]+Inventory[[#This Row],[Unadj Land Value]]</f>
        <v>395300</v>
      </c>
      <c r="BF611" s="36">
        <f>(Inventory[[#This Row],[Unadj Total Value]]-Inventory[[#This Row],[24Final]])/Inventory[[#This Row],[24Final]]</f>
        <v>6.1493018259935556E-2</v>
      </c>
      <c r="BG611" s="25">
        <f>VLOOKUP(Inventory[[#This Row],[Nbhd]],Lookups!$Q$2:$T$4,4,FALSE)</f>
        <v>0.99970000000000003</v>
      </c>
      <c r="BH611" s="25">
        <f>VLOOKUP(Inventory[[#This Row],[Qlty]],Lookups!$O$7:$R$21,4,FALSE)</f>
        <v>1.0088999999999999</v>
      </c>
      <c r="BI611" s="25">
        <f>VLOOKUP(Inventory[[#This Row],[Cnd]],Lookups!$T$7:$W$16,4,FALSE)</f>
        <v>0.99650000000000005</v>
      </c>
      <c r="BJ611" s="25">
        <f>VLOOKUP(Inventory[[#This Row],[LivArea Range]],Lookups!$T$25:$W$37,4,FALSE)</f>
        <v>1.0093000000000001</v>
      </c>
      <c r="BK611" s="25">
        <f>VLOOKUP(Inventory[[#This Row],[Decade]],Lookups!$O$25:$R$42,4,FALSE)</f>
        <v>1.0199</v>
      </c>
      <c r="BL611" s="25">
        <f>Inventory[[#This Row],[Nbhd Adj]]*0.95</f>
        <v>0.94971499999999998</v>
      </c>
      <c r="BM611" s="25">
        <f>Inventory[[#This Row],[Nbhd Adj]]*Inventory[[#This Row],[Quality Adj]]*Inventory[[#This Row],[Condition Adj]]*Inventory[[#This Row],[Living Area Adj]]*Inventory[[#This Row],[Decade Adj]]*0.95</f>
        <v>0.98287115000146663</v>
      </c>
      <c r="BN611" s="25">
        <f>ROUND(SUM(Inventory[[#This Row],[Mdl Qlty]:[Mdl WdDeck]])+Inventory[[#This Row],[Mdl Res Intercept]]*Inventory[[#This Row],[Res Adj ]],-2)</f>
        <v>341600</v>
      </c>
      <c r="BO611" s="25">
        <f>ROUND(Inventory[[#This Row],[25Det]]*Inventory[[#This Row],[Det/Nbhd Adj]],-2)</f>
        <v>14100</v>
      </c>
      <c r="BP611" s="25">
        <f>Inventory[[#This Row],[Adjusted Res]]+Inventory[[#This Row],[Adj Det ]]</f>
        <v>355700</v>
      </c>
      <c r="BQ611" s="25">
        <f>ROUND((Inventory[[#This Row],[Mdl Land Intercept]]+Inventory[[#This Row],[Mdl LnAcres]])*Inventory[[#This Row],[Det/Nbhd Adj]],-2)</f>
        <v>36900</v>
      </c>
      <c r="BR611" s="25">
        <f>Inventory[[#This Row],[Adjusted Impr Total]]+Inventory[[#This Row],[Adjusted Land Total]]</f>
        <v>392600</v>
      </c>
      <c r="BS611" s="36">
        <f>IFERROR((Inventory[[#This Row],[Adjusted Impr Total]]-Inventory[[#This Row],[24Bldg]])/Inventory[[#This Row],[24Bldg]],0)</f>
        <v>0.13280254777070064</v>
      </c>
      <c r="BT611" s="36">
        <f>(Inventory[[#This Row],[Adjusted Land Total]]-Inventory[[#This Row],[24Lnd]])/Inventory[[#This Row],[24Lnd]]</f>
        <v>-0.36815068493150682</v>
      </c>
      <c r="BU611" s="36">
        <f>(Inventory[[#This Row],[Adjusted Total]]-Inventory[[#This Row],[24Final]])/Inventory[[#This Row],[24Final]]</f>
        <v>5.4242749731471536E-2</v>
      </c>
    </row>
    <row r="612" spans="1:73" x14ac:dyDescent="0.3">
      <c r="A612" s="25">
        <v>2025</v>
      </c>
      <c r="B612" s="26" t="s">
        <v>767</v>
      </c>
      <c r="C612" s="26">
        <f>LN(Inventory[[#This Row],[Acres]])</f>
        <v>-1.7147984280919266</v>
      </c>
      <c r="D612" s="25">
        <v>0.18</v>
      </c>
      <c r="E612" s="32">
        <v>7950</v>
      </c>
      <c r="F612" s="26" t="s">
        <v>537</v>
      </c>
      <c r="G612" s="26" t="s">
        <v>126</v>
      </c>
      <c r="H612" s="26" t="s">
        <v>349</v>
      </c>
      <c r="I612" s="26" t="s">
        <v>538</v>
      </c>
      <c r="J612" s="26" t="s">
        <v>539</v>
      </c>
      <c r="K612" s="26" t="s">
        <v>242</v>
      </c>
      <c r="L612" s="26" t="s">
        <v>351</v>
      </c>
      <c r="M612" s="26" t="s">
        <v>206</v>
      </c>
      <c r="N612" s="26">
        <v>70</v>
      </c>
      <c r="O612" s="26">
        <f>2024-Inventory[[#This Row],[YrBlt]]</f>
        <v>69</v>
      </c>
      <c r="P612" s="26">
        <f>2024-Inventory[[#This Row],[EffYr]]</f>
        <v>50</v>
      </c>
      <c r="Q612" s="25">
        <v>1955</v>
      </c>
      <c r="R612" s="25">
        <v>1974</v>
      </c>
      <c r="S612" s="25">
        <v>1040</v>
      </c>
      <c r="T612" s="31"/>
      <c r="U612" s="25">
        <v>1040</v>
      </c>
      <c r="V612" s="25">
        <f>Inventory[[#This Row],[Bsmt]]-Inventory[[#This Row],[FnBsmt]]</f>
        <v>0</v>
      </c>
      <c r="W612" s="25">
        <v>1040</v>
      </c>
      <c r="X612" s="27"/>
      <c r="Y612" s="27">
        <f>Inventory[[#This Row],[MainFn]]+Inventory[[#This Row],[UpprFn]]+Inventory[[#This Row],[FnBsmt]]+Inventory[[#This Row],[AddFn]]</f>
        <v>2080</v>
      </c>
      <c r="Z612" s="27">
        <v>2500</v>
      </c>
      <c r="AA612" s="25">
        <v>12</v>
      </c>
      <c r="AB612" s="32">
        <v>264</v>
      </c>
      <c r="AC612" s="27"/>
      <c r="AD612" s="25">
        <v>324</v>
      </c>
      <c r="AE612" s="27"/>
      <c r="AF612" s="27"/>
      <c r="AG612" s="27"/>
      <c r="AH612" s="27"/>
      <c r="AI612" s="25">
        <v>308521</v>
      </c>
      <c r="AJ612" s="25">
        <v>212879</v>
      </c>
      <c r="AK612" s="25">
        <v>0</v>
      </c>
      <c r="AL612" s="25">
        <v>299600</v>
      </c>
      <c r="AM612" s="25">
        <v>54700</v>
      </c>
      <c r="AN612" s="25">
        <v>244900</v>
      </c>
      <c r="AO612" s="25">
        <v>0</v>
      </c>
      <c r="AP612" s="25">
        <f>Lookups!$B$56*0</f>
        <v>0</v>
      </c>
      <c r="AQ612" s="25">
        <f>Lookups!$B$56*1</f>
        <v>89850.625589999996</v>
      </c>
      <c r="AR612" s="25">
        <f>Lookups!$B$57*Inventory[[#This Row],[LnAcres]]</f>
        <v>-54281.285314520763</v>
      </c>
      <c r="AS612" s="25">
        <f>VLOOKUP(Inventory[[#This Row],[Qlty]],Lookups!$A$62:$E$75,2,FALSE)</f>
        <v>21557.329055999999</v>
      </c>
      <c r="AT612" s="25">
        <f>VLOOKUP(Inventory[[#This Row],[Cnd]],Lookups!$A$76:$E$84,2,FALSE)</f>
        <v>133714.53821</v>
      </c>
      <c r="AU612" s="25">
        <f>Inventory[[#This Row],[EffAge]]*Lookups!$B$85</f>
        <v>-11152.280025</v>
      </c>
      <c r="AV612" s="25">
        <f>Inventory[[#This Row],[MainFn]]*Lookups!$B$86</f>
        <v>51385.016672080004</v>
      </c>
      <c r="AW612" s="25">
        <f>Inventory[[#This Row],[UpprFn]]*Lookups!$B$87</f>
        <v>0</v>
      </c>
      <c r="AX612" s="25">
        <f>Inventory[[#This Row],[AddFn]]*Lookups!$B$88</f>
        <v>0</v>
      </c>
      <c r="AY612" s="25">
        <f>Inventory[[#This Row],[Bsmt]]*Lookups!$B$89</f>
        <v>30245.171056879997</v>
      </c>
      <c r="AZ612" s="25">
        <f>Inventory[[#This Row],[Fixtures]]*Lookups!$B$90</f>
        <v>45504.265262400004</v>
      </c>
      <c r="BA612" s="25">
        <f>Inventory[[#This Row],[WdDeck]]*Lookups!$B$91</f>
        <v>10787.746949424001</v>
      </c>
      <c r="BB612" s="25">
        <f>ROUND(Inventory[[#This Row],[25Det]],-2)</f>
        <v>0</v>
      </c>
      <c r="BC612" s="25">
        <f>ROUND(SUM(Inventory[[#This Row],[Mdl Qlty]:[Mdl WdDeck]])+Inventory[[#This Row],[Mdl Res Intercept]],-2)</f>
        <v>282000</v>
      </c>
      <c r="BD612" s="25">
        <f>ROUND(Inventory[[#This Row],[Mdl Land Intercept]]+Inventory[[#This Row],[Mdl LnAcres]],-2)</f>
        <v>35600</v>
      </c>
      <c r="BE612" s="25">
        <f>Inventory[[#This Row],[Unadj Res Value]]+Inventory[[#This Row],[Unadj Det Value]]+Inventory[[#This Row],[Unadj Land Value]]</f>
        <v>317600</v>
      </c>
      <c r="BF612" s="36">
        <f>(Inventory[[#This Row],[Unadj Total Value]]-Inventory[[#This Row],[24Final]])/Inventory[[#This Row],[24Final]]</f>
        <v>6.008010680907877E-2</v>
      </c>
      <c r="BG612" s="25">
        <f>VLOOKUP(Inventory[[#This Row],[Nbhd]],Lookups!$Q$2:$T$4,4,FALSE)</f>
        <v>0.99970000000000003</v>
      </c>
      <c r="BH612" s="25">
        <f>VLOOKUP(Inventory[[#This Row],[Qlty]],Lookups!$O$7:$R$21,4,FALSE)</f>
        <v>1.0067999999999999</v>
      </c>
      <c r="BI612" s="25">
        <f>VLOOKUP(Inventory[[#This Row],[Cnd]],Lookups!$T$7:$W$16,4,FALSE)</f>
        <v>0.99329999999999996</v>
      </c>
      <c r="BJ612" s="25">
        <f>VLOOKUP(Inventory[[#This Row],[LivArea Range]],Lookups!$T$25:$W$37,4,FALSE)</f>
        <v>0.98919999999999997</v>
      </c>
      <c r="BK612" s="25">
        <f>VLOOKUP(Inventory[[#This Row],[Decade]],Lookups!$O$25:$R$42,4,FALSE)</f>
        <v>1.0199</v>
      </c>
      <c r="BL612" s="25">
        <f>Inventory[[#This Row],[Nbhd Adj]]*0.95</f>
        <v>0.94971499999999998</v>
      </c>
      <c r="BM612" s="25">
        <f>Inventory[[#This Row],[Nbhd Adj]]*Inventory[[#This Row],[Quality Adj]]*Inventory[[#This Row],[Condition Adj]]*Inventory[[#This Row],[Living Area Adj]]*Inventory[[#This Row],[Decade Adj]]*0.95</f>
        <v>0.95820545561751158</v>
      </c>
      <c r="BN612" s="25">
        <f>ROUND(SUM(Inventory[[#This Row],[Mdl Qlty]:[Mdl WdDeck]])+Inventory[[#This Row],[Mdl Res Intercept]]*Inventory[[#This Row],[Res Adj ]],-2)</f>
        <v>282000</v>
      </c>
      <c r="BO612" s="25">
        <f>ROUND(Inventory[[#This Row],[25Det]]*Inventory[[#This Row],[Det/Nbhd Adj]],-2)</f>
        <v>0</v>
      </c>
      <c r="BP612" s="25">
        <f>Inventory[[#This Row],[Adjusted Res]]+Inventory[[#This Row],[Adj Det ]]</f>
        <v>282000</v>
      </c>
      <c r="BQ612" s="25">
        <f>ROUND((Inventory[[#This Row],[Mdl Land Intercept]]+Inventory[[#This Row],[Mdl LnAcres]])*Inventory[[#This Row],[Det/Nbhd Adj]],-2)</f>
        <v>33800</v>
      </c>
      <c r="BR612" s="25">
        <f>Inventory[[#This Row],[Adjusted Impr Total]]+Inventory[[#This Row],[Adjusted Land Total]]</f>
        <v>315800</v>
      </c>
      <c r="BS612" s="36">
        <f>IFERROR((Inventory[[#This Row],[Adjusted Impr Total]]-Inventory[[#This Row],[24Bldg]])/Inventory[[#This Row],[24Bldg]],0)</f>
        <v>0.15149040424663127</v>
      </c>
      <c r="BT612" s="36">
        <f>(Inventory[[#This Row],[Adjusted Land Total]]-Inventory[[#This Row],[24Lnd]])/Inventory[[#This Row],[24Lnd]]</f>
        <v>-0.38208409506398539</v>
      </c>
      <c r="BU612" s="36">
        <f>(Inventory[[#This Row],[Adjusted Total]]-Inventory[[#This Row],[24Final]])/Inventory[[#This Row],[24Final]]</f>
        <v>5.4072096128170898E-2</v>
      </c>
    </row>
    <row r="613" spans="1:73" x14ac:dyDescent="0.3">
      <c r="A613" s="25">
        <v>2025</v>
      </c>
      <c r="B613" s="26" t="s">
        <v>2100</v>
      </c>
      <c r="C613" s="26">
        <f>LN(Inventory[[#This Row],[Acres]])</f>
        <v>-1.3862943611198906</v>
      </c>
      <c r="D613" s="25">
        <v>0.25</v>
      </c>
      <c r="E613" s="32">
        <v>10802</v>
      </c>
      <c r="F613" s="26" t="s">
        <v>537</v>
      </c>
      <c r="G613" s="26" t="s">
        <v>126</v>
      </c>
      <c r="H613" s="26" t="s">
        <v>349</v>
      </c>
      <c r="I613" s="26" t="s">
        <v>538</v>
      </c>
      <c r="J613" s="26" t="s">
        <v>539</v>
      </c>
      <c r="K613" s="26" t="s">
        <v>241</v>
      </c>
      <c r="L613" s="26" t="s">
        <v>148</v>
      </c>
      <c r="M613" s="26" t="s">
        <v>303</v>
      </c>
      <c r="N613" s="26">
        <v>70</v>
      </c>
      <c r="O613" s="26">
        <f>2024-Inventory[[#This Row],[YrBlt]]</f>
        <v>69</v>
      </c>
      <c r="P613" s="26">
        <f>2024-Inventory[[#This Row],[EffYr]]</f>
        <v>50</v>
      </c>
      <c r="Q613" s="25">
        <v>1955</v>
      </c>
      <c r="R613" s="25">
        <v>1974</v>
      </c>
      <c r="S613" s="25">
        <v>2103</v>
      </c>
      <c r="T613" s="27"/>
      <c r="U613" s="31"/>
      <c r="V613" s="31">
        <f>Inventory[[#This Row],[Bsmt]]-Inventory[[#This Row],[FnBsmt]]</f>
        <v>0</v>
      </c>
      <c r="W613" s="31"/>
      <c r="X613" s="27"/>
      <c r="Y613" s="27">
        <f>Inventory[[#This Row],[MainFn]]+Inventory[[#This Row],[UpprFn]]+Inventory[[#This Row],[FnBsmt]]+Inventory[[#This Row],[AddFn]]</f>
        <v>2103</v>
      </c>
      <c r="Z613" s="27">
        <v>2500</v>
      </c>
      <c r="AA613" s="25">
        <v>10</v>
      </c>
      <c r="AB613" s="27"/>
      <c r="AC613" s="27"/>
      <c r="AD613" s="27"/>
      <c r="AE613" s="27"/>
      <c r="AF613" s="27"/>
      <c r="AG613" s="27"/>
      <c r="AH613" s="27"/>
      <c r="AI613" s="25">
        <v>421163</v>
      </c>
      <c r="AJ613" s="25">
        <v>303237</v>
      </c>
      <c r="AK613" s="25">
        <v>0</v>
      </c>
      <c r="AL613" s="25">
        <v>395000</v>
      </c>
      <c r="AM613" s="25">
        <v>66200</v>
      </c>
      <c r="AN613" s="25">
        <v>328800</v>
      </c>
      <c r="AO613" s="25">
        <v>0</v>
      </c>
      <c r="AP613" s="25">
        <f>Lookups!$B$56*0</f>
        <v>0</v>
      </c>
      <c r="AQ613" s="25">
        <f>Lookups!$B$56*1</f>
        <v>89850.625589999996</v>
      </c>
      <c r="AR613" s="25">
        <f>Lookups!$B$57*Inventory[[#This Row],[LnAcres]]</f>
        <v>-43882.615305165229</v>
      </c>
      <c r="AS613" s="25">
        <f>VLOOKUP(Inventory[[#This Row],[Qlty]],Lookups!$A$62:$E$75,2,FALSE)</f>
        <v>44121.038090000002</v>
      </c>
      <c r="AT613" s="25">
        <f>VLOOKUP(Inventory[[#This Row],[Cnd]],Lookups!$A$76:$E$84,2,FALSE)</f>
        <v>197752.34721000001</v>
      </c>
      <c r="AU613" s="25">
        <f>Inventory[[#This Row],[EffAge]]*Lookups!$B$85</f>
        <v>-11152.280025</v>
      </c>
      <c r="AV613" s="25">
        <f>Inventory[[#This Row],[MainFn]]*Lookups!$B$86</f>
        <v>103906.432751331</v>
      </c>
      <c r="AW613" s="25">
        <f>Inventory[[#This Row],[UpprFn]]*Lookups!$B$87</f>
        <v>0</v>
      </c>
      <c r="AX613" s="25">
        <f>Inventory[[#This Row],[AddFn]]*Lookups!$B$88</f>
        <v>0</v>
      </c>
      <c r="AY613" s="25">
        <f>Inventory[[#This Row],[Bsmt]]*Lookups!$B$89</f>
        <v>0</v>
      </c>
      <c r="AZ613" s="25">
        <f>Inventory[[#This Row],[Fixtures]]*Lookups!$B$90</f>
        <v>37920.221052000001</v>
      </c>
      <c r="BA613" s="25">
        <f>Inventory[[#This Row],[WdDeck]]*Lookups!$B$91</f>
        <v>0</v>
      </c>
      <c r="BB613" s="25">
        <f>ROUND(Inventory[[#This Row],[25Det]],-2)</f>
        <v>0</v>
      </c>
      <c r="BC613" s="25">
        <f>ROUND(SUM(Inventory[[#This Row],[Mdl Qlty]:[Mdl WdDeck]])+Inventory[[#This Row],[Mdl Res Intercept]],-2)</f>
        <v>372500</v>
      </c>
      <c r="BD613" s="25">
        <f>ROUND(Inventory[[#This Row],[Mdl Land Intercept]]+Inventory[[#This Row],[Mdl LnAcres]],-2)</f>
        <v>46000</v>
      </c>
      <c r="BE613" s="25">
        <f>Inventory[[#This Row],[Unadj Res Value]]+Inventory[[#This Row],[Unadj Det Value]]+Inventory[[#This Row],[Unadj Land Value]]</f>
        <v>418500</v>
      </c>
      <c r="BF613" s="36">
        <f>(Inventory[[#This Row],[Unadj Total Value]]-Inventory[[#This Row],[24Final]])/Inventory[[#This Row],[24Final]]</f>
        <v>5.9493670886075947E-2</v>
      </c>
      <c r="BG613" s="25">
        <f>VLOOKUP(Inventory[[#This Row],[Nbhd]],Lookups!$Q$2:$T$4,4,FALSE)</f>
        <v>0.99970000000000003</v>
      </c>
      <c r="BH613" s="25">
        <f>VLOOKUP(Inventory[[#This Row],[Qlty]],Lookups!$O$7:$R$21,4,FALSE)</f>
        <v>0.98050000000000004</v>
      </c>
      <c r="BI613" s="25">
        <f>VLOOKUP(Inventory[[#This Row],[Cnd]],Lookups!$T$7:$W$16,4,FALSE)</f>
        <v>0.99650000000000005</v>
      </c>
      <c r="BJ613" s="25">
        <f>VLOOKUP(Inventory[[#This Row],[LivArea Range]],Lookups!$T$25:$W$37,4,FALSE)</f>
        <v>0.98919999999999997</v>
      </c>
      <c r="BK613" s="25">
        <f>VLOOKUP(Inventory[[#This Row],[Decade]],Lookups!$O$25:$R$42,4,FALSE)</f>
        <v>1.0199</v>
      </c>
      <c r="BL613" s="25">
        <f>Inventory[[#This Row],[Nbhd Adj]]*0.95</f>
        <v>0.94971499999999998</v>
      </c>
      <c r="BM613" s="25">
        <f>Inventory[[#This Row],[Nbhd Adj]]*Inventory[[#This Row],[Quality Adj]]*Inventory[[#This Row],[Condition Adj]]*Inventory[[#This Row],[Living Area Adj]]*Inventory[[#This Row],[Decade Adj]]*0.95</f>
        <v>0.936181161958198</v>
      </c>
      <c r="BN613" s="25">
        <f>ROUND(SUM(Inventory[[#This Row],[Mdl Qlty]:[Mdl WdDeck]])+Inventory[[#This Row],[Mdl Res Intercept]]*Inventory[[#This Row],[Res Adj ]],-2)</f>
        <v>372500</v>
      </c>
      <c r="BO613" s="25">
        <f>ROUND(Inventory[[#This Row],[25Det]]*Inventory[[#This Row],[Det/Nbhd Adj]],-2)</f>
        <v>0</v>
      </c>
      <c r="BP613" s="25">
        <f>Inventory[[#This Row],[Adjusted Res]]+Inventory[[#This Row],[Adj Det ]]</f>
        <v>372500</v>
      </c>
      <c r="BQ613" s="25">
        <f>ROUND((Inventory[[#This Row],[Mdl Land Intercept]]+Inventory[[#This Row],[Mdl LnAcres]])*Inventory[[#This Row],[Det/Nbhd Adj]],-2)</f>
        <v>43700</v>
      </c>
      <c r="BR613" s="25">
        <f>Inventory[[#This Row],[Adjusted Impr Total]]+Inventory[[#This Row],[Adjusted Land Total]]</f>
        <v>416200</v>
      </c>
      <c r="BS613" s="36">
        <f>IFERROR((Inventory[[#This Row],[Adjusted Impr Total]]-Inventory[[#This Row],[24Bldg]])/Inventory[[#This Row],[24Bldg]],0)</f>
        <v>0.13290754257907542</v>
      </c>
      <c r="BT613" s="36">
        <f>(Inventory[[#This Row],[Adjusted Land Total]]-Inventory[[#This Row],[24Lnd]])/Inventory[[#This Row],[24Lnd]]</f>
        <v>-0.33987915407854985</v>
      </c>
      <c r="BU613" s="36">
        <f>(Inventory[[#This Row],[Adjusted Total]]-Inventory[[#This Row],[24Final]])/Inventory[[#This Row],[24Final]]</f>
        <v>5.3670886075949366E-2</v>
      </c>
    </row>
    <row r="614" spans="1:73" x14ac:dyDescent="0.3">
      <c r="A614" s="25">
        <v>2025</v>
      </c>
      <c r="B614" s="26" t="s">
        <v>2634</v>
      </c>
      <c r="C614" s="26">
        <f>LN(Inventory[[#This Row],[Acres]])</f>
        <v>-1.5141277326297755</v>
      </c>
      <c r="D614" s="25">
        <v>0.22</v>
      </c>
      <c r="E614" s="32">
        <v>9564</v>
      </c>
      <c r="F614" s="26" t="s">
        <v>537</v>
      </c>
      <c r="G614" s="26" t="s">
        <v>126</v>
      </c>
      <c r="H614" s="26" t="s">
        <v>349</v>
      </c>
      <c r="I614" s="26" t="s">
        <v>538</v>
      </c>
      <c r="J614" s="26" t="s">
        <v>539</v>
      </c>
      <c r="K614" s="26" t="s">
        <v>241</v>
      </c>
      <c r="L614" s="26" t="s">
        <v>148</v>
      </c>
      <c r="M614" s="26" t="s">
        <v>303</v>
      </c>
      <c r="N614" s="26">
        <v>70</v>
      </c>
      <c r="O614" s="26">
        <f>2024-Inventory[[#This Row],[YrBlt]]</f>
        <v>69</v>
      </c>
      <c r="P614" s="26">
        <f>2024-Inventory[[#This Row],[EffYr]]</f>
        <v>50</v>
      </c>
      <c r="Q614" s="25">
        <v>1955</v>
      </c>
      <c r="R614" s="25">
        <v>1974</v>
      </c>
      <c r="S614" s="25">
        <v>2362</v>
      </c>
      <c r="T614" s="31"/>
      <c r="U614" s="31"/>
      <c r="V614" s="31">
        <f>Inventory[[#This Row],[Bsmt]]-Inventory[[#This Row],[FnBsmt]]</f>
        <v>0</v>
      </c>
      <c r="W614" s="31"/>
      <c r="X614" s="27"/>
      <c r="Y614" s="27">
        <f>Inventory[[#This Row],[MainFn]]+Inventory[[#This Row],[UpprFn]]+Inventory[[#This Row],[FnBsmt]]+Inventory[[#This Row],[AddFn]]</f>
        <v>2362</v>
      </c>
      <c r="Z614" s="27">
        <v>2500</v>
      </c>
      <c r="AA614" s="25">
        <v>13</v>
      </c>
      <c r="AB614" s="32">
        <v>552</v>
      </c>
      <c r="AC614" s="27"/>
      <c r="AD614" s="31"/>
      <c r="AE614" s="27"/>
      <c r="AF614" s="27"/>
      <c r="AG614" s="27"/>
      <c r="AH614" s="27"/>
      <c r="AI614" s="25">
        <v>510444</v>
      </c>
      <c r="AJ614" s="25">
        <v>367520</v>
      </c>
      <c r="AK614" s="25">
        <v>31274</v>
      </c>
      <c r="AL614" s="25">
        <v>443700</v>
      </c>
      <c r="AM614" s="25">
        <v>61700</v>
      </c>
      <c r="AN614" s="25">
        <v>382000</v>
      </c>
      <c r="AO614" s="25">
        <v>0</v>
      </c>
      <c r="AP614" s="25">
        <f>Lookups!$B$56*0</f>
        <v>0</v>
      </c>
      <c r="AQ614" s="25">
        <f>Lookups!$B$56*1</f>
        <v>89850.625589999996</v>
      </c>
      <c r="AR614" s="25">
        <f>Lookups!$B$57*Inventory[[#This Row],[LnAcres]]</f>
        <v>-47929.131559187132</v>
      </c>
      <c r="AS614" s="25">
        <f>VLOOKUP(Inventory[[#This Row],[Qlty]],Lookups!$A$62:$E$75,2,FALSE)</f>
        <v>44121.038090000002</v>
      </c>
      <c r="AT614" s="25">
        <f>VLOOKUP(Inventory[[#This Row],[Cnd]],Lookups!$A$76:$E$84,2,FALSE)</f>
        <v>197752.34721000001</v>
      </c>
      <c r="AU614" s="25">
        <f>Inventory[[#This Row],[EffAge]]*Lookups!$B$85</f>
        <v>-11152.280025</v>
      </c>
      <c r="AV614" s="25">
        <f>Inventory[[#This Row],[MainFn]]*Lookups!$B$86</f>
        <v>116703.27824947401</v>
      </c>
      <c r="AW614" s="25">
        <f>Inventory[[#This Row],[UpprFn]]*Lookups!$B$87</f>
        <v>0</v>
      </c>
      <c r="AX614" s="25">
        <f>Inventory[[#This Row],[AddFn]]*Lookups!$B$88</f>
        <v>0</v>
      </c>
      <c r="AY614" s="25">
        <f>Inventory[[#This Row],[Bsmt]]*Lookups!$B$89</f>
        <v>0</v>
      </c>
      <c r="AZ614" s="25">
        <f>Inventory[[#This Row],[Fixtures]]*Lookups!$B$90</f>
        <v>49296.287367600002</v>
      </c>
      <c r="BA614" s="25">
        <f>Inventory[[#This Row],[WdDeck]]*Lookups!$B$91</f>
        <v>0</v>
      </c>
      <c r="BB614" s="25">
        <f>ROUND(Inventory[[#This Row],[25Det]],-2)</f>
        <v>31300</v>
      </c>
      <c r="BC614" s="25">
        <f>ROUND(SUM(Inventory[[#This Row],[Mdl Qlty]:[Mdl WdDeck]])+Inventory[[#This Row],[Mdl Res Intercept]],-2)</f>
        <v>396700</v>
      </c>
      <c r="BD614" s="25">
        <f>ROUND(Inventory[[#This Row],[Mdl Land Intercept]]+Inventory[[#This Row],[Mdl LnAcres]],-2)</f>
        <v>41900</v>
      </c>
      <c r="BE614" s="25">
        <f>Inventory[[#This Row],[Unadj Res Value]]+Inventory[[#This Row],[Unadj Det Value]]+Inventory[[#This Row],[Unadj Land Value]]</f>
        <v>469900</v>
      </c>
      <c r="BF614" s="36">
        <f>(Inventory[[#This Row],[Unadj Total Value]]-Inventory[[#This Row],[24Final]])/Inventory[[#This Row],[24Final]]</f>
        <v>5.9048906919089476E-2</v>
      </c>
      <c r="BG614" s="25">
        <f>VLOOKUP(Inventory[[#This Row],[Nbhd]],Lookups!$Q$2:$T$4,4,FALSE)</f>
        <v>0.99970000000000003</v>
      </c>
      <c r="BH614" s="25">
        <f>VLOOKUP(Inventory[[#This Row],[Qlty]],Lookups!$O$7:$R$21,4,FALSE)</f>
        <v>0.98050000000000004</v>
      </c>
      <c r="BI614" s="25">
        <f>VLOOKUP(Inventory[[#This Row],[Cnd]],Lookups!$T$7:$W$16,4,FALSE)</f>
        <v>0.99650000000000005</v>
      </c>
      <c r="BJ614" s="25">
        <f>VLOOKUP(Inventory[[#This Row],[LivArea Range]],Lookups!$T$25:$W$37,4,FALSE)</f>
        <v>0.98919999999999997</v>
      </c>
      <c r="BK614" s="25">
        <f>VLOOKUP(Inventory[[#This Row],[Decade]],Lookups!$O$25:$R$42,4,FALSE)</f>
        <v>1.0199</v>
      </c>
      <c r="BL614" s="25">
        <f>Inventory[[#This Row],[Nbhd Adj]]*0.95</f>
        <v>0.94971499999999998</v>
      </c>
      <c r="BM614" s="25">
        <f>Inventory[[#This Row],[Nbhd Adj]]*Inventory[[#This Row],[Quality Adj]]*Inventory[[#This Row],[Condition Adj]]*Inventory[[#This Row],[Living Area Adj]]*Inventory[[#This Row],[Decade Adj]]*0.95</f>
        <v>0.936181161958198</v>
      </c>
      <c r="BN614" s="25">
        <f>ROUND(SUM(Inventory[[#This Row],[Mdl Qlty]:[Mdl WdDeck]])+Inventory[[#This Row],[Mdl Res Intercept]]*Inventory[[#This Row],[Res Adj ]],-2)</f>
        <v>396700</v>
      </c>
      <c r="BO614" s="25">
        <f>ROUND(Inventory[[#This Row],[25Det]]*Inventory[[#This Row],[Det/Nbhd Adj]],-2)</f>
        <v>29700</v>
      </c>
      <c r="BP614" s="25">
        <f>Inventory[[#This Row],[Adjusted Res]]+Inventory[[#This Row],[Adj Det ]]</f>
        <v>426400</v>
      </c>
      <c r="BQ614" s="25">
        <f>ROUND((Inventory[[#This Row],[Mdl Land Intercept]]+Inventory[[#This Row],[Mdl LnAcres]])*Inventory[[#This Row],[Det/Nbhd Adj]],-2)</f>
        <v>39800</v>
      </c>
      <c r="BR614" s="25">
        <f>Inventory[[#This Row],[Adjusted Impr Total]]+Inventory[[#This Row],[Adjusted Land Total]]</f>
        <v>466200</v>
      </c>
      <c r="BS614" s="36">
        <f>IFERROR((Inventory[[#This Row],[Adjusted Impr Total]]-Inventory[[#This Row],[24Bldg]])/Inventory[[#This Row],[24Bldg]],0)</f>
        <v>0.1162303664921466</v>
      </c>
      <c r="BT614" s="36">
        <f>(Inventory[[#This Row],[Adjusted Land Total]]-Inventory[[#This Row],[24Lnd]])/Inventory[[#This Row],[24Lnd]]</f>
        <v>-0.35494327390599678</v>
      </c>
      <c r="BU614" s="36">
        <f>(Inventory[[#This Row],[Adjusted Total]]-Inventory[[#This Row],[24Final]])/Inventory[[#This Row],[24Final]]</f>
        <v>5.0709939148073022E-2</v>
      </c>
    </row>
    <row r="615" spans="1:73" x14ac:dyDescent="0.3">
      <c r="A615" s="25">
        <v>2025</v>
      </c>
      <c r="B615" s="26" t="s">
        <v>2042</v>
      </c>
      <c r="C615" s="26">
        <f>LN(Inventory[[#This Row],[Acres]])</f>
        <v>-1.6607312068216509</v>
      </c>
      <c r="D615" s="25">
        <v>0.19</v>
      </c>
      <c r="E615" s="32">
        <v>8450</v>
      </c>
      <c r="F615" s="26" t="s">
        <v>537</v>
      </c>
      <c r="G615" s="26" t="s">
        <v>126</v>
      </c>
      <c r="H615" s="26" t="s">
        <v>349</v>
      </c>
      <c r="I615" s="26" t="s">
        <v>538</v>
      </c>
      <c r="J615" s="26" t="s">
        <v>539</v>
      </c>
      <c r="K615" s="26" t="s">
        <v>242</v>
      </c>
      <c r="L615" s="26" t="s">
        <v>351</v>
      </c>
      <c r="M615" s="26" t="s">
        <v>303</v>
      </c>
      <c r="N615" s="26">
        <v>70</v>
      </c>
      <c r="O615" s="26">
        <f>2024-Inventory[[#This Row],[YrBlt]]</f>
        <v>69</v>
      </c>
      <c r="P615" s="26">
        <f>2024-Inventory[[#This Row],[EffYr]]</f>
        <v>50</v>
      </c>
      <c r="Q615" s="25">
        <v>1955</v>
      </c>
      <c r="R615" s="25">
        <v>1974</v>
      </c>
      <c r="S615" s="25">
        <v>884</v>
      </c>
      <c r="T615" s="31"/>
      <c r="U615" s="25">
        <v>884</v>
      </c>
      <c r="V615" s="25">
        <f>Inventory[[#This Row],[Bsmt]]-Inventory[[#This Row],[FnBsmt]]</f>
        <v>0</v>
      </c>
      <c r="W615" s="25">
        <v>884</v>
      </c>
      <c r="X615" s="27"/>
      <c r="Y615" s="27">
        <f>Inventory[[#This Row],[MainFn]]+Inventory[[#This Row],[UpprFn]]+Inventory[[#This Row],[FnBsmt]]+Inventory[[#This Row],[AddFn]]</f>
        <v>1768</v>
      </c>
      <c r="Z615" s="27">
        <v>2000</v>
      </c>
      <c r="AA615" s="25">
        <v>8</v>
      </c>
      <c r="AB615" s="27"/>
      <c r="AC615" s="27"/>
      <c r="AD615" s="27"/>
      <c r="AE615" s="27"/>
      <c r="AF615" s="27"/>
      <c r="AG615" s="27"/>
      <c r="AH615" s="27"/>
      <c r="AI615" s="25">
        <v>235098</v>
      </c>
      <c r="AJ615" s="25">
        <v>169271</v>
      </c>
      <c r="AK615" s="25">
        <v>0</v>
      </c>
      <c r="AL615" s="25">
        <v>326800</v>
      </c>
      <c r="AM615" s="25">
        <v>56600</v>
      </c>
      <c r="AN615" s="25">
        <v>270200</v>
      </c>
      <c r="AO615" s="25">
        <v>0</v>
      </c>
      <c r="AP615" s="25">
        <f>Lookups!$B$56*0</f>
        <v>0</v>
      </c>
      <c r="AQ615" s="25">
        <f>Lookups!$B$56*1</f>
        <v>89850.625589999996</v>
      </c>
      <c r="AR615" s="25">
        <f>Lookups!$B$57*Inventory[[#This Row],[LnAcres]]</f>
        <v>-52569.808201026557</v>
      </c>
      <c r="AS615" s="25">
        <f>VLOOKUP(Inventory[[#This Row],[Qlty]],Lookups!$A$62:$E$75,2,FALSE)</f>
        <v>21557.329055999999</v>
      </c>
      <c r="AT615" s="25">
        <f>VLOOKUP(Inventory[[#This Row],[Cnd]],Lookups!$A$76:$E$84,2,FALSE)</f>
        <v>197752.34721000001</v>
      </c>
      <c r="AU615" s="25">
        <f>Inventory[[#This Row],[EffAge]]*Lookups!$B$85</f>
        <v>-11152.280025</v>
      </c>
      <c r="AV615" s="25">
        <f>Inventory[[#This Row],[MainFn]]*Lookups!$B$86</f>
        <v>43677.264171267998</v>
      </c>
      <c r="AW615" s="25">
        <f>Inventory[[#This Row],[UpprFn]]*Lookups!$B$87</f>
        <v>0</v>
      </c>
      <c r="AX615" s="25">
        <f>Inventory[[#This Row],[AddFn]]*Lookups!$B$88</f>
        <v>0</v>
      </c>
      <c r="AY615" s="25">
        <f>Inventory[[#This Row],[Bsmt]]*Lookups!$B$89</f>
        <v>25708.395398347999</v>
      </c>
      <c r="AZ615" s="25">
        <f>Inventory[[#This Row],[Fixtures]]*Lookups!$B$90</f>
        <v>30336.176841600001</v>
      </c>
      <c r="BA615" s="25">
        <f>Inventory[[#This Row],[WdDeck]]*Lookups!$B$91</f>
        <v>0</v>
      </c>
      <c r="BB615" s="25">
        <f>ROUND(Inventory[[#This Row],[25Det]],-2)</f>
        <v>0</v>
      </c>
      <c r="BC615" s="25">
        <f>ROUND(SUM(Inventory[[#This Row],[Mdl Qlty]:[Mdl WdDeck]])+Inventory[[#This Row],[Mdl Res Intercept]],-2)</f>
        <v>307900</v>
      </c>
      <c r="BD615" s="25">
        <f>ROUND(Inventory[[#This Row],[Mdl Land Intercept]]+Inventory[[#This Row],[Mdl LnAcres]],-2)</f>
        <v>37300</v>
      </c>
      <c r="BE615" s="25">
        <f>Inventory[[#This Row],[Unadj Res Value]]+Inventory[[#This Row],[Unadj Det Value]]+Inventory[[#This Row],[Unadj Land Value]]</f>
        <v>345200</v>
      </c>
      <c r="BF615" s="36">
        <f>(Inventory[[#This Row],[Unadj Total Value]]-Inventory[[#This Row],[24Final]])/Inventory[[#This Row],[24Final]]</f>
        <v>5.6303549571603426E-2</v>
      </c>
      <c r="BG615" s="25">
        <f>VLOOKUP(Inventory[[#This Row],[Nbhd]],Lookups!$Q$2:$T$4,4,FALSE)</f>
        <v>0.99970000000000003</v>
      </c>
      <c r="BH615" s="25">
        <f>VLOOKUP(Inventory[[#This Row],[Qlty]],Lookups!$O$7:$R$21,4,FALSE)</f>
        <v>1.0067999999999999</v>
      </c>
      <c r="BI615" s="25">
        <f>VLOOKUP(Inventory[[#This Row],[Cnd]],Lookups!$T$7:$W$16,4,FALSE)</f>
        <v>0.99650000000000005</v>
      </c>
      <c r="BJ615" s="25">
        <f>VLOOKUP(Inventory[[#This Row],[LivArea Range]],Lookups!$T$25:$W$37,4,FALSE)</f>
        <v>1.0093000000000001</v>
      </c>
      <c r="BK615" s="25">
        <f>VLOOKUP(Inventory[[#This Row],[Decade]],Lookups!$O$25:$R$42,4,FALSE)</f>
        <v>1.0199</v>
      </c>
      <c r="BL615" s="25">
        <f>Inventory[[#This Row],[Nbhd Adj]]*0.95</f>
        <v>0.94971499999999998</v>
      </c>
      <c r="BM615" s="25">
        <f>Inventory[[#This Row],[Nbhd Adj]]*Inventory[[#This Row],[Quality Adj]]*Inventory[[#This Row],[Condition Adj]]*Inventory[[#This Row],[Living Area Adj]]*Inventory[[#This Row],[Decade Adj]]*0.95</f>
        <v>0.98082532839872782</v>
      </c>
      <c r="BN615" s="25">
        <f>ROUND(SUM(Inventory[[#This Row],[Mdl Qlty]:[Mdl WdDeck]])+Inventory[[#This Row],[Mdl Res Intercept]]*Inventory[[#This Row],[Res Adj ]],-2)</f>
        <v>307900</v>
      </c>
      <c r="BO615" s="25">
        <f>ROUND(Inventory[[#This Row],[25Det]]*Inventory[[#This Row],[Det/Nbhd Adj]],-2)</f>
        <v>0</v>
      </c>
      <c r="BP615" s="25">
        <f>Inventory[[#This Row],[Adjusted Res]]+Inventory[[#This Row],[Adj Det ]]</f>
        <v>307900</v>
      </c>
      <c r="BQ615" s="25">
        <f>ROUND((Inventory[[#This Row],[Mdl Land Intercept]]+Inventory[[#This Row],[Mdl LnAcres]])*Inventory[[#This Row],[Det/Nbhd Adj]],-2)</f>
        <v>35400</v>
      </c>
      <c r="BR615" s="25">
        <f>Inventory[[#This Row],[Adjusted Impr Total]]+Inventory[[#This Row],[Adjusted Land Total]]</f>
        <v>343300</v>
      </c>
      <c r="BS615" s="36">
        <f>IFERROR((Inventory[[#This Row],[Adjusted Impr Total]]-Inventory[[#This Row],[24Bldg]])/Inventory[[#This Row],[24Bldg]],0)</f>
        <v>0.13952627683197633</v>
      </c>
      <c r="BT615" s="36">
        <f>(Inventory[[#This Row],[Adjusted Land Total]]-Inventory[[#This Row],[24Lnd]])/Inventory[[#This Row],[24Lnd]]</f>
        <v>-0.37455830388692579</v>
      </c>
      <c r="BU615" s="36">
        <f>(Inventory[[#This Row],[Adjusted Total]]-Inventory[[#This Row],[24Final]])/Inventory[[#This Row],[24Final]]</f>
        <v>5.0489596083231336E-2</v>
      </c>
    </row>
    <row r="616" spans="1:73" x14ac:dyDescent="0.3">
      <c r="A616" s="25">
        <v>2025</v>
      </c>
      <c r="B616" s="26" t="s">
        <v>1831</v>
      </c>
      <c r="C616" s="26">
        <f>LN(Inventory[[#This Row],[Acres]])</f>
        <v>-1.5141277326297755</v>
      </c>
      <c r="D616" s="25">
        <v>0.22</v>
      </c>
      <c r="E616" s="32">
        <v>9800</v>
      </c>
      <c r="F616" s="26" t="s">
        <v>537</v>
      </c>
      <c r="G616" s="26" t="s">
        <v>126</v>
      </c>
      <c r="H616" s="26" t="s">
        <v>349</v>
      </c>
      <c r="I616" s="26" t="s">
        <v>538</v>
      </c>
      <c r="J616" s="26" t="s">
        <v>539</v>
      </c>
      <c r="K616" s="26" t="s">
        <v>5</v>
      </c>
      <c r="L616" s="26" t="s">
        <v>351</v>
      </c>
      <c r="M616" s="26" t="s">
        <v>303</v>
      </c>
      <c r="N616" s="26">
        <v>70</v>
      </c>
      <c r="O616" s="26">
        <f>2024-Inventory[[#This Row],[YrBlt]]</f>
        <v>69</v>
      </c>
      <c r="P616" s="26">
        <f>2024-Inventory[[#This Row],[EffYr]]</f>
        <v>50</v>
      </c>
      <c r="Q616" s="25">
        <v>1955</v>
      </c>
      <c r="R616" s="25">
        <v>1974</v>
      </c>
      <c r="S616" s="25">
        <v>1421</v>
      </c>
      <c r="T616" s="27"/>
      <c r="U616" s="32">
        <v>1073</v>
      </c>
      <c r="V616" s="32">
        <f>Inventory[[#This Row],[Bsmt]]-Inventory[[#This Row],[FnBsmt]]</f>
        <v>150</v>
      </c>
      <c r="W616" s="32">
        <v>923</v>
      </c>
      <c r="X616" s="27"/>
      <c r="Y616" s="27">
        <f>Inventory[[#This Row],[MainFn]]+Inventory[[#This Row],[UpprFn]]+Inventory[[#This Row],[FnBsmt]]+Inventory[[#This Row],[AddFn]]</f>
        <v>2344</v>
      </c>
      <c r="Z616" s="27">
        <v>2500</v>
      </c>
      <c r="AA616" s="25">
        <v>9</v>
      </c>
      <c r="AB616" s="27"/>
      <c r="AC616" s="32">
        <v>348</v>
      </c>
      <c r="AD616" s="32">
        <v>72</v>
      </c>
      <c r="AE616" s="27"/>
      <c r="AF616" s="27"/>
      <c r="AG616" s="27"/>
      <c r="AH616" s="27"/>
      <c r="AI616" s="25">
        <v>348306</v>
      </c>
      <c r="AJ616" s="25">
        <v>250780</v>
      </c>
      <c r="AK616" s="25">
        <v>0</v>
      </c>
      <c r="AL616" s="25">
        <v>368200</v>
      </c>
      <c r="AM616" s="25">
        <v>61700</v>
      </c>
      <c r="AN616" s="25">
        <v>306500</v>
      </c>
      <c r="AO616" s="25">
        <v>0</v>
      </c>
      <c r="AP616" s="25">
        <f>Lookups!$B$56*0</f>
        <v>0</v>
      </c>
      <c r="AQ616" s="25">
        <f>Lookups!$B$56*1</f>
        <v>89850.625589999996</v>
      </c>
      <c r="AR616" s="25">
        <f>Lookups!$B$57*Inventory[[#This Row],[LnAcres]]</f>
        <v>-47929.131559187132</v>
      </c>
      <c r="AS616" s="25">
        <f>VLOOKUP(Inventory[[#This Row],[Qlty]],Lookups!$A$62:$E$75,2,FALSE)</f>
        <v>21557.329055999999</v>
      </c>
      <c r="AT616" s="25">
        <f>VLOOKUP(Inventory[[#This Row],[Cnd]],Lookups!$A$76:$E$84,2,FALSE)</f>
        <v>197752.34721000001</v>
      </c>
      <c r="AU616" s="25">
        <f>Inventory[[#This Row],[EffAge]]*Lookups!$B$85</f>
        <v>-11152.280025</v>
      </c>
      <c r="AV616" s="25">
        <f>Inventory[[#This Row],[MainFn]]*Lookups!$B$86</f>
        <v>70209.719895217</v>
      </c>
      <c r="AW616" s="25">
        <f>Inventory[[#This Row],[UpprFn]]*Lookups!$B$87</f>
        <v>0</v>
      </c>
      <c r="AX616" s="25">
        <f>Inventory[[#This Row],[AddFn]]*Lookups!$B$88</f>
        <v>0</v>
      </c>
      <c r="AY616" s="25">
        <f>Inventory[[#This Row],[Bsmt]]*Lookups!$B$89</f>
        <v>31204.873600030998</v>
      </c>
      <c r="AZ616" s="25">
        <f>Inventory[[#This Row],[Fixtures]]*Lookups!$B$90</f>
        <v>34128.198946800003</v>
      </c>
      <c r="BA616" s="25">
        <f>Inventory[[#This Row],[WdDeck]]*Lookups!$B$91</f>
        <v>2397.2770998720002</v>
      </c>
      <c r="BB616" s="25">
        <f>ROUND(Inventory[[#This Row],[25Det]],-2)</f>
        <v>0</v>
      </c>
      <c r="BC616" s="25">
        <f>ROUND(SUM(Inventory[[#This Row],[Mdl Qlty]:[Mdl WdDeck]])+Inventory[[#This Row],[Mdl Res Intercept]],-2)</f>
        <v>346100</v>
      </c>
      <c r="BD616" s="25">
        <f>ROUND(Inventory[[#This Row],[Mdl Land Intercept]]+Inventory[[#This Row],[Mdl LnAcres]],-2)</f>
        <v>41900</v>
      </c>
      <c r="BE616" s="25">
        <f>Inventory[[#This Row],[Unadj Res Value]]+Inventory[[#This Row],[Unadj Det Value]]+Inventory[[#This Row],[Unadj Land Value]]</f>
        <v>388000</v>
      </c>
      <c r="BF616" s="36">
        <f>(Inventory[[#This Row],[Unadj Total Value]]-Inventory[[#This Row],[24Final]])/Inventory[[#This Row],[24Final]]</f>
        <v>5.3775122216186855E-2</v>
      </c>
      <c r="BG616" s="25">
        <f>VLOOKUP(Inventory[[#This Row],[Nbhd]],Lookups!$Q$2:$T$4,4,FALSE)</f>
        <v>0.99970000000000003</v>
      </c>
      <c r="BH616" s="25">
        <f>VLOOKUP(Inventory[[#This Row],[Qlty]],Lookups!$O$7:$R$21,4,FALSE)</f>
        <v>1.0067999999999999</v>
      </c>
      <c r="BI616" s="25">
        <f>VLOOKUP(Inventory[[#This Row],[Cnd]],Lookups!$T$7:$W$16,4,FALSE)</f>
        <v>0.99650000000000005</v>
      </c>
      <c r="BJ616" s="25">
        <f>VLOOKUP(Inventory[[#This Row],[LivArea Range]],Lookups!$T$25:$W$37,4,FALSE)</f>
        <v>0.98919999999999997</v>
      </c>
      <c r="BK616" s="25">
        <f>VLOOKUP(Inventory[[#This Row],[Decade]],Lookups!$O$25:$R$42,4,FALSE)</f>
        <v>1.0199</v>
      </c>
      <c r="BL616" s="25">
        <f>Inventory[[#This Row],[Nbhd Adj]]*0.95</f>
        <v>0.94971499999999998</v>
      </c>
      <c r="BM616" s="25">
        <f>Inventory[[#This Row],[Nbhd Adj]]*Inventory[[#This Row],[Quality Adj]]*Inventory[[#This Row],[Condition Adj]]*Inventory[[#This Row],[Living Area Adj]]*Inventory[[#This Row],[Decade Adj]]*0.95</f>
        <v>0.96129239557319079</v>
      </c>
      <c r="BN616" s="25">
        <f>ROUND(SUM(Inventory[[#This Row],[Mdl Qlty]:[Mdl WdDeck]])+Inventory[[#This Row],[Mdl Res Intercept]]*Inventory[[#This Row],[Res Adj ]],-2)</f>
        <v>346100</v>
      </c>
      <c r="BO616" s="25">
        <f>ROUND(Inventory[[#This Row],[25Det]]*Inventory[[#This Row],[Det/Nbhd Adj]],-2)</f>
        <v>0</v>
      </c>
      <c r="BP616" s="25">
        <f>Inventory[[#This Row],[Adjusted Res]]+Inventory[[#This Row],[Adj Det ]]</f>
        <v>346100</v>
      </c>
      <c r="BQ616" s="25">
        <f>ROUND((Inventory[[#This Row],[Mdl Land Intercept]]+Inventory[[#This Row],[Mdl LnAcres]])*Inventory[[#This Row],[Det/Nbhd Adj]],-2)</f>
        <v>39800</v>
      </c>
      <c r="BR616" s="25">
        <f>Inventory[[#This Row],[Adjusted Impr Total]]+Inventory[[#This Row],[Adjusted Land Total]]</f>
        <v>385900</v>
      </c>
      <c r="BS616" s="36">
        <f>IFERROR((Inventory[[#This Row],[Adjusted Impr Total]]-Inventory[[#This Row],[24Bldg]])/Inventory[[#This Row],[24Bldg]],0)</f>
        <v>0.12920065252854812</v>
      </c>
      <c r="BT616" s="36">
        <f>(Inventory[[#This Row],[Adjusted Land Total]]-Inventory[[#This Row],[24Lnd]])/Inventory[[#This Row],[24Lnd]]</f>
        <v>-0.35494327390599678</v>
      </c>
      <c r="BU616" s="36">
        <f>(Inventory[[#This Row],[Adjusted Total]]-Inventory[[#This Row],[24Final]])/Inventory[[#This Row],[24Final]]</f>
        <v>4.8071700162954915E-2</v>
      </c>
    </row>
    <row r="617" spans="1:73" x14ac:dyDescent="0.3">
      <c r="A617" s="25">
        <v>2025</v>
      </c>
      <c r="B617" s="26" t="s">
        <v>1496</v>
      </c>
      <c r="C617" s="26">
        <f>LN(Inventory[[#This Row],[Acres]])</f>
        <v>-1.3862943611198906</v>
      </c>
      <c r="D617" s="25">
        <v>0.25</v>
      </c>
      <c r="E617" s="25">
        <v>10695</v>
      </c>
      <c r="F617" s="26" t="s">
        <v>537</v>
      </c>
      <c r="G617" s="26" t="s">
        <v>126</v>
      </c>
      <c r="H617" s="26" t="s">
        <v>349</v>
      </c>
      <c r="I617" s="26" t="s">
        <v>538</v>
      </c>
      <c r="J617" s="26" t="s">
        <v>539</v>
      </c>
      <c r="K617" s="26" t="s">
        <v>241</v>
      </c>
      <c r="L617" s="26" t="s">
        <v>148</v>
      </c>
      <c r="M617" s="26" t="s">
        <v>303</v>
      </c>
      <c r="N617" s="26">
        <v>70</v>
      </c>
      <c r="O617" s="26">
        <f>2024-Inventory[[#This Row],[YrBlt]]</f>
        <v>69</v>
      </c>
      <c r="P617" s="26">
        <f>2024-Inventory[[#This Row],[EffYr]]</f>
        <v>50</v>
      </c>
      <c r="Q617" s="25">
        <v>1955</v>
      </c>
      <c r="R617" s="25">
        <v>1974</v>
      </c>
      <c r="S617" s="25">
        <v>1268</v>
      </c>
      <c r="T617" s="27"/>
      <c r="U617" s="25">
        <v>1268</v>
      </c>
      <c r="V617" s="25">
        <f>Inventory[[#This Row],[Bsmt]]-Inventory[[#This Row],[FnBsmt]]</f>
        <v>254</v>
      </c>
      <c r="W617" s="25">
        <v>1014</v>
      </c>
      <c r="X617" s="27"/>
      <c r="Y617" s="27">
        <f>Inventory[[#This Row],[MainFn]]+Inventory[[#This Row],[UpprFn]]+Inventory[[#This Row],[FnBsmt]]+Inventory[[#This Row],[AddFn]]</f>
        <v>2282</v>
      </c>
      <c r="Z617" s="27">
        <v>2500</v>
      </c>
      <c r="AA617" s="25">
        <v>8</v>
      </c>
      <c r="AB617" s="27"/>
      <c r="AC617" s="31"/>
      <c r="AD617" s="27"/>
      <c r="AE617" s="27"/>
      <c r="AF617" s="27"/>
      <c r="AG617" s="27"/>
      <c r="AH617" s="27"/>
      <c r="AI617" s="25">
        <v>436516</v>
      </c>
      <c r="AJ617" s="25">
        <v>314292</v>
      </c>
      <c r="AK617" s="25">
        <v>9040</v>
      </c>
      <c r="AL617" s="25">
        <v>394300</v>
      </c>
      <c r="AM617" s="25">
        <v>66200</v>
      </c>
      <c r="AN617" s="25">
        <v>328100</v>
      </c>
      <c r="AO617" s="25">
        <v>0</v>
      </c>
      <c r="AP617" s="25">
        <f>Lookups!$B$56*0</f>
        <v>0</v>
      </c>
      <c r="AQ617" s="25">
        <f>Lookups!$B$56*1</f>
        <v>89850.625589999996</v>
      </c>
      <c r="AR617" s="25">
        <f>Lookups!$B$57*Inventory[[#This Row],[LnAcres]]</f>
        <v>-43882.615305165229</v>
      </c>
      <c r="AS617" s="25">
        <f>VLOOKUP(Inventory[[#This Row],[Qlty]],Lookups!$A$62:$E$75,2,FALSE)</f>
        <v>44121.038090000002</v>
      </c>
      <c r="AT617" s="25">
        <f>VLOOKUP(Inventory[[#This Row],[Cnd]],Lookups!$A$76:$E$84,2,FALSE)</f>
        <v>197752.34721000001</v>
      </c>
      <c r="AU617" s="25">
        <f>Inventory[[#This Row],[EffAge]]*Lookups!$B$85</f>
        <v>-11152.280025</v>
      </c>
      <c r="AV617" s="25">
        <f>Inventory[[#This Row],[MainFn]]*Lookups!$B$86</f>
        <v>62650.193404035999</v>
      </c>
      <c r="AW617" s="25">
        <f>Inventory[[#This Row],[UpprFn]]*Lookups!$B$87</f>
        <v>0</v>
      </c>
      <c r="AX617" s="25">
        <f>Inventory[[#This Row],[AddFn]]*Lookups!$B$88</f>
        <v>0</v>
      </c>
      <c r="AY617" s="25">
        <f>Inventory[[#This Row],[Bsmt]]*Lookups!$B$89</f>
        <v>36875.843173196001</v>
      </c>
      <c r="AZ617" s="25">
        <f>Inventory[[#This Row],[Fixtures]]*Lookups!$B$90</f>
        <v>30336.176841600001</v>
      </c>
      <c r="BA617" s="25">
        <f>Inventory[[#This Row],[WdDeck]]*Lookups!$B$91</f>
        <v>0</v>
      </c>
      <c r="BB617" s="25">
        <f>ROUND(Inventory[[#This Row],[25Det]],-2)</f>
        <v>9000</v>
      </c>
      <c r="BC617" s="25">
        <f>ROUND(SUM(Inventory[[#This Row],[Mdl Qlty]:[Mdl WdDeck]])+Inventory[[#This Row],[Mdl Res Intercept]],-2)</f>
        <v>360600</v>
      </c>
      <c r="BD617" s="25">
        <f>ROUND(Inventory[[#This Row],[Mdl Land Intercept]]+Inventory[[#This Row],[Mdl LnAcres]],-2)</f>
        <v>46000</v>
      </c>
      <c r="BE617" s="25">
        <f>Inventory[[#This Row],[Unadj Res Value]]+Inventory[[#This Row],[Unadj Det Value]]+Inventory[[#This Row],[Unadj Land Value]]</f>
        <v>415600</v>
      </c>
      <c r="BF617" s="36">
        <f>(Inventory[[#This Row],[Unadj Total Value]]-Inventory[[#This Row],[24Final]])/Inventory[[#This Row],[24Final]]</f>
        <v>5.4019781891960439E-2</v>
      </c>
      <c r="BG617" s="25">
        <f>VLOOKUP(Inventory[[#This Row],[Nbhd]],Lookups!$Q$2:$T$4,4,FALSE)</f>
        <v>0.99970000000000003</v>
      </c>
      <c r="BH617" s="25">
        <f>VLOOKUP(Inventory[[#This Row],[Qlty]],Lookups!$O$7:$R$21,4,FALSE)</f>
        <v>0.98050000000000004</v>
      </c>
      <c r="BI617" s="25">
        <f>VLOOKUP(Inventory[[#This Row],[Cnd]],Lookups!$T$7:$W$16,4,FALSE)</f>
        <v>0.99650000000000005</v>
      </c>
      <c r="BJ617" s="25">
        <f>VLOOKUP(Inventory[[#This Row],[LivArea Range]],Lookups!$T$25:$W$37,4,FALSE)</f>
        <v>0.98919999999999997</v>
      </c>
      <c r="BK617" s="25">
        <f>VLOOKUP(Inventory[[#This Row],[Decade]],Lookups!$O$25:$R$42,4,FALSE)</f>
        <v>1.0199</v>
      </c>
      <c r="BL617" s="25">
        <f>Inventory[[#This Row],[Nbhd Adj]]*0.95</f>
        <v>0.94971499999999998</v>
      </c>
      <c r="BM617" s="25">
        <f>Inventory[[#This Row],[Nbhd Adj]]*Inventory[[#This Row],[Quality Adj]]*Inventory[[#This Row],[Condition Adj]]*Inventory[[#This Row],[Living Area Adj]]*Inventory[[#This Row],[Decade Adj]]*0.95</f>
        <v>0.936181161958198</v>
      </c>
      <c r="BN617" s="25">
        <f>ROUND(SUM(Inventory[[#This Row],[Mdl Qlty]:[Mdl WdDeck]])+Inventory[[#This Row],[Mdl Res Intercept]]*Inventory[[#This Row],[Res Adj ]],-2)</f>
        <v>360600</v>
      </c>
      <c r="BO617" s="25">
        <f>ROUND(Inventory[[#This Row],[25Det]]*Inventory[[#This Row],[Det/Nbhd Adj]],-2)</f>
        <v>8600</v>
      </c>
      <c r="BP617" s="25">
        <f>Inventory[[#This Row],[Adjusted Res]]+Inventory[[#This Row],[Adj Det ]]</f>
        <v>369200</v>
      </c>
      <c r="BQ617" s="25">
        <f>ROUND((Inventory[[#This Row],[Mdl Land Intercept]]+Inventory[[#This Row],[Mdl LnAcres]])*Inventory[[#This Row],[Det/Nbhd Adj]],-2)</f>
        <v>43700</v>
      </c>
      <c r="BR617" s="25">
        <f>Inventory[[#This Row],[Adjusted Impr Total]]+Inventory[[#This Row],[Adjusted Land Total]]</f>
        <v>412900</v>
      </c>
      <c r="BS617" s="36">
        <f>IFERROR((Inventory[[#This Row],[Adjusted Impr Total]]-Inventory[[#This Row],[24Bldg]])/Inventory[[#This Row],[24Bldg]],0)</f>
        <v>0.12526668698567509</v>
      </c>
      <c r="BT617" s="36">
        <f>(Inventory[[#This Row],[Adjusted Land Total]]-Inventory[[#This Row],[24Lnd]])/Inventory[[#This Row],[24Lnd]]</f>
        <v>-0.33987915407854985</v>
      </c>
      <c r="BU617" s="36">
        <f>(Inventory[[#This Row],[Adjusted Total]]-Inventory[[#This Row],[24Final]])/Inventory[[#This Row],[24Final]]</f>
        <v>4.7172203905655595E-2</v>
      </c>
    </row>
    <row r="618" spans="1:73" x14ac:dyDescent="0.3">
      <c r="A618" s="25">
        <v>2025</v>
      </c>
      <c r="B618" s="26" t="s">
        <v>2333</v>
      </c>
      <c r="C618" s="26">
        <f>LN(Inventory[[#This Row],[Acres]])</f>
        <v>-1.8325814637483102</v>
      </c>
      <c r="D618" s="25">
        <v>0.16</v>
      </c>
      <c r="E618" s="31"/>
      <c r="F618" s="26" t="s">
        <v>537</v>
      </c>
      <c r="G618" s="26" t="s">
        <v>126</v>
      </c>
      <c r="H618" s="26" t="s">
        <v>349</v>
      </c>
      <c r="I618" s="26" t="s">
        <v>538</v>
      </c>
      <c r="J618" s="26" t="s">
        <v>539</v>
      </c>
      <c r="K618" s="26" t="s">
        <v>241</v>
      </c>
      <c r="L618" s="26" t="s">
        <v>148</v>
      </c>
      <c r="M618" s="26" t="s">
        <v>303</v>
      </c>
      <c r="N618" s="26">
        <v>70</v>
      </c>
      <c r="O618" s="26">
        <f>2024-Inventory[[#This Row],[YrBlt]]</f>
        <v>69</v>
      </c>
      <c r="P618" s="26">
        <f>2024-Inventory[[#This Row],[EffYr]]</f>
        <v>50</v>
      </c>
      <c r="Q618" s="25">
        <v>1955</v>
      </c>
      <c r="R618" s="25">
        <v>1974</v>
      </c>
      <c r="S618" s="25">
        <v>1480</v>
      </c>
      <c r="T618" s="31"/>
      <c r="U618" s="25">
        <v>1224</v>
      </c>
      <c r="V618" s="25">
        <f>Inventory[[#This Row],[Bsmt]]-Inventory[[#This Row],[FnBsmt]]</f>
        <v>0</v>
      </c>
      <c r="W618" s="25">
        <v>1224</v>
      </c>
      <c r="X618" s="27"/>
      <c r="Y618" s="27">
        <f>Inventory[[#This Row],[MainFn]]+Inventory[[#This Row],[UpprFn]]+Inventory[[#This Row],[FnBsmt]]+Inventory[[#This Row],[AddFn]]</f>
        <v>2704</v>
      </c>
      <c r="Z618" s="27">
        <v>3000</v>
      </c>
      <c r="AA618" s="25">
        <v>8</v>
      </c>
      <c r="AB618" s="32">
        <v>288</v>
      </c>
      <c r="AC618" s="27"/>
      <c r="AD618" s="27"/>
      <c r="AE618" s="27"/>
      <c r="AF618" s="27"/>
      <c r="AG618" s="27"/>
      <c r="AH618" s="27"/>
      <c r="AI618" s="25">
        <v>481721</v>
      </c>
      <c r="AJ618" s="25">
        <v>346839</v>
      </c>
      <c r="AK618" s="25">
        <v>0</v>
      </c>
      <c r="AL618" s="25">
        <v>382000</v>
      </c>
      <c r="AM618" s="25">
        <v>50600</v>
      </c>
      <c r="AN618" s="25">
        <v>331400</v>
      </c>
      <c r="AO618" s="25">
        <v>0</v>
      </c>
      <c r="AP618" s="25">
        <f>Lookups!$B$56*0</f>
        <v>0</v>
      </c>
      <c r="AQ618" s="25">
        <f>Lookups!$B$56*1</f>
        <v>89850.625589999996</v>
      </c>
      <c r="AR618" s="25">
        <f>Lookups!$B$57*Inventory[[#This Row],[LnAcres]]</f>
        <v>-58009.662049032086</v>
      </c>
      <c r="AS618" s="25">
        <f>VLOOKUP(Inventory[[#This Row],[Qlty]],Lookups!$A$62:$E$75,2,FALSE)</f>
        <v>44121.038090000002</v>
      </c>
      <c r="AT618" s="25">
        <f>VLOOKUP(Inventory[[#This Row],[Cnd]],Lookups!$A$76:$E$84,2,FALSE)</f>
        <v>197752.34721000001</v>
      </c>
      <c r="AU618" s="25">
        <f>Inventory[[#This Row],[EffAge]]*Lookups!$B$85</f>
        <v>-11152.280025</v>
      </c>
      <c r="AV618" s="25">
        <f>Inventory[[#This Row],[MainFn]]*Lookups!$B$86</f>
        <v>73124.831417959998</v>
      </c>
      <c r="AW618" s="25">
        <f>Inventory[[#This Row],[UpprFn]]*Lookups!$B$87</f>
        <v>0</v>
      </c>
      <c r="AX618" s="25">
        <f>Inventory[[#This Row],[AddFn]]*Lookups!$B$88</f>
        <v>0</v>
      </c>
      <c r="AY618" s="25">
        <f>Inventory[[#This Row],[Bsmt]]*Lookups!$B$89</f>
        <v>35596.239782327997</v>
      </c>
      <c r="AZ618" s="25">
        <f>Inventory[[#This Row],[Fixtures]]*Lookups!$B$90</f>
        <v>30336.176841600001</v>
      </c>
      <c r="BA618" s="25">
        <f>Inventory[[#This Row],[WdDeck]]*Lookups!$B$91</f>
        <v>0</v>
      </c>
      <c r="BB618" s="25">
        <f>ROUND(Inventory[[#This Row],[25Det]],-2)</f>
        <v>0</v>
      </c>
      <c r="BC618" s="25">
        <f>ROUND(SUM(Inventory[[#This Row],[Mdl Qlty]:[Mdl WdDeck]])+Inventory[[#This Row],[Mdl Res Intercept]],-2)</f>
        <v>369800</v>
      </c>
      <c r="BD618" s="25">
        <f>ROUND(Inventory[[#This Row],[Mdl Land Intercept]]+Inventory[[#This Row],[Mdl LnAcres]],-2)</f>
        <v>31800</v>
      </c>
      <c r="BE618" s="25">
        <f>Inventory[[#This Row],[Unadj Res Value]]+Inventory[[#This Row],[Unadj Det Value]]+Inventory[[#This Row],[Unadj Land Value]]</f>
        <v>401600</v>
      </c>
      <c r="BF618" s="36">
        <f>(Inventory[[#This Row],[Unadj Total Value]]-Inventory[[#This Row],[24Final]])/Inventory[[#This Row],[24Final]]</f>
        <v>5.1308900523560207E-2</v>
      </c>
      <c r="BG618" s="25">
        <f>VLOOKUP(Inventory[[#This Row],[Nbhd]],Lookups!$Q$2:$T$4,4,FALSE)</f>
        <v>0.99970000000000003</v>
      </c>
      <c r="BH618" s="25">
        <f>VLOOKUP(Inventory[[#This Row],[Qlty]],Lookups!$O$7:$R$21,4,FALSE)</f>
        <v>0.98050000000000004</v>
      </c>
      <c r="BI618" s="25">
        <f>VLOOKUP(Inventory[[#This Row],[Cnd]],Lookups!$T$7:$W$16,4,FALSE)</f>
        <v>0.99650000000000005</v>
      </c>
      <c r="BJ618" s="25">
        <f>VLOOKUP(Inventory[[#This Row],[LivArea Range]],Lookups!$T$25:$W$37,4,FALSE)</f>
        <v>0.96179999999999999</v>
      </c>
      <c r="BK618" s="25">
        <f>VLOOKUP(Inventory[[#This Row],[Decade]],Lookups!$O$25:$R$42,4,FALSE)</f>
        <v>1.0199</v>
      </c>
      <c r="BL618" s="25">
        <f>Inventory[[#This Row],[Nbhd Adj]]*0.95</f>
        <v>0.94971499999999998</v>
      </c>
      <c r="BM618" s="25">
        <f>Inventory[[#This Row],[Nbhd Adj]]*Inventory[[#This Row],[Quality Adj]]*Inventory[[#This Row],[Condition Adj]]*Inventory[[#This Row],[Living Area Adj]]*Inventory[[#This Row],[Decade Adj]]*0.95</f>
        <v>0.91024973874989379</v>
      </c>
      <c r="BN618" s="25">
        <f>ROUND(SUM(Inventory[[#This Row],[Mdl Qlty]:[Mdl WdDeck]])+Inventory[[#This Row],[Mdl Res Intercept]]*Inventory[[#This Row],[Res Adj ]],-2)</f>
        <v>369800</v>
      </c>
      <c r="BO618" s="25">
        <f>ROUND(Inventory[[#This Row],[25Det]]*Inventory[[#This Row],[Det/Nbhd Adj]],-2)</f>
        <v>0</v>
      </c>
      <c r="BP618" s="25">
        <f>Inventory[[#This Row],[Adjusted Res]]+Inventory[[#This Row],[Adj Det ]]</f>
        <v>369800</v>
      </c>
      <c r="BQ618" s="25">
        <f>ROUND((Inventory[[#This Row],[Mdl Land Intercept]]+Inventory[[#This Row],[Mdl LnAcres]])*Inventory[[#This Row],[Det/Nbhd Adj]],-2)</f>
        <v>30200</v>
      </c>
      <c r="BR618" s="25">
        <f>Inventory[[#This Row],[Adjusted Impr Total]]+Inventory[[#This Row],[Adjusted Land Total]]</f>
        <v>400000</v>
      </c>
      <c r="BS618" s="36">
        <f>IFERROR((Inventory[[#This Row],[Adjusted Impr Total]]-Inventory[[#This Row],[24Bldg]])/Inventory[[#This Row],[24Bldg]],0)</f>
        <v>0.11587205793602896</v>
      </c>
      <c r="BT618" s="36">
        <f>(Inventory[[#This Row],[Adjusted Land Total]]-Inventory[[#This Row],[24Lnd]])/Inventory[[#This Row],[24Lnd]]</f>
        <v>-0.40316205533596838</v>
      </c>
      <c r="BU618" s="36">
        <f>(Inventory[[#This Row],[Adjusted Total]]-Inventory[[#This Row],[24Final]])/Inventory[[#This Row],[24Final]]</f>
        <v>4.712041884816754E-2</v>
      </c>
    </row>
    <row r="619" spans="1:73" x14ac:dyDescent="0.3">
      <c r="A619" s="25">
        <v>2025</v>
      </c>
      <c r="B619" s="26" t="s">
        <v>1485</v>
      </c>
      <c r="C619" s="26">
        <f>LN(Inventory[[#This Row],[Acres]])</f>
        <v>-1.8971199848858813</v>
      </c>
      <c r="D619" s="25">
        <v>0.15</v>
      </c>
      <c r="E619" s="32">
        <v>6568</v>
      </c>
      <c r="F619" s="26" t="s">
        <v>537</v>
      </c>
      <c r="G619" s="26" t="s">
        <v>126</v>
      </c>
      <c r="H619" s="26" t="s">
        <v>349</v>
      </c>
      <c r="I619" s="26" t="s">
        <v>538</v>
      </c>
      <c r="J619" s="26" t="s">
        <v>539</v>
      </c>
      <c r="K619" s="26" t="s">
        <v>242</v>
      </c>
      <c r="L619" s="26" t="s">
        <v>148</v>
      </c>
      <c r="M619" s="26" t="s">
        <v>323</v>
      </c>
      <c r="N619" s="26">
        <v>70</v>
      </c>
      <c r="O619" s="26">
        <f>2024-Inventory[[#This Row],[YrBlt]]</f>
        <v>69</v>
      </c>
      <c r="P619" s="26">
        <f>2024-Inventory[[#This Row],[EffYr]]</f>
        <v>50</v>
      </c>
      <c r="Q619" s="25">
        <v>1955</v>
      </c>
      <c r="R619" s="25">
        <v>1974</v>
      </c>
      <c r="S619" s="25">
        <v>1512</v>
      </c>
      <c r="T619" s="31"/>
      <c r="U619" s="31"/>
      <c r="V619" s="31">
        <f>Inventory[[#This Row],[Bsmt]]-Inventory[[#This Row],[FnBsmt]]</f>
        <v>0</v>
      </c>
      <c r="W619" s="31"/>
      <c r="X619" s="27"/>
      <c r="Y619" s="27">
        <f>Inventory[[#This Row],[MainFn]]+Inventory[[#This Row],[UpprFn]]+Inventory[[#This Row],[FnBsmt]]+Inventory[[#This Row],[AddFn]]</f>
        <v>1512</v>
      </c>
      <c r="Z619" s="27">
        <v>2000</v>
      </c>
      <c r="AA619" s="25">
        <v>8</v>
      </c>
      <c r="AB619" s="32">
        <v>572</v>
      </c>
      <c r="AC619" s="27"/>
      <c r="AD619" s="27"/>
      <c r="AE619" s="27"/>
      <c r="AF619" s="27"/>
      <c r="AG619" s="27"/>
      <c r="AH619" s="27"/>
      <c r="AI619" s="25">
        <v>344259</v>
      </c>
      <c r="AJ619" s="25">
        <v>240981</v>
      </c>
      <c r="AK619" s="25">
        <v>0</v>
      </c>
      <c r="AL619" s="25">
        <v>312200</v>
      </c>
      <c r="AM619" s="25">
        <v>48400</v>
      </c>
      <c r="AN619" s="25">
        <v>263800</v>
      </c>
      <c r="AO619" s="25">
        <v>0</v>
      </c>
      <c r="AP619" s="25">
        <f>Lookups!$B$56*0</f>
        <v>0</v>
      </c>
      <c r="AQ619" s="25">
        <f>Lookups!$B$56*1</f>
        <v>89850.625589999996</v>
      </c>
      <c r="AR619" s="25">
        <f>Lookups!$B$57*Inventory[[#This Row],[LnAcres]]</f>
        <v>-60052.604136134301</v>
      </c>
      <c r="AS619" s="25">
        <f>VLOOKUP(Inventory[[#This Row],[Qlty]],Lookups!$A$62:$E$75,2,FALSE)</f>
        <v>44121.038090000002</v>
      </c>
      <c r="AT619" s="25">
        <f>VLOOKUP(Inventory[[#This Row],[Cnd]],Lookups!$A$76:$E$84,2,FALSE)</f>
        <v>160472.20319</v>
      </c>
      <c r="AU619" s="25">
        <f>Inventory[[#This Row],[EffAge]]*Lookups!$B$85</f>
        <v>-11152.280025</v>
      </c>
      <c r="AV619" s="25">
        <f>Inventory[[#This Row],[MainFn]]*Lookups!$B$86</f>
        <v>74705.908854024005</v>
      </c>
      <c r="AW619" s="25">
        <f>Inventory[[#This Row],[UpprFn]]*Lookups!$B$87</f>
        <v>0</v>
      </c>
      <c r="AX619" s="25">
        <f>Inventory[[#This Row],[AddFn]]*Lookups!$B$88</f>
        <v>0</v>
      </c>
      <c r="AY619" s="25">
        <f>Inventory[[#This Row],[Bsmt]]*Lookups!$B$89</f>
        <v>0</v>
      </c>
      <c r="AZ619" s="25">
        <f>Inventory[[#This Row],[Fixtures]]*Lookups!$B$90</f>
        <v>30336.176841600001</v>
      </c>
      <c r="BA619" s="25">
        <f>Inventory[[#This Row],[WdDeck]]*Lookups!$B$91</f>
        <v>0</v>
      </c>
      <c r="BB619" s="25">
        <f>ROUND(Inventory[[#This Row],[25Det]],-2)</f>
        <v>0</v>
      </c>
      <c r="BC619" s="25">
        <f>ROUND(SUM(Inventory[[#This Row],[Mdl Qlty]:[Mdl WdDeck]])+Inventory[[#This Row],[Mdl Res Intercept]],-2)</f>
        <v>298500</v>
      </c>
      <c r="BD619" s="25">
        <f>ROUND(Inventory[[#This Row],[Mdl Land Intercept]]+Inventory[[#This Row],[Mdl LnAcres]],-2)</f>
        <v>29800</v>
      </c>
      <c r="BE619" s="25">
        <f>Inventory[[#This Row],[Unadj Res Value]]+Inventory[[#This Row],[Unadj Det Value]]+Inventory[[#This Row],[Unadj Land Value]]</f>
        <v>328300</v>
      </c>
      <c r="BF619" s="36">
        <f>(Inventory[[#This Row],[Unadj Total Value]]-Inventory[[#This Row],[24Final]])/Inventory[[#This Row],[24Final]]</f>
        <v>5.1569506726457402E-2</v>
      </c>
      <c r="BG619" s="25">
        <f>VLOOKUP(Inventory[[#This Row],[Nbhd]],Lookups!$Q$2:$T$4,4,FALSE)</f>
        <v>0.99970000000000003</v>
      </c>
      <c r="BH619" s="25">
        <f>VLOOKUP(Inventory[[#This Row],[Qlty]],Lookups!$O$7:$R$21,4,FALSE)</f>
        <v>0.98050000000000004</v>
      </c>
      <c r="BI619" s="25">
        <f>VLOOKUP(Inventory[[#This Row],[Cnd]],Lookups!$T$7:$W$16,4,FALSE)</f>
        <v>0.99729999999999996</v>
      </c>
      <c r="BJ619" s="25">
        <f>VLOOKUP(Inventory[[#This Row],[LivArea Range]],Lookups!$T$25:$W$37,4,FALSE)</f>
        <v>1.0093000000000001</v>
      </c>
      <c r="BK619" s="25">
        <f>VLOOKUP(Inventory[[#This Row],[Decade]],Lookups!$O$25:$R$42,4,FALSE)</f>
        <v>1.0199</v>
      </c>
      <c r="BL619" s="25">
        <f>Inventory[[#This Row],[Nbhd Adj]]*0.95</f>
        <v>0.94971499999999998</v>
      </c>
      <c r="BM619" s="25">
        <f>Inventory[[#This Row],[Nbhd Adj]]*Inventory[[#This Row],[Quality Adj]]*Inventory[[#This Row],[Condition Adj]]*Inventory[[#This Row],[Living Area Adj]]*Inventory[[#This Row],[Decade Adj]]*0.95</f>
        <v>0.95597069536964641</v>
      </c>
      <c r="BN619" s="25">
        <f>ROUND(SUM(Inventory[[#This Row],[Mdl Qlty]:[Mdl WdDeck]])+Inventory[[#This Row],[Mdl Res Intercept]]*Inventory[[#This Row],[Res Adj ]],-2)</f>
        <v>298500</v>
      </c>
      <c r="BO619" s="25">
        <f>ROUND(Inventory[[#This Row],[25Det]]*Inventory[[#This Row],[Det/Nbhd Adj]],-2)</f>
        <v>0</v>
      </c>
      <c r="BP619" s="25">
        <f>Inventory[[#This Row],[Adjusted Res]]+Inventory[[#This Row],[Adj Det ]]</f>
        <v>298500</v>
      </c>
      <c r="BQ619" s="25">
        <f>ROUND((Inventory[[#This Row],[Mdl Land Intercept]]+Inventory[[#This Row],[Mdl LnAcres]])*Inventory[[#This Row],[Det/Nbhd Adj]],-2)</f>
        <v>28300</v>
      </c>
      <c r="BR619" s="25">
        <f>Inventory[[#This Row],[Adjusted Impr Total]]+Inventory[[#This Row],[Adjusted Land Total]]</f>
        <v>326800</v>
      </c>
      <c r="BS619" s="36">
        <f>IFERROR((Inventory[[#This Row],[Adjusted Impr Total]]-Inventory[[#This Row],[24Bldg]])/Inventory[[#This Row],[24Bldg]],0)</f>
        <v>0.1315390447308567</v>
      </c>
      <c r="BT619" s="36">
        <f>(Inventory[[#This Row],[Adjusted Land Total]]-Inventory[[#This Row],[24Lnd]])/Inventory[[#This Row],[24Lnd]]</f>
        <v>-0.41528925619834711</v>
      </c>
      <c r="BU619" s="36">
        <f>(Inventory[[#This Row],[Adjusted Total]]-Inventory[[#This Row],[24Final]])/Inventory[[#This Row],[24Final]]</f>
        <v>4.6764894298526587E-2</v>
      </c>
    </row>
    <row r="620" spans="1:73" x14ac:dyDescent="0.3">
      <c r="A620" s="25">
        <v>2025</v>
      </c>
      <c r="B620" s="26" t="s">
        <v>2265</v>
      </c>
      <c r="C620" s="26">
        <f>LN(Inventory[[#This Row],[Acres]])</f>
        <v>-0.73396917508020043</v>
      </c>
      <c r="D620" s="25">
        <v>0.48</v>
      </c>
      <c r="E620" s="31"/>
      <c r="F620" s="26" t="s">
        <v>537</v>
      </c>
      <c r="G620" s="26" t="s">
        <v>126</v>
      </c>
      <c r="H620" s="26" t="s">
        <v>349</v>
      </c>
      <c r="I620" s="26" t="s">
        <v>538</v>
      </c>
      <c r="J620" s="26" t="s">
        <v>539</v>
      </c>
      <c r="K620" s="26" t="s">
        <v>241</v>
      </c>
      <c r="L620" s="26" t="s">
        <v>148</v>
      </c>
      <c r="M620" s="26" t="s">
        <v>303</v>
      </c>
      <c r="N620" s="26">
        <v>70</v>
      </c>
      <c r="O620" s="26">
        <f>2024-Inventory[[#This Row],[YrBlt]]</f>
        <v>69</v>
      </c>
      <c r="P620" s="26">
        <f>2024-Inventory[[#This Row],[EffYr]]</f>
        <v>50</v>
      </c>
      <c r="Q620" s="25">
        <v>1955</v>
      </c>
      <c r="R620" s="25">
        <v>1974</v>
      </c>
      <c r="S620" s="25">
        <v>1784</v>
      </c>
      <c r="T620" s="31"/>
      <c r="U620" s="31"/>
      <c r="V620" s="31">
        <f>Inventory[[#This Row],[Bsmt]]-Inventory[[#This Row],[FnBsmt]]</f>
        <v>0</v>
      </c>
      <c r="W620" s="31"/>
      <c r="X620" s="27"/>
      <c r="Y620" s="27">
        <f>Inventory[[#This Row],[MainFn]]+Inventory[[#This Row],[UpprFn]]+Inventory[[#This Row],[FnBsmt]]+Inventory[[#This Row],[AddFn]]</f>
        <v>1784</v>
      </c>
      <c r="Z620" s="27">
        <v>2000</v>
      </c>
      <c r="AA620" s="25">
        <v>8</v>
      </c>
      <c r="AB620" s="27"/>
      <c r="AC620" s="27"/>
      <c r="AD620" s="31"/>
      <c r="AE620" s="27"/>
      <c r="AF620" s="27"/>
      <c r="AG620" s="27"/>
      <c r="AH620" s="27"/>
      <c r="AI620" s="25">
        <v>372015</v>
      </c>
      <c r="AJ620" s="25">
        <v>267851</v>
      </c>
      <c r="AK620" s="25">
        <v>13031</v>
      </c>
      <c r="AL620" s="25">
        <v>406000</v>
      </c>
      <c r="AM620" s="25">
        <v>88900</v>
      </c>
      <c r="AN620" s="25">
        <v>317100</v>
      </c>
      <c r="AO620" s="25">
        <v>0</v>
      </c>
      <c r="AP620" s="25">
        <f>Lookups!$B$56*0</f>
        <v>0</v>
      </c>
      <c r="AQ620" s="25">
        <f>Lookups!$B$56*1</f>
        <v>89850.625589999996</v>
      </c>
      <c r="AR620" s="25">
        <f>Lookups!$B$57*Inventory[[#This Row],[LnAcres]]</f>
        <v>-23233.512202902497</v>
      </c>
      <c r="AS620" s="25">
        <f>VLOOKUP(Inventory[[#This Row],[Qlty]],Lookups!$A$62:$E$75,2,FALSE)</f>
        <v>44121.038090000002</v>
      </c>
      <c r="AT620" s="25">
        <f>VLOOKUP(Inventory[[#This Row],[Cnd]],Lookups!$A$76:$E$84,2,FALSE)</f>
        <v>197752.34721000001</v>
      </c>
      <c r="AU620" s="25">
        <f>Inventory[[#This Row],[EffAge]]*Lookups!$B$85</f>
        <v>-11152.280025</v>
      </c>
      <c r="AV620" s="25">
        <f>Inventory[[#This Row],[MainFn]]*Lookups!$B$86</f>
        <v>88145.067060568006</v>
      </c>
      <c r="AW620" s="25">
        <f>Inventory[[#This Row],[UpprFn]]*Lookups!$B$87</f>
        <v>0</v>
      </c>
      <c r="AX620" s="25">
        <f>Inventory[[#This Row],[AddFn]]*Lookups!$B$88</f>
        <v>0</v>
      </c>
      <c r="AY620" s="25">
        <f>Inventory[[#This Row],[Bsmt]]*Lookups!$B$89</f>
        <v>0</v>
      </c>
      <c r="AZ620" s="25">
        <f>Inventory[[#This Row],[Fixtures]]*Lookups!$B$90</f>
        <v>30336.176841600001</v>
      </c>
      <c r="BA620" s="25">
        <f>Inventory[[#This Row],[WdDeck]]*Lookups!$B$91</f>
        <v>0</v>
      </c>
      <c r="BB620" s="25">
        <f>ROUND(Inventory[[#This Row],[25Det]],-2)</f>
        <v>13000</v>
      </c>
      <c r="BC620" s="25">
        <f>ROUND(SUM(Inventory[[#This Row],[Mdl Qlty]:[Mdl WdDeck]])+Inventory[[#This Row],[Mdl Res Intercept]],-2)</f>
        <v>349200</v>
      </c>
      <c r="BD620" s="25">
        <f>ROUND(Inventory[[#This Row],[Mdl Land Intercept]]+Inventory[[#This Row],[Mdl LnAcres]],-2)</f>
        <v>66600</v>
      </c>
      <c r="BE620" s="25">
        <f>Inventory[[#This Row],[Unadj Res Value]]+Inventory[[#This Row],[Unadj Det Value]]+Inventory[[#This Row],[Unadj Land Value]]</f>
        <v>428800</v>
      </c>
      <c r="BF620" s="36">
        <f>(Inventory[[#This Row],[Unadj Total Value]]-Inventory[[#This Row],[24Final]])/Inventory[[#This Row],[24Final]]</f>
        <v>5.6157635467980298E-2</v>
      </c>
      <c r="BG620" s="25">
        <f>VLOOKUP(Inventory[[#This Row],[Nbhd]],Lookups!$Q$2:$T$4,4,FALSE)</f>
        <v>0.99970000000000003</v>
      </c>
      <c r="BH620" s="25">
        <f>VLOOKUP(Inventory[[#This Row],[Qlty]],Lookups!$O$7:$R$21,4,FALSE)</f>
        <v>0.98050000000000004</v>
      </c>
      <c r="BI620" s="25">
        <f>VLOOKUP(Inventory[[#This Row],[Cnd]],Lookups!$T$7:$W$16,4,FALSE)</f>
        <v>0.99650000000000005</v>
      </c>
      <c r="BJ620" s="25">
        <f>VLOOKUP(Inventory[[#This Row],[LivArea Range]],Lookups!$T$25:$W$37,4,FALSE)</f>
        <v>1.0093000000000001</v>
      </c>
      <c r="BK620" s="25">
        <f>VLOOKUP(Inventory[[#This Row],[Decade]],Lookups!$O$25:$R$42,4,FALSE)</f>
        <v>1.0199</v>
      </c>
      <c r="BL620" s="25">
        <f>Inventory[[#This Row],[Nbhd Adj]]*0.95</f>
        <v>0.94971499999999998</v>
      </c>
      <c r="BM620" s="25">
        <f>Inventory[[#This Row],[Nbhd Adj]]*Inventory[[#This Row],[Quality Adj]]*Inventory[[#This Row],[Condition Adj]]*Inventory[[#This Row],[Living Area Adj]]*Inventory[[#This Row],[Decade Adj]]*0.95</f>
        <v>0.95520384832633376</v>
      </c>
      <c r="BN620" s="25">
        <f>ROUND(SUM(Inventory[[#This Row],[Mdl Qlty]:[Mdl WdDeck]])+Inventory[[#This Row],[Mdl Res Intercept]]*Inventory[[#This Row],[Res Adj ]],-2)</f>
        <v>349200</v>
      </c>
      <c r="BO620" s="25">
        <f>ROUND(Inventory[[#This Row],[25Det]]*Inventory[[#This Row],[Det/Nbhd Adj]],-2)</f>
        <v>12400</v>
      </c>
      <c r="BP620" s="25">
        <f>Inventory[[#This Row],[Adjusted Res]]+Inventory[[#This Row],[Adj Det ]]</f>
        <v>361600</v>
      </c>
      <c r="BQ620" s="25">
        <f>ROUND((Inventory[[#This Row],[Mdl Land Intercept]]+Inventory[[#This Row],[Mdl LnAcres]])*Inventory[[#This Row],[Det/Nbhd Adj]],-2)</f>
        <v>63300</v>
      </c>
      <c r="BR620" s="25">
        <f>Inventory[[#This Row],[Adjusted Impr Total]]+Inventory[[#This Row],[Adjusted Land Total]]</f>
        <v>424900</v>
      </c>
      <c r="BS620" s="36">
        <f>IFERROR((Inventory[[#This Row],[Adjusted Impr Total]]-Inventory[[#This Row],[24Bldg]])/Inventory[[#This Row],[24Bldg]],0)</f>
        <v>0.14033427940712709</v>
      </c>
      <c r="BT620" s="36">
        <f>(Inventory[[#This Row],[Adjusted Land Total]]-Inventory[[#This Row],[24Lnd]])/Inventory[[#This Row],[24Lnd]]</f>
        <v>-0.2879640044994376</v>
      </c>
      <c r="BU620" s="36">
        <f>(Inventory[[#This Row],[Adjusted Total]]-Inventory[[#This Row],[24Final]])/Inventory[[#This Row],[24Final]]</f>
        <v>4.6551724137931037E-2</v>
      </c>
    </row>
    <row r="621" spans="1:73" x14ac:dyDescent="0.3">
      <c r="A621" s="25">
        <v>2025</v>
      </c>
      <c r="B621" s="26" t="s">
        <v>2867</v>
      </c>
      <c r="C621" s="26">
        <f>LN(Inventory[[#This Row],[Acres]])</f>
        <v>-1.6607312068216509</v>
      </c>
      <c r="D621" s="25">
        <v>0.19</v>
      </c>
      <c r="E621" s="31"/>
      <c r="F621" s="26" t="s">
        <v>537</v>
      </c>
      <c r="G621" s="26" t="s">
        <v>126</v>
      </c>
      <c r="H621" s="26" t="s">
        <v>349</v>
      </c>
      <c r="I621" s="26" t="s">
        <v>538</v>
      </c>
      <c r="J621" s="26" t="s">
        <v>539</v>
      </c>
      <c r="K621" s="26" t="s">
        <v>242</v>
      </c>
      <c r="L621" s="26" t="s">
        <v>351</v>
      </c>
      <c r="M621" s="26" t="s">
        <v>323</v>
      </c>
      <c r="N621" s="26">
        <v>70</v>
      </c>
      <c r="O621" s="26">
        <f>2024-Inventory[[#This Row],[YrBlt]]</f>
        <v>69</v>
      </c>
      <c r="P621" s="26">
        <f>2024-Inventory[[#This Row],[EffYr]]</f>
        <v>50</v>
      </c>
      <c r="Q621" s="25">
        <v>1955</v>
      </c>
      <c r="R621" s="25">
        <v>1974</v>
      </c>
      <c r="S621" s="25">
        <v>984</v>
      </c>
      <c r="T621" s="27"/>
      <c r="U621" s="31"/>
      <c r="V621" s="31">
        <f>Inventory[[#This Row],[Bsmt]]-Inventory[[#This Row],[FnBsmt]]</f>
        <v>0</v>
      </c>
      <c r="W621" s="31"/>
      <c r="X621" s="27"/>
      <c r="Y621" s="27">
        <f>Inventory[[#This Row],[MainFn]]+Inventory[[#This Row],[UpprFn]]+Inventory[[#This Row],[FnBsmt]]+Inventory[[#This Row],[AddFn]]</f>
        <v>984</v>
      </c>
      <c r="Z621" s="27">
        <v>1000</v>
      </c>
      <c r="AA621" s="25">
        <v>5</v>
      </c>
      <c r="AB621" s="27"/>
      <c r="AC621" s="27"/>
      <c r="AD621" s="27"/>
      <c r="AE621" s="27"/>
      <c r="AF621" s="27"/>
      <c r="AG621" s="27"/>
      <c r="AH621" s="27"/>
      <c r="AI621" s="25">
        <v>176180</v>
      </c>
      <c r="AJ621" s="25">
        <v>123326</v>
      </c>
      <c r="AK621" s="25">
        <v>7015</v>
      </c>
      <c r="AL621" s="25">
        <v>268300</v>
      </c>
      <c r="AM621" s="25">
        <v>56600</v>
      </c>
      <c r="AN621" s="25">
        <v>211700</v>
      </c>
      <c r="AO621" s="25">
        <v>0</v>
      </c>
      <c r="AP621" s="25">
        <f>Lookups!$B$56*0</f>
        <v>0</v>
      </c>
      <c r="AQ621" s="25">
        <f>Lookups!$B$56*1</f>
        <v>89850.625589999996</v>
      </c>
      <c r="AR621" s="25">
        <f>Lookups!$B$57*Inventory[[#This Row],[LnAcres]]</f>
        <v>-52569.808201026557</v>
      </c>
      <c r="AS621" s="25">
        <f>VLOOKUP(Inventory[[#This Row],[Qlty]],Lookups!$A$62:$E$75,2,FALSE)</f>
        <v>21557.329055999999</v>
      </c>
      <c r="AT621" s="25">
        <f>VLOOKUP(Inventory[[#This Row],[Cnd]],Lookups!$A$76:$E$84,2,FALSE)</f>
        <v>160472.20319</v>
      </c>
      <c r="AU621" s="25">
        <f>Inventory[[#This Row],[EffAge]]*Lookups!$B$85</f>
        <v>-11152.280025</v>
      </c>
      <c r="AV621" s="25">
        <f>Inventory[[#This Row],[MainFn]]*Lookups!$B$86</f>
        <v>48618.131158968004</v>
      </c>
      <c r="AW621" s="25">
        <f>Inventory[[#This Row],[UpprFn]]*Lookups!$B$87</f>
        <v>0</v>
      </c>
      <c r="AX621" s="25">
        <f>Inventory[[#This Row],[AddFn]]*Lookups!$B$88</f>
        <v>0</v>
      </c>
      <c r="AY621" s="25">
        <f>Inventory[[#This Row],[Bsmt]]*Lookups!$B$89</f>
        <v>0</v>
      </c>
      <c r="AZ621" s="25">
        <f>Inventory[[#This Row],[Fixtures]]*Lookups!$B$90</f>
        <v>18960.110526</v>
      </c>
      <c r="BA621" s="25">
        <f>Inventory[[#This Row],[WdDeck]]*Lookups!$B$91</f>
        <v>0</v>
      </c>
      <c r="BB621" s="25">
        <f>ROUND(Inventory[[#This Row],[25Det]],-2)</f>
        <v>7000</v>
      </c>
      <c r="BC621" s="25">
        <f>ROUND(SUM(Inventory[[#This Row],[Mdl Qlty]:[Mdl WdDeck]])+Inventory[[#This Row],[Mdl Res Intercept]],-2)</f>
        <v>238500</v>
      </c>
      <c r="BD621" s="25">
        <f>ROUND(Inventory[[#This Row],[Mdl Land Intercept]]+Inventory[[#This Row],[Mdl LnAcres]],-2)</f>
        <v>37300</v>
      </c>
      <c r="BE621" s="25">
        <f>Inventory[[#This Row],[Unadj Res Value]]+Inventory[[#This Row],[Unadj Det Value]]+Inventory[[#This Row],[Unadj Land Value]]</f>
        <v>282800</v>
      </c>
      <c r="BF621" s="36">
        <f>(Inventory[[#This Row],[Unadj Total Value]]-Inventory[[#This Row],[24Final]])/Inventory[[#This Row],[24Final]]</f>
        <v>5.4043980618710401E-2</v>
      </c>
      <c r="BG621" s="25">
        <f>VLOOKUP(Inventory[[#This Row],[Nbhd]],Lookups!$Q$2:$T$4,4,FALSE)</f>
        <v>0.99970000000000003</v>
      </c>
      <c r="BH621" s="25">
        <f>VLOOKUP(Inventory[[#This Row],[Qlty]],Lookups!$O$7:$R$21,4,FALSE)</f>
        <v>1.0067999999999999</v>
      </c>
      <c r="BI621" s="25">
        <f>VLOOKUP(Inventory[[#This Row],[Cnd]],Lookups!$T$7:$W$16,4,FALSE)</f>
        <v>0.99729999999999996</v>
      </c>
      <c r="BJ621" s="25">
        <f>VLOOKUP(Inventory[[#This Row],[LivArea Range]],Lookups!$T$25:$W$37,4,FALSE)</f>
        <v>1.0148999999999999</v>
      </c>
      <c r="BK621" s="25">
        <f>VLOOKUP(Inventory[[#This Row],[Decade]],Lookups!$O$25:$R$42,4,FALSE)</f>
        <v>1.0199</v>
      </c>
      <c r="BL621" s="25">
        <f>Inventory[[#This Row],[Nbhd Adj]]*0.95</f>
        <v>0.94971499999999998</v>
      </c>
      <c r="BM621" s="25">
        <f>Inventory[[#This Row],[Nbhd Adj]]*Inventory[[#This Row],[Quality Adj]]*Inventory[[#This Row],[Condition Adj]]*Inventory[[#This Row],[Living Area Adj]]*Inventory[[#This Row],[Decade Adj]]*0.95</f>
        <v>0.98705912465374646</v>
      </c>
      <c r="BN621" s="25">
        <f>ROUND(SUM(Inventory[[#This Row],[Mdl Qlty]:[Mdl WdDeck]])+Inventory[[#This Row],[Mdl Res Intercept]]*Inventory[[#This Row],[Res Adj ]],-2)</f>
        <v>238500</v>
      </c>
      <c r="BO621" s="25">
        <f>ROUND(Inventory[[#This Row],[25Det]]*Inventory[[#This Row],[Det/Nbhd Adj]],-2)</f>
        <v>6700</v>
      </c>
      <c r="BP621" s="25">
        <f>Inventory[[#This Row],[Adjusted Res]]+Inventory[[#This Row],[Adj Det ]]</f>
        <v>245200</v>
      </c>
      <c r="BQ621" s="25">
        <f>ROUND((Inventory[[#This Row],[Mdl Land Intercept]]+Inventory[[#This Row],[Mdl LnAcres]])*Inventory[[#This Row],[Det/Nbhd Adj]],-2)</f>
        <v>35400</v>
      </c>
      <c r="BR621" s="25">
        <f>Inventory[[#This Row],[Adjusted Impr Total]]+Inventory[[#This Row],[Adjusted Land Total]]</f>
        <v>280600</v>
      </c>
      <c r="BS621" s="36">
        <f>IFERROR((Inventory[[#This Row],[Adjusted Impr Total]]-Inventory[[#This Row],[24Bldg]])/Inventory[[#This Row],[24Bldg]],0)</f>
        <v>0.15824279641001418</v>
      </c>
      <c r="BT621" s="36">
        <f>(Inventory[[#This Row],[Adjusted Land Total]]-Inventory[[#This Row],[24Lnd]])/Inventory[[#This Row],[24Lnd]]</f>
        <v>-0.37455830388692579</v>
      </c>
      <c r="BU621" s="36">
        <f>(Inventory[[#This Row],[Adjusted Total]]-Inventory[[#This Row],[24Final]])/Inventory[[#This Row],[24Final]]</f>
        <v>4.5844204248975028E-2</v>
      </c>
    </row>
    <row r="622" spans="1:73" x14ac:dyDescent="0.3">
      <c r="A622" s="25">
        <v>2025</v>
      </c>
      <c r="B622" s="26" t="s">
        <v>2810</v>
      </c>
      <c r="C622" s="26">
        <f>LN(Inventory[[#This Row],[Acres]])</f>
        <v>-1.4696759700589417</v>
      </c>
      <c r="D622" s="25">
        <v>0.23</v>
      </c>
      <c r="E622" s="27"/>
      <c r="F622" s="26" t="s">
        <v>537</v>
      </c>
      <c r="G622" s="26" t="s">
        <v>126</v>
      </c>
      <c r="H622" s="26" t="s">
        <v>349</v>
      </c>
      <c r="I622" s="26" t="s">
        <v>538</v>
      </c>
      <c r="J622" s="26" t="s">
        <v>539</v>
      </c>
      <c r="K622" s="26" t="s">
        <v>241</v>
      </c>
      <c r="L622" s="26" t="s">
        <v>351</v>
      </c>
      <c r="M622" s="26" t="s">
        <v>323</v>
      </c>
      <c r="N622" s="26">
        <v>70</v>
      </c>
      <c r="O622" s="26">
        <f>2024-Inventory[[#This Row],[YrBlt]]</f>
        <v>69</v>
      </c>
      <c r="P622" s="26">
        <f>2024-Inventory[[#This Row],[EffYr]]</f>
        <v>50</v>
      </c>
      <c r="Q622" s="25">
        <v>1955</v>
      </c>
      <c r="R622" s="25">
        <v>1974</v>
      </c>
      <c r="S622" s="25">
        <v>1025</v>
      </c>
      <c r="T622" s="27"/>
      <c r="U622" s="31"/>
      <c r="V622" s="31">
        <f>Inventory[[#This Row],[Bsmt]]-Inventory[[#This Row],[FnBsmt]]</f>
        <v>0</v>
      </c>
      <c r="W622" s="31"/>
      <c r="X622" s="27"/>
      <c r="Y622" s="27">
        <f>Inventory[[#This Row],[MainFn]]+Inventory[[#This Row],[UpprFn]]+Inventory[[#This Row],[FnBsmt]]+Inventory[[#This Row],[AddFn]]</f>
        <v>1025</v>
      </c>
      <c r="Z622" s="27">
        <v>1500</v>
      </c>
      <c r="AA622" s="25">
        <v>5</v>
      </c>
      <c r="AB622" s="31"/>
      <c r="AC622" s="27"/>
      <c r="AD622" s="27"/>
      <c r="AE622" s="27"/>
      <c r="AF622" s="27"/>
      <c r="AG622" s="27"/>
      <c r="AH622" s="27"/>
      <c r="AI622" s="25">
        <v>165174</v>
      </c>
      <c r="AJ622" s="25">
        <v>115622</v>
      </c>
      <c r="AK622" s="25">
        <v>45841</v>
      </c>
      <c r="AL622" s="25">
        <v>310900</v>
      </c>
      <c r="AM622" s="25">
        <v>63300</v>
      </c>
      <c r="AN622" s="25">
        <v>247600</v>
      </c>
      <c r="AO622" s="25">
        <v>0</v>
      </c>
      <c r="AP622" s="25">
        <f>Lookups!$B$56*0</f>
        <v>0</v>
      </c>
      <c r="AQ622" s="25">
        <f>Lookups!$B$56*1</f>
        <v>89850.625589999996</v>
      </c>
      <c r="AR622" s="25">
        <f>Lookups!$B$57*Inventory[[#This Row],[LnAcres]]</f>
        <v>-46522.028095997222</v>
      </c>
      <c r="AS622" s="25">
        <f>VLOOKUP(Inventory[[#This Row],[Qlty]],Lookups!$A$62:$E$75,2,FALSE)</f>
        <v>21557.329055999999</v>
      </c>
      <c r="AT622" s="25">
        <f>VLOOKUP(Inventory[[#This Row],[Cnd]],Lookups!$A$76:$E$84,2,FALSE)</f>
        <v>160472.20319</v>
      </c>
      <c r="AU622" s="25">
        <f>Inventory[[#This Row],[EffAge]]*Lookups!$B$85</f>
        <v>-11152.280025</v>
      </c>
      <c r="AV622" s="25">
        <f>Inventory[[#This Row],[MainFn]]*Lookups!$B$86</f>
        <v>50643.886623924998</v>
      </c>
      <c r="AW622" s="25">
        <f>Inventory[[#This Row],[UpprFn]]*Lookups!$B$87</f>
        <v>0</v>
      </c>
      <c r="AX622" s="25">
        <f>Inventory[[#This Row],[AddFn]]*Lookups!$B$88</f>
        <v>0</v>
      </c>
      <c r="AY622" s="25">
        <f>Inventory[[#This Row],[Bsmt]]*Lookups!$B$89</f>
        <v>0</v>
      </c>
      <c r="AZ622" s="25">
        <f>Inventory[[#This Row],[Fixtures]]*Lookups!$B$90</f>
        <v>18960.110526</v>
      </c>
      <c r="BA622" s="25">
        <f>Inventory[[#This Row],[WdDeck]]*Lookups!$B$91</f>
        <v>0</v>
      </c>
      <c r="BB622" s="25">
        <f>ROUND(Inventory[[#This Row],[25Det]],-2)</f>
        <v>45800</v>
      </c>
      <c r="BC622" s="25">
        <f>ROUND(SUM(Inventory[[#This Row],[Mdl Qlty]:[Mdl WdDeck]])+Inventory[[#This Row],[Mdl Res Intercept]],-2)</f>
        <v>240500</v>
      </c>
      <c r="BD622" s="25">
        <f>ROUND(Inventory[[#This Row],[Mdl Land Intercept]]+Inventory[[#This Row],[Mdl LnAcres]],-2)</f>
        <v>43300</v>
      </c>
      <c r="BE622" s="25">
        <f>Inventory[[#This Row],[Unadj Res Value]]+Inventory[[#This Row],[Unadj Det Value]]+Inventory[[#This Row],[Unadj Land Value]]</f>
        <v>329600</v>
      </c>
      <c r="BF622" s="36">
        <f>(Inventory[[#This Row],[Unadj Total Value]]-Inventory[[#This Row],[24Final]])/Inventory[[#This Row],[24Final]]</f>
        <v>6.0147957542618202E-2</v>
      </c>
      <c r="BG622" s="25">
        <f>VLOOKUP(Inventory[[#This Row],[Nbhd]],Lookups!$Q$2:$T$4,4,FALSE)</f>
        <v>0.99970000000000003</v>
      </c>
      <c r="BH622" s="25">
        <f>VLOOKUP(Inventory[[#This Row],[Qlty]],Lookups!$O$7:$R$21,4,FALSE)</f>
        <v>1.0067999999999999</v>
      </c>
      <c r="BI622" s="25">
        <f>VLOOKUP(Inventory[[#This Row],[Cnd]],Lookups!$T$7:$W$16,4,FALSE)</f>
        <v>0.99729999999999996</v>
      </c>
      <c r="BJ622" s="25">
        <f>VLOOKUP(Inventory[[#This Row],[LivArea Range]],Lookups!$T$25:$W$37,4,FALSE)</f>
        <v>1.0157</v>
      </c>
      <c r="BK622" s="25">
        <f>VLOOKUP(Inventory[[#This Row],[Decade]],Lookups!$O$25:$R$42,4,FALSE)</f>
        <v>1.0199</v>
      </c>
      <c r="BL622" s="25">
        <f>Inventory[[#This Row],[Nbhd Adj]]*0.95</f>
        <v>0.94971499999999998</v>
      </c>
      <c r="BM622" s="25">
        <f>Inventory[[#This Row],[Nbhd Adj]]*Inventory[[#This Row],[Quality Adj]]*Inventory[[#This Row],[Condition Adj]]*Inventory[[#This Row],[Living Area Adj]]*Inventory[[#This Row],[Decade Adj]]*0.95</f>
        <v>0.98783717894453682</v>
      </c>
      <c r="BN622" s="25">
        <f>ROUND(SUM(Inventory[[#This Row],[Mdl Qlty]:[Mdl WdDeck]])+Inventory[[#This Row],[Mdl Res Intercept]]*Inventory[[#This Row],[Res Adj ]],-2)</f>
        <v>240500</v>
      </c>
      <c r="BO622" s="25">
        <f>ROUND(Inventory[[#This Row],[25Det]]*Inventory[[#This Row],[Det/Nbhd Adj]],-2)</f>
        <v>43500</v>
      </c>
      <c r="BP622" s="25">
        <f>Inventory[[#This Row],[Adjusted Res]]+Inventory[[#This Row],[Adj Det ]]</f>
        <v>284000</v>
      </c>
      <c r="BQ622" s="25">
        <f>ROUND((Inventory[[#This Row],[Mdl Land Intercept]]+Inventory[[#This Row],[Mdl LnAcres]])*Inventory[[#This Row],[Det/Nbhd Adj]],-2)</f>
        <v>41100</v>
      </c>
      <c r="BR622" s="25">
        <f>Inventory[[#This Row],[Adjusted Impr Total]]+Inventory[[#This Row],[Adjusted Land Total]]</f>
        <v>325100</v>
      </c>
      <c r="BS622" s="36">
        <f>IFERROR((Inventory[[#This Row],[Adjusted Impr Total]]-Inventory[[#This Row],[24Bldg]])/Inventory[[#This Row],[24Bldg]],0)</f>
        <v>0.1470113085621971</v>
      </c>
      <c r="BT622" s="36">
        <f>(Inventory[[#This Row],[Adjusted Land Total]]-Inventory[[#This Row],[24Lnd]])/Inventory[[#This Row],[24Lnd]]</f>
        <v>-0.35071090047393366</v>
      </c>
      <c r="BU622" s="36">
        <f>(Inventory[[#This Row],[Adjusted Total]]-Inventory[[#This Row],[24Final]])/Inventory[[#This Row],[24Final]]</f>
        <v>4.5673850112576388E-2</v>
      </c>
    </row>
    <row r="623" spans="1:73" x14ac:dyDescent="0.3">
      <c r="A623" s="25">
        <v>2025</v>
      </c>
      <c r="B623" s="26" t="s">
        <v>1163</v>
      </c>
      <c r="C623" s="26">
        <f>LN(Inventory[[#This Row],[Acres]])</f>
        <v>-1.6094379124341003</v>
      </c>
      <c r="D623" s="25">
        <v>0.2</v>
      </c>
      <c r="E623" s="31"/>
      <c r="F623" s="26" t="s">
        <v>537</v>
      </c>
      <c r="G623" s="26" t="s">
        <v>126</v>
      </c>
      <c r="H623" s="26" t="s">
        <v>349</v>
      </c>
      <c r="I623" s="26" t="s">
        <v>538</v>
      </c>
      <c r="J623" s="26" t="s">
        <v>539</v>
      </c>
      <c r="K623" s="26" t="s">
        <v>241</v>
      </c>
      <c r="L623" s="26" t="s">
        <v>302</v>
      </c>
      <c r="M623" s="26" t="s">
        <v>323</v>
      </c>
      <c r="N623" s="26">
        <v>70</v>
      </c>
      <c r="O623" s="26">
        <f>2024-Inventory[[#This Row],[YrBlt]]</f>
        <v>69</v>
      </c>
      <c r="P623" s="26">
        <f>2024-Inventory[[#This Row],[EffYr]]</f>
        <v>50</v>
      </c>
      <c r="Q623" s="25">
        <v>1955</v>
      </c>
      <c r="R623" s="25">
        <v>1974</v>
      </c>
      <c r="S623" s="25">
        <v>1086</v>
      </c>
      <c r="T623" s="31"/>
      <c r="U623" s="25">
        <v>1086</v>
      </c>
      <c r="V623" s="25">
        <f>Inventory[[#This Row],[Bsmt]]-Inventory[[#This Row],[FnBsmt]]</f>
        <v>0</v>
      </c>
      <c r="W623" s="25">
        <v>1086</v>
      </c>
      <c r="X623" s="27"/>
      <c r="Y623" s="27">
        <f>Inventory[[#This Row],[MainFn]]+Inventory[[#This Row],[UpprFn]]+Inventory[[#This Row],[FnBsmt]]+Inventory[[#This Row],[AddFn]]</f>
        <v>2172</v>
      </c>
      <c r="Z623" s="27">
        <v>2500</v>
      </c>
      <c r="AA623" s="25">
        <v>8</v>
      </c>
      <c r="AB623" s="27"/>
      <c r="AC623" s="31"/>
      <c r="AD623" s="25">
        <v>406</v>
      </c>
      <c r="AE623" s="27"/>
      <c r="AF623" s="27"/>
      <c r="AG623" s="27"/>
      <c r="AH623" s="27"/>
      <c r="AI623" s="25">
        <v>336015</v>
      </c>
      <c r="AJ623" s="25">
        <v>235211</v>
      </c>
      <c r="AK623" s="25">
        <v>7496</v>
      </c>
      <c r="AL623" s="25">
        <v>337500</v>
      </c>
      <c r="AM623" s="25">
        <v>58400</v>
      </c>
      <c r="AN623" s="25">
        <v>279100</v>
      </c>
      <c r="AO623" s="25">
        <v>0</v>
      </c>
      <c r="AP623" s="25">
        <f>Lookups!$B$56*0</f>
        <v>0</v>
      </c>
      <c r="AQ623" s="25">
        <f>Lookups!$B$56*1</f>
        <v>89850.625589999996</v>
      </c>
      <c r="AR623" s="25">
        <f>Lookups!$B$57*Inventory[[#This Row],[LnAcres]]</f>
        <v>-50946.13867709865</v>
      </c>
      <c r="AS623" s="25">
        <f>VLOOKUP(Inventory[[#This Row],[Qlty]],Lookups!$A$62:$E$75,2,FALSE)</f>
        <v>29814.093161000001</v>
      </c>
      <c r="AT623" s="25">
        <f>VLOOKUP(Inventory[[#This Row],[Cnd]],Lookups!$A$76:$E$84,2,FALSE)</f>
        <v>160472.20319</v>
      </c>
      <c r="AU623" s="25">
        <f>Inventory[[#This Row],[EffAge]]*Lookups!$B$85</f>
        <v>-11152.280025</v>
      </c>
      <c r="AV623" s="25">
        <f>Inventory[[#This Row],[MainFn]]*Lookups!$B$86</f>
        <v>53657.815486421998</v>
      </c>
      <c r="AW623" s="25">
        <f>Inventory[[#This Row],[UpprFn]]*Lookups!$B$87</f>
        <v>0</v>
      </c>
      <c r="AX623" s="25">
        <f>Inventory[[#This Row],[AddFn]]*Lookups!$B$88</f>
        <v>0</v>
      </c>
      <c r="AY623" s="25">
        <f>Inventory[[#This Row],[Bsmt]]*Lookups!$B$89</f>
        <v>31582.938238241997</v>
      </c>
      <c r="AZ623" s="25">
        <f>Inventory[[#This Row],[Fixtures]]*Lookups!$B$90</f>
        <v>30336.176841600001</v>
      </c>
      <c r="BA623" s="25">
        <f>Inventory[[#This Row],[WdDeck]]*Lookups!$B$91</f>
        <v>13517.979202056002</v>
      </c>
      <c r="BB623" s="25">
        <f>ROUND(Inventory[[#This Row],[25Det]],-2)</f>
        <v>7500</v>
      </c>
      <c r="BC623" s="25">
        <f>ROUND(SUM(Inventory[[#This Row],[Mdl Qlty]:[Mdl WdDeck]])+Inventory[[#This Row],[Mdl Res Intercept]],-2)</f>
        <v>308200</v>
      </c>
      <c r="BD623" s="25">
        <f>ROUND(Inventory[[#This Row],[Mdl Land Intercept]]+Inventory[[#This Row],[Mdl LnAcres]],-2)</f>
        <v>38900</v>
      </c>
      <c r="BE623" s="25">
        <f>Inventory[[#This Row],[Unadj Res Value]]+Inventory[[#This Row],[Unadj Det Value]]+Inventory[[#This Row],[Unadj Land Value]]</f>
        <v>354600</v>
      </c>
      <c r="BF623" s="36">
        <f>(Inventory[[#This Row],[Unadj Total Value]]-Inventory[[#This Row],[24Final]])/Inventory[[#This Row],[24Final]]</f>
        <v>5.0666666666666665E-2</v>
      </c>
      <c r="BG623" s="25">
        <f>VLOOKUP(Inventory[[#This Row],[Nbhd]],Lookups!$Q$2:$T$4,4,FALSE)</f>
        <v>0.99970000000000003</v>
      </c>
      <c r="BH623" s="25">
        <f>VLOOKUP(Inventory[[#This Row],[Qlty]],Lookups!$O$7:$R$21,4,FALSE)</f>
        <v>1.0088999999999999</v>
      </c>
      <c r="BI623" s="25">
        <f>VLOOKUP(Inventory[[#This Row],[Cnd]],Lookups!$T$7:$W$16,4,FALSE)</f>
        <v>0.99729999999999996</v>
      </c>
      <c r="BJ623" s="25">
        <f>VLOOKUP(Inventory[[#This Row],[LivArea Range]],Lookups!$T$25:$W$37,4,FALSE)</f>
        <v>0.98919999999999997</v>
      </c>
      <c r="BK623" s="25">
        <f>VLOOKUP(Inventory[[#This Row],[Decade]],Lookups!$O$25:$R$42,4,FALSE)</f>
        <v>1.0199</v>
      </c>
      <c r="BL623" s="25">
        <f>Inventory[[#This Row],[Nbhd Adj]]*0.95</f>
        <v>0.94971499999999998</v>
      </c>
      <c r="BM623" s="25">
        <f>Inventory[[#This Row],[Nbhd Adj]]*Inventory[[#This Row],[Quality Adj]]*Inventory[[#This Row],[Condition Adj]]*Inventory[[#This Row],[Living Area Adj]]*Inventory[[#This Row],[Decade Adj]]*0.95</f>
        <v>0.96407081974981479</v>
      </c>
      <c r="BN623" s="25">
        <f>ROUND(SUM(Inventory[[#This Row],[Mdl Qlty]:[Mdl WdDeck]])+Inventory[[#This Row],[Mdl Res Intercept]]*Inventory[[#This Row],[Res Adj ]],-2)</f>
        <v>308200</v>
      </c>
      <c r="BO623" s="25">
        <f>ROUND(Inventory[[#This Row],[25Det]]*Inventory[[#This Row],[Det/Nbhd Adj]],-2)</f>
        <v>7100</v>
      </c>
      <c r="BP623" s="25">
        <f>Inventory[[#This Row],[Adjusted Res]]+Inventory[[#This Row],[Adj Det ]]</f>
        <v>315300</v>
      </c>
      <c r="BQ623" s="25">
        <f>ROUND((Inventory[[#This Row],[Mdl Land Intercept]]+Inventory[[#This Row],[Mdl LnAcres]])*Inventory[[#This Row],[Det/Nbhd Adj]],-2)</f>
        <v>36900</v>
      </c>
      <c r="BR623" s="25">
        <f>Inventory[[#This Row],[Adjusted Impr Total]]+Inventory[[#This Row],[Adjusted Land Total]]</f>
        <v>352200</v>
      </c>
      <c r="BS623" s="36">
        <f>IFERROR((Inventory[[#This Row],[Adjusted Impr Total]]-Inventory[[#This Row],[24Bldg]])/Inventory[[#This Row],[24Bldg]],0)</f>
        <v>0.12970261554998208</v>
      </c>
      <c r="BT623" s="36">
        <f>(Inventory[[#This Row],[Adjusted Land Total]]-Inventory[[#This Row],[24Lnd]])/Inventory[[#This Row],[24Lnd]]</f>
        <v>-0.36815068493150682</v>
      </c>
      <c r="BU623" s="36">
        <f>(Inventory[[#This Row],[Adjusted Total]]-Inventory[[#This Row],[24Final]])/Inventory[[#This Row],[24Final]]</f>
        <v>4.3555555555555556E-2</v>
      </c>
    </row>
    <row r="624" spans="1:73" x14ac:dyDescent="0.3">
      <c r="A624" s="25">
        <v>2025</v>
      </c>
      <c r="B624" s="26" t="s">
        <v>1603</v>
      </c>
      <c r="C624" s="26">
        <f>LN(Inventory[[#This Row],[Acres]])</f>
        <v>-1.5606477482646683</v>
      </c>
      <c r="D624" s="25">
        <v>0.21</v>
      </c>
      <c r="E624" s="31"/>
      <c r="F624" s="26" t="s">
        <v>537</v>
      </c>
      <c r="G624" s="26" t="s">
        <v>126</v>
      </c>
      <c r="H624" s="26" t="s">
        <v>349</v>
      </c>
      <c r="I624" s="26" t="s">
        <v>538</v>
      </c>
      <c r="J624" s="26" t="s">
        <v>539</v>
      </c>
      <c r="K624" s="26" t="s">
        <v>241</v>
      </c>
      <c r="L624" s="26" t="s">
        <v>351</v>
      </c>
      <c r="M624" s="26" t="s">
        <v>303</v>
      </c>
      <c r="N624" s="26">
        <v>70</v>
      </c>
      <c r="O624" s="26">
        <f>2024-Inventory[[#This Row],[YrBlt]]</f>
        <v>69</v>
      </c>
      <c r="P624" s="26">
        <f>2024-Inventory[[#This Row],[EffYr]]</f>
        <v>50</v>
      </c>
      <c r="Q624" s="25">
        <v>1955</v>
      </c>
      <c r="R624" s="25">
        <v>1974</v>
      </c>
      <c r="S624" s="25">
        <v>1152</v>
      </c>
      <c r="T624" s="27"/>
      <c r="U624" s="25">
        <v>864</v>
      </c>
      <c r="V624" s="25">
        <f>Inventory[[#This Row],[Bsmt]]-Inventory[[#This Row],[FnBsmt]]</f>
        <v>0</v>
      </c>
      <c r="W624" s="25">
        <v>864</v>
      </c>
      <c r="X624" s="27"/>
      <c r="Y624" s="27">
        <f>Inventory[[#This Row],[MainFn]]+Inventory[[#This Row],[UpprFn]]+Inventory[[#This Row],[FnBsmt]]+Inventory[[#This Row],[AddFn]]</f>
        <v>2016</v>
      </c>
      <c r="Z624" s="27">
        <v>2500</v>
      </c>
      <c r="AA624" s="25">
        <v>6</v>
      </c>
      <c r="AB624" s="31"/>
      <c r="AC624" s="32">
        <v>288</v>
      </c>
      <c r="AD624" s="31"/>
      <c r="AE624" s="27"/>
      <c r="AF624" s="27"/>
      <c r="AG624" s="27"/>
      <c r="AH624" s="27"/>
      <c r="AI624" s="25">
        <v>295883</v>
      </c>
      <c r="AJ624" s="25">
        <v>213036</v>
      </c>
      <c r="AK624" s="25">
        <v>0</v>
      </c>
      <c r="AL624" s="25">
        <v>336800</v>
      </c>
      <c r="AM624" s="25">
        <v>60100</v>
      </c>
      <c r="AN624" s="25">
        <v>276700</v>
      </c>
      <c r="AO624" s="25">
        <v>0</v>
      </c>
      <c r="AP624" s="25">
        <f>Lookups!$B$56*0</f>
        <v>0</v>
      </c>
      <c r="AQ624" s="25">
        <f>Lookups!$B$56*1</f>
        <v>89850.625589999996</v>
      </c>
      <c r="AR624" s="25">
        <f>Lookups!$B$57*Inventory[[#This Row],[LnAcres]]</f>
        <v>-49401.70477837498</v>
      </c>
      <c r="AS624" s="25">
        <f>VLOOKUP(Inventory[[#This Row],[Qlty]],Lookups!$A$62:$E$75,2,FALSE)</f>
        <v>21557.329055999999</v>
      </c>
      <c r="AT624" s="25">
        <f>VLOOKUP(Inventory[[#This Row],[Cnd]],Lookups!$A$76:$E$84,2,FALSE)</f>
        <v>197752.34721000001</v>
      </c>
      <c r="AU624" s="25">
        <f>Inventory[[#This Row],[EffAge]]*Lookups!$B$85</f>
        <v>-11152.280025</v>
      </c>
      <c r="AV624" s="25">
        <f>Inventory[[#This Row],[MainFn]]*Lookups!$B$86</f>
        <v>56918.787698304004</v>
      </c>
      <c r="AW624" s="25">
        <f>Inventory[[#This Row],[UpprFn]]*Lookups!$B$87</f>
        <v>0</v>
      </c>
      <c r="AX624" s="25">
        <f>Inventory[[#This Row],[AddFn]]*Lookups!$B$88</f>
        <v>0</v>
      </c>
      <c r="AY624" s="25">
        <f>Inventory[[#This Row],[Bsmt]]*Lookups!$B$89</f>
        <v>25126.757493408</v>
      </c>
      <c r="AZ624" s="25">
        <f>Inventory[[#This Row],[Fixtures]]*Lookups!$B$90</f>
        <v>22752.132631200002</v>
      </c>
      <c r="BA624" s="25">
        <f>Inventory[[#This Row],[WdDeck]]*Lookups!$B$91</f>
        <v>0</v>
      </c>
      <c r="BB624" s="25">
        <f>ROUND(Inventory[[#This Row],[25Det]],-2)</f>
        <v>0</v>
      </c>
      <c r="BC624" s="25">
        <f>ROUND(SUM(Inventory[[#This Row],[Mdl Qlty]:[Mdl WdDeck]])+Inventory[[#This Row],[Mdl Res Intercept]],-2)</f>
        <v>313000</v>
      </c>
      <c r="BD624" s="25">
        <f>ROUND(Inventory[[#This Row],[Mdl Land Intercept]]+Inventory[[#This Row],[Mdl LnAcres]],-2)</f>
        <v>40400</v>
      </c>
      <c r="BE624" s="25">
        <f>Inventory[[#This Row],[Unadj Res Value]]+Inventory[[#This Row],[Unadj Det Value]]+Inventory[[#This Row],[Unadj Land Value]]</f>
        <v>353400</v>
      </c>
      <c r="BF624" s="36">
        <f>(Inventory[[#This Row],[Unadj Total Value]]-Inventory[[#This Row],[24Final]])/Inventory[[#This Row],[24Final]]</f>
        <v>4.9287410926365793E-2</v>
      </c>
      <c r="BG624" s="25">
        <f>VLOOKUP(Inventory[[#This Row],[Nbhd]],Lookups!$Q$2:$T$4,4,FALSE)</f>
        <v>0.99970000000000003</v>
      </c>
      <c r="BH624" s="25">
        <f>VLOOKUP(Inventory[[#This Row],[Qlty]],Lookups!$O$7:$R$21,4,FALSE)</f>
        <v>1.0067999999999999</v>
      </c>
      <c r="BI624" s="25">
        <f>VLOOKUP(Inventory[[#This Row],[Cnd]],Lookups!$T$7:$W$16,4,FALSE)</f>
        <v>0.99650000000000005</v>
      </c>
      <c r="BJ624" s="25">
        <f>VLOOKUP(Inventory[[#This Row],[LivArea Range]],Lookups!$T$25:$W$37,4,FALSE)</f>
        <v>0.98919999999999997</v>
      </c>
      <c r="BK624" s="25">
        <f>VLOOKUP(Inventory[[#This Row],[Decade]],Lookups!$O$25:$R$42,4,FALSE)</f>
        <v>1.0199</v>
      </c>
      <c r="BL624" s="25">
        <f>Inventory[[#This Row],[Nbhd Adj]]*0.95</f>
        <v>0.94971499999999998</v>
      </c>
      <c r="BM624" s="25">
        <f>Inventory[[#This Row],[Nbhd Adj]]*Inventory[[#This Row],[Quality Adj]]*Inventory[[#This Row],[Condition Adj]]*Inventory[[#This Row],[Living Area Adj]]*Inventory[[#This Row],[Decade Adj]]*0.95</f>
        <v>0.96129239557319079</v>
      </c>
      <c r="BN624" s="25">
        <f>ROUND(SUM(Inventory[[#This Row],[Mdl Qlty]:[Mdl WdDeck]])+Inventory[[#This Row],[Mdl Res Intercept]]*Inventory[[#This Row],[Res Adj ]],-2)</f>
        <v>313000</v>
      </c>
      <c r="BO624" s="25">
        <f>ROUND(Inventory[[#This Row],[25Det]]*Inventory[[#This Row],[Det/Nbhd Adj]],-2)</f>
        <v>0</v>
      </c>
      <c r="BP624" s="25">
        <f>Inventory[[#This Row],[Adjusted Res]]+Inventory[[#This Row],[Adj Det ]]</f>
        <v>313000</v>
      </c>
      <c r="BQ624" s="25">
        <f>ROUND((Inventory[[#This Row],[Mdl Land Intercept]]+Inventory[[#This Row],[Mdl LnAcres]])*Inventory[[#This Row],[Det/Nbhd Adj]],-2)</f>
        <v>38400</v>
      </c>
      <c r="BR624" s="25">
        <f>Inventory[[#This Row],[Adjusted Impr Total]]+Inventory[[#This Row],[Adjusted Land Total]]</f>
        <v>351400</v>
      </c>
      <c r="BS624" s="36">
        <f>IFERROR((Inventory[[#This Row],[Adjusted Impr Total]]-Inventory[[#This Row],[24Bldg]])/Inventory[[#This Row],[24Bldg]],0)</f>
        <v>0.13118901337188291</v>
      </c>
      <c r="BT624" s="36">
        <f>(Inventory[[#This Row],[Adjusted Land Total]]-Inventory[[#This Row],[24Lnd]])/Inventory[[#This Row],[24Lnd]]</f>
        <v>-0.36106489184692181</v>
      </c>
      <c r="BU624" s="36">
        <f>(Inventory[[#This Row],[Adjusted Total]]-Inventory[[#This Row],[24Final]])/Inventory[[#This Row],[24Final]]</f>
        <v>4.3349168646080759E-2</v>
      </c>
    </row>
    <row r="625" spans="1:73" x14ac:dyDescent="0.3">
      <c r="A625" s="25">
        <v>2025</v>
      </c>
      <c r="B625" s="26" t="s">
        <v>769</v>
      </c>
      <c r="C625" s="26">
        <f>LN(Inventory[[#This Row],[Acres]])</f>
        <v>-1.6607312068216509</v>
      </c>
      <c r="D625" s="25">
        <v>0.19</v>
      </c>
      <c r="E625" s="25">
        <v>8122</v>
      </c>
      <c r="F625" s="26" t="s">
        <v>537</v>
      </c>
      <c r="G625" s="26" t="s">
        <v>126</v>
      </c>
      <c r="H625" s="26" t="s">
        <v>349</v>
      </c>
      <c r="I625" s="26" t="s">
        <v>538</v>
      </c>
      <c r="J625" s="26" t="s">
        <v>539</v>
      </c>
      <c r="K625" s="26" t="s">
        <v>241</v>
      </c>
      <c r="L625" s="26" t="s">
        <v>351</v>
      </c>
      <c r="M625" s="26" t="s">
        <v>323</v>
      </c>
      <c r="N625" s="26">
        <v>70</v>
      </c>
      <c r="O625" s="26">
        <f>2024-Inventory[[#This Row],[YrBlt]]</f>
        <v>69</v>
      </c>
      <c r="P625" s="26">
        <f>2024-Inventory[[#This Row],[EffYr]]</f>
        <v>50</v>
      </c>
      <c r="Q625" s="25">
        <v>1955</v>
      </c>
      <c r="R625" s="25">
        <v>1974</v>
      </c>
      <c r="S625" s="25">
        <v>987</v>
      </c>
      <c r="T625" s="31"/>
      <c r="U625" s="31"/>
      <c r="V625" s="27">
        <f>Inventory[[#This Row],[Bsmt]]-Inventory[[#This Row],[FnBsmt]]</f>
        <v>0</v>
      </c>
      <c r="W625" s="27"/>
      <c r="X625" s="27"/>
      <c r="Y625" s="27">
        <f>Inventory[[#This Row],[MainFn]]+Inventory[[#This Row],[UpprFn]]+Inventory[[#This Row],[FnBsmt]]+Inventory[[#This Row],[AddFn]]</f>
        <v>987</v>
      </c>
      <c r="Z625" s="27">
        <v>1000</v>
      </c>
      <c r="AA625" s="25">
        <v>5</v>
      </c>
      <c r="AB625" s="27"/>
      <c r="AC625" s="27"/>
      <c r="AD625" s="27"/>
      <c r="AE625" s="27"/>
      <c r="AF625" s="27"/>
      <c r="AG625" s="27"/>
      <c r="AH625" s="27"/>
      <c r="AI625" s="25">
        <v>176423</v>
      </c>
      <c r="AJ625" s="25">
        <v>123496</v>
      </c>
      <c r="AK625" s="25">
        <v>20256</v>
      </c>
      <c r="AL625" s="25">
        <v>281100</v>
      </c>
      <c r="AM625" s="25">
        <v>56600</v>
      </c>
      <c r="AN625" s="25">
        <v>224500</v>
      </c>
      <c r="AO625" s="25">
        <v>0</v>
      </c>
      <c r="AP625" s="25">
        <f>Lookups!$B$56*0</f>
        <v>0</v>
      </c>
      <c r="AQ625" s="25">
        <f>Lookups!$B$56*1</f>
        <v>89850.625589999996</v>
      </c>
      <c r="AR625" s="25">
        <f>Lookups!$B$57*Inventory[[#This Row],[LnAcres]]</f>
        <v>-52569.808201026557</v>
      </c>
      <c r="AS625" s="25">
        <f>VLOOKUP(Inventory[[#This Row],[Qlty]],Lookups!$A$62:$E$75,2,FALSE)</f>
        <v>21557.329055999999</v>
      </c>
      <c r="AT625" s="25">
        <f>VLOOKUP(Inventory[[#This Row],[Cnd]],Lookups!$A$76:$E$84,2,FALSE)</f>
        <v>160472.20319</v>
      </c>
      <c r="AU625" s="25">
        <f>Inventory[[#This Row],[EffAge]]*Lookups!$B$85</f>
        <v>-11152.280025</v>
      </c>
      <c r="AV625" s="25">
        <f>Inventory[[#This Row],[MainFn]]*Lookups!$B$86</f>
        <v>48766.357168599003</v>
      </c>
      <c r="AW625" s="25">
        <f>Inventory[[#This Row],[UpprFn]]*Lookups!$B$87</f>
        <v>0</v>
      </c>
      <c r="AX625" s="25">
        <f>Inventory[[#This Row],[AddFn]]*Lookups!$B$88</f>
        <v>0</v>
      </c>
      <c r="AY625" s="25">
        <f>Inventory[[#This Row],[Bsmt]]*Lookups!$B$89</f>
        <v>0</v>
      </c>
      <c r="AZ625" s="25">
        <f>Inventory[[#This Row],[Fixtures]]*Lookups!$B$90</f>
        <v>18960.110526</v>
      </c>
      <c r="BA625" s="25">
        <f>Inventory[[#This Row],[WdDeck]]*Lookups!$B$91</f>
        <v>0</v>
      </c>
      <c r="BB625" s="25">
        <f>ROUND(Inventory[[#This Row],[25Det]],-2)</f>
        <v>20300</v>
      </c>
      <c r="BC625" s="25">
        <f>ROUND(SUM(Inventory[[#This Row],[Mdl Qlty]:[Mdl WdDeck]])+Inventory[[#This Row],[Mdl Res Intercept]],-2)</f>
        <v>238600</v>
      </c>
      <c r="BD625" s="25">
        <f>ROUND(Inventory[[#This Row],[Mdl Land Intercept]]+Inventory[[#This Row],[Mdl LnAcres]],-2)</f>
        <v>37300</v>
      </c>
      <c r="BE625" s="25">
        <f>Inventory[[#This Row],[Unadj Res Value]]+Inventory[[#This Row],[Unadj Det Value]]+Inventory[[#This Row],[Unadj Land Value]]</f>
        <v>296200</v>
      </c>
      <c r="BF625" s="36">
        <f>(Inventory[[#This Row],[Unadj Total Value]]-Inventory[[#This Row],[24Final]])/Inventory[[#This Row],[24Final]]</f>
        <v>5.3717538242618289E-2</v>
      </c>
      <c r="BG625" s="25">
        <f>VLOOKUP(Inventory[[#This Row],[Nbhd]],Lookups!$Q$2:$T$4,4,FALSE)</f>
        <v>0.99970000000000003</v>
      </c>
      <c r="BH625" s="25">
        <f>VLOOKUP(Inventory[[#This Row],[Qlty]],Lookups!$O$7:$R$21,4,FALSE)</f>
        <v>1.0067999999999999</v>
      </c>
      <c r="BI625" s="25">
        <f>VLOOKUP(Inventory[[#This Row],[Cnd]],Lookups!$T$7:$W$16,4,FALSE)</f>
        <v>0.99729999999999996</v>
      </c>
      <c r="BJ625" s="25">
        <f>VLOOKUP(Inventory[[#This Row],[LivArea Range]],Lookups!$T$25:$W$37,4,FALSE)</f>
        <v>1.0148999999999999</v>
      </c>
      <c r="BK625" s="25">
        <f>VLOOKUP(Inventory[[#This Row],[Decade]],Lookups!$O$25:$R$42,4,FALSE)</f>
        <v>1.0199</v>
      </c>
      <c r="BL625" s="25">
        <f>Inventory[[#This Row],[Nbhd Adj]]*0.95</f>
        <v>0.94971499999999998</v>
      </c>
      <c r="BM625" s="25">
        <f>Inventory[[#This Row],[Nbhd Adj]]*Inventory[[#This Row],[Quality Adj]]*Inventory[[#This Row],[Condition Adj]]*Inventory[[#This Row],[Living Area Adj]]*Inventory[[#This Row],[Decade Adj]]*0.95</f>
        <v>0.98705912465374646</v>
      </c>
      <c r="BN625" s="25">
        <f>ROUND(SUM(Inventory[[#This Row],[Mdl Qlty]:[Mdl WdDeck]])+Inventory[[#This Row],[Mdl Res Intercept]]*Inventory[[#This Row],[Res Adj ]],-2)</f>
        <v>238600</v>
      </c>
      <c r="BO625" s="25">
        <f>ROUND(Inventory[[#This Row],[25Det]]*Inventory[[#This Row],[Det/Nbhd Adj]],-2)</f>
        <v>19200</v>
      </c>
      <c r="BP625" s="25">
        <f>Inventory[[#This Row],[Adjusted Res]]+Inventory[[#This Row],[Adj Det ]]</f>
        <v>257800</v>
      </c>
      <c r="BQ625" s="25">
        <f>ROUND((Inventory[[#This Row],[Mdl Land Intercept]]+Inventory[[#This Row],[Mdl LnAcres]])*Inventory[[#This Row],[Det/Nbhd Adj]],-2)</f>
        <v>35400</v>
      </c>
      <c r="BR625" s="25">
        <f>Inventory[[#This Row],[Adjusted Impr Total]]+Inventory[[#This Row],[Adjusted Land Total]]</f>
        <v>293200</v>
      </c>
      <c r="BS625" s="36">
        <f>IFERROR((Inventory[[#This Row],[Adjusted Impr Total]]-Inventory[[#This Row],[24Bldg]])/Inventory[[#This Row],[24Bldg]],0)</f>
        <v>0.14832962138084632</v>
      </c>
      <c r="BT625" s="36">
        <f>(Inventory[[#This Row],[Adjusted Land Total]]-Inventory[[#This Row],[24Lnd]])/Inventory[[#This Row],[24Lnd]]</f>
        <v>-0.37455830388692579</v>
      </c>
      <c r="BU625" s="36">
        <f>(Inventory[[#This Row],[Adjusted Total]]-Inventory[[#This Row],[24Final]])/Inventory[[#This Row],[24Final]]</f>
        <v>4.3045179651369621E-2</v>
      </c>
    </row>
    <row r="626" spans="1:73" x14ac:dyDescent="0.3">
      <c r="A626" s="25">
        <v>2025</v>
      </c>
      <c r="B626" s="26" t="s">
        <v>2484</v>
      </c>
      <c r="C626" s="26">
        <f>LN(Inventory[[#This Row],[Acres]])</f>
        <v>-1.7147984280919266</v>
      </c>
      <c r="D626" s="25">
        <v>0.18</v>
      </c>
      <c r="E626" s="32">
        <v>7926</v>
      </c>
      <c r="F626" s="26" t="s">
        <v>537</v>
      </c>
      <c r="G626" s="26" t="s">
        <v>126</v>
      </c>
      <c r="H626" s="26" t="s">
        <v>349</v>
      </c>
      <c r="I626" s="26" t="s">
        <v>538</v>
      </c>
      <c r="J626" s="26" t="s">
        <v>539</v>
      </c>
      <c r="K626" s="26" t="s">
        <v>241</v>
      </c>
      <c r="L626" s="26" t="s">
        <v>148</v>
      </c>
      <c r="M626" s="26" t="s">
        <v>323</v>
      </c>
      <c r="N626" s="26">
        <v>70</v>
      </c>
      <c r="O626" s="26">
        <f>2024-Inventory[[#This Row],[YrBlt]]</f>
        <v>69</v>
      </c>
      <c r="P626" s="26">
        <f>2024-Inventory[[#This Row],[EffYr]]</f>
        <v>50</v>
      </c>
      <c r="Q626" s="25">
        <v>1955</v>
      </c>
      <c r="R626" s="25">
        <v>1974</v>
      </c>
      <c r="S626" s="25">
        <v>1380</v>
      </c>
      <c r="T626" s="31"/>
      <c r="U626" s="31"/>
      <c r="V626" s="31">
        <f>Inventory[[#This Row],[Bsmt]]-Inventory[[#This Row],[FnBsmt]]</f>
        <v>0</v>
      </c>
      <c r="W626" s="31"/>
      <c r="X626" s="27"/>
      <c r="Y626" s="27">
        <f>Inventory[[#This Row],[MainFn]]+Inventory[[#This Row],[UpprFn]]+Inventory[[#This Row],[FnBsmt]]+Inventory[[#This Row],[AddFn]]</f>
        <v>1380</v>
      </c>
      <c r="Z626" s="27">
        <v>1500</v>
      </c>
      <c r="AA626" s="25">
        <v>7</v>
      </c>
      <c r="AB626" s="25">
        <v>240</v>
      </c>
      <c r="AC626" s="27"/>
      <c r="AD626" s="27"/>
      <c r="AE626" s="27"/>
      <c r="AF626" s="27"/>
      <c r="AG626" s="27"/>
      <c r="AH626" s="27"/>
      <c r="AI626" s="25">
        <v>329979</v>
      </c>
      <c r="AJ626" s="25">
        <v>230985</v>
      </c>
      <c r="AK626" s="25">
        <v>0</v>
      </c>
      <c r="AL626" s="25">
        <v>308800</v>
      </c>
      <c r="AM626" s="25">
        <v>54700</v>
      </c>
      <c r="AN626" s="25">
        <v>254100</v>
      </c>
      <c r="AO626" s="25">
        <v>0</v>
      </c>
      <c r="AP626" s="25">
        <f>Lookups!$B$56*0</f>
        <v>0</v>
      </c>
      <c r="AQ626" s="25">
        <f>Lookups!$B$56*1</f>
        <v>89850.625589999996</v>
      </c>
      <c r="AR626" s="25">
        <f>Lookups!$B$57*Inventory[[#This Row],[LnAcres]]</f>
        <v>-54281.285314520763</v>
      </c>
      <c r="AS626" s="25">
        <f>VLOOKUP(Inventory[[#This Row],[Qlty]],Lookups!$A$62:$E$75,2,FALSE)</f>
        <v>44121.038090000002</v>
      </c>
      <c r="AT626" s="25">
        <f>VLOOKUP(Inventory[[#This Row],[Cnd]],Lookups!$A$76:$E$84,2,FALSE)</f>
        <v>160472.20319</v>
      </c>
      <c r="AU626" s="25">
        <f>Inventory[[#This Row],[EffAge]]*Lookups!$B$85</f>
        <v>-11152.280025</v>
      </c>
      <c r="AV626" s="25">
        <f>Inventory[[#This Row],[MainFn]]*Lookups!$B$86</f>
        <v>68183.964430260006</v>
      </c>
      <c r="AW626" s="25">
        <f>Inventory[[#This Row],[UpprFn]]*Lookups!$B$87</f>
        <v>0</v>
      </c>
      <c r="AX626" s="25">
        <f>Inventory[[#This Row],[AddFn]]*Lookups!$B$88</f>
        <v>0</v>
      </c>
      <c r="AY626" s="25">
        <f>Inventory[[#This Row],[Bsmt]]*Lookups!$B$89</f>
        <v>0</v>
      </c>
      <c r="AZ626" s="25">
        <f>Inventory[[#This Row],[Fixtures]]*Lookups!$B$90</f>
        <v>26544.1547364</v>
      </c>
      <c r="BA626" s="25">
        <f>Inventory[[#This Row],[WdDeck]]*Lookups!$B$91</f>
        <v>0</v>
      </c>
      <c r="BB626" s="25">
        <f>ROUND(Inventory[[#This Row],[25Det]],-2)</f>
        <v>0</v>
      </c>
      <c r="BC626" s="25">
        <f>ROUND(SUM(Inventory[[#This Row],[Mdl Qlty]:[Mdl WdDeck]])+Inventory[[#This Row],[Mdl Res Intercept]],-2)</f>
        <v>288200</v>
      </c>
      <c r="BD626" s="25">
        <f>ROUND(Inventory[[#This Row],[Mdl Land Intercept]]+Inventory[[#This Row],[Mdl LnAcres]],-2)</f>
        <v>35600</v>
      </c>
      <c r="BE626" s="25">
        <f>Inventory[[#This Row],[Unadj Res Value]]+Inventory[[#This Row],[Unadj Det Value]]+Inventory[[#This Row],[Unadj Land Value]]</f>
        <v>323800</v>
      </c>
      <c r="BF626" s="36">
        <f>(Inventory[[#This Row],[Unadj Total Value]]-Inventory[[#This Row],[24Final]])/Inventory[[#This Row],[24Final]]</f>
        <v>4.8575129533678756E-2</v>
      </c>
      <c r="BG626" s="25">
        <f>VLOOKUP(Inventory[[#This Row],[Nbhd]],Lookups!$Q$2:$T$4,4,FALSE)</f>
        <v>0.99970000000000003</v>
      </c>
      <c r="BH626" s="25">
        <f>VLOOKUP(Inventory[[#This Row],[Qlty]],Lookups!$O$7:$R$21,4,FALSE)</f>
        <v>0.98050000000000004</v>
      </c>
      <c r="BI626" s="25">
        <f>VLOOKUP(Inventory[[#This Row],[Cnd]],Lookups!$T$7:$W$16,4,FALSE)</f>
        <v>0.99729999999999996</v>
      </c>
      <c r="BJ626" s="25">
        <f>VLOOKUP(Inventory[[#This Row],[LivArea Range]],Lookups!$T$25:$W$37,4,FALSE)</f>
        <v>1.0157</v>
      </c>
      <c r="BK626" s="25">
        <f>VLOOKUP(Inventory[[#This Row],[Decade]],Lookups!$O$25:$R$42,4,FALSE)</f>
        <v>1.0199</v>
      </c>
      <c r="BL626" s="25">
        <f>Inventory[[#This Row],[Nbhd Adj]]*0.95</f>
        <v>0.94971499999999998</v>
      </c>
      <c r="BM626" s="25">
        <f>Inventory[[#This Row],[Nbhd Adj]]*Inventory[[#This Row],[Quality Adj]]*Inventory[[#This Row],[Condition Adj]]*Inventory[[#This Row],[Living Area Adj]]*Inventory[[#This Row],[Decade Adj]]*0.95</f>
        <v>0.96203253273253719</v>
      </c>
      <c r="BN626" s="25">
        <f>ROUND(SUM(Inventory[[#This Row],[Mdl Qlty]:[Mdl WdDeck]])+Inventory[[#This Row],[Mdl Res Intercept]]*Inventory[[#This Row],[Res Adj ]],-2)</f>
        <v>288200</v>
      </c>
      <c r="BO626" s="25">
        <f>ROUND(Inventory[[#This Row],[25Det]]*Inventory[[#This Row],[Det/Nbhd Adj]],-2)</f>
        <v>0</v>
      </c>
      <c r="BP626" s="25">
        <f>Inventory[[#This Row],[Adjusted Res]]+Inventory[[#This Row],[Adj Det ]]</f>
        <v>288200</v>
      </c>
      <c r="BQ626" s="25">
        <f>ROUND((Inventory[[#This Row],[Mdl Land Intercept]]+Inventory[[#This Row],[Mdl LnAcres]])*Inventory[[#This Row],[Det/Nbhd Adj]],-2)</f>
        <v>33800</v>
      </c>
      <c r="BR626" s="25">
        <f>Inventory[[#This Row],[Adjusted Impr Total]]+Inventory[[#This Row],[Adjusted Land Total]]</f>
        <v>322000</v>
      </c>
      <c r="BS626" s="36">
        <f>IFERROR((Inventory[[#This Row],[Adjusted Impr Total]]-Inventory[[#This Row],[24Bldg]])/Inventory[[#This Row],[24Bldg]],0)</f>
        <v>0.13419913419913421</v>
      </c>
      <c r="BT626" s="36">
        <f>(Inventory[[#This Row],[Adjusted Land Total]]-Inventory[[#This Row],[24Lnd]])/Inventory[[#This Row],[24Lnd]]</f>
        <v>-0.38208409506398539</v>
      </c>
      <c r="BU626" s="36">
        <f>(Inventory[[#This Row],[Adjusted Total]]-Inventory[[#This Row],[24Final]])/Inventory[[#This Row],[24Final]]</f>
        <v>4.2746113989637305E-2</v>
      </c>
    </row>
    <row r="627" spans="1:73" x14ac:dyDescent="0.3">
      <c r="A627" s="25">
        <v>2025</v>
      </c>
      <c r="B627" s="26" t="s">
        <v>2657</v>
      </c>
      <c r="C627" s="26">
        <f>LN(Inventory[[#This Row],[Acres]])</f>
        <v>-1.7719568419318752</v>
      </c>
      <c r="D627" s="25">
        <v>0.17</v>
      </c>
      <c r="E627" s="25">
        <v>7480</v>
      </c>
      <c r="F627" s="26" t="s">
        <v>537</v>
      </c>
      <c r="G627" s="26" t="s">
        <v>126</v>
      </c>
      <c r="H627" s="26" t="s">
        <v>349</v>
      </c>
      <c r="I627" s="26" t="s">
        <v>538</v>
      </c>
      <c r="J627" s="26" t="s">
        <v>539</v>
      </c>
      <c r="K627" s="26" t="s">
        <v>241</v>
      </c>
      <c r="L627" s="26" t="s">
        <v>148</v>
      </c>
      <c r="M627" s="26" t="s">
        <v>303</v>
      </c>
      <c r="N627" s="26">
        <v>70</v>
      </c>
      <c r="O627" s="26">
        <f>2024-Inventory[[#This Row],[YrBlt]]</f>
        <v>69</v>
      </c>
      <c r="P627" s="26">
        <f>2024-Inventory[[#This Row],[EffYr]]</f>
        <v>50</v>
      </c>
      <c r="Q627" s="25">
        <v>1955</v>
      </c>
      <c r="R627" s="25">
        <v>1974</v>
      </c>
      <c r="S627" s="25">
        <v>1436</v>
      </c>
      <c r="T627" s="31"/>
      <c r="U627" s="25">
        <v>1436</v>
      </c>
      <c r="V627" s="32">
        <f>Inventory[[#This Row],[Bsmt]]-Inventory[[#This Row],[FnBsmt]]</f>
        <v>0</v>
      </c>
      <c r="W627" s="32">
        <v>1436</v>
      </c>
      <c r="X627" s="27"/>
      <c r="Y627" s="27">
        <f>Inventory[[#This Row],[MainFn]]+Inventory[[#This Row],[UpprFn]]+Inventory[[#This Row],[FnBsmt]]+Inventory[[#This Row],[AddFn]]</f>
        <v>2872</v>
      </c>
      <c r="Z627" s="27">
        <v>3000</v>
      </c>
      <c r="AA627" s="25">
        <v>8</v>
      </c>
      <c r="AB627" s="27"/>
      <c r="AC627" s="31"/>
      <c r="AD627" s="27"/>
      <c r="AE627" s="27"/>
      <c r="AF627" s="27"/>
      <c r="AG627" s="27"/>
      <c r="AH627" s="27"/>
      <c r="AI627" s="25">
        <v>482340</v>
      </c>
      <c r="AJ627" s="25">
        <v>347285</v>
      </c>
      <c r="AK627" s="25">
        <v>15510</v>
      </c>
      <c r="AL627" s="25">
        <v>403500</v>
      </c>
      <c r="AM627" s="25">
        <v>52700</v>
      </c>
      <c r="AN627" s="25">
        <v>350800</v>
      </c>
      <c r="AO627" s="25">
        <v>0</v>
      </c>
      <c r="AP627" s="25">
        <f>Lookups!$B$56*0</f>
        <v>0</v>
      </c>
      <c r="AQ627" s="25">
        <f>Lookups!$B$56*1</f>
        <v>89850.625589999996</v>
      </c>
      <c r="AR627" s="25">
        <f>Lookups!$B$57*Inventory[[#This Row],[LnAcres]]</f>
        <v>-56090.612940989391</v>
      </c>
      <c r="AS627" s="25">
        <f>VLOOKUP(Inventory[[#This Row],[Qlty]],Lookups!$A$62:$E$75,2,FALSE)</f>
        <v>44121.038090000002</v>
      </c>
      <c r="AT627" s="25">
        <f>VLOOKUP(Inventory[[#This Row],[Cnd]],Lookups!$A$76:$E$84,2,FALSE)</f>
        <v>197752.34721000001</v>
      </c>
      <c r="AU627" s="25">
        <f>Inventory[[#This Row],[EffAge]]*Lookups!$B$85</f>
        <v>-11152.280025</v>
      </c>
      <c r="AV627" s="25">
        <f>Inventory[[#This Row],[MainFn]]*Lookups!$B$86</f>
        <v>70950.849943371999</v>
      </c>
      <c r="AW627" s="25">
        <f>Inventory[[#This Row],[UpprFn]]*Lookups!$B$87</f>
        <v>0</v>
      </c>
      <c r="AX627" s="25">
        <f>Inventory[[#This Row],[AddFn]]*Lookups!$B$88</f>
        <v>0</v>
      </c>
      <c r="AY627" s="25">
        <f>Inventory[[#This Row],[Bsmt]]*Lookups!$B$89</f>
        <v>41761.601574691995</v>
      </c>
      <c r="AZ627" s="25">
        <f>Inventory[[#This Row],[Fixtures]]*Lookups!$B$90</f>
        <v>30336.176841600001</v>
      </c>
      <c r="BA627" s="25">
        <f>Inventory[[#This Row],[WdDeck]]*Lookups!$B$91</f>
        <v>0</v>
      </c>
      <c r="BB627" s="25">
        <f>ROUND(Inventory[[#This Row],[25Det]],-2)</f>
        <v>15500</v>
      </c>
      <c r="BC627" s="25">
        <f>ROUND(SUM(Inventory[[#This Row],[Mdl Qlty]:[Mdl WdDeck]])+Inventory[[#This Row],[Mdl Res Intercept]],-2)</f>
        <v>373800</v>
      </c>
      <c r="BD627" s="25">
        <f>ROUND(Inventory[[#This Row],[Mdl Land Intercept]]+Inventory[[#This Row],[Mdl LnAcres]],-2)</f>
        <v>33800</v>
      </c>
      <c r="BE627" s="25">
        <f>Inventory[[#This Row],[Unadj Res Value]]+Inventory[[#This Row],[Unadj Det Value]]+Inventory[[#This Row],[Unadj Land Value]]</f>
        <v>423100</v>
      </c>
      <c r="BF627" s="36">
        <f>(Inventory[[#This Row],[Unadj Total Value]]-Inventory[[#This Row],[24Final]])/Inventory[[#This Row],[24Final]]</f>
        <v>4.8574969021065673E-2</v>
      </c>
      <c r="BG627" s="25">
        <f>VLOOKUP(Inventory[[#This Row],[Nbhd]],Lookups!$Q$2:$T$4,4,FALSE)</f>
        <v>0.99970000000000003</v>
      </c>
      <c r="BH627" s="25">
        <f>VLOOKUP(Inventory[[#This Row],[Qlty]],Lookups!$O$7:$R$21,4,FALSE)</f>
        <v>0.98050000000000004</v>
      </c>
      <c r="BI627" s="25">
        <f>VLOOKUP(Inventory[[#This Row],[Cnd]],Lookups!$T$7:$W$16,4,FALSE)</f>
        <v>0.99650000000000005</v>
      </c>
      <c r="BJ627" s="25">
        <f>VLOOKUP(Inventory[[#This Row],[LivArea Range]],Lookups!$T$25:$W$37,4,FALSE)</f>
        <v>0.96179999999999999</v>
      </c>
      <c r="BK627" s="25">
        <f>VLOOKUP(Inventory[[#This Row],[Decade]],Lookups!$O$25:$R$42,4,FALSE)</f>
        <v>1.0199</v>
      </c>
      <c r="BL627" s="25">
        <f>Inventory[[#This Row],[Nbhd Adj]]*0.95</f>
        <v>0.94971499999999998</v>
      </c>
      <c r="BM627" s="25">
        <f>Inventory[[#This Row],[Nbhd Adj]]*Inventory[[#This Row],[Quality Adj]]*Inventory[[#This Row],[Condition Adj]]*Inventory[[#This Row],[Living Area Adj]]*Inventory[[#This Row],[Decade Adj]]*0.95</f>
        <v>0.91024973874989379</v>
      </c>
      <c r="BN627" s="25">
        <f>ROUND(SUM(Inventory[[#This Row],[Mdl Qlty]:[Mdl WdDeck]])+Inventory[[#This Row],[Mdl Res Intercept]]*Inventory[[#This Row],[Res Adj ]],-2)</f>
        <v>373800</v>
      </c>
      <c r="BO627" s="25">
        <f>ROUND(Inventory[[#This Row],[25Det]]*Inventory[[#This Row],[Det/Nbhd Adj]],-2)</f>
        <v>14700</v>
      </c>
      <c r="BP627" s="25">
        <f>Inventory[[#This Row],[Adjusted Res]]+Inventory[[#This Row],[Adj Det ]]</f>
        <v>388500</v>
      </c>
      <c r="BQ627" s="25">
        <f>ROUND((Inventory[[#This Row],[Mdl Land Intercept]]+Inventory[[#This Row],[Mdl LnAcres]])*Inventory[[#This Row],[Det/Nbhd Adj]],-2)</f>
        <v>32100</v>
      </c>
      <c r="BR627" s="25">
        <f>Inventory[[#This Row],[Adjusted Impr Total]]+Inventory[[#This Row],[Adjusted Land Total]]</f>
        <v>420600</v>
      </c>
      <c r="BS627" s="36">
        <f>IFERROR((Inventory[[#This Row],[Adjusted Impr Total]]-Inventory[[#This Row],[24Bldg]])/Inventory[[#This Row],[24Bldg]],0)</f>
        <v>0.10746864310148233</v>
      </c>
      <c r="BT627" s="36">
        <f>(Inventory[[#This Row],[Adjusted Land Total]]-Inventory[[#This Row],[24Lnd]])/Inventory[[#This Row],[24Lnd]]</f>
        <v>-0.39089184060721061</v>
      </c>
      <c r="BU627" s="36">
        <f>(Inventory[[#This Row],[Adjusted Total]]-Inventory[[#This Row],[24Final]])/Inventory[[#This Row],[24Final]]</f>
        <v>4.2379182156133829E-2</v>
      </c>
    </row>
    <row r="628" spans="1:73" x14ac:dyDescent="0.3">
      <c r="A628" s="25">
        <v>2025</v>
      </c>
      <c r="B628" s="26" t="s">
        <v>813</v>
      </c>
      <c r="C628" s="26">
        <f>LN(Inventory[[#This Row],[Acres]])</f>
        <v>-1.6094379124341003</v>
      </c>
      <c r="D628" s="25">
        <v>0.2</v>
      </c>
      <c r="E628" s="32">
        <v>8519</v>
      </c>
      <c r="F628" s="26" t="s">
        <v>537</v>
      </c>
      <c r="G628" s="26" t="s">
        <v>126</v>
      </c>
      <c r="H628" s="26" t="s">
        <v>349</v>
      </c>
      <c r="I628" s="26" t="s">
        <v>538</v>
      </c>
      <c r="J628" s="26" t="s">
        <v>539</v>
      </c>
      <c r="K628" s="26" t="s">
        <v>242</v>
      </c>
      <c r="L628" s="26" t="s">
        <v>351</v>
      </c>
      <c r="M628" s="26" t="s">
        <v>323</v>
      </c>
      <c r="N628" s="26">
        <v>70</v>
      </c>
      <c r="O628" s="26">
        <f>2024-Inventory[[#This Row],[YrBlt]]</f>
        <v>69</v>
      </c>
      <c r="P628" s="26">
        <f>2024-Inventory[[#This Row],[EffYr]]</f>
        <v>50</v>
      </c>
      <c r="Q628" s="25">
        <v>1955</v>
      </c>
      <c r="R628" s="25">
        <v>1974</v>
      </c>
      <c r="S628" s="25">
        <v>1069</v>
      </c>
      <c r="T628" s="27"/>
      <c r="U628" s="25">
        <v>1069</v>
      </c>
      <c r="V628" s="25">
        <f>Inventory[[#This Row],[Bsmt]]-Inventory[[#This Row],[FnBsmt]]</f>
        <v>716</v>
      </c>
      <c r="W628" s="25">
        <v>353</v>
      </c>
      <c r="X628" s="27"/>
      <c r="Y628" s="27">
        <f>Inventory[[#This Row],[MainFn]]+Inventory[[#This Row],[UpprFn]]+Inventory[[#This Row],[FnBsmt]]+Inventory[[#This Row],[AddFn]]</f>
        <v>1422</v>
      </c>
      <c r="Z628" s="27">
        <v>1500</v>
      </c>
      <c r="AA628" s="25">
        <v>8</v>
      </c>
      <c r="AB628" s="32">
        <v>240</v>
      </c>
      <c r="AC628" s="27"/>
      <c r="AD628" s="27"/>
      <c r="AE628" s="27"/>
      <c r="AF628" s="27"/>
      <c r="AG628" s="27"/>
      <c r="AH628" s="27"/>
      <c r="AI628" s="25">
        <v>257354</v>
      </c>
      <c r="AJ628" s="25">
        <v>180148</v>
      </c>
      <c r="AK628" s="25">
        <v>0</v>
      </c>
      <c r="AL628" s="25">
        <v>309100</v>
      </c>
      <c r="AM628" s="25">
        <v>58400</v>
      </c>
      <c r="AN628" s="25">
        <v>250700</v>
      </c>
      <c r="AO628" s="25">
        <v>0</v>
      </c>
      <c r="AP628" s="25">
        <f>Lookups!$B$56*0</f>
        <v>0</v>
      </c>
      <c r="AQ628" s="25">
        <f>Lookups!$B$56*1</f>
        <v>89850.625589999996</v>
      </c>
      <c r="AR628" s="25">
        <f>Lookups!$B$57*Inventory[[#This Row],[LnAcres]]</f>
        <v>-50946.13867709865</v>
      </c>
      <c r="AS628" s="25">
        <f>VLOOKUP(Inventory[[#This Row],[Qlty]],Lookups!$A$62:$E$75,2,FALSE)</f>
        <v>21557.329055999999</v>
      </c>
      <c r="AT628" s="25">
        <f>VLOOKUP(Inventory[[#This Row],[Cnd]],Lookups!$A$76:$E$84,2,FALSE)</f>
        <v>160472.20319</v>
      </c>
      <c r="AU628" s="25">
        <f>Inventory[[#This Row],[EffAge]]*Lookups!$B$85</f>
        <v>-11152.280025</v>
      </c>
      <c r="AV628" s="25">
        <f>Inventory[[#This Row],[MainFn]]*Lookups!$B$86</f>
        <v>52817.868098513005</v>
      </c>
      <c r="AW628" s="25">
        <f>Inventory[[#This Row],[UpprFn]]*Lookups!$B$87</f>
        <v>0</v>
      </c>
      <c r="AX628" s="25">
        <f>Inventory[[#This Row],[AddFn]]*Lookups!$B$88</f>
        <v>0</v>
      </c>
      <c r="AY628" s="25">
        <f>Inventory[[#This Row],[Bsmt]]*Lookups!$B$89</f>
        <v>31088.546019042999</v>
      </c>
      <c r="AZ628" s="25">
        <f>Inventory[[#This Row],[Fixtures]]*Lookups!$B$90</f>
        <v>30336.176841600001</v>
      </c>
      <c r="BA628" s="25">
        <f>Inventory[[#This Row],[WdDeck]]*Lookups!$B$91</f>
        <v>0</v>
      </c>
      <c r="BB628" s="25">
        <f>ROUND(Inventory[[#This Row],[25Det]],-2)</f>
        <v>0</v>
      </c>
      <c r="BC628" s="25">
        <f>ROUND(SUM(Inventory[[#This Row],[Mdl Qlty]:[Mdl WdDeck]])+Inventory[[#This Row],[Mdl Res Intercept]],-2)</f>
        <v>285100</v>
      </c>
      <c r="BD628" s="25">
        <f>ROUND(Inventory[[#This Row],[Mdl Land Intercept]]+Inventory[[#This Row],[Mdl LnAcres]],-2)</f>
        <v>38900</v>
      </c>
      <c r="BE628" s="25">
        <f>Inventory[[#This Row],[Unadj Res Value]]+Inventory[[#This Row],[Unadj Det Value]]+Inventory[[#This Row],[Unadj Land Value]]</f>
        <v>324000</v>
      </c>
      <c r="BF628" s="36">
        <f>(Inventory[[#This Row],[Unadj Total Value]]-Inventory[[#This Row],[24Final]])/Inventory[[#This Row],[24Final]]</f>
        <v>4.8204464574571337E-2</v>
      </c>
      <c r="BG628" s="25">
        <f>VLOOKUP(Inventory[[#This Row],[Nbhd]],Lookups!$Q$2:$T$4,4,FALSE)</f>
        <v>0.99970000000000003</v>
      </c>
      <c r="BH628" s="25">
        <f>VLOOKUP(Inventory[[#This Row],[Qlty]],Lookups!$O$7:$R$21,4,FALSE)</f>
        <v>1.0067999999999999</v>
      </c>
      <c r="BI628" s="25">
        <f>VLOOKUP(Inventory[[#This Row],[Cnd]],Lookups!$T$7:$W$16,4,FALSE)</f>
        <v>0.99729999999999996</v>
      </c>
      <c r="BJ628" s="25">
        <f>VLOOKUP(Inventory[[#This Row],[LivArea Range]],Lookups!$T$25:$W$37,4,FALSE)</f>
        <v>1.0157</v>
      </c>
      <c r="BK628" s="25">
        <f>VLOOKUP(Inventory[[#This Row],[Decade]],Lookups!$O$25:$R$42,4,FALSE)</f>
        <v>1.0199</v>
      </c>
      <c r="BL628" s="25">
        <f>Inventory[[#This Row],[Nbhd Adj]]*0.95</f>
        <v>0.94971499999999998</v>
      </c>
      <c r="BM628" s="25">
        <f>Inventory[[#This Row],[Nbhd Adj]]*Inventory[[#This Row],[Quality Adj]]*Inventory[[#This Row],[Condition Adj]]*Inventory[[#This Row],[Living Area Adj]]*Inventory[[#This Row],[Decade Adj]]*0.95</f>
        <v>0.98783717894453682</v>
      </c>
      <c r="BN628" s="25">
        <f>ROUND(SUM(Inventory[[#This Row],[Mdl Qlty]:[Mdl WdDeck]])+Inventory[[#This Row],[Mdl Res Intercept]]*Inventory[[#This Row],[Res Adj ]],-2)</f>
        <v>285100</v>
      </c>
      <c r="BO628" s="25">
        <f>ROUND(Inventory[[#This Row],[25Det]]*Inventory[[#This Row],[Det/Nbhd Adj]],-2)</f>
        <v>0</v>
      </c>
      <c r="BP628" s="25">
        <f>Inventory[[#This Row],[Adjusted Res]]+Inventory[[#This Row],[Adj Det ]]</f>
        <v>285100</v>
      </c>
      <c r="BQ628" s="25">
        <f>ROUND((Inventory[[#This Row],[Mdl Land Intercept]]+Inventory[[#This Row],[Mdl LnAcres]])*Inventory[[#This Row],[Det/Nbhd Adj]],-2)</f>
        <v>36900</v>
      </c>
      <c r="BR628" s="25">
        <f>Inventory[[#This Row],[Adjusted Impr Total]]+Inventory[[#This Row],[Adjusted Land Total]]</f>
        <v>322000</v>
      </c>
      <c r="BS628" s="36">
        <f>IFERROR((Inventory[[#This Row],[Adjusted Impr Total]]-Inventory[[#This Row],[24Bldg]])/Inventory[[#This Row],[24Bldg]],0)</f>
        <v>0.13721579577183884</v>
      </c>
      <c r="BT628" s="36">
        <f>(Inventory[[#This Row],[Adjusted Land Total]]-Inventory[[#This Row],[24Lnd]])/Inventory[[#This Row],[24Lnd]]</f>
        <v>-0.36815068493150682</v>
      </c>
      <c r="BU628" s="36">
        <f>(Inventory[[#This Row],[Adjusted Total]]-Inventory[[#This Row],[24Final]])/Inventory[[#This Row],[24Final]]</f>
        <v>4.1734066645098676E-2</v>
      </c>
    </row>
    <row r="629" spans="1:73" x14ac:dyDescent="0.3">
      <c r="A629" s="25">
        <v>2025</v>
      </c>
      <c r="B629" s="26" t="s">
        <v>1004</v>
      </c>
      <c r="C629" s="26">
        <f>LN(Inventory[[#This Row],[Acres]])</f>
        <v>-0.916290731874155</v>
      </c>
      <c r="D629" s="25">
        <v>0.4</v>
      </c>
      <c r="E629" s="25">
        <v>17474</v>
      </c>
      <c r="F629" s="26" t="s">
        <v>537</v>
      </c>
      <c r="G629" s="26" t="s">
        <v>126</v>
      </c>
      <c r="H629" s="26" t="s">
        <v>349</v>
      </c>
      <c r="I629" s="26" t="s">
        <v>538</v>
      </c>
      <c r="J629" s="26" t="s">
        <v>539</v>
      </c>
      <c r="K629" s="26" t="s">
        <v>241</v>
      </c>
      <c r="L629" s="26" t="s">
        <v>148</v>
      </c>
      <c r="M629" s="26" t="s">
        <v>303</v>
      </c>
      <c r="N629" s="26">
        <v>70</v>
      </c>
      <c r="O629" s="26">
        <f>2024-Inventory[[#This Row],[YrBlt]]</f>
        <v>69</v>
      </c>
      <c r="P629" s="26">
        <f>2024-Inventory[[#This Row],[EffYr]]</f>
        <v>50</v>
      </c>
      <c r="Q629" s="25">
        <v>1955</v>
      </c>
      <c r="R629" s="25">
        <v>1974</v>
      </c>
      <c r="S629" s="25">
        <v>1900</v>
      </c>
      <c r="T629" s="27"/>
      <c r="U629" s="25">
        <v>1846</v>
      </c>
      <c r="V629" s="32">
        <f>Inventory[[#This Row],[Bsmt]]-Inventory[[#This Row],[FnBsmt]]</f>
        <v>554</v>
      </c>
      <c r="W629" s="32">
        <v>1292</v>
      </c>
      <c r="X629" s="27"/>
      <c r="Y629" s="27">
        <f>Inventory[[#This Row],[MainFn]]+Inventory[[#This Row],[UpprFn]]+Inventory[[#This Row],[FnBsmt]]+Inventory[[#This Row],[AddFn]]</f>
        <v>3192</v>
      </c>
      <c r="Z629" s="27">
        <v>3500</v>
      </c>
      <c r="AA629" s="25">
        <v>11</v>
      </c>
      <c r="AB629" s="32">
        <v>552</v>
      </c>
      <c r="AC629" s="27"/>
      <c r="AD629" s="32">
        <v>233</v>
      </c>
      <c r="AE629" s="27"/>
      <c r="AF629" s="27"/>
      <c r="AG629" s="27"/>
      <c r="AH629" s="27"/>
      <c r="AI629" s="25">
        <v>627719</v>
      </c>
      <c r="AJ629" s="25">
        <v>451958</v>
      </c>
      <c r="AK629" s="25">
        <v>0</v>
      </c>
      <c r="AL629" s="25">
        <v>466300</v>
      </c>
      <c r="AM629" s="25">
        <v>82600</v>
      </c>
      <c r="AN629" s="25">
        <v>383700</v>
      </c>
      <c r="AO629" s="25">
        <v>0</v>
      </c>
      <c r="AP629" s="25">
        <f>Lookups!$B$56*0</f>
        <v>0</v>
      </c>
      <c r="AQ629" s="25">
        <f>Lookups!$B$56*1</f>
        <v>89850.625589999996</v>
      </c>
      <c r="AR629" s="25">
        <f>Lookups!$B$57*Inventory[[#This Row],[LnAcres]]</f>
        <v>-29004.831024516039</v>
      </c>
      <c r="AS629" s="25">
        <f>VLOOKUP(Inventory[[#This Row],[Qlty]],Lookups!$A$62:$E$75,2,FALSE)</f>
        <v>44121.038090000002</v>
      </c>
      <c r="AT629" s="25">
        <f>VLOOKUP(Inventory[[#This Row],[Cnd]],Lookups!$A$76:$E$84,2,FALSE)</f>
        <v>197752.34721000001</v>
      </c>
      <c r="AU629" s="25">
        <f>Inventory[[#This Row],[EffAge]]*Lookups!$B$85</f>
        <v>-11152.280025</v>
      </c>
      <c r="AV629" s="25">
        <f>Inventory[[#This Row],[MainFn]]*Lookups!$B$86</f>
        <v>93876.472766300009</v>
      </c>
      <c r="AW629" s="25">
        <f>Inventory[[#This Row],[UpprFn]]*Lookups!$B$87</f>
        <v>0</v>
      </c>
      <c r="AX629" s="25">
        <f>Inventory[[#This Row],[AddFn]]*Lookups!$B$88</f>
        <v>0</v>
      </c>
      <c r="AY629" s="25">
        <f>Inventory[[#This Row],[Bsmt]]*Lookups!$B$89</f>
        <v>53685.178625961998</v>
      </c>
      <c r="AZ629" s="25">
        <f>Inventory[[#This Row],[Fixtures]]*Lookups!$B$90</f>
        <v>41712.243157199999</v>
      </c>
      <c r="BA629" s="25">
        <f>Inventory[[#This Row],[WdDeck]]*Lookups!$B$91</f>
        <v>7757.8550593080008</v>
      </c>
      <c r="BB629" s="25">
        <f>ROUND(Inventory[[#This Row],[25Det]],-2)</f>
        <v>0</v>
      </c>
      <c r="BC629" s="25">
        <f>ROUND(SUM(Inventory[[#This Row],[Mdl Qlty]:[Mdl WdDeck]])+Inventory[[#This Row],[Mdl Res Intercept]],-2)</f>
        <v>427800</v>
      </c>
      <c r="BD629" s="25">
        <f>ROUND(Inventory[[#This Row],[Mdl Land Intercept]]+Inventory[[#This Row],[Mdl LnAcres]],-2)</f>
        <v>60800</v>
      </c>
      <c r="BE629" s="25">
        <f>Inventory[[#This Row],[Unadj Res Value]]+Inventory[[#This Row],[Unadj Det Value]]+Inventory[[#This Row],[Unadj Land Value]]</f>
        <v>488600</v>
      </c>
      <c r="BF629" s="36">
        <f>(Inventory[[#This Row],[Unadj Total Value]]-Inventory[[#This Row],[24Final]])/Inventory[[#This Row],[24Final]]</f>
        <v>4.7823289727643145E-2</v>
      </c>
      <c r="BG629" s="25">
        <f>VLOOKUP(Inventory[[#This Row],[Nbhd]],Lookups!$Q$2:$T$4,4,FALSE)</f>
        <v>0.99970000000000003</v>
      </c>
      <c r="BH629" s="25">
        <f>VLOOKUP(Inventory[[#This Row],[Qlty]],Lookups!$O$7:$R$21,4,FALSE)</f>
        <v>0.98050000000000004</v>
      </c>
      <c r="BI629" s="25">
        <f>VLOOKUP(Inventory[[#This Row],[Cnd]],Lookups!$T$7:$W$16,4,FALSE)</f>
        <v>0.99650000000000005</v>
      </c>
      <c r="BJ629" s="25">
        <f>VLOOKUP(Inventory[[#This Row],[LivArea Range]],Lookups!$T$25:$W$37,4,FALSE)</f>
        <v>1.0126999999999999</v>
      </c>
      <c r="BK629" s="25">
        <f>VLOOKUP(Inventory[[#This Row],[Decade]],Lookups!$O$25:$R$42,4,FALSE)</f>
        <v>1.0199</v>
      </c>
      <c r="BL629" s="25">
        <f>Inventory[[#This Row],[Nbhd Adj]]*0.95</f>
        <v>0.94971499999999998</v>
      </c>
      <c r="BM629" s="25">
        <f>Inventory[[#This Row],[Nbhd Adj]]*Inventory[[#This Row],[Quality Adj]]*Inventory[[#This Row],[Condition Adj]]*Inventory[[#This Row],[Living Area Adj]]*Inventory[[#This Row],[Decade Adj]]*0.95</f>
        <v>0.95842161616969979</v>
      </c>
      <c r="BN629" s="25">
        <f>ROUND(SUM(Inventory[[#This Row],[Mdl Qlty]:[Mdl WdDeck]])+Inventory[[#This Row],[Mdl Res Intercept]]*Inventory[[#This Row],[Res Adj ]],-2)</f>
        <v>427800</v>
      </c>
      <c r="BO629" s="25">
        <f>ROUND(Inventory[[#This Row],[25Det]]*Inventory[[#This Row],[Det/Nbhd Adj]],-2)</f>
        <v>0</v>
      </c>
      <c r="BP629" s="25">
        <f>Inventory[[#This Row],[Adjusted Res]]+Inventory[[#This Row],[Adj Det ]]</f>
        <v>427800</v>
      </c>
      <c r="BQ629" s="25">
        <f>ROUND((Inventory[[#This Row],[Mdl Land Intercept]]+Inventory[[#This Row],[Mdl LnAcres]])*Inventory[[#This Row],[Det/Nbhd Adj]],-2)</f>
        <v>57800</v>
      </c>
      <c r="BR629" s="25">
        <f>Inventory[[#This Row],[Adjusted Impr Total]]+Inventory[[#This Row],[Adjusted Land Total]]</f>
        <v>485600</v>
      </c>
      <c r="BS629" s="36">
        <f>IFERROR((Inventory[[#This Row],[Adjusted Impr Total]]-Inventory[[#This Row],[24Bldg]])/Inventory[[#This Row],[24Bldg]],0)</f>
        <v>0.11493354182955434</v>
      </c>
      <c r="BT629" s="36">
        <f>(Inventory[[#This Row],[Adjusted Land Total]]-Inventory[[#This Row],[24Lnd]])/Inventory[[#This Row],[24Lnd]]</f>
        <v>-0.30024213075060535</v>
      </c>
      <c r="BU629" s="36">
        <f>(Inventory[[#This Row],[Adjusted Total]]-Inventory[[#This Row],[24Final]])/Inventory[[#This Row],[24Final]]</f>
        <v>4.1389663306883984E-2</v>
      </c>
    </row>
    <row r="630" spans="1:73" x14ac:dyDescent="0.3">
      <c r="A630" s="25">
        <v>2025</v>
      </c>
      <c r="B630" s="26" t="s">
        <v>1738</v>
      </c>
      <c r="C630" s="26">
        <f>LN(Inventory[[#This Row],[Acres]])</f>
        <v>-1.5606477482646683</v>
      </c>
      <c r="D630" s="25">
        <v>0.21</v>
      </c>
      <c r="E630" s="31"/>
      <c r="F630" s="26" t="s">
        <v>537</v>
      </c>
      <c r="G630" s="26" t="s">
        <v>126</v>
      </c>
      <c r="H630" s="26" t="s">
        <v>349</v>
      </c>
      <c r="I630" s="26" t="s">
        <v>538</v>
      </c>
      <c r="J630" s="26" t="s">
        <v>539</v>
      </c>
      <c r="K630" s="26" t="s">
        <v>241</v>
      </c>
      <c r="L630" s="26" t="s">
        <v>351</v>
      </c>
      <c r="M630" s="26" t="s">
        <v>323</v>
      </c>
      <c r="N630" s="26">
        <v>70</v>
      </c>
      <c r="O630" s="26">
        <f>2024-Inventory[[#This Row],[YrBlt]]</f>
        <v>69</v>
      </c>
      <c r="P630" s="26">
        <f>2024-Inventory[[#This Row],[EffYr]]</f>
        <v>50</v>
      </c>
      <c r="Q630" s="25">
        <v>1955</v>
      </c>
      <c r="R630" s="25">
        <v>1974</v>
      </c>
      <c r="S630" s="25">
        <v>1025</v>
      </c>
      <c r="T630" s="27"/>
      <c r="U630" s="31"/>
      <c r="V630" s="31">
        <f>Inventory[[#This Row],[Bsmt]]-Inventory[[#This Row],[FnBsmt]]</f>
        <v>0</v>
      </c>
      <c r="W630" s="31"/>
      <c r="X630" s="27"/>
      <c r="Y630" s="27">
        <f>Inventory[[#This Row],[MainFn]]+Inventory[[#This Row],[UpprFn]]+Inventory[[#This Row],[FnBsmt]]+Inventory[[#This Row],[AddFn]]</f>
        <v>1025</v>
      </c>
      <c r="Z630" s="27">
        <v>1500</v>
      </c>
      <c r="AA630" s="25">
        <v>5</v>
      </c>
      <c r="AB630" s="27"/>
      <c r="AC630" s="27"/>
      <c r="AD630" s="32">
        <v>138</v>
      </c>
      <c r="AE630" s="27"/>
      <c r="AF630" s="27"/>
      <c r="AG630" s="27"/>
      <c r="AH630" s="27"/>
      <c r="AI630" s="25">
        <v>183715</v>
      </c>
      <c r="AJ630" s="25">
        <v>128601</v>
      </c>
      <c r="AK630" s="25">
        <v>11609</v>
      </c>
      <c r="AL630" s="25">
        <v>282800</v>
      </c>
      <c r="AM630" s="25">
        <v>60100</v>
      </c>
      <c r="AN630" s="25">
        <v>222700</v>
      </c>
      <c r="AO630" s="25">
        <v>0</v>
      </c>
      <c r="AP630" s="25">
        <f>Lookups!$B$56*0</f>
        <v>0</v>
      </c>
      <c r="AQ630" s="25">
        <f>Lookups!$B$56*1</f>
        <v>89850.625589999996</v>
      </c>
      <c r="AR630" s="25">
        <f>Lookups!$B$57*Inventory[[#This Row],[LnAcres]]</f>
        <v>-49401.70477837498</v>
      </c>
      <c r="AS630" s="25">
        <f>VLOOKUP(Inventory[[#This Row],[Qlty]],Lookups!$A$62:$E$75,2,FALSE)</f>
        <v>21557.329055999999</v>
      </c>
      <c r="AT630" s="25">
        <f>VLOOKUP(Inventory[[#This Row],[Cnd]],Lookups!$A$76:$E$84,2,FALSE)</f>
        <v>160472.20319</v>
      </c>
      <c r="AU630" s="25">
        <f>Inventory[[#This Row],[EffAge]]*Lookups!$B$85</f>
        <v>-11152.280025</v>
      </c>
      <c r="AV630" s="25">
        <f>Inventory[[#This Row],[MainFn]]*Lookups!$B$86</f>
        <v>50643.886623924998</v>
      </c>
      <c r="AW630" s="25">
        <f>Inventory[[#This Row],[UpprFn]]*Lookups!$B$87</f>
        <v>0</v>
      </c>
      <c r="AX630" s="25">
        <f>Inventory[[#This Row],[AddFn]]*Lookups!$B$88</f>
        <v>0</v>
      </c>
      <c r="AY630" s="25">
        <f>Inventory[[#This Row],[Bsmt]]*Lookups!$B$89</f>
        <v>0</v>
      </c>
      <c r="AZ630" s="25">
        <f>Inventory[[#This Row],[Fixtures]]*Lookups!$B$90</f>
        <v>18960.110526</v>
      </c>
      <c r="BA630" s="25">
        <f>Inventory[[#This Row],[WdDeck]]*Lookups!$B$91</f>
        <v>4594.7811080880001</v>
      </c>
      <c r="BB630" s="25">
        <f>ROUND(Inventory[[#This Row],[25Det]],-2)</f>
        <v>11600</v>
      </c>
      <c r="BC630" s="25">
        <f>ROUND(SUM(Inventory[[#This Row],[Mdl Qlty]:[Mdl WdDeck]])+Inventory[[#This Row],[Mdl Res Intercept]],-2)</f>
        <v>245100</v>
      </c>
      <c r="BD630" s="25">
        <f>ROUND(Inventory[[#This Row],[Mdl Land Intercept]]+Inventory[[#This Row],[Mdl LnAcres]],-2)</f>
        <v>40400</v>
      </c>
      <c r="BE630" s="25">
        <f>Inventory[[#This Row],[Unadj Res Value]]+Inventory[[#This Row],[Unadj Det Value]]+Inventory[[#This Row],[Unadj Land Value]]</f>
        <v>297100</v>
      </c>
      <c r="BF630" s="36">
        <f>(Inventory[[#This Row],[Unadj Total Value]]-Inventory[[#This Row],[24Final]])/Inventory[[#This Row],[24Final]]</f>
        <v>5.0565770862800563E-2</v>
      </c>
      <c r="BG630" s="25">
        <f>VLOOKUP(Inventory[[#This Row],[Nbhd]],Lookups!$Q$2:$T$4,4,FALSE)</f>
        <v>0.99970000000000003</v>
      </c>
      <c r="BH630" s="25">
        <f>VLOOKUP(Inventory[[#This Row],[Qlty]],Lookups!$O$7:$R$21,4,FALSE)</f>
        <v>1.0067999999999999</v>
      </c>
      <c r="BI630" s="25">
        <f>VLOOKUP(Inventory[[#This Row],[Cnd]],Lookups!$T$7:$W$16,4,FALSE)</f>
        <v>0.99729999999999996</v>
      </c>
      <c r="BJ630" s="25">
        <f>VLOOKUP(Inventory[[#This Row],[LivArea Range]],Lookups!$T$25:$W$37,4,FALSE)</f>
        <v>1.0157</v>
      </c>
      <c r="BK630" s="25">
        <f>VLOOKUP(Inventory[[#This Row],[Decade]],Lookups!$O$25:$R$42,4,FALSE)</f>
        <v>1.0199</v>
      </c>
      <c r="BL630" s="25">
        <f>Inventory[[#This Row],[Nbhd Adj]]*0.95</f>
        <v>0.94971499999999998</v>
      </c>
      <c r="BM630" s="25">
        <f>Inventory[[#This Row],[Nbhd Adj]]*Inventory[[#This Row],[Quality Adj]]*Inventory[[#This Row],[Condition Adj]]*Inventory[[#This Row],[Living Area Adj]]*Inventory[[#This Row],[Decade Adj]]*0.95</f>
        <v>0.98783717894453682</v>
      </c>
      <c r="BN630" s="25">
        <f>ROUND(SUM(Inventory[[#This Row],[Mdl Qlty]:[Mdl WdDeck]])+Inventory[[#This Row],[Mdl Res Intercept]]*Inventory[[#This Row],[Res Adj ]],-2)</f>
        <v>245100</v>
      </c>
      <c r="BO630" s="25">
        <f>ROUND(Inventory[[#This Row],[25Det]]*Inventory[[#This Row],[Det/Nbhd Adj]],-2)</f>
        <v>11000</v>
      </c>
      <c r="BP630" s="25">
        <f>Inventory[[#This Row],[Adjusted Res]]+Inventory[[#This Row],[Adj Det ]]</f>
        <v>256100</v>
      </c>
      <c r="BQ630" s="25">
        <f>ROUND((Inventory[[#This Row],[Mdl Land Intercept]]+Inventory[[#This Row],[Mdl LnAcres]])*Inventory[[#This Row],[Det/Nbhd Adj]],-2)</f>
        <v>38400</v>
      </c>
      <c r="BR630" s="25">
        <f>Inventory[[#This Row],[Adjusted Impr Total]]+Inventory[[#This Row],[Adjusted Land Total]]</f>
        <v>294500</v>
      </c>
      <c r="BS630" s="36">
        <f>IFERROR((Inventory[[#This Row],[Adjusted Impr Total]]-Inventory[[#This Row],[24Bldg]])/Inventory[[#This Row],[24Bldg]],0)</f>
        <v>0.14997754827121687</v>
      </c>
      <c r="BT630" s="36">
        <f>(Inventory[[#This Row],[Adjusted Land Total]]-Inventory[[#This Row],[24Lnd]])/Inventory[[#This Row],[24Lnd]]</f>
        <v>-0.36106489184692181</v>
      </c>
      <c r="BU630" s="36">
        <f>(Inventory[[#This Row],[Adjusted Total]]-Inventory[[#This Row],[24Final]])/Inventory[[#This Row],[24Final]]</f>
        <v>4.1371994342291371E-2</v>
      </c>
    </row>
    <row r="631" spans="1:73" x14ac:dyDescent="0.3">
      <c r="A631" s="25">
        <v>2025</v>
      </c>
      <c r="B631" s="26" t="s">
        <v>860</v>
      </c>
      <c r="C631" s="26">
        <f>LN(Inventory[[#This Row],[Acres]])</f>
        <v>-1.8971199848858813</v>
      </c>
      <c r="D631" s="25">
        <v>0.15</v>
      </c>
      <c r="E631" s="25">
        <v>6749</v>
      </c>
      <c r="F631" s="26" t="s">
        <v>537</v>
      </c>
      <c r="G631" s="26" t="s">
        <v>126</v>
      </c>
      <c r="H631" s="26" t="s">
        <v>349</v>
      </c>
      <c r="I631" s="26" t="s">
        <v>538</v>
      </c>
      <c r="J631" s="26" t="s">
        <v>539</v>
      </c>
      <c r="K631" s="26" t="s">
        <v>241</v>
      </c>
      <c r="L631" s="26" t="s">
        <v>302</v>
      </c>
      <c r="M631" s="26" t="s">
        <v>323</v>
      </c>
      <c r="N631" s="26">
        <v>70</v>
      </c>
      <c r="O631" s="26">
        <f>2024-Inventory[[#This Row],[YrBlt]]</f>
        <v>69</v>
      </c>
      <c r="P631" s="26">
        <f>2024-Inventory[[#This Row],[EffYr]]</f>
        <v>50</v>
      </c>
      <c r="Q631" s="25">
        <v>1955</v>
      </c>
      <c r="R631" s="25">
        <v>1974</v>
      </c>
      <c r="S631" s="25">
        <v>1152</v>
      </c>
      <c r="T631" s="27"/>
      <c r="U631" s="27"/>
      <c r="V631" s="27">
        <f>Inventory[[#This Row],[Bsmt]]-Inventory[[#This Row],[FnBsmt]]</f>
        <v>0</v>
      </c>
      <c r="W631" s="27"/>
      <c r="X631" s="27"/>
      <c r="Y631" s="27">
        <f>Inventory[[#This Row],[MainFn]]+Inventory[[#This Row],[UpprFn]]+Inventory[[#This Row],[FnBsmt]]+Inventory[[#This Row],[AddFn]]</f>
        <v>1152</v>
      </c>
      <c r="Z631" s="27">
        <v>1500</v>
      </c>
      <c r="AA631" s="25">
        <v>9</v>
      </c>
      <c r="AB631" s="31"/>
      <c r="AC631" s="27"/>
      <c r="AD631" s="32">
        <v>80</v>
      </c>
      <c r="AE631" s="27"/>
      <c r="AF631" s="27"/>
      <c r="AG631" s="27"/>
      <c r="AH631" s="27"/>
      <c r="AI631" s="25">
        <v>232737</v>
      </c>
      <c r="AJ631" s="25">
        <v>162916</v>
      </c>
      <c r="AK631" s="25">
        <v>7795</v>
      </c>
      <c r="AL631" s="25">
        <v>296300</v>
      </c>
      <c r="AM631" s="25">
        <v>48400</v>
      </c>
      <c r="AN631" s="25">
        <v>247900</v>
      </c>
      <c r="AO631" s="25">
        <v>0</v>
      </c>
      <c r="AP631" s="25">
        <f>Lookups!$B$56*0</f>
        <v>0</v>
      </c>
      <c r="AQ631" s="25">
        <f>Lookups!$B$56*1</f>
        <v>89850.625589999996</v>
      </c>
      <c r="AR631" s="25">
        <f>Lookups!$B$57*Inventory[[#This Row],[LnAcres]]</f>
        <v>-60052.604136134301</v>
      </c>
      <c r="AS631" s="25">
        <f>VLOOKUP(Inventory[[#This Row],[Qlty]],Lookups!$A$62:$E$75,2,FALSE)</f>
        <v>29814.093161000001</v>
      </c>
      <c r="AT631" s="25">
        <f>VLOOKUP(Inventory[[#This Row],[Cnd]],Lookups!$A$76:$E$84,2,FALSE)</f>
        <v>160472.20319</v>
      </c>
      <c r="AU631" s="25">
        <f>Inventory[[#This Row],[EffAge]]*Lookups!$B$85</f>
        <v>-11152.280025</v>
      </c>
      <c r="AV631" s="25">
        <f>Inventory[[#This Row],[MainFn]]*Lookups!$B$86</f>
        <v>56918.787698304004</v>
      </c>
      <c r="AW631" s="25">
        <f>Inventory[[#This Row],[UpprFn]]*Lookups!$B$87</f>
        <v>0</v>
      </c>
      <c r="AX631" s="25">
        <f>Inventory[[#This Row],[AddFn]]*Lookups!$B$88</f>
        <v>0</v>
      </c>
      <c r="AY631" s="25">
        <f>Inventory[[#This Row],[Bsmt]]*Lookups!$B$89</f>
        <v>0</v>
      </c>
      <c r="AZ631" s="25">
        <f>Inventory[[#This Row],[Fixtures]]*Lookups!$B$90</f>
        <v>34128.198946800003</v>
      </c>
      <c r="BA631" s="25">
        <f>Inventory[[#This Row],[WdDeck]]*Lookups!$B$91</f>
        <v>2663.6412220800003</v>
      </c>
      <c r="BB631" s="25">
        <f>ROUND(Inventory[[#This Row],[25Det]],-2)</f>
        <v>7800</v>
      </c>
      <c r="BC631" s="25">
        <f>ROUND(SUM(Inventory[[#This Row],[Mdl Qlty]:[Mdl WdDeck]])+Inventory[[#This Row],[Mdl Res Intercept]],-2)</f>
        <v>272800</v>
      </c>
      <c r="BD631" s="25">
        <f>ROUND(Inventory[[#This Row],[Mdl Land Intercept]]+Inventory[[#This Row],[Mdl LnAcres]],-2)</f>
        <v>29800</v>
      </c>
      <c r="BE631" s="25">
        <f>Inventory[[#This Row],[Unadj Res Value]]+Inventory[[#This Row],[Unadj Det Value]]+Inventory[[#This Row],[Unadj Land Value]]</f>
        <v>310400</v>
      </c>
      <c r="BF631" s="36">
        <f>(Inventory[[#This Row],[Unadj Total Value]]-Inventory[[#This Row],[24Final]])/Inventory[[#This Row],[24Final]]</f>
        <v>4.7586905163685453E-2</v>
      </c>
      <c r="BG631" s="25">
        <f>VLOOKUP(Inventory[[#This Row],[Nbhd]],Lookups!$Q$2:$T$4,4,FALSE)</f>
        <v>0.99970000000000003</v>
      </c>
      <c r="BH631" s="25">
        <f>VLOOKUP(Inventory[[#This Row],[Qlty]],Lookups!$O$7:$R$21,4,FALSE)</f>
        <v>1.0088999999999999</v>
      </c>
      <c r="BI631" s="25">
        <f>VLOOKUP(Inventory[[#This Row],[Cnd]],Lookups!$T$7:$W$16,4,FALSE)</f>
        <v>0.99729999999999996</v>
      </c>
      <c r="BJ631" s="25">
        <f>VLOOKUP(Inventory[[#This Row],[LivArea Range]],Lookups!$T$25:$W$37,4,FALSE)</f>
        <v>1.0157</v>
      </c>
      <c r="BK631" s="25">
        <f>VLOOKUP(Inventory[[#This Row],[Decade]],Lookups!$O$25:$R$42,4,FALSE)</f>
        <v>1.0199</v>
      </c>
      <c r="BL631" s="25">
        <f>Inventory[[#This Row],[Nbhd Adj]]*0.95</f>
        <v>0.94971499999999998</v>
      </c>
      <c r="BM631" s="25">
        <f>Inventory[[#This Row],[Nbhd Adj]]*Inventory[[#This Row],[Quality Adj]]*Inventory[[#This Row],[Condition Adj]]*Inventory[[#This Row],[Living Area Adj]]*Inventory[[#This Row],[Decade Adj]]*0.95</f>
        <v>0.98989762598047604</v>
      </c>
      <c r="BN631" s="25">
        <f>ROUND(SUM(Inventory[[#This Row],[Mdl Qlty]:[Mdl WdDeck]])+Inventory[[#This Row],[Mdl Res Intercept]]*Inventory[[#This Row],[Res Adj ]],-2)</f>
        <v>272800</v>
      </c>
      <c r="BO631" s="25">
        <f>ROUND(Inventory[[#This Row],[25Det]]*Inventory[[#This Row],[Det/Nbhd Adj]],-2)</f>
        <v>7400</v>
      </c>
      <c r="BP631" s="25">
        <f>Inventory[[#This Row],[Adjusted Res]]+Inventory[[#This Row],[Adj Det ]]</f>
        <v>280200</v>
      </c>
      <c r="BQ631" s="25">
        <f>ROUND((Inventory[[#This Row],[Mdl Land Intercept]]+Inventory[[#This Row],[Mdl LnAcres]])*Inventory[[#This Row],[Det/Nbhd Adj]],-2)</f>
        <v>28300</v>
      </c>
      <c r="BR631" s="25">
        <f>Inventory[[#This Row],[Adjusted Impr Total]]+Inventory[[#This Row],[Adjusted Land Total]]</f>
        <v>308500</v>
      </c>
      <c r="BS631" s="36">
        <f>IFERROR((Inventory[[#This Row],[Adjusted Impr Total]]-Inventory[[#This Row],[24Bldg]])/Inventory[[#This Row],[24Bldg]],0)</f>
        <v>0.13029447357805568</v>
      </c>
      <c r="BT631" s="36">
        <f>(Inventory[[#This Row],[Adjusted Land Total]]-Inventory[[#This Row],[24Lnd]])/Inventory[[#This Row],[24Lnd]]</f>
        <v>-0.41528925619834711</v>
      </c>
      <c r="BU631" s="36">
        <f>(Inventory[[#This Row],[Adjusted Total]]-Inventory[[#This Row],[24Final]])/Inventory[[#This Row],[24Final]]</f>
        <v>4.1174485318933515E-2</v>
      </c>
    </row>
    <row r="632" spans="1:73" x14ac:dyDescent="0.3">
      <c r="A632" s="25">
        <v>2025</v>
      </c>
      <c r="B632" s="26" t="s">
        <v>1433</v>
      </c>
      <c r="C632" s="26">
        <f>LN(Inventory[[#This Row],[Acres]])</f>
        <v>-1.5141277326297755</v>
      </c>
      <c r="D632" s="25">
        <v>0.22</v>
      </c>
      <c r="E632" s="25">
        <v>9372</v>
      </c>
      <c r="F632" s="26" t="s">
        <v>537</v>
      </c>
      <c r="G632" s="26" t="s">
        <v>126</v>
      </c>
      <c r="H632" s="26" t="s">
        <v>349</v>
      </c>
      <c r="I632" s="26" t="s">
        <v>538</v>
      </c>
      <c r="J632" s="26" t="s">
        <v>539</v>
      </c>
      <c r="K632" s="26" t="s">
        <v>241</v>
      </c>
      <c r="L632" s="26" t="s">
        <v>302</v>
      </c>
      <c r="M632" s="26" t="s">
        <v>303</v>
      </c>
      <c r="N632" s="26">
        <v>70</v>
      </c>
      <c r="O632" s="26">
        <f>2024-Inventory[[#This Row],[YrBlt]]</f>
        <v>69</v>
      </c>
      <c r="P632" s="26">
        <f>2024-Inventory[[#This Row],[EffYr]]</f>
        <v>50</v>
      </c>
      <c r="Q632" s="25">
        <v>1955</v>
      </c>
      <c r="R632" s="25">
        <v>1974</v>
      </c>
      <c r="S632" s="25">
        <v>1284</v>
      </c>
      <c r="T632" s="31"/>
      <c r="U632" s="25">
        <v>1284</v>
      </c>
      <c r="V632" s="25">
        <f>Inventory[[#This Row],[Bsmt]]-Inventory[[#This Row],[FnBsmt]]</f>
        <v>258</v>
      </c>
      <c r="W632" s="25">
        <v>1026</v>
      </c>
      <c r="X632" s="27"/>
      <c r="Y632" s="27">
        <f>Inventory[[#This Row],[MainFn]]+Inventory[[#This Row],[UpprFn]]+Inventory[[#This Row],[FnBsmt]]+Inventory[[#This Row],[AddFn]]</f>
        <v>2310</v>
      </c>
      <c r="Z632" s="27">
        <v>2500</v>
      </c>
      <c r="AA632" s="25">
        <v>10</v>
      </c>
      <c r="AB632" s="27"/>
      <c r="AC632" s="27"/>
      <c r="AD632" s="27"/>
      <c r="AE632" s="27"/>
      <c r="AF632" s="27"/>
      <c r="AG632" s="27"/>
      <c r="AH632" s="27"/>
      <c r="AI632" s="25">
        <v>357151</v>
      </c>
      <c r="AJ632" s="25">
        <v>257149</v>
      </c>
      <c r="AK632" s="25">
        <v>7116</v>
      </c>
      <c r="AL632" s="25">
        <v>386000</v>
      </c>
      <c r="AM632" s="25">
        <v>61700</v>
      </c>
      <c r="AN632" s="25">
        <v>324300</v>
      </c>
      <c r="AO632" s="25">
        <v>0</v>
      </c>
      <c r="AP632" s="25">
        <f>Lookups!$B$56*0</f>
        <v>0</v>
      </c>
      <c r="AQ632" s="25">
        <f>Lookups!$B$56*1</f>
        <v>89850.625589999996</v>
      </c>
      <c r="AR632" s="25">
        <f>Lookups!$B$57*Inventory[[#This Row],[LnAcres]]</f>
        <v>-47929.131559187132</v>
      </c>
      <c r="AS632" s="25">
        <f>VLOOKUP(Inventory[[#This Row],[Qlty]],Lookups!$A$62:$E$75,2,FALSE)</f>
        <v>29814.093161000001</v>
      </c>
      <c r="AT632" s="25">
        <f>VLOOKUP(Inventory[[#This Row],[Cnd]],Lookups!$A$76:$E$84,2,FALSE)</f>
        <v>197752.34721000001</v>
      </c>
      <c r="AU632" s="25">
        <f>Inventory[[#This Row],[EffAge]]*Lookups!$B$85</f>
        <v>-11152.280025</v>
      </c>
      <c r="AV632" s="25">
        <f>Inventory[[#This Row],[MainFn]]*Lookups!$B$86</f>
        <v>63440.732122068002</v>
      </c>
      <c r="AW632" s="25">
        <f>Inventory[[#This Row],[UpprFn]]*Lookups!$B$87</f>
        <v>0</v>
      </c>
      <c r="AX632" s="25">
        <f>Inventory[[#This Row],[AddFn]]*Lookups!$B$88</f>
        <v>0</v>
      </c>
      <c r="AY632" s="25">
        <f>Inventory[[#This Row],[Bsmt]]*Lookups!$B$89</f>
        <v>37341.153497148</v>
      </c>
      <c r="AZ632" s="25">
        <f>Inventory[[#This Row],[Fixtures]]*Lookups!$B$90</f>
        <v>37920.221052000001</v>
      </c>
      <c r="BA632" s="25">
        <f>Inventory[[#This Row],[WdDeck]]*Lookups!$B$91</f>
        <v>0</v>
      </c>
      <c r="BB632" s="25">
        <f>ROUND(Inventory[[#This Row],[25Det]],-2)</f>
        <v>7100</v>
      </c>
      <c r="BC632" s="25">
        <f>ROUND(SUM(Inventory[[#This Row],[Mdl Qlty]:[Mdl WdDeck]])+Inventory[[#This Row],[Mdl Res Intercept]],-2)</f>
        <v>355100</v>
      </c>
      <c r="BD632" s="25">
        <f>ROUND(Inventory[[#This Row],[Mdl Land Intercept]]+Inventory[[#This Row],[Mdl LnAcres]],-2)</f>
        <v>41900</v>
      </c>
      <c r="BE632" s="25">
        <f>Inventory[[#This Row],[Unadj Res Value]]+Inventory[[#This Row],[Unadj Det Value]]+Inventory[[#This Row],[Unadj Land Value]]</f>
        <v>404100</v>
      </c>
      <c r="BF632" s="36">
        <f>(Inventory[[#This Row],[Unadj Total Value]]-Inventory[[#This Row],[24Final]])/Inventory[[#This Row],[24Final]]</f>
        <v>4.6891191709844557E-2</v>
      </c>
      <c r="BG632" s="25">
        <f>VLOOKUP(Inventory[[#This Row],[Nbhd]],Lookups!$Q$2:$T$4,4,FALSE)</f>
        <v>0.99970000000000003</v>
      </c>
      <c r="BH632" s="25">
        <f>VLOOKUP(Inventory[[#This Row],[Qlty]],Lookups!$O$7:$R$21,4,FALSE)</f>
        <v>1.0088999999999999</v>
      </c>
      <c r="BI632" s="25">
        <f>VLOOKUP(Inventory[[#This Row],[Cnd]],Lookups!$T$7:$W$16,4,FALSE)</f>
        <v>0.99650000000000005</v>
      </c>
      <c r="BJ632" s="25">
        <f>VLOOKUP(Inventory[[#This Row],[LivArea Range]],Lookups!$T$25:$W$37,4,FALSE)</f>
        <v>0.98919999999999997</v>
      </c>
      <c r="BK632" s="25">
        <f>VLOOKUP(Inventory[[#This Row],[Decade]],Lookups!$O$25:$R$42,4,FALSE)</f>
        <v>1.0199</v>
      </c>
      <c r="BL632" s="25">
        <f>Inventory[[#This Row],[Nbhd Adj]]*0.95</f>
        <v>0.94971499999999998</v>
      </c>
      <c r="BM632" s="25">
        <f>Inventory[[#This Row],[Nbhd Adj]]*Inventory[[#This Row],[Quality Adj]]*Inventory[[#This Row],[Condition Adj]]*Inventory[[#This Row],[Living Area Adj]]*Inventory[[#This Row],[Decade Adj]]*0.95</f>
        <v>0.9632974750633615</v>
      </c>
      <c r="BN632" s="25">
        <f>ROUND(SUM(Inventory[[#This Row],[Mdl Qlty]:[Mdl WdDeck]])+Inventory[[#This Row],[Mdl Res Intercept]]*Inventory[[#This Row],[Res Adj ]],-2)</f>
        <v>355100</v>
      </c>
      <c r="BO632" s="25">
        <f>ROUND(Inventory[[#This Row],[25Det]]*Inventory[[#This Row],[Det/Nbhd Adj]],-2)</f>
        <v>6800</v>
      </c>
      <c r="BP632" s="25">
        <f>Inventory[[#This Row],[Adjusted Res]]+Inventory[[#This Row],[Adj Det ]]</f>
        <v>361900</v>
      </c>
      <c r="BQ632" s="25">
        <f>ROUND((Inventory[[#This Row],[Mdl Land Intercept]]+Inventory[[#This Row],[Mdl LnAcres]])*Inventory[[#This Row],[Det/Nbhd Adj]],-2)</f>
        <v>39800</v>
      </c>
      <c r="BR632" s="25">
        <f>Inventory[[#This Row],[Adjusted Impr Total]]+Inventory[[#This Row],[Adjusted Land Total]]</f>
        <v>401700</v>
      </c>
      <c r="BS632" s="36">
        <f>IFERROR((Inventory[[#This Row],[Adjusted Impr Total]]-Inventory[[#This Row],[24Bldg]])/Inventory[[#This Row],[24Bldg]],0)</f>
        <v>0.11594202898550725</v>
      </c>
      <c r="BT632" s="36">
        <f>(Inventory[[#This Row],[Adjusted Land Total]]-Inventory[[#This Row],[24Lnd]])/Inventory[[#This Row],[24Lnd]]</f>
        <v>-0.35494327390599678</v>
      </c>
      <c r="BU632" s="36">
        <f>(Inventory[[#This Row],[Adjusted Total]]-Inventory[[#This Row],[24Final]])/Inventory[[#This Row],[24Final]]</f>
        <v>4.0673575129533679E-2</v>
      </c>
    </row>
    <row r="633" spans="1:73" x14ac:dyDescent="0.3">
      <c r="A633" s="25">
        <v>2025</v>
      </c>
      <c r="B633" s="26" t="s">
        <v>2266</v>
      </c>
      <c r="C633" s="26">
        <f>LN(Inventory[[#This Row],[Acres]])</f>
        <v>-0.73396917508020043</v>
      </c>
      <c r="D633" s="25">
        <v>0.48</v>
      </c>
      <c r="E633" s="25">
        <v>21000</v>
      </c>
      <c r="F633" s="26" t="s">
        <v>537</v>
      </c>
      <c r="G633" s="26" t="s">
        <v>126</v>
      </c>
      <c r="H633" s="26" t="s">
        <v>349</v>
      </c>
      <c r="I633" s="26" t="s">
        <v>538</v>
      </c>
      <c r="J633" s="26" t="s">
        <v>539</v>
      </c>
      <c r="K633" s="26" t="s">
        <v>242</v>
      </c>
      <c r="L633" s="26" t="s">
        <v>148</v>
      </c>
      <c r="M633" s="26" t="s">
        <v>303</v>
      </c>
      <c r="N633" s="26">
        <v>70</v>
      </c>
      <c r="O633" s="26">
        <f>2024-Inventory[[#This Row],[YrBlt]]</f>
        <v>69</v>
      </c>
      <c r="P633" s="26">
        <f>2024-Inventory[[#This Row],[EffYr]]</f>
        <v>50</v>
      </c>
      <c r="Q633" s="25">
        <v>1955</v>
      </c>
      <c r="R633" s="25">
        <v>1974</v>
      </c>
      <c r="S633" s="25">
        <v>2521</v>
      </c>
      <c r="T633" s="27"/>
      <c r="U633" s="31"/>
      <c r="V633" s="31">
        <f>Inventory[[#This Row],[Bsmt]]-Inventory[[#This Row],[FnBsmt]]</f>
        <v>0</v>
      </c>
      <c r="W633" s="31"/>
      <c r="X633" s="27"/>
      <c r="Y633" s="27">
        <f>Inventory[[#This Row],[MainFn]]+Inventory[[#This Row],[UpprFn]]+Inventory[[#This Row],[FnBsmt]]+Inventory[[#This Row],[AddFn]]</f>
        <v>2521</v>
      </c>
      <c r="Z633" s="27">
        <v>3000</v>
      </c>
      <c r="AA633" s="25">
        <v>5</v>
      </c>
      <c r="AB633" s="27"/>
      <c r="AC633" s="27"/>
      <c r="AD633" s="27"/>
      <c r="AE633" s="27"/>
      <c r="AF633" s="27"/>
      <c r="AG633" s="27"/>
      <c r="AH633" s="27"/>
      <c r="AI633" s="25">
        <v>480521</v>
      </c>
      <c r="AJ633" s="25">
        <v>345975</v>
      </c>
      <c r="AK633" s="25">
        <v>0</v>
      </c>
      <c r="AL633" s="25">
        <v>420500</v>
      </c>
      <c r="AM633" s="25">
        <v>88900</v>
      </c>
      <c r="AN633" s="25">
        <v>331600</v>
      </c>
      <c r="AO633" s="25">
        <v>0</v>
      </c>
      <c r="AP633" s="25">
        <f>Lookups!$B$56*0</f>
        <v>0</v>
      </c>
      <c r="AQ633" s="25">
        <f>Lookups!$B$56*1</f>
        <v>89850.625589999996</v>
      </c>
      <c r="AR633" s="25">
        <f>Lookups!$B$57*Inventory[[#This Row],[LnAcres]]</f>
        <v>-23233.512202902497</v>
      </c>
      <c r="AS633" s="25">
        <f>VLOOKUP(Inventory[[#This Row],[Qlty]],Lookups!$A$62:$E$75,2,FALSE)</f>
        <v>44121.038090000002</v>
      </c>
      <c r="AT633" s="25">
        <f>VLOOKUP(Inventory[[#This Row],[Cnd]],Lookups!$A$76:$E$84,2,FALSE)</f>
        <v>197752.34721000001</v>
      </c>
      <c r="AU633" s="25">
        <f>Inventory[[#This Row],[EffAge]]*Lookups!$B$85</f>
        <v>-11152.280025</v>
      </c>
      <c r="AV633" s="25">
        <f>Inventory[[#This Row],[MainFn]]*Lookups!$B$86</f>
        <v>124559.256759917</v>
      </c>
      <c r="AW633" s="25">
        <f>Inventory[[#This Row],[UpprFn]]*Lookups!$B$87</f>
        <v>0</v>
      </c>
      <c r="AX633" s="25">
        <f>Inventory[[#This Row],[AddFn]]*Lookups!$B$88</f>
        <v>0</v>
      </c>
      <c r="AY633" s="25">
        <f>Inventory[[#This Row],[Bsmt]]*Lookups!$B$89</f>
        <v>0</v>
      </c>
      <c r="AZ633" s="25">
        <f>Inventory[[#This Row],[Fixtures]]*Lookups!$B$90</f>
        <v>18960.110526</v>
      </c>
      <c r="BA633" s="25">
        <f>Inventory[[#This Row],[WdDeck]]*Lookups!$B$91</f>
        <v>0</v>
      </c>
      <c r="BB633" s="25">
        <f>ROUND(Inventory[[#This Row],[25Det]],-2)</f>
        <v>0</v>
      </c>
      <c r="BC633" s="25">
        <f>ROUND(SUM(Inventory[[#This Row],[Mdl Qlty]:[Mdl WdDeck]])+Inventory[[#This Row],[Mdl Res Intercept]],-2)</f>
        <v>374200</v>
      </c>
      <c r="BD633" s="25">
        <f>ROUND(Inventory[[#This Row],[Mdl Land Intercept]]+Inventory[[#This Row],[Mdl LnAcres]],-2)</f>
        <v>66600</v>
      </c>
      <c r="BE633" s="25">
        <f>Inventory[[#This Row],[Unadj Res Value]]+Inventory[[#This Row],[Unadj Det Value]]+Inventory[[#This Row],[Unadj Land Value]]</f>
        <v>440800</v>
      </c>
      <c r="BF633" s="36">
        <f>(Inventory[[#This Row],[Unadj Total Value]]-Inventory[[#This Row],[24Final]])/Inventory[[#This Row],[24Final]]</f>
        <v>4.8275862068965517E-2</v>
      </c>
      <c r="BG633" s="25">
        <f>VLOOKUP(Inventory[[#This Row],[Nbhd]],Lookups!$Q$2:$T$4,4,FALSE)</f>
        <v>0.99970000000000003</v>
      </c>
      <c r="BH633" s="25">
        <f>VLOOKUP(Inventory[[#This Row],[Qlty]],Lookups!$O$7:$R$21,4,FALSE)</f>
        <v>0.98050000000000004</v>
      </c>
      <c r="BI633" s="25">
        <f>VLOOKUP(Inventory[[#This Row],[Cnd]],Lookups!$T$7:$W$16,4,FALSE)</f>
        <v>0.99650000000000005</v>
      </c>
      <c r="BJ633" s="25">
        <f>VLOOKUP(Inventory[[#This Row],[LivArea Range]],Lookups!$T$25:$W$37,4,FALSE)</f>
        <v>0.96179999999999999</v>
      </c>
      <c r="BK633" s="25">
        <f>VLOOKUP(Inventory[[#This Row],[Decade]],Lookups!$O$25:$R$42,4,FALSE)</f>
        <v>1.0199</v>
      </c>
      <c r="BL633" s="25">
        <f>Inventory[[#This Row],[Nbhd Adj]]*0.95</f>
        <v>0.94971499999999998</v>
      </c>
      <c r="BM633" s="25">
        <f>Inventory[[#This Row],[Nbhd Adj]]*Inventory[[#This Row],[Quality Adj]]*Inventory[[#This Row],[Condition Adj]]*Inventory[[#This Row],[Living Area Adj]]*Inventory[[#This Row],[Decade Adj]]*0.95</f>
        <v>0.91024973874989379</v>
      </c>
      <c r="BN633" s="25">
        <f>ROUND(SUM(Inventory[[#This Row],[Mdl Qlty]:[Mdl WdDeck]])+Inventory[[#This Row],[Mdl Res Intercept]]*Inventory[[#This Row],[Res Adj ]],-2)</f>
        <v>374200</v>
      </c>
      <c r="BO633" s="25">
        <f>ROUND(Inventory[[#This Row],[25Det]]*Inventory[[#This Row],[Det/Nbhd Adj]],-2)</f>
        <v>0</v>
      </c>
      <c r="BP633" s="25">
        <f>Inventory[[#This Row],[Adjusted Res]]+Inventory[[#This Row],[Adj Det ]]</f>
        <v>374200</v>
      </c>
      <c r="BQ633" s="25">
        <f>ROUND((Inventory[[#This Row],[Mdl Land Intercept]]+Inventory[[#This Row],[Mdl LnAcres]])*Inventory[[#This Row],[Det/Nbhd Adj]],-2)</f>
        <v>63300</v>
      </c>
      <c r="BR633" s="25">
        <f>Inventory[[#This Row],[Adjusted Impr Total]]+Inventory[[#This Row],[Adjusted Land Total]]</f>
        <v>437500</v>
      </c>
      <c r="BS633" s="36">
        <f>IFERROR((Inventory[[#This Row],[Adjusted Impr Total]]-Inventory[[#This Row],[24Bldg]])/Inventory[[#This Row],[24Bldg]],0)</f>
        <v>0.12846803377563329</v>
      </c>
      <c r="BT633" s="36">
        <f>(Inventory[[#This Row],[Adjusted Land Total]]-Inventory[[#This Row],[24Lnd]])/Inventory[[#This Row],[24Lnd]]</f>
        <v>-0.2879640044994376</v>
      </c>
      <c r="BU633" s="36">
        <f>(Inventory[[#This Row],[Adjusted Total]]-Inventory[[#This Row],[24Final]])/Inventory[[#This Row],[24Final]]</f>
        <v>4.042806183115339E-2</v>
      </c>
    </row>
    <row r="634" spans="1:73" x14ac:dyDescent="0.3">
      <c r="A634" s="25">
        <v>2025</v>
      </c>
      <c r="B634" s="26" t="s">
        <v>1380</v>
      </c>
      <c r="C634" s="26">
        <f>LN(Inventory[[#This Row],[Acres]])</f>
        <v>-1.1711829815029451</v>
      </c>
      <c r="D634" s="25">
        <v>0.31</v>
      </c>
      <c r="E634" s="25">
        <v>13650</v>
      </c>
      <c r="F634" s="26" t="s">
        <v>537</v>
      </c>
      <c r="G634" s="26" t="s">
        <v>126</v>
      </c>
      <c r="H634" s="26" t="s">
        <v>349</v>
      </c>
      <c r="I634" s="26" t="s">
        <v>538</v>
      </c>
      <c r="J634" s="26" t="s">
        <v>539</v>
      </c>
      <c r="K634" s="26" t="s">
        <v>300</v>
      </c>
      <c r="L634" s="26" t="s">
        <v>148</v>
      </c>
      <c r="M634" s="26" t="s">
        <v>303</v>
      </c>
      <c r="N634" s="26">
        <v>70</v>
      </c>
      <c r="O634" s="26">
        <f>2024-Inventory[[#This Row],[YrBlt]]</f>
        <v>69</v>
      </c>
      <c r="P634" s="26">
        <f>2024-Inventory[[#This Row],[EffYr]]</f>
        <v>50</v>
      </c>
      <c r="Q634" s="25">
        <v>1955</v>
      </c>
      <c r="R634" s="25">
        <v>1974</v>
      </c>
      <c r="S634" s="25">
        <v>2456</v>
      </c>
      <c r="T634" s="31"/>
      <c r="U634" s="25">
        <v>724</v>
      </c>
      <c r="V634" s="25">
        <f>Inventory[[#This Row],[Bsmt]]-Inventory[[#This Row],[FnBsmt]]</f>
        <v>224</v>
      </c>
      <c r="W634" s="25">
        <v>500</v>
      </c>
      <c r="X634" s="27"/>
      <c r="Y634" s="27">
        <f>Inventory[[#This Row],[MainFn]]+Inventory[[#This Row],[UpprFn]]+Inventory[[#This Row],[FnBsmt]]+Inventory[[#This Row],[AddFn]]</f>
        <v>2956</v>
      </c>
      <c r="Z634" s="27">
        <v>3000</v>
      </c>
      <c r="AA634" s="25">
        <v>12</v>
      </c>
      <c r="AB634" s="32">
        <v>600</v>
      </c>
      <c r="AC634" s="27"/>
      <c r="AD634" s="27"/>
      <c r="AE634" s="27"/>
      <c r="AF634" s="27"/>
      <c r="AG634" s="27"/>
      <c r="AH634" s="27"/>
      <c r="AI634" s="25">
        <v>648741</v>
      </c>
      <c r="AJ634" s="25">
        <v>467094</v>
      </c>
      <c r="AK634" s="25">
        <v>17444</v>
      </c>
      <c r="AL634" s="25">
        <v>466800</v>
      </c>
      <c r="AM634" s="25">
        <v>73700</v>
      </c>
      <c r="AN634" s="25">
        <v>393100</v>
      </c>
      <c r="AO634" s="25">
        <v>0</v>
      </c>
      <c r="AP634" s="25">
        <f>Lookups!$B$56*0</f>
        <v>0</v>
      </c>
      <c r="AQ634" s="25">
        <f>Lookups!$B$56*1</f>
        <v>89850.625589999996</v>
      </c>
      <c r="AR634" s="25">
        <f>Lookups!$B$57*Inventory[[#This Row],[LnAcres]]</f>
        <v>-37073.347241874442</v>
      </c>
      <c r="AS634" s="25">
        <f>VLOOKUP(Inventory[[#This Row],[Qlty]],Lookups!$A$62:$E$75,2,FALSE)</f>
        <v>44121.038090000002</v>
      </c>
      <c r="AT634" s="25">
        <f>VLOOKUP(Inventory[[#This Row],[Cnd]],Lookups!$A$76:$E$84,2,FALSE)</f>
        <v>197752.34721000001</v>
      </c>
      <c r="AU634" s="25">
        <f>Inventory[[#This Row],[EffAge]]*Lookups!$B$85</f>
        <v>-11152.280025</v>
      </c>
      <c r="AV634" s="25">
        <f>Inventory[[#This Row],[MainFn]]*Lookups!$B$86</f>
        <v>121347.693217912</v>
      </c>
      <c r="AW634" s="25">
        <f>Inventory[[#This Row],[UpprFn]]*Lookups!$B$87</f>
        <v>0</v>
      </c>
      <c r="AX634" s="25">
        <f>Inventory[[#This Row],[AddFn]]*Lookups!$B$88</f>
        <v>0</v>
      </c>
      <c r="AY634" s="25">
        <f>Inventory[[#This Row],[Bsmt]]*Lookups!$B$89</f>
        <v>21055.292158828001</v>
      </c>
      <c r="AZ634" s="25">
        <f>Inventory[[#This Row],[Fixtures]]*Lookups!$B$90</f>
        <v>45504.265262400004</v>
      </c>
      <c r="BA634" s="25">
        <f>Inventory[[#This Row],[WdDeck]]*Lookups!$B$91</f>
        <v>0</v>
      </c>
      <c r="BB634" s="25">
        <f>ROUND(Inventory[[#This Row],[25Det]],-2)</f>
        <v>17400</v>
      </c>
      <c r="BC634" s="25">
        <f>ROUND(SUM(Inventory[[#This Row],[Mdl Qlty]:[Mdl WdDeck]])+Inventory[[#This Row],[Mdl Res Intercept]],-2)</f>
        <v>418600</v>
      </c>
      <c r="BD634" s="25">
        <f>ROUND(Inventory[[#This Row],[Mdl Land Intercept]]+Inventory[[#This Row],[Mdl LnAcres]],-2)</f>
        <v>52800</v>
      </c>
      <c r="BE634" s="25">
        <f>Inventory[[#This Row],[Unadj Res Value]]+Inventory[[#This Row],[Unadj Det Value]]+Inventory[[#This Row],[Unadj Land Value]]</f>
        <v>488800</v>
      </c>
      <c r="BF634" s="36">
        <f>(Inventory[[#This Row],[Unadj Total Value]]-Inventory[[#This Row],[24Final]])/Inventory[[#This Row],[24Final]]</f>
        <v>4.7129391602399318E-2</v>
      </c>
      <c r="BG634" s="25">
        <f>VLOOKUP(Inventory[[#This Row],[Nbhd]],Lookups!$Q$2:$T$4,4,FALSE)</f>
        <v>0.99970000000000003</v>
      </c>
      <c r="BH634" s="25">
        <f>VLOOKUP(Inventory[[#This Row],[Qlty]],Lookups!$O$7:$R$21,4,FALSE)</f>
        <v>0.98050000000000004</v>
      </c>
      <c r="BI634" s="25">
        <f>VLOOKUP(Inventory[[#This Row],[Cnd]],Lookups!$T$7:$W$16,4,FALSE)</f>
        <v>0.99650000000000005</v>
      </c>
      <c r="BJ634" s="25">
        <f>VLOOKUP(Inventory[[#This Row],[LivArea Range]],Lookups!$T$25:$W$37,4,FALSE)</f>
        <v>0.96179999999999999</v>
      </c>
      <c r="BK634" s="25">
        <f>VLOOKUP(Inventory[[#This Row],[Decade]],Lookups!$O$25:$R$42,4,FALSE)</f>
        <v>1.0199</v>
      </c>
      <c r="BL634" s="25">
        <f>Inventory[[#This Row],[Nbhd Adj]]*0.95</f>
        <v>0.94971499999999998</v>
      </c>
      <c r="BM634" s="25">
        <f>Inventory[[#This Row],[Nbhd Adj]]*Inventory[[#This Row],[Quality Adj]]*Inventory[[#This Row],[Condition Adj]]*Inventory[[#This Row],[Living Area Adj]]*Inventory[[#This Row],[Decade Adj]]*0.95</f>
        <v>0.91024973874989379</v>
      </c>
      <c r="BN634" s="25">
        <f>ROUND(SUM(Inventory[[#This Row],[Mdl Qlty]:[Mdl WdDeck]])+Inventory[[#This Row],[Mdl Res Intercept]]*Inventory[[#This Row],[Res Adj ]],-2)</f>
        <v>418600</v>
      </c>
      <c r="BO634" s="25">
        <f>ROUND(Inventory[[#This Row],[25Det]]*Inventory[[#This Row],[Det/Nbhd Adj]],-2)</f>
        <v>16600</v>
      </c>
      <c r="BP634" s="25">
        <f>Inventory[[#This Row],[Adjusted Res]]+Inventory[[#This Row],[Adj Det ]]</f>
        <v>435200</v>
      </c>
      <c r="BQ634" s="25">
        <f>ROUND((Inventory[[#This Row],[Mdl Land Intercept]]+Inventory[[#This Row],[Mdl LnAcres]])*Inventory[[#This Row],[Det/Nbhd Adj]],-2)</f>
        <v>50100</v>
      </c>
      <c r="BR634" s="25">
        <f>Inventory[[#This Row],[Adjusted Impr Total]]+Inventory[[#This Row],[Adjusted Land Total]]</f>
        <v>485300</v>
      </c>
      <c r="BS634" s="36">
        <f>IFERROR((Inventory[[#This Row],[Adjusted Impr Total]]-Inventory[[#This Row],[24Bldg]])/Inventory[[#This Row],[24Bldg]],0)</f>
        <v>0.10709743067921648</v>
      </c>
      <c r="BT634" s="36">
        <f>(Inventory[[#This Row],[Adjusted Land Total]]-Inventory[[#This Row],[24Lnd]])/Inventory[[#This Row],[24Lnd]]</f>
        <v>-0.32021709633649931</v>
      </c>
      <c r="BU634" s="36">
        <f>(Inventory[[#This Row],[Adjusted Total]]-Inventory[[#This Row],[24Final]])/Inventory[[#This Row],[24Final]]</f>
        <v>3.9631533847472152E-2</v>
      </c>
    </row>
    <row r="635" spans="1:73" x14ac:dyDescent="0.3">
      <c r="A635" s="25">
        <v>2025</v>
      </c>
      <c r="B635" s="26" t="s">
        <v>2084</v>
      </c>
      <c r="C635" s="26">
        <f>LN(Inventory[[#This Row],[Acres]])</f>
        <v>-1.3470736479666092</v>
      </c>
      <c r="D635" s="25">
        <v>0.26</v>
      </c>
      <c r="E635" s="25">
        <v>11519</v>
      </c>
      <c r="F635" s="26" t="s">
        <v>537</v>
      </c>
      <c r="G635" s="26" t="s">
        <v>126</v>
      </c>
      <c r="H635" s="26" t="s">
        <v>349</v>
      </c>
      <c r="I635" s="26" t="s">
        <v>538</v>
      </c>
      <c r="J635" s="26" t="s">
        <v>539</v>
      </c>
      <c r="K635" s="26" t="s">
        <v>5</v>
      </c>
      <c r="L635" s="26" t="s">
        <v>302</v>
      </c>
      <c r="M635" s="26" t="s">
        <v>303</v>
      </c>
      <c r="N635" s="26">
        <v>70</v>
      </c>
      <c r="O635" s="26">
        <f>2024-Inventory[[#This Row],[YrBlt]]</f>
        <v>69</v>
      </c>
      <c r="P635" s="26">
        <f>2024-Inventory[[#This Row],[EffYr]]</f>
        <v>50</v>
      </c>
      <c r="Q635" s="25">
        <v>1955</v>
      </c>
      <c r="R635" s="25">
        <v>1974</v>
      </c>
      <c r="S635" s="25">
        <v>1100</v>
      </c>
      <c r="T635" s="31"/>
      <c r="U635" s="25">
        <v>1100</v>
      </c>
      <c r="V635" s="25">
        <f>Inventory[[#This Row],[Bsmt]]-Inventory[[#This Row],[FnBsmt]]</f>
        <v>0</v>
      </c>
      <c r="W635" s="25">
        <v>1100</v>
      </c>
      <c r="X635" s="27"/>
      <c r="Y635" s="27">
        <f>Inventory[[#This Row],[MainFn]]+Inventory[[#This Row],[UpprFn]]+Inventory[[#This Row],[FnBsmt]]+Inventory[[#This Row],[AddFn]]</f>
        <v>2200</v>
      </c>
      <c r="Z635" s="27">
        <v>2500</v>
      </c>
      <c r="AA635" s="25">
        <v>10</v>
      </c>
      <c r="AB635" s="27"/>
      <c r="AC635" s="27"/>
      <c r="AD635" s="27"/>
      <c r="AE635" s="27"/>
      <c r="AF635" s="27"/>
      <c r="AG635" s="27"/>
      <c r="AH635" s="27"/>
      <c r="AI635" s="25">
        <v>357529</v>
      </c>
      <c r="AJ635" s="25">
        <v>257421</v>
      </c>
      <c r="AK635" s="25">
        <v>0</v>
      </c>
      <c r="AL635" s="25">
        <v>371100</v>
      </c>
      <c r="AM635" s="25">
        <v>67600</v>
      </c>
      <c r="AN635" s="25">
        <v>303500</v>
      </c>
      <c r="AO635" s="25">
        <v>0</v>
      </c>
      <c r="AP635" s="25">
        <f>Lookups!$B$56*0</f>
        <v>0</v>
      </c>
      <c r="AQ635" s="25">
        <f>Lookups!$B$56*1</f>
        <v>89850.625589999996</v>
      </c>
      <c r="AR635" s="25">
        <f>Lookups!$B$57*Inventory[[#This Row],[LnAcres]]</f>
        <v>-42641.098701210125</v>
      </c>
      <c r="AS635" s="25">
        <f>VLOOKUP(Inventory[[#This Row],[Qlty]],Lookups!$A$62:$E$75,2,FALSE)</f>
        <v>29814.093161000001</v>
      </c>
      <c r="AT635" s="25">
        <f>VLOOKUP(Inventory[[#This Row],[Cnd]],Lookups!$A$76:$E$84,2,FALSE)</f>
        <v>197752.34721000001</v>
      </c>
      <c r="AU635" s="25">
        <f>Inventory[[#This Row],[EffAge]]*Lookups!$B$85</f>
        <v>-11152.280025</v>
      </c>
      <c r="AV635" s="25">
        <f>Inventory[[#This Row],[MainFn]]*Lookups!$B$86</f>
        <v>54349.5368647</v>
      </c>
      <c r="AW635" s="25">
        <f>Inventory[[#This Row],[UpprFn]]*Lookups!$B$87</f>
        <v>0</v>
      </c>
      <c r="AX635" s="25">
        <f>Inventory[[#This Row],[AddFn]]*Lookups!$B$88</f>
        <v>0</v>
      </c>
      <c r="AY635" s="25">
        <f>Inventory[[#This Row],[Bsmt]]*Lookups!$B$89</f>
        <v>31990.0847717</v>
      </c>
      <c r="AZ635" s="25">
        <f>Inventory[[#This Row],[Fixtures]]*Lookups!$B$90</f>
        <v>37920.221052000001</v>
      </c>
      <c r="BA635" s="25">
        <f>Inventory[[#This Row],[WdDeck]]*Lookups!$B$91</f>
        <v>0</v>
      </c>
      <c r="BB635" s="25">
        <f>ROUND(Inventory[[#This Row],[25Det]],-2)</f>
        <v>0</v>
      </c>
      <c r="BC635" s="25">
        <f>ROUND(SUM(Inventory[[#This Row],[Mdl Qlty]:[Mdl WdDeck]])+Inventory[[#This Row],[Mdl Res Intercept]],-2)</f>
        <v>340700</v>
      </c>
      <c r="BD635" s="25">
        <f>ROUND(Inventory[[#This Row],[Mdl Land Intercept]]+Inventory[[#This Row],[Mdl LnAcres]],-2)</f>
        <v>47200</v>
      </c>
      <c r="BE635" s="25">
        <f>Inventory[[#This Row],[Unadj Res Value]]+Inventory[[#This Row],[Unadj Det Value]]+Inventory[[#This Row],[Unadj Land Value]]</f>
        <v>387900</v>
      </c>
      <c r="BF635" s="36">
        <f>(Inventory[[#This Row],[Unadj Total Value]]-Inventory[[#This Row],[24Final]])/Inventory[[#This Row],[24Final]]</f>
        <v>4.5270816491511719E-2</v>
      </c>
      <c r="BG635" s="25">
        <f>VLOOKUP(Inventory[[#This Row],[Nbhd]],Lookups!$Q$2:$T$4,4,FALSE)</f>
        <v>0.99970000000000003</v>
      </c>
      <c r="BH635" s="25">
        <f>VLOOKUP(Inventory[[#This Row],[Qlty]],Lookups!$O$7:$R$21,4,FALSE)</f>
        <v>1.0088999999999999</v>
      </c>
      <c r="BI635" s="25">
        <f>VLOOKUP(Inventory[[#This Row],[Cnd]],Lookups!$T$7:$W$16,4,FALSE)</f>
        <v>0.99650000000000005</v>
      </c>
      <c r="BJ635" s="25">
        <f>VLOOKUP(Inventory[[#This Row],[LivArea Range]],Lookups!$T$25:$W$37,4,FALSE)</f>
        <v>0.98919999999999997</v>
      </c>
      <c r="BK635" s="25">
        <f>VLOOKUP(Inventory[[#This Row],[Decade]],Lookups!$O$25:$R$42,4,FALSE)</f>
        <v>1.0199</v>
      </c>
      <c r="BL635" s="25">
        <f>Inventory[[#This Row],[Nbhd Adj]]*0.95</f>
        <v>0.94971499999999998</v>
      </c>
      <c r="BM635" s="25">
        <f>Inventory[[#This Row],[Nbhd Adj]]*Inventory[[#This Row],[Quality Adj]]*Inventory[[#This Row],[Condition Adj]]*Inventory[[#This Row],[Living Area Adj]]*Inventory[[#This Row],[Decade Adj]]*0.95</f>
        <v>0.9632974750633615</v>
      </c>
      <c r="BN635" s="25">
        <f>ROUND(SUM(Inventory[[#This Row],[Mdl Qlty]:[Mdl WdDeck]])+Inventory[[#This Row],[Mdl Res Intercept]]*Inventory[[#This Row],[Res Adj ]],-2)</f>
        <v>340700</v>
      </c>
      <c r="BO635" s="25">
        <f>ROUND(Inventory[[#This Row],[25Det]]*Inventory[[#This Row],[Det/Nbhd Adj]],-2)</f>
        <v>0</v>
      </c>
      <c r="BP635" s="25">
        <f>Inventory[[#This Row],[Adjusted Res]]+Inventory[[#This Row],[Adj Det ]]</f>
        <v>340700</v>
      </c>
      <c r="BQ635" s="25">
        <f>ROUND((Inventory[[#This Row],[Mdl Land Intercept]]+Inventory[[#This Row],[Mdl LnAcres]])*Inventory[[#This Row],[Det/Nbhd Adj]],-2)</f>
        <v>44800</v>
      </c>
      <c r="BR635" s="25">
        <f>Inventory[[#This Row],[Adjusted Impr Total]]+Inventory[[#This Row],[Adjusted Land Total]]</f>
        <v>385500</v>
      </c>
      <c r="BS635" s="36">
        <f>IFERROR((Inventory[[#This Row],[Adjusted Impr Total]]-Inventory[[#This Row],[24Bldg]])/Inventory[[#This Row],[24Bldg]],0)</f>
        <v>0.12257001647446458</v>
      </c>
      <c r="BT635" s="36">
        <f>(Inventory[[#This Row],[Adjusted Land Total]]-Inventory[[#This Row],[24Lnd]])/Inventory[[#This Row],[24Lnd]]</f>
        <v>-0.33727810650887574</v>
      </c>
      <c r="BU635" s="36">
        <f>(Inventory[[#This Row],[Adjusted Total]]-Inventory[[#This Row],[24Final]])/Inventory[[#This Row],[24Final]]</f>
        <v>3.8803556992724336E-2</v>
      </c>
    </row>
    <row r="636" spans="1:73" x14ac:dyDescent="0.3">
      <c r="A636" s="25">
        <v>2025</v>
      </c>
      <c r="B636" s="26" t="s">
        <v>858</v>
      </c>
      <c r="C636" s="26">
        <f>LN(Inventory[[#This Row],[Acres]])</f>
        <v>-1.8971199848858813</v>
      </c>
      <c r="D636" s="25">
        <v>0.15</v>
      </c>
      <c r="E636" s="25">
        <v>6613</v>
      </c>
      <c r="F636" s="26" t="s">
        <v>537</v>
      </c>
      <c r="G636" s="26" t="s">
        <v>126</v>
      </c>
      <c r="H636" s="26" t="s">
        <v>349</v>
      </c>
      <c r="I636" s="26" t="s">
        <v>538</v>
      </c>
      <c r="J636" s="26" t="s">
        <v>638</v>
      </c>
      <c r="K636" s="26" t="s">
        <v>241</v>
      </c>
      <c r="L636" s="26" t="s">
        <v>351</v>
      </c>
      <c r="M636" s="26" t="s">
        <v>323</v>
      </c>
      <c r="N636" s="26">
        <v>70</v>
      </c>
      <c r="O636" s="26">
        <f>2024-Inventory[[#This Row],[YrBlt]]</f>
        <v>69</v>
      </c>
      <c r="P636" s="26">
        <f>2024-Inventory[[#This Row],[EffYr]]</f>
        <v>50</v>
      </c>
      <c r="Q636" s="25">
        <v>1955</v>
      </c>
      <c r="R636" s="25">
        <v>1974</v>
      </c>
      <c r="S636" s="25">
        <v>1467</v>
      </c>
      <c r="T636" s="31"/>
      <c r="U636" s="31"/>
      <c r="V636" s="31">
        <f>Inventory[[#This Row],[Bsmt]]-Inventory[[#This Row],[FnBsmt]]</f>
        <v>0</v>
      </c>
      <c r="W636" s="31"/>
      <c r="X636" s="27"/>
      <c r="Y636" s="27">
        <f>Inventory[[#This Row],[MainFn]]+Inventory[[#This Row],[UpprFn]]+Inventory[[#This Row],[FnBsmt]]+Inventory[[#This Row],[AddFn]]</f>
        <v>1467</v>
      </c>
      <c r="Z636" s="27">
        <v>1500</v>
      </c>
      <c r="AA636" s="25">
        <v>7</v>
      </c>
      <c r="AB636" s="32">
        <v>336</v>
      </c>
      <c r="AC636" s="27"/>
      <c r="AD636" s="27"/>
      <c r="AE636" s="27"/>
      <c r="AF636" s="27"/>
      <c r="AG636" s="27"/>
      <c r="AH636" s="27"/>
      <c r="AI636" s="25">
        <v>249803</v>
      </c>
      <c r="AJ636" s="25">
        <v>174862</v>
      </c>
      <c r="AK636" s="25">
        <v>0</v>
      </c>
      <c r="AL636" s="25">
        <v>287100</v>
      </c>
      <c r="AM636" s="25">
        <v>48400</v>
      </c>
      <c r="AN636" s="25">
        <v>238700</v>
      </c>
      <c r="AO636" s="25">
        <v>0</v>
      </c>
      <c r="AP636" s="25">
        <f>Lookups!$B$56*0</f>
        <v>0</v>
      </c>
      <c r="AQ636" s="25">
        <f>Lookups!$B$56*1</f>
        <v>89850.625589999996</v>
      </c>
      <c r="AR636" s="25">
        <f>Lookups!$B$57*Inventory[[#This Row],[LnAcres]]</f>
        <v>-60052.604136134301</v>
      </c>
      <c r="AS636" s="25">
        <f>VLOOKUP(Inventory[[#This Row],[Qlty]],Lookups!$A$62:$E$75,2,FALSE)</f>
        <v>21557.329055999999</v>
      </c>
      <c r="AT636" s="25">
        <f>VLOOKUP(Inventory[[#This Row],[Cnd]],Lookups!$A$76:$E$84,2,FALSE)</f>
        <v>160472.20319</v>
      </c>
      <c r="AU636" s="25">
        <f>Inventory[[#This Row],[EffAge]]*Lookups!$B$85</f>
        <v>-11152.280025</v>
      </c>
      <c r="AV636" s="25">
        <f>Inventory[[#This Row],[MainFn]]*Lookups!$B$86</f>
        <v>72482.518709559008</v>
      </c>
      <c r="AW636" s="25">
        <f>Inventory[[#This Row],[UpprFn]]*Lookups!$B$87</f>
        <v>0</v>
      </c>
      <c r="AX636" s="25">
        <f>Inventory[[#This Row],[AddFn]]*Lookups!$B$88</f>
        <v>0</v>
      </c>
      <c r="AY636" s="25">
        <f>Inventory[[#This Row],[Bsmt]]*Lookups!$B$89</f>
        <v>0</v>
      </c>
      <c r="AZ636" s="25">
        <f>Inventory[[#This Row],[Fixtures]]*Lookups!$B$90</f>
        <v>26544.1547364</v>
      </c>
      <c r="BA636" s="25">
        <f>Inventory[[#This Row],[WdDeck]]*Lookups!$B$91</f>
        <v>0</v>
      </c>
      <c r="BB636" s="25">
        <f>ROUND(Inventory[[#This Row],[25Det]],-2)</f>
        <v>0</v>
      </c>
      <c r="BC636" s="25">
        <f>ROUND(SUM(Inventory[[#This Row],[Mdl Qlty]:[Mdl WdDeck]])+Inventory[[#This Row],[Mdl Res Intercept]],-2)</f>
        <v>269900</v>
      </c>
      <c r="BD636" s="25">
        <f>ROUND(Inventory[[#This Row],[Mdl Land Intercept]]+Inventory[[#This Row],[Mdl LnAcres]],-2)</f>
        <v>29800</v>
      </c>
      <c r="BE636" s="25">
        <f>Inventory[[#This Row],[Unadj Res Value]]+Inventory[[#This Row],[Unadj Det Value]]+Inventory[[#This Row],[Unadj Land Value]]</f>
        <v>299700</v>
      </c>
      <c r="BF636" s="36">
        <f>(Inventory[[#This Row],[Unadj Total Value]]-Inventory[[#This Row],[24Final]])/Inventory[[#This Row],[24Final]]</f>
        <v>4.3887147335423198E-2</v>
      </c>
      <c r="BG636" s="25">
        <f>VLOOKUP(Inventory[[#This Row],[Nbhd]],Lookups!$Q$2:$T$4,4,FALSE)</f>
        <v>0.99970000000000003</v>
      </c>
      <c r="BH636" s="25">
        <f>VLOOKUP(Inventory[[#This Row],[Qlty]],Lookups!$O$7:$R$21,4,FALSE)</f>
        <v>1.0067999999999999</v>
      </c>
      <c r="BI636" s="25">
        <f>VLOOKUP(Inventory[[#This Row],[Cnd]],Lookups!$T$7:$W$16,4,FALSE)</f>
        <v>0.99729999999999996</v>
      </c>
      <c r="BJ636" s="25">
        <f>VLOOKUP(Inventory[[#This Row],[LivArea Range]],Lookups!$T$25:$W$37,4,FALSE)</f>
        <v>1.0157</v>
      </c>
      <c r="BK636" s="25">
        <f>VLOOKUP(Inventory[[#This Row],[Decade]],Lookups!$O$25:$R$42,4,FALSE)</f>
        <v>1.0199</v>
      </c>
      <c r="BL636" s="25">
        <f>Inventory[[#This Row],[Nbhd Adj]]*0.95</f>
        <v>0.94971499999999998</v>
      </c>
      <c r="BM636" s="25">
        <f>Inventory[[#This Row],[Nbhd Adj]]*Inventory[[#This Row],[Quality Adj]]*Inventory[[#This Row],[Condition Adj]]*Inventory[[#This Row],[Living Area Adj]]*Inventory[[#This Row],[Decade Adj]]*0.95</f>
        <v>0.98783717894453682</v>
      </c>
      <c r="BN636" s="25">
        <f>ROUND(SUM(Inventory[[#This Row],[Mdl Qlty]:[Mdl WdDeck]])+Inventory[[#This Row],[Mdl Res Intercept]]*Inventory[[#This Row],[Res Adj ]],-2)</f>
        <v>269900</v>
      </c>
      <c r="BO636" s="25">
        <f>ROUND(Inventory[[#This Row],[25Det]]*Inventory[[#This Row],[Det/Nbhd Adj]],-2)</f>
        <v>0</v>
      </c>
      <c r="BP636" s="25">
        <f>Inventory[[#This Row],[Adjusted Res]]+Inventory[[#This Row],[Adj Det ]]</f>
        <v>269900</v>
      </c>
      <c r="BQ636" s="25">
        <f>ROUND((Inventory[[#This Row],[Mdl Land Intercept]]+Inventory[[#This Row],[Mdl LnAcres]])*Inventory[[#This Row],[Det/Nbhd Adj]],-2)</f>
        <v>28300</v>
      </c>
      <c r="BR636" s="25">
        <f>Inventory[[#This Row],[Adjusted Impr Total]]+Inventory[[#This Row],[Adjusted Land Total]]</f>
        <v>298200</v>
      </c>
      <c r="BS636" s="36">
        <f>IFERROR((Inventory[[#This Row],[Adjusted Impr Total]]-Inventory[[#This Row],[24Bldg]])/Inventory[[#This Row],[24Bldg]],0)</f>
        <v>0.13070800167574362</v>
      </c>
      <c r="BT636" s="36">
        <f>(Inventory[[#This Row],[Adjusted Land Total]]-Inventory[[#This Row],[24Lnd]])/Inventory[[#This Row],[24Lnd]]</f>
        <v>-0.41528925619834711</v>
      </c>
      <c r="BU636" s="36">
        <f>(Inventory[[#This Row],[Adjusted Total]]-Inventory[[#This Row],[24Final]])/Inventory[[#This Row],[24Final]]</f>
        <v>3.8662486938349006E-2</v>
      </c>
    </row>
    <row r="637" spans="1:73" x14ac:dyDescent="0.3">
      <c r="A637" s="25">
        <v>2025</v>
      </c>
      <c r="B637" s="26" t="s">
        <v>1466</v>
      </c>
      <c r="C637" s="26">
        <f>LN(Inventory[[#This Row],[Acres]])</f>
        <v>-1.3862943611198906</v>
      </c>
      <c r="D637" s="25">
        <v>0.25</v>
      </c>
      <c r="E637" s="25">
        <v>10902</v>
      </c>
      <c r="F637" s="26" t="s">
        <v>537</v>
      </c>
      <c r="G637" s="26" t="s">
        <v>126</v>
      </c>
      <c r="H637" s="26" t="s">
        <v>349</v>
      </c>
      <c r="I637" s="26" t="s">
        <v>538</v>
      </c>
      <c r="J637" s="26" t="s">
        <v>539</v>
      </c>
      <c r="K637" s="26" t="s">
        <v>241</v>
      </c>
      <c r="L637" s="26" t="s">
        <v>351</v>
      </c>
      <c r="M637" s="26" t="s">
        <v>323</v>
      </c>
      <c r="N637" s="26">
        <v>70</v>
      </c>
      <c r="O637" s="26">
        <f>2024-Inventory[[#This Row],[YrBlt]]</f>
        <v>69</v>
      </c>
      <c r="P637" s="26">
        <f>2024-Inventory[[#This Row],[EffYr]]</f>
        <v>50</v>
      </c>
      <c r="Q637" s="25">
        <v>1955</v>
      </c>
      <c r="R637" s="25">
        <v>1974</v>
      </c>
      <c r="S637" s="25">
        <v>1271</v>
      </c>
      <c r="T637" s="31"/>
      <c r="U637" s="31"/>
      <c r="V637" s="31">
        <f>Inventory[[#This Row],[Bsmt]]-Inventory[[#This Row],[FnBsmt]]</f>
        <v>0</v>
      </c>
      <c r="W637" s="31"/>
      <c r="X637" s="27"/>
      <c r="Y637" s="27">
        <f>Inventory[[#This Row],[MainFn]]+Inventory[[#This Row],[UpprFn]]+Inventory[[#This Row],[FnBsmt]]+Inventory[[#This Row],[AddFn]]</f>
        <v>1271</v>
      </c>
      <c r="Z637" s="27">
        <v>1500</v>
      </c>
      <c r="AA637" s="25">
        <v>5</v>
      </c>
      <c r="AB637" s="31"/>
      <c r="AC637" s="27"/>
      <c r="AD637" s="27"/>
      <c r="AE637" s="27"/>
      <c r="AF637" s="27"/>
      <c r="AG637" s="27"/>
      <c r="AH637" s="27"/>
      <c r="AI637" s="25">
        <v>231108</v>
      </c>
      <c r="AJ637" s="25">
        <v>161776</v>
      </c>
      <c r="AK637" s="25">
        <v>15295</v>
      </c>
      <c r="AL637" s="25">
        <v>299300</v>
      </c>
      <c r="AM637" s="25">
        <v>66200</v>
      </c>
      <c r="AN637" s="25">
        <v>233100</v>
      </c>
      <c r="AO637" s="25">
        <v>0</v>
      </c>
      <c r="AP637" s="25">
        <f>Lookups!$B$56*0</f>
        <v>0</v>
      </c>
      <c r="AQ637" s="25">
        <f>Lookups!$B$56*1</f>
        <v>89850.625589999996</v>
      </c>
      <c r="AR637" s="25">
        <f>Lookups!$B$57*Inventory[[#This Row],[LnAcres]]</f>
        <v>-43882.615305165229</v>
      </c>
      <c r="AS637" s="25">
        <f>VLOOKUP(Inventory[[#This Row],[Qlty]],Lookups!$A$62:$E$75,2,FALSE)</f>
        <v>21557.329055999999</v>
      </c>
      <c r="AT637" s="25">
        <f>VLOOKUP(Inventory[[#This Row],[Cnd]],Lookups!$A$76:$E$84,2,FALSE)</f>
        <v>160472.20319</v>
      </c>
      <c r="AU637" s="25">
        <f>Inventory[[#This Row],[EffAge]]*Lookups!$B$85</f>
        <v>-11152.280025</v>
      </c>
      <c r="AV637" s="25">
        <f>Inventory[[#This Row],[MainFn]]*Lookups!$B$86</f>
        <v>62798.419413667005</v>
      </c>
      <c r="AW637" s="25">
        <f>Inventory[[#This Row],[UpprFn]]*Lookups!$B$87</f>
        <v>0</v>
      </c>
      <c r="AX637" s="25">
        <f>Inventory[[#This Row],[AddFn]]*Lookups!$B$88</f>
        <v>0</v>
      </c>
      <c r="AY637" s="25">
        <f>Inventory[[#This Row],[Bsmt]]*Lookups!$B$89</f>
        <v>0</v>
      </c>
      <c r="AZ637" s="25">
        <f>Inventory[[#This Row],[Fixtures]]*Lookups!$B$90</f>
        <v>18960.110526</v>
      </c>
      <c r="BA637" s="25">
        <f>Inventory[[#This Row],[WdDeck]]*Lookups!$B$91</f>
        <v>0</v>
      </c>
      <c r="BB637" s="25">
        <f>ROUND(Inventory[[#This Row],[25Det]],-2)</f>
        <v>15300</v>
      </c>
      <c r="BC637" s="25">
        <f>ROUND(SUM(Inventory[[#This Row],[Mdl Qlty]:[Mdl WdDeck]])+Inventory[[#This Row],[Mdl Res Intercept]],-2)</f>
        <v>252600</v>
      </c>
      <c r="BD637" s="25">
        <f>ROUND(Inventory[[#This Row],[Mdl Land Intercept]]+Inventory[[#This Row],[Mdl LnAcres]],-2)</f>
        <v>46000</v>
      </c>
      <c r="BE637" s="25">
        <f>Inventory[[#This Row],[Unadj Res Value]]+Inventory[[#This Row],[Unadj Det Value]]+Inventory[[#This Row],[Unadj Land Value]]</f>
        <v>313900</v>
      </c>
      <c r="BF637" s="36">
        <f>(Inventory[[#This Row],[Unadj Total Value]]-Inventory[[#This Row],[24Final]])/Inventory[[#This Row],[24Final]]</f>
        <v>4.878048780487805E-2</v>
      </c>
      <c r="BG637" s="25">
        <f>VLOOKUP(Inventory[[#This Row],[Nbhd]],Lookups!$Q$2:$T$4,4,FALSE)</f>
        <v>0.99970000000000003</v>
      </c>
      <c r="BH637" s="25">
        <f>VLOOKUP(Inventory[[#This Row],[Qlty]],Lookups!$O$7:$R$21,4,FALSE)</f>
        <v>1.0067999999999999</v>
      </c>
      <c r="BI637" s="25">
        <f>VLOOKUP(Inventory[[#This Row],[Cnd]],Lookups!$T$7:$W$16,4,FALSE)</f>
        <v>0.99729999999999996</v>
      </c>
      <c r="BJ637" s="25">
        <f>VLOOKUP(Inventory[[#This Row],[LivArea Range]],Lookups!$T$25:$W$37,4,FALSE)</f>
        <v>1.0157</v>
      </c>
      <c r="BK637" s="25">
        <f>VLOOKUP(Inventory[[#This Row],[Decade]],Lookups!$O$25:$R$42,4,FALSE)</f>
        <v>1.0199</v>
      </c>
      <c r="BL637" s="25">
        <f>Inventory[[#This Row],[Nbhd Adj]]*0.95</f>
        <v>0.94971499999999998</v>
      </c>
      <c r="BM637" s="25">
        <f>Inventory[[#This Row],[Nbhd Adj]]*Inventory[[#This Row],[Quality Adj]]*Inventory[[#This Row],[Condition Adj]]*Inventory[[#This Row],[Living Area Adj]]*Inventory[[#This Row],[Decade Adj]]*0.95</f>
        <v>0.98783717894453682</v>
      </c>
      <c r="BN637" s="25">
        <f>ROUND(SUM(Inventory[[#This Row],[Mdl Qlty]:[Mdl WdDeck]])+Inventory[[#This Row],[Mdl Res Intercept]]*Inventory[[#This Row],[Res Adj ]],-2)</f>
        <v>252600</v>
      </c>
      <c r="BO637" s="25">
        <f>ROUND(Inventory[[#This Row],[25Det]]*Inventory[[#This Row],[Det/Nbhd Adj]],-2)</f>
        <v>14500</v>
      </c>
      <c r="BP637" s="25">
        <f>Inventory[[#This Row],[Adjusted Res]]+Inventory[[#This Row],[Adj Det ]]</f>
        <v>267100</v>
      </c>
      <c r="BQ637" s="25">
        <f>ROUND((Inventory[[#This Row],[Mdl Land Intercept]]+Inventory[[#This Row],[Mdl LnAcres]])*Inventory[[#This Row],[Det/Nbhd Adj]],-2)</f>
        <v>43700</v>
      </c>
      <c r="BR637" s="25">
        <f>Inventory[[#This Row],[Adjusted Impr Total]]+Inventory[[#This Row],[Adjusted Land Total]]</f>
        <v>310800</v>
      </c>
      <c r="BS637" s="36">
        <f>IFERROR((Inventory[[#This Row],[Adjusted Impr Total]]-Inventory[[#This Row],[24Bldg]])/Inventory[[#This Row],[24Bldg]],0)</f>
        <v>0.14586014586014587</v>
      </c>
      <c r="BT637" s="36">
        <f>(Inventory[[#This Row],[Adjusted Land Total]]-Inventory[[#This Row],[24Lnd]])/Inventory[[#This Row],[24Lnd]]</f>
        <v>-0.33987915407854985</v>
      </c>
      <c r="BU637" s="36">
        <f>(Inventory[[#This Row],[Adjusted Total]]-Inventory[[#This Row],[24Final]])/Inventory[[#This Row],[24Final]]</f>
        <v>3.8422986969595722E-2</v>
      </c>
    </row>
    <row r="638" spans="1:73" x14ac:dyDescent="0.3">
      <c r="A638" s="25">
        <v>2025</v>
      </c>
      <c r="B638" s="26" t="s">
        <v>2815</v>
      </c>
      <c r="C638" s="26">
        <f>LN(Inventory[[#This Row],[Acres]])</f>
        <v>-1.5141277326297755</v>
      </c>
      <c r="D638" s="25">
        <v>0.22</v>
      </c>
      <c r="E638" s="31"/>
      <c r="F638" s="26" t="s">
        <v>537</v>
      </c>
      <c r="G638" s="26" t="s">
        <v>126</v>
      </c>
      <c r="H638" s="26" t="s">
        <v>349</v>
      </c>
      <c r="I638" s="26" t="s">
        <v>538</v>
      </c>
      <c r="J638" s="26" t="s">
        <v>539</v>
      </c>
      <c r="K638" s="26" t="s">
        <v>241</v>
      </c>
      <c r="L638" s="26" t="s">
        <v>351</v>
      </c>
      <c r="M638" s="26" t="s">
        <v>323</v>
      </c>
      <c r="N638" s="26">
        <v>70</v>
      </c>
      <c r="O638" s="26">
        <f>2024-Inventory[[#This Row],[YrBlt]]</f>
        <v>69</v>
      </c>
      <c r="P638" s="26">
        <f>2024-Inventory[[#This Row],[EffYr]]</f>
        <v>50</v>
      </c>
      <c r="Q638" s="25">
        <v>1955</v>
      </c>
      <c r="R638" s="25">
        <v>1974</v>
      </c>
      <c r="S638" s="25">
        <v>1494</v>
      </c>
      <c r="T638" s="27"/>
      <c r="U638" s="25">
        <v>1272</v>
      </c>
      <c r="V638" s="25">
        <f>Inventory[[#This Row],[Bsmt]]-Inventory[[#This Row],[FnBsmt]]</f>
        <v>636</v>
      </c>
      <c r="W638" s="25">
        <v>636</v>
      </c>
      <c r="X638" s="27"/>
      <c r="Y638" s="27">
        <f>Inventory[[#This Row],[MainFn]]+Inventory[[#This Row],[UpprFn]]+Inventory[[#This Row],[FnBsmt]]+Inventory[[#This Row],[AddFn]]</f>
        <v>2130</v>
      </c>
      <c r="Z638" s="27">
        <v>2500</v>
      </c>
      <c r="AA638" s="25">
        <v>8</v>
      </c>
      <c r="AB638" s="27"/>
      <c r="AC638" s="27"/>
      <c r="AD638" s="32">
        <v>110</v>
      </c>
      <c r="AE638" s="27"/>
      <c r="AF638" s="27"/>
      <c r="AG638" s="27"/>
      <c r="AH638" s="27"/>
      <c r="AI638" s="25">
        <v>336748</v>
      </c>
      <c r="AJ638" s="25">
        <v>235724</v>
      </c>
      <c r="AK638" s="25">
        <v>0</v>
      </c>
      <c r="AL638" s="25">
        <v>342600</v>
      </c>
      <c r="AM638" s="25">
        <v>61700</v>
      </c>
      <c r="AN638" s="25">
        <v>280900</v>
      </c>
      <c r="AO638" s="25">
        <v>0</v>
      </c>
      <c r="AP638" s="25">
        <f>Lookups!$B$56*0</f>
        <v>0</v>
      </c>
      <c r="AQ638" s="25">
        <f>Lookups!$B$56*1</f>
        <v>89850.625589999996</v>
      </c>
      <c r="AR638" s="25">
        <f>Lookups!$B$57*Inventory[[#This Row],[LnAcres]]</f>
        <v>-47929.131559187132</v>
      </c>
      <c r="AS638" s="25">
        <f>VLOOKUP(Inventory[[#This Row],[Qlty]],Lookups!$A$62:$E$75,2,FALSE)</f>
        <v>21557.329055999999</v>
      </c>
      <c r="AT638" s="25">
        <f>VLOOKUP(Inventory[[#This Row],[Cnd]],Lookups!$A$76:$E$84,2,FALSE)</f>
        <v>160472.20319</v>
      </c>
      <c r="AU638" s="25">
        <f>Inventory[[#This Row],[EffAge]]*Lookups!$B$85</f>
        <v>-11152.280025</v>
      </c>
      <c r="AV638" s="25">
        <f>Inventory[[#This Row],[MainFn]]*Lookups!$B$86</f>
        <v>73816.552796238</v>
      </c>
      <c r="AW638" s="25">
        <f>Inventory[[#This Row],[UpprFn]]*Lookups!$B$87</f>
        <v>0</v>
      </c>
      <c r="AX638" s="25">
        <f>Inventory[[#This Row],[AddFn]]*Lookups!$B$88</f>
        <v>0</v>
      </c>
      <c r="AY638" s="25">
        <f>Inventory[[#This Row],[Bsmt]]*Lookups!$B$89</f>
        <v>36992.170754184001</v>
      </c>
      <c r="AZ638" s="25">
        <f>Inventory[[#This Row],[Fixtures]]*Lookups!$B$90</f>
        <v>30336.176841600001</v>
      </c>
      <c r="BA638" s="25">
        <f>Inventory[[#This Row],[WdDeck]]*Lookups!$B$91</f>
        <v>3662.5066803600002</v>
      </c>
      <c r="BB638" s="25">
        <f>ROUND(Inventory[[#This Row],[25Det]],-2)</f>
        <v>0</v>
      </c>
      <c r="BC638" s="25">
        <f>ROUND(SUM(Inventory[[#This Row],[Mdl Qlty]:[Mdl WdDeck]])+Inventory[[#This Row],[Mdl Res Intercept]],-2)</f>
        <v>315700</v>
      </c>
      <c r="BD638" s="25">
        <f>ROUND(Inventory[[#This Row],[Mdl Land Intercept]]+Inventory[[#This Row],[Mdl LnAcres]],-2)</f>
        <v>41900</v>
      </c>
      <c r="BE638" s="25">
        <f>Inventory[[#This Row],[Unadj Res Value]]+Inventory[[#This Row],[Unadj Det Value]]+Inventory[[#This Row],[Unadj Land Value]]</f>
        <v>357600</v>
      </c>
      <c r="BF638" s="36">
        <f>(Inventory[[#This Row],[Unadj Total Value]]-Inventory[[#This Row],[24Final]])/Inventory[[#This Row],[24Final]]</f>
        <v>4.3782837127845885E-2</v>
      </c>
      <c r="BG638" s="25">
        <f>VLOOKUP(Inventory[[#This Row],[Nbhd]],Lookups!$Q$2:$T$4,4,FALSE)</f>
        <v>0.99970000000000003</v>
      </c>
      <c r="BH638" s="25">
        <f>VLOOKUP(Inventory[[#This Row],[Qlty]],Lookups!$O$7:$R$21,4,FALSE)</f>
        <v>1.0067999999999999</v>
      </c>
      <c r="BI638" s="25">
        <f>VLOOKUP(Inventory[[#This Row],[Cnd]],Lookups!$T$7:$W$16,4,FALSE)</f>
        <v>0.99729999999999996</v>
      </c>
      <c r="BJ638" s="25">
        <f>VLOOKUP(Inventory[[#This Row],[LivArea Range]],Lookups!$T$25:$W$37,4,FALSE)</f>
        <v>0.98919999999999997</v>
      </c>
      <c r="BK638" s="25">
        <f>VLOOKUP(Inventory[[#This Row],[Decade]],Lookups!$O$25:$R$42,4,FALSE)</f>
        <v>1.0199</v>
      </c>
      <c r="BL638" s="25">
        <f>Inventory[[#This Row],[Nbhd Adj]]*0.95</f>
        <v>0.94971499999999998</v>
      </c>
      <c r="BM638" s="25">
        <f>Inventory[[#This Row],[Nbhd Adj]]*Inventory[[#This Row],[Quality Adj]]*Inventory[[#This Row],[Condition Adj]]*Inventory[[#This Row],[Living Area Adj]]*Inventory[[#This Row],[Decade Adj]]*0.95</f>
        <v>0.9620641305621106</v>
      </c>
      <c r="BN638" s="25">
        <f>ROUND(SUM(Inventory[[#This Row],[Mdl Qlty]:[Mdl WdDeck]])+Inventory[[#This Row],[Mdl Res Intercept]]*Inventory[[#This Row],[Res Adj ]],-2)</f>
        <v>315700</v>
      </c>
      <c r="BO638" s="25">
        <f>ROUND(Inventory[[#This Row],[25Det]]*Inventory[[#This Row],[Det/Nbhd Adj]],-2)</f>
        <v>0</v>
      </c>
      <c r="BP638" s="25">
        <f>Inventory[[#This Row],[Adjusted Res]]+Inventory[[#This Row],[Adj Det ]]</f>
        <v>315700</v>
      </c>
      <c r="BQ638" s="25">
        <f>ROUND((Inventory[[#This Row],[Mdl Land Intercept]]+Inventory[[#This Row],[Mdl LnAcres]])*Inventory[[#This Row],[Det/Nbhd Adj]],-2)</f>
        <v>39800</v>
      </c>
      <c r="BR638" s="25">
        <f>Inventory[[#This Row],[Adjusted Impr Total]]+Inventory[[#This Row],[Adjusted Land Total]]</f>
        <v>355500</v>
      </c>
      <c r="BS638" s="36">
        <f>IFERROR((Inventory[[#This Row],[Adjusted Impr Total]]-Inventory[[#This Row],[24Bldg]])/Inventory[[#This Row],[24Bldg]],0)</f>
        <v>0.1238875044499822</v>
      </c>
      <c r="BT638" s="36">
        <f>(Inventory[[#This Row],[Adjusted Land Total]]-Inventory[[#This Row],[24Lnd]])/Inventory[[#This Row],[24Lnd]]</f>
        <v>-0.35494327390599678</v>
      </c>
      <c r="BU638" s="36">
        <f>(Inventory[[#This Row],[Adjusted Total]]-Inventory[[#This Row],[24Final]])/Inventory[[#This Row],[24Final]]</f>
        <v>3.7653239929947457E-2</v>
      </c>
    </row>
    <row r="639" spans="1:73" x14ac:dyDescent="0.3">
      <c r="A639" s="25">
        <v>2025</v>
      </c>
      <c r="B639" s="26" t="s">
        <v>1064</v>
      </c>
      <c r="C639" s="26">
        <f>LN(Inventory[[#This Row],[Acres]])</f>
        <v>-1.7719568419318752</v>
      </c>
      <c r="D639" s="25">
        <v>0.17</v>
      </c>
      <c r="E639" s="25">
        <v>7419</v>
      </c>
      <c r="F639" s="26" t="s">
        <v>537</v>
      </c>
      <c r="G639" s="26" t="s">
        <v>126</v>
      </c>
      <c r="H639" s="26" t="s">
        <v>349</v>
      </c>
      <c r="I639" s="26" t="s">
        <v>538</v>
      </c>
      <c r="J639" s="26" t="s">
        <v>638</v>
      </c>
      <c r="K639" s="26" t="s">
        <v>242</v>
      </c>
      <c r="L639" s="26" t="s">
        <v>351</v>
      </c>
      <c r="M639" s="26" t="s">
        <v>323</v>
      </c>
      <c r="N639" s="26">
        <v>70</v>
      </c>
      <c r="O639" s="26">
        <f>2024-Inventory[[#This Row],[YrBlt]]</f>
        <v>69</v>
      </c>
      <c r="P639" s="26">
        <f>2024-Inventory[[#This Row],[EffYr]]</f>
        <v>50</v>
      </c>
      <c r="Q639" s="25">
        <v>1955</v>
      </c>
      <c r="R639" s="25">
        <v>1974</v>
      </c>
      <c r="S639" s="25">
        <v>1140</v>
      </c>
      <c r="T639" s="31"/>
      <c r="U639" s="25">
        <v>1140</v>
      </c>
      <c r="V639" s="25">
        <f>Inventory[[#This Row],[Bsmt]]-Inventory[[#This Row],[FnBsmt]]</f>
        <v>574</v>
      </c>
      <c r="W639" s="25">
        <v>566</v>
      </c>
      <c r="X639" s="27"/>
      <c r="Y639" s="27">
        <f>Inventory[[#This Row],[MainFn]]+Inventory[[#This Row],[UpprFn]]+Inventory[[#This Row],[FnBsmt]]+Inventory[[#This Row],[AddFn]]</f>
        <v>1706</v>
      </c>
      <c r="Z639" s="27">
        <v>2000</v>
      </c>
      <c r="AA639" s="25">
        <v>8</v>
      </c>
      <c r="AB639" s="27"/>
      <c r="AC639" s="27"/>
      <c r="AD639" s="27"/>
      <c r="AE639" s="27"/>
      <c r="AF639" s="27"/>
      <c r="AG639" s="27"/>
      <c r="AH639" s="27"/>
      <c r="AI639" s="25">
        <v>266436</v>
      </c>
      <c r="AJ639" s="25">
        <v>186505</v>
      </c>
      <c r="AK639" s="25">
        <v>0</v>
      </c>
      <c r="AL639" s="25">
        <v>311100</v>
      </c>
      <c r="AM639" s="25">
        <v>52700</v>
      </c>
      <c r="AN639" s="25">
        <v>258400</v>
      </c>
      <c r="AO639" s="25">
        <v>0</v>
      </c>
      <c r="AP639" s="25">
        <f>Lookups!$B$56*0</f>
        <v>0</v>
      </c>
      <c r="AQ639" s="25">
        <f>Lookups!$B$56*1</f>
        <v>89850.625589999996</v>
      </c>
      <c r="AR639" s="25">
        <f>Lookups!$B$57*Inventory[[#This Row],[LnAcres]]</f>
        <v>-56090.612940989391</v>
      </c>
      <c r="AS639" s="25">
        <f>VLOOKUP(Inventory[[#This Row],[Qlty]],Lookups!$A$62:$E$75,2,FALSE)</f>
        <v>21557.329055999999</v>
      </c>
      <c r="AT639" s="25">
        <f>VLOOKUP(Inventory[[#This Row],[Cnd]],Lookups!$A$76:$E$84,2,FALSE)</f>
        <v>160472.20319</v>
      </c>
      <c r="AU639" s="25">
        <f>Inventory[[#This Row],[EffAge]]*Lookups!$B$85</f>
        <v>-11152.280025</v>
      </c>
      <c r="AV639" s="25">
        <f>Inventory[[#This Row],[MainFn]]*Lookups!$B$86</f>
        <v>56325.883659780004</v>
      </c>
      <c r="AW639" s="25">
        <f>Inventory[[#This Row],[UpprFn]]*Lookups!$B$87</f>
        <v>0</v>
      </c>
      <c r="AX639" s="25">
        <f>Inventory[[#This Row],[AddFn]]*Lookups!$B$88</f>
        <v>0</v>
      </c>
      <c r="AY639" s="25">
        <f>Inventory[[#This Row],[Bsmt]]*Lookups!$B$89</f>
        <v>33153.360581579997</v>
      </c>
      <c r="AZ639" s="25">
        <f>Inventory[[#This Row],[Fixtures]]*Lookups!$B$90</f>
        <v>30336.176841600001</v>
      </c>
      <c r="BA639" s="25">
        <f>Inventory[[#This Row],[WdDeck]]*Lookups!$B$91</f>
        <v>0</v>
      </c>
      <c r="BB639" s="25">
        <f>ROUND(Inventory[[#This Row],[25Det]],-2)</f>
        <v>0</v>
      </c>
      <c r="BC639" s="25">
        <f>ROUND(SUM(Inventory[[#This Row],[Mdl Qlty]:[Mdl WdDeck]])+Inventory[[#This Row],[Mdl Res Intercept]],-2)</f>
        <v>290700</v>
      </c>
      <c r="BD639" s="25">
        <f>ROUND(Inventory[[#This Row],[Mdl Land Intercept]]+Inventory[[#This Row],[Mdl LnAcres]],-2)</f>
        <v>33800</v>
      </c>
      <c r="BE639" s="25">
        <f>Inventory[[#This Row],[Unadj Res Value]]+Inventory[[#This Row],[Unadj Det Value]]+Inventory[[#This Row],[Unadj Land Value]]</f>
        <v>324500</v>
      </c>
      <c r="BF639" s="36">
        <f>(Inventory[[#This Row],[Unadj Total Value]]-Inventory[[#This Row],[24Final]])/Inventory[[#This Row],[24Final]]</f>
        <v>4.3072966891674704E-2</v>
      </c>
      <c r="BG639" s="25">
        <f>VLOOKUP(Inventory[[#This Row],[Nbhd]],Lookups!$Q$2:$T$4,4,FALSE)</f>
        <v>0.99970000000000003</v>
      </c>
      <c r="BH639" s="25">
        <f>VLOOKUP(Inventory[[#This Row],[Qlty]],Lookups!$O$7:$R$21,4,FALSE)</f>
        <v>1.0067999999999999</v>
      </c>
      <c r="BI639" s="25">
        <f>VLOOKUP(Inventory[[#This Row],[Cnd]],Lookups!$T$7:$W$16,4,FALSE)</f>
        <v>0.99729999999999996</v>
      </c>
      <c r="BJ639" s="25">
        <f>VLOOKUP(Inventory[[#This Row],[LivArea Range]],Lookups!$T$25:$W$37,4,FALSE)</f>
        <v>1.0093000000000001</v>
      </c>
      <c r="BK639" s="25">
        <f>VLOOKUP(Inventory[[#This Row],[Decade]],Lookups!$O$25:$R$42,4,FALSE)</f>
        <v>1.0199</v>
      </c>
      <c r="BL639" s="25">
        <f>Inventory[[#This Row],[Nbhd Adj]]*0.95</f>
        <v>0.94971499999999998</v>
      </c>
      <c r="BM639" s="25">
        <f>Inventory[[#This Row],[Nbhd Adj]]*Inventory[[#This Row],[Quality Adj]]*Inventory[[#This Row],[Condition Adj]]*Inventory[[#This Row],[Living Area Adj]]*Inventory[[#This Row],[Decade Adj]]*0.95</f>
        <v>0.98161274461821502</v>
      </c>
      <c r="BN639" s="25">
        <f>ROUND(SUM(Inventory[[#This Row],[Mdl Qlty]:[Mdl WdDeck]])+Inventory[[#This Row],[Mdl Res Intercept]]*Inventory[[#This Row],[Res Adj ]],-2)</f>
        <v>290700</v>
      </c>
      <c r="BO639" s="25">
        <f>ROUND(Inventory[[#This Row],[25Det]]*Inventory[[#This Row],[Det/Nbhd Adj]],-2)</f>
        <v>0</v>
      </c>
      <c r="BP639" s="25">
        <f>Inventory[[#This Row],[Adjusted Res]]+Inventory[[#This Row],[Adj Det ]]</f>
        <v>290700</v>
      </c>
      <c r="BQ639" s="25">
        <f>ROUND((Inventory[[#This Row],[Mdl Land Intercept]]+Inventory[[#This Row],[Mdl LnAcres]])*Inventory[[#This Row],[Det/Nbhd Adj]],-2)</f>
        <v>32100</v>
      </c>
      <c r="BR639" s="25">
        <f>Inventory[[#This Row],[Adjusted Impr Total]]+Inventory[[#This Row],[Adjusted Land Total]]</f>
        <v>322800</v>
      </c>
      <c r="BS639" s="36">
        <f>IFERROR((Inventory[[#This Row],[Adjusted Impr Total]]-Inventory[[#This Row],[24Bldg]])/Inventory[[#This Row],[24Bldg]],0)</f>
        <v>0.125</v>
      </c>
      <c r="BT639" s="36">
        <f>(Inventory[[#This Row],[Adjusted Land Total]]-Inventory[[#This Row],[24Lnd]])/Inventory[[#This Row],[24Lnd]]</f>
        <v>-0.39089184060721061</v>
      </c>
      <c r="BU639" s="36">
        <f>(Inventory[[#This Row],[Adjusted Total]]-Inventory[[#This Row],[24Final]])/Inventory[[#This Row],[24Final]]</f>
        <v>3.7608486017357765E-2</v>
      </c>
    </row>
    <row r="640" spans="1:73" x14ac:dyDescent="0.3">
      <c r="A640" s="25">
        <v>2025</v>
      </c>
      <c r="B640" s="26" t="s">
        <v>1748</v>
      </c>
      <c r="C640" s="26">
        <f>LN(Inventory[[#This Row],[Acres]])</f>
        <v>-1.5141277326297755</v>
      </c>
      <c r="D640" s="25">
        <v>0.22</v>
      </c>
      <c r="E640" s="31"/>
      <c r="F640" s="26" t="s">
        <v>537</v>
      </c>
      <c r="G640" s="26" t="s">
        <v>126</v>
      </c>
      <c r="H640" s="26" t="s">
        <v>349</v>
      </c>
      <c r="I640" s="26" t="s">
        <v>538</v>
      </c>
      <c r="J640" s="26" t="s">
        <v>539</v>
      </c>
      <c r="K640" s="26" t="s">
        <v>241</v>
      </c>
      <c r="L640" s="26" t="s">
        <v>351</v>
      </c>
      <c r="M640" s="26" t="s">
        <v>323</v>
      </c>
      <c r="N640" s="26">
        <v>70</v>
      </c>
      <c r="O640" s="26">
        <f>2024-Inventory[[#This Row],[YrBlt]]</f>
        <v>69</v>
      </c>
      <c r="P640" s="26">
        <f>2024-Inventory[[#This Row],[EffYr]]</f>
        <v>50</v>
      </c>
      <c r="Q640" s="25">
        <v>1955</v>
      </c>
      <c r="R640" s="25">
        <v>1974</v>
      </c>
      <c r="S640" s="25">
        <v>1050</v>
      </c>
      <c r="T640" s="27"/>
      <c r="U640" s="27"/>
      <c r="V640" s="27">
        <f>Inventory[[#This Row],[Bsmt]]-Inventory[[#This Row],[FnBsmt]]</f>
        <v>0</v>
      </c>
      <c r="W640" s="27"/>
      <c r="X640" s="27"/>
      <c r="Y640" s="27">
        <f>Inventory[[#This Row],[MainFn]]+Inventory[[#This Row],[UpprFn]]+Inventory[[#This Row],[FnBsmt]]+Inventory[[#This Row],[AddFn]]</f>
        <v>1050</v>
      </c>
      <c r="Z640" s="27">
        <v>1500</v>
      </c>
      <c r="AA640" s="25">
        <v>8</v>
      </c>
      <c r="AB640" s="27"/>
      <c r="AC640" s="27"/>
      <c r="AD640" s="27"/>
      <c r="AE640" s="27"/>
      <c r="AF640" s="27"/>
      <c r="AG640" s="27"/>
      <c r="AH640" s="27"/>
      <c r="AI640" s="25">
        <v>185290</v>
      </c>
      <c r="AJ640" s="25">
        <v>129703</v>
      </c>
      <c r="AK640" s="25">
        <v>2900</v>
      </c>
      <c r="AL640" s="25">
        <v>285100</v>
      </c>
      <c r="AM640" s="25">
        <v>61700</v>
      </c>
      <c r="AN640" s="25">
        <v>223400</v>
      </c>
      <c r="AO640" s="25">
        <v>0</v>
      </c>
      <c r="AP640" s="25">
        <f>Lookups!$B$56*0</f>
        <v>0</v>
      </c>
      <c r="AQ640" s="25">
        <f>Lookups!$B$56*1</f>
        <v>89850.625589999996</v>
      </c>
      <c r="AR640" s="25">
        <f>Lookups!$B$57*Inventory[[#This Row],[LnAcres]]</f>
        <v>-47929.131559187132</v>
      </c>
      <c r="AS640" s="25">
        <f>VLOOKUP(Inventory[[#This Row],[Qlty]],Lookups!$A$62:$E$75,2,FALSE)</f>
        <v>21557.329055999999</v>
      </c>
      <c r="AT640" s="25">
        <f>VLOOKUP(Inventory[[#This Row],[Cnd]],Lookups!$A$76:$E$84,2,FALSE)</f>
        <v>160472.20319</v>
      </c>
      <c r="AU640" s="25">
        <f>Inventory[[#This Row],[EffAge]]*Lookups!$B$85</f>
        <v>-11152.280025</v>
      </c>
      <c r="AV640" s="25">
        <f>Inventory[[#This Row],[MainFn]]*Lookups!$B$86</f>
        <v>51879.103370850004</v>
      </c>
      <c r="AW640" s="25">
        <f>Inventory[[#This Row],[UpprFn]]*Lookups!$B$87</f>
        <v>0</v>
      </c>
      <c r="AX640" s="25">
        <f>Inventory[[#This Row],[AddFn]]*Lookups!$B$88</f>
        <v>0</v>
      </c>
      <c r="AY640" s="25">
        <f>Inventory[[#This Row],[Bsmt]]*Lookups!$B$89</f>
        <v>0</v>
      </c>
      <c r="AZ640" s="25">
        <f>Inventory[[#This Row],[Fixtures]]*Lookups!$B$90</f>
        <v>30336.176841600001</v>
      </c>
      <c r="BA640" s="25">
        <f>Inventory[[#This Row],[WdDeck]]*Lookups!$B$91</f>
        <v>0</v>
      </c>
      <c r="BB640" s="25">
        <f>ROUND(Inventory[[#This Row],[25Det]],-2)</f>
        <v>2900</v>
      </c>
      <c r="BC640" s="25">
        <f>ROUND(SUM(Inventory[[#This Row],[Mdl Qlty]:[Mdl WdDeck]])+Inventory[[#This Row],[Mdl Res Intercept]],-2)</f>
        <v>253100</v>
      </c>
      <c r="BD640" s="25">
        <f>ROUND(Inventory[[#This Row],[Mdl Land Intercept]]+Inventory[[#This Row],[Mdl LnAcres]],-2)</f>
        <v>41900</v>
      </c>
      <c r="BE640" s="25">
        <f>Inventory[[#This Row],[Unadj Res Value]]+Inventory[[#This Row],[Unadj Det Value]]+Inventory[[#This Row],[Unadj Land Value]]</f>
        <v>297900</v>
      </c>
      <c r="BF640" s="36">
        <f>(Inventory[[#This Row],[Unadj Total Value]]-Inventory[[#This Row],[24Final]])/Inventory[[#This Row],[24Final]]</f>
        <v>4.4896527534198524E-2</v>
      </c>
      <c r="BG640" s="25">
        <f>VLOOKUP(Inventory[[#This Row],[Nbhd]],Lookups!$Q$2:$T$4,4,FALSE)</f>
        <v>0.99970000000000003</v>
      </c>
      <c r="BH640" s="25">
        <f>VLOOKUP(Inventory[[#This Row],[Qlty]],Lookups!$O$7:$R$21,4,FALSE)</f>
        <v>1.0067999999999999</v>
      </c>
      <c r="BI640" s="25">
        <f>VLOOKUP(Inventory[[#This Row],[Cnd]],Lookups!$T$7:$W$16,4,FALSE)</f>
        <v>0.99729999999999996</v>
      </c>
      <c r="BJ640" s="25">
        <f>VLOOKUP(Inventory[[#This Row],[LivArea Range]],Lookups!$T$25:$W$37,4,FALSE)</f>
        <v>1.0157</v>
      </c>
      <c r="BK640" s="25">
        <f>VLOOKUP(Inventory[[#This Row],[Decade]],Lookups!$O$25:$R$42,4,FALSE)</f>
        <v>1.0199</v>
      </c>
      <c r="BL640" s="25">
        <f>Inventory[[#This Row],[Nbhd Adj]]*0.95</f>
        <v>0.94971499999999998</v>
      </c>
      <c r="BM640" s="25">
        <f>Inventory[[#This Row],[Nbhd Adj]]*Inventory[[#This Row],[Quality Adj]]*Inventory[[#This Row],[Condition Adj]]*Inventory[[#This Row],[Living Area Adj]]*Inventory[[#This Row],[Decade Adj]]*0.95</f>
        <v>0.98783717894453682</v>
      </c>
      <c r="BN640" s="25">
        <f>ROUND(SUM(Inventory[[#This Row],[Mdl Qlty]:[Mdl WdDeck]])+Inventory[[#This Row],[Mdl Res Intercept]]*Inventory[[#This Row],[Res Adj ]],-2)</f>
        <v>253100</v>
      </c>
      <c r="BO640" s="25">
        <f>ROUND(Inventory[[#This Row],[25Det]]*Inventory[[#This Row],[Det/Nbhd Adj]],-2)</f>
        <v>2800</v>
      </c>
      <c r="BP640" s="25">
        <f>Inventory[[#This Row],[Adjusted Res]]+Inventory[[#This Row],[Adj Det ]]</f>
        <v>255900</v>
      </c>
      <c r="BQ640" s="25">
        <f>ROUND((Inventory[[#This Row],[Mdl Land Intercept]]+Inventory[[#This Row],[Mdl LnAcres]])*Inventory[[#This Row],[Det/Nbhd Adj]],-2)</f>
        <v>39800</v>
      </c>
      <c r="BR640" s="25">
        <f>Inventory[[#This Row],[Adjusted Impr Total]]+Inventory[[#This Row],[Adjusted Land Total]]</f>
        <v>295700</v>
      </c>
      <c r="BS640" s="36">
        <f>IFERROR((Inventory[[#This Row],[Adjusted Impr Total]]-Inventory[[#This Row],[24Bldg]])/Inventory[[#This Row],[24Bldg]],0)</f>
        <v>0.14547896150402864</v>
      </c>
      <c r="BT640" s="36">
        <f>(Inventory[[#This Row],[Adjusted Land Total]]-Inventory[[#This Row],[24Lnd]])/Inventory[[#This Row],[24Lnd]]</f>
        <v>-0.35494327390599678</v>
      </c>
      <c r="BU640" s="36">
        <f>(Inventory[[#This Row],[Adjusted Total]]-Inventory[[#This Row],[24Final]])/Inventory[[#This Row],[24Final]]</f>
        <v>3.7179936864258155E-2</v>
      </c>
    </row>
    <row r="641" spans="1:73" x14ac:dyDescent="0.3">
      <c r="A641" s="25">
        <v>2025</v>
      </c>
      <c r="B641" s="26" t="s">
        <v>1709</v>
      </c>
      <c r="C641" s="26">
        <f>LN(Inventory[[#This Row],[Acres]])</f>
        <v>-1.3470736479666092</v>
      </c>
      <c r="D641" s="25">
        <v>0.26</v>
      </c>
      <c r="E641" s="25">
        <v>11396</v>
      </c>
      <c r="F641" s="26" t="s">
        <v>537</v>
      </c>
      <c r="G641" s="26" t="s">
        <v>126</v>
      </c>
      <c r="H641" s="26" t="s">
        <v>349</v>
      </c>
      <c r="I641" s="26" t="s">
        <v>538</v>
      </c>
      <c r="J641" s="26" t="s">
        <v>539</v>
      </c>
      <c r="K641" s="26" t="s">
        <v>241</v>
      </c>
      <c r="L641" s="26" t="s">
        <v>302</v>
      </c>
      <c r="M641" s="26" t="s">
        <v>303</v>
      </c>
      <c r="N641" s="26">
        <v>70</v>
      </c>
      <c r="O641" s="26">
        <f>2024-Inventory[[#This Row],[YrBlt]]</f>
        <v>69</v>
      </c>
      <c r="P641" s="26">
        <f>2024-Inventory[[#This Row],[EffYr]]</f>
        <v>50</v>
      </c>
      <c r="Q641" s="25">
        <v>1955</v>
      </c>
      <c r="R641" s="25">
        <v>1974</v>
      </c>
      <c r="S641" s="25">
        <v>1274</v>
      </c>
      <c r="T641" s="31"/>
      <c r="U641" s="25">
        <v>1274</v>
      </c>
      <c r="V641" s="32">
        <f>Inventory[[#This Row],[Bsmt]]-Inventory[[#This Row],[FnBsmt]]</f>
        <v>0</v>
      </c>
      <c r="W641" s="32">
        <v>1274</v>
      </c>
      <c r="X641" s="27"/>
      <c r="Y641" s="27">
        <f>Inventory[[#This Row],[MainFn]]+Inventory[[#This Row],[UpprFn]]+Inventory[[#This Row],[FnBsmt]]+Inventory[[#This Row],[AddFn]]</f>
        <v>2548</v>
      </c>
      <c r="Z641" s="27">
        <v>3000</v>
      </c>
      <c r="AA641" s="25">
        <v>8</v>
      </c>
      <c r="AB641" s="32">
        <v>620</v>
      </c>
      <c r="AC641" s="27"/>
      <c r="AD641" s="32">
        <v>132</v>
      </c>
      <c r="AE641" s="27"/>
      <c r="AF641" s="27"/>
      <c r="AG641" s="27"/>
      <c r="AH641" s="27"/>
      <c r="AI641" s="25">
        <v>403145</v>
      </c>
      <c r="AJ641" s="25">
        <v>290264</v>
      </c>
      <c r="AK641" s="25">
        <v>0</v>
      </c>
      <c r="AL641" s="25">
        <v>381900</v>
      </c>
      <c r="AM641" s="25">
        <v>67600</v>
      </c>
      <c r="AN641" s="25">
        <v>314300</v>
      </c>
      <c r="AO641" s="25">
        <v>0</v>
      </c>
      <c r="AP641" s="25">
        <f>Lookups!$B$56*0</f>
        <v>0</v>
      </c>
      <c r="AQ641" s="25">
        <f>Lookups!$B$56*1</f>
        <v>89850.625589999996</v>
      </c>
      <c r="AR641" s="25">
        <f>Lookups!$B$57*Inventory[[#This Row],[LnAcres]]</f>
        <v>-42641.098701210125</v>
      </c>
      <c r="AS641" s="25">
        <f>VLOOKUP(Inventory[[#This Row],[Qlty]],Lookups!$A$62:$E$75,2,FALSE)</f>
        <v>29814.093161000001</v>
      </c>
      <c r="AT641" s="25">
        <f>VLOOKUP(Inventory[[#This Row],[Cnd]],Lookups!$A$76:$E$84,2,FALSE)</f>
        <v>197752.34721000001</v>
      </c>
      <c r="AU641" s="25">
        <f>Inventory[[#This Row],[EffAge]]*Lookups!$B$85</f>
        <v>-11152.280025</v>
      </c>
      <c r="AV641" s="25">
        <f>Inventory[[#This Row],[MainFn]]*Lookups!$B$86</f>
        <v>62946.645423298003</v>
      </c>
      <c r="AW641" s="25">
        <f>Inventory[[#This Row],[UpprFn]]*Lookups!$B$87</f>
        <v>0</v>
      </c>
      <c r="AX641" s="25">
        <f>Inventory[[#This Row],[AddFn]]*Lookups!$B$88</f>
        <v>0</v>
      </c>
      <c r="AY641" s="25">
        <f>Inventory[[#This Row],[Bsmt]]*Lookups!$B$89</f>
        <v>37050.334544678</v>
      </c>
      <c r="AZ641" s="25">
        <f>Inventory[[#This Row],[Fixtures]]*Lookups!$B$90</f>
        <v>30336.176841600001</v>
      </c>
      <c r="BA641" s="25">
        <f>Inventory[[#This Row],[WdDeck]]*Lookups!$B$91</f>
        <v>4395.0080164320007</v>
      </c>
      <c r="BB641" s="25">
        <f>ROUND(Inventory[[#This Row],[25Det]],-2)</f>
        <v>0</v>
      </c>
      <c r="BC641" s="25">
        <f>ROUND(SUM(Inventory[[#This Row],[Mdl Qlty]:[Mdl WdDeck]])+Inventory[[#This Row],[Mdl Res Intercept]],-2)</f>
        <v>351100</v>
      </c>
      <c r="BD641" s="25">
        <f>ROUND(Inventory[[#This Row],[Mdl Land Intercept]]+Inventory[[#This Row],[Mdl LnAcres]],-2)</f>
        <v>47200</v>
      </c>
      <c r="BE641" s="25">
        <f>Inventory[[#This Row],[Unadj Res Value]]+Inventory[[#This Row],[Unadj Det Value]]+Inventory[[#This Row],[Unadj Land Value]]</f>
        <v>398300</v>
      </c>
      <c r="BF641" s="36">
        <f>(Inventory[[#This Row],[Unadj Total Value]]-Inventory[[#This Row],[24Final]])/Inventory[[#This Row],[24Final]]</f>
        <v>4.2943178842628958E-2</v>
      </c>
      <c r="BG641" s="25">
        <f>VLOOKUP(Inventory[[#This Row],[Nbhd]],Lookups!$Q$2:$T$4,4,FALSE)</f>
        <v>0.99970000000000003</v>
      </c>
      <c r="BH641" s="25">
        <f>VLOOKUP(Inventory[[#This Row],[Qlty]],Lookups!$O$7:$R$21,4,FALSE)</f>
        <v>1.0088999999999999</v>
      </c>
      <c r="BI641" s="25">
        <f>VLOOKUP(Inventory[[#This Row],[Cnd]],Lookups!$T$7:$W$16,4,FALSE)</f>
        <v>0.99650000000000005</v>
      </c>
      <c r="BJ641" s="25">
        <f>VLOOKUP(Inventory[[#This Row],[LivArea Range]],Lookups!$T$25:$W$37,4,FALSE)</f>
        <v>0.96179999999999999</v>
      </c>
      <c r="BK641" s="25">
        <f>VLOOKUP(Inventory[[#This Row],[Decade]],Lookups!$O$25:$R$42,4,FALSE)</f>
        <v>1.0199</v>
      </c>
      <c r="BL641" s="25">
        <f>Inventory[[#This Row],[Nbhd Adj]]*0.95</f>
        <v>0.94971499999999998</v>
      </c>
      <c r="BM641" s="25">
        <f>Inventory[[#This Row],[Nbhd Adj]]*Inventory[[#This Row],[Quality Adj]]*Inventory[[#This Row],[Condition Adj]]*Inventory[[#This Row],[Living Area Adj]]*Inventory[[#This Row],[Decade Adj]]*0.95</f>
        <v>0.93661495300843212</v>
      </c>
      <c r="BN641" s="25">
        <f>ROUND(SUM(Inventory[[#This Row],[Mdl Qlty]:[Mdl WdDeck]])+Inventory[[#This Row],[Mdl Res Intercept]]*Inventory[[#This Row],[Res Adj ]],-2)</f>
        <v>351100</v>
      </c>
      <c r="BO641" s="25">
        <f>ROUND(Inventory[[#This Row],[25Det]]*Inventory[[#This Row],[Det/Nbhd Adj]],-2)</f>
        <v>0</v>
      </c>
      <c r="BP641" s="25">
        <f>Inventory[[#This Row],[Adjusted Res]]+Inventory[[#This Row],[Adj Det ]]</f>
        <v>351100</v>
      </c>
      <c r="BQ641" s="25">
        <f>ROUND((Inventory[[#This Row],[Mdl Land Intercept]]+Inventory[[#This Row],[Mdl LnAcres]])*Inventory[[#This Row],[Det/Nbhd Adj]],-2)</f>
        <v>44800</v>
      </c>
      <c r="BR641" s="25">
        <f>Inventory[[#This Row],[Adjusted Impr Total]]+Inventory[[#This Row],[Adjusted Land Total]]</f>
        <v>395900</v>
      </c>
      <c r="BS641" s="36">
        <f>IFERROR((Inventory[[#This Row],[Adjusted Impr Total]]-Inventory[[#This Row],[24Bldg]])/Inventory[[#This Row],[24Bldg]],0)</f>
        <v>0.11708558701877188</v>
      </c>
      <c r="BT641" s="36">
        <f>(Inventory[[#This Row],[Adjusted Land Total]]-Inventory[[#This Row],[24Lnd]])/Inventory[[#This Row],[24Lnd]]</f>
        <v>-0.33727810650887574</v>
      </c>
      <c r="BU641" s="36">
        <f>(Inventory[[#This Row],[Adjusted Total]]-Inventory[[#This Row],[24Final]])/Inventory[[#This Row],[24Final]]</f>
        <v>3.6658811207122284E-2</v>
      </c>
    </row>
    <row r="642" spans="1:73" x14ac:dyDescent="0.3">
      <c r="A642" s="25">
        <v>2025</v>
      </c>
      <c r="B642" s="26" t="s">
        <v>2377</v>
      </c>
      <c r="C642" s="26">
        <f>LN(Inventory[[#This Row],[Acres]])</f>
        <v>-1.6094379124341003</v>
      </c>
      <c r="D642" s="25">
        <v>0.2</v>
      </c>
      <c r="E642" s="31"/>
      <c r="F642" s="26" t="s">
        <v>537</v>
      </c>
      <c r="G642" s="26" t="s">
        <v>126</v>
      </c>
      <c r="H642" s="26" t="s">
        <v>349</v>
      </c>
      <c r="I642" s="26" t="s">
        <v>538</v>
      </c>
      <c r="J642" s="26" t="s">
        <v>539</v>
      </c>
      <c r="K642" s="26" t="s">
        <v>241</v>
      </c>
      <c r="L642" s="26" t="s">
        <v>148</v>
      </c>
      <c r="M642" s="26" t="s">
        <v>303</v>
      </c>
      <c r="N642" s="26">
        <v>70</v>
      </c>
      <c r="O642" s="26">
        <f>2024-Inventory[[#This Row],[YrBlt]]</f>
        <v>69</v>
      </c>
      <c r="P642" s="26">
        <f>2024-Inventory[[#This Row],[EffYr]]</f>
        <v>50</v>
      </c>
      <c r="Q642" s="25">
        <v>1955</v>
      </c>
      <c r="R642" s="25">
        <v>1974</v>
      </c>
      <c r="S642" s="25">
        <v>1293</v>
      </c>
      <c r="T642" s="27"/>
      <c r="U642" s="25">
        <v>1293</v>
      </c>
      <c r="V642" s="25">
        <f>Inventory[[#This Row],[Bsmt]]-Inventory[[#This Row],[FnBsmt]]</f>
        <v>0</v>
      </c>
      <c r="W642" s="25">
        <v>1293</v>
      </c>
      <c r="X642" s="27"/>
      <c r="Y642" s="27">
        <f>Inventory[[#This Row],[MainFn]]+Inventory[[#This Row],[UpprFn]]+Inventory[[#This Row],[FnBsmt]]+Inventory[[#This Row],[AddFn]]</f>
        <v>2586</v>
      </c>
      <c r="Z642" s="27">
        <v>3000</v>
      </c>
      <c r="AA642" s="25">
        <v>8</v>
      </c>
      <c r="AB642" s="27"/>
      <c r="AC642" s="27"/>
      <c r="AD642" s="27"/>
      <c r="AE642" s="27"/>
      <c r="AF642" s="27"/>
      <c r="AG642" s="31"/>
      <c r="AH642" s="27"/>
      <c r="AI642" s="25">
        <v>455393</v>
      </c>
      <c r="AJ642" s="25">
        <v>327883</v>
      </c>
      <c r="AK642" s="25">
        <v>40915</v>
      </c>
      <c r="AL642" s="25">
        <v>423200</v>
      </c>
      <c r="AM642" s="25">
        <v>58400</v>
      </c>
      <c r="AN642" s="25">
        <v>364800</v>
      </c>
      <c r="AO642" s="25">
        <v>0</v>
      </c>
      <c r="AP642" s="25">
        <f>Lookups!$B$56*0</f>
        <v>0</v>
      </c>
      <c r="AQ642" s="25">
        <f>Lookups!$B$56*1</f>
        <v>89850.625589999996</v>
      </c>
      <c r="AR642" s="25">
        <f>Lookups!$B$57*Inventory[[#This Row],[LnAcres]]</f>
        <v>-50946.13867709865</v>
      </c>
      <c r="AS642" s="25">
        <f>VLOOKUP(Inventory[[#This Row],[Qlty]],Lookups!$A$62:$E$75,2,FALSE)</f>
        <v>44121.038090000002</v>
      </c>
      <c r="AT642" s="25">
        <f>VLOOKUP(Inventory[[#This Row],[Cnd]],Lookups!$A$76:$E$84,2,FALSE)</f>
        <v>197752.34721000001</v>
      </c>
      <c r="AU642" s="25">
        <f>Inventory[[#This Row],[EffAge]]*Lookups!$B$85</f>
        <v>-11152.280025</v>
      </c>
      <c r="AV642" s="25">
        <f>Inventory[[#This Row],[MainFn]]*Lookups!$B$86</f>
        <v>63885.410150961005</v>
      </c>
      <c r="AW642" s="25">
        <f>Inventory[[#This Row],[UpprFn]]*Lookups!$B$87</f>
        <v>0</v>
      </c>
      <c r="AX642" s="25">
        <f>Inventory[[#This Row],[AddFn]]*Lookups!$B$88</f>
        <v>0</v>
      </c>
      <c r="AY642" s="25">
        <f>Inventory[[#This Row],[Bsmt]]*Lookups!$B$89</f>
        <v>37602.890554370999</v>
      </c>
      <c r="AZ642" s="25">
        <f>Inventory[[#This Row],[Fixtures]]*Lookups!$B$90</f>
        <v>30336.176841600001</v>
      </c>
      <c r="BA642" s="25">
        <f>Inventory[[#This Row],[WdDeck]]*Lookups!$B$91</f>
        <v>0</v>
      </c>
      <c r="BB642" s="25">
        <f>ROUND(Inventory[[#This Row],[25Det]],-2)</f>
        <v>40900</v>
      </c>
      <c r="BC642" s="25">
        <f>ROUND(SUM(Inventory[[#This Row],[Mdl Qlty]:[Mdl WdDeck]])+Inventory[[#This Row],[Mdl Res Intercept]],-2)</f>
        <v>362500</v>
      </c>
      <c r="BD642" s="25">
        <f>ROUND(Inventory[[#This Row],[Mdl Land Intercept]]+Inventory[[#This Row],[Mdl LnAcres]],-2)</f>
        <v>38900</v>
      </c>
      <c r="BE642" s="25">
        <f>Inventory[[#This Row],[Unadj Res Value]]+Inventory[[#This Row],[Unadj Det Value]]+Inventory[[#This Row],[Unadj Land Value]]</f>
        <v>442300</v>
      </c>
      <c r="BF642" s="36">
        <f>(Inventory[[#This Row],[Unadj Total Value]]-Inventory[[#This Row],[24Final]])/Inventory[[#This Row],[24Final]]</f>
        <v>4.5132325141776938E-2</v>
      </c>
      <c r="BG642" s="25">
        <f>VLOOKUP(Inventory[[#This Row],[Nbhd]],Lookups!$Q$2:$T$4,4,FALSE)</f>
        <v>0.99970000000000003</v>
      </c>
      <c r="BH642" s="25">
        <f>VLOOKUP(Inventory[[#This Row],[Qlty]],Lookups!$O$7:$R$21,4,FALSE)</f>
        <v>0.98050000000000004</v>
      </c>
      <c r="BI642" s="25">
        <f>VLOOKUP(Inventory[[#This Row],[Cnd]],Lookups!$T$7:$W$16,4,FALSE)</f>
        <v>0.99650000000000005</v>
      </c>
      <c r="BJ642" s="25">
        <f>VLOOKUP(Inventory[[#This Row],[LivArea Range]],Lookups!$T$25:$W$37,4,FALSE)</f>
        <v>0.96179999999999999</v>
      </c>
      <c r="BK642" s="25">
        <f>VLOOKUP(Inventory[[#This Row],[Decade]],Lookups!$O$25:$R$42,4,FALSE)</f>
        <v>1.0199</v>
      </c>
      <c r="BL642" s="25">
        <f>Inventory[[#This Row],[Nbhd Adj]]*0.95</f>
        <v>0.94971499999999998</v>
      </c>
      <c r="BM642" s="25">
        <f>Inventory[[#This Row],[Nbhd Adj]]*Inventory[[#This Row],[Quality Adj]]*Inventory[[#This Row],[Condition Adj]]*Inventory[[#This Row],[Living Area Adj]]*Inventory[[#This Row],[Decade Adj]]*0.95</f>
        <v>0.91024973874989379</v>
      </c>
      <c r="BN642" s="25">
        <f>ROUND(SUM(Inventory[[#This Row],[Mdl Qlty]:[Mdl WdDeck]])+Inventory[[#This Row],[Mdl Res Intercept]]*Inventory[[#This Row],[Res Adj ]],-2)</f>
        <v>362500</v>
      </c>
      <c r="BO642" s="25">
        <f>ROUND(Inventory[[#This Row],[25Det]]*Inventory[[#This Row],[Det/Nbhd Adj]],-2)</f>
        <v>38900</v>
      </c>
      <c r="BP642" s="25">
        <f>Inventory[[#This Row],[Adjusted Res]]+Inventory[[#This Row],[Adj Det ]]</f>
        <v>401400</v>
      </c>
      <c r="BQ642" s="25">
        <f>ROUND((Inventory[[#This Row],[Mdl Land Intercept]]+Inventory[[#This Row],[Mdl LnAcres]])*Inventory[[#This Row],[Det/Nbhd Adj]],-2)</f>
        <v>36900</v>
      </c>
      <c r="BR642" s="25">
        <f>Inventory[[#This Row],[Adjusted Impr Total]]+Inventory[[#This Row],[Adjusted Land Total]]</f>
        <v>438300</v>
      </c>
      <c r="BS642" s="36">
        <f>IFERROR((Inventory[[#This Row],[Adjusted Impr Total]]-Inventory[[#This Row],[24Bldg]])/Inventory[[#This Row],[24Bldg]],0)</f>
        <v>0.10032894736842106</v>
      </c>
      <c r="BT642" s="36">
        <f>(Inventory[[#This Row],[Adjusted Land Total]]-Inventory[[#This Row],[24Lnd]])/Inventory[[#This Row],[24Lnd]]</f>
        <v>-0.36815068493150682</v>
      </c>
      <c r="BU642" s="36">
        <f>(Inventory[[#This Row],[Adjusted Total]]-Inventory[[#This Row],[24Final]])/Inventory[[#This Row],[24Final]]</f>
        <v>3.5680529300567108E-2</v>
      </c>
    </row>
    <row r="643" spans="1:73" x14ac:dyDescent="0.3">
      <c r="A643" s="25">
        <v>2025</v>
      </c>
      <c r="B643" s="26" t="s">
        <v>2111</v>
      </c>
      <c r="C643" s="26">
        <f>LN(Inventory[[#This Row],[Acres]])</f>
        <v>-1.2378743560016174</v>
      </c>
      <c r="D643" s="25">
        <v>0.28999999999999998</v>
      </c>
      <c r="E643" s="25">
        <v>12600</v>
      </c>
      <c r="F643" s="26" t="s">
        <v>537</v>
      </c>
      <c r="G643" s="26" t="s">
        <v>126</v>
      </c>
      <c r="H643" s="26" t="s">
        <v>349</v>
      </c>
      <c r="I643" s="26" t="s">
        <v>538</v>
      </c>
      <c r="J643" s="26" t="s">
        <v>539</v>
      </c>
      <c r="K643" s="26" t="s">
        <v>241</v>
      </c>
      <c r="L643" s="26" t="s">
        <v>148</v>
      </c>
      <c r="M643" s="26" t="s">
        <v>323</v>
      </c>
      <c r="N643" s="26">
        <v>70</v>
      </c>
      <c r="O643" s="26">
        <f>2024-Inventory[[#This Row],[YrBlt]]</f>
        <v>69</v>
      </c>
      <c r="P643" s="26">
        <f>2024-Inventory[[#This Row],[EffYr]]</f>
        <v>50</v>
      </c>
      <c r="Q643" s="25">
        <v>1955</v>
      </c>
      <c r="R643" s="25">
        <v>1974</v>
      </c>
      <c r="S643" s="25">
        <v>1645</v>
      </c>
      <c r="T643" s="31"/>
      <c r="U643" s="25">
        <v>195</v>
      </c>
      <c r="V643" s="32">
        <f>Inventory[[#This Row],[Bsmt]]-Inventory[[#This Row],[FnBsmt]]</f>
        <v>195</v>
      </c>
      <c r="W643" s="27"/>
      <c r="X643" s="27"/>
      <c r="Y643" s="27">
        <f>Inventory[[#This Row],[MainFn]]+Inventory[[#This Row],[UpprFn]]+Inventory[[#This Row],[FnBsmt]]+Inventory[[#This Row],[AddFn]]</f>
        <v>1645</v>
      </c>
      <c r="Z643" s="27">
        <v>2000</v>
      </c>
      <c r="AA643" s="25">
        <v>8</v>
      </c>
      <c r="AB643" s="27"/>
      <c r="AC643" s="32">
        <v>578</v>
      </c>
      <c r="AD643" s="27"/>
      <c r="AE643" s="27"/>
      <c r="AF643" s="27"/>
      <c r="AG643" s="27"/>
      <c r="AH643" s="27"/>
      <c r="AI643" s="25">
        <v>406140</v>
      </c>
      <c r="AJ643" s="25">
        <v>284298</v>
      </c>
      <c r="AK643" s="25">
        <v>0</v>
      </c>
      <c r="AL643" s="25">
        <v>347100</v>
      </c>
      <c r="AM643" s="25">
        <v>71400</v>
      </c>
      <c r="AN643" s="25">
        <v>275700</v>
      </c>
      <c r="AO643" s="25">
        <v>0</v>
      </c>
      <c r="AP643" s="25">
        <f>Lookups!$B$56*0</f>
        <v>0</v>
      </c>
      <c r="AQ643" s="25">
        <f>Lookups!$B$56*1</f>
        <v>89850.625589999996</v>
      </c>
      <c r="AR643" s="25">
        <f>Lookups!$B$57*Inventory[[#This Row],[LnAcres]]</f>
        <v>-39184.437074869042</v>
      </c>
      <c r="AS643" s="25">
        <f>VLOOKUP(Inventory[[#This Row],[Qlty]],Lookups!$A$62:$E$75,2,FALSE)</f>
        <v>44121.038090000002</v>
      </c>
      <c r="AT643" s="25">
        <f>VLOOKUP(Inventory[[#This Row],[Cnd]],Lookups!$A$76:$E$84,2,FALSE)</f>
        <v>160472.20319</v>
      </c>
      <c r="AU643" s="25">
        <f>Inventory[[#This Row],[EffAge]]*Lookups!$B$85</f>
        <v>-11152.280025</v>
      </c>
      <c r="AV643" s="25">
        <f>Inventory[[#This Row],[MainFn]]*Lookups!$B$86</f>
        <v>81277.261947665</v>
      </c>
      <c r="AW643" s="25">
        <f>Inventory[[#This Row],[UpprFn]]*Lookups!$B$87</f>
        <v>0</v>
      </c>
      <c r="AX643" s="25">
        <f>Inventory[[#This Row],[AddFn]]*Lookups!$B$88</f>
        <v>0</v>
      </c>
      <c r="AY643" s="25">
        <f>Inventory[[#This Row],[Bsmt]]*Lookups!$B$89</f>
        <v>5670.9695731649999</v>
      </c>
      <c r="AZ643" s="25">
        <f>Inventory[[#This Row],[Fixtures]]*Lookups!$B$90</f>
        <v>30336.176841600001</v>
      </c>
      <c r="BA643" s="25">
        <f>Inventory[[#This Row],[WdDeck]]*Lookups!$B$91</f>
        <v>0</v>
      </c>
      <c r="BB643" s="25">
        <f>ROUND(Inventory[[#This Row],[25Det]],-2)</f>
        <v>0</v>
      </c>
      <c r="BC643" s="25">
        <f>ROUND(SUM(Inventory[[#This Row],[Mdl Qlty]:[Mdl WdDeck]])+Inventory[[#This Row],[Mdl Res Intercept]],-2)</f>
        <v>310700</v>
      </c>
      <c r="BD643" s="25">
        <f>ROUND(Inventory[[#This Row],[Mdl Land Intercept]]+Inventory[[#This Row],[Mdl LnAcres]],-2)</f>
        <v>50700</v>
      </c>
      <c r="BE643" s="25">
        <f>Inventory[[#This Row],[Unadj Res Value]]+Inventory[[#This Row],[Unadj Det Value]]+Inventory[[#This Row],[Unadj Land Value]]</f>
        <v>361400</v>
      </c>
      <c r="BF643" s="36">
        <f>(Inventory[[#This Row],[Unadj Total Value]]-Inventory[[#This Row],[24Final]])/Inventory[[#This Row],[24Final]]</f>
        <v>4.1198501872659173E-2</v>
      </c>
      <c r="BG643" s="25">
        <f>VLOOKUP(Inventory[[#This Row],[Nbhd]],Lookups!$Q$2:$T$4,4,FALSE)</f>
        <v>0.99970000000000003</v>
      </c>
      <c r="BH643" s="25">
        <f>VLOOKUP(Inventory[[#This Row],[Qlty]],Lookups!$O$7:$R$21,4,FALSE)</f>
        <v>0.98050000000000004</v>
      </c>
      <c r="BI643" s="25">
        <f>VLOOKUP(Inventory[[#This Row],[Cnd]],Lookups!$T$7:$W$16,4,FALSE)</f>
        <v>0.99729999999999996</v>
      </c>
      <c r="BJ643" s="25">
        <f>VLOOKUP(Inventory[[#This Row],[LivArea Range]],Lookups!$T$25:$W$37,4,FALSE)</f>
        <v>1.0093000000000001</v>
      </c>
      <c r="BK643" s="25">
        <f>VLOOKUP(Inventory[[#This Row],[Decade]],Lookups!$O$25:$R$42,4,FALSE)</f>
        <v>1.0199</v>
      </c>
      <c r="BL643" s="25">
        <f>Inventory[[#This Row],[Nbhd Adj]]*0.95</f>
        <v>0.94971499999999998</v>
      </c>
      <c r="BM643" s="25">
        <f>Inventory[[#This Row],[Nbhd Adj]]*Inventory[[#This Row],[Quality Adj]]*Inventory[[#This Row],[Condition Adj]]*Inventory[[#This Row],[Living Area Adj]]*Inventory[[#This Row],[Decade Adj]]*0.95</f>
        <v>0.95597069536964641</v>
      </c>
      <c r="BN643" s="25">
        <f>ROUND(SUM(Inventory[[#This Row],[Mdl Qlty]:[Mdl WdDeck]])+Inventory[[#This Row],[Mdl Res Intercept]]*Inventory[[#This Row],[Res Adj ]],-2)</f>
        <v>310700</v>
      </c>
      <c r="BO643" s="25">
        <f>ROUND(Inventory[[#This Row],[25Det]]*Inventory[[#This Row],[Det/Nbhd Adj]],-2)</f>
        <v>0</v>
      </c>
      <c r="BP643" s="25">
        <f>Inventory[[#This Row],[Adjusted Res]]+Inventory[[#This Row],[Adj Det ]]</f>
        <v>310700</v>
      </c>
      <c r="BQ643" s="25">
        <f>ROUND((Inventory[[#This Row],[Mdl Land Intercept]]+Inventory[[#This Row],[Mdl LnAcres]])*Inventory[[#This Row],[Det/Nbhd Adj]],-2)</f>
        <v>48100</v>
      </c>
      <c r="BR643" s="25">
        <f>Inventory[[#This Row],[Adjusted Impr Total]]+Inventory[[#This Row],[Adjusted Land Total]]</f>
        <v>358800</v>
      </c>
      <c r="BS643" s="36">
        <f>IFERROR((Inventory[[#This Row],[Adjusted Impr Total]]-Inventory[[#This Row],[24Bldg]])/Inventory[[#This Row],[24Bldg]],0)</f>
        <v>0.12694958287994196</v>
      </c>
      <c r="BT643" s="36">
        <f>(Inventory[[#This Row],[Adjusted Land Total]]-Inventory[[#This Row],[24Lnd]])/Inventory[[#This Row],[24Lnd]]</f>
        <v>-0.32633053221288516</v>
      </c>
      <c r="BU643" s="36">
        <f>(Inventory[[#This Row],[Adjusted Total]]-Inventory[[#This Row],[24Final]])/Inventory[[#This Row],[24Final]]</f>
        <v>3.3707865168539325E-2</v>
      </c>
    </row>
    <row r="644" spans="1:73" x14ac:dyDescent="0.3">
      <c r="A644" s="25">
        <v>2025</v>
      </c>
      <c r="B644" s="26" t="s">
        <v>1379</v>
      </c>
      <c r="C644" s="26">
        <f>LN(Inventory[[#This Row],[Acres]])</f>
        <v>-1.4271163556401458</v>
      </c>
      <c r="D644" s="25">
        <v>0.24</v>
      </c>
      <c r="E644" s="25">
        <v>10359</v>
      </c>
      <c r="F644" s="26" t="s">
        <v>537</v>
      </c>
      <c r="G644" s="26" t="s">
        <v>126</v>
      </c>
      <c r="H644" s="26" t="s">
        <v>349</v>
      </c>
      <c r="I644" s="26" t="s">
        <v>538</v>
      </c>
      <c r="J644" s="26" t="s">
        <v>539</v>
      </c>
      <c r="K644" s="26" t="s">
        <v>241</v>
      </c>
      <c r="L644" s="26" t="s">
        <v>148</v>
      </c>
      <c r="M644" s="26" t="s">
        <v>303</v>
      </c>
      <c r="N644" s="26">
        <v>70</v>
      </c>
      <c r="O644" s="26">
        <f>2024-Inventory[[#This Row],[YrBlt]]</f>
        <v>69</v>
      </c>
      <c r="P644" s="26">
        <f>2024-Inventory[[#This Row],[EffYr]]</f>
        <v>50</v>
      </c>
      <c r="Q644" s="25">
        <v>1955</v>
      </c>
      <c r="R644" s="25">
        <v>1974</v>
      </c>
      <c r="S644" s="25">
        <v>1449</v>
      </c>
      <c r="T644" s="31"/>
      <c r="U644" s="25">
        <v>1449</v>
      </c>
      <c r="V644" s="32">
        <f>Inventory[[#This Row],[Bsmt]]-Inventory[[#This Row],[FnBsmt]]</f>
        <v>0</v>
      </c>
      <c r="W644" s="32">
        <v>1449</v>
      </c>
      <c r="X644" s="27"/>
      <c r="Y644" s="27">
        <f>Inventory[[#This Row],[MainFn]]+Inventory[[#This Row],[UpprFn]]+Inventory[[#This Row],[FnBsmt]]+Inventory[[#This Row],[AddFn]]</f>
        <v>2898</v>
      </c>
      <c r="Z644" s="27">
        <v>3000</v>
      </c>
      <c r="AA644" s="25">
        <v>8</v>
      </c>
      <c r="AB644" s="27"/>
      <c r="AC644" s="27"/>
      <c r="AD644" s="31"/>
      <c r="AE644" s="27"/>
      <c r="AF644" s="27"/>
      <c r="AG644" s="27"/>
      <c r="AH644" s="27"/>
      <c r="AI644" s="25">
        <v>478358</v>
      </c>
      <c r="AJ644" s="25">
        <v>344418</v>
      </c>
      <c r="AK644" s="25">
        <v>13168</v>
      </c>
      <c r="AL644" s="25">
        <v>416900</v>
      </c>
      <c r="AM644" s="25">
        <v>64800</v>
      </c>
      <c r="AN644" s="25">
        <v>352100</v>
      </c>
      <c r="AO644" s="25">
        <v>0</v>
      </c>
      <c r="AP644" s="25">
        <f>Lookups!$B$56*0</f>
        <v>0</v>
      </c>
      <c r="AQ644" s="25">
        <f>Lookups!$B$56*1</f>
        <v>89850.625589999996</v>
      </c>
      <c r="AR644" s="25">
        <f>Lookups!$B$57*Inventory[[#This Row],[LnAcres]]</f>
        <v>-45174.819855485119</v>
      </c>
      <c r="AS644" s="25">
        <f>VLOOKUP(Inventory[[#This Row],[Qlty]],Lookups!$A$62:$E$75,2,FALSE)</f>
        <v>44121.038090000002</v>
      </c>
      <c r="AT644" s="25">
        <f>VLOOKUP(Inventory[[#This Row],[Cnd]],Lookups!$A$76:$E$84,2,FALSE)</f>
        <v>197752.34721000001</v>
      </c>
      <c r="AU644" s="25">
        <f>Inventory[[#This Row],[EffAge]]*Lookups!$B$85</f>
        <v>-11152.280025</v>
      </c>
      <c r="AV644" s="25">
        <f>Inventory[[#This Row],[MainFn]]*Lookups!$B$86</f>
        <v>71593.162651773004</v>
      </c>
      <c r="AW644" s="25">
        <f>Inventory[[#This Row],[UpprFn]]*Lookups!$B$87</f>
        <v>0</v>
      </c>
      <c r="AX644" s="25">
        <f>Inventory[[#This Row],[AddFn]]*Lookups!$B$88</f>
        <v>0</v>
      </c>
      <c r="AY644" s="25">
        <f>Inventory[[#This Row],[Bsmt]]*Lookups!$B$89</f>
        <v>42139.666212903001</v>
      </c>
      <c r="AZ644" s="25">
        <f>Inventory[[#This Row],[Fixtures]]*Lookups!$B$90</f>
        <v>30336.176841600001</v>
      </c>
      <c r="BA644" s="25">
        <f>Inventory[[#This Row],[WdDeck]]*Lookups!$B$91</f>
        <v>0</v>
      </c>
      <c r="BB644" s="25">
        <f>ROUND(Inventory[[#This Row],[25Det]],-2)</f>
        <v>13200</v>
      </c>
      <c r="BC644" s="25">
        <f>ROUND(SUM(Inventory[[#This Row],[Mdl Qlty]:[Mdl WdDeck]])+Inventory[[#This Row],[Mdl Res Intercept]],-2)</f>
        <v>374800</v>
      </c>
      <c r="BD644" s="25">
        <f>ROUND(Inventory[[#This Row],[Mdl Land Intercept]]+Inventory[[#This Row],[Mdl LnAcres]],-2)</f>
        <v>44700</v>
      </c>
      <c r="BE644" s="25">
        <f>Inventory[[#This Row],[Unadj Res Value]]+Inventory[[#This Row],[Unadj Det Value]]+Inventory[[#This Row],[Unadj Land Value]]</f>
        <v>432700</v>
      </c>
      <c r="BF644" s="36">
        <f>(Inventory[[#This Row],[Unadj Total Value]]-Inventory[[#This Row],[24Final]])/Inventory[[#This Row],[24Final]]</f>
        <v>3.7898776685056368E-2</v>
      </c>
      <c r="BG644" s="25">
        <f>VLOOKUP(Inventory[[#This Row],[Nbhd]],Lookups!$Q$2:$T$4,4,FALSE)</f>
        <v>0.99970000000000003</v>
      </c>
      <c r="BH644" s="25">
        <f>VLOOKUP(Inventory[[#This Row],[Qlty]],Lookups!$O$7:$R$21,4,FALSE)</f>
        <v>0.98050000000000004</v>
      </c>
      <c r="BI644" s="25">
        <f>VLOOKUP(Inventory[[#This Row],[Cnd]],Lookups!$T$7:$W$16,4,FALSE)</f>
        <v>0.99650000000000005</v>
      </c>
      <c r="BJ644" s="25">
        <f>VLOOKUP(Inventory[[#This Row],[LivArea Range]],Lookups!$T$25:$W$37,4,FALSE)</f>
        <v>0.96179999999999999</v>
      </c>
      <c r="BK644" s="25">
        <f>VLOOKUP(Inventory[[#This Row],[Decade]],Lookups!$O$25:$R$42,4,FALSE)</f>
        <v>1.0199</v>
      </c>
      <c r="BL644" s="25">
        <f>Inventory[[#This Row],[Nbhd Adj]]*0.95</f>
        <v>0.94971499999999998</v>
      </c>
      <c r="BM644" s="25">
        <f>Inventory[[#This Row],[Nbhd Adj]]*Inventory[[#This Row],[Quality Adj]]*Inventory[[#This Row],[Condition Adj]]*Inventory[[#This Row],[Living Area Adj]]*Inventory[[#This Row],[Decade Adj]]*0.95</f>
        <v>0.91024973874989379</v>
      </c>
      <c r="BN644" s="25">
        <f>ROUND(SUM(Inventory[[#This Row],[Mdl Qlty]:[Mdl WdDeck]])+Inventory[[#This Row],[Mdl Res Intercept]]*Inventory[[#This Row],[Res Adj ]],-2)</f>
        <v>374800</v>
      </c>
      <c r="BO644" s="25">
        <f>ROUND(Inventory[[#This Row],[25Det]]*Inventory[[#This Row],[Det/Nbhd Adj]],-2)</f>
        <v>12500</v>
      </c>
      <c r="BP644" s="25">
        <f>Inventory[[#This Row],[Adjusted Res]]+Inventory[[#This Row],[Adj Det ]]</f>
        <v>387300</v>
      </c>
      <c r="BQ644" s="25">
        <f>ROUND((Inventory[[#This Row],[Mdl Land Intercept]]+Inventory[[#This Row],[Mdl LnAcres]])*Inventory[[#This Row],[Det/Nbhd Adj]],-2)</f>
        <v>42400</v>
      </c>
      <c r="BR644" s="25">
        <f>Inventory[[#This Row],[Adjusted Impr Total]]+Inventory[[#This Row],[Adjusted Land Total]]</f>
        <v>429700</v>
      </c>
      <c r="BS644" s="36">
        <f>IFERROR((Inventory[[#This Row],[Adjusted Impr Total]]-Inventory[[#This Row],[24Bldg]])/Inventory[[#This Row],[24Bldg]],0)</f>
        <v>9.9971598977563192E-2</v>
      </c>
      <c r="BT644" s="36">
        <f>(Inventory[[#This Row],[Adjusted Land Total]]-Inventory[[#This Row],[24Lnd]])/Inventory[[#This Row],[24Lnd]]</f>
        <v>-0.34567901234567899</v>
      </c>
      <c r="BU644" s="36">
        <f>(Inventory[[#This Row],[Adjusted Total]]-Inventory[[#This Row],[24Final]])/Inventory[[#This Row],[24Final]]</f>
        <v>3.0702806428400096E-2</v>
      </c>
    </row>
    <row r="645" spans="1:73" x14ac:dyDescent="0.3">
      <c r="A645" s="25">
        <v>2025</v>
      </c>
      <c r="B645" s="26" t="s">
        <v>2807</v>
      </c>
      <c r="C645" s="26">
        <f>LN(Inventory[[#This Row],[Acres]])</f>
        <v>-1.6607312068216509</v>
      </c>
      <c r="D645" s="25">
        <v>0.19</v>
      </c>
      <c r="E645" s="27"/>
      <c r="F645" s="26" t="s">
        <v>537</v>
      </c>
      <c r="G645" s="26" t="s">
        <v>126</v>
      </c>
      <c r="H645" s="26" t="s">
        <v>349</v>
      </c>
      <c r="I645" s="26" t="s">
        <v>538</v>
      </c>
      <c r="J645" s="26" t="s">
        <v>539</v>
      </c>
      <c r="K645" s="26" t="s">
        <v>241</v>
      </c>
      <c r="L645" s="26" t="s">
        <v>351</v>
      </c>
      <c r="M645" s="26" t="s">
        <v>206</v>
      </c>
      <c r="N645" s="26">
        <v>70</v>
      </c>
      <c r="O645" s="26">
        <f>2024-Inventory[[#This Row],[YrBlt]]</f>
        <v>69</v>
      </c>
      <c r="P645" s="26">
        <f>2024-Inventory[[#This Row],[EffYr]]</f>
        <v>50</v>
      </c>
      <c r="Q645" s="25">
        <v>1955</v>
      </c>
      <c r="R645" s="25">
        <v>1974</v>
      </c>
      <c r="S645" s="25">
        <v>1440</v>
      </c>
      <c r="T645" s="31"/>
      <c r="U645" s="31"/>
      <c r="V645" s="31">
        <f>Inventory[[#This Row],[Bsmt]]-Inventory[[#This Row],[FnBsmt]]</f>
        <v>0</v>
      </c>
      <c r="W645" s="31"/>
      <c r="X645" s="27"/>
      <c r="Y645" s="27">
        <f>Inventory[[#This Row],[MainFn]]+Inventory[[#This Row],[UpprFn]]+Inventory[[#This Row],[FnBsmt]]+Inventory[[#This Row],[AddFn]]</f>
        <v>1440</v>
      </c>
      <c r="Z645" s="27">
        <v>1500</v>
      </c>
      <c r="AA645" s="25">
        <v>7</v>
      </c>
      <c r="AB645" s="32">
        <v>600</v>
      </c>
      <c r="AC645" s="31"/>
      <c r="AD645" s="27"/>
      <c r="AE645" s="27"/>
      <c r="AF645" s="27"/>
      <c r="AG645" s="27"/>
      <c r="AH645" s="27"/>
      <c r="AI645" s="25">
        <v>262369</v>
      </c>
      <c r="AJ645" s="25">
        <v>181035</v>
      </c>
      <c r="AK645" s="25">
        <v>0</v>
      </c>
      <c r="AL645" s="25">
        <v>269000</v>
      </c>
      <c r="AM645" s="25">
        <v>56600</v>
      </c>
      <c r="AN645" s="25">
        <v>212400</v>
      </c>
      <c r="AO645" s="25">
        <v>0</v>
      </c>
      <c r="AP645" s="25">
        <f>Lookups!$B$56*0</f>
        <v>0</v>
      </c>
      <c r="AQ645" s="25">
        <f>Lookups!$B$56*1</f>
        <v>89850.625589999996</v>
      </c>
      <c r="AR645" s="25">
        <f>Lookups!$B$57*Inventory[[#This Row],[LnAcres]]</f>
        <v>-52569.808201026557</v>
      </c>
      <c r="AS645" s="25">
        <f>VLOOKUP(Inventory[[#This Row],[Qlty]],Lookups!$A$62:$E$75,2,FALSE)</f>
        <v>21557.329055999999</v>
      </c>
      <c r="AT645" s="25">
        <f>VLOOKUP(Inventory[[#This Row],[Cnd]],Lookups!$A$76:$E$84,2,FALSE)</f>
        <v>133714.53821</v>
      </c>
      <c r="AU645" s="25">
        <f>Inventory[[#This Row],[EffAge]]*Lookups!$B$85</f>
        <v>-11152.280025</v>
      </c>
      <c r="AV645" s="25">
        <f>Inventory[[#This Row],[MainFn]]*Lookups!$B$86</f>
        <v>71148.484622880002</v>
      </c>
      <c r="AW645" s="25">
        <f>Inventory[[#This Row],[UpprFn]]*Lookups!$B$87</f>
        <v>0</v>
      </c>
      <c r="AX645" s="25">
        <f>Inventory[[#This Row],[AddFn]]*Lookups!$B$88</f>
        <v>0</v>
      </c>
      <c r="AY645" s="25">
        <f>Inventory[[#This Row],[Bsmt]]*Lookups!$B$89</f>
        <v>0</v>
      </c>
      <c r="AZ645" s="25">
        <f>Inventory[[#This Row],[Fixtures]]*Lookups!$B$90</f>
        <v>26544.1547364</v>
      </c>
      <c r="BA645" s="25">
        <f>Inventory[[#This Row],[WdDeck]]*Lookups!$B$91</f>
        <v>0</v>
      </c>
      <c r="BB645" s="25">
        <f>ROUND(Inventory[[#This Row],[25Det]],-2)</f>
        <v>0</v>
      </c>
      <c r="BC645" s="25">
        <f>ROUND(SUM(Inventory[[#This Row],[Mdl Qlty]:[Mdl WdDeck]])+Inventory[[#This Row],[Mdl Res Intercept]],-2)</f>
        <v>241800</v>
      </c>
      <c r="BD645" s="25">
        <f>ROUND(Inventory[[#This Row],[Mdl Land Intercept]]+Inventory[[#This Row],[Mdl LnAcres]],-2)</f>
        <v>37300</v>
      </c>
      <c r="BE645" s="25">
        <f>Inventory[[#This Row],[Unadj Res Value]]+Inventory[[#This Row],[Unadj Det Value]]+Inventory[[#This Row],[Unadj Land Value]]</f>
        <v>279100</v>
      </c>
      <c r="BF645" s="36">
        <f>(Inventory[[#This Row],[Unadj Total Value]]-Inventory[[#This Row],[24Final]])/Inventory[[#This Row],[24Final]]</f>
        <v>3.7546468401486989E-2</v>
      </c>
      <c r="BG645" s="25">
        <f>VLOOKUP(Inventory[[#This Row],[Nbhd]],Lookups!$Q$2:$T$4,4,FALSE)</f>
        <v>0.99970000000000003</v>
      </c>
      <c r="BH645" s="25">
        <f>VLOOKUP(Inventory[[#This Row],[Qlty]],Lookups!$O$7:$R$21,4,FALSE)</f>
        <v>1.0067999999999999</v>
      </c>
      <c r="BI645" s="25">
        <f>VLOOKUP(Inventory[[#This Row],[Cnd]],Lookups!$T$7:$W$16,4,FALSE)</f>
        <v>0.99329999999999996</v>
      </c>
      <c r="BJ645" s="25">
        <f>VLOOKUP(Inventory[[#This Row],[LivArea Range]],Lookups!$T$25:$W$37,4,FALSE)</f>
        <v>1.0157</v>
      </c>
      <c r="BK645" s="25">
        <f>VLOOKUP(Inventory[[#This Row],[Decade]],Lookups!$O$25:$R$42,4,FALSE)</f>
        <v>1.0199</v>
      </c>
      <c r="BL645" s="25">
        <f>Inventory[[#This Row],[Nbhd Adj]]*0.95</f>
        <v>0.94971499999999998</v>
      </c>
      <c r="BM645" s="25">
        <f>Inventory[[#This Row],[Nbhd Adj]]*Inventory[[#This Row],[Quality Adj]]*Inventory[[#This Row],[Condition Adj]]*Inventory[[#This Row],[Living Area Adj]]*Inventory[[#This Row],[Decade Adj]]*0.95</f>
        <v>0.98387513270390892</v>
      </c>
      <c r="BN645" s="25">
        <f>ROUND(SUM(Inventory[[#This Row],[Mdl Qlty]:[Mdl WdDeck]])+Inventory[[#This Row],[Mdl Res Intercept]]*Inventory[[#This Row],[Res Adj ]],-2)</f>
        <v>241800</v>
      </c>
      <c r="BO645" s="25">
        <f>ROUND(Inventory[[#This Row],[25Det]]*Inventory[[#This Row],[Det/Nbhd Adj]],-2)</f>
        <v>0</v>
      </c>
      <c r="BP645" s="25">
        <f>Inventory[[#This Row],[Adjusted Res]]+Inventory[[#This Row],[Adj Det ]]</f>
        <v>241800</v>
      </c>
      <c r="BQ645" s="25">
        <f>ROUND((Inventory[[#This Row],[Mdl Land Intercept]]+Inventory[[#This Row],[Mdl LnAcres]])*Inventory[[#This Row],[Det/Nbhd Adj]],-2)</f>
        <v>35400</v>
      </c>
      <c r="BR645" s="25">
        <f>Inventory[[#This Row],[Adjusted Impr Total]]+Inventory[[#This Row],[Adjusted Land Total]]</f>
        <v>277200</v>
      </c>
      <c r="BS645" s="36">
        <f>IFERROR((Inventory[[#This Row],[Adjusted Impr Total]]-Inventory[[#This Row],[24Bldg]])/Inventory[[#This Row],[24Bldg]],0)</f>
        <v>0.1384180790960452</v>
      </c>
      <c r="BT645" s="36">
        <f>(Inventory[[#This Row],[Adjusted Land Total]]-Inventory[[#This Row],[24Lnd]])/Inventory[[#This Row],[24Lnd]]</f>
        <v>-0.37455830388692579</v>
      </c>
      <c r="BU645" s="36">
        <f>(Inventory[[#This Row],[Adjusted Total]]-Inventory[[#This Row],[24Final]])/Inventory[[#This Row],[24Final]]</f>
        <v>3.0483271375464683E-2</v>
      </c>
    </row>
    <row r="646" spans="1:73" x14ac:dyDescent="0.3">
      <c r="A646" s="25">
        <v>2025</v>
      </c>
      <c r="B646" s="26" t="s">
        <v>1723</v>
      </c>
      <c r="C646" s="26">
        <f>LN(Inventory[[#This Row],[Acres]])</f>
        <v>-1.9661128563728327</v>
      </c>
      <c r="D646" s="25">
        <v>0.14000000000000001</v>
      </c>
      <c r="E646" s="25">
        <v>5941</v>
      </c>
      <c r="F646" s="26" t="s">
        <v>537</v>
      </c>
      <c r="G646" s="26" t="s">
        <v>126</v>
      </c>
      <c r="H646" s="26" t="s">
        <v>349</v>
      </c>
      <c r="I646" s="26" t="s">
        <v>538</v>
      </c>
      <c r="J646" s="26" t="s">
        <v>539</v>
      </c>
      <c r="K646" s="26" t="s">
        <v>242</v>
      </c>
      <c r="L646" s="26" t="s">
        <v>205</v>
      </c>
      <c r="M646" s="26" t="s">
        <v>323</v>
      </c>
      <c r="N646" s="26">
        <v>70</v>
      </c>
      <c r="O646" s="26">
        <f>2024-Inventory[[#This Row],[YrBlt]]</f>
        <v>69</v>
      </c>
      <c r="P646" s="26">
        <f>2024-Inventory[[#This Row],[EffYr]]</f>
        <v>50</v>
      </c>
      <c r="Q646" s="25">
        <v>1955</v>
      </c>
      <c r="R646" s="25">
        <v>1974</v>
      </c>
      <c r="S646" s="25">
        <v>734</v>
      </c>
      <c r="T646" s="27"/>
      <c r="U646" s="31"/>
      <c r="V646" s="31">
        <f>Inventory[[#This Row],[Bsmt]]-Inventory[[#This Row],[FnBsmt]]</f>
        <v>0</v>
      </c>
      <c r="W646" s="31"/>
      <c r="X646" s="27"/>
      <c r="Y646" s="27">
        <f>Inventory[[#This Row],[MainFn]]+Inventory[[#This Row],[UpprFn]]+Inventory[[#This Row],[FnBsmt]]+Inventory[[#This Row],[AddFn]]</f>
        <v>734</v>
      </c>
      <c r="Z646" s="27">
        <v>1000</v>
      </c>
      <c r="AA646" s="25">
        <v>5</v>
      </c>
      <c r="AB646" s="27"/>
      <c r="AC646" s="27"/>
      <c r="AD646" s="27"/>
      <c r="AE646" s="27"/>
      <c r="AF646" s="27"/>
      <c r="AG646" s="27"/>
      <c r="AH646" s="27"/>
      <c r="AI646" s="25">
        <v>114758</v>
      </c>
      <c r="AJ646" s="25">
        <v>80331</v>
      </c>
      <c r="AK646" s="25">
        <v>8623</v>
      </c>
      <c r="AL646" s="25">
        <v>231900</v>
      </c>
      <c r="AM646" s="25">
        <v>46000</v>
      </c>
      <c r="AN646" s="25">
        <v>185900</v>
      </c>
      <c r="AO646" s="25">
        <v>0</v>
      </c>
      <c r="AP646" s="25">
        <f>Lookups!$B$56*0</f>
        <v>0</v>
      </c>
      <c r="AQ646" s="25">
        <f>Lookups!$B$56*1</f>
        <v>89850.625589999996</v>
      </c>
      <c r="AR646" s="25">
        <f>Lookups!$B$57*Inventory[[#This Row],[LnAcres]]</f>
        <v>-62236.546971921947</v>
      </c>
      <c r="AS646" s="25">
        <f>VLOOKUP(Inventory[[#This Row],[Qlty]],Lookups!$A$62:$E$75,2,FALSE)</f>
        <v>0</v>
      </c>
      <c r="AT646" s="25">
        <f>VLOOKUP(Inventory[[#This Row],[Cnd]],Lookups!$A$76:$E$84,2,FALSE)</f>
        <v>160472.20319</v>
      </c>
      <c r="AU646" s="25">
        <f>Inventory[[#This Row],[EffAge]]*Lookups!$B$85</f>
        <v>-11152.280025</v>
      </c>
      <c r="AV646" s="25">
        <f>Inventory[[#This Row],[MainFn]]*Lookups!$B$86</f>
        <v>36265.963689718003</v>
      </c>
      <c r="AW646" s="25">
        <f>Inventory[[#This Row],[UpprFn]]*Lookups!$B$87</f>
        <v>0</v>
      </c>
      <c r="AX646" s="25">
        <f>Inventory[[#This Row],[AddFn]]*Lookups!$B$88</f>
        <v>0</v>
      </c>
      <c r="AY646" s="25">
        <f>Inventory[[#This Row],[Bsmt]]*Lookups!$B$89</f>
        <v>0</v>
      </c>
      <c r="AZ646" s="25">
        <f>Inventory[[#This Row],[Fixtures]]*Lookups!$B$90</f>
        <v>18960.110526</v>
      </c>
      <c r="BA646" s="25">
        <f>Inventory[[#This Row],[WdDeck]]*Lookups!$B$91</f>
        <v>0</v>
      </c>
      <c r="BB646" s="25">
        <f>ROUND(Inventory[[#This Row],[25Det]],-2)</f>
        <v>8600</v>
      </c>
      <c r="BC646" s="25">
        <f>ROUND(SUM(Inventory[[#This Row],[Mdl Qlty]:[Mdl WdDeck]])+Inventory[[#This Row],[Mdl Res Intercept]],-2)</f>
        <v>204500</v>
      </c>
      <c r="BD646" s="25">
        <f>ROUND(Inventory[[#This Row],[Mdl Land Intercept]]+Inventory[[#This Row],[Mdl LnAcres]],-2)</f>
        <v>27600</v>
      </c>
      <c r="BE646" s="25">
        <f>Inventory[[#This Row],[Unadj Res Value]]+Inventory[[#This Row],[Unadj Det Value]]+Inventory[[#This Row],[Unadj Land Value]]</f>
        <v>240700</v>
      </c>
      <c r="BF646" s="36">
        <f>(Inventory[[#This Row],[Unadj Total Value]]-Inventory[[#This Row],[24Final]])/Inventory[[#This Row],[24Final]]</f>
        <v>3.7947391116860713E-2</v>
      </c>
      <c r="BG646" s="25">
        <f>VLOOKUP(Inventory[[#This Row],[Nbhd]],Lookups!$Q$2:$T$4,4,FALSE)</f>
        <v>0.99970000000000003</v>
      </c>
      <c r="BH646" s="25">
        <f>VLOOKUP(Inventory[[#This Row],[Qlty]],Lookups!$O$7:$R$21,4,FALSE)</f>
        <v>0.99180000000000001</v>
      </c>
      <c r="BI646" s="25">
        <f>VLOOKUP(Inventory[[#This Row],[Cnd]],Lookups!$T$7:$W$16,4,FALSE)</f>
        <v>0.99729999999999996</v>
      </c>
      <c r="BJ646" s="25">
        <f>VLOOKUP(Inventory[[#This Row],[LivArea Range]],Lookups!$T$25:$W$37,4,FALSE)</f>
        <v>1.0148999999999999</v>
      </c>
      <c r="BK646" s="25">
        <f>VLOOKUP(Inventory[[#This Row],[Decade]],Lookups!$O$25:$R$42,4,FALSE)</f>
        <v>1.0199</v>
      </c>
      <c r="BL646" s="25">
        <f>Inventory[[#This Row],[Nbhd Adj]]*0.95</f>
        <v>0.94971499999999998</v>
      </c>
      <c r="BM646" s="25">
        <f>Inventory[[#This Row],[Nbhd Adj]]*Inventory[[#This Row],[Quality Adj]]*Inventory[[#This Row],[Condition Adj]]*Inventory[[#This Row],[Living Area Adj]]*Inventory[[#This Row],[Decade Adj]]*0.95</f>
        <v>0.97235323781444771</v>
      </c>
      <c r="BN646" s="25">
        <f>ROUND(SUM(Inventory[[#This Row],[Mdl Qlty]:[Mdl WdDeck]])+Inventory[[#This Row],[Mdl Res Intercept]]*Inventory[[#This Row],[Res Adj ]],-2)</f>
        <v>204500</v>
      </c>
      <c r="BO646" s="25">
        <f>ROUND(Inventory[[#This Row],[25Det]]*Inventory[[#This Row],[Det/Nbhd Adj]],-2)</f>
        <v>8200</v>
      </c>
      <c r="BP646" s="25">
        <f>Inventory[[#This Row],[Adjusted Res]]+Inventory[[#This Row],[Adj Det ]]</f>
        <v>212700</v>
      </c>
      <c r="BQ646" s="25">
        <f>ROUND((Inventory[[#This Row],[Mdl Land Intercept]]+Inventory[[#This Row],[Mdl LnAcres]])*Inventory[[#This Row],[Det/Nbhd Adj]],-2)</f>
        <v>26200</v>
      </c>
      <c r="BR646" s="25">
        <f>Inventory[[#This Row],[Adjusted Impr Total]]+Inventory[[#This Row],[Adjusted Land Total]]</f>
        <v>238900</v>
      </c>
      <c r="BS646" s="36">
        <f>IFERROR((Inventory[[#This Row],[Adjusted Impr Total]]-Inventory[[#This Row],[24Bldg]])/Inventory[[#This Row],[24Bldg]],0)</f>
        <v>0.14416352877891339</v>
      </c>
      <c r="BT646" s="36">
        <f>(Inventory[[#This Row],[Adjusted Land Total]]-Inventory[[#This Row],[24Lnd]])/Inventory[[#This Row],[24Lnd]]</f>
        <v>-0.43043478260869567</v>
      </c>
      <c r="BU646" s="36">
        <f>(Inventory[[#This Row],[Adjusted Total]]-Inventory[[#This Row],[24Final]])/Inventory[[#This Row],[24Final]]</f>
        <v>3.0185424752048298E-2</v>
      </c>
    </row>
    <row r="647" spans="1:73" x14ac:dyDescent="0.3">
      <c r="A647" s="25">
        <v>2025</v>
      </c>
      <c r="B647" s="26" t="s">
        <v>1733</v>
      </c>
      <c r="C647" s="26">
        <f>LN(Inventory[[#This Row],[Acres]])</f>
        <v>-1.6607312068216509</v>
      </c>
      <c r="D647" s="25">
        <v>0.19</v>
      </c>
      <c r="E647" s="31"/>
      <c r="F647" s="26" t="s">
        <v>537</v>
      </c>
      <c r="G647" s="26" t="s">
        <v>126</v>
      </c>
      <c r="H647" s="26" t="s">
        <v>349</v>
      </c>
      <c r="I647" s="26" t="s">
        <v>538</v>
      </c>
      <c r="J647" s="26" t="s">
        <v>539</v>
      </c>
      <c r="K647" s="26" t="s">
        <v>242</v>
      </c>
      <c r="L647" s="26" t="s">
        <v>351</v>
      </c>
      <c r="M647" s="26" t="s">
        <v>323</v>
      </c>
      <c r="N647" s="26">
        <v>70</v>
      </c>
      <c r="O647" s="26">
        <f>2024-Inventory[[#This Row],[YrBlt]]</f>
        <v>69</v>
      </c>
      <c r="P647" s="26">
        <f>2024-Inventory[[#This Row],[EffYr]]</f>
        <v>50</v>
      </c>
      <c r="Q647" s="25">
        <v>1955</v>
      </c>
      <c r="R647" s="25">
        <v>1974</v>
      </c>
      <c r="S647" s="25">
        <v>1439</v>
      </c>
      <c r="T647" s="31"/>
      <c r="U647" s="25">
        <v>1439</v>
      </c>
      <c r="V647" s="32">
        <f>Inventory[[#This Row],[Bsmt]]-Inventory[[#This Row],[FnBsmt]]</f>
        <v>719</v>
      </c>
      <c r="W647" s="32">
        <v>720</v>
      </c>
      <c r="X647" s="27"/>
      <c r="Y647" s="27">
        <f>Inventory[[#This Row],[MainFn]]+Inventory[[#This Row],[UpprFn]]+Inventory[[#This Row],[FnBsmt]]+Inventory[[#This Row],[AddFn]]</f>
        <v>2159</v>
      </c>
      <c r="Z647" s="27">
        <v>2500</v>
      </c>
      <c r="AA647" s="25">
        <v>8</v>
      </c>
      <c r="AB647" s="31"/>
      <c r="AC647" s="27"/>
      <c r="AD647" s="31"/>
      <c r="AE647" s="27"/>
      <c r="AF647" s="27"/>
      <c r="AG647" s="27"/>
      <c r="AH647" s="27"/>
      <c r="AI647" s="25">
        <v>311892</v>
      </c>
      <c r="AJ647" s="25">
        <v>218324</v>
      </c>
      <c r="AK647" s="25">
        <v>0</v>
      </c>
      <c r="AL647" s="25">
        <v>339500</v>
      </c>
      <c r="AM647" s="25">
        <v>56600</v>
      </c>
      <c r="AN647" s="25">
        <v>282900</v>
      </c>
      <c r="AO647" s="25">
        <v>0</v>
      </c>
      <c r="AP647" s="25">
        <f>Lookups!$B$56*0</f>
        <v>0</v>
      </c>
      <c r="AQ647" s="25">
        <f>Lookups!$B$56*1</f>
        <v>89850.625589999996</v>
      </c>
      <c r="AR647" s="25">
        <f>Lookups!$B$57*Inventory[[#This Row],[LnAcres]]</f>
        <v>-52569.808201026557</v>
      </c>
      <c r="AS647" s="25">
        <f>VLOOKUP(Inventory[[#This Row],[Qlty]],Lookups!$A$62:$E$75,2,FALSE)</f>
        <v>21557.329055999999</v>
      </c>
      <c r="AT647" s="25">
        <f>VLOOKUP(Inventory[[#This Row],[Cnd]],Lookups!$A$76:$E$84,2,FALSE)</f>
        <v>160472.20319</v>
      </c>
      <c r="AU647" s="25">
        <f>Inventory[[#This Row],[EffAge]]*Lookups!$B$85</f>
        <v>-11152.280025</v>
      </c>
      <c r="AV647" s="25">
        <f>Inventory[[#This Row],[MainFn]]*Lookups!$B$86</f>
        <v>71099.075953003005</v>
      </c>
      <c r="AW647" s="25">
        <f>Inventory[[#This Row],[UpprFn]]*Lookups!$B$87</f>
        <v>0</v>
      </c>
      <c r="AX647" s="25">
        <f>Inventory[[#This Row],[AddFn]]*Lookups!$B$88</f>
        <v>0</v>
      </c>
      <c r="AY647" s="25">
        <f>Inventory[[#This Row],[Bsmt]]*Lookups!$B$89</f>
        <v>41848.847260432995</v>
      </c>
      <c r="AZ647" s="25">
        <f>Inventory[[#This Row],[Fixtures]]*Lookups!$B$90</f>
        <v>30336.176841600001</v>
      </c>
      <c r="BA647" s="25">
        <f>Inventory[[#This Row],[WdDeck]]*Lookups!$B$91</f>
        <v>0</v>
      </c>
      <c r="BB647" s="25">
        <f>ROUND(Inventory[[#This Row],[25Det]],-2)</f>
        <v>0</v>
      </c>
      <c r="BC647" s="25">
        <f>ROUND(SUM(Inventory[[#This Row],[Mdl Qlty]:[Mdl WdDeck]])+Inventory[[#This Row],[Mdl Res Intercept]],-2)</f>
        <v>314200</v>
      </c>
      <c r="BD647" s="25">
        <f>ROUND(Inventory[[#This Row],[Mdl Land Intercept]]+Inventory[[#This Row],[Mdl LnAcres]],-2)</f>
        <v>37300</v>
      </c>
      <c r="BE647" s="25">
        <f>Inventory[[#This Row],[Unadj Res Value]]+Inventory[[#This Row],[Unadj Det Value]]+Inventory[[#This Row],[Unadj Land Value]]</f>
        <v>351500</v>
      </c>
      <c r="BF647" s="36">
        <f>(Inventory[[#This Row],[Unadj Total Value]]-Inventory[[#This Row],[24Final]])/Inventory[[#This Row],[24Final]]</f>
        <v>3.5346097201767304E-2</v>
      </c>
      <c r="BG647" s="25">
        <f>VLOOKUP(Inventory[[#This Row],[Nbhd]],Lookups!$Q$2:$T$4,4,FALSE)</f>
        <v>0.99970000000000003</v>
      </c>
      <c r="BH647" s="25">
        <f>VLOOKUP(Inventory[[#This Row],[Qlty]],Lookups!$O$7:$R$21,4,FALSE)</f>
        <v>1.0067999999999999</v>
      </c>
      <c r="BI647" s="25">
        <f>VLOOKUP(Inventory[[#This Row],[Cnd]],Lookups!$T$7:$W$16,4,FALSE)</f>
        <v>0.99729999999999996</v>
      </c>
      <c r="BJ647" s="25">
        <f>VLOOKUP(Inventory[[#This Row],[LivArea Range]],Lookups!$T$25:$W$37,4,FALSE)</f>
        <v>0.98919999999999997</v>
      </c>
      <c r="BK647" s="25">
        <f>VLOOKUP(Inventory[[#This Row],[Decade]],Lookups!$O$25:$R$42,4,FALSE)</f>
        <v>1.0199</v>
      </c>
      <c r="BL647" s="25">
        <f>Inventory[[#This Row],[Nbhd Adj]]*0.95</f>
        <v>0.94971499999999998</v>
      </c>
      <c r="BM647" s="25">
        <f>Inventory[[#This Row],[Nbhd Adj]]*Inventory[[#This Row],[Quality Adj]]*Inventory[[#This Row],[Condition Adj]]*Inventory[[#This Row],[Living Area Adj]]*Inventory[[#This Row],[Decade Adj]]*0.95</f>
        <v>0.9620641305621106</v>
      </c>
      <c r="BN647" s="25">
        <f>ROUND(SUM(Inventory[[#This Row],[Mdl Qlty]:[Mdl WdDeck]])+Inventory[[#This Row],[Mdl Res Intercept]]*Inventory[[#This Row],[Res Adj ]],-2)</f>
        <v>314200</v>
      </c>
      <c r="BO647" s="25">
        <f>ROUND(Inventory[[#This Row],[25Det]]*Inventory[[#This Row],[Det/Nbhd Adj]],-2)</f>
        <v>0</v>
      </c>
      <c r="BP647" s="25">
        <f>Inventory[[#This Row],[Adjusted Res]]+Inventory[[#This Row],[Adj Det ]]</f>
        <v>314200</v>
      </c>
      <c r="BQ647" s="25">
        <f>ROUND((Inventory[[#This Row],[Mdl Land Intercept]]+Inventory[[#This Row],[Mdl LnAcres]])*Inventory[[#This Row],[Det/Nbhd Adj]],-2)</f>
        <v>35400</v>
      </c>
      <c r="BR647" s="25">
        <f>Inventory[[#This Row],[Adjusted Impr Total]]+Inventory[[#This Row],[Adjusted Land Total]]</f>
        <v>349600</v>
      </c>
      <c r="BS647" s="36">
        <f>IFERROR((Inventory[[#This Row],[Adjusted Impr Total]]-Inventory[[#This Row],[24Bldg]])/Inventory[[#This Row],[24Bldg]],0)</f>
        <v>0.11063980205019441</v>
      </c>
      <c r="BT647" s="36">
        <f>(Inventory[[#This Row],[Adjusted Land Total]]-Inventory[[#This Row],[24Lnd]])/Inventory[[#This Row],[24Lnd]]</f>
        <v>-0.37455830388692579</v>
      </c>
      <c r="BU647" s="36">
        <f>(Inventory[[#This Row],[Adjusted Total]]-Inventory[[#This Row],[24Final]])/Inventory[[#This Row],[24Final]]</f>
        <v>2.974963181148748E-2</v>
      </c>
    </row>
    <row r="648" spans="1:73" x14ac:dyDescent="0.3">
      <c r="A648" s="25">
        <v>2025</v>
      </c>
      <c r="B648" s="26" t="s">
        <v>1740</v>
      </c>
      <c r="C648" s="26">
        <f>LN(Inventory[[#This Row],[Acres]])</f>
        <v>-1.5606477482646683</v>
      </c>
      <c r="D648" s="25">
        <v>0.21</v>
      </c>
      <c r="E648" s="31"/>
      <c r="F648" s="26" t="s">
        <v>537</v>
      </c>
      <c r="G648" s="26" t="s">
        <v>126</v>
      </c>
      <c r="H648" s="26" t="s">
        <v>349</v>
      </c>
      <c r="I648" s="26" t="s">
        <v>538</v>
      </c>
      <c r="J648" s="26" t="s">
        <v>539</v>
      </c>
      <c r="K648" s="26" t="s">
        <v>241</v>
      </c>
      <c r="L648" s="26" t="s">
        <v>148</v>
      </c>
      <c r="M648" s="26" t="s">
        <v>206</v>
      </c>
      <c r="N648" s="26">
        <v>70</v>
      </c>
      <c r="O648" s="26">
        <f>2024-Inventory[[#This Row],[YrBlt]]</f>
        <v>69</v>
      </c>
      <c r="P648" s="26">
        <f>2024-Inventory[[#This Row],[EffYr]]</f>
        <v>50</v>
      </c>
      <c r="Q648" s="25">
        <v>1955</v>
      </c>
      <c r="R648" s="25">
        <v>1974</v>
      </c>
      <c r="S648" s="25">
        <v>1497</v>
      </c>
      <c r="T648" s="31"/>
      <c r="U648" s="25">
        <v>701</v>
      </c>
      <c r="V648" s="32">
        <f>Inventory[[#This Row],[Bsmt]]-Inventory[[#This Row],[FnBsmt]]</f>
        <v>0</v>
      </c>
      <c r="W648" s="32">
        <v>701</v>
      </c>
      <c r="X648" s="27"/>
      <c r="Y648" s="27">
        <f>Inventory[[#This Row],[MainFn]]+Inventory[[#This Row],[UpprFn]]+Inventory[[#This Row],[FnBsmt]]+Inventory[[#This Row],[AddFn]]</f>
        <v>2198</v>
      </c>
      <c r="Z648" s="27">
        <v>2500</v>
      </c>
      <c r="AA648" s="25">
        <v>8</v>
      </c>
      <c r="AB648" s="27"/>
      <c r="AC648" s="25">
        <v>708</v>
      </c>
      <c r="AD648" s="25">
        <v>169</v>
      </c>
      <c r="AE648" s="27"/>
      <c r="AF648" s="27"/>
      <c r="AG648" s="27"/>
      <c r="AH648" s="27"/>
      <c r="AI648" s="25">
        <v>485192</v>
      </c>
      <c r="AJ648" s="25">
        <v>334782</v>
      </c>
      <c r="AK648" s="25">
        <v>0</v>
      </c>
      <c r="AL648" s="25">
        <v>325800</v>
      </c>
      <c r="AM648" s="25">
        <v>60100</v>
      </c>
      <c r="AN648" s="25">
        <v>265700</v>
      </c>
      <c r="AO648" s="25">
        <v>0</v>
      </c>
      <c r="AP648" s="25">
        <f>Lookups!$B$56*0</f>
        <v>0</v>
      </c>
      <c r="AQ648" s="25">
        <f>Lookups!$B$56*1</f>
        <v>89850.625589999996</v>
      </c>
      <c r="AR648" s="25">
        <f>Lookups!$B$57*Inventory[[#This Row],[LnAcres]]</f>
        <v>-49401.70477837498</v>
      </c>
      <c r="AS648" s="25">
        <f>VLOOKUP(Inventory[[#This Row],[Qlty]],Lookups!$A$62:$E$75,2,FALSE)</f>
        <v>44121.038090000002</v>
      </c>
      <c r="AT648" s="25">
        <f>VLOOKUP(Inventory[[#This Row],[Cnd]],Lookups!$A$76:$E$84,2,FALSE)</f>
        <v>133714.53821</v>
      </c>
      <c r="AU648" s="25">
        <f>Inventory[[#This Row],[EffAge]]*Lookups!$B$85</f>
        <v>-11152.280025</v>
      </c>
      <c r="AV648" s="25">
        <f>Inventory[[#This Row],[MainFn]]*Lookups!$B$86</f>
        <v>73964.778805869006</v>
      </c>
      <c r="AW648" s="25">
        <f>Inventory[[#This Row],[UpprFn]]*Lookups!$B$87</f>
        <v>0</v>
      </c>
      <c r="AX648" s="25">
        <f>Inventory[[#This Row],[AddFn]]*Lookups!$B$88</f>
        <v>0</v>
      </c>
      <c r="AY648" s="25">
        <f>Inventory[[#This Row],[Bsmt]]*Lookups!$B$89</f>
        <v>20386.408568146999</v>
      </c>
      <c r="AZ648" s="25">
        <f>Inventory[[#This Row],[Fixtures]]*Lookups!$B$90</f>
        <v>30336.176841600001</v>
      </c>
      <c r="BA648" s="25">
        <f>Inventory[[#This Row],[WdDeck]]*Lookups!$B$91</f>
        <v>5626.9420816440006</v>
      </c>
      <c r="BB648" s="25">
        <f>ROUND(Inventory[[#This Row],[25Det]],-2)</f>
        <v>0</v>
      </c>
      <c r="BC648" s="25">
        <f>ROUND(SUM(Inventory[[#This Row],[Mdl Qlty]:[Mdl WdDeck]])+Inventory[[#This Row],[Mdl Res Intercept]],-2)</f>
        <v>297000</v>
      </c>
      <c r="BD648" s="25">
        <f>ROUND(Inventory[[#This Row],[Mdl Land Intercept]]+Inventory[[#This Row],[Mdl LnAcres]],-2)</f>
        <v>40400</v>
      </c>
      <c r="BE648" s="25">
        <f>Inventory[[#This Row],[Unadj Res Value]]+Inventory[[#This Row],[Unadj Det Value]]+Inventory[[#This Row],[Unadj Land Value]]</f>
        <v>337400</v>
      </c>
      <c r="BF648" s="36">
        <f>(Inventory[[#This Row],[Unadj Total Value]]-Inventory[[#This Row],[24Final]])/Inventory[[#This Row],[24Final]]</f>
        <v>3.5604665438919582E-2</v>
      </c>
      <c r="BG648" s="25">
        <f>VLOOKUP(Inventory[[#This Row],[Nbhd]],Lookups!$Q$2:$T$4,4,FALSE)</f>
        <v>0.99970000000000003</v>
      </c>
      <c r="BH648" s="25">
        <f>VLOOKUP(Inventory[[#This Row],[Qlty]],Lookups!$O$7:$R$21,4,FALSE)</f>
        <v>0.98050000000000004</v>
      </c>
      <c r="BI648" s="25">
        <f>VLOOKUP(Inventory[[#This Row],[Cnd]],Lookups!$T$7:$W$16,4,FALSE)</f>
        <v>0.99329999999999996</v>
      </c>
      <c r="BJ648" s="25">
        <f>VLOOKUP(Inventory[[#This Row],[LivArea Range]],Lookups!$T$25:$W$37,4,FALSE)</f>
        <v>0.98919999999999997</v>
      </c>
      <c r="BK648" s="25">
        <f>VLOOKUP(Inventory[[#This Row],[Decade]],Lookups!$O$25:$R$42,4,FALSE)</f>
        <v>1.0199</v>
      </c>
      <c r="BL648" s="25">
        <f>Inventory[[#This Row],[Nbhd Adj]]*0.95</f>
        <v>0.94971499999999998</v>
      </c>
      <c r="BM648" s="25">
        <f>Inventory[[#This Row],[Nbhd Adj]]*Inventory[[#This Row],[Quality Adj]]*Inventory[[#This Row],[Condition Adj]]*Inventory[[#This Row],[Living Area Adj]]*Inventory[[#This Row],[Decade Adj]]*0.95</f>
        <v>0.93317486018372109</v>
      </c>
      <c r="BN648" s="25">
        <f>ROUND(SUM(Inventory[[#This Row],[Mdl Qlty]:[Mdl WdDeck]])+Inventory[[#This Row],[Mdl Res Intercept]]*Inventory[[#This Row],[Res Adj ]],-2)</f>
        <v>297000</v>
      </c>
      <c r="BO648" s="25">
        <f>ROUND(Inventory[[#This Row],[25Det]]*Inventory[[#This Row],[Det/Nbhd Adj]],-2)</f>
        <v>0</v>
      </c>
      <c r="BP648" s="25">
        <f>Inventory[[#This Row],[Adjusted Res]]+Inventory[[#This Row],[Adj Det ]]</f>
        <v>297000</v>
      </c>
      <c r="BQ648" s="25">
        <f>ROUND((Inventory[[#This Row],[Mdl Land Intercept]]+Inventory[[#This Row],[Mdl LnAcres]])*Inventory[[#This Row],[Det/Nbhd Adj]],-2)</f>
        <v>38400</v>
      </c>
      <c r="BR648" s="25">
        <f>Inventory[[#This Row],[Adjusted Impr Total]]+Inventory[[#This Row],[Adjusted Land Total]]</f>
        <v>335400</v>
      </c>
      <c r="BS648" s="36">
        <f>IFERROR((Inventory[[#This Row],[Adjusted Impr Total]]-Inventory[[#This Row],[24Bldg]])/Inventory[[#This Row],[24Bldg]],0)</f>
        <v>0.11780203236733158</v>
      </c>
      <c r="BT648" s="36">
        <f>(Inventory[[#This Row],[Adjusted Land Total]]-Inventory[[#This Row],[24Lnd]])/Inventory[[#This Row],[24Lnd]]</f>
        <v>-0.36106489184692181</v>
      </c>
      <c r="BU648" s="36">
        <f>(Inventory[[#This Row],[Adjusted Total]]-Inventory[[#This Row],[24Final]])/Inventory[[#This Row],[24Final]]</f>
        <v>2.9465930018416207E-2</v>
      </c>
    </row>
    <row r="649" spans="1:73" x14ac:dyDescent="0.3">
      <c r="A649" s="25">
        <v>2025</v>
      </c>
      <c r="B649" s="26" t="s">
        <v>2312</v>
      </c>
      <c r="C649" s="26">
        <f>LN(Inventory[[#This Row],[Acres]])</f>
        <v>-1.6607312068216509</v>
      </c>
      <c r="D649" s="25">
        <v>0.19</v>
      </c>
      <c r="E649" s="25">
        <v>8090</v>
      </c>
      <c r="F649" s="26" t="s">
        <v>537</v>
      </c>
      <c r="G649" s="26" t="s">
        <v>126</v>
      </c>
      <c r="H649" s="26" t="s">
        <v>349</v>
      </c>
      <c r="I649" s="26" t="s">
        <v>538</v>
      </c>
      <c r="J649" s="26" t="s">
        <v>539</v>
      </c>
      <c r="K649" s="26" t="s">
        <v>241</v>
      </c>
      <c r="L649" s="26" t="s">
        <v>351</v>
      </c>
      <c r="M649" s="26" t="s">
        <v>323</v>
      </c>
      <c r="N649" s="26">
        <v>70</v>
      </c>
      <c r="O649" s="26">
        <f>2024-Inventory[[#This Row],[YrBlt]]</f>
        <v>69</v>
      </c>
      <c r="P649" s="26">
        <f>2024-Inventory[[#This Row],[EffYr]]</f>
        <v>50</v>
      </c>
      <c r="Q649" s="25">
        <v>1955</v>
      </c>
      <c r="R649" s="25">
        <v>1974</v>
      </c>
      <c r="S649" s="25">
        <v>1420</v>
      </c>
      <c r="T649" s="31"/>
      <c r="U649" s="31"/>
      <c r="V649" s="31">
        <f>Inventory[[#This Row],[Bsmt]]-Inventory[[#This Row],[FnBsmt]]</f>
        <v>0</v>
      </c>
      <c r="W649" s="31"/>
      <c r="X649" s="27"/>
      <c r="Y649" s="27">
        <f>Inventory[[#This Row],[MainFn]]+Inventory[[#This Row],[UpprFn]]+Inventory[[#This Row],[FnBsmt]]+Inventory[[#This Row],[AddFn]]</f>
        <v>1420</v>
      </c>
      <c r="Z649" s="27">
        <v>1500</v>
      </c>
      <c r="AA649" s="25">
        <v>5</v>
      </c>
      <c r="AB649" s="25">
        <v>228</v>
      </c>
      <c r="AC649" s="27"/>
      <c r="AD649" s="31"/>
      <c r="AE649" s="27"/>
      <c r="AF649" s="27"/>
      <c r="AG649" s="27"/>
      <c r="AH649" s="27"/>
      <c r="AI649" s="25">
        <v>241227</v>
      </c>
      <c r="AJ649" s="25">
        <v>168859</v>
      </c>
      <c r="AK649" s="25">
        <v>0</v>
      </c>
      <c r="AL649" s="25">
        <v>287000</v>
      </c>
      <c r="AM649" s="25">
        <v>56600</v>
      </c>
      <c r="AN649" s="25">
        <v>230400</v>
      </c>
      <c r="AO649" s="25">
        <v>0</v>
      </c>
      <c r="AP649" s="25">
        <f>Lookups!$B$56*0</f>
        <v>0</v>
      </c>
      <c r="AQ649" s="25">
        <f>Lookups!$B$56*1</f>
        <v>89850.625589999996</v>
      </c>
      <c r="AR649" s="25">
        <f>Lookups!$B$57*Inventory[[#This Row],[LnAcres]]</f>
        <v>-52569.808201026557</v>
      </c>
      <c r="AS649" s="25">
        <f>VLOOKUP(Inventory[[#This Row],[Qlty]],Lookups!$A$62:$E$75,2,FALSE)</f>
        <v>21557.329055999999</v>
      </c>
      <c r="AT649" s="25">
        <f>VLOOKUP(Inventory[[#This Row],[Cnd]],Lookups!$A$76:$E$84,2,FALSE)</f>
        <v>160472.20319</v>
      </c>
      <c r="AU649" s="25">
        <f>Inventory[[#This Row],[EffAge]]*Lookups!$B$85</f>
        <v>-11152.280025</v>
      </c>
      <c r="AV649" s="25">
        <f>Inventory[[#This Row],[MainFn]]*Lookups!$B$86</f>
        <v>70160.311225340003</v>
      </c>
      <c r="AW649" s="25">
        <f>Inventory[[#This Row],[UpprFn]]*Lookups!$B$87</f>
        <v>0</v>
      </c>
      <c r="AX649" s="25">
        <f>Inventory[[#This Row],[AddFn]]*Lookups!$B$88</f>
        <v>0</v>
      </c>
      <c r="AY649" s="25">
        <f>Inventory[[#This Row],[Bsmt]]*Lookups!$B$89</f>
        <v>0</v>
      </c>
      <c r="AZ649" s="25">
        <f>Inventory[[#This Row],[Fixtures]]*Lookups!$B$90</f>
        <v>18960.110526</v>
      </c>
      <c r="BA649" s="25">
        <f>Inventory[[#This Row],[WdDeck]]*Lookups!$B$91</f>
        <v>0</v>
      </c>
      <c r="BB649" s="25">
        <f>ROUND(Inventory[[#This Row],[25Det]],-2)</f>
        <v>0</v>
      </c>
      <c r="BC649" s="25">
        <f>ROUND(SUM(Inventory[[#This Row],[Mdl Qlty]:[Mdl WdDeck]])+Inventory[[#This Row],[Mdl Res Intercept]],-2)</f>
        <v>260000</v>
      </c>
      <c r="BD649" s="25">
        <f>ROUND(Inventory[[#This Row],[Mdl Land Intercept]]+Inventory[[#This Row],[Mdl LnAcres]],-2)</f>
        <v>37300</v>
      </c>
      <c r="BE649" s="25">
        <f>Inventory[[#This Row],[Unadj Res Value]]+Inventory[[#This Row],[Unadj Det Value]]+Inventory[[#This Row],[Unadj Land Value]]</f>
        <v>297300</v>
      </c>
      <c r="BF649" s="36">
        <f>(Inventory[[#This Row],[Unadj Total Value]]-Inventory[[#This Row],[24Final]])/Inventory[[#This Row],[24Final]]</f>
        <v>3.5888501742160281E-2</v>
      </c>
      <c r="BG649" s="25">
        <f>VLOOKUP(Inventory[[#This Row],[Nbhd]],Lookups!$Q$2:$T$4,4,FALSE)</f>
        <v>0.99970000000000003</v>
      </c>
      <c r="BH649" s="25">
        <f>VLOOKUP(Inventory[[#This Row],[Qlty]],Lookups!$O$7:$R$21,4,FALSE)</f>
        <v>1.0067999999999999</v>
      </c>
      <c r="BI649" s="25">
        <f>VLOOKUP(Inventory[[#This Row],[Cnd]],Lookups!$T$7:$W$16,4,FALSE)</f>
        <v>0.99729999999999996</v>
      </c>
      <c r="BJ649" s="25">
        <f>VLOOKUP(Inventory[[#This Row],[LivArea Range]],Lookups!$T$25:$W$37,4,FALSE)</f>
        <v>1.0157</v>
      </c>
      <c r="BK649" s="25">
        <f>VLOOKUP(Inventory[[#This Row],[Decade]],Lookups!$O$25:$R$42,4,FALSE)</f>
        <v>1.0199</v>
      </c>
      <c r="BL649" s="25">
        <f>Inventory[[#This Row],[Nbhd Adj]]*0.95</f>
        <v>0.94971499999999998</v>
      </c>
      <c r="BM649" s="25">
        <f>Inventory[[#This Row],[Nbhd Adj]]*Inventory[[#This Row],[Quality Adj]]*Inventory[[#This Row],[Condition Adj]]*Inventory[[#This Row],[Living Area Adj]]*Inventory[[#This Row],[Decade Adj]]*0.95</f>
        <v>0.98783717894453682</v>
      </c>
      <c r="BN649" s="25">
        <f>ROUND(SUM(Inventory[[#This Row],[Mdl Qlty]:[Mdl WdDeck]])+Inventory[[#This Row],[Mdl Res Intercept]]*Inventory[[#This Row],[Res Adj ]],-2)</f>
        <v>260000</v>
      </c>
      <c r="BO649" s="25">
        <f>ROUND(Inventory[[#This Row],[25Det]]*Inventory[[#This Row],[Det/Nbhd Adj]],-2)</f>
        <v>0</v>
      </c>
      <c r="BP649" s="25">
        <f>Inventory[[#This Row],[Adjusted Res]]+Inventory[[#This Row],[Adj Det ]]</f>
        <v>260000</v>
      </c>
      <c r="BQ649" s="25">
        <f>ROUND((Inventory[[#This Row],[Mdl Land Intercept]]+Inventory[[#This Row],[Mdl LnAcres]])*Inventory[[#This Row],[Det/Nbhd Adj]],-2)</f>
        <v>35400</v>
      </c>
      <c r="BR649" s="25">
        <f>Inventory[[#This Row],[Adjusted Impr Total]]+Inventory[[#This Row],[Adjusted Land Total]]</f>
        <v>295400</v>
      </c>
      <c r="BS649" s="36">
        <f>IFERROR((Inventory[[#This Row],[Adjusted Impr Total]]-Inventory[[#This Row],[24Bldg]])/Inventory[[#This Row],[24Bldg]],0)</f>
        <v>0.12847222222222221</v>
      </c>
      <c r="BT649" s="36">
        <f>(Inventory[[#This Row],[Adjusted Land Total]]-Inventory[[#This Row],[24Lnd]])/Inventory[[#This Row],[24Lnd]]</f>
        <v>-0.37455830388692579</v>
      </c>
      <c r="BU649" s="36">
        <f>(Inventory[[#This Row],[Adjusted Total]]-Inventory[[#This Row],[24Final]])/Inventory[[#This Row],[24Final]]</f>
        <v>2.9268292682926831E-2</v>
      </c>
    </row>
    <row r="650" spans="1:73" x14ac:dyDescent="0.3">
      <c r="A650" s="25">
        <v>2025</v>
      </c>
      <c r="B650" s="26" t="s">
        <v>855</v>
      </c>
      <c r="C650" s="26">
        <f>LN(Inventory[[#This Row],[Acres]])</f>
        <v>-1.4271163556401458</v>
      </c>
      <c r="D650" s="25">
        <v>0.24</v>
      </c>
      <c r="E650" s="25">
        <v>10242</v>
      </c>
      <c r="F650" s="26" t="s">
        <v>537</v>
      </c>
      <c r="G650" s="26" t="s">
        <v>126</v>
      </c>
      <c r="H650" s="26" t="s">
        <v>349</v>
      </c>
      <c r="I650" s="26" t="s">
        <v>538</v>
      </c>
      <c r="J650" s="26" t="s">
        <v>539</v>
      </c>
      <c r="K650" s="26" t="s">
        <v>241</v>
      </c>
      <c r="L650" s="26" t="s">
        <v>351</v>
      </c>
      <c r="M650" s="26" t="s">
        <v>323</v>
      </c>
      <c r="N650" s="26">
        <v>70</v>
      </c>
      <c r="O650" s="26">
        <f>2024-Inventory[[#This Row],[YrBlt]]</f>
        <v>69</v>
      </c>
      <c r="P650" s="26">
        <f>2024-Inventory[[#This Row],[EffYr]]</f>
        <v>50</v>
      </c>
      <c r="Q650" s="25">
        <v>1955</v>
      </c>
      <c r="R650" s="25">
        <v>1974</v>
      </c>
      <c r="S650" s="25">
        <v>1426</v>
      </c>
      <c r="T650" s="31"/>
      <c r="U650" s="31"/>
      <c r="V650" s="31">
        <f>Inventory[[#This Row],[Bsmt]]-Inventory[[#This Row],[FnBsmt]]</f>
        <v>0</v>
      </c>
      <c r="W650" s="31"/>
      <c r="X650" s="27"/>
      <c r="Y650" s="27">
        <f>Inventory[[#This Row],[MainFn]]+Inventory[[#This Row],[UpprFn]]+Inventory[[#This Row],[FnBsmt]]+Inventory[[#This Row],[AddFn]]</f>
        <v>1426</v>
      </c>
      <c r="Z650" s="27">
        <v>1500</v>
      </c>
      <c r="AA650" s="25">
        <v>5</v>
      </c>
      <c r="AB650" s="32">
        <v>484</v>
      </c>
      <c r="AC650" s="27"/>
      <c r="AD650" s="31"/>
      <c r="AE650" s="27"/>
      <c r="AF650" s="27"/>
      <c r="AG650" s="27"/>
      <c r="AH650" s="27"/>
      <c r="AI650" s="25">
        <v>246618</v>
      </c>
      <c r="AJ650" s="25">
        <v>172633</v>
      </c>
      <c r="AK650" s="25">
        <v>0</v>
      </c>
      <c r="AL650" s="25">
        <v>294100</v>
      </c>
      <c r="AM650" s="25">
        <v>64800</v>
      </c>
      <c r="AN650" s="25">
        <v>229300</v>
      </c>
      <c r="AO650" s="25">
        <v>0</v>
      </c>
      <c r="AP650" s="25">
        <f>Lookups!$B$56*0</f>
        <v>0</v>
      </c>
      <c r="AQ650" s="25">
        <f>Lookups!$B$56*1</f>
        <v>89850.625589999996</v>
      </c>
      <c r="AR650" s="25">
        <f>Lookups!$B$57*Inventory[[#This Row],[LnAcres]]</f>
        <v>-45174.819855485119</v>
      </c>
      <c r="AS650" s="25">
        <f>VLOOKUP(Inventory[[#This Row],[Qlty]],Lookups!$A$62:$E$75,2,FALSE)</f>
        <v>21557.329055999999</v>
      </c>
      <c r="AT650" s="25">
        <f>VLOOKUP(Inventory[[#This Row],[Cnd]],Lookups!$A$76:$E$84,2,FALSE)</f>
        <v>160472.20319</v>
      </c>
      <c r="AU650" s="25">
        <f>Inventory[[#This Row],[EffAge]]*Lookups!$B$85</f>
        <v>-11152.280025</v>
      </c>
      <c r="AV650" s="25">
        <f>Inventory[[#This Row],[MainFn]]*Lookups!$B$86</f>
        <v>70456.763244602</v>
      </c>
      <c r="AW650" s="25">
        <f>Inventory[[#This Row],[UpprFn]]*Lookups!$B$87</f>
        <v>0</v>
      </c>
      <c r="AX650" s="25">
        <f>Inventory[[#This Row],[AddFn]]*Lookups!$B$88</f>
        <v>0</v>
      </c>
      <c r="AY650" s="25">
        <f>Inventory[[#This Row],[Bsmt]]*Lookups!$B$89</f>
        <v>0</v>
      </c>
      <c r="AZ650" s="25">
        <f>Inventory[[#This Row],[Fixtures]]*Lookups!$B$90</f>
        <v>18960.110526</v>
      </c>
      <c r="BA650" s="25">
        <f>Inventory[[#This Row],[WdDeck]]*Lookups!$B$91</f>
        <v>0</v>
      </c>
      <c r="BB650" s="25">
        <f>ROUND(Inventory[[#This Row],[25Det]],-2)</f>
        <v>0</v>
      </c>
      <c r="BC650" s="25">
        <f>ROUND(SUM(Inventory[[#This Row],[Mdl Qlty]:[Mdl WdDeck]])+Inventory[[#This Row],[Mdl Res Intercept]],-2)</f>
        <v>260300</v>
      </c>
      <c r="BD650" s="25">
        <f>ROUND(Inventory[[#This Row],[Mdl Land Intercept]]+Inventory[[#This Row],[Mdl LnAcres]],-2)</f>
        <v>44700</v>
      </c>
      <c r="BE650" s="25">
        <f>Inventory[[#This Row],[Unadj Res Value]]+Inventory[[#This Row],[Unadj Det Value]]+Inventory[[#This Row],[Unadj Land Value]]</f>
        <v>305000</v>
      </c>
      <c r="BF650" s="36">
        <f>(Inventory[[#This Row],[Unadj Total Value]]-Inventory[[#This Row],[24Final]])/Inventory[[#This Row],[24Final]]</f>
        <v>3.7062223733424007E-2</v>
      </c>
      <c r="BG650" s="25">
        <f>VLOOKUP(Inventory[[#This Row],[Nbhd]],Lookups!$Q$2:$T$4,4,FALSE)</f>
        <v>0.99970000000000003</v>
      </c>
      <c r="BH650" s="25">
        <f>VLOOKUP(Inventory[[#This Row],[Qlty]],Lookups!$O$7:$R$21,4,FALSE)</f>
        <v>1.0067999999999999</v>
      </c>
      <c r="BI650" s="25">
        <f>VLOOKUP(Inventory[[#This Row],[Cnd]],Lookups!$T$7:$W$16,4,FALSE)</f>
        <v>0.99729999999999996</v>
      </c>
      <c r="BJ650" s="25">
        <f>VLOOKUP(Inventory[[#This Row],[LivArea Range]],Lookups!$T$25:$W$37,4,FALSE)</f>
        <v>1.0157</v>
      </c>
      <c r="BK650" s="25">
        <f>VLOOKUP(Inventory[[#This Row],[Decade]],Lookups!$O$25:$R$42,4,FALSE)</f>
        <v>1.0199</v>
      </c>
      <c r="BL650" s="25">
        <f>Inventory[[#This Row],[Nbhd Adj]]*0.95</f>
        <v>0.94971499999999998</v>
      </c>
      <c r="BM650" s="25">
        <f>Inventory[[#This Row],[Nbhd Adj]]*Inventory[[#This Row],[Quality Adj]]*Inventory[[#This Row],[Condition Adj]]*Inventory[[#This Row],[Living Area Adj]]*Inventory[[#This Row],[Decade Adj]]*0.95</f>
        <v>0.98783717894453682</v>
      </c>
      <c r="BN650" s="25">
        <f>ROUND(SUM(Inventory[[#This Row],[Mdl Qlty]:[Mdl WdDeck]])+Inventory[[#This Row],[Mdl Res Intercept]]*Inventory[[#This Row],[Res Adj ]],-2)</f>
        <v>260300</v>
      </c>
      <c r="BO650" s="25">
        <f>ROUND(Inventory[[#This Row],[25Det]]*Inventory[[#This Row],[Det/Nbhd Adj]],-2)</f>
        <v>0</v>
      </c>
      <c r="BP650" s="25">
        <f>Inventory[[#This Row],[Adjusted Res]]+Inventory[[#This Row],[Adj Det ]]</f>
        <v>260300</v>
      </c>
      <c r="BQ650" s="25">
        <f>ROUND((Inventory[[#This Row],[Mdl Land Intercept]]+Inventory[[#This Row],[Mdl LnAcres]])*Inventory[[#This Row],[Det/Nbhd Adj]],-2)</f>
        <v>42400</v>
      </c>
      <c r="BR650" s="25">
        <f>Inventory[[#This Row],[Adjusted Impr Total]]+Inventory[[#This Row],[Adjusted Land Total]]</f>
        <v>302700</v>
      </c>
      <c r="BS650" s="36">
        <f>IFERROR((Inventory[[#This Row],[Adjusted Impr Total]]-Inventory[[#This Row],[24Bldg]])/Inventory[[#This Row],[24Bldg]],0)</f>
        <v>0.13519406890536415</v>
      </c>
      <c r="BT650" s="36">
        <f>(Inventory[[#This Row],[Adjusted Land Total]]-Inventory[[#This Row],[24Lnd]])/Inventory[[#This Row],[24Lnd]]</f>
        <v>-0.34567901234567899</v>
      </c>
      <c r="BU650" s="36">
        <f>(Inventory[[#This Row],[Adjusted Total]]-Inventory[[#This Row],[24Final]])/Inventory[[#This Row],[24Final]]</f>
        <v>2.9241754505270317E-2</v>
      </c>
    </row>
    <row r="651" spans="1:73" x14ac:dyDescent="0.3">
      <c r="A651" s="25">
        <v>2025</v>
      </c>
      <c r="B651" s="26" t="s">
        <v>2582</v>
      </c>
      <c r="C651" s="26">
        <f>LN(Inventory[[#This Row],[Acres]])</f>
        <v>-1.4271163556401458</v>
      </c>
      <c r="D651" s="25">
        <v>0.24</v>
      </c>
      <c r="E651" s="25">
        <v>10422</v>
      </c>
      <c r="F651" s="26" t="s">
        <v>537</v>
      </c>
      <c r="G651" s="26" t="s">
        <v>126</v>
      </c>
      <c r="H651" s="26" t="s">
        <v>349</v>
      </c>
      <c r="I651" s="26" t="s">
        <v>538</v>
      </c>
      <c r="J651" s="26" t="s">
        <v>539</v>
      </c>
      <c r="K651" s="26" t="s">
        <v>241</v>
      </c>
      <c r="L651" s="26" t="s">
        <v>351</v>
      </c>
      <c r="M651" s="26" t="s">
        <v>323</v>
      </c>
      <c r="N651" s="26">
        <v>70</v>
      </c>
      <c r="O651" s="26">
        <f>2024-Inventory[[#This Row],[YrBlt]]</f>
        <v>69</v>
      </c>
      <c r="P651" s="26">
        <f>2024-Inventory[[#This Row],[EffYr]]</f>
        <v>50</v>
      </c>
      <c r="Q651" s="25">
        <v>1955</v>
      </c>
      <c r="R651" s="25">
        <v>1974</v>
      </c>
      <c r="S651" s="25">
        <v>1164</v>
      </c>
      <c r="T651" s="31"/>
      <c r="U651" s="31"/>
      <c r="V651" s="31">
        <f>Inventory[[#This Row],[Bsmt]]-Inventory[[#This Row],[FnBsmt]]</f>
        <v>0</v>
      </c>
      <c r="W651" s="31"/>
      <c r="X651" s="27"/>
      <c r="Y651" s="27">
        <f>Inventory[[#This Row],[MainFn]]+Inventory[[#This Row],[UpprFn]]+Inventory[[#This Row],[FnBsmt]]+Inventory[[#This Row],[AddFn]]</f>
        <v>1164</v>
      </c>
      <c r="Z651" s="27">
        <v>1500</v>
      </c>
      <c r="AA651" s="25">
        <v>5</v>
      </c>
      <c r="AB651" s="32">
        <v>336</v>
      </c>
      <c r="AC651" s="31"/>
      <c r="AD651" s="27"/>
      <c r="AE651" s="27"/>
      <c r="AF651" s="27"/>
      <c r="AG651" s="27"/>
      <c r="AH651" s="27"/>
      <c r="AI651" s="25">
        <v>224803</v>
      </c>
      <c r="AJ651" s="25">
        <v>157362</v>
      </c>
      <c r="AK651" s="25">
        <v>0</v>
      </c>
      <c r="AL651" s="25">
        <v>281600</v>
      </c>
      <c r="AM651" s="25">
        <v>64800</v>
      </c>
      <c r="AN651" s="25">
        <v>216800</v>
      </c>
      <c r="AO651" s="25">
        <v>0</v>
      </c>
      <c r="AP651" s="25">
        <f>Lookups!$B$56*0</f>
        <v>0</v>
      </c>
      <c r="AQ651" s="25">
        <f>Lookups!$B$56*1</f>
        <v>89850.625589999996</v>
      </c>
      <c r="AR651" s="25">
        <f>Lookups!$B$57*Inventory[[#This Row],[LnAcres]]</f>
        <v>-45174.819855485119</v>
      </c>
      <c r="AS651" s="25">
        <f>VLOOKUP(Inventory[[#This Row],[Qlty]],Lookups!$A$62:$E$75,2,FALSE)</f>
        <v>21557.329055999999</v>
      </c>
      <c r="AT651" s="25">
        <f>VLOOKUP(Inventory[[#This Row],[Cnd]],Lookups!$A$76:$E$84,2,FALSE)</f>
        <v>160472.20319</v>
      </c>
      <c r="AU651" s="25">
        <f>Inventory[[#This Row],[EffAge]]*Lookups!$B$85</f>
        <v>-11152.280025</v>
      </c>
      <c r="AV651" s="25">
        <f>Inventory[[#This Row],[MainFn]]*Lookups!$B$86</f>
        <v>57511.691736828005</v>
      </c>
      <c r="AW651" s="25">
        <f>Inventory[[#This Row],[UpprFn]]*Lookups!$B$87</f>
        <v>0</v>
      </c>
      <c r="AX651" s="25">
        <f>Inventory[[#This Row],[AddFn]]*Lookups!$B$88</f>
        <v>0</v>
      </c>
      <c r="AY651" s="25">
        <f>Inventory[[#This Row],[Bsmt]]*Lookups!$B$89</f>
        <v>0</v>
      </c>
      <c r="AZ651" s="25">
        <f>Inventory[[#This Row],[Fixtures]]*Lookups!$B$90</f>
        <v>18960.110526</v>
      </c>
      <c r="BA651" s="25">
        <f>Inventory[[#This Row],[WdDeck]]*Lookups!$B$91</f>
        <v>0</v>
      </c>
      <c r="BB651" s="25">
        <f>ROUND(Inventory[[#This Row],[25Det]],-2)</f>
        <v>0</v>
      </c>
      <c r="BC651" s="25">
        <f>ROUND(SUM(Inventory[[#This Row],[Mdl Qlty]:[Mdl WdDeck]])+Inventory[[#This Row],[Mdl Res Intercept]],-2)</f>
        <v>247300</v>
      </c>
      <c r="BD651" s="25">
        <f>ROUND(Inventory[[#This Row],[Mdl Land Intercept]]+Inventory[[#This Row],[Mdl LnAcres]],-2)</f>
        <v>44700</v>
      </c>
      <c r="BE651" s="25">
        <f>Inventory[[#This Row],[Unadj Res Value]]+Inventory[[#This Row],[Unadj Det Value]]+Inventory[[#This Row],[Unadj Land Value]]</f>
        <v>292000</v>
      </c>
      <c r="BF651" s="36">
        <f>(Inventory[[#This Row],[Unadj Total Value]]-Inventory[[#This Row],[24Final]])/Inventory[[#This Row],[24Final]]</f>
        <v>3.6931818181818184E-2</v>
      </c>
      <c r="BG651" s="25">
        <f>VLOOKUP(Inventory[[#This Row],[Nbhd]],Lookups!$Q$2:$T$4,4,FALSE)</f>
        <v>0.99970000000000003</v>
      </c>
      <c r="BH651" s="25">
        <f>VLOOKUP(Inventory[[#This Row],[Qlty]],Lookups!$O$7:$R$21,4,FALSE)</f>
        <v>1.0067999999999999</v>
      </c>
      <c r="BI651" s="25">
        <f>VLOOKUP(Inventory[[#This Row],[Cnd]],Lookups!$T$7:$W$16,4,FALSE)</f>
        <v>0.99729999999999996</v>
      </c>
      <c r="BJ651" s="25">
        <f>VLOOKUP(Inventory[[#This Row],[LivArea Range]],Lookups!$T$25:$W$37,4,FALSE)</f>
        <v>1.0157</v>
      </c>
      <c r="BK651" s="25">
        <f>VLOOKUP(Inventory[[#This Row],[Decade]],Lookups!$O$25:$R$42,4,FALSE)</f>
        <v>1.0199</v>
      </c>
      <c r="BL651" s="25">
        <f>Inventory[[#This Row],[Nbhd Adj]]*0.95</f>
        <v>0.94971499999999998</v>
      </c>
      <c r="BM651" s="25">
        <f>Inventory[[#This Row],[Nbhd Adj]]*Inventory[[#This Row],[Quality Adj]]*Inventory[[#This Row],[Condition Adj]]*Inventory[[#This Row],[Living Area Adj]]*Inventory[[#This Row],[Decade Adj]]*0.95</f>
        <v>0.98783717894453682</v>
      </c>
      <c r="BN651" s="25">
        <f>ROUND(SUM(Inventory[[#This Row],[Mdl Qlty]:[Mdl WdDeck]])+Inventory[[#This Row],[Mdl Res Intercept]]*Inventory[[#This Row],[Res Adj ]],-2)</f>
        <v>247300</v>
      </c>
      <c r="BO651" s="25">
        <f>ROUND(Inventory[[#This Row],[25Det]]*Inventory[[#This Row],[Det/Nbhd Adj]],-2)</f>
        <v>0</v>
      </c>
      <c r="BP651" s="25">
        <f>Inventory[[#This Row],[Adjusted Res]]+Inventory[[#This Row],[Adj Det ]]</f>
        <v>247300</v>
      </c>
      <c r="BQ651" s="25">
        <f>ROUND((Inventory[[#This Row],[Mdl Land Intercept]]+Inventory[[#This Row],[Mdl LnAcres]])*Inventory[[#This Row],[Det/Nbhd Adj]],-2)</f>
        <v>42400</v>
      </c>
      <c r="BR651" s="25">
        <f>Inventory[[#This Row],[Adjusted Impr Total]]+Inventory[[#This Row],[Adjusted Land Total]]</f>
        <v>289700</v>
      </c>
      <c r="BS651" s="36">
        <f>IFERROR((Inventory[[#This Row],[Adjusted Impr Total]]-Inventory[[#This Row],[24Bldg]])/Inventory[[#This Row],[24Bldg]],0)</f>
        <v>0.14068265682656828</v>
      </c>
      <c r="BT651" s="36">
        <f>(Inventory[[#This Row],[Adjusted Land Total]]-Inventory[[#This Row],[24Lnd]])/Inventory[[#This Row],[24Lnd]]</f>
        <v>-0.34567901234567899</v>
      </c>
      <c r="BU651" s="36">
        <f>(Inventory[[#This Row],[Adjusted Total]]-Inventory[[#This Row],[24Final]])/Inventory[[#This Row],[24Final]]</f>
        <v>2.8764204545454544E-2</v>
      </c>
    </row>
    <row r="652" spans="1:73" x14ac:dyDescent="0.3">
      <c r="A652" s="25">
        <v>2025</v>
      </c>
      <c r="B652" s="26" t="s">
        <v>1707</v>
      </c>
      <c r="C652" s="26">
        <f>LN(Inventory[[#This Row],[Acres]])</f>
        <v>-1.4271163556401458</v>
      </c>
      <c r="D652" s="25">
        <v>0.24</v>
      </c>
      <c r="E652" s="25">
        <v>10548</v>
      </c>
      <c r="F652" s="26" t="s">
        <v>537</v>
      </c>
      <c r="G652" s="26" t="s">
        <v>126</v>
      </c>
      <c r="H652" s="26" t="s">
        <v>349</v>
      </c>
      <c r="I652" s="26" t="s">
        <v>538</v>
      </c>
      <c r="J652" s="26" t="s">
        <v>539</v>
      </c>
      <c r="K652" s="26" t="s">
        <v>241</v>
      </c>
      <c r="L652" s="26" t="s">
        <v>302</v>
      </c>
      <c r="M652" s="26" t="s">
        <v>303</v>
      </c>
      <c r="N652" s="26">
        <v>70</v>
      </c>
      <c r="O652" s="26">
        <f>2024-Inventory[[#This Row],[YrBlt]]</f>
        <v>69</v>
      </c>
      <c r="P652" s="26">
        <f>2024-Inventory[[#This Row],[EffYr]]</f>
        <v>50</v>
      </c>
      <c r="Q652" s="25">
        <v>1955</v>
      </c>
      <c r="R652" s="25">
        <v>1974</v>
      </c>
      <c r="S652" s="25">
        <v>1326</v>
      </c>
      <c r="T652" s="27"/>
      <c r="U652" s="25">
        <v>1141</v>
      </c>
      <c r="V652" s="25">
        <f>Inventory[[#This Row],[Bsmt]]-Inventory[[#This Row],[FnBsmt]]</f>
        <v>0</v>
      </c>
      <c r="W652" s="25">
        <v>1141</v>
      </c>
      <c r="X652" s="27"/>
      <c r="Y652" s="27">
        <f>Inventory[[#This Row],[MainFn]]+Inventory[[#This Row],[UpprFn]]+Inventory[[#This Row],[FnBsmt]]+Inventory[[#This Row],[AddFn]]</f>
        <v>2467</v>
      </c>
      <c r="Z652" s="27">
        <v>2500</v>
      </c>
      <c r="AA652" s="25">
        <v>7</v>
      </c>
      <c r="AB652" s="27"/>
      <c r="AC652" s="27"/>
      <c r="AD652" s="31"/>
      <c r="AE652" s="27"/>
      <c r="AF652" s="27"/>
      <c r="AG652" s="27"/>
      <c r="AH652" s="27"/>
      <c r="AI652" s="25">
        <v>360725</v>
      </c>
      <c r="AJ652" s="25">
        <v>259722</v>
      </c>
      <c r="AK652" s="25">
        <v>6724</v>
      </c>
      <c r="AL652" s="25">
        <v>379600</v>
      </c>
      <c r="AM652" s="25">
        <v>64800</v>
      </c>
      <c r="AN652" s="25">
        <v>314800</v>
      </c>
      <c r="AO652" s="25">
        <v>0</v>
      </c>
      <c r="AP652" s="25">
        <f>Lookups!$B$56*0</f>
        <v>0</v>
      </c>
      <c r="AQ652" s="25">
        <f>Lookups!$B$56*1</f>
        <v>89850.625589999996</v>
      </c>
      <c r="AR652" s="25">
        <f>Lookups!$B$57*Inventory[[#This Row],[LnAcres]]</f>
        <v>-45174.819855485119</v>
      </c>
      <c r="AS652" s="25">
        <f>VLOOKUP(Inventory[[#This Row],[Qlty]],Lookups!$A$62:$E$75,2,FALSE)</f>
        <v>29814.093161000001</v>
      </c>
      <c r="AT652" s="25">
        <f>VLOOKUP(Inventory[[#This Row],[Cnd]],Lookups!$A$76:$E$84,2,FALSE)</f>
        <v>197752.34721000001</v>
      </c>
      <c r="AU652" s="25">
        <f>Inventory[[#This Row],[EffAge]]*Lookups!$B$85</f>
        <v>-11152.280025</v>
      </c>
      <c r="AV652" s="25">
        <f>Inventory[[#This Row],[MainFn]]*Lookups!$B$86</f>
        <v>65515.896256902</v>
      </c>
      <c r="AW652" s="25">
        <f>Inventory[[#This Row],[UpprFn]]*Lookups!$B$87</f>
        <v>0</v>
      </c>
      <c r="AX652" s="25">
        <f>Inventory[[#This Row],[AddFn]]*Lookups!$B$88</f>
        <v>0</v>
      </c>
      <c r="AY652" s="25">
        <f>Inventory[[#This Row],[Bsmt]]*Lookups!$B$89</f>
        <v>33182.442476826996</v>
      </c>
      <c r="AZ652" s="25">
        <f>Inventory[[#This Row],[Fixtures]]*Lookups!$B$90</f>
        <v>26544.1547364</v>
      </c>
      <c r="BA652" s="25">
        <f>Inventory[[#This Row],[WdDeck]]*Lookups!$B$91</f>
        <v>0</v>
      </c>
      <c r="BB652" s="25">
        <f>ROUND(Inventory[[#This Row],[25Det]],-2)</f>
        <v>6700</v>
      </c>
      <c r="BC652" s="25">
        <f>ROUND(SUM(Inventory[[#This Row],[Mdl Qlty]:[Mdl WdDeck]])+Inventory[[#This Row],[Mdl Res Intercept]],-2)</f>
        <v>341700</v>
      </c>
      <c r="BD652" s="25">
        <f>ROUND(Inventory[[#This Row],[Mdl Land Intercept]]+Inventory[[#This Row],[Mdl LnAcres]],-2)</f>
        <v>44700</v>
      </c>
      <c r="BE652" s="25">
        <f>Inventory[[#This Row],[Unadj Res Value]]+Inventory[[#This Row],[Unadj Det Value]]+Inventory[[#This Row],[Unadj Land Value]]</f>
        <v>393100</v>
      </c>
      <c r="BF652" s="36">
        <f>(Inventory[[#This Row],[Unadj Total Value]]-Inventory[[#This Row],[24Final]])/Inventory[[#This Row],[24Final]]</f>
        <v>3.5563751317175978E-2</v>
      </c>
      <c r="BG652" s="25">
        <f>VLOOKUP(Inventory[[#This Row],[Nbhd]],Lookups!$Q$2:$T$4,4,FALSE)</f>
        <v>0.99970000000000003</v>
      </c>
      <c r="BH652" s="25">
        <f>VLOOKUP(Inventory[[#This Row],[Qlty]],Lookups!$O$7:$R$21,4,FALSE)</f>
        <v>1.0088999999999999</v>
      </c>
      <c r="BI652" s="25">
        <f>VLOOKUP(Inventory[[#This Row],[Cnd]],Lookups!$T$7:$W$16,4,FALSE)</f>
        <v>0.99650000000000005</v>
      </c>
      <c r="BJ652" s="25">
        <f>VLOOKUP(Inventory[[#This Row],[LivArea Range]],Lookups!$T$25:$W$37,4,FALSE)</f>
        <v>0.98919999999999997</v>
      </c>
      <c r="BK652" s="25">
        <f>VLOOKUP(Inventory[[#This Row],[Decade]],Lookups!$O$25:$R$42,4,FALSE)</f>
        <v>1.0199</v>
      </c>
      <c r="BL652" s="25">
        <f>Inventory[[#This Row],[Nbhd Adj]]*0.95</f>
        <v>0.94971499999999998</v>
      </c>
      <c r="BM652" s="25">
        <f>Inventory[[#This Row],[Nbhd Adj]]*Inventory[[#This Row],[Quality Adj]]*Inventory[[#This Row],[Condition Adj]]*Inventory[[#This Row],[Living Area Adj]]*Inventory[[#This Row],[Decade Adj]]*0.95</f>
        <v>0.9632974750633615</v>
      </c>
      <c r="BN652" s="25">
        <f>ROUND(SUM(Inventory[[#This Row],[Mdl Qlty]:[Mdl WdDeck]])+Inventory[[#This Row],[Mdl Res Intercept]]*Inventory[[#This Row],[Res Adj ]],-2)</f>
        <v>341700</v>
      </c>
      <c r="BO652" s="25">
        <f>ROUND(Inventory[[#This Row],[25Det]]*Inventory[[#This Row],[Det/Nbhd Adj]],-2)</f>
        <v>6400</v>
      </c>
      <c r="BP652" s="25">
        <f>Inventory[[#This Row],[Adjusted Res]]+Inventory[[#This Row],[Adj Det ]]</f>
        <v>348100</v>
      </c>
      <c r="BQ652" s="25">
        <f>ROUND((Inventory[[#This Row],[Mdl Land Intercept]]+Inventory[[#This Row],[Mdl LnAcres]])*Inventory[[#This Row],[Det/Nbhd Adj]],-2)</f>
        <v>42400</v>
      </c>
      <c r="BR652" s="25">
        <f>Inventory[[#This Row],[Adjusted Impr Total]]+Inventory[[#This Row],[Adjusted Land Total]]</f>
        <v>390500</v>
      </c>
      <c r="BS652" s="36">
        <f>IFERROR((Inventory[[#This Row],[Adjusted Impr Total]]-Inventory[[#This Row],[24Bldg]])/Inventory[[#This Row],[24Bldg]],0)</f>
        <v>0.10578144853875476</v>
      </c>
      <c r="BT652" s="36">
        <f>(Inventory[[#This Row],[Adjusted Land Total]]-Inventory[[#This Row],[24Lnd]])/Inventory[[#This Row],[24Lnd]]</f>
        <v>-0.34567901234567899</v>
      </c>
      <c r="BU652" s="36">
        <f>(Inventory[[#This Row],[Adjusted Total]]-Inventory[[#This Row],[24Final]])/Inventory[[#This Row],[24Final]]</f>
        <v>2.8714436248682824E-2</v>
      </c>
    </row>
    <row r="653" spans="1:73" x14ac:dyDescent="0.3">
      <c r="A653" s="25">
        <v>2025</v>
      </c>
      <c r="B653" s="26" t="s">
        <v>1745</v>
      </c>
      <c r="C653" s="26">
        <f>LN(Inventory[[#This Row],[Acres]])</f>
        <v>-1.5141277326297755</v>
      </c>
      <c r="D653" s="25">
        <v>0.22</v>
      </c>
      <c r="E653" s="31"/>
      <c r="F653" s="26" t="s">
        <v>537</v>
      </c>
      <c r="G653" s="26" t="s">
        <v>126</v>
      </c>
      <c r="H653" s="26" t="s">
        <v>349</v>
      </c>
      <c r="I653" s="26" t="s">
        <v>538</v>
      </c>
      <c r="J653" s="26" t="s">
        <v>539</v>
      </c>
      <c r="K653" s="26" t="s">
        <v>241</v>
      </c>
      <c r="L653" s="26" t="s">
        <v>351</v>
      </c>
      <c r="M653" s="26" t="s">
        <v>323</v>
      </c>
      <c r="N653" s="26">
        <v>70</v>
      </c>
      <c r="O653" s="26">
        <f>2024-Inventory[[#This Row],[YrBlt]]</f>
        <v>69</v>
      </c>
      <c r="P653" s="26">
        <f>2024-Inventory[[#This Row],[EffYr]]</f>
        <v>50</v>
      </c>
      <c r="Q653" s="25">
        <v>1955</v>
      </c>
      <c r="R653" s="25">
        <v>1974</v>
      </c>
      <c r="S653" s="25">
        <v>1205</v>
      </c>
      <c r="T653" s="27"/>
      <c r="U653" s="31"/>
      <c r="V653" s="31">
        <f>Inventory[[#This Row],[Bsmt]]-Inventory[[#This Row],[FnBsmt]]</f>
        <v>0</v>
      </c>
      <c r="W653" s="31"/>
      <c r="X653" s="27"/>
      <c r="Y653" s="27">
        <f>Inventory[[#This Row],[MainFn]]+Inventory[[#This Row],[UpprFn]]+Inventory[[#This Row],[FnBsmt]]+Inventory[[#This Row],[AddFn]]</f>
        <v>1205</v>
      </c>
      <c r="Z653" s="27">
        <v>1500</v>
      </c>
      <c r="AA653" s="25">
        <v>5</v>
      </c>
      <c r="AB653" s="31"/>
      <c r="AC653" s="27"/>
      <c r="AD653" s="27"/>
      <c r="AE653" s="27"/>
      <c r="AF653" s="27"/>
      <c r="AG653" s="27"/>
      <c r="AH653" s="27"/>
      <c r="AI653" s="25">
        <v>216141</v>
      </c>
      <c r="AJ653" s="25">
        <v>151299</v>
      </c>
      <c r="AK653" s="25">
        <v>0</v>
      </c>
      <c r="AL653" s="25">
        <v>281200</v>
      </c>
      <c r="AM653" s="25">
        <v>61700</v>
      </c>
      <c r="AN653" s="25">
        <v>219500</v>
      </c>
      <c r="AO653" s="25">
        <v>0</v>
      </c>
      <c r="AP653" s="25">
        <f>Lookups!$B$56*0</f>
        <v>0</v>
      </c>
      <c r="AQ653" s="25">
        <f>Lookups!$B$56*1</f>
        <v>89850.625589999996</v>
      </c>
      <c r="AR653" s="25">
        <f>Lookups!$B$57*Inventory[[#This Row],[LnAcres]]</f>
        <v>-47929.131559187132</v>
      </c>
      <c r="AS653" s="25">
        <f>VLOOKUP(Inventory[[#This Row],[Qlty]],Lookups!$A$62:$E$75,2,FALSE)</f>
        <v>21557.329055999999</v>
      </c>
      <c r="AT653" s="25">
        <f>VLOOKUP(Inventory[[#This Row],[Cnd]],Lookups!$A$76:$E$84,2,FALSE)</f>
        <v>160472.20319</v>
      </c>
      <c r="AU653" s="25">
        <f>Inventory[[#This Row],[EffAge]]*Lookups!$B$85</f>
        <v>-11152.280025</v>
      </c>
      <c r="AV653" s="25">
        <f>Inventory[[#This Row],[MainFn]]*Lookups!$B$86</f>
        <v>59537.447201784998</v>
      </c>
      <c r="AW653" s="25">
        <f>Inventory[[#This Row],[UpprFn]]*Lookups!$B$87</f>
        <v>0</v>
      </c>
      <c r="AX653" s="25">
        <f>Inventory[[#This Row],[AddFn]]*Lookups!$B$88</f>
        <v>0</v>
      </c>
      <c r="AY653" s="25">
        <f>Inventory[[#This Row],[Bsmt]]*Lookups!$B$89</f>
        <v>0</v>
      </c>
      <c r="AZ653" s="25">
        <f>Inventory[[#This Row],[Fixtures]]*Lookups!$B$90</f>
        <v>18960.110526</v>
      </c>
      <c r="BA653" s="25">
        <f>Inventory[[#This Row],[WdDeck]]*Lookups!$B$91</f>
        <v>0</v>
      </c>
      <c r="BB653" s="25">
        <f>ROUND(Inventory[[#This Row],[25Det]],-2)</f>
        <v>0</v>
      </c>
      <c r="BC653" s="25">
        <f>ROUND(SUM(Inventory[[#This Row],[Mdl Qlty]:[Mdl WdDeck]])+Inventory[[#This Row],[Mdl Res Intercept]],-2)</f>
        <v>249400</v>
      </c>
      <c r="BD653" s="25">
        <f>ROUND(Inventory[[#This Row],[Mdl Land Intercept]]+Inventory[[#This Row],[Mdl LnAcres]],-2)</f>
        <v>41900</v>
      </c>
      <c r="BE653" s="25">
        <f>Inventory[[#This Row],[Unadj Res Value]]+Inventory[[#This Row],[Unadj Det Value]]+Inventory[[#This Row],[Unadj Land Value]]</f>
        <v>291300</v>
      </c>
      <c r="BF653" s="36">
        <f>(Inventory[[#This Row],[Unadj Total Value]]-Inventory[[#This Row],[24Final]])/Inventory[[#This Row],[24Final]]</f>
        <v>3.591749644381223E-2</v>
      </c>
      <c r="BG653" s="25">
        <f>VLOOKUP(Inventory[[#This Row],[Nbhd]],Lookups!$Q$2:$T$4,4,FALSE)</f>
        <v>0.99970000000000003</v>
      </c>
      <c r="BH653" s="25">
        <f>VLOOKUP(Inventory[[#This Row],[Qlty]],Lookups!$O$7:$R$21,4,FALSE)</f>
        <v>1.0067999999999999</v>
      </c>
      <c r="BI653" s="25">
        <f>VLOOKUP(Inventory[[#This Row],[Cnd]],Lookups!$T$7:$W$16,4,FALSE)</f>
        <v>0.99729999999999996</v>
      </c>
      <c r="BJ653" s="25">
        <f>VLOOKUP(Inventory[[#This Row],[LivArea Range]],Lookups!$T$25:$W$37,4,FALSE)</f>
        <v>1.0157</v>
      </c>
      <c r="BK653" s="25">
        <f>VLOOKUP(Inventory[[#This Row],[Decade]],Lookups!$O$25:$R$42,4,FALSE)</f>
        <v>1.0199</v>
      </c>
      <c r="BL653" s="25">
        <f>Inventory[[#This Row],[Nbhd Adj]]*0.95</f>
        <v>0.94971499999999998</v>
      </c>
      <c r="BM653" s="25">
        <f>Inventory[[#This Row],[Nbhd Adj]]*Inventory[[#This Row],[Quality Adj]]*Inventory[[#This Row],[Condition Adj]]*Inventory[[#This Row],[Living Area Adj]]*Inventory[[#This Row],[Decade Adj]]*0.95</f>
        <v>0.98783717894453682</v>
      </c>
      <c r="BN653" s="25">
        <f>ROUND(SUM(Inventory[[#This Row],[Mdl Qlty]:[Mdl WdDeck]])+Inventory[[#This Row],[Mdl Res Intercept]]*Inventory[[#This Row],[Res Adj ]],-2)</f>
        <v>249400</v>
      </c>
      <c r="BO653" s="25">
        <f>ROUND(Inventory[[#This Row],[25Det]]*Inventory[[#This Row],[Det/Nbhd Adj]],-2)</f>
        <v>0</v>
      </c>
      <c r="BP653" s="25">
        <f>Inventory[[#This Row],[Adjusted Res]]+Inventory[[#This Row],[Adj Det ]]</f>
        <v>249400</v>
      </c>
      <c r="BQ653" s="25">
        <f>ROUND((Inventory[[#This Row],[Mdl Land Intercept]]+Inventory[[#This Row],[Mdl LnAcres]])*Inventory[[#This Row],[Det/Nbhd Adj]],-2)</f>
        <v>39800</v>
      </c>
      <c r="BR653" s="25">
        <f>Inventory[[#This Row],[Adjusted Impr Total]]+Inventory[[#This Row],[Adjusted Land Total]]</f>
        <v>289200</v>
      </c>
      <c r="BS653" s="36">
        <f>IFERROR((Inventory[[#This Row],[Adjusted Impr Total]]-Inventory[[#This Row],[24Bldg]])/Inventory[[#This Row],[24Bldg]],0)</f>
        <v>0.13621867881548974</v>
      </c>
      <c r="BT653" s="36">
        <f>(Inventory[[#This Row],[Adjusted Land Total]]-Inventory[[#This Row],[24Lnd]])/Inventory[[#This Row],[24Lnd]]</f>
        <v>-0.35494327390599678</v>
      </c>
      <c r="BU653" s="36">
        <f>(Inventory[[#This Row],[Adjusted Total]]-Inventory[[#This Row],[24Final]])/Inventory[[#This Row],[24Final]]</f>
        <v>2.8449502133712661E-2</v>
      </c>
    </row>
    <row r="654" spans="1:73" x14ac:dyDescent="0.3">
      <c r="A654" s="25">
        <v>2025</v>
      </c>
      <c r="B654" s="26" t="s">
        <v>884</v>
      </c>
      <c r="C654" s="26">
        <f>LN(Inventory[[#This Row],[Acres]])</f>
        <v>-1.3093333199837622</v>
      </c>
      <c r="D654" s="25">
        <v>0.27</v>
      </c>
      <c r="E654" s="32">
        <v>11926</v>
      </c>
      <c r="F654" s="26" t="s">
        <v>537</v>
      </c>
      <c r="G654" s="26" t="s">
        <v>126</v>
      </c>
      <c r="H654" s="26" t="s">
        <v>349</v>
      </c>
      <c r="I654" s="26" t="s">
        <v>538</v>
      </c>
      <c r="J654" s="26" t="s">
        <v>539</v>
      </c>
      <c r="K654" s="26" t="s">
        <v>241</v>
      </c>
      <c r="L654" s="26" t="s">
        <v>302</v>
      </c>
      <c r="M654" s="26" t="s">
        <v>323</v>
      </c>
      <c r="N654" s="26">
        <v>70</v>
      </c>
      <c r="O654" s="26">
        <f>2024-Inventory[[#This Row],[YrBlt]]</f>
        <v>69</v>
      </c>
      <c r="P654" s="26">
        <f>2024-Inventory[[#This Row],[EffYr]]</f>
        <v>50</v>
      </c>
      <c r="Q654" s="25">
        <v>1955</v>
      </c>
      <c r="R654" s="25">
        <v>1974</v>
      </c>
      <c r="S654" s="25">
        <v>1421</v>
      </c>
      <c r="T654" s="27"/>
      <c r="U654" s="31"/>
      <c r="V654" s="31">
        <f>Inventory[[#This Row],[Bsmt]]-Inventory[[#This Row],[FnBsmt]]</f>
        <v>0</v>
      </c>
      <c r="W654" s="31"/>
      <c r="X654" s="27"/>
      <c r="Y654" s="27">
        <f>Inventory[[#This Row],[MainFn]]+Inventory[[#This Row],[UpprFn]]+Inventory[[#This Row],[FnBsmt]]+Inventory[[#This Row],[AddFn]]</f>
        <v>1421</v>
      </c>
      <c r="Z654" s="27">
        <v>1500</v>
      </c>
      <c r="AA654" s="25">
        <v>8</v>
      </c>
      <c r="AB654" s="27"/>
      <c r="AC654" s="27"/>
      <c r="AD654" s="27"/>
      <c r="AE654" s="27"/>
      <c r="AF654" s="27"/>
      <c r="AG654" s="27"/>
      <c r="AH654" s="27"/>
      <c r="AI654" s="25">
        <v>284473</v>
      </c>
      <c r="AJ654" s="25">
        <v>199131</v>
      </c>
      <c r="AK654" s="25">
        <v>0</v>
      </c>
      <c r="AL654" s="25">
        <v>317100</v>
      </c>
      <c r="AM654" s="25">
        <v>68900</v>
      </c>
      <c r="AN654" s="25">
        <v>248200</v>
      </c>
      <c r="AO654" s="25">
        <v>0</v>
      </c>
      <c r="AP654" s="25">
        <f>Lookups!$B$56*0</f>
        <v>0</v>
      </c>
      <c r="AQ654" s="25">
        <f>Lookups!$B$56*1</f>
        <v>89850.625589999996</v>
      </c>
      <c r="AR654" s="25">
        <f>Lookups!$B$57*Inventory[[#This Row],[LnAcres]]</f>
        <v>-41446.443120973789</v>
      </c>
      <c r="AS654" s="25">
        <f>VLOOKUP(Inventory[[#This Row],[Qlty]],Lookups!$A$62:$E$75,2,FALSE)</f>
        <v>29814.093161000001</v>
      </c>
      <c r="AT654" s="25">
        <f>VLOOKUP(Inventory[[#This Row],[Cnd]],Lookups!$A$76:$E$84,2,FALSE)</f>
        <v>160472.20319</v>
      </c>
      <c r="AU654" s="25">
        <f>Inventory[[#This Row],[EffAge]]*Lookups!$B$85</f>
        <v>-11152.280025</v>
      </c>
      <c r="AV654" s="25">
        <f>Inventory[[#This Row],[MainFn]]*Lookups!$B$86</f>
        <v>70209.719895217</v>
      </c>
      <c r="AW654" s="25">
        <f>Inventory[[#This Row],[UpprFn]]*Lookups!$B$87</f>
        <v>0</v>
      </c>
      <c r="AX654" s="25">
        <f>Inventory[[#This Row],[AddFn]]*Lookups!$B$88</f>
        <v>0</v>
      </c>
      <c r="AY654" s="25">
        <f>Inventory[[#This Row],[Bsmt]]*Lookups!$B$89</f>
        <v>0</v>
      </c>
      <c r="AZ654" s="25">
        <f>Inventory[[#This Row],[Fixtures]]*Lookups!$B$90</f>
        <v>30336.176841600001</v>
      </c>
      <c r="BA654" s="25">
        <f>Inventory[[#This Row],[WdDeck]]*Lookups!$B$91</f>
        <v>0</v>
      </c>
      <c r="BB654" s="25">
        <f>ROUND(Inventory[[#This Row],[25Det]],-2)</f>
        <v>0</v>
      </c>
      <c r="BC654" s="25">
        <f>ROUND(SUM(Inventory[[#This Row],[Mdl Qlty]:[Mdl WdDeck]])+Inventory[[#This Row],[Mdl Res Intercept]],-2)</f>
        <v>279700</v>
      </c>
      <c r="BD654" s="25">
        <f>ROUND(Inventory[[#This Row],[Mdl Land Intercept]]+Inventory[[#This Row],[Mdl LnAcres]],-2)</f>
        <v>48400</v>
      </c>
      <c r="BE654" s="25">
        <f>Inventory[[#This Row],[Unadj Res Value]]+Inventory[[#This Row],[Unadj Det Value]]+Inventory[[#This Row],[Unadj Land Value]]</f>
        <v>328100</v>
      </c>
      <c r="BF654" s="36">
        <f>(Inventory[[#This Row],[Unadj Total Value]]-Inventory[[#This Row],[24Final]])/Inventory[[#This Row],[24Final]]</f>
        <v>3.468937243771681E-2</v>
      </c>
      <c r="BG654" s="25">
        <f>VLOOKUP(Inventory[[#This Row],[Nbhd]],Lookups!$Q$2:$T$4,4,FALSE)</f>
        <v>0.99970000000000003</v>
      </c>
      <c r="BH654" s="25">
        <f>VLOOKUP(Inventory[[#This Row],[Qlty]],Lookups!$O$7:$R$21,4,FALSE)</f>
        <v>1.0088999999999999</v>
      </c>
      <c r="BI654" s="25">
        <f>VLOOKUP(Inventory[[#This Row],[Cnd]],Lookups!$T$7:$W$16,4,FALSE)</f>
        <v>0.99729999999999996</v>
      </c>
      <c r="BJ654" s="25">
        <f>VLOOKUP(Inventory[[#This Row],[LivArea Range]],Lookups!$T$25:$W$37,4,FALSE)</f>
        <v>1.0157</v>
      </c>
      <c r="BK654" s="25">
        <f>VLOOKUP(Inventory[[#This Row],[Decade]],Lookups!$O$25:$R$42,4,FALSE)</f>
        <v>1.0199</v>
      </c>
      <c r="BL654" s="25">
        <f>Inventory[[#This Row],[Nbhd Adj]]*0.95</f>
        <v>0.94971499999999998</v>
      </c>
      <c r="BM654" s="25">
        <f>Inventory[[#This Row],[Nbhd Adj]]*Inventory[[#This Row],[Quality Adj]]*Inventory[[#This Row],[Condition Adj]]*Inventory[[#This Row],[Living Area Adj]]*Inventory[[#This Row],[Decade Adj]]*0.95</f>
        <v>0.98989762598047604</v>
      </c>
      <c r="BN654" s="25">
        <f>ROUND(SUM(Inventory[[#This Row],[Mdl Qlty]:[Mdl WdDeck]])+Inventory[[#This Row],[Mdl Res Intercept]]*Inventory[[#This Row],[Res Adj ]],-2)</f>
        <v>279700</v>
      </c>
      <c r="BO654" s="25">
        <f>ROUND(Inventory[[#This Row],[25Det]]*Inventory[[#This Row],[Det/Nbhd Adj]],-2)</f>
        <v>0</v>
      </c>
      <c r="BP654" s="25">
        <f>Inventory[[#This Row],[Adjusted Res]]+Inventory[[#This Row],[Adj Det ]]</f>
        <v>279700</v>
      </c>
      <c r="BQ654" s="25">
        <f>ROUND((Inventory[[#This Row],[Mdl Land Intercept]]+Inventory[[#This Row],[Mdl LnAcres]])*Inventory[[#This Row],[Det/Nbhd Adj]],-2)</f>
        <v>46000</v>
      </c>
      <c r="BR654" s="25">
        <f>Inventory[[#This Row],[Adjusted Impr Total]]+Inventory[[#This Row],[Adjusted Land Total]]</f>
        <v>325700</v>
      </c>
      <c r="BS654" s="36">
        <f>IFERROR((Inventory[[#This Row],[Adjusted Impr Total]]-Inventory[[#This Row],[24Bldg]])/Inventory[[#This Row],[24Bldg]],0)</f>
        <v>0.12691377921031427</v>
      </c>
      <c r="BT654" s="36">
        <f>(Inventory[[#This Row],[Adjusted Land Total]]-Inventory[[#This Row],[24Lnd]])/Inventory[[#This Row],[24Lnd]]</f>
        <v>-0.33236574746008707</v>
      </c>
      <c r="BU654" s="36">
        <f>(Inventory[[#This Row],[Adjusted Total]]-Inventory[[#This Row],[24Final]])/Inventory[[#This Row],[24Final]]</f>
        <v>2.7120782087669507E-2</v>
      </c>
    </row>
    <row r="655" spans="1:73" x14ac:dyDescent="0.3">
      <c r="A655" s="25">
        <v>2025</v>
      </c>
      <c r="B655" s="26" t="s">
        <v>1830</v>
      </c>
      <c r="C655" s="26">
        <f>LN(Inventory[[#This Row],[Acres]])</f>
        <v>-1.3093333199837622</v>
      </c>
      <c r="D655" s="25">
        <v>0.27</v>
      </c>
      <c r="E655" s="32">
        <v>11900</v>
      </c>
      <c r="F655" s="26" t="s">
        <v>537</v>
      </c>
      <c r="G655" s="26" t="s">
        <v>126</v>
      </c>
      <c r="H655" s="26" t="s">
        <v>349</v>
      </c>
      <c r="I655" s="26" t="s">
        <v>538</v>
      </c>
      <c r="J655" s="26" t="s">
        <v>539</v>
      </c>
      <c r="K655" s="26" t="s">
        <v>241</v>
      </c>
      <c r="L655" s="26" t="s">
        <v>351</v>
      </c>
      <c r="M655" s="26" t="s">
        <v>303</v>
      </c>
      <c r="N655" s="26">
        <v>70</v>
      </c>
      <c r="O655" s="26">
        <f>2024-Inventory[[#This Row],[YrBlt]]</f>
        <v>69</v>
      </c>
      <c r="P655" s="26">
        <f>2024-Inventory[[#This Row],[EffYr]]</f>
        <v>50</v>
      </c>
      <c r="Q655" s="25">
        <v>1955</v>
      </c>
      <c r="R655" s="25">
        <v>1974</v>
      </c>
      <c r="S655" s="25">
        <v>1849</v>
      </c>
      <c r="T655" s="27"/>
      <c r="U655" s="25">
        <v>850</v>
      </c>
      <c r="V655" s="25">
        <f>Inventory[[#This Row],[Bsmt]]-Inventory[[#This Row],[FnBsmt]]</f>
        <v>0</v>
      </c>
      <c r="W655" s="25">
        <v>850</v>
      </c>
      <c r="X655" s="27"/>
      <c r="Y655" s="27">
        <f>Inventory[[#This Row],[MainFn]]+Inventory[[#This Row],[UpprFn]]+Inventory[[#This Row],[FnBsmt]]+Inventory[[#This Row],[AddFn]]</f>
        <v>2699</v>
      </c>
      <c r="Z655" s="27">
        <v>3000</v>
      </c>
      <c r="AA655" s="25">
        <v>10</v>
      </c>
      <c r="AB655" s="27"/>
      <c r="AC655" s="32">
        <v>598</v>
      </c>
      <c r="AD655" s="27"/>
      <c r="AE655" s="27"/>
      <c r="AF655" s="27"/>
      <c r="AG655" s="27"/>
      <c r="AH655" s="27"/>
      <c r="AI655" s="25">
        <v>391630</v>
      </c>
      <c r="AJ655" s="25">
        <v>281974</v>
      </c>
      <c r="AK655" s="25">
        <v>0</v>
      </c>
      <c r="AL655" s="25">
        <v>398100</v>
      </c>
      <c r="AM655" s="25">
        <v>68900</v>
      </c>
      <c r="AN655" s="25">
        <v>329200</v>
      </c>
      <c r="AO655" s="25">
        <v>0</v>
      </c>
      <c r="AP655" s="25">
        <f>Lookups!$B$56*0</f>
        <v>0</v>
      </c>
      <c r="AQ655" s="25">
        <f>Lookups!$B$56*1</f>
        <v>89850.625589999996</v>
      </c>
      <c r="AR655" s="25">
        <f>Lookups!$B$57*Inventory[[#This Row],[LnAcres]]</f>
        <v>-41446.443120973789</v>
      </c>
      <c r="AS655" s="25">
        <f>VLOOKUP(Inventory[[#This Row],[Qlty]],Lookups!$A$62:$E$75,2,FALSE)</f>
        <v>21557.329055999999</v>
      </c>
      <c r="AT655" s="25">
        <f>VLOOKUP(Inventory[[#This Row],[Cnd]],Lookups!$A$76:$E$84,2,FALSE)</f>
        <v>197752.34721000001</v>
      </c>
      <c r="AU655" s="25">
        <f>Inventory[[#This Row],[EffAge]]*Lookups!$B$85</f>
        <v>-11152.280025</v>
      </c>
      <c r="AV655" s="25">
        <f>Inventory[[#This Row],[MainFn]]*Lookups!$B$86</f>
        <v>91356.630602573001</v>
      </c>
      <c r="AW655" s="25">
        <f>Inventory[[#This Row],[UpprFn]]*Lookups!$B$87</f>
        <v>0</v>
      </c>
      <c r="AX655" s="25">
        <f>Inventory[[#This Row],[AddFn]]*Lookups!$B$88</f>
        <v>0</v>
      </c>
      <c r="AY655" s="25">
        <f>Inventory[[#This Row],[Bsmt]]*Lookups!$B$89</f>
        <v>24719.610959949998</v>
      </c>
      <c r="AZ655" s="25">
        <f>Inventory[[#This Row],[Fixtures]]*Lookups!$B$90</f>
        <v>37920.221052000001</v>
      </c>
      <c r="BA655" s="25">
        <f>Inventory[[#This Row],[WdDeck]]*Lookups!$B$91</f>
        <v>0</v>
      </c>
      <c r="BB655" s="25">
        <f>ROUND(Inventory[[#This Row],[25Det]],-2)</f>
        <v>0</v>
      </c>
      <c r="BC655" s="25">
        <f>ROUND(SUM(Inventory[[#This Row],[Mdl Qlty]:[Mdl WdDeck]])+Inventory[[#This Row],[Mdl Res Intercept]],-2)</f>
        <v>362200</v>
      </c>
      <c r="BD655" s="25">
        <f>ROUND(Inventory[[#This Row],[Mdl Land Intercept]]+Inventory[[#This Row],[Mdl LnAcres]],-2)</f>
        <v>48400</v>
      </c>
      <c r="BE655" s="25">
        <f>Inventory[[#This Row],[Unadj Res Value]]+Inventory[[#This Row],[Unadj Det Value]]+Inventory[[#This Row],[Unadj Land Value]]</f>
        <v>410600</v>
      </c>
      <c r="BF655" s="36">
        <f>(Inventory[[#This Row],[Unadj Total Value]]-Inventory[[#This Row],[24Final]])/Inventory[[#This Row],[24Final]]</f>
        <v>3.1399145943230344E-2</v>
      </c>
      <c r="BG655" s="25">
        <f>VLOOKUP(Inventory[[#This Row],[Nbhd]],Lookups!$Q$2:$T$4,4,FALSE)</f>
        <v>0.99970000000000003</v>
      </c>
      <c r="BH655" s="25">
        <f>VLOOKUP(Inventory[[#This Row],[Qlty]],Lookups!$O$7:$R$21,4,FALSE)</f>
        <v>1.0067999999999999</v>
      </c>
      <c r="BI655" s="25">
        <f>VLOOKUP(Inventory[[#This Row],[Cnd]],Lookups!$T$7:$W$16,4,FALSE)</f>
        <v>0.99650000000000005</v>
      </c>
      <c r="BJ655" s="25">
        <f>VLOOKUP(Inventory[[#This Row],[LivArea Range]],Lookups!$T$25:$W$37,4,FALSE)</f>
        <v>0.96179999999999999</v>
      </c>
      <c r="BK655" s="25">
        <f>VLOOKUP(Inventory[[#This Row],[Decade]],Lookups!$O$25:$R$42,4,FALSE)</f>
        <v>1.0199</v>
      </c>
      <c r="BL655" s="25">
        <f>Inventory[[#This Row],[Nbhd Adj]]*0.95</f>
        <v>0.94971499999999998</v>
      </c>
      <c r="BM655" s="25">
        <f>Inventory[[#This Row],[Nbhd Adj]]*Inventory[[#This Row],[Quality Adj]]*Inventory[[#This Row],[Condition Adj]]*Inventory[[#This Row],[Living Area Adj]]*Inventory[[#This Row],[Decade Adj]]*0.95</f>
        <v>0.9346654125174837</v>
      </c>
      <c r="BN655" s="25">
        <f>ROUND(SUM(Inventory[[#This Row],[Mdl Qlty]:[Mdl WdDeck]])+Inventory[[#This Row],[Mdl Res Intercept]]*Inventory[[#This Row],[Res Adj ]],-2)</f>
        <v>362200</v>
      </c>
      <c r="BO655" s="25">
        <f>ROUND(Inventory[[#This Row],[25Det]]*Inventory[[#This Row],[Det/Nbhd Adj]],-2)</f>
        <v>0</v>
      </c>
      <c r="BP655" s="25">
        <f>Inventory[[#This Row],[Adjusted Res]]+Inventory[[#This Row],[Adj Det ]]</f>
        <v>362200</v>
      </c>
      <c r="BQ655" s="25">
        <f>ROUND((Inventory[[#This Row],[Mdl Land Intercept]]+Inventory[[#This Row],[Mdl LnAcres]])*Inventory[[#This Row],[Det/Nbhd Adj]],-2)</f>
        <v>46000</v>
      </c>
      <c r="BR655" s="25">
        <f>Inventory[[#This Row],[Adjusted Impr Total]]+Inventory[[#This Row],[Adjusted Land Total]]</f>
        <v>408200</v>
      </c>
      <c r="BS655" s="36">
        <f>IFERROR((Inventory[[#This Row],[Adjusted Impr Total]]-Inventory[[#This Row],[24Bldg]])/Inventory[[#This Row],[24Bldg]],0)</f>
        <v>0.10024301336573511</v>
      </c>
      <c r="BT655" s="36">
        <f>(Inventory[[#This Row],[Adjusted Land Total]]-Inventory[[#This Row],[24Lnd]])/Inventory[[#This Row],[24Lnd]]</f>
        <v>-0.33236574746008707</v>
      </c>
      <c r="BU655" s="36">
        <f>(Inventory[[#This Row],[Adjusted Total]]-Inventory[[#This Row],[24Final]])/Inventory[[#This Row],[24Final]]</f>
        <v>2.5370509922130118E-2</v>
      </c>
    </row>
    <row r="656" spans="1:73" x14ac:dyDescent="0.3">
      <c r="A656" s="25">
        <v>2025</v>
      </c>
      <c r="B656" s="26" t="s">
        <v>2021</v>
      </c>
      <c r="C656" s="26">
        <f>LN(Inventory[[#This Row],[Acres]])</f>
        <v>-1.4271163556401458</v>
      </c>
      <c r="D656" s="25">
        <v>0.24</v>
      </c>
      <c r="E656" s="31"/>
      <c r="F656" s="26" t="s">
        <v>537</v>
      </c>
      <c r="G656" s="26" t="s">
        <v>126</v>
      </c>
      <c r="H656" s="26" t="s">
        <v>349</v>
      </c>
      <c r="I656" s="26" t="s">
        <v>538</v>
      </c>
      <c r="J656" s="26" t="s">
        <v>539</v>
      </c>
      <c r="K656" s="26" t="s">
        <v>242</v>
      </c>
      <c r="L656" s="26" t="s">
        <v>351</v>
      </c>
      <c r="M656" s="26" t="s">
        <v>303</v>
      </c>
      <c r="N656" s="26">
        <v>70</v>
      </c>
      <c r="O656" s="26">
        <f>2024-Inventory[[#This Row],[YrBlt]]</f>
        <v>69</v>
      </c>
      <c r="P656" s="26">
        <f>2024-Inventory[[#This Row],[EffYr]]</f>
        <v>50</v>
      </c>
      <c r="Q656" s="25">
        <v>1955</v>
      </c>
      <c r="R656" s="25">
        <v>1974</v>
      </c>
      <c r="S656" s="25">
        <v>1225</v>
      </c>
      <c r="T656" s="27"/>
      <c r="U656" s="32">
        <v>1225</v>
      </c>
      <c r="V656" s="32">
        <f>Inventory[[#This Row],[Bsmt]]-Inventory[[#This Row],[FnBsmt]]</f>
        <v>0</v>
      </c>
      <c r="W656" s="32">
        <v>1225</v>
      </c>
      <c r="X656" s="27"/>
      <c r="Y656" s="27">
        <f>Inventory[[#This Row],[MainFn]]+Inventory[[#This Row],[UpprFn]]+Inventory[[#This Row],[FnBsmt]]+Inventory[[#This Row],[AddFn]]</f>
        <v>2450</v>
      </c>
      <c r="Z656" s="27">
        <v>2500</v>
      </c>
      <c r="AA656" s="25">
        <v>8</v>
      </c>
      <c r="AB656" s="31"/>
      <c r="AC656" s="27"/>
      <c r="AD656" s="27"/>
      <c r="AE656" s="27"/>
      <c r="AF656" s="27"/>
      <c r="AG656" s="27"/>
      <c r="AH656" s="27"/>
      <c r="AI656" s="25">
        <v>315229</v>
      </c>
      <c r="AJ656" s="25">
        <v>226965</v>
      </c>
      <c r="AK656" s="25">
        <v>0</v>
      </c>
      <c r="AL656" s="25">
        <v>367700</v>
      </c>
      <c r="AM656" s="25">
        <v>64800</v>
      </c>
      <c r="AN656" s="25">
        <v>302900</v>
      </c>
      <c r="AO656" s="25">
        <v>0</v>
      </c>
      <c r="AP656" s="25">
        <f>Lookups!$B$56*0</f>
        <v>0</v>
      </c>
      <c r="AQ656" s="25">
        <f>Lookups!$B$56*1</f>
        <v>89850.625589999996</v>
      </c>
      <c r="AR656" s="25">
        <f>Lookups!$B$57*Inventory[[#This Row],[LnAcres]]</f>
        <v>-45174.819855485119</v>
      </c>
      <c r="AS656" s="25">
        <f>VLOOKUP(Inventory[[#This Row],[Qlty]],Lookups!$A$62:$E$75,2,FALSE)</f>
        <v>21557.329055999999</v>
      </c>
      <c r="AT656" s="25">
        <f>VLOOKUP(Inventory[[#This Row],[Cnd]],Lookups!$A$76:$E$84,2,FALSE)</f>
        <v>197752.34721000001</v>
      </c>
      <c r="AU656" s="25">
        <f>Inventory[[#This Row],[EffAge]]*Lookups!$B$85</f>
        <v>-11152.280025</v>
      </c>
      <c r="AV656" s="25">
        <f>Inventory[[#This Row],[MainFn]]*Lookups!$B$86</f>
        <v>60525.620599325004</v>
      </c>
      <c r="AW656" s="25">
        <f>Inventory[[#This Row],[UpprFn]]*Lookups!$B$87</f>
        <v>0</v>
      </c>
      <c r="AX656" s="25">
        <f>Inventory[[#This Row],[AddFn]]*Lookups!$B$88</f>
        <v>0</v>
      </c>
      <c r="AY656" s="25">
        <f>Inventory[[#This Row],[Bsmt]]*Lookups!$B$89</f>
        <v>35625.321677574997</v>
      </c>
      <c r="AZ656" s="25">
        <f>Inventory[[#This Row],[Fixtures]]*Lookups!$B$90</f>
        <v>30336.176841600001</v>
      </c>
      <c r="BA656" s="25">
        <f>Inventory[[#This Row],[WdDeck]]*Lookups!$B$91</f>
        <v>0</v>
      </c>
      <c r="BB656" s="25">
        <f>ROUND(Inventory[[#This Row],[25Det]],-2)</f>
        <v>0</v>
      </c>
      <c r="BC656" s="25">
        <f>ROUND(SUM(Inventory[[#This Row],[Mdl Qlty]:[Mdl WdDeck]])+Inventory[[#This Row],[Mdl Res Intercept]],-2)</f>
        <v>334600</v>
      </c>
      <c r="BD656" s="25">
        <f>ROUND(Inventory[[#This Row],[Mdl Land Intercept]]+Inventory[[#This Row],[Mdl LnAcres]],-2)</f>
        <v>44700</v>
      </c>
      <c r="BE656" s="25">
        <f>Inventory[[#This Row],[Unadj Res Value]]+Inventory[[#This Row],[Unadj Det Value]]+Inventory[[#This Row],[Unadj Land Value]]</f>
        <v>379300</v>
      </c>
      <c r="BF656" s="36">
        <f>(Inventory[[#This Row],[Unadj Total Value]]-Inventory[[#This Row],[24Final]])/Inventory[[#This Row],[24Final]]</f>
        <v>3.1547457166168073E-2</v>
      </c>
      <c r="BG656" s="25">
        <f>VLOOKUP(Inventory[[#This Row],[Nbhd]],Lookups!$Q$2:$T$4,4,FALSE)</f>
        <v>0.99970000000000003</v>
      </c>
      <c r="BH656" s="25">
        <f>VLOOKUP(Inventory[[#This Row],[Qlty]],Lookups!$O$7:$R$21,4,FALSE)</f>
        <v>1.0067999999999999</v>
      </c>
      <c r="BI656" s="25">
        <f>VLOOKUP(Inventory[[#This Row],[Cnd]],Lookups!$T$7:$W$16,4,FALSE)</f>
        <v>0.99650000000000005</v>
      </c>
      <c r="BJ656" s="25">
        <f>VLOOKUP(Inventory[[#This Row],[LivArea Range]],Lookups!$T$25:$W$37,4,FALSE)</f>
        <v>0.98919999999999997</v>
      </c>
      <c r="BK656" s="25">
        <f>VLOOKUP(Inventory[[#This Row],[Decade]],Lookups!$O$25:$R$42,4,FALSE)</f>
        <v>1.0199</v>
      </c>
      <c r="BL656" s="25">
        <f>Inventory[[#This Row],[Nbhd Adj]]*0.95</f>
        <v>0.94971499999999998</v>
      </c>
      <c r="BM656" s="25">
        <f>Inventory[[#This Row],[Nbhd Adj]]*Inventory[[#This Row],[Quality Adj]]*Inventory[[#This Row],[Condition Adj]]*Inventory[[#This Row],[Living Area Adj]]*Inventory[[#This Row],[Decade Adj]]*0.95</f>
        <v>0.96129239557319079</v>
      </c>
      <c r="BN656" s="25">
        <f>ROUND(SUM(Inventory[[#This Row],[Mdl Qlty]:[Mdl WdDeck]])+Inventory[[#This Row],[Mdl Res Intercept]]*Inventory[[#This Row],[Res Adj ]],-2)</f>
        <v>334600</v>
      </c>
      <c r="BO656" s="25">
        <f>ROUND(Inventory[[#This Row],[25Det]]*Inventory[[#This Row],[Det/Nbhd Adj]],-2)</f>
        <v>0</v>
      </c>
      <c r="BP656" s="25">
        <f>Inventory[[#This Row],[Adjusted Res]]+Inventory[[#This Row],[Adj Det ]]</f>
        <v>334600</v>
      </c>
      <c r="BQ656" s="25">
        <f>ROUND((Inventory[[#This Row],[Mdl Land Intercept]]+Inventory[[#This Row],[Mdl LnAcres]])*Inventory[[#This Row],[Det/Nbhd Adj]],-2)</f>
        <v>42400</v>
      </c>
      <c r="BR656" s="25">
        <f>Inventory[[#This Row],[Adjusted Impr Total]]+Inventory[[#This Row],[Adjusted Land Total]]</f>
        <v>377000</v>
      </c>
      <c r="BS656" s="36">
        <f>IFERROR((Inventory[[#This Row],[Adjusted Impr Total]]-Inventory[[#This Row],[24Bldg]])/Inventory[[#This Row],[24Bldg]],0)</f>
        <v>0.1046550016507098</v>
      </c>
      <c r="BT656" s="36">
        <f>(Inventory[[#This Row],[Adjusted Land Total]]-Inventory[[#This Row],[24Lnd]])/Inventory[[#This Row],[24Lnd]]</f>
        <v>-0.34567901234567899</v>
      </c>
      <c r="BU656" s="36">
        <f>(Inventory[[#This Row],[Adjusted Total]]-Inventory[[#This Row],[24Final]])/Inventory[[#This Row],[24Final]]</f>
        <v>2.5292357900462335E-2</v>
      </c>
    </row>
    <row r="657" spans="1:73" x14ac:dyDescent="0.3">
      <c r="A657" s="25">
        <v>2025</v>
      </c>
      <c r="B657" s="26" t="s">
        <v>2636</v>
      </c>
      <c r="C657" s="26">
        <f>LN(Inventory[[#This Row],[Acres]])</f>
        <v>-1.7719568419318752</v>
      </c>
      <c r="D657" s="25">
        <v>0.17</v>
      </c>
      <c r="E657" s="25">
        <v>7500</v>
      </c>
      <c r="F657" s="26" t="s">
        <v>537</v>
      </c>
      <c r="G657" s="26" t="s">
        <v>126</v>
      </c>
      <c r="H657" s="26" t="s">
        <v>349</v>
      </c>
      <c r="I657" s="26" t="s">
        <v>538</v>
      </c>
      <c r="J657" s="26" t="s">
        <v>539</v>
      </c>
      <c r="K657" s="26" t="s">
        <v>241</v>
      </c>
      <c r="L657" s="26" t="s">
        <v>302</v>
      </c>
      <c r="M657" s="26" t="s">
        <v>323</v>
      </c>
      <c r="N657" s="26">
        <v>70</v>
      </c>
      <c r="O657" s="26">
        <f>2024-Inventory[[#This Row],[YrBlt]]</f>
        <v>69</v>
      </c>
      <c r="P657" s="26">
        <f>2024-Inventory[[#This Row],[EffYr]]</f>
        <v>50</v>
      </c>
      <c r="Q657" s="25">
        <v>1955</v>
      </c>
      <c r="R657" s="25">
        <v>1974</v>
      </c>
      <c r="S657" s="25">
        <v>1762</v>
      </c>
      <c r="T657" s="31"/>
      <c r="U657" s="31"/>
      <c r="V657" s="27">
        <f>Inventory[[#This Row],[Bsmt]]-Inventory[[#This Row],[FnBsmt]]</f>
        <v>0</v>
      </c>
      <c r="W657" s="27"/>
      <c r="X657" s="27"/>
      <c r="Y657" s="27">
        <f>Inventory[[#This Row],[MainFn]]+Inventory[[#This Row],[UpprFn]]+Inventory[[#This Row],[FnBsmt]]+Inventory[[#This Row],[AddFn]]</f>
        <v>1762</v>
      </c>
      <c r="Z657" s="27">
        <v>2000</v>
      </c>
      <c r="AA657" s="25">
        <v>11</v>
      </c>
      <c r="AB657" s="32">
        <v>308</v>
      </c>
      <c r="AC657" s="27"/>
      <c r="AD657" s="31"/>
      <c r="AE657" s="27"/>
      <c r="AF657" s="27"/>
      <c r="AG657" s="27"/>
      <c r="AH657" s="27"/>
      <c r="AI657" s="25">
        <v>349221</v>
      </c>
      <c r="AJ657" s="25">
        <v>244455</v>
      </c>
      <c r="AK657" s="25">
        <v>0</v>
      </c>
      <c r="AL657" s="25">
        <v>331800</v>
      </c>
      <c r="AM657" s="25">
        <v>52700</v>
      </c>
      <c r="AN657" s="25">
        <v>279100</v>
      </c>
      <c r="AO657" s="25">
        <v>0</v>
      </c>
      <c r="AP657" s="25">
        <f>Lookups!$B$56*0</f>
        <v>0</v>
      </c>
      <c r="AQ657" s="25">
        <f>Lookups!$B$56*1</f>
        <v>89850.625589999996</v>
      </c>
      <c r="AR657" s="25">
        <f>Lookups!$B$57*Inventory[[#This Row],[LnAcres]]</f>
        <v>-56090.612940989391</v>
      </c>
      <c r="AS657" s="25">
        <f>VLOOKUP(Inventory[[#This Row],[Qlty]],Lookups!$A$62:$E$75,2,FALSE)</f>
        <v>29814.093161000001</v>
      </c>
      <c r="AT657" s="25">
        <f>VLOOKUP(Inventory[[#This Row],[Cnd]],Lookups!$A$76:$E$84,2,FALSE)</f>
        <v>160472.20319</v>
      </c>
      <c r="AU657" s="25">
        <f>Inventory[[#This Row],[EffAge]]*Lookups!$B$85</f>
        <v>-11152.280025</v>
      </c>
      <c r="AV657" s="25">
        <f>Inventory[[#This Row],[MainFn]]*Lookups!$B$86</f>
        <v>87058.076323273999</v>
      </c>
      <c r="AW657" s="25">
        <f>Inventory[[#This Row],[UpprFn]]*Lookups!$B$87</f>
        <v>0</v>
      </c>
      <c r="AX657" s="25">
        <f>Inventory[[#This Row],[AddFn]]*Lookups!$B$88</f>
        <v>0</v>
      </c>
      <c r="AY657" s="25">
        <f>Inventory[[#This Row],[Bsmt]]*Lookups!$B$89</f>
        <v>0</v>
      </c>
      <c r="AZ657" s="25">
        <f>Inventory[[#This Row],[Fixtures]]*Lookups!$B$90</f>
        <v>41712.243157199999</v>
      </c>
      <c r="BA657" s="25">
        <f>Inventory[[#This Row],[WdDeck]]*Lookups!$B$91</f>
        <v>0</v>
      </c>
      <c r="BB657" s="25">
        <f>ROUND(Inventory[[#This Row],[25Det]],-2)</f>
        <v>0</v>
      </c>
      <c r="BC657" s="25">
        <f>ROUND(SUM(Inventory[[#This Row],[Mdl Qlty]:[Mdl WdDeck]])+Inventory[[#This Row],[Mdl Res Intercept]],-2)</f>
        <v>307900</v>
      </c>
      <c r="BD657" s="25">
        <f>ROUND(Inventory[[#This Row],[Mdl Land Intercept]]+Inventory[[#This Row],[Mdl LnAcres]],-2)</f>
        <v>33800</v>
      </c>
      <c r="BE657" s="25">
        <f>Inventory[[#This Row],[Unadj Res Value]]+Inventory[[#This Row],[Unadj Det Value]]+Inventory[[#This Row],[Unadj Land Value]]</f>
        <v>341700</v>
      </c>
      <c r="BF657" s="36">
        <f>(Inventory[[#This Row],[Unadj Total Value]]-Inventory[[#This Row],[24Final]])/Inventory[[#This Row],[24Final]]</f>
        <v>2.9837251356238697E-2</v>
      </c>
      <c r="BG657" s="25">
        <f>VLOOKUP(Inventory[[#This Row],[Nbhd]],Lookups!$Q$2:$T$4,4,FALSE)</f>
        <v>0.99970000000000003</v>
      </c>
      <c r="BH657" s="25">
        <f>VLOOKUP(Inventory[[#This Row],[Qlty]],Lookups!$O$7:$R$21,4,FALSE)</f>
        <v>1.0088999999999999</v>
      </c>
      <c r="BI657" s="25">
        <f>VLOOKUP(Inventory[[#This Row],[Cnd]],Lookups!$T$7:$W$16,4,FALSE)</f>
        <v>0.99729999999999996</v>
      </c>
      <c r="BJ657" s="25">
        <f>VLOOKUP(Inventory[[#This Row],[LivArea Range]],Lookups!$T$25:$W$37,4,FALSE)</f>
        <v>1.0093000000000001</v>
      </c>
      <c r="BK657" s="25">
        <f>VLOOKUP(Inventory[[#This Row],[Decade]],Lookups!$O$25:$R$42,4,FALSE)</f>
        <v>1.0199</v>
      </c>
      <c r="BL657" s="25">
        <f>Inventory[[#This Row],[Nbhd Adj]]*0.95</f>
        <v>0.94971499999999998</v>
      </c>
      <c r="BM657" s="25">
        <f>Inventory[[#This Row],[Nbhd Adj]]*Inventory[[#This Row],[Quality Adj]]*Inventory[[#This Row],[Condition Adj]]*Inventory[[#This Row],[Living Area Adj]]*Inventory[[#This Row],[Decade Adj]]*0.95</f>
        <v>0.98366020862665582</v>
      </c>
      <c r="BN657" s="25">
        <f>ROUND(SUM(Inventory[[#This Row],[Mdl Qlty]:[Mdl WdDeck]])+Inventory[[#This Row],[Mdl Res Intercept]]*Inventory[[#This Row],[Res Adj ]],-2)</f>
        <v>307900</v>
      </c>
      <c r="BO657" s="25">
        <f>ROUND(Inventory[[#This Row],[25Det]]*Inventory[[#This Row],[Det/Nbhd Adj]],-2)</f>
        <v>0</v>
      </c>
      <c r="BP657" s="25">
        <f>Inventory[[#This Row],[Adjusted Res]]+Inventory[[#This Row],[Adj Det ]]</f>
        <v>307900</v>
      </c>
      <c r="BQ657" s="25">
        <f>ROUND((Inventory[[#This Row],[Mdl Land Intercept]]+Inventory[[#This Row],[Mdl LnAcres]])*Inventory[[#This Row],[Det/Nbhd Adj]],-2)</f>
        <v>32100</v>
      </c>
      <c r="BR657" s="25">
        <f>Inventory[[#This Row],[Adjusted Impr Total]]+Inventory[[#This Row],[Adjusted Land Total]]</f>
        <v>340000</v>
      </c>
      <c r="BS657" s="36">
        <f>IFERROR((Inventory[[#This Row],[Adjusted Impr Total]]-Inventory[[#This Row],[24Bldg]])/Inventory[[#This Row],[24Bldg]],0)</f>
        <v>0.10318882121103547</v>
      </c>
      <c r="BT657" s="36">
        <f>(Inventory[[#This Row],[Adjusted Land Total]]-Inventory[[#This Row],[24Lnd]])/Inventory[[#This Row],[24Lnd]]</f>
        <v>-0.39089184060721061</v>
      </c>
      <c r="BU657" s="36">
        <f>(Inventory[[#This Row],[Adjusted Total]]-Inventory[[#This Row],[24Final]])/Inventory[[#This Row],[24Final]]</f>
        <v>2.4713682941531041E-2</v>
      </c>
    </row>
    <row r="658" spans="1:73" x14ac:dyDescent="0.3">
      <c r="A658" s="25">
        <v>2025</v>
      </c>
      <c r="B658" s="26" t="s">
        <v>2584</v>
      </c>
      <c r="C658" s="26">
        <f>LN(Inventory[[#This Row],[Acres]])</f>
        <v>-1.6094379124341003</v>
      </c>
      <c r="D658" s="25">
        <v>0.2</v>
      </c>
      <c r="E658" s="32">
        <v>8518</v>
      </c>
      <c r="F658" s="26" t="s">
        <v>537</v>
      </c>
      <c r="G658" s="26" t="s">
        <v>126</v>
      </c>
      <c r="H658" s="26" t="s">
        <v>349</v>
      </c>
      <c r="I658" s="26" t="s">
        <v>538</v>
      </c>
      <c r="J658" s="26" t="s">
        <v>539</v>
      </c>
      <c r="K658" s="26" t="s">
        <v>241</v>
      </c>
      <c r="L658" s="26" t="s">
        <v>351</v>
      </c>
      <c r="M658" s="26" t="s">
        <v>323</v>
      </c>
      <c r="N658" s="26">
        <v>70</v>
      </c>
      <c r="O658" s="26">
        <f>2024-Inventory[[#This Row],[YrBlt]]</f>
        <v>69</v>
      </c>
      <c r="P658" s="26">
        <f>2024-Inventory[[#This Row],[EffYr]]</f>
        <v>50</v>
      </c>
      <c r="Q658" s="25">
        <v>1955</v>
      </c>
      <c r="R658" s="25">
        <v>1974</v>
      </c>
      <c r="S658" s="25">
        <v>1640</v>
      </c>
      <c r="T658" s="27"/>
      <c r="U658" s="31"/>
      <c r="V658" s="27">
        <f>Inventory[[#This Row],[Bsmt]]-Inventory[[#This Row],[FnBsmt]]</f>
        <v>0</v>
      </c>
      <c r="W658" s="27"/>
      <c r="X658" s="27"/>
      <c r="Y658" s="27">
        <f>Inventory[[#This Row],[MainFn]]+Inventory[[#This Row],[UpprFn]]+Inventory[[#This Row],[FnBsmt]]+Inventory[[#This Row],[AddFn]]</f>
        <v>1640</v>
      </c>
      <c r="Z658" s="27">
        <v>2000</v>
      </c>
      <c r="AA658" s="25">
        <v>9</v>
      </c>
      <c r="AB658" s="32">
        <v>336</v>
      </c>
      <c r="AC658" s="27"/>
      <c r="AD658" s="27"/>
      <c r="AE658" s="27"/>
      <c r="AF658" s="27"/>
      <c r="AG658" s="27"/>
      <c r="AH658" s="27"/>
      <c r="AI658" s="25">
        <v>279896</v>
      </c>
      <c r="AJ658" s="25">
        <v>195927</v>
      </c>
      <c r="AK658" s="25">
        <v>0</v>
      </c>
      <c r="AL658" s="25">
        <v>315200</v>
      </c>
      <c r="AM658" s="25">
        <v>58400</v>
      </c>
      <c r="AN658" s="25">
        <v>256800</v>
      </c>
      <c r="AO658" s="25">
        <v>0</v>
      </c>
      <c r="AP658" s="25">
        <f>Lookups!$B$56*0</f>
        <v>0</v>
      </c>
      <c r="AQ658" s="25">
        <f>Lookups!$B$56*1</f>
        <v>89850.625589999996</v>
      </c>
      <c r="AR658" s="25">
        <f>Lookups!$B$57*Inventory[[#This Row],[LnAcres]]</f>
        <v>-50946.13867709865</v>
      </c>
      <c r="AS658" s="25">
        <f>VLOOKUP(Inventory[[#This Row],[Qlty]],Lookups!$A$62:$E$75,2,FALSE)</f>
        <v>21557.329055999999</v>
      </c>
      <c r="AT658" s="25">
        <f>VLOOKUP(Inventory[[#This Row],[Cnd]],Lookups!$A$76:$E$84,2,FALSE)</f>
        <v>160472.20319</v>
      </c>
      <c r="AU658" s="25">
        <f>Inventory[[#This Row],[EffAge]]*Lookups!$B$85</f>
        <v>-11152.280025</v>
      </c>
      <c r="AV658" s="25">
        <f>Inventory[[#This Row],[MainFn]]*Lookups!$B$86</f>
        <v>81030.21859828</v>
      </c>
      <c r="AW658" s="25">
        <f>Inventory[[#This Row],[UpprFn]]*Lookups!$B$87</f>
        <v>0</v>
      </c>
      <c r="AX658" s="25">
        <f>Inventory[[#This Row],[AddFn]]*Lookups!$B$88</f>
        <v>0</v>
      </c>
      <c r="AY658" s="25">
        <f>Inventory[[#This Row],[Bsmt]]*Lookups!$B$89</f>
        <v>0</v>
      </c>
      <c r="AZ658" s="25">
        <f>Inventory[[#This Row],[Fixtures]]*Lookups!$B$90</f>
        <v>34128.198946800003</v>
      </c>
      <c r="BA658" s="25">
        <f>Inventory[[#This Row],[WdDeck]]*Lookups!$B$91</f>
        <v>0</v>
      </c>
      <c r="BB658" s="25">
        <f>ROUND(Inventory[[#This Row],[25Det]],-2)</f>
        <v>0</v>
      </c>
      <c r="BC658" s="25">
        <f>ROUND(SUM(Inventory[[#This Row],[Mdl Qlty]:[Mdl WdDeck]])+Inventory[[#This Row],[Mdl Res Intercept]],-2)</f>
        <v>286000</v>
      </c>
      <c r="BD658" s="25">
        <f>ROUND(Inventory[[#This Row],[Mdl Land Intercept]]+Inventory[[#This Row],[Mdl LnAcres]],-2)</f>
        <v>38900</v>
      </c>
      <c r="BE658" s="25">
        <f>Inventory[[#This Row],[Unadj Res Value]]+Inventory[[#This Row],[Unadj Det Value]]+Inventory[[#This Row],[Unadj Land Value]]</f>
        <v>324900</v>
      </c>
      <c r="BF658" s="36">
        <f>(Inventory[[#This Row],[Unadj Total Value]]-Inventory[[#This Row],[24Final]])/Inventory[[#This Row],[24Final]]</f>
        <v>3.0774111675126902E-2</v>
      </c>
      <c r="BG658" s="25">
        <f>VLOOKUP(Inventory[[#This Row],[Nbhd]],Lookups!$Q$2:$T$4,4,FALSE)</f>
        <v>0.99970000000000003</v>
      </c>
      <c r="BH658" s="25">
        <f>VLOOKUP(Inventory[[#This Row],[Qlty]],Lookups!$O$7:$R$21,4,FALSE)</f>
        <v>1.0067999999999999</v>
      </c>
      <c r="BI658" s="25">
        <f>VLOOKUP(Inventory[[#This Row],[Cnd]],Lookups!$T$7:$W$16,4,FALSE)</f>
        <v>0.99729999999999996</v>
      </c>
      <c r="BJ658" s="25">
        <f>VLOOKUP(Inventory[[#This Row],[LivArea Range]],Lookups!$T$25:$W$37,4,FALSE)</f>
        <v>1.0093000000000001</v>
      </c>
      <c r="BK658" s="25">
        <f>VLOOKUP(Inventory[[#This Row],[Decade]],Lookups!$O$25:$R$42,4,FALSE)</f>
        <v>1.0199</v>
      </c>
      <c r="BL658" s="25">
        <f>Inventory[[#This Row],[Nbhd Adj]]*0.95</f>
        <v>0.94971499999999998</v>
      </c>
      <c r="BM658" s="25">
        <f>Inventory[[#This Row],[Nbhd Adj]]*Inventory[[#This Row],[Quality Adj]]*Inventory[[#This Row],[Condition Adj]]*Inventory[[#This Row],[Living Area Adj]]*Inventory[[#This Row],[Decade Adj]]*0.95</f>
        <v>0.98161274461821502</v>
      </c>
      <c r="BN658" s="25">
        <f>ROUND(SUM(Inventory[[#This Row],[Mdl Qlty]:[Mdl WdDeck]])+Inventory[[#This Row],[Mdl Res Intercept]]*Inventory[[#This Row],[Res Adj ]],-2)</f>
        <v>286000</v>
      </c>
      <c r="BO658" s="25">
        <f>ROUND(Inventory[[#This Row],[25Det]]*Inventory[[#This Row],[Det/Nbhd Adj]],-2)</f>
        <v>0</v>
      </c>
      <c r="BP658" s="25">
        <f>Inventory[[#This Row],[Adjusted Res]]+Inventory[[#This Row],[Adj Det ]]</f>
        <v>286000</v>
      </c>
      <c r="BQ658" s="25">
        <f>ROUND((Inventory[[#This Row],[Mdl Land Intercept]]+Inventory[[#This Row],[Mdl LnAcres]])*Inventory[[#This Row],[Det/Nbhd Adj]],-2)</f>
        <v>36900</v>
      </c>
      <c r="BR658" s="25">
        <f>Inventory[[#This Row],[Adjusted Impr Total]]+Inventory[[#This Row],[Adjusted Land Total]]</f>
        <v>322900</v>
      </c>
      <c r="BS658" s="36">
        <f>IFERROR((Inventory[[#This Row],[Adjusted Impr Total]]-Inventory[[#This Row],[24Bldg]])/Inventory[[#This Row],[24Bldg]],0)</f>
        <v>0.11370716510903427</v>
      </c>
      <c r="BT658" s="36">
        <f>(Inventory[[#This Row],[Adjusted Land Total]]-Inventory[[#This Row],[24Lnd]])/Inventory[[#This Row],[24Lnd]]</f>
        <v>-0.36815068493150682</v>
      </c>
      <c r="BU658" s="36">
        <f>(Inventory[[#This Row],[Adjusted Total]]-Inventory[[#This Row],[24Final]])/Inventory[[#This Row],[24Final]]</f>
        <v>2.4428934010152285E-2</v>
      </c>
    </row>
    <row r="659" spans="1:73" x14ac:dyDescent="0.3">
      <c r="A659" s="25">
        <v>2025</v>
      </c>
      <c r="B659" s="26" t="s">
        <v>1166</v>
      </c>
      <c r="C659" s="26">
        <f>LN(Inventory[[#This Row],[Acres]])</f>
        <v>-1.4696759700589417</v>
      </c>
      <c r="D659" s="25">
        <v>0.23</v>
      </c>
      <c r="E659" s="25">
        <v>9981</v>
      </c>
      <c r="F659" s="26" t="s">
        <v>537</v>
      </c>
      <c r="G659" s="26" t="s">
        <v>126</v>
      </c>
      <c r="H659" s="26" t="s">
        <v>349</v>
      </c>
      <c r="I659" s="26" t="s">
        <v>538</v>
      </c>
      <c r="J659" s="26" t="s">
        <v>539</v>
      </c>
      <c r="K659" s="26" t="s">
        <v>241</v>
      </c>
      <c r="L659" s="26" t="s">
        <v>351</v>
      </c>
      <c r="M659" s="26" t="s">
        <v>323</v>
      </c>
      <c r="N659" s="26">
        <v>70</v>
      </c>
      <c r="O659" s="26">
        <f>2024-Inventory[[#This Row],[YrBlt]]</f>
        <v>69</v>
      </c>
      <c r="P659" s="26">
        <f>2024-Inventory[[#This Row],[EffYr]]</f>
        <v>50</v>
      </c>
      <c r="Q659" s="25">
        <v>1955</v>
      </c>
      <c r="R659" s="25">
        <v>1974</v>
      </c>
      <c r="S659" s="25">
        <v>1392</v>
      </c>
      <c r="T659" s="27"/>
      <c r="U659" s="31"/>
      <c r="V659" s="31">
        <f>Inventory[[#This Row],[Bsmt]]-Inventory[[#This Row],[FnBsmt]]</f>
        <v>0</v>
      </c>
      <c r="W659" s="31"/>
      <c r="X659" s="27"/>
      <c r="Y659" s="27">
        <f>Inventory[[#This Row],[MainFn]]+Inventory[[#This Row],[UpprFn]]+Inventory[[#This Row],[FnBsmt]]+Inventory[[#This Row],[AddFn]]</f>
        <v>1392</v>
      </c>
      <c r="Z659" s="27">
        <v>1500</v>
      </c>
      <c r="AA659" s="25">
        <v>8</v>
      </c>
      <c r="AB659" s="32">
        <v>252</v>
      </c>
      <c r="AC659" s="27"/>
      <c r="AD659" s="27"/>
      <c r="AE659" s="27"/>
      <c r="AF659" s="27"/>
      <c r="AG659" s="27"/>
      <c r="AH659" s="27"/>
      <c r="AI659" s="25">
        <v>251168</v>
      </c>
      <c r="AJ659" s="25">
        <v>175818</v>
      </c>
      <c r="AK659" s="25">
        <v>0</v>
      </c>
      <c r="AL659" s="25">
        <v>303700</v>
      </c>
      <c r="AM659" s="25">
        <v>63300</v>
      </c>
      <c r="AN659" s="25">
        <v>240400</v>
      </c>
      <c r="AO659" s="25">
        <v>0</v>
      </c>
      <c r="AP659" s="25">
        <f>Lookups!$B$56*0</f>
        <v>0</v>
      </c>
      <c r="AQ659" s="25">
        <f>Lookups!$B$56*1</f>
        <v>89850.625589999996</v>
      </c>
      <c r="AR659" s="25">
        <f>Lookups!$B$57*Inventory[[#This Row],[LnAcres]]</f>
        <v>-46522.028095997222</v>
      </c>
      <c r="AS659" s="25">
        <f>VLOOKUP(Inventory[[#This Row],[Qlty]],Lookups!$A$62:$E$75,2,FALSE)</f>
        <v>21557.329055999999</v>
      </c>
      <c r="AT659" s="25">
        <f>VLOOKUP(Inventory[[#This Row],[Cnd]],Lookups!$A$76:$E$84,2,FALSE)</f>
        <v>160472.20319</v>
      </c>
      <c r="AU659" s="25">
        <f>Inventory[[#This Row],[EffAge]]*Lookups!$B$85</f>
        <v>-11152.280025</v>
      </c>
      <c r="AV659" s="25">
        <f>Inventory[[#This Row],[MainFn]]*Lookups!$B$86</f>
        <v>68776.868468784</v>
      </c>
      <c r="AW659" s="25">
        <f>Inventory[[#This Row],[UpprFn]]*Lookups!$B$87</f>
        <v>0</v>
      </c>
      <c r="AX659" s="25">
        <f>Inventory[[#This Row],[AddFn]]*Lookups!$B$88</f>
        <v>0</v>
      </c>
      <c r="AY659" s="25">
        <f>Inventory[[#This Row],[Bsmt]]*Lookups!$B$89</f>
        <v>0</v>
      </c>
      <c r="AZ659" s="25">
        <f>Inventory[[#This Row],[Fixtures]]*Lookups!$B$90</f>
        <v>30336.176841600001</v>
      </c>
      <c r="BA659" s="25">
        <f>Inventory[[#This Row],[WdDeck]]*Lookups!$B$91</f>
        <v>0</v>
      </c>
      <c r="BB659" s="25">
        <f>ROUND(Inventory[[#This Row],[25Det]],-2)</f>
        <v>0</v>
      </c>
      <c r="BC659" s="25">
        <f>ROUND(SUM(Inventory[[#This Row],[Mdl Qlty]:[Mdl WdDeck]])+Inventory[[#This Row],[Mdl Res Intercept]],-2)</f>
        <v>270000</v>
      </c>
      <c r="BD659" s="25">
        <f>ROUND(Inventory[[#This Row],[Mdl Land Intercept]]+Inventory[[#This Row],[Mdl LnAcres]],-2)</f>
        <v>43300</v>
      </c>
      <c r="BE659" s="25">
        <f>Inventory[[#This Row],[Unadj Res Value]]+Inventory[[#This Row],[Unadj Det Value]]+Inventory[[#This Row],[Unadj Land Value]]</f>
        <v>313300</v>
      </c>
      <c r="BF659" s="36">
        <f>(Inventory[[#This Row],[Unadj Total Value]]-Inventory[[#This Row],[24Final]])/Inventory[[#This Row],[24Final]]</f>
        <v>3.1610141587092529E-2</v>
      </c>
      <c r="BG659" s="25">
        <f>VLOOKUP(Inventory[[#This Row],[Nbhd]],Lookups!$Q$2:$T$4,4,FALSE)</f>
        <v>0.99970000000000003</v>
      </c>
      <c r="BH659" s="25">
        <f>VLOOKUP(Inventory[[#This Row],[Qlty]],Lookups!$O$7:$R$21,4,FALSE)</f>
        <v>1.0067999999999999</v>
      </c>
      <c r="BI659" s="25">
        <f>VLOOKUP(Inventory[[#This Row],[Cnd]],Lookups!$T$7:$W$16,4,FALSE)</f>
        <v>0.99729999999999996</v>
      </c>
      <c r="BJ659" s="25">
        <f>VLOOKUP(Inventory[[#This Row],[LivArea Range]],Lookups!$T$25:$W$37,4,FALSE)</f>
        <v>1.0157</v>
      </c>
      <c r="BK659" s="25">
        <f>VLOOKUP(Inventory[[#This Row],[Decade]],Lookups!$O$25:$R$42,4,FALSE)</f>
        <v>1.0199</v>
      </c>
      <c r="BL659" s="25">
        <f>Inventory[[#This Row],[Nbhd Adj]]*0.95</f>
        <v>0.94971499999999998</v>
      </c>
      <c r="BM659" s="25">
        <f>Inventory[[#This Row],[Nbhd Adj]]*Inventory[[#This Row],[Quality Adj]]*Inventory[[#This Row],[Condition Adj]]*Inventory[[#This Row],[Living Area Adj]]*Inventory[[#This Row],[Decade Adj]]*0.95</f>
        <v>0.98783717894453682</v>
      </c>
      <c r="BN659" s="25">
        <f>ROUND(SUM(Inventory[[#This Row],[Mdl Qlty]:[Mdl WdDeck]])+Inventory[[#This Row],[Mdl Res Intercept]]*Inventory[[#This Row],[Res Adj ]],-2)</f>
        <v>270000</v>
      </c>
      <c r="BO659" s="25">
        <f>ROUND(Inventory[[#This Row],[25Det]]*Inventory[[#This Row],[Det/Nbhd Adj]],-2)</f>
        <v>0</v>
      </c>
      <c r="BP659" s="25">
        <f>Inventory[[#This Row],[Adjusted Res]]+Inventory[[#This Row],[Adj Det ]]</f>
        <v>270000</v>
      </c>
      <c r="BQ659" s="25">
        <f>ROUND((Inventory[[#This Row],[Mdl Land Intercept]]+Inventory[[#This Row],[Mdl LnAcres]])*Inventory[[#This Row],[Det/Nbhd Adj]],-2)</f>
        <v>41100</v>
      </c>
      <c r="BR659" s="25">
        <f>Inventory[[#This Row],[Adjusted Impr Total]]+Inventory[[#This Row],[Adjusted Land Total]]</f>
        <v>311100</v>
      </c>
      <c r="BS659" s="36">
        <f>IFERROR((Inventory[[#This Row],[Adjusted Impr Total]]-Inventory[[#This Row],[24Bldg]])/Inventory[[#This Row],[24Bldg]],0)</f>
        <v>0.12312811980033278</v>
      </c>
      <c r="BT659" s="36">
        <f>(Inventory[[#This Row],[Adjusted Land Total]]-Inventory[[#This Row],[24Lnd]])/Inventory[[#This Row],[24Lnd]]</f>
        <v>-0.35071090047393366</v>
      </c>
      <c r="BU659" s="36">
        <f>(Inventory[[#This Row],[Adjusted Total]]-Inventory[[#This Row],[24Final]])/Inventory[[#This Row],[24Final]]</f>
        <v>2.4366150806717154E-2</v>
      </c>
    </row>
    <row r="660" spans="1:73" x14ac:dyDescent="0.3">
      <c r="A660" s="25">
        <v>2025</v>
      </c>
      <c r="B660" s="26" t="s">
        <v>1739</v>
      </c>
      <c r="C660" s="26">
        <f>LN(Inventory[[#This Row],[Acres]])</f>
        <v>-1.5606477482646683</v>
      </c>
      <c r="D660" s="25">
        <v>0.21</v>
      </c>
      <c r="E660" s="27"/>
      <c r="F660" s="26" t="s">
        <v>537</v>
      </c>
      <c r="G660" s="26" t="s">
        <v>126</v>
      </c>
      <c r="H660" s="26" t="s">
        <v>349</v>
      </c>
      <c r="I660" s="26" t="s">
        <v>538</v>
      </c>
      <c r="J660" s="26" t="s">
        <v>539</v>
      </c>
      <c r="K660" s="26" t="s">
        <v>241</v>
      </c>
      <c r="L660" s="26" t="s">
        <v>351</v>
      </c>
      <c r="M660" s="26" t="s">
        <v>323</v>
      </c>
      <c r="N660" s="26">
        <v>70</v>
      </c>
      <c r="O660" s="26">
        <f>2024-Inventory[[#This Row],[YrBlt]]</f>
        <v>69</v>
      </c>
      <c r="P660" s="26">
        <f>2024-Inventory[[#This Row],[EffYr]]</f>
        <v>50</v>
      </c>
      <c r="Q660" s="25">
        <v>1955</v>
      </c>
      <c r="R660" s="25">
        <v>1974</v>
      </c>
      <c r="S660" s="25">
        <v>1119</v>
      </c>
      <c r="T660" s="27"/>
      <c r="U660" s="31"/>
      <c r="V660" s="31">
        <f>Inventory[[#This Row],[Bsmt]]-Inventory[[#This Row],[FnBsmt]]</f>
        <v>0</v>
      </c>
      <c r="W660" s="31"/>
      <c r="X660" s="27"/>
      <c r="Y660" s="27">
        <f>Inventory[[#This Row],[MainFn]]+Inventory[[#This Row],[UpprFn]]+Inventory[[#This Row],[FnBsmt]]+Inventory[[#This Row],[AddFn]]</f>
        <v>1119</v>
      </c>
      <c r="Z660" s="27">
        <v>1500</v>
      </c>
      <c r="AA660" s="25">
        <v>7</v>
      </c>
      <c r="AB660" s="25">
        <v>170</v>
      </c>
      <c r="AC660" s="27"/>
      <c r="AD660" s="27"/>
      <c r="AE660" s="27"/>
      <c r="AF660" s="27"/>
      <c r="AG660" s="27"/>
      <c r="AH660" s="27"/>
      <c r="AI660" s="25">
        <v>206546</v>
      </c>
      <c r="AJ660" s="25">
        <v>144582</v>
      </c>
      <c r="AK660" s="25">
        <v>0</v>
      </c>
      <c r="AL660" s="25">
        <v>284300</v>
      </c>
      <c r="AM660" s="25">
        <v>60100</v>
      </c>
      <c r="AN660" s="25">
        <v>224200</v>
      </c>
      <c r="AO660" s="25">
        <v>0</v>
      </c>
      <c r="AP660" s="25">
        <f>Lookups!$B$56*0</f>
        <v>0</v>
      </c>
      <c r="AQ660" s="25">
        <f>Lookups!$B$56*1</f>
        <v>89850.625589999996</v>
      </c>
      <c r="AR660" s="25">
        <f>Lookups!$B$57*Inventory[[#This Row],[LnAcres]]</f>
        <v>-49401.70477837498</v>
      </c>
      <c r="AS660" s="25">
        <f>VLOOKUP(Inventory[[#This Row],[Qlty]],Lookups!$A$62:$E$75,2,FALSE)</f>
        <v>21557.329055999999</v>
      </c>
      <c r="AT660" s="25">
        <f>VLOOKUP(Inventory[[#This Row],[Cnd]],Lookups!$A$76:$E$84,2,FALSE)</f>
        <v>160472.20319</v>
      </c>
      <c r="AU660" s="25">
        <f>Inventory[[#This Row],[EffAge]]*Lookups!$B$85</f>
        <v>-11152.280025</v>
      </c>
      <c r="AV660" s="25">
        <f>Inventory[[#This Row],[MainFn]]*Lookups!$B$86</f>
        <v>55288.301592363001</v>
      </c>
      <c r="AW660" s="25">
        <f>Inventory[[#This Row],[UpprFn]]*Lookups!$B$87</f>
        <v>0</v>
      </c>
      <c r="AX660" s="25">
        <f>Inventory[[#This Row],[AddFn]]*Lookups!$B$88</f>
        <v>0</v>
      </c>
      <c r="AY660" s="25">
        <f>Inventory[[#This Row],[Bsmt]]*Lookups!$B$89</f>
        <v>0</v>
      </c>
      <c r="AZ660" s="25">
        <f>Inventory[[#This Row],[Fixtures]]*Lookups!$B$90</f>
        <v>26544.1547364</v>
      </c>
      <c r="BA660" s="25">
        <f>Inventory[[#This Row],[WdDeck]]*Lookups!$B$91</f>
        <v>0</v>
      </c>
      <c r="BB660" s="25">
        <f>ROUND(Inventory[[#This Row],[25Det]],-2)</f>
        <v>0</v>
      </c>
      <c r="BC660" s="25">
        <f>ROUND(SUM(Inventory[[#This Row],[Mdl Qlty]:[Mdl WdDeck]])+Inventory[[#This Row],[Mdl Res Intercept]],-2)</f>
        <v>252700</v>
      </c>
      <c r="BD660" s="25">
        <f>ROUND(Inventory[[#This Row],[Mdl Land Intercept]]+Inventory[[#This Row],[Mdl LnAcres]],-2)</f>
        <v>40400</v>
      </c>
      <c r="BE660" s="25">
        <f>Inventory[[#This Row],[Unadj Res Value]]+Inventory[[#This Row],[Unadj Det Value]]+Inventory[[#This Row],[Unadj Land Value]]</f>
        <v>293100</v>
      </c>
      <c r="BF660" s="36">
        <f>(Inventory[[#This Row],[Unadj Total Value]]-Inventory[[#This Row],[24Final]])/Inventory[[#This Row],[24Final]]</f>
        <v>3.0953218431234612E-2</v>
      </c>
      <c r="BG660" s="25">
        <f>VLOOKUP(Inventory[[#This Row],[Nbhd]],Lookups!$Q$2:$T$4,4,FALSE)</f>
        <v>0.99970000000000003</v>
      </c>
      <c r="BH660" s="25">
        <f>VLOOKUP(Inventory[[#This Row],[Qlty]],Lookups!$O$7:$R$21,4,FALSE)</f>
        <v>1.0067999999999999</v>
      </c>
      <c r="BI660" s="25">
        <f>VLOOKUP(Inventory[[#This Row],[Cnd]],Lookups!$T$7:$W$16,4,FALSE)</f>
        <v>0.99729999999999996</v>
      </c>
      <c r="BJ660" s="25">
        <f>VLOOKUP(Inventory[[#This Row],[LivArea Range]],Lookups!$T$25:$W$37,4,FALSE)</f>
        <v>1.0157</v>
      </c>
      <c r="BK660" s="25">
        <f>VLOOKUP(Inventory[[#This Row],[Decade]],Lookups!$O$25:$R$42,4,FALSE)</f>
        <v>1.0199</v>
      </c>
      <c r="BL660" s="25">
        <f>Inventory[[#This Row],[Nbhd Adj]]*0.95</f>
        <v>0.94971499999999998</v>
      </c>
      <c r="BM660" s="25">
        <f>Inventory[[#This Row],[Nbhd Adj]]*Inventory[[#This Row],[Quality Adj]]*Inventory[[#This Row],[Condition Adj]]*Inventory[[#This Row],[Living Area Adj]]*Inventory[[#This Row],[Decade Adj]]*0.95</f>
        <v>0.98783717894453682</v>
      </c>
      <c r="BN660" s="25">
        <f>ROUND(SUM(Inventory[[#This Row],[Mdl Qlty]:[Mdl WdDeck]])+Inventory[[#This Row],[Mdl Res Intercept]]*Inventory[[#This Row],[Res Adj ]],-2)</f>
        <v>252700</v>
      </c>
      <c r="BO660" s="25">
        <f>ROUND(Inventory[[#This Row],[25Det]]*Inventory[[#This Row],[Det/Nbhd Adj]],-2)</f>
        <v>0</v>
      </c>
      <c r="BP660" s="25">
        <f>Inventory[[#This Row],[Adjusted Res]]+Inventory[[#This Row],[Adj Det ]]</f>
        <v>252700</v>
      </c>
      <c r="BQ660" s="25">
        <f>ROUND((Inventory[[#This Row],[Mdl Land Intercept]]+Inventory[[#This Row],[Mdl LnAcres]])*Inventory[[#This Row],[Det/Nbhd Adj]],-2)</f>
        <v>38400</v>
      </c>
      <c r="BR660" s="25">
        <f>Inventory[[#This Row],[Adjusted Impr Total]]+Inventory[[#This Row],[Adjusted Land Total]]</f>
        <v>291100</v>
      </c>
      <c r="BS660" s="36">
        <f>IFERROR((Inventory[[#This Row],[Adjusted Impr Total]]-Inventory[[#This Row],[24Bldg]])/Inventory[[#This Row],[24Bldg]],0)</f>
        <v>0.1271186440677966</v>
      </c>
      <c r="BT660" s="36">
        <f>(Inventory[[#This Row],[Adjusted Land Total]]-Inventory[[#This Row],[24Lnd]])/Inventory[[#This Row],[24Lnd]]</f>
        <v>-0.36106489184692181</v>
      </c>
      <c r="BU660" s="36">
        <f>(Inventory[[#This Row],[Adjusted Total]]-Inventory[[#This Row],[24Final]])/Inventory[[#This Row],[24Final]]</f>
        <v>2.3918396060499472E-2</v>
      </c>
    </row>
    <row r="661" spans="1:73" x14ac:dyDescent="0.3">
      <c r="A661" s="25">
        <v>2025</v>
      </c>
      <c r="B661" s="26" t="s">
        <v>2026</v>
      </c>
      <c r="C661" s="26">
        <f>LN(Inventory[[#This Row],[Acres]])</f>
        <v>-1.6094379124341003</v>
      </c>
      <c r="D661" s="25">
        <v>0.2</v>
      </c>
      <c r="E661" s="31"/>
      <c r="F661" s="26" t="s">
        <v>537</v>
      </c>
      <c r="G661" s="26" t="s">
        <v>126</v>
      </c>
      <c r="H661" s="26" t="s">
        <v>349</v>
      </c>
      <c r="I661" s="26" t="s">
        <v>538</v>
      </c>
      <c r="J661" s="26" t="s">
        <v>539</v>
      </c>
      <c r="K661" s="26" t="s">
        <v>242</v>
      </c>
      <c r="L661" s="26" t="s">
        <v>302</v>
      </c>
      <c r="M661" s="26" t="s">
        <v>323</v>
      </c>
      <c r="N661" s="26">
        <v>70</v>
      </c>
      <c r="O661" s="26">
        <f>2024-Inventory[[#This Row],[YrBlt]]</f>
        <v>69</v>
      </c>
      <c r="P661" s="26">
        <f>2024-Inventory[[#This Row],[EffYr]]</f>
        <v>50</v>
      </c>
      <c r="Q661" s="25">
        <v>1955</v>
      </c>
      <c r="R661" s="25">
        <v>1974</v>
      </c>
      <c r="S661" s="25">
        <v>1135</v>
      </c>
      <c r="T661" s="27"/>
      <c r="U661" s="27"/>
      <c r="V661" s="27">
        <f>Inventory[[#This Row],[Bsmt]]-Inventory[[#This Row],[FnBsmt]]</f>
        <v>0</v>
      </c>
      <c r="W661" s="27"/>
      <c r="X661" s="27"/>
      <c r="Y661" s="27">
        <f>Inventory[[#This Row],[MainFn]]+Inventory[[#This Row],[UpprFn]]+Inventory[[#This Row],[FnBsmt]]+Inventory[[#This Row],[AddFn]]</f>
        <v>1135</v>
      </c>
      <c r="Z661" s="27">
        <v>1500</v>
      </c>
      <c r="AA661" s="25">
        <v>5</v>
      </c>
      <c r="AB661" s="31"/>
      <c r="AC661" s="27"/>
      <c r="AD661" s="31"/>
      <c r="AE661" s="27"/>
      <c r="AF661" s="27"/>
      <c r="AG661" s="27"/>
      <c r="AH661" s="27"/>
      <c r="AI661" s="25">
        <v>241908</v>
      </c>
      <c r="AJ661" s="25">
        <v>169336</v>
      </c>
      <c r="AK661" s="25">
        <v>0</v>
      </c>
      <c r="AL661" s="25">
        <v>284300</v>
      </c>
      <c r="AM661" s="25">
        <v>58400</v>
      </c>
      <c r="AN661" s="25">
        <v>225900</v>
      </c>
      <c r="AO661" s="25">
        <v>0</v>
      </c>
      <c r="AP661" s="25">
        <f>Lookups!$B$56*0</f>
        <v>0</v>
      </c>
      <c r="AQ661" s="25">
        <f>Lookups!$B$56*1</f>
        <v>89850.625589999996</v>
      </c>
      <c r="AR661" s="25">
        <f>Lookups!$B$57*Inventory[[#This Row],[LnAcres]]</f>
        <v>-50946.13867709865</v>
      </c>
      <c r="AS661" s="25">
        <f>VLOOKUP(Inventory[[#This Row],[Qlty]],Lookups!$A$62:$E$75,2,FALSE)</f>
        <v>29814.093161000001</v>
      </c>
      <c r="AT661" s="25">
        <f>VLOOKUP(Inventory[[#This Row],[Cnd]],Lookups!$A$76:$E$84,2,FALSE)</f>
        <v>160472.20319</v>
      </c>
      <c r="AU661" s="25">
        <f>Inventory[[#This Row],[EffAge]]*Lookups!$B$85</f>
        <v>-11152.280025</v>
      </c>
      <c r="AV661" s="25">
        <f>Inventory[[#This Row],[MainFn]]*Lookups!$B$86</f>
        <v>56078.840310395004</v>
      </c>
      <c r="AW661" s="25">
        <f>Inventory[[#This Row],[UpprFn]]*Lookups!$B$87</f>
        <v>0</v>
      </c>
      <c r="AX661" s="25">
        <f>Inventory[[#This Row],[AddFn]]*Lookups!$B$88</f>
        <v>0</v>
      </c>
      <c r="AY661" s="25">
        <f>Inventory[[#This Row],[Bsmt]]*Lookups!$B$89</f>
        <v>0</v>
      </c>
      <c r="AZ661" s="25">
        <f>Inventory[[#This Row],[Fixtures]]*Lookups!$B$90</f>
        <v>18960.110526</v>
      </c>
      <c r="BA661" s="25">
        <f>Inventory[[#This Row],[WdDeck]]*Lookups!$B$91</f>
        <v>0</v>
      </c>
      <c r="BB661" s="25">
        <f>ROUND(Inventory[[#This Row],[25Det]],-2)</f>
        <v>0</v>
      </c>
      <c r="BC661" s="25">
        <f>ROUND(SUM(Inventory[[#This Row],[Mdl Qlty]:[Mdl WdDeck]])+Inventory[[#This Row],[Mdl Res Intercept]],-2)</f>
        <v>254200</v>
      </c>
      <c r="BD661" s="25">
        <f>ROUND(Inventory[[#This Row],[Mdl Land Intercept]]+Inventory[[#This Row],[Mdl LnAcres]],-2)</f>
        <v>38900</v>
      </c>
      <c r="BE661" s="25">
        <f>Inventory[[#This Row],[Unadj Res Value]]+Inventory[[#This Row],[Unadj Det Value]]+Inventory[[#This Row],[Unadj Land Value]]</f>
        <v>293100</v>
      </c>
      <c r="BF661" s="36">
        <f>(Inventory[[#This Row],[Unadj Total Value]]-Inventory[[#This Row],[24Final]])/Inventory[[#This Row],[24Final]]</f>
        <v>3.0953218431234612E-2</v>
      </c>
      <c r="BG661" s="25">
        <f>VLOOKUP(Inventory[[#This Row],[Nbhd]],Lookups!$Q$2:$T$4,4,FALSE)</f>
        <v>0.99970000000000003</v>
      </c>
      <c r="BH661" s="25">
        <f>VLOOKUP(Inventory[[#This Row],[Qlty]],Lookups!$O$7:$R$21,4,FALSE)</f>
        <v>1.0088999999999999</v>
      </c>
      <c r="BI661" s="25">
        <f>VLOOKUP(Inventory[[#This Row],[Cnd]],Lookups!$T$7:$W$16,4,FALSE)</f>
        <v>0.99729999999999996</v>
      </c>
      <c r="BJ661" s="25">
        <f>VLOOKUP(Inventory[[#This Row],[LivArea Range]],Lookups!$T$25:$W$37,4,FALSE)</f>
        <v>1.0157</v>
      </c>
      <c r="BK661" s="25">
        <f>VLOOKUP(Inventory[[#This Row],[Decade]],Lookups!$O$25:$R$42,4,FALSE)</f>
        <v>1.0199</v>
      </c>
      <c r="BL661" s="25">
        <f>Inventory[[#This Row],[Nbhd Adj]]*0.95</f>
        <v>0.94971499999999998</v>
      </c>
      <c r="BM661" s="25">
        <f>Inventory[[#This Row],[Nbhd Adj]]*Inventory[[#This Row],[Quality Adj]]*Inventory[[#This Row],[Condition Adj]]*Inventory[[#This Row],[Living Area Adj]]*Inventory[[#This Row],[Decade Adj]]*0.95</f>
        <v>0.98989762598047604</v>
      </c>
      <c r="BN661" s="25">
        <f>ROUND(SUM(Inventory[[#This Row],[Mdl Qlty]:[Mdl WdDeck]])+Inventory[[#This Row],[Mdl Res Intercept]]*Inventory[[#This Row],[Res Adj ]],-2)</f>
        <v>254200</v>
      </c>
      <c r="BO661" s="25">
        <f>ROUND(Inventory[[#This Row],[25Det]]*Inventory[[#This Row],[Det/Nbhd Adj]],-2)</f>
        <v>0</v>
      </c>
      <c r="BP661" s="25">
        <f>Inventory[[#This Row],[Adjusted Res]]+Inventory[[#This Row],[Adj Det ]]</f>
        <v>254200</v>
      </c>
      <c r="BQ661" s="25">
        <f>ROUND((Inventory[[#This Row],[Mdl Land Intercept]]+Inventory[[#This Row],[Mdl LnAcres]])*Inventory[[#This Row],[Det/Nbhd Adj]],-2)</f>
        <v>36900</v>
      </c>
      <c r="BR661" s="25">
        <f>Inventory[[#This Row],[Adjusted Impr Total]]+Inventory[[#This Row],[Adjusted Land Total]]</f>
        <v>291100</v>
      </c>
      <c r="BS661" s="36">
        <f>IFERROR((Inventory[[#This Row],[Adjusted Impr Total]]-Inventory[[#This Row],[24Bldg]])/Inventory[[#This Row],[24Bldg]],0)</f>
        <v>0.12527667109340415</v>
      </c>
      <c r="BT661" s="36">
        <f>(Inventory[[#This Row],[Adjusted Land Total]]-Inventory[[#This Row],[24Lnd]])/Inventory[[#This Row],[24Lnd]]</f>
        <v>-0.36815068493150682</v>
      </c>
      <c r="BU661" s="36">
        <f>(Inventory[[#This Row],[Adjusted Total]]-Inventory[[#This Row],[24Final]])/Inventory[[#This Row],[24Final]]</f>
        <v>2.3918396060499472E-2</v>
      </c>
    </row>
    <row r="662" spans="1:73" x14ac:dyDescent="0.3">
      <c r="A662" s="25">
        <v>2025</v>
      </c>
      <c r="B662" s="26" t="s">
        <v>1787</v>
      </c>
      <c r="C662" s="26">
        <f>LN(Inventory[[#This Row],[Acres]])</f>
        <v>-1.8325814637483102</v>
      </c>
      <c r="D662" s="25">
        <v>0.16</v>
      </c>
      <c r="E662" s="25">
        <v>7041</v>
      </c>
      <c r="F662" s="26" t="s">
        <v>537</v>
      </c>
      <c r="G662" s="26" t="s">
        <v>126</v>
      </c>
      <c r="H662" s="26" t="s">
        <v>349</v>
      </c>
      <c r="I662" s="26" t="s">
        <v>538</v>
      </c>
      <c r="J662" s="26" t="s">
        <v>539</v>
      </c>
      <c r="K662" s="26" t="s">
        <v>242</v>
      </c>
      <c r="L662" s="26" t="s">
        <v>351</v>
      </c>
      <c r="M662" s="26" t="s">
        <v>323</v>
      </c>
      <c r="N662" s="26">
        <v>70</v>
      </c>
      <c r="O662" s="26">
        <f>2024-Inventory[[#This Row],[YrBlt]]</f>
        <v>69</v>
      </c>
      <c r="P662" s="26">
        <f>2024-Inventory[[#This Row],[EffYr]]</f>
        <v>50</v>
      </c>
      <c r="Q662" s="25">
        <v>1955</v>
      </c>
      <c r="R662" s="25">
        <v>1974</v>
      </c>
      <c r="S662" s="25">
        <v>1062</v>
      </c>
      <c r="T662" s="27"/>
      <c r="U662" s="25">
        <v>532</v>
      </c>
      <c r="V662" s="25">
        <f>Inventory[[#This Row],[Bsmt]]-Inventory[[#This Row],[FnBsmt]]</f>
        <v>65</v>
      </c>
      <c r="W662" s="25">
        <v>467</v>
      </c>
      <c r="X662" s="27"/>
      <c r="Y662" s="27">
        <f>Inventory[[#This Row],[MainFn]]+Inventory[[#This Row],[UpprFn]]+Inventory[[#This Row],[FnBsmt]]+Inventory[[#This Row],[AddFn]]</f>
        <v>1529</v>
      </c>
      <c r="Z662" s="27">
        <v>2000</v>
      </c>
      <c r="AA662" s="25">
        <v>8</v>
      </c>
      <c r="AB662" s="27"/>
      <c r="AC662" s="25">
        <v>527</v>
      </c>
      <c r="AD662" s="31"/>
      <c r="AE662" s="27"/>
      <c r="AF662" s="27"/>
      <c r="AG662" s="27"/>
      <c r="AH662" s="27"/>
      <c r="AI662" s="25">
        <v>255146</v>
      </c>
      <c r="AJ662" s="25">
        <v>178602</v>
      </c>
      <c r="AK662" s="25">
        <v>0</v>
      </c>
      <c r="AL662" s="25">
        <v>293000</v>
      </c>
      <c r="AM662" s="25">
        <v>50600</v>
      </c>
      <c r="AN662" s="25">
        <v>242400</v>
      </c>
      <c r="AO662" s="25">
        <v>0</v>
      </c>
      <c r="AP662" s="25">
        <f>Lookups!$B$56*0</f>
        <v>0</v>
      </c>
      <c r="AQ662" s="25">
        <f>Lookups!$B$56*1</f>
        <v>89850.625589999996</v>
      </c>
      <c r="AR662" s="25">
        <f>Lookups!$B$57*Inventory[[#This Row],[LnAcres]]</f>
        <v>-58009.662049032086</v>
      </c>
      <c r="AS662" s="25">
        <f>VLOOKUP(Inventory[[#This Row],[Qlty]],Lookups!$A$62:$E$75,2,FALSE)</f>
        <v>21557.329055999999</v>
      </c>
      <c r="AT662" s="25">
        <f>VLOOKUP(Inventory[[#This Row],[Cnd]],Lookups!$A$76:$E$84,2,FALSE)</f>
        <v>160472.20319</v>
      </c>
      <c r="AU662" s="25">
        <f>Inventory[[#This Row],[EffAge]]*Lookups!$B$85</f>
        <v>-11152.280025</v>
      </c>
      <c r="AV662" s="25">
        <f>Inventory[[#This Row],[MainFn]]*Lookups!$B$86</f>
        <v>52472.007409374004</v>
      </c>
      <c r="AW662" s="25">
        <f>Inventory[[#This Row],[UpprFn]]*Lookups!$B$87</f>
        <v>0</v>
      </c>
      <c r="AX662" s="25">
        <f>Inventory[[#This Row],[AddFn]]*Lookups!$B$88</f>
        <v>0</v>
      </c>
      <c r="AY662" s="25">
        <f>Inventory[[#This Row],[Bsmt]]*Lookups!$B$89</f>
        <v>15471.568271403999</v>
      </c>
      <c r="AZ662" s="25">
        <f>Inventory[[#This Row],[Fixtures]]*Lookups!$B$90</f>
        <v>30336.176841600001</v>
      </c>
      <c r="BA662" s="25">
        <f>Inventory[[#This Row],[WdDeck]]*Lookups!$B$91</f>
        <v>0</v>
      </c>
      <c r="BB662" s="25">
        <f>ROUND(Inventory[[#This Row],[25Det]],-2)</f>
        <v>0</v>
      </c>
      <c r="BC662" s="25">
        <f>ROUND(SUM(Inventory[[#This Row],[Mdl Qlty]:[Mdl WdDeck]])+Inventory[[#This Row],[Mdl Res Intercept]],-2)</f>
        <v>269200</v>
      </c>
      <c r="BD662" s="25">
        <f>ROUND(Inventory[[#This Row],[Mdl Land Intercept]]+Inventory[[#This Row],[Mdl LnAcres]],-2)</f>
        <v>31800</v>
      </c>
      <c r="BE662" s="25">
        <f>Inventory[[#This Row],[Unadj Res Value]]+Inventory[[#This Row],[Unadj Det Value]]+Inventory[[#This Row],[Unadj Land Value]]</f>
        <v>301000</v>
      </c>
      <c r="BF662" s="36">
        <f>(Inventory[[#This Row],[Unadj Total Value]]-Inventory[[#This Row],[24Final]])/Inventory[[#This Row],[24Final]]</f>
        <v>2.7303754266211604E-2</v>
      </c>
      <c r="BG662" s="25">
        <f>VLOOKUP(Inventory[[#This Row],[Nbhd]],Lookups!$Q$2:$T$4,4,FALSE)</f>
        <v>0.99970000000000003</v>
      </c>
      <c r="BH662" s="25">
        <f>VLOOKUP(Inventory[[#This Row],[Qlty]],Lookups!$O$7:$R$21,4,FALSE)</f>
        <v>1.0067999999999999</v>
      </c>
      <c r="BI662" s="25">
        <f>VLOOKUP(Inventory[[#This Row],[Cnd]],Lookups!$T$7:$W$16,4,FALSE)</f>
        <v>0.99729999999999996</v>
      </c>
      <c r="BJ662" s="25">
        <f>VLOOKUP(Inventory[[#This Row],[LivArea Range]],Lookups!$T$25:$W$37,4,FALSE)</f>
        <v>1.0093000000000001</v>
      </c>
      <c r="BK662" s="25">
        <f>VLOOKUP(Inventory[[#This Row],[Decade]],Lookups!$O$25:$R$42,4,FALSE)</f>
        <v>1.0199</v>
      </c>
      <c r="BL662" s="25">
        <f>Inventory[[#This Row],[Nbhd Adj]]*0.95</f>
        <v>0.94971499999999998</v>
      </c>
      <c r="BM662" s="25">
        <f>Inventory[[#This Row],[Nbhd Adj]]*Inventory[[#This Row],[Quality Adj]]*Inventory[[#This Row],[Condition Adj]]*Inventory[[#This Row],[Living Area Adj]]*Inventory[[#This Row],[Decade Adj]]*0.95</f>
        <v>0.98161274461821502</v>
      </c>
      <c r="BN662" s="25">
        <f>ROUND(SUM(Inventory[[#This Row],[Mdl Qlty]:[Mdl WdDeck]])+Inventory[[#This Row],[Mdl Res Intercept]]*Inventory[[#This Row],[Res Adj ]],-2)</f>
        <v>269200</v>
      </c>
      <c r="BO662" s="25">
        <f>ROUND(Inventory[[#This Row],[25Det]]*Inventory[[#This Row],[Det/Nbhd Adj]],-2)</f>
        <v>0</v>
      </c>
      <c r="BP662" s="25">
        <f>Inventory[[#This Row],[Adjusted Res]]+Inventory[[#This Row],[Adj Det ]]</f>
        <v>269200</v>
      </c>
      <c r="BQ662" s="25">
        <f>ROUND((Inventory[[#This Row],[Mdl Land Intercept]]+Inventory[[#This Row],[Mdl LnAcres]])*Inventory[[#This Row],[Det/Nbhd Adj]],-2)</f>
        <v>30200</v>
      </c>
      <c r="BR662" s="25">
        <f>Inventory[[#This Row],[Adjusted Impr Total]]+Inventory[[#This Row],[Adjusted Land Total]]</f>
        <v>299400</v>
      </c>
      <c r="BS662" s="36">
        <f>IFERROR((Inventory[[#This Row],[Adjusted Impr Total]]-Inventory[[#This Row],[24Bldg]])/Inventory[[#This Row],[24Bldg]],0)</f>
        <v>0.11056105610561057</v>
      </c>
      <c r="BT662" s="36">
        <f>(Inventory[[#This Row],[Adjusted Land Total]]-Inventory[[#This Row],[24Lnd]])/Inventory[[#This Row],[24Lnd]]</f>
        <v>-0.40316205533596838</v>
      </c>
      <c r="BU662" s="36">
        <f>(Inventory[[#This Row],[Adjusted Total]]-Inventory[[#This Row],[24Final]])/Inventory[[#This Row],[24Final]]</f>
        <v>2.1843003412969283E-2</v>
      </c>
    </row>
    <row r="663" spans="1:73" x14ac:dyDescent="0.3">
      <c r="A663" s="25">
        <v>2025</v>
      </c>
      <c r="B663" s="26" t="s">
        <v>2079</v>
      </c>
      <c r="C663" s="26">
        <f>LN(Inventory[[#This Row],[Acres]])</f>
        <v>-1.8325814637483102</v>
      </c>
      <c r="D663" s="25">
        <v>0.16</v>
      </c>
      <c r="E663" s="25">
        <v>7000</v>
      </c>
      <c r="F663" s="26" t="s">
        <v>537</v>
      </c>
      <c r="G663" s="26" t="s">
        <v>126</v>
      </c>
      <c r="H663" s="26" t="s">
        <v>349</v>
      </c>
      <c r="I663" s="26" t="s">
        <v>538</v>
      </c>
      <c r="J663" s="26" t="s">
        <v>539</v>
      </c>
      <c r="K663" s="26" t="s">
        <v>241</v>
      </c>
      <c r="L663" s="26" t="s">
        <v>302</v>
      </c>
      <c r="M663" s="26" t="s">
        <v>323</v>
      </c>
      <c r="N663" s="26">
        <v>70</v>
      </c>
      <c r="O663" s="26">
        <f>2024-Inventory[[#This Row],[YrBlt]]</f>
        <v>69</v>
      </c>
      <c r="P663" s="26">
        <f>2024-Inventory[[#This Row],[EffYr]]</f>
        <v>50</v>
      </c>
      <c r="Q663" s="25">
        <v>1955</v>
      </c>
      <c r="R663" s="25">
        <v>1974</v>
      </c>
      <c r="S663" s="25">
        <v>950</v>
      </c>
      <c r="T663" s="31"/>
      <c r="U663" s="25">
        <v>956</v>
      </c>
      <c r="V663" s="32">
        <f>Inventory[[#This Row],[Bsmt]]-Inventory[[#This Row],[FnBsmt]]</f>
        <v>0</v>
      </c>
      <c r="W663" s="32">
        <v>956</v>
      </c>
      <c r="X663" s="27"/>
      <c r="Y663" s="27">
        <f>Inventory[[#This Row],[MainFn]]+Inventory[[#This Row],[UpprFn]]+Inventory[[#This Row],[FnBsmt]]+Inventory[[#This Row],[AddFn]]</f>
        <v>1906</v>
      </c>
      <c r="Z663" s="27">
        <v>2000</v>
      </c>
      <c r="AA663" s="25">
        <v>14</v>
      </c>
      <c r="AB663" s="32">
        <v>276</v>
      </c>
      <c r="AC663" s="27"/>
      <c r="AD663" s="32">
        <v>216</v>
      </c>
      <c r="AE663" s="27"/>
      <c r="AF663" s="27"/>
      <c r="AG663" s="27"/>
      <c r="AH663" s="27"/>
      <c r="AI663" s="25">
        <v>348965</v>
      </c>
      <c r="AJ663" s="25">
        <v>244276</v>
      </c>
      <c r="AK663" s="25">
        <v>0</v>
      </c>
      <c r="AL663" s="25">
        <v>337300</v>
      </c>
      <c r="AM663" s="25">
        <v>50600</v>
      </c>
      <c r="AN663" s="25">
        <v>286700</v>
      </c>
      <c r="AO663" s="25">
        <v>0</v>
      </c>
      <c r="AP663" s="25">
        <f>Lookups!$B$56*0</f>
        <v>0</v>
      </c>
      <c r="AQ663" s="25">
        <f>Lookups!$B$56*1</f>
        <v>89850.625589999996</v>
      </c>
      <c r="AR663" s="25">
        <f>Lookups!$B$57*Inventory[[#This Row],[LnAcres]]</f>
        <v>-58009.662049032086</v>
      </c>
      <c r="AS663" s="25">
        <f>VLOOKUP(Inventory[[#This Row],[Qlty]],Lookups!$A$62:$E$75,2,FALSE)</f>
        <v>29814.093161000001</v>
      </c>
      <c r="AT663" s="25">
        <f>VLOOKUP(Inventory[[#This Row],[Cnd]],Lookups!$A$76:$E$84,2,FALSE)</f>
        <v>160472.20319</v>
      </c>
      <c r="AU663" s="25">
        <f>Inventory[[#This Row],[EffAge]]*Lookups!$B$85</f>
        <v>-11152.280025</v>
      </c>
      <c r="AV663" s="25">
        <f>Inventory[[#This Row],[MainFn]]*Lookups!$B$86</f>
        <v>46938.236383150004</v>
      </c>
      <c r="AW663" s="25">
        <f>Inventory[[#This Row],[UpprFn]]*Lookups!$B$87</f>
        <v>0</v>
      </c>
      <c r="AX663" s="25">
        <f>Inventory[[#This Row],[AddFn]]*Lookups!$B$88</f>
        <v>0</v>
      </c>
      <c r="AY663" s="25">
        <f>Inventory[[#This Row],[Bsmt]]*Lookups!$B$89</f>
        <v>27802.291856132</v>
      </c>
      <c r="AZ663" s="25">
        <f>Inventory[[#This Row],[Fixtures]]*Lookups!$B$90</f>
        <v>53088.3094728</v>
      </c>
      <c r="BA663" s="25">
        <f>Inventory[[#This Row],[WdDeck]]*Lookups!$B$91</f>
        <v>7191.8312996160003</v>
      </c>
      <c r="BB663" s="25">
        <f>ROUND(Inventory[[#This Row],[25Det]],-2)</f>
        <v>0</v>
      </c>
      <c r="BC663" s="25">
        <f>ROUND(SUM(Inventory[[#This Row],[Mdl Qlty]:[Mdl WdDeck]])+Inventory[[#This Row],[Mdl Res Intercept]],-2)</f>
        <v>314200</v>
      </c>
      <c r="BD663" s="25">
        <f>ROUND(Inventory[[#This Row],[Mdl Land Intercept]]+Inventory[[#This Row],[Mdl LnAcres]],-2)</f>
        <v>31800</v>
      </c>
      <c r="BE663" s="25">
        <f>Inventory[[#This Row],[Unadj Res Value]]+Inventory[[#This Row],[Unadj Det Value]]+Inventory[[#This Row],[Unadj Land Value]]</f>
        <v>346000</v>
      </c>
      <c r="BF663" s="36">
        <f>(Inventory[[#This Row],[Unadj Total Value]]-Inventory[[#This Row],[24Final]])/Inventory[[#This Row],[24Final]]</f>
        <v>2.5793062555588497E-2</v>
      </c>
      <c r="BG663" s="25">
        <f>VLOOKUP(Inventory[[#This Row],[Nbhd]],Lookups!$Q$2:$T$4,4,FALSE)</f>
        <v>0.99970000000000003</v>
      </c>
      <c r="BH663" s="25">
        <f>VLOOKUP(Inventory[[#This Row],[Qlty]],Lookups!$O$7:$R$21,4,FALSE)</f>
        <v>1.0088999999999999</v>
      </c>
      <c r="BI663" s="25">
        <f>VLOOKUP(Inventory[[#This Row],[Cnd]],Lookups!$T$7:$W$16,4,FALSE)</f>
        <v>0.99729999999999996</v>
      </c>
      <c r="BJ663" s="25">
        <f>VLOOKUP(Inventory[[#This Row],[LivArea Range]],Lookups!$T$25:$W$37,4,FALSE)</f>
        <v>1.0093000000000001</v>
      </c>
      <c r="BK663" s="25">
        <f>VLOOKUP(Inventory[[#This Row],[Decade]],Lookups!$O$25:$R$42,4,FALSE)</f>
        <v>1.0199</v>
      </c>
      <c r="BL663" s="25">
        <f>Inventory[[#This Row],[Nbhd Adj]]*0.95</f>
        <v>0.94971499999999998</v>
      </c>
      <c r="BM663" s="25">
        <f>Inventory[[#This Row],[Nbhd Adj]]*Inventory[[#This Row],[Quality Adj]]*Inventory[[#This Row],[Condition Adj]]*Inventory[[#This Row],[Living Area Adj]]*Inventory[[#This Row],[Decade Adj]]*0.95</f>
        <v>0.98366020862665582</v>
      </c>
      <c r="BN663" s="25">
        <f>ROUND(SUM(Inventory[[#This Row],[Mdl Qlty]:[Mdl WdDeck]])+Inventory[[#This Row],[Mdl Res Intercept]]*Inventory[[#This Row],[Res Adj ]],-2)</f>
        <v>314200</v>
      </c>
      <c r="BO663" s="25">
        <f>ROUND(Inventory[[#This Row],[25Det]]*Inventory[[#This Row],[Det/Nbhd Adj]],-2)</f>
        <v>0</v>
      </c>
      <c r="BP663" s="25">
        <f>Inventory[[#This Row],[Adjusted Res]]+Inventory[[#This Row],[Adj Det ]]</f>
        <v>314200</v>
      </c>
      <c r="BQ663" s="25">
        <f>ROUND((Inventory[[#This Row],[Mdl Land Intercept]]+Inventory[[#This Row],[Mdl LnAcres]])*Inventory[[#This Row],[Det/Nbhd Adj]],-2)</f>
        <v>30200</v>
      </c>
      <c r="BR663" s="25">
        <f>Inventory[[#This Row],[Adjusted Impr Total]]+Inventory[[#This Row],[Adjusted Land Total]]</f>
        <v>344400</v>
      </c>
      <c r="BS663" s="36">
        <f>IFERROR((Inventory[[#This Row],[Adjusted Impr Total]]-Inventory[[#This Row],[24Bldg]])/Inventory[[#This Row],[24Bldg]],0)</f>
        <v>9.5919079176839908E-2</v>
      </c>
      <c r="BT663" s="36">
        <f>(Inventory[[#This Row],[Adjusted Land Total]]-Inventory[[#This Row],[24Lnd]])/Inventory[[#This Row],[24Lnd]]</f>
        <v>-0.40316205533596838</v>
      </c>
      <c r="BU663" s="36">
        <f>(Inventory[[#This Row],[Adjusted Total]]-Inventory[[#This Row],[24Final]])/Inventory[[#This Row],[24Final]]</f>
        <v>2.1049510821227396E-2</v>
      </c>
    </row>
    <row r="664" spans="1:73" x14ac:dyDescent="0.3">
      <c r="A664" s="25">
        <v>2025</v>
      </c>
      <c r="B664" s="26" t="s">
        <v>2583</v>
      </c>
      <c r="C664" s="26">
        <f>LN(Inventory[[#This Row],[Acres]])</f>
        <v>-1.6094379124341003</v>
      </c>
      <c r="D664" s="25">
        <v>0.2</v>
      </c>
      <c r="E664" s="25">
        <v>8525</v>
      </c>
      <c r="F664" s="26" t="s">
        <v>537</v>
      </c>
      <c r="G664" s="26" t="s">
        <v>126</v>
      </c>
      <c r="H664" s="26" t="s">
        <v>349</v>
      </c>
      <c r="I664" s="26" t="s">
        <v>538</v>
      </c>
      <c r="J664" s="26" t="s">
        <v>539</v>
      </c>
      <c r="K664" s="26" t="s">
        <v>241</v>
      </c>
      <c r="L664" s="26" t="s">
        <v>302</v>
      </c>
      <c r="M664" s="26" t="s">
        <v>323</v>
      </c>
      <c r="N664" s="26">
        <v>70</v>
      </c>
      <c r="O664" s="26">
        <f>2024-Inventory[[#This Row],[YrBlt]]</f>
        <v>69</v>
      </c>
      <c r="P664" s="26">
        <f>2024-Inventory[[#This Row],[EffYr]]</f>
        <v>50</v>
      </c>
      <c r="Q664" s="25">
        <v>1955</v>
      </c>
      <c r="R664" s="25">
        <v>1974</v>
      </c>
      <c r="S664" s="25">
        <v>1602</v>
      </c>
      <c r="T664" s="31"/>
      <c r="U664" s="31"/>
      <c r="V664" s="31">
        <f>Inventory[[#This Row],[Bsmt]]-Inventory[[#This Row],[FnBsmt]]</f>
        <v>0</v>
      </c>
      <c r="W664" s="31"/>
      <c r="X664" s="27"/>
      <c r="Y664" s="27">
        <f>Inventory[[#This Row],[MainFn]]+Inventory[[#This Row],[UpprFn]]+Inventory[[#This Row],[FnBsmt]]+Inventory[[#This Row],[AddFn]]</f>
        <v>1602</v>
      </c>
      <c r="Z664" s="27">
        <v>2000</v>
      </c>
      <c r="AA664" s="25">
        <v>7</v>
      </c>
      <c r="AB664" s="27"/>
      <c r="AC664" s="27"/>
      <c r="AD664" s="27"/>
      <c r="AE664" s="27"/>
      <c r="AF664" s="27"/>
      <c r="AG664" s="27"/>
      <c r="AH664" s="27"/>
      <c r="AI664" s="25">
        <v>330761</v>
      </c>
      <c r="AJ664" s="25">
        <v>231533</v>
      </c>
      <c r="AK664" s="25">
        <v>13956</v>
      </c>
      <c r="AL664" s="25">
        <v>328100</v>
      </c>
      <c r="AM664" s="25">
        <v>58400</v>
      </c>
      <c r="AN664" s="25">
        <v>269700</v>
      </c>
      <c r="AO664" s="25">
        <v>0</v>
      </c>
      <c r="AP664" s="25">
        <f>Lookups!$B$56*0</f>
        <v>0</v>
      </c>
      <c r="AQ664" s="25">
        <f>Lookups!$B$56*1</f>
        <v>89850.625589999996</v>
      </c>
      <c r="AR664" s="25">
        <f>Lookups!$B$57*Inventory[[#This Row],[LnAcres]]</f>
        <v>-50946.13867709865</v>
      </c>
      <c r="AS664" s="25">
        <f>VLOOKUP(Inventory[[#This Row],[Qlty]],Lookups!$A$62:$E$75,2,FALSE)</f>
        <v>29814.093161000001</v>
      </c>
      <c r="AT664" s="25">
        <f>VLOOKUP(Inventory[[#This Row],[Cnd]],Lookups!$A$76:$E$84,2,FALSE)</f>
        <v>160472.20319</v>
      </c>
      <c r="AU664" s="25">
        <f>Inventory[[#This Row],[EffAge]]*Lookups!$B$85</f>
        <v>-11152.280025</v>
      </c>
      <c r="AV664" s="25">
        <f>Inventory[[#This Row],[MainFn]]*Lookups!$B$86</f>
        <v>79152.689142953997</v>
      </c>
      <c r="AW664" s="25">
        <f>Inventory[[#This Row],[UpprFn]]*Lookups!$B$87</f>
        <v>0</v>
      </c>
      <c r="AX664" s="25">
        <f>Inventory[[#This Row],[AddFn]]*Lookups!$B$88</f>
        <v>0</v>
      </c>
      <c r="AY664" s="25">
        <f>Inventory[[#This Row],[Bsmt]]*Lookups!$B$89</f>
        <v>0</v>
      </c>
      <c r="AZ664" s="25">
        <f>Inventory[[#This Row],[Fixtures]]*Lookups!$B$90</f>
        <v>26544.1547364</v>
      </c>
      <c r="BA664" s="25">
        <f>Inventory[[#This Row],[WdDeck]]*Lookups!$B$91</f>
        <v>0</v>
      </c>
      <c r="BB664" s="25">
        <f>ROUND(Inventory[[#This Row],[25Det]],-2)</f>
        <v>14000</v>
      </c>
      <c r="BC664" s="25">
        <f>ROUND(SUM(Inventory[[#This Row],[Mdl Qlty]:[Mdl WdDeck]])+Inventory[[#This Row],[Mdl Res Intercept]],-2)</f>
        <v>284800</v>
      </c>
      <c r="BD664" s="25">
        <f>ROUND(Inventory[[#This Row],[Mdl Land Intercept]]+Inventory[[#This Row],[Mdl LnAcres]],-2)</f>
        <v>38900</v>
      </c>
      <c r="BE664" s="25">
        <f>Inventory[[#This Row],[Unadj Res Value]]+Inventory[[#This Row],[Unadj Det Value]]+Inventory[[#This Row],[Unadj Land Value]]</f>
        <v>337700</v>
      </c>
      <c r="BF664" s="36">
        <f>(Inventory[[#This Row],[Unadj Total Value]]-Inventory[[#This Row],[24Final]])/Inventory[[#This Row],[24Final]]</f>
        <v>2.9259372142639441E-2</v>
      </c>
      <c r="BG664" s="25">
        <f>VLOOKUP(Inventory[[#This Row],[Nbhd]],Lookups!$Q$2:$T$4,4,FALSE)</f>
        <v>0.99970000000000003</v>
      </c>
      <c r="BH664" s="25">
        <f>VLOOKUP(Inventory[[#This Row],[Qlty]],Lookups!$O$7:$R$21,4,FALSE)</f>
        <v>1.0088999999999999</v>
      </c>
      <c r="BI664" s="25">
        <f>VLOOKUP(Inventory[[#This Row],[Cnd]],Lookups!$T$7:$W$16,4,FALSE)</f>
        <v>0.99729999999999996</v>
      </c>
      <c r="BJ664" s="25">
        <f>VLOOKUP(Inventory[[#This Row],[LivArea Range]],Lookups!$T$25:$W$37,4,FALSE)</f>
        <v>1.0093000000000001</v>
      </c>
      <c r="BK664" s="25">
        <f>VLOOKUP(Inventory[[#This Row],[Decade]],Lookups!$O$25:$R$42,4,FALSE)</f>
        <v>1.0199</v>
      </c>
      <c r="BL664" s="25">
        <f>Inventory[[#This Row],[Nbhd Adj]]*0.95</f>
        <v>0.94971499999999998</v>
      </c>
      <c r="BM664" s="25">
        <f>Inventory[[#This Row],[Nbhd Adj]]*Inventory[[#This Row],[Quality Adj]]*Inventory[[#This Row],[Condition Adj]]*Inventory[[#This Row],[Living Area Adj]]*Inventory[[#This Row],[Decade Adj]]*0.95</f>
        <v>0.98366020862665582</v>
      </c>
      <c r="BN664" s="25">
        <f>ROUND(SUM(Inventory[[#This Row],[Mdl Qlty]:[Mdl WdDeck]])+Inventory[[#This Row],[Mdl Res Intercept]]*Inventory[[#This Row],[Res Adj ]],-2)</f>
        <v>284800</v>
      </c>
      <c r="BO664" s="25">
        <f>ROUND(Inventory[[#This Row],[25Det]]*Inventory[[#This Row],[Det/Nbhd Adj]],-2)</f>
        <v>13300</v>
      </c>
      <c r="BP664" s="25">
        <f>Inventory[[#This Row],[Adjusted Res]]+Inventory[[#This Row],[Adj Det ]]</f>
        <v>298100</v>
      </c>
      <c r="BQ664" s="25">
        <f>ROUND((Inventory[[#This Row],[Mdl Land Intercept]]+Inventory[[#This Row],[Mdl LnAcres]])*Inventory[[#This Row],[Det/Nbhd Adj]],-2)</f>
        <v>36900</v>
      </c>
      <c r="BR664" s="25">
        <f>Inventory[[#This Row],[Adjusted Impr Total]]+Inventory[[#This Row],[Adjusted Land Total]]</f>
        <v>335000</v>
      </c>
      <c r="BS664" s="36">
        <f>IFERROR((Inventory[[#This Row],[Adjusted Impr Total]]-Inventory[[#This Row],[24Bldg]])/Inventory[[#This Row],[24Bldg]],0)</f>
        <v>0.10530218761586949</v>
      </c>
      <c r="BT664" s="36">
        <f>(Inventory[[#This Row],[Adjusted Land Total]]-Inventory[[#This Row],[24Lnd]])/Inventory[[#This Row],[24Lnd]]</f>
        <v>-0.36815068493150682</v>
      </c>
      <c r="BU664" s="36">
        <f>(Inventory[[#This Row],[Adjusted Total]]-Inventory[[#This Row],[24Final]])/Inventory[[#This Row],[24Final]]</f>
        <v>2.1030173727522097E-2</v>
      </c>
    </row>
    <row r="665" spans="1:73" x14ac:dyDescent="0.3">
      <c r="A665" s="25">
        <v>2025</v>
      </c>
      <c r="B665" s="26" t="s">
        <v>1604</v>
      </c>
      <c r="C665" s="26">
        <f>LN(Inventory[[#This Row],[Acres]])</f>
        <v>-1.4696759700589417</v>
      </c>
      <c r="D665" s="25">
        <v>0.23</v>
      </c>
      <c r="E665" s="31"/>
      <c r="F665" s="26" t="s">
        <v>537</v>
      </c>
      <c r="G665" s="26" t="s">
        <v>126</v>
      </c>
      <c r="H665" s="26" t="s">
        <v>349</v>
      </c>
      <c r="I665" s="26" t="s">
        <v>538</v>
      </c>
      <c r="J665" s="26" t="s">
        <v>539</v>
      </c>
      <c r="K665" s="26" t="s">
        <v>241</v>
      </c>
      <c r="L665" s="26" t="s">
        <v>302</v>
      </c>
      <c r="M665" s="26" t="s">
        <v>323</v>
      </c>
      <c r="N665" s="26">
        <v>70</v>
      </c>
      <c r="O665" s="26">
        <f>2024-Inventory[[#This Row],[YrBlt]]</f>
        <v>69</v>
      </c>
      <c r="P665" s="26">
        <f>2024-Inventory[[#This Row],[EffYr]]</f>
        <v>50</v>
      </c>
      <c r="Q665" s="25">
        <v>1955</v>
      </c>
      <c r="R665" s="25">
        <v>1974</v>
      </c>
      <c r="S665" s="25">
        <v>1565</v>
      </c>
      <c r="T665" s="31"/>
      <c r="U665" s="25">
        <v>782</v>
      </c>
      <c r="V665" s="32">
        <f>Inventory[[#This Row],[Bsmt]]-Inventory[[#This Row],[FnBsmt]]</f>
        <v>0</v>
      </c>
      <c r="W665" s="32">
        <v>782</v>
      </c>
      <c r="X665" s="27"/>
      <c r="Y665" s="27">
        <f>Inventory[[#This Row],[MainFn]]+Inventory[[#This Row],[UpprFn]]+Inventory[[#This Row],[FnBsmt]]+Inventory[[#This Row],[AddFn]]</f>
        <v>2347</v>
      </c>
      <c r="Z665" s="27">
        <v>2500</v>
      </c>
      <c r="AA665" s="25">
        <v>8</v>
      </c>
      <c r="AB665" s="27"/>
      <c r="AC665" s="32">
        <v>783</v>
      </c>
      <c r="AD665" s="32">
        <v>100</v>
      </c>
      <c r="AE665" s="27"/>
      <c r="AF665" s="27"/>
      <c r="AG665" s="27"/>
      <c r="AH665" s="27"/>
      <c r="AI665" s="25">
        <v>441231</v>
      </c>
      <c r="AJ665" s="25">
        <v>308862</v>
      </c>
      <c r="AK665" s="25">
        <v>0</v>
      </c>
      <c r="AL665" s="25">
        <v>347300</v>
      </c>
      <c r="AM665" s="25">
        <v>63300</v>
      </c>
      <c r="AN665" s="25">
        <v>284000</v>
      </c>
      <c r="AO665" s="25">
        <v>0</v>
      </c>
      <c r="AP665" s="25">
        <f>Lookups!$B$56*0</f>
        <v>0</v>
      </c>
      <c r="AQ665" s="25">
        <f>Lookups!$B$56*1</f>
        <v>89850.625589999996</v>
      </c>
      <c r="AR665" s="25">
        <f>Lookups!$B$57*Inventory[[#This Row],[LnAcres]]</f>
        <v>-46522.028095997222</v>
      </c>
      <c r="AS665" s="25">
        <f>VLOOKUP(Inventory[[#This Row],[Qlty]],Lookups!$A$62:$E$75,2,FALSE)</f>
        <v>29814.093161000001</v>
      </c>
      <c r="AT665" s="25">
        <f>VLOOKUP(Inventory[[#This Row],[Cnd]],Lookups!$A$76:$E$84,2,FALSE)</f>
        <v>160472.20319</v>
      </c>
      <c r="AU665" s="25">
        <f>Inventory[[#This Row],[EffAge]]*Lookups!$B$85</f>
        <v>-11152.280025</v>
      </c>
      <c r="AV665" s="25">
        <f>Inventory[[#This Row],[MainFn]]*Lookups!$B$86</f>
        <v>77324.568357505006</v>
      </c>
      <c r="AW665" s="25">
        <f>Inventory[[#This Row],[UpprFn]]*Lookups!$B$87</f>
        <v>0</v>
      </c>
      <c r="AX665" s="25">
        <f>Inventory[[#This Row],[AddFn]]*Lookups!$B$88</f>
        <v>0</v>
      </c>
      <c r="AY665" s="25">
        <f>Inventory[[#This Row],[Bsmt]]*Lookups!$B$89</f>
        <v>22742.042083154</v>
      </c>
      <c r="AZ665" s="25">
        <f>Inventory[[#This Row],[Fixtures]]*Lookups!$B$90</f>
        <v>30336.176841600001</v>
      </c>
      <c r="BA665" s="25">
        <f>Inventory[[#This Row],[WdDeck]]*Lookups!$B$91</f>
        <v>3329.5515276000006</v>
      </c>
      <c r="BB665" s="25">
        <f>ROUND(Inventory[[#This Row],[25Det]],-2)</f>
        <v>0</v>
      </c>
      <c r="BC665" s="25">
        <f>ROUND(SUM(Inventory[[#This Row],[Mdl Qlty]:[Mdl WdDeck]])+Inventory[[#This Row],[Mdl Res Intercept]],-2)</f>
        <v>312900</v>
      </c>
      <c r="BD665" s="25">
        <f>ROUND(Inventory[[#This Row],[Mdl Land Intercept]]+Inventory[[#This Row],[Mdl LnAcres]],-2)</f>
        <v>43300</v>
      </c>
      <c r="BE665" s="25">
        <f>Inventory[[#This Row],[Unadj Res Value]]+Inventory[[#This Row],[Unadj Det Value]]+Inventory[[#This Row],[Unadj Land Value]]</f>
        <v>356200</v>
      </c>
      <c r="BF665" s="36">
        <f>(Inventory[[#This Row],[Unadj Total Value]]-Inventory[[#This Row],[24Final]])/Inventory[[#This Row],[24Final]]</f>
        <v>2.5626259717823209E-2</v>
      </c>
      <c r="BG665" s="25">
        <f>VLOOKUP(Inventory[[#This Row],[Nbhd]],Lookups!$Q$2:$T$4,4,FALSE)</f>
        <v>0.99970000000000003</v>
      </c>
      <c r="BH665" s="25">
        <f>VLOOKUP(Inventory[[#This Row],[Qlty]],Lookups!$O$7:$R$21,4,FALSE)</f>
        <v>1.0088999999999999</v>
      </c>
      <c r="BI665" s="25">
        <f>VLOOKUP(Inventory[[#This Row],[Cnd]],Lookups!$T$7:$W$16,4,FALSE)</f>
        <v>0.99729999999999996</v>
      </c>
      <c r="BJ665" s="25">
        <f>VLOOKUP(Inventory[[#This Row],[LivArea Range]],Lookups!$T$25:$W$37,4,FALSE)</f>
        <v>0.98919999999999997</v>
      </c>
      <c r="BK665" s="25">
        <f>VLOOKUP(Inventory[[#This Row],[Decade]],Lookups!$O$25:$R$42,4,FALSE)</f>
        <v>1.0199</v>
      </c>
      <c r="BL665" s="25">
        <f>Inventory[[#This Row],[Nbhd Adj]]*0.95</f>
        <v>0.94971499999999998</v>
      </c>
      <c r="BM665" s="25">
        <f>Inventory[[#This Row],[Nbhd Adj]]*Inventory[[#This Row],[Quality Adj]]*Inventory[[#This Row],[Condition Adj]]*Inventory[[#This Row],[Living Area Adj]]*Inventory[[#This Row],[Decade Adj]]*0.95</f>
        <v>0.96407081974981479</v>
      </c>
      <c r="BN665" s="25">
        <f>ROUND(SUM(Inventory[[#This Row],[Mdl Qlty]:[Mdl WdDeck]])+Inventory[[#This Row],[Mdl Res Intercept]]*Inventory[[#This Row],[Res Adj ]],-2)</f>
        <v>312900</v>
      </c>
      <c r="BO665" s="25">
        <f>ROUND(Inventory[[#This Row],[25Det]]*Inventory[[#This Row],[Det/Nbhd Adj]],-2)</f>
        <v>0</v>
      </c>
      <c r="BP665" s="25">
        <f>Inventory[[#This Row],[Adjusted Res]]+Inventory[[#This Row],[Adj Det ]]</f>
        <v>312900</v>
      </c>
      <c r="BQ665" s="25">
        <f>ROUND((Inventory[[#This Row],[Mdl Land Intercept]]+Inventory[[#This Row],[Mdl LnAcres]])*Inventory[[#This Row],[Det/Nbhd Adj]],-2)</f>
        <v>41100</v>
      </c>
      <c r="BR665" s="25">
        <f>Inventory[[#This Row],[Adjusted Impr Total]]+Inventory[[#This Row],[Adjusted Land Total]]</f>
        <v>354000</v>
      </c>
      <c r="BS665" s="36">
        <f>IFERROR((Inventory[[#This Row],[Adjusted Impr Total]]-Inventory[[#This Row],[24Bldg]])/Inventory[[#This Row],[24Bldg]],0)</f>
        <v>0.10176056338028169</v>
      </c>
      <c r="BT665" s="36">
        <f>(Inventory[[#This Row],[Adjusted Land Total]]-Inventory[[#This Row],[24Lnd]])/Inventory[[#This Row],[24Lnd]]</f>
        <v>-0.35071090047393366</v>
      </c>
      <c r="BU665" s="36">
        <f>(Inventory[[#This Row],[Adjusted Total]]-Inventory[[#This Row],[24Final]])/Inventory[[#This Row],[24Final]]</f>
        <v>1.9291678663979267E-2</v>
      </c>
    </row>
    <row r="666" spans="1:73" x14ac:dyDescent="0.3">
      <c r="A666" s="25">
        <v>2025</v>
      </c>
      <c r="B666" s="26" t="s">
        <v>2284</v>
      </c>
      <c r="C666" s="26">
        <f>LN(Inventory[[#This Row],[Acres]])</f>
        <v>-1.2729656758128873</v>
      </c>
      <c r="D666" s="25">
        <v>0.28000000000000003</v>
      </c>
      <c r="E666" s="31"/>
      <c r="F666" s="26" t="s">
        <v>537</v>
      </c>
      <c r="G666" s="26" t="s">
        <v>126</v>
      </c>
      <c r="H666" s="26" t="s">
        <v>349</v>
      </c>
      <c r="I666" s="26" t="s">
        <v>538</v>
      </c>
      <c r="J666" s="26" t="s">
        <v>539</v>
      </c>
      <c r="K666" s="26" t="s">
        <v>241</v>
      </c>
      <c r="L666" s="26" t="s">
        <v>95</v>
      </c>
      <c r="M666" s="26" t="s">
        <v>303</v>
      </c>
      <c r="N666" s="26">
        <v>70</v>
      </c>
      <c r="O666" s="26">
        <f>2024-Inventory[[#This Row],[YrBlt]]</f>
        <v>69</v>
      </c>
      <c r="P666" s="26">
        <f>2024-Inventory[[#This Row],[EffYr]]</f>
        <v>50</v>
      </c>
      <c r="Q666" s="25">
        <v>1955</v>
      </c>
      <c r="R666" s="25">
        <v>1974</v>
      </c>
      <c r="S666" s="25">
        <v>1632</v>
      </c>
      <c r="T666" s="31"/>
      <c r="U666" s="25">
        <v>1632</v>
      </c>
      <c r="V666" s="25">
        <f>Inventory[[#This Row],[Bsmt]]-Inventory[[#This Row],[FnBsmt]]</f>
        <v>1132</v>
      </c>
      <c r="W666" s="25">
        <v>500</v>
      </c>
      <c r="X666" s="27"/>
      <c r="Y666" s="27">
        <f>Inventory[[#This Row],[MainFn]]+Inventory[[#This Row],[UpprFn]]+Inventory[[#This Row],[FnBsmt]]+Inventory[[#This Row],[AddFn]]</f>
        <v>2132</v>
      </c>
      <c r="Z666" s="27">
        <v>2500</v>
      </c>
      <c r="AA666" s="25">
        <v>11</v>
      </c>
      <c r="AB666" s="27"/>
      <c r="AC666" s="27"/>
      <c r="AD666" s="27"/>
      <c r="AE666" s="27"/>
      <c r="AF666" s="27"/>
      <c r="AG666" s="27"/>
      <c r="AH666" s="27"/>
      <c r="AI666" s="25">
        <v>552140</v>
      </c>
      <c r="AJ666" s="25">
        <v>403062</v>
      </c>
      <c r="AK666" s="25">
        <v>52668</v>
      </c>
      <c r="AL666" s="25">
        <v>518200</v>
      </c>
      <c r="AM666" s="25">
        <v>70100</v>
      </c>
      <c r="AN666" s="25">
        <v>448100</v>
      </c>
      <c r="AO666" s="25">
        <v>0</v>
      </c>
      <c r="AP666" s="25">
        <f>Lookups!$B$56*0</f>
        <v>0</v>
      </c>
      <c r="AQ666" s="25">
        <f>Lookups!$B$56*1</f>
        <v>89850.625589999996</v>
      </c>
      <c r="AR666" s="25">
        <f>Lookups!$B$57*Inventory[[#This Row],[LnAcres]]</f>
        <v>-40295.239319339329</v>
      </c>
      <c r="AS666" s="25">
        <f>VLOOKUP(Inventory[[#This Row],[Qlty]],Lookups!$A$62:$E$75,2,FALSE)</f>
        <v>74268.409664999999</v>
      </c>
      <c r="AT666" s="25">
        <f>VLOOKUP(Inventory[[#This Row],[Cnd]],Lookups!$A$76:$E$84,2,FALSE)</f>
        <v>197752.34721000001</v>
      </c>
      <c r="AU666" s="25">
        <f>Inventory[[#This Row],[EffAge]]*Lookups!$B$85</f>
        <v>-11152.280025</v>
      </c>
      <c r="AV666" s="25">
        <f>Inventory[[#This Row],[MainFn]]*Lookups!$B$86</f>
        <v>80634.949239263995</v>
      </c>
      <c r="AW666" s="25">
        <f>Inventory[[#This Row],[UpprFn]]*Lookups!$B$87</f>
        <v>0</v>
      </c>
      <c r="AX666" s="25">
        <f>Inventory[[#This Row],[AddFn]]*Lookups!$B$88</f>
        <v>0</v>
      </c>
      <c r="AY666" s="25">
        <f>Inventory[[#This Row],[Bsmt]]*Lookups!$B$89</f>
        <v>47461.653043104001</v>
      </c>
      <c r="AZ666" s="25">
        <f>Inventory[[#This Row],[Fixtures]]*Lookups!$B$90</f>
        <v>41712.243157199999</v>
      </c>
      <c r="BA666" s="25">
        <f>Inventory[[#This Row],[WdDeck]]*Lookups!$B$91</f>
        <v>0</v>
      </c>
      <c r="BB666" s="25">
        <f>ROUND(Inventory[[#This Row],[25Det]],-2)</f>
        <v>52700</v>
      </c>
      <c r="BC666" s="25">
        <f>ROUND(SUM(Inventory[[#This Row],[Mdl Qlty]:[Mdl WdDeck]])+Inventory[[#This Row],[Mdl Res Intercept]],-2)</f>
        <v>430700</v>
      </c>
      <c r="BD666" s="25">
        <f>ROUND(Inventory[[#This Row],[Mdl Land Intercept]]+Inventory[[#This Row],[Mdl LnAcres]],-2)</f>
        <v>49600</v>
      </c>
      <c r="BE666" s="25">
        <f>Inventory[[#This Row],[Unadj Res Value]]+Inventory[[#This Row],[Unadj Det Value]]+Inventory[[#This Row],[Unadj Land Value]]</f>
        <v>533000</v>
      </c>
      <c r="BF666" s="36">
        <f>(Inventory[[#This Row],[Unadj Total Value]]-Inventory[[#This Row],[24Final]])/Inventory[[#This Row],[24Final]]</f>
        <v>2.8560401389424932E-2</v>
      </c>
      <c r="BG666" s="25">
        <f>VLOOKUP(Inventory[[#This Row],[Nbhd]],Lookups!$Q$2:$T$4,4,FALSE)</f>
        <v>0.99970000000000003</v>
      </c>
      <c r="BH666" s="25">
        <f>VLOOKUP(Inventory[[#This Row],[Qlty]],Lookups!$O$7:$R$21,4,FALSE)</f>
        <v>0.98380000000000001</v>
      </c>
      <c r="BI666" s="25">
        <f>VLOOKUP(Inventory[[#This Row],[Cnd]],Lookups!$T$7:$W$16,4,FALSE)</f>
        <v>0.99650000000000005</v>
      </c>
      <c r="BJ666" s="25">
        <f>VLOOKUP(Inventory[[#This Row],[LivArea Range]],Lookups!$T$25:$W$37,4,FALSE)</f>
        <v>0.98919999999999997</v>
      </c>
      <c r="BK666" s="25">
        <f>VLOOKUP(Inventory[[#This Row],[Decade]],Lookups!$O$25:$R$42,4,FALSE)</f>
        <v>1.0199</v>
      </c>
      <c r="BL666" s="25">
        <f>Inventory[[#This Row],[Nbhd Adj]]*0.95</f>
        <v>0.94971499999999998</v>
      </c>
      <c r="BM666" s="25">
        <f>Inventory[[#This Row],[Nbhd Adj]]*Inventory[[#This Row],[Quality Adj]]*Inventory[[#This Row],[Condition Adj]]*Inventory[[#This Row],[Living Area Adj]]*Inventory[[#This Row],[Decade Adj]]*0.95</f>
        <v>0.93933200115703741</v>
      </c>
      <c r="BN666" s="25">
        <f>ROUND(SUM(Inventory[[#This Row],[Mdl Qlty]:[Mdl WdDeck]])+Inventory[[#This Row],[Mdl Res Intercept]]*Inventory[[#This Row],[Res Adj ]],-2)</f>
        <v>430700</v>
      </c>
      <c r="BO666" s="25">
        <f>ROUND(Inventory[[#This Row],[25Det]]*Inventory[[#This Row],[Det/Nbhd Adj]],-2)</f>
        <v>50000</v>
      </c>
      <c r="BP666" s="25">
        <f>Inventory[[#This Row],[Adjusted Res]]+Inventory[[#This Row],[Adj Det ]]</f>
        <v>480700</v>
      </c>
      <c r="BQ666" s="25">
        <f>ROUND((Inventory[[#This Row],[Mdl Land Intercept]]+Inventory[[#This Row],[Mdl LnAcres]])*Inventory[[#This Row],[Det/Nbhd Adj]],-2)</f>
        <v>47100</v>
      </c>
      <c r="BR666" s="25">
        <f>Inventory[[#This Row],[Adjusted Impr Total]]+Inventory[[#This Row],[Adjusted Land Total]]</f>
        <v>527800</v>
      </c>
      <c r="BS666" s="36">
        <f>IFERROR((Inventory[[#This Row],[Adjusted Impr Total]]-Inventory[[#This Row],[24Bldg]])/Inventory[[#This Row],[24Bldg]],0)</f>
        <v>7.275161794242356E-2</v>
      </c>
      <c r="BT666" s="36">
        <f>(Inventory[[#This Row],[Adjusted Land Total]]-Inventory[[#This Row],[24Lnd]])/Inventory[[#This Row],[24Lnd]]</f>
        <v>-0.32810271041369471</v>
      </c>
      <c r="BU666" s="36">
        <f>(Inventory[[#This Row],[Adjusted Total]]-Inventory[[#This Row],[24Final]])/Inventory[[#This Row],[24Final]]</f>
        <v>1.8525665766113468E-2</v>
      </c>
    </row>
    <row r="667" spans="1:73" x14ac:dyDescent="0.3">
      <c r="A667" s="25">
        <v>2025</v>
      </c>
      <c r="B667" s="26" t="s">
        <v>2586</v>
      </c>
      <c r="C667" s="26">
        <f>LN(Inventory[[#This Row],[Acres]])</f>
        <v>-1.3862943611198906</v>
      </c>
      <c r="D667" s="25">
        <v>0.25</v>
      </c>
      <c r="E667" s="25">
        <v>10681</v>
      </c>
      <c r="F667" s="26" t="s">
        <v>537</v>
      </c>
      <c r="G667" s="26" t="s">
        <v>126</v>
      </c>
      <c r="H667" s="26" t="s">
        <v>349</v>
      </c>
      <c r="I667" s="26" t="s">
        <v>538</v>
      </c>
      <c r="J667" s="26" t="s">
        <v>539</v>
      </c>
      <c r="K667" s="26" t="s">
        <v>241</v>
      </c>
      <c r="L667" s="26" t="s">
        <v>351</v>
      </c>
      <c r="M667" s="26" t="s">
        <v>323</v>
      </c>
      <c r="N667" s="26">
        <v>70</v>
      </c>
      <c r="O667" s="26">
        <f>2024-Inventory[[#This Row],[YrBlt]]</f>
        <v>69</v>
      </c>
      <c r="P667" s="26">
        <f>2024-Inventory[[#This Row],[EffYr]]</f>
        <v>50</v>
      </c>
      <c r="Q667" s="25">
        <v>1955</v>
      </c>
      <c r="R667" s="25">
        <v>1974</v>
      </c>
      <c r="S667" s="25">
        <v>1764</v>
      </c>
      <c r="T667" s="27"/>
      <c r="U667" s="31"/>
      <c r="V667" s="31">
        <f>Inventory[[#This Row],[Bsmt]]-Inventory[[#This Row],[FnBsmt]]</f>
        <v>0</v>
      </c>
      <c r="W667" s="31"/>
      <c r="X667" s="27"/>
      <c r="Y667" s="27">
        <f>Inventory[[#This Row],[MainFn]]+Inventory[[#This Row],[UpprFn]]+Inventory[[#This Row],[FnBsmt]]+Inventory[[#This Row],[AddFn]]</f>
        <v>1764</v>
      </c>
      <c r="Z667" s="27">
        <v>2000</v>
      </c>
      <c r="AA667" s="25">
        <v>8</v>
      </c>
      <c r="AB667" s="25">
        <v>800</v>
      </c>
      <c r="AC667" s="27"/>
      <c r="AD667" s="27"/>
      <c r="AE667" s="27"/>
      <c r="AF667" s="27"/>
      <c r="AG667" s="27"/>
      <c r="AH667" s="27"/>
      <c r="AI667" s="25">
        <v>310135</v>
      </c>
      <c r="AJ667" s="25">
        <v>217095</v>
      </c>
      <c r="AK667" s="25">
        <v>0</v>
      </c>
      <c r="AL667" s="25">
        <v>326200</v>
      </c>
      <c r="AM667" s="25">
        <v>66200</v>
      </c>
      <c r="AN667" s="25">
        <v>260000</v>
      </c>
      <c r="AO667" s="25">
        <v>0</v>
      </c>
      <c r="AP667" s="25">
        <f>Lookups!$B$56*0</f>
        <v>0</v>
      </c>
      <c r="AQ667" s="25">
        <f>Lookups!$B$56*1</f>
        <v>89850.625589999996</v>
      </c>
      <c r="AR667" s="25">
        <f>Lookups!$B$57*Inventory[[#This Row],[LnAcres]]</f>
        <v>-43882.615305165229</v>
      </c>
      <c r="AS667" s="25">
        <f>VLOOKUP(Inventory[[#This Row],[Qlty]],Lookups!$A$62:$E$75,2,FALSE)</f>
        <v>21557.329055999999</v>
      </c>
      <c r="AT667" s="25">
        <f>VLOOKUP(Inventory[[#This Row],[Cnd]],Lookups!$A$76:$E$84,2,FALSE)</f>
        <v>160472.20319</v>
      </c>
      <c r="AU667" s="25">
        <f>Inventory[[#This Row],[EffAge]]*Lookups!$B$85</f>
        <v>-11152.280025</v>
      </c>
      <c r="AV667" s="25">
        <f>Inventory[[#This Row],[MainFn]]*Lookups!$B$86</f>
        <v>87156.893663028008</v>
      </c>
      <c r="AW667" s="25">
        <f>Inventory[[#This Row],[UpprFn]]*Lookups!$B$87</f>
        <v>0</v>
      </c>
      <c r="AX667" s="25">
        <f>Inventory[[#This Row],[AddFn]]*Lookups!$B$88</f>
        <v>0</v>
      </c>
      <c r="AY667" s="25">
        <f>Inventory[[#This Row],[Bsmt]]*Lookups!$B$89</f>
        <v>0</v>
      </c>
      <c r="AZ667" s="25">
        <f>Inventory[[#This Row],[Fixtures]]*Lookups!$B$90</f>
        <v>30336.176841600001</v>
      </c>
      <c r="BA667" s="25">
        <f>Inventory[[#This Row],[WdDeck]]*Lookups!$B$91</f>
        <v>0</v>
      </c>
      <c r="BB667" s="25">
        <f>ROUND(Inventory[[#This Row],[25Det]],-2)</f>
        <v>0</v>
      </c>
      <c r="BC667" s="25">
        <f>ROUND(SUM(Inventory[[#This Row],[Mdl Qlty]:[Mdl WdDeck]])+Inventory[[#This Row],[Mdl Res Intercept]],-2)</f>
        <v>288400</v>
      </c>
      <c r="BD667" s="25">
        <f>ROUND(Inventory[[#This Row],[Mdl Land Intercept]]+Inventory[[#This Row],[Mdl LnAcres]],-2)</f>
        <v>46000</v>
      </c>
      <c r="BE667" s="25">
        <f>Inventory[[#This Row],[Unadj Res Value]]+Inventory[[#This Row],[Unadj Det Value]]+Inventory[[#This Row],[Unadj Land Value]]</f>
        <v>334400</v>
      </c>
      <c r="BF667" s="36">
        <f>(Inventory[[#This Row],[Unadj Total Value]]-Inventory[[#This Row],[24Final]])/Inventory[[#This Row],[24Final]]</f>
        <v>2.5137952176578784E-2</v>
      </c>
      <c r="BG667" s="25">
        <f>VLOOKUP(Inventory[[#This Row],[Nbhd]],Lookups!$Q$2:$T$4,4,FALSE)</f>
        <v>0.99970000000000003</v>
      </c>
      <c r="BH667" s="25">
        <f>VLOOKUP(Inventory[[#This Row],[Qlty]],Lookups!$O$7:$R$21,4,FALSE)</f>
        <v>1.0067999999999999</v>
      </c>
      <c r="BI667" s="25">
        <f>VLOOKUP(Inventory[[#This Row],[Cnd]],Lookups!$T$7:$W$16,4,FALSE)</f>
        <v>0.99729999999999996</v>
      </c>
      <c r="BJ667" s="25">
        <f>VLOOKUP(Inventory[[#This Row],[LivArea Range]],Lookups!$T$25:$W$37,4,FALSE)</f>
        <v>1.0093000000000001</v>
      </c>
      <c r="BK667" s="25">
        <f>VLOOKUP(Inventory[[#This Row],[Decade]],Lookups!$O$25:$R$42,4,FALSE)</f>
        <v>1.0199</v>
      </c>
      <c r="BL667" s="25">
        <f>Inventory[[#This Row],[Nbhd Adj]]*0.95</f>
        <v>0.94971499999999998</v>
      </c>
      <c r="BM667" s="25">
        <f>Inventory[[#This Row],[Nbhd Adj]]*Inventory[[#This Row],[Quality Adj]]*Inventory[[#This Row],[Condition Adj]]*Inventory[[#This Row],[Living Area Adj]]*Inventory[[#This Row],[Decade Adj]]*0.95</f>
        <v>0.98161274461821502</v>
      </c>
      <c r="BN667" s="25">
        <f>ROUND(SUM(Inventory[[#This Row],[Mdl Qlty]:[Mdl WdDeck]])+Inventory[[#This Row],[Mdl Res Intercept]]*Inventory[[#This Row],[Res Adj ]],-2)</f>
        <v>288400</v>
      </c>
      <c r="BO667" s="25">
        <f>ROUND(Inventory[[#This Row],[25Det]]*Inventory[[#This Row],[Det/Nbhd Adj]],-2)</f>
        <v>0</v>
      </c>
      <c r="BP667" s="25">
        <f>Inventory[[#This Row],[Adjusted Res]]+Inventory[[#This Row],[Adj Det ]]</f>
        <v>288400</v>
      </c>
      <c r="BQ667" s="25">
        <f>ROUND((Inventory[[#This Row],[Mdl Land Intercept]]+Inventory[[#This Row],[Mdl LnAcres]])*Inventory[[#This Row],[Det/Nbhd Adj]],-2)</f>
        <v>43700</v>
      </c>
      <c r="BR667" s="25">
        <f>Inventory[[#This Row],[Adjusted Impr Total]]+Inventory[[#This Row],[Adjusted Land Total]]</f>
        <v>332100</v>
      </c>
      <c r="BS667" s="36">
        <f>IFERROR((Inventory[[#This Row],[Adjusted Impr Total]]-Inventory[[#This Row],[24Bldg]])/Inventory[[#This Row],[24Bldg]],0)</f>
        <v>0.10923076923076923</v>
      </c>
      <c r="BT667" s="36">
        <f>(Inventory[[#This Row],[Adjusted Land Total]]-Inventory[[#This Row],[24Lnd]])/Inventory[[#This Row],[24Lnd]]</f>
        <v>-0.33987915407854985</v>
      </c>
      <c r="BU667" s="36">
        <f>(Inventory[[#This Row],[Adjusted Total]]-Inventory[[#This Row],[24Final]])/Inventory[[#This Row],[24Final]]</f>
        <v>1.8087063151440833E-2</v>
      </c>
    </row>
    <row r="668" spans="1:73" x14ac:dyDescent="0.3">
      <c r="A668" s="25">
        <v>2025</v>
      </c>
      <c r="B668" s="26" t="s">
        <v>1070</v>
      </c>
      <c r="C668" s="26">
        <f>LN(Inventory[[#This Row],[Acres]])</f>
        <v>-1.7147984280919266</v>
      </c>
      <c r="D668" s="25">
        <v>0.18</v>
      </c>
      <c r="E668" s="25">
        <v>7969</v>
      </c>
      <c r="F668" s="26" t="s">
        <v>537</v>
      </c>
      <c r="G668" s="26" t="s">
        <v>126</v>
      </c>
      <c r="H668" s="26" t="s">
        <v>349</v>
      </c>
      <c r="I668" s="26" t="s">
        <v>538</v>
      </c>
      <c r="J668" s="26" t="s">
        <v>539</v>
      </c>
      <c r="K668" s="26" t="s">
        <v>242</v>
      </c>
      <c r="L668" s="26" t="s">
        <v>148</v>
      </c>
      <c r="M668" s="26" t="s">
        <v>303</v>
      </c>
      <c r="N668" s="26">
        <v>70</v>
      </c>
      <c r="O668" s="26">
        <f>2024-Inventory[[#This Row],[YrBlt]]</f>
        <v>69</v>
      </c>
      <c r="P668" s="26">
        <f>2024-Inventory[[#This Row],[EffYr]]</f>
        <v>50</v>
      </c>
      <c r="Q668" s="25">
        <v>1955</v>
      </c>
      <c r="R668" s="25">
        <v>1974</v>
      </c>
      <c r="S668" s="25">
        <v>1771</v>
      </c>
      <c r="T668" s="31"/>
      <c r="U668" s="25">
        <v>905</v>
      </c>
      <c r="V668" s="25">
        <f>Inventory[[#This Row],[Bsmt]]-Inventory[[#This Row],[FnBsmt]]</f>
        <v>0</v>
      </c>
      <c r="W668" s="25">
        <v>905</v>
      </c>
      <c r="X668" s="27"/>
      <c r="Y668" s="27">
        <f>Inventory[[#This Row],[MainFn]]+Inventory[[#This Row],[UpprFn]]+Inventory[[#This Row],[FnBsmt]]+Inventory[[#This Row],[AddFn]]</f>
        <v>2676</v>
      </c>
      <c r="Z668" s="27">
        <v>3000</v>
      </c>
      <c r="AA668" s="25">
        <v>8</v>
      </c>
      <c r="AB668" s="27"/>
      <c r="AC668" s="32">
        <v>357</v>
      </c>
      <c r="AD668" s="32">
        <v>80</v>
      </c>
      <c r="AE668" s="27"/>
      <c r="AF668" s="27"/>
      <c r="AG668" s="27"/>
      <c r="AH668" s="27"/>
      <c r="AI668" s="25">
        <v>532430</v>
      </c>
      <c r="AJ668" s="25">
        <v>383350</v>
      </c>
      <c r="AK668" s="25">
        <v>0</v>
      </c>
      <c r="AL668" s="25">
        <v>404300</v>
      </c>
      <c r="AM668" s="25">
        <v>54700</v>
      </c>
      <c r="AN668" s="25">
        <v>349600</v>
      </c>
      <c r="AO668" s="25">
        <v>0</v>
      </c>
      <c r="AP668" s="25">
        <f>Lookups!$B$56*0</f>
        <v>0</v>
      </c>
      <c r="AQ668" s="25">
        <f>Lookups!$B$56*1</f>
        <v>89850.625589999996</v>
      </c>
      <c r="AR668" s="25">
        <f>Lookups!$B$57*Inventory[[#This Row],[LnAcres]]</f>
        <v>-54281.285314520763</v>
      </c>
      <c r="AS668" s="25">
        <f>VLOOKUP(Inventory[[#This Row],[Qlty]],Lookups!$A$62:$E$75,2,FALSE)</f>
        <v>44121.038090000002</v>
      </c>
      <c r="AT668" s="25">
        <f>VLOOKUP(Inventory[[#This Row],[Cnd]],Lookups!$A$76:$E$84,2,FALSE)</f>
        <v>197752.34721000001</v>
      </c>
      <c r="AU668" s="25">
        <f>Inventory[[#This Row],[EffAge]]*Lookups!$B$85</f>
        <v>-11152.280025</v>
      </c>
      <c r="AV668" s="25">
        <f>Inventory[[#This Row],[MainFn]]*Lookups!$B$86</f>
        <v>87502.754352167001</v>
      </c>
      <c r="AW668" s="25">
        <f>Inventory[[#This Row],[UpprFn]]*Lookups!$B$87</f>
        <v>0</v>
      </c>
      <c r="AX668" s="25">
        <f>Inventory[[#This Row],[AddFn]]*Lookups!$B$88</f>
        <v>0</v>
      </c>
      <c r="AY668" s="25">
        <f>Inventory[[#This Row],[Bsmt]]*Lookups!$B$89</f>
        <v>26319.115198534997</v>
      </c>
      <c r="AZ668" s="25">
        <f>Inventory[[#This Row],[Fixtures]]*Lookups!$B$90</f>
        <v>30336.176841600001</v>
      </c>
      <c r="BA668" s="25">
        <f>Inventory[[#This Row],[WdDeck]]*Lookups!$B$91</f>
        <v>2663.6412220800003</v>
      </c>
      <c r="BB668" s="25">
        <f>ROUND(Inventory[[#This Row],[25Det]],-2)</f>
        <v>0</v>
      </c>
      <c r="BC668" s="25">
        <f>ROUND(SUM(Inventory[[#This Row],[Mdl Qlty]:[Mdl WdDeck]])+Inventory[[#This Row],[Mdl Res Intercept]],-2)</f>
        <v>377500</v>
      </c>
      <c r="BD668" s="25">
        <f>ROUND(Inventory[[#This Row],[Mdl Land Intercept]]+Inventory[[#This Row],[Mdl LnAcres]],-2)</f>
        <v>35600</v>
      </c>
      <c r="BE668" s="25">
        <f>Inventory[[#This Row],[Unadj Res Value]]+Inventory[[#This Row],[Unadj Det Value]]+Inventory[[#This Row],[Unadj Land Value]]</f>
        <v>413100</v>
      </c>
      <c r="BF668" s="36">
        <f>(Inventory[[#This Row],[Unadj Total Value]]-Inventory[[#This Row],[24Final]])/Inventory[[#This Row],[24Final]]</f>
        <v>2.1766015335147167E-2</v>
      </c>
      <c r="BG668" s="25">
        <f>VLOOKUP(Inventory[[#This Row],[Nbhd]],Lookups!$Q$2:$T$4,4,FALSE)</f>
        <v>0.99970000000000003</v>
      </c>
      <c r="BH668" s="25">
        <f>VLOOKUP(Inventory[[#This Row],[Qlty]],Lookups!$O$7:$R$21,4,FALSE)</f>
        <v>0.98050000000000004</v>
      </c>
      <c r="BI668" s="25">
        <f>VLOOKUP(Inventory[[#This Row],[Cnd]],Lookups!$T$7:$W$16,4,FALSE)</f>
        <v>0.99650000000000005</v>
      </c>
      <c r="BJ668" s="25">
        <f>VLOOKUP(Inventory[[#This Row],[LivArea Range]],Lookups!$T$25:$W$37,4,FALSE)</f>
        <v>0.96179999999999999</v>
      </c>
      <c r="BK668" s="25">
        <f>VLOOKUP(Inventory[[#This Row],[Decade]],Lookups!$O$25:$R$42,4,FALSE)</f>
        <v>1.0199</v>
      </c>
      <c r="BL668" s="25">
        <f>Inventory[[#This Row],[Nbhd Adj]]*0.95</f>
        <v>0.94971499999999998</v>
      </c>
      <c r="BM668" s="25">
        <f>Inventory[[#This Row],[Nbhd Adj]]*Inventory[[#This Row],[Quality Adj]]*Inventory[[#This Row],[Condition Adj]]*Inventory[[#This Row],[Living Area Adj]]*Inventory[[#This Row],[Decade Adj]]*0.95</f>
        <v>0.91024973874989379</v>
      </c>
      <c r="BN668" s="25">
        <f>ROUND(SUM(Inventory[[#This Row],[Mdl Qlty]:[Mdl WdDeck]])+Inventory[[#This Row],[Mdl Res Intercept]]*Inventory[[#This Row],[Res Adj ]],-2)</f>
        <v>377500</v>
      </c>
      <c r="BO668" s="25">
        <f>ROUND(Inventory[[#This Row],[25Det]]*Inventory[[#This Row],[Det/Nbhd Adj]],-2)</f>
        <v>0</v>
      </c>
      <c r="BP668" s="25">
        <f>Inventory[[#This Row],[Adjusted Res]]+Inventory[[#This Row],[Adj Det ]]</f>
        <v>377500</v>
      </c>
      <c r="BQ668" s="25">
        <f>ROUND((Inventory[[#This Row],[Mdl Land Intercept]]+Inventory[[#This Row],[Mdl LnAcres]])*Inventory[[#This Row],[Det/Nbhd Adj]],-2)</f>
        <v>33800</v>
      </c>
      <c r="BR668" s="25">
        <f>Inventory[[#This Row],[Adjusted Impr Total]]+Inventory[[#This Row],[Adjusted Land Total]]</f>
        <v>411300</v>
      </c>
      <c r="BS668" s="36">
        <f>IFERROR((Inventory[[#This Row],[Adjusted Impr Total]]-Inventory[[#This Row],[24Bldg]])/Inventory[[#This Row],[24Bldg]],0)</f>
        <v>7.9805491990846689E-2</v>
      </c>
      <c r="BT668" s="36">
        <f>(Inventory[[#This Row],[Adjusted Land Total]]-Inventory[[#This Row],[24Lnd]])/Inventory[[#This Row],[24Lnd]]</f>
        <v>-0.38208409506398539</v>
      </c>
      <c r="BU668" s="36">
        <f>(Inventory[[#This Row],[Adjusted Total]]-Inventory[[#This Row],[24Final]])/Inventory[[#This Row],[24Final]]</f>
        <v>1.7313875834776157E-2</v>
      </c>
    </row>
    <row r="669" spans="1:73" x14ac:dyDescent="0.3">
      <c r="A669" s="25">
        <v>2025</v>
      </c>
      <c r="B669" s="26" t="s">
        <v>2809</v>
      </c>
      <c r="C669" s="26">
        <f>LN(Inventory[[#This Row],[Acres]])</f>
        <v>-1.4696759700589417</v>
      </c>
      <c r="D669" s="25">
        <v>0.23</v>
      </c>
      <c r="E669" s="31"/>
      <c r="F669" s="26" t="s">
        <v>537</v>
      </c>
      <c r="G669" s="26" t="s">
        <v>126</v>
      </c>
      <c r="H669" s="26" t="s">
        <v>349</v>
      </c>
      <c r="I669" s="26" t="s">
        <v>538</v>
      </c>
      <c r="J669" s="26" t="s">
        <v>539</v>
      </c>
      <c r="K669" s="26" t="s">
        <v>242</v>
      </c>
      <c r="L669" s="26" t="s">
        <v>205</v>
      </c>
      <c r="M669" s="26" t="s">
        <v>206</v>
      </c>
      <c r="N669" s="26">
        <v>70</v>
      </c>
      <c r="O669" s="26">
        <f>2024-Inventory[[#This Row],[YrBlt]]</f>
        <v>69</v>
      </c>
      <c r="P669" s="26">
        <f>2024-Inventory[[#This Row],[EffYr]]</f>
        <v>50</v>
      </c>
      <c r="Q669" s="25">
        <v>1955</v>
      </c>
      <c r="R669" s="25">
        <v>1974</v>
      </c>
      <c r="S669" s="25">
        <v>1955</v>
      </c>
      <c r="T669" s="27"/>
      <c r="U669" s="31"/>
      <c r="V669" s="31">
        <f>Inventory[[#This Row],[Bsmt]]-Inventory[[#This Row],[FnBsmt]]</f>
        <v>0</v>
      </c>
      <c r="W669" s="31"/>
      <c r="X669" s="27"/>
      <c r="Y669" s="27">
        <f>Inventory[[#This Row],[MainFn]]+Inventory[[#This Row],[UpprFn]]+Inventory[[#This Row],[FnBsmt]]+Inventory[[#This Row],[AddFn]]</f>
        <v>1955</v>
      </c>
      <c r="Z669" s="27">
        <v>2000</v>
      </c>
      <c r="AA669" s="25">
        <v>8</v>
      </c>
      <c r="AB669" s="32">
        <v>420</v>
      </c>
      <c r="AC669" s="27"/>
      <c r="AD669" s="27"/>
      <c r="AE669" s="27"/>
      <c r="AF669" s="27"/>
      <c r="AG669" s="27"/>
      <c r="AH669" s="27"/>
      <c r="AI669" s="25">
        <v>279451</v>
      </c>
      <c r="AJ669" s="25">
        <v>192821</v>
      </c>
      <c r="AK669" s="25">
        <v>0</v>
      </c>
      <c r="AL669" s="25">
        <v>285800</v>
      </c>
      <c r="AM669" s="25">
        <v>63300</v>
      </c>
      <c r="AN669" s="25">
        <v>222500</v>
      </c>
      <c r="AO669" s="25">
        <v>0</v>
      </c>
      <c r="AP669" s="25">
        <f>Lookups!$B$56*0</f>
        <v>0</v>
      </c>
      <c r="AQ669" s="25">
        <f>Lookups!$B$56*1</f>
        <v>89850.625589999996</v>
      </c>
      <c r="AR669" s="25">
        <f>Lookups!$B$57*Inventory[[#This Row],[LnAcres]]</f>
        <v>-46522.028095997222</v>
      </c>
      <c r="AS669" s="25">
        <f>VLOOKUP(Inventory[[#This Row],[Qlty]],Lookups!$A$62:$E$75,2,FALSE)</f>
        <v>0</v>
      </c>
      <c r="AT669" s="25">
        <f>VLOOKUP(Inventory[[#This Row],[Cnd]],Lookups!$A$76:$E$84,2,FALSE)</f>
        <v>133714.53821</v>
      </c>
      <c r="AU669" s="25">
        <f>Inventory[[#This Row],[EffAge]]*Lookups!$B$85</f>
        <v>-11152.280025</v>
      </c>
      <c r="AV669" s="25">
        <f>Inventory[[#This Row],[MainFn]]*Lookups!$B$86</f>
        <v>96593.949609535004</v>
      </c>
      <c r="AW669" s="25">
        <f>Inventory[[#This Row],[UpprFn]]*Lookups!$B$87</f>
        <v>0</v>
      </c>
      <c r="AX669" s="25">
        <f>Inventory[[#This Row],[AddFn]]*Lookups!$B$88</f>
        <v>0</v>
      </c>
      <c r="AY669" s="25">
        <f>Inventory[[#This Row],[Bsmt]]*Lookups!$B$89</f>
        <v>0</v>
      </c>
      <c r="AZ669" s="25">
        <f>Inventory[[#This Row],[Fixtures]]*Lookups!$B$90</f>
        <v>30336.176841600001</v>
      </c>
      <c r="BA669" s="25">
        <f>Inventory[[#This Row],[WdDeck]]*Lookups!$B$91</f>
        <v>0</v>
      </c>
      <c r="BB669" s="25">
        <f>ROUND(Inventory[[#This Row],[25Det]],-2)</f>
        <v>0</v>
      </c>
      <c r="BC669" s="25">
        <f>ROUND(SUM(Inventory[[#This Row],[Mdl Qlty]:[Mdl WdDeck]])+Inventory[[#This Row],[Mdl Res Intercept]],-2)</f>
        <v>249500</v>
      </c>
      <c r="BD669" s="25">
        <f>ROUND(Inventory[[#This Row],[Mdl Land Intercept]]+Inventory[[#This Row],[Mdl LnAcres]],-2)</f>
        <v>43300</v>
      </c>
      <c r="BE669" s="25">
        <f>Inventory[[#This Row],[Unadj Res Value]]+Inventory[[#This Row],[Unadj Det Value]]+Inventory[[#This Row],[Unadj Land Value]]</f>
        <v>292800</v>
      </c>
      <c r="BF669" s="36">
        <f>(Inventory[[#This Row],[Unadj Total Value]]-Inventory[[#This Row],[24Final]])/Inventory[[#This Row],[24Final]]</f>
        <v>2.4492652204338699E-2</v>
      </c>
      <c r="BG669" s="25">
        <f>VLOOKUP(Inventory[[#This Row],[Nbhd]],Lookups!$Q$2:$T$4,4,FALSE)</f>
        <v>0.99970000000000003</v>
      </c>
      <c r="BH669" s="25">
        <f>VLOOKUP(Inventory[[#This Row],[Qlty]],Lookups!$O$7:$R$21,4,FALSE)</f>
        <v>0.99180000000000001</v>
      </c>
      <c r="BI669" s="25">
        <f>VLOOKUP(Inventory[[#This Row],[Cnd]],Lookups!$T$7:$W$16,4,FALSE)</f>
        <v>0.99329999999999996</v>
      </c>
      <c r="BJ669" s="25">
        <f>VLOOKUP(Inventory[[#This Row],[LivArea Range]],Lookups!$T$25:$W$37,4,FALSE)</f>
        <v>1.0093000000000001</v>
      </c>
      <c r="BK669" s="25">
        <f>VLOOKUP(Inventory[[#This Row],[Decade]],Lookups!$O$25:$R$42,4,FALSE)</f>
        <v>1.0199</v>
      </c>
      <c r="BL669" s="25">
        <f>Inventory[[#This Row],[Nbhd Adj]]*0.95</f>
        <v>0.94971499999999998</v>
      </c>
      <c r="BM669" s="25">
        <f>Inventory[[#This Row],[Nbhd Adj]]*Inventory[[#This Row],[Quality Adj]]*Inventory[[#This Row],[Condition Adj]]*Inventory[[#This Row],[Living Area Adj]]*Inventory[[#This Row],[Decade Adj]]*0.95</f>
        <v>0.96310957794984986</v>
      </c>
      <c r="BN669" s="25">
        <f>ROUND(SUM(Inventory[[#This Row],[Mdl Qlty]:[Mdl WdDeck]])+Inventory[[#This Row],[Mdl Res Intercept]]*Inventory[[#This Row],[Res Adj ]],-2)</f>
        <v>249500</v>
      </c>
      <c r="BO669" s="25">
        <f>ROUND(Inventory[[#This Row],[25Det]]*Inventory[[#This Row],[Det/Nbhd Adj]],-2)</f>
        <v>0</v>
      </c>
      <c r="BP669" s="25">
        <f>Inventory[[#This Row],[Adjusted Res]]+Inventory[[#This Row],[Adj Det ]]</f>
        <v>249500</v>
      </c>
      <c r="BQ669" s="25">
        <f>ROUND((Inventory[[#This Row],[Mdl Land Intercept]]+Inventory[[#This Row],[Mdl LnAcres]])*Inventory[[#This Row],[Det/Nbhd Adj]],-2)</f>
        <v>41100</v>
      </c>
      <c r="BR669" s="25">
        <f>Inventory[[#This Row],[Adjusted Impr Total]]+Inventory[[#This Row],[Adjusted Land Total]]</f>
        <v>290600</v>
      </c>
      <c r="BS669" s="36">
        <f>IFERROR((Inventory[[#This Row],[Adjusted Impr Total]]-Inventory[[#This Row],[24Bldg]])/Inventory[[#This Row],[24Bldg]],0)</f>
        <v>0.12134831460674157</v>
      </c>
      <c r="BT669" s="36">
        <f>(Inventory[[#This Row],[Adjusted Land Total]]-Inventory[[#This Row],[24Lnd]])/Inventory[[#This Row],[24Lnd]]</f>
        <v>-0.35071090047393366</v>
      </c>
      <c r="BU669" s="36">
        <f>(Inventory[[#This Row],[Adjusted Total]]-Inventory[[#This Row],[24Final]])/Inventory[[#This Row],[24Final]]</f>
        <v>1.6794961511546535E-2</v>
      </c>
    </row>
    <row r="670" spans="1:73" x14ac:dyDescent="0.3">
      <c r="A670" s="25">
        <v>2025</v>
      </c>
      <c r="B670" s="26" t="s">
        <v>2637</v>
      </c>
      <c r="C670" s="26">
        <f>LN(Inventory[[#This Row],[Acres]])</f>
        <v>-1.6094379124341003</v>
      </c>
      <c r="D670" s="25">
        <v>0.2</v>
      </c>
      <c r="E670" s="25">
        <v>8528</v>
      </c>
      <c r="F670" s="26" t="s">
        <v>537</v>
      </c>
      <c r="G670" s="26" t="s">
        <v>126</v>
      </c>
      <c r="H670" s="26" t="s">
        <v>349</v>
      </c>
      <c r="I670" s="26" t="s">
        <v>538</v>
      </c>
      <c r="J670" s="26" t="s">
        <v>539</v>
      </c>
      <c r="K670" s="26" t="s">
        <v>350</v>
      </c>
      <c r="L670" s="26" t="s">
        <v>302</v>
      </c>
      <c r="M670" s="26" t="s">
        <v>323</v>
      </c>
      <c r="N670" s="26">
        <v>70</v>
      </c>
      <c r="O670" s="26">
        <f>2024-Inventory[[#This Row],[YrBlt]]</f>
        <v>69</v>
      </c>
      <c r="P670" s="26">
        <f>2024-Inventory[[#This Row],[EffYr]]</f>
        <v>50</v>
      </c>
      <c r="Q670" s="25">
        <v>1955</v>
      </c>
      <c r="R670" s="25">
        <v>1974</v>
      </c>
      <c r="S670" s="25">
        <v>1221</v>
      </c>
      <c r="T670" s="31"/>
      <c r="U670" s="25">
        <v>525</v>
      </c>
      <c r="V670" s="25">
        <f>Inventory[[#This Row],[Bsmt]]-Inventory[[#This Row],[FnBsmt]]</f>
        <v>0</v>
      </c>
      <c r="W670" s="25">
        <v>525</v>
      </c>
      <c r="X670" s="27"/>
      <c r="Y670" s="27">
        <f>Inventory[[#This Row],[MainFn]]+Inventory[[#This Row],[UpprFn]]+Inventory[[#This Row],[FnBsmt]]+Inventory[[#This Row],[AddFn]]</f>
        <v>1746</v>
      </c>
      <c r="Z670" s="27">
        <v>2000</v>
      </c>
      <c r="AA670" s="25">
        <v>8</v>
      </c>
      <c r="AB670" s="31"/>
      <c r="AC670" s="27"/>
      <c r="AD670" s="27"/>
      <c r="AE670" s="27"/>
      <c r="AF670" s="27"/>
      <c r="AG670" s="27"/>
      <c r="AH670" s="27"/>
      <c r="AI670" s="25">
        <v>311746</v>
      </c>
      <c r="AJ670" s="25">
        <v>218222</v>
      </c>
      <c r="AK670" s="25">
        <v>0</v>
      </c>
      <c r="AL670" s="25">
        <v>317100</v>
      </c>
      <c r="AM670" s="25">
        <v>58400</v>
      </c>
      <c r="AN670" s="25">
        <v>258700</v>
      </c>
      <c r="AO670" s="25">
        <v>0</v>
      </c>
      <c r="AP670" s="25">
        <f>Lookups!$B$56*0</f>
        <v>0</v>
      </c>
      <c r="AQ670" s="25">
        <f>Lookups!$B$56*1</f>
        <v>89850.625589999996</v>
      </c>
      <c r="AR670" s="25">
        <f>Lookups!$B$57*Inventory[[#This Row],[LnAcres]]</f>
        <v>-50946.13867709865</v>
      </c>
      <c r="AS670" s="25">
        <f>VLOOKUP(Inventory[[#This Row],[Qlty]],Lookups!$A$62:$E$75,2,FALSE)</f>
        <v>29814.093161000001</v>
      </c>
      <c r="AT670" s="25">
        <f>VLOOKUP(Inventory[[#This Row],[Cnd]],Lookups!$A$76:$E$84,2,FALSE)</f>
        <v>160472.20319</v>
      </c>
      <c r="AU670" s="25">
        <f>Inventory[[#This Row],[EffAge]]*Lookups!$B$85</f>
        <v>-11152.280025</v>
      </c>
      <c r="AV670" s="25">
        <f>Inventory[[#This Row],[MainFn]]*Lookups!$B$86</f>
        <v>60327.985919817002</v>
      </c>
      <c r="AW670" s="25">
        <f>Inventory[[#This Row],[UpprFn]]*Lookups!$B$87</f>
        <v>0</v>
      </c>
      <c r="AX670" s="25">
        <f>Inventory[[#This Row],[AddFn]]*Lookups!$B$88</f>
        <v>0</v>
      </c>
      <c r="AY670" s="25">
        <f>Inventory[[#This Row],[Bsmt]]*Lookups!$B$89</f>
        <v>15267.995004675</v>
      </c>
      <c r="AZ670" s="25">
        <f>Inventory[[#This Row],[Fixtures]]*Lookups!$B$90</f>
        <v>30336.176841600001</v>
      </c>
      <c r="BA670" s="25">
        <f>Inventory[[#This Row],[WdDeck]]*Lookups!$B$91</f>
        <v>0</v>
      </c>
      <c r="BB670" s="25">
        <f>ROUND(Inventory[[#This Row],[25Det]],-2)</f>
        <v>0</v>
      </c>
      <c r="BC670" s="25">
        <f>ROUND(SUM(Inventory[[#This Row],[Mdl Qlty]:[Mdl WdDeck]])+Inventory[[#This Row],[Mdl Res Intercept]],-2)</f>
        <v>285100</v>
      </c>
      <c r="BD670" s="25">
        <f>ROUND(Inventory[[#This Row],[Mdl Land Intercept]]+Inventory[[#This Row],[Mdl LnAcres]],-2)</f>
        <v>38900</v>
      </c>
      <c r="BE670" s="25">
        <f>Inventory[[#This Row],[Unadj Res Value]]+Inventory[[#This Row],[Unadj Det Value]]+Inventory[[#This Row],[Unadj Land Value]]</f>
        <v>324000</v>
      </c>
      <c r="BF670" s="36">
        <f>(Inventory[[#This Row],[Unadj Total Value]]-Inventory[[#This Row],[24Final]])/Inventory[[#This Row],[24Final]]</f>
        <v>2.1759697256385997E-2</v>
      </c>
      <c r="BG670" s="25">
        <f>VLOOKUP(Inventory[[#This Row],[Nbhd]],Lookups!$Q$2:$T$4,4,FALSE)</f>
        <v>0.99970000000000003</v>
      </c>
      <c r="BH670" s="25">
        <f>VLOOKUP(Inventory[[#This Row],[Qlty]],Lookups!$O$7:$R$21,4,FALSE)</f>
        <v>1.0088999999999999</v>
      </c>
      <c r="BI670" s="25">
        <f>VLOOKUP(Inventory[[#This Row],[Cnd]],Lookups!$T$7:$W$16,4,FALSE)</f>
        <v>0.99729999999999996</v>
      </c>
      <c r="BJ670" s="25">
        <f>VLOOKUP(Inventory[[#This Row],[LivArea Range]],Lookups!$T$25:$W$37,4,FALSE)</f>
        <v>1.0093000000000001</v>
      </c>
      <c r="BK670" s="25">
        <f>VLOOKUP(Inventory[[#This Row],[Decade]],Lookups!$O$25:$R$42,4,FALSE)</f>
        <v>1.0199</v>
      </c>
      <c r="BL670" s="25">
        <f>Inventory[[#This Row],[Nbhd Adj]]*0.95</f>
        <v>0.94971499999999998</v>
      </c>
      <c r="BM670" s="25">
        <f>Inventory[[#This Row],[Nbhd Adj]]*Inventory[[#This Row],[Quality Adj]]*Inventory[[#This Row],[Condition Adj]]*Inventory[[#This Row],[Living Area Adj]]*Inventory[[#This Row],[Decade Adj]]*0.95</f>
        <v>0.98366020862665582</v>
      </c>
      <c r="BN670" s="25">
        <f>ROUND(SUM(Inventory[[#This Row],[Mdl Qlty]:[Mdl WdDeck]])+Inventory[[#This Row],[Mdl Res Intercept]]*Inventory[[#This Row],[Res Adj ]],-2)</f>
        <v>285100</v>
      </c>
      <c r="BO670" s="25">
        <f>ROUND(Inventory[[#This Row],[25Det]]*Inventory[[#This Row],[Det/Nbhd Adj]],-2)</f>
        <v>0</v>
      </c>
      <c r="BP670" s="25">
        <f>Inventory[[#This Row],[Adjusted Res]]+Inventory[[#This Row],[Adj Det ]]</f>
        <v>285100</v>
      </c>
      <c r="BQ670" s="25">
        <f>ROUND((Inventory[[#This Row],[Mdl Land Intercept]]+Inventory[[#This Row],[Mdl LnAcres]])*Inventory[[#This Row],[Det/Nbhd Adj]],-2)</f>
        <v>36900</v>
      </c>
      <c r="BR670" s="25">
        <f>Inventory[[#This Row],[Adjusted Impr Total]]+Inventory[[#This Row],[Adjusted Land Total]]</f>
        <v>322000</v>
      </c>
      <c r="BS670" s="36">
        <f>IFERROR((Inventory[[#This Row],[Adjusted Impr Total]]-Inventory[[#This Row],[24Bldg]])/Inventory[[#This Row],[24Bldg]],0)</f>
        <v>0.10204870506378044</v>
      </c>
      <c r="BT670" s="36">
        <f>(Inventory[[#This Row],[Adjusted Land Total]]-Inventory[[#This Row],[24Lnd]])/Inventory[[#This Row],[24Lnd]]</f>
        <v>-0.36815068493150682</v>
      </c>
      <c r="BU670" s="36">
        <f>(Inventory[[#This Row],[Adjusted Total]]-Inventory[[#This Row],[24Final]])/Inventory[[#This Row],[24Final]]</f>
        <v>1.5452538631346579E-2</v>
      </c>
    </row>
    <row r="671" spans="1:73" x14ac:dyDescent="0.3">
      <c r="A671" s="25">
        <v>2025</v>
      </c>
      <c r="B671" s="26" t="s">
        <v>1144</v>
      </c>
      <c r="C671" s="26">
        <f>LN(Inventory[[#This Row],[Acres]])</f>
        <v>-1.8971199848858813</v>
      </c>
      <c r="D671" s="25">
        <v>0.15</v>
      </c>
      <c r="E671" s="31"/>
      <c r="F671" s="26" t="s">
        <v>537</v>
      </c>
      <c r="G671" s="26" t="s">
        <v>126</v>
      </c>
      <c r="H671" s="26" t="s">
        <v>349</v>
      </c>
      <c r="I671" s="26" t="s">
        <v>538</v>
      </c>
      <c r="J671" s="26" t="s">
        <v>638</v>
      </c>
      <c r="K671" s="26" t="s">
        <v>241</v>
      </c>
      <c r="L671" s="26" t="s">
        <v>148</v>
      </c>
      <c r="M671" s="26" t="s">
        <v>206</v>
      </c>
      <c r="N671" s="26">
        <v>70</v>
      </c>
      <c r="O671" s="26">
        <f>2024-Inventory[[#This Row],[YrBlt]]</f>
        <v>69</v>
      </c>
      <c r="P671" s="26">
        <f>2024-Inventory[[#This Row],[EffYr]]</f>
        <v>50</v>
      </c>
      <c r="Q671" s="25">
        <v>1955</v>
      </c>
      <c r="R671" s="25">
        <v>1974</v>
      </c>
      <c r="S671" s="25">
        <v>1240</v>
      </c>
      <c r="T671" s="31"/>
      <c r="U671" s="25">
        <v>818</v>
      </c>
      <c r="V671" s="32">
        <f>Inventory[[#This Row],[Bsmt]]-Inventory[[#This Row],[FnBsmt]]</f>
        <v>0</v>
      </c>
      <c r="W671" s="32">
        <v>818</v>
      </c>
      <c r="X671" s="27"/>
      <c r="Y671" s="27">
        <f>Inventory[[#This Row],[MainFn]]+Inventory[[#This Row],[UpprFn]]+Inventory[[#This Row],[FnBsmt]]+Inventory[[#This Row],[AddFn]]</f>
        <v>2058</v>
      </c>
      <c r="Z671" s="27">
        <v>2500</v>
      </c>
      <c r="AA671" s="25">
        <v>7</v>
      </c>
      <c r="AB671" s="31"/>
      <c r="AC671" s="27"/>
      <c r="AD671" s="27"/>
      <c r="AE671" s="27"/>
      <c r="AF671" s="27"/>
      <c r="AG671" s="27"/>
      <c r="AH671" s="27"/>
      <c r="AI671" s="25">
        <v>408839</v>
      </c>
      <c r="AJ671" s="25">
        <v>282099</v>
      </c>
      <c r="AK671" s="25">
        <v>0</v>
      </c>
      <c r="AL671" s="25">
        <v>302200</v>
      </c>
      <c r="AM671" s="25">
        <v>48400</v>
      </c>
      <c r="AN671" s="25">
        <v>253800</v>
      </c>
      <c r="AO671" s="25">
        <v>0</v>
      </c>
      <c r="AP671" s="25">
        <f>Lookups!$B$56*0</f>
        <v>0</v>
      </c>
      <c r="AQ671" s="25">
        <f>Lookups!$B$56*1</f>
        <v>89850.625589999996</v>
      </c>
      <c r="AR671" s="25">
        <f>Lookups!$B$57*Inventory[[#This Row],[LnAcres]]</f>
        <v>-60052.604136134301</v>
      </c>
      <c r="AS671" s="25">
        <f>VLOOKUP(Inventory[[#This Row],[Qlty]],Lookups!$A$62:$E$75,2,FALSE)</f>
        <v>44121.038090000002</v>
      </c>
      <c r="AT671" s="25">
        <f>VLOOKUP(Inventory[[#This Row],[Cnd]],Lookups!$A$76:$E$84,2,FALSE)</f>
        <v>133714.53821</v>
      </c>
      <c r="AU671" s="25">
        <f>Inventory[[#This Row],[EffAge]]*Lookups!$B$85</f>
        <v>-11152.280025</v>
      </c>
      <c r="AV671" s="25">
        <f>Inventory[[#This Row],[MainFn]]*Lookups!$B$86</f>
        <v>61266.750647480003</v>
      </c>
      <c r="AW671" s="25">
        <f>Inventory[[#This Row],[UpprFn]]*Lookups!$B$87</f>
        <v>0</v>
      </c>
      <c r="AX671" s="25">
        <f>Inventory[[#This Row],[AddFn]]*Lookups!$B$88</f>
        <v>0</v>
      </c>
      <c r="AY671" s="25">
        <f>Inventory[[#This Row],[Bsmt]]*Lookups!$B$89</f>
        <v>23788.990312046</v>
      </c>
      <c r="AZ671" s="25">
        <f>Inventory[[#This Row],[Fixtures]]*Lookups!$B$90</f>
        <v>26544.1547364</v>
      </c>
      <c r="BA671" s="25">
        <f>Inventory[[#This Row],[WdDeck]]*Lookups!$B$91</f>
        <v>0</v>
      </c>
      <c r="BB671" s="25">
        <f>ROUND(Inventory[[#This Row],[25Det]],-2)</f>
        <v>0</v>
      </c>
      <c r="BC671" s="25">
        <f>ROUND(SUM(Inventory[[#This Row],[Mdl Qlty]:[Mdl WdDeck]])+Inventory[[#This Row],[Mdl Res Intercept]],-2)</f>
        <v>278300</v>
      </c>
      <c r="BD671" s="25">
        <f>ROUND(Inventory[[#This Row],[Mdl Land Intercept]]+Inventory[[#This Row],[Mdl LnAcres]],-2)</f>
        <v>29800</v>
      </c>
      <c r="BE671" s="25">
        <f>Inventory[[#This Row],[Unadj Res Value]]+Inventory[[#This Row],[Unadj Det Value]]+Inventory[[#This Row],[Unadj Land Value]]</f>
        <v>308100</v>
      </c>
      <c r="BF671" s="36">
        <f>(Inventory[[#This Row],[Unadj Total Value]]-Inventory[[#This Row],[24Final]])/Inventory[[#This Row],[24Final]]</f>
        <v>1.9523494374586368E-2</v>
      </c>
      <c r="BG671" s="25">
        <f>VLOOKUP(Inventory[[#This Row],[Nbhd]],Lookups!$Q$2:$T$4,4,FALSE)</f>
        <v>0.99970000000000003</v>
      </c>
      <c r="BH671" s="25">
        <f>VLOOKUP(Inventory[[#This Row],[Qlty]],Lookups!$O$7:$R$21,4,FALSE)</f>
        <v>0.98050000000000004</v>
      </c>
      <c r="BI671" s="25">
        <f>VLOOKUP(Inventory[[#This Row],[Cnd]],Lookups!$T$7:$W$16,4,FALSE)</f>
        <v>0.99329999999999996</v>
      </c>
      <c r="BJ671" s="25">
        <f>VLOOKUP(Inventory[[#This Row],[LivArea Range]],Lookups!$T$25:$W$37,4,FALSE)</f>
        <v>0.98919999999999997</v>
      </c>
      <c r="BK671" s="25">
        <f>VLOOKUP(Inventory[[#This Row],[Decade]],Lookups!$O$25:$R$42,4,FALSE)</f>
        <v>1.0199</v>
      </c>
      <c r="BL671" s="25">
        <f>Inventory[[#This Row],[Nbhd Adj]]*0.95</f>
        <v>0.94971499999999998</v>
      </c>
      <c r="BM671" s="25">
        <f>Inventory[[#This Row],[Nbhd Adj]]*Inventory[[#This Row],[Quality Adj]]*Inventory[[#This Row],[Condition Adj]]*Inventory[[#This Row],[Living Area Adj]]*Inventory[[#This Row],[Decade Adj]]*0.95</f>
        <v>0.93317486018372109</v>
      </c>
      <c r="BN671" s="25">
        <f>ROUND(SUM(Inventory[[#This Row],[Mdl Qlty]:[Mdl WdDeck]])+Inventory[[#This Row],[Mdl Res Intercept]]*Inventory[[#This Row],[Res Adj ]],-2)</f>
        <v>278300</v>
      </c>
      <c r="BO671" s="25">
        <f>ROUND(Inventory[[#This Row],[25Det]]*Inventory[[#This Row],[Det/Nbhd Adj]],-2)</f>
        <v>0</v>
      </c>
      <c r="BP671" s="25">
        <f>Inventory[[#This Row],[Adjusted Res]]+Inventory[[#This Row],[Adj Det ]]</f>
        <v>278300</v>
      </c>
      <c r="BQ671" s="25">
        <f>ROUND((Inventory[[#This Row],[Mdl Land Intercept]]+Inventory[[#This Row],[Mdl LnAcres]])*Inventory[[#This Row],[Det/Nbhd Adj]],-2)</f>
        <v>28300</v>
      </c>
      <c r="BR671" s="25">
        <f>Inventory[[#This Row],[Adjusted Impr Total]]+Inventory[[#This Row],[Adjusted Land Total]]</f>
        <v>306600</v>
      </c>
      <c r="BS671" s="36">
        <f>IFERROR((Inventory[[#This Row],[Adjusted Impr Total]]-Inventory[[#This Row],[24Bldg]])/Inventory[[#This Row],[24Bldg]],0)</f>
        <v>9.653270291568164E-2</v>
      </c>
      <c r="BT671" s="36">
        <f>(Inventory[[#This Row],[Adjusted Land Total]]-Inventory[[#This Row],[24Lnd]])/Inventory[[#This Row],[24Lnd]]</f>
        <v>-0.41528925619834711</v>
      </c>
      <c r="BU671" s="36">
        <f>(Inventory[[#This Row],[Adjusted Total]]-Inventory[[#This Row],[24Final]])/Inventory[[#This Row],[24Final]]</f>
        <v>1.455989410986102E-2</v>
      </c>
    </row>
    <row r="672" spans="1:73" x14ac:dyDescent="0.3">
      <c r="A672" s="25">
        <v>2025</v>
      </c>
      <c r="B672" s="26" t="s">
        <v>1824</v>
      </c>
      <c r="C672" s="26">
        <f>LN(Inventory[[#This Row],[Acres]])</f>
        <v>-1.1394342831883648</v>
      </c>
      <c r="D672" s="25">
        <v>0.32</v>
      </c>
      <c r="E672" s="25">
        <v>14000</v>
      </c>
      <c r="F672" s="26" t="s">
        <v>537</v>
      </c>
      <c r="G672" s="26" t="s">
        <v>126</v>
      </c>
      <c r="H672" s="26" t="s">
        <v>349</v>
      </c>
      <c r="I672" s="26" t="s">
        <v>538</v>
      </c>
      <c r="J672" s="26" t="s">
        <v>539</v>
      </c>
      <c r="K672" s="26" t="s">
        <v>241</v>
      </c>
      <c r="L672" s="26" t="s">
        <v>302</v>
      </c>
      <c r="M672" s="26" t="s">
        <v>323</v>
      </c>
      <c r="N672" s="26">
        <v>70</v>
      </c>
      <c r="O672" s="26">
        <f>2024-Inventory[[#This Row],[YrBlt]]</f>
        <v>69</v>
      </c>
      <c r="P672" s="26">
        <f>2024-Inventory[[#This Row],[EffYr]]</f>
        <v>50</v>
      </c>
      <c r="Q672" s="25">
        <v>1955</v>
      </c>
      <c r="R672" s="25">
        <v>1974</v>
      </c>
      <c r="S672" s="25">
        <v>1232</v>
      </c>
      <c r="T672" s="31"/>
      <c r="U672" s="25">
        <v>1232</v>
      </c>
      <c r="V672" s="25">
        <f>Inventory[[#This Row],[Bsmt]]-Inventory[[#This Row],[FnBsmt]]</f>
        <v>370</v>
      </c>
      <c r="W672" s="25">
        <v>862</v>
      </c>
      <c r="X672" s="27"/>
      <c r="Y672" s="27">
        <f>Inventory[[#This Row],[MainFn]]+Inventory[[#This Row],[UpprFn]]+Inventory[[#This Row],[FnBsmt]]+Inventory[[#This Row],[AddFn]]</f>
        <v>2094</v>
      </c>
      <c r="Z672" s="27">
        <v>2500</v>
      </c>
      <c r="AA672" s="25">
        <v>8</v>
      </c>
      <c r="AB672" s="25">
        <v>338</v>
      </c>
      <c r="AC672" s="27"/>
      <c r="AD672" s="27"/>
      <c r="AE672" s="27"/>
      <c r="AF672" s="27"/>
      <c r="AG672" s="27"/>
      <c r="AH672" s="27"/>
      <c r="AI672" s="25">
        <v>370785</v>
      </c>
      <c r="AJ672" s="25">
        <v>259550</v>
      </c>
      <c r="AK672" s="25">
        <v>0</v>
      </c>
      <c r="AL672" s="25">
        <v>352900</v>
      </c>
      <c r="AM672" s="25">
        <v>74800</v>
      </c>
      <c r="AN672" s="25">
        <v>278100</v>
      </c>
      <c r="AO672" s="25">
        <v>0</v>
      </c>
      <c r="AP672" s="25">
        <f>Lookups!$B$56*0</f>
        <v>0</v>
      </c>
      <c r="AQ672" s="25">
        <f>Lookups!$B$56*1</f>
        <v>89850.625589999996</v>
      </c>
      <c r="AR672" s="25">
        <f>Lookups!$B$57*Inventory[[#This Row],[LnAcres]]</f>
        <v>-36068.354396449467</v>
      </c>
      <c r="AS672" s="25">
        <f>VLOOKUP(Inventory[[#This Row],[Qlty]],Lookups!$A$62:$E$75,2,FALSE)</f>
        <v>29814.093161000001</v>
      </c>
      <c r="AT672" s="25">
        <f>VLOOKUP(Inventory[[#This Row],[Cnd]],Lookups!$A$76:$E$84,2,FALSE)</f>
        <v>160472.20319</v>
      </c>
      <c r="AU672" s="25">
        <f>Inventory[[#This Row],[EffAge]]*Lookups!$B$85</f>
        <v>-11152.280025</v>
      </c>
      <c r="AV672" s="25">
        <f>Inventory[[#This Row],[MainFn]]*Lookups!$B$86</f>
        <v>60871.481288464005</v>
      </c>
      <c r="AW672" s="25">
        <f>Inventory[[#This Row],[UpprFn]]*Lookups!$B$87</f>
        <v>0</v>
      </c>
      <c r="AX672" s="25">
        <f>Inventory[[#This Row],[AddFn]]*Lookups!$B$88</f>
        <v>0</v>
      </c>
      <c r="AY672" s="25">
        <f>Inventory[[#This Row],[Bsmt]]*Lookups!$B$89</f>
        <v>35828.894944303996</v>
      </c>
      <c r="AZ672" s="25">
        <f>Inventory[[#This Row],[Fixtures]]*Lookups!$B$90</f>
        <v>30336.176841600001</v>
      </c>
      <c r="BA672" s="25">
        <f>Inventory[[#This Row],[WdDeck]]*Lookups!$B$91</f>
        <v>0</v>
      </c>
      <c r="BB672" s="25">
        <f>ROUND(Inventory[[#This Row],[25Det]],-2)</f>
        <v>0</v>
      </c>
      <c r="BC672" s="25">
        <f>ROUND(SUM(Inventory[[#This Row],[Mdl Qlty]:[Mdl WdDeck]])+Inventory[[#This Row],[Mdl Res Intercept]],-2)</f>
        <v>306200</v>
      </c>
      <c r="BD672" s="25">
        <f>ROUND(Inventory[[#This Row],[Mdl Land Intercept]]+Inventory[[#This Row],[Mdl LnAcres]],-2)</f>
        <v>53800</v>
      </c>
      <c r="BE672" s="25">
        <f>Inventory[[#This Row],[Unadj Res Value]]+Inventory[[#This Row],[Unadj Det Value]]+Inventory[[#This Row],[Unadj Land Value]]</f>
        <v>360000</v>
      </c>
      <c r="BF672" s="36">
        <f>(Inventory[[#This Row],[Unadj Total Value]]-Inventory[[#This Row],[24Final]])/Inventory[[#This Row],[24Final]]</f>
        <v>2.0119013884953244E-2</v>
      </c>
      <c r="BG672" s="25">
        <f>VLOOKUP(Inventory[[#This Row],[Nbhd]],Lookups!$Q$2:$T$4,4,FALSE)</f>
        <v>0.99970000000000003</v>
      </c>
      <c r="BH672" s="25">
        <f>VLOOKUP(Inventory[[#This Row],[Qlty]],Lookups!$O$7:$R$21,4,FALSE)</f>
        <v>1.0088999999999999</v>
      </c>
      <c r="BI672" s="25">
        <f>VLOOKUP(Inventory[[#This Row],[Cnd]],Lookups!$T$7:$W$16,4,FALSE)</f>
        <v>0.99729999999999996</v>
      </c>
      <c r="BJ672" s="25">
        <f>VLOOKUP(Inventory[[#This Row],[LivArea Range]],Lookups!$T$25:$W$37,4,FALSE)</f>
        <v>0.98919999999999997</v>
      </c>
      <c r="BK672" s="25">
        <f>VLOOKUP(Inventory[[#This Row],[Decade]],Lookups!$O$25:$R$42,4,FALSE)</f>
        <v>1.0199</v>
      </c>
      <c r="BL672" s="25">
        <f>Inventory[[#This Row],[Nbhd Adj]]*0.95</f>
        <v>0.94971499999999998</v>
      </c>
      <c r="BM672" s="25">
        <f>Inventory[[#This Row],[Nbhd Adj]]*Inventory[[#This Row],[Quality Adj]]*Inventory[[#This Row],[Condition Adj]]*Inventory[[#This Row],[Living Area Adj]]*Inventory[[#This Row],[Decade Adj]]*0.95</f>
        <v>0.96407081974981479</v>
      </c>
      <c r="BN672" s="25">
        <f>ROUND(SUM(Inventory[[#This Row],[Mdl Qlty]:[Mdl WdDeck]])+Inventory[[#This Row],[Mdl Res Intercept]]*Inventory[[#This Row],[Res Adj ]],-2)</f>
        <v>306200</v>
      </c>
      <c r="BO672" s="25">
        <f>ROUND(Inventory[[#This Row],[25Det]]*Inventory[[#This Row],[Det/Nbhd Adj]],-2)</f>
        <v>0</v>
      </c>
      <c r="BP672" s="25">
        <f>Inventory[[#This Row],[Adjusted Res]]+Inventory[[#This Row],[Adj Det ]]</f>
        <v>306200</v>
      </c>
      <c r="BQ672" s="25">
        <f>ROUND((Inventory[[#This Row],[Mdl Land Intercept]]+Inventory[[#This Row],[Mdl LnAcres]])*Inventory[[#This Row],[Det/Nbhd Adj]],-2)</f>
        <v>51100</v>
      </c>
      <c r="BR672" s="25">
        <f>Inventory[[#This Row],[Adjusted Impr Total]]+Inventory[[#This Row],[Adjusted Land Total]]</f>
        <v>357300</v>
      </c>
      <c r="BS672" s="36">
        <f>IFERROR((Inventory[[#This Row],[Adjusted Impr Total]]-Inventory[[#This Row],[24Bldg]])/Inventory[[#This Row],[24Bldg]],0)</f>
        <v>0.10104279036317872</v>
      </c>
      <c r="BT672" s="36">
        <f>(Inventory[[#This Row],[Adjusted Land Total]]-Inventory[[#This Row],[24Lnd]])/Inventory[[#This Row],[24Lnd]]</f>
        <v>-0.31684491978609625</v>
      </c>
      <c r="BU672" s="36">
        <f>(Inventory[[#This Row],[Adjusted Total]]-Inventory[[#This Row],[24Final]])/Inventory[[#This Row],[24Final]]</f>
        <v>1.2468121280816095E-2</v>
      </c>
    </row>
    <row r="673" spans="1:73" x14ac:dyDescent="0.3">
      <c r="A673" s="25">
        <v>2025</v>
      </c>
      <c r="B673" s="26" t="s">
        <v>2300</v>
      </c>
      <c r="C673" s="26">
        <f>LN(Inventory[[#This Row],[Acres]])</f>
        <v>-1.4696759700589417</v>
      </c>
      <c r="D673" s="25">
        <v>0.23</v>
      </c>
      <c r="E673" s="25">
        <v>10000</v>
      </c>
      <c r="F673" s="26" t="s">
        <v>537</v>
      </c>
      <c r="G673" s="26" t="s">
        <v>126</v>
      </c>
      <c r="H673" s="26" t="s">
        <v>349</v>
      </c>
      <c r="I673" s="26" t="s">
        <v>538</v>
      </c>
      <c r="J673" s="26" t="s">
        <v>539</v>
      </c>
      <c r="K673" s="26" t="s">
        <v>241</v>
      </c>
      <c r="L673" s="26" t="s">
        <v>302</v>
      </c>
      <c r="M673" s="26" t="s">
        <v>303</v>
      </c>
      <c r="N673" s="26">
        <v>70</v>
      </c>
      <c r="O673" s="26">
        <f>2024-Inventory[[#This Row],[YrBlt]]</f>
        <v>69</v>
      </c>
      <c r="P673" s="26">
        <f>2024-Inventory[[#This Row],[EffYr]]</f>
        <v>50</v>
      </c>
      <c r="Q673" s="25">
        <v>1955</v>
      </c>
      <c r="R673" s="25">
        <v>1974</v>
      </c>
      <c r="S673" s="25">
        <v>1404</v>
      </c>
      <c r="T673" s="27"/>
      <c r="U673" s="25">
        <v>1404</v>
      </c>
      <c r="V673" s="25">
        <f>Inventory[[#This Row],[Bsmt]]-Inventory[[#This Row],[FnBsmt]]</f>
        <v>0</v>
      </c>
      <c r="W673" s="25">
        <v>1404</v>
      </c>
      <c r="X673" s="27"/>
      <c r="Y673" s="27">
        <f>Inventory[[#This Row],[MainFn]]+Inventory[[#This Row],[UpprFn]]+Inventory[[#This Row],[FnBsmt]]+Inventory[[#This Row],[AddFn]]</f>
        <v>2808</v>
      </c>
      <c r="Z673" s="27">
        <v>3000</v>
      </c>
      <c r="AA673" s="25">
        <v>9</v>
      </c>
      <c r="AB673" s="32">
        <v>442</v>
      </c>
      <c r="AC673" s="31"/>
      <c r="AD673" s="27"/>
      <c r="AE673" s="27"/>
      <c r="AF673" s="27"/>
      <c r="AG673" s="27"/>
      <c r="AH673" s="27"/>
      <c r="AI673" s="25">
        <v>438205</v>
      </c>
      <c r="AJ673" s="25">
        <v>315508</v>
      </c>
      <c r="AK673" s="25">
        <v>0</v>
      </c>
      <c r="AL673" s="25">
        <v>397000</v>
      </c>
      <c r="AM673" s="25">
        <v>63300</v>
      </c>
      <c r="AN673" s="25">
        <v>333700</v>
      </c>
      <c r="AO673" s="25">
        <v>0</v>
      </c>
      <c r="AP673" s="25">
        <f>Lookups!$B$56*0</f>
        <v>0</v>
      </c>
      <c r="AQ673" s="25">
        <f>Lookups!$B$56*1</f>
        <v>89850.625589999996</v>
      </c>
      <c r="AR673" s="25">
        <f>Lookups!$B$57*Inventory[[#This Row],[LnAcres]]</f>
        <v>-46522.028095997222</v>
      </c>
      <c r="AS673" s="25">
        <f>VLOOKUP(Inventory[[#This Row],[Qlty]],Lookups!$A$62:$E$75,2,FALSE)</f>
        <v>29814.093161000001</v>
      </c>
      <c r="AT673" s="25">
        <f>VLOOKUP(Inventory[[#This Row],[Cnd]],Lookups!$A$76:$E$84,2,FALSE)</f>
        <v>197752.34721000001</v>
      </c>
      <c r="AU673" s="25">
        <f>Inventory[[#This Row],[EffAge]]*Lookups!$B$85</f>
        <v>-11152.280025</v>
      </c>
      <c r="AV673" s="25">
        <f>Inventory[[#This Row],[MainFn]]*Lookups!$B$86</f>
        <v>69369.772507308007</v>
      </c>
      <c r="AW673" s="25">
        <f>Inventory[[#This Row],[UpprFn]]*Lookups!$B$87</f>
        <v>0</v>
      </c>
      <c r="AX673" s="25">
        <f>Inventory[[#This Row],[AddFn]]*Lookups!$B$88</f>
        <v>0</v>
      </c>
      <c r="AY673" s="25">
        <f>Inventory[[#This Row],[Bsmt]]*Lookups!$B$89</f>
        <v>40830.980926787997</v>
      </c>
      <c r="AZ673" s="25">
        <f>Inventory[[#This Row],[Fixtures]]*Lookups!$B$90</f>
        <v>34128.198946800003</v>
      </c>
      <c r="BA673" s="25">
        <f>Inventory[[#This Row],[WdDeck]]*Lookups!$B$91</f>
        <v>0</v>
      </c>
      <c r="BB673" s="25">
        <f>ROUND(Inventory[[#This Row],[25Det]],-2)</f>
        <v>0</v>
      </c>
      <c r="BC673" s="25">
        <f>ROUND(SUM(Inventory[[#This Row],[Mdl Qlty]:[Mdl WdDeck]])+Inventory[[#This Row],[Mdl Res Intercept]],-2)</f>
        <v>360700</v>
      </c>
      <c r="BD673" s="25">
        <f>ROUND(Inventory[[#This Row],[Mdl Land Intercept]]+Inventory[[#This Row],[Mdl LnAcres]],-2)</f>
        <v>43300</v>
      </c>
      <c r="BE673" s="25">
        <f>Inventory[[#This Row],[Unadj Res Value]]+Inventory[[#This Row],[Unadj Det Value]]+Inventory[[#This Row],[Unadj Land Value]]</f>
        <v>404000</v>
      </c>
      <c r="BF673" s="36">
        <f>(Inventory[[#This Row],[Unadj Total Value]]-Inventory[[#This Row],[24Final]])/Inventory[[#This Row],[24Final]]</f>
        <v>1.7632241813602016E-2</v>
      </c>
      <c r="BG673" s="25">
        <f>VLOOKUP(Inventory[[#This Row],[Nbhd]],Lookups!$Q$2:$T$4,4,FALSE)</f>
        <v>0.99970000000000003</v>
      </c>
      <c r="BH673" s="25">
        <f>VLOOKUP(Inventory[[#This Row],[Qlty]],Lookups!$O$7:$R$21,4,FALSE)</f>
        <v>1.0088999999999999</v>
      </c>
      <c r="BI673" s="25">
        <f>VLOOKUP(Inventory[[#This Row],[Cnd]],Lookups!$T$7:$W$16,4,FALSE)</f>
        <v>0.99650000000000005</v>
      </c>
      <c r="BJ673" s="25">
        <f>VLOOKUP(Inventory[[#This Row],[LivArea Range]],Lookups!$T$25:$W$37,4,FALSE)</f>
        <v>0.96179999999999999</v>
      </c>
      <c r="BK673" s="25">
        <f>VLOOKUP(Inventory[[#This Row],[Decade]],Lookups!$O$25:$R$42,4,FALSE)</f>
        <v>1.0199</v>
      </c>
      <c r="BL673" s="25">
        <f>Inventory[[#This Row],[Nbhd Adj]]*0.95</f>
        <v>0.94971499999999998</v>
      </c>
      <c r="BM673" s="25">
        <f>Inventory[[#This Row],[Nbhd Adj]]*Inventory[[#This Row],[Quality Adj]]*Inventory[[#This Row],[Condition Adj]]*Inventory[[#This Row],[Living Area Adj]]*Inventory[[#This Row],[Decade Adj]]*0.95</f>
        <v>0.93661495300843212</v>
      </c>
      <c r="BN673" s="25">
        <f>ROUND(SUM(Inventory[[#This Row],[Mdl Qlty]:[Mdl WdDeck]])+Inventory[[#This Row],[Mdl Res Intercept]]*Inventory[[#This Row],[Res Adj ]],-2)</f>
        <v>360700</v>
      </c>
      <c r="BO673" s="25">
        <f>ROUND(Inventory[[#This Row],[25Det]]*Inventory[[#This Row],[Det/Nbhd Adj]],-2)</f>
        <v>0</v>
      </c>
      <c r="BP673" s="25">
        <f>Inventory[[#This Row],[Adjusted Res]]+Inventory[[#This Row],[Adj Det ]]</f>
        <v>360700</v>
      </c>
      <c r="BQ673" s="25">
        <f>ROUND((Inventory[[#This Row],[Mdl Land Intercept]]+Inventory[[#This Row],[Mdl LnAcres]])*Inventory[[#This Row],[Det/Nbhd Adj]],-2)</f>
        <v>41100</v>
      </c>
      <c r="BR673" s="25">
        <f>Inventory[[#This Row],[Adjusted Impr Total]]+Inventory[[#This Row],[Adjusted Land Total]]</f>
        <v>401800</v>
      </c>
      <c r="BS673" s="36">
        <f>IFERROR((Inventory[[#This Row],[Adjusted Impr Total]]-Inventory[[#This Row],[24Bldg]])/Inventory[[#This Row],[24Bldg]],0)</f>
        <v>8.0910997902307463E-2</v>
      </c>
      <c r="BT673" s="36">
        <f>(Inventory[[#This Row],[Adjusted Land Total]]-Inventory[[#This Row],[24Lnd]])/Inventory[[#This Row],[24Lnd]]</f>
        <v>-0.35071090047393366</v>
      </c>
      <c r="BU673" s="36">
        <f>(Inventory[[#This Row],[Adjusted Total]]-Inventory[[#This Row],[24Final]])/Inventory[[#This Row],[24Final]]</f>
        <v>1.2090680100755667E-2</v>
      </c>
    </row>
    <row r="674" spans="1:73" x14ac:dyDescent="0.3">
      <c r="A674" s="25">
        <v>2025</v>
      </c>
      <c r="B674" s="26" t="s">
        <v>793</v>
      </c>
      <c r="C674" s="26">
        <f>LN(Inventory[[#This Row],[Acres]])</f>
        <v>-1.6607312068216509</v>
      </c>
      <c r="D674" s="25">
        <v>0.19</v>
      </c>
      <c r="E674" s="25">
        <v>8165</v>
      </c>
      <c r="F674" s="26" t="s">
        <v>537</v>
      </c>
      <c r="G674" s="26" t="s">
        <v>126</v>
      </c>
      <c r="H674" s="26" t="s">
        <v>349</v>
      </c>
      <c r="I674" s="26" t="s">
        <v>538</v>
      </c>
      <c r="J674" s="26" t="s">
        <v>539</v>
      </c>
      <c r="K674" s="26" t="s">
        <v>241</v>
      </c>
      <c r="L674" s="26" t="s">
        <v>148</v>
      </c>
      <c r="M674" s="26" t="s">
        <v>323</v>
      </c>
      <c r="N674" s="26">
        <v>70</v>
      </c>
      <c r="O674" s="26">
        <f>2024-Inventory[[#This Row],[YrBlt]]</f>
        <v>69</v>
      </c>
      <c r="P674" s="26">
        <f>2024-Inventory[[#This Row],[EffYr]]</f>
        <v>50</v>
      </c>
      <c r="Q674" s="25">
        <v>1955</v>
      </c>
      <c r="R674" s="25">
        <v>1974</v>
      </c>
      <c r="S674" s="25">
        <v>1160</v>
      </c>
      <c r="T674" s="27"/>
      <c r="U674" s="25">
        <v>1160</v>
      </c>
      <c r="V674" s="25">
        <f>Inventory[[#This Row],[Bsmt]]-Inventory[[#This Row],[FnBsmt]]</f>
        <v>0</v>
      </c>
      <c r="W674" s="25">
        <v>1160</v>
      </c>
      <c r="X674" s="27"/>
      <c r="Y674" s="27">
        <f>Inventory[[#This Row],[MainFn]]+Inventory[[#This Row],[UpprFn]]+Inventory[[#This Row],[FnBsmt]]+Inventory[[#This Row],[AddFn]]</f>
        <v>2320</v>
      </c>
      <c r="Z674" s="27">
        <v>2500</v>
      </c>
      <c r="AA674" s="25">
        <v>9</v>
      </c>
      <c r="AB674" s="32">
        <v>832</v>
      </c>
      <c r="AC674" s="31"/>
      <c r="AD674" s="27"/>
      <c r="AE674" s="27"/>
      <c r="AF674" s="27"/>
      <c r="AG674" s="27"/>
      <c r="AH674" s="27"/>
      <c r="AI674" s="25">
        <v>453236</v>
      </c>
      <c r="AJ674" s="25">
        <v>317265</v>
      </c>
      <c r="AK674" s="25">
        <v>0</v>
      </c>
      <c r="AL674" s="25">
        <v>350200</v>
      </c>
      <c r="AM674" s="25">
        <v>56600</v>
      </c>
      <c r="AN674" s="25">
        <v>293600</v>
      </c>
      <c r="AO674" s="25">
        <v>0</v>
      </c>
      <c r="AP674" s="25">
        <f>Lookups!$B$56*0</f>
        <v>0</v>
      </c>
      <c r="AQ674" s="25">
        <f>Lookups!$B$56*1</f>
        <v>89850.625589999996</v>
      </c>
      <c r="AR674" s="25">
        <f>Lookups!$B$57*Inventory[[#This Row],[LnAcres]]</f>
        <v>-52569.808201026557</v>
      </c>
      <c r="AS674" s="25">
        <f>VLOOKUP(Inventory[[#This Row],[Qlty]],Lookups!$A$62:$E$75,2,FALSE)</f>
        <v>44121.038090000002</v>
      </c>
      <c r="AT674" s="25">
        <f>VLOOKUP(Inventory[[#This Row],[Cnd]],Lookups!$A$76:$E$84,2,FALSE)</f>
        <v>160472.20319</v>
      </c>
      <c r="AU674" s="25">
        <f>Inventory[[#This Row],[EffAge]]*Lookups!$B$85</f>
        <v>-11152.280025</v>
      </c>
      <c r="AV674" s="25">
        <f>Inventory[[#This Row],[MainFn]]*Lookups!$B$86</f>
        <v>57314.057057320002</v>
      </c>
      <c r="AW674" s="25">
        <f>Inventory[[#This Row],[UpprFn]]*Lookups!$B$87</f>
        <v>0</v>
      </c>
      <c r="AX674" s="25">
        <f>Inventory[[#This Row],[AddFn]]*Lookups!$B$88</f>
        <v>0</v>
      </c>
      <c r="AY674" s="25">
        <f>Inventory[[#This Row],[Bsmt]]*Lookups!$B$89</f>
        <v>33734.998486519995</v>
      </c>
      <c r="AZ674" s="25">
        <f>Inventory[[#This Row],[Fixtures]]*Lookups!$B$90</f>
        <v>34128.198946800003</v>
      </c>
      <c r="BA674" s="25">
        <f>Inventory[[#This Row],[WdDeck]]*Lookups!$B$91</f>
        <v>0</v>
      </c>
      <c r="BB674" s="25">
        <f>ROUND(Inventory[[#This Row],[25Det]],-2)</f>
        <v>0</v>
      </c>
      <c r="BC674" s="25">
        <f>ROUND(SUM(Inventory[[#This Row],[Mdl Qlty]:[Mdl WdDeck]])+Inventory[[#This Row],[Mdl Res Intercept]],-2)</f>
        <v>318600</v>
      </c>
      <c r="BD674" s="25">
        <f>ROUND(Inventory[[#This Row],[Mdl Land Intercept]]+Inventory[[#This Row],[Mdl LnAcres]],-2)</f>
        <v>37300</v>
      </c>
      <c r="BE674" s="25">
        <f>Inventory[[#This Row],[Unadj Res Value]]+Inventory[[#This Row],[Unadj Det Value]]+Inventory[[#This Row],[Unadj Land Value]]</f>
        <v>355900</v>
      </c>
      <c r="BF674" s="36">
        <f>(Inventory[[#This Row],[Unadj Total Value]]-Inventory[[#This Row],[24Final]])/Inventory[[#This Row],[24Final]]</f>
        <v>1.6276413478012564E-2</v>
      </c>
      <c r="BG674" s="25">
        <f>VLOOKUP(Inventory[[#This Row],[Nbhd]],Lookups!$Q$2:$T$4,4,FALSE)</f>
        <v>0.99970000000000003</v>
      </c>
      <c r="BH674" s="25">
        <f>VLOOKUP(Inventory[[#This Row],[Qlty]],Lookups!$O$7:$R$21,4,FALSE)</f>
        <v>0.98050000000000004</v>
      </c>
      <c r="BI674" s="25">
        <f>VLOOKUP(Inventory[[#This Row],[Cnd]],Lookups!$T$7:$W$16,4,FALSE)</f>
        <v>0.99729999999999996</v>
      </c>
      <c r="BJ674" s="25">
        <f>VLOOKUP(Inventory[[#This Row],[LivArea Range]],Lookups!$T$25:$W$37,4,FALSE)</f>
        <v>0.98919999999999997</v>
      </c>
      <c r="BK674" s="25">
        <f>VLOOKUP(Inventory[[#This Row],[Decade]],Lookups!$O$25:$R$42,4,FALSE)</f>
        <v>1.0199</v>
      </c>
      <c r="BL674" s="25">
        <f>Inventory[[#This Row],[Nbhd Adj]]*0.95</f>
        <v>0.94971499999999998</v>
      </c>
      <c r="BM674" s="25">
        <f>Inventory[[#This Row],[Nbhd Adj]]*Inventory[[#This Row],[Quality Adj]]*Inventory[[#This Row],[Condition Adj]]*Inventory[[#This Row],[Living Area Adj]]*Inventory[[#This Row],[Decade Adj]]*0.95</f>
        <v>0.93693273740181715</v>
      </c>
      <c r="BN674" s="25">
        <f>ROUND(SUM(Inventory[[#This Row],[Mdl Qlty]:[Mdl WdDeck]])+Inventory[[#This Row],[Mdl Res Intercept]]*Inventory[[#This Row],[Res Adj ]],-2)</f>
        <v>318600</v>
      </c>
      <c r="BO674" s="25">
        <f>ROUND(Inventory[[#This Row],[25Det]]*Inventory[[#This Row],[Det/Nbhd Adj]],-2)</f>
        <v>0</v>
      </c>
      <c r="BP674" s="25">
        <f>Inventory[[#This Row],[Adjusted Res]]+Inventory[[#This Row],[Adj Det ]]</f>
        <v>318600</v>
      </c>
      <c r="BQ674" s="25">
        <f>ROUND((Inventory[[#This Row],[Mdl Land Intercept]]+Inventory[[#This Row],[Mdl LnAcres]])*Inventory[[#This Row],[Det/Nbhd Adj]],-2)</f>
        <v>35400</v>
      </c>
      <c r="BR674" s="25">
        <f>Inventory[[#This Row],[Adjusted Impr Total]]+Inventory[[#This Row],[Adjusted Land Total]]</f>
        <v>354000</v>
      </c>
      <c r="BS674" s="36">
        <f>IFERROR((Inventory[[#This Row],[Adjusted Impr Total]]-Inventory[[#This Row],[24Bldg]])/Inventory[[#This Row],[24Bldg]],0)</f>
        <v>8.5149863760217978E-2</v>
      </c>
      <c r="BT674" s="36">
        <f>(Inventory[[#This Row],[Adjusted Land Total]]-Inventory[[#This Row],[24Lnd]])/Inventory[[#This Row],[24Lnd]]</f>
        <v>-0.37455830388692579</v>
      </c>
      <c r="BU674" s="36">
        <f>(Inventory[[#This Row],[Adjusted Total]]-Inventory[[#This Row],[24Final]])/Inventory[[#This Row],[24Final]]</f>
        <v>1.0850942318675044E-2</v>
      </c>
    </row>
    <row r="675" spans="1:73" x14ac:dyDescent="0.3">
      <c r="A675" s="25">
        <v>2025</v>
      </c>
      <c r="B675" s="26" t="s">
        <v>854</v>
      </c>
      <c r="C675" s="26">
        <f>LN(Inventory[[#This Row],[Acres]])</f>
        <v>-3.2188758248682006</v>
      </c>
      <c r="D675" s="25">
        <v>0.04</v>
      </c>
      <c r="E675" s="25">
        <v>1733</v>
      </c>
      <c r="F675" s="26" t="s">
        <v>537</v>
      </c>
      <c r="G675" s="26" t="s">
        <v>126</v>
      </c>
      <c r="H675" s="26" t="s">
        <v>349</v>
      </c>
      <c r="I675" s="26" t="s">
        <v>538</v>
      </c>
      <c r="J675" s="26" t="s">
        <v>539</v>
      </c>
      <c r="K675" s="26" t="s">
        <v>242</v>
      </c>
      <c r="L675" s="26" t="s">
        <v>148</v>
      </c>
      <c r="M675" s="26" t="s">
        <v>323</v>
      </c>
      <c r="N675" s="26">
        <v>70</v>
      </c>
      <c r="O675" s="26">
        <f>2024-Inventory[[#This Row],[YrBlt]]</f>
        <v>69</v>
      </c>
      <c r="P675" s="26">
        <f>2024-Inventory[[#This Row],[EffYr]]</f>
        <v>50</v>
      </c>
      <c r="Q675" s="25">
        <v>1955</v>
      </c>
      <c r="R675" s="25">
        <v>1974</v>
      </c>
      <c r="S675" s="25">
        <v>874</v>
      </c>
      <c r="T675" s="31"/>
      <c r="U675" s="25">
        <v>874</v>
      </c>
      <c r="V675" s="32">
        <f>Inventory[[#This Row],[Bsmt]]-Inventory[[#This Row],[FnBsmt]]</f>
        <v>0</v>
      </c>
      <c r="W675" s="32">
        <v>874</v>
      </c>
      <c r="X675" s="27"/>
      <c r="Y675" s="27">
        <f>Inventory[[#This Row],[MainFn]]+Inventory[[#This Row],[UpprFn]]+Inventory[[#This Row],[FnBsmt]]+Inventory[[#This Row],[AddFn]]</f>
        <v>1748</v>
      </c>
      <c r="Z675" s="27">
        <v>2000</v>
      </c>
      <c r="AA675" s="25">
        <v>8</v>
      </c>
      <c r="AB675" s="27"/>
      <c r="AC675" s="27"/>
      <c r="AD675" s="31"/>
      <c r="AE675" s="27"/>
      <c r="AF675" s="27"/>
      <c r="AG675" s="27"/>
      <c r="AH675" s="27"/>
      <c r="AI675" s="25">
        <v>320236</v>
      </c>
      <c r="AJ675" s="25">
        <v>224165</v>
      </c>
      <c r="AK675" s="25">
        <v>0</v>
      </c>
      <c r="AL675" s="25">
        <v>278100</v>
      </c>
      <c r="AM675" s="25">
        <v>15000</v>
      </c>
      <c r="AN675" s="25">
        <v>263100</v>
      </c>
      <c r="AO675" s="25">
        <v>0</v>
      </c>
      <c r="AP675" s="25">
        <f>Lookups!$B$56*0</f>
        <v>0</v>
      </c>
      <c r="AQ675" s="25">
        <f>Lookups!$B$56*1</f>
        <v>89850.625589999996</v>
      </c>
      <c r="AR675" s="25">
        <f>Lookups!$B$57*Inventory[[#This Row],[LnAcres]]</f>
        <v>-101892.2773541973</v>
      </c>
      <c r="AS675" s="25">
        <f>VLOOKUP(Inventory[[#This Row],[Qlty]],Lookups!$A$62:$E$75,2,FALSE)</f>
        <v>44121.038090000002</v>
      </c>
      <c r="AT675" s="25">
        <f>VLOOKUP(Inventory[[#This Row],[Cnd]],Lookups!$A$76:$E$84,2,FALSE)</f>
        <v>160472.20319</v>
      </c>
      <c r="AU675" s="25">
        <f>Inventory[[#This Row],[EffAge]]*Lookups!$B$85</f>
        <v>-11152.280025</v>
      </c>
      <c r="AV675" s="25">
        <f>Inventory[[#This Row],[MainFn]]*Lookups!$B$86</f>
        <v>43183.177472497999</v>
      </c>
      <c r="AW675" s="25">
        <f>Inventory[[#This Row],[UpprFn]]*Lookups!$B$87</f>
        <v>0</v>
      </c>
      <c r="AX675" s="25">
        <f>Inventory[[#This Row],[AddFn]]*Lookups!$B$88</f>
        <v>0</v>
      </c>
      <c r="AY675" s="25">
        <f>Inventory[[#This Row],[Bsmt]]*Lookups!$B$89</f>
        <v>25417.576445878</v>
      </c>
      <c r="AZ675" s="25">
        <f>Inventory[[#This Row],[Fixtures]]*Lookups!$B$90</f>
        <v>30336.176841600001</v>
      </c>
      <c r="BA675" s="25">
        <f>Inventory[[#This Row],[WdDeck]]*Lookups!$B$91</f>
        <v>0</v>
      </c>
      <c r="BB675" s="25">
        <f>ROUND(Inventory[[#This Row],[25Det]],-2)</f>
        <v>0</v>
      </c>
      <c r="BC675" s="25">
        <f>ROUND(SUM(Inventory[[#This Row],[Mdl Qlty]:[Mdl WdDeck]])+Inventory[[#This Row],[Mdl Res Intercept]],-2)</f>
        <v>292400</v>
      </c>
      <c r="BD675" s="25">
        <f>ROUND(Inventory[[#This Row],[Mdl Land Intercept]]+Inventory[[#This Row],[Mdl LnAcres]],-2)</f>
        <v>-12000</v>
      </c>
      <c r="BE675" s="25">
        <f>Inventory[[#This Row],[Unadj Res Value]]+Inventory[[#This Row],[Unadj Det Value]]+Inventory[[#This Row],[Unadj Land Value]]</f>
        <v>280400</v>
      </c>
      <c r="BF675" s="36">
        <f>(Inventory[[#This Row],[Unadj Total Value]]-Inventory[[#This Row],[24Final]])/Inventory[[#This Row],[24Final]]</f>
        <v>8.2704063286587557E-3</v>
      </c>
      <c r="BG675" s="25">
        <f>VLOOKUP(Inventory[[#This Row],[Nbhd]],Lookups!$Q$2:$T$4,4,FALSE)</f>
        <v>0.99970000000000003</v>
      </c>
      <c r="BH675" s="25">
        <f>VLOOKUP(Inventory[[#This Row],[Qlty]],Lookups!$O$7:$R$21,4,FALSE)</f>
        <v>0.98050000000000004</v>
      </c>
      <c r="BI675" s="25">
        <f>VLOOKUP(Inventory[[#This Row],[Cnd]],Lookups!$T$7:$W$16,4,FALSE)</f>
        <v>0.99729999999999996</v>
      </c>
      <c r="BJ675" s="25">
        <f>VLOOKUP(Inventory[[#This Row],[LivArea Range]],Lookups!$T$25:$W$37,4,FALSE)</f>
        <v>1.0093000000000001</v>
      </c>
      <c r="BK675" s="25">
        <f>VLOOKUP(Inventory[[#This Row],[Decade]],Lookups!$O$25:$R$42,4,FALSE)</f>
        <v>1.0199</v>
      </c>
      <c r="BL675" s="25">
        <f>Inventory[[#This Row],[Nbhd Adj]]*0.95</f>
        <v>0.94971499999999998</v>
      </c>
      <c r="BM675" s="25">
        <f>Inventory[[#This Row],[Nbhd Adj]]*Inventory[[#This Row],[Quality Adj]]*Inventory[[#This Row],[Condition Adj]]*Inventory[[#This Row],[Living Area Adj]]*Inventory[[#This Row],[Decade Adj]]*0.95</f>
        <v>0.95597069536964641</v>
      </c>
      <c r="BN675" s="25">
        <f>ROUND(SUM(Inventory[[#This Row],[Mdl Qlty]:[Mdl WdDeck]])+Inventory[[#This Row],[Mdl Res Intercept]]*Inventory[[#This Row],[Res Adj ]],-2)</f>
        <v>292400</v>
      </c>
      <c r="BO675" s="25">
        <f>ROUND(Inventory[[#This Row],[25Det]]*Inventory[[#This Row],[Det/Nbhd Adj]],-2)</f>
        <v>0</v>
      </c>
      <c r="BP675" s="25">
        <f>Inventory[[#This Row],[Adjusted Res]]+Inventory[[#This Row],[Adj Det ]]</f>
        <v>292400</v>
      </c>
      <c r="BQ675" s="25">
        <f>ROUND((Inventory[[#This Row],[Mdl Land Intercept]]+Inventory[[#This Row],[Mdl LnAcres]])*Inventory[[#This Row],[Det/Nbhd Adj]],-2)</f>
        <v>-11400</v>
      </c>
      <c r="BR675" s="25">
        <f>Inventory[[#This Row],[Adjusted Impr Total]]+Inventory[[#This Row],[Adjusted Land Total]]</f>
        <v>281000</v>
      </c>
      <c r="BS675" s="36">
        <f>IFERROR((Inventory[[#This Row],[Adjusted Impr Total]]-Inventory[[#This Row],[24Bldg]])/Inventory[[#This Row],[24Bldg]],0)</f>
        <v>0.11136450019004181</v>
      </c>
      <c r="BT675" s="36">
        <f>(Inventory[[#This Row],[Adjusted Land Total]]-Inventory[[#This Row],[24Lnd]])/Inventory[[#This Row],[24Lnd]]</f>
        <v>-1.76</v>
      </c>
      <c r="BU675" s="36">
        <f>(Inventory[[#This Row],[Adjusted Total]]-Inventory[[#This Row],[24Final]])/Inventory[[#This Row],[24Final]]</f>
        <v>1.0427903631787127E-2</v>
      </c>
    </row>
    <row r="676" spans="1:73" x14ac:dyDescent="0.3">
      <c r="A676" s="25">
        <v>2025</v>
      </c>
      <c r="B676" s="26" t="s">
        <v>1019</v>
      </c>
      <c r="C676" s="26">
        <f>LN(Inventory[[#This Row],[Acres]])</f>
        <v>-1.5141277326297755</v>
      </c>
      <c r="D676" s="25">
        <v>0.22</v>
      </c>
      <c r="E676" s="25">
        <v>9768</v>
      </c>
      <c r="F676" s="26" t="s">
        <v>537</v>
      </c>
      <c r="G676" s="26" t="s">
        <v>126</v>
      </c>
      <c r="H676" s="26" t="s">
        <v>349</v>
      </c>
      <c r="I676" s="26" t="s">
        <v>538</v>
      </c>
      <c r="J676" s="26" t="s">
        <v>539</v>
      </c>
      <c r="K676" s="26" t="s">
        <v>241</v>
      </c>
      <c r="L676" s="26" t="s">
        <v>351</v>
      </c>
      <c r="M676" s="26" t="s">
        <v>323</v>
      </c>
      <c r="N676" s="26">
        <v>70</v>
      </c>
      <c r="O676" s="26">
        <f>2024-Inventory[[#This Row],[YrBlt]]</f>
        <v>69</v>
      </c>
      <c r="P676" s="26">
        <f>2024-Inventory[[#This Row],[EffYr]]</f>
        <v>50</v>
      </c>
      <c r="Q676" s="25">
        <v>1955</v>
      </c>
      <c r="R676" s="25">
        <v>1974</v>
      </c>
      <c r="S676" s="25">
        <v>1542</v>
      </c>
      <c r="T676" s="27"/>
      <c r="U676" s="32">
        <v>870</v>
      </c>
      <c r="V676" s="32">
        <f>Inventory[[#This Row],[Bsmt]]-Inventory[[#This Row],[FnBsmt]]</f>
        <v>0</v>
      </c>
      <c r="W676" s="32">
        <v>870</v>
      </c>
      <c r="X676" s="27"/>
      <c r="Y676" s="27">
        <f>Inventory[[#This Row],[MainFn]]+Inventory[[#This Row],[UpprFn]]+Inventory[[#This Row],[FnBsmt]]+Inventory[[#This Row],[AddFn]]</f>
        <v>2412</v>
      </c>
      <c r="Z676" s="27">
        <v>2500</v>
      </c>
      <c r="AA676" s="25">
        <v>8</v>
      </c>
      <c r="AB676" s="31"/>
      <c r="AC676" s="32">
        <v>672</v>
      </c>
      <c r="AD676" s="32">
        <v>60</v>
      </c>
      <c r="AE676" s="27"/>
      <c r="AF676" s="27"/>
      <c r="AG676" s="27"/>
      <c r="AH676" s="27"/>
      <c r="AI676" s="25">
        <v>351712</v>
      </c>
      <c r="AJ676" s="25">
        <v>246198</v>
      </c>
      <c r="AK676" s="25">
        <v>21713</v>
      </c>
      <c r="AL676" s="25">
        <v>362500</v>
      </c>
      <c r="AM676" s="25">
        <v>61700</v>
      </c>
      <c r="AN676" s="25">
        <v>300800</v>
      </c>
      <c r="AO676" s="25">
        <v>0</v>
      </c>
      <c r="AP676" s="25">
        <f>Lookups!$B$56*0</f>
        <v>0</v>
      </c>
      <c r="AQ676" s="25">
        <f>Lookups!$B$56*1</f>
        <v>89850.625589999996</v>
      </c>
      <c r="AR676" s="25">
        <f>Lookups!$B$57*Inventory[[#This Row],[LnAcres]]</f>
        <v>-47929.131559187132</v>
      </c>
      <c r="AS676" s="25">
        <f>VLOOKUP(Inventory[[#This Row],[Qlty]],Lookups!$A$62:$E$75,2,FALSE)</f>
        <v>21557.329055999999</v>
      </c>
      <c r="AT676" s="25">
        <f>VLOOKUP(Inventory[[#This Row],[Cnd]],Lookups!$A$76:$E$84,2,FALSE)</f>
        <v>160472.20319</v>
      </c>
      <c r="AU676" s="25">
        <f>Inventory[[#This Row],[EffAge]]*Lookups!$B$85</f>
        <v>-11152.280025</v>
      </c>
      <c r="AV676" s="25">
        <f>Inventory[[#This Row],[MainFn]]*Lookups!$B$86</f>
        <v>76188.168950334002</v>
      </c>
      <c r="AW676" s="25">
        <f>Inventory[[#This Row],[UpprFn]]*Lookups!$B$87</f>
        <v>0</v>
      </c>
      <c r="AX676" s="25">
        <f>Inventory[[#This Row],[AddFn]]*Lookups!$B$88</f>
        <v>0</v>
      </c>
      <c r="AY676" s="25">
        <f>Inventory[[#This Row],[Bsmt]]*Lookups!$B$89</f>
        <v>25301.24886489</v>
      </c>
      <c r="AZ676" s="25">
        <f>Inventory[[#This Row],[Fixtures]]*Lookups!$B$90</f>
        <v>30336.176841600001</v>
      </c>
      <c r="BA676" s="25">
        <f>Inventory[[#This Row],[WdDeck]]*Lookups!$B$91</f>
        <v>1997.7309165600002</v>
      </c>
      <c r="BB676" s="25">
        <f>ROUND(Inventory[[#This Row],[25Det]],-2)</f>
        <v>21700</v>
      </c>
      <c r="BC676" s="25">
        <f>ROUND(SUM(Inventory[[#This Row],[Mdl Qlty]:[Mdl WdDeck]])+Inventory[[#This Row],[Mdl Res Intercept]],-2)</f>
        <v>304700</v>
      </c>
      <c r="BD676" s="25">
        <f>ROUND(Inventory[[#This Row],[Mdl Land Intercept]]+Inventory[[#This Row],[Mdl LnAcres]],-2)</f>
        <v>41900</v>
      </c>
      <c r="BE676" s="25">
        <f>Inventory[[#This Row],[Unadj Res Value]]+Inventory[[#This Row],[Unadj Det Value]]+Inventory[[#This Row],[Unadj Land Value]]</f>
        <v>368300</v>
      </c>
      <c r="BF676" s="36">
        <f>(Inventory[[#This Row],[Unadj Total Value]]-Inventory[[#This Row],[24Final]])/Inventory[[#This Row],[24Final]]</f>
        <v>1.6E-2</v>
      </c>
      <c r="BG676" s="25">
        <f>VLOOKUP(Inventory[[#This Row],[Nbhd]],Lookups!$Q$2:$T$4,4,FALSE)</f>
        <v>0.99970000000000003</v>
      </c>
      <c r="BH676" s="25">
        <f>VLOOKUP(Inventory[[#This Row],[Qlty]],Lookups!$O$7:$R$21,4,FALSE)</f>
        <v>1.0067999999999999</v>
      </c>
      <c r="BI676" s="25">
        <f>VLOOKUP(Inventory[[#This Row],[Cnd]],Lookups!$T$7:$W$16,4,FALSE)</f>
        <v>0.99729999999999996</v>
      </c>
      <c r="BJ676" s="25">
        <f>VLOOKUP(Inventory[[#This Row],[LivArea Range]],Lookups!$T$25:$W$37,4,FALSE)</f>
        <v>0.98919999999999997</v>
      </c>
      <c r="BK676" s="25">
        <f>VLOOKUP(Inventory[[#This Row],[Decade]],Lookups!$O$25:$R$42,4,FALSE)</f>
        <v>1.0199</v>
      </c>
      <c r="BL676" s="25">
        <f>Inventory[[#This Row],[Nbhd Adj]]*0.95</f>
        <v>0.94971499999999998</v>
      </c>
      <c r="BM676" s="25">
        <f>Inventory[[#This Row],[Nbhd Adj]]*Inventory[[#This Row],[Quality Adj]]*Inventory[[#This Row],[Condition Adj]]*Inventory[[#This Row],[Living Area Adj]]*Inventory[[#This Row],[Decade Adj]]*0.95</f>
        <v>0.9620641305621106</v>
      </c>
      <c r="BN676" s="25">
        <f>ROUND(SUM(Inventory[[#This Row],[Mdl Qlty]:[Mdl WdDeck]])+Inventory[[#This Row],[Mdl Res Intercept]]*Inventory[[#This Row],[Res Adj ]],-2)</f>
        <v>304700</v>
      </c>
      <c r="BO676" s="25">
        <f>ROUND(Inventory[[#This Row],[25Det]]*Inventory[[#This Row],[Det/Nbhd Adj]],-2)</f>
        <v>20600</v>
      </c>
      <c r="BP676" s="25">
        <f>Inventory[[#This Row],[Adjusted Res]]+Inventory[[#This Row],[Adj Det ]]</f>
        <v>325300</v>
      </c>
      <c r="BQ676" s="25">
        <f>ROUND((Inventory[[#This Row],[Mdl Land Intercept]]+Inventory[[#This Row],[Mdl LnAcres]])*Inventory[[#This Row],[Det/Nbhd Adj]],-2)</f>
        <v>39800</v>
      </c>
      <c r="BR676" s="25">
        <f>Inventory[[#This Row],[Adjusted Impr Total]]+Inventory[[#This Row],[Adjusted Land Total]]</f>
        <v>365100</v>
      </c>
      <c r="BS676" s="36">
        <f>IFERROR((Inventory[[#This Row],[Adjusted Impr Total]]-Inventory[[#This Row],[24Bldg]])/Inventory[[#This Row],[24Bldg]],0)</f>
        <v>8.1449468085106377E-2</v>
      </c>
      <c r="BT676" s="36">
        <f>(Inventory[[#This Row],[Adjusted Land Total]]-Inventory[[#This Row],[24Lnd]])/Inventory[[#This Row],[24Lnd]]</f>
        <v>-0.35494327390599678</v>
      </c>
      <c r="BU676" s="36">
        <f>(Inventory[[#This Row],[Adjusted Total]]-Inventory[[#This Row],[24Final]])/Inventory[[#This Row],[24Final]]</f>
        <v>7.1724137931034482E-3</v>
      </c>
    </row>
    <row r="677" spans="1:73" x14ac:dyDescent="0.3">
      <c r="A677" s="25">
        <v>2025</v>
      </c>
      <c r="B677" s="26" t="s">
        <v>1732</v>
      </c>
      <c r="C677" s="26">
        <f>LN(Inventory[[#This Row],[Acres]])</f>
        <v>-1.6094379124341003</v>
      </c>
      <c r="D677" s="25">
        <v>0.2</v>
      </c>
      <c r="E677" s="31"/>
      <c r="F677" s="26" t="s">
        <v>537</v>
      </c>
      <c r="G677" s="26" t="s">
        <v>126</v>
      </c>
      <c r="H677" s="26" t="s">
        <v>349</v>
      </c>
      <c r="I677" s="26" t="s">
        <v>538</v>
      </c>
      <c r="J677" s="26" t="s">
        <v>539</v>
      </c>
      <c r="K677" s="26" t="s">
        <v>241</v>
      </c>
      <c r="L677" s="26" t="s">
        <v>351</v>
      </c>
      <c r="M677" s="26" t="s">
        <v>323</v>
      </c>
      <c r="N677" s="26">
        <v>70</v>
      </c>
      <c r="O677" s="26">
        <f>2024-Inventory[[#This Row],[YrBlt]]</f>
        <v>69</v>
      </c>
      <c r="P677" s="26">
        <f>2024-Inventory[[#This Row],[EffYr]]</f>
        <v>50</v>
      </c>
      <c r="Q677" s="25">
        <v>1955</v>
      </c>
      <c r="R677" s="25">
        <v>1974</v>
      </c>
      <c r="S677" s="25">
        <v>1054</v>
      </c>
      <c r="T677" s="31"/>
      <c r="U677" s="25">
        <v>1054</v>
      </c>
      <c r="V677" s="25">
        <f>Inventory[[#This Row],[Bsmt]]-Inventory[[#This Row],[FnBsmt]]</f>
        <v>0</v>
      </c>
      <c r="W677" s="25">
        <v>1054</v>
      </c>
      <c r="X677" s="27"/>
      <c r="Y677" s="27">
        <f>Inventory[[#This Row],[MainFn]]+Inventory[[#This Row],[UpprFn]]+Inventory[[#This Row],[FnBsmt]]+Inventory[[#This Row],[AddFn]]</f>
        <v>2108</v>
      </c>
      <c r="Z677" s="27">
        <v>2500</v>
      </c>
      <c r="AA677" s="25">
        <v>7</v>
      </c>
      <c r="AB677" s="25">
        <v>322</v>
      </c>
      <c r="AC677" s="27"/>
      <c r="AD677" s="27"/>
      <c r="AE677" s="27"/>
      <c r="AF677" s="27"/>
      <c r="AG677" s="27"/>
      <c r="AH677" s="27"/>
      <c r="AI677" s="25">
        <v>276753</v>
      </c>
      <c r="AJ677" s="25">
        <v>193727</v>
      </c>
      <c r="AK677" s="25">
        <v>0</v>
      </c>
      <c r="AL677" s="25">
        <v>315000</v>
      </c>
      <c r="AM677" s="25">
        <v>58400</v>
      </c>
      <c r="AN677" s="25">
        <v>256600</v>
      </c>
      <c r="AO677" s="25">
        <v>0</v>
      </c>
      <c r="AP677" s="25">
        <f>Lookups!$B$56*0</f>
        <v>0</v>
      </c>
      <c r="AQ677" s="25">
        <f>Lookups!$B$56*1</f>
        <v>89850.625589999996</v>
      </c>
      <c r="AR677" s="25">
        <f>Lookups!$B$57*Inventory[[#This Row],[LnAcres]]</f>
        <v>-50946.13867709865</v>
      </c>
      <c r="AS677" s="25">
        <f>VLOOKUP(Inventory[[#This Row],[Qlty]],Lookups!$A$62:$E$75,2,FALSE)</f>
        <v>21557.329055999999</v>
      </c>
      <c r="AT677" s="25">
        <f>VLOOKUP(Inventory[[#This Row],[Cnd]],Lookups!$A$76:$E$84,2,FALSE)</f>
        <v>160472.20319</v>
      </c>
      <c r="AU677" s="25">
        <f>Inventory[[#This Row],[EffAge]]*Lookups!$B$85</f>
        <v>-11152.280025</v>
      </c>
      <c r="AV677" s="25">
        <f>Inventory[[#This Row],[MainFn]]*Lookups!$B$86</f>
        <v>52076.738050357999</v>
      </c>
      <c r="AW677" s="25">
        <f>Inventory[[#This Row],[UpprFn]]*Lookups!$B$87</f>
        <v>0</v>
      </c>
      <c r="AX677" s="25">
        <f>Inventory[[#This Row],[AddFn]]*Lookups!$B$88</f>
        <v>0</v>
      </c>
      <c r="AY677" s="25">
        <f>Inventory[[#This Row],[Bsmt]]*Lookups!$B$89</f>
        <v>30652.317590338</v>
      </c>
      <c r="AZ677" s="25">
        <f>Inventory[[#This Row],[Fixtures]]*Lookups!$B$90</f>
        <v>26544.1547364</v>
      </c>
      <c r="BA677" s="25">
        <f>Inventory[[#This Row],[WdDeck]]*Lookups!$B$91</f>
        <v>0</v>
      </c>
      <c r="BB677" s="25">
        <f>ROUND(Inventory[[#This Row],[25Det]],-2)</f>
        <v>0</v>
      </c>
      <c r="BC677" s="25">
        <f>ROUND(SUM(Inventory[[#This Row],[Mdl Qlty]:[Mdl WdDeck]])+Inventory[[#This Row],[Mdl Res Intercept]],-2)</f>
        <v>280200</v>
      </c>
      <c r="BD677" s="25">
        <f>ROUND(Inventory[[#This Row],[Mdl Land Intercept]]+Inventory[[#This Row],[Mdl LnAcres]],-2)</f>
        <v>38900</v>
      </c>
      <c r="BE677" s="25">
        <f>Inventory[[#This Row],[Unadj Res Value]]+Inventory[[#This Row],[Unadj Det Value]]+Inventory[[#This Row],[Unadj Land Value]]</f>
        <v>319100</v>
      </c>
      <c r="BF677" s="36">
        <f>(Inventory[[#This Row],[Unadj Total Value]]-Inventory[[#This Row],[24Final]])/Inventory[[#This Row],[24Final]]</f>
        <v>1.3015873015873015E-2</v>
      </c>
      <c r="BG677" s="25">
        <f>VLOOKUP(Inventory[[#This Row],[Nbhd]],Lookups!$Q$2:$T$4,4,FALSE)</f>
        <v>0.99970000000000003</v>
      </c>
      <c r="BH677" s="25">
        <f>VLOOKUP(Inventory[[#This Row],[Qlty]],Lookups!$O$7:$R$21,4,FALSE)</f>
        <v>1.0067999999999999</v>
      </c>
      <c r="BI677" s="25">
        <f>VLOOKUP(Inventory[[#This Row],[Cnd]],Lookups!$T$7:$W$16,4,FALSE)</f>
        <v>0.99729999999999996</v>
      </c>
      <c r="BJ677" s="25">
        <f>VLOOKUP(Inventory[[#This Row],[LivArea Range]],Lookups!$T$25:$W$37,4,FALSE)</f>
        <v>0.98919999999999997</v>
      </c>
      <c r="BK677" s="25">
        <f>VLOOKUP(Inventory[[#This Row],[Decade]],Lookups!$O$25:$R$42,4,FALSE)</f>
        <v>1.0199</v>
      </c>
      <c r="BL677" s="25">
        <f>Inventory[[#This Row],[Nbhd Adj]]*0.95</f>
        <v>0.94971499999999998</v>
      </c>
      <c r="BM677" s="25">
        <f>Inventory[[#This Row],[Nbhd Adj]]*Inventory[[#This Row],[Quality Adj]]*Inventory[[#This Row],[Condition Adj]]*Inventory[[#This Row],[Living Area Adj]]*Inventory[[#This Row],[Decade Adj]]*0.95</f>
        <v>0.9620641305621106</v>
      </c>
      <c r="BN677" s="25">
        <f>ROUND(SUM(Inventory[[#This Row],[Mdl Qlty]:[Mdl WdDeck]])+Inventory[[#This Row],[Mdl Res Intercept]]*Inventory[[#This Row],[Res Adj ]],-2)</f>
        <v>280200</v>
      </c>
      <c r="BO677" s="25">
        <f>ROUND(Inventory[[#This Row],[25Det]]*Inventory[[#This Row],[Det/Nbhd Adj]],-2)</f>
        <v>0</v>
      </c>
      <c r="BP677" s="25">
        <f>Inventory[[#This Row],[Adjusted Res]]+Inventory[[#This Row],[Adj Det ]]</f>
        <v>280200</v>
      </c>
      <c r="BQ677" s="25">
        <f>ROUND((Inventory[[#This Row],[Mdl Land Intercept]]+Inventory[[#This Row],[Mdl LnAcres]])*Inventory[[#This Row],[Det/Nbhd Adj]],-2)</f>
        <v>36900</v>
      </c>
      <c r="BR677" s="25">
        <f>Inventory[[#This Row],[Adjusted Impr Total]]+Inventory[[#This Row],[Adjusted Land Total]]</f>
        <v>317100</v>
      </c>
      <c r="BS677" s="36">
        <f>IFERROR((Inventory[[#This Row],[Adjusted Impr Total]]-Inventory[[#This Row],[24Bldg]])/Inventory[[#This Row],[24Bldg]],0)</f>
        <v>9.1971940763834761E-2</v>
      </c>
      <c r="BT677" s="36">
        <f>(Inventory[[#This Row],[Adjusted Land Total]]-Inventory[[#This Row],[24Lnd]])/Inventory[[#This Row],[24Lnd]]</f>
        <v>-0.36815068493150682</v>
      </c>
      <c r="BU677" s="36">
        <f>(Inventory[[#This Row],[Adjusted Total]]-Inventory[[#This Row],[24Final]])/Inventory[[#This Row],[24Final]]</f>
        <v>6.6666666666666671E-3</v>
      </c>
    </row>
    <row r="678" spans="1:73" x14ac:dyDescent="0.3">
      <c r="A678" s="25">
        <v>2025</v>
      </c>
      <c r="B678" s="26" t="s">
        <v>2635</v>
      </c>
      <c r="C678" s="26">
        <f>LN(Inventory[[#This Row],[Acres]])</f>
        <v>-1.6094379124341003</v>
      </c>
      <c r="D678" s="25">
        <v>0.2</v>
      </c>
      <c r="E678" s="32">
        <v>8505</v>
      </c>
      <c r="F678" s="26" t="s">
        <v>537</v>
      </c>
      <c r="G678" s="26" t="s">
        <v>126</v>
      </c>
      <c r="H678" s="26" t="s">
        <v>349</v>
      </c>
      <c r="I678" s="26" t="s">
        <v>538</v>
      </c>
      <c r="J678" s="26" t="s">
        <v>539</v>
      </c>
      <c r="K678" s="26" t="s">
        <v>241</v>
      </c>
      <c r="L678" s="26" t="s">
        <v>148</v>
      </c>
      <c r="M678" s="26" t="s">
        <v>323</v>
      </c>
      <c r="N678" s="26">
        <v>70</v>
      </c>
      <c r="O678" s="26">
        <f>2024-Inventory[[#This Row],[YrBlt]]</f>
        <v>69</v>
      </c>
      <c r="P678" s="26">
        <f>2024-Inventory[[#This Row],[EffYr]]</f>
        <v>50</v>
      </c>
      <c r="Q678" s="25">
        <v>1955</v>
      </c>
      <c r="R678" s="25">
        <v>1974</v>
      </c>
      <c r="S678" s="25">
        <v>1888</v>
      </c>
      <c r="T678" s="27"/>
      <c r="U678" s="25">
        <v>1144</v>
      </c>
      <c r="V678" s="32">
        <f>Inventory[[#This Row],[Bsmt]]-Inventory[[#This Row],[FnBsmt]]</f>
        <v>0</v>
      </c>
      <c r="W678" s="32">
        <v>1144</v>
      </c>
      <c r="X678" s="27"/>
      <c r="Y678" s="27">
        <f>Inventory[[#This Row],[MainFn]]+Inventory[[#This Row],[UpprFn]]+Inventory[[#This Row],[FnBsmt]]+Inventory[[#This Row],[AddFn]]</f>
        <v>3032</v>
      </c>
      <c r="Z678" s="27">
        <v>3500</v>
      </c>
      <c r="AA678" s="25">
        <v>8</v>
      </c>
      <c r="AB678" s="31"/>
      <c r="AC678" s="32">
        <v>364</v>
      </c>
      <c r="AD678" s="27"/>
      <c r="AE678" s="27"/>
      <c r="AF678" s="27"/>
      <c r="AG678" s="27"/>
      <c r="AH678" s="27"/>
      <c r="AI678" s="25">
        <v>544868</v>
      </c>
      <c r="AJ678" s="25">
        <v>381408</v>
      </c>
      <c r="AK678" s="25">
        <v>0</v>
      </c>
      <c r="AL678" s="25">
        <v>385100</v>
      </c>
      <c r="AM678" s="25">
        <v>58400</v>
      </c>
      <c r="AN678" s="25">
        <v>326700</v>
      </c>
      <c r="AO678" s="25">
        <v>0</v>
      </c>
      <c r="AP678" s="25">
        <f>Lookups!$B$56*0</f>
        <v>0</v>
      </c>
      <c r="AQ678" s="25">
        <f>Lookups!$B$56*1</f>
        <v>89850.625589999996</v>
      </c>
      <c r="AR678" s="25">
        <f>Lookups!$B$57*Inventory[[#This Row],[LnAcres]]</f>
        <v>-50946.13867709865</v>
      </c>
      <c r="AS678" s="25">
        <f>VLOOKUP(Inventory[[#This Row],[Qlty]],Lookups!$A$62:$E$75,2,FALSE)</f>
        <v>44121.038090000002</v>
      </c>
      <c r="AT678" s="25">
        <f>VLOOKUP(Inventory[[#This Row],[Cnd]],Lookups!$A$76:$E$84,2,FALSE)</f>
        <v>160472.20319</v>
      </c>
      <c r="AU678" s="25">
        <f>Inventory[[#This Row],[EffAge]]*Lookups!$B$85</f>
        <v>-11152.280025</v>
      </c>
      <c r="AV678" s="25">
        <f>Inventory[[#This Row],[MainFn]]*Lookups!$B$86</f>
        <v>93283.568727776001</v>
      </c>
      <c r="AW678" s="25">
        <f>Inventory[[#This Row],[UpprFn]]*Lookups!$B$87</f>
        <v>0</v>
      </c>
      <c r="AX678" s="25">
        <f>Inventory[[#This Row],[AddFn]]*Lookups!$B$88</f>
        <v>0</v>
      </c>
      <c r="AY678" s="25">
        <f>Inventory[[#This Row],[Bsmt]]*Lookups!$B$89</f>
        <v>33269.688162567996</v>
      </c>
      <c r="AZ678" s="25">
        <f>Inventory[[#This Row],[Fixtures]]*Lookups!$B$90</f>
        <v>30336.176841600001</v>
      </c>
      <c r="BA678" s="25">
        <f>Inventory[[#This Row],[WdDeck]]*Lookups!$B$91</f>
        <v>0</v>
      </c>
      <c r="BB678" s="25">
        <f>ROUND(Inventory[[#This Row],[25Det]],-2)</f>
        <v>0</v>
      </c>
      <c r="BC678" s="25">
        <f>ROUND(SUM(Inventory[[#This Row],[Mdl Qlty]:[Mdl WdDeck]])+Inventory[[#This Row],[Mdl Res Intercept]],-2)</f>
        <v>350300</v>
      </c>
      <c r="BD678" s="25">
        <f>ROUND(Inventory[[#This Row],[Mdl Land Intercept]]+Inventory[[#This Row],[Mdl LnAcres]],-2)</f>
        <v>38900</v>
      </c>
      <c r="BE678" s="25">
        <f>Inventory[[#This Row],[Unadj Res Value]]+Inventory[[#This Row],[Unadj Det Value]]+Inventory[[#This Row],[Unadj Land Value]]</f>
        <v>389200</v>
      </c>
      <c r="BF678" s="36">
        <f>(Inventory[[#This Row],[Unadj Total Value]]-Inventory[[#This Row],[24Final]])/Inventory[[#This Row],[24Final]]</f>
        <v>1.0646585302518826E-2</v>
      </c>
      <c r="BG678" s="25">
        <f>VLOOKUP(Inventory[[#This Row],[Nbhd]],Lookups!$Q$2:$T$4,4,FALSE)</f>
        <v>0.99970000000000003</v>
      </c>
      <c r="BH678" s="25">
        <f>VLOOKUP(Inventory[[#This Row],[Qlty]],Lookups!$O$7:$R$21,4,FALSE)</f>
        <v>0.98050000000000004</v>
      </c>
      <c r="BI678" s="25">
        <f>VLOOKUP(Inventory[[#This Row],[Cnd]],Lookups!$T$7:$W$16,4,FALSE)</f>
        <v>0.99729999999999996</v>
      </c>
      <c r="BJ678" s="25">
        <f>VLOOKUP(Inventory[[#This Row],[LivArea Range]],Lookups!$T$25:$W$37,4,FALSE)</f>
        <v>1.0126999999999999</v>
      </c>
      <c r="BK678" s="25">
        <f>VLOOKUP(Inventory[[#This Row],[Decade]],Lookups!$O$25:$R$42,4,FALSE)</f>
        <v>1.0199</v>
      </c>
      <c r="BL678" s="25">
        <f>Inventory[[#This Row],[Nbhd Adj]]*0.95</f>
        <v>0.94971499999999998</v>
      </c>
      <c r="BM678" s="25">
        <f>Inventory[[#This Row],[Nbhd Adj]]*Inventory[[#This Row],[Quality Adj]]*Inventory[[#This Row],[Condition Adj]]*Inventory[[#This Row],[Living Area Adj]]*Inventory[[#This Row],[Decade Adj]]*0.95</f>
        <v>0.95919104646868192</v>
      </c>
      <c r="BN678" s="25">
        <f>ROUND(SUM(Inventory[[#This Row],[Mdl Qlty]:[Mdl WdDeck]])+Inventory[[#This Row],[Mdl Res Intercept]]*Inventory[[#This Row],[Res Adj ]],-2)</f>
        <v>350300</v>
      </c>
      <c r="BO678" s="25">
        <f>ROUND(Inventory[[#This Row],[25Det]]*Inventory[[#This Row],[Det/Nbhd Adj]],-2)</f>
        <v>0</v>
      </c>
      <c r="BP678" s="25">
        <f>Inventory[[#This Row],[Adjusted Res]]+Inventory[[#This Row],[Adj Det ]]</f>
        <v>350300</v>
      </c>
      <c r="BQ678" s="25">
        <f>ROUND((Inventory[[#This Row],[Mdl Land Intercept]]+Inventory[[#This Row],[Mdl LnAcres]])*Inventory[[#This Row],[Det/Nbhd Adj]],-2)</f>
        <v>36900</v>
      </c>
      <c r="BR678" s="25">
        <f>Inventory[[#This Row],[Adjusted Impr Total]]+Inventory[[#This Row],[Adjusted Land Total]]</f>
        <v>387200</v>
      </c>
      <c r="BS678" s="36">
        <f>IFERROR((Inventory[[#This Row],[Adjusted Impr Total]]-Inventory[[#This Row],[24Bldg]])/Inventory[[#This Row],[24Bldg]],0)</f>
        <v>7.2237526782981329E-2</v>
      </c>
      <c r="BT678" s="36">
        <f>(Inventory[[#This Row],[Adjusted Land Total]]-Inventory[[#This Row],[24Lnd]])/Inventory[[#This Row],[24Lnd]]</f>
        <v>-0.36815068493150682</v>
      </c>
      <c r="BU678" s="36">
        <f>(Inventory[[#This Row],[Adjusted Total]]-Inventory[[#This Row],[24Final]])/Inventory[[#This Row],[24Final]]</f>
        <v>5.4531290573876911E-3</v>
      </c>
    </row>
    <row r="679" spans="1:73" x14ac:dyDescent="0.3">
      <c r="A679" s="25">
        <v>2025</v>
      </c>
      <c r="B679" s="26" t="s">
        <v>2112</v>
      </c>
      <c r="C679" s="26">
        <f>LN(Inventory[[#This Row],[Acres]])</f>
        <v>-1.3093333199837622</v>
      </c>
      <c r="D679" s="25">
        <v>0.27</v>
      </c>
      <c r="E679" s="32">
        <v>11915</v>
      </c>
      <c r="F679" s="26" t="s">
        <v>537</v>
      </c>
      <c r="G679" s="26" t="s">
        <v>126</v>
      </c>
      <c r="H679" s="26" t="s">
        <v>349</v>
      </c>
      <c r="I679" s="26" t="s">
        <v>538</v>
      </c>
      <c r="J679" s="26" t="s">
        <v>539</v>
      </c>
      <c r="K679" s="26" t="s">
        <v>241</v>
      </c>
      <c r="L679" s="26" t="s">
        <v>302</v>
      </c>
      <c r="M679" s="26" t="s">
        <v>323</v>
      </c>
      <c r="N679" s="26">
        <v>70</v>
      </c>
      <c r="O679" s="26">
        <f>2024-Inventory[[#This Row],[YrBlt]]</f>
        <v>69</v>
      </c>
      <c r="P679" s="26">
        <f>2024-Inventory[[#This Row],[EffYr]]</f>
        <v>50</v>
      </c>
      <c r="Q679" s="25">
        <v>1955</v>
      </c>
      <c r="R679" s="25">
        <v>1974</v>
      </c>
      <c r="S679" s="25">
        <v>1603</v>
      </c>
      <c r="T679" s="31"/>
      <c r="U679" s="25">
        <v>1323</v>
      </c>
      <c r="V679" s="32">
        <f>Inventory[[#This Row],[Bsmt]]-Inventory[[#This Row],[FnBsmt]]</f>
        <v>245</v>
      </c>
      <c r="W679" s="32">
        <v>1078</v>
      </c>
      <c r="X679" s="27"/>
      <c r="Y679" s="27">
        <f>Inventory[[#This Row],[MainFn]]+Inventory[[#This Row],[UpprFn]]+Inventory[[#This Row],[FnBsmt]]+Inventory[[#This Row],[AddFn]]</f>
        <v>2681</v>
      </c>
      <c r="Z679" s="27">
        <v>3000</v>
      </c>
      <c r="AA679" s="25">
        <v>8</v>
      </c>
      <c r="AB679" s="32">
        <v>440</v>
      </c>
      <c r="AC679" s="27"/>
      <c r="AD679" s="27"/>
      <c r="AE679" s="27"/>
      <c r="AF679" s="27"/>
      <c r="AG679" s="27"/>
      <c r="AH679" s="27"/>
      <c r="AI679" s="25">
        <v>439781</v>
      </c>
      <c r="AJ679" s="25">
        <v>307847</v>
      </c>
      <c r="AK679" s="25">
        <v>22839</v>
      </c>
      <c r="AL679" s="25">
        <v>393100</v>
      </c>
      <c r="AM679" s="25">
        <v>68900</v>
      </c>
      <c r="AN679" s="25">
        <v>324200</v>
      </c>
      <c r="AO679" s="25">
        <v>0</v>
      </c>
      <c r="AP679" s="25">
        <f>Lookups!$B$56*0</f>
        <v>0</v>
      </c>
      <c r="AQ679" s="25">
        <f>Lookups!$B$56*1</f>
        <v>89850.625589999996</v>
      </c>
      <c r="AR679" s="25">
        <f>Lookups!$B$57*Inventory[[#This Row],[LnAcres]]</f>
        <v>-41446.443120973789</v>
      </c>
      <c r="AS679" s="25">
        <f>VLOOKUP(Inventory[[#This Row],[Qlty]],Lookups!$A$62:$E$75,2,FALSE)</f>
        <v>29814.093161000001</v>
      </c>
      <c r="AT679" s="25">
        <f>VLOOKUP(Inventory[[#This Row],[Cnd]],Lookups!$A$76:$E$84,2,FALSE)</f>
        <v>160472.20319</v>
      </c>
      <c r="AU679" s="25">
        <f>Inventory[[#This Row],[EffAge]]*Lookups!$B$85</f>
        <v>-11152.280025</v>
      </c>
      <c r="AV679" s="25">
        <f>Inventory[[#This Row],[MainFn]]*Lookups!$B$86</f>
        <v>79202.097812831009</v>
      </c>
      <c r="AW679" s="25">
        <f>Inventory[[#This Row],[UpprFn]]*Lookups!$B$87</f>
        <v>0</v>
      </c>
      <c r="AX679" s="25">
        <f>Inventory[[#This Row],[AddFn]]*Lookups!$B$88</f>
        <v>0</v>
      </c>
      <c r="AY679" s="25">
        <f>Inventory[[#This Row],[Bsmt]]*Lookups!$B$89</f>
        <v>38475.347411780996</v>
      </c>
      <c r="AZ679" s="25">
        <f>Inventory[[#This Row],[Fixtures]]*Lookups!$B$90</f>
        <v>30336.176841600001</v>
      </c>
      <c r="BA679" s="25">
        <f>Inventory[[#This Row],[WdDeck]]*Lookups!$B$91</f>
        <v>0</v>
      </c>
      <c r="BB679" s="25">
        <f>ROUND(Inventory[[#This Row],[25Det]],-2)</f>
        <v>22800</v>
      </c>
      <c r="BC679" s="25">
        <f>ROUND(SUM(Inventory[[#This Row],[Mdl Qlty]:[Mdl WdDeck]])+Inventory[[#This Row],[Mdl Res Intercept]],-2)</f>
        <v>327100</v>
      </c>
      <c r="BD679" s="25">
        <f>ROUND(Inventory[[#This Row],[Mdl Land Intercept]]+Inventory[[#This Row],[Mdl LnAcres]],-2)</f>
        <v>48400</v>
      </c>
      <c r="BE679" s="25">
        <f>Inventory[[#This Row],[Unadj Res Value]]+Inventory[[#This Row],[Unadj Det Value]]+Inventory[[#This Row],[Unadj Land Value]]</f>
        <v>398300</v>
      </c>
      <c r="BF679" s="36">
        <f>(Inventory[[#This Row],[Unadj Total Value]]-Inventory[[#This Row],[24Final]])/Inventory[[#This Row],[24Final]]</f>
        <v>1.3228186212159756E-2</v>
      </c>
      <c r="BG679" s="25">
        <f>VLOOKUP(Inventory[[#This Row],[Nbhd]],Lookups!$Q$2:$T$4,4,FALSE)</f>
        <v>0.99970000000000003</v>
      </c>
      <c r="BH679" s="25">
        <f>VLOOKUP(Inventory[[#This Row],[Qlty]],Lookups!$O$7:$R$21,4,FALSE)</f>
        <v>1.0088999999999999</v>
      </c>
      <c r="BI679" s="25">
        <f>VLOOKUP(Inventory[[#This Row],[Cnd]],Lookups!$T$7:$W$16,4,FALSE)</f>
        <v>0.99729999999999996</v>
      </c>
      <c r="BJ679" s="25">
        <f>VLOOKUP(Inventory[[#This Row],[LivArea Range]],Lookups!$T$25:$W$37,4,FALSE)</f>
        <v>0.96179999999999999</v>
      </c>
      <c r="BK679" s="25">
        <f>VLOOKUP(Inventory[[#This Row],[Decade]],Lookups!$O$25:$R$42,4,FALSE)</f>
        <v>1.0199</v>
      </c>
      <c r="BL679" s="25">
        <f>Inventory[[#This Row],[Nbhd Adj]]*0.95</f>
        <v>0.94971499999999998</v>
      </c>
      <c r="BM679" s="25">
        <f>Inventory[[#This Row],[Nbhd Adj]]*Inventory[[#This Row],[Quality Adj]]*Inventory[[#This Row],[Condition Adj]]*Inventory[[#This Row],[Living Area Adj]]*Inventory[[#This Row],[Decade Adj]]*0.95</f>
        <v>0.93736687670377261</v>
      </c>
      <c r="BN679" s="25">
        <f>ROUND(SUM(Inventory[[#This Row],[Mdl Qlty]:[Mdl WdDeck]])+Inventory[[#This Row],[Mdl Res Intercept]]*Inventory[[#This Row],[Res Adj ]],-2)</f>
        <v>327100</v>
      </c>
      <c r="BO679" s="25">
        <f>ROUND(Inventory[[#This Row],[25Det]]*Inventory[[#This Row],[Det/Nbhd Adj]],-2)</f>
        <v>21700</v>
      </c>
      <c r="BP679" s="25">
        <f>Inventory[[#This Row],[Adjusted Res]]+Inventory[[#This Row],[Adj Det ]]</f>
        <v>348800</v>
      </c>
      <c r="BQ679" s="25">
        <f>ROUND((Inventory[[#This Row],[Mdl Land Intercept]]+Inventory[[#This Row],[Mdl LnAcres]])*Inventory[[#This Row],[Det/Nbhd Adj]],-2)</f>
        <v>46000</v>
      </c>
      <c r="BR679" s="25">
        <f>Inventory[[#This Row],[Adjusted Impr Total]]+Inventory[[#This Row],[Adjusted Land Total]]</f>
        <v>394800</v>
      </c>
      <c r="BS679" s="36">
        <f>IFERROR((Inventory[[#This Row],[Adjusted Impr Total]]-Inventory[[#This Row],[24Bldg]])/Inventory[[#This Row],[24Bldg]],0)</f>
        <v>7.5879086983343613E-2</v>
      </c>
      <c r="BT679" s="36">
        <f>(Inventory[[#This Row],[Adjusted Land Total]]-Inventory[[#This Row],[24Lnd]])/Inventory[[#This Row],[24Lnd]]</f>
        <v>-0.33236574746008707</v>
      </c>
      <c r="BU679" s="36">
        <f>(Inventory[[#This Row],[Adjusted Total]]-Inventory[[#This Row],[24Final]])/Inventory[[#This Row],[24Final]]</f>
        <v>4.3245993385906895E-3</v>
      </c>
    </row>
    <row r="680" spans="1:73" x14ac:dyDescent="0.3">
      <c r="A680" s="25">
        <v>2025</v>
      </c>
      <c r="B680" s="26" t="s">
        <v>1736</v>
      </c>
      <c r="C680" s="26">
        <f>LN(Inventory[[#This Row],[Acres]])</f>
        <v>-1.5606477482646683</v>
      </c>
      <c r="D680" s="25">
        <v>0.21</v>
      </c>
      <c r="E680" s="27"/>
      <c r="F680" s="26" t="s">
        <v>537</v>
      </c>
      <c r="G680" s="26" t="s">
        <v>126</v>
      </c>
      <c r="H680" s="26" t="s">
        <v>349</v>
      </c>
      <c r="I680" s="26" t="s">
        <v>538</v>
      </c>
      <c r="J680" s="26" t="s">
        <v>539</v>
      </c>
      <c r="K680" s="26" t="s">
        <v>241</v>
      </c>
      <c r="L680" s="26" t="s">
        <v>205</v>
      </c>
      <c r="M680" s="26" t="s">
        <v>323</v>
      </c>
      <c r="N680" s="26">
        <v>70</v>
      </c>
      <c r="O680" s="26">
        <f>2024-Inventory[[#This Row],[YrBlt]]</f>
        <v>69</v>
      </c>
      <c r="P680" s="26">
        <f>2024-Inventory[[#This Row],[EffYr]]</f>
        <v>50</v>
      </c>
      <c r="Q680" s="25">
        <v>1955</v>
      </c>
      <c r="R680" s="25">
        <v>1974</v>
      </c>
      <c r="S680" s="25">
        <v>865</v>
      </c>
      <c r="T680" s="27"/>
      <c r="U680" s="31"/>
      <c r="V680" s="31">
        <f>Inventory[[#This Row],[Bsmt]]-Inventory[[#This Row],[FnBsmt]]</f>
        <v>0</v>
      </c>
      <c r="W680" s="31"/>
      <c r="X680" s="27"/>
      <c r="Y680" s="27">
        <f>Inventory[[#This Row],[MainFn]]+Inventory[[#This Row],[UpprFn]]+Inventory[[#This Row],[FnBsmt]]+Inventory[[#This Row],[AddFn]]</f>
        <v>865</v>
      </c>
      <c r="Z680" s="27">
        <v>1000</v>
      </c>
      <c r="AA680" s="25">
        <v>5</v>
      </c>
      <c r="AB680" s="32">
        <v>299</v>
      </c>
      <c r="AC680" s="27"/>
      <c r="AD680" s="27"/>
      <c r="AE680" s="27"/>
      <c r="AF680" s="27"/>
      <c r="AG680" s="27"/>
      <c r="AH680" s="27"/>
      <c r="AI680" s="25">
        <v>155316</v>
      </c>
      <c r="AJ680" s="25">
        <v>108721</v>
      </c>
      <c r="AK680" s="25">
        <v>0</v>
      </c>
      <c r="AL680" s="25">
        <v>249500</v>
      </c>
      <c r="AM680" s="25">
        <v>60100</v>
      </c>
      <c r="AN680" s="25">
        <v>189400</v>
      </c>
      <c r="AO680" s="25">
        <v>0</v>
      </c>
      <c r="AP680" s="25">
        <f>Lookups!$B$56*0</f>
        <v>0</v>
      </c>
      <c r="AQ680" s="25">
        <f>Lookups!$B$56*1</f>
        <v>89850.625589999996</v>
      </c>
      <c r="AR680" s="25">
        <f>Lookups!$B$57*Inventory[[#This Row],[LnAcres]]</f>
        <v>-49401.70477837498</v>
      </c>
      <c r="AS680" s="25">
        <f>VLOOKUP(Inventory[[#This Row],[Qlty]],Lookups!$A$62:$E$75,2,FALSE)</f>
        <v>0</v>
      </c>
      <c r="AT680" s="25">
        <f>VLOOKUP(Inventory[[#This Row],[Cnd]],Lookups!$A$76:$E$84,2,FALSE)</f>
        <v>160472.20319</v>
      </c>
      <c r="AU680" s="25">
        <f>Inventory[[#This Row],[EffAge]]*Lookups!$B$85</f>
        <v>-11152.280025</v>
      </c>
      <c r="AV680" s="25">
        <f>Inventory[[#This Row],[MainFn]]*Lookups!$B$86</f>
        <v>42738.499443605004</v>
      </c>
      <c r="AW680" s="25">
        <f>Inventory[[#This Row],[UpprFn]]*Lookups!$B$87</f>
        <v>0</v>
      </c>
      <c r="AX680" s="25">
        <f>Inventory[[#This Row],[AddFn]]*Lookups!$B$88</f>
        <v>0</v>
      </c>
      <c r="AY680" s="25">
        <f>Inventory[[#This Row],[Bsmt]]*Lookups!$B$89</f>
        <v>0</v>
      </c>
      <c r="AZ680" s="25">
        <f>Inventory[[#This Row],[Fixtures]]*Lookups!$B$90</f>
        <v>18960.110526</v>
      </c>
      <c r="BA680" s="25">
        <f>Inventory[[#This Row],[WdDeck]]*Lookups!$B$91</f>
        <v>0</v>
      </c>
      <c r="BB680" s="25">
        <f>ROUND(Inventory[[#This Row],[25Det]],-2)</f>
        <v>0</v>
      </c>
      <c r="BC680" s="25">
        <f>ROUND(SUM(Inventory[[#This Row],[Mdl Qlty]:[Mdl WdDeck]])+Inventory[[#This Row],[Mdl Res Intercept]],-2)</f>
        <v>211000</v>
      </c>
      <c r="BD680" s="25">
        <f>ROUND(Inventory[[#This Row],[Mdl Land Intercept]]+Inventory[[#This Row],[Mdl LnAcres]],-2)</f>
        <v>40400</v>
      </c>
      <c r="BE680" s="25">
        <f>Inventory[[#This Row],[Unadj Res Value]]+Inventory[[#This Row],[Unadj Det Value]]+Inventory[[#This Row],[Unadj Land Value]]</f>
        <v>251400</v>
      </c>
      <c r="BF680" s="36">
        <f>(Inventory[[#This Row],[Unadj Total Value]]-Inventory[[#This Row],[24Final]])/Inventory[[#This Row],[24Final]]</f>
        <v>7.6152304609218438E-3</v>
      </c>
      <c r="BG680" s="25">
        <f>VLOOKUP(Inventory[[#This Row],[Nbhd]],Lookups!$Q$2:$T$4,4,FALSE)</f>
        <v>0.99970000000000003</v>
      </c>
      <c r="BH680" s="25">
        <f>VLOOKUP(Inventory[[#This Row],[Qlty]],Lookups!$O$7:$R$21,4,FALSE)</f>
        <v>0.99180000000000001</v>
      </c>
      <c r="BI680" s="25">
        <f>VLOOKUP(Inventory[[#This Row],[Cnd]],Lookups!$T$7:$W$16,4,FALSE)</f>
        <v>0.99729999999999996</v>
      </c>
      <c r="BJ680" s="25">
        <f>VLOOKUP(Inventory[[#This Row],[LivArea Range]],Lookups!$T$25:$W$37,4,FALSE)</f>
        <v>1.0148999999999999</v>
      </c>
      <c r="BK680" s="25">
        <f>VLOOKUP(Inventory[[#This Row],[Decade]],Lookups!$O$25:$R$42,4,FALSE)</f>
        <v>1.0199</v>
      </c>
      <c r="BL680" s="25">
        <f>Inventory[[#This Row],[Nbhd Adj]]*0.95</f>
        <v>0.94971499999999998</v>
      </c>
      <c r="BM680" s="25">
        <f>Inventory[[#This Row],[Nbhd Adj]]*Inventory[[#This Row],[Quality Adj]]*Inventory[[#This Row],[Condition Adj]]*Inventory[[#This Row],[Living Area Adj]]*Inventory[[#This Row],[Decade Adj]]*0.95</f>
        <v>0.97235323781444771</v>
      </c>
      <c r="BN680" s="25">
        <f>ROUND(SUM(Inventory[[#This Row],[Mdl Qlty]:[Mdl WdDeck]])+Inventory[[#This Row],[Mdl Res Intercept]]*Inventory[[#This Row],[Res Adj ]],-2)</f>
        <v>211000</v>
      </c>
      <c r="BO680" s="25">
        <f>ROUND(Inventory[[#This Row],[25Det]]*Inventory[[#This Row],[Det/Nbhd Adj]],-2)</f>
        <v>0</v>
      </c>
      <c r="BP680" s="25">
        <f>Inventory[[#This Row],[Adjusted Res]]+Inventory[[#This Row],[Adj Det ]]</f>
        <v>211000</v>
      </c>
      <c r="BQ680" s="25">
        <f>ROUND((Inventory[[#This Row],[Mdl Land Intercept]]+Inventory[[#This Row],[Mdl LnAcres]])*Inventory[[#This Row],[Det/Nbhd Adj]],-2)</f>
        <v>38400</v>
      </c>
      <c r="BR680" s="25">
        <f>Inventory[[#This Row],[Adjusted Impr Total]]+Inventory[[#This Row],[Adjusted Land Total]]</f>
        <v>249400</v>
      </c>
      <c r="BS680" s="36">
        <f>IFERROR((Inventory[[#This Row],[Adjusted Impr Total]]-Inventory[[#This Row],[24Bldg]])/Inventory[[#This Row],[24Bldg]],0)</f>
        <v>0.11404435058078141</v>
      </c>
      <c r="BT680" s="36">
        <f>(Inventory[[#This Row],[Adjusted Land Total]]-Inventory[[#This Row],[24Lnd]])/Inventory[[#This Row],[24Lnd]]</f>
        <v>-0.36106489184692181</v>
      </c>
      <c r="BU680" s="36">
        <f>(Inventory[[#This Row],[Adjusted Total]]-Inventory[[#This Row],[24Final]])/Inventory[[#This Row],[24Final]]</f>
        <v>-4.0080160320641282E-4</v>
      </c>
    </row>
    <row r="681" spans="1:73" x14ac:dyDescent="0.3">
      <c r="A681" s="25">
        <v>2025</v>
      </c>
      <c r="B681" s="26" t="s">
        <v>1001</v>
      </c>
      <c r="C681" s="26">
        <f>LN(Inventory[[#This Row],[Acres]])</f>
        <v>-0.11653381625595151</v>
      </c>
      <c r="D681" s="25">
        <v>0.89</v>
      </c>
      <c r="E681" s="32">
        <v>38692</v>
      </c>
      <c r="F681" s="26" t="s">
        <v>537</v>
      </c>
      <c r="G681" s="26" t="s">
        <v>126</v>
      </c>
      <c r="H681" s="26" t="s">
        <v>349</v>
      </c>
      <c r="I681" s="26" t="s">
        <v>538</v>
      </c>
      <c r="J681" s="26" t="s">
        <v>539</v>
      </c>
      <c r="K681" s="26" t="s">
        <v>300</v>
      </c>
      <c r="L681" s="26" t="s">
        <v>302</v>
      </c>
      <c r="M681" s="26" t="s">
        <v>323</v>
      </c>
      <c r="N681" s="26">
        <v>70</v>
      </c>
      <c r="O681" s="26">
        <f>2024-Inventory[[#This Row],[YrBlt]]</f>
        <v>69</v>
      </c>
      <c r="P681" s="26">
        <f>2024-Inventory[[#This Row],[EffYr]]</f>
        <v>50</v>
      </c>
      <c r="Q681" s="25">
        <v>1955</v>
      </c>
      <c r="R681" s="25">
        <v>1974</v>
      </c>
      <c r="S681" s="25">
        <v>3046</v>
      </c>
      <c r="T681" s="27"/>
      <c r="U681" s="25">
        <v>200</v>
      </c>
      <c r="V681" s="25">
        <f>Inventory[[#This Row],[Bsmt]]-Inventory[[#This Row],[FnBsmt]]</f>
        <v>200</v>
      </c>
      <c r="W681" s="31"/>
      <c r="X681" s="27"/>
      <c r="Y681" s="27">
        <f>Inventory[[#This Row],[MainFn]]+Inventory[[#This Row],[UpprFn]]+Inventory[[#This Row],[FnBsmt]]+Inventory[[#This Row],[AddFn]]</f>
        <v>3046</v>
      </c>
      <c r="Z681" s="27">
        <v>3500</v>
      </c>
      <c r="AA681" s="25">
        <v>9</v>
      </c>
      <c r="AB681" s="25">
        <v>783</v>
      </c>
      <c r="AC681" s="27"/>
      <c r="AD681" s="27"/>
      <c r="AE681" s="27"/>
      <c r="AF681" s="27"/>
      <c r="AG681" s="27"/>
      <c r="AH681" s="27"/>
      <c r="AI681" s="25">
        <v>541100</v>
      </c>
      <c r="AJ681" s="25">
        <v>378770</v>
      </c>
      <c r="AK681" s="25">
        <v>0</v>
      </c>
      <c r="AL681" s="25">
        <v>451600</v>
      </c>
      <c r="AM681" s="25">
        <v>110500</v>
      </c>
      <c r="AN681" s="25">
        <v>341100</v>
      </c>
      <c r="AO681" s="25">
        <v>0</v>
      </c>
      <c r="AP681" s="25">
        <f>Lookups!$B$56*0</f>
        <v>0</v>
      </c>
      <c r="AQ681" s="25">
        <f>Lookups!$B$56*1</f>
        <v>89850.625589999996</v>
      </c>
      <c r="AR681" s="25">
        <f>Lookups!$B$57*Inventory[[#This Row],[LnAcres]]</f>
        <v>-3688.8331744144443</v>
      </c>
      <c r="AS681" s="25">
        <f>VLOOKUP(Inventory[[#This Row],[Qlty]],Lookups!$A$62:$E$75,2,FALSE)</f>
        <v>29814.093161000001</v>
      </c>
      <c r="AT681" s="25">
        <f>VLOOKUP(Inventory[[#This Row],[Cnd]],Lookups!$A$76:$E$84,2,FALSE)</f>
        <v>160472.20319</v>
      </c>
      <c r="AU681" s="25">
        <f>Inventory[[#This Row],[EffAge]]*Lookups!$B$85</f>
        <v>-11152.280025</v>
      </c>
      <c r="AV681" s="25">
        <f>Inventory[[#This Row],[MainFn]]*Lookups!$B$86</f>
        <v>150498.808445342</v>
      </c>
      <c r="AW681" s="25">
        <f>Inventory[[#This Row],[UpprFn]]*Lookups!$B$87</f>
        <v>0</v>
      </c>
      <c r="AX681" s="25">
        <f>Inventory[[#This Row],[AddFn]]*Lookups!$B$88</f>
        <v>0</v>
      </c>
      <c r="AY681" s="25">
        <f>Inventory[[#This Row],[Bsmt]]*Lookups!$B$89</f>
        <v>5816.3790493999995</v>
      </c>
      <c r="AZ681" s="25">
        <f>Inventory[[#This Row],[Fixtures]]*Lookups!$B$90</f>
        <v>34128.198946800003</v>
      </c>
      <c r="BA681" s="25">
        <f>Inventory[[#This Row],[WdDeck]]*Lookups!$B$91</f>
        <v>0</v>
      </c>
      <c r="BB681" s="25">
        <f>ROUND(Inventory[[#This Row],[25Det]],-2)</f>
        <v>0</v>
      </c>
      <c r="BC681" s="25">
        <f>ROUND(SUM(Inventory[[#This Row],[Mdl Qlty]:[Mdl WdDeck]])+Inventory[[#This Row],[Mdl Res Intercept]],-2)</f>
        <v>369600</v>
      </c>
      <c r="BD681" s="25">
        <f>ROUND(Inventory[[#This Row],[Mdl Land Intercept]]+Inventory[[#This Row],[Mdl LnAcres]],-2)</f>
        <v>86200</v>
      </c>
      <c r="BE681" s="25">
        <f>Inventory[[#This Row],[Unadj Res Value]]+Inventory[[#This Row],[Unadj Det Value]]+Inventory[[#This Row],[Unadj Land Value]]</f>
        <v>455800</v>
      </c>
      <c r="BF681" s="36">
        <f>(Inventory[[#This Row],[Unadj Total Value]]-Inventory[[#This Row],[24Final]])/Inventory[[#This Row],[24Final]]</f>
        <v>9.3002657218777679E-3</v>
      </c>
      <c r="BG681" s="25">
        <f>VLOOKUP(Inventory[[#This Row],[Nbhd]],Lookups!$Q$2:$T$4,4,FALSE)</f>
        <v>0.99970000000000003</v>
      </c>
      <c r="BH681" s="25">
        <f>VLOOKUP(Inventory[[#This Row],[Qlty]],Lookups!$O$7:$R$21,4,FALSE)</f>
        <v>1.0088999999999999</v>
      </c>
      <c r="BI681" s="25">
        <f>VLOOKUP(Inventory[[#This Row],[Cnd]],Lookups!$T$7:$W$16,4,FALSE)</f>
        <v>0.99729999999999996</v>
      </c>
      <c r="BJ681" s="25">
        <f>VLOOKUP(Inventory[[#This Row],[LivArea Range]],Lookups!$T$25:$W$37,4,FALSE)</f>
        <v>1.0126999999999999</v>
      </c>
      <c r="BK681" s="25">
        <f>VLOOKUP(Inventory[[#This Row],[Decade]],Lookups!$O$25:$R$42,4,FALSE)</f>
        <v>1.0199</v>
      </c>
      <c r="BL681" s="25">
        <f>Inventory[[#This Row],[Nbhd Adj]]*0.95</f>
        <v>0.94971499999999998</v>
      </c>
      <c r="BM681" s="25">
        <f>Inventory[[#This Row],[Nbhd Adj]]*Inventory[[#This Row],[Quality Adj]]*Inventory[[#This Row],[Condition Adj]]*Inventory[[#This Row],[Living Area Adj]]*Inventory[[#This Row],[Decade Adj]]*0.95</f>
        <v>0.9869738365958729</v>
      </c>
      <c r="BN681" s="25">
        <f>ROUND(SUM(Inventory[[#This Row],[Mdl Qlty]:[Mdl WdDeck]])+Inventory[[#This Row],[Mdl Res Intercept]]*Inventory[[#This Row],[Res Adj ]],-2)</f>
        <v>369600</v>
      </c>
      <c r="BO681" s="25">
        <f>ROUND(Inventory[[#This Row],[25Det]]*Inventory[[#This Row],[Det/Nbhd Adj]],-2)</f>
        <v>0</v>
      </c>
      <c r="BP681" s="25">
        <f>Inventory[[#This Row],[Adjusted Res]]+Inventory[[#This Row],[Adj Det ]]</f>
        <v>369600</v>
      </c>
      <c r="BQ681" s="25">
        <f>ROUND((Inventory[[#This Row],[Mdl Land Intercept]]+Inventory[[#This Row],[Mdl LnAcres]])*Inventory[[#This Row],[Det/Nbhd Adj]],-2)</f>
        <v>81800</v>
      </c>
      <c r="BR681" s="25">
        <f>Inventory[[#This Row],[Adjusted Impr Total]]+Inventory[[#This Row],[Adjusted Land Total]]</f>
        <v>451400</v>
      </c>
      <c r="BS681" s="36">
        <f>IFERROR((Inventory[[#This Row],[Adjusted Impr Total]]-Inventory[[#This Row],[24Bldg]])/Inventory[[#This Row],[24Bldg]],0)</f>
        <v>8.3553210202286718E-2</v>
      </c>
      <c r="BT681" s="36">
        <f>(Inventory[[#This Row],[Adjusted Land Total]]-Inventory[[#This Row],[24Lnd]])/Inventory[[#This Row],[24Lnd]]</f>
        <v>-0.25972850678733034</v>
      </c>
      <c r="BU681" s="36">
        <f>(Inventory[[#This Row],[Adjusted Total]]-Inventory[[#This Row],[24Final]])/Inventory[[#This Row],[24Final]]</f>
        <v>-4.4286979627989372E-4</v>
      </c>
    </row>
    <row r="682" spans="1:73" x14ac:dyDescent="0.3">
      <c r="A682" s="25">
        <v>2025</v>
      </c>
      <c r="B682" s="26" t="s">
        <v>909</v>
      </c>
      <c r="C682" s="26">
        <f>LN(Inventory[[#This Row],[Acres]])</f>
        <v>-1.4271163556401458</v>
      </c>
      <c r="D682" s="25">
        <v>0.24</v>
      </c>
      <c r="E682" s="25">
        <v>10413</v>
      </c>
      <c r="F682" s="26" t="s">
        <v>537</v>
      </c>
      <c r="G682" s="26" t="s">
        <v>126</v>
      </c>
      <c r="H682" s="26" t="s">
        <v>349</v>
      </c>
      <c r="I682" s="26" t="s">
        <v>538</v>
      </c>
      <c r="J682" s="26" t="s">
        <v>539</v>
      </c>
      <c r="K682" s="26" t="s">
        <v>241</v>
      </c>
      <c r="L682" s="26" t="s">
        <v>302</v>
      </c>
      <c r="M682" s="26" t="s">
        <v>323</v>
      </c>
      <c r="N682" s="26">
        <v>70</v>
      </c>
      <c r="O682" s="26">
        <f>2024-Inventory[[#This Row],[YrBlt]]</f>
        <v>69</v>
      </c>
      <c r="P682" s="26">
        <f>2024-Inventory[[#This Row],[EffYr]]</f>
        <v>50</v>
      </c>
      <c r="Q682" s="25">
        <v>1955</v>
      </c>
      <c r="R682" s="25">
        <v>1974</v>
      </c>
      <c r="S682" s="25">
        <v>1225</v>
      </c>
      <c r="T682" s="27"/>
      <c r="U682" s="25">
        <v>1225</v>
      </c>
      <c r="V682" s="25">
        <f>Inventory[[#This Row],[Bsmt]]-Inventory[[#This Row],[FnBsmt]]</f>
        <v>0</v>
      </c>
      <c r="W682" s="25">
        <v>1225</v>
      </c>
      <c r="X682" s="27"/>
      <c r="Y682" s="27">
        <f>Inventory[[#This Row],[MainFn]]+Inventory[[#This Row],[UpprFn]]+Inventory[[#This Row],[FnBsmt]]+Inventory[[#This Row],[AddFn]]</f>
        <v>2450</v>
      </c>
      <c r="Z682" s="27">
        <v>2500</v>
      </c>
      <c r="AA682" s="25">
        <v>8</v>
      </c>
      <c r="AB682" s="27"/>
      <c r="AC682" s="27"/>
      <c r="AD682" s="27"/>
      <c r="AE682" s="27"/>
      <c r="AF682" s="27"/>
      <c r="AG682" s="27"/>
      <c r="AH682" s="27"/>
      <c r="AI682" s="25">
        <v>352493</v>
      </c>
      <c r="AJ682" s="25">
        <v>246745</v>
      </c>
      <c r="AK682" s="25">
        <v>0</v>
      </c>
      <c r="AL682" s="25">
        <v>348300</v>
      </c>
      <c r="AM682" s="25">
        <v>64800</v>
      </c>
      <c r="AN682" s="25">
        <v>283500</v>
      </c>
      <c r="AO682" s="25">
        <v>0</v>
      </c>
      <c r="AP682" s="25">
        <f>Lookups!$B$56*0</f>
        <v>0</v>
      </c>
      <c r="AQ682" s="25">
        <f>Lookups!$B$56*1</f>
        <v>89850.625589999996</v>
      </c>
      <c r="AR682" s="25">
        <f>Lookups!$B$57*Inventory[[#This Row],[LnAcres]]</f>
        <v>-45174.819855485119</v>
      </c>
      <c r="AS682" s="25">
        <f>VLOOKUP(Inventory[[#This Row],[Qlty]],Lookups!$A$62:$E$75,2,FALSE)</f>
        <v>29814.093161000001</v>
      </c>
      <c r="AT682" s="25">
        <f>VLOOKUP(Inventory[[#This Row],[Cnd]],Lookups!$A$76:$E$84,2,FALSE)</f>
        <v>160472.20319</v>
      </c>
      <c r="AU682" s="25">
        <f>Inventory[[#This Row],[EffAge]]*Lookups!$B$85</f>
        <v>-11152.280025</v>
      </c>
      <c r="AV682" s="25">
        <f>Inventory[[#This Row],[MainFn]]*Lookups!$B$86</f>
        <v>60525.620599325004</v>
      </c>
      <c r="AW682" s="25">
        <f>Inventory[[#This Row],[UpprFn]]*Lookups!$B$87</f>
        <v>0</v>
      </c>
      <c r="AX682" s="25">
        <f>Inventory[[#This Row],[AddFn]]*Lookups!$B$88</f>
        <v>0</v>
      </c>
      <c r="AY682" s="25">
        <f>Inventory[[#This Row],[Bsmt]]*Lookups!$B$89</f>
        <v>35625.321677574997</v>
      </c>
      <c r="AZ682" s="25">
        <f>Inventory[[#This Row],[Fixtures]]*Lookups!$B$90</f>
        <v>30336.176841600001</v>
      </c>
      <c r="BA682" s="25">
        <f>Inventory[[#This Row],[WdDeck]]*Lookups!$B$91</f>
        <v>0</v>
      </c>
      <c r="BB682" s="25">
        <f>ROUND(Inventory[[#This Row],[25Det]],-2)</f>
        <v>0</v>
      </c>
      <c r="BC682" s="25">
        <f>ROUND(SUM(Inventory[[#This Row],[Mdl Qlty]:[Mdl WdDeck]])+Inventory[[#This Row],[Mdl Res Intercept]],-2)</f>
        <v>305600</v>
      </c>
      <c r="BD682" s="25">
        <f>ROUND(Inventory[[#This Row],[Mdl Land Intercept]]+Inventory[[#This Row],[Mdl LnAcres]],-2)</f>
        <v>44700</v>
      </c>
      <c r="BE682" s="25">
        <f>Inventory[[#This Row],[Unadj Res Value]]+Inventory[[#This Row],[Unadj Det Value]]+Inventory[[#This Row],[Unadj Land Value]]</f>
        <v>350300</v>
      </c>
      <c r="BF682" s="36">
        <f>(Inventory[[#This Row],[Unadj Total Value]]-Inventory[[#This Row],[24Final]])/Inventory[[#This Row],[24Final]]</f>
        <v>5.7421762848119439E-3</v>
      </c>
      <c r="BG682" s="25">
        <f>VLOOKUP(Inventory[[#This Row],[Nbhd]],Lookups!$Q$2:$T$4,4,FALSE)</f>
        <v>0.99970000000000003</v>
      </c>
      <c r="BH682" s="25">
        <f>VLOOKUP(Inventory[[#This Row],[Qlty]],Lookups!$O$7:$R$21,4,FALSE)</f>
        <v>1.0088999999999999</v>
      </c>
      <c r="BI682" s="25">
        <f>VLOOKUP(Inventory[[#This Row],[Cnd]],Lookups!$T$7:$W$16,4,FALSE)</f>
        <v>0.99729999999999996</v>
      </c>
      <c r="BJ682" s="25">
        <f>VLOOKUP(Inventory[[#This Row],[LivArea Range]],Lookups!$T$25:$W$37,4,FALSE)</f>
        <v>0.98919999999999997</v>
      </c>
      <c r="BK682" s="25">
        <f>VLOOKUP(Inventory[[#This Row],[Decade]],Lookups!$O$25:$R$42,4,FALSE)</f>
        <v>1.0199</v>
      </c>
      <c r="BL682" s="25">
        <f>Inventory[[#This Row],[Nbhd Adj]]*0.95</f>
        <v>0.94971499999999998</v>
      </c>
      <c r="BM682" s="25">
        <f>Inventory[[#This Row],[Nbhd Adj]]*Inventory[[#This Row],[Quality Adj]]*Inventory[[#This Row],[Condition Adj]]*Inventory[[#This Row],[Living Area Adj]]*Inventory[[#This Row],[Decade Adj]]*0.95</f>
        <v>0.96407081974981479</v>
      </c>
      <c r="BN682" s="25">
        <f>ROUND(SUM(Inventory[[#This Row],[Mdl Qlty]:[Mdl WdDeck]])+Inventory[[#This Row],[Mdl Res Intercept]]*Inventory[[#This Row],[Res Adj ]],-2)</f>
        <v>305600</v>
      </c>
      <c r="BO682" s="25">
        <f>ROUND(Inventory[[#This Row],[25Det]]*Inventory[[#This Row],[Det/Nbhd Adj]],-2)</f>
        <v>0</v>
      </c>
      <c r="BP682" s="25">
        <f>Inventory[[#This Row],[Adjusted Res]]+Inventory[[#This Row],[Adj Det ]]</f>
        <v>305600</v>
      </c>
      <c r="BQ682" s="25">
        <f>ROUND((Inventory[[#This Row],[Mdl Land Intercept]]+Inventory[[#This Row],[Mdl LnAcres]])*Inventory[[#This Row],[Det/Nbhd Adj]],-2)</f>
        <v>42400</v>
      </c>
      <c r="BR682" s="25">
        <f>Inventory[[#This Row],[Adjusted Impr Total]]+Inventory[[#This Row],[Adjusted Land Total]]</f>
        <v>348000</v>
      </c>
      <c r="BS682" s="36">
        <f>IFERROR((Inventory[[#This Row],[Adjusted Impr Total]]-Inventory[[#This Row],[24Bldg]])/Inventory[[#This Row],[24Bldg]],0)</f>
        <v>7.7954144620811294E-2</v>
      </c>
      <c r="BT682" s="36">
        <f>(Inventory[[#This Row],[Adjusted Land Total]]-Inventory[[#This Row],[24Lnd]])/Inventory[[#This Row],[24Lnd]]</f>
        <v>-0.34567901234567899</v>
      </c>
      <c r="BU682" s="36">
        <f>(Inventory[[#This Row],[Adjusted Total]]-Inventory[[#This Row],[24Final]])/Inventory[[#This Row],[24Final]]</f>
        <v>-8.6132644272179156E-4</v>
      </c>
    </row>
    <row r="683" spans="1:73" x14ac:dyDescent="0.3">
      <c r="A683" s="25">
        <v>2025</v>
      </c>
      <c r="B683" s="26" t="s">
        <v>1162</v>
      </c>
      <c r="C683" s="26">
        <f>LN(Inventory[[#This Row],[Acres]])</f>
        <v>-1.6094379124341003</v>
      </c>
      <c r="D683" s="25">
        <v>0.2</v>
      </c>
      <c r="E683" s="27"/>
      <c r="F683" s="26" t="s">
        <v>537</v>
      </c>
      <c r="G683" s="26" t="s">
        <v>126</v>
      </c>
      <c r="H683" s="26" t="s">
        <v>349</v>
      </c>
      <c r="I683" s="26" t="s">
        <v>538</v>
      </c>
      <c r="J683" s="26" t="s">
        <v>539</v>
      </c>
      <c r="K683" s="26" t="s">
        <v>242</v>
      </c>
      <c r="L683" s="26" t="s">
        <v>302</v>
      </c>
      <c r="M683" s="26" t="s">
        <v>323</v>
      </c>
      <c r="N683" s="26">
        <v>70</v>
      </c>
      <c r="O683" s="26">
        <f>2024-Inventory[[#This Row],[YrBlt]]</f>
        <v>69</v>
      </c>
      <c r="P683" s="26">
        <f>2024-Inventory[[#This Row],[EffYr]]</f>
        <v>50</v>
      </c>
      <c r="Q683" s="25">
        <v>1955</v>
      </c>
      <c r="R683" s="25">
        <v>1974</v>
      </c>
      <c r="S683" s="25">
        <v>1027</v>
      </c>
      <c r="T683" s="27"/>
      <c r="U683" s="25">
        <v>1027</v>
      </c>
      <c r="V683" s="25">
        <f>Inventory[[#This Row],[Bsmt]]-Inventory[[#This Row],[FnBsmt]]</f>
        <v>0</v>
      </c>
      <c r="W683" s="25">
        <v>1027</v>
      </c>
      <c r="X683" s="27"/>
      <c r="Y683" s="27">
        <f>Inventory[[#This Row],[MainFn]]+Inventory[[#This Row],[UpprFn]]+Inventory[[#This Row],[FnBsmt]]+Inventory[[#This Row],[AddFn]]</f>
        <v>2054</v>
      </c>
      <c r="Z683" s="27">
        <v>2500</v>
      </c>
      <c r="AA683" s="25">
        <v>8</v>
      </c>
      <c r="AB683" s="27"/>
      <c r="AC683" s="27"/>
      <c r="AD683" s="27"/>
      <c r="AE683" s="27"/>
      <c r="AF683" s="27"/>
      <c r="AG683" s="27"/>
      <c r="AH683" s="27"/>
      <c r="AI683" s="25">
        <v>318489</v>
      </c>
      <c r="AJ683" s="25">
        <v>222942</v>
      </c>
      <c r="AK683" s="25">
        <v>0</v>
      </c>
      <c r="AL683" s="25">
        <v>328300</v>
      </c>
      <c r="AM683" s="25">
        <v>58400</v>
      </c>
      <c r="AN683" s="25">
        <v>269900</v>
      </c>
      <c r="AO683" s="25">
        <v>0</v>
      </c>
      <c r="AP683" s="25">
        <f>Lookups!$B$56*0</f>
        <v>0</v>
      </c>
      <c r="AQ683" s="25">
        <f>Lookups!$B$56*1</f>
        <v>89850.625589999996</v>
      </c>
      <c r="AR683" s="25">
        <f>Lookups!$B$57*Inventory[[#This Row],[LnAcres]]</f>
        <v>-50946.13867709865</v>
      </c>
      <c r="AS683" s="25">
        <f>VLOOKUP(Inventory[[#This Row],[Qlty]],Lookups!$A$62:$E$75,2,FALSE)</f>
        <v>29814.093161000001</v>
      </c>
      <c r="AT683" s="25">
        <f>VLOOKUP(Inventory[[#This Row],[Cnd]],Lookups!$A$76:$E$84,2,FALSE)</f>
        <v>160472.20319</v>
      </c>
      <c r="AU683" s="25">
        <f>Inventory[[#This Row],[EffAge]]*Lookups!$B$85</f>
        <v>-11152.280025</v>
      </c>
      <c r="AV683" s="25">
        <f>Inventory[[#This Row],[MainFn]]*Lookups!$B$86</f>
        <v>50742.703963679</v>
      </c>
      <c r="AW683" s="25">
        <f>Inventory[[#This Row],[UpprFn]]*Lookups!$B$87</f>
        <v>0</v>
      </c>
      <c r="AX683" s="25">
        <f>Inventory[[#This Row],[AddFn]]*Lookups!$B$88</f>
        <v>0</v>
      </c>
      <c r="AY683" s="25">
        <f>Inventory[[#This Row],[Bsmt]]*Lookups!$B$89</f>
        <v>29867.106418668998</v>
      </c>
      <c r="AZ683" s="25">
        <f>Inventory[[#This Row],[Fixtures]]*Lookups!$B$90</f>
        <v>30336.176841600001</v>
      </c>
      <c r="BA683" s="25">
        <f>Inventory[[#This Row],[WdDeck]]*Lookups!$B$91</f>
        <v>0</v>
      </c>
      <c r="BB683" s="25">
        <f>ROUND(Inventory[[#This Row],[25Det]],-2)</f>
        <v>0</v>
      </c>
      <c r="BC683" s="25">
        <f>ROUND(SUM(Inventory[[#This Row],[Mdl Qlty]:[Mdl WdDeck]])+Inventory[[#This Row],[Mdl Res Intercept]],-2)</f>
        <v>290100</v>
      </c>
      <c r="BD683" s="25">
        <f>ROUND(Inventory[[#This Row],[Mdl Land Intercept]]+Inventory[[#This Row],[Mdl LnAcres]],-2)</f>
        <v>38900</v>
      </c>
      <c r="BE683" s="25">
        <f>Inventory[[#This Row],[Unadj Res Value]]+Inventory[[#This Row],[Unadj Det Value]]+Inventory[[#This Row],[Unadj Land Value]]</f>
        <v>329000</v>
      </c>
      <c r="BF683" s="36">
        <f>(Inventory[[#This Row],[Unadj Total Value]]-Inventory[[#This Row],[24Final]])/Inventory[[#This Row],[24Final]]</f>
        <v>2.1321961620469083E-3</v>
      </c>
      <c r="BG683" s="25">
        <f>VLOOKUP(Inventory[[#This Row],[Nbhd]],Lookups!$Q$2:$T$4,4,FALSE)</f>
        <v>0.99970000000000003</v>
      </c>
      <c r="BH683" s="25">
        <f>VLOOKUP(Inventory[[#This Row],[Qlty]],Lookups!$O$7:$R$21,4,FALSE)</f>
        <v>1.0088999999999999</v>
      </c>
      <c r="BI683" s="25">
        <f>VLOOKUP(Inventory[[#This Row],[Cnd]],Lookups!$T$7:$W$16,4,FALSE)</f>
        <v>0.99729999999999996</v>
      </c>
      <c r="BJ683" s="25">
        <f>VLOOKUP(Inventory[[#This Row],[LivArea Range]],Lookups!$T$25:$W$37,4,FALSE)</f>
        <v>0.98919999999999997</v>
      </c>
      <c r="BK683" s="25">
        <f>VLOOKUP(Inventory[[#This Row],[Decade]],Lookups!$O$25:$R$42,4,FALSE)</f>
        <v>1.0199</v>
      </c>
      <c r="BL683" s="25">
        <f>Inventory[[#This Row],[Nbhd Adj]]*0.95</f>
        <v>0.94971499999999998</v>
      </c>
      <c r="BM683" s="25">
        <f>Inventory[[#This Row],[Nbhd Adj]]*Inventory[[#This Row],[Quality Adj]]*Inventory[[#This Row],[Condition Adj]]*Inventory[[#This Row],[Living Area Adj]]*Inventory[[#This Row],[Decade Adj]]*0.95</f>
        <v>0.96407081974981479</v>
      </c>
      <c r="BN683" s="25">
        <f>ROUND(SUM(Inventory[[#This Row],[Mdl Qlty]:[Mdl WdDeck]])+Inventory[[#This Row],[Mdl Res Intercept]]*Inventory[[#This Row],[Res Adj ]],-2)</f>
        <v>290100</v>
      </c>
      <c r="BO683" s="25">
        <f>ROUND(Inventory[[#This Row],[25Det]]*Inventory[[#This Row],[Det/Nbhd Adj]],-2)</f>
        <v>0</v>
      </c>
      <c r="BP683" s="25">
        <f>Inventory[[#This Row],[Adjusted Res]]+Inventory[[#This Row],[Adj Det ]]</f>
        <v>290100</v>
      </c>
      <c r="BQ683" s="25">
        <f>ROUND((Inventory[[#This Row],[Mdl Land Intercept]]+Inventory[[#This Row],[Mdl LnAcres]])*Inventory[[#This Row],[Det/Nbhd Adj]],-2)</f>
        <v>36900</v>
      </c>
      <c r="BR683" s="25">
        <f>Inventory[[#This Row],[Adjusted Impr Total]]+Inventory[[#This Row],[Adjusted Land Total]]</f>
        <v>327000</v>
      </c>
      <c r="BS683" s="36">
        <f>IFERROR((Inventory[[#This Row],[Adjusted Impr Total]]-Inventory[[#This Row],[24Bldg]])/Inventory[[#This Row],[24Bldg]],0)</f>
        <v>7.4842534271952574E-2</v>
      </c>
      <c r="BT683" s="36">
        <f>(Inventory[[#This Row],[Adjusted Land Total]]-Inventory[[#This Row],[24Lnd]])/Inventory[[#This Row],[24Lnd]]</f>
        <v>-0.36815068493150682</v>
      </c>
      <c r="BU683" s="36">
        <f>(Inventory[[#This Row],[Adjusted Total]]-Inventory[[#This Row],[24Final]])/Inventory[[#This Row],[24Final]]</f>
        <v>-3.9597928723728295E-3</v>
      </c>
    </row>
    <row r="684" spans="1:73" x14ac:dyDescent="0.3">
      <c r="A684" s="25">
        <v>2025</v>
      </c>
      <c r="B684" s="26" t="s">
        <v>1767</v>
      </c>
      <c r="C684" s="26">
        <f>LN(Inventory[[#This Row],[Acres]])</f>
        <v>-1.6607312068216509</v>
      </c>
      <c r="D684" s="25">
        <v>0.19</v>
      </c>
      <c r="E684" s="32">
        <v>8400</v>
      </c>
      <c r="F684" s="26" t="s">
        <v>537</v>
      </c>
      <c r="G684" s="26" t="s">
        <v>126</v>
      </c>
      <c r="H684" s="26" t="s">
        <v>349</v>
      </c>
      <c r="I684" s="26" t="s">
        <v>538</v>
      </c>
      <c r="J684" s="26" t="s">
        <v>539</v>
      </c>
      <c r="K684" s="26" t="s">
        <v>242</v>
      </c>
      <c r="L684" s="26" t="s">
        <v>205</v>
      </c>
      <c r="M684" s="26" t="s">
        <v>303</v>
      </c>
      <c r="N684" s="26">
        <v>70</v>
      </c>
      <c r="O684" s="26">
        <f>2024-Inventory[[#This Row],[YrBlt]]</f>
        <v>69</v>
      </c>
      <c r="P684" s="26">
        <f>2024-Inventory[[#This Row],[EffYr]]</f>
        <v>50</v>
      </c>
      <c r="Q684" s="25">
        <v>1955</v>
      </c>
      <c r="R684" s="25">
        <v>1974</v>
      </c>
      <c r="S684" s="25">
        <v>1305</v>
      </c>
      <c r="T684" s="27"/>
      <c r="U684" s="31"/>
      <c r="V684" s="31">
        <f>Inventory[[#This Row],[Bsmt]]-Inventory[[#This Row],[FnBsmt]]</f>
        <v>0</v>
      </c>
      <c r="W684" s="31"/>
      <c r="X684" s="27"/>
      <c r="Y684" s="27">
        <f>Inventory[[#This Row],[MainFn]]+Inventory[[#This Row],[UpprFn]]+Inventory[[#This Row],[FnBsmt]]+Inventory[[#This Row],[AddFn]]</f>
        <v>1305</v>
      </c>
      <c r="Z684" s="27">
        <v>1500</v>
      </c>
      <c r="AA684" s="25">
        <v>5</v>
      </c>
      <c r="AB684" s="27"/>
      <c r="AC684" s="31"/>
      <c r="AD684" s="31"/>
      <c r="AE684" s="27"/>
      <c r="AF684" s="27"/>
      <c r="AG684" s="27"/>
      <c r="AH684" s="27"/>
      <c r="AI684" s="25">
        <v>204597</v>
      </c>
      <c r="AJ684" s="25">
        <v>147310</v>
      </c>
      <c r="AK684" s="25">
        <v>0</v>
      </c>
      <c r="AL684" s="25">
        <v>308100</v>
      </c>
      <c r="AM684" s="25">
        <v>56600</v>
      </c>
      <c r="AN684" s="25">
        <v>251500</v>
      </c>
      <c r="AO684" s="25">
        <v>0</v>
      </c>
      <c r="AP684" s="25">
        <f>Lookups!$B$56*0</f>
        <v>0</v>
      </c>
      <c r="AQ684" s="25">
        <f>Lookups!$B$56*1</f>
        <v>89850.625589999996</v>
      </c>
      <c r="AR684" s="25">
        <f>Lookups!$B$57*Inventory[[#This Row],[LnAcres]]</f>
        <v>-52569.808201026557</v>
      </c>
      <c r="AS684" s="25">
        <f>VLOOKUP(Inventory[[#This Row],[Qlty]],Lookups!$A$62:$E$75,2,FALSE)</f>
        <v>0</v>
      </c>
      <c r="AT684" s="25">
        <f>VLOOKUP(Inventory[[#This Row],[Cnd]],Lookups!$A$76:$E$84,2,FALSE)</f>
        <v>197752.34721000001</v>
      </c>
      <c r="AU684" s="25">
        <f>Inventory[[#This Row],[EffAge]]*Lookups!$B$85</f>
        <v>-11152.280025</v>
      </c>
      <c r="AV684" s="25">
        <f>Inventory[[#This Row],[MainFn]]*Lookups!$B$86</f>
        <v>64478.314189485005</v>
      </c>
      <c r="AW684" s="25">
        <f>Inventory[[#This Row],[UpprFn]]*Lookups!$B$87</f>
        <v>0</v>
      </c>
      <c r="AX684" s="25">
        <f>Inventory[[#This Row],[AddFn]]*Lookups!$B$88</f>
        <v>0</v>
      </c>
      <c r="AY684" s="25">
        <f>Inventory[[#This Row],[Bsmt]]*Lookups!$B$89</f>
        <v>0</v>
      </c>
      <c r="AZ684" s="25">
        <f>Inventory[[#This Row],[Fixtures]]*Lookups!$B$90</f>
        <v>18960.110526</v>
      </c>
      <c r="BA684" s="25">
        <f>Inventory[[#This Row],[WdDeck]]*Lookups!$B$91</f>
        <v>0</v>
      </c>
      <c r="BB684" s="25">
        <f>ROUND(Inventory[[#This Row],[25Det]],-2)</f>
        <v>0</v>
      </c>
      <c r="BC684" s="25">
        <f>ROUND(SUM(Inventory[[#This Row],[Mdl Qlty]:[Mdl WdDeck]])+Inventory[[#This Row],[Mdl Res Intercept]],-2)</f>
        <v>270000</v>
      </c>
      <c r="BD684" s="25">
        <f>ROUND(Inventory[[#This Row],[Mdl Land Intercept]]+Inventory[[#This Row],[Mdl LnAcres]],-2)</f>
        <v>37300</v>
      </c>
      <c r="BE684" s="25">
        <f>Inventory[[#This Row],[Unadj Res Value]]+Inventory[[#This Row],[Unadj Det Value]]+Inventory[[#This Row],[Unadj Land Value]]</f>
        <v>307300</v>
      </c>
      <c r="BF684" s="36">
        <f>(Inventory[[#This Row],[Unadj Total Value]]-Inventory[[#This Row],[24Final]])/Inventory[[#This Row],[24Final]]</f>
        <v>-2.596559558584875E-3</v>
      </c>
      <c r="BG684" s="25">
        <f>VLOOKUP(Inventory[[#This Row],[Nbhd]],Lookups!$Q$2:$T$4,4,FALSE)</f>
        <v>0.99970000000000003</v>
      </c>
      <c r="BH684" s="25">
        <f>VLOOKUP(Inventory[[#This Row],[Qlty]],Lookups!$O$7:$R$21,4,FALSE)</f>
        <v>0.99180000000000001</v>
      </c>
      <c r="BI684" s="25">
        <f>VLOOKUP(Inventory[[#This Row],[Cnd]],Lookups!$T$7:$W$16,4,FALSE)</f>
        <v>0.99650000000000005</v>
      </c>
      <c r="BJ684" s="25">
        <f>VLOOKUP(Inventory[[#This Row],[LivArea Range]],Lookups!$T$25:$W$37,4,FALSE)</f>
        <v>1.0157</v>
      </c>
      <c r="BK684" s="25">
        <f>VLOOKUP(Inventory[[#This Row],[Decade]],Lookups!$O$25:$R$42,4,FALSE)</f>
        <v>1.0199</v>
      </c>
      <c r="BL684" s="25">
        <f>Inventory[[#This Row],[Nbhd Adj]]*0.95</f>
        <v>0.94971499999999998</v>
      </c>
      <c r="BM684" s="25">
        <f>Inventory[[#This Row],[Nbhd Adj]]*Inventory[[#This Row],[Quality Adj]]*Inventory[[#This Row],[Condition Adj]]*Inventory[[#This Row],[Living Area Adj]]*Inventory[[#This Row],[Decade Adj]]*0.95</f>
        <v>0.97233909672715635</v>
      </c>
      <c r="BN684" s="25">
        <f>ROUND(SUM(Inventory[[#This Row],[Mdl Qlty]:[Mdl WdDeck]])+Inventory[[#This Row],[Mdl Res Intercept]]*Inventory[[#This Row],[Res Adj ]],-2)</f>
        <v>270000</v>
      </c>
      <c r="BO684" s="25">
        <f>ROUND(Inventory[[#This Row],[25Det]]*Inventory[[#This Row],[Det/Nbhd Adj]],-2)</f>
        <v>0</v>
      </c>
      <c r="BP684" s="25">
        <f>Inventory[[#This Row],[Adjusted Res]]+Inventory[[#This Row],[Adj Det ]]</f>
        <v>270000</v>
      </c>
      <c r="BQ684" s="25">
        <f>ROUND((Inventory[[#This Row],[Mdl Land Intercept]]+Inventory[[#This Row],[Mdl LnAcres]])*Inventory[[#This Row],[Det/Nbhd Adj]],-2)</f>
        <v>35400</v>
      </c>
      <c r="BR684" s="25">
        <f>Inventory[[#This Row],[Adjusted Impr Total]]+Inventory[[#This Row],[Adjusted Land Total]]</f>
        <v>305400</v>
      </c>
      <c r="BS684" s="36">
        <f>IFERROR((Inventory[[#This Row],[Adjusted Impr Total]]-Inventory[[#This Row],[24Bldg]])/Inventory[[#This Row],[24Bldg]],0)</f>
        <v>7.3558648111332003E-2</v>
      </c>
      <c r="BT684" s="36">
        <f>(Inventory[[#This Row],[Adjusted Land Total]]-Inventory[[#This Row],[24Lnd]])/Inventory[[#This Row],[24Lnd]]</f>
        <v>-0.37455830388692579</v>
      </c>
      <c r="BU684" s="36">
        <f>(Inventory[[#This Row],[Adjusted Total]]-Inventory[[#This Row],[24Final]])/Inventory[[#This Row],[24Final]]</f>
        <v>-8.7633885102239538E-3</v>
      </c>
    </row>
    <row r="685" spans="1:73" x14ac:dyDescent="0.3">
      <c r="A685" s="25">
        <v>2025</v>
      </c>
      <c r="B685" s="26" t="s">
        <v>1623</v>
      </c>
      <c r="C685" s="26">
        <f>LN(Inventory[[#This Row],[Acres]])</f>
        <v>-1.1086626245216111</v>
      </c>
      <c r="D685" s="25">
        <v>0.33</v>
      </c>
      <c r="E685" s="32">
        <v>14467</v>
      </c>
      <c r="F685" s="26" t="s">
        <v>537</v>
      </c>
      <c r="G685" s="26" t="s">
        <v>126</v>
      </c>
      <c r="H685" s="26" t="s">
        <v>349</v>
      </c>
      <c r="I685" s="26" t="s">
        <v>538</v>
      </c>
      <c r="J685" s="26" t="s">
        <v>539</v>
      </c>
      <c r="K685" s="26" t="s">
        <v>241</v>
      </c>
      <c r="L685" s="26" t="s">
        <v>95</v>
      </c>
      <c r="M685" s="26" t="s">
        <v>303</v>
      </c>
      <c r="N685" s="26">
        <v>70</v>
      </c>
      <c r="O685" s="26">
        <f>2024-Inventory[[#This Row],[YrBlt]]</f>
        <v>69</v>
      </c>
      <c r="P685" s="26">
        <f>2024-Inventory[[#This Row],[EffYr]]</f>
        <v>50</v>
      </c>
      <c r="Q685" s="25">
        <v>1955</v>
      </c>
      <c r="R685" s="25">
        <v>1974</v>
      </c>
      <c r="S685" s="25">
        <v>1855</v>
      </c>
      <c r="T685" s="27"/>
      <c r="U685" s="25">
        <v>1277</v>
      </c>
      <c r="V685" s="25">
        <f>Inventory[[#This Row],[Bsmt]]-Inventory[[#This Row],[FnBsmt]]</f>
        <v>638</v>
      </c>
      <c r="W685" s="25">
        <v>639</v>
      </c>
      <c r="X685" s="27"/>
      <c r="Y685" s="27">
        <f>Inventory[[#This Row],[MainFn]]+Inventory[[#This Row],[UpprFn]]+Inventory[[#This Row],[FnBsmt]]+Inventory[[#This Row],[AddFn]]</f>
        <v>2494</v>
      </c>
      <c r="Z685" s="27">
        <v>2500</v>
      </c>
      <c r="AA685" s="25">
        <v>11</v>
      </c>
      <c r="AB685" s="27"/>
      <c r="AC685" s="27"/>
      <c r="AD685" s="27"/>
      <c r="AE685" s="27"/>
      <c r="AF685" s="27"/>
      <c r="AG685" s="27"/>
      <c r="AH685" s="27"/>
      <c r="AI685" s="25">
        <v>591615</v>
      </c>
      <c r="AJ685" s="25">
        <v>431879</v>
      </c>
      <c r="AK685" s="25">
        <v>8649</v>
      </c>
      <c r="AL685" s="25">
        <v>496900</v>
      </c>
      <c r="AM685" s="25">
        <v>75900</v>
      </c>
      <c r="AN685" s="25">
        <v>421000</v>
      </c>
      <c r="AO685" s="25">
        <v>0</v>
      </c>
      <c r="AP685" s="25">
        <f>Lookups!$B$56*0</f>
        <v>0</v>
      </c>
      <c r="AQ685" s="25">
        <f>Lookups!$B$56*1</f>
        <v>89850.625589999996</v>
      </c>
      <c r="AR685" s="25">
        <f>Lookups!$B$57*Inventory[[#This Row],[LnAcres]]</f>
        <v>-35094.289365640165</v>
      </c>
      <c r="AS685" s="25">
        <f>VLOOKUP(Inventory[[#This Row],[Qlty]],Lookups!$A$62:$E$75,2,FALSE)</f>
        <v>74268.409664999999</v>
      </c>
      <c r="AT685" s="25">
        <f>VLOOKUP(Inventory[[#This Row],[Cnd]],Lookups!$A$76:$E$84,2,FALSE)</f>
        <v>197752.34721000001</v>
      </c>
      <c r="AU685" s="25">
        <f>Inventory[[#This Row],[EffAge]]*Lookups!$B$85</f>
        <v>-11152.280025</v>
      </c>
      <c r="AV685" s="25">
        <f>Inventory[[#This Row],[MainFn]]*Lookups!$B$86</f>
        <v>91653.082621834998</v>
      </c>
      <c r="AW685" s="25">
        <f>Inventory[[#This Row],[UpprFn]]*Lookups!$B$87</f>
        <v>0</v>
      </c>
      <c r="AX685" s="25">
        <f>Inventory[[#This Row],[AddFn]]*Lookups!$B$88</f>
        <v>0</v>
      </c>
      <c r="AY685" s="25">
        <f>Inventory[[#This Row],[Bsmt]]*Lookups!$B$89</f>
        <v>37137.580230419</v>
      </c>
      <c r="AZ685" s="25">
        <f>Inventory[[#This Row],[Fixtures]]*Lookups!$B$90</f>
        <v>41712.243157199999</v>
      </c>
      <c r="BA685" s="25">
        <f>Inventory[[#This Row],[WdDeck]]*Lookups!$B$91</f>
        <v>0</v>
      </c>
      <c r="BB685" s="25">
        <f>ROUND(Inventory[[#This Row],[25Det]],-2)</f>
        <v>8600</v>
      </c>
      <c r="BC685" s="25">
        <f>ROUND(SUM(Inventory[[#This Row],[Mdl Qlty]:[Mdl WdDeck]])+Inventory[[#This Row],[Mdl Res Intercept]],-2)</f>
        <v>431400</v>
      </c>
      <c r="BD685" s="25">
        <f>ROUND(Inventory[[#This Row],[Mdl Land Intercept]]+Inventory[[#This Row],[Mdl LnAcres]],-2)</f>
        <v>54800</v>
      </c>
      <c r="BE685" s="25">
        <f>Inventory[[#This Row],[Unadj Res Value]]+Inventory[[#This Row],[Unadj Det Value]]+Inventory[[#This Row],[Unadj Land Value]]</f>
        <v>494800</v>
      </c>
      <c r="BF685" s="36">
        <f>(Inventory[[#This Row],[Unadj Total Value]]-Inventory[[#This Row],[24Final]])/Inventory[[#This Row],[24Final]]</f>
        <v>-4.226202455222379E-3</v>
      </c>
      <c r="BG685" s="25">
        <f>VLOOKUP(Inventory[[#This Row],[Nbhd]],Lookups!$Q$2:$T$4,4,FALSE)</f>
        <v>0.99970000000000003</v>
      </c>
      <c r="BH685" s="25">
        <f>VLOOKUP(Inventory[[#This Row],[Qlty]],Lookups!$O$7:$R$21,4,FALSE)</f>
        <v>0.98380000000000001</v>
      </c>
      <c r="BI685" s="25">
        <f>VLOOKUP(Inventory[[#This Row],[Cnd]],Lookups!$T$7:$W$16,4,FALSE)</f>
        <v>0.99650000000000005</v>
      </c>
      <c r="BJ685" s="25">
        <f>VLOOKUP(Inventory[[#This Row],[LivArea Range]],Lookups!$T$25:$W$37,4,FALSE)</f>
        <v>0.98919999999999997</v>
      </c>
      <c r="BK685" s="25">
        <f>VLOOKUP(Inventory[[#This Row],[Decade]],Lookups!$O$25:$R$42,4,FALSE)</f>
        <v>1.0199</v>
      </c>
      <c r="BL685" s="25">
        <f>Inventory[[#This Row],[Nbhd Adj]]*0.95</f>
        <v>0.94971499999999998</v>
      </c>
      <c r="BM685" s="25">
        <f>Inventory[[#This Row],[Nbhd Adj]]*Inventory[[#This Row],[Quality Adj]]*Inventory[[#This Row],[Condition Adj]]*Inventory[[#This Row],[Living Area Adj]]*Inventory[[#This Row],[Decade Adj]]*0.95</f>
        <v>0.93933200115703741</v>
      </c>
      <c r="BN685" s="25">
        <f>ROUND(SUM(Inventory[[#This Row],[Mdl Qlty]:[Mdl WdDeck]])+Inventory[[#This Row],[Mdl Res Intercept]]*Inventory[[#This Row],[Res Adj ]],-2)</f>
        <v>431400</v>
      </c>
      <c r="BO685" s="25">
        <f>ROUND(Inventory[[#This Row],[25Det]]*Inventory[[#This Row],[Det/Nbhd Adj]],-2)</f>
        <v>8200</v>
      </c>
      <c r="BP685" s="25">
        <f>Inventory[[#This Row],[Adjusted Res]]+Inventory[[#This Row],[Adj Det ]]</f>
        <v>439600</v>
      </c>
      <c r="BQ685" s="25">
        <f>ROUND((Inventory[[#This Row],[Mdl Land Intercept]]+Inventory[[#This Row],[Mdl LnAcres]])*Inventory[[#This Row],[Det/Nbhd Adj]],-2)</f>
        <v>52000</v>
      </c>
      <c r="BR685" s="25">
        <f>Inventory[[#This Row],[Adjusted Impr Total]]+Inventory[[#This Row],[Adjusted Land Total]]</f>
        <v>491600</v>
      </c>
      <c r="BS685" s="36">
        <f>IFERROR((Inventory[[#This Row],[Adjusted Impr Total]]-Inventory[[#This Row],[24Bldg]])/Inventory[[#This Row],[24Bldg]],0)</f>
        <v>4.4180522565320665E-2</v>
      </c>
      <c r="BT685" s="36">
        <f>(Inventory[[#This Row],[Adjusted Land Total]]-Inventory[[#This Row],[24Lnd]])/Inventory[[#This Row],[24Lnd]]</f>
        <v>-0.31488801054018445</v>
      </c>
      <c r="BU685" s="36">
        <f>(Inventory[[#This Row],[Adjusted Total]]-Inventory[[#This Row],[24Final]])/Inventory[[#This Row],[24Final]]</f>
        <v>-1.0666130006037432E-2</v>
      </c>
    </row>
    <row r="686" spans="1:73" x14ac:dyDescent="0.3">
      <c r="A686" s="25">
        <v>2025</v>
      </c>
      <c r="B686" s="26" t="s">
        <v>1239</v>
      </c>
      <c r="C686" s="26">
        <f>LN(Inventory[[#This Row],[Acres]])</f>
        <v>-1.7147984280919266</v>
      </c>
      <c r="D686" s="25">
        <v>0.18</v>
      </c>
      <c r="E686" s="25">
        <v>7800</v>
      </c>
      <c r="F686" s="26" t="s">
        <v>537</v>
      </c>
      <c r="G686" s="26" t="s">
        <v>126</v>
      </c>
      <c r="H686" s="26" t="s">
        <v>349</v>
      </c>
      <c r="I686" s="26" t="s">
        <v>538</v>
      </c>
      <c r="J686" s="26" t="s">
        <v>539</v>
      </c>
      <c r="K686" s="26" t="s">
        <v>242</v>
      </c>
      <c r="L686" s="26" t="s">
        <v>351</v>
      </c>
      <c r="M686" s="26" t="s">
        <v>323</v>
      </c>
      <c r="N686" s="26">
        <v>70</v>
      </c>
      <c r="O686" s="26">
        <f>2024-Inventory[[#This Row],[YrBlt]]</f>
        <v>69</v>
      </c>
      <c r="P686" s="26">
        <f>2024-Inventory[[#This Row],[EffYr]]</f>
        <v>50</v>
      </c>
      <c r="Q686" s="25">
        <v>1955</v>
      </c>
      <c r="R686" s="25">
        <v>1974</v>
      </c>
      <c r="S686" s="25">
        <v>1400</v>
      </c>
      <c r="T686" s="27"/>
      <c r="U686" s="25">
        <v>1425</v>
      </c>
      <c r="V686" s="25">
        <f>Inventory[[#This Row],[Bsmt]]-Inventory[[#This Row],[FnBsmt]]</f>
        <v>285</v>
      </c>
      <c r="W686" s="25">
        <v>1140</v>
      </c>
      <c r="X686" s="27"/>
      <c r="Y686" s="27">
        <f>Inventory[[#This Row],[MainFn]]+Inventory[[#This Row],[UpprFn]]+Inventory[[#This Row],[FnBsmt]]+Inventory[[#This Row],[AddFn]]</f>
        <v>2540</v>
      </c>
      <c r="Z686" s="27">
        <v>3000</v>
      </c>
      <c r="AA686" s="25">
        <v>7</v>
      </c>
      <c r="AB686" s="27"/>
      <c r="AC686" s="31"/>
      <c r="AD686" s="27"/>
      <c r="AE686" s="27"/>
      <c r="AF686" s="27"/>
      <c r="AG686" s="27"/>
      <c r="AH686" s="27"/>
      <c r="AI686" s="25">
        <v>356929</v>
      </c>
      <c r="AJ686" s="25">
        <v>249850</v>
      </c>
      <c r="AK686" s="25">
        <v>0</v>
      </c>
      <c r="AL686" s="25">
        <v>345600</v>
      </c>
      <c r="AM686" s="25">
        <v>54700</v>
      </c>
      <c r="AN686" s="25">
        <v>290900</v>
      </c>
      <c r="AO686" s="25">
        <v>0</v>
      </c>
      <c r="AP686" s="25">
        <f>Lookups!$B$56*0</f>
        <v>0</v>
      </c>
      <c r="AQ686" s="25">
        <f>Lookups!$B$56*1</f>
        <v>89850.625589999996</v>
      </c>
      <c r="AR686" s="25">
        <f>Lookups!$B$57*Inventory[[#This Row],[LnAcres]]</f>
        <v>-54281.285314520763</v>
      </c>
      <c r="AS686" s="25">
        <f>VLOOKUP(Inventory[[#This Row],[Qlty]],Lookups!$A$62:$E$75,2,FALSE)</f>
        <v>21557.329055999999</v>
      </c>
      <c r="AT686" s="25">
        <f>VLOOKUP(Inventory[[#This Row],[Cnd]],Lookups!$A$76:$E$84,2,FALSE)</f>
        <v>160472.20319</v>
      </c>
      <c r="AU686" s="25">
        <f>Inventory[[#This Row],[EffAge]]*Lookups!$B$85</f>
        <v>-11152.280025</v>
      </c>
      <c r="AV686" s="25">
        <f>Inventory[[#This Row],[MainFn]]*Lookups!$B$86</f>
        <v>69172.137827800005</v>
      </c>
      <c r="AW686" s="25">
        <f>Inventory[[#This Row],[UpprFn]]*Lookups!$B$87</f>
        <v>0</v>
      </c>
      <c r="AX686" s="25">
        <f>Inventory[[#This Row],[AddFn]]*Lookups!$B$88</f>
        <v>0</v>
      </c>
      <c r="AY686" s="25">
        <f>Inventory[[#This Row],[Bsmt]]*Lookups!$B$89</f>
        <v>41441.700726974996</v>
      </c>
      <c r="AZ686" s="25">
        <f>Inventory[[#This Row],[Fixtures]]*Lookups!$B$90</f>
        <v>26544.1547364</v>
      </c>
      <c r="BA686" s="25">
        <f>Inventory[[#This Row],[WdDeck]]*Lookups!$B$91</f>
        <v>0</v>
      </c>
      <c r="BB686" s="25">
        <f>ROUND(Inventory[[#This Row],[25Det]],-2)</f>
        <v>0</v>
      </c>
      <c r="BC686" s="25">
        <f>ROUND(SUM(Inventory[[#This Row],[Mdl Qlty]:[Mdl WdDeck]])+Inventory[[#This Row],[Mdl Res Intercept]],-2)</f>
        <v>308000</v>
      </c>
      <c r="BD686" s="25">
        <f>ROUND(Inventory[[#This Row],[Mdl Land Intercept]]+Inventory[[#This Row],[Mdl LnAcres]],-2)</f>
        <v>35600</v>
      </c>
      <c r="BE686" s="25">
        <f>Inventory[[#This Row],[Unadj Res Value]]+Inventory[[#This Row],[Unadj Det Value]]+Inventory[[#This Row],[Unadj Land Value]]</f>
        <v>343600</v>
      </c>
      <c r="BF686" s="36">
        <f>(Inventory[[#This Row],[Unadj Total Value]]-Inventory[[#This Row],[24Final]])/Inventory[[#This Row],[24Final]]</f>
        <v>-5.7870370370370367E-3</v>
      </c>
      <c r="BG686" s="25">
        <f>VLOOKUP(Inventory[[#This Row],[Nbhd]],Lookups!$Q$2:$T$4,4,FALSE)</f>
        <v>0.99970000000000003</v>
      </c>
      <c r="BH686" s="25">
        <f>VLOOKUP(Inventory[[#This Row],[Qlty]],Lookups!$O$7:$R$21,4,FALSE)</f>
        <v>1.0067999999999999</v>
      </c>
      <c r="BI686" s="25">
        <f>VLOOKUP(Inventory[[#This Row],[Cnd]],Lookups!$T$7:$W$16,4,FALSE)</f>
        <v>0.99729999999999996</v>
      </c>
      <c r="BJ686" s="25">
        <f>VLOOKUP(Inventory[[#This Row],[LivArea Range]],Lookups!$T$25:$W$37,4,FALSE)</f>
        <v>0.96179999999999999</v>
      </c>
      <c r="BK686" s="25">
        <f>VLOOKUP(Inventory[[#This Row],[Decade]],Lookups!$O$25:$R$42,4,FALSE)</f>
        <v>1.0199</v>
      </c>
      <c r="BL686" s="25">
        <f>Inventory[[#This Row],[Nbhd Adj]]*0.95</f>
        <v>0.94971499999999998</v>
      </c>
      <c r="BM686" s="25">
        <f>Inventory[[#This Row],[Nbhd Adj]]*Inventory[[#This Row],[Quality Adj]]*Inventory[[#This Row],[Condition Adj]]*Inventory[[#This Row],[Living Area Adj]]*Inventory[[#This Row],[Decade Adj]]*0.95</f>
        <v>0.93541577110254559</v>
      </c>
      <c r="BN686" s="25">
        <f>ROUND(SUM(Inventory[[#This Row],[Mdl Qlty]:[Mdl WdDeck]])+Inventory[[#This Row],[Mdl Res Intercept]]*Inventory[[#This Row],[Res Adj ]],-2)</f>
        <v>308000</v>
      </c>
      <c r="BO686" s="25">
        <f>ROUND(Inventory[[#This Row],[25Det]]*Inventory[[#This Row],[Det/Nbhd Adj]],-2)</f>
        <v>0</v>
      </c>
      <c r="BP686" s="25">
        <f>Inventory[[#This Row],[Adjusted Res]]+Inventory[[#This Row],[Adj Det ]]</f>
        <v>308000</v>
      </c>
      <c r="BQ686" s="25">
        <f>ROUND((Inventory[[#This Row],[Mdl Land Intercept]]+Inventory[[#This Row],[Mdl LnAcres]])*Inventory[[#This Row],[Det/Nbhd Adj]],-2)</f>
        <v>33800</v>
      </c>
      <c r="BR686" s="25">
        <f>Inventory[[#This Row],[Adjusted Impr Total]]+Inventory[[#This Row],[Adjusted Land Total]]</f>
        <v>341800</v>
      </c>
      <c r="BS686" s="36">
        <f>IFERROR((Inventory[[#This Row],[Adjusted Impr Total]]-Inventory[[#This Row],[24Bldg]])/Inventory[[#This Row],[24Bldg]],0)</f>
        <v>5.8783086971467856E-2</v>
      </c>
      <c r="BT686" s="36">
        <f>(Inventory[[#This Row],[Adjusted Land Total]]-Inventory[[#This Row],[24Lnd]])/Inventory[[#This Row],[24Lnd]]</f>
        <v>-0.38208409506398539</v>
      </c>
      <c r="BU686" s="36">
        <f>(Inventory[[#This Row],[Adjusted Total]]-Inventory[[#This Row],[24Final]])/Inventory[[#This Row],[24Final]]</f>
        <v>-1.0995370370370371E-2</v>
      </c>
    </row>
    <row r="687" spans="1:73" x14ac:dyDescent="0.3">
      <c r="A687" s="25">
        <v>2025</v>
      </c>
      <c r="B687" s="26" t="s">
        <v>1602</v>
      </c>
      <c r="C687" s="26">
        <f>LN(Inventory[[#This Row],[Acres]])</f>
        <v>-1.2378743560016174</v>
      </c>
      <c r="D687" s="25">
        <v>0.28999999999999998</v>
      </c>
      <c r="E687" s="31"/>
      <c r="F687" s="26" t="s">
        <v>537</v>
      </c>
      <c r="G687" s="26" t="s">
        <v>126</v>
      </c>
      <c r="H687" s="26" t="s">
        <v>349</v>
      </c>
      <c r="I687" s="26" t="s">
        <v>538</v>
      </c>
      <c r="J687" s="26" t="s">
        <v>539</v>
      </c>
      <c r="K687" s="26" t="s">
        <v>241</v>
      </c>
      <c r="L687" s="26" t="s">
        <v>148</v>
      </c>
      <c r="M687" s="26" t="s">
        <v>323</v>
      </c>
      <c r="N687" s="26">
        <v>70</v>
      </c>
      <c r="O687" s="26">
        <f>2024-Inventory[[#This Row],[YrBlt]]</f>
        <v>69</v>
      </c>
      <c r="P687" s="26">
        <f>2024-Inventory[[#This Row],[EffYr]]</f>
        <v>50</v>
      </c>
      <c r="Q687" s="25">
        <v>1955</v>
      </c>
      <c r="R687" s="25">
        <v>1974</v>
      </c>
      <c r="S687" s="25">
        <v>1605</v>
      </c>
      <c r="T687" s="31"/>
      <c r="U687" s="25">
        <v>1233</v>
      </c>
      <c r="V687" s="25">
        <f>Inventory[[#This Row],[Bsmt]]-Inventory[[#This Row],[FnBsmt]]</f>
        <v>0</v>
      </c>
      <c r="W687" s="25">
        <v>1233</v>
      </c>
      <c r="X687" s="27"/>
      <c r="Y687" s="27">
        <f>Inventory[[#This Row],[MainFn]]+Inventory[[#This Row],[UpprFn]]+Inventory[[#This Row],[FnBsmt]]+Inventory[[#This Row],[AddFn]]</f>
        <v>2838</v>
      </c>
      <c r="Z687" s="27">
        <v>3000</v>
      </c>
      <c r="AA687" s="25">
        <v>10</v>
      </c>
      <c r="AB687" s="27"/>
      <c r="AC687" s="25">
        <v>372</v>
      </c>
      <c r="AD687" s="31"/>
      <c r="AE687" s="27"/>
      <c r="AF687" s="27"/>
      <c r="AG687" s="27"/>
      <c r="AH687" s="27"/>
      <c r="AI687" s="25">
        <v>528242</v>
      </c>
      <c r="AJ687" s="25">
        <v>369769</v>
      </c>
      <c r="AK687" s="25">
        <v>0</v>
      </c>
      <c r="AL687" s="25">
        <v>399900</v>
      </c>
      <c r="AM687" s="25">
        <v>71400</v>
      </c>
      <c r="AN687" s="25">
        <v>328500</v>
      </c>
      <c r="AO687" s="25">
        <v>0</v>
      </c>
      <c r="AP687" s="25">
        <f>Lookups!$B$56*0</f>
        <v>0</v>
      </c>
      <c r="AQ687" s="25">
        <f>Lookups!$B$56*1</f>
        <v>89850.625589999996</v>
      </c>
      <c r="AR687" s="25">
        <f>Lookups!$B$57*Inventory[[#This Row],[LnAcres]]</f>
        <v>-39184.437074869042</v>
      </c>
      <c r="AS687" s="25">
        <f>VLOOKUP(Inventory[[#This Row],[Qlty]],Lookups!$A$62:$E$75,2,FALSE)</f>
        <v>44121.038090000002</v>
      </c>
      <c r="AT687" s="25">
        <f>VLOOKUP(Inventory[[#This Row],[Cnd]],Lookups!$A$76:$E$84,2,FALSE)</f>
        <v>160472.20319</v>
      </c>
      <c r="AU687" s="25">
        <f>Inventory[[#This Row],[EffAge]]*Lookups!$B$85</f>
        <v>-11152.280025</v>
      </c>
      <c r="AV687" s="25">
        <f>Inventory[[#This Row],[MainFn]]*Lookups!$B$86</f>
        <v>79300.915152585003</v>
      </c>
      <c r="AW687" s="25">
        <f>Inventory[[#This Row],[UpprFn]]*Lookups!$B$87</f>
        <v>0</v>
      </c>
      <c r="AX687" s="25">
        <f>Inventory[[#This Row],[AddFn]]*Lookups!$B$88</f>
        <v>0</v>
      </c>
      <c r="AY687" s="25">
        <f>Inventory[[#This Row],[Bsmt]]*Lookups!$B$89</f>
        <v>35857.976839550996</v>
      </c>
      <c r="AZ687" s="25">
        <f>Inventory[[#This Row],[Fixtures]]*Lookups!$B$90</f>
        <v>37920.221052000001</v>
      </c>
      <c r="BA687" s="25">
        <f>Inventory[[#This Row],[WdDeck]]*Lookups!$B$91</f>
        <v>0</v>
      </c>
      <c r="BB687" s="25">
        <f>ROUND(Inventory[[#This Row],[25Det]],-2)</f>
        <v>0</v>
      </c>
      <c r="BC687" s="25">
        <f>ROUND(SUM(Inventory[[#This Row],[Mdl Qlty]:[Mdl WdDeck]])+Inventory[[#This Row],[Mdl Res Intercept]],-2)</f>
        <v>346500</v>
      </c>
      <c r="BD687" s="25">
        <f>ROUND(Inventory[[#This Row],[Mdl Land Intercept]]+Inventory[[#This Row],[Mdl LnAcres]],-2)</f>
        <v>50700</v>
      </c>
      <c r="BE687" s="25">
        <f>Inventory[[#This Row],[Unadj Res Value]]+Inventory[[#This Row],[Unadj Det Value]]+Inventory[[#This Row],[Unadj Land Value]]</f>
        <v>397200</v>
      </c>
      <c r="BF687" s="36">
        <f>(Inventory[[#This Row],[Unadj Total Value]]-Inventory[[#This Row],[24Final]])/Inventory[[#This Row],[24Final]]</f>
        <v>-6.7516879219804947E-3</v>
      </c>
      <c r="BG687" s="25">
        <f>VLOOKUP(Inventory[[#This Row],[Nbhd]],Lookups!$Q$2:$T$4,4,FALSE)</f>
        <v>0.99970000000000003</v>
      </c>
      <c r="BH687" s="25">
        <f>VLOOKUP(Inventory[[#This Row],[Qlty]],Lookups!$O$7:$R$21,4,FALSE)</f>
        <v>0.98050000000000004</v>
      </c>
      <c r="BI687" s="25">
        <f>VLOOKUP(Inventory[[#This Row],[Cnd]],Lookups!$T$7:$W$16,4,FALSE)</f>
        <v>0.99729999999999996</v>
      </c>
      <c r="BJ687" s="25">
        <f>VLOOKUP(Inventory[[#This Row],[LivArea Range]],Lookups!$T$25:$W$37,4,FALSE)</f>
        <v>0.96179999999999999</v>
      </c>
      <c r="BK687" s="25">
        <f>VLOOKUP(Inventory[[#This Row],[Decade]],Lookups!$O$25:$R$42,4,FALSE)</f>
        <v>1.0199</v>
      </c>
      <c r="BL687" s="25">
        <f>Inventory[[#This Row],[Nbhd Adj]]*0.95</f>
        <v>0.94971499999999998</v>
      </c>
      <c r="BM687" s="25">
        <f>Inventory[[#This Row],[Nbhd Adj]]*Inventory[[#This Row],[Quality Adj]]*Inventory[[#This Row],[Condition Adj]]*Inventory[[#This Row],[Living Area Adj]]*Inventory[[#This Row],[Decade Adj]]*0.95</f>
        <v>0.91098049619194077</v>
      </c>
      <c r="BN687" s="25">
        <f>ROUND(SUM(Inventory[[#This Row],[Mdl Qlty]:[Mdl WdDeck]])+Inventory[[#This Row],[Mdl Res Intercept]]*Inventory[[#This Row],[Res Adj ]],-2)</f>
        <v>346500</v>
      </c>
      <c r="BO687" s="25">
        <f>ROUND(Inventory[[#This Row],[25Det]]*Inventory[[#This Row],[Det/Nbhd Adj]],-2)</f>
        <v>0</v>
      </c>
      <c r="BP687" s="25">
        <f>Inventory[[#This Row],[Adjusted Res]]+Inventory[[#This Row],[Adj Det ]]</f>
        <v>346500</v>
      </c>
      <c r="BQ687" s="25">
        <f>ROUND((Inventory[[#This Row],[Mdl Land Intercept]]+Inventory[[#This Row],[Mdl LnAcres]])*Inventory[[#This Row],[Det/Nbhd Adj]],-2)</f>
        <v>48100</v>
      </c>
      <c r="BR687" s="25">
        <f>Inventory[[#This Row],[Adjusted Impr Total]]+Inventory[[#This Row],[Adjusted Land Total]]</f>
        <v>394600</v>
      </c>
      <c r="BS687" s="36">
        <f>IFERROR((Inventory[[#This Row],[Adjusted Impr Total]]-Inventory[[#This Row],[24Bldg]])/Inventory[[#This Row],[24Bldg]],0)</f>
        <v>5.4794520547945202E-2</v>
      </c>
      <c r="BT687" s="36">
        <f>(Inventory[[#This Row],[Adjusted Land Total]]-Inventory[[#This Row],[24Lnd]])/Inventory[[#This Row],[24Lnd]]</f>
        <v>-0.32633053221288516</v>
      </c>
      <c r="BU687" s="36">
        <f>(Inventory[[#This Row],[Adjusted Total]]-Inventory[[#This Row],[24Final]])/Inventory[[#This Row],[24Final]]</f>
        <v>-1.3253313328332083E-2</v>
      </c>
    </row>
    <row r="688" spans="1:73" x14ac:dyDescent="0.3">
      <c r="A688" s="25">
        <v>2025</v>
      </c>
      <c r="B688" s="26" t="s">
        <v>1362</v>
      </c>
      <c r="C688" s="26">
        <f>LN(Inventory[[#This Row],[Acres]])</f>
        <v>-1.3862943611198906</v>
      </c>
      <c r="D688" s="25">
        <v>0.25</v>
      </c>
      <c r="E688" s="25">
        <v>11081</v>
      </c>
      <c r="F688" s="26" t="s">
        <v>537</v>
      </c>
      <c r="G688" s="26" t="s">
        <v>126</v>
      </c>
      <c r="H688" s="26" t="s">
        <v>349</v>
      </c>
      <c r="I688" s="26" t="s">
        <v>538</v>
      </c>
      <c r="J688" s="26" t="s">
        <v>539</v>
      </c>
      <c r="K688" s="26" t="s">
        <v>350</v>
      </c>
      <c r="L688" s="26" t="s">
        <v>351</v>
      </c>
      <c r="M688" s="26" t="s">
        <v>323</v>
      </c>
      <c r="N688" s="26">
        <v>70</v>
      </c>
      <c r="O688" s="26">
        <f>2024-Inventory[[#This Row],[YrBlt]]</f>
        <v>69</v>
      </c>
      <c r="P688" s="26">
        <f>2024-Inventory[[#This Row],[EffYr]]</f>
        <v>50</v>
      </c>
      <c r="Q688" s="25">
        <v>1955</v>
      </c>
      <c r="R688" s="25">
        <v>1974</v>
      </c>
      <c r="S688" s="25">
        <v>1454</v>
      </c>
      <c r="T688" s="31"/>
      <c r="U688" s="25">
        <v>734</v>
      </c>
      <c r="V688" s="25">
        <f>Inventory[[#This Row],[Bsmt]]-Inventory[[#This Row],[FnBsmt]]</f>
        <v>0</v>
      </c>
      <c r="W688" s="25">
        <v>734</v>
      </c>
      <c r="X688" s="27"/>
      <c r="Y688" s="27">
        <f>Inventory[[#This Row],[MainFn]]+Inventory[[#This Row],[UpprFn]]+Inventory[[#This Row],[FnBsmt]]+Inventory[[#This Row],[AddFn]]</f>
        <v>2188</v>
      </c>
      <c r="Z688" s="27">
        <v>2500</v>
      </c>
      <c r="AA688" s="25">
        <v>9</v>
      </c>
      <c r="AB688" s="27"/>
      <c r="AC688" s="31"/>
      <c r="AD688" s="31"/>
      <c r="AE688" s="27"/>
      <c r="AF688" s="27"/>
      <c r="AG688" s="27"/>
      <c r="AH688" s="27"/>
      <c r="AI688" s="25">
        <v>323789</v>
      </c>
      <c r="AJ688" s="25">
        <v>226652</v>
      </c>
      <c r="AK688" s="25">
        <v>0</v>
      </c>
      <c r="AL688" s="25">
        <v>347600</v>
      </c>
      <c r="AM688" s="25">
        <v>66200</v>
      </c>
      <c r="AN688" s="25">
        <v>281400</v>
      </c>
      <c r="AO688" s="25">
        <v>0</v>
      </c>
      <c r="AP688" s="25">
        <f>Lookups!$B$56*0</f>
        <v>0</v>
      </c>
      <c r="AQ688" s="25">
        <f>Lookups!$B$56*1</f>
        <v>89850.625589999996</v>
      </c>
      <c r="AR688" s="25">
        <f>Lookups!$B$57*Inventory[[#This Row],[LnAcres]]</f>
        <v>-43882.615305165229</v>
      </c>
      <c r="AS688" s="25">
        <f>VLOOKUP(Inventory[[#This Row],[Qlty]],Lookups!$A$62:$E$75,2,FALSE)</f>
        <v>21557.329055999999</v>
      </c>
      <c r="AT688" s="25">
        <f>VLOOKUP(Inventory[[#This Row],[Cnd]],Lookups!$A$76:$E$84,2,FALSE)</f>
        <v>160472.20319</v>
      </c>
      <c r="AU688" s="25">
        <f>Inventory[[#This Row],[EffAge]]*Lookups!$B$85</f>
        <v>-11152.280025</v>
      </c>
      <c r="AV688" s="25">
        <f>Inventory[[#This Row],[MainFn]]*Lookups!$B$86</f>
        <v>71840.206001158003</v>
      </c>
      <c r="AW688" s="25">
        <f>Inventory[[#This Row],[UpprFn]]*Lookups!$B$87</f>
        <v>0</v>
      </c>
      <c r="AX688" s="25">
        <f>Inventory[[#This Row],[AddFn]]*Lookups!$B$88</f>
        <v>0</v>
      </c>
      <c r="AY688" s="25">
        <f>Inventory[[#This Row],[Bsmt]]*Lookups!$B$89</f>
        <v>21346.111111298</v>
      </c>
      <c r="AZ688" s="25">
        <f>Inventory[[#This Row],[Fixtures]]*Lookups!$B$90</f>
        <v>34128.198946800003</v>
      </c>
      <c r="BA688" s="25">
        <f>Inventory[[#This Row],[WdDeck]]*Lookups!$B$91</f>
        <v>0</v>
      </c>
      <c r="BB688" s="25">
        <f>ROUND(Inventory[[#This Row],[25Det]],-2)</f>
        <v>0</v>
      </c>
      <c r="BC688" s="25">
        <f>ROUND(SUM(Inventory[[#This Row],[Mdl Qlty]:[Mdl WdDeck]])+Inventory[[#This Row],[Mdl Res Intercept]],-2)</f>
        <v>298200</v>
      </c>
      <c r="BD688" s="25">
        <f>ROUND(Inventory[[#This Row],[Mdl Land Intercept]]+Inventory[[#This Row],[Mdl LnAcres]],-2)</f>
        <v>46000</v>
      </c>
      <c r="BE688" s="25">
        <f>Inventory[[#This Row],[Unadj Res Value]]+Inventory[[#This Row],[Unadj Det Value]]+Inventory[[#This Row],[Unadj Land Value]]</f>
        <v>344200</v>
      </c>
      <c r="BF688" s="36">
        <f>(Inventory[[#This Row],[Unadj Total Value]]-Inventory[[#This Row],[24Final]])/Inventory[[#This Row],[24Final]]</f>
        <v>-9.781357882623706E-3</v>
      </c>
      <c r="BG688" s="25">
        <f>VLOOKUP(Inventory[[#This Row],[Nbhd]],Lookups!$Q$2:$T$4,4,FALSE)</f>
        <v>0.99970000000000003</v>
      </c>
      <c r="BH688" s="25">
        <f>VLOOKUP(Inventory[[#This Row],[Qlty]],Lookups!$O$7:$R$21,4,FALSE)</f>
        <v>1.0067999999999999</v>
      </c>
      <c r="BI688" s="25">
        <f>VLOOKUP(Inventory[[#This Row],[Cnd]],Lookups!$T$7:$W$16,4,FALSE)</f>
        <v>0.99729999999999996</v>
      </c>
      <c r="BJ688" s="25">
        <f>VLOOKUP(Inventory[[#This Row],[LivArea Range]],Lookups!$T$25:$W$37,4,FALSE)</f>
        <v>0.98919999999999997</v>
      </c>
      <c r="BK688" s="25">
        <f>VLOOKUP(Inventory[[#This Row],[Decade]],Lookups!$O$25:$R$42,4,FALSE)</f>
        <v>1.0199</v>
      </c>
      <c r="BL688" s="25">
        <f>Inventory[[#This Row],[Nbhd Adj]]*0.95</f>
        <v>0.94971499999999998</v>
      </c>
      <c r="BM688" s="25">
        <f>Inventory[[#This Row],[Nbhd Adj]]*Inventory[[#This Row],[Quality Adj]]*Inventory[[#This Row],[Condition Adj]]*Inventory[[#This Row],[Living Area Adj]]*Inventory[[#This Row],[Decade Adj]]*0.95</f>
        <v>0.9620641305621106</v>
      </c>
      <c r="BN688" s="25">
        <f>ROUND(SUM(Inventory[[#This Row],[Mdl Qlty]:[Mdl WdDeck]])+Inventory[[#This Row],[Mdl Res Intercept]]*Inventory[[#This Row],[Res Adj ]],-2)</f>
        <v>298200</v>
      </c>
      <c r="BO688" s="25">
        <f>ROUND(Inventory[[#This Row],[25Det]]*Inventory[[#This Row],[Det/Nbhd Adj]],-2)</f>
        <v>0</v>
      </c>
      <c r="BP688" s="25">
        <f>Inventory[[#This Row],[Adjusted Res]]+Inventory[[#This Row],[Adj Det ]]</f>
        <v>298200</v>
      </c>
      <c r="BQ688" s="25">
        <f>ROUND((Inventory[[#This Row],[Mdl Land Intercept]]+Inventory[[#This Row],[Mdl LnAcres]])*Inventory[[#This Row],[Det/Nbhd Adj]],-2)</f>
        <v>43700</v>
      </c>
      <c r="BR688" s="25">
        <f>Inventory[[#This Row],[Adjusted Impr Total]]+Inventory[[#This Row],[Adjusted Land Total]]</f>
        <v>341900</v>
      </c>
      <c r="BS688" s="36">
        <f>IFERROR((Inventory[[#This Row],[Adjusted Impr Total]]-Inventory[[#This Row],[24Bldg]])/Inventory[[#This Row],[24Bldg]],0)</f>
        <v>5.9701492537313432E-2</v>
      </c>
      <c r="BT688" s="36">
        <f>(Inventory[[#This Row],[Adjusted Land Total]]-Inventory[[#This Row],[24Lnd]])/Inventory[[#This Row],[24Lnd]]</f>
        <v>-0.33987915407854985</v>
      </c>
      <c r="BU688" s="36">
        <f>(Inventory[[#This Row],[Adjusted Total]]-Inventory[[#This Row],[24Final]])/Inventory[[#This Row],[24Final]]</f>
        <v>-1.6398158803222096E-2</v>
      </c>
    </row>
    <row r="689" spans="1:73" x14ac:dyDescent="0.3">
      <c r="A689" s="25">
        <v>2025</v>
      </c>
      <c r="B689" s="26" t="s">
        <v>1927</v>
      </c>
      <c r="C689" s="26">
        <f>LN(Inventory[[#This Row],[Acres]])</f>
        <v>-1.6094379124341003</v>
      </c>
      <c r="D689" s="25">
        <v>0.2</v>
      </c>
      <c r="E689" s="31"/>
      <c r="F689" s="26" t="s">
        <v>537</v>
      </c>
      <c r="G689" s="26" t="s">
        <v>126</v>
      </c>
      <c r="H689" s="26" t="s">
        <v>349</v>
      </c>
      <c r="I689" s="26" t="s">
        <v>538</v>
      </c>
      <c r="J689" s="26" t="s">
        <v>539</v>
      </c>
      <c r="K689" s="26" t="s">
        <v>241</v>
      </c>
      <c r="L689" s="26" t="s">
        <v>95</v>
      </c>
      <c r="M689" s="26" t="s">
        <v>303</v>
      </c>
      <c r="N689" s="26">
        <v>70</v>
      </c>
      <c r="O689" s="26">
        <f>2024-Inventory[[#This Row],[YrBlt]]</f>
        <v>69</v>
      </c>
      <c r="P689" s="26">
        <f>2024-Inventory[[#This Row],[EffYr]]</f>
        <v>50</v>
      </c>
      <c r="Q689" s="25">
        <v>1955</v>
      </c>
      <c r="R689" s="25">
        <v>1974</v>
      </c>
      <c r="S689" s="25">
        <v>1410</v>
      </c>
      <c r="T689" s="31"/>
      <c r="U689" s="25">
        <v>864</v>
      </c>
      <c r="V689" s="25">
        <f>Inventory[[#This Row],[Bsmt]]-Inventory[[#This Row],[FnBsmt]]</f>
        <v>0</v>
      </c>
      <c r="W689" s="25">
        <v>864</v>
      </c>
      <c r="X689" s="27"/>
      <c r="Y689" s="27">
        <f>Inventory[[#This Row],[MainFn]]+Inventory[[#This Row],[UpprFn]]+Inventory[[#This Row],[FnBsmt]]+Inventory[[#This Row],[AddFn]]</f>
        <v>2274</v>
      </c>
      <c r="Z689" s="27">
        <v>2500</v>
      </c>
      <c r="AA689" s="25">
        <v>8</v>
      </c>
      <c r="AB689" s="27"/>
      <c r="AC689" s="25">
        <v>270</v>
      </c>
      <c r="AD689" s="31"/>
      <c r="AE689" s="27"/>
      <c r="AF689" s="27"/>
      <c r="AG689" s="27"/>
      <c r="AH689" s="27"/>
      <c r="AI689" s="25">
        <v>472713</v>
      </c>
      <c r="AJ689" s="25">
        <v>345080</v>
      </c>
      <c r="AK689" s="25">
        <v>0</v>
      </c>
      <c r="AL689" s="25">
        <v>433100</v>
      </c>
      <c r="AM689" s="25">
        <v>58400</v>
      </c>
      <c r="AN689" s="25">
        <v>374700</v>
      </c>
      <c r="AO689" s="25">
        <v>0</v>
      </c>
      <c r="AP689" s="25">
        <f>Lookups!$B$56*0</f>
        <v>0</v>
      </c>
      <c r="AQ689" s="25">
        <f>Lookups!$B$56*1</f>
        <v>89850.625589999996</v>
      </c>
      <c r="AR689" s="25">
        <f>Lookups!$B$57*Inventory[[#This Row],[LnAcres]]</f>
        <v>-50946.13867709865</v>
      </c>
      <c r="AS689" s="25">
        <f>VLOOKUP(Inventory[[#This Row],[Qlty]],Lookups!$A$62:$E$75,2,FALSE)</f>
        <v>74268.409664999999</v>
      </c>
      <c r="AT689" s="25">
        <f>VLOOKUP(Inventory[[#This Row],[Cnd]],Lookups!$A$76:$E$84,2,FALSE)</f>
        <v>197752.34721000001</v>
      </c>
      <c r="AU689" s="25">
        <f>Inventory[[#This Row],[EffAge]]*Lookups!$B$85</f>
        <v>-11152.280025</v>
      </c>
      <c r="AV689" s="25">
        <f>Inventory[[#This Row],[MainFn]]*Lookups!$B$86</f>
        <v>69666.224526570004</v>
      </c>
      <c r="AW689" s="25">
        <f>Inventory[[#This Row],[UpprFn]]*Lookups!$B$87</f>
        <v>0</v>
      </c>
      <c r="AX689" s="25">
        <f>Inventory[[#This Row],[AddFn]]*Lookups!$B$88</f>
        <v>0</v>
      </c>
      <c r="AY689" s="25">
        <f>Inventory[[#This Row],[Bsmt]]*Lookups!$B$89</f>
        <v>25126.757493408</v>
      </c>
      <c r="AZ689" s="25">
        <f>Inventory[[#This Row],[Fixtures]]*Lookups!$B$90</f>
        <v>30336.176841600001</v>
      </c>
      <c r="BA689" s="25">
        <f>Inventory[[#This Row],[WdDeck]]*Lookups!$B$91</f>
        <v>0</v>
      </c>
      <c r="BB689" s="25">
        <f>ROUND(Inventory[[#This Row],[25Det]],-2)</f>
        <v>0</v>
      </c>
      <c r="BC689" s="25">
        <f>ROUND(SUM(Inventory[[#This Row],[Mdl Qlty]:[Mdl WdDeck]])+Inventory[[#This Row],[Mdl Res Intercept]],-2)</f>
        <v>386000</v>
      </c>
      <c r="BD689" s="25">
        <f>ROUND(Inventory[[#This Row],[Mdl Land Intercept]]+Inventory[[#This Row],[Mdl LnAcres]],-2)</f>
        <v>38900</v>
      </c>
      <c r="BE689" s="25">
        <f>Inventory[[#This Row],[Unadj Res Value]]+Inventory[[#This Row],[Unadj Det Value]]+Inventory[[#This Row],[Unadj Land Value]]</f>
        <v>424900</v>
      </c>
      <c r="BF689" s="36">
        <f>(Inventory[[#This Row],[Unadj Total Value]]-Inventory[[#This Row],[24Final]])/Inventory[[#This Row],[24Final]]</f>
        <v>-1.8933271761717847E-2</v>
      </c>
      <c r="BG689" s="25">
        <f>VLOOKUP(Inventory[[#This Row],[Nbhd]],Lookups!$Q$2:$T$4,4,FALSE)</f>
        <v>0.99970000000000003</v>
      </c>
      <c r="BH689" s="25">
        <f>VLOOKUP(Inventory[[#This Row],[Qlty]],Lookups!$O$7:$R$21,4,FALSE)</f>
        <v>0.98380000000000001</v>
      </c>
      <c r="BI689" s="25">
        <f>VLOOKUP(Inventory[[#This Row],[Cnd]],Lookups!$T$7:$W$16,4,FALSE)</f>
        <v>0.99650000000000005</v>
      </c>
      <c r="BJ689" s="25">
        <f>VLOOKUP(Inventory[[#This Row],[LivArea Range]],Lookups!$T$25:$W$37,4,FALSE)</f>
        <v>0.98919999999999997</v>
      </c>
      <c r="BK689" s="25">
        <f>VLOOKUP(Inventory[[#This Row],[Decade]],Lookups!$O$25:$R$42,4,FALSE)</f>
        <v>1.0199</v>
      </c>
      <c r="BL689" s="25">
        <f>Inventory[[#This Row],[Nbhd Adj]]*0.95</f>
        <v>0.94971499999999998</v>
      </c>
      <c r="BM689" s="25">
        <f>Inventory[[#This Row],[Nbhd Adj]]*Inventory[[#This Row],[Quality Adj]]*Inventory[[#This Row],[Condition Adj]]*Inventory[[#This Row],[Living Area Adj]]*Inventory[[#This Row],[Decade Adj]]*0.95</f>
        <v>0.93933200115703741</v>
      </c>
      <c r="BN689" s="25">
        <f>ROUND(SUM(Inventory[[#This Row],[Mdl Qlty]:[Mdl WdDeck]])+Inventory[[#This Row],[Mdl Res Intercept]]*Inventory[[#This Row],[Res Adj ]],-2)</f>
        <v>386000</v>
      </c>
      <c r="BO689" s="25">
        <f>ROUND(Inventory[[#This Row],[25Det]]*Inventory[[#This Row],[Det/Nbhd Adj]],-2)</f>
        <v>0</v>
      </c>
      <c r="BP689" s="25">
        <f>Inventory[[#This Row],[Adjusted Res]]+Inventory[[#This Row],[Adj Det ]]</f>
        <v>386000</v>
      </c>
      <c r="BQ689" s="25">
        <f>ROUND((Inventory[[#This Row],[Mdl Land Intercept]]+Inventory[[#This Row],[Mdl LnAcres]])*Inventory[[#This Row],[Det/Nbhd Adj]],-2)</f>
        <v>36900</v>
      </c>
      <c r="BR689" s="25">
        <f>Inventory[[#This Row],[Adjusted Impr Total]]+Inventory[[#This Row],[Adjusted Land Total]]</f>
        <v>422900</v>
      </c>
      <c r="BS689" s="36">
        <f>IFERROR((Inventory[[#This Row],[Adjusted Impr Total]]-Inventory[[#This Row],[24Bldg]])/Inventory[[#This Row],[24Bldg]],0)</f>
        <v>3.0157459300773952E-2</v>
      </c>
      <c r="BT689" s="36">
        <f>(Inventory[[#This Row],[Adjusted Land Total]]-Inventory[[#This Row],[24Lnd]])/Inventory[[#This Row],[24Lnd]]</f>
        <v>-0.36815068493150682</v>
      </c>
      <c r="BU689" s="36">
        <f>(Inventory[[#This Row],[Adjusted Total]]-Inventory[[#This Row],[24Final]])/Inventory[[#This Row],[24Final]]</f>
        <v>-2.3551142923112445E-2</v>
      </c>
    </row>
    <row r="690" spans="1:73" x14ac:dyDescent="0.3">
      <c r="A690" s="25">
        <v>2025</v>
      </c>
      <c r="B690" s="26" t="s">
        <v>2243</v>
      </c>
      <c r="C690" s="26">
        <f>LN(Inventory[[#This Row],[Acres]])</f>
        <v>-1.5606477482646683</v>
      </c>
      <c r="D690" s="25">
        <v>0.21</v>
      </c>
      <c r="E690" s="31"/>
      <c r="F690" s="26" t="s">
        <v>537</v>
      </c>
      <c r="G690" s="26" t="s">
        <v>126</v>
      </c>
      <c r="H690" s="26" t="s">
        <v>349</v>
      </c>
      <c r="I690" s="26" t="s">
        <v>538</v>
      </c>
      <c r="J690" s="26" t="s">
        <v>539</v>
      </c>
      <c r="K690" s="26" t="s">
        <v>242</v>
      </c>
      <c r="L690" s="26" t="s">
        <v>205</v>
      </c>
      <c r="M690" s="26" t="s">
        <v>323</v>
      </c>
      <c r="N690" s="26">
        <v>70</v>
      </c>
      <c r="O690" s="26">
        <f>2024-Inventory[[#This Row],[YrBlt]]</f>
        <v>69</v>
      </c>
      <c r="P690" s="26">
        <f>2024-Inventory[[#This Row],[EffYr]]</f>
        <v>50</v>
      </c>
      <c r="Q690" s="25">
        <v>1955</v>
      </c>
      <c r="R690" s="25">
        <v>1974</v>
      </c>
      <c r="S690" s="25">
        <v>960</v>
      </c>
      <c r="T690" s="27"/>
      <c r="U690" s="25">
        <v>960</v>
      </c>
      <c r="V690" s="25">
        <f>Inventory[[#This Row],[Bsmt]]-Inventory[[#This Row],[FnBsmt]]</f>
        <v>0</v>
      </c>
      <c r="W690" s="25">
        <v>960</v>
      </c>
      <c r="X690" s="27"/>
      <c r="Y690" s="27">
        <f>Inventory[[#This Row],[MainFn]]+Inventory[[#This Row],[UpprFn]]+Inventory[[#This Row],[FnBsmt]]+Inventory[[#This Row],[AddFn]]</f>
        <v>1920</v>
      </c>
      <c r="Z690" s="27">
        <v>2000</v>
      </c>
      <c r="AA690" s="25">
        <v>8</v>
      </c>
      <c r="AB690" s="27"/>
      <c r="AC690" s="31"/>
      <c r="AD690" s="31"/>
      <c r="AE690" s="27"/>
      <c r="AF690" s="27"/>
      <c r="AG690" s="27"/>
      <c r="AH690" s="27"/>
      <c r="AI690" s="25">
        <v>239613</v>
      </c>
      <c r="AJ690" s="25">
        <v>167729</v>
      </c>
      <c r="AK690" s="25">
        <v>0</v>
      </c>
      <c r="AL690" s="25">
        <v>301700</v>
      </c>
      <c r="AM690" s="25">
        <v>60100</v>
      </c>
      <c r="AN690" s="25">
        <v>241600</v>
      </c>
      <c r="AO690" s="25">
        <v>0</v>
      </c>
      <c r="AP690" s="25">
        <f>Lookups!$B$56*0</f>
        <v>0</v>
      </c>
      <c r="AQ690" s="25">
        <f>Lookups!$B$56*1</f>
        <v>89850.625589999996</v>
      </c>
      <c r="AR690" s="25">
        <f>Lookups!$B$57*Inventory[[#This Row],[LnAcres]]</f>
        <v>-49401.70477837498</v>
      </c>
      <c r="AS690" s="25">
        <f>VLOOKUP(Inventory[[#This Row],[Qlty]],Lookups!$A$62:$E$75,2,FALSE)</f>
        <v>0</v>
      </c>
      <c r="AT690" s="25">
        <f>VLOOKUP(Inventory[[#This Row],[Cnd]],Lookups!$A$76:$E$84,2,FALSE)</f>
        <v>160472.20319</v>
      </c>
      <c r="AU690" s="25">
        <f>Inventory[[#This Row],[EffAge]]*Lookups!$B$85</f>
        <v>-11152.280025</v>
      </c>
      <c r="AV690" s="25">
        <f>Inventory[[#This Row],[MainFn]]*Lookups!$B$86</f>
        <v>47432.323081920003</v>
      </c>
      <c r="AW690" s="25">
        <f>Inventory[[#This Row],[UpprFn]]*Lookups!$B$87</f>
        <v>0</v>
      </c>
      <c r="AX690" s="25">
        <f>Inventory[[#This Row],[AddFn]]*Lookups!$B$88</f>
        <v>0</v>
      </c>
      <c r="AY690" s="25">
        <f>Inventory[[#This Row],[Bsmt]]*Lookups!$B$89</f>
        <v>27918.61943712</v>
      </c>
      <c r="AZ690" s="25">
        <f>Inventory[[#This Row],[Fixtures]]*Lookups!$B$90</f>
        <v>30336.176841600001</v>
      </c>
      <c r="BA690" s="25">
        <f>Inventory[[#This Row],[WdDeck]]*Lookups!$B$91</f>
        <v>0</v>
      </c>
      <c r="BB690" s="25">
        <f>ROUND(Inventory[[#This Row],[25Det]],-2)</f>
        <v>0</v>
      </c>
      <c r="BC690" s="25">
        <f>ROUND(SUM(Inventory[[#This Row],[Mdl Qlty]:[Mdl WdDeck]])+Inventory[[#This Row],[Mdl Res Intercept]],-2)</f>
        <v>255000</v>
      </c>
      <c r="BD690" s="25">
        <f>ROUND(Inventory[[#This Row],[Mdl Land Intercept]]+Inventory[[#This Row],[Mdl LnAcres]],-2)</f>
        <v>40400</v>
      </c>
      <c r="BE690" s="25">
        <f>Inventory[[#This Row],[Unadj Res Value]]+Inventory[[#This Row],[Unadj Det Value]]+Inventory[[#This Row],[Unadj Land Value]]</f>
        <v>295400</v>
      </c>
      <c r="BF690" s="36">
        <f>(Inventory[[#This Row],[Unadj Total Value]]-Inventory[[#This Row],[24Final]])/Inventory[[#This Row],[24Final]]</f>
        <v>-2.0881670533642691E-2</v>
      </c>
      <c r="BG690" s="25">
        <f>VLOOKUP(Inventory[[#This Row],[Nbhd]],Lookups!$Q$2:$T$4,4,FALSE)</f>
        <v>0.99970000000000003</v>
      </c>
      <c r="BH690" s="25">
        <f>VLOOKUP(Inventory[[#This Row],[Qlty]],Lookups!$O$7:$R$21,4,FALSE)</f>
        <v>0.99180000000000001</v>
      </c>
      <c r="BI690" s="25">
        <f>VLOOKUP(Inventory[[#This Row],[Cnd]],Lookups!$T$7:$W$16,4,FALSE)</f>
        <v>0.99729999999999996</v>
      </c>
      <c r="BJ690" s="25">
        <f>VLOOKUP(Inventory[[#This Row],[LivArea Range]],Lookups!$T$25:$W$37,4,FALSE)</f>
        <v>1.0093000000000001</v>
      </c>
      <c r="BK690" s="25">
        <f>VLOOKUP(Inventory[[#This Row],[Decade]],Lookups!$O$25:$R$42,4,FALSE)</f>
        <v>1.0199</v>
      </c>
      <c r="BL690" s="25">
        <f>Inventory[[#This Row],[Nbhd Adj]]*0.95</f>
        <v>0.94971499999999998</v>
      </c>
      <c r="BM690" s="25">
        <f>Inventory[[#This Row],[Nbhd Adj]]*Inventory[[#This Row],[Quality Adj]]*Inventory[[#This Row],[Condition Adj]]*Inventory[[#This Row],[Living Area Adj]]*Inventory[[#This Row],[Decade Adj]]*0.95</f>
        <v>0.9669880017007807</v>
      </c>
      <c r="BN690" s="25">
        <f>ROUND(SUM(Inventory[[#This Row],[Mdl Qlty]:[Mdl WdDeck]])+Inventory[[#This Row],[Mdl Res Intercept]]*Inventory[[#This Row],[Res Adj ]],-2)</f>
        <v>255000</v>
      </c>
      <c r="BO690" s="25">
        <f>ROUND(Inventory[[#This Row],[25Det]]*Inventory[[#This Row],[Det/Nbhd Adj]],-2)</f>
        <v>0</v>
      </c>
      <c r="BP690" s="25">
        <f>Inventory[[#This Row],[Adjusted Res]]+Inventory[[#This Row],[Adj Det ]]</f>
        <v>255000</v>
      </c>
      <c r="BQ690" s="25">
        <f>ROUND((Inventory[[#This Row],[Mdl Land Intercept]]+Inventory[[#This Row],[Mdl LnAcres]])*Inventory[[#This Row],[Det/Nbhd Adj]],-2)</f>
        <v>38400</v>
      </c>
      <c r="BR690" s="25">
        <f>Inventory[[#This Row],[Adjusted Impr Total]]+Inventory[[#This Row],[Adjusted Land Total]]</f>
        <v>293400</v>
      </c>
      <c r="BS690" s="36">
        <f>IFERROR((Inventory[[#This Row],[Adjusted Impr Total]]-Inventory[[#This Row],[24Bldg]])/Inventory[[#This Row],[24Bldg]],0)</f>
        <v>5.5463576158940396E-2</v>
      </c>
      <c r="BT690" s="36">
        <f>(Inventory[[#This Row],[Adjusted Land Total]]-Inventory[[#This Row],[24Lnd]])/Inventory[[#This Row],[24Lnd]]</f>
        <v>-0.36106489184692181</v>
      </c>
      <c r="BU690" s="36">
        <f>(Inventory[[#This Row],[Adjusted Total]]-Inventory[[#This Row],[24Final]])/Inventory[[#This Row],[24Final]]</f>
        <v>-2.7510772290354656E-2</v>
      </c>
    </row>
    <row r="691" spans="1:73" x14ac:dyDescent="0.3">
      <c r="A691" s="25">
        <v>2025</v>
      </c>
      <c r="B691" s="26" t="s">
        <v>1074</v>
      </c>
      <c r="C691" s="26">
        <f>LN(Inventory[[#This Row],[Acres]])</f>
        <v>-1.4271163556401458</v>
      </c>
      <c r="D691" s="25">
        <v>0.24</v>
      </c>
      <c r="E691" s="25">
        <v>10281</v>
      </c>
      <c r="F691" s="26" t="s">
        <v>537</v>
      </c>
      <c r="G691" s="26" t="s">
        <v>126</v>
      </c>
      <c r="H691" s="26" t="s">
        <v>349</v>
      </c>
      <c r="I691" s="26" t="s">
        <v>538</v>
      </c>
      <c r="J691" s="26" t="s">
        <v>539</v>
      </c>
      <c r="K691" s="26" t="s">
        <v>241</v>
      </c>
      <c r="L691" s="26" t="s">
        <v>95</v>
      </c>
      <c r="M691" s="26" t="s">
        <v>303</v>
      </c>
      <c r="N691" s="26">
        <v>70</v>
      </c>
      <c r="O691" s="26">
        <f>2024-Inventory[[#This Row],[YrBlt]]</f>
        <v>69</v>
      </c>
      <c r="P691" s="26">
        <f>2024-Inventory[[#This Row],[EffYr]]</f>
        <v>50</v>
      </c>
      <c r="Q691" s="25">
        <v>1955</v>
      </c>
      <c r="R691" s="25">
        <v>1974</v>
      </c>
      <c r="S691" s="25">
        <v>1781</v>
      </c>
      <c r="T691" s="31"/>
      <c r="U691" s="25">
        <v>901</v>
      </c>
      <c r="V691" s="32">
        <f>Inventory[[#This Row],[Bsmt]]-Inventory[[#This Row],[FnBsmt]]</f>
        <v>0</v>
      </c>
      <c r="W691" s="32">
        <v>901</v>
      </c>
      <c r="X691" s="27"/>
      <c r="Y691" s="27">
        <f>Inventory[[#This Row],[MainFn]]+Inventory[[#This Row],[UpprFn]]+Inventory[[#This Row],[FnBsmt]]+Inventory[[#This Row],[AddFn]]</f>
        <v>2682</v>
      </c>
      <c r="Z691" s="27">
        <v>3000</v>
      </c>
      <c r="AA691" s="25">
        <v>13</v>
      </c>
      <c r="AB691" s="27"/>
      <c r="AC691" s="32">
        <v>594</v>
      </c>
      <c r="AD691" s="31"/>
      <c r="AE691" s="27"/>
      <c r="AF691" s="27"/>
      <c r="AG691" s="27"/>
      <c r="AH691" s="27"/>
      <c r="AI691" s="25">
        <v>595762</v>
      </c>
      <c r="AJ691" s="25">
        <v>434906</v>
      </c>
      <c r="AK691" s="25">
        <v>0</v>
      </c>
      <c r="AL691" s="25">
        <v>482100</v>
      </c>
      <c r="AM691" s="25">
        <v>64800</v>
      </c>
      <c r="AN691" s="25">
        <v>417300</v>
      </c>
      <c r="AO691" s="25">
        <v>0</v>
      </c>
      <c r="AP691" s="25">
        <f>Lookups!$B$56*0</f>
        <v>0</v>
      </c>
      <c r="AQ691" s="25">
        <f>Lookups!$B$56*1</f>
        <v>89850.625589999996</v>
      </c>
      <c r="AR691" s="25">
        <f>Lookups!$B$57*Inventory[[#This Row],[LnAcres]]</f>
        <v>-45174.819855485119</v>
      </c>
      <c r="AS691" s="25">
        <f>VLOOKUP(Inventory[[#This Row],[Qlty]],Lookups!$A$62:$E$75,2,FALSE)</f>
        <v>74268.409664999999</v>
      </c>
      <c r="AT691" s="25">
        <f>VLOOKUP(Inventory[[#This Row],[Cnd]],Lookups!$A$76:$E$84,2,FALSE)</f>
        <v>197752.34721000001</v>
      </c>
      <c r="AU691" s="25">
        <f>Inventory[[#This Row],[EffAge]]*Lookups!$B$85</f>
        <v>-11152.280025</v>
      </c>
      <c r="AV691" s="25">
        <f>Inventory[[#This Row],[MainFn]]*Lookups!$B$86</f>
        <v>87996.841050937001</v>
      </c>
      <c r="AW691" s="25">
        <f>Inventory[[#This Row],[UpprFn]]*Lookups!$B$87</f>
        <v>0</v>
      </c>
      <c r="AX691" s="25">
        <f>Inventory[[#This Row],[AddFn]]*Lookups!$B$88</f>
        <v>0</v>
      </c>
      <c r="AY691" s="25">
        <f>Inventory[[#This Row],[Bsmt]]*Lookups!$B$89</f>
        <v>26202.787617546997</v>
      </c>
      <c r="AZ691" s="25">
        <f>Inventory[[#This Row],[Fixtures]]*Lookups!$B$90</f>
        <v>49296.287367600002</v>
      </c>
      <c r="BA691" s="25">
        <f>Inventory[[#This Row],[WdDeck]]*Lookups!$B$91</f>
        <v>0</v>
      </c>
      <c r="BB691" s="25">
        <f>ROUND(Inventory[[#This Row],[25Det]],-2)</f>
        <v>0</v>
      </c>
      <c r="BC691" s="25">
        <f>ROUND(SUM(Inventory[[#This Row],[Mdl Qlty]:[Mdl WdDeck]])+Inventory[[#This Row],[Mdl Res Intercept]],-2)</f>
        <v>424400</v>
      </c>
      <c r="BD691" s="25">
        <f>ROUND(Inventory[[#This Row],[Mdl Land Intercept]]+Inventory[[#This Row],[Mdl LnAcres]],-2)</f>
        <v>44700</v>
      </c>
      <c r="BE691" s="25">
        <f>Inventory[[#This Row],[Unadj Res Value]]+Inventory[[#This Row],[Unadj Det Value]]+Inventory[[#This Row],[Unadj Land Value]]</f>
        <v>469100</v>
      </c>
      <c r="BF691" s="36">
        <f>(Inventory[[#This Row],[Unadj Total Value]]-Inventory[[#This Row],[24Final]])/Inventory[[#This Row],[24Final]]</f>
        <v>-2.6965359883841526E-2</v>
      </c>
      <c r="BG691" s="25">
        <f>VLOOKUP(Inventory[[#This Row],[Nbhd]],Lookups!$Q$2:$T$4,4,FALSE)</f>
        <v>0.99970000000000003</v>
      </c>
      <c r="BH691" s="25">
        <f>VLOOKUP(Inventory[[#This Row],[Qlty]],Lookups!$O$7:$R$21,4,FALSE)</f>
        <v>0.98380000000000001</v>
      </c>
      <c r="BI691" s="25">
        <f>VLOOKUP(Inventory[[#This Row],[Cnd]],Lookups!$T$7:$W$16,4,FALSE)</f>
        <v>0.99650000000000005</v>
      </c>
      <c r="BJ691" s="25">
        <f>VLOOKUP(Inventory[[#This Row],[LivArea Range]],Lookups!$T$25:$W$37,4,FALSE)</f>
        <v>0.96179999999999999</v>
      </c>
      <c r="BK691" s="25">
        <f>VLOOKUP(Inventory[[#This Row],[Decade]],Lookups!$O$25:$R$42,4,FALSE)</f>
        <v>1.0199</v>
      </c>
      <c r="BL691" s="25">
        <f>Inventory[[#This Row],[Nbhd Adj]]*0.95</f>
        <v>0.94971499999999998</v>
      </c>
      <c r="BM691" s="25">
        <f>Inventory[[#This Row],[Nbhd Adj]]*Inventory[[#This Row],[Quality Adj]]*Inventory[[#This Row],[Condition Adj]]*Inventory[[#This Row],[Living Area Adj]]*Inventory[[#This Row],[Decade Adj]]*0.95</f>
        <v>0.9133133023785267</v>
      </c>
      <c r="BN691" s="25">
        <f>ROUND(SUM(Inventory[[#This Row],[Mdl Qlty]:[Mdl WdDeck]])+Inventory[[#This Row],[Mdl Res Intercept]]*Inventory[[#This Row],[Res Adj ]],-2)</f>
        <v>424400</v>
      </c>
      <c r="BO691" s="25">
        <f>ROUND(Inventory[[#This Row],[25Det]]*Inventory[[#This Row],[Det/Nbhd Adj]],-2)</f>
        <v>0</v>
      </c>
      <c r="BP691" s="25">
        <f>Inventory[[#This Row],[Adjusted Res]]+Inventory[[#This Row],[Adj Det ]]</f>
        <v>424400</v>
      </c>
      <c r="BQ691" s="25">
        <f>ROUND((Inventory[[#This Row],[Mdl Land Intercept]]+Inventory[[#This Row],[Mdl LnAcres]])*Inventory[[#This Row],[Det/Nbhd Adj]],-2)</f>
        <v>42400</v>
      </c>
      <c r="BR691" s="25">
        <f>Inventory[[#This Row],[Adjusted Impr Total]]+Inventory[[#This Row],[Adjusted Land Total]]</f>
        <v>466800</v>
      </c>
      <c r="BS691" s="36">
        <f>IFERROR((Inventory[[#This Row],[Adjusted Impr Total]]-Inventory[[#This Row],[24Bldg]])/Inventory[[#This Row],[24Bldg]],0)</f>
        <v>1.7014138509465614E-2</v>
      </c>
      <c r="BT691" s="36">
        <f>(Inventory[[#This Row],[Adjusted Land Total]]-Inventory[[#This Row],[24Lnd]])/Inventory[[#This Row],[24Lnd]]</f>
        <v>-0.34567901234567899</v>
      </c>
      <c r="BU691" s="36">
        <f>(Inventory[[#This Row],[Adjusted Total]]-Inventory[[#This Row],[24Final]])/Inventory[[#This Row],[24Final]]</f>
        <v>-3.1736154324828875E-2</v>
      </c>
    </row>
    <row r="692" spans="1:73" x14ac:dyDescent="0.3">
      <c r="A692" s="25">
        <v>2025</v>
      </c>
      <c r="B692" s="26" t="s">
        <v>956</v>
      </c>
      <c r="C692" s="26">
        <f>LN(Inventory[[#This Row],[Acres]])</f>
        <v>-1.2039728043259361</v>
      </c>
      <c r="D692" s="25">
        <v>0.3</v>
      </c>
      <c r="E692" s="25">
        <v>12981</v>
      </c>
      <c r="F692" s="26" t="s">
        <v>537</v>
      </c>
      <c r="G692" s="26" t="s">
        <v>126</v>
      </c>
      <c r="H692" s="26" t="s">
        <v>349</v>
      </c>
      <c r="I692" s="26" t="s">
        <v>538</v>
      </c>
      <c r="J692" s="26" t="s">
        <v>539</v>
      </c>
      <c r="K692" s="26" t="s">
        <v>241</v>
      </c>
      <c r="L692" s="26" t="s">
        <v>95</v>
      </c>
      <c r="M692" s="26" t="s">
        <v>303</v>
      </c>
      <c r="N692" s="26">
        <v>70</v>
      </c>
      <c r="O692" s="26">
        <f>2024-Inventory[[#This Row],[YrBlt]]</f>
        <v>69</v>
      </c>
      <c r="P692" s="26">
        <f>2024-Inventory[[#This Row],[EffYr]]</f>
        <v>50</v>
      </c>
      <c r="Q692" s="25">
        <v>1955</v>
      </c>
      <c r="R692" s="25">
        <v>1974</v>
      </c>
      <c r="S692" s="25">
        <v>1362</v>
      </c>
      <c r="T692" s="27"/>
      <c r="U692" s="25">
        <v>1340</v>
      </c>
      <c r="V692" s="25">
        <f>Inventory[[#This Row],[Bsmt]]-Inventory[[#This Row],[FnBsmt]]</f>
        <v>0</v>
      </c>
      <c r="W692" s="25">
        <v>1340</v>
      </c>
      <c r="X692" s="27"/>
      <c r="Y692" s="27">
        <f>Inventory[[#This Row],[MainFn]]+Inventory[[#This Row],[UpprFn]]+Inventory[[#This Row],[FnBsmt]]+Inventory[[#This Row],[AddFn]]</f>
        <v>2702</v>
      </c>
      <c r="Z692" s="27">
        <v>3000</v>
      </c>
      <c r="AA692" s="25">
        <v>10</v>
      </c>
      <c r="AB692" s="25">
        <v>360</v>
      </c>
      <c r="AC692" s="27"/>
      <c r="AD692" s="27"/>
      <c r="AE692" s="27"/>
      <c r="AF692" s="27"/>
      <c r="AG692" s="27"/>
      <c r="AH692" s="27"/>
      <c r="AI692" s="25">
        <v>538178</v>
      </c>
      <c r="AJ692" s="25">
        <v>392870</v>
      </c>
      <c r="AK692" s="25">
        <v>0</v>
      </c>
      <c r="AL692" s="25">
        <v>470500</v>
      </c>
      <c r="AM692" s="25">
        <v>72500</v>
      </c>
      <c r="AN692" s="25">
        <v>398000</v>
      </c>
      <c r="AO692" s="25">
        <v>0</v>
      </c>
      <c r="AP692" s="25">
        <f>Lookups!$B$56*0</f>
        <v>0</v>
      </c>
      <c r="AQ692" s="25">
        <f>Lookups!$B$56*1</f>
        <v>89850.625589999996</v>
      </c>
      <c r="AR692" s="25">
        <f>Lookups!$B$57*Inventory[[#This Row],[LnAcres]]</f>
        <v>-38111.29648355169</v>
      </c>
      <c r="AS692" s="25">
        <f>VLOOKUP(Inventory[[#This Row],[Qlty]],Lookups!$A$62:$E$75,2,FALSE)</f>
        <v>74268.409664999999</v>
      </c>
      <c r="AT692" s="25">
        <f>VLOOKUP(Inventory[[#This Row],[Cnd]],Lookups!$A$76:$E$84,2,FALSE)</f>
        <v>197752.34721000001</v>
      </c>
      <c r="AU692" s="25">
        <f>Inventory[[#This Row],[EffAge]]*Lookups!$B$85</f>
        <v>-11152.280025</v>
      </c>
      <c r="AV692" s="25">
        <f>Inventory[[#This Row],[MainFn]]*Lookups!$B$86</f>
        <v>67294.608372474002</v>
      </c>
      <c r="AW692" s="25">
        <f>Inventory[[#This Row],[UpprFn]]*Lookups!$B$87</f>
        <v>0</v>
      </c>
      <c r="AX692" s="25">
        <f>Inventory[[#This Row],[AddFn]]*Lookups!$B$88</f>
        <v>0</v>
      </c>
      <c r="AY692" s="25">
        <f>Inventory[[#This Row],[Bsmt]]*Lookups!$B$89</f>
        <v>38969.739630979995</v>
      </c>
      <c r="AZ692" s="25">
        <f>Inventory[[#This Row],[Fixtures]]*Lookups!$B$90</f>
        <v>37920.221052000001</v>
      </c>
      <c r="BA692" s="25">
        <f>Inventory[[#This Row],[WdDeck]]*Lookups!$B$91</f>
        <v>0</v>
      </c>
      <c r="BB692" s="25">
        <f>ROUND(Inventory[[#This Row],[25Det]],-2)</f>
        <v>0</v>
      </c>
      <c r="BC692" s="25">
        <f>ROUND(SUM(Inventory[[#This Row],[Mdl Qlty]:[Mdl WdDeck]])+Inventory[[#This Row],[Mdl Res Intercept]],-2)</f>
        <v>405100</v>
      </c>
      <c r="BD692" s="25">
        <f>ROUND(Inventory[[#This Row],[Mdl Land Intercept]]+Inventory[[#This Row],[Mdl LnAcres]],-2)</f>
        <v>51700</v>
      </c>
      <c r="BE692" s="25">
        <f>Inventory[[#This Row],[Unadj Res Value]]+Inventory[[#This Row],[Unadj Det Value]]+Inventory[[#This Row],[Unadj Land Value]]</f>
        <v>456800</v>
      </c>
      <c r="BF692" s="36">
        <f>(Inventory[[#This Row],[Unadj Total Value]]-Inventory[[#This Row],[24Final]])/Inventory[[#This Row],[24Final]]</f>
        <v>-2.9117959617428267E-2</v>
      </c>
      <c r="BG692" s="25">
        <f>VLOOKUP(Inventory[[#This Row],[Nbhd]],Lookups!$Q$2:$T$4,4,FALSE)</f>
        <v>0.99970000000000003</v>
      </c>
      <c r="BH692" s="25">
        <f>VLOOKUP(Inventory[[#This Row],[Qlty]],Lookups!$O$7:$R$21,4,FALSE)</f>
        <v>0.98380000000000001</v>
      </c>
      <c r="BI692" s="25">
        <f>VLOOKUP(Inventory[[#This Row],[Cnd]],Lookups!$T$7:$W$16,4,FALSE)</f>
        <v>0.99650000000000005</v>
      </c>
      <c r="BJ692" s="25">
        <f>VLOOKUP(Inventory[[#This Row],[LivArea Range]],Lookups!$T$25:$W$37,4,FALSE)</f>
        <v>0.96179999999999999</v>
      </c>
      <c r="BK692" s="25">
        <f>VLOOKUP(Inventory[[#This Row],[Decade]],Lookups!$O$25:$R$42,4,FALSE)</f>
        <v>1.0199</v>
      </c>
      <c r="BL692" s="25">
        <f>Inventory[[#This Row],[Nbhd Adj]]*0.95</f>
        <v>0.94971499999999998</v>
      </c>
      <c r="BM692" s="25">
        <f>Inventory[[#This Row],[Nbhd Adj]]*Inventory[[#This Row],[Quality Adj]]*Inventory[[#This Row],[Condition Adj]]*Inventory[[#This Row],[Living Area Adj]]*Inventory[[#This Row],[Decade Adj]]*0.95</f>
        <v>0.9133133023785267</v>
      </c>
      <c r="BN692" s="25">
        <f>ROUND(SUM(Inventory[[#This Row],[Mdl Qlty]:[Mdl WdDeck]])+Inventory[[#This Row],[Mdl Res Intercept]]*Inventory[[#This Row],[Res Adj ]],-2)</f>
        <v>405100</v>
      </c>
      <c r="BO692" s="25">
        <f>ROUND(Inventory[[#This Row],[25Det]]*Inventory[[#This Row],[Det/Nbhd Adj]],-2)</f>
        <v>0</v>
      </c>
      <c r="BP692" s="25">
        <f>Inventory[[#This Row],[Adjusted Res]]+Inventory[[#This Row],[Adj Det ]]</f>
        <v>405100</v>
      </c>
      <c r="BQ692" s="25">
        <f>ROUND((Inventory[[#This Row],[Mdl Land Intercept]]+Inventory[[#This Row],[Mdl LnAcres]])*Inventory[[#This Row],[Det/Nbhd Adj]],-2)</f>
        <v>49100</v>
      </c>
      <c r="BR692" s="25">
        <f>Inventory[[#This Row],[Adjusted Impr Total]]+Inventory[[#This Row],[Adjusted Land Total]]</f>
        <v>454200</v>
      </c>
      <c r="BS692" s="36">
        <f>IFERROR((Inventory[[#This Row],[Adjusted Impr Total]]-Inventory[[#This Row],[24Bldg]])/Inventory[[#This Row],[24Bldg]],0)</f>
        <v>1.7839195979899497E-2</v>
      </c>
      <c r="BT692" s="36">
        <f>(Inventory[[#This Row],[Adjusted Land Total]]-Inventory[[#This Row],[24Lnd]])/Inventory[[#This Row],[24Lnd]]</f>
        <v>-0.32275862068965516</v>
      </c>
      <c r="BU692" s="36">
        <f>(Inventory[[#This Row],[Adjusted Total]]-Inventory[[#This Row],[24Final]])/Inventory[[#This Row],[24Final]]</f>
        <v>-3.4643995749202974E-2</v>
      </c>
    </row>
    <row r="693" spans="1:73" x14ac:dyDescent="0.3">
      <c r="A693" s="25">
        <v>2025</v>
      </c>
      <c r="B693" s="26" t="s">
        <v>2410</v>
      </c>
      <c r="C693" s="26">
        <f>LN(Inventory[[#This Row],[Acres]])</f>
        <v>-1.5606477482646683</v>
      </c>
      <c r="D693" s="25">
        <v>0.21</v>
      </c>
      <c r="E693" s="31"/>
      <c r="F693" s="26" t="s">
        <v>537</v>
      </c>
      <c r="G693" s="26" t="s">
        <v>126</v>
      </c>
      <c r="H693" s="26" t="s">
        <v>349</v>
      </c>
      <c r="I693" s="26" t="s">
        <v>538</v>
      </c>
      <c r="J693" s="26" t="s">
        <v>539</v>
      </c>
      <c r="K693" s="26" t="s">
        <v>242</v>
      </c>
      <c r="L693" s="26" t="s">
        <v>302</v>
      </c>
      <c r="M693" s="26" t="s">
        <v>323</v>
      </c>
      <c r="N693" s="26">
        <v>70</v>
      </c>
      <c r="O693" s="26">
        <f>2024-Inventory[[#This Row],[YrBlt]]</f>
        <v>69</v>
      </c>
      <c r="P693" s="26">
        <f>2024-Inventory[[#This Row],[EffYr]]</f>
        <v>50</v>
      </c>
      <c r="Q693" s="25">
        <v>1955</v>
      </c>
      <c r="R693" s="25">
        <v>1974</v>
      </c>
      <c r="S693" s="25">
        <v>1307</v>
      </c>
      <c r="T693" s="27"/>
      <c r="U693" s="25">
        <v>1152</v>
      </c>
      <c r="V693" s="25">
        <f>Inventory[[#This Row],[Bsmt]]-Inventory[[#This Row],[FnBsmt]]</f>
        <v>0</v>
      </c>
      <c r="W693" s="25">
        <v>1152</v>
      </c>
      <c r="X693" s="27"/>
      <c r="Y693" s="27">
        <f>Inventory[[#This Row],[MainFn]]+Inventory[[#This Row],[UpprFn]]+Inventory[[#This Row],[FnBsmt]]+Inventory[[#This Row],[AddFn]]</f>
        <v>2459</v>
      </c>
      <c r="Z693" s="27">
        <v>2500</v>
      </c>
      <c r="AA693" s="25">
        <v>9</v>
      </c>
      <c r="AB693" s="27"/>
      <c r="AC693" s="27"/>
      <c r="AD693" s="27"/>
      <c r="AE693" s="27"/>
      <c r="AF693" s="27"/>
      <c r="AG693" s="27"/>
      <c r="AH693" s="27"/>
      <c r="AI693" s="25">
        <v>383856</v>
      </c>
      <c r="AJ693" s="25">
        <v>268699</v>
      </c>
      <c r="AK693" s="25">
        <v>14833</v>
      </c>
      <c r="AL693" s="25">
        <v>377800</v>
      </c>
      <c r="AM693" s="25">
        <v>60100</v>
      </c>
      <c r="AN693" s="25">
        <v>317700</v>
      </c>
      <c r="AO693" s="25">
        <v>0</v>
      </c>
      <c r="AP693" s="25">
        <f>Lookups!$B$56*0</f>
        <v>0</v>
      </c>
      <c r="AQ693" s="25">
        <f>Lookups!$B$56*1</f>
        <v>89850.625589999996</v>
      </c>
      <c r="AR693" s="25">
        <f>Lookups!$B$57*Inventory[[#This Row],[LnAcres]]</f>
        <v>-49401.70477837498</v>
      </c>
      <c r="AS693" s="25">
        <f>VLOOKUP(Inventory[[#This Row],[Qlty]],Lookups!$A$62:$E$75,2,FALSE)</f>
        <v>29814.093161000001</v>
      </c>
      <c r="AT693" s="25">
        <f>VLOOKUP(Inventory[[#This Row],[Cnd]],Lookups!$A$76:$E$84,2,FALSE)</f>
        <v>160472.20319</v>
      </c>
      <c r="AU693" s="25">
        <f>Inventory[[#This Row],[EffAge]]*Lookups!$B$85</f>
        <v>-11152.280025</v>
      </c>
      <c r="AV693" s="25">
        <f>Inventory[[#This Row],[MainFn]]*Lookups!$B$86</f>
        <v>64577.131529238999</v>
      </c>
      <c r="AW693" s="25">
        <f>Inventory[[#This Row],[UpprFn]]*Lookups!$B$87</f>
        <v>0</v>
      </c>
      <c r="AX693" s="25">
        <f>Inventory[[#This Row],[AddFn]]*Lookups!$B$88</f>
        <v>0</v>
      </c>
      <c r="AY693" s="25">
        <f>Inventory[[#This Row],[Bsmt]]*Lookups!$B$89</f>
        <v>33502.343324543996</v>
      </c>
      <c r="AZ693" s="25">
        <f>Inventory[[#This Row],[Fixtures]]*Lookups!$B$90</f>
        <v>34128.198946800003</v>
      </c>
      <c r="BA693" s="25">
        <f>Inventory[[#This Row],[WdDeck]]*Lookups!$B$91</f>
        <v>0</v>
      </c>
      <c r="BB693" s="25">
        <f>ROUND(Inventory[[#This Row],[25Det]],-2)</f>
        <v>14800</v>
      </c>
      <c r="BC693" s="25">
        <f>ROUND(SUM(Inventory[[#This Row],[Mdl Qlty]:[Mdl WdDeck]])+Inventory[[#This Row],[Mdl Res Intercept]],-2)</f>
        <v>311300</v>
      </c>
      <c r="BD693" s="25">
        <f>ROUND(Inventory[[#This Row],[Mdl Land Intercept]]+Inventory[[#This Row],[Mdl LnAcres]],-2)</f>
        <v>40400</v>
      </c>
      <c r="BE693" s="25">
        <f>Inventory[[#This Row],[Unadj Res Value]]+Inventory[[#This Row],[Unadj Det Value]]+Inventory[[#This Row],[Unadj Land Value]]</f>
        <v>366500</v>
      </c>
      <c r="BF693" s="36">
        <f>(Inventory[[#This Row],[Unadj Total Value]]-Inventory[[#This Row],[24Final]])/Inventory[[#This Row],[24Final]]</f>
        <v>-2.9910005293806247E-2</v>
      </c>
      <c r="BG693" s="25">
        <f>VLOOKUP(Inventory[[#This Row],[Nbhd]],Lookups!$Q$2:$T$4,4,FALSE)</f>
        <v>0.99970000000000003</v>
      </c>
      <c r="BH693" s="25">
        <f>VLOOKUP(Inventory[[#This Row],[Qlty]],Lookups!$O$7:$R$21,4,FALSE)</f>
        <v>1.0088999999999999</v>
      </c>
      <c r="BI693" s="25">
        <f>VLOOKUP(Inventory[[#This Row],[Cnd]],Lookups!$T$7:$W$16,4,FALSE)</f>
        <v>0.99729999999999996</v>
      </c>
      <c r="BJ693" s="25">
        <f>VLOOKUP(Inventory[[#This Row],[LivArea Range]],Lookups!$T$25:$W$37,4,FALSE)</f>
        <v>0.98919999999999997</v>
      </c>
      <c r="BK693" s="25">
        <f>VLOOKUP(Inventory[[#This Row],[Decade]],Lookups!$O$25:$R$42,4,FALSE)</f>
        <v>1.0199</v>
      </c>
      <c r="BL693" s="25">
        <f>Inventory[[#This Row],[Nbhd Adj]]*0.95</f>
        <v>0.94971499999999998</v>
      </c>
      <c r="BM693" s="25">
        <f>Inventory[[#This Row],[Nbhd Adj]]*Inventory[[#This Row],[Quality Adj]]*Inventory[[#This Row],[Condition Adj]]*Inventory[[#This Row],[Living Area Adj]]*Inventory[[#This Row],[Decade Adj]]*0.95</f>
        <v>0.96407081974981479</v>
      </c>
      <c r="BN693" s="25">
        <f>ROUND(SUM(Inventory[[#This Row],[Mdl Qlty]:[Mdl WdDeck]])+Inventory[[#This Row],[Mdl Res Intercept]]*Inventory[[#This Row],[Res Adj ]],-2)</f>
        <v>311300</v>
      </c>
      <c r="BO693" s="25">
        <f>ROUND(Inventory[[#This Row],[25Det]]*Inventory[[#This Row],[Det/Nbhd Adj]],-2)</f>
        <v>14100</v>
      </c>
      <c r="BP693" s="25">
        <f>Inventory[[#This Row],[Adjusted Res]]+Inventory[[#This Row],[Adj Det ]]</f>
        <v>325400</v>
      </c>
      <c r="BQ693" s="25">
        <f>ROUND((Inventory[[#This Row],[Mdl Land Intercept]]+Inventory[[#This Row],[Mdl LnAcres]])*Inventory[[#This Row],[Det/Nbhd Adj]],-2)</f>
        <v>38400</v>
      </c>
      <c r="BR693" s="25">
        <f>Inventory[[#This Row],[Adjusted Impr Total]]+Inventory[[#This Row],[Adjusted Land Total]]</f>
        <v>363800</v>
      </c>
      <c r="BS693" s="36">
        <f>IFERROR((Inventory[[#This Row],[Adjusted Impr Total]]-Inventory[[#This Row],[24Bldg]])/Inventory[[#This Row],[24Bldg]],0)</f>
        <v>2.4236701290525652E-2</v>
      </c>
      <c r="BT693" s="36">
        <f>(Inventory[[#This Row],[Adjusted Land Total]]-Inventory[[#This Row],[24Lnd]])/Inventory[[#This Row],[24Lnd]]</f>
        <v>-0.36106489184692181</v>
      </c>
      <c r="BU693" s="36">
        <f>(Inventory[[#This Row],[Adjusted Total]]-Inventory[[#This Row],[24Final]])/Inventory[[#This Row],[24Final]]</f>
        <v>-3.7056643726839596E-2</v>
      </c>
    </row>
    <row r="694" spans="1:73" x14ac:dyDescent="0.3">
      <c r="A694" s="25">
        <v>2025</v>
      </c>
      <c r="B694" s="26" t="s">
        <v>2124</v>
      </c>
      <c r="C694" s="26">
        <f>LN(Inventory[[#This Row],[Acres]])</f>
        <v>-1.1711829815029451</v>
      </c>
      <c r="D694" s="25">
        <v>0.31</v>
      </c>
      <c r="E694" s="31"/>
      <c r="F694" s="26" t="s">
        <v>537</v>
      </c>
      <c r="G694" s="26" t="s">
        <v>126</v>
      </c>
      <c r="H694" s="26" t="s">
        <v>349</v>
      </c>
      <c r="I694" s="26" t="s">
        <v>538</v>
      </c>
      <c r="J694" s="26" t="s">
        <v>539</v>
      </c>
      <c r="K694" s="26" t="s">
        <v>241</v>
      </c>
      <c r="L694" s="26" t="s">
        <v>95</v>
      </c>
      <c r="M694" s="26" t="s">
        <v>323</v>
      </c>
      <c r="N694" s="26">
        <v>70</v>
      </c>
      <c r="O694" s="26">
        <f>2024-Inventory[[#This Row],[YrBlt]]</f>
        <v>69</v>
      </c>
      <c r="P694" s="26">
        <f>2024-Inventory[[#This Row],[EffYr]]</f>
        <v>50</v>
      </c>
      <c r="Q694" s="25">
        <v>1955</v>
      </c>
      <c r="R694" s="25">
        <v>1974</v>
      </c>
      <c r="S694" s="25">
        <v>1500</v>
      </c>
      <c r="T694" s="27"/>
      <c r="U694" s="25">
        <v>1500</v>
      </c>
      <c r="V694" s="25">
        <f>Inventory[[#This Row],[Bsmt]]-Inventory[[#This Row],[FnBsmt]]</f>
        <v>0</v>
      </c>
      <c r="W694" s="25">
        <v>1500</v>
      </c>
      <c r="X694" s="27"/>
      <c r="Y694" s="27">
        <f>Inventory[[#This Row],[MainFn]]+Inventory[[#This Row],[UpprFn]]+Inventory[[#This Row],[FnBsmt]]+Inventory[[#This Row],[AddFn]]</f>
        <v>3000</v>
      </c>
      <c r="Z694" s="27">
        <v>3500</v>
      </c>
      <c r="AA694" s="25">
        <v>11</v>
      </c>
      <c r="AB694" s="32">
        <v>460</v>
      </c>
      <c r="AC694" s="27"/>
      <c r="AD694" s="32">
        <v>112</v>
      </c>
      <c r="AE694" s="27"/>
      <c r="AF694" s="27"/>
      <c r="AG694" s="27"/>
      <c r="AH694" s="27"/>
      <c r="AI694" s="25">
        <v>586979</v>
      </c>
      <c r="AJ694" s="25">
        <v>416755</v>
      </c>
      <c r="AK694" s="25">
        <v>18070</v>
      </c>
      <c r="AL694" s="25">
        <v>481800</v>
      </c>
      <c r="AM694" s="25">
        <v>73700</v>
      </c>
      <c r="AN694" s="25">
        <v>408100</v>
      </c>
      <c r="AO694" s="25">
        <v>0</v>
      </c>
      <c r="AP694" s="25">
        <f>Lookups!$B$56*0</f>
        <v>0</v>
      </c>
      <c r="AQ694" s="25">
        <f>Lookups!$B$56*1</f>
        <v>89850.625589999996</v>
      </c>
      <c r="AR694" s="25">
        <f>Lookups!$B$57*Inventory[[#This Row],[LnAcres]]</f>
        <v>-37073.347241874442</v>
      </c>
      <c r="AS694" s="25">
        <f>VLOOKUP(Inventory[[#This Row],[Qlty]],Lookups!$A$62:$E$75,2,FALSE)</f>
        <v>74268.409664999999</v>
      </c>
      <c r="AT694" s="25">
        <f>VLOOKUP(Inventory[[#This Row],[Cnd]],Lookups!$A$76:$E$84,2,FALSE)</f>
        <v>160472.20319</v>
      </c>
      <c r="AU694" s="25">
        <f>Inventory[[#This Row],[EffAge]]*Lookups!$B$85</f>
        <v>-11152.280025</v>
      </c>
      <c r="AV694" s="25">
        <f>Inventory[[#This Row],[MainFn]]*Lookups!$B$86</f>
        <v>74113.004815499997</v>
      </c>
      <c r="AW694" s="25">
        <f>Inventory[[#This Row],[UpprFn]]*Lookups!$B$87</f>
        <v>0</v>
      </c>
      <c r="AX694" s="25">
        <f>Inventory[[#This Row],[AddFn]]*Lookups!$B$88</f>
        <v>0</v>
      </c>
      <c r="AY694" s="25">
        <f>Inventory[[#This Row],[Bsmt]]*Lookups!$B$89</f>
        <v>43622.842870499997</v>
      </c>
      <c r="AZ694" s="25">
        <f>Inventory[[#This Row],[Fixtures]]*Lookups!$B$90</f>
        <v>41712.243157199999</v>
      </c>
      <c r="BA694" s="25">
        <f>Inventory[[#This Row],[WdDeck]]*Lookups!$B$91</f>
        <v>3729.0977109120004</v>
      </c>
      <c r="BB694" s="25">
        <f>ROUND(Inventory[[#This Row],[25Det]],-2)</f>
        <v>18100</v>
      </c>
      <c r="BC694" s="25">
        <f>ROUND(SUM(Inventory[[#This Row],[Mdl Qlty]:[Mdl WdDeck]])+Inventory[[#This Row],[Mdl Res Intercept]],-2)</f>
        <v>386800</v>
      </c>
      <c r="BD694" s="25">
        <f>ROUND(Inventory[[#This Row],[Mdl Land Intercept]]+Inventory[[#This Row],[Mdl LnAcres]],-2)</f>
        <v>52800</v>
      </c>
      <c r="BE694" s="25">
        <f>Inventory[[#This Row],[Unadj Res Value]]+Inventory[[#This Row],[Unadj Det Value]]+Inventory[[#This Row],[Unadj Land Value]]</f>
        <v>457700</v>
      </c>
      <c r="BF694" s="36">
        <f>(Inventory[[#This Row],[Unadj Total Value]]-Inventory[[#This Row],[24Final]])/Inventory[[#This Row],[24Final]]</f>
        <v>-5.0020755500207556E-2</v>
      </c>
      <c r="BG694" s="25">
        <f>VLOOKUP(Inventory[[#This Row],[Nbhd]],Lookups!$Q$2:$T$4,4,FALSE)</f>
        <v>0.99970000000000003</v>
      </c>
      <c r="BH694" s="25">
        <f>VLOOKUP(Inventory[[#This Row],[Qlty]],Lookups!$O$7:$R$21,4,FALSE)</f>
        <v>0.98380000000000001</v>
      </c>
      <c r="BI694" s="25">
        <f>VLOOKUP(Inventory[[#This Row],[Cnd]],Lookups!$T$7:$W$16,4,FALSE)</f>
        <v>0.99729999999999996</v>
      </c>
      <c r="BJ694" s="25">
        <f>VLOOKUP(Inventory[[#This Row],[LivArea Range]],Lookups!$T$25:$W$37,4,FALSE)</f>
        <v>1.0126999999999999</v>
      </c>
      <c r="BK694" s="25">
        <f>VLOOKUP(Inventory[[#This Row],[Decade]],Lookups!$O$25:$R$42,4,FALSE)</f>
        <v>1.0199</v>
      </c>
      <c r="BL694" s="25">
        <f>Inventory[[#This Row],[Nbhd Adj]]*0.95</f>
        <v>0.94971499999999998</v>
      </c>
      <c r="BM694" s="25">
        <f>Inventory[[#This Row],[Nbhd Adj]]*Inventory[[#This Row],[Quality Adj]]*Inventory[[#This Row],[Condition Adj]]*Inventory[[#This Row],[Living Area Adj]]*Inventory[[#This Row],[Decade Adj]]*0.95</f>
        <v>0.96241932842008082</v>
      </c>
      <c r="BN694" s="25">
        <f>ROUND(SUM(Inventory[[#This Row],[Mdl Qlty]:[Mdl WdDeck]])+Inventory[[#This Row],[Mdl Res Intercept]]*Inventory[[#This Row],[Res Adj ]],-2)</f>
        <v>386800</v>
      </c>
      <c r="BO694" s="25">
        <f>ROUND(Inventory[[#This Row],[25Det]]*Inventory[[#This Row],[Det/Nbhd Adj]],-2)</f>
        <v>17200</v>
      </c>
      <c r="BP694" s="25">
        <f>Inventory[[#This Row],[Adjusted Res]]+Inventory[[#This Row],[Adj Det ]]</f>
        <v>404000</v>
      </c>
      <c r="BQ694" s="25">
        <f>ROUND((Inventory[[#This Row],[Mdl Land Intercept]]+Inventory[[#This Row],[Mdl LnAcres]])*Inventory[[#This Row],[Det/Nbhd Adj]],-2)</f>
        <v>50100</v>
      </c>
      <c r="BR694" s="25">
        <f>Inventory[[#This Row],[Adjusted Impr Total]]+Inventory[[#This Row],[Adjusted Land Total]]</f>
        <v>454100</v>
      </c>
      <c r="BS694" s="36">
        <f>IFERROR((Inventory[[#This Row],[Adjusted Impr Total]]-Inventory[[#This Row],[24Bldg]])/Inventory[[#This Row],[24Bldg]],0)</f>
        <v>-1.0046557216368537E-2</v>
      </c>
      <c r="BT694" s="36">
        <f>(Inventory[[#This Row],[Adjusted Land Total]]-Inventory[[#This Row],[24Lnd]])/Inventory[[#This Row],[24Lnd]]</f>
        <v>-0.32021709633649931</v>
      </c>
      <c r="BU694" s="36">
        <f>(Inventory[[#This Row],[Adjusted Total]]-Inventory[[#This Row],[24Final]])/Inventory[[#This Row],[24Final]]</f>
        <v>-5.7492735574927359E-2</v>
      </c>
    </row>
    <row r="695" spans="1:73" x14ac:dyDescent="0.3">
      <c r="A695" s="25">
        <v>2025</v>
      </c>
      <c r="B695" s="26" t="s">
        <v>2677</v>
      </c>
      <c r="C695" s="26">
        <f>LN(Inventory[[#This Row],[Acres]])</f>
        <v>-1.6094379124341003</v>
      </c>
      <c r="D695" s="25">
        <v>0.2</v>
      </c>
      <c r="E695" s="31"/>
      <c r="F695" s="26" t="s">
        <v>537</v>
      </c>
      <c r="G695" s="26" t="s">
        <v>126</v>
      </c>
      <c r="H695" s="26" t="s">
        <v>349</v>
      </c>
      <c r="I695" s="26" t="s">
        <v>538</v>
      </c>
      <c r="J695" s="26" t="s">
        <v>539</v>
      </c>
      <c r="K695" s="26" t="s">
        <v>241</v>
      </c>
      <c r="L695" s="26" t="s">
        <v>95</v>
      </c>
      <c r="M695" s="26" t="s">
        <v>323</v>
      </c>
      <c r="N695" s="26">
        <v>70</v>
      </c>
      <c r="O695" s="26">
        <f>2024-Inventory[[#This Row],[YrBlt]]</f>
        <v>69</v>
      </c>
      <c r="P695" s="26">
        <f>2024-Inventory[[#This Row],[EffYr]]</f>
        <v>50</v>
      </c>
      <c r="Q695" s="25">
        <v>1955</v>
      </c>
      <c r="R695" s="25">
        <v>1974</v>
      </c>
      <c r="S695" s="25">
        <v>1230</v>
      </c>
      <c r="T695" s="27"/>
      <c r="U695" s="25">
        <v>1422</v>
      </c>
      <c r="V695" s="25">
        <f>Inventory[[#This Row],[Bsmt]]-Inventory[[#This Row],[FnBsmt]]</f>
        <v>0</v>
      </c>
      <c r="W695" s="25">
        <v>1422</v>
      </c>
      <c r="X695" s="27"/>
      <c r="Y695" s="27">
        <f>Inventory[[#This Row],[MainFn]]+Inventory[[#This Row],[UpprFn]]+Inventory[[#This Row],[FnBsmt]]+Inventory[[#This Row],[AddFn]]</f>
        <v>2652</v>
      </c>
      <c r="Z695" s="27">
        <v>3000</v>
      </c>
      <c r="AA695" s="25">
        <v>9</v>
      </c>
      <c r="AB695" s="31"/>
      <c r="AC695" s="27"/>
      <c r="AD695" s="27"/>
      <c r="AE695" s="27"/>
      <c r="AF695" s="27"/>
      <c r="AG695" s="27"/>
      <c r="AH695" s="27"/>
      <c r="AI695" s="25">
        <v>500697</v>
      </c>
      <c r="AJ695" s="25">
        <v>355495</v>
      </c>
      <c r="AK695" s="25">
        <v>0</v>
      </c>
      <c r="AL695" s="25">
        <v>427400</v>
      </c>
      <c r="AM695" s="25">
        <v>58400</v>
      </c>
      <c r="AN695" s="25">
        <v>369000</v>
      </c>
      <c r="AO695" s="25">
        <v>0</v>
      </c>
      <c r="AP695" s="25">
        <f>Lookups!$B$56*0</f>
        <v>0</v>
      </c>
      <c r="AQ695" s="25">
        <f>Lookups!$B$56*1</f>
        <v>89850.625589999996</v>
      </c>
      <c r="AR695" s="25">
        <f>Lookups!$B$57*Inventory[[#This Row],[LnAcres]]</f>
        <v>-50946.13867709865</v>
      </c>
      <c r="AS695" s="25">
        <f>VLOOKUP(Inventory[[#This Row],[Qlty]],Lookups!$A$62:$E$75,2,FALSE)</f>
        <v>74268.409664999999</v>
      </c>
      <c r="AT695" s="25">
        <f>VLOOKUP(Inventory[[#This Row],[Cnd]],Lookups!$A$76:$E$84,2,FALSE)</f>
        <v>160472.20319</v>
      </c>
      <c r="AU695" s="25">
        <f>Inventory[[#This Row],[EffAge]]*Lookups!$B$85</f>
        <v>-11152.280025</v>
      </c>
      <c r="AV695" s="25">
        <f>Inventory[[#This Row],[MainFn]]*Lookups!$B$86</f>
        <v>60772.663948710004</v>
      </c>
      <c r="AW695" s="25">
        <f>Inventory[[#This Row],[UpprFn]]*Lookups!$B$87</f>
        <v>0</v>
      </c>
      <c r="AX695" s="25">
        <f>Inventory[[#This Row],[AddFn]]*Lookups!$B$88</f>
        <v>0</v>
      </c>
      <c r="AY695" s="25">
        <f>Inventory[[#This Row],[Bsmt]]*Lookups!$B$89</f>
        <v>41354.455041233996</v>
      </c>
      <c r="AZ695" s="25">
        <f>Inventory[[#This Row],[Fixtures]]*Lookups!$B$90</f>
        <v>34128.198946800003</v>
      </c>
      <c r="BA695" s="25">
        <f>Inventory[[#This Row],[WdDeck]]*Lookups!$B$91</f>
        <v>0</v>
      </c>
      <c r="BB695" s="25">
        <f>ROUND(Inventory[[#This Row],[25Det]],-2)</f>
        <v>0</v>
      </c>
      <c r="BC695" s="25">
        <f>ROUND(SUM(Inventory[[#This Row],[Mdl Qlty]:[Mdl WdDeck]])+Inventory[[#This Row],[Mdl Res Intercept]],-2)</f>
        <v>359800</v>
      </c>
      <c r="BD695" s="25">
        <f>ROUND(Inventory[[#This Row],[Mdl Land Intercept]]+Inventory[[#This Row],[Mdl LnAcres]],-2)</f>
        <v>38900</v>
      </c>
      <c r="BE695" s="25">
        <f>Inventory[[#This Row],[Unadj Res Value]]+Inventory[[#This Row],[Unadj Det Value]]+Inventory[[#This Row],[Unadj Land Value]]</f>
        <v>398700</v>
      </c>
      <c r="BF695" s="36">
        <f>(Inventory[[#This Row],[Unadj Total Value]]-Inventory[[#This Row],[24Final]])/Inventory[[#This Row],[24Final]]</f>
        <v>-6.715021057557323E-2</v>
      </c>
      <c r="BG695" s="25">
        <f>VLOOKUP(Inventory[[#This Row],[Nbhd]],Lookups!$Q$2:$T$4,4,FALSE)</f>
        <v>0.99970000000000003</v>
      </c>
      <c r="BH695" s="25">
        <f>VLOOKUP(Inventory[[#This Row],[Qlty]],Lookups!$O$7:$R$21,4,FALSE)</f>
        <v>0.98380000000000001</v>
      </c>
      <c r="BI695" s="25">
        <f>VLOOKUP(Inventory[[#This Row],[Cnd]],Lookups!$T$7:$W$16,4,FALSE)</f>
        <v>0.99729999999999996</v>
      </c>
      <c r="BJ695" s="25">
        <f>VLOOKUP(Inventory[[#This Row],[LivArea Range]],Lookups!$T$25:$W$37,4,FALSE)</f>
        <v>0.96179999999999999</v>
      </c>
      <c r="BK695" s="25">
        <f>VLOOKUP(Inventory[[#This Row],[Decade]],Lookups!$O$25:$R$42,4,FALSE)</f>
        <v>1.0199</v>
      </c>
      <c r="BL695" s="25">
        <f>Inventory[[#This Row],[Nbhd Adj]]*0.95</f>
        <v>0.94971499999999998</v>
      </c>
      <c r="BM695" s="25">
        <f>Inventory[[#This Row],[Nbhd Adj]]*Inventory[[#This Row],[Quality Adj]]*Inventory[[#This Row],[Condition Adj]]*Inventory[[#This Row],[Living Area Adj]]*Inventory[[#This Row],[Decade Adj]]*0.95</f>
        <v>0.91404651927958314</v>
      </c>
      <c r="BN695" s="25">
        <f>ROUND(SUM(Inventory[[#This Row],[Mdl Qlty]:[Mdl WdDeck]])+Inventory[[#This Row],[Mdl Res Intercept]]*Inventory[[#This Row],[Res Adj ]],-2)</f>
        <v>359800</v>
      </c>
      <c r="BO695" s="25">
        <f>ROUND(Inventory[[#This Row],[25Det]]*Inventory[[#This Row],[Det/Nbhd Adj]],-2)</f>
        <v>0</v>
      </c>
      <c r="BP695" s="25">
        <f>Inventory[[#This Row],[Adjusted Res]]+Inventory[[#This Row],[Adj Det ]]</f>
        <v>359800</v>
      </c>
      <c r="BQ695" s="25">
        <f>ROUND((Inventory[[#This Row],[Mdl Land Intercept]]+Inventory[[#This Row],[Mdl LnAcres]])*Inventory[[#This Row],[Det/Nbhd Adj]],-2)</f>
        <v>36900</v>
      </c>
      <c r="BR695" s="25">
        <f>Inventory[[#This Row],[Adjusted Impr Total]]+Inventory[[#This Row],[Adjusted Land Total]]</f>
        <v>396700</v>
      </c>
      <c r="BS695" s="36">
        <f>IFERROR((Inventory[[#This Row],[Adjusted Impr Total]]-Inventory[[#This Row],[24Bldg]])/Inventory[[#This Row],[24Bldg]],0)</f>
        <v>-2.4932249322493227E-2</v>
      </c>
      <c r="BT695" s="36">
        <f>(Inventory[[#This Row],[Adjusted Land Total]]-Inventory[[#This Row],[24Lnd]])/Inventory[[#This Row],[24Lnd]]</f>
        <v>-0.36815068493150682</v>
      </c>
      <c r="BU695" s="36">
        <f>(Inventory[[#This Row],[Adjusted Total]]-Inventory[[#This Row],[24Final]])/Inventory[[#This Row],[24Final]]</f>
        <v>-7.1829667758540008E-2</v>
      </c>
    </row>
    <row r="696" spans="1:73" x14ac:dyDescent="0.3">
      <c r="A696" s="25">
        <v>2025</v>
      </c>
      <c r="B696" s="26" t="s">
        <v>536</v>
      </c>
      <c r="C696" s="26">
        <f>LN(Inventory[[#This Row],[Acres]])</f>
        <v>-0.9942522733438669</v>
      </c>
      <c r="D696" s="25">
        <v>0.37</v>
      </c>
      <c r="E696" s="25">
        <v>16120</v>
      </c>
      <c r="F696" s="26" t="s">
        <v>537</v>
      </c>
      <c r="G696" s="26" t="s">
        <v>126</v>
      </c>
      <c r="H696" s="26" t="s">
        <v>349</v>
      </c>
      <c r="I696" s="26" t="s">
        <v>538</v>
      </c>
      <c r="J696" s="26" t="s">
        <v>539</v>
      </c>
      <c r="K696" s="26" t="s">
        <v>241</v>
      </c>
      <c r="L696" s="26" t="s">
        <v>31</v>
      </c>
      <c r="M696" s="26" t="s">
        <v>323</v>
      </c>
      <c r="N696" s="26">
        <v>70</v>
      </c>
      <c r="O696" s="26">
        <f>2024-Inventory[[#This Row],[YrBlt]]</f>
        <v>69</v>
      </c>
      <c r="P696" s="26">
        <f>2024-Inventory[[#This Row],[EffYr]]</f>
        <v>50</v>
      </c>
      <c r="Q696" s="25">
        <v>1955</v>
      </c>
      <c r="R696" s="25">
        <v>1974</v>
      </c>
      <c r="S696" s="25">
        <v>1144</v>
      </c>
      <c r="T696" s="27"/>
      <c r="U696" s="25">
        <v>1144</v>
      </c>
      <c r="V696" s="25">
        <f>Inventory[[#This Row],[Bsmt]]-Inventory[[#This Row],[FnBsmt]]</f>
        <v>572</v>
      </c>
      <c r="W696" s="25">
        <v>572</v>
      </c>
      <c r="X696" s="27"/>
      <c r="Y696" s="27">
        <f>Inventory[[#This Row],[MainFn]]+Inventory[[#This Row],[UpprFn]]+Inventory[[#This Row],[FnBsmt]]+Inventory[[#This Row],[AddFn]]</f>
        <v>1716</v>
      </c>
      <c r="Z696" s="27">
        <v>2000</v>
      </c>
      <c r="AA696" s="25">
        <v>5</v>
      </c>
      <c r="AB696" s="25">
        <v>396</v>
      </c>
      <c r="AC696" s="27"/>
      <c r="AD696" s="25">
        <v>174</v>
      </c>
      <c r="AE696" s="27"/>
      <c r="AF696" s="27"/>
      <c r="AG696" s="27"/>
      <c r="AH696" s="27"/>
      <c r="AI696" s="25">
        <v>254594</v>
      </c>
      <c r="AJ696" s="25">
        <v>178216</v>
      </c>
      <c r="AK696" s="25">
        <v>0</v>
      </c>
      <c r="AL696" s="25">
        <v>302200</v>
      </c>
      <c r="AM696" s="25">
        <v>79900</v>
      </c>
      <c r="AN696" s="25">
        <v>222300</v>
      </c>
      <c r="AO696" s="25">
        <v>0</v>
      </c>
      <c r="AP696" s="25">
        <f>Lookups!$B$56*0</f>
        <v>0</v>
      </c>
      <c r="AQ696" s="25">
        <f>Lookups!$B$56*1</f>
        <v>89850.625589999996</v>
      </c>
      <c r="AR696" s="25">
        <f>Lookups!$B$57*Inventory[[#This Row],[LnAcres]]</f>
        <v>-31472.673662315807</v>
      </c>
      <c r="AS696" s="25">
        <f>VLOOKUP(Inventory[[#This Row],[Qlty]],Lookups!$A$62:$E$75,2,FALSE)</f>
        <v>-43578.886190266698</v>
      </c>
      <c r="AT696" s="25">
        <f>VLOOKUP(Inventory[[#This Row],[Cnd]],Lookups!$A$76:$E$84,2,FALSE)</f>
        <v>160472.20319</v>
      </c>
      <c r="AU696" s="25">
        <f>Inventory[[#This Row],[EffAge]]*Lookups!$B$85</f>
        <v>-11152.280025</v>
      </c>
      <c r="AV696" s="25">
        <f>Inventory[[#This Row],[MainFn]]*Lookups!$B$86</f>
        <v>56523.518339287999</v>
      </c>
      <c r="AW696" s="25">
        <f>Inventory[[#This Row],[UpprFn]]*Lookups!$B$87</f>
        <v>0</v>
      </c>
      <c r="AX696" s="25">
        <f>Inventory[[#This Row],[AddFn]]*Lookups!$B$88</f>
        <v>0</v>
      </c>
      <c r="AY696" s="25">
        <f>Inventory[[#This Row],[Bsmt]]*Lookups!$B$89</f>
        <v>33269.688162567996</v>
      </c>
      <c r="AZ696" s="25">
        <f>Inventory[[#This Row],[Fixtures]]*Lookups!$B$90</f>
        <v>18960.110526</v>
      </c>
      <c r="BA696" s="25">
        <f>Inventory[[#This Row],[WdDeck]]*Lookups!$B$91</f>
        <v>5793.4196580240005</v>
      </c>
      <c r="BB696" s="25">
        <f>ROUND(Inventory[[#This Row],[25Det]],-2)</f>
        <v>0</v>
      </c>
      <c r="BC696" s="25">
        <f>ROUND(SUM(Inventory[[#This Row],[Mdl Qlty]:[Mdl WdDeck]])+Inventory[[#This Row],[Mdl Res Intercept]],-2)</f>
        <v>220300</v>
      </c>
      <c r="BD696" s="25">
        <f>ROUND(Inventory[[#This Row],[Mdl Land Intercept]]+Inventory[[#This Row],[Mdl LnAcres]],-2)</f>
        <v>58400</v>
      </c>
      <c r="BE696" s="25">
        <f>Inventory[[#This Row],[Unadj Res Value]]+Inventory[[#This Row],[Unadj Det Value]]+Inventory[[#This Row],[Unadj Land Value]]</f>
        <v>278700</v>
      </c>
      <c r="BF696" s="36">
        <f>(Inventory[[#This Row],[Unadj Total Value]]-Inventory[[#This Row],[24Final]])/Inventory[[#This Row],[24Final]]</f>
        <v>-7.7763070814030444E-2</v>
      </c>
      <c r="BG696" s="25">
        <f>VLOOKUP(Inventory[[#This Row],[Nbhd]],Lookups!$Q$2:$T$4,4,FALSE)</f>
        <v>0.99970000000000003</v>
      </c>
      <c r="BH696" s="25">
        <f>VLOOKUP(Inventory[[#This Row],[Qlty]],Lookups!$O$7:$R$21,4,FALSE)</f>
        <v>1</v>
      </c>
      <c r="BI696" s="25">
        <f>VLOOKUP(Inventory[[#This Row],[Cnd]],Lookups!$T$7:$W$16,4,FALSE)</f>
        <v>0.99729999999999996</v>
      </c>
      <c r="BJ696" s="25">
        <f>VLOOKUP(Inventory[[#This Row],[LivArea Range]],Lookups!$T$25:$W$37,4,FALSE)</f>
        <v>1.0093000000000001</v>
      </c>
      <c r="BK696" s="25">
        <f>VLOOKUP(Inventory[[#This Row],[Decade]],Lookups!$O$25:$R$42,4,FALSE)</f>
        <v>1.0199</v>
      </c>
      <c r="BL696" s="25">
        <f>Inventory[[#This Row],[Nbhd Adj]]*0.95</f>
        <v>0.94971499999999998</v>
      </c>
      <c r="BM696" s="25">
        <f>Inventory[[#This Row],[Nbhd Adj]]*Inventory[[#This Row],[Quality Adj]]*Inventory[[#This Row],[Condition Adj]]*Inventory[[#This Row],[Living Area Adj]]*Inventory[[#This Row],[Decade Adj]]*0.95</f>
        <v>0.97498286116231136</v>
      </c>
      <c r="BN696" s="25">
        <f>ROUND(SUM(Inventory[[#This Row],[Mdl Qlty]:[Mdl WdDeck]])+Inventory[[#This Row],[Mdl Res Intercept]]*Inventory[[#This Row],[Res Adj ]],-2)</f>
        <v>220300</v>
      </c>
      <c r="BO696" s="25">
        <f>ROUND(Inventory[[#This Row],[25Det]]*Inventory[[#This Row],[Det/Nbhd Adj]],-2)</f>
        <v>0</v>
      </c>
      <c r="BP696" s="25">
        <f>Inventory[[#This Row],[Adjusted Res]]+Inventory[[#This Row],[Adj Det ]]</f>
        <v>220300</v>
      </c>
      <c r="BQ696" s="25">
        <f>ROUND((Inventory[[#This Row],[Mdl Land Intercept]]+Inventory[[#This Row],[Mdl LnAcres]])*Inventory[[#This Row],[Det/Nbhd Adj]],-2)</f>
        <v>55400</v>
      </c>
      <c r="BR696" s="25">
        <f>Inventory[[#This Row],[Adjusted Impr Total]]+Inventory[[#This Row],[Adjusted Land Total]]</f>
        <v>275700</v>
      </c>
      <c r="BS696" s="36">
        <f>IFERROR((Inventory[[#This Row],[Adjusted Impr Total]]-Inventory[[#This Row],[24Bldg]])/Inventory[[#This Row],[24Bldg]],0)</f>
        <v>-8.9968511021142599E-3</v>
      </c>
      <c r="BT696" s="36">
        <f>(Inventory[[#This Row],[Adjusted Land Total]]-Inventory[[#This Row],[24Lnd]])/Inventory[[#This Row],[24Lnd]]</f>
        <v>-0.30663329161451813</v>
      </c>
      <c r="BU696" s="36">
        <f>(Inventory[[#This Row],[Adjusted Total]]-Inventory[[#This Row],[24Final]])/Inventory[[#This Row],[24Final]]</f>
        <v>-8.7690271343481133E-2</v>
      </c>
    </row>
    <row r="697" spans="1:73" x14ac:dyDescent="0.3">
      <c r="A697" s="25">
        <v>2025</v>
      </c>
      <c r="B697" s="26" t="s">
        <v>2241</v>
      </c>
      <c r="C697" s="26">
        <f>LN(Inventory[[#This Row],[Acres]])</f>
        <v>-1.7719568419318752</v>
      </c>
      <c r="D697" s="25">
        <v>0.17</v>
      </c>
      <c r="E697" s="31"/>
      <c r="F697" s="26" t="s">
        <v>537</v>
      </c>
      <c r="G697" s="26" t="s">
        <v>126</v>
      </c>
      <c r="H697" s="26" t="s">
        <v>349</v>
      </c>
      <c r="I697" s="26" t="s">
        <v>538</v>
      </c>
      <c r="J697" s="26" t="s">
        <v>539</v>
      </c>
      <c r="K697" s="26" t="s">
        <v>242</v>
      </c>
      <c r="L697" s="26" t="s">
        <v>31</v>
      </c>
      <c r="M697" s="26" t="s">
        <v>323</v>
      </c>
      <c r="N697" s="26">
        <v>70</v>
      </c>
      <c r="O697" s="26">
        <f>2024-Inventory[[#This Row],[YrBlt]]</f>
        <v>69</v>
      </c>
      <c r="P697" s="26">
        <f>2024-Inventory[[#This Row],[EffYr]]</f>
        <v>50</v>
      </c>
      <c r="Q697" s="25">
        <v>1955</v>
      </c>
      <c r="R697" s="25">
        <v>1974</v>
      </c>
      <c r="S697" s="25">
        <v>942</v>
      </c>
      <c r="T697" s="27"/>
      <c r="U697" s="31"/>
      <c r="V697" s="31">
        <f>Inventory[[#This Row],[Bsmt]]-Inventory[[#This Row],[FnBsmt]]</f>
        <v>0</v>
      </c>
      <c r="W697" s="31"/>
      <c r="X697" s="27"/>
      <c r="Y697" s="27">
        <f>Inventory[[#This Row],[MainFn]]+Inventory[[#This Row],[UpprFn]]+Inventory[[#This Row],[FnBsmt]]+Inventory[[#This Row],[AddFn]]</f>
        <v>942</v>
      </c>
      <c r="Z697" s="27">
        <v>1000</v>
      </c>
      <c r="AA697" s="25">
        <v>5</v>
      </c>
      <c r="AB697" s="27"/>
      <c r="AC697" s="31"/>
      <c r="AD697" s="27"/>
      <c r="AE697" s="27"/>
      <c r="AF697" s="27"/>
      <c r="AG697" s="27"/>
      <c r="AH697" s="27"/>
      <c r="AI697" s="25">
        <v>138597</v>
      </c>
      <c r="AJ697" s="25">
        <v>97018</v>
      </c>
      <c r="AK697" s="25">
        <v>0</v>
      </c>
      <c r="AL697" s="25">
        <v>234700</v>
      </c>
      <c r="AM697" s="25">
        <v>52700</v>
      </c>
      <c r="AN697" s="25">
        <v>182000</v>
      </c>
      <c r="AO697" s="25">
        <v>0</v>
      </c>
      <c r="AP697" s="25">
        <f>Lookups!$B$56*0</f>
        <v>0</v>
      </c>
      <c r="AQ697" s="25">
        <f>Lookups!$B$56*1</f>
        <v>89850.625589999996</v>
      </c>
      <c r="AR697" s="25">
        <f>Lookups!$B$57*Inventory[[#This Row],[LnAcres]]</f>
        <v>-56090.612940989391</v>
      </c>
      <c r="AS697" s="25">
        <f>VLOOKUP(Inventory[[#This Row],[Qlty]],Lookups!$A$62:$E$75,2,FALSE)</f>
        <v>-43578.886190266698</v>
      </c>
      <c r="AT697" s="25">
        <f>VLOOKUP(Inventory[[#This Row],[Cnd]],Lookups!$A$76:$E$84,2,FALSE)</f>
        <v>160472.20319</v>
      </c>
      <c r="AU697" s="25">
        <f>Inventory[[#This Row],[EffAge]]*Lookups!$B$85</f>
        <v>-11152.280025</v>
      </c>
      <c r="AV697" s="25">
        <f>Inventory[[#This Row],[MainFn]]*Lookups!$B$86</f>
        <v>46542.967024133999</v>
      </c>
      <c r="AW697" s="25">
        <f>Inventory[[#This Row],[UpprFn]]*Lookups!$B$87</f>
        <v>0</v>
      </c>
      <c r="AX697" s="25">
        <f>Inventory[[#This Row],[AddFn]]*Lookups!$B$88</f>
        <v>0</v>
      </c>
      <c r="AY697" s="25">
        <f>Inventory[[#This Row],[Bsmt]]*Lookups!$B$89</f>
        <v>0</v>
      </c>
      <c r="AZ697" s="25">
        <f>Inventory[[#This Row],[Fixtures]]*Lookups!$B$90</f>
        <v>18960.110526</v>
      </c>
      <c r="BA697" s="25">
        <f>Inventory[[#This Row],[WdDeck]]*Lookups!$B$91</f>
        <v>0</v>
      </c>
      <c r="BB697" s="25">
        <f>ROUND(Inventory[[#This Row],[25Det]],-2)</f>
        <v>0</v>
      </c>
      <c r="BC697" s="25">
        <f>ROUND(SUM(Inventory[[#This Row],[Mdl Qlty]:[Mdl WdDeck]])+Inventory[[#This Row],[Mdl Res Intercept]],-2)</f>
        <v>171200</v>
      </c>
      <c r="BD697" s="25">
        <f>ROUND(Inventory[[#This Row],[Mdl Land Intercept]]+Inventory[[#This Row],[Mdl LnAcres]],-2)</f>
        <v>33800</v>
      </c>
      <c r="BE697" s="25">
        <f>Inventory[[#This Row],[Unadj Res Value]]+Inventory[[#This Row],[Unadj Det Value]]+Inventory[[#This Row],[Unadj Land Value]]</f>
        <v>205000</v>
      </c>
      <c r="BF697" s="36">
        <f>(Inventory[[#This Row],[Unadj Total Value]]-Inventory[[#This Row],[24Final]])/Inventory[[#This Row],[24Final]]</f>
        <v>-0.12654452492543672</v>
      </c>
      <c r="BG697" s="25">
        <f>VLOOKUP(Inventory[[#This Row],[Nbhd]],Lookups!$Q$2:$T$4,4,FALSE)</f>
        <v>0.99970000000000003</v>
      </c>
      <c r="BH697" s="25">
        <f>VLOOKUP(Inventory[[#This Row],[Qlty]],Lookups!$O$7:$R$21,4,FALSE)</f>
        <v>1</v>
      </c>
      <c r="BI697" s="25">
        <f>VLOOKUP(Inventory[[#This Row],[Cnd]],Lookups!$T$7:$W$16,4,FALSE)</f>
        <v>0.99729999999999996</v>
      </c>
      <c r="BJ697" s="25">
        <f>VLOOKUP(Inventory[[#This Row],[LivArea Range]],Lookups!$T$25:$W$37,4,FALSE)</f>
        <v>1.0148999999999999</v>
      </c>
      <c r="BK697" s="25">
        <f>VLOOKUP(Inventory[[#This Row],[Decade]],Lookups!$O$25:$R$42,4,FALSE)</f>
        <v>1.0199</v>
      </c>
      <c r="BL697" s="25">
        <f>Inventory[[#This Row],[Nbhd Adj]]*0.95</f>
        <v>0.94971499999999998</v>
      </c>
      <c r="BM697" s="25">
        <f>Inventory[[#This Row],[Nbhd Adj]]*Inventory[[#This Row],[Quality Adj]]*Inventory[[#This Row],[Condition Adj]]*Inventory[[#This Row],[Living Area Adj]]*Inventory[[#This Row],[Decade Adj]]*0.95</f>
        <v>0.9803924559532643</v>
      </c>
      <c r="BN697" s="25">
        <f>ROUND(SUM(Inventory[[#This Row],[Mdl Qlty]:[Mdl WdDeck]])+Inventory[[#This Row],[Mdl Res Intercept]]*Inventory[[#This Row],[Res Adj ]],-2)</f>
        <v>171200</v>
      </c>
      <c r="BO697" s="25">
        <f>ROUND(Inventory[[#This Row],[25Det]]*Inventory[[#This Row],[Det/Nbhd Adj]],-2)</f>
        <v>0</v>
      </c>
      <c r="BP697" s="25">
        <f>Inventory[[#This Row],[Adjusted Res]]+Inventory[[#This Row],[Adj Det ]]</f>
        <v>171200</v>
      </c>
      <c r="BQ697" s="25">
        <f>ROUND((Inventory[[#This Row],[Mdl Land Intercept]]+Inventory[[#This Row],[Mdl LnAcres]])*Inventory[[#This Row],[Det/Nbhd Adj]],-2)</f>
        <v>32100</v>
      </c>
      <c r="BR697" s="25">
        <f>Inventory[[#This Row],[Adjusted Impr Total]]+Inventory[[#This Row],[Adjusted Land Total]]</f>
        <v>203300</v>
      </c>
      <c r="BS697" s="36">
        <f>IFERROR((Inventory[[#This Row],[Adjusted Impr Total]]-Inventory[[#This Row],[24Bldg]])/Inventory[[#This Row],[24Bldg]],0)</f>
        <v>-5.9340659340659338E-2</v>
      </c>
      <c r="BT697" s="36">
        <f>(Inventory[[#This Row],[Adjusted Land Total]]-Inventory[[#This Row],[24Lnd]])/Inventory[[#This Row],[24Lnd]]</f>
        <v>-0.39089184060721061</v>
      </c>
      <c r="BU697" s="36">
        <f>(Inventory[[#This Row],[Adjusted Total]]-Inventory[[#This Row],[24Final]])/Inventory[[#This Row],[24Final]]</f>
        <v>-0.13378781423093311</v>
      </c>
    </row>
    <row r="698" spans="1:73" x14ac:dyDescent="0.3">
      <c r="A698" s="25">
        <v>2025</v>
      </c>
      <c r="B698" s="26" t="s">
        <v>1958</v>
      </c>
      <c r="C698" s="26">
        <f>LN(Inventory[[#This Row],[Acres]])</f>
        <v>-1.3470736479666092</v>
      </c>
      <c r="D698" s="25">
        <v>0.26</v>
      </c>
      <c r="E698" s="27"/>
      <c r="F698" s="26" t="s">
        <v>537</v>
      </c>
      <c r="G698" s="26" t="s">
        <v>126</v>
      </c>
      <c r="H698" s="26" t="s">
        <v>349</v>
      </c>
      <c r="I698" s="26" t="s">
        <v>538</v>
      </c>
      <c r="J698" s="26" t="s">
        <v>539</v>
      </c>
      <c r="K698" s="26" t="s">
        <v>241</v>
      </c>
      <c r="L698" s="26" t="s">
        <v>302</v>
      </c>
      <c r="M698" s="26" t="s">
        <v>303</v>
      </c>
      <c r="N698" s="26">
        <v>70</v>
      </c>
      <c r="O698" s="26">
        <f>2024-Inventory[[#This Row],[YrBlt]]</f>
        <v>70</v>
      </c>
      <c r="P698" s="26">
        <f>2024-Inventory[[#This Row],[EffYr]]</f>
        <v>50</v>
      </c>
      <c r="Q698" s="25">
        <v>1954</v>
      </c>
      <c r="R698" s="25">
        <v>1974</v>
      </c>
      <c r="S698" s="25">
        <v>1624</v>
      </c>
      <c r="T698" s="27"/>
      <c r="U698" s="32">
        <v>1232</v>
      </c>
      <c r="V698" s="32">
        <f>Inventory[[#This Row],[Bsmt]]-Inventory[[#This Row],[FnBsmt]]</f>
        <v>0</v>
      </c>
      <c r="W698" s="32">
        <v>1232</v>
      </c>
      <c r="X698" s="27"/>
      <c r="Y698" s="27">
        <f>Inventory[[#This Row],[MainFn]]+Inventory[[#This Row],[UpprFn]]+Inventory[[#This Row],[FnBsmt]]+Inventory[[#This Row],[AddFn]]</f>
        <v>2856</v>
      </c>
      <c r="Z698" s="27">
        <v>3000</v>
      </c>
      <c r="AA698" s="25">
        <v>8</v>
      </c>
      <c r="AB698" s="31"/>
      <c r="AC698" s="27"/>
      <c r="AD698" s="32">
        <v>480</v>
      </c>
      <c r="AE698" s="27"/>
      <c r="AF698" s="27"/>
      <c r="AG698" s="27"/>
      <c r="AH698" s="27"/>
      <c r="AI698" s="25">
        <v>420497</v>
      </c>
      <c r="AJ698" s="25">
        <v>302758</v>
      </c>
      <c r="AK698" s="25">
        <v>4868</v>
      </c>
      <c r="AL698" s="25">
        <v>400600</v>
      </c>
      <c r="AM698" s="25">
        <v>67600</v>
      </c>
      <c r="AN698" s="25">
        <v>333000</v>
      </c>
      <c r="AO698" s="25">
        <v>0</v>
      </c>
      <c r="AP698" s="25">
        <f>Lookups!$B$56*0</f>
        <v>0</v>
      </c>
      <c r="AQ698" s="25">
        <f>Lookups!$B$56*1</f>
        <v>89850.625589999996</v>
      </c>
      <c r="AR698" s="25">
        <f>Lookups!$B$57*Inventory[[#This Row],[LnAcres]]</f>
        <v>-42641.098701210125</v>
      </c>
      <c r="AS698" s="25">
        <f>VLOOKUP(Inventory[[#This Row],[Qlty]],Lookups!$A$62:$E$75,2,FALSE)</f>
        <v>29814.093161000001</v>
      </c>
      <c r="AT698" s="25">
        <f>VLOOKUP(Inventory[[#This Row],[Cnd]],Lookups!$A$76:$E$84,2,FALSE)</f>
        <v>197752.34721000001</v>
      </c>
      <c r="AU698" s="25">
        <f>Inventory[[#This Row],[EffAge]]*Lookups!$B$85</f>
        <v>-11152.280025</v>
      </c>
      <c r="AV698" s="25">
        <f>Inventory[[#This Row],[MainFn]]*Lookups!$B$86</f>
        <v>80239.679880248004</v>
      </c>
      <c r="AW698" s="25">
        <f>Inventory[[#This Row],[UpprFn]]*Lookups!$B$87</f>
        <v>0</v>
      </c>
      <c r="AX698" s="25">
        <f>Inventory[[#This Row],[AddFn]]*Lookups!$B$88</f>
        <v>0</v>
      </c>
      <c r="AY698" s="25">
        <f>Inventory[[#This Row],[Bsmt]]*Lookups!$B$89</f>
        <v>35828.894944303996</v>
      </c>
      <c r="AZ698" s="25">
        <f>Inventory[[#This Row],[Fixtures]]*Lookups!$B$90</f>
        <v>30336.176841600001</v>
      </c>
      <c r="BA698" s="25">
        <f>Inventory[[#This Row],[WdDeck]]*Lookups!$B$91</f>
        <v>15981.847332480002</v>
      </c>
      <c r="BB698" s="25">
        <f>ROUND(Inventory[[#This Row],[25Det]],-2)</f>
        <v>4900</v>
      </c>
      <c r="BC698" s="25">
        <f>ROUND(SUM(Inventory[[#This Row],[Mdl Qlty]:[Mdl WdDeck]])+Inventory[[#This Row],[Mdl Res Intercept]],-2)</f>
        <v>378800</v>
      </c>
      <c r="BD698" s="25">
        <f>ROUND(Inventory[[#This Row],[Mdl Land Intercept]]+Inventory[[#This Row],[Mdl LnAcres]],-2)</f>
        <v>47200</v>
      </c>
      <c r="BE698" s="25">
        <f>Inventory[[#This Row],[Unadj Res Value]]+Inventory[[#This Row],[Unadj Det Value]]+Inventory[[#This Row],[Unadj Land Value]]</f>
        <v>430900</v>
      </c>
      <c r="BF698" s="36">
        <f>(Inventory[[#This Row],[Unadj Total Value]]-Inventory[[#This Row],[24Final]])/Inventory[[#This Row],[24Final]]</f>
        <v>7.5636545182226664E-2</v>
      </c>
      <c r="BG698" s="25">
        <f>VLOOKUP(Inventory[[#This Row],[Nbhd]],Lookups!$Q$2:$T$4,4,FALSE)</f>
        <v>0.99970000000000003</v>
      </c>
      <c r="BH698" s="25">
        <f>VLOOKUP(Inventory[[#This Row],[Qlty]],Lookups!$O$7:$R$21,4,FALSE)</f>
        <v>1.0088999999999999</v>
      </c>
      <c r="BI698" s="25">
        <f>VLOOKUP(Inventory[[#This Row],[Cnd]],Lookups!$T$7:$W$16,4,FALSE)</f>
        <v>0.99650000000000005</v>
      </c>
      <c r="BJ698" s="25">
        <f>VLOOKUP(Inventory[[#This Row],[LivArea Range]],Lookups!$T$25:$W$37,4,FALSE)</f>
        <v>0.96179999999999999</v>
      </c>
      <c r="BK698" s="25">
        <f>VLOOKUP(Inventory[[#This Row],[Decade]],Lookups!$O$25:$R$42,4,FALSE)</f>
        <v>1.0199</v>
      </c>
      <c r="BL698" s="25">
        <f>Inventory[[#This Row],[Nbhd Adj]]*0.95</f>
        <v>0.94971499999999998</v>
      </c>
      <c r="BM698" s="25">
        <f>Inventory[[#This Row],[Nbhd Adj]]*Inventory[[#This Row],[Quality Adj]]*Inventory[[#This Row],[Condition Adj]]*Inventory[[#This Row],[Living Area Adj]]*Inventory[[#This Row],[Decade Adj]]*0.95</f>
        <v>0.93661495300843212</v>
      </c>
      <c r="BN698" s="25">
        <f>ROUND(SUM(Inventory[[#This Row],[Mdl Qlty]:[Mdl WdDeck]])+Inventory[[#This Row],[Mdl Res Intercept]]*Inventory[[#This Row],[Res Adj ]],-2)</f>
        <v>378800</v>
      </c>
      <c r="BO698" s="25">
        <f>ROUND(Inventory[[#This Row],[25Det]]*Inventory[[#This Row],[Det/Nbhd Adj]],-2)</f>
        <v>4600</v>
      </c>
      <c r="BP698" s="25">
        <f>Inventory[[#This Row],[Adjusted Res]]+Inventory[[#This Row],[Adj Det ]]</f>
        <v>383400</v>
      </c>
      <c r="BQ698" s="25">
        <f>ROUND((Inventory[[#This Row],[Mdl Land Intercept]]+Inventory[[#This Row],[Mdl LnAcres]])*Inventory[[#This Row],[Det/Nbhd Adj]],-2)</f>
        <v>44800</v>
      </c>
      <c r="BR698" s="25">
        <f>Inventory[[#This Row],[Adjusted Impr Total]]+Inventory[[#This Row],[Adjusted Land Total]]</f>
        <v>428200</v>
      </c>
      <c r="BS698" s="36">
        <f>IFERROR((Inventory[[#This Row],[Adjusted Impr Total]]-Inventory[[#This Row],[24Bldg]])/Inventory[[#This Row],[24Bldg]],0)</f>
        <v>0.15135135135135136</v>
      </c>
      <c r="BT698" s="36">
        <f>(Inventory[[#This Row],[Adjusted Land Total]]-Inventory[[#This Row],[24Lnd]])/Inventory[[#This Row],[24Lnd]]</f>
        <v>-0.33727810650887574</v>
      </c>
      <c r="BU698" s="36">
        <f>(Inventory[[#This Row],[Adjusted Total]]-Inventory[[#This Row],[24Final]])/Inventory[[#This Row],[24Final]]</f>
        <v>6.8896655017473787E-2</v>
      </c>
    </row>
    <row r="699" spans="1:73" x14ac:dyDescent="0.3">
      <c r="A699" s="25">
        <v>2025</v>
      </c>
      <c r="B699" s="26" t="s">
        <v>1167</v>
      </c>
      <c r="C699" s="85">
        <f>LN(Inventory[[#This Row],[Acres]])</f>
        <v>-1.4696759700589417</v>
      </c>
      <c r="D699" s="32">
        <v>0.23</v>
      </c>
      <c r="E699" s="25">
        <v>10074</v>
      </c>
      <c r="F699" s="26" t="s">
        <v>537</v>
      </c>
      <c r="G699" s="26" t="s">
        <v>126</v>
      </c>
      <c r="H699" s="26" t="s">
        <v>349</v>
      </c>
      <c r="I699" s="26" t="s">
        <v>538</v>
      </c>
      <c r="J699" s="26" t="s">
        <v>539</v>
      </c>
      <c r="K699" s="26" t="s">
        <v>241</v>
      </c>
      <c r="L699" s="26" t="s">
        <v>351</v>
      </c>
      <c r="M699" s="26" t="s">
        <v>303</v>
      </c>
      <c r="N699" s="26">
        <v>70</v>
      </c>
      <c r="O699" s="26">
        <f>2024-Inventory[[#This Row],[YrBlt]]</f>
        <v>70</v>
      </c>
      <c r="P699" s="26">
        <f>2024-Inventory[[#This Row],[EffYr]]</f>
        <v>44</v>
      </c>
      <c r="Q699" s="25">
        <v>1954</v>
      </c>
      <c r="R699" s="25">
        <v>1980</v>
      </c>
      <c r="S699" s="25">
        <v>1520</v>
      </c>
      <c r="T699" s="27"/>
      <c r="U699" s="31"/>
      <c r="V699" s="31">
        <f>Inventory[[#This Row],[Bsmt]]-Inventory[[#This Row],[FnBsmt]]</f>
        <v>0</v>
      </c>
      <c r="W699" s="31"/>
      <c r="X699" s="27"/>
      <c r="Y699" s="27">
        <f>Inventory[[#This Row],[MainFn]]+Inventory[[#This Row],[UpprFn]]+Inventory[[#This Row],[FnBsmt]]+Inventory[[#This Row],[AddFn]]</f>
        <v>1520</v>
      </c>
      <c r="Z699" s="27">
        <v>2000</v>
      </c>
      <c r="AA699" s="25">
        <v>9</v>
      </c>
      <c r="AB699" s="27"/>
      <c r="AC699" s="27"/>
      <c r="AD699" s="27"/>
      <c r="AE699" s="27"/>
      <c r="AF699" s="27"/>
      <c r="AG699" s="27"/>
      <c r="AH699" s="27"/>
      <c r="AI699" s="25">
        <v>251957</v>
      </c>
      <c r="AJ699" s="25">
        <v>199046</v>
      </c>
      <c r="AK699" s="25">
        <v>21119</v>
      </c>
      <c r="AL699" s="25">
        <v>356200</v>
      </c>
      <c r="AM699" s="25">
        <v>63300</v>
      </c>
      <c r="AN699" s="25">
        <v>292900</v>
      </c>
      <c r="AO699" s="25">
        <v>0</v>
      </c>
      <c r="AP699" s="25">
        <f>Lookups!$B$56*0</f>
        <v>0</v>
      </c>
      <c r="AQ699" s="25">
        <f>Lookups!$B$56*1</f>
        <v>89850.625589999996</v>
      </c>
      <c r="AR699" s="25">
        <f>Lookups!$B$57*Inventory[[#This Row],[LnAcres]]</f>
        <v>-46522.028095997222</v>
      </c>
      <c r="AS699" s="25">
        <f>VLOOKUP(Inventory[[#This Row],[Qlty]],Lookups!$A$62:$E$75,2,FALSE)</f>
        <v>21557.329055999999</v>
      </c>
      <c r="AT699" s="25">
        <f>VLOOKUP(Inventory[[#This Row],[Cnd]],Lookups!$A$76:$E$84,2,FALSE)</f>
        <v>197752.34721000001</v>
      </c>
      <c r="AU699" s="25">
        <f>Inventory[[#This Row],[EffAge]]*Lookups!$B$85</f>
        <v>-9814.0064220000004</v>
      </c>
      <c r="AV699" s="25">
        <f>Inventory[[#This Row],[MainFn]]*Lookups!$B$86</f>
        <v>75101.178213039995</v>
      </c>
      <c r="AW699" s="25">
        <f>Inventory[[#This Row],[UpprFn]]*Lookups!$B$87</f>
        <v>0</v>
      </c>
      <c r="AX699" s="25">
        <f>Inventory[[#This Row],[AddFn]]*Lookups!$B$88</f>
        <v>0</v>
      </c>
      <c r="AY699" s="25">
        <f>Inventory[[#This Row],[Bsmt]]*Lookups!$B$89</f>
        <v>0</v>
      </c>
      <c r="AZ699" s="25">
        <f>Inventory[[#This Row],[Fixtures]]*Lookups!$B$90</f>
        <v>34128.198946800003</v>
      </c>
      <c r="BA699" s="25">
        <f>Inventory[[#This Row],[WdDeck]]*Lookups!$B$91</f>
        <v>0</v>
      </c>
      <c r="BB699" s="25">
        <f>ROUND(Inventory[[#This Row],[25Det]],-2)</f>
        <v>21100</v>
      </c>
      <c r="BC699" s="25">
        <f>ROUND(SUM(Inventory[[#This Row],[Mdl Qlty]:[Mdl WdDeck]])+Inventory[[#This Row],[Mdl Res Intercept]],-2)</f>
        <v>318700</v>
      </c>
      <c r="BD699" s="25">
        <f>ROUND(Inventory[[#This Row],[Mdl Land Intercept]]+Inventory[[#This Row],[Mdl LnAcres]],-2)</f>
        <v>43300</v>
      </c>
      <c r="BE699" s="25">
        <f>Inventory[[#This Row],[Unadj Res Value]]+Inventory[[#This Row],[Unadj Det Value]]+Inventory[[#This Row],[Unadj Land Value]]</f>
        <v>383100</v>
      </c>
      <c r="BF699" s="36">
        <f>(Inventory[[#This Row],[Unadj Total Value]]-Inventory[[#This Row],[24Final]])/Inventory[[#This Row],[24Final]]</f>
        <v>7.5519371139809097E-2</v>
      </c>
      <c r="BG699" s="25">
        <f>VLOOKUP(Inventory[[#This Row],[Nbhd]],Lookups!$Q$2:$T$4,4,FALSE)</f>
        <v>0.99970000000000003</v>
      </c>
      <c r="BH699" s="25">
        <f>VLOOKUP(Inventory[[#This Row],[Qlty]],Lookups!$O$7:$R$21,4,FALSE)</f>
        <v>1.0067999999999999</v>
      </c>
      <c r="BI699" s="25">
        <f>VLOOKUP(Inventory[[#This Row],[Cnd]],Lookups!$T$7:$W$16,4,FALSE)</f>
        <v>0.99650000000000005</v>
      </c>
      <c r="BJ699" s="25">
        <f>VLOOKUP(Inventory[[#This Row],[LivArea Range]],Lookups!$T$25:$W$37,4,FALSE)</f>
        <v>1.0093000000000001</v>
      </c>
      <c r="BK699" s="25">
        <f>VLOOKUP(Inventory[[#This Row],[Decade]],Lookups!$O$25:$R$42,4,FALSE)</f>
        <v>1.0199</v>
      </c>
      <c r="BL699" s="25">
        <f>Inventory[[#This Row],[Nbhd Adj]]*0.95</f>
        <v>0.94971499999999998</v>
      </c>
      <c r="BM699" s="25">
        <f>Inventory[[#This Row],[Nbhd Adj]]*Inventory[[#This Row],[Quality Adj]]*Inventory[[#This Row],[Condition Adj]]*Inventory[[#This Row],[Living Area Adj]]*Inventory[[#This Row],[Decade Adj]]*0.95</f>
        <v>0.98082532839872782</v>
      </c>
      <c r="BN699" s="25">
        <f>ROUND(SUM(Inventory[[#This Row],[Mdl Qlty]:[Mdl WdDeck]])+Inventory[[#This Row],[Mdl Res Intercept]]*Inventory[[#This Row],[Res Adj ]],-2)</f>
        <v>318700</v>
      </c>
      <c r="BO699" s="25">
        <f>ROUND(Inventory[[#This Row],[25Det]]*Inventory[[#This Row],[Det/Nbhd Adj]],-2)</f>
        <v>20100</v>
      </c>
      <c r="BP699" s="25">
        <f>Inventory[[#This Row],[Adjusted Res]]+Inventory[[#This Row],[Adj Det ]]</f>
        <v>338800</v>
      </c>
      <c r="BQ699" s="25">
        <f>ROUND((Inventory[[#This Row],[Mdl Land Intercept]]+Inventory[[#This Row],[Mdl LnAcres]])*Inventory[[#This Row],[Det/Nbhd Adj]],-2)</f>
        <v>41100</v>
      </c>
      <c r="BR699" s="25">
        <f>Inventory[[#This Row],[Adjusted Impr Total]]+Inventory[[#This Row],[Adjusted Land Total]]</f>
        <v>379900</v>
      </c>
      <c r="BS699" s="36">
        <f>IFERROR((Inventory[[#This Row],[Adjusted Impr Total]]-Inventory[[#This Row],[24Bldg]])/Inventory[[#This Row],[24Bldg]],0)</f>
        <v>0.15670877432570843</v>
      </c>
      <c r="BT699" s="36">
        <f>(Inventory[[#This Row],[Adjusted Land Total]]-Inventory[[#This Row],[24Lnd]])/Inventory[[#This Row],[24Lnd]]</f>
        <v>-0.35071090047393366</v>
      </c>
      <c r="BU699" s="36">
        <f>(Inventory[[#This Row],[Adjusted Total]]-Inventory[[#This Row],[24Final]])/Inventory[[#This Row],[24Final]]</f>
        <v>6.6535654126895008E-2</v>
      </c>
    </row>
    <row r="700" spans="1:73" x14ac:dyDescent="0.3">
      <c r="A700" s="25">
        <v>2025</v>
      </c>
      <c r="B700" s="26" t="s">
        <v>2883</v>
      </c>
      <c r="C700" s="85">
        <f>LN(Inventory[[#This Row],[Acres]])</f>
        <v>-1.8971199848858813</v>
      </c>
      <c r="D700" s="32">
        <v>0.15</v>
      </c>
      <c r="E700" s="31"/>
      <c r="F700" s="26" t="s">
        <v>537</v>
      </c>
      <c r="G700" s="26" t="s">
        <v>126</v>
      </c>
      <c r="H700" s="26" t="s">
        <v>349</v>
      </c>
      <c r="I700" s="26" t="s">
        <v>538</v>
      </c>
      <c r="J700" s="26" t="s">
        <v>539</v>
      </c>
      <c r="K700" s="26" t="s">
        <v>241</v>
      </c>
      <c r="L700" s="26" t="s">
        <v>351</v>
      </c>
      <c r="M700" s="26" t="s">
        <v>303</v>
      </c>
      <c r="N700" s="26">
        <v>70</v>
      </c>
      <c r="O700" s="26">
        <f>2024-Inventory[[#This Row],[YrBlt]]</f>
        <v>70</v>
      </c>
      <c r="P700" s="26">
        <f>2024-Inventory[[#This Row],[EffYr]]</f>
        <v>50</v>
      </c>
      <c r="Q700" s="25">
        <v>1954</v>
      </c>
      <c r="R700" s="25">
        <v>1974</v>
      </c>
      <c r="S700" s="25">
        <v>1644</v>
      </c>
      <c r="T700" s="27"/>
      <c r="U700" s="25">
        <v>1276</v>
      </c>
      <c r="V700" s="25">
        <f>Inventory[[#This Row],[Bsmt]]-Inventory[[#This Row],[FnBsmt]]</f>
        <v>638</v>
      </c>
      <c r="W700" s="25">
        <v>638</v>
      </c>
      <c r="X700" s="27"/>
      <c r="Y700" s="27">
        <f>Inventory[[#This Row],[MainFn]]+Inventory[[#This Row],[UpprFn]]+Inventory[[#This Row],[FnBsmt]]+Inventory[[#This Row],[AddFn]]</f>
        <v>2282</v>
      </c>
      <c r="Z700" s="27">
        <v>2500</v>
      </c>
      <c r="AA700" s="25">
        <v>10</v>
      </c>
      <c r="AB700" s="27"/>
      <c r="AC700" s="27"/>
      <c r="AD700" s="27"/>
      <c r="AE700" s="27"/>
      <c r="AF700" s="27"/>
      <c r="AG700" s="27"/>
      <c r="AH700" s="27"/>
      <c r="AI700" s="25">
        <v>346546</v>
      </c>
      <c r="AJ700" s="25">
        <v>249513</v>
      </c>
      <c r="AK700" s="25">
        <v>0</v>
      </c>
      <c r="AL700" s="25">
        <v>369900</v>
      </c>
      <c r="AM700" s="25">
        <v>48400</v>
      </c>
      <c r="AN700" s="25">
        <v>321500</v>
      </c>
      <c r="AO700" s="25">
        <v>0</v>
      </c>
      <c r="AP700" s="25">
        <f>Lookups!$B$56*0</f>
        <v>0</v>
      </c>
      <c r="AQ700" s="25">
        <f>Lookups!$B$56*1</f>
        <v>89850.625589999996</v>
      </c>
      <c r="AR700" s="25">
        <f>Lookups!$B$57*Inventory[[#This Row],[LnAcres]]</f>
        <v>-60052.604136134301</v>
      </c>
      <c r="AS700" s="25">
        <f>VLOOKUP(Inventory[[#This Row],[Qlty]],Lookups!$A$62:$E$75,2,FALSE)</f>
        <v>21557.329055999999</v>
      </c>
      <c r="AT700" s="25">
        <f>VLOOKUP(Inventory[[#This Row],[Cnd]],Lookups!$A$76:$E$84,2,FALSE)</f>
        <v>197752.34721000001</v>
      </c>
      <c r="AU700" s="25">
        <f>Inventory[[#This Row],[EffAge]]*Lookups!$B$85</f>
        <v>-11152.280025</v>
      </c>
      <c r="AV700" s="25">
        <f>Inventory[[#This Row],[MainFn]]*Lookups!$B$86</f>
        <v>81227.853277788003</v>
      </c>
      <c r="AW700" s="25">
        <f>Inventory[[#This Row],[UpprFn]]*Lookups!$B$87</f>
        <v>0</v>
      </c>
      <c r="AX700" s="25">
        <f>Inventory[[#This Row],[AddFn]]*Lookups!$B$88</f>
        <v>0</v>
      </c>
      <c r="AY700" s="25">
        <f>Inventory[[#This Row],[Bsmt]]*Lookups!$B$89</f>
        <v>37108.498335172</v>
      </c>
      <c r="AZ700" s="25">
        <f>Inventory[[#This Row],[Fixtures]]*Lookups!$B$90</f>
        <v>37920.221052000001</v>
      </c>
      <c r="BA700" s="25">
        <f>Inventory[[#This Row],[WdDeck]]*Lookups!$B$91</f>
        <v>0</v>
      </c>
      <c r="BB700" s="25">
        <f>ROUND(Inventory[[#This Row],[25Det]],-2)</f>
        <v>0</v>
      </c>
      <c r="BC700" s="25">
        <f>ROUND(SUM(Inventory[[#This Row],[Mdl Qlty]:[Mdl WdDeck]])+Inventory[[#This Row],[Mdl Res Intercept]],-2)</f>
        <v>364400</v>
      </c>
      <c r="BD700" s="25">
        <f>ROUND(Inventory[[#This Row],[Mdl Land Intercept]]+Inventory[[#This Row],[Mdl LnAcres]],-2)</f>
        <v>29800</v>
      </c>
      <c r="BE700" s="25">
        <f>Inventory[[#This Row],[Unadj Res Value]]+Inventory[[#This Row],[Unadj Det Value]]+Inventory[[#This Row],[Unadj Land Value]]</f>
        <v>394200</v>
      </c>
      <c r="BF700" s="36">
        <f>(Inventory[[#This Row],[Unadj Total Value]]-Inventory[[#This Row],[24Final]])/Inventory[[#This Row],[24Final]]</f>
        <v>6.569343065693431E-2</v>
      </c>
      <c r="BG700" s="25">
        <f>VLOOKUP(Inventory[[#This Row],[Nbhd]],Lookups!$Q$2:$T$4,4,FALSE)</f>
        <v>0.99970000000000003</v>
      </c>
      <c r="BH700" s="25">
        <f>VLOOKUP(Inventory[[#This Row],[Qlty]],Lookups!$O$7:$R$21,4,FALSE)</f>
        <v>1.0067999999999999</v>
      </c>
      <c r="BI700" s="25">
        <f>VLOOKUP(Inventory[[#This Row],[Cnd]],Lookups!$T$7:$W$16,4,FALSE)</f>
        <v>0.99650000000000005</v>
      </c>
      <c r="BJ700" s="25">
        <f>VLOOKUP(Inventory[[#This Row],[LivArea Range]],Lookups!$T$25:$W$37,4,FALSE)</f>
        <v>0.98919999999999997</v>
      </c>
      <c r="BK700" s="25">
        <f>VLOOKUP(Inventory[[#This Row],[Decade]],Lookups!$O$25:$R$42,4,FALSE)</f>
        <v>1.0199</v>
      </c>
      <c r="BL700" s="25">
        <f>Inventory[[#This Row],[Nbhd Adj]]*0.95</f>
        <v>0.94971499999999998</v>
      </c>
      <c r="BM700" s="25">
        <f>Inventory[[#This Row],[Nbhd Adj]]*Inventory[[#This Row],[Quality Adj]]*Inventory[[#This Row],[Condition Adj]]*Inventory[[#This Row],[Living Area Adj]]*Inventory[[#This Row],[Decade Adj]]*0.95</f>
        <v>0.96129239557319079</v>
      </c>
      <c r="BN700" s="25">
        <f>ROUND(SUM(Inventory[[#This Row],[Mdl Qlty]:[Mdl WdDeck]])+Inventory[[#This Row],[Mdl Res Intercept]]*Inventory[[#This Row],[Res Adj ]],-2)</f>
        <v>364400</v>
      </c>
      <c r="BO700" s="25">
        <f>ROUND(Inventory[[#This Row],[25Det]]*Inventory[[#This Row],[Det/Nbhd Adj]],-2)</f>
        <v>0</v>
      </c>
      <c r="BP700" s="25">
        <f>Inventory[[#This Row],[Adjusted Res]]+Inventory[[#This Row],[Adj Det ]]</f>
        <v>364400</v>
      </c>
      <c r="BQ700" s="25">
        <f>ROUND((Inventory[[#This Row],[Mdl Land Intercept]]+Inventory[[#This Row],[Mdl LnAcres]])*Inventory[[#This Row],[Det/Nbhd Adj]],-2)</f>
        <v>28300</v>
      </c>
      <c r="BR700" s="25">
        <f>Inventory[[#This Row],[Adjusted Impr Total]]+Inventory[[#This Row],[Adjusted Land Total]]</f>
        <v>392700</v>
      </c>
      <c r="BS700" s="36">
        <f>IFERROR((Inventory[[#This Row],[Adjusted Impr Total]]-Inventory[[#This Row],[24Bldg]])/Inventory[[#This Row],[24Bldg]],0)</f>
        <v>0.13343701399688959</v>
      </c>
      <c r="BT700" s="36">
        <f>(Inventory[[#This Row],[Adjusted Land Total]]-Inventory[[#This Row],[24Lnd]])/Inventory[[#This Row],[24Lnd]]</f>
        <v>-0.41528925619834711</v>
      </c>
      <c r="BU700" s="36">
        <f>(Inventory[[#This Row],[Adjusted Total]]-Inventory[[#This Row],[24Final]])/Inventory[[#This Row],[24Final]]</f>
        <v>6.163828061638281E-2</v>
      </c>
    </row>
    <row r="701" spans="1:73" x14ac:dyDescent="0.3">
      <c r="A701" s="25">
        <v>2025</v>
      </c>
      <c r="B701" s="26" t="s">
        <v>1076</v>
      </c>
      <c r="C701" s="26">
        <f>LN(Inventory[[#This Row],[Acres]])</f>
        <v>-1.7719568419318752</v>
      </c>
      <c r="D701" s="31">
        <f>ROUND(Inventory[[#This Row],[Sqft]]/43560,2)</f>
        <v>0.17</v>
      </c>
      <c r="E701" s="32">
        <v>7550</v>
      </c>
      <c r="F701" s="26" t="s">
        <v>537</v>
      </c>
      <c r="G701" s="26" t="s">
        <v>126</v>
      </c>
      <c r="H701" s="26" t="s">
        <v>349</v>
      </c>
      <c r="I701" s="26" t="s">
        <v>538</v>
      </c>
      <c r="J701" s="26" t="s">
        <v>539</v>
      </c>
      <c r="K701" s="26" t="s">
        <v>241</v>
      </c>
      <c r="L701" s="26" t="s">
        <v>302</v>
      </c>
      <c r="M701" s="26" t="s">
        <v>323</v>
      </c>
      <c r="N701" s="26">
        <v>70</v>
      </c>
      <c r="O701" s="26">
        <f>2024-Inventory[[#This Row],[YrBlt]]</f>
        <v>70</v>
      </c>
      <c r="P701" s="26">
        <f>2024-Inventory[[#This Row],[EffYr]]</f>
        <v>50</v>
      </c>
      <c r="Q701" s="25">
        <v>1954</v>
      </c>
      <c r="R701" s="25">
        <v>1974</v>
      </c>
      <c r="S701" s="25">
        <v>1136</v>
      </c>
      <c r="T701" s="25">
        <v>759</v>
      </c>
      <c r="U701" s="31"/>
      <c r="V701" s="31">
        <f>Inventory[[#This Row],[Bsmt]]-Inventory[[#This Row],[FnBsmt]]</f>
        <v>0</v>
      </c>
      <c r="W701" s="31"/>
      <c r="X701" s="27"/>
      <c r="Y701" s="27">
        <f>Inventory[[#This Row],[MainFn]]+Inventory[[#This Row],[UpprFn]]+Inventory[[#This Row],[FnBsmt]]+Inventory[[#This Row],[AddFn]]</f>
        <v>1895</v>
      </c>
      <c r="Z701" s="27">
        <v>2000</v>
      </c>
      <c r="AA701" s="25">
        <v>8</v>
      </c>
      <c r="AB701" s="27"/>
      <c r="AC701" s="27"/>
      <c r="AD701" s="25">
        <v>322</v>
      </c>
      <c r="AE701" s="27"/>
      <c r="AF701" s="27"/>
      <c r="AG701" s="27"/>
      <c r="AH701" s="27"/>
      <c r="AI701" s="25">
        <v>338462</v>
      </c>
      <c r="AJ701" s="25">
        <v>236923</v>
      </c>
      <c r="AK701" s="25">
        <v>18180</v>
      </c>
      <c r="AL701" s="25">
        <v>339900</v>
      </c>
      <c r="AM701" s="25">
        <v>52700</v>
      </c>
      <c r="AN701" s="25">
        <v>287200</v>
      </c>
      <c r="AO701" s="25">
        <v>0</v>
      </c>
      <c r="AP701" s="25">
        <f>Lookups!$B$56*0</f>
        <v>0</v>
      </c>
      <c r="AQ701" s="25">
        <f>Lookups!$B$56*1</f>
        <v>89850.625589999996</v>
      </c>
      <c r="AR701" s="25">
        <f>Lookups!$B$57*Inventory[[#This Row],[LnAcres]]</f>
        <v>-56090.612940989391</v>
      </c>
      <c r="AS701" s="25">
        <f>VLOOKUP(Inventory[[#This Row],[Qlty]],Lookups!$A$62:$E$75,2,FALSE)</f>
        <v>29814.093161000001</v>
      </c>
      <c r="AT701" s="25">
        <f>VLOOKUP(Inventory[[#This Row],[Cnd]],Lookups!$A$76:$E$84,2,FALSE)</f>
        <v>160472.20319</v>
      </c>
      <c r="AU701" s="25">
        <f>Inventory[[#This Row],[EffAge]]*Lookups!$B$85</f>
        <v>-11152.280025</v>
      </c>
      <c r="AV701" s="25">
        <f>Inventory[[#This Row],[MainFn]]*Lookups!$B$86</f>
        <v>56128.248980272001</v>
      </c>
      <c r="AW701" s="25">
        <f>Inventory[[#This Row],[UpprFn]]*Lookups!$B$87</f>
        <v>33992.894951499002</v>
      </c>
      <c r="AX701" s="25">
        <f>Inventory[[#This Row],[AddFn]]*Lookups!$B$88</f>
        <v>0</v>
      </c>
      <c r="AY701" s="25">
        <f>Inventory[[#This Row],[Bsmt]]*Lookups!$B$89</f>
        <v>0</v>
      </c>
      <c r="AZ701" s="25">
        <f>Inventory[[#This Row],[Fixtures]]*Lookups!$B$90</f>
        <v>30336.176841600001</v>
      </c>
      <c r="BA701" s="25">
        <f>Inventory[[#This Row],[WdDeck]]*Lookups!$B$91</f>
        <v>10721.155918872</v>
      </c>
      <c r="BB701" s="25">
        <f>ROUND(Inventory[[#This Row],[25Det]],-2)</f>
        <v>18200</v>
      </c>
      <c r="BC701" s="25">
        <f>ROUND(SUM(Inventory[[#This Row],[Mdl Qlty]:[Mdl WdDeck]])+Inventory[[#This Row],[Mdl Res Intercept]],-2)</f>
        <v>310300</v>
      </c>
      <c r="BD701" s="25">
        <f>ROUND(Inventory[[#This Row],[Mdl Land Intercept]]+Inventory[[#This Row],[Mdl LnAcres]],-2)</f>
        <v>33800</v>
      </c>
      <c r="BE701" s="25">
        <f>Inventory[[#This Row],[Unadj Res Value]]+Inventory[[#This Row],[Unadj Det Value]]+Inventory[[#This Row],[Unadj Land Value]]</f>
        <v>362300</v>
      </c>
      <c r="BF701" s="36">
        <f>(Inventory[[#This Row],[Unadj Total Value]]-Inventory[[#This Row],[24Final]])/Inventory[[#This Row],[24Final]]</f>
        <v>6.590173580464842E-2</v>
      </c>
      <c r="BG701" s="25">
        <f>VLOOKUP(Inventory[[#This Row],[Nbhd]],Lookups!$Q$2:$T$4,4,FALSE)</f>
        <v>0.99970000000000003</v>
      </c>
      <c r="BH701" s="25">
        <f>VLOOKUP(Inventory[[#This Row],[Qlty]],Lookups!$O$7:$R$21,4,FALSE)</f>
        <v>1.0088999999999999</v>
      </c>
      <c r="BI701" s="25">
        <f>VLOOKUP(Inventory[[#This Row],[Cnd]],Lookups!$T$7:$W$16,4,FALSE)</f>
        <v>0.99729999999999996</v>
      </c>
      <c r="BJ701" s="25">
        <f>VLOOKUP(Inventory[[#This Row],[LivArea Range]],Lookups!$T$25:$W$37,4,FALSE)</f>
        <v>1.0093000000000001</v>
      </c>
      <c r="BK701" s="25">
        <f>VLOOKUP(Inventory[[#This Row],[Decade]],Lookups!$O$25:$R$42,4,FALSE)</f>
        <v>1.0199</v>
      </c>
      <c r="BL701" s="25">
        <f>Inventory[[#This Row],[Nbhd Adj]]*0.95</f>
        <v>0.94971499999999998</v>
      </c>
      <c r="BM701" s="25">
        <f>Inventory[[#This Row],[Nbhd Adj]]*Inventory[[#This Row],[Quality Adj]]*Inventory[[#This Row],[Condition Adj]]*Inventory[[#This Row],[Living Area Adj]]*Inventory[[#This Row],[Decade Adj]]*0.95</f>
        <v>0.98366020862665582</v>
      </c>
      <c r="BN701" s="25">
        <f>ROUND(SUM(Inventory[[#This Row],[Mdl Qlty]:[Mdl WdDeck]])+Inventory[[#This Row],[Mdl Res Intercept]]*Inventory[[#This Row],[Res Adj ]],-2)</f>
        <v>310300</v>
      </c>
      <c r="BO701" s="25">
        <f>ROUND(Inventory[[#This Row],[25Det]]*Inventory[[#This Row],[Det/Nbhd Adj]],-2)</f>
        <v>17300</v>
      </c>
      <c r="BP701" s="25">
        <f>Inventory[[#This Row],[Adjusted Res]]+Inventory[[#This Row],[Adj Det ]]</f>
        <v>327600</v>
      </c>
      <c r="BQ701" s="25">
        <f>ROUND((Inventory[[#This Row],[Mdl Land Intercept]]+Inventory[[#This Row],[Mdl LnAcres]])*Inventory[[#This Row],[Det/Nbhd Adj]],-2)</f>
        <v>32100</v>
      </c>
      <c r="BR701" s="25">
        <f>Inventory[[#This Row],[Adjusted Impr Total]]+Inventory[[#This Row],[Adjusted Land Total]]</f>
        <v>359700</v>
      </c>
      <c r="BS701" s="36">
        <f>IFERROR((Inventory[[#This Row],[Adjusted Impr Total]]-Inventory[[#This Row],[24Bldg]])/Inventory[[#This Row],[24Bldg]],0)</f>
        <v>0.14066852367688024</v>
      </c>
      <c r="BT701" s="36">
        <f>(Inventory[[#This Row],[Adjusted Land Total]]-Inventory[[#This Row],[24Lnd]])/Inventory[[#This Row],[24Lnd]]</f>
        <v>-0.39089184060721061</v>
      </c>
      <c r="BU701" s="36">
        <f>(Inventory[[#This Row],[Adjusted Total]]-Inventory[[#This Row],[24Final]])/Inventory[[#This Row],[24Final]]</f>
        <v>5.8252427184466021E-2</v>
      </c>
    </row>
    <row r="702" spans="1:73" x14ac:dyDescent="0.3">
      <c r="A702" s="25">
        <v>2025</v>
      </c>
      <c r="B702" s="26" t="s">
        <v>2898</v>
      </c>
      <c r="C702" s="26">
        <f>LN(Inventory[[#This Row],[Acres]])</f>
        <v>-1.2378743560016174</v>
      </c>
      <c r="D702" s="25">
        <v>0.28999999999999998</v>
      </c>
      <c r="E702" s="32">
        <v>12468</v>
      </c>
      <c r="F702" s="26" t="s">
        <v>537</v>
      </c>
      <c r="G702" s="26" t="s">
        <v>126</v>
      </c>
      <c r="H702" s="26" t="s">
        <v>349</v>
      </c>
      <c r="I702" s="26" t="s">
        <v>538</v>
      </c>
      <c r="J702" s="26" t="s">
        <v>539</v>
      </c>
      <c r="K702" s="26" t="s">
        <v>241</v>
      </c>
      <c r="L702" s="26" t="s">
        <v>148</v>
      </c>
      <c r="M702" s="26" t="s">
        <v>303</v>
      </c>
      <c r="N702" s="26">
        <v>70</v>
      </c>
      <c r="O702" s="26">
        <f>2024-Inventory[[#This Row],[YrBlt]]</f>
        <v>70</v>
      </c>
      <c r="P702" s="26">
        <f>2024-Inventory[[#This Row],[EffYr]]</f>
        <v>50</v>
      </c>
      <c r="Q702" s="25">
        <v>1954</v>
      </c>
      <c r="R702" s="25">
        <v>1974</v>
      </c>
      <c r="S702" s="25">
        <v>2330</v>
      </c>
      <c r="T702" s="27"/>
      <c r="U702" s="32">
        <v>918</v>
      </c>
      <c r="V702" s="32">
        <f>Inventory[[#This Row],[Bsmt]]-Inventory[[#This Row],[FnBsmt]]</f>
        <v>273</v>
      </c>
      <c r="W702" s="32">
        <v>645</v>
      </c>
      <c r="X702" s="27"/>
      <c r="Y702" s="27">
        <f>Inventory[[#This Row],[MainFn]]+Inventory[[#This Row],[UpprFn]]+Inventory[[#This Row],[FnBsmt]]+Inventory[[#This Row],[AddFn]]</f>
        <v>2975</v>
      </c>
      <c r="Z702" s="27">
        <v>3000</v>
      </c>
      <c r="AA702" s="25">
        <v>10</v>
      </c>
      <c r="AB702" s="31"/>
      <c r="AC702" s="32">
        <v>285</v>
      </c>
      <c r="AD702" s="32">
        <v>248</v>
      </c>
      <c r="AE702" s="27"/>
      <c r="AF702" s="27"/>
      <c r="AG702" s="27"/>
      <c r="AH702" s="27"/>
      <c r="AI702" s="25">
        <v>576792</v>
      </c>
      <c r="AJ702" s="25">
        <v>415290</v>
      </c>
      <c r="AK702" s="25">
        <v>0</v>
      </c>
      <c r="AL702" s="25">
        <v>442300</v>
      </c>
      <c r="AM702" s="25">
        <v>71400</v>
      </c>
      <c r="AN702" s="25">
        <v>370900</v>
      </c>
      <c r="AO702" s="25">
        <v>0</v>
      </c>
      <c r="AP702" s="25">
        <f>Lookups!$B$56*0</f>
        <v>0</v>
      </c>
      <c r="AQ702" s="25">
        <f>Lookups!$B$56*1</f>
        <v>89850.625589999996</v>
      </c>
      <c r="AR702" s="25">
        <f>Lookups!$B$57*Inventory[[#This Row],[LnAcres]]</f>
        <v>-39184.437074869042</v>
      </c>
      <c r="AS702" s="25">
        <f>VLOOKUP(Inventory[[#This Row],[Qlty]],Lookups!$A$62:$E$75,2,FALSE)</f>
        <v>44121.038090000002</v>
      </c>
      <c r="AT702" s="25">
        <f>VLOOKUP(Inventory[[#This Row],[Cnd]],Lookups!$A$76:$E$84,2,FALSE)</f>
        <v>197752.34721000001</v>
      </c>
      <c r="AU702" s="25">
        <f>Inventory[[#This Row],[EffAge]]*Lookups!$B$85</f>
        <v>-11152.280025</v>
      </c>
      <c r="AV702" s="25">
        <f>Inventory[[#This Row],[MainFn]]*Lookups!$B$86</f>
        <v>115122.20081341</v>
      </c>
      <c r="AW702" s="25">
        <f>Inventory[[#This Row],[UpprFn]]*Lookups!$B$87</f>
        <v>0</v>
      </c>
      <c r="AX702" s="25">
        <f>Inventory[[#This Row],[AddFn]]*Lookups!$B$88</f>
        <v>0</v>
      </c>
      <c r="AY702" s="25">
        <f>Inventory[[#This Row],[Bsmt]]*Lookups!$B$89</f>
        <v>26697.179836746</v>
      </c>
      <c r="AZ702" s="25">
        <f>Inventory[[#This Row],[Fixtures]]*Lookups!$B$90</f>
        <v>37920.221052000001</v>
      </c>
      <c r="BA702" s="25">
        <f>Inventory[[#This Row],[WdDeck]]*Lookups!$B$91</f>
        <v>8257.2877884480004</v>
      </c>
      <c r="BB702" s="25">
        <f>ROUND(Inventory[[#This Row],[25Det]],-2)</f>
        <v>0</v>
      </c>
      <c r="BC702" s="25">
        <f>ROUND(SUM(Inventory[[#This Row],[Mdl Qlty]:[Mdl WdDeck]])+Inventory[[#This Row],[Mdl Res Intercept]],-2)</f>
        <v>418700</v>
      </c>
      <c r="BD702" s="25">
        <f>ROUND(Inventory[[#This Row],[Mdl Land Intercept]]+Inventory[[#This Row],[Mdl LnAcres]],-2)</f>
        <v>50700</v>
      </c>
      <c r="BE702" s="25">
        <f>Inventory[[#This Row],[Unadj Res Value]]+Inventory[[#This Row],[Unadj Det Value]]+Inventory[[#This Row],[Unadj Land Value]]</f>
        <v>469400</v>
      </c>
      <c r="BF702" s="36">
        <f>(Inventory[[#This Row],[Unadj Total Value]]-Inventory[[#This Row],[24Final]])/Inventory[[#This Row],[24Final]]</f>
        <v>6.1270630793579021E-2</v>
      </c>
      <c r="BG702" s="25">
        <f>VLOOKUP(Inventory[[#This Row],[Nbhd]],Lookups!$Q$2:$T$4,4,FALSE)</f>
        <v>0.99970000000000003</v>
      </c>
      <c r="BH702" s="25">
        <f>VLOOKUP(Inventory[[#This Row],[Qlty]],Lookups!$O$7:$R$21,4,FALSE)</f>
        <v>0.98050000000000004</v>
      </c>
      <c r="BI702" s="25">
        <f>VLOOKUP(Inventory[[#This Row],[Cnd]],Lookups!$T$7:$W$16,4,FALSE)</f>
        <v>0.99650000000000005</v>
      </c>
      <c r="BJ702" s="25">
        <f>VLOOKUP(Inventory[[#This Row],[LivArea Range]],Lookups!$T$25:$W$37,4,FALSE)</f>
        <v>0.96179999999999999</v>
      </c>
      <c r="BK702" s="25">
        <f>VLOOKUP(Inventory[[#This Row],[Decade]],Lookups!$O$25:$R$42,4,FALSE)</f>
        <v>1.0199</v>
      </c>
      <c r="BL702" s="25">
        <f>Inventory[[#This Row],[Nbhd Adj]]*0.95</f>
        <v>0.94971499999999998</v>
      </c>
      <c r="BM702" s="25">
        <f>Inventory[[#This Row],[Nbhd Adj]]*Inventory[[#This Row],[Quality Adj]]*Inventory[[#This Row],[Condition Adj]]*Inventory[[#This Row],[Living Area Adj]]*Inventory[[#This Row],[Decade Adj]]*0.95</f>
        <v>0.91024973874989379</v>
      </c>
      <c r="BN702" s="25">
        <f>ROUND(SUM(Inventory[[#This Row],[Mdl Qlty]:[Mdl WdDeck]])+Inventory[[#This Row],[Mdl Res Intercept]]*Inventory[[#This Row],[Res Adj ]],-2)</f>
        <v>418700</v>
      </c>
      <c r="BO702" s="25">
        <f>ROUND(Inventory[[#This Row],[25Det]]*Inventory[[#This Row],[Det/Nbhd Adj]],-2)</f>
        <v>0</v>
      </c>
      <c r="BP702" s="25">
        <f>Inventory[[#This Row],[Adjusted Res]]+Inventory[[#This Row],[Adj Det ]]</f>
        <v>418700</v>
      </c>
      <c r="BQ702" s="25">
        <f>ROUND((Inventory[[#This Row],[Mdl Land Intercept]]+Inventory[[#This Row],[Mdl LnAcres]])*Inventory[[#This Row],[Det/Nbhd Adj]],-2)</f>
        <v>48100</v>
      </c>
      <c r="BR702" s="25">
        <f>Inventory[[#This Row],[Adjusted Impr Total]]+Inventory[[#This Row],[Adjusted Land Total]]</f>
        <v>466800</v>
      </c>
      <c r="BS702" s="36">
        <f>IFERROR((Inventory[[#This Row],[Adjusted Impr Total]]-Inventory[[#This Row],[24Bldg]])/Inventory[[#This Row],[24Bldg]],0)</f>
        <v>0.12887570773793475</v>
      </c>
      <c r="BT702" s="36">
        <f>(Inventory[[#This Row],[Adjusted Land Total]]-Inventory[[#This Row],[24Lnd]])/Inventory[[#This Row],[24Lnd]]</f>
        <v>-0.32633053221288516</v>
      </c>
      <c r="BU702" s="36">
        <f>(Inventory[[#This Row],[Adjusted Total]]-Inventory[[#This Row],[24Final]])/Inventory[[#This Row],[24Final]]</f>
        <v>5.5392267691612027E-2</v>
      </c>
    </row>
    <row r="703" spans="1:73" x14ac:dyDescent="0.3">
      <c r="A703" s="25">
        <v>2025</v>
      </c>
      <c r="B703" s="26" t="s">
        <v>1620</v>
      </c>
      <c r="C703" s="26">
        <f>LN(Inventory[[#This Row],[Acres]])</f>
        <v>-1.5606477482646683</v>
      </c>
      <c r="D703" s="25">
        <v>0.21</v>
      </c>
      <c r="E703" s="27"/>
      <c r="F703" s="26" t="s">
        <v>537</v>
      </c>
      <c r="G703" s="26" t="s">
        <v>126</v>
      </c>
      <c r="H703" s="26" t="s">
        <v>349</v>
      </c>
      <c r="I703" s="26" t="s">
        <v>538</v>
      </c>
      <c r="J703" s="26" t="s">
        <v>539</v>
      </c>
      <c r="K703" s="26" t="s">
        <v>242</v>
      </c>
      <c r="L703" s="26" t="s">
        <v>302</v>
      </c>
      <c r="M703" s="26" t="s">
        <v>323</v>
      </c>
      <c r="N703" s="26">
        <v>70</v>
      </c>
      <c r="O703" s="26">
        <f>2024-Inventory[[#This Row],[YrBlt]]</f>
        <v>70</v>
      </c>
      <c r="P703" s="26">
        <f>2024-Inventory[[#This Row],[EffYr]]</f>
        <v>50</v>
      </c>
      <c r="Q703" s="25">
        <v>1954</v>
      </c>
      <c r="R703" s="25">
        <v>1974</v>
      </c>
      <c r="S703" s="25">
        <v>1220</v>
      </c>
      <c r="T703" s="27"/>
      <c r="U703" s="25">
        <v>1220</v>
      </c>
      <c r="V703" s="25">
        <f>Inventory[[#This Row],[Bsmt]]-Inventory[[#This Row],[FnBsmt]]</f>
        <v>305</v>
      </c>
      <c r="W703" s="25">
        <v>915</v>
      </c>
      <c r="X703" s="27"/>
      <c r="Y703" s="27">
        <f>Inventory[[#This Row],[MainFn]]+Inventory[[#This Row],[UpprFn]]+Inventory[[#This Row],[FnBsmt]]+Inventory[[#This Row],[AddFn]]</f>
        <v>2135</v>
      </c>
      <c r="Z703" s="27">
        <v>2500</v>
      </c>
      <c r="AA703" s="25">
        <v>9</v>
      </c>
      <c r="AB703" s="31"/>
      <c r="AC703" s="27"/>
      <c r="AD703" s="32">
        <v>320</v>
      </c>
      <c r="AE703" s="27"/>
      <c r="AF703" s="27"/>
      <c r="AG703" s="27"/>
      <c r="AH703" s="27"/>
      <c r="AI703" s="25">
        <v>366773</v>
      </c>
      <c r="AJ703" s="25">
        <v>256741</v>
      </c>
      <c r="AK703" s="25">
        <v>0</v>
      </c>
      <c r="AL703" s="25">
        <v>343700</v>
      </c>
      <c r="AM703" s="25">
        <v>60100</v>
      </c>
      <c r="AN703" s="25">
        <v>283600</v>
      </c>
      <c r="AO703" s="25">
        <v>0</v>
      </c>
      <c r="AP703" s="25">
        <f>Lookups!$B$56*0</f>
        <v>0</v>
      </c>
      <c r="AQ703" s="25">
        <f>Lookups!$B$56*1</f>
        <v>89850.625589999996</v>
      </c>
      <c r="AR703" s="25">
        <f>Lookups!$B$57*Inventory[[#This Row],[LnAcres]]</f>
        <v>-49401.70477837498</v>
      </c>
      <c r="AS703" s="25">
        <f>VLOOKUP(Inventory[[#This Row],[Qlty]],Lookups!$A$62:$E$75,2,FALSE)</f>
        <v>29814.093161000001</v>
      </c>
      <c r="AT703" s="25">
        <f>VLOOKUP(Inventory[[#This Row],[Cnd]],Lookups!$A$76:$E$84,2,FALSE)</f>
        <v>160472.20319</v>
      </c>
      <c r="AU703" s="25">
        <f>Inventory[[#This Row],[EffAge]]*Lookups!$B$85</f>
        <v>-11152.280025</v>
      </c>
      <c r="AV703" s="25">
        <f>Inventory[[#This Row],[MainFn]]*Lookups!$B$86</f>
        <v>60278.577249940005</v>
      </c>
      <c r="AW703" s="25">
        <f>Inventory[[#This Row],[UpprFn]]*Lookups!$B$87</f>
        <v>0</v>
      </c>
      <c r="AX703" s="25">
        <f>Inventory[[#This Row],[AddFn]]*Lookups!$B$88</f>
        <v>0</v>
      </c>
      <c r="AY703" s="25">
        <f>Inventory[[#This Row],[Bsmt]]*Lookups!$B$89</f>
        <v>35479.912201339997</v>
      </c>
      <c r="AZ703" s="25">
        <f>Inventory[[#This Row],[Fixtures]]*Lookups!$B$90</f>
        <v>34128.198946800003</v>
      </c>
      <c r="BA703" s="25">
        <f>Inventory[[#This Row],[WdDeck]]*Lookups!$B$91</f>
        <v>10654.564888320001</v>
      </c>
      <c r="BB703" s="25">
        <f>ROUND(Inventory[[#This Row],[25Det]],-2)</f>
        <v>0</v>
      </c>
      <c r="BC703" s="25">
        <f>ROUND(SUM(Inventory[[#This Row],[Mdl Qlty]:[Mdl WdDeck]])+Inventory[[#This Row],[Mdl Res Intercept]],-2)</f>
        <v>319700</v>
      </c>
      <c r="BD703" s="25">
        <f>ROUND(Inventory[[#This Row],[Mdl Land Intercept]]+Inventory[[#This Row],[Mdl LnAcres]],-2)</f>
        <v>40400</v>
      </c>
      <c r="BE703" s="25">
        <f>Inventory[[#This Row],[Unadj Res Value]]+Inventory[[#This Row],[Unadj Det Value]]+Inventory[[#This Row],[Unadj Land Value]]</f>
        <v>360100</v>
      </c>
      <c r="BF703" s="36">
        <f>(Inventory[[#This Row],[Unadj Total Value]]-Inventory[[#This Row],[24Final]])/Inventory[[#This Row],[24Final]]</f>
        <v>4.7716031422752402E-2</v>
      </c>
      <c r="BG703" s="25">
        <f>VLOOKUP(Inventory[[#This Row],[Nbhd]],Lookups!$Q$2:$T$4,4,FALSE)</f>
        <v>0.99970000000000003</v>
      </c>
      <c r="BH703" s="25">
        <f>VLOOKUP(Inventory[[#This Row],[Qlty]],Lookups!$O$7:$R$21,4,FALSE)</f>
        <v>1.0088999999999999</v>
      </c>
      <c r="BI703" s="25">
        <f>VLOOKUP(Inventory[[#This Row],[Cnd]],Lookups!$T$7:$W$16,4,FALSE)</f>
        <v>0.99729999999999996</v>
      </c>
      <c r="BJ703" s="25">
        <f>VLOOKUP(Inventory[[#This Row],[LivArea Range]],Lookups!$T$25:$W$37,4,FALSE)</f>
        <v>0.98919999999999997</v>
      </c>
      <c r="BK703" s="25">
        <f>VLOOKUP(Inventory[[#This Row],[Decade]],Lookups!$O$25:$R$42,4,FALSE)</f>
        <v>1.0199</v>
      </c>
      <c r="BL703" s="25">
        <f>Inventory[[#This Row],[Nbhd Adj]]*0.95</f>
        <v>0.94971499999999998</v>
      </c>
      <c r="BM703" s="25">
        <f>Inventory[[#This Row],[Nbhd Adj]]*Inventory[[#This Row],[Quality Adj]]*Inventory[[#This Row],[Condition Adj]]*Inventory[[#This Row],[Living Area Adj]]*Inventory[[#This Row],[Decade Adj]]*0.95</f>
        <v>0.96407081974981479</v>
      </c>
      <c r="BN703" s="25">
        <f>ROUND(SUM(Inventory[[#This Row],[Mdl Qlty]:[Mdl WdDeck]])+Inventory[[#This Row],[Mdl Res Intercept]]*Inventory[[#This Row],[Res Adj ]],-2)</f>
        <v>319700</v>
      </c>
      <c r="BO703" s="25">
        <f>ROUND(Inventory[[#This Row],[25Det]]*Inventory[[#This Row],[Det/Nbhd Adj]],-2)</f>
        <v>0</v>
      </c>
      <c r="BP703" s="25">
        <f>Inventory[[#This Row],[Adjusted Res]]+Inventory[[#This Row],[Adj Det ]]</f>
        <v>319700</v>
      </c>
      <c r="BQ703" s="25">
        <f>ROUND((Inventory[[#This Row],[Mdl Land Intercept]]+Inventory[[#This Row],[Mdl LnAcres]])*Inventory[[#This Row],[Det/Nbhd Adj]],-2)</f>
        <v>38400</v>
      </c>
      <c r="BR703" s="25">
        <f>Inventory[[#This Row],[Adjusted Impr Total]]+Inventory[[#This Row],[Adjusted Land Total]]</f>
        <v>358100</v>
      </c>
      <c r="BS703" s="36">
        <f>IFERROR((Inventory[[#This Row],[Adjusted Impr Total]]-Inventory[[#This Row],[24Bldg]])/Inventory[[#This Row],[24Bldg]],0)</f>
        <v>0.1272919605077574</v>
      </c>
      <c r="BT703" s="36">
        <f>(Inventory[[#This Row],[Adjusted Land Total]]-Inventory[[#This Row],[24Lnd]])/Inventory[[#This Row],[24Lnd]]</f>
        <v>-0.36106489184692181</v>
      </c>
      <c r="BU703" s="36">
        <f>(Inventory[[#This Row],[Adjusted Total]]-Inventory[[#This Row],[24Final]])/Inventory[[#This Row],[24Final]]</f>
        <v>4.1897003200465521E-2</v>
      </c>
    </row>
    <row r="704" spans="1:73" x14ac:dyDescent="0.3">
      <c r="A704" s="25">
        <v>2025</v>
      </c>
      <c r="B704" s="26" t="s">
        <v>1758</v>
      </c>
      <c r="C704" s="26">
        <f>LN(Inventory[[#This Row],[Acres]])</f>
        <v>-1.3862943611198906</v>
      </c>
      <c r="D704" s="25">
        <v>0.25</v>
      </c>
      <c r="E704" s="27"/>
      <c r="F704" s="26" t="s">
        <v>537</v>
      </c>
      <c r="G704" s="26" t="s">
        <v>126</v>
      </c>
      <c r="H704" s="26" t="s">
        <v>349</v>
      </c>
      <c r="I704" s="26" t="s">
        <v>538</v>
      </c>
      <c r="J704" s="26" t="s">
        <v>539</v>
      </c>
      <c r="K704" s="26" t="s">
        <v>241</v>
      </c>
      <c r="L704" s="26" t="s">
        <v>302</v>
      </c>
      <c r="M704" s="26" t="s">
        <v>323</v>
      </c>
      <c r="N704" s="26">
        <v>70</v>
      </c>
      <c r="O704" s="26">
        <f>2024-Inventory[[#This Row],[YrBlt]]</f>
        <v>70</v>
      </c>
      <c r="P704" s="26">
        <f>2024-Inventory[[#This Row],[EffYr]]</f>
        <v>50</v>
      </c>
      <c r="Q704" s="25">
        <v>1954</v>
      </c>
      <c r="R704" s="25">
        <v>1974</v>
      </c>
      <c r="S704" s="25">
        <v>1381</v>
      </c>
      <c r="T704" s="27"/>
      <c r="U704" s="25">
        <v>1381</v>
      </c>
      <c r="V704" s="25">
        <f>Inventory[[#This Row],[Bsmt]]-Inventory[[#This Row],[FnBsmt]]</f>
        <v>558</v>
      </c>
      <c r="W704" s="25">
        <v>823</v>
      </c>
      <c r="X704" s="31"/>
      <c r="Y704" s="31">
        <f>Inventory[[#This Row],[MainFn]]+Inventory[[#This Row],[UpprFn]]+Inventory[[#This Row],[FnBsmt]]+Inventory[[#This Row],[AddFn]]</f>
        <v>2204</v>
      </c>
      <c r="Z704" s="27">
        <v>2500</v>
      </c>
      <c r="AA704" s="25">
        <v>8</v>
      </c>
      <c r="AB704" s="25">
        <v>504</v>
      </c>
      <c r="AC704" s="27"/>
      <c r="AD704" s="32">
        <v>220</v>
      </c>
      <c r="AE704" s="27"/>
      <c r="AF704" s="27"/>
      <c r="AG704" s="27"/>
      <c r="AH704" s="27"/>
      <c r="AI704" s="25">
        <v>385289</v>
      </c>
      <c r="AJ704" s="25">
        <v>269702</v>
      </c>
      <c r="AK704" s="25">
        <v>0</v>
      </c>
      <c r="AL704" s="25">
        <v>355100</v>
      </c>
      <c r="AM704" s="25">
        <v>66200</v>
      </c>
      <c r="AN704" s="25">
        <v>288900</v>
      </c>
      <c r="AO704" s="25">
        <v>0</v>
      </c>
      <c r="AP704" s="25">
        <f>Lookups!$B$56*0</f>
        <v>0</v>
      </c>
      <c r="AQ704" s="25">
        <f>Lookups!$B$56*1</f>
        <v>89850.625589999996</v>
      </c>
      <c r="AR704" s="25">
        <f>Lookups!$B$57*Inventory[[#This Row],[LnAcres]]</f>
        <v>-43882.615305165229</v>
      </c>
      <c r="AS704" s="25">
        <f>VLOOKUP(Inventory[[#This Row],[Qlty]],Lookups!$A$62:$E$75,2,FALSE)</f>
        <v>29814.093161000001</v>
      </c>
      <c r="AT704" s="25">
        <f>VLOOKUP(Inventory[[#This Row],[Cnd]],Lookups!$A$76:$E$84,2,FALSE)</f>
        <v>160472.20319</v>
      </c>
      <c r="AU704" s="25">
        <f>Inventory[[#This Row],[EffAge]]*Lookups!$B$85</f>
        <v>-11152.280025</v>
      </c>
      <c r="AV704" s="25">
        <f>Inventory[[#This Row],[MainFn]]*Lookups!$B$86</f>
        <v>68233.373100137003</v>
      </c>
      <c r="AW704" s="25">
        <f>Inventory[[#This Row],[UpprFn]]*Lookups!$B$87</f>
        <v>0</v>
      </c>
      <c r="AX704" s="25">
        <f>Inventory[[#This Row],[AddFn]]*Lookups!$B$88</f>
        <v>0</v>
      </c>
      <c r="AY704" s="25">
        <f>Inventory[[#This Row],[Bsmt]]*Lookups!$B$89</f>
        <v>40162.097336106999</v>
      </c>
      <c r="AZ704" s="25">
        <f>Inventory[[#This Row],[Fixtures]]*Lookups!$B$90</f>
        <v>30336.176841600001</v>
      </c>
      <c r="BA704" s="25">
        <f>Inventory[[#This Row],[WdDeck]]*Lookups!$B$91</f>
        <v>7325.0133607200005</v>
      </c>
      <c r="BB704" s="25">
        <f>ROUND(Inventory[[#This Row],[25Det]],-2)</f>
        <v>0</v>
      </c>
      <c r="BC704" s="25">
        <f>ROUND(SUM(Inventory[[#This Row],[Mdl Qlty]:[Mdl WdDeck]])+Inventory[[#This Row],[Mdl Res Intercept]],-2)</f>
        <v>325200</v>
      </c>
      <c r="BD704" s="25">
        <f>ROUND(Inventory[[#This Row],[Mdl Land Intercept]]+Inventory[[#This Row],[Mdl LnAcres]],-2)</f>
        <v>46000</v>
      </c>
      <c r="BE704" s="25">
        <f>Inventory[[#This Row],[Unadj Res Value]]+Inventory[[#This Row],[Unadj Det Value]]+Inventory[[#This Row],[Unadj Land Value]]</f>
        <v>371200</v>
      </c>
      <c r="BF704" s="36">
        <f>(Inventory[[#This Row],[Unadj Total Value]]-Inventory[[#This Row],[24Final]])/Inventory[[#This Row],[24Final]]</f>
        <v>4.5339341030695576E-2</v>
      </c>
      <c r="BG704" s="25">
        <f>VLOOKUP(Inventory[[#This Row],[Nbhd]],Lookups!$Q$2:$T$4,4,FALSE)</f>
        <v>0.99970000000000003</v>
      </c>
      <c r="BH704" s="25">
        <f>VLOOKUP(Inventory[[#This Row],[Qlty]],Lookups!$O$7:$R$21,4,FALSE)</f>
        <v>1.0088999999999999</v>
      </c>
      <c r="BI704" s="25">
        <f>VLOOKUP(Inventory[[#This Row],[Cnd]],Lookups!$T$7:$W$16,4,FALSE)</f>
        <v>0.99729999999999996</v>
      </c>
      <c r="BJ704" s="25">
        <f>VLOOKUP(Inventory[[#This Row],[LivArea Range]],Lookups!$T$25:$W$37,4,FALSE)</f>
        <v>0.98919999999999997</v>
      </c>
      <c r="BK704" s="25">
        <f>VLOOKUP(Inventory[[#This Row],[Decade]],Lookups!$O$25:$R$42,4,FALSE)</f>
        <v>1.0199</v>
      </c>
      <c r="BL704" s="25">
        <f>Inventory[[#This Row],[Nbhd Adj]]*0.95</f>
        <v>0.94971499999999998</v>
      </c>
      <c r="BM704" s="25">
        <f>Inventory[[#This Row],[Nbhd Adj]]*Inventory[[#This Row],[Quality Adj]]*Inventory[[#This Row],[Condition Adj]]*Inventory[[#This Row],[Living Area Adj]]*Inventory[[#This Row],[Decade Adj]]*0.95</f>
        <v>0.96407081974981479</v>
      </c>
      <c r="BN704" s="25">
        <f>ROUND(SUM(Inventory[[#This Row],[Mdl Qlty]:[Mdl WdDeck]])+Inventory[[#This Row],[Mdl Res Intercept]]*Inventory[[#This Row],[Res Adj ]],-2)</f>
        <v>325200</v>
      </c>
      <c r="BO704" s="25">
        <f>ROUND(Inventory[[#This Row],[25Det]]*Inventory[[#This Row],[Det/Nbhd Adj]],-2)</f>
        <v>0</v>
      </c>
      <c r="BP704" s="25">
        <f>Inventory[[#This Row],[Adjusted Res]]+Inventory[[#This Row],[Adj Det ]]</f>
        <v>325200</v>
      </c>
      <c r="BQ704" s="25">
        <f>ROUND((Inventory[[#This Row],[Mdl Land Intercept]]+Inventory[[#This Row],[Mdl LnAcres]])*Inventory[[#This Row],[Det/Nbhd Adj]],-2)</f>
        <v>43700</v>
      </c>
      <c r="BR704" s="25">
        <f>Inventory[[#This Row],[Adjusted Impr Total]]+Inventory[[#This Row],[Adjusted Land Total]]</f>
        <v>368900</v>
      </c>
      <c r="BS704" s="36">
        <f>IFERROR((Inventory[[#This Row],[Adjusted Impr Total]]-Inventory[[#This Row],[24Bldg]])/Inventory[[#This Row],[24Bldg]],0)</f>
        <v>0.12564901349948079</v>
      </c>
      <c r="BT704" s="36">
        <f>(Inventory[[#This Row],[Adjusted Land Total]]-Inventory[[#This Row],[24Lnd]])/Inventory[[#This Row],[24Lnd]]</f>
        <v>-0.33987915407854985</v>
      </c>
      <c r="BU704" s="36">
        <f>(Inventory[[#This Row],[Adjusted Total]]-Inventory[[#This Row],[24Final]])/Inventory[[#This Row],[24Final]]</f>
        <v>3.8862292312024781E-2</v>
      </c>
    </row>
    <row r="705" spans="1:73" x14ac:dyDescent="0.3">
      <c r="A705" s="25">
        <v>2025</v>
      </c>
      <c r="B705" s="26" t="s">
        <v>959</v>
      </c>
      <c r="C705" s="26">
        <f>LN(Inventory[[#This Row],[Acres]])</f>
        <v>-1.2729656758128873</v>
      </c>
      <c r="D705" s="25">
        <v>0.28000000000000003</v>
      </c>
      <c r="E705" s="32">
        <v>12220</v>
      </c>
      <c r="F705" s="26" t="s">
        <v>537</v>
      </c>
      <c r="G705" s="26" t="s">
        <v>126</v>
      </c>
      <c r="H705" s="26" t="s">
        <v>349</v>
      </c>
      <c r="I705" s="26" t="s">
        <v>538</v>
      </c>
      <c r="J705" s="26" t="s">
        <v>539</v>
      </c>
      <c r="K705" s="26" t="s">
        <v>241</v>
      </c>
      <c r="L705" s="26" t="s">
        <v>351</v>
      </c>
      <c r="M705" s="26" t="s">
        <v>323</v>
      </c>
      <c r="N705" s="26">
        <v>70</v>
      </c>
      <c r="O705" s="26">
        <f>2024-Inventory[[#This Row],[YrBlt]]</f>
        <v>70</v>
      </c>
      <c r="P705" s="26">
        <f>2024-Inventory[[#This Row],[EffYr]]</f>
        <v>50</v>
      </c>
      <c r="Q705" s="25">
        <v>1954</v>
      </c>
      <c r="R705" s="25">
        <v>1974</v>
      </c>
      <c r="S705" s="25">
        <v>1351</v>
      </c>
      <c r="T705" s="27"/>
      <c r="U705" s="25">
        <v>292</v>
      </c>
      <c r="V705" s="25">
        <f>Inventory[[#This Row],[Bsmt]]-Inventory[[#This Row],[FnBsmt]]</f>
        <v>292</v>
      </c>
      <c r="W705" s="31"/>
      <c r="X705" s="27"/>
      <c r="Y705" s="27">
        <f>Inventory[[#This Row],[MainFn]]+Inventory[[#This Row],[UpprFn]]+Inventory[[#This Row],[FnBsmt]]+Inventory[[#This Row],[AddFn]]</f>
        <v>1351</v>
      </c>
      <c r="Z705" s="27">
        <v>1500</v>
      </c>
      <c r="AA705" s="25">
        <v>5</v>
      </c>
      <c r="AB705" s="27"/>
      <c r="AC705" s="27"/>
      <c r="AD705" s="27"/>
      <c r="AE705" s="27"/>
      <c r="AF705" s="27"/>
      <c r="AG705" s="27"/>
      <c r="AH705" s="27"/>
      <c r="AI705" s="25">
        <v>237703</v>
      </c>
      <c r="AJ705" s="25">
        <v>166392</v>
      </c>
      <c r="AK705" s="25">
        <v>10057</v>
      </c>
      <c r="AL705" s="25">
        <v>311500</v>
      </c>
      <c r="AM705" s="25">
        <v>70100</v>
      </c>
      <c r="AN705" s="25">
        <v>241400</v>
      </c>
      <c r="AO705" s="25">
        <v>0</v>
      </c>
      <c r="AP705" s="25">
        <f>Lookups!$B$56*0</f>
        <v>0</v>
      </c>
      <c r="AQ705" s="25">
        <f>Lookups!$B$56*1</f>
        <v>89850.625589999996</v>
      </c>
      <c r="AR705" s="25">
        <f>Lookups!$B$57*Inventory[[#This Row],[LnAcres]]</f>
        <v>-40295.239319339329</v>
      </c>
      <c r="AS705" s="25">
        <f>VLOOKUP(Inventory[[#This Row],[Qlty]],Lookups!$A$62:$E$75,2,FALSE)</f>
        <v>21557.329055999999</v>
      </c>
      <c r="AT705" s="25">
        <f>VLOOKUP(Inventory[[#This Row],[Cnd]],Lookups!$A$76:$E$84,2,FALSE)</f>
        <v>160472.20319</v>
      </c>
      <c r="AU705" s="25">
        <f>Inventory[[#This Row],[EffAge]]*Lookups!$B$85</f>
        <v>-11152.280025</v>
      </c>
      <c r="AV705" s="25">
        <f>Inventory[[#This Row],[MainFn]]*Lookups!$B$86</f>
        <v>66751.113003827006</v>
      </c>
      <c r="AW705" s="25">
        <f>Inventory[[#This Row],[UpprFn]]*Lookups!$B$87</f>
        <v>0</v>
      </c>
      <c r="AX705" s="25">
        <f>Inventory[[#This Row],[AddFn]]*Lookups!$B$88</f>
        <v>0</v>
      </c>
      <c r="AY705" s="25">
        <f>Inventory[[#This Row],[Bsmt]]*Lookups!$B$89</f>
        <v>8491.9134121240004</v>
      </c>
      <c r="AZ705" s="25">
        <f>Inventory[[#This Row],[Fixtures]]*Lookups!$B$90</f>
        <v>18960.110526</v>
      </c>
      <c r="BA705" s="25">
        <f>Inventory[[#This Row],[WdDeck]]*Lookups!$B$91</f>
        <v>0</v>
      </c>
      <c r="BB705" s="25">
        <f>ROUND(Inventory[[#This Row],[25Det]],-2)</f>
        <v>10100</v>
      </c>
      <c r="BC705" s="25">
        <f>ROUND(SUM(Inventory[[#This Row],[Mdl Qlty]:[Mdl WdDeck]])+Inventory[[#This Row],[Mdl Res Intercept]],-2)</f>
        <v>265100</v>
      </c>
      <c r="BD705" s="25">
        <f>ROUND(Inventory[[#This Row],[Mdl Land Intercept]]+Inventory[[#This Row],[Mdl LnAcres]],-2)</f>
        <v>49600</v>
      </c>
      <c r="BE705" s="25">
        <f>Inventory[[#This Row],[Unadj Res Value]]+Inventory[[#This Row],[Unadj Det Value]]+Inventory[[#This Row],[Unadj Land Value]]</f>
        <v>324800</v>
      </c>
      <c r="BF705" s="36">
        <f>(Inventory[[#This Row],[Unadj Total Value]]-Inventory[[#This Row],[24Final]])/Inventory[[#This Row],[24Final]]</f>
        <v>4.2696629213483148E-2</v>
      </c>
      <c r="BG705" s="25">
        <f>VLOOKUP(Inventory[[#This Row],[Nbhd]],Lookups!$Q$2:$T$4,4,FALSE)</f>
        <v>0.99970000000000003</v>
      </c>
      <c r="BH705" s="25">
        <f>VLOOKUP(Inventory[[#This Row],[Qlty]],Lookups!$O$7:$R$21,4,FALSE)</f>
        <v>1.0067999999999999</v>
      </c>
      <c r="BI705" s="25">
        <f>VLOOKUP(Inventory[[#This Row],[Cnd]],Lookups!$T$7:$W$16,4,FALSE)</f>
        <v>0.99729999999999996</v>
      </c>
      <c r="BJ705" s="25">
        <f>VLOOKUP(Inventory[[#This Row],[LivArea Range]],Lookups!$T$25:$W$37,4,FALSE)</f>
        <v>1.0157</v>
      </c>
      <c r="BK705" s="25">
        <f>VLOOKUP(Inventory[[#This Row],[Decade]],Lookups!$O$25:$R$42,4,FALSE)</f>
        <v>1.0199</v>
      </c>
      <c r="BL705" s="25">
        <f>Inventory[[#This Row],[Nbhd Adj]]*0.95</f>
        <v>0.94971499999999998</v>
      </c>
      <c r="BM705" s="25">
        <f>Inventory[[#This Row],[Nbhd Adj]]*Inventory[[#This Row],[Quality Adj]]*Inventory[[#This Row],[Condition Adj]]*Inventory[[#This Row],[Living Area Adj]]*Inventory[[#This Row],[Decade Adj]]*0.95</f>
        <v>0.98783717894453682</v>
      </c>
      <c r="BN705" s="25">
        <f>ROUND(SUM(Inventory[[#This Row],[Mdl Qlty]:[Mdl WdDeck]])+Inventory[[#This Row],[Mdl Res Intercept]]*Inventory[[#This Row],[Res Adj ]],-2)</f>
        <v>265100</v>
      </c>
      <c r="BO705" s="25">
        <f>ROUND(Inventory[[#This Row],[25Det]]*Inventory[[#This Row],[Det/Nbhd Adj]],-2)</f>
        <v>9600</v>
      </c>
      <c r="BP705" s="25">
        <f>Inventory[[#This Row],[Adjusted Res]]+Inventory[[#This Row],[Adj Det ]]</f>
        <v>274700</v>
      </c>
      <c r="BQ705" s="25">
        <f>ROUND((Inventory[[#This Row],[Mdl Land Intercept]]+Inventory[[#This Row],[Mdl LnAcres]])*Inventory[[#This Row],[Det/Nbhd Adj]],-2)</f>
        <v>47100</v>
      </c>
      <c r="BR705" s="25">
        <f>Inventory[[#This Row],[Adjusted Impr Total]]+Inventory[[#This Row],[Adjusted Land Total]]</f>
        <v>321800</v>
      </c>
      <c r="BS705" s="36">
        <f>IFERROR((Inventory[[#This Row],[Adjusted Impr Total]]-Inventory[[#This Row],[24Bldg]])/Inventory[[#This Row],[24Bldg]],0)</f>
        <v>0.13794531897265949</v>
      </c>
      <c r="BT705" s="36">
        <f>(Inventory[[#This Row],[Adjusted Land Total]]-Inventory[[#This Row],[24Lnd]])/Inventory[[#This Row],[24Lnd]]</f>
        <v>-0.32810271041369471</v>
      </c>
      <c r="BU705" s="36">
        <f>(Inventory[[#This Row],[Adjusted Total]]-Inventory[[#This Row],[24Final]])/Inventory[[#This Row],[24Final]]</f>
        <v>3.3065810593900478E-2</v>
      </c>
    </row>
    <row r="706" spans="1:73" x14ac:dyDescent="0.3">
      <c r="A706" s="25">
        <v>2025</v>
      </c>
      <c r="B706" s="26" t="s">
        <v>1164</v>
      </c>
      <c r="C706" s="26">
        <f>LN(Inventory[[#This Row],[Acres]])</f>
        <v>-1.6094379124341003</v>
      </c>
      <c r="D706" s="25">
        <v>0.2</v>
      </c>
      <c r="E706" s="27"/>
      <c r="F706" s="26" t="s">
        <v>537</v>
      </c>
      <c r="G706" s="26" t="s">
        <v>126</v>
      </c>
      <c r="H706" s="26" t="s">
        <v>349</v>
      </c>
      <c r="I706" s="26" t="s">
        <v>538</v>
      </c>
      <c r="J706" s="26" t="s">
        <v>539</v>
      </c>
      <c r="K706" s="26" t="s">
        <v>241</v>
      </c>
      <c r="L706" s="26" t="s">
        <v>302</v>
      </c>
      <c r="M706" s="26" t="s">
        <v>323</v>
      </c>
      <c r="N706" s="26">
        <v>70</v>
      </c>
      <c r="O706" s="26">
        <f>2024-Inventory[[#This Row],[YrBlt]]</f>
        <v>70</v>
      </c>
      <c r="P706" s="26">
        <f>2024-Inventory[[#This Row],[EffYr]]</f>
        <v>50</v>
      </c>
      <c r="Q706" s="25">
        <v>1954</v>
      </c>
      <c r="R706" s="25">
        <v>1974</v>
      </c>
      <c r="S706" s="25">
        <v>2293</v>
      </c>
      <c r="T706" s="27"/>
      <c r="U706" s="31"/>
      <c r="V706" s="31">
        <f>Inventory[[#This Row],[Bsmt]]-Inventory[[#This Row],[FnBsmt]]</f>
        <v>0</v>
      </c>
      <c r="W706" s="31"/>
      <c r="X706" s="27"/>
      <c r="Y706" s="27">
        <f>Inventory[[#This Row],[MainFn]]+Inventory[[#This Row],[UpprFn]]+Inventory[[#This Row],[FnBsmt]]+Inventory[[#This Row],[AddFn]]</f>
        <v>2293</v>
      </c>
      <c r="Z706" s="27">
        <v>2500</v>
      </c>
      <c r="AA706" s="25">
        <v>16</v>
      </c>
      <c r="AB706" s="27"/>
      <c r="AC706" s="27"/>
      <c r="AD706" s="27"/>
      <c r="AE706" s="27"/>
      <c r="AF706" s="27"/>
      <c r="AG706" s="27"/>
      <c r="AH706" s="27"/>
      <c r="AI706" s="25">
        <v>407362</v>
      </c>
      <c r="AJ706" s="25">
        <v>285153</v>
      </c>
      <c r="AK706" s="25">
        <v>7540</v>
      </c>
      <c r="AL706" s="25">
        <v>391000</v>
      </c>
      <c r="AM706" s="25">
        <v>58400</v>
      </c>
      <c r="AN706" s="25">
        <v>332600</v>
      </c>
      <c r="AO706" s="25">
        <v>0</v>
      </c>
      <c r="AP706" s="25">
        <f>Lookups!$B$56*0</f>
        <v>0</v>
      </c>
      <c r="AQ706" s="25">
        <f>Lookups!$B$56*1</f>
        <v>89850.625589999996</v>
      </c>
      <c r="AR706" s="25">
        <f>Lookups!$B$57*Inventory[[#This Row],[LnAcres]]</f>
        <v>-50946.13867709865</v>
      </c>
      <c r="AS706" s="25">
        <f>VLOOKUP(Inventory[[#This Row],[Qlty]],Lookups!$A$62:$E$75,2,FALSE)</f>
        <v>29814.093161000001</v>
      </c>
      <c r="AT706" s="25">
        <f>VLOOKUP(Inventory[[#This Row],[Cnd]],Lookups!$A$76:$E$84,2,FALSE)</f>
        <v>160472.20319</v>
      </c>
      <c r="AU706" s="25">
        <f>Inventory[[#This Row],[EffAge]]*Lookups!$B$85</f>
        <v>-11152.280025</v>
      </c>
      <c r="AV706" s="25">
        <f>Inventory[[#This Row],[MainFn]]*Lookups!$B$86</f>
        <v>113294.080027961</v>
      </c>
      <c r="AW706" s="25">
        <f>Inventory[[#This Row],[UpprFn]]*Lookups!$B$87</f>
        <v>0</v>
      </c>
      <c r="AX706" s="25">
        <f>Inventory[[#This Row],[AddFn]]*Lookups!$B$88</f>
        <v>0</v>
      </c>
      <c r="AY706" s="25">
        <f>Inventory[[#This Row],[Bsmt]]*Lookups!$B$89</f>
        <v>0</v>
      </c>
      <c r="AZ706" s="25">
        <f>Inventory[[#This Row],[Fixtures]]*Lookups!$B$90</f>
        <v>60672.353683200003</v>
      </c>
      <c r="BA706" s="25">
        <f>Inventory[[#This Row],[WdDeck]]*Lookups!$B$91</f>
        <v>0</v>
      </c>
      <c r="BB706" s="25">
        <f>ROUND(Inventory[[#This Row],[25Det]],-2)</f>
        <v>7500</v>
      </c>
      <c r="BC706" s="25">
        <f>ROUND(SUM(Inventory[[#This Row],[Mdl Qlty]:[Mdl WdDeck]])+Inventory[[#This Row],[Mdl Res Intercept]],-2)</f>
        <v>353100</v>
      </c>
      <c r="BD706" s="25">
        <f>ROUND(Inventory[[#This Row],[Mdl Land Intercept]]+Inventory[[#This Row],[Mdl LnAcres]],-2)</f>
        <v>38900</v>
      </c>
      <c r="BE706" s="25">
        <f>Inventory[[#This Row],[Unadj Res Value]]+Inventory[[#This Row],[Unadj Det Value]]+Inventory[[#This Row],[Unadj Land Value]]</f>
        <v>399500</v>
      </c>
      <c r="BF706" s="36">
        <f>(Inventory[[#This Row],[Unadj Total Value]]-Inventory[[#This Row],[24Final]])/Inventory[[#This Row],[24Final]]</f>
        <v>2.1739130434782608E-2</v>
      </c>
      <c r="BG706" s="25">
        <f>VLOOKUP(Inventory[[#This Row],[Nbhd]],Lookups!$Q$2:$T$4,4,FALSE)</f>
        <v>0.99970000000000003</v>
      </c>
      <c r="BH706" s="25">
        <f>VLOOKUP(Inventory[[#This Row],[Qlty]],Lookups!$O$7:$R$21,4,FALSE)</f>
        <v>1.0088999999999999</v>
      </c>
      <c r="BI706" s="25">
        <f>VLOOKUP(Inventory[[#This Row],[Cnd]],Lookups!$T$7:$W$16,4,FALSE)</f>
        <v>0.99729999999999996</v>
      </c>
      <c r="BJ706" s="25">
        <f>VLOOKUP(Inventory[[#This Row],[LivArea Range]],Lookups!$T$25:$W$37,4,FALSE)</f>
        <v>0.98919999999999997</v>
      </c>
      <c r="BK706" s="25">
        <f>VLOOKUP(Inventory[[#This Row],[Decade]],Lookups!$O$25:$R$42,4,FALSE)</f>
        <v>1.0199</v>
      </c>
      <c r="BL706" s="25">
        <f>Inventory[[#This Row],[Nbhd Adj]]*0.95</f>
        <v>0.94971499999999998</v>
      </c>
      <c r="BM706" s="25">
        <f>Inventory[[#This Row],[Nbhd Adj]]*Inventory[[#This Row],[Quality Adj]]*Inventory[[#This Row],[Condition Adj]]*Inventory[[#This Row],[Living Area Adj]]*Inventory[[#This Row],[Decade Adj]]*0.95</f>
        <v>0.96407081974981479</v>
      </c>
      <c r="BN706" s="25">
        <f>ROUND(SUM(Inventory[[#This Row],[Mdl Qlty]:[Mdl WdDeck]])+Inventory[[#This Row],[Mdl Res Intercept]]*Inventory[[#This Row],[Res Adj ]],-2)</f>
        <v>353100</v>
      </c>
      <c r="BO706" s="25">
        <f>ROUND(Inventory[[#This Row],[25Det]]*Inventory[[#This Row],[Det/Nbhd Adj]],-2)</f>
        <v>7200</v>
      </c>
      <c r="BP706" s="25">
        <f>Inventory[[#This Row],[Adjusted Res]]+Inventory[[#This Row],[Adj Det ]]</f>
        <v>360300</v>
      </c>
      <c r="BQ706" s="25">
        <f>ROUND((Inventory[[#This Row],[Mdl Land Intercept]]+Inventory[[#This Row],[Mdl LnAcres]])*Inventory[[#This Row],[Det/Nbhd Adj]],-2)</f>
        <v>36900</v>
      </c>
      <c r="BR706" s="25">
        <f>Inventory[[#This Row],[Adjusted Impr Total]]+Inventory[[#This Row],[Adjusted Land Total]]</f>
        <v>397200</v>
      </c>
      <c r="BS706" s="36">
        <f>IFERROR((Inventory[[#This Row],[Adjusted Impr Total]]-Inventory[[#This Row],[24Bldg]])/Inventory[[#This Row],[24Bldg]],0)</f>
        <v>8.328322309079976E-2</v>
      </c>
      <c r="BT706" s="36">
        <f>(Inventory[[#This Row],[Adjusted Land Total]]-Inventory[[#This Row],[24Lnd]])/Inventory[[#This Row],[24Lnd]]</f>
        <v>-0.36815068493150682</v>
      </c>
      <c r="BU706" s="36">
        <f>(Inventory[[#This Row],[Adjusted Total]]-Inventory[[#This Row],[24Final]])/Inventory[[#This Row],[24Final]]</f>
        <v>1.5856777493606138E-2</v>
      </c>
    </row>
    <row r="707" spans="1:73" x14ac:dyDescent="0.3">
      <c r="A707" s="25">
        <v>2025</v>
      </c>
      <c r="B707" s="26" t="s">
        <v>1168</v>
      </c>
      <c r="C707" s="26">
        <f>LN(Inventory[[#This Row],[Acres]])</f>
        <v>-1.4696759700589417</v>
      </c>
      <c r="D707" s="25">
        <v>0.23</v>
      </c>
      <c r="E707" s="32">
        <v>9998</v>
      </c>
      <c r="F707" s="26" t="s">
        <v>537</v>
      </c>
      <c r="G707" s="26" t="s">
        <v>126</v>
      </c>
      <c r="H707" s="26" t="s">
        <v>349</v>
      </c>
      <c r="I707" s="26" t="s">
        <v>538</v>
      </c>
      <c r="J707" s="26" t="s">
        <v>539</v>
      </c>
      <c r="K707" s="26" t="s">
        <v>241</v>
      </c>
      <c r="L707" s="26" t="s">
        <v>205</v>
      </c>
      <c r="M707" s="26" t="s">
        <v>323</v>
      </c>
      <c r="N707" s="26">
        <v>70</v>
      </c>
      <c r="O707" s="26">
        <f>2024-Inventory[[#This Row],[YrBlt]]</f>
        <v>70</v>
      </c>
      <c r="P707" s="26">
        <f>2024-Inventory[[#This Row],[EffYr]]</f>
        <v>50</v>
      </c>
      <c r="Q707" s="25">
        <v>1954</v>
      </c>
      <c r="R707" s="25">
        <v>1974</v>
      </c>
      <c r="S707" s="25">
        <v>1300</v>
      </c>
      <c r="T707" s="27"/>
      <c r="U707" s="31"/>
      <c r="V707" s="31">
        <f>Inventory[[#This Row],[Bsmt]]-Inventory[[#This Row],[FnBsmt]]</f>
        <v>0</v>
      </c>
      <c r="W707" s="31"/>
      <c r="X707" s="27"/>
      <c r="Y707" s="27">
        <f>Inventory[[#This Row],[MainFn]]+Inventory[[#This Row],[UpprFn]]+Inventory[[#This Row],[FnBsmt]]+Inventory[[#This Row],[AddFn]]</f>
        <v>1300</v>
      </c>
      <c r="Z707" s="27">
        <v>1500</v>
      </c>
      <c r="AA707" s="25">
        <v>5</v>
      </c>
      <c r="AB707" s="27"/>
      <c r="AC707" s="27"/>
      <c r="AD707" s="27"/>
      <c r="AE707" s="27"/>
      <c r="AF707" s="27"/>
      <c r="AG707" s="27"/>
      <c r="AH707" s="27"/>
      <c r="AI707" s="25">
        <v>193489</v>
      </c>
      <c r="AJ707" s="25">
        <v>135442</v>
      </c>
      <c r="AK707" s="25">
        <v>14419</v>
      </c>
      <c r="AL707" s="25">
        <v>285200</v>
      </c>
      <c r="AM707" s="25">
        <v>63300</v>
      </c>
      <c r="AN707" s="25">
        <v>221900</v>
      </c>
      <c r="AO707" s="25">
        <v>0</v>
      </c>
      <c r="AP707" s="25">
        <f>Lookups!$B$56*0</f>
        <v>0</v>
      </c>
      <c r="AQ707" s="25">
        <f>Lookups!$B$56*1</f>
        <v>89850.625589999996</v>
      </c>
      <c r="AR707" s="25">
        <f>Lookups!$B$57*Inventory[[#This Row],[LnAcres]]</f>
        <v>-46522.028095997222</v>
      </c>
      <c r="AS707" s="25">
        <f>VLOOKUP(Inventory[[#This Row],[Qlty]],Lookups!$A$62:$E$75,2,FALSE)</f>
        <v>0</v>
      </c>
      <c r="AT707" s="25">
        <f>VLOOKUP(Inventory[[#This Row],[Cnd]],Lookups!$A$76:$E$84,2,FALSE)</f>
        <v>160472.20319</v>
      </c>
      <c r="AU707" s="25">
        <f>Inventory[[#This Row],[EffAge]]*Lookups!$B$85</f>
        <v>-11152.280025</v>
      </c>
      <c r="AV707" s="25">
        <f>Inventory[[#This Row],[MainFn]]*Lookups!$B$86</f>
        <v>64231.270840099998</v>
      </c>
      <c r="AW707" s="25">
        <f>Inventory[[#This Row],[UpprFn]]*Lookups!$B$87</f>
        <v>0</v>
      </c>
      <c r="AX707" s="25">
        <f>Inventory[[#This Row],[AddFn]]*Lookups!$B$88</f>
        <v>0</v>
      </c>
      <c r="AY707" s="25">
        <f>Inventory[[#This Row],[Bsmt]]*Lookups!$B$89</f>
        <v>0</v>
      </c>
      <c r="AZ707" s="25">
        <f>Inventory[[#This Row],[Fixtures]]*Lookups!$B$90</f>
        <v>18960.110526</v>
      </c>
      <c r="BA707" s="25">
        <f>Inventory[[#This Row],[WdDeck]]*Lookups!$B$91</f>
        <v>0</v>
      </c>
      <c r="BB707" s="25">
        <f>ROUND(Inventory[[#This Row],[25Det]],-2)</f>
        <v>14400</v>
      </c>
      <c r="BC707" s="25">
        <f>ROUND(SUM(Inventory[[#This Row],[Mdl Qlty]:[Mdl WdDeck]])+Inventory[[#This Row],[Mdl Res Intercept]],-2)</f>
        <v>232500</v>
      </c>
      <c r="BD707" s="25">
        <f>ROUND(Inventory[[#This Row],[Mdl Land Intercept]]+Inventory[[#This Row],[Mdl LnAcres]],-2)</f>
        <v>43300</v>
      </c>
      <c r="BE707" s="25">
        <f>Inventory[[#This Row],[Unadj Res Value]]+Inventory[[#This Row],[Unadj Det Value]]+Inventory[[#This Row],[Unadj Land Value]]</f>
        <v>290200</v>
      </c>
      <c r="BF707" s="36">
        <f>(Inventory[[#This Row],[Unadj Total Value]]-Inventory[[#This Row],[24Final]])/Inventory[[#This Row],[24Final]]</f>
        <v>1.7531556802244039E-2</v>
      </c>
      <c r="BG707" s="25">
        <f>VLOOKUP(Inventory[[#This Row],[Nbhd]],Lookups!$Q$2:$T$4,4,FALSE)</f>
        <v>0.99970000000000003</v>
      </c>
      <c r="BH707" s="25">
        <f>VLOOKUP(Inventory[[#This Row],[Qlty]],Lookups!$O$7:$R$21,4,FALSE)</f>
        <v>0.99180000000000001</v>
      </c>
      <c r="BI707" s="25">
        <f>VLOOKUP(Inventory[[#This Row],[Cnd]],Lookups!$T$7:$W$16,4,FALSE)</f>
        <v>0.99729999999999996</v>
      </c>
      <c r="BJ707" s="25">
        <f>VLOOKUP(Inventory[[#This Row],[LivArea Range]],Lookups!$T$25:$W$37,4,FALSE)</f>
        <v>1.0157</v>
      </c>
      <c r="BK707" s="25">
        <f>VLOOKUP(Inventory[[#This Row],[Decade]],Lookups!$O$25:$R$42,4,FALSE)</f>
        <v>1.0199</v>
      </c>
      <c r="BL707" s="25">
        <f>Inventory[[#This Row],[Nbhd Adj]]*0.95</f>
        <v>0.94971499999999998</v>
      </c>
      <c r="BM707" s="25">
        <f>Inventory[[#This Row],[Nbhd Adj]]*Inventory[[#This Row],[Quality Adj]]*Inventory[[#This Row],[Condition Adj]]*Inventory[[#This Row],[Living Area Adj]]*Inventory[[#This Row],[Decade Adj]]*0.95</f>
        <v>0.97311970011640037</v>
      </c>
      <c r="BN707" s="25">
        <f>ROUND(SUM(Inventory[[#This Row],[Mdl Qlty]:[Mdl WdDeck]])+Inventory[[#This Row],[Mdl Res Intercept]]*Inventory[[#This Row],[Res Adj ]],-2)</f>
        <v>232500</v>
      </c>
      <c r="BO707" s="25">
        <f>ROUND(Inventory[[#This Row],[25Det]]*Inventory[[#This Row],[Det/Nbhd Adj]],-2)</f>
        <v>13700</v>
      </c>
      <c r="BP707" s="25">
        <f>Inventory[[#This Row],[Adjusted Res]]+Inventory[[#This Row],[Adj Det ]]</f>
        <v>246200</v>
      </c>
      <c r="BQ707" s="25">
        <f>ROUND((Inventory[[#This Row],[Mdl Land Intercept]]+Inventory[[#This Row],[Mdl LnAcres]])*Inventory[[#This Row],[Det/Nbhd Adj]],-2)</f>
        <v>41100</v>
      </c>
      <c r="BR707" s="25">
        <f>Inventory[[#This Row],[Adjusted Impr Total]]+Inventory[[#This Row],[Adjusted Land Total]]</f>
        <v>287300</v>
      </c>
      <c r="BS707" s="36">
        <f>IFERROR((Inventory[[#This Row],[Adjusted Impr Total]]-Inventory[[#This Row],[24Bldg]])/Inventory[[#This Row],[24Bldg]],0)</f>
        <v>0.10950878774222622</v>
      </c>
      <c r="BT707" s="36">
        <f>(Inventory[[#This Row],[Adjusted Land Total]]-Inventory[[#This Row],[24Lnd]])/Inventory[[#This Row],[24Lnd]]</f>
        <v>-0.35071090047393366</v>
      </c>
      <c r="BU707" s="36">
        <f>(Inventory[[#This Row],[Adjusted Total]]-Inventory[[#This Row],[24Final]])/Inventory[[#This Row],[24Final]]</f>
        <v>7.3632538569424963E-3</v>
      </c>
    </row>
    <row r="708" spans="1:73" x14ac:dyDescent="0.3">
      <c r="A708" s="25">
        <v>2025</v>
      </c>
      <c r="B708" s="26" t="s">
        <v>1274</v>
      </c>
      <c r="C708" s="26">
        <f>LN(Inventory[[#This Row],[Acres]])</f>
        <v>-1.6607312068216509</v>
      </c>
      <c r="D708" s="25">
        <v>0.19</v>
      </c>
      <c r="E708" s="32">
        <v>8125</v>
      </c>
      <c r="F708" s="26" t="s">
        <v>537</v>
      </c>
      <c r="G708" s="26" t="s">
        <v>126</v>
      </c>
      <c r="H708" s="26" t="s">
        <v>349</v>
      </c>
      <c r="I708" s="26" t="s">
        <v>538</v>
      </c>
      <c r="J708" s="26" t="s">
        <v>539</v>
      </c>
      <c r="K708" s="26" t="s">
        <v>241</v>
      </c>
      <c r="L708" s="26" t="s">
        <v>302</v>
      </c>
      <c r="M708" s="26" t="s">
        <v>323</v>
      </c>
      <c r="N708" s="26">
        <v>70</v>
      </c>
      <c r="O708" s="26">
        <f>2024-Inventory[[#This Row],[YrBlt]]</f>
        <v>70</v>
      </c>
      <c r="P708" s="26">
        <f>2024-Inventory[[#This Row],[EffYr]]</f>
        <v>50</v>
      </c>
      <c r="Q708" s="25">
        <v>1954</v>
      </c>
      <c r="R708" s="25">
        <v>1974</v>
      </c>
      <c r="S708" s="25">
        <v>1796</v>
      </c>
      <c r="T708" s="27"/>
      <c r="U708" s="25">
        <v>795</v>
      </c>
      <c r="V708" s="25">
        <f>Inventory[[#This Row],[Bsmt]]-Inventory[[#This Row],[FnBsmt]]</f>
        <v>15</v>
      </c>
      <c r="W708" s="25">
        <v>780</v>
      </c>
      <c r="X708" s="27"/>
      <c r="Y708" s="27">
        <f>Inventory[[#This Row],[MainFn]]+Inventory[[#This Row],[UpprFn]]+Inventory[[#This Row],[FnBsmt]]+Inventory[[#This Row],[AddFn]]</f>
        <v>2576</v>
      </c>
      <c r="Z708" s="27">
        <v>3000</v>
      </c>
      <c r="AA708" s="25">
        <v>10</v>
      </c>
      <c r="AB708" s="31"/>
      <c r="AC708" s="32">
        <v>600</v>
      </c>
      <c r="AD708" s="27"/>
      <c r="AE708" s="27"/>
      <c r="AF708" s="27"/>
      <c r="AG708" s="27"/>
      <c r="AH708" s="27"/>
      <c r="AI708" s="25">
        <v>452080</v>
      </c>
      <c r="AJ708" s="25">
        <v>316456</v>
      </c>
      <c r="AK708" s="25">
        <v>0</v>
      </c>
      <c r="AL708" s="25">
        <v>364500</v>
      </c>
      <c r="AM708" s="25">
        <v>56600</v>
      </c>
      <c r="AN708" s="25">
        <v>307900</v>
      </c>
      <c r="AO708" s="25">
        <v>0</v>
      </c>
      <c r="AP708" s="25">
        <f>Lookups!$B$56*0</f>
        <v>0</v>
      </c>
      <c r="AQ708" s="25">
        <f>Lookups!$B$56*1</f>
        <v>89850.625589999996</v>
      </c>
      <c r="AR708" s="25">
        <f>Lookups!$B$57*Inventory[[#This Row],[LnAcres]]</f>
        <v>-52569.808201026557</v>
      </c>
      <c r="AS708" s="25">
        <f>VLOOKUP(Inventory[[#This Row],[Qlty]],Lookups!$A$62:$E$75,2,FALSE)</f>
        <v>29814.093161000001</v>
      </c>
      <c r="AT708" s="25">
        <f>VLOOKUP(Inventory[[#This Row],[Cnd]],Lookups!$A$76:$E$84,2,FALSE)</f>
        <v>160472.20319</v>
      </c>
      <c r="AU708" s="25">
        <f>Inventory[[#This Row],[EffAge]]*Lookups!$B$85</f>
        <v>-11152.280025</v>
      </c>
      <c r="AV708" s="25">
        <f>Inventory[[#This Row],[MainFn]]*Lookups!$B$86</f>
        <v>88737.971099091999</v>
      </c>
      <c r="AW708" s="25">
        <f>Inventory[[#This Row],[UpprFn]]*Lookups!$B$87</f>
        <v>0</v>
      </c>
      <c r="AX708" s="25">
        <f>Inventory[[#This Row],[AddFn]]*Lookups!$B$88</f>
        <v>0</v>
      </c>
      <c r="AY708" s="25">
        <f>Inventory[[#This Row],[Bsmt]]*Lookups!$B$89</f>
        <v>23120.106721364999</v>
      </c>
      <c r="AZ708" s="25">
        <f>Inventory[[#This Row],[Fixtures]]*Lookups!$B$90</f>
        <v>37920.221052000001</v>
      </c>
      <c r="BA708" s="25">
        <f>Inventory[[#This Row],[WdDeck]]*Lookups!$B$91</f>
        <v>0</v>
      </c>
      <c r="BB708" s="25">
        <f>ROUND(Inventory[[#This Row],[25Det]],-2)</f>
        <v>0</v>
      </c>
      <c r="BC708" s="25">
        <f>ROUND(SUM(Inventory[[#This Row],[Mdl Qlty]:[Mdl WdDeck]])+Inventory[[#This Row],[Mdl Res Intercept]],-2)</f>
        <v>328900</v>
      </c>
      <c r="BD708" s="25">
        <f>ROUND(Inventory[[#This Row],[Mdl Land Intercept]]+Inventory[[#This Row],[Mdl LnAcres]],-2)</f>
        <v>37300</v>
      </c>
      <c r="BE708" s="25">
        <f>Inventory[[#This Row],[Unadj Res Value]]+Inventory[[#This Row],[Unadj Det Value]]+Inventory[[#This Row],[Unadj Land Value]]</f>
        <v>366200</v>
      </c>
      <c r="BF708" s="36">
        <f>(Inventory[[#This Row],[Unadj Total Value]]-Inventory[[#This Row],[24Final]])/Inventory[[#This Row],[24Final]]</f>
        <v>4.663923182441701E-3</v>
      </c>
      <c r="BG708" s="25">
        <f>VLOOKUP(Inventory[[#This Row],[Nbhd]],Lookups!$Q$2:$T$4,4,FALSE)</f>
        <v>0.99970000000000003</v>
      </c>
      <c r="BH708" s="25">
        <f>VLOOKUP(Inventory[[#This Row],[Qlty]],Lookups!$O$7:$R$21,4,FALSE)</f>
        <v>1.0088999999999999</v>
      </c>
      <c r="BI708" s="25">
        <f>VLOOKUP(Inventory[[#This Row],[Cnd]],Lookups!$T$7:$W$16,4,FALSE)</f>
        <v>0.99729999999999996</v>
      </c>
      <c r="BJ708" s="25">
        <f>VLOOKUP(Inventory[[#This Row],[LivArea Range]],Lookups!$T$25:$W$37,4,FALSE)</f>
        <v>0.96179999999999999</v>
      </c>
      <c r="BK708" s="25">
        <f>VLOOKUP(Inventory[[#This Row],[Decade]],Lookups!$O$25:$R$42,4,FALSE)</f>
        <v>1.0199</v>
      </c>
      <c r="BL708" s="25">
        <f>Inventory[[#This Row],[Nbhd Adj]]*0.95</f>
        <v>0.94971499999999998</v>
      </c>
      <c r="BM708" s="25">
        <f>Inventory[[#This Row],[Nbhd Adj]]*Inventory[[#This Row],[Quality Adj]]*Inventory[[#This Row],[Condition Adj]]*Inventory[[#This Row],[Living Area Adj]]*Inventory[[#This Row],[Decade Adj]]*0.95</f>
        <v>0.93736687670377261</v>
      </c>
      <c r="BN708" s="25">
        <f>ROUND(SUM(Inventory[[#This Row],[Mdl Qlty]:[Mdl WdDeck]])+Inventory[[#This Row],[Mdl Res Intercept]]*Inventory[[#This Row],[Res Adj ]],-2)</f>
        <v>328900</v>
      </c>
      <c r="BO708" s="25">
        <f>ROUND(Inventory[[#This Row],[25Det]]*Inventory[[#This Row],[Det/Nbhd Adj]],-2)</f>
        <v>0</v>
      </c>
      <c r="BP708" s="25">
        <f>Inventory[[#This Row],[Adjusted Res]]+Inventory[[#This Row],[Adj Det ]]</f>
        <v>328900</v>
      </c>
      <c r="BQ708" s="25">
        <f>ROUND((Inventory[[#This Row],[Mdl Land Intercept]]+Inventory[[#This Row],[Mdl LnAcres]])*Inventory[[#This Row],[Det/Nbhd Adj]],-2)</f>
        <v>35400</v>
      </c>
      <c r="BR708" s="25">
        <f>Inventory[[#This Row],[Adjusted Impr Total]]+Inventory[[#This Row],[Adjusted Land Total]]</f>
        <v>364300</v>
      </c>
      <c r="BS708" s="36">
        <f>IFERROR((Inventory[[#This Row],[Adjusted Impr Total]]-Inventory[[#This Row],[24Bldg]])/Inventory[[#This Row],[24Bldg]],0)</f>
        <v>6.8203962325430328E-2</v>
      </c>
      <c r="BT708" s="36">
        <f>(Inventory[[#This Row],[Adjusted Land Total]]-Inventory[[#This Row],[24Lnd]])/Inventory[[#This Row],[24Lnd]]</f>
        <v>-0.37455830388692579</v>
      </c>
      <c r="BU708" s="36">
        <f>(Inventory[[#This Row],[Adjusted Total]]-Inventory[[#This Row],[24Final]])/Inventory[[#This Row],[24Final]]</f>
        <v>-5.4869684499314131E-4</v>
      </c>
    </row>
    <row r="709" spans="1:73" x14ac:dyDescent="0.3">
      <c r="A709" s="25">
        <v>2025</v>
      </c>
      <c r="B709" s="26" t="s">
        <v>609</v>
      </c>
      <c r="C709" s="26">
        <f>LN(Inventory[[#This Row],[Acres]])</f>
        <v>-1.0216512475319814</v>
      </c>
      <c r="D709" s="25">
        <v>0.36</v>
      </c>
      <c r="E709" s="32">
        <v>15523</v>
      </c>
      <c r="F709" s="26" t="s">
        <v>537</v>
      </c>
      <c r="G709" s="26" t="s">
        <v>126</v>
      </c>
      <c r="H709" s="26" t="s">
        <v>349</v>
      </c>
      <c r="I709" s="26" t="s">
        <v>538</v>
      </c>
      <c r="J709" s="26" t="s">
        <v>539</v>
      </c>
      <c r="K709" s="26" t="s">
        <v>242</v>
      </c>
      <c r="L709" s="26" t="s">
        <v>205</v>
      </c>
      <c r="M709" s="26" t="s">
        <v>323</v>
      </c>
      <c r="N709" s="26">
        <v>70</v>
      </c>
      <c r="O709" s="26">
        <f>2024-Inventory[[#This Row],[YrBlt]]</f>
        <v>70</v>
      </c>
      <c r="P709" s="26">
        <f>2024-Inventory[[#This Row],[EffYr]]</f>
        <v>50</v>
      </c>
      <c r="Q709" s="25">
        <v>1954</v>
      </c>
      <c r="R709" s="25">
        <v>1974</v>
      </c>
      <c r="S709" s="25">
        <v>1238</v>
      </c>
      <c r="T709" s="32">
        <v>500</v>
      </c>
      <c r="U709" s="31"/>
      <c r="V709" s="31">
        <f>Inventory[[#This Row],[Bsmt]]-Inventory[[#This Row],[FnBsmt]]</f>
        <v>0</v>
      </c>
      <c r="W709" s="31"/>
      <c r="X709" s="27"/>
      <c r="Y709" s="27">
        <f>Inventory[[#This Row],[MainFn]]+Inventory[[#This Row],[UpprFn]]+Inventory[[#This Row],[FnBsmt]]+Inventory[[#This Row],[AddFn]]</f>
        <v>1738</v>
      </c>
      <c r="Z709" s="27">
        <v>2000</v>
      </c>
      <c r="AA709" s="25">
        <v>5</v>
      </c>
      <c r="AB709" s="27"/>
      <c r="AC709" s="27"/>
      <c r="AD709" s="27"/>
      <c r="AE709" s="27"/>
      <c r="AF709" s="27"/>
      <c r="AG709" s="27"/>
      <c r="AH709" s="27"/>
      <c r="AI709" s="25">
        <v>228011</v>
      </c>
      <c r="AJ709" s="25">
        <v>159608</v>
      </c>
      <c r="AK709" s="25">
        <v>5261</v>
      </c>
      <c r="AL709" s="25">
        <v>312700</v>
      </c>
      <c r="AM709" s="25">
        <v>78900</v>
      </c>
      <c r="AN709" s="25">
        <v>233800</v>
      </c>
      <c r="AO709" s="25">
        <v>0</v>
      </c>
      <c r="AP709" s="25">
        <f>Lookups!$B$56*0</f>
        <v>0</v>
      </c>
      <c r="AQ709" s="25">
        <f>Lookups!$B$56*1</f>
        <v>89850.625589999996</v>
      </c>
      <c r="AR709" s="25">
        <f>Lookups!$B$57*Inventory[[#This Row],[LnAcres]]</f>
        <v>-32339.977661938148</v>
      </c>
      <c r="AS709" s="25">
        <f>VLOOKUP(Inventory[[#This Row],[Qlty]],Lookups!$A$62:$E$75,2,FALSE)</f>
        <v>0</v>
      </c>
      <c r="AT709" s="25">
        <f>VLOOKUP(Inventory[[#This Row],[Cnd]],Lookups!$A$76:$E$84,2,FALSE)</f>
        <v>160472.20319</v>
      </c>
      <c r="AU709" s="25">
        <f>Inventory[[#This Row],[EffAge]]*Lookups!$B$85</f>
        <v>-11152.280025</v>
      </c>
      <c r="AV709" s="25">
        <f>Inventory[[#This Row],[MainFn]]*Lookups!$B$86</f>
        <v>61167.933307726002</v>
      </c>
      <c r="AW709" s="25">
        <f>Inventory[[#This Row],[UpprFn]]*Lookups!$B$87</f>
        <v>22393.2114305</v>
      </c>
      <c r="AX709" s="25">
        <f>Inventory[[#This Row],[AddFn]]*Lookups!$B$88</f>
        <v>0</v>
      </c>
      <c r="AY709" s="25">
        <f>Inventory[[#This Row],[Bsmt]]*Lookups!$B$89</f>
        <v>0</v>
      </c>
      <c r="AZ709" s="25">
        <f>Inventory[[#This Row],[Fixtures]]*Lookups!$B$90</f>
        <v>18960.110526</v>
      </c>
      <c r="BA709" s="25">
        <f>Inventory[[#This Row],[WdDeck]]*Lookups!$B$91</f>
        <v>0</v>
      </c>
      <c r="BB709" s="25">
        <f>ROUND(Inventory[[#This Row],[25Det]],-2)</f>
        <v>5300</v>
      </c>
      <c r="BC709" s="25">
        <f>ROUND(SUM(Inventory[[#This Row],[Mdl Qlty]:[Mdl WdDeck]])+Inventory[[#This Row],[Mdl Res Intercept]],-2)</f>
        <v>251800</v>
      </c>
      <c r="BD709" s="25">
        <f>ROUND(Inventory[[#This Row],[Mdl Land Intercept]]+Inventory[[#This Row],[Mdl LnAcres]],-2)</f>
        <v>57500</v>
      </c>
      <c r="BE709" s="25">
        <f>Inventory[[#This Row],[Unadj Res Value]]+Inventory[[#This Row],[Unadj Det Value]]+Inventory[[#This Row],[Unadj Land Value]]</f>
        <v>314600</v>
      </c>
      <c r="BF709" s="36">
        <f>(Inventory[[#This Row],[Unadj Total Value]]-Inventory[[#This Row],[24Final]])/Inventory[[#This Row],[24Final]]</f>
        <v>6.0761112887751838E-3</v>
      </c>
      <c r="BG709" s="25">
        <f>VLOOKUP(Inventory[[#This Row],[Nbhd]],Lookups!$Q$2:$T$4,4,FALSE)</f>
        <v>0.99970000000000003</v>
      </c>
      <c r="BH709" s="25">
        <f>VLOOKUP(Inventory[[#This Row],[Qlty]],Lookups!$O$7:$R$21,4,FALSE)</f>
        <v>0.99180000000000001</v>
      </c>
      <c r="BI709" s="25">
        <f>VLOOKUP(Inventory[[#This Row],[Cnd]],Lookups!$T$7:$W$16,4,FALSE)</f>
        <v>0.99729999999999996</v>
      </c>
      <c r="BJ709" s="25">
        <f>VLOOKUP(Inventory[[#This Row],[LivArea Range]],Lookups!$T$25:$W$37,4,FALSE)</f>
        <v>1.0093000000000001</v>
      </c>
      <c r="BK709" s="25">
        <f>VLOOKUP(Inventory[[#This Row],[Decade]],Lookups!$O$25:$R$42,4,FALSE)</f>
        <v>1.0199</v>
      </c>
      <c r="BL709" s="25">
        <f>Inventory[[#This Row],[Nbhd Adj]]*0.95</f>
        <v>0.94971499999999998</v>
      </c>
      <c r="BM709" s="25">
        <f>Inventory[[#This Row],[Nbhd Adj]]*Inventory[[#This Row],[Quality Adj]]*Inventory[[#This Row],[Condition Adj]]*Inventory[[#This Row],[Living Area Adj]]*Inventory[[#This Row],[Decade Adj]]*0.95</f>
        <v>0.9669880017007807</v>
      </c>
      <c r="BN709" s="25">
        <f>ROUND(SUM(Inventory[[#This Row],[Mdl Qlty]:[Mdl WdDeck]])+Inventory[[#This Row],[Mdl Res Intercept]]*Inventory[[#This Row],[Res Adj ]],-2)</f>
        <v>251800</v>
      </c>
      <c r="BO709" s="25">
        <f>ROUND(Inventory[[#This Row],[25Det]]*Inventory[[#This Row],[Det/Nbhd Adj]],-2)</f>
        <v>5000</v>
      </c>
      <c r="BP709" s="25">
        <f>Inventory[[#This Row],[Adjusted Res]]+Inventory[[#This Row],[Adj Det ]]</f>
        <v>256800</v>
      </c>
      <c r="BQ709" s="25">
        <f>ROUND((Inventory[[#This Row],[Mdl Land Intercept]]+Inventory[[#This Row],[Mdl LnAcres]])*Inventory[[#This Row],[Det/Nbhd Adj]],-2)</f>
        <v>54600</v>
      </c>
      <c r="BR709" s="25">
        <f>Inventory[[#This Row],[Adjusted Impr Total]]+Inventory[[#This Row],[Adjusted Land Total]]</f>
        <v>311400</v>
      </c>
      <c r="BS709" s="36">
        <f>IFERROR((Inventory[[#This Row],[Adjusted Impr Total]]-Inventory[[#This Row],[24Bldg]])/Inventory[[#This Row],[24Bldg]],0)</f>
        <v>9.8374679213002567E-2</v>
      </c>
      <c r="BT709" s="36">
        <f>(Inventory[[#This Row],[Adjusted Land Total]]-Inventory[[#This Row],[24Lnd]])/Inventory[[#This Row],[24Lnd]]</f>
        <v>-0.30798479087452474</v>
      </c>
      <c r="BU709" s="36">
        <f>(Inventory[[#This Row],[Adjusted Total]]-Inventory[[#This Row],[24Final]])/Inventory[[#This Row],[24Final]]</f>
        <v>-4.1573393028461782E-3</v>
      </c>
    </row>
    <row r="710" spans="1:73" x14ac:dyDescent="0.3">
      <c r="A710" s="25">
        <v>2025</v>
      </c>
      <c r="B710" s="26" t="s">
        <v>1874</v>
      </c>
      <c r="C710" s="26">
        <f>LN(Inventory[[#This Row],[Acres]])</f>
        <v>-1.8325814637483102</v>
      </c>
      <c r="D710" s="25">
        <v>0.16</v>
      </c>
      <c r="E710" s="31"/>
      <c r="F710" s="26" t="s">
        <v>537</v>
      </c>
      <c r="G710" s="26" t="s">
        <v>126</v>
      </c>
      <c r="H710" s="26" t="s">
        <v>349</v>
      </c>
      <c r="I710" s="26" t="s">
        <v>538</v>
      </c>
      <c r="J710" s="26" t="s">
        <v>539</v>
      </c>
      <c r="K710" s="26" t="s">
        <v>241</v>
      </c>
      <c r="L710" s="26" t="s">
        <v>95</v>
      </c>
      <c r="M710" s="26" t="s">
        <v>323</v>
      </c>
      <c r="N710" s="26">
        <v>70</v>
      </c>
      <c r="O710" s="26">
        <f>2024-Inventory[[#This Row],[YrBlt]]</f>
        <v>70</v>
      </c>
      <c r="P710" s="26">
        <f>2024-Inventory[[#This Row],[EffYr]]</f>
        <v>50</v>
      </c>
      <c r="Q710" s="25">
        <v>1954</v>
      </c>
      <c r="R710" s="25">
        <v>1974</v>
      </c>
      <c r="S710" s="25">
        <v>998</v>
      </c>
      <c r="T710" s="27"/>
      <c r="U710" s="25">
        <v>716</v>
      </c>
      <c r="V710" s="25">
        <f>Inventory[[#This Row],[Bsmt]]-Inventory[[#This Row],[FnBsmt]]</f>
        <v>716</v>
      </c>
      <c r="W710" s="31"/>
      <c r="X710" s="27"/>
      <c r="Y710" s="27">
        <f>Inventory[[#This Row],[MainFn]]+Inventory[[#This Row],[UpprFn]]+Inventory[[#This Row],[FnBsmt]]+Inventory[[#This Row],[AddFn]]</f>
        <v>998</v>
      </c>
      <c r="Z710" s="27">
        <v>1000</v>
      </c>
      <c r="AA710" s="25">
        <v>8</v>
      </c>
      <c r="AB710" s="27"/>
      <c r="AC710" s="32">
        <v>378</v>
      </c>
      <c r="AD710" s="27"/>
      <c r="AE710" s="27"/>
      <c r="AF710" s="27"/>
      <c r="AG710" s="27"/>
      <c r="AH710" s="27"/>
      <c r="AI710" s="25">
        <v>326500</v>
      </c>
      <c r="AJ710" s="25">
        <v>231815</v>
      </c>
      <c r="AK710" s="25">
        <v>0</v>
      </c>
      <c r="AL710" s="25">
        <v>357600</v>
      </c>
      <c r="AM710" s="25">
        <v>50600</v>
      </c>
      <c r="AN710" s="25">
        <v>307000</v>
      </c>
      <c r="AO710" s="25">
        <v>0</v>
      </c>
      <c r="AP710" s="25">
        <f>Lookups!$B$56*0</f>
        <v>0</v>
      </c>
      <c r="AQ710" s="25">
        <f>Lookups!$B$56*1</f>
        <v>89850.625589999996</v>
      </c>
      <c r="AR710" s="25">
        <f>Lookups!$B$57*Inventory[[#This Row],[LnAcres]]</f>
        <v>-58009.662049032086</v>
      </c>
      <c r="AS710" s="25">
        <f>VLOOKUP(Inventory[[#This Row],[Qlty]],Lookups!$A$62:$E$75,2,FALSE)</f>
        <v>74268.409664999999</v>
      </c>
      <c r="AT710" s="25">
        <f>VLOOKUP(Inventory[[#This Row],[Cnd]],Lookups!$A$76:$E$84,2,FALSE)</f>
        <v>160472.20319</v>
      </c>
      <c r="AU710" s="25">
        <f>Inventory[[#This Row],[EffAge]]*Lookups!$B$85</f>
        <v>-11152.280025</v>
      </c>
      <c r="AV710" s="25">
        <f>Inventory[[#This Row],[MainFn]]*Lookups!$B$86</f>
        <v>49309.852537245999</v>
      </c>
      <c r="AW710" s="25">
        <f>Inventory[[#This Row],[UpprFn]]*Lookups!$B$87</f>
        <v>0</v>
      </c>
      <c r="AX710" s="25">
        <f>Inventory[[#This Row],[AddFn]]*Lookups!$B$88</f>
        <v>0</v>
      </c>
      <c r="AY710" s="25">
        <f>Inventory[[#This Row],[Bsmt]]*Lookups!$B$89</f>
        <v>20822.636996851998</v>
      </c>
      <c r="AZ710" s="25">
        <f>Inventory[[#This Row],[Fixtures]]*Lookups!$B$90</f>
        <v>30336.176841600001</v>
      </c>
      <c r="BA710" s="25">
        <f>Inventory[[#This Row],[WdDeck]]*Lookups!$B$91</f>
        <v>0</v>
      </c>
      <c r="BB710" s="25">
        <f>ROUND(Inventory[[#This Row],[25Det]],-2)</f>
        <v>0</v>
      </c>
      <c r="BC710" s="25">
        <f>ROUND(SUM(Inventory[[#This Row],[Mdl Qlty]:[Mdl WdDeck]])+Inventory[[#This Row],[Mdl Res Intercept]],-2)</f>
        <v>324100</v>
      </c>
      <c r="BD710" s="25">
        <f>ROUND(Inventory[[#This Row],[Mdl Land Intercept]]+Inventory[[#This Row],[Mdl LnAcres]],-2)</f>
        <v>31800</v>
      </c>
      <c r="BE710" s="25">
        <f>Inventory[[#This Row],[Unadj Res Value]]+Inventory[[#This Row],[Unadj Det Value]]+Inventory[[#This Row],[Unadj Land Value]]</f>
        <v>355900</v>
      </c>
      <c r="BF710" s="36">
        <f>(Inventory[[#This Row],[Unadj Total Value]]-Inventory[[#This Row],[24Final]])/Inventory[[#This Row],[24Final]]</f>
        <v>-4.7539149888143175E-3</v>
      </c>
      <c r="BG710" s="25">
        <f>VLOOKUP(Inventory[[#This Row],[Nbhd]],Lookups!$Q$2:$T$4,4,FALSE)</f>
        <v>0.99970000000000003</v>
      </c>
      <c r="BH710" s="25">
        <f>VLOOKUP(Inventory[[#This Row],[Qlty]],Lookups!$O$7:$R$21,4,FALSE)</f>
        <v>0.98380000000000001</v>
      </c>
      <c r="BI710" s="25">
        <f>VLOOKUP(Inventory[[#This Row],[Cnd]],Lookups!$T$7:$W$16,4,FALSE)</f>
        <v>0.99729999999999996</v>
      </c>
      <c r="BJ710" s="25">
        <f>VLOOKUP(Inventory[[#This Row],[LivArea Range]],Lookups!$T$25:$W$37,4,FALSE)</f>
        <v>1.0148999999999999</v>
      </c>
      <c r="BK710" s="25">
        <f>VLOOKUP(Inventory[[#This Row],[Decade]],Lookups!$O$25:$R$42,4,FALSE)</f>
        <v>1.0199</v>
      </c>
      <c r="BL710" s="25">
        <f>Inventory[[#This Row],[Nbhd Adj]]*0.95</f>
        <v>0.94971499999999998</v>
      </c>
      <c r="BM710" s="25">
        <f>Inventory[[#This Row],[Nbhd Adj]]*Inventory[[#This Row],[Quality Adj]]*Inventory[[#This Row],[Condition Adj]]*Inventory[[#This Row],[Living Area Adj]]*Inventory[[#This Row],[Decade Adj]]*0.95</f>
        <v>0.96451009816682132</v>
      </c>
      <c r="BN710" s="25">
        <f>ROUND(SUM(Inventory[[#This Row],[Mdl Qlty]:[Mdl WdDeck]])+Inventory[[#This Row],[Mdl Res Intercept]]*Inventory[[#This Row],[Res Adj ]],-2)</f>
        <v>324100</v>
      </c>
      <c r="BO710" s="25">
        <f>ROUND(Inventory[[#This Row],[25Det]]*Inventory[[#This Row],[Det/Nbhd Adj]],-2)</f>
        <v>0</v>
      </c>
      <c r="BP710" s="25">
        <f>Inventory[[#This Row],[Adjusted Res]]+Inventory[[#This Row],[Adj Det ]]</f>
        <v>324100</v>
      </c>
      <c r="BQ710" s="25">
        <f>ROUND((Inventory[[#This Row],[Mdl Land Intercept]]+Inventory[[#This Row],[Mdl LnAcres]])*Inventory[[#This Row],[Det/Nbhd Adj]],-2)</f>
        <v>30200</v>
      </c>
      <c r="BR710" s="25">
        <f>Inventory[[#This Row],[Adjusted Impr Total]]+Inventory[[#This Row],[Adjusted Land Total]]</f>
        <v>354300</v>
      </c>
      <c r="BS710" s="36">
        <f>IFERROR((Inventory[[#This Row],[Adjusted Impr Total]]-Inventory[[#This Row],[24Bldg]])/Inventory[[#This Row],[24Bldg]],0)</f>
        <v>5.5700325732899021E-2</v>
      </c>
      <c r="BT710" s="36">
        <f>(Inventory[[#This Row],[Adjusted Land Total]]-Inventory[[#This Row],[24Lnd]])/Inventory[[#This Row],[24Lnd]]</f>
        <v>-0.40316205533596838</v>
      </c>
      <c r="BU710" s="36">
        <f>(Inventory[[#This Row],[Adjusted Total]]-Inventory[[#This Row],[24Final]])/Inventory[[#This Row],[24Final]]</f>
        <v>-9.2281879194630878E-3</v>
      </c>
    </row>
    <row r="711" spans="1:73" x14ac:dyDescent="0.3">
      <c r="A711" s="25">
        <v>2025</v>
      </c>
      <c r="B711" s="26" t="s">
        <v>1942</v>
      </c>
      <c r="C711" s="26">
        <f>LN(Inventory[[#This Row],[Acres]])</f>
        <v>-1.4696759700589417</v>
      </c>
      <c r="D711" s="25">
        <v>0.23</v>
      </c>
      <c r="E711" s="27"/>
      <c r="F711" s="26" t="s">
        <v>537</v>
      </c>
      <c r="G711" s="26" t="s">
        <v>126</v>
      </c>
      <c r="H711" s="26" t="s">
        <v>349</v>
      </c>
      <c r="I711" s="26" t="s">
        <v>538</v>
      </c>
      <c r="J711" s="26" t="s">
        <v>539</v>
      </c>
      <c r="K711" s="26" t="s">
        <v>241</v>
      </c>
      <c r="L711" s="26" t="s">
        <v>95</v>
      </c>
      <c r="M711" s="26" t="s">
        <v>323</v>
      </c>
      <c r="N711" s="26">
        <v>70</v>
      </c>
      <c r="O711" s="26">
        <f>2024-Inventory[[#This Row],[YrBlt]]</f>
        <v>70</v>
      </c>
      <c r="P711" s="26">
        <f>2024-Inventory[[#This Row],[EffYr]]</f>
        <v>50</v>
      </c>
      <c r="Q711" s="25">
        <v>1954</v>
      </c>
      <c r="R711" s="25">
        <v>1974</v>
      </c>
      <c r="S711" s="25">
        <v>1470</v>
      </c>
      <c r="T711" s="27"/>
      <c r="U711" s="25">
        <v>1470</v>
      </c>
      <c r="V711" s="25">
        <f>Inventory[[#This Row],[Bsmt]]-Inventory[[#This Row],[FnBsmt]]</f>
        <v>0</v>
      </c>
      <c r="W711" s="25">
        <v>1470</v>
      </c>
      <c r="X711" s="27"/>
      <c r="Y711" s="27">
        <f>Inventory[[#This Row],[MainFn]]+Inventory[[#This Row],[UpprFn]]+Inventory[[#This Row],[FnBsmt]]+Inventory[[#This Row],[AddFn]]</f>
        <v>2940</v>
      </c>
      <c r="Z711" s="27">
        <v>3000</v>
      </c>
      <c r="AA711" s="25">
        <v>13</v>
      </c>
      <c r="AB711" s="32">
        <v>322</v>
      </c>
      <c r="AC711" s="27"/>
      <c r="AD711" s="27"/>
      <c r="AE711" s="27"/>
      <c r="AF711" s="27"/>
      <c r="AG711" s="27"/>
      <c r="AH711" s="27"/>
      <c r="AI711" s="25">
        <v>580873</v>
      </c>
      <c r="AJ711" s="25">
        <v>412420</v>
      </c>
      <c r="AK711" s="25">
        <v>0</v>
      </c>
      <c r="AL711" s="25">
        <v>460000</v>
      </c>
      <c r="AM711" s="25">
        <v>63300</v>
      </c>
      <c r="AN711" s="25">
        <v>396700</v>
      </c>
      <c r="AO711" s="25">
        <v>0</v>
      </c>
      <c r="AP711" s="25">
        <f>Lookups!$B$56*0</f>
        <v>0</v>
      </c>
      <c r="AQ711" s="25">
        <f>Lookups!$B$56*1</f>
        <v>89850.625589999996</v>
      </c>
      <c r="AR711" s="25">
        <f>Lookups!$B$57*Inventory[[#This Row],[LnAcres]]</f>
        <v>-46522.028095997222</v>
      </c>
      <c r="AS711" s="25">
        <f>VLOOKUP(Inventory[[#This Row],[Qlty]],Lookups!$A$62:$E$75,2,FALSE)</f>
        <v>74268.409664999999</v>
      </c>
      <c r="AT711" s="25">
        <f>VLOOKUP(Inventory[[#This Row],[Cnd]],Lookups!$A$76:$E$84,2,FALSE)</f>
        <v>160472.20319</v>
      </c>
      <c r="AU711" s="25">
        <f>Inventory[[#This Row],[EffAge]]*Lookups!$B$85</f>
        <v>-11152.280025</v>
      </c>
      <c r="AV711" s="25">
        <f>Inventory[[#This Row],[MainFn]]*Lookups!$B$86</f>
        <v>72630.744719189999</v>
      </c>
      <c r="AW711" s="25">
        <f>Inventory[[#This Row],[UpprFn]]*Lookups!$B$87</f>
        <v>0</v>
      </c>
      <c r="AX711" s="25">
        <f>Inventory[[#This Row],[AddFn]]*Lookups!$B$88</f>
        <v>0</v>
      </c>
      <c r="AY711" s="25">
        <f>Inventory[[#This Row],[Bsmt]]*Lookups!$B$89</f>
        <v>42750.386013089999</v>
      </c>
      <c r="AZ711" s="25">
        <f>Inventory[[#This Row],[Fixtures]]*Lookups!$B$90</f>
        <v>49296.287367600002</v>
      </c>
      <c r="BA711" s="25">
        <f>Inventory[[#This Row],[WdDeck]]*Lookups!$B$91</f>
        <v>0</v>
      </c>
      <c r="BB711" s="25">
        <f>ROUND(Inventory[[#This Row],[25Det]],-2)</f>
        <v>0</v>
      </c>
      <c r="BC711" s="25">
        <f>ROUND(SUM(Inventory[[#This Row],[Mdl Qlty]:[Mdl WdDeck]])+Inventory[[#This Row],[Mdl Res Intercept]],-2)</f>
        <v>388300</v>
      </c>
      <c r="BD711" s="25">
        <f>ROUND(Inventory[[#This Row],[Mdl Land Intercept]]+Inventory[[#This Row],[Mdl LnAcres]],-2)</f>
        <v>43300</v>
      </c>
      <c r="BE711" s="25">
        <f>Inventory[[#This Row],[Unadj Res Value]]+Inventory[[#This Row],[Unadj Det Value]]+Inventory[[#This Row],[Unadj Land Value]]</f>
        <v>431600</v>
      </c>
      <c r="BF711" s="36">
        <f>(Inventory[[#This Row],[Unadj Total Value]]-Inventory[[#This Row],[24Final]])/Inventory[[#This Row],[24Final]]</f>
        <v>-6.1739130434782609E-2</v>
      </c>
      <c r="BG711" s="25">
        <f>VLOOKUP(Inventory[[#This Row],[Nbhd]],Lookups!$Q$2:$T$4,4,FALSE)</f>
        <v>0.99970000000000003</v>
      </c>
      <c r="BH711" s="25">
        <f>VLOOKUP(Inventory[[#This Row],[Qlty]],Lookups!$O$7:$R$21,4,FALSE)</f>
        <v>0.98380000000000001</v>
      </c>
      <c r="BI711" s="25">
        <f>VLOOKUP(Inventory[[#This Row],[Cnd]],Lookups!$T$7:$W$16,4,FALSE)</f>
        <v>0.99729999999999996</v>
      </c>
      <c r="BJ711" s="25">
        <f>VLOOKUP(Inventory[[#This Row],[LivArea Range]],Lookups!$T$25:$W$37,4,FALSE)</f>
        <v>0.96179999999999999</v>
      </c>
      <c r="BK711" s="25">
        <f>VLOOKUP(Inventory[[#This Row],[Decade]],Lookups!$O$25:$R$42,4,FALSE)</f>
        <v>1.0199</v>
      </c>
      <c r="BL711" s="25">
        <f>Inventory[[#This Row],[Nbhd Adj]]*0.95</f>
        <v>0.94971499999999998</v>
      </c>
      <c r="BM711" s="25">
        <f>Inventory[[#This Row],[Nbhd Adj]]*Inventory[[#This Row],[Quality Adj]]*Inventory[[#This Row],[Condition Adj]]*Inventory[[#This Row],[Living Area Adj]]*Inventory[[#This Row],[Decade Adj]]*0.95</f>
        <v>0.91404651927958314</v>
      </c>
      <c r="BN711" s="25">
        <f>ROUND(SUM(Inventory[[#This Row],[Mdl Qlty]:[Mdl WdDeck]])+Inventory[[#This Row],[Mdl Res Intercept]]*Inventory[[#This Row],[Res Adj ]],-2)</f>
        <v>388300</v>
      </c>
      <c r="BO711" s="25">
        <f>ROUND(Inventory[[#This Row],[25Det]]*Inventory[[#This Row],[Det/Nbhd Adj]],-2)</f>
        <v>0</v>
      </c>
      <c r="BP711" s="25">
        <f>Inventory[[#This Row],[Adjusted Res]]+Inventory[[#This Row],[Adj Det ]]</f>
        <v>388300</v>
      </c>
      <c r="BQ711" s="25">
        <f>ROUND((Inventory[[#This Row],[Mdl Land Intercept]]+Inventory[[#This Row],[Mdl LnAcres]])*Inventory[[#This Row],[Det/Nbhd Adj]],-2)</f>
        <v>41100</v>
      </c>
      <c r="BR711" s="25">
        <f>Inventory[[#This Row],[Adjusted Impr Total]]+Inventory[[#This Row],[Adjusted Land Total]]</f>
        <v>429400</v>
      </c>
      <c r="BS711" s="36">
        <f>IFERROR((Inventory[[#This Row],[Adjusted Impr Total]]-Inventory[[#This Row],[24Bldg]])/Inventory[[#This Row],[24Bldg]],0)</f>
        <v>-2.1174691202419965E-2</v>
      </c>
      <c r="BT711" s="36">
        <f>(Inventory[[#This Row],[Adjusted Land Total]]-Inventory[[#This Row],[24Lnd]])/Inventory[[#This Row],[24Lnd]]</f>
        <v>-0.35071090047393366</v>
      </c>
      <c r="BU711" s="36">
        <f>(Inventory[[#This Row],[Adjusted Total]]-Inventory[[#This Row],[24Final]])/Inventory[[#This Row],[24Final]]</f>
        <v>-6.6521739130434784E-2</v>
      </c>
    </row>
    <row r="712" spans="1:73" x14ac:dyDescent="0.3">
      <c r="A712" s="25">
        <v>2025</v>
      </c>
      <c r="B712" s="26" t="s">
        <v>1825</v>
      </c>
      <c r="C712" s="26">
        <f>LN(Inventory[[#This Row],[Acres]])</f>
        <v>-1.1394342831883648</v>
      </c>
      <c r="D712" s="25">
        <v>0.32</v>
      </c>
      <c r="E712" s="32">
        <v>14000</v>
      </c>
      <c r="F712" s="26" t="s">
        <v>537</v>
      </c>
      <c r="G712" s="26" t="s">
        <v>126</v>
      </c>
      <c r="H712" s="26" t="s">
        <v>349</v>
      </c>
      <c r="I712" s="26" t="s">
        <v>538</v>
      </c>
      <c r="J712" s="26" t="s">
        <v>539</v>
      </c>
      <c r="K712" s="26" t="s">
        <v>242</v>
      </c>
      <c r="L712" s="26" t="s">
        <v>302</v>
      </c>
      <c r="M712" s="26" t="s">
        <v>303</v>
      </c>
      <c r="N712" s="26">
        <v>80</v>
      </c>
      <c r="O712" s="26">
        <f>2024-Inventory[[#This Row],[YrBlt]]</f>
        <v>71</v>
      </c>
      <c r="P712" s="26">
        <f>2024-Inventory[[#This Row],[EffYr]]</f>
        <v>51</v>
      </c>
      <c r="Q712" s="25">
        <v>1953</v>
      </c>
      <c r="R712" s="25">
        <v>1973</v>
      </c>
      <c r="S712" s="25">
        <v>1454</v>
      </c>
      <c r="T712" s="27"/>
      <c r="U712" s="25">
        <v>991</v>
      </c>
      <c r="V712" s="25">
        <f>Inventory[[#This Row],[Bsmt]]-Inventory[[#This Row],[FnBsmt]]</f>
        <v>991</v>
      </c>
      <c r="W712" s="31"/>
      <c r="X712" s="27"/>
      <c r="Y712" s="27">
        <f>Inventory[[#This Row],[MainFn]]+Inventory[[#This Row],[UpprFn]]+Inventory[[#This Row],[FnBsmt]]+Inventory[[#This Row],[AddFn]]</f>
        <v>1454</v>
      </c>
      <c r="Z712" s="27">
        <v>1500</v>
      </c>
      <c r="AA712" s="25">
        <v>9</v>
      </c>
      <c r="AB712" s="27"/>
      <c r="AC712" s="27"/>
      <c r="AD712" s="27"/>
      <c r="AE712" s="27"/>
      <c r="AF712" s="27"/>
      <c r="AG712" s="27"/>
      <c r="AH712" s="27"/>
      <c r="AI712" s="25">
        <v>308540</v>
      </c>
      <c r="AJ712" s="25">
        <v>219063</v>
      </c>
      <c r="AK712" s="25">
        <v>6768</v>
      </c>
      <c r="AL712" s="25">
        <v>373300</v>
      </c>
      <c r="AM712" s="25">
        <v>74800</v>
      </c>
      <c r="AN712" s="25">
        <v>298500</v>
      </c>
      <c r="AO712" s="25">
        <v>0</v>
      </c>
      <c r="AP712" s="25">
        <f>Lookups!$B$56*0</f>
        <v>0</v>
      </c>
      <c r="AQ712" s="25">
        <f>Lookups!$B$56*1</f>
        <v>89850.625589999996</v>
      </c>
      <c r="AR712" s="25">
        <f>Lookups!$B$57*Inventory[[#This Row],[LnAcres]]</f>
        <v>-36068.354396449467</v>
      </c>
      <c r="AS712" s="25">
        <f>VLOOKUP(Inventory[[#This Row],[Qlty]],Lookups!$A$62:$E$75,2,FALSE)</f>
        <v>29814.093161000001</v>
      </c>
      <c r="AT712" s="25">
        <f>VLOOKUP(Inventory[[#This Row],[Cnd]],Lookups!$A$76:$E$84,2,FALSE)</f>
        <v>197752.34721000001</v>
      </c>
      <c r="AU712" s="25">
        <f>Inventory[[#This Row],[EffAge]]*Lookups!$B$85</f>
        <v>-11375.3256255</v>
      </c>
      <c r="AV712" s="25">
        <f>Inventory[[#This Row],[MainFn]]*Lookups!$B$86</f>
        <v>71840.206001158003</v>
      </c>
      <c r="AW712" s="25">
        <f>Inventory[[#This Row],[UpprFn]]*Lookups!$B$87</f>
        <v>0</v>
      </c>
      <c r="AX712" s="25">
        <f>Inventory[[#This Row],[AddFn]]*Lookups!$B$88</f>
        <v>0</v>
      </c>
      <c r="AY712" s="25">
        <f>Inventory[[#This Row],[Bsmt]]*Lookups!$B$89</f>
        <v>28820.158189776997</v>
      </c>
      <c r="AZ712" s="25">
        <f>Inventory[[#This Row],[Fixtures]]*Lookups!$B$90</f>
        <v>34128.198946800003</v>
      </c>
      <c r="BA712" s="25">
        <f>Inventory[[#This Row],[WdDeck]]*Lookups!$B$91</f>
        <v>0</v>
      </c>
      <c r="BB712" s="25">
        <f>ROUND(Inventory[[#This Row],[25Det]],-2)</f>
        <v>6800</v>
      </c>
      <c r="BC712" s="25">
        <f>ROUND(SUM(Inventory[[#This Row],[Mdl Qlty]:[Mdl WdDeck]])+Inventory[[#This Row],[Mdl Res Intercept]],-2)</f>
        <v>351000</v>
      </c>
      <c r="BD712" s="25">
        <f>ROUND(Inventory[[#This Row],[Mdl Land Intercept]]+Inventory[[#This Row],[Mdl LnAcres]],-2)</f>
        <v>53800</v>
      </c>
      <c r="BE712" s="25">
        <f>Inventory[[#This Row],[Unadj Res Value]]+Inventory[[#This Row],[Unadj Det Value]]+Inventory[[#This Row],[Unadj Land Value]]</f>
        <v>411600</v>
      </c>
      <c r="BF712" s="36">
        <f>(Inventory[[#This Row],[Unadj Total Value]]-Inventory[[#This Row],[24Final]])/Inventory[[#This Row],[24Final]]</f>
        <v>0.10259844628984731</v>
      </c>
      <c r="BG712" s="25">
        <f>VLOOKUP(Inventory[[#This Row],[Nbhd]],Lookups!$Q$2:$T$4,4,FALSE)</f>
        <v>0.99970000000000003</v>
      </c>
      <c r="BH712" s="25">
        <f>VLOOKUP(Inventory[[#This Row],[Qlty]],Lookups!$O$7:$R$21,4,FALSE)</f>
        <v>1.0088999999999999</v>
      </c>
      <c r="BI712" s="25">
        <f>VLOOKUP(Inventory[[#This Row],[Cnd]],Lookups!$T$7:$W$16,4,FALSE)</f>
        <v>0.99650000000000005</v>
      </c>
      <c r="BJ712" s="25">
        <f>VLOOKUP(Inventory[[#This Row],[LivArea Range]],Lookups!$T$25:$W$37,4,FALSE)</f>
        <v>1.0157</v>
      </c>
      <c r="BK712" s="25">
        <f>VLOOKUP(Inventory[[#This Row],[Decade]],Lookups!$O$25:$R$42,4,FALSE)</f>
        <v>0.995</v>
      </c>
      <c r="BL712" s="25">
        <f>Inventory[[#This Row],[Nbhd Adj]]*0.95</f>
        <v>0.94971499999999998</v>
      </c>
      <c r="BM712" s="25">
        <f>Inventory[[#This Row],[Nbhd Adj]]*Inventory[[#This Row],[Quality Adj]]*Inventory[[#This Row],[Condition Adj]]*Inventory[[#This Row],[Living Area Adj]]*Inventory[[#This Row],[Decade Adj]]*0.95</f>
        <v>0.9649554329763177</v>
      </c>
      <c r="BN712" s="25">
        <f>ROUND(SUM(Inventory[[#This Row],[Mdl Qlty]:[Mdl WdDeck]])+Inventory[[#This Row],[Mdl Res Intercept]]*Inventory[[#This Row],[Res Adj ]],-2)</f>
        <v>351000</v>
      </c>
      <c r="BO712" s="25">
        <f>ROUND(Inventory[[#This Row],[25Det]]*Inventory[[#This Row],[Det/Nbhd Adj]],-2)</f>
        <v>6400</v>
      </c>
      <c r="BP712" s="25">
        <f>Inventory[[#This Row],[Adjusted Res]]+Inventory[[#This Row],[Adj Det ]]</f>
        <v>357400</v>
      </c>
      <c r="BQ712" s="25">
        <f>ROUND((Inventory[[#This Row],[Mdl Land Intercept]]+Inventory[[#This Row],[Mdl LnAcres]])*Inventory[[#This Row],[Det/Nbhd Adj]],-2)</f>
        <v>51100</v>
      </c>
      <c r="BR712" s="25">
        <f>Inventory[[#This Row],[Adjusted Impr Total]]+Inventory[[#This Row],[Adjusted Land Total]]</f>
        <v>408500</v>
      </c>
      <c r="BS712" s="36">
        <f>IFERROR((Inventory[[#This Row],[Adjusted Impr Total]]-Inventory[[#This Row],[24Bldg]])/Inventory[[#This Row],[24Bldg]],0)</f>
        <v>0.19731993299832495</v>
      </c>
      <c r="BT712" s="36">
        <f>(Inventory[[#This Row],[Adjusted Land Total]]-Inventory[[#This Row],[24Lnd]])/Inventory[[#This Row],[24Lnd]]</f>
        <v>-0.31684491978609625</v>
      </c>
      <c r="BU712" s="36">
        <f>(Inventory[[#This Row],[Adjusted Total]]-Inventory[[#This Row],[24Final]])/Inventory[[#This Row],[24Final]]</f>
        <v>9.4294133404768277E-2</v>
      </c>
    </row>
    <row r="713" spans="1:73" x14ac:dyDescent="0.3">
      <c r="A713" s="25">
        <v>2025</v>
      </c>
      <c r="B713" s="26" t="s">
        <v>2740</v>
      </c>
      <c r="C713" s="26">
        <f>LN(Inventory[[#This Row],[Acres]])</f>
        <v>-1.5606477482646683</v>
      </c>
      <c r="D713" s="25">
        <v>0.21</v>
      </c>
      <c r="E713" s="27"/>
      <c r="F713" s="26" t="s">
        <v>537</v>
      </c>
      <c r="G713" s="26" t="s">
        <v>126</v>
      </c>
      <c r="H713" s="26" t="s">
        <v>349</v>
      </c>
      <c r="I713" s="26" t="s">
        <v>538</v>
      </c>
      <c r="J713" s="26" t="s">
        <v>539</v>
      </c>
      <c r="K713" s="26" t="s">
        <v>241</v>
      </c>
      <c r="L713" s="26" t="s">
        <v>148</v>
      </c>
      <c r="M713" s="26" t="s">
        <v>303</v>
      </c>
      <c r="N713" s="26">
        <v>80</v>
      </c>
      <c r="O713" s="26">
        <f>2024-Inventory[[#This Row],[YrBlt]]</f>
        <v>71</v>
      </c>
      <c r="P713" s="26">
        <f>2024-Inventory[[#This Row],[EffYr]]</f>
        <v>51</v>
      </c>
      <c r="Q713" s="25">
        <v>1953</v>
      </c>
      <c r="R713" s="25">
        <v>1973</v>
      </c>
      <c r="S713" s="25">
        <v>1815</v>
      </c>
      <c r="T713" s="27"/>
      <c r="U713" s="27"/>
      <c r="V713" s="27">
        <f>Inventory[[#This Row],[Bsmt]]-Inventory[[#This Row],[FnBsmt]]</f>
        <v>0</v>
      </c>
      <c r="W713" s="27"/>
      <c r="X713" s="27"/>
      <c r="Y713" s="27">
        <f>Inventory[[#This Row],[MainFn]]+Inventory[[#This Row],[UpprFn]]+Inventory[[#This Row],[FnBsmt]]+Inventory[[#This Row],[AddFn]]</f>
        <v>1815</v>
      </c>
      <c r="Z713" s="27">
        <v>2000</v>
      </c>
      <c r="AA713" s="25">
        <v>8</v>
      </c>
      <c r="AB713" s="27"/>
      <c r="AC713" s="27"/>
      <c r="AD713" s="27"/>
      <c r="AE713" s="27"/>
      <c r="AF713" s="27"/>
      <c r="AG713" s="27"/>
      <c r="AH713" s="27"/>
      <c r="AI713" s="25">
        <v>399413</v>
      </c>
      <c r="AJ713" s="25">
        <v>283583</v>
      </c>
      <c r="AK713" s="25">
        <v>24981</v>
      </c>
      <c r="AL713" s="25">
        <v>386000</v>
      </c>
      <c r="AM713" s="25">
        <v>60100</v>
      </c>
      <c r="AN713" s="25">
        <v>325900</v>
      </c>
      <c r="AO713" s="25">
        <v>0</v>
      </c>
      <c r="AP713" s="25">
        <f>Lookups!$B$56*0</f>
        <v>0</v>
      </c>
      <c r="AQ713" s="25">
        <f>Lookups!$B$56*1</f>
        <v>89850.625589999996</v>
      </c>
      <c r="AR713" s="25">
        <f>Lookups!$B$57*Inventory[[#This Row],[LnAcres]]</f>
        <v>-49401.70477837498</v>
      </c>
      <c r="AS713" s="25">
        <f>VLOOKUP(Inventory[[#This Row],[Qlty]],Lookups!$A$62:$E$75,2,FALSE)</f>
        <v>44121.038090000002</v>
      </c>
      <c r="AT713" s="25">
        <f>VLOOKUP(Inventory[[#This Row],[Cnd]],Lookups!$A$76:$E$84,2,FALSE)</f>
        <v>197752.34721000001</v>
      </c>
      <c r="AU713" s="25">
        <f>Inventory[[#This Row],[EffAge]]*Lookups!$B$85</f>
        <v>-11375.3256255</v>
      </c>
      <c r="AV713" s="25">
        <f>Inventory[[#This Row],[MainFn]]*Lookups!$B$86</f>
        <v>89676.735826755001</v>
      </c>
      <c r="AW713" s="25">
        <f>Inventory[[#This Row],[UpprFn]]*Lookups!$B$87</f>
        <v>0</v>
      </c>
      <c r="AX713" s="25">
        <f>Inventory[[#This Row],[AddFn]]*Lookups!$B$88</f>
        <v>0</v>
      </c>
      <c r="AY713" s="25">
        <f>Inventory[[#This Row],[Bsmt]]*Lookups!$B$89</f>
        <v>0</v>
      </c>
      <c r="AZ713" s="25">
        <f>Inventory[[#This Row],[Fixtures]]*Lookups!$B$90</f>
        <v>30336.176841600001</v>
      </c>
      <c r="BA713" s="25">
        <f>Inventory[[#This Row],[WdDeck]]*Lookups!$B$91</f>
        <v>0</v>
      </c>
      <c r="BB713" s="25">
        <f>ROUND(Inventory[[#This Row],[25Det]],-2)</f>
        <v>25000</v>
      </c>
      <c r="BC713" s="25">
        <f>ROUND(SUM(Inventory[[#This Row],[Mdl Qlty]:[Mdl WdDeck]])+Inventory[[#This Row],[Mdl Res Intercept]],-2)</f>
        <v>350500</v>
      </c>
      <c r="BD713" s="25">
        <f>ROUND(Inventory[[#This Row],[Mdl Land Intercept]]+Inventory[[#This Row],[Mdl LnAcres]],-2)</f>
        <v>40400</v>
      </c>
      <c r="BE713" s="25">
        <f>Inventory[[#This Row],[Unadj Res Value]]+Inventory[[#This Row],[Unadj Det Value]]+Inventory[[#This Row],[Unadj Land Value]]</f>
        <v>415900</v>
      </c>
      <c r="BF713" s="36">
        <f>(Inventory[[#This Row],[Unadj Total Value]]-Inventory[[#This Row],[24Final]])/Inventory[[#This Row],[24Final]]</f>
        <v>7.7461139896373057E-2</v>
      </c>
      <c r="BG713" s="25">
        <f>VLOOKUP(Inventory[[#This Row],[Nbhd]],Lookups!$Q$2:$T$4,4,FALSE)</f>
        <v>0.99970000000000003</v>
      </c>
      <c r="BH713" s="25">
        <f>VLOOKUP(Inventory[[#This Row],[Qlty]],Lookups!$O$7:$R$21,4,FALSE)</f>
        <v>0.98050000000000004</v>
      </c>
      <c r="BI713" s="25">
        <f>VLOOKUP(Inventory[[#This Row],[Cnd]],Lookups!$T$7:$W$16,4,FALSE)</f>
        <v>0.99650000000000005</v>
      </c>
      <c r="BJ713" s="25">
        <f>VLOOKUP(Inventory[[#This Row],[LivArea Range]],Lookups!$T$25:$W$37,4,FALSE)</f>
        <v>1.0093000000000001</v>
      </c>
      <c r="BK713" s="25">
        <f>VLOOKUP(Inventory[[#This Row],[Decade]],Lookups!$O$25:$R$42,4,FALSE)</f>
        <v>0.995</v>
      </c>
      <c r="BL713" s="25">
        <f>Inventory[[#This Row],[Nbhd Adj]]*0.95</f>
        <v>0.94971499999999998</v>
      </c>
      <c r="BM713" s="25">
        <f>Inventory[[#This Row],[Nbhd Adj]]*Inventory[[#This Row],[Quality Adj]]*Inventory[[#This Row],[Condition Adj]]*Inventory[[#This Row],[Living Area Adj]]*Inventory[[#This Row],[Decade Adj]]*0.95</f>
        <v>0.93188335041151293</v>
      </c>
      <c r="BN713" s="25">
        <f>ROUND(SUM(Inventory[[#This Row],[Mdl Qlty]:[Mdl WdDeck]])+Inventory[[#This Row],[Mdl Res Intercept]]*Inventory[[#This Row],[Res Adj ]],-2)</f>
        <v>350500</v>
      </c>
      <c r="BO713" s="25">
        <f>ROUND(Inventory[[#This Row],[25Det]]*Inventory[[#This Row],[Det/Nbhd Adj]],-2)</f>
        <v>23700</v>
      </c>
      <c r="BP713" s="25">
        <f>Inventory[[#This Row],[Adjusted Res]]+Inventory[[#This Row],[Adj Det ]]</f>
        <v>374200</v>
      </c>
      <c r="BQ713" s="25">
        <f>ROUND((Inventory[[#This Row],[Mdl Land Intercept]]+Inventory[[#This Row],[Mdl LnAcres]])*Inventory[[#This Row],[Det/Nbhd Adj]],-2)</f>
        <v>38400</v>
      </c>
      <c r="BR713" s="25">
        <f>Inventory[[#This Row],[Adjusted Impr Total]]+Inventory[[#This Row],[Adjusted Land Total]]</f>
        <v>412600</v>
      </c>
      <c r="BS713" s="36">
        <f>IFERROR((Inventory[[#This Row],[Adjusted Impr Total]]-Inventory[[#This Row],[24Bldg]])/Inventory[[#This Row],[24Bldg]],0)</f>
        <v>0.14820497084995396</v>
      </c>
      <c r="BT713" s="36">
        <f>(Inventory[[#This Row],[Adjusted Land Total]]-Inventory[[#This Row],[24Lnd]])/Inventory[[#This Row],[24Lnd]]</f>
        <v>-0.36106489184692181</v>
      </c>
      <c r="BU713" s="36">
        <f>(Inventory[[#This Row],[Adjusted Total]]-Inventory[[#This Row],[24Final]])/Inventory[[#This Row],[24Final]]</f>
        <v>6.8911917098445602E-2</v>
      </c>
    </row>
    <row r="714" spans="1:73" x14ac:dyDescent="0.3">
      <c r="A714" s="25">
        <v>2025</v>
      </c>
      <c r="B714" s="26" t="s">
        <v>914</v>
      </c>
      <c r="C714" s="26">
        <f>LN(Inventory[[#This Row],[Acres]])</f>
        <v>-1.1394342831883648</v>
      </c>
      <c r="D714" s="25">
        <v>0.32</v>
      </c>
      <c r="E714" s="32">
        <v>13767</v>
      </c>
      <c r="F714" s="26" t="s">
        <v>537</v>
      </c>
      <c r="G714" s="26" t="s">
        <v>126</v>
      </c>
      <c r="H714" s="26" t="s">
        <v>349</v>
      </c>
      <c r="I714" s="26" t="s">
        <v>538</v>
      </c>
      <c r="J714" s="26" t="s">
        <v>539</v>
      </c>
      <c r="K714" s="26" t="s">
        <v>241</v>
      </c>
      <c r="L714" s="26" t="s">
        <v>302</v>
      </c>
      <c r="M714" s="26" t="s">
        <v>303</v>
      </c>
      <c r="N714" s="26">
        <v>80</v>
      </c>
      <c r="O714" s="26">
        <f>2024-Inventory[[#This Row],[YrBlt]]</f>
        <v>71</v>
      </c>
      <c r="P714" s="26">
        <f>2024-Inventory[[#This Row],[EffYr]]</f>
        <v>51</v>
      </c>
      <c r="Q714" s="25">
        <v>1953</v>
      </c>
      <c r="R714" s="25">
        <v>1973</v>
      </c>
      <c r="S714" s="25">
        <v>1299</v>
      </c>
      <c r="T714" s="27"/>
      <c r="U714" s="31"/>
      <c r="V714" s="27">
        <f>Inventory[[#This Row],[Bsmt]]-Inventory[[#This Row],[FnBsmt]]</f>
        <v>0</v>
      </c>
      <c r="W714" s="27"/>
      <c r="X714" s="27"/>
      <c r="Y714" s="27">
        <f>Inventory[[#This Row],[MainFn]]+Inventory[[#This Row],[UpprFn]]+Inventory[[#This Row],[FnBsmt]]+Inventory[[#This Row],[AddFn]]</f>
        <v>1299</v>
      </c>
      <c r="Z714" s="27">
        <v>1500</v>
      </c>
      <c r="AA714" s="25">
        <v>5</v>
      </c>
      <c r="AB714" s="32">
        <v>273</v>
      </c>
      <c r="AC714" s="27"/>
      <c r="AD714" s="27"/>
      <c r="AE714" s="27"/>
      <c r="AF714" s="27"/>
      <c r="AG714" s="27"/>
      <c r="AH714" s="27"/>
      <c r="AI714" s="25">
        <v>264729</v>
      </c>
      <c r="AJ714" s="25">
        <v>187958</v>
      </c>
      <c r="AK714" s="25">
        <v>0</v>
      </c>
      <c r="AL714" s="25">
        <v>331300</v>
      </c>
      <c r="AM714" s="25">
        <v>74800</v>
      </c>
      <c r="AN714" s="25">
        <v>256500</v>
      </c>
      <c r="AO714" s="25">
        <v>0</v>
      </c>
      <c r="AP714" s="25">
        <f>Lookups!$B$56*0</f>
        <v>0</v>
      </c>
      <c r="AQ714" s="25">
        <f>Lookups!$B$56*1</f>
        <v>89850.625589999996</v>
      </c>
      <c r="AR714" s="25">
        <f>Lookups!$B$57*Inventory[[#This Row],[LnAcres]]</f>
        <v>-36068.354396449467</v>
      </c>
      <c r="AS714" s="25">
        <f>VLOOKUP(Inventory[[#This Row],[Qlty]],Lookups!$A$62:$E$75,2,FALSE)</f>
        <v>29814.093161000001</v>
      </c>
      <c r="AT714" s="25">
        <f>VLOOKUP(Inventory[[#This Row],[Cnd]],Lookups!$A$76:$E$84,2,FALSE)</f>
        <v>197752.34721000001</v>
      </c>
      <c r="AU714" s="25">
        <f>Inventory[[#This Row],[EffAge]]*Lookups!$B$85</f>
        <v>-11375.3256255</v>
      </c>
      <c r="AV714" s="25">
        <f>Inventory[[#This Row],[MainFn]]*Lookups!$B$86</f>
        <v>64181.862170223001</v>
      </c>
      <c r="AW714" s="25">
        <f>Inventory[[#This Row],[UpprFn]]*Lookups!$B$87</f>
        <v>0</v>
      </c>
      <c r="AX714" s="25">
        <f>Inventory[[#This Row],[AddFn]]*Lookups!$B$88</f>
        <v>0</v>
      </c>
      <c r="AY714" s="25">
        <f>Inventory[[#This Row],[Bsmt]]*Lookups!$B$89</f>
        <v>0</v>
      </c>
      <c r="AZ714" s="25">
        <f>Inventory[[#This Row],[Fixtures]]*Lookups!$B$90</f>
        <v>18960.110526</v>
      </c>
      <c r="BA714" s="25">
        <f>Inventory[[#This Row],[WdDeck]]*Lookups!$B$91</f>
        <v>0</v>
      </c>
      <c r="BB714" s="25">
        <f>ROUND(Inventory[[#This Row],[25Det]],-2)</f>
        <v>0</v>
      </c>
      <c r="BC714" s="25">
        <f>ROUND(SUM(Inventory[[#This Row],[Mdl Qlty]:[Mdl WdDeck]])+Inventory[[#This Row],[Mdl Res Intercept]],-2)</f>
        <v>299300</v>
      </c>
      <c r="BD714" s="25">
        <f>ROUND(Inventory[[#This Row],[Mdl Land Intercept]]+Inventory[[#This Row],[Mdl LnAcres]],-2)</f>
        <v>53800</v>
      </c>
      <c r="BE714" s="25">
        <f>Inventory[[#This Row],[Unadj Res Value]]+Inventory[[#This Row],[Unadj Det Value]]+Inventory[[#This Row],[Unadj Land Value]]</f>
        <v>353100</v>
      </c>
      <c r="BF714" s="36">
        <f>(Inventory[[#This Row],[Unadj Total Value]]-Inventory[[#This Row],[24Final]])/Inventory[[#This Row],[24Final]]</f>
        <v>6.5801388469664962E-2</v>
      </c>
      <c r="BG714" s="25">
        <f>VLOOKUP(Inventory[[#This Row],[Nbhd]],Lookups!$Q$2:$T$4,4,FALSE)</f>
        <v>0.99970000000000003</v>
      </c>
      <c r="BH714" s="25">
        <f>VLOOKUP(Inventory[[#This Row],[Qlty]],Lookups!$O$7:$R$21,4,FALSE)</f>
        <v>1.0088999999999999</v>
      </c>
      <c r="BI714" s="25">
        <f>VLOOKUP(Inventory[[#This Row],[Cnd]],Lookups!$T$7:$W$16,4,FALSE)</f>
        <v>0.99650000000000005</v>
      </c>
      <c r="BJ714" s="25">
        <f>VLOOKUP(Inventory[[#This Row],[LivArea Range]],Lookups!$T$25:$W$37,4,FALSE)</f>
        <v>1.0157</v>
      </c>
      <c r="BK714" s="25">
        <f>VLOOKUP(Inventory[[#This Row],[Decade]],Lookups!$O$25:$R$42,4,FALSE)</f>
        <v>0.995</v>
      </c>
      <c r="BL714" s="25">
        <f>Inventory[[#This Row],[Nbhd Adj]]*0.95</f>
        <v>0.94971499999999998</v>
      </c>
      <c r="BM714" s="25">
        <f>Inventory[[#This Row],[Nbhd Adj]]*Inventory[[#This Row],[Quality Adj]]*Inventory[[#This Row],[Condition Adj]]*Inventory[[#This Row],[Living Area Adj]]*Inventory[[#This Row],[Decade Adj]]*0.95</f>
        <v>0.9649554329763177</v>
      </c>
      <c r="BN714" s="25">
        <f>ROUND(SUM(Inventory[[#This Row],[Mdl Qlty]:[Mdl WdDeck]])+Inventory[[#This Row],[Mdl Res Intercept]]*Inventory[[#This Row],[Res Adj ]],-2)</f>
        <v>299300</v>
      </c>
      <c r="BO714" s="25">
        <f>ROUND(Inventory[[#This Row],[25Det]]*Inventory[[#This Row],[Det/Nbhd Adj]],-2)</f>
        <v>0</v>
      </c>
      <c r="BP714" s="25">
        <f>Inventory[[#This Row],[Adjusted Res]]+Inventory[[#This Row],[Adj Det ]]</f>
        <v>299300</v>
      </c>
      <c r="BQ714" s="25">
        <f>ROUND((Inventory[[#This Row],[Mdl Land Intercept]]+Inventory[[#This Row],[Mdl LnAcres]])*Inventory[[#This Row],[Det/Nbhd Adj]],-2)</f>
        <v>51100</v>
      </c>
      <c r="BR714" s="25">
        <f>Inventory[[#This Row],[Adjusted Impr Total]]+Inventory[[#This Row],[Adjusted Land Total]]</f>
        <v>350400</v>
      </c>
      <c r="BS714" s="36">
        <f>IFERROR((Inventory[[#This Row],[Adjusted Impr Total]]-Inventory[[#This Row],[24Bldg]])/Inventory[[#This Row],[24Bldg]],0)</f>
        <v>0.16686159844054582</v>
      </c>
      <c r="BT714" s="36">
        <f>(Inventory[[#This Row],[Adjusted Land Total]]-Inventory[[#This Row],[24Lnd]])/Inventory[[#This Row],[24Lnd]]</f>
        <v>-0.31684491978609625</v>
      </c>
      <c r="BU714" s="36">
        <f>(Inventory[[#This Row],[Adjusted Total]]-Inventory[[#This Row],[24Final]])/Inventory[[#This Row],[24Final]]</f>
        <v>5.7651675218834894E-2</v>
      </c>
    </row>
    <row r="715" spans="1:73" x14ac:dyDescent="0.3">
      <c r="A715" s="25">
        <v>2025</v>
      </c>
      <c r="B715" s="26" t="s">
        <v>1225</v>
      </c>
      <c r="C715" s="26">
        <f>LN(Inventory[[#This Row],[Acres]])</f>
        <v>-0.69314718055994529</v>
      </c>
      <c r="D715" s="25">
        <v>0.5</v>
      </c>
      <c r="E715" s="32">
        <v>21758</v>
      </c>
      <c r="F715" s="26" t="s">
        <v>537</v>
      </c>
      <c r="G715" s="26" t="s">
        <v>126</v>
      </c>
      <c r="H715" s="26" t="s">
        <v>349</v>
      </c>
      <c r="I715" s="26" t="s">
        <v>538</v>
      </c>
      <c r="J715" s="26" t="s">
        <v>539</v>
      </c>
      <c r="K715" s="26" t="s">
        <v>241</v>
      </c>
      <c r="L715" s="26" t="s">
        <v>148</v>
      </c>
      <c r="M715" s="26" t="s">
        <v>303</v>
      </c>
      <c r="N715" s="26">
        <v>80</v>
      </c>
      <c r="O715" s="26">
        <f>2024-Inventory[[#This Row],[YrBlt]]</f>
        <v>71</v>
      </c>
      <c r="P715" s="26">
        <f>2024-Inventory[[#This Row],[EffYr]]</f>
        <v>51</v>
      </c>
      <c r="Q715" s="25">
        <v>1953</v>
      </c>
      <c r="R715" s="25">
        <v>1973</v>
      </c>
      <c r="S715" s="25">
        <v>1851</v>
      </c>
      <c r="T715" s="27"/>
      <c r="U715" s="32">
        <v>1178</v>
      </c>
      <c r="V715" s="32">
        <f>Inventory[[#This Row],[Bsmt]]-Inventory[[#This Row],[FnBsmt]]</f>
        <v>178</v>
      </c>
      <c r="W715" s="32">
        <v>1000</v>
      </c>
      <c r="X715" s="27"/>
      <c r="Y715" s="27">
        <f>Inventory[[#This Row],[MainFn]]+Inventory[[#This Row],[UpprFn]]+Inventory[[#This Row],[FnBsmt]]+Inventory[[#This Row],[AddFn]]</f>
        <v>2851</v>
      </c>
      <c r="Z715" s="27">
        <v>3000</v>
      </c>
      <c r="AA715" s="25">
        <v>11</v>
      </c>
      <c r="AB715" s="32">
        <v>506</v>
      </c>
      <c r="AC715" s="27"/>
      <c r="AD715" s="32">
        <v>190</v>
      </c>
      <c r="AE715" s="27"/>
      <c r="AF715" s="27"/>
      <c r="AG715" s="27"/>
      <c r="AH715" s="27"/>
      <c r="AI715" s="25">
        <v>569084</v>
      </c>
      <c r="AJ715" s="25">
        <v>404050</v>
      </c>
      <c r="AK715" s="25">
        <v>0</v>
      </c>
      <c r="AL715" s="25">
        <v>447600</v>
      </c>
      <c r="AM715" s="25">
        <v>90400</v>
      </c>
      <c r="AN715" s="25">
        <v>357200</v>
      </c>
      <c r="AO715" s="25">
        <v>0</v>
      </c>
      <c r="AP715" s="25">
        <f>Lookups!$B$56*0</f>
        <v>0</v>
      </c>
      <c r="AQ715" s="25">
        <f>Lookups!$B$56*1</f>
        <v>89850.625589999996</v>
      </c>
      <c r="AR715" s="25">
        <f>Lookups!$B$57*Inventory[[#This Row],[LnAcres]]</f>
        <v>-21941.307652582615</v>
      </c>
      <c r="AS715" s="25">
        <f>VLOOKUP(Inventory[[#This Row],[Qlty]],Lookups!$A$62:$E$75,2,FALSE)</f>
        <v>44121.038090000002</v>
      </c>
      <c r="AT715" s="25">
        <f>VLOOKUP(Inventory[[#This Row],[Cnd]],Lookups!$A$76:$E$84,2,FALSE)</f>
        <v>197752.34721000001</v>
      </c>
      <c r="AU715" s="25">
        <f>Inventory[[#This Row],[EffAge]]*Lookups!$B$85</f>
        <v>-11375.3256255</v>
      </c>
      <c r="AV715" s="25">
        <f>Inventory[[#This Row],[MainFn]]*Lookups!$B$86</f>
        <v>91455.44794232701</v>
      </c>
      <c r="AW715" s="25">
        <f>Inventory[[#This Row],[UpprFn]]*Lookups!$B$87</f>
        <v>0</v>
      </c>
      <c r="AX715" s="25">
        <f>Inventory[[#This Row],[AddFn]]*Lookups!$B$88</f>
        <v>0</v>
      </c>
      <c r="AY715" s="25">
        <f>Inventory[[#This Row],[Bsmt]]*Lookups!$B$89</f>
        <v>34258.472600966001</v>
      </c>
      <c r="AZ715" s="25">
        <f>Inventory[[#This Row],[Fixtures]]*Lookups!$B$90</f>
        <v>41712.243157199999</v>
      </c>
      <c r="BA715" s="25">
        <f>Inventory[[#This Row],[WdDeck]]*Lookups!$B$91</f>
        <v>6326.1479024400005</v>
      </c>
      <c r="BB715" s="25">
        <f>ROUND(Inventory[[#This Row],[25Det]],-2)</f>
        <v>0</v>
      </c>
      <c r="BC715" s="25">
        <f>ROUND(SUM(Inventory[[#This Row],[Mdl Qlty]:[Mdl WdDeck]])+Inventory[[#This Row],[Mdl Res Intercept]],-2)</f>
        <v>404300</v>
      </c>
      <c r="BD715" s="25">
        <f>ROUND(Inventory[[#This Row],[Mdl Land Intercept]]+Inventory[[#This Row],[Mdl LnAcres]],-2)</f>
        <v>67900</v>
      </c>
      <c r="BE715" s="25">
        <f>Inventory[[#This Row],[Unadj Res Value]]+Inventory[[#This Row],[Unadj Det Value]]+Inventory[[#This Row],[Unadj Land Value]]</f>
        <v>472200</v>
      </c>
      <c r="BF715" s="36">
        <f>(Inventory[[#This Row],[Unadj Total Value]]-Inventory[[#This Row],[24Final]])/Inventory[[#This Row],[24Final]]</f>
        <v>5.4959785522788206E-2</v>
      </c>
      <c r="BG715" s="25">
        <f>VLOOKUP(Inventory[[#This Row],[Nbhd]],Lookups!$Q$2:$T$4,4,FALSE)</f>
        <v>0.99970000000000003</v>
      </c>
      <c r="BH715" s="25">
        <f>VLOOKUP(Inventory[[#This Row],[Qlty]],Lookups!$O$7:$R$21,4,FALSE)</f>
        <v>0.98050000000000004</v>
      </c>
      <c r="BI715" s="25">
        <f>VLOOKUP(Inventory[[#This Row],[Cnd]],Lookups!$T$7:$W$16,4,FALSE)</f>
        <v>0.99650000000000005</v>
      </c>
      <c r="BJ715" s="25">
        <f>VLOOKUP(Inventory[[#This Row],[LivArea Range]],Lookups!$T$25:$W$37,4,FALSE)</f>
        <v>0.96179999999999999</v>
      </c>
      <c r="BK715" s="25">
        <f>VLOOKUP(Inventory[[#This Row],[Decade]],Lookups!$O$25:$R$42,4,FALSE)</f>
        <v>0.995</v>
      </c>
      <c r="BL715" s="25">
        <f>Inventory[[#This Row],[Nbhd Adj]]*0.95</f>
        <v>0.94971499999999998</v>
      </c>
      <c r="BM715" s="25">
        <f>Inventory[[#This Row],[Nbhd Adj]]*Inventory[[#This Row],[Quality Adj]]*Inventory[[#This Row],[Condition Adj]]*Inventory[[#This Row],[Living Area Adj]]*Inventory[[#This Row],[Decade Adj]]*0.95</f>
        <v>0.88802675758029637</v>
      </c>
      <c r="BN715" s="25">
        <f>ROUND(SUM(Inventory[[#This Row],[Mdl Qlty]:[Mdl WdDeck]])+Inventory[[#This Row],[Mdl Res Intercept]]*Inventory[[#This Row],[Res Adj ]],-2)</f>
        <v>404300</v>
      </c>
      <c r="BO715" s="25">
        <f>ROUND(Inventory[[#This Row],[25Det]]*Inventory[[#This Row],[Det/Nbhd Adj]],-2)</f>
        <v>0</v>
      </c>
      <c r="BP715" s="25">
        <f>Inventory[[#This Row],[Adjusted Res]]+Inventory[[#This Row],[Adj Det ]]</f>
        <v>404300</v>
      </c>
      <c r="BQ715" s="25">
        <f>ROUND((Inventory[[#This Row],[Mdl Land Intercept]]+Inventory[[#This Row],[Mdl LnAcres]])*Inventory[[#This Row],[Det/Nbhd Adj]],-2)</f>
        <v>64500</v>
      </c>
      <c r="BR715" s="25">
        <f>Inventory[[#This Row],[Adjusted Impr Total]]+Inventory[[#This Row],[Adjusted Land Total]]</f>
        <v>468800</v>
      </c>
      <c r="BS715" s="36">
        <f>IFERROR((Inventory[[#This Row],[Adjusted Impr Total]]-Inventory[[#This Row],[24Bldg]])/Inventory[[#This Row],[24Bldg]],0)</f>
        <v>0.13185890257558791</v>
      </c>
      <c r="BT715" s="36">
        <f>(Inventory[[#This Row],[Adjusted Land Total]]-Inventory[[#This Row],[24Lnd]])/Inventory[[#This Row],[24Lnd]]</f>
        <v>-0.28650442477876104</v>
      </c>
      <c r="BU715" s="36">
        <f>(Inventory[[#This Row],[Adjusted Total]]-Inventory[[#This Row],[24Final]])/Inventory[[#This Row],[24Final]]</f>
        <v>4.736371760500447E-2</v>
      </c>
    </row>
    <row r="716" spans="1:73" x14ac:dyDescent="0.3">
      <c r="A716" s="25">
        <v>2025</v>
      </c>
      <c r="B716" s="26" t="s">
        <v>2116</v>
      </c>
      <c r="C716" s="26">
        <f>LN(Inventory[[#This Row],[Acres]])</f>
        <v>-1.7719568419318752</v>
      </c>
      <c r="D716" s="25">
        <v>0.17</v>
      </c>
      <c r="E716" s="32">
        <v>7479</v>
      </c>
      <c r="F716" s="26" t="s">
        <v>537</v>
      </c>
      <c r="G716" s="26" t="s">
        <v>126</v>
      </c>
      <c r="H716" s="26" t="s">
        <v>349</v>
      </c>
      <c r="I716" s="26" t="s">
        <v>538</v>
      </c>
      <c r="J716" s="26" t="s">
        <v>539</v>
      </c>
      <c r="K716" s="26" t="s">
        <v>241</v>
      </c>
      <c r="L716" s="26" t="s">
        <v>148</v>
      </c>
      <c r="M716" s="26" t="s">
        <v>323</v>
      </c>
      <c r="N716" s="26">
        <v>80</v>
      </c>
      <c r="O716" s="26">
        <f>2024-Inventory[[#This Row],[YrBlt]]</f>
        <v>71</v>
      </c>
      <c r="P716" s="26">
        <f>2024-Inventory[[#This Row],[EffYr]]</f>
        <v>51</v>
      </c>
      <c r="Q716" s="25">
        <v>1953</v>
      </c>
      <c r="R716" s="25">
        <v>1973</v>
      </c>
      <c r="S716" s="25">
        <v>1202</v>
      </c>
      <c r="T716" s="27"/>
      <c r="U716" s="31"/>
      <c r="V716" s="31">
        <f>Inventory[[#This Row],[Bsmt]]-Inventory[[#This Row],[FnBsmt]]</f>
        <v>0</v>
      </c>
      <c r="W716" s="31"/>
      <c r="X716" s="27"/>
      <c r="Y716" s="27">
        <f>Inventory[[#This Row],[MainFn]]+Inventory[[#This Row],[UpprFn]]+Inventory[[#This Row],[FnBsmt]]+Inventory[[#This Row],[AddFn]]</f>
        <v>1202</v>
      </c>
      <c r="Z716" s="27">
        <v>1500</v>
      </c>
      <c r="AA716" s="25">
        <v>7</v>
      </c>
      <c r="AB716" s="25">
        <v>242</v>
      </c>
      <c r="AC716" s="27"/>
      <c r="AD716" s="27"/>
      <c r="AE716" s="27"/>
      <c r="AF716" s="27"/>
      <c r="AG716" s="27"/>
      <c r="AH716" s="27"/>
      <c r="AI716" s="25">
        <v>301480</v>
      </c>
      <c r="AJ716" s="25">
        <v>208021</v>
      </c>
      <c r="AK716" s="25">
        <v>0</v>
      </c>
      <c r="AL716" s="25">
        <v>297800</v>
      </c>
      <c r="AM716" s="25">
        <v>52700</v>
      </c>
      <c r="AN716" s="25">
        <v>245100</v>
      </c>
      <c r="AO716" s="25">
        <v>0</v>
      </c>
      <c r="AP716" s="25">
        <f>Lookups!$B$56*0</f>
        <v>0</v>
      </c>
      <c r="AQ716" s="25">
        <f>Lookups!$B$56*1</f>
        <v>89850.625589999996</v>
      </c>
      <c r="AR716" s="25">
        <f>Lookups!$B$57*Inventory[[#This Row],[LnAcres]]</f>
        <v>-56090.612940989391</v>
      </c>
      <c r="AS716" s="25">
        <f>VLOOKUP(Inventory[[#This Row],[Qlty]],Lookups!$A$62:$E$75,2,FALSE)</f>
        <v>44121.038090000002</v>
      </c>
      <c r="AT716" s="25">
        <f>VLOOKUP(Inventory[[#This Row],[Cnd]],Lookups!$A$76:$E$84,2,FALSE)</f>
        <v>160472.20319</v>
      </c>
      <c r="AU716" s="25">
        <f>Inventory[[#This Row],[EffAge]]*Lookups!$B$85</f>
        <v>-11375.3256255</v>
      </c>
      <c r="AV716" s="25">
        <f>Inventory[[#This Row],[MainFn]]*Lookups!$B$86</f>
        <v>59389.221192154</v>
      </c>
      <c r="AW716" s="25">
        <f>Inventory[[#This Row],[UpprFn]]*Lookups!$B$87</f>
        <v>0</v>
      </c>
      <c r="AX716" s="25">
        <f>Inventory[[#This Row],[AddFn]]*Lookups!$B$88</f>
        <v>0</v>
      </c>
      <c r="AY716" s="25">
        <f>Inventory[[#This Row],[Bsmt]]*Lookups!$B$89</f>
        <v>0</v>
      </c>
      <c r="AZ716" s="25">
        <f>Inventory[[#This Row],[Fixtures]]*Lookups!$B$90</f>
        <v>26544.1547364</v>
      </c>
      <c r="BA716" s="25">
        <f>Inventory[[#This Row],[WdDeck]]*Lookups!$B$91</f>
        <v>0</v>
      </c>
      <c r="BB716" s="25">
        <f>ROUND(Inventory[[#This Row],[25Det]],-2)</f>
        <v>0</v>
      </c>
      <c r="BC716" s="25">
        <f>ROUND(SUM(Inventory[[#This Row],[Mdl Qlty]:[Mdl WdDeck]])+Inventory[[#This Row],[Mdl Res Intercept]],-2)</f>
        <v>279200</v>
      </c>
      <c r="BD716" s="25">
        <f>ROUND(Inventory[[#This Row],[Mdl Land Intercept]]+Inventory[[#This Row],[Mdl LnAcres]],-2)</f>
        <v>33800</v>
      </c>
      <c r="BE716" s="25">
        <f>Inventory[[#This Row],[Unadj Res Value]]+Inventory[[#This Row],[Unadj Det Value]]+Inventory[[#This Row],[Unadj Land Value]]</f>
        <v>313000</v>
      </c>
      <c r="BF716" s="36">
        <f>(Inventory[[#This Row],[Unadj Total Value]]-Inventory[[#This Row],[24Final]])/Inventory[[#This Row],[24Final]]</f>
        <v>5.104096709200806E-2</v>
      </c>
      <c r="BG716" s="25">
        <f>VLOOKUP(Inventory[[#This Row],[Nbhd]],Lookups!$Q$2:$T$4,4,FALSE)</f>
        <v>0.99970000000000003</v>
      </c>
      <c r="BH716" s="25">
        <f>VLOOKUP(Inventory[[#This Row],[Qlty]],Lookups!$O$7:$R$21,4,FALSE)</f>
        <v>0.98050000000000004</v>
      </c>
      <c r="BI716" s="25">
        <f>VLOOKUP(Inventory[[#This Row],[Cnd]],Lookups!$T$7:$W$16,4,FALSE)</f>
        <v>0.99729999999999996</v>
      </c>
      <c r="BJ716" s="25">
        <f>VLOOKUP(Inventory[[#This Row],[LivArea Range]],Lookups!$T$25:$W$37,4,FALSE)</f>
        <v>1.0157</v>
      </c>
      <c r="BK716" s="25">
        <f>VLOOKUP(Inventory[[#This Row],[Decade]],Lookups!$O$25:$R$42,4,FALSE)</f>
        <v>0.995</v>
      </c>
      <c r="BL716" s="25">
        <f>Inventory[[#This Row],[Nbhd Adj]]*0.95</f>
        <v>0.94971499999999998</v>
      </c>
      <c r="BM716" s="25">
        <f>Inventory[[#This Row],[Nbhd Adj]]*Inventory[[#This Row],[Quality Adj]]*Inventory[[#This Row],[Condition Adj]]*Inventory[[#This Row],[Living Area Adj]]*Inventory[[#This Row],[Decade Adj]]*0.95</f>
        <v>0.93854531823597842</v>
      </c>
      <c r="BN716" s="25">
        <f>ROUND(SUM(Inventory[[#This Row],[Mdl Qlty]:[Mdl WdDeck]])+Inventory[[#This Row],[Mdl Res Intercept]]*Inventory[[#This Row],[Res Adj ]],-2)</f>
        <v>279200</v>
      </c>
      <c r="BO716" s="25">
        <f>ROUND(Inventory[[#This Row],[25Det]]*Inventory[[#This Row],[Det/Nbhd Adj]],-2)</f>
        <v>0</v>
      </c>
      <c r="BP716" s="25">
        <f>Inventory[[#This Row],[Adjusted Res]]+Inventory[[#This Row],[Adj Det ]]</f>
        <v>279200</v>
      </c>
      <c r="BQ716" s="25">
        <f>ROUND((Inventory[[#This Row],[Mdl Land Intercept]]+Inventory[[#This Row],[Mdl LnAcres]])*Inventory[[#This Row],[Det/Nbhd Adj]],-2)</f>
        <v>32100</v>
      </c>
      <c r="BR716" s="25">
        <f>Inventory[[#This Row],[Adjusted Impr Total]]+Inventory[[#This Row],[Adjusted Land Total]]</f>
        <v>311300</v>
      </c>
      <c r="BS716" s="36">
        <f>IFERROR((Inventory[[#This Row],[Adjusted Impr Total]]-Inventory[[#This Row],[24Bldg]])/Inventory[[#This Row],[24Bldg]],0)</f>
        <v>0.13912688698490411</v>
      </c>
      <c r="BT716" s="36">
        <f>(Inventory[[#This Row],[Adjusted Land Total]]-Inventory[[#This Row],[24Lnd]])/Inventory[[#This Row],[24Lnd]]</f>
        <v>-0.39089184060721061</v>
      </c>
      <c r="BU716" s="36">
        <f>(Inventory[[#This Row],[Adjusted Total]]-Inventory[[#This Row],[24Final]])/Inventory[[#This Row],[24Final]]</f>
        <v>4.5332437877770318E-2</v>
      </c>
    </row>
    <row r="717" spans="1:73" x14ac:dyDescent="0.3">
      <c r="A717" s="25">
        <v>2025</v>
      </c>
      <c r="B717" s="26" t="s">
        <v>1203</v>
      </c>
      <c r="C717" s="26">
        <f>LN(Inventory[[#This Row],[Acres]])</f>
        <v>-1.4271163556401458</v>
      </c>
      <c r="D717" s="25">
        <v>0.24</v>
      </c>
      <c r="E717" s="32">
        <v>10500</v>
      </c>
      <c r="F717" s="26" t="s">
        <v>537</v>
      </c>
      <c r="G717" s="26" t="s">
        <v>126</v>
      </c>
      <c r="H717" s="26" t="s">
        <v>349</v>
      </c>
      <c r="I717" s="26" t="s">
        <v>538</v>
      </c>
      <c r="J717" s="26" t="s">
        <v>539</v>
      </c>
      <c r="K717" s="26" t="s">
        <v>242</v>
      </c>
      <c r="L717" s="26" t="s">
        <v>351</v>
      </c>
      <c r="M717" s="26" t="s">
        <v>323</v>
      </c>
      <c r="N717" s="26">
        <v>80</v>
      </c>
      <c r="O717" s="26">
        <f>2024-Inventory[[#This Row],[YrBlt]]</f>
        <v>71</v>
      </c>
      <c r="P717" s="26">
        <f>2024-Inventory[[#This Row],[EffYr]]</f>
        <v>51</v>
      </c>
      <c r="Q717" s="25">
        <v>1953</v>
      </c>
      <c r="R717" s="25">
        <v>1973</v>
      </c>
      <c r="S717" s="25">
        <v>1072</v>
      </c>
      <c r="T717" s="31"/>
      <c r="U717" s="25">
        <v>988</v>
      </c>
      <c r="V717" s="25">
        <f>Inventory[[#This Row],[Bsmt]]-Inventory[[#This Row],[FnBsmt]]</f>
        <v>188</v>
      </c>
      <c r="W717" s="25">
        <v>800</v>
      </c>
      <c r="X717" s="27"/>
      <c r="Y717" s="27">
        <f>Inventory[[#This Row],[MainFn]]+Inventory[[#This Row],[UpprFn]]+Inventory[[#This Row],[FnBsmt]]+Inventory[[#This Row],[AddFn]]</f>
        <v>1872</v>
      </c>
      <c r="Z717" s="27">
        <v>2000</v>
      </c>
      <c r="AA717" s="25">
        <v>9</v>
      </c>
      <c r="AB717" s="27"/>
      <c r="AC717" s="27"/>
      <c r="AD717" s="27"/>
      <c r="AE717" s="27"/>
      <c r="AF717" s="27"/>
      <c r="AG717" s="27"/>
      <c r="AH717" s="27"/>
      <c r="AI717" s="25">
        <v>280342</v>
      </c>
      <c r="AJ717" s="25">
        <v>193436</v>
      </c>
      <c r="AK717" s="25">
        <v>8896</v>
      </c>
      <c r="AL717" s="25">
        <v>334400</v>
      </c>
      <c r="AM717" s="25">
        <v>64800</v>
      </c>
      <c r="AN717" s="25">
        <v>269600</v>
      </c>
      <c r="AO717" s="25">
        <v>0</v>
      </c>
      <c r="AP717" s="25">
        <f>Lookups!$B$56*0</f>
        <v>0</v>
      </c>
      <c r="AQ717" s="25">
        <f>Lookups!$B$56*1</f>
        <v>89850.625589999996</v>
      </c>
      <c r="AR717" s="25">
        <f>Lookups!$B$57*Inventory[[#This Row],[LnAcres]]</f>
        <v>-45174.819855485119</v>
      </c>
      <c r="AS717" s="25">
        <f>VLOOKUP(Inventory[[#This Row],[Qlty]],Lookups!$A$62:$E$75,2,FALSE)</f>
        <v>21557.329055999999</v>
      </c>
      <c r="AT717" s="25">
        <f>VLOOKUP(Inventory[[#This Row],[Cnd]],Lookups!$A$76:$E$84,2,FALSE)</f>
        <v>160472.20319</v>
      </c>
      <c r="AU717" s="25">
        <f>Inventory[[#This Row],[EffAge]]*Lookups!$B$85</f>
        <v>-11375.3256255</v>
      </c>
      <c r="AV717" s="25">
        <f>Inventory[[#This Row],[MainFn]]*Lookups!$B$86</f>
        <v>52966.094108144003</v>
      </c>
      <c r="AW717" s="25">
        <f>Inventory[[#This Row],[UpprFn]]*Lookups!$B$87</f>
        <v>0</v>
      </c>
      <c r="AX717" s="25">
        <f>Inventory[[#This Row],[AddFn]]*Lookups!$B$88</f>
        <v>0</v>
      </c>
      <c r="AY717" s="25">
        <f>Inventory[[#This Row],[Bsmt]]*Lookups!$B$89</f>
        <v>28732.912504035998</v>
      </c>
      <c r="AZ717" s="25">
        <f>Inventory[[#This Row],[Fixtures]]*Lookups!$B$90</f>
        <v>34128.198946800003</v>
      </c>
      <c r="BA717" s="25">
        <f>Inventory[[#This Row],[WdDeck]]*Lookups!$B$91</f>
        <v>0</v>
      </c>
      <c r="BB717" s="25">
        <f>ROUND(Inventory[[#This Row],[25Det]],-2)</f>
        <v>8900</v>
      </c>
      <c r="BC717" s="25">
        <f>ROUND(SUM(Inventory[[#This Row],[Mdl Qlty]:[Mdl WdDeck]])+Inventory[[#This Row],[Mdl Res Intercept]],-2)</f>
        <v>286500</v>
      </c>
      <c r="BD717" s="25">
        <f>ROUND(Inventory[[#This Row],[Mdl Land Intercept]]+Inventory[[#This Row],[Mdl LnAcres]],-2)</f>
        <v>44700</v>
      </c>
      <c r="BE717" s="25">
        <f>Inventory[[#This Row],[Unadj Res Value]]+Inventory[[#This Row],[Unadj Det Value]]+Inventory[[#This Row],[Unadj Land Value]]</f>
        <v>340100</v>
      </c>
      <c r="BF717" s="36">
        <f>(Inventory[[#This Row],[Unadj Total Value]]-Inventory[[#This Row],[24Final]])/Inventory[[#This Row],[24Final]]</f>
        <v>1.7045454545454544E-2</v>
      </c>
      <c r="BG717" s="25">
        <f>VLOOKUP(Inventory[[#This Row],[Nbhd]],Lookups!$Q$2:$T$4,4,FALSE)</f>
        <v>0.99970000000000003</v>
      </c>
      <c r="BH717" s="25">
        <f>VLOOKUP(Inventory[[#This Row],[Qlty]],Lookups!$O$7:$R$21,4,FALSE)</f>
        <v>1.0067999999999999</v>
      </c>
      <c r="BI717" s="25">
        <f>VLOOKUP(Inventory[[#This Row],[Cnd]],Lookups!$T$7:$W$16,4,FALSE)</f>
        <v>0.99729999999999996</v>
      </c>
      <c r="BJ717" s="25">
        <f>VLOOKUP(Inventory[[#This Row],[LivArea Range]],Lookups!$T$25:$W$37,4,FALSE)</f>
        <v>1.0093000000000001</v>
      </c>
      <c r="BK717" s="25">
        <f>VLOOKUP(Inventory[[#This Row],[Decade]],Lookups!$O$25:$R$42,4,FALSE)</f>
        <v>0.995</v>
      </c>
      <c r="BL717" s="25">
        <f>Inventory[[#This Row],[Nbhd Adj]]*0.95</f>
        <v>0.94971499999999998</v>
      </c>
      <c r="BM717" s="25">
        <f>Inventory[[#This Row],[Nbhd Adj]]*Inventory[[#This Row],[Quality Adj]]*Inventory[[#This Row],[Condition Adj]]*Inventory[[#This Row],[Living Area Adj]]*Inventory[[#This Row],[Decade Adj]]*0.95</f>
        <v>0.957647495730095</v>
      </c>
      <c r="BN717" s="25">
        <f>ROUND(SUM(Inventory[[#This Row],[Mdl Qlty]:[Mdl WdDeck]])+Inventory[[#This Row],[Mdl Res Intercept]]*Inventory[[#This Row],[Res Adj ]],-2)</f>
        <v>286500</v>
      </c>
      <c r="BO717" s="25">
        <f>ROUND(Inventory[[#This Row],[25Det]]*Inventory[[#This Row],[Det/Nbhd Adj]],-2)</f>
        <v>8400</v>
      </c>
      <c r="BP717" s="25">
        <f>Inventory[[#This Row],[Adjusted Res]]+Inventory[[#This Row],[Adj Det ]]</f>
        <v>294900</v>
      </c>
      <c r="BQ717" s="25">
        <f>ROUND((Inventory[[#This Row],[Mdl Land Intercept]]+Inventory[[#This Row],[Mdl LnAcres]])*Inventory[[#This Row],[Det/Nbhd Adj]],-2)</f>
        <v>42400</v>
      </c>
      <c r="BR717" s="25">
        <f>Inventory[[#This Row],[Adjusted Impr Total]]+Inventory[[#This Row],[Adjusted Land Total]]</f>
        <v>337300</v>
      </c>
      <c r="BS717" s="36">
        <f>IFERROR((Inventory[[#This Row],[Adjusted Impr Total]]-Inventory[[#This Row],[24Bldg]])/Inventory[[#This Row],[24Bldg]],0)</f>
        <v>9.3842729970326416E-2</v>
      </c>
      <c r="BT717" s="36">
        <f>(Inventory[[#This Row],[Adjusted Land Total]]-Inventory[[#This Row],[24Lnd]])/Inventory[[#This Row],[24Lnd]]</f>
        <v>-0.34567901234567899</v>
      </c>
      <c r="BU717" s="36">
        <f>(Inventory[[#This Row],[Adjusted Total]]-Inventory[[#This Row],[24Final]])/Inventory[[#This Row],[24Final]]</f>
        <v>8.6722488038277513E-3</v>
      </c>
    </row>
    <row r="718" spans="1:73" x14ac:dyDescent="0.3">
      <c r="A718" s="25">
        <v>2025</v>
      </c>
      <c r="B718" s="26" t="s">
        <v>1494</v>
      </c>
      <c r="C718" s="26">
        <f>LN(Inventory[[#This Row],[Acres]])</f>
        <v>-1.2039728043259361</v>
      </c>
      <c r="D718" s="25">
        <v>0.3</v>
      </c>
      <c r="E718" s="32">
        <v>13120</v>
      </c>
      <c r="F718" s="26" t="s">
        <v>537</v>
      </c>
      <c r="G718" s="26" t="s">
        <v>126</v>
      </c>
      <c r="H718" s="26" t="s">
        <v>349</v>
      </c>
      <c r="I718" s="26" t="s">
        <v>538</v>
      </c>
      <c r="J718" s="26" t="s">
        <v>539</v>
      </c>
      <c r="K718" s="26" t="s">
        <v>241</v>
      </c>
      <c r="L718" s="26" t="s">
        <v>351</v>
      </c>
      <c r="M718" s="26" t="s">
        <v>323</v>
      </c>
      <c r="N718" s="26">
        <v>80</v>
      </c>
      <c r="O718" s="26">
        <f>2024-Inventory[[#This Row],[YrBlt]]</f>
        <v>71</v>
      </c>
      <c r="P718" s="26">
        <f>2024-Inventory[[#This Row],[EffYr]]</f>
        <v>51</v>
      </c>
      <c r="Q718" s="25">
        <v>1953</v>
      </c>
      <c r="R718" s="25">
        <v>1973</v>
      </c>
      <c r="S718" s="25">
        <v>1606</v>
      </c>
      <c r="T718" s="27"/>
      <c r="U718" s="25">
        <v>1606</v>
      </c>
      <c r="V718" s="25">
        <f>Inventory[[#This Row],[Bsmt]]-Inventory[[#This Row],[FnBsmt]]</f>
        <v>406</v>
      </c>
      <c r="W718" s="25">
        <v>1200</v>
      </c>
      <c r="X718" s="27"/>
      <c r="Y718" s="27">
        <f>Inventory[[#This Row],[MainFn]]+Inventory[[#This Row],[UpprFn]]+Inventory[[#This Row],[FnBsmt]]+Inventory[[#This Row],[AddFn]]</f>
        <v>2806</v>
      </c>
      <c r="Z718" s="27">
        <v>3000</v>
      </c>
      <c r="AA718" s="25">
        <v>10</v>
      </c>
      <c r="AB718" s="31"/>
      <c r="AC718" s="27"/>
      <c r="AD718" s="27"/>
      <c r="AE718" s="27"/>
      <c r="AF718" s="27"/>
      <c r="AG718" s="27"/>
      <c r="AH718" s="27"/>
      <c r="AI718" s="25">
        <v>386860</v>
      </c>
      <c r="AJ718" s="25">
        <v>266933</v>
      </c>
      <c r="AK718" s="25">
        <v>10934</v>
      </c>
      <c r="AL718" s="25">
        <v>394200</v>
      </c>
      <c r="AM718" s="25">
        <v>72500</v>
      </c>
      <c r="AN718" s="25">
        <v>321700</v>
      </c>
      <c r="AO718" s="25">
        <v>0</v>
      </c>
      <c r="AP718" s="25">
        <f>Lookups!$B$56*0</f>
        <v>0</v>
      </c>
      <c r="AQ718" s="25">
        <f>Lookups!$B$56*1</f>
        <v>89850.625589999996</v>
      </c>
      <c r="AR718" s="25">
        <f>Lookups!$B$57*Inventory[[#This Row],[LnAcres]]</f>
        <v>-38111.29648355169</v>
      </c>
      <c r="AS718" s="25">
        <f>VLOOKUP(Inventory[[#This Row],[Qlty]],Lookups!$A$62:$E$75,2,FALSE)</f>
        <v>21557.329055999999</v>
      </c>
      <c r="AT718" s="25">
        <f>VLOOKUP(Inventory[[#This Row],[Cnd]],Lookups!$A$76:$E$84,2,FALSE)</f>
        <v>160472.20319</v>
      </c>
      <c r="AU718" s="25">
        <f>Inventory[[#This Row],[EffAge]]*Lookups!$B$85</f>
        <v>-11375.3256255</v>
      </c>
      <c r="AV718" s="25">
        <f>Inventory[[#This Row],[MainFn]]*Lookups!$B$86</f>
        <v>79350.323822462</v>
      </c>
      <c r="AW718" s="25">
        <f>Inventory[[#This Row],[UpprFn]]*Lookups!$B$87</f>
        <v>0</v>
      </c>
      <c r="AX718" s="25">
        <f>Inventory[[#This Row],[AddFn]]*Lookups!$B$88</f>
        <v>0</v>
      </c>
      <c r="AY718" s="25">
        <f>Inventory[[#This Row],[Bsmt]]*Lookups!$B$89</f>
        <v>46705.523766681996</v>
      </c>
      <c r="AZ718" s="25">
        <f>Inventory[[#This Row],[Fixtures]]*Lookups!$B$90</f>
        <v>37920.221052000001</v>
      </c>
      <c r="BA718" s="25">
        <f>Inventory[[#This Row],[WdDeck]]*Lookups!$B$91</f>
        <v>0</v>
      </c>
      <c r="BB718" s="25">
        <f>ROUND(Inventory[[#This Row],[25Det]],-2)</f>
        <v>10900</v>
      </c>
      <c r="BC718" s="25">
        <f>ROUND(SUM(Inventory[[#This Row],[Mdl Qlty]:[Mdl WdDeck]])+Inventory[[#This Row],[Mdl Res Intercept]],-2)</f>
        <v>334600</v>
      </c>
      <c r="BD718" s="25">
        <f>ROUND(Inventory[[#This Row],[Mdl Land Intercept]]+Inventory[[#This Row],[Mdl LnAcres]],-2)</f>
        <v>51700</v>
      </c>
      <c r="BE718" s="25">
        <f>Inventory[[#This Row],[Unadj Res Value]]+Inventory[[#This Row],[Unadj Det Value]]+Inventory[[#This Row],[Unadj Land Value]]</f>
        <v>397200</v>
      </c>
      <c r="BF718" s="36">
        <f>(Inventory[[#This Row],[Unadj Total Value]]-Inventory[[#This Row],[24Final]])/Inventory[[#This Row],[24Final]]</f>
        <v>7.6103500761035003E-3</v>
      </c>
      <c r="BG718" s="25">
        <f>VLOOKUP(Inventory[[#This Row],[Nbhd]],Lookups!$Q$2:$T$4,4,FALSE)</f>
        <v>0.99970000000000003</v>
      </c>
      <c r="BH718" s="25">
        <f>VLOOKUP(Inventory[[#This Row],[Qlty]],Lookups!$O$7:$R$21,4,FALSE)</f>
        <v>1.0067999999999999</v>
      </c>
      <c r="BI718" s="25">
        <f>VLOOKUP(Inventory[[#This Row],[Cnd]],Lookups!$T$7:$W$16,4,FALSE)</f>
        <v>0.99729999999999996</v>
      </c>
      <c r="BJ718" s="25">
        <f>VLOOKUP(Inventory[[#This Row],[LivArea Range]],Lookups!$T$25:$W$37,4,FALSE)</f>
        <v>0.96179999999999999</v>
      </c>
      <c r="BK718" s="25">
        <f>VLOOKUP(Inventory[[#This Row],[Decade]],Lookups!$O$25:$R$42,4,FALSE)</f>
        <v>0.995</v>
      </c>
      <c r="BL718" s="25">
        <f>Inventory[[#This Row],[Nbhd Adj]]*0.95</f>
        <v>0.94971499999999998</v>
      </c>
      <c r="BM718" s="25">
        <f>Inventory[[#This Row],[Nbhd Adj]]*Inventory[[#This Row],[Quality Adj]]*Inventory[[#This Row],[Condition Adj]]*Inventory[[#This Row],[Living Area Adj]]*Inventory[[#This Row],[Decade Adj]]*0.95</f>
        <v>0.91257838243654554</v>
      </c>
      <c r="BN718" s="25">
        <f>ROUND(SUM(Inventory[[#This Row],[Mdl Qlty]:[Mdl WdDeck]])+Inventory[[#This Row],[Mdl Res Intercept]]*Inventory[[#This Row],[Res Adj ]],-2)</f>
        <v>334600</v>
      </c>
      <c r="BO718" s="25">
        <f>ROUND(Inventory[[#This Row],[25Det]]*Inventory[[#This Row],[Det/Nbhd Adj]],-2)</f>
        <v>10400</v>
      </c>
      <c r="BP718" s="25">
        <f>Inventory[[#This Row],[Adjusted Res]]+Inventory[[#This Row],[Adj Det ]]</f>
        <v>345000</v>
      </c>
      <c r="BQ718" s="25">
        <f>ROUND((Inventory[[#This Row],[Mdl Land Intercept]]+Inventory[[#This Row],[Mdl LnAcres]])*Inventory[[#This Row],[Det/Nbhd Adj]],-2)</f>
        <v>49100</v>
      </c>
      <c r="BR718" s="25">
        <f>Inventory[[#This Row],[Adjusted Impr Total]]+Inventory[[#This Row],[Adjusted Land Total]]</f>
        <v>394100</v>
      </c>
      <c r="BS718" s="36">
        <f>IFERROR((Inventory[[#This Row],[Adjusted Impr Total]]-Inventory[[#This Row],[24Bldg]])/Inventory[[#This Row],[24Bldg]],0)</f>
        <v>7.2427727696611752E-2</v>
      </c>
      <c r="BT718" s="36">
        <f>(Inventory[[#This Row],[Adjusted Land Total]]-Inventory[[#This Row],[24Lnd]])/Inventory[[#This Row],[24Lnd]]</f>
        <v>-0.32275862068965516</v>
      </c>
      <c r="BU718" s="36">
        <f>(Inventory[[#This Row],[Adjusted Total]]-Inventory[[#This Row],[24Final]])/Inventory[[#This Row],[24Final]]</f>
        <v>-2.5367833587011668E-4</v>
      </c>
    </row>
    <row r="719" spans="1:73" x14ac:dyDescent="0.3">
      <c r="A719" s="25">
        <v>2025</v>
      </c>
      <c r="B719" s="26" t="s">
        <v>2698</v>
      </c>
      <c r="C719" s="26">
        <f>LN(Inventory[[#This Row],[Acres]])</f>
        <v>-1.5141277326297755</v>
      </c>
      <c r="D719" s="25">
        <v>0.22</v>
      </c>
      <c r="E719" s="27"/>
      <c r="F719" s="26" t="s">
        <v>537</v>
      </c>
      <c r="G719" s="26" t="s">
        <v>126</v>
      </c>
      <c r="H719" s="26" t="s">
        <v>349</v>
      </c>
      <c r="I719" s="26" t="s">
        <v>538</v>
      </c>
      <c r="J719" s="26" t="s">
        <v>539</v>
      </c>
      <c r="K719" s="26" t="s">
        <v>241</v>
      </c>
      <c r="L719" s="26" t="s">
        <v>148</v>
      </c>
      <c r="M719" s="26" t="s">
        <v>323</v>
      </c>
      <c r="N719" s="26">
        <v>80</v>
      </c>
      <c r="O719" s="26">
        <f>2024-Inventory[[#This Row],[YrBlt]]</f>
        <v>71</v>
      </c>
      <c r="P719" s="26">
        <f>2024-Inventory[[#This Row],[EffYr]]</f>
        <v>51</v>
      </c>
      <c r="Q719" s="25">
        <v>1953</v>
      </c>
      <c r="R719" s="25">
        <v>1973</v>
      </c>
      <c r="S719" s="25">
        <v>1155</v>
      </c>
      <c r="T719" s="31"/>
      <c r="U719" s="25">
        <v>1155</v>
      </c>
      <c r="V719" s="25">
        <f>Inventory[[#This Row],[Bsmt]]-Inventory[[#This Row],[FnBsmt]]</f>
        <v>0</v>
      </c>
      <c r="W719" s="25">
        <v>1155</v>
      </c>
      <c r="X719" s="27"/>
      <c r="Y719" s="27">
        <f>Inventory[[#This Row],[MainFn]]+Inventory[[#This Row],[UpprFn]]+Inventory[[#This Row],[FnBsmt]]+Inventory[[#This Row],[AddFn]]</f>
        <v>2310</v>
      </c>
      <c r="Z719" s="27">
        <v>2500</v>
      </c>
      <c r="AA719" s="25">
        <v>9</v>
      </c>
      <c r="AB719" s="27"/>
      <c r="AC719" s="27"/>
      <c r="AD719" s="27"/>
      <c r="AE719" s="27"/>
      <c r="AF719" s="27"/>
      <c r="AG719" s="27"/>
      <c r="AH719" s="27"/>
      <c r="AI719" s="25">
        <v>414234</v>
      </c>
      <c r="AJ719" s="25">
        <v>285821</v>
      </c>
      <c r="AK719" s="25">
        <v>11658</v>
      </c>
      <c r="AL719" s="25">
        <v>372000</v>
      </c>
      <c r="AM719" s="25">
        <v>61700</v>
      </c>
      <c r="AN719" s="25">
        <v>310300</v>
      </c>
      <c r="AO719" s="25">
        <v>0</v>
      </c>
      <c r="AP719" s="25">
        <f>Lookups!$B$56*0</f>
        <v>0</v>
      </c>
      <c r="AQ719" s="25">
        <f>Lookups!$B$56*1</f>
        <v>89850.625589999996</v>
      </c>
      <c r="AR719" s="25">
        <f>Lookups!$B$57*Inventory[[#This Row],[LnAcres]]</f>
        <v>-47929.131559187132</v>
      </c>
      <c r="AS719" s="25">
        <f>VLOOKUP(Inventory[[#This Row],[Qlty]],Lookups!$A$62:$E$75,2,FALSE)</f>
        <v>44121.038090000002</v>
      </c>
      <c r="AT719" s="25">
        <f>VLOOKUP(Inventory[[#This Row],[Cnd]],Lookups!$A$76:$E$84,2,FALSE)</f>
        <v>160472.20319</v>
      </c>
      <c r="AU719" s="25">
        <f>Inventory[[#This Row],[EffAge]]*Lookups!$B$85</f>
        <v>-11375.3256255</v>
      </c>
      <c r="AV719" s="25">
        <f>Inventory[[#This Row],[MainFn]]*Lookups!$B$86</f>
        <v>57067.013707935002</v>
      </c>
      <c r="AW719" s="25">
        <f>Inventory[[#This Row],[UpprFn]]*Lookups!$B$87</f>
        <v>0</v>
      </c>
      <c r="AX719" s="25">
        <f>Inventory[[#This Row],[AddFn]]*Lookups!$B$88</f>
        <v>0</v>
      </c>
      <c r="AY719" s="25">
        <f>Inventory[[#This Row],[Bsmt]]*Lookups!$B$89</f>
        <v>33589.589010284995</v>
      </c>
      <c r="AZ719" s="25">
        <f>Inventory[[#This Row],[Fixtures]]*Lookups!$B$90</f>
        <v>34128.198946800003</v>
      </c>
      <c r="BA719" s="25">
        <f>Inventory[[#This Row],[WdDeck]]*Lookups!$B$91</f>
        <v>0</v>
      </c>
      <c r="BB719" s="25">
        <f>ROUND(Inventory[[#This Row],[25Det]],-2)</f>
        <v>11700</v>
      </c>
      <c r="BC719" s="25">
        <f>ROUND(SUM(Inventory[[#This Row],[Mdl Qlty]:[Mdl WdDeck]])+Inventory[[#This Row],[Mdl Res Intercept]],-2)</f>
        <v>318000</v>
      </c>
      <c r="BD719" s="25">
        <f>ROUND(Inventory[[#This Row],[Mdl Land Intercept]]+Inventory[[#This Row],[Mdl LnAcres]],-2)</f>
        <v>41900</v>
      </c>
      <c r="BE719" s="25">
        <f>Inventory[[#This Row],[Unadj Res Value]]+Inventory[[#This Row],[Unadj Det Value]]+Inventory[[#This Row],[Unadj Land Value]]</f>
        <v>371600</v>
      </c>
      <c r="BF719" s="36">
        <f>(Inventory[[#This Row],[Unadj Total Value]]-Inventory[[#This Row],[24Final]])/Inventory[[#This Row],[24Final]]</f>
        <v>-1.0752688172043011E-3</v>
      </c>
      <c r="BG719" s="25">
        <f>VLOOKUP(Inventory[[#This Row],[Nbhd]],Lookups!$Q$2:$T$4,4,FALSE)</f>
        <v>0.99970000000000003</v>
      </c>
      <c r="BH719" s="25">
        <f>VLOOKUP(Inventory[[#This Row],[Qlty]],Lookups!$O$7:$R$21,4,FALSE)</f>
        <v>0.98050000000000004</v>
      </c>
      <c r="BI719" s="25">
        <f>VLOOKUP(Inventory[[#This Row],[Cnd]],Lookups!$T$7:$W$16,4,FALSE)</f>
        <v>0.99729999999999996</v>
      </c>
      <c r="BJ719" s="25">
        <f>VLOOKUP(Inventory[[#This Row],[LivArea Range]],Lookups!$T$25:$W$37,4,FALSE)</f>
        <v>0.98919999999999997</v>
      </c>
      <c r="BK719" s="25">
        <f>VLOOKUP(Inventory[[#This Row],[Decade]],Lookups!$O$25:$R$42,4,FALSE)</f>
        <v>0.995</v>
      </c>
      <c r="BL719" s="25">
        <f>Inventory[[#This Row],[Nbhd Adj]]*0.95</f>
        <v>0.94971499999999998</v>
      </c>
      <c r="BM719" s="25">
        <f>Inventory[[#This Row],[Nbhd Adj]]*Inventory[[#This Row],[Quality Adj]]*Inventory[[#This Row],[Condition Adj]]*Inventory[[#This Row],[Living Area Adj]]*Inventory[[#This Row],[Decade Adj]]*0.95</f>
        <v>0.91405831328052556</v>
      </c>
      <c r="BN719" s="25">
        <f>ROUND(SUM(Inventory[[#This Row],[Mdl Qlty]:[Mdl WdDeck]])+Inventory[[#This Row],[Mdl Res Intercept]]*Inventory[[#This Row],[Res Adj ]],-2)</f>
        <v>318000</v>
      </c>
      <c r="BO719" s="25">
        <f>ROUND(Inventory[[#This Row],[25Det]]*Inventory[[#This Row],[Det/Nbhd Adj]],-2)</f>
        <v>11100</v>
      </c>
      <c r="BP719" s="25">
        <f>Inventory[[#This Row],[Adjusted Res]]+Inventory[[#This Row],[Adj Det ]]</f>
        <v>329100</v>
      </c>
      <c r="BQ719" s="25">
        <f>ROUND((Inventory[[#This Row],[Mdl Land Intercept]]+Inventory[[#This Row],[Mdl LnAcres]])*Inventory[[#This Row],[Det/Nbhd Adj]],-2)</f>
        <v>39800</v>
      </c>
      <c r="BR719" s="25">
        <f>Inventory[[#This Row],[Adjusted Impr Total]]+Inventory[[#This Row],[Adjusted Land Total]]</f>
        <v>368900</v>
      </c>
      <c r="BS719" s="36">
        <f>IFERROR((Inventory[[#This Row],[Adjusted Impr Total]]-Inventory[[#This Row],[24Bldg]])/Inventory[[#This Row],[24Bldg]],0)</f>
        <v>6.058652916532388E-2</v>
      </c>
      <c r="BT719" s="36">
        <f>(Inventory[[#This Row],[Adjusted Land Total]]-Inventory[[#This Row],[24Lnd]])/Inventory[[#This Row],[24Lnd]]</f>
        <v>-0.35494327390599678</v>
      </c>
      <c r="BU719" s="36">
        <f>(Inventory[[#This Row],[Adjusted Total]]-Inventory[[#This Row],[24Final]])/Inventory[[#This Row],[24Final]]</f>
        <v>-8.3333333333333332E-3</v>
      </c>
    </row>
    <row r="720" spans="1:73" x14ac:dyDescent="0.3">
      <c r="A720" s="25">
        <v>2025</v>
      </c>
      <c r="B720" s="26" t="s">
        <v>2897</v>
      </c>
      <c r="C720" s="26">
        <f>LN(Inventory[[#This Row],[Acres]])</f>
        <v>-1.3862943611198906</v>
      </c>
      <c r="D720" s="25">
        <v>0.25</v>
      </c>
      <c r="E720" s="32">
        <v>10759</v>
      </c>
      <c r="F720" s="26" t="s">
        <v>537</v>
      </c>
      <c r="G720" s="26" t="s">
        <v>126</v>
      </c>
      <c r="H720" s="26" t="s">
        <v>349</v>
      </c>
      <c r="I720" s="26" t="s">
        <v>538</v>
      </c>
      <c r="J720" s="26" t="s">
        <v>539</v>
      </c>
      <c r="K720" s="26" t="s">
        <v>241</v>
      </c>
      <c r="L720" s="26" t="s">
        <v>95</v>
      </c>
      <c r="M720" s="26" t="s">
        <v>303</v>
      </c>
      <c r="N720" s="26">
        <v>80</v>
      </c>
      <c r="O720" s="26">
        <f>2024-Inventory[[#This Row],[YrBlt]]</f>
        <v>71</v>
      </c>
      <c r="P720" s="26">
        <f>2024-Inventory[[#This Row],[EffYr]]</f>
        <v>51</v>
      </c>
      <c r="Q720" s="25">
        <v>1953</v>
      </c>
      <c r="R720" s="25">
        <v>1973</v>
      </c>
      <c r="S720" s="25">
        <v>1482</v>
      </c>
      <c r="T720" s="27"/>
      <c r="U720" s="25">
        <v>1092</v>
      </c>
      <c r="V720" s="32">
        <f>Inventory[[#This Row],[Bsmt]]-Inventory[[#This Row],[FnBsmt]]</f>
        <v>0</v>
      </c>
      <c r="W720" s="32">
        <v>1092</v>
      </c>
      <c r="X720" s="27"/>
      <c r="Y720" s="27">
        <f>Inventory[[#This Row],[MainFn]]+Inventory[[#This Row],[UpprFn]]+Inventory[[#This Row],[FnBsmt]]+Inventory[[#This Row],[AddFn]]</f>
        <v>2574</v>
      </c>
      <c r="Z720" s="27">
        <v>3000</v>
      </c>
      <c r="AA720" s="25">
        <v>8</v>
      </c>
      <c r="AB720" s="27"/>
      <c r="AC720" s="25">
        <v>390</v>
      </c>
      <c r="AD720" s="31"/>
      <c r="AE720" s="27"/>
      <c r="AF720" s="27"/>
      <c r="AG720" s="27"/>
      <c r="AH720" s="27"/>
      <c r="AI720" s="25">
        <v>536566</v>
      </c>
      <c r="AJ720" s="25">
        <v>386328</v>
      </c>
      <c r="AK720" s="25">
        <v>0</v>
      </c>
      <c r="AL720" s="25">
        <v>450100</v>
      </c>
      <c r="AM720" s="25">
        <v>66200</v>
      </c>
      <c r="AN720" s="25">
        <v>383900</v>
      </c>
      <c r="AO720" s="25">
        <v>0</v>
      </c>
      <c r="AP720" s="25">
        <f>Lookups!$B$56*0</f>
        <v>0</v>
      </c>
      <c r="AQ720" s="25">
        <f>Lookups!$B$56*1</f>
        <v>89850.625589999996</v>
      </c>
      <c r="AR720" s="25">
        <f>Lookups!$B$57*Inventory[[#This Row],[LnAcres]]</f>
        <v>-43882.615305165229</v>
      </c>
      <c r="AS720" s="25">
        <f>VLOOKUP(Inventory[[#This Row],[Qlty]],Lookups!$A$62:$E$75,2,FALSE)</f>
        <v>74268.409664999999</v>
      </c>
      <c r="AT720" s="25">
        <f>VLOOKUP(Inventory[[#This Row],[Cnd]],Lookups!$A$76:$E$84,2,FALSE)</f>
        <v>197752.34721000001</v>
      </c>
      <c r="AU720" s="25">
        <f>Inventory[[#This Row],[EffAge]]*Lookups!$B$85</f>
        <v>-11375.3256255</v>
      </c>
      <c r="AV720" s="25">
        <f>Inventory[[#This Row],[MainFn]]*Lookups!$B$86</f>
        <v>73223.648757714007</v>
      </c>
      <c r="AW720" s="25">
        <f>Inventory[[#This Row],[UpprFn]]*Lookups!$B$87</f>
        <v>0</v>
      </c>
      <c r="AX720" s="25">
        <f>Inventory[[#This Row],[AddFn]]*Lookups!$B$88</f>
        <v>0</v>
      </c>
      <c r="AY720" s="25">
        <f>Inventory[[#This Row],[Bsmt]]*Lookups!$B$89</f>
        <v>31757.429609723997</v>
      </c>
      <c r="AZ720" s="25">
        <f>Inventory[[#This Row],[Fixtures]]*Lookups!$B$90</f>
        <v>30336.176841600001</v>
      </c>
      <c r="BA720" s="25">
        <f>Inventory[[#This Row],[WdDeck]]*Lookups!$B$91</f>
        <v>0</v>
      </c>
      <c r="BB720" s="25">
        <f>ROUND(Inventory[[#This Row],[25Det]],-2)</f>
        <v>0</v>
      </c>
      <c r="BC720" s="25">
        <f>ROUND(SUM(Inventory[[#This Row],[Mdl Qlty]:[Mdl WdDeck]])+Inventory[[#This Row],[Mdl Res Intercept]],-2)</f>
        <v>396000</v>
      </c>
      <c r="BD720" s="25">
        <f>ROUND(Inventory[[#This Row],[Mdl Land Intercept]]+Inventory[[#This Row],[Mdl LnAcres]],-2)</f>
        <v>46000</v>
      </c>
      <c r="BE720" s="25">
        <f>Inventory[[#This Row],[Unadj Res Value]]+Inventory[[#This Row],[Unadj Det Value]]+Inventory[[#This Row],[Unadj Land Value]]</f>
        <v>442000</v>
      </c>
      <c r="BF720" s="36">
        <f>(Inventory[[#This Row],[Unadj Total Value]]-Inventory[[#This Row],[24Final]])/Inventory[[#This Row],[24Final]]</f>
        <v>-1.7996000888691403E-2</v>
      </c>
      <c r="BG720" s="25">
        <f>VLOOKUP(Inventory[[#This Row],[Nbhd]],Lookups!$Q$2:$T$4,4,FALSE)</f>
        <v>0.99970000000000003</v>
      </c>
      <c r="BH720" s="25">
        <f>VLOOKUP(Inventory[[#This Row],[Qlty]],Lookups!$O$7:$R$21,4,FALSE)</f>
        <v>0.98380000000000001</v>
      </c>
      <c r="BI720" s="25">
        <f>VLOOKUP(Inventory[[#This Row],[Cnd]],Lookups!$T$7:$W$16,4,FALSE)</f>
        <v>0.99650000000000005</v>
      </c>
      <c r="BJ720" s="25">
        <f>VLOOKUP(Inventory[[#This Row],[LivArea Range]],Lookups!$T$25:$W$37,4,FALSE)</f>
        <v>0.96179999999999999</v>
      </c>
      <c r="BK720" s="25">
        <f>VLOOKUP(Inventory[[#This Row],[Decade]],Lookups!$O$25:$R$42,4,FALSE)</f>
        <v>0.995</v>
      </c>
      <c r="BL720" s="25">
        <f>Inventory[[#This Row],[Nbhd Adj]]*0.95</f>
        <v>0.94971499999999998</v>
      </c>
      <c r="BM720" s="25">
        <f>Inventory[[#This Row],[Nbhd Adj]]*Inventory[[#This Row],[Quality Adj]]*Inventory[[#This Row],[Condition Adj]]*Inventory[[#This Row],[Living Area Adj]]*Inventory[[#This Row],[Decade Adj]]*0.95</f>
        <v>0.8910155268816885</v>
      </c>
      <c r="BN720" s="25">
        <f>ROUND(SUM(Inventory[[#This Row],[Mdl Qlty]:[Mdl WdDeck]])+Inventory[[#This Row],[Mdl Res Intercept]]*Inventory[[#This Row],[Res Adj ]],-2)</f>
        <v>396000</v>
      </c>
      <c r="BO720" s="25">
        <f>ROUND(Inventory[[#This Row],[25Det]]*Inventory[[#This Row],[Det/Nbhd Adj]],-2)</f>
        <v>0</v>
      </c>
      <c r="BP720" s="25">
        <f>Inventory[[#This Row],[Adjusted Res]]+Inventory[[#This Row],[Adj Det ]]</f>
        <v>396000</v>
      </c>
      <c r="BQ720" s="25">
        <f>ROUND((Inventory[[#This Row],[Mdl Land Intercept]]+Inventory[[#This Row],[Mdl LnAcres]])*Inventory[[#This Row],[Det/Nbhd Adj]],-2)</f>
        <v>43700</v>
      </c>
      <c r="BR720" s="25">
        <f>Inventory[[#This Row],[Adjusted Impr Total]]+Inventory[[#This Row],[Adjusted Land Total]]</f>
        <v>439700</v>
      </c>
      <c r="BS720" s="36">
        <f>IFERROR((Inventory[[#This Row],[Adjusted Impr Total]]-Inventory[[#This Row],[24Bldg]])/Inventory[[#This Row],[24Bldg]],0)</f>
        <v>3.151862464183381E-2</v>
      </c>
      <c r="BT720" s="36">
        <f>(Inventory[[#This Row],[Adjusted Land Total]]-Inventory[[#This Row],[24Lnd]])/Inventory[[#This Row],[24Lnd]]</f>
        <v>-0.33987915407854985</v>
      </c>
      <c r="BU720" s="36">
        <f>(Inventory[[#This Row],[Adjusted Total]]-Inventory[[#This Row],[24Final]])/Inventory[[#This Row],[24Final]]</f>
        <v>-2.3105976449677851E-2</v>
      </c>
    </row>
    <row r="721" spans="1:73" x14ac:dyDescent="0.3">
      <c r="A721" s="25">
        <v>2025</v>
      </c>
      <c r="B721" s="26" t="s">
        <v>773</v>
      </c>
      <c r="C721" s="26">
        <f>LN(Inventory[[#This Row],[Acres]])</f>
        <v>-1.6607312068216509</v>
      </c>
      <c r="D721" s="25">
        <v>0.19</v>
      </c>
      <c r="E721" s="25">
        <v>8158</v>
      </c>
      <c r="F721" s="26" t="s">
        <v>537</v>
      </c>
      <c r="G721" s="26" t="s">
        <v>126</v>
      </c>
      <c r="H721" s="26" t="s">
        <v>349</v>
      </c>
      <c r="I721" s="26" t="s">
        <v>538</v>
      </c>
      <c r="J721" s="26" t="s">
        <v>539</v>
      </c>
      <c r="K721" s="26" t="s">
        <v>300</v>
      </c>
      <c r="L721" s="26" t="s">
        <v>351</v>
      </c>
      <c r="M721" s="26" t="s">
        <v>323</v>
      </c>
      <c r="N721" s="26">
        <v>80</v>
      </c>
      <c r="O721" s="26">
        <f>2024-Inventory[[#This Row],[YrBlt]]</f>
        <v>72</v>
      </c>
      <c r="P721" s="26">
        <f>2024-Inventory[[#This Row],[EffYr]]</f>
        <v>51</v>
      </c>
      <c r="Q721" s="25">
        <v>1952</v>
      </c>
      <c r="R721" s="25">
        <v>1973</v>
      </c>
      <c r="S721" s="25">
        <v>792</v>
      </c>
      <c r="T721" s="27"/>
      <c r="U721" s="32">
        <v>792</v>
      </c>
      <c r="V721" s="32">
        <f>Inventory[[#This Row],[Bsmt]]-Inventory[[#This Row],[FnBsmt]]</f>
        <v>0</v>
      </c>
      <c r="W721" s="32">
        <v>792</v>
      </c>
      <c r="X721" s="27"/>
      <c r="Y721" s="27">
        <f>Inventory[[#This Row],[MainFn]]+Inventory[[#This Row],[UpprFn]]+Inventory[[#This Row],[FnBsmt]]+Inventory[[#This Row],[AddFn]]</f>
        <v>1584</v>
      </c>
      <c r="Z721" s="27">
        <v>2000</v>
      </c>
      <c r="AA721" s="25">
        <v>9</v>
      </c>
      <c r="AB721" s="31"/>
      <c r="AC721" s="27"/>
      <c r="AD721" s="32">
        <v>595</v>
      </c>
      <c r="AE721" s="27"/>
      <c r="AF721" s="27"/>
      <c r="AG721" s="27"/>
      <c r="AH721" s="27"/>
      <c r="AI721" s="25">
        <v>240975</v>
      </c>
      <c r="AJ721" s="25">
        <v>166273</v>
      </c>
      <c r="AK721" s="25">
        <v>5261</v>
      </c>
      <c r="AL721" s="25">
        <v>299900</v>
      </c>
      <c r="AM721" s="25">
        <v>56600</v>
      </c>
      <c r="AN721" s="25">
        <v>243300</v>
      </c>
      <c r="AO721" s="25">
        <v>0</v>
      </c>
      <c r="AP721" s="25">
        <f>Lookups!$B$56*0</f>
        <v>0</v>
      </c>
      <c r="AQ721" s="25">
        <f>Lookups!$B$56*1</f>
        <v>89850.625589999996</v>
      </c>
      <c r="AR721" s="25">
        <f>Lookups!$B$57*Inventory[[#This Row],[LnAcres]]</f>
        <v>-52569.808201026557</v>
      </c>
      <c r="AS721" s="25">
        <f>VLOOKUP(Inventory[[#This Row],[Qlty]],Lookups!$A$62:$E$75,2,FALSE)</f>
        <v>21557.329055999999</v>
      </c>
      <c r="AT721" s="25">
        <f>VLOOKUP(Inventory[[#This Row],[Cnd]],Lookups!$A$76:$E$84,2,FALSE)</f>
        <v>160472.20319</v>
      </c>
      <c r="AU721" s="25">
        <f>Inventory[[#This Row],[EffAge]]*Lookups!$B$85</f>
        <v>-11375.3256255</v>
      </c>
      <c r="AV721" s="25">
        <f>Inventory[[#This Row],[MainFn]]*Lookups!$B$86</f>
        <v>39131.666542584004</v>
      </c>
      <c r="AW721" s="25">
        <f>Inventory[[#This Row],[UpprFn]]*Lookups!$B$87</f>
        <v>0</v>
      </c>
      <c r="AX721" s="25">
        <f>Inventory[[#This Row],[AddFn]]*Lookups!$B$88</f>
        <v>0</v>
      </c>
      <c r="AY721" s="25">
        <f>Inventory[[#This Row],[Bsmt]]*Lookups!$B$89</f>
        <v>23032.861035623999</v>
      </c>
      <c r="AZ721" s="25">
        <f>Inventory[[#This Row],[Fixtures]]*Lookups!$B$90</f>
        <v>34128.198946800003</v>
      </c>
      <c r="BA721" s="25">
        <f>Inventory[[#This Row],[WdDeck]]*Lookups!$B$91</f>
        <v>19810.831589220001</v>
      </c>
      <c r="BB721" s="25">
        <f>ROUND(Inventory[[#This Row],[25Det]],-2)</f>
        <v>5300</v>
      </c>
      <c r="BC721" s="25">
        <f>ROUND(SUM(Inventory[[#This Row],[Mdl Qlty]:[Mdl WdDeck]])+Inventory[[#This Row],[Mdl Res Intercept]],-2)</f>
        <v>286800</v>
      </c>
      <c r="BD721" s="25">
        <f>ROUND(Inventory[[#This Row],[Mdl Land Intercept]]+Inventory[[#This Row],[Mdl LnAcres]],-2)</f>
        <v>37300</v>
      </c>
      <c r="BE721" s="25">
        <f>Inventory[[#This Row],[Unadj Res Value]]+Inventory[[#This Row],[Unadj Det Value]]+Inventory[[#This Row],[Unadj Land Value]]</f>
        <v>329400</v>
      </c>
      <c r="BF721" s="36">
        <f>(Inventory[[#This Row],[Unadj Total Value]]-Inventory[[#This Row],[24Final]])/Inventory[[#This Row],[24Final]]</f>
        <v>9.8366122040680223E-2</v>
      </c>
      <c r="BG721" s="25">
        <f>VLOOKUP(Inventory[[#This Row],[Nbhd]],Lookups!$Q$2:$T$4,4,FALSE)</f>
        <v>0.99970000000000003</v>
      </c>
      <c r="BH721" s="25">
        <f>VLOOKUP(Inventory[[#This Row],[Qlty]],Lookups!$O$7:$R$21,4,FALSE)</f>
        <v>1.0067999999999999</v>
      </c>
      <c r="BI721" s="25">
        <f>VLOOKUP(Inventory[[#This Row],[Cnd]],Lookups!$T$7:$W$16,4,FALSE)</f>
        <v>0.99729999999999996</v>
      </c>
      <c r="BJ721" s="25">
        <f>VLOOKUP(Inventory[[#This Row],[LivArea Range]],Lookups!$T$25:$W$37,4,FALSE)</f>
        <v>1.0093000000000001</v>
      </c>
      <c r="BK721" s="25">
        <f>VLOOKUP(Inventory[[#This Row],[Decade]],Lookups!$O$25:$R$42,4,FALSE)</f>
        <v>0.995</v>
      </c>
      <c r="BL721" s="25">
        <f>Inventory[[#This Row],[Nbhd Adj]]*0.95</f>
        <v>0.94971499999999998</v>
      </c>
      <c r="BM721" s="25">
        <f>Inventory[[#This Row],[Nbhd Adj]]*Inventory[[#This Row],[Quality Adj]]*Inventory[[#This Row],[Condition Adj]]*Inventory[[#This Row],[Living Area Adj]]*Inventory[[#This Row],[Decade Adj]]*0.95</f>
        <v>0.957647495730095</v>
      </c>
      <c r="BN721" s="25">
        <f>ROUND(SUM(Inventory[[#This Row],[Mdl Qlty]:[Mdl WdDeck]])+Inventory[[#This Row],[Mdl Res Intercept]]*Inventory[[#This Row],[Res Adj ]],-2)</f>
        <v>286800</v>
      </c>
      <c r="BO721" s="25">
        <f>ROUND(Inventory[[#This Row],[25Det]]*Inventory[[#This Row],[Det/Nbhd Adj]],-2)</f>
        <v>5000</v>
      </c>
      <c r="BP721" s="25">
        <f>Inventory[[#This Row],[Adjusted Res]]+Inventory[[#This Row],[Adj Det ]]</f>
        <v>291800</v>
      </c>
      <c r="BQ721" s="25">
        <f>ROUND((Inventory[[#This Row],[Mdl Land Intercept]]+Inventory[[#This Row],[Mdl LnAcres]])*Inventory[[#This Row],[Det/Nbhd Adj]],-2)</f>
        <v>35400</v>
      </c>
      <c r="BR721" s="25">
        <f>Inventory[[#This Row],[Adjusted Impr Total]]+Inventory[[#This Row],[Adjusted Land Total]]</f>
        <v>327200</v>
      </c>
      <c r="BS721" s="36">
        <f>IFERROR((Inventory[[#This Row],[Adjusted Impr Total]]-Inventory[[#This Row],[24Bldg]])/Inventory[[#This Row],[24Bldg]],0)</f>
        <v>0.19934237566789972</v>
      </c>
      <c r="BT721" s="36">
        <f>(Inventory[[#This Row],[Adjusted Land Total]]-Inventory[[#This Row],[24Lnd]])/Inventory[[#This Row],[24Lnd]]</f>
        <v>-0.37455830388692579</v>
      </c>
      <c r="BU721" s="36">
        <f>(Inventory[[#This Row],[Adjusted Total]]-Inventory[[#This Row],[24Final]])/Inventory[[#This Row],[24Final]]</f>
        <v>9.1030343447815937E-2</v>
      </c>
    </row>
    <row r="722" spans="1:73" x14ac:dyDescent="0.3">
      <c r="A722" s="25">
        <v>2025</v>
      </c>
      <c r="B722" s="26" t="s">
        <v>2523</v>
      </c>
      <c r="C722" s="26">
        <f>LN(Inventory[[#This Row],[Acres]])</f>
        <v>-1.3470736479666092</v>
      </c>
      <c r="D722" s="25">
        <v>0.26</v>
      </c>
      <c r="E722" s="27"/>
      <c r="F722" s="26" t="s">
        <v>537</v>
      </c>
      <c r="G722" s="26" t="s">
        <v>126</v>
      </c>
      <c r="H722" s="26" t="s">
        <v>349</v>
      </c>
      <c r="I722" s="26" t="s">
        <v>538</v>
      </c>
      <c r="J722" s="26" t="s">
        <v>539</v>
      </c>
      <c r="K722" s="26" t="s">
        <v>242</v>
      </c>
      <c r="L722" s="26" t="s">
        <v>148</v>
      </c>
      <c r="M722" s="26" t="s">
        <v>303</v>
      </c>
      <c r="N722" s="26">
        <v>80</v>
      </c>
      <c r="O722" s="26">
        <f>2024-Inventory[[#This Row],[YrBlt]]</f>
        <v>72</v>
      </c>
      <c r="P722" s="26">
        <f>2024-Inventory[[#This Row],[EffYr]]</f>
        <v>51</v>
      </c>
      <c r="Q722" s="25">
        <v>1952</v>
      </c>
      <c r="R722" s="25">
        <v>1973</v>
      </c>
      <c r="S722" s="25">
        <v>1489</v>
      </c>
      <c r="T722" s="27"/>
      <c r="U722" s="25">
        <v>790</v>
      </c>
      <c r="V722" s="25">
        <f>Inventory[[#This Row],[Bsmt]]-Inventory[[#This Row],[FnBsmt]]</f>
        <v>593</v>
      </c>
      <c r="W722" s="25">
        <v>197</v>
      </c>
      <c r="X722" s="27"/>
      <c r="Y722" s="27">
        <f>Inventory[[#This Row],[MainFn]]+Inventory[[#This Row],[UpprFn]]+Inventory[[#This Row],[FnBsmt]]+Inventory[[#This Row],[AddFn]]</f>
        <v>1686</v>
      </c>
      <c r="Z722" s="27">
        <v>2000</v>
      </c>
      <c r="AA722" s="25">
        <v>7</v>
      </c>
      <c r="AB722" s="25">
        <v>575</v>
      </c>
      <c r="AC722" s="27"/>
      <c r="AD722" s="31"/>
      <c r="AE722" s="27"/>
      <c r="AF722" s="27"/>
      <c r="AG722" s="27"/>
      <c r="AH722" s="27"/>
      <c r="AI722" s="25">
        <v>383676</v>
      </c>
      <c r="AJ722" s="25">
        <v>272410</v>
      </c>
      <c r="AK722" s="25">
        <v>35858</v>
      </c>
      <c r="AL722" s="25">
        <v>399100</v>
      </c>
      <c r="AM722" s="25">
        <v>67600</v>
      </c>
      <c r="AN722" s="25">
        <v>331500</v>
      </c>
      <c r="AO722" s="25">
        <v>0</v>
      </c>
      <c r="AP722" s="25">
        <f>Lookups!$B$56*0</f>
        <v>0</v>
      </c>
      <c r="AQ722" s="25">
        <f>Lookups!$B$56*1</f>
        <v>89850.625589999996</v>
      </c>
      <c r="AR722" s="25">
        <f>Lookups!$B$57*Inventory[[#This Row],[LnAcres]]</f>
        <v>-42641.098701210125</v>
      </c>
      <c r="AS722" s="25">
        <f>VLOOKUP(Inventory[[#This Row],[Qlty]],Lookups!$A$62:$E$75,2,FALSE)</f>
        <v>44121.038090000002</v>
      </c>
      <c r="AT722" s="25">
        <f>VLOOKUP(Inventory[[#This Row],[Cnd]],Lookups!$A$76:$E$84,2,FALSE)</f>
        <v>197752.34721000001</v>
      </c>
      <c r="AU722" s="25">
        <f>Inventory[[#This Row],[EffAge]]*Lookups!$B$85</f>
        <v>-11375.3256255</v>
      </c>
      <c r="AV722" s="25">
        <f>Inventory[[#This Row],[MainFn]]*Lookups!$B$86</f>
        <v>73569.509446853001</v>
      </c>
      <c r="AW722" s="25">
        <f>Inventory[[#This Row],[UpprFn]]*Lookups!$B$87</f>
        <v>0</v>
      </c>
      <c r="AX722" s="25">
        <f>Inventory[[#This Row],[AddFn]]*Lookups!$B$88</f>
        <v>0</v>
      </c>
      <c r="AY722" s="25">
        <f>Inventory[[#This Row],[Bsmt]]*Lookups!$B$89</f>
        <v>22974.697245129999</v>
      </c>
      <c r="AZ722" s="25">
        <f>Inventory[[#This Row],[Fixtures]]*Lookups!$B$90</f>
        <v>26544.1547364</v>
      </c>
      <c r="BA722" s="25">
        <f>Inventory[[#This Row],[WdDeck]]*Lookups!$B$91</f>
        <v>0</v>
      </c>
      <c r="BB722" s="25">
        <f>ROUND(Inventory[[#This Row],[25Det]],-2)</f>
        <v>35900</v>
      </c>
      <c r="BC722" s="25">
        <f>ROUND(SUM(Inventory[[#This Row],[Mdl Qlty]:[Mdl WdDeck]])+Inventory[[#This Row],[Mdl Res Intercept]],-2)</f>
        <v>353600</v>
      </c>
      <c r="BD722" s="25">
        <f>ROUND(Inventory[[#This Row],[Mdl Land Intercept]]+Inventory[[#This Row],[Mdl LnAcres]],-2)</f>
        <v>47200</v>
      </c>
      <c r="BE722" s="25">
        <f>Inventory[[#This Row],[Unadj Res Value]]+Inventory[[#This Row],[Unadj Det Value]]+Inventory[[#This Row],[Unadj Land Value]]</f>
        <v>436700</v>
      </c>
      <c r="BF722" s="36">
        <f>(Inventory[[#This Row],[Unadj Total Value]]-Inventory[[#This Row],[24Final]])/Inventory[[#This Row],[24Final]]</f>
        <v>9.4211976948133297E-2</v>
      </c>
      <c r="BG722" s="25">
        <f>VLOOKUP(Inventory[[#This Row],[Nbhd]],Lookups!$Q$2:$T$4,4,FALSE)</f>
        <v>0.99970000000000003</v>
      </c>
      <c r="BH722" s="25">
        <f>VLOOKUP(Inventory[[#This Row],[Qlty]],Lookups!$O$7:$R$21,4,FALSE)</f>
        <v>0.98050000000000004</v>
      </c>
      <c r="BI722" s="25">
        <f>VLOOKUP(Inventory[[#This Row],[Cnd]],Lookups!$T$7:$W$16,4,FALSE)</f>
        <v>0.99650000000000005</v>
      </c>
      <c r="BJ722" s="25">
        <f>VLOOKUP(Inventory[[#This Row],[LivArea Range]],Lookups!$T$25:$W$37,4,FALSE)</f>
        <v>1.0093000000000001</v>
      </c>
      <c r="BK722" s="25">
        <f>VLOOKUP(Inventory[[#This Row],[Decade]],Lookups!$O$25:$R$42,4,FALSE)</f>
        <v>0.995</v>
      </c>
      <c r="BL722" s="25">
        <f>Inventory[[#This Row],[Nbhd Adj]]*0.95</f>
        <v>0.94971499999999998</v>
      </c>
      <c r="BM722" s="25">
        <f>Inventory[[#This Row],[Nbhd Adj]]*Inventory[[#This Row],[Quality Adj]]*Inventory[[#This Row],[Condition Adj]]*Inventory[[#This Row],[Living Area Adj]]*Inventory[[#This Row],[Decade Adj]]*0.95</f>
        <v>0.93188335041151293</v>
      </c>
      <c r="BN722" s="25">
        <f>ROUND(SUM(Inventory[[#This Row],[Mdl Qlty]:[Mdl WdDeck]])+Inventory[[#This Row],[Mdl Res Intercept]]*Inventory[[#This Row],[Res Adj ]],-2)</f>
        <v>353600</v>
      </c>
      <c r="BO722" s="25">
        <f>ROUND(Inventory[[#This Row],[25Det]]*Inventory[[#This Row],[Det/Nbhd Adj]],-2)</f>
        <v>34100</v>
      </c>
      <c r="BP722" s="25">
        <f>Inventory[[#This Row],[Adjusted Res]]+Inventory[[#This Row],[Adj Det ]]</f>
        <v>387700</v>
      </c>
      <c r="BQ722" s="25">
        <f>ROUND((Inventory[[#This Row],[Mdl Land Intercept]]+Inventory[[#This Row],[Mdl LnAcres]])*Inventory[[#This Row],[Det/Nbhd Adj]],-2)</f>
        <v>44800</v>
      </c>
      <c r="BR722" s="25">
        <f>Inventory[[#This Row],[Adjusted Impr Total]]+Inventory[[#This Row],[Adjusted Land Total]]</f>
        <v>432500</v>
      </c>
      <c r="BS722" s="36">
        <f>IFERROR((Inventory[[#This Row],[Adjusted Impr Total]]-Inventory[[#This Row],[24Bldg]])/Inventory[[#This Row],[24Bldg]],0)</f>
        <v>0.16953242835595778</v>
      </c>
      <c r="BT722" s="36">
        <f>(Inventory[[#This Row],[Adjusted Land Total]]-Inventory[[#This Row],[24Lnd]])/Inventory[[#This Row],[24Lnd]]</f>
        <v>-0.33727810650887574</v>
      </c>
      <c r="BU722" s="36">
        <f>(Inventory[[#This Row],[Adjusted Total]]-Inventory[[#This Row],[24Final]])/Inventory[[#This Row],[24Final]]</f>
        <v>8.3688298672012024E-2</v>
      </c>
    </row>
    <row r="723" spans="1:73" x14ac:dyDescent="0.3">
      <c r="A723" s="25">
        <v>2025</v>
      </c>
      <c r="B723" s="26" t="s">
        <v>2414</v>
      </c>
      <c r="C723" s="26">
        <f>LN(Inventory[[#This Row],[Acres]])</f>
        <v>-1.8325814637483102</v>
      </c>
      <c r="D723" s="25">
        <v>0.16</v>
      </c>
      <c r="E723" s="31"/>
      <c r="F723" s="26" t="s">
        <v>537</v>
      </c>
      <c r="G723" s="26" t="s">
        <v>126</v>
      </c>
      <c r="H723" s="26" t="s">
        <v>349</v>
      </c>
      <c r="I723" s="26" t="s">
        <v>538</v>
      </c>
      <c r="J723" s="26" t="s">
        <v>539</v>
      </c>
      <c r="K723" s="26" t="s">
        <v>300</v>
      </c>
      <c r="L723" s="26" t="s">
        <v>351</v>
      </c>
      <c r="M723" s="26" t="s">
        <v>303</v>
      </c>
      <c r="N723" s="26">
        <v>80</v>
      </c>
      <c r="O723" s="26">
        <f>2024-Inventory[[#This Row],[YrBlt]]</f>
        <v>72</v>
      </c>
      <c r="P723" s="26">
        <f>2024-Inventory[[#This Row],[EffYr]]</f>
        <v>51</v>
      </c>
      <c r="Q723" s="25">
        <v>1952</v>
      </c>
      <c r="R723" s="25">
        <v>1973</v>
      </c>
      <c r="S723" s="25">
        <v>1584</v>
      </c>
      <c r="T723" s="25">
        <v>864</v>
      </c>
      <c r="U723" s="31"/>
      <c r="V723" s="31">
        <f>Inventory[[#This Row],[Bsmt]]-Inventory[[#This Row],[FnBsmt]]</f>
        <v>0</v>
      </c>
      <c r="W723" s="31"/>
      <c r="X723" s="27"/>
      <c r="Y723" s="27">
        <f>Inventory[[#This Row],[MainFn]]+Inventory[[#This Row],[UpprFn]]+Inventory[[#This Row],[FnBsmt]]+Inventory[[#This Row],[AddFn]]</f>
        <v>2448</v>
      </c>
      <c r="Z723" s="27">
        <v>2500</v>
      </c>
      <c r="AA723" s="25">
        <v>10</v>
      </c>
      <c r="AB723" s="27"/>
      <c r="AC723" s="27"/>
      <c r="AD723" s="27"/>
      <c r="AE723" s="27"/>
      <c r="AF723" s="27"/>
      <c r="AG723" s="27"/>
      <c r="AH723" s="27"/>
      <c r="AI723" s="25">
        <v>327754</v>
      </c>
      <c r="AJ723" s="25">
        <v>232705</v>
      </c>
      <c r="AK723" s="25">
        <v>16905</v>
      </c>
      <c r="AL723" s="25">
        <v>381600</v>
      </c>
      <c r="AM723" s="25">
        <v>50600</v>
      </c>
      <c r="AN723" s="25">
        <v>331000</v>
      </c>
      <c r="AO723" s="25">
        <v>0</v>
      </c>
      <c r="AP723" s="25">
        <f>Lookups!$B$56*0</f>
        <v>0</v>
      </c>
      <c r="AQ723" s="25">
        <f>Lookups!$B$56*1</f>
        <v>89850.625589999996</v>
      </c>
      <c r="AR723" s="25">
        <f>Lookups!$B$57*Inventory[[#This Row],[LnAcres]]</f>
        <v>-58009.662049032086</v>
      </c>
      <c r="AS723" s="25">
        <f>VLOOKUP(Inventory[[#This Row],[Qlty]],Lookups!$A$62:$E$75,2,FALSE)</f>
        <v>21557.329055999999</v>
      </c>
      <c r="AT723" s="25">
        <f>VLOOKUP(Inventory[[#This Row],[Cnd]],Lookups!$A$76:$E$84,2,FALSE)</f>
        <v>197752.34721000001</v>
      </c>
      <c r="AU723" s="25">
        <f>Inventory[[#This Row],[EffAge]]*Lookups!$B$85</f>
        <v>-11375.3256255</v>
      </c>
      <c r="AV723" s="25">
        <f>Inventory[[#This Row],[MainFn]]*Lookups!$B$86</f>
        <v>78263.333085168008</v>
      </c>
      <c r="AW723" s="25">
        <f>Inventory[[#This Row],[UpprFn]]*Lookups!$B$87</f>
        <v>38695.469351904001</v>
      </c>
      <c r="AX723" s="25">
        <f>Inventory[[#This Row],[AddFn]]*Lookups!$B$88</f>
        <v>0</v>
      </c>
      <c r="AY723" s="25">
        <f>Inventory[[#This Row],[Bsmt]]*Lookups!$B$89</f>
        <v>0</v>
      </c>
      <c r="AZ723" s="25">
        <f>Inventory[[#This Row],[Fixtures]]*Lookups!$B$90</f>
        <v>37920.221052000001</v>
      </c>
      <c r="BA723" s="25">
        <f>Inventory[[#This Row],[WdDeck]]*Lookups!$B$91</f>
        <v>0</v>
      </c>
      <c r="BB723" s="25">
        <f>ROUND(Inventory[[#This Row],[25Det]],-2)</f>
        <v>16900</v>
      </c>
      <c r="BC723" s="25">
        <f>ROUND(SUM(Inventory[[#This Row],[Mdl Qlty]:[Mdl WdDeck]])+Inventory[[#This Row],[Mdl Res Intercept]],-2)</f>
        <v>362800</v>
      </c>
      <c r="BD723" s="25">
        <f>ROUND(Inventory[[#This Row],[Mdl Land Intercept]]+Inventory[[#This Row],[Mdl LnAcres]],-2)</f>
        <v>31800</v>
      </c>
      <c r="BE723" s="25">
        <f>Inventory[[#This Row],[Unadj Res Value]]+Inventory[[#This Row],[Unadj Det Value]]+Inventory[[#This Row],[Unadj Land Value]]</f>
        <v>411500</v>
      </c>
      <c r="BF723" s="36">
        <f>(Inventory[[#This Row],[Unadj Total Value]]-Inventory[[#This Row],[24Final]])/Inventory[[#This Row],[24Final]]</f>
        <v>7.8354297693920341E-2</v>
      </c>
      <c r="BG723" s="25">
        <f>VLOOKUP(Inventory[[#This Row],[Nbhd]],Lookups!$Q$2:$T$4,4,FALSE)</f>
        <v>0.99970000000000003</v>
      </c>
      <c r="BH723" s="25">
        <f>VLOOKUP(Inventory[[#This Row],[Qlty]],Lookups!$O$7:$R$21,4,FALSE)</f>
        <v>1.0067999999999999</v>
      </c>
      <c r="BI723" s="25">
        <f>VLOOKUP(Inventory[[#This Row],[Cnd]],Lookups!$T$7:$W$16,4,FALSE)</f>
        <v>0.99650000000000005</v>
      </c>
      <c r="BJ723" s="25">
        <f>VLOOKUP(Inventory[[#This Row],[LivArea Range]],Lookups!$T$25:$W$37,4,FALSE)</f>
        <v>0.98919999999999997</v>
      </c>
      <c r="BK723" s="25">
        <f>VLOOKUP(Inventory[[#This Row],[Decade]],Lookups!$O$25:$R$42,4,FALSE)</f>
        <v>0.995</v>
      </c>
      <c r="BL723" s="25">
        <f>Inventory[[#This Row],[Nbhd Adj]]*0.95</f>
        <v>0.94971499999999998</v>
      </c>
      <c r="BM723" s="25">
        <f>Inventory[[#This Row],[Nbhd Adj]]*Inventory[[#This Row],[Quality Adj]]*Inventory[[#This Row],[Condition Adj]]*Inventory[[#This Row],[Living Area Adj]]*Inventory[[#This Row],[Decade Adj]]*0.95</f>
        <v>0.93782325090236773</v>
      </c>
      <c r="BN723" s="25">
        <f>ROUND(SUM(Inventory[[#This Row],[Mdl Qlty]:[Mdl WdDeck]])+Inventory[[#This Row],[Mdl Res Intercept]]*Inventory[[#This Row],[Res Adj ]],-2)</f>
        <v>362800</v>
      </c>
      <c r="BO723" s="25">
        <f>ROUND(Inventory[[#This Row],[25Det]]*Inventory[[#This Row],[Det/Nbhd Adj]],-2)</f>
        <v>16100</v>
      </c>
      <c r="BP723" s="25">
        <f>Inventory[[#This Row],[Adjusted Res]]+Inventory[[#This Row],[Adj Det ]]</f>
        <v>378900</v>
      </c>
      <c r="BQ723" s="25">
        <f>ROUND((Inventory[[#This Row],[Mdl Land Intercept]]+Inventory[[#This Row],[Mdl LnAcres]])*Inventory[[#This Row],[Det/Nbhd Adj]],-2)</f>
        <v>30200</v>
      </c>
      <c r="BR723" s="25">
        <f>Inventory[[#This Row],[Adjusted Impr Total]]+Inventory[[#This Row],[Adjusted Land Total]]</f>
        <v>409100</v>
      </c>
      <c r="BS723" s="36">
        <f>IFERROR((Inventory[[#This Row],[Adjusted Impr Total]]-Inventory[[#This Row],[24Bldg]])/Inventory[[#This Row],[24Bldg]],0)</f>
        <v>0.1447129909365559</v>
      </c>
      <c r="BT723" s="36">
        <f>(Inventory[[#This Row],[Adjusted Land Total]]-Inventory[[#This Row],[24Lnd]])/Inventory[[#This Row],[24Lnd]]</f>
        <v>-0.40316205533596838</v>
      </c>
      <c r="BU723" s="36">
        <f>(Inventory[[#This Row],[Adjusted Total]]-Inventory[[#This Row],[24Final]])/Inventory[[#This Row],[24Final]]</f>
        <v>7.20649895178197E-2</v>
      </c>
    </row>
    <row r="724" spans="1:73" x14ac:dyDescent="0.3">
      <c r="A724" s="25">
        <v>2025</v>
      </c>
      <c r="B724" s="26" t="s">
        <v>817</v>
      </c>
      <c r="C724" s="26">
        <f>LN(Inventory[[#This Row],[Acres]])</f>
        <v>-1.8325814637483102</v>
      </c>
      <c r="D724" s="25">
        <v>0.16</v>
      </c>
      <c r="E724" s="25">
        <v>6906</v>
      </c>
      <c r="F724" s="26" t="s">
        <v>537</v>
      </c>
      <c r="G724" s="26" t="s">
        <v>126</v>
      </c>
      <c r="H724" s="26" t="s">
        <v>349</v>
      </c>
      <c r="I724" s="26" t="s">
        <v>538</v>
      </c>
      <c r="J724" s="26" t="s">
        <v>539</v>
      </c>
      <c r="K724" s="26" t="s">
        <v>300</v>
      </c>
      <c r="L724" s="26" t="s">
        <v>351</v>
      </c>
      <c r="M724" s="26" t="s">
        <v>303</v>
      </c>
      <c r="N724" s="26">
        <v>80</v>
      </c>
      <c r="O724" s="26">
        <f>2024-Inventory[[#This Row],[YrBlt]]</f>
        <v>72</v>
      </c>
      <c r="P724" s="26">
        <f>2024-Inventory[[#This Row],[EffYr]]</f>
        <v>51</v>
      </c>
      <c r="Q724" s="25">
        <v>1952</v>
      </c>
      <c r="R724" s="25">
        <v>1973</v>
      </c>
      <c r="S724" s="25">
        <v>1146</v>
      </c>
      <c r="T724" s="27"/>
      <c r="U724" s="31"/>
      <c r="V724" s="31">
        <f>Inventory[[#This Row],[Bsmt]]-Inventory[[#This Row],[FnBsmt]]</f>
        <v>0</v>
      </c>
      <c r="W724" s="31"/>
      <c r="X724" s="27"/>
      <c r="Y724" s="27">
        <f>Inventory[[#This Row],[MainFn]]+Inventory[[#This Row],[UpprFn]]+Inventory[[#This Row],[FnBsmt]]+Inventory[[#This Row],[AddFn]]</f>
        <v>1146</v>
      </c>
      <c r="Z724" s="27">
        <v>1500</v>
      </c>
      <c r="AA724" s="25">
        <v>7</v>
      </c>
      <c r="AB724" s="31"/>
      <c r="AC724" s="27"/>
      <c r="AD724" s="27"/>
      <c r="AE724" s="27"/>
      <c r="AF724" s="27"/>
      <c r="AG724" s="27"/>
      <c r="AH724" s="27"/>
      <c r="AI724" s="25">
        <v>210282</v>
      </c>
      <c r="AJ724" s="25">
        <v>149300</v>
      </c>
      <c r="AK724" s="25">
        <v>11585</v>
      </c>
      <c r="AL724" s="25">
        <v>310500</v>
      </c>
      <c r="AM724" s="25">
        <v>50600</v>
      </c>
      <c r="AN724" s="25">
        <v>259900</v>
      </c>
      <c r="AO724" s="25">
        <v>0</v>
      </c>
      <c r="AP724" s="25">
        <f>Lookups!$B$56*0</f>
        <v>0</v>
      </c>
      <c r="AQ724" s="25">
        <f>Lookups!$B$56*1</f>
        <v>89850.625589999996</v>
      </c>
      <c r="AR724" s="25">
        <f>Lookups!$B$57*Inventory[[#This Row],[LnAcres]]</f>
        <v>-58009.662049032086</v>
      </c>
      <c r="AS724" s="25">
        <f>VLOOKUP(Inventory[[#This Row],[Qlty]],Lookups!$A$62:$E$75,2,FALSE)</f>
        <v>21557.329055999999</v>
      </c>
      <c r="AT724" s="25">
        <f>VLOOKUP(Inventory[[#This Row],[Cnd]],Lookups!$A$76:$E$84,2,FALSE)</f>
        <v>197752.34721000001</v>
      </c>
      <c r="AU724" s="25">
        <f>Inventory[[#This Row],[EffAge]]*Lookups!$B$85</f>
        <v>-11375.3256255</v>
      </c>
      <c r="AV724" s="25">
        <f>Inventory[[#This Row],[MainFn]]*Lookups!$B$86</f>
        <v>56622.335679042</v>
      </c>
      <c r="AW724" s="25">
        <f>Inventory[[#This Row],[UpprFn]]*Lookups!$B$87</f>
        <v>0</v>
      </c>
      <c r="AX724" s="25">
        <f>Inventory[[#This Row],[AddFn]]*Lookups!$B$88</f>
        <v>0</v>
      </c>
      <c r="AY724" s="25">
        <f>Inventory[[#This Row],[Bsmt]]*Lookups!$B$89</f>
        <v>0</v>
      </c>
      <c r="AZ724" s="25">
        <f>Inventory[[#This Row],[Fixtures]]*Lookups!$B$90</f>
        <v>26544.1547364</v>
      </c>
      <c r="BA724" s="25">
        <f>Inventory[[#This Row],[WdDeck]]*Lookups!$B$91</f>
        <v>0</v>
      </c>
      <c r="BB724" s="25">
        <f>ROUND(Inventory[[#This Row],[25Det]],-2)</f>
        <v>11600</v>
      </c>
      <c r="BC724" s="25">
        <f>ROUND(SUM(Inventory[[#This Row],[Mdl Qlty]:[Mdl WdDeck]])+Inventory[[#This Row],[Mdl Res Intercept]],-2)</f>
        <v>291100</v>
      </c>
      <c r="BD724" s="25">
        <f>ROUND(Inventory[[#This Row],[Mdl Land Intercept]]+Inventory[[#This Row],[Mdl LnAcres]],-2)</f>
        <v>31800</v>
      </c>
      <c r="BE724" s="25">
        <f>Inventory[[#This Row],[Unadj Res Value]]+Inventory[[#This Row],[Unadj Det Value]]+Inventory[[#This Row],[Unadj Land Value]]</f>
        <v>334500</v>
      </c>
      <c r="BF724" s="36">
        <f>(Inventory[[#This Row],[Unadj Total Value]]-Inventory[[#This Row],[24Final]])/Inventory[[#This Row],[24Final]]</f>
        <v>7.7294685990338161E-2</v>
      </c>
      <c r="BG724" s="25">
        <f>VLOOKUP(Inventory[[#This Row],[Nbhd]],Lookups!$Q$2:$T$4,4,FALSE)</f>
        <v>0.99970000000000003</v>
      </c>
      <c r="BH724" s="25">
        <f>VLOOKUP(Inventory[[#This Row],[Qlty]],Lookups!$O$7:$R$21,4,FALSE)</f>
        <v>1.0067999999999999</v>
      </c>
      <c r="BI724" s="25">
        <f>VLOOKUP(Inventory[[#This Row],[Cnd]],Lookups!$T$7:$W$16,4,FALSE)</f>
        <v>0.99650000000000005</v>
      </c>
      <c r="BJ724" s="25">
        <f>VLOOKUP(Inventory[[#This Row],[LivArea Range]],Lookups!$T$25:$W$37,4,FALSE)</f>
        <v>1.0157</v>
      </c>
      <c r="BK724" s="25">
        <f>VLOOKUP(Inventory[[#This Row],[Decade]],Lookups!$O$25:$R$42,4,FALSE)</f>
        <v>0.995</v>
      </c>
      <c r="BL724" s="25">
        <f>Inventory[[#This Row],[Nbhd Adj]]*0.95</f>
        <v>0.94971499999999998</v>
      </c>
      <c r="BM724" s="25">
        <f>Inventory[[#This Row],[Nbhd Adj]]*Inventory[[#This Row],[Quality Adj]]*Inventory[[#This Row],[Condition Adj]]*Inventory[[#This Row],[Living Area Adj]]*Inventory[[#This Row],[Decade Adj]]*0.95</f>
        <v>0.96294690248840986</v>
      </c>
      <c r="BN724" s="25">
        <f>ROUND(SUM(Inventory[[#This Row],[Mdl Qlty]:[Mdl WdDeck]])+Inventory[[#This Row],[Mdl Res Intercept]]*Inventory[[#This Row],[Res Adj ]],-2)</f>
        <v>291100</v>
      </c>
      <c r="BO724" s="25">
        <f>ROUND(Inventory[[#This Row],[25Det]]*Inventory[[#This Row],[Det/Nbhd Adj]],-2)</f>
        <v>11000</v>
      </c>
      <c r="BP724" s="25">
        <f>Inventory[[#This Row],[Adjusted Res]]+Inventory[[#This Row],[Adj Det ]]</f>
        <v>302100</v>
      </c>
      <c r="BQ724" s="25">
        <f>ROUND((Inventory[[#This Row],[Mdl Land Intercept]]+Inventory[[#This Row],[Mdl LnAcres]])*Inventory[[#This Row],[Det/Nbhd Adj]],-2)</f>
        <v>30200</v>
      </c>
      <c r="BR724" s="25">
        <f>Inventory[[#This Row],[Adjusted Impr Total]]+Inventory[[#This Row],[Adjusted Land Total]]</f>
        <v>332300</v>
      </c>
      <c r="BS724" s="36">
        <f>IFERROR((Inventory[[#This Row],[Adjusted Impr Total]]-Inventory[[#This Row],[24Bldg]])/Inventory[[#This Row],[24Bldg]],0)</f>
        <v>0.1623701423624471</v>
      </c>
      <c r="BT724" s="36">
        <f>(Inventory[[#This Row],[Adjusted Land Total]]-Inventory[[#This Row],[24Lnd]])/Inventory[[#This Row],[24Lnd]]</f>
        <v>-0.40316205533596838</v>
      </c>
      <c r="BU724" s="36">
        <f>(Inventory[[#This Row],[Adjusted Total]]-Inventory[[#This Row],[24Final]])/Inventory[[#This Row],[24Final]]</f>
        <v>7.0209339774557164E-2</v>
      </c>
    </row>
    <row r="725" spans="1:73" x14ac:dyDescent="0.3">
      <c r="A725" s="25">
        <v>2025</v>
      </c>
      <c r="B725" s="26" t="s">
        <v>1826</v>
      </c>
      <c r="C725" s="26">
        <f>LN(Inventory[[#This Row],[Acres]])</f>
        <v>-1.3093333199837622</v>
      </c>
      <c r="D725" s="25">
        <v>0.27</v>
      </c>
      <c r="E725" s="25">
        <v>11882</v>
      </c>
      <c r="F725" s="26" t="s">
        <v>537</v>
      </c>
      <c r="G725" s="26" t="s">
        <v>126</v>
      </c>
      <c r="H725" s="26" t="s">
        <v>349</v>
      </c>
      <c r="I725" s="26" t="s">
        <v>538</v>
      </c>
      <c r="J725" s="26" t="s">
        <v>539</v>
      </c>
      <c r="K725" s="26" t="s">
        <v>300</v>
      </c>
      <c r="L725" s="26" t="s">
        <v>148</v>
      </c>
      <c r="M725" s="26" t="s">
        <v>303</v>
      </c>
      <c r="N725" s="26">
        <v>80</v>
      </c>
      <c r="O725" s="26">
        <f>2024-Inventory[[#This Row],[YrBlt]]</f>
        <v>72</v>
      </c>
      <c r="P725" s="26">
        <f>2024-Inventory[[#This Row],[EffYr]]</f>
        <v>51</v>
      </c>
      <c r="Q725" s="25">
        <v>1952</v>
      </c>
      <c r="R725" s="25">
        <v>1973</v>
      </c>
      <c r="S725" s="25">
        <v>2336</v>
      </c>
      <c r="T725" s="27"/>
      <c r="U725" s="25">
        <v>2296</v>
      </c>
      <c r="V725" s="25">
        <f>Inventory[[#This Row],[Bsmt]]-Inventory[[#This Row],[FnBsmt]]</f>
        <v>1020</v>
      </c>
      <c r="W725" s="25">
        <v>1276</v>
      </c>
      <c r="X725" s="27"/>
      <c r="Y725" s="27">
        <f>Inventory[[#This Row],[MainFn]]+Inventory[[#This Row],[UpprFn]]+Inventory[[#This Row],[FnBsmt]]+Inventory[[#This Row],[AddFn]]</f>
        <v>3612</v>
      </c>
      <c r="Z725" s="27">
        <v>4000</v>
      </c>
      <c r="AA725" s="25">
        <v>10</v>
      </c>
      <c r="AB725" s="31"/>
      <c r="AC725" s="27"/>
      <c r="AD725" s="27"/>
      <c r="AE725" s="27"/>
      <c r="AF725" s="27"/>
      <c r="AG725" s="27"/>
      <c r="AH725" s="27"/>
      <c r="AI725" s="25">
        <v>674011</v>
      </c>
      <c r="AJ725" s="25">
        <v>478548</v>
      </c>
      <c r="AK725" s="25">
        <v>0</v>
      </c>
      <c r="AL725" s="25">
        <v>467900</v>
      </c>
      <c r="AM725" s="25">
        <v>68900</v>
      </c>
      <c r="AN725" s="25">
        <v>399000</v>
      </c>
      <c r="AO725" s="25">
        <v>0</v>
      </c>
      <c r="AP725" s="25">
        <f>Lookups!$B$56*0</f>
        <v>0</v>
      </c>
      <c r="AQ725" s="25">
        <f>Lookups!$B$56*1</f>
        <v>89850.625589999996</v>
      </c>
      <c r="AR725" s="25">
        <f>Lookups!$B$57*Inventory[[#This Row],[LnAcres]]</f>
        <v>-41446.443120973789</v>
      </c>
      <c r="AS725" s="25">
        <f>VLOOKUP(Inventory[[#This Row],[Qlty]],Lookups!$A$62:$E$75,2,FALSE)</f>
        <v>44121.038090000002</v>
      </c>
      <c r="AT725" s="25">
        <f>VLOOKUP(Inventory[[#This Row],[Cnd]],Lookups!$A$76:$E$84,2,FALSE)</f>
        <v>197752.34721000001</v>
      </c>
      <c r="AU725" s="25">
        <f>Inventory[[#This Row],[EffAge]]*Lookups!$B$85</f>
        <v>-11375.3256255</v>
      </c>
      <c r="AV725" s="25">
        <f>Inventory[[#This Row],[MainFn]]*Lookups!$B$86</f>
        <v>115418.652832672</v>
      </c>
      <c r="AW725" s="25">
        <f>Inventory[[#This Row],[UpprFn]]*Lookups!$B$87</f>
        <v>0</v>
      </c>
      <c r="AX725" s="25">
        <f>Inventory[[#This Row],[AddFn]]*Lookups!$B$88</f>
        <v>0</v>
      </c>
      <c r="AY725" s="25">
        <f>Inventory[[#This Row],[Bsmt]]*Lookups!$B$89</f>
        <v>66772.031487111992</v>
      </c>
      <c r="AZ725" s="25">
        <f>Inventory[[#This Row],[Fixtures]]*Lookups!$B$90</f>
        <v>37920.221052000001</v>
      </c>
      <c r="BA725" s="25">
        <f>Inventory[[#This Row],[WdDeck]]*Lookups!$B$91</f>
        <v>0</v>
      </c>
      <c r="BB725" s="25">
        <f>ROUND(Inventory[[#This Row],[25Det]],-2)</f>
        <v>0</v>
      </c>
      <c r="BC725" s="25">
        <f>ROUND(SUM(Inventory[[#This Row],[Mdl Qlty]:[Mdl WdDeck]])+Inventory[[#This Row],[Mdl Res Intercept]],-2)</f>
        <v>450600</v>
      </c>
      <c r="BD725" s="25">
        <f>ROUND(Inventory[[#This Row],[Mdl Land Intercept]]+Inventory[[#This Row],[Mdl LnAcres]],-2)</f>
        <v>48400</v>
      </c>
      <c r="BE725" s="25">
        <f>Inventory[[#This Row],[Unadj Res Value]]+Inventory[[#This Row],[Unadj Det Value]]+Inventory[[#This Row],[Unadj Land Value]]</f>
        <v>499000</v>
      </c>
      <c r="BF725" s="36">
        <f>(Inventory[[#This Row],[Unadj Total Value]]-Inventory[[#This Row],[24Final]])/Inventory[[#This Row],[24Final]]</f>
        <v>6.6467193844838637E-2</v>
      </c>
      <c r="BG725" s="25">
        <f>VLOOKUP(Inventory[[#This Row],[Nbhd]],Lookups!$Q$2:$T$4,4,FALSE)</f>
        <v>0.99970000000000003</v>
      </c>
      <c r="BH725" s="25">
        <f>VLOOKUP(Inventory[[#This Row],[Qlty]],Lookups!$O$7:$R$21,4,FALSE)</f>
        <v>0.98050000000000004</v>
      </c>
      <c r="BI725" s="25">
        <f>VLOOKUP(Inventory[[#This Row],[Cnd]],Lookups!$T$7:$W$16,4,FALSE)</f>
        <v>0.99650000000000005</v>
      </c>
      <c r="BJ725" s="25">
        <f>VLOOKUP(Inventory[[#This Row],[LivArea Range]],Lookups!$T$25:$W$37,4,FALSE)</f>
        <v>0.94579999999999997</v>
      </c>
      <c r="BK725" s="25">
        <f>VLOOKUP(Inventory[[#This Row],[Decade]],Lookups!$O$25:$R$42,4,FALSE)</f>
        <v>0.995</v>
      </c>
      <c r="BL725" s="25">
        <f>Inventory[[#This Row],[Nbhd Adj]]*0.95</f>
        <v>0.94971499999999998</v>
      </c>
      <c r="BM725" s="25">
        <f>Inventory[[#This Row],[Nbhd Adj]]*Inventory[[#This Row],[Quality Adj]]*Inventory[[#This Row],[Condition Adj]]*Inventory[[#This Row],[Living Area Adj]]*Inventory[[#This Row],[Decade Adj]]*0.95</f>
        <v>0.8732540105213602</v>
      </c>
      <c r="BN725" s="25">
        <f>ROUND(SUM(Inventory[[#This Row],[Mdl Qlty]:[Mdl WdDeck]])+Inventory[[#This Row],[Mdl Res Intercept]]*Inventory[[#This Row],[Res Adj ]],-2)</f>
        <v>450600</v>
      </c>
      <c r="BO725" s="25">
        <f>ROUND(Inventory[[#This Row],[25Det]]*Inventory[[#This Row],[Det/Nbhd Adj]],-2)</f>
        <v>0</v>
      </c>
      <c r="BP725" s="25">
        <f>Inventory[[#This Row],[Adjusted Res]]+Inventory[[#This Row],[Adj Det ]]</f>
        <v>450600</v>
      </c>
      <c r="BQ725" s="25">
        <f>ROUND((Inventory[[#This Row],[Mdl Land Intercept]]+Inventory[[#This Row],[Mdl LnAcres]])*Inventory[[#This Row],[Det/Nbhd Adj]],-2)</f>
        <v>46000</v>
      </c>
      <c r="BR725" s="25">
        <f>Inventory[[#This Row],[Adjusted Impr Total]]+Inventory[[#This Row],[Adjusted Land Total]]</f>
        <v>496600</v>
      </c>
      <c r="BS725" s="36">
        <f>IFERROR((Inventory[[#This Row],[Adjusted Impr Total]]-Inventory[[#This Row],[24Bldg]])/Inventory[[#This Row],[24Bldg]],0)</f>
        <v>0.1293233082706767</v>
      </c>
      <c r="BT725" s="36">
        <f>(Inventory[[#This Row],[Adjusted Land Total]]-Inventory[[#This Row],[24Lnd]])/Inventory[[#This Row],[24Lnd]]</f>
        <v>-0.33236574746008707</v>
      </c>
      <c r="BU725" s="36">
        <f>(Inventory[[#This Row],[Adjusted Total]]-Inventory[[#This Row],[24Final]])/Inventory[[#This Row],[24Final]]</f>
        <v>6.1337892712117974E-2</v>
      </c>
    </row>
    <row r="726" spans="1:73" x14ac:dyDescent="0.3">
      <c r="A726" s="25">
        <v>2025</v>
      </c>
      <c r="B726" s="26" t="s">
        <v>810</v>
      </c>
      <c r="C726" s="26">
        <f>LN(Inventory[[#This Row],[Acres]])</f>
        <v>-1.6094379124341003</v>
      </c>
      <c r="D726" s="25">
        <v>0.2</v>
      </c>
      <c r="E726" s="25">
        <v>8687</v>
      </c>
      <c r="F726" s="26" t="s">
        <v>537</v>
      </c>
      <c r="G726" s="26" t="s">
        <v>126</v>
      </c>
      <c r="H726" s="26" t="s">
        <v>349</v>
      </c>
      <c r="I726" s="26" t="s">
        <v>538</v>
      </c>
      <c r="J726" s="26" t="s">
        <v>539</v>
      </c>
      <c r="K726" s="26" t="s">
        <v>241</v>
      </c>
      <c r="L726" s="26" t="s">
        <v>302</v>
      </c>
      <c r="M726" s="26" t="s">
        <v>303</v>
      </c>
      <c r="N726" s="26">
        <v>80</v>
      </c>
      <c r="O726" s="26">
        <f>2024-Inventory[[#This Row],[YrBlt]]</f>
        <v>72</v>
      </c>
      <c r="P726" s="26">
        <f>2024-Inventory[[#This Row],[EffYr]]</f>
        <v>51</v>
      </c>
      <c r="Q726" s="25">
        <v>1952</v>
      </c>
      <c r="R726" s="25">
        <v>1973</v>
      </c>
      <c r="S726" s="25">
        <v>962</v>
      </c>
      <c r="T726" s="27"/>
      <c r="U726" s="25">
        <v>962</v>
      </c>
      <c r="V726" s="25">
        <f>Inventory[[#This Row],[Bsmt]]-Inventory[[#This Row],[FnBsmt]]</f>
        <v>0</v>
      </c>
      <c r="W726" s="25">
        <v>962</v>
      </c>
      <c r="X726" s="27"/>
      <c r="Y726" s="27">
        <f>Inventory[[#This Row],[MainFn]]+Inventory[[#This Row],[UpprFn]]+Inventory[[#This Row],[FnBsmt]]+Inventory[[#This Row],[AddFn]]</f>
        <v>1924</v>
      </c>
      <c r="Z726" s="27">
        <v>2000</v>
      </c>
      <c r="AA726" s="25">
        <v>8</v>
      </c>
      <c r="AB726" s="32">
        <v>351</v>
      </c>
      <c r="AC726" s="27"/>
      <c r="AD726" s="27"/>
      <c r="AE726" s="27"/>
      <c r="AF726" s="27"/>
      <c r="AG726" s="27"/>
      <c r="AH726" s="27"/>
      <c r="AI726" s="25">
        <v>316607</v>
      </c>
      <c r="AJ726" s="25">
        <v>224791</v>
      </c>
      <c r="AK726" s="25">
        <v>0</v>
      </c>
      <c r="AL726" s="25">
        <v>342600</v>
      </c>
      <c r="AM726" s="25">
        <v>58400</v>
      </c>
      <c r="AN726" s="25">
        <v>284200</v>
      </c>
      <c r="AO726" s="25">
        <v>0</v>
      </c>
      <c r="AP726" s="25">
        <f>Lookups!$B$56*0</f>
        <v>0</v>
      </c>
      <c r="AQ726" s="25">
        <f>Lookups!$B$56*1</f>
        <v>89850.625589999996</v>
      </c>
      <c r="AR726" s="25">
        <f>Lookups!$B$57*Inventory[[#This Row],[LnAcres]]</f>
        <v>-50946.13867709865</v>
      </c>
      <c r="AS726" s="25">
        <f>VLOOKUP(Inventory[[#This Row],[Qlty]],Lookups!$A$62:$E$75,2,FALSE)</f>
        <v>29814.093161000001</v>
      </c>
      <c r="AT726" s="25">
        <f>VLOOKUP(Inventory[[#This Row],[Cnd]],Lookups!$A$76:$E$84,2,FALSE)</f>
        <v>197752.34721000001</v>
      </c>
      <c r="AU726" s="25">
        <f>Inventory[[#This Row],[EffAge]]*Lookups!$B$85</f>
        <v>-11375.3256255</v>
      </c>
      <c r="AV726" s="25">
        <f>Inventory[[#This Row],[MainFn]]*Lookups!$B$86</f>
        <v>47531.140421674005</v>
      </c>
      <c r="AW726" s="25">
        <f>Inventory[[#This Row],[UpprFn]]*Lookups!$B$87</f>
        <v>0</v>
      </c>
      <c r="AX726" s="25">
        <f>Inventory[[#This Row],[AddFn]]*Lookups!$B$88</f>
        <v>0</v>
      </c>
      <c r="AY726" s="25">
        <f>Inventory[[#This Row],[Bsmt]]*Lookups!$B$89</f>
        <v>27976.783227614</v>
      </c>
      <c r="AZ726" s="25">
        <f>Inventory[[#This Row],[Fixtures]]*Lookups!$B$90</f>
        <v>30336.176841600001</v>
      </c>
      <c r="BA726" s="25">
        <f>Inventory[[#This Row],[WdDeck]]*Lookups!$B$91</f>
        <v>0</v>
      </c>
      <c r="BB726" s="25">
        <f>ROUND(Inventory[[#This Row],[25Det]],-2)</f>
        <v>0</v>
      </c>
      <c r="BC726" s="25">
        <f>ROUND(SUM(Inventory[[#This Row],[Mdl Qlty]:[Mdl WdDeck]])+Inventory[[#This Row],[Mdl Res Intercept]],-2)</f>
        <v>322000</v>
      </c>
      <c r="BD726" s="25">
        <f>ROUND(Inventory[[#This Row],[Mdl Land Intercept]]+Inventory[[#This Row],[Mdl LnAcres]],-2)</f>
        <v>38900</v>
      </c>
      <c r="BE726" s="25">
        <f>Inventory[[#This Row],[Unadj Res Value]]+Inventory[[#This Row],[Unadj Det Value]]+Inventory[[#This Row],[Unadj Land Value]]</f>
        <v>360900</v>
      </c>
      <c r="BF726" s="36">
        <f>(Inventory[[#This Row],[Unadj Total Value]]-Inventory[[#This Row],[24Final]])/Inventory[[#This Row],[24Final]]</f>
        <v>5.3415061295971976E-2</v>
      </c>
      <c r="BG726" s="25">
        <f>VLOOKUP(Inventory[[#This Row],[Nbhd]],Lookups!$Q$2:$T$4,4,FALSE)</f>
        <v>0.99970000000000003</v>
      </c>
      <c r="BH726" s="25">
        <f>VLOOKUP(Inventory[[#This Row],[Qlty]],Lookups!$O$7:$R$21,4,FALSE)</f>
        <v>1.0088999999999999</v>
      </c>
      <c r="BI726" s="25">
        <f>VLOOKUP(Inventory[[#This Row],[Cnd]],Lookups!$T$7:$W$16,4,FALSE)</f>
        <v>0.99650000000000005</v>
      </c>
      <c r="BJ726" s="25">
        <f>VLOOKUP(Inventory[[#This Row],[LivArea Range]],Lookups!$T$25:$W$37,4,FALSE)</f>
        <v>1.0093000000000001</v>
      </c>
      <c r="BK726" s="25">
        <f>VLOOKUP(Inventory[[#This Row],[Decade]],Lookups!$O$25:$R$42,4,FALSE)</f>
        <v>0.995</v>
      </c>
      <c r="BL726" s="25">
        <f>Inventory[[#This Row],[Nbhd Adj]]*0.95</f>
        <v>0.94971499999999998</v>
      </c>
      <c r="BM726" s="25">
        <f>Inventory[[#This Row],[Nbhd Adj]]*Inventory[[#This Row],[Quality Adj]]*Inventory[[#This Row],[Condition Adj]]*Inventory[[#This Row],[Living Area Adj]]*Inventory[[#This Row],[Decade Adj]]*0.95</f>
        <v>0.9588751782051762</v>
      </c>
      <c r="BN726" s="25">
        <f>ROUND(SUM(Inventory[[#This Row],[Mdl Qlty]:[Mdl WdDeck]])+Inventory[[#This Row],[Mdl Res Intercept]]*Inventory[[#This Row],[Res Adj ]],-2)</f>
        <v>322000</v>
      </c>
      <c r="BO726" s="25">
        <f>ROUND(Inventory[[#This Row],[25Det]]*Inventory[[#This Row],[Det/Nbhd Adj]],-2)</f>
        <v>0</v>
      </c>
      <c r="BP726" s="25">
        <f>Inventory[[#This Row],[Adjusted Res]]+Inventory[[#This Row],[Adj Det ]]</f>
        <v>322000</v>
      </c>
      <c r="BQ726" s="25">
        <f>ROUND((Inventory[[#This Row],[Mdl Land Intercept]]+Inventory[[#This Row],[Mdl LnAcres]])*Inventory[[#This Row],[Det/Nbhd Adj]],-2)</f>
        <v>36900</v>
      </c>
      <c r="BR726" s="25">
        <f>Inventory[[#This Row],[Adjusted Impr Total]]+Inventory[[#This Row],[Adjusted Land Total]]</f>
        <v>358900</v>
      </c>
      <c r="BS726" s="36">
        <f>IFERROR((Inventory[[#This Row],[Adjusted Impr Total]]-Inventory[[#This Row],[24Bldg]])/Inventory[[#This Row],[24Bldg]],0)</f>
        <v>0.13300492610837439</v>
      </c>
      <c r="BT726" s="36">
        <f>(Inventory[[#This Row],[Adjusted Land Total]]-Inventory[[#This Row],[24Lnd]])/Inventory[[#This Row],[24Lnd]]</f>
        <v>-0.36815068493150682</v>
      </c>
      <c r="BU726" s="36">
        <f>(Inventory[[#This Row],[Adjusted Total]]-Inventory[[#This Row],[24Final]])/Inventory[[#This Row],[24Final]]</f>
        <v>4.7577349678925858E-2</v>
      </c>
    </row>
    <row r="727" spans="1:73" x14ac:dyDescent="0.3">
      <c r="A727" s="25">
        <v>2025</v>
      </c>
      <c r="B727" s="26" t="s">
        <v>1938</v>
      </c>
      <c r="C727" s="26">
        <f>LN(Inventory[[#This Row],[Acres]])</f>
        <v>-1.5141277326297755</v>
      </c>
      <c r="D727" s="25">
        <v>0.22</v>
      </c>
      <c r="E727" s="31"/>
      <c r="F727" s="26" t="s">
        <v>537</v>
      </c>
      <c r="G727" s="26" t="s">
        <v>126</v>
      </c>
      <c r="H727" s="26" t="s">
        <v>349</v>
      </c>
      <c r="I727" s="26" t="s">
        <v>538</v>
      </c>
      <c r="J727" s="26" t="s">
        <v>539</v>
      </c>
      <c r="K727" s="26" t="s">
        <v>241</v>
      </c>
      <c r="L727" s="26" t="s">
        <v>302</v>
      </c>
      <c r="M727" s="26" t="s">
        <v>303</v>
      </c>
      <c r="N727" s="26">
        <v>80</v>
      </c>
      <c r="O727" s="26">
        <f>2024-Inventory[[#This Row],[YrBlt]]</f>
        <v>72</v>
      </c>
      <c r="P727" s="26">
        <f>2024-Inventory[[#This Row],[EffYr]]</f>
        <v>51</v>
      </c>
      <c r="Q727" s="25">
        <v>1952</v>
      </c>
      <c r="R727" s="25">
        <v>1973</v>
      </c>
      <c r="S727" s="25">
        <v>1380</v>
      </c>
      <c r="T727" s="27"/>
      <c r="U727" s="32">
        <v>1380</v>
      </c>
      <c r="V727" s="32">
        <f>Inventory[[#This Row],[Bsmt]]-Inventory[[#This Row],[FnBsmt]]</f>
        <v>345</v>
      </c>
      <c r="W727" s="32">
        <v>1035</v>
      </c>
      <c r="X727" s="27"/>
      <c r="Y727" s="27">
        <f>Inventory[[#This Row],[MainFn]]+Inventory[[#This Row],[UpprFn]]+Inventory[[#This Row],[FnBsmt]]+Inventory[[#This Row],[AddFn]]</f>
        <v>2415</v>
      </c>
      <c r="Z727" s="27">
        <v>2500</v>
      </c>
      <c r="AA727" s="25">
        <v>7</v>
      </c>
      <c r="AB727" s="31"/>
      <c r="AC727" s="27"/>
      <c r="AD727" s="27"/>
      <c r="AE727" s="27"/>
      <c r="AF727" s="27"/>
      <c r="AG727" s="27"/>
      <c r="AH727" s="27"/>
      <c r="AI727" s="25">
        <v>382470</v>
      </c>
      <c r="AJ727" s="25">
        <v>271554</v>
      </c>
      <c r="AK727" s="25">
        <v>12190</v>
      </c>
      <c r="AL727" s="25">
        <v>385900</v>
      </c>
      <c r="AM727" s="25">
        <v>61700</v>
      </c>
      <c r="AN727" s="25">
        <v>324200</v>
      </c>
      <c r="AO727" s="25">
        <v>0</v>
      </c>
      <c r="AP727" s="25">
        <f>Lookups!$B$56*0</f>
        <v>0</v>
      </c>
      <c r="AQ727" s="25">
        <f>Lookups!$B$56*1</f>
        <v>89850.625589999996</v>
      </c>
      <c r="AR727" s="25">
        <f>Lookups!$B$57*Inventory[[#This Row],[LnAcres]]</f>
        <v>-47929.131559187132</v>
      </c>
      <c r="AS727" s="25">
        <f>VLOOKUP(Inventory[[#This Row],[Qlty]],Lookups!$A$62:$E$75,2,FALSE)</f>
        <v>29814.093161000001</v>
      </c>
      <c r="AT727" s="25">
        <f>VLOOKUP(Inventory[[#This Row],[Cnd]],Lookups!$A$76:$E$84,2,FALSE)</f>
        <v>197752.34721000001</v>
      </c>
      <c r="AU727" s="25">
        <f>Inventory[[#This Row],[EffAge]]*Lookups!$B$85</f>
        <v>-11375.3256255</v>
      </c>
      <c r="AV727" s="25">
        <f>Inventory[[#This Row],[MainFn]]*Lookups!$B$86</f>
        <v>68183.964430260006</v>
      </c>
      <c r="AW727" s="25">
        <f>Inventory[[#This Row],[UpprFn]]*Lookups!$B$87</f>
        <v>0</v>
      </c>
      <c r="AX727" s="25">
        <f>Inventory[[#This Row],[AddFn]]*Lookups!$B$88</f>
        <v>0</v>
      </c>
      <c r="AY727" s="25">
        <f>Inventory[[#This Row],[Bsmt]]*Lookups!$B$89</f>
        <v>40133.015440859999</v>
      </c>
      <c r="AZ727" s="25">
        <f>Inventory[[#This Row],[Fixtures]]*Lookups!$B$90</f>
        <v>26544.1547364</v>
      </c>
      <c r="BA727" s="25">
        <f>Inventory[[#This Row],[WdDeck]]*Lookups!$B$91</f>
        <v>0</v>
      </c>
      <c r="BB727" s="25">
        <f>ROUND(Inventory[[#This Row],[25Det]],-2)</f>
        <v>12200</v>
      </c>
      <c r="BC727" s="25">
        <f>ROUND(SUM(Inventory[[#This Row],[Mdl Qlty]:[Mdl WdDeck]])+Inventory[[#This Row],[Mdl Res Intercept]],-2)</f>
        <v>351100</v>
      </c>
      <c r="BD727" s="25">
        <f>ROUND(Inventory[[#This Row],[Mdl Land Intercept]]+Inventory[[#This Row],[Mdl LnAcres]],-2)</f>
        <v>41900</v>
      </c>
      <c r="BE727" s="25">
        <f>Inventory[[#This Row],[Unadj Res Value]]+Inventory[[#This Row],[Unadj Det Value]]+Inventory[[#This Row],[Unadj Land Value]]</f>
        <v>405200</v>
      </c>
      <c r="BF727" s="36">
        <f>(Inventory[[#This Row],[Unadj Total Value]]-Inventory[[#This Row],[24Final]])/Inventory[[#This Row],[24Final]]</f>
        <v>5.0012956724540036E-2</v>
      </c>
      <c r="BG727" s="25">
        <f>VLOOKUP(Inventory[[#This Row],[Nbhd]],Lookups!$Q$2:$T$4,4,FALSE)</f>
        <v>0.99970000000000003</v>
      </c>
      <c r="BH727" s="25">
        <f>VLOOKUP(Inventory[[#This Row],[Qlty]],Lookups!$O$7:$R$21,4,FALSE)</f>
        <v>1.0088999999999999</v>
      </c>
      <c r="BI727" s="25">
        <f>VLOOKUP(Inventory[[#This Row],[Cnd]],Lookups!$T$7:$W$16,4,FALSE)</f>
        <v>0.99650000000000005</v>
      </c>
      <c r="BJ727" s="25">
        <f>VLOOKUP(Inventory[[#This Row],[LivArea Range]],Lookups!$T$25:$W$37,4,FALSE)</f>
        <v>0.98919999999999997</v>
      </c>
      <c r="BK727" s="25">
        <f>VLOOKUP(Inventory[[#This Row],[Decade]],Lookups!$O$25:$R$42,4,FALSE)</f>
        <v>0.995</v>
      </c>
      <c r="BL727" s="25">
        <f>Inventory[[#This Row],[Nbhd Adj]]*0.95</f>
        <v>0.94971499999999998</v>
      </c>
      <c r="BM727" s="25">
        <f>Inventory[[#This Row],[Nbhd Adj]]*Inventory[[#This Row],[Quality Adj]]*Inventory[[#This Row],[Condition Adj]]*Inventory[[#This Row],[Living Area Adj]]*Inventory[[#This Row],[Decade Adj]]*0.95</f>
        <v>0.93977937806455991</v>
      </c>
      <c r="BN727" s="25">
        <f>ROUND(SUM(Inventory[[#This Row],[Mdl Qlty]:[Mdl WdDeck]])+Inventory[[#This Row],[Mdl Res Intercept]]*Inventory[[#This Row],[Res Adj ]],-2)</f>
        <v>351100</v>
      </c>
      <c r="BO727" s="25">
        <f>ROUND(Inventory[[#This Row],[25Det]]*Inventory[[#This Row],[Det/Nbhd Adj]],-2)</f>
        <v>11600</v>
      </c>
      <c r="BP727" s="25">
        <f>Inventory[[#This Row],[Adjusted Res]]+Inventory[[#This Row],[Adj Det ]]</f>
        <v>362700</v>
      </c>
      <c r="BQ727" s="25">
        <f>ROUND((Inventory[[#This Row],[Mdl Land Intercept]]+Inventory[[#This Row],[Mdl LnAcres]])*Inventory[[#This Row],[Det/Nbhd Adj]],-2)</f>
        <v>39800</v>
      </c>
      <c r="BR727" s="25">
        <f>Inventory[[#This Row],[Adjusted Impr Total]]+Inventory[[#This Row],[Adjusted Land Total]]</f>
        <v>402500</v>
      </c>
      <c r="BS727" s="36">
        <f>IFERROR((Inventory[[#This Row],[Adjusted Impr Total]]-Inventory[[#This Row],[24Bldg]])/Inventory[[#This Row],[24Bldg]],0)</f>
        <v>0.11875385564466379</v>
      </c>
      <c r="BT727" s="36">
        <f>(Inventory[[#This Row],[Adjusted Land Total]]-Inventory[[#This Row],[24Lnd]])/Inventory[[#This Row],[24Lnd]]</f>
        <v>-0.35494327390599678</v>
      </c>
      <c r="BU727" s="36">
        <f>(Inventory[[#This Row],[Adjusted Total]]-Inventory[[#This Row],[24Final]])/Inventory[[#This Row],[24Final]]</f>
        <v>4.3016325472920447E-2</v>
      </c>
    </row>
    <row r="728" spans="1:73" x14ac:dyDescent="0.3">
      <c r="A728" s="25">
        <v>2025</v>
      </c>
      <c r="B728" s="26" t="s">
        <v>1493</v>
      </c>
      <c r="C728" s="26">
        <f>LN(Inventory[[#This Row],[Acres]])</f>
        <v>-1.4271163556401458</v>
      </c>
      <c r="D728" s="25">
        <v>0.24</v>
      </c>
      <c r="E728" s="25">
        <v>10426</v>
      </c>
      <c r="F728" s="26" t="s">
        <v>537</v>
      </c>
      <c r="G728" s="26" t="s">
        <v>126</v>
      </c>
      <c r="H728" s="26" t="s">
        <v>349</v>
      </c>
      <c r="I728" s="26" t="s">
        <v>538</v>
      </c>
      <c r="J728" s="26" t="s">
        <v>539</v>
      </c>
      <c r="K728" s="26" t="s">
        <v>241</v>
      </c>
      <c r="L728" s="26" t="s">
        <v>148</v>
      </c>
      <c r="M728" s="26" t="s">
        <v>303</v>
      </c>
      <c r="N728" s="26">
        <v>80</v>
      </c>
      <c r="O728" s="26">
        <f>2024-Inventory[[#This Row],[YrBlt]]</f>
        <v>72</v>
      </c>
      <c r="P728" s="26">
        <f>2024-Inventory[[#This Row],[EffYr]]</f>
        <v>51</v>
      </c>
      <c r="Q728" s="25">
        <v>1952</v>
      </c>
      <c r="R728" s="25">
        <v>1973</v>
      </c>
      <c r="S728" s="25">
        <v>1562</v>
      </c>
      <c r="T728" s="31"/>
      <c r="U728" s="25">
        <v>1562</v>
      </c>
      <c r="V728" s="25">
        <f>Inventory[[#This Row],[Bsmt]]-Inventory[[#This Row],[FnBsmt]]</f>
        <v>0</v>
      </c>
      <c r="W728" s="25">
        <v>1562</v>
      </c>
      <c r="X728" s="27"/>
      <c r="Y728" s="27">
        <f>Inventory[[#This Row],[MainFn]]+Inventory[[#This Row],[UpprFn]]+Inventory[[#This Row],[FnBsmt]]+Inventory[[#This Row],[AddFn]]</f>
        <v>3124</v>
      </c>
      <c r="Z728" s="27">
        <v>3500</v>
      </c>
      <c r="AA728" s="25">
        <v>9</v>
      </c>
      <c r="AB728" s="25">
        <v>336</v>
      </c>
      <c r="AC728" s="27"/>
      <c r="AD728" s="27"/>
      <c r="AE728" s="27"/>
      <c r="AF728" s="27"/>
      <c r="AG728" s="27"/>
      <c r="AH728" s="27"/>
      <c r="AI728" s="25">
        <v>540692</v>
      </c>
      <c r="AJ728" s="25">
        <v>383891</v>
      </c>
      <c r="AK728" s="25">
        <v>18070</v>
      </c>
      <c r="AL728" s="25">
        <v>428900</v>
      </c>
      <c r="AM728" s="25">
        <v>64800</v>
      </c>
      <c r="AN728" s="25">
        <v>364100</v>
      </c>
      <c r="AO728" s="25">
        <v>0</v>
      </c>
      <c r="AP728" s="25">
        <f>Lookups!$B$56*0</f>
        <v>0</v>
      </c>
      <c r="AQ728" s="25">
        <f>Lookups!$B$56*1</f>
        <v>89850.625589999996</v>
      </c>
      <c r="AR728" s="25">
        <f>Lookups!$B$57*Inventory[[#This Row],[LnAcres]]</f>
        <v>-45174.819855485119</v>
      </c>
      <c r="AS728" s="25">
        <f>VLOOKUP(Inventory[[#This Row],[Qlty]],Lookups!$A$62:$E$75,2,FALSE)</f>
        <v>44121.038090000002</v>
      </c>
      <c r="AT728" s="25">
        <f>VLOOKUP(Inventory[[#This Row],[Cnd]],Lookups!$A$76:$E$84,2,FALSE)</f>
        <v>197752.34721000001</v>
      </c>
      <c r="AU728" s="25">
        <f>Inventory[[#This Row],[EffAge]]*Lookups!$B$85</f>
        <v>-11375.3256255</v>
      </c>
      <c r="AV728" s="25">
        <f>Inventory[[#This Row],[MainFn]]*Lookups!$B$86</f>
        <v>77176.342347874001</v>
      </c>
      <c r="AW728" s="25">
        <f>Inventory[[#This Row],[UpprFn]]*Lookups!$B$87</f>
        <v>0</v>
      </c>
      <c r="AX728" s="25">
        <f>Inventory[[#This Row],[AddFn]]*Lookups!$B$88</f>
        <v>0</v>
      </c>
      <c r="AY728" s="25">
        <f>Inventory[[#This Row],[Bsmt]]*Lookups!$B$89</f>
        <v>45425.920375813999</v>
      </c>
      <c r="AZ728" s="25">
        <f>Inventory[[#This Row],[Fixtures]]*Lookups!$B$90</f>
        <v>34128.198946800003</v>
      </c>
      <c r="BA728" s="25">
        <f>Inventory[[#This Row],[WdDeck]]*Lookups!$B$91</f>
        <v>0</v>
      </c>
      <c r="BB728" s="25">
        <f>ROUND(Inventory[[#This Row],[25Det]],-2)</f>
        <v>18100</v>
      </c>
      <c r="BC728" s="25">
        <f>ROUND(SUM(Inventory[[#This Row],[Mdl Qlty]:[Mdl WdDeck]])+Inventory[[#This Row],[Mdl Res Intercept]],-2)</f>
        <v>387200</v>
      </c>
      <c r="BD728" s="25">
        <f>ROUND(Inventory[[#This Row],[Mdl Land Intercept]]+Inventory[[#This Row],[Mdl LnAcres]],-2)</f>
        <v>44700</v>
      </c>
      <c r="BE728" s="25">
        <f>Inventory[[#This Row],[Unadj Res Value]]+Inventory[[#This Row],[Unadj Det Value]]+Inventory[[#This Row],[Unadj Land Value]]</f>
        <v>450000</v>
      </c>
      <c r="BF728" s="36">
        <f>(Inventory[[#This Row],[Unadj Total Value]]-Inventory[[#This Row],[24Final]])/Inventory[[#This Row],[24Final]]</f>
        <v>4.9195616693868037E-2</v>
      </c>
      <c r="BG728" s="25">
        <f>VLOOKUP(Inventory[[#This Row],[Nbhd]],Lookups!$Q$2:$T$4,4,FALSE)</f>
        <v>0.99970000000000003</v>
      </c>
      <c r="BH728" s="25">
        <f>VLOOKUP(Inventory[[#This Row],[Qlty]],Lookups!$O$7:$R$21,4,FALSE)</f>
        <v>0.98050000000000004</v>
      </c>
      <c r="BI728" s="25">
        <f>VLOOKUP(Inventory[[#This Row],[Cnd]],Lookups!$T$7:$W$16,4,FALSE)</f>
        <v>0.99650000000000005</v>
      </c>
      <c r="BJ728" s="25">
        <f>VLOOKUP(Inventory[[#This Row],[LivArea Range]],Lookups!$T$25:$W$37,4,FALSE)</f>
        <v>1.0126999999999999</v>
      </c>
      <c r="BK728" s="25">
        <f>VLOOKUP(Inventory[[#This Row],[Decade]],Lookups!$O$25:$R$42,4,FALSE)</f>
        <v>0.995</v>
      </c>
      <c r="BL728" s="25">
        <f>Inventory[[#This Row],[Nbhd Adj]]*0.95</f>
        <v>0.94971499999999998</v>
      </c>
      <c r="BM728" s="25">
        <f>Inventory[[#This Row],[Nbhd Adj]]*Inventory[[#This Row],[Quality Adj]]*Inventory[[#This Row],[Condition Adj]]*Inventory[[#This Row],[Living Area Adj]]*Inventory[[#This Row],[Decade Adj]]*0.95</f>
        <v>0.93502255916153676</v>
      </c>
      <c r="BN728" s="25">
        <f>ROUND(SUM(Inventory[[#This Row],[Mdl Qlty]:[Mdl WdDeck]])+Inventory[[#This Row],[Mdl Res Intercept]]*Inventory[[#This Row],[Res Adj ]],-2)</f>
        <v>387200</v>
      </c>
      <c r="BO728" s="25">
        <f>ROUND(Inventory[[#This Row],[25Det]]*Inventory[[#This Row],[Det/Nbhd Adj]],-2)</f>
        <v>17200</v>
      </c>
      <c r="BP728" s="25">
        <f>Inventory[[#This Row],[Adjusted Res]]+Inventory[[#This Row],[Adj Det ]]</f>
        <v>404400</v>
      </c>
      <c r="BQ728" s="25">
        <f>ROUND((Inventory[[#This Row],[Mdl Land Intercept]]+Inventory[[#This Row],[Mdl LnAcres]])*Inventory[[#This Row],[Det/Nbhd Adj]],-2)</f>
        <v>42400</v>
      </c>
      <c r="BR728" s="25">
        <f>Inventory[[#This Row],[Adjusted Impr Total]]+Inventory[[#This Row],[Adjusted Land Total]]</f>
        <v>446800</v>
      </c>
      <c r="BS728" s="36">
        <f>IFERROR((Inventory[[#This Row],[Adjusted Impr Total]]-Inventory[[#This Row],[24Bldg]])/Inventory[[#This Row],[24Bldg]],0)</f>
        <v>0.11068387805547926</v>
      </c>
      <c r="BT728" s="36">
        <f>(Inventory[[#This Row],[Adjusted Land Total]]-Inventory[[#This Row],[24Lnd]])/Inventory[[#This Row],[24Lnd]]</f>
        <v>-0.34567901234567899</v>
      </c>
      <c r="BU728" s="36">
        <f>(Inventory[[#This Row],[Adjusted Total]]-Inventory[[#This Row],[24Final]])/Inventory[[#This Row],[24Final]]</f>
        <v>4.1734670086267196E-2</v>
      </c>
    </row>
    <row r="729" spans="1:73" x14ac:dyDescent="0.3">
      <c r="A729" s="25">
        <v>2025</v>
      </c>
      <c r="B729" s="26" t="s">
        <v>1377</v>
      </c>
      <c r="C729" s="26">
        <f>LN(Inventory[[#This Row],[Acres]])</f>
        <v>-1.3093333199837622</v>
      </c>
      <c r="D729" s="25">
        <v>0.27</v>
      </c>
      <c r="E729" s="25">
        <v>11808</v>
      </c>
      <c r="F729" s="26" t="s">
        <v>537</v>
      </c>
      <c r="G729" s="26" t="s">
        <v>126</v>
      </c>
      <c r="H729" s="26" t="s">
        <v>349</v>
      </c>
      <c r="I729" s="26" t="s">
        <v>538</v>
      </c>
      <c r="J729" s="26" t="s">
        <v>539</v>
      </c>
      <c r="K729" s="26" t="s">
        <v>300</v>
      </c>
      <c r="L729" s="26" t="s">
        <v>148</v>
      </c>
      <c r="M729" s="26" t="s">
        <v>303</v>
      </c>
      <c r="N729" s="26">
        <v>80</v>
      </c>
      <c r="O729" s="26">
        <f>2024-Inventory[[#This Row],[YrBlt]]</f>
        <v>72</v>
      </c>
      <c r="P729" s="26">
        <f>2024-Inventory[[#This Row],[EffYr]]</f>
        <v>51</v>
      </c>
      <c r="Q729" s="25">
        <v>1952</v>
      </c>
      <c r="R729" s="25">
        <v>1973</v>
      </c>
      <c r="S729" s="25">
        <v>2215</v>
      </c>
      <c r="T729" s="27"/>
      <c r="U729" s="25">
        <v>1195</v>
      </c>
      <c r="V729" s="25">
        <f>Inventory[[#This Row],[Bsmt]]-Inventory[[#This Row],[FnBsmt]]</f>
        <v>0</v>
      </c>
      <c r="W729" s="25">
        <v>1195</v>
      </c>
      <c r="X729" s="27"/>
      <c r="Y729" s="27">
        <f>Inventory[[#This Row],[MainFn]]+Inventory[[#This Row],[UpprFn]]+Inventory[[#This Row],[FnBsmt]]+Inventory[[#This Row],[AddFn]]</f>
        <v>3410</v>
      </c>
      <c r="Z729" s="27">
        <v>3500</v>
      </c>
      <c r="AA729" s="25">
        <v>12</v>
      </c>
      <c r="AB729" s="27"/>
      <c r="AC729" s="27"/>
      <c r="AD729" s="27"/>
      <c r="AE729" s="27"/>
      <c r="AF729" s="27"/>
      <c r="AG729" s="27"/>
      <c r="AH729" s="27"/>
      <c r="AI729" s="25">
        <v>590991</v>
      </c>
      <c r="AJ729" s="25">
        <v>419604</v>
      </c>
      <c r="AK729" s="25">
        <v>0</v>
      </c>
      <c r="AL729" s="25">
        <v>451400</v>
      </c>
      <c r="AM729" s="25">
        <v>68900</v>
      </c>
      <c r="AN729" s="25">
        <v>382500</v>
      </c>
      <c r="AO729" s="25">
        <v>0</v>
      </c>
      <c r="AP729" s="25">
        <f>Lookups!$B$56*0</f>
        <v>0</v>
      </c>
      <c r="AQ729" s="25">
        <f>Lookups!$B$56*1</f>
        <v>89850.625589999996</v>
      </c>
      <c r="AR729" s="25">
        <f>Lookups!$B$57*Inventory[[#This Row],[LnAcres]]</f>
        <v>-41446.443120973789</v>
      </c>
      <c r="AS729" s="25">
        <f>VLOOKUP(Inventory[[#This Row],[Qlty]],Lookups!$A$62:$E$75,2,FALSE)</f>
        <v>44121.038090000002</v>
      </c>
      <c r="AT729" s="25">
        <f>VLOOKUP(Inventory[[#This Row],[Cnd]],Lookups!$A$76:$E$84,2,FALSE)</f>
        <v>197752.34721000001</v>
      </c>
      <c r="AU729" s="25">
        <f>Inventory[[#This Row],[EffAge]]*Lookups!$B$85</f>
        <v>-11375.3256255</v>
      </c>
      <c r="AV729" s="25">
        <f>Inventory[[#This Row],[MainFn]]*Lookups!$B$86</f>
        <v>109440.203777555</v>
      </c>
      <c r="AW729" s="25">
        <f>Inventory[[#This Row],[UpprFn]]*Lookups!$B$87</f>
        <v>0</v>
      </c>
      <c r="AX729" s="25">
        <f>Inventory[[#This Row],[AddFn]]*Lookups!$B$88</f>
        <v>0</v>
      </c>
      <c r="AY729" s="25">
        <f>Inventory[[#This Row],[Bsmt]]*Lookups!$B$89</f>
        <v>34752.864820164999</v>
      </c>
      <c r="AZ729" s="25">
        <f>Inventory[[#This Row],[Fixtures]]*Lookups!$B$90</f>
        <v>45504.265262400004</v>
      </c>
      <c r="BA729" s="25">
        <f>Inventory[[#This Row],[WdDeck]]*Lookups!$B$91</f>
        <v>0</v>
      </c>
      <c r="BB729" s="25">
        <f>ROUND(Inventory[[#This Row],[25Det]],-2)</f>
        <v>0</v>
      </c>
      <c r="BC729" s="25">
        <f>ROUND(SUM(Inventory[[#This Row],[Mdl Qlty]:[Mdl WdDeck]])+Inventory[[#This Row],[Mdl Res Intercept]],-2)</f>
        <v>420200</v>
      </c>
      <c r="BD729" s="25">
        <f>ROUND(Inventory[[#This Row],[Mdl Land Intercept]]+Inventory[[#This Row],[Mdl LnAcres]],-2)</f>
        <v>48400</v>
      </c>
      <c r="BE729" s="25">
        <f>Inventory[[#This Row],[Unadj Res Value]]+Inventory[[#This Row],[Unadj Det Value]]+Inventory[[#This Row],[Unadj Land Value]]</f>
        <v>468600</v>
      </c>
      <c r="BF729" s="36">
        <f>(Inventory[[#This Row],[Unadj Total Value]]-Inventory[[#This Row],[24Final]])/Inventory[[#This Row],[24Final]]</f>
        <v>3.8103677447939743E-2</v>
      </c>
      <c r="BG729" s="25">
        <f>VLOOKUP(Inventory[[#This Row],[Nbhd]],Lookups!$Q$2:$T$4,4,FALSE)</f>
        <v>0.99970000000000003</v>
      </c>
      <c r="BH729" s="25">
        <f>VLOOKUP(Inventory[[#This Row],[Qlty]],Lookups!$O$7:$R$21,4,FALSE)</f>
        <v>0.98050000000000004</v>
      </c>
      <c r="BI729" s="25">
        <f>VLOOKUP(Inventory[[#This Row],[Cnd]],Lookups!$T$7:$W$16,4,FALSE)</f>
        <v>0.99650000000000005</v>
      </c>
      <c r="BJ729" s="25">
        <f>VLOOKUP(Inventory[[#This Row],[LivArea Range]],Lookups!$T$25:$W$37,4,FALSE)</f>
        <v>1.0126999999999999</v>
      </c>
      <c r="BK729" s="25">
        <f>VLOOKUP(Inventory[[#This Row],[Decade]],Lookups!$O$25:$R$42,4,FALSE)</f>
        <v>0.995</v>
      </c>
      <c r="BL729" s="25">
        <f>Inventory[[#This Row],[Nbhd Adj]]*0.95</f>
        <v>0.94971499999999998</v>
      </c>
      <c r="BM729" s="25">
        <f>Inventory[[#This Row],[Nbhd Adj]]*Inventory[[#This Row],[Quality Adj]]*Inventory[[#This Row],[Condition Adj]]*Inventory[[#This Row],[Living Area Adj]]*Inventory[[#This Row],[Decade Adj]]*0.95</f>
        <v>0.93502255916153676</v>
      </c>
      <c r="BN729" s="25">
        <f>ROUND(SUM(Inventory[[#This Row],[Mdl Qlty]:[Mdl WdDeck]])+Inventory[[#This Row],[Mdl Res Intercept]]*Inventory[[#This Row],[Res Adj ]],-2)</f>
        <v>420200</v>
      </c>
      <c r="BO729" s="25">
        <f>ROUND(Inventory[[#This Row],[25Det]]*Inventory[[#This Row],[Det/Nbhd Adj]],-2)</f>
        <v>0</v>
      </c>
      <c r="BP729" s="25">
        <f>Inventory[[#This Row],[Adjusted Res]]+Inventory[[#This Row],[Adj Det ]]</f>
        <v>420200</v>
      </c>
      <c r="BQ729" s="25">
        <f>ROUND((Inventory[[#This Row],[Mdl Land Intercept]]+Inventory[[#This Row],[Mdl LnAcres]])*Inventory[[#This Row],[Det/Nbhd Adj]],-2)</f>
        <v>46000</v>
      </c>
      <c r="BR729" s="25">
        <f>Inventory[[#This Row],[Adjusted Impr Total]]+Inventory[[#This Row],[Adjusted Land Total]]</f>
        <v>466200</v>
      </c>
      <c r="BS729" s="36">
        <f>IFERROR((Inventory[[#This Row],[Adjusted Impr Total]]-Inventory[[#This Row],[24Bldg]])/Inventory[[#This Row],[24Bldg]],0)</f>
        <v>9.8562091503267973E-2</v>
      </c>
      <c r="BT729" s="36">
        <f>(Inventory[[#This Row],[Adjusted Land Total]]-Inventory[[#This Row],[24Lnd]])/Inventory[[#This Row],[24Lnd]]</f>
        <v>-0.33236574746008707</v>
      </c>
      <c r="BU729" s="36">
        <f>(Inventory[[#This Row],[Adjusted Total]]-Inventory[[#This Row],[24Final]])/Inventory[[#This Row],[24Final]]</f>
        <v>3.2786885245901641E-2</v>
      </c>
    </row>
    <row r="730" spans="1:73" x14ac:dyDescent="0.3">
      <c r="A730" s="25">
        <v>2025</v>
      </c>
      <c r="B730" s="26" t="s">
        <v>962</v>
      </c>
      <c r="C730" s="26">
        <f>LN(Inventory[[#This Row],[Acres]])</f>
        <v>-1.5606477482646683</v>
      </c>
      <c r="D730" s="25">
        <v>0.21</v>
      </c>
      <c r="E730" s="25">
        <v>9304</v>
      </c>
      <c r="F730" s="26" t="s">
        <v>537</v>
      </c>
      <c r="G730" s="26" t="s">
        <v>126</v>
      </c>
      <c r="H730" s="26" t="s">
        <v>349</v>
      </c>
      <c r="I730" s="26" t="s">
        <v>538</v>
      </c>
      <c r="J730" s="26" t="s">
        <v>539</v>
      </c>
      <c r="K730" s="26" t="s">
        <v>241</v>
      </c>
      <c r="L730" s="26" t="s">
        <v>148</v>
      </c>
      <c r="M730" s="26" t="s">
        <v>323</v>
      </c>
      <c r="N730" s="26">
        <v>80</v>
      </c>
      <c r="O730" s="26">
        <f>2024-Inventory[[#This Row],[YrBlt]]</f>
        <v>72</v>
      </c>
      <c r="P730" s="26">
        <f>2024-Inventory[[#This Row],[EffYr]]</f>
        <v>51</v>
      </c>
      <c r="Q730" s="25">
        <v>1952</v>
      </c>
      <c r="R730" s="25">
        <v>1973</v>
      </c>
      <c r="S730" s="25">
        <v>1444</v>
      </c>
      <c r="T730" s="31"/>
      <c r="U730" s="25">
        <v>1060</v>
      </c>
      <c r="V730" s="25">
        <f>Inventory[[#This Row],[Bsmt]]-Inventory[[#This Row],[FnBsmt]]</f>
        <v>212</v>
      </c>
      <c r="W730" s="25">
        <v>848</v>
      </c>
      <c r="X730" s="27"/>
      <c r="Y730" s="27">
        <f>Inventory[[#This Row],[MainFn]]+Inventory[[#This Row],[UpprFn]]+Inventory[[#This Row],[FnBsmt]]+Inventory[[#This Row],[AddFn]]</f>
        <v>2292</v>
      </c>
      <c r="Z730" s="27">
        <v>2500</v>
      </c>
      <c r="AA730" s="25">
        <v>9</v>
      </c>
      <c r="AB730" s="27"/>
      <c r="AC730" s="27"/>
      <c r="AD730" s="27"/>
      <c r="AE730" s="27"/>
      <c r="AF730" s="27"/>
      <c r="AG730" s="27"/>
      <c r="AH730" s="27"/>
      <c r="AI730" s="25">
        <v>448133</v>
      </c>
      <c r="AJ730" s="25">
        <v>309212</v>
      </c>
      <c r="AK730" s="25">
        <v>8240</v>
      </c>
      <c r="AL730" s="25">
        <v>367000</v>
      </c>
      <c r="AM730" s="25">
        <v>60100</v>
      </c>
      <c r="AN730" s="25">
        <v>306900</v>
      </c>
      <c r="AO730" s="25">
        <v>0</v>
      </c>
      <c r="AP730" s="25">
        <f>Lookups!$B$56*0</f>
        <v>0</v>
      </c>
      <c r="AQ730" s="25">
        <f>Lookups!$B$56*1</f>
        <v>89850.625589999996</v>
      </c>
      <c r="AR730" s="25">
        <f>Lookups!$B$57*Inventory[[#This Row],[LnAcres]]</f>
        <v>-49401.70477837498</v>
      </c>
      <c r="AS730" s="25">
        <f>VLOOKUP(Inventory[[#This Row],[Qlty]],Lookups!$A$62:$E$75,2,FALSE)</f>
        <v>44121.038090000002</v>
      </c>
      <c r="AT730" s="25">
        <f>VLOOKUP(Inventory[[#This Row],[Cnd]],Lookups!$A$76:$E$84,2,FALSE)</f>
        <v>160472.20319</v>
      </c>
      <c r="AU730" s="25">
        <f>Inventory[[#This Row],[EffAge]]*Lookups!$B$85</f>
        <v>-11375.3256255</v>
      </c>
      <c r="AV730" s="25">
        <f>Inventory[[#This Row],[MainFn]]*Lookups!$B$86</f>
        <v>71346.119302388004</v>
      </c>
      <c r="AW730" s="25">
        <f>Inventory[[#This Row],[UpprFn]]*Lookups!$B$87</f>
        <v>0</v>
      </c>
      <c r="AX730" s="25">
        <f>Inventory[[#This Row],[AddFn]]*Lookups!$B$88</f>
        <v>0</v>
      </c>
      <c r="AY730" s="25">
        <f>Inventory[[#This Row],[Bsmt]]*Lookups!$B$89</f>
        <v>30826.808961819999</v>
      </c>
      <c r="AZ730" s="25">
        <f>Inventory[[#This Row],[Fixtures]]*Lookups!$B$90</f>
        <v>34128.198946800003</v>
      </c>
      <c r="BA730" s="25">
        <f>Inventory[[#This Row],[WdDeck]]*Lookups!$B$91</f>
        <v>0</v>
      </c>
      <c r="BB730" s="25">
        <f>ROUND(Inventory[[#This Row],[25Det]],-2)</f>
        <v>8200</v>
      </c>
      <c r="BC730" s="25">
        <f>ROUND(SUM(Inventory[[#This Row],[Mdl Qlty]:[Mdl WdDeck]])+Inventory[[#This Row],[Mdl Res Intercept]],-2)</f>
        <v>329500</v>
      </c>
      <c r="BD730" s="25">
        <f>ROUND(Inventory[[#This Row],[Mdl Land Intercept]]+Inventory[[#This Row],[Mdl LnAcres]],-2)</f>
        <v>40400</v>
      </c>
      <c r="BE730" s="25">
        <f>Inventory[[#This Row],[Unadj Res Value]]+Inventory[[#This Row],[Unadj Det Value]]+Inventory[[#This Row],[Unadj Land Value]]</f>
        <v>378100</v>
      </c>
      <c r="BF730" s="36">
        <f>(Inventory[[#This Row],[Unadj Total Value]]-Inventory[[#This Row],[24Final]])/Inventory[[#This Row],[24Final]]</f>
        <v>3.0245231607629427E-2</v>
      </c>
      <c r="BG730" s="25">
        <f>VLOOKUP(Inventory[[#This Row],[Nbhd]],Lookups!$Q$2:$T$4,4,FALSE)</f>
        <v>0.99970000000000003</v>
      </c>
      <c r="BH730" s="25">
        <f>VLOOKUP(Inventory[[#This Row],[Qlty]],Lookups!$O$7:$R$21,4,FALSE)</f>
        <v>0.98050000000000004</v>
      </c>
      <c r="BI730" s="25">
        <f>VLOOKUP(Inventory[[#This Row],[Cnd]],Lookups!$T$7:$W$16,4,FALSE)</f>
        <v>0.99729999999999996</v>
      </c>
      <c r="BJ730" s="25">
        <f>VLOOKUP(Inventory[[#This Row],[LivArea Range]],Lookups!$T$25:$W$37,4,FALSE)</f>
        <v>0.98919999999999997</v>
      </c>
      <c r="BK730" s="25">
        <f>VLOOKUP(Inventory[[#This Row],[Decade]],Lookups!$O$25:$R$42,4,FALSE)</f>
        <v>0.995</v>
      </c>
      <c r="BL730" s="25">
        <f>Inventory[[#This Row],[Nbhd Adj]]*0.95</f>
        <v>0.94971499999999998</v>
      </c>
      <c r="BM730" s="25">
        <f>Inventory[[#This Row],[Nbhd Adj]]*Inventory[[#This Row],[Quality Adj]]*Inventory[[#This Row],[Condition Adj]]*Inventory[[#This Row],[Living Area Adj]]*Inventory[[#This Row],[Decade Adj]]*0.95</f>
        <v>0.91405831328052556</v>
      </c>
      <c r="BN730" s="25">
        <f>ROUND(SUM(Inventory[[#This Row],[Mdl Qlty]:[Mdl WdDeck]])+Inventory[[#This Row],[Mdl Res Intercept]]*Inventory[[#This Row],[Res Adj ]],-2)</f>
        <v>329500</v>
      </c>
      <c r="BO730" s="25">
        <f>ROUND(Inventory[[#This Row],[25Det]]*Inventory[[#This Row],[Det/Nbhd Adj]],-2)</f>
        <v>7800</v>
      </c>
      <c r="BP730" s="25">
        <f>Inventory[[#This Row],[Adjusted Res]]+Inventory[[#This Row],[Adj Det ]]</f>
        <v>337300</v>
      </c>
      <c r="BQ730" s="25">
        <f>ROUND((Inventory[[#This Row],[Mdl Land Intercept]]+Inventory[[#This Row],[Mdl LnAcres]])*Inventory[[#This Row],[Det/Nbhd Adj]],-2)</f>
        <v>38400</v>
      </c>
      <c r="BR730" s="25">
        <f>Inventory[[#This Row],[Adjusted Impr Total]]+Inventory[[#This Row],[Adjusted Land Total]]</f>
        <v>375700</v>
      </c>
      <c r="BS730" s="36">
        <f>IFERROR((Inventory[[#This Row],[Adjusted Impr Total]]-Inventory[[#This Row],[24Bldg]])/Inventory[[#This Row],[24Bldg]],0)</f>
        <v>9.9055066797002281E-2</v>
      </c>
      <c r="BT730" s="36">
        <f>(Inventory[[#This Row],[Adjusted Land Total]]-Inventory[[#This Row],[24Lnd]])/Inventory[[#This Row],[24Lnd]]</f>
        <v>-0.36106489184692181</v>
      </c>
      <c r="BU730" s="36">
        <f>(Inventory[[#This Row],[Adjusted Total]]-Inventory[[#This Row],[24Final]])/Inventory[[#This Row],[24Final]]</f>
        <v>2.3705722070844686E-2</v>
      </c>
    </row>
    <row r="731" spans="1:73" x14ac:dyDescent="0.3">
      <c r="A731" s="25">
        <v>2025</v>
      </c>
      <c r="B731" s="26" t="s">
        <v>1510</v>
      </c>
      <c r="C731" s="26">
        <f>LN(Inventory[[#This Row],[Acres]])</f>
        <v>-1.6607312068216509</v>
      </c>
      <c r="D731" s="25">
        <v>0.19</v>
      </c>
      <c r="E731" s="25">
        <v>8138</v>
      </c>
      <c r="F731" s="26" t="s">
        <v>537</v>
      </c>
      <c r="G731" s="26" t="s">
        <v>126</v>
      </c>
      <c r="H731" s="26" t="s">
        <v>349</v>
      </c>
      <c r="I731" s="26" t="s">
        <v>538</v>
      </c>
      <c r="J731" s="26" t="s">
        <v>539</v>
      </c>
      <c r="K731" s="26" t="s">
        <v>241</v>
      </c>
      <c r="L731" s="26" t="s">
        <v>351</v>
      </c>
      <c r="M731" s="26" t="s">
        <v>323</v>
      </c>
      <c r="N731" s="26">
        <v>80</v>
      </c>
      <c r="O731" s="26">
        <f>2024-Inventory[[#This Row],[YrBlt]]</f>
        <v>72</v>
      </c>
      <c r="P731" s="26">
        <f>2024-Inventory[[#This Row],[EffYr]]</f>
        <v>36</v>
      </c>
      <c r="Q731" s="25">
        <v>1952</v>
      </c>
      <c r="R731" s="25">
        <v>1988</v>
      </c>
      <c r="S731" s="25">
        <v>1025</v>
      </c>
      <c r="T731" s="31"/>
      <c r="U731" s="25">
        <v>1025</v>
      </c>
      <c r="V731" s="25">
        <f>Inventory[[#This Row],[Bsmt]]-Inventory[[#This Row],[FnBsmt]]</f>
        <v>0</v>
      </c>
      <c r="W731" s="25">
        <v>1025</v>
      </c>
      <c r="X731" s="27"/>
      <c r="Y731" s="27">
        <f>Inventory[[#This Row],[MainFn]]+Inventory[[#This Row],[UpprFn]]+Inventory[[#This Row],[FnBsmt]]+Inventory[[#This Row],[AddFn]]</f>
        <v>2050</v>
      </c>
      <c r="Z731" s="27">
        <v>2500</v>
      </c>
      <c r="AA731" s="25">
        <v>9</v>
      </c>
      <c r="AB731" s="27"/>
      <c r="AC731" s="27"/>
      <c r="AD731" s="27"/>
      <c r="AE731" s="27"/>
      <c r="AF731" s="27"/>
      <c r="AG731" s="27"/>
      <c r="AH731" s="27"/>
      <c r="AI731" s="25">
        <v>255321</v>
      </c>
      <c r="AJ731" s="25">
        <v>214470</v>
      </c>
      <c r="AK731" s="25">
        <v>0</v>
      </c>
      <c r="AL731" s="25">
        <v>316800</v>
      </c>
      <c r="AM731" s="25">
        <v>56600</v>
      </c>
      <c r="AN731" s="25">
        <v>260200</v>
      </c>
      <c r="AO731" s="25">
        <v>0</v>
      </c>
      <c r="AP731" s="25">
        <f>Lookups!$B$56*0</f>
        <v>0</v>
      </c>
      <c r="AQ731" s="25">
        <f>Lookups!$B$56*1</f>
        <v>89850.625589999996</v>
      </c>
      <c r="AR731" s="25">
        <f>Lookups!$B$57*Inventory[[#This Row],[LnAcres]]</f>
        <v>-52569.808201026557</v>
      </c>
      <c r="AS731" s="25">
        <f>VLOOKUP(Inventory[[#This Row],[Qlty]],Lookups!$A$62:$E$75,2,FALSE)</f>
        <v>21557.329055999999</v>
      </c>
      <c r="AT731" s="25">
        <f>VLOOKUP(Inventory[[#This Row],[Cnd]],Lookups!$A$76:$E$84,2,FALSE)</f>
        <v>160472.20319</v>
      </c>
      <c r="AU731" s="25">
        <f>Inventory[[#This Row],[EffAge]]*Lookups!$B$85</f>
        <v>-8029.6416180000006</v>
      </c>
      <c r="AV731" s="25">
        <f>Inventory[[#This Row],[MainFn]]*Lookups!$B$86</f>
        <v>50643.886623924998</v>
      </c>
      <c r="AW731" s="25">
        <f>Inventory[[#This Row],[UpprFn]]*Lookups!$B$87</f>
        <v>0</v>
      </c>
      <c r="AX731" s="25">
        <f>Inventory[[#This Row],[AddFn]]*Lookups!$B$88</f>
        <v>0</v>
      </c>
      <c r="AY731" s="25">
        <f>Inventory[[#This Row],[Bsmt]]*Lookups!$B$89</f>
        <v>29808.942628174998</v>
      </c>
      <c r="AZ731" s="25">
        <f>Inventory[[#This Row],[Fixtures]]*Lookups!$B$90</f>
        <v>34128.198946800003</v>
      </c>
      <c r="BA731" s="25">
        <f>Inventory[[#This Row],[WdDeck]]*Lookups!$B$91</f>
        <v>0</v>
      </c>
      <c r="BB731" s="25">
        <f>ROUND(Inventory[[#This Row],[25Det]],-2)</f>
        <v>0</v>
      </c>
      <c r="BC731" s="25">
        <f>ROUND(SUM(Inventory[[#This Row],[Mdl Qlty]:[Mdl WdDeck]])+Inventory[[#This Row],[Mdl Res Intercept]],-2)</f>
        <v>288600</v>
      </c>
      <c r="BD731" s="25">
        <f>ROUND(Inventory[[#This Row],[Mdl Land Intercept]]+Inventory[[#This Row],[Mdl LnAcres]],-2)</f>
        <v>37300</v>
      </c>
      <c r="BE731" s="25">
        <f>Inventory[[#This Row],[Unadj Res Value]]+Inventory[[#This Row],[Unadj Det Value]]+Inventory[[#This Row],[Unadj Land Value]]</f>
        <v>325900</v>
      </c>
      <c r="BF731" s="36">
        <f>(Inventory[[#This Row],[Unadj Total Value]]-Inventory[[#This Row],[24Final]])/Inventory[[#This Row],[24Final]]</f>
        <v>2.8724747474747476E-2</v>
      </c>
      <c r="BG731" s="25">
        <f>VLOOKUP(Inventory[[#This Row],[Nbhd]],Lookups!$Q$2:$T$4,4,FALSE)</f>
        <v>0.99970000000000003</v>
      </c>
      <c r="BH731" s="25">
        <f>VLOOKUP(Inventory[[#This Row],[Qlty]],Lookups!$O$7:$R$21,4,FALSE)</f>
        <v>1.0067999999999999</v>
      </c>
      <c r="BI731" s="25">
        <f>VLOOKUP(Inventory[[#This Row],[Cnd]],Lookups!$T$7:$W$16,4,FALSE)</f>
        <v>0.99729999999999996</v>
      </c>
      <c r="BJ731" s="25">
        <f>VLOOKUP(Inventory[[#This Row],[LivArea Range]],Lookups!$T$25:$W$37,4,FALSE)</f>
        <v>0.98919999999999997</v>
      </c>
      <c r="BK731" s="25">
        <f>VLOOKUP(Inventory[[#This Row],[Decade]],Lookups!$O$25:$R$42,4,FALSE)</f>
        <v>0.995</v>
      </c>
      <c r="BL731" s="25">
        <f>Inventory[[#This Row],[Nbhd Adj]]*0.95</f>
        <v>0.94971499999999998</v>
      </c>
      <c r="BM731" s="25">
        <f>Inventory[[#This Row],[Nbhd Adj]]*Inventory[[#This Row],[Quality Adj]]*Inventory[[#This Row],[Condition Adj]]*Inventory[[#This Row],[Living Area Adj]]*Inventory[[#This Row],[Decade Adj]]*0.95</f>
        <v>0.93857614463114025</v>
      </c>
      <c r="BN731" s="25">
        <f>ROUND(SUM(Inventory[[#This Row],[Mdl Qlty]:[Mdl WdDeck]])+Inventory[[#This Row],[Mdl Res Intercept]]*Inventory[[#This Row],[Res Adj ]],-2)</f>
        <v>288600</v>
      </c>
      <c r="BO731" s="25">
        <f>ROUND(Inventory[[#This Row],[25Det]]*Inventory[[#This Row],[Det/Nbhd Adj]],-2)</f>
        <v>0</v>
      </c>
      <c r="BP731" s="25">
        <f>Inventory[[#This Row],[Adjusted Res]]+Inventory[[#This Row],[Adj Det ]]</f>
        <v>288600</v>
      </c>
      <c r="BQ731" s="25">
        <f>ROUND((Inventory[[#This Row],[Mdl Land Intercept]]+Inventory[[#This Row],[Mdl LnAcres]])*Inventory[[#This Row],[Det/Nbhd Adj]],-2)</f>
        <v>35400</v>
      </c>
      <c r="BR731" s="25">
        <f>Inventory[[#This Row],[Adjusted Impr Total]]+Inventory[[#This Row],[Adjusted Land Total]]</f>
        <v>324000</v>
      </c>
      <c r="BS731" s="36">
        <f>IFERROR((Inventory[[#This Row],[Adjusted Impr Total]]-Inventory[[#This Row],[24Bldg]])/Inventory[[#This Row],[24Bldg]],0)</f>
        <v>0.10914681014604151</v>
      </c>
      <c r="BT731" s="36">
        <f>(Inventory[[#This Row],[Adjusted Land Total]]-Inventory[[#This Row],[24Lnd]])/Inventory[[#This Row],[24Lnd]]</f>
        <v>-0.37455830388692579</v>
      </c>
      <c r="BU731" s="36">
        <f>(Inventory[[#This Row],[Adjusted Total]]-Inventory[[#This Row],[24Final]])/Inventory[[#This Row],[24Final]]</f>
        <v>2.2727272727272728E-2</v>
      </c>
    </row>
    <row r="732" spans="1:73" x14ac:dyDescent="0.3">
      <c r="A732" s="25">
        <v>2025</v>
      </c>
      <c r="B732" s="26" t="s">
        <v>1411</v>
      </c>
      <c r="C732" s="26">
        <f>LN(Inventory[[#This Row],[Acres]])</f>
        <v>-1.7719568419318752</v>
      </c>
      <c r="D732" s="31">
        <f>ROUND(Inventory[[#This Row],[Sqft]]/43560,2)</f>
        <v>0.17</v>
      </c>
      <c r="E732" s="25">
        <v>7340</v>
      </c>
      <c r="F732" s="26" t="s">
        <v>537</v>
      </c>
      <c r="G732" s="26" t="s">
        <v>126</v>
      </c>
      <c r="H732" s="26" t="s">
        <v>349</v>
      </c>
      <c r="I732" s="26" t="s">
        <v>538</v>
      </c>
      <c r="J732" s="26" t="s">
        <v>539</v>
      </c>
      <c r="K732" s="26" t="s">
        <v>241</v>
      </c>
      <c r="L732" s="26" t="s">
        <v>302</v>
      </c>
      <c r="M732" s="26" t="s">
        <v>323</v>
      </c>
      <c r="N732" s="26">
        <v>80</v>
      </c>
      <c r="O732" s="26">
        <f>2024-Inventory[[#This Row],[YrBlt]]</f>
        <v>72</v>
      </c>
      <c r="P732" s="26">
        <f>2024-Inventory[[#This Row],[EffYr]]</f>
        <v>51</v>
      </c>
      <c r="Q732" s="25">
        <v>1952</v>
      </c>
      <c r="R732" s="25">
        <v>1973</v>
      </c>
      <c r="S732" s="25">
        <v>1291</v>
      </c>
      <c r="T732" s="27"/>
      <c r="U732" s="32">
        <v>1291</v>
      </c>
      <c r="V732" s="32">
        <f>Inventory[[#This Row],[Bsmt]]-Inventory[[#This Row],[FnBsmt]]</f>
        <v>0</v>
      </c>
      <c r="W732" s="32">
        <v>1291</v>
      </c>
      <c r="X732" s="27"/>
      <c r="Y732" s="27">
        <f>Inventory[[#This Row],[MainFn]]+Inventory[[#This Row],[UpprFn]]+Inventory[[#This Row],[FnBsmt]]+Inventory[[#This Row],[AddFn]]</f>
        <v>2582</v>
      </c>
      <c r="Z732" s="27">
        <v>3000</v>
      </c>
      <c r="AA732" s="25">
        <v>8</v>
      </c>
      <c r="AB732" s="25">
        <v>260</v>
      </c>
      <c r="AC732" s="27"/>
      <c r="AD732" s="32">
        <v>100</v>
      </c>
      <c r="AE732" s="27"/>
      <c r="AF732" s="27"/>
      <c r="AG732" s="27"/>
      <c r="AH732" s="27"/>
      <c r="AI732" s="25">
        <v>404518</v>
      </c>
      <c r="AJ732" s="25">
        <v>279117</v>
      </c>
      <c r="AK732" s="25">
        <v>0</v>
      </c>
      <c r="AL732" s="25">
        <v>341800</v>
      </c>
      <c r="AM732" s="25">
        <v>52700</v>
      </c>
      <c r="AN732" s="25">
        <v>289100</v>
      </c>
      <c r="AO732" s="25">
        <v>0</v>
      </c>
      <c r="AP732" s="25">
        <f>Lookups!$B$56*0</f>
        <v>0</v>
      </c>
      <c r="AQ732" s="25">
        <f>Lookups!$B$56*1</f>
        <v>89850.625589999996</v>
      </c>
      <c r="AR732" s="25">
        <f>Lookups!$B$57*Inventory[[#This Row],[LnAcres]]</f>
        <v>-56090.612940989391</v>
      </c>
      <c r="AS732" s="25">
        <f>VLOOKUP(Inventory[[#This Row],[Qlty]],Lookups!$A$62:$E$75,2,FALSE)</f>
        <v>29814.093161000001</v>
      </c>
      <c r="AT732" s="25">
        <f>VLOOKUP(Inventory[[#This Row],[Cnd]],Lookups!$A$76:$E$84,2,FALSE)</f>
        <v>160472.20319</v>
      </c>
      <c r="AU732" s="25">
        <f>Inventory[[#This Row],[EffAge]]*Lookups!$B$85</f>
        <v>-11375.3256255</v>
      </c>
      <c r="AV732" s="25">
        <f>Inventory[[#This Row],[MainFn]]*Lookups!$B$86</f>
        <v>63786.592811207003</v>
      </c>
      <c r="AW732" s="25">
        <f>Inventory[[#This Row],[UpprFn]]*Lookups!$B$87</f>
        <v>0</v>
      </c>
      <c r="AX732" s="25">
        <f>Inventory[[#This Row],[AddFn]]*Lookups!$B$88</f>
        <v>0</v>
      </c>
      <c r="AY732" s="25">
        <f>Inventory[[#This Row],[Bsmt]]*Lookups!$B$89</f>
        <v>37544.726763876999</v>
      </c>
      <c r="AZ732" s="25">
        <f>Inventory[[#This Row],[Fixtures]]*Lookups!$B$90</f>
        <v>30336.176841600001</v>
      </c>
      <c r="BA732" s="25">
        <f>Inventory[[#This Row],[WdDeck]]*Lookups!$B$91</f>
        <v>3329.5515276000006</v>
      </c>
      <c r="BB732" s="25">
        <f>ROUND(Inventory[[#This Row],[25Det]],-2)</f>
        <v>0</v>
      </c>
      <c r="BC732" s="25">
        <f>ROUND(SUM(Inventory[[#This Row],[Mdl Qlty]:[Mdl WdDeck]])+Inventory[[#This Row],[Mdl Res Intercept]],-2)</f>
        <v>313900</v>
      </c>
      <c r="BD732" s="25">
        <f>ROUND(Inventory[[#This Row],[Mdl Land Intercept]]+Inventory[[#This Row],[Mdl LnAcres]],-2)</f>
        <v>33800</v>
      </c>
      <c r="BE732" s="25">
        <f>Inventory[[#This Row],[Unadj Res Value]]+Inventory[[#This Row],[Unadj Det Value]]+Inventory[[#This Row],[Unadj Land Value]]</f>
        <v>347700</v>
      </c>
      <c r="BF732" s="36">
        <f>(Inventory[[#This Row],[Unadj Total Value]]-Inventory[[#This Row],[24Final]])/Inventory[[#This Row],[24Final]]</f>
        <v>1.7261556465769455E-2</v>
      </c>
      <c r="BG732" s="25">
        <f>VLOOKUP(Inventory[[#This Row],[Nbhd]],Lookups!$Q$2:$T$4,4,FALSE)</f>
        <v>0.99970000000000003</v>
      </c>
      <c r="BH732" s="25">
        <f>VLOOKUP(Inventory[[#This Row],[Qlty]],Lookups!$O$7:$R$21,4,FALSE)</f>
        <v>1.0088999999999999</v>
      </c>
      <c r="BI732" s="25">
        <f>VLOOKUP(Inventory[[#This Row],[Cnd]],Lookups!$T$7:$W$16,4,FALSE)</f>
        <v>0.99729999999999996</v>
      </c>
      <c r="BJ732" s="25">
        <f>VLOOKUP(Inventory[[#This Row],[LivArea Range]],Lookups!$T$25:$W$37,4,FALSE)</f>
        <v>0.96179999999999999</v>
      </c>
      <c r="BK732" s="25">
        <f>VLOOKUP(Inventory[[#This Row],[Decade]],Lookups!$O$25:$R$42,4,FALSE)</f>
        <v>0.995</v>
      </c>
      <c r="BL732" s="25">
        <f>Inventory[[#This Row],[Nbhd Adj]]*0.95</f>
        <v>0.94971499999999998</v>
      </c>
      <c r="BM732" s="25">
        <f>Inventory[[#This Row],[Nbhd Adj]]*Inventory[[#This Row],[Quality Adj]]*Inventory[[#This Row],[Condition Adj]]*Inventory[[#This Row],[Living Area Adj]]*Inventory[[#This Row],[Decade Adj]]*0.95</f>
        <v>0.91448185343686017</v>
      </c>
      <c r="BN732" s="25">
        <f>ROUND(SUM(Inventory[[#This Row],[Mdl Qlty]:[Mdl WdDeck]])+Inventory[[#This Row],[Mdl Res Intercept]]*Inventory[[#This Row],[Res Adj ]],-2)</f>
        <v>313900</v>
      </c>
      <c r="BO732" s="25">
        <f>ROUND(Inventory[[#This Row],[25Det]]*Inventory[[#This Row],[Det/Nbhd Adj]],-2)</f>
        <v>0</v>
      </c>
      <c r="BP732" s="25">
        <f>Inventory[[#This Row],[Adjusted Res]]+Inventory[[#This Row],[Adj Det ]]</f>
        <v>313900</v>
      </c>
      <c r="BQ732" s="25">
        <f>ROUND((Inventory[[#This Row],[Mdl Land Intercept]]+Inventory[[#This Row],[Mdl LnAcres]])*Inventory[[#This Row],[Det/Nbhd Adj]],-2)</f>
        <v>32100</v>
      </c>
      <c r="BR732" s="25">
        <f>Inventory[[#This Row],[Adjusted Impr Total]]+Inventory[[#This Row],[Adjusted Land Total]]</f>
        <v>346000</v>
      </c>
      <c r="BS732" s="36">
        <f>IFERROR((Inventory[[#This Row],[Adjusted Impr Total]]-Inventory[[#This Row],[24Bldg]])/Inventory[[#This Row],[24Bldg]],0)</f>
        <v>8.5783465928744376E-2</v>
      </c>
      <c r="BT732" s="36">
        <f>(Inventory[[#This Row],[Adjusted Land Total]]-Inventory[[#This Row],[24Lnd]])/Inventory[[#This Row],[24Lnd]]</f>
        <v>-0.39089184060721061</v>
      </c>
      <c r="BU732" s="36">
        <f>(Inventory[[#This Row],[Adjusted Total]]-Inventory[[#This Row],[24Final]])/Inventory[[#This Row],[24Final]]</f>
        <v>1.2287887653598596E-2</v>
      </c>
    </row>
    <row r="733" spans="1:73" x14ac:dyDescent="0.3">
      <c r="A733" s="25">
        <v>2025</v>
      </c>
      <c r="B733" s="26" t="s">
        <v>2389</v>
      </c>
      <c r="C733" s="26">
        <f>LN(Inventory[[#This Row],[Acres]])</f>
        <v>-1.4696759700589417</v>
      </c>
      <c r="D733" s="25">
        <v>0.23</v>
      </c>
      <c r="E733" s="25">
        <v>10010</v>
      </c>
      <c r="F733" s="26" t="s">
        <v>537</v>
      </c>
      <c r="G733" s="26" t="s">
        <v>126</v>
      </c>
      <c r="H733" s="26" t="s">
        <v>349</v>
      </c>
      <c r="I733" s="26" t="s">
        <v>538</v>
      </c>
      <c r="J733" s="26" t="s">
        <v>539</v>
      </c>
      <c r="K733" s="26" t="s">
        <v>241</v>
      </c>
      <c r="L733" s="26" t="s">
        <v>148</v>
      </c>
      <c r="M733" s="26" t="s">
        <v>323</v>
      </c>
      <c r="N733" s="26">
        <v>80</v>
      </c>
      <c r="O733" s="26">
        <f>2024-Inventory[[#This Row],[YrBlt]]</f>
        <v>72</v>
      </c>
      <c r="P733" s="26">
        <f>2024-Inventory[[#This Row],[EffYr]]</f>
        <v>51</v>
      </c>
      <c r="Q733" s="25">
        <v>1952</v>
      </c>
      <c r="R733" s="25">
        <v>1973</v>
      </c>
      <c r="S733" s="25">
        <v>1446</v>
      </c>
      <c r="T733" s="27"/>
      <c r="U733" s="32">
        <v>1040</v>
      </c>
      <c r="V733" s="32">
        <f>Inventory[[#This Row],[Bsmt]]-Inventory[[#This Row],[FnBsmt]]</f>
        <v>40</v>
      </c>
      <c r="W733" s="32">
        <v>1000</v>
      </c>
      <c r="X733" s="27"/>
      <c r="Y733" s="27">
        <f>Inventory[[#This Row],[MainFn]]+Inventory[[#This Row],[UpprFn]]+Inventory[[#This Row],[FnBsmt]]+Inventory[[#This Row],[AddFn]]</f>
        <v>2446</v>
      </c>
      <c r="Z733" s="27">
        <v>2500</v>
      </c>
      <c r="AA733" s="25">
        <v>8</v>
      </c>
      <c r="AB733" s="31"/>
      <c r="AC733" s="27"/>
      <c r="AD733" s="31"/>
      <c r="AE733" s="27"/>
      <c r="AF733" s="27"/>
      <c r="AG733" s="27"/>
      <c r="AH733" s="27"/>
      <c r="AI733" s="25">
        <v>448775</v>
      </c>
      <c r="AJ733" s="25">
        <v>309655</v>
      </c>
      <c r="AK733" s="25">
        <v>0</v>
      </c>
      <c r="AL733" s="25">
        <v>362100</v>
      </c>
      <c r="AM733" s="25">
        <v>63300</v>
      </c>
      <c r="AN733" s="25">
        <v>298800</v>
      </c>
      <c r="AO733" s="25">
        <v>0</v>
      </c>
      <c r="AP733" s="25">
        <f>Lookups!$B$56*0</f>
        <v>0</v>
      </c>
      <c r="AQ733" s="25">
        <f>Lookups!$B$56*1</f>
        <v>89850.625589999996</v>
      </c>
      <c r="AR733" s="25">
        <f>Lookups!$B$57*Inventory[[#This Row],[LnAcres]]</f>
        <v>-46522.028095997222</v>
      </c>
      <c r="AS733" s="25">
        <f>VLOOKUP(Inventory[[#This Row],[Qlty]],Lookups!$A$62:$E$75,2,FALSE)</f>
        <v>44121.038090000002</v>
      </c>
      <c r="AT733" s="25">
        <f>VLOOKUP(Inventory[[#This Row],[Cnd]],Lookups!$A$76:$E$84,2,FALSE)</f>
        <v>160472.20319</v>
      </c>
      <c r="AU733" s="25">
        <f>Inventory[[#This Row],[EffAge]]*Lookups!$B$85</f>
        <v>-11375.3256255</v>
      </c>
      <c r="AV733" s="25">
        <f>Inventory[[#This Row],[MainFn]]*Lookups!$B$86</f>
        <v>71444.936642141998</v>
      </c>
      <c r="AW733" s="25">
        <f>Inventory[[#This Row],[UpprFn]]*Lookups!$B$87</f>
        <v>0</v>
      </c>
      <c r="AX733" s="25">
        <f>Inventory[[#This Row],[AddFn]]*Lookups!$B$88</f>
        <v>0</v>
      </c>
      <c r="AY733" s="25">
        <f>Inventory[[#This Row],[Bsmt]]*Lookups!$B$89</f>
        <v>30245.171056879997</v>
      </c>
      <c r="AZ733" s="25">
        <f>Inventory[[#This Row],[Fixtures]]*Lookups!$B$90</f>
        <v>30336.176841600001</v>
      </c>
      <c r="BA733" s="25">
        <f>Inventory[[#This Row],[WdDeck]]*Lookups!$B$91</f>
        <v>0</v>
      </c>
      <c r="BB733" s="25">
        <f>ROUND(Inventory[[#This Row],[25Det]],-2)</f>
        <v>0</v>
      </c>
      <c r="BC733" s="25">
        <f>ROUND(SUM(Inventory[[#This Row],[Mdl Qlty]:[Mdl WdDeck]])+Inventory[[#This Row],[Mdl Res Intercept]],-2)</f>
        <v>325200</v>
      </c>
      <c r="BD733" s="25">
        <f>ROUND(Inventory[[#This Row],[Mdl Land Intercept]]+Inventory[[#This Row],[Mdl LnAcres]],-2)</f>
        <v>43300</v>
      </c>
      <c r="BE733" s="25">
        <f>Inventory[[#This Row],[Unadj Res Value]]+Inventory[[#This Row],[Unadj Det Value]]+Inventory[[#This Row],[Unadj Land Value]]</f>
        <v>368500</v>
      </c>
      <c r="BF733" s="36">
        <f>(Inventory[[#This Row],[Unadj Total Value]]-Inventory[[#This Row],[24Final]])/Inventory[[#This Row],[24Final]]</f>
        <v>1.7674675504004419E-2</v>
      </c>
      <c r="BG733" s="25">
        <f>VLOOKUP(Inventory[[#This Row],[Nbhd]],Lookups!$Q$2:$T$4,4,FALSE)</f>
        <v>0.99970000000000003</v>
      </c>
      <c r="BH733" s="25">
        <f>VLOOKUP(Inventory[[#This Row],[Qlty]],Lookups!$O$7:$R$21,4,FALSE)</f>
        <v>0.98050000000000004</v>
      </c>
      <c r="BI733" s="25">
        <f>VLOOKUP(Inventory[[#This Row],[Cnd]],Lookups!$T$7:$W$16,4,FALSE)</f>
        <v>0.99729999999999996</v>
      </c>
      <c r="BJ733" s="25">
        <f>VLOOKUP(Inventory[[#This Row],[LivArea Range]],Lookups!$T$25:$W$37,4,FALSE)</f>
        <v>0.98919999999999997</v>
      </c>
      <c r="BK733" s="25">
        <f>VLOOKUP(Inventory[[#This Row],[Decade]],Lookups!$O$25:$R$42,4,FALSE)</f>
        <v>0.995</v>
      </c>
      <c r="BL733" s="25">
        <f>Inventory[[#This Row],[Nbhd Adj]]*0.95</f>
        <v>0.94971499999999998</v>
      </c>
      <c r="BM733" s="25">
        <f>Inventory[[#This Row],[Nbhd Adj]]*Inventory[[#This Row],[Quality Adj]]*Inventory[[#This Row],[Condition Adj]]*Inventory[[#This Row],[Living Area Adj]]*Inventory[[#This Row],[Decade Adj]]*0.95</f>
        <v>0.91405831328052556</v>
      </c>
      <c r="BN733" s="25">
        <f>ROUND(SUM(Inventory[[#This Row],[Mdl Qlty]:[Mdl WdDeck]])+Inventory[[#This Row],[Mdl Res Intercept]]*Inventory[[#This Row],[Res Adj ]],-2)</f>
        <v>325200</v>
      </c>
      <c r="BO733" s="25">
        <f>ROUND(Inventory[[#This Row],[25Det]]*Inventory[[#This Row],[Det/Nbhd Adj]],-2)</f>
        <v>0</v>
      </c>
      <c r="BP733" s="25">
        <f>Inventory[[#This Row],[Adjusted Res]]+Inventory[[#This Row],[Adj Det ]]</f>
        <v>325200</v>
      </c>
      <c r="BQ733" s="25">
        <f>ROUND((Inventory[[#This Row],[Mdl Land Intercept]]+Inventory[[#This Row],[Mdl LnAcres]])*Inventory[[#This Row],[Det/Nbhd Adj]],-2)</f>
        <v>41100</v>
      </c>
      <c r="BR733" s="25">
        <f>Inventory[[#This Row],[Adjusted Impr Total]]+Inventory[[#This Row],[Adjusted Land Total]]</f>
        <v>366300</v>
      </c>
      <c r="BS733" s="36">
        <f>IFERROR((Inventory[[#This Row],[Adjusted Impr Total]]-Inventory[[#This Row],[24Bldg]])/Inventory[[#This Row],[24Bldg]],0)</f>
        <v>8.8353413654618476E-2</v>
      </c>
      <c r="BT733" s="36">
        <f>(Inventory[[#This Row],[Adjusted Land Total]]-Inventory[[#This Row],[24Lnd]])/Inventory[[#This Row],[24Lnd]]</f>
        <v>-0.35071090047393366</v>
      </c>
      <c r="BU733" s="36">
        <f>(Inventory[[#This Row],[Adjusted Total]]-Inventory[[#This Row],[24Final]])/Inventory[[#This Row],[24Final]]</f>
        <v>1.15990057995029E-2</v>
      </c>
    </row>
    <row r="734" spans="1:73" x14ac:dyDescent="0.3">
      <c r="A734" s="25">
        <v>2025</v>
      </c>
      <c r="B734" s="26" t="s">
        <v>949</v>
      </c>
      <c r="C734" s="26">
        <f>LN(Inventory[[#This Row],[Acres]])</f>
        <v>-1.6094379124341003</v>
      </c>
      <c r="D734" s="25">
        <v>0.2</v>
      </c>
      <c r="E734" s="25">
        <v>8616</v>
      </c>
      <c r="F734" s="26" t="s">
        <v>537</v>
      </c>
      <c r="G734" s="26" t="s">
        <v>126</v>
      </c>
      <c r="H734" s="26" t="s">
        <v>349</v>
      </c>
      <c r="I734" s="26" t="s">
        <v>538</v>
      </c>
      <c r="J734" s="26" t="s">
        <v>539</v>
      </c>
      <c r="K734" s="26" t="s">
        <v>241</v>
      </c>
      <c r="L734" s="26" t="s">
        <v>302</v>
      </c>
      <c r="M734" s="26" t="s">
        <v>323</v>
      </c>
      <c r="N734" s="26">
        <v>80</v>
      </c>
      <c r="O734" s="26">
        <f>2024-Inventory[[#This Row],[YrBlt]]</f>
        <v>72</v>
      </c>
      <c r="P734" s="26">
        <f>2024-Inventory[[#This Row],[EffYr]]</f>
        <v>51</v>
      </c>
      <c r="Q734" s="25">
        <v>1952</v>
      </c>
      <c r="R734" s="25">
        <v>1973</v>
      </c>
      <c r="S734" s="25">
        <v>1484</v>
      </c>
      <c r="T734" s="31"/>
      <c r="U734" s="25">
        <v>1218</v>
      </c>
      <c r="V734" s="32">
        <f>Inventory[[#This Row],[Bsmt]]-Inventory[[#This Row],[FnBsmt]]</f>
        <v>226</v>
      </c>
      <c r="W734" s="32">
        <v>992</v>
      </c>
      <c r="X734" s="27"/>
      <c r="Y734" s="27">
        <f>Inventory[[#This Row],[MainFn]]+Inventory[[#This Row],[UpprFn]]+Inventory[[#This Row],[FnBsmt]]+Inventory[[#This Row],[AddFn]]</f>
        <v>2476</v>
      </c>
      <c r="Z734" s="27">
        <v>2500</v>
      </c>
      <c r="AA734" s="25">
        <v>8</v>
      </c>
      <c r="AB734" s="27"/>
      <c r="AC734" s="27"/>
      <c r="AD734" s="27"/>
      <c r="AE734" s="27"/>
      <c r="AF734" s="27"/>
      <c r="AG734" s="27"/>
      <c r="AH734" s="27"/>
      <c r="AI734" s="25">
        <v>402285</v>
      </c>
      <c r="AJ734" s="25">
        <v>277577</v>
      </c>
      <c r="AK734" s="25">
        <v>0</v>
      </c>
      <c r="AL734" s="25">
        <v>352200</v>
      </c>
      <c r="AM734" s="25">
        <v>58400</v>
      </c>
      <c r="AN734" s="25">
        <v>293800</v>
      </c>
      <c r="AO734" s="25">
        <v>0</v>
      </c>
      <c r="AP734" s="25">
        <f>Lookups!$B$56*0</f>
        <v>0</v>
      </c>
      <c r="AQ734" s="25">
        <f>Lookups!$B$56*1</f>
        <v>89850.625589999996</v>
      </c>
      <c r="AR734" s="25">
        <f>Lookups!$B$57*Inventory[[#This Row],[LnAcres]]</f>
        <v>-50946.13867709865</v>
      </c>
      <c r="AS734" s="25">
        <f>VLOOKUP(Inventory[[#This Row],[Qlty]],Lookups!$A$62:$E$75,2,FALSE)</f>
        <v>29814.093161000001</v>
      </c>
      <c r="AT734" s="25">
        <f>VLOOKUP(Inventory[[#This Row],[Cnd]],Lookups!$A$76:$E$84,2,FALSE)</f>
        <v>160472.20319</v>
      </c>
      <c r="AU734" s="25">
        <f>Inventory[[#This Row],[EffAge]]*Lookups!$B$85</f>
        <v>-11375.3256255</v>
      </c>
      <c r="AV734" s="25">
        <f>Inventory[[#This Row],[MainFn]]*Lookups!$B$86</f>
        <v>73322.466097468001</v>
      </c>
      <c r="AW734" s="25">
        <f>Inventory[[#This Row],[UpprFn]]*Lookups!$B$87</f>
        <v>0</v>
      </c>
      <c r="AX734" s="25">
        <f>Inventory[[#This Row],[AddFn]]*Lookups!$B$88</f>
        <v>0</v>
      </c>
      <c r="AY734" s="25">
        <f>Inventory[[#This Row],[Bsmt]]*Lookups!$B$89</f>
        <v>35421.748410845998</v>
      </c>
      <c r="AZ734" s="25">
        <f>Inventory[[#This Row],[Fixtures]]*Lookups!$B$90</f>
        <v>30336.176841600001</v>
      </c>
      <c r="BA734" s="25">
        <f>Inventory[[#This Row],[WdDeck]]*Lookups!$B$91</f>
        <v>0</v>
      </c>
      <c r="BB734" s="25">
        <f>ROUND(Inventory[[#This Row],[25Det]],-2)</f>
        <v>0</v>
      </c>
      <c r="BC734" s="25">
        <f>ROUND(SUM(Inventory[[#This Row],[Mdl Qlty]:[Mdl WdDeck]])+Inventory[[#This Row],[Mdl Res Intercept]],-2)</f>
        <v>318000</v>
      </c>
      <c r="BD734" s="25">
        <f>ROUND(Inventory[[#This Row],[Mdl Land Intercept]]+Inventory[[#This Row],[Mdl LnAcres]],-2)</f>
        <v>38900</v>
      </c>
      <c r="BE734" s="25">
        <f>Inventory[[#This Row],[Unadj Res Value]]+Inventory[[#This Row],[Unadj Det Value]]+Inventory[[#This Row],[Unadj Land Value]]</f>
        <v>356900</v>
      </c>
      <c r="BF734" s="36">
        <f>(Inventory[[#This Row],[Unadj Total Value]]-Inventory[[#This Row],[24Final]])/Inventory[[#This Row],[24Final]]</f>
        <v>1.3344690516751846E-2</v>
      </c>
      <c r="BG734" s="25">
        <f>VLOOKUP(Inventory[[#This Row],[Nbhd]],Lookups!$Q$2:$T$4,4,FALSE)</f>
        <v>0.99970000000000003</v>
      </c>
      <c r="BH734" s="25">
        <f>VLOOKUP(Inventory[[#This Row],[Qlty]],Lookups!$O$7:$R$21,4,FALSE)</f>
        <v>1.0088999999999999</v>
      </c>
      <c r="BI734" s="25">
        <f>VLOOKUP(Inventory[[#This Row],[Cnd]],Lookups!$T$7:$W$16,4,FALSE)</f>
        <v>0.99729999999999996</v>
      </c>
      <c r="BJ734" s="25">
        <f>VLOOKUP(Inventory[[#This Row],[LivArea Range]],Lookups!$T$25:$W$37,4,FALSE)</f>
        <v>0.98919999999999997</v>
      </c>
      <c r="BK734" s="25">
        <f>VLOOKUP(Inventory[[#This Row],[Decade]],Lookups!$O$25:$R$42,4,FALSE)</f>
        <v>0.995</v>
      </c>
      <c r="BL734" s="25">
        <f>Inventory[[#This Row],[Nbhd Adj]]*0.95</f>
        <v>0.94971499999999998</v>
      </c>
      <c r="BM734" s="25">
        <f>Inventory[[#This Row],[Nbhd Adj]]*Inventory[[#This Row],[Quality Adj]]*Inventory[[#This Row],[Condition Adj]]*Inventory[[#This Row],[Living Area Adj]]*Inventory[[#This Row],[Decade Adj]]*0.95</f>
        <v>0.94053384219145564</v>
      </c>
      <c r="BN734" s="25">
        <f>ROUND(SUM(Inventory[[#This Row],[Mdl Qlty]:[Mdl WdDeck]])+Inventory[[#This Row],[Mdl Res Intercept]]*Inventory[[#This Row],[Res Adj ]],-2)</f>
        <v>318000</v>
      </c>
      <c r="BO734" s="25">
        <f>ROUND(Inventory[[#This Row],[25Det]]*Inventory[[#This Row],[Det/Nbhd Adj]],-2)</f>
        <v>0</v>
      </c>
      <c r="BP734" s="25">
        <f>Inventory[[#This Row],[Adjusted Res]]+Inventory[[#This Row],[Adj Det ]]</f>
        <v>318000</v>
      </c>
      <c r="BQ734" s="25">
        <f>ROUND((Inventory[[#This Row],[Mdl Land Intercept]]+Inventory[[#This Row],[Mdl LnAcres]])*Inventory[[#This Row],[Det/Nbhd Adj]],-2)</f>
        <v>36900</v>
      </c>
      <c r="BR734" s="25">
        <f>Inventory[[#This Row],[Adjusted Impr Total]]+Inventory[[#This Row],[Adjusted Land Total]]</f>
        <v>354900</v>
      </c>
      <c r="BS734" s="36">
        <f>IFERROR((Inventory[[#This Row],[Adjusted Impr Total]]-Inventory[[#This Row],[24Bldg]])/Inventory[[#This Row],[24Bldg]],0)</f>
        <v>8.2368958475153159E-2</v>
      </c>
      <c r="BT734" s="36">
        <f>(Inventory[[#This Row],[Adjusted Land Total]]-Inventory[[#This Row],[24Lnd]])/Inventory[[#This Row],[24Lnd]]</f>
        <v>-0.36815068493150682</v>
      </c>
      <c r="BU734" s="36">
        <f>(Inventory[[#This Row],[Adjusted Total]]-Inventory[[#This Row],[24Final]])/Inventory[[#This Row],[24Final]]</f>
        <v>7.6660988074957409E-3</v>
      </c>
    </row>
    <row r="735" spans="1:73" x14ac:dyDescent="0.3">
      <c r="A735" s="25">
        <v>2025</v>
      </c>
      <c r="B735" s="26" t="s">
        <v>1601</v>
      </c>
      <c r="C735" s="26">
        <f>LN(Inventory[[#This Row],[Acres]])</f>
        <v>-1.4271163556401458</v>
      </c>
      <c r="D735" s="25">
        <v>0.24</v>
      </c>
      <c r="E735" s="31"/>
      <c r="F735" s="26" t="s">
        <v>537</v>
      </c>
      <c r="G735" s="26" t="s">
        <v>126</v>
      </c>
      <c r="H735" s="26" t="s">
        <v>349</v>
      </c>
      <c r="I735" s="26" t="s">
        <v>538</v>
      </c>
      <c r="J735" s="26" t="s">
        <v>539</v>
      </c>
      <c r="K735" s="26" t="s">
        <v>242</v>
      </c>
      <c r="L735" s="26" t="s">
        <v>148</v>
      </c>
      <c r="M735" s="26" t="s">
        <v>323</v>
      </c>
      <c r="N735" s="26">
        <v>80</v>
      </c>
      <c r="O735" s="26">
        <f>2024-Inventory[[#This Row],[YrBlt]]</f>
        <v>72</v>
      </c>
      <c r="P735" s="26">
        <f>2024-Inventory[[#This Row],[EffYr]]</f>
        <v>51</v>
      </c>
      <c r="Q735" s="25">
        <v>1952</v>
      </c>
      <c r="R735" s="25">
        <v>1973</v>
      </c>
      <c r="S735" s="25">
        <v>1242</v>
      </c>
      <c r="T735" s="27"/>
      <c r="U735" s="32">
        <v>1242</v>
      </c>
      <c r="V735" s="32">
        <f>Inventory[[#This Row],[Bsmt]]-Inventory[[#This Row],[FnBsmt]]</f>
        <v>0</v>
      </c>
      <c r="W735" s="32">
        <v>1242</v>
      </c>
      <c r="X735" s="27"/>
      <c r="Y735" s="27">
        <f>Inventory[[#This Row],[MainFn]]+Inventory[[#This Row],[UpprFn]]+Inventory[[#This Row],[FnBsmt]]+Inventory[[#This Row],[AddFn]]</f>
        <v>2484</v>
      </c>
      <c r="Z735" s="27">
        <v>2500</v>
      </c>
      <c r="AA735" s="25">
        <v>8</v>
      </c>
      <c r="AB735" s="31"/>
      <c r="AC735" s="27"/>
      <c r="AD735" s="27"/>
      <c r="AE735" s="27"/>
      <c r="AF735" s="27"/>
      <c r="AG735" s="27"/>
      <c r="AH735" s="27"/>
      <c r="AI735" s="25">
        <v>452863</v>
      </c>
      <c r="AJ735" s="25">
        <v>312475</v>
      </c>
      <c r="AK735" s="25">
        <v>7228</v>
      </c>
      <c r="AL735" s="25">
        <v>373900</v>
      </c>
      <c r="AM735" s="25">
        <v>64800</v>
      </c>
      <c r="AN735" s="25">
        <v>309100</v>
      </c>
      <c r="AO735" s="25">
        <v>0</v>
      </c>
      <c r="AP735" s="25">
        <f>Lookups!$B$56*0</f>
        <v>0</v>
      </c>
      <c r="AQ735" s="25">
        <f>Lookups!$B$56*1</f>
        <v>89850.625589999996</v>
      </c>
      <c r="AR735" s="25">
        <f>Lookups!$B$57*Inventory[[#This Row],[LnAcres]]</f>
        <v>-45174.819855485119</v>
      </c>
      <c r="AS735" s="25">
        <f>VLOOKUP(Inventory[[#This Row],[Qlty]],Lookups!$A$62:$E$75,2,FALSE)</f>
        <v>44121.038090000002</v>
      </c>
      <c r="AT735" s="25">
        <f>VLOOKUP(Inventory[[#This Row],[Cnd]],Lookups!$A$76:$E$84,2,FALSE)</f>
        <v>160472.20319</v>
      </c>
      <c r="AU735" s="25">
        <f>Inventory[[#This Row],[EffAge]]*Lookups!$B$85</f>
        <v>-11375.3256255</v>
      </c>
      <c r="AV735" s="25">
        <f>Inventory[[#This Row],[MainFn]]*Lookups!$B$86</f>
        <v>61365.567987234004</v>
      </c>
      <c r="AW735" s="25">
        <f>Inventory[[#This Row],[UpprFn]]*Lookups!$B$87</f>
        <v>0</v>
      </c>
      <c r="AX735" s="25">
        <f>Inventory[[#This Row],[AddFn]]*Lookups!$B$88</f>
        <v>0</v>
      </c>
      <c r="AY735" s="25">
        <f>Inventory[[#This Row],[Bsmt]]*Lookups!$B$89</f>
        <v>36119.713896773996</v>
      </c>
      <c r="AZ735" s="25">
        <f>Inventory[[#This Row],[Fixtures]]*Lookups!$B$90</f>
        <v>30336.176841600001</v>
      </c>
      <c r="BA735" s="25">
        <f>Inventory[[#This Row],[WdDeck]]*Lookups!$B$91</f>
        <v>0</v>
      </c>
      <c r="BB735" s="25">
        <f>ROUND(Inventory[[#This Row],[25Det]],-2)</f>
        <v>7200</v>
      </c>
      <c r="BC735" s="25">
        <f>ROUND(SUM(Inventory[[#This Row],[Mdl Qlty]:[Mdl WdDeck]])+Inventory[[#This Row],[Mdl Res Intercept]],-2)</f>
        <v>321000</v>
      </c>
      <c r="BD735" s="25">
        <f>ROUND(Inventory[[#This Row],[Mdl Land Intercept]]+Inventory[[#This Row],[Mdl LnAcres]],-2)</f>
        <v>44700</v>
      </c>
      <c r="BE735" s="25">
        <f>Inventory[[#This Row],[Unadj Res Value]]+Inventory[[#This Row],[Unadj Det Value]]+Inventory[[#This Row],[Unadj Land Value]]</f>
        <v>372900</v>
      </c>
      <c r="BF735" s="36">
        <f>(Inventory[[#This Row],[Unadj Total Value]]-Inventory[[#This Row],[24Final]])/Inventory[[#This Row],[24Final]]</f>
        <v>-2.6745119015779621E-3</v>
      </c>
      <c r="BG735" s="25">
        <f>VLOOKUP(Inventory[[#This Row],[Nbhd]],Lookups!$Q$2:$T$4,4,FALSE)</f>
        <v>0.99970000000000003</v>
      </c>
      <c r="BH735" s="25">
        <f>VLOOKUP(Inventory[[#This Row],[Qlty]],Lookups!$O$7:$R$21,4,FALSE)</f>
        <v>0.98050000000000004</v>
      </c>
      <c r="BI735" s="25">
        <f>VLOOKUP(Inventory[[#This Row],[Cnd]],Lookups!$T$7:$W$16,4,FALSE)</f>
        <v>0.99729999999999996</v>
      </c>
      <c r="BJ735" s="25">
        <f>VLOOKUP(Inventory[[#This Row],[LivArea Range]],Lookups!$T$25:$W$37,4,FALSE)</f>
        <v>0.98919999999999997</v>
      </c>
      <c r="BK735" s="25">
        <f>VLOOKUP(Inventory[[#This Row],[Decade]],Lookups!$O$25:$R$42,4,FALSE)</f>
        <v>0.995</v>
      </c>
      <c r="BL735" s="25">
        <f>Inventory[[#This Row],[Nbhd Adj]]*0.95</f>
        <v>0.94971499999999998</v>
      </c>
      <c r="BM735" s="25">
        <f>Inventory[[#This Row],[Nbhd Adj]]*Inventory[[#This Row],[Quality Adj]]*Inventory[[#This Row],[Condition Adj]]*Inventory[[#This Row],[Living Area Adj]]*Inventory[[#This Row],[Decade Adj]]*0.95</f>
        <v>0.91405831328052556</v>
      </c>
      <c r="BN735" s="25">
        <f>ROUND(SUM(Inventory[[#This Row],[Mdl Qlty]:[Mdl WdDeck]])+Inventory[[#This Row],[Mdl Res Intercept]]*Inventory[[#This Row],[Res Adj ]],-2)</f>
        <v>321000</v>
      </c>
      <c r="BO735" s="25">
        <f>ROUND(Inventory[[#This Row],[25Det]]*Inventory[[#This Row],[Det/Nbhd Adj]],-2)</f>
        <v>6900</v>
      </c>
      <c r="BP735" s="25">
        <f>Inventory[[#This Row],[Adjusted Res]]+Inventory[[#This Row],[Adj Det ]]</f>
        <v>327900</v>
      </c>
      <c r="BQ735" s="25">
        <f>ROUND((Inventory[[#This Row],[Mdl Land Intercept]]+Inventory[[#This Row],[Mdl LnAcres]])*Inventory[[#This Row],[Det/Nbhd Adj]],-2)</f>
        <v>42400</v>
      </c>
      <c r="BR735" s="25">
        <f>Inventory[[#This Row],[Adjusted Impr Total]]+Inventory[[#This Row],[Adjusted Land Total]]</f>
        <v>370300</v>
      </c>
      <c r="BS735" s="36">
        <f>IFERROR((Inventory[[#This Row],[Adjusted Impr Total]]-Inventory[[#This Row],[24Bldg]])/Inventory[[#This Row],[24Bldg]],0)</f>
        <v>6.0821740537043027E-2</v>
      </c>
      <c r="BT735" s="36">
        <f>(Inventory[[#This Row],[Adjusted Land Total]]-Inventory[[#This Row],[24Lnd]])/Inventory[[#This Row],[24Lnd]]</f>
        <v>-0.34567901234567899</v>
      </c>
      <c r="BU735" s="36">
        <f>(Inventory[[#This Row],[Adjusted Total]]-Inventory[[#This Row],[24Final]])/Inventory[[#This Row],[24Final]]</f>
        <v>-9.628242845680663E-3</v>
      </c>
    </row>
    <row r="736" spans="1:73" x14ac:dyDescent="0.3">
      <c r="A736" s="25">
        <v>2025</v>
      </c>
      <c r="B736" s="26" t="s">
        <v>1734</v>
      </c>
      <c r="C736" s="26">
        <f>LN(Inventory[[#This Row],[Acres]])</f>
        <v>-1.5606477482646683</v>
      </c>
      <c r="D736" s="25">
        <v>0.21</v>
      </c>
      <c r="E736" s="25">
        <v>9310</v>
      </c>
      <c r="F736" s="26" t="s">
        <v>537</v>
      </c>
      <c r="G736" s="26" t="s">
        <v>126</v>
      </c>
      <c r="H736" s="26" t="s">
        <v>349</v>
      </c>
      <c r="I736" s="26" t="s">
        <v>538</v>
      </c>
      <c r="J736" s="26" t="s">
        <v>539</v>
      </c>
      <c r="K736" s="26" t="s">
        <v>241</v>
      </c>
      <c r="L736" s="26" t="s">
        <v>351</v>
      </c>
      <c r="M736" s="26" t="s">
        <v>323</v>
      </c>
      <c r="N736" s="26">
        <v>80</v>
      </c>
      <c r="O736" s="26">
        <f>2024-Inventory[[#This Row],[YrBlt]]</f>
        <v>72</v>
      </c>
      <c r="P736" s="26">
        <f>2024-Inventory[[#This Row],[EffYr]]</f>
        <v>51</v>
      </c>
      <c r="Q736" s="25">
        <v>1952</v>
      </c>
      <c r="R736" s="25">
        <v>1973</v>
      </c>
      <c r="S736" s="25">
        <v>1022</v>
      </c>
      <c r="T736" s="27"/>
      <c r="U736" s="32">
        <v>1022</v>
      </c>
      <c r="V736" s="32">
        <f>Inventory[[#This Row],[Bsmt]]-Inventory[[#This Row],[FnBsmt]]</f>
        <v>0</v>
      </c>
      <c r="W736" s="32">
        <v>1022</v>
      </c>
      <c r="X736" s="27"/>
      <c r="Y736" s="27">
        <f>Inventory[[#This Row],[MainFn]]+Inventory[[#This Row],[UpprFn]]+Inventory[[#This Row],[FnBsmt]]+Inventory[[#This Row],[AddFn]]</f>
        <v>2044</v>
      </c>
      <c r="Z736" s="27">
        <v>2500</v>
      </c>
      <c r="AA736" s="25">
        <v>8</v>
      </c>
      <c r="AB736" s="27"/>
      <c r="AC736" s="27"/>
      <c r="AD736" s="27"/>
      <c r="AE736" s="27"/>
      <c r="AF736" s="27"/>
      <c r="AG736" s="27"/>
      <c r="AH736" s="27"/>
      <c r="AI736" s="25">
        <v>271869</v>
      </c>
      <c r="AJ736" s="25">
        <v>187590</v>
      </c>
      <c r="AK736" s="25">
        <v>6178</v>
      </c>
      <c r="AL736" s="25">
        <v>329300</v>
      </c>
      <c r="AM736" s="25">
        <v>60100</v>
      </c>
      <c r="AN736" s="25">
        <v>269200</v>
      </c>
      <c r="AO736" s="25">
        <v>0</v>
      </c>
      <c r="AP736" s="25">
        <f>Lookups!$B$56*0</f>
        <v>0</v>
      </c>
      <c r="AQ736" s="25">
        <f>Lookups!$B$56*1</f>
        <v>89850.625589999996</v>
      </c>
      <c r="AR736" s="25">
        <f>Lookups!$B$57*Inventory[[#This Row],[LnAcres]]</f>
        <v>-49401.70477837498</v>
      </c>
      <c r="AS736" s="25">
        <f>VLOOKUP(Inventory[[#This Row],[Qlty]],Lookups!$A$62:$E$75,2,FALSE)</f>
        <v>21557.329055999999</v>
      </c>
      <c r="AT736" s="25">
        <f>VLOOKUP(Inventory[[#This Row],[Cnd]],Lookups!$A$76:$E$84,2,FALSE)</f>
        <v>160472.20319</v>
      </c>
      <c r="AU736" s="25">
        <f>Inventory[[#This Row],[EffAge]]*Lookups!$B$85</f>
        <v>-11375.3256255</v>
      </c>
      <c r="AV736" s="25">
        <f>Inventory[[#This Row],[MainFn]]*Lookups!$B$86</f>
        <v>50495.660614294</v>
      </c>
      <c r="AW736" s="25">
        <f>Inventory[[#This Row],[UpprFn]]*Lookups!$B$87</f>
        <v>0</v>
      </c>
      <c r="AX736" s="25">
        <f>Inventory[[#This Row],[AddFn]]*Lookups!$B$88</f>
        <v>0</v>
      </c>
      <c r="AY736" s="25">
        <f>Inventory[[#This Row],[Bsmt]]*Lookups!$B$89</f>
        <v>29721.696942433999</v>
      </c>
      <c r="AZ736" s="25">
        <f>Inventory[[#This Row],[Fixtures]]*Lookups!$B$90</f>
        <v>30336.176841600001</v>
      </c>
      <c r="BA736" s="25">
        <f>Inventory[[#This Row],[WdDeck]]*Lookups!$B$91</f>
        <v>0</v>
      </c>
      <c r="BB736" s="25">
        <f>ROUND(Inventory[[#This Row],[25Det]],-2)</f>
        <v>6200</v>
      </c>
      <c r="BC736" s="25">
        <f>ROUND(SUM(Inventory[[#This Row],[Mdl Qlty]:[Mdl WdDeck]])+Inventory[[#This Row],[Mdl Res Intercept]],-2)</f>
        <v>281200</v>
      </c>
      <c r="BD736" s="25">
        <f>ROUND(Inventory[[#This Row],[Mdl Land Intercept]]+Inventory[[#This Row],[Mdl LnAcres]],-2)</f>
        <v>40400</v>
      </c>
      <c r="BE736" s="25">
        <f>Inventory[[#This Row],[Unadj Res Value]]+Inventory[[#This Row],[Unadj Det Value]]+Inventory[[#This Row],[Unadj Land Value]]</f>
        <v>327800</v>
      </c>
      <c r="BF736" s="36">
        <f>(Inventory[[#This Row],[Unadj Total Value]]-Inventory[[#This Row],[24Final]])/Inventory[[#This Row],[24Final]]</f>
        <v>-4.5551169146674769E-3</v>
      </c>
      <c r="BG736" s="25">
        <f>VLOOKUP(Inventory[[#This Row],[Nbhd]],Lookups!$Q$2:$T$4,4,FALSE)</f>
        <v>0.99970000000000003</v>
      </c>
      <c r="BH736" s="25">
        <f>VLOOKUP(Inventory[[#This Row],[Qlty]],Lookups!$O$7:$R$21,4,FALSE)</f>
        <v>1.0067999999999999</v>
      </c>
      <c r="BI736" s="25">
        <f>VLOOKUP(Inventory[[#This Row],[Cnd]],Lookups!$T$7:$W$16,4,FALSE)</f>
        <v>0.99729999999999996</v>
      </c>
      <c r="BJ736" s="25">
        <f>VLOOKUP(Inventory[[#This Row],[LivArea Range]],Lookups!$T$25:$W$37,4,FALSE)</f>
        <v>0.98919999999999997</v>
      </c>
      <c r="BK736" s="25">
        <f>VLOOKUP(Inventory[[#This Row],[Decade]],Lookups!$O$25:$R$42,4,FALSE)</f>
        <v>0.995</v>
      </c>
      <c r="BL736" s="25">
        <f>Inventory[[#This Row],[Nbhd Adj]]*0.95</f>
        <v>0.94971499999999998</v>
      </c>
      <c r="BM736" s="25">
        <f>Inventory[[#This Row],[Nbhd Adj]]*Inventory[[#This Row],[Quality Adj]]*Inventory[[#This Row],[Condition Adj]]*Inventory[[#This Row],[Living Area Adj]]*Inventory[[#This Row],[Decade Adj]]*0.95</f>
        <v>0.93857614463114025</v>
      </c>
      <c r="BN736" s="25">
        <f>ROUND(SUM(Inventory[[#This Row],[Mdl Qlty]:[Mdl WdDeck]])+Inventory[[#This Row],[Mdl Res Intercept]]*Inventory[[#This Row],[Res Adj ]],-2)</f>
        <v>281200</v>
      </c>
      <c r="BO736" s="25">
        <f>ROUND(Inventory[[#This Row],[25Det]]*Inventory[[#This Row],[Det/Nbhd Adj]],-2)</f>
        <v>5900</v>
      </c>
      <c r="BP736" s="25">
        <f>Inventory[[#This Row],[Adjusted Res]]+Inventory[[#This Row],[Adj Det ]]</f>
        <v>287100</v>
      </c>
      <c r="BQ736" s="25">
        <f>ROUND((Inventory[[#This Row],[Mdl Land Intercept]]+Inventory[[#This Row],[Mdl LnAcres]])*Inventory[[#This Row],[Det/Nbhd Adj]],-2)</f>
        <v>38400</v>
      </c>
      <c r="BR736" s="25">
        <f>Inventory[[#This Row],[Adjusted Impr Total]]+Inventory[[#This Row],[Adjusted Land Total]]</f>
        <v>325500</v>
      </c>
      <c r="BS736" s="36">
        <f>IFERROR((Inventory[[#This Row],[Adjusted Impr Total]]-Inventory[[#This Row],[24Bldg]])/Inventory[[#This Row],[24Bldg]],0)</f>
        <v>6.6493313521545319E-2</v>
      </c>
      <c r="BT736" s="36">
        <f>(Inventory[[#This Row],[Adjusted Land Total]]-Inventory[[#This Row],[24Lnd]])/Inventory[[#This Row],[24Lnd]]</f>
        <v>-0.36106489184692181</v>
      </c>
      <c r="BU736" s="36">
        <f>(Inventory[[#This Row],[Adjusted Total]]-Inventory[[#This Row],[24Final]])/Inventory[[#This Row],[24Final]]</f>
        <v>-1.1539629517157608E-2</v>
      </c>
    </row>
    <row r="737" spans="1:73" x14ac:dyDescent="0.3">
      <c r="A737" s="25">
        <v>2025</v>
      </c>
      <c r="B737" s="26" t="s">
        <v>950</v>
      </c>
      <c r="C737" s="26">
        <f>LN(Inventory[[#This Row],[Acres]])</f>
        <v>-1.3470736479666092</v>
      </c>
      <c r="D737" s="25">
        <v>0.26</v>
      </c>
      <c r="E737" s="25">
        <v>11325</v>
      </c>
      <c r="F737" s="26" t="s">
        <v>537</v>
      </c>
      <c r="G737" s="26" t="s">
        <v>126</v>
      </c>
      <c r="H737" s="26" t="s">
        <v>349</v>
      </c>
      <c r="I737" s="26" t="s">
        <v>538</v>
      </c>
      <c r="J737" s="26" t="s">
        <v>539</v>
      </c>
      <c r="K737" s="26" t="s">
        <v>241</v>
      </c>
      <c r="L737" s="26" t="s">
        <v>95</v>
      </c>
      <c r="M737" s="26" t="s">
        <v>303</v>
      </c>
      <c r="N737" s="26">
        <v>80</v>
      </c>
      <c r="O737" s="26">
        <f>2024-Inventory[[#This Row],[YrBlt]]</f>
        <v>72</v>
      </c>
      <c r="P737" s="26">
        <f>2024-Inventory[[#This Row],[EffYr]]</f>
        <v>51</v>
      </c>
      <c r="Q737" s="25">
        <v>1952</v>
      </c>
      <c r="R737" s="25">
        <v>1973</v>
      </c>
      <c r="S737" s="25">
        <v>2199</v>
      </c>
      <c r="T737" s="31"/>
      <c r="U737" s="25">
        <v>616</v>
      </c>
      <c r="V737" s="25">
        <f>Inventory[[#This Row],[Bsmt]]-Inventory[[#This Row],[FnBsmt]]</f>
        <v>0</v>
      </c>
      <c r="W737" s="25">
        <v>616</v>
      </c>
      <c r="X737" s="27"/>
      <c r="Y737" s="27">
        <f>Inventory[[#This Row],[MainFn]]+Inventory[[#This Row],[UpprFn]]+Inventory[[#This Row],[FnBsmt]]+Inventory[[#This Row],[AddFn]]</f>
        <v>2815</v>
      </c>
      <c r="Z737" s="27">
        <v>3000</v>
      </c>
      <c r="AA737" s="25">
        <v>12</v>
      </c>
      <c r="AB737" s="27"/>
      <c r="AC737" s="27"/>
      <c r="AD737" s="27"/>
      <c r="AE737" s="27"/>
      <c r="AF737" s="27"/>
      <c r="AG737" s="27"/>
      <c r="AH737" s="27"/>
      <c r="AI737" s="25">
        <v>598204</v>
      </c>
      <c r="AJ737" s="25">
        <v>430707</v>
      </c>
      <c r="AK737" s="25">
        <v>13727</v>
      </c>
      <c r="AL737" s="25">
        <v>499400</v>
      </c>
      <c r="AM737" s="25">
        <v>67600</v>
      </c>
      <c r="AN737" s="25">
        <v>431800</v>
      </c>
      <c r="AO737" s="25">
        <v>0</v>
      </c>
      <c r="AP737" s="25">
        <f>Lookups!$B$56*0</f>
        <v>0</v>
      </c>
      <c r="AQ737" s="25">
        <f>Lookups!$B$56*1</f>
        <v>89850.625589999996</v>
      </c>
      <c r="AR737" s="25">
        <f>Lookups!$B$57*Inventory[[#This Row],[LnAcres]]</f>
        <v>-42641.098701210125</v>
      </c>
      <c r="AS737" s="25">
        <f>VLOOKUP(Inventory[[#This Row],[Qlty]],Lookups!$A$62:$E$75,2,FALSE)</f>
        <v>74268.409664999999</v>
      </c>
      <c r="AT737" s="25">
        <f>VLOOKUP(Inventory[[#This Row],[Cnd]],Lookups!$A$76:$E$84,2,FALSE)</f>
        <v>197752.34721000001</v>
      </c>
      <c r="AU737" s="25">
        <f>Inventory[[#This Row],[EffAge]]*Lookups!$B$85</f>
        <v>-11375.3256255</v>
      </c>
      <c r="AV737" s="25">
        <f>Inventory[[#This Row],[MainFn]]*Lookups!$B$86</f>
        <v>108649.665059523</v>
      </c>
      <c r="AW737" s="25">
        <f>Inventory[[#This Row],[UpprFn]]*Lookups!$B$87</f>
        <v>0</v>
      </c>
      <c r="AX737" s="25">
        <f>Inventory[[#This Row],[AddFn]]*Lookups!$B$88</f>
        <v>0</v>
      </c>
      <c r="AY737" s="25">
        <f>Inventory[[#This Row],[Bsmt]]*Lookups!$B$89</f>
        <v>17914.447472151998</v>
      </c>
      <c r="AZ737" s="25">
        <f>Inventory[[#This Row],[Fixtures]]*Lookups!$B$90</f>
        <v>45504.265262400004</v>
      </c>
      <c r="BA737" s="25">
        <f>Inventory[[#This Row],[WdDeck]]*Lookups!$B$91</f>
        <v>0</v>
      </c>
      <c r="BB737" s="25">
        <f>ROUND(Inventory[[#This Row],[25Det]],-2)</f>
        <v>13700</v>
      </c>
      <c r="BC737" s="25">
        <f>ROUND(SUM(Inventory[[#This Row],[Mdl Qlty]:[Mdl WdDeck]])+Inventory[[#This Row],[Mdl Res Intercept]],-2)</f>
        <v>432700</v>
      </c>
      <c r="BD737" s="25">
        <f>ROUND(Inventory[[#This Row],[Mdl Land Intercept]]+Inventory[[#This Row],[Mdl LnAcres]],-2)</f>
        <v>47200</v>
      </c>
      <c r="BE737" s="25">
        <f>Inventory[[#This Row],[Unadj Res Value]]+Inventory[[#This Row],[Unadj Det Value]]+Inventory[[#This Row],[Unadj Land Value]]</f>
        <v>493600</v>
      </c>
      <c r="BF737" s="36">
        <f>(Inventory[[#This Row],[Unadj Total Value]]-Inventory[[#This Row],[24Final]])/Inventory[[#This Row],[24Final]]</f>
        <v>-1.1613936724068883E-2</v>
      </c>
      <c r="BG737" s="25">
        <f>VLOOKUP(Inventory[[#This Row],[Nbhd]],Lookups!$Q$2:$T$4,4,FALSE)</f>
        <v>0.99970000000000003</v>
      </c>
      <c r="BH737" s="25">
        <f>VLOOKUP(Inventory[[#This Row],[Qlty]],Lookups!$O$7:$R$21,4,FALSE)</f>
        <v>0.98380000000000001</v>
      </c>
      <c r="BI737" s="25">
        <f>VLOOKUP(Inventory[[#This Row],[Cnd]],Lookups!$T$7:$W$16,4,FALSE)</f>
        <v>0.99650000000000005</v>
      </c>
      <c r="BJ737" s="25">
        <f>VLOOKUP(Inventory[[#This Row],[LivArea Range]],Lookups!$T$25:$W$37,4,FALSE)</f>
        <v>0.96179999999999999</v>
      </c>
      <c r="BK737" s="25">
        <f>VLOOKUP(Inventory[[#This Row],[Decade]],Lookups!$O$25:$R$42,4,FALSE)</f>
        <v>0.995</v>
      </c>
      <c r="BL737" s="25">
        <f>Inventory[[#This Row],[Nbhd Adj]]*0.95</f>
        <v>0.94971499999999998</v>
      </c>
      <c r="BM737" s="25">
        <f>Inventory[[#This Row],[Nbhd Adj]]*Inventory[[#This Row],[Quality Adj]]*Inventory[[#This Row],[Condition Adj]]*Inventory[[#This Row],[Living Area Adj]]*Inventory[[#This Row],[Decade Adj]]*0.95</f>
        <v>0.8910155268816885</v>
      </c>
      <c r="BN737" s="25">
        <f>ROUND(SUM(Inventory[[#This Row],[Mdl Qlty]:[Mdl WdDeck]])+Inventory[[#This Row],[Mdl Res Intercept]]*Inventory[[#This Row],[Res Adj ]],-2)</f>
        <v>432700</v>
      </c>
      <c r="BO737" s="25">
        <f>ROUND(Inventory[[#This Row],[25Det]]*Inventory[[#This Row],[Det/Nbhd Adj]],-2)</f>
        <v>13000</v>
      </c>
      <c r="BP737" s="25">
        <f>Inventory[[#This Row],[Adjusted Res]]+Inventory[[#This Row],[Adj Det ]]</f>
        <v>445700</v>
      </c>
      <c r="BQ737" s="25">
        <f>ROUND((Inventory[[#This Row],[Mdl Land Intercept]]+Inventory[[#This Row],[Mdl LnAcres]])*Inventory[[#This Row],[Det/Nbhd Adj]],-2)</f>
        <v>44800</v>
      </c>
      <c r="BR737" s="25">
        <f>Inventory[[#This Row],[Adjusted Impr Total]]+Inventory[[#This Row],[Adjusted Land Total]]</f>
        <v>490500</v>
      </c>
      <c r="BS737" s="36">
        <f>IFERROR((Inventory[[#This Row],[Adjusted Impr Total]]-Inventory[[#This Row],[24Bldg]])/Inventory[[#This Row],[24Bldg]],0)</f>
        <v>3.2190829087540528E-2</v>
      </c>
      <c r="BT737" s="36">
        <f>(Inventory[[#This Row],[Adjusted Land Total]]-Inventory[[#This Row],[24Lnd]])/Inventory[[#This Row],[24Lnd]]</f>
        <v>-0.33727810650887574</v>
      </c>
      <c r="BU737" s="36">
        <f>(Inventory[[#This Row],[Adjusted Total]]-Inventory[[#This Row],[24Final]])/Inventory[[#This Row],[24Final]]</f>
        <v>-1.7821385662795355E-2</v>
      </c>
    </row>
    <row r="738" spans="1:73" x14ac:dyDescent="0.3">
      <c r="A738" s="25">
        <v>2025</v>
      </c>
      <c r="B738" s="26" t="s">
        <v>2872</v>
      </c>
      <c r="C738" s="26">
        <f>LN(Inventory[[#This Row],[Acres]])</f>
        <v>-1.5606477482646683</v>
      </c>
      <c r="D738" s="25">
        <v>0.21</v>
      </c>
      <c r="E738" s="31"/>
      <c r="F738" s="26" t="s">
        <v>537</v>
      </c>
      <c r="G738" s="26" t="s">
        <v>126</v>
      </c>
      <c r="H738" s="26" t="s">
        <v>349</v>
      </c>
      <c r="I738" s="26" t="s">
        <v>538</v>
      </c>
      <c r="J738" s="26" t="s">
        <v>539</v>
      </c>
      <c r="K738" s="26" t="s">
        <v>241</v>
      </c>
      <c r="L738" s="26" t="s">
        <v>351</v>
      </c>
      <c r="M738" s="26" t="s">
        <v>323</v>
      </c>
      <c r="N738" s="26">
        <v>80</v>
      </c>
      <c r="O738" s="26">
        <f>2024-Inventory[[#This Row],[YrBlt]]</f>
        <v>73</v>
      </c>
      <c r="P738" s="26">
        <f>2024-Inventory[[#This Row],[EffYr]]</f>
        <v>51</v>
      </c>
      <c r="Q738" s="25">
        <v>1951</v>
      </c>
      <c r="R738" s="25">
        <v>1973</v>
      </c>
      <c r="S738" s="25">
        <v>744</v>
      </c>
      <c r="T738" s="27"/>
      <c r="U738" s="25">
        <v>144</v>
      </c>
      <c r="V738" s="32">
        <f>Inventory[[#This Row],[Bsmt]]-Inventory[[#This Row],[FnBsmt]]</f>
        <v>144</v>
      </c>
      <c r="W738" s="27"/>
      <c r="X738" s="32">
        <v>192</v>
      </c>
      <c r="Y738" s="32">
        <f>Inventory[[#This Row],[MainFn]]+Inventory[[#This Row],[UpprFn]]+Inventory[[#This Row],[FnBsmt]]+Inventory[[#This Row],[AddFn]]</f>
        <v>936</v>
      </c>
      <c r="Z738" s="27">
        <v>1000</v>
      </c>
      <c r="AA738" s="25">
        <v>5</v>
      </c>
      <c r="AB738" s="32">
        <v>448</v>
      </c>
      <c r="AC738" s="27"/>
      <c r="AD738" s="27"/>
      <c r="AE738" s="27"/>
      <c r="AF738" s="27"/>
      <c r="AG738" s="27"/>
      <c r="AH738" s="27"/>
      <c r="AI738" s="25">
        <v>185942</v>
      </c>
      <c r="AJ738" s="25">
        <v>128300</v>
      </c>
      <c r="AK738" s="25">
        <v>0</v>
      </c>
      <c r="AL738" s="25">
        <v>263500</v>
      </c>
      <c r="AM738" s="25">
        <v>60100</v>
      </c>
      <c r="AN738" s="25">
        <v>203400</v>
      </c>
      <c r="AO738" s="25">
        <v>0</v>
      </c>
      <c r="AP738" s="25">
        <f>Lookups!$B$56*0</f>
        <v>0</v>
      </c>
      <c r="AQ738" s="25">
        <f>Lookups!$B$56*1</f>
        <v>89850.625589999996</v>
      </c>
      <c r="AR738" s="25">
        <f>Lookups!$B$57*Inventory[[#This Row],[LnAcres]]</f>
        <v>-49401.70477837498</v>
      </c>
      <c r="AS738" s="25">
        <f>VLOOKUP(Inventory[[#This Row],[Qlty]],Lookups!$A$62:$E$75,2,FALSE)</f>
        <v>21557.329055999999</v>
      </c>
      <c r="AT738" s="25">
        <f>VLOOKUP(Inventory[[#This Row],[Cnd]],Lookups!$A$76:$E$84,2,FALSE)</f>
        <v>160472.20319</v>
      </c>
      <c r="AU738" s="25">
        <f>Inventory[[#This Row],[EffAge]]*Lookups!$B$85</f>
        <v>-11375.3256255</v>
      </c>
      <c r="AV738" s="25">
        <f>Inventory[[#This Row],[MainFn]]*Lookups!$B$86</f>
        <v>36760.050388488002</v>
      </c>
      <c r="AW738" s="25">
        <f>Inventory[[#This Row],[UpprFn]]*Lookups!$B$87</f>
        <v>0</v>
      </c>
      <c r="AX738" s="25">
        <f>Inventory[[#This Row],[AddFn]]*Lookups!$B$88</f>
        <v>12498.176841792001</v>
      </c>
      <c r="AY738" s="25">
        <f>Inventory[[#This Row],[Bsmt]]*Lookups!$B$89</f>
        <v>4187.7929155679994</v>
      </c>
      <c r="AZ738" s="25">
        <f>Inventory[[#This Row],[Fixtures]]*Lookups!$B$90</f>
        <v>18960.110526</v>
      </c>
      <c r="BA738" s="25">
        <f>Inventory[[#This Row],[WdDeck]]*Lookups!$B$91</f>
        <v>0</v>
      </c>
      <c r="BB738" s="25">
        <f>ROUND(Inventory[[#This Row],[25Det]],-2)</f>
        <v>0</v>
      </c>
      <c r="BC738" s="25">
        <f>ROUND(SUM(Inventory[[#This Row],[Mdl Qlty]:[Mdl WdDeck]])+Inventory[[#This Row],[Mdl Res Intercept]],-2)</f>
        <v>243100</v>
      </c>
      <c r="BD738" s="25">
        <f>ROUND(Inventory[[#This Row],[Mdl Land Intercept]]+Inventory[[#This Row],[Mdl LnAcres]],-2)</f>
        <v>40400</v>
      </c>
      <c r="BE738" s="25">
        <f>Inventory[[#This Row],[Unadj Res Value]]+Inventory[[#This Row],[Unadj Det Value]]+Inventory[[#This Row],[Unadj Land Value]]</f>
        <v>283500</v>
      </c>
      <c r="BF738" s="36">
        <f>(Inventory[[#This Row],[Unadj Total Value]]-Inventory[[#This Row],[24Final]])/Inventory[[#This Row],[24Final]]</f>
        <v>7.5901328273244778E-2</v>
      </c>
      <c r="BG738" s="25">
        <f>VLOOKUP(Inventory[[#This Row],[Nbhd]],Lookups!$Q$2:$T$4,4,FALSE)</f>
        <v>0.99970000000000003</v>
      </c>
      <c r="BH738" s="25">
        <f>VLOOKUP(Inventory[[#This Row],[Qlty]],Lookups!$O$7:$R$21,4,FALSE)</f>
        <v>1.0067999999999999</v>
      </c>
      <c r="BI738" s="25">
        <f>VLOOKUP(Inventory[[#This Row],[Cnd]],Lookups!$T$7:$W$16,4,FALSE)</f>
        <v>0.99729999999999996</v>
      </c>
      <c r="BJ738" s="25">
        <f>VLOOKUP(Inventory[[#This Row],[LivArea Range]],Lookups!$T$25:$W$37,4,FALSE)</f>
        <v>1.0148999999999999</v>
      </c>
      <c r="BK738" s="25">
        <f>VLOOKUP(Inventory[[#This Row],[Decade]],Lookups!$O$25:$R$42,4,FALSE)</f>
        <v>0.995</v>
      </c>
      <c r="BL738" s="25">
        <f>Inventory[[#This Row],[Nbhd Adj]]*0.95</f>
        <v>0.94971499999999998</v>
      </c>
      <c r="BM738" s="25">
        <f>Inventory[[#This Row],[Nbhd Adj]]*Inventory[[#This Row],[Quality Adj]]*Inventory[[#This Row],[Condition Adj]]*Inventory[[#This Row],[Living Area Adj]]*Inventory[[#This Row],[Decade Adj]]*0.95</f>
        <v>0.96296090698154491</v>
      </c>
      <c r="BN738" s="25">
        <f>ROUND(SUM(Inventory[[#This Row],[Mdl Qlty]:[Mdl WdDeck]])+Inventory[[#This Row],[Mdl Res Intercept]]*Inventory[[#This Row],[Res Adj ]],-2)</f>
        <v>243100</v>
      </c>
      <c r="BO738" s="25">
        <f>ROUND(Inventory[[#This Row],[25Det]]*Inventory[[#This Row],[Det/Nbhd Adj]],-2)</f>
        <v>0</v>
      </c>
      <c r="BP738" s="25">
        <f>Inventory[[#This Row],[Adjusted Res]]+Inventory[[#This Row],[Adj Det ]]</f>
        <v>243100</v>
      </c>
      <c r="BQ738" s="25">
        <f>ROUND((Inventory[[#This Row],[Mdl Land Intercept]]+Inventory[[#This Row],[Mdl LnAcres]])*Inventory[[#This Row],[Det/Nbhd Adj]],-2)</f>
        <v>38400</v>
      </c>
      <c r="BR738" s="25">
        <f>Inventory[[#This Row],[Adjusted Impr Total]]+Inventory[[#This Row],[Adjusted Land Total]]</f>
        <v>281500</v>
      </c>
      <c r="BS738" s="36">
        <f>IFERROR((Inventory[[#This Row],[Adjusted Impr Total]]-Inventory[[#This Row],[24Bldg]])/Inventory[[#This Row],[24Bldg]],0)</f>
        <v>0.19518190757128812</v>
      </c>
      <c r="BT738" s="36">
        <f>(Inventory[[#This Row],[Adjusted Land Total]]-Inventory[[#This Row],[24Lnd]])/Inventory[[#This Row],[24Lnd]]</f>
        <v>-0.36106489184692181</v>
      </c>
      <c r="BU738" s="36">
        <f>(Inventory[[#This Row],[Adjusted Total]]-Inventory[[#This Row],[24Final]])/Inventory[[#This Row],[24Final]]</f>
        <v>6.8311195445920306E-2</v>
      </c>
    </row>
    <row r="739" spans="1:73" x14ac:dyDescent="0.3">
      <c r="A739" s="25">
        <v>2025</v>
      </c>
      <c r="B739" s="26" t="s">
        <v>912</v>
      </c>
      <c r="C739" s="26">
        <f>LN(Inventory[[#This Row],[Acres]])</f>
        <v>-1.5606477482646683</v>
      </c>
      <c r="D739" s="25">
        <v>0.21</v>
      </c>
      <c r="E739" s="25">
        <v>9225</v>
      </c>
      <c r="F739" s="26" t="s">
        <v>537</v>
      </c>
      <c r="G739" s="26" t="s">
        <v>126</v>
      </c>
      <c r="H739" s="26" t="s">
        <v>349</v>
      </c>
      <c r="I739" s="26" t="s">
        <v>538</v>
      </c>
      <c r="J739" s="26" t="s">
        <v>539</v>
      </c>
      <c r="K739" s="26" t="s">
        <v>241</v>
      </c>
      <c r="L739" s="26" t="s">
        <v>351</v>
      </c>
      <c r="M739" s="26" t="s">
        <v>323</v>
      </c>
      <c r="N739" s="26">
        <v>80</v>
      </c>
      <c r="O739" s="26">
        <f>2024-Inventory[[#This Row],[YrBlt]]</f>
        <v>73</v>
      </c>
      <c r="P739" s="26">
        <f>2024-Inventory[[#This Row],[EffYr]]</f>
        <v>51</v>
      </c>
      <c r="Q739" s="25">
        <v>1951</v>
      </c>
      <c r="R739" s="25">
        <v>1973</v>
      </c>
      <c r="S739" s="25">
        <v>1650</v>
      </c>
      <c r="T739" s="27"/>
      <c r="U739" s="32">
        <v>844</v>
      </c>
      <c r="V739" s="32">
        <f>Inventory[[#This Row],[Bsmt]]-Inventory[[#This Row],[FnBsmt]]</f>
        <v>844</v>
      </c>
      <c r="W739" s="27"/>
      <c r="X739" s="27"/>
      <c r="Y739" s="27">
        <f>Inventory[[#This Row],[MainFn]]+Inventory[[#This Row],[UpprFn]]+Inventory[[#This Row],[FnBsmt]]+Inventory[[#This Row],[AddFn]]</f>
        <v>1650</v>
      </c>
      <c r="Z739" s="27">
        <v>2000</v>
      </c>
      <c r="AA739" s="25">
        <v>8</v>
      </c>
      <c r="AB739" s="25">
        <v>273</v>
      </c>
      <c r="AC739" s="27"/>
      <c r="AD739" s="27"/>
      <c r="AE739" s="27"/>
      <c r="AF739" s="27"/>
      <c r="AG739" s="27"/>
      <c r="AH739" s="27"/>
      <c r="AI739" s="25">
        <v>298359</v>
      </c>
      <c r="AJ739" s="25">
        <v>205868</v>
      </c>
      <c r="AK739" s="25">
        <v>0</v>
      </c>
      <c r="AL739" s="25">
        <v>326000</v>
      </c>
      <c r="AM739" s="25">
        <v>60100</v>
      </c>
      <c r="AN739" s="25">
        <v>265900</v>
      </c>
      <c r="AO739" s="25">
        <v>0</v>
      </c>
      <c r="AP739" s="25">
        <f>Lookups!$B$56*0</f>
        <v>0</v>
      </c>
      <c r="AQ739" s="25">
        <f>Lookups!$B$56*1</f>
        <v>89850.625589999996</v>
      </c>
      <c r="AR739" s="25">
        <f>Lookups!$B$57*Inventory[[#This Row],[LnAcres]]</f>
        <v>-49401.70477837498</v>
      </c>
      <c r="AS739" s="25">
        <f>VLOOKUP(Inventory[[#This Row],[Qlty]],Lookups!$A$62:$E$75,2,FALSE)</f>
        <v>21557.329055999999</v>
      </c>
      <c r="AT739" s="25">
        <f>VLOOKUP(Inventory[[#This Row],[Cnd]],Lookups!$A$76:$E$84,2,FALSE)</f>
        <v>160472.20319</v>
      </c>
      <c r="AU739" s="25">
        <f>Inventory[[#This Row],[EffAge]]*Lookups!$B$85</f>
        <v>-11375.3256255</v>
      </c>
      <c r="AV739" s="25">
        <f>Inventory[[#This Row],[MainFn]]*Lookups!$B$86</f>
        <v>81524.305297049999</v>
      </c>
      <c r="AW739" s="25">
        <f>Inventory[[#This Row],[UpprFn]]*Lookups!$B$87</f>
        <v>0</v>
      </c>
      <c r="AX739" s="25">
        <f>Inventory[[#This Row],[AddFn]]*Lookups!$B$88</f>
        <v>0</v>
      </c>
      <c r="AY739" s="25">
        <f>Inventory[[#This Row],[Bsmt]]*Lookups!$B$89</f>
        <v>24545.119588467998</v>
      </c>
      <c r="AZ739" s="25">
        <f>Inventory[[#This Row],[Fixtures]]*Lookups!$B$90</f>
        <v>30336.176841600001</v>
      </c>
      <c r="BA739" s="25">
        <f>Inventory[[#This Row],[WdDeck]]*Lookups!$B$91</f>
        <v>0</v>
      </c>
      <c r="BB739" s="25">
        <f>ROUND(Inventory[[#This Row],[25Det]],-2)</f>
        <v>0</v>
      </c>
      <c r="BC739" s="25">
        <f>ROUND(SUM(Inventory[[#This Row],[Mdl Qlty]:[Mdl WdDeck]])+Inventory[[#This Row],[Mdl Res Intercept]],-2)</f>
        <v>307100</v>
      </c>
      <c r="BD739" s="25">
        <f>ROUND(Inventory[[#This Row],[Mdl Land Intercept]]+Inventory[[#This Row],[Mdl LnAcres]],-2)</f>
        <v>40400</v>
      </c>
      <c r="BE739" s="25">
        <f>Inventory[[#This Row],[Unadj Res Value]]+Inventory[[#This Row],[Unadj Det Value]]+Inventory[[#This Row],[Unadj Land Value]]</f>
        <v>347500</v>
      </c>
      <c r="BF739" s="36">
        <f>(Inventory[[#This Row],[Unadj Total Value]]-Inventory[[#This Row],[24Final]])/Inventory[[#This Row],[24Final]]</f>
        <v>6.5950920245398767E-2</v>
      </c>
      <c r="BG739" s="25">
        <f>VLOOKUP(Inventory[[#This Row],[Nbhd]],Lookups!$Q$2:$T$4,4,FALSE)</f>
        <v>0.99970000000000003</v>
      </c>
      <c r="BH739" s="25">
        <f>VLOOKUP(Inventory[[#This Row],[Qlty]],Lookups!$O$7:$R$21,4,FALSE)</f>
        <v>1.0067999999999999</v>
      </c>
      <c r="BI739" s="25">
        <f>VLOOKUP(Inventory[[#This Row],[Cnd]],Lookups!$T$7:$W$16,4,FALSE)</f>
        <v>0.99729999999999996</v>
      </c>
      <c r="BJ739" s="25">
        <f>VLOOKUP(Inventory[[#This Row],[LivArea Range]],Lookups!$T$25:$W$37,4,FALSE)</f>
        <v>1.0093000000000001</v>
      </c>
      <c r="BK739" s="25">
        <f>VLOOKUP(Inventory[[#This Row],[Decade]],Lookups!$O$25:$R$42,4,FALSE)</f>
        <v>0.995</v>
      </c>
      <c r="BL739" s="25">
        <f>Inventory[[#This Row],[Nbhd Adj]]*0.95</f>
        <v>0.94971499999999998</v>
      </c>
      <c r="BM739" s="25">
        <f>Inventory[[#This Row],[Nbhd Adj]]*Inventory[[#This Row],[Quality Adj]]*Inventory[[#This Row],[Condition Adj]]*Inventory[[#This Row],[Living Area Adj]]*Inventory[[#This Row],[Decade Adj]]*0.95</f>
        <v>0.957647495730095</v>
      </c>
      <c r="BN739" s="25">
        <f>ROUND(SUM(Inventory[[#This Row],[Mdl Qlty]:[Mdl WdDeck]])+Inventory[[#This Row],[Mdl Res Intercept]]*Inventory[[#This Row],[Res Adj ]],-2)</f>
        <v>307100</v>
      </c>
      <c r="BO739" s="25">
        <f>ROUND(Inventory[[#This Row],[25Det]]*Inventory[[#This Row],[Det/Nbhd Adj]],-2)</f>
        <v>0</v>
      </c>
      <c r="BP739" s="25">
        <f>Inventory[[#This Row],[Adjusted Res]]+Inventory[[#This Row],[Adj Det ]]</f>
        <v>307100</v>
      </c>
      <c r="BQ739" s="25">
        <f>ROUND((Inventory[[#This Row],[Mdl Land Intercept]]+Inventory[[#This Row],[Mdl LnAcres]])*Inventory[[#This Row],[Det/Nbhd Adj]],-2)</f>
        <v>38400</v>
      </c>
      <c r="BR739" s="25">
        <f>Inventory[[#This Row],[Adjusted Impr Total]]+Inventory[[#This Row],[Adjusted Land Total]]</f>
        <v>345500</v>
      </c>
      <c r="BS739" s="36">
        <f>IFERROR((Inventory[[#This Row],[Adjusted Impr Total]]-Inventory[[#This Row],[24Bldg]])/Inventory[[#This Row],[24Bldg]],0)</f>
        <v>0.15494546822113575</v>
      </c>
      <c r="BT739" s="36">
        <f>(Inventory[[#This Row],[Adjusted Land Total]]-Inventory[[#This Row],[24Lnd]])/Inventory[[#This Row],[24Lnd]]</f>
        <v>-0.36106489184692181</v>
      </c>
      <c r="BU739" s="36">
        <f>(Inventory[[#This Row],[Adjusted Total]]-Inventory[[#This Row],[24Final]])/Inventory[[#This Row],[24Final]]</f>
        <v>5.98159509202454E-2</v>
      </c>
    </row>
    <row r="740" spans="1:73" x14ac:dyDescent="0.3">
      <c r="A740" s="25">
        <v>2025</v>
      </c>
      <c r="B740" s="26" t="s">
        <v>1741</v>
      </c>
      <c r="C740" s="26">
        <f>LN(Inventory[[#This Row],[Acres]])</f>
        <v>-1.5606477482646683</v>
      </c>
      <c r="D740" s="25">
        <v>0.21</v>
      </c>
      <c r="E740" s="31"/>
      <c r="F740" s="26" t="s">
        <v>537</v>
      </c>
      <c r="G740" s="26" t="s">
        <v>126</v>
      </c>
      <c r="H740" s="26" t="s">
        <v>349</v>
      </c>
      <c r="I740" s="26" t="s">
        <v>538</v>
      </c>
      <c r="J740" s="26" t="s">
        <v>638</v>
      </c>
      <c r="K740" s="26" t="s">
        <v>241</v>
      </c>
      <c r="L740" s="26" t="s">
        <v>351</v>
      </c>
      <c r="M740" s="26" t="s">
        <v>323</v>
      </c>
      <c r="N740" s="26">
        <v>80</v>
      </c>
      <c r="O740" s="26">
        <f>2024-Inventory[[#This Row],[YrBlt]]</f>
        <v>73</v>
      </c>
      <c r="P740" s="26">
        <f>2024-Inventory[[#This Row],[EffYr]]</f>
        <v>51</v>
      </c>
      <c r="Q740" s="25">
        <v>1951</v>
      </c>
      <c r="R740" s="25">
        <v>1973</v>
      </c>
      <c r="S740" s="25">
        <v>1247</v>
      </c>
      <c r="T740" s="27"/>
      <c r="U740" s="31"/>
      <c r="V740" s="27">
        <f>Inventory[[#This Row],[Bsmt]]-Inventory[[#This Row],[FnBsmt]]</f>
        <v>0</v>
      </c>
      <c r="W740" s="27"/>
      <c r="X740" s="27"/>
      <c r="Y740" s="27">
        <f>Inventory[[#This Row],[MainFn]]+Inventory[[#This Row],[UpprFn]]+Inventory[[#This Row],[FnBsmt]]+Inventory[[#This Row],[AddFn]]</f>
        <v>1247</v>
      </c>
      <c r="Z740" s="27">
        <v>1500</v>
      </c>
      <c r="AA740" s="25">
        <v>5</v>
      </c>
      <c r="AB740" s="32">
        <v>220</v>
      </c>
      <c r="AC740" s="27"/>
      <c r="AD740" s="27"/>
      <c r="AE740" s="27"/>
      <c r="AF740" s="27"/>
      <c r="AG740" s="27"/>
      <c r="AH740" s="27"/>
      <c r="AI740" s="25">
        <v>209159</v>
      </c>
      <c r="AJ740" s="25">
        <v>144320</v>
      </c>
      <c r="AK740" s="25">
        <v>0</v>
      </c>
      <c r="AL740" s="25">
        <v>279300</v>
      </c>
      <c r="AM740" s="25">
        <v>60100</v>
      </c>
      <c r="AN740" s="25">
        <v>219200</v>
      </c>
      <c r="AO740" s="25">
        <v>0</v>
      </c>
      <c r="AP740" s="25">
        <f>Lookups!$B$56*0</f>
        <v>0</v>
      </c>
      <c r="AQ740" s="25">
        <f>Lookups!$B$56*1</f>
        <v>89850.625589999996</v>
      </c>
      <c r="AR740" s="25">
        <f>Lookups!$B$57*Inventory[[#This Row],[LnAcres]]</f>
        <v>-49401.70477837498</v>
      </c>
      <c r="AS740" s="25">
        <f>VLOOKUP(Inventory[[#This Row],[Qlty]],Lookups!$A$62:$E$75,2,FALSE)</f>
        <v>21557.329055999999</v>
      </c>
      <c r="AT740" s="25">
        <f>VLOOKUP(Inventory[[#This Row],[Cnd]],Lookups!$A$76:$E$84,2,FALSE)</f>
        <v>160472.20319</v>
      </c>
      <c r="AU740" s="25">
        <f>Inventory[[#This Row],[EffAge]]*Lookups!$B$85</f>
        <v>-11375.3256255</v>
      </c>
      <c r="AV740" s="25">
        <f>Inventory[[#This Row],[MainFn]]*Lookups!$B$86</f>
        <v>61612.611336619004</v>
      </c>
      <c r="AW740" s="25">
        <f>Inventory[[#This Row],[UpprFn]]*Lookups!$B$87</f>
        <v>0</v>
      </c>
      <c r="AX740" s="25">
        <f>Inventory[[#This Row],[AddFn]]*Lookups!$B$88</f>
        <v>0</v>
      </c>
      <c r="AY740" s="25">
        <f>Inventory[[#This Row],[Bsmt]]*Lookups!$B$89</f>
        <v>0</v>
      </c>
      <c r="AZ740" s="25">
        <f>Inventory[[#This Row],[Fixtures]]*Lookups!$B$90</f>
        <v>18960.110526</v>
      </c>
      <c r="BA740" s="25">
        <f>Inventory[[#This Row],[WdDeck]]*Lookups!$B$91</f>
        <v>0</v>
      </c>
      <c r="BB740" s="25">
        <f>ROUND(Inventory[[#This Row],[25Det]],-2)</f>
        <v>0</v>
      </c>
      <c r="BC740" s="25">
        <f>ROUND(SUM(Inventory[[#This Row],[Mdl Qlty]:[Mdl WdDeck]])+Inventory[[#This Row],[Mdl Res Intercept]],-2)</f>
        <v>251200</v>
      </c>
      <c r="BD740" s="25">
        <f>ROUND(Inventory[[#This Row],[Mdl Land Intercept]]+Inventory[[#This Row],[Mdl LnAcres]],-2)</f>
        <v>40400</v>
      </c>
      <c r="BE740" s="25">
        <f>Inventory[[#This Row],[Unadj Res Value]]+Inventory[[#This Row],[Unadj Det Value]]+Inventory[[#This Row],[Unadj Land Value]]</f>
        <v>291600</v>
      </c>
      <c r="BF740" s="36">
        <f>(Inventory[[#This Row],[Unadj Total Value]]-Inventory[[#This Row],[24Final]])/Inventory[[#This Row],[24Final]]</f>
        <v>4.4038668098818477E-2</v>
      </c>
      <c r="BG740" s="25">
        <f>VLOOKUP(Inventory[[#This Row],[Nbhd]],Lookups!$Q$2:$T$4,4,FALSE)</f>
        <v>0.99970000000000003</v>
      </c>
      <c r="BH740" s="25">
        <f>VLOOKUP(Inventory[[#This Row],[Qlty]],Lookups!$O$7:$R$21,4,FALSE)</f>
        <v>1.0067999999999999</v>
      </c>
      <c r="BI740" s="25">
        <f>VLOOKUP(Inventory[[#This Row],[Cnd]],Lookups!$T$7:$W$16,4,FALSE)</f>
        <v>0.99729999999999996</v>
      </c>
      <c r="BJ740" s="25">
        <f>VLOOKUP(Inventory[[#This Row],[LivArea Range]],Lookups!$T$25:$W$37,4,FALSE)</f>
        <v>1.0157</v>
      </c>
      <c r="BK740" s="25">
        <f>VLOOKUP(Inventory[[#This Row],[Decade]],Lookups!$O$25:$R$42,4,FALSE)</f>
        <v>0.995</v>
      </c>
      <c r="BL740" s="25">
        <f>Inventory[[#This Row],[Nbhd Adj]]*0.95</f>
        <v>0.94971499999999998</v>
      </c>
      <c r="BM740" s="25">
        <f>Inventory[[#This Row],[Nbhd Adj]]*Inventory[[#This Row],[Quality Adj]]*Inventory[[#This Row],[Condition Adj]]*Inventory[[#This Row],[Living Area Adj]]*Inventory[[#This Row],[Decade Adj]]*0.95</f>
        <v>0.96371996573175212</v>
      </c>
      <c r="BN740" s="25">
        <f>ROUND(SUM(Inventory[[#This Row],[Mdl Qlty]:[Mdl WdDeck]])+Inventory[[#This Row],[Mdl Res Intercept]]*Inventory[[#This Row],[Res Adj ]],-2)</f>
        <v>251200</v>
      </c>
      <c r="BO740" s="25">
        <f>ROUND(Inventory[[#This Row],[25Det]]*Inventory[[#This Row],[Det/Nbhd Adj]],-2)</f>
        <v>0</v>
      </c>
      <c r="BP740" s="25">
        <f>Inventory[[#This Row],[Adjusted Res]]+Inventory[[#This Row],[Adj Det ]]</f>
        <v>251200</v>
      </c>
      <c r="BQ740" s="25">
        <f>ROUND((Inventory[[#This Row],[Mdl Land Intercept]]+Inventory[[#This Row],[Mdl LnAcres]])*Inventory[[#This Row],[Det/Nbhd Adj]],-2)</f>
        <v>38400</v>
      </c>
      <c r="BR740" s="25">
        <f>Inventory[[#This Row],[Adjusted Impr Total]]+Inventory[[#This Row],[Adjusted Land Total]]</f>
        <v>289600</v>
      </c>
      <c r="BS740" s="36">
        <f>IFERROR((Inventory[[#This Row],[Adjusted Impr Total]]-Inventory[[#This Row],[24Bldg]])/Inventory[[#This Row],[24Bldg]],0)</f>
        <v>0.145985401459854</v>
      </c>
      <c r="BT740" s="36">
        <f>(Inventory[[#This Row],[Adjusted Land Total]]-Inventory[[#This Row],[24Lnd]])/Inventory[[#This Row],[24Lnd]]</f>
        <v>-0.36106489184692181</v>
      </c>
      <c r="BU740" s="36">
        <f>(Inventory[[#This Row],[Adjusted Total]]-Inventory[[#This Row],[24Final]])/Inventory[[#This Row],[24Final]]</f>
        <v>3.6877909058360185E-2</v>
      </c>
    </row>
    <row r="741" spans="1:73" x14ac:dyDescent="0.3">
      <c r="A741" s="25">
        <v>2025</v>
      </c>
      <c r="B741" s="26" t="s">
        <v>1731</v>
      </c>
      <c r="C741" s="26">
        <f>LN(Inventory[[#This Row],[Acres]])</f>
        <v>-1.6094379124341003</v>
      </c>
      <c r="D741" s="25">
        <v>0.2</v>
      </c>
      <c r="E741" s="31"/>
      <c r="F741" s="26" t="s">
        <v>537</v>
      </c>
      <c r="G741" s="26" t="s">
        <v>126</v>
      </c>
      <c r="H741" s="26" t="s">
        <v>349</v>
      </c>
      <c r="I741" s="26" t="s">
        <v>538</v>
      </c>
      <c r="J741" s="26" t="s">
        <v>539</v>
      </c>
      <c r="K741" s="26" t="s">
        <v>147</v>
      </c>
      <c r="L741" s="26" t="s">
        <v>148</v>
      </c>
      <c r="M741" s="26" t="s">
        <v>323</v>
      </c>
      <c r="N741" s="26">
        <v>80</v>
      </c>
      <c r="O741" s="26">
        <f>2024-Inventory[[#This Row],[YrBlt]]</f>
        <v>73</v>
      </c>
      <c r="P741" s="26">
        <f>2024-Inventory[[#This Row],[EffYr]]</f>
        <v>51</v>
      </c>
      <c r="Q741" s="25">
        <v>1951</v>
      </c>
      <c r="R741" s="25">
        <v>1973</v>
      </c>
      <c r="S741" s="25">
        <v>1357</v>
      </c>
      <c r="T741" s="32">
        <v>544</v>
      </c>
      <c r="U741" s="25">
        <v>1358</v>
      </c>
      <c r="V741" s="25">
        <f>Inventory[[#This Row],[Bsmt]]-Inventory[[#This Row],[FnBsmt]]</f>
        <v>0</v>
      </c>
      <c r="W741" s="25">
        <v>1358</v>
      </c>
      <c r="X741" s="27"/>
      <c r="Y741" s="27">
        <f>Inventory[[#This Row],[MainFn]]+Inventory[[#This Row],[UpprFn]]+Inventory[[#This Row],[FnBsmt]]+Inventory[[#This Row],[AddFn]]</f>
        <v>3259</v>
      </c>
      <c r="Z741" s="27">
        <v>3500</v>
      </c>
      <c r="AA741" s="25">
        <v>8</v>
      </c>
      <c r="AB741" s="32">
        <v>506</v>
      </c>
      <c r="AC741" s="27"/>
      <c r="AD741" s="32">
        <v>157</v>
      </c>
      <c r="AE741" s="27"/>
      <c r="AF741" s="27"/>
      <c r="AG741" s="27"/>
      <c r="AH741" s="27"/>
      <c r="AI741" s="25">
        <v>544673</v>
      </c>
      <c r="AJ741" s="25">
        <v>375824</v>
      </c>
      <c r="AK741" s="25">
        <v>0</v>
      </c>
      <c r="AL741" s="25">
        <v>388700</v>
      </c>
      <c r="AM741" s="25">
        <v>58400</v>
      </c>
      <c r="AN741" s="25">
        <v>330300</v>
      </c>
      <c r="AO741" s="25">
        <v>0</v>
      </c>
      <c r="AP741" s="25">
        <f>Lookups!$B$56*0</f>
        <v>0</v>
      </c>
      <c r="AQ741" s="25">
        <f>Lookups!$B$56*1</f>
        <v>89850.625589999996</v>
      </c>
      <c r="AR741" s="25">
        <f>Lookups!$B$57*Inventory[[#This Row],[LnAcres]]</f>
        <v>-50946.13867709865</v>
      </c>
      <c r="AS741" s="25">
        <f>VLOOKUP(Inventory[[#This Row],[Qlty]],Lookups!$A$62:$E$75,2,FALSE)</f>
        <v>44121.038090000002</v>
      </c>
      <c r="AT741" s="25">
        <f>VLOOKUP(Inventory[[#This Row],[Cnd]],Lookups!$A$76:$E$84,2,FALSE)</f>
        <v>160472.20319</v>
      </c>
      <c r="AU741" s="25">
        <f>Inventory[[#This Row],[EffAge]]*Lookups!$B$85</f>
        <v>-11375.3256255</v>
      </c>
      <c r="AV741" s="25">
        <f>Inventory[[#This Row],[MainFn]]*Lookups!$B$86</f>
        <v>67047.565023089002</v>
      </c>
      <c r="AW741" s="25">
        <f>Inventory[[#This Row],[UpprFn]]*Lookups!$B$87</f>
        <v>24363.814036383999</v>
      </c>
      <c r="AX741" s="25">
        <f>Inventory[[#This Row],[AddFn]]*Lookups!$B$88</f>
        <v>0</v>
      </c>
      <c r="AY741" s="25">
        <f>Inventory[[#This Row],[Bsmt]]*Lookups!$B$89</f>
        <v>39493.213745426001</v>
      </c>
      <c r="AZ741" s="25">
        <f>Inventory[[#This Row],[Fixtures]]*Lookups!$B$90</f>
        <v>30336.176841600001</v>
      </c>
      <c r="BA741" s="25">
        <f>Inventory[[#This Row],[WdDeck]]*Lookups!$B$91</f>
        <v>5227.3958983320008</v>
      </c>
      <c r="BB741" s="25">
        <f>ROUND(Inventory[[#This Row],[25Det]],-2)</f>
        <v>0</v>
      </c>
      <c r="BC741" s="25">
        <f>ROUND(SUM(Inventory[[#This Row],[Mdl Qlty]:[Mdl WdDeck]])+Inventory[[#This Row],[Mdl Res Intercept]],-2)</f>
        <v>359700</v>
      </c>
      <c r="BD741" s="25">
        <f>ROUND(Inventory[[#This Row],[Mdl Land Intercept]]+Inventory[[#This Row],[Mdl LnAcres]],-2)</f>
        <v>38900</v>
      </c>
      <c r="BE741" s="25">
        <f>Inventory[[#This Row],[Unadj Res Value]]+Inventory[[#This Row],[Unadj Det Value]]+Inventory[[#This Row],[Unadj Land Value]]</f>
        <v>398600</v>
      </c>
      <c r="BF741" s="36">
        <f>(Inventory[[#This Row],[Unadj Total Value]]-Inventory[[#This Row],[24Final]])/Inventory[[#This Row],[24Final]]</f>
        <v>2.5469513763828146E-2</v>
      </c>
      <c r="BG741" s="25">
        <f>VLOOKUP(Inventory[[#This Row],[Nbhd]],Lookups!$Q$2:$T$4,4,FALSE)</f>
        <v>0.99970000000000003</v>
      </c>
      <c r="BH741" s="25">
        <f>VLOOKUP(Inventory[[#This Row],[Qlty]],Lookups!$O$7:$R$21,4,FALSE)</f>
        <v>0.98050000000000004</v>
      </c>
      <c r="BI741" s="25">
        <f>VLOOKUP(Inventory[[#This Row],[Cnd]],Lookups!$T$7:$W$16,4,FALSE)</f>
        <v>0.99729999999999996</v>
      </c>
      <c r="BJ741" s="25">
        <f>VLOOKUP(Inventory[[#This Row],[LivArea Range]],Lookups!$T$25:$W$37,4,FALSE)</f>
        <v>1.0126999999999999</v>
      </c>
      <c r="BK741" s="25">
        <f>VLOOKUP(Inventory[[#This Row],[Decade]],Lookups!$O$25:$R$42,4,FALSE)</f>
        <v>0.995</v>
      </c>
      <c r="BL741" s="25">
        <f>Inventory[[#This Row],[Nbhd Adj]]*0.95</f>
        <v>0.94971499999999998</v>
      </c>
      <c r="BM741" s="25">
        <f>Inventory[[#This Row],[Nbhd Adj]]*Inventory[[#This Row],[Quality Adj]]*Inventory[[#This Row],[Condition Adj]]*Inventory[[#This Row],[Living Area Adj]]*Inventory[[#This Row],[Decade Adj]]*0.95</f>
        <v>0.9357732044674365</v>
      </c>
      <c r="BN741" s="25">
        <f>ROUND(SUM(Inventory[[#This Row],[Mdl Qlty]:[Mdl WdDeck]])+Inventory[[#This Row],[Mdl Res Intercept]]*Inventory[[#This Row],[Res Adj ]],-2)</f>
        <v>359700</v>
      </c>
      <c r="BO741" s="25">
        <f>ROUND(Inventory[[#This Row],[25Det]]*Inventory[[#This Row],[Det/Nbhd Adj]],-2)</f>
        <v>0</v>
      </c>
      <c r="BP741" s="25">
        <f>Inventory[[#This Row],[Adjusted Res]]+Inventory[[#This Row],[Adj Det ]]</f>
        <v>359700</v>
      </c>
      <c r="BQ741" s="25">
        <f>ROUND((Inventory[[#This Row],[Mdl Land Intercept]]+Inventory[[#This Row],[Mdl LnAcres]])*Inventory[[#This Row],[Det/Nbhd Adj]],-2)</f>
        <v>36900</v>
      </c>
      <c r="BR741" s="25">
        <f>Inventory[[#This Row],[Adjusted Impr Total]]+Inventory[[#This Row],[Adjusted Land Total]]</f>
        <v>396600</v>
      </c>
      <c r="BS741" s="36">
        <f>IFERROR((Inventory[[#This Row],[Adjusted Impr Total]]-Inventory[[#This Row],[24Bldg]])/Inventory[[#This Row],[24Bldg]],0)</f>
        <v>8.9009990917347862E-2</v>
      </c>
      <c r="BT741" s="36">
        <f>(Inventory[[#This Row],[Adjusted Land Total]]-Inventory[[#This Row],[24Lnd]])/Inventory[[#This Row],[24Lnd]]</f>
        <v>-0.36815068493150682</v>
      </c>
      <c r="BU741" s="36">
        <f>(Inventory[[#This Row],[Adjusted Total]]-Inventory[[#This Row],[24Final]])/Inventory[[#This Row],[24Final]]</f>
        <v>2.0324157447903269E-2</v>
      </c>
    </row>
    <row r="742" spans="1:73" x14ac:dyDescent="0.3">
      <c r="A742" s="25">
        <v>2025</v>
      </c>
      <c r="B742" s="26" t="s">
        <v>1960</v>
      </c>
      <c r="C742" s="26">
        <f>LN(Inventory[[#This Row],[Acres]])</f>
        <v>-1.4696759700589417</v>
      </c>
      <c r="D742" s="25">
        <v>0.23</v>
      </c>
      <c r="E742" s="31"/>
      <c r="F742" s="26" t="s">
        <v>537</v>
      </c>
      <c r="G742" s="26" t="s">
        <v>126</v>
      </c>
      <c r="H742" s="26" t="s">
        <v>349</v>
      </c>
      <c r="I742" s="26" t="s">
        <v>538</v>
      </c>
      <c r="J742" s="26" t="s">
        <v>539</v>
      </c>
      <c r="K742" s="26" t="s">
        <v>242</v>
      </c>
      <c r="L742" s="26" t="s">
        <v>95</v>
      </c>
      <c r="M742" s="26" t="s">
        <v>323</v>
      </c>
      <c r="N742" s="26">
        <v>80</v>
      </c>
      <c r="O742" s="26">
        <f>2024-Inventory[[#This Row],[YrBlt]]</f>
        <v>73</v>
      </c>
      <c r="P742" s="26">
        <f>2024-Inventory[[#This Row],[EffYr]]</f>
        <v>51</v>
      </c>
      <c r="Q742" s="25">
        <v>1951</v>
      </c>
      <c r="R742" s="25">
        <v>1973</v>
      </c>
      <c r="S742" s="25">
        <v>1843</v>
      </c>
      <c r="T742" s="27"/>
      <c r="U742" s="32">
        <v>1101</v>
      </c>
      <c r="V742" s="32">
        <f>Inventory[[#This Row],[Bsmt]]-Inventory[[#This Row],[FnBsmt]]</f>
        <v>550</v>
      </c>
      <c r="W742" s="32">
        <v>551</v>
      </c>
      <c r="X742" s="27"/>
      <c r="Y742" s="27">
        <f>Inventory[[#This Row],[MainFn]]+Inventory[[#This Row],[UpprFn]]+Inventory[[#This Row],[FnBsmt]]+Inventory[[#This Row],[AddFn]]</f>
        <v>2394</v>
      </c>
      <c r="Z742" s="27">
        <v>2500</v>
      </c>
      <c r="AA742" s="25">
        <v>14</v>
      </c>
      <c r="AB742" s="25">
        <v>405</v>
      </c>
      <c r="AC742" s="27"/>
      <c r="AD742" s="31"/>
      <c r="AE742" s="27"/>
      <c r="AF742" s="27"/>
      <c r="AG742" s="27"/>
      <c r="AH742" s="27"/>
      <c r="AI742" s="25">
        <v>549079</v>
      </c>
      <c r="AJ742" s="25">
        <v>384355</v>
      </c>
      <c r="AK742" s="25">
        <v>0</v>
      </c>
      <c r="AL742" s="25">
        <v>457000</v>
      </c>
      <c r="AM742" s="25">
        <v>63300</v>
      </c>
      <c r="AN742" s="25">
        <v>393700</v>
      </c>
      <c r="AO742" s="25">
        <v>0</v>
      </c>
      <c r="AP742" s="25">
        <f>Lookups!$B$56*0</f>
        <v>0</v>
      </c>
      <c r="AQ742" s="25">
        <f>Lookups!$B$56*1</f>
        <v>89850.625589999996</v>
      </c>
      <c r="AR742" s="25">
        <f>Lookups!$B$57*Inventory[[#This Row],[LnAcres]]</f>
        <v>-46522.028095997222</v>
      </c>
      <c r="AS742" s="25">
        <f>VLOOKUP(Inventory[[#This Row],[Qlty]],Lookups!$A$62:$E$75,2,FALSE)</f>
        <v>74268.409664999999</v>
      </c>
      <c r="AT742" s="25">
        <f>VLOOKUP(Inventory[[#This Row],[Cnd]],Lookups!$A$76:$E$84,2,FALSE)</f>
        <v>160472.20319</v>
      </c>
      <c r="AU742" s="25">
        <f>Inventory[[#This Row],[EffAge]]*Lookups!$B$85</f>
        <v>-11375.3256255</v>
      </c>
      <c r="AV742" s="25">
        <f>Inventory[[#This Row],[MainFn]]*Lookups!$B$86</f>
        <v>91060.178583311004</v>
      </c>
      <c r="AW742" s="25">
        <f>Inventory[[#This Row],[UpprFn]]*Lookups!$B$87</f>
        <v>0</v>
      </c>
      <c r="AX742" s="25">
        <f>Inventory[[#This Row],[AddFn]]*Lookups!$B$88</f>
        <v>0</v>
      </c>
      <c r="AY742" s="25">
        <f>Inventory[[#This Row],[Bsmt]]*Lookups!$B$89</f>
        <v>32019.166666947</v>
      </c>
      <c r="AZ742" s="25">
        <f>Inventory[[#This Row],[Fixtures]]*Lookups!$B$90</f>
        <v>53088.3094728</v>
      </c>
      <c r="BA742" s="25">
        <f>Inventory[[#This Row],[WdDeck]]*Lookups!$B$91</f>
        <v>0</v>
      </c>
      <c r="BB742" s="25">
        <f>ROUND(Inventory[[#This Row],[25Det]],-2)</f>
        <v>0</v>
      </c>
      <c r="BC742" s="25">
        <f>ROUND(SUM(Inventory[[#This Row],[Mdl Qlty]:[Mdl WdDeck]])+Inventory[[#This Row],[Mdl Res Intercept]],-2)</f>
        <v>399500</v>
      </c>
      <c r="BD742" s="25">
        <f>ROUND(Inventory[[#This Row],[Mdl Land Intercept]]+Inventory[[#This Row],[Mdl LnAcres]],-2)</f>
        <v>43300</v>
      </c>
      <c r="BE742" s="25">
        <f>Inventory[[#This Row],[Unadj Res Value]]+Inventory[[#This Row],[Unadj Det Value]]+Inventory[[#This Row],[Unadj Land Value]]</f>
        <v>442800</v>
      </c>
      <c r="BF742" s="36">
        <f>(Inventory[[#This Row],[Unadj Total Value]]-Inventory[[#This Row],[24Final]])/Inventory[[#This Row],[24Final]]</f>
        <v>-3.1072210065645513E-2</v>
      </c>
      <c r="BG742" s="25">
        <f>VLOOKUP(Inventory[[#This Row],[Nbhd]],Lookups!$Q$2:$T$4,4,FALSE)</f>
        <v>0.99970000000000003</v>
      </c>
      <c r="BH742" s="25">
        <f>VLOOKUP(Inventory[[#This Row],[Qlty]],Lookups!$O$7:$R$21,4,FALSE)</f>
        <v>0.98380000000000001</v>
      </c>
      <c r="BI742" s="25">
        <f>VLOOKUP(Inventory[[#This Row],[Cnd]],Lookups!$T$7:$W$16,4,FALSE)</f>
        <v>0.99729999999999996</v>
      </c>
      <c r="BJ742" s="25">
        <f>VLOOKUP(Inventory[[#This Row],[LivArea Range]],Lookups!$T$25:$W$37,4,FALSE)</f>
        <v>0.98919999999999997</v>
      </c>
      <c r="BK742" s="25">
        <f>VLOOKUP(Inventory[[#This Row],[Decade]],Lookups!$O$25:$R$42,4,FALSE)</f>
        <v>0.995</v>
      </c>
      <c r="BL742" s="25">
        <f>Inventory[[#This Row],[Nbhd Adj]]*0.95</f>
        <v>0.94971499999999998</v>
      </c>
      <c r="BM742" s="25">
        <f>Inventory[[#This Row],[Nbhd Adj]]*Inventory[[#This Row],[Quality Adj]]*Inventory[[#This Row],[Condition Adj]]*Inventory[[#This Row],[Living Area Adj]]*Inventory[[#This Row],[Decade Adj]]*0.95</f>
        <v>0.91713469516102109</v>
      </c>
      <c r="BN742" s="25">
        <f>ROUND(SUM(Inventory[[#This Row],[Mdl Qlty]:[Mdl WdDeck]])+Inventory[[#This Row],[Mdl Res Intercept]]*Inventory[[#This Row],[Res Adj ]],-2)</f>
        <v>399500</v>
      </c>
      <c r="BO742" s="25">
        <f>ROUND(Inventory[[#This Row],[25Det]]*Inventory[[#This Row],[Det/Nbhd Adj]],-2)</f>
        <v>0</v>
      </c>
      <c r="BP742" s="25">
        <f>Inventory[[#This Row],[Adjusted Res]]+Inventory[[#This Row],[Adj Det ]]</f>
        <v>399500</v>
      </c>
      <c r="BQ742" s="25">
        <f>ROUND((Inventory[[#This Row],[Mdl Land Intercept]]+Inventory[[#This Row],[Mdl LnAcres]])*Inventory[[#This Row],[Det/Nbhd Adj]],-2)</f>
        <v>41100</v>
      </c>
      <c r="BR742" s="25">
        <f>Inventory[[#This Row],[Adjusted Impr Total]]+Inventory[[#This Row],[Adjusted Land Total]]</f>
        <v>440600</v>
      </c>
      <c r="BS742" s="36">
        <f>IFERROR((Inventory[[#This Row],[Adjusted Impr Total]]-Inventory[[#This Row],[24Bldg]])/Inventory[[#This Row],[24Bldg]],0)</f>
        <v>1.4732029464058927E-2</v>
      </c>
      <c r="BT742" s="36">
        <f>(Inventory[[#This Row],[Adjusted Land Total]]-Inventory[[#This Row],[24Lnd]])/Inventory[[#This Row],[24Lnd]]</f>
        <v>-0.35071090047393366</v>
      </c>
      <c r="BU742" s="36">
        <f>(Inventory[[#This Row],[Adjusted Total]]-Inventory[[#This Row],[24Final]])/Inventory[[#This Row],[24Final]]</f>
        <v>-3.5886214442013127E-2</v>
      </c>
    </row>
    <row r="743" spans="1:73" x14ac:dyDescent="0.3">
      <c r="A743" s="25">
        <v>2025</v>
      </c>
      <c r="B743" s="26" t="s">
        <v>1260</v>
      </c>
      <c r="C743" s="26">
        <f>LN(Inventory[[#This Row],[Acres]])</f>
        <v>-1.2729656758128873</v>
      </c>
      <c r="D743" s="25">
        <v>0.28000000000000003</v>
      </c>
      <c r="E743" s="25">
        <v>12010</v>
      </c>
      <c r="F743" s="26" t="s">
        <v>537</v>
      </c>
      <c r="G743" s="26" t="s">
        <v>126</v>
      </c>
      <c r="H743" s="26" t="s">
        <v>349</v>
      </c>
      <c r="I743" s="26" t="s">
        <v>538</v>
      </c>
      <c r="J743" s="26" t="s">
        <v>539</v>
      </c>
      <c r="K743" s="26" t="s">
        <v>241</v>
      </c>
      <c r="L743" s="26" t="s">
        <v>95</v>
      </c>
      <c r="M743" s="26" t="s">
        <v>303</v>
      </c>
      <c r="N743" s="26">
        <v>80</v>
      </c>
      <c r="O743" s="26">
        <f>2024-Inventory[[#This Row],[YrBlt]]</f>
        <v>73</v>
      </c>
      <c r="P743" s="26">
        <f>2024-Inventory[[#This Row],[EffYr]]</f>
        <v>51</v>
      </c>
      <c r="Q743" s="25">
        <v>1951</v>
      </c>
      <c r="R743" s="25">
        <v>1973</v>
      </c>
      <c r="S743" s="25">
        <v>1762</v>
      </c>
      <c r="T743" s="31"/>
      <c r="U743" s="32">
        <v>1040</v>
      </c>
      <c r="V743" s="32">
        <f>Inventory[[#This Row],[Bsmt]]-Inventory[[#This Row],[FnBsmt]]</f>
        <v>32</v>
      </c>
      <c r="W743" s="32">
        <v>1008</v>
      </c>
      <c r="X743" s="27"/>
      <c r="Y743" s="27">
        <f>Inventory[[#This Row],[MainFn]]+Inventory[[#This Row],[UpprFn]]+Inventory[[#This Row],[FnBsmt]]+Inventory[[#This Row],[AddFn]]</f>
        <v>2770</v>
      </c>
      <c r="Z743" s="27">
        <v>3000</v>
      </c>
      <c r="AA743" s="25">
        <v>11</v>
      </c>
      <c r="AB743" s="31"/>
      <c r="AC743" s="27"/>
      <c r="AD743" s="27"/>
      <c r="AE743" s="27"/>
      <c r="AF743" s="27"/>
      <c r="AG743" s="27"/>
      <c r="AH743" s="27"/>
      <c r="AI743" s="25">
        <v>564530</v>
      </c>
      <c r="AJ743" s="25">
        <v>406462</v>
      </c>
      <c r="AK743" s="25">
        <v>8098</v>
      </c>
      <c r="AL743" s="25">
        <v>493100</v>
      </c>
      <c r="AM743" s="25">
        <v>70100</v>
      </c>
      <c r="AN743" s="25">
        <v>423000</v>
      </c>
      <c r="AO743" s="25">
        <v>0</v>
      </c>
      <c r="AP743" s="25">
        <f>Lookups!$B$56*0</f>
        <v>0</v>
      </c>
      <c r="AQ743" s="25">
        <f>Lookups!$B$56*1</f>
        <v>89850.625589999996</v>
      </c>
      <c r="AR743" s="25">
        <f>Lookups!$B$57*Inventory[[#This Row],[LnAcres]]</f>
        <v>-40295.239319339329</v>
      </c>
      <c r="AS743" s="25">
        <f>VLOOKUP(Inventory[[#This Row],[Qlty]],Lookups!$A$62:$E$75,2,FALSE)</f>
        <v>74268.409664999999</v>
      </c>
      <c r="AT743" s="25">
        <f>VLOOKUP(Inventory[[#This Row],[Cnd]],Lookups!$A$76:$E$84,2,FALSE)</f>
        <v>197752.34721000001</v>
      </c>
      <c r="AU743" s="25">
        <f>Inventory[[#This Row],[EffAge]]*Lookups!$B$85</f>
        <v>-11375.3256255</v>
      </c>
      <c r="AV743" s="25">
        <f>Inventory[[#This Row],[MainFn]]*Lookups!$B$86</f>
        <v>87058.076323273999</v>
      </c>
      <c r="AW743" s="25">
        <f>Inventory[[#This Row],[UpprFn]]*Lookups!$B$87</f>
        <v>0</v>
      </c>
      <c r="AX743" s="25">
        <f>Inventory[[#This Row],[AddFn]]*Lookups!$B$88</f>
        <v>0</v>
      </c>
      <c r="AY743" s="25">
        <f>Inventory[[#This Row],[Bsmt]]*Lookups!$B$89</f>
        <v>30245.171056879997</v>
      </c>
      <c r="AZ743" s="25">
        <f>Inventory[[#This Row],[Fixtures]]*Lookups!$B$90</f>
        <v>41712.243157199999</v>
      </c>
      <c r="BA743" s="25">
        <f>Inventory[[#This Row],[WdDeck]]*Lookups!$B$91</f>
        <v>0</v>
      </c>
      <c r="BB743" s="25">
        <f>ROUND(Inventory[[#This Row],[25Det]],-2)</f>
        <v>8100</v>
      </c>
      <c r="BC743" s="25">
        <f>ROUND(SUM(Inventory[[#This Row],[Mdl Qlty]:[Mdl WdDeck]])+Inventory[[#This Row],[Mdl Res Intercept]],-2)</f>
        <v>419700</v>
      </c>
      <c r="BD743" s="25">
        <f>ROUND(Inventory[[#This Row],[Mdl Land Intercept]]+Inventory[[#This Row],[Mdl LnAcres]],-2)</f>
        <v>49600</v>
      </c>
      <c r="BE743" s="25">
        <f>Inventory[[#This Row],[Unadj Res Value]]+Inventory[[#This Row],[Unadj Det Value]]+Inventory[[#This Row],[Unadj Land Value]]</f>
        <v>477400</v>
      </c>
      <c r="BF743" s="36">
        <f>(Inventory[[#This Row],[Unadj Total Value]]-Inventory[[#This Row],[24Final]])/Inventory[[#This Row],[24Final]]</f>
        <v>-3.1839383492192251E-2</v>
      </c>
      <c r="BG743" s="25">
        <f>VLOOKUP(Inventory[[#This Row],[Nbhd]],Lookups!$Q$2:$T$4,4,FALSE)</f>
        <v>0.99970000000000003</v>
      </c>
      <c r="BH743" s="25">
        <f>VLOOKUP(Inventory[[#This Row],[Qlty]],Lookups!$O$7:$R$21,4,FALSE)</f>
        <v>0.98380000000000001</v>
      </c>
      <c r="BI743" s="25">
        <f>VLOOKUP(Inventory[[#This Row],[Cnd]],Lookups!$T$7:$W$16,4,FALSE)</f>
        <v>0.99650000000000005</v>
      </c>
      <c r="BJ743" s="25">
        <f>VLOOKUP(Inventory[[#This Row],[LivArea Range]],Lookups!$T$25:$W$37,4,FALSE)</f>
        <v>0.96179999999999999</v>
      </c>
      <c r="BK743" s="25">
        <f>VLOOKUP(Inventory[[#This Row],[Decade]],Lookups!$O$25:$R$42,4,FALSE)</f>
        <v>0.995</v>
      </c>
      <c r="BL743" s="25">
        <f>Inventory[[#This Row],[Nbhd Adj]]*0.95</f>
        <v>0.94971499999999998</v>
      </c>
      <c r="BM743" s="25">
        <f>Inventory[[#This Row],[Nbhd Adj]]*Inventory[[#This Row],[Quality Adj]]*Inventory[[#This Row],[Condition Adj]]*Inventory[[#This Row],[Living Area Adj]]*Inventory[[#This Row],[Decade Adj]]*0.95</f>
        <v>0.8910155268816885</v>
      </c>
      <c r="BN743" s="25">
        <f>ROUND(SUM(Inventory[[#This Row],[Mdl Qlty]:[Mdl WdDeck]])+Inventory[[#This Row],[Mdl Res Intercept]]*Inventory[[#This Row],[Res Adj ]],-2)</f>
        <v>419700</v>
      </c>
      <c r="BO743" s="25">
        <f>ROUND(Inventory[[#This Row],[25Det]]*Inventory[[#This Row],[Det/Nbhd Adj]],-2)</f>
        <v>7700</v>
      </c>
      <c r="BP743" s="25">
        <f>Inventory[[#This Row],[Adjusted Res]]+Inventory[[#This Row],[Adj Det ]]</f>
        <v>427400</v>
      </c>
      <c r="BQ743" s="25">
        <f>ROUND((Inventory[[#This Row],[Mdl Land Intercept]]+Inventory[[#This Row],[Mdl LnAcres]])*Inventory[[#This Row],[Det/Nbhd Adj]],-2)</f>
        <v>47100</v>
      </c>
      <c r="BR743" s="25">
        <f>Inventory[[#This Row],[Adjusted Impr Total]]+Inventory[[#This Row],[Adjusted Land Total]]</f>
        <v>474500</v>
      </c>
      <c r="BS743" s="36">
        <f>IFERROR((Inventory[[#This Row],[Adjusted Impr Total]]-Inventory[[#This Row],[24Bldg]])/Inventory[[#This Row],[24Bldg]],0)</f>
        <v>1.0401891252955082E-2</v>
      </c>
      <c r="BT743" s="36">
        <f>(Inventory[[#This Row],[Adjusted Land Total]]-Inventory[[#This Row],[24Lnd]])/Inventory[[#This Row],[24Lnd]]</f>
        <v>-0.32810271041369471</v>
      </c>
      <c r="BU743" s="36">
        <f>(Inventory[[#This Row],[Adjusted Total]]-Inventory[[#This Row],[24Final]])/Inventory[[#This Row],[24Final]]</f>
        <v>-3.7720543500304196E-2</v>
      </c>
    </row>
    <row r="744" spans="1:73" x14ac:dyDescent="0.3">
      <c r="A744" s="25">
        <v>2025</v>
      </c>
      <c r="B744" s="26" t="s">
        <v>946</v>
      </c>
      <c r="C744" s="26">
        <f>LN(Inventory[[#This Row],[Acres]])</f>
        <v>-1.6094379124341003</v>
      </c>
      <c r="D744" s="25">
        <v>0.2</v>
      </c>
      <c r="E744" s="32">
        <v>8616</v>
      </c>
      <c r="F744" s="26" t="s">
        <v>537</v>
      </c>
      <c r="G744" s="26" t="s">
        <v>126</v>
      </c>
      <c r="H744" s="26" t="s">
        <v>349</v>
      </c>
      <c r="I744" s="26" t="s">
        <v>538</v>
      </c>
      <c r="J744" s="26" t="s">
        <v>539</v>
      </c>
      <c r="K744" s="26" t="s">
        <v>241</v>
      </c>
      <c r="L744" s="26" t="s">
        <v>351</v>
      </c>
      <c r="M744" s="26" t="s">
        <v>323</v>
      </c>
      <c r="N744" s="26">
        <v>80</v>
      </c>
      <c r="O744" s="26">
        <f>2024-Inventory[[#This Row],[YrBlt]]</f>
        <v>74</v>
      </c>
      <c r="P744" s="26">
        <f>2024-Inventory[[#This Row],[EffYr]]</f>
        <v>51</v>
      </c>
      <c r="Q744" s="25">
        <v>1950</v>
      </c>
      <c r="R744" s="25">
        <v>1973</v>
      </c>
      <c r="S744" s="25">
        <v>968</v>
      </c>
      <c r="T744" s="27"/>
      <c r="U744" s="31"/>
      <c r="V744" s="31">
        <f>Inventory[[#This Row],[Bsmt]]-Inventory[[#This Row],[FnBsmt]]</f>
        <v>0</v>
      </c>
      <c r="W744" s="31"/>
      <c r="X744" s="27"/>
      <c r="Y744" s="27">
        <f>Inventory[[#This Row],[MainFn]]+Inventory[[#This Row],[UpprFn]]+Inventory[[#This Row],[FnBsmt]]+Inventory[[#This Row],[AddFn]]</f>
        <v>968</v>
      </c>
      <c r="Z744" s="27">
        <v>1000</v>
      </c>
      <c r="AA744" s="25">
        <v>5</v>
      </c>
      <c r="AB744" s="27"/>
      <c r="AC744" s="27"/>
      <c r="AD744" s="27"/>
      <c r="AE744" s="27"/>
      <c r="AF744" s="27"/>
      <c r="AG744" s="27"/>
      <c r="AH744" s="27"/>
      <c r="AI744" s="25">
        <v>162214</v>
      </c>
      <c r="AJ744" s="25">
        <v>108683</v>
      </c>
      <c r="AK744" s="25">
        <v>0</v>
      </c>
      <c r="AL744" s="25">
        <v>233300</v>
      </c>
      <c r="AM744" s="25">
        <v>58400</v>
      </c>
      <c r="AN744" s="25">
        <v>174900</v>
      </c>
      <c r="AO744" s="25">
        <v>0</v>
      </c>
      <c r="AP744" s="25">
        <f>Lookups!$B$56*0</f>
        <v>0</v>
      </c>
      <c r="AQ744" s="25">
        <f>Lookups!$B$56*1</f>
        <v>89850.625589999996</v>
      </c>
      <c r="AR744" s="25">
        <f>Lookups!$B$57*Inventory[[#This Row],[LnAcres]]</f>
        <v>-50946.13867709865</v>
      </c>
      <c r="AS744" s="25">
        <f>VLOOKUP(Inventory[[#This Row],[Qlty]],Lookups!$A$62:$E$75,2,FALSE)</f>
        <v>21557.329055999999</v>
      </c>
      <c r="AT744" s="25">
        <f>VLOOKUP(Inventory[[#This Row],[Cnd]],Lookups!$A$76:$E$84,2,FALSE)</f>
        <v>160472.20319</v>
      </c>
      <c r="AU744" s="25">
        <f>Inventory[[#This Row],[EffAge]]*Lookups!$B$85</f>
        <v>-11375.3256255</v>
      </c>
      <c r="AV744" s="25">
        <f>Inventory[[#This Row],[MainFn]]*Lookups!$B$86</f>
        <v>47827.592440936001</v>
      </c>
      <c r="AW744" s="25">
        <f>Inventory[[#This Row],[UpprFn]]*Lookups!$B$87</f>
        <v>0</v>
      </c>
      <c r="AX744" s="25">
        <f>Inventory[[#This Row],[AddFn]]*Lookups!$B$88</f>
        <v>0</v>
      </c>
      <c r="AY744" s="25">
        <f>Inventory[[#This Row],[Bsmt]]*Lookups!$B$89</f>
        <v>0</v>
      </c>
      <c r="AZ744" s="25">
        <f>Inventory[[#This Row],[Fixtures]]*Lookups!$B$90</f>
        <v>18960.110526</v>
      </c>
      <c r="BA744" s="25">
        <f>Inventory[[#This Row],[WdDeck]]*Lookups!$B$91</f>
        <v>0</v>
      </c>
      <c r="BB744" s="25">
        <f>ROUND(Inventory[[#This Row],[25Det]],-2)</f>
        <v>0</v>
      </c>
      <c r="BC744" s="25">
        <f>ROUND(SUM(Inventory[[#This Row],[Mdl Qlty]:[Mdl WdDeck]])+Inventory[[#This Row],[Mdl Res Intercept]],-2)</f>
        <v>237400</v>
      </c>
      <c r="BD744" s="25">
        <f>ROUND(Inventory[[#This Row],[Mdl Land Intercept]]+Inventory[[#This Row],[Mdl LnAcres]],-2)</f>
        <v>38900</v>
      </c>
      <c r="BE744" s="25">
        <f>Inventory[[#This Row],[Unadj Res Value]]+Inventory[[#This Row],[Unadj Det Value]]+Inventory[[#This Row],[Unadj Land Value]]</f>
        <v>276300</v>
      </c>
      <c r="BF744" s="36">
        <f>(Inventory[[#This Row],[Unadj Total Value]]-Inventory[[#This Row],[24Final]])/Inventory[[#This Row],[24Final]]</f>
        <v>0.18431204457779682</v>
      </c>
      <c r="BG744" s="25">
        <f>VLOOKUP(Inventory[[#This Row],[Nbhd]],Lookups!$Q$2:$T$4,4,FALSE)</f>
        <v>0.99970000000000003</v>
      </c>
      <c r="BH744" s="25">
        <f>VLOOKUP(Inventory[[#This Row],[Qlty]],Lookups!$O$7:$R$21,4,FALSE)</f>
        <v>1.0067999999999999</v>
      </c>
      <c r="BI744" s="25">
        <f>VLOOKUP(Inventory[[#This Row],[Cnd]],Lookups!$T$7:$W$16,4,FALSE)</f>
        <v>0.99729999999999996</v>
      </c>
      <c r="BJ744" s="25">
        <f>VLOOKUP(Inventory[[#This Row],[LivArea Range]],Lookups!$T$25:$W$37,4,FALSE)</f>
        <v>1.0148999999999999</v>
      </c>
      <c r="BK744" s="25">
        <f>VLOOKUP(Inventory[[#This Row],[Decade]],Lookups!$O$25:$R$42,4,FALSE)</f>
        <v>0.995</v>
      </c>
      <c r="BL744" s="25">
        <f>Inventory[[#This Row],[Nbhd Adj]]*0.95</f>
        <v>0.94971499999999998</v>
      </c>
      <c r="BM744" s="25">
        <f>Inventory[[#This Row],[Nbhd Adj]]*Inventory[[#This Row],[Quality Adj]]*Inventory[[#This Row],[Condition Adj]]*Inventory[[#This Row],[Living Area Adj]]*Inventory[[#This Row],[Decade Adj]]*0.95</f>
        <v>0.96296090698154491</v>
      </c>
      <c r="BN744" s="25">
        <f>ROUND(SUM(Inventory[[#This Row],[Mdl Qlty]:[Mdl WdDeck]])+Inventory[[#This Row],[Mdl Res Intercept]]*Inventory[[#This Row],[Res Adj ]],-2)</f>
        <v>237400</v>
      </c>
      <c r="BO744" s="25">
        <f>ROUND(Inventory[[#This Row],[25Det]]*Inventory[[#This Row],[Det/Nbhd Adj]],-2)</f>
        <v>0</v>
      </c>
      <c r="BP744" s="25">
        <f>Inventory[[#This Row],[Adjusted Res]]+Inventory[[#This Row],[Adj Det ]]</f>
        <v>237400</v>
      </c>
      <c r="BQ744" s="25">
        <f>ROUND((Inventory[[#This Row],[Mdl Land Intercept]]+Inventory[[#This Row],[Mdl LnAcres]])*Inventory[[#This Row],[Det/Nbhd Adj]],-2)</f>
        <v>36900</v>
      </c>
      <c r="BR744" s="25">
        <f>Inventory[[#This Row],[Adjusted Impr Total]]+Inventory[[#This Row],[Adjusted Land Total]]</f>
        <v>274300</v>
      </c>
      <c r="BS744" s="36">
        <f>IFERROR((Inventory[[#This Row],[Adjusted Impr Total]]-Inventory[[#This Row],[24Bldg]])/Inventory[[#This Row],[24Bldg]],0)</f>
        <v>0.35734705546026302</v>
      </c>
      <c r="BT744" s="36">
        <f>(Inventory[[#This Row],[Adjusted Land Total]]-Inventory[[#This Row],[24Lnd]])/Inventory[[#This Row],[24Lnd]]</f>
        <v>-0.36815068493150682</v>
      </c>
      <c r="BU744" s="36">
        <f>(Inventory[[#This Row],[Adjusted Total]]-Inventory[[#This Row],[24Final]])/Inventory[[#This Row],[24Final]]</f>
        <v>0.17573939134162023</v>
      </c>
    </row>
    <row r="745" spans="1:73" x14ac:dyDescent="0.3">
      <c r="A745" s="25">
        <v>2025</v>
      </c>
      <c r="B745" s="26" t="s">
        <v>2855</v>
      </c>
      <c r="C745" s="26">
        <f>LN(Inventory[[#This Row],[Acres]])</f>
        <v>-0.75502258427803282</v>
      </c>
      <c r="D745" s="25">
        <v>0.47</v>
      </c>
      <c r="E745" s="25">
        <v>20473</v>
      </c>
      <c r="F745" s="26" t="s">
        <v>537</v>
      </c>
      <c r="G745" s="26" t="s">
        <v>126</v>
      </c>
      <c r="H745" s="26" t="s">
        <v>349</v>
      </c>
      <c r="I745" s="26" t="s">
        <v>538</v>
      </c>
      <c r="J745" s="26" t="s">
        <v>539</v>
      </c>
      <c r="K745" s="26" t="s">
        <v>448</v>
      </c>
      <c r="L745" s="26" t="s">
        <v>95</v>
      </c>
      <c r="M745" s="26" t="s">
        <v>352</v>
      </c>
      <c r="N745" s="26">
        <v>80</v>
      </c>
      <c r="O745" s="26">
        <f>2024-Inventory[[#This Row],[YrBlt]]</f>
        <v>74</v>
      </c>
      <c r="P745" s="26">
        <f>2024-Inventory[[#This Row],[EffYr]]</f>
        <v>51</v>
      </c>
      <c r="Q745" s="25">
        <v>1950</v>
      </c>
      <c r="R745" s="25">
        <v>1973</v>
      </c>
      <c r="S745" s="25">
        <v>3903</v>
      </c>
      <c r="T745" s="27"/>
      <c r="U745" s="31"/>
      <c r="V745" s="31">
        <f>Inventory[[#This Row],[Bsmt]]-Inventory[[#This Row],[FnBsmt]]</f>
        <v>0</v>
      </c>
      <c r="W745" s="31"/>
      <c r="X745" s="27"/>
      <c r="Y745" s="27">
        <f>Inventory[[#This Row],[MainFn]]+Inventory[[#This Row],[UpprFn]]+Inventory[[#This Row],[FnBsmt]]+Inventory[[#This Row],[AddFn]]</f>
        <v>3903</v>
      </c>
      <c r="Z745" s="27">
        <v>4000</v>
      </c>
      <c r="AA745" s="25">
        <v>12</v>
      </c>
      <c r="AB745" s="32">
        <v>676</v>
      </c>
      <c r="AC745" s="31"/>
      <c r="AD745" s="32">
        <v>388</v>
      </c>
      <c r="AE745" s="27"/>
      <c r="AF745" s="27"/>
      <c r="AG745" s="27"/>
      <c r="AH745" s="27"/>
      <c r="AI745" s="25">
        <v>861564</v>
      </c>
      <c r="AJ745" s="25">
        <v>628942</v>
      </c>
      <c r="AK745" s="25">
        <v>49627</v>
      </c>
      <c r="AL745" s="25">
        <v>603400</v>
      </c>
      <c r="AM745" s="25">
        <v>88200</v>
      </c>
      <c r="AN745" s="25">
        <v>515200</v>
      </c>
      <c r="AO745" s="25">
        <v>0</v>
      </c>
      <c r="AP745" s="25">
        <f>Lookups!$B$56*0</f>
        <v>0</v>
      </c>
      <c r="AQ745" s="25">
        <f>Lookups!$B$56*1</f>
        <v>89850.625589999996</v>
      </c>
      <c r="AR745" s="25">
        <f>Lookups!$B$57*Inventory[[#This Row],[LnAcres]]</f>
        <v>-23899.949781097919</v>
      </c>
      <c r="AS745" s="25">
        <f>VLOOKUP(Inventory[[#This Row],[Qlty]],Lookups!$A$62:$E$75,2,FALSE)</f>
        <v>74268.409664999999</v>
      </c>
      <c r="AT745" s="25">
        <f>VLOOKUP(Inventory[[#This Row],[Cnd]],Lookups!$A$76:$E$84,2,FALSE)</f>
        <v>284810.60806</v>
      </c>
      <c r="AU745" s="25">
        <f>Inventory[[#This Row],[EffAge]]*Lookups!$B$85</f>
        <v>-11375.3256255</v>
      </c>
      <c r="AV745" s="25">
        <f>Inventory[[#This Row],[MainFn]]*Lookups!$B$86</f>
        <v>192842.03852993101</v>
      </c>
      <c r="AW745" s="25">
        <f>Inventory[[#This Row],[UpprFn]]*Lookups!$B$87</f>
        <v>0</v>
      </c>
      <c r="AX745" s="25">
        <f>Inventory[[#This Row],[AddFn]]*Lookups!$B$88</f>
        <v>0</v>
      </c>
      <c r="AY745" s="25">
        <f>Inventory[[#This Row],[Bsmt]]*Lookups!$B$89</f>
        <v>0</v>
      </c>
      <c r="AZ745" s="25">
        <f>Inventory[[#This Row],[Fixtures]]*Lookups!$B$90</f>
        <v>45504.265262400004</v>
      </c>
      <c r="BA745" s="25">
        <f>Inventory[[#This Row],[WdDeck]]*Lookups!$B$91</f>
        <v>12918.659927088001</v>
      </c>
      <c r="BB745" s="25">
        <f>ROUND(Inventory[[#This Row],[25Det]],-2)</f>
        <v>49600</v>
      </c>
      <c r="BC745" s="25">
        <f>ROUND(SUM(Inventory[[#This Row],[Mdl Qlty]:[Mdl WdDeck]])+Inventory[[#This Row],[Mdl Res Intercept]],-2)</f>
        <v>599000</v>
      </c>
      <c r="BD745" s="25">
        <f>ROUND(Inventory[[#This Row],[Mdl Land Intercept]]+Inventory[[#This Row],[Mdl LnAcres]],-2)</f>
        <v>66000</v>
      </c>
      <c r="BE745" s="25">
        <f>Inventory[[#This Row],[Unadj Res Value]]+Inventory[[#This Row],[Unadj Det Value]]+Inventory[[#This Row],[Unadj Land Value]]</f>
        <v>714600</v>
      </c>
      <c r="BF745" s="36">
        <f>(Inventory[[#This Row],[Unadj Total Value]]-Inventory[[#This Row],[24Final]])/Inventory[[#This Row],[24Final]]</f>
        <v>0.18428902883659265</v>
      </c>
      <c r="BG745" s="25">
        <f>VLOOKUP(Inventory[[#This Row],[Nbhd]],Lookups!$Q$2:$T$4,4,FALSE)</f>
        <v>0.99970000000000003</v>
      </c>
      <c r="BH745" s="25">
        <f>VLOOKUP(Inventory[[#This Row],[Qlty]],Lookups!$O$7:$R$21,4,FALSE)</f>
        <v>0.98380000000000001</v>
      </c>
      <c r="BI745" s="25">
        <f>VLOOKUP(Inventory[[#This Row],[Cnd]],Lookups!$T$7:$W$16,4,FALSE)</f>
        <v>1.0158</v>
      </c>
      <c r="BJ745" s="25">
        <f>VLOOKUP(Inventory[[#This Row],[LivArea Range]],Lookups!$T$25:$W$37,4,FALSE)</f>
        <v>0.94579999999999997</v>
      </c>
      <c r="BK745" s="25">
        <f>VLOOKUP(Inventory[[#This Row],[Decade]],Lookups!$O$25:$R$42,4,FALSE)</f>
        <v>0.995</v>
      </c>
      <c r="BL745" s="25">
        <f>Inventory[[#This Row],[Nbhd Adj]]*0.95</f>
        <v>0.94971499999999998</v>
      </c>
      <c r="BM745" s="25">
        <f>Inventory[[#This Row],[Nbhd Adj]]*Inventory[[#This Row],[Quality Adj]]*Inventory[[#This Row],[Condition Adj]]*Inventory[[#This Row],[Living Area Adj]]*Inventory[[#This Row],[Decade Adj]]*0.95</f>
        <v>0.89316298101040392</v>
      </c>
      <c r="BN745" s="25">
        <f>ROUND(SUM(Inventory[[#This Row],[Mdl Qlty]:[Mdl WdDeck]])+Inventory[[#This Row],[Mdl Res Intercept]]*Inventory[[#This Row],[Res Adj ]],-2)</f>
        <v>599000</v>
      </c>
      <c r="BO745" s="25">
        <f>ROUND(Inventory[[#This Row],[25Det]]*Inventory[[#This Row],[Det/Nbhd Adj]],-2)</f>
        <v>47100</v>
      </c>
      <c r="BP745" s="25">
        <f>Inventory[[#This Row],[Adjusted Res]]+Inventory[[#This Row],[Adj Det ]]</f>
        <v>646100</v>
      </c>
      <c r="BQ745" s="25">
        <f>ROUND((Inventory[[#This Row],[Mdl Land Intercept]]+Inventory[[#This Row],[Mdl LnAcres]])*Inventory[[#This Row],[Det/Nbhd Adj]],-2)</f>
        <v>62600</v>
      </c>
      <c r="BR745" s="25">
        <f>Inventory[[#This Row],[Adjusted Impr Total]]+Inventory[[#This Row],[Adjusted Land Total]]</f>
        <v>708700</v>
      </c>
      <c r="BS745" s="36">
        <f>IFERROR((Inventory[[#This Row],[Adjusted Impr Total]]-Inventory[[#This Row],[24Bldg]])/Inventory[[#This Row],[24Bldg]],0)</f>
        <v>0.25407608695652173</v>
      </c>
      <c r="BT745" s="36">
        <f>(Inventory[[#This Row],[Adjusted Land Total]]-Inventory[[#This Row],[24Lnd]])/Inventory[[#This Row],[24Lnd]]</f>
        <v>-0.29024943310657597</v>
      </c>
      <c r="BU745" s="36">
        <f>(Inventory[[#This Row],[Adjusted Total]]-Inventory[[#This Row],[24Final]])/Inventory[[#This Row],[24Final]]</f>
        <v>0.17451110374544249</v>
      </c>
    </row>
    <row r="746" spans="1:73" x14ac:dyDescent="0.3">
      <c r="A746" s="25">
        <v>2025</v>
      </c>
      <c r="B746" s="26" t="s">
        <v>2902</v>
      </c>
      <c r="C746" s="26">
        <f>LN(Inventory[[#This Row],[Acres]])</f>
        <v>-1.1711829815029451</v>
      </c>
      <c r="D746" s="25">
        <v>0.31</v>
      </c>
      <c r="E746" s="25">
        <v>13344</v>
      </c>
      <c r="F746" s="26" t="s">
        <v>537</v>
      </c>
      <c r="G746" s="26" t="s">
        <v>126</v>
      </c>
      <c r="H746" s="26" t="s">
        <v>349</v>
      </c>
      <c r="I746" s="26" t="s">
        <v>538</v>
      </c>
      <c r="J746" s="26" t="s">
        <v>539</v>
      </c>
      <c r="K746" s="26" t="s">
        <v>242</v>
      </c>
      <c r="L746" s="26" t="s">
        <v>148</v>
      </c>
      <c r="M746" s="26" t="s">
        <v>352</v>
      </c>
      <c r="N746" s="26">
        <v>80</v>
      </c>
      <c r="O746" s="26">
        <f>2024-Inventory[[#This Row],[YrBlt]]</f>
        <v>74</v>
      </c>
      <c r="P746" s="26">
        <f>2024-Inventory[[#This Row],[EffYr]]</f>
        <v>51</v>
      </c>
      <c r="Q746" s="25">
        <v>1950</v>
      </c>
      <c r="R746" s="25">
        <v>1973</v>
      </c>
      <c r="S746" s="25">
        <v>2754</v>
      </c>
      <c r="T746" s="27"/>
      <c r="U746" s="27"/>
      <c r="V746" s="27">
        <f>Inventory[[#This Row],[Bsmt]]-Inventory[[#This Row],[FnBsmt]]</f>
        <v>0</v>
      </c>
      <c r="W746" s="27"/>
      <c r="X746" s="27"/>
      <c r="Y746" s="27">
        <f>Inventory[[#This Row],[MainFn]]+Inventory[[#This Row],[UpprFn]]+Inventory[[#This Row],[FnBsmt]]+Inventory[[#This Row],[AddFn]]</f>
        <v>2754</v>
      </c>
      <c r="Z746" s="27">
        <v>3000</v>
      </c>
      <c r="AA746" s="25">
        <v>11</v>
      </c>
      <c r="AB746" s="31"/>
      <c r="AC746" s="27"/>
      <c r="AD746" s="31"/>
      <c r="AE746" s="27"/>
      <c r="AF746" s="27"/>
      <c r="AG746" s="27"/>
      <c r="AH746" s="27"/>
      <c r="AI746" s="25">
        <v>543484</v>
      </c>
      <c r="AJ746" s="25">
        <v>391308</v>
      </c>
      <c r="AK746" s="25">
        <v>39554</v>
      </c>
      <c r="AL746" s="25">
        <v>501900</v>
      </c>
      <c r="AM746" s="25">
        <v>73700</v>
      </c>
      <c r="AN746" s="25">
        <v>428200</v>
      </c>
      <c r="AO746" s="25">
        <v>0</v>
      </c>
      <c r="AP746" s="25">
        <f>Lookups!$B$56*0</f>
        <v>0</v>
      </c>
      <c r="AQ746" s="25">
        <f>Lookups!$B$56*1</f>
        <v>89850.625589999996</v>
      </c>
      <c r="AR746" s="25">
        <f>Lookups!$B$57*Inventory[[#This Row],[LnAcres]]</f>
        <v>-37073.347241874442</v>
      </c>
      <c r="AS746" s="25">
        <f>VLOOKUP(Inventory[[#This Row],[Qlty]],Lookups!$A$62:$E$75,2,FALSE)</f>
        <v>44121.038090000002</v>
      </c>
      <c r="AT746" s="25">
        <f>VLOOKUP(Inventory[[#This Row],[Cnd]],Lookups!$A$76:$E$84,2,FALSE)</f>
        <v>284810.60806</v>
      </c>
      <c r="AU746" s="25">
        <f>Inventory[[#This Row],[EffAge]]*Lookups!$B$85</f>
        <v>-11375.3256255</v>
      </c>
      <c r="AV746" s="25">
        <f>Inventory[[#This Row],[MainFn]]*Lookups!$B$86</f>
        <v>136071.476841258</v>
      </c>
      <c r="AW746" s="25">
        <f>Inventory[[#This Row],[UpprFn]]*Lookups!$B$87</f>
        <v>0</v>
      </c>
      <c r="AX746" s="25">
        <f>Inventory[[#This Row],[AddFn]]*Lookups!$B$88</f>
        <v>0</v>
      </c>
      <c r="AY746" s="25">
        <f>Inventory[[#This Row],[Bsmt]]*Lookups!$B$89</f>
        <v>0</v>
      </c>
      <c r="AZ746" s="25">
        <f>Inventory[[#This Row],[Fixtures]]*Lookups!$B$90</f>
        <v>41712.243157199999</v>
      </c>
      <c r="BA746" s="25">
        <f>Inventory[[#This Row],[WdDeck]]*Lookups!$B$91</f>
        <v>0</v>
      </c>
      <c r="BB746" s="25">
        <f>ROUND(Inventory[[#This Row],[25Det]],-2)</f>
        <v>39600</v>
      </c>
      <c r="BC746" s="25">
        <f>ROUND(SUM(Inventory[[#This Row],[Mdl Qlty]:[Mdl WdDeck]])+Inventory[[#This Row],[Mdl Res Intercept]],-2)</f>
        <v>495300</v>
      </c>
      <c r="BD746" s="25">
        <f>ROUND(Inventory[[#This Row],[Mdl Land Intercept]]+Inventory[[#This Row],[Mdl LnAcres]],-2)</f>
        <v>52800</v>
      </c>
      <c r="BE746" s="25">
        <f>Inventory[[#This Row],[Unadj Res Value]]+Inventory[[#This Row],[Unadj Det Value]]+Inventory[[#This Row],[Unadj Land Value]]</f>
        <v>587700</v>
      </c>
      <c r="BF746" s="36">
        <f>(Inventory[[#This Row],[Unadj Total Value]]-Inventory[[#This Row],[24Final]])/Inventory[[#This Row],[24Final]]</f>
        <v>0.17095038852361027</v>
      </c>
      <c r="BG746" s="25">
        <f>VLOOKUP(Inventory[[#This Row],[Nbhd]],Lookups!$Q$2:$T$4,4,FALSE)</f>
        <v>0.99970000000000003</v>
      </c>
      <c r="BH746" s="25">
        <f>VLOOKUP(Inventory[[#This Row],[Qlty]],Lookups!$O$7:$R$21,4,FALSE)</f>
        <v>0.98050000000000004</v>
      </c>
      <c r="BI746" s="25">
        <f>VLOOKUP(Inventory[[#This Row],[Cnd]],Lookups!$T$7:$W$16,4,FALSE)</f>
        <v>1.0158</v>
      </c>
      <c r="BJ746" s="25">
        <f>VLOOKUP(Inventory[[#This Row],[LivArea Range]],Lookups!$T$25:$W$37,4,FALSE)</f>
        <v>0.96179999999999999</v>
      </c>
      <c r="BK746" s="25">
        <f>VLOOKUP(Inventory[[#This Row],[Decade]],Lookups!$O$25:$R$42,4,FALSE)</f>
        <v>0.995</v>
      </c>
      <c r="BL746" s="25">
        <f>Inventory[[#This Row],[Nbhd Adj]]*0.95</f>
        <v>0.94971499999999998</v>
      </c>
      <c r="BM746" s="25">
        <f>Inventory[[#This Row],[Nbhd Adj]]*Inventory[[#This Row],[Quality Adj]]*Inventory[[#This Row],[Condition Adj]]*Inventory[[#This Row],[Living Area Adj]]*Inventory[[#This Row],[Decade Adj]]*0.95</f>
        <v>0.90522587089820872</v>
      </c>
      <c r="BN746" s="25">
        <f>ROUND(SUM(Inventory[[#This Row],[Mdl Qlty]:[Mdl WdDeck]])+Inventory[[#This Row],[Mdl Res Intercept]]*Inventory[[#This Row],[Res Adj ]],-2)</f>
        <v>495300</v>
      </c>
      <c r="BO746" s="25">
        <f>ROUND(Inventory[[#This Row],[25Det]]*Inventory[[#This Row],[Det/Nbhd Adj]],-2)</f>
        <v>37600</v>
      </c>
      <c r="BP746" s="25">
        <f>Inventory[[#This Row],[Adjusted Res]]+Inventory[[#This Row],[Adj Det ]]</f>
        <v>532900</v>
      </c>
      <c r="BQ746" s="25">
        <f>ROUND((Inventory[[#This Row],[Mdl Land Intercept]]+Inventory[[#This Row],[Mdl LnAcres]])*Inventory[[#This Row],[Det/Nbhd Adj]],-2)</f>
        <v>50100</v>
      </c>
      <c r="BR746" s="25">
        <f>Inventory[[#This Row],[Adjusted Impr Total]]+Inventory[[#This Row],[Adjusted Land Total]]</f>
        <v>583000</v>
      </c>
      <c r="BS746" s="36">
        <f>IFERROR((Inventory[[#This Row],[Adjusted Impr Total]]-Inventory[[#This Row],[24Bldg]])/Inventory[[#This Row],[24Bldg]],0)</f>
        <v>0.24451191032227931</v>
      </c>
      <c r="BT746" s="36">
        <f>(Inventory[[#This Row],[Adjusted Land Total]]-Inventory[[#This Row],[24Lnd]])/Inventory[[#This Row],[24Lnd]]</f>
        <v>-0.32021709633649931</v>
      </c>
      <c r="BU746" s="36">
        <f>(Inventory[[#This Row],[Adjusted Total]]-Inventory[[#This Row],[24Final]])/Inventory[[#This Row],[24Final]]</f>
        <v>0.16158597330145447</v>
      </c>
    </row>
    <row r="747" spans="1:73" x14ac:dyDescent="0.3">
      <c r="A747" s="25">
        <v>2025</v>
      </c>
      <c r="B747" s="26" t="s">
        <v>958</v>
      </c>
      <c r="C747" s="26">
        <f>LN(Inventory[[#This Row],[Acres]])</f>
        <v>-1.2729656758128873</v>
      </c>
      <c r="D747" s="25">
        <v>0.28000000000000003</v>
      </c>
      <c r="E747" s="25">
        <v>12041</v>
      </c>
      <c r="F747" s="26" t="s">
        <v>537</v>
      </c>
      <c r="G747" s="26" t="s">
        <v>126</v>
      </c>
      <c r="H747" s="26" t="s">
        <v>349</v>
      </c>
      <c r="I747" s="26" t="s">
        <v>538</v>
      </c>
      <c r="J747" s="26" t="s">
        <v>539</v>
      </c>
      <c r="K747" s="26" t="s">
        <v>241</v>
      </c>
      <c r="L747" s="26" t="s">
        <v>351</v>
      </c>
      <c r="M747" s="26" t="s">
        <v>352</v>
      </c>
      <c r="N747" s="26">
        <v>80</v>
      </c>
      <c r="O747" s="26">
        <f>2024-Inventory[[#This Row],[YrBlt]]</f>
        <v>74</v>
      </c>
      <c r="P747" s="26">
        <f>2024-Inventory[[#This Row],[EffYr]]</f>
        <v>51</v>
      </c>
      <c r="Q747" s="25">
        <v>1950</v>
      </c>
      <c r="R747" s="25">
        <v>1973</v>
      </c>
      <c r="S747" s="25">
        <v>1992</v>
      </c>
      <c r="T747" s="27"/>
      <c r="U747" s="31"/>
      <c r="V747" s="31">
        <f>Inventory[[#This Row],[Bsmt]]-Inventory[[#This Row],[FnBsmt]]</f>
        <v>0</v>
      </c>
      <c r="W747" s="31"/>
      <c r="X747" s="27"/>
      <c r="Y747" s="27">
        <f>Inventory[[#This Row],[MainFn]]+Inventory[[#This Row],[UpprFn]]+Inventory[[#This Row],[FnBsmt]]+Inventory[[#This Row],[AddFn]]</f>
        <v>1992</v>
      </c>
      <c r="Z747" s="27">
        <v>2000</v>
      </c>
      <c r="AA747" s="25">
        <v>9</v>
      </c>
      <c r="AB747" s="27"/>
      <c r="AC747" s="31"/>
      <c r="AD747" s="31"/>
      <c r="AE747" s="27"/>
      <c r="AF747" s="27"/>
      <c r="AG747" s="27"/>
      <c r="AH747" s="27"/>
      <c r="AI747" s="25">
        <v>322271</v>
      </c>
      <c r="AJ747" s="25">
        <v>232035</v>
      </c>
      <c r="AK747" s="25">
        <v>15951</v>
      </c>
      <c r="AL747" s="25">
        <v>423800</v>
      </c>
      <c r="AM747" s="25">
        <v>70100</v>
      </c>
      <c r="AN747" s="25">
        <v>353700</v>
      </c>
      <c r="AO747" s="25">
        <v>0</v>
      </c>
      <c r="AP747" s="25">
        <f>Lookups!$B$56*0</f>
        <v>0</v>
      </c>
      <c r="AQ747" s="25">
        <f>Lookups!$B$56*1</f>
        <v>89850.625589999996</v>
      </c>
      <c r="AR747" s="25">
        <f>Lookups!$B$57*Inventory[[#This Row],[LnAcres]]</f>
        <v>-40295.239319339329</v>
      </c>
      <c r="AS747" s="25">
        <f>VLOOKUP(Inventory[[#This Row],[Qlty]],Lookups!$A$62:$E$75,2,FALSE)</f>
        <v>21557.329055999999</v>
      </c>
      <c r="AT747" s="25">
        <f>VLOOKUP(Inventory[[#This Row],[Cnd]],Lookups!$A$76:$E$84,2,FALSE)</f>
        <v>284810.60806</v>
      </c>
      <c r="AU747" s="25">
        <f>Inventory[[#This Row],[EffAge]]*Lookups!$B$85</f>
        <v>-11375.3256255</v>
      </c>
      <c r="AV747" s="25">
        <f>Inventory[[#This Row],[MainFn]]*Lookups!$B$86</f>
        <v>98422.070394983995</v>
      </c>
      <c r="AW747" s="25">
        <f>Inventory[[#This Row],[UpprFn]]*Lookups!$B$87</f>
        <v>0</v>
      </c>
      <c r="AX747" s="25">
        <f>Inventory[[#This Row],[AddFn]]*Lookups!$B$88</f>
        <v>0</v>
      </c>
      <c r="AY747" s="25">
        <f>Inventory[[#This Row],[Bsmt]]*Lookups!$B$89</f>
        <v>0</v>
      </c>
      <c r="AZ747" s="25">
        <f>Inventory[[#This Row],[Fixtures]]*Lookups!$B$90</f>
        <v>34128.198946800003</v>
      </c>
      <c r="BA747" s="25">
        <f>Inventory[[#This Row],[WdDeck]]*Lookups!$B$91</f>
        <v>0</v>
      </c>
      <c r="BB747" s="25">
        <f>ROUND(Inventory[[#This Row],[25Det]],-2)</f>
        <v>16000</v>
      </c>
      <c r="BC747" s="25">
        <f>ROUND(SUM(Inventory[[#This Row],[Mdl Qlty]:[Mdl WdDeck]])+Inventory[[#This Row],[Mdl Res Intercept]],-2)</f>
        <v>427500</v>
      </c>
      <c r="BD747" s="25">
        <f>ROUND(Inventory[[#This Row],[Mdl Land Intercept]]+Inventory[[#This Row],[Mdl LnAcres]],-2)</f>
        <v>49600</v>
      </c>
      <c r="BE747" s="25">
        <f>Inventory[[#This Row],[Unadj Res Value]]+Inventory[[#This Row],[Unadj Det Value]]+Inventory[[#This Row],[Unadj Land Value]]</f>
        <v>493100</v>
      </c>
      <c r="BF747" s="36">
        <f>(Inventory[[#This Row],[Unadj Total Value]]-Inventory[[#This Row],[24Final]])/Inventory[[#This Row],[24Final]]</f>
        <v>0.16352052855120339</v>
      </c>
      <c r="BG747" s="25">
        <f>VLOOKUP(Inventory[[#This Row],[Nbhd]],Lookups!$Q$2:$T$4,4,FALSE)</f>
        <v>0.99970000000000003</v>
      </c>
      <c r="BH747" s="25">
        <f>VLOOKUP(Inventory[[#This Row],[Qlty]],Lookups!$O$7:$R$21,4,FALSE)</f>
        <v>1.0067999999999999</v>
      </c>
      <c r="BI747" s="25">
        <f>VLOOKUP(Inventory[[#This Row],[Cnd]],Lookups!$T$7:$W$16,4,FALSE)</f>
        <v>1.0158</v>
      </c>
      <c r="BJ747" s="25">
        <f>VLOOKUP(Inventory[[#This Row],[LivArea Range]],Lookups!$T$25:$W$37,4,FALSE)</f>
        <v>1.0093000000000001</v>
      </c>
      <c r="BK747" s="25">
        <f>VLOOKUP(Inventory[[#This Row],[Decade]],Lookups!$O$25:$R$42,4,FALSE)</f>
        <v>0.995</v>
      </c>
      <c r="BL747" s="25">
        <f>Inventory[[#This Row],[Nbhd Adj]]*0.95</f>
        <v>0.94971499999999998</v>
      </c>
      <c r="BM747" s="25">
        <f>Inventory[[#This Row],[Nbhd Adj]]*Inventory[[#This Row],[Quality Adj]]*Inventory[[#This Row],[Condition Adj]]*Inventory[[#This Row],[Living Area Adj]]*Inventory[[#This Row],[Decade Adj]]*0.95</f>
        <v>0.97541193839630058</v>
      </c>
      <c r="BN747" s="25">
        <f>ROUND(SUM(Inventory[[#This Row],[Mdl Qlty]:[Mdl WdDeck]])+Inventory[[#This Row],[Mdl Res Intercept]]*Inventory[[#This Row],[Res Adj ]],-2)</f>
        <v>427500</v>
      </c>
      <c r="BO747" s="25">
        <f>ROUND(Inventory[[#This Row],[25Det]]*Inventory[[#This Row],[Det/Nbhd Adj]],-2)</f>
        <v>15100</v>
      </c>
      <c r="BP747" s="25">
        <f>Inventory[[#This Row],[Adjusted Res]]+Inventory[[#This Row],[Adj Det ]]</f>
        <v>442600</v>
      </c>
      <c r="BQ747" s="25">
        <f>ROUND((Inventory[[#This Row],[Mdl Land Intercept]]+Inventory[[#This Row],[Mdl LnAcres]])*Inventory[[#This Row],[Det/Nbhd Adj]],-2)</f>
        <v>47100</v>
      </c>
      <c r="BR747" s="25">
        <f>Inventory[[#This Row],[Adjusted Impr Total]]+Inventory[[#This Row],[Adjusted Land Total]]</f>
        <v>489700</v>
      </c>
      <c r="BS747" s="36">
        <f>IFERROR((Inventory[[#This Row],[Adjusted Impr Total]]-Inventory[[#This Row],[24Bldg]])/Inventory[[#This Row],[24Bldg]],0)</f>
        <v>0.25134294599943457</v>
      </c>
      <c r="BT747" s="36">
        <f>(Inventory[[#This Row],[Adjusted Land Total]]-Inventory[[#This Row],[24Lnd]])/Inventory[[#This Row],[24Lnd]]</f>
        <v>-0.32810271041369471</v>
      </c>
      <c r="BU747" s="36">
        <f>(Inventory[[#This Row],[Adjusted Total]]-Inventory[[#This Row],[24Final]])/Inventory[[#This Row],[24Final]]</f>
        <v>0.15549787635677206</v>
      </c>
    </row>
    <row r="748" spans="1:73" x14ac:dyDescent="0.3">
      <c r="A748" s="25">
        <v>2025</v>
      </c>
      <c r="B748" s="26" t="s">
        <v>2240</v>
      </c>
      <c r="C748" s="26">
        <f>LN(Inventory[[#This Row],[Acres]])</f>
        <v>-1.6094379124341003</v>
      </c>
      <c r="D748" s="25">
        <v>0.2</v>
      </c>
      <c r="E748" s="25">
        <v>8915</v>
      </c>
      <c r="F748" s="26" t="s">
        <v>537</v>
      </c>
      <c r="G748" s="26" t="s">
        <v>126</v>
      </c>
      <c r="H748" s="26" t="s">
        <v>349</v>
      </c>
      <c r="I748" s="26" t="s">
        <v>538</v>
      </c>
      <c r="J748" s="26" t="s">
        <v>539</v>
      </c>
      <c r="K748" s="26" t="s">
        <v>242</v>
      </c>
      <c r="L748" s="26" t="s">
        <v>205</v>
      </c>
      <c r="M748" s="26" t="s">
        <v>206</v>
      </c>
      <c r="N748" s="26">
        <v>80</v>
      </c>
      <c r="O748" s="26">
        <f>2024-Inventory[[#This Row],[YrBlt]]</f>
        <v>74</v>
      </c>
      <c r="P748" s="26">
        <f>2024-Inventory[[#This Row],[EffYr]]</f>
        <v>51</v>
      </c>
      <c r="Q748" s="25">
        <v>1950</v>
      </c>
      <c r="R748" s="25">
        <v>1973</v>
      </c>
      <c r="S748" s="25">
        <v>782</v>
      </c>
      <c r="T748" s="31"/>
      <c r="U748" s="25">
        <v>782</v>
      </c>
      <c r="V748" s="25">
        <f>Inventory[[#This Row],[Bsmt]]-Inventory[[#This Row],[FnBsmt]]</f>
        <v>782</v>
      </c>
      <c r="W748" s="31"/>
      <c r="X748" s="27"/>
      <c r="Y748" s="27">
        <f>Inventory[[#This Row],[MainFn]]+Inventory[[#This Row],[UpprFn]]+Inventory[[#This Row],[FnBsmt]]+Inventory[[#This Row],[AddFn]]</f>
        <v>782</v>
      </c>
      <c r="Z748" s="27">
        <v>1000</v>
      </c>
      <c r="AA748" s="25">
        <v>5</v>
      </c>
      <c r="AB748" s="27"/>
      <c r="AC748" s="27"/>
      <c r="AD748" s="32">
        <v>108</v>
      </c>
      <c r="AE748" s="27"/>
      <c r="AF748" s="27"/>
      <c r="AG748" s="27"/>
      <c r="AH748" s="27"/>
      <c r="AI748" s="25">
        <v>150937</v>
      </c>
      <c r="AJ748" s="25">
        <v>101128</v>
      </c>
      <c r="AK748" s="25">
        <v>33229</v>
      </c>
      <c r="AL748" s="25">
        <v>241000</v>
      </c>
      <c r="AM748" s="25">
        <v>58400</v>
      </c>
      <c r="AN748" s="25">
        <v>182600</v>
      </c>
      <c r="AO748" s="25">
        <v>0</v>
      </c>
      <c r="AP748" s="25">
        <f>Lookups!$B$56*0</f>
        <v>0</v>
      </c>
      <c r="AQ748" s="25">
        <f>Lookups!$B$56*1</f>
        <v>89850.625589999996</v>
      </c>
      <c r="AR748" s="25">
        <f>Lookups!$B$57*Inventory[[#This Row],[LnAcres]]</f>
        <v>-50946.13867709865</v>
      </c>
      <c r="AS748" s="25">
        <f>VLOOKUP(Inventory[[#This Row],[Qlty]],Lookups!$A$62:$E$75,2,FALSE)</f>
        <v>0</v>
      </c>
      <c r="AT748" s="25">
        <f>VLOOKUP(Inventory[[#This Row],[Cnd]],Lookups!$A$76:$E$84,2,FALSE)</f>
        <v>133714.53821</v>
      </c>
      <c r="AU748" s="25">
        <f>Inventory[[#This Row],[EffAge]]*Lookups!$B$85</f>
        <v>-11375.3256255</v>
      </c>
      <c r="AV748" s="25">
        <f>Inventory[[#This Row],[MainFn]]*Lookups!$B$86</f>
        <v>38637.579843814005</v>
      </c>
      <c r="AW748" s="25">
        <f>Inventory[[#This Row],[UpprFn]]*Lookups!$B$87</f>
        <v>0</v>
      </c>
      <c r="AX748" s="25">
        <f>Inventory[[#This Row],[AddFn]]*Lookups!$B$88</f>
        <v>0</v>
      </c>
      <c r="AY748" s="25">
        <f>Inventory[[#This Row],[Bsmt]]*Lookups!$B$89</f>
        <v>22742.042083154</v>
      </c>
      <c r="AZ748" s="25">
        <f>Inventory[[#This Row],[Fixtures]]*Lookups!$B$90</f>
        <v>18960.110526</v>
      </c>
      <c r="BA748" s="25">
        <f>Inventory[[#This Row],[WdDeck]]*Lookups!$B$91</f>
        <v>3595.9156498080001</v>
      </c>
      <c r="BB748" s="25">
        <f>ROUND(Inventory[[#This Row],[25Det]],-2)</f>
        <v>33200</v>
      </c>
      <c r="BC748" s="25">
        <f>ROUND(SUM(Inventory[[#This Row],[Mdl Qlty]:[Mdl WdDeck]])+Inventory[[#This Row],[Mdl Res Intercept]],-2)</f>
        <v>206300</v>
      </c>
      <c r="BD748" s="25">
        <f>ROUND(Inventory[[#This Row],[Mdl Land Intercept]]+Inventory[[#This Row],[Mdl LnAcres]],-2)</f>
        <v>38900</v>
      </c>
      <c r="BE748" s="25">
        <f>Inventory[[#This Row],[Unadj Res Value]]+Inventory[[#This Row],[Unadj Det Value]]+Inventory[[#This Row],[Unadj Land Value]]</f>
        <v>278400</v>
      </c>
      <c r="BF748" s="36">
        <f>(Inventory[[#This Row],[Unadj Total Value]]-Inventory[[#This Row],[24Final]])/Inventory[[#This Row],[24Final]]</f>
        <v>0.15518672199170125</v>
      </c>
      <c r="BG748" s="25">
        <f>VLOOKUP(Inventory[[#This Row],[Nbhd]],Lookups!$Q$2:$T$4,4,FALSE)</f>
        <v>0.99970000000000003</v>
      </c>
      <c r="BH748" s="25">
        <f>VLOOKUP(Inventory[[#This Row],[Qlty]],Lookups!$O$7:$R$21,4,FALSE)</f>
        <v>0.99180000000000001</v>
      </c>
      <c r="BI748" s="25">
        <f>VLOOKUP(Inventory[[#This Row],[Cnd]],Lookups!$T$7:$W$16,4,FALSE)</f>
        <v>0.99329999999999996</v>
      </c>
      <c r="BJ748" s="25">
        <f>VLOOKUP(Inventory[[#This Row],[LivArea Range]],Lookups!$T$25:$W$37,4,FALSE)</f>
        <v>1.0148999999999999</v>
      </c>
      <c r="BK748" s="25">
        <f>VLOOKUP(Inventory[[#This Row],[Decade]],Lookups!$O$25:$R$42,4,FALSE)</f>
        <v>0.995</v>
      </c>
      <c r="BL748" s="25">
        <f>Inventory[[#This Row],[Nbhd Adj]]*0.95</f>
        <v>0.94971499999999998</v>
      </c>
      <c r="BM748" s="25">
        <f>Inventory[[#This Row],[Nbhd Adj]]*Inventory[[#This Row],[Quality Adj]]*Inventory[[#This Row],[Condition Adj]]*Inventory[[#This Row],[Living Area Adj]]*Inventory[[#This Row],[Decade Adj]]*0.95</f>
        <v>0.94480932301456044</v>
      </c>
      <c r="BN748" s="25">
        <f>ROUND(SUM(Inventory[[#This Row],[Mdl Qlty]:[Mdl WdDeck]])+Inventory[[#This Row],[Mdl Res Intercept]]*Inventory[[#This Row],[Res Adj ]],-2)</f>
        <v>206300</v>
      </c>
      <c r="BO748" s="25">
        <f>ROUND(Inventory[[#This Row],[25Det]]*Inventory[[#This Row],[Det/Nbhd Adj]],-2)</f>
        <v>31600</v>
      </c>
      <c r="BP748" s="25">
        <f>Inventory[[#This Row],[Adjusted Res]]+Inventory[[#This Row],[Adj Det ]]</f>
        <v>237900</v>
      </c>
      <c r="BQ748" s="25">
        <f>ROUND((Inventory[[#This Row],[Mdl Land Intercept]]+Inventory[[#This Row],[Mdl LnAcres]])*Inventory[[#This Row],[Det/Nbhd Adj]],-2)</f>
        <v>36900</v>
      </c>
      <c r="BR748" s="25">
        <f>Inventory[[#This Row],[Adjusted Impr Total]]+Inventory[[#This Row],[Adjusted Land Total]]</f>
        <v>274800</v>
      </c>
      <c r="BS748" s="36">
        <f>IFERROR((Inventory[[#This Row],[Adjusted Impr Total]]-Inventory[[#This Row],[24Bldg]])/Inventory[[#This Row],[24Bldg]],0)</f>
        <v>0.30284775465498359</v>
      </c>
      <c r="BT748" s="36">
        <f>(Inventory[[#This Row],[Adjusted Land Total]]-Inventory[[#This Row],[24Lnd]])/Inventory[[#This Row],[24Lnd]]</f>
        <v>-0.36815068493150682</v>
      </c>
      <c r="BU748" s="36">
        <f>(Inventory[[#This Row],[Adjusted Total]]-Inventory[[#This Row],[24Final]])/Inventory[[#This Row],[24Final]]</f>
        <v>0.14024896265560166</v>
      </c>
    </row>
    <row r="749" spans="1:73" x14ac:dyDescent="0.3">
      <c r="A749" s="25">
        <v>2025</v>
      </c>
      <c r="B749" s="26" t="s">
        <v>2187</v>
      </c>
      <c r="C749" s="26">
        <f>LN(Inventory[[#This Row],[Acres]])</f>
        <v>-1.8971199848858813</v>
      </c>
      <c r="D749" s="25">
        <v>0.15</v>
      </c>
      <c r="E749" s="25">
        <v>6719</v>
      </c>
      <c r="F749" s="26" t="s">
        <v>537</v>
      </c>
      <c r="G749" s="26" t="s">
        <v>126</v>
      </c>
      <c r="H749" s="26" t="s">
        <v>349</v>
      </c>
      <c r="I749" s="26" t="s">
        <v>538</v>
      </c>
      <c r="J749" s="26" t="s">
        <v>539</v>
      </c>
      <c r="K749" s="26" t="s">
        <v>269</v>
      </c>
      <c r="L749" s="26" t="s">
        <v>351</v>
      </c>
      <c r="M749" s="26" t="s">
        <v>303</v>
      </c>
      <c r="N749" s="26">
        <v>80</v>
      </c>
      <c r="O749" s="26">
        <f>2024-Inventory[[#This Row],[YrBlt]]</f>
        <v>74</v>
      </c>
      <c r="P749" s="26">
        <f>2024-Inventory[[#This Row],[EffYr]]</f>
        <v>51</v>
      </c>
      <c r="Q749" s="25">
        <v>1950</v>
      </c>
      <c r="R749" s="25">
        <v>1973</v>
      </c>
      <c r="S749" s="25">
        <v>1092</v>
      </c>
      <c r="T749" s="32">
        <v>394</v>
      </c>
      <c r="U749" s="25">
        <v>1092</v>
      </c>
      <c r="V749" s="25">
        <f>Inventory[[#This Row],[Bsmt]]-Inventory[[#This Row],[FnBsmt]]</f>
        <v>545</v>
      </c>
      <c r="W749" s="25">
        <v>547</v>
      </c>
      <c r="X749" s="27"/>
      <c r="Y749" s="27">
        <f>Inventory[[#This Row],[MainFn]]+Inventory[[#This Row],[UpprFn]]+Inventory[[#This Row],[FnBsmt]]+Inventory[[#This Row],[AddFn]]</f>
        <v>2033</v>
      </c>
      <c r="Z749" s="27">
        <v>2500</v>
      </c>
      <c r="AA749" s="25">
        <v>8</v>
      </c>
      <c r="AB749" s="27"/>
      <c r="AC749" s="27"/>
      <c r="AD749" s="25">
        <v>283</v>
      </c>
      <c r="AE749" s="27"/>
      <c r="AF749" s="27"/>
      <c r="AG749" s="27"/>
      <c r="AH749" s="27"/>
      <c r="AI749" s="25">
        <v>297105</v>
      </c>
      <c r="AJ749" s="25">
        <v>210945</v>
      </c>
      <c r="AK749" s="25">
        <v>8767</v>
      </c>
      <c r="AL749" s="25">
        <v>347900</v>
      </c>
      <c r="AM749" s="25">
        <v>48400</v>
      </c>
      <c r="AN749" s="25">
        <v>299500</v>
      </c>
      <c r="AO749" s="25">
        <v>0</v>
      </c>
      <c r="AP749" s="25">
        <f>Lookups!$B$56*0</f>
        <v>0</v>
      </c>
      <c r="AQ749" s="25">
        <f>Lookups!$B$56*1</f>
        <v>89850.625589999996</v>
      </c>
      <c r="AR749" s="25">
        <f>Lookups!$B$57*Inventory[[#This Row],[LnAcres]]</f>
        <v>-60052.604136134301</v>
      </c>
      <c r="AS749" s="25">
        <f>VLOOKUP(Inventory[[#This Row],[Qlty]],Lookups!$A$62:$E$75,2,FALSE)</f>
        <v>21557.329055999999</v>
      </c>
      <c r="AT749" s="25">
        <f>VLOOKUP(Inventory[[#This Row],[Cnd]],Lookups!$A$76:$E$84,2,FALSE)</f>
        <v>197752.34721000001</v>
      </c>
      <c r="AU749" s="25">
        <f>Inventory[[#This Row],[EffAge]]*Lookups!$B$85</f>
        <v>-11375.3256255</v>
      </c>
      <c r="AV749" s="25">
        <f>Inventory[[#This Row],[MainFn]]*Lookups!$B$86</f>
        <v>53954.267505684002</v>
      </c>
      <c r="AW749" s="25">
        <f>Inventory[[#This Row],[UpprFn]]*Lookups!$B$87</f>
        <v>17645.850607233999</v>
      </c>
      <c r="AX749" s="25">
        <f>Inventory[[#This Row],[AddFn]]*Lookups!$B$88</f>
        <v>0</v>
      </c>
      <c r="AY749" s="25">
        <f>Inventory[[#This Row],[Bsmt]]*Lookups!$B$89</f>
        <v>31757.429609723997</v>
      </c>
      <c r="AZ749" s="25">
        <f>Inventory[[#This Row],[Fixtures]]*Lookups!$B$90</f>
        <v>30336.176841600001</v>
      </c>
      <c r="BA749" s="25">
        <f>Inventory[[#This Row],[WdDeck]]*Lookups!$B$91</f>
        <v>9422.6308231080002</v>
      </c>
      <c r="BB749" s="25">
        <f>ROUND(Inventory[[#This Row],[25Det]],-2)</f>
        <v>8800</v>
      </c>
      <c r="BC749" s="25">
        <f>ROUND(SUM(Inventory[[#This Row],[Mdl Qlty]:[Mdl WdDeck]])+Inventory[[#This Row],[Mdl Res Intercept]],-2)</f>
        <v>351100</v>
      </c>
      <c r="BD749" s="25">
        <f>ROUND(Inventory[[#This Row],[Mdl Land Intercept]]+Inventory[[#This Row],[Mdl LnAcres]],-2)</f>
        <v>29800</v>
      </c>
      <c r="BE749" s="25">
        <f>Inventory[[#This Row],[Unadj Res Value]]+Inventory[[#This Row],[Unadj Det Value]]+Inventory[[#This Row],[Unadj Land Value]]</f>
        <v>389700</v>
      </c>
      <c r="BF749" s="36">
        <f>(Inventory[[#This Row],[Unadj Total Value]]-Inventory[[#This Row],[24Final]])/Inventory[[#This Row],[24Final]]</f>
        <v>0.12014946823799942</v>
      </c>
      <c r="BG749" s="25">
        <f>VLOOKUP(Inventory[[#This Row],[Nbhd]],Lookups!$Q$2:$T$4,4,FALSE)</f>
        <v>0.99970000000000003</v>
      </c>
      <c r="BH749" s="25">
        <f>VLOOKUP(Inventory[[#This Row],[Qlty]],Lookups!$O$7:$R$21,4,FALSE)</f>
        <v>1.0067999999999999</v>
      </c>
      <c r="BI749" s="25">
        <f>VLOOKUP(Inventory[[#This Row],[Cnd]],Lookups!$T$7:$W$16,4,FALSE)</f>
        <v>0.99650000000000005</v>
      </c>
      <c r="BJ749" s="25">
        <f>VLOOKUP(Inventory[[#This Row],[LivArea Range]],Lookups!$T$25:$W$37,4,FALSE)</f>
        <v>0.98919999999999997</v>
      </c>
      <c r="BK749" s="25">
        <f>VLOOKUP(Inventory[[#This Row],[Decade]],Lookups!$O$25:$R$42,4,FALSE)</f>
        <v>0.995</v>
      </c>
      <c r="BL749" s="25">
        <f>Inventory[[#This Row],[Nbhd Adj]]*0.95</f>
        <v>0.94971499999999998</v>
      </c>
      <c r="BM749" s="25">
        <f>Inventory[[#This Row],[Nbhd Adj]]*Inventory[[#This Row],[Quality Adj]]*Inventory[[#This Row],[Condition Adj]]*Inventory[[#This Row],[Living Area Adj]]*Inventory[[#This Row],[Decade Adj]]*0.95</f>
        <v>0.93782325090236773</v>
      </c>
      <c r="BN749" s="25">
        <f>ROUND(SUM(Inventory[[#This Row],[Mdl Qlty]:[Mdl WdDeck]])+Inventory[[#This Row],[Mdl Res Intercept]]*Inventory[[#This Row],[Res Adj ]],-2)</f>
        <v>351100</v>
      </c>
      <c r="BO749" s="25">
        <f>ROUND(Inventory[[#This Row],[25Det]]*Inventory[[#This Row],[Det/Nbhd Adj]],-2)</f>
        <v>8300</v>
      </c>
      <c r="BP749" s="25">
        <f>Inventory[[#This Row],[Adjusted Res]]+Inventory[[#This Row],[Adj Det ]]</f>
        <v>359400</v>
      </c>
      <c r="BQ749" s="25">
        <f>ROUND((Inventory[[#This Row],[Mdl Land Intercept]]+Inventory[[#This Row],[Mdl LnAcres]])*Inventory[[#This Row],[Det/Nbhd Adj]],-2)</f>
        <v>28300</v>
      </c>
      <c r="BR749" s="25">
        <f>Inventory[[#This Row],[Adjusted Impr Total]]+Inventory[[#This Row],[Adjusted Land Total]]</f>
        <v>387700</v>
      </c>
      <c r="BS749" s="36">
        <f>IFERROR((Inventory[[#This Row],[Adjusted Impr Total]]-Inventory[[#This Row],[24Bldg]])/Inventory[[#This Row],[24Bldg]],0)</f>
        <v>0.2</v>
      </c>
      <c r="BT749" s="36">
        <f>(Inventory[[#This Row],[Adjusted Land Total]]-Inventory[[#This Row],[24Lnd]])/Inventory[[#This Row],[24Lnd]]</f>
        <v>-0.41528925619834711</v>
      </c>
      <c r="BU749" s="36">
        <f>(Inventory[[#This Row],[Adjusted Total]]-Inventory[[#This Row],[24Final]])/Inventory[[#This Row],[24Final]]</f>
        <v>0.11440068985340615</v>
      </c>
    </row>
    <row r="750" spans="1:73" x14ac:dyDescent="0.3">
      <c r="A750" s="25">
        <v>2025</v>
      </c>
      <c r="B750" s="26" t="s">
        <v>1814</v>
      </c>
      <c r="C750" s="26">
        <f>LN(Inventory[[#This Row],[Acres]])</f>
        <v>-1.1394342831883648</v>
      </c>
      <c r="D750" s="25">
        <v>0.32</v>
      </c>
      <c r="E750" s="25">
        <v>14000</v>
      </c>
      <c r="F750" s="26" t="s">
        <v>537</v>
      </c>
      <c r="G750" s="26" t="s">
        <v>126</v>
      </c>
      <c r="H750" s="26" t="s">
        <v>349</v>
      </c>
      <c r="I750" s="26" t="s">
        <v>538</v>
      </c>
      <c r="J750" s="26" t="s">
        <v>539</v>
      </c>
      <c r="K750" s="26" t="s">
        <v>241</v>
      </c>
      <c r="L750" s="26" t="s">
        <v>351</v>
      </c>
      <c r="M750" s="26" t="s">
        <v>323</v>
      </c>
      <c r="N750" s="26">
        <v>80</v>
      </c>
      <c r="O750" s="26">
        <f>2024-Inventory[[#This Row],[YrBlt]]</f>
        <v>74</v>
      </c>
      <c r="P750" s="26">
        <f>2024-Inventory[[#This Row],[EffYr]]</f>
        <v>51</v>
      </c>
      <c r="Q750" s="25">
        <v>1950</v>
      </c>
      <c r="R750" s="25">
        <v>1973</v>
      </c>
      <c r="S750" s="25">
        <v>2000</v>
      </c>
      <c r="T750" s="31"/>
      <c r="U750" s="31"/>
      <c r="V750" s="27">
        <f>Inventory[[#This Row],[Bsmt]]-Inventory[[#This Row],[FnBsmt]]</f>
        <v>0</v>
      </c>
      <c r="W750" s="27"/>
      <c r="X750" s="27"/>
      <c r="Y750" s="27">
        <f>Inventory[[#This Row],[MainFn]]+Inventory[[#This Row],[UpprFn]]+Inventory[[#This Row],[FnBsmt]]+Inventory[[#This Row],[AddFn]]</f>
        <v>2000</v>
      </c>
      <c r="Z750" s="27">
        <v>2500</v>
      </c>
      <c r="AA750" s="25">
        <v>5</v>
      </c>
      <c r="AB750" s="27"/>
      <c r="AC750" s="27"/>
      <c r="AD750" s="25">
        <v>881</v>
      </c>
      <c r="AE750" s="27"/>
      <c r="AF750" s="27"/>
      <c r="AG750" s="27"/>
      <c r="AH750" s="27"/>
      <c r="AI750" s="25">
        <v>319003</v>
      </c>
      <c r="AJ750" s="25">
        <v>220112</v>
      </c>
      <c r="AK750" s="25">
        <v>0</v>
      </c>
      <c r="AL750" s="25">
        <v>331600</v>
      </c>
      <c r="AM750" s="25">
        <v>74800</v>
      </c>
      <c r="AN750" s="25">
        <v>256800</v>
      </c>
      <c r="AO750" s="25">
        <v>0</v>
      </c>
      <c r="AP750" s="25">
        <f>Lookups!$B$56*0</f>
        <v>0</v>
      </c>
      <c r="AQ750" s="25">
        <f>Lookups!$B$56*1</f>
        <v>89850.625589999996</v>
      </c>
      <c r="AR750" s="25">
        <f>Lookups!$B$57*Inventory[[#This Row],[LnAcres]]</f>
        <v>-36068.354396449467</v>
      </c>
      <c r="AS750" s="25">
        <f>VLOOKUP(Inventory[[#This Row],[Qlty]],Lookups!$A$62:$E$75,2,FALSE)</f>
        <v>21557.329055999999</v>
      </c>
      <c r="AT750" s="25">
        <f>VLOOKUP(Inventory[[#This Row],[Cnd]],Lookups!$A$76:$E$84,2,FALSE)</f>
        <v>160472.20319</v>
      </c>
      <c r="AU750" s="25">
        <f>Inventory[[#This Row],[EffAge]]*Lookups!$B$85</f>
        <v>-11375.3256255</v>
      </c>
      <c r="AV750" s="25">
        <f>Inventory[[#This Row],[MainFn]]*Lookups!$B$86</f>
        <v>98817.339754000001</v>
      </c>
      <c r="AW750" s="25">
        <f>Inventory[[#This Row],[UpprFn]]*Lookups!$B$87</f>
        <v>0</v>
      </c>
      <c r="AX750" s="25">
        <f>Inventory[[#This Row],[AddFn]]*Lookups!$B$88</f>
        <v>0</v>
      </c>
      <c r="AY750" s="25">
        <f>Inventory[[#This Row],[Bsmt]]*Lookups!$B$89</f>
        <v>0</v>
      </c>
      <c r="AZ750" s="25">
        <f>Inventory[[#This Row],[Fixtures]]*Lookups!$B$90</f>
        <v>18960.110526</v>
      </c>
      <c r="BA750" s="25">
        <f>Inventory[[#This Row],[WdDeck]]*Lookups!$B$91</f>
        <v>29333.348958156002</v>
      </c>
      <c r="BB750" s="25">
        <f>ROUND(Inventory[[#This Row],[25Det]],-2)</f>
        <v>0</v>
      </c>
      <c r="BC750" s="25">
        <f>ROUND(SUM(Inventory[[#This Row],[Mdl Qlty]:[Mdl WdDeck]])+Inventory[[#This Row],[Mdl Res Intercept]],-2)</f>
        <v>317800</v>
      </c>
      <c r="BD750" s="25">
        <f>ROUND(Inventory[[#This Row],[Mdl Land Intercept]]+Inventory[[#This Row],[Mdl LnAcres]],-2)</f>
        <v>53800</v>
      </c>
      <c r="BE750" s="25">
        <f>Inventory[[#This Row],[Unadj Res Value]]+Inventory[[#This Row],[Unadj Det Value]]+Inventory[[#This Row],[Unadj Land Value]]</f>
        <v>371600</v>
      </c>
      <c r="BF750" s="36">
        <f>(Inventory[[#This Row],[Unadj Total Value]]-Inventory[[#This Row],[24Final]])/Inventory[[#This Row],[24Final]]</f>
        <v>0.12062726176115803</v>
      </c>
      <c r="BG750" s="25">
        <f>VLOOKUP(Inventory[[#This Row],[Nbhd]],Lookups!$Q$2:$T$4,4,FALSE)</f>
        <v>0.99970000000000003</v>
      </c>
      <c r="BH750" s="25">
        <f>VLOOKUP(Inventory[[#This Row],[Qlty]],Lookups!$O$7:$R$21,4,FALSE)</f>
        <v>1.0067999999999999</v>
      </c>
      <c r="BI750" s="25">
        <f>VLOOKUP(Inventory[[#This Row],[Cnd]],Lookups!$T$7:$W$16,4,FALSE)</f>
        <v>0.99729999999999996</v>
      </c>
      <c r="BJ750" s="25">
        <f>VLOOKUP(Inventory[[#This Row],[LivArea Range]],Lookups!$T$25:$W$37,4,FALSE)</f>
        <v>0.98919999999999997</v>
      </c>
      <c r="BK750" s="25">
        <f>VLOOKUP(Inventory[[#This Row],[Decade]],Lookups!$O$25:$R$42,4,FALSE)</f>
        <v>0.995</v>
      </c>
      <c r="BL750" s="25">
        <f>Inventory[[#This Row],[Nbhd Adj]]*0.95</f>
        <v>0.94971499999999998</v>
      </c>
      <c r="BM750" s="25">
        <f>Inventory[[#This Row],[Nbhd Adj]]*Inventory[[#This Row],[Quality Adj]]*Inventory[[#This Row],[Condition Adj]]*Inventory[[#This Row],[Living Area Adj]]*Inventory[[#This Row],[Decade Adj]]*0.95</f>
        <v>0.93857614463114025</v>
      </c>
      <c r="BN750" s="25">
        <f>ROUND(SUM(Inventory[[#This Row],[Mdl Qlty]:[Mdl WdDeck]])+Inventory[[#This Row],[Mdl Res Intercept]]*Inventory[[#This Row],[Res Adj ]],-2)</f>
        <v>317800</v>
      </c>
      <c r="BO750" s="25">
        <f>ROUND(Inventory[[#This Row],[25Det]]*Inventory[[#This Row],[Det/Nbhd Adj]],-2)</f>
        <v>0</v>
      </c>
      <c r="BP750" s="25">
        <f>Inventory[[#This Row],[Adjusted Res]]+Inventory[[#This Row],[Adj Det ]]</f>
        <v>317800</v>
      </c>
      <c r="BQ750" s="25">
        <f>ROUND((Inventory[[#This Row],[Mdl Land Intercept]]+Inventory[[#This Row],[Mdl LnAcres]])*Inventory[[#This Row],[Det/Nbhd Adj]],-2)</f>
        <v>51100</v>
      </c>
      <c r="BR750" s="25">
        <f>Inventory[[#This Row],[Adjusted Impr Total]]+Inventory[[#This Row],[Adjusted Land Total]]</f>
        <v>368900</v>
      </c>
      <c r="BS750" s="36">
        <f>IFERROR((Inventory[[#This Row],[Adjusted Impr Total]]-Inventory[[#This Row],[24Bldg]])/Inventory[[#This Row],[24Bldg]],0)</f>
        <v>0.23753894080996885</v>
      </c>
      <c r="BT750" s="36">
        <f>(Inventory[[#This Row],[Adjusted Land Total]]-Inventory[[#This Row],[24Lnd]])/Inventory[[#This Row],[24Lnd]]</f>
        <v>-0.31684491978609625</v>
      </c>
      <c r="BU750" s="36">
        <f>(Inventory[[#This Row],[Adjusted Total]]-Inventory[[#This Row],[24Final]])/Inventory[[#This Row],[24Final]]</f>
        <v>0.11248492159227985</v>
      </c>
    </row>
    <row r="751" spans="1:73" x14ac:dyDescent="0.3">
      <c r="A751" s="25">
        <v>2025</v>
      </c>
      <c r="B751" s="26" t="s">
        <v>1820</v>
      </c>
      <c r="C751" s="26">
        <f>LN(Inventory[[#This Row],[Acres]])</f>
        <v>-1.4271163556401458</v>
      </c>
      <c r="D751" s="25">
        <v>0.24</v>
      </c>
      <c r="E751" s="25">
        <v>10500</v>
      </c>
      <c r="F751" s="26" t="s">
        <v>537</v>
      </c>
      <c r="G751" s="26" t="s">
        <v>126</v>
      </c>
      <c r="H751" s="26" t="s">
        <v>349</v>
      </c>
      <c r="I751" s="26" t="s">
        <v>538</v>
      </c>
      <c r="J751" s="26" t="s">
        <v>539</v>
      </c>
      <c r="K751" s="26" t="s">
        <v>241</v>
      </c>
      <c r="L751" s="26" t="s">
        <v>302</v>
      </c>
      <c r="M751" s="26" t="s">
        <v>303</v>
      </c>
      <c r="N751" s="26">
        <v>80</v>
      </c>
      <c r="O751" s="26">
        <f>2024-Inventory[[#This Row],[YrBlt]]</f>
        <v>74</v>
      </c>
      <c r="P751" s="26">
        <f>2024-Inventory[[#This Row],[EffYr]]</f>
        <v>51</v>
      </c>
      <c r="Q751" s="25">
        <v>1950</v>
      </c>
      <c r="R751" s="25">
        <v>1973</v>
      </c>
      <c r="S751" s="25">
        <v>1667</v>
      </c>
      <c r="T751" s="27"/>
      <c r="U751" s="25">
        <v>1662</v>
      </c>
      <c r="V751" s="25">
        <f>Inventory[[#This Row],[Bsmt]]-Inventory[[#This Row],[FnBsmt]]</f>
        <v>1662</v>
      </c>
      <c r="W751" s="31"/>
      <c r="X751" s="27"/>
      <c r="Y751" s="27">
        <f>Inventory[[#This Row],[MainFn]]+Inventory[[#This Row],[UpprFn]]+Inventory[[#This Row],[FnBsmt]]+Inventory[[#This Row],[AddFn]]</f>
        <v>1667</v>
      </c>
      <c r="Z751" s="27">
        <v>2000</v>
      </c>
      <c r="AA751" s="25">
        <v>9</v>
      </c>
      <c r="AB751" s="27"/>
      <c r="AC751" s="27"/>
      <c r="AD751" s="27"/>
      <c r="AE751" s="27"/>
      <c r="AF751" s="27"/>
      <c r="AG751" s="27"/>
      <c r="AH751" s="27"/>
      <c r="AI751" s="25">
        <v>404629</v>
      </c>
      <c r="AJ751" s="25">
        <v>287287</v>
      </c>
      <c r="AK751" s="25">
        <v>10513</v>
      </c>
      <c r="AL751" s="25">
        <v>389600</v>
      </c>
      <c r="AM751" s="25">
        <v>64800</v>
      </c>
      <c r="AN751" s="25">
        <v>324800</v>
      </c>
      <c r="AO751" s="25">
        <v>0</v>
      </c>
      <c r="AP751" s="25">
        <f>Lookups!$B$56*0</f>
        <v>0</v>
      </c>
      <c r="AQ751" s="25">
        <f>Lookups!$B$56*1</f>
        <v>89850.625589999996</v>
      </c>
      <c r="AR751" s="25">
        <f>Lookups!$B$57*Inventory[[#This Row],[LnAcres]]</f>
        <v>-45174.819855485119</v>
      </c>
      <c r="AS751" s="25">
        <f>VLOOKUP(Inventory[[#This Row],[Qlty]],Lookups!$A$62:$E$75,2,FALSE)</f>
        <v>29814.093161000001</v>
      </c>
      <c r="AT751" s="25">
        <f>VLOOKUP(Inventory[[#This Row],[Cnd]],Lookups!$A$76:$E$84,2,FALSE)</f>
        <v>197752.34721000001</v>
      </c>
      <c r="AU751" s="25">
        <f>Inventory[[#This Row],[EffAge]]*Lookups!$B$85</f>
        <v>-11375.3256255</v>
      </c>
      <c r="AV751" s="25">
        <f>Inventory[[#This Row],[MainFn]]*Lookups!$B$86</f>
        <v>82364.252684959007</v>
      </c>
      <c r="AW751" s="25">
        <f>Inventory[[#This Row],[UpprFn]]*Lookups!$B$87</f>
        <v>0</v>
      </c>
      <c r="AX751" s="25">
        <f>Inventory[[#This Row],[AddFn]]*Lookups!$B$88</f>
        <v>0</v>
      </c>
      <c r="AY751" s="25">
        <f>Inventory[[#This Row],[Bsmt]]*Lookups!$B$89</f>
        <v>48334.109900513999</v>
      </c>
      <c r="AZ751" s="25">
        <f>Inventory[[#This Row],[Fixtures]]*Lookups!$B$90</f>
        <v>34128.198946800003</v>
      </c>
      <c r="BA751" s="25">
        <f>Inventory[[#This Row],[WdDeck]]*Lookups!$B$91</f>
        <v>0</v>
      </c>
      <c r="BB751" s="25">
        <f>ROUND(Inventory[[#This Row],[25Det]],-2)</f>
        <v>10500</v>
      </c>
      <c r="BC751" s="25">
        <f>ROUND(SUM(Inventory[[#This Row],[Mdl Qlty]:[Mdl WdDeck]])+Inventory[[#This Row],[Mdl Res Intercept]],-2)</f>
        <v>381000</v>
      </c>
      <c r="BD751" s="25">
        <f>ROUND(Inventory[[#This Row],[Mdl Land Intercept]]+Inventory[[#This Row],[Mdl LnAcres]],-2)</f>
        <v>44700</v>
      </c>
      <c r="BE751" s="25">
        <f>Inventory[[#This Row],[Unadj Res Value]]+Inventory[[#This Row],[Unadj Det Value]]+Inventory[[#This Row],[Unadj Land Value]]</f>
        <v>436200</v>
      </c>
      <c r="BF751" s="36">
        <f>(Inventory[[#This Row],[Unadj Total Value]]-Inventory[[#This Row],[24Final]])/Inventory[[#This Row],[24Final]]</f>
        <v>0.11960985626283367</v>
      </c>
      <c r="BG751" s="25">
        <f>VLOOKUP(Inventory[[#This Row],[Nbhd]],Lookups!$Q$2:$T$4,4,FALSE)</f>
        <v>0.99970000000000003</v>
      </c>
      <c r="BH751" s="25">
        <f>VLOOKUP(Inventory[[#This Row],[Qlty]],Lookups!$O$7:$R$21,4,FALSE)</f>
        <v>1.0088999999999999</v>
      </c>
      <c r="BI751" s="25">
        <f>VLOOKUP(Inventory[[#This Row],[Cnd]],Lookups!$T$7:$W$16,4,FALSE)</f>
        <v>0.99650000000000005</v>
      </c>
      <c r="BJ751" s="25">
        <f>VLOOKUP(Inventory[[#This Row],[LivArea Range]],Lookups!$T$25:$W$37,4,FALSE)</f>
        <v>1.0093000000000001</v>
      </c>
      <c r="BK751" s="25">
        <f>VLOOKUP(Inventory[[#This Row],[Decade]],Lookups!$O$25:$R$42,4,FALSE)</f>
        <v>0.995</v>
      </c>
      <c r="BL751" s="25">
        <f>Inventory[[#This Row],[Nbhd Adj]]*0.95</f>
        <v>0.94971499999999998</v>
      </c>
      <c r="BM751" s="25">
        <f>Inventory[[#This Row],[Nbhd Adj]]*Inventory[[#This Row],[Quality Adj]]*Inventory[[#This Row],[Condition Adj]]*Inventory[[#This Row],[Living Area Adj]]*Inventory[[#This Row],[Decade Adj]]*0.95</f>
        <v>0.9588751782051762</v>
      </c>
      <c r="BN751" s="25">
        <f>ROUND(SUM(Inventory[[#This Row],[Mdl Qlty]:[Mdl WdDeck]])+Inventory[[#This Row],[Mdl Res Intercept]]*Inventory[[#This Row],[Res Adj ]],-2)</f>
        <v>381000</v>
      </c>
      <c r="BO751" s="25">
        <f>ROUND(Inventory[[#This Row],[25Det]]*Inventory[[#This Row],[Det/Nbhd Adj]],-2)</f>
        <v>10000</v>
      </c>
      <c r="BP751" s="25">
        <f>Inventory[[#This Row],[Adjusted Res]]+Inventory[[#This Row],[Adj Det ]]</f>
        <v>391000</v>
      </c>
      <c r="BQ751" s="25">
        <f>ROUND((Inventory[[#This Row],[Mdl Land Intercept]]+Inventory[[#This Row],[Mdl LnAcres]])*Inventory[[#This Row],[Det/Nbhd Adj]],-2)</f>
        <v>42400</v>
      </c>
      <c r="BR751" s="25">
        <f>Inventory[[#This Row],[Adjusted Impr Total]]+Inventory[[#This Row],[Adjusted Land Total]]</f>
        <v>433400</v>
      </c>
      <c r="BS751" s="36">
        <f>IFERROR((Inventory[[#This Row],[Adjusted Impr Total]]-Inventory[[#This Row],[24Bldg]])/Inventory[[#This Row],[24Bldg]],0)</f>
        <v>0.20381773399014777</v>
      </c>
      <c r="BT751" s="36">
        <f>(Inventory[[#This Row],[Adjusted Land Total]]-Inventory[[#This Row],[24Lnd]])/Inventory[[#This Row],[24Lnd]]</f>
        <v>-0.34567901234567899</v>
      </c>
      <c r="BU751" s="36">
        <f>(Inventory[[#This Row],[Adjusted Total]]-Inventory[[#This Row],[24Final]])/Inventory[[#This Row],[24Final]]</f>
        <v>0.11242299794661191</v>
      </c>
    </row>
    <row r="752" spans="1:73" x14ac:dyDescent="0.3">
      <c r="A752" s="25">
        <v>2025</v>
      </c>
      <c r="B752" s="26" t="s">
        <v>2667</v>
      </c>
      <c r="C752" s="26">
        <f>LN(Inventory[[#This Row],[Acres]])</f>
        <v>-1.7719568419318752</v>
      </c>
      <c r="D752" s="25">
        <v>0.17</v>
      </c>
      <c r="E752" s="31"/>
      <c r="F752" s="26" t="s">
        <v>537</v>
      </c>
      <c r="G752" s="26" t="s">
        <v>126</v>
      </c>
      <c r="H752" s="26" t="s">
        <v>349</v>
      </c>
      <c r="I752" s="26" t="s">
        <v>538</v>
      </c>
      <c r="J752" s="26" t="s">
        <v>539</v>
      </c>
      <c r="K752" s="26" t="s">
        <v>242</v>
      </c>
      <c r="L752" s="26" t="s">
        <v>351</v>
      </c>
      <c r="M752" s="26" t="s">
        <v>303</v>
      </c>
      <c r="N752" s="26">
        <v>80</v>
      </c>
      <c r="O752" s="26">
        <f>2024-Inventory[[#This Row],[YrBlt]]</f>
        <v>74</v>
      </c>
      <c r="P752" s="26">
        <f>2024-Inventory[[#This Row],[EffYr]]</f>
        <v>51</v>
      </c>
      <c r="Q752" s="25">
        <v>1950</v>
      </c>
      <c r="R752" s="25">
        <v>1973</v>
      </c>
      <c r="S752" s="25">
        <v>1348</v>
      </c>
      <c r="T752" s="27"/>
      <c r="U752" s="32">
        <v>638</v>
      </c>
      <c r="V752" s="32">
        <f>Inventory[[#This Row],[Bsmt]]-Inventory[[#This Row],[FnBsmt]]</f>
        <v>638</v>
      </c>
      <c r="W752" s="27"/>
      <c r="X752" s="27"/>
      <c r="Y752" s="27">
        <f>Inventory[[#This Row],[MainFn]]+Inventory[[#This Row],[UpprFn]]+Inventory[[#This Row],[FnBsmt]]+Inventory[[#This Row],[AddFn]]</f>
        <v>1348</v>
      </c>
      <c r="Z752" s="27">
        <v>1500</v>
      </c>
      <c r="AA752" s="25">
        <v>7</v>
      </c>
      <c r="AB752" s="25">
        <v>209</v>
      </c>
      <c r="AC752" s="27"/>
      <c r="AD752" s="27"/>
      <c r="AE752" s="27"/>
      <c r="AF752" s="27"/>
      <c r="AG752" s="27"/>
      <c r="AH752" s="27"/>
      <c r="AI752" s="25">
        <v>250663</v>
      </c>
      <c r="AJ752" s="25">
        <v>177971</v>
      </c>
      <c r="AK752" s="25">
        <v>0</v>
      </c>
      <c r="AL752" s="25">
        <v>316300</v>
      </c>
      <c r="AM752" s="25">
        <v>52700</v>
      </c>
      <c r="AN752" s="25">
        <v>263600</v>
      </c>
      <c r="AO752" s="25">
        <v>0</v>
      </c>
      <c r="AP752" s="25">
        <f>Lookups!$B$56*0</f>
        <v>0</v>
      </c>
      <c r="AQ752" s="25">
        <f>Lookups!$B$56*1</f>
        <v>89850.625589999996</v>
      </c>
      <c r="AR752" s="25">
        <f>Lookups!$B$57*Inventory[[#This Row],[LnAcres]]</f>
        <v>-56090.612940989391</v>
      </c>
      <c r="AS752" s="25">
        <f>VLOOKUP(Inventory[[#This Row],[Qlty]],Lookups!$A$62:$E$75,2,FALSE)</f>
        <v>21557.329055999999</v>
      </c>
      <c r="AT752" s="25">
        <f>VLOOKUP(Inventory[[#This Row],[Cnd]],Lookups!$A$76:$E$84,2,FALSE)</f>
        <v>197752.34721000001</v>
      </c>
      <c r="AU752" s="25">
        <f>Inventory[[#This Row],[EffAge]]*Lookups!$B$85</f>
        <v>-11375.3256255</v>
      </c>
      <c r="AV752" s="25">
        <f>Inventory[[#This Row],[MainFn]]*Lookups!$B$86</f>
        <v>66602.886994196</v>
      </c>
      <c r="AW752" s="25">
        <f>Inventory[[#This Row],[UpprFn]]*Lookups!$B$87</f>
        <v>0</v>
      </c>
      <c r="AX752" s="25">
        <f>Inventory[[#This Row],[AddFn]]*Lookups!$B$88</f>
        <v>0</v>
      </c>
      <c r="AY752" s="25">
        <f>Inventory[[#This Row],[Bsmt]]*Lookups!$B$89</f>
        <v>18554.249167586</v>
      </c>
      <c r="AZ752" s="25">
        <f>Inventory[[#This Row],[Fixtures]]*Lookups!$B$90</f>
        <v>26544.1547364</v>
      </c>
      <c r="BA752" s="25">
        <f>Inventory[[#This Row],[WdDeck]]*Lookups!$B$91</f>
        <v>0</v>
      </c>
      <c r="BB752" s="25">
        <f>ROUND(Inventory[[#This Row],[25Det]],-2)</f>
        <v>0</v>
      </c>
      <c r="BC752" s="25">
        <f>ROUND(SUM(Inventory[[#This Row],[Mdl Qlty]:[Mdl WdDeck]])+Inventory[[#This Row],[Mdl Res Intercept]],-2)</f>
        <v>319600</v>
      </c>
      <c r="BD752" s="25">
        <f>ROUND(Inventory[[#This Row],[Mdl Land Intercept]]+Inventory[[#This Row],[Mdl LnAcres]],-2)</f>
        <v>33800</v>
      </c>
      <c r="BE752" s="25">
        <f>Inventory[[#This Row],[Unadj Res Value]]+Inventory[[#This Row],[Unadj Det Value]]+Inventory[[#This Row],[Unadj Land Value]]</f>
        <v>353400</v>
      </c>
      <c r="BF752" s="36">
        <f>(Inventory[[#This Row],[Unadj Total Value]]-Inventory[[#This Row],[24Final]])/Inventory[[#This Row],[24Final]]</f>
        <v>0.11729370850458426</v>
      </c>
      <c r="BG752" s="25">
        <f>VLOOKUP(Inventory[[#This Row],[Nbhd]],Lookups!$Q$2:$T$4,4,FALSE)</f>
        <v>0.99970000000000003</v>
      </c>
      <c r="BH752" s="25">
        <f>VLOOKUP(Inventory[[#This Row],[Qlty]],Lookups!$O$7:$R$21,4,FALSE)</f>
        <v>1.0067999999999999</v>
      </c>
      <c r="BI752" s="25">
        <f>VLOOKUP(Inventory[[#This Row],[Cnd]],Lookups!$T$7:$W$16,4,FALSE)</f>
        <v>0.99650000000000005</v>
      </c>
      <c r="BJ752" s="25">
        <f>VLOOKUP(Inventory[[#This Row],[LivArea Range]],Lookups!$T$25:$W$37,4,FALSE)</f>
        <v>1.0157</v>
      </c>
      <c r="BK752" s="25">
        <f>VLOOKUP(Inventory[[#This Row],[Decade]],Lookups!$O$25:$R$42,4,FALSE)</f>
        <v>0.995</v>
      </c>
      <c r="BL752" s="25">
        <f>Inventory[[#This Row],[Nbhd Adj]]*0.95</f>
        <v>0.94971499999999998</v>
      </c>
      <c r="BM752" s="25">
        <f>Inventory[[#This Row],[Nbhd Adj]]*Inventory[[#This Row],[Quality Adj]]*Inventory[[#This Row],[Condition Adj]]*Inventory[[#This Row],[Living Area Adj]]*Inventory[[#This Row],[Decade Adj]]*0.95</f>
        <v>0.96294690248840986</v>
      </c>
      <c r="BN752" s="25">
        <f>ROUND(SUM(Inventory[[#This Row],[Mdl Qlty]:[Mdl WdDeck]])+Inventory[[#This Row],[Mdl Res Intercept]]*Inventory[[#This Row],[Res Adj ]],-2)</f>
        <v>319600</v>
      </c>
      <c r="BO752" s="25">
        <f>ROUND(Inventory[[#This Row],[25Det]]*Inventory[[#This Row],[Det/Nbhd Adj]],-2)</f>
        <v>0</v>
      </c>
      <c r="BP752" s="25">
        <f>Inventory[[#This Row],[Adjusted Res]]+Inventory[[#This Row],[Adj Det ]]</f>
        <v>319600</v>
      </c>
      <c r="BQ752" s="25">
        <f>ROUND((Inventory[[#This Row],[Mdl Land Intercept]]+Inventory[[#This Row],[Mdl LnAcres]])*Inventory[[#This Row],[Det/Nbhd Adj]],-2)</f>
        <v>32100</v>
      </c>
      <c r="BR752" s="25">
        <f>Inventory[[#This Row],[Adjusted Impr Total]]+Inventory[[#This Row],[Adjusted Land Total]]</f>
        <v>351700</v>
      </c>
      <c r="BS752" s="36">
        <f>IFERROR((Inventory[[#This Row],[Adjusted Impr Total]]-Inventory[[#This Row],[24Bldg]])/Inventory[[#This Row],[24Bldg]],0)</f>
        <v>0.21244309559939301</v>
      </c>
      <c r="BT752" s="36">
        <f>(Inventory[[#This Row],[Adjusted Land Total]]-Inventory[[#This Row],[24Lnd]])/Inventory[[#This Row],[24Lnd]]</f>
        <v>-0.39089184060721061</v>
      </c>
      <c r="BU752" s="36">
        <f>(Inventory[[#This Row],[Adjusted Total]]-Inventory[[#This Row],[24Final]])/Inventory[[#This Row],[24Final]]</f>
        <v>0.11191906417957635</v>
      </c>
    </row>
    <row r="753" spans="1:73" x14ac:dyDescent="0.3">
      <c r="A753" s="25">
        <v>2025</v>
      </c>
      <c r="B753" s="26" t="s">
        <v>1727</v>
      </c>
      <c r="C753" s="26">
        <f>LN(Inventory[[#This Row],[Acres]])</f>
        <v>-1.6094379124341003</v>
      </c>
      <c r="D753" s="25">
        <v>0.2</v>
      </c>
      <c r="E753" s="31"/>
      <c r="F753" s="26" t="s">
        <v>537</v>
      </c>
      <c r="G753" s="26" t="s">
        <v>126</v>
      </c>
      <c r="H753" s="26" t="s">
        <v>349</v>
      </c>
      <c r="I753" s="26" t="s">
        <v>538</v>
      </c>
      <c r="J753" s="26" t="s">
        <v>638</v>
      </c>
      <c r="K753" s="26" t="s">
        <v>241</v>
      </c>
      <c r="L753" s="26" t="s">
        <v>302</v>
      </c>
      <c r="M753" s="26" t="s">
        <v>303</v>
      </c>
      <c r="N753" s="26">
        <v>80</v>
      </c>
      <c r="O753" s="26">
        <f>2024-Inventory[[#This Row],[YrBlt]]</f>
        <v>74</v>
      </c>
      <c r="P753" s="26">
        <f>2024-Inventory[[#This Row],[EffYr]]</f>
        <v>51</v>
      </c>
      <c r="Q753" s="25">
        <v>1950</v>
      </c>
      <c r="R753" s="25">
        <v>1973</v>
      </c>
      <c r="S753" s="25">
        <v>1452</v>
      </c>
      <c r="T753" s="27"/>
      <c r="U753" s="27"/>
      <c r="V753" s="27">
        <f>Inventory[[#This Row],[Bsmt]]-Inventory[[#This Row],[FnBsmt]]</f>
        <v>0</v>
      </c>
      <c r="W753" s="27"/>
      <c r="X753" s="27"/>
      <c r="Y753" s="27">
        <f>Inventory[[#This Row],[MainFn]]+Inventory[[#This Row],[UpprFn]]+Inventory[[#This Row],[FnBsmt]]+Inventory[[#This Row],[AddFn]]</f>
        <v>1452</v>
      </c>
      <c r="Z753" s="27">
        <v>1500</v>
      </c>
      <c r="AA753" s="25">
        <v>8</v>
      </c>
      <c r="AB753" s="32">
        <v>231</v>
      </c>
      <c r="AC753" s="27"/>
      <c r="AD753" s="32">
        <v>299</v>
      </c>
      <c r="AE753" s="27"/>
      <c r="AF753" s="27"/>
      <c r="AG753" s="27"/>
      <c r="AH753" s="27"/>
      <c r="AI753" s="25">
        <v>288841</v>
      </c>
      <c r="AJ753" s="25">
        <v>205077</v>
      </c>
      <c r="AK753" s="25">
        <v>0</v>
      </c>
      <c r="AL753" s="25">
        <v>329900</v>
      </c>
      <c r="AM753" s="25">
        <v>58400</v>
      </c>
      <c r="AN753" s="25">
        <v>271500</v>
      </c>
      <c r="AO753" s="25">
        <v>0</v>
      </c>
      <c r="AP753" s="25">
        <f>Lookups!$B$56*0</f>
        <v>0</v>
      </c>
      <c r="AQ753" s="25">
        <f>Lookups!$B$56*1</f>
        <v>89850.625589999996</v>
      </c>
      <c r="AR753" s="25">
        <f>Lookups!$B$57*Inventory[[#This Row],[LnAcres]]</f>
        <v>-50946.13867709865</v>
      </c>
      <c r="AS753" s="25">
        <f>VLOOKUP(Inventory[[#This Row],[Qlty]],Lookups!$A$62:$E$75,2,FALSE)</f>
        <v>29814.093161000001</v>
      </c>
      <c r="AT753" s="25">
        <f>VLOOKUP(Inventory[[#This Row],[Cnd]],Lookups!$A$76:$E$84,2,FALSE)</f>
        <v>197752.34721000001</v>
      </c>
      <c r="AU753" s="25">
        <f>Inventory[[#This Row],[EffAge]]*Lookups!$B$85</f>
        <v>-11375.3256255</v>
      </c>
      <c r="AV753" s="25">
        <f>Inventory[[#This Row],[MainFn]]*Lookups!$B$86</f>
        <v>71741.388661403995</v>
      </c>
      <c r="AW753" s="25">
        <f>Inventory[[#This Row],[UpprFn]]*Lookups!$B$87</f>
        <v>0</v>
      </c>
      <c r="AX753" s="25">
        <f>Inventory[[#This Row],[AddFn]]*Lookups!$B$88</f>
        <v>0</v>
      </c>
      <c r="AY753" s="25">
        <f>Inventory[[#This Row],[Bsmt]]*Lookups!$B$89</f>
        <v>0</v>
      </c>
      <c r="AZ753" s="25">
        <f>Inventory[[#This Row],[Fixtures]]*Lookups!$B$90</f>
        <v>30336.176841600001</v>
      </c>
      <c r="BA753" s="25">
        <f>Inventory[[#This Row],[WdDeck]]*Lookups!$B$91</f>
        <v>9955.3590675240011</v>
      </c>
      <c r="BB753" s="25">
        <f>ROUND(Inventory[[#This Row],[25Det]],-2)</f>
        <v>0</v>
      </c>
      <c r="BC753" s="25">
        <f>ROUND(SUM(Inventory[[#This Row],[Mdl Qlty]:[Mdl WdDeck]])+Inventory[[#This Row],[Mdl Res Intercept]],-2)</f>
        <v>328200</v>
      </c>
      <c r="BD753" s="25">
        <f>ROUND(Inventory[[#This Row],[Mdl Land Intercept]]+Inventory[[#This Row],[Mdl LnAcres]],-2)</f>
        <v>38900</v>
      </c>
      <c r="BE753" s="25">
        <f>Inventory[[#This Row],[Unadj Res Value]]+Inventory[[#This Row],[Unadj Det Value]]+Inventory[[#This Row],[Unadj Land Value]]</f>
        <v>367100</v>
      </c>
      <c r="BF753" s="36">
        <f>(Inventory[[#This Row],[Unadj Total Value]]-Inventory[[#This Row],[24Final]])/Inventory[[#This Row],[24Final]]</f>
        <v>0.11276144286147317</v>
      </c>
      <c r="BG753" s="25">
        <f>VLOOKUP(Inventory[[#This Row],[Nbhd]],Lookups!$Q$2:$T$4,4,FALSE)</f>
        <v>0.99970000000000003</v>
      </c>
      <c r="BH753" s="25">
        <f>VLOOKUP(Inventory[[#This Row],[Qlty]],Lookups!$O$7:$R$21,4,FALSE)</f>
        <v>1.0088999999999999</v>
      </c>
      <c r="BI753" s="25">
        <f>VLOOKUP(Inventory[[#This Row],[Cnd]],Lookups!$T$7:$W$16,4,FALSE)</f>
        <v>0.99650000000000005</v>
      </c>
      <c r="BJ753" s="25">
        <f>VLOOKUP(Inventory[[#This Row],[LivArea Range]],Lookups!$T$25:$W$37,4,FALSE)</f>
        <v>1.0157</v>
      </c>
      <c r="BK753" s="25">
        <f>VLOOKUP(Inventory[[#This Row],[Decade]],Lookups!$O$25:$R$42,4,FALSE)</f>
        <v>0.995</v>
      </c>
      <c r="BL753" s="25">
        <f>Inventory[[#This Row],[Nbhd Adj]]*0.95</f>
        <v>0.94971499999999998</v>
      </c>
      <c r="BM753" s="25">
        <f>Inventory[[#This Row],[Nbhd Adj]]*Inventory[[#This Row],[Quality Adj]]*Inventory[[#This Row],[Condition Adj]]*Inventory[[#This Row],[Living Area Adj]]*Inventory[[#This Row],[Decade Adj]]*0.95</f>
        <v>0.9649554329763177</v>
      </c>
      <c r="BN753" s="25">
        <f>ROUND(SUM(Inventory[[#This Row],[Mdl Qlty]:[Mdl WdDeck]])+Inventory[[#This Row],[Mdl Res Intercept]]*Inventory[[#This Row],[Res Adj ]],-2)</f>
        <v>328200</v>
      </c>
      <c r="BO753" s="25">
        <f>ROUND(Inventory[[#This Row],[25Det]]*Inventory[[#This Row],[Det/Nbhd Adj]],-2)</f>
        <v>0</v>
      </c>
      <c r="BP753" s="25">
        <f>Inventory[[#This Row],[Adjusted Res]]+Inventory[[#This Row],[Adj Det ]]</f>
        <v>328200</v>
      </c>
      <c r="BQ753" s="25">
        <f>ROUND((Inventory[[#This Row],[Mdl Land Intercept]]+Inventory[[#This Row],[Mdl LnAcres]])*Inventory[[#This Row],[Det/Nbhd Adj]],-2)</f>
        <v>36900</v>
      </c>
      <c r="BR753" s="25">
        <f>Inventory[[#This Row],[Adjusted Impr Total]]+Inventory[[#This Row],[Adjusted Land Total]]</f>
        <v>365100</v>
      </c>
      <c r="BS753" s="36">
        <f>IFERROR((Inventory[[#This Row],[Adjusted Impr Total]]-Inventory[[#This Row],[24Bldg]])/Inventory[[#This Row],[24Bldg]],0)</f>
        <v>0.20883977900552486</v>
      </c>
      <c r="BT753" s="36">
        <f>(Inventory[[#This Row],[Adjusted Land Total]]-Inventory[[#This Row],[24Lnd]])/Inventory[[#This Row],[24Lnd]]</f>
        <v>-0.36815068493150682</v>
      </c>
      <c r="BU753" s="36">
        <f>(Inventory[[#This Row],[Adjusted Total]]-Inventory[[#This Row],[24Final]])/Inventory[[#This Row],[24Final]]</f>
        <v>0.10669899969687784</v>
      </c>
    </row>
    <row r="754" spans="1:73" x14ac:dyDescent="0.3">
      <c r="A754" s="25">
        <v>2025</v>
      </c>
      <c r="B754" s="26" t="s">
        <v>904</v>
      </c>
      <c r="C754" s="26">
        <f>LN(Inventory[[#This Row],[Acres]])</f>
        <v>-1.6607312068216509</v>
      </c>
      <c r="D754" s="25">
        <v>0.19</v>
      </c>
      <c r="E754" s="25">
        <v>8060</v>
      </c>
      <c r="F754" s="26" t="s">
        <v>537</v>
      </c>
      <c r="G754" s="26" t="s">
        <v>126</v>
      </c>
      <c r="H754" s="26" t="s">
        <v>349</v>
      </c>
      <c r="I754" s="26" t="s">
        <v>538</v>
      </c>
      <c r="J754" s="26" t="s">
        <v>539</v>
      </c>
      <c r="K754" s="26" t="s">
        <v>242</v>
      </c>
      <c r="L754" s="26" t="s">
        <v>351</v>
      </c>
      <c r="M754" s="26" t="s">
        <v>303</v>
      </c>
      <c r="N754" s="26">
        <v>80</v>
      </c>
      <c r="O754" s="26">
        <f>2024-Inventory[[#This Row],[YrBlt]]</f>
        <v>74</v>
      </c>
      <c r="P754" s="26">
        <f>2024-Inventory[[#This Row],[EffYr]]</f>
        <v>51</v>
      </c>
      <c r="Q754" s="25">
        <v>1950</v>
      </c>
      <c r="R754" s="25">
        <v>1973</v>
      </c>
      <c r="S754" s="25">
        <v>1148</v>
      </c>
      <c r="T754" s="27"/>
      <c r="U754" s="25">
        <v>1198</v>
      </c>
      <c r="V754" s="25">
        <f>Inventory[[#This Row],[Bsmt]]-Inventory[[#This Row],[FnBsmt]]</f>
        <v>1118</v>
      </c>
      <c r="W754" s="25">
        <v>80</v>
      </c>
      <c r="X754" s="27"/>
      <c r="Y754" s="27">
        <f>Inventory[[#This Row],[MainFn]]+Inventory[[#This Row],[UpprFn]]+Inventory[[#This Row],[FnBsmt]]+Inventory[[#This Row],[AddFn]]</f>
        <v>1228</v>
      </c>
      <c r="Z754" s="27">
        <v>1500</v>
      </c>
      <c r="AA754" s="25">
        <v>5</v>
      </c>
      <c r="AB754" s="31"/>
      <c r="AC754" s="27"/>
      <c r="AD754" s="31"/>
      <c r="AE754" s="27"/>
      <c r="AF754" s="27"/>
      <c r="AG754" s="27"/>
      <c r="AH754" s="27"/>
      <c r="AI754" s="25">
        <v>239914</v>
      </c>
      <c r="AJ754" s="25">
        <v>170339</v>
      </c>
      <c r="AK754" s="25">
        <v>25778</v>
      </c>
      <c r="AL754" s="25">
        <v>342600</v>
      </c>
      <c r="AM754" s="25">
        <v>56600</v>
      </c>
      <c r="AN754" s="25">
        <v>286000</v>
      </c>
      <c r="AO754" s="25">
        <v>0</v>
      </c>
      <c r="AP754" s="25">
        <f>Lookups!$B$56*0</f>
        <v>0</v>
      </c>
      <c r="AQ754" s="25">
        <f>Lookups!$B$56*1</f>
        <v>89850.625589999996</v>
      </c>
      <c r="AR754" s="25">
        <f>Lookups!$B$57*Inventory[[#This Row],[LnAcres]]</f>
        <v>-52569.808201026557</v>
      </c>
      <c r="AS754" s="25">
        <f>VLOOKUP(Inventory[[#This Row],[Qlty]],Lookups!$A$62:$E$75,2,FALSE)</f>
        <v>21557.329055999999</v>
      </c>
      <c r="AT754" s="25">
        <f>VLOOKUP(Inventory[[#This Row],[Cnd]],Lookups!$A$76:$E$84,2,FALSE)</f>
        <v>197752.34721000001</v>
      </c>
      <c r="AU754" s="25">
        <f>Inventory[[#This Row],[EffAge]]*Lookups!$B$85</f>
        <v>-11375.3256255</v>
      </c>
      <c r="AV754" s="25">
        <f>Inventory[[#This Row],[MainFn]]*Lookups!$B$86</f>
        <v>56721.153018796002</v>
      </c>
      <c r="AW754" s="25">
        <f>Inventory[[#This Row],[UpprFn]]*Lookups!$B$87</f>
        <v>0</v>
      </c>
      <c r="AX754" s="25">
        <f>Inventory[[#This Row],[AddFn]]*Lookups!$B$88</f>
        <v>0</v>
      </c>
      <c r="AY754" s="25">
        <f>Inventory[[#This Row],[Bsmt]]*Lookups!$B$89</f>
        <v>34840.110505905999</v>
      </c>
      <c r="AZ754" s="25">
        <f>Inventory[[#This Row],[Fixtures]]*Lookups!$B$90</f>
        <v>18960.110526</v>
      </c>
      <c r="BA754" s="25">
        <f>Inventory[[#This Row],[WdDeck]]*Lookups!$B$91</f>
        <v>0</v>
      </c>
      <c r="BB754" s="25">
        <f>ROUND(Inventory[[#This Row],[25Det]],-2)</f>
        <v>25800</v>
      </c>
      <c r="BC754" s="25">
        <f>ROUND(SUM(Inventory[[#This Row],[Mdl Qlty]:[Mdl WdDeck]])+Inventory[[#This Row],[Mdl Res Intercept]],-2)</f>
        <v>318500</v>
      </c>
      <c r="BD754" s="25">
        <f>ROUND(Inventory[[#This Row],[Mdl Land Intercept]]+Inventory[[#This Row],[Mdl LnAcres]],-2)</f>
        <v>37300</v>
      </c>
      <c r="BE754" s="25">
        <f>Inventory[[#This Row],[Unadj Res Value]]+Inventory[[#This Row],[Unadj Det Value]]+Inventory[[#This Row],[Unadj Land Value]]</f>
        <v>381600</v>
      </c>
      <c r="BF754" s="36">
        <f>(Inventory[[#This Row],[Unadj Total Value]]-Inventory[[#This Row],[24Final]])/Inventory[[#This Row],[24Final]]</f>
        <v>0.11383537653239929</v>
      </c>
      <c r="BG754" s="25">
        <f>VLOOKUP(Inventory[[#This Row],[Nbhd]],Lookups!$Q$2:$T$4,4,FALSE)</f>
        <v>0.99970000000000003</v>
      </c>
      <c r="BH754" s="25">
        <f>VLOOKUP(Inventory[[#This Row],[Qlty]],Lookups!$O$7:$R$21,4,FALSE)</f>
        <v>1.0067999999999999</v>
      </c>
      <c r="BI754" s="25">
        <f>VLOOKUP(Inventory[[#This Row],[Cnd]],Lookups!$T$7:$W$16,4,FALSE)</f>
        <v>0.99650000000000005</v>
      </c>
      <c r="BJ754" s="25">
        <f>VLOOKUP(Inventory[[#This Row],[LivArea Range]],Lookups!$T$25:$W$37,4,FALSE)</f>
        <v>1.0157</v>
      </c>
      <c r="BK754" s="25">
        <f>VLOOKUP(Inventory[[#This Row],[Decade]],Lookups!$O$25:$R$42,4,FALSE)</f>
        <v>0.995</v>
      </c>
      <c r="BL754" s="25">
        <f>Inventory[[#This Row],[Nbhd Adj]]*0.95</f>
        <v>0.94971499999999998</v>
      </c>
      <c r="BM754" s="25">
        <f>Inventory[[#This Row],[Nbhd Adj]]*Inventory[[#This Row],[Quality Adj]]*Inventory[[#This Row],[Condition Adj]]*Inventory[[#This Row],[Living Area Adj]]*Inventory[[#This Row],[Decade Adj]]*0.95</f>
        <v>0.96294690248840986</v>
      </c>
      <c r="BN754" s="25">
        <f>ROUND(SUM(Inventory[[#This Row],[Mdl Qlty]:[Mdl WdDeck]])+Inventory[[#This Row],[Mdl Res Intercept]]*Inventory[[#This Row],[Res Adj ]],-2)</f>
        <v>318500</v>
      </c>
      <c r="BO754" s="25">
        <f>ROUND(Inventory[[#This Row],[25Det]]*Inventory[[#This Row],[Det/Nbhd Adj]],-2)</f>
        <v>24500</v>
      </c>
      <c r="BP754" s="25">
        <f>Inventory[[#This Row],[Adjusted Res]]+Inventory[[#This Row],[Adj Det ]]</f>
        <v>343000</v>
      </c>
      <c r="BQ754" s="25">
        <f>ROUND((Inventory[[#This Row],[Mdl Land Intercept]]+Inventory[[#This Row],[Mdl LnAcres]])*Inventory[[#This Row],[Det/Nbhd Adj]],-2)</f>
        <v>35400</v>
      </c>
      <c r="BR754" s="25">
        <f>Inventory[[#This Row],[Adjusted Impr Total]]+Inventory[[#This Row],[Adjusted Land Total]]</f>
        <v>378400</v>
      </c>
      <c r="BS754" s="36">
        <f>IFERROR((Inventory[[#This Row],[Adjusted Impr Total]]-Inventory[[#This Row],[24Bldg]])/Inventory[[#This Row],[24Bldg]],0)</f>
        <v>0.1993006993006993</v>
      </c>
      <c r="BT754" s="36">
        <f>(Inventory[[#This Row],[Adjusted Land Total]]-Inventory[[#This Row],[24Lnd]])/Inventory[[#This Row],[24Lnd]]</f>
        <v>-0.37455830388692579</v>
      </c>
      <c r="BU754" s="36">
        <f>(Inventory[[#This Row],[Adjusted Total]]-Inventory[[#This Row],[24Final]])/Inventory[[#This Row],[24Final]]</f>
        <v>0.1044950379451255</v>
      </c>
    </row>
    <row r="755" spans="1:73" x14ac:dyDescent="0.3">
      <c r="A755" s="25">
        <v>2025</v>
      </c>
      <c r="B755" s="26" t="s">
        <v>1737</v>
      </c>
      <c r="C755" s="26">
        <f>LN(Inventory[[#This Row],[Acres]])</f>
        <v>-1.5606477482646683</v>
      </c>
      <c r="D755" s="25">
        <v>0.21</v>
      </c>
      <c r="E755" s="31"/>
      <c r="F755" s="26" t="s">
        <v>537</v>
      </c>
      <c r="G755" s="26" t="s">
        <v>126</v>
      </c>
      <c r="H755" s="26" t="s">
        <v>349</v>
      </c>
      <c r="I755" s="26" t="s">
        <v>538</v>
      </c>
      <c r="J755" s="26" t="s">
        <v>539</v>
      </c>
      <c r="K755" s="26" t="s">
        <v>242</v>
      </c>
      <c r="L755" s="26" t="s">
        <v>351</v>
      </c>
      <c r="M755" s="26" t="s">
        <v>323</v>
      </c>
      <c r="N755" s="26">
        <v>80</v>
      </c>
      <c r="O755" s="26">
        <f>2024-Inventory[[#This Row],[YrBlt]]</f>
        <v>74</v>
      </c>
      <c r="P755" s="26">
        <f>2024-Inventory[[#This Row],[EffYr]]</f>
        <v>51</v>
      </c>
      <c r="Q755" s="25">
        <v>1950</v>
      </c>
      <c r="R755" s="25">
        <v>1973</v>
      </c>
      <c r="S755" s="25">
        <v>1189</v>
      </c>
      <c r="T755" s="27"/>
      <c r="U755" s="25">
        <v>1145</v>
      </c>
      <c r="V755" s="25">
        <f>Inventory[[#This Row],[Bsmt]]-Inventory[[#This Row],[FnBsmt]]</f>
        <v>1145</v>
      </c>
      <c r="W755" s="31"/>
      <c r="X755" s="27"/>
      <c r="Y755" s="27">
        <f>Inventory[[#This Row],[MainFn]]+Inventory[[#This Row],[UpprFn]]+Inventory[[#This Row],[FnBsmt]]+Inventory[[#This Row],[AddFn]]</f>
        <v>1189</v>
      </c>
      <c r="Z755" s="27">
        <v>1500</v>
      </c>
      <c r="AA755" s="25">
        <v>5</v>
      </c>
      <c r="AB755" s="31"/>
      <c r="AC755" s="27"/>
      <c r="AD755" s="25">
        <v>302</v>
      </c>
      <c r="AE755" s="27"/>
      <c r="AF755" s="27"/>
      <c r="AG755" s="27"/>
      <c r="AH755" s="27"/>
      <c r="AI755" s="25">
        <v>241774</v>
      </c>
      <c r="AJ755" s="25">
        <v>166824</v>
      </c>
      <c r="AK755" s="25">
        <v>6050</v>
      </c>
      <c r="AL755" s="25">
        <v>304300</v>
      </c>
      <c r="AM755" s="25">
        <v>60100</v>
      </c>
      <c r="AN755" s="25">
        <v>244200</v>
      </c>
      <c r="AO755" s="25">
        <v>0</v>
      </c>
      <c r="AP755" s="25">
        <f>Lookups!$B$56*0</f>
        <v>0</v>
      </c>
      <c r="AQ755" s="25">
        <f>Lookups!$B$56*1</f>
        <v>89850.625589999996</v>
      </c>
      <c r="AR755" s="25">
        <f>Lookups!$B$57*Inventory[[#This Row],[LnAcres]]</f>
        <v>-49401.70477837498</v>
      </c>
      <c r="AS755" s="25">
        <f>VLOOKUP(Inventory[[#This Row],[Qlty]],Lookups!$A$62:$E$75,2,FALSE)</f>
        <v>21557.329055999999</v>
      </c>
      <c r="AT755" s="25">
        <f>VLOOKUP(Inventory[[#This Row],[Cnd]],Lookups!$A$76:$E$84,2,FALSE)</f>
        <v>160472.20319</v>
      </c>
      <c r="AU755" s="25">
        <f>Inventory[[#This Row],[EffAge]]*Lookups!$B$85</f>
        <v>-11375.3256255</v>
      </c>
      <c r="AV755" s="25">
        <f>Inventory[[#This Row],[MainFn]]*Lookups!$B$86</f>
        <v>58746.908483753003</v>
      </c>
      <c r="AW755" s="25">
        <f>Inventory[[#This Row],[UpprFn]]*Lookups!$B$87</f>
        <v>0</v>
      </c>
      <c r="AX755" s="25">
        <f>Inventory[[#This Row],[AddFn]]*Lookups!$B$88</f>
        <v>0</v>
      </c>
      <c r="AY755" s="25">
        <f>Inventory[[#This Row],[Bsmt]]*Lookups!$B$89</f>
        <v>33298.770057814996</v>
      </c>
      <c r="AZ755" s="25">
        <f>Inventory[[#This Row],[Fixtures]]*Lookups!$B$90</f>
        <v>18960.110526</v>
      </c>
      <c r="BA755" s="25">
        <f>Inventory[[#This Row],[WdDeck]]*Lookups!$B$91</f>
        <v>10055.245613352001</v>
      </c>
      <c r="BB755" s="25">
        <f>ROUND(Inventory[[#This Row],[25Det]],-2)</f>
        <v>6100</v>
      </c>
      <c r="BC755" s="25">
        <f>ROUND(SUM(Inventory[[#This Row],[Mdl Qlty]:[Mdl WdDeck]])+Inventory[[#This Row],[Mdl Res Intercept]],-2)</f>
        <v>291700</v>
      </c>
      <c r="BD755" s="25">
        <f>ROUND(Inventory[[#This Row],[Mdl Land Intercept]]+Inventory[[#This Row],[Mdl LnAcres]],-2)</f>
        <v>40400</v>
      </c>
      <c r="BE755" s="25">
        <f>Inventory[[#This Row],[Unadj Res Value]]+Inventory[[#This Row],[Unadj Det Value]]+Inventory[[#This Row],[Unadj Land Value]]</f>
        <v>338200</v>
      </c>
      <c r="BF755" s="36">
        <f>(Inventory[[#This Row],[Unadj Total Value]]-Inventory[[#This Row],[24Final]])/Inventory[[#This Row],[24Final]]</f>
        <v>0.11140322050607952</v>
      </c>
      <c r="BG755" s="25">
        <f>VLOOKUP(Inventory[[#This Row],[Nbhd]],Lookups!$Q$2:$T$4,4,FALSE)</f>
        <v>0.99970000000000003</v>
      </c>
      <c r="BH755" s="25">
        <f>VLOOKUP(Inventory[[#This Row],[Qlty]],Lookups!$O$7:$R$21,4,FALSE)</f>
        <v>1.0067999999999999</v>
      </c>
      <c r="BI755" s="25">
        <f>VLOOKUP(Inventory[[#This Row],[Cnd]],Lookups!$T$7:$W$16,4,FALSE)</f>
        <v>0.99729999999999996</v>
      </c>
      <c r="BJ755" s="25">
        <f>VLOOKUP(Inventory[[#This Row],[LivArea Range]],Lookups!$T$25:$W$37,4,FALSE)</f>
        <v>1.0157</v>
      </c>
      <c r="BK755" s="25">
        <f>VLOOKUP(Inventory[[#This Row],[Decade]],Lookups!$O$25:$R$42,4,FALSE)</f>
        <v>0.995</v>
      </c>
      <c r="BL755" s="25">
        <f>Inventory[[#This Row],[Nbhd Adj]]*0.95</f>
        <v>0.94971499999999998</v>
      </c>
      <c r="BM755" s="25">
        <f>Inventory[[#This Row],[Nbhd Adj]]*Inventory[[#This Row],[Quality Adj]]*Inventory[[#This Row],[Condition Adj]]*Inventory[[#This Row],[Living Area Adj]]*Inventory[[#This Row],[Decade Adj]]*0.95</f>
        <v>0.96371996573175212</v>
      </c>
      <c r="BN755" s="25">
        <f>ROUND(SUM(Inventory[[#This Row],[Mdl Qlty]:[Mdl WdDeck]])+Inventory[[#This Row],[Mdl Res Intercept]]*Inventory[[#This Row],[Res Adj ]],-2)</f>
        <v>291700</v>
      </c>
      <c r="BO755" s="25">
        <f>ROUND(Inventory[[#This Row],[25Det]]*Inventory[[#This Row],[Det/Nbhd Adj]],-2)</f>
        <v>5700</v>
      </c>
      <c r="BP755" s="25">
        <f>Inventory[[#This Row],[Adjusted Res]]+Inventory[[#This Row],[Adj Det ]]</f>
        <v>297400</v>
      </c>
      <c r="BQ755" s="25">
        <f>ROUND((Inventory[[#This Row],[Mdl Land Intercept]]+Inventory[[#This Row],[Mdl LnAcres]])*Inventory[[#This Row],[Det/Nbhd Adj]],-2)</f>
        <v>38400</v>
      </c>
      <c r="BR755" s="25">
        <f>Inventory[[#This Row],[Adjusted Impr Total]]+Inventory[[#This Row],[Adjusted Land Total]]</f>
        <v>335800</v>
      </c>
      <c r="BS755" s="36">
        <f>IFERROR((Inventory[[#This Row],[Adjusted Impr Total]]-Inventory[[#This Row],[24Bldg]])/Inventory[[#This Row],[24Bldg]],0)</f>
        <v>0.21785421785421785</v>
      </c>
      <c r="BT755" s="36">
        <f>(Inventory[[#This Row],[Adjusted Land Total]]-Inventory[[#This Row],[24Lnd]])/Inventory[[#This Row],[24Lnd]]</f>
        <v>-0.36106489184692181</v>
      </c>
      <c r="BU755" s="36">
        <f>(Inventory[[#This Row],[Adjusted Total]]-Inventory[[#This Row],[24Final]])/Inventory[[#This Row],[24Final]]</f>
        <v>0.1035162668419323</v>
      </c>
    </row>
    <row r="756" spans="1:73" x14ac:dyDescent="0.3">
      <c r="A756" s="25">
        <v>2025</v>
      </c>
      <c r="B756" s="26" t="s">
        <v>2541</v>
      </c>
      <c r="C756" s="26">
        <f>LN(Inventory[[#This Row],[Acres]])</f>
        <v>-1.8325814637483102</v>
      </c>
      <c r="D756" s="25">
        <v>0.16</v>
      </c>
      <c r="E756" s="31"/>
      <c r="F756" s="26" t="s">
        <v>537</v>
      </c>
      <c r="G756" s="26" t="s">
        <v>126</v>
      </c>
      <c r="H756" s="26" t="s">
        <v>349</v>
      </c>
      <c r="I756" s="26" t="s">
        <v>538</v>
      </c>
      <c r="J756" s="26" t="s">
        <v>539</v>
      </c>
      <c r="K756" s="26" t="s">
        <v>242</v>
      </c>
      <c r="L756" s="26" t="s">
        <v>351</v>
      </c>
      <c r="M756" s="26" t="s">
        <v>323</v>
      </c>
      <c r="N756" s="26">
        <v>80</v>
      </c>
      <c r="O756" s="26">
        <f>2024-Inventory[[#This Row],[YrBlt]]</f>
        <v>74</v>
      </c>
      <c r="P756" s="26">
        <f>2024-Inventory[[#This Row],[EffYr]]</f>
        <v>51</v>
      </c>
      <c r="Q756" s="25">
        <v>1950</v>
      </c>
      <c r="R756" s="25">
        <v>1973</v>
      </c>
      <c r="S756" s="25">
        <v>979</v>
      </c>
      <c r="T756" s="27"/>
      <c r="U756" s="25">
        <v>979</v>
      </c>
      <c r="V756" s="25">
        <f>Inventory[[#This Row],[Bsmt]]-Inventory[[#This Row],[FnBsmt]]</f>
        <v>489</v>
      </c>
      <c r="W756" s="25">
        <v>490</v>
      </c>
      <c r="X756" s="27"/>
      <c r="Y756" s="27">
        <f>Inventory[[#This Row],[MainFn]]+Inventory[[#This Row],[UpprFn]]+Inventory[[#This Row],[FnBsmt]]+Inventory[[#This Row],[AddFn]]</f>
        <v>1469</v>
      </c>
      <c r="Z756" s="27">
        <v>1500</v>
      </c>
      <c r="AA756" s="25">
        <v>7</v>
      </c>
      <c r="AB756" s="31"/>
      <c r="AC756" s="27"/>
      <c r="AD756" s="32">
        <v>388</v>
      </c>
      <c r="AE756" s="27"/>
      <c r="AF756" s="27"/>
      <c r="AG756" s="27"/>
      <c r="AH756" s="27"/>
      <c r="AI756" s="25">
        <v>240098</v>
      </c>
      <c r="AJ756" s="25">
        <v>165668</v>
      </c>
      <c r="AK756" s="25">
        <v>0</v>
      </c>
      <c r="AL756" s="25">
        <v>288300</v>
      </c>
      <c r="AM756" s="25">
        <v>50600</v>
      </c>
      <c r="AN756" s="25">
        <v>237700</v>
      </c>
      <c r="AO756" s="25">
        <v>0</v>
      </c>
      <c r="AP756" s="25">
        <f>Lookups!$B$56*0</f>
        <v>0</v>
      </c>
      <c r="AQ756" s="25">
        <f>Lookups!$B$56*1</f>
        <v>89850.625589999996</v>
      </c>
      <c r="AR756" s="25">
        <f>Lookups!$B$57*Inventory[[#This Row],[LnAcres]]</f>
        <v>-58009.662049032086</v>
      </c>
      <c r="AS756" s="25">
        <f>VLOOKUP(Inventory[[#This Row],[Qlty]],Lookups!$A$62:$E$75,2,FALSE)</f>
        <v>21557.329055999999</v>
      </c>
      <c r="AT756" s="25">
        <f>VLOOKUP(Inventory[[#This Row],[Cnd]],Lookups!$A$76:$E$84,2,FALSE)</f>
        <v>160472.20319</v>
      </c>
      <c r="AU756" s="25">
        <f>Inventory[[#This Row],[EffAge]]*Lookups!$B$85</f>
        <v>-11375.3256255</v>
      </c>
      <c r="AV756" s="25">
        <f>Inventory[[#This Row],[MainFn]]*Lookups!$B$86</f>
        <v>48371.087809582998</v>
      </c>
      <c r="AW756" s="25">
        <f>Inventory[[#This Row],[UpprFn]]*Lookups!$B$87</f>
        <v>0</v>
      </c>
      <c r="AX756" s="25">
        <f>Inventory[[#This Row],[AddFn]]*Lookups!$B$88</f>
        <v>0</v>
      </c>
      <c r="AY756" s="25">
        <f>Inventory[[#This Row],[Bsmt]]*Lookups!$B$89</f>
        <v>28471.175446812998</v>
      </c>
      <c r="AZ756" s="25">
        <f>Inventory[[#This Row],[Fixtures]]*Lookups!$B$90</f>
        <v>26544.1547364</v>
      </c>
      <c r="BA756" s="25">
        <f>Inventory[[#This Row],[WdDeck]]*Lookups!$B$91</f>
        <v>12918.659927088001</v>
      </c>
      <c r="BB756" s="25">
        <f>ROUND(Inventory[[#This Row],[25Det]],-2)</f>
        <v>0</v>
      </c>
      <c r="BC756" s="25">
        <f>ROUND(SUM(Inventory[[#This Row],[Mdl Qlty]:[Mdl WdDeck]])+Inventory[[#This Row],[Mdl Res Intercept]],-2)</f>
        <v>287000</v>
      </c>
      <c r="BD756" s="25">
        <f>ROUND(Inventory[[#This Row],[Mdl Land Intercept]]+Inventory[[#This Row],[Mdl LnAcres]],-2)</f>
        <v>31800</v>
      </c>
      <c r="BE756" s="25">
        <f>Inventory[[#This Row],[Unadj Res Value]]+Inventory[[#This Row],[Unadj Det Value]]+Inventory[[#This Row],[Unadj Land Value]]</f>
        <v>318800</v>
      </c>
      <c r="BF756" s="36">
        <f>(Inventory[[#This Row],[Unadj Total Value]]-Inventory[[#This Row],[24Final]])/Inventory[[#This Row],[24Final]]</f>
        <v>0.1057925771765522</v>
      </c>
      <c r="BG756" s="25">
        <f>VLOOKUP(Inventory[[#This Row],[Nbhd]],Lookups!$Q$2:$T$4,4,FALSE)</f>
        <v>0.99970000000000003</v>
      </c>
      <c r="BH756" s="25">
        <f>VLOOKUP(Inventory[[#This Row],[Qlty]],Lookups!$O$7:$R$21,4,FALSE)</f>
        <v>1.0067999999999999</v>
      </c>
      <c r="BI756" s="25">
        <f>VLOOKUP(Inventory[[#This Row],[Cnd]],Lookups!$T$7:$W$16,4,FALSE)</f>
        <v>0.99729999999999996</v>
      </c>
      <c r="BJ756" s="25">
        <f>VLOOKUP(Inventory[[#This Row],[LivArea Range]],Lookups!$T$25:$W$37,4,FALSE)</f>
        <v>1.0157</v>
      </c>
      <c r="BK756" s="25">
        <f>VLOOKUP(Inventory[[#This Row],[Decade]],Lookups!$O$25:$R$42,4,FALSE)</f>
        <v>0.995</v>
      </c>
      <c r="BL756" s="25">
        <f>Inventory[[#This Row],[Nbhd Adj]]*0.95</f>
        <v>0.94971499999999998</v>
      </c>
      <c r="BM756" s="25">
        <f>Inventory[[#This Row],[Nbhd Adj]]*Inventory[[#This Row],[Quality Adj]]*Inventory[[#This Row],[Condition Adj]]*Inventory[[#This Row],[Living Area Adj]]*Inventory[[#This Row],[Decade Adj]]*0.95</f>
        <v>0.96371996573175212</v>
      </c>
      <c r="BN756" s="25">
        <f>ROUND(SUM(Inventory[[#This Row],[Mdl Qlty]:[Mdl WdDeck]])+Inventory[[#This Row],[Mdl Res Intercept]]*Inventory[[#This Row],[Res Adj ]],-2)</f>
        <v>287000</v>
      </c>
      <c r="BO756" s="25">
        <f>ROUND(Inventory[[#This Row],[25Det]]*Inventory[[#This Row],[Det/Nbhd Adj]],-2)</f>
        <v>0</v>
      </c>
      <c r="BP756" s="25">
        <f>Inventory[[#This Row],[Adjusted Res]]+Inventory[[#This Row],[Adj Det ]]</f>
        <v>287000</v>
      </c>
      <c r="BQ756" s="25">
        <f>ROUND((Inventory[[#This Row],[Mdl Land Intercept]]+Inventory[[#This Row],[Mdl LnAcres]])*Inventory[[#This Row],[Det/Nbhd Adj]],-2)</f>
        <v>30200</v>
      </c>
      <c r="BR756" s="25">
        <f>Inventory[[#This Row],[Adjusted Impr Total]]+Inventory[[#This Row],[Adjusted Land Total]]</f>
        <v>317200</v>
      </c>
      <c r="BS756" s="36">
        <f>IFERROR((Inventory[[#This Row],[Adjusted Impr Total]]-Inventory[[#This Row],[24Bldg]])/Inventory[[#This Row],[24Bldg]],0)</f>
        <v>0.20740429112326461</v>
      </c>
      <c r="BT756" s="36">
        <f>(Inventory[[#This Row],[Adjusted Land Total]]-Inventory[[#This Row],[24Lnd]])/Inventory[[#This Row],[24Lnd]]</f>
        <v>-0.40316205533596838</v>
      </c>
      <c r="BU756" s="36">
        <f>(Inventory[[#This Row],[Adjusted Total]]-Inventory[[#This Row],[24Final]])/Inventory[[#This Row],[24Final]]</f>
        <v>0.10024280263614291</v>
      </c>
    </row>
    <row r="757" spans="1:73" x14ac:dyDescent="0.3">
      <c r="A757" s="25">
        <v>2025</v>
      </c>
      <c r="B757" s="26" t="s">
        <v>734</v>
      </c>
      <c r="C757" s="26">
        <f>LN(Inventory[[#This Row],[Acres]])</f>
        <v>-1.7147984280919266</v>
      </c>
      <c r="D757" s="25">
        <v>0.18</v>
      </c>
      <c r="E757" s="25">
        <v>7968</v>
      </c>
      <c r="F757" s="26" t="s">
        <v>537</v>
      </c>
      <c r="G757" s="26" t="s">
        <v>126</v>
      </c>
      <c r="H757" s="26" t="s">
        <v>349</v>
      </c>
      <c r="I757" s="26" t="s">
        <v>538</v>
      </c>
      <c r="J757" s="26" t="s">
        <v>539</v>
      </c>
      <c r="K757" s="26" t="s">
        <v>242</v>
      </c>
      <c r="L757" s="26" t="s">
        <v>351</v>
      </c>
      <c r="M757" s="26" t="s">
        <v>303</v>
      </c>
      <c r="N757" s="26">
        <v>80</v>
      </c>
      <c r="O757" s="26">
        <f>2024-Inventory[[#This Row],[YrBlt]]</f>
        <v>74</v>
      </c>
      <c r="P757" s="26">
        <f>2024-Inventory[[#This Row],[EffYr]]</f>
        <v>51</v>
      </c>
      <c r="Q757" s="25">
        <v>1950</v>
      </c>
      <c r="R757" s="25">
        <v>1973</v>
      </c>
      <c r="S757" s="25">
        <v>1016</v>
      </c>
      <c r="T757" s="27"/>
      <c r="U757" s="31"/>
      <c r="V757" s="31">
        <f>Inventory[[#This Row],[Bsmt]]-Inventory[[#This Row],[FnBsmt]]</f>
        <v>0</v>
      </c>
      <c r="W757" s="31"/>
      <c r="X757" s="27"/>
      <c r="Y757" s="27">
        <f>Inventory[[#This Row],[MainFn]]+Inventory[[#This Row],[UpprFn]]+Inventory[[#This Row],[FnBsmt]]+Inventory[[#This Row],[AddFn]]</f>
        <v>1016</v>
      </c>
      <c r="Z757" s="27">
        <v>1500</v>
      </c>
      <c r="AA757" s="25">
        <v>5</v>
      </c>
      <c r="AB757" s="25">
        <v>200</v>
      </c>
      <c r="AC757" s="27"/>
      <c r="AD757" s="31"/>
      <c r="AE757" s="27"/>
      <c r="AF757" s="27"/>
      <c r="AG757" s="27"/>
      <c r="AH757" s="27"/>
      <c r="AI757" s="25">
        <v>180794</v>
      </c>
      <c r="AJ757" s="25">
        <v>128364</v>
      </c>
      <c r="AK757" s="25">
        <v>0</v>
      </c>
      <c r="AL757" s="25">
        <v>283100</v>
      </c>
      <c r="AM757" s="25">
        <v>54700</v>
      </c>
      <c r="AN757" s="25">
        <v>228400</v>
      </c>
      <c r="AO757" s="25">
        <v>0</v>
      </c>
      <c r="AP757" s="25">
        <f>Lookups!$B$56*0</f>
        <v>0</v>
      </c>
      <c r="AQ757" s="25">
        <f>Lookups!$B$56*1</f>
        <v>89850.625589999996</v>
      </c>
      <c r="AR757" s="25">
        <f>Lookups!$B$57*Inventory[[#This Row],[LnAcres]]</f>
        <v>-54281.285314520763</v>
      </c>
      <c r="AS757" s="25">
        <f>VLOOKUP(Inventory[[#This Row],[Qlty]],Lookups!$A$62:$E$75,2,FALSE)</f>
        <v>21557.329055999999</v>
      </c>
      <c r="AT757" s="25">
        <f>VLOOKUP(Inventory[[#This Row],[Cnd]],Lookups!$A$76:$E$84,2,FALSE)</f>
        <v>197752.34721000001</v>
      </c>
      <c r="AU757" s="25">
        <f>Inventory[[#This Row],[EffAge]]*Lookups!$B$85</f>
        <v>-11375.3256255</v>
      </c>
      <c r="AV757" s="25">
        <f>Inventory[[#This Row],[MainFn]]*Lookups!$B$86</f>
        <v>50199.208595032003</v>
      </c>
      <c r="AW757" s="25">
        <f>Inventory[[#This Row],[UpprFn]]*Lookups!$B$87</f>
        <v>0</v>
      </c>
      <c r="AX757" s="25">
        <f>Inventory[[#This Row],[AddFn]]*Lookups!$B$88</f>
        <v>0</v>
      </c>
      <c r="AY757" s="25">
        <f>Inventory[[#This Row],[Bsmt]]*Lookups!$B$89</f>
        <v>0</v>
      </c>
      <c r="AZ757" s="25">
        <f>Inventory[[#This Row],[Fixtures]]*Lookups!$B$90</f>
        <v>18960.110526</v>
      </c>
      <c r="BA757" s="25">
        <f>Inventory[[#This Row],[WdDeck]]*Lookups!$B$91</f>
        <v>0</v>
      </c>
      <c r="BB757" s="25">
        <f>ROUND(Inventory[[#This Row],[25Det]],-2)</f>
        <v>0</v>
      </c>
      <c r="BC757" s="25">
        <f>ROUND(SUM(Inventory[[#This Row],[Mdl Qlty]:[Mdl WdDeck]])+Inventory[[#This Row],[Mdl Res Intercept]],-2)</f>
        <v>277100</v>
      </c>
      <c r="BD757" s="25">
        <f>ROUND(Inventory[[#This Row],[Mdl Land Intercept]]+Inventory[[#This Row],[Mdl LnAcres]],-2)</f>
        <v>35600</v>
      </c>
      <c r="BE757" s="25">
        <f>Inventory[[#This Row],[Unadj Res Value]]+Inventory[[#This Row],[Unadj Det Value]]+Inventory[[#This Row],[Unadj Land Value]]</f>
        <v>312700</v>
      </c>
      <c r="BF757" s="36">
        <f>(Inventory[[#This Row],[Unadj Total Value]]-Inventory[[#This Row],[24Final]])/Inventory[[#This Row],[24Final]]</f>
        <v>0.10455669374779231</v>
      </c>
      <c r="BG757" s="25">
        <f>VLOOKUP(Inventory[[#This Row],[Nbhd]],Lookups!$Q$2:$T$4,4,FALSE)</f>
        <v>0.99970000000000003</v>
      </c>
      <c r="BH757" s="25">
        <f>VLOOKUP(Inventory[[#This Row],[Qlty]],Lookups!$O$7:$R$21,4,FALSE)</f>
        <v>1.0067999999999999</v>
      </c>
      <c r="BI757" s="25">
        <f>VLOOKUP(Inventory[[#This Row],[Cnd]],Lookups!$T$7:$W$16,4,FALSE)</f>
        <v>0.99650000000000005</v>
      </c>
      <c r="BJ757" s="25">
        <f>VLOOKUP(Inventory[[#This Row],[LivArea Range]],Lookups!$T$25:$W$37,4,FALSE)</f>
        <v>1.0157</v>
      </c>
      <c r="BK757" s="25">
        <f>VLOOKUP(Inventory[[#This Row],[Decade]],Lookups!$O$25:$R$42,4,FALSE)</f>
        <v>0.995</v>
      </c>
      <c r="BL757" s="25">
        <f>Inventory[[#This Row],[Nbhd Adj]]*0.95</f>
        <v>0.94971499999999998</v>
      </c>
      <c r="BM757" s="25">
        <f>Inventory[[#This Row],[Nbhd Adj]]*Inventory[[#This Row],[Quality Adj]]*Inventory[[#This Row],[Condition Adj]]*Inventory[[#This Row],[Living Area Adj]]*Inventory[[#This Row],[Decade Adj]]*0.95</f>
        <v>0.96294690248840986</v>
      </c>
      <c r="BN757" s="25">
        <f>ROUND(SUM(Inventory[[#This Row],[Mdl Qlty]:[Mdl WdDeck]])+Inventory[[#This Row],[Mdl Res Intercept]]*Inventory[[#This Row],[Res Adj ]],-2)</f>
        <v>277100</v>
      </c>
      <c r="BO757" s="25">
        <f>ROUND(Inventory[[#This Row],[25Det]]*Inventory[[#This Row],[Det/Nbhd Adj]],-2)</f>
        <v>0</v>
      </c>
      <c r="BP757" s="25">
        <f>Inventory[[#This Row],[Adjusted Res]]+Inventory[[#This Row],[Adj Det ]]</f>
        <v>277100</v>
      </c>
      <c r="BQ757" s="25">
        <f>ROUND((Inventory[[#This Row],[Mdl Land Intercept]]+Inventory[[#This Row],[Mdl LnAcres]])*Inventory[[#This Row],[Det/Nbhd Adj]],-2)</f>
        <v>33800</v>
      </c>
      <c r="BR757" s="25">
        <f>Inventory[[#This Row],[Adjusted Impr Total]]+Inventory[[#This Row],[Adjusted Land Total]]</f>
        <v>310900</v>
      </c>
      <c r="BS757" s="36">
        <f>IFERROR((Inventory[[#This Row],[Adjusted Impr Total]]-Inventory[[#This Row],[24Bldg]])/Inventory[[#This Row],[24Bldg]],0)</f>
        <v>0.21322241681260945</v>
      </c>
      <c r="BT757" s="36">
        <f>(Inventory[[#This Row],[Adjusted Land Total]]-Inventory[[#This Row],[24Lnd]])/Inventory[[#This Row],[24Lnd]]</f>
        <v>-0.38208409506398539</v>
      </c>
      <c r="BU757" s="36">
        <f>(Inventory[[#This Row],[Adjusted Total]]-Inventory[[#This Row],[24Final]])/Inventory[[#This Row],[24Final]]</f>
        <v>9.8198516425291413E-2</v>
      </c>
    </row>
    <row r="758" spans="1:73" x14ac:dyDescent="0.3">
      <c r="A758" s="25">
        <v>2025</v>
      </c>
      <c r="B758" s="26" t="s">
        <v>2409</v>
      </c>
      <c r="C758" s="26">
        <f>LN(Inventory[[#This Row],[Acres]])</f>
        <v>-1.5606477482646683</v>
      </c>
      <c r="D758" s="25">
        <v>0.21</v>
      </c>
      <c r="E758" s="31"/>
      <c r="F758" s="26" t="s">
        <v>537</v>
      </c>
      <c r="G758" s="26" t="s">
        <v>126</v>
      </c>
      <c r="H758" s="26" t="s">
        <v>349</v>
      </c>
      <c r="I758" s="26" t="s">
        <v>538</v>
      </c>
      <c r="J758" s="26" t="s">
        <v>539</v>
      </c>
      <c r="K758" s="26" t="s">
        <v>241</v>
      </c>
      <c r="L758" s="26" t="s">
        <v>148</v>
      </c>
      <c r="M758" s="26" t="s">
        <v>303</v>
      </c>
      <c r="N758" s="26">
        <v>80</v>
      </c>
      <c r="O758" s="26">
        <f>2024-Inventory[[#This Row],[YrBlt]]</f>
        <v>74</v>
      </c>
      <c r="P758" s="26">
        <f>2024-Inventory[[#This Row],[EffYr]]</f>
        <v>51</v>
      </c>
      <c r="Q758" s="25">
        <v>1950</v>
      </c>
      <c r="R758" s="25">
        <v>1973</v>
      </c>
      <c r="S758" s="25">
        <v>2140</v>
      </c>
      <c r="T758" s="27"/>
      <c r="U758" s="27"/>
      <c r="V758" s="27">
        <f>Inventory[[#This Row],[Bsmt]]-Inventory[[#This Row],[FnBsmt]]</f>
        <v>0</v>
      </c>
      <c r="W758" s="27"/>
      <c r="X758" s="27"/>
      <c r="Y758" s="27">
        <f>Inventory[[#This Row],[MainFn]]+Inventory[[#This Row],[UpprFn]]+Inventory[[#This Row],[FnBsmt]]+Inventory[[#This Row],[AddFn]]</f>
        <v>2140</v>
      </c>
      <c r="Z758" s="27">
        <v>2500</v>
      </c>
      <c r="AA758" s="25">
        <v>8</v>
      </c>
      <c r="AB758" s="27"/>
      <c r="AC758" s="27"/>
      <c r="AD758" s="32">
        <v>261</v>
      </c>
      <c r="AE758" s="27"/>
      <c r="AF758" s="27"/>
      <c r="AG758" s="27"/>
      <c r="AH758" s="27"/>
      <c r="AI758" s="25">
        <v>456948</v>
      </c>
      <c r="AJ758" s="25">
        <v>324433</v>
      </c>
      <c r="AK758" s="25">
        <v>35992</v>
      </c>
      <c r="AL758" s="25">
        <v>408600</v>
      </c>
      <c r="AM758" s="25">
        <v>60100</v>
      </c>
      <c r="AN758" s="25">
        <v>348500</v>
      </c>
      <c r="AO758" s="25">
        <v>0</v>
      </c>
      <c r="AP758" s="25">
        <f>Lookups!$B$56*0</f>
        <v>0</v>
      </c>
      <c r="AQ758" s="25">
        <f>Lookups!$B$56*1</f>
        <v>89850.625589999996</v>
      </c>
      <c r="AR758" s="25">
        <f>Lookups!$B$57*Inventory[[#This Row],[LnAcres]]</f>
        <v>-49401.70477837498</v>
      </c>
      <c r="AS758" s="25">
        <f>VLOOKUP(Inventory[[#This Row],[Qlty]],Lookups!$A$62:$E$75,2,FALSE)</f>
        <v>44121.038090000002</v>
      </c>
      <c r="AT758" s="25">
        <f>VLOOKUP(Inventory[[#This Row],[Cnd]],Lookups!$A$76:$E$84,2,FALSE)</f>
        <v>197752.34721000001</v>
      </c>
      <c r="AU758" s="25">
        <f>Inventory[[#This Row],[EffAge]]*Lookups!$B$85</f>
        <v>-11375.3256255</v>
      </c>
      <c r="AV758" s="25">
        <f>Inventory[[#This Row],[MainFn]]*Lookups!$B$86</f>
        <v>105734.55353678</v>
      </c>
      <c r="AW758" s="25">
        <f>Inventory[[#This Row],[UpprFn]]*Lookups!$B$87</f>
        <v>0</v>
      </c>
      <c r="AX758" s="25">
        <f>Inventory[[#This Row],[AddFn]]*Lookups!$B$88</f>
        <v>0</v>
      </c>
      <c r="AY758" s="25">
        <f>Inventory[[#This Row],[Bsmt]]*Lookups!$B$89</f>
        <v>0</v>
      </c>
      <c r="AZ758" s="25">
        <f>Inventory[[#This Row],[Fixtures]]*Lookups!$B$90</f>
        <v>30336.176841600001</v>
      </c>
      <c r="BA758" s="25">
        <f>Inventory[[#This Row],[WdDeck]]*Lookups!$B$91</f>
        <v>8690.1294870360016</v>
      </c>
      <c r="BB758" s="25">
        <f>ROUND(Inventory[[#This Row],[25Det]],-2)</f>
        <v>36000</v>
      </c>
      <c r="BC758" s="25">
        <f>ROUND(SUM(Inventory[[#This Row],[Mdl Qlty]:[Mdl WdDeck]])+Inventory[[#This Row],[Mdl Res Intercept]],-2)</f>
        <v>375300</v>
      </c>
      <c r="BD758" s="25">
        <f>ROUND(Inventory[[#This Row],[Mdl Land Intercept]]+Inventory[[#This Row],[Mdl LnAcres]],-2)</f>
        <v>40400</v>
      </c>
      <c r="BE758" s="25">
        <f>Inventory[[#This Row],[Unadj Res Value]]+Inventory[[#This Row],[Unadj Det Value]]+Inventory[[#This Row],[Unadj Land Value]]</f>
        <v>451700</v>
      </c>
      <c r="BF758" s="36">
        <f>(Inventory[[#This Row],[Unadj Total Value]]-Inventory[[#This Row],[24Final]])/Inventory[[#This Row],[24Final]]</f>
        <v>0.10548213411649535</v>
      </c>
      <c r="BG758" s="25">
        <f>VLOOKUP(Inventory[[#This Row],[Nbhd]],Lookups!$Q$2:$T$4,4,FALSE)</f>
        <v>0.99970000000000003</v>
      </c>
      <c r="BH758" s="25">
        <f>VLOOKUP(Inventory[[#This Row],[Qlty]],Lookups!$O$7:$R$21,4,FALSE)</f>
        <v>0.98050000000000004</v>
      </c>
      <c r="BI758" s="25">
        <f>VLOOKUP(Inventory[[#This Row],[Cnd]],Lookups!$T$7:$W$16,4,FALSE)</f>
        <v>0.99650000000000005</v>
      </c>
      <c r="BJ758" s="25">
        <f>VLOOKUP(Inventory[[#This Row],[LivArea Range]],Lookups!$T$25:$W$37,4,FALSE)</f>
        <v>0.98919999999999997</v>
      </c>
      <c r="BK758" s="25">
        <f>VLOOKUP(Inventory[[#This Row],[Decade]],Lookups!$O$25:$R$42,4,FALSE)</f>
        <v>0.995</v>
      </c>
      <c r="BL758" s="25">
        <f>Inventory[[#This Row],[Nbhd Adj]]*0.95</f>
        <v>0.94971499999999998</v>
      </c>
      <c r="BM758" s="25">
        <f>Inventory[[#This Row],[Nbhd Adj]]*Inventory[[#This Row],[Quality Adj]]*Inventory[[#This Row],[Condition Adj]]*Inventory[[#This Row],[Living Area Adj]]*Inventory[[#This Row],[Decade Adj]]*0.95</f>
        <v>0.91332508691872449</v>
      </c>
      <c r="BN758" s="25">
        <f>ROUND(SUM(Inventory[[#This Row],[Mdl Qlty]:[Mdl WdDeck]])+Inventory[[#This Row],[Mdl Res Intercept]]*Inventory[[#This Row],[Res Adj ]],-2)</f>
        <v>375300</v>
      </c>
      <c r="BO758" s="25">
        <f>ROUND(Inventory[[#This Row],[25Det]]*Inventory[[#This Row],[Det/Nbhd Adj]],-2)</f>
        <v>34200</v>
      </c>
      <c r="BP758" s="25">
        <f>Inventory[[#This Row],[Adjusted Res]]+Inventory[[#This Row],[Adj Det ]]</f>
        <v>409500</v>
      </c>
      <c r="BQ758" s="25">
        <f>ROUND((Inventory[[#This Row],[Mdl Land Intercept]]+Inventory[[#This Row],[Mdl LnAcres]])*Inventory[[#This Row],[Det/Nbhd Adj]],-2)</f>
        <v>38400</v>
      </c>
      <c r="BR758" s="25">
        <f>Inventory[[#This Row],[Adjusted Impr Total]]+Inventory[[#This Row],[Adjusted Land Total]]</f>
        <v>447900</v>
      </c>
      <c r="BS758" s="36">
        <f>IFERROR((Inventory[[#This Row],[Adjusted Impr Total]]-Inventory[[#This Row],[24Bldg]])/Inventory[[#This Row],[24Bldg]],0)</f>
        <v>0.17503586800573889</v>
      </c>
      <c r="BT758" s="36">
        <f>(Inventory[[#This Row],[Adjusted Land Total]]-Inventory[[#This Row],[24Lnd]])/Inventory[[#This Row],[24Lnd]]</f>
        <v>-0.36106489184692181</v>
      </c>
      <c r="BU758" s="36">
        <f>(Inventory[[#This Row],[Adjusted Total]]-Inventory[[#This Row],[24Final]])/Inventory[[#This Row],[24Final]]</f>
        <v>9.6182085168869308E-2</v>
      </c>
    </row>
    <row r="759" spans="1:73" x14ac:dyDescent="0.3">
      <c r="A759" s="25">
        <v>2025</v>
      </c>
      <c r="B759" s="26" t="s">
        <v>1832</v>
      </c>
      <c r="C759" s="26">
        <f>LN(Inventory[[#This Row],[Acres]])</f>
        <v>-1.8325814637483102</v>
      </c>
      <c r="D759" s="25">
        <v>0.16</v>
      </c>
      <c r="E759" s="25">
        <v>7000</v>
      </c>
      <c r="F759" s="26" t="s">
        <v>537</v>
      </c>
      <c r="G759" s="26" t="s">
        <v>126</v>
      </c>
      <c r="H759" s="26" t="s">
        <v>349</v>
      </c>
      <c r="I759" s="26" t="s">
        <v>538</v>
      </c>
      <c r="J759" s="26" t="s">
        <v>539</v>
      </c>
      <c r="K759" s="26" t="s">
        <v>242</v>
      </c>
      <c r="L759" s="26" t="s">
        <v>351</v>
      </c>
      <c r="M759" s="26" t="s">
        <v>206</v>
      </c>
      <c r="N759" s="26">
        <v>80</v>
      </c>
      <c r="O759" s="26">
        <f>2024-Inventory[[#This Row],[YrBlt]]</f>
        <v>74</v>
      </c>
      <c r="P759" s="26">
        <f>2024-Inventory[[#This Row],[EffYr]]</f>
        <v>51</v>
      </c>
      <c r="Q759" s="25">
        <v>1950</v>
      </c>
      <c r="R759" s="25">
        <v>1973</v>
      </c>
      <c r="S759" s="25">
        <v>864</v>
      </c>
      <c r="T759" s="27"/>
      <c r="U759" s="25">
        <v>336</v>
      </c>
      <c r="V759" s="25">
        <f>Inventory[[#This Row],[Bsmt]]-Inventory[[#This Row],[FnBsmt]]</f>
        <v>336</v>
      </c>
      <c r="W759" s="31"/>
      <c r="X759" s="27"/>
      <c r="Y759" s="27">
        <f>Inventory[[#This Row],[MainFn]]+Inventory[[#This Row],[UpprFn]]+Inventory[[#This Row],[FnBsmt]]+Inventory[[#This Row],[AddFn]]</f>
        <v>864</v>
      </c>
      <c r="Z759" s="27">
        <v>1000</v>
      </c>
      <c r="AA759" s="25">
        <v>5</v>
      </c>
      <c r="AB759" s="25">
        <v>308</v>
      </c>
      <c r="AC759" s="27"/>
      <c r="AD759" s="27"/>
      <c r="AE759" s="27"/>
      <c r="AF759" s="27"/>
      <c r="AG759" s="27"/>
      <c r="AH759" s="27"/>
      <c r="AI759" s="25">
        <v>187210</v>
      </c>
      <c r="AJ759" s="25">
        <v>125431</v>
      </c>
      <c r="AK759" s="25">
        <v>0</v>
      </c>
      <c r="AL759" s="25">
        <v>224200</v>
      </c>
      <c r="AM759" s="25">
        <v>50600</v>
      </c>
      <c r="AN759" s="25">
        <v>173600</v>
      </c>
      <c r="AO759" s="25">
        <v>0</v>
      </c>
      <c r="AP759" s="25">
        <f>Lookups!$B$56*0</f>
        <v>0</v>
      </c>
      <c r="AQ759" s="25">
        <f>Lookups!$B$56*1</f>
        <v>89850.625589999996</v>
      </c>
      <c r="AR759" s="25">
        <f>Lookups!$B$57*Inventory[[#This Row],[LnAcres]]</f>
        <v>-58009.662049032086</v>
      </c>
      <c r="AS759" s="25">
        <f>VLOOKUP(Inventory[[#This Row],[Qlty]],Lookups!$A$62:$E$75,2,FALSE)</f>
        <v>21557.329055999999</v>
      </c>
      <c r="AT759" s="25">
        <f>VLOOKUP(Inventory[[#This Row],[Cnd]],Lookups!$A$76:$E$84,2,FALSE)</f>
        <v>133714.53821</v>
      </c>
      <c r="AU759" s="25">
        <f>Inventory[[#This Row],[EffAge]]*Lookups!$B$85</f>
        <v>-11375.3256255</v>
      </c>
      <c r="AV759" s="25">
        <f>Inventory[[#This Row],[MainFn]]*Lookups!$B$86</f>
        <v>42689.090773727999</v>
      </c>
      <c r="AW759" s="25">
        <f>Inventory[[#This Row],[UpprFn]]*Lookups!$B$87</f>
        <v>0</v>
      </c>
      <c r="AX759" s="25">
        <f>Inventory[[#This Row],[AddFn]]*Lookups!$B$88</f>
        <v>0</v>
      </c>
      <c r="AY759" s="25">
        <f>Inventory[[#This Row],[Bsmt]]*Lookups!$B$89</f>
        <v>9771.5168029919987</v>
      </c>
      <c r="AZ759" s="25">
        <f>Inventory[[#This Row],[Fixtures]]*Lookups!$B$90</f>
        <v>18960.110526</v>
      </c>
      <c r="BA759" s="25">
        <f>Inventory[[#This Row],[WdDeck]]*Lookups!$B$91</f>
        <v>0</v>
      </c>
      <c r="BB759" s="25">
        <f>ROUND(Inventory[[#This Row],[25Det]],-2)</f>
        <v>0</v>
      </c>
      <c r="BC759" s="25">
        <f>ROUND(SUM(Inventory[[#This Row],[Mdl Qlty]:[Mdl WdDeck]])+Inventory[[#This Row],[Mdl Res Intercept]],-2)</f>
        <v>215300</v>
      </c>
      <c r="BD759" s="25">
        <f>ROUND(Inventory[[#This Row],[Mdl Land Intercept]]+Inventory[[#This Row],[Mdl LnAcres]],-2)</f>
        <v>31800</v>
      </c>
      <c r="BE759" s="25">
        <f>Inventory[[#This Row],[Unadj Res Value]]+Inventory[[#This Row],[Unadj Det Value]]+Inventory[[#This Row],[Unadj Land Value]]</f>
        <v>247100</v>
      </c>
      <c r="BF759" s="36">
        <f>(Inventory[[#This Row],[Unadj Total Value]]-Inventory[[#This Row],[24Final]])/Inventory[[#This Row],[24Final]]</f>
        <v>0.10214094558429973</v>
      </c>
      <c r="BG759" s="25">
        <f>VLOOKUP(Inventory[[#This Row],[Nbhd]],Lookups!$Q$2:$T$4,4,FALSE)</f>
        <v>0.99970000000000003</v>
      </c>
      <c r="BH759" s="25">
        <f>VLOOKUP(Inventory[[#This Row],[Qlty]],Lookups!$O$7:$R$21,4,FALSE)</f>
        <v>1.0067999999999999</v>
      </c>
      <c r="BI759" s="25">
        <f>VLOOKUP(Inventory[[#This Row],[Cnd]],Lookups!$T$7:$W$16,4,FALSE)</f>
        <v>0.99329999999999996</v>
      </c>
      <c r="BJ759" s="25">
        <f>VLOOKUP(Inventory[[#This Row],[LivArea Range]],Lookups!$T$25:$W$37,4,FALSE)</f>
        <v>1.0148999999999999</v>
      </c>
      <c r="BK759" s="25">
        <f>VLOOKUP(Inventory[[#This Row],[Decade]],Lookups!$O$25:$R$42,4,FALSE)</f>
        <v>0.995</v>
      </c>
      <c r="BL759" s="25">
        <f>Inventory[[#This Row],[Nbhd Adj]]*0.95</f>
        <v>0.94971499999999998</v>
      </c>
      <c r="BM759" s="25">
        <f>Inventory[[#This Row],[Nbhd Adj]]*Inventory[[#This Row],[Quality Adj]]*Inventory[[#This Row],[Condition Adj]]*Inventory[[#This Row],[Living Area Adj]]*Inventory[[#This Row],[Decade Adj]]*0.95</f>
        <v>0.95909863521986205</v>
      </c>
      <c r="BN759" s="25">
        <f>ROUND(SUM(Inventory[[#This Row],[Mdl Qlty]:[Mdl WdDeck]])+Inventory[[#This Row],[Mdl Res Intercept]]*Inventory[[#This Row],[Res Adj ]],-2)</f>
        <v>215300</v>
      </c>
      <c r="BO759" s="25">
        <f>ROUND(Inventory[[#This Row],[25Det]]*Inventory[[#This Row],[Det/Nbhd Adj]],-2)</f>
        <v>0</v>
      </c>
      <c r="BP759" s="25">
        <f>Inventory[[#This Row],[Adjusted Res]]+Inventory[[#This Row],[Adj Det ]]</f>
        <v>215300</v>
      </c>
      <c r="BQ759" s="25">
        <f>ROUND((Inventory[[#This Row],[Mdl Land Intercept]]+Inventory[[#This Row],[Mdl LnAcres]])*Inventory[[#This Row],[Det/Nbhd Adj]],-2)</f>
        <v>30200</v>
      </c>
      <c r="BR759" s="25">
        <f>Inventory[[#This Row],[Adjusted Impr Total]]+Inventory[[#This Row],[Adjusted Land Total]]</f>
        <v>245500</v>
      </c>
      <c r="BS759" s="36">
        <f>IFERROR((Inventory[[#This Row],[Adjusted Impr Total]]-Inventory[[#This Row],[24Bldg]])/Inventory[[#This Row],[24Bldg]],0)</f>
        <v>0.2402073732718894</v>
      </c>
      <c r="BT759" s="36">
        <f>(Inventory[[#This Row],[Adjusted Land Total]]-Inventory[[#This Row],[24Lnd]])/Inventory[[#This Row],[24Lnd]]</f>
        <v>-0.40316205533596838</v>
      </c>
      <c r="BU759" s="36">
        <f>(Inventory[[#This Row],[Adjusted Total]]-Inventory[[#This Row],[24Final]])/Inventory[[#This Row],[24Final]]</f>
        <v>9.500446030330062E-2</v>
      </c>
    </row>
    <row r="760" spans="1:73" x14ac:dyDescent="0.3">
      <c r="A760" s="25">
        <v>2025</v>
      </c>
      <c r="B760" s="26" t="s">
        <v>1334</v>
      </c>
      <c r="C760" s="26">
        <f>LN(Inventory[[#This Row],[Acres]])</f>
        <v>-1.6607312068216509</v>
      </c>
      <c r="D760" s="25">
        <v>0.19</v>
      </c>
      <c r="E760" s="25">
        <v>8100</v>
      </c>
      <c r="F760" s="26" t="s">
        <v>537</v>
      </c>
      <c r="G760" s="26" t="s">
        <v>126</v>
      </c>
      <c r="H760" s="26" t="s">
        <v>349</v>
      </c>
      <c r="I760" s="26" t="s">
        <v>538</v>
      </c>
      <c r="J760" s="26" t="s">
        <v>539</v>
      </c>
      <c r="K760" s="26" t="s">
        <v>241</v>
      </c>
      <c r="L760" s="26" t="s">
        <v>302</v>
      </c>
      <c r="M760" s="26" t="s">
        <v>303</v>
      </c>
      <c r="N760" s="26">
        <v>80</v>
      </c>
      <c r="O760" s="26">
        <f>2024-Inventory[[#This Row],[YrBlt]]</f>
        <v>74</v>
      </c>
      <c r="P760" s="26">
        <f>2024-Inventory[[#This Row],[EffYr]]</f>
        <v>51</v>
      </c>
      <c r="Q760" s="25">
        <v>1950</v>
      </c>
      <c r="R760" s="25">
        <v>1973</v>
      </c>
      <c r="S760" s="25">
        <v>1915</v>
      </c>
      <c r="T760" s="27"/>
      <c r="U760" s="27"/>
      <c r="V760" s="27">
        <f>Inventory[[#This Row],[Bsmt]]-Inventory[[#This Row],[FnBsmt]]</f>
        <v>0</v>
      </c>
      <c r="W760" s="27"/>
      <c r="X760" s="27"/>
      <c r="Y760" s="27">
        <f>Inventory[[#This Row],[MainFn]]+Inventory[[#This Row],[UpprFn]]+Inventory[[#This Row],[FnBsmt]]+Inventory[[#This Row],[AddFn]]</f>
        <v>1915</v>
      </c>
      <c r="Z760" s="27">
        <v>2000</v>
      </c>
      <c r="AA760" s="25">
        <v>10</v>
      </c>
      <c r="AB760" s="32">
        <v>264</v>
      </c>
      <c r="AC760" s="27"/>
      <c r="AD760" s="32">
        <v>287</v>
      </c>
      <c r="AE760" s="27"/>
      <c r="AF760" s="27"/>
      <c r="AG760" s="27"/>
      <c r="AH760" s="27"/>
      <c r="AI760" s="25">
        <v>368822</v>
      </c>
      <c r="AJ760" s="25">
        <v>261864</v>
      </c>
      <c r="AK760" s="25">
        <v>0</v>
      </c>
      <c r="AL760" s="25">
        <v>359800</v>
      </c>
      <c r="AM760" s="25">
        <v>56600</v>
      </c>
      <c r="AN760" s="25">
        <v>303200</v>
      </c>
      <c r="AO760" s="25">
        <v>0</v>
      </c>
      <c r="AP760" s="25">
        <f>Lookups!$B$56*0</f>
        <v>0</v>
      </c>
      <c r="AQ760" s="25">
        <f>Lookups!$B$56*1</f>
        <v>89850.625589999996</v>
      </c>
      <c r="AR760" s="25">
        <f>Lookups!$B$57*Inventory[[#This Row],[LnAcres]]</f>
        <v>-52569.808201026557</v>
      </c>
      <c r="AS760" s="25">
        <f>VLOOKUP(Inventory[[#This Row],[Qlty]],Lookups!$A$62:$E$75,2,FALSE)</f>
        <v>29814.093161000001</v>
      </c>
      <c r="AT760" s="25">
        <f>VLOOKUP(Inventory[[#This Row],[Cnd]],Lookups!$A$76:$E$84,2,FALSE)</f>
        <v>197752.34721000001</v>
      </c>
      <c r="AU760" s="25">
        <f>Inventory[[#This Row],[EffAge]]*Lookups!$B$85</f>
        <v>-11375.3256255</v>
      </c>
      <c r="AV760" s="25">
        <f>Inventory[[#This Row],[MainFn]]*Lookups!$B$86</f>
        <v>94617.602814455007</v>
      </c>
      <c r="AW760" s="25">
        <f>Inventory[[#This Row],[UpprFn]]*Lookups!$B$87</f>
        <v>0</v>
      </c>
      <c r="AX760" s="25">
        <f>Inventory[[#This Row],[AddFn]]*Lookups!$B$88</f>
        <v>0</v>
      </c>
      <c r="AY760" s="25">
        <f>Inventory[[#This Row],[Bsmt]]*Lookups!$B$89</f>
        <v>0</v>
      </c>
      <c r="AZ760" s="25">
        <f>Inventory[[#This Row],[Fixtures]]*Lookups!$B$90</f>
        <v>37920.221052000001</v>
      </c>
      <c r="BA760" s="25">
        <f>Inventory[[#This Row],[WdDeck]]*Lookups!$B$91</f>
        <v>9555.8128842120004</v>
      </c>
      <c r="BB760" s="25">
        <f>ROUND(Inventory[[#This Row],[25Det]],-2)</f>
        <v>0</v>
      </c>
      <c r="BC760" s="25">
        <f>ROUND(SUM(Inventory[[#This Row],[Mdl Qlty]:[Mdl WdDeck]])+Inventory[[#This Row],[Mdl Res Intercept]],-2)</f>
        <v>358300</v>
      </c>
      <c r="BD760" s="25">
        <f>ROUND(Inventory[[#This Row],[Mdl Land Intercept]]+Inventory[[#This Row],[Mdl LnAcres]],-2)</f>
        <v>37300</v>
      </c>
      <c r="BE760" s="25">
        <f>Inventory[[#This Row],[Unadj Res Value]]+Inventory[[#This Row],[Unadj Det Value]]+Inventory[[#This Row],[Unadj Land Value]]</f>
        <v>395600</v>
      </c>
      <c r="BF760" s="36">
        <f>(Inventory[[#This Row],[Unadj Total Value]]-Inventory[[#This Row],[24Final]])/Inventory[[#This Row],[24Final]]</f>
        <v>9.9499722067815446E-2</v>
      </c>
      <c r="BG760" s="25">
        <f>VLOOKUP(Inventory[[#This Row],[Nbhd]],Lookups!$Q$2:$T$4,4,FALSE)</f>
        <v>0.99970000000000003</v>
      </c>
      <c r="BH760" s="25">
        <f>VLOOKUP(Inventory[[#This Row],[Qlty]],Lookups!$O$7:$R$21,4,FALSE)</f>
        <v>1.0088999999999999</v>
      </c>
      <c r="BI760" s="25">
        <f>VLOOKUP(Inventory[[#This Row],[Cnd]],Lookups!$T$7:$W$16,4,FALSE)</f>
        <v>0.99650000000000005</v>
      </c>
      <c r="BJ760" s="25">
        <f>VLOOKUP(Inventory[[#This Row],[LivArea Range]],Lookups!$T$25:$W$37,4,FALSE)</f>
        <v>1.0093000000000001</v>
      </c>
      <c r="BK760" s="25">
        <f>VLOOKUP(Inventory[[#This Row],[Decade]],Lookups!$O$25:$R$42,4,FALSE)</f>
        <v>0.995</v>
      </c>
      <c r="BL760" s="25">
        <f>Inventory[[#This Row],[Nbhd Adj]]*0.95</f>
        <v>0.94971499999999998</v>
      </c>
      <c r="BM760" s="25">
        <f>Inventory[[#This Row],[Nbhd Adj]]*Inventory[[#This Row],[Quality Adj]]*Inventory[[#This Row],[Condition Adj]]*Inventory[[#This Row],[Living Area Adj]]*Inventory[[#This Row],[Decade Adj]]*0.95</f>
        <v>0.9588751782051762</v>
      </c>
      <c r="BN760" s="25">
        <f>ROUND(SUM(Inventory[[#This Row],[Mdl Qlty]:[Mdl WdDeck]])+Inventory[[#This Row],[Mdl Res Intercept]]*Inventory[[#This Row],[Res Adj ]],-2)</f>
        <v>358300</v>
      </c>
      <c r="BO760" s="25">
        <f>ROUND(Inventory[[#This Row],[25Det]]*Inventory[[#This Row],[Det/Nbhd Adj]],-2)</f>
        <v>0</v>
      </c>
      <c r="BP760" s="25">
        <f>Inventory[[#This Row],[Adjusted Res]]+Inventory[[#This Row],[Adj Det ]]</f>
        <v>358300</v>
      </c>
      <c r="BQ760" s="25">
        <f>ROUND((Inventory[[#This Row],[Mdl Land Intercept]]+Inventory[[#This Row],[Mdl LnAcres]])*Inventory[[#This Row],[Det/Nbhd Adj]],-2)</f>
        <v>35400</v>
      </c>
      <c r="BR760" s="25">
        <f>Inventory[[#This Row],[Adjusted Impr Total]]+Inventory[[#This Row],[Adjusted Land Total]]</f>
        <v>393700</v>
      </c>
      <c r="BS760" s="36">
        <f>IFERROR((Inventory[[#This Row],[Adjusted Impr Total]]-Inventory[[#This Row],[24Bldg]])/Inventory[[#This Row],[24Bldg]],0)</f>
        <v>0.18172823218997361</v>
      </c>
      <c r="BT760" s="36">
        <f>(Inventory[[#This Row],[Adjusted Land Total]]-Inventory[[#This Row],[24Lnd]])/Inventory[[#This Row],[24Lnd]]</f>
        <v>-0.37455830388692579</v>
      </c>
      <c r="BU760" s="36">
        <f>(Inventory[[#This Row],[Adjusted Total]]-Inventory[[#This Row],[24Final]])/Inventory[[#This Row],[24Final]]</f>
        <v>9.4219010561423011E-2</v>
      </c>
    </row>
    <row r="761" spans="1:73" x14ac:dyDescent="0.3">
      <c r="A761" s="25">
        <v>2025</v>
      </c>
      <c r="B761" s="26" t="s">
        <v>1492</v>
      </c>
      <c r="C761" s="26">
        <f>LN(Inventory[[#This Row],[Acres]])</f>
        <v>-1.3862943611198906</v>
      </c>
      <c r="D761" s="25">
        <v>0.25</v>
      </c>
      <c r="E761" s="25">
        <v>10799</v>
      </c>
      <c r="F761" s="26" t="s">
        <v>537</v>
      </c>
      <c r="G761" s="26" t="s">
        <v>126</v>
      </c>
      <c r="H761" s="26" t="s">
        <v>349</v>
      </c>
      <c r="I761" s="26" t="s">
        <v>538</v>
      </c>
      <c r="J761" s="26" t="s">
        <v>539</v>
      </c>
      <c r="K761" s="26" t="s">
        <v>241</v>
      </c>
      <c r="L761" s="26" t="s">
        <v>148</v>
      </c>
      <c r="M761" s="26" t="s">
        <v>303</v>
      </c>
      <c r="N761" s="26">
        <v>80</v>
      </c>
      <c r="O761" s="26">
        <f>2024-Inventory[[#This Row],[YrBlt]]</f>
        <v>74</v>
      </c>
      <c r="P761" s="26">
        <f>2024-Inventory[[#This Row],[EffYr]]</f>
        <v>51</v>
      </c>
      <c r="Q761" s="25">
        <v>1950</v>
      </c>
      <c r="R761" s="25">
        <v>1973</v>
      </c>
      <c r="S761" s="25">
        <v>1931</v>
      </c>
      <c r="T761" s="27"/>
      <c r="U761" s="31"/>
      <c r="V761" s="31">
        <f>Inventory[[#This Row],[Bsmt]]-Inventory[[#This Row],[FnBsmt]]</f>
        <v>0</v>
      </c>
      <c r="W761" s="31"/>
      <c r="X761" s="27"/>
      <c r="Y761" s="27">
        <f>Inventory[[#This Row],[MainFn]]+Inventory[[#This Row],[UpprFn]]+Inventory[[#This Row],[FnBsmt]]+Inventory[[#This Row],[AddFn]]</f>
        <v>1931</v>
      </c>
      <c r="Z761" s="27">
        <v>2000</v>
      </c>
      <c r="AA761" s="25">
        <v>9</v>
      </c>
      <c r="AB761" s="32">
        <v>440</v>
      </c>
      <c r="AC761" s="27"/>
      <c r="AD761" s="32">
        <v>294</v>
      </c>
      <c r="AE761" s="27"/>
      <c r="AF761" s="27"/>
      <c r="AG761" s="27"/>
      <c r="AH761" s="27"/>
      <c r="AI761" s="25">
        <v>486874</v>
      </c>
      <c r="AJ761" s="25">
        <v>345681</v>
      </c>
      <c r="AK761" s="25">
        <v>0</v>
      </c>
      <c r="AL761" s="25">
        <v>378300</v>
      </c>
      <c r="AM761" s="25">
        <v>66200</v>
      </c>
      <c r="AN761" s="25">
        <v>312100</v>
      </c>
      <c r="AO761" s="25">
        <v>0</v>
      </c>
      <c r="AP761" s="25">
        <f>Lookups!$B$56*0</f>
        <v>0</v>
      </c>
      <c r="AQ761" s="25">
        <f>Lookups!$B$56*1</f>
        <v>89850.625589999996</v>
      </c>
      <c r="AR761" s="25">
        <f>Lookups!$B$57*Inventory[[#This Row],[LnAcres]]</f>
        <v>-43882.615305165229</v>
      </c>
      <c r="AS761" s="25">
        <f>VLOOKUP(Inventory[[#This Row],[Qlty]],Lookups!$A$62:$E$75,2,FALSE)</f>
        <v>44121.038090000002</v>
      </c>
      <c r="AT761" s="25">
        <f>VLOOKUP(Inventory[[#This Row],[Cnd]],Lookups!$A$76:$E$84,2,FALSE)</f>
        <v>197752.34721000001</v>
      </c>
      <c r="AU761" s="25">
        <f>Inventory[[#This Row],[EffAge]]*Lookups!$B$85</f>
        <v>-11375.3256255</v>
      </c>
      <c r="AV761" s="25">
        <f>Inventory[[#This Row],[MainFn]]*Lookups!$B$86</f>
        <v>95408.141532487003</v>
      </c>
      <c r="AW761" s="25">
        <f>Inventory[[#This Row],[UpprFn]]*Lookups!$B$87</f>
        <v>0</v>
      </c>
      <c r="AX761" s="25">
        <f>Inventory[[#This Row],[AddFn]]*Lookups!$B$88</f>
        <v>0</v>
      </c>
      <c r="AY761" s="25">
        <f>Inventory[[#This Row],[Bsmt]]*Lookups!$B$89</f>
        <v>0</v>
      </c>
      <c r="AZ761" s="25">
        <f>Inventory[[#This Row],[Fixtures]]*Lookups!$B$90</f>
        <v>34128.198946800003</v>
      </c>
      <c r="BA761" s="25">
        <f>Inventory[[#This Row],[WdDeck]]*Lookups!$B$91</f>
        <v>9788.8814911440004</v>
      </c>
      <c r="BB761" s="25">
        <f>ROUND(Inventory[[#This Row],[25Det]],-2)</f>
        <v>0</v>
      </c>
      <c r="BC761" s="25">
        <f>ROUND(SUM(Inventory[[#This Row],[Mdl Qlty]:[Mdl WdDeck]])+Inventory[[#This Row],[Mdl Res Intercept]],-2)</f>
        <v>369800</v>
      </c>
      <c r="BD761" s="25">
        <f>ROUND(Inventory[[#This Row],[Mdl Land Intercept]]+Inventory[[#This Row],[Mdl LnAcres]],-2)</f>
        <v>46000</v>
      </c>
      <c r="BE761" s="25">
        <f>Inventory[[#This Row],[Unadj Res Value]]+Inventory[[#This Row],[Unadj Det Value]]+Inventory[[#This Row],[Unadj Land Value]]</f>
        <v>415800</v>
      </c>
      <c r="BF761" s="36">
        <f>(Inventory[[#This Row],[Unadj Total Value]]-Inventory[[#This Row],[24Final]])/Inventory[[#This Row],[24Final]]</f>
        <v>9.9127676447264071E-2</v>
      </c>
      <c r="BG761" s="25">
        <f>VLOOKUP(Inventory[[#This Row],[Nbhd]],Lookups!$Q$2:$T$4,4,FALSE)</f>
        <v>0.99970000000000003</v>
      </c>
      <c r="BH761" s="25">
        <f>VLOOKUP(Inventory[[#This Row],[Qlty]],Lookups!$O$7:$R$21,4,FALSE)</f>
        <v>0.98050000000000004</v>
      </c>
      <c r="BI761" s="25">
        <f>VLOOKUP(Inventory[[#This Row],[Cnd]],Lookups!$T$7:$W$16,4,FALSE)</f>
        <v>0.99650000000000005</v>
      </c>
      <c r="BJ761" s="25">
        <f>VLOOKUP(Inventory[[#This Row],[LivArea Range]],Lookups!$T$25:$W$37,4,FALSE)</f>
        <v>1.0093000000000001</v>
      </c>
      <c r="BK761" s="25">
        <f>VLOOKUP(Inventory[[#This Row],[Decade]],Lookups!$O$25:$R$42,4,FALSE)</f>
        <v>0.995</v>
      </c>
      <c r="BL761" s="25">
        <f>Inventory[[#This Row],[Nbhd Adj]]*0.95</f>
        <v>0.94971499999999998</v>
      </c>
      <c r="BM761" s="25">
        <f>Inventory[[#This Row],[Nbhd Adj]]*Inventory[[#This Row],[Quality Adj]]*Inventory[[#This Row],[Condition Adj]]*Inventory[[#This Row],[Living Area Adj]]*Inventory[[#This Row],[Decade Adj]]*0.95</f>
        <v>0.93188335041151293</v>
      </c>
      <c r="BN761" s="25">
        <f>ROUND(SUM(Inventory[[#This Row],[Mdl Qlty]:[Mdl WdDeck]])+Inventory[[#This Row],[Mdl Res Intercept]]*Inventory[[#This Row],[Res Adj ]],-2)</f>
        <v>369800</v>
      </c>
      <c r="BO761" s="25">
        <f>ROUND(Inventory[[#This Row],[25Det]]*Inventory[[#This Row],[Det/Nbhd Adj]],-2)</f>
        <v>0</v>
      </c>
      <c r="BP761" s="25">
        <f>Inventory[[#This Row],[Adjusted Res]]+Inventory[[#This Row],[Adj Det ]]</f>
        <v>369800</v>
      </c>
      <c r="BQ761" s="25">
        <f>ROUND((Inventory[[#This Row],[Mdl Land Intercept]]+Inventory[[#This Row],[Mdl LnAcres]])*Inventory[[#This Row],[Det/Nbhd Adj]],-2)</f>
        <v>43700</v>
      </c>
      <c r="BR761" s="25">
        <f>Inventory[[#This Row],[Adjusted Impr Total]]+Inventory[[#This Row],[Adjusted Land Total]]</f>
        <v>413500</v>
      </c>
      <c r="BS761" s="36">
        <f>IFERROR((Inventory[[#This Row],[Adjusted Impr Total]]-Inventory[[#This Row],[24Bldg]])/Inventory[[#This Row],[24Bldg]],0)</f>
        <v>0.18487664210189042</v>
      </c>
      <c r="BT761" s="36">
        <f>(Inventory[[#This Row],[Adjusted Land Total]]-Inventory[[#This Row],[24Lnd]])/Inventory[[#This Row],[24Lnd]]</f>
        <v>-0.33987915407854985</v>
      </c>
      <c r="BU761" s="36">
        <f>(Inventory[[#This Row],[Adjusted Total]]-Inventory[[#This Row],[24Final]])/Inventory[[#This Row],[24Final]]</f>
        <v>9.3047845625165215E-2</v>
      </c>
    </row>
    <row r="762" spans="1:73" x14ac:dyDescent="0.3">
      <c r="A762" s="25">
        <v>2025</v>
      </c>
      <c r="B762" s="26" t="s">
        <v>782</v>
      </c>
      <c r="C762" s="26">
        <f>LN(Inventory[[#This Row],[Acres]])</f>
        <v>-1.6607312068216509</v>
      </c>
      <c r="D762" s="25">
        <v>0.19</v>
      </c>
      <c r="E762" s="25">
        <v>8060</v>
      </c>
      <c r="F762" s="26" t="s">
        <v>537</v>
      </c>
      <c r="G762" s="26" t="s">
        <v>126</v>
      </c>
      <c r="H762" s="26" t="s">
        <v>349</v>
      </c>
      <c r="I762" s="26" t="s">
        <v>538</v>
      </c>
      <c r="J762" s="26" t="s">
        <v>539</v>
      </c>
      <c r="K762" s="26" t="s">
        <v>241</v>
      </c>
      <c r="L762" s="26" t="s">
        <v>351</v>
      </c>
      <c r="M762" s="26" t="s">
        <v>303</v>
      </c>
      <c r="N762" s="26">
        <v>80</v>
      </c>
      <c r="O762" s="26">
        <f>2024-Inventory[[#This Row],[YrBlt]]</f>
        <v>74</v>
      </c>
      <c r="P762" s="26">
        <f>2024-Inventory[[#This Row],[EffYr]]</f>
        <v>51</v>
      </c>
      <c r="Q762" s="25">
        <v>1950</v>
      </c>
      <c r="R762" s="25">
        <v>1973</v>
      </c>
      <c r="S762" s="25">
        <v>1224</v>
      </c>
      <c r="T762" s="27"/>
      <c r="U762" s="32">
        <v>1009</v>
      </c>
      <c r="V762" s="32">
        <f>Inventory[[#This Row],[Bsmt]]-Inventory[[#This Row],[FnBsmt]]</f>
        <v>202</v>
      </c>
      <c r="W762" s="32">
        <v>807</v>
      </c>
      <c r="X762" s="27"/>
      <c r="Y762" s="27">
        <f>Inventory[[#This Row],[MainFn]]+Inventory[[#This Row],[UpprFn]]+Inventory[[#This Row],[FnBsmt]]+Inventory[[#This Row],[AddFn]]</f>
        <v>2031</v>
      </c>
      <c r="Z762" s="27">
        <v>2500</v>
      </c>
      <c r="AA762" s="25">
        <v>7</v>
      </c>
      <c r="AB762" s="25">
        <v>242</v>
      </c>
      <c r="AC762" s="27"/>
      <c r="AD762" s="32">
        <v>288</v>
      </c>
      <c r="AE762" s="27"/>
      <c r="AF762" s="27"/>
      <c r="AG762" s="27"/>
      <c r="AH762" s="27"/>
      <c r="AI762" s="25">
        <v>297733</v>
      </c>
      <c r="AJ762" s="25">
        <v>211390</v>
      </c>
      <c r="AK762" s="25">
        <v>0</v>
      </c>
      <c r="AL762" s="25">
        <v>338800</v>
      </c>
      <c r="AM762" s="25">
        <v>56600</v>
      </c>
      <c r="AN762" s="25">
        <v>282200</v>
      </c>
      <c r="AO762" s="25">
        <v>0</v>
      </c>
      <c r="AP762" s="25">
        <f>Lookups!$B$56*0</f>
        <v>0</v>
      </c>
      <c r="AQ762" s="25">
        <f>Lookups!$B$56*1</f>
        <v>89850.625589999996</v>
      </c>
      <c r="AR762" s="25">
        <f>Lookups!$B$57*Inventory[[#This Row],[LnAcres]]</f>
        <v>-52569.808201026557</v>
      </c>
      <c r="AS762" s="25">
        <f>VLOOKUP(Inventory[[#This Row],[Qlty]],Lookups!$A$62:$E$75,2,FALSE)</f>
        <v>21557.329055999999</v>
      </c>
      <c r="AT762" s="25">
        <f>VLOOKUP(Inventory[[#This Row],[Cnd]],Lookups!$A$76:$E$84,2,FALSE)</f>
        <v>197752.34721000001</v>
      </c>
      <c r="AU762" s="25">
        <f>Inventory[[#This Row],[EffAge]]*Lookups!$B$85</f>
        <v>-11375.3256255</v>
      </c>
      <c r="AV762" s="25">
        <f>Inventory[[#This Row],[MainFn]]*Lookups!$B$86</f>
        <v>60476.211929448</v>
      </c>
      <c r="AW762" s="25">
        <f>Inventory[[#This Row],[UpprFn]]*Lookups!$B$87</f>
        <v>0</v>
      </c>
      <c r="AX762" s="25">
        <f>Inventory[[#This Row],[AddFn]]*Lookups!$B$88</f>
        <v>0</v>
      </c>
      <c r="AY762" s="25">
        <f>Inventory[[#This Row],[Bsmt]]*Lookups!$B$89</f>
        <v>29343.632304223</v>
      </c>
      <c r="AZ762" s="25">
        <f>Inventory[[#This Row],[Fixtures]]*Lookups!$B$90</f>
        <v>26544.1547364</v>
      </c>
      <c r="BA762" s="25">
        <f>Inventory[[#This Row],[WdDeck]]*Lookups!$B$91</f>
        <v>9589.1083994880009</v>
      </c>
      <c r="BB762" s="25">
        <f>ROUND(Inventory[[#This Row],[25Det]],-2)</f>
        <v>0</v>
      </c>
      <c r="BC762" s="25">
        <f>ROUND(SUM(Inventory[[#This Row],[Mdl Qlty]:[Mdl WdDeck]])+Inventory[[#This Row],[Mdl Res Intercept]],-2)</f>
        <v>333900</v>
      </c>
      <c r="BD762" s="25">
        <f>ROUND(Inventory[[#This Row],[Mdl Land Intercept]]+Inventory[[#This Row],[Mdl LnAcres]],-2)</f>
        <v>37300</v>
      </c>
      <c r="BE762" s="25">
        <f>Inventory[[#This Row],[Unadj Res Value]]+Inventory[[#This Row],[Unadj Det Value]]+Inventory[[#This Row],[Unadj Land Value]]</f>
        <v>371200</v>
      </c>
      <c r="BF762" s="36">
        <f>(Inventory[[#This Row],[Unadj Total Value]]-Inventory[[#This Row],[24Final]])/Inventory[[#This Row],[24Final]]</f>
        <v>9.5631641086186547E-2</v>
      </c>
      <c r="BG762" s="25">
        <f>VLOOKUP(Inventory[[#This Row],[Nbhd]],Lookups!$Q$2:$T$4,4,FALSE)</f>
        <v>0.99970000000000003</v>
      </c>
      <c r="BH762" s="25">
        <f>VLOOKUP(Inventory[[#This Row],[Qlty]],Lookups!$O$7:$R$21,4,FALSE)</f>
        <v>1.0067999999999999</v>
      </c>
      <c r="BI762" s="25">
        <f>VLOOKUP(Inventory[[#This Row],[Cnd]],Lookups!$T$7:$W$16,4,FALSE)</f>
        <v>0.99650000000000005</v>
      </c>
      <c r="BJ762" s="25">
        <f>VLOOKUP(Inventory[[#This Row],[LivArea Range]],Lookups!$T$25:$W$37,4,FALSE)</f>
        <v>0.98919999999999997</v>
      </c>
      <c r="BK762" s="25">
        <f>VLOOKUP(Inventory[[#This Row],[Decade]],Lookups!$O$25:$R$42,4,FALSE)</f>
        <v>0.995</v>
      </c>
      <c r="BL762" s="25">
        <f>Inventory[[#This Row],[Nbhd Adj]]*0.95</f>
        <v>0.94971499999999998</v>
      </c>
      <c r="BM762" s="25">
        <f>Inventory[[#This Row],[Nbhd Adj]]*Inventory[[#This Row],[Quality Adj]]*Inventory[[#This Row],[Condition Adj]]*Inventory[[#This Row],[Living Area Adj]]*Inventory[[#This Row],[Decade Adj]]*0.95</f>
        <v>0.93782325090236773</v>
      </c>
      <c r="BN762" s="25">
        <f>ROUND(SUM(Inventory[[#This Row],[Mdl Qlty]:[Mdl WdDeck]])+Inventory[[#This Row],[Mdl Res Intercept]]*Inventory[[#This Row],[Res Adj ]],-2)</f>
        <v>333900</v>
      </c>
      <c r="BO762" s="25">
        <f>ROUND(Inventory[[#This Row],[25Det]]*Inventory[[#This Row],[Det/Nbhd Adj]],-2)</f>
        <v>0</v>
      </c>
      <c r="BP762" s="25">
        <f>Inventory[[#This Row],[Adjusted Res]]+Inventory[[#This Row],[Adj Det ]]</f>
        <v>333900</v>
      </c>
      <c r="BQ762" s="25">
        <f>ROUND((Inventory[[#This Row],[Mdl Land Intercept]]+Inventory[[#This Row],[Mdl LnAcres]])*Inventory[[#This Row],[Det/Nbhd Adj]],-2)</f>
        <v>35400</v>
      </c>
      <c r="BR762" s="25">
        <f>Inventory[[#This Row],[Adjusted Impr Total]]+Inventory[[#This Row],[Adjusted Land Total]]</f>
        <v>369300</v>
      </c>
      <c r="BS762" s="36">
        <f>IFERROR((Inventory[[#This Row],[Adjusted Impr Total]]-Inventory[[#This Row],[24Bldg]])/Inventory[[#This Row],[24Bldg]],0)</f>
        <v>0.18320340184266479</v>
      </c>
      <c r="BT762" s="36">
        <f>(Inventory[[#This Row],[Adjusted Land Total]]-Inventory[[#This Row],[24Lnd]])/Inventory[[#This Row],[24Lnd]]</f>
        <v>-0.37455830388692579</v>
      </c>
      <c r="BU762" s="36">
        <f>(Inventory[[#This Row],[Adjusted Total]]-Inventory[[#This Row],[24Final]])/Inventory[[#This Row],[24Final]]</f>
        <v>9.0023612750885482E-2</v>
      </c>
    </row>
    <row r="763" spans="1:73" x14ac:dyDescent="0.3">
      <c r="A763" s="25">
        <v>2025</v>
      </c>
      <c r="B763" s="26" t="s">
        <v>2525</v>
      </c>
      <c r="C763" s="26">
        <f>LN(Inventory[[#This Row],[Acres]])</f>
        <v>-1.5141277326297755</v>
      </c>
      <c r="D763" s="25">
        <v>0.22</v>
      </c>
      <c r="E763" s="31"/>
      <c r="F763" s="26" t="s">
        <v>537</v>
      </c>
      <c r="G763" s="26" t="s">
        <v>126</v>
      </c>
      <c r="H763" s="26" t="s">
        <v>349</v>
      </c>
      <c r="I763" s="26" t="s">
        <v>538</v>
      </c>
      <c r="J763" s="26" t="s">
        <v>539</v>
      </c>
      <c r="K763" s="26" t="s">
        <v>241</v>
      </c>
      <c r="L763" s="26" t="s">
        <v>148</v>
      </c>
      <c r="M763" s="26" t="s">
        <v>303</v>
      </c>
      <c r="N763" s="26">
        <v>80</v>
      </c>
      <c r="O763" s="26">
        <f>2024-Inventory[[#This Row],[YrBlt]]</f>
        <v>74</v>
      </c>
      <c r="P763" s="26">
        <f>2024-Inventory[[#This Row],[EffYr]]</f>
        <v>51</v>
      </c>
      <c r="Q763" s="25">
        <v>1950</v>
      </c>
      <c r="R763" s="25">
        <v>1973</v>
      </c>
      <c r="S763" s="25">
        <v>1520</v>
      </c>
      <c r="T763" s="27"/>
      <c r="U763" s="25">
        <v>1455</v>
      </c>
      <c r="V763" s="25">
        <f>Inventory[[#This Row],[Bsmt]]-Inventory[[#This Row],[FnBsmt]]</f>
        <v>409</v>
      </c>
      <c r="W763" s="25">
        <v>1046</v>
      </c>
      <c r="X763" s="27"/>
      <c r="Y763" s="27">
        <f>Inventory[[#This Row],[MainFn]]+Inventory[[#This Row],[UpprFn]]+Inventory[[#This Row],[FnBsmt]]+Inventory[[#This Row],[AddFn]]</f>
        <v>2566</v>
      </c>
      <c r="Z763" s="27">
        <v>3000</v>
      </c>
      <c r="AA763" s="25">
        <v>8</v>
      </c>
      <c r="AB763" s="27"/>
      <c r="AC763" s="27"/>
      <c r="AD763" s="32">
        <v>312</v>
      </c>
      <c r="AE763" s="27"/>
      <c r="AF763" s="27"/>
      <c r="AG763" s="27"/>
      <c r="AH763" s="27"/>
      <c r="AI763" s="25">
        <v>495498</v>
      </c>
      <c r="AJ763" s="25">
        <v>351804</v>
      </c>
      <c r="AK763" s="25">
        <v>0</v>
      </c>
      <c r="AL763" s="25">
        <v>393400</v>
      </c>
      <c r="AM763" s="25">
        <v>61700</v>
      </c>
      <c r="AN763" s="25">
        <v>331700</v>
      </c>
      <c r="AO763" s="25">
        <v>0</v>
      </c>
      <c r="AP763" s="25">
        <f>Lookups!$B$56*0</f>
        <v>0</v>
      </c>
      <c r="AQ763" s="25">
        <f>Lookups!$B$56*1</f>
        <v>89850.625589999996</v>
      </c>
      <c r="AR763" s="25">
        <f>Lookups!$B$57*Inventory[[#This Row],[LnAcres]]</f>
        <v>-47929.131559187132</v>
      </c>
      <c r="AS763" s="25">
        <f>VLOOKUP(Inventory[[#This Row],[Qlty]],Lookups!$A$62:$E$75,2,FALSE)</f>
        <v>44121.038090000002</v>
      </c>
      <c r="AT763" s="25">
        <f>VLOOKUP(Inventory[[#This Row],[Cnd]],Lookups!$A$76:$E$84,2,FALSE)</f>
        <v>197752.34721000001</v>
      </c>
      <c r="AU763" s="25">
        <f>Inventory[[#This Row],[EffAge]]*Lookups!$B$85</f>
        <v>-11375.3256255</v>
      </c>
      <c r="AV763" s="25">
        <f>Inventory[[#This Row],[MainFn]]*Lookups!$B$86</f>
        <v>75101.178213039995</v>
      </c>
      <c r="AW763" s="25">
        <f>Inventory[[#This Row],[UpprFn]]*Lookups!$B$87</f>
        <v>0</v>
      </c>
      <c r="AX763" s="25">
        <f>Inventory[[#This Row],[AddFn]]*Lookups!$B$88</f>
        <v>0</v>
      </c>
      <c r="AY763" s="25">
        <f>Inventory[[#This Row],[Bsmt]]*Lookups!$B$89</f>
        <v>42314.157584385001</v>
      </c>
      <c r="AZ763" s="25">
        <f>Inventory[[#This Row],[Fixtures]]*Lookups!$B$90</f>
        <v>30336.176841600001</v>
      </c>
      <c r="BA763" s="25">
        <f>Inventory[[#This Row],[WdDeck]]*Lookups!$B$91</f>
        <v>10388.200766112001</v>
      </c>
      <c r="BB763" s="25">
        <f>ROUND(Inventory[[#This Row],[25Det]],-2)</f>
        <v>0</v>
      </c>
      <c r="BC763" s="25">
        <f>ROUND(SUM(Inventory[[#This Row],[Mdl Qlty]:[Mdl WdDeck]])+Inventory[[#This Row],[Mdl Res Intercept]],-2)</f>
        <v>388600</v>
      </c>
      <c r="BD763" s="25">
        <f>ROUND(Inventory[[#This Row],[Mdl Land Intercept]]+Inventory[[#This Row],[Mdl LnAcres]],-2)</f>
        <v>41900</v>
      </c>
      <c r="BE763" s="25">
        <f>Inventory[[#This Row],[Unadj Res Value]]+Inventory[[#This Row],[Unadj Det Value]]+Inventory[[#This Row],[Unadj Land Value]]</f>
        <v>430500</v>
      </c>
      <c r="BF763" s="36">
        <f>(Inventory[[#This Row],[Unadj Total Value]]-Inventory[[#This Row],[24Final]])/Inventory[[#This Row],[24Final]]</f>
        <v>9.4306049822064059E-2</v>
      </c>
      <c r="BG763" s="25">
        <f>VLOOKUP(Inventory[[#This Row],[Nbhd]],Lookups!$Q$2:$T$4,4,FALSE)</f>
        <v>0.99970000000000003</v>
      </c>
      <c r="BH763" s="25">
        <f>VLOOKUP(Inventory[[#This Row],[Qlty]],Lookups!$O$7:$R$21,4,FALSE)</f>
        <v>0.98050000000000004</v>
      </c>
      <c r="BI763" s="25">
        <f>VLOOKUP(Inventory[[#This Row],[Cnd]],Lookups!$T$7:$W$16,4,FALSE)</f>
        <v>0.99650000000000005</v>
      </c>
      <c r="BJ763" s="25">
        <f>VLOOKUP(Inventory[[#This Row],[LivArea Range]],Lookups!$T$25:$W$37,4,FALSE)</f>
        <v>0.96179999999999999</v>
      </c>
      <c r="BK763" s="25">
        <f>VLOOKUP(Inventory[[#This Row],[Decade]],Lookups!$O$25:$R$42,4,FALSE)</f>
        <v>0.995</v>
      </c>
      <c r="BL763" s="25">
        <f>Inventory[[#This Row],[Nbhd Adj]]*0.95</f>
        <v>0.94971499999999998</v>
      </c>
      <c r="BM763" s="25">
        <f>Inventory[[#This Row],[Nbhd Adj]]*Inventory[[#This Row],[Quality Adj]]*Inventory[[#This Row],[Condition Adj]]*Inventory[[#This Row],[Living Area Adj]]*Inventory[[#This Row],[Decade Adj]]*0.95</f>
        <v>0.88802675758029637</v>
      </c>
      <c r="BN763" s="25">
        <f>ROUND(SUM(Inventory[[#This Row],[Mdl Qlty]:[Mdl WdDeck]])+Inventory[[#This Row],[Mdl Res Intercept]]*Inventory[[#This Row],[Res Adj ]],-2)</f>
        <v>388600</v>
      </c>
      <c r="BO763" s="25">
        <f>ROUND(Inventory[[#This Row],[25Det]]*Inventory[[#This Row],[Det/Nbhd Adj]],-2)</f>
        <v>0</v>
      </c>
      <c r="BP763" s="25">
        <f>Inventory[[#This Row],[Adjusted Res]]+Inventory[[#This Row],[Adj Det ]]</f>
        <v>388600</v>
      </c>
      <c r="BQ763" s="25">
        <f>ROUND((Inventory[[#This Row],[Mdl Land Intercept]]+Inventory[[#This Row],[Mdl LnAcres]])*Inventory[[#This Row],[Det/Nbhd Adj]],-2)</f>
        <v>39800</v>
      </c>
      <c r="BR763" s="25">
        <f>Inventory[[#This Row],[Adjusted Impr Total]]+Inventory[[#This Row],[Adjusted Land Total]]</f>
        <v>428400</v>
      </c>
      <c r="BS763" s="36">
        <f>IFERROR((Inventory[[#This Row],[Adjusted Impr Total]]-Inventory[[#This Row],[24Bldg]])/Inventory[[#This Row],[24Bldg]],0)</f>
        <v>0.17154054868857402</v>
      </c>
      <c r="BT763" s="36">
        <f>(Inventory[[#This Row],[Adjusted Land Total]]-Inventory[[#This Row],[24Lnd]])/Inventory[[#This Row],[24Lnd]]</f>
        <v>-0.35494327390599678</v>
      </c>
      <c r="BU763" s="36">
        <f>(Inventory[[#This Row],[Adjusted Total]]-Inventory[[#This Row],[24Final]])/Inventory[[#This Row],[24Final]]</f>
        <v>8.8967971530249115E-2</v>
      </c>
    </row>
    <row r="764" spans="1:73" x14ac:dyDescent="0.3">
      <c r="A764" s="25">
        <v>2025</v>
      </c>
      <c r="B764" s="26" t="s">
        <v>1765</v>
      </c>
      <c r="C764" s="26">
        <f>LN(Inventory[[#This Row],[Acres]])</f>
        <v>-1.7147984280919266</v>
      </c>
      <c r="D764" s="25">
        <v>0.18</v>
      </c>
      <c r="E764" s="31"/>
      <c r="F764" s="26" t="s">
        <v>537</v>
      </c>
      <c r="G764" s="26" t="s">
        <v>126</v>
      </c>
      <c r="H764" s="26" t="s">
        <v>349</v>
      </c>
      <c r="I764" s="26" t="s">
        <v>538</v>
      </c>
      <c r="J764" s="26" t="s">
        <v>539</v>
      </c>
      <c r="K764" s="26" t="s">
        <v>241</v>
      </c>
      <c r="L764" s="26" t="s">
        <v>351</v>
      </c>
      <c r="M764" s="26" t="s">
        <v>323</v>
      </c>
      <c r="N764" s="26">
        <v>80</v>
      </c>
      <c r="O764" s="26">
        <f>2024-Inventory[[#This Row],[YrBlt]]</f>
        <v>74</v>
      </c>
      <c r="P764" s="26">
        <f>2024-Inventory[[#This Row],[EffYr]]</f>
        <v>51</v>
      </c>
      <c r="Q764" s="25">
        <v>1950</v>
      </c>
      <c r="R764" s="25">
        <v>1973</v>
      </c>
      <c r="S764" s="25">
        <v>966</v>
      </c>
      <c r="T764" s="27"/>
      <c r="U764" s="32">
        <v>966</v>
      </c>
      <c r="V764" s="32">
        <f>Inventory[[#This Row],[Bsmt]]-Inventory[[#This Row],[FnBsmt]]</f>
        <v>676</v>
      </c>
      <c r="W764" s="32">
        <v>290</v>
      </c>
      <c r="X764" s="27"/>
      <c r="Y764" s="27">
        <f>Inventory[[#This Row],[MainFn]]+Inventory[[#This Row],[UpprFn]]+Inventory[[#This Row],[FnBsmt]]+Inventory[[#This Row],[AddFn]]</f>
        <v>1256</v>
      </c>
      <c r="Z764" s="27">
        <v>1500</v>
      </c>
      <c r="AA764" s="25">
        <v>7</v>
      </c>
      <c r="AB764" s="25">
        <v>264</v>
      </c>
      <c r="AC764" s="27"/>
      <c r="AD764" s="32">
        <v>168</v>
      </c>
      <c r="AE764" s="27"/>
      <c r="AF764" s="27"/>
      <c r="AG764" s="27"/>
      <c r="AH764" s="27"/>
      <c r="AI764" s="25">
        <v>236480</v>
      </c>
      <c r="AJ764" s="25">
        <v>163171</v>
      </c>
      <c r="AK764" s="25">
        <v>0</v>
      </c>
      <c r="AL764" s="25">
        <v>287300</v>
      </c>
      <c r="AM764" s="25">
        <v>54700</v>
      </c>
      <c r="AN764" s="25">
        <v>232600</v>
      </c>
      <c r="AO764" s="25">
        <v>0</v>
      </c>
      <c r="AP764" s="25">
        <f>Lookups!$B$56*0</f>
        <v>0</v>
      </c>
      <c r="AQ764" s="25">
        <f>Lookups!$B$56*1</f>
        <v>89850.625589999996</v>
      </c>
      <c r="AR764" s="25">
        <f>Lookups!$B$57*Inventory[[#This Row],[LnAcres]]</f>
        <v>-54281.285314520763</v>
      </c>
      <c r="AS764" s="25">
        <f>VLOOKUP(Inventory[[#This Row],[Qlty]],Lookups!$A$62:$E$75,2,FALSE)</f>
        <v>21557.329055999999</v>
      </c>
      <c r="AT764" s="25">
        <f>VLOOKUP(Inventory[[#This Row],[Cnd]],Lookups!$A$76:$E$84,2,FALSE)</f>
        <v>160472.20319</v>
      </c>
      <c r="AU764" s="25">
        <f>Inventory[[#This Row],[EffAge]]*Lookups!$B$85</f>
        <v>-11375.3256255</v>
      </c>
      <c r="AV764" s="25">
        <f>Inventory[[#This Row],[MainFn]]*Lookups!$B$86</f>
        <v>47728.775101182</v>
      </c>
      <c r="AW764" s="25">
        <f>Inventory[[#This Row],[UpprFn]]*Lookups!$B$87</f>
        <v>0</v>
      </c>
      <c r="AX764" s="25">
        <f>Inventory[[#This Row],[AddFn]]*Lookups!$B$88</f>
        <v>0</v>
      </c>
      <c r="AY764" s="25">
        <f>Inventory[[#This Row],[Bsmt]]*Lookups!$B$89</f>
        <v>28093.110808601999</v>
      </c>
      <c r="AZ764" s="25">
        <f>Inventory[[#This Row],[Fixtures]]*Lookups!$B$90</f>
        <v>26544.1547364</v>
      </c>
      <c r="BA764" s="25">
        <f>Inventory[[#This Row],[WdDeck]]*Lookups!$B$91</f>
        <v>5593.646566368001</v>
      </c>
      <c r="BB764" s="25">
        <f>ROUND(Inventory[[#This Row],[25Det]],-2)</f>
        <v>0</v>
      </c>
      <c r="BC764" s="25">
        <f>ROUND(SUM(Inventory[[#This Row],[Mdl Qlty]:[Mdl WdDeck]])+Inventory[[#This Row],[Mdl Res Intercept]],-2)</f>
        <v>278600</v>
      </c>
      <c r="BD764" s="25">
        <f>ROUND(Inventory[[#This Row],[Mdl Land Intercept]]+Inventory[[#This Row],[Mdl LnAcres]],-2)</f>
        <v>35600</v>
      </c>
      <c r="BE764" s="25">
        <f>Inventory[[#This Row],[Unadj Res Value]]+Inventory[[#This Row],[Unadj Det Value]]+Inventory[[#This Row],[Unadj Land Value]]</f>
        <v>314200</v>
      </c>
      <c r="BF764" s="36">
        <f>(Inventory[[#This Row],[Unadj Total Value]]-Inventory[[#This Row],[24Final]])/Inventory[[#This Row],[24Final]]</f>
        <v>9.363035154890359E-2</v>
      </c>
      <c r="BG764" s="25">
        <f>VLOOKUP(Inventory[[#This Row],[Nbhd]],Lookups!$Q$2:$T$4,4,FALSE)</f>
        <v>0.99970000000000003</v>
      </c>
      <c r="BH764" s="25">
        <f>VLOOKUP(Inventory[[#This Row],[Qlty]],Lookups!$O$7:$R$21,4,FALSE)</f>
        <v>1.0067999999999999</v>
      </c>
      <c r="BI764" s="25">
        <f>VLOOKUP(Inventory[[#This Row],[Cnd]],Lookups!$T$7:$W$16,4,FALSE)</f>
        <v>0.99729999999999996</v>
      </c>
      <c r="BJ764" s="25">
        <f>VLOOKUP(Inventory[[#This Row],[LivArea Range]],Lookups!$T$25:$W$37,4,FALSE)</f>
        <v>1.0157</v>
      </c>
      <c r="BK764" s="25">
        <f>VLOOKUP(Inventory[[#This Row],[Decade]],Lookups!$O$25:$R$42,4,FALSE)</f>
        <v>0.995</v>
      </c>
      <c r="BL764" s="25">
        <f>Inventory[[#This Row],[Nbhd Adj]]*0.95</f>
        <v>0.94971499999999998</v>
      </c>
      <c r="BM764" s="25">
        <f>Inventory[[#This Row],[Nbhd Adj]]*Inventory[[#This Row],[Quality Adj]]*Inventory[[#This Row],[Condition Adj]]*Inventory[[#This Row],[Living Area Adj]]*Inventory[[#This Row],[Decade Adj]]*0.95</f>
        <v>0.96371996573175212</v>
      </c>
      <c r="BN764" s="25">
        <f>ROUND(SUM(Inventory[[#This Row],[Mdl Qlty]:[Mdl WdDeck]])+Inventory[[#This Row],[Mdl Res Intercept]]*Inventory[[#This Row],[Res Adj ]],-2)</f>
        <v>278600</v>
      </c>
      <c r="BO764" s="25">
        <f>ROUND(Inventory[[#This Row],[25Det]]*Inventory[[#This Row],[Det/Nbhd Adj]],-2)</f>
        <v>0</v>
      </c>
      <c r="BP764" s="25">
        <f>Inventory[[#This Row],[Adjusted Res]]+Inventory[[#This Row],[Adj Det ]]</f>
        <v>278600</v>
      </c>
      <c r="BQ764" s="25">
        <f>ROUND((Inventory[[#This Row],[Mdl Land Intercept]]+Inventory[[#This Row],[Mdl LnAcres]])*Inventory[[#This Row],[Det/Nbhd Adj]],-2)</f>
        <v>33800</v>
      </c>
      <c r="BR764" s="25">
        <f>Inventory[[#This Row],[Adjusted Impr Total]]+Inventory[[#This Row],[Adjusted Land Total]]</f>
        <v>312400</v>
      </c>
      <c r="BS764" s="36">
        <f>IFERROR((Inventory[[#This Row],[Adjusted Impr Total]]-Inventory[[#This Row],[24Bldg]])/Inventory[[#This Row],[24Bldg]],0)</f>
        <v>0.19776440240756663</v>
      </c>
      <c r="BT764" s="36">
        <f>(Inventory[[#This Row],[Adjusted Land Total]]-Inventory[[#This Row],[24Lnd]])/Inventory[[#This Row],[24Lnd]]</f>
        <v>-0.38208409506398539</v>
      </c>
      <c r="BU764" s="36">
        <f>(Inventory[[#This Row],[Adjusted Total]]-Inventory[[#This Row],[24Final]])/Inventory[[#This Row],[24Final]]</f>
        <v>8.7365123564218591E-2</v>
      </c>
    </row>
    <row r="765" spans="1:73" x14ac:dyDescent="0.3">
      <c r="A765" s="25">
        <v>2025</v>
      </c>
      <c r="B765" s="26" t="s">
        <v>2401</v>
      </c>
      <c r="C765" s="26">
        <f>LN(Inventory[[#This Row],[Acres]])</f>
        <v>-1.7719568419318752</v>
      </c>
      <c r="D765" s="25">
        <v>0.17</v>
      </c>
      <c r="E765" s="25">
        <v>7370</v>
      </c>
      <c r="F765" s="26" t="s">
        <v>537</v>
      </c>
      <c r="G765" s="26" t="s">
        <v>126</v>
      </c>
      <c r="H765" s="26" t="s">
        <v>349</v>
      </c>
      <c r="I765" s="26" t="s">
        <v>538</v>
      </c>
      <c r="J765" s="26" t="s">
        <v>539</v>
      </c>
      <c r="K765" s="26" t="s">
        <v>241</v>
      </c>
      <c r="L765" s="26" t="s">
        <v>148</v>
      </c>
      <c r="M765" s="26" t="s">
        <v>323</v>
      </c>
      <c r="N765" s="26">
        <v>80</v>
      </c>
      <c r="O765" s="26">
        <f>2024-Inventory[[#This Row],[YrBlt]]</f>
        <v>74</v>
      </c>
      <c r="P765" s="26">
        <f>2024-Inventory[[#This Row],[EffYr]]</f>
        <v>51</v>
      </c>
      <c r="Q765" s="25">
        <v>1950</v>
      </c>
      <c r="R765" s="25">
        <v>1973</v>
      </c>
      <c r="S765" s="25">
        <v>1053</v>
      </c>
      <c r="T765" s="27"/>
      <c r="U765" s="32">
        <v>819</v>
      </c>
      <c r="V765" s="32">
        <f>Inventory[[#This Row],[Bsmt]]-Inventory[[#This Row],[FnBsmt]]</f>
        <v>819</v>
      </c>
      <c r="W765" s="27"/>
      <c r="X765" s="27"/>
      <c r="Y765" s="27">
        <f>Inventory[[#This Row],[MainFn]]+Inventory[[#This Row],[UpprFn]]+Inventory[[#This Row],[FnBsmt]]+Inventory[[#This Row],[AddFn]]</f>
        <v>1053</v>
      </c>
      <c r="Z765" s="27">
        <v>1500</v>
      </c>
      <c r="AA765" s="25">
        <v>5</v>
      </c>
      <c r="AB765" s="25">
        <v>231</v>
      </c>
      <c r="AC765" s="27"/>
      <c r="AD765" s="31"/>
      <c r="AE765" s="27"/>
      <c r="AF765" s="27"/>
      <c r="AG765" s="27"/>
      <c r="AH765" s="27"/>
      <c r="AI765" s="25">
        <v>321514</v>
      </c>
      <c r="AJ765" s="25">
        <v>221845</v>
      </c>
      <c r="AK765" s="25">
        <v>0</v>
      </c>
      <c r="AL765" s="25">
        <v>294500</v>
      </c>
      <c r="AM765" s="25">
        <v>52700</v>
      </c>
      <c r="AN765" s="25">
        <v>241800</v>
      </c>
      <c r="AO765" s="25">
        <v>0</v>
      </c>
      <c r="AP765" s="25">
        <f>Lookups!$B$56*0</f>
        <v>0</v>
      </c>
      <c r="AQ765" s="25">
        <f>Lookups!$B$56*1</f>
        <v>89850.625589999996</v>
      </c>
      <c r="AR765" s="25">
        <f>Lookups!$B$57*Inventory[[#This Row],[LnAcres]]</f>
        <v>-56090.612940989391</v>
      </c>
      <c r="AS765" s="25">
        <f>VLOOKUP(Inventory[[#This Row],[Qlty]],Lookups!$A$62:$E$75,2,FALSE)</f>
        <v>44121.038090000002</v>
      </c>
      <c r="AT765" s="25">
        <f>VLOOKUP(Inventory[[#This Row],[Cnd]],Lookups!$A$76:$E$84,2,FALSE)</f>
        <v>160472.20319</v>
      </c>
      <c r="AU765" s="25">
        <f>Inventory[[#This Row],[EffAge]]*Lookups!$B$85</f>
        <v>-11375.3256255</v>
      </c>
      <c r="AV765" s="25">
        <f>Inventory[[#This Row],[MainFn]]*Lookups!$B$86</f>
        <v>52027.329380481002</v>
      </c>
      <c r="AW765" s="25">
        <f>Inventory[[#This Row],[UpprFn]]*Lookups!$B$87</f>
        <v>0</v>
      </c>
      <c r="AX765" s="25">
        <f>Inventory[[#This Row],[AddFn]]*Lookups!$B$88</f>
        <v>0</v>
      </c>
      <c r="AY765" s="25">
        <f>Inventory[[#This Row],[Bsmt]]*Lookups!$B$89</f>
        <v>23818.072207293</v>
      </c>
      <c r="AZ765" s="25">
        <f>Inventory[[#This Row],[Fixtures]]*Lookups!$B$90</f>
        <v>18960.110526</v>
      </c>
      <c r="BA765" s="25">
        <f>Inventory[[#This Row],[WdDeck]]*Lookups!$B$91</f>
        <v>0</v>
      </c>
      <c r="BB765" s="25">
        <f>ROUND(Inventory[[#This Row],[25Det]],-2)</f>
        <v>0</v>
      </c>
      <c r="BC765" s="25">
        <f>ROUND(SUM(Inventory[[#This Row],[Mdl Qlty]:[Mdl WdDeck]])+Inventory[[#This Row],[Mdl Res Intercept]],-2)</f>
        <v>288000</v>
      </c>
      <c r="BD765" s="25">
        <f>ROUND(Inventory[[#This Row],[Mdl Land Intercept]]+Inventory[[#This Row],[Mdl LnAcres]],-2)</f>
        <v>33800</v>
      </c>
      <c r="BE765" s="25">
        <f>Inventory[[#This Row],[Unadj Res Value]]+Inventory[[#This Row],[Unadj Det Value]]+Inventory[[#This Row],[Unadj Land Value]]</f>
        <v>321800</v>
      </c>
      <c r="BF765" s="36">
        <f>(Inventory[[#This Row],[Unadj Total Value]]-Inventory[[#This Row],[24Final]])/Inventory[[#This Row],[24Final]]</f>
        <v>9.2699490662139214E-2</v>
      </c>
      <c r="BG765" s="25">
        <f>VLOOKUP(Inventory[[#This Row],[Nbhd]],Lookups!$Q$2:$T$4,4,FALSE)</f>
        <v>0.99970000000000003</v>
      </c>
      <c r="BH765" s="25">
        <f>VLOOKUP(Inventory[[#This Row],[Qlty]],Lookups!$O$7:$R$21,4,FALSE)</f>
        <v>0.98050000000000004</v>
      </c>
      <c r="BI765" s="25">
        <f>VLOOKUP(Inventory[[#This Row],[Cnd]],Lookups!$T$7:$W$16,4,FALSE)</f>
        <v>0.99729999999999996</v>
      </c>
      <c r="BJ765" s="25">
        <f>VLOOKUP(Inventory[[#This Row],[LivArea Range]],Lookups!$T$25:$W$37,4,FALSE)</f>
        <v>1.0157</v>
      </c>
      <c r="BK765" s="25">
        <f>VLOOKUP(Inventory[[#This Row],[Decade]],Lookups!$O$25:$R$42,4,FALSE)</f>
        <v>0.995</v>
      </c>
      <c r="BL765" s="25">
        <f>Inventory[[#This Row],[Nbhd Adj]]*0.95</f>
        <v>0.94971499999999998</v>
      </c>
      <c r="BM765" s="25">
        <f>Inventory[[#This Row],[Nbhd Adj]]*Inventory[[#This Row],[Quality Adj]]*Inventory[[#This Row],[Condition Adj]]*Inventory[[#This Row],[Living Area Adj]]*Inventory[[#This Row],[Decade Adj]]*0.95</f>
        <v>0.93854531823597842</v>
      </c>
      <c r="BN765" s="25">
        <f>ROUND(SUM(Inventory[[#This Row],[Mdl Qlty]:[Mdl WdDeck]])+Inventory[[#This Row],[Mdl Res Intercept]]*Inventory[[#This Row],[Res Adj ]],-2)</f>
        <v>288000</v>
      </c>
      <c r="BO765" s="25">
        <f>ROUND(Inventory[[#This Row],[25Det]]*Inventory[[#This Row],[Det/Nbhd Adj]],-2)</f>
        <v>0</v>
      </c>
      <c r="BP765" s="25">
        <f>Inventory[[#This Row],[Adjusted Res]]+Inventory[[#This Row],[Adj Det ]]</f>
        <v>288000</v>
      </c>
      <c r="BQ765" s="25">
        <f>ROUND((Inventory[[#This Row],[Mdl Land Intercept]]+Inventory[[#This Row],[Mdl LnAcres]])*Inventory[[#This Row],[Det/Nbhd Adj]],-2)</f>
        <v>32100</v>
      </c>
      <c r="BR765" s="25">
        <f>Inventory[[#This Row],[Adjusted Impr Total]]+Inventory[[#This Row],[Adjusted Land Total]]</f>
        <v>320100</v>
      </c>
      <c r="BS765" s="36">
        <f>IFERROR((Inventory[[#This Row],[Adjusted Impr Total]]-Inventory[[#This Row],[24Bldg]])/Inventory[[#This Row],[24Bldg]],0)</f>
        <v>0.19106699751861042</v>
      </c>
      <c r="BT765" s="36">
        <f>(Inventory[[#This Row],[Adjusted Land Total]]-Inventory[[#This Row],[24Lnd]])/Inventory[[#This Row],[24Lnd]]</f>
        <v>-0.39089184060721061</v>
      </c>
      <c r="BU765" s="36">
        <f>(Inventory[[#This Row],[Adjusted Total]]-Inventory[[#This Row],[24Final]])/Inventory[[#This Row],[24Final]]</f>
        <v>8.6926994906621396E-2</v>
      </c>
    </row>
    <row r="766" spans="1:73" x14ac:dyDescent="0.3">
      <c r="A766" s="25">
        <v>2025</v>
      </c>
      <c r="B766" s="26" t="s">
        <v>2027</v>
      </c>
      <c r="C766" s="26">
        <f>LN(Inventory[[#This Row],[Acres]])</f>
        <v>-1.4271163556401458</v>
      </c>
      <c r="D766" s="25">
        <v>0.24</v>
      </c>
      <c r="E766" s="31"/>
      <c r="F766" s="26" t="s">
        <v>537</v>
      </c>
      <c r="G766" s="26" t="s">
        <v>126</v>
      </c>
      <c r="H766" s="26" t="s">
        <v>349</v>
      </c>
      <c r="I766" s="26" t="s">
        <v>538</v>
      </c>
      <c r="J766" s="26" t="s">
        <v>539</v>
      </c>
      <c r="K766" s="26" t="s">
        <v>241</v>
      </c>
      <c r="L766" s="26" t="s">
        <v>351</v>
      </c>
      <c r="M766" s="26" t="s">
        <v>303</v>
      </c>
      <c r="N766" s="26">
        <v>80</v>
      </c>
      <c r="O766" s="26">
        <f>2024-Inventory[[#This Row],[YrBlt]]</f>
        <v>74</v>
      </c>
      <c r="P766" s="26">
        <f>2024-Inventory[[#This Row],[EffYr]]</f>
        <v>51</v>
      </c>
      <c r="Q766" s="25">
        <v>1950</v>
      </c>
      <c r="R766" s="25">
        <v>1973</v>
      </c>
      <c r="S766" s="25">
        <v>1826</v>
      </c>
      <c r="T766" s="31"/>
      <c r="U766" s="31"/>
      <c r="V766" s="31">
        <f>Inventory[[#This Row],[Bsmt]]-Inventory[[#This Row],[FnBsmt]]</f>
        <v>0</v>
      </c>
      <c r="W766" s="31"/>
      <c r="X766" s="27"/>
      <c r="Y766" s="27">
        <f>Inventory[[#This Row],[MainFn]]+Inventory[[#This Row],[UpprFn]]+Inventory[[#This Row],[FnBsmt]]+Inventory[[#This Row],[AddFn]]</f>
        <v>1826</v>
      </c>
      <c r="Z766" s="27">
        <v>2000</v>
      </c>
      <c r="AA766" s="25">
        <v>8</v>
      </c>
      <c r="AB766" s="32">
        <v>380</v>
      </c>
      <c r="AC766" s="27"/>
      <c r="AD766" s="25">
        <v>162</v>
      </c>
      <c r="AE766" s="27"/>
      <c r="AF766" s="27"/>
      <c r="AG766" s="27"/>
      <c r="AH766" s="27"/>
      <c r="AI766" s="25">
        <v>292448</v>
      </c>
      <c r="AJ766" s="25">
        <v>207638</v>
      </c>
      <c r="AK766" s="25">
        <v>0</v>
      </c>
      <c r="AL766" s="25">
        <v>346300</v>
      </c>
      <c r="AM766" s="25">
        <v>64800</v>
      </c>
      <c r="AN766" s="25">
        <v>281500</v>
      </c>
      <c r="AO766" s="25">
        <v>0</v>
      </c>
      <c r="AP766" s="25">
        <f>Lookups!$B$56*0</f>
        <v>0</v>
      </c>
      <c r="AQ766" s="25">
        <f>Lookups!$B$56*1</f>
        <v>89850.625589999996</v>
      </c>
      <c r="AR766" s="25">
        <f>Lookups!$B$57*Inventory[[#This Row],[LnAcres]]</f>
        <v>-45174.819855485119</v>
      </c>
      <c r="AS766" s="25">
        <f>VLOOKUP(Inventory[[#This Row],[Qlty]],Lookups!$A$62:$E$75,2,FALSE)</f>
        <v>21557.329055999999</v>
      </c>
      <c r="AT766" s="25">
        <f>VLOOKUP(Inventory[[#This Row],[Cnd]],Lookups!$A$76:$E$84,2,FALSE)</f>
        <v>197752.34721000001</v>
      </c>
      <c r="AU766" s="25">
        <f>Inventory[[#This Row],[EffAge]]*Lookups!$B$85</f>
        <v>-11375.3256255</v>
      </c>
      <c r="AV766" s="25">
        <f>Inventory[[#This Row],[MainFn]]*Lookups!$B$86</f>
        <v>90220.231195401997</v>
      </c>
      <c r="AW766" s="25">
        <f>Inventory[[#This Row],[UpprFn]]*Lookups!$B$87</f>
        <v>0</v>
      </c>
      <c r="AX766" s="25">
        <f>Inventory[[#This Row],[AddFn]]*Lookups!$B$88</f>
        <v>0</v>
      </c>
      <c r="AY766" s="25">
        <f>Inventory[[#This Row],[Bsmt]]*Lookups!$B$89</f>
        <v>0</v>
      </c>
      <c r="AZ766" s="25">
        <f>Inventory[[#This Row],[Fixtures]]*Lookups!$B$90</f>
        <v>30336.176841600001</v>
      </c>
      <c r="BA766" s="25">
        <f>Inventory[[#This Row],[WdDeck]]*Lookups!$B$91</f>
        <v>5393.8734747120006</v>
      </c>
      <c r="BB766" s="25">
        <f>ROUND(Inventory[[#This Row],[25Det]],-2)</f>
        <v>0</v>
      </c>
      <c r="BC766" s="25">
        <f>ROUND(SUM(Inventory[[#This Row],[Mdl Qlty]:[Mdl WdDeck]])+Inventory[[#This Row],[Mdl Res Intercept]],-2)</f>
        <v>333900</v>
      </c>
      <c r="BD766" s="25">
        <f>ROUND(Inventory[[#This Row],[Mdl Land Intercept]]+Inventory[[#This Row],[Mdl LnAcres]],-2)</f>
        <v>44700</v>
      </c>
      <c r="BE766" s="25">
        <f>Inventory[[#This Row],[Unadj Res Value]]+Inventory[[#This Row],[Unadj Det Value]]+Inventory[[#This Row],[Unadj Land Value]]</f>
        <v>378600</v>
      </c>
      <c r="BF766" s="36">
        <f>(Inventory[[#This Row],[Unadj Total Value]]-Inventory[[#This Row],[24Final]])/Inventory[[#This Row],[24Final]]</f>
        <v>9.3271729714120705E-2</v>
      </c>
      <c r="BG766" s="25">
        <f>VLOOKUP(Inventory[[#This Row],[Nbhd]],Lookups!$Q$2:$T$4,4,FALSE)</f>
        <v>0.99970000000000003</v>
      </c>
      <c r="BH766" s="25">
        <f>VLOOKUP(Inventory[[#This Row],[Qlty]],Lookups!$O$7:$R$21,4,FALSE)</f>
        <v>1.0067999999999999</v>
      </c>
      <c r="BI766" s="25">
        <f>VLOOKUP(Inventory[[#This Row],[Cnd]],Lookups!$T$7:$W$16,4,FALSE)</f>
        <v>0.99650000000000005</v>
      </c>
      <c r="BJ766" s="25">
        <f>VLOOKUP(Inventory[[#This Row],[LivArea Range]],Lookups!$T$25:$W$37,4,FALSE)</f>
        <v>1.0093000000000001</v>
      </c>
      <c r="BK766" s="25">
        <f>VLOOKUP(Inventory[[#This Row],[Decade]],Lookups!$O$25:$R$42,4,FALSE)</f>
        <v>0.995</v>
      </c>
      <c r="BL766" s="25">
        <f>Inventory[[#This Row],[Nbhd Adj]]*0.95</f>
        <v>0.94971499999999998</v>
      </c>
      <c r="BM766" s="25">
        <f>Inventory[[#This Row],[Nbhd Adj]]*Inventory[[#This Row],[Quality Adj]]*Inventory[[#This Row],[Condition Adj]]*Inventory[[#This Row],[Living Area Adj]]*Inventory[[#This Row],[Decade Adj]]*0.95</f>
        <v>0.95687930361479956</v>
      </c>
      <c r="BN766" s="25">
        <f>ROUND(SUM(Inventory[[#This Row],[Mdl Qlty]:[Mdl WdDeck]])+Inventory[[#This Row],[Mdl Res Intercept]]*Inventory[[#This Row],[Res Adj ]],-2)</f>
        <v>333900</v>
      </c>
      <c r="BO766" s="25">
        <f>ROUND(Inventory[[#This Row],[25Det]]*Inventory[[#This Row],[Det/Nbhd Adj]],-2)</f>
        <v>0</v>
      </c>
      <c r="BP766" s="25">
        <f>Inventory[[#This Row],[Adjusted Res]]+Inventory[[#This Row],[Adj Det ]]</f>
        <v>333900</v>
      </c>
      <c r="BQ766" s="25">
        <f>ROUND((Inventory[[#This Row],[Mdl Land Intercept]]+Inventory[[#This Row],[Mdl LnAcres]])*Inventory[[#This Row],[Det/Nbhd Adj]],-2)</f>
        <v>42400</v>
      </c>
      <c r="BR766" s="25">
        <f>Inventory[[#This Row],[Adjusted Impr Total]]+Inventory[[#This Row],[Adjusted Land Total]]</f>
        <v>376300</v>
      </c>
      <c r="BS766" s="36">
        <f>IFERROR((Inventory[[#This Row],[Adjusted Impr Total]]-Inventory[[#This Row],[24Bldg]])/Inventory[[#This Row],[24Bldg]],0)</f>
        <v>0.18614564831261102</v>
      </c>
      <c r="BT766" s="36">
        <f>(Inventory[[#This Row],[Adjusted Land Total]]-Inventory[[#This Row],[24Lnd]])/Inventory[[#This Row],[24Lnd]]</f>
        <v>-0.34567901234567899</v>
      </c>
      <c r="BU766" s="36">
        <f>(Inventory[[#This Row],[Adjusted Total]]-Inventory[[#This Row],[24Final]])/Inventory[[#This Row],[24Final]]</f>
        <v>8.6630089517759162E-2</v>
      </c>
    </row>
    <row r="767" spans="1:73" x14ac:dyDescent="0.3">
      <c r="A767" s="25">
        <v>2025</v>
      </c>
      <c r="B767" s="26" t="s">
        <v>2539</v>
      </c>
      <c r="C767" s="26">
        <f>LN(Inventory[[#This Row],[Acres]])</f>
        <v>-1.5141277326297755</v>
      </c>
      <c r="D767" s="25">
        <v>0.22</v>
      </c>
      <c r="E767" s="31"/>
      <c r="F767" s="26" t="s">
        <v>537</v>
      </c>
      <c r="G767" s="26" t="s">
        <v>126</v>
      </c>
      <c r="H767" s="26" t="s">
        <v>349</v>
      </c>
      <c r="I767" s="26" t="s">
        <v>538</v>
      </c>
      <c r="J767" s="26" t="s">
        <v>539</v>
      </c>
      <c r="K767" s="26" t="s">
        <v>241</v>
      </c>
      <c r="L767" s="26" t="s">
        <v>351</v>
      </c>
      <c r="M767" s="26" t="s">
        <v>303</v>
      </c>
      <c r="N767" s="26">
        <v>80</v>
      </c>
      <c r="O767" s="26">
        <f>2024-Inventory[[#This Row],[YrBlt]]</f>
        <v>74</v>
      </c>
      <c r="P767" s="26">
        <f>2024-Inventory[[#This Row],[EffYr]]</f>
        <v>51</v>
      </c>
      <c r="Q767" s="25">
        <v>1950</v>
      </c>
      <c r="R767" s="25">
        <v>1973</v>
      </c>
      <c r="S767" s="25">
        <v>1301</v>
      </c>
      <c r="T767" s="27"/>
      <c r="U767" s="25">
        <v>898</v>
      </c>
      <c r="V767" s="32">
        <f>Inventory[[#This Row],[Bsmt]]-Inventory[[#This Row],[FnBsmt]]</f>
        <v>0</v>
      </c>
      <c r="W767" s="32">
        <v>898</v>
      </c>
      <c r="X767" s="27"/>
      <c r="Y767" s="27">
        <f>Inventory[[#This Row],[MainFn]]+Inventory[[#This Row],[UpprFn]]+Inventory[[#This Row],[FnBsmt]]+Inventory[[#This Row],[AddFn]]</f>
        <v>2199</v>
      </c>
      <c r="Z767" s="27">
        <v>2500</v>
      </c>
      <c r="AA767" s="25">
        <v>5</v>
      </c>
      <c r="AB767" s="27"/>
      <c r="AC767" s="32">
        <v>403</v>
      </c>
      <c r="AD767" s="32">
        <v>360</v>
      </c>
      <c r="AE767" s="27"/>
      <c r="AF767" s="27"/>
      <c r="AG767" s="27"/>
      <c r="AH767" s="27"/>
      <c r="AI767" s="25">
        <v>307139</v>
      </c>
      <c r="AJ767" s="25">
        <v>218069</v>
      </c>
      <c r="AK767" s="25">
        <v>0</v>
      </c>
      <c r="AL767" s="25">
        <v>340400</v>
      </c>
      <c r="AM767" s="25">
        <v>61700</v>
      </c>
      <c r="AN767" s="25">
        <v>278700</v>
      </c>
      <c r="AO767" s="25">
        <v>0</v>
      </c>
      <c r="AP767" s="25">
        <f>Lookups!$B$56*0</f>
        <v>0</v>
      </c>
      <c r="AQ767" s="25">
        <f>Lookups!$B$56*1</f>
        <v>89850.625589999996</v>
      </c>
      <c r="AR767" s="25">
        <f>Lookups!$B$57*Inventory[[#This Row],[LnAcres]]</f>
        <v>-47929.131559187132</v>
      </c>
      <c r="AS767" s="25">
        <f>VLOOKUP(Inventory[[#This Row],[Qlty]],Lookups!$A$62:$E$75,2,FALSE)</f>
        <v>21557.329055999999</v>
      </c>
      <c r="AT767" s="25">
        <f>VLOOKUP(Inventory[[#This Row],[Cnd]],Lookups!$A$76:$E$84,2,FALSE)</f>
        <v>197752.34721000001</v>
      </c>
      <c r="AU767" s="25">
        <f>Inventory[[#This Row],[EffAge]]*Lookups!$B$85</f>
        <v>-11375.3256255</v>
      </c>
      <c r="AV767" s="25">
        <f>Inventory[[#This Row],[MainFn]]*Lookups!$B$86</f>
        <v>64280.679509977002</v>
      </c>
      <c r="AW767" s="25">
        <f>Inventory[[#This Row],[UpprFn]]*Lookups!$B$87</f>
        <v>0</v>
      </c>
      <c r="AX767" s="25">
        <f>Inventory[[#This Row],[AddFn]]*Lookups!$B$88</f>
        <v>0</v>
      </c>
      <c r="AY767" s="25">
        <f>Inventory[[#This Row],[Bsmt]]*Lookups!$B$89</f>
        <v>26115.541931805998</v>
      </c>
      <c r="AZ767" s="25">
        <f>Inventory[[#This Row],[Fixtures]]*Lookups!$B$90</f>
        <v>18960.110526</v>
      </c>
      <c r="BA767" s="25">
        <f>Inventory[[#This Row],[WdDeck]]*Lookups!$B$91</f>
        <v>11986.385499360002</v>
      </c>
      <c r="BB767" s="25">
        <f>ROUND(Inventory[[#This Row],[25Det]],-2)</f>
        <v>0</v>
      </c>
      <c r="BC767" s="25">
        <f>ROUND(SUM(Inventory[[#This Row],[Mdl Qlty]:[Mdl WdDeck]])+Inventory[[#This Row],[Mdl Res Intercept]],-2)</f>
        <v>329300</v>
      </c>
      <c r="BD767" s="25">
        <f>ROUND(Inventory[[#This Row],[Mdl Land Intercept]]+Inventory[[#This Row],[Mdl LnAcres]],-2)</f>
        <v>41900</v>
      </c>
      <c r="BE767" s="25">
        <f>Inventory[[#This Row],[Unadj Res Value]]+Inventory[[#This Row],[Unadj Det Value]]+Inventory[[#This Row],[Unadj Land Value]]</f>
        <v>371200</v>
      </c>
      <c r="BF767" s="36">
        <f>(Inventory[[#This Row],[Unadj Total Value]]-Inventory[[#This Row],[24Final]])/Inventory[[#This Row],[24Final]]</f>
        <v>9.0481786133960046E-2</v>
      </c>
      <c r="BG767" s="25">
        <f>VLOOKUP(Inventory[[#This Row],[Nbhd]],Lookups!$Q$2:$T$4,4,FALSE)</f>
        <v>0.99970000000000003</v>
      </c>
      <c r="BH767" s="25">
        <f>VLOOKUP(Inventory[[#This Row],[Qlty]],Lookups!$O$7:$R$21,4,FALSE)</f>
        <v>1.0067999999999999</v>
      </c>
      <c r="BI767" s="25">
        <f>VLOOKUP(Inventory[[#This Row],[Cnd]],Lookups!$T$7:$W$16,4,FALSE)</f>
        <v>0.99650000000000005</v>
      </c>
      <c r="BJ767" s="25">
        <f>VLOOKUP(Inventory[[#This Row],[LivArea Range]],Lookups!$T$25:$W$37,4,FALSE)</f>
        <v>0.98919999999999997</v>
      </c>
      <c r="BK767" s="25">
        <f>VLOOKUP(Inventory[[#This Row],[Decade]],Lookups!$O$25:$R$42,4,FALSE)</f>
        <v>0.995</v>
      </c>
      <c r="BL767" s="25">
        <f>Inventory[[#This Row],[Nbhd Adj]]*0.95</f>
        <v>0.94971499999999998</v>
      </c>
      <c r="BM767" s="25">
        <f>Inventory[[#This Row],[Nbhd Adj]]*Inventory[[#This Row],[Quality Adj]]*Inventory[[#This Row],[Condition Adj]]*Inventory[[#This Row],[Living Area Adj]]*Inventory[[#This Row],[Decade Adj]]*0.95</f>
        <v>0.93782325090236773</v>
      </c>
      <c r="BN767" s="25">
        <f>ROUND(SUM(Inventory[[#This Row],[Mdl Qlty]:[Mdl WdDeck]])+Inventory[[#This Row],[Mdl Res Intercept]]*Inventory[[#This Row],[Res Adj ]],-2)</f>
        <v>329300</v>
      </c>
      <c r="BO767" s="25">
        <f>ROUND(Inventory[[#This Row],[25Det]]*Inventory[[#This Row],[Det/Nbhd Adj]],-2)</f>
        <v>0</v>
      </c>
      <c r="BP767" s="25">
        <f>Inventory[[#This Row],[Adjusted Res]]+Inventory[[#This Row],[Adj Det ]]</f>
        <v>329300</v>
      </c>
      <c r="BQ767" s="25">
        <f>ROUND((Inventory[[#This Row],[Mdl Land Intercept]]+Inventory[[#This Row],[Mdl LnAcres]])*Inventory[[#This Row],[Det/Nbhd Adj]],-2)</f>
        <v>39800</v>
      </c>
      <c r="BR767" s="25">
        <f>Inventory[[#This Row],[Adjusted Impr Total]]+Inventory[[#This Row],[Adjusted Land Total]]</f>
        <v>369100</v>
      </c>
      <c r="BS767" s="36">
        <f>IFERROR((Inventory[[#This Row],[Adjusted Impr Total]]-Inventory[[#This Row],[24Bldg]])/Inventory[[#This Row],[24Bldg]],0)</f>
        <v>0.18155722999641191</v>
      </c>
      <c r="BT767" s="36">
        <f>(Inventory[[#This Row],[Adjusted Land Total]]-Inventory[[#This Row],[24Lnd]])/Inventory[[#This Row],[24Lnd]]</f>
        <v>-0.35494327390599678</v>
      </c>
      <c r="BU767" s="36">
        <f>(Inventory[[#This Row],[Adjusted Total]]-Inventory[[#This Row],[24Final]])/Inventory[[#This Row],[24Final]]</f>
        <v>8.4312573443008229E-2</v>
      </c>
    </row>
    <row r="768" spans="1:73" x14ac:dyDescent="0.3">
      <c r="A768" s="25">
        <v>2025</v>
      </c>
      <c r="B768" s="26" t="s">
        <v>1217</v>
      </c>
      <c r="C768" s="26">
        <f>LN(Inventory[[#This Row],[Acres]])</f>
        <v>-1.5606477482646683</v>
      </c>
      <c r="D768" s="25">
        <v>0.21</v>
      </c>
      <c r="E768" s="31"/>
      <c r="F768" s="26" t="s">
        <v>537</v>
      </c>
      <c r="G768" s="26" t="s">
        <v>126</v>
      </c>
      <c r="H768" s="26" t="s">
        <v>349</v>
      </c>
      <c r="I768" s="26" t="s">
        <v>538</v>
      </c>
      <c r="J768" s="26" t="s">
        <v>539</v>
      </c>
      <c r="K768" s="26" t="s">
        <v>241</v>
      </c>
      <c r="L768" s="26" t="s">
        <v>302</v>
      </c>
      <c r="M768" s="26" t="s">
        <v>303</v>
      </c>
      <c r="N768" s="26">
        <v>80</v>
      </c>
      <c r="O768" s="26">
        <f>2024-Inventory[[#This Row],[YrBlt]]</f>
        <v>74</v>
      </c>
      <c r="P768" s="26">
        <f>2024-Inventory[[#This Row],[EffYr]]</f>
        <v>51</v>
      </c>
      <c r="Q768" s="25">
        <v>1950</v>
      </c>
      <c r="R768" s="25">
        <v>1973</v>
      </c>
      <c r="S768" s="25">
        <v>1557</v>
      </c>
      <c r="T768" s="27"/>
      <c r="U768" s="31"/>
      <c r="V768" s="31">
        <f>Inventory[[#This Row],[Bsmt]]-Inventory[[#This Row],[FnBsmt]]</f>
        <v>0</v>
      </c>
      <c r="W768" s="31"/>
      <c r="X768" s="27"/>
      <c r="Y768" s="27">
        <f>Inventory[[#This Row],[MainFn]]+Inventory[[#This Row],[UpprFn]]+Inventory[[#This Row],[FnBsmt]]+Inventory[[#This Row],[AddFn]]</f>
        <v>1557</v>
      </c>
      <c r="Z768" s="27">
        <v>2000</v>
      </c>
      <c r="AA768" s="25">
        <v>5</v>
      </c>
      <c r="AB768" s="27"/>
      <c r="AC768" s="27"/>
      <c r="AD768" s="31"/>
      <c r="AE768" s="27"/>
      <c r="AF768" s="27"/>
      <c r="AG768" s="27"/>
      <c r="AH768" s="27"/>
      <c r="AI768" s="25">
        <v>272006</v>
      </c>
      <c r="AJ768" s="25">
        <v>193124</v>
      </c>
      <c r="AK768" s="25">
        <v>0</v>
      </c>
      <c r="AL768" s="25">
        <v>323400</v>
      </c>
      <c r="AM768" s="25">
        <v>60100</v>
      </c>
      <c r="AN768" s="25">
        <v>263300</v>
      </c>
      <c r="AO768" s="25">
        <v>0</v>
      </c>
      <c r="AP768" s="25">
        <f>Lookups!$B$56*0</f>
        <v>0</v>
      </c>
      <c r="AQ768" s="25">
        <f>Lookups!$B$56*1</f>
        <v>89850.625589999996</v>
      </c>
      <c r="AR768" s="25">
        <f>Lookups!$B$57*Inventory[[#This Row],[LnAcres]]</f>
        <v>-49401.70477837498</v>
      </c>
      <c r="AS768" s="25">
        <f>VLOOKUP(Inventory[[#This Row],[Qlty]],Lookups!$A$62:$E$75,2,FALSE)</f>
        <v>29814.093161000001</v>
      </c>
      <c r="AT768" s="25">
        <f>VLOOKUP(Inventory[[#This Row],[Cnd]],Lookups!$A$76:$E$84,2,FALSE)</f>
        <v>197752.34721000001</v>
      </c>
      <c r="AU768" s="25">
        <f>Inventory[[#This Row],[EffAge]]*Lookups!$B$85</f>
        <v>-11375.3256255</v>
      </c>
      <c r="AV768" s="25">
        <f>Inventory[[#This Row],[MainFn]]*Lookups!$B$86</f>
        <v>76929.298998489001</v>
      </c>
      <c r="AW768" s="25">
        <f>Inventory[[#This Row],[UpprFn]]*Lookups!$B$87</f>
        <v>0</v>
      </c>
      <c r="AX768" s="25">
        <f>Inventory[[#This Row],[AddFn]]*Lookups!$B$88</f>
        <v>0</v>
      </c>
      <c r="AY768" s="25">
        <f>Inventory[[#This Row],[Bsmt]]*Lookups!$B$89</f>
        <v>0</v>
      </c>
      <c r="AZ768" s="25">
        <f>Inventory[[#This Row],[Fixtures]]*Lookups!$B$90</f>
        <v>18960.110526</v>
      </c>
      <c r="BA768" s="25">
        <f>Inventory[[#This Row],[WdDeck]]*Lookups!$B$91</f>
        <v>0</v>
      </c>
      <c r="BB768" s="25">
        <f>ROUND(Inventory[[#This Row],[25Det]],-2)</f>
        <v>0</v>
      </c>
      <c r="BC768" s="25">
        <f>ROUND(SUM(Inventory[[#This Row],[Mdl Qlty]:[Mdl WdDeck]])+Inventory[[#This Row],[Mdl Res Intercept]],-2)</f>
        <v>312100</v>
      </c>
      <c r="BD768" s="25">
        <f>ROUND(Inventory[[#This Row],[Mdl Land Intercept]]+Inventory[[#This Row],[Mdl LnAcres]],-2)</f>
        <v>40400</v>
      </c>
      <c r="BE768" s="25">
        <f>Inventory[[#This Row],[Unadj Res Value]]+Inventory[[#This Row],[Unadj Det Value]]+Inventory[[#This Row],[Unadj Land Value]]</f>
        <v>352500</v>
      </c>
      <c r="BF768" s="36">
        <f>(Inventory[[#This Row],[Unadj Total Value]]-Inventory[[#This Row],[24Final]])/Inventory[[#This Row],[24Final]]</f>
        <v>8.9981447124304267E-2</v>
      </c>
      <c r="BG768" s="25">
        <f>VLOOKUP(Inventory[[#This Row],[Nbhd]],Lookups!$Q$2:$T$4,4,FALSE)</f>
        <v>0.99970000000000003</v>
      </c>
      <c r="BH768" s="25">
        <f>VLOOKUP(Inventory[[#This Row],[Qlty]],Lookups!$O$7:$R$21,4,FALSE)</f>
        <v>1.0088999999999999</v>
      </c>
      <c r="BI768" s="25">
        <f>VLOOKUP(Inventory[[#This Row],[Cnd]],Lookups!$T$7:$W$16,4,FALSE)</f>
        <v>0.99650000000000005</v>
      </c>
      <c r="BJ768" s="25">
        <f>VLOOKUP(Inventory[[#This Row],[LivArea Range]],Lookups!$T$25:$W$37,4,FALSE)</f>
        <v>1.0093000000000001</v>
      </c>
      <c r="BK768" s="25">
        <f>VLOOKUP(Inventory[[#This Row],[Decade]],Lookups!$O$25:$R$42,4,FALSE)</f>
        <v>0.995</v>
      </c>
      <c r="BL768" s="25">
        <f>Inventory[[#This Row],[Nbhd Adj]]*0.95</f>
        <v>0.94971499999999998</v>
      </c>
      <c r="BM768" s="25">
        <f>Inventory[[#This Row],[Nbhd Adj]]*Inventory[[#This Row],[Quality Adj]]*Inventory[[#This Row],[Condition Adj]]*Inventory[[#This Row],[Living Area Adj]]*Inventory[[#This Row],[Decade Adj]]*0.95</f>
        <v>0.9588751782051762</v>
      </c>
      <c r="BN768" s="25">
        <f>ROUND(SUM(Inventory[[#This Row],[Mdl Qlty]:[Mdl WdDeck]])+Inventory[[#This Row],[Mdl Res Intercept]]*Inventory[[#This Row],[Res Adj ]],-2)</f>
        <v>312100</v>
      </c>
      <c r="BO768" s="25">
        <f>ROUND(Inventory[[#This Row],[25Det]]*Inventory[[#This Row],[Det/Nbhd Adj]],-2)</f>
        <v>0</v>
      </c>
      <c r="BP768" s="25">
        <f>Inventory[[#This Row],[Adjusted Res]]+Inventory[[#This Row],[Adj Det ]]</f>
        <v>312100</v>
      </c>
      <c r="BQ768" s="25">
        <f>ROUND((Inventory[[#This Row],[Mdl Land Intercept]]+Inventory[[#This Row],[Mdl LnAcres]])*Inventory[[#This Row],[Det/Nbhd Adj]],-2)</f>
        <v>38400</v>
      </c>
      <c r="BR768" s="25">
        <f>Inventory[[#This Row],[Adjusted Impr Total]]+Inventory[[#This Row],[Adjusted Land Total]]</f>
        <v>350500</v>
      </c>
      <c r="BS768" s="36">
        <f>IFERROR((Inventory[[#This Row],[Adjusted Impr Total]]-Inventory[[#This Row],[24Bldg]])/Inventory[[#This Row],[24Bldg]],0)</f>
        <v>0.18533991644511963</v>
      </c>
      <c r="BT768" s="36">
        <f>(Inventory[[#This Row],[Adjusted Land Total]]-Inventory[[#This Row],[24Lnd]])/Inventory[[#This Row],[24Lnd]]</f>
        <v>-0.36106489184692181</v>
      </c>
      <c r="BU768" s="36">
        <f>(Inventory[[#This Row],[Adjusted Total]]-Inventory[[#This Row],[24Final]])/Inventory[[#This Row],[24Final]]</f>
        <v>8.3797155225726658E-2</v>
      </c>
    </row>
    <row r="769" spans="1:73" x14ac:dyDescent="0.3">
      <c r="A769" s="25">
        <v>2025</v>
      </c>
      <c r="B769" s="26" t="s">
        <v>1962</v>
      </c>
      <c r="C769" s="26">
        <f>LN(Inventory[[#This Row],[Acres]])</f>
        <v>-1.5606477482646683</v>
      </c>
      <c r="D769" s="25">
        <v>0.21</v>
      </c>
      <c r="E769" s="25">
        <v>9310</v>
      </c>
      <c r="F769" s="26" t="s">
        <v>537</v>
      </c>
      <c r="G769" s="26" t="s">
        <v>126</v>
      </c>
      <c r="H769" s="26" t="s">
        <v>349</v>
      </c>
      <c r="I769" s="26" t="s">
        <v>538</v>
      </c>
      <c r="J769" s="26" t="s">
        <v>539</v>
      </c>
      <c r="K769" s="26" t="s">
        <v>241</v>
      </c>
      <c r="L769" s="26" t="s">
        <v>148</v>
      </c>
      <c r="M769" s="26" t="s">
        <v>303</v>
      </c>
      <c r="N769" s="26">
        <v>80</v>
      </c>
      <c r="O769" s="26">
        <f>2024-Inventory[[#This Row],[YrBlt]]</f>
        <v>74</v>
      </c>
      <c r="P769" s="26">
        <f>2024-Inventory[[#This Row],[EffYr]]</f>
        <v>51</v>
      </c>
      <c r="Q769" s="25">
        <v>1950</v>
      </c>
      <c r="R769" s="25">
        <v>1973</v>
      </c>
      <c r="S769" s="25">
        <v>1363</v>
      </c>
      <c r="T769" s="27"/>
      <c r="U769" s="25">
        <v>1363</v>
      </c>
      <c r="V769" s="25">
        <f>Inventory[[#This Row],[Bsmt]]-Inventory[[#This Row],[FnBsmt]]</f>
        <v>681</v>
      </c>
      <c r="W769" s="25">
        <v>682</v>
      </c>
      <c r="X769" s="27"/>
      <c r="Y769" s="27">
        <f>Inventory[[#This Row],[MainFn]]+Inventory[[#This Row],[UpprFn]]+Inventory[[#This Row],[FnBsmt]]+Inventory[[#This Row],[AddFn]]</f>
        <v>2045</v>
      </c>
      <c r="Z769" s="27">
        <v>2500</v>
      </c>
      <c r="AA769" s="25">
        <v>8</v>
      </c>
      <c r="AB769" s="32">
        <v>312</v>
      </c>
      <c r="AC769" s="27"/>
      <c r="AD769" s="27"/>
      <c r="AE769" s="27"/>
      <c r="AF769" s="27"/>
      <c r="AG769" s="27"/>
      <c r="AH769" s="27"/>
      <c r="AI769" s="25">
        <v>431551</v>
      </c>
      <c r="AJ769" s="25">
        <v>306401</v>
      </c>
      <c r="AK769" s="25">
        <v>0</v>
      </c>
      <c r="AL769" s="25">
        <v>374900</v>
      </c>
      <c r="AM769" s="25">
        <v>60100</v>
      </c>
      <c r="AN769" s="25">
        <v>314800</v>
      </c>
      <c r="AO769" s="25">
        <v>0</v>
      </c>
      <c r="AP769" s="25">
        <f>Lookups!$B$56*0</f>
        <v>0</v>
      </c>
      <c r="AQ769" s="25">
        <f>Lookups!$B$56*1</f>
        <v>89850.625589999996</v>
      </c>
      <c r="AR769" s="25">
        <f>Lookups!$B$57*Inventory[[#This Row],[LnAcres]]</f>
        <v>-49401.70477837498</v>
      </c>
      <c r="AS769" s="25">
        <f>VLOOKUP(Inventory[[#This Row],[Qlty]],Lookups!$A$62:$E$75,2,FALSE)</f>
        <v>44121.038090000002</v>
      </c>
      <c r="AT769" s="25">
        <f>VLOOKUP(Inventory[[#This Row],[Cnd]],Lookups!$A$76:$E$84,2,FALSE)</f>
        <v>197752.34721000001</v>
      </c>
      <c r="AU769" s="25">
        <f>Inventory[[#This Row],[EffAge]]*Lookups!$B$85</f>
        <v>-11375.3256255</v>
      </c>
      <c r="AV769" s="25">
        <f>Inventory[[#This Row],[MainFn]]*Lookups!$B$86</f>
        <v>67344.017042350999</v>
      </c>
      <c r="AW769" s="25">
        <f>Inventory[[#This Row],[UpprFn]]*Lookups!$B$87</f>
        <v>0</v>
      </c>
      <c r="AX769" s="25">
        <f>Inventory[[#This Row],[AddFn]]*Lookups!$B$88</f>
        <v>0</v>
      </c>
      <c r="AY769" s="25">
        <f>Inventory[[#This Row],[Bsmt]]*Lookups!$B$89</f>
        <v>39638.623221661001</v>
      </c>
      <c r="AZ769" s="25">
        <f>Inventory[[#This Row],[Fixtures]]*Lookups!$B$90</f>
        <v>30336.176841600001</v>
      </c>
      <c r="BA769" s="25">
        <f>Inventory[[#This Row],[WdDeck]]*Lookups!$B$91</f>
        <v>0</v>
      </c>
      <c r="BB769" s="25">
        <f>ROUND(Inventory[[#This Row],[25Det]],-2)</f>
        <v>0</v>
      </c>
      <c r="BC769" s="25">
        <f>ROUND(SUM(Inventory[[#This Row],[Mdl Qlty]:[Mdl WdDeck]])+Inventory[[#This Row],[Mdl Res Intercept]],-2)</f>
        <v>367800</v>
      </c>
      <c r="BD769" s="25">
        <f>ROUND(Inventory[[#This Row],[Mdl Land Intercept]]+Inventory[[#This Row],[Mdl LnAcres]],-2)</f>
        <v>40400</v>
      </c>
      <c r="BE769" s="25">
        <f>Inventory[[#This Row],[Unadj Res Value]]+Inventory[[#This Row],[Unadj Det Value]]+Inventory[[#This Row],[Unadj Land Value]]</f>
        <v>408200</v>
      </c>
      <c r="BF769" s="36">
        <f>(Inventory[[#This Row],[Unadj Total Value]]-Inventory[[#This Row],[24Final]])/Inventory[[#This Row],[24Final]]</f>
        <v>8.8823686316351028E-2</v>
      </c>
      <c r="BG769" s="25">
        <f>VLOOKUP(Inventory[[#This Row],[Nbhd]],Lookups!$Q$2:$T$4,4,FALSE)</f>
        <v>0.99970000000000003</v>
      </c>
      <c r="BH769" s="25">
        <f>VLOOKUP(Inventory[[#This Row],[Qlty]],Lookups!$O$7:$R$21,4,FALSE)</f>
        <v>0.98050000000000004</v>
      </c>
      <c r="BI769" s="25">
        <f>VLOOKUP(Inventory[[#This Row],[Cnd]],Lookups!$T$7:$W$16,4,FALSE)</f>
        <v>0.99650000000000005</v>
      </c>
      <c r="BJ769" s="25">
        <f>VLOOKUP(Inventory[[#This Row],[LivArea Range]],Lookups!$T$25:$W$37,4,FALSE)</f>
        <v>0.98919999999999997</v>
      </c>
      <c r="BK769" s="25">
        <f>VLOOKUP(Inventory[[#This Row],[Decade]],Lookups!$O$25:$R$42,4,FALSE)</f>
        <v>0.995</v>
      </c>
      <c r="BL769" s="25">
        <f>Inventory[[#This Row],[Nbhd Adj]]*0.95</f>
        <v>0.94971499999999998</v>
      </c>
      <c r="BM769" s="25">
        <f>Inventory[[#This Row],[Nbhd Adj]]*Inventory[[#This Row],[Quality Adj]]*Inventory[[#This Row],[Condition Adj]]*Inventory[[#This Row],[Living Area Adj]]*Inventory[[#This Row],[Decade Adj]]*0.95</f>
        <v>0.91332508691872449</v>
      </c>
      <c r="BN769" s="25">
        <f>ROUND(SUM(Inventory[[#This Row],[Mdl Qlty]:[Mdl WdDeck]])+Inventory[[#This Row],[Mdl Res Intercept]]*Inventory[[#This Row],[Res Adj ]],-2)</f>
        <v>367800</v>
      </c>
      <c r="BO769" s="25">
        <f>ROUND(Inventory[[#This Row],[25Det]]*Inventory[[#This Row],[Det/Nbhd Adj]],-2)</f>
        <v>0</v>
      </c>
      <c r="BP769" s="25">
        <f>Inventory[[#This Row],[Adjusted Res]]+Inventory[[#This Row],[Adj Det ]]</f>
        <v>367800</v>
      </c>
      <c r="BQ769" s="25">
        <f>ROUND((Inventory[[#This Row],[Mdl Land Intercept]]+Inventory[[#This Row],[Mdl LnAcres]])*Inventory[[#This Row],[Det/Nbhd Adj]],-2)</f>
        <v>38400</v>
      </c>
      <c r="BR769" s="25">
        <f>Inventory[[#This Row],[Adjusted Impr Total]]+Inventory[[#This Row],[Adjusted Land Total]]</f>
        <v>406200</v>
      </c>
      <c r="BS769" s="36">
        <f>IFERROR((Inventory[[#This Row],[Adjusted Impr Total]]-Inventory[[#This Row],[24Bldg]])/Inventory[[#This Row],[24Bldg]],0)</f>
        <v>0.16836086404066072</v>
      </c>
      <c r="BT769" s="36">
        <f>(Inventory[[#This Row],[Adjusted Land Total]]-Inventory[[#This Row],[24Lnd]])/Inventory[[#This Row],[24Lnd]]</f>
        <v>-0.36106489184692181</v>
      </c>
      <c r="BU769" s="36">
        <f>(Inventory[[#This Row],[Adjusted Total]]-Inventory[[#This Row],[24Final]])/Inventory[[#This Row],[24Final]]</f>
        <v>8.3488930381435053E-2</v>
      </c>
    </row>
    <row r="770" spans="1:73" x14ac:dyDescent="0.3">
      <c r="A770" s="25">
        <v>2025</v>
      </c>
      <c r="B770" s="26" t="s">
        <v>2880</v>
      </c>
      <c r="C770" s="26">
        <f>LN(Inventory[[#This Row],[Acres]])</f>
        <v>-1.8325814637483102</v>
      </c>
      <c r="D770" s="25">
        <v>0.16</v>
      </c>
      <c r="E770" s="31"/>
      <c r="F770" s="26" t="s">
        <v>537</v>
      </c>
      <c r="G770" s="26" t="s">
        <v>126</v>
      </c>
      <c r="H770" s="26" t="s">
        <v>349</v>
      </c>
      <c r="I770" s="26" t="s">
        <v>538</v>
      </c>
      <c r="J770" s="26" t="s">
        <v>539</v>
      </c>
      <c r="K770" s="26" t="s">
        <v>242</v>
      </c>
      <c r="L770" s="26" t="s">
        <v>351</v>
      </c>
      <c r="M770" s="26" t="s">
        <v>303</v>
      </c>
      <c r="N770" s="26">
        <v>80</v>
      </c>
      <c r="O770" s="26">
        <f>2024-Inventory[[#This Row],[YrBlt]]</f>
        <v>74</v>
      </c>
      <c r="P770" s="26">
        <f>2024-Inventory[[#This Row],[EffYr]]</f>
        <v>51</v>
      </c>
      <c r="Q770" s="25">
        <v>1950</v>
      </c>
      <c r="R770" s="25">
        <v>1973</v>
      </c>
      <c r="S770" s="25">
        <v>1320</v>
      </c>
      <c r="T770" s="27"/>
      <c r="U770" s="31"/>
      <c r="V770" s="31">
        <f>Inventory[[#This Row],[Bsmt]]-Inventory[[#This Row],[FnBsmt]]</f>
        <v>0</v>
      </c>
      <c r="W770" s="31"/>
      <c r="X770" s="27"/>
      <c r="Y770" s="27">
        <f>Inventory[[#This Row],[MainFn]]+Inventory[[#This Row],[UpprFn]]+Inventory[[#This Row],[FnBsmt]]+Inventory[[#This Row],[AddFn]]</f>
        <v>1320</v>
      </c>
      <c r="Z770" s="27">
        <v>1500</v>
      </c>
      <c r="AA770" s="25">
        <v>9</v>
      </c>
      <c r="AB770" s="31"/>
      <c r="AC770" s="27"/>
      <c r="AD770" s="27"/>
      <c r="AE770" s="27"/>
      <c r="AF770" s="27"/>
      <c r="AG770" s="27"/>
      <c r="AH770" s="27"/>
      <c r="AI770" s="25">
        <v>223330</v>
      </c>
      <c r="AJ770" s="25">
        <v>158564</v>
      </c>
      <c r="AK770" s="25">
        <v>6050</v>
      </c>
      <c r="AL770" s="25">
        <v>317400</v>
      </c>
      <c r="AM770" s="25">
        <v>50600</v>
      </c>
      <c r="AN770" s="25">
        <v>266800</v>
      </c>
      <c r="AO770" s="25">
        <v>0</v>
      </c>
      <c r="AP770" s="25">
        <f>Lookups!$B$56*0</f>
        <v>0</v>
      </c>
      <c r="AQ770" s="25">
        <f>Lookups!$B$56*1</f>
        <v>89850.625589999996</v>
      </c>
      <c r="AR770" s="25">
        <f>Lookups!$B$57*Inventory[[#This Row],[LnAcres]]</f>
        <v>-58009.662049032086</v>
      </c>
      <c r="AS770" s="25">
        <f>VLOOKUP(Inventory[[#This Row],[Qlty]],Lookups!$A$62:$E$75,2,FALSE)</f>
        <v>21557.329055999999</v>
      </c>
      <c r="AT770" s="25">
        <f>VLOOKUP(Inventory[[#This Row],[Cnd]],Lookups!$A$76:$E$84,2,FALSE)</f>
        <v>197752.34721000001</v>
      </c>
      <c r="AU770" s="25">
        <f>Inventory[[#This Row],[EffAge]]*Lookups!$B$85</f>
        <v>-11375.3256255</v>
      </c>
      <c r="AV770" s="25">
        <f>Inventory[[#This Row],[MainFn]]*Lookups!$B$86</f>
        <v>65219.444237640004</v>
      </c>
      <c r="AW770" s="25">
        <f>Inventory[[#This Row],[UpprFn]]*Lookups!$B$87</f>
        <v>0</v>
      </c>
      <c r="AX770" s="25">
        <f>Inventory[[#This Row],[AddFn]]*Lookups!$B$88</f>
        <v>0</v>
      </c>
      <c r="AY770" s="25">
        <f>Inventory[[#This Row],[Bsmt]]*Lookups!$B$89</f>
        <v>0</v>
      </c>
      <c r="AZ770" s="25">
        <f>Inventory[[#This Row],[Fixtures]]*Lookups!$B$90</f>
        <v>34128.198946800003</v>
      </c>
      <c r="BA770" s="25">
        <f>Inventory[[#This Row],[WdDeck]]*Lookups!$B$91</f>
        <v>0</v>
      </c>
      <c r="BB770" s="25">
        <f>ROUND(Inventory[[#This Row],[25Det]],-2)</f>
        <v>6100</v>
      </c>
      <c r="BC770" s="25">
        <f>ROUND(SUM(Inventory[[#This Row],[Mdl Qlty]:[Mdl WdDeck]])+Inventory[[#This Row],[Mdl Res Intercept]],-2)</f>
        <v>307300</v>
      </c>
      <c r="BD770" s="25">
        <f>ROUND(Inventory[[#This Row],[Mdl Land Intercept]]+Inventory[[#This Row],[Mdl LnAcres]],-2)</f>
        <v>31800</v>
      </c>
      <c r="BE770" s="25">
        <f>Inventory[[#This Row],[Unadj Res Value]]+Inventory[[#This Row],[Unadj Det Value]]+Inventory[[#This Row],[Unadj Land Value]]</f>
        <v>345200</v>
      </c>
      <c r="BF770" s="36">
        <f>(Inventory[[#This Row],[Unadj Total Value]]-Inventory[[#This Row],[24Final]])/Inventory[[#This Row],[24Final]]</f>
        <v>8.7586641461877751E-2</v>
      </c>
      <c r="BG770" s="25">
        <f>VLOOKUP(Inventory[[#This Row],[Nbhd]],Lookups!$Q$2:$T$4,4,FALSE)</f>
        <v>0.99970000000000003</v>
      </c>
      <c r="BH770" s="25">
        <f>VLOOKUP(Inventory[[#This Row],[Qlty]],Lookups!$O$7:$R$21,4,FALSE)</f>
        <v>1.0067999999999999</v>
      </c>
      <c r="BI770" s="25">
        <f>VLOOKUP(Inventory[[#This Row],[Cnd]],Lookups!$T$7:$W$16,4,FALSE)</f>
        <v>0.99650000000000005</v>
      </c>
      <c r="BJ770" s="25">
        <f>VLOOKUP(Inventory[[#This Row],[LivArea Range]],Lookups!$T$25:$W$37,4,FALSE)</f>
        <v>1.0157</v>
      </c>
      <c r="BK770" s="25">
        <f>VLOOKUP(Inventory[[#This Row],[Decade]],Lookups!$O$25:$R$42,4,FALSE)</f>
        <v>0.995</v>
      </c>
      <c r="BL770" s="25">
        <f>Inventory[[#This Row],[Nbhd Adj]]*0.95</f>
        <v>0.94971499999999998</v>
      </c>
      <c r="BM770" s="25">
        <f>Inventory[[#This Row],[Nbhd Adj]]*Inventory[[#This Row],[Quality Adj]]*Inventory[[#This Row],[Condition Adj]]*Inventory[[#This Row],[Living Area Adj]]*Inventory[[#This Row],[Decade Adj]]*0.95</f>
        <v>0.96294690248840986</v>
      </c>
      <c r="BN770" s="25">
        <f>ROUND(SUM(Inventory[[#This Row],[Mdl Qlty]:[Mdl WdDeck]])+Inventory[[#This Row],[Mdl Res Intercept]]*Inventory[[#This Row],[Res Adj ]],-2)</f>
        <v>307300</v>
      </c>
      <c r="BO770" s="25">
        <f>ROUND(Inventory[[#This Row],[25Det]]*Inventory[[#This Row],[Det/Nbhd Adj]],-2)</f>
        <v>5700</v>
      </c>
      <c r="BP770" s="25">
        <f>Inventory[[#This Row],[Adjusted Res]]+Inventory[[#This Row],[Adj Det ]]</f>
        <v>313000</v>
      </c>
      <c r="BQ770" s="25">
        <f>ROUND((Inventory[[#This Row],[Mdl Land Intercept]]+Inventory[[#This Row],[Mdl LnAcres]])*Inventory[[#This Row],[Det/Nbhd Adj]],-2)</f>
        <v>30200</v>
      </c>
      <c r="BR770" s="25">
        <f>Inventory[[#This Row],[Adjusted Impr Total]]+Inventory[[#This Row],[Adjusted Land Total]]</f>
        <v>343200</v>
      </c>
      <c r="BS770" s="36">
        <f>IFERROR((Inventory[[#This Row],[Adjusted Impr Total]]-Inventory[[#This Row],[24Bldg]])/Inventory[[#This Row],[24Bldg]],0)</f>
        <v>0.17316341829085458</v>
      </c>
      <c r="BT770" s="36">
        <f>(Inventory[[#This Row],[Adjusted Land Total]]-Inventory[[#This Row],[24Lnd]])/Inventory[[#This Row],[24Lnd]]</f>
        <v>-0.40316205533596838</v>
      </c>
      <c r="BU770" s="36">
        <f>(Inventory[[#This Row],[Adjusted Total]]-Inventory[[#This Row],[24Final]])/Inventory[[#This Row],[24Final]]</f>
        <v>8.1285444234404536E-2</v>
      </c>
    </row>
    <row r="771" spans="1:73" x14ac:dyDescent="0.3">
      <c r="A771" s="25">
        <v>2025</v>
      </c>
      <c r="B771" s="26" t="s">
        <v>2777</v>
      </c>
      <c r="C771" s="26">
        <f>LN(Inventory[[#This Row],[Acres]])</f>
        <v>-1.8325814637483102</v>
      </c>
      <c r="D771" s="25">
        <v>0.16</v>
      </c>
      <c r="E771" s="25">
        <v>6825</v>
      </c>
      <c r="F771" s="26" t="s">
        <v>537</v>
      </c>
      <c r="G771" s="26" t="s">
        <v>126</v>
      </c>
      <c r="H771" s="26" t="s">
        <v>349</v>
      </c>
      <c r="I771" s="26" t="s">
        <v>538</v>
      </c>
      <c r="J771" s="26" t="s">
        <v>539</v>
      </c>
      <c r="K771" s="26" t="s">
        <v>241</v>
      </c>
      <c r="L771" s="26" t="s">
        <v>351</v>
      </c>
      <c r="M771" s="26" t="s">
        <v>303</v>
      </c>
      <c r="N771" s="26">
        <v>80</v>
      </c>
      <c r="O771" s="26">
        <f>2024-Inventory[[#This Row],[YrBlt]]</f>
        <v>74</v>
      </c>
      <c r="P771" s="26">
        <f>2024-Inventory[[#This Row],[EffYr]]</f>
        <v>51</v>
      </c>
      <c r="Q771" s="25">
        <v>1950</v>
      </c>
      <c r="R771" s="25">
        <v>1973</v>
      </c>
      <c r="S771" s="25">
        <v>1417</v>
      </c>
      <c r="T771" s="27"/>
      <c r="U771" s="27"/>
      <c r="V771" s="27">
        <f>Inventory[[#This Row],[Bsmt]]-Inventory[[#This Row],[FnBsmt]]</f>
        <v>0</v>
      </c>
      <c r="W771" s="27"/>
      <c r="X771" s="27"/>
      <c r="Y771" s="27">
        <f>Inventory[[#This Row],[MainFn]]+Inventory[[#This Row],[UpprFn]]+Inventory[[#This Row],[FnBsmt]]+Inventory[[#This Row],[AddFn]]</f>
        <v>1417</v>
      </c>
      <c r="Z771" s="27">
        <v>1500</v>
      </c>
      <c r="AA771" s="25">
        <v>8</v>
      </c>
      <c r="AB771" s="25">
        <v>336</v>
      </c>
      <c r="AC771" s="27"/>
      <c r="AD771" s="27"/>
      <c r="AE771" s="27"/>
      <c r="AF771" s="27"/>
      <c r="AG771" s="27"/>
      <c r="AH771" s="27"/>
      <c r="AI771" s="25">
        <v>253023</v>
      </c>
      <c r="AJ771" s="25">
        <v>179646</v>
      </c>
      <c r="AK771" s="25">
        <v>0</v>
      </c>
      <c r="AL771" s="25">
        <v>313100</v>
      </c>
      <c r="AM771" s="25">
        <v>50600</v>
      </c>
      <c r="AN771" s="25">
        <v>262500</v>
      </c>
      <c r="AO771" s="25">
        <v>0</v>
      </c>
      <c r="AP771" s="25">
        <f>Lookups!$B$56*0</f>
        <v>0</v>
      </c>
      <c r="AQ771" s="25">
        <f>Lookups!$B$56*1</f>
        <v>89850.625589999996</v>
      </c>
      <c r="AR771" s="25">
        <f>Lookups!$B$57*Inventory[[#This Row],[LnAcres]]</f>
        <v>-58009.662049032086</v>
      </c>
      <c r="AS771" s="25">
        <f>VLOOKUP(Inventory[[#This Row],[Qlty]],Lookups!$A$62:$E$75,2,FALSE)</f>
        <v>21557.329055999999</v>
      </c>
      <c r="AT771" s="25">
        <f>VLOOKUP(Inventory[[#This Row],[Cnd]],Lookups!$A$76:$E$84,2,FALSE)</f>
        <v>197752.34721000001</v>
      </c>
      <c r="AU771" s="25">
        <f>Inventory[[#This Row],[EffAge]]*Lookups!$B$85</f>
        <v>-11375.3256255</v>
      </c>
      <c r="AV771" s="25">
        <f>Inventory[[#This Row],[MainFn]]*Lookups!$B$86</f>
        <v>70012.085215708998</v>
      </c>
      <c r="AW771" s="25">
        <f>Inventory[[#This Row],[UpprFn]]*Lookups!$B$87</f>
        <v>0</v>
      </c>
      <c r="AX771" s="25">
        <f>Inventory[[#This Row],[AddFn]]*Lookups!$B$88</f>
        <v>0</v>
      </c>
      <c r="AY771" s="25">
        <f>Inventory[[#This Row],[Bsmt]]*Lookups!$B$89</f>
        <v>0</v>
      </c>
      <c r="AZ771" s="25">
        <f>Inventory[[#This Row],[Fixtures]]*Lookups!$B$90</f>
        <v>30336.176841600001</v>
      </c>
      <c r="BA771" s="25">
        <f>Inventory[[#This Row],[WdDeck]]*Lookups!$B$91</f>
        <v>0</v>
      </c>
      <c r="BB771" s="25">
        <f>ROUND(Inventory[[#This Row],[25Det]],-2)</f>
        <v>0</v>
      </c>
      <c r="BC771" s="25">
        <f>ROUND(SUM(Inventory[[#This Row],[Mdl Qlty]:[Mdl WdDeck]])+Inventory[[#This Row],[Mdl Res Intercept]],-2)</f>
        <v>308300</v>
      </c>
      <c r="BD771" s="25">
        <f>ROUND(Inventory[[#This Row],[Mdl Land Intercept]]+Inventory[[#This Row],[Mdl LnAcres]],-2)</f>
        <v>31800</v>
      </c>
      <c r="BE771" s="25">
        <f>Inventory[[#This Row],[Unadj Res Value]]+Inventory[[#This Row],[Unadj Det Value]]+Inventory[[#This Row],[Unadj Land Value]]</f>
        <v>340100</v>
      </c>
      <c r="BF771" s="36">
        <f>(Inventory[[#This Row],[Unadj Total Value]]-Inventory[[#This Row],[24Final]])/Inventory[[#This Row],[24Final]]</f>
        <v>8.6234429894602366E-2</v>
      </c>
      <c r="BG771" s="25">
        <f>VLOOKUP(Inventory[[#This Row],[Nbhd]],Lookups!$Q$2:$T$4,4,FALSE)</f>
        <v>0.99970000000000003</v>
      </c>
      <c r="BH771" s="25">
        <f>VLOOKUP(Inventory[[#This Row],[Qlty]],Lookups!$O$7:$R$21,4,FALSE)</f>
        <v>1.0067999999999999</v>
      </c>
      <c r="BI771" s="25">
        <f>VLOOKUP(Inventory[[#This Row],[Cnd]],Lookups!$T$7:$W$16,4,FALSE)</f>
        <v>0.99650000000000005</v>
      </c>
      <c r="BJ771" s="25">
        <f>VLOOKUP(Inventory[[#This Row],[LivArea Range]],Lookups!$T$25:$W$37,4,FALSE)</f>
        <v>1.0157</v>
      </c>
      <c r="BK771" s="25">
        <f>VLOOKUP(Inventory[[#This Row],[Decade]],Lookups!$O$25:$R$42,4,FALSE)</f>
        <v>0.995</v>
      </c>
      <c r="BL771" s="25">
        <f>Inventory[[#This Row],[Nbhd Adj]]*0.95</f>
        <v>0.94971499999999998</v>
      </c>
      <c r="BM771" s="25">
        <f>Inventory[[#This Row],[Nbhd Adj]]*Inventory[[#This Row],[Quality Adj]]*Inventory[[#This Row],[Condition Adj]]*Inventory[[#This Row],[Living Area Adj]]*Inventory[[#This Row],[Decade Adj]]*0.95</f>
        <v>0.96294690248840986</v>
      </c>
      <c r="BN771" s="25">
        <f>ROUND(SUM(Inventory[[#This Row],[Mdl Qlty]:[Mdl WdDeck]])+Inventory[[#This Row],[Mdl Res Intercept]]*Inventory[[#This Row],[Res Adj ]],-2)</f>
        <v>308300</v>
      </c>
      <c r="BO771" s="25">
        <f>ROUND(Inventory[[#This Row],[25Det]]*Inventory[[#This Row],[Det/Nbhd Adj]],-2)</f>
        <v>0</v>
      </c>
      <c r="BP771" s="25">
        <f>Inventory[[#This Row],[Adjusted Res]]+Inventory[[#This Row],[Adj Det ]]</f>
        <v>308300</v>
      </c>
      <c r="BQ771" s="25">
        <f>ROUND((Inventory[[#This Row],[Mdl Land Intercept]]+Inventory[[#This Row],[Mdl LnAcres]])*Inventory[[#This Row],[Det/Nbhd Adj]],-2)</f>
        <v>30200</v>
      </c>
      <c r="BR771" s="25">
        <f>Inventory[[#This Row],[Adjusted Impr Total]]+Inventory[[#This Row],[Adjusted Land Total]]</f>
        <v>338500</v>
      </c>
      <c r="BS771" s="36">
        <f>IFERROR((Inventory[[#This Row],[Adjusted Impr Total]]-Inventory[[#This Row],[24Bldg]])/Inventory[[#This Row],[24Bldg]],0)</f>
        <v>0.17447619047619048</v>
      </c>
      <c r="BT771" s="36">
        <f>(Inventory[[#This Row],[Adjusted Land Total]]-Inventory[[#This Row],[24Lnd]])/Inventory[[#This Row],[24Lnd]]</f>
        <v>-0.40316205533596838</v>
      </c>
      <c r="BU771" s="36">
        <f>(Inventory[[#This Row],[Adjusted Total]]-Inventory[[#This Row],[24Final]])/Inventory[[#This Row],[24Final]]</f>
        <v>8.1124241456403706E-2</v>
      </c>
    </row>
    <row r="772" spans="1:73" x14ac:dyDescent="0.3">
      <c r="A772" s="25">
        <v>2025</v>
      </c>
      <c r="B772" s="26" t="s">
        <v>834</v>
      </c>
      <c r="C772" s="26">
        <f>LN(Inventory[[#This Row],[Acres]])</f>
        <v>-1.8325814637483102</v>
      </c>
      <c r="D772" s="25">
        <v>0.16</v>
      </c>
      <c r="E772" s="25">
        <v>6921</v>
      </c>
      <c r="F772" s="26" t="s">
        <v>537</v>
      </c>
      <c r="G772" s="26" t="s">
        <v>126</v>
      </c>
      <c r="H772" s="26" t="s">
        <v>349</v>
      </c>
      <c r="I772" s="26" t="s">
        <v>538</v>
      </c>
      <c r="J772" s="26" t="s">
        <v>539</v>
      </c>
      <c r="K772" s="26" t="s">
        <v>269</v>
      </c>
      <c r="L772" s="26" t="s">
        <v>351</v>
      </c>
      <c r="M772" s="26" t="s">
        <v>303</v>
      </c>
      <c r="N772" s="26">
        <v>80</v>
      </c>
      <c r="O772" s="26">
        <f>2024-Inventory[[#This Row],[YrBlt]]</f>
        <v>74</v>
      </c>
      <c r="P772" s="26">
        <f>2024-Inventory[[#This Row],[EffYr]]</f>
        <v>51</v>
      </c>
      <c r="Q772" s="25">
        <v>1950</v>
      </c>
      <c r="R772" s="25">
        <v>1973</v>
      </c>
      <c r="S772" s="25">
        <v>981</v>
      </c>
      <c r="T772" s="27"/>
      <c r="U772" s="25">
        <v>306</v>
      </c>
      <c r="V772" s="25">
        <f>Inventory[[#This Row],[Bsmt]]-Inventory[[#This Row],[FnBsmt]]</f>
        <v>0</v>
      </c>
      <c r="W772" s="25">
        <v>306</v>
      </c>
      <c r="X772" s="27"/>
      <c r="Y772" s="27">
        <f>Inventory[[#This Row],[MainFn]]+Inventory[[#This Row],[UpprFn]]+Inventory[[#This Row],[FnBsmt]]+Inventory[[#This Row],[AddFn]]</f>
        <v>1287</v>
      </c>
      <c r="Z772" s="27">
        <v>1500</v>
      </c>
      <c r="AA772" s="25">
        <v>8</v>
      </c>
      <c r="AB772" s="32">
        <v>228</v>
      </c>
      <c r="AC772" s="27"/>
      <c r="AD772" s="31"/>
      <c r="AE772" s="27"/>
      <c r="AF772" s="27"/>
      <c r="AG772" s="27"/>
      <c r="AH772" s="27"/>
      <c r="AI772" s="25">
        <v>223596</v>
      </c>
      <c r="AJ772" s="25">
        <v>158753</v>
      </c>
      <c r="AK772" s="25">
        <v>0</v>
      </c>
      <c r="AL772" s="25">
        <v>301600</v>
      </c>
      <c r="AM772" s="25">
        <v>50600</v>
      </c>
      <c r="AN772" s="25">
        <v>251000</v>
      </c>
      <c r="AO772" s="25">
        <v>0</v>
      </c>
      <c r="AP772" s="25">
        <f>Lookups!$B$56*0</f>
        <v>0</v>
      </c>
      <c r="AQ772" s="25">
        <f>Lookups!$B$56*1</f>
        <v>89850.625589999996</v>
      </c>
      <c r="AR772" s="25">
        <f>Lookups!$B$57*Inventory[[#This Row],[LnAcres]]</f>
        <v>-58009.662049032086</v>
      </c>
      <c r="AS772" s="25">
        <f>VLOOKUP(Inventory[[#This Row],[Qlty]],Lookups!$A$62:$E$75,2,FALSE)</f>
        <v>21557.329055999999</v>
      </c>
      <c r="AT772" s="25">
        <f>VLOOKUP(Inventory[[#This Row],[Cnd]],Lookups!$A$76:$E$84,2,FALSE)</f>
        <v>197752.34721000001</v>
      </c>
      <c r="AU772" s="25">
        <f>Inventory[[#This Row],[EffAge]]*Lookups!$B$85</f>
        <v>-11375.3256255</v>
      </c>
      <c r="AV772" s="25">
        <f>Inventory[[#This Row],[MainFn]]*Lookups!$B$86</f>
        <v>48469.905149336999</v>
      </c>
      <c r="AW772" s="25">
        <f>Inventory[[#This Row],[UpprFn]]*Lookups!$B$87</f>
        <v>0</v>
      </c>
      <c r="AX772" s="25">
        <f>Inventory[[#This Row],[AddFn]]*Lookups!$B$88</f>
        <v>0</v>
      </c>
      <c r="AY772" s="25">
        <f>Inventory[[#This Row],[Bsmt]]*Lookups!$B$89</f>
        <v>8899.0599455819993</v>
      </c>
      <c r="AZ772" s="25">
        <f>Inventory[[#This Row],[Fixtures]]*Lookups!$B$90</f>
        <v>30336.176841600001</v>
      </c>
      <c r="BA772" s="25">
        <f>Inventory[[#This Row],[WdDeck]]*Lookups!$B$91</f>
        <v>0</v>
      </c>
      <c r="BB772" s="25">
        <f>ROUND(Inventory[[#This Row],[25Det]],-2)</f>
        <v>0</v>
      </c>
      <c r="BC772" s="25">
        <f>ROUND(SUM(Inventory[[#This Row],[Mdl Qlty]:[Mdl WdDeck]])+Inventory[[#This Row],[Mdl Res Intercept]],-2)</f>
        <v>295600</v>
      </c>
      <c r="BD772" s="25">
        <f>ROUND(Inventory[[#This Row],[Mdl Land Intercept]]+Inventory[[#This Row],[Mdl LnAcres]],-2)</f>
        <v>31800</v>
      </c>
      <c r="BE772" s="25">
        <f>Inventory[[#This Row],[Unadj Res Value]]+Inventory[[#This Row],[Unadj Det Value]]+Inventory[[#This Row],[Unadj Land Value]]</f>
        <v>327400</v>
      </c>
      <c r="BF772" s="36">
        <f>(Inventory[[#This Row],[Unadj Total Value]]-Inventory[[#This Row],[24Final]])/Inventory[[#This Row],[24Final]]</f>
        <v>8.5543766578249331E-2</v>
      </c>
      <c r="BG772" s="25">
        <f>VLOOKUP(Inventory[[#This Row],[Nbhd]],Lookups!$Q$2:$T$4,4,FALSE)</f>
        <v>0.99970000000000003</v>
      </c>
      <c r="BH772" s="25">
        <f>VLOOKUP(Inventory[[#This Row],[Qlty]],Lookups!$O$7:$R$21,4,FALSE)</f>
        <v>1.0067999999999999</v>
      </c>
      <c r="BI772" s="25">
        <f>VLOOKUP(Inventory[[#This Row],[Cnd]],Lookups!$T$7:$W$16,4,FALSE)</f>
        <v>0.99650000000000005</v>
      </c>
      <c r="BJ772" s="25">
        <f>VLOOKUP(Inventory[[#This Row],[LivArea Range]],Lookups!$T$25:$W$37,4,FALSE)</f>
        <v>1.0157</v>
      </c>
      <c r="BK772" s="25">
        <f>VLOOKUP(Inventory[[#This Row],[Decade]],Lookups!$O$25:$R$42,4,FALSE)</f>
        <v>0.995</v>
      </c>
      <c r="BL772" s="25">
        <f>Inventory[[#This Row],[Nbhd Adj]]*0.95</f>
        <v>0.94971499999999998</v>
      </c>
      <c r="BM772" s="25">
        <f>Inventory[[#This Row],[Nbhd Adj]]*Inventory[[#This Row],[Quality Adj]]*Inventory[[#This Row],[Condition Adj]]*Inventory[[#This Row],[Living Area Adj]]*Inventory[[#This Row],[Decade Adj]]*0.95</f>
        <v>0.96294690248840986</v>
      </c>
      <c r="BN772" s="25">
        <f>ROUND(SUM(Inventory[[#This Row],[Mdl Qlty]:[Mdl WdDeck]])+Inventory[[#This Row],[Mdl Res Intercept]]*Inventory[[#This Row],[Res Adj ]],-2)</f>
        <v>295600</v>
      </c>
      <c r="BO772" s="25">
        <f>ROUND(Inventory[[#This Row],[25Det]]*Inventory[[#This Row],[Det/Nbhd Adj]],-2)</f>
        <v>0</v>
      </c>
      <c r="BP772" s="25">
        <f>Inventory[[#This Row],[Adjusted Res]]+Inventory[[#This Row],[Adj Det ]]</f>
        <v>295600</v>
      </c>
      <c r="BQ772" s="25">
        <f>ROUND((Inventory[[#This Row],[Mdl Land Intercept]]+Inventory[[#This Row],[Mdl LnAcres]])*Inventory[[#This Row],[Det/Nbhd Adj]],-2)</f>
        <v>30200</v>
      </c>
      <c r="BR772" s="25">
        <f>Inventory[[#This Row],[Adjusted Impr Total]]+Inventory[[#This Row],[Adjusted Land Total]]</f>
        <v>325800</v>
      </c>
      <c r="BS772" s="36">
        <f>IFERROR((Inventory[[#This Row],[Adjusted Impr Total]]-Inventory[[#This Row],[24Bldg]])/Inventory[[#This Row],[24Bldg]],0)</f>
        <v>0.17768924302788844</v>
      </c>
      <c r="BT772" s="36">
        <f>(Inventory[[#This Row],[Adjusted Land Total]]-Inventory[[#This Row],[24Lnd]])/Inventory[[#This Row],[24Lnd]]</f>
        <v>-0.40316205533596838</v>
      </c>
      <c r="BU772" s="36">
        <f>(Inventory[[#This Row],[Adjusted Total]]-Inventory[[#This Row],[24Final]])/Inventory[[#This Row],[24Final]]</f>
        <v>8.0238726790450923E-2</v>
      </c>
    </row>
    <row r="773" spans="1:73" x14ac:dyDescent="0.3">
      <c r="A773" s="25">
        <v>2025</v>
      </c>
      <c r="B773" s="26" t="s">
        <v>891</v>
      </c>
      <c r="C773" s="26">
        <f>LN(Inventory[[#This Row],[Acres]])</f>
        <v>-1.5141277326297755</v>
      </c>
      <c r="D773" s="25">
        <v>0.22</v>
      </c>
      <c r="E773" s="25">
        <v>9522</v>
      </c>
      <c r="F773" s="26" t="s">
        <v>537</v>
      </c>
      <c r="G773" s="26" t="s">
        <v>126</v>
      </c>
      <c r="H773" s="26" t="s">
        <v>349</v>
      </c>
      <c r="I773" s="26" t="s">
        <v>538</v>
      </c>
      <c r="J773" s="26" t="s">
        <v>539</v>
      </c>
      <c r="K773" s="26" t="s">
        <v>269</v>
      </c>
      <c r="L773" s="26" t="s">
        <v>302</v>
      </c>
      <c r="M773" s="26" t="s">
        <v>303</v>
      </c>
      <c r="N773" s="26">
        <v>80</v>
      </c>
      <c r="O773" s="26">
        <f>2024-Inventory[[#This Row],[YrBlt]]</f>
        <v>74</v>
      </c>
      <c r="P773" s="26">
        <f>2024-Inventory[[#This Row],[EffYr]]</f>
        <v>51</v>
      </c>
      <c r="Q773" s="25">
        <v>1950</v>
      </c>
      <c r="R773" s="25">
        <v>1973</v>
      </c>
      <c r="S773" s="25">
        <v>1720</v>
      </c>
      <c r="T773" s="27"/>
      <c r="U773" s="25">
        <v>645</v>
      </c>
      <c r="V773" s="25">
        <f>Inventory[[#This Row],[Bsmt]]-Inventory[[#This Row],[FnBsmt]]</f>
        <v>0</v>
      </c>
      <c r="W773" s="25">
        <v>645</v>
      </c>
      <c r="X773" s="27"/>
      <c r="Y773" s="27">
        <f>Inventory[[#This Row],[MainFn]]+Inventory[[#This Row],[UpprFn]]+Inventory[[#This Row],[FnBsmt]]+Inventory[[#This Row],[AddFn]]</f>
        <v>2365</v>
      </c>
      <c r="Z773" s="27">
        <v>2500</v>
      </c>
      <c r="AA773" s="25">
        <v>8</v>
      </c>
      <c r="AB773" s="31"/>
      <c r="AC773" s="32">
        <v>400</v>
      </c>
      <c r="AD773" s="25">
        <v>288</v>
      </c>
      <c r="AE773" s="27"/>
      <c r="AF773" s="27"/>
      <c r="AG773" s="27"/>
      <c r="AH773" s="27"/>
      <c r="AI773" s="25">
        <v>397990</v>
      </c>
      <c r="AJ773" s="25">
        <v>282573</v>
      </c>
      <c r="AK773" s="25">
        <v>0</v>
      </c>
      <c r="AL773" s="25">
        <v>370100</v>
      </c>
      <c r="AM773" s="25">
        <v>61700</v>
      </c>
      <c r="AN773" s="25">
        <v>308400</v>
      </c>
      <c r="AO773" s="25">
        <v>0</v>
      </c>
      <c r="AP773" s="25">
        <f>Lookups!$B$56*0</f>
        <v>0</v>
      </c>
      <c r="AQ773" s="25">
        <f>Lookups!$B$56*1</f>
        <v>89850.625589999996</v>
      </c>
      <c r="AR773" s="25">
        <f>Lookups!$B$57*Inventory[[#This Row],[LnAcres]]</f>
        <v>-47929.131559187132</v>
      </c>
      <c r="AS773" s="25">
        <f>VLOOKUP(Inventory[[#This Row],[Qlty]],Lookups!$A$62:$E$75,2,FALSE)</f>
        <v>29814.093161000001</v>
      </c>
      <c r="AT773" s="25">
        <f>VLOOKUP(Inventory[[#This Row],[Cnd]],Lookups!$A$76:$E$84,2,FALSE)</f>
        <v>197752.34721000001</v>
      </c>
      <c r="AU773" s="25">
        <f>Inventory[[#This Row],[EffAge]]*Lookups!$B$85</f>
        <v>-11375.3256255</v>
      </c>
      <c r="AV773" s="25">
        <f>Inventory[[#This Row],[MainFn]]*Lookups!$B$86</f>
        <v>84982.912188440008</v>
      </c>
      <c r="AW773" s="25">
        <f>Inventory[[#This Row],[UpprFn]]*Lookups!$B$87</f>
        <v>0</v>
      </c>
      <c r="AX773" s="25">
        <f>Inventory[[#This Row],[AddFn]]*Lookups!$B$88</f>
        <v>0</v>
      </c>
      <c r="AY773" s="25">
        <f>Inventory[[#This Row],[Bsmt]]*Lookups!$B$89</f>
        <v>18757.822434315</v>
      </c>
      <c r="AZ773" s="25">
        <f>Inventory[[#This Row],[Fixtures]]*Lookups!$B$90</f>
        <v>30336.176841600001</v>
      </c>
      <c r="BA773" s="25">
        <f>Inventory[[#This Row],[WdDeck]]*Lookups!$B$91</f>
        <v>9589.1083994880009</v>
      </c>
      <c r="BB773" s="25">
        <f>ROUND(Inventory[[#This Row],[25Det]],-2)</f>
        <v>0</v>
      </c>
      <c r="BC773" s="25">
        <f>ROUND(SUM(Inventory[[#This Row],[Mdl Qlty]:[Mdl WdDeck]])+Inventory[[#This Row],[Mdl Res Intercept]],-2)</f>
        <v>359900</v>
      </c>
      <c r="BD773" s="25">
        <f>ROUND(Inventory[[#This Row],[Mdl Land Intercept]]+Inventory[[#This Row],[Mdl LnAcres]],-2)</f>
        <v>41900</v>
      </c>
      <c r="BE773" s="25">
        <f>Inventory[[#This Row],[Unadj Res Value]]+Inventory[[#This Row],[Unadj Det Value]]+Inventory[[#This Row],[Unadj Land Value]]</f>
        <v>401800</v>
      </c>
      <c r="BF773" s="36">
        <f>(Inventory[[#This Row],[Unadj Total Value]]-Inventory[[#This Row],[24Final]])/Inventory[[#This Row],[24Final]]</f>
        <v>8.5652526344231289E-2</v>
      </c>
      <c r="BG773" s="25">
        <f>VLOOKUP(Inventory[[#This Row],[Nbhd]],Lookups!$Q$2:$T$4,4,FALSE)</f>
        <v>0.99970000000000003</v>
      </c>
      <c r="BH773" s="25">
        <f>VLOOKUP(Inventory[[#This Row],[Qlty]],Lookups!$O$7:$R$21,4,FALSE)</f>
        <v>1.0088999999999999</v>
      </c>
      <c r="BI773" s="25">
        <f>VLOOKUP(Inventory[[#This Row],[Cnd]],Lookups!$T$7:$W$16,4,FALSE)</f>
        <v>0.99650000000000005</v>
      </c>
      <c r="BJ773" s="25">
        <f>VLOOKUP(Inventory[[#This Row],[LivArea Range]],Lookups!$T$25:$W$37,4,FALSE)</f>
        <v>0.98919999999999997</v>
      </c>
      <c r="BK773" s="25">
        <f>VLOOKUP(Inventory[[#This Row],[Decade]],Lookups!$O$25:$R$42,4,FALSE)</f>
        <v>0.995</v>
      </c>
      <c r="BL773" s="25">
        <f>Inventory[[#This Row],[Nbhd Adj]]*0.95</f>
        <v>0.94971499999999998</v>
      </c>
      <c r="BM773" s="25">
        <f>Inventory[[#This Row],[Nbhd Adj]]*Inventory[[#This Row],[Quality Adj]]*Inventory[[#This Row],[Condition Adj]]*Inventory[[#This Row],[Living Area Adj]]*Inventory[[#This Row],[Decade Adj]]*0.95</f>
        <v>0.93977937806455991</v>
      </c>
      <c r="BN773" s="25">
        <f>ROUND(SUM(Inventory[[#This Row],[Mdl Qlty]:[Mdl WdDeck]])+Inventory[[#This Row],[Mdl Res Intercept]]*Inventory[[#This Row],[Res Adj ]],-2)</f>
        <v>359900</v>
      </c>
      <c r="BO773" s="25">
        <f>ROUND(Inventory[[#This Row],[25Det]]*Inventory[[#This Row],[Det/Nbhd Adj]],-2)</f>
        <v>0</v>
      </c>
      <c r="BP773" s="25">
        <f>Inventory[[#This Row],[Adjusted Res]]+Inventory[[#This Row],[Adj Det ]]</f>
        <v>359900</v>
      </c>
      <c r="BQ773" s="25">
        <f>ROUND((Inventory[[#This Row],[Mdl Land Intercept]]+Inventory[[#This Row],[Mdl LnAcres]])*Inventory[[#This Row],[Det/Nbhd Adj]],-2)</f>
        <v>39800</v>
      </c>
      <c r="BR773" s="25">
        <f>Inventory[[#This Row],[Adjusted Impr Total]]+Inventory[[#This Row],[Adjusted Land Total]]</f>
        <v>399700</v>
      </c>
      <c r="BS773" s="36">
        <f>IFERROR((Inventory[[#This Row],[Adjusted Impr Total]]-Inventory[[#This Row],[24Bldg]])/Inventory[[#This Row],[24Bldg]],0)</f>
        <v>0.16699092088197146</v>
      </c>
      <c r="BT773" s="36">
        <f>(Inventory[[#This Row],[Adjusted Land Total]]-Inventory[[#This Row],[24Lnd]])/Inventory[[#This Row],[24Lnd]]</f>
        <v>-0.35494327390599678</v>
      </c>
      <c r="BU773" s="36">
        <f>(Inventory[[#This Row],[Adjusted Total]]-Inventory[[#This Row],[24Final]])/Inventory[[#This Row],[24Final]]</f>
        <v>7.9978384220480953E-2</v>
      </c>
    </row>
    <row r="774" spans="1:73" x14ac:dyDescent="0.3">
      <c r="A774" s="25">
        <v>2025</v>
      </c>
      <c r="B774" s="26" t="s">
        <v>1754</v>
      </c>
      <c r="C774" s="26">
        <f>LN(Inventory[[#This Row],[Acres]])</f>
        <v>-1.7147984280919266</v>
      </c>
      <c r="D774" s="25">
        <v>0.18</v>
      </c>
      <c r="E774" s="25">
        <v>8047</v>
      </c>
      <c r="F774" s="26" t="s">
        <v>537</v>
      </c>
      <c r="G774" s="26" t="s">
        <v>126</v>
      </c>
      <c r="H774" s="26" t="s">
        <v>349</v>
      </c>
      <c r="I774" s="26" t="s">
        <v>538</v>
      </c>
      <c r="J774" s="26" t="s">
        <v>539</v>
      </c>
      <c r="K774" s="26" t="s">
        <v>242</v>
      </c>
      <c r="L774" s="26" t="s">
        <v>205</v>
      </c>
      <c r="M774" s="26" t="s">
        <v>206</v>
      </c>
      <c r="N774" s="26">
        <v>80</v>
      </c>
      <c r="O774" s="26">
        <f>2024-Inventory[[#This Row],[YrBlt]]</f>
        <v>74</v>
      </c>
      <c r="P774" s="26">
        <f>2024-Inventory[[#This Row],[EffYr]]</f>
        <v>51</v>
      </c>
      <c r="Q774" s="25">
        <v>1950</v>
      </c>
      <c r="R774" s="25">
        <v>1973</v>
      </c>
      <c r="S774" s="25">
        <v>1030</v>
      </c>
      <c r="T774" s="31"/>
      <c r="U774" s="25">
        <v>1030</v>
      </c>
      <c r="V774" s="25">
        <f>Inventory[[#This Row],[Bsmt]]-Inventory[[#This Row],[FnBsmt]]</f>
        <v>430</v>
      </c>
      <c r="W774" s="25">
        <v>600</v>
      </c>
      <c r="X774" s="27"/>
      <c r="Y774" s="27">
        <f>Inventory[[#This Row],[MainFn]]+Inventory[[#This Row],[UpprFn]]+Inventory[[#This Row],[FnBsmt]]+Inventory[[#This Row],[AddFn]]</f>
        <v>1630</v>
      </c>
      <c r="Z774" s="27">
        <v>2000</v>
      </c>
      <c r="AA774" s="25">
        <v>5</v>
      </c>
      <c r="AB774" s="27"/>
      <c r="AC774" s="27"/>
      <c r="AD774" s="32">
        <v>308</v>
      </c>
      <c r="AE774" s="27"/>
      <c r="AF774" s="27"/>
      <c r="AG774" s="27"/>
      <c r="AH774" s="27"/>
      <c r="AI774" s="25">
        <v>228691</v>
      </c>
      <c r="AJ774" s="25">
        <v>153223</v>
      </c>
      <c r="AK774" s="25">
        <v>6712</v>
      </c>
      <c r="AL774" s="25">
        <v>252600</v>
      </c>
      <c r="AM774" s="25">
        <v>54700</v>
      </c>
      <c r="AN774" s="25">
        <v>197900</v>
      </c>
      <c r="AO774" s="25">
        <v>0</v>
      </c>
      <c r="AP774" s="25">
        <f>Lookups!$B$56*0</f>
        <v>0</v>
      </c>
      <c r="AQ774" s="25">
        <f>Lookups!$B$56*1</f>
        <v>89850.625589999996</v>
      </c>
      <c r="AR774" s="25">
        <f>Lookups!$B$57*Inventory[[#This Row],[LnAcres]]</f>
        <v>-54281.285314520763</v>
      </c>
      <c r="AS774" s="25">
        <f>VLOOKUP(Inventory[[#This Row],[Qlty]],Lookups!$A$62:$E$75,2,FALSE)</f>
        <v>0</v>
      </c>
      <c r="AT774" s="25">
        <f>VLOOKUP(Inventory[[#This Row],[Cnd]],Lookups!$A$76:$E$84,2,FALSE)</f>
        <v>133714.53821</v>
      </c>
      <c r="AU774" s="25">
        <f>Inventory[[#This Row],[EffAge]]*Lookups!$B$85</f>
        <v>-11375.3256255</v>
      </c>
      <c r="AV774" s="25">
        <f>Inventory[[#This Row],[MainFn]]*Lookups!$B$86</f>
        <v>50890.929973309998</v>
      </c>
      <c r="AW774" s="25">
        <f>Inventory[[#This Row],[UpprFn]]*Lookups!$B$87</f>
        <v>0</v>
      </c>
      <c r="AX774" s="25">
        <f>Inventory[[#This Row],[AddFn]]*Lookups!$B$88</f>
        <v>0</v>
      </c>
      <c r="AY774" s="25">
        <f>Inventory[[#This Row],[Bsmt]]*Lookups!$B$89</f>
        <v>29954.352104409998</v>
      </c>
      <c r="AZ774" s="25">
        <f>Inventory[[#This Row],[Fixtures]]*Lookups!$B$90</f>
        <v>18960.110526</v>
      </c>
      <c r="BA774" s="25">
        <f>Inventory[[#This Row],[WdDeck]]*Lookups!$B$91</f>
        <v>10255.018705008</v>
      </c>
      <c r="BB774" s="25">
        <f>ROUND(Inventory[[#This Row],[25Det]],-2)</f>
        <v>6700</v>
      </c>
      <c r="BC774" s="25">
        <f>ROUND(SUM(Inventory[[#This Row],[Mdl Qlty]:[Mdl WdDeck]])+Inventory[[#This Row],[Mdl Res Intercept]],-2)</f>
        <v>232400</v>
      </c>
      <c r="BD774" s="25">
        <f>ROUND(Inventory[[#This Row],[Mdl Land Intercept]]+Inventory[[#This Row],[Mdl LnAcres]],-2)</f>
        <v>35600</v>
      </c>
      <c r="BE774" s="25">
        <f>Inventory[[#This Row],[Unadj Res Value]]+Inventory[[#This Row],[Unadj Det Value]]+Inventory[[#This Row],[Unadj Land Value]]</f>
        <v>274700</v>
      </c>
      <c r="BF774" s="36">
        <f>(Inventory[[#This Row],[Unadj Total Value]]-Inventory[[#This Row],[24Final]])/Inventory[[#This Row],[24Final]]</f>
        <v>8.7490102929532854E-2</v>
      </c>
      <c r="BG774" s="25">
        <f>VLOOKUP(Inventory[[#This Row],[Nbhd]],Lookups!$Q$2:$T$4,4,FALSE)</f>
        <v>0.99970000000000003</v>
      </c>
      <c r="BH774" s="25">
        <f>VLOOKUP(Inventory[[#This Row],[Qlty]],Lookups!$O$7:$R$21,4,FALSE)</f>
        <v>0.99180000000000001</v>
      </c>
      <c r="BI774" s="25">
        <f>VLOOKUP(Inventory[[#This Row],[Cnd]],Lookups!$T$7:$W$16,4,FALSE)</f>
        <v>0.99329999999999996</v>
      </c>
      <c r="BJ774" s="25">
        <f>VLOOKUP(Inventory[[#This Row],[LivArea Range]],Lookups!$T$25:$W$37,4,FALSE)</f>
        <v>1.0093000000000001</v>
      </c>
      <c r="BK774" s="25">
        <f>VLOOKUP(Inventory[[#This Row],[Decade]],Lookups!$O$25:$R$42,4,FALSE)</f>
        <v>0.995</v>
      </c>
      <c r="BL774" s="25">
        <f>Inventory[[#This Row],[Nbhd Adj]]*0.95</f>
        <v>0.94971499999999998</v>
      </c>
      <c r="BM774" s="25">
        <f>Inventory[[#This Row],[Nbhd Adj]]*Inventory[[#This Row],[Quality Adj]]*Inventory[[#This Row],[Condition Adj]]*Inventory[[#This Row],[Living Area Adj]]*Inventory[[#This Row],[Decade Adj]]*0.95</f>
        <v>0.93959606830091247</v>
      </c>
      <c r="BN774" s="25">
        <f>ROUND(SUM(Inventory[[#This Row],[Mdl Qlty]:[Mdl WdDeck]])+Inventory[[#This Row],[Mdl Res Intercept]]*Inventory[[#This Row],[Res Adj ]],-2)</f>
        <v>232400</v>
      </c>
      <c r="BO774" s="25">
        <f>ROUND(Inventory[[#This Row],[25Det]]*Inventory[[#This Row],[Det/Nbhd Adj]],-2)</f>
        <v>6400</v>
      </c>
      <c r="BP774" s="25">
        <f>Inventory[[#This Row],[Adjusted Res]]+Inventory[[#This Row],[Adj Det ]]</f>
        <v>238800</v>
      </c>
      <c r="BQ774" s="25">
        <f>ROUND((Inventory[[#This Row],[Mdl Land Intercept]]+Inventory[[#This Row],[Mdl LnAcres]])*Inventory[[#This Row],[Det/Nbhd Adj]],-2)</f>
        <v>33800</v>
      </c>
      <c r="BR774" s="25">
        <f>Inventory[[#This Row],[Adjusted Impr Total]]+Inventory[[#This Row],[Adjusted Land Total]]</f>
        <v>272600</v>
      </c>
      <c r="BS774" s="36">
        <f>IFERROR((Inventory[[#This Row],[Adjusted Impr Total]]-Inventory[[#This Row],[24Bldg]])/Inventory[[#This Row],[24Bldg]],0)</f>
        <v>0.20667003537139969</v>
      </c>
      <c r="BT774" s="36">
        <f>(Inventory[[#This Row],[Adjusted Land Total]]-Inventory[[#This Row],[24Lnd]])/Inventory[[#This Row],[24Lnd]]</f>
        <v>-0.38208409506398539</v>
      </c>
      <c r="BU774" s="36">
        <f>(Inventory[[#This Row],[Adjusted Total]]-Inventory[[#This Row],[24Final]])/Inventory[[#This Row],[24Final]]</f>
        <v>7.9176563737133804E-2</v>
      </c>
    </row>
    <row r="775" spans="1:73" x14ac:dyDescent="0.3">
      <c r="A775" s="25">
        <v>2025</v>
      </c>
      <c r="B775" s="26" t="s">
        <v>2676</v>
      </c>
      <c r="C775" s="26">
        <f>LN(Inventory[[#This Row],[Acres]])</f>
        <v>-1.8325814637483102</v>
      </c>
      <c r="D775" s="25">
        <v>0.16</v>
      </c>
      <c r="E775" s="31"/>
      <c r="F775" s="26" t="s">
        <v>537</v>
      </c>
      <c r="G775" s="26" t="s">
        <v>126</v>
      </c>
      <c r="H775" s="26" t="s">
        <v>349</v>
      </c>
      <c r="I775" s="26" t="s">
        <v>538</v>
      </c>
      <c r="J775" s="26" t="s">
        <v>539</v>
      </c>
      <c r="K775" s="26" t="s">
        <v>241</v>
      </c>
      <c r="L775" s="26" t="s">
        <v>351</v>
      </c>
      <c r="M775" s="26" t="s">
        <v>303</v>
      </c>
      <c r="N775" s="26">
        <v>80</v>
      </c>
      <c r="O775" s="26">
        <f>2024-Inventory[[#This Row],[YrBlt]]</f>
        <v>74</v>
      </c>
      <c r="P775" s="26">
        <f>2024-Inventory[[#This Row],[EffYr]]</f>
        <v>51</v>
      </c>
      <c r="Q775" s="25">
        <v>1950</v>
      </c>
      <c r="R775" s="25">
        <v>1973</v>
      </c>
      <c r="S775" s="25">
        <v>1570</v>
      </c>
      <c r="T775" s="27"/>
      <c r="U775" s="31"/>
      <c r="V775" s="31">
        <f>Inventory[[#This Row],[Bsmt]]-Inventory[[#This Row],[FnBsmt]]</f>
        <v>0</v>
      </c>
      <c r="W775" s="31"/>
      <c r="X775" s="27"/>
      <c r="Y775" s="27">
        <f>Inventory[[#This Row],[MainFn]]+Inventory[[#This Row],[UpprFn]]+Inventory[[#This Row],[FnBsmt]]+Inventory[[#This Row],[AddFn]]</f>
        <v>1570</v>
      </c>
      <c r="Z775" s="27">
        <v>2000</v>
      </c>
      <c r="AA775" s="25">
        <v>5</v>
      </c>
      <c r="AB775" s="25">
        <v>286</v>
      </c>
      <c r="AC775" s="27"/>
      <c r="AD775" s="27"/>
      <c r="AE775" s="27"/>
      <c r="AF775" s="27"/>
      <c r="AG775" s="27"/>
      <c r="AH775" s="27"/>
      <c r="AI775" s="25">
        <v>260428</v>
      </c>
      <c r="AJ775" s="25">
        <v>184904</v>
      </c>
      <c r="AK775" s="25">
        <v>0</v>
      </c>
      <c r="AL775" s="25">
        <v>310300</v>
      </c>
      <c r="AM775" s="25">
        <v>50600</v>
      </c>
      <c r="AN775" s="25">
        <v>259700</v>
      </c>
      <c r="AO775" s="25">
        <v>0</v>
      </c>
      <c r="AP775" s="25">
        <f>Lookups!$B$56*0</f>
        <v>0</v>
      </c>
      <c r="AQ775" s="25">
        <f>Lookups!$B$56*1</f>
        <v>89850.625589999996</v>
      </c>
      <c r="AR775" s="25">
        <f>Lookups!$B$57*Inventory[[#This Row],[LnAcres]]</f>
        <v>-58009.662049032086</v>
      </c>
      <c r="AS775" s="25">
        <f>VLOOKUP(Inventory[[#This Row],[Qlty]],Lookups!$A$62:$E$75,2,FALSE)</f>
        <v>21557.329055999999</v>
      </c>
      <c r="AT775" s="25">
        <f>VLOOKUP(Inventory[[#This Row],[Cnd]],Lookups!$A$76:$E$84,2,FALSE)</f>
        <v>197752.34721000001</v>
      </c>
      <c r="AU775" s="25">
        <f>Inventory[[#This Row],[EffAge]]*Lookups!$B$85</f>
        <v>-11375.3256255</v>
      </c>
      <c r="AV775" s="25">
        <f>Inventory[[#This Row],[MainFn]]*Lookups!$B$86</f>
        <v>77571.611706890006</v>
      </c>
      <c r="AW775" s="25">
        <f>Inventory[[#This Row],[UpprFn]]*Lookups!$B$87</f>
        <v>0</v>
      </c>
      <c r="AX775" s="25">
        <f>Inventory[[#This Row],[AddFn]]*Lookups!$B$88</f>
        <v>0</v>
      </c>
      <c r="AY775" s="25">
        <f>Inventory[[#This Row],[Bsmt]]*Lookups!$B$89</f>
        <v>0</v>
      </c>
      <c r="AZ775" s="25">
        <f>Inventory[[#This Row],[Fixtures]]*Lookups!$B$90</f>
        <v>18960.110526</v>
      </c>
      <c r="BA775" s="25">
        <f>Inventory[[#This Row],[WdDeck]]*Lookups!$B$91</f>
        <v>0</v>
      </c>
      <c r="BB775" s="25">
        <f>ROUND(Inventory[[#This Row],[25Det]],-2)</f>
        <v>0</v>
      </c>
      <c r="BC775" s="25">
        <f>ROUND(SUM(Inventory[[#This Row],[Mdl Qlty]:[Mdl WdDeck]])+Inventory[[#This Row],[Mdl Res Intercept]],-2)</f>
        <v>304500</v>
      </c>
      <c r="BD775" s="25">
        <f>ROUND(Inventory[[#This Row],[Mdl Land Intercept]]+Inventory[[#This Row],[Mdl LnAcres]],-2)</f>
        <v>31800</v>
      </c>
      <c r="BE775" s="25">
        <f>Inventory[[#This Row],[Unadj Res Value]]+Inventory[[#This Row],[Unadj Det Value]]+Inventory[[#This Row],[Unadj Land Value]]</f>
        <v>336300</v>
      </c>
      <c r="BF775" s="36">
        <f>(Inventory[[#This Row],[Unadj Total Value]]-Inventory[[#This Row],[24Final]])/Inventory[[#This Row],[24Final]]</f>
        <v>8.3789880760554297E-2</v>
      </c>
      <c r="BG775" s="25">
        <f>VLOOKUP(Inventory[[#This Row],[Nbhd]],Lookups!$Q$2:$T$4,4,FALSE)</f>
        <v>0.99970000000000003</v>
      </c>
      <c r="BH775" s="25">
        <f>VLOOKUP(Inventory[[#This Row],[Qlty]],Lookups!$O$7:$R$21,4,FALSE)</f>
        <v>1.0067999999999999</v>
      </c>
      <c r="BI775" s="25">
        <f>VLOOKUP(Inventory[[#This Row],[Cnd]],Lookups!$T$7:$W$16,4,FALSE)</f>
        <v>0.99650000000000005</v>
      </c>
      <c r="BJ775" s="25">
        <f>VLOOKUP(Inventory[[#This Row],[LivArea Range]],Lookups!$T$25:$W$37,4,FALSE)</f>
        <v>1.0093000000000001</v>
      </c>
      <c r="BK775" s="25">
        <f>VLOOKUP(Inventory[[#This Row],[Decade]],Lookups!$O$25:$R$42,4,FALSE)</f>
        <v>0.995</v>
      </c>
      <c r="BL775" s="25">
        <f>Inventory[[#This Row],[Nbhd Adj]]*0.95</f>
        <v>0.94971499999999998</v>
      </c>
      <c r="BM775" s="25">
        <f>Inventory[[#This Row],[Nbhd Adj]]*Inventory[[#This Row],[Quality Adj]]*Inventory[[#This Row],[Condition Adj]]*Inventory[[#This Row],[Living Area Adj]]*Inventory[[#This Row],[Decade Adj]]*0.95</f>
        <v>0.95687930361479956</v>
      </c>
      <c r="BN775" s="25">
        <f>ROUND(SUM(Inventory[[#This Row],[Mdl Qlty]:[Mdl WdDeck]])+Inventory[[#This Row],[Mdl Res Intercept]]*Inventory[[#This Row],[Res Adj ]],-2)</f>
        <v>304500</v>
      </c>
      <c r="BO775" s="25">
        <f>ROUND(Inventory[[#This Row],[25Det]]*Inventory[[#This Row],[Det/Nbhd Adj]],-2)</f>
        <v>0</v>
      </c>
      <c r="BP775" s="25">
        <f>Inventory[[#This Row],[Adjusted Res]]+Inventory[[#This Row],[Adj Det ]]</f>
        <v>304500</v>
      </c>
      <c r="BQ775" s="25">
        <f>ROUND((Inventory[[#This Row],[Mdl Land Intercept]]+Inventory[[#This Row],[Mdl LnAcres]])*Inventory[[#This Row],[Det/Nbhd Adj]],-2)</f>
        <v>30200</v>
      </c>
      <c r="BR775" s="25">
        <f>Inventory[[#This Row],[Adjusted Impr Total]]+Inventory[[#This Row],[Adjusted Land Total]]</f>
        <v>334700</v>
      </c>
      <c r="BS775" s="36">
        <f>IFERROR((Inventory[[#This Row],[Adjusted Impr Total]]-Inventory[[#This Row],[24Bldg]])/Inventory[[#This Row],[24Bldg]],0)</f>
        <v>0.1725067385444744</v>
      </c>
      <c r="BT775" s="36">
        <f>(Inventory[[#This Row],[Adjusted Land Total]]-Inventory[[#This Row],[24Lnd]])/Inventory[[#This Row],[24Lnd]]</f>
        <v>-0.40316205533596838</v>
      </c>
      <c r="BU775" s="36">
        <f>(Inventory[[#This Row],[Adjusted Total]]-Inventory[[#This Row],[24Final]])/Inventory[[#This Row],[24Final]]</f>
        <v>7.8633580406058654E-2</v>
      </c>
    </row>
    <row r="776" spans="1:73" x14ac:dyDescent="0.3">
      <c r="A776" s="25">
        <v>2025</v>
      </c>
      <c r="B776" s="26" t="s">
        <v>1728</v>
      </c>
      <c r="C776" s="26">
        <f>LN(Inventory[[#This Row],[Acres]])</f>
        <v>-1.6094379124341003</v>
      </c>
      <c r="D776" s="25">
        <v>0.2</v>
      </c>
      <c r="E776" s="31"/>
      <c r="F776" s="26" t="s">
        <v>537</v>
      </c>
      <c r="G776" s="26" t="s">
        <v>126</v>
      </c>
      <c r="H776" s="26" t="s">
        <v>349</v>
      </c>
      <c r="I776" s="26" t="s">
        <v>538</v>
      </c>
      <c r="J776" s="26" t="s">
        <v>539</v>
      </c>
      <c r="K776" s="26" t="s">
        <v>241</v>
      </c>
      <c r="L776" s="26" t="s">
        <v>351</v>
      </c>
      <c r="M776" s="26" t="s">
        <v>303</v>
      </c>
      <c r="N776" s="26">
        <v>80</v>
      </c>
      <c r="O776" s="26">
        <f>2024-Inventory[[#This Row],[YrBlt]]</f>
        <v>74</v>
      </c>
      <c r="P776" s="26">
        <f>2024-Inventory[[#This Row],[EffYr]]</f>
        <v>51</v>
      </c>
      <c r="Q776" s="25">
        <v>1950</v>
      </c>
      <c r="R776" s="25">
        <v>1973</v>
      </c>
      <c r="S776" s="25">
        <v>1257</v>
      </c>
      <c r="T776" s="27"/>
      <c r="U776" s="25">
        <v>306</v>
      </c>
      <c r="V776" s="25">
        <f>Inventory[[#This Row],[Bsmt]]-Inventory[[#This Row],[FnBsmt]]</f>
        <v>1</v>
      </c>
      <c r="W776" s="25">
        <v>305</v>
      </c>
      <c r="X776" s="27"/>
      <c r="Y776" s="27">
        <f>Inventory[[#This Row],[MainFn]]+Inventory[[#This Row],[UpprFn]]+Inventory[[#This Row],[FnBsmt]]+Inventory[[#This Row],[AddFn]]</f>
        <v>1562</v>
      </c>
      <c r="Z776" s="27">
        <v>2000</v>
      </c>
      <c r="AA776" s="25">
        <v>8</v>
      </c>
      <c r="AB776" s="27"/>
      <c r="AC776" s="27"/>
      <c r="AD776" s="27"/>
      <c r="AE776" s="27"/>
      <c r="AF776" s="27"/>
      <c r="AG776" s="27"/>
      <c r="AH776" s="27"/>
      <c r="AI776" s="25">
        <v>245791</v>
      </c>
      <c r="AJ776" s="25">
        <v>174512</v>
      </c>
      <c r="AK776" s="25">
        <v>6313</v>
      </c>
      <c r="AL776" s="25">
        <v>326700</v>
      </c>
      <c r="AM776" s="25">
        <v>58400</v>
      </c>
      <c r="AN776" s="25">
        <v>268300</v>
      </c>
      <c r="AO776" s="25">
        <v>0</v>
      </c>
      <c r="AP776" s="25">
        <f>Lookups!$B$56*0</f>
        <v>0</v>
      </c>
      <c r="AQ776" s="25">
        <f>Lookups!$B$56*1</f>
        <v>89850.625589999996</v>
      </c>
      <c r="AR776" s="25">
        <f>Lookups!$B$57*Inventory[[#This Row],[LnAcres]]</f>
        <v>-50946.13867709865</v>
      </c>
      <c r="AS776" s="25">
        <f>VLOOKUP(Inventory[[#This Row],[Qlty]],Lookups!$A$62:$E$75,2,FALSE)</f>
        <v>21557.329055999999</v>
      </c>
      <c r="AT776" s="25">
        <f>VLOOKUP(Inventory[[#This Row],[Cnd]],Lookups!$A$76:$E$84,2,FALSE)</f>
        <v>197752.34721000001</v>
      </c>
      <c r="AU776" s="25">
        <f>Inventory[[#This Row],[EffAge]]*Lookups!$B$85</f>
        <v>-11375.3256255</v>
      </c>
      <c r="AV776" s="25">
        <f>Inventory[[#This Row],[MainFn]]*Lookups!$B$86</f>
        <v>62106.698035389003</v>
      </c>
      <c r="AW776" s="25">
        <f>Inventory[[#This Row],[UpprFn]]*Lookups!$B$87</f>
        <v>0</v>
      </c>
      <c r="AX776" s="25">
        <f>Inventory[[#This Row],[AddFn]]*Lookups!$B$88</f>
        <v>0</v>
      </c>
      <c r="AY776" s="25">
        <f>Inventory[[#This Row],[Bsmt]]*Lookups!$B$89</f>
        <v>8899.0599455819993</v>
      </c>
      <c r="AZ776" s="25">
        <f>Inventory[[#This Row],[Fixtures]]*Lookups!$B$90</f>
        <v>30336.176841600001</v>
      </c>
      <c r="BA776" s="25">
        <f>Inventory[[#This Row],[WdDeck]]*Lookups!$B$91</f>
        <v>0</v>
      </c>
      <c r="BB776" s="25">
        <f>ROUND(Inventory[[#This Row],[25Det]],-2)</f>
        <v>6300</v>
      </c>
      <c r="BC776" s="25">
        <f>ROUND(SUM(Inventory[[#This Row],[Mdl Qlty]:[Mdl WdDeck]])+Inventory[[#This Row],[Mdl Res Intercept]],-2)</f>
        <v>309300</v>
      </c>
      <c r="BD776" s="25">
        <f>ROUND(Inventory[[#This Row],[Mdl Land Intercept]]+Inventory[[#This Row],[Mdl LnAcres]],-2)</f>
        <v>38900</v>
      </c>
      <c r="BE776" s="25">
        <f>Inventory[[#This Row],[Unadj Res Value]]+Inventory[[#This Row],[Unadj Det Value]]+Inventory[[#This Row],[Unadj Land Value]]</f>
        <v>354500</v>
      </c>
      <c r="BF776" s="36">
        <f>(Inventory[[#This Row],[Unadj Total Value]]-Inventory[[#This Row],[24Final]])/Inventory[[#This Row],[24Final]]</f>
        <v>8.5093357820630544E-2</v>
      </c>
      <c r="BG776" s="25">
        <f>VLOOKUP(Inventory[[#This Row],[Nbhd]],Lookups!$Q$2:$T$4,4,FALSE)</f>
        <v>0.99970000000000003</v>
      </c>
      <c r="BH776" s="25">
        <f>VLOOKUP(Inventory[[#This Row],[Qlty]],Lookups!$O$7:$R$21,4,FALSE)</f>
        <v>1.0067999999999999</v>
      </c>
      <c r="BI776" s="25">
        <f>VLOOKUP(Inventory[[#This Row],[Cnd]],Lookups!$T$7:$W$16,4,FALSE)</f>
        <v>0.99650000000000005</v>
      </c>
      <c r="BJ776" s="25">
        <f>VLOOKUP(Inventory[[#This Row],[LivArea Range]],Lookups!$T$25:$W$37,4,FALSE)</f>
        <v>1.0093000000000001</v>
      </c>
      <c r="BK776" s="25">
        <f>VLOOKUP(Inventory[[#This Row],[Decade]],Lookups!$O$25:$R$42,4,FALSE)</f>
        <v>0.995</v>
      </c>
      <c r="BL776" s="25">
        <f>Inventory[[#This Row],[Nbhd Adj]]*0.95</f>
        <v>0.94971499999999998</v>
      </c>
      <c r="BM776" s="25">
        <f>Inventory[[#This Row],[Nbhd Adj]]*Inventory[[#This Row],[Quality Adj]]*Inventory[[#This Row],[Condition Adj]]*Inventory[[#This Row],[Living Area Adj]]*Inventory[[#This Row],[Decade Adj]]*0.95</f>
        <v>0.95687930361479956</v>
      </c>
      <c r="BN776" s="25">
        <f>ROUND(SUM(Inventory[[#This Row],[Mdl Qlty]:[Mdl WdDeck]])+Inventory[[#This Row],[Mdl Res Intercept]]*Inventory[[#This Row],[Res Adj ]],-2)</f>
        <v>309300</v>
      </c>
      <c r="BO776" s="25">
        <f>ROUND(Inventory[[#This Row],[25Det]]*Inventory[[#This Row],[Det/Nbhd Adj]],-2)</f>
        <v>6000</v>
      </c>
      <c r="BP776" s="25">
        <f>Inventory[[#This Row],[Adjusted Res]]+Inventory[[#This Row],[Adj Det ]]</f>
        <v>315300</v>
      </c>
      <c r="BQ776" s="25">
        <f>ROUND((Inventory[[#This Row],[Mdl Land Intercept]]+Inventory[[#This Row],[Mdl LnAcres]])*Inventory[[#This Row],[Det/Nbhd Adj]],-2)</f>
        <v>36900</v>
      </c>
      <c r="BR776" s="25">
        <f>Inventory[[#This Row],[Adjusted Impr Total]]+Inventory[[#This Row],[Adjusted Land Total]]</f>
        <v>352200</v>
      </c>
      <c r="BS776" s="36">
        <f>IFERROR((Inventory[[#This Row],[Adjusted Impr Total]]-Inventory[[#This Row],[24Bldg]])/Inventory[[#This Row],[24Bldg]],0)</f>
        <v>0.17517704062616474</v>
      </c>
      <c r="BT776" s="36">
        <f>(Inventory[[#This Row],[Adjusted Land Total]]-Inventory[[#This Row],[24Lnd]])/Inventory[[#This Row],[24Lnd]]</f>
        <v>-0.36815068493150682</v>
      </c>
      <c r="BU776" s="36">
        <f>(Inventory[[#This Row],[Adjusted Total]]-Inventory[[#This Row],[24Final]])/Inventory[[#This Row],[24Final]]</f>
        <v>7.8053259871441696E-2</v>
      </c>
    </row>
    <row r="777" spans="1:73" x14ac:dyDescent="0.3">
      <c r="A777" s="25">
        <v>2025</v>
      </c>
      <c r="B777" s="26" t="s">
        <v>1864</v>
      </c>
      <c r="C777" s="26">
        <f>LN(Inventory[[#This Row],[Acres]])</f>
        <v>-1.4696759700589417</v>
      </c>
      <c r="D777" s="25">
        <v>0.23</v>
      </c>
      <c r="E777" s="31"/>
      <c r="F777" s="26" t="s">
        <v>537</v>
      </c>
      <c r="G777" s="26" t="s">
        <v>126</v>
      </c>
      <c r="H777" s="26" t="s">
        <v>349</v>
      </c>
      <c r="I777" s="26" t="s">
        <v>538</v>
      </c>
      <c r="J777" s="26" t="s">
        <v>539</v>
      </c>
      <c r="K777" s="26" t="s">
        <v>242</v>
      </c>
      <c r="L777" s="26" t="s">
        <v>351</v>
      </c>
      <c r="M777" s="26" t="s">
        <v>303</v>
      </c>
      <c r="N777" s="26">
        <v>80</v>
      </c>
      <c r="O777" s="26">
        <f>2024-Inventory[[#This Row],[YrBlt]]</f>
        <v>74</v>
      </c>
      <c r="P777" s="26">
        <f>2024-Inventory[[#This Row],[EffYr]]</f>
        <v>51</v>
      </c>
      <c r="Q777" s="25">
        <v>1950</v>
      </c>
      <c r="R777" s="25">
        <v>1973</v>
      </c>
      <c r="S777" s="25">
        <v>1575</v>
      </c>
      <c r="T777" s="27"/>
      <c r="U777" s="31"/>
      <c r="V777" s="31">
        <f>Inventory[[#This Row],[Bsmt]]-Inventory[[#This Row],[FnBsmt]]</f>
        <v>0</v>
      </c>
      <c r="W777" s="31"/>
      <c r="X777" s="27"/>
      <c r="Y777" s="27">
        <f>Inventory[[#This Row],[MainFn]]+Inventory[[#This Row],[UpprFn]]+Inventory[[#This Row],[FnBsmt]]+Inventory[[#This Row],[AddFn]]</f>
        <v>1575</v>
      </c>
      <c r="Z777" s="27">
        <v>2000</v>
      </c>
      <c r="AA777" s="25">
        <v>5</v>
      </c>
      <c r="AB777" s="32">
        <v>240</v>
      </c>
      <c r="AC777" s="27"/>
      <c r="AD777" s="31"/>
      <c r="AE777" s="27"/>
      <c r="AF777" s="27"/>
      <c r="AG777" s="27"/>
      <c r="AH777" s="27"/>
      <c r="AI777" s="25">
        <v>256992</v>
      </c>
      <c r="AJ777" s="25">
        <v>182464</v>
      </c>
      <c r="AK777" s="25">
        <v>0</v>
      </c>
      <c r="AL777" s="25">
        <v>321000</v>
      </c>
      <c r="AM777" s="25">
        <v>63300</v>
      </c>
      <c r="AN777" s="25">
        <v>257700</v>
      </c>
      <c r="AO777" s="25">
        <v>0</v>
      </c>
      <c r="AP777" s="25">
        <f>Lookups!$B$56*0</f>
        <v>0</v>
      </c>
      <c r="AQ777" s="25">
        <f>Lookups!$B$56*1</f>
        <v>89850.625589999996</v>
      </c>
      <c r="AR777" s="25">
        <f>Lookups!$B$57*Inventory[[#This Row],[LnAcres]]</f>
        <v>-46522.028095997222</v>
      </c>
      <c r="AS777" s="25">
        <f>VLOOKUP(Inventory[[#This Row],[Qlty]],Lookups!$A$62:$E$75,2,FALSE)</f>
        <v>21557.329055999999</v>
      </c>
      <c r="AT777" s="25">
        <f>VLOOKUP(Inventory[[#This Row],[Cnd]],Lookups!$A$76:$E$84,2,FALSE)</f>
        <v>197752.34721000001</v>
      </c>
      <c r="AU777" s="25">
        <f>Inventory[[#This Row],[EffAge]]*Lookups!$B$85</f>
        <v>-11375.3256255</v>
      </c>
      <c r="AV777" s="25">
        <f>Inventory[[#This Row],[MainFn]]*Lookups!$B$86</f>
        <v>77818.655056275005</v>
      </c>
      <c r="AW777" s="25">
        <f>Inventory[[#This Row],[UpprFn]]*Lookups!$B$87</f>
        <v>0</v>
      </c>
      <c r="AX777" s="25">
        <f>Inventory[[#This Row],[AddFn]]*Lookups!$B$88</f>
        <v>0</v>
      </c>
      <c r="AY777" s="25">
        <f>Inventory[[#This Row],[Bsmt]]*Lookups!$B$89</f>
        <v>0</v>
      </c>
      <c r="AZ777" s="25">
        <f>Inventory[[#This Row],[Fixtures]]*Lookups!$B$90</f>
        <v>18960.110526</v>
      </c>
      <c r="BA777" s="25">
        <f>Inventory[[#This Row],[WdDeck]]*Lookups!$B$91</f>
        <v>0</v>
      </c>
      <c r="BB777" s="25">
        <f>ROUND(Inventory[[#This Row],[25Det]],-2)</f>
        <v>0</v>
      </c>
      <c r="BC777" s="25">
        <f>ROUND(SUM(Inventory[[#This Row],[Mdl Qlty]:[Mdl WdDeck]])+Inventory[[#This Row],[Mdl Res Intercept]],-2)</f>
        <v>304700</v>
      </c>
      <c r="BD777" s="25">
        <f>ROUND(Inventory[[#This Row],[Mdl Land Intercept]]+Inventory[[#This Row],[Mdl LnAcres]],-2)</f>
        <v>43300</v>
      </c>
      <c r="BE777" s="25">
        <f>Inventory[[#This Row],[Unadj Res Value]]+Inventory[[#This Row],[Unadj Det Value]]+Inventory[[#This Row],[Unadj Land Value]]</f>
        <v>348000</v>
      </c>
      <c r="BF777" s="36">
        <f>(Inventory[[#This Row],[Unadj Total Value]]-Inventory[[#This Row],[24Final]])/Inventory[[#This Row],[24Final]]</f>
        <v>8.4112149532710276E-2</v>
      </c>
      <c r="BG777" s="25">
        <f>VLOOKUP(Inventory[[#This Row],[Nbhd]],Lookups!$Q$2:$T$4,4,FALSE)</f>
        <v>0.99970000000000003</v>
      </c>
      <c r="BH777" s="25">
        <f>VLOOKUP(Inventory[[#This Row],[Qlty]],Lookups!$O$7:$R$21,4,FALSE)</f>
        <v>1.0067999999999999</v>
      </c>
      <c r="BI777" s="25">
        <f>VLOOKUP(Inventory[[#This Row],[Cnd]],Lookups!$T$7:$W$16,4,FALSE)</f>
        <v>0.99650000000000005</v>
      </c>
      <c r="BJ777" s="25">
        <f>VLOOKUP(Inventory[[#This Row],[LivArea Range]],Lookups!$T$25:$W$37,4,FALSE)</f>
        <v>1.0093000000000001</v>
      </c>
      <c r="BK777" s="25">
        <f>VLOOKUP(Inventory[[#This Row],[Decade]],Lookups!$O$25:$R$42,4,FALSE)</f>
        <v>0.995</v>
      </c>
      <c r="BL777" s="25">
        <f>Inventory[[#This Row],[Nbhd Adj]]*0.95</f>
        <v>0.94971499999999998</v>
      </c>
      <c r="BM777" s="25">
        <f>Inventory[[#This Row],[Nbhd Adj]]*Inventory[[#This Row],[Quality Adj]]*Inventory[[#This Row],[Condition Adj]]*Inventory[[#This Row],[Living Area Adj]]*Inventory[[#This Row],[Decade Adj]]*0.95</f>
        <v>0.95687930361479956</v>
      </c>
      <c r="BN777" s="25">
        <f>ROUND(SUM(Inventory[[#This Row],[Mdl Qlty]:[Mdl WdDeck]])+Inventory[[#This Row],[Mdl Res Intercept]]*Inventory[[#This Row],[Res Adj ]],-2)</f>
        <v>304700</v>
      </c>
      <c r="BO777" s="25">
        <f>ROUND(Inventory[[#This Row],[25Det]]*Inventory[[#This Row],[Det/Nbhd Adj]],-2)</f>
        <v>0</v>
      </c>
      <c r="BP777" s="25">
        <f>Inventory[[#This Row],[Adjusted Res]]+Inventory[[#This Row],[Adj Det ]]</f>
        <v>304700</v>
      </c>
      <c r="BQ777" s="25">
        <f>ROUND((Inventory[[#This Row],[Mdl Land Intercept]]+Inventory[[#This Row],[Mdl LnAcres]])*Inventory[[#This Row],[Det/Nbhd Adj]],-2)</f>
        <v>41100</v>
      </c>
      <c r="BR777" s="25">
        <f>Inventory[[#This Row],[Adjusted Impr Total]]+Inventory[[#This Row],[Adjusted Land Total]]</f>
        <v>345800</v>
      </c>
      <c r="BS777" s="36">
        <f>IFERROR((Inventory[[#This Row],[Adjusted Impr Total]]-Inventory[[#This Row],[24Bldg]])/Inventory[[#This Row],[24Bldg]],0)</f>
        <v>0.18238261544431508</v>
      </c>
      <c r="BT777" s="36">
        <f>(Inventory[[#This Row],[Adjusted Land Total]]-Inventory[[#This Row],[24Lnd]])/Inventory[[#This Row],[24Lnd]]</f>
        <v>-0.35071090047393366</v>
      </c>
      <c r="BU777" s="36">
        <f>(Inventory[[#This Row],[Adjusted Total]]-Inventory[[#This Row],[24Final]])/Inventory[[#This Row],[24Final]]</f>
        <v>7.7258566978193152E-2</v>
      </c>
    </row>
    <row r="778" spans="1:73" x14ac:dyDescent="0.3">
      <c r="A778" s="25">
        <v>2025</v>
      </c>
      <c r="B778" s="26" t="s">
        <v>1840</v>
      </c>
      <c r="C778" s="26">
        <f>LN(Inventory[[#This Row],[Acres]])</f>
        <v>-1.6094379124341003</v>
      </c>
      <c r="D778" s="25">
        <v>0.2</v>
      </c>
      <c r="E778" s="25">
        <v>8734</v>
      </c>
      <c r="F778" s="26" t="s">
        <v>537</v>
      </c>
      <c r="G778" s="26" t="s">
        <v>126</v>
      </c>
      <c r="H778" s="26" t="s">
        <v>349</v>
      </c>
      <c r="I778" s="26" t="s">
        <v>538</v>
      </c>
      <c r="J778" s="26" t="s">
        <v>539</v>
      </c>
      <c r="K778" s="26" t="s">
        <v>242</v>
      </c>
      <c r="L778" s="26" t="s">
        <v>351</v>
      </c>
      <c r="M778" s="26" t="s">
        <v>303</v>
      </c>
      <c r="N778" s="26">
        <v>80</v>
      </c>
      <c r="O778" s="26">
        <f>2024-Inventory[[#This Row],[YrBlt]]</f>
        <v>74</v>
      </c>
      <c r="P778" s="26">
        <f>2024-Inventory[[#This Row],[EffYr]]</f>
        <v>51</v>
      </c>
      <c r="Q778" s="25">
        <v>1950</v>
      </c>
      <c r="R778" s="25">
        <v>1973</v>
      </c>
      <c r="S778" s="25">
        <v>1212</v>
      </c>
      <c r="T778" s="32">
        <v>684</v>
      </c>
      <c r="U778" s="25">
        <v>1212</v>
      </c>
      <c r="V778" s="25">
        <f>Inventory[[#This Row],[Bsmt]]-Inventory[[#This Row],[FnBsmt]]</f>
        <v>0</v>
      </c>
      <c r="W778" s="25">
        <v>1212</v>
      </c>
      <c r="X778" s="27"/>
      <c r="Y778" s="27">
        <f>Inventory[[#This Row],[MainFn]]+Inventory[[#This Row],[UpprFn]]+Inventory[[#This Row],[FnBsmt]]+Inventory[[#This Row],[AddFn]]</f>
        <v>3108</v>
      </c>
      <c r="Z778" s="27">
        <v>3500</v>
      </c>
      <c r="AA778" s="25">
        <v>12</v>
      </c>
      <c r="AB778" s="27"/>
      <c r="AC778" s="27"/>
      <c r="AD778" s="27"/>
      <c r="AE778" s="27"/>
      <c r="AF778" s="27"/>
      <c r="AG778" s="27"/>
      <c r="AH778" s="27"/>
      <c r="AI778" s="25">
        <v>394109</v>
      </c>
      <c r="AJ778" s="25">
        <v>279817</v>
      </c>
      <c r="AK778" s="25">
        <v>0</v>
      </c>
      <c r="AL778" s="25">
        <v>386300</v>
      </c>
      <c r="AM778" s="25">
        <v>58400</v>
      </c>
      <c r="AN778" s="25">
        <v>327900</v>
      </c>
      <c r="AO778" s="25">
        <v>0</v>
      </c>
      <c r="AP778" s="25">
        <f>Lookups!$B$56*0</f>
        <v>0</v>
      </c>
      <c r="AQ778" s="25">
        <f>Lookups!$B$56*1</f>
        <v>89850.625589999996</v>
      </c>
      <c r="AR778" s="25">
        <f>Lookups!$B$57*Inventory[[#This Row],[LnAcres]]</f>
        <v>-50946.13867709865</v>
      </c>
      <c r="AS778" s="25">
        <f>VLOOKUP(Inventory[[#This Row],[Qlty]],Lookups!$A$62:$E$75,2,FALSE)</f>
        <v>21557.329055999999</v>
      </c>
      <c r="AT778" s="25">
        <f>VLOOKUP(Inventory[[#This Row],[Cnd]],Lookups!$A$76:$E$84,2,FALSE)</f>
        <v>197752.34721000001</v>
      </c>
      <c r="AU778" s="25">
        <f>Inventory[[#This Row],[EffAge]]*Lookups!$B$85</f>
        <v>-11375.3256255</v>
      </c>
      <c r="AV778" s="25">
        <f>Inventory[[#This Row],[MainFn]]*Lookups!$B$86</f>
        <v>59883.307890923999</v>
      </c>
      <c r="AW778" s="25">
        <f>Inventory[[#This Row],[UpprFn]]*Lookups!$B$87</f>
        <v>30633.913236924</v>
      </c>
      <c r="AX778" s="25">
        <f>Inventory[[#This Row],[AddFn]]*Lookups!$B$88</f>
        <v>0</v>
      </c>
      <c r="AY778" s="25">
        <f>Inventory[[#This Row],[Bsmt]]*Lookups!$B$89</f>
        <v>35247.257039363998</v>
      </c>
      <c r="AZ778" s="25">
        <f>Inventory[[#This Row],[Fixtures]]*Lookups!$B$90</f>
        <v>45504.265262400004</v>
      </c>
      <c r="BA778" s="25">
        <f>Inventory[[#This Row],[WdDeck]]*Lookups!$B$91</f>
        <v>0</v>
      </c>
      <c r="BB778" s="25">
        <f>ROUND(Inventory[[#This Row],[25Det]],-2)</f>
        <v>0</v>
      </c>
      <c r="BC778" s="25">
        <f>ROUND(SUM(Inventory[[#This Row],[Mdl Qlty]:[Mdl WdDeck]])+Inventory[[#This Row],[Mdl Res Intercept]],-2)</f>
        <v>379200</v>
      </c>
      <c r="BD778" s="25">
        <f>ROUND(Inventory[[#This Row],[Mdl Land Intercept]]+Inventory[[#This Row],[Mdl LnAcres]],-2)</f>
        <v>38900</v>
      </c>
      <c r="BE778" s="25">
        <f>Inventory[[#This Row],[Unadj Res Value]]+Inventory[[#This Row],[Unadj Det Value]]+Inventory[[#This Row],[Unadj Land Value]]</f>
        <v>418100</v>
      </c>
      <c r="BF778" s="36">
        <f>(Inventory[[#This Row],[Unadj Total Value]]-Inventory[[#This Row],[24Final]])/Inventory[[#This Row],[24Final]]</f>
        <v>8.2319440849081021E-2</v>
      </c>
      <c r="BG778" s="25">
        <f>VLOOKUP(Inventory[[#This Row],[Nbhd]],Lookups!$Q$2:$T$4,4,FALSE)</f>
        <v>0.99970000000000003</v>
      </c>
      <c r="BH778" s="25">
        <f>VLOOKUP(Inventory[[#This Row],[Qlty]],Lookups!$O$7:$R$21,4,FALSE)</f>
        <v>1.0067999999999999</v>
      </c>
      <c r="BI778" s="25">
        <f>VLOOKUP(Inventory[[#This Row],[Cnd]],Lookups!$T$7:$W$16,4,FALSE)</f>
        <v>0.99650000000000005</v>
      </c>
      <c r="BJ778" s="25">
        <f>VLOOKUP(Inventory[[#This Row],[LivArea Range]],Lookups!$T$25:$W$37,4,FALSE)</f>
        <v>1.0126999999999999</v>
      </c>
      <c r="BK778" s="25">
        <f>VLOOKUP(Inventory[[#This Row],[Decade]],Lookups!$O$25:$R$42,4,FALSE)</f>
        <v>0.995</v>
      </c>
      <c r="BL778" s="25">
        <f>Inventory[[#This Row],[Nbhd Adj]]*0.95</f>
        <v>0.94971499999999998</v>
      </c>
      <c r="BM778" s="25">
        <f>Inventory[[#This Row],[Nbhd Adj]]*Inventory[[#This Row],[Quality Adj]]*Inventory[[#This Row],[Condition Adj]]*Inventory[[#This Row],[Living Area Adj]]*Inventory[[#This Row],[Decade Adj]]*0.95</f>
        <v>0.96010271551640491</v>
      </c>
      <c r="BN778" s="25">
        <f>ROUND(SUM(Inventory[[#This Row],[Mdl Qlty]:[Mdl WdDeck]])+Inventory[[#This Row],[Mdl Res Intercept]]*Inventory[[#This Row],[Res Adj ]],-2)</f>
        <v>379200</v>
      </c>
      <c r="BO778" s="25">
        <f>ROUND(Inventory[[#This Row],[25Det]]*Inventory[[#This Row],[Det/Nbhd Adj]],-2)</f>
        <v>0</v>
      </c>
      <c r="BP778" s="25">
        <f>Inventory[[#This Row],[Adjusted Res]]+Inventory[[#This Row],[Adj Det ]]</f>
        <v>379200</v>
      </c>
      <c r="BQ778" s="25">
        <f>ROUND((Inventory[[#This Row],[Mdl Land Intercept]]+Inventory[[#This Row],[Mdl LnAcres]])*Inventory[[#This Row],[Det/Nbhd Adj]],-2)</f>
        <v>36900</v>
      </c>
      <c r="BR778" s="25">
        <f>Inventory[[#This Row],[Adjusted Impr Total]]+Inventory[[#This Row],[Adjusted Land Total]]</f>
        <v>416100</v>
      </c>
      <c r="BS778" s="36">
        <f>IFERROR((Inventory[[#This Row],[Adjusted Impr Total]]-Inventory[[#This Row],[24Bldg]])/Inventory[[#This Row],[24Bldg]],0)</f>
        <v>0.15645013723696249</v>
      </c>
      <c r="BT778" s="36">
        <f>(Inventory[[#This Row],[Adjusted Land Total]]-Inventory[[#This Row],[24Lnd]])/Inventory[[#This Row],[24Lnd]]</f>
        <v>-0.36815068493150682</v>
      </c>
      <c r="BU778" s="36">
        <f>(Inventory[[#This Row],[Adjusted Total]]-Inventory[[#This Row],[24Final]])/Inventory[[#This Row],[24Final]]</f>
        <v>7.7142117525239445E-2</v>
      </c>
    </row>
    <row r="779" spans="1:73" x14ac:dyDescent="0.3">
      <c r="A779" s="25">
        <v>2025</v>
      </c>
      <c r="B779" s="26" t="s">
        <v>2672</v>
      </c>
      <c r="C779" s="26">
        <f>LN(Inventory[[#This Row],[Acres]])</f>
        <v>-1.6094379124341003</v>
      </c>
      <c r="D779" s="25">
        <v>0.2</v>
      </c>
      <c r="E779" s="31"/>
      <c r="F779" s="26" t="s">
        <v>537</v>
      </c>
      <c r="G779" s="26" t="s">
        <v>126</v>
      </c>
      <c r="H779" s="26" t="s">
        <v>349</v>
      </c>
      <c r="I779" s="26" t="s">
        <v>538</v>
      </c>
      <c r="J779" s="26" t="s">
        <v>539</v>
      </c>
      <c r="K779" s="26" t="s">
        <v>242</v>
      </c>
      <c r="L779" s="26" t="s">
        <v>351</v>
      </c>
      <c r="M779" s="26" t="s">
        <v>303</v>
      </c>
      <c r="N779" s="26">
        <v>80</v>
      </c>
      <c r="O779" s="26">
        <f>2024-Inventory[[#This Row],[YrBlt]]</f>
        <v>74</v>
      </c>
      <c r="P779" s="26">
        <f>2024-Inventory[[#This Row],[EffYr]]</f>
        <v>51</v>
      </c>
      <c r="Q779" s="25">
        <v>1950</v>
      </c>
      <c r="R779" s="25">
        <v>1973</v>
      </c>
      <c r="S779" s="25">
        <v>1340</v>
      </c>
      <c r="T779" s="27"/>
      <c r="U779" s="25">
        <v>700</v>
      </c>
      <c r="V779" s="25">
        <f>Inventory[[#This Row],[Bsmt]]-Inventory[[#This Row],[FnBsmt]]</f>
        <v>350</v>
      </c>
      <c r="W779" s="25">
        <v>350</v>
      </c>
      <c r="X779" s="27"/>
      <c r="Y779" s="27">
        <f>Inventory[[#This Row],[MainFn]]+Inventory[[#This Row],[UpprFn]]+Inventory[[#This Row],[FnBsmt]]+Inventory[[#This Row],[AddFn]]</f>
        <v>1690</v>
      </c>
      <c r="Z779" s="27">
        <v>2000</v>
      </c>
      <c r="AA779" s="25">
        <v>8</v>
      </c>
      <c r="AB779" s="31"/>
      <c r="AC779" s="27"/>
      <c r="AD779" s="27"/>
      <c r="AE779" s="27"/>
      <c r="AF779" s="27"/>
      <c r="AG779" s="27"/>
      <c r="AH779" s="27"/>
      <c r="AI779" s="25">
        <v>266481</v>
      </c>
      <c r="AJ779" s="25">
        <v>189202</v>
      </c>
      <c r="AK779" s="25">
        <v>7980</v>
      </c>
      <c r="AL779" s="25">
        <v>343000</v>
      </c>
      <c r="AM779" s="25">
        <v>58400</v>
      </c>
      <c r="AN779" s="25">
        <v>284600</v>
      </c>
      <c r="AO779" s="25">
        <v>0</v>
      </c>
      <c r="AP779" s="25">
        <f>Lookups!$B$56*0</f>
        <v>0</v>
      </c>
      <c r="AQ779" s="25">
        <f>Lookups!$B$56*1</f>
        <v>89850.625589999996</v>
      </c>
      <c r="AR779" s="25">
        <f>Lookups!$B$57*Inventory[[#This Row],[LnAcres]]</f>
        <v>-50946.13867709865</v>
      </c>
      <c r="AS779" s="25">
        <f>VLOOKUP(Inventory[[#This Row],[Qlty]],Lookups!$A$62:$E$75,2,FALSE)</f>
        <v>21557.329055999999</v>
      </c>
      <c r="AT779" s="25">
        <f>VLOOKUP(Inventory[[#This Row],[Cnd]],Lookups!$A$76:$E$84,2,FALSE)</f>
        <v>197752.34721000001</v>
      </c>
      <c r="AU779" s="25">
        <f>Inventory[[#This Row],[EffAge]]*Lookups!$B$85</f>
        <v>-11375.3256255</v>
      </c>
      <c r="AV779" s="25">
        <f>Inventory[[#This Row],[MainFn]]*Lookups!$B$86</f>
        <v>66207.617635179995</v>
      </c>
      <c r="AW779" s="25">
        <f>Inventory[[#This Row],[UpprFn]]*Lookups!$B$87</f>
        <v>0</v>
      </c>
      <c r="AX779" s="25">
        <f>Inventory[[#This Row],[AddFn]]*Lookups!$B$88</f>
        <v>0</v>
      </c>
      <c r="AY779" s="25">
        <f>Inventory[[#This Row],[Bsmt]]*Lookups!$B$89</f>
        <v>20357.326672899999</v>
      </c>
      <c r="AZ779" s="25">
        <f>Inventory[[#This Row],[Fixtures]]*Lookups!$B$90</f>
        <v>30336.176841600001</v>
      </c>
      <c r="BA779" s="25">
        <f>Inventory[[#This Row],[WdDeck]]*Lookups!$B$91</f>
        <v>0</v>
      </c>
      <c r="BB779" s="25">
        <f>ROUND(Inventory[[#This Row],[25Det]],-2)</f>
        <v>8000</v>
      </c>
      <c r="BC779" s="25">
        <f>ROUND(SUM(Inventory[[#This Row],[Mdl Qlty]:[Mdl WdDeck]])+Inventory[[#This Row],[Mdl Res Intercept]],-2)</f>
        <v>324800</v>
      </c>
      <c r="BD779" s="25">
        <f>ROUND(Inventory[[#This Row],[Mdl Land Intercept]]+Inventory[[#This Row],[Mdl LnAcres]],-2)</f>
        <v>38900</v>
      </c>
      <c r="BE779" s="25">
        <f>Inventory[[#This Row],[Unadj Res Value]]+Inventory[[#This Row],[Unadj Det Value]]+Inventory[[#This Row],[Unadj Land Value]]</f>
        <v>371700</v>
      </c>
      <c r="BF779" s="36">
        <f>(Inventory[[#This Row],[Unadj Total Value]]-Inventory[[#This Row],[24Final]])/Inventory[[#This Row],[24Final]]</f>
        <v>8.3673469387755106E-2</v>
      </c>
      <c r="BG779" s="25">
        <f>VLOOKUP(Inventory[[#This Row],[Nbhd]],Lookups!$Q$2:$T$4,4,FALSE)</f>
        <v>0.99970000000000003</v>
      </c>
      <c r="BH779" s="25">
        <f>VLOOKUP(Inventory[[#This Row],[Qlty]],Lookups!$O$7:$R$21,4,FALSE)</f>
        <v>1.0067999999999999</v>
      </c>
      <c r="BI779" s="25">
        <f>VLOOKUP(Inventory[[#This Row],[Cnd]],Lookups!$T$7:$W$16,4,FALSE)</f>
        <v>0.99650000000000005</v>
      </c>
      <c r="BJ779" s="25">
        <f>VLOOKUP(Inventory[[#This Row],[LivArea Range]],Lookups!$T$25:$W$37,4,FALSE)</f>
        <v>1.0093000000000001</v>
      </c>
      <c r="BK779" s="25">
        <f>VLOOKUP(Inventory[[#This Row],[Decade]],Lookups!$O$25:$R$42,4,FALSE)</f>
        <v>0.995</v>
      </c>
      <c r="BL779" s="25">
        <f>Inventory[[#This Row],[Nbhd Adj]]*0.95</f>
        <v>0.94971499999999998</v>
      </c>
      <c r="BM779" s="25">
        <f>Inventory[[#This Row],[Nbhd Adj]]*Inventory[[#This Row],[Quality Adj]]*Inventory[[#This Row],[Condition Adj]]*Inventory[[#This Row],[Living Area Adj]]*Inventory[[#This Row],[Decade Adj]]*0.95</f>
        <v>0.95687930361479956</v>
      </c>
      <c r="BN779" s="25">
        <f>ROUND(SUM(Inventory[[#This Row],[Mdl Qlty]:[Mdl WdDeck]])+Inventory[[#This Row],[Mdl Res Intercept]]*Inventory[[#This Row],[Res Adj ]],-2)</f>
        <v>324800</v>
      </c>
      <c r="BO779" s="25">
        <f>ROUND(Inventory[[#This Row],[25Det]]*Inventory[[#This Row],[Det/Nbhd Adj]],-2)</f>
        <v>7600</v>
      </c>
      <c r="BP779" s="25">
        <f>Inventory[[#This Row],[Adjusted Res]]+Inventory[[#This Row],[Adj Det ]]</f>
        <v>332400</v>
      </c>
      <c r="BQ779" s="25">
        <f>ROUND((Inventory[[#This Row],[Mdl Land Intercept]]+Inventory[[#This Row],[Mdl LnAcres]])*Inventory[[#This Row],[Det/Nbhd Adj]],-2)</f>
        <v>36900</v>
      </c>
      <c r="BR779" s="25">
        <f>Inventory[[#This Row],[Adjusted Impr Total]]+Inventory[[#This Row],[Adjusted Land Total]]</f>
        <v>369300</v>
      </c>
      <c r="BS779" s="36">
        <f>IFERROR((Inventory[[#This Row],[Adjusted Impr Total]]-Inventory[[#This Row],[24Bldg]])/Inventory[[#This Row],[24Bldg]],0)</f>
        <v>0.1679550245959241</v>
      </c>
      <c r="BT779" s="36">
        <f>(Inventory[[#This Row],[Adjusted Land Total]]-Inventory[[#This Row],[24Lnd]])/Inventory[[#This Row],[24Lnd]]</f>
        <v>-0.36815068493150682</v>
      </c>
      <c r="BU779" s="36">
        <f>(Inventory[[#This Row],[Adjusted Total]]-Inventory[[#This Row],[24Final]])/Inventory[[#This Row],[24Final]]</f>
        <v>7.6676384839650141E-2</v>
      </c>
    </row>
    <row r="780" spans="1:73" x14ac:dyDescent="0.3">
      <c r="A780" s="25">
        <v>2025</v>
      </c>
      <c r="B780" s="26" t="s">
        <v>1753</v>
      </c>
      <c r="C780" s="26">
        <f>LN(Inventory[[#This Row],[Acres]])</f>
        <v>-1.6094379124341003</v>
      </c>
      <c r="D780" s="25">
        <v>0.2</v>
      </c>
      <c r="E780" s="31"/>
      <c r="F780" s="26" t="s">
        <v>537</v>
      </c>
      <c r="G780" s="26" t="s">
        <v>126</v>
      </c>
      <c r="H780" s="26" t="s">
        <v>349</v>
      </c>
      <c r="I780" s="26" t="s">
        <v>538</v>
      </c>
      <c r="J780" s="26" t="s">
        <v>539</v>
      </c>
      <c r="K780" s="26" t="s">
        <v>241</v>
      </c>
      <c r="L780" s="26" t="s">
        <v>351</v>
      </c>
      <c r="M780" s="26" t="s">
        <v>323</v>
      </c>
      <c r="N780" s="26">
        <v>80</v>
      </c>
      <c r="O780" s="26">
        <f>2024-Inventory[[#This Row],[YrBlt]]</f>
        <v>74</v>
      </c>
      <c r="P780" s="26">
        <f>2024-Inventory[[#This Row],[EffYr]]</f>
        <v>51</v>
      </c>
      <c r="Q780" s="25">
        <v>1950</v>
      </c>
      <c r="R780" s="25">
        <v>1973</v>
      </c>
      <c r="S780" s="25">
        <v>1028</v>
      </c>
      <c r="T780" s="27"/>
      <c r="U780" s="31"/>
      <c r="V780" s="31">
        <f>Inventory[[#This Row],[Bsmt]]-Inventory[[#This Row],[FnBsmt]]</f>
        <v>0</v>
      </c>
      <c r="W780" s="31"/>
      <c r="X780" s="27"/>
      <c r="Y780" s="27">
        <f>Inventory[[#This Row],[MainFn]]+Inventory[[#This Row],[UpprFn]]+Inventory[[#This Row],[FnBsmt]]+Inventory[[#This Row],[AddFn]]</f>
        <v>1028</v>
      </c>
      <c r="Z780" s="27">
        <v>1500</v>
      </c>
      <c r="AA780" s="25">
        <v>5</v>
      </c>
      <c r="AB780" s="27"/>
      <c r="AC780" s="27"/>
      <c r="AD780" s="25">
        <v>225</v>
      </c>
      <c r="AE780" s="27"/>
      <c r="AF780" s="27"/>
      <c r="AG780" s="27"/>
      <c r="AH780" s="27"/>
      <c r="AI780" s="25">
        <v>174895</v>
      </c>
      <c r="AJ780" s="25">
        <v>120678</v>
      </c>
      <c r="AK780" s="25">
        <v>0</v>
      </c>
      <c r="AL780" s="25">
        <v>265000</v>
      </c>
      <c r="AM780" s="25">
        <v>58400</v>
      </c>
      <c r="AN780" s="25">
        <v>206600</v>
      </c>
      <c r="AO780" s="25">
        <v>0</v>
      </c>
      <c r="AP780" s="25">
        <f>Lookups!$B$56*0</f>
        <v>0</v>
      </c>
      <c r="AQ780" s="25">
        <f>Lookups!$B$56*1</f>
        <v>89850.625589999996</v>
      </c>
      <c r="AR780" s="25">
        <f>Lookups!$B$57*Inventory[[#This Row],[LnAcres]]</f>
        <v>-50946.13867709865</v>
      </c>
      <c r="AS780" s="25">
        <f>VLOOKUP(Inventory[[#This Row],[Qlty]],Lookups!$A$62:$E$75,2,FALSE)</f>
        <v>21557.329055999999</v>
      </c>
      <c r="AT780" s="25">
        <f>VLOOKUP(Inventory[[#This Row],[Cnd]],Lookups!$A$76:$E$84,2,FALSE)</f>
        <v>160472.20319</v>
      </c>
      <c r="AU780" s="25">
        <f>Inventory[[#This Row],[EffAge]]*Lookups!$B$85</f>
        <v>-11375.3256255</v>
      </c>
      <c r="AV780" s="25">
        <f>Inventory[[#This Row],[MainFn]]*Lookups!$B$86</f>
        <v>50792.112633556004</v>
      </c>
      <c r="AW780" s="25">
        <f>Inventory[[#This Row],[UpprFn]]*Lookups!$B$87</f>
        <v>0</v>
      </c>
      <c r="AX780" s="25">
        <f>Inventory[[#This Row],[AddFn]]*Lookups!$B$88</f>
        <v>0</v>
      </c>
      <c r="AY780" s="25">
        <f>Inventory[[#This Row],[Bsmt]]*Lookups!$B$89</f>
        <v>0</v>
      </c>
      <c r="AZ780" s="25">
        <f>Inventory[[#This Row],[Fixtures]]*Lookups!$B$90</f>
        <v>18960.110526</v>
      </c>
      <c r="BA780" s="25">
        <f>Inventory[[#This Row],[WdDeck]]*Lookups!$B$91</f>
        <v>7491.4909371000003</v>
      </c>
      <c r="BB780" s="25">
        <f>ROUND(Inventory[[#This Row],[25Det]],-2)</f>
        <v>0</v>
      </c>
      <c r="BC780" s="25">
        <f>ROUND(SUM(Inventory[[#This Row],[Mdl Qlty]:[Mdl WdDeck]])+Inventory[[#This Row],[Mdl Res Intercept]],-2)</f>
        <v>247900</v>
      </c>
      <c r="BD780" s="25">
        <f>ROUND(Inventory[[#This Row],[Mdl Land Intercept]]+Inventory[[#This Row],[Mdl LnAcres]],-2)</f>
        <v>38900</v>
      </c>
      <c r="BE780" s="25">
        <f>Inventory[[#This Row],[Unadj Res Value]]+Inventory[[#This Row],[Unadj Det Value]]+Inventory[[#This Row],[Unadj Land Value]]</f>
        <v>286800</v>
      </c>
      <c r="BF780" s="36">
        <f>(Inventory[[#This Row],[Unadj Total Value]]-Inventory[[#This Row],[24Final]])/Inventory[[#This Row],[24Final]]</f>
        <v>8.226415094339623E-2</v>
      </c>
      <c r="BG780" s="25">
        <f>VLOOKUP(Inventory[[#This Row],[Nbhd]],Lookups!$Q$2:$T$4,4,FALSE)</f>
        <v>0.99970000000000003</v>
      </c>
      <c r="BH780" s="25">
        <f>VLOOKUP(Inventory[[#This Row],[Qlty]],Lookups!$O$7:$R$21,4,FALSE)</f>
        <v>1.0067999999999999</v>
      </c>
      <c r="BI780" s="25">
        <f>VLOOKUP(Inventory[[#This Row],[Cnd]],Lookups!$T$7:$W$16,4,FALSE)</f>
        <v>0.99729999999999996</v>
      </c>
      <c r="BJ780" s="25">
        <f>VLOOKUP(Inventory[[#This Row],[LivArea Range]],Lookups!$T$25:$W$37,4,FALSE)</f>
        <v>1.0157</v>
      </c>
      <c r="BK780" s="25">
        <f>VLOOKUP(Inventory[[#This Row],[Decade]],Lookups!$O$25:$R$42,4,FALSE)</f>
        <v>0.995</v>
      </c>
      <c r="BL780" s="25">
        <f>Inventory[[#This Row],[Nbhd Adj]]*0.95</f>
        <v>0.94971499999999998</v>
      </c>
      <c r="BM780" s="25">
        <f>Inventory[[#This Row],[Nbhd Adj]]*Inventory[[#This Row],[Quality Adj]]*Inventory[[#This Row],[Condition Adj]]*Inventory[[#This Row],[Living Area Adj]]*Inventory[[#This Row],[Decade Adj]]*0.95</f>
        <v>0.96371996573175212</v>
      </c>
      <c r="BN780" s="25">
        <f>ROUND(SUM(Inventory[[#This Row],[Mdl Qlty]:[Mdl WdDeck]])+Inventory[[#This Row],[Mdl Res Intercept]]*Inventory[[#This Row],[Res Adj ]],-2)</f>
        <v>247900</v>
      </c>
      <c r="BO780" s="25">
        <f>ROUND(Inventory[[#This Row],[25Det]]*Inventory[[#This Row],[Det/Nbhd Adj]],-2)</f>
        <v>0</v>
      </c>
      <c r="BP780" s="25">
        <f>Inventory[[#This Row],[Adjusted Res]]+Inventory[[#This Row],[Adj Det ]]</f>
        <v>247900</v>
      </c>
      <c r="BQ780" s="25">
        <f>ROUND((Inventory[[#This Row],[Mdl Land Intercept]]+Inventory[[#This Row],[Mdl LnAcres]])*Inventory[[#This Row],[Det/Nbhd Adj]],-2)</f>
        <v>36900</v>
      </c>
      <c r="BR780" s="25">
        <f>Inventory[[#This Row],[Adjusted Impr Total]]+Inventory[[#This Row],[Adjusted Land Total]]</f>
        <v>284800</v>
      </c>
      <c r="BS780" s="36">
        <f>IFERROR((Inventory[[#This Row],[Adjusted Impr Total]]-Inventory[[#This Row],[24Bldg]])/Inventory[[#This Row],[24Bldg]],0)</f>
        <v>0.19990319457889641</v>
      </c>
      <c r="BT780" s="36">
        <f>(Inventory[[#This Row],[Adjusted Land Total]]-Inventory[[#This Row],[24Lnd]])/Inventory[[#This Row],[24Lnd]]</f>
        <v>-0.36815068493150682</v>
      </c>
      <c r="BU780" s="36">
        <f>(Inventory[[#This Row],[Adjusted Total]]-Inventory[[#This Row],[24Final]])/Inventory[[#This Row],[24Final]]</f>
        <v>7.4716981132075477E-2</v>
      </c>
    </row>
    <row r="781" spans="1:73" x14ac:dyDescent="0.3">
      <c r="A781" s="25">
        <v>2025</v>
      </c>
      <c r="B781" s="26" t="s">
        <v>1597</v>
      </c>
      <c r="C781" s="26">
        <f>LN(Inventory[[#This Row],[Acres]])</f>
        <v>-1.6607312068216509</v>
      </c>
      <c r="D781" s="25">
        <v>0.19</v>
      </c>
      <c r="E781" s="31"/>
      <c r="F781" s="26" t="s">
        <v>537</v>
      </c>
      <c r="G781" s="26" t="s">
        <v>126</v>
      </c>
      <c r="H781" s="26" t="s">
        <v>349</v>
      </c>
      <c r="I781" s="26" t="s">
        <v>538</v>
      </c>
      <c r="J781" s="26" t="s">
        <v>539</v>
      </c>
      <c r="K781" s="26" t="s">
        <v>242</v>
      </c>
      <c r="L781" s="26" t="s">
        <v>351</v>
      </c>
      <c r="M781" s="26" t="s">
        <v>303</v>
      </c>
      <c r="N781" s="26">
        <v>80</v>
      </c>
      <c r="O781" s="26">
        <f>2024-Inventory[[#This Row],[YrBlt]]</f>
        <v>74</v>
      </c>
      <c r="P781" s="26">
        <f>2024-Inventory[[#This Row],[EffYr]]</f>
        <v>51</v>
      </c>
      <c r="Q781" s="25">
        <v>1950</v>
      </c>
      <c r="R781" s="25">
        <v>1973</v>
      </c>
      <c r="S781" s="25">
        <v>1450</v>
      </c>
      <c r="T781" s="27"/>
      <c r="U781" s="25">
        <v>1003</v>
      </c>
      <c r="V781" s="25">
        <f>Inventory[[#This Row],[Bsmt]]-Inventory[[#This Row],[FnBsmt]]</f>
        <v>725</v>
      </c>
      <c r="W781" s="25">
        <v>278</v>
      </c>
      <c r="X781" s="27"/>
      <c r="Y781" s="27">
        <f>Inventory[[#This Row],[MainFn]]+Inventory[[#This Row],[UpprFn]]+Inventory[[#This Row],[FnBsmt]]+Inventory[[#This Row],[AddFn]]</f>
        <v>1728</v>
      </c>
      <c r="Z781" s="27">
        <v>2000</v>
      </c>
      <c r="AA781" s="25">
        <v>8</v>
      </c>
      <c r="AB781" s="27"/>
      <c r="AC781" s="31"/>
      <c r="AD781" s="31"/>
      <c r="AE781" s="27"/>
      <c r="AF781" s="27"/>
      <c r="AG781" s="27"/>
      <c r="AH781" s="27"/>
      <c r="AI781" s="25">
        <v>299475</v>
      </c>
      <c r="AJ781" s="25">
        <v>212627</v>
      </c>
      <c r="AK781" s="25">
        <v>40949</v>
      </c>
      <c r="AL781" s="25">
        <v>384800</v>
      </c>
      <c r="AM781" s="25">
        <v>56600</v>
      </c>
      <c r="AN781" s="25">
        <v>328200</v>
      </c>
      <c r="AO781" s="25">
        <v>0</v>
      </c>
      <c r="AP781" s="25">
        <f>Lookups!$B$56*0</f>
        <v>0</v>
      </c>
      <c r="AQ781" s="25">
        <f>Lookups!$B$56*1</f>
        <v>89850.625589999996</v>
      </c>
      <c r="AR781" s="25">
        <f>Lookups!$B$57*Inventory[[#This Row],[LnAcres]]</f>
        <v>-52569.808201026557</v>
      </c>
      <c r="AS781" s="25">
        <f>VLOOKUP(Inventory[[#This Row],[Qlty]],Lookups!$A$62:$E$75,2,FALSE)</f>
        <v>21557.329055999999</v>
      </c>
      <c r="AT781" s="25">
        <f>VLOOKUP(Inventory[[#This Row],[Cnd]],Lookups!$A$76:$E$84,2,FALSE)</f>
        <v>197752.34721000001</v>
      </c>
      <c r="AU781" s="25">
        <f>Inventory[[#This Row],[EffAge]]*Lookups!$B$85</f>
        <v>-11375.3256255</v>
      </c>
      <c r="AV781" s="25">
        <f>Inventory[[#This Row],[MainFn]]*Lookups!$B$86</f>
        <v>71642.571321650001</v>
      </c>
      <c r="AW781" s="25">
        <f>Inventory[[#This Row],[UpprFn]]*Lookups!$B$87</f>
        <v>0</v>
      </c>
      <c r="AX781" s="25">
        <f>Inventory[[#This Row],[AddFn]]*Lookups!$B$88</f>
        <v>0</v>
      </c>
      <c r="AY781" s="25">
        <f>Inventory[[#This Row],[Bsmt]]*Lookups!$B$89</f>
        <v>29169.140932741</v>
      </c>
      <c r="AZ781" s="25">
        <f>Inventory[[#This Row],[Fixtures]]*Lookups!$B$90</f>
        <v>30336.176841600001</v>
      </c>
      <c r="BA781" s="25">
        <f>Inventory[[#This Row],[WdDeck]]*Lookups!$B$91</f>
        <v>0</v>
      </c>
      <c r="BB781" s="25">
        <f>ROUND(Inventory[[#This Row],[25Det]],-2)</f>
        <v>40900</v>
      </c>
      <c r="BC781" s="25">
        <f>ROUND(SUM(Inventory[[#This Row],[Mdl Qlty]:[Mdl WdDeck]])+Inventory[[#This Row],[Mdl Res Intercept]],-2)</f>
        <v>339100</v>
      </c>
      <c r="BD781" s="25">
        <f>ROUND(Inventory[[#This Row],[Mdl Land Intercept]]+Inventory[[#This Row],[Mdl LnAcres]],-2)</f>
        <v>37300</v>
      </c>
      <c r="BE781" s="25">
        <f>Inventory[[#This Row],[Unadj Res Value]]+Inventory[[#This Row],[Unadj Det Value]]+Inventory[[#This Row],[Unadj Land Value]]</f>
        <v>417300</v>
      </c>
      <c r="BF781" s="36">
        <f>(Inventory[[#This Row],[Unadj Total Value]]-Inventory[[#This Row],[24Final]])/Inventory[[#This Row],[24Final]]</f>
        <v>8.4459459459459457E-2</v>
      </c>
      <c r="BG781" s="25">
        <f>VLOOKUP(Inventory[[#This Row],[Nbhd]],Lookups!$Q$2:$T$4,4,FALSE)</f>
        <v>0.99970000000000003</v>
      </c>
      <c r="BH781" s="25">
        <f>VLOOKUP(Inventory[[#This Row],[Qlty]],Lookups!$O$7:$R$21,4,FALSE)</f>
        <v>1.0067999999999999</v>
      </c>
      <c r="BI781" s="25">
        <f>VLOOKUP(Inventory[[#This Row],[Cnd]],Lookups!$T$7:$W$16,4,FALSE)</f>
        <v>0.99650000000000005</v>
      </c>
      <c r="BJ781" s="25">
        <f>VLOOKUP(Inventory[[#This Row],[LivArea Range]],Lookups!$T$25:$W$37,4,FALSE)</f>
        <v>1.0093000000000001</v>
      </c>
      <c r="BK781" s="25">
        <f>VLOOKUP(Inventory[[#This Row],[Decade]],Lookups!$O$25:$R$42,4,FALSE)</f>
        <v>0.995</v>
      </c>
      <c r="BL781" s="25">
        <f>Inventory[[#This Row],[Nbhd Adj]]*0.95</f>
        <v>0.94971499999999998</v>
      </c>
      <c r="BM781" s="25">
        <f>Inventory[[#This Row],[Nbhd Adj]]*Inventory[[#This Row],[Quality Adj]]*Inventory[[#This Row],[Condition Adj]]*Inventory[[#This Row],[Living Area Adj]]*Inventory[[#This Row],[Decade Adj]]*0.95</f>
        <v>0.95687930361479956</v>
      </c>
      <c r="BN781" s="25">
        <f>ROUND(SUM(Inventory[[#This Row],[Mdl Qlty]:[Mdl WdDeck]])+Inventory[[#This Row],[Mdl Res Intercept]]*Inventory[[#This Row],[Res Adj ]],-2)</f>
        <v>339100</v>
      </c>
      <c r="BO781" s="25">
        <f>ROUND(Inventory[[#This Row],[25Det]]*Inventory[[#This Row],[Det/Nbhd Adj]],-2)</f>
        <v>38900</v>
      </c>
      <c r="BP781" s="25">
        <f>Inventory[[#This Row],[Adjusted Res]]+Inventory[[#This Row],[Adj Det ]]</f>
        <v>378000</v>
      </c>
      <c r="BQ781" s="25">
        <f>ROUND((Inventory[[#This Row],[Mdl Land Intercept]]+Inventory[[#This Row],[Mdl LnAcres]])*Inventory[[#This Row],[Det/Nbhd Adj]],-2)</f>
        <v>35400</v>
      </c>
      <c r="BR781" s="25">
        <f>Inventory[[#This Row],[Adjusted Impr Total]]+Inventory[[#This Row],[Adjusted Land Total]]</f>
        <v>413400</v>
      </c>
      <c r="BS781" s="36">
        <f>IFERROR((Inventory[[#This Row],[Adjusted Impr Total]]-Inventory[[#This Row],[24Bldg]])/Inventory[[#This Row],[24Bldg]],0)</f>
        <v>0.15173674588665448</v>
      </c>
      <c r="BT781" s="36">
        <f>(Inventory[[#This Row],[Adjusted Land Total]]-Inventory[[#This Row],[24Lnd]])/Inventory[[#This Row],[24Lnd]]</f>
        <v>-0.37455830388692579</v>
      </c>
      <c r="BU781" s="36">
        <f>(Inventory[[#This Row],[Adjusted Total]]-Inventory[[#This Row],[24Final]])/Inventory[[#This Row],[24Final]]</f>
        <v>7.4324324324324328E-2</v>
      </c>
    </row>
    <row r="782" spans="1:73" x14ac:dyDescent="0.3">
      <c r="A782" s="25">
        <v>2025</v>
      </c>
      <c r="B782" s="26" t="s">
        <v>1735</v>
      </c>
      <c r="C782" s="26">
        <f>LN(Inventory[[#This Row],[Acres]])</f>
        <v>-1.5606477482646683</v>
      </c>
      <c r="D782" s="25">
        <v>0.21</v>
      </c>
      <c r="E782" s="31"/>
      <c r="F782" s="26" t="s">
        <v>537</v>
      </c>
      <c r="G782" s="26" t="s">
        <v>126</v>
      </c>
      <c r="H782" s="26" t="s">
        <v>349</v>
      </c>
      <c r="I782" s="26" t="s">
        <v>538</v>
      </c>
      <c r="J782" s="26" t="s">
        <v>539</v>
      </c>
      <c r="K782" s="26" t="s">
        <v>241</v>
      </c>
      <c r="L782" s="26" t="s">
        <v>351</v>
      </c>
      <c r="M782" s="26" t="s">
        <v>303</v>
      </c>
      <c r="N782" s="26">
        <v>80</v>
      </c>
      <c r="O782" s="26">
        <f>2024-Inventory[[#This Row],[YrBlt]]</f>
        <v>74</v>
      </c>
      <c r="P782" s="26">
        <f>2024-Inventory[[#This Row],[EffYr]]</f>
        <v>51</v>
      </c>
      <c r="Q782" s="25">
        <v>1950</v>
      </c>
      <c r="R782" s="25">
        <v>1973</v>
      </c>
      <c r="S782" s="25">
        <v>1125</v>
      </c>
      <c r="T782" s="27"/>
      <c r="U782" s="25">
        <v>1125</v>
      </c>
      <c r="V782" s="25">
        <f>Inventory[[#This Row],[Bsmt]]-Inventory[[#This Row],[FnBsmt]]</f>
        <v>562</v>
      </c>
      <c r="W782" s="25">
        <v>563</v>
      </c>
      <c r="X782" s="27"/>
      <c r="Y782" s="27">
        <f>Inventory[[#This Row],[MainFn]]+Inventory[[#This Row],[UpprFn]]+Inventory[[#This Row],[FnBsmt]]+Inventory[[#This Row],[AddFn]]</f>
        <v>1688</v>
      </c>
      <c r="Z782" s="27">
        <v>2000</v>
      </c>
      <c r="AA782" s="25">
        <v>8</v>
      </c>
      <c r="AB782" s="31"/>
      <c r="AC782" s="27"/>
      <c r="AD782" s="31"/>
      <c r="AE782" s="27"/>
      <c r="AF782" s="27"/>
      <c r="AG782" s="27"/>
      <c r="AH782" s="27"/>
      <c r="AI782" s="25">
        <v>253315</v>
      </c>
      <c r="AJ782" s="25">
        <v>179854</v>
      </c>
      <c r="AK782" s="25">
        <v>5261</v>
      </c>
      <c r="AL782" s="25">
        <v>344600</v>
      </c>
      <c r="AM782" s="25">
        <v>60100</v>
      </c>
      <c r="AN782" s="25">
        <v>284500</v>
      </c>
      <c r="AO782" s="25">
        <v>0</v>
      </c>
      <c r="AP782" s="25">
        <f>Lookups!$B$56*0</f>
        <v>0</v>
      </c>
      <c r="AQ782" s="25">
        <f>Lookups!$B$56*1</f>
        <v>89850.625589999996</v>
      </c>
      <c r="AR782" s="25">
        <f>Lookups!$B$57*Inventory[[#This Row],[LnAcres]]</f>
        <v>-49401.70477837498</v>
      </c>
      <c r="AS782" s="25">
        <f>VLOOKUP(Inventory[[#This Row],[Qlty]],Lookups!$A$62:$E$75,2,FALSE)</f>
        <v>21557.329055999999</v>
      </c>
      <c r="AT782" s="25">
        <f>VLOOKUP(Inventory[[#This Row],[Cnd]],Lookups!$A$76:$E$84,2,FALSE)</f>
        <v>197752.34721000001</v>
      </c>
      <c r="AU782" s="25">
        <f>Inventory[[#This Row],[EffAge]]*Lookups!$B$85</f>
        <v>-11375.3256255</v>
      </c>
      <c r="AV782" s="25">
        <f>Inventory[[#This Row],[MainFn]]*Lookups!$B$86</f>
        <v>55584.753611625005</v>
      </c>
      <c r="AW782" s="25">
        <f>Inventory[[#This Row],[UpprFn]]*Lookups!$B$87</f>
        <v>0</v>
      </c>
      <c r="AX782" s="25">
        <f>Inventory[[#This Row],[AddFn]]*Lookups!$B$88</f>
        <v>0</v>
      </c>
      <c r="AY782" s="25">
        <f>Inventory[[#This Row],[Bsmt]]*Lookups!$B$89</f>
        <v>32717.132152874998</v>
      </c>
      <c r="AZ782" s="25">
        <f>Inventory[[#This Row],[Fixtures]]*Lookups!$B$90</f>
        <v>30336.176841600001</v>
      </c>
      <c r="BA782" s="25">
        <f>Inventory[[#This Row],[WdDeck]]*Lookups!$B$91</f>
        <v>0</v>
      </c>
      <c r="BB782" s="25">
        <f>ROUND(Inventory[[#This Row],[25Det]],-2)</f>
        <v>5300</v>
      </c>
      <c r="BC782" s="25">
        <f>ROUND(SUM(Inventory[[#This Row],[Mdl Qlty]:[Mdl WdDeck]])+Inventory[[#This Row],[Mdl Res Intercept]],-2)</f>
        <v>326600</v>
      </c>
      <c r="BD782" s="25">
        <f>ROUND(Inventory[[#This Row],[Mdl Land Intercept]]+Inventory[[#This Row],[Mdl LnAcres]],-2)</f>
        <v>40400</v>
      </c>
      <c r="BE782" s="25">
        <f>Inventory[[#This Row],[Unadj Res Value]]+Inventory[[#This Row],[Unadj Det Value]]+Inventory[[#This Row],[Unadj Land Value]]</f>
        <v>372300</v>
      </c>
      <c r="BF782" s="36">
        <f>(Inventory[[#This Row],[Unadj Total Value]]-Inventory[[#This Row],[24Final]])/Inventory[[#This Row],[24Final]]</f>
        <v>8.0383052814857803E-2</v>
      </c>
      <c r="BG782" s="25">
        <f>VLOOKUP(Inventory[[#This Row],[Nbhd]],Lookups!$Q$2:$T$4,4,FALSE)</f>
        <v>0.99970000000000003</v>
      </c>
      <c r="BH782" s="25">
        <f>VLOOKUP(Inventory[[#This Row],[Qlty]],Lookups!$O$7:$R$21,4,FALSE)</f>
        <v>1.0067999999999999</v>
      </c>
      <c r="BI782" s="25">
        <f>VLOOKUP(Inventory[[#This Row],[Cnd]],Lookups!$T$7:$W$16,4,FALSE)</f>
        <v>0.99650000000000005</v>
      </c>
      <c r="BJ782" s="25">
        <f>VLOOKUP(Inventory[[#This Row],[LivArea Range]],Lookups!$T$25:$W$37,4,FALSE)</f>
        <v>1.0093000000000001</v>
      </c>
      <c r="BK782" s="25">
        <f>VLOOKUP(Inventory[[#This Row],[Decade]],Lookups!$O$25:$R$42,4,FALSE)</f>
        <v>0.995</v>
      </c>
      <c r="BL782" s="25">
        <f>Inventory[[#This Row],[Nbhd Adj]]*0.95</f>
        <v>0.94971499999999998</v>
      </c>
      <c r="BM782" s="25">
        <f>Inventory[[#This Row],[Nbhd Adj]]*Inventory[[#This Row],[Quality Adj]]*Inventory[[#This Row],[Condition Adj]]*Inventory[[#This Row],[Living Area Adj]]*Inventory[[#This Row],[Decade Adj]]*0.95</f>
        <v>0.95687930361479956</v>
      </c>
      <c r="BN782" s="25">
        <f>ROUND(SUM(Inventory[[#This Row],[Mdl Qlty]:[Mdl WdDeck]])+Inventory[[#This Row],[Mdl Res Intercept]]*Inventory[[#This Row],[Res Adj ]],-2)</f>
        <v>326600</v>
      </c>
      <c r="BO782" s="25">
        <f>ROUND(Inventory[[#This Row],[25Det]]*Inventory[[#This Row],[Det/Nbhd Adj]],-2)</f>
        <v>5000</v>
      </c>
      <c r="BP782" s="25">
        <f>Inventory[[#This Row],[Adjusted Res]]+Inventory[[#This Row],[Adj Det ]]</f>
        <v>331600</v>
      </c>
      <c r="BQ782" s="25">
        <f>ROUND((Inventory[[#This Row],[Mdl Land Intercept]]+Inventory[[#This Row],[Mdl LnAcres]])*Inventory[[#This Row],[Det/Nbhd Adj]],-2)</f>
        <v>38400</v>
      </c>
      <c r="BR782" s="25">
        <f>Inventory[[#This Row],[Adjusted Impr Total]]+Inventory[[#This Row],[Adjusted Land Total]]</f>
        <v>370000</v>
      </c>
      <c r="BS782" s="36">
        <f>IFERROR((Inventory[[#This Row],[Adjusted Impr Total]]-Inventory[[#This Row],[24Bldg]])/Inventory[[#This Row],[24Bldg]],0)</f>
        <v>0.16555360281195078</v>
      </c>
      <c r="BT782" s="36">
        <f>(Inventory[[#This Row],[Adjusted Land Total]]-Inventory[[#This Row],[24Lnd]])/Inventory[[#This Row],[24Lnd]]</f>
        <v>-0.36106489184692181</v>
      </c>
      <c r="BU782" s="36">
        <f>(Inventory[[#This Row],[Adjusted Total]]-Inventory[[#This Row],[24Final]])/Inventory[[#This Row],[24Final]]</f>
        <v>7.3708647707486946E-2</v>
      </c>
    </row>
    <row r="783" spans="1:73" x14ac:dyDescent="0.3">
      <c r="A783" s="25">
        <v>2025</v>
      </c>
      <c r="B783" s="26" t="s">
        <v>2184</v>
      </c>
      <c r="C783" s="26">
        <f>LN(Inventory[[#This Row],[Acres]])</f>
        <v>-1.8971199848858813</v>
      </c>
      <c r="D783" s="25">
        <v>0.15</v>
      </c>
      <c r="E783" s="25">
        <v>6701</v>
      </c>
      <c r="F783" s="26" t="s">
        <v>537</v>
      </c>
      <c r="G783" s="26" t="s">
        <v>126</v>
      </c>
      <c r="H783" s="26" t="s">
        <v>349</v>
      </c>
      <c r="I783" s="26" t="s">
        <v>538</v>
      </c>
      <c r="J783" s="26" t="s">
        <v>539</v>
      </c>
      <c r="K783" s="26" t="s">
        <v>269</v>
      </c>
      <c r="L783" s="26" t="s">
        <v>351</v>
      </c>
      <c r="M783" s="26" t="s">
        <v>323</v>
      </c>
      <c r="N783" s="26">
        <v>80</v>
      </c>
      <c r="O783" s="26">
        <f>2024-Inventory[[#This Row],[YrBlt]]</f>
        <v>74</v>
      </c>
      <c r="P783" s="26">
        <f>2024-Inventory[[#This Row],[EffYr]]</f>
        <v>51</v>
      </c>
      <c r="Q783" s="25">
        <v>1950</v>
      </c>
      <c r="R783" s="25">
        <v>1973</v>
      </c>
      <c r="S783" s="25">
        <v>972</v>
      </c>
      <c r="T783" s="27"/>
      <c r="U783" s="25">
        <v>775</v>
      </c>
      <c r="V783" s="25">
        <f>Inventory[[#This Row],[Bsmt]]-Inventory[[#This Row],[FnBsmt]]</f>
        <v>775</v>
      </c>
      <c r="W783" s="31"/>
      <c r="X783" s="27"/>
      <c r="Y783" s="27">
        <f>Inventory[[#This Row],[MainFn]]+Inventory[[#This Row],[UpprFn]]+Inventory[[#This Row],[FnBsmt]]+Inventory[[#This Row],[AddFn]]</f>
        <v>972</v>
      </c>
      <c r="Z783" s="27">
        <v>1000</v>
      </c>
      <c r="AA783" s="25">
        <v>7</v>
      </c>
      <c r="AB783" s="27"/>
      <c r="AC783" s="27"/>
      <c r="AD783" s="27"/>
      <c r="AE783" s="27"/>
      <c r="AF783" s="27"/>
      <c r="AG783" s="27"/>
      <c r="AH783" s="27"/>
      <c r="AI783" s="25">
        <v>203917</v>
      </c>
      <c r="AJ783" s="25">
        <v>140703</v>
      </c>
      <c r="AK783" s="25">
        <v>30451</v>
      </c>
      <c r="AL783" s="25">
        <v>302900</v>
      </c>
      <c r="AM783" s="25">
        <v>48400</v>
      </c>
      <c r="AN783" s="25">
        <v>254500</v>
      </c>
      <c r="AO783" s="25">
        <v>0</v>
      </c>
      <c r="AP783" s="25">
        <f>Lookups!$B$56*0</f>
        <v>0</v>
      </c>
      <c r="AQ783" s="25">
        <f>Lookups!$B$56*1</f>
        <v>89850.625589999996</v>
      </c>
      <c r="AR783" s="25">
        <f>Lookups!$B$57*Inventory[[#This Row],[LnAcres]]</f>
        <v>-60052.604136134301</v>
      </c>
      <c r="AS783" s="25">
        <f>VLOOKUP(Inventory[[#This Row],[Qlty]],Lookups!$A$62:$E$75,2,FALSE)</f>
        <v>21557.329055999999</v>
      </c>
      <c r="AT783" s="25">
        <f>VLOOKUP(Inventory[[#This Row],[Cnd]],Lookups!$A$76:$E$84,2,FALSE)</f>
        <v>160472.20319</v>
      </c>
      <c r="AU783" s="25">
        <f>Inventory[[#This Row],[EffAge]]*Lookups!$B$85</f>
        <v>-11375.3256255</v>
      </c>
      <c r="AV783" s="25">
        <f>Inventory[[#This Row],[MainFn]]*Lookups!$B$86</f>
        <v>48025.227120444004</v>
      </c>
      <c r="AW783" s="25">
        <f>Inventory[[#This Row],[UpprFn]]*Lookups!$B$87</f>
        <v>0</v>
      </c>
      <c r="AX783" s="25">
        <f>Inventory[[#This Row],[AddFn]]*Lookups!$B$88</f>
        <v>0</v>
      </c>
      <c r="AY783" s="25">
        <f>Inventory[[#This Row],[Bsmt]]*Lookups!$B$89</f>
        <v>22538.468816425</v>
      </c>
      <c r="AZ783" s="25">
        <f>Inventory[[#This Row],[Fixtures]]*Lookups!$B$90</f>
        <v>26544.1547364</v>
      </c>
      <c r="BA783" s="25">
        <f>Inventory[[#This Row],[WdDeck]]*Lookups!$B$91</f>
        <v>0</v>
      </c>
      <c r="BB783" s="25">
        <f>ROUND(Inventory[[#This Row],[25Det]],-2)</f>
        <v>30500</v>
      </c>
      <c r="BC783" s="25">
        <f>ROUND(SUM(Inventory[[#This Row],[Mdl Qlty]:[Mdl WdDeck]])+Inventory[[#This Row],[Mdl Res Intercept]],-2)</f>
        <v>267800</v>
      </c>
      <c r="BD783" s="25">
        <f>ROUND(Inventory[[#This Row],[Mdl Land Intercept]]+Inventory[[#This Row],[Mdl LnAcres]],-2)</f>
        <v>29800</v>
      </c>
      <c r="BE783" s="25">
        <f>Inventory[[#This Row],[Unadj Res Value]]+Inventory[[#This Row],[Unadj Det Value]]+Inventory[[#This Row],[Unadj Land Value]]</f>
        <v>328100</v>
      </c>
      <c r="BF783" s="36">
        <f>(Inventory[[#This Row],[Unadj Total Value]]-Inventory[[#This Row],[24Final]])/Inventory[[#This Row],[24Final]]</f>
        <v>8.3195774182898641E-2</v>
      </c>
      <c r="BG783" s="25">
        <f>VLOOKUP(Inventory[[#This Row],[Nbhd]],Lookups!$Q$2:$T$4,4,FALSE)</f>
        <v>0.99970000000000003</v>
      </c>
      <c r="BH783" s="25">
        <f>VLOOKUP(Inventory[[#This Row],[Qlty]],Lookups!$O$7:$R$21,4,FALSE)</f>
        <v>1.0067999999999999</v>
      </c>
      <c r="BI783" s="25">
        <f>VLOOKUP(Inventory[[#This Row],[Cnd]],Lookups!$T$7:$W$16,4,FALSE)</f>
        <v>0.99729999999999996</v>
      </c>
      <c r="BJ783" s="25">
        <f>VLOOKUP(Inventory[[#This Row],[LivArea Range]],Lookups!$T$25:$W$37,4,FALSE)</f>
        <v>1.0148999999999999</v>
      </c>
      <c r="BK783" s="25">
        <f>VLOOKUP(Inventory[[#This Row],[Decade]],Lookups!$O$25:$R$42,4,FALSE)</f>
        <v>0.995</v>
      </c>
      <c r="BL783" s="25">
        <f>Inventory[[#This Row],[Nbhd Adj]]*0.95</f>
        <v>0.94971499999999998</v>
      </c>
      <c r="BM783" s="25">
        <f>Inventory[[#This Row],[Nbhd Adj]]*Inventory[[#This Row],[Quality Adj]]*Inventory[[#This Row],[Condition Adj]]*Inventory[[#This Row],[Living Area Adj]]*Inventory[[#This Row],[Decade Adj]]*0.95</f>
        <v>0.96296090698154491</v>
      </c>
      <c r="BN783" s="25">
        <f>ROUND(SUM(Inventory[[#This Row],[Mdl Qlty]:[Mdl WdDeck]])+Inventory[[#This Row],[Mdl Res Intercept]]*Inventory[[#This Row],[Res Adj ]],-2)</f>
        <v>267800</v>
      </c>
      <c r="BO783" s="25">
        <f>ROUND(Inventory[[#This Row],[25Det]]*Inventory[[#This Row],[Det/Nbhd Adj]],-2)</f>
        <v>28900</v>
      </c>
      <c r="BP783" s="25">
        <f>Inventory[[#This Row],[Adjusted Res]]+Inventory[[#This Row],[Adj Det ]]</f>
        <v>296700</v>
      </c>
      <c r="BQ783" s="25">
        <f>ROUND((Inventory[[#This Row],[Mdl Land Intercept]]+Inventory[[#This Row],[Mdl LnAcres]])*Inventory[[#This Row],[Det/Nbhd Adj]],-2)</f>
        <v>28300</v>
      </c>
      <c r="BR783" s="25">
        <f>Inventory[[#This Row],[Adjusted Impr Total]]+Inventory[[#This Row],[Adjusted Land Total]]</f>
        <v>325000</v>
      </c>
      <c r="BS783" s="36">
        <f>IFERROR((Inventory[[#This Row],[Adjusted Impr Total]]-Inventory[[#This Row],[24Bldg]])/Inventory[[#This Row],[24Bldg]],0)</f>
        <v>0.16581532416502948</v>
      </c>
      <c r="BT783" s="36">
        <f>(Inventory[[#This Row],[Adjusted Land Total]]-Inventory[[#This Row],[24Lnd]])/Inventory[[#This Row],[24Lnd]]</f>
        <v>-0.41528925619834711</v>
      </c>
      <c r="BU783" s="36">
        <f>(Inventory[[#This Row],[Adjusted Total]]-Inventory[[#This Row],[24Final]])/Inventory[[#This Row],[24Final]]</f>
        <v>7.2961373390557943E-2</v>
      </c>
    </row>
    <row r="784" spans="1:73" x14ac:dyDescent="0.3">
      <c r="A784" s="25">
        <v>2025</v>
      </c>
      <c r="B784" s="26" t="s">
        <v>1959</v>
      </c>
      <c r="C784" s="26">
        <f>LN(Inventory[[#This Row],[Acres]])</f>
        <v>-1.3470736479666092</v>
      </c>
      <c r="D784" s="25">
        <v>0.26</v>
      </c>
      <c r="E784" s="31"/>
      <c r="F784" s="26" t="s">
        <v>537</v>
      </c>
      <c r="G784" s="26" t="s">
        <v>126</v>
      </c>
      <c r="H784" s="26" t="s">
        <v>349</v>
      </c>
      <c r="I784" s="26" t="s">
        <v>538</v>
      </c>
      <c r="J784" s="26" t="s">
        <v>539</v>
      </c>
      <c r="K784" s="26" t="s">
        <v>241</v>
      </c>
      <c r="L784" s="26" t="s">
        <v>302</v>
      </c>
      <c r="M784" s="26" t="s">
        <v>303</v>
      </c>
      <c r="N784" s="26">
        <v>80</v>
      </c>
      <c r="O784" s="26">
        <f>2024-Inventory[[#This Row],[YrBlt]]</f>
        <v>74</v>
      </c>
      <c r="P784" s="26">
        <f>2024-Inventory[[#This Row],[EffYr]]</f>
        <v>51</v>
      </c>
      <c r="Q784" s="25">
        <v>1950</v>
      </c>
      <c r="R784" s="25">
        <v>1973</v>
      </c>
      <c r="S784" s="25">
        <v>1345</v>
      </c>
      <c r="T784" s="27"/>
      <c r="U784" s="31"/>
      <c r="V784" s="31">
        <f>Inventory[[#This Row],[Bsmt]]-Inventory[[#This Row],[FnBsmt]]</f>
        <v>0</v>
      </c>
      <c r="W784" s="31"/>
      <c r="X784" s="27"/>
      <c r="Y784" s="27">
        <f>Inventory[[#This Row],[MainFn]]+Inventory[[#This Row],[UpprFn]]+Inventory[[#This Row],[FnBsmt]]+Inventory[[#This Row],[AddFn]]</f>
        <v>1345</v>
      </c>
      <c r="Z784" s="27">
        <v>1500</v>
      </c>
      <c r="AA784" s="25">
        <v>8</v>
      </c>
      <c r="AB784" s="32">
        <v>308</v>
      </c>
      <c r="AC784" s="27"/>
      <c r="AD784" s="31"/>
      <c r="AE784" s="27"/>
      <c r="AF784" s="27"/>
      <c r="AG784" s="27"/>
      <c r="AH784" s="27"/>
      <c r="AI784" s="25">
        <v>279358</v>
      </c>
      <c r="AJ784" s="25">
        <v>198344</v>
      </c>
      <c r="AK784" s="25">
        <v>3010</v>
      </c>
      <c r="AL784" s="25">
        <v>336200</v>
      </c>
      <c r="AM784" s="25">
        <v>67600</v>
      </c>
      <c r="AN784" s="25">
        <v>268600</v>
      </c>
      <c r="AO784" s="25">
        <v>0</v>
      </c>
      <c r="AP784" s="25">
        <f>Lookups!$B$56*0</f>
        <v>0</v>
      </c>
      <c r="AQ784" s="25">
        <f>Lookups!$B$56*1</f>
        <v>89850.625589999996</v>
      </c>
      <c r="AR784" s="25">
        <f>Lookups!$B$57*Inventory[[#This Row],[LnAcres]]</f>
        <v>-42641.098701210125</v>
      </c>
      <c r="AS784" s="25">
        <f>VLOOKUP(Inventory[[#This Row],[Qlty]],Lookups!$A$62:$E$75,2,FALSE)</f>
        <v>29814.093161000001</v>
      </c>
      <c r="AT784" s="25">
        <f>VLOOKUP(Inventory[[#This Row],[Cnd]],Lookups!$A$76:$E$84,2,FALSE)</f>
        <v>197752.34721000001</v>
      </c>
      <c r="AU784" s="25">
        <f>Inventory[[#This Row],[EffAge]]*Lookups!$B$85</f>
        <v>-11375.3256255</v>
      </c>
      <c r="AV784" s="25">
        <f>Inventory[[#This Row],[MainFn]]*Lookups!$B$86</f>
        <v>66454.660984564995</v>
      </c>
      <c r="AW784" s="25">
        <f>Inventory[[#This Row],[UpprFn]]*Lookups!$B$87</f>
        <v>0</v>
      </c>
      <c r="AX784" s="25">
        <f>Inventory[[#This Row],[AddFn]]*Lookups!$B$88</f>
        <v>0</v>
      </c>
      <c r="AY784" s="25">
        <f>Inventory[[#This Row],[Bsmt]]*Lookups!$B$89</f>
        <v>0</v>
      </c>
      <c r="AZ784" s="25">
        <f>Inventory[[#This Row],[Fixtures]]*Lookups!$B$90</f>
        <v>30336.176841600001</v>
      </c>
      <c r="BA784" s="25">
        <f>Inventory[[#This Row],[WdDeck]]*Lookups!$B$91</f>
        <v>0</v>
      </c>
      <c r="BB784" s="25">
        <f>ROUND(Inventory[[#This Row],[25Det]],-2)</f>
        <v>3000</v>
      </c>
      <c r="BC784" s="25">
        <f>ROUND(SUM(Inventory[[#This Row],[Mdl Qlty]:[Mdl WdDeck]])+Inventory[[#This Row],[Mdl Res Intercept]],-2)</f>
        <v>313000</v>
      </c>
      <c r="BD784" s="25">
        <f>ROUND(Inventory[[#This Row],[Mdl Land Intercept]]+Inventory[[#This Row],[Mdl LnAcres]],-2)</f>
        <v>47200</v>
      </c>
      <c r="BE784" s="25">
        <f>Inventory[[#This Row],[Unadj Res Value]]+Inventory[[#This Row],[Unadj Det Value]]+Inventory[[#This Row],[Unadj Land Value]]</f>
        <v>363200</v>
      </c>
      <c r="BF784" s="36">
        <f>(Inventory[[#This Row],[Unadj Total Value]]-Inventory[[#This Row],[24Final]])/Inventory[[#This Row],[24Final]]</f>
        <v>8.0309339678762637E-2</v>
      </c>
      <c r="BG784" s="25">
        <f>VLOOKUP(Inventory[[#This Row],[Nbhd]],Lookups!$Q$2:$T$4,4,FALSE)</f>
        <v>0.99970000000000003</v>
      </c>
      <c r="BH784" s="25">
        <f>VLOOKUP(Inventory[[#This Row],[Qlty]],Lookups!$O$7:$R$21,4,FALSE)</f>
        <v>1.0088999999999999</v>
      </c>
      <c r="BI784" s="25">
        <f>VLOOKUP(Inventory[[#This Row],[Cnd]],Lookups!$T$7:$W$16,4,FALSE)</f>
        <v>0.99650000000000005</v>
      </c>
      <c r="BJ784" s="25">
        <f>VLOOKUP(Inventory[[#This Row],[LivArea Range]],Lookups!$T$25:$W$37,4,FALSE)</f>
        <v>1.0157</v>
      </c>
      <c r="BK784" s="25">
        <f>VLOOKUP(Inventory[[#This Row],[Decade]],Lookups!$O$25:$R$42,4,FALSE)</f>
        <v>0.995</v>
      </c>
      <c r="BL784" s="25">
        <f>Inventory[[#This Row],[Nbhd Adj]]*0.95</f>
        <v>0.94971499999999998</v>
      </c>
      <c r="BM784" s="25">
        <f>Inventory[[#This Row],[Nbhd Adj]]*Inventory[[#This Row],[Quality Adj]]*Inventory[[#This Row],[Condition Adj]]*Inventory[[#This Row],[Living Area Adj]]*Inventory[[#This Row],[Decade Adj]]*0.95</f>
        <v>0.9649554329763177</v>
      </c>
      <c r="BN784" s="25">
        <f>ROUND(SUM(Inventory[[#This Row],[Mdl Qlty]:[Mdl WdDeck]])+Inventory[[#This Row],[Mdl Res Intercept]]*Inventory[[#This Row],[Res Adj ]],-2)</f>
        <v>313000</v>
      </c>
      <c r="BO784" s="25">
        <f>ROUND(Inventory[[#This Row],[25Det]]*Inventory[[#This Row],[Det/Nbhd Adj]],-2)</f>
        <v>2900</v>
      </c>
      <c r="BP784" s="25">
        <f>Inventory[[#This Row],[Adjusted Res]]+Inventory[[#This Row],[Adj Det ]]</f>
        <v>315900</v>
      </c>
      <c r="BQ784" s="25">
        <f>ROUND((Inventory[[#This Row],[Mdl Land Intercept]]+Inventory[[#This Row],[Mdl LnAcres]])*Inventory[[#This Row],[Det/Nbhd Adj]],-2)</f>
        <v>44800</v>
      </c>
      <c r="BR784" s="25">
        <f>Inventory[[#This Row],[Adjusted Impr Total]]+Inventory[[#This Row],[Adjusted Land Total]]</f>
        <v>360700</v>
      </c>
      <c r="BS784" s="36">
        <f>IFERROR((Inventory[[#This Row],[Adjusted Impr Total]]-Inventory[[#This Row],[24Bldg]])/Inventory[[#This Row],[24Bldg]],0)</f>
        <v>0.17609828741623232</v>
      </c>
      <c r="BT784" s="36">
        <f>(Inventory[[#This Row],[Adjusted Land Total]]-Inventory[[#This Row],[24Lnd]])/Inventory[[#This Row],[24Lnd]]</f>
        <v>-0.33727810650887574</v>
      </c>
      <c r="BU784" s="36">
        <f>(Inventory[[#This Row],[Adjusted Total]]-Inventory[[#This Row],[24Final]])/Inventory[[#This Row],[24Final]]</f>
        <v>7.2873289708506844E-2</v>
      </c>
    </row>
    <row r="785" spans="1:73" x14ac:dyDescent="0.3">
      <c r="A785" s="25">
        <v>2025</v>
      </c>
      <c r="B785" s="26" t="s">
        <v>1339</v>
      </c>
      <c r="C785" s="26">
        <f>LN(Inventory[[#This Row],[Acres]])</f>
        <v>-0.89159811928378363</v>
      </c>
      <c r="D785" s="25">
        <v>0.41</v>
      </c>
      <c r="E785" s="25">
        <v>17755</v>
      </c>
      <c r="F785" s="26" t="s">
        <v>537</v>
      </c>
      <c r="G785" s="26" t="s">
        <v>126</v>
      </c>
      <c r="H785" s="26" t="s">
        <v>349</v>
      </c>
      <c r="I785" s="26" t="s">
        <v>538</v>
      </c>
      <c r="J785" s="26" t="s">
        <v>539</v>
      </c>
      <c r="K785" s="26" t="s">
        <v>241</v>
      </c>
      <c r="L785" s="26" t="s">
        <v>351</v>
      </c>
      <c r="M785" s="26" t="s">
        <v>323</v>
      </c>
      <c r="N785" s="26">
        <v>80</v>
      </c>
      <c r="O785" s="26">
        <f>2024-Inventory[[#This Row],[YrBlt]]</f>
        <v>74</v>
      </c>
      <c r="P785" s="26">
        <f>2024-Inventory[[#This Row],[EffYr]]</f>
        <v>51</v>
      </c>
      <c r="Q785" s="25">
        <v>1950</v>
      </c>
      <c r="R785" s="25">
        <v>1973</v>
      </c>
      <c r="S785" s="25">
        <v>1167</v>
      </c>
      <c r="T785" s="31"/>
      <c r="U785" s="25">
        <v>1167</v>
      </c>
      <c r="V785" s="25">
        <f>Inventory[[#This Row],[Bsmt]]-Inventory[[#This Row],[FnBsmt]]</f>
        <v>1167</v>
      </c>
      <c r="W785" s="31"/>
      <c r="X785" s="27"/>
      <c r="Y785" s="27">
        <f>Inventory[[#This Row],[MainFn]]+Inventory[[#This Row],[UpprFn]]+Inventory[[#This Row],[FnBsmt]]+Inventory[[#This Row],[AddFn]]</f>
        <v>1167</v>
      </c>
      <c r="Z785" s="27">
        <v>1500</v>
      </c>
      <c r="AA785" s="25">
        <v>6</v>
      </c>
      <c r="AB785" s="27"/>
      <c r="AC785" s="27"/>
      <c r="AD785" s="27"/>
      <c r="AE785" s="27"/>
      <c r="AF785" s="27"/>
      <c r="AG785" s="27"/>
      <c r="AH785" s="27"/>
      <c r="AI785" s="25">
        <v>245273</v>
      </c>
      <c r="AJ785" s="25">
        <v>169238</v>
      </c>
      <c r="AK785" s="25">
        <v>9708</v>
      </c>
      <c r="AL785" s="25">
        <v>329200</v>
      </c>
      <c r="AM785" s="25">
        <v>83400</v>
      </c>
      <c r="AN785" s="25">
        <v>245800</v>
      </c>
      <c r="AO785" s="25">
        <v>0</v>
      </c>
      <c r="AP785" s="25">
        <f>Lookups!$B$56*0</f>
        <v>0</v>
      </c>
      <c r="AQ785" s="25">
        <f>Lookups!$B$56*1</f>
        <v>89850.625589999996</v>
      </c>
      <c r="AR785" s="25">
        <f>Lookups!$B$57*Inventory[[#This Row],[LnAcres]]</f>
        <v>-28223.195861326454</v>
      </c>
      <c r="AS785" s="25">
        <f>VLOOKUP(Inventory[[#This Row],[Qlty]],Lookups!$A$62:$E$75,2,FALSE)</f>
        <v>21557.329055999999</v>
      </c>
      <c r="AT785" s="25">
        <f>VLOOKUP(Inventory[[#This Row],[Cnd]],Lookups!$A$76:$E$84,2,FALSE)</f>
        <v>160472.20319</v>
      </c>
      <c r="AU785" s="25">
        <f>Inventory[[#This Row],[EffAge]]*Lookups!$B$85</f>
        <v>-11375.3256255</v>
      </c>
      <c r="AV785" s="25">
        <f>Inventory[[#This Row],[MainFn]]*Lookups!$B$86</f>
        <v>57659.917746459003</v>
      </c>
      <c r="AW785" s="25">
        <f>Inventory[[#This Row],[UpprFn]]*Lookups!$B$87</f>
        <v>0</v>
      </c>
      <c r="AX785" s="25">
        <f>Inventory[[#This Row],[AddFn]]*Lookups!$B$88</f>
        <v>0</v>
      </c>
      <c r="AY785" s="25">
        <f>Inventory[[#This Row],[Bsmt]]*Lookups!$B$89</f>
        <v>33938.571753249002</v>
      </c>
      <c r="AZ785" s="25">
        <f>Inventory[[#This Row],[Fixtures]]*Lookups!$B$90</f>
        <v>22752.132631200002</v>
      </c>
      <c r="BA785" s="25">
        <f>Inventory[[#This Row],[WdDeck]]*Lookups!$B$91</f>
        <v>0</v>
      </c>
      <c r="BB785" s="25">
        <f>ROUND(Inventory[[#This Row],[25Det]],-2)</f>
        <v>9700</v>
      </c>
      <c r="BC785" s="25">
        <f>ROUND(SUM(Inventory[[#This Row],[Mdl Qlty]:[Mdl WdDeck]])+Inventory[[#This Row],[Mdl Res Intercept]],-2)</f>
        <v>285000</v>
      </c>
      <c r="BD785" s="25">
        <f>ROUND(Inventory[[#This Row],[Mdl Land Intercept]]+Inventory[[#This Row],[Mdl LnAcres]],-2)</f>
        <v>61600</v>
      </c>
      <c r="BE785" s="25">
        <f>Inventory[[#This Row],[Unadj Res Value]]+Inventory[[#This Row],[Unadj Det Value]]+Inventory[[#This Row],[Unadj Land Value]]</f>
        <v>356300</v>
      </c>
      <c r="BF785" s="36">
        <f>(Inventory[[#This Row],[Unadj Total Value]]-Inventory[[#This Row],[24Final]])/Inventory[[#This Row],[24Final]]</f>
        <v>8.2320777642770349E-2</v>
      </c>
      <c r="BG785" s="25">
        <f>VLOOKUP(Inventory[[#This Row],[Nbhd]],Lookups!$Q$2:$T$4,4,FALSE)</f>
        <v>0.99970000000000003</v>
      </c>
      <c r="BH785" s="25">
        <f>VLOOKUP(Inventory[[#This Row],[Qlty]],Lookups!$O$7:$R$21,4,FALSE)</f>
        <v>1.0067999999999999</v>
      </c>
      <c r="BI785" s="25">
        <f>VLOOKUP(Inventory[[#This Row],[Cnd]],Lookups!$T$7:$W$16,4,FALSE)</f>
        <v>0.99729999999999996</v>
      </c>
      <c r="BJ785" s="25">
        <f>VLOOKUP(Inventory[[#This Row],[LivArea Range]],Lookups!$T$25:$W$37,4,FALSE)</f>
        <v>1.0157</v>
      </c>
      <c r="BK785" s="25">
        <f>VLOOKUP(Inventory[[#This Row],[Decade]],Lookups!$O$25:$R$42,4,FALSE)</f>
        <v>0.995</v>
      </c>
      <c r="BL785" s="25">
        <f>Inventory[[#This Row],[Nbhd Adj]]*0.95</f>
        <v>0.94971499999999998</v>
      </c>
      <c r="BM785" s="25">
        <f>Inventory[[#This Row],[Nbhd Adj]]*Inventory[[#This Row],[Quality Adj]]*Inventory[[#This Row],[Condition Adj]]*Inventory[[#This Row],[Living Area Adj]]*Inventory[[#This Row],[Decade Adj]]*0.95</f>
        <v>0.96371996573175212</v>
      </c>
      <c r="BN785" s="25">
        <f>ROUND(SUM(Inventory[[#This Row],[Mdl Qlty]:[Mdl WdDeck]])+Inventory[[#This Row],[Mdl Res Intercept]]*Inventory[[#This Row],[Res Adj ]],-2)</f>
        <v>285000</v>
      </c>
      <c r="BO785" s="25">
        <f>ROUND(Inventory[[#This Row],[25Det]]*Inventory[[#This Row],[Det/Nbhd Adj]],-2)</f>
        <v>9200</v>
      </c>
      <c r="BP785" s="25">
        <f>Inventory[[#This Row],[Adjusted Res]]+Inventory[[#This Row],[Adj Det ]]</f>
        <v>294200</v>
      </c>
      <c r="BQ785" s="25">
        <f>ROUND((Inventory[[#This Row],[Mdl Land Intercept]]+Inventory[[#This Row],[Mdl LnAcres]])*Inventory[[#This Row],[Det/Nbhd Adj]],-2)</f>
        <v>58500</v>
      </c>
      <c r="BR785" s="25">
        <f>Inventory[[#This Row],[Adjusted Impr Total]]+Inventory[[#This Row],[Adjusted Land Total]]</f>
        <v>352700</v>
      </c>
      <c r="BS785" s="36">
        <f>IFERROR((Inventory[[#This Row],[Adjusted Impr Total]]-Inventory[[#This Row],[24Bldg]])/Inventory[[#This Row],[24Bldg]],0)</f>
        <v>0.1969080553295362</v>
      </c>
      <c r="BT785" s="36">
        <f>(Inventory[[#This Row],[Adjusted Land Total]]-Inventory[[#This Row],[24Lnd]])/Inventory[[#This Row],[24Lnd]]</f>
        <v>-0.29856115107913667</v>
      </c>
      <c r="BU785" s="36">
        <f>(Inventory[[#This Row],[Adjusted Total]]-Inventory[[#This Row],[24Final]])/Inventory[[#This Row],[24Final]]</f>
        <v>7.1385176184690161E-2</v>
      </c>
    </row>
    <row r="786" spans="1:73" x14ac:dyDescent="0.3">
      <c r="A786" s="25">
        <v>2025</v>
      </c>
      <c r="B786" s="26" t="s">
        <v>1472</v>
      </c>
      <c r="C786" s="26">
        <f>LN(Inventory[[#This Row],[Acres]])</f>
        <v>-1.0498221244986778</v>
      </c>
      <c r="D786" s="25">
        <v>0.35</v>
      </c>
      <c r="E786" s="25">
        <v>15257</v>
      </c>
      <c r="F786" s="26" t="s">
        <v>537</v>
      </c>
      <c r="G786" s="26" t="s">
        <v>126</v>
      </c>
      <c r="H786" s="26" t="s">
        <v>349</v>
      </c>
      <c r="I786" s="26" t="s">
        <v>538</v>
      </c>
      <c r="J786" s="26" t="s">
        <v>539</v>
      </c>
      <c r="K786" s="26" t="s">
        <v>241</v>
      </c>
      <c r="L786" s="26" t="s">
        <v>351</v>
      </c>
      <c r="M786" s="26" t="s">
        <v>303</v>
      </c>
      <c r="N786" s="26">
        <v>80</v>
      </c>
      <c r="O786" s="26">
        <f>2024-Inventory[[#This Row],[YrBlt]]</f>
        <v>74</v>
      </c>
      <c r="P786" s="26">
        <f>2024-Inventory[[#This Row],[EffYr]]</f>
        <v>51</v>
      </c>
      <c r="Q786" s="25">
        <v>1950</v>
      </c>
      <c r="R786" s="25">
        <v>1973</v>
      </c>
      <c r="S786" s="25">
        <v>1349</v>
      </c>
      <c r="T786" s="27"/>
      <c r="U786" s="31"/>
      <c r="V786" s="31">
        <f>Inventory[[#This Row],[Bsmt]]-Inventory[[#This Row],[FnBsmt]]</f>
        <v>0</v>
      </c>
      <c r="W786" s="31"/>
      <c r="X786" s="27"/>
      <c r="Y786" s="27">
        <f>Inventory[[#This Row],[MainFn]]+Inventory[[#This Row],[UpprFn]]+Inventory[[#This Row],[FnBsmt]]+Inventory[[#This Row],[AddFn]]</f>
        <v>1349</v>
      </c>
      <c r="Z786" s="27">
        <v>1500</v>
      </c>
      <c r="AA786" s="25">
        <v>5</v>
      </c>
      <c r="AB786" s="27"/>
      <c r="AC786" s="27"/>
      <c r="AD786" s="27"/>
      <c r="AE786" s="27"/>
      <c r="AF786" s="27"/>
      <c r="AG786" s="27"/>
      <c r="AH786" s="27"/>
      <c r="AI786" s="25">
        <v>229401</v>
      </c>
      <c r="AJ786" s="25">
        <v>162875</v>
      </c>
      <c r="AK786" s="25">
        <v>9099</v>
      </c>
      <c r="AL786" s="25">
        <v>332200</v>
      </c>
      <c r="AM786" s="25">
        <v>77900</v>
      </c>
      <c r="AN786" s="25">
        <v>254300</v>
      </c>
      <c r="AO786" s="25">
        <v>0</v>
      </c>
      <c r="AP786" s="25">
        <f>Lookups!$B$56*0</f>
        <v>0</v>
      </c>
      <c r="AQ786" s="25">
        <f>Lookups!$B$56*1</f>
        <v>89850.625589999996</v>
      </c>
      <c r="AR786" s="25">
        <f>Lookups!$B$57*Inventory[[#This Row],[LnAcres]]</f>
        <v>-33231.715947405908</v>
      </c>
      <c r="AS786" s="25">
        <f>VLOOKUP(Inventory[[#This Row],[Qlty]],Lookups!$A$62:$E$75,2,FALSE)</f>
        <v>21557.329055999999</v>
      </c>
      <c r="AT786" s="25">
        <f>VLOOKUP(Inventory[[#This Row],[Cnd]],Lookups!$A$76:$E$84,2,FALSE)</f>
        <v>197752.34721000001</v>
      </c>
      <c r="AU786" s="25">
        <f>Inventory[[#This Row],[EffAge]]*Lookups!$B$85</f>
        <v>-11375.3256255</v>
      </c>
      <c r="AV786" s="25">
        <f>Inventory[[#This Row],[MainFn]]*Lookups!$B$86</f>
        <v>66652.295664072997</v>
      </c>
      <c r="AW786" s="25">
        <f>Inventory[[#This Row],[UpprFn]]*Lookups!$B$87</f>
        <v>0</v>
      </c>
      <c r="AX786" s="25">
        <f>Inventory[[#This Row],[AddFn]]*Lookups!$B$88</f>
        <v>0</v>
      </c>
      <c r="AY786" s="25">
        <f>Inventory[[#This Row],[Bsmt]]*Lookups!$B$89</f>
        <v>0</v>
      </c>
      <c r="AZ786" s="25">
        <f>Inventory[[#This Row],[Fixtures]]*Lookups!$B$90</f>
        <v>18960.110526</v>
      </c>
      <c r="BA786" s="25">
        <f>Inventory[[#This Row],[WdDeck]]*Lookups!$B$91</f>
        <v>0</v>
      </c>
      <c r="BB786" s="25">
        <f>ROUND(Inventory[[#This Row],[25Det]],-2)</f>
        <v>9100</v>
      </c>
      <c r="BC786" s="25">
        <f>ROUND(SUM(Inventory[[#This Row],[Mdl Qlty]:[Mdl WdDeck]])+Inventory[[#This Row],[Mdl Res Intercept]],-2)</f>
        <v>293500</v>
      </c>
      <c r="BD786" s="25">
        <f>ROUND(Inventory[[#This Row],[Mdl Land Intercept]]+Inventory[[#This Row],[Mdl LnAcres]],-2)</f>
        <v>56600</v>
      </c>
      <c r="BE786" s="25">
        <f>Inventory[[#This Row],[Unadj Res Value]]+Inventory[[#This Row],[Unadj Det Value]]+Inventory[[#This Row],[Unadj Land Value]]</f>
        <v>359200</v>
      </c>
      <c r="BF786" s="36">
        <f>(Inventory[[#This Row],[Unadj Total Value]]-Inventory[[#This Row],[24Final]])/Inventory[[#This Row],[24Final]]</f>
        <v>8.1276339554485252E-2</v>
      </c>
      <c r="BG786" s="25">
        <f>VLOOKUP(Inventory[[#This Row],[Nbhd]],Lookups!$Q$2:$T$4,4,FALSE)</f>
        <v>0.99970000000000003</v>
      </c>
      <c r="BH786" s="25">
        <f>VLOOKUP(Inventory[[#This Row],[Qlty]],Lookups!$O$7:$R$21,4,FALSE)</f>
        <v>1.0067999999999999</v>
      </c>
      <c r="BI786" s="25">
        <f>VLOOKUP(Inventory[[#This Row],[Cnd]],Lookups!$T$7:$W$16,4,FALSE)</f>
        <v>0.99650000000000005</v>
      </c>
      <c r="BJ786" s="25">
        <f>VLOOKUP(Inventory[[#This Row],[LivArea Range]],Lookups!$T$25:$W$37,4,FALSE)</f>
        <v>1.0157</v>
      </c>
      <c r="BK786" s="25">
        <f>VLOOKUP(Inventory[[#This Row],[Decade]],Lookups!$O$25:$R$42,4,FALSE)</f>
        <v>0.995</v>
      </c>
      <c r="BL786" s="25">
        <f>Inventory[[#This Row],[Nbhd Adj]]*0.95</f>
        <v>0.94971499999999998</v>
      </c>
      <c r="BM786" s="25">
        <f>Inventory[[#This Row],[Nbhd Adj]]*Inventory[[#This Row],[Quality Adj]]*Inventory[[#This Row],[Condition Adj]]*Inventory[[#This Row],[Living Area Adj]]*Inventory[[#This Row],[Decade Adj]]*0.95</f>
        <v>0.96294690248840986</v>
      </c>
      <c r="BN786" s="25">
        <f>ROUND(SUM(Inventory[[#This Row],[Mdl Qlty]:[Mdl WdDeck]])+Inventory[[#This Row],[Mdl Res Intercept]]*Inventory[[#This Row],[Res Adj ]],-2)</f>
        <v>293500</v>
      </c>
      <c r="BO786" s="25">
        <f>ROUND(Inventory[[#This Row],[25Det]]*Inventory[[#This Row],[Det/Nbhd Adj]],-2)</f>
        <v>8600</v>
      </c>
      <c r="BP786" s="25">
        <f>Inventory[[#This Row],[Adjusted Res]]+Inventory[[#This Row],[Adj Det ]]</f>
        <v>302100</v>
      </c>
      <c r="BQ786" s="25">
        <f>ROUND((Inventory[[#This Row],[Mdl Land Intercept]]+Inventory[[#This Row],[Mdl LnAcres]])*Inventory[[#This Row],[Det/Nbhd Adj]],-2)</f>
        <v>53800</v>
      </c>
      <c r="BR786" s="25">
        <f>Inventory[[#This Row],[Adjusted Impr Total]]+Inventory[[#This Row],[Adjusted Land Total]]</f>
        <v>355900</v>
      </c>
      <c r="BS786" s="36">
        <f>IFERROR((Inventory[[#This Row],[Adjusted Impr Total]]-Inventory[[#This Row],[24Bldg]])/Inventory[[#This Row],[24Bldg]],0)</f>
        <v>0.18796696814785685</v>
      </c>
      <c r="BT786" s="36">
        <f>(Inventory[[#This Row],[Adjusted Land Total]]-Inventory[[#This Row],[24Lnd]])/Inventory[[#This Row],[24Lnd]]</f>
        <v>-0.30937098844672656</v>
      </c>
      <c r="BU786" s="36">
        <f>(Inventory[[#This Row],[Adjusted Total]]-Inventory[[#This Row],[24Final]])/Inventory[[#This Row],[24Final]]</f>
        <v>7.1342564720048157E-2</v>
      </c>
    </row>
    <row r="787" spans="1:73" x14ac:dyDescent="0.3">
      <c r="A787" s="25">
        <v>2025</v>
      </c>
      <c r="B787" s="26" t="s">
        <v>1480</v>
      </c>
      <c r="C787" s="26">
        <f>LN(Inventory[[#This Row],[Acres]])</f>
        <v>-1.6607312068216509</v>
      </c>
      <c r="D787" s="25">
        <v>0.19</v>
      </c>
      <c r="E787" s="25">
        <v>8372</v>
      </c>
      <c r="F787" s="26" t="s">
        <v>537</v>
      </c>
      <c r="G787" s="26" t="s">
        <v>126</v>
      </c>
      <c r="H787" s="26" t="s">
        <v>349</v>
      </c>
      <c r="I787" s="26" t="s">
        <v>538</v>
      </c>
      <c r="J787" s="26" t="s">
        <v>539</v>
      </c>
      <c r="K787" s="26" t="s">
        <v>241</v>
      </c>
      <c r="L787" s="26" t="s">
        <v>302</v>
      </c>
      <c r="M787" s="26" t="s">
        <v>323</v>
      </c>
      <c r="N787" s="26">
        <v>80</v>
      </c>
      <c r="O787" s="26">
        <f>2024-Inventory[[#This Row],[YrBlt]]</f>
        <v>74</v>
      </c>
      <c r="P787" s="26">
        <f>2024-Inventory[[#This Row],[EffYr]]</f>
        <v>51</v>
      </c>
      <c r="Q787" s="25">
        <v>1950</v>
      </c>
      <c r="R787" s="25">
        <v>1973</v>
      </c>
      <c r="S787" s="25">
        <v>1284</v>
      </c>
      <c r="T787" s="27"/>
      <c r="U787" s="25">
        <v>1284</v>
      </c>
      <c r="V787" s="25">
        <f>Inventory[[#This Row],[Bsmt]]-Inventory[[#This Row],[FnBsmt]]</f>
        <v>1284</v>
      </c>
      <c r="W787" s="31"/>
      <c r="X787" s="27"/>
      <c r="Y787" s="27">
        <f>Inventory[[#This Row],[MainFn]]+Inventory[[#This Row],[UpprFn]]+Inventory[[#This Row],[FnBsmt]]+Inventory[[#This Row],[AddFn]]</f>
        <v>1284</v>
      </c>
      <c r="Z787" s="27">
        <v>1500</v>
      </c>
      <c r="AA787" s="25">
        <v>7</v>
      </c>
      <c r="AB787" s="27"/>
      <c r="AC787" s="27"/>
      <c r="AD787" s="27"/>
      <c r="AE787" s="27"/>
      <c r="AF787" s="27"/>
      <c r="AG787" s="27"/>
      <c r="AH787" s="27"/>
      <c r="AI787" s="25">
        <v>300253</v>
      </c>
      <c r="AJ787" s="25">
        <v>207175</v>
      </c>
      <c r="AK787" s="25">
        <v>7573</v>
      </c>
      <c r="AL787" s="25">
        <v>325600</v>
      </c>
      <c r="AM787" s="25">
        <v>56600</v>
      </c>
      <c r="AN787" s="25">
        <v>269000</v>
      </c>
      <c r="AO787" s="25">
        <v>0</v>
      </c>
      <c r="AP787" s="25">
        <f>Lookups!$B$56*0</f>
        <v>0</v>
      </c>
      <c r="AQ787" s="25">
        <f>Lookups!$B$56*1</f>
        <v>89850.625589999996</v>
      </c>
      <c r="AR787" s="25">
        <f>Lookups!$B$57*Inventory[[#This Row],[LnAcres]]</f>
        <v>-52569.808201026557</v>
      </c>
      <c r="AS787" s="25">
        <f>VLOOKUP(Inventory[[#This Row],[Qlty]],Lookups!$A$62:$E$75,2,FALSE)</f>
        <v>29814.093161000001</v>
      </c>
      <c r="AT787" s="25">
        <f>VLOOKUP(Inventory[[#This Row],[Cnd]],Lookups!$A$76:$E$84,2,FALSE)</f>
        <v>160472.20319</v>
      </c>
      <c r="AU787" s="25">
        <f>Inventory[[#This Row],[EffAge]]*Lookups!$B$85</f>
        <v>-11375.3256255</v>
      </c>
      <c r="AV787" s="25">
        <f>Inventory[[#This Row],[MainFn]]*Lookups!$B$86</f>
        <v>63440.732122068002</v>
      </c>
      <c r="AW787" s="25">
        <f>Inventory[[#This Row],[UpprFn]]*Lookups!$B$87</f>
        <v>0</v>
      </c>
      <c r="AX787" s="25">
        <f>Inventory[[#This Row],[AddFn]]*Lookups!$B$88</f>
        <v>0</v>
      </c>
      <c r="AY787" s="25">
        <f>Inventory[[#This Row],[Bsmt]]*Lookups!$B$89</f>
        <v>37341.153497148</v>
      </c>
      <c r="AZ787" s="25">
        <f>Inventory[[#This Row],[Fixtures]]*Lookups!$B$90</f>
        <v>26544.1547364</v>
      </c>
      <c r="BA787" s="25">
        <f>Inventory[[#This Row],[WdDeck]]*Lookups!$B$91</f>
        <v>0</v>
      </c>
      <c r="BB787" s="25">
        <f>ROUND(Inventory[[#This Row],[25Det]],-2)</f>
        <v>7600</v>
      </c>
      <c r="BC787" s="25">
        <f>ROUND(SUM(Inventory[[#This Row],[Mdl Qlty]:[Mdl WdDeck]])+Inventory[[#This Row],[Mdl Res Intercept]],-2)</f>
        <v>306200</v>
      </c>
      <c r="BD787" s="25">
        <f>ROUND(Inventory[[#This Row],[Mdl Land Intercept]]+Inventory[[#This Row],[Mdl LnAcres]],-2)</f>
        <v>37300</v>
      </c>
      <c r="BE787" s="25">
        <f>Inventory[[#This Row],[Unadj Res Value]]+Inventory[[#This Row],[Unadj Det Value]]+Inventory[[#This Row],[Unadj Land Value]]</f>
        <v>351100</v>
      </c>
      <c r="BF787" s="36">
        <f>(Inventory[[#This Row],[Unadj Total Value]]-Inventory[[#This Row],[24Final]])/Inventory[[#This Row],[24Final]]</f>
        <v>7.8316953316953319E-2</v>
      </c>
      <c r="BG787" s="25">
        <f>VLOOKUP(Inventory[[#This Row],[Nbhd]],Lookups!$Q$2:$T$4,4,FALSE)</f>
        <v>0.99970000000000003</v>
      </c>
      <c r="BH787" s="25">
        <f>VLOOKUP(Inventory[[#This Row],[Qlty]],Lookups!$O$7:$R$21,4,FALSE)</f>
        <v>1.0088999999999999</v>
      </c>
      <c r="BI787" s="25">
        <f>VLOOKUP(Inventory[[#This Row],[Cnd]],Lookups!$T$7:$W$16,4,FALSE)</f>
        <v>0.99729999999999996</v>
      </c>
      <c r="BJ787" s="25">
        <f>VLOOKUP(Inventory[[#This Row],[LivArea Range]],Lookups!$T$25:$W$37,4,FALSE)</f>
        <v>1.0157</v>
      </c>
      <c r="BK787" s="25">
        <f>VLOOKUP(Inventory[[#This Row],[Decade]],Lookups!$O$25:$R$42,4,FALSE)</f>
        <v>0.995</v>
      </c>
      <c r="BL787" s="25">
        <f>Inventory[[#This Row],[Nbhd Adj]]*0.95</f>
        <v>0.94971499999999998</v>
      </c>
      <c r="BM787" s="25">
        <f>Inventory[[#This Row],[Nbhd Adj]]*Inventory[[#This Row],[Quality Adj]]*Inventory[[#This Row],[Condition Adj]]*Inventory[[#This Row],[Living Area Adj]]*Inventory[[#This Row],[Decade Adj]]*0.95</f>
        <v>0.96573010868768849</v>
      </c>
      <c r="BN787" s="25">
        <f>ROUND(SUM(Inventory[[#This Row],[Mdl Qlty]:[Mdl WdDeck]])+Inventory[[#This Row],[Mdl Res Intercept]]*Inventory[[#This Row],[Res Adj ]],-2)</f>
        <v>306200</v>
      </c>
      <c r="BO787" s="25">
        <f>ROUND(Inventory[[#This Row],[25Det]]*Inventory[[#This Row],[Det/Nbhd Adj]],-2)</f>
        <v>7200</v>
      </c>
      <c r="BP787" s="25">
        <f>Inventory[[#This Row],[Adjusted Res]]+Inventory[[#This Row],[Adj Det ]]</f>
        <v>313400</v>
      </c>
      <c r="BQ787" s="25">
        <f>ROUND((Inventory[[#This Row],[Mdl Land Intercept]]+Inventory[[#This Row],[Mdl LnAcres]])*Inventory[[#This Row],[Det/Nbhd Adj]],-2)</f>
        <v>35400</v>
      </c>
      <c r="BR787" s="25">
        <f>Inventory[[#This Row],[Adjusted Impr Total]]+Inventory[[#This Row],[Adjusted Land Total]]</f>
        <v>348800</v>
      </c>
      <c r="BS787" s="36">
        <f>IFERROR((Inventory[[#This Row],[Adjusted Impr Total]]-Inventory[[#This Row],[24Bldg]])/Inventory[[#This Row],[24Bldg]],0)</f>
        <v>0.16505576208178438</v>
      </c>
      <c r="BT787" s="36">
        <f>(Inventory[[#This Row],[Adjusted Land Total]]-Inventory[[#This Row],[24Lnd]])/Inventory[[#This Row],[24Lnd]]</f>
        <v>-0.37455830388692579</v>
      </c>
      <c r="BU787" s="36">
        <f>(Inventory[[#This Row],[Adjusted Total]]-Inventory[[#This Row],[24Final]])/Inventory[[#This Row],[24Final]]</f>
        <v>7.125307125307126E-2</v>
      </c>
    </row>
    <row r="788" spans="1:73" x14ac:dyDescent="0.3">
      <c r="A788" s="25">
        <v>2025</v>
      </c>
      <c r="B788" s="26" t="s">
        <v>1288</v>
      </c>
      <c r="C788" s="26">
        <f>LN(Inventory[[#This Row],[Acres]])</f>
        <v>-1.8971199848858813</v>
      </c>
      <c r="D788" s="25">
        <v>0.15</v>
      </c>
      <c r="E788" s="25">
        <v>6480</v>
      </c>
      <c r="F788" s="26" t="s">
        <v>537</v>
      </c>
      <c r="G788" s="26" t="s">
        <v>126</v>
      </c>
      <c r="H788" s="26" t="s">
        <v>349</v>
      </c>
      <c r="I788" s="26" t="s">
        <v>538</v>
      </c>
      <c r="J788" s="26" t="s">
        <v>539</v>
      </c>
      <c r="K788" s="26" t="s">
        <v>269</v>
      </c>
      <c r="L788" s="26" t="s">
        <v>95</v>
      </c>
      <c r="M788" s="26" t="s">
        <v>303</v>
      </c>
      <c r="N788" s="26">
        <v>80</v>
      </c>
      <c r="O788" s="26">
        <f>2024-Inventory[[#This Row],[YrBlt]]</f>
        <v>74</v>
      </c>
      <c r="P788" s="26">
        <f>2024-Inventory[[#This Row],[EffYr]]</f>
        <v>51</v>
      </c>
      <c r="Q788" s="25">
        <v>1950</v>
      </c>
      <c r="R788" s="25">
        <v>1973</v>
      </c>
      <c r="S788" s="25">
        <v>1338</v>
      </c>
      <c r="T788" s="32">
        <v>736</v>
      </c>
      <c r="U788" s="25">
        <v>978</v>
      </c>
      <c r="V788" s="25">
        <f>Inventory[[#This Row],[Bsmt]]-Inventory[[#This Row],[FnBsmt]]</f>
        <v>0</v>
      </c>
      <c r="W788" s="25">
        <v>978</v>
      </c>
      <c r="X788" s="27"/>
      <c r="Y788" s="27">
        <f>Inventory[[#This Row],[MainFn]]+Inventory[[#This Row],[UpprFn]]+Inventory[[#This Row],[FnBsmt]]+Inventory[[#This Row],[AddFn]]</f>
        <v>3052</v>
      </c>
      <c r="Z788" s="27">
        <v>3500</v>
      </c>
      <c r="AA788" s="25">
        <v>12</v>
      </c>
      <c r="AB788" s="27"/>
      <c r="AC788" s="32">
        <v>360</v>
      </c>
      <c r="AD788" s="32">
        <v>1120</v>
      </c>
      <c r="AE788" s="27"/>
      <c r="AF788" s="27"/>
      <c r="AG788" s="27"/>
      <c r="AH788" s="27"/>
      <c r="AI788" s="25">
        <v>667679</v>
      </c>
      <c r="AJ788" s="25">
        <v>480729</v>
      </c>
      <c r="AK788" s="25">
        <v>0</v>
      </c>
      <c r="AL788" s="25">
        <v>466100</v>
      </c>
      <c r="AM788" s="25">
        <v>48400</v>
      </c>
      <c r="AN788" s="25">
        <v>417700</v>
      </c>
      <c r="AO788" s="25">
        <v>0</v>
      </c>
      <c r="AP788" s="25">
        <f>Lookups!$B$56*0</f>
        <v>0</v>
      </c>
      <c r="AQ788" s="25">
        <f>Lookups!$B$56*1</f>
        <v>89850.625589999996</v>
      </c>
      <c r="AR788" s="25">
        <f>Lookups!$B$57*Inventory[[#This Row],[LnAcres]]</f>
        <v>-60052.604136134301</v>
      </c>
      <c r="AS788" s="25">
        <f>VLOOKUP(Inventory[[#This Row],[Qlty]],Lookups!$A$62:$E$75,2,FALSE)</f>
        <v>74268.409664999999</v>
      </c>
      <c r="AT788" s="25">
        <f>VLOOKUP(Inventory[[#This Row],[Cnd]],Lookups!$A$76:$E$84,2,FALSE)</f>
        <v>197752.34721000001</v>
      </c>
      <c r="AU788" s="25">
        <f>Inventory[[#This Row],[EffAge]]*Lookups!$B$85</f>
        <v>-11375.3256255</v>
      </c>
      <c r="AV788" s="25">
        <f>Inventory[[#This Row],[MainFn]]*Lookups!$B$86</f>
        <v>66108.800295426001</v>
      </c>
      <c r="AW788" s="25">
        <f>Inventory[[#This Row],[UpprFn]]*Lookups!$B$87</f>
        <v>32962.807225696</v>
      </c>
      <c r="AX788" s="25">
        <f>Inventory[[#This Row],[AddFn]]*Lookups!$B$88</f>
        <v>0</v>
      </c>
      <c r="AY788" s="25">
        <f>Inventory[[#This Row],[Bsmt]]*Lookups!$B$89</f>
        <v>28442.093551565998</v>
      </c>
      <c r="AZ788" s="25">
        <f>Inventory[[#This Row],[Fixtures]]*Lookups!$B$90</f>
        <v>45504.265262400004</v>
      </c>
      <c r="BA788" s="25">
        <f>Inventory[[#This Row],[WdDeck]]*Lookups!$B$91</f>
        <v>37290.977109120002</v>
      </c>
      <c r="BB788" s="25">
        <f>ROUND(Inventory[[#This Row],[25Det]],-2)</f>
        <v>0</v>
      </c>
      <c r="BC788" s="25">
        <f>ROUND(SUM(Inventory[[#This Row],[Mdl Qlty]:[Mdl WdDeck]])+Inventory[[#This Row],[Mdl Res Intercept]],-2)</f>
        <v>471000</v>
      </c>
      <c r="BD788" s="25">
        <f>ROUND(Inventory[[#This Row],[Mdl Land Intercept]]+Inventory[[#This Row],[Mdl LnAcres]],-2)</f>
        <v>29800</v>
      </c>
      <c r="BE788" s="25">
        <f>Inventory[[#This Row],[Unadj Res Value]]+Inventory[[#This Row],[Unadj Det Value]]+Inventory[[#This Row],[Unadj Land Value]]</f>
        <v>500800</v>
      </c>
      <c r="BF788" s="36">
        <f>(Inventory[[#This Row],[Unadj Total Value]]-Inventory[[#This Row],[24Final]])/Inventory[[#This Row],[24Final]]</f>
        <v>7.4447543445612524E-2</v>
      </c>
      <c r="BG788" s="25">
        <f>VLOOKUP(Inventory[[#This Row],[Nbhd]],Lookups!$Q$2:$T$4,4,FALSE)</f>
        <v>0.99970000000000003</v>
      </c>
      <c r="BH788" s="25">
        <f>VLOOKUP(Inventory[[#This Row],[Qlty]],Lookups!$O$7:$R$21,4,FALSE)</f>
        <v>0.98380000000000001</v>
      </c>
      <c r="BI788" s="25">
        <f>VLOOKUP(Inventory[[#This Row],[Cnd]],Lookups!$T$7:$W$16,4,FALSE)</f>
        <v>0.99650000000000005</v>
      </c>
      <c r="BJ788" s="25">
        <f>VLOOKUP(Inventory[[#This Row],[LivArea Range]],Lookups!$T$25:$W$37,4,FALSE)</f>
        <v>1.0126999999999999</v>
      </c>
      <c r="BK788" s="25">
        <f>VLOOKUP(Inventory[[#This Row],[Decade]],Lookups!$O$25:$R$42,4,FALSE)</f>
        <v>0.995</v>
      </c>
      <c r="BL788" s="25">
        <f>Inventory[[#This Row],[Nbhd Adj]]*0.95</f>
        <v>0.94971499999999998</v>
      </c>
      <c r="BM788" s="25">
        <f>Inventory[[#This Row],[Nbhd Adj]]*Inventory[[#This Row],[Quality Adj]]*Inventory[[#This Row],[Condition Adj]]*Inventory[[#This Row],[Living Area Adj]]*Inventory[[#This Row],[Decade Adj]]*0.95</f>
        <v>0.93816949893229973</v>
      </c>
      <c r="BN788" s="25">
        <f>ROUND(SUM(Inventory[[#This Row],[Mdl Qlty]:[Mdl WdDeck]])+Inventory[[#This Row],[Mdl Res Intercept]]*Inventory[[#This Row],[Res Adj ]],-2)</f>
        <v>471000</v>
      </c>
      <c r="BO788" s="25">
        <f>ROUND(Inventory[[#This Row],[25Det]]*Inventory[[#This Row],[Det/Nbhd Adj]],-2)</f>
        <v>0</v>
      </c>
      <c r="BP788" s="25">
        <f>Inventory[[#This Row],[Adjusted Res]]+Inventory[[#This Row],[Adj Det ]]</f>
        <v>471000</v>
      </c>
      <c r="BQ788" s="25">
        <f>ROUND((Inventory[[#This Row],[Mdl Land Intercept]]+Inventory[[#This Row],[Mdl LnAcres]])*Inventory[[#This Row],[Det/Nbhd Adj]],-2)</f>
        <v>28300</v>
      </c>
      <c r="BR788" s="25">
        <f>Inventory[[#This Row],[Adjusted Impr Total]]+Inventory[[#This Row],[Adjusted Land Total]]</f>
        <v>499300</v>
      </c>
      <c r="BS788" s="36">
        <f>IFERROR((Inventory[[#This Row],[Adjusted Impr Total]]-Inventory[[#This Row],[24Bldg]])/Inventory[[#This Row],[24Bldg]],0)</f>
        <v>0.12760354321283218</v>
      </c>
      <c r="BT788" s="36">
        <f>(Inventory[[#This Row],[Adjusted Land Total]]-Inventory[[#This Row],[24Lnd]])/Inventory[[#This Row],[24Lnd]]</f>
        <v>-0.41528925619834711</v>
      </c>
      <c r="BU788" s="36">
        <f>(Inventory[[#This Row],[Adjusted Total]]-Inventory[[#This Row],[24Final]])/Inventory[[#This Row],[24Final]]</f>
        <v>7.1229349924908814E-2</v>
      </c>
    </row>
    <row r="789" spans="1:73" x14ac:dyDescent="0.3">
      <c r="A789" s="25">
        <v>2025</v>
      </c>
      <c r="B789" s="26" t="s">
        <v>780</v>
      </c>
      <c r="C789" s="26">
        <f>LN(Inventory[[#This Row],[Acres]])</f>
        <v>-1.6607312068216509</v>
      </c>
      <c r="D789" s="25">
        <v>0.19</v>
      </c>
      <c r="E789" s="25">
        <v>8060</v>
      </c>
      <c r="F789" s="26" t="s">
        <v>537</v>
      </c>
      <c r="G789" s="26" t="s">
        <v>126</v>
      </c>
      <c r="H789" s="26" t="s">
        <v>349</v>
      </c>
      <c r="I789" s="26" t="s">
        <v>538</v>
      </c>
      <c r="J789" s="26" t="s">
        <v>539</v>
      </c>
      <c r="K789" s="26" t="s">
        <v>241</v>
      </c>
      <c r="L789" s="26" t="s">
        <v>351</v>
      </c>
      <c r="M789" s="26" t="s">
        <v>303</v>
      </c>
      <c r="N789" s="26">
        <v>80</v>
      </c>
      <c r="O789" s="26">
        <f>2024-Inventory[[#This Row],[YrBlt]]</f>
        <v>74</v>
      </c>
      <c r="P789" s="26">
        <f>2024-Inventory[[#This Row],[EffYr]]</f>
        <v>51</v>
      </c>
      <c r="Q789" s="25">
        <v>1950</v>
      </c>
      <c r="R789" s="25">
        <v>1973</v>
      </c>
      <c r="S789" s="25">
        <v>1436</v>
      </c>
      <c r="T789" s="31"/>
      <c r="U789" s="25">
        <v>952</v>
      </c>
      <c r="V789" s="25">
        <f>Inventory[[#This Row],[Bsmt]]-Inventory[[#This Row],[FnBsmt]]</f>
        <v>468</v>
      </c>
      <c r="W789" s="25">
        <v>484</v>
      </c>
      <c r="X789" s="27"/>
      <c r="Y789" s="27">
        <f>Inventory[[#This Row],[MainFn]]+Inventory[[#This Row],[UpprFn]]+Inventory[[#This Row],[FnBsmt]]+Inventory[[#This Row],[AddFn]]</f>
        <v>1920</v>
      </c>
      <c r="Z789" s="27">
        <v>2000</v>
      </c>
      <c r="AA789" s="25">
        <v>5</v>
      </c>
      <c r="AB789" s="27"/>
      <c r="AC789" s="27"/>
      <c r="AD789" s="27"/>
      <c r="AE789" s="27"/>
      <c r="AF789" s="27"/>
      <c r="AG789" s="27"/>
      <c r="AH789" s="27"/>
      <c r="AI789" s="25">
        <v>301672</v>
      </c>
      <c r="AJ789" s="25">
        <v>214187</v>
      </c>
      <c r="AK789" s="25">
        <v>0</v>
      </c>
      <c r="AL789" s="25">
        <v>337000</v>
      </c>
      <c r="AM789" s="25">
        <v>56600</v>
      </c>
      <c r="AN789" s="25">
        <v>280400</v>
      </c>
      <c r="AO789" s="25">
        <v>0</v>
      </c>
      <c r="AP789" s="25">
        <f>Lookups!$B$56*0</f>
        <v>0</v>
      </c>
      <c r="AQ789" s="25">
        <f>Lookups!$B$56*1</f>
        <v>89850.625589999996</v>
      </c>
      <c r="AR789" s="25">
        <f>Lookups!$B$57*Inventory[[#This Row],[LnAcres]]</f>
        <v>-52569.808201026557</v>
      </c>
      <c r="AS789" s="25">
        <f>VLOOKUP(Inventory[[#This Row],[Qlty]],Lookups!$A$62:$E$75,2,FALSE)</f>
        <v>21557.329055999999</v>
      </c>
      <c r="AT789" s="25">
        <f>VLOOKUP(Inventory[[#This Row],[Cnd]],Lookups!$A$76:$E$84,2,FALSE)</f>
        <v>197752.34721000001</v>
      </c>
      <c r="AU789" s="25">
        <f>Inventory[[#This Row],[EffAge]]*Lookups!$B$85</f>
        <v>-11375.3256255</v>
      </c>
      <c r="AV789" s="25">
        <f>Inventory[[#This Row],[MainFn]]*Lookups!$B$86</f>
        <v>70950.849943371999</v>
      </c>
      <c r="AW789" s="25">
        <f>Inventory[[#This Row],[UpprFn]]*Lookups!$B$87</f>
        <v>0</v>
      </c>
      <c r="AX789" s="25">
        <f>Inventory[[#This Row],[AddFn]]*Lookups!$B$88</f>
        <v>0</v>
      </c>
      <c r="AY789" s="25">
        <f>Inventory[[#This Row],[Bsmt]]*Lookups!$B$89</f>
        <v>27685.964275143997</v>
      </c>
      <c r="AZ789" s="25">
        <f>Inventory[[#This Row],[Fixtures]]*Lookups!$B$90</f>
        <v>18960.110526</v>
      </c>
      <c r="BA789" s="25">
        <f>Inventory[[#This Row],[WdDeck]]*Lookups!$B$91</f>
        <v>0</v>
      </c>
      <c r="BB789" s="25">
        <f>ROUND(Inventory[[#This Row],[25Det]],-2)</f>
        <v>0</v>
      </c>
      <c r="BC789" s="25">
        <f>ROUND(SUM(Inventory[[#This Row],[Mdl Qlty]:[Mdl WdDeck]])+Inventory[[#This Row],[Mdl Res Intercept]],-2)</f>
        <v>325500</v>
      </c>
      <c r="BD789" s="25">
        <f>ROUND(Inventory[[#This Row],[Mdl Land Intercept]]+Inventory[[#This Row],[Mdl LnAcres]],-2)</f>
        <v>37300</v>
      </c>
      <c r="BE789" s="25">
        <f>Inventory[[#This Row],[Unadj Res Value]]+Inventory[[#This Row],[Unadj Det Value]]+Inventory[[#This Row],[Unadj Land Value]]</f>
        <v>362800</v>
      </c>
      <c r="BF789" s="36">
        <f>(Inventory[[#This Row],[Unadj Total Value]]-Inventory[[#This Row],[24Final]])/Inventory[[#This Row],[24Final]]</f>
        <v>7.6557863501483678E-2</v>
      </c>
      <c r="BG789" s="25">
        <f>VLOOKUP(Inventory[[#This Row],[Nbhd]],Lookups!$Q$2:$T$4,4,FALSE)</f>
        <v>0.99970000000000003</v>
      </c>
      <c r="BH789" s="25">
        <f>VLOOKUP(Inventory[[#This Row],[Qlty]],Lookups!$O$7:$R$21,4,FALSE)</f>
        <v>1.0067999999999999</v>
      </c>
      <c r="BI789" s="25">
        <f>VLOOKUP(Inventory[[#This Row],[Cnd]],Lookups!$T$7:$W$16,4,FALSE)</f>
        <v>0.99650000000000005</v>
      </c>
      <c r="BJ789" s="25">
        <f>VLOOKUP(Inventory[[#This Row],[LivArea Range]],Lookups!$T$25:$W$37,4,FALSE)</f>
        <v>1.0093000000000001</v>
      </c>
      <c r="BK789" s="25">
        <f>VLOOKUP(Inventory[[#This Row],[Decade]],Lookups!$O$25:$R$42,4,FALSE)</f>
        <v>0.995</v>
      </c>
      <c r="BL789" s="25">
        <f>Inventory[[#This Row],[Nbhd Adj]]*0.95</f>
        <v>0.94971499999999998</v>
      </c>
      <c r="BM789" s="25">
        <f>Inventory[[#This Row],[Nbhd Adj]]*Inventory[[#This Row],[Quality Adj]]*Inventory[[#This Row],[Condition Adj]]*Inventory[[#This Row],[Living Area Adj]]*Inventory[[#This Row],[Decade Adj]]*0.95</f>
        <v>0.95687930361479956</v>
      </c>
      <c r="BN789" s="25">
        <f>ROUND(SUM(Inventory[[#This Row],[Mdl Qlty]:[Mdl WdDeck]])+Inventory[[#This Row],[Mdl Res Intercept]]*Inventory[[#This Row],[Res Adj ]],-2)</f>
        <v>325500</v>
      </c>
      <c r="BO789" s="25">
        <f>ROUND(Inventory[[#This Row],[25Det]]*Inventory[[#This Row],[Det/Nbhd Adj]],-2)</f>
        <v>0</v>
      </c>
      <c r="BP789" s="25">
        <f>Inventory[[#This Row],[Adjusted Res]]+Inventory[[#This Row],[Adj Det ]]</f>
        <v>325500</v>
      </c>
      <c r="BQ789" s="25">
        <f>ROUND((Inventory[[#This Row],[Mdl Land Intercept]]+Inventory[[#This Row],[Mdl LnAcres]])*Inventory[[#This Row],[Det/Nbhd Adj]],-2)</f>
        <v>35400</v>
      </c>
      <c r="BR789" s="25">
        <f>Inventory[[#This Row],[Adjusted Impr Total]]+Inventory[[#This Row],[Adjusted Land Total]]</f>
        <v>360900</v>
      </c>
      <c r="BS789" s="36">
        <f>IFERROR((Inventory[[#This Row],[Adjusted Impr Total]]-Inventory[[#This Row],[24Bldg]])/Inventory[[#This Row],[24Bldg]],0)</f>
        <v>0.16084165477888732</v>
      </c>
      <c r="BT789" s="36">
        <f>(Inventory[[#This Row],[Adjusted Land Total]]-Inventory[[#This Row],[24Lnd]])/Inventory[[#This Row],[24Lnd]]</f>
        <v>-0.37455830388692579</v>
      </c>
      <c r="BU789" s="36">
        <f>(Inventory[[#This Row],[Adjusted Total]]-Inventory[[#This Row],[24Final]])/Inventory[[#This Row],[24Final]]</f>
        <v>7.0919881305637977E-2</v>
      </c>
    </row>
    <row r="790" spans="1:73" x14ac:dyDescent="0.3">
      <c r="A790" s="25">
        <v>2025</v>
      </c>
      <c r="B790" s="26" t="s">
        <v>2311</v>
      </c>
      <c r="C790" s="26">
        <f>LN(Inventory[[#This Row],[Acres]])</f>
        <v>-1.6607312068216509</v>
      </c>
      <c r="D790" s="25">
        <v>0.19</v>
      </c>
      <c r="E790" s="25">
        <v>8149</v>
      </c>
      <c r="F790" s="26" t="s">
        <v>537</v>
      </c>
      <c r="G790" s="26" t="s">
        <v>126</v>
      </c>
      <c r="H790" s="26" t="s">
        <v>349</v>
      </c>
      <c r="I790" s="26" t="s">
        <v>538</v>
      </c>
      <c r="J790" s="26" t="s">
        <v>539</v>
      </c>
      <c r="K790" s="26" t="s">
        <v>241</v>
      </c>
      <c r="L790" s="26" t="s">
        <v>302</v>
      </c>
      <c r="M790" s="26" t="s">
        <v>303</v>
      </c>
      <c r="N790" s="26">
        <v>80</v>
      </c>
      <c r="O790" s="26">
        <f>2024-Inventory[[#This Row],[YrBlt]]</f>
        <v>74</v>
      </c>
      <c r="P790" s="26">
        <f>2024-Inventory[[#This Row],[EffYr]]</f>
        <v>51</v>
      </c>
      <c r="Q790" s="25">
        <v>1950</v>
      </c>
      <c r="R790" s="25">
        <v>1973</v>
      </c>
      <c r="S790" s="25">
        <v>1225</v>
      </c>
      <c r="T790" s="27"/>
      <c r="U790" s="25">
        <v>1278</v>
      </c>
      <c r="V790" s="25">
        <f>Inventory[[#This Row],[Bsmt]]-Inventory[[#This Row],[FnBsmt]]</f>
        <v>0</v>
      </c>
      <c r="W790" s="25">
        <v>1278</v>
      </c>
      <c r="X790" s="27"/>
      <c r="Y790" s="27">
        <f>Inventory[[#This Row],[MainFn]]+Inventory[[#This Row],[UpprFn]]+Inventory[[#This Row],[FnBsmt]]+Inventory[[#This Row],[AddFn]]</f>
        <v>2503</v>
      </c>
      <c r="Z790" s="27">
        <v>3000</v>
      </c>
      <c r="AA790" s="25">
        <v>8</v>
      </c>
      <c r="AB790" s="27"/>
      <c r="AC790" s="32">
        <v>256</v>
      </c>
      <c r="AD790" s="25">
        <v>440</v>
      </c>
      <c r="AE790" s="27"/>
      <c r="AF790" s="27"/>
      <c r="AG790" s="27"/>
      <c r="AH790" s="27"/>
      <c r="AI790" s="25">
        <v>381595</v>
      </c>
      <c r="AJ790" s="25">
        <v>270932</v>
      </c>
      <c r="AK790" s="25">
        <v>0</v>
      </c>
      <c r="AL790" s="25">
        <v>368300</v>
      </c>
      <c r="AM790" s="25">
        <v>56600</v>
      </c>
      <c r="AN790" s="25">
        <v>311700</v>
      </c>
      <c r="AO790" s="25">
        <v>0</v>
      </c>
      <c r="AP790" s="25">
        <f>Lookups!$B$56*0</f>
        <v>0</v>
      </c>
      <c r="AQ790" s="25">
        <f>Lookups!$B$56*1</f>
        <v>89850.625589999996</v>
      </c>
      <c r="AR790" s="25">
        <f>Lookups!$B$57*Inventory[[#This Row],[LnAcres]]</f>
        <v>-52569.808201026557</v>
      </c>
      <c r="AS790" s="25">
        <f>VLOOKUP(Inventory[[#This Row],[Qlty]],Lookups!$A$62:$E$75,2,FALSE)</f>
        <v>29814.093161000001</v>
      </c>
      <c r="AT790" s="25">
        <f>VLOOKUP(Inventory[[#This Row],[Cnd]],Lookups!$A$76:$E$84,2,FALSE)</f>
        <v>197752.34721000001</v>
      </c>
      <c r="AU790" s="25">
        <f>Inventory[[#This Row],[EffAge]]*Lookups!$B$85</f>
        <v>-11375.3256255</v>
      </c>
      <c r="AV790" s="25">
        <f>Inventory[[#This Row],[MainFn]]*Lookups!$B$86</f>
        <v>60525.620599325004</v>
      </c>
      <c r="AW790" s="25">
        <f>Inventory[[#This Row],[UpprFn]]*Lookups!$B$87</f>
        <v>0</v>
      </c>
      <c r="AX790" s="25">
        <f>Inventory[[#This Row],[AddFn]]*Lookups!$B$88</f>
        <v>0</v>
      </c>
      <c r="AY790" s="25">
        <f>Inventory[[#This Row],[Bsmt]]*Lookups!$B$89</f>
        <v>37166.662125666</v>
      </c>
      <c r="AZ790" s="25">
        <f>Inventory[[#This Row],[Fixtures]]*Lookups!$B$90</f>
        <v>30336.176841600001</v>
      </c>
      <c r="BA790" s="25">
        <f>Inventory[[#This Row],[WdDeck]]*Lookups!$B$91</f>
        <v>14650.026721440001</v>
      </c>
      <c r="BB790" s="25">
        <f>ROUND(Inventory[[#This Row],[25Det]],-2)</f>
        <v>0</v>
      </c>
      <c r="BC790" s="25">
        <f>ROUND(SUM(Inventory[[#This Row],[Mdl Qlty]:[Mdl WdDeck]])+Inventory[[#This Row],[Mdl Res Intercept]],-2)</f>
        <v>358900</v>
      </c>
      <c r="BD790" s="25">
        <f>ROUND(Inventory[[#This Row],[Mdl Land Intercept]]+Inventory[[#This Row],[Mdl LnAcres]],-2)</f>
        <v>37300</v>
      </c>
      <c r="BE790" s="25">
        <f>Inventory[[#This Row],[Unadj Res Value]]+Inventory[[#This Row],[Unadj Det Value]]+Inventory[[#This Row],[Unadj Land Value]]</f>
        <v>396200</v>
      </c>
      <c r="BF790" s="36">
        <f>(Inventory[[#This Row],[Unadj Total Value]]-Inventory[[#This Row],[24Final]])/Inventory[[#This Row],[24Final]]</f>
        <v>7.5753461851751289E-2</v>
      </c>
      <c r="BG790" s="25">
        <f>VLOOKUP(Inventory[[#This Row],[Nbhd]],Lookups!$Q$2:$T$4,4,FALSE)</f>
        <v>0.99970000000000003</v>
      </c>
      <c r="BH790" s="25">
        <f>VLOOKUP(Inventory[[#This Row],[Qlty]],Lookups!$O$7:$R$21,4,FALSE)</f>
        <v>1.0088999999999999</v>
      </c>
      <c r="BI790" s="25">
        <f>VLOOKUP(Inventory[[#This Row],[Cnd]],Lookups!$T$7:$W$16,4,FALSE)</f>
        <v>0.99650000000000005</v>
      </c>
      <c r="BJ790" s="25">
        <f>VLOOKUP(Inventory[[#This Row],[LivArea Range]],Lookups!$T$25:$W$37,4,FALSE)</f>
        <v>0.96179999999999999</v>
      </c>
      <c r="BK790" s="25">
        <f>VLOOKUP(Inventory[[#This Row],[Decade]],Lookups!$O$25:$R$42,4,FALSE)</f>
        <v>0.995</v>
      </c>
      <c r="BL790" s="25">
        <f>Inventory[[#This Row],[Nbhd Adj]]*0.95</f>
        <v>0.94971499999999998</v>
      </c>
      <c r="BM790" s="25">
        <f>Inventory[[#This Row],[Nbhd Adj]]*Inventory[[#This Row],[Quality Adj]]*Inventory[[#This Row],[Condition Adj]]*Inventory[[#This Row],[Living Area Adj]]*Inventory[[#This Row],[Decade Adj]]*0.95</f>
        <v>0.9137482873256102</v>
      </c>
      <c r="BN790" s="25">
        <f>ROUND(SUM(Inventory[[#This Row],[Mdl Qlty]:[Mdl WdDeck]])+Inventory[[#This Row],[Mdl Res Intercept]]*Inventory[[#This Row],[Res Adj ]],-2)</f>
        <v>358900</v>
      </c>
      <c r="BO790" s="25">
        <f>ROUND(Inventory[[#This Row],[25Det]]*Inventory[[#This Row],[Det/Nbhd Adj]],-2)</f>
        <v>0</v>
      </c>
      <c r="BP790" s="25">
        <f>Inventory[[#This Row],[Adjusted Res]]+Inventory[[#This Row],[Adj Det ]]</f>
        <v>358900</v>
      </c>
      <c r="BQ790" s="25">
        <f>ROUND((Inventory[[#This Row],[Mdl Land Intercept]]+Inventory[[#This Row],[Mdl LnAcres]])*Inventory[[#This Row],[Det/Nbhd Adj]],-2)</f>
        <v>35400</v>
      </c>
      <c r="BR790" s="25">
        <f>Inventory[[#This Row],[Adjusted Impr Total]]+Inventory[[#This Row],[Adjusted Land Total]]</f>
        <v>394300</v>
      </c>
      <c r="BS790" s="36">
        <f>IFERROR((Inventory[[#This Row],[Adjusted Impr Total]]-Inventory[[#This Row],[24Bldg]])/Inventory[[#This Row],[24Bldg]],0)</f>
        <v>0.15142765479627848</v>
      </c>
      <c r="BT790" s="36">
        <f>(Inventory[[#This Row],[Adjusted Land Total]]-Inventory[[#This Row],[24Lnd]])/Inventory[[#This Row],[24Lnd]]</f>
        <v>-0.37455830388692579</v>
      </c>
      <c r="BU790" s="36">
        <f>(Inventory[[#This Row],[Adjusted Total]]-Inventory[[#This Row],[24Final]])/Inventory[[#This Row],[24Final]]</f>
        <v>7.0594623947868584E-2</v>
      </c>
    </row>
    <row r="791" spans="1:73" x14ac:dyDescent="0.3">
      <c r="A791" s="25">
        <v>2025</v>
      </c>
      <c r="B791" s="26" t="s">
        <v>1080</v>
      </c>
      <c r="C791" s="26">
        <f>LN(Inventory[[#This Row],[Acres]])</f>
        <v>-1.7719568419318752</v>
      </c>
      <c r="D791" s="25">
        <v>0.17</v>
      </c>
      <c r="E791" s="31"/>
      <c r="F791" s="26" t="s">
        <v>537</v>
      </c>
      <c r="G791" s="26" t="s">
        <v>126</v>
      </c>
      <c r="H791" s="26" t="s">
        <v>349</v>
      </c>
      <c r="I791" s="26" t="s">
        <v>538</v>
      </c>
      <c r="J791" s="26" t="s">
        <v>539</v>
      </c>
      <c r="K791" s="26" t="s">
        <v>242</v>
      </c>
      <c r="L791" s="26" t="s">
        <v>351</v>
      </c>
      <c r="M791" s="26" t="s">
        <v>303</v>
      </c>
      <c r="N791" s="26">
        <v>80</v>
      </c>
      <c r="O791" s="26">
        <f>2024-Inventory[[#This Row],[YrBlt]]</f>
        <v>74</v>
      </c>
      <c r="P791" s="26">
        <f>2024-Inventory[[#This Row],[EffYr]]</f>
        <v>51</v>
      </c>
      <c r="Q791" s="25">
        <v>1950</v>
      </c>
      <c r="R791" s="25">
        <v>1973</v>
      </c>
      <c r="S791" s="25">
        <v>1147</v>
      </c>
      <c r="T791" s="27"/>
      <c r="U791" s="25">
        <v>1147</v>
      </c>
      <c r="V791" s="25">
        <f>Inventory[[#This Row],[Bsmt]]-Inventory[[#This Row],[FnBsmt]]</f>
        <v>397</v>
      </c>
      <c r="W791" s="25">
        <v>750</v>
      </c>
      <c r="X791" s="27"/>
      <c r="Y791" s="27">
        <f>Inventory[[#This Row],[MainFn]]+Inventory[[#This Row],[UpprFn]]+Inventory[[#This Row],[FnBsmt]]+Inventory[[#This Row],[AddFn]]</f>
        <v>1897</v>
      </c>
      <c r="Z791" s="27">
        <v>2000</v>
      </c>
      <c r="AA791" s="25">
        <v>7</v>
      </c>
      <c r="AB791" s="27"/>
      <c r="AC791" s="27"/>
      <c r="AD791" s="27"/>
      <c r="AE791" s="27"/>
      <c r="AF791" s="27"/>
      <c r="AG791" s="27"/>
      <c r="AH791" s="27"/>
      <c r="AI791" s="25">
        <v>263037</v>
      </c>
      <c r="AJ791" s="25">
        <v>186756</v>
      </c>
      <c r="AK791" s="25">
        <v>6962</v>
      </c>
      <c r="AL791" s="25">
        <v>339300</v>
      </c>
      <c r="AM791" s="25">
        <v>52700</v>
      </c>
      <c r="AN791" s="25">
        <v>286600</v>
      </c>
      <c r="AO791" s="25">
        <v>0</v>
      </c>
      <c r="AP791" s="25">
        <f>Lookups!$B$56*0</f>
        <v>0</v>
      </c>
      <c r="AQ791" s="25">
        <f>Lookups!$B$56*1</f>
        <v>89850.625589999996</v>
      </c>
      <c r="AR791" s="25">
        <f>Lookups!$B$57*Inventory[[#This Row],[LnAcres]]</f>
        <v>-56090.612940989391</v>
      </c>
      <c r="AS791" s="25">
        <f>VLOOKUP(Inventory[[#This Row],[Qlty]],Lookups!$A$62:$E$75,2,FALSE)</f>
        <v>21557.329055999999</v>
      </c>
      <c r="AT791" s="25">
        <f>VLOOKUP(Inventory[[#This Row],[Cnd]],Lookups!$A$76:$E$84,2,FALSE)</f>
        <v>197752.34721000001</v>
      </c>
      <c r="AU791" s="25">
        <f>Inventory[[#This Row],[EffAge]]*Lookups!$B$85</f>
        <v>-11375.3256255</v>
      </c>
      <c r="AV791" s="25">
        <f>Inventory[[#This Row],[MainFn]]*Lookups!$B$86</f>
        <v>56671.744348919005</v>
      </c>
      <c r="AW791" s="25">
        <f>Inventory[[#This Row],[UpprFn]]*Lookups!$B$87</f>
        <v>0</v>
      </c>
      <c r="AX791" s="25">
        <f>Inventory[[#This Row],[AddFn]]*Lookups!$B$88</f>
        <v>0</v>
      </c>
      <c r="AY791" s="25">
        <f>Inventory[[#This Row],[Bsmt]]*Lookups!$B$89</f>
        <v>33356.933848308996</v>
      </c>
      <c r="AZ791" s="25">
        <f>Inventory[[#This Row],[Fixtures]]*Lookups!$B$90</f>
        <v>26544.1547364</v>
      </c>
      <c r="BA791" s="25">
        <f>Inventory[[#This Row],[WdDeck]]*Lookups!$B$91</f>
        <v>0</v>
      </c>
      <c r="BB791" s="25">
        <f>ROUND(Inventory[[#This Row],[25Det]],-2)</f>
        <v>7000</v>
      </c>
      <c r="BC791" s="25">
        <f>ROUND(SUM(Inventory[[#This Row],[Mdl Qlty]:[Mdl WdDeck]])+Inventory[[#This Row],[Mdl Res Intercept]],-2)</f>
        <v>324500</v>
      </c>
      <c r="BD791" s="25">
        <f>ROUND(Inventory[[#This Row],[Mdl Land Intercept]]+Inventory[[#This Row],[Mdl LnAcres]],-2)</f>
        <v>33800</v>
      </c>
      <c r="BE791" s="25">
        <f>Inventory[[#This Row],[Unadj Res Value]]+Inventory[[#This Row],[Unadj Det Value]]+Inventory[[#This Row],[Unadj Land Value]]</f>
        <v>365300</v>
      </c>
      <c r="BF791" s="36">
        <f>(Inventory[[#This Row],[Unadj Total Value]]-Inventory[[#This Row],[24Final]])/Inventory[[#This Row],[24Final]]</f>
        <v>7.662835249042145E-2</v>
      </c>
      <c r="BG791" s="25">
        <f>VLOOKUP(Inventory[[#This Row],[Nbhd]],Lookups!$Q$2:$T$4,4,FALSE)</f>
        <v>0.99970000000000003</v>
      </c>
      <c r="BH791" s="25">
        <f>VLOOKUP(Inventory[[#This Row],[Qlty]],Lookups!$O$7:$R$21,4,FALSE)</f>
        <v>1.0067999999999999</v>
      </c>
      <c r="BI791" s="25">
        <f>VLOOKUP(Inventory[[#This Row],[Cnd]],Lookups!$T$7:$W$16,4,FALSE)</f>
        <v>0.99650000000000005</v>
      </c>
      <c r="BJ791" s="25">
        <f>VLOOKUP(Inventory[[#This Row],[LivArea Range]],Lookups!$T$25:$W$37,4,FALSE)</f>
        <v>1.0093000000000001</v>
      </c>
      <c r="BK791" s="25">
        <f>VLOOKUP(Inventory[[#This Row],[Decade]],Lookups!$O$25:$R$42,4,FALSE)</f>
        <v>0.995</v>
      </c>
      <c r="BL791" s="25">
        <f>Inventory[[#This Row],[Nbhd Adj]]*0.95</f>
        <v>0.94971499999999998</v>
      </c>
      <c r="BM791" s="25">
        <f>Inventory[[#This Row],[Nbhd Adj]]*Inventory[[#This Row],[Quality Adj]]*Inventory[[#This Row],[Condition Adj]]*Inventory[[#This Row],[Living Area Adj]]*Inventory[[#This Row],[Decade Adj]]*0.95</f>
        <v>0.95687930361479956</v>
      </c>
      <c r="BN791" s="25">
        <f>ROUND(SUM(Inventory[[#This Row],[Mdl Qlty]:[Mdl WdDeck]])+Inventory[[#This Row],[Mdl Res Intercept]]*Inventory[[#This Row],[Res Adj ]],-2)</f>
        <v>324500</v>
      </c>
      <c r="BO791" s="25">
        <f>ROUND(Inventory[[#This Row],[25Det]]*Inventory[[#This Row],[Det/Nbhd Adj]],-2)</f>
        <v>6600</v>
      </c>
      <c r="BP791" s="25">
        <f>Inventory[[#This Row],[Adjusted Res]]+Inventory[[#This Row],[Adj Det ]]</f>
        <v>331100</v>
      </c>
      <c r="BQ791" s="25">
        <f>ROUND((Inventory[[#This Row],[Mdl Land Intercept]]+Inventory[[#This Row],[Mdl LnAcres]])*Inventory[[#This Row],[Det/Nbhd Adj]],-2)</f>
        <v>32100</v>
      </c>
      <c r="BR791" s="25">
        <f>Inventory[[#This Row],[Adjusted Impr Total]]+Inventory[[#This Row],[Adjusted Land Total]]</f>
        <v>363200</v>
      </c>
      <c r="BS791" s="36">
        <f>IFERROR((Inventory[[#This Row],[Adjusted Impr Total]]-Inventory[[#This Row],[24Bldg]])/Inventory[[#This Row],[24Bldg]],0)</f>
        <v>0.15526866713189114</v>
      </c>
      <c r="BT791" s="36">
        <f>(Inventory[[#This Row],[Adjusted Land Total]]-Inventory[[#This Row],[24Lnd]])/Inventory[[#This Row],[24Lnd]]</f>
        <v>-0.39089184060721061</v>
      </c>
      <c r="BU791" s="36">
        <f>(Inventory[[#This Row],[Adjusted Total]]-Inventory[[#This Row],[24Final]])/Inventory[[#This Row],[24Final]]</f>
        <v>7.0439139404656639E-2</v>
      </c>
    </row>
    <row r="792" spans="1:73" x14ac:dyDescent="0.3">
      <c r="A792" s="25">
        <v>2025</v>
      </c>
      <c r="B792" s="26" t="s">
        <v>1821</v>
      </c>
      <c r="C792" s="26">
        <f>LN(Inventory[[#This Row],[Acres]])</f>
        <v>-1.4271163556401458</v>
      </c>
      <c r="D792" s="25">
        <v>0.24</v>
      </c>
      <c r="E792" s="25">
        <v>10500</v>
      </c>
      <c r="F792" s="26" t="s">
        <v>537</v>
      </c>
      <c r="G792" s="26" t="s">
        <v>126</v>
      </c>
      <c r="H792" s="26" t="s">
        <v>349</v>
      </c>
      <c r="I792" s="26" t="s">
        <v>538</v>
      </c>
      <c r="J792" s="26" t="s">
        <v>539</v>
      </c>
      <c r="K792" s="26" t="s">
        <v>241</v>
      </c>
      <c r="L792" s="26" t="s">
        <v>205</v>
      </c>
      <c r="M792" s="26" t="s">
        <v>303</v>
      </c>
      <c r="N792" s="26">
        <v>80</v>
      </c>
      <c r="O792" s="26">
        <f>2024-Inventory[[#This Row],[YrBlt]]</f>
        <v>74</v>
      </c>
      <c r="P792" s="26">
        <f>2024-Inventory[[#This Row],[EffYr]]</f>
        <v>51</v>
      </c>
      <c r="Q792" s="25">
        <v>1950</v>
      </c>
      <c r="R792" s="25">
        <v>1973</v>
      </c>
      <c r="S792" s="25">
        <v>1072</v>
      </c>
      <c r="T792" s="27"/>
      <c r="U792" s="31"/>
      <c r="V792" s="31">
        <f>Inventory[[#This Row],[Bsmt]]-Inventory[[#This Row],[FnBsmt]]</f>
        <v>0</v>
      </c>
      <c r="W792" s="31"/>
      <c r="X792" s="27"/>
      <c r="Y792" s="27">
        <f>Inventory[[#This Row],[MainFn]]+Inventory[[#This Row],[UpprFn]]+Inventory[[#This Row],[FnBsmt]]+Inventory[[#This Row],[AddFn]]</f>
        <v>1072</v>
      </c>
      <c r="Z792" s="27">
        <v>1500</v>
      </c>
      <c r="AA792" s="25">
        <v>5</v>
      </c>
      <c r="AB792" s="32">
        <v>273</v>
      </c>
      <c r="AC792" s="27"/>
      <c r="AD792" s="27"/>
      <c r="AE792" s="27"/>
      <c r="AF792" s="27"/>
      <c r="AG792" s="27"/>
      <c r="AH792" s="27"/>
      <c r="AI792" s="25">
        <v>168625</v>
      </c>
      <c r="AJ792" s="25">
        <v>119724</v>
      </c>
      <c r="AK792" s="25">
        <v>0</v>
      </c>
      <c r="AL792" s="25">
        <v>281000</v>
      </c>
      <c r="AM792" s="25">
        <v>64800</v>
      </c>
      <c r="AN792" s="25">
        <v>216200</v>
      </c>
      <c r="AO792" s="25">
        <v>0</v>
      </c>
      <c r="AP792" s="25">
        <f>Lookups!$B$56*0</f>
        <v>0</v>
      </c>
      <c r="AQ792" s="25">
        <f>Lookups!$B$56*1</f>
        <v>89850.625589999996</v>
      </c>
      <c r="AR792" s="25">
        <f>Lookups!$B$57*Inventory[[#This Row],[LnAcres]]</f>
        <v>-45174.819855485119</v>
      </c>
      <c r="AS792" s="25">
        <f>VLOOKUP(Inventory[[#This Row],[Qlty]],Lookups!$A$62:$E$75,2,FALSE)</f>
        <v>0</v>
      </c>
      <c r="AT792" s="25">
        <f>VLOOKUP(Inventory[[#This Row],[Cnd]],Lookups!$A$76:$E$84,2,FALSE)</f>
        <v>197752.34721000001</v>
      </c>
      <c r="AU792" s="25">
        <f>Inventory[[#This Row],[EffAge]]*Lookups!$B$85</f>
        <v>-11375.3256255</v>
      </c>
      <c r="AV792" s="25">
        <f>Inventory[[#This Row],[MainFn]]*Lookups!$B$86</f>
        <v>52966.094108144003</v>
      </c>
      <c r="AW792" s="25">
        <f>Inventory[[#This Row],[UpprFn]]*Lookups!$B$87</f>
        <v>0</v>
      </c>
      <c r="AX792" s="25">
        <f>Inventory[[#This Row],[AddFn]]*Lookups!$B$88</f>
        <v>0</v>
      </c>
      <c r="AY792" s="25">
        <f>Inventory[[#This Row],[Bsmt]]*Lookups!$B$89</f>
        <v>0</v>
      </c>
      <c r="AZ792" s="25">
        <f>Inventory[[#This Row],[Fixtures]]*Lookups!$B$90</f>
        <v>18960.110526</v>
      </c>
      <c r="BA792" s="25">
        <f>Inventory[[#This Row],[WdDeck]]*Lookups!$B$91</f>
        <v>0</v>
      </c>
      <c r="BB792" s="25">
        <f>ROUND(Inventory[[#This Row],[25Det]],-2)</f>
        <v>0</v>
      </c>
      <c r="BC792" s="25">
        <f>ROUND(SUM(Inventory[[#This Row],[Mdl Qlty]:[Mdl WdDeck]])+Inventory[[#This Row],[Mdl Res Intercept]],-2)</f>
        <v>258300</v>
      </c>
      <c r="BD792" s="25">
        <f>ROUND(Inventory[[#This Row],[Mdl Land Intercept]]+Inventory[[#This Row],[Mdl LnAcres]],-2)</f>
        <v>44700</v>
      </c>
      <c r="BE792" s="25">
        <f>Inventory[[#This Row],[Unadj Res Value]]+Inventory[[#This Row],[Unadj Det Value]]+Inventory[[#This Row],[Unadj Land Value]]</f>
        <v>303000</v>
      </c>
      <c r="BF792" s="36">
        <f>(Inventory[[#This Row],[Unadj Total Value]]-Inventory[[#This Row],[24Final]])/Inventory[[#This Row],[24Final]]</f>
        <v>7.8291814946619215E-2</v>
      </c>
      <c r="BG792" s="25">
        <f>VLOOKUP(Inventory[[#This Row],[Nbhd]],Lookups!$Q$2:$T$4,4,FALSE)</f>
        <v>0.99970000000000003</v>
      </c>
      <c r="BH792" s="25">
        <f>VLOOKUP(Inventory[[#This Row],[Qlty]],Lookups!$O$7:$R$21,4,FALSE)</f>
        <v>0.99180000000000001</v>
      </c>
      <c r="BI792" s="25">
        <f>VLOOKUP(Inventory[[#This Row],[Cnd]],Lookups!$T$7:$W$16,4,FALSE)</f>
        <v>0.99650000000000005</v>
      </c>
      <c r="BJ792" s="25">
        <f>VLOOKUP(Inventory[[#This Row],[LivArea Range]],Lookups!$T$25:$W$37,4,FALSE)</f>
        <v>1.0157</v>
      </c>
      <c r="BK792" s="25">
        <f>VLOOKUP(Inventory[[#This Row],[Decade]],Lookups!$O$25:$R$42,4,FALSE)</f>
        <v>0.995</v>
      </c>
      <c r="BL792" s="25">
        <f>Inventory[[#This Row],[Nbhd Adj]]*0.95</f>
        <v>0.94971499999999998</v>
      </c>
      <c r="BM792" s="25">
        <f>Inventory[[#This Row],[Nbhd Adj]]*Inventory[[#This Row],[Quality Adj]]*Inventory[[#This Row],[Condition Adj]]*Inventory[[#This Row],[Living Area Adj]]*Inventory[[#This Row],[Decade Adj]]*0.95</f>
        <v>0.94860025614621091</v>
      </c>
      <c r="BN792" s="25">
        <f>ROUND(SUM(Inventory[[#This Row],[Mdl Qlty]:[Mdl WdDeck]])+Inventory[[#This Row],[Mdl Res Intercept]]*Inventory[[#This Row],[Res Adj ]],-2)</f>
        <v>258300</v>
      </c>
      <c r="BO792" s="25">
        <f>ROUND(Inventory[[#This Row],[25Det]]*Inventory[[#This Row],[Det/Nbhd Adj]],-2)</f>
        <v>0</v>
      </c>
      <c r="BP792" s="25">
        <f>Inventory[[#This Row],[Adjusted Res]]+Inventory[[#This Row],[Adj Det ]]</f>
        <v>258300</v>
      </c>
      <c r="BQ792" s="25">
        <f>ROUND((Inventory[[#This Row],[Mdl Land Intercept]]+Inventory[[#This Row],[Mdl LnAcres]])*Inventory[[#This Row],[Det/Nbhd Adj]],-2)</f>
        <v>42400</v>
      </c>
      <c r="BR792" s="25">
        <f>Inventory[[#This Row],[Adjusted Impr Total]]+Inventory[[#This Row],[Adjusted Land Total]]</f>
        <v>300700</v>
      </c>
      <c r="BS792" s="36">
        <f>IFERROR((Inventory[[#This Row],[Adjusted Impr Total]]-Inventory[[#This Row],[24Bldg]])/Inventory[[#This Row],[24Bldg]],0)</f>
        <v>0.19472710453283995</v>
      </c>
      <c r="BT792" s="36">
        <f>(Inventory[[#This Row],[Adjusted Land Total]]-Inventory[[#This Row],[24Lnd]])/Inventory[[#This Row],[24Lnd]]</f>
        <v>-0.34567901234567899</v>
      </c>
      <c r="BU792" s="36">
        <f>(Inventory[[#This Row],[Adjusted Total]]-Inventory[[#This Row],[24Final]])/Inventory[[#This Row],[24Final]]</f>
        <v>7.0106761565836298E-2</v>
      </c>
    </row>
    <row r="793" spans="1:73" x14ac:dyDescent="0.3">
      <c r="A793" s="25">
        <v>2025</v>
      </c>
      <c r="B793" s="26" t="s">
        <v>2699</v>
      </c>
      <c r="C793" s="26">
        <f>LN(Inventory[[#This Row],[Acres]])</f>
        <v>-1.5141277326297755</v>
      </c>
      <c r="D793" s="25">
        <v>0.22</v>
      </c>
      <c r="E793" s="31"/>
      <c r="F793" s="26" t="s">
        <v>537</v>
      </c>
      <c r="G793" s="26" t="s">
        <v>126</v>
      </c>
      <c r="H793" s="26" t="s">
        <v>349</v>
      </c>
      <c r="I793" s="26" t="s">
        <v>538</v>
      </c>
      <c r="J793" s="26" t="s">
        <v>539</v>
      </c>
      <c r="K793" s="26" t="s">
        <v>241</v>
      </c>
      <c r="L793" s="26" t="s">
        <v>351</v>
      </c>
      <c r="M793" s="26" t="s">
        <v>303</v>
      </c>
      <c r="N793" s="26">
        <v>80</v>
      </c>
      <c r="O793" s="26">
        <f>2024-Inventory[[#This Row],[YrBlt]]</f>
        <v>74</v>
      </c>
      <c r="P793" s="26">
        <f>2024-Inventory[[#This Row],[EffYr]]</f>
        <v>51</v>
      </c>
      <c r="Q793" s="25">
        <v>1950</v>
      </c>
      <c r="R793" s="25">
        <v>1973</v>
      </c>
      <c r="S793" s="25">
        <v>1715</v>
      </c>
      <c r="T793" s="27"/>
      <c r="U793" s="31"/>
      <c r="V793" s="31">
        <f>Inventory[[#This Row],[Bsmt]]-Inventory[[#This Row],[FnBsmt]]</f>
        <v>0</v>
      </c>
      <c r="W793" s="31"/>
      <c r="X793" s="27"/>
      <c r="Y793" s="27">
        <f>Inventory[[#This Row],[MainFn]]+Inventory[[#This Row],[UpprFn]]+Inventory[[#This Row],[FnBsmt]]+Inventory[[#This Row],[AddFn]]</f>
        <v>1715</v>
      </c>
      <c r="Z793" s="27">
        <v>2000</v>
      </c>
      <c r="AA793" s="25">
        <v>7</v>
      </c>
      <c r="AB793" s="27"/>
      <c r="AC793" s="27"/>
      <c r="AD793" s="27"/>
      <c r="AE793" s="27"/>
      <c r="AF793" s="27"/>
      <c r="AG793" s="27"/>
      <c r="AH793" s="27"/>
      <c r="AI793" s="25">
        <v>263780</v>
      </c>
      <c r="AJ793" s="25">
        <v>187284</v>
      </c>
      <c r="AK793" s="25">
        <v>10026</v>
      </c>
      <c r="AL793" s="25">
        <v>344700</v>
      </c>
      <c r="AM793" s="25">
        <v>61700</v>
      </c>
      <c r="AN793" s="25">
        <v>283000</v>
      </c>
      <c r="AO793" s="25">
        <v>0</v>
      </c>
      <c r="AP793" s="25">
        <f>Lookups!$B$56*0</f>
        <v>0</v>
      </c>
      <c r="AQ793" s="25">
        <f>Lookups!$B$56*1</f>
        <v>89850.625589999996</v>
      </c>
      <c r="AR793" s="25">
        <f>Lookups!$B$57*Inventory[[#This Row],[LnAcres]]</f>
        <v>-47929.131559187132</v>
      </c>
      <c r="AS793" s="25">
        <f>VLOOKUP(Inventory[[#This Row],[Qlty]],Lookups!$A$62:$E$75,2,FALSE)</f>
        <v>21557.329055999999</v>
      </c>
      <c r="AT793" s="25">
        <f>VLOOKUP(Inventory[[#This Row],[Cnd]],Lookups!$A$76:$E$84,2,FALSE)</f>
        <v>197752.34721000001</v>
      </c>
      <c r="AU793" s="25">
        <f>Inventory[[#This Row],[EffAge]]*Lookups!$B$85</f>
        <v>-11375.3256255</v>
      </c>
      <c r="AV793" s="25">
        <f>Inventory[[#This Row],[MainFn]]*Lookups!$B$86</f>
        <v>84735.868839055009</v>
      </c>
      <c r="AW793" s="25">
        <f>Inventory[[#This Row],[UpprFn]]*Lookups!$B$87</f>
        <v>0</v>
      </c>
      <c r="AX793" s="25">
        <f>Inventory[[#This Row],[AddFn]]*Lookups!$B$88</f>
        <v>0</v>
      </c>
      <c r="AY793" s="25">
        <f>Inventory[[#This Row],[Bsmt]]*Lookups!$B$89</f>
        <v>0</v>
      </c>
      <c r="AZ793" s="25">
        <f>Inventory[[#This Row],[Fixtures]]*Lookups!$B$90</f>
        <v>26544.1547364</v>
      </c>
      <c r="BA793" s="25">
        <f>Inventory[[#This Row],[WdDeck]]*Lookups!$B$91</f>
        <v>0</v>
      </c>
      <c r="BB793" s="25">
        <f>ROUND(Inventory[[#This Row],[25Det]],-2)</f>
        <v>10000</v>
      </c>
      <c r="BC793" s="25">
        <f>ROUND(SUM(Inventory[[#This Row],[Mdl Qlty]:[Mdl WdDeck]])+Inventory[[#This Row],[Mdl Res Intercept]],-2)</f>
        <v>319200</v>
      </c>
      <c r="BD793" s="25">
        <f>ROUND(Inventory[[#This Row],[Mdl Land Intercept]]+Inventory[[#This Row],[Mdl LnAcres]],-2)</f>
        <v>41900</v>
      </c>
      <c r="BE793" s="25">
        <f>Inventory[[#This Row],[Unadj Res Value]]+Inventory[[#This Row],[Unadj Det Value]]+Inventory[[#This Row],[Unadj Land Value]]</f>
        <v>371100</v>
      </c>
      <c r="BF793" s="36">
        <f>(Inventory[[#This Row],[Unadj Total Value]]-Inventory[[#This Row],[24Final]])/Inventory[[#This Row],[24Final]]</f>
        <v>7.6588337684943428E-2</v>
      </c>
      <c r="BG793" s="25">
        <f>VLOOKUP(Inventory[[#This Row],[Nbhd]],Lookups!$Q$2:$T$4,4,FALSE)</f>
        <v>0.99970000000000003</v>
      </c>
      <c r="BH793" s="25">
        <f>VLOOKUP(Inventory[[#This Row],[Qlty]],Lookups!$O$7:$R$21,4,FALSE)</f>
        <v>1.0067999999999999</v>
      </c>
      <c r="BI793" s="25">
        <f>VLOOKUP(Inventory[[#This Row],[Cnd]],Lookups!$T$7:$W$16,4,FALSE)</f>
        <v>0.99650000000000005</v>
      </c>
      <c r="BJ793" s="25">
        <f>VLOOKUP(Inventory[[#This Row],[LivArea Range]],Lookups!$T$25:$W$37,4,FALSE)</f>
        <v>1.0093000000000001</v>
      </c>
      <c r="BK793" s="25">
        <f>VLOOKUP(Inventory[[#This Row],[Decade]],Lookups!$O$25:$R$42,4,FALSE)</f>
        <v>0.995</v>
      </c>
      <c r="BL793" s="25">
        <f>Inventory[[#This Row],[Nbhd Adj]]*0.95</f>
        <v>0.94971499999999998</v>
      </c>
      <c r="BM793" s="25">
        <f>Inventory[[#This Row],[Nbhd Adj]]*Inventory[[#This Row],[Quality Adj]]*Inventory[[#This Row],[Condition Adj]]*Inventory[[#This Row],[Living Area Adj]]*Inventory[[#This Row],[Decade Adj]]*0.95</f>
        <v>0.95687930361479956</v>
      </c>
      <c r="BN793" s="25">
        <f>ROUND(SUM(Inventory[[#This Row],[Mdl Qlty]:[Mdl WdDeck]])+Inventory[[#This Row],[Mdl Res Intercept]]*Inventory[[#This Row],[Res Adj ]],-2)</f>
        <v>319200</v>
      </c>
      <c r="BO793" s="25">
        <f>ROUND(Inventory[[#This Row],[25Det]]*Inventory[[#This Row],[Det/Nbhd Adj]],-2)</f>
        <v>9500</v>
      </c>
      <c r="BP793" s="25">
        <f>Inventory[[#This Row],[Adjusted Res]]+Inventory[[#This Row],[Adj Det ]]</f>
        <v>328700</v>
      </c>
      <c r="BQ793" s="25">
        <f>ROUND((Inventory[[#This Row],[Mdl Land Intercept]]+Inventory[[#This Row],[Mdl LnAcres]])*Inventory[[#This Row],[Det/Nbhd Adj]],-2)</f>
        <v>39800</v>
      </c>
      <c r="BR793" s="25">
        <f>Inventory[[#This Row],[Adjusted Impr Total]]+Inventory[[#This Row],[Adjusted Land Total]]</f>
        <v>368500</v>
      </c>
      <c r="BS793" s="36">
        <f>IFERROR((Inventory[[#This Row],[Adjusted Impr Total]]-Inventory[[#This Row],[24Bldg]])/Inventory[[#This Row],[24Bldg]],0)</f>
        <v>0.16148409893992932</v>
      </c>
      <c r="BT793" s="36">
        <f>(Inventory[[#This Row],[Adjusted Land Total]]-Inventory[[#This Row],[24Lnd]])/Inventory[[#This Row],[24Lnd]]</f>
        <v>-0.35494327390599678</v>
      </c>
      <c r="BU793" s="36">
        <f>(Inventory[[#This Row],[Adjusted Total]]-Inventory[[#This Row],[24Final]])/Inventory[[#This Row],[24Final]]</f>
        <v>6.9045546852335368E-2</v>
      </c>
    </row>
    <row r="794" spans="1:73" x14ac:dyDescent="0.3">
      <c r="A794" s="25">
        <v>2025</v>
      </c>
      <c r="B794" s="26" t="s">
        <v>1954</v>
      </c>
      <c r="C794" s="26">
        <f>LN(Inventory[[#This Row],[Acres]])</f>
        <v>-1.6094379124341003</v>
      </c>
      <c r="D794" s="25">
        <v>0.2</v>
      </c>
      <c r="E794" s="25">
        <v>8508</v>
      </c>
      <c r="F794" s="26" t="s">
        <v>537</v>
      </c>
      <c r="G794" s="26" t="s">
        <v>126</v>
      </c>
      <c r="H794" s="26" t="s">
        <v>349</v>
      </c>
      <c r="I794" s="26" t="s">
        <v>538</v>
      </c>
      <c r="J794" s="26" t="s">
        <v>539</v>
      </c>
      <c r="K794" s="26" t="s">
        <v>241</v>
      </c>
      <c r="L794" s="26" t="s">
        <v>351</v>
      </c>
      <c r="M794" s="26" t="s">
        <v>206</v>
      </c>
      <c r="N794" s="26">
        <v>80</v>
      </c>
      <c r="O794" s="26">
        <f>2024-Inventory[[#This Row],[YrBlt]]</f>
        <v>74</v>
      </c>
      <c r="P794" s="26">
        <f>2024-Inventory[[#This Row],[EffYr]]</f>
        <v>51</v>
      </c>
      <c r="Q794" s="25">
        <v>1950</v>
      </c>
      <c r="R794" s="25">
        <v>1973</v>
      </c>
      <c r="S794" s="25">
        <v>1107</v>
      </c>
      <c r="T794" s="31"/>
      <c r="U794" s="25">
        <v>1107</v>
      </c>
      <c r="V794" s="32">
        <f>Inventory[[#This Row],[Bsmt]]-Inventory[[#This Row],[FnBsmt]]</f>
        <v>557</v>
      </c>
      <c r="W794" s="32">
        <v>550</v>
      </c>
      <c r="X794" s="27"/>
      <c r="Y794" s="27">
        <f>Inventory[[#This Row],[MainFn]]+Inventory[[#This Row],[UpprFn]]+Inventory[[#This Row],[FnBsmt]]+Inventory[[#This Row],[AddFn]]</f>
        <v>1657</v>
      </c>
      <c r="Z794" s="27">
        <v>2000</v>
      </c>
      <c r="AA794" s="25">
        <v>6</v>
      </c>
      <c r="AB794" s="27"/>
      <c r="AC794" s="27"/>
      <c r="AD794" s="31"/>
      <c r="AE794" s="27"/>
      <c r="AF794" s="27"/>
      <c r="AG794" s="27"/>
      <c r="AH794" s="27"/>
      <c r="AI794" s="25">
        <v>255645</v>
      </c>
      <c r="AJ794" s="25">
        <v>171282</v>
      </c>
      <c r="AK794" s="25">
        <v>0</v>
      </c>
      <c r="AL794" s="25">
        <v>271800</v>
      </c>
      <c r="AM794" s="25">
        <v>58400</v>
      </c>
      <c r="AN794" s="25">
        <v>213400</v>
      </c>
      <c r="AO794" s="25">
        <v>0</v>
      </c>
      <c r="AP794" s="25">
        <f>Lookups!$B$56*0</f>
        <v>0</v>
      </c>
      <c r="AQ794" s="25">
        <f>Lookups!$B$56*1</f>
        <v>89850.625589999996</v>
      </c>
      <c r="AR794" s="25">
        <f>Lookups!$B$57*Inventory[[#This Row],[LnAcres]]</f>
        <v>-50946.13867709865</v>
      </c>
      <c r="AS794" s="25">
        <f>VLOOKUP(Inventory[[#This Row],[Qlty]],Lookups!$A$62:$E$75,2,FALSE)</f>
        <v>21557.329055999999</v>
      </c>
      <c r="AT794" s="25">
        <f>VLOOKUP(Inventory[[#This Row],[Cnd]],Lookups!$A$76:$E$84,2,FALSE)</f>
        <v>133714.53821</v>
      </c>
      <c r="AU794" s="25">
        <f>Inventory[[#This Row],[EffAge]]*Lookups!$B$85</f>
        <v>-11375.3256255</v>
      </c>
      <c r="AV794" s="25">
        <f>Inventory[[#This Row],[MainFn]]*Lookups!$B$86</f>
        <v>54695.397553839</v>
      </c>
      <c r="AW794" s="25">
        <f>Inventory[[#This Row],[UpprFn]]*Lookups!$B$87</f>
        <v>0</v>
      </c>
      <c r="AX794" s="25">
        <f>Inventory[[#This Row],[AddFn]]*Lookups!$B$88</f>
        <v>0</v>
      </c>
      <c r="AY794" s="25">
        <f>Inventory[[#This Row],[Bsmt]]*Lookups!$B$89</f>
        <v>32193.658038428999</v>
      </c>
      <c r="AZ794" s="25">
        <f>Inventory[[#This Row],[Fixtures]]*Lookups!$B$90</f>
        <v>22752.132631200002</v>
      </c>
      <c r="BA794" s="25">
        <f>Inventory[[#This Row],[WdDeck]]*Lookups!$B$91</f>
        <v>0</v>
      </c>
      <c r="BB794" s="25">
        <f>ROUND(Inventory[[#This Row],[25Det]],-2)</f>
        <v>0</v>
      </c>
      <c r="BC794" s="25">
        <f>ROUND(SUM(Inventory[[#This Row],[Mdl Qlty]:[Mdl WdDeck]])+Inventory[[#This Row],[Mdl Res Intercept]],-2)</f>
        <v>253500</v>
      </c>
      <c r="BD794" s="25">
        <f>ROUND(Inventory[[#This Row],[Mdl Land Intercept]]+Inventory[[#This Row],[Mdl LnAcres]],-2)</f>
        <v>38900</v>
      </c>
      <c r="BE794" s="25">
        <f>Inventory[[#This Row],[Unadj Res Value]]+Inventory[[#This Row],[Unadj Det Value]]+Inventory[[#This Row],[Unadj Land Value]]</f>
        <v>292400</v>
      </c>
      <c r="BF794" s="36">
        <f>(Inventory[[#This Row],[Unadj Total Value]]-Inventory[[#This Row],[24Final]])/Inventory[[#This Row],[24Final]]</f>
        <v>7.5791022810890354E-2</v>
      </c>
      <c r="BG794" s="25">
        <f>VLOOKUP(Inventory[[#This Row],[Nbhd]],Lookups!$Q$2:$T$4,4,FALSE)</f>
        <v>0.99970000000000003</v>
      </c>
      <c r="BH794" s="25">
        <f>VLOOKUP(Inventory[[#This Row],[Qlty]],Lookups!$O$7:$R$21,4,FALSE)</f>
        <v>1.0067999999999999</v>
      </c>
      <c r="BI794" s="25">
        <f>VLOOKUP(Inventory[[#This Row],[Cnd]],Lookups!$T$7:$W$16,4,FALSE)</f>
        <v>0.99329999999999996</v>
      </c>
      <c r="BJ794" s="25">
        <f>VLOOKUP(Inventory[[#This Row],[LivArea Range]],Lookups!$T$25:$W$37,4,FALSE)</f>
        <v>1.0093000000000001</v>
      </c>
      <c r="BK794" s="25">
        <f>VLOOKUP(Inventory[[#This Row],[Decade]],Lookups!$O$25:$R$42,4,FALSE)</f>
        <v>0.995</v>
      </c>
      <c r="BL794" s="25">
        <f>Inventory[[#This Row],[Nbhd Adj]]*0.95</f>
        <v>0.94971499999999998</v>
      </c>
      <c r="BM794" s="25">
        <f>Inventory[[#This Row],[Nbhd Adj]]*Inventory[[#This Row],[Quality Adj]]*Inventory[[#This Row],[Condition Adj]]*Inventory[[#This Row],[Living Area Adj]]*Inventory[[#This Row],[Decade Adj]]*0.95</f>
        <v>0.95380653515361813</v>
      </c>
      <c r="BN794" s="25">
        <f>ROUND(SUM(Inventory[[#This Row],[Mdl Qlty]:[Mdl WdDeck]])+Inventory[[#This Row],[Mdl Res Intercept]]*Inventory[[#This Row],[Res Adj ]],-2)</f>
        <v>253500</v>
      </c>
      <c r="BO794" s="25">
        <f>ROUND(Inventory[[#This Row],[25Det]]*Inventory[[#This Row],[Det/Nbhd Adj]],-2)</f>
        <v>0</v>
      </c>
      <c r="BP794" s="25">
        <f>Inventory[[#This Row],[Adjusted Res]]+Inventory[[#This Row],[Adj Det ]]</f>
        <v>253500</v>
      </c>
      <c r="BQ794" s="25">
        <f>ROUND((Inventory[[#This Row],[Mdl Land Intercept]]+Inventory[[#This Row],[Mdl LnAcres]])*Inventory[[#This Row],[Det/Nbhd Adj]],-2)</f>
        <v>36900</v>
      </c>
      <c r="BR794" s="25">
        <f>Inventory[[#This Row],[Adjusted Impr Total]]+Inventory[[#This Row],[Adjusted Land Total]]</f>
        <v>290400</v>
      </c>
      <c r="BS794" s="36">
        <f>IFERROR((Inventory[[#This Row],[Adjusted Impr Total]]-Inventory[[#This Row],[24Bldg]])/Inventory[[#This Row],[24Bldg]],0)</f>
        <v>0.18791002811621368</v>
      </c>
      <c r="BT794" s="36">
        <f>(Inventory[[#This Row],[Adjusted Land Total]]-Inventory[[#This Row],[24Lnd]])/Inventory[[#This Row],[24Lnd]]</f>
        <v>-0.36815068493150682</v>
      </c>
      <c r="BU794" s="36">
        <f>(Inventory[[#This Row],[Adjusted Total]]-Inventory[[#This Row],[24Final]])/Inventory[[#This Row],[24Final]]</f>
        <v>6.8432671081677707E-2</v>
      </c>
    </row>
    <row r="795" spans="1:73" x14ac:dyDescent="0.3">
      <c r="A795" s="25">
        <v>2025</v>
      </c>
      <c r="B795" s="26" t="s">
        <v>777</v>
      </c>
      <c r="C795" s="26">
        <f>LN(Inventory[[#This Row],[Acres]])</f>
        <v>-1.3470736479666092</v>
      </c>
      <c r="D795" s="25">
        <v>0.26</v>
      </c>
      <c r="E795" s="25">
        <v>11129</v>
      </c>
      <c r="F795" s="26" t="s">
        <v>537</v>
      </c>
      <c r="G795" s="26" t="s">
        <v>126</v>
      </c>
      <c r="H795" s="26" t="s">
        <v>349</v>
      </c>
      <c r="I795" s="26" t="s">
        <v>538</v>
      </c>
      <c r="J795" s="26" t="s">
        <v>539</v>
      </c>
      <c r="K795" s="26" t="s">
        <v>241</v>
      </c>
      <c r="L795" s="26" t="s">
        <v>148</v>
      </c>
      <c r="M795" s="26" t="s">
        <v>323</v>
      </c>
      <c r="N795" s="26">
        <v>80</v>
      </c>
      <c r="O795" s="26">
        <f>2024-Inventory[[#This Row],[YrBlt]]</f>
        <v>74</v>
      </c>
      <c r="P795" s="26">
        <f>2024-Inventory[[#This Row],[EffYr]]</f>
        <v>51</v>
      </c>
      <c r="Q795" s="25">
        <v>1950</v>
      </c>
      <c r="R795" s="25">
        <v>1973</v>
      </c>
      <c r="S795" s="25">
        <v>1418</v>
      </c>
      <c r="T795" s="31"/>
      <c r="U795" s="25">
        <v>1418</v>
      </c>
      <c r="V795" s="25">
        <f>Inventory[[#This Row],[Bsmt]]-Inventory[[#This Row],[FnBsmt]]</f>
        <v>488</v>
      </c>
      <c r="W795" s="25">
        <v>930</v>
      </c>
      <c r="X795" s="27"/>
      <c r="Y795" s="27">
        <f>Inventory[[#This Row],[MainFn]]+Inventory[[#This Row],[UpprFn]]+Inventory[[#This Row],[FnBsmt]]+Inventory[[#This Row],[AddFn]]</f>
        <v>2348</v>
      </c>
      <c r="Z795" s="27">
        <v>2500</v>
      </c>
      <c r="AA795" s="25">
        <v>8</v>
      </c>
      <c r="AB795" s="32">
        <v>294</v>
      </c>
      <c r="AC795" s="31"/>
      <c r="AD795" s="32">
        <v>426</v>
      </c>
      <c r="AE795" s="27"/>
      <c r="AF795" s="27"/>
      <c r="AG795" s="27"/>
      <c r="AH795" s="27"/>
      <c r="AI795" s="25">
        <v>469453</v>
      </c>
      <c r="AJ795" s="25">
        <v>323923</v>
      </c>
      <c r="AK795" s="25">
        <v>0</v>
      </c>
      <c r="AL795" s="25">
        <v>368600</v>
      </c>
      <c r="AM795" s="25">
        <v>67600</v>
      </c>
      <c r="AN795" s="25">
        <v>301000</v>
      </c>
      <c r="AO795" s="25">
        <v>0</v>
      </c>
      <c r="AP795" s="25">
        <f>Lookups!$B$56*0</f>
        <v>0</v>
      </c>
      <c r="AQ795" s="25">
        <f>Lookups!$B$56*1</f>
        <v>89850.625589999996</v>
      </c>
      <c r="AR795" s="25">
        <f>Lookups!$B$57*Inventory[[#This Row],[LnAcres]]</f>
        <v>-42641.098701210125</v>
      </c>
      <c r="AS795" s="25">
        <f>VLOOKUP(Inventory[[#This Row],[Qlty]],Lookups!$A$62:$E$75,2,FALSE)</f>
        <v>44121.038090000002</v>
      </c>
      <c r="AT795" s="25">
        <f>VLOOKUP(Inventory[[#This Row],[Cnd]],Lookups!$A$76:$E$84,2,FALSE)</f>
        <v>160472.20319</v>
      </c>
      <c r="AU795" s="25">
        <f>Inventory[[#This Row],[EffAge]]*Lookups!$B$85</f>
        <v>-11375.3256255</v>
      </c>
      <c r="AV795" s="25">
        <f>Inventory[[#This Row],[MainFn]]*Lookups!$B$86</f>
        <v>70061.493885585995</v>
      </c>
      <c r="AW795" s="25">
        <f>Inventory[[#This Row],[UpprFn]]*Lookups!$B$87</f>
        <v>0</v>
      </c>
      <c r="AX795" s="25">
        <f>Inventory[[#This Row],[AddFn]]*Lookups!$B$88</f>
        <v>0</v>
      </c>
      <c r="AY795" s="25">
        <f>Inventory[[#This Row],[Bsmt]]*Lookups!$B$89</f>
        <v>41238.127460245996</v>
      </c>
      <c r="AZ795" s="25">
        <f>Inventory[[#This Row],[Fixtures]]*Lookups!$B$90</f>
        <v>30336.176841600001</v>
      </c>
      <c r="BA795" s="25">
        <f>Inventory[[#This Row],[WdDeck]]*Lookups!$B$91</f>
        <v>14183.889507576001</v>
      </c>
      <c r="BB795" s="25">
        <f>ROUND(Inventory[[#This Row],[25Det]],-2)</f>
        <v>0</v>
      </c>
      <c r="BC795" s="25">
        <f>ROUND(SUM(Inventory[[#This Row],[Mdl Qlty]:[Mdl WdDeck]])+Inventory[[#This Row],[Mdl Res Intercept]],-2)</f>
        <v>349000</v>
      </c>
      <c r="BD795" s="25">
        <f>ROUND(Inventory[[#This Row],[Mdl Land Intercept]]+Inventory[[#This Row],[Mdl LnAcres]],-2)</f>
        <v>47200</v>
      </c>
      <c r="BE795" s="25">
        <f>Inventory[[#This Row],[Unadj Res Value]]+Inventory[[#This Row],[Unadj Det Value]]+Inventory[[#This Row],[Unadj Land Value]]</f>
        <v>396200</v>
      </c>
      <c r="BF795" s="36">
        <f>(Inventory[[#This Row],[Unadj Total Value]]-Inventory[[#This Row],[24Final]])/Inventory[[#This Row],[24Final]]</f>
        <v>7.4877916440586001E-2</v>
      </c>
      <c r="BG795" s="25">
        <f>VLOOKUP(Inventory[[#This Row],[Nbhd]],Lookups!$Q$2:$T$4,4,FALSE)</f>
        <v>0.99970000000000003</v>
      </c>
      <c r="BH795" s="25">
        <f>VLOOKUP(Inventory[[#This Row],[Qlty]],Lookups!$O$7:$R$21,4,FALSE)</f>
        <v>0.98050000000000004</v>
      </c>
      <c r="BI795" s="25">
        <f>VLOOKUP(Inventory[[#This Row],[Cnd]],Lookups!$T$7:$W$16,4,FALSE)</f>
        <v>0.99729999999999996</v>
      </c>
      <c r="BJ795" s="25">
        <f>VLOOKUP(Inventory[[#This Row],[LivArea Range]],Lookups!$T$25:$W$37,4,FALSE)</f>
        <v>0.98919999999999997</v>
      </c>
      <c r="BK795" s="25">
        <f>VLOOKUP(Inventory[[#This Row],[Decade]],Lookups!$O$25:$R$42,4,FALSE)</f>
        <v>0.995</v>
      </c>
      <c r="BL795" s="25">
        <f>Inventory[[#This Row],[Nbhd Adj]]*0.95</f>
        <v>0.94971499999999998</v>
      </c>
      <c r="BM795" s="25">
        <f>Inventory[[#This Row],[Nbhd Adj]]*Inventory[[#This Row],[Quality Adj]]*Inventory[[#This Row],[Condition Adj]]*Inventory[[#This Row],[Living Area Adj]]*Inventory[[#This Row],[Decade Adj]]*0.95</f>
        <v>0.91405831328052556</v>
      </c>
      <c r="BN795" s="25">
        <f>ROUND(SUM(Inventory[[#This Row],[Mdl Qlty]:[Mdl WdDeck]])+Inventory[[#This Row],[Mdl Res Intercept]]*Inventory[[#This Row],[Res Adj ]],-2)</f>
        <v>349000</v>
      </c>
      <c r="BO795" s="25">
        <f>ROUND(Inventory[[#This Row],[25Det]]*Inventory[[#This Row],[Det/Nbhd Adj]],-2)</f>
        <v>0</v>
      </c>
      <c r="BP795" s="25">
        <f>Inventory[[#This Row],[Adjusted Res]]+Inventory[[#This Row],[Adj Det ]]</f>
        <v>349000</v>
      </c>
      <c r="BQ795" s="25">
        <f>ROUND((Inventory[[#This Row],[Mdl Land Intercept]]+Inventory[[#This Row],[Mdl LnAcres]])*Inventory[[#This Row],[Det/Nbhd Adj]],-2)</f>
        <v>44800</v>
      </c>
      <c r="BR795" s="25">
        <f>Inventory[[#This Row],[Adjusted Impr Total]]+Inventory[[#This Row],[Adjusted Land Total]]</f>
        <v>393800</v>
      </c>
      <c r="BS795" s="36">
        <f>IFERROR((Inventory[[#This Row],[Adjusted Impr Total]]-Inventory[[#This Row],[24Bldg]])/Inventory[[#This Row],[24Bldg]],0)</f>
        <v>0.15946843853820597</v>
      </c>
      <c r="BT795" s="36">
        <f>(Inventory[[#This Row],[Adjusted Land Total]]-Inventory[[#This Row],[24Lnd]])/Inventory[[#This Row],[24Lnd]]</f>
        <v>-0.33727810650887574</v>
      </c>
      <c r="BU795" s="36">
        <f>(Inventory[[#This Row],[Adjusted Total]]-Inventory[[#This Row],[24Final]])/Inventory[[#This Row],[24Final]]</f>
        <v>6.8366793271839393E-2</v>
      </c>
    </row>
    <row r="796" spans="1:73" x14ac:dyDescent="0.3">
      <c r="A796" s="25">
        <v>2025</v>
      </c>
      <c r="B796" s="26" t="s">
        <v>2594</v>
      </c>
      <c r="C796" s="26">
        <f>LN(Inventory[[#This Row],[Acres]])</f>
        <v>-1.8325814637483102</v>
      </c>
      <c r="D796" s="25">
        <v>0.16</v>
      </c>
      <c r="E796" s="25">
        <v>7000</v>
      </c>
      <c r="F796" s="26" t="s">
        <v>537</v>
      </c>
      <c r="G796" s="26" t="s">
        <v>126</v>
      </c>
      <c r="H796" s="26" t="s">
        <v>349</v>
      </c>
      <c r="I796" s="26" t="s">
        <v>538</v>
      </c>
      <c r="J796" s="26" t="s">
        <v>539</v>
      </c>
      <c r="K796" s="26" t="s">
        <v>242</v>
      </c>
      <c r="L796" s="26" t="s">
        <v>205</v>
      </c>
      <c r="M796" s="26" t="s">
        <v>303</v>
      </c>
      <c r="N796" s="26">
        <v>80</v>
      </c>
      <c r="O796" s="26">
        <f>2024-Inventory[[#This Row],[YrBlt]]</f>
        <v>74</v>
      </c>
      <c r="P796" s="26">
        <f>2024-Inventory[[#This Row],[EffYr]]</f>
        <v>51</v>
      </c>
      <c r="Q796" s="25">
        <v>1950</v>
      </c>
      <c r="R796" s="25">
        <v>1973</v>
      </c>
      <c r="S796" s="25">
        <v>900</v>
      </c>
      <c r="T796" s="31"/>
      <c r="U796" s="25">
        <v>610</v>
      </c>
      <c r="V796" s="25">
        <f>Inventory[[#This Row],[Bsmt]]-Inventory[[#This Row],[FnBsmt]]</f>
        <v>130</v>
      </c>
      <c r="W796" s="25">
        <v>480</v>
      </c>
      <c r="X796" s="27"/>
      <c r="Y796" s="27">
        <f>Inventory[[#This Row],[MainFn]]+Inventory[[#This Row],[UpprFn]]+Inventory[[#This Row],[FnBsmt]]+Inventory[[#This Row],[AddFn]]</f>
        <v>1380</v>
      </c>
      <c r="Z796" s="27">
        <v>1500</v>
      </c>
      <c r="AA796" s="25">
        <v>5</v>
      </c>
      <c r="AB796" s="27"/>
      <c r="AC796" s="27"/>
      <c r="AD796" s="27"/>
      <c r="AE796" s="27"/>
      <c r="AF796" s="27"/>
      <c r="AG796" s="27"/>
      <c r="AH796" s="27"/>
      <c r="AI796" s="25">
        <v>187669</v>
      </c>
      <c r="AJ796" s="25">
        <v>133245</v>
      </c>
      <c r="AK796" s="25">
        <v>5697</v>
      </c>
      <c r="AL796" s="25">
        <v>283800</v>
      </c>
      <c r="AM796" s="25">
        <v>50600</v>
      </c>
      <c r="AN796" s="25">
        <v>233200</v>
      </c>
      <c r="AO796" s="25">
        <v>0</v>
      </c>
      <c r="AP796" s="25">
        <f>Lookups!$B$56*0</f>
        <v>0</v>
      </c>
      <c r="AQ796" s="25">
        <f>Lookups!$B$56*1</f>
        <v>89850.625589999996</v>
      </c>
      <c r="AR796" s="25">
        <f>Lookups!$B$57*Inventory[[#This Row],[LnAcres]]</f>
        <v>-58009.662049032086</v>
      </c>
      <c r="AS796" s="25">
        <f>VLOOKUP(Inventory[[#This Row],[Qlty]],Lookups!$A$62:$E$75,2,FALSE)</f>
        <v>0</v>
      </c>
      <c r="AT796" s="25">
        <f>VLOOKUP(Inventory[[#This Row],[Cnd]],Lookups!$A$76:$E$84,2,FALSE)</f>
        <v>197752.34721000001</v>
      </c>
      <c r="AU796" s="25">
        <f>Inventory[[#This Row],[EffAge]]*Lookups!$B$85</f>
        <v>-11375.3256255</v>
      </c>
      <c r="AV796" s="25">
        <f>Inventory[[#This Row],[MainFn]]*Lookups!$B$86</f>
        <v>44467.802889300001</v>
      </c>
      <c r="AW796" s="25">
        <f>Inventory[[#This Row],[UpprFn]]*Lookups!$B$87</f>
        <v>0</v>
      </c>
      <c r="AX796" s="25">
        <f>Inventory[[#This Row],[AddFn]]*Lookups!$B$88</f>
        <v>0</v>
      </c>
      <c r="AY796" s="25">
        <f>Inventory[[#This Row],[Bsmt]]*Lookups!$B$89</f>
        <v>17739.956100669999</v>
      </c>
      <c r="AZ796" s="25">
        <f>Inventory[[#This Row],[Fixtures]]*Lookups!$B$90</f>
        <v>18960.110526</v>
      </c>
      <c r="BA796" s="25">
        <f>Inventory[[#This Row],[WdDeck]]*Lookups!$B$91</f>
        <v>0</v>
      </c>
      <c r="BB796" s="25">
        <f>ROUND(Inventory[[#This Row],[25Det]],-2)</f>
        <v>5700</v>
      </c>
      <c r="BC796" s="25">
        <f>ROUND(SUM(Inventory[[#This Row],[Mdl Qlty]:[Mdl WdDeck]])+Inventory[[#This Row],[Mdl Res Intercept]],-2)</f>
        <v>267500</v>
      </c>
      <c r="BD796" s="25">
        <f>ROUND(Inventory[[#This Row],[Mdl Land Intercept]]+Inventory[[#This Row],[Mdl LnAcres]],-2)</f>
        <v>31800</v>
      </c>
      <c r="BE796" s="25">
        <f>Inventory[[#This Row],[Unadj Res Value]]+Inventory[[#This Row],[Unadj Det Value]]+Inventory[[#This Row],[Unadj Land Value]]</f>
        <v>305000</v>
      </c>
      <c r="BF796" s="36">
        <f>(Inventory[[#This Row],[Unadj Total Value]]-Inventory[[#This Row],[24Final]])/Inventory[[#This Row],[24Final]]</f>
        <v>7.4700493305144472E-2</v>
      </c>
      <c r="BG796" s="25">
        <f>VLOOKUP(Inventory[[#This Row],[Nbhd]],Lookups!$Q$2:$T$4,4,FALSE)</f>
        <v>0.99970000000000003</v>
      </c>
      <c r="BH796" s="25">
        <f>VLOOKUP(Inventory[[#This Row],[Qlty]],Lookups!$O$7:$R$21,4,FALSE)</f>
        <v>0.99180000000000001</v>
      </c>
      <c r="BI796" s="25">
        <f>VLOOKUP(Inventory[[#This Row],[Cnd]],Lookups!$T$7:$W$16,4,FALSE)</f>
        <v>0.99650000000000005</v>
      </c>
      <c r="BJ796" s="25">
        <f>VLOOKUP(Inventory[[#This Row],[LivArea Range]],Lookups!$T$25:$W$37,4,FALSE)</f>
        <v>1.0157</v>
      </c>
      <c r="BK796" s="25">
        <f>VLOOKUP(Inventory[[#This Row],[Decade]],Lookups!$O$25:$R$42,4,FALSE)</f>
        <v>0.995</v>
      </c>
      <c r="BL796" s="25">
        <f>Inventory[[#This Row],[Nbhd Adj]]*0.95</f>
        <v>0.94971499999999998</v>
      </c>
      <c r="BM796" s="25">
        <f>Inventory[[#This Row],[Nbhd Adj]]*Inventory[[#This Row],[Quality Adj]]*Inventory[[#This Row],[Condition Adj]]*Inventory[[#This Row],[Living Area Adj]]*Inventory[[#This Row],[Decade Adj]]*0.95</f>
        <v>0.94860025614621091</v>
      </c>
      <c r="BN796" s="25">
        <f>ROUND(SUM(Inventory[[#This Row],[Mdl Qlty]:[Mdl WdDeck]])+Inventory[[#This Row],[Mdl Res Intercept]]*Inventory[[#This Row],[Res Adj ]],-2)</f>
        <v>267500</v>
      </c>
      <c r="BO796" s="25">
        <f>ROUND(Inventory[[#This Row],[25Det]]*Inventory[[#This Row],[Det/Nbhd Adj]],-2)</f>
        <v>5400</v>
      </c>
      <c r="BP796" s="25">
        <f>Inventory[[#This Row],[Adjusted Res]]+Inventory[[#This Row],[Adj Det ]]</f>
        <v>272900</v>
      </c>
      <c r="BQ796" s="25">
        <f>ROUND((Inventory[[#This Row],[Mdl Land Intercept]]+Inventory[[#This Row],[Mdl LnAcres]])*Inventory[[#This Row],[Det/Nbhd Adj]],-2)</f>
        <v>30200</v>
      </c>
      <c r="BR796" s="25">
        <f>Inventory[[#This Row],[Adjusted Impr Total]]+Inventory[[#This Row],[Adjusted Land Total]]</f>
        <v>303100</v>
      </c>
      <c r="BS796" s="36">
        <f>IFERROR((Inventory[[#This Row],[Adjusted Impr Total]]-Inventory[[#This Row],[24Bldg]])/Inventory[[#This Row],[24Bldg]],0)</f>
        <v>0.17024013722126929</v>
      </c>
      <c r="BT796" s="36">
        <f>(Inventory[[#This Row],[Adjusted Land Total]]-Inventory[[#This Row],[24Lnd]])/Inventory[[#This Row],[24Lnd]]</f>
        <v>-0.40316205533596838</v>
      </c>
      <c r="BU796" s="36">
        <f>(Inventory[[#This Row],[Adjusted Total]]-Inventory[[#This Row],[24Final]])/Inventory[[#This Row],[24Final]]</f>
        <v>6.8005637773079636E-2</v>
      </c>
    </row>
    <row r="797" spans="1:73" x14ac:dyDescent="0.3">
      <c r="A797" s="25">
        <v>2025</v>
      </c>
      <c r="B797" s="26" t="s">
        <v>1789</v>
      </c>
      <c r="C797" s="26">
        <f>LN(Inventory[[#This Row],[Acres]])</f>
        <v>-1.2378743560016174</v>
      </c>
      <c r="D797" s="25">
        <v>0.28999999999999998</v>
      </c>
      <c r="E797" s="25">
        <v>12586</v>
      </c>
      <c r="F797" s="26" t="s">
        <v>537</v>
      </c>
      <c r="G797" s="26" t="s">
        <v>126</v>
      </c>
      <c r="H797" s="26" t="s">
        <v>349</v>
      </c>
      <c r="I797" s="26" t="s">
        <v>538</v>
      </c>
      <c r="J797" s="26" t="s">
        <v>539</v>
      </c>
      <c r="K797" s="26" t="s">
        <v>242</v>
      </c>
      <c r="L797" s="26" t="s">
        <v>351</v>
      </c>
      <c r="M797" s="26" t="s">
        <v>303</v>
      </c>
      <c r="N797" s="26">
        <v>80</v>
      </c>
      <c r="O797" s="26">
        <f>2024-Inventory[[#This Row],[YrBlt]]</f>
        <v>74</v>
      </c>
      <c r="P797" s="26">
        <f>2024-Inventory[[#This Row],[EffYr]]</f>
        <v>51</v>
      </c>
      <c r="Q797" s="25">
        <v>1950</v>
      </c>
      <c r="R797" s="25">
        <v>1973</v>
      </c>
      <c r="S797" s="25">
        <v>1438</v>
      </c>
      <c r="T797" s="27"/>
      <c r="U797" s="31"/>
      <c r="V797" s="31">
        <f>Inventory[[#This Row],[Bsmt]]-Inventory[[#This Row],[FnBsmt]]</f>
        <v>0</v>
      </c>
      <c r="W797" s="31"/>
      <c r="X797" s="27"/>
      <c r="Y797" s="27">
        <f>Inventory[[#This Row],[MainFn]]+Inventory[[#This Row],[UpprFn]]+Inventory[[#This Row],[FnBsmt]]+Inventory[[#This Row],[AddFn]]</f>
        <v>1438</v>
      </c>
      <c r="Z797" s="27">
        <v>1500</v>
      </c>
      <c r="AA797" s="25">
        <v>5</v>
      </c>
      <c r="AB797" s="32">
        <v>276</v>
      </c>
      <c r="AC797" s="27"/>
      <c r="AD797" s="27"/>
      <c r="AE797" s="27"/>
      <c r="AF797" s="27"/>
      <c r="AG797" s="27"/>
      <c r="AH797" s="27"/>
      <c r="AI797" s="25">
        <v>249323</v>
      </c>
      <c r="AJ797" s="25">
        <v>177019</v>
      </c>
      <c r="AK797" s="25">
        <v>0</v>
      </c>
      <c r="AL797" s="25">
        <v>324500</v>
      </c>
      <c r="AM797" s="25">
        <v>71400</v>
      </c>
      <c r="AN797" s="25">
        <v>253100</v>
      </c>
      <c r="AO797" s="25">
        <v>0</v>
      </c>
      <c r="AP797" s="25">
        <f>Lookups!$B$56*0</f>
        <v>0</v>
      </c>
      <c r="AQ797" s="25">
        <f>Lookups!$B$56*1</f>
        <v>89850.625589999996</v>
      </c>
      <c r="AR797" s="25">
        <f>Lookups!$B$57*Inventory[[#This Row],[LnAcres]]</f>
        <v>-39184.437074869042</v>
      </c>
      <c r="AS797" s="25">
        <f>VLOOKUP(Inventory[[#This Row],[Qlty]],Lookups!$A$62:$E$75,2,FALSE)</f>
        <v>21557.329055999999</v>
      </c>
      <c r="AT797" s="25">
        <f>VLOOKUP(Inventory[[#This Row],[Cnd]],Lookups!$A$76:$E$84,2,FALSE)</f>
        <v>197752.34721000001</v>
      </c>
      <c r="AU797" s="25">
        <f>Inventory[[#This Row],[EffAge]]*Lookups!$B$85</f>
        <v>-11375.3256255</v>
      </c>
      <c r="AV797" s="25">
        <f>Inventory[[#This Row],[MainFn]]*Lookups!$B$86</f>
        <v>71049.667283126008</v>
      </c>
      <c r="AW797" s="25">
        <f>Inventory[[#This Row],[UpprFn]]*Lookups!$B$87</f>
        <v>0</v>
      </c>
      <c r="AX797" s="25">
        <f>Inventory[[#This Row],[AddFn]]*Lookups!$B$88</f>
        <v>0</v>
      </c>
      <c r="AY797" s="25">
        <f>Inventory[[#This Row],[Bsmt]]*Lookups!$B$89</f>
        <v>0</v>
      </c>
      <c r="AZ797" s="25">
        <f>Inventory[[#This Row],[Fixtures]]*Lookups!$B$90</f>
        <v>18960.110526</v>
      </c>
      <c r="BA797" s="25">
        <f>Inventory[[#This Row],[WdDeck]]*Lookups!$B$91</f>
        <v>0</v>
      </c>
      <c r="BB797" s="25">
        <f>ROUND(Inventory[[#This Row],[25Det]],-2)</f>
        <v>0</v>
      </c>
      <c r="BC797" s="25">
        <f>ROUND(SUM(Inventory[[#This Row],[Mdl Qlty]:[Mdl WdDeck]])+Inventory[[#This Row],[Mdl Res Intercept]],-2)</f>
        <v>297900</v>
      </c>
      <c r="BD797" s="25">
        <f>ROUND(Inventory[[#This Row],[Mdl Land Intercept]]+Inventory[[#This Row],[Mdl LnAcres]],-2)</f>
        <v>50700</v>
      </c>
      <c r="BE797" s="25">
        <f>Inventory[[#This Row],[Unadj Res Value]]+Inventory[[#This Row],[Unadj Det Value]]+Inventory[[#This Row],[Unadj Land Value]]</f>
        <v>348600</v>
      </c>
      <c r="BF797" s="36">
        <f>(Inventory[[#This Row],[Unadj Total Value]]-Inventory[[#This Row],[24Final]])/Inventory[[#This Row],[24Final]]</f>
        <v>7.4268104776579358E-2</v>
      </c>
      <c r="BG797" s="25">
        <f>VLOOKUP(Inventory[[#This Row],[Nbhd]],Lookups!$Q$2:$T$4,4,FALSE)</f>
        <v>0.99970000000000003</v>
      </c>
      <c r="BH797" s="25">
        <f>VLOOKUP(Inventory[[#This Row],[Qlty]],Lookups!$O$7:$R$21,4,FALSE)</f>
        <v>1.0067999999999999</v>
      </c>
      <c r="BI797" s="25">
        <f>VLOOKUP(Inventory[[#This Row],[Cnd]],Lookups!$T$7:$W$16,4,FALSE)</f>
        <v>0.99650000000000005</v>
      </c>
      <c r="BJ797" s="25">
        <f>VLOOKUP(Inventory[[#This Row],[LivArea Range]],Lookups!$T$25:$W$37,4,FALSE)</f>
        <v>1.0157</v>
      </c>
      <c r="BK797" s="25">
        <f>VLOOKUP(Inventory[[#This Row],[Decade]],Lookups!$O$25:$R$42,4,FALSE)</f>
        <v>0.995</v>
      </c>
      <c r="BL797" s="25">
        <f>Inventory[[#This Row],[Nbhd Adj]]*0.95</f>
        <v>0.94971499999999998</v>
      </c>
      <c r="BM797" s="25">
        <f>Inventory[[#This Row],[Nbhd Adj]]*Inventory[[#This Row],[Quality Adj]]*Inventory[[#This Row],[Condition Adj]]*Inventory[[#This Row],[Living Area Adj]]*Inventory[[#This Row],[Decade Adj]]*0.95</f>
        <v>0.96294690248840986</v>
      </c>
      <c r="BN797" s="25">
        <f>ROUND(SUM(Inventory[[#This Row],[Mdl Qlty]:[Mdl WdDeck]])+Inventory[[#This Row],[Mdl Res Intercept]]*Inventory[[#This Row],[Res Adj ]],-2)</f>
        <v>297900</v>
      </c>
      <c r="BO797" s="25">
        <f>ROUND(Inventory[[#This Row],[25Det]]*Inventory[[#This Row],[Det/Nbhd Adj]],-2)</f>
        <v>0</v>
      </c>
      <c r="BP797" s="25">
        <f>Inventory[[#This Row],[Adjusted Res]]+Inventory[[#This Row],[Adj Det ]]</f>
        <v>297900</v>
      </c>
      <c r="BQ797" s="25">
        <f>ROUND((Inventory[[#This Row],[Mdl Land Intercept]]+Inventory[[#This Row],[Mdl LnAcres]])*Inventory[[#This Row],[Det/Nbhd Adj]],-2)</f>
        <v>48100</v>
      </c>
      <c r="BR797" s="25">
        <f>Inventory[[#This Row],[Adjusted Impr Total]]+Inventory[[#This Row],[Adjusted Land Total]]</f>
        <v>346000</v>
      </c>
      <c r="BS797" s="36">
        <f>IFERROR((Inventory[[#This Row],[Adjusted Impr Total]]-Inventory[[#This Row],[24Bldg]])/Inventory[[#This Row],[24Bldg]],0)</f>
        <v>0.17700513630975898</v>
      </c>
      <c r="BT797" s="36">
        <f>(Inventory[[#This Row],[Adjusted Land Total]]-Inventory[[#This Row],[24Lnd]])/Inventory[[#This Row],[24Lnd]]</f>
        <v>-0.32633053221288516</v>
      </c>
      <c r="BU797" s="36">
        <f>(Inventory[[#This Row],[Adjusted Total]]-Inventory[[#This Row],[24Final]])/Inventory[[#This Row],[24Final]]</f>
        <v>6.6255778120184905E-2</v>
      </c>
    </row>
    <row r="798" spans="1:73" x14ac:dyDescent="0.3">
      <c r="A798" s="25">
        <v>2025</v>
      </c>
      <c r="B798" s="26" t="s">
        <v>2703</v>
      </c>
      <c r="C798" s="26">
        <f>LN(Inventory[[#This Row],[Acres]])</f>
        <v>-1.5141277326297755</v>
      </c>
      <c r="D798" s="25">
        <v>0.22</v>
      </c>
      <c r="E798" s="25">
        <v>9380</v>
      </c>
      <c r="F798" s="26" t="s">
        <v>537</v>
      </c>
      <c r="G798" s="26" t="s">
        <v>126</v>
      </c>
      <c r="H798" s="26" t="s">
        <v>349</v>
      </c>
      <c r="I798" s="26" t="s">
        <v>538</v>
      </c>
      <c r="J798" s="26" t="s">
        <v>539</v>
      </c>
      <c r="K798" s="26" t="s">
        <v>241</v>
      </c>
      <c r="L798" s="26" t="s">
        <v>302</v>
      </c>
      <c r="M798" s="26" t="s">
        <v>323</v>
      </c>
      <c r="N798" s="26">
        <v>80</v>
      </c>
      <c r="O798" s="26">
        <f>2024-Inventory[[#This Row],[YrBlt]]</f>
        <v>74</v>
      </c>
      <c r="P798" s="26">
        <f>2024-Inventory[[#This Row],[EffYr]]</f>
        <v>51</v>
      </c>
      <c r="Q798" s="25">
        <v>1950</v>
      </c>
      <c r="R798" s="25">
        <v>1973</v>
      </c>
      <c r="S798" s="25">
        <v>1278</v>
      </c>
      <c r="T798" s="27"/>
      <c r="U798" s="32">
        <v>1278</v>
      </c>
      <c r="V798" s="32">
        <f>Inventory[[#This Row],[Bsmt]]-Inventory[[#This Row],[FnBsmt]]</f>
        <v>639</v>
      </c>
      <c r="W798" s="32">
        <v>639</v>
      </c>
      <c r="X798" s="27"/>
      <c r="Y798" s="27">
        <f>Inventory[[#This Row],[MainFn]]+Inventory[[#This Row],[UpprFn]]+Inventory[[#This Row],[FnBsmt]]+Inventory[[#This Row],[AddFn]]</f>
        <v>1917</v>
      </c>
      <c r="Z798" s="27">
        <v>2000</v>
      </c>
      <c r="AA798" s="25">
        <v>8</v>
      </c>
      <c r="AB798" s="25">
        <v>240</v>
      </c>
      <c r="AC798" s="27"/>
      <c r="AD798" s="25">
        <v>264</v>
      </c>
      <c r="AE798" s="27"/>
      <c r="AF798" s="27"/>
      <c r="AG798" s="27"/>
      <c r="AH798" s="27"/>
      <c r="AI798" s="25">
        <v>367900</v>
      </c>
      <c r="AJ798" s="25">
        <v>253851</v>
      </c>
      <c r="AK798" s="25">
        <v>0</v>
      </c>
      <c r="AL798" s="25">
        <v>336600</v>
      </c>
      <c r="AM798" s="25">
        <v>61700</v>
      </c>
      <c r="AN798" s="25">
        <v>274900</v>
      </c>
      <c r="AO798" s="25">
        <v>0</v>
      </c>
      <c r="AP798" s="25">
        <f>Lookups!$B$56*0</f>
        <v>0</v>
      </c>
      <c r="AQ798" s="25">
        <f>Lookups!$B$56*1</f>
        <v>89850.625589999996</v>
      </c>
      <c r="AR798" s="25">
        <f>Lookups!$B$57*Inventory[[#This Row],[LnAcres]]</f>
        <v>-47929.131559187132</v>
      </c>
      <c r="AS798" s="25">
        <f>VLOOKUP(Inventory[[#This Row],[Qlty]],Lookups!$A$62:$E$75,2,FALSE)</f>
        <v>29814.093161000001</v>
      </c>
      <c r="AT798" s="25">
        <f>VLOOKUP(Inventory[[#This Row],[Cnd]],Lookups!$A$76:$E$84,2,FALSE)</f>
        <v>160472.20319</v>
      </c>
      <c r="AU798" s="25">
        <f>Inventory[[#This Row],[EffAge]]*Lookups!$B$85</f>
        <v>-11375.3256255</v>
      </c>
      <c r="AV798" s="25">
        <f>Inventory[[#This Row],[MainFn]]*Lookups!$B$86</f>
        <v>63144.280102805998</v>
      </c>
      <c r="AW798" s="25">
        <f>Inventory[[#This Row],[UpprFn]]*Lookups!$B$87</f>
        <v>0</v>
      </c>
      <c r="AX798" s="25">
        <f>Inventory[[#This Row],[AddFn]]*Lookups!$B$88</f>
        <v>0</v>
      </c>
      <c r="AY798" s="25">
        <f>Inventory[[#This Row],[Bsmt]]*Lookups!$B$89</f>
        <v>37166.662125666</v>
      </c>
      <c r="AZ798" s="25">
        <f>Inventory[[#This Row],[Fixtures]]*Lookups!$B$90</f>
        <v>30336.176841600001</v>
      </c>
      <c r="BA798" s="25">
        <f>Inventory[[#This Row],[WdDeck]]*Lookups!$B$91</f>
        <v>8790.0160328640013</v>
      </c>
      <c r="BB798" s="25">
        <f>ROUND(Inventory[[#This Row],[25Det]],-2)</f>
        <v>0</v>
      </c>
      <c r="BC798" s="25">
        <f>ROUND(SUM(Inventory[[#This Row],[Mdl Qlty]:[Mdl WdDeck]])+Inventory[[#This Row],[Mdl Res Intercept]],-2)</f>
        <v>318300</v>
      </c>
      <c r="BD798" s="25">
        <f>ROUND(Inventory[[#This Row],[Mdl Land Intercept]]+Inventory[[#This Row],[Mdl LnAcres]],-2)</f>
        <v>41900</v>
      </c>
      <c r="BE798" s="25">
        <f>Inventory[[#This Row],[Unadj Res Value]]+Inventory[[#This Row],[Unadj Det Value]]+Inventory[[#This Row],[Unadj Land Value]]</f>
        <v>360200</v>
      </c>
      <c r="BF798" s="36">
        <f>(Inventory[[#This Row],[Unadj Total Value]]-Inventory[[#This Row],[24Final]])/Inventory[[#This Row],[24Final]]</f>
        <v>7.0112893642305413E-2</v>
      </c>
      <c r="BG798" s="25">
        <f>VLOOKUP(Inventory[[#This Row],[Nbhd]],Lookups!$Q$2:$T$4,4,FALSE)</f>
        <v>0.99970000000000003</v>
      </c>
      <c r="BH798" s="25">
        <f>VLOOKUP(Inventory[[#This Row],[Qlty]],Lookups!$O$7:$R$21,4,FALSE)</f>
        <v>1.0088999999999999</v>
      </c>
      <c r="BI798" s="25">
        <f>VLOOKUP(Inventory[[#This Row],[Cnd]],Lookups!$T$7:$W$16,4,FALSE)</f>
        <v>0.99729999999999996</v>
      </c>
      <c r="BJ798" s="25">
        <f>VLOOKUP(Inventory[[#This Row],[LivArea Range]],Lookups!$T$25:$W$37,4,FALSE)</f>
        <v>1.0093000000000001</v>
      </c>
      <c r="BK798" s="25">
        <f>VLOOKUP(Inventory[[#This Row],[Decade]],Lookups!$O$25:$R$42,4,FALSE)</f>
        <v>0.995</v>
      </c>
      <c r="BL798" s="25">
        <f>Inventory[[#This Row],[Nbhd Adj]]*0.95</f>
        <v>0.94971499999999998</v>
      </c>
      <c r="BM798" s="25">
        <f>Inventory[[#This Row],[Nbhd Adj]]*Inventory[[#This Row],[Quality Adj]]*Inventory[[#This Row],[Condition Adj]]*Inventory[[#This Row],[Living Area Adj]]*Inventory[[#This Row],[Decade Adj]]*0.95</f>
        <v>0.9596449726282209</v>
      </c>
      <c r="BN798" s="25">
        <f>ROUND(SUM(Inventory[[#This Row],[Mdl Qlty]:[Mdl WdDeck]])+Inventory[[#This Row],[Mdl Res Intercept]]*Inventory[[#This Row],[Res Adj ]],-2)</f>
        <v>318300</v>
      </c>
      <c r="BO798" s="25">
        <f>ROUND(Inventory[[#This Row],[25Det]]*Inventory[[#This Row],[Det/Nbhd Adj]],-2)</f>
        <v>0</v>
      </c>
      <c r="BP798" s="25">
        <f>Inventory[[#This Row],[Adjusted Res]]+Inventory[[#This Row],[Adj Det ]]</f>
        <v>318300</v>
      </c>
      <c r="BQ798" s="25">
        <f>ROUND((Inventory[[#This Row],[Mdl Land Intercept]]+Inventory[[#This Row],[Mdl LnAcres]])*Inventory[[#This Row],[Det/Nbhd Adj]],-2)</f>
        <v>39800</v>
      </c>
      <c r="BR798" s="25">
        <f>Inventory[[#This Row],[Adjusted Impr Total]]+Inventory[[#This Row],[Adjusted Land Total]]</f>
        <v>358100</v>
      </c>
      <c r="BS798" s="36">
        <f>IFERROR((Inventory[[#This Row],[Adjusted Impr Total]]-Inventory[[#This Row],[24Bldg]])/Inventory[[#This Row],[24Bldg]],0)</f>
        <v>0.15787559112404512</v>
      </c>
      <c r="BT798" s="36">
        <f>(Inventory[[#This Row],[Adjusted Land Total]]-Inventory[[#This Row],[24Lnd]])/Inventory[[#This Row],[24Lnd]]</f>
        <v>-0.35494327390599678</v>
      </c>
      <c r="BU798" s="36">
        <f>(Inventory[[#This Row],[Adjusted Total]]-Inventory[[#This Row],[24Final]])/Inventory[[#This Row],[24Final]]</f>
        <v>6.387403446226976E-2</v>
      </c>
    </row>
    <row r="799" spans="1:73" x14ac:dyDescent="0.3">
      <c r="A799" s="25">
        <v>2025</v>
      </c>
      <c r="B799" s="26" t="s">
        <v>1827</v>
      </c>
      <c r="C799" s="26">
        <f>LN(Inventory[[#This Row],[Acres]])</f>
        <v>-1.2378743560016174</v>
      </c>
      <c r="D799" s="25">
        <v>0.28999999999999998</v>
      </c>
      <c r="E799" s="25">
        <v>12600</v>
      </c>
      <c r="F799" s="26" t="s">
        <v>537</v>
      </c>
      <c r="G799" s="26" t="s">
        <v>126</v>
      </c>
      <c r="H799" s="26" t="s">
        <v>349</v>
      </c>
      <c r="I799" s="26" t="s">
        <v>538</v>
      </c>
      <c r="J799" s="26" t="s">
        <v>539</v>
      </c>
      <c r="K799" s="26" t="s">
        <v>242</v>
      </c>
      <c r="L799" s="26" t="s">
        <v>351</v>
      </c>
      <c r="M799" s="26" t="s">
        <v>323</v>
      </c>
      <c r="N799" s="26">
        <v>80</v>
      </c>
      <c r="O799" s="26">
        <f>2024-Inventory[[#This Row],[YrBlt]]</f>
        <v>74</v>
      </c>
      <c r="P799" s="26">
        <f>2024-Inventory[[#This Row],[EffYr]]</f>
        <v>51</v>
      </c>
      <c r="Q799" s="25">
        <v>1950</v>
      </c>
      <c r="R799" s="25">
        <v>1973</v>
      </c>
      <c r="S799" s="25">
        <v>1656</v>
      </c>
      <c r="T799" s="27"/>
      <c r="U799" s="32">
        <v>893</v>
      </c>
      <c r="V799" s="32">
        <f>Inventory[[#This Row],[Bsmt]]-Inventory[[#This Row],[FnBsmt]]</f>
        <v>893</v>
      </c>
      <c r="W799" s="27"/>
      <c r="X799" s="27"/>
      <c r="Y799" s="27">
        <f>Inventory[[#This Row],[MainFn]]+Inventory[[#This Row],[UpprFn]]+Inventory[[#This Row],[FnBsmt]]+Inventory[[#This Row],[AddFn]]</f>
        <v>1656</v>
      </c>
      <c r="Z799" s="27">
        <v>2000</v>
      </c>
      <c r="AA799" s="25">
        <v>8</v>
      </c>
      <c r="AB799" s="31"/>
      <c r="AC799" s="27"/>
      <c r="AD799" s="32">
        <v>135</v>
      </c>
      <c r="AE799" s="27"/>
      <c r="AF799" s="27"/>
      <c r="AG799" s="27"/>
      <c r="AH799" s="27"/>
      <c r="AI799" s="25">
        <v>310923</v>
      </c>
      <c r="AJ799" s="25">
        <v>214537</v>
      </c>
      <c r="AK799" s="25">
        <v>0</v>
      </c>
      <c r="AL799" s="25">
        <v>339800</v>
      </c>
      <c r="AM799" s="25">
        <v>71400</v>
      </c>
      <c r="AN799" s="25">
        <v>268400</v>
      </c>
      <c r="AO799" s="25">
        <v>0</v>
      </c>
      <c r="AP799" s="25">
        <f>Lookups!$B$56*0</f>
        <v>0</v>
      </c>
      <c r="AQ799" s="25">
        <f>Lookups!$B$56*1</f>
        <v>89850.625589999996</v>
      </c>
      <c r="AR799" s="25">
        <f>Lookups!$B$57*Inventory[[#This Row],[LnAcres]]</f>
        <v>-39184.437074869042</v>
      </c>
      <c r="AS799" s="25">
        <f>VLOOKUP(Inventory[[#This Row],[Qlty]],Lookups!$A$62:$E$75,2,FALSE)</f>
        <v>21557.329055999999</v>
      </c>
      <c r="AT799" s="25">
        <f>VLOOKUP(Inventory[[#This Row],[Cnd]],Lookups!$A$76:$E$84,2,FALSE)</f>
        <v>160472.20319</v>
      </c>
      <c r="AU799" s="25">
        <f>Inventory[[#This Row],[EffAge]]*Lookups!$B$85</f>
        <v>-11375.3256255</v>
      </c>
      <c r="AV799" s="25">
        <f>Inventory[[#This Row],[MainFn]]*Lookups!$B$86</f>
        <v>81820.757316311996</v>
      </c>
      <c r="AW799" s="25">
        <f>Inventory[[#This Row],[UpprFn]]*Lookups!$B$87</f>
        <v>0</v>
      </c>
      <c r="AX799" s="25">
        <f>Inventory[[#This Row],[AddFn]]*Lookups!$B$88</f>
        <v>0</v>
      </c>
      <c r="AY799" s="25">
        <f>Inventory[[#This Row],[Bsmt]]*Lookups!$B$89</f>
        <v>25970.132455570998</v>
      </c>
      <c r="AZ799" s="25">
        <f>Inventory[[#This Row],[Fixtures]]*Lookups!$B$90</f>
        <v>30336.176841600001</v>
      </c>
      <c r="BA799" s="25">
        <f>Inventory[[#This Row],[WdDeck]]*Lookups!$B$91</f>
        <v>4494.8945622600004</v>
      </c>
      <c r="BB799" s="25">
        <f>ROUND(Inventory[[#This Row],[25Det]],-2)</f>
        <v>0</v>
      </c>
      <c r="BC799" s="25">
        <f>ROUND(SUM(Inventory[[#This Row],[Mdl Qlty]:[Mdl WdDeck]])+Inventory[[#This Row],[Mdl Res Intercept]],-2)</f>
        <v>313300</v>
      </c>
      <c r="BD799" s="25">
        <f>ROUND(Inventory[[#This Row],[Mdl Land Intercept]]+Inventory[[#This Row],[Mdl LnAcres]],-2)</f>
        <v>50700</v>
      </c>
      <c r="BE799" s="25">
        <f>Inventory[[#This Row],[Unadj Res Value]]+Inventory[[#This Row],[Unadj Det Value]]+Inventory[[#This Row],[Unadj Land Value]]</f>
        <v>364000</v>
      </c>
      <c r="BF799" s="36">
        <f>(Inventory[[#This Row],[Unadj Total Value]]-Inventory[[#This Row],[24Final]])/Inventory[[#This Row],[24Final]]</f>
        <v>7.1218363743378463E-2</v>
      </c>
      <c r="BG799" s="25">
        <f>VLOOKUP(Inventory[[#This Row],[Nbhd]],Lookups!$Q$2:$T$4,4,FALSE)</f>
        <v>0.99970000000000003</v>
      </c>
      <c r="BH799" s="25">
        <f>VLOOKUP(Inventory[[#This Row],[Qlty]],Lookups!$O$7:$R$21,4,FALSE)</f>
        <v>1.0067999999999999</v>
      </c>
      <c r="BI799" s="25">
        <f>VLOOKUP(Inventory[[#This Row],[Cnd]],Lookups!$T$7:$W$16,4,FALSE)</f>
        <v>0.99729999999999996</v>
      </c>
      <c r="BJ799" s="25">
        <f>VLOOKUP(Inventory[[#This Row],[LivArea Range]],Lookups!$T$25:$W$37,4,FALSE)</f>
        <v>1.0093000000000001</v>
      </c>
      <c r="BK799" s="25">
        <f>VLOOKUP(Inventory[[#This Row],[Decade]],Lookups!$O$25:$R$42,4,FALSE)</f>
        <v>0.995</v>
      </c>
      <c r="BL799" s="25">
        <f>Inventory[[#This Row],[Nbhd Adj]]*0.95</f>
        <v>0.94971499999999998</v>
      </c>
      <c r="BM799" s="25">
        <f>Inventory[[#This Row],[Nbhd Adj]]*Inventory[[#This Row],[Quality Adj]]*Inventory[[#This Row],[Condition Adj]]*Inventory[[#This Row],[Living Area Adj]]*Inventory[[#This Row],[Decade Adj]]*0.95</f>
        <v>0.957647495730095</v>
      </c>
      <c r="BN799" s="25">
        <f>ROUND(SUM(Inventory[[#This Row],[Mdl Qlty]:[Mdl WdDeck]])+Inventory[[#This Row],[Mdl Res Intercept]]*Inventory[[#This Row],[Res Adj ]],-2)</f>
        <v>313300</v>
      </c>
      <c r="BO799" s="25">
        <f>ROUND(Inventory[[#This Row],[25Det]]*Inventory[[#This Row],[Det/Nbhd Adj]],-2)</f>
        <v>0</v>
      </c>
      <c r="BP799" s="25">
        <f>Inventory[[#This Row],[Adjusted Res]]+Inventory[[#This Row],[Adj Det ]]</f>
        <v>313300</v>
      </c>
      <c r="BQ799" s="25">
        <f>ROUND((Inventory[[#This Row],[Mdl Land Intercept]]+Inventory[[#This Row],[Mdl LnAcres]])*Inventory[[#This Row],[Det/Nbhd Adj]],-2)</f>
        <v>48100</v>
      </c>
      <c r="BR799" s="25">
        <f>Inventory[[#This Row],[Adjusted Impr Total]]+Inventory[[#This Row],[Adjusted Land Total]]</f>
        <v>361400</v>
      </c>
      <c r="BS799" s="36">
        <f>IFERROR((Inventory[[#This Row],[Adjusted Impr Total]]-Inventory[[#This Row],[24Bldg]])/Inventory[[#This Row],[24Bldg]],0)</f>
        <v>0.16728763040238451</v>
      </c>
      <c r="BT799" s="36">
        <f>(Inventory[[#This Row],[Adjusted Land Total]]-Inventory[[#This Row],[24Lnd]])/Inventory[[#This Row],[24Lnd]]</f>
        <v>-0.32633053221288516</v>
      </c>
      <c r="BU799" s="36">
        <f>(Inventory[[#This Row],[Adjusted Total]]-Inventory[[#This Row],[24Final]])/Inventory[[#This Row],[24Final]]</f>
        <v>6.356680400235433E-2</v>
      </c>
    </row>
    <row r="800" spans="1:73" x14ac:dyDescent="0.3">
      <c r="A800" s="25">
        <v>2025</v>
      </c>
      <c r="B800" s="26" t="s">
        <v>948</v>
      </c>
      <c r="C800" s="26">
        <f>LN(Inventory[[#This Row],[Acres]])</f>
        <v>-1.6094379124341003</v>
      </c>
      <c r="D800" s="25">
        <v>0.2</v>
      </c>
      <c r="E800" s="25">
        <v>8616</v>
      </c>
      <c r="F800" s="26" t="s">
        <v>537</v>
      </c>
      <c r="G800" s="26" t="s">
        <v>126</v>
      </c>
      <c r="H800" s="26" t="s">
        <v>349</v>
      </c>
      <c r="I800" s="26" t="s">
        <v>538</v>
      </c>
      <c r="J800" s="26" t="s">
        <v>539</v>
      </c>
      <c r="K800" s="26" t="s">
        <v>241</v>
      </c>
      <c r="L800" s="26" t="s">
        <v>351</v>
      </c>
      <c r="M800" s="26" t="s">
        <v>323</v>
      </c>
      <c r="N800" s="26">
        <v>80</v>
      </c>
      <c r="O800" s="26">
        <f>2024-Inventory[[#This Row],[YrBlt]]</f>
        <v>74</v>
      </c>
      <c r="P800" s="26">
        <f>2024-Inventory[[#This Row],[EffYr]]</f>
        <v>51</v>
      </c>
      <c r="Q800" s="25">
        <v>1950</v>
      </c>
      <c r="R800" s="25">
        <v>1973</v>
      </c>
      <c r="S800" s="25">
        <v>1120</v>
      </c>
      <c r="T800" s="27"/>
      <c r="U800" s="32">
        <v>939</v>
      </c>
      <c r="V800" s="32">
        <f>Inventory[[#This Row],[Bsmt]]-Inventory[[#This Row],[FnBsmt]]</f>
        <v>739</v>
      </c>
      <c r="W800" s="32">
        <v>200</v>
      </c>
      <c r="X800" s="27"/>
      <c r="Y800" s="27">
        <f>Inventory[[#This Row],[MainFn]]+Inventory[[#This Row],[UpprFn]]+Inventory[[#This Row],[FnBsmt]]+Inventory[[#This Row],[AddFn]]</f>
        <v>1320</v>
      </c>
      <c r="Z800" s="27">
        <v>1500</v>
      </c>
      <c r="AA800" s="25">
        <v>5</v>
      </c>
      <c r="AB800" s="25">
        <v>384</v>
      </c>
      <c r="AC800" s="27"/>
      <c r="AD800" s="31"/>
      <c r="AE800" s="27"/>
      <c r="AF800" s="27"/>
      <c r="AG800" s="27"/>
      <c r="AH800" s="27"/>
      <c r="AI800" s="25">
        <v>250391</v>
      </c>
      <c r="AJ800" s="25">
        <v>172770</v>
      </c>
      <c r="AK800" s="25">
        <v>1247</v>
      </c>
      <c r="AL800" s="25">
        <v>292100</v>
      </c>
      <c r="AM800" s="25">
        <v>58400</v>
      </c>
      <c r="AN800" s="25">
        <v>233700</v>
      </c>
      <c r="AO800" s="25">
        <v>0</v>
      </c>
      <c r="AP800" s="25">
        <f>Lookups!$B$56*0</f>
        <v>0</v>
      </c>
      <c r="AQ800" s="25">
        <f>Lookups!$B$56*1</f>
        <v>89850.625589999996</v>
      </c>
      <c r="AR800" s="25">
        <f>Lookups!$B$57*Inventory[[#This Row],[LnAcres]]</f>
        <v>-50946.13867709865</v>
      </c>
      <c r="AS800" s="25">
        <f>VLOOKUP(Inventory[[#This Row],[Qlty]],Lookups!$A$62:$E$75,2,FALSE)</f>
        <v>21557.329055999999</v>
      </c>
      <c r="AT800" s="25">
        <f>VLOOKUP(Inventory[[#This Row],[Cnd]],Lookups!$A$76:$E$84,2,FALSE)</f>
        <v>160472.20319</v>
      </c>
      <c r="AU800" s="25">
        <f>Inventory[[#This Row],[EffAge]]*Lookups!$B$85</f>
        <v>-11375.3256255</v>
      </c>
      <c r="AV800" s="25">
        <f>Inventory[[#This Row],[MainFn]]*Lookups!$B$86</f>
        <v>55337.710262239998</v>
      </c>
      <c r="AW800" s="25">
        <f>Inventory[[#This Row],[UpprFn]]*Lookups!$B$87</f>
        <v>0</v>
      </c>
      <c r="AX800" s="25">
        <f>Inventory[[#This Row],[AddFn]]*Lookups!$B$88</f>
        <v>0</v>
      </c>
      <c r="AY800" s="25">
        <f>Inventory[[#This Row],[Bsmt]]*Lookups!$B$89</f>
        <v>27307.899636932998</v>
      </c>
      <c r="AZ800" s="25">
        <f>Inventory[[#This Row],[Fixtures]]*Lookups!$B$90</f>
        <v>18960.110526</v>
      </c>
      <c r="BA800" s="25">
        <f>Inventory[[#This Row],[WdDeck]]*Lookups!$B$91</f>
        <v>0</v>
      </c>
      <c r="BB800" s="25">
        <f>ROUND(Inventory[[#This Row],[25Det]],-2)</f>
        <v>1200</v>
      </c>
      <c r="BC800" s="25">
        <f>ROUND(SUM(Inventory[[#This Row],[Mdl Qlty]:[Mdl WdDeck]])+Inventory[[#This Row],[Mdl Res Intercept]],-2)</f>
        <v>272300</v>
      </c>
      <c r="BD800" s="25">
        <f>ROUND(Inventory[[#This Row],[Mdl Land Intercept]]+Inventory[[#This Row],[Mdl LnAcres]],-2)</f>
        <v>38900</v>
      </c>
      <c r="BE800" s="25">
        <f>Inventory[[#This Row],[Unadj Res Value]]+Inventory[[#This Row],[Unadj Det Value]]+Inventory[[#This Row],[Unadj Land Value]]</f>
        <v>312400</v>
      </c>
      <c r="BF800" s="36">
        <f>(Inventory[[#This Row],[Unadj Total Value]]-Inventory[[#This Row],[24Final]])/Inventory[[#This Row],[24Final]]</f>
        <v>6.9496747689147556E-2</v>
      </c>
      <c r="BG800" s="25">
        <f>VLOOKUP(Inventory[[#This Row],[Nbhd]],Lookups!$Q$2:$T$4,4,FALSE)</f>
        <v>0.99970000000000003</v>
      </c>
      <c r="BH800" s="25">
        <f>VLOOKUP(Inventory[[#This Row],[Qlty]],Lookups!$O$7:$R$21,4,FALSE)</f>
        <v>1.0067999999999999</v>
      </c>
      <c r="BI800" s="25">
        <f>VLOOKUP(Inventory[[#This Row],[Cnd]],Lookups!$T$7:$W$16,4,FALSE)</f>
        <v>0.99729999999999996</v>
      </c>
      <c r="BJ800" s="25">
        <f>VLOOKUP(Inventory[[#This Row],[LivArea Range]],Lookups!$T$25:$W$37,4,FALSE)</f>
        <v>1.0157</v>
      </c>
      <c r="BK800" s="25">
        <f>VLOOKUP(Inventory[[#This Row],[Decade]],Lookups!$O$25:$R$42,4,FALSE)</f>
        <v>0.995</v>
      </c>
      <c r="BL800" s="25">
        <f>Inventory[[#This Row],[Nbhd Adj]]*0.95</f>
        <v>0.94971499999999998</v>
      </c>
      <c r="BM800" s="25">
        <f>Inventory[[#This Row],[Nbhd Adj]]*Inventory[[#This Row],[Quality Adj]]*Inventory[[#This Row],[Condition Adj]]*Inventory[[#This Row],[Living Area Adj]]*Inventory[[#This Row],[Decade Adj]]*0.95</f>
        <v>0.96371996573175212</v>
      </c>
      <c r="BN800" s="25">
        <f>ROUND(SUM(Inventory[[#This Row],[Mdl Qlty]:[Mdl WdDeck]])+Inventory[[#This Row],[Mdl Res Intercept]]*Inventory[[#This Row],[Res Adj ]],-2)</f>
        <v>272300</v>
      </c>
      <c r="BO800" s="25">
        <f>ROUND(Inventory[[#This Row],[25Det]]*Inventory[[#This Row],[Det/Nbhd Adj]],-2)</f>
        <v>1200</v>
      </c>
      <c r="BP800" s="25">
        <f>Inventory[[#This Row],[Adjusted Res]]+Inventory[[#This Row],[Adj Det ]]</f>
        <v>273500</v>
      </c>
      <c r="BQ800" s="25">
        <f>ROUND((Inventory[[#This Row],[Mdl Land Intercept]]+Inventory[[#This Row],[Mdl LnAcres]])*Inventory[[#This Row],[Det/Nbhd Adj]],-2)</f>
        <v>36900</v>
      </c>
      <c r="BR800" s="25">
        <f>Inventory[[#This Row],[Adjusted Impr Total]]+Inventory[[#This Row],[Adjusted Land Total]]</f>
        <v>310400</v>
      </c>
      <c r="BS800" s="36">
        <f>IFERROR((Inventory[[#This Row],[Adjusted Impr Total]]-Inventory[[#This Row],[24Bldg]])/Inventory[[#This Row],[24Bldg]],0)</f>
        <v>0.17030380830124089</v>
      </c>
      <c r="BT800" s="36">
        <f>(Inventory[[#This Row],[Adjusted Land Total]]-Inventory[[#This Row],[24Lnd]])/Inventory[[#This Row],[24Lnd]]</f>
        <v>-0.36815068493150682</v>
      </c>
      <c r="BU800" s="36">
        <f>(Inventory[[#This Row],[Adjusted Total]]-Inventory[[#This Row],[24Final]])/Inventory[[#This Row],[24Final]]</f>
        <v>6.2649777473467991E-2</v>
      </c>
    </row>
    <row r="801" spans="1:73" x14ac:dyDescent="0.3">
      <c r="A801" s="25">
        <v>2025</v>
      </c>
      <c r="B801" s="26" t="s">
        <v>763</v>
      </c>
      <c r="C801" s="26">
        <f>LN(Inventory[[#This Row],[Acres]])</f>
        <v>-1.6094379124341003</v>
      </c>
      <c r="D801" s="25">
        <v>0.2</v>
      </c>
      <c r="E801" s="25">
        <v>8670</v>
      </c>
      <c r="F801" s="26" t="s">
        <v>537</v>
      </c>
      <c r="G801" s="26" t="s">
        <v>126</v>
      </c>
      <c r="H801" s="26" t="s">
        <v>349</v>
      </c>
      <c r="I801" s="26" t="s">
        <v>538</v>
      </c>
      <c r="J801" s="26" t="s">
        <v>638</v>
      </c>
      <c r="K801" s="26" t="s">
        <v>241</v>
      </c>
      <c r="L801" s="26" t="s">
        <v>351</v>
      </c>
      <c r="M801" s="26" t="s">
        <v>323</v>
      </c>
      <c r="N801" s="26">
        <v>80</v>
      </c>
      <c r="O801" s="26">
        <f>2024-Inventory[[#This Row],[YrBlt]]</f>
        <v>74</v>
      </c>
      <c r="P801" s="26">
        <f>2024-Inventory[[#This Row],[EffYr]]</f>
        <v>51</v>
      </c>
      <c r="Q801" s="25">
        <v>1950</v>
      </c>
      <c r="R801" s="25">
        <v>1973</v>
      </c>
      <c r="S801" s="25">
        <v>1132</v>
      </c>
      <c r="T801" s="27"/>
      <c r="U801" s="25">
        <v>1132</v>
      </c>
      <c r="V801" s="25">
        <f>Inventory[[#This Row],[Bsmt]]-Inventory[[#This Row],[FnBsmt]]</f>
        <v>632</v>
      </c>
      <c r="W801" s="25">
        <v>500</v>
      </c>
      <c r="X801" s="27"/>
      <c r="Y801" s="27">
        <f>Inventory[[#This Row],[MainFn]]+Inventory[[#This Row],[UpprFn]]+Inventory[[#This Row],[FnBsmt]]+Inventory[[#This Row],[AddFn]]</f>
        <v>1632</v>
      </c>
      <c r="Z801" s="27">
        <v>2000</v>
      </c>
      <c r="AA801" s="25">
        <v>5</v>
      </c>
      <c r="AB801" s="25">
        <v>240</v>
      </c>
      <c r="AC801" s="27"/>
      <c r="AD801" s="32">
        <v>140</v>
      </c>
      <c r="AE801" s="27"/>
      <c r="AF801" s="27"/>
      <c r="AG801" s="27"/>
      <c r="AH801" s="27"/>
      <c r="AI801" s="25">
        <v>267296</v>
      </c>
      <c r="AJ801" s="25">
        <v>184434</v>
      </c>
      <c r="AK801" s="25">
        <v>0</v>
      </c>
      <c r="AL801" s="25">
        <v>301300</v>
      </c>
      <c r="AM801" s="25">
        <v>58400</v>
      </c>
      <c r="AN801" s="25">
        <v>242900</v>
      </c>
      <c r="AO801" s="25">
        <v>0</v>
      </c>
      <c r="AP801" s="25">
        <f>Lookups!$B$56*0</f>
        <v>0</v>
      </c>
      <c r="AQ801" s="25">
        <f>Lookups!$B$56*1</f>
        <v>89850.625589999996</v>
      </c>
      <c r="AR801" s="25">
        <f>Lookups!$B$57*Inventory[[#This Row],[LnAcres]]</f>
        <v>-50946.13867709865</v>
      </c>
      <c r="AS801" s="25">
        <f>VLOOKUP(Inventory[[#This Row],[Qlty]],Lookups!$A$62:$E$75,2,FALSE)</f>
        <v>21557.329055999999</v>
      </c>
      <c r="AT801" s="25">
        <f>VLOOKUP(Inventory[[#This Row],[Cnd]],Lookups!$A$76:$E$84,2,FALSE)</f>
        <v>160472.20319</v>
      </c>
      <c r="AU801" s="25">
        <f>Inventory[[#This Row],[EffAge]]*Lookups!$B$85</f>
        <v>-11375.3256255</v>
      </c>
      <c r="AV801" s="25">
        <f>Inventory[[#This Row],[MainFn]]*Lookups!$B$86</f>
        <v>55930.614300763998</v>
      </c>
      <c r="AW801" s="25">
        <f>Inventory[[#This Row],[UpprFn]]*Lookups!$B$87</f>
        <v>0</v>
      </c>
      <c r="AX801" s="25">
        <f>Inventory[[#This Row],[AddFn]]*Lookups!$B$88</f>
        <v>0</v>
      </c>
      <c r="AY801" s="25">
        <f>Inventory[[#This Row],[Bsmt]]*Lookups!$B$89</f>
        <v>32920.705419603997</v>
      </c>
      <c r="AZ801" s="25">
        <f>Inventory[[#This Row],[Fixtures]]*Lookups!$B$90</f>
        <v>18960.110526</v>
      </c>
      <c r="BA801" s="25">
        <f>Inventory[[#This Row],[WdDeck]]*Lookups!$B$91</f>
        <v>4661.3721386400002</v>
      </c>
      <c r="BB801" s="25">
        <f>ROUND(Inventory[[#This Row],[25Det]],-2)</f>
        <v>0</v>
      </c>
      <c r="BC801" s="25">
        <f>ROUND(SUM(Inventory[[#This Row],[Mdl Qlty]:[Mdl WdDeck]])+Inventory[[#This Row],[Mdl Res Intercept]],-2)</f>
        <v>283100</v>
      </c>
      <c r="BD801" s="25">
        <f>ROUND(Inventory[[#This Row],[Mdl Land Intercept]]+Inventory[[#This Row],[Mdl LnAcres]],-2)</f>
        <v>38900</v>
      </c>
      <c r="BE801" s="25">
        <f>Inventory[[#This Row],[Unadj Res Value]]+Inventory[[#This Row],[Unadj Det Value]]+Inventory[[#This Row],[Unadj Land Value]]</f>
        <v>322000</v>
      </c>
      <c r="BF801" s="36">
        <f>(Inventory[[#This Row],[Unadj Total Value]]-Inventory[[#This Row],[24Final]])/Inventory[[#This Row],[24Final]]</f>
        <v>6.8702290076335881E-2</v>
      </c>
      <c r="BG801" s="25">
        <f>VLOOKUP(Inventory[[#This Row],[Nbhd]],Lookups!$Q$2:$T$4,4,FALSE)</f>
        <v>0.99970000000000003</v>
      </c>
      <c r="BH801" s="25">
        <f>VLOOKUP(Inventory[[#This Row],[Qlty]],Lookups!$O$7:$R$21,4,FALSE)</f>
        <v>1.0067999999999999</v>
      </c>
      <c r="BI801" s="25">
        <f>VLOOKUP(Inventory[[#This Row],[Cnd]],Lookups!$T$7:$W$16,4,FALSE)</f>
        <v>0.99729999999999996</v>
      </c>
      <c r="BJ801" s="25">
        <f>VLOOKUP(Inventory[[#This Row],[LivArea Range]],Lookups!$T$25:$W$37,4,FALSE)</f>
        <v>1.0093000000000001</v>
      </c>
      <c r="BK801" s="25">
        <f>VLOOKUP(Inventory[[#This Row],[Decade]],Lookups!$O$25:$R$42,4,FALSE)</f>
        <v>0.995</v>
      </c>
      <c r="BL801" s="25">
        <f>Inventory[[#This Row],[Nbhd Adj]]*0.95</f>
        <v>0.94971499999999998</v>
      </c>
      <c r="BM801" s="25">
        <f>Inventory[[#This Row],[Nbhd Adj]]*Inventory[[#This Row],[Quality Adj]]*Inventory[[#This Row],[Condition Adj]]*Inventory[[#This Row],[Living Area Adj]]*Inventory[[#This Row],[Decade Adj]]*0.95</f>
        <v>0.957647495730095</v>
      </c>
      <c r="BN801" s="25">
        <f>ROUND(SUM(Inventory[[#This Row],[Mdl Qlty]:[Mdl WdDeck]])+Inventory[[#This Row],[Mdl Res Intercept]]*Inventory[[#This Row],[Res Adj ]],-2)</f>
        <v>283100</v>
      </c>
      <c r="BO801" s="25">
        <f>ROUND(Inventory[[#This Row],[25Det]]*Inventory[[#This Row],[Det/Nbhd Adj]],-2)</f>
        <v>0</v>
      </c>
      <c r="BP801" s="25">
        <f>Inventory[[#This Row],[Adjusted Res]]+Inventory[[#This Row],[Adj Det ]]</f>
        <v>283100</v>
      </c>
      <c r="BQ801" s="25">
        <f>ROUND((Inventory[[#This Row],[Mdl Land Intercept]]+Inventory[[#This Row],[Mdl LnAcres]])*Inventory[[#This Row],[Det/Nbhd Adj]],-2)</f>
        <v>36900</v>
      </c>
      <c r="BR801" s="25">
        <f>Inventory[[#This Row],[Adjusted Impr Total]]+Inventory[[#This Row],[Adjusted Land Total]]</f>
        <v>320000</v>
      </c>
      <c r="BS801" s="36">
        <f>IFERROR((Inventory[[#This Row],[Adjusted Impr Total]]-Inventory[[#This Row],[24Bldg]])/Inventory[[#This Row],[24Bldg]],0)</f>
        <v>0.16550020584602718</v>
      </c>
      <c r="BT801" s="36">
        <f>(Inventory[[#This Row],[Adjusted Land Total]]-Inventory[[#This Row],[24Lnd]])/Inventory[[#This Row],[24Lnd]]</f>
        <v>-0.36815068493150682</v>
      </c>
      <c r="BU801" s="36">
        <f>(Inventory[[#This Row],[Adjusted Total]]-Inventory[[#This Row],[24Final]])/Inventory[[#This Row],[24Final]]</f>
        <v>6.2064387653501495E-2</v>
      </c>
    </row>
    <row r="802" spans="1:73" x14ac:dyDescent="0.3">
      <c r="A802" s="25">
        <v>2025</v>
      </c>
      <c r="B802" s="26" t="s">
        <v>1502</v>
      </c>
      <c r="C802" s="26">
        <f>LN(Inventory[[#This Row],[Acres]])</f>
        <v>-1.3862943611198906</v>
      </c>
      <c r="D802" s="25">
        <v>0.25</v>
      </c>
      <c r="E802" s="25">
        <v>10817</v>
      </c>
      <c r="F802" s="26" t="s">
        <v>537</v>
      </c>
      <c r="G802" s="26" t="s">
        <v>126</v>
      </c>
      <c r="H802" s="26" t="s">
        <v>349</v>
      </c>
      <c r="I802" s="26" t="s">
        <v>538</v>
      </c>
      <c r="J802" s="26" t="s">
        <v>539</v>
      </c>
      <c r="K802" s="26" t="s">
        <v>242</v>
      </c>
      <c r="L802" s="26" t="s">
        <v>148</v>
      </c>
      <c r="M802" s="26" t="s">
        <v>323</v>
      </c>
      <c r="N802" s="26">
        <v>80</v>
      </c>
      <c r="O802" s="26">
        <f>2024-Inventory[[#This Row],[YrBlt]]</f>
        <v>74</v>
      </c>
      <c r="P802" s="26">
        <f>2024-Inventory[[#This Row],[EffYr]]</f>
        <v>51</v>
      </c>
      <c r="Q802" s="25">
        <v>1950</v>
      </c>
      <c r="R802" s="25">
        <v>1973</v>
      </c>
      <c r="S802" s="25">
        <v>1164</v>
      </c>
      <c r="T802" s="27"/>
      <c r="U802" s="25">
        <v>1164</v>
      </c>
      <c r="V802" s="25">
        <f>Inventory[[#This Row],[Bsmt]]-Inventory[[#This Row],[FnBsmt]]</f>
        <v>582</v>
      </c>
      <c r="W802" s="25">
        <v>582</v>
      </c>
      <c r="X802" s="27"/>
      <c r="Y802" s="27">
        <f>Inventory[[#This Row],[MainFn]]+Inventory[[#This Row],[UpprFn]]+Inventory[[#This Row],[FnBsmt]]+Inventory[[#This Row],[AddFn]]</f>
        <v>1746</v>
      </c>
      <c r="Z802" s="27">
        <v>2000</v>
      </c>
      <c r="AA802" s="25">
        <v>7</v>
      </c>
      <c r="AB802" s="32">
        <v>242</v>
      </c>
      <c r="AC802" s="27"/>
      <c r="AD802" s="32">
        <v>160</v>
      </c>
      <c r="AE802" s="27"/>
      <c r="AF802" s="27"/>
      <c r="AG802" s="27"/>
      <c r="AH802" s="27"/>
      <c r="AI802" s="25">
        <v>379619</v>
      </c>
      <c r="AJ802" s="25">
        <v>261937</v>
      </c>
      <c r="AK802" s="25">
        <v>0</v>
      </c>
      <c r="AL802" s="25">
        <v>339300</v>
      </c>
      <c r="AM802" s="25">
        <v>66200</v>
      </c>
      <c r="AN802" s="25">
        <v>273100</v>
      </c>
      <c r="AO802" s="25">
        <v>0</v>
      </c>
      <c r="AP802" s="25">
        <f>Lookups!$B$56*0</f>
        <v>0</v>
      </c>
      <c r="AQ802" s="25">
        <f>Lookups!$B$56*1</f>
        <v>89850.625589999996</v>
      </c>
      <c r="AR802" s="25">
        <f>Lookups!$B$57*Inventory[[#This Row],[LnAcres]]</f>
        <v>-43882.615305165229</v>
      </c>
      <c r="AS802" s="25">
        <f>VLOOKUP(Inventory[[#This Row],[Qlty]],Lookups!$A$62:$E$75,2,FALSE)</f>
        <v>44121.038090000002</v>
      </c>
      <c r="AT802" s="25">
        <f>VLOOKUP(Inventory[[#This Row],[Cnd]],Lookups!$A$76:$E$84,2,FALSE)</f>
        <v>160472.20319</v>
      </c>
      <c r="AU802" s="25">
        <f>Inventory[[#This Row],[EffAge]]*Lookups!$B$85</f>
        <v>-11375.3256255</v>
      </c>
      <c r="AV802" s="25">
        <f>Inventory[[#This Row],[MainFn]]*Lookups!$B$86</f>
        <v>57511.691736828005</v>
      </c>
      <c r="AW802" s="25">
        <f>Inventory[[#This Row],[UpprFn]]*Lookups!$B$87</f>
        <v>0</v>
      </c>
      <c r="AX802" s="25">
        <f>Inventory[[#This Row],[AddFn]]*Lookups!$B$88</f>
        <v>0</v>
      </c>
      <c r="AY802" s="25">
        <f>Inventory[[#This Row],[Bsmt]]*Lookups!$B$89</f>
        <v>33851.326067508002</v>
      </c>
      <c r="AZ802" s="25">
        <f>Inventory[[#This Row],[Fixtures]]*Lookups!$B$90</f>
        <v>26544.1547364</v>
      </c>
      <c r="BA802" s="25">
        <f>Inventory[[#This Row],[WdDeck]]*Lookups!$B$91</f>
        <v>5327.2824441600005</v>
      </c>
      <c r="BB802" s="25">
        <f>ROUND(Inventory[[#This Row],[25Det]],-2)</f>
        <v>0</v>
      </c>
      <c r="BC802" s="25">
        <f>ROUND(SUM(Inventory[[#This Row],[Mdl Qlty]:[Mdl WdDeck]])+Inventory[[#This Row],[Mdl Res Intercept]],-2)</f>
        <v>316500</v>
      </c>
      <c r="BD802" s="25">
        <f>ROUND(Inventory[[#This Row],[Mdl Land Intercept]]+Inventory[[#This Row],[Mdl LnAcres]],-2)</f>
        <v>46000</v>
      </c>
      <c r="BE802" s="25">
        <f>Inventory[[#This Row],[Unadj Res Value]]+Inventory[[#This Row],[Unadj Det Value]]+Inventory[[#This Row],[Unadj Land Value]]</f>
        <v>362500</v>
      </c>
      <c r="BF802" s="36">
        <f>(Inventory[[#This Row],[Unadj Total Value]]-Inventory[[#This Row],[24Final]])/Inventory[[#This Row],[24Final]]</f>
        <v>6.8376068376068383E-2</v>
      </c>
      <c r="BG802" s="25">
        <f>VLOOKUP(Inventory[[#This Row],[Nbhd]],Lookups!$Q$2:$T$4,4,FALSE)</f>
        <v>0.99970000000000003</v>
      </c>
      <c r="BH802" s="25">
        <f>VLOOKUP(Inventory[[#This Row],[Qlty]],Lookups!$O$7:$R$21,4,FALSE)</f>
        <v>0.98050000000000004</v>
      </c>
      <c r="BI802" s="25">
        <f>VLOOKUP(Inventory[[#This Row],[Cnd]],Lookups!$T$7:$W$16,4,FALSE)</f>
        <v>0.99729999999999996</v>
      </c>
      <c r="BJ802" s="25">
        <f>VLOOKUP(Inventory[[#This Row],[LivArea Range]],Lookups!$T$25:$W$37,4,FALSE)</f>
        <v>1.0093000000000001</v>
      </c>
      <c r="BK802" s="25">
        <f>VLOOKUP(Inventory[[#This Row],[Decade]],Lookups!$O$25:$R$42,4,FALSE)</f>
        <v>0.995</v>
      </c>
      <c r="BL802" s="25">
        <f>Inventory[[#This Row],[Nbhd Adj]]*0.95</f>
        <v>0.94971499999999998</v>
      </c>
      <c r="BM802" s="25">
        <f>Inventory[[#This Row],[Nbhd Adj]]*Inventory[[#This Row],[Quality Adj]]*Inventory[[#This Row],[Condition Adj]]*Inventory[[#This Row],[Living Area Adj]]*Inventory[[#This Row],[Decade Adj]]*0.95</f>
        <v>0.93263147552975589</v>
      </c>
      <c r="BN802" s="25">
        <f>ROUND(SUM(Inventory[[#This Row],[Mdl Qlty]:[Mdl WdDeck]])+Inventory[[#This Row],[Mdl Res Intercept]]*Inventory[[#This Row],[Res Adj ]],-2)</f>
        <v>316500</v>
      </c>
      <c r="BO802" s="25">
        <f>ROUND(Inventory[[#This Row],[25Det]]*Inventory[[#This Row],[Det/Nbhd Adj]],-2)</f>
        <v>0</v>
      </c>
      <c r="BP802" s="25">
        <f>Inventory[[#This Row],[Adjusted Res]]+Inventory[[#This Row],[Adj Det ]]</f>
        <v>316500</v>
      </c>
      <c r="BQ802" s="25">
        <f>ROUND((Inventory[[#This Row],[Mdl Land Intercept]]+Inventory[[#This Row],[Mdl LnAcres]])*Inventory[[#This Row],[Det/Nbhd Adj]],-2)</f>
        <v>43700</v>
      </c>
      <c r="BR802" s="25">
        <f>Inventory[[#This Row],[Adjusted Impr Total]]+Inventory[[#This Row],[Adjusted Land Total]]</f>
        <v>360200</v>
      </c>
      <c r="BS802" s="36">
        <f>IFERROR((Inventory[[#This Row],[Adjusted Impr Total]]-Inventory[[#This Row],[24Bldg]])/Inventory[[#This Row],[24Bldg]],0)</f>
        <v>0.15891614793116074</v>
      </c>
      <c r="BT802" s="36">
        <f>(Inventory[[#This Row],[Adjusted Land Total]]-Inventory[[#This Row],[24Lnd]])/Inventory[[#This Row],[24Lnd]]</f>
        <v>-0.33987915407854985</v>
      </c>
      <c r="BU802" s="36">
        <f>(Inventory[[#This Row],[Adjusted Total]]-Inventory[[#This Row],[24Final]])/Inventory[[#This Row],[24Final]]</f>
        <v>6.1597406424992632E-2</v>
      </c>
    </row>
    <row r="803" spans="1:73" x14ac:dyDescent="0.3">
      <c r="A803" s="25">
        <v>2025</v>
      </c>
      <c r="B803" s="26" t="s">
        <v>779</v>
      </c>
      <c r="C803" s="26">
        <f>LN(Inventory[[#This Row],[Acres]])</f>
        <v>-1.6607312068216509</v>
      </c>
      <c r="D803" s="25">
        <v>0.19</v>
      </c>
      <c r="E803" s="25">
        <v>8060</v>
      </c>
      <c r="F803" s="26" t="s">
        <v>537</v>
      </c>
      <c r="G803" s="26" t="s">
        <v>126</v>
      </c>
      <c r="H803" s="26" t="s">
        <v>349</v>
      </c>
      <c r="I803" s="26" t="s">
        <v>538</v>
      </c>
      <c r="J803" s="26" t="s">
        <v>539</v>
      </c>
      <c r="K803" s="26" t="s">
        <v>242</v>
      </c>
      <c r="L803" s="26" t="s">
        <v>351</v>
      </c>
      <c r="M803" s="26" t="s">
        <v>303</v>
      </c>
      <c r="N803" s="26">
        <v>80</v>
      </c>
      <c r="O803" s="26">
        <f>2024-Inventory[[#This Row],[YrBlt]]</f>
        <v>74</v>
      </c>
      <c r="P803" s="26">
        <f>2024-Inventory[[#This Row],[EffYr]]</f>
        <v>51</v>
      </c>
      <c r="Q803" s="25">
        <v>1950</v>
      </c>
      <c r="R803" s="25">
        <v>1973</v>
      </c>
      <c r="S803" s="25">
        <v>832</v>
      </c>
      <c r="T803" s="27"/>
      <c r="U803" s="25">
        <v>832</v>
      </c>
      <c r="V803" s="25">
        <f>Inventory[[#This Row],[Bsmt]]-Inventory[[#This Row],[FnBsmt]]</f>
        <v>0</v>
      </c>
      <c r="W803" s="25">
        <v>832</v>
      </c>
      <c r="X803" s="27"/>
      <c r="Y803" s="27">
        <f>Inventory[[#This Row],[MainFn]]+Inventory[[#This Row],[UpprFn]]+Inventory[[#This Row],[FnBsmt]]+Inventory[[#This Row],[AddFn]]</f>
        <v>1664</v>
      </c>
      <c r="Z803" s="27">
        <v>2000</v>
      </c>
      <c r="AA803" s="25">
        <v>7</v>
      </c>
      <c r="AB803" s="31"/>
      <c r="AC803" s="27"/>
      <c r="AD803" s="27"/>
      <c r="AE803" s="27"/>
      <c r="AF803" s="27"/>
      <c r="AG803" s="27"/>
      <c r="AH803" s="27"/>
      <c r="AI803" s="25">
        <v>239832</v>
      </c>
      <c r="AJ803" s="25">
        <v>170281</v>
      </c>
      <c r="AK803" s="25">
        <v>6050</v>
      </c>
      <c r="AL803" s="25">
        <v>321400</v>
      </c>
      <c r="AM803" s="25">
        <v>56600</v>
      </c>
      <c r="AN803" s="25">
        <v>264800</v>
      </c>
      <c r="AO803" s="25">
        <v>0</v>
      </c>
      <c r="AP803" s="25">
        <f>Lookups!$B$56*0</f>
        <v>0</v>
      </c>
      <c r="AQ803" s="25">
        <f>Lookups!$B$56*1</f>
        <v>89850.625589999996</v>
      </c>
      <c r="AR803" s="25">
        <f>Lookups!$B$57*Inventory[[#This Row],[LnAcres]]</f>
        <v>-52569.808201026557</v>
      </c>
      <c r="AS803" s="25">
        <f>VLOOKUP(Inventory[[#This Row],[Qlty]],Lookups!$A$62:$E$75,2,FALSE)</f>
        <v>21557.329055999999</v>
      </c>
      <c r="AT803" s="25">
        <f>VLOOKUP(Inventory[[#This Row],[Cnd]],Lookups!$A$76:$E$84,2,FALSE)</f>
        <v>197752.34721000001</v>
      </c>
      <c r="AU803" s="25">
        <f>Inventory[[#This Row],[EffAge]]*Lookups!$B$85</f>
        <v>-11375.3256255</v>
      </c>
      <c r="AV803" s="25">
        <f>Inventory[[#This Row],[MainFn]]*Lookups!$B$86</f>
        <v>41108.013337664001</v>
      </c>
      <c r="AW803" s="25">
        <f>Inventory[[#This Row],[UpprFn]]*Lookups!$B$87</f>
        <v>0</v>
      </c>
      <c r="AX803" s="25">
        <f>Inventory[[#This Row],[AddFn]]*Lookups!$B$88</f>
        <v>0</v>
      </c>
      <c r="AY803" s="25">
        <f>Inventory[[#This Row],[Bsmt]]*Lookups!$B$89</f>
        <v>24196.136845503999</v>
      </c>
      <c r="AZ803" s="25">
        <f>Inventory[[#This Row],[Fixtures]]*Lookups!$B$90</f>
        <v>26544.1547364</v>
      </c>
      <c r="BA803" s="25">
        <f>Inventory[[#This Row],[WdDeck]]*Lookups!$B$91</f>
        <v>0</v>
      </c>
      <c r="BB803" s="25">
        <f>ROUND(Inventory[[#This Row],[25Det]],-2)</f>
        <v>6100</v>
      </c>
      <c r="BC803" s="25">
        <f>ROUND(SUM(Inventory[[#This Row],[Mdl Qlty]:[Mdl WdDeck]])+Inventory[[#This Row],[Mdl Res Intercept]],-2)</f>
        <v>299800</v>
      </c>
      <c r="BD803" s="25">
        <f>ROUND(Inventory[[#This Row],[Mdl Land Intercept]]+Inventory[[#This Row],[Mdl LnAcres]],-2)</f>
        <v>37300</v>
      </c>
      <c r="BE803" s="25">
        <f>Inventory[[#This Row],[Unadj Res Value]]+Inventory[[#This Row],[Unadj Det Value]]+Inventory[[#This Row],[Unadj Land Value]]</f>
        <v>343200</v>
      </c>
      <c r="BF803" s="36">
        <f>(Inventory[[#This Row],[Unadj Total Value]]-Inventory[[#This Row],[24Final]])/Inventory[[#This Row],[24Final]]</f>
        <v>6.7828251400124454E-2</v>
      </c>
      <c r="BG803" s="25">
        <f>VLOOKUP(Inventory[[#This Row],[Nbhd]],Lookups!$Q$2:$T$4,4,FALSE)</f>
        <v>0.99970000000000003</v>
      </c>
      <c r="BH803" s="25">
        <f>VLOOKUP(Inventory[[#This Row],[Qlty]],Lookups!$O$7:$R$21,4,FALSE)</f>
        <v>1.0067999999999999</v>
      </c>
      <c r="BI803" s="25">
        <f>VLOOKUP(Inventory[[#This Row],[Cnd]],Lookups!$T$7:$W$16,4,FALSE)</f>
        <v>0.99650000000000005</v>
      </c>
      <c r="BJ803" s="25">
        <f>VLOOKUP(Inventory[[#This Row],[LivArea Range]],Lookups!$T$25:$W$37,4,FALSE)</f>
        <v>1.0093000000000001</v>
      </c>
      <c r="BK803" s="25">
        <f>VLOOKUP(Inventory[[#This Row],[Decade]],Lookups!$O$25:$R$42,4,FALSE)</f>
        <v>0.995</v>
      </c>
      <c r="BL803" s="25">
        <f>Inventory[[#This Row],[Nbhd Adj]]*0.95</f>
        <v>0.94971499999999998</v>
      </c>
      <c r="BM803" s="25">
        <f>Inventory[[#This Row],[Nbhd Adj]]*Inventory[[#This Row],[Quality Adj]]*Inventory[[#This Row],[Condition Adj]]*Inventory[[#This Row],[Living Area Adj]]*Inventory[[#This Row],[Decade Adj]]*0.95</f>
        <v>0.95687930361479956</v>
      </c>
      <c r="BN803" s="25">
        <f>ROUND(SUM(Inventory[[#This Row],[Mdl Qlty]:[Mdl WdDeck]])+Inventory[[#This Row],[Mdl Res Intercept]]*Inventory[[#This Row],[Res Adj ]],-2)</f>
        <v>299800</v>
      </c>
      <c r="BO803" s="25">
        <f>ROUND(Inventory[[#This Row],[25Det]]*Inventory[[#This Row],[Det/Nbhd Adj]],-2)</f>
        <v>5700</v>
      </c>
      <c r="BP803" s="25">
        <f>Inventory[[#This Row],[Adjusted Res]]+Inventory[[#This Row],[Adj Det ]]</f>
        <v>305500</v>
      </c>
      <c r="BQ803" s="25">
        <f>ROUND((Inventory[[#This Row],[Mdl Land Intercept]]+Inventory[[#This Row],[Mdl LnAcres]])*Inventory[[#This Row],[Det/Nbhd Adj]],-2)</f>
        <v>35400</v>
      </c>
      <c r="BR803" s="25">
        <f>Inventory[[#This Row],[Adjusted Impr Total]]+Inventory[[#This Row],[Adjusted Land Total]]</f>
        <v>340900</v>
      </c>
      <c r="BS803" s="36">
        <f>IFERROR((Inventory[[#This Row],[Adjusted Impr Total]]-Inventory[[#This Row],[24Bldg]])/Inventory[[#This Row],[24Bldg]],0)</f>
        <v>0.15370090634441089</v>
      </c>
      <c r="BT803" s="36">
        <f>(Inventory[[#This Row],[Adjusted Land Total]]-Inventory[[#This Row],[24Lnd]])/Inventory[[#This Row],[24Lnd]]</f>
        <v>-0.37455830388692579</v>
      </c>
      <c r="BU803" s="36">
        <f>(Inventory[[#This Row],[Adjusted Total]]-Inventory[[#This Row],[24Final]])/Inventory[[#This Row],[24Final]]</f>
        <v>6.0672059738643432E-2</v>
      </c>
    </row>
    <row r="804" spans="1:73" x14ac:dyDescent="0.3">
      <c r="A804" s="25">
        <v>2025</v>
      </c>
      <c r="B804" s="26" t="s">
        <v>1389</v>
      </c>
      <c r="C804" s="26">
        <f>LN(Inventory[[#This Row],[Acres]])</f>
        <v>-2.0402208285265546</v>
      </c>
      <c r="D804" s="25">
        <v>0.13</v>
      </c>
      <c r="E804" s="25">
        <v>5512</v>
      </c>
      <c r="F804" s="26" t="s">
        <v>537</v>
      </c>
      <c r="G804" s="26" t="s">
        <v>126</v>
      </c>
      <c r="H804" s="26" t="s">
        <v>349</v>
      </c>
      <c r="I804" s="26" t="s">
        <v>538</v>
      </c>
      <c r="J804" s="26" t="s">
        <v>539</v>
      </c>
      <c r="K804" s="26" t="s">
        <v>269</v>
      </c>
      <c r="L804" s="26" t="s">
        <v>205</v>
      </c>
      <c r="M804" s="26" t="s">
        <v>206</v>
      </c>
      <c r="N804" s="26">
        <v>80</v>
      </c>
      <c r="O804" s="26">
        <f>2024-Inventory[[#This Row],[YrBlt]]</f>
        <v>74</v>
      </c>
      <c r="P804" s="26">
        <f>2024-Inventory[[#This Row],[EffYr]]</f>
        <v>51</v>
      </c>
      <c r="Q804" s="25">
        <v>1950</v>
      </c>
      <c r="R804" s="25">
        <v>1973</v>
      </c>
      <c r="S804" s="25">
        <v>1120</v>
      </c>
      <c r="T804" s="27"/>
      <c r="U804" s="25">
        <v>1129</v>
      </c>
      <c r="V804" s="25">
        <f>Inventory[[#This Row],[Bsmt]]-Inventory[[#This Row],[FnBsmt]]</f>
        <v>629</v>
      </c>
      <c r="W804" s="25">
        <v>500</v>
      </c>
      <c r="X804" s="27"/>
      <c r="Y804" s="27">
        <f>Inventory[[#This Row],[MainFn]]+Inventory[[#This Row],[UpprFn]]+Inventory[[#This Row],[FnBsmt]]+Inventory[[#This Row],[AddFn]]</f>
        <v>1620</v>
      </c>
      <c r="Z804" s="27">
        <v>2000</v>
      </c>
      <c r="AA804" s="25">
        <v>5</v>
      </c>
      <c r="AB804" s="27"/>
      <c r="AC804" s="27"/>
      <c r="AD804" s="31"/>
      <c r="AE804" s="27"/>
      <c r="AF804" s="27"/>
      <c r="AG804" s="27"/>
      <c r="AH804" s="27"/>
      <c r="AI804" s="25">
        <v>226772</v>
      </c>
      <c r="AJ804" s="25">
        <v>151937</v>
      </c>
      <c r="AK804" s="25">
        <v>15153</v>
      </c>
      <c r="AL804" s="25">
        <v>252900</v>
      </c>
      <c r="AM804" s="25">
        <v>43400</v>
      </c>
      <c r="AN804" s="25">
        <v>209500</v>
      </c>
      <c r="AO804" s="25">
        <v>0</v>
      </c>
      <c r="AP804" s="25">
        <f>Lookups!$B$56*0</f>
        <v>0</v>
      </c>
      <c r="AQ804" s="25">
        <f>Lookups!$B$56*1</f>
        <v>89850.625589999996</v>
      </c>
      <c r="AR804" s="25">
        <f>Lookups!$B$57*Inventory[[#This Row],[LnAcres]]</f>
        <v>-64582.406353792743</v>
      </c>
      <c r="AS804" s="25">
        <f>VLOOKUP(Inventory[[#This Row],[Qlty]],Lookups!$A$62:$E$75,2,FALSE)</f>
        <v>0</v>
      </c>
      <c r="AT804" s="25">
        <f>VLOOKUP(Inventory[[#This Row],[Cnd]],Lookups!$A$76:$E$84,2,FALSE)</f>
        <v>133714.53821</v>
      </c>
      <c r="AU804" s="25">
        <f>Inventory[[#This Row],[EffAge]]*Lookups!$B$85</f>
        <v>-11375.3256255</v>
      </c>
      <c r="AV804" s="25">
        <f>Inventory[[#This Row],[MainFn]]*Lookups!$B$86</f>
        <v>55337.710262239998</v>
      </c>
      <c r="AW804" s="25">
        <f>Inventory[[#This Row],[UpprFn]]*Lookups!$B$87</f>
        <v>0</v>
      </c>
      <c r="AX804" s="25">
        <f>Inventory[[#This Row],[AddFn]]*Lookups!$B$88</f>
        <v>0</v>
      </c>
      <c r="AY804" s="25">
        <f>Inventory[[#This Row],[Bsmt]]*Lookups!$B$89</f>
        <v>32833.459733862997</v>
      </c>
      <c r="AZ804" s="25">
        <f>Inventory[[#This Row],[Fixtures]]*Lookups!$B$90</f>
        <v>18960.110526</v>
      </c>
      <c r="BA804" s="25">
        <f>Inventory[[#This Row],[WdDeck]]*Lookups!$B$91</f>
        <v>0</v>
      </c>
      <c r="BB804" s="25">
        <f>ROUND(Inventory[[#This Row],[25Det]],-2)</f>
        <v>15200</v>
      </c>
      <c r="BC804" s="25">
        <f>ROUND(SUM(Inventory[[#This Row],[Mdl Qlty]:[Mdl WdDeck]])+Inventory[[#This Row],[Mdl Res Intercept]],-2)</f>
        <v>229500</v>
      </c>
      <c r="BD804" s="25">
        <f>ROUND(Inventory[[#This Row],[Mdl Land Intercept]]+Inventory[[#This Row],[Mdl LnAcres]],-2)</f>
        <v>25300</v>
      </c>
      <c r="BE804" s="25">
        <f>Inventory[[#This Row],[Unadj Res Value]]+Inventory[[#This Row],[Unadj Det Value]]+Inventory[[#This Row],[Unadj Land Value]]</f>
        <v>270000</v>
      </c>
      <c r="BF804" s="36">
        <f>(Inventory[[#This Row],[Unadj Total Value]]-Inventory[[#This Row],[24Final]])/Inventory[[#This Row],[24Final]]</f>
        <v>6.7615658362989328E-2</v>
      </c>
      <c r="BG804" s="25">
        <f>VLOOKUP(Inventory[[#This Row],[Nbhd]],Lookups!$Q$2:$T$4,4,FALSE)</f>
        <v>0.99970000000000003</v>
      </c>
      <c r="BH804" s="25">
        <f>VLOOKUP(Inventory[[#This Row],[Qlty]],Lookups!$O$7:$R$21,4,FALSE)</f>
        <v>0.99180000000000001</v>
      </c>
      <c r="BI804" s="25">
        <f>VLOOKUP(Inventory[[#This Row],[Cnd]],Lookups!$T$7:$W$16,4,FALSE)</f>
        <v>0.99329999999999996</v>
      </c>
      <c r="BJ804" s="25">
        <f>VLOOKUP(Inventory[[#This Row],[LivArea Range]],Lookups!$T$25:$W$37,4,FALSE)</f>
        <v>1.0093000000000001</v>
      </c>
      <c r="BK804" s="25">
        <f>VLOOKUP(Inventory[[#This Row],[Decade]],Lookups!$O$25:$R$42,4,FALSE)</f>
        <v>0.995</v>
      </c>
      <c r="BL804" s="25">
        <f>Inventory[[#This Row],[Nbhd Adj]]*0.95</f>
        <v>0.94971499999999998</v>
      </c>
      <c r="BM804" s="25">
        <f>Inventory[[#This Row],[Nbhd Adj]]*Inventory[[#This Row],[Quality Adj]]*Inventory[[#This Row],[Condition Adj]]*Inventory[[#This Row],[Living Area Adj]]*Inventory[[#This Row],[Decade Adj]]*0.95</f>
        <v>0.93959606830091247</v>
      </c>
      <c r="BN804" s="25">
        <f>ROUND(SUM(Inventory[[#This Row],[Mdl Qlty]:[Mdl WdDeck]])+Inventory[[#This Row],[Mdl Res Intercept]]*Inventory[[#This Row],[Res Adj ]],-2)</f>
        <v>229500</v>
      </c>
      <c r="BO804" s="25">
        <f>ROUND(Inventory[[#This Row],[25Det]]*Inventory[[#This Row],[Det/Nbhd Adj]],-2)</f>
        <v>14400</v>
      </c>
      <c r="BP804" s="25">
        <f>Inventory[[#This Row],[Adjusted Res]]+Inventory[[#This Row],[Adj Det ]]</f>
        <v>243900</v>
      </c>
      <c r="BQ804" s="25">
        <f>ROUND((Inventory[[#This Row],[Mdl Land Intercept]]+Inventory[[#This Row],[Mdl LnAcres]])*Inventory[[#This Row],[Det/Nbhd Adj]],-2)</f>
        <v>24000</v>
      </c>
      <c r="BR804" s="25">
        <f>Inventory[[#This Row],[Adjusted Impr Total]]+Inventory[[#This Row],[Adjusted Land Total]]</f>
        <v>267900</v>
      </c>
      <c r="BS804" s="36">
        <f>IFERROR((Inventory[[#This Row],[Adjusted Impr Total]]-Inventory[[#This Row],[24Bldg]])/Inventory[[#This Row],[24Bldg]],0)</f>
        <v>0.16420047732696896</v>
      </c>
      <c r="BT804" s="36">
        <f>(Inventory[[#This Row],[Adjusted Land Total]]-Inventory[[#This Row],[24Lnd]])/Inventory[[#This Row],[24Lnd]]</f>
        <v>-0.44700460829493088</v>
      </c>
      <c r="BU804" s="36">
        <f>(Inventory[[#This Row],[Adjusted Total]]-Inventory[[#This Row],[24Final]])/Inventory[[#This Row],[24Final]]</f>
        <v>5.9311981020166077E-2</v>
      </c>
    </row>
    <row r="805" spans="1:73" x14ac:dyDescent="0.3">
      <c r="A805" s="25">
        <v>2025</v>
      </c>
      <c r="B805" s="26" t="s">
        <v>1861</v>
      </c>
      <c r="C805" s="26">
        <f>LN(Inventory[[#This Row],[Acres]])</f>
        <v>-1.7719568419318752</v>
      </c>
      <c r="D805" s="25">
        <v>0.17</v>
      </c>
      <c r="E805" s="31"/>
      <c r="F805" s="26" t="s">
        <v>537</v>
      </c>
      <c r="G805" s="26" t="s">
        <v>126</v>
      </c>
      <c r="H805" s="26" t="s">
        <v>349</v>
      </c>
      <c r="I805" s="26" t="s">
        <v>538</v>
      </c>
      <c r="J805" s="26" t="s">
        <v>539</v>
      </c>
      <c r="K805" s="26" t="s">
        <v>242</v>
      </c>
      <c r="L805" s="26" t="s">
        <v>302</v>
      </c>
      <c r="M805" s="26" t="s">
        <v>303</v>
      </c>
      <c r="N805" s="26">
        <v>80</v>
      </c>
      <c r="O805" s="26">
        <f>2024-Inventory[[#This Row],[YrBlt]]</f>
        <v>74</v>
      </c>
      <c r="P805" s="26">
        <f>2024-Inventory[[#This Row],[EffYr]]</f>
        <v>51</v>
      </c>
      <c r="Q805" s="25">
        <v>1950</v>
      </c>
      <c r="R805" s="25">
        <v>1973</v>
      </c>
      <c r="S805" s="25">
        <v>1486</v>
      </c>
      <c r="T805" s="27"/>
      <c r="U805" s="31"/>
      <c r="V805" s="31">
        <f>Inventory[[#This Row],[Bsmt]]-Inventory[[#This Row],[FnBsmt]]</f>
        <v>0</v>
      </c>
      <c r="W805" s="31"/>
      <c r="X805" s="27"/>
      <c r="Y805" s="27">
        <f>Inventory[[#This Row],[MainFn]]+Inventory[[#This Row],[UpprFn]]+Inventory[[#This Row],[FnBsmt]]+Inventory[[#This Row],[AddFn]]</f>
        <v>1486</v>
      </c>
      <c r="Z805" s="27">
        <v>1500</v>
      </c>
      <c r="AA805" s="25">
        <v>9</v>
      </c>
      <c r="AB805" s="32">
        <v>378</v>
      </c>
      <c r="AC805" s="27"/>
      <c r="AD805" s="27"/>
      <c r="AE805" s="27"/>
      <c r="AF805" s="27"/>
      <c r="AG805" s="27"/>
      <c r="AH805" s="27"/>
      <c r="AI805" s="25">
        <v>309500</v>
      </c>
      <c r="AJ805" s="25">
        <v>219745</v>
      </c>
      <c r="AK805" s="25">
        <v>0</v>
      </c>
      <c r="AL805" s="25">
        <v>336100</v>
      </c>
      <c r="AM805" s="25">
        <v>52700</v>
      </c>
      <c r="AN805" s="25">
        <v>283400</v>
      </c>
      <c r="AO805" s="25">
        <v>0</v>
      </c>
      <c r="AP805" s="25">
        <f>Lookups!$B$56*0</f>
        <v>0</v>
      </c>
      <c r="AQ805" s="25">
        <f>Lookups!$B$56*1</f>
        <v>89850.625589999996</v>
      </c>
      <c r="AR805" s="25">
        <f>Lookups!$B$57*Inventory[[#This Row],[LnAcres]]</f>
        <v>-56090.612940989391</v>
      </c>
      <c r="AS805" s="25">
        <f>VLOOKUP(Inventory[[#This Row],[Qlty]],Lookups!$A$62:$E$75,2,FALSE)</f>
        <v>29814.093161000001</v>
      </c>
      <c r="AT805" s="25">
        <f>VLOOKUP(Inventory[[#This Row],[Cnd]],Lookups!$A$76:$E$84,2,FALSE)</f>
        <v>197752.34721000001</v>
      </c>
      <c r="AU805" s="25">
        <f>Inventory[[#This Row],[EffAge]]*Lookups!$B$85</f>
        <v>-11375.3256255</v>
      </c>
      <c r="AV805" s="25">
        <f>Inventory[[#This Row],[MainFn]]*Lookups!$B$86</f>
        <v>73421.283437221995</v>
      </c>
      <c r="AW805" s="25">
        <f>Inventory[[#This Row],[UpprFn]]*Lookups!$B$87</f>
        <v>0</v>
      </c>
      <c r="AX805" s="25">
        <f>Inventory[[#This Row],[AddFn]]*Lookups!$B$88</f>
        <v>0</v>
      </c>
      <c r="AY805" s="25">
        <f>Inventory[[#This Row],[Bsmt]]*Lookups!$B$89</f>
        <v>0</v>
      </c>
      <c r="AZ805" s="25">
        <f>Inventory[[#This Row],[Fixtures]]*Lookups!$B$90</f>
        <v>34128.198946800003</v>
      </c>
      <c r="BA805" s="25">
        <f>Inventory[[#This Row],[WdDeck]]*Lookups!$B$91</f>
        <v>0</v>
      </c>
      <c r="BB805" s="25">
        <f>ROUND(Inventory[[#This Row],[25Det]],-2)</f>
        <v>0</v>
      </c>
      <c r="BC805" s="25">
        <f>ROUND(SUM(Inventory[[#This Row],[Mdl Qlty]:[Mdl WdDeck]])+Inventory[[#This Row],[Mdl Res Intercept]],-2)</f>
        <v>323700</v>
      </c>
      <c r="BD805" s="25">
        <f>ROUND(Inventory[[#This Row],[Mdl Land Intercept]]+Inventory[[#This Row],[Mdl LnAcres]],-2)</f>
        <v>33800</v>
      </c>
      <c r="BE805" s="25">
        <f>Inventory[[#This Row],[Unadj Res Value]]+Inventory[[#This Row],[Unadj Det Value]]+Inventory[[#This Row],[Unadj Land Value]]</f>
        <v>357500</v>
      </c>
      <c r="BF805" s="36">
        <f>(Inventory[[#This Row],[Unadj Total Value]]-Inventory[[#This Row],[24Final]])/Inventory[[#This Row],[24Final]]</f>
        <v>6.3671526331448972E-2</v>
      </c>
      <c r="BG805" s="25">
        <f>VLOOKUP(Inventory[[#This Row],[Nbhd]],Lookups!$Q$2:$T$4,4,FALSE)</f>
        <v>0.99970000000000003</v>
      </c>
      <c r="BH805" s="25">
        <f>VLOOKUP(Inventory[[#This Row],[Qlty]],Lookups!$O$7:$R$21,4,FALSE)</f>
        <v>1.0088999999999999</v>
      </c>
      <c r="BI805" s="25">
        <f>VLOOKUP(Inventory[[#This Row],[Cnd]],Lookups!$T$7:$W$16,4,FALSE)</f>
        <v>0.99650000000000005</v>
      </c>
      <c r="BJ805" s="25">
        <f>VLOOKUP(Inventory[[#This Row],[LivArea Range]],Lookups!$T$25:$W$37,4,FALSE)</f>
        <v>1.0157</v>
      </c>
      <c r="BK805" s="25">
        <f>VLOOKUP(Inventory[[#This Row],[Decade]],Lookups!$O$25:$R$42,4,FALSE)</f>
        <v>0.995</v>
      </c>
      <c r="BL805" s="25">
        <f>Inventory[[#This Row],[Nbhd Adj]]*0.95</f>
        <v>0.94971499999999998</v>
      </c>
      <c r="BM805" s="25">
        <f>Inventory[[#This Row],[Nbhd Adj]]*Inventory[[#This Row],[Quality Adj]]*Inventory[[#This Row],[Condition Adj]]*Inventory[[#This Row],[Living Area Adj]]*Inventory[[#This Row],[Decade Adj]]*0.95</f>
        <v>0.9649554329763177</v>
      </c>
      <c r="BN805" s="25">
        <f>ROUND(SUM(Inventory[[#This Row],[Mdl Qlty]:[Mdl WdDeck]])+Inventory[[#This Row],[Mdl Res Intercept]]*Inventory[[#This Row],[Res Adj ]],-2)</f>
        <v>323700</v>
      </c>
      <c r="BO805" s="25">
        <f>ROUND(Inventory[[#This Row],[25Det]]*Inventory[[#This Row],[Det/Nbhd Adj]],-2)</f>
        <v>0</v>
      </c>
      <c r="BP805" s="25">
        <f>Inventory[[#This Row],[Adjusted Res]]+Inventory[[#This Row],[Adj Det ]]</f>
        <v>323700</v>
      </c>
      <c r="BQ805" s="25">
        <f>ROUND((Inventory[[#This Row],[Mdl Land Intercept]]+Inventory[[#This Row],[Mdl LnAcres]])*Inventory[[#This Row],[Det/Nbhd Adj]],-2)</f>
        <v>32100</v>
      </c>
      <c r="BR805" s="25">
        <f>Inventory[[#This Row],[Adjusted Impr Total]]+Inventory[[#This Row],[Adjusted Land Total]]</f>
        <v>355800</v>
      </c>
      <c r="BS805" s="36">
        <f>IFERROR((Inventory[[#This Row],[Adjusted Impr Total]]-Inventory[[#This Row],[24Bldg]])/Inventory[[#This Row],[24Bldg]],0)</f>
        <v>0.14220183486238533</v>
      </c>
      <c r="BT805" s="36">
        <f>(Inventory[[#This Row],[Adjusted Land Total]]-Inventory[[#This Row],[24Lnd]])/Inventory[[#This Row],[24Lnd]]</f>
        <v>-0.39089184060721061</v>
      </c>
      <c r="BU805" s="36">
        <f>(Inventory[[#This Row],[Adjusted Total]]-Inventory[[#This Row],[24Final]])/Inventory[[#This Row],[24Final]]</f>
        <v>5.8613507884558165E-2</v>
      </c>
    </row>
    <row r="806" spans="1:73" x14ac:dyDescent="0.3">
      <c r="A806" s="25">
        <v>2025</v>
      </c>
      <c r="B806" s="26" t="s">
        <v>2461</v>
      </c>
      <c r="C806" s="26">
        <f>LN(Inventory[[#This Row],[Acres]])</f>
        <v>-1.5141277326297755</v>
      </c>
      <c r="D806" s="25">
        <v>0.22</v>
      </c>
      <c r="E806" s="31"/>
      <c r="F806" s="26" t="s">
        <v>537</v>
      </c>
      <c r="G806" s="26" t="s">
        <v>126</v>
      </c>
      <c r="H806" s="26" t="s">
        <v>349</v>
      </c>
      <c r="I806" s="26" t="s">
        <v>538</v>
      </c>
      <c r="J806" s="26" t="s">
        <v>539</v>
      </c>
      <c r="K806" s="26" t="s">
        <v>241</v>
      </c>
      <c r="L806" s="26" t="s">
        <v>302</v>
      </c>
      <c r="M806" s="26" t="s">
        <v>303</v>
      </c>
      <c r="N806" s="26">
        <v>80</v>
      </c>
      <c r="O806" s="26">
        <f>2024-Inventory[[#This Row],[YrBlt]]</f>
        <v>74</v>
      </c>
      <c r="P806" s="26">
        <f>2024-Inventory[[#This Row],[EffYr]]</f>
        <v>51</v>
      </c>
      <c r="Q806" s="25">
        <v>1950</v>
      </c>
      <c r="R806" s="25">
        <v>1973</v>
      </c>
      <c r="S806" s="25">
        <v>2044</v>
      </c>
      <c r="T806" s="27"/>
      <c r="U806" s="31"/>
      <c r="V806" s="31">
        <f>Inventory[[#This Row],[Bsmt]]-Inventory[[#This Row],[FnBsmt]]</f>
        <v>0</v>
      </c>
      <c r="W806" s="31"/>
      <c r="X806" s="27"/>
      <c r="Y806" s="27">
        <f>Inventory[[#This Row],[MainFn]]+Inventory[[#This Row],[UpprFn]]+Inventory[[#This Row],[FnBsmt]]+Inventory[[#This Row],[AddFn]]</f>
        <v>2044</v>
      </c>
      <c r="Z806" s="27">
        <v>2500</v>
      </c>
      <c r="AA806" s="25">
        <v>7</v>
      </c>
      <c r="AB806" s="32">
        <v>330</v>
      </c>
      <c r="AC806" s="27"/>
      <c r="AD806" s="27"/>
      <c r="AE806" s="27"/>
      <c r="AF806" s="27"/>
      <c r="AG806" s="27"/>
      <c r="AH806" s="27"/>
      <c r="AI806" s="25">
        <v>373482</v>
      </c>
      <c r="AJ806" s="25">
        <v>265172</v>
      </c>
      <c r="AK806" s="25">
        <v>0</v>
      </c>
      <c r="AL806" s="25">
        <v>362600</v>
      </c>
      <c r="AM806" s="25">
        <v>61700</v>
      </c>
      <c r="AN806" s="25">
        <v>300900</v>
      </c>
      <c r="AO806" s="25">
        <v>0</v>
      </c>
      <c r="AP806" s="25">
        <f>Lookups!$B$56*0</f>
        <v>0</v>
      </c>
      <c r="AQ806" s="25">
        <f>Lookups!$B$56*1</f>
        <v>89850.625589999996</v>
      </c>
      <c r="AR806" s="25">
        <f>Lookups!$B$57*Inventory[[#This Row],[LnAcres]]</f>
        <v>-47929.131559187132</v>
      </c>
      <c r="AS806" s="25">
        <f>VLOOKUP(Inventory[[#This Row],[Qlty]],Lookups!$A$62:$E$75,2,FALSE)</f>
        <v>29814.093161000001</v>
      </c>
      <c r="AT806" s="25">
        <f>VLOOKUP(Inventory[[#This Row],[Cnd]],Lookups!$A$76:$E$84,2,FALSE)</f>
        <v>197752.34721000001</v>
      </c>
      <c r="AU806" s="25">
        <f>Inventory[[#This Row],[EffAge]]*Lookups!$B$85</f>
        <v>-11375.3256255</v>
      </c>
      <c r="AV806" s="25">
        <f>Inventory[[#This Row],[MainFn]]*Lookups!$B$86</f>
        <v>100991.321228588</v>
      </c>
      <c r="AW806" s="25">
        <f>Inventory[[#This Row],[UpprFn]]*Lookups!$B$87</f>
        <v>0</v>
      </c>
      <c r="AX806" s="25">
        <f>Inventory[[#This Row],[AddFn]]*Lookups!$B$88</f>
        <v>0</v>
      </c>
      <c r="AY806" s="25">
        <f>Inventory[[#This Row],[Bsmt]]*Lookups!$B$89</f>
        <v>0</v>
      </c>
      <c r="AZ806" s="25">
        <f>Inventory[[#This Row],[Fixtures]]*Lookups!$B$90</f>
        <v>26544.1547364</v>
      </c>
      <c r="BA806" s="25">
        <f>Inventory[[#This Row],[WdDeck]]*Lookups!$B$91</f>
        <v>0</v>
      </c>
      <c r="BB806" s="25">
        <f>ROUND(Inventory[[#This Row],[25Det]],-2)</f>
        <v>0</v>
      </c>
      <c r="BC806" s="25">
        <f>ROUND(SUM(Inventory[[#This Row],[Mdl Qlty]:[Mdl WdDeck]])+Inventory[[#This Row],[Mdl Res Intercept]],-2)</f>
        <v>343700</v>
      </c>
      <c r="BD806" s="25">
        <f>ROUND(Inventory[[#This Row],[Mdl Land Intercept]]+Inventory[[#This Row],[Mdl LnAcres]],-2)</f>
        <v>41900</v>
      </c>
      <c r="BE806" s="25">
        <f>Inventory[[#This Row],[Unadj Res Value]]+Inventory[[#This Row],[Unadj Det Value]]+Inventory[[#This Row],[Unadj Land Value]]</f>
        <v>385600</v>
      </c>
      <c r="BF806" s="36">
        <f>(Inventory[[#This Row],[Unadj Total Value]]-Inventory[[#This Row],[24Final]])/Inventory[[#This Row],[24Final]]</f>
        <v>6.3430777716491998E-2</v>
      </c>
      <c r="BG806" s="25">
        <f>VLOOKUP(Inventory[[#This Row],[Nbhd]],Lookups!$Q$2:$T$4,4,FALSE)</f>
        <v>0.99970000000000003</v>
      </c>
      <c r="BH806" s="25">
        <f>VLOOKUP(Inventory[[#This Row],[Qlty]],Lookups!$O$7:$R$21,4,FALSE)</f>
        <v>1.0088999999999999</v>
      </c>
      <c r="BI806" s="25">
        <f>VLOOKUP(Inventory[[#This Row],[Cnd]],Lookups!$T$7:$W$16,4,FALSE)</f>
        <v>0.99650000000000005</v>
      </c>
      <c r="BJ806" s="25">
        <f>VLOOKUP(Inventory[[#This Row],[LivArea Range]],Lookups!$T$25:$W$37,4,FALSE)</f>
        <v>0.98919999999999997</v>
      </c>
      <c r="BK806" s="25">
        <f>VLOOKUP(Inventory[[#This Row],[Decade]],Lookups!$O$25:$R$42,4,FALSE)</f>
        <v>0.995</v>
      </c>
      <c r="BL806" s="25">
        <f>Inventory[[#This Row],[Nbhd Adj]]*0.95</f>
        <v>0.94971499999999998</v>
      </c>
      <c r="BM806" s="25">
        <f>Inventory[[#This Row],[Nbhd Adj]]*Inventory[[#This Row],[Quality Adj]]*Inventory[[#This Row],[Condition Adj]]*Inventory[[#This Row],[Living Area Adj]]*Inventory[[#This Row],[Decade Adj]]*0.95</f>
        <v>0.93977937806455991</v>
      </c>
      <c r="BN806" s="25">
        <f>ROUND(SUM(Inventory[[#This Row],[Mdl Qlty]:[Mdl WdDeck]])+Inventory[[#This Row],[Mdl Res Intercept]]*Inventory[[#This Row],[Res Adj ]],-2)</f>
        <v>343700</v>
      </c>
      <c r="BO806" s="25">
        <f>ROUND(Inventory[[#This Row],[25Det]]*Inventory[[#This Row],[Det/Nbhd Adj]],-2)</f>
        <v>0</v>
      </c>
      <c r="BP806" s="25">
        <f>Inventory[[#This Row],[Adjusted Res]]+Inventory[[#This Row],[Adj Det ]]</f>
        <v>343700</v>
      </c>
      <c r="BQ806" s="25">
        <f>ROUND((Inventory[[#This Row],[Mdl Land Intercept]]+Inventory[[#This Row],[Mdl LnAcres]])*Inventory[[#This Row],[Det/Nbhd Adj]],-2)</f>
        <v>39800</v>
      </c>
      <c r="BR806" s="25">
        <f>Inventory[[#This Row],[Adjusted Impr Total]]+Inventory[[#This Row],[Adjusted Land Total]]</f>
        <v>383500</v>
      </c>
      <c r="BS806" s="36">
        <f>IFERROR((Inventory[[#This Row],[Adjusted Impr Total]]-Inventory[[#This Row],[24Bldg]])/Inventory[[#This Row],[24Bldg]],0)</f>
        <v>0.1422399468261881</v>
      </c>
      <c r="BT806" s="36">
        <f>(Inventory[[#This Row],[Adjusted Land Total]]-Inventory[[#This Row],[24Lnd]])/Inventory[[#This Row],[24Lnd]]</f>
        <v>-0.35494327390599678</v>
      </c>
      <c r="BU806" s="36">
        <f>(Inventory[[#This Row],[Adjusted Total]]-Inventory[[#This Row],[24Final]])/Inventory[[#This Row],[24Final]]</f>
        <v>5.7639271924986211E-2</v>
      </c>
    </row>
    <row r="807" spans="1:73" x14ac:dyDescent="0.3">
      <c r="A807" s="25">
        <v>2025</v>
      </c>
      <c r="B807" s="26" t="s">
        <v>1875</v>
      </c>
      <c r="C807" s="26">
        <f>LN(Inventory[[#This Row],[Acres]])</f>
        <v>-1.8325814637483102</v>
      </c>
      <c r="D807" s="25">
        <v>0.16</v>
      </c>
      <c r="E807" s="31"/>
      <c r="F807" s="26" t="s">
        <v>537</v>
      </c>
      <c r="G807" s="26" t="s">
        <v>126</v>
      </c>
      <c r="H807" s="26" t="s">
        <v>349</v>
      </c>
      <c r="I807" s="26" t="s">
        <v>538</v>
      </c>
      <c r="J807" s="26" t="s">
        <v>539</v>
      </c>
      <c r="K807" s="26" t="s">
        <v>242</v>
      </c>
      <c r="L807" s="26" t="s">
        <v>351</v>
      </c>
      <c r="M807" s="26" t="s">
        <v>323</v>
      </c>
      <c r="N807" s="26">
        <v>80</v>
      </c>
      <c r="O807" s="26">
        <f>2024-Inventory[[#This Row],[YrBlt]]</f>
        <v>74</v>
      </c>
      <c r="P807" s="26">
        <f>2024-Inventory[[#This Row],[EffYr]]</f>
        <v>51</v>
      </c>
      <c r="Q807" s="25">
        <v>1950</v>
      </c>
      <c r="R807" s="25">
        <v>1973</v>
      </c>
      <c r="S807" s="25">
        <v>895</v>
      </c>
      <c r="T807" s="27"/>
      <c r="U807" s="25">
        <v>895</v>
      </c>
      <c r="V807" s="25">
        <f>Inventory[[#This Row],[Bsmt]]-Inventory[[#This Row],[FnBsmt]]</f>
        <v>447</v>
      </c>
      <c r="W807" s="25">
        <v>448</v>
      </c>
      <c r="X807" s="27"/>
      <c r="Y807" s="27">
        <f>Inventory[[#This Row],[MainFn]]+Inventory[[#This Row],[UpprFn]]+Inventory[[#This Row],[FnBsmt]]+Inventory[[#This Row],[AddFn]]</f>
        <v>1343</v>
      </c>
      <c r="Z807" s="27">
        <v>1500</v>
      </c>
      <c r="AA807" s="25">
        <v>7</v>
      </c>
      <c r="AB807" s="27"/>
      <c r="AC807" s="27"/>
      <c r="AD807" s="27"/>
      <c r="AE807" s="27"/>
      <c r="AF807" s="27"/>
      <c r="AG807" s="27"/>
      <c r="AH807" s="27"/>
      <c r="AI807" s="25">
        <v>211213</v>
      </c>
      <c r="AJ807" s="25">
        <v>145737</v>
      </c>
      <c r="AK807" s="25">
        <v>3406</v>
      </c>
      <c r="AL807" s="25">
        <v>284500</v>
      </c>
      <c r="AM807" s="25">
        <v>50600</v>
      </c>
      <c r="AN807" s="25">
        <v>233900</v>
      </c>
      <c r="AO807" s="25">
        <v>0</v>
      </c>
      <c r="AP807" s="25">
        <f>Lookups!$B$56*0</f>
        <v>0</v>
      </c>
      <c r="AQ807" s="25">
        <f>Lookups!$B$56*1</f>
        <v>89850.625589999996</v>
      </c>
      <c r="AR807" s="25">
        <f>Lookups!$B$57*Inventory[[#This Row],[LnAcres]]</f>
        <v>-58009.662049032086</v>
      </c>
      <c r="AS807" s="25">
        <f>VLOOKUP(Inventory[[#This Row],[Qlty]],Lookups!$A$62:$E$75,2,FALSE)</f>
        <v>21557.329055999999</v>
      </c>
      <c r="AT807" s="25">
        <f>VLOOKUP(Inventory[[#This Row],[Cnd]],Lookups!$A$76:$E$84,2,FALSE)</f>
        <v>160472.20319</v>
      </c>
      <c r="AU807" s="25">
        <f>Inventory[[#This Row],[EffAge]]*Lookups!$B$85</f>
        <v>-11375.3256255</v>
      </c>
      <c r="AV807" s="25">
        <f>Inventory[[#This Row],[MainFn]]*Lookups!$B$86</f>
        <v>44220.759539915001</v>
      </c>
      <c r="AW807" s="25">
        <f>Inventory[[#This Row],[UpprFn]]*Lookups!$B$87</f>
        <v>0</v>
      </c>
      <c r="AX807" s="25">
        <f>Inventory[[#This Row],[AddFn]]*Lookups!$B$88</f>
        <v>0</v>
      </c>
      <c r="AY807" s="25">
        <f>Inventory[[#This Row],[Bsmt]]*Lookups!$B$89</f>
        <v>26028.296246064998</v>
      </c>
      <c r="AZ807" s="25">
        <f>Inventory[[#This Row],[Fixtures]]*Lookups!$B$90</f>
        <v>26544.1547364</v>
      </c>
      <c r="BA807" s="25">
        <f>Inventory[[#This Row],[WdDeck]]*Lookups!$B$91</f>
        <v>0</v>
      </c>
      <c r="BB807" s="25">
        <f>ROUND(Inventory[[#This Row],[25Det]],-2)</f>
        <v>3400</v>
      </c>
      <c r="BC807" s="25">
        <f>ROUND(SUM(Inventory[[#This Row],[Mdl Qlty]:[Mdl WdDeck]])+Inventory[[#This Row],[Mdl Res Intercept]],-2)</f>
        <v>267400</v>
      </c>
      <c r="BD807" s="25">
        <f>ROUND(Inventory[[#This Row],[Mdl Land Intercept]]+Inventory[[#This Row],[Mdl LnAcres]],-2)</f>
        <v>31800</v>
      </c>
      <c r="BE807" s="25">
        <f>Inventory[[#This Row],[Unadj Res Value]]+Inventory[[#This Row],[Unadj Det Value]]+Inventory[[#This Row],[Unadj Land Value]]</f>
        <v>302600</v>
      </c>
      <c r="BF807" s="36">
        <f>(Inventory[[#This Row],[Unadj Total Value]]-Inventory[[#This Row],[24Final]])/Inventory[[#This Row],[24Final]]</f>
        <v>6.3620386643233745E-2</v>
      </c>
      <c r="BG807" s="25">
        <f>VLOOKUP(Inventory[[#This Row],[Nbhd]],Lookups!$Q$2:$T$4,4,FALSE)</f>
        <v>0.99970000000000003</v>
      </c>
      <c r="BH807" s="25">
        <f>VLOOKUP(Inventory[[#This Row],[Qlty]],Lookups!$O$7:$R$21,4,FALSE)</f>
        <v>1.0067999999999999</v>
      </c>
      <c r="BI807" s="25">
        <f>VLOOKUP(Inventory[[#This Row],[Cnd]],Lookups!$T$7:$W$16,4,FALSE)</f>
        <v>0.99729999999999996</v>
      </c>
      <c r="BJ807" s="25">
        <f>VLOOKUP(Inventory[[#This Row],[LivArea Range]],Lookups!$T$25:$W$37,4,FALSE)</f>
        <v>1.0157</v>
      </c>
      <c r="BK807" s="25">
        <f>VLOOKUP(Inventory[[#This Row],[Decade]],Lookups!$O$25:$R$42,4,FALSE)</f>
        <v>0.995</v>
      </c>
      <c r="BL807" s="25">
        <f>Inventory[[#This Row],[Nbhd Adj]]*0.95</f>
        <v>0.94971499999999998</v>
      </c>
      <c r="BM807" s="25">
        <f>Inventory[[#This Row],[Nbhd Adj]]*Inventory[[#This Row],[Quality Adj]]*Inventory[[#This Row],[Condition Adj]]*Inventory[[#This Row],[Living Area Adj]]*Inventory[[#This Row],[Decade Adj]]*0.95</f>
        <v>0.96371996573175212</v>
      </c>
      <c r="BN807" s="25">
        <f>ROUND(SUM(Inventory[[#This Row],[Mdl Qlty]:[Mdl WdDeck]])+Inventory[[#This Row],[Mdl Res Intercept]]*Inventory[[#This Row],[Res Adj ]],-2)</f>
        <v>267400</v>
      </c>
      <c r="BO807" s="25">
        <f>ROUND(Inventory[[#This Row],[25Det]]*Inventory[[#This Row],[Det/Nbhd Adj]],-2)</f>
        <v>3200</v>
      </c>
      <c r="BP807" s="25">
        <f>Inventory[[#This Row],[Adjusted Res]]+Inventory[[#This Row],[Adj Det ]]</f>
        <v>270600</v>
      </c>
      <c r="BQ807" s="25">
        <f>ROUND((Inventory[[#This Row],[Mdl Land Intercept]]+Inventory[[#This Row],[Mdl LnAcres]])*Inventory[[#This Row],[Det/Nbhd Adj]],-2)</f>
        <v>30200</v>
      </c>
      <c r="BR807" s="25">
        <f>Inventory[[#This Row],[Adjusted Impr Total]]+Inventory[[#This Row],[Adjusted Land Total]]</f>
        <v>300800</v>
      </c>
      <c r="BS807" s="36">
        <f>IFERROR((Inventory[[#This Row],[Adjusted Impr Total]]-Inventory[[#This Row],[24Bldg]])/Inventory[[#This Row],[24Bldg]],0)</f>
        <v>0.15690466011115861</v>
      </c>
      <c r="BT807" s="36">
        <f>(Inventory[[#This Row],[Adjusted Land Total]]-Inventory[[#This Row],[24Lnd]])/Inventory[[#This Row],[24Lnd]]</f>
        <v>-0.40316205533596838</v>
      </c>
      <c r="BU807" s="36">
        <f>(Inventory[[#This Row],[Adjusted Total]]-Inventory[[#This Row],[24Final]])/Inventory[[#This Row],[24Final]]</f>
        <v>5.7293497363796131E-2</v>
      </c>
    </row>
    <row r="808" spans="1:73" x14ac:dyDescent="0.3">
      <c r="A808" s="25">
        <v>2025</v>
      </c>
      <c r="B808" s="26" t="s">
        <v>1501</v>
      </c>
      <c r="C808" s="26">
        <f>LN(Inventory[[#This Row],[Acres]])</f>
        <v>-1.4271163556401458</v>
      </c>
      <c r="D808" s="25">
        <v>0.24</v>
      </c>
      <c r="E808" s="25">
        <v>10308</v>
      </c>
      <c r="F808" s="26" t="s">
        <v>537</v>
      </c>
      <c r="G808" s="26" t="s">
        <v>126</v>
      </c>
      <c r="H808" s="26" t="s">
        <v>349</v>
      </c>
      <c r="I808" s="26" t="s">
        <v>538</v>
      </c>
      <c r="J808" s="26" t="s">
        <v>539</v>
      </c>
      <c r="K808" s="26" t="s">
        <v>241</v>
      </c>
      <c r="L808" s="26" t="s">
        <v>351</v>
      </c>
      <c r="M808" s="26" t="s">
        <v>206</v>
      </c>
      <c r="N808" s="26">
        <v>80</v>
      </c>
      <c r="O808" s="26">
        <f>2024-Inventory[[#This Row],[YrBlt]]</f>
        <v>74</v>
      </c>
      <c r="P808" s="26">
        <f>2024-Inventory[[#This Row],[EffYr]]</f>
        <v>51</v>
      </c>
      <c r="Q808" s="25">
        <v>1950</v>
      </c>
      <c r="R808" s="25">
        <v>1973</v>
      </c>
      <c r="S808" s="25">
        <v>1336</v>
      </c>
      <c r="T808" s="27"/>
      <c r="U808" s="25">
        <v>1336</v>
      </c>
      <c r="V808" s="25">
        <f>Inventory[[#This Row],[Bsmt]]-Inventory[[#This Row],[FnBsmt]]</f>
        <v>658</v>
      </c>
      <c r="W808" s="25">
        <v>678</v>
      </c>
      <c r="X808" s="27"/>
      <c r="Y808" s="27">
        <f>Inventory[[#This Row],[MainFn]]+Inventory[[#This Row],[UpprFn]]+Inventory[[#This Row],[FnBsmt]]+Inventory[[#This Row],[AddFn]]</f>
        <v>2014</v>
      </c>
      <c r="Z808" s="27">
        <v>2500</v>
      </c>
      <c r="AA808" s="25">
        <v>9</v>
      </c>
      <c r="AB808" s="32">
        <v>240</v>
      </c>
      <c r="AC808" s="27"/>
      <c r="AD808" s="27"/>
      <c r="AE808" s="27"/>
      <c r="AF808" s="27"/>
      <c r="AG808" s="27"/>
      <c r="AH808" s="27"/>
      <c r="AI808" s="25">
        <v>327150</v>
      </c>
      <c r="AJ808" s="25">
        <v>219191</v>
      </c>
      <c r="AK808" s="25">
        <v>28784</v>
      </c>
      <c r="AL808" s="25">
        <v>333500</v>
      </c>
      <c r="AM808" s="25">
        <v>64800</v>
      </c>
      <c r="AN808" s="25">
        <v>268700</v>
      </c>
      <c r="AO808" s="25">
        <v>0</v>
      </c>
      <c r="AP808" s="25">
        <f>Lookups!$B$56*0</f>
        <v>0</v>
      </c>
      <c r="AQ808" s="25">
        <f>Lookups!$B$56*1</f>
        <v>89850.625589999996</v>
      </c>
      <c r="AR808" s="25">
        <f>Lookups!$B$57*Inventory[[#This Row],[LnAcres]]</f>
        <v>-45174.819855485119</v>
      </c>
      <c r="AS808" s="25">
        <f>VLOOKUP(Inventory[[#This Row],[Qlty]],Lookups!$A$62:$E$75,2,FALSE)</f>
        <v>21557.329055999999</v>
      </c>
      <c r="AT808" s="25">
        <f>VLOOKUP(Inventory[[#This Row],[Cnd]],Lookups!$A$76:$E$84,2,FALSE)</f>
        <v>133714.53821</v>
      </c>
      <c r="AU808" s="25">
        <f>Inventory[[#This Row],[EffAge]]*Lookups!$B$85</f>
        <v>-11375.3256255</v>
      </c>
      <c r="AV808" s="25">
        <f>Inventory[[#This Row],[MainFn]]*Lookups!$B$86</f>
        <v>66009.982955672007</v>
      </c>
      <c r="AW808" s="25">
        <f>Inventory[[#This Row],[UpprFn]]*Lookups!$B$87</f>
        <v>0</v>
      </c>
      <c r="AX808" s="25">
        <f>Inventory[[#This Row],[AddFn]]*Lookups!$B$88</f>
        <v>0</v>
      </c>
      <c r="AY808" s="25">
        <f>Inventory[[#This Row],[Bsmt]]*Lookups!$B$89</f>
        <v>38853.412049991995</v>
      </c>
      <c r="AZ808" s="25">
        <f>Inventory[[#This Row],[Fixtures]]*Lookups!$B$90</f>
        <v>34128.198946800003</v>
      </c>
      <c r="BA808" s="25">
        <f>Inventory[[#This Row],[WdDeck]]*Lookups!$B$91</f>
        <v>0</v>
      </c>
      <c r="BB808" s="25">
        <f>ROUND(Inventory[[#This Row],[25Det]],-2)</f>
        <v>28800</v>
      </c>
      <c r="BC808" s="25">
        <f>ROUND(SUM(Inventory[[#This Row],[Mdl Qlty]:[Mdl WdDeck]])+Inventory[[#This Row],[Mdl Res Intercept]],-2)</f>
        <v>282900</v>
      </c>
      <c r="BD808" s="25">
        <f>ROUND(Inventory[[#This Row],[Mdl Land Intercept]]+Inventory[[#This Row],[Mdl LnAcres]],-2)</f>
        <v>44700</v>
      </c>
      <c r="BE808" s="25">
        <f>Inventory[[#This Row],[Unadj Res Value]]+Inventory[[#This Row],[Unadj Det Value]]+Inventory[[#This Row],[Unadj Land Value]]</f>
        <v>356400</v>
      </c>
      <c r="BF808" s="36">
        <f>(Inventory[[#This Row],[Unadj Total Value]]-Inventory[[#This Row],[24Final]])/Inventory[[#This Row],[24Final]]</f>
        <v>6.8665667166416797E-2</v>
      </c>
      <c r="BG808" s="25">
        <f>VLOOKUP(Inventory[[#This Row],[Nbhd]],Lookups!$Q$2:$T$4,4,FALSE)</f>
        <v>0.99970000000000003</v>
      </c>
      <c r="BH808" s="25">
        <f>VLOOKUP(Inventory[[#This Row],[Qlty]],Lookups!$O$7:$R$21,4,FALSE)</f>
        <v>1.0067999999999999</v>
      </c>
      <c r="BI808" s="25">
        <f>VLOOKUP(Inventory[[#This Row],[Cnd]],Lookups!$T$7:$W$16,4,FALSE)</f>
        <v>0.99329999999999996</v>
      </c>
      <c r="BJ808" s="25">
        <f>VLOOKUP(Inventory[[#This Row],[LivArea Range]],Lookups!$T$25:$W$37,4,FALSE)</f>
        <v>0.98919999999999997</v>
      </c>
      <c r="BK808" s="25">
        <f>VLOOKUP(Inventory[[#This Row],[Decade]],Lookups!$O$25:$R$42,4,FALSE)</f>
        <v>0.995</v>
      </c>
      <c r="BL808" s="25">
        <f>Inventory[[#This Row],[Nbhd Adj]]*0.95</f>
        <v>0.94971499999999998</v>
      </c>
      <c r="BM808" s="25">
        <f>Inventory[[#This Row],[Nbhd Adj]]*Inventory[[#This Row],[Quality Adj]]*Inventory[[#This Row],[Condition Adj]]*Inventory[[#This Row],[Living Area Adj]]*Inventory[[#This Row],[Decade Adj]]*0.95</f>
        <v>0.93481167598727721</v>
      </c>
      <c r="BN808" s="25">
        <f>ROUND(SUM(Inventory[[#This Row],[Mdl Qlty]:[Mdl WdDeck]])+Inventory[[#This Row],[Mdl Res Intercept]]*Inventory[[#This Row],[Res Adj ]],-2)</f>
        <v>282900</v>
      </c>
      <c r="BO808" s="25">
        <f>ROUND(Inventory[[#This Row],[25Det]]*Inventory[[#This Row],[Det/Nbhd Adj]],-2)</f>
        <v>27300</v>
      </c>
      <c r="BP808" s="25">
        <f>Inventory[[#This Row],[Adjusted Res]]+Inventory[[#This Row],[Adj Det ]]</f>
        <v>310200</v>
      </c>
      <c r="BQ808" s="25">
        <f>ROUND((Inventory[[#This Row],[Mdl Land Intercept]]+Inventory[[#This Row],[Mdl LnAcres]])*Inventory[[#This Row],[Det/Nbhd Adj]],-2)</f>
        <v>42400</v>
      </c>
      <c r="BR808" s="25">
        <f>Inventory[[#This Row],[Adjusted Impr Total]]+Inventory[[#This Row],[Adjusted Land Total]]</f>
        <v>352600</v>
      </c>
      <c r="BS808" s="36">
        <f>IFERROR((Inventory[[#This Row],[Adjusted Impr Total]]-Inventory[[#This Row],[24Bldg]])/Inventory[[#This Row],[24Bldg]],0)</f>
        <v>0.15444733903982136</v>
      </c>
      <c r="BT808" s="36">
        <f>(Inventory[[#This Row],[Adjusted Land Total]]-Inventory[[#This Row],[24Lnd]])/Inventory[[#This Row],[24Lnd]]</f>
        <v>-0.34567901234567899</v>
      </c>
      <c r="BU808" s="36">
        <f>(Inventory[[#This Row],[Adjusted Total]]-Inventory[[#This Row],[24Final]])/Inventory[[#This Row],[24Final]]</f>
        <v>5.7271364317841078E-2</v>
      </c>
    </row>
    <row r="809" spans="1:73" x14ac:dyDescent="0.3">
      <c r="A809" s="25">
        <v>2025</v>
      </c>
      <c r="B809" s="26" t="s">
        <v>2061</v>
      </c>
      <c r="C809" s="26">
        <f>LN(Inventory[[#This Row],[Acres]])</f>
        <v>-2.120263536200091</v>
      </c>
      <c r="D809" s="25">
        <v>0.12</v>
      </c>
      <c r="E809" s="31"/>
      <c r="F809" s="26" t="s">
        <v>537</v>
      </c>
      <c r="G809" s="26" t="s">
        <v>126</v>
      </c>
      <c r="H809" s="26" t="s">
        <v>349</v>
      </c>
      <c r="I809" s="26" t="s">
        <v>538</v>
      </c>
      <c r="J809" s="26" t="s">
        <v>539</v>
      </c>
      <c r="K809" s="26" t="s">
        <v>241</v>
      </c>
      <c r="L809" s="26" t="s">
        <v>351</v>
      </c>
      <c r="M809" s="26" t="s">
        <v>323</v>
      </c>
      <c r="N809" s="26">
        <v>80</v>
      </c>
      <c r="O809" s="26">
        <f>2024-Inventory[[#This Row],[YrBlt]]</f>
        <v>74</v>
      </c>
      <c r="P809" s="26">
        <f>2024-Inventory[[#This Row],[EffYr]]</f>
        <v>51</v>
      </c>
      <c r="Q809" s="25">
        <v>1950</v>
      </c>
      <c r="R809" s="25">
        <v>1973</v>
      </c>
      <c r="S809" s="25">
        <v>1209</v>
      </c>
      <c r="T809" s="27"/>
      <c r="U809" s="31"/>
      <c r="V809" s="31">
        <f>Inventory[[#This Row],[Bsmt]]-Inventory[[#This Row],[FnBsmt]]</f>
        <v>0</v>
      </c>
      <c r="W809" s="31"/>
      <c r="X809" s="27"/>
      <c r="Y809" s="27">
        <f>Inventory[[#This Row],[MainFn]]+Inventory[[#This Row],[UpprFn]]+Inventory[[#This Row],[FnBsmt]]+Inventory[[#This Row],[AddFn]]</f>
        <v>1209</v>
      </c>
      <c r="Z809" s="27">
        <v>1500</v>
      </c>
      <c r="AA809" s="25">
        <v>5</v>
      </c>
      <c r="AB809" s="32">
        <v>216</v>
      </c>
      <c r="AC809" s="27"/>
      <c r="AD809" s="27"/>
      <c r="AE809" s="27"/>
      <c r="AF809" s="27"/>
      <c r="AG809" s="27"/>
      <c r="AH809" s="27"/>
      <c r="AI809" s="25">
        <v>203029</v>
      </c>
      <c r="AJ809" s="25">
        <v>140090</v>
      </c>
      <c r="AK809" s="25">
        <v>0</v>
      </c>
      <c r="AL809" s="25">
        <v>256300</v>
      </c>
      <c r="AM809" s="25">
        <v>40600</v>
      </c>
      <c r="AN809" s="25">
        <v>215700</v>
      </c>
      <c r="AO809" s="25">
        <v>0</v>
      </c>
      <c r="AP809" s="25">
        <f>Lookups!$B$56*0</f>
        <v>0</v>
      </c>
      <c r="AQ809" s="25">
        <f>Lookups!$B$56*1</f>
        <v>89850.625589999996</v>
      </c>
      <c r="AR809" s="25">
        <f>Lookups!$B$57*Inventory[[#This Row],[LnAcres]]</f>
        <v>-67116.12750806773</v>
      </c>
      <c r="AS809" s="25">
        <f>VLOOKUP(Inventory[[#This Row],[Qlty]],Lookups!$A$62:$E$75,2,FALSE)</f>
        <v>21557.329055999999</v>
      </c>
      <c r="AT809" s="25">
        <f>VLOOKUP(Inventory[[#This Row],[Cnd]],Lookups!$A$76:$E$84,2,FALSE)</f>
        <v>160472.20319</v>
      </c>
      <c r="AU809" s="25">
        <f>Inventory[[#This Row],[EffAge]]*Lookups!$B$85</f>
        <v>-11375.3256255</v>
      </c>
      <c r="AV809" s="25">
        <f>Inventory[[#This Row],[MainFn]]*Lookups!$B$86</f>
        <v>59735.081881293001</v>
      </c>
      <c r="AW809" s="25">
        <f>Inventory[[#This Row],[UpprFn]]*Lookups!$B$87</f>
        <v>0</v>
      </c>
      <c r="AX809" s="25">
        <f>Inventory[[#This Row],[AddFn]]*Lookups!$B$88</f>
        <v>0</v>
      </c>
      <c r="AY809" s="25">
        <f>Inventory[[#This Row],[Bsmt]]*Lookups!$B$89</f>
        <v>0</v>
      </c>
      <c r="AZ809" s="25">
        <f>Inventory[[#This Row],[Fixtures]]*Lookups!$B$90</f>
        <v>18960.110526</v>
      </c>
      <c r="BA809" s="25">
        <f>Inventory[[#This Row],[WdDeck]]*Lookups!$B$91</f>
        <v>0</v>
      </c>
      <c r="BB809" s="25">
        <f>ROUND(Inventory[[#This Row],[25Det]],-2)</f>
        <v>0</v>
      </c>
      <c r="BC809" s="25">
        <f>ROUND(SUM(Inventory[[#This Row],[Mdl Qlty]:[Mdl WdDeck]])+Inventory[[#This Row],[Mdl Res Intercept]],-2)</f>
        <v>249300</v>
      </c>
      <c r="BD809" s="25">
        <f>ROUND(Inventory[[#This Row],[Mdl Land Intercept]]+Inventory[[#This Row],[Mdl LnAcres]],-2)</f>
        <v>22700</v>
      </c>
      <c r="BE809" s="25">
        <f>Inventory[[#This Row],[Unadj Res Value]]+Inventory[[#This Row],[Unadj Det Value]]+Inventory[[#This Row],[Unadj Land Value]]</f>
        <v>272000</v>
      </c>
      <c r="BF809" s="36">
        <f>(Inventory[[#This Row],[Unadj Total Value]]-Inventory[[#This Row],[24Final]])/Inventory[[#This Row],[24Final]]</f>
        <v>6.1256340226297307E-2</v>
      </c>
      <c r="BG809" s="25">
        <f>VLOOKUP(Inventory[[#This Row],[Nbhd]],Lookups!$Q$2:$T$4,4,FALSE)</f>
        <v>0.99970000000000003</v>
      </c>
      <c r="BH809" s="25">
        <f>VLOOKUP(Inventory[[#This Row],[Qlty]],Lookups!$O$7:$R$21,4,FALSE)</f>
        <v>1.0067999999999999</v>
      </c>
      <c r="BI809" s="25">
        <f>VLOOKUP(Inventory[[#This Row],[Cnd]],Lookups!$T$7:$W$16,4,FALSE)</f>
        <v>0.99729999999999996</v>
      </c>
      <c r="BJ809" s="25">
        <f>VLOOKUP(Inventory[[#This Row],[LivArea Range]],Lookups!$T$25:$W$37,4,FALSE)</f>
        <v>1.0157</v>
      </c>
      <c r="BK809" s="25">
        <f>VLOOKUP(Inventory[[#This Row],[Decade]],Lookups!$O$25:$R$42,4,FALSE)</f>
        <v>0.995</v>
      </c>
      <c r="BL809" s="25">
        <f>Inventory[[#This Row],[Nbhd Adj]]*0.95</f>
        <v>0.94971499999999998</v>
      </c>
      <c r="BM809" s="25">
        <f>Inventory[[#This Row],[Nbhd Adj]]*Inventory[[#This Row],[Quality Adj]]*Inventory[[#This Row],[Condition Adj]]*Inventory[[#This Row],[Living Area Adj]]*Inventory[[#This Row],[Decade Adj]]*0.95</f>
        <v>0.96371996573175212</v>
      </c>
      <c r="BN809" s="25">
        <f>ROUND(SUM(Inventory[[#This Row],[Mdl Qlty]:[Mdl WdDeck]])+Inventory[[#This Row],[Mdl Res Intercept]]*Inventory[[#This Row],[Res Adj ]],-2)</f>
        <v>249300</v>
      </c>
      <c r="BO809" s="25">
        <f>ROUND(Inventory[[#This Row],[25Det]]*Inventory[[#This Row],[Det/Nbhd Adj]],-2)</f>
        <v>0</v>
      </c>
      <c r="BP809" s="25">
        <f>Inventory[[#This Row],[Adjusted Res]]+Inventory[[#This Row],[Adj Det ]]</f>
        <v>249300</v>
      </c>
      <c r="BQ809" s="25">
        <f>ROUND((Inventory[[#This Row],[Mdl Land Intercept]]+Inventory[[#This Row],[Mdl LnAcres]])*Inventory[[#This Row],[Det/Nbhd Adj]],-2)</f>
        <v>21600</v>
      </c>
      <c r="BR809" s="25">
        <f>Inventory[[#This Row],[Adjusted Impr Total]]+Inventory[[#This Row],[Adjusted Land Total]]</f>
        <v>270900</v>
      </c>
      <c r="BS809" s="36">
        <f>IFERROR((Inventory[[#This Row],[Adjusted Impr Total]]-Inventory[[#This Row],[24Bldg]])/Inventory[[#This Row],[24Bldg]],0)</f>
        <v>0.15577190542420027</v>
      </c>
      <c r="BT809" s="36">
        <f>(Inventory[[#This Row],[Adjusted Land Total]]-Inventory[[#This Row],[24Lnd]])/Inventory[[#This Row],[24Lnd]]</f>
        <v>-0.46798029556650245</v>
      </c>
      <c r="BU809" s="36">
        <f>(Inventory[[#This Row],[Adjusted Total]]-Inventory[[#This Row],[24Final]])/Inventory[[#This Row],[24Final]]</f>
        <v>5.6964494732735078E-2</v>
      </c>
    </row>
    <row r="810" spans="1:73" x14ac:dyDescent="0.3">
      <c r="A810" s="25">
        <v>2025</v>
      </c>
      <c r="B810" s="26" t="s">
        <v>1495</v>
      </c>
      <c r="C810" s="85">
        <f>LN(Inventory[[#This Row],[Acres]])</f>
        <v>-1.3470736479666092</v>
      </c>
      <c r="D810" s="32">
        <v>0.26</v>
      </c>
      <c r="E810" s="25">
        <v>11466</v>
      </c>
      <c r="F810" s="26" t="s">
        <v>537</v>
      </c>
      <c r="G810" s="26" t="s">
        <v>126</v>
      </c>
      <c r="H810" s="26" t="s">
        <v>349</v>
      </c>
      <c r="I810" s="26" t="s">
        <v>538</v>
      </c>
      <c r="J810" s="26" t="s">
        <v>539</v>
      </c>
      <c r="K810" s="26" t="s">
        <v>241</v>
      </c>
      <c r="L810" s="26" t="s">
        <v>351</v>
      </c>
      <c r="M810" s="26" t="s">
        <v>323</v>
      </c>
      <c r="N810" s="26">
        <v>80</v>
      </c>
      <c r="O810" s="26">
        <f>2024-Inventory[[#This Row],[YrBlt]]</f>
        <v>74</v>
      </c>
      <c r="P810" s="26">
        <f>2024-Inventory[[#This Row],[EffYr]]</f>
        <v>51</v>
      </c>
      <c r="Q810" s="25">
        <v>1950</v>
      </c>
      <c r="R810" s="25">
        <v>1973</v>
      </c>
      <c r="S810" s="25">
        <v>2248</v>
      </c>
      <c r="T810" s="27"/>
      <c r="U810" s="25">
        <v>1349</v>
      </c>
      <c r="V810" s="25">
        <f>Inventory[[#This Row],[Bsmt]]-Inventory[[#This Row],[FnBsmt]]</f>
        <v>1349</v>
      </c>
      <c r="W810" s="31"/>
      <c r="X810" s="27"/>
      <c r="Y810" s="27">
        <f>Inventory[[#This Row],[MainFn]]+Inventory[[#This Row],[UpprFn]]+Inventory[[#This Row],[FnBsmt]]+Inventory[[#This Row],[AddFn]]</f>
        <v>2248</v>
      </c>
      <c r="Z810" s="27">
        <v>2500</v>
      </c>
      <c r="AA810" s="25">
        <v>9</v>
      </c>
      <c r="AB810" s="31"/>
      <c r="AC810" s="27"/>
      <c r="AD810" s="31"/>
      <c r="AE810" s="27"/>
      <c r="AF810" s="27"/>
      <c r="AG810" s="27"/>
      <c r="AH810" s="27"/>
      <c r="AI810" s="25">
        <v>406173</v>
      </c>
      <c r="AJ810" s="25">
        <v>280259</v>
      </c>
      <c r="AK810" s="25">
        <v>11807</v>
      </c>
      <c r="AL810" s="25">
        <v>389000</v>
      </c>
      <c r="AM810" s="25">
        <v>67600</v>
      </c>
      <c r="AN810" s="25">
        <v>321400</v>
      </c>
      <c r="AO810" s="25">
        <v>0</v>
      </c>
      <c r="AP810" s="25">
        <f>Lookups!$B$56*0</f>
        <v>0</v>
      </c>
      <c r="AQ810" s="25">
        <f>Lookups!$B$56*1</f>
        <v>89850.625589999996</v>
      </c>
      <c r="AR810" s="25">
        <f>Lookups!$B$57*Inventory[[#This Row],[LnAcres]]</f>
        <v>-42641.098701210125</v>
      </c>
      <c r="AS810" s="25">
        <f>VLOOKUP(Inventory[[#This Row],[Qlty]],Lookups!$A$62:$E$75,2,FALSE)</f>
        <v>21557.329055999999</v>
      </c>
      <c r="AT810" s="25">
        <f>VLOOKUP(Inventory[[#This Row],[Cnd]],Lookups!$A$76:$E$84,2,FALSE)</f>
        <v>160472.20319</v>
      </c>
      <c r="AU810" s="25">
        <f>Inventory[[#This Row],[EffAge]]*Lookups!$B$85</f>
        <v>-11375.3256255</v>
      </c>
      <c r="AV810" s="25">
        <f>Inventory[[#This Row],[MainFn]]*Lookups!$B$86</f>
        <v>111070.689883496</v>
      </c>
      <c r="AW810" s="25">
        <f>Inventory[[#This Row],[UpprFn]]*Lookups!$B$87</f>
        <v>0</v>
      </c>
      <c r="AX810" s="25">
        <f>Inventory[[#This Row],[AddFn]]*Lookups!$B$88</f>
        <v>0</v>
      </c>
      <c r="AY810" s="25">
        <f>Inventory[[#This Row],[Bsmt]]*Lookups!$B$89</f>
        <v>39231.476688202994</v>
      </c>
      <c r="AZ810" s="25">
        <f>Inventory[[#This Row],[Fixtures]]*Lookups!$B$90</f>
        <v>34128.198946800003</v>
      </c>
      <c r="BA810" s="25">
        <f>Inventory[[#This Row],[WdDeck]]*Lookups!$B$91</f>
        <v>0</v>
      </c>
      <c r="BB810" s="25">
        <f>ROUND(Inventory[[#This Row],[25Det]],-2)</f>
        <v>11800</v>
      </c>
      <c r="BC810" s="25">
        <f>ROUND(SUM(Inventory[[#This Row],[Mdl Qlty]:[Mdl WdDeck]])+Inventory[[#This Row],[Mdl Res Intercept]],-2)</f>
        <v>355100</v>
      </c>
      <c r="BD810" s="25">
        <f>ROUND(Inventory[[#This Row],[Mdl Land Intercept]]+Inventory[[#This Row],[Mdl LnAcres]],-2)</f>
        <v>47200</v>
      </c>
      <c r="BE810" s="25">
        <f>Inventory[[#This Row],[Unadj Res Value]]+Inventory[[#This Row],[Unadj Det Value]]+Inventory[[#This Row],[Unadj Land Value]]</f>
        <v>414100</v>
      </c>
      <c r="BF810" s="36">
        <f>(Inventory[[#This Row],[Unadj Total Value]]-Inventory[[#This Row],[24Final]])/Inventory[[#This Row],[24Final]]</f>
        <v>6.4524421593830331E-2</v>
      </c>
      <c r="BG810" s="25">
        <f>VLOOKUP(Inventory[[#This Row],[Nbhd]],Lookups!$Q$2:$T$4,4,FALSE)</f>
        <v>0.99970000000000003</v>
      </c>
      <c r="BH810" s="25">
        <f>VLOOKUP(Inventory[[#This Row],[Qlty]],Lookups!$O$7:$R$21,4,FALSE)</f>
        <v>1.0067999999999999</v>
      </c>
      <c r="BI810" s="25">
        <f>VLOOKUP(Inventory[[#This Row],[Cnd]],Lookups!$T$7:$W$16,4,FALSE)</f>
        <v>0.99729999999999996</v>
      </c>
      <c r="BJ810" s="25">
        <f>VLOOKUP(Inventory[[#This Row],[LivArea Range]],Lookups!$T$25:$W$37,4,FALSE)</f>
        <v>0.98919999999999997</v>
      </c>
      <c r="BK810" s="25">
        <f>VLOOKUP(Inventory[[#This Row],[Decade]],Lookups!$O$25:$R$42,4,FALSE)</f>
        <v>0.995</v>
      </c>
      <c r="BL810" s="25">
        <f>Inventory[[#This Row],[Nbhd Adj]]*0.95</f>
        <v>0.94971499999999998</v>
      </c>
      <c r="BM810" s="25">
        <f>Inventory[[#This Row],[Nbhd Adj]]*Inventory[[#This Row],[Quality Adj]]*Inventory[[#This Row],[Condition Adj]]*Inventory[[#This Row],[Living Area Adj]]*Inventory[[#This Row],[Decade Adj]]*0.95</f>
        <v>0.93857614463114025</v>
      </c>
      <c r="BN810" s="25">
        <f>ROUND(SUM(Inventory[[#This Row],[Mdl Qlty]:[Mdl WdDeck]])+Inventory[[#This Row],[Mdl Res Intercept]]*Inventory[[#This Row],[Res Adj ]],-2)</f>
        <v>355100</v>
      </c>
      <c r="BO810" s="25">
        <f>ROUND(Inventory[[#This Row],[25Det]]*Inventory[[#This Row],[Det/Nbhd Adj]],-2)</f>
        <v>11200</v>
      </c>
      <c r="BP810" s="25">
        <f>Inventory[[#This Row],[Adjusted Res]]+Inventory[[#This Row],[Adj Det ]]</f>
        <v>366300</v>
      </c>
      <c r="BQ810" s="25">
        <f>ROUND((Inventory[[#This Row],[Mdl Land Intercept]]+Inventory[[#This Row],[Mdl LnAcres]])*Inventory[[#This Row],[Det/Nbhd Adj]],-2)</f>
        <v>44800</v>
      </c>
      <c r="BR810" s="25">
        <f>Inventory[[#This Row],[Adjusted Impr Total]]+Inventory[[#This Row],[Adjusted Land Total]]</f>
        <v>411100</v>
      </c>
      <c r="BS810" s="36">
        <f>IFERROR((Inventory[[#This Row],[Adjusted Impr Total]]-Inventory[[#This Row],[24Bldg]])/Inventory[[#This Row],[24Bldg]],0)</f>
        <v>0.13970130678282514</v>
      </c>
      <c r="BT810" s="36">
        <f>(Inventory[[#This Row],[Adjusted Land Total]]-Inventory[[#This Row],[24Lnd]])/Inventory[[#This Row],[24Lnd]]</f>
        <v>-0.33727810650887574</v>
      </c>
      <c r="BU810" s="36">
        <f>(Inventory[[#This Row],[Adjusted Total]]-Inventory[[#This Row],[24Final]])/Inventory[[#This Row],[24Final]]</f>
        <v>5.6812339331619534E-2</v>
      </c>
    </row>
    <row r="811" spans="1:73" x14ac:dyDescent="0.3">
      <c r="A811" s="25">
        <v>2025</v>
      </c>
      <c r="B811" s="26" t="s">
        <v>1633</v>
      </c>
      <c r="C811" s="26">
        <f>LN(Inventory[[#This Row],[Acres]])</f>
        <v>-1.6094379124341003</v>
      </c>
      <c r="D811" s="25">
        <v>0.2</v>
      </c>
      <c r="E811" s="25">
        <v>8680</v>
      </c>
      <c r="F811" s="26" t="s">
        <v>537</v>
      </c>
      <c r="G811" s="26" t="s">
        <v>126</v>
      </c>
      <c r="H811" s="26" t="s">
        <v>349</v>
      </c>
      <c r="I811" s="26" t="s">
        <v>538</v>
      </c>
      <c r="J811" s="26" t="s">
        <v>539</v>
      </c>
      <c r="K811" s="26" t="s">
        <v>242</v>
      </c>
      <c r="L811" s="26" t="s">
        <v>302</v>
      </c>
      <c r="M811" s="26" t="s">
        <v>323</v>
      </c>
      <c r="N811" s="26">
        <v>80</v>
      </c>
      <c r="O811" s="26">
        <f>2024-Inventory[[#This Row],[YrBlt]]</f>
        <v>74</v>
      </c>
      <c r="P811" s="26">
        <f>2024-Inventory[[#This Row],[EffYr]]</f>
        <v>51</v>
      </c>
      <c r="Q811" s="25">
        <v>1950</v>
      </c>
      <c r="R811" s="25">
        <v>1973</v>
      </c>
      <c r="S811" s="25">
        <v>1034</v>
      </c>
      <c r="T811" s="27"/>
      <c r="U811" s="25">
        <v>455</v>
      </c>
      <c r="V811" s="25">
        <f>Inventory[[#This Row],[Bsmt]]-Inventory[[#This Row],[FnBsmt]]</f>
        <v>455</v>
      </c>
      <c r="W811" s="31"/>
      <c r="X811" s="27"/>
      <c r="Y811" s="27">
        <f>Inventory[[#This Row],[MainFn]]+Inventory[[#This Row],[UpprFn]]+Inventory[[#This Row],[FnBsmt]]+Inventory[[#This Row],[AddFn]]</f>
        <v>1034</v>
      </c>
      <c r="Z811" s="27">
        <v>1500</v>
      </c>
      <c r="AA811" s="25">
        <v>6</v>
      </c>
      <c r="AB811" s="32">
        <v>280</v>
      </c>
      <c r="AC811" s="27"/>
      <c r="AD811" s="27"/>
      <c r="AE811" s="27"/>
      <c r="AF811" s="27"/>
      <c r="AG811" s="27"/>
      <c r="AH811" s="27"/>
      <c r="AI811" s="25">
        <v>247320</v>
      </c>
      <c r="AJ811" s="25">
        <v>170651</v>
      </c>
      <c r="AK811" s="25">
        <v>0</v>
      </c>
      <c r="AL811" s="25">
        <v>286700</v>
      </c>
      <c r="AM811" s="25">
        <v>58400</v>
      </c>
      <c r="AN811" s="25">
        <v>228300</v>
      </c>
      <c r="AO811" s="25">
        <v>0</v>
      </c>
      <c r="AP811" s="25">
        <f>Lookups!$B$56*0</f>
        <v>0</v>
      </c>
      <c r="AQ811" s="25">
        <f>Lookups!$B$56*1</f>
        <v>89850.625589999996</v>
      </c>
      <c r="AR811" s="25">
        <f>Lookups!$B$57*Inventory[[#This Row],[LnAcres]]</f>
        <v>-50946.13867709865</v>
      </c>
      <c r="AS811" s="25">
        <f>VLOOKUP(Inventory[[#This Row],[Qlty]],Lookups!$A$62:$E$75,2,FALSE)</f>
        <v>29814.093161000001</v>
      </c>
      <c r="AT811" s="25">
        <f>VLOOKUP(Inventory[[#This Row],[Cnd]],Lookups!$A$76:$E$84,2,FALSE)</f>
        <v>160472.20319</v>
      </c>
      <c r="AU811" s="25">
        <f>Inventory[[#This Row],[EffAge]]*Lookups!$B$85</f>
        <v>-11375.3256255</v>
      </c>
      <c r="AV811" s="25">
        <f>Inventory[[#This Row],[MainFn]]*Lookups!$B$86</f>
        <v>51088.564652818</v>
      </c>
      <c r="AW811" s="25">
        <f>Inventory[[#This Row],[UpprFn]]*Lookups!$B$87</f>
        <v>0</v>
      </c>
      <c r="AX811" s="25">
        <f>Inventory[[#This Row],[AddFn]]*Lookups!$B$88</f>
        <v>0</v>
      </c>
      <c r="AY811" s="25">
        <f>Inventory[[#This Row],[Bsmt]]*Lookups!$B$89</f>
        <v>13232.262337385</v>
      </c>
      <c r="AZ811" s="25">
        <f>Inventory[[#This Row],[Fixtures]]*Lookups!$B$90</f>
        <v>22752.132631200002</v>
      </c>
      <c r="BA811" s="25">
        <f>Inventory[[#This Row],[WdDeck]]*Lookups!$B$91</f>
        <v>0</v>
      </c>
      <c r="BB811" s="25">
        <f>ROUND(Inventory[[#This Row],[25Det]],-2)</f>
        <v>0</v>
      </c>
      <c r="BC811" s="25">
        <f>ROUND(SUM(Inventory[[#This Row],[Mdl Qlty]:[Mdl WdDeck]])+Inventory[[#This Row],[Mdl Res Intercept]],-2)</f>
        <v>266000</v>
      </c>
      <c r="BD811" s="25">
        <f>ROUND(Inventory[[#This Row],[Mdl Land Intercept]]+Inventory[[#This Row],[Mdl LnAcres]],-2)</f>
        <v>38900</v>
      </c>
      <c r="BE811" s="25">
        <f>Inventory[[#This Row],[Unadj Res Value]]+Inventory[[#This Row],[Unadj Det Value]]+Inventory[[#This Row],[Unadj Land Value]]</f>
        <v>304900</v>
      </c>
      <c r="BF811" s="36">
        <f>(Inventory[[#This Row],[Unadj Total Value]]-Inventory[[#This Row],[24Final]])/Inventory[[#This Row],[24Final]]</f>
        <v>6.3480990582490404E-2</v>
      </c>
      <c r="BG811" s="25">
        <f>VLOOKUP(Inventory[[#This Row],[Nbhd]],Lookups!$Q$2:$T$4,4,FALSE)</f>
        <v>0.99970000000000003</v>
      </c>
      <c r="BH811" s="25">
        <f>VLOOKUP(Inventory[[#This Row],[Qlty]],Lookups!$O$7:$R$21,4,FALSE)</f>
        <v>1.0088999999999999</v>
      </c>
      <c r="BI811" s="25">
        <f>VLOOKUP(Inventory[[#This Row],[Cnd]],Lookups!$T$7:$W$16,4,FALSE)</f>
        <v>0.99729999999999996</v>
      </c>
      <c r="BJ811" s="25">
        <f>VLOOKUP(Inventory[[#This Row],[LivArea Range]],Lookups!$T$25:$W$37,4,FALSE)</f>
        <v>1.0157</v>
      </c>
      <c r="BK811" s="25">
        <f>VLOOKUP(Inventory[[#This Row],[Decade]],Lookups!$O$25:$R$42,4,FALSE)</f>
        <v>0.995</v>
      </c>
      <c r="BL811" s="25">
        <f>Inventory[[#This Row],[Nbhd Adj]]*0.95</f>
        <v>0.94971499999999998</v>
      </c>
      <c r="BM811" s="25">
        <f>Inventory[[#This Row],[Nbhd Adj]]*Inventory[[#This Row],[Quality Adj]]*Inventory[[#This Row],[Condition Adj]]*Inventory[[#This Row],[Living Area Adj]]*Inventory[[#This Row],[Decade Adj]]*0.95</f>
        <v>0.96573010868768849</v>
      </c>
      <c r="BN811" s="25">
        <f>ROUND(SUM(Inventory[[#This Row],[Mdl Qlty]:[Mdl WdDeck]])+Inventory[[#This Row],[Mdl Res Intercept]]*Inventory[[#This Row],[Res Adj ]],-2)</f>
        <v>266000</v>
      </c>
      <c r="BO811" s="25">
        <f>ROUND(Inventory[[#This Row],[25Det]]*Inventory[[#This Row],[Det/Nbhd Adj]],-2)</f>
        <v>0</v>
      </c>
      <c r="BP811" s="25">
        <f>Inventory[[#This Row],[Adjusted Res]]+Inventory[[#This Row],[Adj Det ]]</f>
        <v>266000</v>
      </c>
      <c r="BQ811" s="25">
        <f>ROUND((Inventory[[#This Row],[Mdl Land Intercept]]+Inventory[[#This Row],[Mdl LnAcres]])*Inventory[[#This Row],[Det/Nbhd Adj]],-2)</f>
        <v>36900</v>
      </c>
      <c r="BR811" s="25">
        <f>Inventory[[#This Row],[Adjusted Impr Total]]+Inventory[[#This Row],[Adjusted Land Total]]</f>
        <v>302900</v>
      </c>
      <c r="BS811" s="36">
        <f>IFERROR((Inventory[[#This Row],[Adjusted Impr Total]]-Inventory[[#This Row],[24Bldg]])/Inventory[[#This Row],[24Bldg]],0)</f>
        <v>0.1651335961454227</v>
      </c>
      <c r="BT811" s="36">
        <f>(Inventory[[#This Row],[Adjusted Land Total]]-Inventory[[#This Row],[24Lnd]])/Inventory[[#This Row],[24Lnd]]</f>
        <v>-0.36815068493150682</v>
      </c>
      <c r="BU811" s="36">
        <f>(Inventory[[#This Row],[Adjusted Total]]-Inventory[[#This Row],[24Final]])/Inventory[[#This Row],[24Final]]</f>
        <v>5.6505057551447503E-2</v>
      </c>
    </row>
    <row r="812" spans="1:73" x14ac:dyDescent="0.3">
      <c r="A812" s="25">
        <v>2025</v>
      </c>
      <c r="B812" s="26" t="s">
        <v>2008</v>
      </c>
      <c r="C812" s="26">
        <f>LN(Inventory[[#This Row],[Acres]])</f>
        <v>-0.6348782724359695</v>
      </c>
      <c r="D812" s="25">
        <v>0.53</v>
      </c>
      <c r="E812" s="25">
        <v>23117</v>
      </c>
      <c r="F812" s="26" t="s">
        <v>537</v>
      </c>
      <c r="G812" s="26" t="s">
        <v>126</v>
      </c>
      <c r="H812" s="26" t="s">
        <v>349</v>
      </c>
      <c r="I812" s="26" t="s">
        <v>538</v>
      </c>
      <c r="J812" s="26" t="s">
        <v>539</v>
      </c>
      <c r="K812" s="26" t="s">
        <v>173</v>
      </c>
      <c r="L812" s="26" t="s">
        <v>351</v>
      </c>
      <c r="M812" s="26" t="s">
        <v>303</v>
      </c>
      <c r="N812" s="26">
        <v>80</v>
      </c>
      <c r="O812" s="26">
        <f>2024-Inventory[[#This Row],[YrBlt]]</f>
        <v>74</v>
      </c>
      <c r="P812" s="26">
        <f>2024-Inventory[[#This Row],[EffYr]]</f>
        <v>51</v>
      </c>
      <c r="Q812" s="25">
        <v>1950</v>
      </c>
      <c r="R812" s="25">
        <v>1973</v>
      </c>
      <c r="S812" s="25">
        <v>1320</v>
      </c>
      <c r="T812" s="25">
        <v>1160</v>
      </c>
      <c r="U812" s="25">
        <v>1160</v>
      </c>
      <c r="V812" s="32">
        <f>Inventory[[#This Row],[Bsmt]]-Inventory[[#This Row],[FnBsmt]]</f>
        <v>229</v>
      </c>
      <c r="W812" s="32">
        <v>931</v>
      </c>
      <c r="X812" s="27"/>
      <c r="Y812" s="27">
        <f>Inventory[[#This Row],[MainFn]]+Inventory[[#This Row],[UpprFn]]+Inventory[[#This Row],[FnBsmt]]+Inventory[[#This Row],[AddFn]]</f>
        <v>3411</v>
      </c>
      <c r="Z812" s="27">
        <v>3500</v>
      </c>
      <c r="AA812" s="25">
        <v>11</v>
      </c>
      <c r="AB812" s="32">
        <v>441</v>
      </c>
      <c r="AC812" s="27"/>
      <c r="AD812" s="32">
        <v>200</v>
      </c>
      <c r="AE812" s="27"/>
      <c r="AF812" s="27"/>
      <c r="AG812" s="27"/>
      <c r="AH812" s="27"/>
      <c r="AI812" s="25">
        <v>460295</v>
      </c>
      <c r="AJ812" s="25">
        <v>326809</v>
      </c>
      <c r="AK812" s="25">
        <v>51170</v>
      </c>
      <c r="AL812" s="25">
        <v>494100</v>
      </c>
      <c r="AM812" s="25">
        <v>92400</v>
      </c>
      <c r="AN812" s="25">
        <v>401700</v>
      </c>
      <c r="AO812" s="25">
        <v>0</v>
      </c>
      <c r="AP812" s="25">
        <f>Lookups!$B$56*0</f>
        <v>0</v>
      </c>
      <c r="AQ812" s="25">
        <f>Lookups!$B$56*1</f>
        <v>89850.625589999996</v>
      </c>
      <c r="AR812" s="25">
        <f>Lookups!$B$57*Inventory[[#This Row],[LnAcres]]</f>
        <v>-20096.827756270526</v>
      </c>
      <c r="AS812" s="25">
        <f>VLOOKUP(Inventory[[#This Row],[Qlty]],Lookups!$A$62:$E$75,2,FALSE)</f>
        <v>21557.329055999999</v>
      </c>
      <c r="AT812" s="25">
        <f>VLOOKUP(Inventory[[#This Row],[Cnd]],Lookups!$A$76:$E$84,2,FALSE)</f>
        <v>197752.34721000001</v>
      </c>
      <c r="AU812" s="25">
        <f>Inventory[[#This Row],[EffAge]]*Lookups!$B$85</f>
        <v>-11375.3256255</v>
      </c>
      <c r="AV812" s="25">
        <f>Inventory[[#This Row],[MainFn]]*Lookups!$B$86</f>
        <v>65219.444237640004</v>
      </c>
      <c r="AW812" s="25">
        <f>Inventory[[#This Row],[UpprFn]]*Lookups!$B$87</f>
        <v>51952.250518759996</v>
      </c>
      <c r="AX812" s="25">
        <f>Inventory[[#This Row],[AddFn]]*Lookups!$B$88</f>
        <v>0</v>
      </c>
      <c r="AY812" s="25">
        <f>Inventory[[#This Row],[Bsmt]]*Lookups!$B$89</f>
        <v>33734.998486519995</v>
      </c>
      <c r="AZ812" s="25">
        <f>Inventory[[#This Row],[Fixtures]]*Lookups!$B$90</f>
        <v>41712.243157199999</v>
      </c>
      <c r="BA812" s="25">
        <f>Inventory[[#This Row],[WdDeck]]*Lookups!$B$91</f>
        <v>6659.1030552000011</v>
      </c>
      <c r="BB812" s="25">
        <f>ROUND(Inventory[[#This Row],[25Det]],-2)</f>
        <v>51200</v>
      </c>
      <c r="BC812" s="25">
        <f>ROUND(SUM(Inventory[[#This Row],[Mdl Qlty]:[Mdl WdDeck]])+Inventory[[#This Row],[Mdl Res Intercept]],-2)</f>
        <v>407200</v>
      </c>
      <c r="BD812" s="25">
        <f>ROUND(Inventory[[#This Row],[Mdl Land Intercept]]+Inventory[[#This Row],[Mdl LnAcres]],-2)</f>
        <v>69800</v>
      </c>
      <c r="BE812" s="25">
        <f>Inventory[[#This Row],[Unadj Res Value]]+Inventory[[#This Row],[Unadj Det Value]]+Inventory[[#This Row],[Unadj Land Value]]</f>
        <v>528200</v>
      </c>
      <c r="BF812" s="36">
        <f>(Inventory[[#This Row],[Unadj Total Value]]-Inventory[[#This Row],[24Final]])/Inventory[[#This Row],[24Final]]</f>
        <v>6.9014369560817648E-2</v>
      </c>
      <c r="BG812" s="25">
        <f>VLOOKUP(Inventory[[#This Row],[Nbhd]],Lookups!$Q$2:$T$4,4,FALSE)</f>
        <v>0.99970000000000003</v>
      </c>
      <c r="BH812" s="25">
        <f>VLOOKUP(Inventory[[#This Row],[Qlty]],Lookups!$O$7:$R$21,4,FALSE)</f>
        <v>1.0067999999999999</v>
      </c>
      <c r="BI812" s="25">
        <f>VLOOKUP(Inventory[[#This Row],[Cnd]],Lookups!$T$7:$W$16,4,FALSE)</f>
        <v>0.99650000000000005</v>
      </c>
      <c r="BJ812" s="25">
        <f>VLOOKUP(Inventory[[#This Row],[LivArea Range]],Lookups!$T$25:$W$37,4,FALSE)</f>
        <v>1.0126999999999999</v>
      </c>
      <c r="BK812" s="25">
        <f>VLOOKUP(Inventory[[#This Row],[Decade]],Lookups!$O$25:$R$42,4,FALSE)</f>
        <v>0.995</v>
      </c>
      <c r="BL812" s="25">
        <f>Inventory[[#This Row],[Nbhd Adj]]*0.95</f>
        <v>0.94971499999999998</v>
      </c>
      <c r="BM812" s="25">
        <f>Inventory[[#This Row],[Nbhd Adj]]*Inventory[[#This Row],[Quality Adj]]*Inventory[[#This Row],[Condition Adj]]*Inventory[[#This Row],[Living Area Adj]]*Inventory[[#This Row],[Decade Adj]]*0.95</f>
        <v>0.96010271551640491</v>
      </c>
      <c r="BN812" s="25">
        <f>ROUND(SUM(Inventory[[#This Row],[Mdl Qlty]:[Mdl WdDeck]])+Inventory[[#This Row],[Mdl Res Intercept]]*Inventory[[#This Row],[Res Adj ]],-2)</f>
        <v>407200</v>
      </c>
      <c r="BO812" s="25">
        <f>ROUND(Inventory[[#This Row],[25Det]]*Inventory[[#This Row],[Det/Nbhd Adj]],-2)</f>
        <v>48600</v>
      </c>
      <c r="BP812" s="25">
        <f>Inventory[[#This Row],[Adjusted Res]]+Inventory[[#This Row],[Adj Det ]]</f>
        <v>455800</v>
      </c>
      <c r="BQ812" s="25">
        <f>ROUND((Inventory[[#This Row],[Mdl Land Intercept]]+Inventory[[#This Row],[Mdl LnAcres]])*Inventory[[#This Row],[Det/Nbhd Adj]],-2)</f>
        <v>66200</v>
      </c>
      <c r="BR812" s="25">
        <f>Inventory[[#This Row],[Adjusted Impr Total]]+Inventory[[#This Row],[Adjusted Land Total]]</f>
        <v>522000</v>
      </c>
      <c r="BS812" s="36">
        <f>IFERROR((Inventory[[#This Row],[Adjusted Impr Total]]-Inventory[[#This Row],[24Bldg]])/Inventory[[#This Row],[24Bldg]],0)</f>
        <v>0.13467762011451331</v>
      </c>
      <c r="BT812" s="36">
        <f>(Inventory[[#This Row],[Adjusted Land Total]]-Inventory[[#This Row],[24Lnd]])/Inventory[[#This Row],[24Lnd]]</f>
        <v>-0.28354978354978355</v>
      </c>
      <c r="BU812" s="36">
        <f>(Inventory[[#This Row],[Adjusted Total]]-Inventory[[#This Row],[24Final]])/Inventory[[#This Row],[24Final]]</f>
        <v>5.6466302367941715E-2</v>
      </c>
    </row>
    <row r="813" spans="1:73" x14ac:dyDescent="0.3">
      <c r="A813" s="25">
        <v>2025</v>
      </c>
      <c r="B813" s="26" t="s">
        <v>1878</v>
      </c>
      <c r="C813" s="26">
        <f>LN(Inventory[[#This Row],[Acres]])</f>
        <v>-1.3470736479666092</v>
      </c>
      <c r="D813" s="25">
        <v>0.26</v>
      </c>
      <c r="E813" s="25">
        <v>11200</v>
      </c>
      <c r="F813" s="26" t="s">
        <v>537</v>
      </c>
      <c r="G813" s="26" t="s">
        <v>126</v>
      </c>
      <c r="H813" s="26" t="s">
        <v>349</v>
      </c>
      <c r="I813" s="26" t="s">
        <v>538</v>
      </c>
      <c r="J813" s="26" t="s">
        <v>539</v>
      </c>
      <c r="K813" s="26" t="s">
        <v>242</v>
      </c>
      <c r="L813" s="26" t="s">
        <v>148</v>
      </c>
      <c r="M813" s="26" t="s">
        <v>303</v>
      </c>
      <c r="N813" s="26">
        <v>80</v>
      </c>
      <c r="O813" s="26">
        <f>2024-Inventory[[#This Row],[YrBlt]]</f>
        <v>74</v>
      </c>
      <c r="P813" s="26">
        <f>2024-Inventory[[#This Row],[EffYr]]</f>
        <v>51</v>
      </c>
      <c r="Q813" s="25">
        <v>1950</v>
      </c>
      <c r="R813" s="25">
        <v>1973</v>
      </c>
      <c r="S813" s="25">
        <v>2006</v>
      </c>
      <c r="T813" s="27"/>
      <c r="U813" s="25">
        <v>240</v>
      </c>
      <c r="V813" s="32">
        <f>Inventory[[#This Row],[Bsmt]]-Inventory[[#This Row],[FnBsmt]]</f>
        <v>0</v>
      </c>
      <c r="W813" s="32">
        <v>240</v>
      </c>
      <c r="X813" s="27"/>
      <c r="Y813" s="27">
        <f>Inventory[[#This Row],[MainFn]]+Inventory[[#This Row],[UpprFn]]+Inventory[[#This Row],[FnBsmt]]+Inventory[[#This Row],[AddFn]]</f>
        <v>2246</v>
      </c>
      <c r="Z813" s="27">
        <v>2500</v>
      </c>
      <c r="AA813" s="25">
        <v>8</v>
      </c>
      <c r="AB813" s="27"/>
      <c r="AC813" s="27"/>
      <c r="AD813" s="27"/>
      <c r="AE813" s="27"/>
      <c r="AF813" s="27"/>
      <c r="AG813" s="27"/>
      <c r="AH813" s="27"/>
      <c r="AI813" s="25">
        <v>496334</v>
      </c>
      <c r="AJ813" s="25">
        <v>352397</v>
      </c>
      <c r="AK813" s="25">
        <v>8098</v>
      </c>
      <c r="AL813" s="25">
        <v>397100</v>
      </c>
      <c r="AM813" s="25">
        <v>67600</v>
      </c>
      <c r="AN813" s="25">
        <v>329500</v>
      </c>
      <c r="AO813" s="25">
        <v>0</v>
      </c>
      <c r="AP813" s="25">
        <f>Lookups!$B$56*0</f>
        <v>0</v>
      </c>
      <c r="AQ813" s="25">
        <f>Lookups!$B$56*1</f>
        <v>89850.625589999996</v>
      </c>
      <c r="AR813" s="25">
        <f>Lookups!$B$57*Inventory[[#This Row],[LnAcres]]</f>
        <v>-42641.098701210125</v>
      </c>
      <c r="AS813" s="25">
        <f>VLOOKUP(Inventory[[#This Row],[Qlty]],Lookups!$A$62:$E$75,2,FALSE)</f>
        <v>44121.038090000002</v>
      </c>
      <c r="AT813" s="25">
        <f>VLOOKUP(Inventory[[#This Row],[Cnd]],Lookups!$A$76:$E$84,2,FALSE)</f>
        <v>197752.34721000001</v>
      </c>
      <c r="AU813" s="25">
        <f>Inventory[[#This Row],[EffAge]]*Lookups!$B$85</f>
        <v>-11375.3256255</v>
      </c>
      <c r="AV813" s="25">
        <f>Inventory[[#This Row],[MainFn]]*Lookups!$B$86</f>
        <v>99113.791773261997</v>
      </c>
      <c r="AW813" s="25">
        <f>Inventory[[#This Row],[UpprFn]]*Lookups!$B$87</f>
        <v>0</v>
      </c>
      <c r="AX813" s="25">
        <f>Inventory[[#This Row],[AddFn]]*Lookups!$B$88</f>
        <v>0</v>
      </c>
      <c r="AY813" s="25">
        <f>Inventory[[#This Row],[Bsmt]]*Lookups!$B$89</f>
        <v>6979.65485928</v>
      </c>
      <c r="AZ813" s="25">
        <f>Inventory[[#This Row],[Fixtures]]*Lookups!$B$90</f>
        <v>30336.176841600001</v>
      </c>
      <c r="BA813" s="25">
        <f>Inventory[[#This Row],[WdDeck]]*Lookups!$B$91</f>
        <v>0</v>
      </c>
      <c r="BB813" s="25">
        <f>ROUND(Inventory[[#This Row],[25Det]],-2)</f>
        <v>8100</v>
      </c>
      <c r="BC813" s="25">
        <f>ROUND(SUM(Inventory[[#This Row],[Mdl Qlty]:[Mdl WdDeck]])+Inventory[[#This Row],[Mdl Res Intercept]],-2)</f>
        <v>366900</v>
      </c>
      <c r="BD813" s="25">
        <f>ROUND(Inventory[[#This Row],[Mdl Land Intercept]]+Inventory[[#This Row],[Mdl LnAcres]],-2)</f>
        <v>47200</v>
      </c>
      <c r="BE813" s="25">
        <f>Inventory[[#This Row],[Unadj Res Value]]+Inventory[[#This Row],[Unadj Det Value]]+Inventory[[#This Row],[Unadj Land Value]]</f>
        <v>422200</v>
      </c>
      <c r="BF813" s="36">
        <f>(Inventory[[#This Row],[Unadj Total Value]]-Inventory[[#This Row],[24Final]])/Inventory[[#This Row],[24Final]]</f>
        <v>6.3208259884160164E-2</v>
      </c>
      <c r="BG813" s="25">
        <f>VLOOKUP(Inventory[[#This Row],[Nbhd]],Lookups!$Q$2:$T$4,4,FALSE)</f>
        <v>0.99970000000000003</v>
      </c>
      <c r="BH813" s="25">
        <f>VLOOKUP(Inventory[[#This Row],[Qlty]],Lookups!$O$7:$R$21,4,FALSE)</f>
        <v>0.98050000000000004</v>
      </c>
      <c r="BI813" s="25">
        <f>VLOOKUP(Inventory[[#This Row],[Cnd]],Lookups!$T$7:$W$16,4,FALSE)</f>
        <v>0.99650000000000005</v>
      </c>
      <c r="BJ813" s="25">
        <f>VLOOKUP(Inventory[[#This Row],[LivArea Range]],Lookups!$T$25:$W$37,4,FALSE)</f>
        <v>0.98919999999999997</v>
      </c>
      <c r="BK813" s="25">
        <f>VLOOKUP(Inventory[[#This Row],[Decade]],Lookups!$O$25:$R$42,4,FALSE)</f>
        <v>0.995</v>
      </c>
      <c r="BL813" s="25">
        <f>Inventory[[#This Row],[Nbhd Adj]]*0.95</f>
        <v>0.94971499999999998</v>
      </c>
      <c r="BM813" s="25">
        <f>Inventory[[#This Row],[Nbhd Adj]]*Inventory[[#This Row],[Quality Adj]]*Inventory[[#This Row],[Condition Adj]]*Inventory[[#This Row],[Living Area Adj]]*Inventory[[#This Row],[Decade Adj]]*0.95</f>
        <v>0.91332508691872449</v>
      </c>
      <c r="BN813" s="25">
        <f>ROUND(SUM(Inventory[[#This Row],[Mdl Qlty]:[Mdl WdDeck]])+Inventory[[#This Row],[Mdl Res Intercept]]*Inventory[[#This Row],[Res Adj ]],-2)</f>
        <v>366900</v>
      </c>
      <c r="BO813" s="25">
        <f>ROUND(Inventory[[#This Row],[25Det]]*Inventory[[#This Row],[Det/Nbhd Adj]],-2)</f>
        <v>7700</v>
      </c>
      <c r="BP813" s="25">
        <f>Inventory[[#This Row],[Adjusted Res]]+Inventory[[#This Row],[Adj Det ]]</f>
        <v>374600</v>
      </c>
      <c r="BQ813" s="25">
        <f>ROUND((Inventory[[#This Row],[Mdl Land Intercept]]+Inventory[[#This Row],[Mdl LnAcres]])*Inventory[[#This Row],[Det/Nbhd Adj]],-2)</f>
        <v>44800</v>
      </c>
      <c r="BR813" s="25">
        <f>Inventory[[#This Row],[Adjusted Impr Total]]+Inventory[[#This Row],[Adjusted Land Total]]</f>
        <v>419400</v>
      </c>
      <c r="BS813" s="36">
        <f>IFERROR((Inventory[[#This Row],[Adjusted Impr Total]]-Inventory[[#This Row],[24Bldg]])/Inventory[[#This Row],[24Bldg]],0)</f>
        <v>0.13687405159332322</v>
      </c>
      <c r="BT813" s="36">
        <f>(Inventory[[#This Row],[Adjusted Land Total]]-Inventory[[#This Row],[24Lnd]])/Inventory[[#This Row],[24Lnd]]</f>
        <v>-0.33727810650887574</v>
      </c>
      <c r="BU813" s="36">
        <f>(Inventory[[#This Row],[Adjusted Total]]-Inventory[[#This Row],[24Final]])/Inventory[[#This Row],[24Final]]</f>
        <v>5.6157139259632331E-2</v>
      </c>
    </row>
    <row r="814" spans="1:73" x14ac:dyDescent="0.3">
      <c r="A814" s="25">
        <v>2025</v>
      </c>
      <c r="B814" s="26" t="s">
        <v>1750</v>
      </c>
      <c r="C814" s="26">
        <f>LN(Inventory[[#This Row],[Acres]])</f>
        <v>-1.6094379124341003</v>
      </c>
      <c r="D814" s="25">
        <v>0.2</v>
      </c>
      <c r="E814" s="31"/>
      <c r="F814" s="26" t="s">
        <v>537</v>
      </c>
      <c r="G814" s="26" t="s">
        <v>126</v>
      </c>
      <c r="H814" s="26" t="s">
        <v>349</v>
      </c>
      <c r="I814" s="26" t="s">
        <v>538</v>
      </c>
      <c r="J814" s="26" t="s">
        <v>539</v>
      </c>
      <c r="K814" s="26" t="s">
        <v>242</v>
      </c>
      <c r="L814" s="26" t="s">
        <v>351</v>
      </c>
      <c r="M814" s="26" t="s">
        <v>323</v>
      </c>
      <c r="N814" s="26">
        <v>80</v>
      </c>
      <c r="O814" s="26">
        <f>2024-Inventory[[#This Row],[YrBlt]]</f>
        <v>74</v>
      </c>
      <c r="P814" s="26">
        <f>2024-Inventory[[#This Row],[EffYr]]</f>
        <v>51</v>
      </c>
      <c r="Q814" s="25">
        <v>1950</v>
      </c>
      <c r="R814" s="25">
        <v>1973</v>
      </c>
      <c r="S814" s="25">
        <v>1093</v>
      </c>
      <c r="T814" s="31"/>
      <c r="U814" s="27"/>
      <c r="V814" s="27">
        <f>Inventory[[#This Row],[Bsmt]]-Inventory[[#This Row],[FnBsmt]]</f>
        <v>0</v>
      </c>
      <c r="W814" s="27"/>
      <c r="X814" s="27"/>
      <c r="Y814" s="27">
        <f>Inventory[[#This Row],[MainFn]]+Inventory[[#This Row],[UpprFn]]+Inventory[[#This Row],[FnBsmt]]+Inventory[[#This Row],[AddFn]]</f>
        <v>1093</v>
      </c>
      <c r="Z814" s="27">
        <v>1500</v>
      </c>
      <c r="AA814" s="25">
        <v>5</v>
      </c>
      <c r="AB814" s="27"/>
      <c r="AC814" s="27"/>
      <c r="AD814" s="31"/>
      <c r="AE814" s="27"/>
      <c r="AF814" s="27"/>
      <c r="AG814" s="27"/>
      <c r="AH814" s="27"/>
      <c r="AI814" s="25">
        <v>188408</v>
      </c>
      <c r="AJ814" s="25">
        <v>130002</v>
      </c>
      <c r="AK814" s="25">
        <v>8527</v>
      </c>
      <c r="AL814" s="25">
        <v>273400</v>
      </c>
      <c r="AM814" s="25">
        <v>58400</v>
      </c>
      <c r="AN814" s="25">
        <v>215000</v>
      </c>
      <c r="AO814" s="25">
        <v>0</v>
      </c>
      <c r="AP814" s="25">
        <f>Lookups!$B$56*0</f>
        <v>0</v>
      </c>
      <c r="AQ814" s="25">
        <f>Lookups!$B$56*1</f>
        <v>89850.625589999996</v>
      </c>
      <c r="AR814" s="25">
        <f>Lookups!$B$57*Inventory[[#This Row],[LnAcres]]</f>
        <v>-50946.13867709865</v>
      </c>
      <c r="AS814" s="25">
        <f>VLOOKUP(Inventory[[#This Row],[Qlty]],Lookups!$A$62:$E$75,2,FALSE)</f>
        <v>21557.329055999999</v>
      </c>
      <c r="AT814" s="25">
        <f>VLOOKUP(Inventory[[#This Row],[Cnd]],Lookups!$A$76:$E$84,2,FALSE)</f>
        <v>160472.20319</v>
      </c>
      <c r="AU814" s="25">
        <f>Inventory[[#This Row],[EffAge]]*Lookups!$B$85</f>
        <v>-11375.3256255</v>
      </c>
      <c r="AV814" s="25">
        <f>Inventory[[#This Row],[MainFn]]*Lookups!$B$86</f>
        <v>54003.676175560999</v>
      </c>
      <c r="AW814" s="25">
        <f>Inventory[[#This Row],[UpprFn]]*Lookups!$B$87</f>
        <v>0</v>
      </c>
      <c r="AX814" s="25">
        <f>Inventory[[#This Row],[AddFn]]*Lookups!$B$88</f>
        <v>0</v>
      </c>
      <c r="AY814" s="25">
        <f>Inventory[[#This Row],[Bsmt]]*Lookups!$B$89</f>
        <v>0</v>
      </c>
      <c r="AZ814" s="25">
        <f>Inventory[[#This Row],[Fixtures]]*Lookups!$B$90</f>
        <v>18960.110526</v>
      </c>
      <c r="BA814" s="25">
        <f>Inventory[[#This Row],[WdDeck]]*Lookups!$B$91</f>
        <v>0</v>
      </c>
      <c r="BB814" s="25">
        <f>ROUND(Inventory[[#This Row],[25Det]],-2)</f>
        <v>8500</v>
      </c>
      <c r="BC814" s="25">
        <f>ROUND(SUM(Inventory[[#This Row],[Mdl Qlty]:[Mdl WdDeck]])+Inventory[[#This Row],[Mdl Res Intercept]],-2)</f>
        <v>243600</v>
      </c>
      <c r="BD814" s="25">
        <f>ROUND(Inventory[[#This Row],[Mdl Land Intercept]]+Inventory[[#This Row],[Mdl LnAcres]],-2)</f>
        <v>38900</v>
      </c>
      <c r="BE814" s="25">
        <f>Inventory[[#This Row],[Unadj Res Value]]+Inventory[[#This Row],[Unadj Det Value]]+Inventory[[#This Row],[Unadj Land Value]]</f>
        <v>291000</v>
      </c>
      <c r="BF814" s="36">
        <f>(Inventory[[#This Row],[Unadj Total Value]]-Inventory[[#This Row],[24Final]])/Inventory[[#This Row],[24Final]]</f>
        <v>6.4374542794440381E-2</v>
      </c>
      <c r="BG814" s="25">
        <f>VLOOKUP(Inventory[[#This Row],[Nbhd]],Lookups!$Q$2:$T$4,4,FALSE)</f>
        <v>0.99970000000000003</v>
      </c>
      <c r="BH814" s="25">
        <f>VLOOKUP(Inventory[[#This Row],[Qlty]],Lookups!$O$7:$R$21,4,FALSE)</f>
        <v>1.0067999999999999</v>
      </c>
      <c r="BI814" s="25">
        <f>VLOOKUP(Inventory[[#This Row],[Cnd]],Lookups!$T$7:$W$16,4,FALSE)</f>
        <v>0.99729999999999996</v>
      </c>
      <c r="BJ814" s="25">
        <f>VLOOKUP(Inventory[[#This Row],[LivArea Range]],Lookups!$T$25:$W$37,4,FALSE)</f>
        <v>1.0157</v>
      </c>
      <c r="BK814" s="25">
        <f>VLOOKUP(Inventory[[#This Row],[Decade]],Lookups!$O$25:$R$42,4,FALSE)</f>
        <v>0.995</v>
      </c>
      <c r="BL814" s="25">
        <f>Inventory[[#This Row],[Nbhd Adj]]*0.95</f>
        <v>0.94971499999999998</v>
      </c>
      <c r="BM814" s="25">
        <f>Inventory[[#This Row],[Nbhd Adj]]*Inventory[[#This Row],[Quality Adj]]*Inventory[[#This Row],[Condition Adj]]*Inventory[[#This Row],[Living Area Adj]]*Inventory[[#This Row],[Decade Adj]]*0.95</f>
        <v>0.96371996573175212</v>
      </c>
      <c r="BN814" s="25">
        <f>ROUND(SUM(Inventory[[#This Row],[Mdl Qlty]:[Mdl WdDeck]])+Inventory[[#This Row],[Mdl Res Intercept]]*Inventory[[#This Row],[Res Adj ]],-2)</f>
        <v>243600</v>
      </c>
      <c r="BO814" s="25">
        <f>ROUND(Inventory[[#This Row],[25Det]]*Inventory[[#This Row],[Det/Nbhd Adj]],-2)</f>
        <v>8100</v>
      </c>
      <c r="BP814" s="25">
        <f>Inventory[[#This Row],[Adjusted Res]]+Inventory[[#This Row],[Adj Det ]]</f>
        <v>251700</v>
      </c>
      <c r="BQ814" s="25">
        <f>ROUND((Inventory[[#This Row],[Mdl Land Intercept]]+Inventory[[#This Row],[Mdl LnAcres]])*Inventory[[#This Row],[Det/Nbhd Adj]],-2)</f>
        <v>36900</v>
      </c>
      <c r="BR814" s="25">
        <f>Inventory[[#This Row],[Adjusted Impr Total]]+Inventory[[#This Row],[Adjusted Land Total]]</f>
        <v>288600</v>
      </c>
      <c r="BS814" s="36">
        <f>IFERROR((Inventory[[#This Row],[Adjusted Impr Total]]-Inventory[[#This Row],[24Bldg]])/Inventory[[#This Row],[24Bldg]],0)</f>
        <v>0.17069767441860464</v>
      </c>
      <c r="BT814" s="36">
        <f>(Inventory[[#This Row],[Adjusted Land Total]]-Inventory[[#This Row],[24Lnd]])/Inventory[[#This Row],[24Lnd]]</f>
        <v>-0.36815068493150682</v>
      </c>
      <c r="BU814" s="36">
        <f>(Inventory[[#This Row],[Adjusted Total]]-Inventory[[#This Row],[24Final]])/Inventory[[#This Row],[24Final]]</f>
        <v>5.5596196049743966E-2</v>
      </c>
    </row>
    <row r="815" spans="1:73" x14ac:dyDescent="0.3">
      <c r="A815" s="25">
        <v>2025</v>
      </c>
      <c r="B815" s="26" t="s">
        <v>2313</v>
      </c>
      <c r="C815" s="26">
        <f>LN(Inventory[[#This Row],[Acres]])</f>
        <v>-1.6607312068216509</v>
      </c>
      <c r="D815" s="25">
        <v>0.19</v>
      </c>
      <c r="E815" s="25">
        <v>8406</v>
      </c>
      <c r="F815" s="26" t="s">
        <v>537</v>
      </c>
      <c r="G815" s="26" t="s">
        <v>126</v>
      </c>
      <c r="H815" s="26" t="s">
        <v>349</v>
      </c>
      <c r="I815" s="26" t="s">
        <v>538</v>
      </c>
      <c r="J815" s="26" t="s">
        <v>539</v>
      </c>
      <c r="K815" s="26" t="s">
        <v>242</v>
      </c>
      <c r="L815" s="26" t="s">
        <v>351</v>
      </c>
      <c r="M815" s="26" t="s">
        <v>323</v>
      </c>
      <c r="N815" s="26">
        <v>80</v>
      </c>
      <c r="O815" s="26">
        <f>2024-Inventory[[#This Row],[YrBlt]]</f>
        <v>74</v>
      </c>
      <c r="P815" s="26">
        <f>2024-Inventory[[#This Row],[EffYr]]</f>
        <v>51</v>
      </c>
      <c r="Q815" s="25">
        <v>1950</v>
      </c>
      <c r="R815" s="25">
        <v>1973</v>
      </c>
      <c r="S815" s="25">
        <v>1015</v>
      </c>
      <c r="T815" s="27"/>
      <c r="U815" s="32">
        <v>1015</v>
      </c>
      <c r="V815" s="32">
        <f>Inventory[[#This Row],[Bsmt]]-Inventory[[#This Row],[FnBsmt]]</f>
        <v>507</v>
      </c>
      <c r="W815" s="32">
        <v>508</v>
      </c>
      <c r="X815" s="27"/>
      <c r="Y815" s="27">
        <f>Inventory[[#This Row],[MainFn]]+Inventory[[#This Row],[UpprFn]]+Inventory[[#This Row],[FnBsmt]]+Inventory[[#This Row],[AddFn]]</f>
        <v>1523</v>
      </c>
      <c r="Z815" s="27">
        <v>2000</v>
      </c>
      <c r="AA815" s="25">
        <v>5</v>
      </c>
      <c r="AB815" s="31"/>
      <c r="AC815" s="27"/>
      <c r="AD815" s="27"/>
      <c r="AE815" s="27"/>
      <c r="AF815" s="27"/>
      <c r="AG815" s="27"/>
      <c r="AH815" s="27"/>
      <c r="AI815" s="25">
        <v>241217</v>
      </c>
      <c r="AJ815" s="25">
        <v>166440</v>
      </c>
      <c r="AK815" s="25">
        <v>6603</v>
      </c>
      <c r="AL815" s="25">
        <v>294700</v>
      </c>
      <c r="AM815" s="25">
        <v>56600</v>
      </c>
      <c r="AN815" s="25">
        <v>238100</v>
      </c>
      <c r="AO815" s="25">
        <v>0</v>
      </c>
      <c r="AP815" s="25">
        <f>Lookups!$B$56*0</f>
        <v>0</v>
      </c>
      <c r="AQ815" s="25">
        <f>Lookups!$B$56*1</f>
        <v>89850.625589999996</v>
      </c>
      <c r="AR815" s="25">
        <f>Lookups!$B$57*Inventory[[#This Row],[LnAcres]]</f>
        <v>-52569.808201026557</v>
      </c>
      <c r="AS815" s="25">
        <f>VLOOKUP(Inventory[[#This Row],[Qlty]],Lookups!$A$62:$E$75,2,FALSE)</f>
        <v>21557.329055999999</v>
      </c>
      <c r="AT815" s="25">
        <f>VLOOKUP(Inventory[[#This Row],[Cnd]],Lookups!$A$76:$E$84,2,FALSE)</f>
        <v>160472.20319</v>
      </c>
      <c r="AU815" s="25">
        <f>Inventory[[#This Row],[EffAge]]*Lookups!$B$85</f>
        <v>-11375.3256255</v>
      </c>
      <c r="AV815" s="25">
        <f>Inventory[[#This Row],[MainFn]]*Lookups!$B$86</f>
        <v>50149.799925154999</v>
      </c>
      <c r="AW815" s="25">
        <f>Inventory[[#This Row],[UpprFn]]*Lookups!$B$87</f>
        <v>0</v>
      </c>
      <c r="AX815" s="25">
        <f>Inventory[[#This Row],[AddFn]]*Lookups!$B$88</f>
        <v>0</v>
      </c>
      <c r="AY815" s="25">
        <f>Inventory[[#This Row],[Bsmt]]*Lookups!$B$89</f>
        <v>29518.123675704999</v>
      </c>
      <c r="AZ815" s="25">
        <f>Inventory[[#This Row],[Fixtures]]*Lookups!$B$90</f>
        <v>18960.110526</v>
      </c>
      <c r="BA815" s="25">
        <f>Inventory[[#This Row],[WdDeck]]*Lookups!$B$91</f>
        <v>0</v>
      </c>
      <c r="BB815" s="25">
        <f>ROUND(Inventory[[#This Row],[25Det]],-2)</f>
        <v>6600</v>
      </c>
      <c r="BC815" s="25">
        <f>ROUND(SUM(Inventory[[#This Row],[Mdl Qlty]:[Mdl WdDeck]])+Inventory[[#This Row],[Mdl Res Intercept]],-2)</f>
        <v>269300</v>
      </c>
      <c r="BD815" s="25">
        <f>ROUND(Inventory[[#This Row],[Mdl Land Intercept]]+Inventory[[#This Row],[Mdl LnAcres]],-2)</f>
        <v>37300</v>
      </c>
      <c r="BE815" s="25">
        <f>Inventory[[#This Row],[Unadj Res Value]]+Inventory[[#This Row],[Unadj Det Value]]+Inventory[[#This Row],[Unadj Land Value]]</f>
        <v>313200</v>
      </c>
      <c r="BF815" s="36">
        <f>(Inventory[[#This Row],[Unadj Total Value]]-Inventory[[#This Row],[24Final]])/Inventory[[#This Row],[24Final]]</f>
        <v>6.2775704105870384E-2</v>
      </c>
      <c r="BG815" s="25">
        <f>VLOOKUP(Inventory[[#This Row],[Nbhd]],Lookups!$Q$2:$T$4,4,FALSE)</f>
        <v>0.99970000000000003</v>
      </c>
      <c r="BH815" s="25">
        <f>VLOOKUP(Inventory[[#This Row],[Qlty]],Lookups!$O$7:$R$21,4,FALSE)</f>
        <v>1.0067999999999999</v>
      </c>
      <c r="BI815" s="25">
        <f>VLOOKUP(Inventory[[#This Row],[Cnd]],Lookups!$T$7:$W$16,4,FALSE)</f>
        <v>0.99729999999999996</v>
      </c>
      <c r="BJ815" s="25">
        <f>VLOOKUP(Inventory[[#This Row],[LivArea Range]],Lookups!$T$25:$W$37,4,FALSE)</f>
        <v>1.0093000000000001</v>
      </c>
      <c r="BK815" s="25">
        <f>VLOOKUP(Inventory[[#This Row],[Decade]],Lookups!$O$25:$R$42,4,FALSE)</f>
        <v>0.995</v>
      </c>
      <c r="BL815" s="25">
        <f>Inventory[[#This Row],[Nbhd Adj]]*0.95</f>
        <v>0.94971499999999998</v>
      </c>
      <c r="BM815" s="25">
        <f>Inventory[[#This Row],[Nbhd Adj]]*Inventory[[#This Row],[Quality Adj]]*Inventory[[#This Row],[Condition Adj]]*Inventory[[#This Row],[Living Area Adj]]*Inventory[[#This Row],[Decade Adj]]*0.95</f>
        <v>0.957647495730095</v>
      </c>
      <c r="BN815" s="25">
        <f>ROUND(SUM(Inventory[[#This Row],[Mdl Qlty]:[Mdl WdDeck]])+Inventory[[#This Row],[Mdl Res Intercept]]*Inventory[[#This Row],[Res Adj ]],-2)</f>
        <v>269300</v>
      </c>
      <c r="BO815" s="25">
        <f>ROUND(Inventory[[#This Row],[25Det]]*Inventory[[#This Row],[Det/Nbhd Adj]],-2)</f>
        <v>6300</v>
      </c>
      <c r="BP815" s="25">
        <f>Inventory[[#This Row],[Adjusted Res]]+Inventory[[#This Row],[Adj Det ]]</f>
        <v>275600</v>
      </c>
      <c r="BQ815" s="25">
        <f>ROUND((Inventory[[#This Row],[Mdl Land Intercept]]+Inventory[[#This Row],[Mdl LnAcres]])*Inventory[[#This Row],[Det/Nbhd Adj]],-2)</f>
        <v>35400</v>
      </c>
      <c r="BR815" s="25">
        <f>Inventory[[#This Row],[Adjusted Impr Total]]+Inventory[[#This Row],[Adjusted Land Total]]</f>
        <v>311000</v>
      </c>
      <c r="BS815" s="36">
        <f>IFERROR((Inventory[[#This Row],[Adjusted Impr Total]]-Inventory[[#This Row],[24Bldg]])/Inventory[[#This Row],[24Bldg]],0)</f>
        <v>0.15749685006299874</v>
      </c>
      <c r="BT815" s="36">
        <f>(Inventory[[#This Row],[Adjusted Land Total]]-Inventory[[#This Row],[24Lnd]])/Inventory[[#This Row],[24Lnd]]</f>
        <v>-0.37455830388692579</v>
      </c>
      <c r="BU815" s="36">
        <f>(Inventory[[#This Row],[Adjusted Total]]-Inventory[[#This Row],[24Final]])/Inventory[[#This Row],[24Final]]</f>
        <v>5.5310485239226333E-2</v>
      </c>
    </row>
    <row r="816" spans="1:73" x14ac:dyDescent="0.3">
      <c r="A816" s="25">
        <v>2025</v>
      </c>
      <c r="B816" s="26" t="s">
        <v>1499</v>
      </c>
      <c r="C816" s="26">
        <f>LN(Inventory[[#This Row],[Acres]])</f>
        <v>-1.7719568419318752</v>
      </c>
      <c r="D816" s="25">
        <v>0.17</v>
      </c>
      <c r="E816" s="25">
        <v>7254</v>
      </c>
      <c r="F816" s="26" t="s">
        <v>537</v>
      </c>
      <c r="G816" s="26" t="s">
        <v>126</v>
      </c>
      <c r="H816" s="26" t="s">
        <v>349</v>
      </c>
      <c r="I816" s="26" t="s">
        <v>538</v>
      </c>
      <c r="J816" s="26" t="s">
        <v>539</v>
      </c>
      <c r="K816" s="26" t="s">
        <v>242</v>
      </c>
      <c r="L816" s="26" t="s">
        <v>351</v>
      </c>
      <c r="M816" s="26" t="s">
        <v>323</v>
      </c>
      <c r="N816" s="26">
        <v>80</v>
      </c>
      <c r="O816" s="26">
        <f>2024-Inventory[[#This Row],[YrBlt]]</f>
        <v>74</v>
      </c>
      <c r="P816" s="26">
        <f>2024-Inventory[[#This Row],[EffYr]]</f>
        <v>51</v>
      </c>
      <c r="Q816" s="25">
        <v>1950</v>
      </c>
      <c r="R816" s="25">
        <v>1973</v>
      </c>
      <c r="S816" s="25">
        <v>1218</v>
      </c>
      <c r="T816" s="27"/>
      <c r="U816" s="25">
        <v>1398</v>
      </c>
      <c r="V816" s="25">
        <f>Inventory[[#This Row],[Bsmt]]-Inventory[[#This Row],[FnBsmt]]</f>
        <v>811</v>
      </c>
      <c r="W816" s="25">
        <v>587</v>
      </c>
      <c r="X816" s="27"/>
      <c r="Y816" s="27">
        <f>Inventory[[#This Row],[MainFn]]+Inventory[[#This Row],[UpprFn]]+Inventory[[#This Row],[FnBsmt]]+Inventory[[#This Row],[AddFn]]</f>
        <v>1805</v>
      </c>
      <c r="Z816" s="27">
        <v>2000</v>
      </c>
      <c r="AA816" s="25">
        <v>8</v>
      </c>
      <c r="AB816" s="32">
        <v>408</v>
      </c>
      <c r="AC816" s="27"/>
      <c r="AD816" s="27"/>
      <c r="AE816" s="27"/>
      <c r="AF816" s="27"/>
      <c r="AG816" s="27"/>
      <c r="AH816" s="27"/>
      <c r="AI816" s="25">
        <v>312883</v>
      </c>
      <c r="AJ816" s="25">
        <v>215889</v>
      </c>
      <c r="AK816" s="25">
        <v>0</v>
      </c>
      <c r="AL816" s="25">
        <v>316400</v>
      </c>
      <c r="AM816" s="25">
        <v>52700</v>
      </c>
      <c r="AN816" s="25">
        <v>263700</v>
      </c>
      <c r="AO816" s="25">
        <v>0</v>
      </c>
      <c r="AP816" s="25">
        <f>Lookups!$B$56*0</f>
        <v>0</v>
      </c>
      <c r="AQ816" s="25">
        <f>Lookups!$B$56*1</f>
        <v>89850.625589999996</v>
      </c>
      <c r="AR816" s="25">
        <f>Lookups!$B$57*Inventory[[#This Row],[LnAcres]]</f>
        <v>-56090.612940989391</v>
      </c>
      <c r="AS816" s="25">
        <f>VLOOKUP(Inventory[[#This Row],[Qlty]],Lookups!$A$62:$E$75,2,FALSE)</f>
        <v>21557.329055999999</v>
      </c>
      <c r="AT816" s="25">
        <f>VLOOKUP(Inventory[[#This Row],[Cnd]],Lookups!$A$76:$E$84,2,FALSE)</f>
        <v>160472.20319</v>
      </c>
      <c r="AU816" s="25">
        <f>Inventory[[#This Row],[EffAge]]*Lookups!$B$85</f>
        <v>-11375.3256255</v>
      </c>
      <c r="AV816" s="25">
        <f>Inventory[[#This Row],[MainFn]]*Lookups!$B$86</f>
        <v>60179.759910186003</v>
      </c>
      <c r="AW816" s="25">
        <f>Inventory[[#This Row],[UpprFn]]*Lookups!$B$87</f>
        <v>0</v>
      </c>
      <c r="AX816" s="25">
        <f>Inventory[[#This Row],[AddFn]]*Lookups!$B$88</f>
        <v>0</v>
      </c>
      <c r="AY816" s="25">
        <f>Inventory[[#This Row],[Bsmt]]*Lookups!$B$89</f>
        <v>40656.489555305998</v>
      </c>
      <c r="AZ816" s="25">
        <f>Inventory[[#This Row],[Fixtures]]*Lookups!$B$90</f>
        <v>30336.176841600001</v>
      </c>
      <c r="BA816" s="25">
        <f>Inventory[[#This Row],[WdDeck]]*Lookups!$B$91</f>
        <v>0</v>
      </c>
      <c r="BB816" s="25">
        <f>ROUND(Inventory[[#This Row],[25Det]],-2)</f>
        <v>0</v>
      </c>
      <c r="BC816" s="25">
        <f>ROUND(SUM(Inventory[[#This Row],[Mdl Qlty]:[Mdl WdDeck]])+Inventory[[#This Row],[Mdl Res Intercept]],-2)</f>
        <v>301800</v>
      </c>
      <c r="BD816" s="25">
        <f>ROUND(Inventory[[#This Row],[Mdl Land Intercept]]+Inventory[[#This Row],[Mdl LnAcres]],-2)</f>
        <v>33800</v>
      </c>
      <c r="BE816" s="25">
        <f>Inventory[[#This Row],[Unadj Res Value]]+Inventory[[#This Row],[Unadj Det Value]]+Inventory[[#This Row],[Unadj Land Value]]</f>
        <v>335600</v>
      </c>
      <c r="BF816" s="36">
        <f>(Inventory[[#This Row],[Unadj Total Value]]-Inventory[[#This Row],[24Final]])/Inventory[[#This Row],[24Final]]</f>
        <v>6.0682680151706699E-2</v>
      </c>
      <c r="BG816" s="25">
        <f>VLOOKUP(Inventory[[#This Row],[Nbhd]],Lookups!$Q$2:$T$4,4,FALSE)</f>
        <v>0.99970000000000003</v>
      </c>
      <c r="BH816" s="25">
        <f>VLOOKUP(Inventory[[#This Row],[Qlty]],Lookups!$O$7:$R$21,4,FALSE)</f>
        <v>1.0067999999999999</v>
      </c>
      <c r="BI816" s="25">
        <f>VLOOKUP(Inventory[[#This Row],[Cnd]],Lookups!$T$7:$W$16,4,FALSE)</f>
        <v>0.99729999999999996</v>
      </c>
      <c r="BJ816" s="25">
        <f>VLOOKUP(Inventory[[#This Row],[LivArea Range]],Lookups!$T$25:$W$37,4,FALSE)</f>
        <v>1.0093000000000001</v>
      </c>
      <c r="BK816" s="25">
        <f>VLOOKUP(Inventory[[#This Row],[Decade]],Lookups!$O$25:$R$42,4,FALSE)</f>
        <v>0.995</v>
      </c>
      <c r="BL816" s="25">
        <f>Inventory[[#This Row],[Nbhd Adj]]*0.95</f>
        <v>0.94971499999999998</v>
      </c>
      <c r="BM816" s="25">
        <f>Inventory[[#This Row],[Nbhd Adj]]*Inventory[[#This Row],[Quality Adj]]*Inventory[[#This Row],[Condition Adj]]*Inventory[[#This Row],[Living Area Adj]]*Inventory[[#This Row],[Decade Adj]]*0.95</f>
        <v>0.957647495730095</v>
      </c>
      <c r="BN816" s="25">
        <f>ROUND(SUM(Inventory[[#This Row],[Mdl Qlty]:[Mdl WdDeck]])+Inventory[[#This Row],[Mdl Res Intercept]]*Inventory[[#This Row],[Res Adj ]],-2)</f>
        <v>301800</v>
      </c>
      <c r="BO816" s="25">
        <f>ROUND(Inventory[[#This Row],[25Det]]*Inventory[[#This Row],[Det/Nbhd Adj]],-2)</f>
        <v>0</v>
      </c>
      <c r="BP816" s="25">
        <f>Inventory[[#This Row],[Adjusted Res]]+Inventory[[#This Row],[Adj Det ]]</f>
        <v>301800</v>
      </c>
      <c r="BQ816" s="25">
        <f>ROUND((Inventory[[#This Row],[Mdl Land Intercept]]+Inventory[[#This Row],[Mdl LnAcres]])*Inventory[[#This Row],[Det/Nbhd Adj]],-2)</f>
        <v>32100</v>
      </c>
      <c r="BR816" s="25">
        <f>Inventory[[#This Row],[Adjusted Impr Total]]+Inventory[[#This Row],[Adjusted Land Total]]</f>
        <v>333900</v>
      </c>
      <c r="BS816" s="36">
        <f>IFERROR((Inventory[[#This Row],[Adjusted Impr Total]]-Inventory[[#This Row],[24Bldg]])/Inventory[[#This Row],[24Bldg]],0)</f>
        <v>0.14448236632536973</v>
      </c>
      <c r="BT816" s="36">
        <f>(Inventory[[#This Row],[Adjusted Land Total]]-Inventory[[#This Row],[24Lnd]])/Inventory[[#This Row],[24Lnd]]</f>
        <v>-0.39089184060721061</v>
      </c>
      <c r="BU816" s="36">
        <f>(Inventory[[#This Row],[Adjusted Total]]-Inventory[[#This Row],[24Final]])/Inventory[[#This Row],[24Final]]</f>
        <v>5.5309734513274339E-2</v>
      </c>
    </row>
    <row r="817" spans="1:73" x14ac:dyDescent="0.3">
      <c r="A817" s="25">
        <v>2025</v>
      </c>
      <c r="B817" s="26" t="s">
        <v>1618</v>
      </c>
      <c r="C817" s="26">
        <f>LN(Inventory[[#This Row],[Acres]])</f>
        <v>-1.4696759700589417</v>
      </c>
      <c r="D817" s="25">
        <v>0.23</v>
      </c>
      <c r="E817" s="25">
        <v>9863</v>
      </c>
      <c r="F817" s="26" t="s">
        <v>537</v>
      </c>
      <c r="G817" s="26" t="s">
        <v>126</v>
      </c>
      <c r="H817" s="26" t="s">
        <v>349</v>
      </c>
      <c r="I817" s="26" t="s">
        <v>538</v>
      </c>
      <c r="J817" s="26" t="s">
        <v>539</v>
      </c>
      <c r="K817" s="26" t="s">
        <v>241</v>
      </c>
      <c r="L817" s="26" t="s">
        <v>148</v>
      </c>
      <c r="M817" s="26" t="s">
        <v>303</v>
      </c>
      <c r="N817" s="26">
        <v>80</v>
      </c>
      <c r="O817" s="26">
        <f>2024-Inventory[[#This Row],[YrBlt]]</f>
        <v>74</v>
      </c>
      <c r="P817" s="26">
        <f>2024-Inventory[[#This Row],[EffYr]]</f>
        <v>51</v>
      </c>
      <c r="Q817" s="25">
        <v>1950</v>
      </c>
      <c r="R817" s="25">
        <v>1973</v>
      </c>
      <c r="S817" s="25">
        <v>1449</v>
      </c>
      <c r="T817" s="31"/>
      <c r="U817" s="25">
        <v>1089</v>
      </c>
      <c r="V817" s="32">
        <f>Inventory[[#This Row],[Bsmt]]-Inventory[[#This Row],[FnBsmt]]</f>
        <v>327</v>
      </c>
      <c r="W817" s="32">
        <v>762</v>
      </c>
      <c r="X817" s="27"/>
      <c r="Y817" s="27">
        <f>Inventory[[#This Row],[MainFn]]+Inventory[[#This Row],[UpprFn]]+Inventory[[#This Row],[FnBsmt]]+Inventory[[#This Row],[AddFn]]</f>
        <v>2211</v>
      </c>
      <c r="Z817" s="27">
        <v>2500</v>
      </c>
      <c r="AA817" s="25">
        <v>12</v>
      </c>
      <c r="AB817" s="27"/>
      <c r="AC817" s="25">
        <v>360</v>
      </c>
      <c r="AD817" s="31"/>
      <c r="AE817" s="27"/>
      <c r="AF817" s="27"/>
      <c r="AG817" s="27"/>
      <c r="AH817" s="27"/>
      <c r="AI817" s="25">
        <v>477609</v>
      </c>
      <c r="AJ817" s="25">
        <v>339102</v>
      </c>
      <c r="AK817" s="25">
        <v>0</v>
      </c>
      <c r="AL817" s="25">
        <v>398500</v>
      </c>
      <c r="AM817" s="25">
        <v>63300</v>
      </c>
      <c r="AN817" s="25">
        <v>335200</v>
      </c>
      <c r="AO817" s="25">
        <v>0</v>
      </c>
      <c r="AP817" s="25">
        <f>Lookups!$B$56*0</f>
        <v>0</v>
      </c>
      <c r="AQ817" s="25">
        <f>Lookups!$B$56*1</f>
        <v>89850.625589999996</v>
      </c>
      <c r="AR817" s="25">
        <f>Lookups!$B$57*Inventory[[#This Row],[LnAcres]]</f>
        <v>-46522.028095997222</v>
      </c>
      <c r="AS817" s="25">
        <f>VLOOKUP(Inventory[[#This Row],[Qlty]],Lookups!$A$62:$E$75,2,FALSE)</f>
        <v>44121.038090000002</v>
      </c>
      <c r="AT817" s="25">
        <f>VLOOKUP(Inventory[[#This Row],[Cnd]],Lookups!$A$76:$E$84,2,FALSE)</f>
        <v>197752.34721000001</v>
      </c>
      <c r="AU817" s="25">
        <f>Inventory[[#This Row],[EffAge]]*Lookups!$B$85</f>
        <v>-11375.3256255</v>
      </c>
      <c r="AV817" s="25">
        <f>Inventory[[#This Row],[MainFn]]*Lookups!$B$86</f>
        <v>71593.162651773004</v>
      </c>
      <c r="AW817" s="25">
        <f>Inventory[[#This Row],[UpprFn]]*Lookups!$B$87</f>
        <v>0</v>
      </c>
      <c r="AX817" s="25">
        <f>Inventory[[#This Row],[AddFn]]*Lookups!$B$88</f>
        <v>0</v>
      </c>
      <c r="AY817" s="25">
        <f>Inventory[[#This Row],[Bsmt]]*Lookups!$B$89</f>
        <v>31670.183923982997</v>
      </c>
      <c r="AZ817" s="25">
        <f>Inventory[[#This Row],[Fixtures]]*Lookups!$B$90</f>
        <v>45504.265262400004</v>
      </c>
      <c r="BA817" s="25">
        <f>Inventory[[#This Row],[WdDeck]]*Lookups!$B$91</f>
        <v>0</v>
      </c>
      <c r="BB817" s="25">
        <f>ROUND(Inventory[[#This Row],[25Det]],-2)</f>
        <v>0</v>
      </c>
      <c r="BC817" s="25">
        <f>ROUND(SUM(Inventory[[#This Row],[Mdl Qlty]:[Mdl WdDeck]])+Inventory[[#This Row],[Mdl Res Intercept]],-2)</f>
        <v>379300</v>
      </c>
      <c r="BD817" s="25">
        <f>ROUND(Inventory[[#This Row],[Mdl Land Intercept]]+Inventory[[#This Row],[Mdl LnAcres]],-2)</f>
        <v>43300</v>
      </c>
      <c r="BE817" s="25">
        <f>Inventory[[#This Row],[Unadj Res Value]]+Inventory[[#This Row],[Unadj Det Value]]+Inventory[[#This Row],[Unadj Land Value]]</f>
        <v>422600</v>
      </c>
      <c r="BF817" s="36">
        <f>(Inventory[[#This Row],[Unadj Total Value]]-Inventory[[#This Row],[24Final]])/Inventory[[#This Row],[24Final]]</f>
        <v>6.0476787954830614E-2</v>
      </c>
      <c r="BG817" s="25">
        <f>VLOOKUP(Inventory[[#This Row],[Nbhd]],Lookups!$Q$2:$T$4,4,FALSE)</f>
        <v>0.99970000000000003</v>
      </c>
      <c r="BH817" s="25">
        <f>VLOOKUP(Inventory[[#This Row],[Qlty]],Lookups!$O$7:$R$21,4,FALSE)</f>
        <v>0.98050000000000004</v>
      </c>
      <c r="BI817" s="25">
        <f>VLOOKUP(Inventory[[#This Row],[Cnd]],Lookups!$T$7:$W$16,4,FALSE)</f>
        <v>0.99650000000000005</v>
      </c>
      <c r="BJ817" s="25">
        <f>VLOOKUP(Inventory[[#This Row],[LivArea Range]],Lookups!$T$25:$W$37,4,FALSE)</f>
        <v>0.98919999999999997</v>
      </c>
      <c r="BK817" s="25">
        <f>VLOOKUP(Inventory[[#This Row],[Decade]],Lookups!$O$25:$R$42,4,FALSE)</f>
        <v>0.995</v>
      </c>
      <c r="BL817" s="25">
        <f>Inventory[[#This Row],[Nbhd Adj]]*0.95</f>
        <v>0.94971499999999998</v>
      </c>
      <c r="BM817" s="25">
        <f>Inventory[[#This Row],[Nbhd Adj]]*Inventory[[#This Row],[Quality Adj]]*Inventory[[#This Row],[Condition Adj]]*Inventory[[#This Row],[Living Area Adj]]*Inventory[[#This Row],[Decade Adj]]*0.95</f>
        <v>0.91332508691872449</v>
      </c>
      <c r="BN817" s="25">
        <f>ROUND(SUM(Inventory[[#This Row],[Mdl Qlty]:[Mdl WdDeck]])+Inventory[[#This Row],[Mdl Res Intercept]]*Inventory[[#This Row],[Res Adj ]],-2)</f>
        <v>379300</v>
      </c>
      <c r="BO817" s="25">
        <f>ROUND(Inventory[[#This Row],[25Det]]*Inventory[[#This Row],[Det/Nbhd Adj]],-2)</f>
        <v>0</v>
      </c>
      <c r="BP817" s="25">
        <f>Inventory[[#This Row],[Adjusted Res]]+Inventory[[#This Row],[Adj Det ]]</f>
        <v>379300</v>
      </c>
      <c r="BQ817" s="25">
        <f>ROUND((Inventory[[#This Row],[Mdl Land Intercept]]+Inventory[[#This Row],[Mdl LnAcres]])*Inventory[[#This Row],[Det/Nbhd Adj]],-2)</f>
        <v>41100</v>
      </c>
      <c r="BR817" s="25">
        <f>Inventory[[#This Row],[Adjusted Impr Total]]+Inventory[[#This Row],[Adjusted Land Total]]</f>
        <v>420400</v>
      </c>
      <c r="BS817" s="36">
        <f>IFERROR((Inventory[[#This Row],[Adjusted Impr Total]]-Inventory[[#This Row],[24Bldg]])/Inventory[[#This Row],[24Bldg]],0)</f>
        <v>0.13156324582338902</v>
      </c>
      <c r="BT817" s="36">
        <f>(Inventory[[#This Row],[Adjusted Land Total]]-Inventory[[#This Row],[24Lnd]])/Inventory[[#This Row],[24Lnd]]</f>
        <v>-0.35071090047393366</v>
      </c>
      <c r="BU817" s="36">
        <f>(Inventory[[#This Row],[Adjusted Total]]-Inventory[[#This Row],[24Final]])/Inventory[[#This Row],[24Final]]</f>
        <v>5.4956085319949811E-2</v>
      </c>
    </row>
    <row r="818" spans="1:73" x14ac:dyDescent="0.3">
      <c r="A818" s="25">
        <v>2025</v>
      </c>
      <c r="B818" s="26" t="s">
        <v>1755</v>
      </c>
      <c r="C818" s="26">
        <f>LN(Inventory[[#This Row],[Acres]])</f>
        <v>-1.7719568419318752</v>
      </c>
      <c r="D818" s="25">
        <v>0.17</v>
      </c>
      <c r="E818" s="25">
        <v>7216</v>
      </c>
      <c r="F818" s="26" t="s">
        <v>537</v>
      </c>
      <c r="G818" s="26" t="s">
        <v>126</v>
      </c>
      <c r="H818" s="26" t="s">
        <v>349</v>
      </c>
      <c r="I818" s="26" t="s">
        <v>538</v>
      </c>
      <c r="J818" s="26" t="s">
        <v>539</v>
      </c>
      <c r="K818" s="26" t="s">
        <v>242</v>
      </c>
      <c r="L818" s="26" t="s">
        <v>351</v>
      </c>
      <c r="M818" s="26" t="s">
        <v>323</v>
      </c>
      <c r="N818" s="26">
        <v>80</v>
      </c>
      <c r="O818" s="26">
        <f>2024-Inventory[[#This Row],[YrBlt]]</f>
        <v>74</v>
      </c>
      <c r="P818" s="26">
        <f>2024-Inventory[[#This Row],[EffYr]]</f>
        <v>51</v>
      </c>
      <c r="Q818" s="25">
        <v>1950</v>
      </c>
      <c r="R818" s="25">
        <v>1973</v>
      </c>
      <c r="S818" s="25">
        <v>1048</v>
      </c>
      <c r="T818" s="31"/>
      <c r="U818" s="25">
        <v>1048</v>
      </c>
      <c r="V818" s="25">
        <f>Inventory[[#This Row],[Bsmt]]-Inventory[[#This Row],[FnBsmt]]</f>
        <v>524</v>
      </c>
      <c r="W818" s="25">
        <v>524</v>
      </c>
      <c r="X818" s="27"/>
      <c r="Y818" s="27">
        <f>Inventory[[#This Row],[MainFn]]+Inventory[[#This Row],[UpprFn]]+Inventory[[#This Row],[FnBsmt]]+Inventory[[#This Row],[AddFn]]</f>
        <v>1572</v>
      </c>
      <c r="Z818" s="27">
        <v>2000</v>
      </c>
      <c r="AA818" s="25">
        <v>7</v>
      </c>
      <c r="AB818" s="27"/>
      <c r="AC818" s="27"/>
      <c r="AD818" s="27"/>
      <c r="AE818" s="27"/>
      <c r="AF818" s="27"/>
      <c r="AG818" s="27"/>
      <c r="AH818" s="27"/>
      <c r="AI818" s="25">
        <v>249443</v>
      </c>
      <c r="AJ818" s="25">
        <v>172116</v>
      </c>
      <c r="AK818" s="25">
        <v>6388</v>
      </c>
      <c r="AL818" s="25">
        <v>301300</v>
      </c>
      <c r="AM818" s="25">
        <v>52700</v>
      </c>
      <c r="AN818" s="25">
        <v>248600</v>
      </c>
      <c r="AO818" s="25">
        <v>0</v>
      </c>
      <c r="AP818" s="25">
        <f>Lookups!$B$56*0</f>
        <v>0</v>
      </c>
      <c r="AQ818" s="25">
        <f>Lookups!$B$56*1</f>
        <v>89850.625589999996</v>
      </c>
      <c r="AR818" s="25">
        <f>Lookups!$B$57*Inventory[[#This Row],[LnAcres]]</f>
        <v>-56090.612940989391</v>
      </c>
      <c r="AS818" s="25">
        <f>VLOOKUP(Inventory[[#This Row],[Qlty]],Lookups!$A$62:$E$75,2,FALSE)</f>
        <v>21557.329055999999</v>
      </c>
      <c r="AT818" s="25">
        <f>VLOOKUP(Inventory[[#This Row],[Cnd]],Lookups!$A$76:$E$84,2,FALSE)</f>
        <v>160472.20319</v>
      </c>
      <c r="AU818" s="25">
        <f>Inventory[[#This Row],[EffAge]]*Lookups!$B$85</f>
        <v>-11375.3256255</v>
      </c>
      <c r="AV818" s="25">
        <f>Inventory[[#This Row],[MainFn]]*Lookups!$B$86</f>
        <v>51780.286031096002</v>
      </c>
      <c r="AW818" s="25">
        <f>Inventory[[#This Row],[UpprFn]]*Lookups!$B$87</f>
        <v>0</v>
      </c>
      <c r="AX818" s="25">
        <f>Inventory[[#This Row],[AddFn]]*Lookups!$B$88</f>
        <v>0</v>
      </c>
      <c r="AY818" s="25">
        <f>Inventory[[#This Row],[Bsmt]]*Lookups!$B$89</f>
        <v>30477.826218856</v>
      </c>
      <c r="AZ818" s="25">
        <f>Inventory[[#This Row],[Fixtures]]*Lookups!$B$90</f>
        <v>26544.1547364</v>
      </c>
      <c r="BA818" s="25">
        <f>Inventory[[#This Row],[WdDeck]]*Lookups!$B$91</f>
        <v>0</v>
      </c>
      <c r="BB818" s="25">
        <f>ROUND(Inventory[[#This Row],[25Det]],-2)</f>
        <v>6400</v>
      </c>
      <c r="BC818" s="25">
        <f>ROUND(SUM(Inventory[[#This Row],[Mdl Qlty]:[Mdl WdDeck]])+Inventory[[#This Row],[Mdl Res Intercept]],-2)</f>
        <v>279500</v>
      </c>
      <c r="BD818" s="25">
        <f>ROUND(Inventory[[#This Row],[Mdl Land Intercept]]+Inventory[[#This Row],[Mdl LnAcres]],-2)</f>
        <v>33800</v>
      </c>
      <c r="BE818" s="25">
        <f>Inventory[[#This Row],[Unadj Res Value]]+Inventory[[#This Row],[Unadj Det Value]]+Inventory[[#This Row],[Unadj Land Value]]</f>
        <v>319700</v>
      </c>
      <c r="BF818" s="36">
        <f>(Inventory[[#This Row],[Unadj Total Value]]-Inventory[[#This Row],[24Final]])/Inventory[[#This Row],[24Final]]</f>
        <v>6.1068702290076333E-2</v>
      </c>
      <c r="BG818" s="25">
        <f>VLOOKUP(Inventory[[#This Row],[Nbhd]],Lookups!$Q$2:$T$4,4,FALSE)</f>
        <v>0.99970000000000003</v>
      </c>
      <c r="BH818" s="25">
        <f>VLOOKUP(Inventory[[#This Row],[Qlty]],Lookups!$O$7:$R$21,4,FALSE)</f>
        <v>1.0067999999999999</v>
      </c>
      <c r="BI818" s="25">
        <f>VLOOKUP(Inventory[[#This Row],[Cnd]],Lookups!$T$7:$W$16,4,FALSE)</f>
        <v>0.99729999999999996</v>
      </c>
      <c r="BJ818" s="25">
        <f>VLOOKUP(Inventory[[#This Row],[LivArea Range]],Lookups!$T$25:$W$37,4,FALSE)</f>
        <v>1.0093000000000001</v>
      </c>
      <c r="BK818" s="25">
        <f>VLOOKUP(Inventory[[#This Row],[Decade]],Lookups!$O$25:$R$42,4,FALSE)</f>
        <v>0.995</v>
      </c>
      <c r="BL818" s="25">
        <f>Inventory[[#This Row],[Nbhd Adj]]*0.95</f>
        <v>0.94971499999999998</v>
      </c>
      <c r="BM818" s="25">
        <f>Inventory[[#This Row],[Nbhd Adj]]*Inventory[[#This Row],[Quality Adj]]*Inventory[[#This Row],[Condition Adj]]*Inventory[[#This Row],[Living Area Adj]]*Inventory[[#This Row],[Decade Adj]]*0.95</f>
        <v>0.957647495730095</v>
      </c>
      <c r="BN818" s="25">
        <f>ROUND(SUM(Inventory[[#This Row],[Mdl Qlty]:[Mdl WdDeck]])+Inventory[[#This Row],[Mdl Res Intercept]]*Inventory[[#This Row],[Res Adj ]],-2)</f>
        <v>279500</v>
      </c>
      <c r="BO818" s="25">
        <f>ROUND(Inventory[[#This Row],[25Det]]*Inventory[[#This Row],[Det/Nbhd Adj]],-2)</f>
        <v>6100</v>
      </c>
      <c r="BP818" s="25">
        <f>Inventory[[#This Row],[Adjusted Res]]+Inventory[[#This Row],[Adj Det ]]</f>
        <v>285600</v>
      </c>
      <c r="BQ818" s="25">
        <f>ROUND((Inventory[[#This Row],[Mdl Land Intercept]]+Inventory[[#This Row],[Mdl LnAcres]])*Inventory[[#This Row],[Det/Nbhd Adj]],-2)</f>
        <v>32100</v>
      </c>
      <c r="BR818" s="25">
        <f>Inventory[[#This Row],[Adjusted Impr Total]]+Inventory[[#This Row],[Adjusted Land Total]]</f>
        <v>317700</v>
      </c>
      <c r="BS818" s="36">
        <f>IFERROR((Inventory[[#This Row],[Adjusted Impr Total]]-Inventory[[#This Row],[24Bldg]])/Inventory[[#This Row],[24Bldg]],0)</f>
        <v>0.14883346741753822</v>
      </c>
      <c r="BT818" s="36">
        <f>(Inventory[[#This Row],[Adjusted Land Total]]-Inventory[[#This Row],[24Lnd]])/Inventory[[#This Row],[24Lnd]]</f>
        <v>-0.39089184060721061</v>
      </c>
      <c r="BU818" s="36">
        <f>(Inventory[[#This Row],[Adjusted Total]]-Inventory[[#This Row],[24Final]])/Inventory[[#This Row],[24Final]]</f>
        <v>5.4430799867241954E-2</v>
      </c>
    </row>
    <row r="819" spans="1:73" x14ac:dyDescent="0.3">
      <c r="A819" s="25">
        <v>2025</v>
      </c>
      <c r="B819" s="26" t="s">
        <v>2873</v>
      </c>
      <c r="C819" s="26">
        <f>LN(Inventory[[#This Row],[Acres]])</f>
        <v>-1.5141277326297755</v>
      </c>
      <c r="D819" s="25">
        <v>0.22</v>
      </c>
      <c r="E819" s="31"/>
      <c r="F819" s="26" t="s">
        <v>537</v>
      </c>
      <c r="G819" s="26" t="s">
        <v>126</v>
      </c>
      <c r="H819" s="26" t="s">
        <v>349</v>
      </c>
      <c r="I819" s="26" t="s">
        <v>538</v>
      </c>
      <c r="J819" s="26" t="s">
        <v>539</v>
      </c>
      <c r="K819" s="26" t="s">
        <v>241</v>
      </c>
      <c r="L819" s="26" t="s">
        <v>351</v>
      </c>
      <c r="M819" s="26" t="s">
        <v>303</v>
      </c>
      <c r="N819" s="26">
        <v>80</v>
      </c>
      <c r="O819" s="26">
        <f>2024-Inventory[[#This Row],[YrBlt]]</f>
        <v>74</v>
      </c>
      <c r="P819" s="26">
        <f>2024-Inventory[[#This Row],[EffYr]]</f>
        <v>51</v>
      </c>
      <c r="Q819" s="25">
        <v>1950</v>
      </c>
      <c r="R819" s="25">
        <v>1973</v>
      </c>
      <c r="S819" s="25">
        <v>1619</v>
      </c>
      <c r="T819" s="32">
        <v>260</v>
      </c>
      <c r="U819" s="27"/>
      <c r="V819" s="27">
        <f>Inventory[[#This Row],[Bsmt]]-Inventory[[#This Row],[FnBsmt]]</f>
        <v>0</v>
      </c>
      <c r="W819" s="27"/>
      <c r="X819" s="27"/>
      <c r="Y819" s="27">
        <f>Inventory[[#This Row],[MainFn]]+Inventory[[#This Row],[UpprFn]]+Inventory[[#This Row],[FnBsmt]]+Inventory[[#This Row],[AddFn]]</f>
        <v>1879</v>
      </c>
      <c r="Z819" s="27">
        <v>2000</v>
      </c>
      <c r="AA819" s="25">
        <v>8</v>
      </c>
      <c r="AB819" s="31"/>
      <c r="AC819" s="27"/>
      <c r="AD819" s="27"/>
      <c r="AE819" s="27"/>
      <c r="AF819" s="27"/>
      <c r="AG819" s="27"/>
      <c r="AH819" s="27"/>
      <c r="AI819" s="25">
        <v>274242</v>
      </c>
      <c r="AJ819" s="25">
        <v>194712</v>
      </c>
      <c r="AK819" s="25">
        <v>0</v>
      </c>
      <c r="AL819" s="25">
        <v>351000</v>
      </c>
      <c r="AM819" s="25">
        <v>61700</v>
      </c>
      <c r="AN819" s="25">
        <v>289300</v>
      </c>
      <c r="AO819" s="25">
        <v>0</v>
      </c>
      <c r="AP819" s="25">
        <f>Lookups!$B$56*0</f>
        <v>0</v>
      </c>
      <c r="AQ819" s="25">
        <f>Lookups!$B$56*1</f>
        <v>89850.625589999996</v>
      </c>
      <c r="AR819" s="25">
        <f>Lookups!$B$57*Inventory[[#This Row],[LnAcres]]</f>
        <v>-47929.131559187132</v>
      </c>
      <c r="AS819" s="25">
        <f>VLOOKUP(Inventory[[#This Row],[Qlty]],Lookups!$A$62:$E$75,2,FALSE)</f>
        <v>21557.329055999999</v>
      </c>
      <c r="AT819" s="25">
        <f>VLOOKUP(Inventory[[#This Row],[Cnd]],Lookups!$A$76:$E$84,2,FALSE)</f>
        <v>197752.34721000001</v>
      </c>
      <c r="AU819" s="25">
        <f>Inventory[[#This Row],[EffAge]]*Lookups!$B$85</f>
        <v>-11375.3256255</v>
      </c>
      <c r="AV819" s="25">
        <f>Inventory[[#This Row],[MainFn]]*Lookups!$B$86</f>
        <v>79992.636530863005</v>
      </c>
      <c r="AW819" s="25">
        <f>Inventory[[#This Row],[UpprFn]]*Lookups!$B$87</f>
        <v>11644.46994386</v>
      </c>
      <c r="AX819" s="25">
        <f>Inventory[[#This Row],[AddFn]]*Lookups!$B$88</f>
        <v>0</v>
      </c>
      <c r="AY819" s="25">
        <f>Inventory[[#This Row],[Bsmt]]*Lookups!$B$89</f>
        <v>0</v>
      </c>
      <c r="AZ819" s="25">
        <f>Inventory[[#This Row],[Fixtures]]*Lookups!$B$90</f>
        <v>30336.176841600001</v>
      </c>
      <c r="BA819" s="25">
        <f>Inventory[[#This Row],[WdDeck]]*Lookups!$B$91</f>
        <v>0</v>
      </c>
      <c r="BB819" s="25">
        <f>ROUND(Inventory[[#This Row],[25Det]],-2)</f>
        <v>0</v>
      </c>
      <c r="BC819" s="25">
        <f>ROUND(SUM(Inventory[[#This Row],[Mdl Qlty]:[Mdl WdDeck]])+Inventory[[#This Row],[Mdl Res Intercept]],-2)</f>
        <v>329900</v>
      </c>
      <c r="BD819" s="25">
        <f>ROUND(Inventory[[#This Row],[Mdl Land Intercept]]+Inventory[[#This Row],[Mdl LnAcres]],-2)</f>
        <v>41900</v>
      </c>
      <c r="BE819" s="25">
        <f>Inventory[[#This Row],[Unadj Res Value]]+Inventory[[#This Row],[Unadj Det Value]]+Inventory[[#This Row],[Unadj Land Value]]</f>
        <v>371800</v>
      </c>
      <c r="BF819" s="36">
        <f>(Inventory[[#This Row],[Unadj Total Value]]-Inventory[[#This Row],[24Final]])/Inventory[[#This Row],[24Final]]</f>
        <v>5.9259259259259262E-2</v>
      </c>
      <c r="BG819" s="25">
        <f>VLOOKUP(Inventory[[#This Row],[Nbhd]],Lookups!$Q$2:$T$4,4,FALSE)</f>
        <v>0.99970000000000003</v>
      </c>
      <c r="BH819" s="25">
        <f>VLOOKUP(Inventory[[#This Row],[Qlty]],Lookups!$O$7:$R$21,4,FALSE)</f>
        <v>1.0067999999999999</v>
      </c>
      <c r="BI819" s="25">
        <f>VLOOKUP(Inventory[[#This Row],[Cnd]],Lookups!$T$7:$W$16,4,FALSE)</f>
        <v>0.99650000000000005</v>
      </c>
      <c r="BJ819" s="25">
        <f>VLOOKUP(Inventory[[#This Row],[LivArea Range]],Lookups!$T$25:$W$37,4,FALSE)</f>
        <v>1.0093000000000001</v>
      </c>
      <c r="BK819" s="25">
        <f>VLOOKUP(Inventory[[#This Row],[Decade]],Lookups!$O$25:$R$42,4,FALSE)</f>
        <v>0.995</v>
      </c>
      <c r="BL819" s="25">
        <f>Inventory[[#This Row],[Nbhd Adj]]*0.95</f>
        <v>0.94971499999999998</v>
      </c>
      <c r="BM819" s="25">
        <f>Inventory[[#This Row],[Nbhd Adj]]*Inventory[[#This Row],[Quality Adj]]*Inventory[[#This Row],[Condition Adj]]*Inventory[[#This Row],[Living Area Adj]]*Inventory[[#This Row],[Decade Adj]]*0.95</f>
        <v>0.95687930361479956</v>
      </c>
      <c r="BN819" s="25">
        <f>ROUND(SUM(Inventory[[#This Row],[Mdl Qlty]:[Mdl WdDeck]])+Inventory[[#This Row],[Mdl Res Intercept]]*Inventory[[#This Row],[Res Adj ]],-2)</f>
        <v>329900</v>
      </c>
      <c r="BO819" s="25">
        <f>ROUND(Inventory[[#This Row],[25Det]]*Inventory[[#This Row],[Det/Nbhd Adj]],-2)</f>
        <v>0</v>
      </c>
      <c r="BP819" s="25">
        <f>Inventory[[#This Row],[Adjusted Res]]+Inventory[[#This Row],[Adj Det ]]</f>
        <v>329900</v>
      </c>
      <c r="BQ819" s="25">
        <f>ROUND((Inventory[[#This Row],[Mdl Land Intercept]]+Inventory[[#This Row],[Mdl LnAcres]])*Inventory[[#This Row],[Det/Nbhd Adj]],-2)</f>
        <v>39800</v>
      </c>
      <c r="BR819" s="25">
        <f>Inventory[[#This Row],[Adjusted Impr Total]]+Inventory[[#This Row],[Adjusted Land Total]]</f>
        <v>369700</v>
      </c>
      <c r="BS819" s="36">
        <f>IFERROR((Inventory[[#This Row],[Adjusted Impr Total]]-Inventory[[#This Row],[24Bldg]])/Inventory[[#This Row],[24Bldg]],0)</f>
        <v>0.14033874870376772</v>
      </c>
      <c r="BT819" s="36">
        <f>(Inventory[[#This Row],[Adjusted Land Total]]-Inventory[[#This Row],[24Lnd]])/Inventory[[#This Row],[24Lnd]]</f>
        <v>-0.35494327390599678</v>
      </c>
      <c r="BU819" s="36">
        <f>(Inventory[[#This Row],[Adjusted Total]]-Inventory[[#This Row],[24Final]])/Inventory[[#This Row],[24Final]]</f>
        <v>5.3276353276353279E-2</v>
      </c>
    </row>
    <row r="820" spans="1:73" x14ac:dyDescent="0.3">
      <c r="A820" s="25">
        <v>2025</v>
      </c>
      <c r="B820" s="26" t="s">
        <v>805</v>
      </c>
      <c r="C820" s="26">
        <f>LN(Inventory[[#This Row],[Acres]])</f>
        <v>-1.5606477482646683</v>
      </c>
      <c r="D820" s="25">
        <v>0.21</v>
      </c>
      <c r="E820" s="25">
        <v>9172</v>
      </c>
      <c r="F820" s="26" t="s">
        <v>537</v>
      </c>
      <c r="G820" s="26" t="s">
        <v>126</v>
      </c>
      <c r="H820" s="26" t="s">
        <v>349</v>
      </c>
      <c r="I820" s="26" t="s">
        <v>538</v>
      </c>
      <c r="J820" s="26" t="s">
        <v>539</v>
      </c>
      <c r="K820" s="26" t="s">
        <v>241</v>
      </c>
      <c r="L820" s="26" t="s">
        <v>351</v>
      </c>
      <c r="M820" s="26" t="s">
        <v>323</v>
      </c>
      <c r="N820" s="26">
        <v>80</v>
      </c>
      <c r="O820" s="26">
        <f>2024-Inventory[[#This Row],[YrBlt]]</f>
        <v>74</v>
      </c>
      <c r="P820" s="26">
        <f>2024-Inventory[[#This Row],[EffYr]]</f>
        <v>51</v>
      </c>
      <c r="Q820" s="25">
        <v>1950</v>
      </c>
      <c r="R820" s="25">
        <v>1973</v>
      </c>
      <c r="S820" s="25">
        <v>960</v>
      </c>
      <c r="T820" s="31"/>
      <c r="U820" s="27"/>
      <c r="V820" s="27">
        <f>Inventory[[#This Row],[Bsmt]]-Inventory[[#This Row],[FnBsmt]]</f>
        <v>0</v>
      </c>
      <c r="W820" s="27"/>
      <c r="X820" s="27"/>
      <c r="Y820" s="27">
        <f>Inventory[[#This Row],[MainFn]]+Inventory[[#This Row],[UpprFn]]+Inventory[[#This Row],[FnBsmt]]+Inventory[[#This Row],[AddFn]]</f>
        <v>960</v>
      </c>
      <c r="Z820" s="27">
        <v>1000</v>
      </c>
      <c r="AA820" s="25">
        <v>5</v>
      </c>
      <c r="AB820" s="32">
        <v>280</v>
      </c>
      <c r="AC820" s="27"/>
      <c r="AD820" s="27"/>
      <c r="AE820" s="27"/>
      <c r="AF820" s="27"/>
      <c r="AG820" s="27"/>
      <c r="AH820" s="27"/>
      <c r="AI820" s="25">
        <v>188628</v>
      </c>
      <c r="AJ820" s="25">
        <v>130153</v>
      </c>
      <c r="AK820" s="25">
        <v>0</v>
      </c>
      <c r="AL820" s="25">
        <v>261500</v>
      </c>
      <c r="AM820" s="25">
        <v>60100</v>
      </c>
      <c r="AN820" s="25">
        <v>201400</v>
      </c>
      <c r="AO820" s="25">
        <v>0</v>
      </c>
      <c r="AP820" s="25">
        <f>Lookups!$B$56*0</f>
        <v>0</v>
      </c>
      <c r="AQ820" s="25">
        <f>Lookups!$B$56*1</f>
        <v>89850.625589999996</v>
      </c>
      <c r="AR820" s="25">
        <f>Lookups!$B$57*Inventory[[#This Row],[LnAcres]]</f>
        <v>-49401.70477837498</v>
      </c>
      <c r="AS820" s="25">
        <f>VLOOKUP(Inventory[[#This Row],[Qlty]],Lookups!$A$62:$E$75,2,FALSE)</f>
        <v>21557.329055999999</v>
      </c>
      <c r="AT820" s="25">
        <f>VLOOKUP(Inventory[[#This Row],[Cnd]],Lookups!$A$76:$E$84,2,FALSE)</f>
        <v>160472.20319</v>
      </c>
      <c r="AU820" s="25">
        <f>Inventory[[#This Row],[EffAge]]*Lookups!$B$85</f>
        <v>-11375.3256255</v>
      </c>
      <c r="AV820" s="25">
        <f>Inventory[[#This Row],[MainFn]]*Lookups!$B$86</f>
        <v>47432.323081920003</v>
      </c>
      <c r="AW820" s="25">
        <f>Inventory[[#This Row],[UpprFn]]*Lookups!$B$87</f>
        <v>0</v>
      </c>
      <c r="AX820" s="25">
        <f>Inventory[[#This Row],[AddFn]]*Lookups!$B$88</f>
        <v>0</v>
      </c>
      <c r="AY820" s="25">
        <f>Inventory[[#This Row],[Bsmt]]*Lookups!$B$89</f>
        <v>0</v>
      </c>
      <c r="AZ820" s="25">
        <f>Inventory[[#This Row],[Fixtures]]*Lookups!$B$90</f>
        <v>18960.110526</v>
      </c>
      <c r="BA820" s="25">
        <f>Inventory[[#This Row],[WdDeck]]*Lookups!$B$91</f>
        <v>0</v>
      </c>
      <c r="BB820" s="25">
        <f>ROUND(Inventory[[#This Row],[25Det]],-2)</f>
        <v>0</v>
      </c>
      <c r="BC820" s="25">
        <f>ROUND(SUM(Inventory[[#This Row],[Mdl Qlty]:[Mdl WdDeck]])+Inventory[[#This Row],[Mdl Res Intercept]],-2)</f>
        <v>237000</v>
      </c>
      <c r="BD820" s="25">
        <f>ROUND(Inventory[[#This Row],[Mdl Land Intercept]]+Inventory[[#This Row],[Mdl LnAcres]],-2)</f>
        <v>40400</v>
      </c>
      <c r="BE820" s="25">
        <f>Inventory[[#This Row],[Unadj Res Value]]+Inventory[[#This Row],[Unadj Det Value]]+Inventory[[#This Row],[Unadj Land Value]]</f>
        <v>277400</v>
      </c>
      <c r="BF820" s="36">
        <f>(Inventory[[#This Row],[Unadj Total Value]]-Inventory[[#This Row],[24Final]])/Inventory[[#This Row],[24Final]]</f>
        <v>6.0803059273422562E-2</v>
      </c>
      <c r="BG820" s="25">
        <f>VLOOKUP(Inventory[[#This Row],[Nbhd]],Lookups!$Q$2:$T$4,4,FALSE)</f>
        <v>0.99970000000000003</v>
      </c>
      <c r="BH820" s="25">
        <f>VLOOKUP(Inventory[[#This Row],[Qlty]],Lookups!$O$7:$R$21,4,FALSE)</f>
        <v>1.0067999999999999</v>
      </c>
      <c r="BI820" s="25">
        <f>VLOOKUP(Inventory[[#This Row],[Cnd]],Lookups!$T$7:$W$16,4,FALSE)</f>
        <v>0.99729999999999996</v>
      </c>
      <c r="BJ820" s="25">
        <f>VLOOKUP(Inventory[[#This Row],[LivArea Range]],Lookups!$T$25:$W$37,4,FALSE)</f>
        <v>1.0148999999999999</v>
      </c>
      <c r="BK820" s="25">
        <f>VLOOKUP(Inventory[[#This Row],[Decade]],Lookups!$O$25:$R$42,4,FALSE)</f>
        <v>0.995</v>
      </c>
      <c r="BL820" s="25">
        <f>Inventory[[#This Row],[Nbhd Adj]]*0.95</f>
        <v>0.94971499999999998</v>
      </c>
      <c r="BM820" s="25">
        <f>Inventory[[#This Row],[Nbhd Adj]]*Inventory[[#This Row],[Quality Adj]]*Inventory[[#This Row],[Condition Adj]]*Inventory[[#This Row],[Living Area Adj]]*Inventory[[#This Row],[Decade Adj]]*0.95</f>
        <v>0.96296090698154491</v>
      </c>
      <c r="BN820" s="25">
        <f>ROUND(SUM(Inventory[[#This Row],[Mdl Qlty]:[Mdl WdDeck]])+Inventory[[#This Row],[Mdl Res Intercept]]*Inventory[[#This Row],[Res Adj ]],-2)</f>
        <v>237000</v>
      </c>
      <c r="BO820" s="25">
        <f>ROUND(Inventory[[#This Row],[25Det]]*Inventory[[#This Row],[Det/Nbhd Adj]],-2)</f>
        <v>0</v>
      </c>
      <c r="BP820" s="25">
        <f>Inventory[[#This Row],[Adjusted Res]]+Inventory[[#This Row],[Adj Det ]]</f>
        <v>237000</v>
      </c>
      <c r="BQ820" s="25">
        <f>ROUND((Inventory[[#This Row],[Mdl Land Intercept]]+Inventory[[#This Row],[Mdl LnAcres]])*Inventory[[#This Row],[Det/Nbhd Adj]],-2)</f>
        <v>38400</v>
      </c>
      <c r="BR820" s="25">
        <f>Inventory[[#This Row],[Adjusted Impr Total]]+Inventory[[#This Row],[Adjusted Land Total]]</f>
        <v>275400</v>
      </c>
      <c r="BS820" s="36">
        <f>IFERROR((Inventory[[#This Row],[Adjusted Impr Total]]-Inventory[[#This Row],[24Bldg]])/Inventory[[#This Row],[24Bldg]],0)</f>
        <v>0.17676266137040714</v>
      </c>
      <c r="BT820" s="36">
        <f>(Inventory[[#This Row],[Adjusted Land Total]]-Inventory[[#This Row],[24Lnd]])/Inventory[[#This Row],[24Lnd]]</f>
        <v>-0.36106489184692181</v>
      </c>
      <c r="BU820" s="36">
        <f>(Inventory[[#This Row],[Adjusted Total]]-Inventory[[#This Row],[24Final]])/Inventory[[#This Row],[24Final]]</f>
        <v>5.3154875717017207E-2</v>
      </c>
    </row>
    <row r="821" spans="1:73" x14ac:dyDescent="0.3">
      <c r="A821" s="25">
        <v>2025</v>
      </c>
      <c r="B821" s="26" t="s">
        <v>898</v>
      </c>
      <c r="C821" s="26">
        <f>LN(Inventory[[#This Row],[Acres]])</f>
        <v>-2.6592600369327779</v>
      </c>
      <c r="D821" s="25">
        <v>7.0000000000000007E-2</v>
      </c>
      <c r="E821" s="25">
        <v>3233</v>
      </c>
      <c r="F821" s="26" t="s">
        <v>537</v>
      </c>
      <c r="G821" s="26" t="s">
        <v>126</v>
      </c>
      <c r="H821" s="26" t="s">
        <v>349</v>
      </c>
      <c r="I821" s="26" t="s">
        <v>538</v>
      </c>
      <c r="J821" s="26" t="s">
        <v>539</v>
      </c>
      <c r="K821" s="26" t="s">
        <v>242</v>
      </c>
      <c r="L821" s="26" t="s">
        <v>205</v>
      </c>
      <c r="M821" s="26" t="s">
        <v>323</v>
      </c>
      <c r="N821" s="26">
        <v>80</v>
      </c>
      <c r="O821" s="26">
        <f>2024-Inventory[[#This Row],[YrBlt]]</f>
        <v>74</v>
      </c>
      <c r="P821" s="26">
        <f>2024-Inventory[[#This Row],[EffYr]]</f>
        <v>51</v>
      </c>
      <c r="Q821" s="25">
        <v>1950</v>
      </c>
      <c r="R821" s="25">
        <v>1973</v>
      </c>
      <c r="S821" s="25">
        <v>905</v>
      </c>
      <c r="T821" s="27"/>
      <c r="U821" s="31"/>
      <c r="V821" s="31">
        <f>Inventory[[#This Row],[Bsmt]]-Inventory[[#This Row],[FnBsmt]]</f>
        <v>0</v>
      </c>
      <c r="W821" s="31"/>
      <c r="X821" s="27"/>
      <c r="Y821" s="27">
        <f>Inventory[[#This Row],[MainFn]]+Inventory[[#This Row],[UpprFn]]+Inventory[[#This Row],[FnBsmt]]+Inventory[[#This Row],[AddFn]]</f>
        <v>905</v>
      </c>
      <c r="Z821" s="27">
        <v>1000</v>
      </c>
      <c r="AA821" s="25">
        <v>5</v>
      </c>
      <c r="AB821" s="27"/>
      <c r="AC821" s="27"/>
      <c r="AD821" s="27"/>
      <c r="AE821" s="27"/>
      <c r="AF821" s="27"/>
      <c r="AG821" s="27"/>
      <c r="AH821" s="27"/>
      <c r="AI821" s="25">
        <v>157851</v>
      </c>
      <c r="AJ821" s="25">
        <v>108917</v>
      </c>
      <c r="AK821" s="25">
        <v>0</v>
      </c>
      <c r="AL821" s="25">
        <v>207200</v>
      </c>
      <c r="AM821" s="25">
        <v>21800</v>
      </c>
      <c r="AN821" s="25">
        <v>185400</v>
      </c>
      <c r="AO821" s="25">
        <v>0</v>
      </c>
      <c r="AP821" s="25">
        <f>Lookups!$B$56*0</f>
        <v>0</v>
      </c>
      <c r="AQ821" s="25">
        <f>Lookups!$B$56*1</f>
        <v>89850.625589999996</v>
      </c>
      <c r="AR821" s="25">
        <f>Lookups!$B$57*Inventory[[#This Row],[LnAcres]]</f>
        <v>-84177.854624504558</v>
      </c>
      <c r="AS821" s="25">
        <f>VLOOKUP(Inventory[[#This Row],[Qlty]],Lookups!$A$62:$E$75,2,FALSE)</f>
        <v>0</v>
      </c>
      <c r="AT821" s="25">
        <f>VLOOKUP(Inventory[[#This Row],[Cnd]],Lookups!$A$76:$E$84,2,FALSE)</f>
        <v>160472.20319</v>
      </c>
      <c r="AU821" s="25">
        <f>Inventory[[#This Row],[EffAge]]*Lookups!$B$85</f>
        <v>-11375.3256255</v>
      </c>
      <c r="AV821" s="25">
        <f>Inventory[[#This Row],[MainFn]]*Lookups!$B$86</f>
        <v>44714.846238685001</v>
      </c>
      <c r="AW821" s="25">
        <f>Inventory[[#This Row],[UpprFn]]*Lookups!$B$87</f>
        <v>0</v>
      </c>
      <c r="AX821" s="25">
        <f>Inventory[[#This Row],[AddFn]]*Lookups!$B$88</f>
        <v>0</v>
      </c>
      <c r="AY821" s="25">
        <f>Inventory[[#This Row],[Bsmt]]*Lookups!$B$89</f>
        <v>0</v>
      </c>
      <c r="AZ821" s="25">
        <f>Inventory[[#This Row],[Fixtures]]*Lookups!$B$90</f>
        <v>18960.110526</v>
      </c>
      <c r="BA821" s="25">
        <f>Inventory[[#This Row],[WdDeck]]*Lookups!$B$91</f>
        <v>0</v>
      </c>
      <c r="BB821" s="25">
        <f>ROUND(Inventory[[#This Row],[25Det]],-2)</f>
        <v>0</v>
      </c>
      <c r="BC821" s="25">
        <f>ROUND(SUM(Inventory[[#This Row],[Mdl Qlty]:[Mdl WdDeck]])+Inventory[[#This Row],[Mdl Res Intercept]],-2)</f>
        <v>212800</v>
      </c>
      <c r="BD821" s="25">
        <f>ROUND(Inventory[[#This Row],[Mdl Land Intercept]]+Inventory[[#This Row],[Mdl LnAcres]],-2)</f>
        <v>5700</v>
      </c>
      <c r="BE821" s="25">
        <f>Inventory[[#This Row],[Unadj Res Value]]+Inventory[[#This Row],[Unadj Det Value]]+Inventory[[#This Row],[Unadj Land Value]]</f>
        <v>218500</v>
      </c>
      <c r="BF821" s="36">
        <f>(Inventory[[#This Row],[Unadj Total Value]]-Inventory[[#This Row],[24Final]])/Inventory[[#This Row],[24Final]]</f>
        <v>5.4536679536679539E-2</v>
      </c>
      <c r="BG821" s="25">
        <f>VLOOKUP(Inventory[[#This Row],[Nbhd]],Lookups!$Q$2:$T$4,4,FALSE)</f>
        <v>0.99970000000000003</v>
      </c>
      <c r="BH821" s="25">
        <f>VLOOKUP(Inventory[[#This Row],[Qlty]],Lookups!$O$7:$R$21,4,FALSE)</f>
        <v>0.99180000000000001</v>
      </c>
      <c r="BI821" s="25">
        <f>VLOOKUP(Inventory[[#This Row],[Cnd]],Lookups!$T$7:$W$16,4,FALSE)</f>
        <v>0.99729999999999996</v>
      </c>
      <c r="BJ821" s="25">
        <f>VLOOKUP(Inventory[[#This Row],[LivArea Range]],Lookups!$T$25:$W$37,4,FALSE)</f>
        <v>1.0148999999999999</v>
      </c>
      <c r="BK821" s="25">
        <f>VLOOKUP(Inventory[[#This Row],[Decade]],Lookups!$O$25:$R$42,4,FALSE)</f>
        <v>0.995</v>
      </c>
      <c r="BL821" s="25">
        <f>Inventory[[#This Row],[Nbhd Adj]]*0.95</f>
        <v>0.94971499999999998</v>
      </c>
      <c r="BM821" s="25">
        <f>Inventory[[#This Row],[Nbhd Adj]]*Inventory[[#This Row],[Quality Adj]]*Inventory[[#This Row],[Condition Adj]]*Inventory[[#This Row],[Living Area Adj]]*Inventory[[#This Row],[Decade Adj]]*0.95</f>
        <v>0.94861405199075932</v>
      </c>
      <c r="BN821" s="25">
        <f>ROUND(SUM(Inventory[[#This Row],[Mdl Qlty]:[Mdl WdDeck]])+Inventory[[#This Row],[Mdl Res Intercept]]*Inventory[[#This Row],[Res Adj ]],-2)</f>
        <v>212800</v>
      </c>
      <c r="BO821" s="25">
        <f>ROUND(Inventory[[#This Row],[25Det]]*Inventory[[#This Row],[Det/Nbhd Adj]],-2)</f>
        <v>0</v>
      </c>
      <c r="BP821" s="25">
        <f>Inventory[[#This Row],[Adjusted Res]]+Inventory[[#This Row],[Adj Det ]]</f>
        <v>212800</v>
      </c>
      <c r="BQ821" s="25">
        <f>ROUND((Inventory[[#This Row],[Mdl Land Intercept]]+Inventory[[#This Row],[Mdl LnAcres]])*Inventory[[#This Row],[Det/Nbhd Adj]],-2)</f>
        <v>5400</v>
      </c>
      <c r="BR821" s="25">
        <f>Inventory[[#This Row],[Adjusted Impr Total]]+Inventory[[#This Row],[Adjusted Land Total]]</f>
        <v>218200</v>
      </c>
      <c r="BS821" s="36">
        <f>IFERROR((Inventory[[#This Row],[Adjusted Impr Total]]-Inventory[[#This Row],[24Bldg]])/Inventory[[#This Row],[24Bldg]],0)</f>
        <v>0.14778856526429343</v>
      </c>
      <c r="BT821" s="36">
        <f>(Inventory[[#This Row],[Adjusted Land Total]]-Inventory[[#This Row],[24Lnd]])/Inventory[[#This Row],[24Lnd]]</f>
        <v>-0.75229357798165142</v>
      </c>
      <c r="BU821" s="36">
        <f>(Inventory[[#This Row],[Adjusted Total]]-Inventory[[#This Row],[24Final]])/Inventory[[#This Row],[24Final]]</f>
        <v>5.3088803088803087E-2</v>
      </c>
    </row>
    <row r="822" spans="1:73" x14ac:dyDescent="0.3">
      <c r="A822" s="25">
        <v>2025</v>
      </c>
      <c r="B822" s="26" t="s">
        <v>2317</v>
      </c>
      <c r="C822" s="26">
        <f>LN(Inventory[[#This Row],[Acres]])</f>
        <v>-1.6607312068216509</v>
      </c>
      <c r="D822" s="25">
        <v>0.19</v>
      </c>
      <c r="E822" s="25">
        <v>8231</v>
      </c>
      <c r="F822" s="26" t="s">
        <v>537</v>
      </c>
      <c r="G822" s="26" t="s">
        <v>126</v>
      </c>
      <c r="H822" s="26" t="s">
        <v>349</v>
      </c>
      <c r="I822" s="26" t="s">
        <v>538</v>
      </c>
      <c r="J822" s="26" t="s">
        <v>539</v>
      </c>
      <c r="K822" s="26" t="s">
        <v>242</v>
      </c>
      <c r="L822" s="26" t="s">
        <v>351</v>
      </c>
      <c r="M822" s="26" t="s">
        <v>323</v>
      </c>
      <c r="N822" s="26">
        <v>80</v>
      </c>
      <c r="O822" s="26">
        <f>2024-Inventory[[#This Row],[YrBlt]]</f>
        <v>74</v>
      </c>
      <c r="P822" s="26">
        <f>2024-Inventory[[#This Row],[EffYr]]</f>
        <v>51</v>
      </c>
      <c r="Q822" s="25">
        <v>1950</v>
      </c>
      <c r="R822" s="25">
        <v>1973</v>
      </c>
      <c r="S822" s="25">
        <v>1092</v>
      </c>
      <c r="T822" s="27"/>
      <c r="U822" s="25">
        <v>1092</v>
      </c>
      <c r="V822" s="25">
        <f>Inventory[[#This Row],[Bsmt]]-Inventory[[#This Row],[FnBsmt]]</f>
        <v>292</v>
      </c>
      <c r="W822" s="25">
        <v>800</v>
      </c>
      <c r="X822" s="27"/>
      <c r="Y822" s="27">
        <f>Inventory[[#This Row],[MainFn]]+Inventory[[#This Row],[UpprFn]]+Inventory[[#This Row],[FnBsmt]]+Inventory[[#This Row],[AddFn]]</f>
        <v>1892</v>
      </c>
      <c r="Z822" s="27">
        <v>2000</v>
      </c>
      <c r="AA822" s="25">
        <v>8</v>
      </c>
      <c r="AB822" s="27"/>
      <c r="AC822" s="27"/>
      <c r="AD822" s="25">
        <v>310</v>
      </c>
      <c r="AE822" s="27"/>
      <c r="AF822" s="27"/>
      <c r="AG822" s="27"/>
      <c r="AH822" s="27"/>
      <c r="AI822" s="25">
        <v>289718</v>
      </c>
      <c r="AJ822" s="25">
        <v>199905</v>
      </c>
      <c r="AK822" s="25">
        <v>11645</v>
      </c>
      <c r="AL822" s="25">
        <v>326300</v>
      </c>
      <c r="AM822" s="25">
        <v>56600</v>
      </c>
      <c r="AN822" s="25">
        <v>269700</v>
      </c>
      <c r="AO822" s="25">
        <v>0</v>
      </c>
      <c r="AP822" s="25">
        <f>Lookups!$B$56*0</f>
        <v>0</v>
      </c>
      <c r="AQ822" s="25">
        <f>Lookups!$B$56*1</f>
        <v>89850.625589999996</v>
      </c>
      <c r="AR822" s="25">
        <f>Lookups!$B$57*Inventory[[#This Row],[LnAcres]]</f>
        <v>-52569.808201026557</v>
      </c>
      <c r="AS822" s="25">
        <f>VLOOKUP(Inventory[[#This Row],[Qlty]],Lookups!$A$62:$E$75,2,FALSE)</f>
        <v>21557.329055999999</v>
      </c>
      <c r="AT822" s="25">
        <f>VLOOKUP(Inventory[[#This Row],[Cnd]],Lookups!$A$76:$E$84,2,FALSE)</f>
        <v>160472.20319</v>
      </c>
      <c r="AU822" s="25">
        <f>Inventory[[#This Row],[EffAge]]*Lookups!$B$85</f>
        <v>-11375.3256255</v>
      </c>
      <c r="AV822" s="25">
        <f>Inventory[[#This Row],[MainFn]]*Lookups!$B$86</f>
        <v>53954.267505684002</v>
      </c>
      <c r="AW822" s="25">
        <f>Inventory[[#This Row],[UpprFn]]*Lookups!$B$87</f>
        <v>0</v>
      </c>
      <c r="AX822" s="25">
        <f>Inventory[[#This Row],[AddFn]]*Lookups!$B$88</f>
        <v>0</v>
      </c>
      <c r="AY822" s="25">
        <f>Inventory[[#This Row],[Bsmt]]*Lookups!$B$89</f>
        <v>31757.429609723997</v>
      </c>
      <c r="AZ822" s="25">
        <f>Inventory[[#This Row],[Fixtures]]*Lookups!$B$90</f>
        <v>30336.176841600001</v>
      </c>
      <c r="BA822" s="25">
        <f>Inventory[[#This Row],[WdDeck]]*Lookups!$B$91</f>
        <v>10321.609735560001</v>
      </c>
      <c r="BB822" s="25">
        <f>ROUND(Inventory[[#This Row],[25Det]],-2)</f>
        <v>11600</v>
      </c>
      <c r="BC822" s="25">
        <f>ROUND(SUM(Inventory[[#This Row],[Mdl Qlty]:[Mdl WdDeck]])+Inventory[[#This Row],[Mdl Res Intercept]],-2)</f>
        <v>297000</v>
      </c>
      <c r="BD822" s="25">
        <f>ROUND(Inventory[[#This Row],[Mdl Land Intercept]]+Inventory[[#This Row],[Mdl LnAcres]],-2)</f>
        <v>37300</v>
      </c>
      <c r="BE822" s="25">
        <f>Inventory[[#This Row],[Unadj Res Value]]+Inventory[[#This Row],[Unadj Det Value]]+Inventory[[#This Row],[Unadj Land Value]]</f>
        <v>345900</v>
      </c>
      <c r="BF822" s="36">
        <f>(Inventory[[#This Row],[Unadj Total Value]]-Inventory[[#This Row],[24Final]])/Inventory[[#This Row],[24Final]]</f>
        <v>6.0067422617223414E-2</v>
      </c>
      <c r="BG822" s="25">
        <f>VLOOKUP(Inventory[[#This Row],[Nbhd]],Lookups!$Q$2:$T$4,4,FALSE)</f>
        <v>0.99970000000000003</v>
      </c>
      <c r="BH822" s="25">
        <f>VLOOKUP(Inventory[[#This Row],[Qlty]],Lookups!$O$7:$R$21,4,FALSE)</f>
        <v>1.0067999999999999</v>
      </c>
      <c r="BI822" s="25">
        <f>VLOOKUP(Inventory[[#This Row],[Cnd]],Lookups!$T$7:$W$16,4,FALSE)</f>
        <v>0.99729999999999996</v>
      </c>
      <c r="BJ822" s="25">
        <f>VLOOKUP(Inventory[[#This Row],[LivArea Range]],Lookups!$T$25:$W$37,4,FALSE)</f>
        <v>1.0093000000000001</v>
      </c>
      <c r="BK822" s="25">
        <f>VLOOKUP(Inventory[[#This Row],[Decade]],Lookups!$O$25:$R$42,4,FALSE)</f>
        <v>0.995</v>
      </c>
      <c r="BL822" s="25">
        <f>Inventory[[#This Row],[Nbhd Adj]]*0.95</f>
        <v>0.94971499999999998</v>
      </c>
      <c r="BM822" s="25">
        <f>Inventory[[#This Row],[Nbhd Adj]]*Inventory[[#This Row],[Quality Adj]]*Inventory[[#This Row],[Condition Adj]]*Inventory[[#This Row],[Living Area Adj]]*Inventory[[#This Row],[Decade Adj]]*0.95</f>
        <v>0.957647495730095</v>
      </c>
      <c r="BN822" s="25">
        <f>ROUND(SUM(Inventory[[#This Row],[Mdl Qlty]:[Mdl WdDeck]])+Inventory[[#This Row],[Mdl Res Intercept]]*Inventory[[#This Row],[Res Adj ]],-2)</f>
        <v>297000</v>
      </c>
      <c r="BO822" s="25">
        <f>ROUND(Inventory[[#This Row],[25Det]]*Inventory[[#This Row],[Det/Nbhd Adj]],-2)</f>
        <v>11100</v>
      </c>
      <c r="BP822" s="25">
        <f>Inventory[[#This Row],[Adjusted Res]]+Inventory[[#This Row],[Adj Det ]]</f>
        <v>308100</v>
      </c>
      <c r="BQ822" s="25">
        <f>ROUND((Inventory[[#This Row],[Mdl Land Intercept]]+Inventory[[#This Row],[Mdl LnAcres]])*Inventory[[#This Row],[Det/Nbhd Adj]],-2)</f>
        <v>35400</v>
      </c>
      <c r="BR822" s="25">
        <f>Inventory[[#This Row],[Adjusted Impr Total]]+Inventory[[#This Row],[Adjusted Land Total]]</f>
        <v>343500</v>
      </c>
      <c r="BS822" s="36">
        <f>IFERROR((Inventory[[#This Row],[Adjusted Impr Total]]-Inventory[[#This Row],[24Bldg]])/Inventory[[#This Row],[24Bldg]],0)</f>
        <v>0.14238042269187987</v>
      </c>
      <c r="BT822" s="36">
        <f>(Inventory[[#This Row],[Adjusted Land Total]]-Inventory[[#This Row],[24Lnd]])/Inventory[[#This Row],[24Lnd]]</f>
        <v>-0.37455830388692579</v>
      </c>
      <c r="BU822" s="36">
        <f>(Inventory[[#This Row],[Adjusted Total]]-Inventory[[#This Row],[24Final]])/Inventory[[#This Row],[24Final]]</f>
        <v>5.2712228011032793E-2</v>
      </c>
    </row>
    <row r="823" spans="1:73" x14ac:dyDescent="0.3">
      <c r="A823" s="25">
        <v>2025</v>
      </c>
      <c r="B823" s="26" t="s">
        <v>939</v>
      </c>
      <c r="C823" s="26">
        <f>LN(Inventory[[#This Row],[Acres]])</f>
        <v>-1.3470736479666092</v>
      </c>
      <c r="D823" s="25">
        <v>0.26</v>
      </c>
      <c r="E823" s="25">
        <v>11326</v>
      </c>
      <c r="F823" s="26" t="s">
        <v>624</v>
      </c>
      <c r="G823" s="26" t="s">
        <v>544</v>
      </c>
      <c r="H823" s="26" t="s">
        <v>349</v>
      </c>
      <c r="I823" s="26" t="s">
        <v>625</v>
      </c>
      <c r="J823" s="26" t="s">
        <v>546</v>
      </c>
      <c r="K823" s="26" t="s">
        <v>242</v>
      </c>
      <c r="L823" s="26" t="s">
        <v>351</v>
      </c>
      <c r="M823" s="26" t="s">
        <v>323</v>
      </c>
      <c r="N823" s="26">
        <v>80</v>
      </c>
      <c r="O823" s="26">
        <f>2024-Inventory[[#This Row],[YrBlt]]</f>
        <v>74</v>
      </c>
      <c r="P823" s="26">
        <f>2024-Inventory[[#This Row],[EffYr]]</f>
        <v>51</v>
      </c>
      <c r="Q823" s="25">
        <v>1950</v>
      </c>
      <c r="R823" s="25">
        <v>1973</v>
      </c>
      <c r="S823" s="25">
        <v>1444</v>
      </c>
      <c r="T823" s="27"/>
      <c r="U823" s="25">
        <v>1444</v>
      </c>
      <c r="V823" s="32">
        <f>Inventory[[#This Row],[Bsmt]]-Inventory[[#This Row],[FnBsmt]]</f>
        <v>694</v>
      </c>
      <c r="W823" s="32">
        <v>750</v>
      </c>
      <c r="X823" s="27"/>
      <c r="Y823" s="27">
        <f>Inventory[[#This Row],[MainFn]]+Inventory[[#This Row],[UpprFn]]+Inventory[[#This Row],[FnBsmt]]+Inventory[[#This Row],[AddFn]]</f>
        <v>2194</v>
      </c>
      <c r="Z823" s="27">
        <v>2500</v>
      </c>
      <c r="AA823" s="25">
        <v>7</v>
      </c>
      <c r="AB823" s="27"/>
      <c r="AC823" s="27"/>
      <c r="AD823" s="31"/>
      <c r="AE823" s="27"/>
      <c r="AF823" s="27"/>
      <c r="AG823" s="27"/>
      <c r="AH823" s="27"/>
      <c r="AI823" s="25">
        <v>344375</v>
      </c>
      <c r="AJ823" s="25">
        <v>237619</v>
      </c>
      <c r="AK823" s="25">
        <v>21781</v>
      </c>
      <c r="AL823" s="25">
        <v>357200</v>
      </c>
      <c r="AM823" s="25">
        <v>122300</v>
      </c>
      <c r="AN823" s="25">
        <v>234900</v>
      </c>
      <c r="AO823" s="25">
        <v>0</v>
      </c>
      <c r="AP823" s="25">
        <f>Lookups!$B$56*0</f>
        <v>0</v>
      </c>
      <c r="AQ823" s="25">
        <f>Lookups!$B$56*1</f>
        <v>89850.625589999996</v>
      </c>
      <c r="AR823" s="25">
        <f>Lookups!$B$57*Inventory[[#This Row],[LnAcres]]</f>
        <v>-42641.098701210125</v>
      </c>
      <c r="AS823" s="25">
        <f>VLOOKUP(Inventory[[#This Row],[Qlty]],Lookups!$A$62:$E$75,2,FALSE)</f>
        <v>21557.329055999999</v>
      </c>
      <c r="AT823" s="25">
        <f>VLOOKUP(Inventory[[#This Row],[Cnd]],Lookups!$A$76:$E$84,2,FALSE)</f>
        <v>160472.20319</v>
      </c>
      <c r="AU823" s="25">
        <f>Inventory[[#This Row],[EffAge]]*Lookups!$B$85</f>
        <v>-11375.3256255</v>
      </c>
      <c r="AV823" s="25">
        <f>Inventory[[#This Row],[MainFn]]*Lookups!$B$86</f>
        <v>71346.119302388004</v>
      </c>
      <c r="AW823" s="25">
        <f>Inventory[[#This Row],[UpprFn]]*Lookups!$B$87</f>
        <v>0</v>
      </c>
      <c r="AX823" s="25">
        <f>Inventory[[#This Row],[AddFn]]*Lookups!$B$88</f>
        <v>0</v>
      </c>
      <c r="AY823" s="25">
        <f>Inventory[[#This Row],[Bsmt]]*Lookups!$B$89</f>
        <v>41994.256736668001</v>
      </c>
      <c r="AZ823" s="25">
        <f>Inventory[[#This Row],[Fixtures]]*Lookups!$B$90</f>
        <v>26544.1547364</v>
      </c>
      <c r="BA823" s="25">
        <f>Inventory[[#This Row],[WdDeck]]*Lookups!$B$91</f>
        <v>0</v>
      </c>
      <c r="BB823" s="25">
        <f>ROUND(Inventory[[#This Row],[25Det]],-2)</f>
        <v>21800</v>
      </c>
      <c r="BC823" s="25">
        <f>ROUND(SUM(Inventory[[#This Row],[Mdl Qlty]:[Mdl WdDeck]])+Inventory[[#This Row],[Mdl Res Intercept]],-2)</f>
        <v>310500</v>
      </c>
      <c r="BD823" s="25">
        <f>ROUND(Inventory[[#This Row],[Mdl Land Intercept]]+Inventory[[#This Row],[Mdl LnAcres]],-2)</f>
        <v>47200</v>
      </c>
      <c r="BE823" s="25">
        <f>Inventory[[#This Row],[Unadj Res Value]]+Inventory[[#This Row],[Unadj Det Value]]+Inventory[[#This Row],[Unadj Land Value]]</f>
        <v>379500</v>
      </c>
      <c r="BF823" s="36">
        <f>(Inventory[[#This Row],[Unadj Total Value]]-Inventory[[#This Row],[24Final]])/Inventory[[#This Row],[24Final]]</f>
        <v>6.2430011198208284E-2</v>
      </c>
      <c r="BG823" s="25">
        <f>VLOOKUP(Inventory[[#This Row],[Nbhd]],Lookups!$Q$2:$T$4,4,FALSE)</f>
        <v>0.99970000000000003</v>
      </c>
      <c r="BH823" s="25">
        <f>VLOOKUP(Inventory[[#This Row],[Qlty]],Lookups!$O$7:$R$21,4,FALSE)</f>
        <v>1.0067999999999999</v>
      </c>
      <c r="BI823" s="25">
        <f>VLOOKUP(Inventory[[#This Row],[Cnd]],Lookups!$T$7:$W$16,4,FALSE)</f>
        <v>0.99729999999999996</v>
      </c>
      <c r="BJ823" s="25">
        <f>VLOOKUP(Inventory[[#This Row],[LivArea Range]],Lookups!$T$25:$W$37,4,FALSE)</f>
        <v>0.98919999999999997</v>
      </c>
      <c r="BK823" s="25">
        <f>VLOOKUP(Inventory[[#This Row],[Decade]],Lookups!$O$25:$R$42,4,FALSE)</f>
        <v>0.995</v>
      </c>
      <c r="BL823" s="25">
        <f>Inventory[[#This Row],[Nbhd Adj]]*0.95</f>
        <v>0.94971499999999998</v>
      </c>
      <c r="BM823" s="25">
        <f>Inventory[[#This Row],[Nbhd Adj]]*Inventory[[#This Row],[Quality Adj]]*Inventory[[#This Row],[Condition Adj]]*Inventory[[#This Row],[Living Area Adj]]*Inventory[[#This Row],[Decade Adj]]*0.95</f>
        <v>0.93857614463114025</v>
      </c>
      <c r="BN823" s="25">
        <f>ROUND(SUM(Inventory[[#This Row],[Mdl Qlty]:[Mdl WdDeck]])+Inventory[[#This Row],[Mdl Res Intercept]]*Inventory[[#This Row],[Res Adj ]],-2)</f>
        <v>310500</v>
      </c>
      <c r="BO823" s="25">
        <f>ROUND(Inventory[[#This Row],[25Det]]*Inventory[[#This Row],[Det/Nbhd Adj]],-2)</f>
        <v>20700</v>
      </c>
      <c r="BP823" s="25">
        <f>Inventory[[#This Row],[Adjusted Res]]+Inventory[[#This Row],[Adj Det ]]</f>
        <v>331200</v>
      </c>
      <c r="BQ823" s="25">
        <f>ROUND((Inventory[[#This Row],[Mdl Land Intercept]]+Inventory[[#This Row],[Mdl LnAcres]])*Inventory[[#This Row],[Det/Nbhd Adj]],-2)</f>
        <v>44800</v>
      </c>
      <c r="BR823" s="25">
        <f>Inventory[[#This Row],[Adjusted Impr Total]]+Inventory[[#This Row],[Adjusted Land Total]]</f>
        <v>376000</v>
      </c>
      <c r="BS823" s="36">
        <f>IFERROR((Inventory[[#This Row],[Adjusted Impr Total]]-Inventory[[#This Row],[24Bldg]])/Inventory[[#This Row],[24Bldg]],0)</f>
        <v>0.40996168582375481</v>
      </c>
      <c r="BT823" s="36">
        <f>(Inventory[[#This Row],[Adjusted Land Total]]-Inventory[[#This Row],[24Lnd]])/Inventory[[#This Row],[24Lnd]]</f>
        <v>-0.63368765331152899</v>
      </c>
      <c r="BU823" s="36">
        <f>(Inventory[[#This Row],[Adjusted Total]]-Inventory[[#This Row],[24Final]])/Inventory[[#This Row],[24Final]]</f>
        <v>5.2631578947368418E-2</v>
      </c>
    </row>
    <row r="824" spans="1:73" x14ac:dyDescent="0.3">
      <c r="A824" s="25">
        <v>2025</v>
      </c>
      <c r="B824" s="26" t="s">
        <v>1160</v>
      </c>
      <c r="C824" s="26">
        <f>LN(Inventory[[#This Row],[Acres]])</f>
        <v>-1.5606477482646683</v>
      </c>
      <c r="D824" s="25">
        <v>0.21</v>
      </c>
      <c r="E824" s="25">
        <v>9236</v>
      </c>
      <c r="F824" s="26" t="s">
        <v>537</v>
      </c>
      <c r="G824" s="26" t="s">
        <v>126</v>
      </c>
      <c r="H824" s="26" t="s">
        <v>349</v>
      </c>
      <c r="I824" s="26" t="s">
        <v>538</v>
      </c>
      <c r="J824" s="26" t="s">
        <v>539</v>
      </c>
      <c r="K824" s="26" t="s">
        <v>242</v>
      </c>
      <c r="L824" s="26" t="s">
        <v>351</v>
      </c>
      <c r="M824" s="26" t="s">
        <v>323</v>
      </c>
      <c r="N824" s="26">
        <v>80</v>
      </c>
      <c r="O824" s="26">
        <f>2024-Inventory[[#This Row],[YrBlt]]</f>
        <v>74</v>
      </c>
      <c r="P824" s="26">
        <f>2024-Inventory[[#This Row],[EffYr]]</f>
        <v>51</v>
      </c>
      <c r="Q824" s="25">
        <v>1950</v>
      </c>
      <c r="R824" s="25">
        <v>1973</v>
      </c>
      <c r="S824" s="25">
        <v>1660</v>
      </c>
      <c r="T824" s="27"/>
      <c r="U824" s="25">
        <v>1202</v>
      </c>
      <c r="V824" s="25">
        <f>Inventory[[#This Row],[Bsmt]]-Inventory[[#This Row],[FnBsmt]]</f>
        <v>588</v>
      </c>
      <c r="W824" s="25">
        <v>614</v>
      </c>
      <c r="X824" s="27"/>
      <c r="Y824" s="27">
        <f>Inventory[[#This Row],[MainFn]]+Inventory[[#This Row],[UpprFn]]+Inventory[[#This Row],[FnBsmt]]+Inventory[[#This Row],[AddFn]]</f>
        <v>2274</v>
      </c>
      <c r="Z824" s="27">
        <v>2500</v>
      </c>
      <c r="AA824" s="25">
        <v>8</v>
      </c>
      <c r="AB824" s="31"/>
      <c r="AC824" s="27"/>
      <c r="AD824" s="32">
        <v>176</v>
      </c>
      <c r="AE824" s="27"/>
      <c r="AF824" s="27"/>
      <c r="AG824" s="27"/>
      <c r="AH824" s="27"/>
      <c r="AI824" s="25">
        <v>349597</v>
      </c>
      <c r="AJ824" s="25">
        <v>241222</v>
      </c>
      <c r="AK824" s="25">
        <v>0</v>
      </c>
      <c r="AL824" s="25">
        <v>344200</v>
      </c>
      <c r="AM824" s="25">
        <v>60100</v>
      </c>
      <c r="AN824" s="25">
        <v>284100</v>
      </c>
      <c r="AO824" s="25">
        <v>0</v>
      </c>
      <c r="AP824" s="25">
        <f>Lookups!$B$56*0</f>
        <v>0</v>
      </c>
      <c r="AQ824" s="25">
        <f>Lookups!$B$56*1</f>
        <v>89850.625589999996</v>
      </c>
      <c r="AR824" s="25">
        <f>Lookups!$B$57*Inventory[[#This Row],[LnAcres]]</f>
        <v>-49401.70477837498</v>
      </c>
      <c r="AS824" s="25">
        <f>VLOOKUP(Inventory[[#This Row],[Qlty]],Lookups!$A$62:$E$75,2,FALSE)</f>
        <v>21557.329055999999</v>
      </c>
      <c r="AT824" s="25">
        <f>VLOOKUP(Inventory[[#This Row],[Cnd]],Lookups!$A$76:$E$84,2,FALSE)</f>
        <v>160472.20319</v>
      </c>
      <c r="AU824" s="25">
        <f>Inventory[[#This Row],[EffAge]]*Lookups!$B$85</f>
        <v>-11375.3256255</v>
      </c>
      <c r="AV824" s="25">
        <f>Inventory[[#This Row],[MainFn]]*Lookups!$B$86</f>
        <v>82018.391995819999</v>
      </c>
      <c r="AW824" s="25">
        <f>Inventory[[#This Row],[UpprFn]]*Lookups!$B$87</f>
        <v>0</v>
      </c>
      <c r="AX824" s="25">
        <f>Inventory[[#This Row],[AddFn]]*Lookups!$B$88</f>
        <v>0</v>
      </c>
      <c r="AY824" s="25">
        <f>Inventory[[#This Row],[Bsmt]]*Lookups!$B$89</f>
        <v>34956.438086893999</v>
      </c>
      <c r="AZ824" s="25">
        <f>Inventory[[#This Row],[Fixtures]]*Lookups!$B$90</f>
        <v>30336.176841600001</v>
      </c>
      <c r="BA824" s="25">
        <f>Inventory[[#This Row],[WdDeck]]*Lookups!$B$91</f>
        <v>5860.0106885760006</v>
      </c>
      <c r="BB824" s="25">
        <f>ROUND(Inventory[[#This Row],[25Det]],-2)</f>
        <v>0</v>
      </c>
      <c r="BC824" s="25">
        <f>ROUND(SUM(Inventory[[#This Row],[Mdl Qlty]:[Mdl WdDeck]])+Inventory[[#This Row],[Mdl Res Intercept]],-2)</f>
        <v>323800</v>
      </c>
      <c r="BD824" s="25">
        <f>ROUND(Inventory[[#This Row],[Mdl Land Intercept]]+Inventory[[#This Row],[Mdl LnAcres]],-2)</f>
        <v>40400</v>
      </c>
      <c r="BE824" s="25">
        <f>Inventory[[#This Row],[Unadj Res Value]]+Inventory[[#This Row],[Unadj Det Value]]+Inventory[[#This Row],[Unadj Land Value]]</f>
        <v>364200</v>
      </c>
      <c r="BF824" s="36">
        <f>(Inventory[[#This Row],[Unadj Total Value]]-Inventory[[#This Row],[24Final]])/Inventory[[#This Row],[24Final]]</f>
        <v>5.8105752469494482E-2</v>
      </c>
      <c r="BG824" s="25">
        <f>VLOOKUP(Inventory[[#This Row],[Nbhd]],Lookups!$Q$2:$T$4,4,FALSE)</f>
        <v>0.99970000000000003</v>
      </c>
      <c r="BH824" s="25">
        <f>VLOOKUP(Inventory[[#This Row],[Qlty]],Lookups!$O$7:$R$21,4,FALSE)</f>
        <v>1.0067999999999999</v>
      </c>
      <c r="BI824" s="25">
        <f>VLOOKUP(Inventory[[#This Row],[Cnd]],Lookups!$T$7:$W$16,4,FALSE)</f>
        <v>0.99729999999999996</v>
      </c>
      <c r="BJ824" s="25">
        <f>VLOOKUP(Inventory[[#This Row],[LivArea Range]],Lookups!$T$25:$W$37,4,FALSE)</f>
        <v>0.98919999999999997</v>
      </c>
      <c r="BK824" s="25">
        <f>VLOOKUP(Inventory[[#This Row],[Decade]],Lookups!$O$25:$R$42,4,FALSE)</f>
        <v>0.995</v>
      </c>
      <c r="BL824" s="25">
        <f>Inventory[[#This Row],[Nbhd Adj]]*0.95</f>
        <v>0.94971499999999998</v>
      </c>
      <c r="BM824" s="25">
        <f>Inventory[[#This Row],[Nbhd Adj]]*Inventory[[#This Row],[Quality Adj]]*Inventory[[#This Row],[Condition Adj]]*Inventory[[#This Row],[Living Area Adj]]*Inventory[[#This Row],[Decade Adj]]*0.95</f>
        <v>0.93857614463114025</v>
      </c>
      <c r="BN824" s="25">
        <f>ROUND(SUM(Inventory[[#This Row],[Mdl Qlty]:[Mdl WdDeck]])+Inventory[[#This Row],[Mdl Res Intercept]]*Inventory[[#This Row],[Res Adj ]],-2)</f>
        <v>323800</v>
      </c>
      <c r="BO824" s="25">
        <f>ROUND(Inventory[[#This Row],[25Det]]*Inventory[[#This Row],[Det/Nbhd Adj]],-2)</f>
        <v>0</v>
      </c>
      <c r="BP824" s="25">
        <f>Inventory[[#This Row],[Adjusted Res]]+Inventory[[#This Row],[Adj Det ]]</f>
        <v>323800</v>
      </c>
      <c r="BQ824" s="25">
        <f>ROUND((Inventory[[#This Row],[Mdl Land Intercept]]+Inventory[[#This Row],[Mdl LnAcres]])*Inventory[[#This Row],[Det/Nbhd Adj]],-2)</f>
        <v>38400</v>
      </c>
      <c r="BR824" s="25">
        <f>Inventory[[#This Row],[Adjusted Impr Total]]+Inventory[[#This Row],[Adjusted Land Total]]</f>
        <v>362200</v>
      </c>
      <c r="BS824" s="36">
        <f>IFERROR((Inventory[[#This Row],[Adjusted Impr Total]]-Inventory[[#This Row],[24Bldg]])/Inventory[[#This Row],[24Bldg]],0)</f>
        <v>0.13973952833509329</v>
      </c>
      <c r="BT824" s="36">
        <f>(Inventory[[#This Row],[Adjusted Land Total]]-Inventory[[#This Row],[24Lnd]])/Inventory[[#This Row],[24Lnd]]</f>
        <v>-0.36106489184692181</v>
      </c>
      <c r="BU824" s="36">
        <f>(Inventory[[#This Row],[Adjusted Total]]-Inventory[[#This Row],[24Final]])/Inventory[[#This Row],[24Final]]</f>
        <v>5.2295177222545029E-2</v>
      </c>
    </row>
    <row r="825" spans="1:73" x14ac:dyDescent="0.3">
      <c r="A825" s="25">
        <v>2025</v>
      </c>
      <c r="B825" s="26" t="s">
        <v>1666</v>
      </c>
      <c r="C825" s="26">
        <f>LN(Inventory[[#This Row],[Acres]])</f>
        <v>-1.6607312068216509</v>
      </c>
      <c r="D825" s="25">
        <v>0.19</v>
      </c>
      <c r="E825" s="25">
        <v>8163</v>
      </c>
      <c r="F825" s="26" t="s">
        <v>537</v>
      </c>
      <c r="G825" s="26" t="s">
        <v>126</v>
      </c>
      <c r="H825" s="26" t="s">
        <v>349</v>
      </c>
      <c r="I825" s="26" t="s">
        <v>538</v>
      </c>
      <c r="J825" s="26" t="s">
        <v>539</v>
      </c>
      <c r="K825" s="26" t="s">
        <v>242</v>
      </c>
      <c r="L825" s="26" t="s">
        <v>351</v>
      </c>
      <c r="M825" s="26" t="s">
        <v>323</v>
      </c>
      <c r="N825" s="26">
        <v>80</v>
      </c>
      <c r="O825" s="26">
        <f>2024-Inventory[[#This Row],[YrBlt]]</f>
        <v>74</v>
      </c>
      <c r="P825" s="26">
        <f>2024-Inventory[[#This Row],[EffYr]]</f>
        <v>51</v>
      </c>
      <c r="Q825" s="25">
        <v>1950</v>
      </c>
      <c r="R825" s="25">
        <v>1973</v>
      </c>
      <c r="S825" s="25">
        <v>904</v>
      </c>
      <c r="T825" s="31"/>
      <c r="U825" s="25">
        <v>904</v>
      </c>
      <c r="V825" s="25">
        <f>Inventory[[#This Row],[Bsmt]]-Inventory[[#This Row],[FnBsmt]]</f>
        <v>452</v>
      </c>
      <c r="W825" s="25">
        <v>452</v>
      </c>
      <c r="X825" s="27"/>
      <c r="Y825" s="27">
        <f>Inventory[[#This Row],[MainFn]]+Inventory[[#This Row],[UpprFn]]+Inventory[[#This Row],[FnBsmt]]+Inventory[[#This Row],[AddFn]]</f>
        <v>1356</v>
      </c>
      <c r="Z825" s="27">
        <v>1500</v>
      </c>
      <c r="AA825" s="25">
        <v>8</v>
      </c>
      <c r="AB825" s="27"/>
      <c r="AC825" s="27"/>
      <c r="AD825" s="27"/>
      <c r="AE825" s="27"/>
      <c r="AF825" s="27"/>
      <c r="AG825" s="27"/>
      <c r="AH825" s="27"/>
      <c r="AI825" s="25">
        <v>222521</v>
      </c>
      <c r="AJ825" s="25">
        <v>153539</v>
      </c>
      <c r="AK825" s="25">
        <v>5261</v>
      </c>
      <c r="AL825" s="25">
        <v>296800</v>
      </c>
      <c r="AM825" s="25">
        <v>56600</v>
      </c>
      <c r="AN825" s="25">
        <v>240200</v>
      </c>
      <c r="AO825" s="25">
        <v>0</v>
      </c>
      <c r="AP825" s="25">
        <f>Lookups!$B$56*0</f>
        <v>0</v>
      </c>
      <c r="AQ825" s="25">
        <f>Lookups!$B$56*1</f>
        <v>89850.625589999996</v>
      </c>
      <c r="AR825" s="25">
        <f>Lookups!$B$57*Inventory[[#This Row],[LnAcres]]</f>
        <v>-52569.808201026557</v>
      </c>
      <c r="AS825" s="25">
        <f>VLOOKUP(Inventory[[#This Row],[Qlty]],Lookups!$A$62:$E$75,2,FALSE)</f>
        <v>21557.329055999999</v>
      </c>
      <c r="AT825" s="25">
        <f>VLOOKUP(Inventory[[#This Row],[Cnd]],Lookups!$A$76:$E$84,2,FALSE)</f>
        <v>160472.20319</v>
      </c>
      <c r="AU825" s="25">
        <f>Inventory[[#This Row],[EffAge]]*Lookups!$B$85</f>
        <v>-11375.3256255</v>
      </c>
      <c r="AV825" s="25">
        <f>Inventory[[#This Row],[MainFn]]*Lookups!$B$86</f>
        <v>44665.437568808004</v>
      </c>
      <c r="AW825" s="25">
        <f>Inventory[[#This Row],[UpprFn]]*Lookups!$B$87</f>
        <v>0</v>
      </c>
      <c r="AX825" s="25">
        <f>Inventory[[#This Row],[AddFn]]*Lookups!$B$88</f>
        <v>0</v>
      </c>
      <c r="AY825" s="25">
        <f>Inventory[[#This Row],[Bsmt]]*Lookups!$B$89</f>
        <v>26290.033303287997</v>
      </c>
      <c r="AZ825" s="25">
        <f>Inventory[[#This Row],[Fixtures]]*Lookups!$B$90</f>
        <v>30336.176841600001</v>
      </c>
      <c r="BA825" s="25">
        <f>Inventory[[#This Row],[WdDeck]]*Lookups!$B$91</f>
        <v>0</v>
      </c>
      <c r="BB825" s="25">
        <f>ROUND(Inventory[[#This Row],[25Det]],-2)</f>
        <v>5300</v>
      </c>
      <c r="BC825" s="25">
        <f>ROUND(SUM(Inventory[[#This Row],[Mdl Qlty]:[Mdl WdDeck]])+Inventory[[#This Row],[Mdl Res Intercept]],-2)</f>
        <v>271900</v>
      </c>
      <c r="BD825" s="25">
        <f>ROUND(Inventory[[#This Row],[Mdl Land Intercept]]+Inventory[[#This Row],[Mdl LnAcres]],-2)</f>
        <v>37300</v>
      </c>
      <c r="BE825" s="25">
        <f>Inventory[[#This Row],[Unadj Res Value]]+Inventory[[#This Row],[Unadj Det Value]]+Inventory[[#This Row],[Unadj Land Value]]</f>
        <v>314500</v>
      </c>
      <c r="BF825" s="36">
        <f>(Inventory[[#This Row],[Unadj Total Value]]-Inventory[[#This Row],[24Final]])/Inventory[[#This Row],[24Final]]</f>
        <v>5.9636118598382748E-2</v>
      </c>
      <c r="BG825" s="25">
        <f>VLOOKUP(Inventory[[#This Row],[Nbhd]],Lookups!$Q$2:$T$4,4,FALSE)</f>
        <v>0.99970000000000003</v>
      </c>
      <c r="BH825" s="25">
        <f>VLOOKUP(Inventory[[#This Row],[Qlty]],Lookups!$O$7:$R$21,4,FALSE)</f>
        <v>1.0067999999999999</v>
      </c>
      <c r="BI825" s="25">
        <f>VLOOKUP(Inventory[[#This Row],[Cnd]],Lookups!$T$7:$W$16,4,FALSE)</f>
        <v>0.99729999999999996</v>
      </c>
      <c r="BJ825" s="25">
        <f>VLOOKUP(Inventory[[#This Row],[LivArea Range]],Lookups!$T$25:$W$37,4,FALSE)</f>
        <v>1.0157</v>
      </c>
      <c r="BK825" s="25">
        <f>VLOOKUP(Inventory[[#This Row],[Decade]],Lookups!$O$25:$R$42,4,FALSE)</f>
        <v>0.995</v>
      </c>
      <c r="BL825" s="25">
        <f>Inventory[[#This Row],[Nbhd Adj]]*0.95</f>
        <v>0.94971499999999998</v>
      </c>
      <c r="BM825" s="25">
        <f>Inventory[[#This Row],[Nbhd Adj]]*Inventory[[#This Row],[Quality Adj]]*Inventory[[#This Row],[Condition Adj]]*Inventory[[#This Row],[Living Area Adj]]*Inventory[[#This Row],[Decade Adj]]*0.95</f>
        <v>0.96371996573175212</v>
      </c>
      <c r="BN825" s="25">
        <f>ROUND(SUM(Inventory[[#This Row],[Mdl Qlty]:[Mdl WdDeck]])+Inventory[[#This Row],[Mdl Res Intercept]]*Inventory[[#This Row],[Res Adj ]],-2)</f>
        <v>271900</v>
      </c>
      <c r="BO825" s="25">
        <f>ROUND(Inventory[[#This Row],[25Det]]*Inventory[[#This Row],[Det/Nbhd Adj]],-2)</f>
        <v>5000</v>
      </c>
      <c r="BP825" s="25">
        <f>Inventory[[#This Row],[Adjusted Res]]+Inventory[[#This Row],[Adj Det ]]</f>
        <v>276900</v>
      </c>
      <c r="BQ825" s="25">
        <f>ROUND((Inventory[[#This Row],[Mdl Land Intercept]]+Inventory[[#This Row],[Mdl LnAcres]])*Inventory[[#This Row],[Det/Nbhd Adj]],-2)</f>
        <v>35400</v>
      </c>
      <c r="BR825" s="25">
        <f>Inventory[[#This Row],[Adjusted Impr Total]]+Inventory[[#This Row],[Adjusted Land Total]]</f>
        <v>312300</v>
      </c>
      <c r="BS825" s="36">
        <f>IFERROR((Inventory[[#This Row],[Adjusted Impr Total]]-Inventory[[#This Row],[24Bldg]])/Inventory[[#This Row],[24Bldg]],0)</f>
        <v>0.15278934221482099</v>
      </c>
      <c r="BT825" s="36">
        <f>(Inventory[[#This Row],[Adjusted Land Total]]-Inventory[[#This Row],[24Lnd]])/Inventory[[#This Row],[24Lnd]]</f>
        <v>-0.37455830388692579</v>
      </c>
      <c r="BU825" s="36">
        <f>(Inventory[[#This Row],[Adjusted Total]]-Inventory[[#This Row],[24Final]])/Inventory[[#This Row],[24Final]]</f>
        <v>5.2223719676549867E-2</v>
      </c>
    </row>
    <row r="826" spans="1:73" x14ac:dyDescent="0.3">
      <c r="A826" s="25">
        <v>2025</v>
      </c>
      <c r="B826" s="26" t="s">
        <v>875</v>
      </c>
      <c r="C826" s="26">
        <f>LN(Inventory[[#This Row],[Acres]])</f>
        <v>-1.7147984280919266</v>
      </c>
      <c r="D826" s="25">
        <v>0.18</v>
      </c>
      <c r="E826" s="25">
        <v>7973</v>
      </c>
      <c r="F826" s="26" t="s">
        <v>537</v>
      </c>
      <c r="G826" s="26" t="s">
        <v>126</v>
      </c>
      <c r="H826" s="26" t="s">
        <v>349</v>
      </c>
      <c r="I826" s="26" t="s">
        <v>538</v>
      </c>
      <c r="J826" s="26" t="s">
        <v>539</v>
      </c>
      <c r="K826" s="26" t="s">
        <v>241</v>
      </c>
      <c r="L826" s="26" t="s">
        <v>302</v>
      </c>
      <c r="M826" s="26" t="s">
        <v>323</v>
      </c>
      <c r="N826" s="26">
        <v>80</v>
      </c>
      <c r="O826" s="26">
        <f>2024-Inventory[[#This Row],[YrBlt]]</f>
        <v>74</v>
      </c>
      <c r="P826" s="26">
        <f>2024-Inventory[[#This Row],[EffYr]]</f>
        <v>51</v>
      </c>
      <c r="Q826" s="25">
        <v>1950</v>
      </c>
      <c r="R826" s="25">
        <v>1973</v>
      </c>
      <c r="S826" s="25">
        <v>1079</v>
      </c>
      <c r="T826" s="27"/>
      <c r="U826" s="31"/>
      <c r="V826" s="31">
        <f>Inventory[[#This Row],[Bsmt]]-Inventory[[#This Row],[FnBsmt]]</f>
        <v>0</v>
      </c>
      <c r="W826" s="31"/>
      <c r="X826" s="27"/>
      <c r="Y826" s="27">
        <f>Inventory[[#This Row],[MainFn]]+Inventory[[#This Row],[UpprFn]]+Inventory[[#This Row],[FnBsmt]]+Inventory[[#This Row],[AddFn]]</f>
        <v>1079</v>
      </c>
      <c r="Z826" s="27">
        <v>1500</v>
      </c>
      <c r="AA826" s="25">
        <v>5</v>
      </c>
      <c r="AB826" s="32">
        <v>260</v>
      </c>
      <c r="AC826" s="27"/>
      <c r="AD826" s="27"/>
      <c r="AE826" s="27"/>
      <c r="AF826" s="27"/>
      <c r="AG826" s="27"/>
      <c r="AH826" s="27"/>
      <c r="AI826" s="25">
        <v>240544</v>
      </c>
      <c r="AJ826" s="25">
        <v>165975</v>
      </c>
      <c r="AK826" s="25">
        <v>0</v>
      </c>
      <c r="AL826" s="25">
        <v>270900</v>
      </c>
      <c r="AM826" s="25">
        <v>54700</v>
      </c>
      <c r="AN826" s="25">
        <v>216200</v>
      </c>
      <c r="AO826" s="25">
        <v>0</v>
      </c>
      <c r="AP826" s="25">
        <f>Lookups!$B$56*0</f>
        <v>0</v>
      </c>
      <c r="AQ826" s="25">
        <f>Lookups!$B$56*1</f>
        <v>89850.625589999996</v>
      </c>
      <c r="AR826" s="25">
        <f>Lookups!$B$57*Inventory[[#This Row],[LnAcres]]</f>
        <v>-54281.285314520763</v>
      </c>
      <c r="AS826" s="25">
        <f>VLOOKUP(Inventory[[#This Row],[Qlty]],Lookups!$A$62:$E$75,2,FALSE)</f>
        <v>29814.093161000001</v>
      </c>
      <c r="AT826" s="25">
        <f>VLOOKUP(Inventory[[#This Row],[Cnd]],Lookups!$A$76:$E$84,2,FALSE)</f>
        <v>160472.20319</v>
      </c>
      <c r="AU826" s="25">
        <f>Inventory[[#This Row],[EffAge]]*Lookups!$B$85</f>
        <v>-11375.3256255</v>
      </c>
      <c r="AV826" s="25">
        <f>Inventory[[#This Row],[MainFn]]*Lookups!$B$86</f>
        <v>53311.954797283004</v>
      </c>
      <c r="AW826" s="25">
        <f>Inventory[[#This Row],[UpprFn]]*Lookups!$B$87</f>
        <v>0</v>
      </c>
      <c r="AX826" s="25">
        <f>Inventory[[#This Row],[AddFn]]*Lookups!$B$88</f>
        <v>0</v>
      </c>
      <c r="AY826" s="25">
        <f>Inventory[[#This Row],[Bsmt]]*Lookups!$B$89</f>
        <v>0</v>
      </c>
      <c r="AZ826" s="25">
        <f>Inventory[[#This Row],[Fixtures]]*Lookups!$B$90</f>
        <v>18960.110526</v>
      </c>
      <c r="BA826" s="25">
        <f>Inventory[[#This Row],[WdDeck]]*Lookups!$B$91</f>
        <v>0</v>
      </c>
      <c r="BB826" s="25">
        <f>ROUND(Inventory[[#This Row],[25Det]],-2)</f>
        <v>0</v>
      </c>
      <c r="BC826" s="25">
        <f>ROUND(SUM(Inventory[[#This Row],[Mdl Qlty]:[Mdl WdDeck]])+Inventory[[#This Row],[Mdl Res Intercept]],-2)</f>
        <v>251200</v>
      </c>
      <c r="BD826" s="25">
        <f>ROUND(Inventory[[#This Row],[Mdl Land Intercept]]+Inventory[[#This Row],[Mdl LnAcres]],-2)</f>
        <v>35600</v>
      </c>
      <c r="BE826" s="25">
        <f>Inventory[[#This Row],[Unadj Res Value]]+Inventory[[#This Row],[Unadj Det Value]]+Inventory[[#This Row],[Unadj Land Value]]</f>
        <v>286800</v>
      </c>
      <c r="BF826" s="36">
        <f>(Inventory[[#This Row],[Unadj Total Value]]-Inventory[[#This Row],[24Final]])/Inventory[[#This Row],[24Final]]</f>
        <v>5.8693244739756366E-2</v>
      </c>
      <c r="BG826" s="25">
        <f>VLOOKUP(Inventory[[#This Row],[Nbhd]],Lookups!$Q$2:$T$4,4,FALSE)</f>
        <v>0.99970000000000003</v>
      </c>
      <c r="BH826" s="25">
        <f>VLOOKUP(Inventory[[#This Row],[Qlty]],Lookups!$O$7:$R$21,4,FALSE)</f>
        <v>1.0088999999999999</v>
      </c>
      <c r="BI826" s="25">
        <f>VLOOKUP(Inventory[[#This Row],[Cnd]],Lookups!$T$7:$W$16,4,FALSE)</f>
        <v>0.99729999999999996</v>
      </c>
      <c r="BJ826" s="25">
        <f>VLOOKUP(Inventory[[#This Row],[LivArea Range]],Lookups!$T$25:$W$37,4,FALSE)</f>
        <v>1.0157</v>
      </c>
      <c r="BK826" s="25">
        <f>VLOOKUP(Inventory[[#This Row],[Decade]],Lookups!$O$25:$R$42,4,FALSE)</f>
        <v>0.995</v>
      </c>
      <c r="BL826" s="25">
        <f>Inventory[[#This Row],[Nbhd Adj]]*0.95</f>
        <v>0.94971499999999998</v>
      </c>
      <c r="BM826" s="25">
        <f>Inventory[[#This Row],[Nbhd Adj]]*Inventory[[#This Row],[Quality Adj]]*Inventory[[#This Row],[Condition Adj]]*Inventory[[#This Row],[Living Area Adj]]*Inventory[[#This Row],[Decade Adj]]*0.95</f>
        <v>0.96573010868768849</v>
      </c>
      <c r="BN826" s="25">
        <f>ROUND(SUM(Inventory[[#This Row],[Mdl Qlty]:[Mdl WdDeck]])+Inventory[[#This Row],[Mdl Res Intercept]]*Inventory[[#This Row],[Res Adj ]],-2)</f>
        <v>251200</v>
      </c>
      <c r="BO826" s="25">
        <f>ROUND(Inventory[[#This Row],[25Det]]*Inventory[[#This Row],[Det/Nbhd Adj]],-2)</f>
        <v>0</v>
      </c>
      <c r="BP826" s="25">
        <f>Inventory[[#This Row],[Adjusted Res]]+Inventory[[#This Row],[Adj Det ]]</f>
        <v>251200</v>
      </c>
      <c r="BQ826" s="25">
        <f>ROUND((Inventory[[#This Row],[Mdl Land Intercept]]+Inventory[[#This Row],[Mdl LnAcres]])*Inventory[[#This Row],[Det/Nbhd Adj]],-2)</f>
        <v>33800</v>
      </c>
      <c r="BR826" s="25">
        <f>Inventory[[#This Row],[Adjusted Impr Total]]+Inventory[[#This Row],[Adjusted Land Total]]</f>
        <v>285000</v>
      </c>
      <c r="BS826" s="36">
        <f>IFERROR((Inventory[[#This Row],[Adjusted Impr Total]]-Inventory[[#This Row],[24Bldg]])/Inventory[[#This Row],[24Bldg]],0)</f>
        <v>0.16188714153561518</v>
      </c>
      <c r="BT826" s="36">
        <f>(Inventory[[#This Row],[Adjusted Land Total]]-Inventory[[#This Row],[24Lnd]])/Inventory[[#This Row],[24Lnd]]</f>
        <v>-0.38208409506398539</v>
      </c>
      <c r="BU826" s="36">
        <f>(Inventory[[#This Row],[Adjusted Total]]-Inventory[[#This Row],[24Final]])/Inventory[[#This Row],[24Final]]</f>
        <v>5.2048726467331122E-2</v>
      </c>
    </row>
    <row r="827" spans="1:73" x14ac:dyDescent="0.3">
      <c r="A827" s="25">
        <v>2025</v>
      </c>
      <c r="B827" s="26" t="s">
        <v>1060</v>
      </c>
      <c r="C827" s="26">
        <f>LN(Inventory[[#This Row],[Acres]])</f>
        <v>-1.3470736479666092</v>
      </c>
      <c r="D827" s="25">
        <v>0.26</v>
      </c>
      <c r="E827" s="25">
        <v>11347</v>
      </c>
      <c r="F827" s="26" t="s">
        <v>537</v>
      </c>
      <c r="G827" s="26" t="s">
        <v>126</v>
      </c>
      <c r="H827" s="26" t="s">
        <v>349</v>
      </c>
      <c r="I827" s="26" t="s">
        <v>538</v>
      </c>
      <c r="J827" s="26" t="s">
        <v>539</v>
      </c>
      <c r="K827" s="26" t="s">
        <v>241</v>
      </c>
      <c r="L827" s="26" t="s">
        <v>148</v>
      </c>
      <c r="M827" s="26" t="s">
        <v>303</v>
      </c>
      <c r="N827" s="26">
        <v>80</v>
      </c>
      <c r="O827" s="26">
        <f>2024-Inventory[[#This Row],[YrBlt]]</f>
        <v>74</v>
      </c>
      <c r="P827" s="26">
        <f>2024-Inventory[[#This Row],[EffYr]]</f>
        <v>51</v>
      </c>
      <c r="Q827" s="25">
        <v>1950</v>
      </c>
      <c r="R827" s="25">
        <v>1973</v>
      </c>
      <c r="S827" s="25">
        <v>2365</v>
      </c>
      <c r="T827" s="27"/>
      <c r="U827" s="32">
        <v>60</v>
      </c>
      <c r="V827" s="32">
        <f>Inventory[[#This Row],[Bsmt]]-Inventory[[#This Row],[FnBsmt]]</f>
        <v>60</v>
      </c>
      <c r="W827" s="27"/>
      <c r="X827" s="27"/>
      <c r="Y827" s="27">
        <f>Inventory[[#This Row],[MainFn]]+Inventory[[#This Row],[UpprFn]]+Inventory[[#This Row],[FnBsmt]]+Inventory[[#This Row],[AddFn]]</f>
        <v>2365</v>
      </c>
      <c r="Z827" s="27">
        <v>2500</v>
      </c>
      <c r="AA827" s="25">
        <v>8</v>
      </c>
      <c r="AB827" s="25">
        <v>414</v>
      </c>
      <c r="AC827" s="27"/>
      <c r="AD827" s="27"/>
      <c r="AE827" s="27"/>
      <c r="AF827" s="27"/>
      <c r="AG827" s="27"/>
      <c r="AH827" s="27"/>
      <c r="AI827" s="25">
        <v>528012</v>
      </c>
      <c r="AJ827" s="25">
        <v>374889</v>
      </c>
      <c r="AK827" s="25">
        <v>0</v>
      </c>
      <c r="AL827" s="25">
        <v>403400</v>
      </c>
      <c r="AM827" s="25">
        <v>67600</v>
      </c>
      <c r="AN827" s="25">
        <v>335800</v>
      </c>
      <c r="AO827" s="25">
        <v>0</v>
      </c>
      <c r="AP827" s="25">
        <f>Lookups!$B$56*0</f>
        <v>0</v>
      </c>
      <c r="AQ827" s="25">
        <f>Lookups!$B$56*1</f>
        <v>89850.625589999996</v>
      </c>
      <c r="AR827" s="25">
        <f>Lookups!$B$57*Inventory[[#This Row],[LnAcres]]</f>
        <v>-42641.098701210125</v>
      </c>
      <c r="AS827" s="25">
        <f>VLOOKUP(Inventory[[#This Row],[Qlty]],Lookups!$A$62:$E$75,2,FALSE)</f>
        <v>44121.038090000002</v>
      </c>
      <c r="AT827" s="25">
        <f>VLOOKUP(Inventory[[#This Row],[Cnd]],Lookups!$A$76:$E$84,2,FALSE)</f>
        <v>197752.34721000001</v>
      </c>
      <c r="AU827" s="25">
        <f>Inventory[[#This Row],[EffAge]]*Lookups!$B$85</f>
        <v>-11375.3256255</v>
      </c>
      <c r="AV827" s="25">
        <f>Inventory[[#This Row],[MainFn]]*Lookups!$B$86</f>
        <v>116851.504259105</v>
      </c>
      <c r="AW827" s="25">
        <f>Inventory[[#This Row],[UpprFn]]*Lookups!$B$87</f>
        <v>0</v>
      </c>
      <c r="AX827" s="25">
        <f>Inventory[[#This Row],[AddFn]]*Lookups!$B$88</f>
        <v>0</v>
      </c>
      <c r="AY827" s="25">
        <f>Inventory[[#This Row],[Bsmt]]*Lookups!$B$89</f>
        <v>1744.91371482</v>
      </c>
      <c r="AZ827" s="25">
        <f>Inventory[[#This Row],[Fixtures]]*Lookups!$B$90</f>
        <v>30336.176841600001</v>
      </c>
      <c r="BA827" s="25">
        <f>Inventory[[#This Row],[WdDeck]]*Lookups!$B$91</f>
        <v>0</v>
      </c>
      <c r="BB827" s="25">
        <f>ROUND(Inventory[[#This Row],[25Det]],-2)</f>
        <v>0</v>
      </c>
      <c r="BC827" s="25">
        <f>ROUND(SUM(Inventory[[#This Row],[Mdl Qlty]:[Mdl WdDeck]])+Inventory[[#This Row],[Mdl Res Intercept]],-2)</f>
        <v>379400</v>
      </c>
      <c r="BD827" s="25">
        <f>ROUND(Inventory[[#This Row],[Mdl Land Intercept]]+Inventory[[#This Row],[Mdl LnAcres]],-2)</f>
        <v>47200</v>
      </c>
      <c r="BE827" s="25">
        <f>Inventory[[#This Row],[Unadj Res Value]]+Inventory[[#This Row],[Unadj Det Value]]+Inventory[[#This Row],[Unadj Land Value]]</f>
        <v>426600</v>
      </c>
      <c r="BF827" s="36">
        <f>(Inventory[[#This Row],[Unadj Total Value]]-Inventory[[#This Row],[24Final]])/Inventory[[#This Row],[24Final]]</f>
        <v>5.7511155180961823E-2</v>
      </c>
      <c r="BG827" s="25">
        <f>VLOOKUP(Inventory[[#This Row],[Nbhd]],Lookups!$Q$2:$T$4,4,FALSE)</f>
        <v>0.99970000000000003</v>
      </c>
      <c r="BH827" s="25">
        <f>VLOOKUP(Inventory[[#This Row],[Qlty]],Lookups!$O$7:$R$21,4,FALSE)</f>
        <v>0.98050000000000004</v>
      </c>
      <c r="BI827" s="25">
        <f>VLOOKUP(Inventory[[#This Row],[Cnd]],Lookups!$T$7:$W$16,4,FALSE)</f>
        <v>0.99650000000000005</v>
      </c>
      <c r="BJ827" s="25">
        <f>VLOOKUP(Inventory[[#This Row],[LivArea Range]],Lookups!$T$25:$W$37,4,FALSE)</f>
        <v>0.98919999999999997</v>
      </c>
      <c r="BK827" s="25">
        <f>VLOOKUP(Inventory[[#This Row],[Decade]],Lookups!$O$25:$R$42,4,FALSE)</f>
        <v>0.995</v>
      </c>
      <c r="BL827" s="25">
        <f>Inventory[[#This Row],[Nbhd Adj]]*0.95</f>
        <v>0.94971499999999998</v>
      </c>
      <c r="BM827" s="25">
        <f>Inventory[[#This Row],[Nbhd Adj]]*Inventory[[#This Row],[Quality Adj]]*Inventory[[#This Row],[Condition Adj]]*Inventory[[#This Row],[Living Area Adj]]*Inventory[[#This Row],[Decade Adj]]*0.95</f>
        <v>0.91332508691872449</v>
      </c>
      <c r="BN827" s="25">
        <f>ROUND(SUM(Inventory[[#This Row],[Mdl Qlty]:[Mdl WdDeck]])+Inventory[[#This Row],[Mdl Res Intercept]]*Inventory[[#This Row],[Res Adj ]],-2)</f>
        <v>379400</v>
      </c>
      <c r="BO827" s="25">
        <f>ROUND(Inventory[[#This Row],[25Det]]*Inventory[[#This Row],[Det/Nbhd Adj]],-2)</f>
        <v>0</v>
      </c>
      <c r="BP827" s="25">
        <f>Inventory[[#This Row],[Adjusted Res]]+Inventory[[#This Row],[Adj Det ]]</f>
        <v>379400</v>
      </c>
      <c r="BQ827" s="25">
        <f>ROUND((Inventory[[#This Row],[Mdl Land Intercept]]+Inventory[[#This Row],[Mdl LnAcres]])*Inventory[[#This Row],[Det/Nbhd Adj]],-2)</f>
        <v>44800</v>
      </c>
      <c r="BR827" s="25">
        <f>Inventory[[#This Row],[Adjusted Impr Total]]+Inventory[[#This Row],[Adjusted Land Total]]</f>
        <v>424200</v>
      </c>
      <c r="BS827" s="36">
        <f>IFERROR((Inventory[[#This Row],[Adjusted Impr Total]]-Inventory[[#This Row],[24Bldg]])/Inventory[[#This Row],[24Bldg]],0)</f>
        <v>0.12983918999404406</v>
      </c>
      <c r="BT827" s="36">
        <f>(Inventory[[#This Row],[Adjusted Land Total]]-Inventory[[#This Row],[24Lnd]])/Inventory[[#This Row],[24Lnd]]</f>
        <v>-0.33727810650887574</v>
      </c>
      <c r="BU827" s="36">
        <f>(Inventory[[#This Row],[Adjusted Total]]-Inventory[[#This Row],[24Final]])/Inventory[[#This Row],[24Final]]</f>
        <v>5.1561725334655431E-2</v>
      </c>
    </row>
    <row r="828" spans="1:73" x14ac:dyDescent="0.3">
      <c r="A828" s="25">
        <v>2025</v>
      </c>
      <c r="B828" s="26" t="s">
        <v>816</v>
      </c>
      <c r="C828" s="26">
        <f>LN(Inventory[[#This Row],[Acres]])</f>
        <v>-1.5606477482646683</v>
      </c>
      <c r="D828" s="25">
        <v>0.21</v>
      </c>
      <c r="E828" s="25">
        <v>8958</v>
      </c>
      <c r="F828" s="26" t="s">
        <v>537</v>
      </c>
      <c r="G828" s="26" t="s">
        <v>126</v>
      </c>
      <c r="H828" s="26" t="s">
        <v>349</v>
      </c>
      <c r="I828" s="26" t="s">
        <v>538</v>
      </c>
      <c r="J828" s="26" t="s">
        <v>539</v>
      </c>
      <c r="K828" s="26" t="s">
        <v>241</v>
      </c>
      <c r="L828" s="26" t="s">
        <v>148</v>
      </c>
      <c r="M828" s="26" t="s">
        <v>323</v>
      </c>
      <c r="N828" s="26">
        <v>80</v>
      </c>
      <c r="O828" s="26">
        <f>2024-Inventory[[#This Row],[YrBlt]]</f>
        <v>74</v>
      </c>
      <c r="P828" s="26">
        <f>2024-Inventory[[#This Row],[EffYr]]</f>
        <v>51</v>
      </c>
      <c r="Q828" s="25">
        <v>1950</v>
      </c>
      <c r="R828" s="25">
        <v>1973</v>
      </c>
      <c r="S828" s="25">
        <v>1240</v>
      </c>
      <c r="T828" s="27"/>
      <c r="U828" s="25">
        <v>1240</v>
      </c>
      <c r="V828" s="25">
        <f>Inventory[[#This Row],[Bsmt]]-Inventory[[#This Row],[FnBsmt]]</f>
        <v>620</v>
      </c>
      <c r="W828" s="25">
        <v>620</v>
      </c>
      <c r="X828" s="27"/>
      <c r="Y828" s="27">
        <f>Inventory[[#This Row],[MainFn]]+Inventory[[#This Row],[UpprFn]]+Inventory[[#This Row],[FnBsmt]]+Inventory[[#This Row],[AddFn]]</f>
        <v>1860</v>
      </c>
      <c r="Z828" s="27">
        <v>2000</v>
      </c>
      <c r="AA828" s="25">
        <v>8</v>
      </c>
      <c r="AB828" s="31"/>
      <c r="AC828" s="27"/>
      <c r="AD828" s="32">
        <v>40</v>
      </c>
      <c r="AE828" s="27"/>
      <c r="AF828" s="27"/>
      <c r="AG828" s="27"/>
      <c r="AH828" s="27"/>
      <c r="AI828" s="25">
        <v>389176</v>
      </c>
      <c r="AJ828" s="25">
        <v>268531</v>
      </c>
      <c r="AK828" s="25">
        <v>17014</v>
      </c>
      <c r="AL828" s="25">
        <v>358400</v>
      </c>
      <c r="AM828" s="25">
        <v>60100</v>
      </c>
      <c r="AN828" s="25">
        <v>298300</v>
      </c>
      <c r="AO828" s="25">
        <v>0</v>
      </c>
      <c r="AP828" s="25">
        <f>Lookups!$B$56*0</f>
        <v>0</v>
      </c>
      <c r="AQ828" s="25">
        <f>Lookups!$B$56*1</f>
        <v>89850.625589999996</v>
      </c>
      <c r="AR828" s="25">
        <f>Lookups!$B$57*Inventory[[#This Row],[LnAcres]]</f>
        <v>-49401.70477837498</v>
      </c>
      <c r="AS828" s="25">
        <f>VLOOKUP(Inventory[[#This Row],[Qlty]],Lookups!$A$62:$E$75,2,FALSE)</f>
        <v>44121.038090000002</v>
      </c>
      <c r="AT828" s="25">
        <f>VLOOKUP(Inventory[[#This Row],[Cnd]],Lookups!$A$76:$E$84,2,FALSE)</f>
        <v>160472.20319</v>
      </c>
      <c r="AU828" s="25">
        <f>Inventory[[#This Row],[EffAge]]*Lookups!$B$85</f>
        <v>-11375.3256255</v>
      </c>
      <c r="AV828" s="25">
        <f>Inventory[[#This Row],[MainFn]]*Lookups!$B$86</f>
        <v>61266.750647480003</v>
      </c>
      <c r="AW828" s="25">
        <f>Inventory[[#This Row],[UpprFn]]*Lookups!$B$87</f>
        <v>0</v>
      </c>
      <c r="AX828" s="25">
        <f>Inventory[[#This Row],[AddFn]]*Lookups!$B$88</f>
        <v>0</v>
      </c>
      <c r="AY828" s="25">
        <f>Inventory[[#This Row],[Bsmt]]*Lookups!$B$89</f>
        <v>36061.550106279996</v>
      </c>
      <c r="AZ828" s="25">
        <f>Inventory[[#This Row],[Fixtures]]*Lookups!$B$90</f>
        <v>30336.176841600001</v>
      </c>
      <c r="BA828" s="25">
        <f>Inventory[[#This Row],[WdDeck]]*Lookups!$B$91</f>
        <v>1331.8206110400001</v>
      </c>
      <c r="BB828" s="25">
        <f>ROUND(Inventory[[#This Row],[25Det]],-2)</f>
        <v>17000</v>
      </c>
      <c r="BC828" s="25">
        <f>ROUND(SUM(Inventory[[#This Row],[Mdl Qlty]:[Mdl WdDeck]])+Inventory[[#This Row],[Mdl Res Intercept]],-2)</f>
        <v>322200</v>
      </c>
      <c r="BD828" s="25">
        <f>ROUND(Inventory[[#This Row],[Mdl Land Intercept]]+Inventory[[#This Row],[Mdl LnAcres]],-2)</f>
        <v>40400</v>
      </c>
      <c r="BE828" s="25">
        <f>Inventory[[#This Row],[Unadj Res Value]]+Inventory[[#This Row],[Unadj Det Value]]+Inventory[[#This Row],[Unadj Land Value]]</f>
        <v>379600</v>
      </c>
      <c r="BF828" s="36">
        <f>(Inventory[[#This Row],[Unadj Total Value]]-Inventory[[#This Row],[24Final]])/Inventory[[#This Row],[24Final]]</f>
        <v>5.9151785714285712E-2</v>
      </c>
      <c r="BG828" s="25">
        <f>VLOOKUP(Inventory[[#This Row],[Nbhd]],Lookups!$Q$2:$T$4,4,FALSE)</f>
        <v>0.99970000000000003</v>
      </c>
      <c r="BH828" s="25">
        <f>VLOOKUP(Inventory[[#This Row],[Qlty]],Lookups!$O$7:$R$21,4,FALSE)</f>
        <v>0.98050000000000004</v>
      </c>
      <c r="BI828" s="25">
        <f>VLOOKUP(Inventory[[#This Row],[Cnd]],Lookups!$T$7:$W$16,4,FALSE)</f>
        <v>0.99729999999999996</v>
      </c>
      <c r="BJ828" s="25">
        <f>VLOOKUP(Inventory[[#This Row],[LivArea Range]],Lookups!$T$25:$W$37,4,FALSE)</f>
        <v>1.0093000000000001</v>
      </c>
      <c r="BK828" s="25">
        <f>VLOOKUP(Inventory[[#This Row],[Decade]],Lookups!$O$25:$R$42,4,FALSE)</f>
        <v>0.995</v>
      </c>
      <c r="BL828" s="25">
        <f>Inventory[[#This Row],[Nbhd Adj]]*0.95</f>
        <v>0.94971499999999998</v>
      </c>
      <c r="BM828" s="25">
        <f>Inventory[[#This Row],[Nbhd Adj]]*Inventory[[#This Row],[Quality Adj]]*Inventory[[#This Row],[Condition Adj]]*Inventory[[#This Row],[Living Area Adj]]*Inventory[[#This Row],[Decade Adj]]*0.95</f>
        <v>0.93263147552975589</v>
      </c>
      <c r="BN828" s="25">
        <f>ROUND(SUM(Inventory[[#This Row],[Mdl Qlty]:[Mdl WdDeck]])+Inventory[[#This Row],[Mdl Res Intercept]]*Inventory[[#This Row],[Res Adj ]],-2)</f>
        <v>322200</v>
      </c>
      <c r="BO828" s="25">
        <f>ROUND(Inventory[[#This Row],[25Det]]*Inventory[[#This Row],[Det/Nbhd Adj]],-2)</f>
        <v>16200</v>
      </c>
      <c r="BP828" s="25">
        <f>Inventory[[#This Row],[Adjusted Res]]+Inventory[[#This Row],[Adj Det ]]</f>
        <v>338400</v>
      </c>
      <c r="BQ828" s="25">
        <f>ROUND((Inventory[[#This Row],[Mdl Land Intercept]]+Inventory[[#This Row],[Mdl LnAcres]])*Inventory[[#This Row],[Det/Nbhd Adj]],-2)</f>
        <v>38400</v>
      </c>
      <c r="BR828" s="25">
        <f>Inventory[[#This Row],[Adjusted Impr Total]]+Inventory[[#This Row],[Adjusted Land Total]]</f>
        <v>376800</v>
      </c>
      <c r="BS828" s="36">
        <f>IFERROR((Inventory[[#This Row],[Adjusted Impr Total]]-Inventory[[#This Row],[24Bldg]])/Inventory[[#This Row],[24Bldg]],0)</f>
        <v>0.13442842775729133</v>
      </c>
      <c r="BT828" s="36">
        <f>(Inventory[[#This Row],[Adjusted Land Total]]-Inventory[[#This Row],[24Lnd]])/Inventory[[#This Row],[24Lnd]]</f>
        <v>-0.36106489184692181</v>
      </c>
      <c r="BU828" s="36">
        <f>(Inventory[[#This Row],[Adjusted Total]]-Inventory[[#This Row],[24Final]])/Inventory[[#This Row],[24Final]]</f>
        <v>5.1339285714285712E-2</v>
      </c>
    </row>
    <row r="829" spans="1:73" x14ac:dyDescent="0.3">
      <c r="A829" s="25">
        <v>2025</v>
      </c>
      <c r="B829" s="26" t="s">
        <v>1066</v>
      </c>
      <c r="C829" s="26">
        <f>LN(Inventory[[#This Row],[Acres]])</f>
        <v>-1.4696759700589417</v>
      </c>
      <c r="D829" s="25">
        <v>0.23</v>
      </c>
      <c r="E829" s="25">
        <v>9980</v>
      </c>
      <c r="F829" s="26" t="s">
        <v>537</v>
      </c>
      <c r="G829" s="26" t="s">
        <v>126</v>
      </c>
      <c r="H829" s="26" t="s">
        <v>349</v>
      </c>
      <c r="I829" s="26" t="s">
        <v>538</v>
      </c>
      <c r="J829" s="26" t="s">
        <v>539</v>
      </c>
      <c r="K829" s="26" t="s">
        <v>241</v>
      </c>
      <c r="L829" s="26" t="s">
        <v>148</v>
      </c>
      <c r="M829" s="26" t="s">
        <v>303</v>
      </c>
      <c r="N829" s="26">
        <v>80</v>
      </c>
      <c r="O829" s="26">
        <f>2024-Inventory[[#This Row],[YrBlt]]</f>
        <v>74</v>
      </c>
      <c r="P829" s="26">
        <f>2024-Inventory[[#This Row],[EffYr]]</f>
        <v>51</v>
      </c>
      <c r="Q829" s="25">
        <v>1950</v>
      </c>
      <c r="R829" s="25">
        <v>1973</v>
      </c>
      <c r="S829" s="25">
        <v>2727</v>
      </c>
      <c r="T829" s="27"/>
      <c r="U829" s="25">
        <v>723</v>
      </c>
      <c r="V829" s="25">
        <f>Inventory[[#This Row],[Bsmt]]-Inventory[[#This Row],[FnBsmt]]</f>
        <v>723</v>
      </c>
      <c r="W829" s="31"/>
      <c r="X829" s="27"/>
      <c r="Y829" s="27">
        <f>Inventory[[#This Row],[MainFn]]+Inventory[[#This Row],[UpprFn]]+Inventory[[#This Row],[FnBsmt]]+Inventory[[#This Row],[AddFn]]</f>
        <v>2727</v>
      </c>
      <c r="Z829" s="27">
        <v>3000</v>
      </c>
      <c r="AA829" s="25">
        <v>11</v>
      </c>
      <c r="AB829" s="32">
        <v>572</v>
      </c>
      <c r="AC829" s="27"/>
      <c r="AD829" s="31"/>
      <c r="AE829" s="27"/>
      <c r="AF829" s="27"/>
      <c r="AG829" s="27"/>
      <c r="AH829" s="27"/>
      <c r="AI829" s="25">
        <v>690429</v>
      </c>
      <c r="AJ829" s="25">
        <v>490205</v>
      </c>
      <c r="AK829" s="25">
        <v>0</v>
      </c>
      <c r="AL829" s="25">
        <v>446700</v>
      </c>
      <c r="AM829" s="25">
        <v>63300</v>
      </c>
      <c r="AN829" s="25">
        <v>383400</v>
      </c>
      <c r="AO829" s="25">
        <v>0</v>
      </c>
      <c r="AP829" s="25">
        <f>Lookups!$B$56*0</f>
        <v>0</v>
      </c>
      <c r="AQ829" s="25">
        <f>Lookups!$B$56*1</f>
        <v>89850.625589999996</v>
      </c>
      <c r="AR829" s="25">
        <f>Lookups!$B$57*Inventory[[#This Row],[LnAcres]]</f>
        <v>-46522.028095997222</v>
      </c>
      <c r="AS829" s="25">
        <f>VLOOKUP(Inventory[[#This Row],[Qlty]],Lookups!$A$62:$E$75,2,FALSE)</f>
        <v>44121.038090000002</v>
      </c>
      <c r="AT829" s="25">
        <f>VLOOKUP(Inventory[[#This Row],[Cnd]],Lookups!$A$76:$E$84,2,FALSE)</f>
        <v>197752.34721000001</v>
      </c>
      <c r="AU829" s="25">
        <f>Inventory[[#This Row],[EffAge]]*Lookups!$B$85</f>
        <v>-11375.3256255</v>
      </c>
      <c r="AV829" s="25">
        <f>Inventory[[#This Row],[MainFn]]*Lookups!$B$86</f>
        <v>134737.44275457901</v>
      </c>
      <c r="AW829" s="25">
        <f>Inventory[[#This Row],[UpprFn]]*Lookups!$B$87</f>
        <v>0</v>
      </c>
      <c r="AX829" s="25">
        <f>Inventory[[#This Row],[AddFn]]*Lookups!$B$88</f>
        <v>0</v>
      </c>
      <c r="AY829" s="25">
        <f>Inventory[[#This Row],[Bsmt]]*Lookups!$B$89</f>
        <v>21026.210263581001</v>
      </c>
      <c r="AZ829" s="25">
        <f>Inventory[[#This Row],[Fixtures]]*Lookups!$B$90</f>
        <v>41712.243157199999</v>
      </c>
      <c r="BA829" s="25">
        <f>Inventory[[#This Row],[WdDeck]]*Lookups!$B$91</f>
        <v>0</v>
      </c>
      <c r="BB829" s="25">
        <f>ROUND(Inventory[[#This Row],[25Det]],-2)</f>
        <v>0</v>
      </c>
      <c r="BC829" s="25">
        <f>ROUND(SUM(Inventory[[#This Row],[Mdl Qlty]:[Mdl WdDeck]])+Inventory[[#This Row],[Mdl Res Intercept]],-2)</f>
        <v>428000</v>
      </c>
      <c r="BD829" s="25">
        <f>ROUND(Inventory[[#This Row],[Mdl Land Intercept]]+Inventory[[#This Row],[Mdl LnAcres]],-2)</f>
        <v>43300</v>
      </c>
      <c r="BE829" s="25">
        <f>Inventory[[#This Row],[Unadj Res Value]]+Inventory[[#This Row],[Unadj Det Value]]+Inventory[[#This Row],[Unadj Land Value]]</f>
        <v>471300</v>
      </c>
      <c r="BF829" s="36">
        <f>(Inventory[[#This Row],[Unadj Total Value]]-Inventory[[#This Row],[24Final]])/Inventory[[#This Row],[24Final]]</f>
        <v>5.5070517125587644E-2</v>
      </c>
      <c r="BG829" s="25">
        <f>VLOOKUP(Inventory[[#This Row],[Nbhd]],Lookups!$Q$2:$T$4,4,FALSE)</f>
        <v>0.99970000000000003</v>
      </c>
      <c r="BH829" s="25">
        <f>VLOOKUP(Inventory[[#This Row],[Qlty]],Lookups!$O$7:$R$21,4,FALSE)</f>
        <v>0.98050000000000004</v>
      </c>
      <c r="BI829" s="25">
        <f>VLOOKUP(Inventory[[#This Row],[Cnd]],Lookups!$T$7:$W$16,4,FALSE)</f>
        <v>0.99650000000000005</v>
      </c>
      <c r="BJ829" s="25">
        <f>VLOOKUP(Inventory[[#This Row],[LivArea Range]],Lookups!$T$25:$W$37,4,FALSE)</f>
        <v>0.96179999999999999</v>
      </c>
      <c r="BK829" s="25">
        <f>VLOOKUP(Inventory[[#This Row],[Decade]],Lookups!$O$25:$R$42,4,FALSE)</f>
        <v>0.995</v>
      </c>
      <c r="BL829" s="25">
        <f>Inventory[[#This Row],[Nbhd Adj]]*0.95</f>
        <v>0.94971499999999998</v>
      </c>
      <c r="BM829" s="25">
        <f>Inventory[[#This Row],[Nbhd Adj]]*Inventory[[#This Row],[Quality Adj]]*Inventory[[#This Row],[Condition Adj]]*Inventory[[#This Row],[Living Area Adj]]*Inventory[[#This Row],[Decade Adj]]*0.95</f>
        <v>0.88802675758029637</v>
      </c>
      <c r="BN829" s="25">
        <f>ROUND(SUM(Inventory[[#This Row],[Mdl Qlty]:[Mdl WdDeck]])+Inventory[[#This Row],[Mdl Res Intercept]]*Inventory[[#This Row],[Res Adj ]],-2)</f>
        <v>428000</v>
      </c>
      <c r="BO829" s="25">
        <f>ROUND(Inventory[[#This Row],[25Det]]*Inventory[[#This Row],[Det/Nbhd Adj]],-2)</f>
        <v>0</v>
      </c>
      <c r="BP829" s="25">
        <f>Inventory[[#This Row],[Adjusted Res]]+Inventory[[#This Row],[Adj Det ]]</f>
        <v>428000</v>
      </c>
      <c r="BQ829" s="25">
        <f>ROUND((Inventory[[#This Row],[Mdl Land Intercept]]+Inventory[[#This Row],[Mdl LnAcres]])*Inventory[[#This Row],[Det/Nbhd Adj]],-2)</f>
        <v>41100</v>
      </c>
      <c r="BR829" s="25">
        <f>Inventory[[#This Row],[Adjusted Impr Total]]+Inventory[[#This Row],[Adjusted Land Total]]</f>
        <v>469100</v>
      </c>
      <c r="BS829" s="36">
        <f>IFERROR((Inventory[[#This Row],[Adjusted Impr Total]]-Inventory[[#This Row],[24Bldg]])/Inventory[[#This Row],[24Bldg]],0)</f>
        <v>0.11632759520083463</v>
      </c>
      <c r="BT829" s="36">
        <f>(Inventory[[#This Row],[Adjusted Land Total]]-Inventory[[#This Row],[24Lnd]])/Inventory[[#This Row],[24Lnd]]</f>
        <v>-0.35071090047393366</v>
      </c>
      <c r="BU829" s="36">
        <f>(Inventory[[#This Row],[Adjusted Total]]-Inventory[[#This Row],[24Final]])/Inventory[[#This Row],[24Final]]</f>
        <v>5.0145511528990376E-2</v>
      </c>
    </row>
    <row r="830" spans="1:73" x14ac:dyDescent="0.3">
      <c r="A830" s="25">
        <v>2025</v>
      </c>
      <c r="B830" s="26" t="s">
        <v>2049</v>
      </c>
      <c r="C830" s="26">
        <f>LN(Inventory[[#This Row],[Acres]])</f>
        <v>-1.7719568419318752</v>
      </c>
      <c r="D830" s="25">
        <v>0.17</v>
      </c>
      <c r="E830" s="31"/>
      <c r="F830" s="26" t="s">
        <v>537</v>
      </c>
      <c r="G830" s="26" t="s">
        <v>126</v>
      </c>
      <c r="H830" s="26" t="s">
        <v>349</v>
      </c>
      <c r="I830" s="26" t="s">
        <v>538</v>
      </c>
      <c r="J830" s="26" t="s">
        <v>539</v>
      </c>
      <c r="K830" s="26" t="s">
        <v>173</v>
      </c>
      <c r="L830" s="26" t="s">
        <v>351</v>
      </c>
      <c r="M830" s="26" t="s">
        <v>323</v>
      </c>
      <c r="N830" s="26">
        <v>80</v>
      </c>
      <c r="O830" s="26">
        <f>2024-Inventory[[#This Row],[YrBlt]]</f>
        <v>74</v>
      </c>
      <c r="P830" s="26">
        <f>2024-Inventory[[#This Row],[EffYr]]</f>
        <v>51</v>
      </c>
      <c r="Q830" s="25">
        <v>1950</v>
      </c>
      <c r="R830" s="25">
        <v>1973</v>
      </c>
      <c r="S830" s="25">
        <v>1214</v>
      </c>
      <c r="T830" s="25">
        <v>380</v>
      </c>
      <c r="U830" s="25">
        <v>616</v>
      </c>
      <c r="V830" s="25">
        <f>Inventory[[#This Row],[Bsmt]]-Inventory[[#This Row],[FnBsmt]]</f>
        <v>0</v>
      </c>
      <c r="W830" s="25">
        <v>616</v>
      </c>
      <c r="X830" s="27"/>
      <c r="Y830" s="27">
        <f>Inventory[[#This Row],[MainFn]]+Inventory[[#This Row],[UpprFn]]+Inventory[[#This Row],[FnBsmt]]+Inventory[[#This Row],[AddFn]]</f>
        <v>2210</v>
      </c>
      <c r="Z830" s="27">
        <v>2500</v>
      </c>
      <c r="AA830" s="25">
        <v>8</v>
      </c>
      <c r="AB830" s="27"/>
      <c r="AC830" s="27"/>
      <c r="AD830" s="32">
        <v>235</v>
      </c>
      <c r="AE830" s="27"/>
      <c r="AF830" s="27"/>
      <c r="AG830" s="27"/>
      <c r="AH830" s="27"/>
      <c r="AI830" s="25">
        <v>309315</v>
      </c>
      <c r="AJ830" s="25">
        <v>213427</v>
      </c>
      <c r="AK830" s="25">
        <v>0</v>
      </c>
      <c r="AL830" s="25">
        <v>320100</v>
      </c>
      <c r="AM830" s="25">
        <v>52700</v>
      </c>
      <c r="AN830" s="25">
        <v>267400</v>
      </c>
      <c r="AO830" s="25">
        <v>0</v>
      </c>
      <c r="AP830" s="25">
        <f>Lookups!$B$56*0</f>
        <v>0</v>
      </c>
      <c r="AQ830" s="25">
        <f>Lookups!$B$56*1</f>
        <v>89850.625589999996</v>
      </c>
      <c r="AR830" s="25">
        <f>Lookups!$B$57*Inventory[[#This Row],[LnAcres]]</f>
        <v>-56090.612940989391</v>
      </c>
      <c r="AS830" s="25">
        <f>VLOOKUP(Inventory[[#This Row],[Qlty]],Lookups!$A$62:$E$75,2,FALSE)</f>
        <v>21557.329055999999</v>
      </c>
      <c r="AT830" s="25">
        <f>VLOOKUP(Inventory[[#This Row],[Cnd]],Lookups!$A$76:$E$84,2,FALSE)</f>
        <v>160472.20319</v>
      </c>
      <c r="AU830" s="25">
        <f>Inventory[[#This Row],[EffAge]]*Lookups!$B$85</f>
        <v>-11375.3256255</v>
      </c>
      <c r="AV830" s="25">
        <f>Inventory[[#This Row],[MainFn]]*Lookups!$B$86</f>
        <v>59982.125230678001</v>
      </c>
      <c r="AW830" s="25">
        <f>Inventory[[#This Row],[UpprFn]]*Lookups!$B$87</f>
        <v>17018.84068718</v>
      </c>
      <c r="AX830" s="25">
        <f>Inventory[[#This Row],[AddFn]]*Lookups!$B$88</f>
        <v>0</v>
      </c>
      <c r="AY830" s="25">
        <f>Inventory[[#This Row],[Bsmt]]*Lookups!$B$89</f>
        <v>17914.447472151998</v>
      </c>
      <c r="AZ830" s="25">
        <f>Inventory[[#This Row],[Fixtures]]*Lookups!$B$90</f>
        <v>30336.176841600001</v>
      </c>
      <c r="BA830" s="25">
        <f>Inventory[[#This Row],[WdDeck]]*Lookups!$B$91</f>
        <v>7824.4460898600009</v>
      </c>
      <c r="BB830" s="25">
        <f>ROUND(Inventory[[#This Row],[25Det]],-2)</f>
        <v>0</v>
      </c>
      <c r="BC830" s="25">
        <f>ROUND(SUM(Inventory[[#This Row],[Mdl Qlty]:[Mdl WdDeck]])+Inventory[[#This Row],[Mdl Res Intercept]],-2)</f>
        <v>303700</v>
      </c>
      <c r="BD830" s="25">
        <f>ROUND(Inventory[[#This Row],[Mdl Land Intercept]]+Inventory[[#This Row],[Mdl LnAcres]],-2)</f>
        <v>33800</v>
      </c>
      <c r="BE830" s="25">
        <f>Inventory[[#This Row],[Unadj Res Value]]+Inventory[[#This Row],[Unadj Det Value]]+Inventory[[#This Row],[Unadj Land Value]]</f>
        <v>337500</v>
      </c>
      <c r="BF830" s="36">
        <f>(Inventory[[#This Row],[Unadj Total Value]]-Inventory[[#This Row],[24Final]])/Inventory[[#This Row],[24Final]]</f>
        <v>5.4358013120899717E-2</v>
      </c>
      <c r="BG830" s="25">
        <f>VLOOKUP(Inventory[[#This Row],[Nbhd]],Lookups!$Q$2:$T$4,4,FALSE)</f>
        <v>0.99970000000000003</v>
      </c>
      <c r="BH830" s="25">
        <f>VLOOKUP(Inventory[[#This Row],[Qlty]],Lookups!$O$7:$R$21,4,FALSE)</f>
        <v>1.0067999999999999</v>
      </c>
      <c r="BI830" s="25">
        <f>VLOOKUP(Inventory[[#This Row],[Cnd]],Lookups!$T$7:$W$16,4,FALSE)</f>
        <v>0.99729999999999996</v>
      </c>
      <c r="BJ830" s="25">
        <f>VLOOKUP(Inventory[[#This Row],[LivArea Range]],Lookups!$T$25:$W$37,4,FALSE)</f>
        <v>0.98919999999999997</v>
      </c>
      <c r="BK830" s="25">
        <f>VLOOKUP(Inventory[[#This Row],[Decade]],Lookups!$O$25:$R$42,4,FALSE)</f>
        <v>0.995</v>
      </c>
      <c r="BL830" s="25">
        <f>Inventory[[#This Row],[Nbhd Adj]]*0.95</f>
        <v>0.94971499999999998</v>
      </c>
      <c r="BM830" s="25">
        <f>Inventory[[#This Row],[Nbhd Adj]]*Inventory[[#This Row],[Quality Adj]]*Inventory[[#This Row],[Condition Adj]]*Inventory[[#This Row],[Living Area Adj]]*Inventory[[#This Row],[Decade Adj]]*0.95</f>
        <v>0.93857614463114025</v>
      </c>
      <c r="BN830" s="25">
        <f>ROUND(SUM(Inventory[[#This Row],[Mdl Qlty]:[Mdl WdDeck]])+Inventory[[#This Row],[Mdl Res Intercept]]*Inventory[[#This Row],[Res Adj ]],-2)</f>
        <v>303700</v>
      </c>
      <c r="BO830" s="25">
        <f>ROUND(Inventory[[#This Row],[25Det]]*Inventory[[#This Row],[Det/Nbhd Adj]],-2)</f>
        <v>0</v>
      </c>
      <c r="BP830" s="25">
        <f>Inventory[[#This Row],[Adjusted Res]]+Inventory[[#This Row],[Adj Det ]]</f>
        <v>303700</v>
      </c>
      <c r="BQ830" s="25">
        <f>ROUND((Inventory[[#This Row],[Mdl Land Intercept]]+Inventory[[#This Row],[Mdl LnAcres]])*Inventory[[#This Row],[Det/Nbhd Adj]],-2)</f>
        <v>32100</v>
      </c>
      <c r="BR830" s="25">
        <f>Inventory[[#This Row],[Adjusted Impr Total]]+Inventory[[#This Row],[Adjusted Land Total]]</f>
        <v>335800</v>
      </c>
      <c r="BS830" s="36">
        <f>IFERROR((Inventory[[#This Row],[Adjusted Impr Total]]-Inventory[[#This Row],[24Bldg]])/Inventory[[#This Row],[24Bldg]],0)</f>
        <v>0.13575168287210171</v>
      </c>
      <c r="BT830" s="36">
        <f>(Inventory[[#This Row],[Adjusted Land Total]]-Inventory[[#This Row],[24Lnd]])/Inventory[[#This Row],[24Lnd]]</f>
        <v>-0.39089184060721061</v>
      </c>
      <c r="BU830" s="36">
        <f>(Inventory[[#This Row],[Adjusted Total]]-Inventory[[#This Row],[24Final]])/Inventory[[#This Row],[24Final]]</f>
        <v>4.9047172758512968E-2</v>
      </c>
    </row>
    <row r="831" spans="1:73" x14ac:dyDescent="0.3">
      <c r="A831" s="25">
        <v>2025</v>
      </c>
      <c r="B831" s="26" t="s">
        <v>1383</v>
      </c>
      <c r="C831" s="26">
        <f>LN(Inventory[[#This Row],[Acres]])</f>
        <v>-1.2039728043259361</v>
      </c>
      <c r="D831" s="25">
        <v>0.3</v>
      </c>
      <c r="E831" s="25">
        <v>13027</v>
      </c>
      <c r="F831" s="26" t="s">
        <v>537</v>
      </c>
      <c r="G831" s="26" t="s">
        <v>126</v>
      </c>
      <c r="H831" s="26" t="s">
        <v>349</v>
      </c>
      <c r="I831" s="26" t="s">
        <v>538</v>
      </c>
      <c r="J831" s="26" t="s">
        <v>539</v>
      </c>
      <c r="K831" s="26" t="s">
        <v>241</v>
      </c>
      <c r="L831" s="26" t="s">
        <v>148</v>
      </c>
      <c r="M831" s="26" t="s">
        <v>303</v>
      </c>
      <c r="N831" s="26">
        <v>80</v>
      </c>
      <c r="O831" s="26">
        <f>2024-Inventory[[#This Row],[YrBlt]]</f>
        <v>74</v>
      </c>
      <c r="P831" s="26">
        <f>2024-Inventory[[#This Row],[EffYr]]</f>
        <v>51</v>
      </c>
      <c r="Q831" s="25">
        <v>1950</v>
      </c>
      <c r="R831" s="25">
        <v>1973</v>
      </c>
      <c r="S831" s="25">
        <v>1804</v>
      </c>
      <c r="T831" s="27"/>
      <c r="U831" s="25">
        <v>1668</v>
      </c>
      <c r="V831" s="25">
        <f>Inventory[[#This Row],[Bsmt]]-Inventory[[#This Row],[FnBsmt]]</f>
        <v>0</v>
      </c>
      <c r="W831" s="25">
        <v>1668</v>
      </c>
      <c r="X831" s="27"/>
      <c r="Y831" s="27">
        <f>Inventory[[#This Row],[MainFn]]+Inventory[[#This Row],[UpprFn]]+Inventory[[#This Row],[FnBsmt]]+Inventory[[#This Row],[AddFn]]</f>
        <v>3472</v>
      </c>
      <c r="Z831" s="27">
        <v>3500</v>
      </c>
      <c r="AA831" s="25">
        <v>14</v>
      </c>
      <c r="AB831" s="25">
        <v>420</v>
      </c>
      <c r="AC831" s="27"/>
      <c r="AD831" s="32">
        <v>272</v>
      </c>
      <c r="AE831" s="27"/>
      <c r="AF831" s="27"/>
      <c r="AG831" s="27"/>
      <c r="AH831" s="27"/>
      <c r="AI831" s="25">
        <v>587864</v>
      </c>
      <c r="AJ831" s="25">
        <v>417383</v>
      </c>
      <c r="AK831" s="25">
        <v>23511</v>
      </c>
      <c r="AL831" s="25">
        <v>478500</v>
      </c>
      <c r="AM831" s="25">
        <v>72500</v>
      </c>
      <c r="AN831" s="25">
        <v>406000</v>
      </c>
      <c r="AO831" s="25">
        <v>0</v>
      </c>
      <c r="AP831" s="25">
        <f>Lookups!$B$56*0</f>
        <v>0</v>
      </c>
      <c r="AQ831" s="25">
        <f>Lookups!$B$56*1</f>
        <v>89850.625589999996</v>
      </c>
      <c r="AR831" s="25">
        <f>Lookups!$B$57*Inventory[[#This Row],[LnAcres]]</f>
        <v>-38111.29648355169</v>
      </c>
      <c r="AS831" s="25">
        <f>VLOOKUP(Inventory[[#This Row],[Qlty]],Lookups!$A$62:$E$75,2,FALSE)</f>
        <v>44121.038090000002</v>
      </c>
      <c r="AT831" s="25">
        <f>VLOOKUP(Inventory[[#This Row],[Cnd]],Lookups!$A$76:$E$84,2,FALSE)</f>
        <v>197752.34721000001</v>
      </c>
      <c r="AU831" s="25">
        <f>Inventory[[#This Row],[EffAge]]*Lookups!$B$85</f>
        <v>-11375.3256255</v>
      </c>
      <c r="AV831" s="25">
        <f>Inventory[[#This Row],[MainFn]]*Lookups!$B$86</f>
        <v>89133.240458108005</v>
      </c>
      <c r="AW831" s="25">
        <f>Inventory[[#This Row],[UpprFn]]*Lookups!$B$87</f>
        <v>0</v>
      </c>
      <c r="AX831" s="25">
        <f>Inventory[[#This Row],[AddFn]]*Lookups!$B$88</f>
        <v>0</v>
      </c>
      <c r="AY831" s="25">
        <f>Inventory[[#This Row],[Bsmt]]*Lookups!$B$89</f>
        <v>48508.601271995998</v>
      </c>
      <c r="AZ831" s="25">
        <f>Inventory[[#This Row],[Fixtures]]*Lookups!$B$90</f>
        <v>53088.3094728</v>
      </c>
      <c r="BA831" s="25">
        <f>Inventory[[#This Row],[WdDeck]]*Lookups!$B$91</f>
        <v>9056.3801550720018</v>
      </c>
      <c r="BB831" s="25">
        <f>ROUND(Inventory[[#This Row],[25Det]],-2)</f>
        <v>23500</v>
      </c>
      <c r="BC831" s="25">
        <f>ROUND(SUM(Inventory[[#This Row],[Mdl Qlty]:[Mdl WdDeck]])+Inventory[[#This Row],[Mdl Res Intercept]],-2)</f>
        <v>430300</v>
      </c>
      <c r="BD831" s="25">
        <f>ROUND(Inventory[[#This Row],[Mdl Land Intercept]]+Inventory[[#This Row],[Mdl LnAcres]],-2)</f>
        <v>51700</v>
      </c>
      <c r="BE831" s="25">
        <f>Inventory[[#This Row],[Unadj Res Value]]+Inventory[[#This Row],[Unadj Det Value]]+Inventory[[#This Row],[Unadj Land Value]]</f>
        <v>505500</v>
      </c>
      <c r="BF831" s="36">
        <f>(Inventory[[#This Row],[Unadj Total Value]]-Inventory[[#This Row],[24Final]])/Inventory[[#This Row],[24Final]]</f>
        <v>5.6426332288401257E-2</v>
      </c>
      <c r="BG831" s="25">
        <f>VLOOKUP(Inventory[[#This Row],[Nbhd]],Lookups!$Q$2:$T$4,4,FALSE)</f>
        <v>0.99970000000000003</v>
      </c>
      <c r="BH831" s="25">
        <f>VLOOKUP(Inventory[[#This Row],[Qlty]],Lookups!$O$7:$R$21,4,FALSE)</f>
        <v>0.98050000000000004</v>
      </c>
      <c r="BI831" s="25">
        <f>VLOOKUP(Inventory[[#This Row],[Cnd]],Lookups!$T$7:$W$16,4,FALSE)</f>
        <v>0.99650000000000005</v>
      </c>
      <c r="BJ831" s="25">
        <f>VLOOKUP(Inventory[[#This Row],[LivArea Range]],Lookups!$T$25:$W$37,4,FALSE)</f>
        <v>1.0126999999999999</v>
      </c>
      <c r="BK831" s="25">
        <f>VLOOKUP(Inventory[[#This Row],[Decade]],Lookups!$O$25:$R$42,4,FALSE)</f>
        <v>0.995</v>
      </c>
      <c r="BL831" s="25">
        <f>Inventory[[#This Row],[Nbhd Adj]]*0.95</f>
        <v>0.94971499999999998</v>
      </c>
      <c r="BM831" s="25">
        <f>Inventory[[#This Row],[Nbhd Adj]]*Inventory[[#This Row],[Quality Adj]]*Inventory[[#This Row],[Condition Adj]]*Inventory[[#This Row],[Living Area Adj]]*Inventory[[#This Row],[Decade Adj]]*0.95</f>
        <v>0.93502255916153676</v>
      </c>
      <c r="BN831" s="25">
        <f>ROUND(SUM(Inventory[[#This Row],[Mdl Qlty]:[Mdl WdDeck]])+Inventory[[#This Row],[Mdl Res Intercept]]*Inventory[[#This Row],[Res Adj ]],-2)</f>
        <v>430300</v>
      </c>
      <c r="BO831" s="25">
        <f>ROUND(Inventory[[#This Row],[25Det]]*Inventory[[#This Row],[Det/Nbhd Adj]],-2)</f>
        <v>22300</v>
      </c>
      <c r="BP831" s="25">
        <f>Inventory[[#This Row],[Adjusted Res]]+Inventory[[#This Row],[Adj Det ]]</f>
        <v>452600</v>
      </c>
      <c r="BQ831" s="25">
        <f>ROUND((Inventory[[#This Row],[Mdl Land Intercept]]+Inventory[[#This Row],[Mdl LnAcres]])*Inventory[[#This Row],[Det/Nbhd Adj]],-2)</f>
        <v>49100</v>
      </c>
      <c r="BR831" s="25">
        <f>Inventory[[#This Row],[Adjusted Impr Total]]+Inventory[[#This Row],[Adjusted Land Total]]</f>
        <v>501700</v>
      </c>
      <c r="BS831" s="36">
        <f>IFERROR((Inventory[[#This Row],[Adjusted Impr Total]]-Inventory[[#This Row],[24Bldg]])/Inventory[[#This Row],[24Bldg]],0)</f>
        <v>0.11477832512315271</v>
      </c>
      <c r="BT831" s="36">
        <f>(Inventory[[#This Row],[Adjusted Land Total]]-Inventory[[#This Row],[24Lnd]])/Inventory[[#This Row],[24Lnd]]</f>
        <v>-0.32275862068965516</v>
      </c>
      <c r="BU831" s="36">
        <f>(Inventory[[#This Row],[Adjusted Total]]-Inventory[[#This Row],[24Final]])/Inventory[[#This Row],[24Final]]</f>
        <v>4.8484848484848485E-2</v>
      </c>
    </row>
    <row r="832" spans="1:73" x14ac:dyDescent="0.3">
      <c r="A832" s="25">
        <v>2025</v>
      </c>
      <c r="B832" s="26" t="s">
        <v>1969</v>
      </c>
      <c r="C832" s="26">
        <f>LN(Inventory[[#This Row],[Acres]])</f>
        <v>-1.5606477482646683</v>
      </c>
      <c r="D832" s="25">
        <v>0.21</v>
      </c>
      <c r="E832" s="31"/>
      <c r="F832" s="26" t="s">
        <v>537</v>
      </c>
      <c r="G832" s="26" t="s">
        <v>126</v>
      </c>
      <c r="H832" s="26" t="s">
        <v>349</v>
      </c>
      <c r="I832" s="26" t="s">
        <v>538</v>
      </c>
      <c r="J832" s="26" t="s">
        <v>539</v>
      </c>
      <c r="K832" s="26" t="s">
        <v>242</v>
      </c>
      <c r="L832" s="26" t="s">
        <v>302</v>
      </c>
      <c r="M832" s="26" t="s">
        <v>323</v>
      </c>
      <c r="N832" s="26">
        <v>80</v>
      </c>
      <c r="O832" s="26">
        <f>2024-Inventory[[#This Row],[YrBlt]]</f>
        <v>74</v>
      </c>
      <c r="P832" s="26">
        <f>2024-Inventory[[#This Row],[EffYr]]</f>
        <v>51</v>
      </c>
      <c r="Q832" s="25">
        <v>1950</v>
      </c>
      <c r="R832" s="25">
        <v>1973</v>
      </c>
      <c r="S832" s="25">
        <v>1104</v>
      </c>
      <c r="T832" s="27"/>
      <c r="U832" s="25">
        <v>828</v>
      </c>
      <c r="V832" s="32">
        <f>Inventory[[#This Row],[Bsmt]]-Inventory[[#This Row],[FnBsmt]]</f>
        <v>414</v>
      </c>
      <c r="W832" s="32">
        <v>414</v>
      </c>
      <c r="X832" s="27"/>
      <c r="Y832" s="27">
        <f>Inventory[[#This Row],[MainFn]]+Inventory[[#This Row],[UpprFn]]+Inventory[[#This Row],[FnBsmt]]+Inventory[[#This Row],[AddFn]]</f>
        <v>1518</v>
      </c>
      <c r="Z832" s="27">
        <v>2000</v>
      </c>
      <c r="AA832" s="25">
        <v>5</v>
      </c>
      <c r="AB832" s="25">
        <v>264</v>
      </c>
      <c r="AC832" s="27"/>
      <c r="AD832" s="27"/>
      <c r="AE832" s="27"/>
      <c r="AF832" s="27"/>
      <c r="AG832" s="27"/>
      <c r="AH832" s="27"/>
      <c r="AI832" s="25">
        <v>285789</v>
      </c>
      <c r="AJ832" s="25">
        <v>197194</v>
      </c>
      <c r="AK832" s="25">
        <v>0</v>
      </c>
      <c r="AL832" s="25">
        <v>300600</v>
      </c>
      <c r="AM832" s="25">
        <v>60100</v>
      </c>
      <c r="AN832" s="25">
        <v>240500</v>
      </c>
      <c r="AO832" s="25">
        <v>0</v>
      </c>
      <c r="AP832" s="25">
        <f>Lookups!$B$56*0</f>
        <v>0</v>
      </c>
      <c r="AQ832" s="25">
        <f>Lookups!$B$56*1</f>
        <v>89850.625589999996</v>
      </c>
      <c r="AR832" s="25">
        <f>Lookups!$B$57*Inventory[[#This Row],[LnAcres]]</f>
        <v>-49401.70477837498</v>
      </c>
      <c r="AS832" s="25">
        <f>VLOOKUP(Inventory[[#This Row],[Qlty]],Lookups!$A$62:$E$75,2,FALSE)</f>
        <v>29814.093161000001</v>
      </c>
      <c r="AT832" s="25">
        <f>VLOOKUP(Inventory[[#This Row],[Cnd]],Lookups!$A$76:$E$84,2,FALSE)</f>
        <v>160472.20319</v>
      </c>
      <c r="AU832" s="25">
        <f>Inventory[[#This Row],[EffAge]]*Lookups!$B$85</f>
        <v>-11375.3256255</v>
      </c>
      <c r="AV832" s="25">
        <f>Inventory[[#This Row],[MainFn]]*Lookups!$B$86</f>
        <v>54547.171544208002</v>
      </c>
      <c r="AW832" s="25">
        <f>Inventory[[#This Row],[UpprFn]]*Lookups!$B$87</f>
        <v>0</v>
      </c>
      <c r="AX832" s="25">
        <f>Inventory[[#This Row],[AddFn]]*Lookups!$B$88</f>
        <v>0</v>
      </c>
      <c r="AY832" s="25">
        <f>Inventory[[#This Row],[Bsmt]]*Lookups!$B$89</f>
        <v>24079.809264516</v>
      </c>
      <c r="AZ832" s="25">
        <f>Inventory[[#This Row],[Fixtures]]*Lookups!$B$90</f>
        <v>18960.110526</v>
      </c>
      <c r="BA832" s="25">
        <f>Inventory[[#This Row],[WdDeck]]*Lookups!$B$91</f>
        <v>0</v>
      </c>
      <c r="BB832" s="25">
        <f>ROUND(Inventory[[#This Row],[25Det]],-2)</f>
        <v>0</v>
      </c>
      <c r="BC832" s="25">
        <f>ROUND(SUM(Inventory[[#This Row],[Mdl Qlty]:[Mdl WdDeck]])+Inventory[[#This Row],[Mdl Res Intercept]],-2)</f>
        <v>276500</v>
      </c>
      <c r="BD832" s="25">
        <f>ROUND(Inventory[[#This Row],[Mdl Land Intercept]]+Inventory[[#This Row],[Mdl LnAcres]],-2)</f>
        <v>40400</v>
      </c>
      <c r="BE832" s="25">
        <f>Inventory[[#This Row],[Unadj Res Value]]+Inventory[[#This Row],[Unadj Det Value]]+Inventory[[#This Row],[Unadj Land Value]]</f>
        <v>316900</v>
      </c>
      <c r="BF832" s="36">
        <f>(Inventory[[#This Row],[Unadj Total Value]]-Inventory[[#This Row],[24Final]])/Inventory[[#This Row],[24Final]]</f>
        <v>5.4224883566200935E-2</v>
      </c>
      <c r="BG832" s="25">
        <f>VLOOKUP(Inventory[[#This Row],[Nbhd]],Lookups!$Q$2:$T$4,4,FALSE)</f>
        <v>0.99970000000000003</v>
      </c>
      <c r="BH832" s="25">
        <f>VLOOKUP(Inventory[[#This Row],[Qlty]],Lookups!$O$7:$R$21,4,FALSE)</f>
        <v>1.0088999999999999</v>
      </c>
      <c r="BI832" s="25">
        <f>VLOOKUP(Inventory[[#This Row],[Cnd]],Lookups!$T$7:$W$16,4,FALSE)</f>
        <v>0.99729999999999996</v>
      </c>
      <c r="BJ832" s="25">
        <f>VLOOKUP(Inventory[[#This Row],[LivArea Range]],Lookups!$T$25:$W$37,4,FALSE)</f>
        <v>1.0093000000000001</v>
      </c>
      <c r="BK832" s="25">
        <f>VLOOKUP(Inventory[[#This Row],[Decade]],Lookups!$O$25:$R$42,4,FALSE)</f>
        <v>0.995</v>
      </c>
      <c r="BL832" s="25">
        <f>Inventory[[#This Row],[Nbhd Adj]]*0.95</f>
        <v>0.94971499999999998</v>
      </c>
      <c r="BM832" s="25">
        <f>Inventory[[#This Row],[Nbhd Adj]]*Inventory[[#This Row],[Quality Adj]]*Inventory[[#This Row],[Condition Adj]]*Inventory[[#This Row],[Living Area Adj]]*Inventory[[#This Row],[Decade Adj]]*0.95</f>
        <v>0.9596449726282209</v>
      </c>
      <c r="BN832" s="25">
        <f>ROUND(SUM(Inventory[[#This Row],[Mdl Qlty]:[Mdl WdDeck]])+Inventory[[#This Row],[Mdl Res Intercept]]*Inventory[[#This Row],[Res Adj ]],-2)</f>
        <v>276500</v>
      </c>
      <c r="BO832" s="25">
        <f>ROUND(Inventory[[#This Row],[25Det]]*Inventory[[#This Row],[Det/Nbhd Adj]],-2)</f>
        <v>0</v>
      </c>
      <c r="BP832" s="25">
        <f>Inventory[[#This Row],[Adjusted Res]]+Inventory[[#This Row],[Adj Det ]]</f>
        <v>276500</v>
      </c>
      <c r="BQ832" s="25">
        <f>ROUND((Inventory[[#This Row],[Mdl Land Intercept]]+Inventory[[#This Row],[Mdl LnAcres]])*Inventory[[#This Row],[Det/Nbhd Adj]],-2)</f>
        <v>38400</v>
      </c>
      <c r="BR832" s="25">
        <f>Inventory[[#This Row],[Adjusted Impr Total]]+Inventory[[#This Row],[Adjusted Land Total]]</f>
        <v>314900</v>
      </c>
      <c r="BS832" s="36">
        <f>IFERROR((Inventory[[#This Row],[Adjusted Impr Total]]-Inventory[[#This Row],[24Bldg]])/Inventory[[#This Row],[24Bldg]],0)</f>
        <v>0.1496881496881497</v>
      </c>
      <c r="BT832" s="36">
        <f>(Inventory[[#This Row],[Adjusted Land Total]]-Inventory[[#This Row],[24Lnd]])/Inventory[[#This Row],[24Lnd]]</f>
        <v>-0.36106489184692181</v>
      </c>
      <c r="BU832" s="36">
        <f>(Inventory[[#This Row],[Adjusted Total]]-Inventory[[#This Row],[24Final]])/Inventory[[#This Row],[24Final]]</f>
        <v>4.7571523619427812E-2</v>
      </c>
    </row>
    <row r="833" spans="1:73" x14ac:dyDescent="0.3">
      <c r="A833" s="25">
        <v>2025</v>
      </c>
      <c r="B833" s="26" t="s">
        <v>2137</v>
      </c>
      <c r="C833" s="26">
        <f>LN(Inventory[[#This Row],[Acres]])</f>
        <v>-0.77652878949899629</v>
      </c>
      <c r="D833" s="25">
        <v>0.46</v>
      </c>
      <c r="E833" s="25">
        <v>19944</v>
      </c>
      <c r="F833" s="26" t="s">
        <v>537</v>
      </c>
      <c r="G833" s="26" t="s">
        <v>126</v>
      </c>
      <c r="H833" s="26" t="s">
        <v>349</v>
      </c>
      <c r="I833" s="26" t="s">
        <v>538</v>
      </c>
      <c r="J833" s="26" t="s">
        <v>539</v>
      </c>
      <c r="K833" s="26" t="s">
        <v>242</v>
      </c>
      <c r="L833" s="26" t="s">
        <v>302</v>
      </c>
      <c r="M833" s="26" t="s">
        <v>206</v>
      </c>
      <c r="N833" s="26">
        <v>80</v>
      </c>
      <c r="O833" s="26">
        <f>2024-Inventory[[#This Row],[YrBlt]]</f>
        <v>74</v>
      </c>
      <c r="P833" s="26">
        <f>2024-Inventory[[#This Row],[EffYr]]</f>
        <v>51</v>
      </c>
      <c r="Q833" s="25">
        <v>1950</v>
      </c>
      <c r="R833" s="25">
        <v>1973</v>
      </c>
      <c r="S833" s="25">
        <v>1188</v>
      </c>
      <c r="T833" s="32">
        <v>417</v>
      </c>
      <c r="U833" s="31"/>
      <c r="V833" s="31">
        <f>Inventory[[#This Row],[Bsmt]]-Inventory[[#This Row],[FnBsmt]]</f>
        <v>0</v>
      </c>
      <c r="W833" s="31"/>
      <c r="X833" s="27"/>
      <c r="Y833" s="27">
        <f>Inventory[[#This Row],[MainFn]]+Inventory[[#This Row],[UpprFn]]+Inventory[[#This Row],[FnBsmt]]+Inventory[[#This Row],[AddFn]]</f>
        <v>1605</v>
      </c>
      <c r="Z833" s="27">
        <v>2000</v>
      </c>
      <c r="AA833" s="25">
        <v>7</v>
      </c>
      <c r="AB833" s="27"/>
      <c r="AC833" s="27"/>
      <c r="AD833" s="27"/>
      <c r="AE833" s="27"/>
      <c r="AF833" s="27"/>
      <c r="AG833" s="27"/>
      <c r="AH833" s="27"/>
      <c r="AI833" s="25">
        <v>267796</v>
      </c>
      <c r="AJ833" s="25">
        <v>179423</v>
      </c>
      <c r="AK833" s="25">
        <v>10334</v>
      </c>
      <c r="AL833" s="25">
        <v>313300</v>
      </c>
      <c r="AM833" s="25">
        <v>87500</v>
      </c>
      <c r="AN833" s="25">
        <v>225800</v>
      </c>
      <c r="AO833" s="25">
        <v>0</v>
      </c>
      <c r="AP833" s="25">
        <f>Lookups!$B$56*0</f>
        <v>0</v>
      </c>
      <c r="AQ833" s="25">
        <f>Lookups!$B$56*1</f>
        <v>89850.625589999996</v>
      </c>
      <c r="AR833" s="25">
        <f>Lookups!$B$57*Inventory[[#This Row],[LnAcres]]</f>
        <v>-24580.720443414604</v>
      </c>
      <c r="AS833" s="25">
        <f>VLOOKUP(Inventory[[#This Row],[Qlty]],Lookups!$A$62:$E$75,2,FALSE)</f>
        <v>29814.093161000001</v>
      </c>
      <c r="AT833" s="25">
        <f>VLOOKUP(Inventory[[#This Row],[Cnd]],Lookups!$A$76:$E$84,2,FALSE)</f>
        <v>133714.53821</v>
      </c>
      <c r="AU833" s="25">
        <f>Inventory[[#This Row],[EffAge]]*Lookups!$B$85</f>
        <v>-11375.3256255</v>
      </c>
      <c r="AV833" s="25">
        <f>Inventory[[#This Row],[MainFn]]*Lookups!$B$86</f>
        <v>58697.499813875998</v>
      </c>
      <c r="AW833" s="25">
        <f>Inventory[[#This Row],[UpprFn]]*Lookups!$B$87</f>
        <v>18675.938333037</v>
      </c>
      <c r="AX833" s="25">
        <f>Inventory[[#This Row],[AddFn]]*Lookups!$B$88</f>
        <v>0</v>
      </c>
      <c r="AY833" s="25">
        <f>Inventory[[#This Row],[Bsmt]]*Lookups!$B$89</f>
        <v>0</v>
      </c>
      <c r="AZ833" s="25">
        <f>Inventory[[#This Row],[Fixtures]]*Lookups!$B$90</f>
        <v>26544.1547364</v>
      </c>
      <c r="BA833" s="25">
        <f>Inventory[[#This Row],[WdDeck]]*Lookups!$B$91</f>
        <v>0</v>
      </c>
      <c r="BB833" s="25">
        <f>ROUND(Inventory[[#This Row],[25Det]],-2)</f>
        <v>10300</v>
      </c>
      <c r="BC833" s="25">
        <f>ROUND(SUM(Inventory[[#This Row],[Mdl Qlty]:[Mdl WdDeck]])+Inventory[[#This Row],[Mdl Res Intercept]],-2)</f>
        <v>256100</v>
      </c>
      <c r="BD833" s="25">
        <f>ROUND(Inventory[[#This Row],[Mdl Land Intercept]]+Inventory[[#This Row],[Mdl LnAcres]],-2)</f>
        <v>65300</v>
      </c>
      <c r="BE833" s="25">
        <f>Inventory[[#This Row],[Unadj Res Value]]+Inventory[[#This Row],[Unadj Det Value]]+Inventory[[#This Row],[Unadj Land Value]]</f>
        <v>331700</v>
      </c>
      <c r="BF833" s="36">
        <f>(Inventory[[#This Row],[Unadj Total Value]]-Inventory[[#This Row],[24Final]])/Inventory[[#This Row],[24Final]]</f>
        <v>5.8729652090647941E-2</v>
      </c>
      <c r="BG833" s="25">
        <f>VLOOKUP(Inventory[[#This Row],[Nbhd]],Lookups!$Q$2:$T$4,4,FALSE)</f>
        <v>0.99970000000000003</v>
      </c>
      <c r="BH833" s="25">
        <f>VLOOKUP(Inventory[[#This Row],[Qlty]],Lookups!$O$7:$R$21,4,FALSE)</f>
        <v>1.0088999999999999</v>
      </c>
      <c r="BI833" s="25">
        <f>VLOOKUP(Inventory[[#This Row],[Cnd]],Lookups!$T$7:$W$16,4,FALSE)</f>
        <v>0.99329999999999996</v>
      </c>
      <c r="BJ833" s="25">
        <f>VLOOKUP(Inventory[[#This Row],[LivArea Range]],Lookups!$T$25:$W$37,4,FALSE)</f>
        <v>1.0093000000000001</v>
      </c>
      <c r="BK833" s="25">
        <f>VLOOKUP(Inventory[[#This Row],[Decade]],Lookups!$O$25:$R$42,4,FALSE)</f>
        <v>0.995</v>
      </c>
      <c r="BL833" s="25">
        <f>Inventory[[#This Row],[Nbhd Adj]]*0.95</f>
        <v>0.94971499999999998</v>
      </c>
      <c r="BM833" s="25">
        <f>Inventory[[#This Row],[Nbhd Adj]]*Inventory[[#This Row],[Quality Adj]]*Inventory[[#This Row],[Condition Adj]]*Inventory[[#This Row],[Living Area Adj]]*Inventory[[#This Row],[Decade Adj]]*0.95</f>
        <v>0.95579600051299707</v>
      </c>
      <c r="BN833" s="25">
        <f>ROUND(SUM(Inventory[[#This Row],[Mdl Qlty]:[Mdl WdDeck]])+Inventory[[#This Row],[Mdl Res Intercept]]*Inventory[[#This Row],[Res Adj ]],-2)</f>
        <v>256100</v>
      </c>
      <c r="BO833" s="25">
        <f>ROUND(Inventory[[#This Row],[25Det]]*Inventory[[#This Row],[Det/Nbhd Adj]],-2)</f>
        <v>9800</v>
      </c>
      <c r="BP833" s="25">
        <f>Inventory[[#This Row],[Adjusted Res]]+Inventory[[#This Row],[Adj Det ]]</f>
        <v>265900</v>
      </c>
      <c r="BQ833" s="25">
        <f>ROUND((Inventory[[#This Row],[Mdl Land Intercept]]+Inventory[[#This Row],[Mdl LnAcres]])*Inventory[[#This Row],[Det/Nbhd Adj]],-2)</f>
        <v>62000</v>
      </c>
      <c r="BR833" s="25">
        <f>Inventory[[#This Row],[Adjusted Impr Total]]+Inventory[[#This Row],[Adjusted Land Total]]</f>
        <v>327900</v>
      </c>
      <c r="BS833" s="36">
        <f>IFERROR((Inventory[[#This Row],[Adjusted Impr Total]]-Inventory[[#This Row],[24Bldg]])/Inventory[[#This Row],[24Bldg]],0)</f>
        <v>0.17759078830823738</v>
      </c>
      <c r="BT833" s="36">
        <f>(Inventory[[#This Row],[Adjusted Land Total]]-Inventory[[#This Row],[24Lnd]])/Inventory[[#This Row],[24Lnd]]</f>
        <v>-0.29142857142857143</v>
      </c>
      <c r="BU833" s="36">
        <f>(Inventory[[#This Row],[Adjusted Total]]-Inventory[[#This Row],[24Final]])/Inventory[[#This Row],[24Final]]</f>
        <v>4.6600702202361954E-2</v>
      </c>
    </row>
    <row r="834" spans="1:73" x14ac:dyDescent="0.3">
      <c r="A834" s="25">
        <v>2025</v>
      </c>
      <c r="B834" s="26" t="s">
        <v>1968</v>
      </c>
      <c r="C834" s="26">
        <f>LN(Inventory[[#This Row],[Acres]])</f>
        <v>-1.5606477482646683</v>
      </c>
      <c r="D834" s="25">
        <v>0.21</v>
      </c>
      <c r="E834" s="31"/>
      <c r="F834" s="26" t="s">
        <v>537</v>
      </c>
      <c r="G834" s="26" t="s">
        <v>126</v>
      </c>
      <c r="H834" s="26" t="s">
        <v>349</v>
      </c>
      <c r="I834" s="26" t="s">
        <v>538</v>
      </c>
      <c r="J834" s="26" t="s">
        <v>539</v>
      </c>
      <c r="K834" s="26" t="s">
        <v>241</v>
      </c>
      <c r="L834" s="26" t="s">
        <v>302</v>
      </c>
      <c r="M834" s="26" t="s">
        <v>303</v>
      </c>
      <c r="N834" s="26">
        <v>80</v>
      </c>
      <c r="O834" s="26">
        <f>2024-Inventory[[#This Row],[YrBlt]]</f>
        <v>74</v>
      </c>
      <c r="P834" s="26">
        <f>2024-Inventory[[#This Row],[EffYr]]</f>
        <v>51</v>
      </c>
      <c r="Q834" s="25">
        <v>1950</v>
      </c>
      <c r="R834" s="25">
        <v>1973</v>
      </c>
      <c r="S834" s="25">
        <v>1523</v>
      </c>
      <c r="T834" s="31"/>
      <c r="U834" s="25">
        <v>532</v>
      </c>
      <c r="V834" s="25">
        <f>Inventory[[#This Row],[Bsmt]]-Inventory[[#This Row],[FnBsmt]]</f>
        <v>0</v>
      </c>
      <c r="W834" s="25">
        <v>532</v>
      </c>
      <c r="X834" s="27"/>
      <c r="Y834" s="27">
        <f>Inventory[[#This Row],[MainFn]]+Inventory[[#This Row],[UpprFn]]+Inventory[[#This Row],[FnBsmt]]+Inventory[[#This Row],[AddFn]]</f>
        <v>2055</v>
      </c>
      <c r="Z834" s="27">
        <v>2500</v>
      </c>
      <c r="AA834" s="25">
        <v>10</v>
      </c>
      <c r="AB834" s="32">
        <v>286</v>
      </c>
      <c r="AC834" s="27"/>
      <c r="AD834" s="31"/>
      <c r="AE834" s="27"/>
      <c r="AF834" s="27"/>
      <c r="AG834" s="27"/>
      <c r="AH834" s="27"/>
      <c r="AI834" s="25">
        <v>363715</v>
      </c>
      <c r="AJ834" s="25">
        <v>258238</v>
      </c>
      <c r="AK834" s="25">
        <v>0</v>
      </c>
      <c r="AL834" s="25">
        <v>366500</v>
      </c>
      <c r="AM834" s="25">
        <v>60100</v>
      </c>
      <c r="AN834" s="25">
        <v>306400</v>
      </c>
      <c r="AO834" s="25">
        <v>0</v>
      </c>
      <c r="AP834" s="25">
        <f>Lookups!$B$56*0</f>
        <v>0</v>
      </c>
      <c r="AQ834" s="25">
        <f>Lookups!$B$56*1</f>
        <v>89850.625589999996</v>
      </c>
      <c r="AR834" s="25">
        <f>Lookups!$B$57*Inventory[[#This Row],[LnAcres]]</f>
        <v>-49401.70477837498</v>
      </c>
      <c r="AS834" s="25">
        <f>VLOOKUP(Inventory[[#This Row],[Qlty]],Lookups!$A$62:$E$75,2,FALSE)</f>
        <v>29814.093161000001</v>
      </c>
      <c r="AT834" s="25">
        <f>VLOOKUP(Inventory[[#This Row],[Cnd]],Lookups!$A$76:$E$84,2,FALSE)</f>
        <v>197752.34721000001</v>
      </c>
      <c r="AU834" s="25">
        <f>Inventory[[#This Row],[EffAge]]*Lookups!$B$85</f>
        <v>-11375.3256255</v>
      </c>
      <c r="AV834" s="25">
        <f>Inventory[[#This Row],[MainFn]]*Lookups!$B$86</f>
        <v>75249.404222671001</v>
      </c>
      <c r="AW834" s="25">
        <f>Inventory[[#This Row],[UpprFn]]*Lookups!$B$87</f>
        <v>0</v>
      </c>
      <c r="AX834" s="25">
        <f>Inventory[[#This Row],[AddFn]]*Lookups!$B$88</f>
        <v>0</v>
      </c>
      <c r="AY834" s="25">
        <f>Inventory[[#This Row],[Bsmt]]*Lookups!$B$89</f>
        <v>15471.568271403999</v>
      </c>
      <c r="AZ834" s="25">
        <f>Inventory[[#This Row],[Fixtures]]*Lookups!$B$90</f>
        <v>37920.221052000001</v>
      </c>
      <c r="BA834" s="25">
        <f>Inventory[[#This Row],[WdDeck]]*Lookups!$B$91</f>
        <v>0</v>
      </c>
      <c r="BB834" s="25">
        <f>ROUND(Inventory[[#This Row],[25Det]],-2)</f>
        <v>0</v>
      </c>
      <c r="BC834" s="25">
        <f>ROUND(SUM(Inventory[[#This Row],[Mdl Qlty]:[Mdl WdDeck]])+Inventory[[#This Row],[Mdl Res Intercept]],-2)</f>
        <v>344800</v>
      </c>
      <c r="BD834" s="25">
        <f>ROUND(Inventory[[#This Row],[Mdl Land Intercept]]+Inventory[[#This Row],[Mdl LnAcres]],-2)</f>
        <v>40400</v>
      </c>
      <c r="BE834" s="25">
        <f>Inventory[[#This Row],[Unadj Res Value]]+Inventory[[#This Row],[Unadj Det Value]]+Inventory[[#This Row],[Unadj Land Value]]</f>
        <v>385200</v>
      </c>
      <c r="BF834" s="36">
        <f>(Inventory[[#This Row],[Unadj Total Value]]-Inventory[[#This Row],[24Final]])/Inventory[[#This Row],[24Final]]</f>
        <v>5.1023192360163713E-2</v>
      </c>
      <c r="BG834" s="25">
        <f>VLOOKUP(Inventory[[#This Row],[Nbhd]],Lookups!$Q$2:$T$4,4,FALSE)</f>
        <v>0.99970000000000003</v>
      </c>
      <c r="BH834" s="25">
        <f>VLOOKUP(Inventory[[#This Row],[Qlty]],Lookups!$O$7:$R$21,4,FALSE)</f>
        <v>1.0088999999999999</v>
      </c>
      <c r="BI834" s="25">
        <f>VLOOKUP(Inventory[[#This Row],[Cnd]],Lookups!$T$7:$W$16,4,FALSE)</f>
        <v>0.99650000000000005</v>
      </c>
      <c r="BJ834" s="25">
        <f>VLOOKUP(Inventory[[#This Row],[LivArea Range]],Lookups!$T$25:$W$37,4,FALSE)</f>
        <v>0.98919999999999997</v>
      </c>
      <c r="BK834" s="25">
        <f>VLOOKUP(Inventory[[#This Row],[Decade]],Lookups!$O$25:$R$42,4,FALSE)</f>
        <v>0.995</v>
      </c>
      <c r="BL834" s="25">
        <f>Inventory[[#This Row],[Nbhd Adj]]*0.95</f>
        <v>0.94971499999999998</v>
      </c>
      <c r="BM834" s="25">
        <f>Inventory[[#This Row],[Nbhd Adj]]*Inventory[[#This Row],[Quality Adj]]*Inventory[[#This Row],[Condition Adj]]*Inventory[[#This Row],[Living Area Adj]]*Inventory[[#This Row],[Decade Adj]]*0.95</f>
        <v>0.93977937806455991</v>
      </c>
      <c r="BN834" s="25">
        <f>ROUND(SUM(Inventory[[#This Row],[Mdl Qlty]:[Mdl WdDeck]])+Inventory[[#This Row],[Mdl Res Intercept]]*Inventory[[#This Row],[Res Adj ]],-2)</f>
        <v>344800</v>
      </c>
      <c r="BO834" s="25">
        <f>ROUND(Inventory[[#This Row],[25Det]]*Inventory[[#This Row],[Det/Nbhd Adj]],-2)</f>
        <v>0</v>
      </c>
      <c r="BP834" s="25">
        <f>Inventory[[#This Row],[Adjusted Res]]+Inventory[[#This Row],[Adj Det ]]</f>
        <v>344800</v>
      </c>
      <c r="BQ834" s="25">
        <f>ROUND((Inventory[[#This Row],[Mdl Land Intercept]]+Inventory[[#This Row],[Mdl LnAcres]])*Inventory[[#This Row],[Det/Nbhd Adj]],-2)</f>
        <v>38400</v>
      </c>
      <c r="BR834" s="25">
        <f>Inventory[[#This Row],[Adjusted Impr Total]]+Inventory[[#This Row],[Adjusted Land Total]]</f>
        <v>383200</v>
      </c>
      <c r="BS834" s="36">
        <f>IFERROR((Inventory[[#This Row],[Adjusted Impr Total]]-Inventory[[#This Row],[24Bldg]])/Inventory[[#This Row],[24Bldg]],0)</f>
        <v>0.12532637075718014</v>
      </c>
      <c r="BT834" s="36">
        <f>(Inventory[[#This Row],[Adjusted Land Total]]-Inventory[[#This Row],[24Lnd]])/Inventory[[#This Row],[24Lnd]]</f>
        <v>-0.36106489184692181</v>
      </c>
      <c r="BU834" s="36">
        <f>(Inventory[[#This Row],[Adjusted Total]]-Inventory[[#This Row],[24Final]])/Inventory[[#This Row],[24Final]]</f>
        <v>4.5566166439290588E-2</v>
      </c>
    </row>
    <row r="835" spans="1:73" x14ac:dyDescent="0.3">
      <c r="A835" s="25">
        <v>2025</v>
      </c>
      <c r="B835" s="26" t="s">
        <v>1185</v>
      </c>
      <c r="C835" s="26">
        <f>LN(Inventory[[#This Row],[Acres]])</f>
        <v>-1.2378743560016174</v>
      </c>
      <c r="D835" s="25">
        <v>0.28999999999999998</v>
      </c>
      <c r="E835" s="25">
        <v>12503</v>
      </c>
      <c r="F835" s="26" t="s">
        <v>537</v>
      </c>
      <c r="G835" s="26" t="s">
        <v>126</v>
      </c>
      <c r="H835" s="26" t="s">
        <v>349</v>
      </c>
      <c r="I835" s="26" t="s">
        <v>538</v>
      </c>
      <c r="J835" s="26" t="s">
        <v>539</v>
      </c>
      <c r="K835" s="26" t="s">
        <v>241</v>
      </c>
      <c r="L835" s="26" t="s">
        <v>148</v>
      </c>
      <c r="M835" s="26" t="s">
        <v>303</v>
      </c>
      <c r="N835" s="26">
        <v>80</v>
      </c>
      <c r="O835" s="26">
        <f>2024-Inventory[[#This Row],[YrBlt]]</f>
        <v>74</v>
      </c>
      <c r="P835" s="26">
        <f>2024-Inventory[[#This Row],[EffYr]]</f>
        <v>51</v>
      </c>
      <c r="Q835" s="25">
        <v>1950</v>
      </c>
      <c r="R835" s="25">
        <v>1973</v>
      </c>
      <c r="S835" s="25">
        <v>1681</v>
      </c>
      <c r="T835" s="27"/>
      <c r="U835" s="25">
        <v>1141</v>
      </c>
      <c r="V835" s="25">
        <f>Inventory[[#This Row],[Bsmt]]-Inventory[[#This Row],[FnBsmt]]</f>
        <v>0</v>
      </c>
      <c r="W835" s="25">
        <v>1141</v>
      </c>
      <c r="X835" s="27"/>
      <c r="Y835" s="27">
        <f>Inventory[[#This Row],[MainFn]]+Inventory[[#This Row],[UpprFn]]+Inventory[[#This Row],[FnBsmt]]+Inventory[[#This Row],[AddFn]]</f>
        <v>2822</v>
      </c>
      <c r="Z835" s="27">
        <v>3000</v>
      </c>
      <c r="AA835" s="25">
        <v>11</v>
      </c>
      <c r="AB835" s="27"/>
      <c r="AC835" s="32">
        <v>621</v>
      </c>
      <c r="AD835" s="32">
        <v>56</v>
      </c>
      <c r="AE835" s="27"/>
      <c r="AF835" s="27"/>
      <c r="AG835" s="27"/>
      <c r="AH835" s="27"/>
      <c r="AI835" s="25">
        <v>502598</v>
      </c>
      <c r="AJ835" s="25">
        <v>356845</v>
      </c>
      <c r="AK835" s="25">
        <v>0</v>
      </c>
      <c r="AL835" s="25">
        <v>419700</v>
      </c>
      <c r="AM835" s="25">
        <v>71400</v>
      </c>
      <c r="AN835" s="25">
        <v>348300</v>
      </c>
      <c r="AO835" s="25">
        <v>0</v>
      </c>
      <c r="AP835" s="25">
        <f>Lookups!$B$56*0</f>
        <v>0</v>
      </c>
      <c r="AQ835" s="25">
        <f>Lookups!$B$56*1</f>
        <v>89850.625589999996</v>
      </c>
      <c r="AR835" s="25">
        <f>Lookups!$B$57*Inventory[[#This Row],[LnAcres]]</f>
        <v>-39184.437074869042</v>
      </c>
      <c r="AS835" s="25">
        <f>VLOOKUP(Inventory[[#This Row],[Qlty]],Lookups!$A$62:$E$75,2,FALSE)</f>
        <v>44121.038090000002</v>
      </c>
      <c r="AT835" s="25">
        <f>VLOOKUP(Inventory[[#This Row],[Cnd]],Lookups!$A$76:$E$84,2,FALSE)</f>
        <v>197752.34721000001</v>
      </c>
      <c r="AU835" s="25">
        <f>Inventory[[#This Row],[EffAge]]*Lookups!$B$85</f>
        <v>-11375.3256255</v>
      </c>
      <c r="AV835" s="25">
        <f>Inventory[[#This Row],[MainFn]]*Lookups!$B$86</f>
        <v>83055.974063237009</v>
      </c>
      <c r="AW835" s="25">
        <f>Inventory[[#This Row],[UpprFn]]*Lookups!$B$87</f>
        <v>0</v>
      </c>
      <c r="AX835" s="25">
        <f>Inventory[[#This Row],[AddFn]]*Lookups!$B$88</f>
        <v>0</v>
      </c>
      <c r="AY835" s="25">
        <f>Inventory[[#This Row],[Bsmt]]*Lookups!$B$89</f>
        <v>33182.442476826996</v>
      </c>
      <c r="AZ835" s="25">
        <f>Inventory[[#This Row],[Fixtures]]*Lookups!$B$90</f>
        <v>41712.243157199999</v>
      </c>
      <c r="BA835" s="25">
        <f>Inventory[[#This Row],[WdDeck]]*Lookups!$B$91</f>
        <v>1864.5488554560002</v>
      </c>
      <c r="BB835" s="25">
        <f>ROUND(Inventory[[#This Row],[25Det]],-2)</f>
        <v>0</v>
      </c>
      <c r="BC835" s="25">
        <f>ROUND(SUM(Inventory[[#This Row],[Mdl Qlty]:[Mdl WdDeck]])+Inventory[[#This Row],[Mdl Res Intercept]],-2)</f>
        <v>390300</v>
      </c>
      <c r="BD835" s="25">
        <f>ROUND(Inventory[[#This Row],[Mdl Land Intercept]]+Inventory[[#This Row],[Mdl LnAcres]],-2)</f>
        <v>50700</v>
      </c>
      <c r="BE835" s="25">
        <f>Inventory[[#This Row],[Unadj Res Value]]+Inventory[[#This Row],[Unadj Det Value]]+Inventory[[#This Row],[Unadj Land Value]]</f>
        <v>441000</v>
      </c>
      <c r="BF835" s="36">
        <f>(Inventory[[#This Row],[Unadj Total Value]]-Inventory[[#This Row],[24Final]])/Inventory[[#This Row],[24Final]]</f>
        <v>5.0750536097212293E-2</v>
      </c>
      <c r="BG835" s="25">
        <f>VLOOKUP(Inventory[[#This Row],[Nbhd]],Lookups!$Q$2:$T$4,4,FALSE)</f>
        <v>0.99970000000000003</v>
      </c>
      <c r="BH835" s="25">
        <f>VLOOKUP(Inventory[[#This Row],[Qlty]],Lookups!$O$7:$R$21,4,FALSE)</f>
        <v>0.98050000000000004</v>
      </c>
      <c r="BI835" s="25">
        <f>VLOOKUP(Inventory[[#This Row],[Cnd]],Lookups!$T$7:$W$16,4,FALSE)</f>
        <v>0.99650000000000005</v>
      </c>
      <c r="BJ835" s="25">
        <f>VLOOKUP(Inventory[[#This Row],[LivArea Range]],Lookups!$T$25:$W$37,4,FALSE)</f>
        <v>0.96179999999999999</v>
      </c>
      <c r="BK835" s="25">
        <f>VLOOKUP(Inventory[[#This Row],[Decade]],Lookups!$O$25:$R$42,4,FALSE)</f>
        <v>0.995</v>
      </c>
      <c r="BL835" s="25">
        <f>Inventory[[#This Row],[Nbhd Adj]]*0.95</f>
        <v>0.94971499999999998</v>
      </c>
      <c r="BM835" s="25">
        <f>Inventory[[#This Row],[Nbhd Adj]]*Inventory[[#This Row],[Quality Adj]]*Inventory[[#This Row],[Condition Adj]]*Inventory[[#This Row],[Living Area Adj]]*Inventory[[#This Row],[Decade Adj]]*0.95</f>
        <v>0.88802675758029637</v>
      </c>
      <c r="BN835" s="25">
        <f>ROUND(SUM(Inventory[[#This Row],[Mdl Qlty]:[Mdl WdDeck]])+Inventory[[#This Row],[Mdl Res Intercept]]*Inventory[[#This Row],[Res Adj ]],-2)</f>
        <v>390300</v>
      </c>
      <c r="BO835" s="25">
        <f>ROUND(Inventory[[#This Row],[25Det]]*Inventory[[#This Row],[Det/Nbhd Adj]],-2)</f>
        <v>0</v>
      </c>
      <c r="BP835" s="25">
        <f>Inventory[[#This Row],[Adjusted Res]]+Inventory[[#This Row],[Adj Det ]]</f>
        <v>390300</v>
      </c>
      <c r="BQ835" s="25">
        <f>ROUND((Inventory[[#This Row],[Mdl Land Intercept]]+Inventory[[#This Row],[Mdl LnAcres]])*Inventory[[#This Row],[Det/Nbhd Adj]],-2)</f>
        <v>48100</v>
      </c>
      <c r="BR835" s="25">
        <f>Inventory[[#This Row],[Adjusted Impr Total]]+Inventory[[#This Row],[Adjusted Land Total]]</f>
        <v>438400</v>
      </c>
      <c r="BS835" s="36">
        <f>IFERROR((Inventory[[#This Row],[Adjusted Impr Total]]-Inventory[[#This Row],[24Bldg]])/Inventory[[#This Row],[24Bldg]],0)</f>
        <v>0.12058570198105081</v>
      </c>
      <c r="BT835" s="36">
        <f>(Inventory[[#This Row],[Adjusted Land Total]]-Inventory[[#This Row],[24Lnd]])/Inventory[[#This Row],[24Lnd]]</f>
        <v>-0.32633053221288516</v>
      </c>
      <c r="BU835" s="36">
        <f>(Inventory[[#This Row],[Adjusted Total]]-Inventory[[#This Row],[24Final]])/Inventory[[#This Row],[24Final]]</f>
        <v>4.4555634977364783E-2</v>
      </c>
    </row>
    <row r="836" spans="1:73" x14ac:dyDescent="0.3">
      <c r="A836" s="25">
        <v>2025</v>
      </c>
      <c r="B836" s="26" t="s">
        <v>2115</v>
      </c>
      <c r="C836" s="26">
        <f>LN(Inventory[[#This Row],[Acres]])</f>
        <v>-1.5141277326297755</v>
      </c>
      <c r="D836" s="25">
        <v>0.22</v>
      </c>
      <c r="E836" s="25">
        <v>9649</v>
      </c>
      <c r="F836" s="26" t="s">
        <v>537</v>
      </c>
      <c r="G836" s="26" t="s">
        <v>126</v>
      </c>
      <c r="H836" s="26" t="s">
        <v>349</v>
      </c>
      <c r="I836" s="26" t="s">
        <v>538</v>
      </c>
      <c r="J836" s="26" t="s">
        <v>539</v>
      </c>
      <c r="K836" s="26" t="s">
        <v>241</v>
      </c>
      <c r="L836" s="26" t="s">
        <v>351</v>
      </c>
      <c r="M836" s="26" t="s">
        <v>323</v>
      </c>
      <c r="N836" s="26">
        <v>80</v>
      </c>
      <c r="O836" s="26">
        <f>2024-Inventory[[#This Row],[YrBlt]]</f>
        <v>74</v>
      </c>
      <c r="P836" s="26">
        <f>2024-Inventory[[#This Row],[EffYr]]</f>
        <v>51</v>
      </c>
      <c r="Q836" s="25">
        <v>1950</v>
      </c>
      <c r="R836" s="25">
        <v>1973</v>
      </c>
      <c r="S836" s="25">
        <v>948</v>
      </c>
      <c r="T836" s="31"/>
      <c r="U836" s="31"/>
      <c r="V836" s="27">
        <f>Inventory[[#This Row],[Bsmt]]-Inventory[[#This Row],[FnBsmt]]</f>
        <v>0</v>
      </c>
      <c r="W836" s="27"/>
      <c r="X836" s="27"/>
      <c r="Y836" s="27">
        <f>Inventory[[#This Row],[MainFn]]+Inventory[[#This Row],[UpprFn]]+Inventory[[#This Row],[FnBsmt]]+Inventory[[#This Row],[AddFn]]</f>
        <v>948</v>
      </c>
      <c r="Z836" s="27">
        <v>1000</v>
      </c>
      <c r="AA836" s="25">
        <v>6</v>
      </c>
      <c r="AB836" s="32">
        <v>300</v>
      </c>
      <c r="AC836" s="27"/>
      <c r="AD836" s="31"/>
      <c r="AE836" s="27"/>
      <c r="AF836" s="27"/>
      <c r="AG836" s="27"/>
      <c r="AH836" s="27"/>
      <c r="AI836" s="25">
        <v>179979</v>
      </c>
      <c r="AJ836" s="25">
        <v>124186</v>
      </c>
      <c r="AK836" s="25">
        <v>0</v>
      </c>
      <c r="AL836" s="25">
        <v>268100</v>
      </c>
      <c r="AM836" s="25">
        <v>61700</v>
      </c>
      <c r="AN836" s="25">
        <v>206400</v>
      </c>
      <c r="AO836" s="25">
        <v>0</v>
      </c>
      <c r="AP836" s="25">
        <f>Lookups!$B$56*0</f>
        <v>0</v>
      </c>
      <c r="AQ836" s="25">
        <f>Lookups!$B$56*1</f>
        <v>89850.625589999996</v>
      </c>
      <c r="AR836" s="25">
        <f>Lookups!$B$57*Inventory[[#This Row],[LnAcres]]</f>
        <v>-47929.131559187132</v>
      </c>
      <c r="AS836" s="25">
        <f>VLOOKUP(Inventory[[#This Row],[Qlty]],Lookups!$A$62:$E$75,2,FALSE)</f>
        <v>21557.329055999999</v>
      </c>
      <c r="AT836" s="25">
        <f>VLOOKUP(Inventory[[#This Row],[Cnd]],Lookups!$A$76:$E$84,2,FALSE)</f>
        <v>160472.20319</v>
      </c>
      <c r="AU836" s="25">
        <f>Inventory[[#This Row],[EffAge]]*Lookups!$B$85</f>
        <v>-11375.3256255</v>
      </c>
      <c r="AV836" s="25">
        <f>Inventory[[#This Row],[MainFn]]*Lookups!$B$86</f>
        <v>46839.419043396003</v>
      </c>
      <c r="AW836" s="25">
        <f>Inventory[[#This Row],[UpprFn]]*Lookups!$B$87</f>
        <v>0</v>
      </c>
      <c r="AX836" s="25">
        <f>Inventory[[#This Row],[AddFn]]*Lookups!$B$88</f>
        <v>0</v>
      </c>
      <c r="AY836" s="25">
        <f>Inventory[[#This Row],[Bsmt]]*Lookups!$B$89</f>
        <v>0</v>
      </c>
      <c r="AZ836" s="25">
        <f>Inventory[[#This Row],[Fixtures]]*Lookups!$B$90</f>
        <v>22752.132631200002</v>
      </c>
      <c r="BA836" s="25">
        <f>Inventory[[#This Row],[WdDeck]]*Lookups!$B$91</f>
        <v>0</v>
      </c>
      <c r="BB836" s="25">
        <f>ROUND(Inventory[[#This Row],[25Det]],-2)</f>
        <v>0</v>
      </c>
      <c r="BC836" s="25">
        <f>ROUND(SUM(Inventory[[#This Row],[Mdl Qlty]:[Mdl WdDeck]])+Inventory[[#This Row],[Mdl Res Intercept]],-2)</f>
        <v>240200</v>
      </c>
      <c r="BD836" s="25">
        <f>ROUND(Inventory[[#This Row],[Mdl Land Intercept]]+Inventory[[#This Row],[Mdl LnAcres]],-2)</f>
        <v>41900</v>
      </c>
      <c r="BE836" s="25">
        <f>Inventory[[#This Row],[Unadj Res Value]]+Inventory[[#This Row],[Unadj Det Value]]+Inventory[[#This Row],[Unadj Land Value]]</f>
        <v>282100</v>
      </c>
      <c r="BF836" s="36">
        <f>(Inventory[[#This Row],[Unadj Total Value]]-Inventory[[#This Row],[24Final]])/Inventory[[#This Row],[24Final]]</f>
        <v>5.2219321148825062E-2</v>
      </c>
      <c r="BG836" s="25">
        <f>VLOOKUP(Inventory[[#This Row],[Nbhd]],Lookups!$Q$2:$T$4,4,FALSE)</f>
        <v>0.99970000000000003</v>
      </c>
      <c r="BH836" s="25">
        <f>VLOOKUP(Inventory[[#This Row],[Qlty]],Lookups!$O$7:$R$21,4,FALSE)</f>
        <v>1.0067999999999999</v>
      </c>
      <c r="BI836" s="25">
        <f>VLOOKUP(Inventory[[#This Row],[Cnd]],Lookups!$T$7:$W$16,4,FALSE)</f>
        <v>0.99729999999999996</v>
      </c>
      <c r="BJ836" s="25">
        <f>VLOOKUP(Inventory[[#This Row],[LivArea Range]],Lookups!$T$25:$W$37,4,FALSE)</f>
        <v>1.0148999999999999</v>
      </c>
      <c r="BK836" s="25">
        <f>VLOOKUP(Inventory[[#This Row],[Decade]],Lookups!$O$25:$R$42,4,FALSE)</f>
        <v>0.995</v>
      </c>
      <c r="BL836" s="25">
        <f>Inventory[[#This Row],[Nbhd Adj]]*0.95</f>
        <v>0.94971499999999998</v>
      </c>
      <c r="BM836" s="25">
        <f>Inventory[[#This Row],[Nbhd Adj]]*Inventory[[#This Row],[Quality Adj]]*Inventory[[#This Row],[Condition Adj]]*Inventory[[#This Row],[Living Area Adj]]*Inventory[[#This Row],[Decade Adj]]*0.95</f>
        <v>0.96296090698154491</v>
      </c>
      <c r="BN836" s="25">
        <f>ROUND(SUM(Inventory[[#This Row],[Mdl Qlty]:[Mdl WdDeck]])+Inventory[[#This Row],[Mdl Res Intercept]]*Inventory[[#This Row],[Res Adj ]],-2)</f>
        <v>240200</v>
      </c>
      <c r="BO836" s="25">
        <f>ROUND(Inventory[[#This Row],[25Det]]*Inventory[[#This Row],[Det/Nbhd Adj]],-2)</f>
        <v>0</v>
      </c>
      <c r="BP836" s="25">
        <f>Inventory[[#This Row],[Adjusted Res]]+Inventory[[#This Row],[Adj Det ]]</f>
        <v>240200</v>
      </c>
      <c r="BQ836" s="25">
        <f>ROUND((Inventory[[#This Row],[Mdl Land Intercept]]+Inventory[[#This Row],[Mdl LnAcres]])*Inventory[[#This Row],[Det/Nbhd Adj]],-2)</f>
        <v>39800</v>
      </c>
      <c r="BR836" s="25">
        <f>Inventory[[#This Row],[Adjusted Impr Total]]+Inventory[[#This Row],[Adjusted Land Total]]</f>
        <v>280000</v>
      </c>
      <c r="BS836" s="36">
        <f>IFERROR((Inventory[[#This Row],[Adjusted Impr Total]]-Inventory[[#This Row],[24Bldg]])/Inventory[[#This Row],[24Bldg]],0)</f>
        <v>0.16375968992248063</v>
      </c>
      <c r="BT836" s="36">
        <f>(Inventory[[#This Row],[Adjusted Land Total]]-Inventory[[#This Row],[24Lnd]])/Inventory[[#This Row],[24Lnd]]</f>
        <v>-0.35494327390599678</v>
      </c>
      <c r="BU836" s="36">
        <f>(Inventory[[#This Row],[Adjusted Total]]-Inventory[[#This Row],[24Final]])/Inventory[[#This Row],[24Final]]</f>
        <v>4.4386422976501305E-2</v>
      </c>
    </row>
    <row r="837" spans="1:73" x14ac:dyDescent="0.3">
      <c r="A837" s="25">
        <v>2025</v>
      </c>
      <c r="B837" s="26" t="s">
        <v>1760</v>
      </c>
      <c r="C837" s="26">
        <f>LN(Inventory[[#This Row],[Acres]])</f>
        <v>-1.7147984280919266</v>
      </c>
      <c r="D837" s="25">
        <v>0.18</v>
      </c>
      <c r="E837" s="31"/>
      <c r="F837" s="26" t="s">
        <v>537</v>
      </c>
      <c r="G837" s="26" t="s">
        <v>126</v>
      </c>
      <c r="H837" s="26" t="s">
        <v>349</v>
      </c>
      <c r="I837" s="26" t="s">
        <v>538</v>
      </c>
      <c r="J837" s="26" t="s">
        <v>539</v>
      </c>
      <c r="K837" s="26" t="s">
        <v>241</v>
      </c>
      <c r="L837" s="26" t="s">
        <v>148</v>
      </c>
      <c r="M837" s="26" t="s">
        <v>323</v>
      </c>
      <c r="N837" s="26">
        <v>80</v>
      </c>
      <c r="O837" s="26">
        <f>2024-Inventory[[#This Row],[YrBlt]]</f>
        <v>74</v>
      </c>
      <c r="P837" s="26">
        <f>2024-Inventory[[#This Row],[EffYr]]</f>
        <v>51</v>
      </c>
      <c r="Q837" s="25">
        <v>1950</v>
      </c>
      <c r="R837" s="25">
        <v>1973</v>
      </c>
      <c r="S837" s="25">
        <v>1376</v>
      </c>
      <c r="T837" s="27"/>
      <c r="U837" s="31"/>
      <c r="V837" s="27">
        <f>Inventory[[#This Row],[Bsmt]]-Inventory[[#This Row],[FnBsmt]]</f>
        <v>0</v>
      </c>
      <c r="W837" s="27"/>
      <c r="X837" s="27"/>
      <c r="Y837" s="27">
        <f>Inventory[[#This Row],[MainFn]]+Inventory[[#This Row],[UpprFn]]+Inventory[[#This Row],[FnBsmt]]+Inventory[[#This Row],[AddFn]]</f>
        <v>1376</v>
      </c>
      <c r="Z837" s="27">
        <v>1500</v>
      </c>
      <c r="AA837" s="25">
        <v>7</v>
      </c>
      <c r="AB837" s="31"/>
      <c r="AC837" s="27"/>
      <c r="AD837" s="27"/>
      <c r="AE837" s="27"/>
      <c r="AF837" s="27"/>
      <c r="AG837" s="27"/>
      <c r="AH837" s="27"/>
      <c r="AI837" s="25">
        <v>313005</v>
      </c>
      <c r="AJ837" s="25">
        <v>215973</v>
      </c>
      <c r="AK837" s="25">
        <v>0</v>
      </c>
      <c r="AL837" s="25">
        <v>307900</v>
      </c>
      <c r="AM837" s="25">
        <v>54700</v>
      </c>
      <c r="AN837" s="25">
        <v>253200</v>
      </c>
      <c r="AO837" s="25">
        <v>0</v>
      </c>
      <c r="AP837" s="25">
        <f>Lookups!$B$56*0</f>
        <v>0</v>
      </c>
      <c r="AQ837" s="25">
        <f>Lookups!$B$56*1</f>
        <v>89850.625589999996</v>
      </c>
      <c r="AR837" s="25">
        <f>Lookups!$B$57*Inventory[[#This Row],[LnAcres]]</f>
        <v>-54281.285314520763</v>
      </c>
      <c r="AS837" s="25">
        <f>VLOOKUP(Inventory[[#This Row],[Qlty]],Lookups!$A$62:$E$75,2,FALSE)</f>
        <v>44121.038090000002</v>
      </c>
      <c r="AT837" s="25">
        <f>VLOOKUP(Inventory[[#This Row],[Cnd]],Lookups!$A$76:$E$84,2,FALSE)</f>
        <v>160472.20319</v>
      </c>
      <c r="AU837" s="25">
        <f>Inventory[[#This Row],[EffAge]]*Lookups!$B$85</f>
        <v>-11375.3256255</v>
      </c>
      <c r="AV837" s="25">
        <f>Inventory[[#This Row],[MainFn]]*Lookups!$B$86</f>
        <v>67986.329750752004</v>
      </c>
      <c r="AW837" s="25">
        <f>Inventory[[#This Row],[UpprFn]]*Lookups!$B$87</f>
        <v>0</v>
      </c>
      <c r="AX837" s="25">
        <f>Inventory[[#This Row],[AddFn]]*Lookups!$B$88</f>
        <v>0</v>
      </c>
      <c r="AY837" s="25">
        <f>Inventory[[#This Row],[Bsmt]]*Lookups!$B$89</f>
        <v>0</v>
      </c>
      <c r="AZ837" s="25">
        <f>Inventory[[#This Row],[Fixtures]]*Lookups!$B$90</f>
        <v>26544.1547364</v>
      </c>
      <c r="BA837" s="25">
        <f>Inventory[[#This Row],[WdDeck]]*Lookups!$B$91</f>
        <v>0</v>
      </c>
      <c r="BB837" s="25">
        <f>ROUND(Inventory[[#This Row],[25Det]],-2)</f>
        <v>0</v>
      </c>
      <c r="BC837" s="25">
        <f>ROUND(SUM(Inventory[[#This Row],[Mdl Qlty]:[Mdl WdDeck]])+Inventory[[#This Row],[Mdl Res Intercept]],-2)</f>
        <v>287700</v>
      </c>
      <c r="BD837" s="25">
        <f>ROUND(Inventory[[#This Row],[Mdl Land Intercept]]+Inventory[[#This Row],[Mdl LnAcres]],-2)</f>
        <v>35600</v>
      </c>
      <c r="BE837" s="25">
        <f>Inventory[[#This Row],[Unadj Res Value]]+Inventory[[#This Row],[Unadj Det Value]]+Inventory[[#This Row],[Unadj Land Value]]</f>
        <v>323300</v>
      </c>
      <c r="BF837" s="36">
        <f>(Inventory[[#This Row],[Unadj Total Value]]-Inventory[[#This Row],[24Final]])/Inventory[[#This Row],[24Final]]</f>
        <v>5.0016239038648914E-2</v>
      </c>
      <c r="BG837" s="25">
        <f>VLOOKUP(Inventory[[#This Row],[Nbhd]],Lookups!$Q$2:$T$4,4,FALSE)</f>
        <v>0.99970000000000003</v>
      </c>
      <c r="BH837" s="25">
        <f>VLOOKUP(Inventory[[#This Row],[Qlty]],Lookups!$O$7:$R$21,4,FALSE)</f>
        <v>0.98050000000000004</v>
      </c>
      <c r="BI837" s="25">
        <f>VLOOKUP(Inventory[[#This Row],[Cnd]],Lookups!$T$7:$W$16,4,FALSE)</f>
        <v>0.99729999999999996</v>
      </c>
      <c r="BJ837" s="25">
        <f>VLOOKUP(Inventory[[#This Row],[LivArea Range]],Lookups!$T$25:$W$37,4,FALSE)</f>
        <v>1.0157</v>
      </c>
      <c r="BK837" s="25">
        <f>VLOOKUP(Inventory[[#This Row],[Decade]],Lookups!$O$25:$R$42,4,FALSE)</f>
        <v>0.995</v>
      </c>
      <c r="BL837" s="25">
        <f>Inventory[[#This Row],[Nbhd Adj]]*0.95</f>
        <v>0.94971499999999998</v>
      </c>
      <c r="BM837" s="25">
        <f>Inventory[[#This Row],[Nbhd Adj]]*Inventory[[#This Row],[Quality Adj]]*Inventory[[#This Row],[Condition Adj]]*Inventory[[#This Row],[Living Area Adj]]*Inventory[[#This Row],[Decade Adj]]*0.95</f>
        <v>0.93854531823597842</v>
      </c>
      <c r="BN837" s="25">
        <f>ROUND(SUM(Inventory[[#This Row],[Mdl Qlty]:[Mdl WdDeck]])+Inventory[[#This Row],[Mdl Res Intercept]]*Inventory[[#This Row],[Res Adj ]],-2)</f>
        <v>287700</v>
      </c>
      <c r="BO837" s="25">
        <f>ROUND(Inventory[[#This Row],[25Det]]*Inventory[[#This Row],[Det/Nbhd Adj]],-2)</f>
        <v>0</v>
      </c>
      <c r="BP837" s="25">
        <f>Inventory[[#This Row],[Adjusted Res]]+Inventory[[#This Row],[Adj Det ]]</f>
        <v>287700</v>
      </c>
      <c r="BQ837" s="25">
        <f>ROUND((Inventory[[#This Row],[Mdl Land Intercept]]+Inventory[[#This Row],[Mdl LnAcres]])*Inventory[[#This Row],[Det/Nbhd Adj]],-2)</f>
        <v>33800</v>
      </c>
      <c r="BR837" s="25">
        <f>Inventory[[#This Row],[Adjusted Impr Total]]+Inventory[[#This Row],[Adjusted Land Total]]</f>
        <v>321500</v>
      </c>
      <c r="BS837" s="36">
        <f>IFERROR((Inventory[[#This Row],[Adjusted Impr Total]]-Inventory[[#This Row],[24Bldg]])/Inventory[[#This Row],[24Bldg]],0)</f>
        <v>0.13625592417061611</v>
      </c>
      <c r="BT837" s="36">
        <f>(Inventory[[#This Row],[Adjusted Land Total]]-Inventory[[#This Row],[24Lnd]])/Inventory[[#This Row],[24Lnd]]</f>
        <v>-0.38208409506398539</v>
      </c>
      <c r="BU837" s="36">
        <f>(Inventory[[#This Row],[Adjusted Total]]-Inventory[[#This Row],[24Final]])/Inventory[[#This Row],[24Final]]</f>
        <v>4.4170185125040597E-2</v>
      </c>
    </row>
    <row r="838" spans="1:73" x14ac:dyDescent="0.3">
      <c r="A838" s="25">
        <v>2025</v>
      </c>
      <c r="B838" s="26" t="s">
        <v>765</v>
      </c>
      <c r="C838" s="26">
        <f>LN(Inventory[[#This Row],[Acres]])</f>
        <v>-1.6094379124341003</v>
      </c>
      <c r="D838" s="25">
        <v>0.2</v>
      </c>
      <c r="E838" s="25">
        <v>8860</v>
      </c>
      <c r="F838" s="26" t="s">
        <v>537</v>
      </c>
      <c r="G838" s="26" t="s">
        <v>126</v>
      </c>
      <c r="H838" s="26" t="s">
        <v>349</v>
      </c>
      <c r="I838" s="26" t="s">
        <v>538</v>
      </c>
      <c r="J838" s="26" t="s">
        <v>539</v>
      </c>
      <c r="K838" s="26" t="s">
        <v>242</v>
      </c>
      <c r="L838" s="26" t="s">
        <v>148</v>
      </c>
      <c r="M838" s="26" t="s">
        <v>323</v>
      </c>
      <c r="N838" s="26">
        <v>80</v>
      </c>
      <c r="O838" s="26">
        <f>2024-Inventory[[#This Row],[YrBlt]]</f>
        <v>74</v>
      </c>
      <c r="P838" s="26">
        <f>2024-Inventory[[#This Row],[EffYr]]</f>
        <v>51</v>
      </c>
      <c r="Q838" s="25">
        <v>1950</v>
      </c>
      <c r="R838" s="25">
        <v>1973</v>
      </c>
      <c r="S838" s="25">
        <v>1155</v>
      </c>
      <c r="T838" s="31"/>
      <c r="U838" s="32">
        <v>1155</v>
      </c>
      <c r="V838" s="32">
        <f>Inventory[[#This Row],[Bsmt]]-Inventory[[#This Row],[FnBsmt]]</f>
        <v>557</v>
      </c>
      <c r="W838" s="32">
        <v>598</v>
      </c>
      <c r="X838" s="27"/>
      <c r="Y838" s="27">
        <f>Inventory[[#This Row],[MainFn]]+Inventory[[#This Row],[UpprFn]]+Inventory[[#This Row],[FnBsmt]]+Inventory[[#This Row],[AddFn]]</f>
        <v>1753</v>
      </c>
      <c r="Z838" s="27">
        <v>2000</v>
      </c>
      <c r="AA838" s="25">
        <v>9</v>
      </c>
      <c r="AB838" s="25">
        <v>408</v>
      </c>
      <c r="AC838" s="27"/>
      <c r="AD838" s="27"/>
      <c r="AE838" s="27"/>
      <c r="AF838" s="27"/>
      <c r="AG838" s="27"/>
      <c r="AH838" s="27"/>
      <c r="AI838" s="25">
        <v>405732</v>
      </c>
      <c r="AJ838" s="25">
        <v>279955</v>
      </c>
      <c r="AK838" s="25">
        <v>0</v>
      </c>
      <c r="AL838" s="25">
        <v>339900</v>
      </c>
      <c r="AM838" s="25">
        <v>58400</v>
      </c>
      <c r="AN838" s="25">
        <v>281500</v>
      </c>
      <c r="AO838" s="25">
        <v>0</v>
      </c>
      <c r="AP838" s="25">
        <f>Lookups!$B$56*0</f>
        <v>0</v>
      </c>
      <c r="AQ838" s="25">
        <f>Lookups!$B$56*1</f>
        <v>89850.625589999996</v>
      </c>
      <c r="AR838" s="25">
        <f>Lookups!$B$57*Inventory[[#This Row],[LnAcres]]</f>
        <v>-50946.13867709865</v>
      </c>
      <c r="AS838" s="25">
        <f>VLOOKUP(Inventory[[#This Row],[Qlty]],Lookups!$A$62:$E$75,2,FALSE)</f>
        <v>44121.038090000002</v>
      </c>
      <c r="AT838" s="25">
        <f>VLOOKUP(Inventory[[#This Row],[Cnd]],Lookups!$A$76:$E$84,2,FALSE)</f>
        <v>160472.20319</v>
      </c>
      <c r="AU838" s="25">
        <f>Inventory[[#This Row],[EffAge]]*Lookups!$B$85</f>
        <v>-11375.3256255</v>
      </c>
      <c r="AV838" s="25">
        <f>Inventory[[#This Row],[MainFn]]*Lookups!$B$86</f>
        <v>57067.013707935002</v>
      </c>
      <c r="AW838" s="25">
        <f>Inventory[[#This Row],[UpprFn]]*Lookups!$B$87</f>
        <v>0</v>
      </c>
      <c r="AX838" s="25">
        <f>Inventory[[#This Row],[AddFn]]*Lookups!$B$88</f>
        <v>0</v>
      </c>
      <c r="AY838" s="25">
        <f>Inventory[[#This Row],[Bsmt]]*Lookups!$B$89</f>
        <v>33589.589010284995</v>
      </c>
      <c r="AZ838" s="25">
        <f>Inventory[[#This Row],[Fixtures]]*Lookups!$B$90</f>
        <v>34128.198946800003</v>
      </c>
      <c r="BA838" s="25">
        <f>Inventory[[#This Row],[WdDeck]]*Lookups!$B$91</f>
        <v>0</v>
      </c>
      <c r="BB838" s="25">
        <f>ROUND(Inventory[[#This Row],[25Det]],-2)</f>
        <v>0</v>
      </c>
      <c r="BC838" s="25">
        <f>ROUND(SUM(Inventory[[#This Row],[Mdl Qlty]:[Mdl WdDeck]])+Inventory[[#This Row],[Mdl Res Intercept]],-2)</f>
        <v>318000</v>
      </c>
      <c r="BD838" s="25">
        <f>ROUND(Inventory[[#This Row],[Mdl Land Intercept]]+Inventory[[#This Row],[Mdl LnAcres]],-2)</f>
        <v>38900</v>
      </c>
      <c r="BE838" s="25">
        <f>Inventory[[#This Row],[Unadj Res Value]]+Inventory[[#This Row],[Unadj Det Value]]+Inventory[[#This Row],[Unadj Land Value]]</f>
        <v>356900</v>
      </c>
      <c r="BF838" s="36">
        <f>(Inventory[[#This Row],[Unadj Total Value]]-Inventory[[#This Row],[24Final]])/Inventory[[#This Row],[24Final]]</f>
        <v>5.0014710208884969E-2</v>
      </c>
      <c r="BG838" s="25">
        <f>VLOOKUP(Inventory[[#This Row],[Nbhd]],Lookups!$Q$2:$T$4,4,FALSE)</f>
        <v>0.99970000000000003</v>
      </c>
      <c r="BH838" s="25">
        <f>VLOOKUP(Inventory[[#This Row],[Qlty]],Lookups!$O$7:$R$21,4,FALSE)</f>
        <v>0.98050000000000004</v>
      </c>
      <c r="BI838" s="25">
        <f>VLOOKUP(Inventory[[#This Row],[Cnd]],Lookups!$T$7:$W$16,4,FALSE)</f>
        <v>0.99729999999999996</v>
      </c>
      <c r="BJ838" s="25">
        <f>VLOOKUP(Inventory[[#This Row],[LivArea Range]],Lookups!$T$25:$W$37,4,FALSE)</f>
        <v>1.0093000000000001</v>
      </c>
      <c r="BK838" s="25">
        <f>VLOOKUP(Inventory[[#This Row],[Decade]],Lookups!$O$25:$R$42,4,FALSE)</f>
        <v>0.995</v>
      </c>
      <c r="BL838" s="25">
        <f>Inventory[[#This Row],[Nbhd Adj]]*0.95</f>
        <v>0.94971499999999998</v>
      </c>
      <c r="BM838" s="25">
        <f>Inventory[[#This Row],[Nbhd Adj]]*Inventory[[#This Row],[Quality Adj]]*Inventory[[#This Row],[Condition Adj]]*Inventory[[#This Row],[Living Area Adj]]*Inventory[[#This Row],[Decade Adj]]*0.95</f>
        <v>0.93263147552975589</v>
      </c>
      <c r="BN838" s="25">
        <f>ROUND(SUM(Inventory[[#This Row],[Mdl Qlty]:[Mdl WdDeck]])+Inventory[[#This Row],[Mdl Res Intercept]]*Inventory[[#This Row],[Res Adj ]],-2)</f>
        <v>318000</v>
      </c>
      <c r="BO838" s="25">
        <f>ROUND(Inventory[[#This Row],[25Det]]*Inventory[[#This Row],[Det/Nbhd Adj]],-2)</f>
        <v>0</v>
      </c>
      <c r="BP838" s="25">
        <f>Inventory[[#This Row],[Adjusted Res]]+Inventory[[#This Row],[Adj Det ]]</f>
        <v>318000</v>
      </c>
      <c r="BQ838" s="25">
        <f>ROUND((Inventory[[#This Row],[Mdl Land Intercept]]+Inventory[[#This Row],[Mdl LnAcres]])*Inventory[[#This Row],[Det/Nbhd Adj]],-2)</f>
        <v>36900</v>
      </c>
      <c r="BR838" s="25">
        <f>Inventory[[#This Row],[Adjusted Impr Total]]+Inventory[[#This Row],[Adjusted Land Total]]</f>
        <v>354900</v>
      </c>
      <c r="BS838" s="36">
        <f>IFERROR((Inventory[[#This Row],[Adjusted Impr Total]]-Inventory[[#This Row],[24Bldg]])/Inventory[[#This Row],[24Bldg]],0)</f>
        <v>0.12966252220248667</v>
      </c>
      <c r="BT838" s="36">
        <f>(Inventory[[#This Row],[Adjusted Land Total]]-Inventory[[#This Row],[24Lnd]])/Inventory[[#This Row],[24Lnd]]</f>
        <v>-0.36815068493150682</v>
      </c>
      <c r="BU838" s="36">
        <f>(Inventory[[#This Row],[Adjusted Total]]-Inventory[[#This Row],[24Final]])/Inventory[[#This Row],[24Final]]</f>
        <v>4.4130626654898503E-2</v>
      </c>
    </row>
    <row r="839" spans="1:73" x14ac:dyDescent="0.3">
      <c r="A839" s="25">
        <v>2025</v>
      </c>
      <c r="B839" s="26" t="s">
        <v>781</v>
      </c>
      <c r="C839" s="26">
        <f>LN(Inventory[[#This Row],[Acres]])</f>
        <v>-1.6607312068216509</v>
      </c>
      <c r="D839" s="25">
        <v>0.19</v>
      </c>
      <c r="E839" s="25">
        <v>8060</v>
      </c>
      <c r="F839" s="26" t="s">
        <v>537</v>
      </c>
      <c r="G839" s="26" t="s">
        <v>126</v>
      </c>
      <c r="H839" s="26" t="s">
        <v>349</v>
      </c>
      <c r="I839" s="26" t="s">
        <v>538</v>
      </c>
      <c r="J839" s="26" t="s">
        <v>539</v>
      </c>
      <c r="K839" s="26" t="s">
        <v>241</v>
      </c>
      <c r="L839" s="26" t="s">
        <v>351</v>
      </c>
      <c r="M839" s="26" t="s">
        <v>323</v>
      </c>
      <c r="N839" s="26">
        <v>80</v>
      </c>
      <c r="O839" s="26">
        <f>2024-Inventory[[#This Row],[YrBlt]]</f>
        <v>74</v>
      </c>
      <c r="P839" s="26">
        <f>2024-Inventory[[#This Row],[EffYr]]</f>
        <v>51</v>
      </c>
      <c r="Q839" s="25">
        <v>1950</v>
      </c>
      <c r="R839" s="25">
        <v>1973</v>
      </c>
      <c r="S839" s="25">
        <v>954</v>
      </c>
      <c r="T839" s="27"/>
      <c r="U839" s="31"/>
      <c r="V839" s="31">
        <f>Inventory[[#This Row],[Bsmt]]-Inventory[[#This Row],[FnBsmt]]</f>
        <v>0</v>
      </c>
      <c r="W839" s="31"/>
      <c r="X839" s="27"/>
      <c r="Y839" s="27">
        <f>Inventory[[#This Row],[MainFn]]+Inventory[[#This Row],[UpprFn]]+Inventory[[#This Row],[FnBsmt]]+Inventory[[#This Row],[AddFn]]</f>
        <v>954</v>
      </c>
      <c r="Z839" s="27">
        <v>1000</v>
      </c>
      <c r="AA839" s="25">
        <v>5</v>
      </c>
      <c r="AB839" s="32">
        <v>220</v>
      </c>
      <c r="AC839" s="27"/>
      <c r="AD839" s="31"/>
      <c r="AE839" s="27"/>
      <c r="AF839" s="27"/>
      <c r="AG839" s="27"/>
      <c r="AH839" s="27"/>
      <c r="AI839" s="25">
        <v>178512</v>
      </c>
      <c r="AJ839" s="25">
        <v>123173</v>
      </c>
      <c r="AK839" s="25">
        <v>0</v>
      </c>
      <c r="AL839" s="25">
        <v>260700</v>
      </c>
      <c r="AM839" s="25">
        <v>56600</v>
      </c>
      <c r="AN839" s="25">
        <v>204100</v>
      </c>
      <c r="AO839" s="25">
        <v>0</v>
      </c>
      <c r="AP839" s="25">
        <f>Lookups!$B$56*0</f>
        <v>0</v>
      </c>
      <c r="AQ839" s="25">
        <f>Lookups!$B$56*1</f>
        <v>89850.625589999996</v>
      </c>
      <c r="AR839" s="25">
        <f>Lookups!$B$57*Inventory[[#This Row],[LnAcres]]</f>
        <v>-52569.808201026557</v>
      </c>
      <c r="AS839" s="25">
        <f>VLOOKUP(Inventory[[#This Row],[Qlty]],Lookups!$A$62:$E$75,2,FALSE)</f>
        <v>21557.329055999999</v>
      </c>
      <c r="AT839" s="25">
        <f>VLOOKUP(Inventory[[#This Row],[Cnd]],Lookups!$A$76:$E$84,2,FALSE)</f>
        <v>160472.20319</v>
      </c>
      <c r="AU839" s="25">
        <f>Inventory[[#This Row],[EffAge]]*Lookups!$B$85</f>
        <v>-11375.3256255</v>
      </c>
      <c r="AV839" s="25">
        <f>Inventory[[#This Row],[MainFn]]*Lookups!$B$86</f>
        <v>47135.871062658</v>
      </c>
      <c r="AW839" s="25">
        <f>Inventory[[#This Row],[UpprFn]]*Lookups!$B$87</f>
        <v>0</v>
      </c>
      <c r="AX839" s="25">
        <f>Inventory[[#This Row],[AddFn]]*Lookups!$B$88</f>
        <v>0</v>
      </c>
      <c r="AY839" s="25">
        <f>Inventory[[#This Row],[Bsmt]]*Lookups!$B$89</f>
        <v>0</v>
      </c>
      <c r="AZ839" s="25">
        <f>Inventory[[#This Row],[Fixtures]]*Lookups!$B$90</f>
        <v>18960.110526</v>
      </c>
      <c r="BA839" s="25">
        <f>Inventory[[#This Row],[WdDeck]]*Lookups!$B$91</f>
        <v>0</v>
      </c>
      <c r="BB839" s="25">
        <f>ROUND(Inventory[[#This Row],[25Det]],-2)</f>
        <v>0</v>
      </c>
      <c r="BC839" s="25">
        <f>ROUND(SUM(Inventory[[#This Row],[Mdl Qlty]:[Mdl WdDeck]])+Inventory[[#This Row],[Mdl Res Intercept]],-2)</f>
        <v>236800</v>
      </c>
      <c r="BD839" s="25">
        <f>ROUND(Inventory[[#This Row],[Mdl Land Intercept]]+Inventory[[#This Row],[Mdl LnAcres]],-2)</f>
        <v>37300</v>
      </c>
      <c r="BE839" s="25">
        <f>Inventory[[#This Row],[Unadj Res Value]]+Inventory[[#This Row],[Unadj Det Value]]+Inventory[[#This Row],[Unadj Land Value]]</f>
        <v>274100</v>
      </c>
      <c r="BF839" s="36">
        <f>(Inventory[[#This Row],[Unadj Total Value]]-Inventory[[#This Row],[24Final]])/Inventory[[#This Row],[24Final]]</f>
        <v>5.1400076716532413E-2</v>
      </c>
      <c r="BG839" s="25">
        <f>VLOOKUP(Inventory[[#This Row],[Nbhd]],Lookups!$Q$2:$T$4,4,FALSE)</f>
        <v>0.99970000000000003</v>
      </c>
      <c r="BH839" s="25">
        <f>VLOOKUP(Inventory[[#This Row],[Qlty]],Lookups!$O$7:$R$21,4,FALSE)</f>
        <v>1.0067999999999999</v>
      </c>
      <c r="BI839" s="25">
        <f>VLOOKUP(Inventory[[#This Row],[Cnd]],Lookups!$T$7:$W$16,4,FALSE)</f>
        <v>0.99729999999999996</v>
      </c>
      <c r="BJ839" s="25">
        <f>VLOOKUP(Inventory[[#This Row],[LivArea Range]],Lookups!$T$25:$W$37,4,FALSE)</f>
        <v>1.0148999999999999</v>
      </c>
      <c r="BK839" s="25">
        <f>VLOOKUP(Inventory[[#This Row],[Decade]],Lookups!$O$25:$R$42,4,FALSE)</f>
        <v>0.995</v>
      </c>
      <c r="BL839" s="25">
        <f>Inventory[[#This Row],[Nbhd Adj]]*0.95</f>
        <v>0.94971499999999998</v>
      </c>
      <c r="BM839" s="25">
        <f>Inventory[[#This Row],[Nbhd Adj]]*Inventory[[#This Row],[Quality Adj]]*Inventory[[#This Row],[Condition Adj]]*Inventory[[#This Row],[Living Area Adj]]*Inventory[[#This Row],[Decade Adj]]*0.95</f>
        <v>0.96296090698154491</v>
      </c>
      <c r="BN839" s="25">
        <f>ROUND(SUM(Inventory[[#This Row],[Mdl Qlty]:[Mdl WdDeck]])+Inventory[[#This Row],[Mdl Res Intercept]]*Inventory[[#This Row],[Res Adj ]],-2)</f>
        <v>236800</v>
      </c>
      <c r="BO839" s="25">
        <f>ROUND(Inventory[[#This Row],[25Det]]*Inventory[[#This Row],[Det/Nbhd Adj]],-2)</f>
        <v>0</v>
      </c>
      <c r="BP839" s="25">
        <f>Inventory[[#This Row],[Adjusted Res]]+Inventory[[#This Row],[Adj Det ]]</f>
        <v>236800</v>
      </c>
      <c r="BQ839" s="25">
        <f>ROUND((Inventory[[#This Row],[Mdl Land Intercept]]+Inventory[[#This Row],[Mdl LnAcres]])*Inventory[[#This Row],[Det/Nbhd Adj]],-2)</f>
        <v>35400</v>
      </c>
      <c r="BR839" s="25">
        <f>Inventory[[#This Row],[Adjusted Impr Total]]+Inventory[[#This Row],[Adjusted Land Total]]</f>
        <v>272200</v>
      </c>
      <c r="BS839" s="36">
        <f>IFERROR((Inventory[[#This Row],[Adjusted Impr Total]]-Inventory[[#This Row],[24Bldg]])/Inventory[[#This Row],[24Bldg]],0)</f>
        <v>0.16021558059774621</v>
      </c>
      <c r="BT839" s="36">
        <f>(Inventory[[#This Row],[Adjusted Land Total]]-Inventory[[#This Row],[24Lnd]])/Inventory[[#This Row],[24Lnd]]</f>
        <v>-0.37455830388692579</v>
      </c>
      <c r="BU839" s="36">
        <f>(Inventory[[#This Row],[Adjusted Total]]-Inventory[[#This Row],[24Final]])/Inventory[[#This Row],[24Final]]</f>
        <v>4.4112006137322593E-2</v>
      </c>
    </row>
    <row r="840" spans="1:73" x14ac:dyDescent="0.3">
      <c r="A840" s="25">
        <v>2025</v>
      </c>
      <c r="B840" s="26" t="s">
        <v>770</v>
      </c>
      <c r="C840" s="26">
        <f>LN(Inventory[[#This Row],[Acres]])</f>
        <v>-1.6607312068216509</v>
      </c>
      <c r="D840" s="25">
        <v>0.19</v>
      </c>
      <c r="E840" s="25">
        <v>8289</v>
      </c>
      <c r="F840" s="26" t="s">
        <v>537</v>
      </c>
      <c r="G840" s="26" t="s">
        <v>126</v>
      </c>
      <c r="H840" s="26" t="s">
        <v>349</v>
      </c>
      <c r="I840" s="26" t="s">
        <v>538</v>
      </c>
      <c r="J840" s="26" t="s">
        <v>539</v>
      </c>
      <c r="K840" s="26" t="s">
        <v>241</v>
      </c>
      <c r="L840" s="26" t="s">
        <v>148</v>
      </c>
      <c r="M840" s="26" t="s">
        <v>323</v>
      </c>
      <c r="N840" s="26">
        <v>80</v>
      </c>
      <c r="O840" s="26">
        <f>2024-Inventory[[#This Row],[YrBlt]]</f>
        <v>74</v>
      </c>
      <c r="P840" s="26">
        <f>2024-Inventory[[#This Row],[EffYr]]</f>
        <v>51</v>
      </c>
      <c r="Q840" s="25">
        <v>1950</v>
      </c>
      <c r="R840" s="25">
        <v>1973</v>
      </c>
      <c r="S840" s="25">
        <v>1228</v>
      </c>
      <c r="T840" s="27"/>
      <c r="U840" s="25">
        <v>850</v>
      </c>
      <c r="V840" s="25">
        <f>Inventory[[#This Row],[Bsmt]]-Inventory[[#This Row],[FnBsmt]]</f>
        <v>0</v>
      </c>
      <c r="W840" s="25">
        <v>850</v>
      </c>
      <c r="X840" s="27"/>
      <c r="Y840" s="27">
        <f>Inventory[[#This Row],[MainFn]]+Inventory[[#This Row],[UpprFn]]+Inventory[[#This Row],[FnBsmt]]+Inventory[[#This Row],[AddFn]]</f>
        <v>2078</v>
      </c>
      <c r="Z840" s="27">
        <v>2500</v>
      </c>
      <c r="AA840" s="25">
        <v>7</v>
      </c>
      <c r="AB840" s="31"/>
      <c r="AC840" s="27"/>
      <c r="AD840" s="32">
        <v>168</v>
      </c>
      <c r="AE840" s="27"/>
      <c r="AF840" s="27"/>
      <c r="AG840" s="27"/>
      <c r="AH840" s="27"/>
      <c r="AI840" s="25">
        <v>389835</v>
      </c>
      <c r="AJ840" s="25">
        <v>268986</v>
      </c>
      <c r="AK840" s="25">
        <v>0</v>
      </c>
      <c r="AL840" s="25">
        <v>331600</v>
      </c>
      <c r="AM840" s="25">
        <v>56600</v>
      </c>
      <c r="AN840" s="25">
        <v>275000</v>
      </c>
      <c r="AO840" s="25">
        <v>0</v>
      </c>
      <c r="AP840" s="25">
        <f>Lookups!$B$56*0</f>
        <v>0</v>
      </c>
      <c r="AQ840" s="25">
        <f>Lookups!$B$56*1</f>
        <v>89850.625589999996</v>
      </c>
      <c r="AR840" s="25">
        <f>Lookups!$B$57*Inventory[[#This Row],[LnAcres]]</f>
        <v>-52569.808201026557</v>
      </c>
      <c r="AS840" s="25">
        <f>VLOOKUP(Inventory[[#This Row],[Qlty]],Lookups!$A$62:$E$75,2,FALSE)</f>
        <v>44121.038090000002</v>
      </c>
      <c r="AT840" s="25">
        <f>VLOOKUP(Inventory[[#This Row],[Cnd]],Lookups!$A$76:$E$84,2,FALSE)</f>
        <v>160472.20319</v>
      </c>
      <c r="AU840" s="25">
        <f>Inventory[[#This Row],[EffAge]]*Lookups!$B$85</f>
        <v>-11375.3256255</v>
      </c>
      <c r="AV840" s="25">
        <f>Inventory[[#This Row],[MainFn]]*Lookups!$B$86</f>
        <v>60673.846608956002</v>
      </c>
      <c r="AW840" s="25">
        <f>Inventory[[#This Row],[UpprFn]]*Lookups!$B$87</f>
        <v>0</v>
      </c>
      <c r="AX840" s="25">
        <f>Inventory[[#This Row],[AddFn]]*Lookups!$B$88</f>
        <v>0</v>
      </c>
      <c r="AY840" s="25">
        <f>Inventory[[#This Row],[Bsmt]]*Lookups!$B$89</f>
        <v>24719.610959949998</v>
      </c>
      <c r="AZ840" s="25">
        <f>Inventory[[#This Row],[Fixtures]]*Lookups!$B$90</f>
        <v>26544.1547364</v>
      </c>
      <c r="BA840" s="25">
        <f>Inventory[[#This Row],[WdDeck]]*Lookups!$B$91</f>
        <v>5593.646566368001</v>
      </c>
      <c r="BB840" s="25">
        <f>ROUND(Inventory[[#This Row],[25Det]],-2)</f>
        <v>0</v>
      </c>
      <c r="BC840" s="25">
        <f>ROUND(SUM(Inventory[[#This Row],[Mdl Qlty]:[Mdl WdDeck]])+Inventory[[#This Row],[Mdl Res Intercept]],-2)</f>
        <v>310700</v>
      </c>
      <c r="BD840" s="25">
        <f>ROUND(Inventory[[#This Row],[Mdl Land Intercept]]+Inventory[[#This Row],[Mdl LnAcres]],-2)</f>
        <v>37300</v>
      </c>
      <c r="BE840" s="25">
        <f>Inventory[[#This Row],[Unadj Res Value]]+Inventory[[#This Row],[Unadj Det Value]]+Inventory[[#This Row],[Unadj Land Value]]</f>
        <v>348000</v>
      </c>
      <c r="BF840" s="36">
        <f>(Inventory[[#This Row],[Unadj Total Value]]-Inventory[[#This Row],[24Final]])/Inventory[[#This Row],[24Final]]</f>
        <v>4.9457177322074788E-2</v>
      </c>
      <c r="BG840" s="25">
        <f>VLOOKUP(Inventory[[#This Row],[Nbhd]],Lookups!$Q$2:$T$4,4,FALSE)</f>
        <v>0.99970000000000003</v>
      </c>
      <c r="BH840" s="25">
        <f>VLOOKUP(Inventory[[#This Row],[Qlty]],Lookups!$O$7:$R$21,4,FALSE)</f>
        <v>0.98050000000000004</v>
      </c>
      <c r="BI840" s="25">
        <f>VLOOKUP(Inventory[[#This Row],[Cnd]],Lookups!$T$7:$W$16,4,FALSE)</f>
        <v>0.99729999999999996</v>
      </c>
      <c r="BJ840" s="25">
        <f>VLOOKUP(Inventory[[#This Row],[LivArea Range]],Lookups!$T$25:$W$37,4,FALSE)</f>
        <v>0.98919999999999997</v>
      </c>
      <c r="BK840" s="25">
        <f>VLOOKUP(Inventory[[#This Row],[Decade]],Lookups!$O$25:$R$42,4,FALSE)</f>
        <v>0.995</v>
      </c>
      <c r="BL840" s="25">
        <f>Inventory[[#This Row],[Nbhd Adj]]*0.95</f>
        <v>0.94971499999999998</v>
      </c>
      <c r="BM840" s="25">
        <f>Inventory[[#This Row],[Nbhd Adj]]*Inventory[[#This Row],[Quality Adj]]*Inventory[[#This Row],[Condition Adj]]*Inventory[[#This Row],[Living Area Adj]]*Inventory[[#This Row],[Decade Adj]]*0.95</f>
        <v>0.91405831328052556</v>
      </c>
      <c r="BN840" s="25">
        <f>ROUND(SUM(Inventory[[#This Row],[Mdl Qlty]:[Mdl WdDeck]])+Inventory[[#This Row],[Mdl Res Intercept]]*Inventory[[#This Row],[Res Adj ]],-2)</f>
        <v>310700</v>
      </c>
      <c r="BO840" s="25">
        <f>ROUND(Inventory[[#This Row],[25Det]]*Inventory[[#This Row],[Det/Nbhd Adj]],-2)</f>
        <v>0</v>
      </c>
      <c r="BP840" s="25">
        <f>Inventory[[#This Row],[Adjusted Res]]+Inventory[[#This Row],[Adj Det ]]</f>
        <v>310700</v>
      </c>
      <c r="BQ840" s="25">
        <f>ROUND((Inventory[[#This Row],[Mdl Land Intercept]]+Inventory[[#This Row],[Mdl LnAcres]])*Inventory[[#This Row],[Det/Nbhd Adj]],-2)</f>
        <v>35400</v>
      </c>
      <c r="BR840" s="25">
        <f>Inventory[[#This Row],[Adjusted Impr Total]]+Inventory[[#This Row],[Adjusted Land Total]]</f>
        <v>346100</v>
      </c>
      <c r="BS840" s="36">
        <f>IFERROR((Inventory[[#This Row],[Adjusted Impr Total]]-Inventory[[#This Row],[24Bldg]])/Inventory[[#This Row],[24Bldg]],0)</f>
        <v>0.1298181818181818</v>
      </c>
      <c r="BT840" s="36">
        <f>(Inventory[[#This Row],[Adjusted Land Total]]-Inventory[[#This Row],[24Lnd]])/Inventory[[#This Row],[24Lnd]]</f>
        <v>-0.37455830388692579</v>
      </c>
      <c r="BU840" s="36">
        <f>(Inventory[[#This Row],[Adjusted Total]]-Inventory[[#This Row],[24Final]])/Inventory[[#This Row],[24Final]]</f>
        <v>4.3727382388419785E-2</v>
      </c>
    </row>
    <row r="841" spans="1:73" x14ac:dyDescent="0.3">
      <c r="A841" s="25">
        <v>2025</v>
      </c>
      <c r="B841" s="26" t="s">
        <v>960</v>
      </c>
      <c r="C841" s="26">
        <f>LN(Inventory[[#This Row],[Acres]])</f>
        <v>-1.7147984280919266</v>
      </c>
      <c r="D841" s="25">
        <v>0.18</v>
      </c>
      <c r="E841" s="25">
        <v>7746</v>
      </c>
      <c r="F841" s="26" t="s">
        <v>537</v>
      </c>
      <c r="G841" s="26" t="s">
        <v>126</v>
      </c>
      <c r="H841" s="26" t="s">
        <v>349</v>
      </c>
      <c r="I841" s="26" t="s">
        <v>538</v>
      </c>
      <c r="J841" s="26" t="s">
        <v>539</v>
      </c>
      <c r="K841" s="26" t="s">
        <v>241</v>
      </c>
      <c r="L841" s="26" t="s">
        <v>148</v>
      </c>
      <c r="M841" s="26" t="s">
        <v>323</v>
      </c>
      <c r="N841" s="26">
        <v>80</v>
      </c>
      <c r="O841" s="26">
        <f>2024-Inventory[[#This Row],[YrBlt]]</f>
        <v>74</v>
      </c>
      <c r="P841" s="26">
        <f>2024-Inventory[[#This Row],[EffYr]]</f>
        <v>51</v>
      </c>
      <c r="Q841" s="25">
        <v>1950</v>
      </c>
      <c r="R841" s="25">
        <v>1973</v>
      </c>
      <c r="S841" s="25">
        <v>1613</v>
      </c>
      <c r="T841" s="27"/>
      <c r="U841" s="31"/>
      <c r="V841" s="27">
        <f>Inventory[[#This Row],[Bsmt]]-Inventory[[#This Row],[FnBsmt]]</f>
        <v>0</v>
      </c>
      <c r="W841" s="27"/>
      <c r="X841" s="27"/>
      <c r="Y841" s="27">
        <f>Inventory[[#This Row],[MainFn]]+Inventory[[#This Row],[UpprFn]]+Inventory[[#This Row],[FnBsmt]]+Inventory[[#This Row],[AddFn]]</f>
        <v>1613</v>
      </c>
      <c r="Z841" s="27">
        <v>2000</v>
      </c>
      <c r="AA841" s="25">
        <v>9</v>
      </c>
      <c r="AB841" s="27"/>
      <c r="AC841" s="27"/>
      <c r="AD841" s="27"/>
      <c r="AE841" s="27"/>
      <c r="AF841" s="27"/>
      <c r="AG841" s="27"/>
      <c r="AH841" s="27"/>
      <c r="AI841" s="25">
        <v>376629</v>
      </c>
      <c r="AJ841" s="25">
        <v>259874</v>
      </c>
      <c r="AK841" s="25">
        <v>7472</v>
      </c>
      <c r="AL841" s="25">
        <v>333500</v>
      </c>
      <c r="AM841" s="25">
        <v>54700</v>
      </c>
      <c r="AN841" s="25">
        <v>278800</v>
      </c>
      <c r="AO841" s="25">
        <v>0</v>
      </c>
      <c r="AP841" s="25">
        <f>Lookups!$B$56*0</f>
        <v>0</v>
      </c>
      <c r="AQ841" s="25">
        <f>Lookups!$B$56*1</f>
        <v>89850.625589999996</v>
      </c>
      <c r="AR841" s="25">
        <f>Lookups!$B$57*Inventory[[#This Row],[LnAcres]]</f>
        <v>-54281.285314520763</v>
      </c>
      <c r="AS841" s="25">
        <f>VLOOKUP(Inventory[[#This Row],[Qlty]],Lookups!$A$62:$E$75,2,FALSE)</f>
        <v>44121.038090000002</v>
      </c>
      <c r="AT841" s="25">
        <f>VLOOKUP(Inventory[[#This Row],[Cnd]],Lookups!$A$76:$E$84,2,FALSE)</f>
        <v>160472.20319</v>
      </c>
      <c r="AU841" s="25">
        <f>Inventory[[#This Row],[EffAge]]*Lookups!$B$85</f>
        <v>-11375.3256255</v>
      </c>
      <c r="AV841" s="25">
        <f>Inventory[[#This Row],[MainFn]]*Lookups!$B$86</f>
        <v>79696.184511601008</v>
      </c>
      <c r="AW841" s="25">
        <f>Inventory[[#This Row],[UpprFn]]*Lookups!$B$87</f>
        <v>0</v>
      </c>
      <c r="AX841" s="25">
        <f>Inventory[[#This Row],[AddFn]]*Lookups!$B$88</f>
        <v>0</v>
      </c>
      <c r="AY841" s="25">
        <f>Inventory[[#This Row],[Bsmt]]*Lookups!$B$89</f>
        <v>0</v>
      </c>
      <c r="AZ841" s="25">
        <f>Inventory[[#This Row],[Fixtures]]*Lookups!$B$90</f>
        <v>34128.198946800003</v>
      </c>
      <c r="BA841" s="25">
        <f>Inventory[[#This Row],[WdDeck]]*Lookups!$B$91</f>
        <v>0</v>
      </c>
      <c r="BB841" s="25">
        <f>ROUND(Inventory[[#This Row],[25Det]],-2)</f>
        <v>7500</v>
      </c>
      <c r="BC841" s="25">
        <f>ROUND(SUM(Inventory[[#This Row],[Mdl Qlty]:[Mdl WdDeck]])+Inventory[[#This Row],[Mdl Res Intercept]],-2)</f>
        <v>307000</v>
      </c>
      <c r="BD841" s="25">
        <f>ROUND(Inventory[[#This Row],[Mdl Land Intercept]]+Inventory[[#This Row],[Mdl LnAcres]],-2)</f>
        <v>35600</v>
      </c>
      <c r="BE841" s="25">
        <f>Inventory[[#This Row],[Unadj Res Value]]+Inventory[[#This Row],[Unadj Det Value]]+Inventory[[#This Row],[Unadj Land Value]]</f>
        <v>350100</v>
      </c>
      <c r="BF841" s="36">
        <f>(Inventory[[#This Row],[Unadj Total Value]]-Inventory[[#This Row],[24Final]])/Inventory[[#This Row],[24Final]]</f>
        <v>4.9775112443778108E-2</v>
      </c>
      <c r="BG841" s="25">
        <f>VLOOKUP(Inventory[[#This Row],[Nbhd]],Lookups!$Q$2:$T$4,4,FALSE)</f>
        <v>0.99970000000000003</v>
      </c>
      <c r="BH841" s="25">
        <f>VLOOKUP(Inventory[[#This Row],[Qlty]],Lookups!$O$7:$R$21,4,FALSE)</f>
        <v>0.98050000000000004</v>
      </c>
      <c r="BI841" s="25">
        <f>VLOOKUP(Inventory[[#This Row],[Cnd]],Lookups!$T$7:$W$16,4,FALSE)</f>
        <v>0.99729999999999996</v>
      </c>
      <c r="BJ841" s="25">
        <f>VLOOKUP(Inventory[[#This Row],[LivArea Range]],Lookups!$T$25:$W$37,4,FALSE)</f>
        <v>1.0093000000000001</v>
      </c>
      <c r="BK841" s="25">
        <f>VLOOKUP(Inventory[[#This Row],[Decade]],Lookups!$O$25:$R$42,4,FALSE)</f>
        <v>0.995</v>
      </c>
      <c r="BL841" s="25">
        <f>Inventory[[#This Row],[Nbhd Adj]]*0.95</f>
        <v>0.94971499999999998</v>
      </c>
      <c r="BM841" s="25">
        <f>Inventory[[#This Row],[Nbhd Adj]]*Inventory[[#This Row],[Quality Adj]]*Inventory[[#This Row],[Condition Adj]]*Inventory[[#This Row],[Living Area Adj]]*Inventory[[#This Row],[Decade Adj]]*0.95</f>
        <v>0.93263147552975589</v>
      </c>
      <c r="BN841" s="25">
        <f>ROUND(SUM(Inventory[[#This Row],[Mdl Qlty]:[Mdl WdDeck]])+Inventory[[#This Row],[Mdl Res Intercept]]*Inventory[[#This Row],[Res Adj ]],-2)</f>
        <v>307000</v>
      </c>
      <c r="BO841" s="25">
        <f>ROUND(Inventory[[#This Row],[25Det]]*Inventory[[#This Row],[Det/Nbhd Adj]],-2)</f>
        <v>7100</v>
      </c>
      <c r="BP841" s="25">
        <f>Inventory[[#This Row],[Adjusted Res]]+Inventory[[#This Row],[Adj Det ]]</f>
        <v>314100</v>
      </c>
      <c r="BQ841" s="25">
        <f>ROUND((Inventory[[#This Row],[Mdl Land Intercept]]+Inventory[[#This Row],[Mdl LnAcres]])*Inventory[[#This Row],[Det/Nbhd Adj]],-2)</f>
        <v>33800</v>
      </c>
      <c r="BR841" s="25">
        <f>Inventory[[#This Row],[Adjusted Impr Total]]+Inventory[[#This Row],[Adjusted Land Total]]</f>
        <v>347900</v>
      </c>
      <c r="BS841" s="36">
        <f>IFERROR((Inventory[[#This Row],[Adjusted Impr Total]]-Inventory[[#This Row],[24Bldg]])/Inventory[[#This Row],[24Bldg]],0)</f>
        <v>0.12661406025824964</v>
      </c>
      <c r="BT841" s="36">
        <f>(Inventory[[#This Row],[Adjusted Land Total]]-Inventory[[#This Row],[24Lnd]])/Inventory[[#This Row],[24Lnd]]</f>
        <v>-0.38208409506398539</v>
      </c>
      <c r="BU841" s="36">
        <f>(Inventory[[#This Row],[Adjusted Total]]-Inventory[[#This Row],[24Final]])/Inventory[[#This Row],[24Final]]</f>
        <v>4.3178410794602697E-2</v>
      </c>
    </row>
    <row r="842" spans="1:73" x14ac:dyDescent="0.3">
      <c r="A842" s="25">
        <v>2025</v>
      </c>
      <c r="B842" s="26" t="s">
        <v>1418</v>
      </c>
      <c r="C842" s="26">
        <f>LN(Inventory[[#This Row],[Acres]])</f>
        <v>-2.2072749131897207</v>
      </c>
      <c r="D842" s="25">
        <v>0.11</v>
      </c>
      <c r="E842" s="25">
        <v>4732</v>
      </c>
      <c r="F842" s="26" t="s">
        <v>537</v>
      </c>
      <c r="G842" s="26" t="s">
        <v>126</v>
      </c>
      <c r="H842" s="26" t="s">
        <v>349</v>
      </c>
      <c r="I842" s="26" t="s">
        <v>538</v>
      </c>
      <c r="J842" s="26" t="s">
        <v>638</v>
      </c>
      <c r="K842" s="26" t="s">
        <v>173</v>
      </c>
      <c r="L842" s="26" t="s">
        <v>351</v>
      </c>
      <c r="M842" s="26" t="s">
        <v>323</v>
      </c>
      <c r="N842" s="26">
        <v>80</v>
      </c>
      <c r="O842" s="26">
        <f>2024-Inventory[[#This Row],[YrBlt]]</f>
        <v>74</v>
      </c>
      <c r="P842" s="26">
        <f>2024-Inventory[[#This Row],[EffYr]]</f>
        <v>51</v>
      </c>
      <c r="Q842" s="25">
        <v>1950</v>
      </c>
      <c r="R842" s="25">
        <v>1973</v>
      </c>
      <c r="S842" s="25">
        <v>910</v>
      </c>
      <c r="T842" s="32">
        <v>455</v>
      </c>
      <c r="U842" s="25">
        <v>910</v>
      </c>
      <c r="V842" s="25">
        <f>Inventory[[#This Row],[Bsmt]]-Inventory[[#This Row],[FnBsmt]]</f>
        <v>210</v>
      </c>
      <c r="W842" s="25">
        <v>700</v>
      </c>
      <c r="X842" s="27"/>
      <c r="Y842" s="27">
        <f>Inventory[[#This Row],[MainFn]]+Inventory[[#This Row],[UpprFn]]+Inventory[[#This Row],[FnBsmt]]+Inventory[[#This Row],[AddFn]]</f>
        <v>2065</v>
      </c>
      <c r="Z842" s="27">
        <v>2500</v>
      </c>
      <c r="AA842" s="25">
        <v>8</v>
      </c>
      <c r="AB842" s="31"/>
      <c r="AC842" s="27"/>
      <c r="AD842" s="27"/>
      <c r="AE842" s="27"/>
      <c r="AF842" s="27"/>
      <c r="AG842" s="27"/>
      <c r="AH842" s="27"/>
      <c r="AI842" s="25">
        <v>272783</v>
      </c>
      <c r="AJ842" s="25">
        <v>188220</v>
      </c>
      <c r="AK842" s="25">
        <v>18574</v>
      </c>
      <c r="AL842" s="25">
        <v>315800</v>
      </c>
      <c r="AM842" s="25">
        <v>37600</v>
      </c>
      <c r="AN842" s="25">
        <v>278200</v>
      </c>
      <c r="AO842" s="25">
        <v>0</v>
      </c>
      <c r="AP842" s="25">
        <f>Lookups!$B$56*0</f>
        <v>0</v>
      </c>
      <c r="AQ842" s="25">
        <f>Lookups!$B$56*1</f>
        <v>89850.625589999996</v>
      </c>
      <c r="AR842" s="25">
        <f>Lookups!$B$57*Inventory[[#This Row],[LnAcres]]</f>
        <v>-69870.439211769743</v>
      </c>
      <c r="AS842" s="25">
        <f>VLOOKUP(Inventory[[#This Row],[Qlty]],Lookups!$A$62:$E$75,2,FALSE)</f>
        <v>21557.329055999999</v>
      </c>
      <c r="AT842" s="25">
        <f>VLOOKUP(Inventory[[#This Row],[Cnd]],Lookups!$A$76:$E$84,2,FALSE)</f>
        <v>160472.20319</v>
      </c>
      <c r="AU842" s="25">
        <f>Inventory[[#This Row],[EffAge]]*Lookups!$B$85</f>
        <v>-11375.3256255</v>
      </c>
      <c r="AV842" s="25">
        <f>Inventory[[#This Row],[MainFn]]*Lookups!$B$86</f>
        <v>44961.88958807</v>
      </c>
      <c r="AW842" s="25">
        <f>Inventory[[#This Row],[UpprFn]]*Lookups!$B$87</f>
        <v>20377.822401754998</v>
      </c>
      <c r="AX842" s="25">
        <f>Inventory[[#This Row],[AddFn]]*Lookups!$B$88</f>
        <v>0</v>
      </c>
      <c r="AY842" s="25">
        <f>Inventory[[#This Row],[Bsmt]]*Lookups!$B$89</f>
        <v>26464.52467477</v>
      </c>
      <c r="AZ842" s="25">
        <f>Inventory[[#This Row],[Fixtures]]*Lookups!$B$90</f>
        <v>30336.176841600001</v>
      </c>
      <c r="BA842" s="25">
        <f>Inventory[[#This Row],[WdDeck]]*Lookups!$B$91</f>
        <v>0</v>
      </c>
      <c r="BB842" s="25">
        <f>ROUND(Inventory[[#This Row],[25Det]],-2)</f>
        <v>18600</v>
      </c>
      <c r="BC842" s="25">
        <f>ROUND(SUM(Inventory[[#This Row],[Mdl Qlty]:[Mdl WdDeck]])+Inventory[[#This Row],[Mdl Res Intercept]],-2)</f>
        <v>292800</v>
      </c>
      <c r="BD842" s="25">
        <f>ROUND(Inventory[[#This Row],[Mdl Land Intercept]]+Inventory[[#This Row],[Mdl LnAcres]],-2)</f>
        <v>20000</v>
      </c>
      <c r="BE842" s="25">
        <f>Inventory[[#This Row],[Unadj Res Value]]+Inventory[[#This Row],[Unadj Det Value]]+Inventory[[#This Row],[Unadj Land Value]]</f>
        <v>331400</v>
      </c>
      <c r="BF842" s="36">
        <f>(Inventory[[#This Row],[Unadj Total Value]]-Inventory[[#This Row],[24Final]])/Inventory[[#This Row],[24Final]]</f>
        <v>4.9398353388220392E-2</v>
      </c>
      <c r="BG842" s="25">
        <f>VLOOKUP(Inventory[[#This Row],[Nbhd]],Lookups!$Q$2:$T$4,4,FALSE)</f>
        <v>0.99970000000000003</v>
      </c>
      <c r="BH842" s="25">
        <f>VLOOKUP(Inventory[[#This Row],[Qlty]],Lookups!$O$7:$R$21,4,FALSE)</f>
        <v>1.0067999999999999</v>
      </c>
      <c r="BI842" s="25">
        <f>VLOOKUP(Inventory[[#This Row],[Cnd]],Lookups!$T$7:$W$16,4,FALSE)</f>
        <v>0.99729999999999996</v>
      </c>
      <c r="BJ842" s="25">
        <f>VLOOKUP(Inventory[[#This Row],[LivArea Range]],Lookups!$T$25:$W$37,4,FALSE)</f>
        <v>0.98919999999999997</v>
      </c>
      <c r="BK842" s="25">
        <f>VLOOKUP(Inventory[[#This Row],[Decade]],Lookups!$O$25:$R$42,4,FALSE)</f>
        <v>0.995</v>
      </c>
      <c r="BL842" s="25">
        <f>Inventory[[#This Row],[Nbhd Adj]]*0.95</f>
        <v>0.94971499999999998</v>
      </c>
      <c r="BM842" s="25">
        <f>Inventory[[#This Row],[Nbhd Adj]]*Inventory[[#This Row],[Quality Adj]]*Inventory[[#This Row],[Condition Adj]]*Inventory[[#This Row],[Living Area Adj]]*Inventory[[#This Row],[Decade Adj]]*0.95</f>
        <v>0.93857614463114025</v>
      </c>
      <c r="BN842" s="25">
        <f>ROUND(SUM(Inventory[[#This Row],[Mdl Qlty]:[Mdl WdDeck]])+Inventory[[#This Row],[Mdl Res Intercept]]*Inventory[[#This Row],[Res Adj ]],-2)</f>
        <v>292800</v>
      </c>
      <c r="BO842" s="25">
        <f>ROUND(Inventory[[#This Row],[25Det]]*Inventory[[#This Row],[Det/Nbhd Adj]],-2)</f>
        <v>17600</v>
      </c>
      <c r="BP842" s="25">
        <f>Inventory[[#This Row],[Adjusted Res]]+Inventory[[#This Row],[Adj Det ]]</f>
        <v>310400</v>
      </c>
      <c r="BQ842" s="25">
        <f>ROUND((Inventory[[#This Row],[Mdl Land Intercept]]+Inventory[[#This Row],[Mdl LnAcres]])*Inventory[[#This Row],[Det/Nbhd Adj]],-2)</f>
        <v>19000</v>
      </c>
      <c r="BR842" s="25">
        <f>Inventory[[#This Row],[Adjusted Impr Total]]+Inventory[[#This Row],[Adjusted Land Total]]</f>
        <v>329400</v>
      </c>
      <c r="BS842" s="36">
        <f>IFERROR((Inventory[[#This Row],[Adjusted Impr Total]]-Inventory[[#This Row],[24Bldg]])/Inventory[[#This Row],[24Bldg]],0)</f>
        <v>0.11574406901509705</v>
      </c>
      <c r="BT842" s="36">
        <f>(Inventory[[#This Row],[Adjusted Land Total]]-Inventory[[#This Row],[24Lnd]])/Inventory[[#This Row],[24Lnd]]</f>
        <v>-0.49468085106382981</v>
      </c>
      <c r="BU842" s="36">
        <f>(Inventory[[#This Row],[Adjusted Total]]-Inventory[[#This Row],[24Final]])/Inventory[[#This Row],[24Final]]</f>
        <v>4.3065231158961367E-2</v>
      </c>
    </row>
    <row r="843" spans="1:73" x14ac:dyDescent="0.3">
      <c r="A843" s="25">
        <v>2025</v>
      </c>
      <c r="B843" s="26" t="s">
        <v>1961</v>
      </c>
      <c r="C843" s="26">
        <f>LN(Inventory[[#This Row],[Acres]])</f>
        <v>-1.4696759700589417</v>
      </c>
      <c r="D843" s="25">
        <v>0.23</v>
      </c>
      <c r="E843" s="31"/>
      <c r="F843" s="26" t="s">
        <v>537</v>
      </c>
      <c r="G843" s="26" t="s">
        <v>126</v>
      </c>
      <c r="H843" s="26" t="s">
        <v>349</v>
      </c>
      <c r="I843" s="26" t="s">
        <v>538</v>
      </c>
      <c r="J843" s="26" t="s">
        <v>539</v>
      </c>
      <c r="K843" s="26" t="s">
        <v>241</v>
      </c>
      <c r="L843" s="26" t="s">
        <v>148</v>
      </c>
      <c r="M843" s="26" t="s">
        <v>323</v>
      </c>
      <c r="N843" s="26">
        <v>80</v>
      </c>
      <c r="O843" s="26">
        <f>2024-Inventory[[#This Row],[YrBlt]]</f>
        <v>74</v>
      </c>
      <c r="P843" s="26">
        <f>2024-Inventory[[#This Row],[EffYr]]</f>
        <v>51</v>
      </c>
      <c r="Q843" s="25">
        <v>1950</v>
      </c>
      <c r="R843" s="25">
        <v>1973</v>
      </c>
      <c r="S843" s="25">
        <v>1169</v>
      </c>
      <c r="T843" s="27"/>
      <c r="U843" s="25">
        <v>1169</v>
      </c>
      <c r="V843" s="25">
        <f>Inventory[[#This Row],[Bsmt]]-Inventory[[#This Row],[FnBsmt]]</f>
        <v>713</v>
      </c>
      <c r="W843" s="25">
        <v>456</v>
      </c>
      <c r="X843" s="27"/>
      <c r="Y843" s="27">
        <f>Inventory[[#This Row],[MainFn]]+Inventory[[#This Row],[UpprFn]]+Inventory[[#This Row],[FnBsmt]]+Inventory[[#This Row],[AddFn]]</f>
        <v>1625</v>
      </c>
      <c r="Z843" s="27">
        <v>2000</v>
      </c>
      <c r="AA843" s="25">
        <v>5</v>
      </c>
      <c r="AB843" s="32">
        <v>288</v>
      </c>
      <c r="AC843" s="27"/>
      <c r="AD843" s="31"/>
      <c r="AE843" s="27"/>
      <c r="AF843" s="27"/>
      <c r="AG843" s="27"/>
      <c r="AH843" s="27"/>
      <c r="AI843" s="25">
        <v>378675</v>
      </c>
      <c r="AJ843" s="25">
        <v>261286</v>
      </c>
      <c r="AK843" s="25">
        <v>0</v>
      </c>
      <c r="AL843" s="25">
        <v>330900</v>
      </c>
      <c r="AM843" s="25">
        <v>63300</v>
      </c>
      <c r="AN843" s="25">
        <v>267600</v>
      </c>
      <c r="AO843" s="25">
        <v>0</v>
      </c>
      <c r="AP843" s="25">
        <f>Lookups!$B$56*0</f>
        <v>0</v>
      </c>
      <c r="AQ843" s="25">
        <f>Lookups!$B$56*1</f>
        <v>89850.625589999996</v>
      </c>
      <c r="AR843" s="25">
        <f>Lookups!$B$57*Inventory[[#This Row],[LnAcres]]</f>
        <v>-46522.028095997222</v>
      </c>
      <c r="AS843" s="25">
        <f>VLOOKUP(Inventory[[#This Row],[Qlty]],Lookups!$A$62:$E$75,2,FALSE)</f>
        <v>44121.038090000002</v>
      </c>
      <c r="AT843" s="25">
        <f>VLOOKUP(Inventory[[#This Row],[Cnd]],Lookups!$A$76:$E$84,2,FALSE)</f>
        <v>160472.20319</v>
      </c>
      <c r="AU843" s="25">
        <f>Inventory[[#This Row],[EffAge]]*Lookups!$B$85</f>
        <v>-11375.3256255</v>
      </c>
      <c r="AV843" s="25">
        <f>Inventory[[#This Row],[MainFn]]*Lookups!$B$86</f>
        <v>57758.735086213004</v>
      </c>
      <c r="AW843" s="25">
        <f>Inventory[[#This Row],[UpprFn]]*Lookups!$B$87</f>
        <v>0</v>
      </c>
      <c r="AX843" s="25">
        <f>Inventory[[#This Row],[AddFn]]*Lookups!$B$88</f>
        <v>0</v>
      </c>
      <c r="AY843" s="25">
        <f>Inventory[[#This Row],[Bsmt]]*Lookups!$B$89</f>
        <v>33996.735543743001</v>
      </c>
      <c r="AZ843" s="25">
        <f>Inventory[[#This Row],[Fixtures]]*Lookups!$B$90</f>
        <v>18960.110526</v>
      </c>
      <c r="BA843" s="25">
        <f>Inventory[[#This Row],[WdDeck]]*Lookups!$B$91</f>
        <v>0</v>
      </c>
      <c r="BB843" s="25">
        <f>ROUND(Inventory[[#This Row],[25Det]],-2)</f>
        <v>0</v>
      </c>
      <c r="BC843" s="25">
        <f>ROUND(SUM(Inventory[[#This Row],[Mdl Qlty]:[Mdl WdDeck]])+Inventory[[#This Row],[Mdl Res Intercept]],-2)</f>
        <v>303900</v>
      </c>
      <c r="BD843" s="25">
        <f>ROUND(Inventory[[#This Row],[Mdl Land Intercept]]+Inventory[[#This Row],[Mdl LnAcres]],-2)</f>
        <v>43300</v>
      </c>
      <c r="BE843" s="25">
        <f>Inventory[[#This Row],[Unadj Res Value]]+Inventory[[#This Row],[Unadj Det Value]]+Inventory[[#This Row],[Unadj Land Value]]</f>
        <v>347200</v>
      </c>
      <c r="BF843" s="36">
        <f>(Inventory[[#This Row],[Unadj Total Value]]-Inventory[[#This Row],[24Final]])/Inventory[[#This Row],[24Final]]</f>
        <v>4.9259595043819888E-2</v>
      </c>
      <c r="BG843" s="25">
        <f>VLOOKUP(Inventory[[#This Row],[Nbhd]],Lookups!$Q$2:$T$4,4,FALSE)</f>
        <v>0.99970000000000003</v>
      </c>
      <c r="BH843" s="25">
        <f>VLOOKUP(Inventory[[#This Row],[Qlty]],Lookups!$O$7:$R$21,4,FALSE)</f>
        <v>0.98050000000000004</v>
      </c>
      <c r="BI843" s="25">
        <f>VLOOKUP(Inventory[[#This Row],[Cnd]],Lookups!$T$7:$W$16,4,FALSE)</f>
        <v>0.99729999999999996</v>
      </c>
      <c r="BJ843" s="25">
        <f>VLOOKUP(Inventory[[#This Row],[LivArea Range]],Lookups!$T$25:$W$37,4,FALSE)</f>
        <v>1.0093000000000001</v>
      </c>
      <c r="BK843" s="25">
        <f>VLOOKUP(Inventory[[#This Row],[Decade]],Lookups!$O$25:$R$42,4,FALSE)</f>
        <v>0.995</v>
      </c>
      <c r="BL843" s="25">
        <f>Inventory[[#This Row],[Nbhd Adj]]*0.95</f>
        <v>0.94971499999999998</v>
      </c>
      <c r="BM843" s="25">
        <f>Inventory[[#This Row],[Nbhd Adj]]*Inventory[[#This Row],[Quality Adj]]*Inventory[[#This Row],[Condition Adj]]*Inventory[[#This Row],[Living Area Adj]]*Inventory[[#This Row],[Decade Adj]]*0.95</f>
        <v>0.93263147552975589</v>
      </c>
      <c r="BN843" s="25">
        <f>ROUND(SUM(Inventory[[#This Row],[Mdl Qlty]:[Mdl WdDeck]])+Inventory[[#This Row],[Mdl Res Intercept]]*Inventory[[#This Row],[Res Adj ]],-2)</f>
        <v>303900</v>
      </c>
      <c r="BO843" s="25">
        <f>ROUND(Inventory[[#This Row],[25Det]]*Inventory[[#This Row],[Det/Nbhd Adj]],-2)</f>
        <v>0</v>
      </c>
      <c r="BP843" s="25">
        <f>Inventory[[#This Row],[Adjusted Res]]+Inventory[[#This Row],[Adj Det ]]</f>
        <v>303900</v>
      </c>
      <c r="BQ843" s="25">
        <f>ROUND((Inventory[[#This Row],[Mdl Land Intercept]]+Inventory[[#This Row],[Mdl LnAcres]])*Inventory[[#This Row],[Det/Nbhd Adj]],-2)</f>
        <v>41100</v>
      </c>
      <c r="BR843" s="25">
        <f>Inventory[[#This Row],[Adjusted Impr Total]]+Inventory[[#This Row],[Adjusted Land Total]]</f>
        <v>345000</v>
      </c>
      <c r="BS843" s="36">
        <f>IFERROR((Inventory[[#This Row],[Adjusted Impr Total]]-Inventory[[#This Row],[24Bldg]])/Inventory[[#This Row],[24Bldg]],0)</f>
        <v>0.13565022421524664</v>
      </c>
      <c r="BT843" s="36">
        <f>(Inventory[[#This Row],[Adjusted Land Total]]-Inventory[[#This Row],[24Lnd]])/Inventory[[#This Row],[24Lnd]]</f>
        <v>-0.35071090047393366</v>
      </c>
      <c r="BU843" s="36">
        <f>(Inventory[[#This Row],[Adjusted Total]]-Inventory[[#This Row],[24Final]])/Inventory[[#This Row],[24Final]]</f>
        <v>4.2611060743427021E-2</v>
      </c>
    </row>
    <row r="844" spans="1:73" x14ac:dyDescent="0.3">
      <c r="A844" s="25">
        <v>2025</v>
      </c>
      <c r="B844" s="26" t="s">
        <v>772</v>
      </c>
      <c r="C844" s="26">
        <f>LN(Inventory[[#This Row],[Acres]])</f>
        <v>-1.6094379124341003</v>
      </c>
      <c r="D844" s="25">
        <v>0.2</v>
      </c>
      <c r="E844" s="32">
        <v>8534</v>
      </c>
      <c r="F844" s="26" t="s">
        <v>537</v>
      </c>
      <c r="G844" s="26" t="s">
        <v>126</v>
      </c>
      <c r="H844" s="26" t="s">
        <v>349</v>
      </c>
      <c r="I844" s="26" t="s">
        <v>538</v>
      </c>
      <c r="J844" s="26" t="s">
        <v>539</v>
      </c>
      <c r="K844" s="26" t="s">
        <v>242</v>
      </c>
      <c r="L844" s="26" t="s">
        <v>351</v>
      </c>
      <c r="M844" s="26" t="s">
        <v>303</v>
      </c>
      <c r="N844" s="26">
        <v>80</v>
      </c>
      <c r="O844" s="26">
        <f>2024-Inventory[[#This Row],[YrBlt]]</f>
        <v>74</v>
      </c>
      <c r="P844" s="26">
        <f>2024-Inventory[[#This Row],[EffYr]]</f>
        <v>51</v>
      </c>
      <c r="Q844" s="25">
        <v>1950</v>
      </c>
      <c r="R844" s="25">
        <v>1973</v>
      </c>
      <c r="S844" s="25">
        <v>1786</v>
      </c>
      <c r="T844" s="31"/>
      <c r="U844" s="25">
        <v>978</v>
      </c>
      <c r="V844" s="25">
        <f>Inventory[[#This Row],[Bsmt]]-Inventory[[#This Row],[FnBsmt]]</f>
        <v>0</v>
      </c>
      <c r="W844" s="25">
        <v>978</v>
      </c>
      <c r="X844" s="27"/>
      <c r="Y844" s="27">
        <f>Inventory[[#This Row],[MainFn]]+Inventory[[#This Row],[UpprFn]]+Inventory[[#This Row],[FnBsmt]]+Inventory[[#This Row],[AddFn]]</f>
        <v>2764</v>
      </c>
      <c r="Z844" s="27">
        <v>3000</v>
      </c>
      <c r="AA844" s="25">
        <v>8</v>
      </c>
      <c r="AB844" s="27"/>
      <c r="AC844" s="27"/>
      <c r="AD844" s="27"/>
      <c r="AE844" s="27"/>
      <c r="AF844" s="27"/>
      <c r="AG844" s="27"/>
      <c r="AH844" s="27"/>
      <c r="AI844" s="25">
        <v>358506</v>
      </c>
      <c r="AJ844" s="25">
        <v>254539</v>
      </c>
      <c r="AK844" s="25">
        <v>21956</v>
      </c>
      <c r="AL844" s="25">
        <v>396000</v>
      </c>
      <c r="AM844" s="25">
        <v>58400</v>
      </c>
      <c r="AN844" s="25">
        <v>337600</v>
      </c>
      <c r="AO844" s="25">
        <v>0</v>
      </c>
      <c r="AP844" s="25">
        <f>Lookups!$B$56*0</f>
        <v>0</v>
      </c>
      <c r="AQ844" s="25">
        <f>Lookups!$B$56*1</f>
        <v>89850.625589999996</v>
      </c>
      <c r="AR844" s="25">
        <f>Lookups!$B$57*Inventory[[#This Row],[LnAcres]]</f>
        <v>-50946.13867709865</v>
      </c>
      <c r="AS844" s="25">
        <f>VLOOKUP(Inventory[[#This Row],[Qlty]],Lookups!$A$62:$E$75,2,FALSE)</f>
        <v>21557.329055999999</v>
      </c>
      <c r="AT844" s="25">
        <f>VLOOKUP(Inventory[[#This Row],[Cnd]],Lookups!$A$76:$E$84,2,FALSE)</f>
        <v>197752.34721000001</v>
      </c>
      <c r="AU844" s="25">
        <f>Inventory[[#This Row],[EffAge]]*Lookups!$B$85</f>
        <v>-11375.3256255</v>
      </c>
      <c r="AV844" s="25">
        <f>Inventory[[#This Row],[MainFn]]*Lookups!$B$86</f>
        <v>88243.884400322</v>
      </c>
      <c r="AW844" s="25">
        <f>Inventory[[#This Row],[UpprFn]]*Lookups!$B$87</f>
        <v>0</v>
      </c>
      <c r="AX844" s="25">
        <f>Inventory[[#This Row],[AddFn]]*Lookups!$B$88</f>
        <v>0</v>
      </c>
      <c r="AY844" s="25">
        <f>Inventory[[#This Row],[Bsmt]]*Lookups!$B$89</f>
        <v>28442.093551565998</v>
      </c>
      <c r="AZ844" s="25">
        <f>Inventory[[#This Row],[Fixtures]]*Lookups!$B$90</f>
        <v>30336.176841600001</v>
      </c>
      <c r="BA844" s="25">
        <f>Inventory[[#This Row],[WdDeck]]*Lookups!$B$91</f>
        <v>0</v>
      </c>
      <c r="BB844" s="25">
        <f>ROUND(Inventory[[#This Row],[25Det]],-2)</f>
        <v>22000</v>
      </c>
      <c r="BC844" s="25">
        <f>ROUND(SUM(Inventory[[#This Row],[Mdl Qlty]:[Mdl WdDeck]])+Inventory[[#This Row],[Mdl Res Intercept]],-2)</f>
        <v>355000</v>
      </c>
      <c r="BD844" s="25">
        <f>ROUND(Inventory[[#This Row],[Mdl Land Intercept]]+Inventory[[#This Row],[Mdl LnAcres]],-2)</f>
        <v>38900</v>
      </c>
      <c r="BE844" s="25">
        <f>Inventory[[#This Row],[Unadj Res Value]]+Inventory[[#This Row],[Unadj Det Value]]+Inventory[[#This Row],[Unadj Land Value]]</f>
        <v>415900</v>
      </c>
      <c r="BF844" s="36">
        <f>(Inventory[[#This Row],[Unadj Total Value]]-Inventory[[#This Row],[24Final]])/Inventory[[#This Row],[24Final]]</f>
        <v>5.025252525252525E-2</v>
      </c>
      <c r="BG844" s="25">
        <f>VLOOKUP(Inventory[[#This Row],[Nbhd]],Lookups!$Q$2:$T$4,4,FALSE)</f>
        <v>0.99970000000000003</v>
      </c>
      <c r="BH844" s="25">
        <f>VLOOKUP(Inventory[[#This Row],[Qlty]],Lookups!$O$7:$R$21,4,FALSE)</f>
        <v>1.0067999999999999</v>
      </c>
      <c r="BI844" s="25">
        <f>VLOOKUP(Inventory[[#This Row],[Cnd]],Lookups!$T$7:$W$16,4,FALSE)</f>
        <v>0.99650000000000005</v>
      </c>
      <c r="BJ844" s="25">
        <f>VLOOKUP(Inventory[[#This Row],[LivArea Range]],Lookups!$T$25:$W$37,4,FALSE)</f>
        <v>0.96179999999999999</v>
      </c>
      <c r="BK844" s="25">
        <f>VLOOKUP(Inventory[[#This Row],[Decade]],Lookups!$O$25:$R$42,4,FALSE)</f>
        <v>0.995</v>
      </c>
      <c r="BL844" s="25">
        <f>Inventory[[#This Row],[Nbhd Adj]]*0.95</f>
        <v>0.94971499999999998</v>
      </c>
      <c r="BM844" s="25">
        <f>Inventory[[#This Row],[Nbhd Adj]]*Inventory[[#This Row],[Quality Adj]]*Inventory[[#This Row],[Condition Adj]]*Inventory[[#This Row],[Living Area Adj]]*Inventory[[#This Row],[Decade Adj]]*0.95</f>
        <v>0.91184634322472435</v>
      </c>
      <c r="BN844" s="25">
        <f>ROUND(SUM(Inventory[[#This Row],[Mdl Qlty]:[Mdl WdDeck]])+Inventory[[#This Row],[Mdl Res Intercept]]*Inventory[[#This Row],[Res Adj ]],-2)</f>
        <v>355000</v>
      </c>
      <c r="BO844" s="25">
        <f>ROUND(Inventory[[#This Row],[25Det]]*Inventory[[#This Row],[Det/Nbhd Adj]],-2)</f>
        <v>20900</v>
      </c>
      <c r="BP844" s="25">
        <f>Inventory[[#This Row],[Adjusted Res]]+Inventory[[#This Row],[Adj Det ]]</f>
        <v>375900</v>
      </c>
      <c r="BQ844" s="25">
        <f>ROUND((Inventory[[#This Row],[Mdl Land Intercept]]+Inventory[[#This Row],[Mdl LnAcres]])*Inventory[[#This Row],[Det/Nbhd Adj]],-2)</f>
        <v>36900</v>
      </c>
      <c r="BR844" s="25">
        <f>Inventory[[#This Row],[Adjusted Impr Total]]+Inventory[[#This Row],[Adjusted Land Total]]</f>
        <v>412800</v>
      </c>
      <c r="BS844" s="36">
        <f>IFERROR((Inventory[[#This Row],[Adjusted Impr Total]]-Inventory[[#This Row],[24Bldg]])/Inventory[[#This Row],[24Bldg]],0)</f>
        <v>0.1134478672985782</v>
      </c>
      <c r="BT844" s="36">
        <f>(Inventory[[#This Row],[Adjusted Land Total]]-Inventory[[#This Row],[24Lnd]])/Inventory[[#This Row],[24Lnd]]</f>
        <v>-0.36815068493150682</v>
      </c>
      <c r="BU844" s="36">
        <f>(Inventory[[#This Row],[Adjusted Total]]-Inventory[[#This Row],[24Final]])/Inventory[[#This Row],[24Final]]</f>
        <v>4.2424242424242427E-2</v>
      </c>
    </row>
    <row r="845" spans="1:73" x14ac:dyDescent="0.3">
      <c r="A845" s="25">
        <v>2025</v>
      </c>
      <c r="B845" s="26" t="s">
        <v>1749</v>
      </c>
      <c r="C845" s="26">
        <f>LN(Inventory[[#This Row],[Acres]])</f>
        <v>-1.6094379124341003</v>
      </c>
      <c r="D845" s="25">
        <v>0.2</v>
      </c>
      <c r="E845" s="31"/>
      <c r="F845" s="26" t="s">
        <v>537</v>
      </c>
      <c r="G845" s="26" t="s">
        <v>126</v>
      </c>
      <c r="H845" s="26" t="s">
        <v>349</v>
      </c>
      <c r="I845" s="26" t="s">
        <v>538</v>
      </c>
      <c r="J845" s="26" t="s">
        <v>638</v>
      </c>
      <c r="K845" s="26" t="s">
        <v>241</v>
      </c>
      <c r="L845" s="26" t="s">
        <v>351</v>
      </c>
      <c r="M845" s="26" t="s">
        <v>303</v>
      </c>
      <c r="N845" s="26">
        <v>80</v>
      </c>
      <c r="O845" s="26">
        <f>2024-Inventory[[#This Row],[YrBlt]]</f>
        <v>74</v>
      </c>
      <c r="P845" s="26">
        <f>2024-Inventory[[#This Row],[EffYr]]</f>
        <v>51</v>
      </c>
      <c r="Q845" s="25">
        <v>1950</v>
      </c>
      <c r="R845" s="25">
        <v>1973</v>
      </c>
      <c r="S845" s="25">
        <v>1182</v>
      </c>
      <c r="T845" s="27"/>
      <c r="U845" s="32">
        <v>885</v>
      </c>
      <c r="V845" s="32">
        <f>Inventory[[#This Row],[Bsmt]]-Inventory[[#This Row],[FnBsmt]]</f>
        <v>0</v>
      </c>
      <c r="W845" s="32">
        <v>885</v>
      </c>
      <c r="X845" s="27"/>
      <c r="Y845" s="27">
        <f>Inventory[[#This Row],[MainFn]]+Inventory[[#This Row],[UpprFn]]+Inventory[[#This Row],[FnBsmt]]+Inventory[[#This Row],[AddFn]]</f>
        <v>2067</v>
      </c>
      <c r="Z845" s="27">
        <v>2500</v>
      </c>
      <c r="AA845" s="25">
        <v>8</v>
      </c>
      <c r="AB845" s="32">
        <v>297</v>
      </c>
      <c r="AC845" s="27"/>
      <c r="AD845" s="27"/>
      <c r="AE845" s="27"/>
      <c r="AF845" s="27"/>
      <c r="AG845" s="27"/>
      <c r="AH845" s="27"/>
      <c r="AI845" s="25">
        <v>299704</v>
      </c>
      <c r="AJ845" s="25">
        <v>212790</v>
      </c>
      <c r="AK845" s="25">
        <v>0</v>
      </c>
      <c r="AL845" s="25">
        <v>345200</v>
      </c>
      <c r="AM845" s="25">
        <v>58400</v>
      </c>
      <c r="AN845" s="25">
        <v>286800</v>
      </c>
      <c r="AO845" s="25">
        <v>0</v>
      </c>
      <c r="AP845" s="25">
        <f>Lookups!$B$56*0</f>
        <v>0</v>
      </c>
      <c r="AQ845" s="25">
        <f>Lookups!$B$56*1</f>
        <v>89850.625589999996</v>
      </c>
      <c r="AR845" s="25">
        <f>Lookups!$B$57*Inventory[[#This Row],[LnAcres]]</f>
        <v>-50946.13867709865</v>
      </c>
      <c r="AS845" s="25">
        <f>VLOOKUP(Inventory[[#This Row],[Qlty]],Lookups!$A$62:$E$75,2,FALSE)</f>
        <v>21557.329055999999</v>
      </c>
      <c r="AT845" s="25">
        <f>VLOOKUP(Inventory[[#This Row],[Cnd]],Lookups!$A$76:$E$84,2,FALSE)</f>
        <v>197752.34721000001</v>
      </c>
      <c r="AU845" s="25">
        <f>Inventory[[#This Row],[EffAge]]*Lookups!$B$85</f>
        <v>-11375.3256255</v>
      </c>
      <c r="AV845" s="25">
        <f>Inventory[[#This Row],[MainFn]]*Lookups!$B$86</f>
        <v>58401.047794614002</v>
      </c>
      <c r="AW845" s="25">
        <f>Inventory[[#This Row],[UpprFn]]*Lookups!$B$87</f>
        <v>0</v>
      </c>
      <c r="AX845" s="25">
        <f>Inventory[[#This Row],[AddFn]]*Lookups!$B$88</f>
        <v>0</v>
      </c>
      <c r="AY845" s="25">
        <f>Inventory[[#This Row],[Bsmt]]*Lookups!$B$89</f>
        <v>25737.477293594999</v>
      </c>
      <c r="AZ845" s="25">
        <f>Inventory[[#This Row],[Fixtures]]*Lookups!$B$90</f>
        <v>30336.176841600001</v>
      </c>
      <c r="BA845" s="25">
        <f>Inventory[[#This Row],[WdDeck]]*Lookups!$B$91</f>
        <v>0</v>
      </c>
      <c r="BB845" s="25">
        <f>ROUND(Inventory[[#This Row],[25Det]],-2)</f>
        <v>0</v>
      </c>
      <c r="BC845" s="25">
        <f>ROUND(SUM(Inventory[[#This Row],[Mdl Qlty]:[Mdl WdDeck]])+Inventory[[#This Row],[Mdl Res Intercept]],-2)</f>
        <v>322400</v>
      </c>
      <c r="BD845" s="25">
        <f>ROUND(Inventory[[#This Row],[Mdl Land Intercept]]+Inventory[[#This Row],[Mdl LnAcres]],-2)</f>
        <v>38900</v>
      </c>
      <c r="BE845" s="25">
        <f>Inventory[[#This Row],[Unadj Res Value]]+Inventory[[#This Row],[Unadj Det Value]]+Inventory[[#This Row],[Unadj Land Value]]</f>
        <v>361300</v>
      </c>
      <c r="BF845" s="36">
        <f>(Inventory[[#This Row],[Unadj Total Value]]-Inventory[[#This Row],[24Final]])/Inventory[[#This Row],[24Final]]</f>
        <v>4.6639629200463502E-2</v>
      </c>
      <c r="BG845" s="25">
        <f>VLOOKUP(Inventory[[#This Row],[Nbhd]],Lookups!$Q$2:$T$4,4,FALSE)</f>
        <v>0.99970000000000003</v>
      </c>
      <c r="BH845" s="25">
        <f>VLOOKUP(Inventory[[#This Row],[Qlty]],Lookups!$O$7:$R$21,4,FALSE)</f>
        <v>1.0067999999999999</v>
      </c>
      <c r="BI845" s="25">
        <f>VLOOKUP(Inventory[[#This Row],[Cnd]],Lookups!$T$7:$W$16,4,FALSE)</f>
        <v>0.99650000000000005</v>
      </c>
      <c r="BJ845" s="25">
        <f>VLOOKUP(Inventory[[#This Row],[LivArea Range]],Lookups!$T$25:$W$37,4,FALSE)</f>
        <v>0.98919999999999997</v>
      </c>
      <c r="BK845" s="25">
        <f>VLOOKUP(Inventory[[#This Row],[Decade]],Lookups!$O$25:$R$42,4,FALSE)</f>
        <v>0.995</v>
      </c>
      <c r="BL845" s="25">
        <f>Inventory[[#This Row],[Nbhd Adj]]*0.95</f>
        <v>0.94971499999999998</v>
      </c>
      <c r="BM845" s="25">
        <f>Inventory[[#This Row],[Nbhd Adj]]*Inventory[[#This Row],[Quality Adj]]*Inventory[[#This Row],[Condition Adj]]*Inventory[[#This Row],[Living Area Adj]]*Inventory[[#This Row],[Decade Adj]]*0.95</f>
        <v>0.93782325090236773</v>
      </c>
      <c r="BN845" s="25">
        <f>ROUND(SUM(Inventory[[#This Row],[Mdl Qlty]:[Mdl WdDeck]])+Inventory[[#This Row],[Mdl Res Intercept]]*Inventory[[#This Row],[Res Adj ]],-2)</f>
        <v>322400</v>
      </c>
      <c r="BO845" s="25">
        <f>ROUND(Inventory[[#This Row],[25Det]]*Inventory[[#This Row],[Det/Nbhd Adj]],-2)</f>
        <v>0</v>
      </c>
      <c r="BP845" s="25">
        <f>Inventory[[#This Row],[Adjusted Res]]+Inventory[[#This Row],[Adj Det ]]</f>
        <v>322400</v>
      </c>
      <c r="BQ845" s="25">
        <f>ROUND((Inventory[[#This Row],[Mdl Land Intercept]]+Inventory[[#This Row],[Mdl LnAcres]])*Inventory[[#This Row],[Det/Nbhd Adj]],-2)</f>
        <v>36900</v>
      </c>
      <c r="BR845" s="25">
        <f>Inventory[[#This Row],[Adjusted Impr Total]]+Inventory[[#This Row],[Adjusted Land Total]]</f>
        <v>359300</v>
      </c>
      <c r="BS845" s="36">
        <f>IFERROR((Inventory[[#This Row],[Adjusted Impr Total]]-Inventory[[#This Row],[24Bldg]])/Inventory[[#This Row],[24Bldg]],0)</f>
        <v>0.12412831241283125</v>
      </c>
      <c r="BT845" s="36">
        <f>(Inventory[[#This Row],[Adjusted Land Total]]-Inventory[[#This Row],[24Lnd]])/Inventory[[#This Row],[24Lnd]]</f>
        <v>-0.36815068493150682</v>
      </c>
      <c r="BU845" s="36">
        <f>(Inventory[[#This Row],[Adjusted Total]]-Inventory[[#This Row],[24Final]])/Inventory[[#This Row],[24Final]]</f>
        <v>4.0845886442641949E-2</v>
      </c>
    </row>
    <row r="846" spans="1:73" x14ac:dyDescent="0.3">
      <c r="A846" s="25">
        <v>2025</v>
      </c>
      <c r="B846" s="26" t="s">
        <v>1785</v>
      </c>
      <c r="C846" s="26">
        <f>LN(Inventory[[#This Row],[Acres]])</f>
        <v>-1.5606477482646683</v>
      </c>
      <c r="D846" s="25">
        <v>0.21</v>
      </c>
      <c r="E846" s="31"/>
      <c r="F846" s="26" t="s">
        <v>537</v>
      </c>
      <c r="G846" s="26" t="s">
        <v>126</v>
      </c>
      <c r="H846" s="26" t="s">
        <v>349</v>
      </c>
      <c r="I846" s="26" t="s">
        <v>538</v>
      </c>
      <c r="J846" s="26" t="s">
        <v>539</v>
      </c>
      <c r="K846" s="26" t="s">
        <v>241</v>
      </c>
      <c r="L846" s="26" t="s">
        <v>351</v>
      </c>
      <c r="M846" s="26" t="s">
        <v>323</v>
      </c>
      <c r="N846" s="26">
        <v>80</v>
      </c>
      <c r="O846" s="26">
        <f>2024-Inventory[[#This Row],[YrBlt]]</f>
        <v>74</v>
      </c>
      <c r="P846" s="26">
        <f>2024-Inventory[[#This Row],[EffYr]]</f>
        <v>51</v>
      </c>
      <c r="Q846" s="25">
        <v>1950</v>
      </c>
      <c r="R846" s="25">
        <v>1973</v>
      </c>
      <c r="S846" s="25">
        <v>1120</v>
      </c>
      <c r="T846" s="27"/>
      <c r="U846" s="31"/>
      <c r="V846" s="31">
        <f>Inventory[[#This Row],[Bsmt]]-Inventory[[#This Row],[FnBsmt]]</f>
        <v>0</v>
      </c>
      <c r="W846" s="31"/>
      <c r="X846" s="27"/>
      <c r="Y846" s="27">
        <f>Inventory[[#This Row],[MainFn]]+Inventory[[#This Row],[UpprFn]]+Inventory[[#This Row],[FnBsmt]]+Inventory[[#This Row],[AddFn]]</f>
        <v>1120</v>
      </c>
      <c r="Z846" s="27">
        <v>1500</v>
      </c>
      <c r="AA846" s="25">
        <v>5</v>
      </c>
      <c r="AB846" s="27"/>
      <c r="AC846" s="27"/>
      <c r="AD846" s="27"/>
      <c r="AE846" s="27"/>
      <c r="AF846" s="27"/>
      <c r="AG846" s="27"/>
      <c r="AH846" s="27"/>
      <c r="AI846" s="25">
        <v>193616</v>
      </c>
      <c r="AJ846" s="25">
        <v>133595</v>
      </c>
      <c r="AK846" s="25">
        <v>7465</v>
      </c>
      <c r="AL846" s="25">
        <v>279200</v>
      </c>
      <c r="AM846" s="25">
        <v>60100</v>
      </c>
      <c r="AN846" s="25">
        <v>219100</v>
      </c>
      <c r="AO846" s="25">
        <v>0</v>
      </c>
      <c r="AP846" s="25">
        <f>Lookups!$B$56*0</f>
        <v>0</v>
      </c>
      <c r="AQ846" s="25">
        <f>Lookups!$B$56*1</f>
        <v>89850.625589999996</v>
      </c>
      <c r="AR846" s="25">
        <f>Lookups!$B$57*Inventory[[#This Row],[LnAcres]]</f>
        <v>-49401.70477837498</v>
      </c>
      <c r="AS846" s="25">
        <f>VLOOKUP(Inventory[[#This Row],[Qlty]],Lookups!$A$62:$E$75,2,FALSE)</f>
        <v>21557.329055999999</v>
      </c>
      <c r="AT846" s="25">
        <f>VLOOKUP(Inventory[[#This Row],[Cnd]],Lookups!$A$76:$E$84,2,FALSE)</f>
        <v>160472.20319</v>
      </c>
      <c r="AU846" s="25">
        <f>Inventory[[#This Row],[EffAge]]*Lookups!$B$85</f>
        <v>-11375.3256255</v>
      </c>
      <c r="AV846" s="25">
        <f>Inventory[[#This Row],[MainFn]]*Lookups!$B$86</f>
        <v>55337.710262239998</v>
      </c>
      <c r="AW846" s="25">
        <f>Inventory[[#This Row],[UpprFn]]*Lookups!$B$87</f>
        <v>0</v>
      </c>
      <c r="AX846" s="25">
        <f>Inventory[[#This Row],[AddFn]]*Lookups!$B$88</f>
        <v>0</v>
      </c>
      <c r="AY846" s="25">
        <f>Inventory[[#This Row],[Bsmt]]*Lookups!$B$89</f>
        <v>0</v>
      </c>
      <c r="AZ846" s="25">
        <f>Inventory[[#This Row],[Fixtures]]*Lookups!$B$90</f>
        <v>18960.110526</v>
      </c>
      <c r="BA846" s="25">
        <f>Inventory[[#This Row],[WdDeck]]*Lookups!$B$91</f>
        <v>0</v>
      </c>
      <c r="BB846" s="25">
        <f>ROUND(Inventory[[#This Row],[25Det]],-2)</f>
        <v>7500</v>
      </c>
      <c r="BC846" s="25">
        <f>ROUND(SUM(Inventory[[#This Row],[Mdl Qlty]:[Mdl WdDeck]])+Inventory[[#This Row],[Mdl Res Intercept]],-2)</f>
        <v>245000</v>
      </c>
      <c r="BD846" s="25">
        <f>ROUND(Inventory[[#This Row],[Mdl Land Intercept]]+Inventory[[#This Row],[Mdl LnAcres]],-2)</f>
        <v>40400</v>
      </c>
      <c r="BE846" s="25">
        <f>Inventory[[#This Row],[Unadj Res Value]]+Inventory[[#This Row],[Unadj Det Value]]+Inventory[[#This Row],[Unadj Land Value]]</f>
        <v>292900</v>
      </c>
      <c r="BF846" s="36">
        <f>(Inventory[[#This Row],[Unadj Total Value]]-Inventory[[#This Row],[24Final]])/Inventory[[#This Row],[24Final]]</f>
        <v>4.9068767908309455E-2</v>
      </c>
      <c r="BG846" s="25">
        <f>VLOOKUP(Inventory[[#This Row],[Nbhd]],Lookups!$Q$2:$T$4,4,FALSE)</f>
        <v>0.99970000000000003</v>
      </c>
      <c r="BH846" s="25">
        <f>VLOOKUP(Inventory[[#This Row],[Qlty]],Lookups!$O$7:$R$21,4,FALSE)</f>
        <v>1.0067999999999999</v>
      </c>
      <c r="BI846" s="25">
        <f>VLOOKUP(Inventory[[#This Row],[Cnd]],Lookups!$T$7:$W$16,4,FALSE)</f>
        <v>0.99729999999999996</v>
      </c>
      <c r="BJ846" s="25">
        <f>VLOOKUP(Inventory[[#This Row],[LivArea Range]],Lookups!$T$25:$W$37,4,FALSE)</f>
        <v>1.0157</v>
      </c>
      <c r="BK846" s="25">
        <f>VLOOKUP(Inventory[[#This Row],[Decade]],Lookups!$O$25:$R$42,4,FALSE)</f>
        <v>0.995</v>
      </c>
      <c r="BL846" s="25">
        <f>Inventory[[#This Row],[Nbhd Adj]]*0.95</f>
        <v>0.94971499999999998</v>
      </c>
      <c r="BM846" s="25">
        <f>Inventory[[#This Row],[Nbhd Adj]]*Inventory[[#This Row],[Quality Adj]]*Inventory[[#This Row],[Condition Adj]]*Inventory[[#This Row],[Living Area Adj]]*Inventory[[#This Row],[Decade Adj]]*0.95</f>
        <v>0.96371996573175212</v>
      </c>
      <c r="BN846" s="25">
        <f>ROUND(SUM(Inventory[[#This Row],[Mdl Qlty]:[Mdl WdDeck]])+Inventory[[#This Row],[Mdl Res Intercept]]*Inventory[[#This Row],[Res Adj ]],-2)</f>
        <v>245000</v>
      </c>
      <c r="BO846" s="25">
        <f>ROUND(Inventory[[#This Row],[25Det]]*Inventory[[#This Row],[Det/Nbhd Adj]],-2)</f>
        <v>7100</v>
      </c>
      <c r="BP846" s="25">
        <f>Inventory[[#This Row],[Adjusted Res]]+Inventory[[#This Row],[Adj Det ]]</f>
        <v>252100</v>
      </c>
      <c r="BQ846" s="25">
        <f>ROUND((Inventory[[#This Row],[Mdl Land Intercept]]+Inventory[[#This Row],[Mdl LnAcres]])*Inventory[[#This Row],[Det/Nbhd Adj]],-2)</f>
        <v>38400</v>
      </c>
      <c r="BR846" s="25">
        <f>Inventory[[#This Row],[Adjusted Impr Total]]+Inventory[[#This Row],[Adjusted Land Total]]</f>
        <v>290500</v>
      </c>
      <c r="BS846" s="36">
        <f>IFERROR((Inventory[[#This Row],[Adjusted Impr Total]]-Inventory[[#This Row],[24Bldg]])/Inventory[[#This Row],[24Bldg]],0)</f>
        <v>0.15061615700593337</v>
      </c>
      <c r="BT846" s="36">
        <f>(Inventory[[#This Row],[Adjusted Land Total]]-Inventory[[#This Row],[24Lnd]])/Inventory[[#This Row],[24Lnd]]</f>
        <v>-0.36106489184692181</v>
      </c>
      <c r="BU846" s="36">
        <f>(Inventory[[#This Row],[Adjusted Total]]-Inventory[[#This Row],[24Final]])/Inventory[[#This Row],[24Final]]</f>
        <v>4.047277936962751E-2</v>
      </c>
    </row>
    <row r="847" spans="1:73" x14ac:dyDescent="0.3">
      <c r="A847" s="25">
        <v>2025</v>
      </c>
      <c r="B847" s="26" t="s">
        <v>1819</v>
      </c>
      <c r="C847" s="26">
        <f>LN(Inventory[[#This Row],[Acres]])</f>
        <v>-1.1394342831883648</v>
      </c>
      <c r="D847" s="25">
        <v>0.32</v>
      </c>
      <c r="E847" s="25">
        <v>14000</v>
      </c>
      <c r="F847" s="26" t="s">
        <v>537</v>
      </c>
      <c r="G847" s="26" t="s">
        <v>126</v>
      </c>
      <c r="H847" s="26" t="s">
        <v>349</v>
      </c>
      <c r="I847" s="26" t="s">
        <v>538</v>
      </c>
      <c r="J847" s="26" t="s">
        <v>539</v>
      </c>
      <c r="K847" s="26" t="s">
        <v>241</v>
      </c>
      <c r="L847" s="26" t="s">
        <v>302</v>
      </c>
      <c r="M847" s="26" t="s">
        <v>323</v>
      </c>
      <c r="N847" s="26">
        <v>80</v>
      </c>
      <c r="O847" s="26">
        <f>2024-Inventory[[#This Row],[YrBlt]]</f>
        <v>74</v>
      </c>
      <c r="P847" s="26">
        <f>2024-Inventory[[#This Row],[EffYr]]</f>
        <v>51</v>
      </c>
      <c r="Q847" s="25">
        <v>1950</v>
      </c>
      <c r="R847" s="25">
        <v>1973</v>
      </c>
      <c r="S847" s="25">
        <v>2658</v>
      </c>
      <c r="T847" s="27"/>
      <c r="U847" s="25">
        <v>1431</v>
      </c>
      <c r="V847" s="25">
        <f>Inventory[[#This Row],[Bsmt]]-Inventory[[#This Row],[FnBsmt]]</f>
        <v>1031</v>
      </c>
      <c r="W847" s="25">
        <v>400</v>
      </c>
      <c r="X847" s="27"/>
      <c r="Y847" s="27">
        <f>Inventory[[#This Row],[MainFn]]+Inventory[[#This Row],[UpprFn]]+Inventory[[#This Row],[FnBsmt]]+Inventory[[#This Row],[AddFn]]</f>
        <v>3058</v>
      </c>
      <c r="Z847" s="27">
        <v>3500</v>
      </c>
      <c r="AA847" s="25">
        <v>8</v>
      </c>
      <c r="AB847" s="27"/>
      <c r="AC847" s="27"/>
      <c r="AD847" s="31"/>
      <c r="AE847" s="27"/>
      <c r="AF847" s="27"/>
      <c r="AG847" s="27"/>
      <c r="AH847" s="27"/>
      <c r="AI847" s="25">
        <v>512809</v>
      </c>
      <c r="AJ847" s="25">
        <v>353838</v>
      </c>
      <c r="AK847" s="25">
        <v>0</v>
      </c>
      <c r="AL847" s="25">
        <v>416600</v>
      </c>
      <c r="AM847" s="25">
        <v>74800</v>
      </c>
      <c r="AN847" s="25">
        <v>341800</v>
      </c>
      <c r="AO847" s="25">
        <v>0</v>
      </c>
      <c r="AP847" s="25">
        <f>Lookups!$B$56*0</f>
        <v>0</v>
      </c>
      <c r="AQ847" s="25">
        <f>Lookups!$B$56*1</f>
        <v>89850.625589999996</v>
      </c>
      <c r="AR847" s="25">
        <f>Lookups!$B$57*Inventory[[#This Row],[LnAcres]]</f>
        <v>-36068.354396449467</v>
      </c>
      <c r="AS847" s="25">
        <f>VLOOKUP(Inventory[[#This Row],[Qlty]],Lookups!$A$62:$E$75,2,FALSE)</f>
        <v>29814.093161000001</v>
      </c>
      <c r="AT847" s="25">
        <f>VLOOKUP(Inventory[[#This Row],[Cnd]],Lookups!$A$76:$E$84,2,FALSE)</f>
        <v>160472.20319</v>
      </c>
      <c r="AU847" s="25">
        <f>Inventory[[#This Row],[EffAge]]*Lookups!$B$85</f>
        <v>-11375.3256255</v>
      </c>
      <c r="AV847" s="25">
        <f>Inventory[[#This Row],[MainFn]]*Lookups!$B$86</f>
        <v>131328.244533066</v>
      </c>
      <c r="AW847" s="25">
        <f>Inventory[[#This Row],[UpprFn]]*Lookups!$B$87</f>
        <v>0</v>
      </c>
      <c r="AX847" s="25">
        <f>Inventory[[#This Row],[AddFn]]*Lookups!$B$88</f>
        <v>0</v>
      </c>
      <c r="AY847" s="25">
        <f>Inventory[[#This Row],[Bsmt]]*Lookups!$B$89</f>
        <v>41616.192098456995</v>
      </c>
      <c r="AZ847" s="25">
        <f>Inventory[[#This Row],[Fixtures]]*Lookups!$B$90</f>
        <v>30336.176841600001</v>
      </c>
      <c r="BA847" s="25">
        <f>Inventory[[#This Row],[WdDeck]]*Lookups!$B$91</f>
        <v>0</v>
      </c>
      <c r="BB847" s="25">
        <f>ROUND(Inventory[[#This Row],[25Det]],-2)</f>
        <v>0</v>
      </c>
      <c r="BC847" s="25">
        <f>ROUND(SUM(Inventory[[#This Row],[Mdl Qlty]:[Mdl WdDeck]])+Inventory[[#This Row],[Mdl Res Intercept]],-2)</f>
        <v>382200</v>
      </c>
      <c r="BD847" s="25">
        <f>ROUND(Inventory[[#This Row],[Mdl Land Intercept]]+Inventory[[#This Row],[Mdl LnAcres]],-2)</f>
        <v>53800</v>
      </c>
      <c r="BE847" s="25">
        <f>Inventory[[#This Row],[Unadj Res Value]]+Inventory[[#This Row],[Unadj Det Value]]+Inventory[[#This Row],[Unadj Land Value]]</f>
        <v>436000</v>
      </c>
      <c r="BF847" s="36">
        <f>(Inventory[[#This Row],[Unadj Total Value]]-Inventory[[#This Row],[24Final]])/Inventory[[#This Row],[24Final]]</f>
        <v>4.6567450792126742E-2</v>
      </c>
      <c r="BG847" s="25">
        <f>VLOOKUP(Inventory[[#This Row],[Nbhd]],Lookups!$Q$2:$T$4,4,FALSE)</f>
        <v>0.99970000000000003</v>
      </c>
      <c r="BH847" s="25">
        <f>VLOOKUP(Inventory[[#This Row],[Qlty]],Lookups!$O$7:$R$21,4,FALSE)</f>
        <v>1.0088999999999999</v>
      </c>
      <c r="BI847" s="25">
        <f>VLOOKUP(Inventory[[#This Row],[Cnd]],Lookups!$T$7:$W$16,4,FALSE)</f>
        <v>0.99729999999999996</v>
      </c>
      <c r="BJ847" s="25">
        <f>VLOOKUP(Inventory[[#This Row],[LivArea Range]],Lookups!$T$25:$W$37,4,FALSE)</f>
        <v>1.0126999999999999</v>
      </c>
      <c r="BK847" s="25">
        <f>VLOOKUP(Inventory[[#This Row],[Decade]],Lookups!$O$25:$R$42,4,FALSE)</f>
        <v>0.995</v>
      </c>
      <c r="BL847" s="25">
        <f>Inventory[[#This Row],[Nbhd Adj]]*0.95</f>
        <v>0.94971499999999998</v>
      </c>
      <c r="BM847" s="25">
        <f>Inventory[[#This Row],[Nbhd Adj]]*Inventory[[#This Row],[Quality Adj]]*Inventory[[#This Row],[Condition Adj]]*Inventory[[#This Row],[Living Area Adj]]*Inventory[[#This Row],[Decade Adj]]*0.95</f>
        <v>0.96287770115981319</v>
      </c>
      <c r="BN847" s="25">
        <f>ROUND(SUM(Inventory[[#This Row],[Mdl Qlty]:[Mdl WdDeck]])+Inventory[[#This Row],[Mdl Res Intercept]]*Inventory[[#This Row],[Res Adj ]],-2)</f>
        <v>382200</v>
      </c>
      <c r="BO847" s="25">
        <f>ROUND(Inventory[[#This Row],[25Det]]*Inventory[[#This Row],[Det/Nbhd Adj]],-2)</f>
        <v>0</v>
      </c>
      <c r="BP847" s="25">
        <f>Inventory[[#This Row],[Adjusted Res]]+Inventory[[#This Row],[Adj Det ]]</f>
        <v>382200</v>
      </c>
      <c r="BQ847" s="25">
        <f>ROUND((Inventory[[#This Row],[Mdl Land Intercept]]+Inventory[[#This Row],[Mdl LnAcres]])*Inventory[[#This Row],[Det/Nbhd Adj]],-2)</f>
        <v>51100</v>
      </c>
      <c r="BR847" s="25">
        <f>Inventory[[#This Row],[Adjusted Impr Total]]+Inventory[[#This Row],[Adjusted Land Total]]</f>
        <v>433300</v>
      </c>
      <c r="BS847" s="36">
        <f>IFERROR((Inventory[[#This Row],[Adjusted Impr Total]]-Inventory[[#This Row],[24Bldg]])/Inventory[[#This Row],[24Bldg]],0)</f>
        <v>0.11819777647747221</v>
      </c>
      <c r="BT847" s="36">
        <f>(Inventory[[#This Row],[Adjusted Land Total]]-Inventory[[#This Row],[24Lnd]])/Inventory[[#This Row],[24Lnd]]</f>
        <v>-0.31684491978609625</v>
      </c>
      <c r="BU847" s="36">
        <f>(Inventory[[#This Row],[Adjusted Total]]-Inventory[[#This Row],[24Final]])/Inventory[[#This Row],[24Final]]</f>
        <v>4.0086413826212197E-2</v>
      </c>
    </row>
    <row r="848" spans="1:73" x14ac:dyDescent="0.3">
      <c r="A848" s="25">
        <v>2025</v>
      </c>
      <c r="B848" s="26" t="s">
        <v>1794</v>
      </c>
      <c r="C848" s="26">
        <f>LN(Inventory[[#This Row],[Acres]])</f>
        <v>-1.6607312068216509</v>
      </c>
      <c r="D848" s="25">
        <v>0.19</v>
      </c>
      <c r="E848" s="25">
        <v>8430</v>
      </c>
      <c r="F848" s="26" t="s">
        <v>537</v>
      </c>
      <c r="G848" s="26" t="s">
        <v>126</v>
      </c>
      <c r="H848" s="26" t="s">
        <v>349</v>
      </c>
      <c r="I848" s="26" t="s">
        <v>538</v>
      </c>
      <c r="J848" s="26" t="s">
        <v>539</v>
      </c>
      <c r="K848" s="26" t="s">
        <v>242</v>
      </c>
      <c r="L848" s="26" t="s">
        <v>351</v>
      </c>
      <c r="M848" s="26" t="s">
        <v>323</v>
      </c>
      <c r="N848" s="26">
        <v>80</v>
      </c>
      <c r="O848" s="26">
        <f>2024-Inventory[[#This Row],[YrBlt]]</f>
        <v>74</v>
      </c>
      <c r="P848" s="26">
        <f>2024-Inventory[[#This Row],[EffYr]]</f>
        <v>51</v>
      </c>
      <c r="Q848" s="25">
        <v>1950</v>
      </c>
      <c r="R848" s="25">
        <v>1973</v>
      </c>
      <c r="S848" s="25">
        <v>1192</v>
      </c>
      <c r="T848" s="27"/>
      <c r="U848" s="31"/>
      <c r="V848" s="31">
        <f>Inventory[[#This Row],[Bsmt]]-Inventory[[#This Row],[FnBsmt]]</f>
        <v>0</v>
      </c>
      <c r="W848" s="31"/>
      <c r="X848" s="27"/>
      <c r="Y848" s="27">
        <f>Inventory[[#This Row],[MainFn]]+Inventory[[#This Row],[UpprFn]]+Inventory[[#This Row],[FnBsmt]]+Inventory[[#This Row],[AddFn]]</f>
        <v>1192</v>
      </c>
      <c r="Z848" s="27">
        <v>1500</v>
      </c>
      <c r="AA848" s="25">
        <v>5</v>
      </c>
      <c r="AB848" s="27"/>
      <c r="AC848" s="27"/>
      <c r="AD848" s="31"/>
      <c r="AE848" s="27"/>
      <c r="AF848" s="27"/>
      <c r="AG848" s="27"/>
      <c r="AH848" s="27"/>
      <c r="AI848" s="25">
        <v>196256</v>
      </c>
      <c r="AJ848" s="25">
        <v>135417</v>
      </c>
      <c r="AK848" s="25">
        <v>8623</v>
      </c>
      <c r="AL848" s="25">
        <v>281200</v>
      </c>
      <c r="AM848" s="25">
        <v>56600</v>
      </c>
      <c r="AN848" s="25">
        <v>224600</v>
      </c>
      <c r="AO848" s="25">
        <v>0</v>
      </c>
      <c r="AP848" s="25">
        <f>Lookups!$B$56*0</f>
        <v>0</v>
      </c>
      <c r="AQ848" s="25">
        <f>Lookups!$B$56*1</f>
        <v>89850.625589999996</v>
      </c>
      <c r="AR848" s="25">
        <f>Lookups!$B$57*Inventory[[#This Row],[LnAcres]]</f>
        <v>-52569.808201026557</v>
      </c>
      <c r="AS848" s="25">
        <f>VLOOKUP(Inventory[[#This Row],[Qlty]],Lookups!$A$62:$E$75,2,FALSE)</f>
        <v>21557.329055999999</v>
      </c>
      <c r="AT848" s="25">
        <f>VLOOKUP(Inventory[[#This Row],[Cnd]],Lookups!$A$76:$E$84,2,FALSE)</f>
        <v>160472.20319</v>
      </c>
      <c r="AU848" s="25">
        <f>Inventory[[#This Row],[EffAge]]*Lookups!$B$85</f>
        <v>-11375.3256255</v>
      </c>
      <c r="AV848" s="25">
        <f>Inventory[[#This Row],[MainFn]]*Lookups!$B$86</f>
        <v>58895.134493384001</v>
      </c>
      <c r="AW848" s="25">
        <f>Inventory[[#This Row],[UpprFn]]*Lookups!$B$87</f>
        <v>0</v>
      </c>
      <c r="AX848" s="25">
        <f>Inventory[[#This Row],[AddFn]]*Lookups!$B$88</f>
        <v>0</v>
      </c>
      <c r="AY848" s="25">
        <f>Inventory[[#This Row],[Bsmt]]*Lookups!$B$89</f>
        <v>0</v>
      </c>
      <c r="AZ848" s="25">
        <f>Inventory[[#This Row],[Fixtures]]*Lookups!$B$90</f>
        <v>18960.110526</v>
      </c>
      <c r="BA848" s="25">
        <f>Inventory[[#This Row],[WdDeck]]*Lookups!$B$91</f>
        <v>0</v>
      </c>
      <c r="BB848" s="25">
        <f>ROUND(Inventory[[#This Row],[25Det]],-2)</f>
        <v>8600</v>
      </c>
      <c r="BC848" s="25">
        <f>ROUND(SUM(Inventory[[#This Row],[Mdl Qlty]:[Mdl WdDeck]])+Inventory[[#This Row],[Mdl Res Intercept]],-2)</f>
        <v>248500</v>
      </c>
      <c r="BD848" s="25">
        <f>ROUND(Inventory[[#This Row],[Mdl Land Intercept]]+Inventory[[#This Row],[Mdl LnAcres]],-2)</f>
        <v>37300</v>
      </c>
      <c r="BE848" s="25">
        <f>Inventory[[#This Row],[Unadj Res Value]]+Inventory[[#This Row],[Unadj Det Value]]+Inventory[[#This Row],[Unadj Land Value]]</f>
        <v>294400</v>
      </c>
      <c r="BF848" s="36">
        <f>(Inventory[[#This Row],[Unadj Total Value]]-Inventory[[#This Row],[24Final]])/Inventory[[#This Row],[24Final]]</f>
        <v>4.694167852062589E-2</v>
      </c>
      <c r="BG848" s="25">
        <f>VLOOKUP(Inventory[[#This Row],[Nbhd]],Lookups!$Q$2:$T$4,4,FALSE)</f>
        <v>0.99970000000000003</v>
      </c>
      <c r="BH848" s="25">
        <f>VLOOKUP(Inventory[[#This Row],[Qlty]],Lookups!$O$7:$R$21,4,FALSE)</f>
        <v>1.0067999999999999</v>
      </c>
      <c r="BI848" s="25">
        <f>VLOOKUP(Inventory[[#This Row],[Cnd]],Lookups!$T$7:$W$16,4,FALSE)</f>
        <v>0.99729999999999996</v>
      </c>
      <c r="BJ848" s="25">
        <f>VLOOKUP(Inventory[[#This Row],[LivArea Range]],Lookups!$T$25:$W$37,4,FALSE)</f>
        <v>1.0157</v>
      </c>
      <c r="BK848" s="25">
        <f>VLOOKUP(Inventory[[#This Row],[Decade]],Lookups!$O$25:$R$42,4,FALSE)</f>
        <v>0.995</v>
      </c>
      <c r="BL848" s="25">
        <f>Inventory[[#This Row],[Nbhd Adj]]*0.95</f>
        <v>0.94971499999999998</v>
      </c>
      <c r="BM848" s="25">
        <f>Inventory[[#This Row],[Nbhd Adj]]*Inventory[[#This Row],[Quality Adj]]*Inventory[[#This Row],[Condition Adj]]*Inventory[[#This Row],[Living Area Adj]]*Inventory[[#This Row],[Decade Adj]]*0.95</f>
        <v>0.96371996573175212</v>
      </c>
      <c r="BN848" s="25">
        <f>ROUND(SUM(Inventory[[#This Row],[Mdl Qlty]:[Mdl WdDeck]])+Inventory[[#This Row],[Mdl Res Intercept]]*Inventory[[#This Row],[Res Adj ]],-2)</f>
        <v>248500</v>
      </c>
      <c r="BO848" s="25">
        <f>ROUND(Inventory[[#This Row],[25Det]]*Inventory[[#This Row],[Det/Nbhd Adj]],-2)</f>
        <v>8200</v>
      </c>
      <c r="BP848" s="25">
        <f>Inventory[[#This Row],[Adjusted Res]]+Inventory[[#This Row],[Adj Det ]]</f>
        <v>256700</v>
      </c>
      <c r="BQ848" s="25">
        <f>ROUND((Inventory[[#This Row],[Mdl Land Intercept]]+Inventory[[#This Row],[Mdl LnAcres]])*Inventory[[#This Row],[Det/Nbhd Adj]],-2)</f>
        <v>35400</v>
      </c>
      <c r="BR848" s="25">
        <f>Inventory[[#This Row],[Adjusted Impr Total]]+Inventory[[#This Row],[Adjusted Land Total]]</f>
        <v>292100</v>
      </c>
      <c r="BS848" s="36">
        <f>IFERROR((Inventory[[#This Row],[Adjusted Impr Total]]-Inventory[[#This Row],[24Bldg]])/Inventory[[#This Row],[24Bldg]],0)</f>
        <v>0.14292074799643811</v>
      </c>
      <c r="BT848" s="36">
        <f>(Inventory[[#This Row],[Adjusted Land Total]]-Inventory[[#This Row],[24Lnd]])/Inventory[[#This Row],[24Lnd]]</f>
        <v>-0.37455830388692579</v>
      </c>
      <c r="BU848" s="36">
        <f>(Inventory[[#This Row],[Adjusted Total]]-Inventory[[#This Row],[24Final]])/Inventory[[#This Row],[24Final]]</f>
        <v>3.8762446657183501E-2</v>
      </c>
    </row>
    <row r="849" spans="1:73" x14ac:dyDescent="0.3">
      <c r="A849" s="25">
        <v>2025</v>
      </c>
      <c r="B849" s="26" t="s">
        <v>2413</v>
      </c>
      <c r="C849" s="26">
        <f>LN(Inventory[[#This Row],[Acres]])</f>
        <v>-1.3862943611198906</v>
      </c>
      <c r="D849" s="25">
        <v>0.25</v>
      </c>
      <c r="E849" s="31"/>
      <c r="F849" s="26" t="s">
        <v>537</v>
      </c>
      <c r="G849" s="26" t="s">
        <v>126</v>
      </c>
      <c r="H849" s="26" t="s">
        <v>349</v>
      </c>
      <c r="I849" s="26" t="s">
        <v>538</v>
      </c>
      <c r="J849" s="26" t="s">
        <v>539</v>
      </c>
      <c r="K849" s="26" t="s">
        <v>242</v>
      </c>
      <c r="L849" s="26" t="s">
        <v>148</v>
      </c>
      <c r="M849" s="26" t="s">
        <v>323</v>
      </c>
      <c r="N849" s="26">
        <v>80</v>
      </c>
      <c r="O849" s="26">
        <f>2024-Inventory[[#This Row],[YrBlt]]</f>
        <v>74</v>
      </c>
      <c r="P849" s="26">
        <f>2024-Inventory[[#This Row],[EffYr]]</f>
        <v>51</v>
      </c>
      <c r="Q849" s="25">
        <v>1950</v>
      </c>
      <c r="R849" s="25">
        <v>1973</v>
      </c>
      <c r="S849" s="25">
        <v>1392</v>
      </c>
      <c r="T849" s="31"/>
      <c r="U849" s="25">
        <v>1392</v>
      </c>
      <c r="V849" s="25">
        <f>Inventory[[#This Row],[Bsmt]]-Inventory[[#This Row],[FnBsmt]]</f>
        <v>696</v>
      </c>
      <c r="W849" s="25">
        <v>696</v>
      </c>
      <c r="X849" s="27"/>
      <c r="Y849" s="27">
        <f>Inventory[[#This Row],[MainFn]]+Inventory[[#This Row],[UpprFn]]+Inventory[[#This Row],[FnBsmt]]+Inventory[[#This Row],[AddFn]]</f>
        <v>2088</v>
      </c>
      <c r="Z849" s="27">
        <v>2500</v>
      </c>
      <c r="AA849" s="25">
        <v>8</v>
      </c>
      <c r="AB849" s="27"/>
      <c r="AC849" s="27"/>
      <c r="AD849" s="27"/>
      <c r="AE849" s="27"/>
      <c r="AF849" s="27"/>
      <c r="AG849" s="27"/>
      <c r="AH849" s="27"/>
      <c r="AI849" s="25">
        <v>429202</v>
      </c>
      <c r="AJ849" s="25">
        <v>296149</v>
      </c>
      <c r="AK849" s="25">
        <v>13168</v>
      </c>
      <c r="AL849" s="25">
        <v>374600</v>
      </c>
      <c r="AM849" s="25">
        <v>66200</v>
      </c>
      <c r="AN849" s="25">
        <v>308400</v>
      </c>
      <c r="AO849" s="25">
        <v>0</v>
      </c>
      <c r="AP849" s="25">
        <f>Lookups!$B$56*0</f>
        <v>0</v>
      </c>
      <c r="AQ849" s="25">
        <f>Lookups!$B$56*1</f>
        <v>89850.625589999996</v>
      </c>
      <c r="AR849" s="25">
        <f>Lookups!$B$57*Inventory[[#This Row],[LnAcres]]</f>
        <v>-43882.615305165229</v>
      </c>
      <c r="AS849" s="25">
        <f>VLOOKUP(Inventory[[#This Row],[Qlty]],Lookups!$A$62:$E$75,2,FALSE)</f>
        <v>44121.038090000002</v>
      </c>
      <c r="AT849" s="25">
        <f>VLOOKUP(Inventory[[#This Row],[Cnd]],Lookups!$A$76:$E$84,2,FALSE)</f>
        <v>160472.20319</v>
      </c>
      <c r="AU849" s="25">
        <f>Inventory[[#This Row],[EffAge]]*Lookups!$B$85</f>
        <v>-11375.3256255</v>
      </c>
      <c r="AV849" s="25">
        <f>Inventory[[#This Row],[MainFn]]*Lookups!$B$86</f>
        <v>68776.868468784</v>
      </c>
      <c r="AW849" s="25">
        <f>Inventory[[#This Row],[UpprFn]]*Lookups!$B$87</f>
        <v>0</v>
      </c>
      <c r="AX849" s="25">
        <f>Inventory[[#This Row],[AddFn]]*Lookups!$B$88</f>
        <v>0</v>
      </c>
      <c r="AY849" s="25">
        <f>Inventory[[#This Row],[Bsmt]]*Lookups!$B$89</f>
        <v>40481.998183823998</v>
      </c>
      <c r="AZ849" s="25">
        <f>Inventory[[#This Row],[Fixtures]]*Lookups!$B$90</f>
        <v>30336.176841600001</v>
      </c>
      <c r="BA849" s="25">
        <f>Inventory[[#This Row],[WdDeck]]*Lookups!$B$91</f>
        <v>0</v>
      </c>
      <c r="BB849" s="25">
        <f>ROUND(Inventory[[#This Row],[25Det]],-2)</f>
        <v>13200</v>
      </c>
      <c r="BC849" s="25">
        <f>ROUND(SUM(Inventory[[#This Row],[Mdl Qlty]:[Mdl WdDeck]])+Inventory[[#This Row],[Mdl Res Intercept]],-2)</f>
        <v>332800</v>
      </c>
      <c r="BD849" s="25">
        <f>ROUND(Inventory[[#This Row],[Mdl Land Intercept]]+Inventory[[#This Row],[Mdl LnAcres]],-2)</f>
        <v>46000</v>
      </c>
      <c r="BE849" s="25">
        <f>Inventory[[#This Row],[Unadj Res Value]]+Inventory[[#This Row],[Unadj Det Value]]+Inventory[[#This Row],[Unadj Land Value]]</f>
        <v>392000</v>
      </c>
      <c r="BF849" s="36">
        <f>(Inventory[[#This Row],[Unadj Total Value]]-Inventory[[#This Row],[24Final]])/Inventory[[#This Row],[24Final]]</f>
        <v>4.6449546182594767E-2</v>
      </c>
      <c r="BG849" s="25">
        <f>VLOOKUP(Inventory[[#This Row],[Nbhd]],Lookups!$Q$2:$T$4,4,FALSE)</f>
        <v>0.99970000000000003</v>
      </c>
      <c r="BH849" s="25">
        <f>VLOOKUP(Inventory[[#This Row],[Qlty]],Lookups!$O$7:$R$21,4,FALSE)</f>
        <v>0.98050000000000004</v>
      </c>
      <c r="BI849" s="25">
        <f>VLOOKUP(Inventory[[#This Row],[Cnd]],Lookups!$T$7:$W$16,4,FALSE)</f>
        <v>0.99729999999999996</v>
      </c>
      <c r="BJ849" s="25">
        <f>VLOOKUP(Inventory[[#This Row],[LivArea Range]],Lookups!$T$25:$W$37,4,FALSE)</f>
        <v>0.98919999999999997</v>
      </c>
      <c r="BK849" s="25">
        <f>VLOOKUP(Inventory[[#This Row],[Decade]],Lookups!$O$25:$R$42,4,FALSE)</f>
        <v>0.995</v>
      </c>
      <c r="BL849" s="25">
        <f>Inventory[[#This Row],[Nbhd Adj]]*0.95</f>
        <v>0.94971499999999998</v>
      </c>
      <c r="BM849" s="25">
        <f>Inventory[[#This Row],[Nbhd Adj]]*Inventory[[#This Row],[Quality Adj]]*Inventory[[#This Row],[Condition Adj]]*Inventory[[#This Row],[Living Area Adj]]*Inventory[[#This Row],[Decade Adj]]*0.95</f>
        <v>0.91405831328052556</v>
      </c>
      <c r="BN849" s="25">
        <f>ROUND(SUM(Inventory[[#This Row],[Mdl Qlty]:[Mdl WdDeck]])+Inventory[[#This Row],[Mdl Res Intercept]]*Inventory[[#This Row],[Res Adj ]],-2)</f>
        <v>332800</v>
      </c>
      <c r="BO849" s="25">
        <f>ROUND(Inventory[[#This Row],[25Det]]*Inventory[[#This Row],[Det/Nbhd Adj]],-2)</f>
        <v>12500</v>
      </c>
      <c r="BP849" s="25">
        <f>Inventory[[#This Row],[Adjusted Res]]+Inventory[[#This Row],[Adj Det ]]</f>
        <v>345300</v>
      </c>
      <c r="BQ849" s="25">
        <f>ROUND((Inventory[[#This Row],[Mdl Land Intercept]]+Inventory[[#This Row],[Mdl LnAcres]])*Inventory[[#This Row],[Det/Nbhd Adj]],-2)</f>
        <v>43700</v>
      </c>
      <c r="BR849" s="25">
        <f>Inventory[[#This Row],[Adjusted Impr Total]]+Inventory[[#This Row],[Adjusted Land Total]]</f>
        <v>389000</v>
      </c>
      <c r="BS849" s="36">
        <f>IFERROR((Inventory[[#This Row],[Adjusted Impr Total]]-Inventory[[#This Row],[24Bldg]])/Inventory[[#This Row],[24Bldg]],0)</f>
        <v>0.11964980544747082</v>
      </c>
      <c r="BT849" s="36">
        <f>(Inventory[[#This Row],[Adjusted Land Total]]-Inventory[[#This Row],[24Lnd]])/Inventory[[#This Row],[24Lnd]]</f>
        <v>-0.33987915407854985</v>
      </c>
      <c r="BU849" s="36">
        <f>(Inventory[[#This Row],[Adjusted Total]]-Inventory[[#This Row],[24Final]])/Inventory[[#This Row],[24Final]]</f>
        <v>3.8441003737319811E-2</v>
      </c>
    </row>
    <row r="850" spans="1:73" x14ac:dyDescent="0.3">
      <c r="A850" s="25">
        <v>2025</v>
      </c>
      <c r="B850" s="26" t="s">
        <v>1759</v>
      </c>
      <c r="C850" s="26">
        <f>LN(Inventory[[#This Row],[Acres]])</f>
        <v>-1.6607312068216509</v>
      </c>
      <c r="D850" s="25">
        <v>0.19</v>
      </c>
      <c r="E850" s="25">
        <v>8308</v>
      </c>
      <c r="F850" s="26" t="s">
        <v>537</v>
      </c>
      <c r="G850" s="26" t="s">
        <v>126</v>
      </c>
      <c r="H850" s="26" t="s">
        <v>349</v>
      </c>
      <c r="I850" s="26" t="s">
        <v>538</v>
      </c>
      <c r="J850" s="26" t="s">
        <v>539</v>
      </c>
      <c r="K850" s="26" t="s">
        <v>241</v>
      </c>
      <c r="L850" s="26" t="s">
        <v>351</v>
      </c>
      <c r="M850" s="26" t="s">
        <v>323</v>
      </c>
      <c r="N850" s="26">
        <v>80</v>
      </c>
      <c r="O850" s="26">
        <f>2024-Inventory[[#This Row],[YrBlt]]</f>
        <v>74</v>
      </c>
      <c r="P850" s="26">
        <f>2024-Inventory[[#This Row],[EffYr]]</f>
        <v>51</v>
      </c>
      <c r="Q850" s="25">
        <v>1950</v>
      </c>
      <c r="R850" s="25">
        <v>1973</v>
      </c>
      <c r="S850" s="25">
        <v>1519</v>
      </c>
      <c r="T850" s="27"/>
      <c r="U850" s="31"/>
      <c r="V850" s="31">
        <f>Inventory[[#This Row],[Bsmt]]-Inventory[[#This Row],[FnBsmt]]</f>
        <v>0</v>
      </c>
      <c r="W850" s="31"/>
      <c r="X850" s="27"/>
      <c r="Y850" s="27">
        <f>Inventory[[#This Row],[MainFn]]+Inventory[[#This Row],[UpprFn]]+Inventory[[#This Row],[FnBsmt]]+Inventory[[#This Row],[AddFn]]</f>
        <v>1519</v>
      </c>
      <c r="Z850" s="27">
        <v>2000</v>
      </c>
      <c r="AA850" s="25">
        <v>7</v>
      </c>
      <c r="AB850" s="32">
        <v>260</v>
      </c>
      <c r="AC850" s="27"/>
      <c r="AD850" s="27"/>
      <c r="AE850" s="27"/>
      <c r="AF850" s="27"/>
      <c r="AG850" s="27"/>
      <c r="AH850" s="27"/>
      <c r="AI850" s="25">
        <v>255363</v>
      </c>
      <c r="AJ850" s="25">
        <v>176200</v>
      </c>
      <c r="AK850" s="25">
        <v>6724</v>
      </c>
      <c r="AL850" s="25">
        <v>303000</v>
      </c>
      <c r="AM850" s="25">
        <v>56600</v>
      </c>
      <c r="AN850" s="25">
        <v>246400</v>
      </c>
      <c r="AO850" s="25">
        <v>0</v>
      </c>
      <c r="AP850" s="25">
        <f>Lookups!$B$56*0</f>
        <v>0</v>
      </c>
      <c r="AQ850" s="25">
        <f>Lookups!$B$56*1</f>
        <v>89850.625589999996</v>
      </c>
      <c r="AR850" s="25">
        <f>Lookups!$B$57*Inventory[[#This Row],[LnAcres]]</f>
        <v>-52569.808201026557</v>
      </c>
      <c r="AS850" s="25">
        <f>VLOOKUP(Inventory[[#This Row],[Qlty]],Lookups!$A$62:$E$75,2,FALSE)</f>
        <v>21557.329055999999</v>
      </c>
      <c r="AT850" s="25">
        <f>VLOOKUP(Inventory[[#This Row],[Cnd]],Lookups!$A$76:$E$84,2,FALSE)</f>
        <v>160472.20319</v>
      </c>
      <c r="AU850" s="25">
        <f>Inventory[[#This Row],[EffAge]]*Lookups!$B$85</f>
        <v>-11375.3256255</v>
      </c>
      <c r="AV850" s="25">
        <f>Inventory[[#This Row],[MainFn]]*Lookups!$B$86</f>
        <v>75051.769543162998</v>
      </c>
      <c r="AW850" s="25">
        <f>Inventory[[#This Row],[UpprFn]]*Lookups!$B$87</f>
        <v>0</v>
      </c>
      <c r="AX850" s="25">
        <f>Inventory[[#This Row],[AddFn]]*Lookups!$B$88</f>
        <v>0</v>
      </c>
      <c r="AY850" s="25">
        <f>Inventory[[#This Row],[Bsmt]]*Lookups!$B$89</f>
        <v>0</v>
      </c>
      <c r="AZ850" s="25">
        <f>Inventory[[#This Row],[Fixtures]]*Lookups!$B$90</f>
        <v>26544.1547364</v>
      </c>
      <c r="BA850" s="25">
        <f>Inventory[[#This Row],[WdDeck]]*Lookups!$B$91</f>
        <v>0</v>
      </c>
      <c r="BB850" s="25">
        <f>ROUND(Inventory[[#This Row],[25Det]],-2)</f>
        <v>6700</v>
      </c>
      <c r="BC850" s="25">
        <f>ROUND(SUM(Inventory[[#This Row],[Mdl Qlty]:[Mdl WdDeck]])+Inventory[[#This Row],[Mdl Res Intercept]],-2)</f>
        <v>272300</v>
      </c>
      <c r="BD850" s="25">
        <f>ROUND(Inventory[[#This Row],[Mdl Land Intercept]]+Inventory[[#This Row],[Mdl LnAcres]],-2)</f>
        <v>37300</v>
      </c>
      <c r="BE850" s="25">
        <f>Inventory[[#This Row],[Unadj Res Value]]+Inventory[[#This Row],[Unadj Det Value]]+Inventory[[#This Row],[Unadj Land Value]]</f>
        <v>316300</v>
      </c>
      <c r="BF850" s="36">
        <f>(Inventory[[#This Row],[Unadj Total Value]]-Inventory[[#This Row],[24Final]])/Inventory[[#This Row],[24Final]]</f>
        <v>4.3894389438943894E-2</v>
      </c>
      <c r="BG850" s="25">
        <f>VLOOKUP(Inventory[[#This Row],[Nbhd]],Lookups!$Q$2:$T$4,4,FALSE)</f>
        <v>0.99970000000000003</v>
      </c>
      <c r="BH850" s="25">
        <f>VLOOKUP(Inventory[[#This Row],[Qlty]],Lookups!$O$7:$R$21,4,FALSE)</f>
        <v>1.0067999999999999</v>
      </c>
      <c r="BI850" s="25">
        <f>VLOOKUP(Inventory[[#This Row],[Cnd]],Lookups!$T$7:$W$16,4,FALSE)</f>
        <v>0.99729999999999996</v>
      </c>
      <c r="BJ850" s="25">
        <f>VLOOKUP(Inventory[[#This Row],[LivArea Range]],Lookups!$T$25:$W$37,4,FALSE)</f>
        <v>1.0093000000000001</v>
      </c>
      <c r="BK850" s="25">
        <f>VLOOKUP(Inventory[[#This Row],[Decade]],Lookups!$O$25:$R$42,4,FALSE)</f>
        <v>0.995</v>
      </c>
      <c r="BL850" s="25">
        <f>Inventory[[#This Row],[Nbhd Adj]]*0.95</f>
        <v>0.94971499999999998</v>
      </c>
      <c r="BM850" s="25">
        <f>Inventory[[#This Row],[Nbhd Adj]]*Inventory[[#This Row],[Quality Adj]]*Inventory[[#This Row],[Condition Adj]]*Inventory[[#This Row],[Living Area Adj]]*Inventory[[#This Row],[Decade Adj]]*0.95</f>
        <v>0.957647495730095</v>
      </c>
      <c r="BN850" s="25">
        <f>ROUND(SUM(Inventory[[#This Row],[Mdl Qlty]:[Mdl WdDeck]])+Inventory[[#This Row],[Mdl Res Intercept]]*Inventory[[#This Row],[Res Adj ]],-2)</f>
        <v>272300</v>
      </c>
      <c r="BO850" s="25">
        <f>ROUND(Inventory[[#This Row],[25Det]]*Inventory[[#This Row],[Det/Nbhd Adj]],-2)</f>
        <v>6400</v>
      </c>
      <c r="BP850" s="25">
        <f>Inventory[[#This Row],[Adjusted Res]]+Inventory[[#This Row],[Adj Det ]]</f>
        <v>278700</v>
      </c>
      <c r="BQ850" s="25">
        <f>ROUND((Inventory[[#This Row],[Mdl Land Intercept]]+Inventory[[#This Row],[Mdl LnAcres]])*Inventory[[#This Row],[Det/Nbhd Adj]],-2)</f>
        <v>35400</v>
      </c>
      <c r="BR850" s="25">
        <f>Inventory[[#This Row],[Adjusted Impr Total]]+Inventory[[#This Row],[Adjusted Land Total]]</f>
        <v>314100</v>
      </c>
      <c r="BS850" s="36">
        <f>IFERROR((Inventory[[#This Row],[Adjusted Impr Total]]-Inventory[[#This Row],[24Bldg]])/Inventory[[#This Row],[24Bldg]],0)</f>
        <v>0.13108766233766234</v>
      </c>
      <c r="BT850" s="36">
        <f>(Inventory[[#This Row],[Adjusted Land Total]]-Inventory[[#This Row],[24Lnd]])/Inventory[[#This Row],[24Lnd]]</f>
        <v>-0.37455830388692579</v>
      </c>
      <c r="BU850" s="36">
        <f>(Inventory[[#This Row],[Adjusted Total]]-Inventory[[#This Row],[24Final]])/Inventory[[#This Row],[24Final]]</f>
        <v>3.6633663366336632E-2</v>
      </c>
    </row>
    <row r="851" spans="1:73" x14ac:dyDescent="0.3">
      <c r="A851" s="25">
        <v>2025</v>
      </c>
      <c r="B851" s="26" t="s">
        <v>2030</v>
      </c>
      <c r="C851" s="26">
        <f>LN(Inventory[[#This Row],[Acres]])</f>
        <v>-1.7719568419318752</v>
      </c>
      <c r="D851" s="25">
        <v>0.17</v>
      </c>
      <c r="E851" s="25">
        <v>7498</v>
      </c>
      <c r="F851" s="26" t="s">
        <v>537</v>
      </c>
      <c r="G851" s="26" t="s">
        <v>126</v>
      </c>
      <c r="H851" s="26" t="s">
        <v>349</v>
      </c>
      <c r="I851" s="26" t="s">
        <v>538</v>
      </c>
      <c r="J851" s="26" t="s">
        <v>539</v>
      </c>
      <c r="K851" s="26" t="s">
        <v>241</v>
      </c>
      <c r="L851" s="26" t="s">
        <v>351</v>
      </c>
      <c r="M851" s="26" t="s">
        <v>323</v>
      </c>
      <c r="N851" s="26">
        <v>80</v>
      </c>
      <c r="O851" s="26">
        <f>2024-Inventory[[#This Row],[YrBlt]]</f>
        <v>74</v>
      </c>
      <c r="P851" s="26">
        <f>2024-Inventory[[#This Row],[EffYr]]</f>
        <v>51</v>
      </c>
      <c r="Q851" s="25">
        <v>1950</v>
      </c>
      <c r="R851" s="25">
        <v>1973</v>
      </c>
      <c r="S851" s="25">
        <v>1893</v>
      </c>
      <c r="T851" s="27"/>
      <c r="U851" s="31"/>
      <c r="V851" s="31">
        <f>Inventory[[#This Row],[Bsmt]]-Inventory[[#This Row],[FnBsmt]]</f>
        <v>0</v>
      </c>
      <c r="W851" s="31"/>
      <c r="X851" s="27"/>
      <c r="Y851" s="27">
        <f>Inventory[[#This Row],[MainFn]]+Inventory[[#This Row],[UpprFn]]+Inventory[[#This Row],[FnBsmt]]+Inventory[[#This Row],[AddFn]]</f>
        <v>1893</v>
      </c>
      <c r="Z851" s="27">
        <v>2000</v>
      </c>
      <c r="AA851" s="25">
        <v>5</v>
      </c>
      <c r="AB851" s="27"/>
      <c r="AC851" s="27"/>
      <c r="AD851" s="27"/>
      <c r="AE851" s="27"/>
      <c r="AF851" s="27"/>
      <c r="AG851" s="27"/>
      <c r="AH851" s="27"/>
      <c r="AI851" s="25">
        <v>300640</v>
      </c>
      <c r="AJ851" s="25">
        <v>207442</v>
      </c>
      <c r="AK851" s="25">
        <v>2066</v>
      </c>
      <c r="AL851" s="25">
        <v>306000</v>
      </c>
      <c r="AM851" s="25">
        <v>52700</v>
      </c>
      <c r="AN851" s="25">
        <v>253300</v>
      </c>
      <c r="AO851" s="25">
        <v>0</v>
      </c>
      <c r="AP851" s="25">
        <f>Lookups!$B$56*0</f>
        <v>0</v>
      </c>
      <c r="AQ851" s="25">
        <f>Lookups!$B$56*1</f>
        <v>89850.625589999996</v>
      </c>
      <c r="AR851" s="25">
        <f>Lookups!$B$57*Inventory[[#This Row],[LnAcres]]</f>
        <v>-56090.612940989391</v>
      </c>
      <c r="AS851" s="25">
        <f>VLOOKUP(Inventory[[#This Row],[Qlty]],Lookups!$A$62:$E$75,2,FALSE)</f>
        <v>21557.329055999999</v>
      </c>
      <c r="AT851" s="25">
        <f>VLOOKUP(Inventory[[#This Row],[Cnd]],Lookups!$A$76:$E$84,2,FALSE)</f>
        <v>160472.20319</v>
      </c>
      <c r="AU851" s="25">
        <f>Inventory[[#This Row],[EffAge]]*Lookups!$B$85</f>
        <v>-11375.3256255</v>
      </c>
      <c r="AV851" s="25">
        <f>Inventory[[#This Row],[MainFn]]*Lookups!$B$86</f>
        <v>93530.612077161</v>
      </c>
      <c r="AW851" s="25">
        <f>Inventory[[#This Row],[UpprFn]]*Lookups!$B$87</f>
        <v>0</v>
      </c>
      <c r="AX851" s="25">
        <f>Inventory[[#This Row],[AddFn]]*Lookups!$B$88</f>
        <v>0</v>
      </c>
      <c r="AY851" s="25">
        <f>Inventory[[#This Row],[Bsmt]]*Lookups!$B$89</f>
        <v>0</v>
      </c>
      <c r="AZ851" s="25">
        <f>Inventory[[#This Row],[Fixtures]]*Lookups!$B$90</f>
        <v>18960.110526</v>
      </c>
      <c r="BA851" s="25">
        <f>Inventory[[#This Row],[WdDeck]]*Lookups!$B$91</f>
        <v>0</v>
      </c>
      <c r="BB851" s="25">
        <f>ROUND(Inventory[[#This Row],[25Det]],-2)</f>
        <v>2100</v>
      </c>
      <c r="BC851" s="25">
        <f>ROUND(SUM(Inventory[[#This Row],[Mdl Qlty]:[Mdl WdDeck]])+Inventory[[#This Row],[Mdl Res Intercept]],-2)</f>
        <v>283100</v>
      </c>
      <c r="BD851" s="25">
        <f>ROUND(Inventory[[#This Row],[Mdl Land Intercept]]+Inventory[[#This Row],[Mdl LnAcres]],-2)</f>
        <v>33800</v>
      </c>
      <c r="BE851" s="25">
        <f>Inventory[[#This Row],[Unadj Res Value]]+Inventory[[#This Row],[Unadj Det Value]]+Inventory[[#This Row],[Unadj Land Value]]</f>
        <v>319000</v>
      </c>
      <c r="BF851" s="36">
        <f>(Inventory[[#This Row],[Unadj Total Value]]-Inventory[[#This Row],[24Final]])/Inventory[[#This Row],[24Final]]</f>
        <v>4.2483660130718956E-2</v>
      </c>
      <c r="BG851" s="25">
        <f>VLOOKUP(Inventory[[#This Row],[Nbhd]],Lookups!$Q$2:$T$4,4,FALSE)</f>
        <v>0.99970000000000003</v>
      </c>
      <c r="BH851" s="25">
        <f>VLOOKUP(Inventory[[#This Row],[Qlty]],Lookups!$O$7:$R$21,4,FALSE)</f>
        <v>1.0067999999999999</v>
      </c>
      <c r="BI851" s="25">
        <f>VLOOKUP(Inventory[[#This Row],[Cnd]],Lookups!$T$7:$W$16,4,FALSE)</f>
        <v>0.99729999999999996</v>
      </c>
      <c r="BJ851" s="25">
        <f>VLOOKUP(Inventory[[#This Row],[LivArea Range]],Lookups!$T$25:$W$37,4,FALSE)</f>
        <v>1.0093000000000001</v>
      </c>
      <c r="BK851" s="25">
        <f>VLOOKUP(Inventory[[#This Row],[Decade]],Lookups!$O$25:$R$42,4,FALSE)</f>
        <v>0.995</v>
      </c>
      <c r="BL851" s="25">
        <f>Inventory[[#This Row],[Nbhd Adj]]*0.95</f>
        <v>0.94971499999999998</v>
      </c>
      <c r="BM851" s="25">
        <f>Inventory[[#This Row],[Nbhd Adj]]*Inventory[[#This Row],[Quality Adj]]*Inventory[[#This Row],[Condition Adj]]*Inventory[[#This Row],[Living Area Adj]]*Inventory[[#This Row],[Decade Adj]]*0.95</f>
        <v>0.957647495730095</v>
      </c>
      <c r="BN851" s="25">
        <f>ROUND(SUM(Inventory[[#This Row],[Mdl Qlty]:[Mdl WdDeck]])+Inventory[[#This Row],[Mdl Res Intercept]]*Inventory[[#This Row],[Res Adj ]],-2)</f>
        <v>283100</v>
      </c>
      <c r="BO851" s="25">
        <f>ROUND(Inventory[[#This Row],[25Det]]*Inventory[[#This Row],[Det/Nbhd Adj]],-2)</f>
        <v>2000</v>
      </c>
      <c r="BP851" s="25">
        <f>Inventory[[#This Row],[Adjusted Res]]+Inventory[[#This Row],[Adj Det ]]</f>
        <v>285100</v>
      </c>
      <c r="BQ851" s="25">
        <f>ROUND((Inventory[[#This Row],[Mdl Land Intercept]]+Inventory[[#This Row],[Mdl LnAcres]])*Inventory[[#This Row],[Det/Nbhd Adj]],-2)</f>
        <v>32100</v>
      </c>
      <c r="BR851" s="25">
        <f>Inventory[[#This Row],[Adjusted Impr Total]]+Inventory[[#This Row],[Adjusted Land Total]]</f>
        <v>317200</v>
      </c>
      <c r="BS851" s="36">
        <f>IFERROR((Inventory[[#This Row],[Adjusted Impr Total]]-Inventory[[#This Row],[24Bldg]])/Inventory[[#This Row],[24Bldg]],0)</f>
        <v>0.12554283458349783</v>
      </c>
      <c r="BT851" s="36">
        <f>(Inventory[[#This Row],[Adjusted Land Total]]-Inventory[[#This Row],[24Lnd]])/Inventory[[#This Row],[24Lnd]]</f>
        <v>-0.39089184060721061</v>
      </c>
      <c r="BU851" s="36">
        <f>(Inventory[[#This Row],[Adjusted Total]]-Inventory[[#This Row],[24Final]])/Inventory[[#This Row],[24Final]]</f>
        <v>3.6601307189542485E-2</v>
      </c>
    </row>
    <row r="852" spans="1:73" x14ac:dyDescent="0.3">
      <c r="A852" s="25">
        <v>2025</v>
      </c>
      <c r="B852" s="26" t="s">
        <v>1000</v>
      </c>
      <c r="C852" s="26">
        <f>LN(Inventory[[#This Row],[Acres]])</f>
        <v>0.81977983149331135</v>
      </c>
      <c r="D852" s="25">
        <v>2.27</v>
      </c>
      <c r="E852" s="25">
        <v>98800</v>
      </c>
      <c r="F852" s="26" t="s">
        <v>537</v>
      </c>
      <c r="G852" s="26" t="s">
        <v>126</v>
      </c>
      <c r="H852" s="26" t="s">
        <v>349</v>
      </c>
      <c r="I852" s="26" t="s">
        <v>538</v>
      </c>
      <c r="J852" s="26" t="s">
        <v>539</v>
      </c>
      <c r="K852" s="26" t="s">
        <v>242</v>
      </c>
      <c r="L852" s="26" t="s">
        <v>148</v>
      </c>
      <c r="M852" s="26" t="s">
        <v>352</v>
      </c>
      <c r="N852" s="26">
        <v>80</v>
      </c>
      <c r="O852" s="26">
        <f>2024-Inventory[[#This Row],[YrBlt]]</f>
        <v>74</v>
      </c>
      <c r="P852" s="26">
        <f>2024-Inventory[[#This Row],[EffYr]]</f>
        <v>51</v>
      </c>
      <c r="Q852" s="25">
        <v>1950</v>
      </c>
      <c r="R852" s="25">
        <v>1973</v>
      </c>
      <c r="S852" s="25">
        <v>2309</v>
      </c>
      <c r="T852" s="27"/>
      <c r="U852" s="25">
        <v>1801</v>
      </c>
      <c r="V852" s="25">
        <f>Inventory[[#This Row],[Bsmt]]-Inventory[[#This Row],[FnBsmt]]</f>
        <v>294</v>
      </c>
      <c r="W852" s="25">
        <v>1507</v>
      </c>
      <c r="X852" s="27"/>
      <c r="Y852" s="27">
        <f>Inventory[[#This Row],[MainFn]]+Inventory[[#This Row],[UpprFn]]+Inventory[[#This Row],[FnBsmt]]+Inventory[[#This Row],[AddFn]]</f>
        <v>3816</v>
      </c>
      <c r="Z852" s="27">
        <v>4000</v>
      </c>
      <c r="AA852" s="25">
        <v>10</v>
      </c>
      <c r="AB852" s="27"/>
      <c r="AC852" s="27"/>
      <c r="AD852" s="27"/>
      <c r="AE852" s="27"/>
      <c r="AF852" s="27"/>
      <c r="AG852" s="27"/>
      <c r="AH852" s="27"/>
      <c r="AI852" s="25">
        <v>745713</v>
      </c>
      <c r="AJ852" s="25">
        <v>536913</v>
      </c>
      <c r="AK852" s="25">
        <v>27886</v>
      </c>
      <c r="AL852" s="25">
        <v>635200</v>
      </c>
      <c r="AM852" s="25">
        <v>143100</v>
      </c>
      <c r="AN852" s="25">
        <v>492100</v>
      </c>
      <c r="AO852" s="25">
        <v>0</v>
      </c>
      <c r="AP852" s="25">
        <f>Lookups!$B$56*0</f>
        <v>0</v>
      </c>
      <c r="AQ852" s="25">
        <f>Lookups!$B$56*1</f>
        <v>89850.625589999996</v>
      </c>
      <c r="AR852" s="25">
        <f>Lookups!$B$57*Inventory[[#This Row],[LnAcres]]</f>
        <v>25949.815558142502</v>
      </c>
      <c r="AS852" s="25">
        <f>VLOOKUP(Inventory[[#This Row],[Qlty]],Lookups!$A$62:$E$75,2,FALSE)</f>
        <v>44121.038090000002</v>
      </c>
      <c r="AT852" s="25">
        <f>VLOOKUP(Inventory[[#This Row],[Cnd]],Lookups!$A$76:$E$84,2,FALSE)</f>
        <v>284810.60806</v>
      </c>
      <c r="AU852" s="25">
        <f>Inventory[[#This Row],[EffAge]]*Lookups!$B$85</f>
        <v>-11375.3256255</v>
      </c>
      <c r="AV852" s="25">
        <f>Inventory[[#This Row],[MainFn]]*Lookups!$B$86</f>
        <v>114084.61874599301</v>
      </c>
      <c r="AW852" s="25">
        <f>Inventory[[#This Row],[UpprFn]]*Lookups!$B$87</f>
        <v>0</v>
      </c>
      <c r="AX852" s="25">
        <f>Inventory[[#This Row],[AddFn]]*Lookups!$B$88</f>
        <v>0</v>
      </c>
      <c r="AY852" s="25">
        <f>Inventory[[#This Row],[Bsmt]]*Lookups!$B$89</f>
        <v>52376.493339846995</v>
      </c>
      <c r="AZ852" s="25">
        <f>Inventory[[#This Row],[Fixtures]]*Lookups!$B$90</f>
        <v>37920.221052000001</v>
      </c>
      <c r="BA852" s="25">
        <f>Inventory[[#This Row],[WdDeck]]*Lookups!$B$91</f>
        <v>0</v>
      </c>
      <c r="BB852" s="25">
        <f>ROUND(Inventory[[#This Row],[25Det]],-2)</f>
        <v>27900</v>
      </c>
      <c r="BC852" s="25">
        <f>ROUND(SUM(Inventory[[#This Row],[Mdl Qlty]:[Mdl WdDeck]])+Inventory[[#This Row],[Mdl Res Intercept]],-2)</f>
        <v>521900</v>
      </c>
      <c r="BD852" s="25">
        <f>ROUND(Inventory[[#This Row],[Mdl Land Intercept]]+Inventory[[#This Row],[Mdl LnAcres]],-2)</f>
        <v>115800</v>
      </c>
      <c r="BE852" s="25">
        <f>Inventory[[#This Row],[Unadj Res Value]]+Inventory[[#This Row],[Unadj Det Value]]+Inventory[[#This Row],[Unadj Land Value]]</f>
        <v>665600</v>
      </c>
      <c r="BF852" s="36">
        <f>(Inventory[[#This Row],[Unadj Total Value]]-Inventory[[#This Row],[24Final]])/Inventory[[#This Row],[24Final]]</f>
        <v>4.7858942065491183E-2</v>
      </c>
      <c r="BG852" s="25">
        <f>VLOOKUP(Inventory[[#This Row],[Nbhd]],Lookups!$Q$2:$T$4,4,FALSE)</f>
        <v>0.99970000000000003</v>
      </c>
      <c r="BH852" s="25">
        <f>VLOOKUP(Inventory[[#This Row],[Qlty]],Lookups!$O$7:$R$21,4,FALSE)</f>
        <v>0.98050000000000004</v>
      </c>
      <c r="BI852" s="25">
        <f>VLOOKUP(Inventory[[#This Row],[Cnd]],Lookups!$T$7:$W$16,4,FALSE)</f>
        <v>1.0158</v>
      </c>
      <c r="BJ852" s="25">
        <f>VLOOKUP(Inventory[[#This Row],[LivArea Range]],Lookups!$T$25:$W$37,4,FALSE)</f>
        <v>0.94579999999999997</v>
      </c>
      <c r="BK852" s="25">
        <f>VLOOKUP(Inventory[[#This Row],[Decade]],Lookups!$O$25:$R$42,4,FALSE)</f>
        <v>0.995</v>
      </c>
      <c r="BL852" s="25">
        <f>Inventory[[#This Row],[Nbhd Adj]]*0.95</f>
        <v>0.94971499999999998</v>
      </c>
      <c r="BM852" s="25">
        <f>Inventory[[#This Row],[Nbhd Adj]]*Inventory[[#This Row],[Quality Adj]]*Inventory[[#This Row],[Condition Adj]]*Inventory[[#This Row],[Living Area Adj]]*Inventory[[#This Row],[Decade Adj]]*0.95</f>
        <v>0.89016700841705743</v>
      </c>
      <c r="BN852" s="25">
        <f>ROUND(SUM(Inventory[[#This Row],[Mdl Qlty]:[Mdl WdDeck]])+Inventory[[#This Row],[Mdl Res Intercept]]*Inventory[[#This Row],[Res Adj ]],-2)</f>
        <v>521900</v>
      </c>
      <c r="BO852" s="25">
        <f>ROUND(Inventory[[#This Row],[25Det]]*Inventory[[#This Row],[Det/Nbhd Adj]],-2)</f>
        <v>26500</v>
      </c>
      <c r="BP852" s="25">
        <f>Inventory[[#This Row],[Adjusted Res]]+Inventory[[#This Row],[Adj Det ]]</f>
        <v>548400</v>
      </c>
      <c r="BQ852" s="25">
        <f>ROUND((Inventory[[#This Row],[Mdl Land Intercept]]+Inventory[[#This Row],[Mdl LnAcres]])*Inventory[[#This Row],[Det/Nbhd Adj]],-2)</f>
        <v>110000</v>
      </c>
      <c r="BR852" s="25">
        <f>Inventory[[#This Row],[Adjusted Impr Total]]+Inventory[[#This Row],[Adjusted Land Total]]</f>
        <v>658400</v>
      </c>
      <c r="BS852" s="36">
        <f>IFERROR((Inventory[[#This Row],[Adjusted Impr Total]]-Inventory[[#This Row],[24Bldg]])/Inventory[[#This Row],[24Bldg]],0)</f>
        <v>0.1144076407234302</v>
      </c>
      <c r="BT852" s="36">
        <f>(Inventory[[#This Row],[Adjusted Land Total]]-Inventory[[#This Row],[24Lnd]])/Inventory[[#This Row],[24Lnd]]</f>
        <v>-0.23130677847658979</v>
      </c>
      <c r="BU852" s="36">
        <f>(Inventory[[#This Row],[Adjusted Total]]-Inventory[[#This Row],[24Final]])/Inventory[[#This Row],[24Final]]</f>
        <v>3.6523929471032744E-2</v>
      </c>
    </row>
    <row r="853" spans="1:73" x14ac:dyDescent="0.3">
      <c r="A853" s="25">
        <v>2025</v>
      </c>
      <c r="B853" s="26" t="s">
        <v>2263</v>
      </c>
      <c r="C853" s="26">
        <f>LN(Inventory[[#This Row],[Acres]])</f>
        <v>-1.0788096613719298</v>
      </c>
      <c r="D853" s="25">
        <v>0.34</v>
      </c>
      <c r="E853" s="25">
        <v>15000</v>
      </c>
      <c r="F853" s="26" t="s">
        <v>537</v>
      </c>
      <c r="G853" s="26" t="s">
        <v>126</v>
      </c>
      <c r="H853" s="26" t="s">
        <v>349</v>
      </c>
      <c r="I853" s="26" t="s">
        <v>538</v>
      </c>
      <c r="J853" s="26" t="s">
        <v>539</v>
      </c>
      <c r="K853" s="26" t="s">
        <v>241</v>
      </c>
      <c r="L853" s="26" t="s">
        <v>302</v>
      </c>
      <c r="M853" s="26" t="s">
        <v>323</v>
      </c>
      <c r="N853" s="26">
        <v>80</v>
      </c>
      <c r="O853" s="26">
        <f>2024-Inventory[[#This Row],[YrBlt]]</f>
        <v>74</v>
      </c>
      <c r="P853" s="26">
        <f>2024-Inventory[[#This Row],[EffYr]]</f>
        <v>51</v>
      </c>
      <c r="Q853" s="25">
        <v>1950</v>
      </c>
      <c r="R853" s="25">
        <v>1973</v>
      </c>
      <c r="S853" s="25">
        <v>2173</v>
      </c>
      <c r="T853" s="27"/>
      <c r="U853" s="31"/>
      <c r="V853" s="31">
        <f>Inventory[[#This Row],[Bsmt]]-Inventory[[#This Row],[FnBsmt]]</f>
        <v>0</v>
      </c>
      <c r="W853" s="31"/>
      <c r="X853" s="27"/>
      <c r="Y853" s="27">
        <f>Inventory[[#This Row],[MainFn]]+Inventory[[#This Row],[UpprFn]]+Inventory[[#This Row],[FnBsmt]]+Inventory[[#This Row],[AddFn]]</f>
        <v>2173</v>
      </c>
      <c r="Z853" s="27">
        <v>2500</v>
      </c>
      <c r="AA853" s="25">
        <v>9</v>
      </c>
      <c r="AB853" s="32">
        <v>273</v>
      </c>
      <c r="AC853" s="27"/>
      <c r="AD853" s="25">
        <v>224</v>
      </c>
      <c r="AE853" s="27"/>
      <c r="AF853" s="27"/>
      <c r="AG853" s="27"/>
      <c r="AH853" s="27"/>
      <c r="AI853" s="25">
        <v>412165</v>
      </c>
      <c r="AJ853" s="25">
        <v>284394</v>
      </c>
      <c r="AK853" s="25">
        <v>0</v>
      </c>
      <c r="AL853" s="25">
        <v>367400</v>
      </c>
      <c r="AM853" s="25">
        <v>76900</v>
      </c>
      <c r="AN853" s="25">
        <v>290500</v>
      </c>
      <c r="AO853" s="25">
        <v>0</v>
      </c>
      <c r="AP853" s="25">
        <f>Lookups!$B$56*0</f>
        <v>0</v>
      </c>
      <c r="AQ853" s="25">
        <f>Lookups!$B$56*1</f>
        <v>89850.625589999996</v>
      </c>
      <c r="AR853" s="25">
        <f>Lookups!$B$57*Inventory[[#This Row],[LnAcres]]</f>
        <v>-34149.305288406773</v>
      </c>
      <c r="AS853" s="25">
        <f>VLOOKUP(Inventory[[#This Row],[Qlty]],Lookups!$A$62:$E$75,2,FALSE)</f>
        <v>29814.093161000001</v>
      </c>
      <c r="AT853" s="25">
        <f>VLOOKUP(Inventory[[#This Row],[Cnd]],Lookups!$A$76:$E$84,2,FALSE)</f>
        <v>160472.20319</v>
      </c>
      <c r="AU853" s="25">
        <f>Inventory[[#This Row],[EffAge]]*Lookups!$B$85</f>
        <v>-11375.3256255</v>
      </c>
      <c r="AV853" s="25">
        <f>Inventory[[#This Row],[MainFn]]*Lookups!$B$86</f>
        <v>107365.03964272101</v>
      </c>
      <c r="AW853" s="25">
        <f>Inventory[[#This Row],[UpprFn]]*Lookups!$B$87</f>
        <v>0</v>
      </c>
      <c r="AX853" s="25">
        <f>Inventory[[#This Row],[AddFn]]*Lookups!$B$88</f>
        <v>0</v>
      </c>
      <c r="AY853" s="25">
        <f>Inventory[[#This Row],[Bsmt]]*Lookups!$B$89</f>
        <v>0</v>
      </c>
      <c r="AZ853" s="25">
        <f>Inventory[[#This Row],[Fixtures]]*Lookups!$B$90</f>
        <v>34128.198946800003</v>
      </c>
      <c r="BA853" s="25">
        <f>Inventory[[#This Row],[WdDeck]]*Lookups!$B$91</f>
        <v>7458.1954218240007</v>
      </c>
      <c r="BB853" s="25">
        <f>ROUND(Inventory[[#This Row],[25Det]],-2)</f>
        <v>0</v>
      </c>
      <c r="BC853" s="25">
        <f>ROUND(SUM(Inventory[[#This Row],[Mdl Qlty]:[Mdl WdDeck]])+Inventory[[#This Row],[Mdl Res Intercept]],-2)</f>
        <v>327900</v>
      </c>
      <c r="BD853" s="25">
        <f>ROUND(Inventory[[#This Row],[Mdl Land Intercept]]+Inventory[[#This Row],[Mdl LnAcres]],-2)</f>
        <v>55700</v>
      </c>
      <c r="BE853" s="25">
        <f>Inventory[[#This Row],[Unadj Res Value]]+Inventory[[#This Row],[Unadj Det Value]]+Inventory[[#This Row],[Unadj Land Value]]</f>
        <v>383600</v>
      </c>
      <c r="BF853" s="36">
        <f>(Inventory[[#This Row],[Unadj Total Value]]-Inventory[[#This Row],[24Final]])/Inventory[[#This Row],[24Final]]</f>
        <v>4.4093630919978227E-2</v>
      </c>
      <c r="BG853" s="25">
        <f>VLOOKUP(Inventory[[#This Row],[Nbhd]],Lookups!$Q$2:$T$4,4,FALSE)</f>
        <v>0.99970000000000003</v>
      </c>
      <c r="BH853" s="25">
        <f>VLOOKUP(Inventory[[#This Row],[Qlty]],Lookups!$O$7:$R$21,4,FALSE)</f>
        <v>1.0088999999999999</v>
      </c>
      <c r="BI853" s="25">
        <f>VLOOKUP(Inventory[[#This Row],[Cnd]],Lookups!$T$7:$W$16,4,FALSE)</f>
        <v>0.99729999999999996</v>
      </c>
      <c r="BJ853" s="25">
        <f>VLOOKUP(Inventory[[#This Row],[LivArea Range]],Lookups!$T$25:$W$37,4,FALSE)</f>
        <v>0.98919999999999997</v>
      </c>
      <c r="BK853" s="25">
        <f>VLOOKUP(Inventory[[#This Row],[Decade]],Lookups!$O$25:$R$42,4,FALSE)</f>
        <v>0.995</v>
      </c>
      <c r="BL853" s="25">
        <f>Inventory[[#This Row],[Nbhd Adj]]*0.95</f>
        <v>0.94971499999999998</v>
      </c>
      <c r="BM853" s="25">
        <f>Inventory[[#This Row],[Nbhd Adj]]*Inventory[[#This Row],[Quality Adj]]*Inventory[[#This Row],[Condition Adj]]*Inventory[[#This Row],[Living Area Adj]]*Inventory[[#This Row],[Decade Adj]]*0.95</f>
        <v>0.94053384219145564</v>
      </c>
      <c r="BN853" s="25">
        <f>ROUND(SUM(Inventory[[#This Row],[Mdl Qlty]:[Mdl WdDeck]])+Inventory[[#This Row],[Mdl Res Intercept]]*Inventory[[#This Row],[Res Adj ]],-2)</f>
        <v>327900</v>
      </c>
      <c r="BO853" s="25">
        <f>ROUND(Inventory[[#This Row],[25Det]]*Inventory[[#This Row],[Det/Nbhd Adj]],-2)</f>
        <v>0</v>
      </c>
      <c r="BP853" s="25">
        <f>Inventory[[#This Row],[Adjusted Res]]+Inventory[[#This Row],[Adj Det ]]</f>
        <v>327900</v>
      </c>
      <c r="BQ853" s="25">
        <f>ROUND((Inventory[[#This Row],[Mdl Land Intercept]]+Inventory[[#This Row],[Mdl LnAcres]])*Inventory[[#This Row],[Det/Nbhd Adj]],-2)</f>
        <v>52900</v>
      </c>
      <c r="BR853" s="25">
        <f>Inventory[[#This Row],[Adjusted Impr Total]]+Inventory[[#This Row],[Adjusted Land Total]]</f>
        <v>380800</v>
      </c>
      <c r="BS853" s="36">
        <f>IFERROR((Inventory[[#This Row],[Adjusted Impr Total]]-Inventory[[#This Row],[24Bldg]])/Inventory[[#This Row],[24Bldg]],0)</f>
        <v>0.1287435456110155</v>
      </c>
      <c r="BT853" s="36">
        <f>(Inventory[[#This Row],[Adjusted Land Total]]-Inventory[[#This Row],[24Lnd]])/Inventory[[#This Row],[24Lnd]]</f>
        <v>-0.31209362808842656</v>
      </c>
      <c r="BU853" s="36">
        <f>(Inventory[[#This Row],[Adjusted Total]]-Inventory[[#This Row],[24Final]])/Inventory[[#This Row],[24Final]]</f>
        <v>3.6472509526401742E-2</v>
      </c>
    </row>
    <row r="854" spans="1:73" x14ac:dyDescent="0.3">
      <c r="A854" s="25">
        <v>2025</v>
      </c>
      <c r="B854" s="26" t="s">
        <v>2874</v>
      </c>
      <c r="C854" s="26">
        <f>LN(Inventory[[#This Row],[Acres]])</f>
        <v>-1.5606477482646683</v>
      </c>
      <c r="D854" s="25">
        <v>0.21</v>
      </c>
      <c r="E854" s="31"/>
      <c r="F854" s="26" t="s">
        <v>537</v>
      </c>
      <c r="G854" s="26" t="s">
        <v>126</v>
      </c>
      <c r="H854" s="26" t="s">
        <v>349</v>
      </c>
      <c r="I854" s="26" t="s">
        <v>538</v>
      </c>
      <c r="J854" s="26" t="s">
        <v>539</v>
      </c>
      <c r="K854" s="26" t="s">
        <v>241</v>
      </c>
      <c r="L854" s="26" t="s">
        <v>351</v>
      </c>
      <c r="M854" s="26" t="s">
        <v>323</v>
      </c>
      <c r="N854" s="26">
        <v>80</v>
      </c>
      <c r="O854" s="26">
        <f>2024-Inventory[[#This Row],[YrBlt]]</f>
        <v>74</v>
      </c>
      <c r="P854" s="26">
        <f>2024-Inventory[[#This Row],[EffYr]]</f>
        <v>51</v>
      </c>
      <c r="Q854" s="25">
        <v>1950</v>
      </c>
      <c r="R854" s="25">
        <v>1973</v>
      </c>
      <c r="S854" s="25">
        <v>1609</v>
      </c>
      <c r="T854" s="27"/>
      <c r="U854" s="31"/>
      <c r="V854" s="31">
        <f>Inventory[[#This Row],[Bsmt]]-Inventory[[#This Row],[FnBsmt]]</f>
        <v>0</v>
      </c>
      <c r="W854" s="31"/>
      <c r="X854" s="27"/>
      <c r="Y854" s="27">
        <f>Inventory[[#This Row],[MainFn]]+Inventory[[#This Row],[UpprFn]]+Inventory[[#This Row],[FnBsmt]]+Inventory[[#This Row],[AddFn]]</f>
        <v>1609</v>
      </c>
      <c r="Z854" s="27">
        <v>2000</v>
      </c>
      <c r="AA854" s="25">
        <v>5</v>
      </c>
      <c r="AB854" s="32">
        <v>242</v>
      </c>
      <c r="AC854" s="27"/>
      <c r="AD854" s="27"/>
      <c r="AE854" s="27"/>
      <c r="AF854" s="27"/>
      <c r="AG854" s="27"/>
      <c r="AH854" s="27"/>
      <c r="AI854" s="25">
        <v>252006</v>
      </c>
      <c r="AJ854" s="25">
        <v>173884</v>
      </c>
      <c r="AK854" s="25">
        <v>0</v>
      </c>
      <c r="AL854" s="25">
        <v>296700</v>
      </c>
      <c r="AM854" s="25">
        <v>60100</v>
      </c>
      <c r="AN854" s="25">
        <v>236600</v>
      </c>
      <c r="AO854" s="25">
        <v>0</v>
      </c>
      <c r="AP854" s="25">
        <f>Lookups!$B$56*0</f>
        <v>0</v>
      </c>
      <c r="AQ854" s="25">
        <f>Lookups!$B$56*1</f>
        <v>89850.625589999996</v>
      </c>
      <c r="AR854" s="25">
        <f>Lookups!$B$57*Inventory[[#This Row],[LnAcres]]</f>
        <v>-49401.70477837498</v>
      </c>
      <c r="AS854" s="25">
        <f>VLOOKUP(Inventory[[#This Row],[Qlty]],Lookups!$A$62:$E$75,2,FALSE)</f>
        <v>21557.329055999999</v>
      </c>
      <c r="AT854" s="25">
        <f>VLOOKUP(Inventory[[#This Row],[Cnd]],Lookups!$A$76:$E$84,2,FALSE)</f>
        <v>160472.20319</v>
      </c>
      <c r="AU854" s="25">
        <f>Inventory[[#This Row],[EffAge]]*Lookups!$B$85</f>
        <v>-11375.3256255</v>
      </c>
      <c r="AV854" s="25">
        <f>Inventory[[#This Row],[MainFn]]*Lookups!$B$86</f>
        <v>79498.549832093006</v>
      </c>
      <c r="AW854" s="25">
        <f>Inventory[[#This Row],[UpprFn]]*Lookups!$B$87</f>
        <v>0</v>
      </c>
      <c r="AX854" s="25">
        <f>Inventory[[#This Row],[AddFn]]*Lookups!$B$88</f>
        <v>0</v>
      </c>
      <c r="AY854" s="25">
        <f>Inventory[[#This Row],[Bsmt]]*Lookups!$B$89</f>
        <v>0</v>
      </c>
      <c r="AZ854" s="25">
        <f>Inventory[[#This Row],[Fixtures]]*Lookups!$B$90</f>
        <v>18960.110526</v>
      </c>
      <c r="BA854" s="25">
        <f>Inventory[[#This Row],[WdDeck]]*Lookups!$B$91</f>
        <v>0</v>
      </c>
      <c r="BB854" s="25">
        <f>ROUND(Inventory[[#This Row],[25Det]],-2)</f>
        <v>0</v>
      </c>
      <c r="BC854" s="25">
        <f>ROUND(SUM(Inventory[[#This Row],[Mdl Qlty]:[Mdl WdDeck]])+Inventory[[#This Row],[Mdl Res Intercept]],-2)</f>
        <v>269100</v>
      </c>
      <c r="BD854" s="25">
        <f>ROUND(Inventory[[#This Row],[Mdl Land Intercept]]+Inventory[[#This Row],[Mdl LnAcres]],-2)</f>
        <v>40400</v>
      </c>
      <c r="BE854" s="25">
        <f>Inventory[[#This Row],[Unadj Res Value]]+Inventory[[#This Row],[Unadj Det Value]]+Inventory[[#This Row],[Unadj Land Value]]</f>
        <v>309500</v>
      </c>
      <c r="BF854" s="36">
        <f>(Inventory[[#This Row],[Unadj Total Value]]-Inventory[[#This Row],[24Final]])/Inventory[[#This Row],[24Final]]</f>
        <v>4.3141220087630605E-2</v>
      </c>
      <c r="BG854" s="25">
        <f>VLOOKUP(Inventory[[#This Row],[Nbhd]],Lookups!$Q$2:$T$4,4,FALSE)</f>
        <v>0.99970000000000003</v>
      </c>
      <c r="BH854" s="25">
        <f>VLOOKUP(Inventory[[#This Row],[Qlty]],Lookups!$O$7:$R$21,4,FALSE)</f>
        <v>1.0067999999999999</v>
      </c>
      <c r="BI854" s="25">
        <f>VLOOKUP(Inventory[[#This Row],[Cnd]],Lookups!$T$7:$W$16,4,FALSE)</f>
        <v>0.99729999999999996</v>
      </c>
      <c r="BJ854" s="25">
        <f>VLOOKUP(Inventory[[#This Row],[LivArea Range]],Lookups!$T$25:$W$37,4,FALSE)</f>
        <v>1.0093000000000001</v>
      </c>
      <c r="BK854" s="25">
        <f>VLOOKUP(Inventory[[#This Row],[Decade]],Lookups!$O$25:$R$42,4,FALSE)</f>
        <v>0.995</v>
      </c>
      <c r="BL854" s="25">
        <f>Inventory[[#This Row],[Nbhd Adj]]*0.95</f>
        <v>0.94971499999999998</v>
      </c>
      <c r="BM854" s="25">
        <f>Inventory[[#This Row],[Nbhd Adj]]*Inventory[[#This Row],[Quality Adj]]*Inventory[[#This Row],[Condition Adj]]*Inventory[[#This Row],[Living Area Adj]]*Inventory[[#This Row],[Decade Adj]]*0.95</f>
        <v>0.957647495730095</v>
      </c>
      <c r="BN854" s="25">
        <f>ROUND(SUM(Inventory[[#This Row],[Mdl Qlty]:[Mdl WdDeck]])+Inventory[[#This Row],[Mdl Res Intercept]]*Inventory[[#This Row],[Res Adj ]],-2)</f>
        <v>269100</v>
      </c>
      <c r="BO854" s="25">
        <f>ROUND(Inventory[[#This Row],[25Det]]*Inventory[[#This Row],[Det/Nbhd Adj]],-2)</f>
        <v>0</v>
      </c>
      <c r="BP854" s="25">
        <f>Inventory[[#This Row],[Adjusted Res]]+Inventory[[#This Row],[Adj Det ]]</f>
        <v>269100</v>
      </c>
      <c r="BQ854" s="25">
        <f>ROUND((Inventory[[#This Row],[Mdl Land Intercept]]+Inventory[[#This Row],[Mdl LnAcres]])*Inventory[[#This Row],[Det/Nbhd Adj]],-2)</f>
        <v>38400</v>
      </c>
      <c r="BR854" s="25">
        <f>Inventory[[#This Row],[Adjusted Impr Total]]+Inventory[[#This Row],[Adjusted Land Total]]</f>
        <v>307500</v>
      </c>
      <c r="BS854" s="36">
        <f>IFERROR((Inventory[[#This Row],[Adjusted Impr Total]]-Inventory[[#This Row],[24Bldg]])/Inventory[[#This Row],[24Bldg]],0)</f>
        <v>0.13736263736263737</v>
      </c>
      <c r="BT854" s="36">
        <f>(Inventory[[#This Row],[Adjusted Land Total]]-Inventory[[#This Row],[24Lnd]])/Inventory[[#This Row],[24Lnd]]</f>
        <v>-0.36106489184692181</v>
      </c>
      <c r="BU854" s="36">
        <f>(Inventory[[#This Row],[Adjusted Total]]-Inventory[[#This Row],[24Final]])/Inventory[[#This Row],[24Final]]</f>
        <v>3.6400404448938321E-2</v>
      </c>
    </row>
    <row r="855" spans="1:73" x14ac:dyDescent="0.3">
      <c r="A855" s="25">
        <v>2025</v>
      </c>
      <c r="B855" s="26" t="s">
        <v>1876</v>
      </c>
      <c r="C855" s="26">
        <f>LN(Inventory[[#This Row],[Acres]])</f>
        <v>-1.1394342831883648</v>
      </c>
      <c r="D855" s="25">
        <v>0.32</v>
      </c>
      <c r="E855" s="31"/>
      <c r="F855" s="26" t="s">
        <v>537</v>
      </c>
      <c r="G855" s="26" t="s">
        <v>126</v>
      </c>
      <c r="H855" s="26" t="s">
        <v>349</v>
      </c>
      <c r="I855" s="26" t="s">
        <v>538</v>
      </c>
      <c r="J855" s="26" t="s">
        <v>638</v>
      </c>
      <c r="K855" s="26" t="s">
        <v>241</v>
      </c>
      <c r="L855" s="26" t="s">
        <v>302</v>
      </c>
      <c r="M855" s="26" t="s">
        <v>323</v>
      </c>
      <c r="N855" s="26">
        <v>80</v>
      </c>
      <c r="O855" s="26">
        <f>2024-Inventory[[#This Row],[YrBlt]]</f>
        <v>74</v>
      </c>
      <c r="P855" s="26">
        <f>2024-Inventory[[#This Row],[EffYr]]</f>
        <v>51</v>
      </c>
      <c r="Q855" s="25">
        <v>1950</v>
      </c>
      <c r="R855" s="25">
        <v>1973</v>
      </c>
      <c r="S855" s="25">
        <v>1686</v>
      </c>
      <c r="T855" s="27"/>
      <c r="U855" s="31"/>
      <c r="V855" s="31">
        <f>Inventory[[#This Row],[Bsmt]]-Inventory[[#This Row],[FnBsmt]]</f>
        <v>0</v>
      </c>
      <c r="W855" s="31"/>
      <c r="X855" s="32">
        <v>240</v>
      </c>
      <c r="Y855" s="32">
        <f>Inventory[[#This Row],[MainFn]]+Inventory[[#This Row],[UpprFn]]+Inventory[[#This Row],[FnBsmt]]+Inventory[[#This Row],[AddFn]]</f>
        <v>1926</v>
      </c>
      <c r="Z855" s="27">
        <v>2000</v>
      </c>
      <c r="AA855" s="25">
        <v>9</v>
      </c>
      <c r="AB855" s="32">
        <v>484</v>
      </c>
      <c r="AC855" s="27"/>
      <c r="AD855" s="31"/>
      <c r="AE855" s="27"/>
      <c r="AF855" s="27"/>
      <c r="AG855" s="27"/>
      <c r="AH855" s="27"/>
      <c r="AI855" s="25">
        <v>369322</v>
      </c>
      <c r="AJ855" s="25">
        <v>254832</v>
      </c>
      <c r="AK855" s="25">
        <v>43810</v>
      </c>
      <c r="AL855" s="25">
        <v>390700</v>
      </c>
      <c r="AM855" s="25">
        <v>74800</v>
      </c>
      <c r="AN855" s="25">
        <v>315900</v>
      </c>
      <c r="AO855" s="25">
        <v>0</v>
      </c>
      <c r="AP855" s="25">
        <f>Lookups!$B$56*0</f>
        <v>0</v>
      </c>
      <c r="AQ855" s="25">
        <f>Lookups!$B$56*1</f>
        <v>89850.625589999996</v>
      </c>
      <c r="AR855" s="25">
        <f>Lookups!$B$57*Inventory[[#This Row],[LnAcres]]</f>
        <v>-36068.354396449467</v>
      </c>
      <c r="AS855" s="25">
        <f>VLOOKUP(Inventory[[#This Row],[Qlty]],Lookups!$A$62:$E$75,2,FALSE)</f>
        <v>29814.093161000001</v>
      </c>
      <c r="AT855" s="25">
        <f>VLOOKUP(Inventory[[#This Row],[Cnd]],Lookups!$A$76:$E$84,2,FALSE)</f>
        <v>160472.20319</v>
      </c>
      <c r="AU855" s="25">
        <f>Inventory[[#This Row],[EffAge]]*Lookups!$B$85</f>
        <v>-11375.3256255</v>
      </c>
      <c r="AV855" s="25">
        <f>Inventory[[#This Row],[MainFn]]*Lookups!$B$86</f>
        <v>83303.017412622008</v>
      </c>
      <c r="AW855" s="25">
        <f>Inventory[[#This Row],[UpprFn]]*Lookups!$B$87</f>
        <v>0</v>
      </c>
      <c r="AX855" s="25">
        <f>Inventory[[#This Row],[AddFn]]*Lookups!$B$88</f>
        <v>15622.721052240002</v>
      </c>
      <c r="AY855" s="25">
        <f>Inventory[[#This Row],[Bsmt]]*Lookups!$B$89</f>
        <v>0</v>
      </c>
      <c r="AZ855" s="25">
        <f>Inventory[[#This Row],[Fixtures]]*Lookups!$B$90</f>
        <v>34128.198946800003</v>
      </c>
      <c r="BA855" s="25">
        <f>Inventory[[#This Row],[WdDeck]]*Lookups!$B$91</f>
        <v>0</v>
      </c>
      <c r="BB855" s="25">
        <f>ROUND(Inventory[[#This Row],[25Det]],-2)</f>
        <v>43800</v>
      </c>
      <c r="BC855" s="25">
        <f>ROUND(SUM(Inventory[[#This Row],[Mdl Qlty]:[Mdl WdDeck]])+Inventory[[#This Row],[Mdl Res Intercept]],-2)</f>
        <v>312000</v>
      </c>
      <c r="BD855" s="25">
        <f>ROUND(Inventory[[#This Row],[Mdl Land Intercept]]+Inventory[[#This Row],[Mdl LnAcres]],-2)</f>
        <v>53800</v>
      </c>
      <c r="BE855" s="25">
        <f>Inventory[[#This Row],[Unadj Res Value]]+Inventory[[#This Row],[Unadj Det Value]]+Inventory[[#This Row],[Unadj Land Value]]</f>
        <v>409600</v>
      </c>
      <c r="BF855" s="36">
        <f>(Inventory[[#This Row],[Unadj Total Value]]-Inventory[[#This Row],[24Final]])/Inventory[[#This Row],[24Final]]</f>
        <v>4.8374712055285388E-2</v>
      </c>
      <c r="BG855" s="25">
        <f>VLOOKUP(Inventory[[#This Row],[Nbhd]],Lookups!$Q$2:$T$4,4,FALSE)</f>
        <v>0.99970000000000003</v>
      </c>
      <c r="BH855" s="25">
        <f>VLOOKUP(Inventory[[#This Row],[Qlty]],Lookups!$O$7:$R$21,4,FALSE)</f>
        <v>1.0088999999999999</v>
      </c>
      <c r="BI855" s="25">
        <f>VLOOKUP(Inventory[[#This Row],[Cnd]],Lookups!$T$7:$W$16,4,FALSE)</f>
        <v>0.99729999999999996</v>
      </c>
      <c r="BJ855" s="25">
        <f>VLOOKUP(Inventory[[#This Row],[LivArea Range]],Lookups!$T$25:$W$37,4,FALSE)</f>
        <v>1.0093000000000001</v>
      </c>
      <c r="BK855" s="25">
        <f>VLOOKUP(Inventory[[#This Row],[Decade]],Lookups!$O$25:$R$42,4,FALSE)</f>
        <v>0.995</v>
      </c>
      <c r="BL855" s="25">
        <f>Inventory[[#This Row],[Nbhd Adj]]*0.95</f>
        <v>0.94971499999999998</v>
      </c>
      <c r="BM855" s="25">
        <f>Inventory[[#This Row],[Nbhd Adj]]*Inventory[[#This Row],[Quality Adj]]*Inventory[[#This Row],[Condition Adj]]*Inventory[[#This Row],[Living Area Adj]]*Inventory[[#This Row],[Decade Adj]]*0.95</f>
        <v>0.9596449726282209</v>
      </c>
      <c r="BN855" s="25">
        <f>ROUND(SUM(Inventory[[#This Row],[Mdl Qlty]:[Mdl WdDeck]])+Inventory[[#This Row],[Mdl Res Intercept]]*Inventory[[#This Row],[Res Adj ]],-2)</f>
        <v>312000</v>
      </c>
      <c r="BO855" s="25">
        <f>ROUND(Inventory[[#This Row],[25Det]]*Inventory[[#This Row],[Det/Nbhd Adj]],-2)</f>
        <v>41600</v>
      </c>
      <c r="BP855" s="25">
        <f>Inventory[[#This Row],[Adjusted Res]]+Inventory[[#This Row],[Adj Det ]]</f>
        <v>353600</v>
      </c>
      <c r="BQ855" s="25">
        <f>ROUND((Inventory[[#This Row],[Mdl Land Intercept]]+Inventory[[#This Row],[Mdl LnAcres]])*Inventory[[#This Row],[Det/Nbhd Adj]],-2)</f>
        <v>51100</v>
      </c>
      <c r="BR855" s="25">
        <f>Inventory[[#This Row],[Adjusted Impr Total]]+Inventory[[#This Row],[Adjusted Land Total]]</f>
        <v>404700</v>
      </c>
      <c r="BS855" s="36">
        <f>IFERROR((Inventory[[#This Row],[Adjusted Impr Total]]-Inventory[[#This Row],[24Bldg]])/Inventory[[#This Row],[24Bldg]],0)</f>
        <v>0.11934156378600823</v>
      </c>
      <c r="BT855" s="36">
        <f>(Inventory[[#This Row],[Adjusted Land Total]]-Inventory[[#This Row],[24Lnd]])/Inventory[[#This Row],[24Lnd]]</f>
        <v>-0.31684491978609625</v>
      </c>
      <c r="BU855" s="36">
        <f>(Inventory[[#This Row],[Adjusted Total]]-Inventory[[#This Row],[24Final]])/Inventory[[#This Row],[24Final]]</f>
        <v>3.5833120040952141E-2</v>
      </c>
    </row>
    <row r="856" spans="1:73" x14ac:dyDescent="0.3">
      <c r="A856" s="25">
        <v>2025</v>
      </c>
      <c r="B856" s="26" t="s">
        <v>2020</v>
      </c>
      <c r="C856" s="26">
        <f>LN(Inventory[[#This Row],[Acres]])</f>
        <v>-1.2378743560016174</v>
      </c>
      <c r="D856" s="25">
        <v>0.28999999999999998</v>
      </c>
      <c r="E856" s="31"/>
      <c r="F856" s="26" t="s">
        <v>537</v>
      </c>
      <c r="G856" s="26" t="s">
        <v>126</v>
      </c>
      <c r="H856" s="26" t="s">
        <v>349</v>
      </c>
      <c r="I856" s="26" t="s">
        <v>538</v>
      </c>
      <c r="J856" s="26" t="s">
        <v>539</v>
      </c>
      <c r="K856" s="26" t="s">
        <v>147</v>
      </c>
      <c r="L856" s="26" t="s">
        <v>351</v>
      </c>
      <c r="M856" s="26" t="s">
        <v>323</v>
      </c>
      <c r="N856" s="26">
        <v>80</v>
      </c>
      <c r="O856" s="26">
        <f>2024-Inventory[[#This Row],[YrBlt]]</f>
        <v>74</v>
      </c>
      <c r="P856" s="26">
        <f>2024-Inventory[[#This Row],[EffYr]]</f>
        <v>51</v>
      </c>
      <c r="Q856" s="25">
        <v>1950</v>
      </c>
      <c r="R856" s="25">
        <v>1973</v>
      </c>
      <c r="S856" s="25">
        <v>952</v>
      </c>
      <c r="T856" s="32">
        <v>474</v>
      </c>
      <c r="U856" s="25">
        <v>280</v>
      </c>
      <c r="V856" s="25">
        <f>Inventory[[#This Row],[Bsmt]]-Inventory[[#This Row],[FnBsmt]]</f>
        <v>280</v>
      </c>
      <c r="W856" s="31"/>
      <c r="X856" s="27"/>
      <c r="Y856" s="27">
        <f>Inventory[[#This Row],[MainFn]]+Inventory[[#This Row],[UpprFn]]+Inventory[[#This Row],[FnBsmt]]+Inventory[[#This Row],[AddFn]]</f>
        <v>1426</v>
      </c>
      <c r="Z856" s="27">
        <v>1500</v>
      </c>
      <c r="AA856" s="25">
        <v>8</v>
      </c>
      <c r="AB856" s="32">
        <v>700</v>
      </c>
      <c r="AC856" s="27"/>
      <c r="AD856" s="27"/>
      <c r="AE856" s="27"/>
      <c r="AF856" s="27"/>
      <c r="AG856" s="27"/>
      <c r="AH856" s="27"/>
      <c r="AI856" s="25">
        <v>262345</v>
      </c>
      <c r="AJ856" s="25">
        <v>181018</v>
      </c>
      <c r="AK856" s="25">
        <v>0</v>
      </c>
      <c r="AL856" s="25">
        <v>314300</v>
      </c>
      <c r="AM856" s="25">
        <v>71400</v>
      </c>
      <c r="AN856" s="25">
        <v>242900</v>
      </c>
      <c r="AO856" s="25">
        <v>0</v>
      </c>
      <c r="AP856" s="25">
        <f>Lookups!$B$56*0</f>
        <v>0</v>
      </c>
      <c r="AQ856" s="25">
        <f>Lookups!$B$56*1</f>
        <v>89850.625589999996</v>
      </c>
      <c r="AR856" s="25">
        <f>Lookups!$B$57*Inventory[[#This Row],[LnAcres]]</f>
        <v>-39184.437074869042</v>
      </c>
      <c r="AS856" s="25">
        <f>VLOOKUP(Inventory[[#This Row],[Qlty]],Lookups!$A$62:$E$75,2,FALSE)</f>
        <v>21557.329055999999</v>
      </c>
      <c r="AT856" s="25">
        <f>VLOOKUP(Inventory[[#This Row],[Cnd]],Lookups!$A$76:$E$84,2,FALSE)</f>
        <v>160472.20319</v>
      </c>
      <c r="AU856" s="25">
        <f>Inventory[[#This Row],[EffAge]]*Lookups!$B$85</f>
        <v>-11375.3256255</v>
      </c>
      <c r="AV856" s="25">
        <f>Inventory[[#This Row],[MainFn]]*Lookups!$B$86</f>
        <v>47037.053722903998</v>
      </c>
      <c r="AW856" s="25">
        <f>Inventory[[#This Row],[UpprFn]]*Lookups!$B$87</f>
        <v>21228.764436114001</v>
      </c>
      <c r="AX856" s="25">
        <f>Inventory[[#This Row],[AddFn]]*Lookups!$B$88</f>
        <v>0</v>
      </c>
      <c r="AY856" s="25">
        <f>Inventory[[#This Row],[Bsmt]]*Lookups!$B$89</f>
        <v>8142.9306691599995</v>
      </c>
      <c r="AZ856" s="25">
        <f>Inventory[[#This Row],[Fixtures]]*Lookups!$B$90</f>
        <v>30336.176841600001</v>
      </c>
      <c r="BA856" s="25">
        <f>Inventory[[#This Row],[WdDeck]]*Lookups!$B$91</f>
        <v>0</v>
      </c>
      <c r="BB856" s="25">
        <f>ROUND(Inventory[[#This Row],[25Det]],-2)</f>
        <v>0</v>
      </c>
      <c r="BC856" s="25">
        <f>ROUND(SUM(Inventory[[#This Row],[Mdl Qlty]:[Mdl WdDeck]])+Inventory[[#This Row],[Mdl Res Intercept]],-2)</f>
        <v>277400</v>
      </c>
      <c r="BD856" s="25">
        <f>ROUND(Inventory[[#This Row],[Mdl Land Intercept]]+Inventory[[#This Row],[Mdl LnAcres]],-2)</f>
        <v>50700</v>
      </c>
      <c r="BE856" s="25">
        <f>Inventory[[#This Row],[Unadj Res Value]]+Inventory[[#This Row],[Unadj Det Value]]+Inventory[[#This Row],[Unadj Land Value]]</f>
        <v>328100</v>
      </c>
      <c r="BF856" s="36">
        <f>(Inventory[[#This Row],[Unadj Total Value]]-Inventory[[#This Row],[24Final]])/Inventory[[#This Row],[24Final]]</f>
        <v>4.3907095132039456E-2</v>
      </c>
      <c r="BG856" s="25">
        <f>VLOOKUP(Inventory[[#This Row],[Nbhd]],Lookups!$Q$2:$T$4,4,FALSE)</f>
        <v>0.99970000000000003</v>
      </c>
      <c r="BH856" s="25">
        <f>VLOOKUP(Inventory[[#This Row],[Qlty]],Lookups!$O$7:$R$21,4,FALSE)</f>
        <v>1.0067999999999999</v>
      </c>
      <c r="BI856" s="25">
        <f>VLOOKUP(Inventory[[#This Row],[Cnd]],Lookups!$T$7:$W$16,4,FALSE)</f>
        <v>0.99729999999999996</v>
      </c>
      <c r="BJ856" s="25">
        <f>VLOOKUP(Inventory[[#This Row],[LivArea Range]],Lookups!$T$25:$W$37,4,FALSE)</f>
        <v>1.0157</v>
      </c>
      <c r="BK856" s="25">
        <f>VLOOKUP(Inventory[[#This Row],[Decade]],Lookups!$O$25:$R$42,4,FALSE)</f>
        <v>0.995</v>
      </c>
      <c r="BL856" s="25">
        <f>Inventory[[#This Row],[Nbhd Adj]]*0.95</f>
        <v>0.94971499999999998</v>
      </c>
      <c r="BM856" s="25">
        <f>Inventory[[#This Row],[Nbhd Adj]]*Inventory[[#This Row],[Quality Adj]]*Inventory[[#This Row],[Condition Adj]]*Inventory[[#This Row],[Living Area Adj]]*Inventory[[#This Row],[Decade Adj]]*0.95</f>
        <v>0.96371996573175212</v>
      </c>
      <c r="BN856" s="25">
        <f>ROUND(SUM(Inventory[[#This Row],[Mdl Qlty]:[Mdl WdDeck]])+Inventory[[#This Row],[Mdl Res Intercept]]*Inventory[[#This Row],[Res Adj ]],-2)</f>
        <v>277400</v>
      </c>
      <c r="BO856" s="25">
        <f>ROUND(Inventory[[#This Row],[25Det]]*Inventory[[#This Row],[Det/Nbhd Adj]],-2)</f>
        <v>0</v>
      </c>
      <c r="BP856" s="25">
        <f>Inventory[[#This Row],[Adjusted Res]]+Inventory[[#This Row],[Adj Det ]]</f>
        <v>277400</v>
      </c>
      <c r="BQ856" s="25">
        <f>ROUND((Inventory[[#This Row],[Mdl Land Intercept]]+Inventory[[#This Row],[Mdl LnAcres]])*Inventory[[#This Row],[Det/Nbhd Adj]],-2)</f>
        <v>48100</v>
      </c>
      <c r="BR856" s="25">
        <f>Inventory[[#This Row],[Adjusted Impr Total]]+Inventory[[#This Row],[Adjusted Land Total]]</f>
        <v>325500</v>
      </c>
      <c r="BS856" s="36">
        <f>IFERROR((Inventory[[#This Row],[Adjusted Impr Total]]-Inventory[[#This Row],[24Bldg]])/Inventory[[#This Row],[24Bldg]],0)</f>
        <v>0.14203375874845617</v>
      </c>
      <c r="BT856" s="36">
        <f>(Inventory[[#This Row],[Adjusted Land Total]]-Inventory[[#This Row],[24Lnd]])/Inventory[[#This Row],[24Lnd]]</f>
        <v>-0.32633053221288516</v>
      </c>
      <c r="BU856" s="36">
        <f>(Inventory[[#This Row],[Adjusted Total]]-Inventory[[#This Row],[24Final]])/Inventory[[#This Row],[24Final]]</f>
        <v>3.5634743875278395E-2</v>
      </c>
    </row>
    <row r="857" spans="1:73" x14ac:dyDescent="0.3">
      <c r="A857" s="25">
        <v>2025</v>
      </c>
      <c r="B857" s="26" t="s">
        <v>2778</v>
      </c>
      <c r="C857" s="26">
        <f>LN(Inventory[[#This Row],[Acres]])</f>
        <v>-1.8325814637483102</v>
      </c>
      <c r="D857" s="25">
        <v>0.16</v>
      </c>
      <c r="E857" s="31"/>
      <c r="F857" s="26" t="s">
        <v>537</v>
      </c>
      <c r="G857" s="26" t="s">
        <v>126</v>
      </c>
      <c r="H857" s="26" t="s">
        <v>349</v>
      </c>
      <c r="I857" s="26" t="s">
        <v>538</v>
      </c>
      <c r="J857" s="26" t="s">
        <v>539</v>
      </c>
      <c r="K857" s="26" t="s">
        <v>241</v>
      </c>
      <c r="L857" s="26" t="s">
        <v>351</v>
      </c>
      <c r="M857" s="26" t="s">
        <v>323</v>
      </c>
      <c r="N857" s="26">
        <v>80</v>
      </c>
      <c r="O857" s="26">
        <f>2024-Inventory[[#This Row],[YrBlt]]</f>
        <v>74</v>
      </c>
      <c r="P857" s="26">
        <f>2024-Inventory[[#This Row],[EffYr]]</f>
        <v>51</v>
      </c>
      <c r="Q857" s="25">
        <v>1950</v>
      </c>
      <c r="R857" s="25">
        <v>1973</v>
      </c>
      <c r="S857" s="25">
        <v>1808</v>
      </c>
      <c r="T857" s="27"/>
      <c r="U857" s="31"/>
      <c r="V857" s="31">
        <f>Inventory[[#This Row],[Bsmt]]-Inventory[[#This Row],[FnBsmt]]</f>
        <v>0</v>
      </c>
      <c r="W857" s="31"/>
      <c r="X857" s="27"/>
      <c r="Y857" s="27">
        <f>Inventory[[#This Row],[MainFn]]+Inventory[[#This Row],[UpprFn]]+Inventory[[#This Row],[FnBsmt]]+Inventory[[#This Row],[AddFn]]</f>
        <v>1808</v>
      </c>
      <c r="Z857" s="27">
        <v>2000</v>
      </c>
      <c r="AA857" s="25">
        <v>8</v>
      </c>
      <c r="AB857" s="27"/>
      <c r="AC857" s="27"/>
      <c r="AD857" s="31"/>
      <c r="AE857" s="27"/>
      <c r="AF857" s="27"/>
      <c r="AG857" s="27"/>
      <c r="AH857" s="27"/>
      <c r="AI857" s="25">
        <v>286545</v>
      </c>
      <c r="AJ857" s="25">
        <v>197716</v>
      </c>
      <c r="AK857" s="25">
        <v>0</v>
      </c>
      <c r="AL857" s="25">
        <v>309700</v>
      </c>
      <c r="AM857" s="25">
        <v>50600</v>
      </c>
      <c r="AN857" s="25">
        <v>259100</v>
      </c>
      <c r="AO857" s="25">
        <v>0</v>
      </c>
      <c r="AP857" s="25">
        <f>Lookups!$B$56*0</f>
        <v>0</v>
      </c>
      <c r="AQ857" s="25">
        <f>Lookups!$B$56*1</f>
        <v>89850.625589999996</v>
      </c>
      <c r="AR857" s="25">
        <f>Lookups!$B$57*Inventory[[#This Row],[LnAcres]]</f>
        <v>-58009.662049032086</v>
      </c>
      <c r="AS857" s="25">
        <f>VLOOKUP(Inventory[[#This Row],[Qlty]],Lookups!$A$62:$E$75,2,FALSE)</f>
        <v>21557.329055999999</v>
      </c>
      <c r="AT857" s="25">
        <f>VLOOKUP(Inventory[[#This Row],[Cnd]],Lookups!$A$76:$E$84,2,FALSE)</f>
        <v>160472.20319</v>
      </c>
      <c r="AU857" s="25">
        <f>Inventory[[#This Row],[EffAge]]*Lookups!$B$85</f>
        <v>-11375.3256255</v>
      </c>
      <c r="AV857" s="25">
        <f>Inventory[[#This Row],[MainFn]]*Lookups!$B$86</f>
        <v>89330.875137616007</v>
      </c>
      <c r="AW857" s="25">
        <f>Inventory[[#This Row],[UpprFn]]*Lookups!$B$87</f>
        <v>0</v>
      </c>
      <c r="AX857" s="25">
        <f>Inventory[[#This Row],[AddFn]]*Lookups!$B$88</f>
        <v>0</v>
      </c>
      <c r="AY857" s="25">
        <f>Inventory[[#This Row],[Bsmt]]*Lookups!$B$89</f>
        <v>0</v>
      </c>
      <c r="AZ857" s="25">
        <f>Inventory[[#This Row],[Fixtures]]*Lookups!$B$90</f>
        <v>30336.176841600001</v>
      </c>
      <c r="BA857" s="25">
        <f>Inventory[[#This Row],[WdDeck]]*Lookups!$B$91</f>
        <v>0</v>
      </c>
      <c r="BB857" s="25">
        <f>ROUND(Inventory[[#This Row],[25Det]],-2)</f>
        <v>0</v>
      </c>
      <c r="BC857" s="25">
        <f>ROUND(SUM(Inventory[[#This Row],[Mdl Qlty]:[Mdl WdDeck]])+Inventory[[#This Row],[Mdl Res Intercept]],-2)</f>
        <v>290300</v>
      </c>
      <c r="BD857" s="25">
        <f>ROUND(Inventory[[#This Row],[Mdl Land Intercept]]+Inventory[[#This Row],[Mdl LnAcres]],-2)</f>
        <v>31800</v>
      </c>
      <c r="BE857" s="25">
        <f>Inventory[[#This Row],[Unadj Res Value]]+Inventory[[#This Row],[Unadj Det Value]]+Inventory[[#This Row],[Unadj Land Value]]</f>
        <v>322100</v>
      </c>
      <c r="BF857" s="36">
        <f>(Inventory[[#This Row],[Unadj Total Value]]-Inventory[[#This Row],[24Final]])/Inventory[[#This Row],[24Final]]</f>
        <v>4.0038747174685183E-2</v>
      </c>
      <c r="BG857" s="25">
        <f>VLOOKUP(Inventory[[#This Row],[Nbhd]],Lookups!$Q$2:$T$4,4,FALSE)</f>
        <v>0.99970000000000003</v>
      </c>
      <c r="BH857" s="25">
        <f>VLOOKUP(Inventory[[#This Row],[Qlty]],Lookups!$O$7:$R$21,4,FALSE)</f>
        <v>1.0067999999999999</v>
      </c>
      <c r="BI857" s="25">
        <f>VLOOKUP(Inventory[[#This Row],[Cnd]],Lookups!$T$7:$W$16,4,FALSE)</f>
        <v>0.99729999999999996</v>
      </c>
      <c r="BJ857" s="25">
        <f>VLOOKUP(Inventory[[#This Row],[LivArea Range]],Lookups!$T$25:$W$37,4,FALSE)</f>
        <v>1.0093000000000001</v>
      </c>
      <c r="BK857" s="25">
        <f>VLOOKUP(Inventory[[#This Row],[Decade]],Lookups!$O$25:$R$42,4,FALSE)</f>
        <v>0.995</v>
      </c>
      <c r="BL857" s="25">
        <f>Inventory[[#This Row],[Nbhd Adj]]*0.95</f>
        <v>0.94971499999999998</v>
      </c>
      <c r="BM857" s="25">
        <f>Inventory[[#This Row],[Nbhd Adj]]*Inventory[[#This Row],[Quality Adj]]*Inventory[[#This Row],[Condition Adj]]*Inventory[[#This Row],[Living Area Adj]]*Inventory[[#This Row],[Decade Adj]]*0.95</f>
        <v>0.957647495730095</v>
      </c>
      <c r="BN857" s="25">
        <f>ROUND(SUM(Inventory[[#This Row],[Mdl Qlty]:[Mdl WdDeck]])+Inventory[[#This Row],[Mdl Res Intercept]]*Inventory[[#This Row],[Res Adj ]],-2)</f>
        <v>290300</v>
      </c>
      <c r="BO857" s="25">
        <f>ROUND(Inventory[[#This Row],[25Det]]*Inventory[[#This Row],[Det/Nbhd Adj]],-2)</f>
        <v>0</v>
      </c>
      <c r="BP857" s="25">
        <f>Inventory[[#This Row],[Adjusted Res]]+Inventory[[#This Row],[Adj Det ]]</f>
        <v>290300</v>
      </c>
      <c r="BQ857" s="25">
        <f>ROUND((Inventory[[#This Row],[Mdl Land Intercept]]+Inventory[[#This Row],[Mdl LnAcres]])*Inventory[[#This Row],[Det/Nbhd Adj]],-2)</f>
        <v>30200</v>
      </c>
      <c r="BR857" s="25">
        <f>Inventory[[#This Row],[Adjusted Impr Total]]+Inventory[[#This Row],[Adjusted Land Total]]</f>
        <v>320500</v>
      </c>
      <c r="BS857" s="36">
        <f>IFERROR((Inventory[[#This Row],[Adjusted Impr Total]]-Inventory[[#This Row],[24Bldg]])/Inventory[[#This Row],[24Bldg]],0)</f>
        <v>0.12041682747973756</v>
      </c>
      <c r="BT857" s="36">
        <f>(Inventory[[#This Row],[Adjusted Land Total]]-Inventory[[#This Row],[24Lnd]])/Inventory[[#This Row],[24Lnd]]</f>
        <v>-0.40316205533596838</v>
      </c>
      <c r="BU857" s="36">
        <f>(Inventory[[#This Row],[Adjusted Total]]-Inventory[[#This Row],[24Final]])/Inventory[[#This Row],[24Final]]</f>
        <v>3.4872457216661282E-2</v>
      </c>
    </row>
    <row r="858" spans="1:73" x14ac:dyDescent="0.3">
      <c r="A858" s="25">
        <v>2025</v>
      </c>
      <c r="B858" s="26" t="s">
        <v>1726</v>
      </c>
      <c r="C858" s="26">
        <f>LN(Inventory[[#This Row],[Acres]])</f>
        <v>-1.6094379124341003</v>
      </c>
      <c r="D858" s="25">
        <v>0.2</v>
      </c>
      <c r="E858" s="31"/>
      <c r="F858" s="26" t="s">
        <v>537</v>
      </c>
      <c r="G858" s="26" t="s">
        <v>126</v>
      </c>
      <c r="H858" s="26" t="s">
        <v>349</v>
      </c>
      <c r="I858" s="26" t="s">
        <v>538</v>
      </c>
      <c r="J858" s="26" t="s">
        <v>539</v>
      </c>
      <c r="K858" s="26" t="s">
        <v>241</v>
      </c>
      <c r="L858" s="26" t="s">
        <v>351</v>
      </c>
      <c r="M858" s="26" t="s">
        <v>323</v>
      </c>
      <c r="N858" s="26">
        <v>80</v>
      </c>
      <c r="O858" s="26">
        <f>2024-Inventory[[#This Row],[YrBlt]]</f>
        <v>74</v>
      </c>
      <c r="P858" s="26">
        <f>2024-Inventory[[#This Row],[EffYr]]</f>
        <v>51</v>
      </c>
      <c r="Q858" s="25">
        <v>1950</v>
      </c>
      <c r="R858" s="25">
        <v>1973</v>
      </c>
      <c r="S858" s="25">
        <v>961</v>
      </c>
      <c r="T858" s="27"/>
      <c r="U858" s="27"/>
      <c r="V858" s="27">
        <f>Inventory[[#This Row],[Bsmt]]-Inventory[[#This Row],[FnBsmt]]</f>
        <v>0</v>
      </c>
      <c r="W858" s="27"/>
      <c r="X858" s="27"/>
      <c r="Y858" s="27">
        <f>Inventory[[#This Row],[MainFn]]+Inventory[[#This Row],[UpprFn]]+Inventory[[#This Row],[FnBsmt]]+Inventory[[#This Row],[AddFn]]</f>
        <v>961</v>
      </c>
      <c r="Z858" s="27">
        <v>1000</v>
      </c>
      <c r="AA858" s="25">
        <v>5</v>
      </c>
      <c r="AB858" s="32">
        <v>231</v>
      </c>
      <c r="AC858" s="27"/>
      <c r="AD858" s="27"/>
      <c r="AE858" s="27"/>
      <c r="AF858" s="27"/>
      <c r="AG858" s="31"/>
      <c r="AH858" s="27"/>
      <c r="AI858" s="25">
        <v>180874</v>
      </c>
      <c r="AJ858" s="25">
        <v>124803</v>
      </c>
      <c r="AK858" s="25">
        <v>0</v>
      </c>
      <c r="AL858" s="25">
        <v>264800</v>
      </c>
      <c r="AM858" s="25">
        <v>58400</v>
      </c>
      <c r="AN858" s="25">
        <v>206400</v>
      </c>
      <c r="AO858" s="25">
        <v>0</v>
      </c>
      <c r="AP858" s="25">
        <f>Lookups!$B$56*0</f>
        <v>0</v>
      </c>
      <c r="AQ858" s="25">
        <f>Lookups!$B$56*1</f>
        <v>89850.625589999996</v>
      </c>
      <c r="AR858" s="25">
        <f>Lookups!$B$57*Inventory[[#This Row],[LnAcres]]</f>
        <v>-50946.13867709865</v>
      </c>
      <c r="AS858" s="25">
        <f>VLOOKUP(Inventory[[#This Row],[Qlty]],Lookups!$A$62:$E$75,2,FALSE)</f>
        <v>21557.329055999999</v>
      </c>
      <c r="AT858" s="25">
        <f>VLOOKUP(Inventory[[#This Row],[Cnd]],Lookups!$A$76:$E$84,2,FALSE)</f>
        <v>160472.20319</v>
      </c>
      <c r="AU858" s="25">
        <f>Inventory[[#This Row],[EffAge]]*Lookups!$B$85</f>
        <v>-11375.3256255</v>
      </c>
      <c r="AV858" s="25">
        <f>Inventory[[#This Row],[MainFn]]*Lookups!$B$86</f>
        <v>47481.731751797</v>
      </c>
      <c r="AW858" s="25">
        <f>Inventory[[#This Row],[UpprFn]]*Lookups!$B$87</f>
        <v>0</v>
      </c>
      <c r="AX858" s="25">
        <f>Inventory[[#This Row],[AddFn]]*Lookups!$B$88</f>
        <v>0</v>
      </c>
      <c r="AY858" s="25">
        <f>Inventory[[#This Row],[Bsmt]]*Lookups!$B$89</f>
        <v>0</v>
      </c>
      <c r="AZ858" s="25">
        <f>Inventory[[#This Row],[Fixtures]]*Lookups!$B$90</f>
        <v>18960.110526</v>
      </c>
      <c r="BA858" s="25">
        <f>Inventory[[#This Row],[WdDeck]]*Lookups!$B$91</f>
        <v>0</v>
      </c>
      <c r="BB858" s="25">
        <f>ROUND(Inventory[[#This Row],[25Det]],-2)</f>
        <v>0</v>
      </c>
      <c r="BC858" s="25">
        <f>ROUND(SUM(Inventory[[#This Row],[Mdl Qlty]:[Mdl WdDeck]])+Inventory[[#This Row],[Mdl Res Intercept]],-2)</f>
        <v>237100</v>
      </c>
      <c r="BD858" s="25">
        <f>ROUND(Inventory[[#This Row],[Mdl Land Intercept]]+Inventory[[#This Row],[Mdl LnAcres]],-2)</f>
        <v>38900</v>
      </c>
      <c r="BE858" s="25">
        <f>Inventory[[#This Row],[Unadj Res Value]]+Inventory[[#This Row],[Unadj Det Value]]+Inventory[[#This Row],[Unadj Land Value]]</f>
        <v>276000</v>
      </c>
      <c r="BF858" s="36">
        <f>(Inventory[[#This Row],[Unadj Total Value]]-Inventory[[#This Row],[24Final]])/Inventory[[#This Row],[24Final]]</f>
        <v>4.2296072507552872E-2</v>
      </c>
      <c r="BG858" s="25">
        <f>VLOOKUP(Inventory[[#This Row],[Nbhd]],Lookups!$Q$2:$T$4,4,FALSE)</f>
        <v>0.99970000000000003</v>
      </c>
      <c r="BH858" s="25">
        <f>VLOOKUP(Inventory[[#This Row],[Qlty]],Lookups!$O$7:$R$21,4,FALSE)</f>
        <v>1.0067999999999999</v>
      </c>
      <c r="BI858" s="25">
        <f>VLOOKUP(Inventory[[#This Row],[Cnd]],Lookups!$T$7:$W$16,4,FALSE)</f>
        <v>0.99729999999999996</v>
      </c>
      <c r="BJ858" s="25">
        <f>VLOOKUP(Inventory[[#This Row],[LivArea Range]],Lookups!$T$25:$W$37,4,FALSE)</f>
        <v>1.0148999999999999</v>
      </c>
      <c r="BK858" s="25">
        <f>VLOOKUP(Inventory[[#This Row],[Decade]],Lookups!$O$25:$R$42,4,FALSE)</f>
        <v>0.995</v>
      </c>
      <c r="BL858" s="25">
        <f>Inventory[[#This Row],[Nbhd Adj]]*0.95</f>
        <v>0.94971499999999998</v>
      </c>
      <c r="BM858" s="25">
        <f>Inventory[[#This Row],[Nbhd Adj]]*Inventory[[#This Row],[Quality Adj]]*Inventory[[#This Row],[Condition Adj]]*Inventory[[#This Row],[Living Area Adj]]*Inventory[[#This Row],[Decade Adj]]*0.95</f>
        <v>0.96296090698154491</v>
      </c>
      <c r="BN858" s="25">
        <f>ROUND(SUM(Inventory[[#This Row],[Mdl Qlty]:[Mdl WdDeck]])+Inventory[[#This Row],[Mdl Res Intercept]]*Inventory[[#This Row],[Res Adj ]],-2)</f>
        <v>237100</v>
      </c>
      <c r="BO858" s="25">
        <f>ROUND(Inventory[[#This Row],[25Det]]*Inventory[[#This Row],[Det/Nbhd Adj]],-2)</f>
        <v>0</v>
      </c>
      <c r="BP858" s="25">
        <f>Inventory[[#This Row],[Adjusted Res]]+Inventory[[#This Row],[Adj Det ]]</f>
        <v>237100</v>
      </c>
      <c r="BQ858" s="25">
        <f>ROUND((Inventory[[#This Row],[Mdl Land Intercept]]+Inventory[[#This Row],[Mdl LnAcres]])*Inventory[[#This Row],[Det/Nbhd Adj]],-2)</f>
        <v>36900</v>
      </c>
      <c r="BR858" s="25">
        <f>Inventory[[#This Row],[Adjusted Impr Total]]+Inventory[[#This Row],[Adjusted Land Total]]</f>
        <v>274000</v>
      </c>
      <c r="BS858" s="36">
        <f>IFERROR((Inventory[[#This Row],[Adjusted Impr Total]]-Inventory[[#This Row],[24Bldg]])/Inventory[[#This Row],[24Bldg]],0)</f>
        <v>0.14874031007751937</v>
      </c>
      <c r="BT858" s="36">
        <f>(Inventory[[#This Row],[Adjusted Land Total]]-Inventory[[#This Row],[24Lnd]])/Inventory[[#This Row],[24Lnd]]</f>
        <v>-0.36815068493150682</v>
      </c>
      <c r="BU858" s="36">
        <f>(Inventory[[#This Row],[Adjusted Total]]-Inventory[[#This Row],[24Final]])/Inventory[[#This Row],[24Final]]</f>
        <v>3.4743202416918431E-2</v>
      </c>
    </row>
    <row r="859" spans="1:73" x14ac:dyDescent="0.3">
      <c r="A859" s="25">
        <v>2025</v>
      </c>
      <c r="B859" s="26" t="s">
        <v>2700</v>
      </c>
      <c r="C859" s="26">
        <f>LN(Inventory[[#This Row],[Acres]])</f>
        <v>-1.5141277326297755</v>
      </c>
      <c r="D859" s="25">
        <v>0.22</v>
      </c>
      <c r="E859" s="25">
        <v>9380</v>
      </c>
      <c r="F859" s="26" t="s">
        <v>537</v>
      </c>
      <c r="G859" s="26" t="s">
        <v>126</v>
      </c>
      <c r="H859" s="26" t="s">
        <v>349</v>
      </c>
      <c r="I859" s="26" t="s">
        <v>538</v>
      </c>
      <c r="J859" s="26" t="s">
        <v>539</v>
      </c>
      <c r="K859" s="26" t="s">
        <v>242</v>
      </c>
      <c r="L859" s="26" t="s">
        <v>351</v>
      </c>
      <c r="M859" s="26" t="s">
        <v>323</v>
      </c>
      <c r="N859" s="26">
        <v>80</v>
      </c>
      <c r="O859" s="26">
        <f>2024-Inventory[[#This Row],[YrBlt]]</f>
        <v>74</v>
      </c>
      <c r="P859" s="26">
        <f>2024-Inventory[[#This Row],[EffYr]]</f>
        <v>51</v>
      </c>
      <c r="Q859" s="25">
        <v>1950</v>
      </c>
      <c r="R859" s="25">
        <v>1973</v>
      </c>
      <c r="S859" s="25">
        <v>1580</v>
      </c>
      <c r="T859" s="27"/>
      <c r="U859" s="32">
        <v>1580</v>
      </c>
      <c r="V859" s="32">
        <f>Inventory[[#This Row],[Bsmt]]-Inventory[[#This Row],[FnBsmt]]</f>
        <v>800</v>
      </c>
      <c r="W859" s="32">
        <v>780</v>
      </c>
      <c r="X859" s="27"/>
      <c r="Y859" s="27">
        <f>Inventory[[#This Row],[MainFn]]+Inventory[[#This Row],[UpprFn]]+Inventory[[#This Row],[FnBsmt]]+Inventory[[#This Row],[AddFn]]</f>
        <v>2360</v>
      </c>
      <c r="Z859" s="27">
        <v>2500</v>
      </c>
      <c r="AA859" s="25">
        <v>8</v>
      </c>
      <c r="AB859" s="27"/>
      <c r="AC859" s="27"/>
      <c r="AD859" s="27"/>
      <c r="AE859" s="27"/>
      <c r="AF859" s="27"/>
      <c r="AG859" s="31"/>
      <c r="AH859" s="27"/>
      <c r="AI859" s="25">
        <v>362885</v>
      </c>
      <c r="AJ859" s="25">
        <v>250391</v>
      </c>
      <c r="AK859" s="25">
        <v>9040</v>
      </c>
      <c r="AL859" s="25">
        <v>361100</v>
      </c>
      <c r="AM859" s="25">
        <v>61700</v>
      </c>
      <c r="AN859" s="25">
        <v>299400</v>
      </c>
      <c r="AO859" s="25">
        <v>0</v>
      </c>
      <c r="AP859" s="25">
        <f>Lookups!$B$56*0</f>
        <v>0</v>
      </c>
      <c r="AQ859" s="25">
        <f>Lookups!$B$56*1</f>
        <v>89850.625589999996</v>
      </c>
      <c r="AR859" s="25">
        <f>Lookups!$B$57*Inventory[[#This Row],[LnAcres]]</f>
        <v>-47929.131559187132</v>
      </c>
      <c r="AS859" s="25">
        <f>VLOOKUP(Inventory[[#This Row],[Qlty]],Lookups!$A$62:$E$75,2,FALSE)</f>
        <v>21557.329055999999</v>
      </c>
      <c r="AT859" s="25">
        <f>VLOOKUP(Inventory[[#This Row],[Cnd]],Lookups!$A$76:$E$84,2,FALSE)</f>
        <v>160472.20319</v>
      </c>
      <c r="AU859" s="25">
        <f>Inventory[[#This Row],[EffAge]]*Lookups!$B$85</f>
        <v>-11375.3256255</v>
      </c>
      <c r="AV859" s="25">
        <f>Inventory[[#This Row],[MainFn]]*Lookups!$B$86</f>
        <v>78065.698405660005</v>
      </c>
      <c r="AW859" s="25">
        <f>Inventory[[#This Row],[UpprFn]]*Lookups!$B$87</f>
        <v>0</v>
      </c>
      <c r="AX859" s="25">
        <f>Inventory[[#This Row],[AddFn]]*Lookups!$B$88</f>
        <v>0</v>
      </c>
      <c r="AY859" s="25">
        <f>Inventory[[#This Row],[Bsmt]]*Lookups!$B$89</f>
        <v>45949.394490259998</v>
      </c>
      <c r="AZ859" s="25">
        <f>Inventory[[#This Row],[Fixtures]]*Lookups!$B$90</f>
        <v>30336.176841600001</v>
      </c>
      <c r="BA859" s="25">
        <f>Inventory[[#This Row],[WdDeck]]*Lookups!$B$91</f>
        <v>0</v>
      </c>
      <c r="BB859" s="25">
        <f>ROUND(Inventory[[#This Row],[25Det]],-2)</f>
        <v>9000</v>
      </c>
      <c r="BC859" s="25">
        <f>ROUND(SUM(Inventory[[#This Row],[Mdl Qlty]:[Mdl WdDeck]])+Inventory[[#This Row],[Mdl Res Intercept]],-2)</f>
        <v>325000</v>
      </c>
      <c r="BD859" s="25">
        <f>ROUND(Inventory[[#This Row],[Mdl Land Intercept]]+Inventory[[#This Row],[Mdl LnAcres]],-2)</f>
        <v>41900</v>
      </c>
      <c r="BE859" s="25">
        <f>Inventory[[#This Row],[Unadj Res Value]]+Inventory[[#This Row],[Unadj Det Value]]+Inventory[[#This Row],[Unadj Land Value]]</f>
        <v>375900</v>
      </c>
      <c r="BF859" s="36">
        <f>(Inventory[[#This Row],[Unadj Total Value]]-Inventory[[#This Row],[24Final]])/Inventory[[#This Row],[24Final]]</f>
        <v>4.0985876488507336E-2</v>
      </c>
      <c r="BG859" s="25">
        <f>VLOOKUP(Inventory[[#This Row],[Nbhd]],Lookups!$Q$2:$T$4,4,FALSE)</f>
        <v>0.99970000000000003</v>
      </c>
      <c r="BH859" s="25">
        <f>VLOOKUP(Inventory[[#This Row],[Qlty]],Lookups!$O$7:$R$21,4,FALSE)</f>
        <v>1.0067999999999999</v>
      </c>
      <c r="BI859" s="25">
        <f>VLOOKUP(Inventory[[#This Row],[Cnd]],Lookups!$T$7:$W$16,4,FALSE)</f>
        <v>0.99729999999999996</v>
      </c>
      <c r="BJ859" s="25">
        <f>VLOOKUP(Inventory[[#This Row],[LivArea Range]],Lookups!$T$25:$W$37,4,FALSE)</f>
        <v>0.98919999999999997</v>
      </c>
      <c r="BK859" s="25">
        <f>VLOOKUP(Inventory[[#This Row],[Decade]],Lookups!$O$25:$R$42,4,FALSE)</f>
        <v>0.995</v>
      </c>
      <c r="BL859" s="25">
        <f>Inventory[[#This Row],[Nbhd Adj]]*0.95</f>
        <v>0.94971499999999998</v>
      </c>
      <c r="BM859" s="25">
        <f>Inventory[[#This Row],[Nbhd Adj]]*Inventory[[#This Row],[Quality Adj]]*Inventory[[#This Row],[Condition Adj]]*Inventory[[#This Row],[Living Area Adj]]*Inventory[[#This Row],[Decade Adj]]*0.95</f>
        <v>0.93857614463114025</v>
      </c>
      <c r="BN859" s="25">
        <f>ROUND(SUM(Inventory[[#This Row],[Mdl Qlty]:[Mdl WdDeck]])+Inventory[[#This Row],[Mdl Res Intercept]]*Inventory[[#This Row],[Res Adj ]],-2)</f>
        <v>325000</v>
      </c>
      <c r="BO859" s="25">
        <f>ROUND(Inventory[[#This Row],[25Det]]*Inventory[[#This Row],[Det/Nbhd Adj]],-2)</f>
        <v>8600</v>
      </c>
      <c r="BP859" s="25">
        <f>Inventory[[#This Row],[Adjusted Res]]+Inventory[[#This Row],[Adj Det ]]</f>
        <v>333600</v>
      </c>
      <c r="BQ859" s="25">
        <f>ROUND((Inventory[[#This Row],[Mdl Land Intercept]]+Inventory[[#This Row],[Mdl LnAcres]])*Inventory[[#This Row],[Det/Nbhd Adj]],-2)</f>
        <v>39800</v>
      </c>
      <c r="BR859" s="25">
        <f>Inventory[[#This Row],[Adjusted Impr Total]]+Inventory[[#This Row],[Adjusted Land Total]]</f>
        <v>373400</v>
      </c>
      <c r="BS859" s="36">
        <f>IFERROR((Inventory[[#This Row],[Adjusted Impr Total]]-Inventory[[#This Row],[24Bldg]])/Inventory[[#This Row],[24Bldg]],0)</f>
        <v>0.11422845691382766</v>
      </c>
      <c r="BT859" s="36">
        <f>(Inventory[[#This Row],[Adjusted Land Total]]-Inventory[[#This Row],[24Lnd]])/Inventory[[#This Row],[24Lnd]]</f>
        <v>-0.35494327390599678</v>
      </c>
      <c r="BU859" s="36">
        <f>(Inventory[[#This Row],[Adjusted Total]]-Inventory[[#This Row],[24Final]])/Inventory[[#This Row],[24Final]]</f>
        <v>3.4062586541124346E-2</v>
      </c>
    </row>
    <row r="860" spans="1:73" x14ac:dyDescent="0.3">
      <c r="A860" s="25">
        <v>2025</v>
      </c>
      <c r="B860" s="26" t="s">
        <v>1222</v>
      </c>
      <c r="C860" s="26">
        <f>LN(Inventory[[#This Row],[Acres]])</f>
        <v>-1.1711829815029451</v>
      </c>
      <c r="D860" s="25">
        <v>0.31</v>
      </c>
      <c r="E860" s="25">
        <v>13300</v>
      </c>
      <c r="F860" s="26" t="s">
        <v>537</v>
      </c>
      <c r="G860" s="26" t="s">
        <v>126</v>
      </c>
      <c r="H860" s="26" t="s">
        <v>349</v>
      </c>
      <c r="I860" s="26" t="s">
        <v>538</v>
      </c>
      <c r="J860" s="26" t="s">
        <v>539</v>
      </c>
      <c r="K860" s="26" t="s">
        <v>241</v>
      </c>
      <c r="L860" s="26" t="s">
        <v>148</v>
      </c>
      <c r="M860" s="26" t="s">
        <v>303</v>
      </c>
      <c r="N860" s="26">
        <v>80</v>
      </c>
      <c r="O860" s="26">
        <f>2024-Inventory[[#This Row],[YrBlt]]</f>
        <v>74</v>
      </c>
      <c r="P860" s="26">
        <f>2024-Inventory[[#This Row],[EffYr]]</f>
        <v>51</v>
      </c>
      <c r="Q860" s="25">
        <v>1950</v>
      </c>
      <c r="R860" s="25">
        <v>1973</v>
      </c>
      <c r="S860" s="25">
        <v>1843</v>
      </c>
      <c r="T860" s="27"/>
      <c r="U860" s="32">
        <v>1668</v>
      </c>
      <c r="V860" s="32">
        <f>Inventory[[#This Row],[Bsmt]]-Inventory[[#This Row],[FnBsmt]]</f>
        <v>0</v>
      </c>
      <c r="W860" s="32">
        <v>1668</v>
      </c>
      <c r="X860" s="27"/>
      <c r="Y860" s="27">
        <f>Inventory[[#This Row],[MainFn]]+Inventory[[#This Row],[UpprFn]]+Inventory[[#This Row],[FnBsmt]]+Inventory[[#This Row],[AddFn]]</f>
        <v>3511</v>
      </c>
      <c r="Z860" s="27">
        <v>4000</v>
      </c>
      <c r="AA860" s="25">
        <v>8</v>
      </c>
      <c r="AB860" s="31"/>
      <c r="AC860" s="27"/>
      <c r="AD860" s="27"/>
      <c r="AE860" s="27"/>
      <c r="AF860" s="27"/>
      <c r="AG860" s="31"/>
      <c r="AH860" s="27"/>
      <c r="AI860" s="25">
        <v>564546</v>
      </c>
      <c r="AJ860" s="25">
        <v>400828</v>
      </c>
      <c r="AK860" s="25">
        <v>15252</v>
      </c>
      <c r="AL860" s="25">
        <v>450000</v>
      </c>
      <c r="AM860" s="25">
        <v>73700</v>
      </c>
      <c r="AN860" s="25">
        <v>376300</v>
      </c>
      <c r="AO860" s="25">
        <v>0</v>
      </c>
      <c r="AP860" s="25">
        <f>Lookups!$B$56*0</f>
        <v>0</v>
      </c>
      <c r="AQ860" s="25">
        <f>Lookups!$B$56*1</f>
        <v>89850.625589999996</v>
      </c>
      <c r="AR860" s="25">
        <f>Lookups!$B$57*Inventory[[#This Row],[LnAcres]]</f>
        <v>-37073.347241874442</v>
      </c>
      <c r="AS860" s="25">
        <f>VLOOKUP(Inventory[[#This Row],[Qlty]],Lookups!$A$62:$E$75,2,FALSE)</f>
        <v>44121.038090000002</v>
      </c>
      <c r="AT860" s="25">
        <f>VLOOKUP(Inventory[[#This Row],[Cnd]],Lookups!$A$76:$E$84,2,FALSE)</f>
        <v>197752.34721000001</v>
      </c>
      <c r="AU860" s="25">
        <f>Inventory[[#This Row],[EffAge]]*Lookups!$B$85</f>
        <v>-11375.3256255</v>
      </c>
      <c r="AV860" s="25">
        <f>Inventory[[#This Row],[MainFn]]*Lookups!$B$86</f>
        <v>91060.178583311004</v>
      </c>
      <c r="AW860" s="25">
        <f>Inventory[[#This Row],[UpprFn]]*Lookups!$B$87</f>
        <v>0</v>
      </c>
      <c r="AX860" s="25">
        <f>Inventory[[#This Row],[AddFn]]*Lookups!$B$88</f>
        <v>0</v>
      </c>
      <c r="AY860" s="25">
        <f>Inventory[[#This Row],[Bsmt]]*Lookups!$B$89</f>
        <v>48508.601271995998</v>
      </c>
      <c r="AZ860" s="25">
        <f>Inventory[[#This Row],[Fixtures]]*Lookups!$B$90</f>
        <v>30336.176841600001</v>
      </c>
      <c r="BA860" s="25">
        <f>Inventory[[#This Row],[WdDeck]]*Lookups!$B$91</f>
        <v>0</v>
      </c>
      <c r="BB860" s="25">
        <f>ROUND(Inventory[[#This Row],[25Det]],-2)</f>
        <v>15300</v>
      </c>
      <c r="BC860" s="25">
        <f>ROUND(SUM(Inventory[[#This Row],[Mdl Qlty]:[Mdl WdDeck]])+Inventory[[#This Row],[Mdl Res Intercept]],-2)</f>
        <v>400400</v>
      </c>
      <c r="BD860" s="25">
        <f>ROUND(Inventory[[#This Row],[Mdl Land Intercept]]+Inventory[[#This Row],[Mdl LnAcres]],-2)</f>
        <v>52800</v>
      </c>
      <c r="BE860" s="25">
        <f>Inventory[[#This Row],[Unadj Res Value]]+Inventory[[#This Row],[Unadj Det Value]]+Inventory[[#This Row],[Unadj Land Value]]</f>
        <v>468500</v>
      </c>
      <c r="BF860" s="36">
        <f>(Inventory[[#This Row],[Unadj Total Value]]-Inventory[[#This Row],[24Final]])/Inventory[[#This Row],[24Final]]</f>
        <v>4.1111111111111112E-2</v>
      </c>
      <c r="BG860" s="25">
        <f>VLOOKUP(Inventory[[#This Row],[Nbhd]],Lookups!$Q$2:$T$4,4,FALSE)</f>
        <v>0.99970000000000003</v>
      </c>
      <c r="BH860" s="25">
        <f>VLOOKUP(Inventory[[#This Row],[Qlty]],Lookups!$O$7:$R$21,4,FALSE)</f>
        <v>0.98050000000000004</v>
      </c>
      <c r="BI860" s="25">
        <f>VLOOKUP(Inventory[[#This Row],[Cnd]],Lookups!$T$7:$W$16,4,FALSE)</f>
        <v>0.99650000000000005</v>
      </c>
      <c r="BJ860" s="25">
        <f>VLOOKUP(Inventory[[#This Row],[LivArea Range]],Lookups!$T$25:$W$37,4,FALSE)</f>
        <v>0.94579999999999997</v>
      </c>
      <c r="BK860" s="25">
        <f>VLOOKUP(Inventory[[#This Row],[Decade]],Lookups!$O$25:$R$42,4,FALSE)</f>
        <v>0.995</v>
      </c>
      <c r="BL860" s="25">
        <f>Inventory[[#This Row],[Nbhd Adj]]*0.95</f>
        <v>0.94971499999999998</v>
      </c>
      <c r="BM860" s="25">
        <f>Inventory[[#This Row],[Nbhd Adj]]*Inventory[[#This Row],[Quality Adj]]*Inventory[[#This Row],[Condition Adj]]*Inventory[[#This Row],[Living Area Adj]]*Inventory[[#This Row],[Decade Adj]]*0.95</f>
        <v>0.8732540105213602</v>
      </c>
      <c r="BN860" s="25">
        <f>ROUND(SUM(Inventory[[#This Row],[Mdl Qlty]:[Mdl WdDeck]])+Inventory[[#This Row],[Mdl Res Intercept]]*Inventory[[#This Row],[Res Adj ]],-2)</f>
        <v>400400</v>
      </c>
      <c r="BO860" s="25">
        <f>ROUND(Inventory[[#This Row],[25Det]]*Inventory[[#This Row],[Det/Nbhd Adj]],-2)</f>
        <v>14500</v>
      </c>
      <c r="BP860" s="25">
        <f>Inventory[[#This Row],[Adjusted Res]]+Inventory[[#This Row],[Adj Det ]]</f>
        <v>414900</v>
      </c>
      <c r="BQ860" s="25">
        <f>ROUND((Inventory[[#This Row],[Mdl Land Intercept]]+Inventory[[#This Row],[Mdl LnAcres]])*Inventory[[#This Row],[Det/Nbhd Adj]],-2)</f>
        <v>50100</v>
      </c>
      <c r="BR860" s="25">
        <f>Inventory[[#This Row],[Adjusted Impr Total]]+Inventory[[#This Row],[Adjusted Land Total]]</f>
        <v>465000</v>
      </c>
      <c r="BS860" s="36">
        <f>IFERROR((Inventory[[#This Row],[Adjusted Impr Total]]-Inventory[[#This Row],[24Bldg]])/Inventory[[#This Row],[24Bldg]],0)</f>
        <v>0.10257773053414829</v>
      </c>
      <c r="BT860" s="36">
        <f>(Inventory[[#This Row],[Adjusted Land Total]]-Inventory[[#This Row],[24Lnd]])/Inventory[[#This Row],[24Lnd]]</f>
        <v>-0.32021709633649931</v>
      </c>
      <c r="BU860" s="36">
        <f>(Inventory[[#This Row],[Adjusted Total]]-Inventory[[#This Row],[24Final]])/Inventory[[#This Row],[24Final]]</f>
        <v>3.3333333333333333E-2</v>
      </c>
    </row>
    <row r="861" spans="1:73" x14ac:dyDescent="0.3">
      <c r="A861" s="25">
        <v>2025</v>
      </c>
      <c r="B861" s="26" t="s">
        <v>1165</v>
      </c>
      <c r="C861" s="26">
        <f>LN(Inventory[[#This Row],[Acres]])</f>
        <v>-1.2378743560016174</v>
      </c>
      <c r="D861" s="25">
        <v>0.28999999999999998</v>
      </c>
      <c r="E861" s="25">
        <v>12595</v>
      </c>
      <c r="F861" s="26" t="s">
        <v>537</v>
      </c>
      <c r="G861" s="26" t="s">
        <v>126</v>
      </c>
      <c r="H861" s="26" t="s">
        <v>349</v>
      </c>
      <c r="I861" s="26" t="s">
        <v>538</v>
      </c>
      <c r="J861" s="26" t="s">
        <v>539</v>
      </c>
      <c r="K861" s="26" t="s">
        <v>241</v>
      </c>
      <c r="L861" s="26" t="s">
        <v>302</v>
      </c>
      <c r="M861" s="26" t="s">
        <v>323</v>
      </c>
      <c r="N861" s="26">
        <v>80</v>
      </c>
      <c r="O861" s="26">
        <f>2024-Inventory[[#This Row],[YrBlt]]</f>
        <v>74</v>
      </c>
      <c r="P861" s="26">
        <f>2024-Inventory[[#This Row],[EffYr]]</f>
        <v>51</v>
      </c>
      <c r="Q861" s="25">
        <v>1950</v>
      </c>
      <c r="R861" s="25">
        <v>1973</v>
      </c>
      <c r="S861" s="25">
        <v>1464</v>
      </c>
      <c r="T861" s="27"/>
      <c r="U861" s="32">
        <v>1288</v>
      </c>
      <c r="V861" s="32">
        <f>Inventory[[#This Row],[Bsmt]]-Inventory[[#This Row],[FnBsmt]]</f>
        <v>669</v>
      </c>
      <c r="W861" s="32">
        <v>619</v>
      </c>
      <c r="X861" s="27"/>
      <c r="Y861" s="27">
        <f>Inventory[[#This Row],[MainFn]]+Inventory[[#This Row],[UpprFn]]+Inventory[[#This Row],[FnBsmt]]+Inventory[[#This Row],[AddFn]]</f>
        <v>2083</v>
      </c>
      <c r="Z861" s="27">
        <v>2500</v>
      </c>
      <c r="AA861" s="25">
        <v>5</v>
      </c>
      <c r="AB861" s="32">
        <v>441</v>
      </c>
      <c r="AC861" s="27"/>
      <c r="AD861" s="27"/>
      <c r="AE861" s="27"/>
      <c r="AF861" s="27"/>
      <c r="AG861" s="31"/>
      <c r="AH861" s="27"/>
      <c r="AI861" s="25">
        <v>373412</v>
      </c>
      <c r="AJ861" s="25">
        <v>257654</v>
      </c>
      <c r="AK861" s="25">
        <v>25252</v>
      </c>
      <c r="AL861" s="25">
        <v>367800</v>
      </c>
      <c r="AM861" s="25">
        <v>71400</v>
      </c>
      <c r="AN861" s="25">
        <v>296400</v>
      </c>
      <c r="AO861" s="25">
        <v>0</v>
      </c>
      <c r="AP861" s="25">
        <f>Lookups!$B$56*0</f>
        <v>0</v>
      </c>
      <c r="AQ861" s="25">
        <f>Lookups!$B$56*1</f>
        <v>89850.625589999996</v>
      </c>
      <c r="AR861" s="25">
        <f>Lookups!$B$57*Inventory[[#This Row],[LnAcres]]</f>
        <v>-39184.437074869042</v>
      </c>
      <c r="AS861" s="25">
        <f>VLOOKUP(Inventory[[#This Row],[Qlty]],Lookups!$A$62:$E$75,2,FALSE)</f>
        <v>29814.093161000001</v>
      </c>
      <c r="AT861" s="25">
        <f>VLOOKUP(Inventory[[#This Row],[Cnd]],Lookups!$A$76:$E$84,2,FALSE)</f>
        <v>160472.20319</v>
      </c>
      <c r="AU861" s="25">
        <f>Inventory[[#This Row],[EffAge]]*Lookups!$B$85</f>
        <v>-11375.3256255</v>
      </c>
      <c r="AV861" s="25">
        <f>Inventory[[#This Row],[MainFn]]*Lookups!$B$86</f>
        <v>72334.292699928003</v>
      </c>
      <c r="AW861" s="25">
        <f>Inventory[[#This Row],[UpprFn]]*Lookups!$B$87</f>
        <v>0</v>
      </c>
      <c r="AX861" s="25">
        <f>Inventory[[#This Row],[AddFn]]*Lookups!$B$88</f>
        <v>0</v>
      </c>
      <c r="AY861" s="25">
        <f>Inventory[[#This Row],[Bsmt]]*Lookups!$B$89</f>
        <v>37457.481078135999</v>
      </c>
      <c r="AZ861" s="25">
        <f>Inventory[[#This Row],[Fixtures]]*Lookups!$B$90</f>
        <v>18960.110526</v>
      </c>
      <c r="BA861" s="25">
        <f>Inventory[[#This Row],[WdDeck]]*Lookups!$B$91</f>
        <v>0</v>
      </c>
      <c r="BB861" s="25">
        <f>ROUND(Inventory[[#This Row],[25Det]],-2)</f>
        <v>25300</v>
      </c>
      <c r="BC861" s="25">
        <f>ROUND(SUM(Inventory[[#This Row],[Mdl Qlty]:[Mdl WdDeck]])+Inventory[[#This Row],[Mdl Res Intercept]],-2)</f>
        <v>307700</v>
      </c>
      <c r="BD861" s="25">
        <f>ROUND(Inventory[[#This Row],[Mdl Land Intercept]]+Inventory[[#This Row],[Mdl LnAcres]],-2)</f>
        <v>50700</v>
      </c>
      <c r="BE861" s="25">
        <f>Inventory[[#This Row],[Unadj Res Value]]+Inventory[[#This Row],[Unadj Det Value]]+Inventory[[#This Row],[Unadj Land Value]]</f>
        <v>383700</v>
      </c>
      <c r="BF861" s="36">
        <f>(Inventory[[#This Row],[Unadj Total Value]]-Inventory[[#This Row],[24Final]])/Inventory[[#This Row],[24Final]]</f>
        <v>4.3230016313213701E-2</v>
      </c>
      <c r="BG861" s="25">
        <f>VLOOKUP(Inventory[[#This Row],[Nbhd]],Lookups!$Q$2:$T$4,4,FALSE)</f>
        <v>0.99970000000000003</v>
      </c>
      <c r="BH861" s="25">
        <f>VLOOKUP(Inventory[[#This Row],[Qlty]],Lookups!$O$7:$R$21,4,FALSE)</f>
        <v>1.0088999999999999</v>
      </c>
      <c r="BI861" s="25">
        <f>VLOOKUP(Inventory[[#This Row],[Cnd]],Lookups!$T$7:$W$16,4,FALSE)</f>
        <v>0.99729999999999996</v>
      </c>
      <c r="BJ861" s="25">
        <f>VLOOKUP(Inventory[[#This Row],[LivArea Range]],Lookups!$T$25:$W$37,4,FALSE)</f>
        <v>0.98919999999999997</v>
      </c>
      <c r="BK861" s="25">
        <f>VLOOKUP(Inventory[[#This Row],[Decade]],Lookups!$O$25:$R$42,4,FALSE)</f>
        <v>0.995</v>
      </c>
      <c r="BL861" s="25">
        <f>Inventory[[#This Row],[Nbhd Adj]]*0.95</f>
        <v>0.94971499999999998</v>
      </c>
      <c r="BM861" s="25">
        <f>Inventory[[#This Row],[Nbhd Adj]]*Inventory[[#This Row],[Quality Adj]]*Inventory[[#This Row],[Condition Adj]]*Inventory[[#This Row],[Living Area Adj]]*Inventory[[#This Row],[Decade Adj]]*0.95</f>
        <v>0.94053384219145564</v>
      </c>
      <c r="BN861" s="25">
        <f>ROUND(SUM(Inventory[[#This Row],[Mdl Qlty]:[Mdl WdDeck]])+Inventory[[#This Row],[Mdl Res Intercept]]*Inventory[[#This Row],[Res Adj ]],-2)</f>
        <v>307700</v>
      </c>
      <c r="BO861" s="25">
        <f>ROUND(Inventory[[#This Row],[25Det]]*Inventory[[#This Row],[Det/Nbhd Adj]],-2)</f>
        <v>24000</v>
      </c>
      <c r="BP861" s="25">
        <f>Inventory[[#This Row],[Adjusted Res]]+Inventory[[#This Row],[Adj Det ]]</f>
        <v>331700</v>
      </c>
      <c r="BQ861" s="25">
        <f>ROUND((Inventory[[#This Row],[Mdl Land Intercept]]+Inventory[[#This Row],[Mdl LnAcres]])*Inventory[[#This Row],[Det/Nbhd Adj]],-2)</f>
        <v>48100</v>
      </c>
      <c r="BR861" s="25">
        <f>Inventory[[#This Row],[Adjusted Impr Total]]+Inventory[[#This Row],[Adjusted Land Total]]</f>
        <v>379800</v>
      </c>
      <c r="BS861" s="36">
        <f>IFERROR((Inventory[[#This Row],[Adjusted Impr Total]]-Inventory[[#This Row],[24Bldg]])/Inventory[[#This Row],[24Bldg]],0)</f>
        <v>0.11909581646423752</v>
      </c>
      <c r="BT861" s="36">
        <f>(Inventory[[#This Row],[Adjusted Land Total]]-Inventory[[#This Row],[24Lnd]])/Inventory[[#This Row],[24Lnd]]</f>
        <v>-0.32633053221288516</v>
      </c>
      <c r="BU861" s="36">
        <f>(Inventory[[#This Row],[Adjusted Total]]-Inventory[[#This Row],[24Final]])/Inventory[[#This Row],[24Final]]</f>
        <v>3.2626427406199018E-2</v>
      </c>
    </row>
    <row r="862" spans="1:73" x14ac:dyDescent="0.3">
      <c r="A862" s="25">
        <v>2025</v>
      </c>
      <c r="B862" s="26" t="s">
        <v>1161</v>
      </c>
      <c r="C862" s="26">
        <f>LN(Inventory[[#This Row],[Acres]])</f>
        <v>-1.7147984280919266</v>
      </c>
      <c r="D862" s="25">
        <v>0.18</v>
      </c>
      <c r="E862" s="25">
        <v>7843</v>
      </c>
      <c r="F862" s="26" t="s">
        <v>537</v>
      </c>
      <c r="G862" s="26" t="s">
        <v>126</v>
      </c>
      <c r="H862" s="26" t="s">
        <v>349</v>
      </c>
      <c r="I862" s="26" t="s">
        <v>538</v>
      </c>
      <c r="J862" s="26" t="s">
        <v>539</v>
      </c>
      <c r="K862" s="26" t="s">
        <v>242</v>
      </c>
      <c r="L862" s="26" t="s">
        <v>351</v>
      </c>
      <c r="M862" s="26" t="s">
        <v>323</v>
      </c>
      <c r="N862" s="26">
        <v>80</v>
      </c>
      <c r="O862" s="26">
        <f>2024-Inventory[[#This Row],[YrBlt]]</f>
        <v>74</v>
      </c>
      <c r="P862" s="26">
        <f>2024-Inventory[[#This Row],[EffYr]]</f>
        <v>51</v>
      </c>
      <c r="Q862" s="25">
        <v>1950</v>
      </c>
      <c r="R862" s="25">
        <v>1973</v>
      </c>
      <c r="S862" s="25">
        <v>1340</v>
      </c>
      <c r="T862" s="27"/>
      <c r="U862" s="32">
        <v>1340</v>
      </c>
      <c r="V862" s="32">
        <f>Inventory[[#This Row],[Bsmt]]-Inventory[[#This Row],[FnBsmt]]</f>
        <v>640</v>
      </c>
      <c r="W862" s="32">
        <v>700</v>
      </c>
      <c r="X862" s="27"/>
      <c r="Y862" s="27">
        <f>Inventory[[#This Row],[MainFn]]+Inventory[[#This Row],[UpprFn]]+Inventory[[#This Row],[FnBsmt]]+Inventory[[#This Row],[AddFn]]</f>
        <v>2040</v>
      </c>
      <c r="Z862" s="27">
        <v>2500</v>
      </c>
      <c r="AA862" s="25">
        <v>7</v>
      </c>
      <c r="AB862" s="27"/>
      <c r="AC862" s="27"/>
      <c r="AD862" s="27"/>
      <c r="AE862" s="27"/>
      <c r="AF862" s="27"/>
      <c r="AG862" s="31"/>
      <c r="AH862" s="27"/>
      <c r="AI862" s="25">
        <v>302391</v>
      </c>
      <c r="AJ862" s="25">
        <v>208650</v>
      </c>
      <c r="AK862" s="25">
        <v>0</v>
      </c>
      <c r="AL862" s="25">
        <v>325900</v>
      </c>
      <c r="AM862" s="25">
        <v>54700</v>
      </c>
      <c r="AN862" s="25">
        <v>271200</v>
      </c>
      <c r="AO862" s="25">
        <v>0</v>
      </c>
      <c r="AP862" s="25">
        <f>Lookups!$B$56*0</f>
        <v>0</v>
      </c>
      <c r="AQ862" s="25">
        <f>Lookups!$B$56*1</f>
        <v>89850.625589999996</v>
      </c>
      <c r="AR862" s="25">
        <f>Lookups!$B$57*Inventory[[#This Row],[LnAcres]]</f>
        <v>-54281.285314520763</v>
      </c>
      <c r="AS862" s="25">
        <f>VLOOKUP(Inventory[[#This Row],[Qlty]],Lookups!$A$62:$E$75,2,FALSE)</f>
        <v>21557.329055999999</v>
      </c>
      <c r="AT862" s="25">
        <f>VLOOKUP(Inventory[[#This Row],[Cnd]],Lookups!$A$76:$E$84,2,FALSE)</f>
        <v>160472.20319</v>
      </c>
      <c r="AU862" s="25">
        <f>Inventory[[#This Row],[EffAge]]*Lookups!$B$85</f>
        <v>-11375.3256255</v>
      </c>
      <c r="AV862" s="25">
        <f>Inventory[[#This Row],[MainFn]]*Lookups!$B$86</f>
        <v>66207.617635179995</v>
      </c>
      <c r="AW862" s="25">
        <f>Inventory[[#This Row],[UpprFn]]*Lookups!$B$87</f>
        <v>0</v>
      </c>
      <c r="AX862" s="25">
        <f>Inventory[[#This Row],[AddFn]]*Lookups!$B$88</f>
        <v>0</v>
      </c>
      <c r="AY862" s="25">
        <f>Inventory[[#This Row],[Bsmt]]*Lookups!$B$89</f>
        <v>38969.739630979995</v>
      </c>
      <c r="AZ862" s="25">
        <f>Inventory[[#This Row],[Fixtures]]*Lookups!$B$90</f>
        <v>26544.1547364</v>
      </c>
      <c r="BA862" s="25">
        <f>Inventory[[#This Row],[WdDeck]]*Lookups!$B$91</f>
        <v>0</v>
      </c>
      <c r="BB862" s="25">
        <f>ROUND(Inventory[[#This Row],[25Det]],-2)</f>
        <v>0</v>
      </c>
      <c r="BC862" s="25">
        <f>ROUND(SUM(Inventory[[#This Row],[Mdl Qlty]:[Mdl WdDeck]])+Inventory[[#This Row],[Mdl Res Intercept]],-2)</f>
        <v>302400</v>
      </c>
      <c r="BD862" s="25">
        <f>ROUND(Inventory[[#This Row],[Mdl Land Intercept]]+Inventory[[#This Row],[Mdl LnAcres]],-2)</f>
        <v>35600</v>
      </c>
      <c r="BE862" s="25">
        <f>Inventory[[#This Row],[Unadj Res Value]]+Inventory[[#This Row],[Unadj Det Value]]+Inventory[[#This Row],[Unadj Land Value]]</f>
        <v>338000</v>
      </c>
      <c r="BF862" s="36">
        <f>(Inventory[[#This Row],[Unadj Total Value]]-Inventory[[#This Row],[24Final]])/Inventory[[#This Row],[24Final]]</f>
        <v>3.7127953359926358E-2</v>
      </c>
      <c r="BG862" s="25">
        <f>VLOOKUP(Inventory[[#This Row],[Nbhd]],Lookups!$Q$2:$T$4,4,FALSE)</f>
        <v>0.99970000000000003</v>
      </c>
      <c r="BH862" s="25">
        <f>VLOOKUP(Inventory[[#This Row],[Qlty]],Lookups!$O$7:$R$21,4,FALSE)</f>
        <v>1.0067999999999999</v>
      </c>
      <c r="BI862" s="25">
        <f>VLOOKUP(Inventory[[#This Row],[Cnd]],Lookups!$T$7:$W$16,4,FALSE)</f>
        <v>0.99729999999999996</v>
      </c>
      <c r="BJ862" s="25">
        <f>VLOOKUP(Inventory[[#This Row],[LivArea Range]],Lookups!$T$25:$W$37,4,FALSE)</f>
        <v>0.98919999999999997</v>
      </c>
      <c r="BK862" s="25">
        <f>VLOOKUP(Inventory[[#This Row],[Decade]],Lookups!$O$25:$R$42,4,FALSE)</f>
        <v>0.995</v>
      </c>
      <c r="BL862" s="25">
        <f>Inventory[[#This Row],[Nbhd Adj]]*0.95</f>
        <v>0.94971499999999998</v>
      </c>
      <c r="BM862" s="25">
        <f>Inventory[[#This Row],[Nbhd Adj]]*Inventory[[#This Row],[Quality Adj]]*Inventory[[#This Row],[Condition Adj]]*Inventory[[#This Row],[Living Area Adj]]*Inventory[[#This Row],[Decade Adj]]*0.95</f>
        <v>0.93857614463114025</v>
      </c>
      <c r="BN862" s="25">
        <f>ROUND(SUM(Inventory[[#This Row],[Mdl Qlty]:[Mdl WdDeck]])+Inventory[[#This Row],[Mdl Res Intercept]]*Inventory[[#This Row],[Res Adj ]],-2)</f>
        <v>302400</v>
      </c>
      <c r="BO862" s="25">
        <f>ROUND(Inventory[[#This Row],[25Det]]*Inventory[[#This Row],[Det/Nbhd Adj]],-2)</f>
        <v>0</v>
      </c>
      <c r="BP862" s="25">
        <f>Inventory[[#This Row],[Adjusted Res]]+Inventory[[#This Row],[Adj Det ]]</f>
        <v>302400</v>
      </c>
      <c r="BQ862" s="25">
        <f>ROUND((Inventory[[#This Row],[Mdl Land Intercept]]+Inventory[[#This Row],[Mdl LnAcres]])*Inventory[[#This Row],[Det/Nbhd Adj]],-2)</f>
        <v>33800</v>
      </c>
      <c r="BR862" s="25">
        <f>Inventory[[#This Row],[Adjusted Impr Total]]+Inventory[[#This Row],[Adjusted Land Total]]</f>
        <v>336200</v>
      </c>
      <c r="BS862" s="36">
        <f>IFERROR((Inventory[[#This Row],[Adjusted Impr Total]]-Inventory[[#This Row],[24Bldg]])/Inventory[[#This Row],[24Bldg]],0)</f>
        <v>0.11504424778761062</v>
      </c>
      <c r="BT862" s="36">
        <f>(Inventory[[#This Row],[Adjusted Land Total]]-Inventory[[#This Row],[24Lnd]])/Inventory[[#This Row],[24Lnd]]</f>
        <v>-0.38208409506398539</v>
      </c>
      <c r="BU862" s="36">
        <f>(Inventory[[#This Row],[Adjusted Total]]-Inventory[[#This Row],[24Final]])/Inventory[[#This Row],[24Final]]</f>
        <v>3.1604786744400121E-2</v>
      </c>
    </row>
    <row r="863" spans="1:73" x14ac:dyDescent="0.3">
      <c r="A863" s="25">
        <v>2025</v>
      </c>
      <c r="B863" s="26" t="s">
        <v>2279</v>
      </c>
      <c r="C863" s="26">
        <f>LN(Inventory[[#This Row],[Acres]])</f>
        <v>-1.1394342831883648</v>
      </c>
      <c r="D863" s="25">
        <v>0.32</v>
      </c>
      <c r="E863" s="25">
        <v>13733</v>
      </c>
      <c r="F863" s="26" t="s">
        <v>537</v>
      </c>
      <c r="G863" s="26" t="s">
        <v>126</v>
      </c>
      <c r="H863" s="26" t="s">
        <v>349</v>
      </c>
      <c r="I863" s="26" t="s">
        <v>538</v>
      </c>
      <c r="J863" s="26" t="s">
        <v>539</v>
      </c>
      <c r="K863" s="26" t="s">
        <v>300</v>
      </c>
      <c r="L863" s="26" t="s">
        <v>148</v>
      </c>
      <c r="M863" s="26" t="s">
        <v>323</v>
      </c>
      <c r="N863" s="26">
        <v>80</v>
      </c>
      <c r="O863" s="26">
        <f>2024-Inventory[[#This Row],[YrBlt]]</f>
        <v>74</v>
      </c>
      <c r="P863" s="26">
        <f>2024-Inventory[[#This Row],[EffYr]]</f>
        <v>51</v>
      </c>
      <c r="Q863" s="25">
        <v>1950</v>
      </c>
      <c r="R863" s="25">
        <v>1973</v>
      </c>
      <c r="S863" s="25">
        <v>1780</v>
      </c>
      <c r="T863" s="27"/>
      <c r="U863" s="32">
        <v>792</v>
      </c>
      <c r="V863" s="32">
        <f>Inventory[[#This Row],[Bsmt]]-Inventory[[#This Row],[FnBsmt]]</f>
        <v>792</v>
      </c>
      <c r="W863" s="27"/>
      <c r="X863" s="27"/>
      <c r="Y863" s="27">
        <f>Inventory[[#This Row],[MainFn]]+Inventory[[#This Row],[UpprFn]]+Inventory[[#This Row],[FnBsmt]]+Inventory[[#This Row],[AddFn]]</f>
        <v>1780</v>
      </c>
      <c r="Z863" s="27">
        <v>2000</v>
      </c>
      <c r="AA863" s="25">
        <v>8</v>
      </c>
      <c r="AB863" s="25">
        <v>700</v>
      </c>
      <c r="AC863" s="27"/>
      <c r="AD863" s="31"/>
      <c r="AE863" s="27"/>
      <c r="AF863" s="27"/>
      <c r="AG863" s="27"/>
      <c r="AH863" s="27"/>
      <c r="AI863" s="25">
        <v>494956</v>
      </c>
      <c r="AJ863" s="25">
        <v>341520</v>
      </c>
      <c r="AK863" s="25">
        <v>0</v>
      </c>
      <c r="AL863" s="25">
        <v>373800</v>
      </c>
      <c r="AM863" s="25">
        <v>74800</v>
      </c>
      <c r="AN863" s="25">
        <v>299000</v>
      </c>
      <c r="AO863" s="25">
        <v>0</v>
      </c>
      <c r="AP863" s="25">
        <f>Lookups!$B$56*0</f>
        <v>0</v>
      </c>
      <c r="AQ863" s="25">
        <f>Lookups!$B$56*1</f>
        <v>89850.625589999996</v>
      </c>
      <c r="AR863" s="25">
        <f>Lookups!$B$57*Inventory[[#This Row],[LnAcres]]</f>
        <v>-36068.354396449467</v>
      </c>
      <c r="AS863" s="25">
        <f>VLOOKUP(Inventory[[#This Row],[Qlty]],Lookups!$A$62:$E$75,2,FALSE)</f>
        <v>44121.038090000002</v>
      </c>
      <c r="AT863" s="25">
        <f>VLOOKUP(Inventory[[#This Row],[Cnd]],Lookups!$A$76:$E$84,2,FALSE)</f>
        <v>160472.20319</v>
      </c>
      <c r="AU863" s="25">
        <f>Inventory[[#This Row],[EffAge]]*Lookups!$B$85</f>
        <v>-11375.3256255</v>
      </c>
      <c r="AV863" s="25">
        <f>Inventory[[#This Row],[MainFn]]*Lookups!$B$86</f>
        <v>87947.432381060004</v>
      </c>
      <c r="AW863" s="25">
        <f>Inventory[[#This Row],[UpprFn]]*Lookups!$B$87</f>
        <v>0</v>
      </c>
      <c r="AX863" s="25">
        <f>Inventory[[#This Row],[AddFn]]*Lookups!$B$88</f>
        <v>0</v>
      </c>
      <c r="AY863" s="25">
        <f>Inventory[[#This Row],[Bsmt]]*Lookups!$B$89</f>
        <v>23032.861035623999</v>
      </c>
      <c r="AZ863" s="25">
        <f>Inventory[[#This Row],[Fixtures]]*Lookups!$B$90</f>
        <v>30336.176841600001</v>
      </c>
      <c r="BA863" s="25">
        <f>Inventory[[#This Row],[WdDeck]]*Lookups!$B$91</f>
        <v>0</v>
      </c>
      <c r="BB863" s="25">
        <f>ROUND(Inventory[[#This Row],[25Det]],-2)</f>
        <v>0</v>
      </c>
      <c r="BC863" s="25">
        <f>ROUND(SUM(Inventory[[#This Row],[Mdl Qlty]:[Mdl WdDeck]])+Inventory[[#This Row],[Mdl Res Intercept]],-2)</f>
        <v>334500</v>
      </c>
      <c r="BD863" s="25">
        <f>ROUND(Inventory[[#This Row],[Mdl Land Intercept]]+Inventory[[#This Row],[Mdl LnAcres]],-2)</f>
        <v>53800</v>
      </c>
      <c r="BE863" s="25">
        <f>Inventory[[#This Row],[Unadj Res Value]]+Inventory[[#This Row],[Unadj Det Value]]+Inventory[[#This Row],[Unadj Land Value]]</f>
        <v>388300</v>
      </c>
      <c r="BF863" s="36">
        <f>(Inventory[[#This Row],[Unadj Total Value]]-Inventory[[#This Row],[24Final]])/Inventory[[#This Row],[24Final]]</f>
        <v>3.879079721776351E-2</v>
      </c>
      <c r="BG863" s="25">
        <f>VLOOKUP(Inventory[[#This Row],[Nbhd]],Lookups!$Q$2:$T$4,4,FALSE)</f>
        <v>0.99970000000000003</v>
      </c>
      <c r="BH863" s="25">
        <f>VLOOKUP(Inventory[[#This Row],[Qlty]],Lookups!$O$7:$R$21,4,FALSE)</f>
        <v>0.98050000000000004</v>
      </c>
      <c r="BI863" s="25">
        <f>VLOOKUP(Inventory[[#This Row],[Cnd]],Lookups!$T$7:$W$16,4,FALSE)</f>
        <v>0.99729999999999996</v>
      </c>
      <c r="BJ863" s="25">
        <f>VLOOKUP(Inventory[[#This Row],[LivArea Range]],Lookups!$T$25:$W$37,4,FALSE)</f>
        <v>1.0093000000000001</v>
      </c>
      <c r="BK863" s="25">
        <f>VLOOKUP(Inventory[[#This Row],[Decade]],Lookups!$O$25:$R$42,4,FALSE)</f>
        <v>0.995</v>
      </c>
      <c r="BL863" s="25">
        <f>Inventory[[#This Row],[Nbhd Adj]]*0.95</f>
        <v>0.94971499999999998</v>
      </c>
      <c r="BM863" s="25">
        <f>Inventory[[#This Row],[Nbhd Adj]]*Inventory[[#This Row],[Quality Adj]]*Inventory[[#This Row],[Condition Adj]]*Inventory[[#This Row],[Living Area Adj]]*Inventory[[#This Row],[Decade Adj]]*0.95</f>
        <v>0.93263147552975589</v>
      </c>
      <c r="BN863" s="25">
        <f>ROUND(SUM(Inventory[[#This Row],[Mdl Qlty]:[Mdl WdDeck]])+Inventory[[#This Row],[Mdl Res Intercept]]*Inventory[[#This Row],[Res Adj ]],-2)</f>
        <v>334500</v>
      </c>
      <c r="BO863" s="25">
        <f>ROUND(Inventory[[#This Row],[25Det]]*Inventory[[#This Row],[Det/Nbhd Adj]],-2)</f>
        <v>0</v>
      </c>
      <c r="BP863" s="25">
        <f>Inventory[[#This Row],[Adjusted Res]]+Inventory[[#This Row],[Adj Det ]]</f>
        <v>334500</v>
      </c>
      <c r="BQ863" s="25">
        <f>ROUND((Inventory[[#This Row],[Mdl Land Intercept]]+Inventory[[#This Row],[Mdl LnAcres]])*Inventory[[#This Row],[Det/Nbhd Adj]],-2)</f>
        <v>51100</v>
      </c>
      <c r="BR863" s="25">
        <f>Inventory[[#This Row],[Adjusted Impr Total]]+Inventory[[#This Row],[Adjusted Land Total]]</f>
        <v>385600</v>
      </c>
      <c r="BS863" s="36">
        <f>IFERROR((Inventory[[#This Row],[Adjusted Impr Total]]-Inventory[[#This Row],[24Bldg]])/Inventory[[#This Row],[24Bldg]],0)</f>
        <v>0.11872909698996656</v>
      </c>
      <c r="BT863" s="36">
        <f>(Inventory[[#This Row],[Adjusted Land Total]]-Inventory[[#This Row],[24Lnd]])/Inventory[[#This Row],[24Lnd]]</f>
        <v>-0.31684491978609625</v>
      </c>
      <c r="BU863" s="36">
        <f>(Inventory[[#This Row],[Adjusted Total]]-Inventory[[#This Row],[24Final]])/Inventory[[#This Row],[24Final]]</f>
        <v>3.156768325307651E-2</v>
      </c>
    </row>
    <row r="864" spans="1:73" x14ac:dyDescent="0.3">
      <c r="A864" s="25">
        <v>2025</v>
      </c>
      <c r="B864" s="26" t="s">
        <v>1729</v>
      </c>
      <c r="C864" s="26">
        <f>LN(Inventory[[#This Row],[Acres]])</f>
        <v>-1.6607312068216509</v>
      </c>
      <c r="D864" s="25">
        <v>0.19</v>
      </c>
      <c r="E864" s="25">
        <v>8068</v>
      </c>
      <c r="F864" s="26" t="s">
        <v>537</v>
      </c>
      <c r="G864" s="26" t="s">
        <v>126</v>
      </c>
      <c r="H864" s="26" t="s">
        <v>349</v>
      </c>
      <c r="I864" s="26" t="s">
        <v>538</v>
      </c>
      <c r="J864" s="26" t="s">
        <v>638</v>
      </c>
      <c r="K864" s="26" t="s">
        <v>242</v>
      </c>
      <c r="L864" s="26" t="s">
        <v>351</v>
      </c>
      <c r="M864" s="26" t="s">
        <v>323</v>
      </c>
      <c r="N864" s="26">
        <v>80</v>
      </c>
      <c r="O864" s="26">
        <f>2024-Inventory[[#This Row],[YrBlt]]</f>
        <v>74</v>
      </c>
      <c r="P864" s="26">
        <f>2024-Inventory[[#This Row],[EffYr]]</f>
        <v>51</v>
      </c>
      <c r="Q864" s="25">
        <v>1950</v>
      </c>
      <c r="R864" s="25">
        <v>1973</v>
      </c>
      <c r="S864" s="25">
        <v>1736</v>
      </c>
      <c r="T864" s="31"/>
      <c r="U864" s="31"/>
      <c r="V864" s="27">
        <f>Inventory[[#This Row],[Bsmt]]-Inventory[[#This Row],[FnBsmt]]</f>
        <v>0</v>
      </c>
      <c r="W864" s="27"/>
      <c r="X864" s="27"/>
      <c r="Y864" s="27">
        <f>Inventory[[#This Row],[MainFn]]+Inventory[[#This Row],[UpprFn]]+Inventory[[#This Row],[FnBsmt]]+Inventory[[#This Row],[AddFn]]</f>
        <v>1736</v>
      </c>
      <c r="Z864" s="27">
        <v>2000</v>
      </c>
      <c r="AA864" s="25">
        <v>8</v>
      </c>
      <c r="AB864" s="32">
        <v>200</v>
      </c>
      <c r="AC864" s="27"/>
      <c r="AD864" s="27"/>
      <c r="AE864" s="27"/>
      <c r="AF864" s="27"/>
      <c r="AG864" s="27"/>
      <c r="AH864" s="27"/>
      <c r="AI864" s="25">
        <v>283768</v>
      </c>
      <c r="AJ864" s="25">
        <v>195800</v>
      </c>
      <c r="AK864" s="25">
        <v>6396</v>
      </c>
      <c r="AL864" s="25">
        <v>318500</v>
      </c>
      <c r="AM864" s="25">
        <v>56600</v>
      </c>
      <c r="AN864" s="25">
        <v>261900</v>
      </c>
      <c r="AO864" s="25">
        <v>0</v>
      </c>
      <c r="AP864" s="25">
        <f>Lookups!$B$56*0</f>
        <v>0</v>
      </c>
      <c r="AQ864" s="25">
        <f>Lookups!$B$56*1</f>
        <v>89850.625589999996</v>
      </c>
      <c r="AR864" s="25">
        <f>Lookups!$B$57*Inventory[[#This Row],[LnAcres]]</f>
        <v>-52569.808201026557</v>
      </c>
      <c r="AS864" s="25">
        <f>VLOOKUP(Inventory[[#This Row],[Qlty]],Lookups!$A$62:$E$75,2,FALSE)</f>
        <v>21557.329055999999</v>
      </c>
      <c r="AT864" s="25">
        <f>VLOOKUP(Inventory[[#This Row],[Cnd]],Lookups!$A$76:$E$84,2,FALSE)</f>
        <v>160472.20319</v>
      </c>
      <c r="AU864" s="25">
        <f>Inventory[[#This Row],[EffAge]]*Lookups!$B$85</f>
        <v>-11375.3256255</v>
      </c>
      <c r="AV864" s="25">
        <f>Inventory[[#This Row],[MainFn]]*Lookups!$B$86</f>
        <v>85773.450906472004</v>
      </c>
      <c r="AW864" s="25">
        <f>Inventory[[#This Row],[UpprFn]]*Lookups!$B$87</f>
        <v>0</v>
      </c>
      <c r="AX864" s="25">
        <f>Inventory[[#This Row],[AddFn]]*Lookups!$B$88</f>
        <v>0</v>
      </c>
      <c r="AY864" s="25">
        <f>Inventory[[#This Row],[Bsmt]]*Lookups!$B$89</f>
        <v>0</v>
      </c>
      <c r="AZ864" s="25">
        <f>Inventory[[#This Row],[Fixtures]]*Lookups!$B$90</f>
        <v>30336.176841600001</v>
      </c>
      <c r="BA864" s="25">
        <f>Inventory[[#This Row],[WdDeck]]*Lookups!$B$91</f>
        <v>0</v>
      </c>
      <c r="BB864" s="25">
        <f>ROUND(Inventory[[#This Row],[25Det]],-2)</f>
        <v>6400</v>
      </c>
      <c r="BC864" s="25">
        <f>ROUND(SUM(Inventory[[#This Row],[Mdl Qlty]:[Mdl WdDeck]])+Inventory[[#This Row],[Mdl Res Intercept]],-2)</f>
        <v>286800</v>
      </c>
      <c r="BD864" s="25">
        <f>ROUND(Inventory[[#This Row],[Mdl Land Intercept]]+Inventory[[#This Row],[Mdl LnAcres]],-2)</f>
        <v>37300</v>
      </c>
      <c r="BE864" s="25">
        <f>Inventory[[#This Row],[Unadj Res Value]]+Inventory[[#This Row],[Unadj Det Value]]+Inventory[[#This Row],[Unadj Land Value]]</f>
        <v>330500</v>
      </c>
      <c r="BF864" s="36">
        <f>(Inventory[[#This Row],[Unadj Total Value]]-Inventory[[#This Row],[24Final]])/Inventory[[#This Row],[24Final]]</f>
        <v>3.7676609105180531E-2</v>
      </c>
      <c r="BG864" s="25">
        <f>VLOOKUP(Inventory[[#This Row],[Nbhd]],Lookups!$Q$2:$T$4,4,FALSE)</f>
        <v>0.99970000000000003</v>
      </c>
      <c r="BH864" s="25">
        <f>VLOOKUP(Inventory[[#This Row],[Qlty]],Lookups!$O$7:$R$21,4,FALSE)</f>
        <v>1.0067999999999999</v>
      </c>
      <c r="BI864" s="25">
        <f>VLOOKUP(Inventory[[#This Row],[Cnd]],Lookups!$T$7:$W$16,4,FALSE)</f>
        <v>0.99729999999999996</v>
      </c>
      <c r="BJ864" s="25">
        <f>VLOOKUP(Inventory[[#This Row],[LivArea Range]],Lookups!$T$25:$W$37,4,FALSE)</f>
        <v>1.0093000000000001</v>
      </c>
      <c r="BK864" s="25">
        <f>VLOOKUP(Inventory[[#This Row],[Decade]],Lookups!$O$25:$R$42,4,FALSE)</f>
        <v>0.995</v>
      </c>
      <c r="BL864" s="25">
        <f>Inventory[[#This Row],[Nbhd Adj]]*0.95</f>
        <v>0.94971499999999998</v>
      </c>
      <c r="BM864" s="25">
        <f>Inventory[[#This Row],[Nbhd Adj]]*Inventory[[#This Row],[Quality Adj]]*Inventory[[#This Row],[Condition Adj]]*Inventory[[#This Row],[Living Area Adj]]*Inventory[[#This Row],[Decade Adj]]*0.95</f>
        <v>0.957647495730095</v>
      </c>
      <c r="BN864" s="25">
        <f>ROUND(SUM(Inventory[[#This Row],[Mdl Qlty]:[Mdl WdDeck]])+Inventory[[#This Row],[Mdl Res Intercept]]*Inventory[[#This Row],[Res Adj ]],-2)</f>
        <v>286800</v>
      </c>
      <c r="BO864" s="25">
        <f>ROUND(Inventory[[#This Row],[25Det]]*Inventory[[#This Row],[Det/Nbhd Adj]],-2)</f>
        <v>6100</v>
      </c>
      <c r="BP864" s="25">
        <f>Inventory[[#This Row],[Adjusted Res]]+Inventory[[#This Row],[Adj Det ]]</f>
        <v>292900</v>
      </c>
      <c r="BQ864" s="25">
        <f>ROUND((Inventory[[#This Row],[Mdl Land Intercept]]+Inventory[[#This Row],[Mdl LnAcres]])*Inventory[[#This Row],[Det/Nbhd Adj]],-2)</f>
        <v>35400</v>
      </c>
      <c r="BR864" s="25">
        <f>Inventory[[#This Row],[Adjusted Impr Total]]+Inventory[[#This Row],[Adjusted Land Total]]</f>
        <v>328300</v>
      </c>
      <c r="BS864" s="36">
        <f>IFERROR((Inventory[[#This Row],[Adjusted Impr Total]]-Inventory[[#This Row],[24Bldg]])/Inventory[[#This Row],[24Bldg]],0)</f>
        <v>0.11836578846888125</v>
      </c>
      <c r="BT864" s="36">
        <f>(Inventory[[#This Row],[Adjusted Land Total]]-Inventory[[#This Row],[24Lnd]])/Inventory[[#This Row],[24Lnd]]</f>
        <v>-0.37455830388692579</v>
      </c>
      <c r="BU864" s="36">
        <f>(Inventory[[#This Row],[Adjusted Total]]-Inventory[[#This Row],[24Final]])/Inventory[[#This Row],[24Final]]</f>
        <v>3.0769230769230771E-2</v>
      </c>
    </row>
    <row r="865" spans="1:73" x14ac:dyDescent="0.3">
      <c r="A865" s="25">
        <v>2025</v>
      </c>
      <c r="B865" s="26" t="s">
        <v>2818</v>
      </c>
      <c r="C865" s="26">
        <f>LN(Inventory[[#This Row],[Acres]])</f>
        <v>-1.6094379124341003</v>
      </c>
      <c r="D865" s="25">
        <v>0.2</v>
      </c>
      <c r="E865" s="25">
        <v>8892</v>
      </c>
      <c r="F865" s="26" t="s">
        <v>537</v>
      </c>
      <c r="G865" s="26" t="s">
        <v>126</v>
      </c>
      <c r="H865" s="26" t="s">
        <v>349</v>
      </c>
      <c r="I865" s="26" t="s">
        <v>538</v>
      </c>
      <c r="J865" s="26" t="s">
        <v>539</v>
      </c>
      <c r="K865" s="26" t="s">
        <v>241</v>
      </c>
      <c r="L865" s="26" t="s">
        <v>205</v>
      </c>
      <c r="M865" s="26" t="s">
        <v>323</v>
      </c>
      <c r="N865" s="26">
        <v>80</v>
      </c>
      <c r="O865" s="26">
        <f>2024-Inventory[[#This Row],[YrBlt]]</f>
        <v>74</v>
      </c>
      <c r="P865" s="26">
        <f>2024-Inventory[[#This Row],[EffYr]]</f>
        <v>51</v>
      </c>
      <c r="Q865" s="25">
        <v>1950</v>
      </c>
      <c r="R865" s="25">
        <v>1973</v>
      </c>
      <c r="S865" s="25">
        <v>960</v>
      </c>
      <c r="T865" s="27"/>
      <c r="U865" s="27"/>
      <c r="V865" s="27">
        <f>Inventory[[#This Row],[Bsmt]]-Inventory[[#This Row],[FnBsmt]]</f>
        <v>0</v>
      </c>
      <c r="W865" s="27"/>
      <c r="X865" s="27"/>
      <c r="Y865" s="27">
        <f>Inventory[[#This Row],[MainFn]]+Inventory[[#This Row],[UpprFn]]+Inventory[[#This Row],[FnBsmt]]+Inventory[[#This Row],[AddFn]]</f>
        <v>960</v>
      </c>
      <c r="Z865" s="27">
        <v>1000</v>
      </c>
      <c r="AA865" s="25">
        <v>5</v>
      </c>
      <c r="AB865" s="31"/>
      <c r="AC865" s="27"/>
      <c r="AD865" s="32">
        <v>64</v>
      </c>
      <c r="AE865" s="27"/>
      <c r="AF865" s="27"/>
      <c r="AG865" s="27"/>
      <c r="AH865" s="27"/>
      <c r="AI865" s="25">
        <v>147870</v>
      </c>
      <c r="AJ865" s="25">
        <v>102030</v>
      </c>
      <c r="AK865" s="25">
        <v>8623</v>
      </c>
      <c r="AL865" s="25">
        <v>255000</v>
      </c>
      <c r="AM865" s="25">
        <v>58400</v>
      </c>
      <c r="AN865" s="25">
        <v>196600</v>
      </c>
      <c r="AO865" s="25">
        <v>0</v>
      </c>
      <c r="AP865" s="25">
        <f>Lookups!$B$56*0</f>
        <v>0</v>
      </c>
      <c r="AQ865" s="25">
        <f>Lookups!$B$56*1</f>
        <v>89850.625589999996</v>
      </c>
      <c r="AR865" s="25">
        <f>Lookups!$B$57*Inventory[[#This Row],[LnAcres]]</f>
        <v>-50946.13867709865</v>
      </c>
      <c r="AS865" s="25">
        <f>VLOOKUP(Inventory[[#This Row],[Qlty]],Lookups!$A$62:$E$75,2,FALSE)</f>
        <v>0</v>
      </c>
      <c r="AT865" s="25">
        <f>VLOOKUP(Inventory[[#This Row],[Cnd]],Lookups!$A$76:$E$84,2,FALSE)</f>
        <v>160472.20319</v>
      </c>
      <c r="AU865" s="25">
        <f>Inventory[[#This Row],[EffAge]]*Lookups!$B$85</f>
        <v>-11375.3256255</v>
      </c>
      <c r="AV865" s="25">
        <f>Inventory[[#This Row],[MainFn]]*Lookups!$B$86</f>
        <v>47432.323081920003</v>
      </c>
      <c r="AW865" s="25">
        <f>Inventory[[#This Row],[UpprFn]]*Lookups!$B$87</f>
        <v>0</v>
      </c>
      <c r="AX865" s="25">
        <f>Inventory[[#This Row],[AddFn]]*Lookups!$B$88</f>
        <v>0</v>
      </c>
      <c r="AY865" s="25">
        <f>Inventory[[#This Row],[Bsmt]]*Lookups!$B$89</f>
        <v>0</v>
      </c>
      <c r="AZ865" s="25">
        <f>Inventory[[#This Row],[Fixtures]]*Lookups!$B$90</f>
        <v>18960.110526</v>
      </c>
      <c r="BA865" s="25">
        <f>Inventory[[#This Row],[WdDeck]]*Lookups!$B$91</f>
        <v>2130.9129776640002</v>
      </c>
      <c r="BB865" s="25">
        <f>ROUND(Inventory[[#This Row],[25Det]],-2)</f>
        <v>8600</v>
      </c>
      <c r="BC865" s="25">
        <f>ROUND(SUM(Inventory[[#This Row],[Mdl Qlty]:[Mdl WdDeck]])+Inventory[[#This Row],[Mdl Res Intercept]],-2)</f>
        <v>217600</v>
      </c>
      <c r="BD865" s="25">
        <f>ROUND(Inventory[[#This Row],[Mdl Land Intercept]]+Inventory[[#This Row],[Mdl LnAcres]],-2)</f>
        <v>38900</v>
      </c>
      <c r="BE865" s="25">
        <f>Inventory[[#This Row],[Unadj Res Value]]+Inventory[[#This Row],[Unadj Det Value]]+Inventory[[#This Row],[Unadj Land Value]]</f>
        <v>265100</v>
      </c>
      <c r="BF865" s="36">
        <f>(Inventory[[#This Row],[Unadj Total Value]]-Inventory[[#This Row],[24Final]])/Inventory[[#This Row],[24Final]]</f>
        <v>3.9607843137254899E-2</v>
      </c>
      <c r="BG865" s="25">
        <f>VLOOKUP(Inventory[[#This Row],[Nbhd]],Lookups!$Q$2:$T$4,4,FALSE)</f>
        <v>0.99970000000000003</v>
      </c>
      <c r="BH865" s="25">
        <f>VLOOKUP(Inventory[[#This Row],[Qlty]],Lookups!$O$7:$R$21,4,FALSE)</f>
        <v>0.99180000000000001</v>
      </c>
      <c r="BI865" s="25">
        <f>VLOOKUP(Inventory[[#This Row],[Cnd]],Lookups!$T$7:$W$16,4,FALSE)</f>
        <v>0.99729999999999996</v>
      </c>
      <c r="BJ865" s="25">
        <f>VLOOKUP(Inventory[[#This Row],[LivArea Range]],Lookups!$T$25:$W$37,4,FALSE)</f>
        <v>1.0148999999999999</v>
      </c>
      <c r="BK865" s="25">
        <f>VLOOKUP(Inventory[[#This Row],[Decade]],Lookups!$O$25:$R$42,4,FALSE)</f>
        <v>0.995</v>
      </c>
      <c r="BL865" s="25">
        <f>Inventory[[#This Row],[Nbhd Adj]]*0.95</f>
        <v>0.94971499999999998</v>
      </c>
      <c r="BM865" s="25">
        <f>Inventory[[#This Row],[Nbhd Adj]]*Inventory[[#This Row],[Quality Adj]]*Inventory[[#This Row],[Condition Adj]]*Inventory[[#This Row],[Living Area Adj]]*Inventory[[#This Row],[Decade Adj]]*0.95</f>
        <v>0.94861405199075932</v>
      </c>
      <c r="BN865" s="25">
        <f>ROUND(SUM(Inventory[[#This Row],[Mdl Qlty]:[Mdl WdDeck]])+Inventory[[#This Row],[Mdl Res Intercept]]*Inventory[[#This Row],[Res Adj ]],-2)</f>
        <v>217600</v>
      </c>
      <c r="BO865" s="25">
        <f>ROUND(Inventory[[#This Row],[25Det]]*Inventory[[#This Row],[Det/Nbhd Adj]],-2)</f>
        <v>8200</v>
      </c>
      <c r="BP865" s="25">
        <f>Inventory[[#This Row],[Adjusted Res]]+Inventory[[#This Row],[Adj Det ]]</f>
        <v>225800</v>
      </c>
      <c r="BQ865" s="25">
        <f>ROUND((Inventory[[#This Row],[Mdl Land Intercept]]+Inventory[[#This Row],[Mdl LnAcres]])*Inventory[[#This Row],[Det/Nbhd Adj]],-2)</f>
        <v>36900</v>
      </c>
      <c r="BR865" s="25">
        <f>Inventory[[#This Row],[Adjusted Impr Total]]+Inventory[[#This Row],[Adjusted Land Total]]</f>
        <v>262700</v>
      </c>
      <c r="BS865" s="36">
        <f>IFERROR((Inventory[[#This Row],[Adjusted Impr Total]]-Inventory[[#This Row],[24Bldg]])/Inventory[[#This Row],[24Bldg]],0)</f>
        <v>0.14852492370295015</v>
      </c>
      <c r="BT865" s="36">
        <f>(Inventory[[#This Row],[Adjusted Land Total]]-Inventory[[#This Row],[24Lnd]])/Inventory[[#This Row],[24Lnd]]</f>
        <v>-0.36815068493150682</v>
      </c>
      <c r="BU865" s="36">
        <f>(Inventory[[#This Row],[Adjusted Total]]-Inventory[[#This Row],[24Final]])/Inventory[[#This Row],[24Final]]</f>
        <v>3.019607843137255E-2</v>
      </c>
    </row>
    <row r="866" spans="1:73" x14ac:dyDescent="0.3">
      <c r="A866" s="25">
        <v>2025</v>
      </c>
      <c r="B866" s="26" t="s">
        <v>815</v>
      </c>
      <c r="C866" s="26">
        <f>LN(Inventory[[#This Row],[Acres]])</f>
        <v>-1.5606477482646683</v>
      </c>
      <c r="D866" s="25">
        <v>0.21</v>
      </c>
      <c r="E866" s="25">
        <v>8933</v>
      </c>
      <c r="F866" s="26" t="s">
        <v>537</v>
      </c>
      <c r="G866" s="26" t="s">
        <v>126</v>
      </c>
      <c r="H866" s="26" t="s">
        <v>349</v>
      </c>
      <c r="I866" s="26" t="s">
        <v>538</v>
      </c>
      <c r="J866" s="26" t="s">
        <v>539</v>
      </c>
      <c r="K866" s="26" t="s">
        <v>242</v>
      </c>
      <c r="L866" s="26" t="s">
        <v>351</v>
      </c>
      <c r="M866" s="26" t="s">
        <v>323</v>
      </c>
      <c r="N866" s="26">
        <v>80</v>
      </c>
      <c r="O866" s="26">
        <f>2024-Inventory[[#This Row],[YrBlt]]</f>
        <v>74</v>
      </c>
      <c r="P866" s="26">
        <f>2024-Inventory[[#This Row],[EffYr]]</f>
        <v>51</v>
      </c>
      <c r="Q866" s="25">
        <v>1950</v>
      </c>
      <c r="R866" s="25">
        <v>1973</v>
      </c>
      <c r="S866" s="25">
        <v>1261</v>
      </c>
      <c r="T866" s="27"/>
      <c r="U866" s="32">
        <v>1261</v>
      </c>
      <c r="V866" s="32">
        <f>Inventory[[#This Row],[Bsmt]]-Inventory[[#This Row],[FnBsmt]]</f>
        <v>504</v>
      </c>
      <c r="W866" s="32">
        <v>757</v>
      </c>
      <c r="X866" s="27"/>
      <c r="Y866" s="27">
        <f>Inventory[[#This Row],[MainFn]]+Inventory[[#This Row],[UpprFn]]+Inventory[[#This Row],[FnBsmt]]+Inventory[[#This Row],[AddFn]]</f>
        <v>2018</v>
      </c>
      <c r="Z866" s="27">
        <v>2500</v>
      </c>
      <c r="AA866" s="25">
        <v>8</v>
      </c>
      <c r="AB866" s="27"/>
      <c r="AC866" s="27"/>
      <c r="AD866" s="27"/>
      <c r="AE866" s="27"/>
      <c r="AF866" s="27"/>
      <c r="AG866" s="27"/>
      <c r="AH866" s="27"/>
      <c r="AI866" s="25">
        <v>303724</v>
      </c>
      <c r="AJ866" s="25">
        <v>209570</v>
      </c>
      <c r="AK866" s="25">
        <v>6724</v>
      </c>
      <c r="AL866" s="25">
        <v>334800</v>
      </c>
      <c r="AM866" s="25">
        <v>60100</v>
      </c>
      <c r="AN866" s="25">
        <v>274700</v>
      </c>
      <c r="AO866" s="25">
        <v>0</v>
      </c>
      <c r="AP866" s="25">
        <f>Lookups!$B$56*0</f>
        <v>0</v>
      </c>
      <c r="AQ866" s="25">
        <f>Lookups!$B$56*1</f>
        <v>89850.625589999996</v>
      </c>
      <c r="AR866" s="25">
        <f>Lookups!$B$57*Inventory[[#This Row],[LnAcres]]</f>
        <v>-49401.70477837498</v>
      </c>
      <c r="AS866" s="25">
        <f>VLOOKUP(Inventory[[#This Row],[Qlty]],Lookups!$A$62:$E$75,2,FALSE)</f>
        <v>21557.329055999999</v>
      </c>
      <c r="AT866" s="25">
        <f>VLOOKUP(Inventory[[#This Row],[Cnd]],Lookups!$A$76:$E$84,2,FALSE)</f>
        <v>160472.20319</v>
      </c>
      <c r="AU866" s="25">
        <f>Inventory[[#This Row],[EffAge]]*Lookups!$B$85</f>
        <v>-11375.3256255</v>
      </c>
      <c r="AV866" s="25">
        <f>Inventory[[#This Row],[MainFn]]*Lookups!$B$86</f>
        <v>62304.332714896998</v>
      </c>
      <c r="AW866" s="25">
        <f>Inventory[[#This Row],[UpprFn]]*Lookups!$B$87</f>
        <v>0</v>
      </c>
      <c r="AX866" s="25">
        <f>Inventory[[#This Row],[AddFn]]*Lookups!$B$88</f>
        <v>0</v>
      </c>
      <c r="AY866" s="25">
        <f>Inventory[[#This Row],[Bsmt]]*Lookups!$B$89</f>
        <v>36672.269906467001</v>
      </c>
      <c r="AZ866" s="25">
        <f>Inventory[[#This Row],[Fixtures]]*Lookups!$B$90</f>
        <v>30336.176841600001</v>
      </c>
      <c r="BA866" s="25">
        <f>Inventory[[#This Row],[WdDeck]]*Lookups!$B$91</f>
        <v>0</v>
      </c>
      <c r="BB866" s="25">
        <f>ROUND(Inventory[[#This Row],[25Det]],-2)</f>
        <v>6700</v>
      </c>
      <c r="BC866" s="25">
        <f>ROUND(SUM(Inventory[[#This Row],[Mdl Qlty]:[Mdl WdDeck]])+Inventory[[#This Row],[Mdl Res Intercept]],-2)</f>
        <v>300000</v>
      </c>
      <c r="BD866" s="25">
        <f>ROUND(Inventory[[#This Row],[Mdl Land Intercept]]+Inventory[[#This Row],[Mdl LnAcres]],-2)</f>
        <v>40400</v>
      </c>
      <c r="BE866" s="25">
        <f>Inventory[[#This Row],[Unadj Res Value]]+Inventory[[#This Row],[Unadj Det Value]]+Inventory[[#This Row],[Unadj Land Value]]</f>
        <v>347100</v>
      </c>
      <c r="BF866" s="36">
        <f>(Inventory[[#This Row],[Unadj Total Value]]-Inventory[[#This Row],[24Final]])/Inventory[[#This Row],[24Final]]</f>
        <v>3.6738351254480286E-2</v>
      </c>
      <c r="BG866" s="25">
        <f>VLOOKUP(Inventory[[#This Row],[Nbhd]],Lookups!$Q$2:$T$4,4,FALSE)</f>
        <v>0.99970000000000003</v>
      </c>
      <c r="BH866" s="25">
        <f>VLOOKUP(Inventory[[#This Row],[Qlty]],Lookups!$O$7:$R$21,4,FALSE)</f>
        <v>1.0067999999999999</v>
      </c>
      <c r="BI866" s="25">
        <f>VLOOKUP(Inventory[[#This Row],[Cnd]],Lookups!$T$7:$W$16,4,FALSE)</f>
        <v>0.99729999999999996</v>
      </c>
      <c r="BJ866" s="25">
        <f>VLOOKUP(Inventory[[#This Row],[LivArea Range]],Lookups!$T$25:$W$37,4,FALSE)</f>
        <v>0.98919999999999997</v>
      </c>
      <c r="BK866" s="25">
        <f>VLOOKUP(Inventory[[#This Row],[Decade]],Lookups!$O$25:$R$42,4,FALSE)</f>
        <v>0.995</v>
      </c>
      <c r="BL866" s="25">
        <f>Inventory[[#This Row],[Nbhd Adj]]*0.95</f>
        <v>0.94971499999999998</v>
      </c>
      <c r="BM866" s="25">
        <f>Inventory[[#This Row],[Nbhd Adj]]*Inventory[[#This Row],[Quality Adj]]*Inventory[[#This Row],[Condition Adj]]*Inventory[[#This Row],[Living Area Adj]]*Inventory[[#This Row],[Decade Adj]]*0.95</f>
        <v>0.93857614463114025</v>
      </c>
      <c r="BN866" s="25">
        <f>ROUND(SUM(Inventory[[#This Row],[Mdl Qlty]:[Mdl WdDeck]])+Inventory[[#This Row],[Mdl Res Intercept]]*Inventory[[#This Row],[Res Adj ]],-2)</f>
        <v>300000</v>
      </c>
      <c r="BO866" s="25">
        <f>ROUND(Inventory[[#This Row],[25Det]]*Inventory[[#This Row],[Det/Nbhd Adj]],-2)</f>
        <v>6400</v>
      </c>
      <c r="BP866" s="25">
        <f>Inventory[[#This Row],[Adjusted Res]]+Inventory[[#This Row],[Adj Det ]]</f>
        <v>306400</v>
      </c>
      <c r="BQ866" s="25">
        <f>ROUND((Inventory[[#This Row],[Mdl Land Intercept]]+Inventory[[#This Row],[Mdl LnAcres]])*Inventory[[#This Row],[Det/Nbhd Adj]],-2)</f>
        <v>38400</v>
      </c>
      <c r="BR866" s="25">
        <f>Inventory[[#This Row],[Adjusted Impr Total]]+Inventory[[#This Row],[Adjusted Land Total]]</f>
        <v>344800</v>
      </c>
      <c r="BS866" s="36">
        <f>IFERROR((Inventory[[#This Row],[Adjusted Impr Total]]-Inventory[[#This Row],[24Bldg]])/Inventory[[#This Row],[24Bldg]],0)</f>
        <v>0.11539861667273389</v>
      </c>
      <c r="BT866" s="36">
        <f>(Inventory[[#This Row],[Adjusted Land Total]]-Inventory[[#This Row],[24Lnd]])/Inventory[[#This Row],[24Lnd]]</f>
        <v>-0.36106489184692181</v>
      </c>
      <c r="BU866" s="36">
        <f>(Inventory[[#This Row],[Adjusted Total]]-Inventory[[#This Row],[24Final]])/Inventory[[#This Row],[24Final]]</f>
        <v>2.986857825567503E-2</v>
      </c>
    </row>
    <row r="867" spans="1:73" x14ac:dyDescent="0.3">
      <c r="A867" s="25">
        <v>2025</v>
      </c>
      <c r="B867" s="26" t="s">
        <v>1626</v>
      </c>
      <c r="C867" s="26">
        <f>LN(Inventory[[#This Row],[Acres]])</f>
        <v>-1.4696759700589417</v>
      </c>
      <c r="D867" s="25">
        <v>0.23</v>
      </c>
      <c r="E867" s="25">
        <v>9835</v>
      </c>
      <c r="F867" s="26" t="s">
        <v>537</v>
      </c>
      <c r="G867" s="26" t="s">
        <v>126</v>
      </c>
      <c r="H867" s="26" t="s">
        <v>349</v>
      </c>
      <c r="I867" s="26" t="s">
        <v>538</v>
      </c>
      <c r="J867" s="26" t="s">
        <v>539</v>
      </c>
      <c r="K867" s="26" t="s">
        <v>241</v>
      </c>
      <c r="L867" s="26" t="s">
        <v>302</v>
      </c>
      <c r="M867" s="26" t="s">
        <v>323</v>
      </c>
      <c r="N867" s="26">
        <v>80</v>
      </c>
      <c r="O867" s="26">
        <f>2024-Inventory[[#This Row],[YrBlt]]</f>
        <v>74</v>
      </c>
      <c r="P867" s="26">
        <f>2024-Inventory[[#This Row],[EffYr]]</f>
        <v>51</v>
      </c>
      <c r="Q867" s="25">
        <v>1950</v>
      </c>
      <c r="R867" s="25">
        <v>1973</v>
      </c>
      <c r="S867" s="25">
        <v>1349</v>
      </c>
      <c r="T867" s="27"/>
      <c r="U867" s="31"/>
      <c r="V867" s="31">
        <f>Inventory[[#This Row],[Bsmt]]-Inventory[[#This Row],[FnBsmt]]</f>
        <v>0</v>
      </c>
      <c r="W867" s="31"/>
      <c r="X867" s="27"/>
      <c r="Y867" s="27">
        <f>Inventory[[#This Row],[MainFn]]+Inventory[[#This Row],[UpprFn]]+Inventory[[#This Row],[FnBsmt]]+Inventory[[#This Row],[AddFn]]</f>
        <v>1349</v>
      </c>
      <c r="Z867" s="27">
        <v>1500</v>
      </c>
      <c r="AA867" s="25">
        <v>6</v>
      </c>
      <c r="AB867" s="27"/>
      <c r="AC867" s="27"/>
      <c r="AD867" s="27"/>
      <c r="AE867" s="27"/>
      <c r="AF867" s="27"/>
      <c r="AG867" s="27"/>
      <c r="AH867" s="27"/>
      <c r="AI867" s="25">
        <v>255170</v>
      </c>
      <c r="AJ867" s="25">
        <v>176067</v>
      </c>
      <c r="AK867" s="25">
        <v>10689</v>
      </c>
      <c r="AL867" s="25">
        <v>310500</v>
      </c>
      <c r="AM867" s="25">
        <v>63300</v>
      </c>
      <c r="AN867" s="25">
        <v>247200</v>
      </c>
      <c r="AO867" s="25">
        <v>0</v>
      </c>
      <c r="AP867" s="25">
        <f>Lookups!$B$56*0</f>
        <v>0</v>
      </c>
      <c r="AQ867" s="25">
        <f>Lookups!$B$56*1</f>
        <v>89850.625589999996</v>
      </c>
      <c r="AR867" s="25">
        <f>Lookups!$B$57*Inventory[[#This Row],[LnAcres]]</f>
        <v>-46522.028095997222</v>
      </c>
      <c r="AS867" s="25">
        <f>VLOOKUP(Inventory[[#This Row],[Qlty]],Lookups!$A$62:$E$75,2,FALSE)</f>
        <v>29814.093161000001</v>
      </c>
      <c r="AT867" s="25">
        <f>VLOOKUP(Inventory[[#This Row],[Cnd]],Lookups!$A$76:$E$84,2,FALSE)</f>
        <v>160472.20319</v>
      </c>
      <c r="AU867" s="25">
        <f>Inventory[[#This Row],[EffAge]]*Lookups!$B$85</f>
        <v>-11375.3256255</v>
      </c>
      <c r="AV867" s="25">
        <f>Inventory[[#This Row],[MainFn]]*Lookups!$B$86</f>
        <v>66652.295664072997</v>
      </c>
      <c r="AW867" s="25">
        <f>Inventory[[#This Row],[UpprFn]]*Lookups!$B$87</f>
        <v>0</v>
      </c>
      <c r="AX867" s="25">
        <f>Inventory[[#This Row],[AddFn]]*Lookups!$B$88</f>
        <v>0</v>
      </c>
      <c r="AY867" s="25">
        <f>Inventory[[#This Row],[Bsmt]]*Lookups!$B$89</f>
        <v>0</v>
      </c>
      <c r="AZ867" s="25">
        <f>Inventory[[#This Row],[Fixtures]]*Lookups!$B$90</f>
        <v>22752.132631200002</v>
      </c>
      <c r="BA867" s="25">
        <f>Inventory[[#This Row],[WdDeck]]*Lookups!$B$91</f>
        <v>0</v>
      </c>
      <c r="BB867" s="25">
        <f>ROUND(Inventory[[#This Row],[25Det]],-2)</f>
        <v>10700</v>
      </c>
      <c r="BC867" s="25">
        <f>ROUND(SUM(Inventory[[#This Row],[Mdl Qlty]:[Mdl WdDeck]])+Inventory[[#This Row],[Mdl Res Intercept]],-2)</f>
        <v>268300</v>
      </c>
      <c r="BD867" s="25">
        <f>ROUND(Inventory[[#This Row],[Mdl Land Intercept]]+Inventory[[#This Row],[Mdl LnAcres]],-2)</f>
        <v>43300</v>
      </c>
      <c r="BE867" s="25">
        <f>Inventory[[#This Row],[Unadj Res Value]]+Inventory[[#This Row],[Unadj Det Value]]+Inventory[[#This Row],[Unadj Land Value]]</f>
        <v>322300</v>
      </c>
      <c r="BF867" s="36">
        <f>(Inventory[[#This Row],[Unadj Total Value]]-Inventory[[#This Row],[24Final]])/Inventory[[#This Row],[24Final]]</f>
        <v>3.8003220611916265E-2</v>
      </c>
      <c r="BG867" s="25">
        <f>VLOOKUP(Inventory[[#This Row],[Nbhd]],Lookups!$Q$2:$T$4,4,FALSE)</f>
        <v>0.99970000000000003</v>
      </c>
      <c r="BH867" s="25">
        <f>VLOOKUP(Inventory[[#This Row],[Qlty]],Lookups!$O$7:$R$21,4,FALSE)</f>
        <v>1.0088999999999999</v>
      </c>
      <c r="BI867" s="25">
        <f>VLOOKUP(Inventory[[#This Row],[Cnd]],Lookups!$T$7:$W$16,4,FALSE)</f>
        <v>0.99729999999999996</v>
      </c>
      <c r="BJ867" s="25">
        <f>VLOOKUP(Inventory[[#This Row],[LivArea Range]],Lookups!$T$25:$W$37,4,FALSE)</f>
        <v>1.0157</v>
      </c>
      <c r="BK867" s="25">
        <f>VLOOKUP(Inventory[[#This Row],[Decade]],Lookups!$O$25:$R$42,4,FALSE)</f>
        <v>0.995</v>
      </c>
      <c r="BL867" s="25">
        <f>Inventory[[#This Row],[Nbhd Adj]]*0.95</f>
        <v>0.94971499999999998</v>
      </c>
      <c r="BM867" s="25">
        <f>Inventory[[#This Row],[Nbhd Adj]]*Inventory[[#This Row],[Quality Adj]]*Inventory[[#This Row],[Condition Adj]]*Inventory[[#This Row],[Living Area Adj]]*Inventory[[#This Row],[Decade Adj]]*0.95</f>
        <v>0.96573010868768849</v>
      </c>
      <c r="BN867" s="25">
        <f>ROUND(SUM(Inventory[[#This Row],[Mdl Qlty]:[Mdl WdDeck]])+Inventory[[#This Row],[Mdl Res Intercept]]*Inventory[[#This Row],[Res Adj ]],-2)</f>
        <v>268300</v>
      </c>
      <c r="BO867" s="25">
        <f>ROUND(Inventory[[#This Row],[25Det]]*Inventory[[#This Row],[Det/Nbhd Adj]],-2)</f>
        <v>10200</v>
      </c>
      <c r="BP867" s="25">
        <f>Inventory[[#This Row],[Adjusted Res]]+Inventory[[#This Row],[Adj Det ]]</f>
        <v>278500</v>
      </c>
      <c r="BQ867" s="25">
        <f>ROUND((Inventory[[#This Row],[Mdl Land Intercept]]+Inventory[[#This Row],[Mdl LnAcres]])*Inventory[[#This Row],[Det/Nbhd Adj]],-2)</f>
        <v>41100</v>
      </c>
      <c r="BR867" s="25">
        <f>Inventory[[#This Row],[Adjusted Impr Total]]+Inventory[[#This Row],[Adjusted Land Total]]</f>
        <v>319600</v>
      </c>
      <c r="BS867" s="36">
        <f>IFERROR((Inventory[[#This Row],[Adjusted Impr Total]]-Inventory[[#This Row],[24Bldg]])/Inventory[[#This Row],[24Bldg]],0)</f>
        <v>0.12661812297734629</v>
      </c>
      <c r="BT867" s="36">
        <f>(Inventory[[#This Row],[Adjusted Land Total]]-Inventory[[#This Row],[24Lnd]])/Inventory[[#This Row],[24Lnd]]</f>
        <v>-0.35071090047393366</v>
      </c>
      <c r="BU867" s="36">
        <f>(Inventory[[#This Row],[Adjusted Total]]-Inventory[[#This Row],[24Final]])/Inventory[[#This Row],[24Final]]</f>
        <v>2.930756843800322E-2</v>
      </c>
    </row>
    <row r="868" spans="1:73" x14ac:dyDescent="0.3">
      <c r="A868" s="25">
        <v>2025</v>
      </c>
      <c r="B868" s="26" t="s">
        <v>2363</v>
      </c>
      <c r="C868" s="26">
        <f>LN(Inventory[[#This Row],[Acres]])</f>
        <v>-1.3862943611198906</v>
      </c>
      <c r="D868" s="25">
        <v>0.25</v>
      </c>
      <c r="E868" s="25">
        <v>10686</v>
      </c>
      <c r="F868" s="26" t="s">
        <v>537</v>
      </c>
      <c r="G868" s="26" t="s">
        <v>126</v>
      </c>
      <c r="H868" s="26" t="s">
        <v>349</v>
      </c>
      <c r="I868" s="26" t="s">
        <v>538</v>
      </c>
      <c r="J868" s="26" t="s">
        <v>539</v>
      </c>
      <c r="K868" s="26" t="s">
        <v>242</v>
      </c>
      <c r="L868" s="26" t="s">
        <v>351</v>
      </c>
      <c r="M868" s="26" t="s">
        <v>303</v>
      </c>
      <c r="N868" s="26">
        <v>80</v>
      </c>
      <c r="O868" s="26">
        <f>2024-Inventory[[#This Row],[YrBlt]]</f>
        <v>74</v>
      </c>
      <c r="P868" s="26">
        <f>2024-Inventory[[#This Row],[EffYr]]</f>
        <v>51</v>
      </c>
      <c r="Q868" s="25">
        <v>1950</v>
      </c>
      <c r="R868" s="25">
        <v>1973</v>
      </c>
      <c r="S868" s="25">
        <v>1050</v>
      </c>
      <c r="T868" s="31"/>
      <c r="U868" s="25">
        <v>1050</v>
      </c>
      <c r="V868" s="25">
        <f>Inventory[[#This Row],[Bsmt]]-Inventory[[#This Row],[FnBsmt]]</f>
        <v>0</v>
      </c>
      <c r="W868" s="25">
        <v>1050</v>
      </c>
      <c r="X868" s="27"/>
      <c r="Y868" s="27">
        <f>Inventory[[#This Row],[MainFn]]+Inventory[[#This Row],[UpprFn]]+Inventory[[#This Row],[FnBsmt]]+Inventory[[#This Row],[AddFn]]</f>
        <v>2100</v>
      </c>
      <c r="Z868" s="27">
        <v>2500</v>
      </c>
      <c r="AA868" s="25">
        <v>8</v>
      </c>
      <c r="AB868" s="27"/>
      <c r="AC868" s="27"/>
      <c r="AD868" s="27"/>
      <c r="AE868" s="27"/>
      <c r="AF868" s="27"/>
      <c r="AG868" s="27"/>
      <c r="AH868" s="27"/>
      <c r="AI868" s="25">
        <v>277475</v>
      </c>
      <c r="AJ868" s="25">
        <v>197007</v>
      </c>
      <c r="AK868" s="25">
        <v>17105</v>
      </c>
      <c r="AL868" s="25">
        <v>369800</v>
      </c>
      <c r="AM868" s="25">
        <v>66200</v>
      </c>
      <c r="AN868" s="25">
        <v>303600</v>
      </c>
      <c r="AO868" s="25">
        <v>0</v>
      </c>
      <c r="AP868" s="25">
        <f>Lookups!$B$56*0</f>
        <v>0</v>
      </c>
      <c r="AQ868" s="25">
        <f>Lookups!$B$56*1</f>
        <v>89850.625589999996</v>
      </c>
      <c r="AR868" s="25">
        <f>Lookups!$B$57*Inventory[[#This Row],[LnAcres]]</f>
        <v>-43882.615305165229</v>
      </c>
      <c r="AS868" s="25">
        <f>VLOOKUP(Inventory[[#This Row],[Qlty]],Lookups!$A$62:$E$75,2,FALSE)</f>
        <v>21557.329055999999</v>
      </c>
      <c r="AT868" s="25">
        <f>VLOOKUP(Inventory[[#This Row],[Cnd]],Lookups!$A$76:$E$84,2,FALSE)</f>
        <v>197752.34721000001</v>
      </c>
      <c r="AU868" s="25">
        <f>Inventory[[#This Row],[EffAge]]*Lookups!$B$85</f>
        <v>-11375.3256255</v>
      </c>
      <c r="AV868" s="25">
        <f>Inventory[[#This Row],[MainFn]]*Lookups!$B$86</f>
        <v>51879.103370850004</v>
      </c>
      <c r="AW868" s="25">
        <f>Inventory[[#This Row],[UpprFn]]*Lookups!$B$87</f>
        <v>0</v>
      </c>
      <c r="AX868" s="25">
        <f>Inventory[[#This Row],[AddFn]]*Lookups!$B$88</f>
        <v>0</v>
      </c>
      <c r="AY868" s="25">
        <f>Inventory[[#This Row],[Bsmt]]*Lookups!$B$89</f>
        <v>30535.99000935</v>
      </c>
      <c r="AZ868" s="25">
        <f>Inventory[[#This Row],[Fixtures]]*Lookups!$B$90</f>
        <v>30336.176841600001</v>
      </c>
      <c r="BA868" s="25">
        <f>Inventory[[#This Row],[WdDeck]]*Lookups!$B$91</f>
        <v>0</v>
      </c>
      <c r="BB868" s="25">
        <f>ROUND(Inventory[[#This Row],[25Det]],-2)</f>
        <v>17100</v>
      </c>
      <c r="BC868" s="25">
        <f>ROUND(SUM(Inventory[[#This Row],[Mdl Qlty]:[Mdl WdDeck]])+Inventory[[#This Row],[Mdl Res Intercept]],-2)</f>
        <v>320700</v>
      </c>
      <c r="BD868" s="25">
        <f>ROUND(Inventory[[#This Row],[Mdl Land Intercept]]+Inventory[[#This Row],[Mdl LnAcres]],-2)</f>
        <v>46000</v>
      </c>
      <c r="BE868" s="25">
        <f>Inventory[[#This Row],[Unadj Res Value]]+Inventory[[#This Row],[Unadj Det Value]]+Inventory[[#This Row],[Unadj Land Value]]</f>
        <v>383800</v>
      </c>
      <c r="BF868" s="36">
        <f>(Inventory[[#This Row],[Unadj Total Value]]-Inventory[[#This Row],[24Final]])/Inventory[[#This Row],[24Final]]</f>
        <v>3.7858301784748513E-2</v>
      </c>
      <c r="BG868" s="25">
        <f>VLOOKUP(Inventory[[#This Row],[Nbhd]],Lookups!$Q$2:$T$4,4,FALSE)</f>
        <v>0.99970000000000003</v>
      </c>
      <c r="BH868" s="25">
        <f>VLOOKUP(Inventory[[#This Row],[Qlty]],Lookups!$O$7:$R$21,4,FALSE)</f>
        <v>1.0067999999999999</v>
      </c>
      <c r="BI868" s="25">
        <f>VLOOKUP(Inventory[[#This Row],[Cnd]],Lookups!$T$7:$W$16,4,FALSE)</f>
        <v>0.99650000000000005</v>
      </c>
      <c r="BJ868" s="25">
        <f>VLOOKUP(Inventory[[#This Row],[LivArea Range]],Lookups!$T$25:$W$37,4,FALSE)</f>
        <v>0.98919999999999997</v>
      </c>
      <c r="BK868" s="25">
        <f>VLOOKUP(Inventory[[#This Row],[Decade]],Lookups!$O$25:$R$42,4,FALSE)</f>
        <v>0.995</v>
      </c>
      <c r="BL868" s="25">
        <f>Inventory[[#This Row],[Nbhd Adj]]*0.95</f>
        <v>0.94971499999999998</v>
      </c>
      <c r="BM868" s="25">
        <f>Inventory[[#This Row],[Nbhd Adj]]*Inventory[[#This Row],[Quality Adj]]*Inventory[[#This Row],[Condition Adj]]*Inventory[[#This Row],[Living Area Adj]]*Inventory[[#This Row],[Decade Adj]]*0.95</f>
        <v>0.93782325090236773</v>
      </c>
      <c r="BN868" s="25">
        <f>ROUND(SUM(Inventory[[#This Row],[Mdl Qlty]:[Mdl WdDeck]])+Inventory[[#This Row],[Mdl Res Intercept]]*Inventory[[#This Row],[Res Adj ]],-2)</f>
        <v>320700</v>
      </c>
      <c r="BO868" s="25">
        <f>ROUND(Inventory[[#This Row],[25Det]]*Inventory[[#This Row],[Det/Nbhd Adj]],-2)</f>
        <v>16200</v>
      </c>
      <c r="BP868" s="25">
        <f>Inventory[[#This Row],[Adjusted Res]]+Inventory[[#This Row],[Adj Det ]]</f>
        <v>336900</v>
      </c>
      <c r="BQ868" s="25">
        <f>ROUND((Inventory[[#This Row],[Mdl Land Intercept]]+Inventory[[#This Row],[Mdl LnAcres]])*Inventory[[#This Row],[Det/Nbhd Adj]],-2)</f>
        <v>43700</v>
      </c>
      <c r="BR868" s="25">
        <f>Inventory[[#This Row],[Adjusted Impr Total]]+Inventory[[#This Row],[Adjusted Land Total]]</f>
        <v>380600</v>
      </c>
      <c r="BS868" s="36">
        <f>IFERROR((Inventory[[#This Row],[Adjusted Impr Total]]-Inventory[[#This Row],[24Bldg]])/Inventory[[#This Row],[24Bldg]],0)</f>
        <v>0.10968379446640317</v>
      </c>
      <c r="BT868" s="36">
        <f>(Inventory[[#This Row],[Adjusted Land Total]]-Inventory[[#This Row],[24Lnd]])/Inventory[[#This Row],[24Lnd]]</f>
        <v>-0.33987915407854985</v>
      </c>
      <c r="BU868" s="36">
        <f>(Inventory[[#This Row],[Adjusted Total]]-Inventory[[#This Row],[24Final]])/Inventory[[#This Row],[24Final]]</f>
        <v>2.9204975662520283E-2</v>
      </c>
    </row>
    <row r="869" spans="1:73" x14ac:dyDescent="0.3">
      <c r="A869" s="25">
        <v>2025</v>
      </c>
      <c r="B869" s="26" t="s">
        <v>1873</v>
      </c>
      <c r="C869" s="26">
        <f>LN(Inventory[[#This Row],[Acres]])</f>
        <v>-1.1394342831883648</v>
      </c>
      <c r="D869" s="25">
        <v>0.32</v>
      </c>
      <c r="E869" s="31"/>
      <c r="F869" s="26" t="s">
        <v>537</v>
      </c>
      <c r="G869" s="26" t="s">
        <v>126</v>
      </c>
      <c r="H869" s="26" t="s">
        <v>349</v>
      </c>
      <c r="I869" s="26" t="s">
        <v>538</v>
      </c>
      <c r="J869" s="26" t="s">
        <v>539</v>
      </c>
      <c r="K869" s="26" t="s">
        <v>242</v>
      </c>
      <c r="L869" s="26" t="s">
        <v>351</v>
      </c>
      <c r="M869" s="26" t="s">
        <v>323</v>
      </c>
      <c r="N869" s="26">
        <v>80</v>
      </c>
      <c r="O869" s="26">
        <f>2024-Inventory[[#This Row],[YrBlt]]</f>
        <v>74</v>
      </c>
      <c r="P869" s="26">
        <f>2024-Inventory[[#This Row],[EffYr]]</f>
        <v>51</v>
      </c>
      <c r="Q869" s="25">
        <v>1950</v>
      </c>
      <c r="R869" s="25">
        <v>1973</v>
      </c>
      <c r="S869" s="25">
        <v>1812</v>
      </c>
      <c r="T869" s="27"/>
      <c r="U869" s="32">
        <v>1812</v>
      </c>
      <c r="V869" s="32">
        <f>Inventory[[#This Row],[Bsmt]]-Inventory[[#This Row],[FnBsmt]]</f>
        <v>906</v>
      </c>
      <c r="W869" s="32">
        <v>906</v>
      </c>
      <c r="X869" s="27"/>
      <c r="Y869" s="27">
        <f>Inventory[[#This Row],[MainFn]]+Inventory[[#This Row],[UpprFn]]+Inventory[[#This Row],[FnBsmt]]+Inventory[[#This Row],[AddFn]]</f>
        <v>2718</v>
      </c>
      <c r="Z869" s="27">
        <v>3000</v>
      </c>
      <c r="AA869" s="25">
        <v>9</v>
      </c>
      <c r="AB869" s="27"/>
      <c r="AC869" s="27"/>
      <c r="AD869" s="25">
        <v>216</v>
      </c>
      <c r="AE869" s="27"/>
      <c r="AF869" s="27"/>
      <c r="AG869" s="27"/>
      <c r="AH869" s="27"/>
      <c r="AI869" s="25">
        <v>413635</v>
      </c>
      <c r="AJ869" s="25">
        <v>285408</v>
      </c>
      <c r="AK869" s="25">
        <v>14914</v>
      </c>
      <c r="AL869" s="25">
        <v>407700</v>
      </c>
      <c r="AM869" s="25">
        <v>74800</v>
      </c>
      <c r="AN869" s="25">
        <v>332900</v>
      </c>
      <c r="AO869" s="25">
        <v>0</v>
      </c>
      <c r="AP869" s="25">
        <f>Lookups!$B$56*0</f>
        <v>0</v>
      </c>
      <c r="AQ869" s="25">
        <f>Lookups!$B$56*1</f>
        <v>89850.625589999996</v>
      </c>
      <c r="AR869" s="25">
        <f>Lookups!$B$57*Inventory[[#This Row],[LnAcres]]</f>
        <v>-36068.354396449467</v>
      </c>
      <c r="AS869" s="25">
        <f>VLOOKUP(Inventory[[#This Row],[Qlty]],Lookups!$A$62:$E$75,2,FALSE)</f>
        <v>21557.329055999999</v>
      </c>
      <c r="AT869" s="25">
        <f>VLOOKUP(Inventory[[#This Row],[Cnd]],Lookups!$A$76:$E$84,2,FALSE)</f>
        <v>160472.20319</v>
      </c>
      <c r="AU869" s="25">
        <f>Inventory[[#This Row],[EffAge]]*Lookups!$B$85</f>
        <v>-11375.3256255</v>
      </c>
      <c r="AV869" s="25">
        <f>Inventory[[#This Row],[MainFn]]*Lookups!$B$86</f>
        <v>89528.509817123995</v>
      </c>
      <c r="AW869" s="25">
        <f>Inventory[[#This Row],[UpprFn]]*Lookups!$B$87</f>
        <v>0</v>
      </c>
      <c r="AX869" s="25">
        <f>Inventory[[#This Row],[AddFn]]*Lookups!$B$88</f>
        <v>0</v>
      </c>
      <c r="AY869" s="25">
        <f>Inventory[[#This Row],[Bsmt]]*Lookups!$B$89</f>
        <v>52696.394187563994</v>
      </c>
      <c r="AZ869" s="25">
        <f>Inventory[[#This Row],[Fixtures]]*Lookups!$B$90</f>
        <v>34128.198946800003</v>
      </c>
      <c r="BA869" s="25">
        <f>Inventory[[#This Row],[WdDeck]]*Lookups!$B$91</f>
        <v>7191.8312996160003</v>
      </c>
      <c r="BB869" s="25">
        <f>ROUND(Inventory[[#This Row],[25Det]],-2)</f>
        <v>14900</v>
      </c>
      <c r="BC869" s="25">
        <f>ROUND(SUM(Inventory[[#This Row],[Mdl Qlty]:[Mdl WdDeck]])+Inventory[[#This Row],[Mdl Res Intercept]],-2)</f>
        <v>354200</v>
      </c>
      <c r="BD869" s="25">
        <f>ROUND(Inventory[[#This Row],[Mdl Land Intercept]]+Inventory[[#This Row],[Mdl LnAcres]],-2)</f>
        <v>53800</v>
      </c>
      <c r="BE869" s="25">
        <f>Inventory[[#This Row],[Unadj Res Value]]+Inventory[[#This Row],[Unadj Det Value]]+Inventory[[#This Row],[Unadj Land Value]]</f>
        <v>422900</v>
      </c>
      <c r="BF869" s="36">
        <f>(Inventory[[#This Row],[Unadj Total Value]]-Inventory[[#This Row],[24Final]])/Inventory[[#This Row],[24Final]]</f>
        <v>3.728231542801079E-2</v>
      </c>
      <c r="BG869" s="25">
        <f>VLOOKUP(Inventory[[#This Row],[Nbhd]],Lookups!$Q$2:$T$4,4,FALSE)</f>
        <v>0.99970000000000003</v>
      </c>
      <c r="BH869" s="25">
        <f>VLOOKUP(Inventory[[#This Row],[Qlty]],Lookups!$O$7:$R$21,4,FALSE)</f>
        <v>1.0067999999999999</v>
      </c>
      <c r="BI869" s="25">
        <f>VLOOKUP(Inventory[[#This Row],[Cnd]],Lookups!$T$7:$W$16,4,FALSE)</f>
        <v>0.99729999999999996</v>
      </c>
      <c r="BJ869" s="25">
        <f>VLOOKUP(Inventory[[#This Row],[LivArea Range]],Lookups!$T$25:$W$37,4,FALSE)</f>
        <v>0.96179999999999999</v>
      </c>
      <c r="BK869" s="25">
        <f>VLOOKUP(Inventory[[#This Row],[Decade]],Lookups!$O$25:$R$42,4,FALSE)</f>
        <v>0.995</v>
      </c>
      <c r="BL869" s="25">
        <f>Inventory[[#This Row],[Nbhd Adj]]*0.95</f>
        <v>0.94971499999999998</v>
      </c>
      <c r="BM869" s="25">
        <f>Inventory[[#This Row],[Nbhd Adj]]*Inventory[[#This Row],[Quality Adj]]*Inventory[[#This Row],[Condition Adj]]*Inventory[[#This Row],[Living Area Adj]]*Inventory[[#This Row],[Decade Adj]]*0.95</f>
        <v>0.91257838243654554</v>
      </c>
      <c r="BN869" s="25">
        <f>ROUND(SUM(Inventory[[#This Row],[Mdl Qlty]:[Mdl WdDeck]])+Inventory[[#This Row],[Mdl Res Intercept]]*Inventory[[#This Row],[Res Adj ]],-2)</f>
        <v>354200</v>
      </c>
      <c r="BO869" s="25">
        <f>ROUND(Inventory[[#This Row],[25Det]]*Inventory[[#This Row],[Det/Nbhd Adj]],-2)</f>
        <v>14200</v>
      </c>
      <c r="BP869" s="25">
        <f>Inventory[[#This Row],[Adjusted Res]]+Inventory[[#This Row],[Adj Det ]]</f>
        <v>368400</v>
      </c>
      <c r="BQ869" s="25">
        <f>ROUND((Inventory[[#This Row],[Mdl Land Intercept]]+Inventory[[#This Row],[Mdl LnAcres]])*Inventory[[#This Row],[Det/Nbhd Adj]],-2)</f>
        <v>51100</v>
      </c>
      <c r="BR869" s="25">
        <f>Inventory[[#This Row],[Adjusted Impr Total]]+Inventory[[#This Row],[Adjusted Land Total]]</f>
        <v>419500</v>
      </c>
      <c r="BS869" s="36">
        <f>IFERROR((Inventory[[#This Row],[Adjusted Impr Total]]-Inventory[[#This Row],[24Bldg]])/Inventory[[#This Row],[24Bldg]],0)</f>
        <v>0.10663863021928507</v>
      </c>
      <c r="BT869" s="36">
        <f>(Inventory[[#This Row],[Adjusted Land Total]]-Inventory[[#This Row],[24Lnd]])/Inventory[[#This Row],[24Lnd]]</f>
        <v>-0.31684491978609625</v>
      </c>
      <c r="BU869" s="36">
        <f>(Inventory[[#This Row],[Adjusted Total]]-Inventory[[#This Row],[24Final]])/Inventory[[#This Row],[24Final]]</f>
        <v>2.8942850134903116E-2</v>
      </c>
    </row>
    <row r="870" spans="1:73" x14ac:dyDescent="0.3">
      <c r="A870" s="25">
        <v>2025</v>
      </c>
      <c r="B870" s="26" t="s">
        <v>2490</v>
      </c>
      <c r="C870" s="26">
        <f>LN(Inventory[[#This Row],[Acres]])</f>
        <v>-1.1394342831883648</v>
      </c>
      <c r="D870" s="25">
        <v>0.32</v>
      </c>
      <c r="E870" s="25">
        <v>13851</v>
      </c>
      <c r="F870" s="26" t="s">
        <v>537</v>
      </c>
      <c r="G870" s="26" t="s">
        <v>126</v>
      </c>
      <c r="H870" s="26" t="s">
        <v>349</v>
      </c>
      <c r="I870" s="26" t="s">
        <v>538</v>
      </c>
      <c r="J870" s="26" t="s">
        <v>539</v>
      </c>
      <c r="K870" s="26" t="s">
        <v>241</v>
      </c>
      <c r="L870" s="26" t="s">
        <v>302</v>
      </c>
      <c r="M870" s="26" t="s">
        <v>303</v>
      </c>
      <c r="N870" s="26">
        <v>80</v>
      </c>
      <c r="O870" s="26">
        <f>2024-Inventory[[#This Row],[YrBlt]]</f>
        <v>74</v>
      </c>
      <c r="P870" s="26">
        <f>2024-Inventory[[#This Row],[EffYr]]</f>
        <v>51</v>
      </c>
      <c r="Q870" s="25">
        <v>1950</v>
      </c>
      <c r="R870" s="25">
        <v>1973</v>
      </c>
      <c r="S870" s="25">
        <v>1439</v>
      </c>
      <c r="T870" s="27"/>
      <c r="U870" s="32">
        <v>1439</v>
      </c>
      <c r="V870" s="32">
        <f>Inventory[[#This Row],[Bsmt]]-Inventory[[#This Row],[FnBsmt]]</f>
        <v>0</v>
      </c>
      <c r="W870" s="32">
        <v>1439</v>
      </c>
      <c r="X870" s="31"/>
      <c r="Y870" s="31">
        <f>Inventory[[#This Row],[MainFn]]+Inventory[[#This Row],[UpprFn]]+Inventory[[#This Row],[FnBsmt]]+Inventory[[#This Row],[AddFn]]</f>
        <v>2878</v>
      </c>
      <c r="Z870" s="27">
        <v>3000</v>
      </c>
      <c r="AA870" s="25">
        <v>9</v>
      </c>
      <c r="AB870" s="31"/>
      <c r="AC870" s="27"/>
      <c r="AD870" s="27"/>
      <c r="AE870" s="27"/>
      <c r="AF870" s="27"/>
      <c r="AG870" s="27"/>
      <c r="AH870" s="27"/>
      <c r="AI870" s="25">
        <v>411587</v>
      </c>
      <c r="AJ870" s="25">
        <v>292227</v>
      </c>
      <c r="AK870" s="25">
        <v>37974</v>
      </c>
      <c r="AL870" s="25">
        <v>438200</v>
      </c>
      <c r="AM870" s="25">
        <v>74800</v>
      </c>
      <c r="AN870" s="25">
        <v>363400</v>
      </c>
      <c r="AO870" s="25">
        <v>0</v>
      </c>
      <c r="AP870" s="25">
        <f>Lookups!$B$56*0</f>
        <v>0</v>
      </c>
      <c r="AQ870" s="25">
        <f>Lookups!$B$56*1</f>
        <v>89850.625589999996</v>
      </c>
      <c r="AR870" s="25">
        <f>Lookups!$B$57*Inventory[[#This Row],[LnAcres]]</f>
        <v>-36068.354396449467</v>
      </c>
      <c r="AS870" s="25">
        <f>VLOOKUP(Inventory[[#This Row],[Qlty]],Lookups!$A$62:$E$75,2,FALSE)</f>
        <v>29814.093161000001</v>
      </c>
      <c r="AT870" s="25">
        <f>VLOOKUP(Inventory[[#This Row],[Cnd]],Lookups!$A$76:$E$84,2,FALSE)</f>
        <v>197752.34721000001</v>
      </c>
      <c r="AU870" s="25">
        <f>Inventory[[#This Row],[EffAge]]*Lookups!$B$85</f>
        <v>-11375.3256255</v>
      </c>
      <c r="AV870" s="25">
        <f>Inventory[[#This Row],[MainFn]]*Lookups!$B$86</f>
        <v>71099.075953003005</v>
      </c>
      <c r="AW870" s="25">
        <f>Inventory[[#This Row],[UpprFn]]*Lookups!$B$87</f>
        <v>0</v>
      </c>
      <c r="AX870" s="25">
        <f>Inventory[[#This Row],[AddFn]]*Lookups!$B$88</f>
        <v>0</v>
      </c>
      <c r="AY870" s="25">
        <f>Inventory[[#This Row],[Bsmt]]*Lookups!$B$89</f>
        <v>41848.847260432995</v>
      </c>
      <c r="AZ870" s="25">
        <f>Inventory[[#This Row],[Fixtures]]*Lookups!$B$90</f>
        <v>34128.198946800003</v>
      </c>
      <c r="BA870" s="25">
        <f>Inventory[[#This Row],[WdDeck]]*Lookups!$B$91</f>
        <v>0</v>
      </c>
      <c r="BB870" s="25">
        <f>ROUND(Inventory[[#This Row],[25Det]],-2)</f>
        <v>38000</v>
      </c>
      <c r="BC870" s="25">
        <f>ROUND(SUM(Inventory[[#This Row],[Mdl Qlty]:[Mdl WdDeck]])+Inventory[[#This Row],[Mdl Res Intercept]],-2)</f>
        <v>363300</v>
      </c>
      <c r="BD870" s="25">
        <f>ROUND(Inventory[[#This Row],[Mdl Land Intercept]]+Inventory[[#This Row],[Mdl LnAcres]],-2)</f>
        <v>53800</v>
      </c>
      <c r="BE870" s="25">
        <f>Inventory[[#This Row],[Unadj Res Value]]+Inventory[[#This Row],[Unadj Det Value]]+Inventory[[#This Row],[Unadj Land Value]]</f>
        <v>455100</v>
      </c>
      <c r="BF870" s="36">
        <f>(Inventory[[#This Row],[Unadj Total Value]]-Inventory[[#This Row],[24Final]])/Inventory[[#This Row],[24Final]]</f>
        <v>3.8566864445458697E-2</v>
      </c>
      <c r="BG870" s="25">
        <f>VLOOKUP(Inventory[[#This Row],[Nbhd]],Lookups!$Q$2:$T$4,4,FALSE)</f>
        <v>0.99970000000000003</v>
      </c>
      <c r="BH870" s="25">
        <f>VLOOKUP(Inventory[[#This Row],[Qlty]],Lookups!$O$7:$R$21,4,FALSE)</f>
        <v>1.0088999999999999</v>
      </c>
      <c r="BI870" s="25">
        <f>VLOOKUP(Inventory[[#This Row],[Cnd]],Lookups!$T$7:$W$16,4,FALSE)</f>
        <v>0.99650000000000005</v>
      </c>
      <c r="BJ870" s="25">
        <f>VLOOKUP(Inventory[[#This Row],[LivArea Range]],Lookups!$T$25:$W$37,4,FALSE)</f>
        <v>0.96179999999999999</v>
      </c>
      <c r="BK870" s="25">
        <f>VLOOKUP(Inventory[[#This Row],[Decade]],Lookups!$O$25:$R$42,4,FALSE)</f>
        <v>0.995</v>
      </c>
      <c r="BL870" s="25">
        <f>Inventory[[#This Row],[Nbhd Adj]]*0.95</f>
        <v>0.94971499999999998</v>
      </c>
      <c r="BM870" s="25">
        <f>Inventory[[#This Row],[Nbhd Adj]]*Inventory[[#This Row],[Quality Adj]]*Inventory[[#This Row],[Condition Adj]]*Inventory[[#This Row],[Living Area Adj]]*Inventory[[#This Row],[Decade Adj]]*0.95</f>
        <v>0.9137482873256102</v>
      </c>
      <c r="BN870" s="25">
        <f>ROUND(SUM(Inventory[[#This Row],[Mdl Qlty]:[Mdl WdDeck]])+Inventory[[#This Row],[Mdl Res Intercept]]*Inventory[[#This Row],[Res Adj ]],-2)</f>
        <v>363300</v>
      </c>
      <c r="BO870" s="25">
        <f>ROUND(Inventory[[#This Row],[25Det]]*Inventory[[#This Row],[Det/Nbhd Adj]],-2)</f>
        <v>36100</v>
      </c>
      <c r="BP870" s="25">
        <f>Inventory[[#This Row],[Adjusted Res]]+Inventory[[#This Row],[Adj Det ]]</f>
        <v>399400</v>
      </c>
      <c r="BQ870" s="25">
        <f>ROUND((Inventory[[#This Row],[Mdl Land Intercept]]+Inventory[[#This Row],[Mdl LnAcres]])*Inventory[[#This Row],[Det/Nbhd Adj]],-2)</f>
        <v>51100</v>
      </c>
      <c r="BR870" s="25">
        <f>Inventory[[#This Row],[Adjusted Impr Total]]+Inventory[[#This Row],[Adjusted Land Total]]</f>
        <v>450500</v>
      </c>
      <c r="BS870" s="36">
        <f>IFERROR((Inventory[[#This Row],[Adjusted Impr Total]]-Inventory[[#This Row],[24Bldg]])/Inventory[[#This Row],[24Bldg]],0)</f>
        <v>9.9064391854705558E-2</v>
      </c>
      <c r="BT870" s="36">
        <f>(Inventory[[#This Row],[Adjusted Land Total]]-Inventory[[#This Row],[24Lnd]])/Inventory[[#This Row],[24Lnd]]</f>
        <v>-0.31684491978609625</v>
      </c>
      <c r="BU870" s="36">
        <f>(Inventory[[#This Row],[Adjusted Total]]-Inventory[[#This Row],[24Final]])/Inventory[[#This Row],[24Final]]</f>
        <v>2.8069374714742128E-2</v>
      </c>
    </row>
    <row r="871" spans="1:73" x14ac:dyDescent="0.3">
      <c r="A871" s="25">
        <v>2025</v>
      </c>
      <c r="B871" s="26" t="s">
        <v>901</v>
      </c>
      <c r="C871" s="26">
        <f>LN(Inventory[[#This Row],[Acres]])</f>
        <v>-1.9661128563728327</v>
      </c>
      <c r="D871" s="25">
        <v>0.14000000000000001</v>
      </c>
      <c r="E871" s="32">
        <v>5956</v>
      </c>
      <c r="F871" s="26" t="s">
        <v>537</v>
      </c>
      <c r="G871" s="26" t="s">
        <v>126</v>
      </c>
      <c r="H871" s="26" t="s">
        <v>349</v>
      </c>
      <c r="I871" s="26" t="s">
        <v>538</v>
      </c>
      <c r="J871" s="26" t="s">
        <v>539</v>
      </c>
      <c r="K871" s="26" t="s">
        <v>241</v>
      </c>
      <c r="L871" s="26" t="s">
        <v>205</v>
      </c>
      <c r="M871" s="26" t="s">
        <v>323</v>
      </c>
      <c r="N871" s="26">
        <v>80</v>
      </c>
      <c r="O871" s="26">
        <f>2024-Inventory[[#This Row],[YrBlt]]</f>
        <v>74</v>
      </c>
      <c r="P871" s="26">
        <f>2024-Inventory[[#This Row],[EffYr]]</f>
        <v>51</v>
      </c>
      <c r="Q871" s="25">
        <v>1950</v>
      </c>
      <c r="R871" s="25">
        <v>1973</v>
      </c>
      <c r="S871" s="25">
        <v>888</v>
      </c>
      <c r="T871" s="31"/>
      <c r="U871" s="31"/>
      <c r="V871" s="27">
        <f>Inventory[[#This Row],[Bsmt]]-Inventory[[#This Row],[FnBsmt]]</f>
        <v>0</v>
      </c>
      <c r="W871" s="27"/>
      <c r="X871" s="27"/>
      <c r="Y871" s="27">
        <f>Inventory[[#This Row],[MainFn]]+Inventory[[#This Row],[UpprFn]]+Inventory[[#This Row],[FnBsmt]]+Inventory[[#This Row],[AddFn]]</f>
        <v>888</v>
      </c>
      <c r="Z871" s="27">
        <v>1000</v>
      </c>
      <c r="AA871" s="25">
        <v>5</v>
      </c>
      <c r="AB871" s="31"/>
      <c r="AC871" s="27"/>
      <c r="AD871" s="27"/>
      <c r="AE871" s="27"/>
      <c r="AF871" s="27"/>
      <c r="AG871" s="27"/>
      <c r="AH871" s="27"/>
      <c r="AI871" s="25">
        <v>152618</v>
      </c>
      <c r="AJ871" s="25">
        <v>105306</v>
      </c>
      <c r="AK871" s="25">
        <v>0</v>
      </c>
      <c r="AL871" s="25">
        <v>231700</v>
      </c>
      <c r="AM871" s="25">
        <v>46000</v>
      </c>
      <c r="AN871" s="25">
        <v>185700</v>
      </c>
      <c r="AO871" s="25">
        <v>0</v>
      </c>
      <c r="AP871" s="25">
        <f>Lookups!$B$56*0</f>
        <v>0</v>
      </c>
      <c r="AQ871" s="25">
        <f>Lookups!$B$56*1</f>
        <v>89850.625589999996</v>
      </c>
      <c r="AR871" s="25">
        <f>Lookups!$B$57*Inventory[[#This Row],[LnAcres]]</f>
        <v>-62236.546971921947</v>
      </c>
      <c r="AS871" s="25">
        <f>VLOOKUP(Inventory[[#This Row],[Qlty]],Lookups!$A$62:$E$75,2,FALSE)</f>
        <v>0</v>
      </c>
      <c r="AT871" s="25">
        <f>VLOOKUP(Inventory[[#This Row],[Cnd]],Lookups!$A$76:$E$84,2,FALSE)</f>
        <v>160472.20319</v>
      </c>
      <c r="AU871" s="25">
        <f>Inventory[[#This Row],[EffAge]]*Lookups!$B$85</f>
        <v>-11375.3256255</v>
      </c>
      <c r="AV871" s="25">
        <f>Inventory[[#This Row],[MainFn]]*Lookups!$B$86</f>
        <v>43874.898850776</v>
      </c>
      <c r="AW871" s="25">
        <f>Inventory[[#This Row],[UpprFn]]*Lookups!$B$87</f>
        <v>0</v>
      </c>
      <c r="AX871" s="25">
        <f>Inventory[[#This Row],[AddFn]]*Lookups!$B$88</f>
        <v>0</v>
      </c>
      <c r="AY871" s="25">
        <f>Inventory[[#This Row],[Bsmt]]*Lookups!$B$89</f>
        <v>0</v>
      </c>
      <c r="AZ871" s="25">
        <f>Inventory[[#This Row],[Fixtures]]*Lookups!$B$90</f>
        <v>18960.110526</v>
      </c>
      <c r="BA871" s="25">
        <f>Inventory[[#This Row],[WdDeck]]*Lookups!$B$91</f>
        <v>0</v>
      </c>
      <c r="BB871" s="25">
        <f>ROUND(Inventory[[#This Row],[25Det]],-2)</f>
        <v>0</v>
      </c>
      <c r="BC871" s="25">
        <f>ROUND(SUM(Inventory[[#This Row],[Mdl Qlty]:[Mdl WdDeck]])+Inventory[[#This Row],[Mdl Res Intercept]],-2)</f>
        <v>211900</v>
      </c>
      <c r="BD871" s="25">
        <f>ROUND(Inventory[[#This Row],[Mdl Land Intercept]]+Inventory[[#This Row],[Mdl LnAcres]],-2)</f>
        <v>27600</v>
      </c>
      <c r="BE871" s="25">
        <f>Inventory[[#This Row],[Unadj Res Value]]+Inventory[[#This Row],[Unadj Det Value]]+Inventory[[#This Row],[Unadj Land Value]]</f>
        <v>239500</v>
      </c>
      <c r="BF871" s="36">
        <f>(Inventory[[#This Row],[Unadj Total Value]]-Inventory[[#This Row],[24Final]])/Inventory[[#This Row],[24Final]]</f>
        <v>3.3664220975399221E-2</v>
      </c>
      <c r="BG871" s="25">
        <f>VLOOKUP(Inventory[[#This Row],[Nbhd]],Lookups!$Q$2:$T$4,4,FALSE)</f>
        <v>0.99970000000000003</v>
      </c>
      <c r="BH871" s="25">
        <f>VLOOKUP(Inventory[[#This Row],[Qlty]],Lookups!$O$7:$R$21,4,FALSE)</f>
        <v>0.99180000000000001</v>
      </c>
      <c r="BI871" s="25">
        <f>VLOOKUP(Inventory[[#This Row],[Cnd]],Lookups!$T$7:$W$16,4,FALSE)</f>
        <v>0.99729999999999996</v>
      </c>
      <c r="BJ871" s="25">
        <f>VLOOKUP(Inventory[[#This Row],[LivArea Range]],Lookups!$T$25:$W$37,4,FALSE)</f>
        <v>1.0148999999999999</v>
      </c>
      <c r="BK871" s="25">
        <f>VLOOKUP(Inventory[[#This Row],[Decade]],Lookups!$O$25:$R$42,4,FALSE)</f>
        <v>0.995</v>
      </c>
      <c r="BL871" s="25">
        <f>Inventory[[#This Row],[Nbhd Adj]]*0.95</f>
        <v>0.94971499999999998</v>
      </c>
      <c r="BM871" s="25">
        <f>Inventory[[#This Row],[Nbhd Adj]]*Inventory[[#This Row],[Quality Adj]]*Inventory[[#This Row],[Condition Adj]]*Inventory[[#This Row],[Living Area Adj]]*Inventory[[#This Row],[Decade Adj]]*0.95</f>
        <v>0.94861405199075932</v>
      </c>
      <c r="BN871" s="25">
        <f>ROUND(SUM(Inventory[[#This Row],[Mdl Qlty]:[Mdl WdDeck]])+Inventory[[#This Row],[Mdl Res Intercept]]*Inventory[[#This Row],[Res Adj ]],-2)</f>
        <v>211900</v>
      </c>
      <c r="BO871" s="25">
        <f>ROUND(Inventory[[#This Row],[25Det]]*Inventory[[#This Row],[Det/Nbhd Adj]],-2)</f>
        <v>0</v>
      </c>
      <c r="BP871" s="25">
        <f>Inventory[[#This Row],[Adjusted Res]]+Inventory[[#This Row],[Adj Det ]]</f>
        <v>211900</v>
      </c>
      <c r="BQ871" s="25">
        <f>ROUND((Inventory[[#This Row],[Mdl Land Intercept]]+Inventory[[#This Row],[Mdl LnAcres]])*Inventory[[#This Row],[Det/Nbhd Adj]],-2)</f>
        <v>26200</v>
      </c>
      <c r="BR871" s="25">
        <f>Inventory[[#This Row],[Adjusted Impr Total]]+Inventory[[#This Row],[Adjusted Land Total]]</f>
        <v>238100</v>
      </c>
      <c r="BS871" s="36">
        <f>IFERROR((Inventory[[#This Row],[Adjusted Impr Total]]-Inventory[[#This Row],[24Bldg]])/Inventory[[#This Row],[24Bldg]],0)</f>
        <v>0.14108777598276789</v>
      </c>
      <c r="BT871" s="36">
        <f>(Inventory[[#This Row],[Adjusted Land Total]]-Inventory[[#This Row],[24Lnd]])/Inventory[[#This Row],[24Lnd]]</f>
        <v>-0.43043478260869567</v>
      </c>
      <c r="BU871" s="36">
        <f>(Inventory[[#This Row],[Adjusted Total]]-Inventory[[#This Row],[24Final]])/Inventory[[#This Row],[24Final]]</f>
        <v>2.762192490289167E-2</v>
      </c>
    </row>
    <row r="872" spans="1:73" x14ac:dyDescent="0.3">
      <c r="A872" s="25">
        <v>2025</v>
      </c>
      <c r="B872" s="26" t="s">
        <v>1491</v>
      </c>
      <c r="C872" s="26">
        <f>LN(Inventory[[#This Row],[Acres]])</f>
        <v>-1.4696759700589417</v>
      </c>
      <c r="D872" s="25">
        <v>0.23</v>
      </c>
      <c r="E872" s="25">
        <v>10119</v>
      </c>
      <c r="F872" s="26" t="s">
        <v>537</v>
      </c>
      <c r="G872" s="26" t="s">
        <v>126</v>
      </c>
      <c r="H872" s="26" t="s">
        <v>349</v>
      </c>
      <c r="I872" s="26" t="s">
        <v>538</v>
      </c>
      <c r="J872" s="26" t="s">
        <v>539</v>
      </c>
      <c r="K872" s="26" t="s">
        <v>241</v>
      </c>
      <c r="L872" s="26" t="s">
        <v>351</v>
      </c>
      <c r="M872" s="26" t="s">
        <v>303</v>
      </c>
      <c r="N872" s="26">
        <v>80</v>
      </c>
      <c r="O872" s="26">
        <f>2024-Inventory[[#This Row],[YrBlt]]</f>
        <v>74</v>
      </c>
      <c r="P872" s="26">
        <f>2024-Inventory[[#This Row],[EffYr]]</f>
        <v>51</v>
      </c>
      <c r="Q872" s="25">
        <v>1950</v>
      </c>
      <c r="R872" s="25">
        <v>1973</v>
      </c>
      <c r="S872" s="25">
        <v>1223</v>
      </c>
      <c r="T872" s="27"/>
      <c r="U872" s="32">
        <v>1223</v>
      </c>
      <c r="V872" s="32">
        <f>Inventory[[#This Row],[Bsmt]]-Inventory[[#This Row],[FnBsmt]]</f>
        <v>0</v>
      </c>
      <c r="W872" s="32">
        <v>1223</v>
      </c>
      <c r="X872" s="27"/>
      <c r="Y872" s="27">
        <f>Inventory[[#This Row],[MainFn]]+Inventory[[#This Row],[UpprFn]]+Inventory[[#This Row],[FnBsmt]]+Inventory[[#This Row],[AddFn]]</f>
        <v>2446</v>
      </c>
      <c r="Z872" s="27">
        <v>2500</v>
      </c>
      <c r="AA872" s="25">
        <v>8</v>
      </c>
      <c r="AB872" s="32">
        <v>572</v>
      </c>
      <c r="AC872" s="27"/>
      <c r="AD872" s="27"/>
      <c r="AE872" s="27"/>
      <c r="AF872" s="27"/>
      <c r="AG872" s="27"/>
      <c r="AH872" s="27"/>
      <c r="AI872" s="25">
        <v>357624</v>
      </c>
      <c r="AJ872" s="25">
        <v>253913</v>
      </c>
      <c r="AK872" s="25">
        <v>0</v>
      </c>
      <c r="AL872" s="25">
        <v>365400</v>
      </c>
      <c r="AM872" s="25">
        <v>63300</v>
      </c>
      <c r="AN872" s="25">
        <v>302100</v>
      </c>
      <c r="AO872" s="25">
        <v>0</v>
      </c>
      <c r="AP872" s="25">
        <f>Lookups!$B$56*0</f>
        <v>0</v>
      </c>
      <c r="AQ872" s="25">
        <f>Lookups!$B$56*1</f>
        <v>89850.625589999996</v>
      </c>
      <c r="AR872" s="25">
        <f>Lookups!$B$57*Inventory[[#This Row],[LnAcres]]</f>
        <v>-46522.028095997222</v>
      </c>
      <c r="AS872" s="25">
        <f>VLOOKUP(Inventory[[#This Row],[Qlty]],Lookups!$A$62:$E$75,2,FALSE)</f>
        <v>21557.329055999999</v>
      </c>
      <c r="AT872" s="25">
        <f>VLOOKUP(Inventory[[#This Row],[Cnd]],Lookups!$A$76:$E$84,2,FALSE)</f>
        <v>197752.34721000001</v>
      </c>
      <c r="AU872" s="25">
        <f>Inventory[[#This Row],[EffAge]]*Lookups!$B$85</f>
        <v>-11375.3256255</v>
      </c>
      <c r="AV872" s="25">
        <f>Inventory[[#This Row],[MainFn]]*Lookups!$B$86</f>
        <v>60426.803259571003</v>
      </c>
      <c r="AW872" s="25">
        <f>Inventory[[#This Row],[UpprFn]]*Lookups!$B$87</f>
        <v>0</v>
      </c>
      <c r="AX872" s="25">
        <f>Inventory[[#This Row],[AddFn]]*Lookups!$B$88</f>
        <v>0</v>
      </c>
      <c r="AY872" s="25">
        <f>Inventory[[#This Row],[Bsmt]]*Lookups!$B$89</f>
        <v>35567.157887080997</v>
      </c>
      <c r="AZ872" s="25">
        <f>Inventory[[#This Row],[Fixtures]]*Lookups!$B$90</f>
        <v>30336.176841600001</v>
      </c>
      <c r="BA872" s="25">
        <f>Inventory[[#This Row],[WdDeck]]*Lookups!$B$91</f>
        <v>0</v>
      </c>
      <c r="BB872" s="25">
        <f>ROUND(Inventory[[#This Row],[25Det]],-2)</f>
        <v>0</v>
      </c>
      <c r="BC872" s="25">
        <f>ROUND(SUM(Inventory[[#This Row],[Mdl Qlty]:[Mdl WdDeck]])+Inventory[[#This Row],[Mdl Res Intercept]],-2)</f>
        <v>334300</v>
      </c>
      <c r="BD872" s="25">
        <f>ROUND(Inventory[[#This Row],[Mdl Land Intercept]]+Inventory[[#This Row],[Mdl LnAcres]],-2)</f>
        <v>43300</v>
      </c>
      <c r="BE872" s="25">
        <f>Inventory[[#This Row],[Unadj Res Value]]+Inventory[[#This Row],[Unadj Det Value]]+Inventory[[#This Row],[Unadj Land Value]]</f>
        <v>377600</v>
      </c>
      <c r="BF872" s="36">
        <f>(Inventory[[#This Row],[Unadj Total Value]]-Inventory[[#This Row],[24Final]])/Inventory[[#This Row],[24Final]]</f>
        <v>3.3388067870826495E-2</v>
      </c>
      <c r="BG872" s="25">
        <f>VLOOKUP(Inventory[[#This Row],[Nbhd]],Lookups!$Q$2:$T$4,4,FALSE)</f>
        <v>0.99970000000000003</v>
      </c>
      <c r="BH872" s="25">
        <f>VLOOKUP(Inventory[[#This Row],[Qlty]],Lookups!$O$7:$R$21,4,FALSE)</f>
        <v>1.0067999999999999</v>
      </c>
      <c r="BI872" s="25">
        <f>VLOOKUP(Inventory[[#This Row],[Cnd]],Lookups!$T$7:$W$16,4,FALSE)</f>
        <v>0.99650000000000005</v>
      </c>
      <c r="BJ872" s="25">
        <f>VLOOKUP(Inventory[[#This Row],[LivArea Range]],Lookups!$T$25:$W$37,4,FALSE)</f>
        <v>0.98919999999999997</v>
      </c>
      <c r="BK872" s="25">
        <f>VLOOKUP(Inventory[[#This Row],[Decade]],Lookups!$O$25:$R$42,4,FALSE)</f>
        <v>0.995</v>
      </c>
      <c r="BL872" s="25">
        <f>Inventory[[#This Row],[Nbhd Adj]]*0.95</f>
        <v>0.94971499999999998</v>
      </c>
      <c r="BM872" s="25">
        <f>Inventory[[#This Row],[Nbhd Adj]]*Inventory[[#This Row],[Quality Adj]]*Inventory[[#This Row],[Condition Adj]]*Inventory[[#This Row],[Living Area Adj]]*Inventory[[#This Row],[Decade Adj]]*0.95</f>
        <v>0.93782325090236773</v>
      </c>
      <c r="BN872" s="25">
        <f>ROUND(SUM(Inventory[[#This Row],[Mdl Qlty]:[Mdl WdDeck]])+Inventory[[#This Row],[Mdl Res Intercept]]*Inventory[[#This Row],[Res Adj ]],-2)</f>
        <v>334300</v>
      </c>
      <c r="BO872" s="25">
        <f>ROUND(Inventory[[#This Row],[25Det]]*Inventory[[#This Row],[Det/Nbhd Adj]],-2)</f>
        <v>0</v>
      </c>
      <c r="BP872" s="25">
        <f>Inventory[[#This Row],[Adjusted Res]]+Inventory[[#This Row],[Adj Det ]]</f>
        <v>334300</v>
      </c>
      <c r="BQ872" s="25">
        <f>ROUND((Inventory[[#This Row],[Mdl Land Intercept]]+Inventory[[#This Row],[Mdl LnAcres]])*Inventory[[#This Row],[Det/Nbhd Adj]],-2)</f>
        <v>41100</v>
      </c>
      <c r="BR872" s="25">
        <f>Inventory[[#This Row],[Adjusted Impr Total]]+Inventory[[#This Row],[Adjusted Land Total]]</f>
        <v>375400</v>
      </c>
      <c r="BS872" s="36">
        <f>IFERROR((Inventory[[#This Row],[Adjusted Impr Total]]-Inventory[[#This Row],[24Bldg]])/Inventory[[#This Row],[24Bldg]],0)</f>
        <v>0.10658722277391593</v>
      </c>
      <c r="BT872" s="36">
        <f>(Inventory[[#This Row],[Adjusted Land Total]]-Inventory[[#This Row],[24Lnd]])/Inventory[[#This Row],[24Lnd]]</f>
        <v>-0.35071090047393366</v>
      </c>
      <c r="BU872" s="36">
        <f>(Inventory[[#This Row],[Adjusted Total]]-Inventory[[#This Row],[24Final]])/Inventory[[#This Row],[24Final]]</f>
        <v>2.736726874657909E-2</v>
      </c>
    </row>
    <row r="873" spans="1:73" x14ac:dyDescent="0.3">
      <c r="A873" s="25">
        <v>2025</v>
      </c>
      <c r="B873" s="26" t="s">
        <v>1880</v>
      </c>
      <c r="C873" s="26">
        <f>LN(Inventory[[#This Row],[Acres]])</f>
        <v>-1.4271163556401458</v>
      </c>
      <c r="D873" s="25">
        <v>0.24</v>
      </c>
      <c r="E873" s="31"/>
      <c r="F873" s="26" t="s">
        <v>537</v>
      </c>
      <c r="G873" s="26" t="s">
        <v>126</v>
      </c>
      <c r="H873" s="26" t="s">
        <v>349</v>
      </c>
      <c r="I873" s="26" t="s">
        <v>538</v>
      </c>
      <c r="J873" s="26" t="s">
        <v>638</v>
      </c>
      <c r="K873" s="26" t="s">
        <v>241</v>
      </c>
      <c r="L873" s="26" t="s">
        <v>148</v>
      </c>
      <c r="M873" s="26" t="s">
        <v>303</v>
      </c>
      <c r="N873" s="26">
        <v>80</v>
      </c>
      <c r="O873" s="26">
        <f>2024-Inventory[[#This Row],[YrBlt]]</f>
        <v>74</v>
      </c>
      <c r="P873" s="26">
        <f>2024-Inventory[[#This Row],[EffYr]]</f>
        <v>51</v>
      </c>
      <c r="Q873" s="25">
        <v>1950</v>
      </c>
      <c r="R873" s="25">
        <v>1973</v>
      </c>
      <c r="S873" s="25">
        <v>1194</v>
      </c>
      <c r="T873" s="27"/>
      <c r="U873" s="32">
        <v>1194</v>
      </c>
      <c r="V873" s="32">
        <f>Inventory[[#This Row],[Bsmt]]-Inventory[[#This Row],[FnBsmt]]</f>
        <v>0</v>
      </c>
      <c r="W873" s="32">
        <v>1194</v>
      </c>
      <c r="X873" s="27"/>
      <c r="Y873" s="27">
        <f>Inventory[[#This Row],[MainFn]]+Inventory[[#This Row],[UpprFn]]+Inventory[[#This Row],[FnBsmt]]+Inventory[[#This Row],[AddFn]]</f>
        <v>2388</v>
      </c>
      <c r="Z873" s="27">
        <v>2500</v>
      </c>
      <c r="AA873" s="25">
        <v>8</v>
      </c>
      <c r="AB873" s="32">
        <v>330</v>
      </c>
      <c r="AC873" s="27"/>
      <c r="AD873" s="31"/>
      <c r="AE873" s="27"/>
      <c r="AF873" s="27"/>
      <c r="AG873" s="27"/>
      <c r="AH873" s="27"/>
      <c r="AI873" s="25">
        <v>451181</v>
      </c>
      <c r="AJ873" s="25">
        <v>320339</v>
      </c>
      <c r="AK873" s="25">
        <v>0</v>
      </c>
      <c r="AL873" s="25">
        <v>386700</v>
      </c>
      <c r="AM873" s="25">
        <v>64800</v>
      </c>
      <c r="AN873" s="25">
        <v>321900</v>
      </c>
      <c r="AO873" s="25">
        <v>0</v>
      </c>
      <c r="AP873" s="25">
        <f>Lookups!$B$56*0</f>
        <v>0</v>
      </c>
      <c r="AQ873" s="25">
        <f>Lookups!$B$56*1</f>
        <v>89850.625589999996</v>
      </c>
      <c r="AR873" s="25">
        <f>Lookups!$B$57*Inventory[[#This Row],[LnAcres]]</f>
        <v>-45174.819855485119</v>
      </c>
      <c r="AS873" s="25">
        <f>VLOOKUP(Inventory[[#This Row],[Qlty]],Lookups!$A$62:$E$75,2,FALSE)</f>
        <v>44121.038090000002</v>
      </c>
      <c r="AT873" s="25">
        <f>VLOOKUP(Inventory[[#This Row],[Cnd]],Lookups!$A$76:$E$84,2,FALSE)</f>
        <v>197752.34721000001</v>
      </c>
      <c r="AU873" s="25">
        <f>Inventory[[#This Row],[EffAge]]*Lookups!$B$85</f>
        <v>-11375.3256255</v>
      </c>
      <c r="AV873" s="25">
        <f>Inventory[[#This Row],[MainFn]]*Lookups!$B$86</f>
        <v>58993.951833138002</v>
      </c>
      <c r="AW873" s="25">
        <f>Inventory[[#This Row],[UpprFn]]*Lookups!$B$87</f>
        <v>0</v>
      </c>
      <c r="AX873" s="25">
        <f>Inventory[[#This Row],[AddFn]]*Lookups!$B$88</f>
        <v>0</v>
      </c>
      <c r="AY873" s="25">
        <f>Inventory[[#This Row],[Bsmt]]*Lookups!$B$89</f>
        <v>34723.782924917999</v>
      </c>
      <c r="AZ873" s="25">
        <f>Inventory[[#This Row],[Fixtures]]*Lookups!$B$90</f>
        <v>30336.176841600001</v>
      </c>
      <c r="BA873" s="25">
        <f>Inventory[[#This Row],[WdDeck]]*Lookups!$B$91</f>
        <v>0</v>
      </c>
      <c r="BB873" s="25">
        <f>ROUND(Inventory[[#This Row],[25Det]],-2)</f>
        <v>0</v>
      </c>
      <c r="BC873" s="25">
        <f>ROUND(SUM(Inventory[[#This Row],[Mdl Qlty]:[Mdl WdDeck]])+Inventory[[#This Row],[Mdl Res Intercept]],-2)</f>
        <v>354600</v>
      </c>
      <c r="BD873" s="25">
        <f>ROUND(Inventory[[#This Row],[Mdl Land Intercept]]+Inventory[[#This Row],[Mdl LnAcres]],-2)</f>
        <v>44700</v>
      </c>
      <c r="BE873" s="25">
        <f>Inventory[[#This Row],[Unadj Res Value]]+Inventory[[#This Row],[Unadj Det Value]]+Inventory[[#This Row],[Unadj Land Value]]</f>
        <v>399300</v>
      </c>
      <c r="BF873" s="36">
        <f>(Inventory[[#This Row],[Unadj Total Value]]-Inventory[[#This Row],[24Final]])/Inventory[[#This Row],[24Final]]</f>
        <v>3.2583397982932506E-2</v>
      </c>
      <c r="BG873" s="25">
        <f>VLOOKUP(Inventory[[#This Row],[Nbhd]],Lookups!$Q$2:$T$4,4,FALSE)</f>
        <v>0.99970000000000003</v>
      </c>
      <c r="BH873" s="25">
        <f>VLOOKUP(Inventory[[#This Row],[Qlty]],Lookups!$O$7:$R$21,4,FALSE)</f>
        <v>0.98050000000000004</v>
      </c>
      <c r="BI873" s="25">
        <f>VLOOKUP(Inventory[[#This Row],[Cnd]],Lookups!$T$7:$W$16,4,FALSE)</f>
        <v>0.99650000000000005</v>
      </c>
      <c r="BJ873" s="25">
        <f>VLOOKUP(Inventory[[#This Row],[LivArea Range]],Lookups!$T$25:$W$37,4,FALSE)</f>
        <v>0.98919999999999997</v>
      </c>
      <c r="BK873" s="25">
        <f>VLOOKUP(Inventory[[#This Row],[Decade]],Lookups!$O$25:$R$42,4,FALSE)</f>
        <v>0.995</v>
      </c>
      <c r="BL873" s="25">
        <f>Inventory[[#This Row],[Nbhd Adj]]*0.95</f>
        <v>0.94971499999999998</v>
      </c>
      <c r="BM873" s="25">
        <f>Inventory[[#This Row],[Nbhd Adj]]*Inventory[[#This Row],[Quality Adj]]*Inventory[[#This Row],[Condition Adj]]*Inventory[[#This Row],[Living Area Adj]]*Inventory[[#This Row],[Decade Adj]]*0.95</f>
        <v>0.91332508691872449</v>
      </c>
      <c r="BN873" s="25">
        <f>ROUND(SUM(Inventory[[#This Row],[Mdl Qlty]:[Mdl WdDeck]])+Inventory[[#This Row],[Mdl Res Intercept]]*Inventory[[#This Row],[Res Adj ]],-2)</f>
        <v>354600</v>
      </c>
      <c r="BO873" s="25">
        <f>ROUND(Inventory[[#This Row],[25Det]]*Inventory[[#This Row],[Det/Nbhd Adj]],-2)</f>
        <v>0</v>
      </c>
      <c r="BP873" s="25">
        <f>Inventory[[#This Row],[Adjusted Res]]+Inventory[[#This Row],[Adj Det ]]</f>
        <v>354600</v>
      </c>
      <c r="BQ873" s="25">
        <f>ROUND((Inventory[[#This Row],[Mdl Land Intercept]]+Inventory[[#This Row],[Mdl LnAcres]])*Inventory[[#This Row],[Det/Nbhd Adj]],-2)</f>
        <v>42400</v>
      </c>
      <c r="BR873" s="25">
        <f>Inventory[[#This Row],[Adjusted Impr Total]]+Inventory[[#This Row],[Adjusted Land Total]]</f>
        <v>397000</v>
      </c>
      <c r="BS873" s="36">
        <f>IFERROR((Inventory[[#This Row],[Adjusted Impr Total]]-Inventory[[#This Row],[24Bldg]])/Inventory[[#This Row],[24Bldg]],0)</f>
        <v>0.1015843429636533</v>
      </c>
      <c r="BT873" s="36">
        <f>(Inventory[[#This Row],[Adjusted Land Total]]-Inventory[[#This Row],[24Lnd]])/Inventory[[#This Row],[24Lnd]]</f>
        <v>-0.34567901234567899</v>
      </c>
      <c r="BU873" s="36">
        <f>(Inventory[[#This Row],[Adjusted Total]]-Inventory[[#This Row],[24Final]])/Inventory[[#This Row],[24Final]]</f>
        <v>2.6635634859063874E-2</v>
      </c>
    </row>
    <row r="874" spans="1:73" x14ac:dyDescent="0.3">
      <c r="A874" s="25">
        <v>2025</v>
      </c>
      <c r="B874" s="26" t="s">
        <v>1764</v>
      </c>
      <c r="C874" s="26">
        <f>LN(Inventory[[#This Row],[Acres]])</f>
        <v>-1.7147984280919266</v>
      </c>
      <c r="D874" s="25">
        <v>0.18</v>
      </c>
      <c r="E874" s="31"/>
      <c r="F874" s="26" t="s">
        <v>537</v>
      </c>
      <c r="G874" s="26" t="s">
        <v>126</v>
      </c>
      <c r="H874" s="26" t="s">
        <v>349</v>
      </c>
      <c r="I874" s="26" t="s">
        <v>538</v>
      </c>
      <c r="J874" s="26" t="s">
        <v>539</v>
      </c>
      <c r="K874" s="26" t="s">
        <v>242</v>
      </c>
      <c r="L874" s="26" t="s">
        <v>148</v>
      </c>
      <c r="M874" s="26" t="s">
        <v>323</v>
      </c>
      <c r="N874" s="26">
        <v>80</v>
      </c>
      <c r="O874" s="26">
        <f>2024-Inventory[[#This Row],[YrBlt]]</f>
        <v>74</v>
      </c>
      <c r="P874" s="26">
        <f>2024-Inventory[[#This Row],[EffYr]]</f>
        <v>51</v>
      </c>
      <c r="Q874" s="25">
        <v>1950</v>
      </c>
      <c r="R874" s="25">
        <v>1973</v>
      </c>
      <c r="S874" s="25">
        <v>1135</v>
      </c>
      <c r="T874" s="27"/>
      <c r="U874" s="32">
        <v>1135</v>
      </c>
      <c r="V874" s="32">
        <f>Inventory[[#This Row],[Bsmt]]-Inventory[[#This Row],[FnBsmt]]</f>
        <v>0</v>
      </c>
      <c r="W874" s="32">
        <v>1135</v>
      </c>
      <c r="X874" s="27"/>
      <c r="Y874" s="27">
        <f>Inventory[[#This Row],[MainFn]]+Inventory[[#This Row],[UpprFn]]+Inventory[[#This Row],[FnBsmt]]+Inventory[[#This Row],[AddFn]]</f>
        <v>2270</v>
      </c>
      <c r="Z874" s="27">
        <v>2500</v>
      </c>
      <c r="AA874" s="25">
        <v>8</v>
      </c>
      <c r="AB874" s="32">
        <v>252</v>
      </c>
      <c r="AC874" s="27"/>
      <c r="AD874" s="32">
        <v>143</v>
      </c>
      <c r="AE874" s="27"/>
      <c r="AF874" s="27"/>
      <c r="AG874" s="31"/>
      <c r="AH874" s="27"/>
      <c r="AI874" s="25">
        <v>423342</v>
      </c>
      <c r="AJ874" s="25">
        <v>292106</v>
      </c>
      <c r="AK874" s="25">
        <v>0</v>
      </c>
      <c r="AL874" s="25">
        <v>342300</v>
      </c>
      <c r="AM874" s="25">
        <v>54700</v>
      </c>
      <c r="AN874" s="25">
        <v>287600</v>
      </c>
      <c r="AO874" s="25">
        <v>0</v>
      </c>
      <c r="AP874" s="25">
        <f>Lookups!$B$56*0</f>
        <v>0</v>
      </c>
      <c r="AQ874" s="25">
        <f>Lookups!$B$56*1</f>
        <v>89850.625589999996</v>
      </c>
      <c r="AR874" s="25">
        <f>Lookups!$B$57*Inventory[[#This Row],[LnAcres]]</f>
        <v>-54281.285314520763</v>
      </c>
      <c r="AS874" s="25">
        <f>VLOOKUP(Inventory[[#This Row],[Qlty]],Lookups!$A$62:$E$75,2,FALSE)</f>
        <v>44121.038090000002</v>
      </c>
      <c r="AT874" s="25">
        <f>VLOOKUP(Inventory[[#This Row],[Cnd]],Lookups!$A$76:$E$84,2,FALSE)</f>
        <v>160472.20319</v>
      </c>
      <c r="AU874" s="25">
        <f>Inventory[[#This Row],[EffAge]]*Lookups!$B$85</f>
        <v>-11375.3256255</v>
      </c>
      <c r="AV874" s="25">
        <f>Inventory[[#This Row],[MainFn]]*Lookups!$B$86</f>
        <v>56078.840310395004</v>
      </c>
      <c r="AW874" s="25">
        <f>Inventory[[#This Row],[UpprFn]]*Lookups!$B$87</f>
        <v>0</v>
      </c>
      <c r="AX874" s="25">
        <f>Inventory[[#This Row],[AddFn]]*Lookups!$B$88</f>
        <v>0</v>
      </c>
      <c r="AY874" s="25">
        <f>Inventory[[#This Row],[Bsmt]]*Lookups!$B$89</f>
        <v>33007.951105344997</v>
      </c>
      <c r="AZ874" s="25">
        <f>Inventory[[#This Row],[Fixtures]]*Lookups!$B$90</f>
        <v>30336.176841600001</v>
      </c>
      <c r="BA874" s="25">
        <f>Inventory[[#This Row],[WdDeck]]*Lookups!$B$91</f>
        <v>4761.2586844680009</v>
      </c>
      <c r="BB874" s="25">
        <f>ROUND(Inventory[[#This Row],[25Det]],-2)</f>
        <v>0</v>
      </c>
      <c r="BC874" s="25">
        <f>ROUND(SUM(Inventory[[#This Row],[Mdl Qlty]:[Mdl WdDeck]])+Inventory[[#This Row],[Mdl Res Intercept]],-2)</f>
        <v>317400</v>
      </c>
      <c r="BD874" s="25">
        <f>ROUND(Inventory[[#This Row],[Mdl Land Intercept]]+Inventory[[#This Row],[Mdl LnAcres]],-2)</f>
        <v>35600</v>
      </c>
      <c r="BE874" s="25">
        <f>Inventory[[#This Row],[Unadj Res Value]]+Inventory[[#This Row],[Unadj Det Value]]+Inventory[[#This Row],[Unadj Land Value]]</f>
        <v>353000</v>
      </c>
      <c r="BF874" s="36">
        <f>(Inventory[[#This Row],[Unadj Total Value]]-Inventory[[#This Row],[24Final]])/Inventory[[#This Row],[24Final]]</f>
        <v>3.125912941863862E-2</v>
      </c>
      <c r="BG874" s="25">
        <f>VLOOKUP(Inventory[[#This Row],[Nbhd]],Lookups!$Q$2:$T$4,4,FALSE)</f>
        <v>0.99970000000000003</v>
      </c>
      <c r="BH874" s="25">
        <f>VLOOKUP(Inventory[[#This Row],[Qlty]],Lookups!$O$7:$R$21,4,FALSE)</f>
        <v>0.98050000000000004</v>
      </c>
      <c r="BI874" s="25">
        <f>VLOOKUP(Inventory[[#This Row],[Cnd]],Lookups!$T$7:$W$16,4,FALSE)</f>
        <v>0.99729999999999996</v>
      </c>
      <c r="BJ874" s="25">
        <f>VLOOKUP(Inventory[[#This Row],[LivArea Range]],Lookups!$T$25:$W$37,4,FALSE)</f>
        <v>0.98919999999999997</v>
      </c>
      <c r="BK874" s="25">
        <f>VLOOKUP(Inventory[[#This Row],[Decade]],Lookups!$O$25:$R$42,4,FALSE)</f>
        <v>0.995</v>
      </c>
      <c r="BL874" s="25">
        <f>Inventory[[#This Row],[Nbhd Adj]]*0.95</f>
        <v>0.94971499999999998</v>
      </c>
      <c r="BM874" s="25">
        <f>Inventory[[#This Row],[Nbhd Adj]]*Inventory[[#This Row],[Quality Adj]]*Inventory[[#This Row],[Condition Adj]]*Inventory[[#This Row],[Living Area Adj]]*Inventory[[#This Row],[Decade Adj]]*0.95</f>
        <v>0.91405831328052556</v>
      </c>
      <c r="BN874" s="25">
        <f>ROUND(SUM(Inventory[[#This Row],[Mdl Qlty]:[Mdl WdDeck]])+Inventory[[#This Row],[Mdl Res Intercept]]*Inventory[[#This Row],[Res Adj ]],-2)</f>
        <v>317400</v>
      </c>
      <c r="BO874" s="25">
        <f>ROUND(Inventory[[#This Row],[25Det]]*Inventory[[#This Row],[Det/Nbhd Adj]],-2)</f>
        <v>0</v>
      </c>
      <c r="BP874" s="25">
        <f>Inventory[[#This Row],[Adjusted Res]]+Inventory[[#This Row],[Adj Det ]]</f>
        <v>317400</v>
      </c>
      <c r="BQ874" s="25">
        <f>ROUND((Inventory[[#This Row],[Mdl Land Intercept]]+Inventory[[#This Row],[Mdl LnAcres]])*Inventory[[#This Row],[Det/Nbhd Adj]],-2)</f>
        <v>33800</v>
      </c>
      <c r="BR874" s="25">
        <f>Inventory[[#This Row],[Adjusted Impr Total]]+Inventory[[#This Row],[Adjusted Land Total]]</f>
        <v>351200</v>
      </c>
      <c r="BS874" s="36">
        <f>IFERROR((Inventory[[#This Row],[Adjusted Impr Total]]-Inventory[[#This Row],[24Bldg]])/Inventory[[#This Row],[24Bldg]],0)</f>
        <v>0.10361613351877608</v>
      </c>
      <c r="BT874" s="36">
        <f>(Inventory[[#This Row],[Adjusted Land Total]]-Inventory[[#This Row],[24Lnd]])/Inventory[[#This Row],[24Lnd]]</f>
        <v>-0.38208409506398539</v>
      </c>
      <c r="BU874" s="36">
        <f>(Inventory[[#This Row],[Adjusted Total]]-Inventory[[#This Row],[24Final]])/Inventory[[#This Row],[24Final]]</f>
        <v>2.6000584282792873E-2</v>
      </c>
    </row>
    <row r="875" spans="1:73" x14ac:dyDescent="0.3">
      <c r="A875" s="25">
        <v>2025</v>
      </c>
      <c r="B875" s="26" t="s">
        <v>1093</v>
      </c>
      <c r="C875" s="26">
        <f>LN(Inventory[[#This Row],[Acres]])</f>
        <v>-2.120263536200091</v>
      </c>
      <c r="D875" s="25">
        <v>0.12</v>
      </c>
      <c r="E875" s="25">
        <v>5160</v>
      </c>
      <c r="F875" s="26" t="s">
        <v>537</v>
      </c>
      <c r="G875" s="26" t="s">
        <v>126</v>
      </c>
      <c r="H875" s="26" t="s">
        <v>349</v>
      </c>
      <c r="I875" s="26" t="s">
        <v>538</v>
      </c>
      <c r="J875" s="26" t="s">
        <v>539</v>
      </c>
      <c r="K875" s="26" t="s">
        <v>147</v>
      </c>
      <c r="L875" s="26" t="s">
        <v>205</v>
      </c>
      <c r="M875" s="26" t="s">
        <v>323</v>
      </c>
      <c r="N875" s="26">
        <v>80</v>
      </c>
      <c r="O875" s="26">
        <f>2024-Inventory[[#This Row],[YrBlt]]</f>
        <v>74</v>
      </c>
      <c r="P875" s="26">
        <f>2024-Inventory[[#This Row],[EffYr]]</f>
        <v>51</v>
      </c>
      <c r="Q875" s="25">
        <v>1950</v>
      </c>
      <c r="R875" s="25">
        <v>1973</v>
      </c>
      <c r="S875" s="25">
        <v>1364</v>
      </c>
      <c r="T875" s="32">
        <v>176</v>
      </c>
      <c r="U875" s="31"/>
      <c r="V875" s="31">
        <f>Inventory[[#This Row],[Bsmt]]-Inventory[[#This Row],[FnBsmt]]</f>
        <v>0</v>
      </c>
      <c r="W875" s="31"/>
      <c r="X875" s="27"/>
      <c r="Y875" s="27">
        <f>Inventory[[#This Row],[MainFn]]+Inventory[[#This Row],[UpprFn]]+Inventory[[#This Row],[FnBsmt]]+Inventory[[#This Row],[AddFn]]</f>
        <v>1540</v>
      </c>
      <c r="Z875" s="27">
        <v>2000</v>
      </c>
      <c r="AA875" s="25">
        <v>5</v>
      </c>
      <c r="AB875" s="27"/>
      <c r="AC875" s="27"/>
      <c r="AD875" s="27"/>
      <c r="AE875" s="27"/>
      <c r="AF875" s="27"/>
      <c r="AG875" s="31"/>
      <c r="AH875" s="27"/>
      <c r="AI875" s="25">
        <v>207349</v>
      </c>
      <c r="AJ875" s="25">
        <v>143071</v>
      </c>
      <c r="AK875" s="25">
        <v>5736</v>
      </c>
      <c r="AL875" s="25">
        <v>263600</v>
      </c>
      <c r="AM875" s="25">
        <v>40600</v>
      </c>
      <c r="AN875" s="25">
        <v>223000</v>
      </c>
      <c r="AO875" s="25">
        <v>0</v>
      </c>
      <c r="AP875" s="25">
        <f>Lookups!$B$56*0</f>
        <v>0</v>
      </c>
      <c r="AQ875" s="25">
        <f>Lookups!$B$56*1</f>
        <v>89850.625589999996</v>
      </c>
      <c r="AR875" s="25">
        <f>Lookups!$B$57*Inventory[[#This Row],[LnAcres]]</f>
        <v>-67116.12750806773</v>
      </c>
      <c r="AS875" s="25">
        <f>VLOOKUP(Inventory[[#This Row],[Qlty]],Lookups!$A$62:$E$75,2,FALSE)</f>
        <v>0</v>
      </c>
      <c r="AT875" s="25">
        <f>VLOOKUP(Inventory[[#This Row],[Cnd]],Lookups!$A$76:$E$84,2,FALSE)</f>
        <v>160472.20319</v>
      </c>
      <c r="AU875" s="25">
        <f>Inventory[[#This Row],[EffAge]]*Lookups!$B$85</f>
        <v>-11375.3256255</v>
      </c>
      <c r="AV875" s="25">
        <f>Inventory[[#This Row],[MainFn]]*Lookups!$B$86</f>
        <v>67393.425712227996</v>
      </c>
      <c r="AW875" s="25">
        <f>Inventory[[#This Row],[UpprFn]]*Lookups!$B$87</f>
        <v>7882.4104235360001</v>
      </c>
      <c r="AX875" s="25">
        <f>Inventory[[#This Row],[AddFn]]*Lookups!$B$88</f>
        <v>0</v>
      </c>
      <c r="AY875" s="25">
        <f>Inventory[[#This Row],[Bsmt]]*Lookups!$B$89</f>
        <v>0</v>
      </c>
      <c r="AZ875" s="25">
        <f>Inventory[[#This Row],[Fixtures]]*Lookups!$B$90</f>
        <v>18960.110526</v>
      </c>
      <c r="BA875" s="25">
        <f>Inventory[[#This Row],[WdDeck]]*Lookups!$B$91</f>
        <v>0</v>
      </c>
      <c r="BB875" s="25">
        <f>ROUND(Inventory[[#This Row],[25Det]],-2)</f>
        <v>5700</v>
      </c>
      <c r="BC875" s="25">
        <f>ROUND(SUM(Inventory[[#This Row],[Mdl Qlty]:[Mdl WdDeck]])+Inventory[[#This Row],[Mdl Res Intercept]],-2)</f>
        <v>243300</v>
      </c>
      <c r="BD875" s="25">
        <f>ROUND(Inventory[[#This Row],[Mdl Land Intercept]]+Inventory[[#This Row],[Mdl LnAcres]],-2)</f>
        <v>22700</v>
      </c>
      <c r="BE875" s="25">
        <f>Inventory[[#This Row],[Unadj Res Value]]+Inventory[[#This Row],[Unadj Det Value]]+Inventory[[#This Row],[Unadj Land Value]]</f>
        <v>271700</v>
      </c>
      <c r="BF875" s="36">
        <f>(Inventory[[#This Row],[Unadj Total Value]]-Inventory[[#This Row],[24Final]])/Inventory[[#This Row],[24Final]]</f>
        <v>3.0728376327769348E-2</v>
      </c>
      <c r="BG875" s="25">
        <f>VLOOKUP(Inventory[[#This Row],[Nbhd]],Lookups!$Q$2:$T$4,4,FALSE)</f>
        <v>0.99970000000000003</v>
      </c>
      <c r="BH875" s="25">
        <f>VLOOKUP(Inventory[[#This Row],[Qlty]],Lookups!$O$7:$R$21,4,FALSE)</f>
        <v>0.99180000000000001</v>
      </c>
      <c r="BI875" s="25">
        <f>VLOOKUP(Inventory[[#This Row],[Cnd]],Lookups!$T$7:$W$16,4,FALSE)</f>
        <v>0.99729999999999996</v>
      </c>
      <c r="BJ875" s="25">
        <f>VLOOKUP(Inventory[[#This Row],[LivArea Range]],Lookups!$T$25:$W$37,4,FALSE)</f>
        <v>1.0093000000000001</v>
      </c>
      <c r="BK875" s="25">
        <f>VLOOKUP(Inventory[[#This Row],[Decade]],Lookups!$O$25:$R$42,4,FALSE)</f>
        <v>0.995</v>
      </c>
      <c r="BL875" s="25">
        <f>Inventory[[#This Row],[Nbhd Adj]]*0.95</f>
        <v>0.94971499999999998</v>
      </c>
      <c r="BM875" s="25">
        <f>Inventory[[#This Row],[Nbhd Adj]]*Inventory[[#This Row],[Quality Adj]]*Inventory[[#This Row],[Condition Adj]]*Inventory[[#This Row],[Living Area Adj]]*Inventory[[#This Row],[Decade Adj]]*0.95</f>
        <v>0.94337980360062423</v>
      </c>
      <c r="BN875" s="25">
        <f>ROUND(SUM(Inventory[[#This Row],[Mdl Qlty]:[Mdl WdDeck]])+Inventory[[#This Row],[Mdl Res Intercept]]*Inventory[[#This Row],[Res Adj ]],-2)</f>
        <v>243300</v>
      </c>
      <c r="BO875" s="25">
        <f>ROUND(Inventory[[#This Row],[25Det]]*Inventory[[#This Row],[Det/Nbhd Adj]],-2)</f>
        <v>5400</v>
      </c>
      <c r="BP875" s="25">
        <f>Inventory[[#This Row],[Adjusted Res]]+Inventory[[#This Row],[Adj Det ]]</f>
        <v>248700</v>
      </c>
      <c r="BQ875" s="25">
        <f>ROUND((Inventory[[#This Row],[Mdl Land Intercept]]+Inventory[[#This Row],[Mdl LnAcres]])*Inventory[[#This Row],[Det/Nbhd Adj]],-2)</f>
        <v>21600</v>
      </c>
      <c r="BR875" s="25">
        <f>Inventory[[#This Row],[Adjusted Impr Total]]+Inventory[[#This Row],[Adjusted Land Total]]</f>
        <v>270300</v>
      </c>
      <c r="BS875" s="36">
        <f>IFERROR((Inventory[[#This Row],[Adjusted Impr Total]]-Inventory[[#This Row],[24Bldg]])/Inventory[[#This Row],[24Bldg]],0)</f>
        <v>0.11524663677130045</v>
      </c>
      <c r="BT875" s="36">
        <f>(Inventory[[#This Row],[Adjusted Land Total]]-Inventory[[#This Row],[24Lnd]])/Inventory[[#This Row],[24Lnd]]</f>
        <v>-0.46798029556650245</v>
      </c>
      <c r="BU875" s="36">
        <f>(Inventory[[#This Row],[Adjusted Total]]-Inventory[[#This Row],[24Final]])/Inventory[[#This Row],[24Final]]</f>
        <v>2.5417298937784522E-2</v>
      </c>
    </row>
    <row r="876" spans="1:73" x14ac:dyDescent="0.3">
      <c r="A876" s="25">
        <v>2025</v>
      </c>
      <c r="B876" s="26" t="s">
        <v>1939</v>
      </c>
      <c r="C876" s="26">
        <f>LN(Inventory[[#This Row],[Acres]])</f>
        <v>-1.4696759700589417</v>
      </c>
      <c r="D876" s="25">
        <v>0.23</v>
      </c>
      <c r="E876" s="25">
        <v>9844</v>
      </c>
      <c r="F876" s="26" t="s">
        <v>537</v>
      </c>
      <c r="G876" s="26" t="s">
        <v>126</v>
      </c>
      <c r="H876" s="26" t="s">
        <v>349</v>
      </c>
      <c r="I876" s="26" t="s">
        <v>538</v>
      </c>
      <c r="J876" s="26" t="s">
        <v>539</v>
      </c>
      <c r="K876" s="26" t="s">
        <v>241</v>
      </c>
      <c r="L876" s="26" t="s">
        <v>302</v>
      </c>
      <c r="M876" s="26" t="s">
        <v>323</v>
      </c>
      <c r="N876" s="26">
        <v>80</v>
      </c>
      <c r="O876" s="26">
        <f>2024-Inventory[[#This Row],[YrBlt]]</f>
        <v>74</v>
      </c>
      <c r="P876" s="26">
        <f>2024-Inventory[[#This Row],[EffYr]]</f>
        <v>51</v>
      </c>
      <c r="Q876" s="25">
        <v>1950</v>
      </c>
      <c r="R876" s="25">
        <v>1973</v>
      </c>
      <c r="S876" s="25">
        <v>1364</v>
      </c>
      <c r="T876" s="27"/>
      <c r="U876" s="25">
        <v>1020</v>
      </c>
      <c r="V876" s="32">
        <f>Inventory[[#This Row],[Bsmt]]-Inventory[[#This Row],[FnBsmt]]</f>
        <v>237</v>
      </c>
      <c r="W876" s="32">
        <v>783</v>
      </c>
      <c r="X876" s="27"/>
      <c r="Y876" s="27">
        <f>Inventory[[#This Row],[MainFn]]+Inventory[[#This Row],[UpprFn]]+Inventory[[#This Row],[FnBsmt]]+Inventory[[#This Row],[AddFn]]</f>
        <v>2147</v>
      </c>
      <c r="Z876" s="27">
        <v>2500</v>
      </c>
      <c r="AA876" s="25">
        <v>8</v>
      </c>
      <c r="AB876" s="27"/>
      <c r="AC876" s="27"/>
      <c r="AD876" s="27"/>
      <c r="AE876" s="27"/>
      <c r="AF876" s="27"/>
      <c r="AG876" s="27"/>
      <c r="AH876" s="27"/>
      <c r="AI876" s="25">
        <v>379411</v>
      </c>
      <c r="AJ876" s="25">
        <v>261794</v>
      </c>
      <c r="AK876" s="25">
        <v>29690</v>
      </c>
      <c r="AL876" s="25">
        <v>366400</v>
      </c>
      <c r="AM876" s="25">
        <v>63300</v>
      </c>
      <c r="AN876" s="25">
        <v>303100</v>
      </c>
      <c r="AO876" s="25">
        <v>0</v>
      </c>
      <c r="AP876" s="25">
        <f>Lookups!$B$56*0</f>
        <v>0</v>
      </c>
      <c r="AQ876" s="25">
        <f>Lookups!$B$56*1</f>
        <v>89850.625589999996</v>
      </c>
      <c r="AR876" s="25">
        <f>Lookups!$B$57*Inventory[[#This Row],[LnAcres]]</f>
        <v>-46522.028095997222</v>
      </c>
      <c r="AS876" s="25">
        <f>VLOOKUP(Inventory[[#This Row],[Qlty]],Lookups!$A$62:$E$75,2,FALSE)</f>
        <v>29814.093161000001</v>
      </c>
      <c r="AT876" s="25">
        <f>VLOOKUP(Inventory[[#This Row],[Cnd]],Lookups!$A$76:$E$84,2,FALSE)</f>
        <v>160472.20319</v>
      </c>
      <c r="AU876" s="25">
        <f>Inventory[[#This Row],[EffAge]]*Lookups!$B$85</f>
        <v>-11375.3256255</v>
      </c>
      <c r="AV876" s="25">
        <f>Inventory[[#This Row],[MainFn]]*Lookups!$B$86</f>
        <v>67393.425712227996</v>
      </c>
      <c r="AW876" s="25">
        <f>Inventory[[#This Row],[UpprFn]]*Lookups!$B$87</f>
        <v>0</v>
      </c>
      <c r="AX876" s="25">
        <f>Inventory[[#This Row],[AddFn]]*Lookups!$B$88</f>
        <v>0</v>
      </c>
      <c r="AY876" s="25">
        <f>Inventory[[#This Row],[Bsmt]]*Lookups!$B$89</f>
        <v>29663.533151939999</v>
      </c>
      <c r="AZ876" s="25">
        <f>Inventory[[#This Row],[Fixtures]]*Lookups!$B$90</f>
        <v>30336.176841600001</v>
      </c>
      <c r="BA876" s="25">
        <f>Inventory[[#This Row],[WdDeck]]*Lookups!$B$91</f>
        <v>0</v>
      </c>
      <c r="BB876" s="25">
        <f>ROUND(Inventory[[#This Row],[25Det]],-2)</f>
        <v>29700</v>
      </c>
      <c r="BC876" s="25">
        <f>ROUND(SUM(Inventory[[#This Row],[Mdl Qlty]:[Mdl WdDeck]])+Inventory[[#This Row],[Mdl Res Intercept]],-2)</f>
        <v>306300</v>
      </c>
      <c r="BD876" s="25">
        <f>ROUND(Inventory[[#This Row],[Mdl Land Intercept]]+Inventory[[#This Row],[Mdl LnAcres]],-2)</f>
        <v>43300</v>
      </c>
      <c r="BE876" s="25">
        <f>Inventory[[#This Row],[Unadj Res Value]]+Inventory[[#This Row],[Unadj Det Value]]+Inventory[[#This Row],[Unadj Land Value]]</f>
        <v>379300</v>
      </c>
      <c r="BF876" s="36">
        <f>(Inventory[[#This Row],[Unadj Total Value]]-Inventory[[#This Row],[24Final]])/Inventory[[#This Row],[24Final]]</f>
        <v>3.5207423580786025E-2</v>
      </c>
      <c r="BG876" s="25">
        <f>VLOOKUP(Inventory[[#This Row],[Nbhd]],Lookups!$Q$2:$T$4,4,FALSE)</f>
        <v>0.99970000000000003</v>
      </c>
      <c r="BH876" s="25">
        <f>VLOOKUP(Inventory[[#This Row],[Qlty]],Lookups!$O$7:$R$21,4,FALSE)</f>
        <v>1.0088999999999999</v>
      </c>
      <c r="BI876" s="25">
        <f>VLOOKUP(Inventory[[#This Row],[Cnd]],Lookups!$T$7:$W$16,4,FALSE)</f>
        <v>0.99729999999999996</v>
      </c>
      <c r="BJ876" s="25">
        <f>VLOOKUP(Inventory[[#This Row],[LivArea Range]],Lookups!$T$25:$W$37,4,FALSE)</f>
        <v>0.98919999999999997</v>
      </c>
      <c r="BK876" s="25">
        <f>VLOOKUP(Inventory[[#This Row],[Decade]],Lookups!$O$25:$R$42,4,FALSE)</f>
        <v>0.995</v>
      </c>
      <c r="BL876" s="25">
        <f>Inventory[[#This Row],[Nbhd Adj]]*0.95</f>
        <v>0.94971499999999998</v>
      </c>
      <c r="BM876" s="25">
        <f>Inventory[[#This Row],[Nbhd Adj]]*Inventory[[#This Row],[Quality Adj]]*Inventory[[#This Row],[Condition Adj]]*Inventory[[#This Row],[Living Area Adj]]*Inventory[[#This Row],[Decade Adj]]*0.95</f>
        <v>0.94053384219145564</v>
      </c>
      <c r="BN876" s="25">
        <f>ROUND(SUM(Inventory[[#This Row],[Mdl Qlty]:[Mdl WdDeck]])+Inventory[[#This Row],[Mdl Res Intercept]]*Inventory[[#This Row],[Res Adj ]],-2)</f>
        <v>306300</v>
      </c>
      <c r="BO876" s="25">
        <f>ROUND(Inventory[[#This Row],[25Det]]*Inventory[[#This Row],[Det/Nbhd Adj]],-2)</f>
        <v>28200</v>
      </c>
      <c r="BP876" s="25">
        <f>Inventory[[#This Row],[Adjusted Res]]+Inventory[[#This Row],[Adj Det ]]</f>
        <v>334500</v>
      </c>
      <c r="BQ876" s="25">
        <f>ROUND((Inventory[[#This Row],[Mdl Land Intercept]]+Inventory[[#This Row],[Mdl LnAcres]])*Inventory[[#This Row],[Det/Nbhd Adj]],-2)</f>
        <v>41100</v>
      </c>
      <c r="BR876" s="25">
        <f>Inventory[[#This Row],[Adjusted Impr Total]]+Inventory[[#This Row],[Adjusted Land Total]]</f>
        <v>375600</v>
      </c>
      <c r="BS876" s="36">
        <f>IFERROR((Inventory[[#This Row],[Adjusted Impr Total]]-Inventory[[#This Row],[24Bldg]])/Inventory[[#This Row],[24Bldg]],0)</f>
        <v>0.10359617288023755</v>
      </c>
      <c r="BT876" s="36">
        <f>(Inventory[[#This Row],[Adjusted Land Total]]-Inventory[[#This Row],[24Lnd]])/Inventory[[#This Row],[24Lnd]]</f>
        <v>-0.35071090047393366</v>
      </c>
      <c r="BU876" s="36">
        <f>(Inventory[[#This Row],[Adjusted Total]]-Inventory[[#This Row],[24Final]])/Inventory[[#This Row],[24Final]]</f>
        <v>2.5109170305676855E-2</v>
      </c>
    </row>
    <row r="877" spans="1:73" x14ac:dyDescent="0.3">
      <c r="A877" s="25">
        <v>2025</v>
      </c>
      <c r="B877" s="26" t="s">
        <v>768</v>
      </c>
      <c r="C877" s="26">
        <f>LN(Inventory[[#This Row],[Acres]])</f>
        <v>-1.7147984280919266</v>
      </c>
      <c r="D877" s="25">
        <v>0.18</v>
      </c>
      <c r="E877" s="25">
        <v>7853</v>
      </c>
      <c r="F877" s="26" t="s">
        <v>537</v>
      </c>
      <c r="G877" s="26" t="s">
        <v>126</v>
      </c>
      <c r="H877" s="26" t="s">
        <v>349</v>
      </c>
      <c r="I877" s="26" t="s">
        <v>538</v>
      </c>
      <c r="J877" s="26" t="s">
        <v>539</v>
      </c>
      <c r="K877" s="26" t="s">
        <v>242</v>
      </c>
      <c r="L877" s="26" t="s">
        <v>302</v>
      </c>
      <c r="M877" s="26" t="s">
        <v>323</v>
      </c>
      <c r="N877" s="26">
        <v>80</v>
      </c>
      <c r="O877" s="26">
        <f>2024-Inventory[[#This Row],[YrBlt]]</f>
        <v>74</v>
      </c>
      <c r="P877" s="26">
        <f>2024-Inventory[[#This Row],[EffYr]]</f>
        <v>51</v>
      </c>
      <c r="Q877" s="25">
        <v>1950</v>
      </c>
      <c r="R877" s="25">
        <v>1973</v>
      </c>
      <c r="S877" s="25">
        <v>1388</v>
      </c>
      <c r="T877" s="27"/>
      <c r="U877" s="25">
        <v>1388</v>
      </c>
      <c r="V877" s="25">
        <f>Inventory[[#This Row],[Bsmt]]-Inventory[[#This Row],[FnBsmt]]</f>
        <v>694</v>
      </c>
      <c r="W877" s="25">
        <v>694</v>
      </c>
      <c r="X877" s="27"/>
      <c r="Y877" s="27">
        <f>Inventory[[#This Row],[MainFn]]+Inventory[[#This Row],[UpprFn]]+Inventory[[#This Row],[FnBsmt]]+Inventory[[#This Row],[AddFn]]</f>
        <v>2082</v>
      </c>
      <c r="Z877" s="27">
        <v>2500</v>
      </c>
      <c r="AA877" s="25">
        <v>7</v>
      </c>
      <c r="AB877" s="32">
        <v>704</v>
      </c>
      <c r="AC877" s="27"/>
      <c r="AD877" s="27"/>
      <c r="AE877" s="27"/>
      <c r="AF877" s="27"/>
      <c r="AG877" s="27"/>
      <c r="AH877" s="27"/>
      <c r="AI877" s="25">
        <v>399452</v>
      </c>
      <c r="AJ877" s="25">
        <v>275622</v>
      </c>
      <c r="AK877" s="25">
        <v>0</v>
      </c>
      <c r="AL877" s="25">
        <v>339700</v>
      </c>
      <c r="AM877" s="25">
        <v>54700</v>
      </c>
      <c r="AN877" s="25">
        <v>285000</v>
      </c>
      <c r="AO877" s="25">
        <v>0</v>
      </c>
      <c r="AP877" s="25">
        <f>Lookups!$B$56*0</f>
        <v>0</v>
      </c>
      <c r="AQ877" s="25">
        <f>Lookups!$B$56*1</f>
        <v>89850.625589999996</v>
      </c>
      <c r="AR877" s="25">
        <f>Lookups!$B$57*Inventory[[#This Row],[LnAcres]]</f>
        <v>-54281.285314520763</v>
      </c>
      <c r="AS877" s="25">
        <f>VLOOKUP(Inventory[[#This Row],[Qlty]],Lookups!$A$62:$E$75,2,FALSE)</f>
        <v>29814.093161000001</v>
      </c>
      <c r="AT877" s="25">
        <f>VLOOKUP(Inventory[[#This Row],[Cnd]],Lookups!$A$76:$E$84,2,FALSE)</f>
        <v>160472.20319</v>
      </c>
      <c r="AU877" s="25">
        <f>Inventory[[#This Row],[EffAge]]*Lookups!$B$85</f>
        <v>-11375.3256255</v>
      </c>
      <c r="AV877" s="25">
        <f>Inventory[[#This Row],[MainFn]]*Lookups!$B$86</f>
        <v>68579.233789275997</v>
      </c>
      <c r="AW877" s="25">
        <f>Inventory[[#This Row],[UpprFn]]*Lookups!$B$87</f>
        <v>0</v>
      </c>
      <c r="AX877" s="25">
        <f>Inventory[[#This Row],[AddFn]]*Lookups!$B$88</f>
        <v>0</v>
      </c>
      <c r="AY877" s="25">
        <f>Inventory[[#This Row],[Bsmt]]*Lookups!$B$89</f>
        <v>40365.670602835999</v>
      </c>
      <c r="AZ877" s="25">
        <f>Inventory[[#This Row],[Fixtures]]*Lookups!$B$90</f>
        <v>26544.1547364</v>
      </c>
      <c r="BA877" s="25">
        <f>Inventory[[#This Row],[WdDeck]]*Lookups!$B$91</f>
        <v>0</v>
      </c>
      <c r="BB877" s="25">
        <f>ROUND(Inventory[[#This Row],[25Det]],-2)</f>
        <v>0</v>
      </c>
      <c r="BC877" s="25">
        <f>ROUND(SUM(Inventory[[#This Row],[Mdl Qlty]:[Mdl WdDeck]])+Inventory[[#This Row],[Mdl Res Intercept]],-2)</f>
        <v>314400</v>
      </c>
      <c r="BD877" s="25">
        <f>ROUND(Inventory[[#This Row],[Mdl Land Intercept]]+Inventory[[#This Row],[Mdl LnAcres]],-2)</f>
        <v>35600</v>
      </c>
      <c r="BE877" s="25">
        <f>Inventory[[#This Row],[Unadj Res Value]]+Inventory[[#This Row],[Unadj Det Value]]+Inventory[[#This Row],[Unadj Land Value]]</f>
        <v>350000</v>
      </c>
      <c r="BF877" s="36">
        <f>(Inventory[[#This Row],[Unadj Total Value]]-Inventory[[#This Row],[24Final]])/Inventory[[#This Row],[24Final]]</f>
        <v>3.0320871357079775E-2</v>
      </c>
      <c r="BG877" s="25">
        <f>VLOOKUP(Inventory[[#This Row],[Nbhd]],Lookups!$Q$2:$T$4,4,FALSE)</f>
        <v>0.99970000000000003</v>
      </c>
      <c r="BH877" s="25">
        <f>VLOOKUP(Inventory[[#This Row],[Qlty]],Lookups!$O$7:$R$21,4,FALSE)</f>
        <v>1.0088999999999999</v>
      </c>
      <c r="BI877" s="25">
        <f>VLOOKUP(Inventory[[#This Row],[Cnd]],Lookups!$T$7:$W$16,4,FALSE)</f>
        <v>0.99729999999999996</v>
      </c>
      <c r="BJ877" s="25">
        <f>VLOOKUP(Inventory[[#This Row],[LivArea Range]],Lookups!$T$25:$W$37,4,FALSE)</f>
        <v>0.98919999999999997</v>
      </c>
      <c r="BK877" s="25">
        <f>VLOOKUP(Inventory[[#This Row],[Decade]],Lookups!$O$25:$R$42,4,FALSE)</f>
        <v>0.995</v>
      </c>
      <c r="BL877" s="25">
        <f>Inventory[[#This Row],[Nbhd Adj]]*0.95</f>
        <v>0.94971499999999998</v>
      </c>
      <c r="BM877" s="25">
        <f>Inventory[[#This Row],[Nbhd Adj]]*Inventory[[#This Row],[Quality Adj]]*Inventory[[#This Row],[Condition Adj]]*Inventory[[#This Row],[Living Area Adj]]*Inventory[[#This Row],[Decade Adj]]*0.95</f>
        <v>0.94053384219145564</v>
      </c>
      <c r="BN877" s="25">
        <f>ROUND(SUM(Inventory[[#This Row],[Mdl Qlty]:[Mdl WdDeck]])+Inventory[[#This Row],[Mdl Res Intercept]]*Inventory[[#This Row],[Res Adj ]],-2)</f>
        <v>314400</v>
      </c>
      <c r="BO877" s="25">
        <f>ROUND(Inventory[[#This Row],[25Det]]*Inventory[[#This Row],[Det/Nbhd Adj]],-2)</f>
        <v>0</v>
      </c>
      <c r="BP877" s="25">
        <f>Inventory[[#This Row],[Adjusted Res]]+Inventory[[#This Row],[Adj Det ]]</f>
        <v>314400</v>
      </c>
      <c r="BQ877" s="25">
        <f>ROUND((Inventory[[#This Row],[Mdl Land Intercept]]+Inventory[[#This Row],[Mdl LnAcres]])*Inventory[[#This Row],[Det/Nbhd Adj]],-2)</f>
        <v>33800</v>
      </c>
      <c r="BR877" s="25">
        <f>Inventory[[#This Row],[Adjusted Impr Total]]+Inventory[[#This Row],[Adjusted Land Total]]</f>
        <v>348200</v>
      </c>
      <c r="BS877" s="36">
        <f>IFERROR((Inventory[[#This Row],[Adjusted Impr Total]]-Inventory[[#This Row],[24Bldg]])/Inventory[[#This Row],[24Bldg]],0)</f>
        <v>0.1031578947368421</v>
      </c>
      <c r="BT877" s="36">
        <f>(Inventory[[#This Row],[Adjusted Land Total]]-Inventory[[#This Row],[24Lnd]])/Inventory[[#This Row],[24Lnd]]</f>
        <v>-0.38208409506398539</v>
      </c>
      <c r="BU877" s="36">
        <f>(Inventory[[#This Row],[Adjusted Total]]-Inventory[[#This Row],[24Final]])/Inventory[[#This Row],[24Final]]</f>
        <v>2.5022078304386224E-2</v>
      </c>
    </row>
    <row r="878" spans="1:73" x14ac:dyDescent="0.3">
      <c r="A878" s="25">
        <v>2025</v>
      </c>
      <c r="B878" s="26" t="s">
        <v>2876</v>
      </c>
      <c r="C878" s="26">
        <f>LN(Inventory[[#This Row],[Acres]])</f>
        <v>-1.5606477482646683</v>
      </c>
      <c r="D878" s="25">
        <v>0.21</v>
      </c>
      <c r="E878" s="31"/>
      <c r="F878" s="26" t="s">
        <v>537</v>
      </c>
      <c r="G878" s="26" t="s">
        <v>126</v>
      </c>
      <c r="H878" s="26" t="s">
        <v>349</v>
      </c>
      <c r="I878" s="26" t="s">
        <v>538</v>
      </c>
      <c r="J878" s="26" t="s">
        <v>539</v>
      </c>
      <c r="K878" s="26" t="s">
        <v>242</v>
      </c>
      <c r="L878" s="26" t="s">
        <v>351</v>
      </c>
      <c r="M878" s="26" t="s">
        <v>303</v>
      </c>
      <c r="N878" s="26">
        <v>80</v>
      </c>
      <c r="O878" s="26">
        <f>2024-Inventory[[#This Row],[YrBlt]]</f>
        <v>74</v>
      </c>
      <c r="P878" s="26">
        <f>2024-Inventory[[#This Row],[EffYr]]</f>
        <v>51</v>
      </c>
      <c r="Q878" s="25">
        <v>1950</v>
      </c>
      <c r="R878" s="25">
        <v>1973</v>
      </c>
      <c r="S878" s="25">
        <v>1244</v>
      </c>
      <c r="T878" s="27"/>
      <c r="U878" s="32">
        <v>1250</v>
      </c>
      <c r="V878" s="32">
        <f>Inventory[[#This Row],[Bsmt]]-Inventory[[#This Row],[FnBsmt]]</f>
        <v>0</v>
      </c>
      <c r="W878" s="32">
        <v>1250</v>
      </c>
      <c r="X878" s="27"/>
      <c r="Y878" s="27">
        <f>Inventory[[#This Row],[MainFn]]+Inventory[[#This Row],[UpprFn]]+Inventory[[#This Row],[FnBsmt]]+Inventory[[#This Row],[AddFn]]</f>
        <v>2494</v>
      </c>
      <c r="Z878" s="27">
        <v>2500</v>
      </c>
      <c r="AA878" s="25">
        <v>7</v>
      </c>
      <c r="AB878" s="27"/>
      <c r="AC878" s="27"/>
      <c r="AD878" s="27"/>
      <c r="AE878" s="27"/>
      <c r="AF878" s="27"/>
      <c r="AG878" s="27"/>
      <c r="AH878" s="27"/>
      <c r="AI878" s="25">
        <v>304560</v>
      </c>
      <c r="AJ878" s="25">
        <v>216238</v>
      </c>
      <c r="AK878" s="25">
        <v>0</v>
      </c>
      <c r="AL878" s="25">
        <v>361700</v>
      </c>
      <c r="AM878" s="25">
        <v>60100</v>
      </c>
      <c r="AN878" s="25">
        <v>301600</v>
      </c>
      <c r="AO878" s="25">
        <v>0</v>
      </c>
      <c r="AP878" s="25">
        <f>Lookups!$B$56*0</f>
        <v>0</v>
      </c>
      <c r="AQ878" s="25">
        <f>Lookups!$B$56*1</f>
        <v>89850.625589999996</v>
      </c>
      <c r="AR878" s="25">
        <f>Lookups!$B$57*Inventory[[#This Row],[LnAcres]]</f>
        <v>-49401.70477837498</v>
      </c>
      <c r="AS878" s="25">
        <f>VLOOKUP(Inventory[[#This Row],[Qlty]],Lookups!$A$62:$E$75,2,FALSE)</f>
        <v>21557.329055999999</v>
      </c>
      <c r="AT878" s="25">
        <f>VLOOKUP(Inventory[[#This Row],[Cnd]],Lookups!$A$76:$E$84,2,FALSE)</f>
        <v>197752.34721000001</v>
      </c>
      <c r="AU878" s="25">
        <f>Inventory[[#This Row],[EffAge]]*Lookups!$B$85</f>
        <v>-11375.3256255</v>
      </c>
      <c r="AV878" s="25">
        <f>Inventory[[#This Row],[MainFn]]*Lookups!$B$86</f>
        <v>61464.385326987998</v>
      </c>
      <c r="AW878" s="25">
        <f>Inventory[[#This Row],[UpprFn]]*Lookups!$B$87</f>
        <v>0</v>
      </c>
      <c r="AX878" s="25">
        <f>Inventory[[#This Row],[AddFn]]*Lookups!$B$88</f>
        <v>0</v>
      </c>
      <c r="AY878" s="25">
        <f>Inventory[[#This Row],[Bsmt]]*Lookups!$B$89</f>
        <v>36352.369058749995</v>
      </c>
      <c r="AZ878" s="25">
        <f>Inventory[[#This Row],[Fixtures]]*Lookups!$B$90</f>
        <v>26544.1547364</v>
      </c>
      <c r="BA878" s="25">
        <f>Inventory[[#This Row],[WdDeck]]*Lookups!$B$91</f>
        <v>0</v>
      </c>
      <c r="BB878" s="25">
        <f>ROUND(Inventory[[#This Row],[25Det]],-2)</f>
        <v>0</v>
      </c>
      <c r="BC878" s="25">
        <f>ROUND(SUM(Inventory[[#This Row],[Mdl Qlty]:[Mdl WdDeck]])+Inventory[[#This Row],[Mdl Res Intercept]],-2)</f>
        <v>332300</v>
      </c>
      <c r="BD878" s="25">
        <f>ROUND(Inventory[[#This Row],[Mdl Land Intercept]]+Inventory[[#This Row],[Mdl LnAcres]],-2)</f>
        <v>40400</v>
      </c>
      <c r="BE878" s="25">
        <f>Inventory[[#This Row],[Unadj Res Value]]+Inventory[[#This Row],[Unadj Det Value]]+Inventory[[#This Row],[Unadj Land Value]]</f>
        <v>372700</v>
      </c>
      <c r="BF878" s="36">
        <f>(Inventory[[#This Row],[Unadj Total Value]]-Inventory[[#This Row],[24Final]])/Inventory[[#This Row],[24Final]]</f>
        <v>3.0411943599668232E-2</v>
      </c>
      <c r="BG878" s="25">
        <f>VLOOKUP(Inventory[[#This Row],[Nbhd]],Lookups!$Q$2:$T$4,4,FALSE)</f>
        <v>0.99970000000000003</v>
      </c>
      <c r="BH878" s="25">
        <f>VLOOKUP(Inventory[[#This Row],[Qlty]],Lookups!$O$7:$R$21,4,FALSE)</f>
        <v>1.0067999999999999</v>
      </c>
      <c r="BI878" s="25">
        <f>VLOOKUP(Inventory[[#This Row],[Cnd]],Lookups!$T$7:$W$16,4,FALSE)</f>
        <v>0.99650000000000005</v>
      </c>
      <c r="BJ878" s="25">
        <f>VLOOKUP(Inventory[[#This Row],[LivArea Range]],Lookups!$T$25:$W$37,4,FALSE)</f>
        <v>0.98919999999999997</v>
      </c>
      <c r="BK878" s="25">
        <f>VLOOKUP(Inventory[[#This Row],[Decade]],Lookups!$O$25:$R$42,4,FALSE)</f>
        <v>0.995</v>
      </c>
      <c r="BL878" s="25">
        <f>Inventory[[#This Row],[Nbhd Adj]]*0.95</f>
        <v>0.94971499999999998</v>
      </c>
      <c r="BM878" s="25">
        <f>Inventory[[#This Row],[Nbhd Adj]]*Inventory[[#This Row],[Quality Adj]]*Inventory[[#This Row],[Condition Adj]]*Inventory[[#This Row],[Living Area Adj]]*Inventory[[#This Row],[Decade Adj]]*0.95</f>
        <v>0.93782325090236773</v>
      </c>
      <c r="BN878" s="25">
        <f>ROUND(SUM(Inventory[[#This Row],[Mdl Qlty]:[Mdl WdDeck]])+Inventory[[#This Row],[Mdl Res Intercept]]*Inventory[[#This Row],[Res Adj ]],-2)</f>
        <v>332300</v>
      </c>
      <c r="BO878" s="25">
        <f>ROUND(Inventory[[#This Row],[25Det]]*Inventory[[#This Row],[Det/Nbhd Adj]],-2)</f>
        <v>0</v>
      </c>
      <c r="BP878" s="25">
        <f>Inventory[[#This Row],[Adjusted Res]]+Inventory[[#This Row],[Adj Det ]]</f>
        <v>332300</v>
      </c>
      <c r="BQ878" s="25">
        <f>ROUND((Inventory[[#This Row],[Mdl Land Intercept]]+Inventory[[#This Row],[Mdl LnAcres]])*Inventory[[#This Row],[Det/Nbhd Adj]],-2)</f>
        <v>38400</v>
      </c>
      <c r="BR878" s="25">
        <f>Inventory[[#This Row],[Adjusted Impr Total]]+Inventory[[#This Row],[Adjusted Land Total]]</f>
        <v>370700</v>
      </c>
      <c r="BS878" s="36">
        <f>IFERROR((Inventory[[#This Row],[Adjusted Impr Total]]-Inventory[[#This Row],[24Bldg]])/Inventory[[#This Row],[24Bldg]],0)</f>
        <v>0.10179045092838196</v>
      </c>
      <c r="BT878" s="36">
        <f>(Inventory[[#This Row],[Adjusted Land Total]]-Inventory[[#This Row],[24Lnd]])/Inventory[[#This Row],[24Lnd]]</f>
        <v>-0.36106489184692181</v>
      </c>
      <c r="BU878" s="36">
        <f>(Inventory[[#This Row],[Adjusted Total]]-Inventory[[#This Row],[24Final]])/Inventory[[#This Row],[24Final]]</f>
        <v>2.4882499308819462E-2</v>
      </c>
    </row>
    <row r="879" spans="1:73" x14ac:dyDescent="0.3">
      <c r="A879" s="25">
        <v>2025</v>
      </c>
      <c r="B879" s="26" t="s">
        <v>1668</v>
      </c>
      <c r="C879" s="26">
        <f>LN(Inventory[[#This Row],[Acres]])</f>
        <v>-1.5606477482646683</v>
      </c>
      <c r="D879" s="25">
        <v>0.21</v>
      </c>
      <c r="E879" s="25">
        <v>9234</v>
      </c>
      <c r="F879" s="26" t="s">
        <v>537</v>
      </c>
      <c r="G879" s="26" t="s">
        <v>126</v>
      </c>
      <c r="H879" s="26" t="s">
        <v>349</v>
      </c>
      <c r="I879" s="26" t="s">
        <v>538</v>
      </c>
      <c r="J879" s="26" t="s">
        <v>539</v>
      </c>
      <c r="K879" s="26" t="s">
        <v>242</v>
      </c>
      <c r="L879" s="26" t="s">
        <v>205</v>
      </c>
      <c r="M879" s="26" t="s">
        <v>323</v>
      </c>
      <c r="N879" s="26">
        <v>80</v>
      </c>
      <c r="O879" s="26">
        <f>2024-Inventory[[#This Row],[YrBlt]]</f>
        <v>74</v>
      </c>
      <c r="P879" s="26">
        <f>2024-Inventory[[#This Row],[EffYr]]</f>
        <v>51</v>
      </c>
      <c r="Q879" s="25">
        <v>1950</v>
      </c>
      <c r="R879" s="25">
        <v>1973</v>
      </c>
      <c r="S879" s="25">
        <v>1143</v>
      </c>
      <c r="T879" s="27"/>
      <c r="U879" s="31"/>
      <c r="V879" s="27">
        <f>Inventory[[#This Row],[Bsmt]]-Inventory[[#This Row],[FnBsmt]]</f>
        <v>0</v>
      </c>
      <c r="W879" s="27"/>
      <c r="X879" s="27"/>
      <c r="Y879" s="27">
        <f>Inventory[[#This Row],[MainFn]]+Inventory[[#This Row],[UpprFn]]+Inventory[[#This Row],[FnBsmt]]+Inventory[[#This Row],[AddFn]]</f>
        <v>1143</v>
      </c>
      <c r="Z879" s="27">
        <v>1500</v>
      </c>
      <c r="AA879" s="25">
        <v>5</v>
      </c>
      <c r="AB879" s="27"/>
      <c r="AC879" s="27"/>
      <c r="AD879" s="27"/>
      <c r="AE879" s="27"/>
      <c r="AF879" s="27"/>
      <c r="AG879" s="27"/>
      <c r="AH879" s="27"/>
      <c r="AI879" s="25">
        <v>168237</v>
      </c>
      <c r="AJ879" s="25">
        <v>116084</v>
      </c>
      <c r="AK879" s="25">
        <v>6050</v>
      </c>
      <c r="AL879" s="25">
        <v>262200</v>
      </c>
      <c r="AM879" s="25">
        <v>60100</v>
      </c>
      <c r="AN879" s="25">
        <v>202100</v>
      </c>
      <c r="AO879" s="25">
        <v>0</v>
      </c>
      <c r="AP879" s="25">
        <f>Lookups!$B$56*0</f>
        <v>0</v>
      </c>
      <c r="AQ879" s="25">
        <f>Lookups!$B$56*1</f>
        <v>89850.625589999996</v>
      </c>
      <c r="AR879" s="25">
        <f>Lookups!$B$57*Inventory[[#This Row],[LnAcres]]</f>
        <v>-49401.70477837498</v>
      </c>
      <c r="AS879" s="25">
        <f>VLOOKUP(Inventory[[#This Row],[Qlty]],Lookups!$A$62:$E$75,2,FALSE)</f>
        <v>0</v>
      </c>
      <c r="AT879" s="25">
        <f>VLOOKUP(Inventory[[#This Row],[Cnd]],Lookups!$A$76:$E$84,2,FALSE)</f>
        <v>160472.20319</v>
      </c>
      <c r="AU879" s="25">
        <f>Inventory[[#This Row],[EffAge]]*Lookups!$B$85</f>
        <v>-11375.3256255</v>
      </c>
      <c r="AV879" s="25">
        <f>Inventory[[#This Row],[MainFn]]*Lookups!$B$86</f>
        <v>56474.109669411002</v>
      </c>
      <c r="AW879" s="25">
        <f>Inventory[[#This Row],[UpprFn]]*Lookups!$B$87</f>
        <v>0</v>
      </c>
      <c r="AX879" s="25">
        <f>Inventory[[#This Row],[AddFn]]*Lookups!$B$88</f>
        <v>0</v>
      </c>
      <c r="AY879" s="25">
        <f>Inventory[[#This Row],[Bsmt]]*Lookups!$B$89</f>
        <v>0</v>
      </c>
      <c r="AZ879" s="25">
        <f>Inventory[[#This Row],[Fixtures]]*Lookups!$B$90</f>
        <v>18960.110526</v>
      </c>
      <c r="BA879" s="25">
        <f>Inventory[[#This Row],[WdDeck]]*Lookups!$B$91</f>
        <v>0</v>
      </c>
      <c r="BB879" s="25">
        <f>ROUND(Inventory[[#This Row],[25Det]],-2)</f>
        <v>6100</v>
      </c>
      <c r="BC879" s="25">
        <f>ROUND(SUM(Inventory[[#This Row],[Mdl Qlty]:[Mdl WdDeck]])+Inventory[[#This Row],[Mdl Res Intercept]],-2)</f>
        <v>224500</v>
      </c>
      <c r="BD879" s="25">
        <f>ROUND(Inventory[[#This Row],[Mdl Land Intercept]]+Inventory[[#This Row],[Mdl LnAcres]],-2)</f>
        <v>40400</v>
      </c>
      <c r="BE879" s="25">
        <f>Inventory[[#This Row],[Unadj Res Value]]+Inventory[[#This Row],[Unadj Det Value]]+Inventory[[#This Row],[Unadj Land Value]]</f>
        <v>271000</v>
      </c>
      <c r="BF879" s="36">
        <f>(Inventory[[#This Row],[Unadj Total Value]]-Inventory[[#This Row],[24Final]])/Inventory[[#This Row],[24Final]]</f>
        <v>3.3562166285278416E-2</v>
      </c>
      <c r="BG879" s="25">
        <f>VLOOKUP(Inventory[[#This Row],[Nbhd]],Lookups!$Q$2:$T$4,4,FALSE)</f>
        <v>0.99970000000000003</v>
      </c>
      <c r="BH879" s="25">
        <f>VLOOKUP(Inventory[[#This Row],[Qlty]],Lookups!$O$7:$R$21,4,FALSE)</f>
        <v>0.99180000000000001</v>
      </c>
      <c r="BI879" s="25">
        <f>VLOOKUP(Inventory[[#This Row],[Cnd]],Lookups!$T$7:$W$16,4,FALSE)</f>
        <v>0.99729999999999996</v>
      </c>
      <c r="BJ879" s="25">
        <f>VLOOKUP(Inventory[[#This Row],[LivArea Range]],Lookups!$T$25:$W$37,4,FALSE)</f>
        <v>1.0157</v>
      </c>
      <c r="BK879" s="25">
        <f>VLOOKUP(Inventory[[#This Row],[Decade]],Lookups!$O$25:$R$42,4,FALSE)</f>
        <v>0.995</v>
      </c>
      <c r="BL879" s="25">
        <f>Inventory[[#This Row],[Nbhd Adj]]*0.95</f>
        <v>0.94971499999999998</v>
      </c>
      <c r="BM879" s="25">
        <f>Inventory[[#This Row],[Nbhd Adj]]*Inventory[[#This Row],[Quality Adj]]*Inventory[[#This Row],[Condition Adj]]*Inventory[[#This Row],[Living Area Adj]]*Inventory[[#This Row],[Decade Adj]]*0.95</f>
        <v>0.94936180176077878</v>
      </c>
      <c r="BN879" s="25">
        <f>ROUND(SUM(Inventory[[#This Row],[Mdl Qlty]:[Mdl WdDeck]])+Inventory[[#This Row],[Mdl Res Intercept]]*Inventory[[#This Row],[Res Adj ]],-2)</f>
        <v>224500</v>
      </c>
      <c r="BO879" s="25">
        <f>ROUND(Inventory[[#This Row],[25Det]]*Inventory[[#This Row],[Det/Nbhd Adj]],-2)</f>
        <v>5700</v>
      </c>
      <c r="BP879" s="25">
        <f>Inventory[[#This Row],[Adjusted Res]]+Inventory[[#This Row],[Adj Det ]]</f>
        <v>230200</v>
      </c>
      <c r="BQ879" s="25">
        <f>ROUND((Inventory[[#This Row],[Mdl Land Intercept]]+Inventory[[#This Row],[Mdl LnAcres]])*Inventory[[#This Row],[Det/Nbhd Adj]],-2)</f>
        <v>38400</v>
      </c>
      <c r="BR879" s="25">
        <f>Inventory[[#This Row],[Adjusted Impr Total]]+Inventory[[#This Row],[Adjusted Land Total]]</f>
        <v>268600</v>
      </c>
      <c r="BS879" s="36">
        <f>IFERROR((Inventory[[#This Row],[Adjusted Impr Total]]-Inventory[[#This Row],[24Bldg]])/Inventory[[#This Row],[24Bldg]],0)</f>
        <v>0.13904007916872835</v>
      </c>
      <c r="BT879" s="36">
        <f>(Inventory[[#This Row],[Adjusted Land Total]]-Inventory[[#This Row],[24Lnd]])/Inventory[[#This Row],[24Lnd]]</f>
        <v>-0.36106489184692181</v>
      </c>
      <c r="BU879" s="36">
        <f>(Inventory[[#This Row],[Adjusted Total]]-Inventory[[#This Row],[24Final]])/Inventory[[#This Row],[24Final]]</f>
        <v>2.4408848207475211E-2</v>
      </c>
    </row>
    <row r="880" spans="1:73" x14ac:dyDescent="0.3">
      <c r="A880" s="25">
        <v>2025</v>
      </c>
      <c r="B880" s="26" t="s">
        <v>1579</v>
      </c>
      <c r="C880" s="26">
        <f>LN(Inventory[[#This Row],[Acres]])</f>
        <v>-1.9661128563728327</v>
      </c>
      <c r="D880" s="25">
        <v>0.14000000000000001</v>
      </c>
      <c r="E880" s="31"/>
      <c r="F880" s="26" t="s">
        <v>537</v>
      </c>
      <c r="G880" s="26" t="s">
        <v>126</v>
      </c>
      <c r="H880" s="26" t="s">
        <v>349</v>
      </c>
      <c r="I880" s="26" t="s">
        <v>538</v>
      </c>
      <c r="J880" s="26" t="s">
        <v>539</v>
      </c>
      <c r="K880" s="26" t="s">
        <v>242</v>
      </c>
      <c r="L880" s="26" t="s">
        <v>351</v>
      </c>
      <c r="M880" s="26" t="s">
        <v>323</v>
      </c>
      <c r="N880" s="26">
        <v>80</v>
      </c>
      <c r="O880" s="26">
        <f>2024-Inventory[[#This Row],[YrBlt]]</f>
        <v>74</v>
      </c>
      <c r="P880" s="26">
        <f>2024-Inventory[[#This Row],[EffYr]]</f>
        <v>51</v>
      </c>
      <c r="Q880" s="25">
        <v>1950</v>
      </c>
      <c r="R880" s="25">
        <v>1973</v>
      </c>
      <c r="S880" s="25">
        <v>1016</v>
      </c>
      <c r="T880" s="27"/>
      <c r="U880" s="25">
        <v>1016</v>
      </c>
      <c r="V880" s="25">
        <f>Inventory[[#This Row],[Bsmt]]-Inventory[[#This Row],[FnBsmt]]</f>
        <v>216</v>
      </c>
      <c r="W880" s="25">
        <v>800</v>
      </c>
      <c r="X880" s="27"/>
      <c r="Y880" s="27">
        <f>Inventory[[#This Row],[MainFn]]+Inventory[[#This Row],[UpprFn]]+Inventory[[#This Row],[FnBsmt]]+Inventory[[#This Row],[AddFn]]</f>
        <v>1816</v>
      </c>
      <c r="Z880" s="27">
        <v>2000</v>
      </c>
      <c r="AA880" s="25">
        <v>8</v>
      </c>
      <c r="AB880" s="31"/>
      <c r="AC880" s="27"/>
      <c r="AD880" s="31"/>
      <c r="AE880" s="27"/>
      <c r="AF880" s="27"/>
      <c r="AG880" s="27"/>
      <c r="AH880" s="27"/>
      <c r="AI880" s="25">
        <v>249210</v>
      </c>
      <c r="AJ880" s="25">
        <v>171955</v>
      </c>
      <c r="AK880" s="25">
        <v>9708</v>
      </c>
      <c r="AL880" s="25">
        <v>308600</v>
      </c>
      <c r="AM880" s="25">
        <v>46000</v>
      </c>
      <c r="AN880" s="25">
        <v>262600</v>
      </c>
      <c r="AO880" s="25">
        <v>0</v>
      </c>
      <c r="AP880" s="25">
        <f>Lookups!$B$56*0</f>
        <v>0</v>
      </c>
      <c r="AQ880" s="25">
        <f>Lookups!$B$56*1</f>
        <v>89850.625589999996</v>
      </c>
      <c r="AR880" s="25">
        <f>Lookups!$B$57*Inventory[[#This Row],[LnAcres]]</f>
        <v>-62236.546971921947</v>
      </c>
      <c r="AS880" s="25">
        <f>VLOOKUP(Inventory[[#This Row],[Qlty]],Lookups!$A$62:$E$75,2,FALSE)</f>
        <v>21557.329055999999</v>
      </c>
      <c r="AT880" s="25">
        <f>VLOOKUP(Inventory[[#This Row],[Cnd]],Lookups!$A$76:$E$84,2,FALSE)</f>
        <v>160472.20319</v>
      </c>
      <c r="AU880" s="25">
        <f>Inventory[[#This Row],[EffAge]]*Lookups!$B$85</f>
        <v>-11375.3256255</v>
      </c>
      <c r="AV880" s="25">
        <f>Inventory[[#This Row],[MainFn]]*Lookups!$B$86</f>
        <v>50199.208595032003</v>
      </c>
      <c r="AW880" s="25">
        <f>Inventory[[#This Row],[UpprFn]]*Lookups!$B$87</f>
        <v>0</v>
      </c>
      <c r="AX880" s="25">
        <f>Inventory[[#This Row],[AddFn]]*Lookups!$B$88</f>
        <v>0</v>
      </c>
      <c r="AY880" s="25">
        <f>Inventory[[#This Row],[Bsmt]]*Lookups!$B$89</f>
        <v>29547.205570951999</v>
      </c>
      <c r="AZ880" s="25">
        <f>Inventory[[#This Row],[Fixtures]]*Lookups!$B$90</f>
        <v>30336.176841600001</v>
      </c>
      <c r="BA880" s="25">
        <f>Inventory[[#This Row],[WdDeck]]*Lookups!$B$91</f>
        <v>0</v>
      </c>
      <c r="BB880" s="25">
        <f>ROUND(Inventory[[#This Row],[25Det]],-2)</f>
        <v>9700</v>
      </c>
      <c r="BC880" s="25">
        <f>ROUND(SUM(Inventory[[#This Row],[Mdl Qlty]:[Mdl WdDeck]])+Inventory[[#This Row],[Mdl Res Intercept]],-2)</f>
        <v>280700</v>
      </c>
      <c r="BD880" s="25">
        <f>ROUND(Inventory[[#This Row],[Mdl Land Intercept]]+Inventory[[#This Row],[Mdl LnAcres]],-2)</f>
        <v>27600</v>
      </c>
      <c r="BE880" s="25">
        <f>Inventory[[#This Row],[Unadj Res Value]]+Inventory[[#This Row],[Unadj Det Value]]+Inventory[[#This Row],[Unadj Land Value]]</f>
        <v>318000</v>
      </c>
      <c r="BF880" s="36">
        <f>(Inventory[[#This Row],[Unadj Total Value]]-Inventory[[#This Row],[24Final]])/Inventory[[#This Row],[24Final]]</f>
        <v>3.0460142579390798E-2</v>
      </c>
      <c r="BG880" s="25">
        <f>VLOOKUP(Inventory[[#This Row],[Nbhd]],Lookups!$Q$2:$T$4,4,FALSE)</f>
        <v>0.99970000000000003</v>
      </c>
      <c r="BH880" s="25">
        <f>VLOOKUP(Inventory[[#This Row],[Qlty]],Lookups!$O$7:$R$21,4,FALSE)</f>
        <v>1.0067999999999999</v>
      </c>
      <c r="BI880" s="25">
        <f>VLOOKUP(Inventory[[#This Row],[Cnd]],Lookups!$T$7:$W$16,4,FALSE)</f>
        <v>0.99729999999999996</v>
      </c>
      <c r="BJ880" s="25">
        <f>VLOOKUP(Inventory[[#This Row],[LivArea Range]],Lookups!$T$25:$W$37,4,FALSE)</f>
        <v>1.0093000000000001</v>
      </c>
      <c r="BK880" s="25">
        <f>VLOOKUP(Inventory[[#This Row],[Decade]],Lookups!$O$25:$R$42,4,FALSE)</f>
        <v>0.995</v>
      </c>
      <c r="BL880" s="25">
        <f>Inventory[[#This Row],[Nbhd Adj]]*0.95</f>
        <v>0.94971499999999998</v>
      </c>
      <c r="BM880" s="25">
        <f>Inventory[[#This Row],[Nbhd Adj]]*Inventory[[#This Row],[Quality Adj]]*Inventory[[#This Row],[Condition Adj]]*Inventory[[#This Row],[Living Area Adj]]*Inventory[[#This Row],[Decade Adj]]*0.95</f>
        <v>0.957647495730095</v>
      </c>
      <c r="BN880" s="25">
        <f>ROUND(SUM(Inventory[[#This Row],[Mdl Qlty]:[Mdl WdDeck]])+Inventory[[#This Row],[Mdl Res Intercept]]*Inventory[[#This Row],[Res Adj ]],-2)</f>
        <v>280700</v>
      </c>
      <c r="BO880" s="25">
        <f>ROUND(Inventory[[#This Row],[25Det]]*Inventory[[#This Row],[Det/Nbhd Adj]],-2)</f>
        <v>9200</v>
      </c>
      <c r="BP880" s="25">
        <f>Inventory[[#This Row],[Adjusted Res]]+Inventory[[#This Row],[Adj Det ]]</f>
        <v>289900</v>
      </c>
      <c r="BQ880" s="25">
        <f>ROUND((Inventory[[#This Row],[Mdl Land Intercept]]+Inventory[[#This Row],[Mdl LnAcres]])*Inventory[[#This Row],[Det/Nbhd Adj]],-2)</f>
        <v>26200</v>
      </c>
      <c r="BR880" s="25">
        <f>Inventory[[#This Row],[Adjusted Impr Total]]+Inventory[[#This Row],[Adjusted Land Total]]</f>
        <v>316100</v>
      </c>
      <c r="BS880" s="36">
        <f>IFERROR((Inventory[[#This Row],[Adjusted Impr Total]]-Inventory[[#This Row],[24Bldg]])/Inventory[[#This Row],[24Bldg]],0)</f>
        <v>0.10396039603960396</v>
      </c>
      <c r="BT880" s="36">
        <f>(Inventory[[#This Row],[Adjusted Land Total]]-Inventory[[#This Row],[24Lnd]])/Inventory[[#This Row],[24Lnd]]</f>
        <v>-0.43043478260869567</v>
      </c>
      <c r="BU880" s="36">
        <f>(Inventory[[#This Row],[Adjusted Total]]-Inventory[[#This Row],[24Final]])/Inventory[[#This Row],[24Final]]</f>
        <v>2.4303305249513935E-2</v>
      </c>
    </row>
    <row r="881" spans="1:73" x14ac:dyDescent="0.3">
      <c r="A881" s="25">
        <v>2025</v>
      </c>
      <c r="B881" s="26" t="s">
        <v>760</v>
      </c>
      <c r="C881" s="26">
        <f>LN(Inventory[[#This Row],[Acres]])</f>
        <v>-1.1711829815029451</v>
      </c>
      <c r="D881" s="25">
        <v>0.31</v>
      </c>
      <c r="E881" s="25">
        <v>13387</v>
      </c>
      <c r="F881" s="26" t="s">
        <v>537</v>
      </c>
      <c r="G881" s="26" t="s">
        <v>126</v>
      </c>
      <c r="H881" s="26" t="s">
        <v>349</v>
      </c>
      <c r="I881" s="26" t="s">
        <v>538</v>
      </c>
      <c r="J881" s="26" t="s">
        <v>539</v>
      </c>
      <c r="K881" s="26" t="s">
        <v>242</v>
      </c>
      <c r="L881" s="26" t="s">
        <v>205</v>
      </c>
      <c r="M881" s="26" t="s">
        <v>323</v>
      </c>
      <c r="N881" s="26">
        <v>80</v>
      </c>
      <c r="O881" s="26">
        <f>2024-Inventory[[#This Row],[YrBlt]]</f>
        <v>74</v>
      </c>
      <c r="P881" s="26">
        <f>2024-Inventory[[#This Row],[EffYr]]</f>
        <v>51</v>
      </c>
      <c r="Q881" s="25">
        <v>1950</v>
      </c>
      <c r="R881" s="25">
        <v>1973</v>
      </c>
      <c r="S881" s="25">
        <v>861</v>
      </c>
      <c r="T881" s="27"/>
      <c r="U881" s="31"/>
      <c r="V881" s="31">
        <f>Inventory[[#This Row],[Bsmt]]-Inventory[[#This Row],[FnBsmt]]</f>
        <v>0</v>
      </c>
      <c r="W881" s="31"/>
      <c r="X881" s="27"/>
      <c r="Y881" s="27">
        <f>Inventory[[#This Row],[MainFn]]+Inventory[[#This Row],[UpprFn]]+Inventory[[#This Row],[FnBsmt]]+Inventory[[#This Row],[AddFn]]</f>
        <v>861</v>
      </c>
      <c r="Z881" s="27">
        <v>1000</v>
      </c>
      <c r="AA881" s="25">
        <v>5</v>
      </c>
      <c r="AB881" s="27"/>
      <c r="AC881" s="27"/>
      <c r="AD881" s="32">
        <v>72</v>
      </c>
      <c r="AE881" s="27"/>
      <c r="AF881" s="27"/>
      <c r="AG881" s="27"/>
      <c r="AH881" s="27"/>
      <c r="AI881" s="25">
        <v>143895</v>
      </c>
      <c r="AJ881" s="25">
        <v>99288</v>
      </c>
      <c r="AK881" s="25">
        <v>9201</v>
      </c>
      <c r="AL881" s="25">
        <v>265600</v>
      </c>
      <c r="AM881" s="25">
        <v>73700</v>
      </c>
      <c r="AN881" s="25">
        <v>191900</v>
      </c>
      <c r="AO881" s="25">
        <v>0</v>
      </c>
      <c r="AP881" s="25">
        <f>Lookups!$B$56*0</f>
        <v>0</v>
      </c>
      <c r="AQ881" s="25">
        <f>Lookups!$B$56*1</f>
        <v>89850.625589999996</v>
      </c>
      <c r="AR881" s="25">
        <f>Lookups!$B$57*Inventory[[#This Row],[LnAcres]]</f>
        <v>-37073.347241874442</v>
      </c>
      <c r="AS881" s="25">
        <f>VLOOKUP(Inventory[[#This Row],[Qlty]],Lookups!$A$62:$E$75,2,FALSE)</f>
        <v>0</v>
      </c>
      <c r="AT881" s="25">
        <f>VLOOKUP(Inventory[[#This Row],[Cnd]],Lookups!$A$76:$E$84,2,FALSE)</f>
        <v>160472.20319</v>
      </c>
      <c r="AU881" s="25">
        <f>Inventory[[#This Row],[EffAge]]*Lookups!$B$85</f>
        <v>-11375.3256255</v>
      </c>
      <c r="AV881" s="25">
        <f>Inventory[[#This Row],[MainFn]]*Lookups!$B$86</f>
        <v>42540.864764097001</v>
      </c>
      <c r="AW881" s="25">
        <f>Inventory[[#This Row],[UpprFn]]*Lookups!$B$87</f>
        <v>0</v>
      </c>
      <c r="AX881" s="25">
        <f>Inventory[[#This Row],[AddFn]]*Lookups!$B$88</f>
        <v>0</v>
      </c>
      <c r="AY881" s="25">
        <f>Inventory[[#This Row],[Bsmt]]*Lookups!$B$89</f>
        <v>0</v>
      </c>
      <c r="AZ881" s="25">
        <f>Inventory[[#This Row],[Fixtures]]*Lookups!$B$90</f>
        <v>18960.110526</v>
      </c>
      <c r="BA881" s="25">
        <f>Inventory[[#This Row],[WdDeck]]*Lookups!$B$91</f>
        <v>2397.2770998720002</v>
      </c>
      <c r="BB881" s="25">
        <f>ROUND(Inventory[[#This Row],[25Det]],-2)</f>
        <v>9200</v>
      </c>
      <c r="BC881" s="25">
        <f>ROUND(SUM(Inventory[[#This Row],[Mdl Qlty]:[Mdl WdDeck]])+Inventory[[#This Row],[Mdl Res Intercept]],-2)</f>
        <v>213000</v>
      </c>
      <c r="BD881" s="25">
        <f>ROUND(Inventory[[#This Row],[Mdl Land Intercept]]+Inventory[[#This Row],[Mdl LnAcres]],-2)</f>
        <v>52800</v>
      </c>
      <c r="BE881" s="25">
        <f>Inventory[[#This Row],[Unadj Res Value]]+Inventory[[#This Row],[Unadj Det Value]]+Inventory[[#This Row],[Unadj Land Value]]</f>
        <v>275000</v>
      </c>
      <c r="BF881" s="36">
        <f>(Inventory[[#This Row],[Unadj Total Value]]-Inventory[[#This Row],[24Final]])/Inventory[[#This Row],[24Final]]</f>
        <v>3.5391566265060244E-2</v>
      </c>
      <c r="BG881" s="25">
        <f>VLOOKUP(Inventory[[#This Row],[Nbhd]],Lookups!$Q$2:$T$4,4,FALSE)</f>
        <v>0.99970000000000003</v>
      </c>
      <c r="BH881" s="25">
        <f>VLOOKUP(Inventory[[#This Row],[Qlty]],Lookups!$O$7:$R$21,4,FALSE)</f>
        <v>0.99180000000000001</v>
      </c>
      <c r="BI881" s="25">
        <f>VLOOKUP(Inventory[[#This Row],[Cnd]],Lookups!$T$7:$W$16,4,FALSE)</f>
        <v>0.99729999999999996</v>
      </c>
      <c r="BJ881" s="25">
        <f>VLOOKUP(Inventory[[#This Row],[LivArea Range]],Lookups!$T$25:$W$37,4,FALSE)</f>
        <v>1.0148999999999999</v>
      </c>
      <c r="BK881" s="25">
        <f>VLOOKUP(Inventory[[#This Row],[Decade]],Lookups!$O$25:$R$42,4,FALSE)</f>
        <v>0.995</v>
      </c>
      <c r="BL881" s="25">
        <f>Inventory[[#This Row],[Nbhd Adj]]*0.95</f>
        <v>0.94971499999999998</v>
      </c>
      <c r="BM881" s="25">
        <f>Inventory[[#This Row],[Nbhd Adj]]*Inventory[[#This Row],[Quality Adj]]*Inventory[[#This Row],[Condition Adj]]*Inventory[[#This Row],[Living Area Adj]]*Inventory[[#This Row],[Decade Adj]]*0.95</f>
        <v>0.94861405199075932</v>
      </c>
      <c r="BN881" s="25">
        <f>ROUND(SUM(Inventory[[#This Row],[Mdl Qlty]:[Mdl WdDeck]])+Inventory[[#This Row],[Mdl Res Intercept]]*Inventory[[#This Row],[Res Adj ]],-2)</f>
        <v>213000</v>
      </c>
      <c r="BO881" s="25">
        <f>ROUND(Inventory[[#This Row],[25Det]]*Inventory[[#This Row],[Det/Nbhd Adj]],-2)</f>
        <v>8700</v>
      </c>
      <c r="BP881" s="25">
        <f>Inventory[[#This Row],[Adjusted Res]]+Inventory[[#This Row],[Adj Det ]]</f>
        <v>221700</v>
      </c>
      <c r="BQ881" s="25">
        <f>ROUND((Inventory[[#This Row],[Mdl Land Intercept]]+Inventory[[#This Row],[Mdl LnAcres]])*Inventory[[#This Row],[Det/Nbhd Adj]],-2)</f>
        <v>50100</v>
      </c>
      <c r="BR881" s="25">
        <f>Inventory[[#This Row],[Adjusted Impr Total]]+Inventory[[#This Row],[Adjusted Land Total]]</f>
        <v>271800</v>
      </c>
      <c r="BS881" s="36">
        <f>IFERROR((Inventory[[#This Row],[Adjusted Impr Total]]-Inventory[[#This Row],[24Bldg]])/Inventory[[#This Row],[24Bldg]],0)</f>
        <v>0.15528921313183949</v>
      </c>
      <c r="BT881" s="36">
        <f>(Inventory[[#This Row],[Adjusted Land Total]]-Inventory[[#This Row],[24Lnd]])/Inventory[[#This Row],[24Lnd]]</f>
        <v>-0.32021709633649931</v>
      </c>
      <c r="BU881" s="36">
        <f>(Inventory[[#This Row],[Adjusted Total]]-Inventory[[#This Row],[24Final]])/Inventory[[#This Row],[24Final]]</f>
        <v>2.3343373493975902E-2</v>
      </c>
    </row>
    <row r="882" spans="1:73" x14ac:dyDescent="0.3">
      <c r="A882" s="25">
        <v>2025</v>
      </c>
      <c r="B882" s="26" t="s">
        <v>2879</v>
      </c>
      <c r="C882" s="26">
        <f>LN(Inventory[[#This Row],[Acres]])</f>
        <v>-1.7719568419318752</v>
      </c>
      <c r="D882" s="25">
        <v>0.17</v>
      </c>
      <c r="E882" s="31"/>
      <c r="F882" s="26" t="s">
        <v>537</v>
      </c>
      <c r="G882" s="26" t="s">
        <v>126</v>
      </c>
      <c r="H882" s="26" t="s">
        <v>349</v>
      </c>
      <c r="I882" s="26" t="s">
        <v>538</v>
      </c>
      <c r="J882" s="26" t="s">
        <v>539</v>
      </c>
      <c r="K882" s="26" t="s">
        <v>242</v>
      </c>
      <c r="L882" s="26" t="s">
        <v>205</v>
      </c>
      <c r="M882" s="26" t="s">
        <v>323</v>
      </c>
      <c r="N882" s="26">
        <v>80</v>
      </c>
      <c r="O882" s="26">
        <f>2024-Inventory[[#This Row],[YrBlt]]</f>
        <v>74</v>
      </c>
      <c r="P882" s="26">
        <f>2024-Inventory[[#This Row],[EffYr]]</f>
        <v>51</v>
      </c>
      <c r="Q882" s="25">
        <v>1950</v>
      </c>
      <c r="R882" s="25">
        <v>1973</v>
      </c>
      <c r="S882" s="25">
        <v>889</v>
      </c>
      <c r="T882" s="27"/>
      <c r="U882" s="27"/>
      <c r="V882" s="27">
        <f>Inventory[[#This Row],[Bsmt]]-Inventory[[#This Row],[FnBsmt]]</f>
        <v>0</v>
      </c>
      <c r="W882" s="27"/>
      <c r="X882" s="27"/>
      <c r="Y882" s="27">
        <f>Inventory[[#This Row],[MainFn]]+Inventory[[#This Row],[UpprFn]]+Inventory[[#This Row],[FnBsmt]]+Inventory[[#This Row],[AddFn]]</f>
        <v>889</v>
      </c>
      <c r="Z882" s="27">
        <v>1000</v>
      </c>
      <c r="AA882" s="25">
        <v>5</v>
      </c>
      <c r="AB882" s="27"/>
      <c r="AC882" s="27"/>
      <c r="AD882" s="31"/>
      <c r="AE882" s="27"/>
      <c r="AF882" s="27"/>
      <c r="AG882" s="27"/>
      <c r="AH882" s="27"/>
      <c r="AI882" s="25">
        <v>141798</v>
      </c>
      <c r="AJ882" s="25">
        <v>97841</v>
      </c>
      <c r="AK882" s="25">
        <v>5103</v>
      </c>
      <c r="AL882" s="25">
        <v>243300</v>
      </c>
      <c r="AM882" s="25">
        <v>52700</v>
      </c>
      <c r="AN882" s="25">
        <v>190600</v>
      </c>
      <c r="AO882" s="25">
        <v>0</v>
      </c>
      <c r="AP882" s="25">
        <f>Lookups!$B$56*0</f>
        <v>0</v>
      </c>
      <c r="AQ882" s="25">
        <f>Lookups!$B$56*1</f>
        <v>89850.625589999996</v>
      </c>
      <c r="AR882" s="25">
        <f>Lookups!$B$57*Inventory[[#This Row],[LnAcres]]</f>
        <v>-56090.612940989391</v>
      </c>
      <c r="AS882" s="25">
        <f>VLOOKUP(Inventory[[#This Row],[Qlty]],Lookups!$A$62:$E$75,2,FALSE)</f>
        <v>0</v>
      </c>
      <c r="AT882" s="25">
        <f>VLOOKUP(Inventory[[#This Row],[Cnd]],Lookups!$A$76:$E$84,2,FALSE)</f>
        <v>160472.20319</v>
      </c>
      <c r="AU882" s="25">
        <f>Inventory[[#This Row],[EffAge]]*Lookups!$B$85</f>
        <v>-11375.3256255</v>
      </c>
      <c r="AV882" s="25">
        <f>Inventory[[#This Row],[MainFn]]*Lookups!$B$86</f>
        <v>43924.307520652997</v>
      </c>
      <c r="AW882" s="25">
        <f>Inventory[[#This Row],[UpprFn]]*Lookups!$B$87</f>
        <v>0</v>
      </c>
      <c r="AX882" s="25">
        <f>Inventory[[#This Row],[AddFn]]*Lookups!$B$88</f>
        <v>0</v>
      </c>
      <c r="AY882" s="25">
        <f>Inventory[[#This Row],[Bsmt]]*Lookups!$B$89</f>
        <v>0</v>
      </c>
      <c r="AZ882" s="25">
        <f>Inventory[[#This Row],[Fixtures]]*Lookups!$B$90</f>
        <v>18960.110526</v>
      </c>
      <c r="BA882" s="25">
        <f>Inventory[[#This Row],[WdDeck]]*Lookups!$B$91</f>
        <v>0</v>
      </c>
      <c r="BB882" s="25">
        <f>ROUND(Inventory[[#This Row],[25Det]],-2)</f>
        <v>5100</v>
      </c>
      <c r="BC882" s="25">
        <f>ROUND(SUM(Inventory[[#This Row],[Mdl Qlty]:[Mdl WdDeck]])+Inventory[[#This Row],[Mdl Res Intercept]],-2)</f>
        <v>212000</v>
      </c>
      <c r="BD882" s="25">
        <f>ROUND(Inventory[[#This Row],[Mdl Land Intercept]]+Inventory[[#This Row],[Mdl LnAcres]],-2)</f>
        <v>33800</v>
      </c>
      <c r="BE882" s="25">
        <f>Inventory[[#This Row],[Unadj Res Value]]+Inventory[[#This Row],[Unadj Det Value]]+Inventory[[#This Row],[Unadj Land Value]]</f>
        <v>250900</v>
      </c>
      <c r="BF882" s="36">
        <f>(Inventory[[#This Row],[Unadj Total Value]]-Inventory[[#This Row],[24Final]])/Inventory[[#This Row],[24Final]]</f>
        <v>3.1237155774763666E-2</v>
      </c>
      <c r="BG882" s="25">
        <f>VLOOKUP(Inventory[[#This Row],[Nbhd]],Lookups!$Q$2:$T$4,4,FALSE)</f>
        <v>0.99970000000000003</v>
      </c>
      <c r="BH882" s="25">
        <f>VLOOKUP(Inventory[[#This Row],[Qlty]],Lookups!$O$7:$R$21,4,FALSE)</f>
        <v>0.99180000000000001</v>
      </c>
      <c r="BI882" s="25">
        <f>VLOOKUP(Inventory[[#This Row],[Cnd]],Lookups!$T$7:$W$16,4,FALSE)</f>
        <v>0.99729999999999996</v>
      </c>
      <c r="BJ882" s="25">
        <f>VLOOKUP(Inventory[[#This Row],[LivArea Range]],Lookups!$T$25:$W$37,4,FALSE)</f>
        <v>1.0148999999999999</v>
      </c>
      <c r="BK882" s="25">
        <f>VLOOKUP(Inventory[[#This Row],[Decade]],Lookups!$O$25:$R$42,4,FALSE)</f>
        <v>0.995</v>
      </c>
      <c r="BL882" s="25">
        <f>Inventory[[#This Row],[Nbhd Adj]]*0.95</f>
        <v>0.94971499999999998</v>
      </c>
      <c r="BM882" s="25">
        <f>Inventory[[#This Row],[Nbhd Adj]]*Inventory[[#This Row],[Quality Adj]]*Inventory[[#This Row],[Condition Adj]]*Inventory[[#This Row],[Living Area Adj]]*Inventory[[#This Row],[Decade Adj]]*0.95</f>
        <v>0.94861405199075932</v>
      </c>
      <c r="BN882" s="25">
        <f>ROUND(SUM(Inventory[[#This Row],[Mdl Qlty]:[Mdl WdDeck]])+Inventory[[#This Row],[Mdl Res Intercept]]*Inventory[[#This Row],[Res Adj ]],-2)</f>
        <v>212000</v>
      </c>
      <c r="BO882" s="25">
        <f>ROUND(Inventory[[#This Row],[25Det]]*Inventory[[#This Row],[Det/Nbhd Adj]],-2)</f>
        <v>4800</v>
      </c>
      <c r="BP882" s="25">
        <f>Inventory[[#This Row],[Adjusted Res]]+Inventory[[#This Row],[Adj Det ]]</f>
        <v>216800</v>
      </c>
      <c r="BQ882" s="25">
        <f>ROUND((Inventory[[#This Row],[Mdl Land Intercept]]+Inventory[[#This Row],[Mdl LnAcres]])*Inventory[[#This Row],[Det/Nbhd Adj]],-2)</f>
        <v>32100</v>
      </c>
      <c r="BR882" s="25">
        <f>Inventory[[#This Row],[Adjusted Impr Total]]+Inventory[[#This Row],[Adjusted Land Total]]</f>
        <v>248900</v>
      </c>
      <c r="BS882" s="36">
        <f>IFERROR((Inventory[[#This Row],[Adjusted Impr Total]]-Inventory[[#This Row],[24Bldg]])/Inventory[[#This Row],[24Bldg]],0)</f>
        <v>0.13746065057712487</v>
      </c>
      <c r="BT882" s="36">
        <f>(Inventory[[#This Row],[Adjusted Land Total]]-Inventory[[#This Row],[24Lnd]])/Inventory[[#This Row],[24Lnd]]</f>
        <v>-0.39089184060721061</v>
      </c>
      <c r="BU882" s="36">
        <f>(Inventory[[#This Row],[Adjusted Total]]-Inventory[[#This Row],[24Final]])/Inventory[[#This Row],[24Final]]</f>
        <v>2.3016851623510071E-2</v>
      </c>
    </row>
    <row r="883" spans="1:73" x14ac:dyDescent="0.3">
      <c r="A883" s="25">
        <v>2025</v>
      </c>
      <c r="B883" s="26" t="s">
        <v>778</v>
      </c>
      <c r="C883" s="26">
        <f>LN(Inventory[[#This Row],[Acres]])</f>
        <v>-1.3470736479666092</v>
      </c>
      <c r="D883" s="25">
        <v>0.26</v>
      </c>
      <c r="E883" s="25">
        <v>11259</v>
      </c>
      <c r="F883" s="26" t="s">
        <v>537</v>
      </c>
      <c r="G883" s="26" t="s">
        <v>126</v>
      </c>
      <c r="H883" s="26" t="s">
        <v>349</v>
      </c>
      <c r="I883" s="26" t="s">
        <v>538</v>
      </c>
      <c r="J883" s="26" t="s">
        <v>539</v>
      </c>
      <c r="K883" s="26" t="s">
        <v>241</v>
      </c>
      <c r="L883" s="26" t="s">
        <v>148</v>
      </c>
      <c r="M883" s="26" t="s">
        <v>323</v>
      </c>
      <c r="N883" s="26">
        <v>80</v>
      </c>
      <c r="O883" s="26">
        <f>2024-Inventory[[#This Row],[YrBlt]]</f>
        <v>74</v>
      </c>
      <c r="P883" s="26">
        <f>2024-Inventory[[#This Row],[EffYr]]</f>
        <v>51</v>
      </c>
      <c r="Q883" s="25">
        <v>1950</v>
      </c>
      <c r="R883" s="25">
        <v>1973</v>
      </c>
      <c r="S883" s="25">
        <v>1515</v>
      </c>
      <c r="T883" s="27"/>
      <c r="U883" s="25">
        <v>1010</v>
      </c>
      <c r="V883" s="25">
        <f>Inventory[[#This Row],[Bsmt]]-Inventory[[#This Row],[FnBsmt]]</f>
        <v>510</v>
      </c>
      <c r="W883" s="25">
        <v>500</v>
      </c>
      <c r="X883" s="27"/>
      <c r="Y883" s="27">
        <f>Inventory[[#This Row],[MainFn]]+Inventory[[#This Row],[UpprFn]]+Inventory[[#This Row],[FnBsmt]]+Inventory[[#This Row],[AddFn]]</f>
        <v>2015</v>
      </c>
      <c r="Z883" s="27">
        <v>2500</v>
      </c>
      <c r="AA883" s="25">
        <v>5</v>
      </c>
      <c r="AB883" s="32">
        <v>440</v>
      </c>
      <c r="AC883" s="27"/>
      <c r="AD883" s="31"/>
      <c r="AE883" s="27"/>
      <c r="AF883" s="27"/>
      <c r="AG883" s="27"/>
      <c r="AH883" s="27"/>
      <c r="AI883" s="25">
        <v>454936</v>
      </c>
      <c r="AJ883" s="25">
        <v>313906</v>
      </c>
      <c r="AK883" s="25">
        <v>0</v>
      </c>
      <c r="AL883" s="25">
        <v>353100</v>
      </c>
      <c r="AM883" s="25">
        <v>67600</v>
      </c>
      <c r="AN883" s="25">
        <v>285500</v>
      </c>
      <c r="AO883" s="25">
        <v>0</v>
      </c>
      <c r="AP883" s="25">
        <f>Lookups!$B$56*0</f>
        <v>0</v>
      </c>
      <c r="AQ883" s="25">
        <f>Lookups!$B$56*1</f>
        <v>89850.625589999996</v>
      </c>
      <c r="AR883" s="25">
        <f>Lookups!$B$57*Inventory[[#This Row],[LnAcres]]</f>
        <v>-42641.098701210125</v>
      </c>
      <c r="AS883" s="25">
        <f>VLOOKUP(Inventory[[#This Row],[Qlty]],Lookups!$A$62:$E$75,2,FALSE)</f>
        <v>44121.038090000002</v>
      </c>
      <c r="AT883" s="25">
        <f>VLOOKUP(Inventory[[#This Row],[Cnd]],Lookups!$A$76:$E$84,2,FALSE)</f>
        <v>160472.20319</v>
      </c>
      <c r="AU883" s="25">
        <f>Inventory[[#This Row],[EffAge]]*Lookups!$B$85</f>
        <v>-11375.3256255</v>
      </c>
      <c r="AV883" s="25">
        <f>Inventory[[#This Row],[MainFn]]*Lookups!$B$86</f>
        <v>74854.134863654996</v>
      </c>
      <c r="AW883" s="25">
        <f>Inventory[[#This Row],[UpprFn]]*Lookups!$B$87</f>
        <v>0</v>
      </c>
      <c r="AX883" s="25">
        <f>Inventory[[#This Row],[AddFn]]*Lookups!$B$88</f>
        <v>0</v>
      </c>
      <c r="AY883" s="25">
        <f>Inventory[[#This Row],[Bsmt]]*Lookups!$B$89</f>
        <v>29372.71419947</v>
      </c>
      <c r="AZ883" s="25">
        <f>Inventory[[#This Row],[Fixtures]]*Lookups!$B$90</f>
        <v>18960.110526</v>
      </c>
      <c r="BA883" s="25">
        <f>Inventory[[#This Row],[WdDeck]]*Lookups!$B$91</f>
        <v>0</v>
      </c>
      <c r="BB883" s="25">
        <f>ROUND(Inventory[[#This Row],[25Det]],-2)</f>
        <v>0</v>
      </c>
      <c r="BC883" s="25">
        <f>ROUND(SUM(Inventory[[#This Row],[Mdl Qlty]:[Mdl WdDeck]])+Inventory[[#This Row],[Mdl Res Intercept]],-2)</f>
        <v>316400</v>
      </c>
      <c r="BD883" s="25">
        <f>ROUND(Inventory[[#This Row],[Mdl Land Intercept]]+Inventory[[#This Row],[Mdl LnAcres]],-2)</f>
        <v>47200</v>
      </c>
      <c r="BE883" s="25">
        <f>Inventory[[#This Row],[Unadj Res Value]]+Inventory[[#This Row],[Unadj Det Value]]+Inventory[[#This Row],[Unadj Land Value]]</f>
        <v>363600</v>
      </c>
      <c r="BF883" s="36">
        <f>(Inventory[[#This Row],[Unadj Total Value]]-Inventory[[#This Row],[24Final]])/Inventory[[#This Row],[24Final]]</f>
        <v>2.9736618521665252E-2</v>
      </c>
      <c r="BG883" s="25">
        <f>VLOOKUP(Inventory[[#This Row],[Nbhd]],Lookups!$Q$2:$T$4,4,FALSE)</f>
        <v>0.99970000000000003</v>
      </c>
      <c r="BH883" s="25">
        <f>VLOOKUP(Inventory[[#This Row],[Qlty]],Lookups!$O$7:$R$21,4,FALSE)</f>
        <v>0.98050000000000004</v>
      </c>
      <c r="BI883" s="25">
        <f>VLOOKUP(Inventory[[#This Row],[Cnd]],Lookups!$T$7:$W$16,4,FALSE)</f>
        <v>0.99729999999999996</v>
      </c>
      <c r="BJ883" s="25">
        <f>VLOOKUP(Inventory[[#This Row],[LivArea Range]],Lookups!$T$25:$W$37,4,FALSE)</f>
        <v>0.98919999999999997</v>
      </c>
      <c r="BK883" s="25">
        <f>VLOOKUP(Inventory[[#This Row],[Decade]],Lookups!$O$25:$R$42,4,FALSE)</f>
        <v>0.995</v>
      </c>
      <c r="BL883" s="25">
        <f>Inventory[[#This Row],[Nbhd Adj]]*0.95</f>
        <v>0.94971499999999998</v>
      </c>
      <c r="BM883" s="25">
        <f>Inventory[[#This Row],[Nbhd Adj]]*Inventory[[#This Row],[Quality Adj]]*Inventory[[#This Row],[Condition Adj]]*Inventory[[#This Row],[Living Area Adj]]*Inventory[[#This Row],[Decade Adj]]*0.95</f>
        <v>0.91405831328052556</v>
      </c>
      <c r="BN883" s="25">
        <f>ROUND(SUM(Inventory[[#This Row],[Mdl Qlty]:[Mdl WdDeck]])+Inventory[[#This Row],[Mdl Res Intercept]]*Inventory[[#This Row],[Res Adj ]],-2)</f>
        <v>316400</v>
      </c>
      <c r="BO883" s="25">
        <f>ROUND(Inventory[[#This Row],[25Det]]*Inventory[[#This Row],[Det/Nbhd Adj]],-2)</f>
        <v>0</v>
      </c>
      <c r="BP883" s="25">
        <f>Inventory[[#This Row],[Adjusted Res]]+Inventory[[#This Row],[Adj Det ]]</f>
        <v>316400</v>
      </c>
      <c r="BQ883" s="25">
        <f>ROUND((Inventory[[#This Row],[Mdl Land Intercept]]+Inventory[[#This Row],[Mdl LnAcres]])*Inventory[[#This Row],[Det/Nbhd Adj]],-2)</f>
        <v>44800</v>
      </c>
      <c r="BR883" s="25">
        <f>Inventory[[#This Row],[Adjusted Impr Total]]+Inventory[[#This Row],[Adjusted Land Total]]</f>
        <v>361200</v>
      </c>
      <c r="BS883" s="36">
        <f>IFERROR((Inventory[[#This Row],[Adjusted Impr Total]]-Inventory[[#This Row],[24Bldg]])/Inventory[[#This Row],[24Bldg]],0)</f>
        <v>0.10823117338003503</v>
      </c>
      <c r="BT883" s="36">
        <f>(Inventory[[#This Row],[Adjusted Land Total]]-Inventory[[#This Row],[24Lnd]])/Inventory[[#This Row],[24Lnd]]</f>
        <v>-0.33727810650887574</v>
      </c>
      <c r="BU883" s="36">
        <f>(Inventory[[#This Row],[Adjusted Total]]-Inventory[[#This Row],[24Final]])/Inventory[[#This Row],[24Final]]</f>
        <v>2.2939677145284623E-2</v>
      </c>
    </row>
    <row r="884" spans="1:73" x14ac:dyDescent="0.3">
      <c r="A884" s="25">
        <v>2025</v>
      </c>
      <c r="B884" s="26" t="s">
        <v>2190</v>
      </c>
      <c r="C884" s="26">
        <f>LN(Inventory[[#This Row],[Acres]])</f>
        <v>-1.8325814637483102</v>
      </c>
      <c r="D884" s="25">
        <v>0.16</v>
      </c>
      <c r="E884" s="25">
        <v>7070</v>
      </c>
      <c r="F884" s="26" t="s">
        <v>537</v>
      </c>
      <c r="G884" s="26" t="s">
        <v>126</v>
      </c>
      <c r="H884" s="26" t="s">
        <v>349</v>
      </c>
      <c r="I884" s="26" t="s">
        <v>538</v>
      </c>
      <c r="J884" s="26" t="s">
        <v>539</v>
      </c>
      <c r="K884" s="26" t="s">
        <v>173</v>
      </c>
      <c r="L884" s="26" t="s">
        <v>148</v>
      </c>
      <c r="M884" s="26" t="s">
        <v>206</v>
      </c>
      <c r="N884" s="26">
        <v>80</v>
      </c>
      <c r="O884" s="26">
        <f>2024-Inventory[[#This Row],[YrBlt]]</f>
        <v>74</v>
      </c>
      <c r="P884" s="26">
        <f>2024-Inventory[[#This Row],[EffYr]]</f>
        <v>51</v>
      </c>
      <c r="Q884" s="25">
        <v>1950</v>
      </c>
      <c r="R884" s="25">
        <v>1973</v>
      </c>
      <c r="S884" s="25">
        <v>884</v>
      </c>
      <c r="T884" s="32">
        <v>768</v>
      </c>
      <c r="U884" s="25">
        <v>777</v>
      </c>
      <c r="V884" s="25">
        <f>Inventory[[#This Row],[Bsmt]]-Inventory[[#This Row],[FnBsmt]]</f>
        <v>0</v>
      </c>
      <c r="W884" s="25">
        <v>777</v>
      </c>
      <c r="X884" s="27"/>
      <c r="Y884" s="27">
        <f>Inventory[[#This Row],[MainFn]]+Inventory[[#This Row],[UpprFn]]+Inventory[[#This Row],[FnBsmt]]+Inventory[[#This Row],[AddFn]]</f>
        <v>2429</v>
      </c>
      <c r="Z884" s="27">
        <v>2500</v>
      </c>
      <c r="AA884" s="25">
        <v>10</v>
      </c>
      <c r="AB884" s="27"/>
      <c r="AC884" s="27"/>
      <c r="AD884" s="27"/>
      <c r="AE884" s="27"/>
      <c r="AF884" s="27"/>
      <c r="AG884" s="27"/>
      <c r="AH884" s="27"/>
      <c r="AI884" s="25">
        <v>396733</v>
      </c>
      <c r="AJ884" s="25">
        <v>265811</v>
      </c>
      <c r="AK884" s="25">
        <v>5008</v>
      </c>
      <c r="AL884" s="25">
        <v>332500</v>
      </c>
      <c r="AM884" s="25">
        <v>50600</v>
      </c>
      <c r="AN884" s="25">
        <v>281900</v>
      </c>
      <c r="AO884" s="25">
        <v>0</v>
      </c>
      <c r="AP884" s="25">
        <f>Lookups!$B$56*0</f>
        <v>0</v>
      </c>
      <c r="AQ884" s="25">
        <f>Lookups!$B$56*1</f>
        <v>89850.625589999996</v>
      </c>
      <c r="AR884" s="25">
        <f>Lookups!$B$57*Inventory[[#This Row],[LnAcres]]</f>
        <v>-58009.662049032086</v>
      </c>
      <c r="AS884" s="25">
        <f>VLOOKUP(Inventory[[#This Row],[Qlty]],Lookups!$A$62:$E$75,2,FALSE)</f>
        <v>44121.038090000002</v>
      </c>
      <c r="AT884" s="25">
        <f>VLOOKUP(Inventory[[#This Row],[Cnd]],Lookups!$A$76:$E$84,2,FALSE)</f>
        <v>133714.53821</v>
      </c>
      <c r="AU884" s="25">
        <f>Inventory[[#This Row],[EffAge]]*Lookups!$B$85</f>
        <v>-11375.3256255</v>
      </c>
      <c r="AV884" s="25">
        <f>Inventory[[#This Row],[MainFn]]*Lookups!$B$86</f>
        <v>43677.264171267998</v>
      </c>
      <c r="AW884" s="25">
        <f>Inventory[[#This Row],[UpprFn]]*Lookups!$B$87</f>
        <v>34395.972757247997</v>
      </c>
      <c r="AX884" s="25">
        <f>Inventory[[#This Row],[AddFn]]*Lookups!$B$88</f>
        <v>0</v>
      </c>
      <c r="AY884" s="25">
        <f>Inventory[[#This Row],[Bsmt]]*Lookups!$B$89</f>
        <v>22596.632606919</v>
      </c>
      <c r="AZ884" s="25">
        <f>Inventory[[#This Row],[Fixtures]]*Lookups!$B$90</f>
        <v>37920.221052000001</v>
      </c>
      <c r="BA884" s="25">
        <f>Inventory[[#This Row],[WdDeck]]*Lookups!$B$91</f>
        <v>0</v>
      </c>
      <c r="BB884" s="25">
        <f>ROUND(Inventory[[#This Row],[25Det]],-2)</f>
        <v>5000</v>
      </c>
      <c r="BC884" s="25">
        <f>ROUND(SUM(Inventory[[#This Row],[Mdl Qlty]:[Mdl WdDeck]])+Inventory[[#This Row],[Mdl Res Intercept]],-2)</f>
        <v>305100</v>
      </c>
      <c r="BD884" s="25">
        <f>ROUND(Inventory[[#This Row],[Mdl Land Intercept]]+Inventory[[#This Row],[Mdl LnAcres]],-2)</f>
        <v>31800</v>
      </c>
      <c r="BE884" s="25">
        <f>Inventory[[#This Row],[Unadj Res Value]]+Inventory[[#This Row],[Unadj Det Value]]+Inventory[[#This Row],[Unadj Land Value]]</f>
        <v>341900</v>
      </c>
      <c r="BF884" s="36">
        <f>(Inventory[[#This Row],[Unadj Total Value]]-Inventory[[#This Row],[24Final]])/Inventory[[#This Row],[24Final]]</f>
        <v>2.8270676691729325E-2</v>
      </c>
      <c r="BG884" s="25">
        <f>VLOOKUP(Inventory[[#This Row],[Nbhd]],Lookups!$Q$2:$T$4,4,FALSE)</f>
        <v>0.99970000000000003</v>
      </c>
      <c r="BH884" s="25">
        <f>VLOOKUP(Inventory[[#This Row],[Qlty]],Lookups!$O$7:$R$21,4,FALSE)</f>
        <v>0.98050000000000004</v>
      </c>
      <c r="BI884" s="25">
        <f>VLOOKUP(Inventory[[#This Row],[Cnd]],Lookups!$T$7:$W$16,4,FALSE)</f>
        <v>0.99329999999999996</v>
      </c>
      <c r="BJ884" s="25">
        <f>VLOOKUP(Inventory[[#This Row],[LivArea Range]],Lookups!$T$25:$W$37,4,FALSE)</f>
        <v>0.98919999999999997</v>
      </c>
      <c r="BK884" s="25">
        <f>VLOOKUP(Inventory[[#This Row],[Decade]],Lookups!$O$25:$R$42,4,FALSE)</f>
        <v>0.995</v>
      </c>
      <c r="BL884" s="25">
        <f>Inventory[[#This Row],[Nbhd Adj]]*0.95</f>
        <v>0.94971499999999998</v>
      </c>
      <c r="BM884" s="25">
        <f>Inventory[[#This Row],[Nbhd Adj]]*Inventory[[#This Row],[Quality Adj]]*Inventory[[#This Row],[Condition Adj]]*Inventory[[#This Row],[Living Area Adj]]*Inventory[[#This Row],[Decade Adj]]*0.95</f>
        <v>0.91039218147151924</v>
      </c>
      <c r="BN884" s="25">
        <f>ROUND(SUM(Inventory[[#This Row],[Mdl Qlty]:[Mdl WdDeck]])+Inventory[[#This Row],[Mdl Res Intercept]]*Inventory[[#This Row],[Res Adj ]],-2)</f>
        <v>305100</v>
      </c>
      <c r="BO884" s="25">
        <f>ROUND(Inventory[[#This Row],[25Det]]*Inventory[[#This Row],[Det/Nbhd Adj]],-2)</f>
        <v>4800</v>
      </c>
      <c r="BP884" s="25">
        <f>Inventory[[#This Row],[Adjusted Res]]+Inventory[[#This Row],[Adj Det ]]</f>
        <v>309900</v>
      </c>
      <c r="BQ884" s="25">
        <f>ROUND((Inventory[[#This Row],[Mdl Land Intercept]]+Inventory[[#This Row],[Mdl LnAcres]])*Inventory[[#This Row],[Det/Nbhd Adj]],-2)</f>
        <v>30200</v>
      </c>
      <c r="BR884" s="25">
        <f>Inventory[[#This Row],[Adjusted Impr Total]]+Inventory[[#This Row],[Adjusted Land Total]]</f>
        <v>340100</v>
      </c>
      <c r="BS884" s="36">
        <f>IFERROR((Inventory[[#This Row],[Adjusted Impr Total]]-Inventory[[#This Row],[24Bldg]])/Inventory[[#This Row],[24Bldg]],0)</f>
        <v>9.9326002128414331E-2</v>
      </c>
      <c r="BT884" s="36">
        <f>(Inventory[[#This Row],[Adjusted Land Total]]-Inventory[[#This Row],[24Lnd]])/Inventory[[#This Row],[24Lnd]]</f>
        <v>-0.40316205533596838</v>
      </c>
      <c r="BU884" s="36">
        <f>(Inventory[[#This Row],[Adjusted Total]]-Inventory[[#This Row],[24Final]])/Inventory[[#This Row],[24Final]]</f>
        <v>2.2857142857142857E-2</v>
      </c>
    </row>
    <row r="885" spans="1:73" x14ac:dyDescent="0.3">
      <c r="A885" s="25">
        <v>2025</v>
      </c>
      <c r="B885" s="26" t="s">
        <v>775</v>
      </c>
      <c r="C885" s="26">
        <f>LN(Inventory[[#This Row],[Acres]])</f>
        <v>-1.7719568419318752</v>
      </c>
      <c r="D885" s="25">
        <v>0.17</v>
      </c>
      <c r="E885" s="25">
        <v>7617</v>
      </c>
      <c r="F885" s="26" t="s">
        <v>537</v>
      </c>
      <c r="G885" s="26" t="s">
        <v>126</v>
      </c>
      <c r="H885" s="26" t="s">
        <v>349</v>
      </c>
      <c r="I885" s="26" t="s">
        <v>538</v>
      </c>
      <c r="J885" s="26" t="s">
        <v>539</v>
      </c>
      <c r="K885" s="26" t="s">
        <v>241</v>
      </c>
      <c r="L885" s="26" t="s">
        <v>351</v>
      </c>
      <c r="M885" s="26" t="s">
        <v>323</v>
      </c>
      <c r="N885" s="26">
        <v>80</v>
      </c>
      <c r="O885" s="26">
        <f>2024-Inventory[[#This Row],[YrBlt]]</f>
        <v>74</v>
      </c>
      <c r="P885" s="26">
        <f>2024-Inventory[[#This Row],[EffYr]]</f>
        <v>51</v>
      </c>
      <c r="Q885" s="25">
        <v>1950</v>
      </c>
      <c r="R885" s="25">
        <v>1973</v>
      </c>
      <c r="S885" s="25">
        <v>1206</v>
      </c>
      <c r="T885" s="27"/>
      <c r="U885" s="25">
        <v>1206</v>
      </c>
      <c r="V885" s="25">
        <f>Inventory[[#This Row],[Bsmt]]-Inventory[[#This Row],[FnBsmt]]</f>
        <v>0</v>
      </c>
      <c r="W885" s="25">
        <v>1206</v>
      </c>
      <c r="X885" s="27"/>
      <c r="Y885" s="27">
        <f>Inventory[[#This Row],[MainFn]]+Inventory[[#This Row],[UpprFn]]+Inventory[[#This Row],[FnBsmt]]+Inventory[[#This Row],[AddFn]]</f>
        <v>2412</v>
      </c>
      <c r="Z885" s="27">
        <v>2500</v>
      </c>
      <c r="AA885" s="25">
        <v>7</v>
      </c>
      <c r="AB885" s="32">
        <v>231</v>
      </c>
      <c r="AC885" s="27"/>
      <c r="AD885" s="32">
        <v>224</v>
      </c>
      <c r="AE885" s="27"/>
      <c r="AF885" s="27"/>
      <c r="AG885" s="27"/>
      <c r="AH885" s="27"/>
      <c r="AI885" s="25">
        <v>322353</v>
      </c>
      <c r="AJ885" s="25">
        <v>222424</v>
      </c>
      <c r="AK885" s="25">
        <v>0</v>
      </c>
      <c r="AL885" s="25">
        <v>324200</v>
      </c>
      <c r="AM885" s="25">
        <v>52700</v>
      </c>
      <c r="AN885" s="25">
        <v>271500</v>
      </c>
      <c r="AO885" s="25">
        <v>0</v>
      </c>
      <c r="AP885" s="25">
        <f>Lookups!$B$56*0</f>
        <v>0</v>
      </c>
      <c r="AQ885" s="25">
        <f>Lookups!$B$56*1</f>
        <v>89850.625589999996</v>
      </c>
      <c r="AR885" s="25">
        <f>Lookups!$B$57*Inventory[[#This Row],[LnAcres]]</f>
        <v>-56090.612940989391</v>
      </c>
      <c r="AS885" s="25">
        <f>VLOOKUP(Inventory[[#This Row],[Qlty]],Lookups!$A$62:$E$75,2,FALSE)</f>
        <v>21557.329055999999</v>
      </c>
      <c r="AT885" s="25">
        <f>VLOOKUP(Inventory[[#This Row],[Cnd]],Lookups!$A$76:$E$84,2,FALSE)</f>
        <v>160472.20319</v>
      </c>
      <c r="AU885" s="25">
        <f>Inventory[[#This Row],[EffAge]]*Lookups!$B$85</f>
        <v>-11375.3256255</v>
      </c>
      <c r="AV885" s="25">
        <f>Inventory[[#This Row],[MainFn]]*Lookups!$B$86</f>
        <v>59586.855871662003</v>
      </c>
      <c r="AW885" s="25">
        <f>Inventory[[#This Row],[UpprFn]]*Lookups!$B$87</f>
        <v>0</v>
      </c>
      <c r="AX885" s="25">
        <f>Inventory[[#This Row],[AddFn]]*Lookups!$B$88</f>
        <v>0</v>
      </c>
      <c r="AY885" s="25">
        <f>Inventory[[#This Row],[Bsmt]]*Lookups!$B$89</f>
        <v>35072.765667881999</v>
      </c>
      <c r="AZ885" s="25">
        <f>Inventory[[#This Row],[Fixtures]]*Lookups!$B$90</f>
        <v>26544.1547364</v>
      </c>
      <c r="BA885" s="25">
        <f>Inventory[[#This Row],[WdDeck]]*Lookups!$B$91</f>
        <v>7458.1954218240007</v>
      </c>
      <c r="BB885" s="25">
        <f>ROUND(Inventory[[#This Row],[25Det]],-2)</f>
        <v>0</v>
      </c>
      <c r="BC885" s="25">
        <f>ROUND(SUM(Inventory[[#This Row],[Mdl Qlty]:[Mdl WdDeck]])+Inventory[[#This Row],[Mdl Res Intercept]],-2)</f>
        <v>299300</v>
      </c>
      <c r="BD885" s="25">
        <f>ROUND(Inventory[[#This Row],[Mdl Land Intercept]]+Inventory[[#This Row],[Mdl LnAcres]],-2)</f>
        <v>33800</v>
      </c>
      <c r="BE885" s="25">
        <f>Inventory[[#This Row],[Unadj Res Value]]+Inventory[[#This Row],[Unadj Det Value]]+Inventory[[#This Row],[Unadj Land Value]]</f>
        <v>333100</v>
      </c>
      <c r="BF885" s="36">
        <f>(Inventory[[#This Row],[Unadj Total Value]]-Inventory[[#This Row],[24Final]])/Inventory[[#This Row],[24Final]]</f>
        <v>2.7452190006169032E-2</v>
      </c>
      <c r="BG885" s="25">
        <f>VLOOKUP(Inventory[[#This Row],[Nbhd]],Lookups!$Q$2:$T$4,4,FALSE)</f>
        <v>0.99970000000000003</v>
      </c>
      <c r="BH885" s="25">
        <f>VLOOKUP(Inventory[[#This Row],[Qlty]],Lookups!$O$7:$R$21,4,FALSE)</f>
        <v>1.0067999999999999</v>
      </c>
      <c r="BI885" s="25">
        <f>VLOOKUP(Inventory[[#This Row],[Cnd]],Lookups!$T$7:$W$16,4,FALSE)</f>
        <v>0.99729999999999996</v>
      </c>
      <c r="BJ885" s="25">
        <f>VLOOKUP(Inventory[[#This Row],[LivArea Range]],Lookups!$T$25:$W$37,4,FALSE)</f>
        <v>0.98919999999999997</v>
      </c>
      <c r="BK885" s="25">
        <f>VLOOKUP(Inventory[[#This Row],[Decade]],Lookups!$O$25:$R$42,4,FALSE)</f>
        <v>0.995</v>
      </c>
      <c r="BL885" s="25">
        <f>Inventory[[#This Row],[Nbhd Adj]]*0.95</f>
        <v>0.94971499999999998</v>
      </c>
      <c r="BM885" s="25">
        <f>Inventory[[#This Row],[Nbhd Adj]]*Inventory[[#This Row],[Quality Adj]]*Inventory[[#This Row],[Condition Adj]]*Inventory[[#This Row],[Living Area Adj]]*Inventory[[#This Row],[Decade Adj]]*0.95</f>
        <v>0.93857614463114025</v>
      </c>
      <c r="BN885" s="25">
        <f>ROUND(SUM(Inventory[[#This Row],[Mdl Qlty]:[Mdl WdDeck]])+Inventory[[#This Row],[Mdl Res Intercept]]*Inventory[[#This Row],[Res Adj ]],-2)</f>
        <v>299300</v>
      </c>
      <c r="BO885" s="25">
        <f>ROUND(Inventory[[#This Row],[25Det]]*Inventory[[#This Row],[Det/Nbhd Adj]],-2)</f>
        <v>0</v>
      </c>
      <c r="BP885" s="25">
        <f>Inventory[[#This Row],[Adjusted Res]]+Inventory[[#This Row],[Adj Det ]]</f>
        <v>299300</v>
      </c>
      <c r="BQ885" s="25">
        <f>ROUND((Inventory[[#This Row],[Mdl Land Intercept]]+Inventory[[#This Row],[Mdl LnAcres]])*Inventory[[#This Row],[Det/Nbhd Adj]],-2)</f>
        <v>32100</v>
      </c>
      <c r="BR885" s="25">
        <f>Inventory[[#This Row],[Adjusted Impr Total]]+Inventory[[#This Row],[Adjusted Land Total]]</f>
        <v>331400</v>
      </c>
      <c r="BS885" s="36">
        <f>IFERROR((Inventory[[#This Row],[Adjusted Impr Total]]-Inventory[[#This Row],[24Bldg]])/Inventory[[#This Row],[24Bldg]],0)</f>
        <v>0.10239410681399631</v>
      </c>
      <c r="BT885" s="36">
        <f>(Inventory[[#This Row],[Adjusted Land Total]]-Inventory[[#This Row],[24Lnd]])/Inventory[[#This Row],[24Lnd]]</f>
        <v>-0.39089184060721061</v>
      </c>
      <c r="BU885" s="36">
        <f>(Inventory[[#This Row],[Adjusted Total]]-Inventory[[#This Row],[24Final]])/Inventory[[#This Row],[24Final]]</f>
        <v>2.2208513263417645E-2</v>
      </c>
    </row>
    <row r="886" spans="1:73" x14ac:dyDescent="0.3">
      <c r="A886" s="25">
        <v>2025</v>
      </c>
      <c r="B886" s="26" t="s">
        <v>2028</v>
      </c>
      <c r="C886" s="26">
        <f>LN(Inventory[[#This Row],[Acres]])</f>
        <v>-1.3862943611198906</v>
      </c>
      <c r="D886" s="25">
        <v>0.25</v>
      </c>
      <c r="E886" s="31"/>
      <c r="F886" s="26" t="s">
        <v>537</v>
      </c>
      <c r="G886" s="26" t="s">
        <v>126</v>
      </c>
      <c r="H886" s="26" t="s">
        <v>349</v>
      </c>
      <c r="I886" s="26" t="s">
        <v>538</v>
      </c>
      <c r="J886" s="26" t="s">
        <v>539</v>
      </c>
      <c r="K886" s="26" t="s">
        <v>241</v>
      </c>
      <c r="L886" s="26" t="s">
        <v>302</v>
      </c>
      <c r="M886" s="26" t="s">
        <v>323</v>
      </c>
      <c r="N886" s="26">
        <v>80</v>
      </c>
      <c r="O886" s="26">
        <f>2024-Inventory[[#This Row],[YrBlt]]</f>
        <v>74</v>
      </c>
      <c r="P886" s="26">
        <f>2024-Inventory[[#This Row],[EffYr]]</f>
        <v>51</v>
      </c>
      <c r="Q886" s="25">
        <v>1950</v>
      </c>
      <c r="R886" s="25">
        <v>1973</v>
      </c>
      <c r="S886" s="25">
        <v>1369</v>
      </c>
      <c r="T886" s="27"/>
      <c r="U886" s="31"/>
      <c r="V886" s="27">
        <f>Inventory[[#This Row],[Bsmt]]-Inventory[[#This Row],[FnBsmt]]</f>
        <v>0</v>
      </c>
      <c r="W886" s="27"/>
      <c r="X886" s="27"/>
      <c r="Y886" s="27">
        <f>Inventory[[#This Row],[MainFn]]+Inventory[[#This Row],[UpprFn]]+Inventory[[#This Row],[FnBsmt]]+Inventory[[#This Row],[AddFn]]</f>
        <v>1369</v>
      </c>
      <c r="Z886" s="27">
        <v>1500</v>
      </c>
      <c r="AA886" s="25">
        <v>8</v>
      </c>
      <c r="AB886" s="27"/>
      <c r="AC886" s="27"/>
      <c r="AD886" s="27"/>
      <c r="AE886" s="27"/>
      <c r="AF886" s="27"/>
      <c r="AG886" s="27"/>
      <c r="AH886" s="27"/>
      <c r="AI886" s="25">
        <v>265199</v>
      </c>
      <c r="AJ886" s="25">
        <v>182987</v>
      </c>
      <c r="AK886" s="25">
        <v>7565</v>
      </c>
      <c r="AL886" s="25">
        <v>320800</v>
      </c>
      <c r="AM886" s="25">
        <v>66200</v>
      </c>
      <c r="AN886" s="25">
        <v>254600</v>
      </c>
      <c r="AO886" s="25">
        <v>0</v>
      </c>
      <c r="AP886" s="25">
        <f>Lookups!$B$56*0</f>
        <v>0</v>
      </c>
      <c r="AQ886" s="25">
        <f>Lookups!$B$56*1</f>
        <v>89850.625589999996</v>
      </c>
      <c r="AR886" s="25">
        <f>Lookups!$B$57*Inventory[[#This Row],[LnAcres]]</f>
        <v>-43882.615305165229</v>
      </c>
      <c r="AS886" s="25">
        <f>VLOOKUP(Inventory[[#This Row],[Qlty]],Lookups!$A$62:$E$75,2,FALSE)</f>
        <v>29814.093161000001</v>
      </c>
      <c r="AT886" s="25">
        <f>VLOOKUP(Inventory[[#This Row],[Cnd]],Lookups!$A$76:$E$84,2,FALSE)</f>
        <v>160472.20319</v>
      </c>
      <c r="AU886" s="25">
        <f>Inventory[[#This Row],[EffAge]]*Lookups!$B$85</f>
        <v>-11375.3256255</v>
      </c>
      <c r="AV886" s="25">
        <f>Inventory[[#This Row],[MainFn]]*Lookups!$B$86</f>
        <v>67640.469061612996</v>
      </c>
      <c r="AW886" s="25">
        <f>Inventory[[#This Row],[UpprFn]]*Lookups!$B$87</f>
        <v>0</v>
      </c>
      <c r="AX886" s="25">
        <f>Inventory[[#This Row],[AddFn]]*Lookups!$B$88</f>
        <v>0</v>
      </c>
      <c r="AY886" s="25">
        <f>Inventory[[#This Row],[Bsmt]]*Lookups!$B$89</f>
        <v>0</v>
      </c>
      <c r="AZ886" s="25">
        <f>Inventory[[#This Row],[Fixtures]]*Lookups!$B$90</f>
        <v>30336.176841600001</v>
      </c>
      <c r="BA886" s="25">
        <f>Inventory[[#This Row],[WdDeck]]*Lookups!$B$91</f>
        <v>0</v>
      </c>
      <c r="BB886" s="25">
        <f>ROUND(Inventory[[#This Row],[25Det]],-2)</f>
        <v>7600</v>
      </c>
      <c r="BC886" s="25">
        <f>ROUND(SUM(Inventory[[#This Row],[Mdl Qlty]:[Mdl WdDeck]])+Inventory[[#This Row],[Mdl Res Intercept]],-2)</f>
        <v>276900</v>
      </c>
      <c r="BD886" s="25">
        <f>ROUND(Inventory[[#This Row],[Mdl Land Intercept]]+Inventory[[#This Row],[Mdl LnAcres]],-2)</f>
        <v>46000</v>
      </c>
      <c r="BE886" s="25">
        <f>Inventory[[#This Row],[Unadj Res Value]]+Inventory[[#This Row],[Unadj Det Value]]+Inventory[[#This Row],[Unadj Land Value]]</f>
        <v>330500</v>
      </c>
      <c r="BF886" s="36">
        <f>(Inventory[[#This Row],[Unadj Total Value]]-Inventory[[#This Row],[24Final]])/Inventory[[#This Row],[24Final]]</f>
        <v>3.0236907730673317E-2</v>
      </c>
      <c r="BG886" s="25">
        <f>VLOOKUP(Inventory[[#This Row],[Nbhd]],Lookups!$Q$2:$T$4,4,FALSE)</f>
        <v>0.99970000000000003</v>
      </c>
      <c r="BH886" s="25">
        <f>VLOOKUP(Inventory[[#This Row],[Qlty]],Lookups!$O$7:$R$21,4,FALSE)</f>
        <v>1.0088999999999999</v>
      </c>
      <c r="BI886" s="25">
        <f>VLOOKUP(Inventory[[#This Row],[Cnd]],Lookups!$T$7:$W$16,4,FALSE)</f>
        <v>0.99729999999999996</v>
      </c>
      <c r="BJ886" s="25">
        <f>VLOOKUP(Inventory[[#This Row],[LivArea Range]],Lookups!$T$25:$W$37,4,FALSE)</f>
        <v>1.0157</v>
      </c>
      <c r="BK886" s="25">
        <f>VLOOKUP(Inventory[[#This Row],[Decade]],Lookups!$O$25:$R$42,4,FALSE)</f>
        <v>0.995</v>
      </c>
      <c r="BL886" s="25">
        <f>Inventory[[#This Row],[Nbhd Adj]]*0.95</f>
        <v>0.94971499999999998</v>
      </c>
      <c r="BM886" s="25">
        <f>Inventory[[#This Row],[Nbhd Adj]]*Inventory[[#This Row],[Quality Adj]]*Inventory[[#This Row],[Condition Adj]]*Inventory[[#This Row],[Living Area Adj]]*Inventory[[#This Row],[Decade Adj]]*0.95</f>
        <v>0.96573010868768849</v>
      </c>
      <c r="BN886" s="25">
        <f>ROUND(SUM(Inventory[[#This Row],[Mdl Qlty]:[Mdl WdDeck]])+Inventory[[#This Row],[Mdl Res Intercept]]*Inventory[[#This Row],[Res Adj ]],-2)</f>
        <v>276900</v>
      </c>
      <c r="BO886" s="25">
        <f>ROUND(Inventory[[#This Row],[25Det]]*Inventory[[#This Row],[Det/Nbhd Adj]],-2)</f>
        <v>7200</v>
      </c>
      <c r="BP886" s="25">
        <f>Inventory[[#This Row],[Adjusted Res]]+Inventory[[#This Row],[Adj Det ]]</f>
        <v>284100</v>
      </c>
      <c r="BQ886" s="25">
        <f>ROUND((Inventory[[#This Row],[Mdl Land Intercept]]+Inventory[[#This Row],[Mdl LnAcres]])*Inventory[[#This Row],[Det/Nbhd Adj]],-2)</f>
        <v>43700</v>
      </c>
      <c r="BR886" s="25">
        <f>Inventory[[#This Row],[Adjusted Impr Total]]+Inventory[[#This Row],[Adjusted Land Total]]</f>
        <v>327800</v>
      </c>
      <c r="BS886" s="36">
        <f>IFERROR((Inventory[[#This Row],[Adjusted Impr Total]]-Inventory[[#This Row],[24Bldg]])/Inventory[[#This Row],[24Bldg]],0)</f>
        <v>0.11586802827965435</v>
      </c>
      <c r="BT886" s="36">
        <f>(Inventory[[#This Row],[Adjusted Land Total]]-Inventory[[#This Row],[24Lnd]])/Inventory[[#This Row],[24Lnd]]</f>
        <v>-0.33987915407854985</v>
      </c>
      <c r="BU886" s="36">
        <f>(Inventory[[#This Row],[Adjusted Total]]-Inventory[[#This Row],[24Final]])/Inventory[[#This Row],[24Final]]</f>
        <v>2.1820448877805487E-2</v>
      </c>
    </row>
    <row r="887" spans="1:73" x14ac:dyDescent="0.3">
      <c r="A887" s="25">
        <v>2025</v>
      </c>
      <c r="B887" s="26" t="s">
        <v>1751</v>
      </c>
      <c r="C887" s="26">
        <f>LN(Inventory[[#This Row],[Acres]])</f>
        <v>-1.6094379124341003</v>
      </c>
      <c r="D887" s="25">
        <v>0.2</v>
      </c>
      <c r="E887" s="31"/>
      <c r="F887" s="26" t="s">
        <v>537</v>
      </c>
      <c r="G887" s="26" t="s">
        <v>126</v>
      </c>
      <c r="H887" s="26" t="s">
        <v>349</v>
      </c>
      <c r="I887" s="26" t="s">
        <v>538</v>
      </c>
      <c r="J887" s="26" t="s">
        <v>539</v>
      </c>
      <c r="K887" s="26" t="s">
        <v>241</v>
      </c>
      <c r="L887" s="26" t="s">
        <v>205</v>
      </c>
      <c r="M887" s="26" t="s">
        <v>323</v>
      </c>
      <c r="N887" s="26">
        <v>80</v>
      </c>
      <c r="O887" s="26">
        <f>2024-Inventory[[#This Row],[YrBlt]]</f>
        <v>74</v>
      </c>
      <c r="P887" s="26">
        <f>2024-Inventory[[#This Row],[EffYr]]</f>
        <v>51</v>
      </c>
      <c r="Q887" s="25">
        <v>1950</v>
      </c>
      <c r="R887" s="25">
        <v>1973</v>
      </c>
      <c r="S887" s="25">
        <v>1142</v>
      </c>
      <c r="T887" s="27"/>
      <c r="U887" s="25">
        <v>1148</v>
      </c>
      <c r="V887" s="25">
        <f>Inventory[[#This Row],[Bsmt]]-Inventory[[#This Row],[FnBsmt]]</f>
        <v>574</v>
      </c>
      <c r="W887" s="25">
        <v>574</v>
      </c>
      <c r="X887" s="27"/>
      <c r="Y887" s="27">
        <f>Inventory[[#This Row],[MainFn]]+Inventory[[#This Row],[UpprFn]]+Inventory[[#This Row],[FnBsmt]]+Inventory[[#This Row],[AddFn]]</f>
        <v>1716</v>
      </c>
      <c r="Z887" s="27">
        <v>2000</v>
      </c>
      <c r="AA887" s="25">
        <v>8</v>
      </c>
      <c r="AB887" s="27"/>
      <c r="AC887" s="27"/>
      <c r="AD887" s="27"/>
      <c r="AE887" s="27"/>
      <c r="AF887" s="27"/>
      <c r="AG887" s="27"/>
      <c r="AH887" s="27"/>
      <c r="AI887" s="25">
        <v>241514</v>
      </c>
      <c r="AJ887" s="25">
        <v>166645</v>
      </c>
      <c r="AK887" s="25">
        <v>5831</v>
      </c>
      <c r="AL887" s="25">
        <v>305000</v>
      </c>
      <c r="AM887" s="25">
        <v>58400</v>
      </c>
      <c r="AN887" s="25">
        <v>246600</v>
      </c>
      <c r="AO887" s="25">
        <v>0</v>
      </c>
      <c r="AP887" s="25">
        <f>Lookups!$B$56*0</f>
        <v>0</v>
      </c>
      <c r="AQ887" s="25">
        <f>Lookups!$B$56*1</f>
        <v>89850.625589999996</v>
      </c>
      <c r="AR887" s="25">
        <f>Lookups!$B$57*Inventory[[#This Row],[LnAcres]]</f>
        <v>-50946.13867709865</v>
      </c>
      <c r="AS887" s="25">
        <f>VLOOKUP(Inventory[[#This Row],[Qlty]],Lookups!$A$62:$E$75,2,FALSE)</f>
        <v>0</v>
      </c>
      <c r="AT887" s="25">
        <f>VLOOKUP(Inventory[[#This Row],[Cnd]],Lookups!$A$76:$E$84,2,FALSE)</f>
        <v>160472.20319</v>
      </c>
      <c r="AU887" s="25">
        <f>Inventory[[#This Row],[EffAge]]*Lookups!$B$85</f>
        <v>-11375.3256255</v>
      </c>
      <c r="AV887" s="25">
        <f>Inventory[[#This Row],[MainFn]]*Lookups!$B$86</f>
        <v>56424.700999534005</v>
      </c>
      <c r="AW887" s="25">
        <f>Inventory[[#This Row],[UpprFn]]*Lookups!$B$87</f>
        <v>0</v>
      </c>
      <c r="AX887" s="25">
        <f>Inventory[[#This Row],[AddFn]]*Lookups!$B$88</f>
        <v>0</v>
      </c>
      <c r="AY887" s="25">
        <f>Inventory[[#This Row],[Bsmt]]*Lookups!$B$89</f>
        <v>33386.015743555996</v>
      </c>
      <c r="AZ887" s="25">
        <f>Inventory[[#This Row],[Fixtures]]*Lookups!$B$90</f>
        <v>30336.176841600001</v>
      </c>
      <c r="BA887" s="25">
        <f>Inventory[[#This Row],[WdDeck]]*Lookups!$B$91</f>
        <v>0</v>
      </c>
      <c r="BB887" s="25">
        <f>ROUND(Inventory[[#This Row],[25Det]],-2)</f>
        <v>5800</v>
      </c>
      <c r="BC887" s="25">
        <f>ROUND(SUM(Inventory[[#This Row],[Mdl Qlty]:[Mdl WdDeck]])+Inventory[[#This Row],[Mdl Res Intercept]],-2)</f>
        <v>269200</v>
      </c>
      <c r="BD887" s="25">
        <f>ROUND(Inventory[[#This Row],[Mdl Land Intercept]]+Inventory[[#This Row],[Mdl LnAcres]],-2)</f>
        <v>38900</v>
      </c>
      <c r="BE887" s="25">
        <f>Inventory[[#This Row],[Unadj Res Value]]+Inventory[[#This Row],[Unadj Det Value]]+Inventory[[#This Row],[Unadj Land Value]]</f>
        <v>313900</v>
      </c>
      <c r="BF887" s="36">
        <f>(Inventory[[#This Row],[Unadj Total Value]]-Inventory[[#This Row],[24Final]])/Inventory[[#This Row],[24Final]]</f>
        <v>2.9180327868852458E-2</v>
      </c>
      <c r="BG887" s="25">
        <f>VLOOKUP(Inventory[[#This Row],[Nbhd]],Lookups!$Q$2:$T$4,4,FALSE)</f>
        <v>0.99970000000000003</v>
      </c>
      <c r="BH887" s="25">
        <f>VLOOKUP(Inventory[[#This Row],[Qlty]],Lookups!$O$7:$R$21,4,FALSE)</f>
        <v>0.99180000000000001</v>
      </c>
      <c r="BI887" s="25">
        <f>VLOOKUP(Inventory[[#This Row],[Cnd]],Lookups!$T$7:$W$16,4,FALSE)</f>
        <v>0.99729999999999996</v>
      </c>
      <c r="BJ887" s="25">
        <f>VLOOKUP(Inventory[[#This Row],[LivArea Range]],Lookups!$T$25:$W$37,4,FALSE)</f>
        <v>1.0093000000000001</v>
      </c>
      <c r="BK887" s="25">
        <f>VLOOKUP(Inventory[[#This Row],[Decade]],Lookups!$O$25:$R$42,4,FALSE)</f>
        <v>0.995</v>
      </c>
      <c r="BL887" s="25">
        <f>Inventory[[#This Row],[Nbhd Adj]]*0.95</f>
        <v>0.94971499999999998</v>
      </c>
      <c r="BM887" s="25">
        <f>Inventory[[#This Row],[Nbhd Adj]]*Inventory[[#This Row],[Quality Adj]]*Inventory[[#This Row],[Condition Adj]]*Inventory[[#This Row],[Living Area Adj]]*Inventory[[#This Row],[Decade Adj]]*0.95</f>
        <v>0.94337980360062423</v>
      </c>
      <c r="BN887" s="25">
        <f>ROUND(SUM(Inventory[[#This Row],[Mdl Qlty]:[Mdl WdDeck]])+Inventory[[#This Row],[Mdl Res Intercept]]*Inventory[[#This Row],[Res Adj ]],-2)</f>
        <v>269200</v>
      </c>
      <c r="BO887" s="25">
        <f>ROUND(Inventory[[#This Row],[25Det]]*Inventory[[#This Row],[Det/Nbhd Adj]],-2)</f>
        <v>5500</v>
      </c>
      <c r="BP887" s="25">
        <f>Inventory[[#This Row],[Adjusted Res]]+Inventory[[#This Row],[Adj Det ]]</f>
        <v>274700</v>
      </c>
      <c r="BQ887" s="25">
        <f>ROUND((Inventory[[#This Row],[Mdl Land Intercept]]+Inventory[[#This Row],[Mdl LnAcres]])*Inventory[[#This Row],[Det/Nbhd Adj]],-2)</f>
        <v>36900</v>
      </c>
      <c r="BR887" s="25">
        <f>Inventory[[#This Row],[Adjusted Impr Total]]+Inventory[[#This Row],[Adjusted Land Total]]</f>
        <v>311600</v>
      </c>
      <c r="BS887" s="36">
        <f>IFERROR((Inventory[[#This Row],[Adjusted Impr Total]]-Inventory[[#This Row],[24Bldg]])/Inventory[[#This Row],[24Bldg]],0)</f>
        <v>0.11394971613949716</v>
      </c>
      <c r="BT887" s="36">
        <f>(Inventory[[#This Row],[Adjusted Land Total]]-Inventory[[#This Row],[24Lnd]])/Inventory[[#This Row],[24Lnd]]</f>
        <v>-0.36815068493150682</v>
      </c>
      <c r="BU887" s="36">
        <f>(Inventory[[#This Row],[Adjusted Total]]-Inventory[[#This Row],[24Final]])/Inventory[[#This Row],[24Final]]</f>
        <v>2.1639344262295083E-2</v>
      </c>
    </row>
    <row r="888" spans="1:73" x14ac:dyDescent="0.3">
      <c r="A888" s="25">
        <v>2025</v>
      </c>
      <c r="B888" s="26" t="s">
        <v>910</v>
      </c>
      <c r="C888" s="26">
        <f>LN(Inventory[[#This Row],[Acres]])</f>
        <v>-1.7719568419318752</v>
      </c>
      <c r="D888" s="25">
        <v>0.17</v>
      </c>
      <c r="E888" s="25">
        <v>7255</v>
      </c>
      <c r="F888" s="26" t="s">
        <v>537</v>
      </c>
      <c r="G888" s="26" t="s">
        <v>126</v>
      </c>
      <c r="H888" s="26" t="s">
        <v>349</v>
      </c>
      <c r="I888" s="26" t="s">
        <v>538</v>
      </c>
      <c r="J888" s="26" t="s">
        <v>539</v>
      </c>
      <c r="K888" s="26" t="s">
        <v>241</v>
      </c>
      <c r="L888" s="26" t="s">
        <v>205</v>
      </c>
      <c r="M888" s="26" t="s">
        <v>323</v>
      </c>
      <c r="N888" s="26">
        <v>80</v>
      </c>
      <c r="O888" s="26">
        <f>2024-Inventory[[#This Row],[YrBlt]]</f>
        <v>74</v>
      </c>
      <c r="P888" s="26">
        <f>2024-Inventory[[#This Row],[EffYr]]</f>
        <v>51</v>
      </c>
      <c r="Q888" s="25">
        <v>1950</v>
      </c>
      <c r="R888" s="25">
        <v>1973</v>
      </c>
      <c r="S888" s="25">
        <v>925</v>
      </c>
      <c r="T888" s="27"/>
      <c r="U888" s="31"/>
      <c r="V888" s="31">
        <f>Inventory[[#This Row],[Bsmt]]-Inventory[[#This Row],[FnBsmt]]</f>
        <v>0</v>
      </c>
      <c r="W888" s="31"/>
      <c r="X888" s="27"/>
      <c r="Y888" s="27">
        <f>Inventory[[#This Row],[MainFn]]+Inventory[[#This Row],[UpprFn]]+Inventory[[#This Row],[FnBsmt]]+Inventory[[#This Row],[AddFn]]</f>
        <v>925</v>
      </c>
      <c r="Z888" s="27">
        <v>1000</v>
      </c>
      <c r="AA888" s="25">
        <v>5</v>
      </c>
      <c r="AB888" s="32">
        <v>300</v>
      </c>
      <c r="AC888" s="27"/>
      <c r="AD888" s="27"/>
      <c r="AE888" s="27"/>
      <c r="AF888" s="27"/>
      <c r="AG888" s="27"/>
      <c r="AH888" s="27"/>
      <c r="AI888" s="25">
        <v>164144</v>
      </c>
      <c r="AJ888" s="25">
        <v>113259</v>
      </c>
      <c r="AK888" s="25">
        <v>0</v>
      </c>
      <c r="AL888" s="25">
        <v>241000</v>
      </c>
      <c r="AM888" s="25">
        <v>52700</v>
      </c>
      <c r="AN888" s="25">
        <v>188300</v>
      </c>
      <c r="AO888" s="25">
        <v>0</v>
      </c>
      <c r="AP888" s="25">
        <f>Lookups!$B$56*0</f>
        <v>0</v>
      </c>
      <c r="AQ888" s="25">
        <f>Lookups!$B$56*1</f>
        <v>89850.625589999996</v>
      </c>
      <c r="AR888" s="25">
        <f>Lookups!$B$57*Inventory[[#This Row],[LnAcres]]</f>
        <v>-56090.612940989391</v>
      </c>
      <c r="AS888" s="25">
        <f>VLOOKUP(Inventory[[#This Row],[Qlty]],Lookups!$A$62:$E$75,2,FALSE)</f>
        <v>0</v>
      </c>
      <c r="AT888" s="25">
        <f>VLOOKUP(Inventory[[#This Row],[Cnd]],Lookups!$A$76:$E$84,2,FALSE)</f>
        <v>160472.20319</v>
      </c>
      <c r="AU888" s="25">
        <f>Inventory[[#This Row],[EffAge]]*Lookups!$B$85</f>
        <v>-11375.3256255</v>
      </c>
      <c r="AV888" s="25">
        <f>Inventory[[#This Row],[MainFn]]*Lookups!$B$86</f>
        <v>45703.019636224999</v>
      </c>
      <c r="AW888" s="25">
        <f>Inventory[[#This Row],[UpprFn]]*Lookups!$B$87</f>
        <v>0</v>
      </c>
      <c r="AX888" s="25">
        <f>Inventory[[#This Row],[AddFn]]*Lookups!$B$88</f>
        <v>0</v>
      </c>
      <c r="AY888" s="25">
        <f>Inventory[[#This Row],[Bsmt]]*Lookups!$B$89</f>
        <v>0</v>
      </c>
      <c r="AZ888" s="25">
        <f>Inventory[[#This Row],[Fixtures]]*Lookups!$B$90</f>
        <v>18960.110526</v>
      </c>
      <c r="BA888" s="25">
        <f>Inventory[[#This Row],[WdDeck]]*Lookups!$B$91</f>
        <v>0</v>
      </c>
      <c r="BB888" s="25">
        <f>ROUND(Inventory[[#This Row],[25Det]],-2)</f>
        <v>0</v>
      </c>
      <c r="BC888" s="25">
        <f>ROUND(SUM(Inventory[[#This Row],[Mdl Qlty]:[Mdl WdDeck]])+Inventory[[#This Row],[Mdl Res Intercept]],-2)</f>
        <v>213800</v>
      </c>
      <c r="BD888" s="25">
        <f>ROUND(Inventory[[#This Row],[Mdl Land Intercept]]+Inventory[[#This Row],[Mdl LnAcres]],-2)</f>
        <v>33800</v>
      </c>
      <c r="BE888" s="25">
        <f>Inventory[[#This Row],[Unadj Res Value]]+Inventory[[#This Row],[Unadj Det Value]]+Inventory[[#This Row],[Unadj Land Value]]</f>
        <v>247600</v>
      </c>
      <c r="BF888" s="36">
        <f>(Inventory[[#This Row],[Unadj Total Value]]-Inventory[[#This Row],[24Final]])/Inventory[[#This Row],[24Final]]</f>
        <v>2.7385892116182572E-2</v>
      </c>
      <c r="BG888" s="25">
        <f>VLOOKUP(Inventory[[#This Row],[Nbhd]],Lookups!$Q$2:$T$4,4,FALSE)</f>
        <v>0.99970000000000003</v>
      </c>
      <c r="BH888" s="25">
        <f>VLOOKUP(Inventory[[#This Row],[Qlty]],Lookups!$O$7:$R$21,4,FALSE)</f>
        <v>0.99180000000000001</v>
      </c>
      <c r="BI888" s="25">
        <f>VLOOKUP(Inventory[[#This Row],[Cnd]],Lookups!$T$7:$W$16,4,FALSE)</f>
        <v>0.99729999999999996</v>
      </c>
      <c r="BJ888" s="25">
        <f>VLOOKUP(Inventory[[#This Row],[LivArea Range]],Lookups!$T$25:$W$37,4,FALSE)</f>
        <v>1.0148999999999999</v>
      </c>
      <c r="BK888" s="25">
        <f>VLOOKUP(Inventory[[#This Row],[Decade]],Lookups!$O$25:$R$42,4,FALSE)</f>
        <v>0.995</v>
      </c>
      <c r="BL888" s="25">
        <f>Inventory[[#This Row],[Nbhd Adj]]*0.95</f>
        <v>0.94971499999999998</v>
      </c>
      <c r="BM888" s="25">
        <f>Inventory[[#This Row],[Nbhd Adj]]*Inventory[[#This Row],[Quality Adj]]*Inventory[[#This Row],[Condition Adj]]*Inventory[[#This Row],[Living Area Adj]]*Inventory[[#This Row],[Decade Adj]]*0.95</f>
        <v>0.94861405199075932</v>
      </c>
      <c r="BN888" s="25">
        <f>ROUND(SUM(Inventory[[#This Row],[Mdl Qlty]:[Mdl WdDeck]])+Inventory[[#This Row],[Mdl Res Intercept]]*Inventory[[#This Row],[Res Adj ]],-2)</f>
        <v>213800</v>
      </c>
      <c r="BO888" s="25">
        <f>ROUND(Inventory[[#This Row],[25Det]]*Inventory[[#This Row],[Det/Nbhd Adj]],-2)</f>
        <v>0</v>
      </c>
      <c r="BP888" s="25">
        <f>Inventory[[#This Row],[Adjusted Res]]+Inventory[[#This Row],[Adj Det ]]</f>
        <v>213800</v>
      </c>
      <c r="BQ888" s="25">
        <f>ROUND((Inventory[[#This Row],[Mdl Land Intercept]]+Inventory[[#This Row],[Mdl LnAcres]])*Inventory[[#This Row],[Det/Nbhd Adj]],-2)</f>
        <v>32100</v>
      </c>
      <c r="BR888" s="25">
        <f>Inventory[[#This Row],[Adjusted Impr Total]]+Inventory[[#This Row],[Adjusted Land Total]]</f>
        <v>245900</v>
      </c>
      <c r="BS888" s="36">
        <f>IFERROR((Inventory[[#This Row],[Adjusted Impr Total]]-Inventory[[#This Row],[24Bldg]])/Inventory[[#This Row],[24Bldg]],0)</f>
        <v>0.13542219861922464</v>
      </c>
      <c r="BT888" s="36">
        <f>(Inventory[[#This Row],[Adjusted Land Total]]-Inventory[[#This Row],[24Lnd]])/Inventory[[#This Row],[24Lnd]]</f>
        <v>-0.39089184060721061</v>
      </c>
      <c r="BU888" s="36">
        <f>(Inventory[[#This Row],[Adjusted Total]]-Inventory[[#This Row],[24Final]])/Inventory[[#This Row],[24Final]]</f>
        <v>2.033195020746888E-2</v>
      </c>
    </row>
    <row r="889" spans="1:73" x14ac:dyDescent="0.3">
      <c r="A889" s="25">
        <v>2025</v>
      </c>
      <c r="B889" s="26" t="s">
        <v>1879</v>
      </c>
      <c r="C889" s="26">
        <f>LN(Inventory[[#This Row],[Acres]])</f>
        <v>-1.3093333199837622</v>
      </c>
      <c r="D889" s="25">
        <v>0.27</v>
      </c>
      <c r="E889" s="25">
        <v>11900</v>
      </c>
      <c r="F889" s="26" t="s">
        <v>537</v>
      </c>
      <c r="G889" s="26" t="s">
        <v>126</v>
      </c>
      <c r="H889" s="26" t="s">
        <v>349</v>
      </c>
      <c r="I889" s="26" t="s">
        <v>538</v>
      </c>
      <c r="J889" s="26" t="s">
        <v>539</v>
      </c>
      <c r="K889" s="26" t="s">
        <v>241</v>
      </c>
      <c r="L889" s="26" t="s">
        <v>302</v>
      </c>
      <c r="M889" s="26" t="s">
        <v>323</v>
      </c>
      <c r="N889" s="26">
        <v>80</v>
      </c>
      <c r="O889" s="26">
        <f>2024-Inventory[[#This Row],[YrBlt]]</f>
        <v>74</v>
      </c>
      <c r="P889" s="26">
        <f>2024-Inventory[[#This Row],[EffYr]]</f>
        <v>51</v>
      </c>
      <c r="Q889" s="25">
        <v>1950</v>
      </c>
      <c r="R889" s="25">
        <v>1973</v>
      </c>
      <c r="S889" s="25">
        <v>2578</v>
      </c>
      <c r="T889" s="27"/>
      <c r="U889" s="31"/>
      <c r="V889" s="31">
        <f>Inventory[[#This Row],[Bsmt]]-Inventory[[#This Row],[FnBsmt]]</f>
        <v>0</v>
      </c>
      <c r="W889" s="31"/>
      <c r="X889" s="27"/>
      <c r="Y889" s="27">
        <f>Inventory[[#This Row],[MainFn]]+Inventory[[#This Row],[UpprFn]]+Inventory[[#This Row],[FnBsmt]]+Inventory[[#This Row],[AddFn]]</f>
        <v>2578</v>
      </c>
      <c r="Z889" s="27">
        <v>3000</v>
      </c>
      <c r="AA889" s="25">
        <v>9</v>
      </c>
      <c r="AB889" s="32">
        <v>660</v>
      </c>
      <c r="AC889" s="27"/>
      <c r="AD889" s="27"/>
      <c r="AE889" s="27"/>
      <c r="AF889" s="27"/>
      <c r="AG889" s="27"/>
      <c r="AH889" s="27"/>
      <c r="AI889" s="25">
        <v>459708</v>
      </c>
      <c r="AJ889" s="25">
        <v>317199</v>
      </c>
      <c r="AK889" s="25">
        <v>13625</v>
      </c>
      <c r="AL889" s="25">
        <v>391600</v>
      </c>
      <c r="AM889" s="25">
        <v>68900</v>
      </c>
      <c r="AN889" s="25">
        <v>322700</v>
      </c>
      <c r="AO889" s="25">
        <v>0</v>
      </c>
      <c r="AP889" s="25">
        <f>Lookups!$B$56*0</f>
        <v>0</v>
      </c>
      <c r="AQ889" s="25">
        <f>Lookups!$B$56*1</f>
        <v>89850.625589999996</v>
      </c>
      <c r="AR889" s="25">
        <f>Lookups!$B$57*Inventory[[#This Row],[LnAcres]]</f>
        <v>-41446.443120973789</v>
      </c>
      <c r="AS889" s="25">
        <f>VLOOKUP(Inventory[[#This Row],[Qlty]],Lookups!$A$62:$E$75,2,FALSE)</f>
        <v>29814.093161000001</v>
      </c>
      <c r="AT889" s="25">
        <f>VLOOKUP(Inventory[[#This Row],[Cnd]],Lookups!$A$76:$E$84,2,FALSE)</f>
        <v>160472.20319</v>
      </c>
      <c r="AU889" s="25">
        <f>Inventory[[#This Row],[EffAge]]*Lookups!$B$85</f>
        <v>-11375.3256255</v>
      </c>
      <c r="AV889" s="25">
        <f>Inventory[[#This Row],[MainFn]]*Lookups!$B$86</f>
        <v>127375.550942906</v>
      </c>
      <c r="AW889" s="25">
        <f>Inventory[[#This Row],[UpprFn]]*Lookups!$B$87</f>
        <v>0</v>
      </c>
      <c r="AX889" s="25">
        <f>Inventory[[#This Row],[AddFn]]*Lookups!$B$88</f>
        <v>0</v>
      </c>
      <c r="AY889" s="25">
        <f>Inventory[[#This Row],[Bsmt]]*Lookups!$B$89</f>
        <v>0</v>
      </c>
      <c r="AZ889" s="25">
        <f>Inventory[[#This Row],[Fixtures]]*Lookups!$B$90</f>
        <v>34128.198946800003</v>
      </c>
      <c r="BA889" s="25">
        <f>Inventory[[#This Row],[WdDeck]]*Lookups!$B$91</f>
        <v>0</v>
      </c>
      <c r="BB889" s="25">
        <f>ROUND(Inventory[[#This Row],[25Det]],-2)</f>
        <v>13600</v>
      </c>
      <c r="BC889" s="25">
        <f>ROUND(SUM(Inventory[[#This Row],[Mdl Qlty]:[Mdl WdDeck]])+Inventory[[#This Row],[Mdl Res Intercept]],-2)</f>
        <v>340400</v>
      </c>
      <c r="BD889" s="25">
        <f>ROUND(Inventory[[#This Row],[Mdl Land Intercept]]+Inventory[[#This Row],[Mdl LnAcres]],-2)</f>
        <v>48400</v>
      </c>
      <c r="BE889" s="25">
        <f>Inventory[[#This Row],[Unadj Res Value]]+Inventory[[#This Row],[Unadj Det Value]]+Inventory[[#This Row],[Unadj Land Value]]</f>
        <v>402400</v>
      </c>
      <c r="BF889" s="36">
        <f>(Inventory[[#This Row],[Unadj Total Value]]-Inventory[[#This Row],[24Final]])/Inventory[[#This Row],[24Final]]</f>
        <v>2.7579162410623085E-2</v>
      </c>
      <c r="BG889" s="25">
        <f>VLOOKUP(Inventory[[#This Row],[Nbhd]],Lookups!$Q$2:$T$4,4,FALSE)</f>
        <v>0.99970000000000003</v>
      </c>
      <c r="BH889" s="25">
        <f>VLOOKUP(Inventory[[#This Row],[Qlty]],Lookups!$O$7:$R$21,4,FALSE)</f>
        <v>1.0088999999999999</v>
      </c>
      <c r="BI889" s="25">
        <f>VLOOKUP(Inventory[[#This Row],[Cnd]],Lookups!$T$7:$W$16,4,FALSE)</f>
        <v>0.99729999999999996</v>
      </c>
      <c r="BJ889" s="25">
        <f>VLOOKUP(Inventory[[#This Row],[LivArea Range]],Lookups!$T$25:$W$37,4,FALSE)</f>
        <v>0.96179999999999999</v>
      </c>
      <c r="BK889" s="25">
        <f>VLOOKUP(Inventory[[#This Row],[Decade]],Lookups!$O$25:$R$42,4,FALSE)</f>
        <v>0.995</v>
      </c>
      <c r="BL889" s="25">
        <f>Inventory[[#This Row],[Nbhd Adj]]*0.95</f>
        <v>0.94971499999999998</v>
      </c>
      <c r="BM889" s="25">
        <f>Inventory[[#This Row],[Nbhd Adj]]*Inventory[[#This Row],[Quality Adj]]*Inventory[[#This Row],[Condition Adj]]*Inventory[[#This Row],[Living Area Adj]]*Inventory[[#This Row],[Decade Adj]]*0.95</f>
        <v>0.91448185343686017</v>
      </c>
      <c r="BN889" s="25">
        <f>ROUND(SUM(Inventory[[#This Row],[Mdl Qlty]:[Mdl WdDeck]])+Inventory[[#This Row],[Mdl Res Intercept]]*Inventory[[#This Row],[Res Adj ]],-2)</f>
        <v>340400</v>
      </c>
      <c r="BO889" s="25">
        <f>ROUND(Inventory[[#This Row],[25Det]]*Inventory[[#This Row],[Det/Nbhd Adj]],-2)</f>
        <v>12900</v>
      </c>
      <c r="BP889" s="25">
        <f>Inventory[[#This Row],[Adjusted Res]]+Inventory[[#This Row],[Adj Det ]]</f>
        <v>353300</v>
      </c>
      <c r="BQ889" s="25">
        <f>ROUND((Inventory[[#This Row],[Mdl Land Intercept]]+Inventory[[#This Row],[Mdl LnAcres]])*Inventory[[#This Row],[Det/Nbhd Adj]],-2)</f>
        <v>46000</v>
      </c>
      <c r="BR889" s="25">
        <f>Inventory[[#This Row],[Adjusted Impr Total]]+Inventory[[#This Row],[Adjusted Land Total]]</f>
        <v>399300</v>
      </c>
      <c r="BS889" s="36">
        <f>IFERROR((Inventory[[#This Row],[Adjusted Impr Total]]-Inventory[[#This Row],[24Bldg]])/Inventory[[#This Row],[24Bldg]],0)</f>
        <v>9.4824914781530836E-2</v>
      </c>
      <c r="BT889" s="36">
        <f>(Inventory[[#This Row],[Adjusted Land Total]]-Inventory[[#This Row],[24Lnd]])/Inventory[[#This Row],[24Lnd]]</f>
        <v>-0.33236574746008707</v>
      </c>
      <c r="BU889" s="36">
        <f>(Inventory[[#This Row],[Adjusted Total]]-Inventory[[#This Row],[24Final]])/Inventory[[#This Row],[24Final]]</f>
        <v>1.9662921348314606E-2</v>
      </c>
    </row>
    <row r="890" spans="1:73" x14ac:dyDescent="0.3">
      <c r="A890" s="25">
        <v>2025</v>
      </c>
      <c r="B890" s="26" t="s">
        <v>2472</v>
      </c>
      <c r="C890" s="26">
        <f>LN(Inventory[[#This Row],[Acres]])</f>
        <v>-1.3470736479666092</v>
      </c>
      <c r="D890" s="25">
        <v>0.26</v>
      </c>
      <c r="E890" s="25">
        <v>11326</v>
      </c>
      <c r="F890" s="26" t="s">
        <v>537</v>
      </c>
      <c r="G890" s="26" t="s">
        <v>126</v>
      </c>
      <c r="H890" s="26" t="s">
        <v>349</v>
      </c>
      <c r="I890" s="26" t="s">
        <v>538</v>
      </c>
      <c r="J890" s="26" t="s">
        <v>539</v>
      </c>
      <c r="K890" s="26" t="s">
        <v>242</v>
      </c>
      <c r="L890" s="26" t="s">
        <v>302</v>
      </c>
      <c r="M890" s="26" t="s">
        <v>323</v>
      </c>
      <c r="N890" s="26">
        <v>80</v>
      </c>
      <c r="O890" s="26">
        <f>2024-Inventory[[#This Row],[YrBlt]]</f>
        <v>74</v>
      </c>
      <c r="P890" s="26">
        <f>2024-Inventory[[#This Row],[EffYr]]</f>
        <v>51</v>
      </c>
      <c r="Q890" s="25">
        <v>1950</v>
      </c>
      <c r="R890" s="25">
        <v>1973</v>
      </c>
      <c r="S890" s="25">
        <v>1456</v>
      </c>
      <c r="T890" s="27"/>
      <c r="U890" s="31"/>
      <c r="V890" s="31">
        <f>Inventory[[#This Row],[Bsmt]]-Inventory[[#This Row],[FnBsmt]]</f>
        <v>0</v>
      </c>
      <c r="W890" s="31"/>
      <c r="X890" s="27"/>
      <c r="Y890" s="27">
        <f>Inventory[[#This Row],[MainFn]]+Inventory[[#This Row],[UpprFn]]+Inventory[[#This Row],[FnBsmt]]+Inventory[[#This Row],[AddFn]]</f>
        <v>1456</v>
      </c>
      <c r="Z890" s="27">
        <v>1500</v>
      </c>
      <c r="AA890" s="25">
        <v>9</v>
      </c>
      <c r="AB890" s="32">
        <v>420</v>
      </c>
      <c r="AC890" s="27"/>
      <c r="AD890" s="31"/>
      <c r="AE890" s="27"/>
      <c r="AF890" s="27"/>
      <c r="AG890" s="27"/>
      <c r="AH890" s="27"/>
      <c r="AI890" s="25">
        <v>295999</v>
      </c>
      <c r="AJ890" s="25">
        <v>204239</v>
      </c>
      <c r="AK890" s="25">
        <v>0</v>
      </c>
      <c r="AL890" s="25">
        <v>323500</v>
      </c>
      <c r="AM890" s="25">
        <v>67600</v>
      </c>
      <c r="AN890" s="25">
        <v>255900</v>
      </c>
      <c r="AO890" s="25">
        <v>0</v>
      </c>
      <c r="AP890" s="25">
        <f>Lookups!$B$56*0</f>
        <v>0</v>
      </c>
      <c r="AQ890" s="25">
        <f>Lookups!$B$56*1</f>
        <v>89850.625589999996</v>
      </c>
      <c r="AR890" s="25">
        <f>Lookups!$B$57*Inventory[[#This Row],[LnAcres]]</f>
        <v>-42641.098701210125</v>
      </c>
      <c r="AS890" s="25">
        <f>VLOOKUP(Inventory[[#This Row],[Qlty]],Lookups!$A$62:$E$75,2,FALSE)</f>
        <v>29814.093161000001</v>
      </c>
      <c r="AT890" s="25">
        <f>VLOOKUP(Inventory[[#This Row],[Cnd]],Lookups!$A$76:$E$84,2,FALSE)</f>
        <v>160472.20319</v>
      </c>
      <c r="AU890" s="25">
        <f>Inventory[[#This Row],[EffAge]]*Lookups!$B$85</f>
        <v>-11375.3256255</v>
      </c>
      <c r="AV890" s="25">
        <f>Inventory[[#This Row],[MainFn]]*Lookups!$B$86</f>
        <v>71939.023340911997</v>
      </c>
      <c r="AW890" s="25">
        <f>Inventory[[#This Row],[UpprFn]]*Lookups!$B$87</f>
        <v>0</v>
      </c>
      <c r="AX890" s="25">
        <f>Inventory[[#This Row],[AddFn]]*Lookups!$B$88</f>
        <v>0</v>
      </c>
      <c r="AY890" s="25">
        <f>Inventory[[#This Row],[Bsmt]]*Lookups!$B$89</f>
        <v>0</v>
      </c>
      <c r="AZ890" s="25">
        <f>Inventory[[#This Row],[Fixtures]]*Lookups!$B$90</f>
        <v>34128.198946800003</v>
      </c>
      <c r="BA890" s="25">
        <f>Inventory[[#This Row],[WdDeck]]*Lookups!$B$91</f>
        <v>0</v>
      </c>
      <c r="BB890" s="25">
        <f>ROUND(Inventory[[#This Row],[25Det]],-2)</f>
        <v>0</v>
      </c>
      <c r="BC890" s="25">
        <f>ROUND(SUM(Inventory[[#This Row],[Mdl Qlty]:[Mdl WdDeck]])+Inventory[[#This Row],[Mdl Res Intercept]],-2)</f>
        <v>285000</v>
      </c>
      <c r="BD890" s="25">
        <f>ROUND(Inventory[[#This Row],[Mdl Land Intercept]]+Inventory[[#This Row],[Mdl LnAcres]],-2)</f>
        <v>47200</v>
      </c>
      <c r="BE890" s="25">
        <f>Inventory[[#This Row],[Unadj Res Value]]+Inventory[[#This Row],[Unadj Det Value]]+Inventory[[#This Row],[Unadj Land Value]]</f>
        <v>332200</v>
      </c>
      <c r="BF890" s="36">
        <f>(Inventory[[#This Row],[Unadj Total Value]]-Inventory[[#This Row],[24Final]])/Inventory[[#This Row],[24Final]]</f>
        <v>2.6893353941267389E-2</v>
      </c>
      <c r="BG890" s="25">
        <f>VLOOKUP(Inventory[[#This Row],[Nbhd]],Lookups!$Q$2:$T$4,4,FALSE)</f>
        <v>0.99970000000000003</v>
      </c>
      <c r="BH890" s="25">
        <f>VLOOKUP(Inventory[[#This Row],[Qlty]],Lookups!$O$7:$R$21,4,FALSE)</f>
        <v>1.0088999999999999</v>
      </c>
      <c r="BI890" s="25">
        <f>VLOOKUP(Inventory[[#This Row],[Cnd]],Lookups!$T$7:$W$16,4,FALSE)</f>
        <v>0.99729999999999996</v>
      </c>
      <c r="BJ890" s="25">
        <f>VLOOKUP(Inventory[[#This Row],[LivArea Range]],Lookups!$T$25:$W$37,4,FALSE)</f>
        <v>1.0157</v>
      </c>
      <c r="BK890" s="25">
        <f>VLOOKUP(Inventory[[#This Row],[Decade]],Lookups!$O$25:$R$42,4,FALSE)</f>
        <v>0.995</v>
      </c>
      <c r="BL890" s="25">
        <f>Inventory[[#This Row],[Nbhd Adj]]*0.95</f>
        <v>0.94971499999999998</v>
      </c>
      <c r="BM890" s="25">
        <f>Inventory[[#This Row],[Nbhd Adj]]*Inventory[[#This Row],[Quality Adj]]*Inventory[[#This Row],[Condition Adj]]*Inventory[[#This Row],[Living Area Adj]]*Inventory[[#This Row],[Decade Adj]]*0.95</f>
        <v>0.96573010868768849</v>
      </c>
      <c r="BN890" s="25">
        <f>ROUND(SUM(Inventory[[#This Row],[Mdl Qlty]:[Mdl WdDeck]])+Inventory[[#This Row],[Mdl Res Intercept]]*Inventory[[#This Row],[Res Adj ]],-2)</f>
        <v>285000</v>
      </c>
      <c r="BO890" s="25">
        <f>ROUND(Inventory[[#This Row],[25Det]]*Inventory[[#This Row],[Det/Nbhd Adj]],-2)</f>
        <v>0</v>
      </c>
      <c r="BP890" s="25">
        <f>Inventory[[#This Row],[Adjusted Res]]+Inventory[[#This Row],[Adj Det ]]</f>
        <v>285000</v>
      </c>
      <c r="BQ890" s="25">
        <f>ROUND((Inventory[[#This Row],[Mdl Land Intercept]]+Inventory[[#This Row],[Mdl LnAcres]])*Inventory[[#This Row],[Det/Nbhd Adj]],-2)</f>
        <v>44800</v>
      </c>
      <c r="BR890" s="25">
        <f>Inventory[[#This Row],[Adjusted Impr Total]]+Inventory[[#This Row],[Adjusted Land Total]]</f>
        <v>329800</v>
      </c>
      <c r="BS890" s="36">
        <f>IFERROR((Inventory[[#This Row],[Adjusted Impr Total]]-Inventory[[#This Row],[24Bldg]])/Inventory[[#This Row],[24Bldg]],0)</f>
        <v>0.11371629542790153</v>
      </c>
      <c r="BT890" s="36">
        <f>(Inventory[[#This Row],[Adjusted Land Total]]-Inventory[[#This Row],[24Lnd]])/Inventory[[#This Row],[24Lnd]]</f>
        <v>-0.33727810650887574</v>
      </c>
      <c r="BU890" s="36">
        <f>(Inventory[[#This Row],[Adjusted Total]]-Inventory[[#This Row],[24Final]])/Inventory[[#This Row],[24Final]]</f>
        <v>1.947449768160742E-2</v>
      </c>
    </row>
    <row r="891" spans="1:73" x14ac:dyDescent="0.3">
      <c r="A891" s="25">
        <v>2025</v>
      </c>
      <c r="B891" s="26" t="s">
        <v>2482</v>
      </c>
      <c r="C891" s="26">
        <f>LN(Inventory[[#This Row],[Acres]])</f>
        <v>-1.6094379124341003</v>
      </c>
      <c r="D891" s="25">
        <v>0.2</v>
      </c>
      <c r="E891" s="25">
        <v>8593</v>
      </c>
      <c r="F891" s="26" t="s">
        <v>537</v>
      </c>
      <c r="G891" s="26" t="s">
        <v>126</v>
      </c>
      <c r="H891" s="26" t="s">
        <v>349</v>
      </c>
      <c r="I891" s="26" t="s">
        <v>538</v>
      </c>
      <c r="J891" s="26" t="s">
        <v>539</v>
      </c>
      <c r="K891" s="26" t="s">
        <v>241</v>
      </c>
      <c r="L891" s="26" t="s">
        <v>205</v>
      </c>
      <c r="M891" s="26" t="s">
        <v>323</v>
      </c>
      <c r="N891" s="26">
        <v>80</v>
      </c>
      <c r="O891" s="26">
        <f>2024-Inventory[[#This Row],[YrBlt]]</f>
        <v>74</v>
      </c>
      <c r="P891" s="26">
        <f>2024-Inventory[[#This Row],[EffYr]]</f>
        <v>51</v>
      </c>
      <c r="Q891" s="25">
        <v>1950</v>
      </c>
      <c r="R891" s="25">
        <v>1973</v>
      </c>
      <c r="S891" s="25">
        <v>1227</v>
      </c>
      <c r="T891" s="31"/>
      <c r="U891" s="31"/>
      <c r="V891" s="31">
        <f>Inventory[[#This Row],[Bsmt]]-Inventory[[#This Row],[FnBsmt]]</f>
        <v>0</v>
      </c>
      <c r="W891" s="31"/>
      <c r="X891" s="27"/>
      <c r="Y891" s="27">
        <f>Inventory[[#This Row],[MainFn]]+Inventory[[#This Row],[UpprFn]]+Inventory[[#This Row],[FnBsmt]]+Inventory[[#This Row],[AddFn]]</f>
        <v>1227</v>
      </c>
      <c r="Z891" s="27">
        <v>1500</v>
      </c>
      <c r="AA891" s="25">
        <v>5</v>
      </c>
      <c r="AB891" s="27"/>
      <c r="AC891" s="27"/>
      <c r="AD891" s="27"/>
      <c r="AE891" s="27"/>
      <c r="AF891" s="27"/>
      <c r="AG891" s="27"/>
      <c r="AH891" s="27"/>
      <c r="AI891" s="25">
        <v>181086</v>
      </c>
      <c r="AJ891" s="25">
        <v>124949</v>
      </c>
      <c r="AK891" s="25">
        <v>7465</v>
      </c>
      <c r="AL891" s="25">
        <v>267500</v>
      </c>
      <c r="AM891" s="25">
        <v>58400</v>
      </c>
      <c r="AN891" s="25">
        <v>209100</v>
      </c>
      <c r="AO891" s="25">
        <v>0</v>
      </c>
      <c r="AP891" s="25">
        <f>Lookups!$B$56*0</f>
        <v>0</v>
      </c>
      <c r="AQ891" s="25">
        <f>Lookups!$B$56*1</f>
        <v>89850.625589999996</v>
      </c>
      <c r="AR891" s="25">
        <f>Lookups!$B$57*Inventory[[#This Row],[LnAcres]]</f>
        <v>-50946.13867709865</v>
      </c>
      <c r="AS891" s="25">
        <f>VLOOKUP(Inventory[[#This Row],[Qlty]],Lookups!$A$62:$E$75,2,FALSE)</f>
        <v>0</v>
      </c>
      <c r="AT891" s="25">
        <f>VLOOKUP(Inventory[[#This Row],[Cnd]],Lookups!$A$76:$E$84,2,FALSE)</f>
        <v>160472.20319</v>
      </c>
      <c r="AU891" s="25">
        <f>Inventory[[#This Row],[EffAge]]*Lookups!$B$85</f>
        <v>-11375.3256255</v>
      </c>
      <c r="AV891" s="25">
        <f>Inventory[[#This Row],[MainFn]]*Lookups!$B$86</f>
        <v>60624.437939078998</v>
      </c>
      <c r="AW891" s="25">
        <f>Inventory[[#This Row],[UpprFn]]*Lookups!$B$87</f>
        <v>0</v>
      </c>
      <c r="AX891" s="25">
        <f>Inventory[[#This Row],[AddFn]]*Lookups!$B$88</f>
        <v>0</v>
      </c>
      <c r="AY891" s="25">
        <f>Inventory[[#This Row],[Bsmt]]*Lookups!$B$89</f>
        <v>0</v>
      </c>
      <c r="AZ891" s="25">
        <f>Inventory[[#This Row],[Fixtures]]*Lookups!$B$90</f>
        <v>18960.110526</v>
      </c>
      <c r="BA891" s="25">
        <f>Inventory[[#This Row],[WdDeck]]*Lookups!$B$91</f>
        <v>0</v>
      </c>
      <c r="BB891" s="25">
        <f>ROUND(Inventory[[#This Row],[25Det]],-2)</f>
        <v>7500</v>
      </c>
      <c r="BC891" s="25">
        <f>ROUND(SUM(Inventory[[#This Row],[Mdl Qlty]:[Mdl WdDeck]])+Inventory[[#This Row],[Mdl Res Intercept]],-2)</f>
        <v>228700</v>
      </c>
      <c r="BD891" s="25">
        <f>ROUND(Inventory[[#This Row],[Mdl Land Intercept]]+Inventory[[#This Row],[Mdl LnAcres]],-2)</f>
        <v>38900</v>
      </c>
      <c r="BE891" s="25">
        <f>Inventory[[#This Row],[Unadj Res Value]]+Inventory[[#This Row],[Unadj Det Value]]+Inventory[[#This Row],[Unadj Land Value]]</f>
        <v>275100</v>
      </c>
      <c r="BF891" s="36">
        <f>(Inventory[[#This Row],[Unadj Total Value]]-Inventory[[#This Row],[24Final]])/Inventory[[#This Row],[24Final]]</f>
        <v>2.8411214953271029E-2</v>
      </c>
      <c r="BG891" s="25">
        <f>VLOOKUP(Inventory[[#This Row],[Nbhd]],Lookups!$Q$2:$T$4,4,FALSE)</f>
        <v>0.99970000000000003</v>
      </c>
      <c r="BH891" s="25">
        <f>VLOOKUP(Inventory[[#This Row],[Qlty]],Lookups!$O$7:$R$21,4,FALSE)</f>
        <v>0.99180000000000001</v>
      </c>
      <c r="BI891" s="25">
        <f>VLOOKUP(Inventory[[#This Row],[Cnd]],Lookups!$T$7:$W$16,4,FALSE)</f>
        <v>0.99729999999999996</v>
      </c>
      <c r="BJ891" s="25">
        <f>VLOOKUP(Inventory[[#This Row],[LivArea Range]],Lookups!$T$25:$W$37,4,FALSE)</f>
        <v>1.0157</v>
      </c>
      <c r="BK891" s="25">
        <f>VLOOKUP(Inventory[[#This Row],[Decade]],Lookups!$O$25:$R$42,4,FALSE)</f>
        <v>0.995</v>
      </c>
      <c r="BL891" s="25">
        <f>Inventory[[#This Row],[Nbhd Adj]]*0.95</f>
        <v>0.94971499999999998</v>
      </c>
      <c r="BM891" s="25">
        <f>Inventory[[#This Row],[Nbhd Adj]]*Inventory[[#This Row],[Quality Adj]]*Inventory[[#This Row],[Condition Adj]]*Inventory[[#This Row],[Living Area Adj]]*Inventory[[#This Row],[Decade Adj]]*0.95</f>
        <v>0.94936180176077878</v>
      </c>
      <c r="BN891" s="25">
        <f>ROUND(SUM(Inventory[[#This Row],[Mdl Qlty]:[Mdl WdDeck]])+Inventory[[#This Row],[Mdl Res Intercept]]*Inventory[[#This Row],[Res Adj ]],-2)</f>
        <v>228700</v>
      </c>
      <c r="BO891" s="25">
        <f>ROUND(Inventory[[#This Row],[25Det]]*Inventory[[#This Row],[Det/Nbhd Adj]],-2)</f>
        <v>7100</v>
      </c>
      <c r="BP891" s="25">
        <f>Inventory[[#This Row],[Adjusted Res]]+Inventory[[#This Row],[Adj Det ]]</f>
        <v>235800</v>
      </c>
      <c r="BQ891" s="25">
        <f>ROUND((Inventory[[#This Row],[Mdl Land Intercept]]+Inventory[[#This Row],[Mdl LnAcres]])*Inventory[[#This Row],[Det/Nbhd Adj]],-2)</f>
        <v>36900</v>
      </c>
      <c r="BR891" s="25">
        <f>Inventory[[#This Row],[Adjusted Impr Total]]+Inventory[[#This Row],[Adjusted Land Total]]</f>
        <v>272700</v>
      </c>
      <c r="BS891" s="36">
        <f>IFERROR((Inventory[[#This Row],[Adjusted Impr Total]]-Inventory[[#This Row],[24Bldg]])/Inventory[[#This Row],[24Bldg]],0)</f>
        <v>0.12769010043041606</v>
      </c>
      <c r="BT891" s="36">
        <f>(Inventory[[#This Row],[Adjusted Land Total]]-Inventory[[#This Row],[24Lnd]])/Inventory[[#This Row],[24Lnd]]</f>
        <v>-0.36815068493150682</v>
      </c>
      <c r="BU891" s="36">
        <f>(Inventory[[#This Row],[Adjusted Total]]-Inventory[[#This Row],[24Final]])/Inventory[[#This Row],[24Final]]</f>
        <v>1.9439252336448599E-2</v>
      </c>
    </row>
    <row r="892" spans="1:73" x14ac:dyDescent="0.3">
      <c r="A892" s="25">
        <v>2025</v>
      </c>
      <c r="B892" s="26" t="s">
        <v>1829</v>
      </c>
      <c r="C892" s="26">
        <f>LN(Inventory[[#This Row],[Acres]])</f>
        <v>-1.3093333199837622</v>
      </c>
      <c r="D892" s="25">
        <v>0.27</v>
      </c>
      <c r="E892" s="25">
        <v>11900</v>
      </c>
      <c r="F892" s="26" t="s">
        <v>537</v>
      </c>
      <c r="G892" s="26" t="s">
        <v>126</v>
      </c>
      <c r="H892" s="26" t="s">
        <v>349</v>
      </c>
      <c r="I892" s="26" t="s">
        <v>538</v>
      </c>
      <c r="J892" s="26" t="s">
        <v>539</v>
      </c>
      <c r="K892" s="26" t="s">
        <v>300</v>
      </c>
      <c r="L892" s="26" t="s">
        <v>148</v>
      </c>
      <c r="M892" s="26" t="s">
        <v>323</v>
      </c>
      <c r="N892" s="26">
        <v>80</v>
      </c>
      <c r="O892" s="26">
        <f>2024-Inventory[[#This Row],[YrBlt]]</f>
        <v>74</v>
      </c>
      <c r="P892" s="26">
        <f>2024-Inventory[[#This Row],[EffYr]]</f>
        <v>51</v>
      </c>
      <c r="Q892" s="25">
        <v>1950</v>
      </c>
      <c r="R892" s="25">
        <v>1973</v>
      </c>
      <c r="S892" s="25">
        <v>1987</v>
      </c>
      <c r="T892" s="27"/>
      <c r="U892" s="25">
        <v>784</v>
      </c>
      <c r="V892" s="25">
        <f>Inventory[[#This Row],[Bsmt]]-Inventory[[#This Row],[FnBsmt]]</f>
        <v>0</v>
      </c>
      <c r="W892" s="25">
        <v>784</v>
      </c>
      <c r="X892" s="27"/>
      <c r="Y892" s="27">
        <f>Inventory[[#This Row],[MainFn]]+Inventory[[#This Row],[UpprFn]]+Inventory[[#This Row],[FnBsmt]]+Inventory[[#This Row],[AddFn]]</f>
        <v>2771</v>
      </c>
      <c r="Z892" s="27">
        <v>3000</v>
      </c>
      <c r="AA892" s="25">
        <v>13</v>
      </c>
      <c r="AB892" s="27"/>
      <c r="AC892" s="27"/>
      <c r="AD892" s="25">
        <v>216</v>
      </c>
      <c r="AE892" s="27"/>
      <c r="AF892" s="27"/>
      <c r="AG892" s="27"/>
      <c r="AH892" s="27"/>
      <c r="AI892" s="25">
        <v>521568</v>
      </c>
      <c r="AJ892" s="25">
        <v>359882</v>
      </c>
      <c r="AK892" s="25">
        <v>4666</v>
      </c>
      <c r="AL892" s="25">
        <v>413100</v>
      </c>
      <c r="AM892" s="25">
        <v>68900</v>
      </c>
      <c r="AN892" s="25">
        <v>344200</v>
      </c>
      <c r="AO892" s="25">
        <v>0</v>
      </c>
      <c r="AP892" s="25">
        <f>Lookups!$B$56*0</f>
        <v>0</v>
      </c>
      <c r="AQ892" s="25">
        <f>Lookups!$B$56*1</f>
        <v>89850.625589999996</v>
      </c>
      <c r="AR892" s="25">
        <f>Lookups!$B$57*Inventory[[#This Row],[LnAcres]]</f>
        <v>-41446.443120973789</v>
      </c>
      <c r="AS892" s="25">
        <f>VLOOKUP(Inventory[[#This Row],[Qlty]],Lookups!$A$62:$E$75,2,FALSE)</f>
        <v>44121.038090000002</v>
      </c>
      <c r="AT892" s="25">
        <f>VLOOKUP(Inventory[[#This Row],[Cnd]],Lookups!$A$76:$E$84,2,FALSE)</f>
        <v>160472.20319</v>
      </c>
      <c r="AU892" s="25">
        <f>Inventory[[#This Row],[EffAge]]*Lookups!$B$85</f>
        <v>-11375.3256255</v>
      </c>
      <c r="AV892" s="25">
        <f>Inventory[[#This Row],[MainFn]]*Lookups!$B$86</f>
        <v>98175.027045598996</v>
      </c>
      <c r="AW892" s="25">
        <f>Inventory[[#This Row],[UpprFn]]*Lookups!$B$87</f>
        <v>0</v>
      </c>
      <c r="AX892" s="25">
        <f>Inventory[[#This Row],[AddFn]]*Lookups!$B$88</f>
        <v>0</v>
      </c>
      <c r="AY892" s="25">
        <f>Inventory[[#This Row],[Bsmt]]*Lookups!$B$89</f>
        <v>22800.205873647999</v>
      </c>
      <c r="AZ892" s="25">
        <f>Inventory[[#This Row],[Fixtures]]*Lookups!$B$90</f>
        <v>49296.287367600002</v>
      </c>
      <c r="BA892" s="25">
        <f>Inventory[[#This Row],[WdDeck]]*Lookups!$B$91</f>
        <v>7191.8312996160003</v>
      </c>
      <c r="BB892" s="25">
        <f>ROUND(Inventory[[#This Row],[25Det]],-2)</f>
        <v>4700</v>
      </c>
      <c r="BC892" s="25">
        <f>ROUND(SUM(Inventory[[#This Row],[Mdl Qlty]:[Mdl WdDeck]])+Inventory[[#This Row],[Mdl Res Intercept]],-2)</f>
        <v>370700</v>
      </c>
      <c r="BD892" s="25">
        <f>ROUND(Inventory[[#This Row],[Mdl Land Intercept]]+Inventory[[#This Row],[Mdl LnAcres]],-2)</f>
        <v>48400</v>
      </c>
      <c r="BE892" s="25">
        <f>Inventory[[#This Row],[Unadj Res Value]]+Inventory[[#This Row],[Unadj Det Value]]+Inventory[[#This Row],[Unadj Land Value]]</f>
        <v>423800</v>
      </c>
      <c r="BF892" s="36">
        <f>(Inventory[[#This Row],[Unadj Total Value]]-Inventory[[#This Row],[24Final]])/Inventory[[#This Row],[24Final]]</f>
        <v>2.5901718712176228E-2</v>
      </c>
      <c r="BG892" s="25">
        <f>VLOOKUP(Inventory[[#This Row],[Nbhd]],Lookups!$Q$2:$T$4,4,FALSE)</f>
        <v>0.99970000000000003</v>
      </c>
      <c r="BH892" s="25">
        <f>VLOOKUP(Inventory[[#This Row],[Qlty]],Lookups!$O$7:$R$21,4,FALSE)</f>
        <v>0.98050000000000004</v>
      </c>
      <c r="BI892" s="25">
        <f>VLOOKUP(Inventory[[#This Row],[Cnd]],Lookups!$T$7:$W$16,4,FALSE)</f>
        <v>0.99729999999999996</v>
      </c>
      <c r="BJ892" s="25">
        <f>VLOOKUP(Inventory[[#This Row],[LivArea Range]],Lookups!$T$25:$W$37,4,FALSE)</f>
        <v>0.96179999999999999</v>
      </c>
      <c r="BK892" s="25">
        <f>VLOOKUP(Inventory[[#This Row],[Decade]],Lookups!$O$25:$R$42,4,FALSE)</f>
        <v>0.995</v>
      </c>
      <c r="BL892" s="25">
        <f>Inventory[[#This Row],[Nbhd Adj]]*0.95</f>
        <v>0.94971499999999998</v>
      </c>
      <c r="BM892" s="25">
        <f>Inventory[[#This Row],[Nbhd Adj]]*Inventory[[#This Row],[Quality Adj]]*Inventory[[#This Row],[Condition Adj]]*Inventory[[#This Row],[Living Area Adj]]*Inventory[[#This Row],[Decade Adj]]*0.95</f>
        <v>0.88873967419451028</v>
      </c>
      <c r="BN892" s="25">
        <f>ROUND(SUM(Inventory[[#This Row],[Mdl Qlty]:[Mdl WdDeck]])+Inventory[[#This Row],[Mdl Res Intercept]]*Inventory[[#This Row],[Res Adj ]],-2)</f>
        <v>370700</v>
      </c>
      <c r="BO892" s="25">
        <f>ROUND(Inventory[[#This Row],[25Det]]*Inventory[[#This Row],[Det/Nbhd Adj]],-2)</f>
        <v>4400</v>
      </c>
      <c r="BP892" s="25">
        <f>Inventory[[#This Row],[Adjusted Res]]+Inventory[[#This Row],[Adj Det ]]</f>
        <v>375100</v>
      </c>
      <c r="BQ892" s="25">
        <f>ROUND((Inventory[[#This Row],[Mdl Land Intercept]]+Inventory[[#This Row],[Mdl LnAcres]])*Inventory[[#This Row],[Det/Nbhd Adj]],-2)</f>
        <v>46000</v>
      </c>
      <c r="BR892" s="25">
        <f>Inventory[[#This Row],[Adjusted Impr Total]]+Inventory[[#This Row],[Adjusted Land Total]]</f>
        <v>421100</v>
      </c>
      <c r="BS892" s="36">
        <f>IFERROR((Inventory[[#This Row],[Adjusted Impr Total]]-Inventory[[#This Row],[24Bldg]])/Inventory[[#This Row],[24Bldg]],0)</f>
        <v>8.977338756536897E-2</v>
      </c>
      <c r="BT892" s="36">
        <f>(Inventory[[#This Row],[Adjusted Land Total]]-Inventory[[#This Row],[24Lnd]])/Inventory[[#This Row],[24Lnd]]</f>
        <v>-0.33236574746008707</v>
      </c>
      <c r="BU892" s="36">
        <f>(Inventory[[#This Row],[Adjusted Total]]-Inventory[[#This Row],[24Final]])/Inventory[[#This Row],[24Final]]</f>
        <v>1.9365770999757927E-2</v>
      </c>
    </row>
    <row r="893" spans="1:73" x14ac:dyDescent="0.3">
      <c r="A893" s="25">
        <v>2025</v>
      </c>
      <c r="B893" s="26" t="s">
        <v>540</v>
      </c>
      <c r="C893" s="26">
        <f>LN(Inventory[[#This Row],[Acres]])</f>
        <v>-0.77652878949899629</v>
      </c>
      <c r="D893" s="25">
        <v>0.46</v>
      </c>
      <c r="E893" s="25">
        <v>19838</v>
      </c>
      <c r="F893" s="26" t="s">
        <v>537</v>
      </c>
      <c r="G893" s="26" t="s">
        <v>126</v>
      </c>
      <c r="H893" s="26" t="s">
        <v>349</v>
      </c>
      <c r="I893" s="26" t="s">
        <v>538</v>
      </c>
      <c r="J893" s="26" t="s">
        <v>539</v>
      </c>
      <c r="K893" s="26" t="s">
        <v>241</v>
      </c>
      <c r="L893" s="26" t="s">
        <v>148</v>
      </c>
      <c r="M893" s="26" t="s">
        <v>323</v>
      </c>
      <c r="N893" s="26">
        <v>80</v>
      </c>
      <c r="O893" s="26">
        <f>2024-Inventory[[#This Row],[YrBlt]]</f>
        <v>74</v>
      </c>
      <c r="P893" s="26">
        <f>2024-Inventory[[#This Row],[EffYr]]</f>
        <v>51</v>
      </c>
      <c r="Q893" s="25">
        <v>1950</v>
      </c>
      <c r="R893" s="25">
        <v>1973</v>
      </c>
      <c r="S893" s="25">
        <v>1878</v>
      </c>
      <c r="T893" s="31"/>
      <c r="U893" s="31"/>
      <c r="V893" s="27">
        <f>Inventory[[#This Row],[Bsmt]]-Inventory[[#This Row],[FnBsmt]]</f>
        <v>0</v>
      </c>
      <c r="W893" s="27"/>
      <c r="X893" s="27"/>
      <c r="Y893" s="27">
        <f>Inventory[[#This Row],[MainFn]]+Inventory[[#This Row],[UpprFn]]+Inventory[[#This Row],[FnBsmt]]+Inventory[[#This Row],[AddFn]]</f>
        <v>1878</v>
      </c>
      <c r="Z893" s="27">
        <v>2000</v>
      </c>
      <c r="AA893" s="25">
        <v>8</v>
      </c>
      <c r="AB893" s="32">
        <v>360</v>
      </c>
      <c r="AC893" s="27"/>
      <c r="AD893" s="31"/>
      <c r="AE893" s="27"/>
      <c r="AF893" s="27"/>
      <c r="AG893" s="27"/>
      <c r="AH893" s="27"/>
      <c r="AI893" s="25">
        <v>413174</v>
      </c>
      <c r="AJ893" s="25">
        <v>285090</v>
      </c>
      <c r="AK893" s="25">
        <v>0</v>
      </c>
      <c r="AL893" s="25">
        <v>371200</v>
      </c>
      <c r="AM893" s="25">
        <v>87500</v>
      </c>
      <c r="AN893" s="25">
        <v>283700</v>
      </c>
      <c r="AO893" s="25">
        <v>0</v>
      </c>
      <c r="AP893" s="25">
        <f>Lookups!$B$56*0</f>
        <v>0</v>
      </c>
      <c r="AQ893" s="25">
        <f>Lookups!$B$56*1</f>
        <v>89850.625589999996</v>
      </c>
      <c r="AR893" s="25">
        <f>Lookups!$B$57*Inventory[[#This Row],[LnAcres]]</f>
        <v>-24580.720443414604</v>
      </c>
      <c r="AS893" s="25">
        <f>VLOOKUP(Inventory[[#This Row],[Qlty]],Lookups!$A$62:$E$75,2,FALSE)</f>
        <v>44121.038090000002</v>
      </c>
      <c r="AT893" s="25">
        <f>VLOOKUP(Inventory[[#This Row],[Cnd]],Lookups!$A$76:$E$84,2,FALSE)</f>
        <v>160472.20319</v>
      </c>
      <c r="AU893" s="25">
        <f>Inventory[[#This Row],[EffAge]]*Lookups!$B$85</f>
        <v>-11375.3256255</v>
      </c>
      <c r="AV893" s="25">
        <f>Inventory[[#This Row],[MainFn]]*Lookups!$B$86</f>
        <v>92789.482029006002</v>
      </c>
      <c r="AW893" s="25">
        <f>Inventory[[#This Row],[UpprFn]]*Lookups!$B$87</f>
        <v>0</v>
      </c>
      <c r="AX893" s="25">
        <f>Inventory[[#This Row],[AddFn]]*Lookups!$B$88</f>
        <v>0</v>
      </c>
      <c r="AY893" s="25">
        <f>Inventory[[#This Row],[Bsmt]]*Lookups!$B$89</f>
        <v>0</v>
      </c>
      <c r="AZ893" s="25">
        <f>Inventory[[#This Row],[Fixtures]]*Lookups!$B$90</f>
        <v>30336.176841600001</v>
      </c>
      <c r="BA893" s="25">
        <f>Inventory[[#This Row],[WdDeck]]*Lookups!$B$91</f>
        <v>0</v>
      </c>
      <c r="BB893" s="25">
        <f>ROUND(Inventory[[#This Row],[25Det]],-2)</f>
        <v>0</v>
      </c>
      <c r="BC893" s="25">
        <f>ROUND(SUM(Inventory[[#This Row],[Mdl Qlty]:[Mdl WdDeck]])+Inventory[[#This Row],[Mdl Res Intercept]],-2)</f>
        <v>316300</v>
      </c>
      <c r="BD893" s="25">
        <f>ROUND(Inventory[[#This Row],[Mdl Land Intercept]]+Inventory[[#This Row],[Mdl LnAcres]],-2)</f>
        <v>65300</v>
      </c>
      <c r="BE893" s="25">
        <f>Inventory[[#This Row],[Unadj Res Value]]+Inventory[[#This Row],[Unadj Det Value]]+Inventory[[#This Row],[Unadj Land Value]]</f>
        <v>381600</v>
      </c>
      <c r="BF893" s="36">
        <f>(Inventory[[#This Row],[Unadj Total Value]]-Inventory[[#This Row],[24Final]])/Inventory[[#This Row],[24Final]]</f>
        <v>2.8017241379310345E-2</v>
      </c>
      <c r="BG893" s="25">
        <f>VLOOKUP(Inventory[[#This Row],[Nbhd]],Lookups!$Q$2:$T$4,4,FALSE)</f>
        <v>0.99970000000000003</v>
      </c>
      <c r="BH893" s="25">
        <f>VLOOKUP(Inventory[[#This Row],[Qlty]],Lookups!$O$7:$R$21,4,FALSE)</f>
        <v>0.98050000000000004</v>
      </c>
      <c r="BI893" s="25">
        <f>VLOOKUP(Inventory[[#This Row],[Cnd]],Lookups!$T$7:$W$16,4,FALSE)</f>
        <v>0.99729999999999996</v>
      </c>
      <c r="BJ893" s="25">
        <f>VLOOKUP(Inventory[[#This Row],[LivArea Range]],Lookups!$T$25:$W$37,4,FALSE)</f>
        <v>1.0093000000000001</v>
      </c>
      <c r="BK893" s="25">
        <f>VLOOKUP(Inventory[[#This Row],[Decade]],Lookups!$O$25:$R$42,4,FALSE)</f>
        <v>0.995</v>
      </c>
      <c r="BL893" s="25">
        <f>Inventory[[#This Row],[Nbhd Adj]]*0.95</f>
        <v>0.94971499999999998</v>
      </c>
      <c r="BM893" s="25">
        <f>Inventory[[#This Row],[Nbhd Adj]]*Inventory[[#This Row],[Quality Adj]]*Inventory[[#This Row],[Condition Adj]]*Inventory[[#This Row],[Living Area Adj]]*Inventory[[#This Row],[Decade Adj]]*0.95</f>
        <v>0.93263147552975589</v>
      </c>
      <c r="BN893" s="25">
        <f>ROUND(SUM(Inventory[[#This Row],[Mdl Qlty]:[Mdl WdDeck]])+Inventory[[#This Row],[Mdl Res Intercept]]*Inventory[[#This Row],[Res Adj ]],-2)</f>
        <v>316300</v>
      </c>
      <c r="BO893" s="25">
        <f>ROUND(Inventory[[#This Row],[25Det]]*Inventory[[#This Row],[Det/Nbhd Adj]],-2)</f>
        <v>0</v>
      </c>
      <c r="BP893" s="25">
        <f>Inventory[[#This Row],[Adjusted Res]]+Inventory[[#This Row],[Adj Det ]]</f>
        <v>316300</v>
      </c>
      <c r="BQ893" s="25">
        <f>ROUND((Inventory[[#This Row],[Mdl Land Intercept]]+Inventory[[#This Row],[Mdl LnAcres]])*Inventory[[#This Row],[Det/Nbhd Adj]],-2)</f>
        <v>62000</v>
      </c>
      <c r="BR893" s="25">
        <f>Inventory[[#This Row],[Adjusted Impr Total]]+Inventory[[#This Row],[Adjusted Land Total]]</f>
        <v>378300</v>
      </c>
      <c r="BS893" s="36">
        <f>IFERROR((Inventory[[#This Row],[Adjusted Impr Total]]-Inventory[[#This Row],[24Bldg]])/Inventory[[#This Row],[24Bldg]],0)</f>
        <v>0.11491011632005639</v>
      </c>
      <c r="BT893" s="36">
        <f>(Inventory[[#This Row],[Adjusted Land Total]]-Inventory[[#This Row],[24Lnd]])/Inventory[[#This Row],[24Lnd]]</f>
        <v>-0.29142857142857143</v>
      </c>
      <c r="BU893" s="36">
        <f>(Inventory[[#This Row],[Adjusted Total]]-Inventory[[#This Row],[24Final]])/Inventory[[#This Row],[24Final]]</f>
        <v>1.9127155172413791E-2</v>
      </c>
    </row>
    <row r="894" spans="1:73" x14ac:dyDescent="0.3">
      <c r="A894" s="25">
        <v>2025</v>
      </c>
      <c r="B894" s="26" t="s">
        <v>2798</v>
      </c>
      <c r="C894" s="26">
        <f>LN(Inventory[[#This Row],[Acres]])</f>
        <v>-1.7719568419318752</v>
      </c>
      <c r="D894" s="25">
        <v>0.17</v>
      </c>
      <c r="E894" s="25">
        <v>7504</v>
      </c>
      <c r="F894" s="26" t="s">
        <v>537</v>
      </c>
      <c r="G894" s="26" t="s">
        <v>126</v>
      </c>
      <c r="H894" s="26" t="s">
        <v>349</v>
      </c>
      <c r="I894" s="26" t="s">
        <v>538</v>
      </c>
      <c r="J894" s="26" t="s">
        <v>539</v>
      </c>
      <c r="K894" s="26" t="s">
        <v>241</v>
      </c>
      <c r="L894" s="26" t="s">
        <v>205</v>
      </c>
      <c r="M894" s="26" t="s">
        <v>323</v>
      </c>
      <c r="N894" s="26">
        <v>80</v>
      </c>
      <c r="O894" s="26">
        <f>2024-Inventory[[#This Row],[YrBlt]]</f>
        <v>74</v>
      </c>
      <c r="P894" s="26">
        <f>2024-Inventory[[#This Row],[EffYr]]</f>
        <v>51</v>
      </c>
      <c r="Q894" s="25">
        <v>1950</v>
      </c>
      <c r="R894" s="25">
        <v>1973</v>
      </c>
      <c r="S894" s="25">
        <v>1176</v>
      </c>
      <c r="T894" s="27"/>
      <c r="U894" s="25">
        <v>1176</v>
      </c>
      <c r="V894" s="25">
        <f>Inventory[[#This Row],[Bsmt]]-Inventory[[#This Row],[FnBsmt]]</f>
        <v>588</v>
      </c>
      <c r="W894" s="25">
        <v>588</v>
      </c>
      <c r="X894" s="27"/>
      <c r="Y894" s="27">
        <f>Inventory[[#This Row],[MainFn]]+Inventory[[#This Row],[UpprFn]]+Inventory[[#This Row],[FnBsmt]]+Inventory[[#This Row],[AddFn]]</f>
        <v>1764</v>
      </c>
      <c r="Z894" s="27">
        <v>2000</v>
      </c>
      <c r="AA894" s="25">
        <v>9</v>
      </c>
      <c r="AB894" s="27"/>
      <c r="AC894" s="27"/>
      <c r="AD894" s="27"/>
      <c r="AE894" s="27"/>
      <c r="AF894" s="27"/>
      <c r="AG894" s="27"/>
      <c r="AH894" s="27"/>
      <c r="AI894" s="25">
        <v>261279</v>
      </c>
      <c r="AJ894" s="25">
        <v>180283</v>
      </c>
      <c r="AK894" s="25">
        <v>20740</v>
      </c>
      <c r="AL894" s="25">
        <v>321200</v>
      </c>
      <c r="AM894" s="25">
        <v>52700</v>
      </c>
      <c r="AN894" s="25">
        <v>268500</v>
      </c>
      <c r="AO894" s="25">
        <v>0</v>
      </c>
      <c r="AP894" s="25">
        <f>Lookups!$B$56*0</f>
        <v>0</v>
      </c>
      <c r="AQ894" s="25">
        <f>Lookups!$B$56*1</f>
        <v>89850.625589999996</v>
      </c>
      <c r="AR894" s="25">
        <f>Lookups!$B$57*Inventory[[#This Row],[LnAcres]]</f>
        <v>-56090.612940989391</v>
      </c>
      <c r="AS894" s="25">
        <f>VLOOKUP(Inventory[[#This Row],[Qlty]],Lookups!$A$62:$E$75,2,FALSE)</f>
        <v>0</v>
      </c>
      <c r="AT894" s="25">
        <f>VLOOKUP(Inventory[[#This Row],[Cnd]],Lookups!$A$76:$E$84,2,FALSE)</f>
        <v>160472.20319</v>
      </c>
      <c r="AU894" s="25">
        <f>Inventory[[#This Row],[EffAge]]*Lookups!$B$85</f>
        <v>-11375.3256255</v>
      </c>
      <c r="AV894" s="25">
        <f>Inventory[[#This Row],[MainFn]]*Lookups!$B$86</f>
        <v>58104.595775351998</v>
      </c>
      <c r="AW894" s="25">
        <f>Inventory[[#This Row],[UpprFn]]*Lookups!$B$87</f>
        <v>0</v>
      </c>
      <c r="AX894" s="25">
        <f>Inventory[[#This Row],[AddFn]]*Lookups!$B$88</f>
        <v>0</v>
      </c>
      <c r="AY894" s="25">
        <f>Inventory[[#This Row],[Bsmt]]*Lookups!$B$89</f>
        <v>34200.308810472001</v>
      </c>
      <c r="AZ894" s="25">
        <f>Inventory[[#This Row],[Fixtures]]*Lookups!$B$90</f>
        <v>34128.198946800003</v>
      </c>
      <c r="BA894" s="25">
        <f>Inventory[[#This Row],[WdDeck]]*Lookups!$B$91</f>
        <v>0</v>
      </c>
      <c r="BB894" s="25">
        <f>ROUND(Inventory[[#This Row],[25Det]],-2)</f>
        <v>20700</v>
      </c>
      <c r="BC894" s="25">
        <f>ROUND(SUM(Inventory[[#This Row],[Mdl Qlty]:[Mdl WdDeck]])+Inventory[[#This Row],[Mdl Res Intercept]],-2)</f>
        <v>275500</v>
      </c>
      <c r="BD894" s="25">
        <f>ROUND(Inventory[[#This Row],[Mdl Land Intercept]]+Inventory[[#This Row],[Mdl LnAcres]],-2)</f>
        <v>33800</v>
      </c>
      <c r="BE894" s="25">
        <f>Inventory[[#This Row],[Unadj Res Value]]+Inventory[[#This Row],[Unadj Det Value]]+Inventory[[#This Row],[Unadj Land Value]]</f>
        <v>330000</v>
      </c>
      <c r="BF894" s="36">
        <f>(Inventory[[#This Row],[Unadj Total Value]]-Inventory[[#This Row],[24Final]])/Inventory[[#This Row],[24Final]]</f>
        <v>2.7397260273972601E-2</v>
      </c>
      <c r="BG894" s="25">
        <f>VLOOKUP(Inventory[[#This Row],[Nbhd]],Lookups!$Q$2:$T$4,4,FALSE)</f>
        <v>0.99970000000000003</v>
      </c>
      <c r="BH894" s="25">
        <f>VLOOKUP(Inventory[[#This Row],[Qlty]],Lookups!$O$7:$R$21,4,FALSE)</f>
        <v>0.99180000000000001</v>
      </c>
      <c r="BI894" s="25">
        <f>VLOOKUP(Inventory[[#This Row],[Cnd]],Lookups!$T$7:$W$16,4,FALSE)</f>
        <v>0.99729999999999996</v>
      </c>
      <c r="BJ894" s="25">
        <f>VLOOKUP(Inventory[[#This Row],[LivArea Range]],Lookups!$T$25:$W$37,4,FALSE)</f>
        <v>1.0093000000000001</v>
      </c>
      <c r="BK894" s="25">
        <f>VLOOKUP(Inventory[[#This Row],[Decade]],Lookups!$O$25:$R$42,4,FALSE)</f>
        <v>0.995</v>
      </c>
      <c r="BL894" s="25">
        <f>Inventory[[#This Row],[Nbhd Adj]]*0.95</f>
        <v>0.94971499999999998</v>
      </c>
      <c r="BM894" s="25">
        <f>Inventory[[#This Row],[Nbhd Adj]]*Inventory[[#This Row],[Quality Adj]]*Inventory[[#This Row],[Condition Adj]]*Inventory[[#This Row],[Living Area Adj]]*Inventory[[#This Row],[Decade Adj]]*0.95</f>
        <v>0.94337980360062423</v>
      </c>
      <c r="BN894" s="25">
        <f>ROUND(SUM(Inventory[[#This Row],[Mdl Qlty]:[Mdl WdDeck]])+Inventory[[#This Row],[Mdl Res Intercept]]*Inventory[[#This Row],[Res Adj ]],-2)</f>
        <v>275500</v>
      </c>
      <c r="BO894" s="25">
        <f>ROUND(Inventory[[#This Row],[25Det]]*Inventory[[#This Row],[Det/Nbhd Adj]],-2)</f>
        <v>19700</v>
      </c>
      <c r="BP894" s="25">
        <f>Inventory[[#This Row],[Adjusted Res]]+Inventory[[#This Row],[Adj Det ]]</f>
        <v>295200</v>
      </c>
      <c r="BQ894" s="25">
        <f>ROUND((Inventory[[#This Row],[Mdl Land Intercept]]+Inventory[[#This Row],[Mdl LnAcres]])*Inventory[[#This Row],[Det/Nbhd Adj]],-2)</f>
        <v>32100</v>
      </c>
      <c r="BR894" s="25">
        <f>Inventory[[#This Row],[Adjusted Impr Total]]+Inventory[[#This Row],[Adjusted Land Total]]</f>
        <v>327300</v>
      </c>
      <c r="BS894" s="36">
        <f>IFERROR((Inventory[[#This Row],[Adjusted Impr Total]]-Inventory[[#This Row],[24Bldg]])/Inventory[[#This Row],[24Bldg]],0)</f>
        <v>9.9441340782122911E-2</v>
      </c>
      <c r="BT894" s="36">
        <f>(Inventory[[#This Row],[Adjusted Land Total]]-Inventory[[#This Row],[24Lnd]])/Inventory[[#This Row],[24Lnd]]</f>
        <v>-0.39089184060721061</v>
      </c>
      <c r="BU894" s="36">
        <f>(Inventory[[#This Row],[Adjusted Total]]-Inventory[[#This Row],[24Final]])/Inventory[[#This Row],[24Final]]</f>
        <v>1.8991282689912826E-2</v>
      </c>
    </row>
    <row r="895" spans="1:73" x14ac:dyDescent="0.3">
      <c r="A895" s="25">
        <v>2025</v>
      </c>
      <c r="B895" s="26" t="s">
        <v>1182</v>
      </c>
      <c r="C895" s="26">
        <f>LN(Inventory[[#This Row],[Acres]])</f>
        <v>-1.5141277326297755</v>
      </c>
      <c r="D895" s="25">
        <v>0.22</v>
      </c>
      <c r="E895" s="31"/>
      <c r="F895" s="26" t="s">
        <v>537</v>
      </c>
      <c r="G895" s="26" t="s">
        <v>126</v>
      </c>
      <c r="H895" s="26" t="s">
        <v>349</v>
      </c>
      <c r="I895" s="26" t="s">
        <v>538</v>
      </c>
      <c r="J895" s="26" t="s">
        <v>539</v>
      </c>
      <c r="K895" s="26" t="s">
        <v>241</v>
      </c>
      <c r="L895" s="26" t="s">
        <v>351</v>
      </c>
      <c r="M895" s="26" t="s">
        <v>323</v>
      </c>
      <c r="N895" s="26">
        <v>80</v>
      </c>
      <c r="O895" s="26">
        <f>2024-Inventory[[#This Row],[YrBlt]]</f>
        <v>74</v>
      </c>
      <c r="P895" s="26">
        <f>2024-Inventory[[#This Row],[EffYr]]</f>
        <v>51</v>
      </c>
      <c r="Q895" s="25">
        <v>1950</v>
      </c>
      <c r="R895" s="25">
        <v>1973</v>
      </c>
      <c r="S895" s="25">
        <v>1152</v>
      </c>
      <c r="T895" s="31"/>
      <c r="U895" s="32">
        <v>288</v>
      </c>
      <c r="V895" s="32">
        <f>Inventory[[#This Row],[Bsmt]]-Inventory[[#This Row],[FnBsmt]]</f>
        <v>0</v>
      </c>
      <c r="W895" s="32">
        <v>288</v>
      </c>
      <c r="X895" s="27"/>
      <c r="Y895" s="27">
        <f>Inventory[[#This Row],[MainFn]]+Inventory[[#This Row],[UpprFn]]+Inventory[[#This Row],[FnBsmt]]+Inventory[[#This Row],[AddFn]]</f>
        <v>1440</v>
      </c>
      <c r="Z895" s="27">
        <v>1500</v>
      </c>
      <c r="AA895" s="25">
        <v>8</v>
      </c>
      <c r="AB895" s="32">
        <v>624</v>
      </c>
      <c r="AC895" s="27"/>
      <c r="AD895" s="31"/>
      <c r="AE895" s="27"/>
      <c r="AF895" s="27"/>
      <c r="AG895" s="27"/>
      <c r="AH895" s="27"/>
      <c r="AI895" s="25">
        <v>254735</v>
      </c>
      <c r="AJ895" s="25">
        <v>175767</v>
      </c>
      <c r="AK895" s="25">
        <v>0</v>
      </c>
      <c r="AL895" s="25">
        <v>300400</v>
      </c>
      <c r="AM895" s="25">
        <v>61700</v>
      </c>
      <c r="AN895" s="25">
        <v>238700</v>
      </c>
      <c r="AO895" s="25">
        <v>0</v>
      </c>
      <c r="AP895" s="25">
        <f>Lookups!$B$56*0</f>
        <v>0</v>
      </c>
      <c r="AQ895" s="25">
        <f>Lookups!$B$56*1</f>
        <v>89850.625589999996</v>
      </c>
      <c r="AR895" s="25">
        <f>Lookups!$B$57*Inventory[[#This Row],[LnAcres]]</f>
        <v>-47929.131559187132</v>
      </c>
      <c r="AS895" s="25">
        <f>VLOOKUP(Inventory[[#This Row],[Qlty]],Lookups!$A$62:$E$75,2,FALSE)</f>
        <v>21557.329055999999</v>
      </c>
      <c r="AT895" s="25">
        <f>VLOOKUP(Inventory[[#This Row],[Cnd]],Lookups!$A$76:$E$84,2,FALSE)</f>
        <v>160472.20319</v>
      </c>
      <c r="AU895" s="25">
        <f>Inventory[[#This Row],[EffAge]]*Lookups!$B$85</f>
        <v>-11375.3256255</v>
      </c>
      <c r="AV895" s="25">
        <f>Inventory[[#This Row],[MainFn]]*Lookups!$B$86</f>
        <v>56918.787698304004</v>
      </c>
      <c r="AW895" s="25">
        <f>Inventory[[#This Row],[UpprFn]]*Lookups!$B$87</f>
        <v>0</v>
      </c>
      <c r="AX895" s="25">
        <f>Inventory[[#This Row],[AddFn]]*Lookups!$B$88</f>
        <v>0</v>
      </c>
      <c r="AY895" s="25">
        <f>Inventory[[#This Row],[Bsmt]]*Lookups!$B$89</f>
        <v>8375.5858311359989</v>
      </c>
      <c r="AZ895" s="25">
        <f>Inventory[[#This Row],[Fixtures]]*Lookups!$B$90</f>
        <v>30336.176841600001</v>
      </c>
      <c r="BA895" s="25">
        <f>Inventory[[#This Row],[WdDeck]]*Lookups!$B$91</f>
        <v>0</v>
      </c>
      <c r="BB895" s="25">
        <f>ROUND(Inventory[[#This Row],[25Det]],-2)</f>
        <v>0</v>
      </c>
      <c r="BC895" s="25">
        <f>ROUND(SUM(Inventory[[#This Row],[Mdl Qlty]:[Mdl WdDeck]])+Inventory[[#This Row],[Mdl Res Intercept]],-2)</f>
        <v>266300</v>
      </c>
      <c r="BD895" s="25">
        <f>ROUND(Inventory[[#This Row],[Mdl Land Intercept]]+Inventory[[#This Row],[Mdl LnAcres]],-2)</f>
        <v>41900</v>
      </c>
      <c r="BE895" s="25">
        <f>Inventory[[#This Row],[Unadj Res Value]]+Inventory[[#This Row],[Unadj Det Value]]+Inventory[[#This Row],[Unadj Land Value]]</f>
        <v>308200</v>
      </c>
      <c r="BF895" s="36">
        <f>(Inventory[[#This Row],[Unadj Total Value]]-Inventory[[#This Row],[24Final]])/Inventory[[#This Row],[24Final]]</f>
        <v>2.5965379494007991E-2</v>
      </c>
      <c r="BG895" s="25">
        <f>VLOOKUP(Inventory[[#This Row],[Nbhd]],Lookups!$Q$2:$T$4,4,FALSE)</f>
        <v>0.99970000000000003</v>
      </c>
      <c r="BH895" s="25">
        <f>VLOOKUP(Inventory[[#This Row],[Qlty]],Lookups!$O$7:$R$21,4,FALSE)</f>
        <v>1.0067999999999999</v>
      </c>
      <c r="BI895" s="25">
        <f>VLOOKUP(Inventory[[#This Row],[Cnd]],Lookups!$T$7:$W$16,4,FALSE)</f>
        <v>0.99729999999999996</v>
      </c>
      <c r="BJ895" s="25">
        <f>VLOOKUP(Inventory[[#This Row],[LivArea Range]],Lookups!$T$25:$W$37,4,FALSE)</f>
        <v>1.0157</v>
      </c>
      <c r="BK895" s="25">
        <f>VLOOKUP(Inventory[[#This Row],[Decade]],Lookups!$O$25:$R$42,4,FALSE)</f>
        <v>0.995</v>
      </c>
      <c r="BL895" s="25">
        <f>Inventory[[#This Row],[Nbhd Adj]]*0.95</f>
        <v>0.94971499999999998</v>
      </c>
      <c r="BM895" s="25">
        <f>Inventory[[#This Row],[Nbhd Adj]]*Inventory[[#This Row],[Quality Adj]]*Inventory[[#This Row],[Condition Adj]]*Inventory[[#This Row],[Living Area Adj]]*Inventory[[#This Row],[Decade Adj]]*0.95</f>
        <v>0.96371996573175212</v>
      </c>
      <c r="BN895" s="25">
        <f>ROUND(SUM(Inventory[[#This Row],[Mdl Qlty]:[Mdl WdDeck]])+Inventory[[#This Row],[Mdl Res Intercept]]*Inventory[[#This Row],[Res Adj ]],-2)</f>
        <v>266300</v>
      </c>
      <c r="BO895" s="25">
        <f>ROUND(Inventory[[#This Row],[25Det]]*Inventory[[#This Row],[Det/Nbhd Adj]],-2)</f>
        <v>0</v>
      </c>
      <c r="BP895" s="25">
        <f>Inventory[[#This Row],[Adjusted Res]]+Inventory[[#This Row],[Adj Det ]]</f>
        <v>266300</v>
      </c>
      <c r="BQ895" s="25">
        <f>ROUND((Inventory[[#This Row],[Mdl Land Intercept]]+Inventory[[#This Row],[Mdl LnAcres]])*Inventory[[#This Row],[Det/Nbhd Adj]],-2)</f>
        <v>39800</v>
      </c>
      <c r="BR895" s="25">
        <f>Inventory[[#This Row],[Adjusted Impr Total]]+Inventory[[#This Row],[Adjusted Land Total]]</f>
        <v>306100</v>
      </c>
      <c r="BS895" s="36">
        <f>IFERROR((Inventory[[#This Row],[Adjusted Impr Total]]-Inventory[[#This Row],[24Bldg]])/Inventory[[#This Row],[24Bldg]],0)</f>
        <v>0.11562630917469627</v>
      </c>
      <c r="BT895" s="36">
        <f>(Inventory[[#This Row],[Adjusted Land Total]]-Inventory[[#This Row],[24Lnd]])/Inventory[[#This Row],[24Lnd]]</f>
        <v>-0.35494327390599678</v>
      </c>
      <c r="BU895" s="36">
        <f>(Inventory[[#This Row],[Adjusted Total]]-Inventory[[#This Row],[24Final]])/Inventory[[#This Row],[24Final]]</f>
        <v>1.8974700399467376E-2</v>
      </c>
    </row>
    <row r="896" spans="1:73" x14ac:dyDescent="0.3">
      <c r="A896" s="25">
        <v>2025</v>
      </c>
      <c r="B896" s="26" t="s">
        <v>1198</v>
      </c>
      <c r="C896" s="26">
        <f>LN(Inventory[[#This Row],[Acres]])</f>
        <v>-1.5141277326297755</v>
      </c>
      <c r="D896" s="25">
        <v>0.22</v>
      </c>
      <c r="E896" s="25">
        <v>9578</v>
      </c>
      <c r="F896" s="26" t="s">
        <v>537</v>
      </c>
      <c r="G896" s="26" t="s">
        <v>126</v>
      </c>
      <c r="H896" s="26" t="s">
        <v>349</v>
      </c>
      <c r="I896" s="26" t="s">
        <v>538</v>
      </c>
      <c r="J896" s="26" t="s">
        <v>539</v>
      </c>
      <c r="K896" s="26" t="s">
        <v>173</v>
      </c>
      <c r="L896" s="26" t="s">
        <v>148</v>
      </c>
      <c r="M896" s="26" t="s">
        <v>323</v>
      </c>
      <c r="N896" s="26">
        <v>80</v>
      </c>
      <c r="O896" s="26">
        <f>2024-Inventory[[#This Row],[YrBlt]]</f>
        <v>74</v>
      </c>
      <c r="P896" s="26">
        <f>2024-Inventory[[#This Row],[EffYr]]</f>
        <v>51</v>
      </c>
      <c r="Q896" s="25">
        <v>1950</v>
      </c>
      <c r="R896" s="25">
        <v>1973</v>
      </c>
      <c r="S896" s="25">
        <v>1818</v>
      </c>
      <c r="T896" s="32">
        <v>632</v>
      </c>
      <c r="U896" s="32">
        <v>1186</v>
      </c>
      <c r="V896" s="32">
        <f>Inventory[[#This Row],[Bsmt]]-Inventory[[#This Row],[FnBsmt]]</f>
        <v>0</v>
      </c>
      <c r="W896" s="32">
        <v>1186</v>
      </c>
      <c r="X896" s="27"/>
      <c r="Y896" s="27">
        <f>Inventory[[#This Row],[MainFn]]+Inventory[[#This Row],[UpprFn]]+Inventory[[#This Row],[FnBsmt]]+Inventory[[#This Row],[AddFn]]</f>
        <v>3636</v>
      </c>
      <c r="Z896" s="27">
        <v>4000</v>
      </c>
      <c r="AA896" s="25">
        <v>14</v>
      </c>
      <c r="AB896" s="31"/>
      <c r="AC896" s="27"/>
      <c r="AD896" s="32">
        <v>144</v>
      </c>
      <c r="AE896" s="27"/>
      <c r="AF896" s="27"/>
      <c r="AG896" s="27"/>
      <c r="AH896" s="27"/>
      <c r="AI896" s="25">
        <v>608454</v>
      </c>
      <c r="AJ896" s="25">
        <v>419833</v>
      </c>
      <c r="AK896" s="25">
        <v>14084</v>
      </c>
      <c r="AL896" s="25">
        <v>448500</v>
      </c>
      <c r="AM896" s="25">
        <v>61700</v>
      </c>
      <c r="AN896" s="25">
        <v>386800</v>
      </c>
      <c r="AO896" s="25">
        <v>0</v>
      </c>
      <c r="AP896" s="25">
        <f>Lookups!$B$56*0</f>
        <v>0</v>
      </c>
      <c r="AQ896" s="25">
        <f>Lookups!$B$56*1</f>
        <v>89850.625589999996</v>
      </c>
      <c r="AR896" s="25">
        <f>Lookups!$B$57*Inventory[[#This Row],[LnAcres]]</f>
        <v>-47929.131559187132</v>
      </c>
      <c r="AS896" s="25">
        <f>VLOOKUP(Inventory[[#This Row],[Qlty]],Lookups!$A$62:$E$75,2,FALSE)</f>
        <v>44121.038090000002</v>
      </c>
      <c r="AT896" s="25">
        <f>VLOOKUP(Inventory[[#This Row],[Cnd]],Lookups!$A$76:$E$84,2,FALSE)</f>
        <v>160472.20319</v>
      </c>
      <c r="AU896" s="25">
        <f>Inventory[[#This Row],[EffAge]]*Lookups!$B$85</f>
        <v>-11375.3256255</v>
      </c>
      <c r="AV896" s="25">
        <f>Inventory[[#This Row],[MainFn]]*Lookups!$B$86</f>
        <v>89824.961836386006</v>
      </c>
      <c r="AW896" s="25">
        <f>Inventory[[#This Row],[UpprFn]]*Lookups!$B$87</f>
        <v>28305.019248151999</v>
      </c>
      <c r="AX896" s="25">
        <f>Inventory[[#This Row],[AddFn]]*Lookups!$B$88</f>
        <v>0</v>
      </c>
      <c r="AY896" s="25">
        <f>Inventory[[#This Row],[Bsmt]]*Lookups!$B$89</f>
        <v>34491.127762942</v>
      </c>
      <c r="AZ896" s="25">
        <f>Inventory[[#This Row],[Fixtures]]*Lookups!$B$90</f>
        <v>53088.3094728</v>
      </c>
      <c r="BA896" s="25">
        <f>Inventory[[#This Row],[WdDeck]]*Lookups!$B$91</f>
        <v>4794.5541997440005</v>
      </c>
      <c r="BB896" s="25">
        <f>ROUND(Inventory[[#This Row],[25Det]],-2)</f>
        <v>14100</v>
      </c>
      <c r="BC896" s="25">
        <f>ROUND(SUM(Inventory[[#This Row],[Mdl Qlty]:[Mdl WdDeck]])+Inventory[[#This Row],[Mdl Res Intercept]],-2)</f>
        <v>403700</v>
      </c>
      <c r="BD896" s="25">
        <f>ROUND(Inventory[[#This Row],[Mdl Land Intercept]]+Inventory[[#This Row],[Mdl LnAcres]],-2)</f>
        <v>41900</v>
      </c>
      <c r="BE896" s="25">
        <f>Inventory[[#This Row],[Unadj Res Value]]+Inventory[[#This Row],[Unadj Det Value]]+Inventory[[#This Row],[Unadj Land Value]]</f>
        <v>459700</v>
      </c>
      <c r="BF896" s="36">
        <f>(Inventory[[#This Row],[Unadj Total Value]]-Inventory[[#This Row],[24Final]])/Inventory[[#This Row],[24Final]]</f>
        <v>2.4972129319955409E-2</v>
      </c>
      <c r="BG896" s="25">
        <f>VLOOKUP(Inventory[[#This Row],[Nbhd]],Lookups!$Q$2:$T$4,4,FALSE)</f>
        <v>0.99970000000000003</v>
      </c>
      <c r="BH896" s="25">
        <f>VLOOKUP(Inventory[[#This Row],[Qlty]],Lookups!$O$7:$R$21,4,FALSE)</f>
        <v>0.98050000000000004</v>
      </c>
      <c r="BI896" s="25">
        <f>VLOOKUP(Inventory[[#This Row],[Cnd]],Lookups!$T$7:$W$16,4,FALSE)</f>
        <v>0.99729999999999996</v>
      </c>
      <c r="BJ896" s="25">
        <f>VLOOKUP(Inventory[[#This Row],[LivArea Range]],Lookups!$T$25:$W$37,4,FALSE)</f>
        <v>0.94579999999999997</v>
      </c>
      <c r="BK896" s="25">
        <f>VLOOKUP(Inventory[[#This Row],[Decade]],Lookups!$O$25:$R$42,4,FALSE)</f>
        <v>0.995</v>
      </c>
      <c r="BL896" s="25">
        <f>Inventory[[#This Row],[Nbhd Adj]]*0.95</f>
        <v>0.94971499999999998</v>
      </c>
      <c r="BM896" s="25">
        <f>Inventory[[#This Row],[Nbhd Adj]]*Inventory[[#This Row],[Quality Adj]]*Inventory[[#This Row],[Condition Adj]]*Inventory[[#This Row],[Living Area Adj]]*Inventory[[#This Row],[Decade Adj]]*0.95</f>
        <v>0.87395506742895379</v>
      </c>
      <c r="BN896" s="25">
        <f>ROUND(SUM(Inventory[[#This Row],[Mdl Qlty]:[Mdl WdDeck]])+Inventory[[#This Row],[Mdl Res Intercept]]*Inventory[[#This Row],[Res Adj ]],-2)</f>
        <v>403700</v>
      </c>
      <c r="BO896" s="25">
        <f>ROUND(Inventory[[#This Row],[25Det]]*Inventory[[#This Row],[Det/Nbhd Adj]],-2)</f>
        <v>13400</v>
      </c>
      <c r="BP896" s="25">
        <f>Inventory[[#This Row],[Adjusted Res]]+Inventory[[#This Row],[Adj Det ]]</f>
        <v>417100</v>
      </c>
      <c r="BQ896" s="25">
        <f>ROUND((Inventory[[#This Row],[Mdl Land Intercept]]+Inventory[[#This Row],[Mdl LnAcres]])*Inventory[[#This Row],[Det/Nbhd Adj]],-2)</f>
        <v>39800</v>
      </c>
      <c r="BR896" s="25">
        <f>Inventory[[#This Row],[Adjusted Impr Total]]+Inventory[[#This Row],[Adjusted Land Total]]</f>
        <v>456900</v>
      </c>
      <c r="BS896" s="36">
        <f>IFERROR((Inventory[[#This Row],[Adjusted Impr Total]]-Inventory[[#This Row],[24Bldg]])/Inventory[[#This Row],[24Bldg]],0)</f>
        <v>7.833505687693898E-2</v>
      </c>
      <c r="BT896" s="36">
        <f>(Inventory[[#This Row],[Adjusted Land Total]]-Inventory[[#This Row],[24Lnd]])/Inventory[[#This Row],[24Lnd]]</f>
        <v>-0.35494327390599678</v>
      </c>
      <c r="BU896" s="36">
        <f>(Inventory[[#This Row],[Adjusted Total]]-Inventory[[#This Row],[24Final]])/Inventory[[#This Row],[24Final]]</f>
        <v>1.8729096989966554E-2</v>
      </c>
    </row>
    <row r="897" spans="1:73" x14ac:dyDescent="0.3">
      <c r="A897" s="25">
        <v>2025</v>
      </c>
      <c r="B897" s="26" t="s">
        <v>1872</v>
      </c>
      <c r="C897" s="26">
        <f>LN(Inventory[[#This Row],[Acres]])</f>
        <v>-1.4271163556401458</v>
      </c>
      <c r="D897" s="25">
        <v>0.24</v>
      </c>
      <c r="E897" s="31"/>
      <c r="F897" s="26" t="s">
        <v>537</v>
      </c>
      <c r="G897" s="26" t="s">
        <v>126</v>
      </c>
      <c r="H897" s="26" t="s">
        <v>349</v>
      </c>
      <c r="I897" s="26" t="s">
        <v>538</v>
      </c>
      <c r="J897" s="26" t="s">
        <v>539</v>
      </c>
      <c r="K897" s="26" t="s">
        <v>241</v>
      </c>
      <c r="L897" s="26" t="s">
        <v>302</v>
      </c>
      <c r="M897" s="26" t="s">
        <v>323</v>
      </c>
      <c r="N897" s="26">
        <v>80</v>
      </c>
      <c r="O897" s="26">
        <f>2024-Inventory[[#This Row],[YrBlt]]</f>
        <v>74</v>
      </c>
      <c r="P897" s="26">
        <f>2024-Inventory[[#This Row],[EffYr]]</f>
        <v>51</v>
      </c>
      <c r="Q897" s="25">
        <v>1950</v>
      </c>
      <c r="R897" s="25">
        <v>1973</v>
      </c>
      <c r="S897" s="25">
        <v>1627</v>
      </c>
      <c r="T897" s="27"/>
      <c r="U897" s="25">
        <v>1483</v>
      </c>
      <c r="V897" s="25">
        <f>Inventory[[#This Row],[Bsmt]]-Inventory[[#This Row],[FnBsmt]]</f>
        <v>0</v>
      </c>
      <c r="W897" s="25">
        <v>1483</v>
      </c>
      <c r="X897" s="27"/>
      <c r="Y897" s="27">
        <f>Inventory[[#This Row],[MainFn]]+Inventory[[#This Row],[UpprFn]]+Inventory[[#This Row],[FnBsmt]]+Inventory[[#This Row],[AddFn]]</f>
        <v>3110</v>
      </c>
      <c r="Z897" s="27">
        <v>3500</v>
      </c>
      <c r="AA897" s="25">
        <v>8</v>
      </c>
      <c r="AB897" s="32">
        <v>330</v>
      </c>
      <c r="AC897" s="27"/>
      <c r="AD897" s="32">
        <v>220</v>
      </c>
      <c r="AE897" s="27"/>
      <c r="AF897" s="27"/>
      <c r="AG897" s="27"/>
      <c r="AH897" s="27"/>
      <c r="AI897" s="25">
        <v>467161</v>
      </c>
      <c r="AJ897" s="25">
        <v>322341</v>
      </c>
      <c r="AK897" s="25">
        <v>0</v>
      </c>
      <c r="AL897" s="25">
        <v>375700</v>
      </c>
      <c r="AM897" s="25">
        <v>64800</v>
      </c>
      <c r="AN897" s="25">
        <v>310900</v>
      </c>
      <c r="AO897" s="25">
        <v>0</v>
      </c>
      <c r="AP897" s="25">
        <f>Lookups!$B$56*0</f>
        <v>0</v>
      </c>
      <c r="AQ897" s="25">
        <f>Lookups!$B$56*1</f>
        <v>89850.625589999996</v>
      </c>
      <c r="AR897" s="25">
        <f>Lookups!$B$57*Inventory[[#This Row],[LnAcres]]</f>
        <v>-45174.819855485119</v>
      </c>
      <c r="AS897" s="25">
        <f>VLOOKUP(Inventory[[#This Row],[Qlty]],Lookups!$A$62:$E$75,2,FALSE)</f>
        <v>29814.093161000001</v>
      </c>
      <c r="AT897" s="25">
        <f>VLOOKUP(Inventory[[#This Row],[Cnd]],Lookups!$A$76:$E$84,2,FALSE)</f>
        <v>160472.20319</v>
      </c>
      <c r="AU897" s="25">
        <f>Inventory[[#This Row],[EffAge]]*Lookups!$B$85</f>
        <v>-11375.3256255</v>
      </c>
      <c r="AV897" s="25">
        <f>Inventory[[#This Row],[MainFn]]*Lookups!$B$86</f>
        <v>80387.905889878995</v>
      </c>
      <c r="AW897" s="25">
        <f>Inventory[[#This Row],[UpprFn]]*Lookups!$B$87</f>
        <v>0</v>
      </c>
      <c r="AX897" s="25">
        <f>Inventory[[#This Row],[AddFn]]*Lookups!$B$88</f>
        <v>0</v>
      </c>
      <c r="AY897" s="25">
        <f>Inventory[[#This Row],[Bsmt]]*Lookups!$B$89</f>
        <v>43128.450651300998</v>
      </c>
      <c r="AZ897" s="25">
        <f>Inventory[[#This Row],[Fixtures]]*Lookups!$B$90</f>
        <v>30336.176841600001</v>
      </c>
      <c r="BA897" s="25">
        <f>Inventory[[#This Row],[WdDeck]]*Lookups!$B$91</f>
        <v>7325.0133607200005</v>
      </c>
      <c r="BB897" s="25">
        <f>ROUND(Inventory[[#This Row],[25Det]],-2)</f>
        <v>0</v>
      </c>
      <c r="BC897" s="25">
        <f>ROUND(SUM(Inventory[[#This Row],[Mdl Qlty]:[Mdl WdDeck]])+Inventory[[#This Row],[Mdl Res Intercept]],-2)</f>
        <v>340100</v>
      </c>
      <c r="BD897" s="25">
        <f>ROUND(Inventory[[#This Row],[Mdl Land Intercept]]+Inventory[[#This Row],[Mdl LnAcres]],-2)</f>
        <v>44700</v>
      </c>
      <c r="BE897" s="25">
        <f>Inventory[[#This Row],[Unadj Res Value]]+Inventory[[#This Row],[Unadj Det Value]]+Inventory[[#This Row],[Unadj Land Value]]</f>
        <v>384800</v>
      </c>
      <c r="BF897" s="36">
        <f>(Inventory[[#This Row],[Unadj Total Value]]-Inventory[[#This Row],[24Final]])/Inventory[[#This Row],[24Final]]</f>
        <v>2.4221453287197232E-2</v>
      </c>
      <c r="BG897" s="25">
        <f>VLOOKUP(Inventory[[#This Row],[Nbhd]],Lookups!$Q$2:$T$4,4,FALSE)</f>
        <v>0.99970000000000003</v>
      </c>
      <c r="BH897" s="25">
        <f>VLOOKUP(Inventory[[#This Row],[Qlty]],Lookups!$O$7:$R$21,4,FALSE)</f>
        <v>1.0088999999999999</v>
      </c>
      <c r="BI897" s="25">
        <f>VLOOKUP(Inventory[[#This Row],[Cnd]],Lookups!$T$7:$W$16,4,FALSE)</f>
        <v>0.99729999999999996</v>
      </c>
      <c r="BJ897" s="25">
        <f>VLOOKUP(Inventory[[#This Row],[LivArea Range]],Lookups!$T$25:$W$37,4,FALSE)</f>
        <v>1.0126999999999999</v>
      </c>
      <c r="BK897" s="25">
        <f>VLOOKUP(Inventory[[#This Row],[Decade]],Lookups!$O$25:$R$42,4,FALSE)</f>
        <v>0.995</v>
      </c>
      <c r="BL897" s="25">
        <f>Inventory[[#This Row],[Nbhd Adj]]*0.95</f>
        <v>0.94971499999999998</v>
      </c>
      <c r="BM897" s="25">
        <f>Inventory[[#This Row],[Nbhd Adj]]*Inventory[[#This Row],[Quality Adj]]*Inventory[[#This Row],[Condition Adj]]*Inventory[[#This Row],[Living Area Adj]]*Inventory[[#This Row],[Decade Adj]]*0.95</f>
        <v>0.96287770115981319</v>
      </c>
      <c r="BN897" s="25">
        <f>ROUND(SUM(Inventory[[#This Row],[Mdl Qlty]:[Mdl WdDeck]])+Inventory[[#This Row],[Mdl Res Intercept]]*Inventory[[#This Row],[Res Adj ]],-2)</f>
        <v>340100</v>
      </c>
      <c r="BO897" s="25">
        <f>ROUND(Inventory[[#This Row],[25Det]]*Inventory[[#This Row],[Det/Nbhd Adj]],-2)</f>
        <v>0</v>
      </c>
      <c r="BP897" s="25">
        <f>Inventory[[#This Row],[Adjusted Res]]+Inventory[[#This Row],[Adj Det ]]</f>
        <v>340100</v>
      </c>
      <c r="BQ897" s="25">
        <f>ROUND((Inventory[[#This Row],[Mdl Land Intercept]]+Inventory[[#This Row],[Mdl LnAcres]])*Inventory[[#This Row],[Det/Nbhd Adj]],-2)</f>
        <v>42400</v>
      </c>
      <c r="BR897" s="25">
        <f>Inventory[[#This Row],[Adjusted Impr Total]]+Inventory[[#This Row],[Adjusted Land Total]]</f>
        <v>382500</v>
      </c>
      <c r="BS897" s="36">
        <f>IFERROR((Inventory[[#This Row],[Adjusted Impr Total]]-Inventory[[#This Row],[24Bldg]])/Inventory[[#This Row],[24Bldg]],0)</f>
        <v>9.3920874879382443E-2</v>
      </c>
      <c r="BT897" s="36">
        <f>(Inventory[[#This Row],[Adjusted Land Total]]-Inventory[[#This Row],[24Lnd]])/Inventory[[#This Row],[24Lnd]]</f>
        <v>-0.34567901234567899</v>
      </c>
      <c r="BU897" s="36">
        <f>(Inventory[[#This Row],[Adjusted Total]]-Inventory[[#This Row],[24Final]])/Inventory[[#This Row],[24Final]]</f>
        <v>1.8099547511312219E-2</v>
      </c>
    </row>
    <row r="898" spans="1:73" x14ac:dyDescent="0.3">
      <c r="A898" s="25">
        <v>2025</v>
      </c>
      <c r="B898" s="26" t="s">
        <v>2878</v>
      </c>
      <c r="C898" s="26">
        <f>LN(Inventory[[#This Row],[Acres]])</f>
        <v>-1.7719568419318752</v>
      </c>
      <c r="D898" s="25">
        <v>0.17</v>
      </c>
      <c r="E898" s="25">
        <v>7194</v>
      </c>
      <c r="F898" s="26" t="s">
        <v>537</v>
      </c>
      <c r="G898" s="26" t="s">
        <v>126</v>
      </c>
      <c r="H898" s="26" t="s">
        <v>349</v>
      </c>
      <c r="I898" s="26" t="s">
        <v>538</v>
      </c>
      <c r="J898" s="26" t="s">
        <v>539</v>
      </c>
      <c r="K898" s="26" t="s">
        <v>242</v>
      </c>
      <c r="L898" s="26" t="s">
        <v>205</v>
      </c>
      <c r="M898" s="26" t="s">
        <v>323</v>
      </c>
      <c r="N898" s="26">
        <v>80</v>
      </c>
      <c r="O898" s="26">
        <f>2024-Inventory[[#This Row],[YrBlt]]</f>
        <v>74</v>
      </c>
      <c r="P898" s="26">
        <f>2024-Inventory[[#This Row],[EffYr]]</f>
        <v>51</v>
      </c>
      <c r="Q898" s="25">
        <v>1950</v>
      </c>
      <c r="R898" s="25">
        <v>1973</v>
      </c>
      <c r="S898" s="25">
        <v>914</v>
      </c>
      <c r="T898" s="27"/>
      <c r="U898" s="25">
        <v>914</v>
      </c>
      <c r="V898" s="25">
        <f>Inventory[[#This Row],[Bsmt]]-Inventory[[#This Row],[FnBsmt]]</f>
        <v>457</v>
      </c>
      <c r="W898" s="25">
        <v>457</v>
      </c>
      <c r="X898" s="27"/>
      <c r="Y898" s="27">
        <f>Inventory[[#This Row],[MainFn]]+Inventory[[#This Row],[UpprFn]]+Inventory[[#This Row],[FnBsmt]]+Inventory[[#This Row],[AddFn]]</f>
        <v>1371</v>
      </c>
      <c r="Z898" s="27">
        <v>1500</v>
      </c>
      <c r="AA898" s="25">
        <v>8</v>
      </c>
      <c r="AB898" s="27"/>
      <c r="AC898" s="27"/>
      <c r="AD898" s="27"/>
      <c r="AE898" s="27"/>
      <c r="AF898" s="27"/>
      <c r="AG898" s="27"/>
      <c r="AH898" s="27"/>
      <c r="AI898" s="25">
        <v>203876</v>
      </c>
      <c r="AJ898" s="25">
        <v>140674</v>
      </c>
      <c r="AK898" s="25">
        <v>4960</v>
      </c>
      <c r="AL898" s="25">
        <v>283000</v>
      </c>
      <c r="AM898" s="25">
        <v>52700</v>
      </c>
      <c r="AN898" s="25">
        <v>230300</v>
      </c>
      <c r="AO898" s="25">
        <v>0</v>
      </c>
      <c r="AP898" s="25">
        <f>Lookups!$B$56*0</f>
        <v>0</v>
      </c>
      <c r="AQ898" s="25">
        <f>Lookups!$B$56*1</f>
        <v>89850.625589999996</v>
      </c>
      <c r="AR898" s="25">
        <f>Lookups!$B$57*Inventory[[#This Row],[LnAcres]]</f>
        <v>-56090.612940989391</v>
      </c>
      <c r="AS898" s="25">
        <f>VLOOKUP(Inventory[[#This Row],[Qlty]],Lookups!$A$62:$E$75,2,FALSE)</f>
        <v>0</v>
      </c>
      <c r="AT898" s="25">
        <f>VLOOKUP(Inventory[[#This Row],[Cnd]],Lookups!$A$76:$E$84,2,FALSE)</f>
        <v>160472.20319</v>
      </c>
      <c r="AU898" s="25">
        <f>Inventory[[#This Row],[EffAge]]*Lookups!$B$85</f>
        <v>-11375.3256255</v>
      </c>
      <c r="AV898" s="25">
        <f>Inventory[[#This Row],[MainFn]]*Lookups!$B$86</f>
        <v>45159.524267578003</v>
      </c>
      <c r="AW898" s="25">
        <f>Inventory[[#This Row],[UpprFn]]*Lookups!$B$87</f>
        <v>0</v>
      </c>
      <c r="AX898" s="25">
        <f>Inventory[[#This Row],[AddFn]]*Lookups!$B$88</f>
        <v>0</v>
      </c>
      <c r="AY898" s="25">
        <f>Inventory[[#This Row],[Bsmt]]*Lookups!$B$89</f>
        <v>26580.852255758</v>
      </c>
      <c r="AZ898" s="25">
        <f>Inventory[[#This Row],[Fixtures]]*Lookups!$B$90</f>
        <v>30336.176841600001</v>
      </c>
      <c r="BA898" s="25">
        <f>Inventory[[#This Row],[WdDeck]]*Lookups!$B$91</f>
        <v>0</v>
      </c>
      <c r="BB898" s="25">
        <f>ROUND(Inventory[[#This Row],[25Det]],-2)</f>
        <v>5000</v>
      </c>
      <c r="BC898" s="25">
        <f>ROUND(SUM(Inventory[[#This Row],[Mdl Qlty]:[Mdl WdDeck]])+Inventory[[#This Row],[Mdl Res Intercept]],-2)</f>
        <v>251200</v>
      </c>
      <c r="BD898" s="25">
        <f>ROUND(Inventory[[#This Row],[Mdl Land Intercept]]+Inventory[[#This Row],[Mdl LnAcres]],-2)</f>
        <v>33800</v>
      </c>
      <c r="BE898" s="25">
        <f>Inventory[[#This Row],[Unadj Res Value]]+Inventory[[#This Row],[Unadj Det Value]]+Inventory[[#This Row],[Unadj Land Value]]</f>
        <v>290000</v>
      </c>
      <c r="BF898" s="36">
        <f>(Inventory[[#This Row],[Unadj Total Value]]-Inventory[[#This Row],[24Final]])/Inventory[[#This Row],[24Final]]</f>
        <v>2.4734982332155476E-2</v>
      </c>
      <c r="BG898" s="25">
        <f>VLOOKUP(Inventory[[#This Row],[Nbhd]],Lookups!$Q$2:$T$4,4,FALSE)</f>
        <v>0.99970000000000003</v>
      </c>
      <c r="BH898" s="25">
        <f>VLOOKUP(Inventory[[#This Row],[Qlty]],Lookups!$O$7:$R$21,4,FALSE)</f>
        <v>0.99180000000000001</v>
      </c>
      <c r="BI898" s="25">
        <f>VLOOKUP(Inventory[[#This Row],[Cnd]],Lookups!$T$7:$W$16,4,FALSE)</f>
        <v>0.99729999999999996</v>
      </c>
      <c r="BJ898" s="25">
        <f>VLOOKUP(Inventory[[#This Row],[LivArea Range]],Lookups!$T$25:$W$37,4,FALSE)</f>
        <v>1.0157</v>
      </c>
      <c r="BK898" s="25">
        <f>VLOOKUP(Inventory[[#This Row],[Decade]],Lookups!$O$25:$R$42,4,FALSE)</f>
        <v>0.995</v>
      </c>
      <c r="BL898" s="25">
        <f>Inventory[[#This Row],[Nbhd Adj]]*0.95</f>
        <v>0.94971499999999998</v>
      </c>
      <c r="BM898" s="25">
        <f>Inventory[[#This Row],[Nbhd Adj]]*Inventory[[#This Row],[Quality Adj]]*Inventory[[#This Row],[Condition Adj]]*Inventory[[#This Row],[Living Area Adj]]*Inventory[[#This Row],[Decade Adj]]*0.95</f>
        <v>0.94936180176077878</v>
      </c>
      <c r="BN898" s="25">
        <f>ROUND(SUM(Inventory[[#This Row],[Mdl Qlty]:[Mdl WdDeck]])+Inventory[[#This Row],[Mdl Res Intercept]]*Inventory[[#This Row],[Res Adj ]],-2)</f>
        <v>251200</v>
      </c>
      <c r="BO898" s="25">
        <f>ROUND(Inventory[[#This Row],[25Det]]*Inventory[[#This Row],[Det/Nbhd Adj]],-2)</f>
        <v>4700</v>
      </c>
      <c r="BP898" s="25">
        <f>Inventory[[#This Row],[Adjusted Res]]+Inventory[[#This Row],[Adj Det ]]</f>
        <v>255900</v>
      </c>
      <c r="BQ898" s="25">
        <f>ROUND((Inventory[[#This Row],[Mdl Land Intercept]]+Inventory[[#This Row],[Mdl LnAcres]])*Inventory[[#This Row],[Det/Nbhd Adj]],-2)</f>
        <v>32100</v>
      </c>
      <c r="BR898" s="25">
        <f>Inventory[[#This Row],[Adjusted Impr Total]]+Inventory[[#This Row],[Adjusted Land Total]]</f>
        <v>288000</v>
      </c>
      <c r="BS898" s="36">
        <f>IFERROR((Inventory[[#This Row],[Adjusted Impr Total]]-Inventory[[#This Row],[24Bldg]])/Inventory[[#This Row],[24Bldg]],0)</f>
        <v>0.11115935735996527</v>
      </c>
      <c r="BT898" s="36">
        <f>(Inventory[[#This Row],[Adjusted Land Total]]-Inventory[[#This Row],[24Lnd]])/Inventory[[#This Row],[24Lnd]]</f>
        <v>-0.39089184060721061</v>
      </c>
      <c r="BU898" s="36">
        <f>(Inventory[[#This Row],[Adjusted Total]]-Inventory[[#This Row],[24Final]])/Inventory[[#This Row],[24Final]]</f>
        <v>1.7667844522968199E-2</v>
      </c>
    </row>
    <row r="899" spans="1:73" x14ac:dyDescent="0.3">
      <c r="A899" s="25">
        <v>2025</v>
      </c>
      <c r="B899" s="26" t="s">
        <v>814</v>
      </c>
      <c r="C899" s="26">
        <f>LN(Inventory[[#This Row],[Acres]])</f>
        <v>-1.6094379124341003</v>
      </c>
      <c r="D899" s="25">
        <v>0.2</v>
      </c>
      <c r="E899" s="25">
        <v>8919</v>
      </c>
      <c r="F899" s="26" t="s">
        <v>537</v>
      </c>
      <c r="G899" s="26" t="s">
        <v>126</v>
      </c>
      <c r="H899" s="26" t="s">
        <v>349</v>
      </c>
      <c r="I899" s="26" t="s">
        <v>538</v>
      </c>
      <c r="J899" s="26" t="s">
        <v>539</v>
      </c>
      <c r="K899" s="26" t="s">
        <v>242</v>
      </c>
      <c r="L899" s="26" t="s">
        <v>205</v>
      </c>
      <c r="M899" s="26" t="s">
        <v>323</v>
      </c>
      <c r="N899" s="26">
        <v>80</v>
      </c>
      <c r="O899" s="26">
        <f>2024-Inventory[[#This Row],[YrBlt]]</f>
        <v>74</v>
      </c>
      <c r="P899" s="26">
        <f>2024-Inventory[[#This Row],[EffYr]]</f>
        <v>51</v>
      </c>
      <c r="Q899" s="25">
        <v>1950</v>
      </c>
      <c r="R899" s="25">
        <v>1973</v>
      </c>
      <c r="S899" s="25">
        <v>1084</v>
      </c>
      <c r="T899" s="27"/>
      <c r="U899" s="25">
        <v>1084</v>
      </c>
      <c r="V899" s="25">
        <f>Inventory[[#This Row],[Bsmt]]-Inventory[[#This Row],[FnBsmt]]</f>
        <v>542</v>
      </c>
      <c r="W899" s="25">
        <v>542</v>
      </c>
      <c r="X899" s="27"/>
      <c r="Y899" s="27">
        <f>Inventory[[#This Row],[MainFn]]+Inventory[[#This Row],[UpprFn]]+Inventory[[#This Row],[FnBsmt]]+Inventory[[#This Row],[AddFn]]</f>
        <v>1626</v>
      </c>
      <c r="Z899" s="27">
        <v>2000</v>
      </c>
      <c r="AA899" s="25">
        <v>5</v>
      </c>
      <c r="AB899" s="31"/>
      <c r="AC899" s="27"/>
      <c r="AD899" s="27"/>
      <c r="AE899" s="27"/>
      <c r="AF899" s="27"/>
      <c r="AG899" s="27"/>
      <c r="AH899" s="27"/>
      <c r="AI899" s="25">
        <v>231963</v>
      </c>
      <c r="AJ899" s="25">
        <v>160054</v>
      </c>
      <c r="AK899" s="25">
        <v>5261</v>
      </c>
      <c r="AL899" s="25">
        <v>290100</v>
      </c>
      <c r="AM899" s="25">
        <v>58400</v>
      </c>
      <c r="AN899" s="25">
        <v>231700</v>
      </c>
      <c r="AO899" s="25">
        <v>0</v>
      </c>
      <c r="AP899" s="25">
        <f>Lookups!$B$56*0</f>
        <v>0</v>
      </c>
      <c r="AQ899" s="25">
        <f>Lookups!$B$56*1</f>
        <v>89850.625589999996</v>
      </c>
      <c r="AR899" s="25">
        <f>Lookups!$B$57*Inventory[[#This Row],[LnAcres]]</f>
        <v>-50946.13867709865</v>
      </c>
      <c r="AS899" s="25">
        <f>VLOOKUP(Inventory[[#This Row],[Qlty]],Lookups!$A$62:$E$75,2,FALSE)</f>
        <v>0</v>
      </c>
      <c r="AT899" s="25">
        <f>VLOOKUP(Inventory[[#This Row],[Cnd]],Lookups!$A$76:$E$84,2,FALSE)</f>
        <v>160472.20319</v>
      </c>
      <c r="AU899" s="25">
        <f>Inventory[[#This Row],[EffAge]]*Lookups!$B$85</f>
        <v>-11375.3256255</v>
      </c>
      <c r="AV899" s="25">
        <f>Inventory[[#This Row],[MainFn]]*Lookups!$B$86</f>
        <v>53558.998146668004</v>
      </c>
      <c r="AW899" s="25">
        <f>Inventory[[#This Row],[UpprFn]]*Lookups!$B$87</f>
        <v>0</v>
      </c>
      <c r="AX899" s="25">
        <f>Inventory[[#This Row],[AddFn]]*Lookups!$B$88</f>
        <v>0</v>
      </c>
      <c r="AY899" s="25">
        <f>Inventory[[#This Row],[Bsmt]]*Lookups!$B$89</f>
        <v>31524.774447747997</v>
      </c>
      <c r="AZ899" s="25">
        <f>Inventory[[#This Row],[Fixtures]]*Lookups!$B$90</f>
        <v>18960.110526</v>
      </c>
      <c r="BA899" s="25">
        <f>Inventory[[#This Row],[WdDeck]]*Lookups!$B$91</f>
        <v>0</v>
      </c>
      <c r="BB899" s="25">
        <f>ROUND(Inventory[[#This Row],[25Det]],-2)</f>
        <v>5300</v>
      </c>
      <c r="BC899" s="25">
        <f>ROUND(SUM(Inventory[[#This Row],[Mdl Qlty]:[Mdl WdDeck]])+Inventory[[#This Row],[Mdl Res Intercept]],-2)</f>
        <v>253100</v>
      </c>
      <c r="BD899" s="25">
        <f>ROUND(Inventory[[#This Row],[Mdl Land Intercept]]+Inventory[[#This Row],[Mdl LnAcres]],-2)</f>
        <v>38900</v>
      </c>
      <c r="BE899" s="25">
        <f>Inventory[[#This Row],[Unadj Res Value]]+Inventory[[#This Row],[Unadj Det Value]]+Inventory[[#This Row],[Unadj Land Value]]</f>
        <v>297300</v>
      </c>
      <c r="BF899" s="36">
        <f>(Inventory[[#This Row],[Unadj Total Value]]-Inventory[[#This Row],[24Final]])/Inventory[[#This Row],[24Final]]</f>
        <v>2.481902792140641E-2</v>
      </c>
      <c r="BG899" s="25">
        <f>VLOOKUP(Inventory[[#This Row],[Nbhd]],Lookups!$Q$2:$T$4,4,FALSE)</f>
        <v>0.99970000000000003</v>
      </c>
      <c r="BH899" s="25">
        <f>VLOOKUP(Inventory[[#This Row],[Qlty]],Lookups!$O$7:$R$21,4,FALSE)</f>
        <v>0.99180000000000001</v>
      </c>
      <c r="BI899" s="25">
        <f>VLOOKUP(Inventory[[#This Row],[Cnd]],Lookups!$T$7:$W$16,4,FALSE)</f>
        <v>0.99729999999999996</v>
      </c>
      <c r="BJ899" s="25">
        <f>VLOOKUP(Inventory[[#This Row],[LivArea Range]],Lookups!$T$25:$W$37,4,FALSE)</f>
        <v>1.0093000000000001</v>
      </c>
      <c r="BK899" s="25">
        <f>VLOOKUP(Inventory[[#This Row],[Decade]],Lookups!$O$25:$R$42,4,FALSE)</f>
        <v>0.995</v>
      </c>
      <c r="BL899" s="25">
        <f>Inventory[[#This Row],[Nbhd Adj]]*0.95</f>
        <v>0.94971499999999998</v>
      </c>
      <c r="BM899" s="25">
        <f>Inventory[[#This Row],[Nbhd Adj]]*Inventory[[#This Row],[Quality Adj]]*Inventory[[#This Row],[Condition Adj]]*Inventory[[#This Row],[Living Area Adj]]*Inventory[[#This Row],[Decade Adj]]*0.95</f>
        <v>0.94337980360062423</v>
      </c>
      <c r="BN899" s="25">
        <f>ROUND(SUM(Inventory[[#This Row],[Mdl Qlty]:[Mdl WdDeck]])+Inventory[[#This Row],[Mdl Res Intercept]]*Inventory[[#This Row],[Res Adj ]],-2)</f>
        <v>253100</v>
      </c>
      <c r="BO899" s="25">
        <f>ROUND(Inventory[[#This Row],[25Det]]*Inventory[[#This Row],[Det/Nbhd Adj]],-2)</f>
        <v>5000</v>
      </c>
      <c r="BP899" s="25">
        <f>Inventory[[#This Row],[Adjusted Res]]+Inventory[[#This Row],[Adj Det ]]</f>
        <v>258100</v>
      </c>
      <c r="BQ899" s="25">
        <f>ROUND((Inventory[[#This Row],[Mdl Land Intercept]]+Inventory[[#This Row],[Mdl LnAcres]])*Inventory[[#This Row],[Det/Nbhd Adj]],-2)</f>
        <v>36900</v>
      </c>
      <c r="BR899" s="25">
        <f>Inventory[[#This Row],[Adjusted Impr Total]]+Inventory[[#This Row],[Adjusted Land Total]]</f>
        <v>295000</v>
      </c>
      <c r="BS899" s="36">
        <f>IFERROR((Inventory[[#This Row],[Adjusted Impr Total]]-Inventory[[#This Row],[24Bldg]])/Inventory[[#This Row],[24Bldg]],0)</f>
        <v>0.11394044022442815</v>
      </c>
      <c r="BT899" s="36">
        <f>(Inventory[[#This Row],[Adjusted Land Total]]-Inventory[[#This Row],[24Lnd]])/Inventory[[#This Row],[24Lnd]]</f>
        <v>-0.36815068493150682</v>
      </c>
      <c r="BU899" s="36">
        <f>(Inventory[[#This Row],[Adjusted Total]]-Inventory[[#This Row],[24Final]])/Inventory[[#This Row],[24Final]]</f>
        <v>1.6890727335401586E-2</v>
      </c>
    </row>
    <row r="900" spans="1:73" x14ac:dyDescent="0.3">
      <c r="A900" s="25">
        <v>2025</v>
      </c>
      <c r="B900" s="26" t="s">
        <v>1761</v>
      </c>
      <c r="C900" s="26">
        <f>LN(Inventory[[#This Row],[Acres]])</f>
        <v>-1.7147984280919266</v>
      </c>
      <c r="D900" s="25">
        <v>0.18</v>
      </c>
      <c r="E900" s="31"/>
      <c r="F900" s="26" t="s">
        <v>537</v>
      </c>
      <c r="G900" s="26" t="s">
        <v>126</v>
      </c>
      <c r="H900" s="26" t="s">
        <v>349</v>
      </c>
      <c r="I900" s="26" t="s">
        <v>538</v>
      </c>
      <c r="J900" s="26" t="s">
        <v>539</v>
      </c>
      <c r="K900" s="26" t="s">
        <v>242</v>
      </c>
      <c r="L900" s="26" t="s">
        <v>351</v>
      </c>
      <c r="M900" s="26" t="s">
        <v>323</v>
      </c>
      <c r="N900" s="26">
        <v>80</v>
      </c>
      <c r="O900" s="26">
        <f>2024-Inventory[[#This Row],[YrBlt]]</f>
        <v>74</v>
      </c>
      <c r="P900" s="26">
        <f>2024-Inventory[[#This Row],[EffYr]]</f>
        <v>51</v>
      </c>
      <c r="Q900" s="25">
        <v>1950</v>
      </c>
      <c r="R900" s="25">
        <v>1973</v>
      </c>
      <c r="S900" s="25">
        <v>968</v>
      </c>
      <c r="T900" s="31"/>
      <c r="U900" s="25">
        <v>968</v>
      </c>
      <c r="V900" s="25">
        <f>Inventory[[#This Row],[Bsmt]]-Inventory[[#This Row],[FnBsmt]]</f>
        <v>0</v>
      </c>
      <c r="W900" s="25">
        <v>968</v>
      </c>
      <c r="X900" s="27"/>
      <c r="Y900" s="27">
        <f>Inventory[[#This Row],[MainFn]]+Inventory[[#This Row],[UpprFn]]+Inventory[[#This Row],[FnBsmt]]+Inventory[[#This Row],[AddFn]]</f>
        <v>1936</v>
      </c>
      <c r="Z900" s="27">
        <v>2000</v>
      </c>
      <c r="AA900" s="25">
        <v>8</v>
      </c>
      <c r="AB900" s="32">
        <v>242</v>
      </c>
      <c r="AC900" s="27"/>
      <c r="AD900" s="27"/>
      <c r="AE900" s="27"/>
      <c r="AF900" s="27"/>
      <c r="AG900" s="27"/>
      <c r="AH900" s="27"/>
      <c r="AI900" s="25">
        <v>262167</v>
      </c>
      <c r="AJ900" s="25">
        <v>180895</v>
      </c>
      <c r="AK900" s="25">
        <v>0</v>
      </c>
      <c r="AL900" s="25">
        <v>305800</v>
      </c>
      <c r="AM900" s="25">
        <v>54700</v>
      </c>
      <c r="AN900" s="25">
        <v>251100</v>
      </c>
      <c r="AO900" s="25">
        <v>0</v>
      </c>
      <c r="AP900" s="25">
        <f>Lookups!$B$56*0</f>
        <v>0</v>
      </c>
      <c r="AQ900" s="25">
        <f>Lookups!$B$56*1</f>
        <v>89850.625589999996</v>
      </c>
      <c r="AR900" s="25">
        <f>Lookups!$B$57*Inventory[[#This Row],[LnAcres]]</f>
        <v>-54281.285314520763</v>
      </c>
      <c r="AS900" s="25">
        <f>VLOOKUP(Inventory[[#This Row],[Qlty]],Lookups!$A$62:$E$75,2,FALSE)</f>
        <v>21557.329055999999</v>
      </c>
      <c r="AT900" s="25">
        <f>VLOOKUP(Inventory[[#This Row],[Cnd]],Lookups!$A$76:$E$84,2,FALSE)</f>
        <v>160472.20319</v>
      </c>
      <c r="AU900" s="25">
        <f>Inventory[[#This Row],[EffAge]]*Lookups!$B$85</f>
        <v>-11375.3256255</v>
      </c>
      <c r="AV900" s="25">
        <f>Inventory[[#This Row],[MainFn]]*Lookups!$B$86</f>
        <v>47827.592440936001</v>
      </c>
      <c r="AW900" s="25">
        <f>Inventory[[#This Row],[UpprFn]]*Lookups!$B$87</f>
        <v>0</v>
      </c>
      <c r="AX900" s="25">
        <f>Inventory[[#This Row],[AddFn]]*Lookups!$B$88</f>
        <v>0</v>
      </c>
      <c r="AY900" s="25">
        <f>Inventory[[#This Row],[Bsmt]]*Lookups!$B$89</f>
        <v>28151.274599095999</v>
      </c>
      <c r="AZ900" s="25">
        <f>Inventory[[#This Row],[Fixtures]]*Lookups!$B$90</f>
        <v>30336.176841600001</v>
      </c>
      <c r="BA900" s="25">
        <f>Inventory[[#This Row],[WdDeck]]*Lookups!$B$91</f>
        <v>0</v>
      </c>
      <c r="BB900" s="25">
        <f>ROUND(Inventory[[#This Row],[25Det]],-2)</f>
        <v>0</v>
      </c>
      <c r="BC900" s="25">
        <f>ROUND(SUM(Inventory[[#This Row],[Mdl Qlty]:[Mdl WdDeck]])+Inventory[[#This Row],[Mdl Res Intercept]],-2)</f>
        <v>277000</v>
      </c>
      <c r="BD900" s="25">
        <f>ROUND(Inventory[[#This Row],[Mdl Land Intercept]]+Inventory[[#This Row],[Mdl LnAcres]],-2)</f>
        <v>35600</v>
      </c>
      <c r="BE900" s="25">
        <f>Inventory[[#This Row],[Unadj Res Value]]+Inventory[[#This Row],[Unadj Det Value]]+Inventory[[#This Row],[Unadj Land Value]]</f>
        <v>312600</v>
      </c>
      <c r="BF900" s="36">
        <f>(Inventory[[#This Row],[Unadj Total Value]]-Inventory[[#This Row],[24Final]])/Inventory[[#This Row],[24Final]]</f>
        <v>2.2236756049705691E-2</v>
      </c>
      <c r="BG900" s="25">
        <f>VLOOKUP(Inventory[[#This Row],[Nbhd]],Lookups!$Q$2:$T$4,4,FALSE)</f>
        <v>0.99970000000000003</v>
      </c>
      <c r="BH900" s="25">
        <f>VLOOKUP(Inventory[[#This Row],[Qlty]],Lookups!$O$7:$R$21,4,FALSE)</f>
        <v>1.0067999999999999</v>
      </c>
      <c r="BI900" s="25">
        <f>VLOOKUP(Inventory[[#This Row],[Cnd]],Lookups!$T$7:$W$16,4,FALSE)</f>
        <v>0.99729999999999996</v>
      </c>
      <c r="BJ900" s="25">
        <f>VLOOKUP(Inventory[[#This Row],[LivArea Range]],Lookups!$T$25:$W$37,4,FALSE)</f>
        <v>1.0093000000000001</v>
      </c>
      <c r="BK900" s="25">
        <f>VLOOKUP(Inventory[[#This Row],[Decade]],Lookups!$O$25:$R$42,4,FALSE)</f>
        <v>0.995</v>
      </c>
      <c r="BL900" s="25">
        <f>Inventory[[#This Row],[Nbhd Adj]]*0.95</f>
        <v>0.94971499999999998</v>
      </c>
      <c r="BM900" s="25">
        <f>Inventory[[#This Row],[Nbhd Adj]]*Inventory[[#This Row],[Quality Adj]]*Inventory[[#This Row],[Condition Adj]]*Inventory[[#This Row],[Living Area Adj]]*Inventory[[#This Row],[Decade Adj]]*0.95</f>
        <v>0.957647495730095</v>
      </c>
      <c r="BN900" s="25">
        <f>ROUND(SUM(Inventory[[#This Row],[Mdl Qlty]:[Mdl WdDeck]])+Inventory[[#This Row],[Mdl Res Intercept]]*Inventory[[#This Row],[Res Adj ]],-2)</f>
        <v>277000</v>
      </c>
      <c r="BO900" s="25">
        <f>ROUND(Inventory[[#This Row],[25Det]]*Inventory[[#This Row],[Det/Nbhd Adj]],-2)</f>
        <v>0</v>
      </c>
      <c r="BP900" s="25">
        <f>Inventory[[#This Row],[Adjusted Res]]+Inventory[[#This Row],[Adj Det ]]</f>
        <v>277000</v>
      </c>
      <c r="BQ900" s="25">
        <f>ROUND((Inventory[[#This Row],[Mdl Land Intercept]]+Inventory[[#This Row],[Mdl LnAcres]])*Inventory[[#This Row],[Det/Nbhd Adj]],-2)</f>
        <v>33800</v>
      </c>
      <c r="BR900" s="25">
        <f>Inventory[[#This Row],[Adjusted Impr Total]]+Inventory[[#This Row],[Adjusted Land Total]]</f>
        <v>310800</v>
      </c>
      <c r="BS900" s="36">
        <f>IFERROR((Inventory[[#This Row],[Adjusted Impr Total]]-Inventory[[#This Row],[24Bldg]])/Inventory[[#This Row],[24Bldg]],0)</f>
        <v>0.10314615690959777</v>
      </c>
      <c r="BT900" s="36">
        <f>(Inventory[[#This Row],[Adjusted Land Total]]-Inventory[[#This Row],[24Lnd]])/Inventory[[#This Row],[24Lnd]]</f>
        <v>-0.38208409506398539</v>
      </c>
      <c r="BU900" s="36">
        <f>(Inventory[[#This Row],[Adjusted Total]]-Inventory[[#This Row],[24Final]])/Inventory[[#This Row],[24Final]]</f>
        <v>1.6350555918901243E-2</v>
      </c>
    </row>
    <row r="901" spans="1:73" x14ac:dyDescent="0.3">
      <c r="A901" s="25">
        <v>2025</v>
      </c>
      <c r="B901" s="26" t="s">
        <v>1157</v>
      </c>
      <c r="C901" s="26">
        <f>LN(Inventory[[#This Row],[Acres]])</f>
        <v>-1.6094379124341003</v>
      </c>
      <c r="D901" s="25">
        <v>0.2</v>
      </c>
      <c r="E901" s="31"/>
      <c r="F901" s="26" t="s">
        <v>537</v>
      </c>
      <c r="G901" s="26" t="s">
        <v>126</v>
      </c>
      <c r="H901" s="26" t="s">
        <v>349</v>
      </c>
      <c r="I901" s="26" t="s">
        <v>538</v>
      </c>
      <c r="J901" s="26" t="s">
        <v>539</v>
      </c>
      <c r="K901" s="26" t="s">
        <v>241</v>
      </c>
      <c r="L901" s="26" t="s">
        <v>205</v>
      </c>
      <c r="M901" s="26" t="s">
        <v>323</v>
      </c>
      <c r="N901" s="26">
        <v>80</v>
      </c>
      <c r="O901" s="26">
        <f>2024-Inventory[[#This Row],[YrBlt]]</f>
        <v>74</v>
      </c>
      <c r="P901" s="26">
        <f>2024-Inventory[[#This Row],[EffYr]]</f>
        <v>51</v>
      </c>
      <c r="Q901" s="25">
        <v>1950</v>
      </c>
      <c r="R901" s="25">
        <v>1973</v>
      </c>
      <c r="S901" s="25">
        <v>1286</v>
      </c>
      <c r="T901" s="27"/>
      <c r="U901" s="31"/>
      <c r="V901" s="31">
        <f>Inventory[[#This Row],[Bsmt]]-Inventory[[#This Row],[FnBsmt]]</f>
        <v>0</v>
      </c>
      <c r="W901" s="31"/>
      <c r="X901" s="27"/>
      <c r="Y901" s="27">
        <f>Inventory[[#This Row],[MainFn]]+Inventory[[#This Row],[UpprFn]]+Inventory[[#This Row],[FnBsmt]]+Inventory[[#This Row],[AddFn]]</f>
        <v>1286</v>
      </c>
      <c r="Z901" s="27">
        <v>1500</v>
      </c>
      <c r="AA901" s="25">
        <v>5</v>
      </c>
      <c r="AB901" s="25">
        <v>352</v>
      </c>
      <c r="AC901" s="27"/>
      <c r="AD901" s="27"/>
      <c r="AE901" s="27"/>
      <c r="AF901" s="27"/>
      <c r="AG901" s="27"/>
      <c r="AH901" s="27"/>
      <c r="AI901" s="25">
        <v>203882</v>
      </c>
      <c r="AJ901" s="25">
        <v>140679</v>
      </c>
      <c r="AK901" s="25">
        <v>0</v>
      </c>
      <c r="AL901" s="25">
        <v>264200</v>
      </c>
      <c r="AM901" s="25">
        <v>58400</v>
      </c>
      <c r="AN901" s="25">
        <v>205800</v>
      </c>
      <c r="AO901" s="25">
        <v>0</v>
      </c>
      <c r="AP901" s="25">
        <f>Lookups!$B$56*0</f>
        <v>0</v>
      </c>
      <c r="AQ901" s="25">
        <f>Lookups!$B$56*1</f>
        <v>89850.625589999996</v>
      </c>
      <c r="AR901" s="25">
        <f>Lookups!$B$57*Inventory[[#This Row],[LnAcres]]</f>
        <v>-50946.13867709865</v>
      </c>
      <c r="AS901" s="25">
        <f>VLOOKUP(Inventory[[#This Row],[Qlty]],Lookups!$A$62:$E$75,2,FALSE)</f>
        <v>0</v>
      </c>
      <c r="AT901" s="25">
        <f>VLOOKUP(Inventory[[#This Row],[Cnd]],Lookups!$A$76:$E$84,2,FALSE)</f>
        <v>160472.20319</v>
      </c>
      <c r="AU901" s="25">
        <f>Inventory[[#This Row],[EffAge]]*Lookups!$B$85</f>
        <v>-11375.3256255</v>
      </c>
      <c r="AV901" s="25">
        <f>Inventory[[#This Row],[MainFn]]*Lookups!$B$86</f>
        <v>63539.549461822004</v>
      </c>
      <c r="AW901" s="25">
        <f>Inventory[[#This Row],[UpprFn]]*Lookups!$B$87</f>
        <v>0</v>
      </c>
      <c r="AX901" s="25">
        <f>Inventory[[#This Row],[AddFn]]*Lookups!$B$88</f>
        <v>0</v>
      </c>
      <c r="AY901" s="25">
        <f>Inventory[[#This Row],[Bsmt]]*Lookups!$B$89</f>
        <v>0</v>
      </c>
      <c r="AZ901" s="25">
        <f>Inventory[[#This Row],[Fixtures]]*Lookups!$B$90</f>
        <v>18960.110526</v>
      </c>
      <c r="BA901" s="25">
        <f>Inventory[[#This Row],[WdDeck]]*Lookups!$B$91</f>
        <v>0</v>
      </c>
      <c r="BB901" s="25">
        <f>ROUND(Inventory[[#This Row],[25Det]],-2)</f>
        <v>0</v>
      </c>
      <c r="BC901" s="25">
        <f>ROUND(SUM(Inventory[[#This Row],[Mdl Qlty]:[Mdl WdDeck]])+Inventory[[#This Row],[Mdl Res Intercept]],-2)</f>
        <v>231600</v>
      </c>
      <c r="BD901" s="25">
        <f>ROUND(Inventory[[#This Row],[Mdl Land Intercept]]+Inventory[[#This Row],[Mdl LnAcres]],-2)</f>
        <v>38900</v>
      </c>
      <c r="BE901" s="25">
        <f>Inventory[[#This Row],[Unadj Res Value]]+Inventory[[#This Row],[Unadj Det Value]]+Inventory[[#This Row],[Unadj Land Value]]</f>
        <v>270500</v>
      </c>
      <c r="BF901" s="36">
        <f>(Inventory[[#This Row],[Unadj Total Value]]-Inventory[[#This Row],[24Final]])/Inventory[[#This Row],[24Final]]</f>
        <v>2.384557153671461E-2</v>
      </c>
      <c r="BG901" s="25">
        <f>VLOOKUP(Inventory[[#This Row],[Nbhd]],Lookups!$Q$2:$T$4,4,FALSE)</f>
        <v>0.99970000000000003</v>
      </c>
      <c r="BH901" s="25">
        <f>VLOOKUP(Inventory[[#This Row],[Qlty]],Lookups!$O$7:$R$21,4,FALSE)</f>
        <v>0.99180000000000001</v>
      </c>
      <c r="BI901" s="25">
        <f>VLOOKUP(Inventory[[#This Row],[Cnd]],Lookups!$T$7:$W$16,4,FALSE)</f>
        <v>0.99729999999999996</v>
      </c>
      <c r="BJ901" s="25">
        <f>VLOOKUP(Inventory[[#This Row],[LivArea Range]],Lookups!$T$25:$W$37,4,FALSE)</f>
        <v>1.0157</v>
      </c>
      <c r="BK901" s="25">
        <f>VLOOKUP(Inventory[[#This Row],[Decade]],Lookups!$O$25:$R$42,4,FALSE)</f>
        <v>0.995</v>
      </c>
      <c r="BL901" s="25">
        <f>Inventory[[#This Row],[Nbhd Adj]]*0.95</f>
        <v>0.94971499999999998</v>
      </c>
      <c r="BM901" s="25">
        <f>Inventory[[#This Row],[Nbhd Adj]]*Inventory[[#This Row],[Quality Adj]]*Inventory[[#This Row],[Condition Adj]]*Inventory[[#This Row],[Living Area Adj]]*Inventory[[#This Row],[Decade Adj]]*0.95</f>
        <v>0.94936180176077878</v>
      </c>
      <c r="BN901" s="25">
        <f>ROUND(SUM(Inventory[[#This Row],[Mdl Qlty]:[Mdl WdDeck]])+Inventory[[#This Row],[Mdl Res Intercept]]*Inventory[[#This Row],[Res Adj ]],-2)</f>
        <v>231600</v>
      </c>
      <c r="BO901" s="25">
        <f>ROUND(Inventory[[#This Row],[25Det]]*Inventory[[#This Row],[Det/Nbhd Adj]],-2)</f>
        <v>0</v>
      </c>
      <c r="BP901" s="25">
        <f>Inventory[[#This Row],[Adjusted Res]]+Inventory[[#This Row],[Adj Det ]]</f>
        <v>231600</v>
      </c>
      <c r="BQ901" s="25">
        <f>ROUND((Inventory[[#This Row],[Mdl Land Intercept]]+Inventory[[#This Row],[Mdl LnAcres]])*Inventory[[#This Row],[Det/Nbhd Adj]],-2)</f>
        <v>36900</v>
      </c>
      <c r="BR901" s="25">
        <f>Inventory[[#This Row],[Adjusted Impr Total]]+Inventory[[#This Row],[Adjusted Land Total]]</f>
        <v>268500</v>
      </c>
      <c r="BS901" s="36">
        <f>IFERROR((Inventory[[#This Row],[Adjusted Impr Total]]-Inventory[[#This Row],[24Bldg]])/Inventory[[#This Row],[24Bldg]],0)</f>
        <v>0.12536443148688048</v>
      </c>
      <c r="BT901" s="36">
        <f>(Inventory[[#This Row],[Adjusted Land Total]]-Inventory[[#This Row],[24Lnd]])/Inventory[[#This Row],[24Lnd]]</f>
        <v>-0.36815068493150682</v>
      </c>
      <c r="BU901" s="36">
        <f>(Inventory[[#This Row],[Adjusted Total]]-Inventory[[#This Row],[24Final]])/Inventory[[#This Row],[24Final]]</f>
        <v>1.6275548826646481E-2</v>
      </c>
    </row>
    <row r="902" spans="1:73" x14ac:dyDescent="0.3">
      <c r="A902" s="25">
        <v>2025</v>
      </c>
      <c r="B902" s="26" t="s">
        <v>766</v>
      </c>
      <c r="C902" s="26">
        <f>LN(Inventory[[#This Row],[Acres]])</f>
        <v>-1.5606477482646683</v>
      </c>
      <c r="D902" s="25">
        <v>0.21</v>
      </c>
      <c r="E902" s="25">
        <v>9154</v>
      </c>
      <c r="F902" s="26" t="s">
        <v>537</v>
      </c>
      <c r="G902" s="26" t="s">
        <v>126</v>
      </c>
      <c r="H902" s="26" t="s">
        <v>349</v>
      </c>
      <c r="I902" s="26" t="s">
        <v>538</v>
      </c>
      <c r="J902" s="26" t="s">
        <v>539</v>
      </c>
      <c r="K902" s="26" t="s">
        <v>241</v>
      </c>
      <c r="L902" s="26" t="s">
        <v>148</v>
      </c>
      <c r="M902" s="26" t="s">
        <v>323</v>
      </c>
      <c r="N902" s="26">
        <v>80</v>
      </c>
      <c r="O902" s="26">
        <f>2024-Inventory[[#This Row],[YrBlt]]</f>
        <v>74</v>
      </c>
      <c r="P902" s="26">
        <f>2024-Inventory[[#This Row],[EffYr]]</f>
        <v>51</v>
      </c>
      <c r="Q902" s="25">
        <v>1950</v>
      </c>
      <c r="R902" s="25">
        <v>1973</v>
      </c>
      <c r="S902" s="25">
        <v>1094</v>
      </c>
      <c r="T902" s="31"/>
      <c r="U902" s="25">
        <v>1094</v>
      </c>
      <c r="V902" s="25">
        <f>Inventory[[#This Row],[Bsmt]]-Inventory[[#This Row],[FnBsmt]]</f>
        <v>0</v>
      </c>
      <c r="W902" s="25">
        <v>1094</v>
      </c>
      <c r="X902" s="27"/>
      <c r="Y902" s="27">
        <f>Inventory[[#This Row],[MainFn]]+Inventory[[#This Row],[UpprFn]]+Inventory[[#This Row],[FnBsmt]]+Inventory[[#This Row],[AddFn]]</f>
        <v>2188</v>
      </c>
      <c r="Z902" s="27">
        <v>2500</v>
      </c>
      <c r="AA902" s="25">
        <v>7</v>
      </c>
      <c r="AB902" s="27"/>
      <c r="AC902" s="27"/>
      <c r="AD902" s="27"/>
      <c r="AE902" s="27"/>
      <c r="AF902" s="27"/>
      <c r="AG902" s="27"/>
      <c r="AH902" s="27"/>
      <c r="AI902" s="25">
        <v>388695</v>
      </c>
      <c r="AJ902" s="25">
        <v>268200</v>
      </c>
      <c r="AK902" s="25">
        <v>7343</v>
      </c>
      <c r="AL902" s="25">
        <v>345700</v>
      </c>
      <c r="AM902" s="25">
        <v>60100</v>
      </c>
      <c r="AN902" s="25">
        <v>285600</v>
      </c>
      <c r="AO902" s="25">
        <v>0</v>
      </c>
      <c r="AP902" s="25">
        <f>Lookups!$B$56*0</f>
        <v>0</v>
      </c>
      <c r="AQ902" s="25">
        <f>Lookups!$B$56*1</f>
        <v>89850.625589999996</v>
      </c>
      <c r="AR902" s="25">
        <f>Lookups!$B$57*Inventory[[#This Row],[LnAcres]]</f>
        <v>-49401.70477837498</v>
      </c>
      <c r="AS902" s="25">
        <f>VLOOKUP(Inventory[[#This Row],[Qlty]],Lookups!$A$62:$E$75,2,FALSE)</f>
        <v>44121.038090000002</v>
      </c>
      <c r="AT902" s="25">
        <f>VLOOKUP(Inventory[[#This Row],[Cnd]],Lookups!$A$76:$E$84,2,FALSE)</f>
        <v>160472.20319</v>
      </c>
      <c r="AU902" s="25">
        <f>Inventory[[#This Row],[EffAge]]*Lookups!$B$85</f>
        <v>-11375.3256255</v>
      </c>
      <c r="AV902" s="25">
        <f>Inventory[[#This Row],[MainFn]]*Lookups!$B$86</f>
        <v>54053.084845438003</v>
      </c>
      <c r="AW902" s="25">
        <f>Inventory[[#This Row],[UpprFn]]*Lookups!$B$87</f>
        <v>0</v>
      </c>
      <c r="AX902" s="25">
        <f>Inventory[[#This Row],[AddFn]]*Lookups!$B$88</f>
        <v>0</v>
      </c>
      <c r="AY902" s="25">
        <f>Inventory[[#This Row],[Bsmt]]*Lookups!$B$89</f>
        <v>31815.593400218</v>
      </c>
      <c r="AZ902" s="25">
        <f>Inventory[[#This Row],[Fixtures]]*Lookups!$B$90</f>
        <v>26544.1547364</v>
      </c>
      <c r="BA902" s="25">
        <f>Inventory[[#This Row],[WdDeck]]*Lookups!$B$91</f>
        <v>0</v>
      </c>
      <c r="BB902" s="25">
        <f>ROUND(Inventory[[#This Row],[25Det]],-2)</f>
        <v>7300</v>
      </c>
      <c r="BC902" s="25">
        <f>ROUND(SUM(Inventory[[#This Row],[Mdl Qlty]:[Mdl WdDeck]])+Inventory[[#This Row],[Mdl Res Intercept]],-2)</f>
        <v>305600</v>
      </c>
      <c r="BD902" s="25">
        <f>ROUND(Inventory[[#This Row],[Mdl Land Intercept]]+Inventory[[#This Row],[Mdl LnAcres]],-2)</f>
        <v>40400</v>
      </c>
      <c r="BE902" s="25">
        <f>Inventory[[#This Row],[Unadj Res Value]]+Inventory[[#This Row],[Unadj Det Value]]+Inventory[[#This Row],[Unadj Land Value]]</f>
        <v>353300</v>
      </c>
      <c r="BF902" s="36">
        <f>(Inventory[[#This Row],[Unadj Total Value]]-Inventory[[#This Row],[24Final]])/Inventory[[#This Row],[24Final]]</f>
        <v>2.198437951981487E-2</v>
      </c>
      <c r="BG902" s="25">
        <f>VLOOKUP(Inventory[[#This Row],[Nbhd]],Lookups!$Q$2:$T$4,4,FALSE)</f>
        <v>0.99970000000000003</v>
      </c>
      <c r="BH902" s="25">
        <f>VLOOKUP(Inventory[[#This Row],[Qlty]],Lookups!$O$7:$R$21,4,FALSE)</f>
        <v>0.98050000000000004</v>
      </c>
      <c r="BI902" s="25">
        <f>VLOOKUP(Inventory[[#This Row],[Cnd]],Lookups!$T$7:$W$16,4,FALSE)</f>
        <v>0.99729999999999996</v>
      </c>
      <c r="BJ902" s="25">
        <f>VLOOKUP(Inventory[[#This Row],[LivArea Range]],Lookups!$T$25:$W$37,4,FALSE)</f>
        <v>0.98919999999999997</v>
      </c>
      <c r="BK902" s="25">
        <f>VLOOKUP(Inventory[[#This Row],[Decade]],Lookups!$O$25:$R$42,4,FALSE)</f>
        <v>0.995</v>
      </c>
      <c r="BL902" s="25">
        <f>Inventory[[#This Row],[Nbhd Adj]]*0.95</f>
        <v>0.94971499999999998</v>
      </c>
      <c r="BM902" s="25">
        <f>Inventory[[#This Row],[Nbhd Adj]]*Inventory[[#This Row],[Quality Adj]]*Inventory[[#This Row],[Condition Adj]]*Inventory[[#This Row],[Living Area Adj]]*Inventory[[#This Row],[Decade Adj]]*0.95</f>
        <v>0.91405831328052556</v>
      </c>
      <c r="BN902" s="25">
        <f>ROUND(SUM(Inventory[[#This Row],[Mdl Qlty]:[Mdl WdDeck]])+Inventory[[#This Row],[Mdl Res Intercept]]*Inventory[[#This Row],[Res Adj ]],-2)</f>
        <v>305600</v>
      </c>
      <c r="BO902" s="25">
        <f>ROUND(Inventory[[#This Row],[25Det]]*Inventory[[#This Row],[Det/Nbhd Adj]],-2)</f>
        <v>7000</v>
      </c>
      <c r="BP902" s="25">
        <f>Inventory[[#This Row],[Adjusted Res]]+Inventory[[#This Row],[Adj Det ]]</f>
        <v>312600</v>
      </c>
      <c r="BQ902" s="25">
        <f>ROUND((Inventory[[#This Row],[Mdl Land Intercept]]+Inventory[[#This Row],[Mdl LnAcres]])*Inventory[[#This Row],[Det/Nbhd Adj]],-2)</f>
        <v>38400</v>
      </c>
      <c r="BR902" s="25">
        <f>Inventory[[#This Row],[Adjusted Impr Total]]+Inventory[[#This Row],[Adjusted Land Total]]</f>
        <v>351000</v>
      </c>
      <c r="BS902" s="36">
        <f>IFERROR((Inventory[[#This Row],[Adjusted Impr Total]]-Inventory[[#This Row],[24Bldg]])/Inventory[[#This Row],[24Bldg]],0)</f>
        <v>9.4537815126050417E-2</v>
      </c>
      <c r="BT902" s="36">
        <f>(Inventory[[#This Row],[Adjusted Land Total]]-Inventory[[#This Row],[24Lnd]])/Inventory[[#This Row],[24Lnd]]</f>
        <v>-0.36106489184692181</v>
      </c>
      <c r="BU902" s="36">
        <f>(Inventory[[#This Row],[Adjusted Total]]-Inventory[[#This Row],[24Final]])/Inventory[[#This Row],[24Final]]</f>
        <v>1.5331212033555105E-2</v>
      </c>
    </row>
    <row r="903" spans="1:73" x14ac:dyDescent="0.3">
      <c r="A903" s="25">
        <v>2025</v>
      </c>
      <c r="B903" s="26" t="s">
        <v>1766</v>
      </c>
      <c r="C903" s="26">
        <f>LN(Inventory[[#This Row],[Acres]])</f>
        <v>-1.6607312068216509</v>
      </c>
      <c r="D903" s="25">
        <v>0.19</v>
      </c>
      <c r="E903" s="31"/>
      <c r="F903" s="26" t="s">
        <v>537</v>
      </c>
      <c r="G903" s="26" t="s">
        <v>126</v>
      </c>
      <c r="H903" s="26" t="s">
        <v>349</v>
      </c>
      <c r="I903" s="26" t="s">
        <v>538</v>
      </c>
      <c r="J903" s="26" t="s">
        <v>539</v>
      </c>
      <c r="K903" s="26" t="s">
        <v>241</v>
      </c>
      <c r="L903" s="26" t="s">
        <v>351</v>
      </c>
      <c r="M903" s="26" t="s">
        <v>323</v>
      </c>
      <c r="N903" s="26">
        <v>80</v>
      </c>
      <c r="O903" s="26">
        <f>2024-Inventory[[#This Row],[YrBlt]]</f>
        <v>74</v>
      </c>
      <c r="P903" s="26">
        <f>2024-Inventory[[#This Row],[EffYr]]</f>
        <v>51</v>
      </c>
      <c r="Q903" s="25">
        <v>1950</v>
      </c>
      <c r="R903" s="25">
        <v>1973</v>
      </c>
      <c r="S903" s="25">
        <v>1006</v>
      </c>
      <c r="T903" s="27"/>
      <c r="U903" s="25">
        <v>1006</v>
      </c>
      <c r="V903" s="25">
        <f>Inventory[[#This Row],[Bsmt]]-Inventory[[#This Row],[FnBsmt]]</f>
        <v>0</v>
      </c>
      <c r="W903" s="25">
        <v>1006</v>
      </c>
      <c r="X903" s="27"/>
      <c r="Y903" s="27">
        <f>Inventory[[#This Row],[MainFn]]+Inventory[[#This Row],[UpprFn]]+Inventory[[#This Row],[FnBsmt]]+Inventory[[#This Row],[AddFn]]</f>
        <v>2012</v>
      </c>
      <c r="Z903" s="27">
        <v>2500</v>
      </c>
      <c r="AA903" s="25">
        <v>7</v>
      </c>
      <c r="AB903" s="27"/>
      <c r="AC903" s="27"/>
      <c r="AD903" s="27"/>
      <c r="AE903" s="27"/>
      <c r="AF903" s="27"/>
      <c r="AG903" s="27"/>
      <c r="AH903" s="27"/>
      <c r="AI903" s="25">
        <v>267226</v>
      </c>
      <c r="AJ903" s="25">
        <v>184386</v>
      </c>
      <c r="AK903" s="25">
        <v>5261</v>
      </c>
      <c r="AL903" s="25">
        <v>312100</v>
      </c>
      <c r="AM903" s="25">
        <v>56600</v>
      </c>
      <c r="AN903" s="25">
        <v>255500</v>
      </c>
      <c r="AO903" s="25">
        <v>0</v>
      </c>
      <c r="AP903" s="25">
        <f>Lookups!$B$56*0</f>
        <v>0</v>
      </c>
      <c r="AQ903" s="25">
        <f>Lookups!$B$56*1</f>
        <v>89850.625589999996</v>
      </c>
      <c r="AR903" s="25">
        <f>Lookups!$B$57*Inventory[[#This Row],[LnAcres]]</f>
        <v>-52569.808201026557</v>
      </c>
      <c r="AS903" s="25">
        <f>VLOOKUP(Inventory[[#This Row],[Qlty]],Lookups!$A$62:$E$75,2,FALSE)</f>
        <v>21557.329055999999</v>
      </c>
      <c r="AT903" s="25">
        <f>VLOOKUP(Inventory[[#This Row],[Cnd]],Lookups!$A$76:$E$84,2,FALSE)</f>
        <v>160472.20319</v>
      </c>
      <c r="AU903" s="25">
        <f>Inventory[[#This Row],[EffAge]]*Lookups!$B$85</f>
        <v>-11375.3256255</v>
      </c>
      <c r="AV903" s="25">
        <f>Inventory[[#This Row],[MainFn]]*Lookups!$B$86</f>
        <v>49705.121896262004</v>
      </c>
      <c r="AW903" s="25">
        <f>Inventory[[#This Row],[UpprFn]]*Lookups!$B$87</f>
        <v>0</v>
      </c>
      <c r="AX903" s="25">
        <f>Inventory[[#This Row],[AddFn]]*Lookups!$B$88</f>
        <v>0</v>
      </c>
      <c r="AY903" s="25">
        <f>Inventory[[#This Row],[Bsmt]]*Lookups!$B$89</f>
        <v>29256.386618482</v>
      </c>
      <c r="AZ903" s="25">
        <f>Inventory[[#This Row],[Fixtures]]*Lookups!$B$90</f>
        <v>26544.1547364</v>
      </c>
      <c r="BA903" s="25">
        <f>Inventory[[#This Row],[WdDeck]]*Lookups!$B$91</f>
        <v>0</v>
      </c>
      <c r="BB903" s="25">
        <f>ROUND(Inventory[[#This Row],[25Det]],-2)</f>
        <v>5300</v>
      </c>
      <c r="BC903" s="25">
        <f>ROUND(SUM(Inventory[[#This Row],[Mdl Qlty]:[Mdl WdDeck]])+Inventory[[#This Row],[Mdl Res Intercept]],-2)</f>
        <v>276200</v>
      </c>
      <c r="BD903" s="25">
        <f>ROUND(Inventory[[#This Row],[Mdl Land Intercept]]+Inventory[[#This Row],[Mdl LnAcres]],-2)</f>
        <v>37300</v>
      </c>
      <c r="BE903" s="25">
        <f>Inventory[[#This Row],[Unadj Res Value]]+Inventory[[#This Row],[Unadj Det Value]]+Inventory[[#This Row],[Unadj Land Value]]</f>
        <v>318800</v>
      </c>
      <c r="BF903" s="36">
        <f>(Inventory[[#This Row],[Unadj Total Value]]-Inventory[[#This Row],[24Final]])/Inventory[[#This Row],[24Final]]</f>
        <v>2.1467478372316565E-2</v>
      </c>
      <c r="BG903" s="25">
        <f>VLOOKUP(Inventory[[#This Row],[Nbhd]],Lookups!$Q$2:$T$4,4,FALSE)</f>
        <v>0.99970000000000003</v>
      </c>
      <c r="BH903" s="25">
        <f>VLOOKUP(Inventory[[#This Row],[Qlty]],Lookups!$O$7:$R$21,4,FALSE)</f>
        <v>1.0067999999999999</v>
      </c>
      <c r="BI903" s="25">
        <f>VLOOKUP(Inventory[[#This Row],[Cnd]],Lookups!$T$7:$W$16,4,FALSE)</f>
        <v>0.99729999999999996</v>
      </c>
      <c r="BJ903" s="25">
        <f>VLOOKUP(Inventory[[#This Row],[LivArea Range]],Lookups!$T$25:$W$37,4,FALSE)</f>
        <v>0.98919999999999997</v>
      </c>
      <c r="BK903" s="25">
        <f>VLOOKUP(Inventory[[#This Row],[Decade]],Lookups!$O$25:$R$42,4,FALSE)</f>
        <v>0.995</v>
      </c>
      <c r="BL903" s="25">
        <f>Inventory[[#This Row],[Nbhd Adj]]*0.95</f>
        <v>0.94971499999999998</v>
      </c>
      <c r="BM903" s="25">
        <f>Inventory[[#This Row],[Nbhd Adj]]*Inventory[[#This Row],[Quality Adj]]*Inventory[[#This Row],[Condition Adj]]*Inventory[[#This Row],[Living Area Adj]]*Inventory[[#This Row],[Decade Adj]]*0.95</f>
        <v>0.93857614463114025</v>
      </c>
      <c r="BN903" s="25">
        <f>ROUND(SUM(Inventory[[#This Row],[Mdl Qlty]:[Mdl WdDeck]])+Inventory[[#This Row],[Mdl Res Intercept]]*Inventory[[#This Row],[Res Adj ]],-2)</f>
        <v>276200</v>
      </c>
      <c r="BO903" s="25">
        <f>ROUND(Inventory[[#This Row],[25Det]]*Inventory[[#This Row],[Det/Nbhd Adj]],-2)</f>
        <v>5000</v>
      </c>
      <c r="BP903" s="25">
        <f>Inventory[[#This Row],[Adjusted Res]]+Inventory[[#This Row],[Adj Det ]]</f>
        <v>281200</v>
      </c>
      <c r="BQ903" s="25">
        <f>ROUND((Inventory[[#This Row],[Mdl Land Intercept]]+Inventory[[#This Row],[Mdl LnAcres]])*Inventory[[#This Row],[Det/Nbhd Adj]],-2)</f>
        <v>35400</v>
      </c>
      <c r="BR903" s="25">
        <f>Inventory[[#This Row],[Adjusted Impr Total]]+Inventory[[#This Row],[Adjusted Land Total]]</f>
        <v>316600</v>
      </c>
      <c r="BS903" s="36">
        <f>IFERROR((Inventory[[#This Row],[Adjusted Impr Total]]-Inventory[[#This Row],[24Bldg]])/Inventory[[#This Row],[24Bldg]],0)</f>
        <v>0.10058708414872798</v>
      </c>
      <c r="BT903" s="36">
        <f>(Inventory[[#This Row],[Adjusted Land Total]]-Inventory[[#This Row],[24Lnd]])/Inventory[[#This Row],[24Lnd]]</f>
        <v>-0.37455830388692579</v>
      </c>
      <c r="BU903" s="36">
        <f>(Inventory[[#This Row],[Adjusted Total]]-Inventory[[#This Row],[24Final]])/Inventory[[#This Row],[24Final]]</f>
        <v>1.4418455623197693E-2</v>
      </c>
    </row>
    <row r="904" spans="1:73" x14ac:dyDescent="0.3">
      <c r="A904" s="25">
        <v>2025</v>
      </c>
      <c r="B904" s="26" t="s">
        <v>1823</v>
      </c>
      <c r="C904" s="26">
        <f>LN(Inventory[[#This Row],[Acres]])</f>
        <v>-1.1394342831883648</v>
      </c>
      <c r="D904" s="25">
        <v>0.32</v>
      </c>
      <c r="E904" s="25">
        <v>14000</v>
      </c>
      <c r="F904" s="26" t="s">
        <v>537</v>
      </c>
      <c r="G904" s="26" t="s">
        <v>126</v>
      </c>
      <c r="H904" s="26" t="s">
        <v>349</v>
      </c>
      <c r="I904" s="26" t="s">
        <v>538</v>
      </c>
      <c r="J904" s="26" t="s">
        <v>539</v>
      </c>
      <c r="K904" s="26" t="s">
        <v>242</v>
      </c>
      <c r="L904" s="26" t="s">
        <v>351</v>
      </c>
      <c r="M904" s="26" t="s">
        <v>323</v>
      </c>
      <c r="N904" s="26">
        <v>80</v>
      </c>
      <c r="O904" s="26">
        <f>2024-Inventory[[#This Row],[YrBlt]]</f>
        <v>74</v>
      </c>
      <c r="P904" s="26">
        <f>2024-Inventory[[#This Row],[EffYr]]</f>
        <v>51</v>
      </c>
      <c r="Q904" s="25">
        <v>1950</v>
      </c>
      <c r="R904" s="25">
        <v>1973</v>
      </c>
      <c r="S904" s="25">
        <v>1137</v>
      </c>
      <c r="T904" s="27"/>
      <c r="U904" s="25">
        <v>1137</v>
      </c>
      <c r="V904" s="25">
        <f>Inventory[[#This Row],[Bsmt]]-Inventory[[#This Row],[FnBsmt]]</f>
        <v>215</v>
      </c>
      <c r="W904" s="25">
        <v>922</v>
      </c>
      <c r="X904" s="27"/>
      <c r="Y904" s="27">
        <f>Inventory[[#This Row],[MainFn]]+Inventory[[#This Row],[UpprFn]]+Inventory[[#This Row],[FnBsmt]]+Inventory[[#This Row],[AddFn]]</f>
        <v>2059</v>
      </c>
      <c r="Z904" s="27">
        <v>2500</v>
      </c>
      <c r="AA904" s="25">
        <v>9</v>
      </c>
      <c r="AB904" s="27"/>
      <c r="AC904" s="27"/>
      <c r="AD904" s="27"/>
      <c r="AE904" s="27"/>
      <c r="AF904" s="27"/>
      <c r="AG904" s="27"/>
      <c r="AH904" s="27"/>
      <c r="AI904" s="25">
        <v>281570</v>
      </c>
      <c r="AJ904" s="25">
        <v>194283</v>
      </c>
      <c r="AK904" s="25">
        <v>7699</v>
      </c>
      <c r="AL904" s="25">
        <v>347400</v>
      </c>
      <c r="AM904" s="25">
        <v>74800</v>
      </c>
      <c r="AN904" s="25">
        <v>272600</v>
      </c>
      <c r="AO904" s="25">
        <v>0</v>
      </c>
      <c r="AP904" s="25">
        <f>Lookups!$B$56*0</f>
        <v>0</v>
      </c>
      <c r="AQ904" s="25">
        <f>Lookups!$B$56*1</f>
        <v>89850.625589999996</v>
      </c>
      <c r="AR904" s="25">
        <f>Lookups!$B$57*Inventory[[#This Row],[LnAcres]]</f>
        <v>-36068.354396449467</v>
      </c>
      <c r="AS904" s="25">
        <f>VLOOKUP(Inventory[[#This Row],[Qlty]],Lookups!$A$62:$E$75,2,FALSE)</f>
        <v>21557.329055999999</v>
      </c>
      <c r="AT904" s="25">
        <f>VLOOKUP(Inventory[[#This Row],[Cnd]],Lookups!$A$76:$E$84,2,FALSE)</f>
        <v>160472.20319</v>
      </c>
      <c r="AU904" s="25">
        <f>Inventory[[#This Row],[EffAge]]*Lookups!$B$85</f>
        <v>-11375.3256255</v>
      </c>
      <c r="AV904" s="25">
        <f>Inventory[[#This Row],[MainFn]]*Lookups!$B$86</f>
        <v>56177.657650148998</v>
      </c>
      <c r="AW904" s="25">
        <f>Inventory[[#This Row],[UpprFn]]*Lookups!$B$87</f>
        <v>0</v>
      </c>
      <c r="AX904" s="25">
        <f>Inventory[[#This Row],[AddFn]]*Lookups!$B$88</f>
        <v>0</v>
      </c>
      <c r="AY904" s="25">
        <f>Inventory[[#This Row],[Bsmt]]*Lookups!$B$89</f>
        <v>33066.114895838997</v>
      </c>
      <c r="AZ904" s="25">
        <f>Inventory[[#This Row],[Fixtures]]*Lookups!$B$90</f>
        <v>34128.198946800003</v>
      </c>
      <c r="BA904" s="25">
        <f>Inventory[[#This Row],[WdDeck]]*Lookups!$B$91</f>
        <v>0</v>
      </c>
      <c r="BB904" s="25">
        <f>ROUND(Inventory[[#This Row],[25Det]],-2)</f>
        <v>7700</v>
      </c>
      <c r="BC904" s="25">
        <f>ROUND(SUM(Inventory[[#This Row],[Mdl Qlty]:[Mdl WdDeck]])+Inventory[[#This Row],[Mdl Res Intercept]],-2)</f>
        <v>294000</v>
      </c>
      <c r="BD904" s="25">
        <f>ROUND(Inventory[[#This Row],[Mdl Land Intercept]]+Inventory[[#This Row],[Mdl LnAcres]],-2)</f>
        <v>53800</v>
      </c>
      <c r="BE904" s="25">
        <f>Inventory[[#This Row],[Unadj Res Value]]+Inventory[[#This Row],[Unadj Det Value]]+Inventory[[#This Row],[Unadj Land Value]]</f>
        <v>355500</v>
      </c>
      <c r="BF904" s="36">
        <f>(Inventory[[#This Row],[Unadj Total Value]]-Inventory[[#This Row],[24Final]])/Inventory[[#This Row],[24Final]]</f>
        <v>2.3316062176165803E-2</v>
      </c>
      <c r="BG904" s="25">
        <f>VLOOKUP(Inventory[[#This Row],[Nbhd]],Lookups!$Q$2:$T$4,4,FALSE)</f>
        <v>0.99970000000000003</v>
      </c>
      <c r="BH904" s="25">
        <f>VLOOKUP(Inventory[[#This Row],[Qlty]],Lookups!$O$7:$R$21,4,FALSE)</f>
        <v>1.0067999999999999</v>
      </c>
      <c r="BI904" s="25">
        <f>VLOOKUP(Inventory[[#This Row],[Cnd]],Lookups!$T$7:$W$16,4,FALSE)</f>
        <v>0.99729999999999996</v>
      </c>
      <c r="BJ904" s="25">
        <f>VLOOKUP(Inventory[[#This Row],[LivArea Range]],Lookups!$T$25:$W$37,4,FALSE)</f>
        <v>0.98919999999999997</v>
      </c>
      <c r="BK904" s="25">
        <f>VLOOKUP(Inventory[[#This Row],[Decade]],Lookups!$O$25:$R$42,4,FALSE)</f>
        <v>0.995</v>
      </c>
      <c r="BL904" s="25">
        <f>Inventory[[#This Row],[Nbhd Adj]]*0.95</f>
        <v>0.94971499999999998</v>
      </c>
      <c r="BM904" s="25">
        <f>Inventory[[#This Row],[Nbhd Adj]]*Inventory[[#This Row],[Quality Adj]]*Inventory[[#This Row],[Condition Adj]]*Inventory[[#This Row],[Living Area Adj]]*Inventory[[#This Row],[Decade Adj]]*0.95</f>
        <v>0.93857614463114025</v>
      </c>
      <c r="BN904" s="25">
        <f>ROUND(SUM(Inventory[[#This Row],[Mdl Qlty]:[Mdl WdDeck]])+Inventory[[#This Row],[Mdl Res Intercept]]*Inventory[[#This Row],[Res Adj ]],-2)</f>
        <v>294000</v>
      </c>
      <c r="BO904" s="25">
        <f>ROUND(Inventory[[#This Row],[25Det]]*Inventory[[#This Row],[Det/Nbhd Adj]],-2)</f>
        <v>7300</v>
      </c>
      <c r="BP904" s="25">
        <f>Inventory[[#This Row],[Adjusted Res]]+Inventory[[#This Row],[Adj Det ]]</f>
        <v>301300</v>
      </c>
      <c r="BQ904" s="25">
        <f>ROUND((Inventory[[#This Row],[Mdl Land Intercept]]+Inventory[[#This Row],[Mdl LnAcres]])*Inventory[[#This Row],[Det/Nbhd Adj]],-2)</f>
        <v>51100</v>
      </c>
      <c r="BR904" s="25">
        <f>Inventory[[#This Row],[Adjusted Impr Total]]+Inventory[[#This Row],[Adjusted Land Total]]</f>
        <v>352400</v>
      </c>
      <c r="BS904" s="36">
        <f>IFERROR((Inventory[[#This Row],[Adjusted Impr Total]]-Inventory[[#This Row],[24Bldg]])/Inventory[[#This Row],[24Bldg]],0)</f>
        <v>0.10528246515040351</v>
      </c>
      <c r="BT904" s="36">
        <f>(Inventory[[#This Row],[Adjusted Land Total]]-Inventory[[#This Row],[24Lnd]])/Inventory[[#This Row],[24Lnd]]</f>
        <v>-0.31684491978609625</v>
      </c>
      <c r="BU904" s="36">
        <f>(Inventory[[#This Row],[Adjusted Total]]-Inventory[[#This Row],[24Final]])/Inventory[[#This Row],[24Final]]</f>
        <v>1.4392630972941854E-2</v>
      </c>
    </row>
    <row r="905" spans="1:73" x14ac:dyDescent="0.3">
      <c r="A905" s="25">
        <v>2025</v>
      </c>
      <c r="B905" s="26" t="s">
        <v>955</v>
      </c>
      <c r="C905" s="26">
        <f>LN(Inventory[[#This Row],[Acres]])</f>
        <v>-1.2729656758128873</v>
      </c>
      <c r="D905" s="25">
        <v>0.28000000000000003</v>
      </c>
      <c r="E905" s="25">
        <v>12054</v>
      </c>
      <c r="F905" s="26" t="s">
        <v>537</v>
      </c>
      <c r="G905" s="26" t="s">
        <v>126</v>
      </c>
      <c r="H905" s="26" t="s">
        <v>349</v>
      </c>
      <c r="I905" s="26" t="s">
        <v>538</v>
      </c>
      <c r="J905" s="26" t="s">
        <v>539</v>
      </c>
      <c r="K905" s="26" t="s">
        <v>242</v>
      </c>
      <c r="L905" s="26" t="s">
        <v>302</v>
      </c>
      <c r="M905" s="26" t="s">
        <v>323</v>
      </c>
      <c r="N905" s="26">
        <v>80</v>
      </c>
      <c r="O905" s="26">
        <f>2024-Inventory[[#This Row],[YrBlt]]</f>
        <v>74</v>
      </c>
      <c r="P905" s="26">
        <f>2024-Inventory[[#This Row],[EffYr]]</f>
        <v>51</v>
      </c>
      <c r="Q905" s="25">
        <v>1950</v>
      </c>
      <c r="R905" s="25">
        <v>1973</v>
      </c>
      <c r="S905" s="25">
        <v>1361</v>
      </c>
      <c r="T905" s="27"/>
      <c r="U905" s="25">
        <v>680</v>
      </c>
      <c r="V905" s="25">
        <f>Inventory[[#This Row],[Bsmt]]-Inventory[[#This Row],[FnBsmt]]</f>
        <v>0</v>
      </c>
      <c r="W905" s="25">
        <v>680</v>
      </c>
      <c r="X905" s="27"/>
      <c r="Y905" s="27">
        <f>Inventory[[#This Row],[MainFn]]+Inventory[[#This Row],[UpprFn]]+Inventory[[#This Row],[FnBsmt]]+Inventory[[#This Row],[AddFn]]</f>
        <v>2041</v>
      </c>
      <c r="Z905" s="27">
        <v>2500</v>
      </c>
      <c r="AA905" s="25">
        <v>5</v>
      </c>
      <c r="AB905" s="27"/>
      <c r="AC905" s="27"/>
      <c r="AD905" s="31"/>
      <c r="AE905" s="27"/>
      <c r="AF905" s="27"/>
      <c r="AG905" s="27"/>
      <c r="AH905" s="27"/>
      <c r="AI905" s="25">
        <v>352626</v>
      </c>
      <c r="AJ905" s="25">
        <v>243312</v>
      </c>
      <c r="AK905" s="25">
        <v>7182</v>
      </c>
      <c r="AL905" s="25">
        <v>334000</v>
      </c>
      <c r="AM905" s="25">
        <v>70100</v>
      </c>
      <c r="AN905" s="25">
        <v>263900</v>
      </c>
      <c r="AO905" s="25">
        <v>0</v>
      </c>
      <c r="AP905" s="25">
        <f>Lookups!$B$56*0</f>
        <v>0</v>
      </c>
      <c r="AQ905" s="25">
        <f>Lookups!$B$56*1</f>
        <v>89850.625589999996</v>
      </c>
      <c r="AR905" s="25">
        <f>Lookups!$B$57*Inventory[[#This Row],[LnAcres]]</f>
        <v>-40295.239319339329</v>
      </c>
      <c r="AS905" s="25">
        <f>VLOOKUP(Inventory[[#This Row],[Qlty]],Lookups!$A$62:$E$75,2,FALSE)</f>
        <v>29814.093161000001</v>
      </c>
      <c r="AT905" s="25">
        <f>VLOOKUP(Inventory[[#This Row],[Cnd]],Lookups!$A$76:$E$84,2,FALSE)</f>
        <v>160472.20319</v>
      </c>
      <c r="AU905" s="25">
        <f>Inventory[[#This Row],[EffAge]]*Lookups!$B$85</f>
        <v>-11375.3256255</v>
      </c>
      <c r="AV905" s="25">
        <f>Inventory[[#This Row],[MainFn]]*Lookups!$B$86</f>
        <v>67245.199702597005</v>
      </c>
      <c r="AW905" s="25">
        <f>Inventory[[#This Row],[UpprFn]]*Lookups!$B$87</f>
        <v>0</v>
      </c>
      <c r="AX905" s="25">
        <f>Inventory[[#This Row],[AddFn]]*Lookups!$B$88</f>
        <v>0</v>
      </c>
      <c r="AY905" s="25">
        <f>Inventory[[#This Row],[Bsmt]]*Lookups!$B$89</f>
        <v>19775.68876796</v>
      </c>
      <c r="AZ905" s="25">
        <f>Inventory[[#This Row],[Fixtures]]*Lookups!$B$90</f>
        <v>18960.110526</v>
      </c>
      <c r="BA905" s="25">
        <f>Inventory[[#This Row],[WdDeck]]*Lookups!$B$91</f>
        <v>0</v>
      </c>
      <c r="BB905" s="25">
        <f>ROUND(Inventory[[#This Row],[25Det]],-2)</f>
        <v>7200</v>
      </c>
      <c r="BC905" s="25">
        <f>ROUND(SUM(Inventory[[#This Row],[Mdl Qlty]:[Mdl WdDeck]])+Inventory[[#This Row],[Mdl Res Intercept]],-2)</f>
        <v>284900</v>
      </c>
      <c r="BD905" s="25">
        <f>ROUND(Inventory[[#This Row],[Mdl Land Intercept]]+Inventory[[#This Row],[Mdl LnAcres]],-2)</f>
        <v>49600</v>
      </c>
      <c r="BE905" s="25">
        <f>Inventory[[#This Row],[Unadj Res Value]]+Inventory[[#This Row],[Unadj Det Value]]+Inventory[[#This Row],[Unadj Land Value]]</f>
        <v>341700</v>
      </c>
      <c r="BF905" s="36">
        <f>(Inventory[[#This Row],[Unadj Total Value]]-Inventory[[#This Row],[24Final]])/Inventory[[#This Row],[24Final]]</f>
        <v>2.3053892215568861E-2</v>
      </c>
      <c r="BG905" s="25">
        <f>VLOOKUP(Inventory[[#This Row],[Nbhd]],Lookups!$Q$2:$T$4,4,FALSE)</f>
        <v>0.99970000000000003</v>
      </c>
      <c r="BH905" s="25">
        <f>VLOOKUP(Inventory[[#This Row],[Qlty]],Lookups!$O$7:$R$21,4,FALSE)</f>
        <v>1.0088999999999999</v>
      </c>
      <c r="BI905" s="25">
        <f>VLOOKUP(Inventory[[#This Row],[Cnd]],Lookups!$T$7:$W$16,4,FALSE)</f>
        <v>0.99729999999999996</v>
      </c>
      <c r="BJ905" s="25">
        <f>VLOOKUP(Inventory[[#This Row],[LivArea Range]],Lookups!$T$25:$W$37,4,FALSE)</f>
        <v>0.98919999999999997</v>
      </c>
      <c r="BK905" s="25">
        <f>VLOOKUP(Inventory[[#This Row],[Decade]],Lookups!$O$25:$R$42,4,FALSE)</f>
        <v>0.995</v>
      </c>
      <c r="BL905" s="25">
        <f>Inventory[[#This Row],[Nbhd Adj]]*0.95</f>
        <v>0.94971499999999998</v>
      </c>
      <c r="BM905" s="25">
        <f>Inventory[[#This Row],[Nbhd Adj]]*Inventory[[#This Row],[Quality Adj]]*Inventory[[#This Row],[Condition Adj]]*Inventory[[#This Row],[Living Area Adj]]*Inventory[[#This Row],[Decade Adj]]*0.95</f>
        <v>0.94053384219145564</v>
      </c>
      <c r="BN905" s="25">
        <f>ROUND(SUM(Inventory[[#This Row],[Mdl Qlty]:[Mdl WdDeck]])+Inventory[[#This Row],[Mdl Res Intercept]]*Inventory[[#This Row],[Res Adj ]],-2)</f>
        <v>284900</v>
      </c>
      <c r="BO905" s="25">
        <f>ROUND(Inventory[[#This Row],[25Det]]*Inventory[[#This Row],[Det/Nbhd Adj]],-2)</f>
        <v>6800</v>
      </c>
      <c r="BP905" s="25">
        <f>Inventory[[#This Row],[Adjusted Res]]+Inventory[[#This Row],[Adj Det ]]</f>
        <v>291700</v>
      </c>
      <c r="BQ905" s="25">
        <f>ROUND((Inventory[[#This Row],[Mdl Land Intercept]]+Inventory[[#This Row],[Mdl LnAcres]])*Inventory[[#This Row],[Det/Nbhd Adj]],-2)</f>
        <v>47100</v>
      </c>
      <c r="BR905" s="25">
        <f>Inventory[[#This Row],[Adjusted Impr Total]]+Inventory[[#This Row],[Adjusted Land Total]]</f>
        <v>338800</v>
      </c>
      <c r="BS905" s="36">
        <f>IFERROR((Inventory[[#This Row],[Adjusted Impr Total]]-Inventory[[#This Row],[24Bldg]])/Inventory[[#This Row],[24Bldg]],0)</f>
        <v>0.10534293292913982</v>
      </c>
      <c r="BT905" s="36">
        <f>(Inventory[[#This Row],[Adjusted Land Total]]-Inventory[[#This Row],[24Lnd]])/Inventory[[#This Row],[24Lnd]]</f>
        <v>-0.32810271041369471</v>
      </c>
      <c r="BU905" s="36">
        <f>(Inventory[[#This Row],[Adjusted Total]]-Inventory[[#This Row],[24Final]])/Inventory[[#This Row],[24Final]]</f>
        <v>1.437125748502994E-2</v>
      </c>
    </row>
    <row r="906" spans="1:73" x14ac:dyDescent="0.3">
      <c r="A906" s="25">
        <v>2025</v>
      </c>
      <c r="B906" s="26" t="s">
        <v>1752</v>
      </c>
      <c r="C906" s="26">
        <f>LN(Inventory[[#This Row],[Acres]])</f>
        <v>-1.6094379124341003</v>
      </c>
      <c r="D906" s="25">
        <v>0.2</v>
      </c>
      <c r="E906" s="31"/>
      <c r="F906" s="26" t="s">
        <v>537</v>
      </c>
      <c r="G906" s="26" t="s">
        <v>126</v>
      </c>
      <c r="H906" s="26" t="s">
        <v>349</v>
      </c>
      <c r="I906" s="26" t="s">
        <v>538</v>
      </c>
      <c r="J906" s="26" t="s">
        <v>539</v>
      </c>
      <c r="K906" s="26" t="s">
        <v>241</v>
      </c>
      <c r="L906" s="26" t="s">
        <v>205</v>
      </c>
      <c r="M906" s="26" t="s">
        <v>323</v>
      </c>
      <c r="N906" s="26">
        <v>80</v>
      </c>
      <c r="O906" s="26">
        <f>2024-Inventory[[#This Row],[YrBlt]]</f>
        <v>74</v>
      </c>
      <c r="P906" s="26">
        <f>2024-Inventory[[#This Row],[EffYr]]</f>
        <v>51</v>
      </c>
      <c r="Q906" s="25">
        <v>1950</v>
      </c>
      <c r="R906" s="25">
        <v>1973</v>
      </c>
      <c r="S906" s="25">
        <v>1144</v>
      </c>
      <c r="T906" s="31"/>
      <c r="U906" s="25">
        <v>1144</v>
      </c>
      <c r="V906" s="25">
        <f>Inventory[[#This Row],[Bsmt]]-Inventory[[#This Row],[FnBsmt]]</f>
        <v>572</v>
      </c>
      <c r="W906" s="25">
        <v>572</v>
      </c>
      <c r="X906" s="27"/>
      <c r="Y906" s="27">
        <f>Inventory[[#This Row],[MainFn]]+Inventory[[#This Row],[UpprFn]]+Inventory[[#This Row],[FnBsmt]]+Inventory[[#This Row],[AddFn]]</f>
        <v>1716</v>
      </c>
      <c r="Z906" s="27">
        <v>2000</v>
      </c>
      <c r="AA906" s="25">
        <v>7</v>
      </c>
      <c r="AB906" s="27"/>
      <c r="AC906" s="27"/>
      <c r="AD906" s="27"/>
      <c r="AE906" s="27"/>
      <c r="AF906" s="27"/>
      <c r="AG906" s="27"/>
      <c r="AH906" s="27"/>
      <c r="AI906" s="25">
        <v>243742</v>
      </c>
      <c r="AJ906" s="25">
        <v>168182</v>
      </c>
      <c r="AK906" s="25">
        <v>0</v>
      </c>
      <c r="AL906" s="25">
        <v>298700</v>
      </c>
      <c r="AM906" s="25">
        <v>58400</v>
      </c>
      <c r="AN906" s="25">
        <v>240300</v>
      </c>
      <c r="AO906" s="25">
        <v>0</v>
      </c>
      <c r="AP906" s="25">
        <f>Lookups!$B$56*0</f>
        <v>0</v>
      </c>
      <c r="AQ906" s="25">
        <f>Lookups!$B$56*1</f>
        <v>89850.625589999996</v>
      </c>
      <c r="AR906" s="25">
        <f>Lookups!$B$57*Inventory[[#This Row],[LnAcres]]</f>
        <v>-50946.13867709865</v>
      </c>
      <c r="AS906" s="25">
        <f>VLOOKUP(Inventory[[#This Row],[Qlty]],Lookups!$A$62:$E$75,2,FALSE)</f>
        <v>0</v>
      </c>
      <c r="AT906" s="25">
        <f>VLOOKUP(Inventory[[#This Row],[Cnd]],Lookups!$A$76:$E$84,2,FALSE)</f>
        <v>160472.20319</v>
      </c>
      <c r="AU906" s="25">
        <f>Inventory[[#This Row],[EffAge]]*Lookups!$B$85</f>
        <v>-11375.3256255</v>
      </c>
      <c r="AV906" s="25">
        <f>Inventory[[#This Row],[MainFn]]*Lookups!$B$86</f>
        <v>56523.518339287999</v>
      </c>
      <c r="AW906" s="25">
        <f>Inventory[[#This Row],[UpprFn]]*Lookups!$B$87</f>
        <v>0</v>
      </c>
      <c r="AX906" s="25">
        <f>Inventory[[#This Row],[AddFn]]*Lookups!$B$88</f>
        <v>0</v>
      </c>
      <c r="AY906" s="25">
        <f>Inventory[[#This Row],[Bsmt]]*Lookups!$B$89</f>
        <v>33269.688162567996</v>
      </c>
      <c r="AZ906" s="25">
        <f>Inventory[[#This Row],[Fixtures]]*Lookups!$B$90</f>
        <v>26544.1547364</v>
      </c>
      <c r="BA906" s="25">
        <f>Inventory[[#This Row],[WdDeck]]*Lookups!$B$91</f>
        <v>0</v>
      </c>
      <c r="BB906" s="25">
        <f>ROUND(Inventory[[#This Row],[25Det]],-2)</f>
        <v>0</v>
      </c>
      <c r="BC906" s="25">
        <f>ROUND(SUM(Inventory[[#This Row],[Mdl Qlty]:[Mdl WdDeck]])+Inventory[[#This Row],[Mdl Res Intercept]],-2)</f>
        <v>265400</v>
      </c>
      <c r="BD906" s="25">
        <f>ROUND(Inventory[[#This Row],[Mdl Land Intercept]]+Inventory[[#This Row],[Mdl LnAcres]],-2)</f>
        <v>38900</v>
      </c>
      <c r="BE906" s="25">
        <f>Inventory[[#This Row],[Unadj Res Value]]+Inventory[[#This Row],[Unadj Det Value]]+Inventory[[#This Row],[Unadj Land Value]]</f>
        <v>304300</v>
      </c>
      <c r="BF906" s="36">
        <f>(Inventory[[#This Row],[Unadj Total Value]]-Inventory[[#This Row],[24Final]])/Inventory[[#This Row],[24Final]]</f>
        <v>1.8747907599598258E-2</v>
      </c>
      <c r="BG906" s="25">
        <f>VLOOKUP(Inventory[[#This Row],[Nbhd]],Lookups!$Q$2:$T$4,4,FALSE)</f>
        <v>0.99970000000000003</v>
      </c>
      <c r="BH906" s="25">
        <f>VLOOKUP(Inventory[[#This Row],[Qlty]],Lookups!$O$7:$R$21,4,FALSE)</f>
        <v>0.99180000000000001</v>
      </c>
      <c r="BI906" s="25">
        <f>VLOOKUP(Inventory[[#This Row],[Cnd]],Lookups!$T$7:$W$16,4,FALSE)</f>
        <v>0.99729999999999996</v>
      </c>
      <c r="BJ906" s="25">
        <f>VLOOKUP(Inventory[[#This Row],[LivArea Range]],Lookups!$T$25:$W$37,4,FALSE)</f>
        <v>1.0093000000000001</v>
      </c>
      <c r="BK906" s="25">
        <f>VLOOKUP(Inventory[[#This Row],[Decade]],Lookups!$O$25:$R$42,4,FALSE)</f>
        <v>0.995</v>
      </c>
      <c r="BL906" s="25">
        <f>Inventory[[#This Row],[Nbhd Adj]]*0.95</f>
        <v>0.94971499999999998</v>
      </c>
      <c r="BM906" s="25">
        <f>Inventory[[#This Row],[Nbhd Adj]]*Inventory[[#This Row],[Quality Adj]]*Inventory[[#This Row],[Condition Adj]]*Inventory[[#This Row],[Living Area Adj]]*Inventory[[#This Row],[Decade Adj]]*0.95</f>
        <v>0.94337980360062423</v>
      </c>
      <c r="BN906" s="25">
        <f>ROUND(SUM(Inventory[[#This Row],[Mdl Qlty]:[Mdl WdDeck]])+Inventory[[#This Row],[Mdl Res Intercept]]*Inventory[[#This Row],[Res Adj ]],-2)</f>
        <v>265400</v>
      </c>
      <c r="BO906" s="25">
        <f>ROUND(Inventory[[#This Row],[25Det]]*Inventory[[#This Row],[Det/Nbhd Adj]],-2)</f>
        <v>0</v>
      </c>
      <c r="BP906" s="25">
        <f>Inventory[[#This Row],[Adjusted Res]]+Inventory[[#This Row],[Adj Det ]]</f>
        <v>265400</v>
      </c>
      <c r="BQ906" s="25">
        <f>ROUND((Inventory[[#This Row],[Mdl Land Intercept]]+Inventory[[#This Row],[Mdl LnAcres]])*Inventory[[#This Row],[Det/Nbhd Adj]],-2)</f>
        <v>36900</v>
      </c>
      <c r="BR906" s="25">
        <f>Inventory[[#This Row],[Adjusted Impr Total]]+Inventory[[#This Row],[Adjusted Land Total]]</f>
        <v>302300</v>
      </c>
      <c r="BS906" s="36">
        <f>IFERROR((Inventory[[#This Row],[Adjusted Impr Total]]-Inventory[[#This Row],[24Bldg]])/Inventory[[#This Row],[24Bldg]],0)</f>
        <v>0.10445276737411568</v>
      </c>
      <c r="BT906" s="36">
        <f>(Inventory[[#This Row],[Adjusted Land Total]]-Inventory[[#This Row],[24Lnd]])/Inventory[[#This Row],[24Lnd]]</f>
        <v>-0.36815068493150682</v>
      </c>
      <c r="BU906" s="36">
        <f>(Inventory[[#This Row],[Adjusted Total]]-Inventory[[#This Row],[24Final]])/Inventory[[#This Row],[24Final]]</f>
        <v>1.2052226314027453E-2</v>
      </c>
    </row>
    <row r="907" spans="1:73" x14ac:dyDescent="0.3">
      <c r="A907" s="25">
        <v>2025</v>
      </c>
      <c r="B907" s="26" t="s">
        <v>947</v>
      </c>
      <c r="C907" s="26">
        <f>LN(Inventory[[#This Row],[Acres]])</f>
        <v>-1.6094379124341003</v>
      </c>
      <c r="D907" s="25">
        <v>0.2</v>
      </c>
      <c r="E907" s="25">
        <v>8616</v>
      </c>
      <c r="F907" s="26" t="s">
        <v>537</v>
      </c>
      <c r="G907" s="26" t="s">
        <v>126</v>
      </c>
      <c r="H907" s="26" t="s">
        <v>349</v>
      </c>
      <c r="I907" s="26" t="s">
        <v>538</v>
      </c>
      <c r="J907" s="26" t="s">
        <v>539</v>
      </c>
      <c r="K907" s="26" t="s">
        <v>241</v>
      </c>
      <c r="L907" s="26" t="s">
        <v>205</v>
      </c>
      <c r="M907" s="26" t="s">
        <v>323</v>
      </c>
      <c r="N907" s="26">
        <v>80</v>
      </c>
      <c r="O907" s="26">
        <f>2024-Inventory[[#This Row],[YrBlt]]</f>
        <v>74</v>
      </c>
      <c r="P907" s="26">
        <f>2024-Inventory[[#This Row],[EffYr]]</f>
        <v>51</v>
      </c>
      <c r="Q907" s="25">
        <v>1950</v>
      </c>
      <c r="R907" s="25">
        <v>1973</v>
      </c>
      <c r="S907" s="25">
        <v>1008</v>
      </c>
      <c r="T907" s="31"/>
      <c r="U907" s="31"/>
      <c r="V907" s="31">
        <f>Inventory[[#This Row],[Bsmt]]-Inventory[[#This Row],[FnBsmt]]</f>
        <v>0</v>
      </c>
      <c r="W907" s="31"/>
      <c r="X907" s="27"/>
      <c r="Y907" s="27">
        <f>Inventory[[#This Row],[MainFn]]+Inventory[[#This Row],[UpprFn]]+Inventory[[#This Row],[FnBsmt]]+Inventory[[#This Row],[AddFn]]</f>
        <v>1008</v>
      </c>
      <c r="Z907" s="27">
        <v>1500</v>
      </c>
      <c r="AA907" s="25">
        <v>5</v>
      </c>
      <c r="AB907" s="27"/>
      <c r="AC907" s="27"/>
      <c r="AD907" s="27"/>
      <c r="AE907" s="27"/>
      <c r="AF907" s="27"/>
      <c r="AG907" s="27"/>
      <c r="AH907" s="27"/>
      <c r="AI907" s="25">
        <v>169683</v>
      </c>
      <c r="AJ907" s="25">
        <v>117081</v>
      </c>
      <c r="AK907" s="25">
        <v>0</v>
      </c>
      <c r="AL907" s="25">
        <v>251800</v>
      </c>
      <c r="AM907" s="25">
        <v>58400</v>
      </c>
      <c r="AN907" s="25">
        <v>193400</v>
      </c>
      <c r="AO907" s="25">
        <v>0</v>
      </c>
      <c r="AP907" s="25">
        <f>Lookups!$B$56*0</f>
        <v>0</v>
      </c>
      <c r="AQ907" s="25">
        <f>Lookups!$B$56*1</f>
        <v>89850.625589999996</v>
      </c>
      <c r="AR907" s="25">
        <f>Lookups!$B$57*Inventory[[#This Row],[LnAcres]]</f>
        <v>-50946.13867709865</v>
      </c>
      <c r="AS907" s="25">
        <f>VLOOKUP(Inventory[[#This Row],[Qlty]],Lookups!$A$62:$E$75,2,FALSE)</f>
        <v>0</v>
      </c>
      <c r="AT907" s="25">
        <f>VLOOKUP(Inventory[[#This Row],[Cnd]],Lookups!$A$76:$E$84,2,FALSE)</f>
        <v>160472.20319</v>
      </c>
      <c r="AU907" s="25">
        <f>Inventory[[#This Row],[EffAge]]*Lookups!$B$85</f>
        <v>-11375.3256255</v>
      </c>
      <c r="AV907" s="25">
        <f>Inventory[[#This Row],[MainFn]]*Lookups!$B$86</f>
        <v>49803.939236015998</v>
      </c>
      <c r="AW907" s="25">
        <f>Inventory[[#This Row],[UpprFn]]*Lookups!$B$87</f>
        <v>0</v>
      </c>
      <c r="AX907" s="25">
        <f>Inventory[[#This Row],[AddFn]]*Lookups!$B$88</f>
        <v>0</v>
      </c>
      <c r="AY907" s="25">
        <f>Inventory[[#This Row],[Bsmt]]*Lookups!$B$89</f>
        <v>0</v>
      </c>
      <c r="AZ907" s="25">
        <f>Inventory[[#This Row],[Fixtures]]*Lookups!$B$90</f>
        <v>18960.110526</v>
      </c>
      <c r="BA907" s="25">
        <f>Inventory[[#This Row],[WdDeck]]*Lookups!$B$91</f>
        <v>0</v>
      </c>
      <c r="BB907" s="25">
        <f>ROUND(Inventory[[#This Row],[25Det]],-2)</f>
        <v>0</v>
      </c>
      <c r="BC907" s="25">
        <f>ROUND(SUM(Inventory[[#This Row],[Mdl Qlty]:[Mdl WdDeck]])+Inventory[[#This Row],[Mdl Res Intercept]],-2)</f>
        <v>217900</v>
      </c>
      <c r="BD907" s="25">
        <f>ROUND(Inventory[[#This Row],[Mdl Land Intercept]]+Inventory[[#This Row],[Mdl LnAcres]],-2)</f>
        <v>38900</v>
      </c>
      <c r="BE907" s="25">
        <f>Inventory[[#This Row],[Unadj Res Value]]+Inventory[[#This Row],[Unadj Det Value]]+Inventory[[#This Row],[Unadj Land Value]]</f>
        <v>256800</v>
      </c>
      <c r="BF907" s="36">
        <f>(Inventory[[#This Row],[Unadj Total Value]]-Inventory[[#This Row],[24Final]])/Inventory[[#This Row],[24Final]]</f>
        <v>1.9857029388403495E-2</v>
      </c>
      <c r="BG907" s="25">
        <f>VLOOKUP(Inventory[[#This Row],[Nbhd]],Lookups!$Q$2:$T$4,4,FALSE)</f>
        <v>0.99970000000000003</v>
      </c>
      <c r="BH907" s="25">
        <f>VLOOKUP(Inventory[[#This Row],[Qlty]],Lookups!$O$7:$R$21,4,FALSE)</f>
        <v>0.99180000000000001</v>
      </c>
      <c r="BI907" s="25">
        <f>VLOOKUP(Inventory[[#This Row],[Cnd]],Lookups!$T$7:$W$16,4,FALSE)</f>
        <v>0.99729999999999996</v>
      </c>
      <c r="BJ907" s="25">
        <f>VLOOKUP(Inventory[[#This Row],[LivArea Range]],Lookups!$T$25:$W$37,4,FALSE)</f>
        <v>1.0157</v>
      </c>
      <c r="BK907" s="25">
        <f>VLOOKUP(Inventory[[#This Row],[Decade]],Lookups!$O$25:$R$42,4,FALSE)</f>
        <v>0.995</v>
      </c>
      <c r="BL907" s="25">
        <f>Inventory[[#This Row],[Nbhd Adj]]*0.95</f>
        <v>0.94971499999999998</v>
      </c>
      <c r="BM907" s="25">
        <f>Inventory[[#This Row],[Nbhd Adj]]*Inventory[[#This Row],[Quality Adj]]*Inventory[[#This Row],[Condition Adj]]*Inventory[[#This Row],[Living Area Adj]]*Inventory[[#This Row],[Decade Adj]]*0.95</f>
        <v>0.94936180176077878</v>
      </c>
      <c r="BN907" s="25">
        <f>ROUND(SUM(Inventory[[#This Row],[Mdl Qlty]:[Mdl WdDeck]])+Inventory[[#This Row],[Mdl Res Intercept]]*Inventory[[#This Row],[Res Adj ]],-2)</f>
        <v>217900</v>
      </c>
      <c r="BO907" s="25">
        <f>ROUND(Inventory[[#This Row],[25Det]]*Inventory[[#This Row],[Det/Nbhd Adj]],-2)</f>
        <v>0</v>
      </c>
      <c r="BP907" s="25">
        <f>Inventory[[#This Row],[Adjusted Res]]+Inventory[[#This Row],[Adj Det ]]</f>
        <v>217900</v>
      </c>
      <c r="BQ907" s="25">
        <f>ROUND((Inventory[[#This Row],[Mdl Land Intercept]]+Inventory[[#This Row],[Mdl LnAcres]])*Inventory[[#This Row],[Det/Nbhd Adj]],-2)</f>
        <v>36900</v>
      </c>
      <c r="BR907" s="25">
        <f>Inventory[[#This Row],[Adjusted Impr Total]]+Inventory[[#This Row],[Adjusted Land Total]]</f>
        <v>254800</v>
      </c>
      <c r="BS907" s="36">
        <f>IFERROR((Inventory[[#This Row],[Adjusted Impr Total]]-Inventory[[#This Row],[24Bldg]])/Inventory[[#This Row],[24Bldg]],0)</f>
        <v>0.12668045501551189</v>
      </c>
      <c r="BT907" s="36">
        <f>(Inventory[[#This Row],[Adjusted Land Total]]-Inventory[[#This Row],[24Lnd]])/Inventory[[#This Row],[24Lnd]]</f>
        <v>-0.36815068493150682</v>
      </c>
      <c r="BU907" s="36">
        <f>(Inventory[[#This Row],[Adjusted Total]]-Inventory[[#This Row],[24Final]])/Inventory[[#This Row],[24Final]]</f>
        <v>1.1914217633042097E-2</v>
      </c>
    </row>
    <row r="908" spans="1:73" x14ac:dyDescent="0.3">
      <c r="A908" s="25">
        <v>2025</v>
      </c>
      <c r="B908" s="26" t="s">
        <v>1498</v>
      </c>
      <c r="C908" s="26">
        <f>LN(Inventory[[#This Row],[Acres]])</f>
        <v>-1.3470736479666092</v>
      </c>
      <c r="D908" s="25">
        <v>0.26</v>
      </c>
      <c r="E908" s="25">
        <v>11249</v>
      </c>
      <c r="F908" s="26" t="s">
        <v>537</v>
      </c>
      <c r="G908" s="26" t="s">
        <v>126</v>
      </c>
      <c r="H908" s="26" t="s">
        <v>349</v>
      </c>
      <c r="I908" s="26" t="s">
        <v>538</v>
      </c>
      <c r="J908" s="26" t="s">
        <v>539</v>
      </c>
      <c r="K908" s="26" t="s">
        <v>241</v>
      </c>
      <c r="L908" s="26" t="s">
        <v>148</v>
      </c>
      <c r="M908" s="26" t="s">
        <v>323</v>
      </c>
      <c r="N908" s="26">
        <v>80</v>
      </c>
      <c r="O908" s="26">
        <f>2024-Inventory[[#This Row],[YrBlt]]</f>
        <v>74</v>
      </c>
      <c r="P908" s="26">
        <f>2024-Inventory[[#This Row],[EffYr]]</f>
        <v>51</v>
      </c>
      <c r="Q908" s="25">
        <v>1950</v>
      </c>
      <c r="R908" s="25">
        <v>1973</v>
      </c>
      <c r="S908" s="25">
        <v>1150</v>
      </c>
      <c r="T908" s="27"/>
      <c r="U908" s="32">
        <v>1150</v>
      </c>
      <c r="V908" s="32">
        <f>Inventory[[#This Row],[Bsmt]]-Inventory[[#This Row],[FnBsmt]]</f>
        <v>0</v>
      </c>
      <c r="W908" s="32">
        <v>1150</v>
      </c>
      <c r="X908" s="27"/>
      <c r="Y908" s="27">
        <f>Inventory[[#This Row],[MainFn]]+Inventory[[#This Row],[UpprFn]]+Inventory[[#This Row],[FnBsmt]]+Inventory[[#This Row],[AddFn]]</f>
        <v>2300</v>
      </c>
      <c r="Z908" s="27">
        <v>2500</v>
      </c>
      <c r="AA908" s="25">
        <v>7</v>
      </c>
      <c r="AB908" s="31"/>
      <c r="AC908" s="27"/>
      <c r="AD908" s="27"/>
      <c r="AE908" s="27"/>
      <c r="AF908" s="27"/>
      <c r="AG908" s="31"/>
      <c r="AH908" s="27"/>
      <c r="AI908" s="25">
        <v>391073</v>
      </c>
      <c r="AJ908" s="25">
        <v>269840</v>
      </c>
      <c r="AK908" s="25">
        <v>12258</v>
      </c>
      <c r="AL908" s="25">
        <v>362600</v>
      </c>
      <c r="AM908" s="25">
        <v>67600</v>
      </c>
      <c r="AN908" s="25">
        <v>295000</v>
      </c>
      <c r="AO908" s="25">
        <v>0</v>
      </c>
      <c r="AP908" s="25">
        <f>Lookups!$B$56*0</f>
        <v>0</v>
      </c>
      <c r="AQ908" s="25">
        <f>Lookups!$B$56*1</f>
        <v>89850.625589999996</v>
      </c>
      <c r="AR908" s="25">
        <f>Lookups!$B$57*Inventory[[#This Row],[LnAcres]]</f>
        <v>-42641.098701210125</v>
      </c>
      <c r="AS908" s="25">
        <f>VLOOKUP(Inventory[[#This Row],[Qlty]],Lookups!$A$62:$E$75,2,FALSE)</f>
        <v>44121.038090000002</v>
      </c>
      <c r="AT908" s="25">
        <f>VLOOKUP(Inventory[[#This Row],[Cnd]],Lookups!$A$76:$E$84,2,FALSE)</f>
        <v>160472.20319</v>
      </c>
      <c r="AU908" s="25">
        <f>Inventory[[#This Row],[EffAge]]*Lookups!$B$85</f>
        <v>-11375.3256255</v>
      </c>
      <c r="AV908" s="25">
        <f>Inventory[[#This Row],[MainFn]]*Lookups!$B$86</f>
        <v>56819.970358550003</v>
      </c>
      <c r="AW908" s="25">
        <f>Inventory[[#This Row],[UpprFn]]*Lookups!$B$87</f>
        <v>0</v>
      </c>
      <c r="AX908" s="25">
        <f>Inventory[[#This Row],[AddFn]]*Lookups!$B$88</f>
        <v>0</v>
      </c>
      <c r="AY908" s="25">
        <f>Inventory[[#This Row],[Bsmt]]*Lookups!$B$89</f>
        <v>33444.179534049996</v>
      </c>
      <c r="AZ908" s="25">
        <f>Inventory[[#This Row],[Fixtures]]*Lookups!$B$90</f>
        <v>26544.1547364</v>
      </c>
      <c r="BA908" s="25">
        <f>Inventory[[#This Row],[WdDeck]]*Lookups!$B$91</f>
        <v>0</v>
      </c>
      <c r="BB908" s="25">
        <f>ROUND(Inventory[[#This Row],[25Det]],-2)</f>
        <v>12300</v>
      </c>
      <c r="BC908" s="25">
        <f>ROUND(SUM(Inventory[[#This Row],[Mdl Qlty]:[Mdl WdDeck]])+Inventory[[#This Row],[Mdl Res Intercept]],-2)</f>
        <v>310000</v>
      </c>
      <c r="BD908" s="25">
        <f>ROUND(Inventory[[#This Row],[Mdl Land Intercept]]+Inventory[[#This Row],[Mdl LnAcres]],-2)</f>
        <v>47200</v>
      </c>
      <c r="BE908" s="25">
        <f>Inventory[[#This Row],[Unadj Res Value]]+Inventory[[#This Row],[Unadj Det Value]]+Inventory[[#This Row],[Unadj Land Value]]</f>
        <v>369500</v>
      </c>
      <c r="BF908" s="36">
        <f>(Inventory[[#This Row],[Unadj Total Value]]-Inventory[[#This Row],[24Final]])/Inventory[[#This Row],[24Final]]</f>
        <v>1.9029233314947602E-2</v>
      </c>
      <c r="BG908" s="25">
        <f>VLOOKUP(Inventory[[#This Row],[Nbhd]],Lookups!$Q$2:$T$4,4,FALSE)</f>
        <v>0.99970000000000003</v>
      </c>
      <c r="BH908" s="25">
        <f>VLOOKUP(Inventory[[#This Row],[Qlty]],Lookups!$O$7:$R$21,4,FALSE)</f>
        <v>0.98050000000000004</v>
      </c>
      <c r="BI908" s="25">
        <f>VLOOKUP(Inventory[[#This Row],[Cnd]],Lookups!$T$7:$W$16,4,FALSE)</f>
        <v>0.99729999999999996</v>
      </c>
      <c r="BJ908" s="25">
        <f>VLOOKUP(Inventory[[#This Row],[LivArea Range]],Lookups!$T$25:$W$37,4,FALSE)</f>
        <v>0.98919999999999997</v>
      </c>
      <c r="BK908" s="25">
        <f>VLOOKUP(Inventory[[#This Row],[Decade]],Lookups!$O$25:$R$42,4,FALSE)</f>
        <v>0.995</v>
      </c>
      <c r="BL908" s="25">
        <f>Inventory[[#This Row],[Nbhd Adj]]*0.95</f>
        <v>0.94971499999999998</v>
      </c>
      <c r="BM908" s="25">
        <f>Inventory[[#This Row],[Nbhd Adj]]*Inventory[[#This Row],[Quality Adj]]*Inventory[[#This Row],[Condition Adj]]*Inventory[[#This Row],[Living Area Adj]]*Inventory[[#This Row],[Decade Adj]]*0.95</f>
        <v>0.91405831328052556</v>
      </c>
      <c r="BN908" s="25">
        <f>ROUND(SUM(Inventory[[#This Row],[Mdl Qlty]:[Mdl WdDeck]])+Inventory[[#This Row],[Mdl Res Intercept]]*Inventory[[#This Row],[Res Adj ]],-2)</f>
        <v>310000</v>
      </c>
      <c r="BO908" s="25">
        <f>ROUND(Inventory[[#This Row],[25Det]]*Inventory[[#This Row],[Det/Nbhd Adj]],-2)</f>
        <v>11600</v>
      </c>
      <c r="BP908" s="25">
        <f>Inventory[[#This Row],[Adjusted Res]]+Inventory[[#This Row],[Adj Det ]]</f>
        <v>321600</v>
      </c>
      <c r="BQ908" s="25">
        <f>ROUND((Inventory[[#This Row],[Mdl Land Intercept]]+Inventory[[#This Row],[Mdl LnAcres]])*Inventory[[#This Row],[Det/Nbhd Adj]],-2)</f>
        <v>44800</v>
      </c>
      <c r="BR908" s="25">
        <f>Inventory[[#This Row],[Adjusted Impr Total]]+Inventory[[#This Row],[Adjusted Land Total]]</f>
        <v>366400</v>
      </c>
      <c r="BS908" s="36">
        <f>IFERROR((Inventory[[#This Row],[Adjusted Impr Total]]-Inventory[[#This Row],[24Bldg]])/Inventory[[#This Row],[24Bldg]],0)</f>
        <v>9.0169491525423723E-2</v>
      </c>
      <c r="BT908" s="36">
        <f>(Inventory[[#This Row],[Adjusted Land Total]]-Inventory[[#This Row],[24Lnd]])/Inventory[[#This Row],[24Lnd]]</f>
        <v>-0.33727810650887574</v>
      </c>
      <c r="BU908" s="36">
        <f>(Inventory[[#This Row],[Adjusted Total]]-Inventory[[#This Row],[24Final]])/Inventory[[#This Row],[24Final]]</f>
        <v>1.0479867622724766E-2</v>
      </c>
    </row>
    <row r="909" spans="1:73" x14ac:dyDescent="0.3">
      <c r="A909" s="25">
        <v>2025</v>
      </c>
      <c r="B909" s="26" t="s">
        <v>2122</v>
      </c>
      <c r="C909" s="26">
        <f>LN(Inventory[[#This Row],[Acres]])</f>
        <v>7.6961041136128394E-2</v>
      </c>
      <c r="D909" s="25">
        <v>1.08</v>
      </c>
      <c r="E909" s="25">
        <v>47024</v>
      </c>
      <c r="F909" s="26" t="s">
        <v>537</v>
      </c>
      <c r="G909" s="26" t="s">
        <v>126</v>
      </c>
      <c r="H909" s="26" t="s">
        <v>349</v>
      </c>
      <c r="I909" s="26" t="s">
        <v>538</v>
      </c>
      <c r="J909" s="26" t="s">
        <v>539</v>
      </c>
      <c r="K909" s="26" t="s">
        <v>300</v>
      </c>
      <c r="L909" s="26" t="s">
        <v>95</v>
      </c>
      <c r="M909" s="26" t="s">
        <v>303</v>
      </c>
      <c r="N909" s="26">
        <v>80</v>
      </c>
      <c r="O909" s="26">
        <f>2024-Inventory[[#This Row],[YrBlt]]</f>
        <v>74</v>
      </c>
      <c r="P909" s="26">
        <f>2024-Inventory[[#This Row],[EffYr]]</f>
        <v>51</v>
      </c>
      <c r="Q909" s="25">
        <v>1950</v>
      </c>
      <c r="R909" s="25">
        <v>1973</v>
      </c>
      <c r="S909" s="25">
        <v>2969</v>
      </c>
      <c r="T909" s="32">
        <v>992</v>
      </c>
      <c r="U909" s="32">
        <v>1071</v>
      </c>
      <c r="V909" s="32">
        <f>Inventory[[#This Row],[Bsmt]]-Inventory[[#This Row],[FnBsmt]]</f>
        <v>1071</v>
      </c>
      <c r="W909" s="27"/>
      <c r="X909" s="27"/>
      <c r="Y909" s="27">
        <f>Inventory[[#This Row],[MainFn]]+Inventory[[#This Row],[UpprFn]]+Inventory[[#This Row],[FnBsmt]]+Inventory[[#This Row],[AddFn]]</f>
        <v>3961</v>
      </c>
      <c r="Z909" s="27">
        <v>4000</v>
      </c>
      <c r="AA909" s="25">
        <v>17</v>
      </c>
      <c r="AB909" s="31"/>
      <c r="AC909" s="27"/>
      <c r="AD909" s="27"/>
      <c r="AE909" s="27"/>
      <c r="AF909" s="27"/>
      <c r="AG909" s="31"/>
      <c r="AH909" s="27"/>
      <c r="AI909" s="25">
        <v>857729</v>
      </c>
      <c r="AJ909" s="25">
        <v>617565</v>
      </c>
      <c r="AK909" s="25">
        <v>67081</v>
      </c>
      <c r="AL909" s="25">
        <v>693000</v>
      </c>
      <c r="AM909" s="25">
        <v>117200</v>
      </c>
      <c r="AN909" s="25">
        <v>575800</v>
      </c>
      <c r="AO909" s="25">
        <v>0</v>
      </c>
      <c r="AP909" s="25">
        <f>Lookups!$B$56*0</f>
        <v>0</v>
      </c>
      <c r="AQ909" s="25">
        <f>Lookups!$B$56*1</f>
        <v>89850.625589999996</v>
      </c>
      <c r="AR909" s="25">
        <f>Lookups!$B$57*Inventory[[#This Row],[LnAcres]]</f>
        <v>2436.1721841914386</v>
      </c>
      <c r="AS909" s="25">
        <f>VLOOKUP(Inventory[[#This Row],[Qlty]],Lookups!$A$62:$E$75,2,FALSE)</f>
        <v>74268.409664999999</v>
      </c>
      <c r="AT909" s="25">
        <f>VLOOKUP(Inventory[[#This Row],[Cnd]],Lookups!$A$76:$E$84,2,FALSE)</f>
        <v>197752.34721000001</v>
      </c>
      <c r="AU909" s="25">
        <f>Inventory[[#This Row],[EffAge]]*Lookups!$B$85</f>
        <v>-11375.3256255</v>
      </c>
      <c r="AV909" s="25">
        <f>Inventory[[#This Row],[MainFn]]*Lookups!$B$86</f>
        <v>146694.34086481301</v>
      </c>
      <c r="AW909" s="25">
        <f>Inventory[[#This Row],[UpprFn]]*Lookups!$B$87</f>
        <v>44428.131478112002</v>
      </c>
      <c r="AX909" s="25">
        <f>Inventory[[#This Row],[AddFn]]*Lookups!$B$88</f>
        <v>0</v>
      </c>
      <c r="AY909" s="25">
        <f>Inventory[[#This Row],[Bsmt]]*Lookups!$B$89</f>
        <v>31146.709809536998</v>
      </c>
      <c r="AZ909" s="25">
        <f>Inventory[[#This Row],[Fixtures]]*Lookups!$B$90</f>
        <v>64464.375788400001</v>
      </c>
      <c r="BA909" s="25">
        <f>Inventory[[#This Row],[WdDeck]]*Lookups!$B$91</f>
        <v>0</v>
      </c>
      <c r="BB909" s="25">
        <f>ROUND(Inventory[[#This Row],[25Det]],-2)</f>
        <v>67100</v>
      </c>
      <c r="BC909" s="25">
        <f>ROUND(SUM(Inventory[[#This Row],[Mdl Qlty]:[Mdl WdDeck]])+Inventory[[#This Row],[Mdl Res Intercept]],-2)</f>
        <v>547400</v>
      </c>
      <c r="BD909" s="25">
        <f>ROUND(Inventory[[#This Row],[Mdl Land Intercept]]+Inventory[[#This Row],[Mdl LnAcres]],-2)</f>
        <v>92300</v>
      </c>
      <c r="BE909" s="25">
        <f>Inventory[[#This Row],[Unadj Res Value]]+Inventory[[#This Row],[Unadj Det Value]]+Inventory[[#This Row],[Unadj Land Value]]</f>
        <v>706800</v>
      </c>
      <c r="BF909" s="36">
        <f>(Inventory[[#This Row],[Unadj Total Value]]-Inventory[[#This Row],[24Final]])/Inventory[[#This Row],[24Final]]</f>
        <v>1.9913419913419914E-2</v>
      </c>
      <c r="BG909" s="25">
        <f>VLOOKUP(Inventory[[#This Row],[Nbhd]],Lookups!$Q$2:$T$4,4,FALSE)</f>
        <v>0.99970000000000003</v>
      </c>
      <c r="BH909" s="25">
        <f>VLOOKUP(Inventory[[#This Row],[Qlty]],Lookups!$O$7:$R$21,4,FALSE)</f>
        <v>0.98380000000000001</v>
      </c>
      <c r="BI909" s="25">
        <f>VLOOKUP(Inventory[[#This Row],[Cnd]],Lookups!$T$7:$W$16,4,FALSE)</f>
        <v>0.99650000000000005</v>
      </c>
      <c r="BJ909" s="25">
        <f>VLOOKUP(Inventory[[#This Row],[LivArea Range]],Lookups!$T$25:$W$37,4,FALSE)</f>
        <v>0.94579999999999997</v>
      </c>
      <c r="BK909" s="25">
        <f>VLOOKUP(Inventory[[#This Row],[Decade]],Lookups!$O$25:$R$42,4,FALSE)</f>
        <v>0.995</v>
      </c>
      <c r="BL909" s="25">
        <f>Inventory[[#This Row],[Nbhd Adj]]*0.95</f>
        <v>0.94971499999999998</v>
      </c>
      <c r="BM909" s="25">
        <f>Inventory[[#This Row],[Nbhd Adj]]*Inventory[[#This Row],[Quality Adj]]*Inventory[[#This Row],[Condition Adj]]*Inventory[[#This Row],[Living Area Adj]]*Inventory[[#This Row],[Decade Adj]]*0.95</f>
        <v>0.87619306022530763</v>
      </c>
      <c r="BN909" s="25">
        <f>ROUND(SUM(Inventory[[#This Row],[Mdl Qlty]:[Mdl WdDeck]])+Inventory[[#This Row],[Mdl Res Intercept]]*Inventory[[#This Row],[Res Adj ]],-2)</f>
        <v>547400</v>
      </c>
      <c r="BO909" s="25">
        <f>ROUND(Inventory[[#This Row],[25Det]]*Inventory[[#This Row],[Det/Nbhd Adj]],-2)</f>
        <v>63700</v>
      </c>
      <c r="BP909" s="25">
        <f>Inventory[[#This Row],[Adjusted Res]]+Inventory[[#This Row],[Adj Det ]]</f>
        <v>611100</v>
      </c>
      <c r="BQ909" s="25">
        <f>ROUND((Inventory[[#This Row],[Mdl Land Intercept]]+Inventory[[#This Row],[Mdl LnAcres]])*Inventory[[#This Row],[Det/Nbhd Adj]],-2)</f>
        <v>87600</v>
      </c>
      <c r="BR909" s="25">
        <f>Inventory[[#This Row],[Adjusted Impr Total]]+Inventory[[#This Row],[Adjusted Land Total]]</f>
        <v>698700</v>
      </c>
      <c r="BS909" s="36">
        <f>IFERROR((Inventory[[#This Row],[Adjusted Impr Total]]-Inventory[[#This Row],[24Bldg]])/Inventory[[#This Row],[24Bldg]],0)</f>
        <v>6.1306009030913509E-2</v>
      </c>
      <c r="BT909" s="36">
        <f>(Inventory[[#This Row],[Adjusted Land Total]]-Inventory[[#This Row],[24Lnd]])/Inventory[[#This Row],[24Lnd]]</f>
        <v>-0.25255972696245732</v>
      </c>
      <c r="BU909" s="36">
        <f>(Inventory[[#This Row],[Adjusted Total]]-Inventory[[#This Row],[24Final]])/Inventory[[#This Row],[24Final]]</f>
        <v>8.2251082251082255E-3</v>
      </c>
    </row>
    <row r="910" spans="1:73" x14ac:dyDescent="0.3">
      <c r="A910" s="25">
        <v>2025</v>
      </c>
      <c r="B910" s="26" t="s">
        <v>2914</v>
      </c>
      <c r="C910" s="26">
        <f>LN(Inventory[[#This Row],[Acres]])</f>
        <v>-1.1394342831883648</v>
      </c>
      <c r="D910" s="25">
        <v>0.32</v>
      </c>
      <c r="E910" s="25">
        <v>13900</v>
      </c>
      <c r="F910" s="26" t="s">
        <v>537</v>
      </c>
      <c r="G910" s="26" t="s">
        <v>126</v>
      </c>
      <c r="H910" s="26" t="s">
        <v>349</v>
      </c>
      <c r="I910" s="26" t="s">
        <v>538</v>
      </c>
      <c r="J910" s="26" t="s">
        <v>539</v>
      </c>
      <c r="K910" s="26" t="s">
        <v>350</v>
      </c>
      <c r="L910" s="26" t="s">
        <v>302</v>
      </c>
      <c r="M910" s="26" t="s">
        <v>323</v>
      </c>
      <c r="N910" s="26">
        <v>80</v>
      </c>
      <c r="O910" s="26">
        <f>2024-Inventory[[#This Row],[YrBlt]]</f>
        <v>74</v>
      </c>
      <c r="P910" s="26">
        <f>2024-Inventory[[#This Row],[EffYr]]</f>
        <v>51</v>
      </c>
      <c r="Q910" s="25">
        <v>1950</v>
      </c>
      <c r="R910" s="25">
        <v>1973</v>
      </c>
      <c r="S910" s="25">
        <v>1263</v>
      </c>
      <c r="T910" s="27"/>
      <c r="U910" s="32">
        <v>480</v>
      </c>
      <c r="V910" s="32">
        <f>Inventory[[#This Row],[Bsmt]]-Inventory[[#This Row],[FnBsmt]]</f>
        <v>0</v>
      </c>
      <c r="W910" s="32">
        <v>480</v>
      </c>
      <c r="X910" s="27"/>
      <c r="Y910" s="27">
        <f>Inventory[[#This Row],[MainFn]]+Inventory[[#This Row],[UpprFn]]+Inventory[[#This Row],[FnBsmt]]+Inventory[[#This Row],[AddFn]]</f>
        <v>1743</v>
      </c>
      <c r="Z910" s="27">
        <v>2000</v>
      </c>
      <c r="AA910" s="25">
        <v>8</v>
      </c>
      <c r="AB910" s="31"/>
      <c r="AC910" s="27"/>
      <c r="AD910" s="27"/>
      <c r="AE910" s="27"/>
      <c r="AF910" s="27"/>
      <c r="AG910" s="31"/>
      <c r="AH910" s="27"/>
      <c r="AI910" s="25">
        <v>323823</v>
      </c>
      <c r="AJ910" s="25">
        <v>223438</v>
      </c>
      <c r="AK910" s="25">
        <v>20919</v>
      </c>
      <c r="AL910" s="25">
        <v>353700</v>
      </c>
      <c r="AM910" s="25">
        <v>74800</v>
      </c>
      <c r="AN910" s="25">
        <v>278900</v>
      </c>
      <c r="AO910" s="25">
        <v>0</v>
      </c>
      <c r="AP910" s="25">
        <f>Lookups!$B$56*0</f>
        <v>0</v>
      </c>
      <c r="AQ910" s="25">
        <f>Lookups!$B$56*1</f>
        <v>89850.625589999996</v>
      </c>
      <c r="AR910" s="25">
        <f>Lookups!$B$57*Inventory[[#This Row],[LnAcres]]</f>
        <v>-36068.354396449467</v>
      </c>
      <c r="AS910" s="25">
        <f>VLOOKUP(Inventory[[#This Row],[Qlty]],Lookups!$A$62:$E$75,2,FALSE)</f>
        <v>29814.093161000001</v>
      </c>
      <c r="AT910" s="25">
        <f>VLOOKUP(Inventory[[#This Row],[Cnd]],Lookups!$A$76:$E$84,2,FALSE)</f>
        <v>160472.20319</v>
      </c>
      <c r="AU910" s="25">
        <f>Inventory[[#This Row],[EffAge]]*Lookups!$B$85</f>
        <v>-11375.3256255</v>
      </c>
      <c r="AV910" s="25">
        <f>Inventory[[#This Row],[MainFn]]*Lookups!$B$86</f>
        <v>62403.150054651</v>
      </c>
      <c r="AW910" s="25">
        <f>Inventory[[#This Row],[UpprFn]]*Lookups!$B$87</f>
        <v>0</v>
      </c>
      <c r="AX910" s="25">
        <f>Inventory[[#This Row],[AddFn]]*Lookups!$B$88</f>
        <v>0</v>
      </c>
      <c r="AY910" s="25">
        <f>Inventory[[#This Row],[Bsmt]]*Lookups!$B$89</f>
        <v>13959.30971856</v>
      </c>
      <c r="AZ910" s="25">
        <f>Inventory[[#This Row],[Fixtures]]*Lookups!$B$90</f>
        <v>30336.176841600001</v>
      </c>
      <c r="BA910" s="25">
        <f>Inventory[[#This Row],[WdDeck]]*Lookups!$B$91</f>
        <v>0</v>
      </c>
      <c r="BB910" s="25">
        <f>ROUND(Inventory[[#This Row],[25Det]],-2)</f>
        <v>20900</v>
      </c>
      <c r="BC910" s="25">
        <f>ROUND(SUM(Inventory[[#This Row],[Mdl Qlty]:[Mdl WdDeck]])+Inventory[[#This Row],[Mdl Res Intercept]],-2)</f>
        <v>285600</v>
      </c>
      <c r="BD910" s="25">
        <f>ROUND(Inventory[[#This Row],[Mdl Land Intercept]]+Inventory[[#This Row],[Mdl LnAcres]],-2)</f>
        <v>53800</v>
      </c>
      <c r="BE910" s="25">
        <f>Inventory[[#This Row],[Unadj Res Value]]+Inventory[[#This Row],[Unadj Det Value]]+Inventory[[#This Row],[Unadj Land Value]]</f>
        <v>360300</v>
      </c>
      <c r="BF910" s="36">
        <f>(Inventory[[#This Row],[Unadj Total Value]]-Inventory[[#This Row],[24Final]])/Inventory[[#This Row],[24Final]]</f>
        <v>1.8659881255301103E-2</v>
      </c>
      <c r="BG910" s="25">
        <f>VLOOKUP(Inventory[[#This Row],[Nbhd]],Lookups!$Q$2:$T$4,4,FALSE)</f>
        <v>0.99970000000000003</v>
      </c>
      <c r="BH910" s="25">
        <f>VLOOKUP(Inventory[[#This Row],[Qlty]],Lookups!$O$7:$R$21,4,FALSE)</f>
        <v>1.0088999999999999</v>
      </c>
      <c r="BI910" s="25">
        <f>VLOOKUP(Inventory[[#This Row],[Cnd]],Lookups!$T$7:$W$16,4,FALSE)</f>
        <v>0.99729999999999996</v>
      </c>
      <c r="BJ910" s="25">
        <f>VLOOKUP(Inventory[[#This Row],[LivArea Range]],Lookups!$T$25:$W$37,4,FALSE)</f>
        <v>1.0093000000000001</v>
      </c>
      <c r="BK910" s="25">
        <f>VLOOKUP(Inventory[[#This Row],[Decade]],Lookups!$O$25:$R$42,4,FALSE)</f>
        <v>0.995</v>
      </c>
      <c r="BL910" s="25">
        <f>Inventory[[#This Row],[Nbhd Adj]]*0.95</f>
        <v>0.94971499999999998</v>
      </c>
      <c r="BM910" s="25">
        <f>Inventory[[#This Row],[Nbhd Adj]]*Inventory[[#This Row],[Quality Adj]]*Inventory[[#This Row],[Condition Adj]]*Inventory[[#This Row],[Living Area Adj]]*Inventory[[#This Row],[Decade Adj]]*0.95</f>
        <v>0.9596449726282209</v>
      </c>
      <c r="BN910" s="25">
        <f>ROUND(SUM(Inventory[[#This Row],[Mdl Qlty]:[Mdl WdDeck]])+Inventory[[#This Row],[Mdl Res Intercept]]*Inventory[[#This Row],[Res Adj ]],-2)</f>
        <v>285600</v>
      </c>
      <c r="BO910" s="25">
        <f>ROUND(Inventory[[#This Row],[25Det]]*Inventory[[#This Row],[Det/Nbhd Adj]],-2)</f>
        <v>19900</v>
      </c>
      <c r="BP910" s="25">
        <f>Inventory[[#This Row],[Adjusted Res]]+Inventory[[#This Row],[Adj Det ]]</f>
        <v>305500</v>
      </c>
      <c r="BQ910" s="25">
        <f>ROUND((Inventory[[#This Row],[Mdl Land Intercept]]+Inventory[[#This Row],[Mdl LnAcres]])*Inventory[[#This Row],[Det/Nbhd Adj]],-2)</f>
        <v>51100</v>
      </c>
      <c r="BR910" s="25">
        <f>Inventory[[#This Row],[Adjusted Impr Total]]+Inventory[[#This Row],[Adjusted Land Total]]</f>
        <v>356600</v>
      </c>
      <c r="BS910" s="36">
        <f>IFERROR((Inventory[[#This Row],[Adjusted Impr Total]]-Inventory[[#This Row],[24Bldg]])/Inventory[[#This Row],[24Bldg]],0)</f>
        <v>9.5374686267479386E-2</v>
      </c>
      <c r="BT910" s="36">
        <f>(Inventory[[#This Row],[Adjusted Land Total]]-Inventory[[#This Row],[24Lnd]])/Inventory[[#This Row],[24Lnd]]</f>
        <v>-0.31684491978609625</v>
      </c>
      <c r="BU910" s="36">
        <f>(Inventory[[#This Row],[Adjusted Total]]-Inventory[[#This Row],[24Final]])/Inventory[[#This Row],[24Final]]</f>
        <v>8.1990387333898788E-3</v>
      </c>
    </row>
    <row r="911" spans="1:73" x14ac:dyDescent="0.3">
      <c r="A911" s="25">
        <v>2025</v>
      </c>
      <c r="B911" s="26" t="s">
        <v>1730</v>
      </c>
      <c r="C911" s="26">
        <f>LN(Inventory[[#This Row],[Acres]])</f>
        <v>-1.6607312068216509</v>
      </c>
      <c r="D911" s="25">
        <v>0.19</v>
      </c>
      <c r="E911" s="31"/>
      <c r="F911" s="26" t="s">
        <v>537</v>
      </c>
      <c r="G911" s="26" t="s">
        <v>126</v>
      </c>
      <c r="H911" s="26" t="s">
        <v>349</v>
      </c>
      <c r="I911" s="26" t="s">
        <v>538</v>
      </c>
      <c r="J911" s="26" t="s">
        <v>539</v>
      </c>
      <c r="K911" s="26" t="s">
        <v>241</v>
      </c>
      <c r="L911" s="26" t="s">
        <v>351</v>
      </c>
      <c r="M911" s="26" t="s">
        <v>323</v>
      </c>
      <c r="N911" s="26">
        <v>80</v>
      </c>
      <c r="O911" s="26">
        <f>2024-Inventory[[#This Row],[YrBlt]]</f>
        <v>74</v>
      </c>
      <c r="P911" s="26">
        <f>2024-Inventory[[#This Row],[EffYr]]</f>
        <v>51</v>
      </c>
      <c r="Q911" s="25">
        <v>1950</v>
      </c>
      <c r="R911" s="25">
        <v>1973</v>
      </c>
      <c r="S911" s="25">
        <v>1174</v>
      </c>
      <c r="T911" s="27"/>
      <c r="U911" s="32">
        <v>1174</v>
      </c>
      <c r="V911" s="32">
        <f>Inventory[[#This Row],[Bsmt]]-Inventory[[#This Row],[FnBsmt]]</f>
        <v>0</v>
      </c>
      <c r="W911" s="32">
        <v>1174</v>
      </c>
      <c r="X911" s="27"/>
      <c r="Y911" s="27">
        <f>Inventory[[#This Row],[MainFn]]+Inventory[[#This Row],[UpprFn]]+Inventory[[#This Row],[FnBsmt]]+Inventory[[#This Row],[AddFn]]</f>
        <v>2348</v>
      </c>
      <c r="Z911" s="27">
        <v>2500</v>
      </c>
      <c r="AA911" s="25">
        <v>8</v>
      </c>
      <c r="AB911" s="31"/>
      <c r="AC911" s="27"/>
      <c r="AD911" s="27"/>
      <c r="AE911" s="27"/>
      <c r="AF911" s="27"/>
      <c r="AG911" s="31"/>
      <c r="AH911" s="27"/>
      <c r="AI911" s="25">
        <v>291741</v>
      </c>
      <c r="AJ911" s="25">
        <v>201301</v>
      </c>
      <c r="AK911" s="25">
        <v>0</v>
      </c>
      <c r="AL911" s="25">
        <v>326300</v>
      </c>
      <c r="AM911" s="25">
        <v>56600</v>
      </c>
      <c r="AN911" s="25">
        <v>269700</v>
      </c>
      <c r="AO911" s="25">
        <v>0</v>
      </c>
      <c r="AP911" s="25">
        <f>Lookups!$B$56*0</f>
        <v>0</v>
      </c>
      <c r="AQ911" s="25">
        <f>Lookups!$B$56*1</f>
        <v>89850.625589999996</v>
      </c>
      <c r="AR911" s="25">
        <f>Lookups!$B$57*Inventory[[#This Row],[LnAcres]]</f>
        <v>-52569.808201026557</v>
      </c>
      <c r="AS911" s="25">
        <f>VLOOKUP(Inventory[[#This Row],[Qlty]],Lookups!$A$62:$E$75,2,FALSE)</f>
        <v>21557.329055999999</v>
      </c>
      <c r="AT911" s="25">
        <f>VLOOKUP(Inventory[[#This Row],[Cnd]],Lookups!$A$76:$E$84,2,FALSE)</f>
        <v>160472.20319</v>
      </c>
      <c r="AU911" s="25">
        <f>Inventory[[#This Row],[EffAge]]*Lookups!$B$85</f>
        <v>-11375.3256255</v>
      </c>
      <c r="AV911" s="25">
        <f>Inventory[[#This Row],[MainFn]]*Lookups!$B$86</f>
        <v>58005.778435598004</v>
      </c>
      <c r="AW911" s="25">
        <f>Inventory[[#This Row],[UpprFn]]*Lookups!$B$87</f>
        <v>0</v>
      </c>
      <c r="AX911" s="25">
        <f>Inventory[[#This Row],[AddFn]]*Lookups!$B$88</f>
        <v>0</v>
      </c>
      <c r="AY911" s="25">
        <f>Inventory[[#This Row],[Bsmt]]*Lookups!$B$89</f>
        <v>34142.145019978001</v>
      </c>
      <c r="AZ911" s="25">
        <f>Inventory[[#This Row],[Fixtures]]*Lookups!$B$90</f>
        <v>30336.176841600001</v>
      </c>
      <c r="BA911" s="25">
        <f>Inventory[[#This Row],[WdDeck]]*Lookups!$B$91</f>
        <v>0</v>
      </c>
      <c r="BB911" s="25">
        <f>ROUND(Inventory[[#This Row],[25Det]],-2)</f>
        <v>0</v>
      </c>
      <c r="BC911" s="25">
        <f>ROUND(SUM(Inventory[[#This Row],[Mdl Qlty]:[Mdl WdDeck]])+Inventory[[#This Row],[Mdl Res Intercept]],-2)</f>
        <v>293100</v>
      </c>
      <c r="BD911" s="25">
        <f>ROUND(Inventory[[#This Row],[Mdl Land Intercept]]+Inventory[[#This Row],[Mdl LnAcres]],-2)</f>
        <v>37300</v>
      </c>
      <c r="BE911" s="25">
        <f>Inventory[[#This Row],[Unadj Res Value]]+Inventory[[#This Row],[Unadj Det Value]]+Inventory[[#This Row],[Unadj Land Value]]</f>
        <v>330400</v>
      </c>
      <c r="BF911" s="36">
        <f>(Inventory[[#This Row],[Unadj Total Value]]-Inventory[[#This Row],[24Final]])/Inventory[[#This Row],[24Final]]</f>
        <v>1.256512411890898E-2</v>
      </c>
      <c r="BG911" s="25">
        <f>VLOOKUP(Inventory[[#This Row],[Nbhd]],Lookups!$Q$2:$T$4,4,FALSE)</f>
        <v>0.99970000000000003</v>
      </c>
      <c r="BH911" s="25">
        <f>VLOOKUP(Inventory[[#This Row],[Qlty]],Lookups!$O$7:$R$21,4,FALSE)</f>
        <v>1.0067999999999999</v>
      </c>
      <c r="BI911" s="25">
        <f>VLOOKUP(Inventory[[#This Row],[Cnd]],Lookups!$T$7:$W$16,4,FALSE)</f>
        <v>0.99729999999999996</v>
      </c>
      <c r="BJ911" s="25">
        <f>VLOOKUP(Inventory[[#This Row],[LivArea Range]],Lookups!$T$25:$W$37,4,FALSE)</f>
        <v>0.98919999999999997</v>
      </c>
      <c r="BK911" s="25">
        <f>VLOOKUP(Inventory[[#This Row],[Decade]],Lookups!$O$25:$R$42,4,FALSE)</f>
        <v>0.995</v>
      </c>
      <c r="BL911" s="25">
        <f>Inventory[[#This Row],[Nbhd Adj]]*0.95</f>
        <v>0.94971499999999998</v>
      </c>
      <c r="BM911" s="25">
        <f>Inventory[[#This Row],[Nbhd Adj]]*Inventory[[#This Row],[Quality Adj]]*Inventory[[#This Row],[Condition Adj]]*Inventory[[#This Row],[Living Area Adj]]*Inventory[[#This Row],[Decade Adj]]*0.95</f>
        <v>0.93857614463114025</v>
      </c>
      <c r="BN911" s="25">
        <f>ROUND(SUM(Inventory[[#This Row],[Mdl Qlty]:[Mdl WdDeck]])+Inventory[[#This Row],[Mdl Res Intercept]]*Inventory[[#This Row],[Res Adj ]],-2)</f>
        <v>293100</v>
      </c>
      <c r="BO911" s="25">
        <f>ROUND(Inventory[[#This Row],[25Det]]*Inventory[[#This Row],[Det/Nbhd Adj]],-2)</f>
        <v>0</v>
      </c>
      <c r="BP911" s="25">
        <f>Inventory[[#This Row],[Adjusted Res]]+Inventory[[#This Row],[Adj Det ]]</f>
        <v>293100</v>
      </c>
      <c r="BQ911" s="25">
        <f>ROUND((Inventory[[#This Row],[Mdl Land Intercept]]+Inventory[[#This Row],[Mdl LnAcres]])*Inventory[[#This Row],[Det/Nbhd Adj]],-2)</f>
        <v>35400</v>
      </c>
      <c r="BR911" s="25">
        <f>Inventory[[#This Row],[Adjusted Impr Total]]+Inventory[[#This Row],[Adjusted Land Total]]</f>
        <v>328500</v>
      </c>
      <c r="BS911" s="36">
        <f>IFERROR((Inventory[[#This Row],[Adjusted Impr Total]]-Inventory[[#This Row],[24Bldg]])/Inventory[[#This Row],[24Bldg]],0)</f>
        <v>8.6763070077864296E-2</v>
      </c>
      <c r="BT911" s="36">
        <f>(Inventory[[#This Row],[Adjusted Land Total]]-Inventory[[#This Row],[24Lnd]])/Inventory[[#This Row],[24Lnd]]</f>
        <v>-0.37455830388692579</v>
      </c>
      <c r="BU911" s="36">
        <f>(Inventory[[#This Row],[Adjusted Total]]-Inventory[[#This Row],[24Final]])/Inventory[[#This Row],[24Final]]</f>
        <v>6.742261722341404E-3</v>
      </c>
    </row>
    <row r="912" spans="1:73" x14ac:dyDescent="0.3">
      <c r="A912" s="25">
        <v>2025</v>
      </c>
      <c r="B912" s="26" t="s">
        <v>2861</v>
      </c>
      <c r="C912" s="26">
        <f>LN(Inventory[[#This Row],[Acres]])</f>
        <v>-1.7719568419318752</v>
      </c>
      <c r="D912" s="25">
        <v>0.17</v>
      </c>
      <c r="E912" s="31"/>
      <c r="F912" s="26" t="s">
        <v>537</v>
      </c>
      <c r="G912" s="26" t="s">
        <v>126</v>
      </c>
      <c r="H912" s="26" t="s">
        <v>349</v>
      </c>
      <c r="I912" s="26" t="s">
        <v>538</v>
      </c>
      <c r="J912" s="26" t="s">
        <v>539</v>
      </c>
      <c r="K912" s="26" t="s">
        <v>242</v>
      </c>
      <c r="L912" s="26" t="s">
        <v>205</v>
      </c>
      <c r="M912" s="26" t="s">
        <v>323</v>
      </c>
      <c r="N912" s="26">
        <v>80</v>
      </c>
      <c r="O912" s="26">
        <f>2024-Inventory[[#This Row],[YrBlt]]</f>
        <v>74</v>
      </c>
      <c r="P912" s="26">
        <f>2024-Inventory[[#This Row],[EffYr]]</f>
        <v>51</v>
      </c>
      <c r="Q912" s="25">
        <v>1950</v>
      </c>
      <c r="R912" s="25">
        <v>1973</v>
      </c>
      <c r="S912" s="25">
        <v>1072</v>
      </c>
      <c r="T912" s="27"/>
      <c r="U912" s="27"/>
      <c r="V912" s="27">
        <f>Inventory[[#This Row],[Bsmt]]-Inventory[[#This Row],[FnBsmt]]</f>
        <v>0</v>
      </c>
      <c r="W912" s="27"/>
      <c r="X912" s="27"/>
      <c r="Y912" s="27">
        <f>Inventory[[#This Row],[MainFn]]+Inventory[[#This Row],[UpprFn]]+Inventory[[#This Row],[FnBsmt]]+Inventory[[#This Row],[AddFn]]</f>
        <v>1072</v>
      </c>
      <c r="Z912" s="27">
        <v>1500</v>
      </c>
      <c r="AA912" s="25">
        <v>6</v>
      </c>
      <c r="AB912" s="31"/>
      <c r="AC912" s="27"/>
      <c r="AD912" s="27"/>
      <c r="AE912" s="27"/>
      <c r="AF912" s="27"/>
      <c r="AG912" s="31"/>
      <c r="AH912" s="27"/>
      <c r="AI912" s="25">
        <v>166838</v>
      </c>
      <c r="AJ912" s="25">
        <v>115118</v>
      </c>
      <c r="AK912" s="25">
        <v>6832</v>
      </c>
      <c r="AL912" s="25">
        <v>261800</v>
      </c>
      <c r="AM912" s="25">
        <v>52700</v>
      </c>
      <c r="AN912" s="25">
        <v>209100</v>
      </c>
      <c r="AO912" s="25">
        <v>0</v>
      </c>
      <c r="AP912" s="25">
        <f>Lookups!$B$56*0</f>
        <v>0</v>
      </c>
      <c r="AQ912" s="25">
        <f>Lookups!$B$56*1</f>
        <v>89850.625589999996</v>
      </c>
      <c r="AR912" s="25">
        <f>Lookups!$B$57*Inventory[[#This Row],[LnAcres]]</f>
        <v>-56090.612940989391</v>
      </c>
      <c r="AS912" s="25">
        <f>VLOOKUP(Inventory[[#This Row],[Qlty]],Lookups!$A$62:$E$75,2,FALSE)</f>
        <v>0</v>
      </c>
      <c r="AT912" s="25">
        <f>VLOOKUP(Inventory[[#This Row],[Cnd]],Lookups!$A$76:$E$84,2,FALSE)</f>
        <v>160472.20319</v>
      </c>
      <c r="AU912" s="25">
        <f>Inventory[[#This Row],[EffAge]]*Lookups!$B$85</f>
        <v>-11375.3256255</v>
      </c>
      <c r="AV912" s="25">
        <f>Inventory[[#This Row],[MainFn]]*Lookups!$B$86</f>
        <v>52966.094108144003</v>
      </c>
      <c r="AW912" s="25">
        <f>Inventory[[#This Row],[UpprFn]]*Lookups!$B$87</f>
        <v>0</v>
      </c>
      <c r="AX912" s="25">
        <f>Inventory[[#This Row],[AddFn]]*Lookups!$B$88</f>
        <v>0</v>
      </c>
      <c r="AY912" s="25">
        <f>Inventory[[#This Row],[Bsmt]]*Lookups!$B$89</f>
        <v>0</v>
      </c>
      <c r="AZ912" s="25">
        <f>Inventory[[#This Row],[Fixtures]]*Lookups!$B$90</f>
        <v>22752.132631200002</v>
      </c>
      <c r="BA912" s="25">
        <f>Inventory[[#This Row],[WdDeck]]*Lookups!$B$91</f>
        <v>0</v>
      </c>
      <c r="BB912" s="25">
        <f>ROUND(Inventory[[#This Row],[25Det]],-2)</f>
        <v>6800</v>
      </c>
      <c r="BC912" s="25">
        <f>ROUND(SUM(Inventory[[#This Row],[Mdl Qlty]:[Mdl WdDeck]])+Inventory[[#This Row],[Mdl Res Intercept]],-2)</f>
        <v>224800</v>
      </c>
      <c r="BD912" s="25">
        <f>ROUND(Inventory[[#This Row],[Mdl Land Intercept]]+Inventory[[#This Row],[Mdl LnAcres]],-2)</f>
        <v>33800</v>
      </c>
      <c r="BE912" s="25">
        <f>Inventory[[#This Row],[Unadj Res Value]]+Inventory[[#This Row],[Unadj Det Value]]+Inventory[[#This Row],[Unadj Land Value]]</f>
        <v>265400</v>
      </c>
      <c r="BF912" s="36">
        <f>(Inventory[[#This Row],[Unadj Total Value]]-Inventory[[#This Row],[24Final]])/Inventory[[#This Row],[24Final]]</f>
        <v>1.3750954927425516E-2</v>
      </c>
      <c r="BG912" s="25">
        <f>VLOOKUP(Inventory[[#This Row],[Nbhd]],Lookups!$Q$2:$T$4,4,FALSE)</f>
        <v>0.99970000000000003</v>
      </c>
      <c r="BH912" s="25">
        <f>VLOOKUP(Inventory[[#This Row],[Qlty]],Lookups!$O$7:$R$21,4,FALSE)</f>
        <v>0.99180000000000001</v>
      </c>
      <c r="BI912" s="25">
        <f>VLOOKUP(Inventory[[#This Row],[Cnd]],Lookups!$T$7:$W$16,4,FALSE)</f>
        <v>0.99729999999999996</v>
      </c>
      <c r="BJ912" s="25">
        <f>VLOOKUP(Inventory[[#This Row],[LivArea Range]],Lookups!$T$25:$W$37,4,FALSE)</f>
        <v>1.0157</v>
      </c>
      <c r="BK912" s="25">
        <f>VLOOKUP(Inventory[[#This Row],[Decade]],Lookups!$O$25:$R$42,4,FALSE)</f>
        <v>0.995</v>
      </c>
      <c r="BL912" s="25">
        <f>Inventory[[#This Row],[Nbhd Adj]]*0.95</f>
        <v>0.94971499999999998</v>
      </c>
      <c r="BM912" s="25">
        <f>Inventory[[#This Row],[Nbhd Adj]]*Inventory[[#This Row],[Quality Adj]]*Inventory[[#This Row],[Condition Adj]]*Inventory[[#This Row],[Living Area Adj]]*Inventory[[#This Row],[Decade Adj]]*0.95</f>
        <v>0.94936180176077878</v>
      </c>
      <c r="BN912" s="25">
        <f>ROUND(SUM(Inventory[[#This Row],[Mdl Qlty]:[Mdl WdDeck]])+Inventory[[#This Row],[Mdl Res Intercept]]*Inventory[[#This Row],[Res Adj ]],-2)</f>
        <v>224800</v>
      </c>
      <c r="BO912" s="25">
        <f>ROUND(Inventory[[#This Row],[25Det]]*Inventory[[#This Row],[Det/Nbhd Adj]],-2)</f>
        <v>6500</v>
      </c>
      <c r="BP912" s="25">
        <f>Inventory[[#This Row],[Adjusted Res]]+Inventory[[#This Row],[Adj Det ]]</f>
        <v>231300</v>
      </c>
      <c r="BQ912" s="25">
        <f>ROUND((Inventory[[#This Row],[Mdl Land Intercept]]+Inventory[[#This Row],[Mdl LnAcres]])*Inventory[[#This Row],[Det/Nbhd Adj]],-2)</f>
        <v>32100</v>
      </c>
      <c r="BR912" s="25">
        <f>Inventory[[#This Row],[Adjusted Impr Total]]+Inventory[[#This Row],[Adjusted Land Total]]</f>
        <v>263400</v>
      </c>
      <c r="BS912" s="36">
        <f>IFERROR((Inventory[[#This Row],[Adjusted Impr Total]]-Inventory[[#This Row],[24Bldg]])/Inventory[[#This Row],[24Bldg]],0)</f>
        <v>0.10616929698708752</v>
      </c>
      <c r="BT912" s="36">
        <f>(Inventory[[#This Row],[Adjusted Land Total]]-Inventory[[#This Row],[24Lnd]])/Inventory[[#This Row],[24Lnd]]</f>
        <v>-0.39089184060721061</v>
      </c>
      <c r="BU912" s="36">
        <f>(Inventory[[#This Row],[Adjusted Total]]-Inventory[[#This Row],[24Final]])/Inventory[[#This Row],[24Final]]</f>
        <v>6.1115355233002291E-3</v>
      </c>
    </row>
    <row r="913" spans="1:73" x14ac:dyDescent="0.3">
      <c r="A913" s="25">
        <v>2025</v>
      </c>
      <c r="B913" s="26" t="s">
        <v>1327</v>
      </c>
      <c r="C913" s="26">
        <f>LN(Inventory[[#This Row],[Acres]])</f>
        <v>-1.7719568419318752</v>
      </c>
      <c r="D913" s="25">
        <v>0.17</v>
      </c>
      <c r="E913" s="25">
        <v>7488</v>
      </c>
      <c r="F913" s="26" t="s">
        <v>537</v>
      </c>
      <c r="G913" s="26" t="s">
        <v>126</v>
      </c>
      <c r="H913" s="26" t="s">
        <v>349</v>
      </c>
      <c r="I913" s="26" t="s">
        <v>538</v>
      </c>
      <c r="J913" s="26" t="s">
        <v>539</v>
      </c>
      <c r="K913" s="26" t="s">
        <v>241</v>
      </c>
      <c r="L913" s="26" t="s">
        <v>351</v>
      </c>
      <c r="M913" s="26" t="s">
        <v>323</v>
      </c>
      <c r="N913" s="26">
        <v>80</v>
      </c>
      <c r="O913" s="26">
        <f>2024-Inventory[[#This Row],[YrBlt]]</f>
        <v>74</v>
      </c>
      <c r="P913" s="26">
        <f>2024-Inventory[[#This Row],[EffYr]]</f>
        <v>51</v>
      </c>
      <c r="Q913" s="25">
        <v>1950</v>
      </c>
      <c r="R913" s="25">
        <v>1973</v>
      </c>
      <c r="S913" s="25">
        <v>1180</v>
      </c>
      <c r="T913" s="27"/>
      <c r="U913" s="32">
        <v>1180</v>
      </c>
      <c r="V913" s="32">
        <f>Inventory[[#This Row],[Bsmt]]-Inventory[[#This Row],[FnBsmt]]</f>
        <v>0</v>
      </c>
      <c r="W913" s="32">
        <v>1180</v>
      </c>
      <c r="X913" s="27"/>
      <c r="Y913" s="27">
        <f>Inventory[[#This Row],[MainFn]]+Inventory[[#This Row],[UpprFn]]+Inventory[[#This Row],[FnBsmt]]+Inventory[[#This Row],[AddFn]]</f>
        <v>2360</v>
      </c>
      <c r="Z913" s="27">
        <v>2500</v>
      </c>
      <c r="AA913" s="25">
        <v>9</v>
      </c>
      <c r="AB913" s="31"/>
      <c r="AC913" s="27"/>
      <c r="AD913" s="27"/>
      <c r="AE913" s="27"/>
      <c r="AF913" s="27"/>
      <c r="AG913" s="31"/>
      <c r="AH913" s="27"/>
      <c r="AI913" s="25">
        <v>305859</v>
      </c>
      <c r="AJ913" s="25">
        <v>211043</v>
      </c>
      <c r="AK913" s="25">
        <v>11027</v>
      </c>
      <c r="AL913" s="25">
        <v>338100</v>
      </c>
      <c r="AM913" s="25">
        <v>52700</v>
      </c>
      <c r="AN913" s="25">
        <v>285400</v>
      </c>
      <c r="AO913" s="25">
        <v>0</v>
      </c>
      <c r="AP913" s="25">
        <f>Lookups!$B$56*0</f>
        <v>0</v>
      </c>
      <c r="AQ913" s="25">
        <f>Lookups!$B$56*1</f>
        <v>89850.625589999996</v>
      </c>
      <c r="AR913" s="25">
        <f>Lookups!$B$57*Inventory[[#This Row],[LnAcres]]</f>
        <v>-56090.612940989391</v>
      </c>
      <c r="AS913" s="25">
        <f>VLOOKUP(Inventory[[#This Row],[Qlty]],Lookups!$A$62:$E$75,2,FALSE)</f>
        <v>21557.329055999999</v>
      </c>
      <c r="AT913" s="25">
        <f>VLOOKUP(Inventory[[#This Row],[Cnd]],Lookups!$A$76:$E$84,2,FALSE)</f>
        <v>160472.20319</v>
      </c>
      <c r="AU913" s="25">
        <f>Inventory[[#This Row],[EffAge]]*Lookups!$B$85</f>
        <v>-11375.3256255</v>
      </c>
      <c r="AV913" s="25">
        <f>Inventory[[#This Row],[MainFn]]*Lookups!$B$86</f>
        <v>58302.23045486</v>
      </c>
      <c r="AW913" s="25">
        <f>Inventory[[#This Row],[UpprFn]]*Lookups!$B$87</f>
        <v>0</v>
      </c>
      <c r="AX913" s="25">
        <f>Inventory[[#This Row],[AddFn]]*Lookups!$B$88</f>
        <v>0</v>
      </c>
      <c r="AY913" s="25">
        <f>Inventory[[#This Row],[Bsmt]]*Lookups!$B$89</f>
        <v>34316.636391460001</v>
      </c>
      <c r="AZ913" s="25">
        <f>Inventory[[#This Row],[Fixtures]]*Lookups!$B$90</f>
        <v>34128.198946800003</v>
      </c>
      <c r="BA913" s="25">
        <f>Inventory[[#This Row],[WdDeck]]*Lookups!$B$91</f>
        <v>0</v>
      </c>
      <c r="BB913" s="25">
        <f>ROUND(Inventory[[#This Row],[25Det]],-2)</f>
        <v>11000</v>
      </c>
      <c r="BC913" s="25">
        <f>ROUND(SUM(Inventory[[#This Row],[Mdl Qlty]:[Mdl WdDeck]])+Inventory[[#This Row],[Mdl Res Intercept]],-2)</f>
        <v>297400</v>
      </c>
      <c r="BD913" s="25">
        <f>ROUND(Inventory[[#This Row],[Mdl Land Intercept]]+Inventory[[#This Row],[Mdl LnAcres]],-2)</f>
        <v>33800</v>
      </c>
      <c r="BE913" s="25">
        <f>Inventory[[#This Row],[Unadj Res Value]]+Inventory[[#This Row],[Unadj Det Value]]+Inventory[[#This Row],[Unadj Land Value]]</f>
        <v>342200</v>
      </c>
      <c r="BF913" s="36">
        <f>(Inventory[[#This Row],[Unadj Total Value]]-Inventory[[#This Row],[24Final]])/Inventory[[#This Row],[24Final]]</f>
        <v>1.2126589766341319E-2</v>
      </c>
      <c r="BG913" s="25">
        <f>VLOOKUP(Inventory[[#This Row],[Nbhd]],Lookups!$Q$2:$T$4,4,FALSE)</f>
        <v>0.99970000000000003</v>
      </c>
      <c r="BH913" s="25">
        <f>VLOOKUP(Inventory[[#This Row],[Qlty]],Lookups!$O$7:$R$21,4,FALSE)</f>
        <v>1.0067999999999999</v>
      </c>
      <c r="BI913" s="25">
        <f>VLOOKUP(Inventory[[#This Row],[Cnd]],Lookups!$T$7:$W$16,4,FALSE)</f>
        <v>0.99729999999999996</v>
      </c>
      <c r="BJ913" s="25">
        <f>VLOOKUP(Inventory[[#This Row],[LivArea Range]],Lookups!$T$25:$W$37,4,FALSE)</f>
        <v>0.98919999999999997</v>
      </c>
      <c r="BK913" s="25">
        <f>VLOOKUP(Inventory[[#This Row],[Decade]],Lookups!$O$25:$R$42,4,FALSE)</f>
        <v>0.995</v>
      </c>
      <c r="BL913" s="25">
        <f>Inventory[[#This Row],[Nbhd Adj]]*0.95</f>
        <v>0.94971499999999998</v>
      </c>
      <c r="BM913" s="25">
        <f>Inventory[[#This Row],[Nbhd Adj]]*Inventory[[#This Row],[Quality Adj]]*Inventory[[#This Row],[Condition Adj]]*Inventory[[#This Row],[Living Area Adj]]*Inventory[[#This Row],[Decade Adj]]*0.95</f>
        <v>0.93857614463114025</v>
      </c>
      <c r="BN913" s="25">
        <f>ROUND(SUM(Inventory[[#This Row],[Mdl Qlty]:[Mdl WdDeck]])+Inventory[[#This Row],[Mdl Res Intercept]]*Inventory[[#This Row],[Res Adj ]],-2)</f>
        <v>297400</v>
      </c>
      <c r="BO913" s="25">
        <f>ROUND(Inventory[[#This Row],[25Det]]*Inventory[[#This Row],[Det/Nbhd Adj]],-2)</f>
        <v>10500</v>
      </c>
      <c r="BP913" s="25">
        <f>Inventory[[#This Row],[Adjusted Res]]+Inventory[[#This Row],[Adj Det ]]</f>
        <v>307900</v>
      </c>
      <c r="BQ913" s="25">
        <f>ROUND((Inventory[[#This Row],[Mdl Land Intercept]]+Inventory[[#This Row],[Mdl LnAcres]])*Inventory[[#This Row],[Det/Nbhd Adj]],-2)</f>
        <v>32100</v>
      </c>
      <c r="BR913" s="25">
        <f>Inventory[[#This Row],[Adjusted Impr Total]]+Inventory[[#This Row],[Adjusted Land Total]]</f>
        <v>340000</v>
      </c>
      <c r="BS913" s="36">
        <f>IFERROR((Inventory[[#This Row],[Adjusted Impr Total]]-Inventory[[#This Row],[24Bldg]])/Inventory[[#This Row],[24Bldg]],0)</f>
        <v>7.883672039243167E-2</v>
      </c>
      <c r="BT913" s="36">
        <f>(Inventory[[#This Row],[Adjusted Land Total]]-Inventory[[#This Row],[24Lnd]])/Inventory[[#This Row],[24Lnd]]</f>
        <v>-0.39089184060721061</v>
      </c>
      <c r="BU913" s="36">
        <f>(Inventory[[#This Row],[Adjusted Total]]-Inventory[[#This Row],[24Final]])/Inventory[[#This Row],[24Final]]</f>
        <v>5.6196391600118311E-3</v>
      </c>
    </row>
    <row r="914" spans="1:73" x14ac:dyDescent="0.3">
      <c r="A914" s="25">
        <v>2025</v>
      </c>
      <c r="B914" s="26" t="s">
        <v>1822</v>
      </c>
      <c r="C914" s="26">
        <f>LN(Inventory[[#This Row],[Acres]])</f>
        <v>-1.4271163556401458</v>
      </c>
      <c r="D914" s="25">
        <v>0.24</v>
      </c>
      <c r="E914" s="25">
        <v>10500</v>
      </c>
      <c r="F914" s="26" t="s">
        <v>537</v>
      </c>
      <c r="G914" s="26" t="s">
        <v>126</v>
      </c>
      <c r="H914" s="26" t="s">
        <v>349</v>
      </c>
      <c r="I914" s="26" t="s">
        <v>538</v>
      </c>
      <c r="J914" s="26" t="s">
        <v>539</v>
      </c>
      <c r="K914" s="26" t="s">
        <v>242</v>
      </c>
      <c r="L914" s="26" t="s">
        <v>351</v>
      </c>
      <c r="M914" s="26" t="s">
        <v>323</v>
      </c>
      <c r="N914" s="26">
        <v>80</v>
      </c>
      <c r="O914" s="26">
        <f>2024-Inventory[[#This Row],[YrBlt]]</f>
        <v>74</v>
      </c>
      <c r="P914" s="26">
        <f>2024-Inventory[[#This Row],[EffYr]]</f>
        <v>51</v>
      </c>
      <c r="Q914" s="25">
        <v>1950</v>
      </c>
      <c r="R914" s="25">
        <v>1973</v>
      </c>
      <c r="S914" s="25">
        <v>1260</v>
      </c>
      <c r="T914" s="27"/>
      <c r="U914" s="32">
        <v>1152</v>
      </c>
      <c r="V914" s="32">
        <f>Inventory[[#This Row],[Bsmt]]-Inventory[[#This Row],[FnBsmt]]</f>
        <v>0</v>
      </c>
      <c r="W914" s="32">
        <v>1152</v>
      </c>
      <c r="X914" s="27"/>
      <c r="Y914" s="27">
        <f>Inventory[[#This Row],[MainFn]]+Inventory[[#This Row],[UpprFn]]+Inventory[[#This Row],[FnBsmt]]+Inventory[[#This Row],[AddFn]]</f>
        <v>2412</v>
      </c>
      <c r="Z914" s="27">
        <v>2500</v>
      </c>
      <c r="AA914" s="25">
        <v>10</v>
      </c>
      <c r="AB914" s="25">
        <v>273</v>
      </c>
      <c r="AC914" s="27"/>
      <c r="AD914" s="27"/>
      <c r="AE914" s="27"/>
      <c r="AF914" s="27"/>
      <c r="AG914" s="31"/>
      <c r="AH914" s="27"/>
      <c r="AI914" s="25">
        <v>321180</v>
      </c>
      <c r="AJ914" s="25">
        <v>221614</v>
      </c>
      <c r="AK914" s="25">
        <v>4733</v>
      </c>
      <c r="AL914" s="25">
        <v>350300</v>
      </c>
      <c r="AM914" s="25">
        <v>64800</v>
      </c>
      <c r="AN914" s="25">
        <v>285500</v>
      </c>
      <c r="AO914" s="25">
        <v>0</v>
      </c>
      <c r="AP914" s="25">
        <f>Lookups!$B$56*0</f>
        <v>0</v>
      </c>
      <c r="AQ914" s="25">
        <f>Lookups!$B$56*1</f>
        <v>89850.625589999996</v>
      </c>
      <c r="AR914" s="25">
        <f>Lookups!$B$57*Inventory[[#This Row],[LnAcres]]</f>
        <v>-45174.819855485119</v>
      </c>
      <c r="AS914" s="25">
        <f>VLOOKUP(Inventory[[#This Row],[Qlty]],Lookups!$A$62:$E$75,2,FALSE)</f>
        <v>21557.329055999999</v>
      </c>
      <c r="AT914" s="25">
        <f>VLOOKUP(Inventory[[#This Row],[Cnd]],Lookups!$A$76:$E$84,2,FALSE)</f>
        <v>160472.20319</v>
      </c>
      <c r="AU914" s="25">
        <f>Inventory[[#This Row],[EffAge]]*Lookups!$B$85</f>
        <v>-11375.3256255</v>
      </c>
      <c r="AV914" s="25">
        <f>Inventory[[#This Row],[MainFn]]*Lookups!$B$86</f>
        <v>62254.924045020001</v>
      </c>
      <c r="AW914" s="25">
        <f>Inventory[[#This Row],[UpprFn]]*Lookups!$B$87</f>
        <v>0</v>
      </c>
      <c r="AX914" s="25">
        <f>Inventory[[#This Row],[AddFn]]*Lookups!$B$88</f>
        <v>0</v>
      </c>
      <c r="AY914" s="25">
        <f>Inventory[[#This Row],[Bsmt]]*Lookups!$B$89</f>
        <v>33502.343324543996</v>
      </c>
      <c r="AZ914" s="25">
        <f>Inventory[[#This Row],[Fixtures]]*Lookups!$B$90</f>
        <v>37920.221052000001</v>
      </c>
      <c r="BA914" s="25">
        <f>Inventory[[#This Row],[WdDeck]]*Lookups!$B$91</f>
        <v>0</v>
      </c>
      <c r="BB914" s="25">
        <f>ROUND(Inventory[[#This Row],[25Det]],-2)</f>
        <v>4700</v>
      </c>
      <c r="BC914" s="25">
        <f>ROUND(SUM(Inventory[[#This Row],[Mdl Qlty]:[Mdl WdDeck]])+Inventory[[#This Row],[Mdl Res Intercept]],-2)</f>
        <v>304300</v>
      </c>
      <c r="BD914" s="25">
        <f>ROUND(Inventory[[#This Row],[Mdl Land Intercept]]+Inventory[[#This Row],[Mdl LnAcres]],-2)</f>
        <v>44700</v>
      </c>
      <c r="BE914" s="25">
        <f>Inventory[[#This Row],[Unadj Res Value]]+Inventory[[#This Row],[Unadj Det Value]]+Inventory[[#This Row],[Unadj Land Value]]</f>
        <v>353700</v>
      </c>
      <c r="BF914" s="36">
        <f>(Inventory[[#This Row],[Unadj Total Value]]-Inventory[[#This Row],[24Final]])/Inventory[[#This Row],[24Final]]</f>
        <v>9.7059663145874966E-3</v>
      </c>
      <c r="BG914" s="25">
        <f>VLOOKUP(Inventory[[#This Row],[Nbhd]],Lookups!$Q$2:$T$4,4,FALSE)</f>
        <v>0.99970000000000003</v>
      </c>
      <c r="BH914" s="25">
        <f>VLOOKUP(Inventory[[#This Row],[Qlty]],Lookups!$O$7:$R$21,4,FALSE)</f>
        <v>1.0067999999999999</v>
      </c>
      <c r="BI914" s="25">
        <f>VLOOKUP(Inventory[[#This Row],[Cnd]],Lookups!$T$7:$W$16,4,FALSE)</f>
        <v>0.99729999999999996</v>
      </c>
      <c r="BJ914" s="25">
        <f>VLOOKUP(Inventory[[#This Row],[LivArea Range]],Lookups!$T$25:$W$37,4,FALSE)</f>
        <v>0.98919999999999997</v>
      </c>
      <c r="BK914" s="25">
        <f>VLOOKUP(Inventory[[#This Row],[Decade]],Lookups!$O$25:$R$42,4,FALSE)</f>
        <v>0.995</v>
      </c>
      <c r="BL914" s="25">
        <f>Inventory[[#This Row],[Nbhd Adj]]*0.95</f>
        <v>0.94971499999999998</v>
      </c>
      <c r="BM914" s="25">
        <f>Inventory[[#This Row],[Nbhd Adj]]*Inventory[[#This Row],[Quality Adj]]*Inventory[[#This Row],[Condition Adj]]*Inventory[[#This Row],[Living Area Adj]]*Inventory[[#This Row],[Decade Adj]]*0.95</f>
        <v>0.93857614463114025</v>
      </c>
      <c r="BN914" s="25">
        <f>ROUND(SUM(Inventory[[#This Row],[Mdl Qlty]:[Mdl WdDeck]])+Inventory[[#This Row],[Mdl Res Intercept]]*Inventory[[#This Row],[Res Adj ]],-2)</f>
        <v>304300</v>
      </c>
      <c r="BO914" s="25">
        <f>ROUND(Inventory[[#This Row],[25Det]]*Inventory[[#This Row],[Det/Nbhd Adj]],-2)</f>
        <v>4500</v>
      </c>
      <c r="BP914" s="25">
        <f>Inventory[[#This Row],[Adjusted Res]]+Inventory[[#This Row],[Adj Det ]]</f>
        <v>308800</v>
      </c>
      <c r="BQ914" s="25">
        <f>ROUND((Inventory[[#This Row],[Mdl Land Intercept]]+Inventory[[#This Row],[Mdl LnAcres]])*Inventory[[#This Row],[Det/Nbhd Adj]],-2)</f>
        <v>42400</v>
      </c>
      <c r="BR914" s="25">
        <f>Inventory[[#This Row],[Adjusted Impr Total]]+Inventory[[#This Row],[Adjusted Land Total]]</f>
        <v>351200</v>
      </c>
      <c r="BS914" s="36">
        <f>IFERROR((Inventory[[#This Row],[Adjusted Impr Total]]-Inventory[[#This Row],[24Bldg]])/Inventory[[#This Row],[24Bldg]],0)</f>
        <v>8.1611208406304731E-2</v>
      </c>
      <c r="BT914" s="36">
        <f>(Inventory[[#This Row],[Adjusted Land Total]]-Inventory[[#This Row],[24Lnd]])/Inventory[[#This Row],[24Lnd]]</f>
        <v>-0.34567901234567899</v>
      </c>
      <c r="BU914" s="36">
        <f>(Inventory[[#This Row],[Adjusted Total]]-Inventory[[#This Row],[24Final]])/Inventory[[#This Row],[24Final]]</f>
        <v>2.5692263773908078E-3</v>
      </c>
    </row>
    <row r="915" spans="1:73" x14ac:dyDescent="0.3">
      <c r="A915" s="25">
        <v>2025</v>
      </c>
      <c r="B915" s="26" t="s">
        <v>2135</v>
      </c>
      <c r="C915" s="26">
        <f>LN(Inventory[[#This Row],[Acres]])</f>
        <v>-1.4696759700589417</v>
      </c>
      <c r="D915" s="25">
        <v>0.23</v>
      </c>
      <c r="E915" s="25">
        <v>10130</v>
      </c>
      <c r="F915" s="26" t="s">
        <v>537</v>
      </c>
      <c r="G915" s="26" t="s">
        <v>126</v>
      </c>
      <c r="H915" s="26" t="s">
        <v>349</v>
      </c>
      <c r="I915" s="26" t="s">
        <v>538</v>
      </c>
      <c r="J915" s="26" t="s">
        <v>539</v>
      </c>
      <c r="K915" s="26" t="s">
        <v>242</v>
      </c>
      <c r="L915" s="26" t="s">
        <v>205</v>
      </c>
      <c r="M915" s="26" t="s">
        <v>323</v>
      </c>
      <c r="N915" s="26">
        <v>80</v>
      </c>
      <c r="O915" s="26">
        <f>2024-Inventory[[#This Row],[YrBlt]]</f>
        <v>74</v>
      </c>
      <c r="P915" s="26">
        <f>2024-Inventory[[#This Row],[EffYr]]</f>
        <v>51</v>
      </c>
      <c r="Q915" s="25">
        <v>1950</v>
      </c>
      <c r="R915" s="25">
        <v>1973</v>
      </c>
      <c r="S915" s="25">
        <v>1009</v>
      </c>
      <c r="T915" s="32">
        <v>500</v>
      </c>
      <c r="U915" s="27"/>
      <c r="V915" s="27">
        <f>Inventory[[#This Row],[Bsmt]]-Inventory[[#This Row],[FnBsmt]]</f>
        <v>0</v>
      </c>
      <c r="W915" s="27"/>
      <c r="X915" s="27"/>
      <c r="Y915" s="27">
        <f>Inventory[[#This Row],[MainFn]]+Inventory[[#This Row],[UpprFn]]+Inventory[[#This Row],[FnBsmt]]+Inventory[[#This Row],[AddFn]]</f>
        <v>1509</v>
      </c>
      <c r="Z915" s="27">
        <v>2000</v>
      </c>
      <c r="AA915" s="25">
        <v>5</v>
      </c>
      <c r="AB915" s="31"/>
      <c r="AC915" s="27"/>
      <c r="AD915" s="27"/>
      <c r="AE915" s="27"/>
      <c r="AF915" s="27"/>
      <c r="AG915" s="31"/>
      <c r="AH915" s="27"/>
      <c r="AI915" s="25">
        <v>204472</v>
      </c>
      <c r="AJ915" s="25">
        <v>141086</v>
      </c>
      <c r="AK915" s="25">
        <v>0</v>
      </c>
      <c r="AL915" s="25">
        <v>280700</v>
      </c>
      <c r="AM915" s="25">
        <v>63300</v>
      </c>
      <c r="AN915" s="25">
        <v>217400</v>
      </c>
      <c r="AO915" s="25">
        <v>0</v>
      </c>
      <c r="AP915" s="25">
        <f>Lookups!$B$56*0</f>
        <v>0</v>
      </c>
      <c r="AQ915" s="25">
        <f>Lookups!$B$56*1</f>
        <v>89850.625589999996</v>
      </c>
      <c r="AR915" s="25">
        <f>Lookups!$B$57*Inventory[[#This Row],[LnAcres]]</f>
        <v>-46522.028095997222</v>
      </c>
      <c r="AS915" s="25">
        <f>VLOOKUP(Inventory[[#This Row],[Qlty]],Lookups!$A$62:$E$75,2,FALSE)</f>
        <v>0</v>
      </c>
      <c r="AT915" s="25">
        <f>VLOOKUP(Inventory[[#This Row],[Cnd]],Lookups!$A$76:$E$84,2,FALSE)</f>
        <v>160472.20319</v>
      </c>
      <c r="AU915" s="25">
        <f>Inventory[[#This Row],[EffAge]]*Lookups!$B$85</f>
        <v>-11375.3256255</v>
      </c>
      <c r="AV915" s="25">
        <f>Inventory[[#This Row],[MainFn]]*Lookups!$B$86</f>
        <v>49853.347905893002</v>
      </c>
      <c r="AW915" s="25">
        <f>Inventory[[#This Row],[UpprFn]]*Lookups!$B$87</f>
        <v>22393.2114305</v>
      </c>
      <c r="AX915" s="25">
        <f>Inventory[[#This Row],[AddFn]]*Lookups!$B$88</f>
        <v>0</v>
      </c>
      <c r="AY915" s="25">
        <f>Inventory[[#This Row],[Bsmt]]*Lookups!$B$89</f>
        <v>0</v>
      </c>
      <c r="AZ915" s="25">
        <f>Inventory[[#This Row],[Fixtures]]*Lookups!$B$90</f>
        <v>18960.110526</v>
      </c>
      <c r="BA915" s="25">
        <f>Inventory[[#This Row],[WdDeck]]*Lookups!$B$91</f>
        <v>0</v>
      </c>
      <c r="BB915" s="25">
        <f>ROUND(Inventory[[#This Row],[25Det]],-2)</f>
        <v>0</v>
      </c>
      <c r="BC915" s="25">
        <f>ROUND(SUM(Inventory[[#This Row],[Mdl Qlty]:[Mdl WdDeck]])+Inventory[[#This Row],[Mdl Res Intercept]],-2)</f>
        <v>240300</v>
      </c>
      <c r="BD915" s="25">
        <f>ROUND(Inventory[[#This Row],[Mdl Land Intercept]]+Inventory[[#This Row],[Mdl LnAcres]],-2)</f>
        <v>43300</v>
      </c>
      <c r="BE915" s="25">
        <f>Inventory[[#This Row],[Unadj Res Value]]+Inventory[[#This Row],[Unadj Det Value]]+Inventory[[#This Row],[Unadj Land Value]]</f>
        <v>283600</v>
      </c>
      <c r="BF915" s="36">
        <f>(Inventory[[#This Row],[Unadj Total Value]]-Inventory[[#This Row],[24Final]])/Inventory[[#This Row],[24Final]]</f>
        <v>1.0331314570716068E-2</v>
      </c>
      <c r="BG915" s="25">
        <f>VLOOKUP(Inventory[[#This Row],[Nbhd]],Lookups!$Q$2:$T$4,4,FALSE)</f>
        <v>0.99970000000000003</v>
      </c>
      <c r="BH915" s="25">
        <f>VLOOKUP(Inventory[[#This Row],[Qlty]],Lookups!$O$7:$R$21,4,FALSE)</f>
        <v>0.99180000000000001</v>
      </c>
      <c r="BI915" s="25">
        <f>VLOOKUP(Inventory[[#This Row],[Cnd]],Lookups!$T$7:$W$16,4,FALSE)</f>
        <v>0.99729999999999996</v>
      </c>
      <c r="BJ915" s="25">
        <f>VLOOKUP(Inventory[[#This Row],[LivArea Range]],Lookups!$T$25:$W$37,4,FALSE)</f>
        <v>1.0093000000000001</v>
      </c>
      <c r="BK915" s="25">
        <f>VLOOKUP(Inventory[[#This Row],[Decade]],Lookups!$O$25:$R$42,4,FALSE)</f>
        <v>0.995</v>
      </c>
      <c r="BL915" s="25">
        <f>Inventory[[#This Row],[Nbhd Adj]]*0.95</f>
        <v>0.94971499999999998</v>
      </c>
      <c r="BM915" s="25">
        <f>Inventory[[#This Row],[Nbhd Adj]]*Inventory[[#This Row],[Quality Adj]]*Inventory[[#This Row],[Condition Adj]]*Inventory[[#This Row],[Living Area Adj]]*Inventory[[#This Row],[Decade Adj]]*0.95</f>
        <v>0.94337980360062423</v>
      </c>
      <c r="BN915" s="25">
        <f>ROUND(SUM(Inventory[[#This Row],[Mdl Qlty]:[Mdl WdDeck]])+Inventory[[#This Row],[Mdl Res Intercept]]*Inventory[[#This Row],[Res Adj ]],-2)</f>
        <v>240300</v>
      </c>
      <c r="BO915" s="25">
        <f>ROUND(Inventory[[#This Row],[25Det]]*Inventory[[#This Row],[Det/Nbhd Adj]],-2)</f>
        <v>0</v>
      </c>
      <c r="BP915" s="25">
        <f>Inventory[[#This Row],[Adjusted Res]]+Inventory[[#This Row],[Adj Det ]]</f>
        <v>240300</v>
      </c>
      <c r="BQ915" s="25">
        <f>ROUND((Inventory[[#This Row],[Mdl Land Intercept]]+Inventory[[#This Row],[Mdl LnAcres]])*Inventory[[#This Row],[Det/Nbhd Adj]],-2)</f>
        <v>41100</v>
      </c>
      <c r="BR915" s="25">
        <f>Inventory[[#This Row],[Adjusted Impr Total]]+Inventory[[#This Row],[Adjusted Land Total]]</f>
        <v>281400</v>
      </c>
      <c r="BS915" s="36">
        <f>IFERROR((Inventory[[#This Row],[Adjusted Impr Total]]-Inventory[[#This Row],[24Bldg]])/Inventory[[#This Row],[24Bldg]],0)</f>
        <v>0.10533578656853726</v>
      </c>
      <c r="BT915" s="36">
        <f>(Inventory[[#This Row],[Adjusted Land Total]]-Inventory[[#This Row],[24Lnd]])/Inventory[[#This Row],[24Lnd]]</f>
        <v>-0.35071090047393366</v>
      </c>
      <c r="BU915" s="36">
        <f>(Inventory[[#This Row],[Adjusted Total]]-Inventory[[#This Row],[24Final]])/Inventory[[#This Row],[24Final]]</f>
        <v>2.4937655860349127E-3</v>
      </c>
    </row>
    <row r="916" spans="1:73" x14ac:dyDescent="0.3">
      <c r="A916" s="25">
        <v>2025</v>
      </c>
      <c r="B916" s="26" t="s">
        <v>2314</v>
      </c>
      <c r="C916" s="26">
        <f>LN(Inventory[[#This Row],[Acres]])</f>
        <v>-1.6607312068216509</v>
      </c>
      <c r="D916" s="25">
        <v>0.19</v>
      </c>
      <c r="E916" s="25">
        <v>8266</v>
      </c>
      <c r="F916" s="26" t="s">
        <v>537</v>
      </c>
      <c r="G916" s="26" t="s">
        <v>126</v>
      </c>
      <c r="H916" s="26" t="s">
        <v>349</v>
      </c>
      <c r="I916" s="26" t="s">
        <v>538</v>
      </c>
      <c r="J916" s="26" t="s">
        <v>539</v>
      </c>
      <c r="K916" s="26" t="s">
        <v>241</v>
      </c>
      <c r="L916" s="26" t="s">
        <v>148</v>
      </c>
      <c r="M916" s="26" t="s">
        <v>323</v>
      </c>
      <c r="N916" s="26">
        <v>80</v>
      </c>
      <c r="O916" s="26">
        <f>2024-Inventory[[#This Row],[YrBlt]]</f>
        <v>74</v>
      </c>
      <c r="P916" s="26">
        <f>2024-Inventory[[#This Row],[EffYr]]</f>
        <v>51</v>
      </c>
      <c r="Q916" s="25">
        <v>1950</v>
      </c>
      <c r="R916" s="25">
        <v>1973</v>
      </c>
      <c r="S916" s="25">
        <v>1007</v>
      </c>
      <c r="T916" s="27"/>
      <c r="U916" s="25">
        <v>1007</v>
      </c>
      <c r="V916" s="25">
        <f>Inventory[[#This Row],[Bsmt]]-Inventory[[#This Row],[FnBsmt]]</f>
        <v>0</v>
      </c>
      <c r="W916" s="25">
        <v>1007</v>
      </c>
      <c r="X916" s="27"/>
      <c r="Y916" s="27">
        <f>Inventory[[#This Row],[MainFn]]+Inventory[[#This Row],[UpprFn]]+Inventory[[#This Row],[FnBsmt]]+Inventory[[#This Row],[AddFn]]</f>
        <v>2014</v>
      </c>
      <c r="Z916" s="27">
        <v>2500</v>
      </c>
      <c r="AA916" s="25">
        <v>9</v>
      </c>
      <c r="AB916" s="32">
        <v>300</v>
      </c>
      <c r="AC916" s="27"/>
      <c r="AD916" s="27"/>
      <c r="AE916" s="27"/>
      <c r="AF916" s="27"/>
      <c r="AG916" s="27"/>
      <c r="AH916" s="27"/>
      <c r="AI916" s="25">
        <v>416227</v>
      </c>
      <c r="AJ916" s="25">
        <v>287197</v>
      </c>
      <c r="AK916" s="25">
        <v>0</v>
      </c>
      <c r="AL916" s="25">
        <v>341900</v>
      </c>
      <c r="AM916" s="25">
        <v>56600</v>
      </c>
      <c r="AN916" s="25">
        <v>285300</v>
      </c>
      <c r="AO916" s="25">
        <v>0</v>
      </c>
      <c r="AP916" s="25">
        <f>Lookups!$B$56*0</f>
        <v>0</v>
      </c>
      <c r="AQ916" s="25">
        <f>Lookups!$B$56*1</f>
        <v>89850.625589999996</v>
      </c>
      <c r="AR916" s="25">
        <f>Lookups!$B$57*Inventory[[#This Row],[LnAcres]]</f>
        <v>-52569.808201026557</v>
      </c>
      <c r="AS916" s="25">
        <f>VLOOKUP(Inventory[[#This Row],[Qlty]],Lookups!$A$62:$E$75,2,FALSE)</f>
        <v>44121.038090000002</v>
      </c>
      <c r="AT916" s="25">
        <f>VLOOKUP(Inventory[[#This Row],[Cnd]],Lookups!$A$76:$E$84,2,FALSE)</f>
        <v>160472.20319</v>
      </c>
      <c r="AU916" s="25">
        <f>Inventory[[#This Row],[EffAge]]*Lookups!$B$85</f>
        <v>-11375.3256255</v>
      </c>
      <c r="AV916" s="25">
        <f>Inventory[[#This Row],[MainFn]]*Lookups!$B$86</f>
        <v>49754.530566139001</v>
      </c>
      <c r="AW916" s="25">
        <f>Inventory[[#This Row],[UpprFn]]*Lookups!$B$87</f>
        <v>0</v>
      </c>
      <c r="AX916" s="25">
        <f>Inventory[[#This Row],[AddFn]]*Lookups!$B$88</f>
        <v>0</v>
      </c>
      <c r="AY916" s="25">
        <f>Inventory[[#This Row],[Bsmt]]*Lookups!$B$89</f>
        <v>29285.468513729</v>
      </c>
      <c r="AZ916" s="25">
        <f>Inventory[[#This Row],[Fixtures]]*Lookups!$B$90</f>
        <v>34128.198946800003</v>
      </c>
      <c r="BA916" s="25">
        <f>Inventory[[#This Row],[WdDeck]]*Lookups!$B$91</f>
        <v>0</v>
      </c>
      <c r="BB916" s="25">
        <f>ROUND(Inventory[[#This Row],[25Det]],-2)</f>
        <v>0</v>
      </c>
      <c r="BC916" s="25">
        <f>ROUND(SUM(Inventory[[#This Row],[Mdl Qlty]:[Mdl WdDeck]])+Inventory[[#This Row],[Mdl Res Intercept]],-2)</f>
        <v>306400</v>
      </c>
      <c r="BD916" s="25">
        <f>ROUND(Inventory[[#This Row],[Mdl Land Intercept]]+Inventory[[#This Row],[Mdl LnAcres]],-2)</f>
        <v>37300</v>
      </c>
      <c r="BE916" s="25">
        <f>Inventory[[#This Row],[Unadj Res Value]]+Inventory[[#This Row],[Unadj Det Value]]+Inventory[[#This Row],[Unadj Land Value]]</f>
        <v>343700</v>
      </c>
      <c r="BF916" s="36">
        <f>(Inventory[[#This Row],[Unadj Total Value]]-Inventory[[#This Row],[24Final]])/Inventory[[#This Row],[24Final]]</f>
        <v>5.264697279906405E-3</v>
      </c>
      <c r="BG916" s="25">
        <f>VLOOKUP(Inventory[[#This Row],[Nbhd]],Lookups!$Q$2:$T$4,4,FALSE)</f>
        <v>0.99970000000000003</v>
      </c>
      <c r="BH916" s="25">
        <f>VLOOKUP(Inventory[[#This Row],[Qlty]],Lookups!$O$7:$R$21,4,FALSE)</f>
        <v>0.98050000000000004</v>
      </c>
      <c r="BI916" s="25">
        <f>VLOOKUP(Inventory[[#This Row],[Cnd]],Lookups!$T$7:$W$16,4,FALSE)</f>
        <v>0.99729999999999996</v>
      </c>
      <c r="BJ916" s="25">
        <f>VLOOKUP(Inventory[[#This Row],[LivArea Range]],Lookups!$T$25:$W$37,4,FALSE)</f>
        <v>0.98919999999999997</v>
      </c>
      <c r="BK916" s="25">
        <f>VLOOKUP(Inventory[[#This Row],[Decade]],Lookups!$O$25:$R$42,4,FALSE)</f>
        <v>0.995</v>
      </c>
      <c r="BL916" s="25">
        <f>Inventory[[#This Row],[Nbhd Adj]]*0.95</f>
        <v>0.94971499999999998</v>
      </c>
      <c r="BM916" s="25">
        <f>Inventory[[#This Row],[Nbhd Adj]]*Inventory[[#This Row],[Quality Adj]]*Inventory[[#This Row],[Condition Adj]]*Inventory[[#This Row],[Living Area Adj]]*Inventory[[#This Row],[Decade Adj]]*0.95</f>
        <v>0.91405831328052556</v>
      </c>
      <c r="BN916" s="25">
        <f>ROUND(SUM(Inventory[[#This Row],[Mdl Qlty]:[Mdl WdDeck]])+Inventory[[#This Row],[Mdl Res Intercept]]*Inventory[[#This Row],[Res Adj ]],-2)</f>
        <v>306400</v>
      </c>
      <c r="BO916" s="25">
        <f>ROUND(Inventory[[#This Row],[25Det]]*Inventory[[#This Row],[Det/Nbhd Adj]],-2)</f>
        <v>0</v>
      </c>
      <c r="BP916" s="25">
        <f>Inventory[[#This Row],[Adjusted Res]]+Inventory[[#This Row],[Adj Det ]]</f>
        <v>306400</v>
      </c>
      <c r="BQ916" s="25">
        <f>ROUND((Inventory[[#This Row],[Mdl Land Intercept]]+Inventory[[#This Row],[Mdl LnAcres]])*Inventory[[#This Row],[Det/Nbhd Adj]],-2)</f>
        <v>35400</v>
      </c>
      <c r="BR916" s="25">
        <f>Inventory[[#This Row],[Adjusted Impr Total]]+Inventory[[#This Row],[Adjusted Land Total]]</f>
        <v>341800</v>
      </c>
      <c r="BS916" s="36">
        <f>IFERROR((Inventory[[#This Row],[Adjusted Impr Total]]-Inventory[[#This Row],[24Bldg]])/Inventory[[#This Row],[24Bldg]],0)</f>
        <v>7.3957237995092878E-2</v>
      </c>
      <c r="BT916" s="36">
        <f>(Inventory[[#This Row],[Adjusted Land Total]]-Inventory[[#This Row],[24Lnd]])/Inventory[[#This Row],[24Lnd]]</f>
        <v>-0.37455830388692579</v>
      </c>
      <c r="BU916" s="36">
        <f>(Inventory[[#This Row],[Adjusted Total]]-Inventory[[#This Row],[24Final]])/Inventory[[#This Row],[24Final]]</f>
        <v>-2.9248318221702252E-4</v>
      </c>
    </row>
    <row r="917" spans="1:73" x14ac:dyDescent="0.3">
      <c r="A917" s="25">
        <v>2025</v>
      </c>
      <c r="B917" s="26" t="s">
        <v>2701</v>
      </c>
      <c r="C917" s="26">
        <f>LN(Inventory[[#This Row],[Acres]])</f>
        <v>-1.5141277326297755</v>
      </c>
      <c r="D917" s="25">
        <v>0.22</v>
      </c>
      <c r="E917" s="25">
        <v>9380</v>
      </c>
      <c r="F917" s="26" t="s">
        <v>537</v>
      </c>
      <c r="G917" s="26" t="s">
        <v>126</v>
      </c>
      <c r="H917" s="26" t="s">
        <v>349</v>
      </c>
      <c r="I917" s="26" t="s">
        <v>538</v>
      </c>
      <c r="J917" s="26" t="s">
        <v>539</v>
      </c>
      <c r="K917" s="26" t="s">
        <v>241</v>
      </c>
      <c r="L917" s="26" t="s">
        <v>302</v>
      </c>
      <c r="M917" s="26" t="s">
        <v>323</v>
      </c>
      <c r="N917" s="26">
        <v>80</v>
      </c>
      <c r="O917" s="26">
        <f>2024-Inventory[[#This Row],[YrBlt]]</f>
        <v>74</v>
      </c>
      <c r="P917" s="26">
        <f>2024-Inventory[[#This Row],[EffYr]]</f>
        <v>51</v>
      </c>
      <c r="Q917" s="25">
        <v>1950</v>
      </c>
      <c r="R917" s="25">
        <v>1973</v>
      </c>
      <c r="S917" s="25">
        <v>1140</v>
      </c>
      <c r="T917" s="27"/>
      <c r="U917" s="25">
        <v>1140</v>
      </c>
      <c r="V917" s="25">
        <f>Inventory[[#This Row],[Bsmt]]-Inventory[[#This Row],[FnBsmt]]</f>
        <v>0</v>
      </c>
      <c r="W917" s="25">
        <v>1140</v>
      </c>
      <c r="X917" s="27"/>
      <c r="Y917" s="27">
        <f>Inventory[[#This Row],[MainFn]]+Inventory[[#This Row],[UpprFn]]+Inventory[[#This Row],[FnBsmt]]+Inventory[[#This Row],[AddFn]]</f>
        <v>2280</v>
      </c>
      <c r="Z917" s="27">
        <v>2500</v>
      </c>
      <c r="AA917" s="25">
        <v>9</v>
      </c>
      <c r="AB917" s="25">
        <v>276</v>
      </c>
      <c r="AC917" s="27"/>
      <c r="AD917" s="27"/>
      <c r="AE917" s="27"/>
      <c r="AF917" s="27"/>
      <c r="AG917" s="27"/>
      <c r="AH917" s="27"/>
      <c r="AI917" s="25">
        <v>385540</v>
      </c>
      <c r="AJ917" s="25">
        <v>266023</v>
      </c>
      <c r="AK917" s="25">
        <v>10334</v>
      </c>
      <c r="AL917" s="25">
        <v>352300</v>
      </c>
      <c r="AM917" s="25">
        <v>61700</v>
      </c>
      <c r="AN917" s="25">
        <v>290600</v>
      </c>
      <c r="AO917" s="25">
        <v>0</v>
      </c>
      <c r="AP917" s="25">
        <f>Lookups!$B$56*0</f>
        <v>0</v>
      </c>
      <c r="AQ917" s="25">
        <f>Lookups!$B$56*1</f>
        <v>89850.625589999996</v>
      </c>
      <c r="AR917" s="25">
        <f>Lookups!$B$57*Inventory[[#This Row],[LnAcres]]</f>
        <v>-47929.131559187132</v>
      </c>
      <c r="AS917" s="25">
        <f>VLOOKUP(Inventory[[#This Row],[Qlty]],Lookups!$A$62:$E$75,2,FALSE)</f>
        <v>29814.093161000001</v>
      </c>
      <c r="AT917" s="25">
        <f>VLOOKUP(Inventory[[#This Row],[Cnd]],Lookups!$A$76:$E$84,2,FALSE)</f>
        <v>160472.20319</v>
      </c>
      <c r="AU917" s="25">
        <f>Inventory[[#This Row],[EffAge]]*Lookups!$B$85</f>
        <v>-11375.3256255</v>
      </c>
      <c r="AV917" s="25">
        <f>Inventory[[#This Row],[MainFn]]*Lookups!$B$86</f>
        <v>56325.883659780004</v>
      </c>
      <c r="AW917" s="25">
        <f>Inventory[[#This Row],[UpprFn]]*Lookups!$B$87</f>
        <v>0</v>
      </c>
      <c r="AX917" s="25">
        <f>Inventory[[#This Row],[AddFn]]*Lookups!$B$88</f>
        <v>0</v>
      </c>
      <c r="AY917" s="25">
        <f>Inventory[[#This Row],[Bsmt]]*Lookups!$B$89</f>
        <v>33153.360581579997</v>
      </c>
      <c r="AZ917" s="25">
        <f>Inventory[[#This Row],[Fixtures]]*Lookups!$B$90</f>
        <v>34128.198946800003</v>
      </c>
      <c r="BA917" s="25">
        <f>Inventory[[#This Row],[WdDeck]]*Lookups!$B$91</f>
        <v>0</v>
      </c>
      <c r="BB917" s="25">
        <f>ROUND(Inventory[[#This Row],[25Det]],-2)</f>
        <v>10300</v>
      </c>
      <c r="BC917" s="25">
        <f>ROUND(SUM(Inventory[[#This Row],[Mdl Qlty]:[Mdl WdDeck]])+Inventory[[#This Row],[Mdl Res Intercept]],-2)</f>
        <v>302500</v>
      </c>
      <c r="BD917" s="25">
        <f>ROUND(Inventory[[#This Row],[Mdl Land Intercept]]+Inventory[[#This Row],[Mdl LnAcres]],-2)</f>
        <v>41900</v>
      </c>
      <c r="BE917" s="25">
        <f>Inventory[[#This Row],[Unadj Res Value]]+Inventory[[#This Row],[Unadj Det Value]]+Inventory[[#This Row],[Unadj Land Value]]</f>
        <v>354700</v>
      </c>
      <c r="BF917" s="36">
        <f>(Inventory[[#This Row],[Unadj Total Value]]-Inventory[[#This Row],[24Final]])/Inventory[[#This Row],[24Final]]</f>
        <v>6.8123758160658528E-3</v>
      </c>
      <c r="BG917" s="25">
        <f>VLOOKUP(Inventory[[#This Row],[Nbhd]],Lookups!$Q$2:$T$4,4,FALSE)</f>
        <v>0.99970000000000003</v>
      </c>
      <c r="BH917" s="25">
        <f>VLOOKUP(Inventory[[#This Row],[Qlty]],Lookups!$O$7:$R$21,4,FALSE)</f>
        <v>1.0088999999999999</v>
      </c>
      <c r="BI917" s="25">
        <f>VLOOKUP(Inventory[[#This Row],[Cnd]],Lookups!$T$7:$W$16,4,FALSE)</f>
        <v>0.99729999999999996</v>
      </c>
      <c r="BJ917" s="25">
        <f>VLOOKUP(Inventory[[#This Row],[LivArea Range]],Lookups!$T$25:$W$37,4,FALSE)</f>
        <v>0.98919999999999997</v>
      </c>
      <c r="BK917" s="25">
        <f>VLOOKUP(Inventory[[#This Row],[Decade]],Lookups!$O$25:$R$42,4,FALSE)</f>
        <v>0.995</v>
      </c>
      <c r="BL917" s="25">
        <f>Inventory[[#This Row],[Nbhd Adj]]*0.95</f>
        <v>0.94971499999999998</v>
      </c>
      <c r="BM917" s="25">
        <f>Inventory[[#This Row],[Nbhd Adj]]*Inventory[[#This Row],[Quality Adj]]*Inventory[[#This Row],[Condition Adj]]*Inventory[[#This Row],[Living Area Adj]]*Inventory[[#This Row],[Decade Adj]]*0.95</f>
        <v>0.94053384219145564</v>
      </c>
      <c r="BN917" s="25">
        <f>ROUND(SUM(Inventory[[#This Row],[Mdl Qlty]:[Mdl WdDeck]])+Inventory[[#This Row],[Mdl Res Intercept]]*Inventory[[#This Row],[Res Adj ]],-2)</f>
        <v>302500</v>
      </c>
      <c r="BO917" s="25">
        <f>ROUND(Inventory[[#This Row],[25Det]]*Inventory[[#This Row],[Det/Nbhd Adj]],-2)</f>
        <v>9800</v>
      </c>
      <c r="BP917" s="25">
        <f>Inventory[[#This Row],[Adjusted Res]]+Inventory[[#This Row],[Adj Det ]]</f>
        <v>312300</v>
      </c>
      <c r="BQ917" s="25">
        <f>ROUND((Inventory[[#This Row],[Mdl Land Intercept]]+Inventory[[#This Row],[Mdl LnAcres]])*Inventory[[#This Row],[Det/Nbhd Adj]],-2)</f>
        <v>39800</v>
      </c>
      <c r="BR917" s="25">
        <f>Inventory[[#This Row],[Adjusted Impr Total]]+Inventory[[#This Row],[Adjusted Land Total]]</f>
        <v>352100</v>
      </c>
      <c r="BS917" s="36">
        <f>IFERROR((Inventory[[#This Row],[Adjusted Impr Total]]-Inventory[[#This Row],[24Bldg]])/Inventory[[#This Row],[24Bldg]],0)</f>
        <v>7.4673090158293182E-2</v>
      </c>
      <c r="BT917" s="36">
        <f>(Inventory[[#This Row],[Adjusted Land Total]]-Inventory[[#This Row],[24Lnd]])/Inventory[[#This Row],[24Lnd]]</f>
        <v>-0.35494327390599678</v>
      </c>
      <c r="BU917" s="36">
        <f>(Inventory[[#This Row],[Adjusted Total]]-Inventory[[#This Row],[24Final]])/Inventory[[#This Row],[24Final]]</f>
        <v>-5.676979846721544E-4</v>
      </c>
    </row>
    <row r="918" spans="1:73" x14ac:dyDescent="0.3">
      <c r="A918" s="25">
        <v>2025</v>
      </c>
      <c r="B918" s="26" t="s">
        <v>1763</v>
      </c>
      <c r="C918" s="26">
        <f>LN(Inventory[[#This Row],[Acres]])</f>
        <v>-1.7147984280919266</v>
      </c>
      <c r="D918" s="25">
        <v>0.18</v>
      </c>
      <c r="E918" s="27"/>
      <c r="F918" s="26" t="s">
        <v>537</v>
      </c>
      <c r="G918" s="26" t="s">
        <v>126</v>
      </c>
      <c r="H918" s="26" t="s">
        <v>349</v>
      </c>
      <c r="I918" s="26" t="s">
        <v>538</v>
      </c>
      <c r="J918" s="26" t="s">
        <v>539</v>
      </c>
      <c r="K918" s="26" t="s">
        <v>241</v>
      </c>
      <c r="L918" s="26" t="s">
        <v>351</v>
      </c>
      <c r="M918" s="26" t="s">
        <v>323</v>
      </c>
      <c r="N918" s="26">
        <v>80</v>
      </c>
      <c r="O918" s="26">
        <f>2024-Inventory[[#This Row],[YrBlt]]</f>
        <v>74</v>
      </c>
      <c r="P918" s="26">
        <f>2024-Inventory[[#This Row],[EffYr]]</f>
        <v>51</v>
      </c>
      <c r="Q918" s="25">
        <v>1950</v>
      </c>
      <c r="R918" s="25">
        <v>1973</v>
      </c>
      <c r="S918" s="25">
        <v>1168</v>
      </c>
      <c r="T918" s="27"/>
      <c r="U918" s="25">
        <v>1168</v>
      </c>
      <c r="V918" s="25">
        <f>Inventory[[#This Row],[Bsmt]]-Inventory[[#This Row],[FnBsmt]]</f>
        <v>0</v>
      </c>
      <c r="W918" s="25">
        <v>1168</v>
      </c>
      <c r="X918" s="27"/>
      <c r="Y918" s="27">
        <f>Inventory[[#This Row],[MainFn]]+Inventory[[#This Row],[UpprFn]]+Inventory[[#This Row],[FnBsmt]]+Inventory[[#This Row],[AddFn]]</f>
        <v>2336</v>
      </c>
      <c r="Z918" s="27">
        <v>2500</v>
      </c>
      <c r="AA918" s="25">
        <v>8</v>
      </c>
      <c r="AB918" s="32">
        <v>264</v>
      </c>
      <c r="AC918" s="27"/>
      <c r="AD918" s="27"/>
      <c r="AE918" s="27"/>
      <c r="AF918" s="27"/>
      <c r="AG918" s="27"/>
      <c r="AH918" s="27"/>
      <c r="AI918" s="25">
        <v>300811</v>
      </c>
      <c r="AJ918" s="25">
        <v>207560</v>
      </c>
      <c r="AK918" s="25">
        <v>0</v>
      </c>
      <c r="AL918" s="25">
        <v>326700</v>
      </c>
      <c r="AM918" s="25">
        <v>54700</v>
      </c>
      <c r="AN918" s="25">
        <v>272000</v>
      </c>
      <c r="AO918" s="25">
        <v>0</v>
      </c>
      <c r="AP918" s="25">
        <f>Lookups!$B$56*0</f>
        <v>0</v>
      </c>
      <c r="AQ918" s="25">
        <f>Lookups!$B$56*1</f>
        <v>89850.625589999996</v>
      </c>
      <c r="AR918" s="25">
        <f>Lookups!$B$57*Inventory[[#This Row],[LnAcres]]</f>
        <v>-54281.285314520763</v>
      </c>
      <c r="AS918" s="25">
        <f>VLOOKUP(Inventory[[#This Row],[Qlty]],Lookups!$A$62:$E$75,2,FALSE)</f>
        <v>21557.329055999999</v>
      </c>
      <c r="AT918" s="25">
        <f>VLOOKUP(Inventory[[#This Row],[Cnd]],Lookups!$A$76:$E$84,2,FALSE)</f>
        <v>160472.20319</v>
      </c>
      <c r="AU918" s="25">
        <f>Inventory[[#This Row],[EffAge]]*Lookups!$B$85</f>
        <v>-11375.3256255</v>
      </c>
      <c r="AV918" s="25">
        <f>Inventory[[#This Row],[MainFn]]*Lookups!$B$86</f>
        <v>57709.326416336</v>
      </c>
      <c r="AW918" s="25">
        <f>Inventory[[#This Row],[UpprFn]]*Lookups!$B$87</f>
        <v>0</v>
      </c>
      <c r="AX918" s="25">
        <f>Inventory[[#This Row],[AddFn]]*Lookups!$B$88</f>
        <v>0</v>
      </c>
      <c r="AY918" s="25">
        <f>Inventory[[#This Row],[Bsmt]]*Lookups!$B$89</f>
        <v>33967.653648496002</v>
      </c>
      <c r="AZ918" s="25">
        <f>Inventory[[#This Row],[Fixtures]]*Lookups!$B$90</f>
        <v>30336.176841600001</v>
      </c>
      <c r="BA918" s="25">
        <f>Inventory[[#This Row],[WdDeck]]*Lookups!$B$91</f>
        <v>0</v>
      </c>
      <c r="BB918" s="25">
        <f>ROUND(Inventory[[#This Row],[25Det]],-2)</f>
        <v>0</v>
      </c>
      <c r="BC918" s="25">
        <f>ROUND(SUM(Inventory[[#This Row],[Mdl Qlty]:[Mdl WdDeck]])+Inventory[[#This Row],[Mdl Res Intercept]],-2)</f>
        <v>292700</v>
      </c>
      <c r="BD918" s="25">
        <f>ROUND(Inventory[[#This Row],[Mdl Land Intercept]]+Inventory[[#This Row],[Mdl LnAcres]],-2)</f>
        <v>35600</v>
      </c>
      <c r="BE918" s="25">
        <f>Inventory[[#This Row],[Unadj Res Value]]+Inventory[[#This Row],[Unadj Det Value]]+Inventory[[#This Row],[Unadj Land Value]]</f>
        <v>328300</v>
      </c>
      <c r="BF918" s="36">
        <f>(Inventory[[#This Row],[Unadj Total Value]]-Inventory[[#This Row],[24Final]])/Inventory[[#This Row],[24Final]]</f>
        <v>4.8974594429139883E-3</v>
      </c>
      <c r="BG918" s="25">
        <f>VLOOKUP(Inventory[[#This Row],[Nbhd]],Lookups!$Q$2:$T$4,4,FALSE)</f>
        <v>0.99970000000000003</v>
      </c>
      <c r="BH918" s="25">
        <f>VLOOKUP(Inventory[[#This Row],[Qlty]],Lookups!$O$7:$R$21,4,FALSE)</f>
        <v>1.0067999999999999</v>
      </c>
      <c r="BI918" s="25">
        <f>VLOOKUP(Inventory[[#This Row],[Cnd]],Lookups!$T$7:$W$16,4,FALSE)</f>
        <v>0.99729999999999996</v>
      </c>
      <c r="BJ918" s="25">
        <f>VLOOKUP(Inventory[[#This Row],[LivArea Range]],Lookups!$T$25:$W$37,4,FALSE)</f>
        <v>0.98919999999999997</v>
      </c>
      <c r="BK918" s="25">
        <f>VLOOKUP(Inventory[[#This Row],[Decade]],Lookups!$O$25:$R$42,4,FALSE)</f>
        <v>0.995</v>
      </c>
      <c r="BL918" s="25">
        <f>Inventory[[#This Row],[Nbhd Adj]]*0.95</f>
        <v>0.94971499999999998</v>
      </c>
      <c r="BM918" s="25">
        <f>Inventory[[#This Row],[Nbhd Adj]]*Inventory[[#This Row],[Quality Adj]]*Inventory[[#This Row],[Condition Adj]]*Inventory[[#This Row],[Living Area Adj]]*Inventory[[#This Row],[Decade Adj]]*0.95</f>
        <v>0.93857614463114025</v>
      </c>
      <c r="BN918" s="25">
        <f>ROUND(SUM(Inventory[[#This Row],[Mdl Qlty]:[Mdl WdDeck]])+Inventory[[#This Row],[Mdl Res Intercept]]*Inventory[[#This Row],[Res Adj ]],-2)</f>
        <v>292700</v>
      </c>
      <c r="BO918" s="25">
        <f>ROUND(Inventory[[#This Row],[25Det]]*Inventory[[#This Row],[Det/Nbhd Adj]],-2)</f>
        <v>0</v>
      </c>
      <c r="BP918" s="25">
        <f>Inventory[[#This Row],[Adjusted Res]]+Inventory[[#This Row],[Adj Det ]]</f>
        <v>292700</v>
      </c>
      <c r="BQ918" s="25">
        <f>ROUND((Inventory[[#This Row],[Mdl Land Intercept]]+Inventory[[#This Row],[Mdl LnAcres]])*Inventory[[#This Row],[Det/Nbhd Adj]],-2)</f>
        <v>33800</v>
      </c>
      <c r="BR918" s="25">
        <f>Inventory[[#This Row],[Adjusted Impr Total]]+Inventory[[#This Row],[Adjusted Land Total]]</f>
        <v>326500</v>
      </c>
      <c r="BS918" s="36">
        <f>IFERROR((Inventory[[#This Row],[Adjusted Impr Total]]-Inventory[[#This Row],[24Bldg]])/Inventory[[#This Row],[24Bldg]],0)</f>
        <v>7.6102941176470582E-2</v>
      </c>
      <c r="BT918" s="36">
        <f>(Inventory[[#This Row],[Adjusted Land Total]]-Inventory[[#This Row],[24Lnd]])/Inventory[[#This Row],[24Lnd]]</f>
        <v>-0.38208409506398539</v>
      </c>
      <c r="BU918" s="36">
        <f>(Inventory[[#This Row],[Adjusted Total]]-Inventory[[#This Row],[24Final]])/Inventory[[#This Row],[24Final]]</f>
        <v>-6.1218243036424854E-4</v>
      </c>
    </row>
    <row r="919" spans="1:73" x14ac:dyDescent="0.3">
      <c r="A919" s="25">
        <v>2025</v>
      </c>
      <c r="B919" s="26" t="s">
        <v>872</v>
      </c>
      <c r="C919" s="26">
        <f>LN(Inventory[[#This Row],[Acres]])</f>
        <v>-1.5606477482646683</v>
      </c>
      <c r="D919" s="25">
        <v>0.21</v>
      </c>
      <c r="E919" s="32">
        <v>9245</v>
      </c>
      <c r="F919" s="26" t="s">
        <v>537</v>
      </c>
      <c r="G919" s="26" t="s">
        <v>126</v>
      </c>
      <c r="H919" s="26" t="s">
        <v>349</v>
      </c>
      <c r="I919" s="26" t="s">
        <v>538</v>
      </c>
      <c r="J919" s="26" t="s">
        <v>539</v>
      </c>
      <c r="K919" s="26" t="s">
        <v>241</v>
      </c>
      <c r="L919" s="26" t="s">
        <v>205</v>
      </c>
      <c r="M919" s="26" t="s">
        <v>323</v>
      </c>
      <c r="N919" s="26">
        <v>80</v>
      </c>
      <c r="O919" s="26">
        <f>2024-Inventory[[#This Row],[YrBlt]]</f>
        <v>74</v>
      </c>
      <c r="P919" s="26">
        <f>2024-Inventory[[#This Row],[EffYr]]</f>
        <v>51</v>
      </c>
      <c r="Q919" s="25">
        <v>1950</v>
      </c>
      <c r="R919" s="25">
        <v>1973</v>
      </c>
      <c r="S919" s="25">
        <v>1297</v>
      </c>
      <c r="T919" s="27"/>
      <c r="U919" s="31"/>
      <c r="V919" s="27">
        <f>Inventory[[#This Row],[Bsmt]]-Inventory[[#This Row],[FnBsmt]]</f>
        <v>0</v>
      </c>
      <c r="W919" s="27"/>
      <c r="X919" s="27"/>
      <c r="Y919" s="27">
        <f>Inventory[[#This Row],[MainFn]]+Inventory[[#This Row],[UpprFn]]+Inventory[[#This Row],[FnBsmt]]+Inventory[[#This Row],[AddFn]]</f>
        <v>1297</v>
      </c>
      <c r="Z919" s="27">
        <v>1500</v>
      </c>
      <c r="AA919" s="25">
        <v>7</v>
      </c>
      <c r="AB919" s="27"/>
      <c r="AC919" s="27"/>
      <c r="AD919" s="27"/>
      <c r="AE919" s="27"/>
      <c r="AF919" s="27"/>
      <c r="AG919" s="27"/>
      <c r="AH919" s="27"/>
      <c r="AI919" s="25">
        <v>214049</v>
      </c>
      <c r="AJ919" s="25">
        <v>147694</v>
      </c>
      <c r="AK919" s="25">
        <v>2639</v>
      </c>
      <c r="AL919" s="25">
        <v>281600</v>
      </c>
      <c r="AM919" s="25">
        <v>60100</v>
      </c>
      <c r="AN919" s="25">
        <v>221500</v>
      </c>
      <c r="AO919" s="25">
        <v>0</v>
      </c>
      <c r="AP919" s="25">
        <f>Lookups!$B$56*0</f>
        <v>0</v>
      </c>
      <c r="AQ919" s="25">
        <f>Lookups!$B$56*1</f>
        <v>89850.625589999996</v>
      </c>
      <c r="AR919" s="25">
        <f>Lookups!$B$57*Inventory[[#This Row],[LnAcres]]</f>
        <v>-49401.70477837498</v>
      </c>
      <c r="AS919" s="25">
        <f>VLOOKUP(Inventory[[#This Row],[Qlty]],Lookups!$A$62:$E$75,2,FALSE)</f>
        <v>0</v>
      </c>
      <c r="AT919" s="25">
        <f>VLOOKUP(Inventory[[#This Row],[Cnd]],Lookups!$A$76:$E$84,2,FALSE)</f>
        <v>160472.20319</v>
      </c>
      <c r="AU919" s="25">
        <f>Inventory[[#This Row],[EffAge]]*Lookups!$B$85</f>
        <v>-11375.3256255</v>
      </c>
      <c r="AV919" s="25">
        <f>Inventory[[#This Row],[MainFn]]*Lookups!$B$86</f>
        <v>64083.044830469</v>
      </c>
      <c r="AW919" s="25">
        <f>Inventory[[#This Row],[UpprFn]]*Lookups!$B$87</f>
        <v>0</v>
      </c>
      <c r="AX919" s="25">
        <f>Inventory[[#This Row],[AddFn]]*Lookups!$B$88</f>
        <v>0</v>
      </c>
      <c r="AY919" s="25">
        <f>Inventory[[#This Row],[Bsmt]]*Lookups!$B$89</f>
        <v>0</v>
      </c>
      <c r="AZ919" s="25">
        <f>Inventory[[#This Row],[Fixtures]]*Lookups!$B$90</f>
        <v>26544.1547364</v>
      </c>
      <c r="BA919" s="25">
        <f>Inventory[[#This Row],[WdDeck]]*Lookups!$B$91</f>
        <v>0</v>
      </c>
      <c r="BB919" s="25">
        <f>ROUND(Inventory[[#This Row],[25Det]],-2)</f>
        <v>2600</v>
      </c>
      <c r="BC919" s="25">
        <f>ROUND(SUM(Inventory[[#This Row],[Mdl Qlty]:[Mdl WdDeck]])+Inventory[[#This Row],[Mdl Res Intercept]],-2)</f>
        <v>239700</v>
      </c>
      <c r="BD919" s="25">
        <f>ROUND(Inventory[[#This Row],[Mdl Land Intercept]]+Inventory[[#This Row],[Mdl LnAcres]],-2)</f>
        <v>40400</v>
      </c>
      <c r="BE919" s="25">
        <f>Inventory[[#This Row],[Unadj Res Value]]+Inventory[[#This Row],[Unadj Det Value]]+Inventory[[#This Row],[Unadj Land Value]]</f>
        <v>282700</v>
      </c>
      <c r="BF919" s="36">
        <f>(Inventory[[#This Row],[Unadj Total Value]]-Inventory[[#This Row],[24Final]])/Inventory[[#This Row],[24Final]]</f>
        <v>3.90625E-3</v>
      </c>
      <c r="BG919" s="25">
        <f>VLOOKUP(Inventory[[#This Row],[Nbhd]],Lookups!$Q$2:$T$4,4,FALSE)</f>
        <v>0.99970000000000003</v>
      </c>
      <c r="BH919" s="25">
        <f>VLOOKUP(Inventory[[#This Row],[Qlty]],Lookups!$O$7:$R$21,4,FALSE)</f>
        <v>0.99180000000000001</v>
      </c>
      <c r="BI919" s="25">
        <f>VLOOKUP(Inventory[[#This Row],[Cnd]],Lookups!$T$7:$W$16,4,FALSE)</f>
        <v>0.99729999999999996</v>
      </c>
      <c r="BJ919" s="25">
        <f>VLOOKUP(Inventory[[#This Row],[LivArea Range]],Lookups!$T$25:$W$37,4,FALSE)</f>
        <v>1.0157</v>
      </c>
      <c r="BK919" s="25">
        <f>VLOOKUP(Inventory[[#This Row],[Decade]],Lookups!$O$25:$R$42,4,FALSE)</f>
        <v>0.995</v>
      </c>
      <c r="BL919" s="25">
        <f>Inventory[[#This Row],[Nbhd Adj]]*0.95</f>
        <v>0.94971499999999998</v>
      </c>
      <c r="BM919" s="25">
        <f>Inventory[[#This Row],[Nbhd Adj]]*Inventory[[#This Row],[Quality Adj]]*Inventory[[#This Row],[Condition Adj]]*Inventory[[#This Row],[Living Area Adj]]*Inventory[[#This Row],[Decade Adj]]*0.95</f>
        <v>0.94936180176077878</v>
      </c>
      <c r="BN919" s="25">
        <f>ROUND(SUM(Inventory[[#This Row],[Mdl Qlty]:[Mdl WdDeck]])+Inventory[[#This Row],[Mdl Res Intercept]]*Inventory[[#This Row],[Res Adj ]],-2)</f>
        <v>239700</v>
      </c>
      <c r="BO919" s="25">
        <f>ROUND(Inventory[[#This Row],[25Det]]*Inventory[[#This Row],[Det/Nbhd Adj]],-2)</f>
        <v>2500</v>
      </c>
      <c r="BP919" s="25">
        <f>Inventory[[#This Row],[Adjusted Res]]+Inventory[[#This Row],[Adj Det ]]</f>
        <v>242200</v>
      </c>
      <c r="BQ919" s="25">
        <f>ROUND((Inventory[[#This Row],[Mdl Land Intercept]]+Inventory[[#This Row],[Mdl LnAcres]])*Inventory[[#This Row],[Det/Nbhd Adj]],-2)</f>
        <v>38400</v>
      </c>
      <c r="BR919" s="25">
        <f>Inventory[[#This Row],[Adjusted Impr Total]]+Inventory[[#This Row],[Adjusted Land Total]]</f>
        <v>280600</v>
      </c>
      <c r="BS919" s="36">
        <f>IFERROR((Inventory[[#This Row],[Adjusted Impr Total]]-Inventory[[#This Row],[24Bldg]])/Inventory[[#This Row],[24Bldg]],0)</f>
        <v>9.3453724604966135E-2</v>
      </c>
      <c r="BT919" s="36">
        <f>(Inventory[[#This Row],[Adjusted Land Total]]-Inventory[[#This Row],[24Lnd]])/Inventory[[#This Row],[24Lnd]]</f>
        <v>-0.36106489184692181</v>
      </c>
      <c r="BU919" s="36">
        <f>(Inventory[[#This Row],[Adjusted Total]]-Inventory[[#This Row],[24Final]])/Inventory[[#This Row],[24Final]]</f>
        <v>-3.5511363636363635E-3</v>
      </c>
    </row>
    <row r="920" spans="1:73" x14ac:dyDescent="0.3">
      <c r="A920" s="25">
        <v>2025</v>
      </c>
      <c r="B920" s="26" t="s">
        <v>1268</v>
      </c>
      <c r="C920" s="26">
        <f>LN(Inventory[[#This Row],[Acres]])</f>
        <v>-0.94160853985844495</v>
      </c>
      <c r="D920" s="25">
        <v>0.39</v>
      </c>
      <c r="E920" s="25">
        <v>17115</v>
      </c>
      <c r="F920" s="26" t="s">
        <v>537</v>
      </c>
      <c r="G920" s="26" t="s">
        <v>126</v>
      </c>
      <c r="H920" s="26" t="s">
        <v>349</v>
      </c>
      <c r="I920" s="26" t="s">
        <v>538</v>
      </c>
      <c r="J920" s="26" t="s">
        <v>539</v>
      </c>
      <c r="K920" s="26" t="s">
        <v>241</v>
      </c>
      <c r="L920" s="26" t="s">
        <v>148</v>
      </c>
      <c r="M920" s="26" t="s">
        <v>323</v>
      </c>
      <c r="N920" s="26">
        <v>80</v>
      </c>
      <c r="O920" s="26">
        <f>2024-Inventory[[#This Row],[YrBlt]]</f>
        <v>74</v>
      </c>
      <c r="P920" s="26">
        <f>2024-Inventory[[#This Row],[EffYr]]</f>
        <v>51</v>
      </c>
      <c r="Q920" s="25">
        <v>1950</v>
      </c>
      <c r="R920" s="25">
        <v>1973</v>
      </c>
      <c r="S920" s="25">
        <v>3016</v>
      </c>
      <c r="T920" s="27"/>
      <c r="U920" s="25">
        <v>2266</v>
      </c>
      <c r="V920" s="32">
        <f>Inventory[[#This Row],[Bsmt]]-Inventory[[#This Row],[FnBsmt]]</f>
        <v>566</v>
      </c>
      <c r="W920" s="32">
        <v>1700</v>
      </c>
      <c r="X920" s="27"/>
      <c r="Y920" s="27">
        <f>Inventory[[#This Row],[MainFn]]+Inventory[[#This Row],[UpprFn]]+Inventory[[#This Row],[FnBsmt]]+Inventory[[#This Row],[AddFn]]</f>
        <v>4716</v>
      </c>
      <c r="Z920" s="27">
        <v>4500</v>
      </c>
      <c r="AA920" s="25">
        <v>15</v>
      </c>
      <c r="AB920" s="32">
        <v>624</v>
      </c>
      <c r="AC920" s="27"/>
      <c r="AD920" s="27"/>
      <c r="AE920" s="27"/>
      <c r="AF920" s="27"/>
      <c r="AG920" s="27"/>
      <c r="AH920" s="27"/>
      <c r="AI920" s="25">
        <v>838068</v>
      </c>
      <c r="AJ920" s="25">
        <v>578267</v>
      </c>
      <c r="AK920" s="25">
        <v>70620</v>
      </c>
      <c r="AL920" s="25">
        <v>592800</v>
      </c>
      <c r="AM920" s="25">
        <v>81700</v>
      </c>
      <c r="AN920" s="25">
        <v>511100</v>
      </c>
      <c r="AO920" s="25">
        <v>0</v>
      </c>
      <c r="AP920" s="25">
        <f>Lookups!$B$56*0</f>
        <v>0</v>
      </c>
      <c r="AQ920" s="25">
        <f>Lookups!$B$56*1</f>
        <v>89850.625589999996</v>
      </c>
      <c r="AR920" s="25">
        <f>Lookups!$B$57*Inventory[[#This Row],[LnAcres]]</f>
        <v>-29806.256507663158</v>
      </c>
      <c r="AS920" s="25">
        <f>VLOOKUP(Inventory[[#This Row],[Qlty]],Lookups!$A$62:$E$75,2,FALSE)</f>
        <v>44121.038090000002</v>
      </c>
      <c r="AT920" s="25">
        <f>VLOOKUP(Inventory[[#This Row],[Cnd]],Lookups!$A$76:$E$84,2,FALSE)</f>
        <v>160472.20319</v>
      </c>
      <c r="AU920" s="25">
        <f>Inventory[[#This Row],[EffAge]]*Lookups!$B$85</f>
        <v>-11375.3256255</v>
      </c>
      <c r="AV920" s="25">
        <f>Inventory[[#This Row],[MainFn]]*Lookups!$B$86</f>
        <v>149016.548349032</v>
      </c>
      <c r="AW920" s="25">
        <f>Inventory[[#This Row],[UpprFn]]*Lookups!$B$87</f>
        <v>0</v>
      </c>
      <c r="AX920" s="25">
        <f>Inventory[[#This Row],[AddFn]]*Lookups!$B$88</f>
        <v>0</v>
      </c>
      <c r="AY920" s="25">
        <f>Inventory[[#This Row],[Bsmt]]*Lookups!$B$89</f>
        <v>65899.574629701994</v>
      </c>
      <c r="AZ920" s="25">
        <f>Inventory[[#This Row],[Fixtures]]*Lookups!$B$90</f>
        <v>56880.331578000005</v>
      </c>
      <c r="BA920" s="25">
        <f>Inventory[[#This Row],[WdDeck]]*Lookups!$B$91</f>
        <v>0</v>
      </c>
      <c r="BB920" s="25">
        <f>ROUND(Inventory[[#This Row],[25Det]],-2)</f>
        <v>70600</v>
      </c>
      <c r="BC920" s="25">
        <f>ROUND(SUM(Inventory[[#This Row],[Mdl Qlty]:[Mdl WdDeck]])+Inventory[[#This Row],[Mdl Res Intercept]],-2)</f>
        <v>465000</v>
      </c>
      <c r="BD920" s="25">
        <f>ROUND(Inventory[[#This Row],[Mdl Land Intercept]]+Inventory[[#This Row],[Mdl LnAcres]],-2)</f>
        <v>60000</v>
      </c>
      <c r="BE920" s="25">
        <f>Inventory[[#This Row],[Unadj Res Value]]+Inventory[[#This Row],[Unadj Det Value]]+Inventory[[#This Row],[Unadj Land Value]]</f>
        <v>595600</v>
      </c>
      <c r="BF920" s="36">
        <f>(Inventory[[#This Row],[Unadj Total Value]]-Inventory[[#This Row],[24Final]])/Inventory[[#This Row],[24Final]]</f>
        <v>4.7233468286099868E-3</v>
      </c>
      <c r="BG920" s="25">
        <f>VLOOKUP(Inventory[[#This Row],[Nbhd]],Lookups!$Q$2:$T$4,4,FALSE)</f>
        <v>0.99970000000000003</v>
      </c>
      <c r="BH920" s="25">
        <f>VLOOKUP(Inventory[[#This Row],[Qlty]],Lookups!$O$7:$R$21,4,FALSE)</f>
        <v>0.98050000000000004</v>
      </c>
      <c r="BI920" s="25">
        <f>VLOOKUP(Inventory[[#This Row],[Cnd]],Lookups!$T$7:$W$16,4,FALSE)</f>
        <v>0.99729999999999996</v>
      </c>
      <c r="BJ920" s="25">
        <f>VLOOKUP(Inventory[[#This Row],[LivArea Range]],Lookups!$T$25:$W$37,4,FALSE)</f>
        <v>1</v>
      </c>
      <c r="BK920" s="25">
        <f>VLOOKUP(Inventory[[#This Row],[Decade]],Lookups!$O$25:$R$42,4,FALSE)</f>
        <v>0.995</v>
      </c>
      <c r="BL920" s="25">
        <f>Inventory[[#This Row],[Nbhd Adj]]*0.95</f>
        <v>0.94971499999999998</v>
      </c>
      <c r="BM920" s="25">
        <f>Inventory[[#This Row],[Nbhd Adj]]*Inventory[[#This Row],[Quality Adj]]*Inventory[[#This Row],[Condition Adj]]*Inventory[[#This Row],[Living Area Adj]]*Inventory[[#This Row],[Decade Adj]]*0.95</f>
        <v>0.92403792284727615</v>
      </c>
      <c r="BN920" s="25">
        <f>ROUND(SUM(Inventory[[#This Row],[Mdl Qlty]:[Mdl WdDeck]])+Inventory[[#This Row],[Mdl Res Intercept]]*Inventory[[#This Row],[Res Adj ]],-2)</f>
        <v>465000</v>
      </c>
      <c r="BO920" s="25">
        <f>ROUND(Inventory[[#This Row],[25Det]]*Inventory[[#This Row],[Det/Nbhd Adj]],-2)</f>
        <v>67100</v>
      </c>
      <c r="BP920" s="25">
        <f>Inventory[[#This Row],[Adjusted Res]]+Inventory[[#This Row],[Adj Det ]]</f>
        <v>532100</v>
      </c>
      <c r="BQ920" s="25">
        <f>ROUND((Inventory[[#This Row],[Mdl Land Intercept]]+Inventory[[#This Row],[Mdl LnAcres]])*Inventory[[#This Row],[Det/Nbhd Adj]],-2)</f>
        <v>57000</v>
      </c>
      <c r="BR920" s="25">
        <f>Inventory[[#This Row],[Adjusted Impr Total]]+Inventory[[#This Row],[Adjusted Land Total]]</f>
        <v>589100</v>
      </c>
      <c r="BS920" s="36">
        <f>IFERROR((Inventory[[#This Row],[Adjusted Impr Total]]-Inventory[[#This Row],[24Bldg]])/Inventory[[#This Row],[24Bldg]],0)</f>
        <v>4.1087849735863824E-2</v>
      </c>
      <c r="BT920" s="36">
        <f>(Inventory[[#This Row],[Adjusted Land Total]]-Inventory[[#This Row],[24Lnd]])/Inventory[[#This Row],[24Lnd]]</f>
        <v>-0.30232558139534882</v>
      </c>
      <c r="BU920" s="36">
        <f>(Inventory[[#This Row],[Adjusted Total]]-Inventory[[#This Row],[24Final]])/Inventory[[#This Row],[24Final]]</f>
        <v>-6.2415654520917678E-3</v>
      </c>
    </row>
    <row r="921" spans="1:73" x14ac:dyDescent="0.3">
      <c r="A921" s="25">
        <v>2025</v>
      </c>
      <c r="B921" s="26" t="s">
        <v>1421</v>
      </c>
      <c r="C921" s="26">
        <f>LN(Inventory[[#This Row],[Acres]])</f>
        <v>-1.7719568419318752</v>
      </c>
      <c r="D921" s="25">
        <v>0.17</v>
      </c>
      <c r="E921" s="25">
        <v>7595</v>
      </c>
      <c r="F921" s="26" t="s">
        <v>537</v>
      </c>
      <c r="G921" s="26" t="s">
        <v>126</v>
      </c>
      <c r="H921" s="26" t="s">
        <v>349</v>
      </c>
      <c r="I921" s="26" t="s">
        <v>538</v>
      </c>
      <c r="J921" s="26" t="s">
        <v>539</v>
      </c>
      <c r="K921" s="26" t="s">
        <v>242</v>
      </c>
      <c r="L921" s="26" t="s">
        <v>205</v>
      </c>
      <c r="M921" s="26" t="s">
        <v>323</v>
      </c>
      <c r="N921" s="26">
        <v>80</v>
      </c>
      <c r="O921" s="26">
        <f>2024-Inventory[[#This Row],[YrBlt]]</f>
        <v>74</v>
      </c>
      <c r="P921" s="26">
        <f>2024-Inventory[[#This Row],[EffYr]]</f>
        <v>51</v>
      </c>
      <c r="Q921" s="25">
        <v>1950</v>
      </c>
      <c r="R921" s="25">
        <v>1973</v>
      </c>
      <c r="S921" s="25">
        <v>871</v>
      </c>
      <c r="T921" s="31"/>
      <c r="U921" s="32">
        <v>871</v>
      </c>
      <c r="V921" s="32">
        <f>Inventory[[#This Row],[Bsmt]]-Inventory[[#This Row],[FnBsmt]]</f>
        <v>0</v>
      </c>
      <c r="W921" s="32">
        <v>871</v>
      </c>
      <c r="X921" s="27"/>
      <c r="Y921" s="27">
        <f>Inventory[[#This Row],[MainFn]]+Inventory[[#This Row],[UpprFn]]+Inventory[[#This Row],[FnBsmt]]+Inventory[[#This Row],[AddFn]]</f>
        <v>1742</v>
      </c>
      <c r="Z921" s="27">
        <v>2000</v>
      </c>
      <c r="AA921" s="25">
        <v>8</v>
      </c>
      <c r="AB921" s="27"/>
      <c r="AC921" s="27"/>
      <c r="AD921" s="27"/>
      <c r="AE921" s="27"/>
      <c r="AF921" s="27"/>
      <c r="AG921" s="27"/>
      <c r="AH921" s="27"/>
      <c r="AI921" s="25">
        <v>222114</v>
      </c>
      <c r="AJ921" s="25">
        <v>153259</v>
      </c>
      <c r="AK921" s="25">
        <v>0</v>
      </c>
      <c r="AL921" s="25">
        <v>282200</v>
      </c>
      <c r="AM921" s="25">
        <v>52700</v>
      </c>
      <c r="AN921" s="25">
        <v>229500</v>
      </c>
      <c r="AO921" s="25">
        <v>0</v>
      </c>
      <c r="AP921" s="25">
        <f>Lookups!$B$56*0</f>
        <v>0</v>
      </c>
      <c r="AQ921" s="25">
        <f>Lookups!$B$56*1</f>
        <v>89850.625589999996</v>
      </c>
      <c r="AR921" s="25">
        <f>Lookups!$B$57*Inventory[[#This Row],[LnAcres]]</f>
        <v>-56090.612940989391</v>
      </c>
      <c r="AS921" s="25">
        <f>VLOOKUP(Inventory[[#This Row],[Qlty]],Lookups!$A$62:$E$75,2,FALSE)</f>
        <v>0</v>
      </c>
      <c r="AT921" s="25">
        <f>VLOOKUP(Inventory[[#This Row],[Cnd]],Lookups!$A$76:$E$84,2,FALSE)</f>
        <v>160472.20319</v>
      </c>
      <c r="AU921" s="25">
        <f>Inventory[[#This Row],[EffAge]]*Lookups!$B$85</f>
        <v>-11375.3256255</v>
      </c>
      <c r="AV921" s="25">
        <f>Inventory[[#This Row],[MainFn]]*Lookups!$B$86</f>
        <v>43034.951462867</v>
      </c>
      <c r="AW921" s="25">
        <f>Inventory[[#This Row],[UpprFn]]*Lookups!$B$87</f>
        <v>0</v>
      </c>
      <c r="AX921" s="25">
        <f>Inventory[[#This Row],[AddFn]]*Lookups!$B$88</f>
        <v>0</v>
      </c>
      <c r="AY921" s="25">
        <f>Inventory[[#This Row],[Bsmt]]*Lookups!$B$89</f>
        <v>25330.330760137</v>
      </c>
      <c r="AZ921" s="25">
        <f>Inventory[[#This Row],[Fixtures]]*Lookups!$B$90</f>
        <v>30336.176841600001</v>
      </c>
      <c r="BA921" s="25">
        <f>Inventory[[#This Row],[WdDeck]]*Lookups!$B$91</f>
        <v>0</v>
      </c>
      <c r="BB921" s="25">
        <f>ROUND(Inventory[[#This Row],[25Det]],-2)</f>
        <v>0</v>
      </c>
      <c r="BC921" s="25">
        <f>ROUND(SUM(Inventory[[#This Row],[Mdl Qlty]:[Mdl WdDeck]])+Inventory[[#This Row],[Mdl Res Intercept]],-2)</f>
        <v>247800</v>
      </c>
      <c r="BD921" s="25">
        <f>ROUND(Inventory[[#This Row],[Mdl Land Intercept]]+Inventory[[#This Row],[Mdl LnAcres]],-2)</f>
        <v>33800</v>
      </c>
      <c r="BE921" s="25">
        <f>Inventory[[#This Row],[Unadj Res Value]]+Inventory[[#This Row],[Unadj Det Value]]+Inventory[[#This Row],[Unadj Land Value]]</f>
        <v>281600</v>
      </c>
      <c r="BF921" s="36">
        <f>(Inventory[[#This Row],[Unadj Total Value]]-Inventory[[#This Row],[24Final]])/Inventory[[#This Row],[24Final]]</f>
        <v>-2.1261516654854712E-3</v>
      </c>
      <c r="BG921" s="25">
        <f>VLOOKUP(Inventory[[#This Row],[Nbhd]],Lookups!$Q$2:$T$4,4,FALSE)</f>
        <v>0.99970000000000003</v>
      </c>
      <c r="BH921" s="25">
        <f>VLOOKUP(Inventory[[#This Row],[Qlty]],Lookups!$O$7:$R$21,4,FALSE)</f>
        <v>0.99180000000000001</v>
      </c>
      <c r="BI921" s="25">
        <f>VLOOKUP(Inventory[[#This Row],[Cnd]],Lookups!$T$7:$W$16,4,FALSE)</f>
        <v>0.99729999999999996</v>
      </c>
      <c r="BJ921" s="25">
        <f>VLOOKUP(Inventory[[#This Row],[LivArea Range]],Lookups!$T$25:$W$37,4,FALSE)</f>
        <v>1.0093000000000001</v>
      </c>
      <c r="BK921" s="25">
        <f>VLOOKUP(Inventory[[#This Row],[Decade]],Lookups!$O$25:$R$42,4,FALSE)</f>
        <v>0.995</v>
      </c>
      <c r="BL921" s="25">
        <f>Inventory[[#This Row],[Nbhd Adj]]*0.95</f>
        <v>0.94971499999999998</v>
      </c>
      <c r="BM921" s="25">
        <f>Inventory[[#This Row],[Nbhd Adj]]*Inventory[[#This Row],[Quality Adj]]*Inventory[[#This Row],[Condition Adj]]*Inventory[[#This Row],[Living Area Adj]]*Inventory[[#This Row],[Decade Adj]]*0.95</f>
        <v>0.94337980360062423</v>
      </c>
      <c r="BN921" s="25">
        <f>ROUND(SUM(Inventory[[#This Row],[Mdl Qlty]:[Mdl WdDeck]])+Inventory[[#This Row],[Mdl Res Intercept]]*Inventory[[#This Row],[Res Adj ]],-2)</f>
        <v>247800</v>
      </c>
      <c r="BO921" s="25">
        <f>ROUND(Inventory[[#This Row],[25Det]]*Inventory[[#This Row],[Det/Nbhd Adj]],-2)</f>
        <v>0</v>
      </c>
      <c r="BP921" s="25">
        <f>Inventory[[#This Row],[Adjusted Res]]+Inventory[[#This Row],[Adj Det ]]</f>
        <v>247800</v>
      </c>
      <c r="BQ921" s="25">
        <f>ROUND((Inventory[[#This Row],[Mdl Land Intercept]]+Inventory[[#This Row],[Mdl LnAcres]])*Inventory[[#This Row],[Det/Nbhd Adj]],-2)</f>
        <v>32100</v>
      </c>
      <c r="BR921" s="25">
        <f>Inventory[[#This Row],[Adjusted Impr Total]]+Inventory[[#This Row],[Adjusted Land Total]]</f>
        <v>279900</v>
      </c>
      <c r="BS921" s="36">
        <f>IFERROR((Inventory[[#This Row],[Adjusted Impr Total]]-Inventory[[#This Row],[24Bldg]])/Inventory[[#This Row],[24Bldg]],0)</f>
        <v>7.9738562091503262E-2</v>
      </c>
      <c r="BT921" s="36">
        <f>(Inventory[[#This Row],[Adjusted Land Total]]-Inventory[[#This Row],[24Lnd]])/Inventory[[#This Row],[24Lnd]]</f>
        <v>-0.39089184060721061</v>
      </c>
      <c r="BU921" s="36">
        <f>(Inventory[[#This Row],[Adjusted Total]]-Inventory[[#This Row],[24Final]])/Inventory[[#This Row],[24Final]]</f>
        <v>-8.1502480510276393E-3</v>
      </c>
    </row>
    <row r="922" spans="1:73" x14ac:dyDescent="0.3">
      <c r="A922" s="25">
        <v>2025</v>
      </c>
      <c r="B922" s="26" t="s">
        <v>1261</v>
      </c>
      <c r="C922" s="26">
        <f>LN(Inventory[[#This Row],[Acres]])</f>
        <v>-1.2378743560016174</v>
      </c>
      <c r="D922" s="25">
        <v>0.28999999999999998</v>
      </c>
      <c r="E922" s="31"/>
      <c r="F922" s="26" t="s">
        <v>537</v>
      </c>
      <c r="G922" s="26" t="s">
        <v>126</v>
      </c>
      <c r="H922" s="26" t="s">
        <v>349</v>
      </c>
      <c r="I922" s="26" t="s">
        <v>538</v>
      </c>
      <c r="J922" s="26" t="s">
        <v>539</v>
      </c>
      <c r="K922" s="26" t="s">
        <v>242</v>
      </c>
      <c r="L922" s="26" t="s">
        <v>148</v>
      </c>
      <c r="M922" s="26" t="s">
        <v>323</v>
      </c>
      <c r="N922" s="26">
        <v>80</v>
      </c>
      <c r="O922" s="26">
        <f>2024-Inventory[[#This Row],[YrBlt]]</f>
        <v>74</v>
      </c>
      <c r="P922" s="26">
        <f>2024-Inventory[[#This Row],[EffYr]]</f>
        <v>51</v>
      </c>
      <c r="Q922" s="25">
        <v>1950</v>
      </c>
      <c r="R922" s="25">
        <v>1973</v>
      </c>
      <c r="S922" s="25">
        <v>2480</v>
      </c>
      <c r="T922" s="27"/>
      <c r="U922" s="25">
        <v>626</v>
      </c>
      <c r="V922" s="25">
        <f>Inventory[[#This Row],[Bsmt]]-Inventory[[#This Row],[FnBsmt]]</f>
        <v>63</v>
      </c>
      <c r="W922" s="25">
        <v>563</v>
      </c>
      <c r="X922" s="27"/>
      <c r="Y922" s="27">
        <f>Inventory[[#This Row],[MainFn]]+Inventory[[#This Row],[UpprFn]]+Inventory[[#This Row],[FnBsmt]]+Inventory[[#This Row],[AddFn]]</f>
        <v>3043</v>
      </c>
      <c r="Z922" s="27">
        <v>3500</v>
      </c>
      <c r="AA922" s="25">
        <v>12</v>
      </c>
      <c r="AB922" s="32">
        <v>420</v>
      </c>
      <c r="AC922" s="27"/>
      <c r="AD922" s="27"/>
      <c r="AE922" s="27"/>
      <c r="AF922" s="27"/>
      <c r="AG922" s="27"/>
      <c r="AH922" s="27"/>
      <c r="AI922" s="25">
        <v>633541</v>
      </c>
      <c r="AJ922" s="25">
        <v>437143</v>
      </c>
      <c r="AK922" s="25">
        <v>27435</v>
      </c>
      <c r="AL922" s="25">
        <v>457500</v>
      </c>
      <c r="AM922" s="25">
        <v>71400</v>
      </c>
      <c r="AN922" s="25">
        <v>386100</v>
      </c>
      <c r="AO922" s="25">
        <v>0</v>
      </c>
      <c r="AP922" s="25">
        <f>Lookups!$B$56*0</f>
        <v>0</v>
      </c>
      <c r="AQ922" s="25">
        <f>Lookups!$B$56*1</f>
        <v>89850.625589999996</v>
      </c>
      <c r="AR922" s="25">
        <f>Lookups!$B$57*Inventory[[#This Row],[LnAcres]]</f>
        <v>-39184.437074869042</v>
      </c>
      <c r="AS922" s="25">
        <f>VLOOKUP(Inventory[[#This Row],[Qlty]],Lookups!$A$62:$E$75,2,FALSE)</f>
        <v>44121.038090000002</v>
      </c>
      <c r="AT922" s="25">
        <f>VLOOKUP(Inventory[[#This Row],[Cnd]],Lookups!$A$76:$E$84,2,FALSE)</f>
        <v>160472.20319</v>
      </c>
      <c r="AU922" s="25">
        <f>Inventory[[#This Row],[EffAge]]*Lookups!$B$85</f>
        <v>-11375.3256255</v>
      </c>
      <c r="AV922" s="25">
        <f>Inventory[[#This Row],[MainFn]]*Lookups!$B$86</f>
        <v>122533.50129496001</v>
      </c>
      <c r="AW922" s="25">
        <f>Inventory[[#This Row],[UpprFn]]*Lookups!$B$87</f>
        <v>0</v>
      </c>
      <c r="AX922" s="25">
        <f>Inventory[[#This Row],[AddFn]]*Lookups!$B$88</f>
        <v>0</v>
      </c>
      <c r="AY922" s="25">
        <f>Inventory[[#This Row],[Bsmt]]*Lookups!$B$89</f>
        <v>18205.266424621997</v>
      </c>
      <c r="AZ922" s="25">
        <f>Inventory[[#This Row],[Fixtures]]*Lookups!$B$90</f>
        <v>45504.265262400004</v>
      </c>
      <c r="BA922" s="25">
        <f>Inventory[[#This Row],[WdDeck]]*Lookups!$B$91</f>
        <v>0</v>
      </c>
      <c r="BB922" s="25">
        <f>ROUND(Inventory[[#This Row],[25Det]],-2)</f>
        <v>27400</v>
      </c>
      <c r="BC922" s="25">
        <f>ROUND(SUM(Inventory[[#This Row],[Mdl Qlty]:[Mdl WdDeck]])+Inventory[[#This Row],[Mdl Res Intercept]],-2)</f>
        <v>379500</v>
      </c>
      <c r="BD922" s="25">
        <f>ROUND(Inventory[[#This Row],[Mdl Land Intercept]]+Inventory[[#This Row],[Mdl LnAcres]],-2)</f>
        <v>50700</v>
      </c>
      <c r="BE922" s="25">
        <f>Inventory[[#This Row],[Unadj Res Value]]+Inventory[[#This Row],[Unadj Det Value]]+Inventory[[#This Row],[Unadj Land Value]]</f>
        <v>457600</v>
      </c>
      <c r="BF922" s="36">
        <f>(Inventory[[#This Row],[Unadj Total Value]]-Inventory[[#This Row],[24Final]])/Inventory[[#This Row],[24Final]]</f>
        <v>2.185792349726776E-4</v>
      </c>
      <c r="BG922" s="25">
        <f>VLOOKUP(Inventory[[#This Row],[Nbhd]],Lookups!$Q$2:$T$4,4,FALSE)</f>
        <v>0.99970000000000003</v>
      </c>
      <c r="BH922" s="25">
        <f>VLOOKUP(Inventory[[#This Row],[Qlty]],Lookups!$O$7:$R$21,4,FALSE)</f>
        <v>0.98050000000000004</v>
      </c>
      <c r="BI922" s="25">
        <f>VLOOKUP(Inventory[[#This Row],[Cnd]],Lookups!$T$7:$W$16,4,FALSE)</f>
        <v>0.99729999999999996</v>
      </c>
      <c r="BJ922" s="25">
        <f>VLOOKUP(Inventory[[#This Row],[LivArea Range]],Lookups!$T$25:$W$37,4,FALSE)</f>
        <v>1.0126999999999999</v>
      </c>
      <c r="BK922" s="25">
        <f>VLOOKUP(Inventory[[#This Row],[Decade]],Lookups!$O$25:$R$42,4,FALSE)</f>
        <v>0.995</v>
      </c>
      <c r="BL922" s="25">
        <f>Inventory[[#This Row],[Nbhd Adj]]*0.95</f>
        <v>0.94971499999999998</v>
      </c>
      <c r="BM922" s="25">
        <f>Inventory[[#This Row],[Nbhd Adj]]*Inventory[[#This Row],[Quality Adj]]*Inventory[[#This Row],[Condition Adj]]*Inventory[[#This Row],[Living Area Adj]]*Inventory[[#This Row],[Decade Adj]]*0.95</f>
        <v>0.9357732044674365</v>
      </c>
      <c r="BN922" s="25">
        <f>ROUND(SUM(Inventory[[#This Row],[Mdl Qlty]:[Mdl WdDeck]])+Inventory[[#This Row],[Mdl Res Intercept]]*Inventory[[#This Row],[Res Adj ]],-2)</f>
        <v>379500</v>
      </c>
      <c r="BO922" s="25">
        <f>ROUND(Inventory[[#This Row],[25Det]]*Inventory[[#This Row],[Det/Nbhd Adj]],-2)</f>
        <v>26100</v>
      </c>
      <c r="BP922" s="25">
        <f>Inventory[[#This Row],[Adjusted Res]]+Inventory[[#This Row],[Adj Det ]]</f>
        <v>405600</v>
      </c>
      <c r="BQ922" s="25">
        <f>ROUND((Inventory[[#This Row],[Mdl Land Intercept]]+Inventory[[#This Row],[Mdl LnAcres]])*Inventory[[#This Row],[Det/Nbhd Adj]],-2)</f>
        <v>48100</v>
      </c>
      <c r="BR922" s="25">
        <f>Inventory[[#This Row],[Adjusted Impr Total]]+Inventory[[#This Row],[Adjusted Land Total]]</f>
        <v>453700</v>
      </c>
      <c r="BS922" s="36">
        <f>IFERROR((Inventory[[#This Row],[Adjusted Impr Total]]-Inventory[[#This Row],[24Bldg]])/Inventory[[#This Row],[24Bldg]],0)</f>
        <v>5.0505050505050504E-2</v>
      </c>
      <c r="BT922" s="36">
        <f>(Inventory[[#This Row],[Adjusted Land Total]]-Inventory[[#This Row],[24Lnd]])/Inventory[[#This Row],[24Lnd]]</f>
        <v>-0.32633053221288516</v>
      </c>
      <c r="BU922" s="36">
        <f>(Inventory[[#This Row],[Adjusted Total]]-Inventory[[#This Row],[24Final]])/Inventory[[#This Row],[24Final]]</f>
        <v>-8.3060109289617486E-3</v>
      </c>
    </row>
    <row r="923" spans="1:73" x14ac:dyDescent="0.3">
      <c r="A923" s="25">
        <v>2025</v>
      </c>
      <c r="B923" s="26" t="s">
        <v>1282</v>
      </c>
      <c r="C923" s="26">
        <f>LN(Inventory[[#This Row],[Acres]])</f>
        <v>-1.5141277326297755</v>
      </c>
      <c r="D923" s="25">
        <v>0.22</v>
      </c>
      <c r="E923" s="31"/>
      <c r="F923" s="26" t="s">
        <v>537</v>
      </c>
      <c r="G923" s="26" t="s">
        <v>126</v>
      </c>
      <c r="H923" s="26" t="s">
        <v>349</v>
      </c>
      <c r="I923" s="26" t="s">
        <v>538</v>
      </c>
      <c r="J923" s="26" t="s">
        <v>539</v>
      </c>
      <c r="K923" s="26" t="s">
        <v>242</v>
      </c>
      <c r="L923" s="26" t="s">
        <v>351</v>
      </c>
      <c r="M923" s="26" t="s">
        <v>323</v>
      </c>
      <c r="N923" s="26">
        <v>80</v>
      </c>
      <c r="O923" s="26">
        <f>2024-Inventory[[#This Row],[YrBlt]]</f>
        <v>74</v>
      </c>
      <c r="P923" s="26">
        <f>2024-Inventory[[#This Row],[EffYr]]</f>
        <v>51</v>
      </c>
      <c r="Q923" s="25">
        <v>1950</v>
      </c>
      <c r="R923" s="25">
        <v>1973</v>
      </c>
      <c r="S923" s="25">
        <v>1590</v>
      </c>
      <c r="T923" s="27"/>
      <c r="U923" s="25">
        <v>1193</v>
      </c>
      <c r="V923" s="25">
        <f>Inventory[[#This Row],[Bsmt]]-Inventory[[#This Row],[FnBsmt]]</f>
        <v>0</v>
      </c>
      <c r="W923" s="25">
        <v>1193</v>
      </c>
      <c r="X923" s="27"/>
      <c r="Y923" s="27">
        <f>Inventory[[#This Row],[MainFn]]+Inventory[[#This Row],[UpprFn]]+Inventory[[#This Row],[FnBsmt]]+Inventory[[#This Row],[AddFn]]</f>
        <v>2783</v>
      </c>
      <c r="Z923" s="27">
        <v>3000</v>
      </c>
      <c r="AA923" s="25">
        <v>7</v>
      </c>
      <c r="AB923" s="32">
        <v>286</v>
      </c>
      <c r="AC923" s="27"/>
      <c r="AD923" s="27"/>
      <c r="AE923" s="27"/>
      <c r="AF923" s="27"/>
      <c r="AG923" s="27"/>
      <c r="AH923" s="27"/>
      <c r="AI923" s="25">
        <v>365240</v>
      </c>
      <c r="AJ923" s="25">
        <v>252016</v>
      </c>
      <c r="AK923" s="25">
        <v>0</v>
      </c>
      <c r="AL923" s="25">
        <v>354600</v>
      </c>
      <c r="AM923" s="25">
        <v>61700</v>
      </c>
      <c r="AN923" s="25">
        <v>292900</v>
      </c>
      <c r="AO923" s="25">
        <v>0</v>
      </c>
      <c r="AP923" s="25">
        <f>Lookups!$B$56*0</f>
        <v>0</v>
      </c>
      <c r="AQ923" s="25">
        <f>Lookups!$B$56*1</f>
        <v>89850.625589999996</v>
      </c>
      <c r="AR923" s="25">
        <f>Lookups!$B$57*Inventory[[#This Row],[LnAcres]]</f>
        <v>-47929.131559187132</v>
      </c>
      <c r="AS923" s="25">
        <f>VLOOKUP(Inventory[[#This Row],[Qlty]],Lookups!$A$62:$E$75,2,FALSE)</f>
        <v>21557.329055999999</v>
      </c>
      <c r="AT923" s="25">
        <f>VLOOKUP(Inventory[[#This Row],[Cnd]],Lookups!$A$76:$E$84,2,FALSE)</f>
        <v>160472.20319</v>
      </c>
      <c r="AU923" s="25">
        <f>Inventory[[#This Row],[EffAge]]*Lookups!$B$85</f>
        <v>-11375.3256255</v>
      </c>
      <c r="AV923" s="25">
        <f>Inventory[[#This Row],[MainFn]]*Lookups!$B$86</f>
        <v>78559.785104430004</v>
      </c>
      <c r="AW923" s="25">
        <f>Inventory[[#This Row],[UpprFn]]*Lookups!$B$87</f>
        <v>0</v>
      </c>
      <c r="AX923" s="25">
        <f>Inventory[[#This Row],[AddFn]]*Lookups!$B$88</f>
        <v>0</v>
      </c>
      <c r="AY923" s="25">
        <f>Inventory[[#This Row],[Bsmt]]*Lookups!$B$89</f>
        <v>34694.701029671</v>
      </c>
      <c r="AZ923" s="25">
        <f>Inventory[[#This Row],[Fixtures]]*Lookups!$B$90</f>
        <v>26544.1547364</v>
      </c>
      <c r="BA923" s="25">
        <f>Inventory[[#This Row],[WdDeck]]*Lookups!$B$91</f>
        <v>0</v>
      </c>
      <c r="BB923" s="25">
        <f>ROUND(Inventory[[#This Row],[25Det]],-2)</f>
        <v>0</v>
      </c>
      <c r="BC923" s="25">
        <f>ROUND(SUM(Inventory[[#This Row],[Mdl Qlty]:[Mdl WdDeck]])+Inventory[[#This Row],[Mdl Res Intercept]],-2)</f>
        <v>310500</v>
      </c>
      <c r="BD923" s="25">
        <f>ROUND(Inventory[[#This Row],[Mdl Land Intercept]]+Inventory[[#This Row],[Mdl LnAcres]],-2)</f>
        <v>41900</v>
      </c>
      <c r="BE923" s="25">
        <f>Inventory[[#This Row],[Unadj Res Value]]+Inventory[[#This Row],[Unadj Det Value]]+Inventory[[#This Row],[Unadj Land Value]]</f>
        <v>352400</v>
      </c>
      <c r="BF923" s="36">
        <f>(Inventory[[#This Row],[Unadj Total Value]]-Inventory[[#This Row],[24Final]])/Inventory[[#This Row],[24Final]]</f>
        <v>-6.2041737168640719E-3</v>
      </c>
      <c r="BG923" s="25">
        <f>VLOOKUP(Inventory[[#This Row],[Nbhd]],Lookups!$Q$2:$T$4,4,FALSE)</f>
        <v>0.99970000000000003</v>
      </c>
      <c r="BH923" s="25">
        <f>VLOOKUP(Inventory[[#This Row],[Qlty]],Lookups!$O$7:$R$21,4,FALSE)</f>
        <v>1.0067999999999999</v>
      </c>
      <c r="BI923" s="25">
        <f>VLOOKUP(Inventory[[#This Row],[Cnd]],Lookups!$T$7:$W$16,4,FALSE)</f>
        <v>0.99729999999999996</v>
      </c>
      <c r="BJ923" s="25">
        <f>VLOOKUP(Inventory[[#This Row],[LivArea Range]],Lookups!$T$25:$W$37,4,FALSE)</f>
        <v>0.96179999999999999</v>
      </c>
      <c r="BK923" s="25">
        <f>VLOOKUP(Inventory[[#This Row],[Decade]],Lookups!$O$25:$R$42,4,FALSE)</f>
        <v>0.995</v>
      </c>
      <c r="BL923" s="25">
        <f>Inventory[[#This Row],[Nbhd Adj]]*0.95</f>
        <v>0.94971499999999998</v>
      </c>
      <c r="BM923" s="25">
        <f>Inventory[[#This Row],[Nbhd Adj]]*Inventory[[#This Row],[Quality Adj]]*Inventory[[#This Row],[Condition Adj]]*Inventory[[#This Row],[Living Area Adj]]*Inventory[[#This Row],[Decade Adj]]*0.95</f>
        <v>0.91257838243654554</v>
      </c>
      <c r="BN923" s="25">
        <f>ROUND(SUM(Inventory[[#This Row],[Mdl Qlty]:[Mdl WdDeck]])+Inventory[[#This Row],[Mdl Res Intercept]]*Inventory[[#This Row],[Res Adj ]],-2)</f>
        <v>310500</v>
      </c>
      <c r="BO923" s="25">
        <f>ROUND(Inventory[[#This Row],[25Det]]*Inventory[[#This Row],[Det/Nbhd Adj]],-2)</f>
        <v>0</v>
      </c>
      <c r="BP923" s="25">
        <f>Inventory[[#This Row],[Adjusted Res]]+Inventory[[#This Row],[Adj Det ]]</f>
        <v>310500</v>
      </c>
      <c r="BQ923" s="25">
        <f>ROUND((Inventory[[#This Row],[Mdl Land Intercept]]+Inventory[[#This Row],[Mdl LnAcres]])*Inventory[[#This Row],[Det/Nbhd Adj]],-2)</f>
        <v>39800</v>
      </c>
      <c r="BR923" s="25">
        <f>Inventory[[#This Row],[Adjusted Impr Total]]+Inventory[[#This Row],[Adjusted Land Total]]</f>
        <v>350300</v>
      </c>
      <c r="BS923" s="36">
        <f>IFERROR((Inventory[[#This Row],[Adjusted Impr Total]]-Inventory[[#This Row],[24Bldg]])/Inventory[[#This Row],[24Bldg]],0)</f>
        <v>6.0088767497439396E-2</v>
      </c>
      <c r="BT923" s="36">
        <f>(Inventory[[#This Row],[Adjusted Land Total]]-Inventory[[#This Row],[24Lnd]])/Inventory[[#This Row],[24Lnd]]</f>
        <v>-0.35494327390599678</v>
      </c>
      <c r="BU923" s="36">
        <f>(Inventory[[#This Row],[Adjusted Total]]-Inventory[[#This Row],[24Final]])/Inventory[[#This Row],[24Final]]</f>
        <v>-1.2126339537507051E-2</v>
      </c>
    </row>
    <row r="924" spans="1:73" x14ac:dyDescent="0.3">
      <c r="A924" s="25">
        <v>2025</v>
      </c>
      <c r="B924" s="26" t="s">
        <v>1398</v>
      </c>
      <c r="C924" s="26">
        <f>LN(Inventory[[#This Row],[Acres]])</f>
        <v>-0.69314718055994529</v>
      </c>
      <c r="D924" s="25">
        <v>0.5</v>
      </c>
      <c r="E924" s="32">
        <v>21701</v>
      </c>
      <c r="F924" s="26" t="s">
        <v>537</v>
      </c>
      <c r="G924" s="26" t="s">
        <v>126</v>
      </c>
      <c r="H924" s="26" t="s">
        <v>349</v>
      </c>
      <c r="I924" s="26" t="s">
        <v>538</v>
      </c>
      <c r="J924" s="26" t="s">
        <v>539</v>
      </c>
      <c r="K924" s="26" t="s">
        <v>241</v>
      </c>
      <c r="L924" s="26" t="s">
        <v>148</v>
      </c>
      <c r="M924" s="26" t="s">
        <v>323</v>
      </c>
      <c r="N924" s="26">
        <v>80</v>
      </c>
      <c r="O924" s="26">
        <f>2024-Inventory[[#This Row],[YrBlt]]</f>
        <v>74</v>
      </c>
      <c r="P924" s="26">
        <f>2024-Inventory[[#This Row],[EffYr]]</f>
        <v>51</v>
      </c>
      <c r="Q924" s="25">
        <v>1950</v>
      </c>
      <c r="R924" s="25">
        <v>1973</v>
      </c>
      <c r="S924" s="25">
        <v>1408</v>
      </c>
      <c r="T924" s="31"/>
      <c r="U924" s="25">
        <v>1408</v>
      </c>
      <c r="V924" s="32">
        <f>Inventory[[#This Row],[Bsmt]]-Inventory[[#This Row],[FnBsmt]]</f>
        <v>0</v>
      </c>
      <c r="W924" s="32">
        <v>1408</v>
      </c>
      <c r="X924" s="27"/>
      <c r="Y924" s="27">
        <f>Inventory[[#This Row],[MainFn]]+Inventory[[#This Row],[UpprFn]]+Inventory[[#This Row],[FnBsmt]]+Inventory[[#This Row],[AddFn]]</f>
        <v>2816</v>
      </c>
      <c r="Z924" s="27">
        <v>3000</v>
      </c>
      <c r="AA924" s="25">
        <v>8</v>
      </c>
      <c r="AB924" s="27"/>
      <c r="AC924" s="27"/>
      <c r="AD924" s="27"/>
      <c r="AE924" s="27"/>
      <c r="AF924" s="27"/>
      <c r="AG924" s="27"/>
      <c r="AH924" s="27"/>
      <c r="AI924" s="25">
        <v>491542</v>
      </c>
      <c r="AJ924" s="25">
        <v>339164</v>
      </c>
      <c r="AK924" s="25">
        <v>0</v>
      </c>
      <c r="AL924" s="25">
        <v>404300</v>
      </c>
      <c r="AM924" s="25">
        <v>90400</v>
      </c>
      <c r="AN924" s="25">
        <v>313900</v>
      </c>
      <c r="AO924" s="25">
        <v>0</v>
      </c>
      <c r="AP924" s="25">
        <f>Lookups!$B$56*0</f>
        <v>0</v>
      </c>
      <c r="AQ924" s="25">
        <f>Lookups!$B$56*1</f>
        <v>89850.625589999996</v>
      </c>
      <c r="AR924" s="25">
        <f>Lookups!$B$57*Inventory[[#This Row],[LnAcres]]</f>
        <v>-21941.307652582615</v>
      </c>
      <c r="AS924" s="25">
        <f>VLOOKUP(Inventory[[#This Row],[Qlty]],Lookups!$A$62:$E$75,2,FALSE)</f>
        <v>44121.038090000002</v>
      </c>
      <c r="AT924" s="25">
        <f>VLOOKUP(Inventory[[#This Row],[Cnd]],Lookups!$A$76:$E$84,2,FALSE)</f>
        <v>160472.20319</v>
      </c>
      <c r="AU924" s="25">
        <f>Inventory[[#This Row],[EffAge]]*Lookups!$B$85</f>
        <v>-11375.3256255</v>
      </c>
      <c r="AV924" s="25">
        <f>Inventory[[#This Row],[MainFn]]*Lookups!$B$86</f>
        <v>69567.407186815995</v>
      </c>
      <c r="AW924" s="25">
        <f>Inventory[[#This Row],[UpprFn]]*Lookups!$B$87</f>
        <v>0</v>
      </c>
      <c r="AX924" s="25">
        <f>Inventory[[#This Row],[AddFn]]*Lookups!$B$88</f>
        <v>0</v>
      </c>
      <c r="AY924" s="25">
        <f>Inventory[[#This Row],[Bsmt]]*Lookups!$B$89</f>
        <v>40947.308507775997</v>
      </c>
      <c r="AZ924" s="25">
        <f>Inventory[[#This Row],[Fixtures]]*Lookups!$B$90</f>
        <v>30336.176841600001</v>
      </c>
      <c r="BA924" s="25">
        <f>Inventory[[#This Row],[WdDeck]]*Lookups!$B$91</f>
        <v>0</v>
      </c>
      <c r="BB924" s="25">
        <f>ROUND(Inventory[[#This Row],[25Det]],-2)</f>
        <v>0</v>
      </c>
      <c r="BC924" s="25">
        <f>ROUND(SUM(Inventory[[#This Row],[Mdl Qlty]:[Mdl WdDeck]])+Inventory[[#This Row],[Mdl Res Intercept]],-2)</f>
        <v>334100</v>
      </c>
      <c r="BD924" s="25">
        <f>ROUND(Inventory[[#This Row],[Mdl Land Intercept]]+Inventory[[#This Row],[Mdl LnAcres]],-2)</f>
        <v>67900</v>
      </c>
      <c r="BE924" s="25">
        <f>Inventory[[#This Row],[Unadj Res Value]]+Inventory[[#This Row],[Unadj Det Value]]+Inventory[[#This Row],[Unadj Land Value]]</f>
        <v>402000</v>
      </c>
      <c r="BF924" s="36">
        <f>(Inventory[[#This Row],[Unadj Total Value]]-Inventory[[#This Row],[24Final]])/Inventory[[#This Row],[24Final]]</f>
        <v>-5.6888449171407368E-3</v>
      </c>
      <c r="BG924" s="25">
        <f>VLOOKUP(Inventory[[#This Row],[Nbhd]],Lookups!$Q$2:$T$4,4,FALSE)</f>
        <v>0.99970000000000003</v>
      </c>
      <c r="BH924" s="25">
        <f>VLOOKUP(Inventory[[#This Row],[Qlty]],Lookups!$O$7:$R$21,4,FALSE)</f>
        <v>0.98050000000000004</v>
      </c>
      <c r="BI924" s="25">
        <f>VLOOKUP(Inventory[[#This Row],[Cnd]],Lookups!$T$7:$W$16,4,FALSE)</f>
        <v>0.99729999999999996</v>
      </c>
      <c r="BJ924" s="25">
        <f>VLOOKUP(Inventory[[#This Row],[LivArea Range]],Lookups!$T$25:$W$37,4,FALSE)</f>
        <v>0.96179999999999999</v>
      </c>
      <c r="BK924" s="25">
        <f>VLOOKUP(Inventory[[#This Row],[Decade]],Lookups!$O$25:$R$42,4,FALSE)</f>
        <v>0.995</v>
      </c>
      <c r="BL924" s="25">
        <f>Inventory[[#This Row],[Nbhd Adj]]*0.95</f>
        <v>0.94971499999999998</v>
      </c>
      <c r="BM924" s="25">
        <f>Inventory[[#This Row],[Nbhd Adj]]*Inventory[[#This Row],[Quality Adj]]*Inventory[[#This Row],[Condition Adj]]*Inventory[[#This Row],[Living Area Adj]]*Inventory[[#This Row],[Decade Adj]]*0.95</f>
        <v>0.88873967419451028</v>
      </c>
      <c r="BN924" s="25">
        <f>ROUND(SUM(Inventory[[#This Row],[Mdl Qlty]:[Mdl WdDeck]])+Inventory[[#This Row],[Mdl Res Intercept]]*Inventory[[#This Row],[Res Adj ]],-2)</f>
        <v>334100</v>
      </c>
      <c r="BO924" s="25">
        <f>ROUND(Inventory[[#This Row],[25Det]]*Inventory[[#This Row],[Det/Nbhd Adj]],-2)</f>
        <v>0</v>
      </c>
      <c r="BP924" s="25">
        <f>Inventory[[#This Row],[Adjusted Res]]+Inventory[[#This Row],[Adj Det ]]</f>
        <v>334100</v>
      </c>
      <c r="BQ924" s="25">
        <f>ROUND((Inventory[[#This Row],[Mdl Land Intercept]]+Inventory[[#This Row],[Mdl LnAcres]])*Inventory[[#This Row],[Det/Nbhd Adj]],-2)</f>
        <v>64500</v>
      </c>
      <c r="BR924" s="25">
        <f>Inventory[[#This Row],[Adjusted Impr Total]]+Inventory[[#This Row],[Adjusted Land Total]]</f>
        <v>398600</v>
      </c>
      <c r="BS924" s="36">
        <f>IFERROR((Inventory[[#This Row],[Adjusted Impr Total]]-Inventory[[#This Row],[24Bldg]])/Inventory[[#This Row],[24Bldg]],0)</f>
        <v>6.4351704364447274E-2</v>
      </c>
      <c r="BT924" s="36">
        <f>(Inventory[[#This Row],[Adjusted Land Total]]-Inventory[[#This Row],[24Lnd]])/Inventory[[#This Row],[24Lnd]]</f>
        <v>-0.28650442477876104</v>
      </c>
      <c r="BU924" s="36">
        <f>(Inventory[[#This Row],[Adjusted Total]]-Inventory[[#This Row],[24Final]])/Inventory[[#This Row],[24Final]]</f>
        <v>-1.409844175117487E-2</v>
      </c>
    </row>
    <row r="925" spans="1:73" x14ac:dyDescent="0.3">
      <c r="A925" s="25">
        <v>2025</v>
      </c>
      <c r="B925" s="26" t="s">
        <v>2695</v>
      </c>
      <c r="C925" s="26">
        <f>LN(Inventory[[#This Row],[Acres]])</f>
        <v>-1.5141277326297755</v>
      </c>
      <c r="D925" s="25">
        <v>0.22</v>
      </c>
      <c r="E925" s="32">
        <v>9488</v>
      </c>
      <c r="F925" s="26" t="s">
        <v>537</v>
      </c>
      <c r="G925" s="26" t="s">
        <v>126</v>
      </c>
      <c r="H925" s="26" t="s">
        <v>349</v>
      </c>
      <c r="I925" s="26" t="s">
        <v>538</v>
      </c>
      <c r="J925" s="26" t="s">
        <v>539</v>
      </c>
      <c r="K925" s="26" t="s">
        <v>241</v>
      </c>
      <c r="L925" s="26" t="s">
        <v>302</v>
      </c>
      <c r="M925" s="26" t="s">
        <v>323</v>
      </c>
      <c r="N925" s="26">
        <v>80</v>
      </c>
      <c r="O925" s="26">
        <f>2024-Inventory[[#This Row],[YrBlt]]</f>
        <v>74</v>
      </c>
      <c r="P925" s="26">
        <f>2024-Inventory[[#This Row],[EffYr]]</f>
        <v>51</v>
      </c>
      <c r="Q925" s="25">
        <v>1950</v>
      </c>
      <c r="R925" s="25">
        <v>1973</v>
      </c>
      <c r="S925" s="25">
        <v>1632</v>
      </c>
      <c r="T925" s="31"/>
      <c r="U925" s="25">
        <v>1632</v>
      </c>
      <c r="V925" s="25">
        <f>Inventory[[#This Row],[Bsmt]]-Inventory[[#This Row],[FnBsmt]]</f>
        <v>0</v>
      </c>
      <c r="W925" s="25">
        <v>1632</v>
      </c>
      <c r="X925" s="27"/>
      <c r="Y925" s="27">
        <f>Inventory[[#This Row],[MainFn]]+Inventory[[#This Row],[UpprFn]]+Inventory[[#This Row],[FnBsmt]]+Inventory[[#This Row],[AddFn]]</f>
        <v>3264</v>
      </c>
      <c r="Z925" s="27">
        <v>3500</v>
      </c>
      <c r="AA925" s="25">
        <v>9</v>
      </c>
      <c r="AB925" s="27"/>
      <c r="AC925" s="27"/>
      <c r="AD925" s="27"/>
      <c r="AE925" s="27"/>
      <c r="AF925" s="27"/>
      <c r="AG925" s="27"/>
      <c r="AH925" s="27"/>
      <c r="AI925" s="25">
        <v>468952</v>
      </c>
      <c r="AJ925" s="25">
        <v>323577</v>
      </c>
      <c r="AK925" s="25">
        <v>11027</v>
      </c>
      <c r="AL925" s="25">
        <v>397500</v>
      </c>
      <c r="AM925" s="25">
        <v>61700</v>
      </c>
      <c r="AN925" s="25">
        <v>335800</v>
      </c>
      <c r="AO925" s="25">
        <v>0</v>
      </c>
      <c r="AP925" s="25">
        <f>Lookups!$B$56*0</f>
        <v>0</v>
      </c>
      <c r="AQ925" s="25">
        <f>Lookups!$B$56*1</f>
        <v>89850.625589999996</v>
      </c>
      <c r="AR925" s="25">
        <f>Lookups!$B$57*Inventory[[#This Row],[LnAcres]]</f>
        <v>-47929.131559187132</v>
      </c>
      <c r="AS925" s="25">
        <f>VLOOKUP(Inventory[[#This Row],[Qlty]],Lookups!$A$62:$E$75,2,FALSE)</f>
        <v>29814.093161000001</v>
      </c>
      <c r="AT925" s="25">
        <f>VLOOKUP(Inventory[[#This Row],[Cnd]],Lookups!$A$76:$E$84,2,FALSE)</f>
        <v>160472.20319</v>
      </c>
      <c r="AU925" s="25">
        <f>Inventory[[#This Row],[EffAge]]*Lookups!$B$85</f>
        <v>-11375.3256255</v>
      </c>
      <c r="AV925" s="25">
        <f>Inventory[[#This Row],[MainFn]]*Lookups!$B$86</f>
        <v>80634.949239263995</v>
      </c>
      <c r="AW925" s="25">
        <f>Inventory[[#This Row],[UpprFn]]*Lookups!$B$87</f>
        <v>0</v>
      </c>
      <c r="AX925" s="25">
        <f>Inventory[[#This Row],[AddFn]]*Lookups!$B$88</f>
        <v>0</v>
      </c>
      <c r="AY925" s="25">
        <f>Inventory[[#This Row],[Bsmt]]*Lookups!$B$89</f>
        <v>47461.653043104001</v>
      </c>
      <c r="AZ925" s="25">
        <f>Inventory[[#This Row],[Fixtures]]*Lookups!$B$90</f>
        <v>34128.198946800003</v>
      </c>
      <c r="BA925" s="25">
        <f>Inventory[[#This Row],[WdDeck]]*Lookups!$B$91</f>
        <v>0</v>
      </c>
      <c r="BB925" s="25">
        <f>ROUND(Inventory[[#This Row],[25Det]],-2)</f>
        <v>11000</v>
      </c>
      <c r="BC925" s="25">
        <f>ROUND(SUM(Inventory[[#This Row],[Mdl Qlty]:[Mdl WdDeck]])+Inventory[[#This Row],[Mdl Res Intercept]],-2)</f>
        <v>341100</v>
      </c>
      <c r="BD925" s="25">
        <f>ROUND(Inventory[[#This Row],[Mdl Land Intercept]]+Inventory[[#This Row],[Mdl LnAcres]],-2)</f>
        <v>41900</v>
      </c>
      <c r="BE925" s="25">
        <f>Inventory[[#This Row],[Unadj Res Value]]+Inventory[[#This Row],[Unadj Det Value]]+Inventory[[#This Row],[Unadj Land Value]]</f>
        <v>394000</v>
      </c>
      <c r="BF925" s="36">
        <f>(Inventory[[#This Row],[Unadj Total Value]]-Inventory[[#This Row],[24Final]])/Inventory[[#This Row],[24Final]]</f>
        <v>-8.8050314465408803E-3</v>
      </c>
      <c r="BG925" s="25">
        <f>VLOOKUP(Inventory[[#This Row],[Nbhd]],Lookups!$Q$2:$T$4,4,FALSE)</f>
        <v>0.99970000000000003</v>
      </c>
      <c r="BH925" s="25">
        <f>VLOOKUP(Inventory[[#This Row],[Qlty]],Lookups!$O$7:$R$21,4,FALSE)</f>
        <v>1.0088999999999999</v>
      </c>
      <c r="BI925" s="25">
        <f>VLOOKUP(Inventory[[#This Row],[Cnd]],Lookups!$T$7:$W$16,4,FALSE)</f>
        <v>0.99729999999999996</v>
      </c>
      <c r="BJ925" s="25">
        <f>VLOOKUP(Inventory[[#This Row],[LivArea Range]],Lookups!$T$25:$W$37,4,FALSE)</f>
        <v>1.0126999999999999</v>
      </c>
      <c r="BK925" s="25">
        <f>VLOOKUP(Inventory[[#This Row],[Decade]],Lookups!$O$25:$R$42,4,FALSE)</f>
        <v>0.995</v>
      </c>
      <c r="BL925" s="25">
        <f>Inventory[[#This Row],[Nbhd Adj]]*0.95</f>
        <v>0.94971499999999998</v>
      </c>
      <c r="BM925" s="25">
        <f>Inventory[[#This Row],[Nbhd Adj]]*Inventory[[#This Row],[Quality Adj]]*Inventory[[#This Row],[Condition Adj]]*Inventory[[#This Row],[Living Area Adj]]*Inventory[[#This Row],[Decade Adj]]*0.95</f>
        <v>0.96287770115981319</v>
      </c>
      <c r="BN925" s="25">
        <f>ROUND(SUM(Inventory[[#This Row],[Mdl Qlty]:[Mdl WdDeck]])+Inventory[[#This Row],[Mdl Res Intercept]]*Inventory[[#This Row],[Res Adj ]],-2)</f>
        <v>341100</v>
      </c>
      <c r="BO925" s="25">
        <f>ROUND(Inventory[[#This Row],[25Det]]*Inventory[[#This Row],[Det/Nbhd Adj]],-2)</f>
        <v>10500</v>
      </c>
      <c r="BP925" s="25">
        <f>Inventory[[#This Row],[Adjusted Res]]+Inventory[[#This Row],[Adj Det ]]</f>
        <v>351600</v>
      </c>
      <c r="BQ925" s="25">
        <f>ROUND((Inventory[[#This Row],[Mdl Land Intercept]]+Inventory[[#This Row],[Mdl LnAcres]])*Inventory[[#This Row],[Det/Nbhd Adj]],-2)</f>
        <v>39800</v>
      </c>
      <c r="BR925" s="25">
        <f>Inventory[[#This Row],[Adjusted Impr Total]]+Inventory[[#This Row],[Adjusted Land Total]]</f>
        <v>391400</v>
      </c>
      <c r="BS925" s="36">
        <f>IFERROR((Inventory[[#This Row],[Adjusted Impr Total]]-Inventory[[#This Row],[24Bldg]])/Inventory[[#This Row],[24Bldg]],0)</f>
        <v>4.7051816557474688E-2</v>
      </c>
      <c r="BT925" s="36">
        <f>(Inventory[[#This Row],[Adjusted Land Total]]-Inventory[[#This Row],[24Lnd]])/Inventory[[#This Row],[24Lnd]]</f>
        <v>-0.35494327390599678</v>
      </c>
      <c r="BU925" s="36">
        <f>(Inventory[[#This Row],[Adjusted Total]]-Inventory[[#This Row],[24Final]])/Inventory[[#This Row],[24Final]]</f>
        <v>-1.5345911949685535E-2</v>
      </c>
    </row>
    <row r="926" spans="1:73" x14ac:dyDescent="0.3">
      <c r="A926" s="25">
        <v>2025</v>
      </c>
      <c r="B926" s="26" t="s">
        <v>2697</v>
      </c>
      <c r="C926" s="26">
        <f>LN(Inventory[[#This Row],[Acres]])</f>
        <v>-1.5141277326297755</v>
      </c>
      <c r="D926" s="25">
        <v>0.22</v>
      </c>
      <c r="E926" s="27"/>
      <c r="F926" s="26" t="s">
        <v>537</v>
      </c>
      <c r="G926" s="26" t="s">
        <v>126</v>
      </c>
      <c r="H926" s="26" t="s">
        <v>349</v>
      </c>
      <c r="I926" s="26" t="s">
        <v>538</v>
      </c>
      <c r="J926" s="26" t="s">
        <v>539</v>
      </c>
      <c r="K926" s="26" t="s">
        <v>241</v>
      </c>
      <c r="L926" s="26" t="s">
        <v>95</v>
      </c>
      <c r="M926" s="26" t="s">
        <v>323</v>
      </c>
      <c r="N926" s="26">
        <v>80</v>
      </c>
      <c r="O926" s="26">
        <f>2024-Inventory[[#This Row],[YrBlt]]</f>
        <v>74</v>
      </c>
      <c r="P926" s="26">
        <f>2024-Inventory[[#This Row],[EffYr]]</f>
        <v>51</v>
      </c>
      <c r="Q926" s="25">
        <v>1950</v>
      </c>
      <c r="R926" s="25">
        <v>1973</v>
      </c>
      <c r="S926" s="25">
        <v>1962</v>
      </c>
      <c r="T926" s="31"/>
      <c r="U926" s="32">
        <v>1962</v>
      </c>
      <c r="V926" s="32">
        <f>Inventory[[#This Row],[Bsmt]]-Inventory[[#This Row],[FnBsmt]]</f>
        <v>1322</v>
      </c>
      <c r="W926" s="32">
        <v>640</v>
      </c>
      <c r="X926" s="27"/>
      <c r="Y926" s="27">
        <f>Inventory[[#This Row],[MainFn]]+Inventory[[#This Row],[UpprFn]]+Inventory[[#This Row],[FnBsmt]]+Inventory[[#This Row],[AddFn]]</f>
        <v>2602</v>
      </c>
      <c r="Z926" s="27">
        <v>3000</v>
      </c>
      <c r="AA926" s="25">
        <v>11</v>
      </c>
      <c r="AB926" s="27"/>
      <c r="AC926" s="27"/>
      <c r="AD926" s="27"/>
      <c r="AE926" s="27"/>
      <c r="AF926" s="27"/>
      <c r="AG926" s="27"/>
      <c r="AH926" s="27"/>
      <c r="AI926" s="25">
        <v>627042</v>
      </c>
      <c r="AJ926" s="25">
        <v>438929</v>
      </c>
      <c r="AK926" s="25">
        <v>13168</v>
      </c>
      <c r="AL926" s="25">
        <v>478900</v>
      </c>
      <c r="AM926" s="25">
        <v>61700</v>
      </c>
      <c r="AN926" s="25">
        <v>417200</v>
      </c>
      <c r="AO926" s="25">
        <v>0</v>
      </c>
      <c r="AP926" s="25">
        <f>Lookups!$B$56*0</f>
        <v>0</v>
      </c>
      <c r="AQ926" s="25">
        <f>Lookups!$B$56*1</f>
        <v>89850.625589999996</v>
      </c>
      <c r="AR926" s="25">
        <f>Lookups!$B$57*Inventory[[#This Row],[LnAcres]]</f>
        <v>-47929.131559187132</v>
      </c>
      <c r="AS926" s="25">
        <f>VLOOKUP(Inventory[[#This Row],[Qlty]],Lookups!$A$62:$E$75,2,FALSE)</f>
        <v>74268.409664999999</v>
      </c>
      <c r="AT926" s="25">
        <f>VLOOKUP(Inventory[[#This Row],[Cnd]],Lookups!$A$76:$E$84,2,FALSE)</f>
        <v>160472.20319</v>
      </c>
      <c r="AU926" s="25">
        <f>Inventory[[#This Row],[EffAge]]*Lookups!$B$85</f>
        <v>-11375.3256255</v>
      </c>
      <c r="AV926" s="25">
        <f>Inventory[[#This Row],[MainFn]]*Lookups!$B$86</f>
        <v>96939.810298673998</v>
      </c>
      <c r="AW926" s="25">
        <f>Inventory[[#This Row],[UpprFn]]*Lookups!$B$87</f>
        <v>0</v>
      </c>
      <c r="AX926" s="25">
        <f>Inventory[[#This Row],[AddFn]]*Lookups!$B$88</f>
        <v>0</v>
      </c>
      <c r="AY926" s="25">
        <f>Inventory[[#This Row],[Bsmt]]*Lookups!$B$89</f>
        <v>57058.678474613997</v>
      </c>
      <c r="AZ926" s="25">
        <f>Inventory[[#This Row],[Fixtures]]*Lookups!$B$90</f>
        <v>41712.243157199999</v>
      </c>
      <c r="BA926" s="25">
        <f>Inventory[[#This Row],[WdDeck]]*Lookups!$B$91</f>
        <v>0</v>
      </c>
      <c r="BB926" s="25">
        <f>ROUND(Inventory[[#This Row],[25Det]],-2)</f>
        <v>13200</v>
      </c>
      <c r="BC926" s="25">
        <f>ROUND(SUM(Inventory[[#This Row],[Mdl Qlty]:[Mdl WdDeck]])+Inventory[[#This Row],[Mdl Res Intercept]],-2)</f>
        <v>419100</v>
      </c>
      <c r="BD926" s="25">
        <f>ROUND(Inventory[[#This Row],[Mdl Land Intercept]]+Inventory[[#This Row],[Mdl LnAcres]],-2)</f>
        <v>41900</v>
      </c>
      <c r="BE926" s="25">
        <f>Inventory[[#This Row],[Unadj Res Value]]+Inventory[[#This Row],[Unadj Det Value]]+Inventory[[#This Row],[Unadj Land Value]]</f>
        <v>474200</v>
      </c>
      <c r="BF926" s="36">
        <f>(Inventory[[#This Row],[Unadj Total Value]]-Inventory[[#This Row],[24Final]])/Inventory[[#This Row],[24Final]]</f>
        <v>-9.8141574441428271E-3</v>
      </c>
      <c r="BG926" s="25">
        <f>VLOOKUP(Inventory[[#This Row],[Nbhd]],Lookups!$Q$2:$T$4,4,FALSE)</f>
        <v>0.99970000000000003</v>
      </c>
      <c r="BH926" s="25">
        <f>VLOOKUP(Inventory[[#This Row],[Qlty]],Lookups!$O$7:$R$21,4,FALSE)</f>
        <v>0.98380000000000001</v>
      </c>
      <c r="BI926" s="25">
        <f>VLOOKUP(Inventory[[#This Row],[Cnd]],Lookups!$T$7:$W$16,4,FALSE)</f>
        <v>0.99729999999999996</v>
      </c>
      <c r="BJ926" s="25">
        <f>VLOOKUP(Inventory[[#This Row],[LivArea Range]],Lookups!$T$25:$W$37,4,FALSE)</f>
        <v>0.96179999999999999</v>
      </c>
      <c r="BK926" s="25">
        <f>VLOOKUP(Inventory[[#This Row],[Decade]],Lookups!$O$25:$R$42,4,FALSE)</f>
        <v>0.995</v>
      </c>
      <c r="BL926" s="25">
        <f>Inventory[[#This Row],[Nbhd Adj]]*0.95</f>
        <v>0.94971499999999998</v>
      </c>
      <c r="BM926" s="25">
        <f>Inventory[[#This Row],[Nbhd Adj]]*Inventory[[#This Row],[Quality Adj]]*Inventory[[#This Row],[Condition Adj]]*Inventory[[#This Row],[Living Area Adj]]*Inventory[[#This Row],[Decade Adj]]*0.95</f>
        <v>0.89173084290929039</v>
      </c>
      <c r="BN926" s="25">
        <f>ROUND(SUM(Inventory[[#This Row],[Mdl Qlty]:[Mdl WdDeck]])+Inventory[[#This Row],[Mdl Res Intercept]]*Inventory[[#This Row],[Res Adj ]],-2)</f>
        <v>419100</v>
      </c>
      <c r="BO926" s="25">
        <f>ROUND(Inventory[[#This Row],[25Det]]*Inventory[[#This Row],[Det/Nbhd Adj]],-2)</f>
        <v>12500</v>
      </c>
      <c r="BP926" s="25">
        <f>Inventory[[#This Row],[Adjusted Res]]+Inventory[[#This Row],[Adj Det ]]</f>
        <v>431600</v>
      </c>
      <c r="BQ926" s="25">
        <f>ROUND((Inventory[[#This Row],[Mdl Land Intercept]]+Inventory[[#This Row],[Mdl LnAcres]])*Inventory[[#This Row],[Det/Nbhd Adj]],-2)</f>
        <v>39800</v>
      </c>
      <c r="BR926" s="25">
        <f>Inventory[[#This Row],[Adjusted Impr Total]]+Inventory[[#This Row],[Adjusted Land Total]]</f>
        <v>471400</v>
      </c>
      <c r="BS926" s="36">
        <f>IFERROR((Inventory[[#This Row],[Adjusted Impr Total]]-Inventory[[#This Row],[24Bldg]])/Inventory[[#This Row],[24Bldg]],0)</f>
        <v>3.451581975071908E-2</v>
      </c>
      <c r="BT926" s="36">
        <f>(Inventory[[#This Row],[Adjusted Land Total]]-Inventory[[#This Row],[24Lnd]])/Inventory[[#This Row],[24Lnd]]</f>
        <v>-0.35494327390599678</v>
      </c>
      <c r="BU926" s="36">
        <f>(Inventory[[#This Row],[Adjusted Total]]-Inventory[[#This Row],[24Final]])/Inventory[[#This Row],[24Final]]</f>
        <v>-1.5660889538525787E-2</v>
      </c>
    </row>
    <row r="927" spans="1:73" x14ac:dyDescent="0.3">
      <c r="A927" s="25">
        <v>2025</v>
      </c>
      <c r="B927" s="26" t="s">
        <v>1257</v>
      </c>
      <c r="C927" s="26">
        <f>LN(Inventory[[#This Row],[Acres]])</f>
        <v>-1.4696759700589417</v>
      </c>
      <c r="D927" s="25">
        <v>0.23</v>
      </c>
      <c r="E927" s="25">
        <v>10055</v>
      </c>
      <c r="F927" s="26" t="s">
        <v>537</v>
      </c>
      <c r="G927" s="26" t="s">
        <v>126</v>
      </c>
      <c r="H927" s="26" t="s">
        <v>349</v>
      </c>
      <c r="I927" s="26" t="s">
        <v>538</v>
      </c>
      <c r="J927" s="26" t="s">
        <v>539</v>
      </c>
      <c r="K927" s="26" t="s">
        <v>241</v>
      </c>
      <c r="L927" s="26" t="s">
        <v>64</v>
      </c>
      <c r="M927" s="26" t="s">
        <v>303</v>
      </c>
      <c r="N927" s="26">
        <v>80</v>
      </c>
      <c r="O927" s="26">
        <f>2024-Inventory[[#This Row],[YrBlt]]</f>
        <v>74</v>
      </c>
      <c r="P927" s="26">
        <f>2024-Inventory[[#This Row],[EffYr]]</f>
        <v>51</v>
      </c>
      <c r="Q927" s="25">
        <v>1950</v>
      </c>
      <c r="R927" s="25">
        <v>1973</v>
      </c>
      <c r="S927" s="25">
        <v>2601</v>
      </c>
      <c r="T927" s="31"/>
      <c r="U927" s="31"/>
      <c r="V927" s="27">
        <f>Inventory[[#This Row],[Bsmt]]-Inventory[[#This Row],[FnBsmt]]</f>
        <v>0</v>
      </c>
      <c r="W927" s="27"/>
      <c r="X927" s="27"/>
      <c r="Y927" s="27">
        <f>Inventory[[#This Row],[MainFn]]+Inventory[[#This Row],[UpprFn]]+Inventory[[#This Row],[FnBsmt]]+Inventory[[#This Row],[AddFn]]</f>
        <v>2601</v>
      </c>
      <c r="Z927" s="27">
        <v>3000</v>
      </c>
      <c r="AA927" s="25">
        <v>13</v>
      </c>
      <c r="AB927" s="32">
        <v>506</v>
      </c>
      <c r="AC927" s="27"/>
      <c r="AD927" s="27"/>
      <c r="AE927" s="27"/>
      <c r="AF927" s="27"/>
      <c r="AG927" s="27"/>
      <c r="AH927" s="27"/>
      <c r="AI927" s="25">
        <v>692503</v>
      </c>
      <c r="AJ927" s="25">
        <v>498602</v>
      </c>
      <c r="AK927" s="25">
        <v>23659</v>
      </c>
      <c r="AL927" s="25">
        <v>601200</v>
      </c>
      <c r="AM927" s="25">
        <v>63300</v>
      </c>
      <c r="AN927" s="25">
        <v>537900</v>
      </c>
      <c r="AO927" s="25">
        <v>0</v>
      </c>
      <c r="AP927" s="25">
        <f>Lookups!$B$56*0</f>
        <v>0</v>
      </c>
      <c r="AQ927" s="25">
        <f>Lookups!$B$56*1</f>
        <v>89850.625589999996</v>
      </c>
      <c r="AR927" s="25">
        <f>Lookups!$B$57*Inventory[[#This Row],[LnAcres]]</f>
        <v>-46522.028095997222</v>
      </c>
      <c r="AS927" s="25">
        <f>VLOOKUP(Inventory[[#This Row],[Qlty]],Lookups!$A$62:$E$75,2,FALSE)</f>
        <v>163885.03753</v>
      </c>
      <c r="AT927" s="25">
        <f>VLOOKUP(Inventory[[#This Row],[Cnd]],Lookups!$A$76:$E$84,2,FALSE)</f>
        <v>197752.34721000001</v>
      </c>
      <c r="AU927" s="25">
        <f>Inventory[[#This Row],[EffAge]]*Lookups!$B$85</f>
        <v>-11375.3256255</v>
      </c>
      <c r="AV927" s="25">
        <f>Inventory[[#This Row],[MainFn]]*Lookups!$B$86</f>
        <v>128511.95035007701</v>
      </c>
      <c r="AW927" s="25">
        <f>Inventory[[#This Row],[UpprFn]]*Lookups!$B$87</f>
        <v>0</v>
      </c>
      <c r="AX927" s="25">
        <f>Inventory[[#This Row],[AddFn]]*Lookups!$B$88</f>
        <v>0</v>
      </c>
      <c r="AY927" s="25">
        <f>Inventory[[#This Row],[Bsmt]]*Lookups!$B$89</f>
        <v>0</v>
      </c>
      <c r="AZ927" s="25">
        <f>Inventory[[#This Row],[Fixtures]]*Lookups!$B$90</f>
        <v>49296.287367600002</v>
      </c>
      <c r="BA927" s="25">
        <f>Inventory[[#This Row],[WdDeck]]*Lookups!$B$91</f>
        <v>0</v>
      </c>
      <c r="BB927" s="25">
        <f>ROUND(Inventory[[#This Row],[25Det]],-2)</f>
        <v>23700</v>
      </c>
      <c r="BC927" s="25">
        <f>ROUND(SUM(Inventory[[#This Row],[Mdl Qlty]:[Mdl WdDeck]])+Inventory[[#This Row],[Mdl Res Intercept]],-2)</f>
        <v>528100</v>
      </c>
      <c r="BD927" s="25">
        <f>ROUND(Inventory[[#This Row],[Mdl Land Intercept]]+Inventory[[#This Row],[Mdl LnAcres]],-2)</f>
        <v>43300</v>
      </c>
      <c r="BE927" s="25">
        <f>Inventory[[#This Row],[Unadj Res Value]]+Inventory[[#This Row],[Unadj Det Value]]+Inventory[[#This Row],[Unadj Land Value]]</f>
        <v>595100</v>
      </c>
      <c r="BF927" s="36">
        <f>(Inventory[[#This Row],[Unadj Total Value]]-Inventory[[#This Row],[24Final]])/Inventory[[#This Row],[24Final]]</f>
        <v>-1.0146373918829008E-2</v>
      </c>
      <c r="BG927" s="25">
        <f>VLOOKUP(Inventory[[#This Row],[Nbhd]],Lookups!$Q$2:$T$4,4,FALSE)</f>
        <v>0.99970000000000003</v>
      </c>
      <c r="BH927" s="25">
        <f>VLOOKUP(Inventory[[#This Row],[Qlty]],Lookups!$O$7:$R$21,4,FALSE)</f>
        <v>1</v>
      </c>
      <c r="BI927" s="25">
        <f>VLOOKUP(Inventory[[#This Row],[Cnd]],Lookups!$T$7:$W$16,4,FALSE)</f>
        <v>0.99650000000000005</v>
      </c>
      <c r="BJ927" s="25">
        <f>VLOOKUP(Inventory[[#This Row],[LivArea Range]],Lookups!$T$25:$W$37,4,FALSE)</f>
        <v>0.96179999999999999</v>
      </c>
      <c r="BK927" s="25">
        <f>VLOOKUP(Inventory[[#This Row],[Decade]],Lookups!$O$25:$R$42,4,FALSE)</f>
        <v>0.995</v>
      </c>
      <c r="BL927" s="25">
        <f>Inventory[[#This Row],[Nbhd Adj]]*0.95</f>
        <v>0.94971499999999998</v>
      </c>
      <c r="BM927" s="25">
        <f>Inventory[[#This Row],[Nbhd Adj]]*Inventory[[#This Row],[Quality Adj]]*Inventory[[#This Row],[Condition Adj]]*Inventory[[#This Row],[Living Area Adj]]*Inventory[[#This Row],[Decade Adj]]*0.95</f>
        <v>0.90568766708852244</v>
      </c>
      <c r="BN927" s="25">
        <f>ROUND(SUM(Inventory[[#This Row],[Mdl Qlty]:[Mdl WdDeck]])+Inventory[[#This Row],[Mdl Res Intercept]]*Inventory[[#This Row],[Res Adj ]],-2)</f>
        <v>528100</v>
      </c>
      <c r="BO927" s="25">
        <f>ROUND(Inventory[[#This Row],[25Det]]*Inventory[[#This Row],[Det/Nbhd Adj]],-2)</f>
        <v>22500</v>
      </c>
      <c r="BP927" s="25">
        <f>Inventory[[#This Row],[Adjusted Res]]+Inventory[[#This Row],[Adj Det ]]</f>
        <v>550600</v>
      </c>
      <c r="BQ927" s="25">
        <f>ROUND((Inventory[[#This Row],[Mdl Land Intercept]]+Inventory[[#This Row],[Mdl LnAcres]])*Inventory[[#This Row],[Det/Nbhd Adj]],-2)</f>
        <v>41100</v>
      </c>
      <c r="BR927" s="25">
        <f>Inventory[[#This Row],[Adjusted Impr Total]]+Inventory[[#This Row],[Adjusted Land Total]]</f>
        <v>591700</v>
      </c>
      <c r="BS927" s="36">
        <f>IFERROR((Inventory[[#This Row],[Adjusted Impr Total]]-Inventory[[#This Row],[24Bldg]])/Inventory[[#This Row],[24Bldg]],0)</f>
        <v>2.3610336493772078E-2</v>
      </c>
      <c r="BT927" s="36">
        <f>(Inventory[[#This Row],[Adjusted Land Total]]-Inventory[[#This Row],[24Lnd]])/Inventory[[#This Row],[24Lnd]]</f>
        <v>-0.35071090047393366</v>
      </c>
      <c r="BU927" s="36">
        <f>(Inventory[[#This Row],[Adjusted Total]]-Inventory[[#This Row],[24Final]])/Inventory[[#This Row],[24Final]]</f>
        <v>-1.5801729873586162E-2</v>
      </c>
    </row>
    <row r="928" spans="1:73" x14ac:dyDescent="0.3">
      <c r="A928" s="25">
        <v>2025</v>
      </c>
      <c r="B928" s="26" t="s">
        <v>1490</v>
      </c>
      <c r="C928" s="26">
        <f>LN(Inventory[[#This Row],[Acres]])</f>
        <v>-1.4696759700589417</v>
      </c>
      <c r="D928" s="25">
        <v>0.23</v>
      </c>
      <c r="E928" s="25">
        <v>10059</v>
      </c>
      <c r="F928" s="26" t="s">
        <v>537</v>
      </c>
      <c r="G928" s="26" t="s">
        <v>126</v>
      </c>
      <c r="H928" s="26" t="s">
        <v>349</v>
      </c>
      <c r="I928" s="26" t="s">
        <v>538</v>
      </c>
      <c r="J928" s="26" t="s">
        <v>539</v>
      </c>
      <c r="K928" s="26" t="s">
        <v>241</v>
      </c>
      <c r="L928" s="26" t="s">
        <v>95</v>
      </c>
      <c r="M928" s="26" t="s">
        <v>303</v>
      </c>
      <c r="N928" s="26">
        <v>80</v>
      </c>
      <c r="O928" s="26">
        <f>2024-Inventory[[#This Row],[YrBlt]]</f>
        <v>74</v>
      </c>
      <c r="P928" s="26">
        <f>2024-Inventory[[#This Row],[EffYr]]</f>
        <v>51</v>
      </c>
      <c r="Q928" s="25">
        <v>1950</v>
      </c>
      <c r="R928" s="25">
        <v>1973</v>
      </c>
      <c r="S928" s="25">
        <v>1533</v>
      </c>
      <c r="T928" s="31"/>
      <c r="U928" s="25">
        <v>1437</v>
      </c>
      <c r="V928" s="25">
        <f>Inventory[[#This Row],[Bsmt]]-Inventory[[#This Row],[FnBsmt]]</f>
        <v>690</v>
      </c>
      <c r="W928" s="25">
        <v>747</v>
      </c>
      <c r="X928" s="27"/>
      <c r="Y928" s="27">
        <f>Inventory[[#This Row],[MainFn]]+Inventory[[#This Row],[UpprFn]]+Inventory[[#This Row],[FnBsmt]]+Inventory[[#This Row],[AddFn]]</f>
        <v>2280</v>
      </c>
      <c r="Z928" s="27">
        <v>2500</v>
      </c>
      <c r="AA928" s="25">
        <v>10</v>
      </c>
      <c r="AB928" s="32">
        <v>240</v>
      </c>
      <c r="AC928" s="27"/>
      <c r="AD928" s="27"/>
      <c r="AE928" s="27"/>
      <c r="AF928" s="27"/>
      <c r="AG928" s="27"/>
      <c r="AH928" s="27"/>
      <c r="AI928" s="25">
        <v>565849</v>
      </c>
      <c r="AJ928" s="25">
        <v>407411</v>
      </c>
      <c r="AK928" s="25">
        <v>0</v>
      </c>
      <c r="AL928" s="25">
        <v>464900</v>
      </c>
      <c r="AM928" s="25">
        <v>63300</v>
      </c>
      <c r="AN928" s="25">
        <v>401600</v>
      </c>
      <c r="AO928" s="25">
        <v>0</v>
      </c>
      <c r="AP928" s="25">
        <f>Lookups!$B$56*0</f>
        <v>0</v>
      </c>
      <c r="AQ928" s="25">
        <f>Lookups!$B$56*1</f>
        <v>89850.625589999996</v>
      </c>
      <c r="AR928" s="25">
        <f>Lookups!$B$57*Inventory[[#This Row],[LnAcres]]</f>
        <v>-46522.028095997222</v>
      </c>
      <c r="AS928" s="25">
        <f>VLOOKUP(Inventory[[#This Row],[Qlty]],Lookups!$A$62:$E$75,2,FALSE)</f>
        <v>74268.409664999999</v>
      </c>
      <c r="AT928" s="25">
        <f>VLOOKUP(Inventory[[#This Row],[Cnd]],Lookups!$A$76:$E$84,2,FALSE)</f>
        <v>197752.34721000001</v>
      </c>
      <c r="AU928" s="25">
        <f>Inventory[[#This Row],[EffAge]]*Lookups!$B$85</f>
        <v>-11375.3256255</v>
      </c>
      <c r="AV928" s="25">
        <f>Inventory[[#This Row],[MainFn]]*Lookups!$B$86</f>
        <v>75743.490921441</v>
      </c>
      <c r="AW928" s="25">
        <f>Inventory[[#This Row],[UpprFn]]*Lookups!$B$87</f>
        <v>0</v>
      </c>
      <c r="AX928" s="25">
        <f>Inventory[[#This Row],[AddFn]]*Lookups!$B$88</f>
        <v>0</v>
      </c>
      <c r="AY928" s="25">
        <f>Inventory[[#This Row],[Bsmt]]*Lookups!$B$89</f>
        <v>41790.683469938995</v>
      </c>
      <c r="AZ928" s="25">
        <f>Inventory[[#This Row],[Fixtures]]*Lookups!$B$90</f>
        <v>37920.221052000001</v>
      </c>
      <c r="BA928" s="25">
        <f>Inventory[[#This Row],[WdDeck]]*Lookups!$B$91</f>
        <v>0</v>
      </c>
      <c r="BB928" s="25">
        <f>ROUND(Inventory[[#This Row],[25Det]],-2)</f>
        <v>0</v>
      </c>
      <c r="BC928" s="25">
        <f>ROUND(SUM(Inventory[[#This Row],[Mdl Qlty]:[Mdl WdDeck]])+Inventory[[#This Row],[Mdl Res Intercept]],-2)</f>
        <v>416100</v>
      </c>
      <c r="BD928" s="25">
        <f>ROUND(Inventory[[#This Row],[Mdl Land Intercept]]+Inventory[[#This Row],[Mdl LnAcres]],-2)</f>
        <v>43300</v>
      </c>
      <c r="BE928" s="25">
        <f>Inventory[[#This Row],[Unadj Res Value]]+Inventory[[#This Row],[Unadj Det Value]]+Inventory[[#This Row],[Unadj Land Value]]</f>
        <v>459400</v>
      </c>
      <c r="BF928" s="36">
        <f>(Inventory[[#This Row],[Unadj Total Value]]-Inventory[[#This Row],[24Final]])/Inventory[[#This Row],[24Final]]</f>
        <v>-1.1830501183050119E-2</v>
      </c>
      <c r="BG928" s="25">
        <f>VLOOKUP(Inventory[[#This Row],[Nbhd]],Lookups!$Q$2:$T$4,4,FALSE)</f>
        <v>0.99970000000000003</v>
      </c>
      <c r="BH928" s="25">
        <f>VLOOKUP(Inventory[[#This Row],[Qlty]],Lookups!$O$7:$R$21,4,FALSE)</f>
        <v>0.98380000000000001</v>
      </c>
      <c r="BI928" s="25">
        <f>VLOOKUP(Inventory[[#This Row],[Cnd]],Lookups!$T$7:$W$16,4,FALSE)</f>
        <v>0.99650000000000005</v>
      </c>
      <c r="BJ928" s="25">
        <f>VLOOKUP(Inventory[[#This Row],[LivArea Range]],Lookups!$T$25:$W$37,4,FALSE)</f>
        <v>0.98919999999999997</v>
      </c>
      <c r="BK928" s="25">
        <f>VLOOKUP(Inventory[[#This Row],[Decade]],Lookups!$O$25:$R$42,4,FALSE)</f>
        <v>0.995</v>
      </c>
      <c r="BL928" s="25">
        <f>Inventory[[#This Row],[Nbhd Adj]]*0.95</f>
        <v>0.94971499999999998</v>
      </c>
      <c r="BM928" s="25">
        <f>Inventory[[#This Row],[Nbhd Adj]]*Inventory[[#This Row],[Quality Adj]]*Inventory[[#This Row],[Condition Adj]]*Inventory[[#This Row],[Living Area Adj]]*Inventory[[#This Row],[Decade Adj]]*0.95</f>
        <v>0.91639900103074046</v>
      </c>
      <c r="BN928" s="25">
        <f>ROUND(SUM(Inventory[[#This Row],[Mdl Qlty]:[Mdl WdDeck]])+Inventory[[#This Row],[Mdl Res Intercept]]*Inventory[[#This Row],[Res Adj ]],-2)</f>
        <v>416100</v>
      </c>
      <c r="BO928" s="25">
        <f>ROUND(Inventory[[#This Row],[25Det]]*Inventory[[#This Row],[Det/Nbhd Adj]],-2)</f>
        <v>0</v>
      </c>
      <c r="BP928" s="25">
        <f>Inventory[[#This Row],[Adjusted Res]]+Inventory[[#This Row],[Adj Det ]]</f>
        <v>416100</v>
      </c>
      <c r="BQ928" s="25">
        <f>ROUND((Inventory[[#This Row],[Mdl Land Intercept]]+Inventory[[#This Row],[Mdl LnAcres]])*Inventory[[#This Row],[Det/Nbhd Adj]],-2)</f>
        <v>41100</v>
      </c>
      <c r="BR928" s="25">
        <f>Inventory[[#This Row],[Adjusted Impr Total]]+Inventory[[#This Row],[Adjusted Land Total]]</f>
        <v>457200</v>
      </c>
      <c r="BS928" s="36">
        <f>IFERROR((Inventory[[#This Row],[Adjusted Impr Total]]-Inventory[[#This Row],[24Bldg]])/Inventory[[#This Row],[24Bldg]],0)</f>
        <v>3.6105577689243031E-2</v>
      </c>
      <c r="BT928" s="36">
        <f>(Inventory[[#This Row],[Adjusted Land Total]]-Inventory[[#This Row],[24Lnd]])/Inventory[[#This Row],[24Lnd]]</f>
        <v>-0.35071090047393366</v>
      </c>
      <c r="BU928" s="36">
        <f>(Inventory[[#This Row],[Adjusted Total]]-Inventory[[#This Row],[24Final]])/Inventory[[#This Row],[24Final]]</f>
        <v>-1.6562701656270166E-2</v>
      </c>
    </row>
    <row r="929" spans="1:73" x14ac:dyDescent="0.3">
      <c r="A929" s="25">
        <v>2025</v>
      </c>
      <c r="B929" s="26" t="s">
        <v>848</v>
      </c>
      <c r="C929" s="26">
        <f>LN(Inventory[[#This Row],[Acres]])</f>
        <v>-1.7147984280919266</v>
      </c>
      <c r="D929" s="25">
        <v>0.18</v>
      </c>
      <c r="E929" s="32">
        <v>8012</v>
      </c>
      <c r="F929" s="26" t="s">
        <v>537</v>
      </c>
      <c r="G929" s="26" t="s">
        <v>126</v>
      </c>
      <c r="H929" s="26" t="s">
        <v>349</v>
      </c>
      <c r="I929" s="26" t="s">
        <v>538</v>
      </c>
      <c r="J929" s="26" t="s">
        <v>539</v>
      </c>
      <c r="K929" s="26" t="s">
        <v>242</v>
      </c>
      <c r="L929" s="26" t="s">
        <v>205</v>
      </c>
      <c r="M929" s="26" t="s">
        <v>323</v>
      </c>
      <c r="N929" s="26">
        <v>80</v>
      </c>
      <c r="O929" s="26">
        <f>2024-Inventory[[#This Row],[YrBlt]]</f>
        <v>74</v>
      </c>
      <c r="P929" s="26">
        <f>2024-Inventory[[#This Row],[EffYr]]</f>
        <v>51</v>
      </c>
      <c r="Q929" s="25">
        <v>1950</v>
      </c>
      <c r="R929" s="25">
        <v>1973</v>
      </c>
      <c r="S929" s="25">
        <v>1174</v>
      </c>
      <c r="T929" s="31"/>
      <c r="U929" s="25">
        <v>1155</v>
      </c>
      <c r="V929" s="25">
        <f>Inventory[[#This Row],[Bsmt]]-Inventory[[#This Row],[FnBsmt]]</f>
        <v>0</v>
      </c>
      <c r="W929" s="25">
        <v>1155</v>
      </c>
      <c r="X929" s="27"/>
      <c r="Y929" s="27">
        <f>Inventory[[#This Row],[MainFn]]+Inventory[[#This Row],[UpprFn]]+Inventory[[#This Row],[FnBsmt]]+Inventory[[#This Row],[AddFn]]</f>
        <v>2329</v>
      </c>
      <c r="Z929" s="27">
        <v>2500</v>
      </c>
      <c r="AA929" s="25">
        <v>8</v>
      </c>
      <c r="AB929" s="27"/>
      <c r="AC929" s="31"/>
      <c r="AD929" s="32">
        <v>50</v>
      </c>
      <c r="AE929" s="27"/>
      <c r="AF929" s="27"/>
      <c r="AG929" s="27"/>
      <c r="AH929" s="27"/>
      <c r="AI929" s="25">
        <v>273699</v>
      </c>
      <c r="AJ929" s="25">
        <v>188852</v>
      </c>
      <c r="AK929" s="25">
        <v>0</v>
      </c>
      <c r="AL929" s="25">
        <v>311800</v>
      </c>
      <c r="AM929" s="25">
        <v>54700</v>
      </c>
      <c r="AN929" s="25">
        <v>257100</v>
      </c>
      <c r="AO929" s="25">
        <v>0</v>
      </c>
      <c r="AP929" s="25">
        <f>Lookups!$B$56*0</f>
        <v>0</v>
      </c>
      <c r="AQ929" s="25">
        <f>Lookups!$B$56*1</f>
        <v>89850.625589999996</v>
      </c>
      <c r="AR929" s="25">
        <f>Lookups!$B$57*Inventory[[#This Row],[LnAcres]]</f>
        <v>-54281.285314520763</v>
      </c>
      <c r="AS929" s="25">
        <f>VLOOKUP(Inventory[[#This Row],[Qlty]],Lookups!$A$62:$E$75,2,FALSE)</f>
        <v>0</v>
      </c>
      <c r="AT929" s="25">
        <f>VLOOKUP(Inventory[[#This Row],[Cnd]],Lookups!$A$76:$E$84,2,FALSE)</f>
        <v>160472.20319</v>
      </c>
      <c r="AU929" s="25">
        <f>Inventory[[#This Row],[EffAge]]*Lookups!$B$85</f>
        <v>-11375.3256255</v>
      </c>
      <c r="AV929" s="25">
        <f>Inventory[[#This Row],[MainFn]]*Lookups!$B$86</f>
        <v>58005.778435598004</v>
      </c>
      <c r="AW929" s="25">
        <f>Inventory[[#This Row],[UpprFn]]*Lookups!$B$87</f>
        <v>0</v>
      </c>
      <c r="AX929" s="25">
        <f>Inventory[[#This Row],[AddFn]]*Lookups!$B$88</f>
        <v>0</v>
      </c>
      <c r="AY929" s="25">
        <f>Inventory[[#This Row],[Bsmt]]*Lookups!$B$89</f>
        <v>33589.589010284995</v>
      </c>
      <c r="AZ929" s="25">
        <f>Inventory[[#This Row],[Fixtures]]*Lookups!$B$90</f>
        <v>30336.176841600001</v>
      </c>
      <c r="BA929" s="25">
        <f>Inventory[[#This Row],[WdDeck]]*Lookups!$B$91</f>
        <v>1664.7757638000003</v>
      </c>
      <c r="BB929" s="25">
        <f>ROUND(Inventory[[#This Row],[25Det]],-2)</f>
        <v>0</v>
      </c>
      <c r="BC929" s="25">
        <f>ROUND(SUM(Inventory[[#This Row],[Mdl Qlty]:[Mdl WdDeck]])+Inventory[[#This Row],[Mdl Res Intercept]],-2)</f>
        <v>272700</v>
      </c>
      <c r="BD929" s="25">
        <f>ROUND(Inventory[[#This Row],[Mdl Land Intercept]]+Inventory[[#This Row],[Mdl LnAcres]],-2)</f>
        <v>35600</v>
      </c>
      <c r="BE929" s="25">
        <f>Inventory[[#This Row],[Unadj Res Value]]+Inventory[[#This Row],[Unadj Det Value]]+Inventory[[#This Row],[Unadj Land Value]]</f>
        <v>308300</v>
      </c>
      <c r="BF929" s="36">
        <f>(Inventory[[#This Row],[Unadj Total Value]]-Inventory[[#This Row],[24Final]])/Inventory[[#This Row],[24Final]]</f>
        <v>-1.1225144323284156E-2</v>
      </c>
      <c r="BG929" s="25">
        <f>VLOOKUP(Inventory[[#This Row],[Nbhd]],Lookups!$Q$2:$T$4,4,FALSE)</f>
        <v>0.99970000000000003</v>
      </c>
      <c r="BH929" s="25">
        <f>VLOOKUP(Inventory[[#This Row],[Qlty]],Lookups!$O$7:$R$21,4,FALSE)</f>
        <v>0.99180000000000001</v>
      </c>
      <c r="BI929" s="25">
        <f>VLOOKUP(Inventory[[#This Row],[Cnd]],Lookups!$T$7:$W$16,4,FALSE)</f>
        <v>0.99729999999999996</v>
      </c>
      <c r="BJ929" s="25">
        <f>VLOOKUP(Inventory[[#This Row],[LivArea Range]],Lookups!$T$25:$W$37,4,FALSE)</f>
        <v>0.98919999999999997</v>
      </c>
      <c r="BK929" s="25">
        <f>VLOOKUP(Inventory[[#This Row],[Decade]],Lookups!$O$25:$R$42,4,FALSE)</f>
        <v>0.995</v>
      </c>
      <c r="BL929" s="25">
        <f>Inventory[[#This Row],[Nbhd Adj]]*0.95</f>
        <v>0.94971499999999998</v>
      </c>
      <c r="BM929" s="25">
        <f>Inventory[[#This Row],[Nbhd Adj]]*Inventory[[#This Row],[Quality Adj]]*Inventory[[#This Row],[Condition Adj]]*Inventory[[#This Row],[Living Area Adj]]*Inventory[[#This Row],[Decade Adj]]*0.95</f>
        <v>0.92459259062888866</v>
      </c>
      <c r="BN929" s="25">
        <f>ROUND(SUM(Inventory[[#This Row],[Mdl Qlty]:[Mdl WdDeck]])+Inventory[[#This Row],[Mdl Res Intercept]]*Inventory[[#This Row],[Res Adj ]],-2)</f>
        <v>272700</v>
      </c>
      <c r="BO929" s="25">
        <f>ROUND(Inventory[[#This Row],[25Det]]*Inventory[[#This Row],[Det/Nbhd Adj]],-2)</f>
        <v>0</v>
      </c>
      <c r="BP929" s="25">
        <f>Inventory[[#This Row],[Adjusted Res]]+Inventory[[#This Row],[Adj Det ]]</f>
        <v>272700</v>
      </c>
      <c r="BQ929" s="25">
        <f>ROUND((Inventory[[#This Row],[Mdl Land Intercept]]+Inventory[[#This Row],[Mdl LnAcres]])*Inventory[[#This Row],[Det/Nbhd Adj]],-2)</f>
        <v>33800</v>
      </c>
      <c r="BR929" s="25">
        <f>Inventory[[#This Row],[Adjusted Impr Total]]+Inventory[[#This Row],[Adjusted Land Total]]</f>
        <v>306500</v>
      </c>
      <c r="BS929" s="36">
        <f>IFERROR((Inventory[[#This Row],[Adjusted Impr Total]]-Inventory[[#This Row],[24Bldg]])/Inventory[[#This Row],[24Bldg]],0)</f>
        <v>6.0676779463243874E-2</v>
      </c>
      <c r="BT929" s="36">
        <f>(Inventory[[#This Row],[Adjusted Land Total]]-Inventory[[#This Row],[24Lnd]])/Inventory[[#This Row],[24Lnd]]</f>
        <v>-0.38208409506398539</v>
      </c>
      <c r="BU929" s="36">
        <f>(Inventory[[#This Row],[Adjusted Total]]-Inventory[[#This Row],[24Final]])/Inventory[[#This Row],[24Final]]</f>
        <v>-1.6998075689544579E-2</v>
      </c>
    </row>
    <row r="930" spans="1:73" x14ac:dyDescent="0.3">
      <c r="A930" s="25">
        <v>2025</v>
      </c>
      <c r="B930" s="26" t="s">
        <v>1384</v>
      </c>
      <c r="C930" s="26">
        <f>LN(Inventory[[#This Row],[Acres]])</f>
        <v>-1.5141277326297755</v>
      </c>
      <c r="D930" s="25">
        <v>0.22</v>
      </c>
      <c r="E930" s="25">
        <v>9471</v>
      </c>
      <c r="F930" s="26" t="s">
        <v>537</v>
      </c>
      <c r="G930" s="26" t="s">
        <v>126</v>
      </c>
      <c r="H930" s="26" t="s">
        <v>349</v>
      </c>
      <c r="I930" s="26" t="s">
        <v>538</v>
      </c>
      <c r="J930" s="26" t="s">
        <v>539</v>
      </c>
      <c r="K930" s="26" t="s">
        <v>300</v>
      </c>
      <c r="L930" s="26" t="s">
        <v>95</v>
      </c>
      <c r="M930" s="26" t="s">
        <v>303</v>
      </c>
      <c r="N930" s="26">
        <v>80</v>
      </c>
      <c r="O930" s="26">
        <f>2024-Inventory[[#This Row],[YrBlt]]</f>
        <v>74</v>
      </c>
      <c r="P930" s="26">
        <f>2024-Inventory[[#This Row],[EffYr]]</f>
        <v>51</v>
      </c>
      <c r="Q930" s="25">
        <v>1950</v>
      </c>
      <c r="R930" s="25">
        <v>1973</v>
      </c>
      <c r="S930" s="25">
        <v>1639</v>
      </c>
      <c r="T930" s="27"/>
      <c r="U930" s="32">
        <v>844</v>
      </c>
      <c r="V930" s="32">
        <f>Inventory[[#This Row],[Bsmt]]-Inventory[[#This Row],[FnBsmt]]</f>
        <v>0</v>
      </c>
      <c r="W930" s="32">
        <v>844</v>
      </c>
      <c r="X930" s="27"/>
      <c r="Y930" s="27">
        <f>Inventory[[#This Row],[MainFn]]+Inventory[[#This Row],[UpprFn]]+Inventory[[#This Row],[FnBsmt]]+Inventory[[#This Row],[AddFn]]</f>
        <v>2483</v>
      </c>
      <c r="Z930" s="27">
        <v>2500</v>
      </c>
      <c r="AA930" s="25">
        <v>11</v>
      </c>
      <c r="AB930" s="27"/>
      <c r="AC930" s="27"/>
      <c r="AD930" s="31"/>
      <c r="AE930" s="27"/>
      <c r="AF930" s="27"/>
      <c r="AG930" s="27"/>
      <c r="AH930" s="27"/>
      <c r="AI930" s="25">
        <v>512641</v>
      </c>
      <c r="AJ930" s="25">
        <v>369102</v>
      </c>
      <c r="AK930" s="25">
        <v>11174</v>
      </c>
      <c r="AL930" s="25">
        <v>466800</v>
      </c>
      <c r="AM930" s="25">
        <v>61700</v>
      </c>
      <c r="AN930" s="25">
        <v>405100</v>
      </c>
      <c r="AO930" s="25">
        <v>0</v>
      </c>
      <c r="AP930" s="25">
        <f>Lookups!$B$56*0</f>
        <v>0</v>
      </c>
      <c r="AQ930" s="25">
        <f>Lookups!$B$56*1</f>
        <v>89850.625589999996</v>
      </c>
      <c r="AR930" s="25">
        <f>Lookups!$B$57*Inventory[[#This Row],[LnAcres]]</f>
        <v>-47929.131559187132</v>
      </c>
      <c r="AS930" s="25">
        <f>VLOOKUP(Inventory[[#This Row],[Qlty]],Lookups!$A$62:$E$75,2,FALSE)</f>
        <v>74268.409664999999</v>
      </c>
      <c r="AT930" s="25">
        <f>VLOOKUP(Inventory[[#This Row],[Cnd]],Lookups!$A$76:$E$84,2,FALSE)</f>
        <v>197752.34721000001</v>
      </c>
      <c r="AU930" s="25">
        <f>Inventory[[#This Row],[EffAge]]*Lookups!$B$85</f>
        <v>-11375.3256255</v>
      </c>
      <c r="AV930" s="25">
        <f>Inventory[[#This Row],[MainFn]]*Lookups!$B$86</f>
        <v>80980.809928403003</v>
      </c>
      <c r="AW930" s="25">
        <f>Inventory[[#This Row],[UpprFn]]*Lookups!$B$87</f>
        <v>0</v>
      </c>
      <c r="AX930" s="25">
        <f>Inventory[[#This Row],[AddFn]]*Lookups!$B$88</f>
        <v>0</v>
      </c>
      <c r="AY930" s="25">
        <f>Inventory[[#This Row],[Bsmt]]*Lookups!$B$89</f>
        <v>24545.119588467998</v>
      </c>
      <c r="AZ930" s="25">
        <f>Inventory[[#This Row],[Fixtures]]*Lookups!$B$90</f>
        <v>41712.243157199999</v>
      </c>
      <c r="BA930" s="25">
        <f>Inventory[[#This Row],[WdDeck]]*Lookups!$B$91</f>
        <v>0</v>
      </c>
      <c r="BB930" s="25">
        <f>ROUND(Inventory[[#This Row],[25Det]],-2)</f>
        <v>11200</v>
      </c>
      <c r="BC930" s="25">
        <f>ROUND(SUM(Inventory[[#This Row],[Mdl Qlty]:[Mdl WdDeck]])+Inventory[[#This Row],[Mdl Res Intercept]],-2)</f>
        <v>407900</v>
      </c>
      <c r="BD930" s="25">
        <f>ROUND(Inventory[[#This Row],[Mdl Land Intercept]]+Inventory[[#This Row],[Mdl LnAcres]],-2)</f>
        <v>41900</v>
      </c>
      <c r="BE930" s="25">
        <f>Inventory[[#This Row],[Unadj Res Value]]+Inventory[[#This Row],[Unadj Det Value]]+Inventory[[#This Row],[Unadj Land Value]]</f>
        <v>461000</v>
      </c>
      <c r="BF930" s="36">
        <f>(Inventory[[#This Row],[Unadj Total Value]]-Inventory[[#This Row],[24Final]])/Inventory[[#This Row],[24Final]]</f>
        <v>-1.2425021422450729E-2</v>
      </c>
      <c r="BG930" s="25">
        <f>VLOOKUP(Inventory[[#This Row],[Nbhd]],Lookups!$Q$2:$T$4,4,FALSE)</f>
        <v>0.99970000000000003</v>
      </c>
      <c r="BH930" s="25">
        <f>VLOOKUP(Inventory[[#This Row],[Qlty]],Lookups!$O$7:$R$21,4,FALSE)</f>
        <v>0.98380000000000001</v>
      </c>
      <c r="BI930" s="25">
        <f>VLOOKUP(Inventory[[#This Row],[Cnd]],Lookups!$T$7:$W$16,4,FALSE)</f>
        <v>0.99650000000000005</v>
      </c>
      <c r="BJ930" s="25">
        <f>VLOOKUP(Inventory[[#This Row],[LivArea Range]],Lookups!$T$25:$W$37,4,FALSE)</f>
        <v>0.98919999999999997</v>
      </c>
      <c r="BK930" s="25">
        <f>VLOOKUP(Inventory[[#This Row],[Decade]],Lookups!$O$25:$R$42,4,FALSE)</f>
        <v>0.995</v>
      </c>
      <c r="BL930" s="25">
        <f>Inventory[[#This Row],[Nbhd Adj]]*0.95</f>
        <v>0.94971499999999998</v>
      </c>
      <c r="BM930" s="25">
        <f>Inventory[[#This Row],[Nbhd Adj]]*Inventory[[#This Row],[Quality Adj]]*Inventory[[#This Row],[Condition Adj]]*Inventory[[#This Row],[Living Area Adj]]*Inventory[[#This Row],[Decade Adj]]*0.95</f>
        <v>0.91639900103074046</v>
      </c>
      <c r="BN930" s="25">
        <f>ROUND(SUM(Inventory[[#This Row],[Mdl Qlty]:[Mdl WdDeck]])+Inventory[[#This Row],[Mdl Res Intercept]]*Inventory[[#This Row],[Res Adj ]],-2)</f>
        <v>407900</v>
      </c>
      <c r="BO930" s="25">
        <f>ROUND(Inventory[[#This Row],[25Det]]*Inventory[[#This Row],[Det/Nbhd Adj]],-2)</f>
        <v>10600</v>
      </c>
      <c r="BP930" s="25">
        <f>Inventory[[#This Row],[Adjusted Res]]+Inventory[[#This Row],[Adj Det ]]</f>
        <v>418500</v>
      </c>
      <c r="BQ930" s="25">
        <f>ROUND((Inventory[[#This Row],[Mdl Land Intercept]]+Inventory[[#This Row],[Mdl LnAcres]])*Inventory[[#This Row],[Det/Nbhd Adj]],-2)</f>
        <v>39800</v>
      </c>
      <c r="BR930" s="25">
        <f>Inventory[[#This Row],[Adjusted Impr Total]]+Inventory[[#This Row],[Adjusted Land Total]]</f>
        <v>458300</v>
      </c>
      <c r="BS930" s="36">
        <f>IFERROR((Inventory[[#This Row],[Adjusted Impr Total]]-Inventory[[#This Row],[24Bldg]])/Inventory[[#This Row],[24Bldg]],0)</f>
        <v>3.3078252283386816E-2</v>
      </c>
      <c r="BT930" s="36">
        <f>(Inventory[[#This Row],[Adjusted Land Total]]-Inventory[[#This Row],[24Lnd]])/Inventory[[#This Row],[24Lnd]]</f>
        <v>-0.35494327390599678</v>
      </c>
      <c r="BU930" s="36">
        <f>(Inventory[[#This Row],[Adjusted Total]]-Inventory[[#This Row],[24Final]])/Inventory[[#This Row],[24Final]]</f>
        <v>-1.8209083119108824E-2</v>
      </c>
    </row>
    <row r="931" spans="1:73" x14ac:dyDescent="0.3">
      <c r="A931" s="25">
        <v>2025</v>
      </c>
      <c r="B931" s="26" t="s">
        <v>906</v>
      </c>
      <c r="C931" s="26">
        <f>LN(Inventory[[#This Row],[Acres]])</f>
        <v>-1.2039728043259361</v>
      </c>
      <c r="D931" s="25">
        <v>0.3</v>
      </c>
      <c r="E931" s="32">
        <v>12885</v>
      </c>
      <c r="F931" s="26" t="s">
        <v>537</v>
      </c>
      <c r="G931" s="26" t="s">
        <v>126</v>
      </c>
      <c r="H931" s="26" t="s">
        <v>349</v>
      </c>
      <c r="I931" s="26" t="s">
        <v>538</v>
      </c>
      <c r="J931" s="26" t="s">
        <v>539</v>
      </c>
      <c r="K931" s="26" t="s">
        <v>241</v>
      </c>
      <c r="L931" s="26" t="s">
        <v>95</v>
      </c>
      <c r="M931" s="26" t="s">
        <v>323</v>
      </c>
      <c r="N931" s="26">
        <v>80</v>
      </c>
      <c r="O931" s="26">
        <f>2024-Inventory[[#This Row],[YrBlt]]</f>
        <v>74</v>
      </c>
      <c r="P931" s="26">
        <f>2024-Inventory[[#This Row],[EffYr]]</f>
        <v>51</v>
      </c>
      <c r="Q931" s="25">
        <v>1950</v>
      </c>
      <c r="R931" s="25">
        <v>1973</v>
      </c>
      <c r="S931" s="25">
        <v>1669</v>
      </c>
      <c r="T931" s="27"/>
      <c r="U931" s="25">
        <v>1431</v>
      </c>
      <c r="V931" s="25">
        <f>Inventory[[#This Row],[Bsmt]]-Inventory[[#This Row],[FnBsmt]]</f>
        <v>143</v>
      </c>
      <c r="W931" s="25">
        <v>1288</v>
      </c>
      <c r="X931" s="27"/>
      <c r="Y931" s="27">
        <f>Inventory[[#This Row],[MainFn]]+Inventory[[#This Row],[UpprFn]]+Inventory[[#This Row],[FnBsmt]]+Inventory[[#This Row],[AddFn]]</f>
        <v>2957</v>
      </c>
      <c r="Z931" s="27">
        <v>3000</v>
      </c>
      <c r="AA931" s="25">
        <v>12</v>
      </c>
      <c r="AB931" s="32">
        <v>400</v>
      </c>
      <c r="AC931" s="27"/>
      <c r="AD931" s="32">
        <v>330</v>
      </c>
      <c r="AE931" s="27"/>
      <c r="AF931" s="27"/>
      <c r="AG931" s="27"/>
      <c r="AH931" s="27"/>
      <c r="AI931" s="25">
        <v>690194</v>
      </c>
      <c r="AJ931" s="25">
        <v>483136</v>
      </c>
      <c r="AK931" s="25">
        <v>26836</v>
      </c>
      <c r="AL931" s="25">
        <v>488700</v>
      </c>
      <c r="AM931" s="25">
        <v>72500</v>
      </c>
      <c r="AN931" s="25">
        <v>416200</v>
      </c>
      <c r="AO931" s="25">
        <v>0</v>
      </c>
      <c r="AP931" s="25">
        <f>Lookups!$B$56*0</f>
        <v>0</v>
      </c>
      <c r="AQ931" s="25">
        <f>Lookups!$B$56*1</f>
        <v>89850.625589999996</v>
      </c>
      <c r="AR931" s="25">
        <f>Lookups!$B$57*Inventory[[#This Row],[LnAcres]]</f>
        <v>-38111.29648355169</v>
      </c>
      <c r="AS931" s="25">
        <f>VLOOKUP(Inventory[[#This Row],[Qlty]],Lookups!$A$62:$E$75,2,FALSE)</f>
        <v>74268.409664999999</v>
      </c>
      <c r="AT931" s="25">
        <f>VLOOKUP(Inventory[[#This Row],[Cnd]],Lookups!$A$76:$E$84,2,FALSE)</f>
        <v>160472.20319</v>
      </c>
      <c r="AU931" s="25">
        <f>Inventory[[#This Row],[EffAge]]*Lookups!$B$85</f>
        <v>-11375.3256255</v>
      </c>
      <c r="AV931" s="25">
        <f>Inventory[[#This Row],[MainFn]]*Lookups!$B$86</f>
        <v>82463.070024713001</v>
      </c>
      <c r="AW931" s="25">
        <f>Inventory[[#This Row],[UpprFn]]*Lookups!$B$87</f>
        <v>0</v>
      </c>
      <c r="AX931" s="25">
        <f>Inventory[[#This Row],[AddFn]]*Lookups!$B$88</f>
        <v>0</v>
      </c>
      <c r="AY931" s="25">
        <f>Inventory[[#This Row],[Bsmt]]*Lookups!$B$89</f>
        <v>41616.192098456995</v>
      </c>
      <c r="AZ931" s="25">
        <f>Inventory[[#This Row],[Fixtures]]*Lookups!$B$90</f>
        <v>45504.265262400004</v>
      </c>
      <c r="BA931" s="25">
        <f>Inventory[[#This Row],[WdDeck]]*Lookups!$B$91</f>
        <v>10987.520041080001</v>
      </c>
      <c r="BB931" s="25">
        <f>ROUND(Inventory[[#This Row],[25Det]],-2)</f>
        <v>26800</v>
      </c>
      <c r="BC931" s="25">
        <f>ROUND(SUM(Inventory[[#This Row],[Mdl Qlty]:[Mdl WdDeck]])+Inventory[[#This Row],[Mdl Res Intercept]],-2)</f>
        <v>403900</v>
      </c>
      <c r="BD931" s="25">
        <f>ROUND(Inventory[[#This Row],[Mdl Land Intercept]]+Inventory[[#This Row],[Mdl LnAcres]],-2)</f>
        <v>51700</v>
      </c>
      <c r="BE931" s="25">
        <f>Inventory[[#This Row],[Unadj Res Value]]+Inventory[[#This Row],[Unadj Det Value]]+Inventory[[#This Row],[Unadj Land Value]]</f>
        <v>482400</v>
      </c>
      <c r="BF931" s="36">
        <f>(Inventory[[#This Row],[Unadj Total Value]]-Inventory[[#This Row],[24Final]])/Inventory[[#This Row],[24Final]]</f>
        <v>-1.289134438305709E-2</v>
      </c>
      <c r="BG931" s="25">
        <f>VLOOKUP(Inventory[[#This Row],[Nbhd]],Lookups!$Q$2:$T$4,4,FALSE)</f>
        <v>0.99970000000000003</v>
      </c>
      <c r="BH931" s="25">
        <f>VLOOKUP(Inventory[[#This Row],[Qlty]],Lookups!$O$7:$R$21,4,FALSE)</f>
        <v>0.98380000000000001</v>
      </c>
      <c r="BI931" s="25">
        <f>VLOOKUP(Inventory[[#This Row],[Cnd]],Lookups!$T$7:$W$16,4,FALSE)</f>
        <v>0.99729999999999996</v>
      </c>
      <c r="BJ931" s="25">
        <f>VLOOKUP(Inventory[[#This Row],[LivArea Range]],Lookups!$T$25:$W$37,4,FALSE)</f>
        <v>0.96179999999999999</v>
      </c>
      <c r="BK931" s="25">
        <f>VLOOKUP(Inventory[[#This Row],[Decade]],Lookups!$O$25:$R$42,4,FALSE)</f>
        <v>0.995</v>
      </c>
      <c r="BL931" s="25">
        <f>Inventory[[#This Row],[Nbhd Adj]]*0.95</f>
        <v>0.94971499999999998</v>
      </c>
      <c r="BM931" s="25">
        <f>Inventory[[#This Row],[Nbhd Adj]]*Inventory[[#This Row],[Quality Adj]]*Inventory[[#This Row],[Condition Adj]]*Inventory[[#This Row],[Living Area Adj]]*Inventory[[#This Row],[Decade Adj]]*0.95</f>
        <v>0.89173084290929039</v>
      </c>
      <c r="BN931" s="25">
        <f>ROUND(SUM(Inventory[[#This Row],[Mdl Qlty]:[Mdl WdDeck]])+Inventory[[#This Row],[Mdl Res Intercept]]*Inventory[[#This Row],[Res Adj ]],-2)</f>
        <v>403900</v>
      </c>
      <c r="BO931" s="25">
        <f>ROUND(Inventory[[#This Row],[25Det]]*Inventory[[#This Row],[Det/Nbhd Adj]],-2)</f>
        <v>25500</v>
      </c>
      <c r="BP931" s="25">
        <f>Inventory[[#This Row],[Adjusted Res]]+Inventory[[#This Row],[Adj Det ]]</f>
        <v>429400</v>
      </c>
      <c r="BQ931" s="25">
        <f>ROUND((Inventory[[#This Row],[Mdl Land Intercept]]+Inventory[[#This Row],[Mdl LnAcres]])*Inventory[[#This Row],[Det/Nbhd Adj]],-2)</f>
        <v>49100</v>
      </c>
      <c r="BR931" s="25">
        <f>Inventory[[#This Row],[Adjusted Impr Total]]+Inventory[[#This Row],[Adjusted Land Total]]</f>
        <v>478500</v>
      </c>
      <c r="BS931" s="36">
        <f>IFERROR((Inventory[[#This Row],[Adjusted Impr Total]]-Inventory[[#This Row],[24Bldg]])/Inventory[[#This Row],[24Bldg]],0)</f>
        <v>3.1715521383950021E-2</v>
      </c>
      <c r="BT931" s="36">
        <f>(Inventory[[#This Row],[Adjusted Land Total]]-Inventory[[#This Row],[24Lnd]])/Inventory[[#This Row],[24Lnd]]</f>
        <v>-0.32275862068965516</v>
      </c>
      <c r="BU931" s="36">
        <f>(Inventory[[#This Row],[Adjusted Total]]-Inventory[[#This Row],[24Final]])/Inventory[[#This Row],[24Final]]</f>
        <v>-2.0871700429711478E-2</v>
      </c>
    </row>
    <row r="932" spans="1:73" x14ac:dyDescent="0.3">
      <c r="A932" s="25">
        <v>2025</v>
      </c>
      <c r="B932" s="26" t="s">
        <v>803</v>
      </c>
      <c r="C932" s="26">
        <f>LN(Inventory[[#This Row],[Acres]])</f>
        <v>-1.6094379124341003</v>
      </c>
      <c r="D932" s="25">
        <v>0.2</v>
      </c>
      <c r="E932" s="32">
        <v>8566</v>
      </c>
      <c r="F932" s="26" t="s">
        <v>537</v>
      </c>
      <c r="G932" s="26" t="s">
        <v>126</v>
      </c>
      <c r="H932" s="26" t="s">
        <v>349</v>
      </c>
      <c r="I932" s="26" t="s">
        <v>538</v>
      </c>
      <c r="J932" s="26" t="s">
        <v>638</v>
      </c>
      <c r="K932" s="26" t="s">
        <v>242</v>
      </c>
      <c r="L932" s="26" t="s">
        <v>205</v>
      </c>
      <c r="M932" s="26" t="s">
        <v>323</v>
      </c>
      <c r="N932" s="26">
        <v>80</v>
      </c>
      <c r="O932" s="26">
        <f>2024-Inventory[[#This Row],[YrBlt]]</f>
        <v>74</v>
      </c>
      <c r="P932" s="26">
        <f>2024-Inventory[[#This Row],[EffYr]]</f>
        <v>51</v>
      </c>
      <c r="Q932" s="25">
        <v>1950</v>
      </c>
      <c r="R932" s="25">
        <v>1973</v>
      </c>
      <c r="S932" s="25">
        <v>1098</v>
      </c>
      <c r="T932" s="31"/>
      <c r="U932" s="25">
        <v>1098</v>
      </c>
      <c r="V932" s="25">
        <f>Inventory[[#This Row],[Bsmt]]-Inventory[[#This Row],[FnBsmt]]</f>
        <v>0</v>
      </c>
      <c r="W932" s="25">
        <v>1098</v>
      </c>
      <c r="X932" s="27"/>
      <c r="Y932" s="27">
        <f>Inventory[[#This Row],[MainFn]]+Inventory[[#This Row],[UpprFn]]+Inventory[[#This Row],[FnBsmt]]+Inventory[[#This Row],[AddFn]]</f>
        <v>2196</v>
      </c>
      <c r="Z932" s="27">
        <v>2500</v>
      </c>
      <c r="AA932" s="25">
        <v>8</v>
      </c>
      <c r="AB932" s="27"/>
      <c r="AC932" s="27"/>
      <c r="AD932" s="27"/>
      <c r="AE932" s="27"/>
      <c r="AF932" s="27"/>
      <c r="AG932" s="27"/>
      <c r="AH932" s="27"/>
      <c r="AI932" s="25">
        <v>268792</v>
      </c>
      <c r="AJ932" s="25">
        <v>185466</v>
      </c>
      <c r="AK932" s="25">
        <v>0</v>
      </c>
      <c r="AL932" s="25">
        <v>309700</v>
      </c>
      <c r="AM932" s="25">
        <v>58400</v>
      </c>
      <c r="AN932" s="25">
        <v>251300</v>
      </c>
      <c r="AO932" s="25">
        <v>0</v>
      </c>
      <c r="AP932" s="25">
        <f>Lookups!$B$56*0</f>
        <v>0</v>
      </c>
      <c r="AQ932" s="25">
        <f>Lookups!$B$56*1</f>
        <v>89850.625589999996</v>
      </c>
      <c r="AR932" s="25">
        <f>Lookups!$B$57*Inventory[[#This Row],[LnAcres]]</f>
        <v>-50946.13867709865</v>
      </c>
      <c r="AS932" s="25">
        <f>VLOOKUP(Inventory[[#This Row],[Qlty]],Lookups!$A$62:$E$75,2,FALSE)</f>
        <v>0</v>
      </c>
      <c r="AT932" s="25">
        <f>VLOOKUP(Inventory[[#This Row],[Cnd]],Lookups!$A$76:$E$84,2,FALSE)</f>
        <v>160472.20319</v>
      </c>
      <c r="AU932" s="25">
        <f>Inventory[[#This Row],[EffAge]]*Lookups!$B$85</f>
        <v>-11375.3256255</v>
      </c>
      <c r="AV932" s="25">
        <f>Inventory[[#This Row],[MainFn]]*Lookups!$B$86</f>
        <v>54250.719524945998</v>
      </c>
      <c r="AW932" s="25">
        <f>Inventory[[#This Row],[UpprFn]]*Lookups!$B$87</f>
        <v>0</v>
      </c>
      <c r="AX932" s="25">
        <f>Inventory[[#This Row],[AddFn]]*Lookups!$B$88</f>
        <v>0</v>
      </c>
      <c r="AY932" s="25">
        <f>Inventory[[#This Row],[Bsmt]]*Lookups!$B$89</f>
        <v>31931.920981206</v>
      </c>
      <c r="AZ932" s="25">
        <f>Inventory[[#This Row],[Fixtures]]*Lookups!$B$90</f>
        <v>30336.176841600001</v>
      </c>
      <c r="BA932" s="25">
        <f>Inventory[[#This Row],[WdDeck]]*Lookups!$B$91</f>
        <v>0</v>
      </c>
      <c r="BB932" s="25">
        <f>ROUND(Inventory[[#This Row],[25Det]],-2)</f>
        <v>0</v>
      </c>
      <c r="BC932" s="25">
        <f>ROUND(SUM(Inventory[[#This Row],[Mdl Qlty]:[Mdl WdDeck]])+Inventory[[#This Row],[Mdl Res Intercept]],-2)</f>
        <v>265600</v>
      </c>
      <c r="BD932" s="25">
        <f>ROUND(Inventory[[#This Row],[Mdl Land Intercept]]+Inventory[[#This Row],[Mdl LnAcres]],-2)</f>
        <v>38900</v>
      </c>
      <c r="BE932" s="25">
        <f>Inventory[[#This Row],[Unadj Res Value]]+Inventory[[#This Row],[Unadj Det Value]]+Inventory[[#This Row],[Unadj Land Value]]</f>
        <v>304500</v>
      </c>
      <c r="BF932" s="36">
        <f>(Inventory[[#This Row],[Unadj Total Value]]-Inventory[[#This Row],[24Final]])/Inventory[[#This Row],[24Final]]</f>
        <v>-1.6790442363577657E-2</v>
      </c>
      <c r="BG932" s="25">
        <f>VLOOKUP(Inventory[[#This Row],[Nbhd]],Lookups!$Q$2:$T$4,4,FALSE)</f>
        <v>0.99970000000000003</v>
      </c>
      <c r="BH932" s="25">
        <f>VLOOKUP(Inventory[[#This Row],[Qlty]],Lookups!$O$7:$R$21,4,FALSE)</f>
        <v>0.99180000000000001</v>
      </c>
      <c r="BI932" s="25">
        <f>VLOOKUP(Inventory[[#This Row],[Cnd]],Lookups!$T$7:$W$16,4,FALSE)</f>
        <v>0.99729999999999996</v>
      </c>
      <c r="BJ932" s="25">
        <f>VLOOKUP(Inventory[[#This Row],[LivArea Range]],Lookups!$T$25:$W$37,4,FALSE)</f>
        <v>0.98919999999999997</v>
      </c>
      <c r="BK932" s="25">
        <f>VLOOKUP(Inventory[[#This Row],[Decade]],Lookups!$O$25:$R$42,4,FALSE)</f>
        <v>0.995</v>
      </c>
      <c r="BL932" s="25">
        <f>Inventory[[#This Row],[Nbhd Adj]]*0.95</f>
        <v>0.94971499999999998</v>
      </c>
      <c r="BM932" s="25">
        <f>Inventory[[#This Row],[Nbhd Adj]]*Inventory[[#This Row],[Quality Adj]]*Inventory[[#This Row],[Condition Adj]]*Inventory[[#This Row],[Living Area Adj]]*Inventory[[#This Row],[Decade Adj]]*0.95</f>
        <v>0.92459259062888866</v>
      </c>
      <c r="BN932" s="25">
        <f>ROUND(SUM(Inventory[[#This Row],[Mdl Qlty]:[Mdl WdDeck]])+Inventory[[#This Row],[Mdl Res Intercept]]*Inventory[[#This Row],[Res Adj ]],-2)</f>
        <v>265600</v>
      </c>
      <c r="BO932" s="25">
        <f>ROUND(Inventory[[#This Row],[25Det]]*Inventory[[#This Row],[Det/Nbhd Adj]],-2)</f>
        <v>0</v>
      </c>
      <c r="BP932" s="25">
        <f>Inventory[[#This Row],[Adjusted Res]]+Inventory[[#This Row],[Adj Det ]]</f>
        <v>265600</v>
      </c>
      <c r="BQ932" s="25">
        <f>ROUND((Inventory[[#This Row],[Mdl Land Intercept]]+Inventory[[#This Row],[Mdl LnAcres]])*Inventory[[#This Row],[Det/Nbhd Adj]],-2)</f>
        <v>36900</v>
      </c>
      <c r="BR932" s="25">
        <f>Inventory[[#This Row],[Adjusted Impr Total]]+Inventory[[#This Row],[Adjusted Land Total]]</f>
        <v>302500</v>
      </c>
      <c r="BS932" s="36">
        <f>IFERROR((Inventory[[#This Row],[Adjusted Impr Total]]-Inventory[[#This Row],[24Bldg]])/Inventory[[#This Row],[24Bldg]],0)</f>
        <v>5.690409868682849E-2</v>
      </c>
      <c r="BT932" s="36">
        <f>(Inventory[[#This Row],[Adjusted Land Total]]-Inventory[[#This Row],[24Lnd]])/Inventory[[#This Row],[24Lnd]]</f>
        <v>-0.36815068493150682</v>
      </c>
      <c r="BU932" s="36">
        <f>(Inventory[[#This Row],[Adjusted Total]]-Inventory[[#This Row],[24Final]])/Inventory[[#This Row],[24Final]]</f>
        <v>-2.3248304811107522E-2</v>
      </c>
    </row>
    <row r="933" spans="1:73" x14ac:dyDescent="0.3">
      <c r="A933" s="25">
        <v>2025</v>
      </c>
      <c r="B933" s="26" t="s">
        <v>2255</v>
      </c>
      <c r="C933" s="26">
        <f>LN(Inventory[[#This Row],[Acres]])</f>
        <v>-1.7719568419318752</v>
      </c>
      <c r="D933" s="25">
        <v>0.17</v>
      </c>
      <c r="E933" s="27"/>
      <c r="F933" s="26" t="s">
        <v>537</v>
      </c>
      <c r="G933" s="26" t="s">
        <v>126</v>
      </c>
      <c r="H933" s="26" t="s">
        <v>349</v>
      </c>
      <c r="I933" s="26" t="s">
        <v>538</v>
      </c>
      <c r="J933" s="26" t="s">
        <v>539</v>
      </c>
      <c r="K933" s="26" t="s">
        <v>242</v>
      </c>
      <c r="L933" s="26" t="s">
        <v>205</v>
      </c>
      <c r="M933" s="26" t="s">
        <v>323</v>
      </c>
      <c r="N933" s="26">
        <v>80</v>
      </c>
      <c r="O933" s="26">
        <f>2024-Inventory[[#This Row],[YrBlt]]</f>
        <v>74</v>
      </c>
      <c r="P933" s="26">
        <f>2024-Inventory[[#This Row],[EffYr]]</f>
        <v>51</v>
      </c>
      <c r="Q933" s="25">
        <v>1950</v>
      </c>
      <c r="R933" s="25">
        <v>1973</v>
      </c>
      <c r="S933" s="25">
        <v>1383</v>
      </c>
      <c r="T933" s="27"/>
      <c r="U933" s="25">
        <v>1026</v>
      </c>
      <c r="V933" s="25">
        <f>Inventory[[#This Row],[Bsmt]]-Inventory[[#This Row],[FnBsmt]]</f>
        <v>0</v>
      </c>
      <c r="W933" s="25">
        <v>1026</v>
      </c>
      <c r="X933" s="27"/>
      <c r="Y933" s="27">
        <f>Inventory[[#This Row],[MainFn]]+Inventory[[#This Row],[UpprFn]]+Inventory[[#This Row],[FnBsmt]]+Inventory[[#This Row],[AddFn]]</f>
        <v>2409</v>
      </c>
      <c r="Z933" s="27">
        <v>2500</v>
      </c>
      <c r="AA933" s="25">
        <v>5</v>
      </c>
      <c r="AB933" s="27"/>
      <c r="AC933" s="32">
        <v>336</v>
      </c>
      <c r="AD933" s="27"/>
      <c r="AE933" s="27"/>
      <c r="AF933" s="27"/>
      <c r="AG933" s="27"/>
      <c r="AH933" s="27"/>
      <c r="AI933" s="25">
        <v>301438</v>
      </c>
      <c r="AJ933" s="25">
        <v>207992</v>
      </c>
      <c r="AK933" s="25">
        <v>0</v>
      </c>
      <c r="AL933" s="25">
        <v>308400</v>
      </c>
      <c r="AM933" s="25">
        <v>52700</v>
      </c>
      <c r="AN933" s="25">
        <v>255700</v>
      </c>
      <c r="AO933" s="25">
        <v>0</v>
      </c>
      <c r="AP933" s="25">
        <f>Lookups!$B$56*0</f>
        <v>0</v>
      </c>
      <c r="AQ933" s="25">
        <f>Lookups!$B$56*1</f>
        <v>89850.625589999996</v>
      </c>
      <c r="AR933" s="25">
        <f>Lookups!$B$57*Inventory[[#This Row],[LnAcres]]</f>
        <v>-56090.612940989391</v>
      </c>
      <c r="AS933" s="25">
        <f>VLOOKUP(Inventory[[#This Row],[Qlty]],Lookups!$A$62:$E$75,2,FALSE)</f>
        <v>0</v>
      </c>
      <c r="AT933" s="25">
        <f>VLOOKUP(Inventory[[#This Row],[Cnd]],Lookups!$A$76:$E$84,2,FALSE)</f>
        <v>160472.20319</v>
      </c>
      <c r="AU933" s="25">
        <f>Inventory[[#This Row],[EffAge]]*Lookups!$B$85</f>
        <v>-11375.3256255</v>
      </c>
      <c r="AV933" s="25">
        <f>Inventory[[#This Row],[MainFn]]*Lookups!$B$86</f>
        <v>68332.190439890997</v>
      </c>
      <c r="AW933" s="25">
        <f>Inventory[[#This Row],[UpprFn]]*Lookups!$B$87</f>
        <v>0</v>
      </c>
      <c r="AX933" s="25">
        <f>Inventory[[#This Row],[AddFn]]*Lookups!$B$88</f>
        <v>0</v>
      </c>
      <c r="AY933" s="25">
        <f>Inventory[[#This Row],[Bsmt]]*Lookups!$B$89</f>
        <v>29838.024523421998</v>
      </c>
      <c r="AZ933" s="25">
        <f>Inventory[[#This Row],[Fixtures]]*Lookups!$B$90</f>
        <v>18960.110526</v>
      </c>
      <c r="BA933" s="25">
        <f>Inventory[[#This Row],[WdDeck]]*Lookups!$B$91</f>
        <v>0</v>
      </c>
      <c r="BB933" s="25">
        <f>ROUND(Inventory[[#This Row],[25Det]],-2)</f>
        <v>0</v>
      </c>
      <c r="BC933" s="25">
        <f>ROUND(SUM(Inventory[[#This Row],[Mdl Qlty]:[Mdl WdDeck]])+Inventory[[#This Row],[Mdl Res Intercept]],-2)</f>
        <v>266200</v>
      </c>
      <c r="BD933" s="25">
        <f>ROUND(Inventory[[#This Row],[Mdl Land Intercept]]+Inventory[[#This Row],[Mdl LnAcres]],-2)</f>
        <v>33800</v>
      </c>
      <c r="BE933" s="25">
        <f>Inventory[[#This Row],[Unadj Res Value]]+Inventory[[#This Row],[Unadj Det Value]]+Inventory[[#This Row],[Unadj Land Value]]</f>
        <v>300000</v>
      </c>
      <c r="BF933" s="36">
        <f>(Inventory[[#This Row],[Unadj Total Value]]-Inventory[[#This Row],[24Final]])/Inventory[[#This Row],[24Final]]</f>
        <v>-2.7237354085603113E-2</v>
      </c>
      <c r="BG933" s="25">
        <f>VLOOKUP(Inventory[[#This Row],[Nbhd]],Lookups!$Q$2:$T$4,4,FALSE)</f>
        <v>0.99970000000000003</v>
      </c>
      <c r="BH933" s="25">
        <f>VLOOKUP(Inventory[[#This Row],[Qlty]],Lookups!$O$7:$R$21,4,FALSE)</f>
        <v>0.99180000000000001</v>
      </c>
      <c r="BI933" s="25">
        <f>VLOOKUP(Inventory[[#This Row],[Cnd]],Lookups!$T$7:$W$16,4,FALSE)</f>
        <v>0.99729999999999996</v>
      </c>
      <c r="BJ933" s="25">
        <f>VLOOKUP(Inventory[[#This Row],[LivArea Range]],Lookups!$T$25:$W$37,4,FALSE)</f>
        <v>0.98919999999999997</v>
      </c>
      <c r="BK933" s="25">
        <f>VLOOKUP(Inventory[[#This Row],[Decade]],Lookups!$O$25:$R$42,4,FALSE)</f>
        <v>0.995</v>
      </c>
      <c r="BL933" s="25">
        <f>Inventory[[#This Row],[Nbhd Adj]]*0.95</f>
        <v>0.94971499999999998</v>
      </c>
      <c r="BM933" s="25">
        <f>Inventory[[#This Row],[Nbhd Adj]]*Inventory[[#This Row],[Quality Adj]]*Inventory[[#This Row],[Condition Adj]]*Inventory[[#This Row],[Living Area Adj]]*Inventory[[#This Row],[Decade Adj]]*0.95</f>
        <v>0.92459259062888866</v>
      </c>
      <c r="BN933" s="25">
        <f>ROUND(SUM(Inventory[[#This Row],[Mdl Qlty]:[Mdl WdDeck]])+Inventory[[#This Row],[Mdl Res Intercept]]*Inventory[[#This Row],[Res Adj ]],-2)</f>
        <v>266200</v>
      </c>
      <c r="BO933" s="25">
        <f>ROUND(Inventory[[#This Row],[25Det]]*Inventory[[#This Row],[Det/Nbhd Adj]],-2)</f>
        <v>0</v>
      </c>
      <c r="BP933" s="25">
        <f>Inventory[[#This Row],[Adjusted Res]]+Inventory[[#This Row],[Adj Det ]]</f>
        <v>266200</v>
      </c>
      <c r="BQ933" s="25">
        <f>ROUND((Inventory[[#This Row],[Mdl Land Intercept]]+Inventory[[#This Row],[Mdl LnAcres]])*Inventory[[#This Row],[Det/Nbhd Adj]],-2)</f>
        <v>32100</v>
      </c>
      <c r="BR933" s="25">
        <f>Inventory[[#This Row],[Adjusted Impr Total]]+Inventory[[#This Row],[Adjusted Land Total]]</f>
        <v>298300</v>
      </c>
      <c r="BS933" s="36">
        <f>IFERROR((Inventory[[#This Row],[Adjusted Impr Total]]-Inventory[[#This Row],[24Bldg]])/Inventory[[#This Row],[24Bldg]],0)</f>
        <v>4.1063746578021115E-2</v>
      </c>
      <c r="BT933" s="36">
        <f>(Inventory[[#This Row],[Adjusted Land Total]]-Inventory[[#This Row],[24Lnd]])/Inventory[[#This Row],[24Lnd]]</f>
        <v>-0.39089184060721061</v>
      </c>
      <c r="BU933" s="36">
        <f>(Inventory[[#This Row],[Adjusted Total]]-Inventory[[#This Row],[24Final]])/Inventory[[#This Row],[24Final]]</f>
        <v>-3.2749675745784697E-2</v>
      </c>
    </row>
    <row r="934" spans="1:73" x14ac:dyDescent="0.3">
      <c r="A934" s="25">
        <v>2025</v>
      </c>
      <c r="B934" s="26" t="s">
        <v>1181</v>
      </c>
      <c r="C934" s="26">
        <f>LN(Inventory[[#This Row],[Acres]])</f>
        <v>-0.82098055206983023</v>
      </c>
      <c r="D934" s="25">
        <v>0.44</v>
      </c>
      <c r="E934" s="31"/>
      <c r="F934" s="26" t="s">
        <v>537</v>
      </c>
      <c r="G934" s="26" t="s">
        <v>126</v>
      </c>
      <c r="H934" s="26" t="s">
        <v>349</v>
      </c>
      <c r="I934" s="26" t="s">
        <v>538</v>
      </c>
      <c r="J934" s="26" t="s">
        <v>539</v>
      </c>
      <c r="K934" s="26" t="s">
        <v>241</v>
      </c>
      <c r="L934" s="26" t="s">
        <v>95</v>
      </c>
      <c r="M934" s="26" t="s">
        <v>303</v>
      </c>
      <c r="N934" s="26">
        <v>80</v>
      </c>
      <c r="O934" s="26">
        <f>2024-Inventory[[#This Row],[YrBlt]]</f>
        <v>74</v>
      </c>
      <c r="P934" s="26">
        <f>2024-Inventory[[#This Row],[EffYr]]</f>
        <v>51</v>
      </c>
      <c r="Q934" s="25">
        <v>1950</v>
      </c>
      <c r="R934" s="25">
        <v>1973</v>
      </c>
      <c r="S934" s="25">
        <v>2862</v>
      </c>
      <c r="T934" s="31"/>
      <c r="U934" s="31"/>
      <c r="V934" s="27">
        <f>Inventory[[#This Row],[Bsmt]]-Inventory[[#This Row],[FnBsmt]]</f>
        <v>0</v>
      </c>
      <c r="W934" s="27"/>
      <c r="X934" s="27"/>
      <c r="Y934" s="27">
        <f>Inventory[[#This Row],[MainFn]]+Inventory[[#This Row],[UpprFn]]+Inventory[[#This Row],[FnBsmt]]+Inventory[[#This Row],[AddFn]]</f>
        <v>2862</v>
      </c>
      <c r="Z934" s="27">
        <v>3000</v>
      </c>
      <c r="AA934" s="25">
        <v>8</v>
      </c>
      <c r="AB934" s="27"/>
      <c r="AC934" s="27"/>
      <c r="AD934" s="25">
        <v>20</v>
      </c>
      <c r="AE934" s="27"/>
      <c r="AF934" s="27"/>
      <c r="AG934" s="27"/>
      <c r="AH934" s="27"/>
      <c r="AI934" s="25">
        <v>659905</v>
      </c>
      <c r="AJ934" s="25">
        <v>475132</v>
      </c>
      <c r="AK934" s="25">
        <v>3524</v>
      </c>
      <c r="AL934" s="25">
        <v>519400</v>
      </c>
      <c r="AM934" s="25">
        <v>85900</v>
      </c>
      <c r="AN934" s="25">
        <v>433500</v>
      </c>
      <c r="AO934" s="25">
        <v>0</v>
      </c>
      <c r="AP934" s="25">
        <f>Lookups!$B$56*0</f>
        <v>0</v>
      </c>
      <c r="AQ934" s="25">
        <f>Lookups!$B$56*1</f>
        <v>89850.625589999996</v>
      </c>
      <c r="AR934" s="25">
        <f>Lookups!$B$57*Inventory[[#This Row],[LnAcres]]</f>
        <v>-25987.823906604521</v>
      </c>
      <c r="AS934" s="25">
        <f>VLOOKUP(Inventory[[#This Row],[Qlty]],Lookups!$A$62:$E$75,2,FALSE)</f>
        <v>74268.409664999999</v>
      </c>
      <c r="AT934" s="25">
        <f>VLOOKUP(Inventory[[#This Row],[Cnd]],Lookups!$A$76:$E$84,2,FALSE)</f>
        <v>197752.34721000001</v>
      </c>
      <c r="AU934" s="25">
        <f>Inventory[[#This Row],[EffAge]]*Lookups!$B$85</f>
        <v>-11375.3256255</v>
      </c>
      <c r="AV934" s="25">
        <f>Inventory[[#This Row],[MainFn]]*Lookups!$B$86</f>
        <v>141407.613187974</v>
      </c>
      <c r="AW934" s="25">
        <f>Inventory[[#This Row],[UpprFn]]*Lookups!$B$87</f>
        <v>0</v>
      </c>
      <c r="AX934" s="25">
        <f>Inventory[[#This Row],[AddFn]]*Lookups!$B$88</f>
        <v>0</v>
      </c>
      <c r="AY934" s="25">
        <f>Inventory[[#This Row],[Bsmt]]*Lookups!$B$89</f>
        <v>0</v>
      </c>
      <c r="AZ934" s="25">
        <f>Inventory[[#This Row],[Fixtures]]*Lookups!$B$90</f>
        <v>30336.176841600001</v>
      </c>
      <c r="BA934" s="25">
        <f>Inventory[[#This Row],[WdDeck]]*Lookups!$B$91</f>
        <v>665.91030552000007</v>
      </c>
      <c r="BB934" s="25">
        <f>ROUND(Inventory[[#This Row],[25Det]],-2)</f>
        <v>3500</v>
      </c>
      <c r="BC934" s="25">
        <f>ROUND(SUM(Inventory[[#This Row],[Mdl Qlty]:[Mdl WdDeck]])+Inventory[[#This Row],[Mdl Res Intercept]],-2)</f>
        <v>433100</v>
      </c>
      <c r="BD934" s="25">
        <f>ROUND(Inventory[[#This Row],[Mdl Land Intercept]]+Inventory[[#This Row],[Mdl LnAcres]],-2)</f>
        <v>63900</v>
      </c>
      <c r="BE934" s="25">
        <f>Inventory[[#This Row],[Unadj Res Value]]+Inventory[[#This Row],[Unadj Det Value]]+Inventory[[#This Row],[Unadj Land Value]]</f>
        <v>500500</v>
      </c>
      <c r="BF934" s="36">
        <f>(Inventory[[#This Row],[Unadj Total Value]]-Inventory[[#This Row],[24Final]])/Inventory[[#This Row],[24Final]]</f>
        <v>-3.638814016172507E-2</v>
      </c>
      <c r="BG934" s="25">
        <f>VLOOKUP(Inventory[[#This Row],[Nbhd]],Lookups!$Q$2:$T$4,4,FALSE)</f>
        <v>0.99970000000000003</v>
      </c>
      <c r="BH934" s="25">
        <f>VLOOKUP(Inventory[[#This Row],[Qlty]],Lookups!$O$7:$R$21,4,FALSE)</f>
        <v>0.98380000000000001</v>
      </c>
      <c r="BI934" s="25">
        <f>VLOOKUP(Inventory[[#This Row],[Cnd]],Lookups!$T$7:$W$16,4,FALSE)</f>
        <v>0.99650000000000005</v>
      </c>
      <c r="BJ934" s="25">
        <f>VLOOKUP(Inventory[[#This Row],[LivArea Range]],Lookups!$T$25:$W$37,4,FALSE)</f>
        <v>0.96179999999999999</v>
      </c>
      <c r="BK934" s="25">
        <f>VLOOKUP(Inventory[[#This Row],[Decade]],Lookups!$O$25:$R$42,4,FALSE)</f>
        <v>0.995</v>
      </c>
      <c r="BL934" s="25">
        <f>Inventory[[#This Row],[Nbhd Adj]]*0.95</f>
        <v>0.94971499999999998</v>
      </c>
      <c r="BM934" s="25">
        <f>Inventory[[#This Row],[Nbhd Adj]]*Inventory[[#This Row],[Quality Adj]]*Inventory[[#This Row],[Condition Adj]]*Inventory[[#This Row],[Living Area Adj]]*Inventory[[#This Row],[Decade Adj]]*0.95</f>
        <v>0.8910155268816885</v>
      </c>
      <c r="BN934" s="25">
        <f>ROUND(SUM(Inventory[[#This Row],[Mdl Qlty]:[Mdl WdDeck]])+Inventory[[#This Row],[Mdl Res Intercept]]*Inventory[[#This Row],[Res Adj ]],-2)</f>
        <v>433100</v>
      </c>
      <c r="BO934" s="25">
        <f>ROUND(Inventory[[#This Row],[25Det]]*Inventory[[#This Row],[Det/Nbhd Adj]],-2)</f>
        <v>3300</v>
      </c>
      <c r="BP934" s="25">
        <f>Inventory[[#This Row],[Adjusted Res]]+Inventory[[#This Row],[Adj Det ]]</f>
        <v>436400</v>
      </c>
      <c r="BQ934" s="25">
        <f>ROUND((Inventory[[#This Row],[Mdl Land Intercept]]+Inventory[[#This Row],[Mdl LnAcres]])*Inventory[[#This Row],[Det/Nbhd Adj]],-2)</f>
        <v>60700</v>
      </c>
      <c r="BR934" s="25">
        <f>Inventory[[#This Row],[Adjusted Impr Total]]+Inventory[[#This Row],[Adjusted Land Total]]</f>
        <v>497100</v>
      </c>
      <c r="BS934" s="36">
        <f>IFERROR((Inventory[[#This Row],[Adjusted Impr Total]]-Inventory[[#This Row],[24Bldg]])/Inventory[[#This Row],[24Bldg]],0)</f>
        <v>6.6897347174163782E-3</v>
      </c>
      <c r="BT934" s="36">
        <f>(Inventory[[#This Row],[Adjusted Land Total]]-Inventory[[#This Row],[24Lnd]])/Inventory[[#This Row],[24Lnd]]</f>
        <v>-0.29336437718277064</v>
      </c>
      <c r="BU934" s="36">
        <f>(Inventory[[#This Row],[Adjusted Total]]-Inventory[[#This Row],[24Final]])/Inventory[[#This Row],[24Final]]</f>
        <v>-4.2934154793993068E-2</v>
      </c>
    </row>
    <row r="935" spans="1:73" x14ac:dyDescent="0.3">
      <c r="A935" s="25">
        <v>2025</v>
      </c>
      <c r="B935" s="26" t="s">
        <v>2871</v>
      </c>
      <c r="C935" s="26">
        <f>LN(Inventory[[#This Row],[Acres]])</f>
        <v>-1.2729656758128873</v>
      </c>
      <c r="D935" s="25">
        <v>0.28000000000000003</v>
      </c>
      <c r="E935" s="25">
        <v>12314</v>
      </c>
      <c r="F935" s="26" t="s">
        <v>537</v>
      </c>
      <c r="G935" s="26" t="s">
        <v>126</v>
      </c>
      <c r="H935" s="26" t="s">
        <v>349</v>
      </c>
      <c r="I935" s="26" t="s">
        <v>538</v>
      </c>
      <c r="J935" s="26" t="s">
        <v>539</v>
      </c>
      <c r="K935" s="26" t="s">
        <v>241</v>
      </c>
      <c r="L935" s="26" t="s">
        <v>95</v>
      </c>
      <c r="M935" s="26" t="s">
        <v>323</v>
      </c>
      <c r="N935" s="26">
        <v>80</v>
      </c>
      <c r="O935" s="26">
        <f>2024-Inventory[[#This Row],[YrBlt]]</f>
        <v>74</v>
      </c>
      <c r="P935" s="26">
        <f>2024-Inventory[[#This Row],[EffYr]]</f>
        <v>51</v>
      </c>
      <c r="Q935" s="25">
        <v>1950</v>
      </c>
      <c r="R935" s="25">
        <v>1973</v>
      </c>
      <c r="S935" s="25">
        <v>1688</v>
      </c>
      <c r="T935" s="31"/>
      <c r="U935" s="25">
        <v>720</v>
      </c>
      <c r="V935" s="25">
        <f>Inventory[[#This Row],[Bsmt]]-Inventory[[#This Row],[FnBsmt]]</f>
        <v>0</v>
      </c>
      <c r="W935" s="25">
        <v>720</v>
      </c>
      <c r="X935" s="27"/>
      <c r="Y935" s="27">
        <f>Inventory[[#This Row],[MainFn]]+Inventory[[#This Row],[UpprFn]]+Inventory[[#This Row],[FnBsmt]]+Inventory[[#This Row],[AddFn]]</f>
        <v>2408</v>
      </c>
      <c r="Z935" s="27">
        <v>2500</v>
      </c>
      <c r="AA935" s="25">
        <v>9</v>
      </c>
      <c r="AB935" s="27"/>
      <c r="AC935" s="27"/>
      <c r="AD935" s="31"/>
      <c r="AE935" s="27"/>
      <c r="AF935" s="27"/>
      <c r="AG935" s="27"/>
      <c r="AH935" s="27"/>
      <c r="AI935" s="25">
        <v>525970</v>
      </c>
      <c r="AJ935" s="25">
        <v>368179</v>
      </c>
      <c r="AK935" s="25">
        <v>0</v>
      </c>
      <c r="AL935" s="25">
        <v>433700</v>
      </c>
      <c r="AM935" s="25">
        <v>70100</v>
      </c>
      <c r="AN935" s="25">
        <v>363600</v>
      </c>
      <c r="AO935" s="25">
        <v>0</v>
      </c>
      <c r="AP935" s="25">
        <f>Lookups!$B$56*0</f>
        <v>0</v>
      </c>
      <c r="AQ935" s="25">
        <f>Lookups!$B$56*1</f>
        <v>89850.625589999996</v>
      </c>
      <c r="AR935" s="25">
        <f>Lookups!$B$57*Inventory[[#This Row],[LnAcres]]</f>
        <v>-40295.239319339329</v>
      </c>
      <c r="AS935" s="25">
        <f>VLOOKUP(Inventory[[#This Row],[Qlty]],Lookups!$A$62:$E$75,2,FALSE)</f>
        <v>74268.409664999999</v>
      </c>
      <c r="AT935" s="25">
        <f>VLOOKUP(Inventory[[#This Row],[Cnd]],Lookups!$A$76:$E$84,2,FALSE)</f>
        <v>160472.20319</v>
      </c>
      <c r="AU935" s="25">
        <f>Inventory[[#This Row],[EffAge]]*Lookups!$B$85</f>
        <v>-11375.3256255</v>
      </c>
      <c r="AV935" s="25">
        <f>Inventory[[#This Row],[MainFn]]*Lookups!$B$86</f>
        <v>83401.834752376002</v>
      </c>
      <c r="AW935" s="25">
        <f>Inventory[[#This Row],[UpprFn]]*Lookups!$B$87</f>
        <v>0</v>
      </c>
      <c r="AX935" s="25">
        <f>Inventory[[#This Row],[AddFn]]*Lookups!$B$88</f>
        <v>0</v>
      </c>
      <c r="AY935" s="25">
        <f>Inventory[[#This Row],[Bsmt]]*Lookups!$B$89</f>
        <v>20938.964577839997</v>
      </c>
      <c r="AZ935" s="25">
        <f>Inventory[[#This Row],[Fixtures]]*Lookups!$B$90</f>
        <v>34128.198946800003</v>
      </c>
      <c r="BA935" s="25">
        <f>Inventory[[#This Row],[WdDeck]]*Lookups!$B$91</f>
        <v>0</v>
      </c>
      <c r="BB935" s="25">
        <f>ROUND(Inventory[[#This Row],[25Det]],-2)</f>
        <v>0</v>
      </c>
      <c r="BC935" s="25">
        <f>ROUND(SUM(Inventory[[#This Row],[Mdl Qlty]:[Mdl WdDeck]])+Inventory[[#This Row],[Mdl Res Intercept]],-2)</f>
        <v>361800</v>
      </c>
      <c r="BD935" s="25">
        <f>ROUND(Inventory[[#This Row],[Mdl Land Intercept]]+Inventory[[#This Row],[Mdl LnAcres]],-2)</f>
        <v>49600</v>
      </c>
      <c r="BE935" s="25">
        <f>Inventory[[#This Row],[Unadj Res Value]]+Inventory[[#This Row],[Unadj Det Value]]+Inventory[[#This Row],[Unadj Land Value]]</f>
        <v>411400</v>
      </c>
      <c r="BF935" s="36">
        <f>(Inventory[[#This Row],[Unadj Total Value]]-Inventory[[#This Row],[24Final]])/Inventory[[#This Row],[24Final]]</f>
        <v>-5.1418030896933364E-2</v>
      </c>
      <c r="BG935" s="25">
        <f>VLOOKUP(Inventory[[#This Row],[Nbhd]],Lookups!$Q$2:$T$4,4,FALSE)</f>
        <v>0.99970000000000003</v>
      </c>
      <c r="BH935" s="25">
        <f>VLOOKUP(Inventory[[#This Row],[Qlty]],Lookups!$O$7:$R$21,4,FALSE)</f>
        <v>0.98380000000000001</v>
      </c>
      <c r="BI935" s="25">
        <f>VLOOKUP(Inventory[[#This Row],[Cnd]],Lookups!$T$7:$W$16,4,FALSE)</f>
        <v>0.99729999999999996</v>
      </c>
      <c r="BJ935" s="25">
        <f>VLOOKUP(Inventory[[#This Row],[LivArea Range]],Lookups!$T$25:$W$37,4,FALSE)</f>
        <v>0.98919999999999997</v>
      </c>
      <c r="BK935" s="25">
        <f>VLOOKUP(Inventory[[#This Row],[Decade]],Lookups!$O$25:$R$42,4,FALSE)</f>
        <v>0.995</v>
      </c>
      <c r="BL935" s="25">
        <f>Inventory[[#This Row],[Nbhd Adj]]*0.95</f>
        <v>0.94971499999999998</v>
      </c>
      <c r="BM935" s="25">
        <f>Inventory[[#This Row],[Nbhd Adj]]*Inventory[[#This Row],[Quality Adj]]*Inventory[[#This Row],[Condition Adj]]*Inventory[[#This Row],[Living Area Adj]]*Inventory[[#This Row],[Decade Adj]]*0.95</f>
        <v>0.91713469516102109</v>
      </c>
      <c r="BN935" s="25">
        <f>ROUND(SUM(Inventory[[#This Row],[Mdl Qlty]:[Mdl WdDeck]])+Inventory[[#This Row],[Mdl Res Intercept]]*Inventory[[#This Row],[Res Adj ]],-2)</f>
        <v>361800</v>
      </c>
      <c r="BO935" s="25">
        <f>ROUND(Inventory[[#This Row],[25Det]]*Inventory[[#This Row],[Det/Nbhd Adj]],-2)</f>
        <v>0</v>
      </c>
      <c r="BP935" s="25">
        <f>Inventory[[#This Row],[Adjusted Res]]+Inventory[[#This Row],[Adj Det ]]</f>
        <v>361800</v>
      </c>
      <c r="BQ935" s="25">
        <f>ROUND((Inventory[[#This Row],[Mdl Land Intercept]]+Inventory[[#This Row],[Mdl LnAcres]])*Inventory[[#This Row],[Det/Nbhd Adj]],-2)</f>
        <v>47100</v>
      </c>
      <c r="BR935" s="25">
        <f>Inventory[[#This Row],[Adjusted Impr Total]]+Inventory[[#This Row],[Adjusted Land Total]]</f>
        <v>408900</v>
      </c>
      <c r="BS935" s="36">
        <f>IFERROR((Inventory[[#This Row],[Adjusted Impr Total]]-Inventory[[#This Row],[24Bldg]])/Inventory[[#This Row],[24Bldg]],0)</f>
        <v>-4.9504950495049506E-3</v>
      </c>
      <c r="BT935" s="36">
        <f>(Inventory[[#This Row],[Adjusted Land Total]]-Inventory[[#This Row],[24Lnd]])/Inventory[[#This Row],[24Lnd]]</f>
        <v>-0.32810271041369471</v>
      </c>
      <c r="BU935" s="36">
        <f>(Inventory[[#This Row],[Adjusted Total]]-Inventory[[#This Row],[24Final]])/Inventory[[#This Row],[24Final]]</f>
        <v>-5.7182384136499884E-2</v>
      </c>
    </row>
    <row r="936" spans="1:73" x14ac:dyDescent="0.3">
      <c r="A936" s="25">
        <v>2025</v>
      </c>
      <c r="B936" s="26" t="s">
        <v>1500</v>
      </c>
      <c r="C936" s="26">
        <f>LN(Inventory[[#This Row],[Acres]])</f>
        <v>-1.5141277326297755</v>
      </c>
      <c r="D936" s="25">
        <v>0.22</v>
      </c>
      <c r="E936" s="25">
        <v>9656</v>
      </c>
      <c r="F936" s="26" t="s">
        <v>537</v>
      </c>
      <c r="G936" s="26" t="s">
        <v>126</v>
      </c>
      <c r="H936" s="26" t="s">
        <v>349</v>
      </c>
      <c r="I936" s="26" t="s">
        <v>538</v>
      </c>
      <c r="J936" s="26" t="s">
        <v>539</v>
      </c>
      <c r="K936" s="26" t="s">
        <v>242</v>
      </c>
      <c r="L936" s="26" t="s">
        <v>95</v>
      </c>
      <c r="M936" s="26" t="s">
        <v>323</v>
      </c>
      <c r="N936" s="26">
        <v>80</v>
      </c>
      <c r="O936" s="26">
        <f>2024-Inventory[[#This Row],[YrBlt]]</f>
        <v>74</v>
      </c>
      <c r="P936" s="26">
        <f>2024-Inventory[[#This Row],[EffYr]]</f>
        <v>51</v>
      </c>
      <c r="Q936" s="25">
        <v>1950</v>
      </c>
      <c r="R936" s="25">
        <v>1973</v>
      </c>
      <c r="S936" s="25">
        <v>1504</v>
      </c>
      <c r="T936" s="31"/>
      <c r="U936" s="25">
        <v>1504</v>
      </c>
      <c r="V936" s="25">
        <f>Inventory[[#This Row],[Bsmt]]-Inventory[[#This Row],[FnBsmt]]</f>
        <v>0</v>
      </c>
      <c r="W936" s="25">
        <v>1504</v>
      </c>
      <c r="X936" s="27"/>
      <c r="Y936" s="27">
        <f>Inventory[[#This Row],[MainFn]]+Inventory[[#This Row],[UpprFn]]+Inventory[[#This Row],[FnBsmt]]+Inventory[[#This Row],[AddFn]]</f>
        <v>3008</v>
      </c>
      <c r="Z936" s="27">
        <v>3500</v>
      </c>
      <c r="AA936" s="25">
        <v>9</v>
      </c>
      <c r="AB936" s="32">
        <v>400</v>
      </c>
      <c r="AC936" s="27"/>
      <c r="AD936" s="27"/>
      <c r="AE936" s="27"/>
      <c r="AF936" s="27"/>
      <c r="AG936" s="27"/>
      <c r="AH936" s="27"/>
      <c r="AI936" s="25">
        <v>519144</v>
      </c>
      <c r="AJ936" s="25">
        <v>363401</v>
      </c>
      <c r="AK936" s="25">
        <v>0</v>
      </c>
      <c r="AL936" s="25">
        <v>443800</v>
      </c>
      <c r="AM936" s="25">
        <v>61700</v>
      </c>
      <c r="AN936" s="25">
        <v>382100</v>
      </c>
      <c r="AO936" s="25">
        <v>0</v>
      </c>
      <c r="AP936" s="25">
        <f>Lookups!$B$56*0</f>
        <v>0</v>
      </c>
      <c r="AQ936" s="25">
        <f>Lookups!$B$56*1</f>
        <v>89850.625589999996</v>
      </c>
      <c r="AR936" s="25">
        <f>Lookups!$B$57*Inventory[[#This Row],[LnAcres]]</f>
        <v>-47929.131559187132</v>
      </c>
      <c r="AS936" s="25">
        <f>VLOOKUP(Inventory[[#This Row],[Qlty]],Lookups!$A$62:$E$75,2,FALSE)</f>
        <v>74268.409664999999</v>
      </c>
      <c r="AT936" s="25">
        <f>VLOOKUP(Inventory[[#This Row],[Cnd]],Lookups!$A$76:$E$84,2,FALSE)</f>
        <v>160472.20319</v>
      </c>
      <c r="AU936" s="25">
        <f>Inventory[[#This Row],[EffAge]]*Lookups!$B$85</f>
        <v>-11375.3256255</v>
      </c>
      <c r="AV936" s="25">
        <f>Inventory[[#This Row],[MainFn]]*Lookups!$B$86</f>
        <v>74310.639495007999</v>
      </c>
      <c r="AW936" s="25">
        <f>Inventory[[#This Row],[UpprFn]]*Lookups!$B$87</f>
        <v>0</v>
      </c>
      <c r="AX936" s="25">
        <f>Inventory[[#This Row],[AddFn]]*Lookups!$B$88</f>
        <v>0</v>
      </c>
      <c r="AY936" s="25">
        <f>Inventory[[#This Row],[Bsmt]]*Lookups!$B$89</f>
        <v>43739.170451487997</v>
      </c>
      <c r="AZ936" s="25">
        <f>Inventory[[#This Row],[Fixtures]]*Lookups!$B$90</f>
        <v>34128.198946800003</v>
      </c>
      <c r="BA936" s="25">
        <f>Inventory[[#This Row],[WdDeck]]*Lookups!$B$91</f>
        <v>0</v>
      </c>
      <c r="BB936" s="25">
        <f>ROUND(Inventory[[#This Row],[25Det]],-2)</f>
        <v>0</v>
      </c>
      <c r="BC936" s="25">
        <f>ROUND(SUM(Inventory[[#This Row],[Mdl Qlty]:[Mdl WdDeck]])+Inventory[[#This Row],[Mdl Res Intercept]],-2)</f>
        <v>375500</v>
      </c>
      <c r="BD936" s="25">
        <f>ROUND(Inventory[[#This Row],[Mdl Land Intercept]]+Inventory[[#This Row],[Mdl LnAcres]],-2)</f>
        <v>41900</v>
      </c>
      <c r="BE936" s="25">
        <f>Inventory[[#This Row],[Unadj Res Value]]+Inventory[[#This Row],[Unadj Det Value]]+Inventory[[#This Row],[Unadj Land Value]]</f>
        <v>417400</v>
      </c>
      <c r="BF936" s="36">
        <f>(Inventory[[#This Row],[Unadj Total Value]]-Inventory[[#This Row],[24Final]])/Inventory[[#This Row],[24Final]]</f>
        <v>-5.9486255069851286E-2</v>
      </c>
      <c r="BG936" s="25">
        <f>VLOOKUP(Inventory[[#This Row],[Nbhd]],Lookups!$Q$2:$T$4,4,FALSE)</f>
        <v>0.99970000000000003</v>
      </c>
      <c r="BH936" s="25">
        <f>VLOOKUP(Inventory[[#This Row],[Qlty]],Lookups!$O$7:$R$21,4,FALSE)</f>
        <v>0.98380000000000001</v>
      </c>
      <c r="BI936" s="25">
        <f>VLOOKUP(Inventory[[#This Row],[Cnd]],Lookups!$T$7:$W$16,4,FALSE)</f>
        <v>0.99729999999999996</v>
      </c>
      <c r="BJ936" s="25">
        <f>VLOOKUP(Inventory[[#This Row],[LivArea Range]],Lookups!$T$25:$W$37,4,FALSE)</f>
        <v>1.0126999999999999</v>
      </c>
      <c r="BK936" s="25">
        <f>VLOOKUP(Inventory[[#This Row],[Decade]],Lookups!$O$25:$R$42,4,FALSE)</f>
        <v>0.995</v>
      </c>
      <c r="BL936" s="25">
        <f>Inventory[[#This Row],[Nbhd Adj]]*0.95</f>
        <v>0.94971499999999998</v>
      </c>
      <c r="BM936" s="25">
        <f>Inventory[[#This Row],[Nbhd Adj]]*Inventory[[#This Row],[Quality Adj]]*Inventory[[#This Row],[Condition Adj]]*Inventory[[#This Row],[Living Area Adj]]*Inventory[[#This Row],[Decade Adj]]*0.95</f>
        <v>0.93892267063239576</v>
      </c>
      <c r="BN936" s="25">
        <f>ROUND(SUM(Inventory[[#This Row],[Mdl Qlty]:[Mdl WdDeck]])+Inventory[[#This Row],[Mdl Res Intercept]]*Inventory[[#This Row],[Res Adj ]],-2)</f>
        <v>375500</v>
      </c>
      <c r="BO936" s="25">
        <f>ROUND(Inventory[[#This Row],[25Det]]*Inventory[[#This Row],[Det/Nbhd Adj]],-2)</f>
        <v>0</v>
      </c>
      <c r="BP936" s="25">
        <f>Inventory[[#This Row],[Adjusted Res]]+Inventory[[#This Row],[Adj Det ]]</f>
        <v>375500</v>
      </c>
      <c r="BQ936" s="25">
        <f>ROUND((Inventory[[#This Row],[Mdl Land Intercept]]+Inventory[[#This Row],[Mdl LnAcres]])*Inventory[[#This Row],[Det/Nbhd Adj]],-2)</f>
        <v>39800</v>
      </c>
      <c r="BR936" s="25">
        <f>Inventory[[#This Row],[Adjusted Impr Total]]+Inventory[[#This Row],[Adjusted Land Total]]</f>
        <v>415300</v>
      </c>
      <c r="BS936" s="36">
        <f>IFERROR((Inventory[[#This Row],[Adjusted Impr Total]]-Inventory[[#This Row],[24Bldg]])/Inventory[[#This Row],[24Bldg]],0)</f>
        <v>-1.7272965192358023E-2</v>
      </c>
      <c r="BT936" s="36">
        <f>(Inventory[[#This Row],[Adjusted Land Total]]-Inventory[[#This Row],[24Lnd]])/Inventory[[#This Row],[24Lnd]]</f>
        <v>-0.35494327390599678</v>
      </c>
      <c r="BU936" s="36">
        <f>(Inventory[[#This Row],[Adjusted Total]]-Inventory[[#This Row],[24Final]])/Inventory[[#This Row],[24Final]]</f>
        <v>-6.4218116268589448E-2</v>
      </c>
    </row>
    <row r="937" spans="1:73" x14ac:dyDescent="0.3">
      <c r="A937" s="25">
        <v>2025</v>
      </c>
      <c r="B937" s="26" t="s">
        <v>935</v>
      </c>
      <c r="C937" s="26">
        <f>LN(Inventory[[#This Row],[Acres]])</f>
        <v>-1.1394342831883648</v>
      </c>
      <c r="D937" s="25">
        <v>0.32</v>
      </c>
      <c r="E937" s="32">
        <v>13837</v>
      </c>
      <c r="F937" s="26" t="s">
        <v>537</v>
      </c>
      <c r="G937" s="26" t="s">
        <v>126</v>
      </c>
      <c r="H937" s="26" t="s">
        <v>349</v>
      </c>
      <c r="I937" s="26" t="s">
        <v>538</v>
      </c>
      <c r="J937" s="26" t="s">
        <v>539</v>
      </c>
      <c r="K937" s="26" t="s">
        <v>241</v>
      </c>
      <c r="L937" s="26" t="s">
        <v>31</v>
      </c>
      <c r="M937" s="26" t="s">
        <v>303</v>
      </c>
      <c r="N937" s="26">
        <v>80</v>
      </c>
      <c r="O937" s="26">
        <f>2024-Inventory[[#This Row],[YrBlt]]</f>
        <v>74</v>
      </c>
      <c r="P937" s="26">
        <f>2024-Inventory[[#This Row],[EffYr]]</f>
        <v>51</v>
      </c>
      <c r="Q937" s="25">
        <v>1950</v>
      </c>
      <c r="R937" s="25">
        <v>1973</v>
      </c>
      <c r="S937" s="25">
        <v>1194</v>
      </c>
      <c r="T937" s="27"/>
      <c r="U937" s="25">
        <v>240</v>
      </c>
      <c r="V937" s="32">
        <f>Inventory[[#This Row],[Bsmt]]-Inventory[[#This Row],[FnBsmt]]</f>
        <v>0</v>
      </c>
      <c r="W937" s="32">
        <v>240</v>
      </c>
      <c r="X937" s="27"/>
      <c r="Y937" s="27">
        <f>Inventory[[#This Row],[MainFn]]+Inventory[[#This Row],[UpprFn]]+Inventory[[#This Row],[FnBsmt]]+Inventory[[#This Row],[AddFn]]</f>
        <v>1434</v>
      </c>
      <c r="Z937" s="27">
        <v>1500</v>
      </c>
      <c r="AA937" s="25">
        <v>5</v>
      </c>
      <c r="AB937" s="27"/>
      <c r="AC937" s="27"/>
      <c r="AD937" s="27"/>
      <c r="AE937" s="27"/>
      <c r="AF937" s="27"/>
      <c r="AG937" s="27"/>
      <c r="AH937" s="27"/>
      <c r="AI937" s="25">
        <v>193179</v>
      </c>
      <c r="AJ937" s="25">
        <v>137157</v>
      </c>
      <c r="AK937" s="25">
        <v>0</v>
      </c>
      <c r="AL937" s="25">
        <v>299200</v>
      </c>
      <c r="AM937" s="25">
        <v>74800</v>
      </c>
      <c r="AN937" s="25">
        <v>224400</v>
      </c>
      <c r="AO937" s="25">
        <v>0</v>
      </c>
      <c r="AP937" s="25">
        <f>Lookups!$B$56*0</f>
        <v>0</v>
      </c>
      <c r="AQ937" s="25">
        <f>Lookups!$B$56*1</f>
        <v>89850.625589999996</v>
      </c>
      <c r="AR937" s="25">
        <f>Lookups!$B$57*Inventory[[#This Row],[LnAcres]]</f>
        <v>-36068.354396449467</v>
      </c>
      <c r="AS937" s="25">
        <f>VLOOKUP(Inventory[[#This Row],[Qlty]],Lookups!$A$62:$E$75,2,FALSE)</f>
        <v>-43578.886190266698</v>
      </c>
      <c r="AT937" s="25">
        <f>VLOOKUP(Inventory[[#This Row],[Cnd]],Lookups!$A$76:$E$84,2,FALSE)</f>
        <v>197752.34721000001</v>
      </c>
      <c r="AU937" s="25">
        <f>Inventory[[#This Row],[EffAge]]*Lookups!$B$85</f>
        <v>-11375.3256255</v>
      </c>
      <c r="AV937" s="25">
        <f>Inventory[[#This Row],[MainFn]]*Lookups!$B$86</f>
        <v>58993.951833138002</v>
      </c>
      <c r="AW937" s="25">
        <f>Inventory[[#This Row],[UpprFn]]*Lookups!$B$87</f>
        <v>0</v>
      </c>
      <c r="AX937" s="25">
        <f>Inventory[[#This Row],[AddFn]]*Lookups!$B$88</f>
        <v>0</v>
      </c>
      <c r="AY937" s="25">
        <f>Inventory[[#This Row],[Bsmt]]*Lookups!$B$89</f>
        <v>6979.65485928</v>
      </c>
      <c r="AZ937" s="25">
        <f>Inventory[[#This Row],[Fixtures]]*Lookups!$B$90</f>
        <v>18960.110526</v>
      </c>
      <c r="BA937" s="25">
        <f>Inventory[[#This Row],[WdDeck]]*Lookups!$B$91</f>
        <v>0</v>
      </c>
      <c r="BB937" s="25">
        <f>ROUND(Inventory[[#This Row],[25Det]],-2)</f>
        <v>0</v>
      </c>
      <c r="BC937" s="25">
        <f>ROUND(SUM(Inventory[[#This Row],[Mdl Qlty]:[Mdl WdDeck]])+Inventory[[#This Row],[Mdl Res Intercept]],-2)</f>
        <v>227700</v>
      </c>
      <c r="BD937" s="25">
        <f>ROUND(Inventory[[#This Row],[Mdl Land Intercept]]+Inventory[[#This Row],[Mdl LnAcres]],-2)</f>
        <v>53800</v>
      </c>
      <c r="BE937" s="25">
        <f>Inventory[[#This Row],[Unadj Res Value]]+Inventory[[#This Row],[Unadj Det Value]]+Inventory[[#This Row],[Unadj Land Value]]</f>
        <v>281500</v>
      </c>
      <c r="BF937" s="36">
        <f>(Inventory[[#This Row],[Unadj Total Value]]-Inventory[[#This Row],[24Final]])/Inventory[[#This Row],[24Final]]</f>
        <v>-5.9157754010695188E-2</v>
      </c>
      <c r="BG937" s="25">
        <f>VLOOKUP(Inventory[[#This Row],[Nbhd]],Lookups!$Q$2:$T$4,4,FALSE)</f>
        <v>0.99970000000000003</v>
      </c>
      <c r="BH937" s="25">
        <f>VLOOKUP(Inventory[[#This Row],[Qlty]],Lookups!$O$7:$R$21,4,FALSE)</f>
        <v>1</v>
      </c>
      <c r="BI937" s="25">
        <f>VLOOKUP(Inventory[[#This Row],[Cnd]],Lookups!$T$7:$W$16,4,FALSE)</f>
        <v>0.99650000000000005</v>
      </c>
      <c r="BJ937" s="25">
        <f>VLOOKUP(Inventory[[#This Row],[LivArea Range]],Lookups!$T$25:$W$37,4,FALSE)</f>
        <v>1.0157</v>
      </c>
      <c r="BK937" s="25">
        <f>VLOOKUP(Inventory[[#This Row],[Decade]],Lookups!$O$25:$R$42,4,FALSE)</f>
        <v>0.995</v>
      </c>
      <c r="BL937" s="25">
        <f>Inventory[[#This Row],[Nbhd Adj]]*0.95</f>
        <v>0.94971499999999998</v>
      </c>
      <c r="BM937" s="25">
        <f>Inventory[[#This Row],[Nbhd Adj]]*Inventory[[#This Row],[Quality Adj]]*Inventory[[#This Row],[Condition Adj]]*Inventory[[#This Row],[Living Area Adj]]*Inventory[[#This Row],[Decade Adj]]*0.95</f>
        <v>0.95644308947994638</v>
      </c>
      <c r="BN937" s="25">
        <f>ROUND(SUM(Inventory[[#This Row],[Mdl Qlty]:[Mdl WdDeck]])+Inventory[[#This Row],[Mdl Res Intercept]]*Inventory[[#This Row],[Res Adj ]],-2)</f>
        <v>227700</v>
      </c>
      <c r="BO937" s="25">
        <f>ROUND(Inventory[[#This Row],[25Det]]*Inventory[[#This Row],[Det/Nbhd Adj]],-2)</f>
        <v>0</v>
      </c>
      <c r="BP937" s="25">
        <f>Inventory[[#This Row],[Adjusted Res]]+Inventory[[#This Row],[Adj Det ]]</f>
        <v>227700</v>
      </c>
      <c r="BQ937" s="25">
        <f>ROUND((Inventory[[#This Row],[Mdl Land Intercept]]+Inventory[[#This Row],[Mdl LnAcres]])*Inventory[[#This Row],[Det/Nbhd Adj]],-2)</f>
        <v>51100</v>
      </c>
      <c r="BR937" s="25">
        <f>Inventory[[#This Row],[Adjusted Impr Total]]+Inventory[[#This Row],[Adjusted Land Total]]</f>
        <v>278800</v>
      </c>
      <c r="BS937" s="36">
        <f>IFERROR((Inventory[[#This Row],[Adjusted Impr Total]]-Inventory[[#This Row],[24Bldg]])/Inventory[[#This Row],[24Bldg]],0)</f>
        <v>1.4705882352941176E-2</v>
      </c>
      <c r="BT937" s="36">
        <f>(Inventory[[#This Row],[Adjusted Land Total]]-Inventory[[#This Row],[24Lnd]])/Inventory[[#This Row],[24Lnd]]</f>
        <v>-0.31684491978609625</v>
      </c>
      <c r="BU937" s="36">
        <f>(Inventory[[#This Row],[Adjusted Total]]-Inventory[[#This Row],[24Final]])/Inventory[[#This Row],[24Final]]</f>
        <v>-6.8181818181818177E-2</v>
      </c>
    </row>
    <row r="938" spans="1:73" x14ac:dyDescent="0.3">
      <c r="A938" s="25">
        <v>2025</v>
      </c>
      <c r="B938" s="26" t="s">
        <v>1877</v>
      </c>
      <c r="C938" s="26">
        <f>LN(Inventory[[#This Row],[Acres]])</f>
        <v>-1.3470736479666092</v>
      </c>
      <c r="D938" s="25">
        <v>0.26</v>
      </c>
      <c r="E938" s="32">
        <v>11200</v>
      </c>
      <c r="F938" s="26" t="s">
        <v>537</v>
      </c>
      <c r="G938" s="26" t="s">
        <v>126</v>
      </c>
      <c r="H938" s="26" t="s">
        <v>349</v>
      </c>
      <c r="I938" s="26" t="s">
        <v>538</v>
      </c>
      <c r="J938" s="26" t="s">
        <v>539</v>
      </c>
      <c r="K938" s="26" t="s">
        <v>241</v>
      </c>
      <c r="L938" s="26" t="s">
        <v>148</v>
      </c>
      <c r="M938" s="26" t="s">
        <v>303</v>
      </c>
      <c r="N938" s="26">
        <v>80</v>
      </c>
      <c r="O938" s="26">
        <f>2024-Inventory[[#This Row],[YrBlt]]</f>
        <v>74</v>
      </c>
      <c r="P938" s="26">
        <f>2024-Inventory[[#This Row],[EffYr]]</f>
        <v>51</v>
      </c>
      <c r="Q938" s="25">
        <v>1950</v>
      </c>
      <c r="R938" s="25">
        <v>1973</v>
      </c>
      <c r="S938" s="25">
        <v>1328</v>
      </c>
      <c r="T938" s="31"/>
      <c r="U938" s="25">
        <v>1328</v>
      </c>
      <c r="V938" s="25">
        <f>Inventory[[#This Row],[Bsmt]]-Inventory[[#This Row],[FnBsmt]]</f>
        <v>578</v>
      </c>
      <c r="W938" s="25">
        <v>750</v>
      </c>
      <c r="X938" s="27"/>
      <c r="Y938" s="27">
        <f>Inventory[[#This Row],[MainFn]]+Inventory[[#This Row],[UpprFn]]+Inventory[[#This Row],[FnBsmt]]+Inventory[[#This Row],[AddFn]]</f>
        <v>2078</v>
      </c>
      <c r="Z938" s="27">
        <v>2500</v>
      </c>
      <c r="AA938" s="25">
        <v>8</v>
      </c>
      <c r="AB938" s="27"/>
      <c r="AC938" s="27"/>
      <c r="AD938" s="27"/>
      <c r="AE938" s="27"/>
      <c r="AF938" s="27"/>
      <c r="AG938" s="27"/>
      <c r="AH938" s="27"/>
      <c r="AI938" s="25">
        <v>415544</v>
      </c>
      <c r="AJ938" s="25">
        <v>295036</v>
      </c>
      <c r="AK938" s="25">
        <v>12013</v>
      </c>
      <c r="AL938" s="25">
        <v>454800</v>
      </c>
      <c r="AM938" s="25">
        <v>67600</v>
      </c>
      <c r="AN938" s="25">
        <v>387200</v>
      </c>
      <c r="AO938" s="25">
        <v>0</v>
      </c>
      <c r="AP938" s="25">
        <f>Lookups!$B$56*0</f>
        <v>0</v>
      </c>
      <c r="AQ938" s="25">
        <f>Lookups!$B$56*1</f>
        <v>89850.625589999996</v>
      </c>
      <c r="AR938" s="25">
        <f>Lookups!$B$57*Inventory[[#This Row],[LnAcres]]</f>
        <v>-42641.098701210125</v>
      </c>
      <c r="AS938" s="25">
        <f>VLOOKUP(Inventory[[#This Row],[Qlty]],Lookups!$A$62:$E$75,2,FALSE)</f>
        <v>44121.038090000002</v>
      </c>
      <c r="AT938" s="25">
        <f>VLOOKUP(Inventory[[#This Row],[Cnd]],Lookups!$A$76:$E$84,2,FALSE)</f>
        <v>197752.34721000001</v>
      </c>
      <c r="AU938" s="25">
        <f>Inventory[[#This Row],[EffAge]]*Lookups!$B$85</f>
        <v>-11375.3256255</v>
      </c>
      <c r="AV938" s="25">
        <f>Inventory[[#This Row],[MainFn]]*Lookups!$B$86</f>
        <v>65614.713596656002</v>
      </c>
      <c r="AW938" s="25">
        <f>Inventory[[#This Row],[UpprFn]]*Lookups!$B$87</f>
        <v>0</v>
      </c>
      <c r="AX938" s="25">
        <f>Inventory[[#This Row],[AddFn]]*Lookups!$B$88</f>
        <v>0</v>
      </c>
      <c r="AY938" s="25">
        <f>Inventory[[#This Row],[Bsmt]]*Lookups!$B$89</f>
        <v>38620.756888015996</v>
      </c>
      <c r="AZ938" s="25">
        <f>Inventory[[#This Row],[Fixtures]]*Lookups!$B$90</f>
        <v>30336.176841600001</v>
      </c>
      <c r="BA938" s="25">
        <f>Inventory[[#This Row],[WdDeck]]*Lookups!$B$91</f>
        <v>0</v>
      </c>
      <c r="BB938" s="25">
        <f>ROUND(Inventory[[#This Row],[25Det]],-2)</f>
        <v>12000</v>
      </c>
      <c r="BC938" s="25">
        <f>ROUND(SUM(Inventory[[#This Row],[Mdl Qlty]:[Mdl WdDeck]])+Inventory[[#This Row],[Mdl Res Intercept]],-2)</f>
        <v>365100</v>
      </c>
      <c r="BD938" s="25">
        <f>ROUND(Inventory[[#This Row],[Mdl Land Intercept]]+Inventory[[#This Row],[Mdl LnAcres]],-2)</f>
        <v>47200</v>
      </c>
      <c r="BE938" s="25">
        <f>Inventory[[#This Row],[Unadj Res Value]]+Inventory[[#This Row],[Unadj Det Value]]+Inventory[[#This Row],[Unadj Land Value]]</f>
        <v>424300</v>
      </c>
      <c r="BF938" s="36">
        <f>(Inventory[[#This Row],[Unadj Total Value]]-Inventory[[#This Row],[24Final]])/Inventory[[#This Row],[24Final]]</f>
        <v>-6.7062445030782764E-2</v>
      </c>
      <c r="BG938" s="25">
        <f>VLOOKUP(Inventory[[#This Row],[Nbhd]],Lookups!$Q$2:$T$4,4,FALSE)</f>
        <v>0.99970000000000003</v>
      </c>
      <c r="BH938" s="25">
        <f>VLOOKUP(Inventory[[#This Row],[Qlty]],Lookups!$O$7:$R$21,4,FALSE)</f>
        <v>0.98050000000000004</v>
      </c>
      <c r="BI938" s="25">
        <f>VLOOKUP(Inventory[[#This Row],[Cnd]],Lookups!$T$7:$W$16,4,FALSE)</f>
        <v>0.99650000000000005</v>
      </c>
      <c r="BJ938" s="25">
        <f>VLOOKUP(Inventory[[#This Row],[LivArea Range]],Lookups!$T$25:$W$37,4,FALSE)</f>
        <v>0.98919999999999997</v>
      </c>
      <c r="BK938" s="25">
        <f>VLOOKUP(Inventory[[#This Row],[Decade]],Lookups!$O$25:$R$42,4,FALSE)</f>
        <v>0.995</v>
      </c>
      <c r="BL938" s="25">
        <f>Inventory[[#This Row],[Nbhd Adj]]*0.95</f>
        <v>0.94971499999999998</v>
      </c>
      <c r="BM938" s="25">
        <f>Inventory[[#This Row],[Nbhd Adj]]*Inventory[[#This Row],[Quality Adj]]*Inventory[[#This Row],[Condition Adj]]*Inventory[[#This Row],[Living Area Adj]]*Inventory[[#This Row],[Decade Adj]]*0.95</f>
        <v>0.91332508691872449</v>
      </c>
      <c r="BN938" s="25">
        <f>ROUND(SUM(Inventory[[#This Row],[Mdl Qlty]:[Mdl WdDeck]])+Inventory[[#This Row],[Mdl Res Intercept]]*Inventory[[#This Row],[Res Adj ]],-2)</f>
        <v>365100</v>
      </c>
      <c r="BO938" s="25">
        <f>ROUND(Inventory[[#This Row],[25Det]]*Inventory[[#This Row],[Det/Nbhd Adj]],-2)</f>
        <v>11400</v>
      </c>
      <c r="BP938" s="25">
        <f>Inventory[[#This Row],[Adjusted Res]]+Inventory[[#This Row],[Adj Det ]]</f>
        <v>376500</v>
      </c>
      <c r="BQ938" s="25">
        <f>ROUND((Inventory[[#This Row],[Mdl Land Intercept]]+Inventory[[#This Row],[Mdl LnAcres]])*Inventory[[#This Row],[Det/Nbhd Adj]],-2)</f>
        <v>44800</v>
      </c>
      <c r="BR938" s="25">
        <f>Inventory[[#This Row],[Adjusted Impr Total]]+Inventory[[#This Row],[Adjusted Land Total]]</f>
        <v>421300</v>
      </c>
      <c r="BS938" s="36">
        <f>IFERROR((Inventory[[#This Row],[Adjusted Impr Total]]-Inventory[[#This Row],[24Bldg]])/Inventory[[#This Row],[24Bldg]],0)</f>
        <v>-2.7634297520661159E-2</v>
      </c>
      <c r="BT938" s="36">
        <f>(Inventory[[#This Row],[Adjusted Land Total]]-Inventory[[#This Row],[24Lnd]])/Inventory[[#This Row],[24Lnd]]</f>
        <v>-0.33727810650887574</v>
      </c>
      <c r="BU938" s="36">
        <f>(Inventory[[#This Row],[Adjusted Total]]-Inventory[[#This Row],[24Final]])/Inventory[[#This Row],[24Final]]</f>
        <v>-7.3658751099384343E-2</v>
      </c>
    </row>
    <row r="939" spans="1:73" x14ac:dyDescent="0.3">
      <c r="A939" s="25">
        <v>2025</v>
      </c>
      <c r="B939" s="26" t="s">
        <v>994</v>
      </c>
      <c r="C939" s="26">
        <f>LN(Inventory[[#This Row],[Acres]])</f>
        <v>-0.94160853985844495</v>
      </c>
      <c r="D939" s="25">
        <v>0.39</v>
      </c>
      <c r="E939" s="32">
        <v>17036</v>
      </c>
      <c r="F939" s="26" t="s">
        <v>537</v>
      </c>
      <c r="G939" s="26" t="s">
        <v>126</v>
      </c>
      <c r="H939" s="26" t="s">
        <v>349</v>
      </c>
      <c r="I939" s="26" t="s">
        <v>538</v>
      </c>
      <c r="J939" s="26" t="s">
        <v>638</v>
      </c>
      <c r="K939" s="26" t="s">
        <v>242</v>
      </c>
      <c r="L939" s="26" t="s">
        <v>31</v>
      </c>
      <c r="M939" s="26" t="s">
        <v>323</v>
      </c>
      <c r="N939" s="26">
        <v>80</v>
      </c>
      <c r="O939" s="26">
        <f>2024-Inventory[[#This Row],[YrBlt]]</f>
        <v>74</v>
      </c>
      <c r="P939" s="26">
        <f>2024-Inventory[[#This Row],[EffYr]]</f>
        <v>51</v>
      </c>
      <c r="Q939" s="25">
        <v>1950</v>
      </c>
      <c r="R939" s="25">
        <v>1973</v>
      </c>
      <c r="S939" s="25">
        <v>2151</v>
      </c>
      <c r="T939" s="27"/>
      <c r="U939" s="31"/>
      <c r="V939" s="31">
        <f>Inventory[[#This Row],[Bsmt]]-Inventory[[#This Row],[FnBsmt]]</f>
        <v>0</v>
      </c>
      <c r="W939" s="31"/>
      <c r="X939" s="27"/>
      <c r="Y939" s="27">
        <f>Inventory[[#This Row],[MainFn]]+Inventory[[#This Row],[UpprFn]]+Inventory[[#This Row],[FnBsmt]]+Inventory[[#This Row],[AddFn]]</f>
        <v>2151</v>
      </c>
      <c r="Z939" s="27">
        <v>2500</v>
      </c>
      <c r="AA939" s="25">
        <v>8</v>
      </c>
      <c r="AB939" s="32">
        <v>1020</v>
      </c>
      <c r="AC939" s="27"/>
      <c r="AD939" s="31"/>
      <c r="AE939" s="27"/>
      <c r="AF939" s="27"/>
      <c r="AG939" s="27"/>
      <c r="AH939" s="27"/>
      <c r="AI939" s="25">
        <v>327206</v>
      </c>
      <c r="AJ939" s="25">
        <v>225772</v>
      </c>
      <c r="AK939" s="25">
        <v>0</v>
      </c>
      <c r="AL939" s="25">
        <v>335400</v>
      </c>
      <c r="AM939" s="25">
        <v>81700</v>
      </c>
      <c r="AN939" s="25">
        <v>253700</v>
      </c>
      <c r="AO939" s="25">
        <v>0</v>
      </c>
      <c r="AP939" s="25">
        <f>Lookups!$B$56*0</f>
        <v>0</v>
      </c>
      <c r="AQ939" s="25">
        <f>Lookups!$B$56*1</f>
        <v>89850.625589999996</v>
      </c>
      <c r="AR939" s="25">
        <f>Lookups!$B$57*Inventory[[#This Row],[LnAcres]]</f>
        <v>-29806.256507663158</v>
      </c>
      <c r="AS939" s="25">
        <f>VLOOKUP(Inventory[[#This Row],[Qlty]],Lookups!$A$62:$E$75,2,FALSE)</f>
        <v>-43578.886190266698</v>
      </c>
      <c r="AT939" s="25">
        <f>VLOOKUP(Inventory[[#This Row],[Cnd]],Lookups!$A$76:$E$84,2,FALSE)</f>
        <v>160472.20319</v>
      </c>
      <c r="AU939" s="25">
        <f>Inventory[[#This Row],[EffAge]]*Lookups!$B$85</f>
        <v>-11375.3256255</v>
      </c>
      <c r="AV939" s="25">
        <f>Inventory[[#This Row],[MainFn]]*Lookups!$B$86</f>
        <v>106278.048905427</v>
      </c>
      <c r="AW939" s="25">
        <f>Inventory[[#This Row],[UpprFn]]*Lookups!$B$87</f>
        <v>0</v>
      </c>
      <c r="AX939" s="25">
        <f>Inventory[[#This Row],[AddFn]]*Lookups!$B$88</f>
        <v>0</v>
      </c>
      <c r="AY939" s="25">
        <f>Inventory[[#This Row],[Bsmt]]*Lookups!$B$89</f>
        <v>0</v>
      </c>
      <c r="AZ939" s="25">
        <f>Inventory[[#This Row],[Fixtures]]*Lookups!$B$90</f>
        <v>30336.176841600001</v>
      </c>
      <c r="BA939" s="25">
        <f>Inventory[[#This Row],[WdDeck]]*Lookups!$B$91</f>
        <v>0</v>
      </c>
      <c r="BB939" s="25">
        <f>ROUND(Inventory[[#This Row],[25Det]],-2)</f>
        <v>0</v>
      </c>
      <c r="BC939" s="25">
        <f>ROUND(SUM(Inventory[[#This Row],[Mdl Qlty]:[Mdl WdDeck]])+Inventory[[#This Row],[Mdl Res Intercept]],-2)</f>
        <v>242100</v>
      </c>
      <c r="BD939" s="25">
        <f>ROUND(Inventory[[#This Row],[Mdl Land Intercept]]+Inventory[[#This Row],[Mdl LnAcres]],-2)</f>
        <v>60000</v>
      </c>
      <c r="BE939" s="25">
        <f>Inventory[[#This Row],[Unadj Res Value]]+Inventory[[#This Row],[Unadj Det Value]]+Inventory[[#This Row],[Unadj Land Value]]</f>
        <v>302100</v>
      </c>
      <c r="BF939" s="36">
        <f>(Inventory[[#This Row],[Unadj Total Value]]-Inventory[[#This Row],[24Final]])/Inventory[[#This Row],[24Final]]</f>
        <v>-9.9284436493738817E-2</v>
      </c>
      <c r="BG939" s="25">
        <f>VLOOKUP(Inventory[[#This Row],[Nbhd]],Lookups!$Q$2:$T$4,4,FALSE)</f>
        <v>0.99970000000000003</v>
      </c>
      <c r="BH939" s="25">
        <f>VLOOKUP(Inventory[[#This Row],[Qlty]],Lookups!$O$7:$R$21,4,FALSE)</f>
        <v>1</v>
      </c>
      <c r="BI939" s="25">
        <f>VLOOKUP(Inventory[[#This Row],[Cnd]],Lookups!$T$7:$W$16,4,FALSE)</f>
        <v>0.99729999999999996</v>
      </c>
      <c r="BJ939" s="25">
        <f>VLOOKUP(Inventory[[#This Row],[LivArea Range]],Lookups!$T$25:$W$37,4,FALSE)</f>
        <v>0.98919999999999997</v>
      </c>
      <c r="BK939" s="25">
        <f>VLOOKUP(Inventory[[#This Row],[Decade]],Lookups!$O$25:$R$42,4,FALSE)</f>
        <v>0.995</v>
      </c>
      <c r="BL939" s="25">
        <f>Inventory[[#This Row],[Nbhd Adj]]*0.95</f>
        <v>0.94971499999999998</v>
      </c>
      <c r="BM939" s="25">
        <f>Inventory[[#This Row],[Nbhd Adj]]*Inventory[[#This Row],[Quality Adj]]*Inventory[[#This Row],[Condition Adj]]*Inventory[[#This Row],[Living Area Adj]]*Inventory[[#This Row],[Decade Adj]]*0.95</f>
        <v>0.93223693348345293</v>
      </c>
      <c r="BN939" s="25">
        <f>ROUND(SUM(Inventory[[#This Row],[Mdl Qlty]:[Mdl WdDeck]])+Inventory[[#This Row],[Mdl Res Intercept]]*Inventory[[#This Row],[Res Adj ]],-2)</f>
        <v>242100</v>
      </c>
      <c r="BO939" s="25">
        <f>ROUND(Inventory[[#This Row],[25Det]]*Inventory[[#This Row],[Det/Nbhd Adj]],-2)</f>
        <v>0</v>
      </c>
      <c r="BP939" s="25">
        <f>Inventory[[#This Row],[Adjusted Res]]+Inventory[[#This Row],[Adj Det ]]</f>
        <v>242100</v>
      </c>
      <c r="BQ939" s="25">
        <f>ROUND((Inventory[[#This Row],[Mdl Land Intercept]]+Inventory[[#This Row],[Mdl LnAcres]])*Inventory[[#This Row],[Det/Nbhd Adj]],-2)</f>
        <v>57000</v>
      </c>
      <c r="BR939" s="25">
        <f>Inventory[[#This Row],[Adjusted Impr Total]]+Inventory[[#This Row],[Adjusted Land Total]]</f>
        <v>299100</v>
      </c>
      <c r="BS939" s="36">
        <f>IFERROR((Inventory[[#This Row],[Adjusted Impr Total]]-Inventory[[#This Row],[24Bldg]])/Inventory[[#This Row],[24Bldg]],0)</f>
        <v>-4.572329523058731E-2</v>
      </c>
      <c r="BT939" s="36">
        <f>(Inventory[[#This Row],[Adjusted Land Total]]-Inventory[[#This Row],[24Lnd]])/Inventory[[#This Row],[24Lnd]]</f>
        <v>-0.30232558139534882</v>
      </c>
      <c r="BU939" s="36">
        <f>(Inventory[[#This Row],[Adjusted Total]]-Inventory[[#This Row],[24Final]])/Inventory[[#This Row],[24Final]]</f>
        <v>-0.10822898032200358</v>
      </c>
    </row>
    <row r="940" spans="1:73" x14ac:dyDescent="0.3">
      <c r="A940" s="25">
        <v>2025</v>
      </c>
      <c r="B940" s="26" t="s">
        <v>847</v>
      </c>
      <c r="C940" s="26">
        <f>LN(Inventory[[#This Row],[Acres]])</f>
        <v>-1.7147984280919266</v>
      </c>
      <c r="D940" s="25">
        <v>0.18</v>
      </c>
      <c r="E940" s="32">
        <v>8025</v>
      </c>
      <c r="F940" s="26" t="s">
        <v>537</v>
      </c>
      <c r="G940" s="26" t="s">
        <v>126</v>
      </c>
      <c r="H940" s="26" t="s">
        <v>349</v>
      </c>
      <c r="I940" s="26" t="s">
        <v>538</v>
      </c>
      <c r="J940" s="26" t="s">
        <v>539</v>
      </c>
      <c r="K940" s="26" t="s">
        <v>242</v>
      </c>
      <c r="L940" s="26" t="s">
        <v>31</v>
      </c>
      <c r="M940" s="26" t="s">
        <v>323</v>
      </c>
      <c r="N940" s="26">
        <v>80</v>
      </c>
      <c r="O940" s="26">
        <f>2024-Inventory[[#This Row],[YrBlt]]</f>
        <v>74</v>
      </c>
      <c r="P940" s="26">
        <f>2024-Inventory[[#This Row],[EffYr]]</f>
        <v>51</v>
      </c>
      <c r="Q940" s="25">
        <v>1950</v>
      </c>
      <c r="R940" s="25">
        <v>1973</v>
      </c>
      <c r="S940" s="25">
        <v>1089</v>
      </c>
      <c r="T940" s="27"/>
      <c r="U940" s="25">
        <v>1089</v>
      </c>
      <c r="V940" s="32">
        <f>Inventory[[#This Row],[Bsmt]]-Inventory[[#This Row],[FnBsmt]]</f>
        <v>0</v>
      </c>
      <c r="W940" s="32">
        <v>1089</v>
      </c>
      <c r="X940" s="27"/>
      <c r="Y940" s="27">
        <f>Inventory[[#This Row],[MainFn]]+Inventory[[#This Row],[UpprFn]]+Inventory[[#This Row],[FnBsmt]]+Inventory[[#This Row],[AddFn]]</f>
        <v>2178</v>
      </c>
      <c r="Z940" s="27">
        <v>2500</v>
      </c>
      <c r="AA940" s="25">
        <v>9</v>
      </c>
      <c r="AB940" s="27"/>
      <c r="AC940" s="27"/>
      <c r="AD940" s="27"/>
      <c r="AE940" s="27"/>
      <c r="AF940" s="27"/>
      <c r="AG940" s="27"/>
      <c r="AH940" s="27"/>
      <c r="AI940" s="25">
        <v>235628</v>
      </c>
      <c r="AJ940" s="25">
        <v>162583</v>
      </c>
      <c r="AK940" s="25">
        <v>0</v>
      </c>
      <c r="AL940" s="25">
        <v>298400</v>
      </c>
      <c r="AM940" s="25">
        <v>54700</v>
      </c>
      <c r="AN940" s="25">
        <v>243700</v>
      </c>
      <c r="AO940" s="25">
        <v>0</v>
      </c>
      <c r="AP940" s="25">
        <f>Lookups!$B$56*0</f>
        <v>0</v>
      </c>
      <c r="AQ940" s="25">
        <f>Lookups!$B$56*1</f>
        <v>89850.625589999996</v>
      </c>
      <c r="AR940" s="25">
        <f>Lookups!$B$57*Inventory[[#This Row],[LnAcres]]</f>
        <v>-54281.285314520763</v>
      </c>
      <c r="AS940" s="25">
        <f>VLOOKUP(Inventory[[#This Row],[Qlty]],Lookups!$A$62:$E$75,2,FALSE)</f>
        <v>-43578.886190266698</v>
      </c>
      <c r="AT940" s="25">
        <f>VLOOKUP(Inventory[[#This Row],[Cnd]],Lookups!$A$76:$E$84,2,FALSE)</f>
        <v>160472.20319</v>
      </c>
      <c r="AU940" s="25">
        <f>Inventory[[#This Row],[EffAge]]*Lookups!$B$85</f>
        <v>-11375.3256255</v>
      </c>
      <c r="AV940" s="25">
        <f>Inventory[[#This Row],[MainFn]]*Lookups!$B$86</f>
        <v>53806.041496053003</v>
      </c>
      <c r="AW940" s="25">
        <f>Inventory[[#This Row],[UpprFn]]*Lookups!$B$87</f>
        <v>0</v>
      </c>
      <c r="AX940" s="25">
        <f>Inventory[[#This Row],[AddFn]]*Lookups!$B$88</f>
        <v>0</v>
      </c>
      <c r="AY940" s="25">
        <f>Inventory[[#This Row],[Bsmt]]*Lookups!$B$89</f>
        <v>31670.183923982997</v>
      </c>
      <c r="AZ940" s="25">
        <f>Inventory[[#This Row],[Fixtures]]*Lookups!$B$90</f>
        <v>34128.198946800003</v>
      </c>
      <c r="BA940" s="25">
        <f>Inventory[[#This Row],[WdDeck]]*Lookups!$B$91</f>
        <v>0</v>
      </c>
      <c r="BB940" s="25">
        <f>ROUND(Inventory[[#This Row],[25Det]],-2)</f>
        <v>0</v>
      </c>
      <c r="BC940" s="25">
        <f>ROUND(SUM(Inventory[[#This Row],[Mdl Qlty]:[Mdl WdDeck]])+Inventory[[#This Row],[Mdl Res Intercept]],-2)</f>
        <v>225100</v>
      </c>
      <c r="BD940" s="25">
        <f>ROUND(Inventory[[#This Row],[Mdl Land Intercept]]+Inventory[[#This Row],[Mdl LnAcres]],-2)</f>
        <v>35600</v>
      </c>
      <c r="BE940" s="25">
        <f>Inventory[[#This Row],[Unadj Res Value]]+Inventory[[#This Row],[Unadj Det Value]]+Inventory[[#This Row],[Unadj Land Value]]</f>
        <v>260700</v>
      </c>
      <c r="BF940" s="36">
        <f>(Inventory[[#This Row],[Unadj Total Value]]-Inventory[[#This Row],[24Final]])/Inventory[[#This Row],[24Final]]</f>
        <v>-0.12634048257372654</v>
      </c>
      <c r="BG940" s="25">
        <f>VLOOKUP(Inventory[[#This Row],[Nbhd]],Lookups!$Q$2:$T$4,4,FALSE)</f>
        <v>0.99970000000000003</v>
      </c>
      <c r="BH940" s="25">
        <f>VLOOKUP(Inventory[[#This Row],[Qlty]],Lookups!$O$7:$R$21,4,FALSE)</f>
        <v>1</v>
      </c>
      <c r="BI940" s="25">
        <f>VLOOKUP(Inventory[[#This Row],[Cnd]],Lookups!$T$7:$W$16,4,FALSE)</f>
        <v>0.99729999999999996</v>
      </c>
      <c r="BJ940" s="25">
        <f>VLOOKUP(Inventory[[#This Row],[LivArea Range]],Lookups!$T$25:$W$37,4,FALSE)</f>
        <v>0.98919999999999997</v>
      </c>
      <c r="BK940" s="25">
        <f>VLOOKUP(Inventory[[#This Row],[Decade]],Lookups!$O$25:$R$42,4,FALSE)</f>
        <v>0.995</v>
      </c>
      <c r="BL940" s="25">
        <f>Inventory[[#This Row],[Nbhd Adj]]*0.95</f>
        <v>0.94971499999999998</v>
      </c>
      <c r="BM940" s="25">
        <f>Inventory[[#This Row],[Nbhd Adj]]*Inventory[[#This Row],[Quality Adj]]*Inventory[[#This Row],[Condition Adj]]*Inventory[[#This Row],[Living Area Adj]]*Inventory[[#This Row],[Decade Adj]]*0.95</f>
        <v>0.93223693348345293</v>
      </c>
      <c r="BN940" s="25">
        <f>ROUND(SUM(Inventory[[#This Row],[Mdl Qlty]:[Mdl WdDeck]])+Inventory[[#This Row],[Mdl Res Intercept]]*Inventory[[#This Row],[Res Adj ]],-2)</f>
        <v>225100</v>
      </c>
      <c r="BO940" s="25">
        <f>ROUND(Inventory[[#This Row],[25Det]]*Inventory[[#This Row],[Det/Nbhd Adj]],-2)</f>
        <v>0</v>
      </c>
      <c r="BP940" s="25">
        <f>Inventory[[#This Row],[Adjusted Res]]+Inventory[[#This Row],[Adj Det ]]</f>
        <v>225100</v>
      </c>
      <c r="BQ940" s="25">
        <f>ROUND((Inventory[[#This Row],[Mdl Land Intercept]]+Inventory[[#This Row],[Mdl LnAcres]])*Inventory[[#This Row],[Det/Nbhd Adj]],-2)</f>
        <v>33800</v>
      </c>
      <c r="BR940" s="25">
        <f>Inventory[[#This Row],[Adjusted Impr Total]]+Inventory[[#This Row],[Adjusted Land Total]]</f>
        <v>258900</v>
      </c>
      <c r="BS940" s="36">
        <f>IFERROR((Inventory[[#This Row],[Adjusted Impr Total]]-Inventory[[#This Row],[24Bldg]])/Inventory[[#This Row],[24Bldg]],0)</f>
        <v>-7.6323348379154693E-2</v>
      </c>
      <c r="BT940" s="36">
        <f>(Inventory[[#This Row],[Adjusted Land Total]]-Inventory[[#This Row],[24Lnd]])/Inventory[[#This Row],[24Lnd]]</f>
        <v>-0.38208409506398539</v>
      </c>
      <c r="BU940" s="36">
        <f>(Inventory[[#This Row],[Adjusted Total]]-Inventory[[#This Row],[24Final]])/Inventory[[#This Row],[24Final]]</f>
        <v>-0.13237265415549598</v>
      </c>
    </row>
    <row r="941" spans="1:73" x14ac:dyDescent="0.3">
      <c r="A941" s="25">
        <v>2025</v>
      </c>
      <c r="B941" s="26" t="s">
        <v>1929</v>
      </c>
      <c r="C941" s="26">
        <f>LN(Inventory[[#This Row],[Acres]])</f>
        <v>-1.7719568419318752</v>
      </c>
      <c r="D941" s="25">
        <v>0.17</v>
      </c>
      <c r="E941" s="32">
        <v>7199</v>
      </c>
      <c r="F941" s="26" t="s">
        <v>537</v>
      </c>
      <c r="G941" s="26" t="s">
        <v>126</v>
      </c>
      <c r="H941" s="26" t="s">
        <v>349</v>
      </c>
      <c r="I941" s="26" t="s">
        <v>538</v>
      </c>
      <c r="J941" s="26" t="s">
        <v>539</v>
      </c>
      <c r="K941" s="26" t="s">
        <v>242</v>
      </c>
      <c r="L941" s="26" t="s">
        <v>31</v>
      </c>
      <c r="M941" s="26" t="s">
        <v>323</v>
      </c>
      <c r="N941" s="26">
        <v>80</v>
      </c>
      <c r="O941" s="26">
        <f>2024-Inventory[[#This Row],[YrBlt]]</f>
        <v>74</v>
      </c>
      <c r="P941" s="26">
        <f>2024-Inventory[[#This Row],[EffYr]]</f>
        <v>51</v>
      </c>
      <c r="Q941" s="25">
        <v>1950</v>
      </c>
      <c r="R941" s="25">
        <v>1973</v>
      </c>
      <c r="S941" s="25">
        <v>528</v>
      </c>
      <c r="T941" s="27"/>
      <c r="U941" s="31"/>
      <c r="V941" s="31">
        <f>Inventory[[#This Row],[Bsmt]]-Inventory[[#This Row],[FnBsmt]]</f>
        <v>0</v>
      </c>
      <c r="W941" s="31"/>
      <c r="X941" s="27"/>
      <c r="Y941" s="27">
        <f>Inventory[[#This Row],[MainFn]]+Inventory[[#This Row],[UpprFn]]+Inventory[[#This Row],[FnBsmt]]+Inventory[[#This Row],[AddFn]]</f>
        <v>528</v>
      </c>
      <c r="Z941" s="27">
        <v>1000</v>
      </c>
      <c r="AA941" s="25">
        <v>5</v>
      </c>
      <c r="AB941" s="27"/>
      <c r="AC941" s="27"/>
      <c r="AD941" s="27"/>
      <c r="AE941" s="27"/>
      <c r="AF941" s="27"/>
      <c r="AG941" s="27"/>
      <c r="AH941" s="27"/>
      <c r="AI941" s="25">
        <v>86601</v>
      </c>
      <c r="AJ941" s="25">
        <v>59755</v>
      </c>
      <c r="AK941" s="25">
        <v>0</v>
      </c>
      <c r="AL941" s="25">
        <v>211200</v>
      </c>
      <c r="AM941" s="25">
        <v>52700</v>
      </c>
      <c r="AN941" s="25">
        <v>158500</v>
      </c>
      <c r="AO941" s="25">
        <v>0</v>
      </c>
      <c r="AP941" s="25">
        <f>Lookups!$B$56*0</f>
        <v>0</v>
      </c>
      <c r="AQ941" s="25">
        <f>Lookups!$B$56*1</f>
        <v>89850.625589999996</v>
      </c>
      <c r="AR941" s="25">
        <f>Lookups!$B$57*Inventory[[#This Row],[LnAcres]]</f>
        <v>-56090.612940989391</v>
      </c>
      <c r="AS941" s="25">
        <f>VLOOKUP(Inventory[[#This Row],[Qlty]],Lookups!$A$62:$E$75,2,FALSE)</f>
        <v>-43578.886190266698</v>
      </c>
      <c r="AT941" s="25">
        <f>VLOOKUP(Inventory[[#This Row],[Cnd]],Lookups!$A$76:$E$84,2,FALSE)</f>
        <v>160472.20319</v>
      </c>
      <c r="AU941" s="25">
        <f>Inventory[[#This Row],[EffAge]]*Lookups!$B$85</f>
        <v>-11375.3256255</v>
      </c>
      <c r="AV941" s="25">
        <f>Inventory[[#This Row],[MainFn]]*Lookups!$B$86</f>
        <v>26087.777695056</v>
      </c>
      <c r="AW941" s="25">
        <f>Inventory[[#This Row],[UpprFn]]*Lookups!$B$87</f>
        <v>0</v>
      </c>
      <c r="AX941" s="25">
        <f>Inventory[[#This Row],[AddFn]]*Lookups!$B$88</f>
        <v>0</v>
      </c>
      <c r="AY941" s="25">
        <f>Inventory[[#This Row],[Bsmt]]*Lookups!$B$89</f>
        <v>0</v>
      </c>
      <c r="AZ941" s="25">
        <f>Inventory[[#This Row],[Fixtures]]*Lookups!$B$90</f>
        <v>18960.110526</v>
      </c>
      <c r="BA941" s="25">
        <f>Inventory[[#This Row],[WdDeck]]*Lookups!$B$91</f>
        <v>0</v>
      </c>
      <c r="BB941" s="25">
        <f>ROUND(Inventory[[#This Row],[25Det]],-2)</f>
        <v>0</v>
      </c>
      <c r="BC941" s="25">
        <f>ROUND(SUM(Inventory[[#This Row],[Mdl Qlty]:[Mdl WdDeck]])+Inventory[[#This Row],[Mdl Res Intercept]],-2)</f>
        <v>150600</v>
      </c>
      <c r="BD941" s="25">
        <f>ROUND(Inventory[[#This Row],[Mdl Land Intercept]]+Inventory[[#This Row],[Mdl LnAcres]],-2)</f>
        <v>33800</v>
      </c>
      <c r="BE941" s="25">
        <f>Inventory[[#This Row],[Unadj Res Value]]+Inventory[[#This Row],[Unadj Det Value]]+Inventory[[#This Row],[Unadj Land Value]]</f>
        <v>184400</v>
      </c>
      <c r="BF941" s="36">
        <f>(Inventory[[#This Row],[Unadj Total Value]]-Inventory[[#This Row],[24Final]])/Inventory[[#This Row],[24Final]]</f>
        <v>-0.12689393939393939</v>
      </c>
      <c r="BG941" s="25">
        <f>VLOOKUP(Inventory[[#This Row],[Nbhd]],Lookups!$Q$2:$T$4,4,FALSE)</f>
        <v>0.99970000000000003</v>
      </c>
      <c r="BH941" s="25">
        <f>VLOOKUP(Inventory[[#This Row],[Qlty]],Lookups!$O$7:$R$21,4,FALSE)</f>
        <v>1</v>
      </c>
      <c r="BI941" s="25">
        <f>VLOOKUP(Inventory[[#This Row],[Cnd]],Lookups!$T$7:$W$16,4,FALSE)</f>
        <v>0.99729999999999996</v>
      </c>
      <c r="BJ941" s="25">
        <f>VLOOKUP(Inventory[[#This Row],[LivArea Range]],Lookups!$T$25:$W$37,4,FALSE)</f>
        <v>1.0148999999999999</v>
      </c>
      <c r="BK941" s="25">
        <f>VLOOKUP(Inventory[[#This Row],[Decade]],Lookups!$O$25:$R$42,4,FALSE)</f>
        <v>0.995</v>
      </c>
      <c r="BL941" s="25">
        <f>Inventory[[#This Row],[Nbhd Adj]]*0.95</f>
        <v>0.94971499999999998</v>
      </c>
      <c r="BM941" s="25">
        <f>Inventory[[#This Row],[Nbhd Adj]]*Inventory[[#This Row],[Quality Adj]]*Inventory[[#This Row],[Condition Adj]]*Inventory[[#This Row],[Living Area Adj]]*Inventory[[#This Row],[Decade Adj]]*0.95</f>
        <v>0.95645699938572204</v>
      </c>
      <c r="BN941" s="25">
        <f>ROUND(SUM(Inventory[[#This Row],[Mdl Qlty]:[Mdl WdDeck]])+Inventory[[#This Row],[Mdl Res Intercept]]*Inventory[[#This Row],[Res Adj ]],-2)</f>
        <v>150600</v>
      </c>
      <c r="BO941" s="25">
        <f>ROUND(Inventory[[#This Row],[25Det]]*Inventory[[#This Row],[Det/Nbhd Adj]],-2)</f>
        <v>0</v>
      </c>
      <c r="BP941" s="25">
        <f>Inventory[[#This Row],[Adjusted Res]]+Inventory[[#This Row],[Adj Det ]]</f>
        <v>150600</v>
      </c>
      <c r="BQ941" s="25">
        <f>ROUND((Inventory[[#This Row],[Mdl Land Intercept]]+Inventory[[#This Row],[Mdl LnAcres]])*Inventory[[#This Row],[Det/Nbhd Adj]],-2)</f>
        <v>32100</v>
      </c>
      <c r="BR941" s="25">
        <f>Inventory[[#This Row],[Adjusted Impr Total]]+Inventory[[#This Row],[Adjusted Land Total]]</f>
        <v>182700</v>
      </c>
      <c r="BS941" s="36">
        <f>IFERROR((Inventory[[#This Row],[Adjusted Impr Total]]-Inventory[[#This Row],[24Bldg]])/Inventory[[#This Row],[24Bldg]],0)</f>
        <v>-4.9842271293375394E-2</v>
      </c>
      <c r="BT941" s="36">
        <f>(Inventory[[#This Row],[Adjusted Land Total]]-Inventory[[#This Row],[24Lnd]])/Inventory[[#This Row],[24Lnd]]</f>
        <v>-0.39089184060721061</v>
      </c>
      <c r="BU941" s="36">
        <f>(Inventory[[#This Row],[Adjusted Total]]-Inventory[[#This Row],[24Final]])/Inventory[[#This Row],[24Final]]</f>
        <v>-0.13494318181818182</v>
      </c>
    </row>
    <row r="942" spans="1:73" x14ac:dyDescent="0.3">
      <c r="A942" s="25">
        <v>2025</v>
      </c>
      <c r="B942" s="26" t="s">
        <v>2403</v>
      </c>
      <c r="C942" s="26">
        <f>LN(Inventory[[#This Row],[Acres]])</f>
        <v>-1.7719568419318752</v>
      </c>
      <c r="D942" s="25">
        <v>0.17</v>
      </c>
      <c r="E942" s="32">
        <v>7250</v>
      </c>
      <c r="F942" s="26" t="s">
        <v>537</v>
      </c>
      <c r="G942" s="26" t="s">
        <v>126</v>
      </c>
      <c r="H942" s="26" t="s">
        <v>349</v>
      </c>
      <c r="I942" s="26" t="s">
        <v>538</v>
      </c>
      <c r="J942" s="26" t="s">
        <v>539</v>
      </c>
      <c r="K942" s="26" t="s">
        <v>242</v>
      </c>
      <c r="L942" s="26" t="s">
        <v>351</v>
      </c>
      <c r="M942" s="26" t="s">
        <v>206</v>
      </c>
      <c r="N942" s="26">
        <v>80</v>
      </c>
      <c r="O942" s="26">
        <f>2024-Inventory[[#This Row],[YrBlt]]</f>
        <v>75</v>
      </c>
      <c r="P942" s="26">
        <f>2024-Inventory[[#This Row],[EffYr]]</f>
        <v>51</v>
      </c>
      <c r="Q942" s="25">
        <v>1949</v>
      </c>
      <c r="R942" s="25">
        <v>1973</v>
      </c>
      <c r="S942" s="25">
        <v>1028</v>
      </c>
      <c r="T942" s="31"/>
      <c r="U942" s="25">
        <v>1028</v>
      </c>
      <c r="V942" s="32">
        <f>Inventory[[#This Row],[Bsmt]]-Inventory[[#This Row],[FnBsmt]]</f>
        <v>921</v>
      </c>
      <c r="W942" s="32">
        <v>107</v>
      </c>
      <c r="X942" s="27"/>
      <c r="Y942" s="27">
        <f>Inventory[[#This Row],[MainFn]]+Inventory[[#This Row],[UpprFn]]+Inventory[[#This Row],[FnBsmt]]+Inventory[[#This Row],[AddFn]]</f>
        <v>1135</v>
      </c>
      <c r="Z942" s="27">
        <v>1500</v>
      </c>
      <c r="AA942" s="25">
        <v>5</v>
      </c>
      <c r="AB942" s="27"/>
      <c r="AC942" s="27"/>
      <c r="AD942" s="27"/>
      <c r="AE942" s="27"/>
      <c r="AF942" s="27"/>
      <c r="AG942" s="27"/>
      <c r="AH942" s="27"/>
      <c r="AI942" s="25">
        <v>221116</v>
      </c>
      <c r="AJ942" s="25">
        <v>148148</v>
      </c>
      <c r="AK942" s="25">
        <v>4661</v>
      </c>
      <c r="AL942" s="25">
        <v>251500</v>
      </c>
      <c r="AM942" s="25">
        <v>52700</v>
      </c>
      <c r="AN942" s="25">
        <v>198800</v>
      </c>
      <c r="AO942" s="25">
        <v>0</v>
      </c>
      <c r="AP942" s="25">
        <f>Lookups!$B$56*0</f>
        <v>0</v>
      </c>
      <c r="AQ942" s="25">
        <f>Lookups!$B$56*1</f>
        <v>89850.625589999996</v>
      </c>
      <c r="AR942" s="25">
        <f>Lookups!$B$57*Inventory[[#This Row],[LnAcres]]</f>
        <v>-56090.612940989391</v>
      </c>
      <c r="AS942" s="25">
        <f>VLOOKUP(Inventory[[#This Row],[Qlty]],Lookups!$A$62:$E$75,2,FALSE)</f>
        <v>21557.329055999999</v>
      </c>
      <c r="AT942" s="25">
        <f>VLOOKUP(Inventory[[#This Row],[Cnd]],Lookups!$A$76:$E$84,2,FALSE)</f>
        <v>133714.53821</v>
      </c>
      <c r="AU942" s="25">
        <f>Inventory[[#This Row],[EffAge]]*Lookups!$B$85</f>
        <v>-11375.3256255</v>
      </c>
      <c r="AV942" s="25">
        <f>Inventory[[#This Row],[MainFn]]*Lookups!$B$86</f>
        <v>50792.112633556004</v>
      </c>
      <c r="AW942" s="25">
        <f>Inventory[[#This Row],[UpprFn]]*Lookups!$B$87</f>
        <v>0</v>
      </c>
      <c r="AX942" s="25">
        <f>Inventory[[#This Row],[AddFn]]*Lookups!$B$88</f>
        <v>0</v>
      </c>
      <c r="AY942" s="25">
        <f>Inventory[[#This Row],[Bsmt]]*Lookups!$B$89</f>
        <v>29896.188313915998</v>
      </c>
      <c r="AZ942" s="25">
        <f>Inventory[[#This Row],[Fixtures]]*Lookups!$B$90</f>
        <v>18960.110526</v>
      </c>
      <c r="BA942" s="25">
        <f>Inventory[[#This Row],[WdDeck]]*Lookups!$B$91</f>
        <v>0</v>
      </c>
      <c r="BB942" s="25">
        <f>ROUND(Inventory[[#This Row],[25Det]],-2)</f>
        <v>4700</v>
      </c>
      <c r="BC942" s="25">
        <f>ROUND(SUM(Inventory[[#This Row],[Mdl Qlty]:[Mdl WdDeck]])+Inventory[[#This Row],[Mdl Res Intercept]],-2)</f>
        <v>243500</v>
      </c>
      <c r="BD942" s="25">
        <f>ROUND(Inventory[[#This Row],[Mdl Land Intercept]]+Inventory[[#This Row],[Mdl LnAcres]],-2)</f>
        <v>33800</v>
      </c>
      <c r="BE942" s="25">
        <f>Inventory[[#This Row],[Unadj Res Value]]+Inventory[[#This Row],[Unadj Det Value]]+Inventory[[#This Row],[Unadj Land Value]]</f>
        <v>282000</v>
      </c>
      <c r="BF942" s="36">
        <f>(Inventory[[#This Row],[Unadj Total Value]]-Inventory[[#This Row],[24Final]])/Inventory[[#This Row],[24Final]]</f>
        <v>0.12127236580516898</v>
      </c>
      <c r="BG942" s="25">
        <f>VLOOKUP(Inventory[[#This Row],[Nbhd]],Lookups!$Q$2:$T$4,4,FALSE)</f>
        <v>0.99970000000000003</v>
      </c>
      <c r="BH942" s="25">
        <f>VLOOKUP(Inventory[[#This Row],[Qlty]],Lookups!$O$7:$R$21,4,FALSE)</f>
        <v>1.0067999999999999</v>
      </c>
      <c r="BI942" s="25">
        <f>VLOOKUP(Inventory[[#This Row],[Cnd]],Lookups!$T$7:$W$16,4,FALSE)</f>
        <v>0.99329999999999996</v>
      </c>
      <c r="BJ942" s="25">
        <f>VLOOKUP(Inventory[[#This Row],[LivArea Range]],Lookups!$T$25:$W$37,4,FALSE)</f>
        <v>1.0157</v>
      </c>
      <c r="BK942" s="25">
        <f>VLOOKUP(Inventory[[#This Row],[Decade]],Lookups!$O$25:$R$42,4,FALSE)</f>
        <v>0.995</v>
      </c>
      <c r="BL942" s="25">
        <f>Inventory[[#This Row],[Nbhd Adj]]*0.95</f>
        <v>0.94971499999999998</v>
      </c>
      <c r="BM942" s="25">
        <f>Inventory[[#This Row],[Nbhd Adj]]*Inventory[[#This Row],[Quality Adj]]*Inventory[[#This Row],[Condition Adj]]*Inventory[[#This Row],[Living Area Adj]]*Inventory[[#This Row],[Decade Adj]]*0.95</f>
        <v>0.95985464951504007</v>
      </c>
      <c r="BN942" s="25">
        <f>ROUND(SUM(Inventory[[#This Row],[Mdl Qlty]:[Mdl WdDeck]])+Inventory[[#This Row],[Mdl Res Intercept]]*Inventory[[#This Row],[Res Adj ]],-2)</f>
        <v>243500</v>
      </c>
      <c r="BO942" s="25">
        <f>ROUND(Inventory[[#This Row],[25Det]]*Inventory[[#This Row],[Det/Nbhd Adj]],-2)</f>
        <v>4400</v>
      </c>
      <c r="BP942" s="25">
        <f>Inventory[[#This Row],[Adjusted Res]]+Inventory[[#This Row],[Adj Det ]]</f>
        <v>247900</v>
      </c>
      <c r="BQ942" s="25">
        <f>ROUND((Inventory[[#This Row],[Mdl Land Intercept]]+Inventory[[#This Row],[Mdl LnAcres]])*Inventory[[#This Row],[Det/Nbhd Adj]],-2)</f>
        <v>32100</v>
      </c>
      <c r="BR942" s="25">
        <f>Inventory[[#This Row],[Adjusted Impr Total]]+Inventory[[#This Row],[Adjusted Land Total]]</f>
        <v>280000</v>
      </c>
      <c r="BS942" s="36">
        <f>IFERROR((Inventory[[#This Row],[Adjusted Impr Total]]-Inventory[[#This Row],[24Bldg]])/Inventory[[#This Row],[24Bldg]],0)</f>
        <v>0.24698189134808854</v>
      </c>
      <c r="BT942" s="36">
        <f>(Inventory[[#This Row],[Adjusted Land Total]]-Inventory[[#This Row],[24Lnd]])/Inventory[[#This Row],[24Lnd]]</f>
        <v>-0.39089184060721061</v>
      </c>
      <c r="BU942" s="36">
        <f>(Inventory[[#This Row],[Adjusted Total]]-Inventory[[#This Row],[24Final]])/Inventory[[#This Row],[24Final]]</f>
        <v>0.11332007952286283</v>
      </c>
    </row>
    <row r="943" spans="1:73" x14ac:dyDescent="0.3">
      <c r="A943" s="25">
        <v>2025</v>
      </c>
      <c r="B943" s="26" t="s">
        <v>2610</v>
      </c>
      <c r="C943" s="26">
        <f>LN(Inventory[[#This Row],[Acres]])</f>
        <v>-1.7719568419318752</v>
      </c>
      <c r="D943" s="25">
        <v>0.17</v>
      </c>
      <c r="E943" s="32">
        <v>7348</v>
      </c>
      <c r="F943" s="26" t="s">
        <v>537</v>
      </c>
      <c r="G943" s="26" t="s">
        <v>126</v>
      </c>
      <c r="H943" s="26" t="s">
        <v>349</v>
      </c>
      <c r="I943" s="26" t="s">
        <v>538</v>
      </c>
      <c r="J943" s="26" t="s">
        <v>539</v>
      </c>
      <c r="K943" s="26" t="s">
        <v>269</v>
      </c>
      <c r="L943" s="26" t="s">
        <v>351</v>
      </c>
      <c r="M943" s="26" t="s">
        <v>303</v>
      </c>
      <c r="N943" s="26">
        <v>80</v>
      </c>
      <c r="O943" s="26">
        <f>2024-Inventory[[#This Row],[YrBlt]]</f>
        <v>75</v>
      </c>
      <c r="P943" s="26">
        <f>2024-Inventory[[#This Row],[EffYr]]</f>
        <v>51</v>
      </c>
      <c r="Q943" s="25">
        <v>1949</v>
      </c>
      <c r="R943" s="25">
        <v>1973</v>
      </c>
      <c r="S943" s="25">
        <v>1258</v>
      </c>
      <c r="T943" s="31"/>
      <c r="U943" s="32">
        <v>600</v>
      </c>
      <c r="V943" s="32">
        <f>Inventory[[#This Row],[Bsmt]]-Inventory[[#This Row],[FnBsmt]]</f>
        <v>600</v>
      </c>
      <c r="W943" s="27"/>
      <c r="X943" s="27"/>
      <c r="Y943" s="27">
        <f>Inventory[[#This Row],[MainFn]]+Inventory[[#This Row],[UpprFn]]+Inventory[[#This Row],[FnBsmt]]+Inventory[[#This Row],[AddFn]]</f>
        <v>1258</v>
      </c>
      <c r="Z943" s="27">
        <v>1500</v>
      </c>
      <c r="AA943" s="25">
        <v>5</v>
      </c>
      <c r="AB943" s="27"/>
      <c r="AC943" s="27"/>
      <c r="AD943" s="27"/>
      <c r="AE943" s="27"/>
      <c r="AF943" s="27"/>
      <c r="AG943" s="27"/>
      <c r="AH943" s="27"/>
      <c r="AI943" s="25">
        <v>225969</v>
      </c>
      <c r="AJ943" s="25">
        <v>160438</v>
      </c>
      <c r="AK943" s="25">
        <v>2707</v>
      </c>
      <c r="AL943" s="25">
        <v>308600</v>
      </c>
      <c r="AM943" s="25">
        <v>52700</v>
      </c>
      <c r="AN943" s="25">
        <v>255900</v>
      </c>
      <c r="AO943" s="25">
        <v>0</v>
      </c>
      <c r="AP943" s="25">
        <f>Lookups!$B$56*0</f>
        <v>0</v>
      </c>
      <c r="AQ943" s="25">
        <f>Lookups!$B$56*1</f>
        <v>89850.625589999996</v>
      </c>
      <c r="AR943" s="25">
        <f>Lookups!$B$57*Inventory[[#This Row],[LnAcres]]</f>
        <v>-56090.612940989391</v>
      </c>
      <c r="AS943" s="25">
        <f>VLOOKUP(Inventory[[#This Row],[Qlty]],Lookups!$A$62:$E$75,2,FALSE)</f>
        <v>21557.329055999999</v>
      </c>
      <c r="AT943" s="25">
        <f>VLOOKUP(Inventory[[#This Row],[Cnd]],Lookups!$A$76:$E$84,2,FALSE)</f>
        <v>197752.34721000001</v>
      </c>
      <c r="AU943" s="25">
        <f>Inventory[[#This Row],[EffAge]]*Lookups!$B$85</f>
        <v>-11375.3256255</v>
      </c>
      <c r="AV943" s="25">
        <f>Inventory[[#This Row],[MainFn]]*Lookups!$B$86</f>
        <v>62156.106705266</v>
      </c>
      <c r="AW943" s="25">
        <f>Inventory[[#This Row],[UpprFn]]*Lookups!$B$87</f>
        <v>0</v>
      </c>
      <c r="AX943" s="25">
        <f>Inventory[[#This Row],[AddFn]]*Lookups!$B$88</f>
        <v>0</v>
      </c>
      <c r="AY943" s="25">
        <f>Inventory[[#This Row],[Bsmt]]*Lookups!$B$89</f>
        <v>17449.1371482</v>
      </c>
      <c r="AZ943" s="25">
        <f>Inventory[[#This Row],[Fixtures]]*Lookups!$B$90</f>
        <v>18960.110526</v>
      </c>
      <c r="BA943" s="25">
        <f>Inventory[[#This Row],[WdDeck]]*Lookups!$B$91</f>
        <v>0</v>
      </c>
      <c r="BB943" s="25">
        <f>ROUND(Inventory[[#This Row],[25Det]],-2)</f>
        <v>2700</v>
      </c>
      <c r="BC943" s="25">
        <f>ROUND(SUM(Inventory[[#This Row],[Mdl Qlty]:[Mdl WdDeck]])+Inventory[[#This Row],[Mdl Res Intercept]],-2)</f>
        <v>306500</v>
      </c>
      <c r="BD943" s="25">
        <f>ROUND(Inventory[[#This Row],[Mdl Land Intercept]]+Inventory[[#This Row],[Mdl LnAcres]],-2)</f>
        <v>33800</v>
      </c>
      <c r="BE943" s="25">
        <f>Inventory[[#This Row],[Unadj Res Value]]+Inventory[[#This Row],[Unadj Det Value]]+Inventory[[#This Row],[Unadj Land Value]]</f>
        <v>343000</v>
      </c>
      <c r="BF943" s="36">
        <f>(Inventory[[#This Row],[Unadj Total Value]]-Inventory[[#This Row],[24Final]])/Inventory[[#This Row],[24Final]]</f>
        <v>0.11147116007777058</v>
      </c>
      <c r="BG943" s="25">
        <f>VLOOKUP(Inventory[[#This Row],[Nbhd]],Lookups!$Q$2:$T$4,4,FALSE)</f>
        <v>0.99970000000000003</v>
      </c>
      <c r="BH943" s="25">
        <f>VLOOKUP(Inventory[[#This Row],[Qlty]],Lookups!$O$7:$R$21,4,FALSE)</f>
        <v>1.0067999999999999</v>
      </c>
      <c r="BI943" s="25">
        <f>VLOOKUP(Inventory[[#This Row],[Cnd]],Lookups!$T$7:$W$16,4,FALSE)</f>
        <v>0.99650000000000005</v>
      </c>
      <c r="BJ943" s="25">
        <f>VLOOKUP(Inventory[[#This Row],[LivArea Range]],Lookups!$T$25:$W$37,4,FALSE)</f>
        <v>1.0157</v>
      </c>
      <c r="BK943" s="25">
        <f>VLOOKUP(Inventory[[#This Row],[Decade]],Lookups!$O$25:$R$42,4,FALSE)</f>
        <v>0.995</v>
      </c>
      <c r="BL943" s="25">
        <f>Inventory[[#This Row],[Nbhd Adj]]*0.95</f>
        <v>0.94971499999999998</v>
      </c>
      <c r="BM943" s="25">
        <f>Inventory[[#This Row],[Nbhd Adj]]*Inventory[[#This Row],[Quality Adj]]*Inventory[[#This Row],[Condition Adj]]*Inventory[[#This Row],[Living Area Adj]]*Inventory[[#This Row],[Decade Adj]]*0.95</f>
        <v>0.96294690248840986</v>
      </c>
      <c r="BN943" s="25">
        <f>ROUND(SUM(Inventory[[#This Row],[Mdl Qlty]:[Mdl WdDeck]])+Inventory[[#This Row],[Mdl Res Intercept]]*Inventory[[#This Row],[Res Adj ]],-2)</f>
        <v>306500</v>
      </c>
      <c r="BO943" s="25">
        <f>ROUND(Inventory[[#This Row],[25Det]]*Inventory[[#This Row],[Det/Nbhd Adj]],-2)</f>
        <v>2600</v>
      </c>
      <c r="BP943" s="25">
        <f>Inventory[[#This Row],[Adjusted Res]]+Inventory[[#This Row],[Adj Det ]]</f>
        <v>309100</v>
      </c>
      <c r="BQ943" s="25">
        <f>ROUND((Inventory[[#This Row],[Mdl Land Intercept]]+Inventory[[#This Row],[Mdl LnAcres]])*Inventory[[#This Row],[Det/Nbhd Adj]],-2)</f>
        <v>32100</v>
      </c>
      <c r="BR943" s="25">
        <f>Inventory[[#This Row],[Adjusted Impr Total]]+Inventory[[#This Row],[Adjusted Land Total]]</f>
        <v>341200</v>
      </c>
      <c r="BS943" s="36">
        <f>IFERROR((Inventory[[#This Row],[Adjusted Impr Total]]-Inventory[[#This Row],[24Bldg]])/Inventory[[#This Row],[24Bldg]],0)</f>
        <v>0.20789370847987496</v>
      </c>
      <c r="BT943" s="36">
        <f>(Inventory[[#This Row],[Adjusted Land Total]]-Inventory[[#This Row],[24Lnd]])/Inventory[[#This Row],[24Lnd]]</f>
        <v>-0.39089184060721061</v>
      </c>
      <c r="BU943" s="36">
        <f>(Inventory[[#This Row],[Adjusted Total]]-Inventory[[#This Row],[24Final]])/Inventory[[#This Row],[24Final]]</f>
        <v>0.10563836681788723</v>
      </c>
    </row>
    <row r="944" spans="1:73" x14ac:dyDescent="0.3">
      <c r="A944" s="25">
        <v>2025</v>
      </c>
      <c r="B944" s="26" t="s">
        <v>2496</v>
      </c>
      <c r="C944" s="26">
        <f>LN(Inventory[[#This Row],[Acres]])</f>
        <v>-1.5606477482646683</v>
      </c>
      <c r="D944" s="25">
        <v>0.21</v>
      </c>
      <c r="E944" s="32">
        <v>9101</v>
      </c>
      <c r="F944" s="26" t="s">
        <v>537</v>
      </c>
      <c r="G944" s="26" t="s">
        <v>126</v>
      </c>
      <c r="H944" s="26" t="s">
        <v>349</v>
      </c>
      <c r="I944" s="26" t="s">
        <v>538</v>
      </c>
      <c r="J944" s="26" t="s">
        <v>539</v>
      </c>
      <c r="K944" s="26" t="s">
        <v>242</v>
      </c>
      <c r="L944" s="26" t="s">
        <v>148</v>
      </c>
      <c r="M944" s="26" t="s">
        <v>303</v>
      </c>
      <c r="N944" s="26">
        <v>80</v>
      </c>
      <c r="O944" s="26">
        <f>2024-Inventory[[#This Row],[YrBlt]]</f>
        <v>75</v>
      </c>
      <c r="P944" s="26">
        <f>2024-Inventory[[#This Row],[EffYr]]</f>
        <v>51</v>
      </c>
      <c r="Q944" s="25">
        <v>1949</v>
      </c>
      <c r="R944" s="25">
        <v>1973</v>
      </c>
      <c r="S944" s="25">
        <v>1624</v>
      </c>
      <c r="T944" s="27"/>
      <c r="U944" s="25">
        <v>744</v>
      </c>
      <c r="V944" s="25">
        <f>Inventory[[#This Row],[Bsmt]]-Inventory[[#This Row],[FnBsmt]]</f>
        <v>0</v>
      </c>
      <c r="W944" s="25">
        <v>744</v>
      </c>
      <c r="X944" s="27"/>
      <c r="Y944" s="27">
        <f>Inventory[[#This Row],[MainFn]]+Inventory[[#This Row],[UpprFn]]+Inventory[[#This Row],[FnBsmt]]+Inventory[[#This Row],[AddFn]]</f>
        <v>2368</v>
      </c>
      <c r="Z944" s="27">
        <v>2500</v>
      </c>
      <c r="AA944" s="25">
        <v>13</v>
      </c>
      <c r="AB944" s="32">
        <v>500</v>
      </c>
      <c r="AC944" s="27"/>
      <c r="AD944" s="32">
        <v>380</v>
      </c>
      <c r="AE944" s="27"/>
      <c r="AF944" s="27"/>
      <c r="AG944" s="27"/>
      <c r="AH944" s="27"/>
      <c r="AI944" s="25">
        <v>466326</v>
      </c>
      <c r="AJ944" s="25">
        <v>331091</v>
      </c>
      <c r="AK944" s="25">
        <v>0</v>
      </c>
      <c r="AL944" s="25">
        <v>398800</v>
      </c>
      <c r="AM944" s="25">
        <v>60100</v>
      </c>
      <c r="AN944" s="25">
        <v>338700</v>
      </c>
      <c r="AO944" s="25">
        <v>0</v>
      </c>
      <c r="AP944" s="25">
        <f>Lookups!$B$56*0</f>
        <v>0</v>
      </c>
      <c r="AQ944" s="25">
        <f>Lookups!$B$56*1</f>
        <v>89850.625589999996</v>
      </c>
      <c r="AR944" s="25">
        <f>Lookups!$B$57*Inventory[[#This Row],[LnAcres]]</f>
        <v>-49401.70477837498</v>
      </c>
      <c r="AS944" s="25">
        <f>VLOOKUP(Inventory[[#This Row],[Qlty]],Lookups!$A$62:$E$75,2,FALSE)</f>
        <v>44121.038090000002</v>
      </c>
      <c r="AT944" s="25">
        <f>VLOOKUP(Inventory[[#This Row],[Cnd]],Lookups!$A$76:$E$84,2,FALSE)</f>
        <v>197752.34721000001</v>
      </c>
      <c r="AU944" s="25">
        <f>Inventory[[#This Row],[EffAge]]*Lookups!$B$85</f>
        <v>-11375.3256255</v>
      </c>
      <c r="AV944" s="25">
        <f>Inventory[[#This Row],[MainFn]]*Lookups!$B$86</f>
        <v>80239.679880248004</v>
      </c>
      <c r="AW944" s="25">
        <f>Inventory[[#This Row],[UpprFn]]*Lookups!$B$87</f>
        <v>0</v>
      </c>
      <c r="AX944" s="25">
        <f>Inventory[[#This Row],[AddFn]]*Lookups!$B$88</f>
        <v>0</v>
      </c>
      <c r="AY944" s="25">
        <f>Inventory[[#This Row],[Bsmt]]*Lookups!$B$89</f>
        <v>21636.930063767999</v>
      </c>
      <c r="AZ944" s="25">
        <f>Inventory[[#This Row],[Fixtures]]*Lookups!$B$90</f>
        <v>49296.287367600002</v>
      </c>
      <c r="BA944" s="25">
        <f>Inventory[[#This Row],[WdDeck]]*Lookups!$B$91</f>
        <v>12652.295804880001</v>
      </c>
      <c r="BB944" s="25">
        <f>ROUND(Inventory[[#This Row],[25Det]],-2)</f>
        <v>0</v>
      </c>
      <c r="BC944" s="25">
        <f>ROUND(SUM(Inventory[[#This Row],[Mdl Qlty]:[Mdl WdDeck]])+Inventory[[#This Row],[Mdl Res Intercept]],-2)</f>
        <v>394300</v>
      </c>
      <c r="BD944" s="25">
        <f>ROUND(Inventory[[#This Row],[Mdl Land Intercept]]+Inventory[[#This Row],[Mdl LnAcres]],-2)</f>
        <v>40400</v>
      </c>
      <c r="BE944" s="25">
        <f>Inventory[[#This Row],[Unadj Res Value]]+Inventory[[#This Row],[Unadj Det Value]]+Inventory[[#This Row],[Unadj Land Value]]</f>
        <v>434700</v>
      </c>
      <c r="BF944" s="36">
        <f>(Inventory[[#This Row],[Unadj Total Value]]-Inventory[[#This Row],[24Final]])/Inventory[[#This Row],[24Final]]</f>
        <v>9.0020060180541622E-2</v>
      </c>
      <c r="BG944" s="25">
        <f>VLOOKUP(Inventory[[#This Row],[Nbhd]],Lookups!$Q$2:$T$4,4,FALSE)</f>
        <v>0.99970000000000003</v>
      </c>
      <c r="BH944" s="25">
        <f>VLOOKUP(Inventory[[#This Row],[Qlty]],Lookups!$O$7:$R$21,4,FALSE)</f>
        <v>0.98050000000000004</v>
      </c>
      <c r="BI944" s="25">
        <f>VLOOKUP(Inventory[[#This Row],[Cnd]],Lookups!$T$7:$W$16,4,FALSE)</f>
        <v>0.99650000000000005</v>
      </c>
      <c r="BJ944" s="25">
        <f>VLOOKUP(Inventory[[#This Row],[LivArea Range]],Lookups!$T$25:$W$37,4,FALSE)</f>
        <v>0.98919999999999997</v>
      </c>
      <c r="BK944" s="25">
        <f>VLOOKUP(Inventory[[#This Row],[Decade]],Lookups!$O$25:$R$42,4,FALSE)</f>
        <v>0.995</v>
      </c>
      <c r="BL944" s="25">
        <f>Inventory[[#This Row],[Nbhd Adj]]*0.95</f>
        <v>0.94971499999999998</v>
      </c>
      <c r="BM944" s="25">
        <f>Inventory[[#This Row],[Nbhd Adj]]*Inventory[[#This Row],[Quality Adj]]*Inventory[[#This Row],[Condition Adj]]*Inventory[[#This Row],[Living Area Adj]]*Inventory[[#This Row],[Decade Adj]]*0.95</f>
        <v>0.91332508691872449</v>
      </c>
      <c r="BN944" s="25">
        <f>ROUND(SUM(Inventory[[#This Row],[Mdl Qlty]:[Mdl WdDeck]])+Inventory[[#This Row],[Mdl Res Intercept]]*Inventory[[#This Row],[Res Adj ]],-2)</f>
        <v>394300</v>
      </c>
      <c r="BO944" s="25">
        <f>ROUND(Inventory[[#This Row],[25Det]]*Inventory[[#This Row],[Det/Nbhd Adj]],-2)</f>
        <v>0</v>
      </c>
      <c r="BP944" s="25">
        <f>Inventory[[#This Row],[Adjusted Res]]+Inventory[[#This Row],[Adj Det ]]</f>
        <v>394300</v>
      </c>
      <c r="BQ944" s="25">
        <f>ROUND((Inventory[[#This Row],[Mdl Land Intercept]]+Inventory[[#This Row],[Mdl LnAcres]])*Inventory[[#This Row],[Det/Nbhd Adj]],-2)</f>
        <v>38400</v>
      </c>
      <c r="BR944" s="25">
        <f>Inventory[[#This Row],[Adjusted Impr Total]]+Inventory[[#This Row],[Adjusted Land Total]]</f>
        <v>432700</v>
      </c>
      <c r="BS944" s="36">
        <f>IFERROR((Inventory[[#This Row],[Adjusted Impr Total]]-Inventory[[#This Row],[24Bldg]])/Inventory[[#This Row],[24Bldg]],0)</f>
        <v>0.16415707115441394</v>
      </c>
      <c r="BT944" s="36">
        <f>(Inventory[[#This Row],[Adjusted Land Total]]-Inventory[[#This Row],[24Lnd]])/Inventory[[#This Row],[24Lnd]]</f>
        <v>-0.36106489184692181</v>
      </c>
      <c r="BU944" s="36">
        <f>(Inventory[[#This Row],[Adjusted Total]]-Inventory[[#This Row],[24Final]])/Inventory[[#This Row],[24Final]]</f>
        <v>8.5005015045135413E-2</v>
      </c>
    </row>
    <row r="945" spans="1:73" x14ac:dyDescent="0.3">
      <c r="A945" s="25">
        <v>2025</v>
      </c>
      <c r="B945" s="26" t="s">
        <v>2609</v>
      </c>
      <c r="C945" s="26">
        <f>LN(Inventory[[#This Row],[Acres]])</f>
        <v>-1.7719568419318752</v>
      </c>
      <c r="D945" s="25">
        <v>0.17</v>
      </c>
      <c r="E945" s="32">
        <v>7348</v>
      </c>
      <c r="F945" s="26" t="s">
        <v>537</v>
      </c>
      <c r="G945" s="26" t="s">
        <v>126</v>
      </c>
      <c r="H945" s="26" t="s">
        <v>349</v>
      </c>
      <c r="I945" s="26" t="s">
        <v>538</v>
      </c>
      <c r="J945" s="26" t="s">
        <v>539</v>
      </c>
      <c r="K945" s="26" t="s">
        <v>147</v>
      </c>
      <c r="L945" s="26" t="s">
        <v>351</v>
      </c>
      <c r="M945" s="26" t="s">
        <v>323</v>
      </c>
      <c r="N945" s="26">
        <v>80</v>
      </c>
      <c r="O945" s="26">
        <f>2024-Inventory[[#This Row],[YrBlt]]</f>
        <v>75</v>
      </c>
      <c r="P945" s="26">
        <f>2024-Inventory[[#This Row],[EffYr]]</f>
        <v>51</v>
      </c>
      <c r="Q945" s="25">
        <v>1949</v>
      </c>
      <c r="R945" s="25">
        <v>1973</v>
      </c>
      <c r="S945" s="25">
        <v>951</v>
      </c>
      <c r="T945" s="32">
        <v>713</v>
      </c>
      <c r="U945" s="25">
        <v>951</v>
      </c>
      <c r="V945" s="25">
        <f>Inventory[[#This Row],[Bsmt]]-Inventory[[#This Row],[FnBsmt]]</f>
        <v>951</v>
      </c>
      <c r="W945" s="31"/>
      <c r="X945" s="27"/>
      <c r="Y945" s="27">
        <f>Inventory[[#This Row],[MainFn]]+Inventory[[#This Row],[UpprFn]]+Inventory[[#This Row],[FnBsmt]]+Inventory[[#This Row],[AddFn]]</f>
        <v>1664</v>
      </c>
      <c r="Z945" s="27">
        <v>2000</v>
      </c>
      <c r="AA945" s="25">
        <v>8</v>
      </c>
      <c r="AB945" s="27"/>
      <c r="AC945" s="27"/>
      <c r="AD945" s="27"/>
      <c r="AE945" s="27"/>
      <c r="AF945" s="27"/>
      <c r="AG945" s="27"/>
      <c r="AH945" s="27"/>
      <c r="AI945" s="25">
        <v>279716</v>
      </c>
      <c r="AJ945" s="25">
        <v>193004</v>
      </c>
      <c r="AK945" s="25">
        <v>6227</v>
      </c>
      <c r="AL945" s="25">
        <v>320400</v>
      </c>
      <c r="AM945" s="25">
        <v>52700</v>
      </c>
      <c r="AN945" s="25">
        <v>267700</v>
      </c>
      <c r="AO945" s="25">
        <v>0</v>
      </c>
      <c r="AP945" s="25">
        <f>Lookups!$B$56*0</f>
        <v>0</v>
      </c>
      <c r="AQ945" s="25">
        <f>Lookups!$B$56*1</f>
        <v>89850.625589999996</v>
      </c>
      <c r="AR945" s="25">
        <f>Lookups!$B$57*Inventory[[#This Row],[LnAcres]]</f>
        <v>-56090.612940989391</v>
      </c>
      <c r="AS945" s="25">
        <f>VLOOKUP(Inventory[[#This Row],[Qlty]],Lookups!$A$62:$E$75,2,FALSE)</f>
        <v>21557.329055999999</v>
      </c>
      <c r="AT945" s="25">
        <f>VLOOKUP(Inventory[[#This Row],[Cnd]],Lookups!$A$76:$E$84,2,FALSE)</f>
        <v>160472.20319</v>
      </c>
      <c r="AU945" s="25">
        <f>Inventory[[#This Row],[EffAge]]*Lookups!$B$85</f>
        <v>-11375.3256255</v>
      </c>
      <c r="AV945" s="25">
        <f>Inventory[[#This Row],[MainFn]]*Lookups!$B$86</f>
        <v>46987.645053027001</v>
      </c>
      <c r="AW945" s="25">
        <f>Inventory[[#This Row],[UpprFn]]*Lookups!$B$87</f>
        <v>31932.719499892999</v>
      </c>
      <c r="AX945" s="25">
        <f>Inventory[[#This Row],[AddFn]]*Lookups!$B$88</f>
        <v>0</v>
      </c>
      <c r="AY945" s="25">
        <f>Inventory[[#This Row],[Bsmt]]*Lookups!$B$89</f>
        <v>27656.882379896997</v>
      </c>
      <c r="AZ945" s="25">
        <f>Inventory[[#This Row],[Fixtures]]*Lookups!$B$90</f>
        <v>30336.176841600001</v>
      </c>
      <c r="BA945" s="25">
        <f>Inventory[[#This Row],[WdDeck]]*Lookups!$B$91</f>
        <v>0</v>
      </c>
      <c r="BB945" s="25">
        <f>ROUND(Inventory[[#This Row],[25Det]],-2)</f>
        <v>6200</v>
      </c>
      <c r="BC945" s="25">
        <f>ROUND(SUM(Inventory[[#This Row],[Mdl Qlty]:[Mdl WdDeck]])+Inventory[[#This Row],[Mdl Res Intercept]],-2)</f>
        <v>307600</v>
      </c>
      <c r="BD945" s="25">
        <f>ROUND(Inventory[[#This Row],[Mdl Land Intercept]]+Inventory[[#This Row],[Mdl LnAcres]],-2)</f>
        <v>33800</v>
      </c>
      <c r="BE945" s="25">
        <f>Inventory[[#This Row],[Unadj Res Value]]+Inventory[[#This Row],[Unadj Det Value]]+Inventory[[#This Row],[Unadj Land Value]]</f>
        <v>347600</v>
      </c>
      <c r="BF945" s="36">
        <f>(Inventory[[#This Row],[Unadj Total Value]]-Inventory[[#This Row],[24Final]])/Inventory[[#This Row],[24Final]]</f>
        <v>8.4893882646691635E-2</v>
      </c>
      <c r="BG945" s="25">
        <f>VLOOKUP(Inventory[[#This Row],[Nbhd]],Lookups!$Q$2:$T$4,4,FALSE)</f>
        <v>0.99970000000000003</v>
      </c>
      <c r="BH945" s="25">
        <f>VLOOKUP(Inventory[[#This Row],[Qlty]],Lookups!$O$7:$R$21,4,FALSE)</f>
        <v>1.0067999999999999</v>
      </c>
      <c r="BI945" s="25">
        <f>VLOOKUP(Inventory[[#This Row],[Cnd]],Lookups!$T$7:$W$16,4,FALSE)</f>
        <v>0.99729999999999996</v>
      </c>
      <c r="BJ945" s="25">
        <f>VLOOKUP(Inventory[[#This Row],[LivArea Range]],Lookups!$T$25:$W$37,4,FALSE)</f>
        <v>1.0093000000000001</v>
      </c>
      <c r="BK945" s="25">
        <f>VLOOKUP(Inventory[[#This Row],[Decade]],Lookups!$O$25:$R$42,4,FALSE)</f>
        <v>0.995</v>
      </c>
      <c r="BL945" s="25">
        <f>Inventory[[#This Row],[Nbhd Adj]]*0.95</f>
        <v>0.94971499999999998</v>
      </c>
      <c r="BM945" s="25">
        <f>Inventory[[#This Row],[Nbhd Adj]]*Inventory[[#This Row],[Quality Adj]]*Inventory[[#This Row],[Condition Adj]]*Inventory[[#This Row],[Living Area Adj]]*Inventory[[#This Row],[Decade Adj]]*0.95</f>
        <v>0.957647495730095</v>
      </c>
      <c r="BN945" s="25">
        <f>ROUND(SUM(Inventory[[#This Row],[Mdl Qlty]:[Mdl WdDeck]])+Inventory[[#This Row],[Mdl Res Intercept]]*Inventory[[#This Row],[Res Adj ]],-2)</f>
        <v>307600</v>
      </c>
      <c r="BO945" s="25">
        <f>ROUND(Inventory[[#This Row],[25Det]]*Inventory[[#This Row],[Det/Nbhd Adj]],-2)</f>
        <v>5900</v>
      </c>
      <c r="BP945" s="25">
        <f>Inventory[[#This Row],[Adjusted Res]]+Inventory[[#This Row],[Adj Det ]]</f>
        <v>313500</v>
      </c>
      <c r="BQ945" s="25">
        <f>ROUND((Inventory[[#This Row],[Mdl Land Intercept]]+Inventory[[#This Row],[Mdl LnAcres]])*Inventory[[#This Row],[Det/Nbhd Adj]],-2)</f>
        <v>32100</v>
      </c>
      <c r="BR945" s="25">
        <f>Inventory[[#This Row],[Adjusted Impr Total]]+Inventory[[#This Row],[Adjusted Land Total]]</f>
        <v>345600</v>
      </c>
      <c r="BS945" s="36">
        <f>IFERROR((Inventory[[#This Row],[Adjusted Impr Total]]-Inventory[[#This Row],[24Bldg]])/Inventory[[#This Row],[24Bldg]],0)</f>
        <v>0.17108703772880091</v>
      </c>
      <c r="BT945" s="36">
        <f>(Inventory[[#This Row],[Adjusted Land Total]]-Inventory[[#This Row],[24Lnd]])/Inventory[[#This Row],[24Lnd]]</f>
        <v>-0.39089184060721061</v>
      </c>
      <c r="BU945" s="36">
        <f>(Inventory[[#This Row],[Adjusted Total]]-Inventory[[#This Row],[24Final]])/Inventory[[#This Row],[24Final]]</f>
        <v>7.8651685393258425E-2</v>
      </c>
    </row>
    <row r="946" spans="1:73" x14ac:dyDescent="0.3">
      <c r="A946" s="25">
        <v>2025</v>
      </c>
      <c r="B946" s="26" t="s">
        <v>1665</v>
      </c>
      <c r="C946" s="26">
        <f>LN(Inventory[[#This Row],[Acres]])</f>
        <v>-1.2378743560016174</v>
      </c>
      <c r="D946" s="25">
        <v>0.28999999999999998</v>
      </c>
      <c r="E946" s="32">
        <v>12515</v>
      </c>
      <c r="F946" s="26" t="s">
        <v>537</v>
      </c>
      <c r="G946" s="26" t="s">
        <v>126</v>
      </c>
      <c r="H946" s="26" t="s">
        <v>349</v>
      </c>
      <c r="I946" s="26" t="s">
        <v>538</v>
      </c>
      <c r="J946" s="26" t="s">
        <v>539</v>
      </c>
      <c r="K946" s="26" t="s">
        <v>241</v>
      </c>
      <c r="L946" s="26" t="s">
        <v>302</v>
      </c>
      <c r="M946" s="26" t="s">
        <v>303</v>
      </c>
      <c r="N946" s="26">
        <v>80</v>
      </c>
      <c r="O946" s="26">
        <f>2024-Inventory[[#This Row],[YrBlt]]</f>
        <v>75</v>
      </c>
      <c r="P946" s="26">
        <f>2024-Inventory[[#This Row],[EffYr]]</f>
        <v>51</v>
      </c>
      <c r="Q946" s="25">
        <v>1949</v>
      </c>
      <c r="R946" s="25">
        <v>1973</v>
      </c>
      <c r="S946" s="25">
        <v>1570</v>
      </c>
      <c r="T946" s="31"/>
      <c r="U946" s="31"/>
      <c r="V946" s="31">
        <f>Inventory[[#This Row],[Bsmt]]-Inventory[[#This Row],[FnBsmt]]</f>
        <v>0</v>
      </c>
      <c r="W946" s="31"/>
      <c r="X946" s="27"/>
      <c r="Y946" s="27">
        <f>Inventory[[#This Row],[MainFn]]+Inventory[[#This Row],[UpprFn]]+Inventory[[#This Row],[FnBsmt]]+Inventory[[#This Row],[AddFn]]</f>
        <v>1570</v>
      </c>
      <c r="Z946" s="27">
        <v>2000</v>
      </c>
      <c r="AA946" s="25">
        <v>6</v>
      </c>
      <c r="AB946" s="25">
        <v>440</v>
      </c>
      <c r="AC946" s="27"/>
      <c r="AD946" s="32">
        <v>98</v>
      </c>
      <c r="AE946" s="27"/>
      <c r="AF946" s="27"/>
      <c r="AG946" s="27"/>
      <c r="AH946" s="27"/>
      <c r="AI946" s="25">
        <v>307744</v>
      </c>
      <c r="AJ946" s="25">
        <v>218498</v>
      </c>
      <c r="AK946" s="25">
        <v>0</v>
      </c>
      <c r="AL946" s="25">
        <v>341600</v>
      </c>
      <c r="AM946" s="25">
        <v>71400</v>
      </c>
      <c r="AN946" s="25">
        <v>270200</v>
      </c>
      <c r="AO946" s="25">
        <v>0</v>
      </c>
      <c r="AP946" s="25">
        <f>Lookups!$B$56*0</f>
        <v>0</v>
      </c>
      <c r="AQ946" s="25">
        <f>Lookups!$B$56*1</f>
        <v>89850.625589999996</v>
      </c>
      <c r="AR946" s="25">
        <f>Lookups!$B$57*Inventory[[#This Row],[LnAcres]]</f>
        <v>-39184.437074869042</v>
      </c>
      <c r="AS946" s="25">
        <f>VLOOKUP(Inventory[[#This Row],[Qlty]],Lookups!$A$62:$E$75,2,FALSE)</f>
        <v>29814.093161000001</v>
      </c>
      <c r="AT946" s="25">
        <f>VLOOKUP(Inventory[[#This Row],[Cnd]],Lookups!$A$76:$E$84,2,FALSE)</f>
        <v>197752.34721000001</v>
      </c>
      <c r="AU946" s="25">
        <f>Inventory[[#This Row],[EffAge]]*Lookups!$B$85</f>
        <v>-11375.3256255</v>
      </c>
      <c r="AV946" s="25">
        <f>Inventory[[#This Row],[MainFn]]*Lookups!$B$86</f>
        <v>77571.611706890006</v>
      </c>
      <c r="AW946" s="25">
        <f>Inventory[[#This Row],[UpprFn]]*Lookups!$B$87</f>
        <v>0</v>
      </c>
      <c r="AX946" s="25">
        <f>Inventory[[#This Row],[AddFn]]*Lookups!$B$88</f>
        <v>0</v>
      </c>
      <c r="AY946" s="25">
        <f>Inventory[[#This Row],[Bsmt]]*Lookups!$B$89</f>
        <v>0</v>
      </c>
      <c r="AZ946" s="25">
        <f>Inventory[[#This Row],[Fixtures]]*Lookups!$B$90</f>
        <v>22752.132631200002</v>
      </c>
      <c r="BA946" s="25">
        <f>Inventory[[#This Row],[WdDeck]]*Lookups!$B$91</f>
        <v>3262.9604970480004</v>
      </c>
      <c r="BB946" s="25">
        <f>ROUND(Inventory[[#This Row],[25Det]],-2)</f>
        <v>0</v>
      </c>
      <c r="BC946" s="25">
        <f>ROUND(SUM(Inventory[[#This Row],[Mdl Qlty]:[Mdl WdDeck]])+Inventory[[#This Row],[Mdl Res Intercept]],-2)</f>
        <v>319800</v>
      </c>
      <c r="BD946" s="25">
        <f>ROUND(Inventory[[#This Row],[Mdl Land Intercept]]+Inventory[[#This Row],[Mdl LnAcres]],-2)</f>
        <v>50700</v>
      </c>
      <c r="BE946" s="25">
        <f>Inventory[[#This Row],[Unadj Res Value]]+Inventory[[#This Row],[Unadj Det Value]]+Inventory[[#This Row],[Unadj Land Value]]</f>
        <v>370500</v>
      </c>
      <c r="BF946" s="36">
        <f>(Inventory[[#This Row],[Unadj Total Value]]-Inventory[[#This Row],[24Final]])/Inventory[[#This Row],[24Final]]</f>
        <v>8.4601873536299763E-2</v>
      </c>
      <c r="BG946" s="25">
        <f>VLOOKUP(Inventory[[#This Row],[Nbhd]],Lookups!$Q$2:$T$4,4,FALSE)</f>
        <v>0.99970000000000003</v>
      </c>
      <c r="BH946" s="25">
        <f>VLOOKUP(Inventory[[#This Row],[Qlty]],Lookups!$O$7:$R$21,4,FALSE)</f>
        <v>1.0088999999999999</v>
      </c>
      <c r="BI946" s="25">
        <f>VLOOKUP(Inventory[[#This Row],[Cnd]],Lookups!$T$7:$W$16,4,FALSE)</f>
        <v>0.99650000000000005</v>
      </c>
      <c r="BJ946" s="25">
        <f>VLOOKUP(Inventory[[#This Row],[LivArea Range]],Lookups!$T$25:$W$37,4,FALSE)</f>
        <v>1.0093000000000001</v>
      </c>
      <c r="BK946" s="25">
        <f>VLOOKUP(Inventory[[#This Row],[Decade]],Lookups!$O$25:$R$42,4,FALSE)</f>
        <v>0.995</v>
      </c>
      <c r="BL946" s="25">
        <f>Inventory[[#This Row],[Nbhd Adj]]*0.95</f>
        <v>0.94971499999999998</v>
      </c>
      <c r="BM946" s="25">
        <f>Inventory[[#This Row],[Nbhd Adj]]*Inventory[[#This Row],[Quality Adj]]*Inventory[[#This Row],[Condition Adj]]*Inventory[[#This Row],[Living Area Adj]]*Inventory[[#This Row],[Decade Adj]]*0.95</f>
        <v>0.9588751782051762</v>
      </c>
      <c r="BN946" s="25">
        <f>ROUND(SUM(Inventory[[#This Row],[Mdl Qlty]:[Mdl WdDeck]])+Inventory[[#This Row],[Mdl Res Intercept]]*Inventory[[#This Row],[Res Adj ]],-2)</f>
        <v>319800</v>
      </c>
      <c r="BO946" s="25">
        <f>ROUND(Inventory[[#This Row],[25Det]]*Inventory[[#This Row],[Det/Nbhd Adj]],-2)</f>
        <v>0</v>
      </c>
      <c r="BP946" s="25">
        <f>Inventory[[#This Row],[Adjusted Res]]+Inventory[[#This Row],[Adj Det ]]</f>
        <v>319800</v>
      </c>
      <c r="BQ946" s="25">
        <f>ROUND((Inventory[[#This Row],[Mdl Land Intercept]]+Inventory[[#This Row],[Mdl LnAcres]])*Inventory[[#This Row],[Det/Nbhd Adj]],-2)</f>
        <v>48100</v>
      </c>
      <c r="BR946" s="25">
        <f>Inventory[[#This Row],[Adjusted Impr Total]]+Inventory[[#This Row],[Adjusted Land Total]]</f>
        <v>367900</v>
      </c>
      <c r="BS946" s="36">
        <f>IFERROR((Inventory[[#This Row],[Adjusted Impr Total]]-Inventory[[#This Row],[24Bldg]])/Inventory[[#This Row],[24Bldg]],0)</f>
        <v>0.18356772760917839</v>
      </c>
      <c r="BT946" s="36">
        <f>(Inventory[[#This Row],[Adjusted Land Total]]-Inventory[[#This Row],[24Lnd]])/Inventory[[#This Row],[24Lnd]]</f>
        <v>-0.32633053221288516</v>
      </c>
      <c r="BU946" s="36">
        <f>(Inventory[[#This Row],[Adjusted Total]]-Inventory[[#This Row],[24Final]])/Inventory[[#This Row],[24Final]]</f>
        <v>7.6990632318501173E-2</v>
      </c>
    </row>
    <row r="947" spans="1:73" x14ac:dyDescent="0.3">
      <c r="A947" s="25">
        <v>2025</v>
      </c>
      <c r="B947" s="26" t="s">
        <v>2545</v>
      </c>
      <c r="C947" s="26">
        <f>LN(Inventory[[#This Row],[Acres]])</f>
        <v>-1.6607312068216509</v>
      </c>
      <c r="D947" s="25">
        <v>0.19</v>
      </c>
      <c r="E947" s="27"/>
      <c r="F947" s="26" t="s">
        <v>537</v>
      </c>
      <c r="G947" s="26" t="s">
        <v>126</v>
      </c>
      <c r="H947" s="26" t="s">
        <v>349</v>
      </c>
      <c r="I947" s="26" t="s">
        <v>538</v>
      </c>
      <c r="J947" s="26" t="s">
        <v>539</v>
      </c>
      <c r="K947" s="26" t="s">
        <v>242</v>
      </c>
      <c r="L947" s="26" t="s">
        <v>205</v>
      </c>
      <c r="M947" s="26" t="s">
        <v>303</v>
      </c>
      <c r="N947" s="26">
        <v>80</v>
      </c>
      <c r="O947" s="26">
        <f>2024-Inventory[[#This Row],[YrBlt]]</f>
        <v>75</v>
      </c>
      <c r="P947" s="26">
        <f>2024-Inventory[[#This Row],[EffYr]]</f>
        <v>51</v>
      </c>
      <c r="Q947" s="25">
        <v>1949</v>
      </c>
      <c r="R947" s="25">
        <v>1973</v>
      </c>
      <c r="S947" s="25">
        <v>1419</v>
      </c>
      <c r="T947" s="27"/>
      <c r="U947" s="32">
        <v>1419</v>
      </c>
      <c r="V947" s="32">
        <f>Inventory[[#This Row],[Bsmt]]-Inventory[[#This Row],[FnBsmt]]</f>
        <v>709</v>
      </c>
      <c r="W947" s="32">
        <v>710</v>
      </c>
      <c r="X947" s="27"/>
      <c r="Y947" s="27">
        <f>Inventory[[#This Row],[MainFn]]+Inventory[[#This Row],[UpprFn]]+Inventory[[#This Row],[FnBsmt]]+Inventory[[#This Row],[AddFn]]</f>
        <v>2129</v>
      </c>
      <c r="Z947" s="27">
        <v>2500</v>
      </c>
      <c r="AA947" s="25">
        <v>7</v>
      </c>
      <c r="AB947" s="27"/>
      <c r="AC947" s="27"/>
      <c r="AD947" s="32">
        <v>120</v>
      </c>
      <c r="AE947" s="27"/>
      <c r="AF947" s="27"/>
      <c r="AG947" s="27"/>
      <c r="AH947" s="27"/>
      <c r="AI947" s="25">
        <v>283887</v>
      </c>
      <c r="AJ947" s="25">
        <v>201560</v>
      </c>
      <c r="AK947" s="25">
        <v>0</v>
      </c>
      <c r="AL947" s="25">
        <v>340300</v>
      </c>
      <c r="AM947" s="25">
        <v>56600</v>
      </c>
      <c r="AN947" s="25">
        <v>283700</v>
      </c>
      <c r="AO947" s="25">
        <v>0</v>
      </c>
      <c r="AP947" s="25">
        <f>Lookups!$B$56*0</f>
        <v>0</v>
      </c>
      <c r="AQ947" s="25">
        <f>Lookups!$B$56*1</f>
        <v>89850.625589999996</v>
      </c>
      <c r="AR947" s="25">
        <f>Lookups!$B$57*Inventory[[#This Row],[LnAcres]]</f>
        <v>-52569.808201026557</v>
      </c>
      <c r="AS947" s="25">
        <f>VLOOKUP(Inventory[[#This Row],[Qlty]],Lookups!$A$62:$E$75,2,FALSE)</f>
        <v>0</v>
      </c>
      <c r="AT947" s="25">
        <f>VLOOKUP(Inventory[[#This Row],[Cnd]],Lookups!$A$76:$E$84,2,FALSE)</f>
        <v>197752.34721000001</v>
      </c>
      <c r="AU947" s="25">
        <f>Inventory[[#This Row],[EffAge]]*Lookups!$B$85</f>
        <v>-11375.3256255</v>
      </c>
      <c r="AV947" s="25">
        <f>Inventory[[#This Row],[MainFn]]*Lookups!$B$86</f>
        <v>70110.902555463006</v>
      </c>
      <c r="AW947" s="25">
        <f>Inventory[[#This Row],[UpprFn]]*Lookups!$B$87</f>
        <v>0</v>
      </c>
      <c r="AX947" s="25">
        <f>Inventory[[#This Row],[AddFn]]*Lookups!$B$88</f>
        <v>0</v>
      </c>
      <c r="AY947" s="25">
        <f>Inventory[[#This Row],[Bsmt]]*Lookups!$B$89</f>
        <v>41267.209355492996</v>
      </c>
      <c r="AZ947" s="25">
        <f>Inventory[[#This Row],[Fixtures]]*Lookups!$B$90</f>
        <v>26544.1547364</v>
      </c>
      <c r="BA947" s="25">
        <f>Inventory[[#This Row],[WdDeck]]*Lookups!$B$91</f>
        <v>3995.4618331200004</v>
      </c>
      <c r="BB947" s="25">
        <f>ROUND(Inventory[[#This Row],[25Det]],-2)</f>
        <v>0</v>
      </c>
      <c r="BC947" s="25">
        <f>ROUND(SUM(Inventory[[#This Row],[Mdl Qlty]:[Mdl WdDeck]])+Inventory[[#This Row],[Mdl Res Intercept]],-2)</f>
        <v>328300</v>
      </c>
      <c r="BD947" s="25">
        <f>ROUND(Inventory[[#This Row],[Mdl Land Intercept]]+Inventory[[#This Row],[Mdl LnAcres]],-2)</f>
        <v>37300</v>
      </c>
      <c r="BE947" s="25">
        <f>Inventory[[#This Row],[Unadj Res Value]]+Inventory[[#This Row],[Unadj Det Value]]+Inventory[[#This Row],[Unadj Land Value]]</f>
        <v>365600</v>
      </c>
      <c r="BF947" s="36">
        <f>(Inventory[[#This Row],[Unadj Total Value]]-Inventory[[#This Row],[24Final]])/Inventory[[#This Row],[24Final]]</f>
        <v>7.4346165148398466E-2</v>
      </c>
      <c r="BG947" s="25">
        <f>VLOOKUP(Inventory[[#This Row],[Nbhd]],Lookups!$Q$2:$T$4,4,FALSE)</f>
        <v>0.99970000000000003</v>
      </c>
      <c r="BH947" s="25">
        <f>VLOOKUP(Inventory[[#This Row],[Qlty]],Lookups!$O$7:$R$21,4,FALSE)</f>
        <v>0.99180000000000001</v>
      </c>
      <c r="BI947" s="25">
        <f>VLOOKUP(Inventory[[#This Row],[Cnd]],Lookups!$T$7:$W$16,4,FALSE)</f>
        <v>0.99650000000000005</v>
      </c>
      <c r="BJ947" s="25">
        <f>VLOOKUP(Inventory[[#This Row],[LivArea Range]],Lookups!$T$25:$W$37,4,FALSE)</f>
        <v>0.98919999999999997</v>
      </c>
      <c r="BK947" s="25">
        <f>VLOOKUP(Inventory[[#This Row],[Decade]],Lookups!$O$25:$R$42,4,FALSE)</f>
        <v>0.995</v>
      </c>
      <c r="BL947" s="25">
        <f>Inventory[[#This Row],[Nbhd Adj]]*0.95</f>
        <v>0.94971499999999998</v>
      </c>
      <c r="BM947" s="25">
        <f>Inventory[[#This Row],[Nbhd Adj]]*Inventory[[#This Row],[Quality Adj]]*Inventory[[#This Row],[Condition Adj]]*Inventory[[#This Row],[Living Area Adj]]*Inventory[[#This Row],[Decade Adj]]*0.95</f>
        <v>0.92385091402956743</v>
      </c>
      <c r="BN947" s="25">
        <f>ROUND(SUM(Inventory[[#This Row],[Mdl Qlty]:[Mdl WdDeck]])+Inventory[[#This Row],[Mdl Res Intercept]]*Inventory[[#This Row],[Res Adj ]],-2)</f>
        <v>328300</v>
      </c>
      <c r="BO947" s="25">
        <f>ROUND(Inventory[[#This Row],[25Det]]*Inventory[[#This Row],[Det/Nbhd Adj]],-2)</f>
        <v>0</v>
      </c>
      <c r="BP947" s="25">
        <f>Inventory[[#This Row],[Adjusted Res]]+Inventory[[#This Row],[Adj Det ]]</f>
        <v>328300</v>
      </c>
      <c r="BQ947" s="25">
        <f>ROUND((Inventory[[#This Row],[Mdl Land Intercept]]+Inventory[[#This Row],[Mdl LnAcres]])*Inventory[[#This Row],[Det/Nbhd Adj]],-2)</f>
        <v>35400</v>
      </c>
      <c r="BR947" s="25">
        <f>Inventory[[#This Row],[Adjusted Impr Total]]+Inventory[[#This Row],[Adjusted Land Total]]</f>
        <v>363700</v>
      </c>
      <c r="BS947" s="36">
        <f>IFERROR((Inventory[[#This Row],[Adjusted Impr Total]]-Inventory[[#This Row],[24Bldg]])/Inventory[[#This Row],[24Bldg]],0)</f>
        <v>0.15720831864645751</v>
      </c>
      <c r="BT947" s="36">
        <f>(Inventory[[#This Row],[Adjusted Land Total]]-Inventory[[#This Row],[24Lnd]])/Inventory[[#This Row],[24Lnd]]</f>
        <v>-0.37455830388692579</v>
      </c>
      <c r="BU947" s="36">
        <f>(Inventory[[#This Row],[Adjusted Total]]-Inventory[[#This Row],[24Final]])/Inventory[[#This Row],[24Final]]</f>
        <v>6.876285630326183E-2</v>
      </c>
    </row>
    <row r="948" spans="1:73" x14ac:dyDescent="0.3">
      <c r="A948" s="25">
        <v>2025</v>
      </c>
      <c r="B948" s="26" t="s">
        <v>2213</v>
      </c>
      <c r="C948" s="26">
        <f>LN(Inventory[[#This Row],[Acres]])</f>
        <v>-1.4696759700589417</v>
      </c>
      <c r="D948" s="25">
        <v>0.23</v>
      </c>
      <c r="E948" s="32">
        <v>9819</v>
      </c>
      <c r="F948" s="26" t="s">
        <v>537</v>
      </c>
      <c r="G948" s="26" t="s">
        <v>126</v>
      </c>
      <c r="H948" s="26" t="s">
        <v>349</v>
      </c>
      <c r="I948" s="26" t="s">
        <v>538</v>
      </c>
      <c r="J948" s="26" t="s">
        <v>539</v>
      </c>
      <c r="K948" s="26" t="s">
        <v>269</v>
      </c>
      <c r="L948" s="26" t="s">
        <v>205</v>
      </c>
      <c r="M948" s="26" t="s">
        <v>206</v>
      </c>
      <c r="N948" s="26">
        <v>80</v>
      </c>
      <c r="O948" s="26">
        <f>2024-Inventory[[#This Row],[YrBlt]]</f>
        <v>75</v>
      </c>
      <c r="P948" s="26">
        <f>2024-Inventory[[#This Row],[EffYr]]</f>
        <v>51</v>
      </c>
      <c r="Q948" s="25">
        <v>1949</v>
      </c>
      <c r="R948" s="25">
        <v>1973</v>
      </c>
      <c r="S948" s="25">
        <v>1144</v>
      </c>
      <c r="T948" s="27"/>
      <c r="U948" s="25">
        <v>1144</v>
      </c>
      <c r="V948" s="25">
        <f>Inventory[[#This Row],[Bsmt]]-Inventory[[#This Row],[FnBsmt]]</f>
        <v>1027</v>
      </c>
      <c r="W948" s="25">
        <v>117</v>
      </c>
      <c r="X948" s="27"/>
      <c r="Y948" s="27">
        <f>Inventory[[#This Row],[MainFn]]+Inventory[[#This Row],[UpprFn]]+Inventory[[#This Row],[FnBsmt]]+Inventory[[#This Row],[AddFn]]</f>
        <v>1261</v>
      </c>
      <c r="Z948" s="27">
        <v>1500</v>
      </c>
      <c r="AA948" s="25">
        <v>5</v>
      </c>
      <c r="AB948" s="27"/>
      <c r="AC948" s="27"/>
      <c r="AD948" s="27"/>
      <c r="AE948" s="27"/>
      <c r="AF948" s="27"/>
      <c r="AG948" s="27"/>
      <c r="AH948" s="27"/>
      <c r="AI948" s="25">
        <v>229829</v>
      </c>
      <c r="AJ948" s="25">
        <v>153985</v>
      </c>
      <c r="AK948" s="25">
        <v>4180</v>
      </c>
      <c r="AL948" s="25">
        <v>260300</v>
      </c>
      <c r="AM948" s="25">
        <v>63300</v>
      </c>
      <c r="AN948" s="25">
        <v>197000</v>
      </c>
      <c r="AO948" s="25">
        <v>0</v>
      </c>
      <c r="AP948" s="25">
        <f>Lookups!$B$56*0</f>
        <v>0</v>
      </c>
      <c r="AQ948" s="25">
        <f>Lookups!$B$56*1</f>
        <v>89850.625589999996</v>
      </c>
      <c r="AR948" s="25">
        <f>Lookups!$B$57*Inventory[[#This Row],[LnAcres]]</f>
        <v>-46522.028095997222</v>
      </c>
      <c r="AS948" s="25">
        <f>VLOOKUP(Inventory[[#This Row],[Qlty]],Lookups!$A$62:$E$75,2,FALSE)</f>
        <v>0</v>
      </c>
      <c r="AT948" s="25">
        <f>VLOOKUP(Inventory[[#This Row],[Cnd]],Lookups!$A$76:$E$84,2,FALSE)</f>
        <v>133714.53821</v>
      </c>
      <c r="AU948" s="25">
        <f>Inventory[[#This Row],[EffAge]]*Lookups!$B$85</f>
        <v>-11375.3256255</v>
      </c>
      <c r="AV948" s="25">
        <f>Inventory[[#This Row],[MainFn]]*Lookups!$B$86</f>
        <v>56523.518339287999</v>
      </c>
      <c r="AW948" s="25">
        <f>Inventory[[#This Row],[UpprFn]]*Lookups!$B$87</f>
        <v>0</v>
      </c>
      <c r="AX948" s="25">
        <f>Inventory[[#This Row],[AddFn]]*Lookups!$B$88</f>
        <v>0</v>
      </c>
      <c r="AY948" s="25">
        <f>Inventory[[#This Row],[Bsmt]]*Lookups!$B$89</f>
        <v>33269.688162567996</v>
      </c>
      <c r="AZ948" s="25">
        <f>Inventory[[#This Row],[Fixtures]]*Lookups!$B$90</f>
        <v>18960.110526</v>
      </c>
      <c r="BA948" s="25">
        <f>Inventory[[#This Row],[WdDeck]]*Lookups!$B$91</f>
        <v>0</v>
      </c>
      <c r="BB948" s="25">
        <f>ROUND(Inventory[[#This Row],[25Det]],-2)</f>
        <v>4200</v>
      </c>
      <c r="BC948" s="25">
        <f>ROUND(SUM(Inventory[[#This Row],[Mdl Qlty]:[Mdl WdDeck]])+Inventory[[#This Row],[Mdl Res Intercept]],-2)</f>
        <v>231100</v>
      </c>
      <c r="BD948" s="25">
        <f>ROUND(Inventory[[#This Row],[Mdl Land Intercept]]+Inventory[[#This Row],[Mdl LnAcres]],-2)</f>
        <v>43300</v>
      </c>
      <c r="BE948" s="25">
        <f>Inventory[[#This Row],[Unadj Res Value]]+Inventory[[#This Row],[Unadj Det Value]]+Inventory[[#This Row],[Unadj Land Value]]</f>
        <v>278600</v>
      </c>
      <c r="BF948" s="36">
        <f>(Inventory[[#This Row],[Unadj Total Value]]-Inventory[[#This Row],[24Final]])/Inventory[[#This Row],[24Final]]</f>
        <v>7.0303495966192855E-2</v>
      </c>
      <c r="BG948" s="25">
        <f>VLOOKUP(Inventory[[#This Row],[Nbhd]],Lookups!$Q$2:$T$4,4,FALSE)</f>
        <v>0.99970000000000003</v>
      </c>
      <c r="BH948" s="25">
        <f>VLOOKUP(Inventory[[#This Row],[Qlty]],Lookups!$O$7:$R$21,4,FALSE)</f>
        <v>0.99180000000000001</v>
      </c>
      <c r="BI948" s="25">
        <f>VLOOKUP(Inventory[[#This Row],[Cnd]],Lookups!$T$7:$W$16,4,FALSE)</f>
        <v>0.99329999999999996</v>
      </c>
      <c r="BJ948" s="25">
        <f>VLOOKUP(Inventory[[#This Row],[LivArea Range]],Lookups!$T$25:$W$37,4,FALSE)</f>
        <v>1.0157</v>
      </c>
      <c r="BK948" s="25">
        <f>VLOOKUP(Inventory[[#This Row],[Decade]],Lookups!$O$25:$R$42,4,FALSE)</f>
        <v>0.995</v>
      </c>
      <c r="BL948" s="25">
        <f>Inventory[[#This Row],[Nbhd Adj]]*0.95</f>
        <v>0.94971499999999998</v>
      </c>
      <c r="BM948" s="25">
        <f>Inventory[[#This Row],[Nbhd Adj]]*Inventory[[#This Row],[Quality Adj]]*Inventory[[#This Row],[Condition Adj]]*Inventory[[#This Row],[Living Area Adj]]*Inventory[[#This Row],[Decade Adj]]*0.95</f>
        <v>0.94555407368793887</v>
      </c>
      <c r="BN948" s="25">
        <f>ROUND(SUM(Inventory[[#This Row],[Mdl Qlty]:[Mdl WdDeck]])+Inventory[[#This Row],[Mdl Res Intercept]]*Inventory[[#This Row],[Res Adj ]],-2)</f>
        <v>231100</v>
      </c>
      <c r="BO948" s="25">
        <f>ROUND(Inventory[[#This Row],[25Det]]*Inventory[[#This Row],[Det/Nbhd Adj]],-2)</f>
        <v>4000</v>
      </c>
      <c r="BP948" s="25">
        <f>Inventory[[#This Row],[Adjusted Res]]+Inventory[[#This Row],[Adj Det ]]</f>
        <v>235100</v>
      </c>
      <c r="BQ948" s="25">
        <f>ROUND((Inventory[[#This Row],[Mdl Land Intercept]]+Inventory[[#This Row],[Mdl LnAcres]])*Inventory[[#This Row],[Det/Nbhd Adj]],-2)</f>
        <v>41100</v>
      </c>
      <c r="BR948" s="25">
        <f>Inventory[[#This Row],[Adjusted Impr Total]]+Inventory[[#This Row],[Adjusted Land Total]]</f>
        <v>276200</v>
      </c>
      <c r="BS948" s="36">
        <f>IFERROR((Inventory[[#This Row],[Adjusted Impr Total]]-Inventory[[#This Row],[24Bldg]])/Inventory[[#This Row],[24Bldg]],0)</f>
        <v>0.1934010152284264</v>
      </c>
      <c r="BT948" s="36">
        <f>(Inventory[[#This Row],[Adjusted Land Total]]-Inventory[[#This Row],[24Lnd]])/Inventory[[#This Row],[24Lnd]]</f>
        <v>-0.35071090047393366</v>
      </c>
      <c r="BU948" s="36">
        <f>(Inventory[[#This Row],[Adjusted Total]]-Inventory[[#This Row],[24Final]])/Inventory[[#This Row],[24Final]]</f>
        <v>6.1083365347675757E-2</v>
      </c>
    </row>
    <row r="949" spans="1:73" x14ac:dyDescent="0.3">
      <c r="A949" s="25">
        <v>2025</v>
      </c>
      <c r="B949" s="26" t="s">
        <v>2057</v>
      </c>
      <c r="C949" s="26">
        <f>LN(Inventory[[#This Row],[Acres]])</f>
        <v>-1.7719568419318752</v>
      </c>
      <c r="D949" s="25">
        <v>0.17</v>
      </c>
      <c r="E949" s="27"/>
      <c r="F949" s="26" t="s">
        <v>537</v>
      </c>
      <c r="G949" s="26" t="s">
        <v>126</v>
      </c>
      <c r="H949" s="26" t="s">
        <v>349</v>
      </c>
      <c r="I949" s="26" t="s">
        <v>538</v>
      </c>
      <c r="J949" s="26" t="s">
        <v>539</v>
      </c>
      <c r="K949" s="26" t="s">
        <v>242</v>
      </c>
      <c r="L949" s="26" t="s">
        <v>351</v>
      </c>
      <c r="M949" s="26" t="s">
        <v>303</v>
      </c>
      <c r="N949" s="26">
        <v>80</v>
      </c>
      <c r="O949" s="26">
        <f>2024-Inventory[[#This Row],[YrBlt]]</f>
        <v>75</v>
      </c>
      <c r="P949" s="26">
        <f>2024-Inventory[[#This Row],[EffYr]]</f>
        <v>51</v>
      </c>
      <c r="Q949" s="25">
        <v>1949</v>
      </c>
      <c r="R949" s="25">
        <v>1973</v>
      </c>
      <c r="S949" s="25">
        <v>1188</v>
      </c>
      <c r="T949" s="27"/>
      <c r="U949" s="32">
        <v>908</v>
      </c>
      <c r="V949" s="32">
        <f>Inventory[[#This Row],[Bsmt]]-Inventory[[#This Row],[FnBsmt]]</f>
        <v>0</v>
      </c>
      <c r="W949" s="32">
        <v>908</v>
      </c>
      <c r="X949" s="27"/>
      <c r="Y949" s="27">
        <f>Inventory[[#This Row],[MainFn]]+Inventory[[#This Row],[UpprFn]]+Inventory[[#This Row],[FnBsmt]]+Inventory[[#This Row],[AddFn]]</f>
        <v>2096</v>
      </c>
      <c r="Z949" s="27">
        <v>2500</v>
      </c>
      <c r="AA949" s="25">
        <v>7</v>
      </c>
      <c r="AB949" s="27"/>
      <c r="AC949" s="32">
        <v>288</v>
      </c>
      <c r="AD949" s="27"/>
      <c r="AE949" s="27"/>
      <c r="AF949" s="27"/>
      <c r="AG949" s="27"/>
      <c r="AH949" s="27"/>
      <c r="AI949" s="25">
        <v>298103</v>
      </c>
      <c r="AJ949" s="25">
        <v>211653</v>
      </c>
      <c r="AK949" s="25">
        <v>0</v>
      </c>
      <c r="AL949" s="25">
        <v>334500</v>
      </c>
      <c r="AM949" s="25">
        <v>52700</v>
      </c>
      <c r="AN949" s="25">
        <v>281800</v>
      </c>
      <c r="AO949" s="25">
        <v>0</v>
      </c>
      <c r="AP949" s="25">
        <f>Lookups!$B$56*0</f>
        <v>0</v>
      </c>
      <c r="AQ949" s="25">
        <f>Lookups!$B$56*1</f>
        <v>89850.625589999996</v>
      </c>
      <c r="AR949" s="25">
        <f>Lookups!$B$57*Inventory[[#This Row],[LnAcres]]</f>
        <v>-56090.612940989391</v>
      </c>
      <c r="AS949" s="25">
        <f>VLOOKUP(Inventory[[#This Row],[Qlty]],Lookups!$A$62:$E$75,2,FALSE)</f>
        <v>21557.329055999999</v>
      </c>
      <c r="AT949" s="25">
        <f>VLOOKUP(Inventory[[#This Row],[Cnd]],Lookups!$A$76:$E$84,2,FALSE)</f>
        <v>197752.34721000001</v>
      </c>
      <c r="AU949" s="25">
        <f>Inventory[[#This Row],[EffAge]]*Lookups!$B$85</f>
        <v>-11375.3256255</v>
      </c>
      <c r="AV949" s="25">
        <f>Inventory[[#This Row],[MainFn]]*Lookups!$B$86</f>
        <v>58697.499813875998</v>
      </c>
      <c r="AW949" s="25">
        <f>Inventory[[#This Row],[UpprFn]]*Lookups!$B$87</f>
        <v>0</v>
      </c>
      <c r="AX949" s="25">
        <f>Inventory[[#This Row],[AddFn]]*Lookups!$B$88</f>
        <v>0</v>
      </c>
      <c r="AY949" s="25">
        <f>Inventory[[#This Row],[Bsmt]]*Lookups!$B$89</f>
        <v>26406.360884276</v>
      </c>
      <c r="AZ949" s="25">
        <f>Inventory[[#This Row],[Fixtures]]*Lookups!$B$90</f>
        <v>26544.1547364</v>
      </c>
      <c r="BA949" s="25">
        <f>Inventory[[#This Row],[WdDeck]]*Lookups!$B$91</f>
        <v>0</v>
      </c>
      <c r="BB949" s="25">
        <f>ROUND(Inventory[[#This Row],[25Det]],-2)</f>
        <v>0</v>
      </c>
      <c r="BC949" s="25">
        <f>ROUND(SUM(Inventory[[#This Row],[Mdl Qlty]:[Mdl WdDeck]])+Inventory[[#This Row],[Mdl Res Intercept]],-2)</f>
        <v>319600</v>
      </c>
      <c r="BD949" s="25">
        <f>ROUND(Inventory[[#This Row],[Mdl Land Intercept]]+Inventory[[#This Row],[Mdl LnAcres]],-2)</f>
        <v>33800</v>
      </c>
      <c r="BE949" s="25">
        <f>Inventory[[#This Row],[Unadj Res Value]]+Inventory[[#This Row],[Unadj Det Value]]+Inventory[[#This Row],[Unadj Land Value]]</f>
        <v>353400</v>
      </c>
      <c r="BF949" s="36">
        <f>(Inventory[[#This Row],[Unadj Total Value]]-Inventory[[#This Row],[24Final]])/Inventory[[#This Row],[24Final]]</f>
        <v>5.6502242152466367E-2</v>
      </c>
      <c r="BG949" s="25">
        <f>VLOOKUP(Inventory[[#This Row],[Nbhd]],Lookups!$Q$2:$T$4,4,FALSE)</f>
        <v>0.99970000000000003</v>
      </c>
      <c r="BH949" s="25">
        <f>VLOOKUP(Inventory[[#This Row],[Qlty]],Lookups!$O$7:$R$21,4,FALSE)</f>
        <v>1.0067999999999999</v>
      </c>
      <c r="BI949" s="25">
        <f>VLOOKUP(Inventory[[#This Row],[Cnd]],Lookups!$T$7:$W$16,4,FALSE)</f>
        <v>0.99650000000000005</v>
      </c>
      <c r="BJ949" s="25">
        <f>VLOOKUP(Inventory[[#This Row],[LivArea Range]],Lookups!$T$25:$W$37,4,FALSE)</f>
        <v>0.98919999999999997</v>
      </c>
      <c r="BK949" s="25">
        <f>VLOOKUP(Inventory[[#This Row],[Decade]],Lookups!$O$25:$R$42,4,FALSE)</f>
        <v>0.995</v>
      </c>
      <c r="BL949" s="25">
        <f>Inventory[[#This Row],[Nbhd Adj]]*0.95</f>
        <v>0.94971499999999998</v>
      </c>
      <c r="BM949" s="25">
        <f>Inventory[[#This Row],[Nbhd Adj]]*Inventory[[#This Row],[Quality Adj]]*Inventory[[#This Row],[Condition Adj]]*Inventory[[#This Row],[Living Area Adj]]*Inventory[[#This Row],[Decade Adj]]*0.95</f>
        <v>0.93782325090236773</v>
      </c>
      <c r="BN949" s="25">
        <f>ROUND(SUM(Inventory[[#This Row],[Mdl Qlty]:[Mdl WdDeck]])+Inventory[[#This Row],[Mdl Res Intercept]]*Inventory[[#This Row],[Res Adj ]],-2)</f>
        <v>319600</v>
      </c>
      <c r="BO949" s="25">
        <f>ROUND(Inventory[[#This Row],[25Det]]*Inventory[[#This Row],[Det/Nbhd Adj]],-2)</f>
        <v>0</v>
      </c>
      <c r="BP949" s="25">
        <f>Inventory[[#This Row],[Adjusted Res]]+Inventory[[#This Row],[Adj Det ]]</f>
        <v>319600</v>
      </c>
      <c r="BQ949" s="25">
        <f>ROUND((Inventory[[#This Row],[Mdl Land Intercept]]+Inventory[[#This Row],[Mdl LnAcres]])*Inventory[[#This Row],[Det/Nbhd Adj]],-2)</f>
        <v>32100</v>
      </c>
      <c r="BR949" s="25">
        <f>Inventory[[#This Row],[Adjusted Impr Total]]+Inventory[[#This Row],[Adjusted Land Total]]</f>
        <v>351700</v>
      </c>
      <c r="BS949" s="36">
        <f>IFERROR((Inventory[[#This Row],[Adjusted Impr Total]]-Inventory[[#This Row],[24Bldg]])/Inventory[[#This Row],[24Bldg]],0)</f>
        <v>0.13413768630234207</v>
      </c>
      <c r="BT949" s="36">
        <f>(Inventory[[#This Row],[Adjusted Land Total]]-Inventory[[#This Row],[24Lnd]])/Inventory[[#This Row],[24Lnd]]</f>
        <v>-0.39089184060721061</v>
      </c>
      <c r="BU949" s="36">
        <f>(Inventory[[#This Row],[Adjusted Total]]-Inventory[[#This Row],[24Final]])/Inventory[[#This Row],[24Final]]</f>
        <v>5.1420029895366218E-2</v>
      </c>
    </row>
    <row r="950" spans="1:73" x14ac:dyDescent="0.3">
      <c r="A950" s="25">
        <v>2025</v>
      </c>
      <c r="B950" s="26" t="s">
        <v>1310</v>
      </c>
      <c r="C950" s="26">
        <f>LN(Inventory[[#This Row],[Acres]])</f>
        <v>-1.8971199848858813</v>
      </c>
      <c r="D950" s="25">
        <v>0.15</v>
      </c>
      <c r="E950" s="27"/>
      <c r="F950" s="26" t="s">
        <v>537</v>
      </c>
      <c r="G950" s="26" t="s">
        <v>126</v>
      </c>
      <c r="H950" s="26" t="s">
        <v>349</v>
      </c>
      <c r="I950" s="26" t="s">
        <v>538</v>
      </c>
      <c r="J950" s="26" t="s">
        <v>539</v>
      </c>
      <c r="K950" s="26" t="s">
        <v>242</v>
      </c>
      <c r="L950" s="26" t="s">
        <v>351</v>
      </c>
      <c r="M950" s="26" t="s">
        <v>303</v>
      </c>
      <c r="N950" s="26">
        <v>80</v>
      </c>
      <c r="O950" s="26">
        <f>2024-Inventory[[#This Row],[YrBlt]]</f>
        <v>75</v>
      </c>
      <c r="P950" s="26">
        <f>2024-Inventory[[#This Row],[EffYr]]</f>
        <v>51</v>
      </c>
      <c r="Q950" s="25">
        <v>1949</v>
      </c>
      <c r="R950" s="25">
        <v>1973</v>
      </c>
      <c r="S950" s="25">
        <v>1141</v>
      </c>
      <c r="T950" s="27"/>
      <c r="U950" s="25">
        <v>1141</v>
      </c>
      <c r="V950" s="25">
        <f>Inventory[[#This Row],[Bsmt]]-Inventory[[#This Row],[FnBsmt]]</f>
        <v>0</v>
      </c>
      <c r="W950" s="25">
        <v>1141</v>
      </c>
      <c r="X950" s="27"/>
      <c r="Y950" s="27">
        <f>Inventory[[#This Row],[MainFn]]+Inventory[[#This Row],[UpprFn]]+Inventory[[#This Row],[FnBsmt]]+Inventory[[#This Row],[AddFn]]</f>
        <v>2282</v>
      </c>
      <c r="Z950" s="27">
        <v>2500</v>
      </c>
      <c r="AA950" s="25">
        <v>8</v>
      </c>
      <c r="AB950" s="27"/>
      <c r="AC950" s="27"/>
      <c r="AD950" s="27"/>
      <c r="AE950" s="27"/>
      <c r="AF950" s="27"/>
      <c r="AG950" s="27"/>
      <c r="AH950" s="27"/>
      <c r="AI950" s="25">
        <v>293817</v>
      </c>
      <c r="AJ950" s="25">
        <v>208610</v>
      </c>
      <c r="AK950" s="25">
        <v>28479</v>
      </c>
      <c r="AL950" s="25">
        <v>364400</v>
      </c>
      <c r="AM950" s="25">
        <v>48400</v>
      </c>
      <c r="AN950" s="25">
        <v>316000</v>
      </c>
      <c r="AO950" s="25">
        <v>0</v>
      </c>
      <c r="AP950" s="25">
        <f>Lookups!$B$56*0</f>
        <v>0</v>
      </c>
      <c r="AQ950" s="25">
        <f>Lookups!$B$56*1</f>
        <v>89850.625589999996</v>
      </c>
      <c r="AR950" s="25">
        <f>Lookups!$B$57*Inventory[[#This Row],[LnAcres]]</f>
        <v>-60052.604136134301</v>
      </c>
      <c r="AS950" s="25">
        <f>VLOOKUP(Inventory[[#This Row],[Qlty]],Lookups!$A$62:$E$75,2,FALSE)</f>
        <v>21557.329055999999</v>
      </c>
      <c r="AT950" s="25">
        <f>VLOOKUP(Inventory[[#This Row],[Cnd]],Lookups!$A$76:$E$84,2,FALSE)</f>
        <v>197752.34721000001</v>
      </c>
      <c r="AU950" s="25">
        <f>Inventory[[#This Row],[EffAge]]*Lookups!$B$85</f>
        <v>-11375.3256255</v>
      </c>
      <c r="AV950" s="25">
        <f>Inventory[[#This Row],[MainFn]]*Lookups!$B$86</f>
        <v>56375.292329657001</v>
      </c>
      <c r="AW950" s="25">
        <f>Inventory[[#This Row],[UpprFn]]*Lookups!$B$87</f>
        <v>0</v>
      </c>
      <c r="AX950" s="25">
        <f>Inventory[[#This Row],[AddFn]]*Lookups!$B$88</f>
        <v>0</v>
      </c>
      <c r="AY950" s="25">
        <f>Inventory[[#This Row],[Bsmt]]*Lookups!$B$89</f>
        <v>33182.442476826996</v>
      </c>
      <c r="AZ950" s="25">
        <f>Inventory[[#This Row],[Fixtures]]*Lookups!$B$90</f>
        <v>30336.176841600001</v>
      </c>
      <c r="BA950" s="25">
        <f>Inventory[[#This Row],[WdDeck]]*Lookups!$B$91</f>
        <v>0</v>
      </c>
      <c r="BB950" s="25">
        <f>ROUND(Inventory[[#This Row],[25Det]],-2)</f>
        <v>28500</v>
      </c>
      <c r="BC950" s="25">
        <f>ROUND(SUM(Inventory[[#This Row],[Mdl Qlty]:[Mdl WdDeck]])+Inventory[[#This Row],[Mdl Res Intercept]],-2)</f>
        <v>327800</v>
      </c>
      <c r="BD950" s="25">
        <f>ROUND(Inventory[[#This Row],[Mdl Land Intercept]]+Inventory[[#This Row],[Mdl LnAcres]],-2)</f>
        <v>29800</v>
      </c>
      <c r="BE950" s="25">
        <f>Inventory[[#This Row],[Unadj Res Value]]+Inventory[[#This Row],[Unadj Det Value]]+Inventory[[#This Row],[Unadj Land Value]]</f>
        <v>386100</v>
      </c>
      <c r="BF950" s="36">
        <f>(Inventory[[#This Row],[Unadj Total Value]]-Inventory[[#This Row],[24Final]])/Inventory[[#This Row],[24Final]]</f>
        <v>5.9549945115257956E-2</v>
      </c>
      <c r="BG950" s="25">
        <f>VLOOKUP(Inventory[[#This Row],[Nbhd]],Lookups!$Q$2:$T$4,4,FALSE)</f>
        <v>0.99970000000000003</v>
      </c>
      <c r="BH950" s="25">
        <f>VLOOKUP(Inventory[[#This Row],[Qlty]],Lookups!$O$7:$R$21,4,FALSE)</f>
        <v>1.0067999999999999</v>
      </c>
      <c r="BI950" s="25">
        <f>VLOOKUP(Inventory[[#This Row],[Cnd]],Lookups!$T$7:$W$16,4,FALSE)</f>
        <v>0.99650000000000005</v>
      </c>
      <c r="BJ950" s="25">
        <f>VLOOKUP(Inventory[[#This Row],[LivArea Range]],Lookups!$T$25:$W$37,4,FALSE)</f>
        <v>0.98919999999999997</v>
      </c>
      <c r="BK950" s="25">
        <f>VLOOKUP(Inventory[[#This Row],[Decade]],Lookups!$O$25:$R$42,4,FALSE)</f>
        <v>0.995</v>
      </c>
      <c r="BL950" s="25">
        <f>Inventory[[#This Row],[Nbhd Adj]]*0.95</f>
        <v>0.94971499999999998</v>
      </c>
      <c r="BM950" s="25">
        <f>Inventory[[#This Row],[Nbhd Adj]]*Inventory[[#This Row],[Quality Adj]]*Inventory[[#This Row],[Condition Adj]]*Inventory[[#This Row],[Living Area Adj]]*Inventory[[#This Row],[Decade Adj]]*0.95</f>
        <v>0.93782325090236773</v>
      </c>
      <c r="BN950" s="25">
        <f>ROUND(SUM(Inventory[[#This Row],[Mdl Qlty]:[Mdl WdDeck]])+Inventory[[#This Row],[Mdl Res Intercept]]*Inventory[[#This Row],[Res Adj ]],-2)</f>
        <v>327800</v>
      </c>
      <c r="BO950" s="25">
        <f>ROUND(Inventory[[#This Row],[25Det]]*Inventory[[#This Row],[Det/Nbhd Adj]],-2)</f>
        <v>27000</v>
      </c>
      <c r="BP950" s="25">
        <f>Inventory[[#This Row],[Adjusted Res]]+Inventory[[#This Row],[Adj Det ]]</f>
        <v>354800</v>
      </c>
      <c r="BQ950" s="25">
        <f>ROUND((Inventory[[#This Row],[Mdl Land Intercept]]+Inventory[[#This Row],[Mdl LnAcres]])*Inventory[[#This Row],[Det/Nbhd Adj]],-2)</f>
        <v>28300</v>
      </c>
      <c r="BR950" s="25">
        <f>Inventory[[#This Row],[Adjusted Impr Total]]+Inventory[[#This Row],[Adjusted Land Total]]</f>
        <v>383100</v>
      </c>
      <c r="BS950" s="36">
        <f>IFERROR((Inventory[[#This Row],[Adjusted Impr Total]]-Inventory[[#This Row],[24Bldg]])/Inventory[[#This Row],[24Bldg]],0)</f>
        <v>0.12278481012658228</v>
      </c>
      <c r="BT950" s="36">
        <f>(Inventory[[#This Row],[Adjusted Land Total]]-Inventory[[#This Row],[24Lnd]])/Inventory[[#This Row],[24Lnd]]</f>
        <v>-0.41528925619834711</v>
      </c>
      <c r="BU950" s="36">
        <f>(Inventory[[#This Row],[Adjusted Total]]-Inventory[[#This Row],[24Final]])/Inventory[[#This Row],[24Final]]</f>
        <v>5.1317233809001099E-2</v>
      </c>
    </row>
    <row r="951" spans="1:73" x14ac:dyDescent="0.3">
      <c r="A951" s="25">
        <v>2025</v>
      </c>
      <c r="B951" s="26" t="s">
        <v>2611</v>
      </c>
      <c r="C951" s="26">
        <f>LN(Inventory[[#This Row],[Acres]])</f>
        <v>-1.7719568419318752</v>
      </c>
      <c r="D951" s="25">
        <v>0.17</v>
      </c>
      <c r="E951" s="32">
        <v>7348</v>
      </c>
      <c r="F951" s="26" t="s">
        <v>537</v>
      </c>
      <c r="G951" s="26" t="s">
        <v>126</v>
      </c>
      <c r="H951" s="26" t="s">
        <v>349</v>
      </c>
      <c r="I951" s="26" t="s">
        <v>538</v>
      </c>
      <c r="J951" s="26" t="s">
        <v>539</v>
      </c>
      <c r="K951" s="26" t="s">
        <v>269</v>
      </c>
      <c r="L951" s="26" t="s">
        <v>302</v>
      </c>
      <c r="M951" s="26" t="s">
        <v>303</v>
      </c>
      <c r="N951" s="26">
        <v>80</v>
      </c>
      <c r="O951" s="26">
        <f>2024-Inventory[[#This Row],[YrBlt]]</f>
        <v>75</v>
      </c>
      <c r="P951" s="26">
        <f>2024-Inventory[[#This Row],[EffYr]]</f>
        <v>51</v>
      </c>
      <c r="Q951" s="25">
        <v>1949</v>
      </c>
      <c r="R951" s="25">
        <v>1973</v>
      </c>
      <c r="S951" s="25">
        <v>1136</v>
      </c>
      <c r="T951" s="27"/>
      <c r="U951" s="25">
        <v>728</v>
      </c>
      <c r="V951" s="25">
        <f>Inventory[[#This Row],[Bsmt]]-Inventory[[#This Row],[FnBsmt]]</f>
        <v>0</v>
      </c>
      <c r="W951" s="25">
        <v>728</v>
      </c>
      <c r="X951" s="27"/>
      <c r="Y951" s="27">
        <f>Inventory[[#This Row],[MainFn]]+Inventory[[#This Row],[UpprFn]]+Inventory[[#This Row],[FnBsmt]]+Inventory[[#This Row],[AddFn]]</f>
        <v>1864</v>
      </c>
      <c r="Z951" s="27">
        <v>2000</v>
      </c>
      <c r="AA951" s="25">
        <v>5</v>
      </c>
      <c r="AB951" s="27"/>
      <c r="AC951" s="27"/>
      <c r="AD951" s="27"/>
      <c r="AE951" s="27"/>
      <c r="AF951" s="27"/>
      <c r="AG951" s="27"/>
      <c r="AH951" s="27"/>
      <c r="AI951" s="25">
        <v>303213</v>
      </c>
      <c r="AJ951" s="25">
        <v>215281</v>
      </c>
      <c r="AK951" s="25">
        <v>9040</v>
      </c>
      <c r="AL951" s="25">
        <v>336800</v>
      </c>
      <c r="AM951" s="25">
        <v>52700</v>
      </c>
      <c r="AN951" s="25">
        <v>284100</v>
      </c>
      <c r="AO951" s="25">
        <v>0</v>
      </c>
      <c r="AP951" s="25">
        <f>Lookups!$B$56*0</f>
        <v>0</v>
      </c>
      <c r="AQ951" s="25">
        <f>Lookups!$B$56*1</f>
        <v>89850.625589999996</v>
      </c>
      <c r="AR951" s="25">
        <f>Lookups!$B$57*Inventory[[#This Row],[LnAcres]]</f>
        <v>-56090.612940989391</v>
      </c>
      <c r="AS951" s="25">
        <f>VLOOKUP(Inventory[[#This Row],[Qlty]],Lookups!$A$62:$E$75,2,FALSE)</f>
        <v>29814.093161000001</v>
      </c>
      <c r="AT951" s="25">
        <f>VLOOKUP(Inventory[[#This Row],[Cnd]],Lookups!$A$76:$E$84,2,FALSE)</f>
        <v>197752.34721000001</v>
      </c>
      <c r="AU951" s="25">
        <f>Inventory[[#This Row],[EffAge]]*Lookups!$B$85</f>
        <v>-11375.3256255</v>
      </c>
      <c r="AV951" s="25">
        <f>Inventory[[#This Row],[MainFn]]*Lookups!$B$86</f>
        <v>56128.248980272001</v>
      </c>
      <c r="AW951" s="25">
        <f>Inventory[[#This Row],[UpprFn]]*Lookups!$B$87</f>
        <v>0</v>
      </c>
      <c r="AX951" s="25">
        <f>Inventory[[#This Row],[AddFn]]*Lookups!$B$88</f>
        <v>0</v>
      </c>
      <c r="AY951" s="25">
        <f>Inventory[[#This Row],[Bsmt]]*Lookups!$B$89</f>
        <v>21171.619739816</v>
      </c>
      <c r="AZ951" s="25">
        <f>Inventory[[#This Row],[Fixtures]]*Lookups!$B$90</f>
        <v>18960.110526</v>
      </c>
      <c r="BA951" s="25">
        <f>Inventory[[#This Row],[WdDeck]]*Lookups!$B$91</f>
        <v>0</v>
      </c>
      <c r="BB951" s="25">
        <f>ROUND(Inventory[[#This Row],[25Det]],-2)</f>
        <v>9000</v>
      </c>
      <c r="BC951" s="25">
        <f>ROUND(SUM(Inventory[[#This Row],[Mdl Qlty]:[Mdl WdDeck]])+Inventory[[#This Row],[Mdl Res Intercept]],-2)</f>
        <v>312500</v>
      </c>
      <c r="BD951" s="25">
        <f>ROUND(Inventory[[#This Row],[Mdl Land Intercept]]+Inventory[[#This Row],[Mdl LnAcres]],-2)</f>
        <v>33800</v>
      </c>
      <c r="BE951" s="25">
        <f>Inventory[[#This Row],[Unadj Res Value]]+Inventory[[#This Row],[Unadj Det Value]]+Inventory[[#This Row],[Unadj Land Value]]</f>
        <v>355300</v>
      </c>
      <c r="BF951" s="36">
        <f>(Inventory[[#This Row],[Unadj Total Value]]-Inventory[[#This Row],[24Final]])/Inventory[[#This Row],[24Final]]</f>
        <v>5.4928741092636582E-2</v>
      </c>
      <c r="BG951" s="25">
        <f>VLOOKUP(Inventory[[#This Row],[Nbhd]],Lookups!$Q$2:$T$4,4,FALSE)</f>
        <v>0.99970000000000003</v>
      </c>
      <c r="BH951" s="25">
        <f>VLOOKUP(Inventory[[#This Row],[Qlty]],Lookups!$O$7:$R$21,4,FALSE)</f>
        <v>1.0088999999999999</v>
      </c>
      <c r="BI951" s="25">
        <f>VLOOKUP(Inventory[[#This Row],[Cnd]],Lookups!$T$7:$W$16,4,FALSE)</f>
        <v>0.99650000000000005</v>
      </c>
      <c r="BJ951" s="25">
        <f>VLOOKUP(Inventory[[#This Row],[LivArea Range]],Lookups!$T$25:$W$37,4,FALSE)</f>
        <v>1.0093000000000001</v>
      </c>
      <c r="BK951" s="25">
        <f>VLOOKUP(Inventory[[#This Row],[Decade]],Lookups!$O$25:$R$42,4,FALSE)</f>
        <v>0.995</v>
      </c>
      <c r="BL951" s="25">
        <f>Inventory[[#This Row],[Nbhd Adj]]*0.95</f>
        <v>0.94971499999999998</v>
      </c>
      <c r="BM951" s="25">
        <f>Inventory[[#This Row],[Nbhd Adj]]*Inventory[[#This Row],[Quality Adj]]*Inventory[[#This Row],[Condition Adj]]*Inventory[[#This Row],[Living Area Adj]]*Inventory[[#This Row],[Decade Adj]]*0.95</f>
        <v>0.9588751782051762</v>
      </c>
      <c r="BN951" s="25">
        <f>ROUND(SUM(Inventory[[#This Row],[Mdl Qlty]:[Mdl WdDeck]])+Inventory[[#This Row],[Mdl Res Intercept]]*Inventory[[#This Row],[Res Adj ]],-2)</f>
        <v>312500</v>
      </c>
      <c r="BO951" s="25">
        <f>ROUND(Inventory[[#This Row],[25Det]]*Inventory[[#This Row],[Det/Nbhd Adj]],-2)</f>
        <v>8600</v>
      </c>
      <c r="BP951" s="25">
        <f>Inventory[[#This Row],[Adjusted Res]]+Inventory[[#This Row],[Adj Det ]]</f>
        <v>321100</v>
      </c>
      <c r="BQ951" s="25">
        <f>ROUND((Inventory[[#This Row],[Mdl Land Intercept]]+Inventory[[#This Row],[Mdl LnAcres]])*Inventory[[#This Row],[Det/Nbhd Adj]],-2)</f>
        <v>32100</v>
      </c>
      <c r="BR951" s="25">
        <f>Inventory[[#This Row],[Adjusted Impr Total]]+Inventory[[#This Row],[Adjusted Land Total]]</f>
        <v>353200</v>
      </c>
      <c r="BS951" s="36">
        <f>IFERROR((Inventory[[#This Row],[Adjusted Impr Total]]-Inventory[[#This Row],[24Bldg]])/Inventory[[#This Row],[24Bldg]],0)</f>
        <v>0.13023583245336148</v>
      </c>
      <c r="BT951" s="36">
        <f>(Inventory[[#This Row],[Adjusted Land Total]]-Inventory[[#This Row],[24Lnd]])/Inventory[[#This Row],[24Lnd]]</f>
        <v>-0.39089184060721061</v>
      </c>
      <c r="BU951" s="36">
        <f>(Inventory[[#This Row],[Adjusted Total]]-Inventory[[#This Row],[24Final]])/Inventory[[#This Row],[24Final]]</f>
        <v>4.8693586698337295E-2</v>
      </c>
    </row>
    <row r="952" spans="1:73" x14ac:dyDescent="0.3">
      <c r="A952" s="25">
        <v>2025</v>
      </c>
      <c r="B952" s="26" t="s">
        <v>2058</v>
      </c>
      <c r="C952" s="26">
        <f>LN(Inventory[[#This Row],[Acres]])</f>
        <v>-1.7719568419318752</v>
      </c>
      <c r="D952" s="25">
        <v>0.17</v>
      </c>
      <c r="E952" s="27"/>
      <c r="F952" s="26" t="s">
        <v>537</v>
      </c>
      <c r="G952" s="26" t="s">
        <v>126</v>
      </c>
      <c r="H952" s="26" t="s">
        <v>349</v>
      </c>
      <c r="I952" s="26" t="s">
        <v>538</v>
      </c>
      <c r="J952" s="26" t="s">
        <v>539</v>
      </c>
      <c r="K952" s="26" t="s">
        <v>242</v>
      </c>
      <c r="L952" s="26" t="s">
        <v>351</v>
      </c>
      <c r="M952" s="26" t="s">
        <v>323</v>
      </c>
      <c r="N952" s="26">
        <v>80</v>
      </c>
      <c r="O952" s="26">
        <f>2024-Inventory[[#This Row],[YrBlt]]</f>
        <v>75</v>
      </c>
      <c r="P952" s="26">
        <f>2024-Inventory[[#This Row],[EffYr]]</f>
        <v>51</v>
      </c>
      <c r="Q952" s="25">
        <v>1949</v>
      </c>
      <c r="R952" s="25">
        <v>1973</v>
      </c>
      <c r="S952" s="25">
        <v>1340</v>
      </c>
      <c r="T952" s="27"/>
      <c r="U952" s="25">
        <v>1186</v>
      </c>
      <c r="V952" s="25">
        <f>Inventory[[#This Row],[Bsmt]]-Inventory[[#This Row],[FnBsmt]]</f>
        <v>594</v>
      </c>
      <c r="W952" s="25">
        <v>592</v>
      </c>
      <c r="X952" s="27"/>
      <c r="Y952" s="27">
        <f>Inventory[[#This Row],[MainFn]]+Inventory[[#This Row],[UpprFn]]+Inventory[[#This Row],[FnBsmt]]+Inventory[[#This Row],[AddFn]]</f>
        <v>1932</v>
      </c>
      <c r="Z952" s="27">
        <v>2000</v>
      </c>
      <c r="AA952" s="25">
        <v>8</v>
      </c>
      <c r="AB952" s="27"/>
      <c r="AC952" s="27"/>
      <c r="AD952" s="27"/>
      <c r="AE952" s="27"/>
      <c r="AF952" s="27"/>
      <c r="AG952" s="27"/>
      <c r="AH952" s="27"/>
      <c r="AI952" s="25">
        <v>296016</v>
      </c>
      <c r="AJ952" s="25">
        <v>204251</v>
      </c>
      <c r="AK952" s="25">
        <v>7116</v>
      </c>
      <c r="AL952" s="25">
        <v>325100</v>
      </c>
      <c r="AM952" s="25">
        <v>52700</v>
      </c>
      <c r="AN952" s="25">
        <v>272400</v>
      </c>
      <c r="AO952" s="25">
        <v>0</v>
      </c>
      <c r="AP952" s="25">
        <f>Lookups!$B$56*0</f>
        <v>0</v>
      </c>
      <c r="AQ952" s="25">
        <f>Lookups!$B$56*1</f>
        <v>89850.625589999996</v>
      </c>
      <c r="AR952" s="25">
        <f>Lookups!$B$57*Inventory[[#This Row],[LnAcres]]</f>
        <v>-56090.612940989391</v>
      </c>
      <c r="AS952" s="25">
        <f>VLOOKUP(Inventory[[#This Row],[Qlty]],Lookups!$A$62:$E$75,2,FALSE)</f>
        <v>21557.329055999999</v>
      </c>
      <c r="AT952" s="25">
        <f>VLOOKUP(Inventory[[#This Row],[Cnd]],Lookups!$A$76:$E$84,2,FALSE)</f>
        <v>160472.20319</v>
      </c>
      <c r="AU952" s="25">
        <f>Inventory[[#This Row],[EffAge]]*Lookups!$B$85</f>
        <v>-11375.3256255</v>
      </c>
      <c r="AV952" s="25">
        <f>Inventory[[#This Row],[MainFn]]*Lookups!$B$86</f>
        <v>66207.617635179995</v>
      </c>
      <c r="AW952" s="25">
        <f>Inventory[[#This Row],[UpprFn]]*Lookups!$B$87</f>
        <v>0</v>
      </c>
      <c r="AX952" s="25">
        <f>Inventory[[#This Row],[AddFn]]*Lookups!$B$88</f>
        <v>0</v>
      </c>
      <c r="AY952" s="25">
        <f>Inventory[[#This Row],[Bsmt]]*Lookups!$B$89</f>
        <v>34491.127762942</v>
      </c>
      <c r="AZ952" s="25">
        <f>Inventory[[#This Row],[Fixtures]]*Lookups!$B$90</f>
        <v>30336.176841600001</v>
      </c>
      <c r="BA952" s="25">
        <f>Inventory[[#This Row],[WdDeck]]*Lookups!$B$91</f>
        <v>0</v>
      </c>
      <c r="BB952" s="25">
        <f>ROUND(Inventory[[#This Row],[25Det]],-2)</f>
        <v>7100</v>
      </c>
      <c r="BC952" s="25">
        <f>ROUND(SUM(Inventory[[#This Row],[Mdl Qlty]:[Mdl WdDeck]])+Inventory[[#This Row],[Mdl Res Intercept]],-2)</f>
        <v>301700</v>
      </c>
      <c r="BD952" s="25">
        <f>ROUND(Inventory[[#This Row],[Mdl Land Intercept]]+Inventory[[#This Row],[Mdl LnAcres]],-2)</f>
        <v>33800</v>
      </c>
      <c r="BE952" s="25">
        <f>Inventory[[#This Row],[Unadj Res Value]]+Inventory[[#This Row],[Unadj Det Value]]+Inventory[[#This Row],[Unadj Land Value]]</f>
        <v>342600</v>
      </c>
      <c r="BF952" s="36">
        <f>(Inventory[[#This Row],[Unadj Total Value]]-Inventory[[#This Row],[24Final]])/Inventory[[#This Row],[24Final]]</f>
        <v>5.3829590895109199E-2</v>
      </c>
      <c r="BG952" s="25">
        <f>VLOOKUP(Inventory[[#This Row],[Nbhd]],Lookups!$Q$2:$T$4,4,FALSE)</f>
        <v>0.99970000000000003</v>
      </c>
      <c r="BH952" s="25">
        <f>VLOOKUP(Inventory[[#This Row],[Qlty]],Lookups!$O$7:$R$21,4,FALSE)</f>
        <v>1.0067999999999999</v>
      </c>
      <c r="BI952" s="25">
        <f>VLOOKUP(Inventory[[#This Row],[Cnd]],Lookups!$T$7:$W$16,4,FALSE)</f>
        <v>0.99729999999999996</v>
      </c>
      <c r="BJ952" s="25">
        <f>VLOOKUP(Inventory[[#This Row],[LivArea Range]],Lookups!$T$25:$W$37,4,FALSE)</f>
        <v>1.0093000000000001</v>
      </c>
      <c r="BK952" s="25">
        <f>VLOOKUP(Inventory[[#This Row],[Decade]],Lookups!$O$25:$R$42,4,FALSE)</f>
        <v>0.995</v>
      </c>
      <c r="BL952" s="25">
        <f>Inventory[[#This Row],[Nbhd Adj]]*0.95</f>
        <v>0.94971499999999998</v>
      </c>
      <c r="BM952" s="25">
        <f>Inventory[[#This Row],[Nbhd Adj]]*Inventory[[#This Row],[Quality Adj]]*Inventory[[#This Row],[Condition Adj]]*Inventory[[#This Row],[Living Area Adj]]*Inventory[[#This Row],[Decade Adj]]*0.95</f>
        <v>0.957647495730095</v>
      </c>
      <c r="BN952" s="25">
        <f>ROUND(SUM(Inventory[[#This Row],[Mdl Qlty]:[Mdl WdDeck]])+Inventory[[#This Row],[Mdl Res Intercept]]*Inventory[[#This Row],[Res Adj ]],-2)</f>
        <v>301700</v>
      </c>
      <c r="BO952" s="25">
        <f>ROUND(Inventory[[#This Row],[25Det]]*Inventory[[#This Row],[Det/Nbhd Adj]],-2)</f>
        <v>6800</v>
      </c>
      <c r="BP952" s="25">
        <f>Inventory[[#This Row],[Adjusted Res]]+Inventory[[#This Row],[Adj Det ]]</f>
        <v>308500</v>
      </c>
      <c r="BQ952" s="25">
        <f>ROUND((Inventory[[#This Row],[Mdl Land Intercept]]+Inventory[[#This Row],[Mdl LnAcres]])*Inventory[[#This Row],[Det/Nbhd Adj]],-2)</f>
        <v>32100</v>
      </c>
      <c r="BR952" s="25">
        <f>Inventory[[#This Row],[Adjusted Impr Total]]+Inventory[[#This Row],[Adjusted Land Total]]</f>
        <v>340600</v>
      </c>
      <c r="BS952" s="36">
        <f>IFERROR((Inventory[[#This Row],[Adjusted Impr Total]]-Inventory[[#This Row],[24Bldg]])/Inventory[[#This Row],[24Bldg]],0)</f>
        <v>0.13252569750367107</v>
      </c>
      <c r="BT952" s="36">
        <f>(Inventory[[#This Row],[Adjusted Land Total]]-Inventory[[#This Row],[24Lnd]])/Inventory[[#This Row],[24Lnd]]</f>
        <v>-0.39089184060721061</v>
      </c>
      <c r="BU952" s="36">
        <f>(Inventory[[#This Row],[Adjusted Total]]-Inventory[[#This Row],[24Final]])/Inventory[[#This Row],[24Final]]</f>
        <v>4.7677637649953863E-2</v>
      </c>
    </row>
    <row r="953" spans="1:73" x14ac:dyDescent="0.3">
      <c r="A953" s="25">
        <v>2025</v>
      </c>
      <c r="B953" s="26" t="s">
        <v>1818</v>
      </c>
      <c r="C953" s="26">
        <f>LN(Inventory[[#This Row],[Acres]])</f>
        <v>-1.1394342831883648</v>
      </c>
      <c r="D953" s="25">
        <v>0.32</v>
      </c>
      <c r="E953" s="32">
        <v>14000</v>
      </c>
      <c r="F953" s="26" t="s">
        <v>537</v>
      </c>
      <c r="G953" s="26" t="s">
        <v>126</v>
      </c>
      <c r="H953" s="26" t="s">
        <v>349</v>
      </c>
      <c r="I953" s="26" t="s">
        <v>538</v>
      </c>
      <c r="J953" s="26" t="s">
        <v>539</v>
      </c>
      <c r="K953" s="26" t="s">
        <v>241</v>
      </c>
      <c r="L953" s="26" t="s">
        <v>351</v>
      </c>
      <c r="M953" s="26" t="s">
        <v>323</v>
      </c>
      <c r="N953" s="26">
        <v>80</v>
      </c>
      <c r="O953" s="26">
        <f>2024-Inventory[[#This Row],[YrBlt]]</f>
        <v>75</v>
      </c>
      <c r="P953" s="26">
        <f>2024-Inventory[[#This Row],[EffYr]]</f>
        <v>51</v>
      </c>
      <c r="Q953" s="25">
        <v>1949</v>
      </c>
      <c r="R953" s="25">
        <v>1973</v>
      </c>
      <c r="S953" s="25">
        <v>1560</v>
      </c>
      <c r="T953" s="27"/>
      <c r="U953" s="31"/>
      <c r="V953" s="31">
        <f>Inventory[[#This Row],[Bsmt]]-Inventory[[#This Row],[FnBsmt]]</f>
        <v>0</v>
      </c>
      <c r="W953" s="31"/>
      <c r="X953" s="27"/>
      <c r="Y953" s="27">
        <f>Inventory[[#This Row],[MainFn]]+Inventory[[#This Row],[UpprFn]]+Inventory[[#This Row],[FnBsmt]]+Inventory[[#This Row],[AddFn]]</f>
        <v>1560</v>
      </c>
      <c r="Z953" s="27">
        <v>2000</v>
      </c>
      <c r="AA953" s="25">
        <v>8</v>
      </c>
      <c r="AB953" s="27"/>
      <c r="AC953" s="27"/>
      <c r="AD953" s="32">
        <v>224</v>
      </c>
      <c r="AE953" s="27"/>
      <c r="AF953" s="27"/>
      <c r="AG953" s="27"/>
      <c r="AH953" s="27"/>
      <c r="AI953" s="25">
        <v>257439</v>
      </c>
      <c r="AJ953" s="25">
        <v>177633</v>
      </c>
      <c r="AK953" s="25">
        <v>9654</v>
      </c>
      <c r="AL953" s="25">
        <v>330600</v>
      </c>
      <c r="AM953" s="25">
        <v>74800</v>
      </c>
      <c r="AN953" s="25">
        <v>255800</v>
      </c>
      <c r="AO953" s="25">
        <v>0</v>
      </c>
      <c r="AP953" s="25">
        <f>Lookups!$B$56*0</f>
        <v>0</v>
      </c>
      <c r="AQ953" s="25">
        <f>Lookups!$B$56*1</f>
        <v>89850.625589999996</v>
      </c>
      <c r="AR953" s="25">
        <f>Lookups!$B$57*Inventory[[#This Row],[LnAcres]]</f>
        <v>-36068.354396449467</v>
      </c>
      <c r="AS953" s="25">
        <f>VLOOKUP(Inventory[[#This Row],[Qlty]],Lookups!$A$62:$E$75,2,FALSE)</f>
        <v>21557.329055999999</v>
      </c>
      <c r="AT953" s="25">
        <f>VLOOKUP(Inventory[[#This Row],[Cnd]],Lookups!$A$76:$E$84,2,FALSE)</f>
        <v>160472.20319</v>
      </c>
      <c r="AU953" s="25">
        <f>Inventory[[#This Row],[EffAge]]*Lookups!$B$85</f>
        <v>-11375.3256255</v>
      </c>
      <c r="AV953" s="25">
        <f>Inventory[[#This Row],[MainFn]]*Lookups!$B$86</f>
        <v>77077.525008120007</v>
      </c>
      <c r="AW953" s="25">
        <f>Inventory[[#This Row],[UpprFn]]*Lookups!$B$87</f>
        <v>0</v>
      </c>
      <c r="AX953" s="25">
        <f>Inventory[[#This Row],[AddFn]]*Lookups!$B$88</f>
        <v>0</v>
      </c>
      <c r="AY953" s="25">
        <f>Inventory[[#This Row],[Bsmt]]*Lookups!$B$89</f>
        <v>0</v>
      </c>
      <c r="AZ953" s="25">
        <f>Inventory[[#This Row],[Fixtures]]*Lookups!$B$90</f>
        <v>30336.176841600001</v>
      </c>
      <c r="BA953" s="25">
        <f>Inventory[[#This Row],[WdDeck]]*Lookups!$B$91</f>
        <v>7458.1954218240007</v>
      </c>
      <c r="BB953" s="25">
        <f>ROUND(Inventory[[#This Row],[25Det]],-2)</f>
        <v>9700</v>
      </c>
      <c r="BC953" s="25">
        <f>ROUND(SUM(Inventory[[#This Row],[Mdl Qlty]:[Mdl WdDeck]])+Inventory[[#This Row],[Mdl Res Intercept]],-2)</f>
        <v>285500</v>
      </c>
      <c r="BD953" s="25">
        <f>ROUND(Inventory[[#This Row],[Mdl Land Intercept]]+Inventory[[#This Row],[Mdl LnAcres]],-2)</f>
        <v>53800</v>
      </c>
      <c r="BE953" s="25">
        <f>Inventory[[#This Row],[Unadj Res Value]]+Inventory[[#This Row],[Unadj Det Value]]+Inventory[[#This Row],[Unadj Land Value]]</f>
        <v>349000</v>
      </c>
      <c r="BF953" s="36">
        <f>(Inventory[[#This Row],[Unadj Total Value]]-Inventory[[#This Row],[24Final]])/Inventory[[#This Row],[24Final]]</f>
        <v>5.5656382335148212E-2</v>
      </c>
      <c r="BG953" s="25">
        <f>VLOOKUP(Inventory[[#This Row],[Nbhd]],Lookups!$Q$2:$T$4,4,FALSE)</f>
        <v>0.99970000000000003</v>
      </c>
      <c r="BH953" s="25">
        <f>VLOOKUP(Inventory[[#This Row],[Qlty]],Lookups!$O$7:$R$21,4,FALSE)</f>
        <v>1.0067999999999999</v>
      </c>
      <c r="BI953" s="25">
        <f>VLOOKUP(Inventory[[#This Row],[Cnd]],Lookups!$T$7:$W$16,4,FALSE)</f>
        <v>0.99729999999999996</v>
      </c>
      <c r="BJ953" s="25">
        <f>VLOOKUP(Inventory[[#This Row],[LivArea Range]],Lookups!$T$25:$W$37,4,FALSE)</f>
        <v>1.0093000000000001</v>
      </c>
      <c r="BK953" s="25">
        <f>VLOOKUP(Inventory[[#This Row],[Decade]],Lookups!$O$25:$R$42,4,FALSE)</f>
        <v>0.995</v>
      </c>
      <c r="BL953" s="25">
        <f>Inventory[[#This Row],[Nbhd Adj]]*0.95</f>
        <v>0.94971499999999998</v>
      </c>
      <c r="BM953" s="25">
        <f>Inventory[[#This Row],[Nbhd Adj]]*Inventory[[#This Row],[Quality Adj]]*Inventory[[#This Row],[Condition Adj]]*Inventory[[#This Row],[Living Area Adj]]*Inventory[[#This Row],[Decade Adj]]*0.95</f>
        <v>0.957647495730095</v>
      </c>
      <c r="BN953" s="25">
        <f>ROUND(SUM(Inventory[[#This Row],[Mdl Qlty]:[Mdl WdDeck]])+Inventory[[#This Row],[Mdl Res Intercept]]*Inventory[[#This Row],[Res Adj ]],-2)</f>
        <v>285500</v>
      </c>
      <c r="BO953" s="25">
        <f>ROUND(Inventory[[#This Row],[25Det]]*Inventory[[#This Row],[Det/Nbhd Adj]],-2)</f>
        <v>9200</v>
      </c>
      <c r="BP953" s="25">
        <f>Inventory[[#This Row],[Adjusted Res]]+Inventory[[#This Row],[Adj Det ]]</f>
        <v>294700</v>
      </c>
      <c r="BQ953" s="25">
        <f>ROUND((Inventory[[#This Row],[Mdl Land Intercept]]+Inventory[[#This Row],[Mdl LnAcres]])*Inventory[[#This Row],[Det/Nbhd Adj]],-2)</f>
        <v>51100</v>
      </c>
      <c r="BR953" s="25">
        <f>Inventory[[#This Row],[Adjusted Impr Total]]+Inventory[[#This Row],[Adjusted Land Total]]</f>
        <v>345800</v>
      </c>
      <c r="BS953" s="36">
        <f>IFERROR((Inventory[[#This Row],[Adjusted Impr Total]]-Inventory[[#This Row],[24Bldg]])/Inventory[[#This Row],[24Bldg]],0)</f>
        <v>0.15207193119624707</v>
      </c>
      <c r="BT953" s="36">
        <f>(Inventory[[#This Row],[Adjusted Land Total]]-Inventory[[#This Row],[24Lnd]])/Inventory[[#This Row],[24Lnd]]</f>
        <v>-0.31684491978609625</v>
      </c>
      <c r="BU953" s="36">
        <f>(Inventory[[#This Row],[Adjusted Total]]-Inventory[[#This Row],[24Final]])/Inventory[[#This Row],[24Final]]</f>
        <v>4.5977011494252873E-2</v>
      </c>
    </row>
    <row r="954" spans="1:73" x14ac:dyDescent="0.3">
      <c r="A954" s="25">
        <v>2025</v>
      </c>
      <c r="B954" s="26" t="s">
        <v>2731</v>
      </c>
      <c r="C954" s="26">
        <f>LN(Inventory[[#This Row],[Acres]])</f>
        <v>-1.5141277326297755</v>
      </c>
      <c r="D954" s="25">
        <v>0.22</v>
      </c>
      <c r="E954" s="32">
        <v>9440</v>
      </c>
      <c r="F954" s="26" t="s">
        <v>537</v>
      </c>
      <c r="G954" s="26" t="s">
        <v>126</v>
      </c>
      <c r="H954" s="26" t="s">
        <v>349</v>
      </c>
      <c r="I954" s="26" t="s">
        <v>538</v>
      </c>
      <c r="J954" s="26" t="s">
        <v>539</v>
      </c>
      <c r="K954" s="26" t="s">
        <v>242</v>
      </c>
      <c r="L954" s="26" t="s">
        <v>351</v>
      </c>
      <c r="M954" s="26" t="s">
        <v>323</v>
      </c>
      <c r="N954" s="26">
        <v>80</v>
      </c>
      <c r="O954" s="26">
        <f>2024-Inventory[[#This Row],[YrBlt]]</f>
        <v>75</v>
      </c>
      <c r="P954" s="26">
        <f>2024-Inventory[[#This Row],[EffYr]]</f>
        <v>51</v>
      </c>
      <c r="Q954" s="25">
        <v>1949</v>
      </c>
      <c r="R954" s="25">
        <v>1973</v>
      </c>
      <c r="S954" s="25">
        <v>1316</v>
      </c>
      <c r="T954" s="27"/>
      <c r="U954" s="25">
        <v>1064</v>
      </c>
      <c r="V954" s="25">
        <f>Inventory[[#This Row],[Bsmt]]-Inventory[[#This Row],[FnBsmt]]</f>
        <v>264</v>
      </c>
      <c r="W954" s="25">
        <v>800</v>
      </c>
      <c r="X954" s="27"/>
      <c r="Y954" s="27">
        <f>Inventory[[#This Row],[MainFn]]+Inventory[[#This Row],[UpprFn]]+Inventory[[#This Row],[FnBsmt]]+Inventory[[#This Row],[AddFn]]</f>
        <v>2116</v>
      </c>
      <c r="Z954" s="27">
        <v>2500</v>
      </c>
      <c r="AA954" s="25">
        <v>9</v>
      </c>
      <c r="AB954" s="27"/>
      <c r="AC954" s="31"/>
      <c r="AD954" s="25">
        <v>200</v>
      </c>
      <c r="AE954" s="27"/>
      <c r="AF954" s="27"/>
      <c r="AG954" s="27"/>
      <c r="AH954" s="27"/>
      <c r="AI954" s="25">
        <v>297370</v>
      </c>
      <c r="AJ954" s="25">
        <v>205185</v>
      </c>
      <c r="AK954" s="25">
        <v>0</v>
      </c>
      <c r="AL954" s="25">
        <v>333000</v>
      </c>
      <c r="AM954" s="25">
        <v>61700</v>
      </c>
      <c r="AN954" s="25">
        <v>271300</v>
      </c>
      <c r="AO954" s="25">
        <v>0</v>
      </c>
      <c r="AP954" s="25">
        <f>Lookups!$B$56*0</f>
        <v>0</v>
      </c>
      <c r="AQ954" s="25">
        <f>Lookups!$B$56*1</f>
        <v>89850.625589999996</v>
      </c>
      <c r="AR954" s="25">
        <f>Lookups!$B$57*Inventory[[#This Row],[LnAcres]]</f>
        <v>-47929.131559187132</v>
      </c>
      <c r="AS954" s="25">
        <f>VLOOKUP(Inventory[[#This Row],[Qlty]],Lookups!$A$62:$E$75,2,FALSE)</f>
        <v>21557.329055999999</v>
      </c>
      <c r="AT954" s="25">
        <f>VLOOKUP(Inventory[[#This Row],[Cnd]],Lookups!$A$76:$E$84,2,FALSE)</f>
        <v>160472.20319</v>
      </c>
      <c r="AU954" s="25">
        <f>Inventory[[#This Row],[EffAge]]*Lookups!$B$85</f>
        <v>-11375.3256255</v>
      </c>
      <c r="AV954" s="25">
        <f>Inventory[[#This Row],[MainFn]]*Lookups!$B$86</f>
        <v>65021.809558132001</v>
      </c>
      <c r="AW954" s="25">
        <f>Inventory[[#This Row],[UpprFn]]*Lookups!$B$87</f>
        <v>0</v>
      </c>
      <c r="AX954" s="25">
        <f>Inventory[[#This Row],[AddFn]]*Lookups!$B$88</f>
        <v>0</v>
      </c>
      <c r="AY954" s="25">
        <f>Inventory[[#This Row],[Bsmt]]*Lookups!$B$89</f>
        <v>30943.136542807999</v>
      </c>
      <c r="AZ954" s="25">
        <f>Inventory[[#This Row],[Fixtures]]*Lookups!$B$90</f>
        <v>34128.198946800003</v>
      </c>
      <c r="BA954" s="25">
        <f>Inventory[[#This Row],[WdDeck]]*Lookups!$B$91</f>
        <v>6659.1030552000011</v>
      </c>
      <c r="BB954" s="25">
        <f>ROUND(Inventory[[#This Row],[25Det]],-2)</f>
        <v>0</v>
      </c>
      <c r="BC954" s="25">
        <f>ROUND(SUM(Inventory[[#This Row],[Mdl Qlty]:[Mdl WdDeck]])+Inventory[[#This Row],[Mdl Res Intercept]],-2)</f>
        <v>307400</v>
      </c>
      <c r="BD954" s="25">
        <f>ROUND(Inventory[[#This Row],[Mdl Land Intercept]]+Inventory[[#This Row],[Mdl LnAcres]],-2)</f>
        <v>41900</v>
      </c>
      <c r="BE954" s="25">
        <f>Inventory[[#This Row],[Unadj Res Value]]+Inventory[[#This Row],[Unadj Det Value]]+Inventory[[#This Row],[Unadj Land Value]]</f>
        <v>349300</v>
      </c>
      <c r="BF954" s="36">
        <f>(Inventory[[#This Row],[Unadj Total Value]]-Inventory[[#This Row],[24Final]])/Inventory[[#This Row],[24Final]]</f>
        <v>4.8948948948948946E-2</v>
      </c>
      <c r="BG954" s="25">
        <f>VLOOKUP(Inventory[[#This Row],[Nbhd]],Lookups!$Q$2:$T$4,4,FALSE)</f>
        <v>0.99970000000000003</v>
      </c>
      <c r="BH954" s="25">
        <f>VLOOKUP(Inventory[[#This Row],[Qlty]],Lookups!$O$7:$R$21,4,FALSE)</f>
        <v>1.0067999999999999</v>
      </c>
      <c r="BI954" s="25">
        <f>VLOOKUP(Inventory[[#This Row],[Cnd]],Lookups!$T$7:$W$16,4,FALSE)</f>
        <v>0.99729999999999996</v>
      </c>
      <c r="BJ954" s="25">
        <f>VLOOKUP(Inventory[[#This Row],[LivArea Range]],Lookups!$T$25:$W$37,4,FALSE)</f>
        <v>0.98919999999999997</v>
      </c>
      <c r="BK954" s="25">
        <f>VLOOKUP(Inventory[[#This Row],[Decade]],Lookups!$O$25:$R$42,4,FALSE)</f>
        <v>0.995</v>
      </c>
      <c r="BL954" s="25">
        <f>Inventory[[#This Row],[Nbhd Adj]]*0.95</f>
        <v>0.94971499999999998</v>
      </c>
      <c r="BM954" s="25">
        <f>Inventory[[#This Row],[Nbhd Adj]]*Inventory[[#This Row],[Quality Adj]]*Inventory[[#This Row],[Condition Adj]]*Inventory[[#This Row],[Living Area Adj]]*Inventory[[#This Row],[Decade Adj]]*0.95</f>
        <v>0.93857614463114025</v>
      </c>
      <c r="BN954" s="25">
        <f>ROUND(SUM(Inventory[[#This Row],[Mdl Qlty]:[Mdl WdDeck]])+Inventory[[#This Row],[Mdl Res Intercept]]*Inventory[[#This Row],[Res Adj ]],-2)</f>
        <v>307400</v>
      </c>
      <c r="BO954" s="25">
        <f>ROUND(Inventory[[#This Row],[25Det]]*Inventory[[#This Row],[Det/Nbhd Adj]],-2)</f>
        <v>0</v>
      </c>
      <c r="BP954" s="25">
        <f>Inventory[[#This Row],[Adjusted Res]]+Inventory[[#This Row],[Adj Det ]]</f>
        <v>307400</v>
      </c>
      <c r="BQ954" s="25">
        <f>ROUND((Inventory[[#This Row],[Mdl Land Intercept]]+Inventory[[#This Row],[Mdl LnAcres]])*Inventory[[#This Row],[Det/Nbhd Adj]],-2)</f>
        <v>39800</v>
      </c>
      <c r="BR954" s="25">
        <f>Inventory[[#This Row],[Adjusted Impr Total]]+Inventory[[#This Row],[Adjusted Land Total]]</f>
        <v>347200</v>
      </c>
      <c r="BS954" s="36">
        <f>IFERROR((Inventory[[#This Row],[Adjusted Impr Total]]-Inventory[[#This Row],[24Bldg]])/Inventory[[#This Row],[24Bldg]],0)</f>
        <v>0.13306302985624768</v>
      </c>
      <c r="BT954" s="36">
        <f>(Inventory[[#This Row],[Adjusted Land Total]]-Inventory[[#This Row],[24Lnd]])/Inventory[[#This Row],[24Lnd]]</f>
        <v>-0.35494327390599678</v>
      </c>
      <c r="BU954" s="36">
        <f>(Inventory[[#This Row],[Adjusted Total]]-Inventory[[#This Row],[24Final]])/Inventory[[#This Row],[24Final]]</f>
        <v>4.2642642642642642E-2</v>
      </c>
    </row>
    <row r="955" spans="1:73" x14ac:dyDescent="0.3">
      <c r="A955" s="25">
        <v>2025</v>
      </c>
      <c r="B955" s="26" t="s">
        <v>1393</v>
      </c>
      <c r="C955" s="26">
        <f>LN(Inventory[[#This Row],[Acres]])</f>
        <v>-2.120263536200091</v>
      </c>
      <c r="D955" s="25">
        <v>0.12</v>
      </c>
      <c r="E955" s="32">
        <v>5288</v>
      </c>
      <c r="F955" s="26" t="s">
        <v>537</v>
      </c>
      <c r="G955" s="26" t="s">
        <v>126</v>
      </c>
      <c r="H955" s="26" t="s">
        <v>349</v>
      </c>
      <c r="I955" s="26" t="s">
        <v>538</v>
      </c>
      <c r="J955" s="26" t="s">
        <v>539</v>
      </c>
      <c r="K955" s="26" t="s">
        <v>242</v>
      </c>
      <c r="L955" s="26" t="s">
        <v>351</v>
      </c>
      <c r="M955" s="26" t="s">
        <v>323</v>
      </c>
      <c r="N955" s="26">
        <v>80</v>
      </c>
      <c r="O955" s="26">
        <f>2024-Inventory[[#This Row],[YrBlt]]</f>
        <v>75</v>
      </c>
      <c r="P955" s="26">
        <f>2024-Inventory[[#This Row],[EffYr]]</f>
        <v>51</v>
      </c>
      <c r="Q955" s="25">
        <v>1949</v>
      </c>
      <c r="R955" s="25">
        <v>1973</v>
      </c>
      <c r="S955" s="25">
        <v>1281</v>
      </c>
      <c r="T955" s="27"/>
      <c r="U955" s="25">
        <v>1298</v>
      </c>
      <c r="V955" s="25">
        <f>Inventory[[#This Row],[Bsmt]]-Inventory[[#This Row],[FnBsmt]]</f>
        <v>0</v>
      </c>
      <c r="W955" s="25">
        <v>1298</v>
      </c>
      <c r="X955" s="27"/>
      <c r="Y955" s="27">
        <f>Inventory[[#This Row],[MainFn]]+Inventory[[#This Row],[UpprFn]]+Inventory[[#This Row],[FnBsmt]]+Inventory[[#This Row],[AddFn]]</f>
        <v>2579</v>
      </c>
      <c r="Z955" s="27">
        <v>3000</v>
      </c>
      <c r="AA955" s="25">
        <v>8</v>
      </c>
      <c r="AB955" s="27"/>
      <c r="AC955" s="27"/>
      <c r="AD955" s="27"/>
      <c r="AE955" s="27"/>
      <c r="AF955" s="27"/>
      <c r="AG955" s="27"/>
      <c r="AH955" s="27"/>
      <c r="AI955" s="25">
        <v>320820</v>
      </c>
      <c r="AJ955" s="25">
        <v>221366</v>
      </c>
      <c r="AK955" s="25">
        <v>7465</v>
      </c>
      <c r="AL955" s="25">
        <v>327800</v>
      </c>
      <c r="AM955" s="25">
        <v>40600</v>
      </c>
      <c r="AN955" s="25">
        <v>287200</v>
      </c>
      <c r="AO955" s="25">
        <v>0</v>
      </c>
      <c r="AP955" s="25">
        <f>Lookups!$B$56*0</f>
        <v>0</v>
      </c>
      <c r="AQ955" s="25">
        <f>Lookups!$B$56*1</f>
        <v>89850.625589999996</v>
      </c>
      <c r="AR955" s="25">
        <f>Lookups!$B$57*Inventory[[#This Row],[LnAcres]]</f>
        <v>-67116.12750806773</v>
      </c>
      <c r="AS955" s="25">
        <f>VLOOKUP(Inventory[[#This Row],[Qlty]],Lookups!$A$62:$E$75,2,FALSE)</f>
        <v>21557.329055999999</v>
      </c>
      <c r="AT955" s="25">
        <f>VLOOKUP(Inventory[[#This Row],[Cnd]],Lookups!$A$76:$E$84,2,FALSE)</f>
        <v>160472.20319</v>
      </c>
      <c r="AU955" s="25">
        <f>Inventory[[#This Row],[EffAge]]*Lookups!$B$85</f>
        <v>-11375.3256255</v>
      </c>
      <c r="AV955" s="25">
        <f>Inventory[[#This Row],[MainFn]]*Lookups!$B$86</f>
        <v>63292.506112437004</v>
      </c>
      <c r="AW955" s="25">
        <f>Inventory[[#This Row],[UpprFn]]*Lookups!$B$87</f>
        <v>0</v>
      </c>
      <c r="AX955" s="25">
        <f>Inventory[[#This Row],[AddFn]]*Lookups!$B$88</f>
        <v>0</v>
      </c>
      <c r="AY955" s="25">
        <f>Inventory[[#This Row],[Bsmt]]*Lookups!$B$89</f>
        <v>37748.300030605998</v>
      </c>
      <c r="AZ955" s="25">
        <f>Inventory[[#This Row],[Fixtures]]*Lookups!$B$90</f>
        <v>30336.176841600001</v>
      </c>
      <c r="BA955" s="25">
        <f>Inventory[[#This Row],[WdDeck]]*Lookups!$B$91</f>
        <v>0</v>
      </c>
      <c r="BB955" s="25">
        <f>ROUND(Inventory[[#This Row],[25Det]],-2)</f>
        <v>7500</v>
      </c>
      <c r="BC955" s="25">
        <f>ROUND(SUM(Inventory[[#This Row],[Mdl Qlty]:[Mdl WdDeck]])+Inventory[[#This Row],[Mdl Res Intercept]],-2)</f>
        <v>302000</v>
      </c>
      <c r="BD955" s="25">
        <f>ROUND(Inventory[[#This Row],[Mdl Land Intercept]]+Inventory[[#This Row],[Mdl LnAcres]],-2)</f>
        <v>22700</v>
      </c>
      <c r="BE955" s="25">
        <f>Inventory[[#This Row],[Unadj Res Value]]+Inventory[[#This Row],[Unadj Det Value]]+Inventory[[#This Row],[Unadj Land Value]]</f>
        <v>332200</v>
      </c>
      <c r="BF955" s="36">
        <f>(Inventory[[#This Row],[Unadj Total Value]]-Inventory[[#This Row],[24Final]])/Inventory[[#This Row],[24Final]]</f>
        <v>1.3422818791946308E-2</v>
      </c>
      <c r="BG955" s="25">
        <f>VLOOKUP(Inventory[[#This Row],[Nbhd]],Lookups!$Q$2:$T$4,4,FALSE)</f>
        <v>0.99970000000000003</v>
      </c>
      <c r="BH955" s="25">
        <f>VLOOKUP(Inventory[[#This Row],[Qlty]],Lookups!$O$7:$R$21,4,FALSE)</f>
        <v>1.0067999999999999</v>
      </c>
      <c r="BI955" s="25">
        <f>VLOOKUP(Inventory[[#This Row],[Cnd]],Lookups!$T$7:$W$16,4,FALSE)</f>
        <v>0.99729999999999996</v>
      </c>
      <c r="BJ955" s="25">
        <f>VLOOKUP(Inventory[[#This Row],[LivArea Range]],Lookups!$T$25:$W$37,4,FALSE)</f>
        <v>0.96179999999999999</v>
      </c>
      <c r="BK955" s="25">
        <f>VLOOKUP(Inventory[[#This Row],[Decade]],Lookups!$O$25:$R$42,4,FALSE)</f>
        <v>0.995</v>
      </c>
      <c r="BL955" s="25">
        <f>Inventory[[#This Row],[Nbhd Adj]]*0.95</f>
        <v>0.94971499999999998</v>
      </c>
      <c r="BM955" s="25">
        <f>Inventory[[#This Row],[Nbhd Adj]]*Inventory[[#This Row],[Quality Adj]]*Inventory[[#This Row],[Condition Adj]]*Inventory[[#This Row],[Living Area Adj]]*Inventory[[#This Row],[Decade Adj]]*0.95</f>
        <v>0.91257838243654554</v>
      </c>
      <c r="BN955" s="25">
        <f>ROUND(SUM(Inventory[[#This Row],[Mdl Qlty]:[Mdl WdDeck]])+Inventory[[#This Row],[Mdl Res Intercept]]*Inventory[[#This Row],[Res Adj ]],-2)</f>
        <v>302000</v>
      </c>
      <c r="BO955" s="25">
        <f>ROUND(Inventory[[#This Row],[25Det]]*Inventory[[#This Row],[Det/Nbhd Adj]],-2)</f>
        <v>7100</v>
      </c>
      <c r="BP955" s="25">
        <f>Inventory[[#This Row],[Adjusted Res]]+Inventory[[#This Row],[Adj Det ]]</f>
        <v>309100</v>
      </c>
      <c r="BQ955" s="25">
        <f>ROUND((Inventory[[#This Row],[Mdl Land Intercept]]+Inventory[[#This Row],[Mdl LnAcres]])*Inventory[[#This Row],[Det/Nbhd Adj]],-2)</f>
        <v>21600</v>
      </c>
      <c r="BR955" s="25">
        <f>Inventory[[#This Row],[Adjusted Impr Total]]+Inventory[[#This Row],[Adjusted Land Total]]</f>
        <v>330700</v>
      </c>
      <c r="BS955" s="36">
        <f>IFERROR((Inventory[[#This Row],[Adjusted Impr Total]]-Inventory[[#This Row],[24Bldg]])/Inventory[[#This Row],[24Bldg]],0)</f>
        <v>7.6253481894150418E-2</v>
      </c>
      <c r="BT955" s="36">
        <f>(Inventory[[#This Row],[Adjusted Land Total]]-Inventory[[#This Row],[24Lnd]])/Inventory[[#This Row],[24Lnd]]</f>
        <v>-0.46798029556650245</v>
      </c>
      <c r="BU955" s="36">
        <f>(Inventory[[#This Row],[Adjusted Total]]-Inventory[[#This Row],[24Final]])/Inventory[[#This Row],[24Final]]</f>
        <v>8.8468578401464312E-3</v>
      </c>
    </row>
    <row r="956" spans="1:73" x14ac:dyDescent="0.3">
      <c r="A956" s="25">
        <v>2025</v>
      </c>
      <c r="B956" s="26" t="s">
        <v>1509</v>
      </c>
      <c r="C956" s="26">
        <f>LN(Inventory[[#This Row],[Acres]])</f>
        <v>-1.9661128563728327</v>
      </c>
      <c r="D956" s="25">
        <v>0.14000000000000001</v>
      </c>
      <c r="E956" s="27"/>
      <c r="F956" s="26" t="s">
        <v>537</v>
      </c>
      <c r="G956" s="26" t="s">
        <v>126</v>
      </c>
      <c r="H956" s="26" t="s">
        <v>349</v>
      </c>
      <c r="I956" s="26" t="s">
        <v>538</v>
      </c>
      <c r="J956" s="26" t="s">
        <v>638</v>
      </c>
      <c r="K956" s="26" t="s">
        <v>269</v>
      </c>
      <c r="L956" s="26" t="s">
        <v>31</v>
      </c>
      <c r="M956" s="26" t="s">
        <v>323</v>
      </c>
      <c r="N956" s="26">
        <v>80</v>
      </c>
      <c r="O956" s="26">
        <f>2024-Inventory[[#This Row],[YrBlt]]</f>
        <v>75</v>
      </c>
      <c r="P956" s="26">
        <f>2024-Inventory[[#This Row],[EffYr]]</f>
        <v>51</v>
      </c>
      <c r="Q956" s="25">
        <v>1949</v>
      </c>
      <c r="R956" s="25">
        <v>1973</v>
      </c>
      <c r="S956" s="25">
        <v>968</v>
      </c>
      <c r="T956" s="27"/>
      <c r="U956" s="25">
        <v>968</v>
      </c>
      <c r="V956" s="25">
        <f>Inventory[[#This Row],[Bsmt]]-Inventory[[#This Row],[FnBsmt]]</f>
        <v>668</v>
      </c>
      <c r="W956" s="25">
        <v>300</v>
      </c>
      <c r="X956" s="27"/>
      <c r="Y956" s="27">
        <f>Inventory[[#This Row],[MainFn]]+Inventory[[#This Row],[UpprFn]]+Inventory[[#This Row],[FnBsmt]]+Inventory[[#This Row],[AddFn]]</f>
        <v>1268</v>
      </c>
      <c r="Z956" s="27">
        <v>1500</v>
      </c>
      <c r="AA956" s="25">
        <v>5</v>
      </c>
      <c r="AB956" s="32">
        <v>240</v>
      </c>
      <c r="AC956" s="31"/>
      <c r="AD956" s="27"/>
      <c r="AE956" s="27"/>
      <c r="AF956" s="27"/>
      <c r="AG956" s="27"/>
      <c r="AH956" s="27"/>
      <c r="AI956" s="25">
        <v>191157</v>
      </c>
      <c r="AJ956" s="25">
        <v>131898</v>
      </c>
      <c r="AK956" s="25">
        <v>0</v>
      </c>
      <c r="AL956" s="25">
        <v>248700</v>
      </c>
      <c r="AM956" s="25">
        <v>46000</v>
      </c>
      <c r="AN956" s="25">
        <v>202700</v>
      </c>
      <c r="AO956" s="25">
        <v>0</v>
      </c>
      <c r="AP956" s="25">
        <f>Lookups!$B$56*0</f>
        <v>0</v>
      </c>
      <c r="AQ956" s="25">
        <f>Lookups!$B$56*1</f>
        <v>89850.625589999996</v>
      </c>
      <c r="AR956" s="25">
        <f>Lookups!$B$57*Inventory[[#This Row],[LnAcres]]</f>
        <v>-62236.546971921947</v>
      </c>
      <c r="AS956" s="25">
        <f>VLOOKUP(Inventory[[#This Row],[Qlty]],Lookups!$A$62:$E$75,2,FALSE)</f>
        <v>-43578.886190266698</v>
      </c>
      <c r="AT956" s="25">
        <f>VLOOKUP(Inventory[[#This Row],[Cnd]],Lookups!$A$76:$E$84,2,FALSE)</f>
        <v>160472.20319</v>
      </c>
      <c r="AU956" s="25">
        <f>Inventory[[#This Row],[EffAge]]*Lookups!$B$85</f>
        <v>-11375.3256255</v>
      </c>
      <c r="AV956" s="25">
        <f>Inventory[[#This Row],[MainFn]]*Lookups!$B$86</f>
        <v>47827.592440936001</v>
      </c>
      <c r="AW956" s="25">
        <f>Inventory[[#This Row],[UpprFn]]*Lookups!$B$87</f>
        <v>0</v>
      </c>
      <c r="AX956" s="25">
        <f>Inventory[[#This Row],[AddFn]]*Lookups!$B$88</f>
        <v>0</v>
      </c>
      <c r="AY956" s="25">
        <f>Inventory[[#This Row],[Bsmt]]*Lookups!$B$89</f>
        <v>28151.274599095999</v>
      </c>
      <c r="AZ956" s="25">
        <f>Inventory[[#This Row],[Fixtures]]*Lookups!$B$90</f>
        <v>18960.110526</v>
      </c>
      <c r="BA956" s="25">
        <f>Inventory[[#This Row],[WdDeck]]*Lookups!$B$91</f>
        <v>0</v>
      </c>
      <c r="BB956" s="25">
        <f>ROUND(Inventory[[#This Row],[25Det]],-2)</f>
        <v>0</v>
      </c>
      <c r="BC956" s="25">
        <f>ROUND(SUM(Inventory[[#This Row],[Mdl Qlty]:[Mdl WdDeck]])+Inventory[[#This Row],[Mdl Res Intercept]],-2)</f>
        <v>200500</v>
      </c>
      <c r="BD956" s="25">
        <f>ROUND(Inventory[[#This Row],[Mdl Land Intercept]]+Inventory[[#This Row],[Mdl LnAcres]],-2)</f>
        <v>27600</v>
      </c>
      <c r="BE956" s="25">
        <f>Inventory[[#This Row],[Unadj Res Value]]+Inventory[[#This Row],[Unadj Det Value]]+Inventory[[#This Row],[Unadj Land Value]]</f>
        <v>228100</v>
      </c>
      <c r="BF956" s="36">
        <f>(Inventory[[#This Row],[Unadj Total Value]]-Inventory[[#This Row],[24Final]])/Inventory[[#This Row],[24Final]]</f>
        <v>-8.2830719742661846E-2</v>
      </c>
      <c r="BG956" s="25">
        <f>VLOOKUP(Inventory[[#This Row],[Nbhd]],Lookups!$Q$2:$T$4,4,FALSE)</f>
        <v>0.99970000000000003</v>
      </c>
      <c r="BH956" s="25">
        <f>VLOOKUP(Inventory[[#This Row],[Qlty]],Lookups!$O$7:$R$21,4,FALSE)</f>
        <v>1</v>
      </c>
      <c r="BI956" s="25">
        <f>VLOOKUP(Inventory[[#This Row],[Cnd]],Lookups!$T$7:$W$16,4,FALSE)</f>
        <v>0.99729999999999996</v>
      </c>
      <c r="BJ956" s="25">
        <f>VLOOKUP(Inventory[[#This Row],[LivArea Range]],Lookups!$T$25:$W$37,4,FALSE)</f>
        <v>1.0157</v>
      </c>
      <c r="BK956" s="25">
        <f>VLOOKUP(Inventory[[#This Row],[Decade]],Lookups!$O$25:$R$42,4,FALSE)</f>
        <v>0.995</v>
      </c>
      <c r="BL956" s="25">
        <f>Inventory[[#This Row],[Nbhd Adj]]*0.95</f>
        <v>0.94971499999999998</v>
      </c>
      <c r="BM956" s="25">
        <f>Inventory[[#This Row],[Nbhd Adj]]*Inventory[[#This Row],[Quality Adj]]*Inventory[[#This Row],[Condition Adj]]*Inventory[[#This Row],[Living Area Adj]]*Inventory[[#This Row],[Decade Adj]]*0.95</f>
        <v>0.95721093139824431</v>
      </c>
      <c r="BN956" s="25">
        <f>ROUND(SUM(Inventory[[#This Row],[Mdl Qlty]:[Mdl WdDeck]])+Inventory[[#This Row],[Mdl Res Intercept]]*Inventory[[#This Row],[Res Adj ]],-2)</f>
        <v>200500</v>
      </c>
      <c r="BO956" s="25">
        <f>ROUND(Inventory[[#This Row],[25Det]]*Inventory[[#This Row],[Det/Nbhd Adj]],-2)</f>
        <v>0</v>
      </c>
      <c r="BP956" s="25">
        <f>Inventory[[#This Row],[Adjusted Res]]+Inventory[[#This Row],[Adj Det ]]</f>
        <v>200500</v>
      </c>
      <c r="BQ956" s="25">
        <f>ROUND((Inventory[[#This Row],[Mdl Land Intercept]]+Inventory[[#This Row],[Mdl LnAcres]])*Inventory[[#This Row],[Det/Nbhd Adj]],-2)</f>
        <v>26200</v>
      </c>
      <c r="BR956" s="25">
        <f>Inventory[[#This Row],[Adjusted Impr Total]]+Inventory[[#This Row],[Adjusted Land Total]]</f>
        <v>226700</v>
      </c>
      <c r="BS956" s="36">
        <f>IFERROR((Inventory[[#This Row],[Adjusted Impr Total]]-Inventory[[#This Row],[24Bldg]])/Inventory[[#This Row],[24Bldg]],0)</f>
        <v>-1.0853478046373951E-2</v>
      </c>
      <c r="BT956" s="36">
        <f>(Inventory[[#This Row],[Adjusted Land Total]]-Inventory[[#This Row],[24Lnd]])/Inventory[[#This Row],[24Lnd]]</f>
        <v>-0.43043478260869567</v>
      </c>
      <c r="BU956" s="36">
        <f>(Inventory[[#This Row],[Adjusted Total]]-Inventory[[#This Row],[24Final]])/Inventory[[#This Row],[24Final]]</f>
        <v>-8.8459991958182549E-2</v>
      </c>
    </row>
    <row r="957" spans="1:73" x14ac:dyDescent="0.3">
      <c r="A957" s="25">
        <v>2025</v>
      </c>
      <c r="B957" s="26" t="s">
        <v>839</v>
      </c>
      <c r="C957" s="26">
        <f>LN(Inventory[[#This Row],[Acres]])</f>
        <v>-0.916290731874155</v>
      </c>
      <c r="D957" s="25">
        <v>0.4</v>
      </c>
      <c r="E957" s="32">
        <v>17639</v>
      </c>
      <c r="F957" s="26" t="s">
        <v>537</v>
      </c>
      <c r="G957" s="26" t="s">
        <v>126</v>
      </c>
      <c r="H957" s="26" t="s">
        <v>349</v>
      </c>
      <c r="I957" s="26" t="s">
        <v>538</v>
      </c>
      <c r="J957" s="26" t="s">
        <v>539</v>
      </c>
      <c r="K957" s="26" t="s">
        <v>300</v>
      </c>
      <c r="L957" s="26" t="s">
        <v>148</v>
      </c>
      <c r="M957" s="26" t="s">
        <v>352</v>
      </c>
      <c r="N957" s="26">
        <v>80</v>
      </c>
      <c r="O957" s="26">
        <f>2024-Inventory[[#This Row],[YrBlt]]</f>
        <v>76</v>
      </c>
      <c r="P957" s="26">
        <f>2024-Inventory[[#This Row],[EffYr]]</f>
        <v>41</v>
      </c>
      <c r="Q957" s="25">
        <v>1948</v>
      </c>
      <c r="R957" s="25">
        <v>1983</v>
      </c>
      <c r="S957" s="25">
        <v>3021</v>
      </c>
      <c r="T957" s="27"/>
      <c r="U957" s="31"/>
      <c r="V957" s="31">
        <f>Inventory[[#This Row],[Bsmt]]-Inventory[[#This Row],[FnBsmt]]</f>
        <v>0</v>
      </c>
      <c r="W957" s="31"/>
      <c r="X957" s="27"/>
      <c r="Y957" s="27">
        <f>Inventory[[#This Row],[MainFn]]+Inventory[[#This Row],[UpprFn]]+Inventory[[#This Row],[FnBsmt]]+Inventory[[#This Row],[AddFn]]</f>
        <v>3021</v>
      </c>
      <c r="Z957" s="27">
        <v>3500</v>
      </c>
      <c r="AA957" s="25">
        <v>13</v>
      </c>
      <c r="AB957" s="27"/>
      <c r="AC957" s="31"/>
      <c r="AD957" s="27"/>
      <c r="AE957" s="27"/>
      <c r="AF957" s="27"/>
      <c r="AG957" s="27"/>
      <c r="AH957" s="27"/>
      <c r="AI957" s="25">
        <v>585987</v>
      </c>
      <c r="AJ957" s="25">
        <v>480509</v>
      </c>
      <c r="AK957" s="25">
        <v>35742</v>
      </c>
      <c r="AL957" s="25">
        <v>540800</v>
      </c>
      <c r="AM957" s="25">
        <v>82600</v>
      </c>
      <c r="AN957" s="25">
        <v>458200</v>
      </c>
      <c r="AO957" s="25">
        <v>0</v>
      </c>
      <c r="AP957" s="25">
        <f>Lookups!$B$56*0</f>
        <v>0</v>
      </c>
      <c r="AQ957" s="25">
        <f>Lookups!$B$56*1</f>
        <v>89850.625589999996</v>
      </c>
      <c r="AR957" s="25">
        <f>Lookups!$B$57*Inventory[[#This Row],[LnAcres]]</f>
        <v>-29004.831024516039</v>
      </c>
      <c r="AS957" s="25">
        <f>VLOOKUP(Inventory[[#This Row],[Qlty]],Lookups!$A$62:$E$75,2,FALSE)</f>
        <v>44121.038090000002</v>
      </c>
      <c r="AT957" s="25">
        <f>VLOOKUP(Inventory[[#This Row],[Cnd]],Lookups!$A$76:$E$84,2,FALSE)</f>
        <v>284810.60806</v>
      </c>
      <c r="AU957" s="25">
        <f>Inventory[[#This Row],[EffAge]]*Lookups!$B$85</f>
        <v>-9144.8696204999997</v>
      </c>
      <c r="AV957" s="25">
        <f>Inventory[[#This Row],[MainFn]]*Lookups!$B$86</f>
        <v>149263.591698417</v>
      </c>
      <c r="AW957" s="25">
        <f>Inventory[[#This Row],[UpprFn]]*Lookups!$B$87</f>
        <v>0</v>
      </c>
      <c r="AX957" s="25">
        <f>Inventory[[#This Row],[AddFn]]*Lookups!$B$88</f>
        <v>0</v>
      </c>
      <c r="AY957" s="25">
        <f>Inventory[[#This Row],[Bsmt]]*Lookups!$B$89</f>
        <v>0</v>
      </c>
      <c r="AZ957" s="25">
        <f>Inventory[[#This Row],[Fixtures]]*Lookups!$B$90</f>
        <v>49296.287367600002</v>
      </c>
      <c r="BA957" s="25">
        <f>Inventory[[#This Row],[WdDeck]]*Lookups!$B$91</f>
        <v>0</v>
      </c>
      <c r="BB957" s="25">
        <f>ROUND(Inventory[[#This Row],[25Det]],-2)</f>
        <v>35700</v>
      </c>
      <c r="BC957" s="25">
        <f>ROUND(SUM(Inventory[[#This Row],[Mdl Qlty]:[Mdl WdDeck]])+Inventory[[#This Row],[Mdl Res Intercept]],-2)</f>
        <v>518300</v>
      </c>
      <c r="BD957" s="25">
        <f>ROUND(Inventory[[#This Row],[Mdl Land Intercept]]+Inventory[[#This Row],[Mdl LnAcres]],-2)</f>
        <v>60800</v>
      </c>
      <c r="BE957" s="25">
        <f>Inventory[[#This Row],[Unadj Res Value]]+Inventory[[#This Row],[Unadj Det Value]]+Inventory[[#This Row],[Unadj Land Value]]</f>
        <v>614800</v>
      </c>
      <c r="BF957" s="36">
        <f>(Inventory[[#This Row],[Unadj Total Value]]-Inventory[[#This Row],[24Final]])/Inventory[[#This Row],[24Final]]</f>
        <v>0.13683431952662722</v>
      </c>
      <c r="BG957" s="25">
        <f>VLOOKUP(Inventory[[#This Row],[Nbhd]],Lookups!$Q$2:$T$4,4,FALSE)</f>
        <v>0.99970000000000003</v>
      </c>
      <c r="BH957" s="25">
        <f>VLOOKUP(Inventory[[#This Row],[Qlty]],Lookups!$O$7:$R$21,4,FALSE)</f>
        <v>0.98050000000000004</v>
      </c>
      <c r="BI957" s="25">
        <f>VLOOKUP(Inventory[[#This Row],[Cnd]],Lookups!$T$7:$W$16,4,FALSE)</f>
        <v>1.0158</v>
      </c>
      <c r="BJ957" s="25">
        <f>VLOOKUP(Inventory[[#This Row],[LivArea Range]],Lookups!$T$25:$W$37,4,FALSE)</f>
        <v>1.0126999999999999</v>
      </c>
      <c r="BK957" s="25">
        <f>VLOOKUP(Inventory[[#This Row],[Decade]],Lookups!$O$25:$R$42,4,FALSE)</f>
        <v>0.995</v>
      </c>
      <c r="BL957" s="25">
        <f>Inventory[[#This Row],[Nbhd Adj]]*0.95</f>
        <v>0.94971499999999998</v>
      </c>
      <c r="BM957" s="25">
        <f>Inventory[[#This Row],[Nbhd Adj]]*Inventory[[#This Row],[Quality Adj]]*Inventory[[#This Row],[Condition Adj]]*Inventory[[#This Row],[Living Area Adj]]*Inventory[[#This Row],[Decade Adj]]*0.95</f>
        <v>0.95313187716637138</v>
      </c>
      <c r="BN957" s="25">
        <f>ROUND(SUM(Inventory[[#This Row],[Mdl Qlty]:[Mdl WdDeck]])+Inventory[[#This Row],[Mdl Res Intercept]]*Inventory[[#This Row],[Res Adj ]],-2)</f>
        <v>518300</v>
      </c>
      <c r="BO957" s="25">
        <f>ROUND(Inventory[[#This Row],[25Det]]*Inventory[[#This Row],[Det/Nbhd Adj]],-2)</f>
        <v>33900</v>
      </c>
      <c r="BP957" s="25">
        <f>Inventory[[#This Row],[Adjusted Res]]+Inventory[[#This Row],[Adj Det ]]</f>
        <v>552200</v>
      </c>
      <c r="BQ957" s="25">
        <f>ROUND((Inventory[[#This Row],[Mdl Land Intercept]]+Inventory[[#This Row],[Mdl LnAcres]])*Inventory[[#This Row],[Det/Nbhd Adj]],-2)</f>
        <v>57800</v>
      </c>
      <c r="BR957" s="25">
        <f>Inventory[[#This Row],[Adjusted Impr Total]]+Inventory[[#This Row],[Adjusted Land Total]]</f>
        <v>610000</v>
      </c>
      <c r="BS957" s="36">
        <f>IFERROR((Inventory[[#This Row],[Adjusted Impr Total]]-Inventory[[#This Row],[24Bldg]])/Inventory[[#This Row],[24Bldg]],0)</f>
        <v>0.20515058926233087</v>
      </c>
      <c r="BT957" s="36">
        <f>(Inventory[[#This Row],[Adjusted Land Total]]-Inventory[[#This Row],[24Lnd]])/Inventory[[#This Row],[24Lnd]]</f>
        <v>-0.30024213075060535</v>
      </c>
      <c r="BU957" s="36">
        <f>(Inventory[[#This Row],[Adjusted Total]]-Inventory[[#This Row],[24Final]])/Inventory[[#This Row],[24Final]]</f>
        <v>0.12795857988165679</v>
      </c>
    </row>
    <row r="958" spans="1:73" x14ac:dyDescent="0.3">
      <c r="A958" s="25">
        <v>2025</v>
      </c>
      <c r="B958" s="26" t="s">
        <v>1056</v>
      </c>
      <c r="C958" s="26">
        <f>LN(Inventory[[#This Row],[Acres]])</f>
        <v>-1.8325814637483102</v>
      </c>
      <c r="D958" s="25">
        <v>0.16</v>
      </c>
      <c r="E958" s="27"/>
      <c r="F958" s="26" t="s">
        <v>537</v>
      </c>
      <c r="G958" s="26" t="s">
        <v>126</v>
      </c>
      <c r="H958" s="26" t="s">
        <v>349</v>
      </c>
      <c r="I958" s="26" t="s">
        <v>538</v>
      </c>
      <c r="J958" s="26" t="s">
        <v>539</v>
      </c>
      <c r="K958" s="26" t="s">
        <v>242</v>
      </c>
      <c r="L958" s="26" t="s">
        <v>351</v>
      </c>
      <c r="M958" s="26" t="s">
        <v>323</v>
      </c>
      <c r="N958" s="26">
        <v>80</v>
      </c>
      <c r="O958" s="26">
        <f>2024-Inventory[[#This Row],[YrBlt]]</f>
        <v>76</v>
      </c>
      <c r="P958" s="26">
        <f>2024-Inventory[[#This Row],[EffYr]]</f>
        <v>51</v>
      </c>
      <c r="Q958" s="25">
        <v>1948</v>
      </c>
      <c r="R958" s="25">
        <v>1973</v>
      </c>
      <c r="S958" s="25">
        <v>990</v>
      </c>
      <c r="T958" s="32">
        <v>396</v>
      </c>
      <c r="U958" s="25">
        <v>990</v>
      </c>
      <c r="V958" s="25">
        <f>Inventory[[#This Row],[Bsmt]]-Inventory[[#This Row],[FnBsmt]]</f>
        <v>990</v>
      </c>
      <c r="W958" s="31"/>
      <c r="X958" s="27"/>
      <c r="Y958" s="27">
        <f>Inventory[[#This Row],[MainFn]]+Inventory[[#This Row],[UpprFn]]+Inventory[[#This Row],[FnBsmt]]+Inventory[[#This Row],[AddFn]]</f>
        <v>1386</v>
      </c>
      <c r="Z958" s="27">
        <v>1500</v>
      </c>
      <c r="AA958" s="25">
        <v>5</v>
      </c>
      <c r="AB958" s="27"/>
      <c r="AC958" s="31"/>
      <c r="AD958" s="25">
        <v>251</v>
      </c>
      <c r="AE958" s="27"/>
      <c r="AF958" s="27"/>
      <c r="AG958" s="27"/>
      <c r="AH958" s="27"/>
      <c r="AI958" s="25">
        <v>243412</v>
      </c>
      <c r="AJ958" s="25">
        <v>167954</v>
      </c>
      <c r="AK958" s="25">
        <v>4877</v>
      </c>
      <c r="AL958" s="25">
        <v>293200</v>
      </c>
      <c r="AM958" s="25">
        <v>50600</v>
      </c>
      <c r="AN958" s="25">
        <v>242600</v>
      </c>
      <c r="AO958" s="25">
        <v>0</v>
      </c>
      <c r="AP958" s="25">
        <f>Lookups!$B$56*0</f>
        <v>0</v>
      </c>
      <c r="AQ958" s="25">
        <f>Lookups!$B$56*1</f>
        <v>89850.625589999996</v>
      </c>
      <c r="AR958" s="25">
        <f>Lookups!$B$57*Inventory[[#This Row],[LnAcres]]</f>
        <v>-58009.662049032086</v>
      </c>
      <c r="AS958" s="25">
        <f>VLOOKUP(Inventory[[#This Row],[Qlty]],Lookups!$A$62:$E$75,2,FALSE)</f>
        <v>21557.329055999999</v>
      </c>
      <c r="AT958" s="25">
        <f>VLOOKUP(Inventory[[#This Row],[Cnd]],Lookups!$A$76:$E$84,2,FALSE)</f>
        <v>160472.20319</v>
      </c>
      <c r="AU958" s="25">
        <f>Inventory[[#This Row],[EffAge]]*Lookups!$B$85</f>
        <v>-11375.3256255</v>
      </c>
      <c r="AV958" s="25">
        <f>Inventory[[#This Row],[MainFn]]*Lookups!$B$86</f>
        <v>48914.583178230001</v>
      </c>
      <c r="AW958" s="25">
        <f>Inventory[[#This Row],[UpprFn]]*Lookups!$B$87</f>
        <v>17735.423452955998</v>
      </c>
      <c r="AX958" s="25">
        <f>Inventory[[#This Row],[AddFn]]*Lookups!$B$88</f>
        <v>0</v>
      </c>
      <c r="AY958" s="25">
        <f>Inventory[[#This Row],[Bsmt]]*Lookups!$B$89</f>
        <v>28791.076294529998</v>
      </c>
      <c r="AZ958" s="25">
        <f>Inventory[[#This Row],[Fixtures]]*Lookups!$B$90</f>
        <v>18960.110526</v>
      </c>
      <c r="BA958" s="25">
        <f>Inventory[[#This Row],[WdDeck]]*Lookups!$B$91</f>
        <v>8357.1743342760001</v>
      </c>
      <c r="BB958" s="25">
        <f>ROUND(Inventory[[#This Row],[25Det]],-2)</f>
        <v>4900</v>
      </c>
      <c r="BC958" s="25">
        <f>ROUND(SUM(Inventory[[#This Row],[Mdl Qlty]:[Mdl WdDeck]])+Inventory[[#This Row],[Mdl Res Intercept]],-2)</f>
        <v>293400</v>
      </c>
      <c r="BD958" s="25">
        <f>ROUND(Inventory[[#This Row],[Mdl Land Intercept]]+Inventory[[#This Row],[Mdl LnAcres]],-2)</f>
        <v>31800</v>
      </c>
      <c r="BE958" s="25">
        <f>Inventory[[#This Row],[Unadj Res Value]]+Inventory[[#This Row],[Unadj Det Value]]+Inventory[[#This Row],[Unadj Land Value]]</f>
        <v>330100</v>
      </c>
      <c r="BF958" s="36">
        <f>(Inventory[[#This Row],[Unadj Total Value]]-Inventory[[#This Row],[24Final]])/Inventory[[#This Row],[24Final]]</f>
        <v>0.12585266030013642</v>
      </c>
      <c r="BG958" s="25">
        <f>VLOOKUP(Inventory[[#This Row],[Nbhd]],Lookups!$Q$2:$T$4,4,FALSE)</f>
        <v>0.99970000000000003</v>
      </c>
      <c r="BH958" s="25">
        <f>VLOOKUP(Inventory[[#This Row],[Qlty]],Lookups!$O$7:$R$21,4,FALSE)</f>
        <v>1.0067999999999999</v>
      </c>
      <c r="BI958" s="25">
        <f>VLOOKUP(Inventory[[#This Row],[Cnd]],Lookups!$T$7:$W$16,4,FALSE)</f>
        <v>0.99729999999999996</v>
      </c>
      <c r="BJ958" s="25">
        <f>VLOOKUP(Inventory[[#This Row],[LivArea Range]],Lookups!$T$25:$W$37,4,FALSE)</f>
        <v>1.0157</v>
      </c>
      <c r="BK958" s="25">
        <f>VLOOKUP(Inventory[[#This Row],[Decade]],Lookups!$O$25:$R$42,4,FALSE)</f>
        <v>0.995</v>
      </c>
      <c r="BL958" s="25">
        <f>Inventory[[#This Row],[Nbhd Adj]]*0.95</f>
        <v>0.94971499999999998</v>
      </c>
      <c r="BM958" s="25">
        <f>Inventory[[#This Row],[Nbhd Adj]]*Inventory[[#This Row],[Quality Adj]]*Inventory[[#This Row],[Condition Adj]]*Inventory[[#This Row],[Living Area Adj]]*Inventory[[#This Row],[Decade Adj]]*0.95</f>
        <v>0.96371996573175212</v>
      </c>
      <c r="BN958" s="25">
        <f>ROUND(SUM(Inventory[[#This Row],[Mdl Qlty]:[Mdl WdDeck]])+Inventory[[#This Row],[Mdl Res Intercept]]*Inventory[[#This Row],[Res Adj ]],-2)</f>
        <v>293400</v>
      </c>
      <c r="BO958" s="25">
        <f>ROUND(Inventory[[#This Row],[25Det]]*Inventory[[#This Row],[Det/Nbhd Adj]],-2)</f>
        <v>4600</v>
      </c>
      <c r="BP958" s="25">
        <f>Inventory[[#This Row],[Adjusted Res]]+Inventory[[#This Row],[Adj Det ]]</f>
        <v>298000</v>
      </c>
      <c r="BQ958" s="25">
        <f>ROUND((Inventory[[#This Row],[Mdl Land Intercept]]+Inventory[[#This Row],[Mdl LnAcres]])*Inventory[[#This Row],[Det/Nbhd Adj]],-2)</f>
        <v>30200</v>
      </c>
      <c r="BR958" s="25">
        <f>Inventory[[#This Row],[Adjusted Impr Total]]+Inventory[[#This Row],[Adjusted Land Total]]</f>
        <v>328200</v>
      </c>
      <c r="BS958" s="36">
        <f>IFERROR((Inventory[[#This Row],[Adjusted Impr Total]]-Inventory[[#This Row],[24Bldg]])/Inventory[[#This Row],[24Bldg]],0)</f>
        <v>0.22835943940643033</v>
      </c>
      <c r="BT958" s="36">
        <f>(Inventory[[#This Row],[Adjusted Land Total]]-Inventory[[#This Row],[24Lnd]])/Inventory[[#This Row],[24Lnd]]</f>
        <v>-0.40316205533596838</v>
      </c>
      <c r="BU958" s="36">
        <f>(Inventory[[#This Row],[Adjusted Total]]-Inventory[[#This Row],[24Final]])/Inventory[[#This Row],[24Final]]</f>
        <v>0.11937244201909959</v>
      </c>
    </row>
    <row r="959" spans="1:73" x14ac:dyDescent="0.3">
      <c r="A959" s="25">
        <v>2025</v>
      </c>
      <c r="B959" s="26" t="s">
        <v>2734</v>
      </c>
      <c r="C959" s="26">
        <f>LN(Inventory[[#This Row],[Acres]])</f>
        <v>-1.3470736479666092</v>
      </c>
      <c r="D959" s="25">
        <v>0.26</v>
      </c>
      <c r="E959" s="32">
        <v>11344</v>
      </c>
      <c r="F959" s="26" t="s">
        <v>537</v>
      </c>
      <c r="G959" s="26" t="s">
        <v>126</v>
      </c>
      <c r="H959" s="26" t="s">
        <v>349</v>
      </c>
      <c r="I959" s="26" t="s">
        <v>538</v>
      </c>
      <c r="J959" s="26" t="s">
        <v>539</v>
      </c>
      <c r="K959" s="26" t="s">
        <v>242</v>
      </c>
      <c r="L959" s="26" t="s">
        <v>351</v>
      </c>
      <c r="M959" s="26" t="s">
        <v>303</v>
      </c>
      <c r="N959" s="26">
        <v>80</v>
      </c>
      <c r="O959" s="26">
        <f>2024-Inventory[[#This Row],[YrBlt]]</f>
        <v>76</v>
      </c>
      <c r="P959" s="26">
        <f>2024-Inventory[[#This Row],[EffYr]]</f>
        <v>51</v>
      </c>
      <c r="Q959" s="25">
        <v>1948</v>
      </c>
      <c r="R959" s="25">
        <v>1973</v>
      </c>
      <c r="S959" s="25">
        <v>1353</v>
      </c>
      <c r="T959" s="27"/>
      <c r="U959" s="31"/>
      <c r="V959" s="31">
        <f>Inventory[[#This Row],[Bsmt]]-Inventory[[#This Row],[FnBsmt]]</f>
        <v>0</v>
      </c>
      <c r="W959" s="31"/>
      <c r="X959" s="27"/>
      <c r="Y959" s="27">
        <f>Inventory[[#This Row],[MainFn]]+Inventory[[#This Row],[UpprFn]]+Inventory[[#This Row],[FnBsmt]]+Inventory[[#This Row],[AddFn]]</f>
        <v>1353</v>
      </c>
      <c r="Z959" s="27">
        <v>1500</v>
      </c>
      <c r="AA959" s="25">
        <v>5</v>
      </c>
      <c r="AB959" s="27"/>
      <c r="AC959" s="31"/>
      <c r="AD959" s="32">
        <v>324</v>
      </c>
      <c r="AE959" s="27"/>
      <c r="AF959" s="27"/>
      <c r="AG959" s="27"/>
      <c r="AH959" s="27"/>
      <c r="AI959" s="25">
        <v>214853</v>
      </c>
      <c r="AJ959" s="25">
        <v>152546</v>
      </c>
      <c r="AK959" s="25">
        <v>17196</v>
      </c>
      <c r="AL959" s="25">
        <v>326800</v>
      </c>
      <c r="AM959" s="25">
        <v>67600</v>
      </c>
      <c r="AN959" s="25">
        <v>259200</v>
      </c>
      <c r="AO959" s="25">
        <v>0</v>
      </c>
      <c r="AP959" s="25">
        <f>Lookups!$B$56*0</f>
        <v>0</v>
      </c>
      <c r="AQ959" s="25">
        <f>Lookups!$B$56*1</f>
        <v>89850.625589999996</v>
      </c>
      <c r="AR959" s="25">
        <f>Lookups!$B$57*Inventory[[#This Row],[LnAcres]]</f>
        <v>-42641.098701210125</v>
      </c>
      <c r="AS959" s="25">
        <f>VLOOKUP(Inventory[[#This Row],[Qlty]],Lookups!$A$62:$E$75,2,FALSE)</f>
        <v>21557.329055999999</v>
      </c>
      <c r="AT959" s="25">
        <f>VLOOKUP(Inventory[[#This Row],[Cnd]],Lookups!$A$76:$E$84,2,FALSE)</f>
        <v>197752.34721000001</v>
      </c>
      <c r="AU959" s="25">
        <f>Inventory[[#This Row],[EffAge]]*Lookups!$B$85</f>
        <v>-11375.3256255</v>
      </c>
      <c r="AV959" s="25">
        <f>Inventory[[#This Row],[MainFn]]*Lookups!$B$86</f>
        <v>66849.930343581</v>
      </c>
      <c r="AW959" s="25">
        <f>Inventory[[#This Row],[UpprFn]]*Lookups!$B$87</f>
        <v>0</v>
      </c>
      <c r="AX959" s="25">
        <f>Inventory[[#This Row],[AddFn]]*Lookups!$B$88</f>
        <v>0</v>
      </c>
      <c r="AY959" s="25">
        <f>Inventory[[#This Row],[Bsmt]]*Lookups!$B$89</f>
        <v>0</v>
      </c>
      <c r="AZ959" s="25">
        <f>Inventory[[#This Row],[Fixtures]]*Lookups!$B$90</f>
        <v>18960.110526</v>
      </c>
      <c r="BA959" s="25">
        <f>Inventory[[#This Row],[WdDeck]]*Lookups!$B$91</f>
        <v>10787.746949424001</v>
      </c>
      <c r="BB959" s="25">
        <f>ROUND(Inventory[[#This Row],[25Det]],-2)</f>
        <v>17200</v>
      </c>
      <c r="BC959" s="25">
        <f>ROUND(SUM(Inventory[[#This Row],[Mdl Qlty]:[Mdl WdDeck]])+Inventory[[#This Row],[Mdl Res Intercept]],-2)</f>
        <v>304500</v>
      </c>
      <c r="BD959" s="25">
        <f>ROUND(Inventory[[#This Row],[Mdl Land Intercept]]+Inventory[[#This Row],[Mdl LnAcres]],-2)</f>
        <v>47200</v>
      </c>
      <c r="BE959" s="25">
        <f>Inventory[[#This Row],[Unadj Res Value]]+Inventory[[#This Row],[Unadj Det Value]]+Inventory[[#This Row],[Unadj Land Value]]</f>
        <v>368900</v>
      </c>
      <c r="BF959" s="36">
        <f>(Inventory[[#This Row],[Unadj Total Value]]-Inventory[[#This Row],[24Final]])/Inventory[[#This Row],[24Final]]</f>
        <v>0.12882496940024479</v>
      </c>
      <c r="BG959" s="25">
        <f>VLOOKUP(Inventory[[#This Row],[Nbhd]],Lookups!$Q$2:$T$4,4,FALSE)</f>
        <v>0.99970000000000003</v>
      </c>
      <c r="BH959" s="25">
        <f>VLOOKUP(Inventory[[#This Row],[Qlty]],Lookups!$O$7:$R$21,4,FALSE)</f>
        <v>1.0067999999999999</v>
      </c>
      <c r="BI959" s="25">
        <f>VLOOKUP(Inventory[[#This Row],[Cnd]],Lookups!$T$7:$W$16,4,FALSE)</f>
        <v>0.99650000000000005</v>
      </c>
      <c r="BJ959" s="25">
        <f>VLOOKUP(Inventory[[#This Row],[LivArea Range]],Lookups!$T$25:$W$37,4,FALSE)</f>
        <v>1.0157</v>
      </c>
      <c r="BK959" s="25">
        <f>VLOOKUP(Inventory[[#This Row],[Decade]],Lookups!$O$25:$R$42,4,FALSE)</f>
        <v>0.995</v>
      </c>
      <c r="BL959" s="25">
        <f>Inventory[[#This Row],[Nbhd Adj]]*0.95</f>
        <v>0.94971499999999998</v>
      </c>
      <c r="BM959" s="25">
        <f>Inventory[[#This Row],[Nbhd Adj]]*Inventory[[#This Row],[Quality Adj]]*Inventory[[#This Row],[Condition Adj]]*Inventory[[#This Row],[Living Area Adj]]*Inventory[[#This Row],[Decade Adj]]*0.95</f>
        <v>0.96294690248840986</v>
      </c>
      <c r="BN959" s="25">
        <f>ROUND(SUM(Inventory[[#This Row],[Mdl Qlty]:[Mdl WdDeck]])+Inventory[[#This Row],[Mdl Res Intercept]]*Inventory[[#This Row],[Res Adj ]],-2)</f>
        <v>304500</v>
      </c>
      <c r="BO959" s="25">
        <f>ROUND(Inventory[[#This Row],[25Det]]*Inventory[[#This Row],[Det/Nbhd Adj]],-2)</f>
        <v>16300</v>
      </c>
      <c r="BP959" s="25">
        <f>Inventory[[#This Row],[Adjusted Res]]+Inventory[[#This Row],[Adj Det ]]</f>
        <v>320800</v>
      </c>
      <c r="BQ959" s="25">
        <f>ROUND((Inventory[[#This Row],[Mdl Land Intercept]]+Inventory[[#This Row],[Mdl LnAcres]])*Inventory[[#This Row],[Det/Nbhd Adj]],-2)</f>
        <v>44800</v>
      </c>
      <c r="BR959" s="25">
        <f>Inventory[[#This Row],[Adjusted Impr Total]]+Inventory[[#This Row],[Adjusted Land Total]]</f>
        <v>365600</v>
      </c>
      <c r="BS959" s="36">
        <f>IFERROR((Inventory[[#This Row],[Adjusted Impr Total]]-Inventory[[#This Row],[24Bldg]])/Inventory[[#This Row],[24Bldg]],0)</f>
        <v>0.23765432098765432</v>
      </c>
      <c r="BT959" s="36">
        <f>(Inventory[[#This Row],[Adjusted Land Total]]-Inventory[[#This Row],[24Lnd]])/Inventory[[#This Row],[24Lnd]]</f>
        <v>-0.33727810650887574</v>
      </c>
      <c r="BU959" s="36">
        <f>(Inventory[[#This Row],[Adjusted Total]]-Inventory[[#This Row],[24Final]])/Inventory[[#This Row],[24Final]]</f>
        <v>0.11872705018359853</v>
      </c>
    </row>
    <row r="960" spans="1:73" x14ac:dyDescent="0.3">
      <c r="A960" s="25">
        <v>2025</v>
      </c>
      <c r="B960" s="26" t="s">
        <v>945</v>
      </c>
      <c r="C960" s="26">
        <f>LN(Inventory[[#This Row],[Acres]])</f>
        <v>-1.6094379124341003</v>
      </c>
      <c r="D960" s="25">
        <v>0.2</v>
      </c>
      <c r="E960" s="32">
        <v>8616</v>
      </c>
      <c r="F960" s="26" t="s">
        <v>537</v>
      </c>
      <c r="G960" s="26" t="s">
        <v>126</v>
      </c>
      <c r="H960" s="26" t="s">
        <v>349</v>
      </c>
      <c r="I960" s="26" t="s">
        <v>538</v>
      </c>
      <c r="J960" s="26" t="s">
        <v>539</v>
      </c>
      <c r="K960" s="26" t="s">
        <v>241</v>
      </c>
      <c r="L960" s="26" t="s">
        <v>351</v>
      </c>
      <c r="M960" s="26" t="s">
        <v>303</v>
      </c>
      <c r="N960" s="26">
        <v>80</v>
      </c>
      <c r="O960" s="26">
        <f>2024-Inventory[[#This Row],[YrBlt]]</f>
        <v>76</v>
      </c>
      <c r="P960" s="26">
        <f>2024-Inventory[[#This Row],[EffYr]]</f>
        <v>34</v>
      </c>
      <c r="Q960" s="25">
        <v>1948</v>
      </c>
      <c r="R960" s="25">
        <v>1990</v>
      </c>
      <c r="S960" s="25">
        <v>952</v>
      </c>
      <c r="T960" s="27"/>
      <c r="U960" s="31"/>
      <c r="V960" s="27">
        <f>Inventory[[#This Row],[Bsmt]]-Inventory[[#This Row],[FnBsmt]]</f>
        <v>0</v>
      </c>
      <c r="W960" s="27"/>
      <c r="X960" s="27"/>
      <c r="Y960" s="27">
        <f>Inventory[[#This Row],[MainFn]]+Inventory[[#This Row],[UpprFn]]+Inventory[[#This Row],[FnBsmt]]+Inventory[[#This Row],[AddFn]]</f>
        <v>952</v>
      </c>
      <c r="Z960" s="27">
        <v>1000</v>
      </c>
      <c r="AA960" s="25">
        <v>5</v>
      </c>
      <c r="AB960" s="27"/>
      <c r="AC960" s="31"/>
      <c r="AD960" s="31"/>
      <c r="AE960" s="27"/>
      <c r="AF960" s="27"/>
      <c r="AG960" s="27"/>
      <c r="AH960" s="27"/>
      <c r="AI960" s="25">
        <v>167452</v>
      </c>
      <c r="AJ960" s="25">
        <v>142334</v>
      </c>
      <c r="AK960" s="25">
        <v>0</v>
      </c>
      <c r="AL960" s="25">
        <v>281700</v>
      </c>
      <c r="AM960" s="25">
        <v>58400</v>
      </c>
      <c r="AN960" s="25">
        <v>223300</v>
      </c>
      <c r="AO960" s="25">
        <v>0</v>
      </c>
      <c r="AP960" s="25">
        <f>Lookups!$B$56*0</f>
        <v>0</v>
      </c>
      <c r="AQ960" s="25">
        <f>Lookups!$B$56*1</f>
        <v>89850.625589999996</v>
      </c>
      <c r="AR960" s="25">
        <f>Lookups!$B$57*Inventory[[#This Row],[LnAcres]]</f>
        <v>-50946.13867709865</v>
      </c>
      <c r="AS960" s="25">
        <f>VLOOKUP(Inventory[[#This Row],[Qlty]],Lookups!$A$62:$E$75,2,FALSE)</f>
        <v>21557.329055999999</v>
      </c>
      <c r="AT960" s="25">
        <f>VLOOKUP(Inventory[[#This Row],[Cnd]],Lookups!$A$76:$E$84,2,FALSE)</f>
        <v>197752.34721000001</v>
      </c>
      <c r="AU960" s="25">
        <f>Inventory[[#This Row],[EffAge]]*Lookups!$B$85</f>
        <v>-7583.5504170000004</v>
      </c>
      <c r="AV960" s="25">
        <f>Inventory[[#This Row],[MainFn]]*Lookups!$B$86</f>
        <v>47037.053722903998</v>
      </c>
      <c r="AW960" s="25">
        <f>Inventory[[#This Row],[UpprFn]]*Lookups!$B$87</f>
        <v>0</v>
      </c>
      <c r="AX960" s="25">
        <f>Inventory[[#This Row],[AddFn]]*Lookups!$B$88</f>
        <v>0</v>
      </c>
      <c r="AY960" s="25">
        <f>Inventory[[#This Row],[Bsmt]]*Lookups!$B$89</f>
        <v>0</v>
      </c>
      <c r="AZ960" s="25">
        <f>Inventory[[#This Row],[Fixtures]]*Lookups!$B$90</f>
        <v>18960.110526</v>
      </c>
      <c r="BA960" s="25">
        <f>Inventory[[#This Row],[WdDeck]]*Lookups!$B$91</f>
        <v>0</v>
      </c>
      <c r="BB960" s="25">
        <f>ROUND(Inventory[[#This Row],[25Det]],-2)</f>
        <v>0</v>
      </c>
      <c r="BC960" s="25">
        <f>ROUND(SUM(Inventory[[#This Row],[Mdl Qlty]:[Mdl WdDeck]])+Inventory[[#This Row],[Mdl Res Intercept]],-2)</f>
        <v>277700</v>
      </c>
      <c r="BD960" s="25">
        <f>ROUND(Inventory[[#This Row],[Mdl Land Intercept]]+Inventory[[#This Row],[Mdl LnAcres]],-2)</f>
        <v>38900</v>
      </c>
      <c r="BE960" s="25">
        <f>Inventory[[#This Row],[Unadj Res Value]]+Inventory[[#This Row],[Unadj Det Value]]+Inventory[[#This Row],[Unadj Land Value]]</f>
        <v>316600</v>
      </c>
      <c r="BF960" s="36">
        <f>(Inventory[[#This Row],[Unadj Total Value]]-Inventory[[#This Row],[24Final]])/Inventory[[#This Row],[24Final]]</f>
        <v>0.12389066382676606</v>
      </c>
      <c r="BG960" s="25">
        <f>VLOOKUP(Inventory[[#This Row],[Nbhd]],Lookups!$Q$2:$T$4,4,FALSE)</f>
        <v>0.99970000000000003</v>
      </c>
      <c r="BH960" s="25">
        <f>VLOOKUP(Inventory[[#This Row],[Qlty]],Lookups!$O$7:$R$21,4,FALSE)</f>
        <v>1.0067999999999999</v>
      </c>
      <c r="BI960" s="25">
        <f>VLOOKUP(Inventory[[#This Row],[Cnd]],Lookups!$T$7:$W$16,4,FALSE)</f>
        <v>0.99650000000000005</v>
      </c>
      <c r="BJ960" s="25">
        <f>VLOOKUP(Inventory[[#This Row],[LivArea Range]],Lookups!$T$25:$W$37,4,FALSE)</f>
        <v>1.0148999999999999</v>
      </c>
      <c r="BK960" s="25">
        <f>VLOOKUP(Inventory[[#This Row],[Decade]],Lookups!$O$25:$R$42,4,FALSE)</f>
        <v>0.995</v>
      </c>
      <c r="BL960" s="25">
        <f>Inventory[[#This Row],[Nbhd Adj]]*0.95</f>
        <v>0.94971499999999998</v>
      </c>
      <c r="BM960" s="25">
        <f>Inventory[[#This Row],[Nbhd Adj]]*Inventory[[#This Row],[Quality Adj]]*Inventory[[#This Row],[Condition Adj]]*Inventory[[#This Row],[Living Area Adj]]*Inventory[[#This Row],[Decade Adj]]*0.95</f>
        <v>0.96218845262920827</v>
      </c>
      <c r="BN960" s="25">
        <f>ROUND(SUM(Inventory[[#This Row],[Mdl Qlty]:[Mdl WdDeck]])+Inventory[[#This Row],[Mdl Res Intercept]]*Inventory[[#This Row],[Res Adj ]],-2)</f>
        <v>277700</v>
      </c>
      <c r="BO960" s="25">
        <f>ROUND(Inventory[[#This Row],[25Det]]*Inventory[[#This Row],[Det/Nbhd Adj]],-2)</f>
        <v>0</v>
      </c>
      <c r="BP960" s="25">
        <f>Inventory[[#This Row],[Adjusted Res]]+Inventory[[#This Row],[Adj Det ]]</f>
        <v>277700</v>
      </c>
      <c r="BQ960" s="25">
        <f>ROUND((Inventory[[#This Row],[Mdl Land Intercept]]+Inventory[[#This Row],[Mdl LnAcres]])*Inventory[[#This Row],[Det/Nbhd Adj]],-2)</f>
        <v>36900</v>
      </c>
      <c r="BR960" s="25">
        <f>Inventory[[#This Row],[Adjusted Impr Total]]+Inventory[[#This Row],[Adjusted Land Total]]</f>
        <v>314600</v>
      </c>
      <c r="BS960" s="36">
        <f>IFERROR((Inventory[[#This Row],[Adjusted Impr Total]]-Inventory[[#This Row],[24Bldg]])/Inventory[[#This Row],[24Bldg]],0)</f>
        <v>0.24361845051500225</v>
      </c>
      <c r="BT960" s="36">
        <f>(Inventory[[#This Row],[Adjusted Land Total]]-Inventory[[#This Row],[24Lnd]])/Inventory[[#This Row],[24Lnd]]</f>
        <v>-0.36815068493150682</v>
      </c>
      <c r="BU960" s="36">
        <f>(Inventory[[#This Row],[Adjusted Total]]-Inventory[[#This Row],[24Final]])/Inventory[[#This Row],[24Final]]</f>
        <v>0.11679091231806887</v>
      </c>
    </row>
    <row r="961" spans="1:73" x14ac:dyDescent="0.3">
      <c r="A961" s="25">
        <v>2025</v>
      </c>
      <c r="B961" s="26" t="s">
        <v>2099</v>
      </c>
      <c r="C961" s="26">
        <f>LN(Inventory[[#This Row],[Acres]])</f>
        <v>-1.7719568419318752</v>
      </c>
      <c r="D961" s="25">
        <v>0.17</v>
      </c>
      <c r="E961" s="32">
        <v>7228</v>
      </c>
      <c r="F961" s="26" t="s">
        <v>537</v>
      </c>
      <c r="G961" s="26" t="s">
        <v>126</v>
      </c>
      <c r="H961" s="26" t="s">
        <v>349</v>
      </c>
      <c r="I961" s="26" t="s">
        <v>538</v>
      </c>
      <c r="J961" s="26" t="s">
        <v>539</v>
      </c>
      <c r="K961" s="26" t="s">
        <v>242</v>
      </c>
      <c r="L961" s="26" t="s">
        <v>351</v>
      </c>
      <c r="M961" s="26" t="s">
        <v>303</v>
      </c>
      <c r="N961" s="26">
        <v>80</v>
      </c>
      <c r="O961" s="26">
        <f>2024-Inventory[[#This Row],[YrBlt]]</f>
        <v>76</v>
      </c>
      <c r="P961" s="26">
        <f>2024-Inventory[[#This Row],[EffYr]]</f>
        <v>51</v>
      </c>
      <c r="Q961" s="25">
        <v>1948</v>
      </c>
      <c r="R961" s="25">
        <v>1973</v>
      </c>
      <c r="S961" s="25">
        <v>1128</v>
      </c>
      <c r="T961" s="27"/>
      <c r="U961" s="25">
        <v>567</v>
      </c>
      <c r="V961" s="32">
        <f>Inventory[[#This Row],[Bsmt]]-Inventory[[#This Row],[FnBsmt]]</f>
        <v>567</v>
      </c>
      <c r="W961" s="27"/>
      <c r="X961" s="27"/>
      <c r="Y961" s="27">
        <f>Inventory[[#This Row],[MainFn]]+Inventory[[#This Row],[UpprFn]]+Inventory[[#This Row],[FnBsmt]]+Inventory[[#This Row],[AddFn]]</f>
        <v>1128</v>
      </c>
      <c r="Z961" s="27">
        <v>1500</v>
      </c>
      <c r="AA961" s="25">
        <v>5</v>
      </c>
      <c r="AB961" s="32">
        <v>315</v>
      </c>
      <c r="AC961" s="31"/>
      <c r="AD961" s="27"/>
      <c r="AE961" s="27"/>
      <c r="AF961" s="27"/>
      <c r="AG961" s="27"/>
      <c r="AH961" s="27"/>
      <c r="AI961" s="25">
        <v>220025</v>
      </c>
      <c r="AJ961" s="25">
        <v>156218</v>
      </c>
      <c r="AK961" s="25">
        <v>0</v>
      </c>
      <c r="AL961" s="25">
        <v>297500</v>
      </c>
      <c r="AM961" s="25">
        <v>52700</v>
      </c>
      <c r="AN961" s="25">
        <v>244800</v>
      </c>
      <c r="AO961" s="25">
        <v>0</v>
      </c>
      <c r="AP961" s="25">
        <f>Lookups!$B$56*0</f>
        <v>0</v>
      </c>
      <c r="AQ961" s="25">
        <f>Lookups!$B$56*1</f>
        <v>89850.625589999996</v>
      </c>
      <c r="AR961" s="25">
        <f>Lookups!$B$57*Inventory[[#This Row],[LnAcres]]</f>
        <v>-56090.612940989391</v>
      </c>
      <c r="AS961" s="25">
        <f>VLOOKUP(Inventory[[#This Row],[Qlty]],Lookups!$A$62:$E$75,2,FALSE)</f>
        <v>21557.329055999999</v>
      </c>
      <c r="AT961" s="25">
        <f>VLOOKUP(Inventory[[#This Row],[Cnd]],Lookups!$A$76:$E$84,2,FALSE)</f>
        <v>197752.34721000001</v>
      </c>
      <c r="AU961" s="25">
        <f>Inventory[[#This Row],[EffAge]]*Lookups!$B$85</f>
        <v>-11375.3256255</v>
      </c>
      <c r="AV961" s="25">
        <f>Inventory[[#This Row],[MainFn]]*Lookups!$B$86</f>
        <v>55732.979621256003</v>
      </c>
      <c r="AW961" s="25">
        <f>Inventory[[#This Row],[UpprFn]]*Lookups!$B$87</f>
        <v>0</v>
      </c>
      <c r="AX961" s="25">
        <f>Inventory[[#This Row],[AddFn]]*Lookups!$B$88</f>
        <v>0</v>
      </c>
      <c r="AY961" s="25">
        <f>Inventory[[#This Row],[Bsmt]]*Lookups!$B$89</f>
        <v>16489.434605048998</v>
      </c>
      <c r="AZ961" s="25">
        <f>Inventory[[#This Row],[Fixtures]]*Lookups!$B$90</f>
        <v>18960.110526</v>
      </c>
      <c r="BA961" s="25">
        <f>Inventory[[#This Row],[WdDeck]]*Lookups!$B$91</f>
        <v>0</v>
      </c>
      <c r="BB961" s="25">
        <f>ROUND(Inventory[[#This Row],[25Det]],-2)</f>
        <v>0</v>
      </c>
      <c r="BC961" s="25">
        <f>ROUND(SUM(Inventory[[#This Row],[Mdl Qlty]:[Mdl WdDeck]])+Inventory[[#This Row],[Mdl Res Intercept]],-2)</f>
        <v>299100</v>
      </c>
      <c r="BD961" s="25">
        <f>ROUND(Inventory[[#This Row],[Mdl Land Intercept]]+Inventory[[#This Row],[Mdl LnAcres]],-2)</f>
        <v>33800</v>
      </c>
      <c r="BE961" s="25">
        <f>Inventory[[#This Row],[Unadj Res Value]]+Inventory[[#This Row],[Unadj Det Value]]+Inventory[[#This Row],[Unadj Land Value]]</f>
        <v>332900</v>
      </c>
      <c r="BF961" s="36">
        <f>(Inventory[[#This Row],[Unadj Total Value]]-Inventory[[#This Row],[24Final]])/Inventory[[#This Row],[24Final]]</f>
        <v>0.11899159663865547</v>
      </c>
      <c r="BG961" s="25">
        <f>VLOOKUP(Inventory[[#This Row],[Nbhd]],Lookups!$Q$2:$T$4,4,FALSE)</f>
        <v>0.99970000000000003</v>
      </c>
      <c r="BH961" s="25">
        <f>VLOOKUP(Inventory[[#This Row],[Qlty]],Lookups!$O$7:$R$21,4,FALSE)</f>
        <v>1.0067999999999999</v>
      </c>
      <c r="BI961" s="25">
        <f>VLOOKUP(Inventory[[#This Row],[Cnd]],Lookups!$T$7:$W$16,4,FALSE)</f>
        <v>0.99650000000000005</v>
      </c>
      <c r="BJ961" s="25">
        <f>VLOOKUP(Inventory[[#This Row],[LivArea Range]],Lookups!$T$25:$W$37,4,FALSE)</f>
        <v>1.0157</v>
      </c>
      <c r="BK961" s="25">
        <f>VLOOKUP(Inventory[[#This Row],[Decade]],Lookups!$O$25:$R$42,4,FALSE)</f>
        <v>0.995</v>
      </c>
      <c r="BL961" s="25">
        <f>Inventory[[#This Row],[Nbhd Adj]]*0.95</f>
        <v>0.94971499999999998</v>
      </c>
      <c r="BM961" s="25">
        <f>Inventory[[#This Row],[Nbhd Adj]]*Inventory[[#This Row],[Quality Adj]]*Inventory[[#This Row],[Condition Adj]]*Inventory[[#This Row],[Living Area Adj]]*Inventory[[#This Row],[Decade Adj]]*0.95</f>
        <v>0.96294690248840986</v>
      </c>
      <c r="BN961" s="25">
        <f>ROUND(SUM(Inventory[[#This Row],[Mdl Qlty]:[Mdl WdDeck]])+Inventory[[#This Row],[Mdl Res Intercept]]*Inventory[[#This Row],[Res Adj ]],-2)</f>
        <v>299100</v>
      </c>
      <c r="BO961" s="25">
        <f>ROUND(Inventory[[#This Row],[25Det]]*Inventory[[#This Row],[Det/Nbhd Adj]],-2)</f>
        <v>0</v>
      </c>
      <c r="BP961" s="25">
        <f>Inventory[[#This Row],[Adjusted Res]]+Inventory[[#This Row],[Adj Det ]]</f>
        <v>299100</v>
      </c>
      <c r="BQ961" s="25">
        <f>ROUND((Inventory[[#This Row],[Mdl Land Intercept]]+Inventory[[#This Row],[Mdl LnAcres]])*Inventory[[#This Row],[Det/Nbhd Adj]],-2)</f>
        <v>32100</v>
      </c>
      <c r="BR961" s="25">
        <f>Inventory[[#This Row],[Adjusted Impr Total]]+Inventory[[#This Row],[Adjusted Land Total]]</f>
        <v>331200</v>
      </c>
      <c r="BS961" s="36">
        <f>IFERROR((Inventory[[#This Row],[Adjusted Impr Total]]-Inventory[[#This Row],[24Bldg]])/Inventory[[#This Row],[24Bldg]],0)</f>
        <v>0.22181372549019607</v>
      </c>
      <c r="BT961" s="36">
        <f>(Inventory[[#This Row],[Adjusted Land Total]]-Inventory[[#This Row],[24Lnd]])/Inventory[[#This Row],[24Lnd]]</f>
        <v>-0.39089184060721061</v>
      </c>
      <c r="BU961" s="36">
        <f>(Inventory[[#This Row],[Adjusted Total]]-Inventory[[#This Row],[24Final]])/Inventory[[#This Row],[24Final]]</f>
        <v>0.11327731092436975</v>
      </c>
    </row>
    <row r="962" spans="1:73" x14ac:dyDescent="0.3">
      <c r="A962" s="25">
        <v>2025</v>
      </c>
      <c r="B962" s="26" t="s">
        <v>1564</v>
      </c>
      <c r="C962" s="26">
        <f>LN(Inventory[[#This Row],[Acres]])</f>
        <v>-1.5141277326297755</v>
      </c>
      <c r="D962" s="25">
        <v>0.22</v>
      </c>
      <c r="E962" s="27"/>
      <c r="F962" s="26" t="s">
        <v>537</v>
      </c>
      <c r="G962" s="26" t="s">
        <v>126</v>
      </c>
      <c r="H962" s="26" t="s">
        <v>349</v>
      </c>
      <c r="I962" s="26" t="s">
        <v>538</v>
      </c>
      <c r="J962" s="26" t="s">
        <v>539</v>
      </c>
      <c r="K962" s="26" t="s">
        <v>242</v>
      </c>
      <c r="L962" s="26" t="s">
        <v>351</v>
      </c>
      <c r="M962" s="26" t="s">
        <v>303</v>
      </c>
      <c r="N962" s="26">
        <v>80</v>
      </c>
      <c r="O962" s="26">
        <f>2024-Inventory[[#This Row],[YrBlt]]</f>
        <v>76</v>
      </c>
      <c r="P962" s="26">
        <f>2024-Inventory[[#This Row],[EffYr]]</f>
        <v>36</v>
      </c>
      <c r="Q962" s="25">
        <v>1948</v>
      </c>
      <c r="R962" s="25">
        <v>1988</v>
      </c>
      <c r="S962" s="25">
        <v>980</v>
      </c>
      <c r="T962" s="27"/>
      <c r="U962" s="25">
        <v>560</v>
      </c>
      <c r="V962" s="25">
        <f>Inventory[[#This Row],[Bsmt]]-Inventory[[#This Row],[FnBsmt]]</f>
        <v>280</v>
      </c>
      <c r="W962" s="25">
        <v>280</v>
      </c>
      <c r="X962" s="27"/>
      <c r="Y962" s="27">
        <f>Inventory[[#This Row],[MainFn]]+Inventory[[#This Row],[UpprFn]]+Inventory[[#This Row],[FnBsmt]]+Inventory[[#This Row],[AddFn]]</f>
        <v>1260</v>
      </c>
      <c r="Z962" s="27">
        <v>1500</v>
      </c>
      <c r="AA962" s="25">
        <v>5</v>
      </c>
      <c r="AB962" s="31"/>
      <c r="AC962" s="27"/>
      <c r="AD962" s="27"/>
      <c r="AE962" s="27"/>
      <c r="AF962" s="27"/>
      <c r="AG962" s="27"/>
      <c r="AH962" s="27"/>
      <c r="AI962" s="25">
        <v>200916</v>
      </c>
      <c r="AJ962" s="25">
        <v>170779</v>
      </c>
      <c r="AK962" s="25">
        <v>7465</v>
      </c>
      <c r="AL962" s="25">
        <v>308700</v>
      </c>
      <c r="AM962" s="25">
        <v>61700</v>
      </c>
      <c r="AN962" s="25">
        <v>247000</v>
      </c>
      <c r="AO962" s="25">
        <v>0</v>
      </c>
      <c r="AP962" s="25">
        <f>Lookups!$B$56*0</f>
        <v>0</v>
      </c>
      <c r="AQ962" s="25">
        <f>Lookups!$B$56*1</f>
        <v>89850.625589999996</v>
      </c>
      <c r="AR962" s="25">
        <f>Lookups!$B$57*Inventory[[#This Row],[LnAcres]]</f>
        <v>-47929.131559187132</v>
      </c>
      <c r="AS962" s="25">
        <f>VLOOKUP(Inventory[[#This Row],[Qlty]],Lookups!$A$62:$E$75,2,FALSE)</f>
        <v>21557.329055999999</v>
      </c>
      <c r="AT962" s="25">
        <f>VLOOKUP(Inventory[[#This Row],[Cnd]],Lookups!$A$76:$E$84,2,FALSE)</f>
        <v>197752.34721000001</v>
      </c>
      <c r="AU962" s="25">
        <f>Inventory[[#This Row],[EffAge]]*Lookups!$B$85</f>
        <v>-8029.6416180000006</v>
      </c>
      <c r="AV962" s="25">
        <f>Inventory[[#This Row],[MainFn]]*Lookups!$B$86</f>
        <v>48420.496479460002</v>
      </c>
      <c r="AW962" s="25">
        <f>Inventory[[#This Row],[UpprFn]]*Lookups!$B$87</f>
        <v>0</v>
      </c>
      <c r="AX962" s="25">
        <f>Inventory[[#This Row],[AddFn]]*Lookups!$B$88</f>
        <v>0</v>
      </c>
      <c r="AY962" s="25">
        <f>Inventory[[#This Row],[Bsmt]]*Lookups!$B$89</f>
        <v>16285.861338319999</v>
      </c>
      <c r="AZ962" s="25">
        <f>Inventory[[#This Row],[Fixtures]]*Lookups!$B$90</f>
        <v>18960.110526</v>
      </c>
      <c r="BA962" s="25">
        <f>Inventory[[#This Row],[WdDeck]]*Lookups!$B$91</f>
        <v>0</v>
      </c>
      <c r="BB962" s="25">
        <f>ROUND(Inventory[[#This Row],[25Det]],-2)</f>
        <v>7500</v>
      </c>
      <c r="BC962" s="25">
        <f>ROUND(SUM(Inventory[[#This Row],[Mdl Qlty]:[Mdl WdDeck]])+Inventory[[#This Row],[Mdl Res Intercept]],-2)</f>
        <v>294900</v>
      </c>
      <c r="BD962" s="25">
        <f>ROUND(Inventory[[#This Row],[Mdl Land Intercept]]+Inventory[[#This Row],[Mdl LnAcres]],-2)</f>
        <v>41900</v>
      </c>
      <c r="BE962" s="25">
        <f>Inventory[[#This Row],[Unadj Res Value]]+Inventory[[#This Row],[Unadj Det Value]]+Inventory[[#This Row],[Unadj Land Value]]</f>
        <v>344300</v>
      </c>
      <c r="BF962" s="36">
        <f>(Inventory[[#This Row],[Unadj Total Value]]-Inventory[[#This Row],[24Final]])/Inventory[[#This Row],[24Final]]</f>
        <v>0.11532231940395206</v>
      </c>
      <c r="BG962" s="25">
        <f>VLOOKUP(Inventory[[#This Row],[Nbhd]],Lookups!$Q$2:$T$4,4,FALSE)</f>
        <v>0.99970000000000003</v>
      </c>
      <c r="BH962" s="25">
        <f>VLOOKUP(Inventory[[#This Row],[Qlty]],Lookups!$O$7:$R$21,4,FALSE)</f>
        <v>1.0067999999999999</v>
      </c>
      <c r="BI962" s="25">
        <f>VLOOKUP(Inventory[[#This Row],[Cnd]],Lookups!$T$7:$W$16,4,FALSE)</f>
        <v>0.99650000000000005</v>
      </c>
      <c r="BJ962" s="25">
        <f>VLOOKUP(Inventory[[#This Row],[LivArea Range]],Lookups!$T$25:$W$37,4,FALSE)</f>
        <v>1.0157</v>
      </c>
      <c r="BK962" s="25">
        <f>VLOOKUP(Inventory[[#This Row],[Decade]],Lookups!$O$25:$R$42,4,FALSE)</f>
        <v>0.995</v>
      </c>
      <c r="BL962" s="25">
        <f>Inventory[[#This Row],[Nbhd Adj]]*0.95</f>
        <v>0.94971499999999998</v>
      </c>
      <c r="BM962" s="25">
        <f>Inventory[[#This Row],[Nbhd Adj]]*Inventory[[#This Row],[Quality Adj]]*Inventory[[#This Row],[Condition Adj]]*Inventory[[#This Row],[Living Area Adj]]*Inventory[[#This Row],[Decade Adj]]*0.95</f>
        <v>0.96294690248840986</v>
      </c>
      <c r="BN962" s="25">
        <f>ROUND(SUM(Inventory[[#This Row],[Mdl Qlty]:[Mdl WdDeck]])+Inventory[[#This Row],[Mdl Res Intercept]]*Inventory[[#This Row],[Res Adj ]],-2)</f>
        <v>294900</v>
      </c>
      <c r="BO962" s="25">
        <f>ROUND(Inventory[[#This Row],[25Det]]*Inventory[[#This Row],[Det/Nbhd Adj]],-2)</f>
        <v>7100</v>
      </c>
      <c r="BP962" s="25">
        <f>Inventory[[#This Row],[Adjusted Res]]+Inventory[[#This Row],[Adj Det ]]</f>
        <v>302000</v>
      </c>
      <c r="BQ962" s="25">
        <f>ROUND((Inventory[[#This Row],[Mdl Land Intercept]]+Inventory[[#This Row],[Mdl LnAcres]])*Inventory[[#This Row],[Det/Nbhd Adj]],-2)</f>
        <v>39800</v>
      </c>
      <c r="BR962" s="25">
        <f>Inventory[[#This Row],[Adjusted Impr Total]]+Inventory[[#This Row],[Adjusted Land Total]]</f>
        <v>341800</v>
      </c>
      <c r="BS962" s="36">
        <f>IFERROR((Inventory[[#This Row],[Adjusted Impr Total]]-Inventory[[#This Row],[24Bldg]])/Inventory[[#This Row],[24Bldg]],0)</f>
        <v>0.22267206477732793</v>
      </c>
      <c r="BT962" s="36">
        <f>(Inventory[[#This Row],[Adjusted Land Total]]-Inventory[[#This Row],[24Lnd]])/Inventory[[#This Row],[24Lnd]]</f>
        <v>-0.35494327390599678</v>
      </c>
      <c r="BU962" s="36">
        <f>(Inventory[[#This Row],[Adjusted Total]]-Inventory[[#This Row],[24Final]])/Inventory[[#This Row],[24Final]]</f>
        <v>0.10722384191771947</v>
      </c>
    </row>
    <row r="963" spans="1:73" x14ac:dyDescent="0.3">
      <c r="A963" s="25">
        <v>2025</v>
      </c>
      <c r="B963" s="26" t="s">
        <v>1788</v>
      </c>
      <c r="C963" s="26">
        <f>LN(Inventory[[#This Row],[Acres]])</f>
        <v>-1.5606477482646683</v>
      </c>
      <c r="D963" s="25">
        <v>0.21</v>
      </c>
      <c r="E963" s="32">
        <v>9117</v>
      </c>
      <c r="F963" s="26" t="s">
        <v>537</v>
      </c>
      <c r="G963" s="26" t="s">
        <v>126</v>
      </c>
      <c r="H963" s="26" t="s">
        <v>349</v>
      </c>
      <c r="I963" s="26" t="s">
        <v>538</v>
      </c>
      <c r="J963" s="26" t="s">
        <v>539</v>
      </c>
      <c r="K963" s="26" t="s">
        <v>241</v>
      </c>
      <c r="L963" s="26" t="s">
        <v>351</v>
      </c>
      <c r="M963" s="26" t="s">
        <v>323</v>
      </c>
      <c r="N963" s="26">
        <v>80</v>
      </c>
      <c r="O963" s="26">
        <f>2024-Inventory[[#This Row],[YrBlt]]</f>
        <v>76</v>
      </c>
      <c r="P963" s="26">
        <f>2024-Inventory[[#This Row],[EffYr]]</f>
        <v>51</v>
      </c>
      <c r="Q963" s="25">
        <v>1948</v>
      </c>
      <c r="R963" s="25">
        <v>1973</v>
      </c>
      <c r="S963" s="25">
        <v>1018</v>
      </c>
      <c r="T963" s="27"/>
      <c r="U963" s="25">
        <v>969</v>
      </c>
      <c r="V963" s="25">
        <f>Inventory[[#This Row],[Bsmt]]-Inventory[[#This Row],[FnBsmt]]</f>
        <v>469</v>
      </c>
      <c r="W963" s="25">
        <v>500</v>
      </c>
      <c r="X963" s="27"/>
      <c r="Y963" s="27">
        <f>Inventory[[#This Row],[MainFn]]+Inventory[[#This Row],[UpprFn]]+Inventory[[#This Row],[FnBsmt]]+Inventory[[#This Row],[AddFn]]</f>
        <v>1518</v>
      </c>
      <c r="Z963" s="27">
        <v>2000</v>
      </c>
      <c r="AA963" s="25">
        <v>8</v>
      </c>
      <c r="AB963" s="32">
        <v>234</v>
      </c>
      <c r="AC963" s="31"/>
      <c r="AD963" s="25">
        <v>540</v>
      </c>
      <c r="AE963" s="27"/>
      <c r="AF963" s="27"/>
      <c r="AG963" s="27"/>
      <c r="AH963" s="27"/>
      <c r="AI963" s="25">
        <v>259137</v>
      </c>
      <c r="AJ963" s="25">
        <v>178805</v>
      </c>
      <c r="AK963" s="25">
        <v>0</v>
      </c>
      <c r="AL963" s="25">
        <v>303500</v>
      </c>
      <c r="AM963" s="25">
        <v>60100</v>
      </c>
      <c r="AN963" s="25">
        <v>243400</v>
      </c>
      <c r="AO963" s="25">
        <v>0</v>
      </c>
      <c r="AP963" s="25">
        <f>Lookups!$B$56*0</f>
        <v>0</v>
      </c>
      <c r="AQ963" s="25">
        <f>Lookups!$B$56*1</f>
        <v>89850.625589999996</v>
      </c>
      <c r="AR963" s="25">
        <f>Lookups!$B$57*Inventory[[#This Row],[LnAcres]]</f>
        <v>-49401.70477837498</v>
      </c>
      <c r="AS963" s="25">
        <f>VLOOKUP(Inventory[[#This Row],[Qlty]],Lookups!$A$62:$E$75,2,FALSE)</f>
        <v>21557.329055999999</v>
      </c>
      <c r="AT963" s="25">
        <f>VLOOKUP(Inventory[[#This Row],[Cnd]],Lookups!$A$76:$E$84,2,FALSE)</f>
        <v>160472.20319</v>
      </c>
      <c r="AU963" s="25">
        <f>Inventory[[#This Row],[EffAge]]*Lookups!$B$85</f>
        <v>-11375.3256255</v>
      </c>
      <c r="AV963" s="25">
        <f>Inventory[[#This Row],[MainFn]]*Lookups!$B$86</f>
        <v>50298.025934786005</v>
      </c>
      <c r="AW963" s="25">
        <f>Inventory[[#This Row],[UpprFn]]*Lookups!$B$87</f>
        <v>0</v>
      </c>
      <c r="AX963" s="25">
        <f>Inventory[[#This Row],[AddFn]]*Lookups!$B$88</f>
        <v>0</v>
      </c>
      <c r="AY963" s="25">
        <f>Inventory[[#This Row],[Bsmt]]*Lookups!$B$89</f>
        <v>28180.356494342999</v>
      </c>
      <c r="AZ963" s="25">
        <f>Inventory[[#This Row],[Fixtures]]*Lookups!$B$90</f>
        <v>30336.176841600001</v>
      </c>
      <c r="BA963" s="25">
        <f>Inventory[[#This Row],[WdDeck]]*Lookups!$B$91</f>
        <v>17979.578249040002</v>
      </c>
      <c r="BB963" s="25">
        <f>ROUND(Inventory[[#This Row],[25Det]],-2)</f>
        <v>0</v>
      </c>
      <c r="BC963" s="25">
        <f>ROUND(SUM(Inventory[[#This Row],[Mdl Qlty]:[Mdl WdDeck]])+Inventory[[#This Row],[Mdl Res Intercept]],-2)</f>
        <v>297400</v>
      </c>
      <c r="BD963" s="25">
        <f>ROUND(Inventory[[#This Row],[Mdl Land Intercept]]+Inventory[[#This Row],[Mdl LnAcres]],-2)</f>
        <v>40400</v>
      </c>
      <c r="BE963" s="25">
        <f>Inventory[[#This Row],[Unadj Res Value]]+Inventory[[#This Row],[Unadj Det Value]]+Inventory[[#This Row],[Unadj Land Value]]</f>
        <v>337800</v>
      </c>
      <c r="BF963" s="36">
        <f>(Inventory[[#This Row],[Unadj Total Value]]-Inventory[[#This Row],[24Final]])/Inventory[[#This Row],[24Final]]</f>
        <v>0.11301482701812191</v>
      </c>
      <c r="BG963" s="25">
        <f>VLOOKUP(Inventory[[#This Row],[Nbhd]],Lookups!$Q$2:$T$4,4,FALSE)</f>
        <v>0.99970000000000003</v>
      </c>
      <c r="BH963" s="25">
        <f>VLOOKUP(Inventory[[#This Row],[Qlty]],Lookups!$O$7:$R$21,4,FALSE)</f>
        <v>1.0067999999999999</v>
      </c>
      <c r="BI963" s="25">
        <f>VLOOKUP(Inventory[[#This Row],[Cnd]],Lookups!$T$7:$W$16,4,FALSE)</f>
        <v>0.99729999999999996</v>
      </c>
      <c r="BJ963" s="25">
        <f>VLOOKUP(Inventory[[#This Row],[LivArea Range]],Lookups!$T$25:$W$37,4,FALSE)</f>
        <v>1.0093000000000001</v>
      </c>
      <c r="BK963" s="25">
        <f>VLOOKUP(Inventory[[#This Row],[Decade]],Lookups!$O$25:$R$42,4,FALSE)</f>
        <v>0.995</v>
      </c>
      <c r="BL963" s="25">
        <f>Inventory[[#This Row],[Nbhd Adj]]*0.95</f>
        <v>0.94971499999999998</v>
      </c>
      <c r="BM963" s="25">
        <f>Inventory[[#This Row],[Nbhd Adj]]*Inventory[[#This Row],[Quality Adj]]*Inventory[[#This Row],[Condition Adj]]*Inventory[[#This Row],[Living Area Adj]]*Inventory[[#This Row],[Decade Adj]]*0.95</f>
        <v>0.957647495730095</v>
      </c>
      <c r="BN963" s="25">
        <f>ROUND(SUM(Inventory[[#This Row],[Mdl Qlty]:[Mdl WdDeck]])+Inventory[[#This Row],[Mdl Res Intercept]]*Inventory[[#This Row],[Res Adj ]],-2)</f>
        <v>297400</v>
      </c>
      <c r="BO963" s="25">
        <f>ROUND(Inventory[[#This Row],[25Det]]*Inventory[[#This Row],[Det/Nbhd Adj]],-2)</f>
        <v>0</v>
      </c>
      <c r="BP963" s="25">
        <f>Inventory[[#This Row],[Adjusted Res]]+Inventory[[#This Row],[Adj Det ]]</f>
        <v>297400</v>
      </c>
      <c r="BQ963" s="25">
        <f>ROUND((Inventory[[#This Row],[Mdl Land Intercept]]+Inventory[[#This Row],[Mdl LnAcres]])*Inventory[[#This Row],[Det/Nbhd Adj]],-2)</f>
        <v>38400</v>
      </c>
      <c r="BR963" s="25">
        <f>Inventory[[#This Row],[Adjusted Impr Total]]+Inventory[[#This Row],[Adjusted Land Total]]</f>
        <v>335800</v>
      </c>
      <c r="BS963" s="36">
        <f>IFERROR((Inventory[[#This Row],[Adjusted Impr Total]]-Inventory[[#This Row],[24Bldg]])/Inventory[[#This Row],[24Bldg]],0)</f>
        <v>0.2218570254724733</v>
      </c>
      <c r="BT963" s="36">
        <f>(Inventory[[#This Row],[Adjusted Land Total]]-Inventory[[#This Row],[24Lnd]])/Inventory[[#This Row],[24Lnd]]</f>
        <v>-0.36106489184692181</v>
      </c>
      <c r="BU963" s="36">
        <f>(Inventory[[#This Row],[Adjusted Total]]-Inventory[[#This Row],[24Final]])/Inventory[[#This Row],[24Final]]</f>
        <v>0.10642504118616145</v>
      </c>
    </row>
    <row r="964" spans="1:73" x14ac:dyDescent="0.3">
      <c r="A964" s="25">
        <v>2025</v>
      </c>
      <c r="B964" s="26" t="s">
        <v>997</v>
      </c>
      <c r="C964" s="26">
        <f>LN(Inventory[[#This Row],[Acres]])</f>
        <v>-1.5606477482646683</v>
      </c>
      <c r="D964" s="25">
        <v>0.21</v>
      </c>
      <c r="E964" s="32">
        <v>9244</v>
      </c>
      <c r="F964" s="26" t="s">
        <v>537</v>
      </c>
      <c r="G964" s="26" t="s">
        <v>126</v>
      </c>
      <c r="H964" s="26" t="s">
        <v>349</v>
      </c>
      <c r="I964" s="26" t="s">
        <v>538</v>
      </c>
      <c r="J964" s="26" t="s">
        <v>539</v>
      </c>
      <c r="K964" s="26" t="s">
        <v>242</v>
      </c>
      <c r="L964" s="26" t="s">
        <v>302</v>
      </c>
      <c r="M964" s="26" t="s">
        <v>303</v>
      </c>
      <c r="N964" s="26">
        <v>80</v>
      </c>
      <c r="O964" s="26">
        <f>2024-Inventory[[#This Row],[YrBlt]]</f>
        <v>76</v>
      </c>
      <c r="P964" s="26">
        <f>2024-Inventory[[#This Row],[EffYr]]</f>
        <v>51</v>
      </c>
      <c r="Q964" s="25">
        <v>1948</v>
      </c>
      <c r="R964" s="25">
        <v>1973</v>
      </c>
      <c r="S964" s="25">
        <v>1066</v>
      </c>
      <c r="T964" s="27"/>
      <c r="U964" s="25">
        <v>1066</v>
      </c>
      <c r="V964" s="25">
        <f>Inventory[[#This Row],[Bsmt]]-Inventory[[#This Row],[FnBsmt]]</f>
        <v>0</v>
      </c>
      <c r="W964" s="25">
        <v>1066</v>
      </c>
      <c r="X964" s="27"/>
      <c r="Y964" s="27">
        <f>Inventory[[#This Row],[MainFn]]+Inventory[[#This Row],[UpprFn]]+Inventory[[#This Row],[FnBsmt]]+Inventory[[#This Row],[AddFn]]</f>
        <v>2132</v>
      </c>
      <c r="Z964" s="27">
        <v>2500</v>
      </c>
      <c r="AA964" s="25">
        <v>8</v>
      </c>
      <c r="AB964" s="27"/>
      <c r="AC964" s="31"/>
      <c r="AD964" s="25">
        <v>388</v>
      </c>
      <c r="AE964" s="27"/>
      <c r="AF964" s="27"/>
      <c r="AG964" s="27"/>
      <c r="AH964" s="27"/>
      <c r="AI964" s="25">
        <v>331032</v>
      </c>
      <c r="AJ964" s="25">
        <v>235033</v>
      </c>
      <c r="AK964" s="25">
        <v>9040</v>
      </c>
      <c r="AL964" s="25">
        <v>359800</v>
      </c>
      <c r="AM964" s="25">
        <v>60100</v>
      </c>
      <c r="AN964" s="25">
        <v>299700</v>
      </c>
      <c r="AO964" s="25">
        <v>0</v>
      </c>
      <c r="AP964" s="25">
        <f>Lookups!$B$56*0</f>
        <v>0</v>
      </c>
      <c r="AQ964" s="25">
        <f>Lookups!$B$56*1</f>
        <v>89850.625589999996</v>
      </c>
      <c r="AR964" s="25">
        <f>Lookups!$B$57*Inventory[[#This Row],[LnAcres]]</f>
        <v>-49401.70477837498</v>
      </c>
      <c r="AS964" s="25">
        <f>VLOOKUP(Inventory[[#This Row],[Qlty]],Lookups!$A$62:$E$75,2,FALSE)</f>
        <v>29814.093161000001</v>
      </c>
      <c r="AT964" s="25">
        <f>VLOOKUP(Inventory[[#This Row],[Cnd]],Lookups!$A$76:$E$84,2,FALSE)</f>
        <v>197752.34721000001</v>
      </c>
      <c r="AU964" s="25">
        <f>Inventory[[#This Row],[EffAge]]*Lookups!$B$85</f>
        <v>-11375.3256255</v>
      </c>
      <c r="AV964" s="25">
        <f>Inventory[[#This Row],[MainFn]]*Lookups!$B$86</f>
        <v>52669.642088881999</v>
      </c>
      <c r="AW964" s="25">
        <f>Inventory[[#This Row],[UpprFn]]*Lookups!$B$87</f>
        <v>0</v>
      </c>
      <c r="AX964" s="25">
        <f>Inventory[[#This Row],[AddFn]]*Lookups!$B$88</f>
        <v>0</v>
      </c>
      <c r="AY964" s="25">
        <f>Inventory[[#This Row],[Bsmt]]*Lookups!$B$89</f>
        <v>31001.300333301999</v>
      </c>
      <c r="AZ964" s="25">
        <f>Inventory[[#This Row],[Fixtures]]*Lookups!$B$90</f>
        <v>30336.176841600001</v>
      </c>
      <c r="BA964" s="25">
        <f>Inventory[[#This Row],[WdDeck]]*Lookups!$B$91</f>
        <v>12918.659927088001</v>
      </c>
      <c r="BB964" s="25">
        <f>ROUND(Inventory[[#This Row],[25Det]],-2)</f>
        <v>9000</v>
      </c>
      <c r="BC964" s="25">
        <f>ROUND(SUM(Inventory[[#This Row],[Mdl Qlty]:[Mdl WdDeck]])+Inventory[[#This Row],[Mdl Res Intercept]],-2)</f>
        <v>343100</v>
      </c>
      <c r="BD964" s="25">
        <f>ROUND(Inventory[[#This Row],[Mdl Land Intercept]]+Inventory[[#This Row],[Mdl LnAcres]],-2)</f>
        <v>40400</v>
      </c>
      <c r="BE964" s="25">
        <f>Inventory[[#This Row],[Unadj Res Value]]+Inventory[[#This Row],[Unadj Det Value]]+Inventory[[#This Row],[Unadj Land Value]]</f>
        <v>392500</v>
      </c>
      <c r="BF964" s="36">
        <f>(Inventory[[#This Row],[Unadj Total Value]]-Inventory[[#This Row],[24Final]])/Inventory[[#This Row],[24Final]]</f>
        <v>9.0883824346859363E-2</v>
      </c>
      <c r="BG964" s="25">
        <f>VLOOKUP(Inventory[[#This Row],[Nbhd]],Lookups!$Q$2:$T$4,4,FALSE)</f>
        <v>0.99970000000000003</v>
      </c>
      <c r="BH964" s="25">
        <f>VLOOKUP(Inventory[[#This Row],[Qlty]],Lookups!$O$7:$R$21,4,FALSE)</f>
        <v>1.0088999999999999</v>
      </c>
      <c r="BI964" s="25">
        <f>VLOOKUP(Inventory[[#This Row],[Cnd]],Lookups!$T$7:$W$16,4,FALSE)</f>
        <v>0.99650000000000005</v>
      </c>
      <c r="BJ964" s="25">
        <f>VLOOKUP(Inventory[[#This Row],[LivArea Range]],Lookups!$T$25:$W$37,4,FALSE)</f>
        <v>0.98919999999999997</v>
      </c>
      <c r="BK964" s="25">
        <f>VLOOKUP(Inventory[[#This Row],[Decade]],Lookups!$O$25:$R$42,4,FALSE)</f>
        <v>0.995</v>
      </c>
      <c r="BL964" s="25">
        <f>Inventory[[#This Row],[Nbhd Adj]]*0.95</f>
        <v>0.94971499999999998</v>
      </c>
      <c r="BM964" s="25">
        <f>Inventory[[#This Row],[Nbhd Adj]]*Inventory[[#This Row],[Quality Adj]]*Inventory[[#This Row],[Condition Adj]]*Inventory[[#This Row],[Living Area Adj]]*Inventory[[#This Row],[Decade Adj]]*0.95</f>
        <v>0.93977937806455991</v>
      </c>
      <c r="BN964" s="25">
        <f>ROUND(SUM(Inventory[[#This Row],[Mdl Qlty]:[Mdl WdDeck]])+Inventory[[#This Row],[Mdl Res Intercept]]*Inventory[[#This Row],[Res Adj ]],-2)</f>
        <v>343100</v>
      </c>
      <c r="BO964" s="25">
        <f>ROUND(Inventory[[#This Row],[25Det]]*Inventory[[#This Row],[Det/Nbhd Adj]],-2)</f>
        <v>8600</v>
      </c>
      <c r="BP964" s="25">
        <f>Inventory[[#This Row],[Adjusted Res]]+Inventory[[#This Row],[Adj Det ]]</f>
        <v>351700</v>
      </c>
      <c r="BQ964" s="25">
        <f>ROUND((Inventory[[#This Row],[Mdl Land Intercept]]+Inventory[[#This Row],[Mdl LnAcres]])*Inventory[[#This Row],[Det/Nbhd Adj]],-2)</f>
        <v>38400</v>
      </c>
      <c r="BR964" s="25">
        <f>Inventory[[#This Row],[Adjusted Impr Total]]+Inventory[[#This Row],[Adjusted Land Total]]</f>
        <v>390100</v>
      </c>
      <c r="BS964" s="36">
        <f>IFERROR((Inventory[[#This Row],[Adjusted Impr Total]]-Inventory[[#This Row],[24Bldg]])/Inventory[[#This Row],[24Bldg]],0)</f>
        <v>0.17350684017350684</v>
      </c>
      <c r="BT964" s="36">
        <f>(Inventory[[#This Row],[Adjusted Land Total]]-Inventory[[#This Row],[24Lnd]])/Inventory[[#This Row],[24Lnd]]</f>
        <v>-0.36106489184692181</v>
      </c>
      <c r="BU964" s="36">
        <f>(Inventory[[#This Row],[Adjusted Total]]-Inventory[[#This Row],[24Final]])/Inventory[[#This Row],[24Final]]</f>
        <v>8.4213451917732079E-2</v>
      </c>
    </row>
    <row r="965" spans="1:73" x14ac:dyDescent="0.3">
      <c r="A965" s="25">
        <v>2025</v>
      </c>
      <c r="B965" s="26" t="s">
        <v>1595</v>
      </c>
      <c r="C965" s="26">
        <f>LN(Inventory[[#This Row],[Acres]])</f>
        <v>-1.6607312068216509</v>
      </c>
      <c r="D965" s="25">
        <v>0.19</v>
      </c>
      <c r="E965" s="27"/>
      <c r="F965" s="26" t="s">
        <v>537</v>
      </c>
      <c r="G965" s="26" t="s">
        <v>126</v>
      </c>
      <c r="H965" s="26" t="s">
        <v>349</v>
      </c>
      <c r="I965" s="26" t="s">
        <v>538</v>
      </c>
      <c r="J965" s="26" t="s">
        <v>539</v>
      </c>
      <c r="K965" s="26" t="s">
        <v>242</v>
      </c>
      <c r="L965" s="26" t="s">
        <v>351</v>
      </c>
      <c r="M965" s="26" t="s">
        <v>303</v>
      </c>
      <c r="N965" s="26">
        <v>80</v>
      </c>
      <c r="O965" s="26">
        <f>2024-Inventory[[#This Row],[YrBlt]]</f>
        <v>76</v>
      </c>
      <c r="P965" s="26">
        <f>2024-Inventory[[#This Row],[EffYr]]</f>
        <v>51</v>
      </c>
      <c r="Q965" s="25">
        <v>1948</v>
      </c>
      <c r="R965" s="25">
        <v>1973</v>
      </c>
      <c r="S965" s="25">
        <v>1260</v>
      </c>
      <c r="T965" s="27"/>
      <c r="U965" s="27"/>
      <c r="V965" s="27">
        <f>Inventory[[#This Row],[Bsmt]]-Inventory[[#This Row],[FnBsmt]]</f>
        <v>0</v>
      </c>
      <c r="W965" s="27"/>
      <c r="X965" s="27"/>
      <c r="Y965" s="27">
        <f>Inventory[[#This Row],[MainFn]]+Inventory[[#This Row],[UpprFn]]+Inventory[[#This Row],[FnBsmt]]+Inventory[[#This Row],[AddFn]]</f>
        <v>1260</v>
      </c>
      <c r="Z965" s="27">
        <v>1500</v>
      </c>
      <c r="AA965" s="25">
        <v>5</v>
      </c>
      <c r="AB965" s="27"/>
      <c r="AC965" s="27"/>
      <c r="AD965" s="27"/>
      <c r="AE965" s="27"/>
      <c r="AF965" s="27"/>
      <c r="AG965" s="27"/>
      <c r="AH965" s="27"/>
      <c r="AI965" s="25">
        <v>235808</v>
      </c>
      <c r="AJ965" s="25">
        <v>167424</v>
      </c>
      <c r="AK965" s="25">
        <v>0</v>
      </c>
      <c r="AL965" s="25">
        <v>299700</v>
      </c>
      <c r="AM965" s="25">
        <v>56600</v>
      </c>
      <c r="AN965" s="25">
        <v>243100</v>
      </c>
      <c r="AO965" s="25">
        <v>0</v>
      </c>
      <c r="AP965" s="25">
        <f>Lookups!$B$56*0</f>
        <v>0</v>
      </c>
      <c r="AQ965" s="25">
        <f>Lookups!$B$56*1</f>
        <v>89850.625589999996</v>
      </c>
      <c r="AR965" s="25">
        <f>Lookups!$B$57*Inventory[[#This Row],[LnAcres]]</f>
        <v>-52569.808201026557</v>
      </c>
      <c r="AS965" s="25">
        <f>VLOOKUP(Inventory[[#This Row],[Qlty]],Lookups!$A$62:$E$75,2,FALSE)</f>
        <v>21557.329055999999</v>
      </c>
      <c r="AT965" s="25">
        <f>VLOOKUP(Inventory[[#This Row],[Cnd]],Lookups!$A$76:$E$84,2,FALSE)</f>
        <v>197752.34721000001</v>
      </c>
      <c r="AU965" s="25">
        <f>Inventory[[#This Row],[EffAge]]*Lookups!$B$85</f>
        <v>-11375.3256255</v>
      </c>
      <c r="AV965" s="25">
        <f>Inventory[[#This Row],[MainFn]]*Lookups!$B$86</f>
        <v>62254.924045020001</v>
      </c>
      <c r="AW965" s="25">
        <f>Inventory[[#This Row],[UpprFn]]*Lookups!$B$87</f>
        <v>0</v>
      </c>
      <c r="AX965" s="25">
        <f>Inventory[[#This Row],[AddFn]]*Lookups!$B$88</f>
        <v>0</v>
      </c>
      <c r="AY965" s="25">
        <f>Inventory[[#This Row],[Bsmt]]*Lookups!$B$89</f>
        <v>0</v>
      </c>
      <c r="AZ965" s="25">
        <f>Inventory[[#This Row],[Fixtures]]*Lookups!$B$90</f>
        <v>18960.110526</v>
      </c>
      <c r="BA965" s="25">
        <f>Inventory[[#This Row],[WdDeck]]*Lookups!$B$91</f>
        <v>0</v>
      </c>
      <c r="BB965" s="25">
        <f>ROUND(Inventory[[#This Row],[25Det]],-2)</f>
        <v>0</v>
      </c>
      <c r="BC965" s="25">
        <f>ROUND(SUM(Inventory[[#This Row],[Mdl Qlty]:[Mdl WdDeck]])+Inventory[[#This Row],[Mdl Res Intercept]],-2)</f>
        <v>289100</v>
      </c>
      <c r="BD965" s="25">
        <f>ROUND(Inventory[[#This Row],[Mdl Land Intercept]]+Inventory[[#This Row],[Mdl LnAcres]],-2)</f>
        <v>37300</v>
      </c>
      <c r="BE965" s="25">
        <f>Inventory[[#This Row],[Unadj Res Value]]+Inventory[[#This Row],[Unadj Det Value]]+Inventory[[#This Row],[Unadj Land Value]]</f>
        <v>326400</v>
      </c>
      <c r="BF965" s="36">
        <f>(Inventory[[#This Row],[Unadj Total Value]]-Inventory[[#This Row],[24Final]])/Inventory[[#This Row],[24Final]]</f>
        <v>8.9089089089089094E-2</v>
      </c>
      <c r="BG965" s="25">
        <f>VLOOKUP(Inventory[[#This Row],[Nbhd]],Lookups!$Q$2:$T$4,4,FALSE)</f>
        <v>0.99970000000000003</v>
      </c>
      <c r="BH965" s="25">
        <f>VLOOKUP(Inventory[[#This Row],[Qlty]],Lookups!$O$7:$R$21,4,FALSE)</f>
        <v>1.0067999999999999</v>
      </c>
      <c r="BI965" s="25">
        <f>VLOOKUP(Inventory[[#This Row],[Cnd]],Lookups!$T$7:$W$16,4,FALSE)</f>
        <v>0.99650000000000005</v>
      </c>
      <c r="BJ965" s="25">
        <f>VLOOKUP(Inventory[[#This Row],[LivArea Range]],Lookups!$T$25:$W$37,4,FALSE)</f>
        <v>1.0157</v>
      </c>
      <c r="BK965" s="25">
        <f>VLOOKUP(Inventory[[#This Row],[Decade]],Lookups!$O$25:$R$42,4,FALSE)</f>
        <v>0.995</v>
      </c>
      <c r="BL965" s="25">
        <f>Inventory[[#This Row],[Nbhd Adj]]*0.95</f>
        <v>0.94971499999999998</v>
      </c>
      <c r="BM965" s="25">
        <f>Inventory[[#This Row],[Nbhd Adj]]*Inventory[[#This Row],[Quality Adj]]*Inventory[[#This Row],[Condition Adj]]*Inventory[[#This Row],[Living Area Adj]]*Inventory[[#This Row],[Decade Adj]]*0.95</f>
        <v>0.96294690248840986</v>
      </c>
      <c r="BN965" s="25">
        <f>ROUND(SUM(Inventory[[#This Row],[Mdl Qlty]:[Mdl WdDeck]])+Inventory[[#This Row],[Mdl Res Intercept]]*Inventory[[#This Row],[Res Adj ]],-2)</f>
        <v>289100</v>
      </c>
      <c r="BO965" s="25">
        <f>ROUND(Inventory[[#This Row],[25Det]]*Inventory[[#This Row],[Det/Nbhd Adj]],-2)</f>
        <v>0</v>
      </c>
      <c r="BP965" s="25">
        <f>Inventory[[#This Row],[Adjusted Res]]+Inventory[[#This Row],[Adj Det ]]</f>
        <v>289100</v>
      </c>
      <c r="BQ965" s="25">
        <f>ROUND((Inventory[[#This Row],[Mdl Land Intercept]]+Inventory[[#This Row],[Mdl LnAcres]])*Inventory[[#This Row],[Det/Nbhd Adj]],-2)</f>
        <v>35400</v>
      </c>
      <c r="BR965" s="25">
        <f>Inventory[[#This Row],[Adjusted Impr Total]]+Inventory[[#This Row],[Adjusted Land Total]]</f>
        <v>324500</v>
      </c>
      <c r="BS965" s="36">
        <f>IFERROR((Inventory[[#This Row],[Adjusted Impr Total]]-Inventory[[#This Row],[24Bldg]])/Inventory[[#This Row],[24Bldg]],0)</f>
        <v>0.18922254216371864</v>
      </c>
      <c r="BT965" s="36">
        <f>(Inventory[[#This Row],[Adjusted Land Total]]-Inventory[[#This Row],[24Lnd]])/Inventory[[#This Row],[24Lnd]]</f>
        <v>-0.37455830388692579</v>
      </c>
      <c r="BU965" s="36">
        <f>(Inventory[[#This Row],[Adjusted Total]]-Inventory[[#This Row],[24Final]])/Inventory[[#This Row],[24Final]]</f>
        <v>8.2749416082749411E-2</v>
      </c>
    </row>
    <row r="966" spans="1:73" x14ac:dyDescent="0.3">
      <c r="A966" s="25">
        <v>2025</v>
      </c>
      <c r="B966" s="26" t="s">
        <v>1085</v>
      </c>
      <c r="C966" s="26">
        <f>LN(Inventory[[#This Row],[Acres]])</f>
        <v>-1.6094379124341003</v>
      </c>
      <c r="D966" s="25">
        <v>0.2</v>
      </c>
      <c r="E966" s="27"/>
      <c r="F966" s="26" t="s">
        <v>537</v>
      </c>
      <c r="G966" s="26" t="s">
        <v>126</v>
      </c>
      <c r="H966" s="26" t="s">
        <v>349</v>
      </c>
      <c r="I966" s="26" t="s">
        <v>538</v>
      </c>
      <c r="J966" s="26" t="s">
        <v>539</v>
      </c>
      <c r="K966" s="26" t="s">
        <v>242</v>
      </c>
      <c r="L966" s="26" t="s">
        <v>148</v>
      </c>
      <c r="M966" s="26" t="s">
        <v>303</v>
      </c>
      <c r="N966" s="26">
        <v>80</v>
      </c>
      <c r="O966" s="26">
        <f>2024-Inventory[[#This Row],[YrBlt]]</f>
        <v>76</v>
      </c>
      <c r="P966" s="26">
        <f>2024-Inventory[[#This Row],[EffYr]]</f>
        <v>51</v>
      </c>
      <c r="Q966" s="25">
        <v>1948</v>
      </c>
      <c r="R966" s="25">
        <v>1973</v>
      </c>
      <c r="S966" s="25">
        <v>1569</v>
      </c>
      <c r="T966" s="27"/>
      <c r="U966" s="32">
        <v>1569</v>
      </c>
      <c r="V966" s="32">
        <f>Inventory[[#This Row],[Bsmt]]-Inventory[[#This Row],[FnBsmt]]</f>
        <v>784</v>
      </c>
      <c r="W966" s="32">
        <v>785</v>
      </c>
      <c r="X966" s="27"/>
      <c r="Y966" s="27">
        <f>Inventory[[#This Row],[MainFn]]+Inventory[[#This Row],[UpprFn]]+Inventory[[#This Row],[FnBsmt]]+Inventory[[#This Row],[AddFn]]</f>
        <v>2354</v>
      </c>
      <c r="Z966" s="27">
        <v>2500</v>
      </c>
      <c r="AA966" s="25">
        <v>11</v>
      </c>
      <c r="AB966" s="27"/>
      <c r="AC966" s="27"/>
      <c r="AD966" s="27"/>
      <c r="AE966" s="27"/>
      <c r="AF966" s="27"/>
      <c r="AG966" s="27"/>
      <c r="AH966" s="27"/>
      <c r="AI966" s="25">
        <v>489477</v>
      </c>
      <c r="AJ966" s="25">
        <v>347529</v>
      </c>
      <c r="AK966" s="25">
        <v>12721</v>
      </c>
      <c r="AL966" s="25">
        <v>412600</v>
      </c>
      <c r="AM966" s="25">
        <v>58400</v>
      </c>
      <c r="AN966" s="25">
        <v>354200</v>
      </c>
      <c r="AO966" s="25">
        <v>0</v>
      </c>
      <c r="AP966" s="25">
        <f>Lookups!$B$56*0</f>
        <v>0</v>
      </c>
      <c r="AQ966" s="25">
        <f>Lookups!$B$56*1</f>
        <v>89850.625589999996</v>
      </c>
      <c r="AR966" s="25">
        <f>Lookups!$B$57*Inventory[[#This Row],[LnAcres]]</f>
        <v>-50946.13867709865</v>
      </c>
      <c r="AS966" s="25">
        <f>VLOOKUP(Inventory[[#This Row],[Qlty]],Lookups!$A$62:$E$75,2,FALSE)</f>
        <v>44121.038090000002</v>
      </c>
      <c r="AT966" s="25">
        <f>VLOOKUP(Inventory[[#This Row],[Cnd]],Lookups!$A$76:$E$84,2,FALSE)</f>
        <v>197752.34721000001</v>
      </c>
      <c r="AU966" s="25">
        <f>Inventory[[#This Row],[EffAge]]*Lookups!$B$85</f>
        <v>-11375.3256255</v>
      </c>
      <c r="AV966" s="25">
        <f>Inventory[[#This Row],[MainFn]]*Lookups!$B$86</f>
        <v>77522.203037013009</v>
      </c>
      <c r="AW966" s="25">
        <f>Inventory[[#This Row],[UpprFn]]*Lookups!$B$87</f>
        <v>0</v>
      </c>
      <c r="AX966" s="25">
        <f>Inventory[[#This Row],[AddFn]]*Lookups!$B$88</f>
        <v>0</v>
      </c>
      <c r="AY966" s="25">
        <f>Inventory[[#This Row],[Bsmt]]*Lookups!$B$89</f>
        <v>45629.493642542999</v>
      </c>
      <c r="AZ966" s="25">
        <f>Inventory[[#This Row],[Fixtures]]*Lookups!$B$90</f>
        <v>41712.243157199999</v>
      </c>
      <c r="BA966" s="25">
        <f>Inventory[[#This Row],[WdDeck]]*Lookups!$B$91</f>
        <v>0</v>
      </c>
      <c r="BB966" s="25">
        <f>ROUND(Inventory[[#This Row],[25Det]],-2)</f>
        <v>12700</v>
      </c>
      <c r="BC966" s="25">
        <f>ROUND(SUM(Inventory[[#This Row],[Mdl Qlty]:[Mdl WdDeck]])+Inventory[[#This Row],[Mdl Res Intercept]],-2)</f>
        <v>395400</v>
      </c>
      <c r="BD966" s="25">
        <f>ROUND(Inventory[[#This Row],[Mdl Land Intercept]]+Inventory[[#This Row],[Mdl LnAcres]],-2)</f>
        <v>38900</v>
      </c>
      <c r="BE966" s="25">
        <f>Inventory[[#This Row],[Unadj Res Value]]+Inventory[[#This Row],[Unadj Det Value]]+Inventory[[#This Row],[Unadj Land Value]]</f>
        <v>447000</v>
      </c>
      <c r="BF966" s="36">
        <f>(Inventory[[#This Row],[Unadj Total Value]]-Inventory[[#This Row],[24Final]])/Inventory[[#This Row],[24Final]]</f>
        <v>8.3373727581192436E-2</v>
      </c>
      <c r="BG966" s="25">
        <f>VLOOKUP(Inventory[[#This Row],[Nbhd]],Lookups!$Q$2:$T$4,4,FALSE)</f>
        <v>0.99970000000000003</v>
      </c>
      <c r="BH966" s="25">
        <f>VLOOKUP(Inventory[[#This Row],[Qlty]],Lookups!$O$7:$R$21,4,FALSE)</f>
        <v>0.98050000000000004</v>
      </c>
      <c r="BI966" s="25">
        <f>VLOOKUP(Inventory[[#This Row],[Cnd]],Lookups!$T$7:$W$16,4,FALSE)</f>
        <v>0.99650000000000005</v>
      </c>
      <c r="BJ966" s="25">
        <f>VLOOKUP(Inventory[[#This Row],[LivArea Range]],Lookups!$T$25:$W$37,4,FALSE)</f>
        <v>0.98919999999999997</v>
      </c>
      <c r="BK966" s="25">
        <f>VLOOKUP(Inventory[[#This Row],[Decade]],Lookups!$O$25:$R$42,4,FALSE)</f>
        <v>0.995</v>
      </c>
      <c r="BL966" s="25">
        <f>Inventory[[#This Row],[Nbhd Adj]]*0.95</f>
        <v>0.94971499999999998</v>
      </c>
      <c r="BM966" s="25">
        <f>Inventory[[#This Row],[Nbhd Adj]]*Inventory[[#This Row],[Quality Adj]]*Inventory[[#This Row],[Condition Adj]]*Inventory[[#This Row],[Living Area Adj]]*Inventory[[#This Row],[Decade Adj]]*0.95</f>
        <v>0.91332508691872449</v>
      </c>
      <c r="BN966" s="25">
        <f>ROUND(SUM(Inventory[[#This Row],[Mdl Qlty]:[Mdl WdDeck]])+Inventory[[#This Row],[Mdl Res Intercept]]*Inventory[[#This Row],[Res Adj ]],-2)</f>
        <v>395400</v>
      </c>
      <c r="BO966" s="25">
        <f>ROUND(Inventory[[#This Row],[25Det]]*Inventory[[#This Row],[Det/Nbhd Adj]],-2)</f>
        <v>12100</v>
      </c>
      <c r="BP966" s="25">
        <f>Inventory[[#This Row],[Adjusted Res]]+Inventory[[#This Row],[Adj Det ]]</f>
        <v>407500</v>
      </c>
      <c r="BQ966" s="25">
        <f>ROUND((Inventory[[#This Row],[Mdl Land Intercept]]+Inventory[[#This Row],[Mdl LnAcres]])*Inventory[[#This Row],[Det/Nbhd Adj]],-2)</f>
        <v>36900</v>
      </c>
      <c r="BR966" s="25">
        <f>Inventory[[#This Row],[Adjusted Impr Total]]+Inventory[[#This Row],[Adjusted Land Total]]</f>
        <v>444400</v>
      </c>
      <c r="BS966" s="36">
        <f>IFERROR((Inventory[[#This Row],[Adjusted Impr Total]]-Inventory[[#This Row],[24Bldg]])/Inventory[[#This Row],[24Bldg]],0)</f>
        <v>0.15047995482778093</v>
      </c>
      <c r="BT966" s="36">
        <f>(Inventory[[#This Row],[Adjusted Land Total]]-Inventory[[#This Row],[24Lnd]])/Inventory[[#This Row],[24Lnd]]</f>
        <v>-0.36815068493150682</v>
      </c>
      <c r="BU966" s="36">
        <f>(Inventory[[#This Row],[Adjusted Total]]-Inventory[[#This Row],[24Final]])/Inventory[[#This Row],[24Final]]</f>
        <v>7.7072224915172086E-2</v>
      </c>
    </row>
    <row r="967" spans="1:73" x14ac:dyDescent="0.3">
      <c r="A967" s="25">
        <v>2025</v>
      </c>
      <c r="B967" s="26" t="s">
        <v>2329</v>
      </c>
      <c r="C967" s="26">
        <f>LN(Inventory[[#This Row],[Acres]])</f>
        <v>-1.7719568419318752</v>
      </c>
      <c r="D967" s="25">
        <v>0.17</v>
      </c>
      <c r="E967" s="32">
        <v>7199</v>
      </c>
      <c r="F967" s="26" t="s">
        <v>537</v>
      </c>
      <c r="G967" s="26" t="s">
        <v>126</v>
      </c>
      <c r="H967" s="26" t="s">
        <v>349</v>
      </c>
      <c r="I967" s="26" t="s">
        <v>538</v>
      </c>
      <c r="J967" s="26" t="s">
        <v>539</v>
      </c>
      <c r="K967" s="26" t="s">
        <v>241</v>
      </c>
      <c r="L967" s="26" t="s">
        <v>351</v>
      </c>
      <c r="M967" s="26" t="s">
        <v>303</v>
      </c>
      <c r="N967" s="26">
        <v>80</v>
      </c>
      <c r="O967" s="26">
        <f>2024-Inventory[[#This Row],[YrBlt]]</f>
        <v>76</v>
      </c>
      <c r="P967" s="26">
        <f>2024-Inventory[[#This Row],[EffYr]]</f>
        <v>51</v>
      </c>
      <c r="Q967" s="25">
        <v>1948</v>
      </c>
      <c r="R967" s="25">
        <v>1973</v>
      </c>
      <c r="S967" s="25">
        <v>1346</v>
      </c>
      <c r="T967" s="27"/>
      <c r="U967" s="27"/>
      <c r="V967" s="27">
        <f>Inventory[[#This Row],[Bsmt]]-Inventory[[#This Row],[FnBsmt]]</f>
        <v>0</v>
      </c>
      <c r="W967" s="27"/>
      <c r="X967" s="27"/>
      <c r="Y967" s="27">
        <f>Inventory[[#This Row],[MainFn]]+Inventory[[#This Row],[UpprFn]]+Inventory[[#This Row],[FnBsmt]]+Inventory[[#This Row],[AddFn]]</f>
        <v>1346</v>
      </c>
      <c r="Z967" s="27">
        <v>1500</v>
      </c>
      <c r="AA967" s="25">
        <v>8</v>
      </c>
      <c r="AB967" s="25">
        <v>332</v>
      </c>
      <c r="AC967" s="27"/>
      <c r="AD967" s="27"/>
      <c r="AE967" s="27"/>
      <c r="AF967" s="27"/>
      <c r="AG967" s="27"/>
      <c r="AH967" s="27"/>
      <c r="AI967" s="25">
        <v>239925</v>
      </c>
      <c r="AJ967" s="25">
        <v>170347</v>
      </c>
      <c r="AK967" s="25">
        <v>0</v>
      </c>
      <c r="AL967" s="25">
        <v>313600</v>
      </c>
      <c r="AM967" s="25">
        <v>52700</v>
      </c>
      <c r="AN967" s="25">
        <v>260900</v>
      </c>
      <c r="AO967" s="25">
        <v>0</v>
      </c>
      <c r="AP967" s="25">
        <f>Lookups!$B$56*0</f>
        <v>0</v>
      </c>
      <c r="AQ967" s="25">
        <f>Lookups!$B$56*1</f>
        <v>89850.625589999996</v>
      </c>
      <c r="AR967" s="25">
        <f>Lookups!$B$57*Inventory[[#This Row],[LnAcres]]</f>
        <v>-56090.612940989391</v>
      </c>
      <c r="AS967" s="25">
        <f>VLOOKUP(Inventory[[#This Row],[Qlty]],Lookups!$A$62:$E$75,2,FALSE)</f>
        <v>21557.329055999999</v>
      </c>
      <c r="AT967" s="25">
        <f>VLOOKUP(Inventory[[#This Row],[Cnd]],Lookups!$A$76:$E$84,2,FALSE)</f>
        <v>197752.34721000001</v>
      </c>
      <c r="AU967" s="25">
        <f>Inventory[[#This Row],[EffAge]]*Lookups!$B$85</f>
        <v>-11375.3256255</v>
      </c>
      <c r="AV967" s="25">
        <f>Inventory[[#This Row],[MainFn]]*Lookups!$B$86</f>
        <v>66504.069654442006</v>
      </c>
      <c r="AW967" s="25">
        <f>Inventory[[#This Row],[UpprFn]]*Lookups!$B$87</f>
        <v>0</v>
      </c>
      <c r="AX967" s="25">
        <f>Inventory[[#This Row],[AddFn]]*Lookups!$B$88</f>
        <v>0</v>
      </c>
      <c r="AY967" s="25">
        <f>Inventory[[#This Row],[Bsmt]]*Lookups!$B$89</f>
        <v>0</v>
      </c>
      <c r="AZ967" s="25">
        <f>Inventory[[#This Row],[Fixtures]]*Lookups!$B$90</f>
        <v>30336.176841600001</v>
      </c>
      <c r="BA967" s="25">
        <f>Inventory[[#This Row],[WdDeck]]*Lookups!$B$91</f>
        <v>0</v>
      </c>
      <c r="BB967" s="25">
        <f>ROUND(Inventory[[#This Row],[25Det]],-2)</f>
        <v>0</v>
      </c>
      <c r="BC967" s="25">
        <f>ROUND(SUM(Inventory[[#This Row],[Mdl Qlty]:[Mdl WdDeck]])+Inventory[[#This Row],[Mdl Res Intercept]],-2)</f>
        <v>304800</v>
      </c>
      <c r="BD967" s="25">
        <f>ROUND(Inventory[[#This Row],[Mdl Land Intercept]]+Inventory[[#This Row],[Mdl LnAcres]],-2)</f>
        <v>33800</v>
      </c>
      <c r="BE967" s="25">
        <f>Inventory[[#This Row],[Unadj Res Value]]+Inventory[[#This Row],[Unadj Det Value]]+Inventory[[#This Row],[Unadj Land Value]]</f>
        <v>338600</v>
      </c>
      <c r="BF967" s="36">
        <f>(Inventory[[#This Row],[Unadj Total Value]]-Inventory[[#This Row],[24Final]])/Inventory[[#This Row],[24Final]]</f>
        <v>7.9719387755102039E-2</v>
      </c>
      <c r="BG967" s="25">
        <f>VLOOKUP(Inventory[[#This Row],[Nbhd]],Lookups!$Q$2:$T$4,4,FALSE)</f>
        <v>0.99970000000000003</v>
      </c>
      <c r="BH967" s="25">
        <f>VLOOKUP(Inventory[[#This Row],[Qlty]],Lookups!$O$7:$R$21,4,FALSE)</f>
        <v>1.0067999999999999</v>
      </c>
      <c r="BI967" s="25">
        <f>VLOOKUP(Inventory[[#This Row],[Cnd]],Lookups!$T$7:$W$16,4,FALSE)</f>
        <v>0.99650000000000005</v>
      </c>
      <c r="BJ967" s="25">
        <f>VLOOKUP(Inventory[[#This Row],[LivArea Range]],Lookups!$T$25:$W$37,4,FALSE)</f>
        <v>1.0157</v>
      </c>
      <c r="BK967" s="25">
        <f>VLOOKUP(Inventory[[#This Row],[Decade]],Lookups!$O$25:$R$42,4,FALSE)</f>
        <v>0.995</v>
      </c>
      <c r="BL967" s="25">
        <f>Inventory[[#This Row],[Nbhd Adj]]*0.95</f>
        <v>0.94971499999999998</v>
      </c>
      <c r="BM967" s="25">
        <f>Inventory[[#This Row],[Nbhd Adj]]*Inventory[[#This Row],[Quality Adj]]*Inventory[[#This Row],[Condition Adj]]*Inventory[[#This Row],[Living Area Adj]]*Inventory[[#This Row],[Decade Adj]]*0.95</f>
        <v>0.96294690248840986</v>
      </c>
      <c r="BN967" s="25">
        <f>ROUND(SUM(Inventory[[#This Row],[Mdl Qlty]:[Mdl WdDeck]])+Inventory[[#This Row],[Mdl Res Intercept]]*Inventory[[#This Row],[Res Adj ]],-2)</f>
        <v>304800</v>
      </c>
      <c r="BO967" s="25">
        <f>ROUND(Inventory[[#This Row],[25Det]]*Inventory[[#This Row],[Det/Nbhd Adj]],-2)</f>
        <v>0</v>
      </c>
      <c r="BP967" s="25">
        <f>Inventory[[#This Row],[Adjusted Res]]+Inventory[[#This Row],[Adj Det ]]</f>
        <v>304800</v>
      </c>
      <c r="BQ967" s="25">
        <f>ROUND((Inventory[[#This Row],[Mdl Land Intercept]]+Inventory[[#This Row],[Mdl LnAcres]])*Inventory[[#This Row],[Det/Nbhd Adj]],-2)</f>
        <v>32100</v>
      </c>
      <c r="BR967" s="25">
        <f>Inventory[[#This Row],[Adjusted Impr Total]]+Inventory[[#This Row],[Adjusted Land Total]]</f>
        <v>336900</v>
      </c>
      <c r="BS967" s="36">
        <f>IFERROR((Inventory[[#This Row],[Adjusted Impr Total]]-Inventory[[#This Row],[24Bldg]])/Inventory[[#This Row],[24Bldg]],0)</f>
        <v>0.16826370256803372</v>
      </c>
      <c r="BT967" s="36">
        <f>(Inventory[[#This Row],[Adjusted Land Total]]-Inventory[[#This Row],[24Lnd]])/Inventory[[#This Row],[24Lnd]]</f>
        <v>-0.39089184060721061</v>
      </c>
      <c r="BU967" s="36">
        <f>(Inventory[[#This Row],[Adjusted Total]]-Inventory[[#This Row],[24Final]])/Inventory[[#This Row],[24Final]]</f>
        <v>7.4298469387755098E-2</v>
      </c>
    </row>
    <row r="968" spans="1:73" x14ac:dyDescent="0.3">
      <c r="A968" s="25">
        <v>2025</v>
      </c>
      <c r="B968" s="26" t="s">
        <v>1797</v>
      </c>
      <c r="C968" s="26">
        <f>LN(Inventory[[#This Row],[Acres]])</f>
        <v>-1.7147984280919266</v>
      </c>
      <c r="D968" s="25">
        <v>0.18</v>
      </c>
      <c r="E968" s="27"/>
      <c r="F968" s="26" t="s">
        <v>537</v>
      </c>
      <c r="G968" s="26" t="s">
        <v>126</v>
      </c>
      <c r="H968" s="26" t="s">
        <v>349</v>
      </c>
      <c r="I968" s="26" t="s">
        <v>538</v>
      </c>
      <c r="J968" s="26" t="s">
        <v>539</v>
      </c>
      <c r="K968" s="26" t="s">
        <v>242</v>
      </c>
      <c r="L968" s="26" t="s">
        <v>302</v>
      </c>
      <c r="M968" s="26" t="s">
        <v>303</v>
      </c>
      <c r="N968" s="26">
        <v>80</v>
      </c>
      <c r="O968" s="26">
        <f>2024-Inventory[[#This Row],[YrBlt]]</f>
        <v>76</v>
      </c>
      <c r="P968" s="26">
        <f>2024-Inventory[[#This Row],[EffYr]]</f>
        <v>51</v>
      </c>
      <c r="Q968" s="25">
        <v>1948</v>
      </c>
      <c r="R968" s="25">
        <v>1973</v>
      </c>
      <c r="S968" s="25">
        <v>814</v>
      </c>
      <c r="T968" s="27"/>
      <c r="U968" s="32">
        <v>814</v>
      </c>
      <c r="V968" s="32">
        <f>Inventory[[#This Row],[Bsmt]]-Inventory[[#This Row],[FnBsmt]]</f>
        <v>114</v>
      </c>
      <c r="W968" s="32">
        <v>700</v>
      </c>
      <c r="X968" s="27"/>
      <c r="Y968" s="27">
        <f>Inventory[[#This Row],[MainFn]]+Inventory[[#This Row],[UpprFn]]+Inventory[[#This Row],[FnBsmt]]+Inventory[[#This Row],[AddFn]]</f>
        <v>1514</v>
      </c>
      <c r="Z968" s="27">
        <v>2000</v>
      </c>
      <c r="AA968" s="25">
        <v>8</v>
      </c>
      <c r="AB968" s="31"/>
      <c r="AC968" s="27"/>
      <c r="AD968" s="27"/>
      <c r="AE968" s="27"/>
      <c r="AF968" s="27"/>
      <c r="AG968" s="27"/>
      <c r="AH968" s="27"/>
      <c r="AI968" s="25">
        <v>243325</v>
      </c>
      <c r="AJ968" s="25">
        <v>172761</v>
      </c>
      <c r="AK968" s="25">
        <v>6050</v>
      </c>
      <c r="AL968" s="25">
        <v>326000</v>
      </c>
      <c r="AM968" s="25">
        <v>54700</v>
      </c>
      <c r="AN968" s="25">
        <v>271300</v>
      </c>
      <c r="AO968" s="25">
        <v>0</v>
      </c>
      <c r="AP968" s="25">
        <f>Lookups!$B$56*0</f>
        <v>0</v>
      </c>
      <c r="AQ968" s="25">
        <f>Lookups!$B$56*1</f>
        <v>89850.625589999996</v>
      </c>
      <c r="AR968" s="25">
        <f>Lookups!$B$57*Inventory[[#This Row],[LnAcres]]</f>
        <v>-54281.285314520763</v>
      </c>
      <c r="AS968" s="25">
        <f>VLOOKUP(Inventory[[#This Row],[Qlty]],Lookups!$A$62:$E$75,2,FALSE)</f>
        <v>29814.093161000001</v>
      </c>
      <c r="AT968" s="25">
        <f>VLOOKUP(Inventory[[#This Row],[Cnd]],Lookups!$A$76:$E$84,2,FALSE)</f>
        <v>197752.34721000001</v>
      </c>
      <c r="AU968" s="25">
        <f>Inventory[[#This Row],[EffAge]]*Lookups!$B$85</f>
        <v>-11375.3256255</v>
      </c>
      <c r="AV968" s="25">
        <f>Inventory[[#This Row],[MainFn]]*Lookups!$B$86</f>
        <v>40218.657279878003</v>
      </c>
      <c r="AW968" s="25">
        <f>Inventory[[#This Row],[UpprFn]]*Lookups!$B$87</f>
        <v>0</v>
      </c>
      <c r="AX968" s="25">
        <f>Inventory[[#This Row],[AddFn]]*Lookups!$B$88</f>
        <v>0</v>
      </c>
      <c r="AY968" s="25">
        <f>Inventory[[#This Row],[Bsmt]]*Lookups!$B$89</f>
        <v>23672.662731057997</v>
      </c>
      <c r="AZ968" s="25">
        <f>Inventory[[#This Row],[Fixtures]]*Lookups!$B$90</f>
        <v>30336.176841600001</v>
      </c>
      <c r="BA968" s="25">
        <f>Inventory[[#This Row],[WdDeck]]*Lookups!$B$91</f>
        <v>0</v>
      </c>
      <c r="BB968" s="25">
        <f>ROUND(Inventory[[#This Row],[25Det]],-2)</f>
        <v>6100</v>
      </c>
      <c r="BC968" s="25">
        <f>ROUND(SUM(Inventory[[#This Row],[Mdl Qlty]:[Mdl WdDeck]])+Inventory[[#This Row],[Mdl Res Intercept]],-2)</f>
        <v>310400</v>
      </c>
      <c r="BD968" s="25">
        <f>ROUND(Inventory[[#This Row],[Mdl Land Intercept]]+Inventory[[#This Row],[Mdl LnAcres]],-2)</f>
        <v>35600</v>
      </c>
      <c r="BE968" s="25">
        <f>Inventory[[#This Row],[Unadj Res Value]]+Inventory[[#This Row],[Unadj Det Value]]+Inventory[[#This Row],[Unadj Land Value]]</f>
        <v>352100</v>
      </c>
      <c r="BF968" s="36">
        <f>(Inventory[[#This Row],[Unadj Total Value]]-Inventory[[#This Row],[24Final]])/Inventory[[#This Row],[24Final]]</f>
        <v>8.006134969325153E-2</v>
      </c>
      <c r="BG968" s="25">
        <f>VLOOKUP(Inventory[[#This Row],[Nbhd]],Lookups!$Q$2:$T$4,4,FALSE)</f>
        <v>0.99970000000000003</v>
      </c>
      <c r="BH968" s="25">
        <f>VLOOKUP(Inventory[[#This Row],[Qlty]],Lookups!$O$7:$R$21,4,FALSE)</f>
        <v>1.0088999999999999</v>
      </c>
      <c r="BI968" s="25">
        <f>VLOOKUP(Inventory[[#This Row],[Cnd]],Lookups!$T$7:$W$16,4,FALSE)</f>
        <v>0.99650000000000005</v>
      </c>
      <c r="BJ968" s="25">
        <f>VLOOKUP(Inventory[[#This Row],[LivArea Range]],Lookups!$T$25:$W$37,4,FALSE)</f>
        <v>1.0093000000000001</v>
      </c>
      <c r="BK968" s="25">
        <f>VLOOKUP(Inventory[[#This Row],[Decade]],Lookups!$O$25:$R$42,4,FALSE)</f>
        <v>0.995</v>
      </c>
      <c r="BL968" s="25">
        <f>Inventory[[#This Row],[Nbhd Adj]]*0.95</f>
        <v>0.94971499999999998</v>
      </c>
      <c r="BM968" s="25">
        <f>Inventory[[#This Row],[Nbhd Adj]]*Inventory[[#This Row],[Quality Adj]]*Inventory[[#This Row],[Condition Adj]]*Inventory[[#This Row],[Living Area Adj]]*Inventory[[#This Row],[Decade Adj]]*0.95</f>
        <v>0.9588751782051762</v>
      </c>
      <c r="BN968" s="25">
        <f>ROUND(SUM(Inventory[[#This Row],[Mdl Qlty]:[Mdl WdDeck]])+Inventory[[#This Row],[Mdl Res Intercept]]*Inventory[[#This Row],[Res Adj ]],-2)</f>
        <v>310400</v>
      </c>
      <c r="BO968" s="25">
        <f>ROUND(Inventory[[#This Row],[25Det]]*Inventory[[#This Row],[Det/Nbhd Adj]],-2)</f>
        <v>5700</v>
      </c>
      <c r="BP968" s="25">
        <f>Inventory[[#This Row],[Adjusted Res]]+Inventory[[#This Row],[Adj Det ]]</f>
        <v>316100</v>
      </c>
      <c r="BQ968" s="25">
        <f>ROUND((Inventory[[#This Row],[Mdl Land Intercept]]+Inventory[[#This Row],[Mdl LnAcres]])*Inventory[[#This Row],[Det/Nbhd Adj]],-2)</f>
        <v>33800</v>
      </c>
      <c r="BR968" s="25">
        <f>Inventory[[#This Row],[Adjusted Impr Total]]+Inventory[[#This Row],[Adjusted Land Total]]</f>
        <v>349900</v>
      </c>
      <c r="BS968" s="36">
        <f>IFERROR((Inventory[[#This Row],[Adjusted Impr Total]]-Inventory[[#This Row],[24Bldg]])/Inventory[[#This Row],[24Bldg]],0)</f>
        <v>0.16513085145595283</v>
      </c>
      <c r="BT968" s="36">
        <f>(Inventory[[#This Row],[Adjusted Land Total]]-Inventory[[#This Row],[24Lnd]])/Inventory[[#This Row],[24Lnd]]</f>
        <v>-0.38208409506398539</v>
      </c>
      <c r="BU968" s="36">
        <f>(Inventory[[#This Row],[Adjusted Total]]-Inventory[[#This Row],[24Final]])/Inventory[[#This Row],[24Final]]</f>
        <v>7.3312883435582815E-2</v>
      </c>
    </row>
    <row r="969" spans="1:73" x14ac:dyDescent="0.3">
      <c r="A969" s="25">
        <v>2025</v>
      </c>
      <c r="B969" s="26" t="s">
        <v>878</v>
      </c>
      <c r="C969" s="26">
        <f>LN(Inventory[[#This Row],[Acres]])</f>
        <v>-1.8971199848858813</v>
      </c>
      <c r="D969" s="25">
        <v>0.15</v>
      </c>
      <c r="E969" s="32">
        <v>6475</v>
      </c>
      <c r="F969" s="26" t="s">
        <v>537</v>
      </c>
      <c r="G969" s="26" t="s">
        <v>126</v>
      </c>
      <c r="H969" s="26" t="s">
        <v>349</v>
      </c>
      <c r="I969" s="26" t="s">
        <v>538</v>
      </c>
      <c r="J969" s="26" t="s">
        <v>539</v>
      </c>
      <c r="K969" s="26" t="s">
        <v>242</v>
      </c>
      <c r="L969" s="26" t="s">
        <v>351</v>
      </c>
      <c r="M969" s="26" t="s">
        <v>323</v>
      </c>
      <c r="N969" s="26">
        <v>80</v>
      </c>
      <c r="O969" s="26">
        <f>2024-Inventory[[#This Row],[YrBlt]]</f>
        <v>76</v>
      </c>
      <c r="P969" s="26">
        <f>2024-Inventory[[#This Row],[EffYr]]</f>
        <v>51</v>
      </c>
      <c r="Q969" s="25">
        <v>1948</v>
      </c>
      <c r="R969" s="25">
        <v>1973</v>
      </c>
      <c r="S969" s="25">
        <v>1179</v>
      </c>
      <c r="T969" s="27"/>
      <c r="U969" s="27"/>
      <c r="V969" s="27">
        <f>Inventory[[#This Row],[Bsmt]]-Inventory[[#This Row],[FnBsmt]]</f>
        <v>0</v>
      </c>
      <c r="W969" s="27"/>
      <c r="X969" s="27"/>
      <c r="Y969" s="27">
        <f>Inventory[[#This Row],[MainFn]]+Inventory[[#This Row],[UpprFn]]+Inventory[[#This Row],[FnBsmt]]+Inventory[[#This Row],[AddFn]]</f>
        <v>1179</v>
      </c>
      <c r="Z969" s="27">
        <v>1500</v>
      </c>
      <c r="AA969" s="25">
        <v>8</v>
      </c>
      <c r="AB969" s="32">
        <v>279</v>
      </c>
      <c r="AC969" s="27"/>
      <c r="AD969" s="32">
        <v>172</v>
      </c>
      <c r="AE969" s="27"/>
      <c r="AF969" s="27"/>
      <c r="AG969" s="27"/>
      <c r="AH969" s="27"/>
      <c r="AI969" s="25">
        <v>220867</v>
      </c>
      <c r="AJ969" s="25">
        <v>152398</v>
      </c>
      <c r="AK969" s="25">
        <v>2621</v>
      </c>
      <c r="AL969" s="25">
        <v>276500</v>
      </c>
      <c r="AM969" s="25">
        <v>48400</v>
      </c>
      <c r="AN969" s="25">
        <v>228100</v>
      </c>
      <c r="AO969" s="25">
        <v>0</v>
      </c>
      <c r="AP969" s="25">
        <f>Lookups!$B$56*0</f>
        <v>0</v>
      </c>
      <c r="AQ969" s="25">
        <f>Lookups!$B$56*1</f>
        <v>89850.625589999996</v>
      </c>
      <c r="AR969" s="25">
        <f>Lookups!$B$57*Inventory[[#This Row],[LnAcres]]</f>
        <v>-60052.604136134301</v>
      </c>
      <c r="AS969" s="25">
        <f>VLOOKUP(Inventory[[#This Row],[Qlty]],Lookups!$A$62:$E$75,2,FALSE)</f>
        <v>21557.329055999999</v>
      </c>
      <c r="AT969" s="25">
        <f>VLOOKUP(Inventory[[#This Row],[Cnd]],Lookups!$A$76:$E$84,2,FALSE)</f>
        <v>160472.20319</v>
      </c>
      <c r="AU969" s="25">
        <f>Inventory[[#This Row],[EffAge]]*Lookups!$B$85</f>
        <v>-11375.3256255</v>
      </c>
      <c r="AV969" s="25">
        <f>Inventory[[#This Row],[MainFn]]*Lookups!$B$86</f>
        <v>58252.821784983003</v>
      </c>
      <c r="AW969" s="25">
        <f>Inventory[[#This Row],[UpprFn]]*Lookups!$B$87</f>
        <v>0</v>
      </c>
      <c r="AX969" s="25">
        <f>Inventory[[#This Row],[AddFn]]*Lookups!$B$88</f>
        <v>0</v>
      </c>
      <c r="AY969" s="25">
        <f>Inventory[[#This Row],[Bsmt]]*Lookups!$B$89</f>
        <v>0</v>
      </c>
      <c r="AZ969" s="25">
        <f>Inventory[[#This Row],[Fixtures]]*Lookups!$B$90</f>
        <v>30336.176841600001</v>
      </c>
      <c r="BA969" s="25">
        <f>Inventory[[#This Row],[WdDeck]]*Lookups!$B$91</f>
        <v>5726.8286274720003</v>
      </c>
      <c r="BB969" s="25">
        <f>ROUND(Inventory[[#This Row],[25Det]],-2)</f>
        <v>2600</v>
      </c>
      <c r="BC969" s="25">
        <f>ROUND(SUM(Inventory[[#This Row],[Mdl Qlty]:[Mdl WdDeck]])+Inventory[[#This Row],[Mdl Res Intercept]],-2)</f>
        <v>265000</v>
      </c>
      <c r="BD969" s="25">
        <f>ROUND(Inventory[[#This Row],[Mdl Land Intercept]]+Inventory[[#This Row],[Mdl LnAcres]],-2)</f>
        <v>29800</v>
      </c>
      <c r="BE969" s="25">
        <f>Inventory[[#This Row],[Unadj Res Value]]+Inventory[[#This Row],[Unadj Det Value]]+Inventory[[#This Row],[Unadj Land Value]]</f>
        <v>297400</v>
      </c>
      <c r="BF969" s="36">
        <f>(Inventory[[#This Row],[Unadj Total Value]]-Inventory[[#This Row],[24Final]])/Inventory[[#This Row],[24Final]]</f>
        <v>7.5587703435804704E-2</v>
      </c>
      <c r="BG969" s="25">
        <f>VLOOKUP(Inventory[[#This Row],[Nbhd]],Lookups!$Q$2:$T$4,4,FALSE)</f>
        <v>0.99970000000000003</v>
      </c>
      <c r="BH969" s="25">
        <f>VLOOKUP(Inventory[[#This Row],[Qlty]],Lookups!$O$7:$R$21,4,FALSE)</f>
        <v>1.0067999999999999</v>
      </c>
      <c r="BI969" s="25">
        <f>VLOOKUP(Inventory[[#This Row],[Cnd]],Lookups!$T$7:$W$16,4,FALSE)</f>
        <v>0.99729999999999996</v>
      </c>
      <c r="BJ969" s="25">
        <f>VLOOKUP(Inventory[[#This Row],[LivArea Range]],Lookups!$T$25:$W$37,4,FALSE)</f>
        <v>1.0157</v>
      </c>
      <c r="BK969" s="25">
        <f>VLOOKUP(Inventory[[#This Row],[Decade]],Lookups!$O$25:$R$42,4,FALSE)</f>
        <v>0.995</v>
      </c>
      <c r="BL969" s="25">
        <f>Inventory[[#This Row],[Nbhd Adj]]*0.95</f>
        <v>0.94971499999999998</v>
      </c>
      <c r="BM969" s="25">
        <f>Inventory[[#This Row],[Nbhd Adj]]*Inventory[[#This Row],[Quality Adj]]*Inventory[[#This Row],[Condition Adj]]*Inventory[[#This Row],[Living Area Adj]]*Inventory[[#This Row],[Decade Adj]]*0.95</f>
        <v>0.96371996573175212</v>
      </c>
      <c r="BN969" s="25">
        <f>ROUND(SUM(Inventory[[#This Row],[Mdl Qlty]:[Mdl WdDeck]])+Inventory[[#This Row],[Mdl Res Intercept]]*Inventory[[#This Row],[Res Adj ]],-2)</f>
        <v>265000</v>
      </c>
      <c r="BO969" s="25">
        <f>ROUND(Inventory[[#This Row],[25Det]]*Inventory[[#This Row],[Det/Nbhd Adj]],-2)</f>
        <v>2500</v>
      </c>
      <c r="BP969" s="25">
        <f>Inventory[[#This Row],[Adjusted Res]]+Inventory[[#This Row],[Adj Det ]]</f>
        <v>267500</v>
      </c>
      <c r="BQ969" s="25">
        <f>ROUND((Inventory[[#This Row],[Mdl Land Intercept]]+Inventory[[#This Row],[Mdl LnAcres]])*Inventory[[#This Row],[Det/Nbhd Adj]],-2)</f>
        <v>28300</v>
      </c>
      <c r="BR969" s="25">
        <f>Inventory[[#This Row],[Adjusted Impr Total]]+Inventory[[#This Row],[Adjusted Land Total]]</f>
        <v>295800</v>
      </c>
      <c r="BS969" s="36">
        <f>IFERROR((Inventory[[#This Row],[Adjusted Impr Total]]-Inventory[[#This Row],[24Bldg]])/Inventory[[#This Row],[24Bldg]],0)</f>
        <v>0.17273125822007893</v>
      </c>
      <c r="BT969" s="36">
        <f>(Inventory[[#This Row],[Adjusted Land Total]]-Inventory[[#This Row],[24Lnd]])/Inventory[[#This Row],[24Lnd]]</f>
        <v>-0.41528925619834711</v>
      </c>
      <c r="BU969" s="36">
        <f>(Inventory[[#This Row],[Adjusted Total]]-Inventory[[#This Row],[24Final]])/Inventory[[#This Row],[24Final]]</f>
        <v>6.9801084990958412E-2</v>
      </c>
    </row>
    <row r="970" spans="1:73" x14ac:dyDescent="0.3">
      <c r="A970" s="25">
        <v>2025</v>
      </c>
      <c r="B970" s="26" t="s">
        <v>2036</v>
      </c>
      <c r="C970" s="26">
        <f>LN(Inventory[[#This Row],[Acres]])</f>
        <v>-1.7719568419318752</v>
      </c>
      <c r="D970" s="25">
        <v>0.17</v>
      </c>
      <c r="E970" s="32">
        <v>7238</v>
      </c>
      <c r="F970" s="26" t="s">
        <v>537</v>
      </c>
      <c r="G970" s="26" t="s">
        <v>126</v>
      </c>
      <c r="H970" s="26" t="s">
        <v>349</v>
      </c>
      <c r="I970" s="26" t="s">
        <v>538</v>
      </c>
      <c r="J970" s="26" t="s">
        <v>539</v>
      </c>
      <c r="K970" s="26" t="s">
        <v>241</v>
      </c>
      <c r="L970" s="26" t="s">
        <v>148</v>
      </c>
      <c r="M970" s="26" t="s">
        <v>323</v>
      </c>
      <c r="N970" s="26">
        <v>80</v>
      </c>
      <c r="O970" s="26">
        <f>2024-Inventory[[#This Row],[YrBlt]]</f>
        <v>76</v>
      </c>
      <c r="P970" s="26">
        <f>2024-Inventory[[#This Row],[EffYr]]</f>
        <v>51</v>
      </c>
      <c r="Q970" s="25">
        <v>1948</v>
      </c>
      <c r="R970" s="25">
        <v>1973</v>
      </c>
      <c r="S970" s="25">
        <v>1048</v>
      </c>
      <c r="T970" s="27"/>
      <c r="U970" s="25">
        <v>357</v>
      </c>
      <c r="V970" s="25">
        <f>Inventory[[#This Row],[Bsmt]]-Inventory[[#This Row],[FnBsmt]]</f>
        <v>0</v>
      </c>
      <c r="W970" s="25">
        <v>357</v>
      </c>
      <c r="X970" s="27"/>
      <c r="Y970" s="27">
        <f>Inventory[[#This Row],[MainFn]]+Inventory[[#This Row],[UpprFn]]+Inventory[[#This Row],[FnBsmt]]+Inventory[[#This Row],[AddFn]]</f>
        <v>1405</v>
      </c>
      <c r="Z970" s="27">
        <v>1500</v>
      </c>
      <c r="AA970" s="25">
        <v>5</v>
      </c>
      <c r="AB970" s="31"/>
      <c r="AC970" s="27"/>
      <c r="AD970" s="32">
        <v>180</v>
      </c>
      <c r="AE970" s="27"/>
      <c r="AF970" s="27"/>
      <c r="AG970" s="27"/>
      <c r="AH970" s="27"/>
      <c r="AI970" s="25">
        <v>305967</v>
      </c>
      <c r="AJ970" s="25">
        <v>211117</v>
      </c>
      <c r="AK970" s="25">
        <v>9557</v>
      </c>
      <c r="AL970" s="25">
        <v>301400</v>
      </c>
      <c r="AM970" s="25">
        <v>52700</v>
      </c>
      <c r="AN970" s="25">
        <v>248700</v>
      </c>
      <c r="AO970" s="25">
        <v>0</v>
      </c>
      <c r="AP970" s="25">
        <f>Lookups!$B$56*0</f>
        <v>0</v>
      </c>
      <c r="AQ970" s="25">
        <f>Lookups!$B$56*1</f>
        <v>89850.625589999996</v>
      </c>
      <c r="AR970" s="25">
        <f>Lookups!$B$57*Inventory[[#This Row],[LnAcres]]</f>
        <v>-56090.612940989391</v>
      </c>
      <c r="AS970" s="25">
        <f>VLOOKUP(Inventory[[#This Row],[Qlty]],Lookups!$A$62:$E$75,2,FALSE)</f>
        <v>44121.038090000002</v>
      </c>
      <c r="AT970" s="25">
        <f>VLOOKUP(Inventory[[#This Row],[Cnd]],Lookups!$A$76:$E$84,2,FALSE)</f>
        <v>160472.20319</v>
      </c>
      <c r="AU970" s="25">
        <f>Inventory[[#This Row],[EffAge]]*Lookups!$B$85</f>
        <v>-11375.3256255</v>
      </c>
      <c r="AV970" s="25">
        <f>Inventory[[#This Row],[MainFn]]*Lookups!$B$86</f>
        <v>51780.286031096002</v>
      </c>
      <c r="AW970" s="25">
        <f>Inventory[[#This Row],[UpprFn]]*Lookups!$B$87</f>
        <v>0</v>
      </c>
      <c r="AX970" s="25">
        <f>Inventory[[#This Row],[AddFn]]*Lookups!$B$88</f>
        <v>0</v>
      </c>
      <c r="AY970" s="25">
        <f>Inventory[[#This Row],[Bsmt]]*Lookups!$B$89</f>
        <v>10382.236603178999</v>
      </c>
      <c r="AZ970" s="25">
        <f>Inventory[[#This Row],[Fixtures]]*Lookups!$B$90</f>
        <v>18960.110526</v>
      </c>
      <c r="BA970" s="25">
        <f>Inventory[[#This Row],[WdDeck]]*Lookups!$B$91</f>
        <v>5993.1927496800008</v>
      </c>
      <c r="BB970" s="25">
        <f>ROUND(Inventory[[#This Row],[25Det]],-2)</f>
        <v>9600</v>
      </c>
      <c r="BC970" s="25">
        <f>ROUND(SUM(Inventory[[#This Row],[Mdl Qlty]:[Mdl WdDeck]])+Inventory[[#This Row],[Mdl Res Intercept]],-2)</f>
        <v>280300</v>
      </c>
      <c r="BD970" s="25">
        <f>ROUND(Inventory[[#This Row],[Mdl Land Intercept]]+Inventory[[#This Row],[Mdl LnAcres]],-2)</f>
        <v>33800</v>
      </c>
      <c r="BE970" s="25">
        <f>Inventory[[#This Row],[Unadj Res Value]]+Inventory[[#This Row],[Unadj Det Value]]+Inventory[[#This Row],[Unadj Land Value]]</f>
        <v>323700</v>
      </c>
      <c r="BF970" s="36">
        <f>(Inventory[[#This Row],[Unadj Total Value]]-Inventory[[#This Row],[24Final]])/Inventory[[#This Row],[24Final]]</f>
        <v>7.3988055739880557E-2</v>
      </c>
      <c r="BG970" s="25">
        <f>VLOOKUP(Inventory[[#This Row],[Nbhd]],Lookups!$Q$2:$T$4,4,FALSE)</f>
        <v>0.99970000000000003</v>
      </c>
      <c r="BH970" s="25">
        <f>VLOOKUP(Inventory[[#This Row],[Qlty]],Lookups!$O$7:$R$21,4,FALSE)</f>
        <v>0.98050000000000004</v>
      </c>
      <c r="BI970" s="25">
        <f>VLOOKUP(Inventory[[#This Row],[Cnd]],Lookups!$T$7:$W$16,4,FALSE)</f>
        <v>0.99729999999999996</v>
      </c>
      <c r="BJ970" s="25">
        <f>VLOOKUP(Inventory[[#This Row],[LivArea Range]],Lookups!$T$25:$W$37,4,FALSE)</f>
        <v>1.0157</v>
      </c>
      <c r="BK970" s="25">
        <f>VLOOKUP(Inventory[[#This Row],[Decade]],Lookups!$O$25:$R$42,4,FALSE)</f>
        <v>0.995</v>
      </c>
      <c r="BL970" s="25">
        <f>Inventory[[#This Row],[Nbhd Adj]]*0.95</f>
        <v>0.94971499999999998</v>
      </c>
      <c r="BM970" s="25">
        <f>Inventory[[#This Row],[Nbhd Adj]]*Inventory[[#This Row],[Quality Adj]]*Inventory[[#This Row],[Condition Adj]]*Inventory[[#This Row],[Living Area Adj]]*Inventory[[#This Row],[Decade Adj]]*0.95</f>
        <v>0.93854531823597842</v>
      </c>
      <c r="BN970" s="25">
        <f>ROUND(SUM(Inventory[[#This Row],[Mdl Qlty]:[Mdl WdDeck]])+Inventory[[#This Row],[Mdl Res Intercept]]*Inventory[[#This Row],[Res Adj ]],-2)</f>
        <v>280300</v>
      </c>
      <c r="BO970" s="25">
        <f>ROUND(Inventory[[#This Row],[25Det]]*Inventory[[#This Row],[Det/Nbhd Adj]],-2)</f>
        <v>9100</v>
      </c>
      <c r="BP970" s="25">
        <f>Inventory[[#This Row],[Adjusted Res]]+Inventory[[#This Row],[Adj Det ]]</f>
        <v>289400</v>
      </c>
      <c r="BQ970" s="25">
        <f>ROUND((Inventory[[#This Row],[Mdl Land Intercept]]+Inventory[[#This Row],[Mdl LnAcres]])*Inventory[[#This Row],[Det/Nbhd Adj]],-2)</f>
        <v>32100</v>
      </c>
      <c r="BR970" s="25">
        <f>Inventory[[#This Row],[Adjusted Impr Total]]+Inventory[[#This Row],[Adjusted Land Total]]</f>
        <v>321500</v>
      </c>
      <c r="BS970" s="36">
        <f>IFERROR((Inventory[[#This Row],[Adjusted Impr Total]]-Inventory[[#This Row],[24Bldg]])/Inventory[[#This Row],[24Bldg]],0)</f>
        <v>0.1636509851226377</v>
      </c>
      <c r="BT970" s="36">
        <f>(Inventory[[#This Row],[Adjusted Land Total]]-Inventory[[#This Row],[24Lnd]])/Inventory[[#This Row],[24Lnd]]</f>
        <v>-0.39089184060721061</v>
      </c>
      <c r="BU970" s="36">
        <f>(Inventory[[#This Row],[Adjusted Total]]-Inventory[[#This Row],[24Final]])/Inventory[[#This Row],[24Final]]</f>
        <v>6.6688785666887851E-2</v>
      </c>
    </row>
    <row r="971" spans="1:73" x14ac:dyDescent="0.3">
      <c r="A971" s="25">
        <v>2025</v>
      </c>
      <c r="B971" s="26" t="s">
        <v>2651</v>
      </c>
      <c r="C971" s="26">
        <f>LN(Inventory[[#This Row],[Acres]])</f>
        <v>-1.8971199848858813</v>
      </c>
      <c r="D971" s="25">
        <v>0.15</v>
      </c>
      <c r="E971" s="27"/>
      <c r="F971" s="26" t="s">
        <v>537</v>
      </c>
      <c r="G971" s="26" t="s">
        <v>126</v>
      </c>
      <c r="H971" s="26" t="s">
        <v>349</v>
      </c>
      <c r="I971" s="26" t="s">
        <v>538</v>
      </c>
      <c r="J971" s="26" t="s">
        <v>539</v>
      </c>
      <c r="K971" s="26" t="s">
        <v>242</v>
      </c>
      <c r="L971" s="26" t="s">
        <v>351</v>
      </c>
      <c r="M971" s="26" t="s">
        <v>303</v>
      </c>
      <c r="N971" s="26">
        <v>80</v>
      </c>
      <c r="O971" s="26">
        <f>2024-Inventory[[#This Row],[YrBlt]]</f>
        <v>76</v>
      </c>
      <c r="P971" s="26">
        <f>2024-Inventory[[#This Row],[EffYr]]</f>
        <v>51</v>
      </c>
      <c r="Q971" s="25">
        <v>1948</v>
      </c>
      <c r="R971" s="25">
        <v>1973</v>
      </c>
      <c r="S971" s="25">
        <v>1044</v>
      </c>
      <c r="T971" s="27"/>
      <c r="U971" s="25">
        <v>786</v>
      </c>
      <c r="V971" s="32">
        <f>Inventory[[#This Row],[Bsmt]]-Inventory[[#This Row],[FnBsmt]]</f>
        <v>0</v>
      </c>
      <c r="W971" s="32">
        <v>786</v>
      </c>
      <c r="X971" s="27"/>
      <c r="Y971" s="27">
        <f>Inventory[[#This Row],[MainFn]]+Inventory[[#This Row],[UpprFn]]+Inventory[[#This Row],[FnBsmt]]+Inventory[[#This Row],[AddFn]]</f>
        <v>1830</v>
      </c>
      <c r="Z971" s="27">
        <v>2000</v>
      </c>
      <c r="AA971" s="25">
        <v>8</v>
      </c>
      <c r="AB971" s="32">
        <v>300</v>
      </c>
      <c r="AC971" s="27"/>
      <c r="AD971" s="27"/>
      <c r="AE971" s="27"/>
      <c r="AF971" s="27"/>
      <c r="AG971" s="27"/>
      <c r="AH971" s="27"/>
      <c r="AI971" s="25">
        <v>264347</v>
      </c>
      <c r="AJ971" s="25">
        <v>187686</v>
      </c>
      <c r="AK971" s="25">
        <v>0</v>
      </c>
      <c r="AL971" s="25">
        <v>322400</v>
      </c>
      <c r="AM971" s="25">
        <v>48400</v>
      </c>
      <c r="AN971" s="25">
        <v>274000</v>
      </c>
      <c r="AO971" s="25">
        <v>0</v>
      </c>
      <c r="AP971" s="25">
        <f>Lookups!$B$56*0</f>
        <v>0</v>
      </c>
      <c r="AQ971" s="25">
        <f>Lookups!$B$56*1</f>
        <v>89850.625589999996</v>
      </c>
      <c r="AR971" s="25">
        <f>Lookups!$B$57*Inventory[[#This Row],[LnAcres]]</f>
        <v>-60052.604136134301</v>
      </c>
      <c r="AS971" s="25">
        <f>VLOOKUP(Inventory[[#This Row],[Qlty]],Lookups!$A$62:$E$75,2,FALSE)</f>
        <v>21557.329055999999</v>
      </c>
      <c r="AT971" s="25">
        <f>VLOOKUP(Inventory[[#This Row],[Cnd]],Lookups!$A$76:$E$84,2,FALSE)</f>
        <v>197752.34721000001</v>
      </c>
      <c r="AU971" s="25">
        <f>Inventory[[#This Row],[EffAge]]*Lookups!$B$85</f>
        <v>-11375.3256255</v>
      </c>
      <c r="AV971" s="25">
        <f>Inventory[[#This Row],[MainFn]]*Lookups!$B$86</f>
        <v>51582.651351588</v>
      </c>
      <c r="AW971" s="25">
        <f>Inventory[[#This Row],[UpprFn]]*Lookups!$B$87</f>
        <v>0</v>
      </c>
      <c r="AX971" s="25">
        <f>Inventory[[#This Row],[AddFn]]*Lookups!$B$88</f>
        <v>0</v>
      </c>
      <c r="AY971" s="25">
        <f>Inventory[[#This Row],[Bsmt]]*Lookups!$B$89</f>
        <v>22858.369664141999</v>
      </c>
      <c r="AZ971" s="25">
        <f>Inventory[[#This Row],[Fixtures]]*Lookups!$B$90</f>
        <v>30336.176841600001</v>
      </c>
      <c r="BA971" s="25">
        <f>Inventory[[#This Row],[WdDeck]]*Lookups!$B$91</f>
        <v>0</v>
      </c>
      <c r="BB971" s="25">
        <f>ROUND(Inventory[[#This Row],[25Det]],-2)</f>
        <v>0</v>
      </c>
      <c r="BC971" s="25">
        <f>ROUND(SUM(Inventory[[#This Row],[Mdl Qlty]:[Mdl WdDeck]])+Inventory[[#This Row],[Mdl Res Intercept]],-2)</f>
        <v>312700</v>
      </c>
      <c r="BD971" s="25">
        <f>ROUND(Inventory[[#This Row],[Mdl Land Intercept]]+Inventory[[#This Row],[Mdl LnAcres]],-2)</f>
        <v>29800</v>
      </c>
      <c r="BE971" s="25">
        <f>Inventory[[#This Row],[Unadj Res Value]]+Inventory[[#This Row],[Unadj Det Value]]+Inventory[[#This Row],[Unadj Land Value]]</f>
        <v>342500</v>
      </c>
      <c r="BF971" s="36">
        <f>(Inventory[[#This Row],[Unadj Total Value]]-Inventory[[#This Row],[24Final]])/Inventory[[#This Row],[24Final]]</f>
        <v>6.2344913151364763E-2</v>
      </c>
      <c r="BG971" s="25">
        <f>VLOOKUP(Inventory[[#This Row],[Nbhd]],Lookups!$Q$2:$T$4,4,FALSE)</f>
        <v>0.99970000000000003</v>
      </c>
      <c r="BH971" s="25">
        <f>VLOOKUP(Inventory[[#This Row],[Qlty]],Lookups!$O$7:$R$21,4,FALSE)</f>
        <v>1.0067999999999999</v>
      </c>
      <c r="BI971" s="25">
        <f>VLOOKUP(Inventory[[#This Row],[Cnd]],Lookups!$T$7:$W$16,4,FALSE)</f>
        <v>0.99650000000000005</v>
      </c>
      <c r="BJ971" s="25">
        <f>VLOOKUP(Inventory[[#This Row],[LivArea Range]],Lookups!$T$25:$W$37,4,FALSE)</f>
        <v>1.0093000000000001</v>
      </c>
      <c r="BK971" s="25">
        <f>VLOOKUP(Inventory[[#This Row],[Decade]],Lookups!$O$25:$R$42,4,FALSE)</f>
        <v>0.995</v>
      </c>
      <c r="BL971" s="25">
        <f>Inventory[[#This Row],[Nbhd Adj]]*0.95</f>
        <v>0.94971499999999998</v>
      </c>
      <c r="BM971" s="25">
        <f>Inventory[[#This Row],[Nbhd Adj]]*Inventory[[#This Row],[Quality Adj]]*Inventory[[#This Row],[Condition Adj]]*Inventory[[#This Row],[Living Area Adj]]*Inventory[[#This Row],[Decade Adj]]*0.95</f>
        <v>0.95687930361479956</v>
      </c>
      <c r="BN971" s="25">
        <f>ROUND(SUM(Inventory[[#This Row],[Mdl Qlty]:[Mdl WdDeck]])+Inventory[[#This Row],[Mdl Res Intercept]]*Inventory[[#This Row],[Res Adj ]],-2)</f>
        <v>312700</v>
      </c>
      <c r="BO971" s="25">
        <f>ROUND(Inventory[[#This Row],[25Det]]*Inventory[[#This Row],[Det/Nbhd Adj]],-2)</f>
        <v>0</v>
      </c>
      <c r="BP971" s="25">
        <f>Inventory[[#This Row],[Adjusted Res]]+Inventory[[#This Row],[Adj Det ]]</f>
        <v>312700</v>
      </c>
      <c r="BQ971" s="25">
        <f>ROUND((Inventory[[#This Row],[Mdl Land Intercept]]+Inventory[[#This Row],[Mdl LnAcres]])*Inventory[[#This Row],[Det/Nbhd Adj]],-2)</f>
        <v>28300</v>
      </c>
      <c r="BR971" s="25">
        <f>Inventory[[#This Row],[Adjusted Impr Total]]+Inventory[[#This Row],[Adjusted Land Total]]</f>
        <v>341000</v>
      </c>
      <c r="BS971" s="36">
        <f>IFERROR((Inventory[[#This Row],[Adjusted Impr Total]]-Inventory[[#This Row],[24Bldg]])/Inventory[[#This Row],[24Bldg]],0)</f>
        <v>0.14124087591240875</v>
      </c>
      <c r="BT971" s="36">
        <f>(Inventory[[#This Row],[Adjusted Land Total]]-Inventory[[#This Row],[24Lnd]])/Inventory[[#This Row],[24Lnd]]</f>
        <v>-0.41528925619834711</v>
      </c>
      <c r="BU971" s="36">
        <f>(Inventory[[#This Row],[Adjusted Total]]-Inventory[[#This Row],[24Final]])/Inventory[[#This Row],[24Final]]</f>
        <v>5.7692307692307696E-2</v>
      </c>
    </row>
    <row r="972" spans="1:73" x14ac:dyDescent="0.3">
      <c r="A972" s="25">
        <v>2025</v>
      </c>
      <c r="B972" s="26" t="s">
        <v>2591</v>
      </c>
      <c r="C972" s="26">
        <f>LN(Inventory[[#This Row],[Acres]])</f>
        <v>-1.8325814637483102</v>
      </c>
      <c r="D972" s="25">
        <v>0.16</v>
      </c>
      <c r="E972" s="25">
        <v>7001</v>
      </c>
      <c r="F972" s="26" t="s">
        <v>537</v>
      </c>
      <c r="G972" s="26" t="s">
        <v>126</v>
      </c>
      <c r="H972" s="26" t="s">
        <v>349</v>
      </c>
      <c r="I972" s="26" t="s">
        <v>538</v>
      </c>
      <c r="J972" s="26" t="s">
        <v>638</v>
      </c>
      <c r="K972" s="26" t="s">
        <v>269</v>
      </c>
      <c r="L972" s="26" t="s">
        <v>351</v>
      </c>
      <c r="M972" s="26" t="s">
        <v>303</v>
      </c>
      <c r="N972" s="26">
        <v>80</v>
      </c>
      <c r="O972" s="26">
        <f>2024-Inventory[[#This Row],[YrBlt]]</f>
        <v>76</v>
      </c>
      <c r="P972" s="26">
        <f>2024-Inventory[[#This Row],[EffYr]]</f>
        <v>51</v>
      </c>
      <c r="Q972" s="25">
        <v>1948</v>
      </c>
      <c r="R972" s="25">
        <v>1973</v>
      </c>
      <c r="S972" s="25">
        <v>1101</v>
      </c>
      <c r="T972" s="27"/>
      <c r="U972" s="25">
        <v>672</v>
      </c>
      <c r="V972" s="25">
        <f>Inventory[[#This Row],[Bsmt]]-Inventory[[#This Row],[FnBsmt]]</f>
        <v>21</v>
      </c>
      <c r="W972" s="25">
        <v>651</v>
      </c>
      <c r="X972" s="27"/>
      <c r="Y972" s="27">
        <f>Inventory[[#This Row],[MainFn]]+Inventory[[#This Row],[UpprFn]]+Inventory[[#This Row],[FnBsmt]]+Inventory[[#This Row],[AddFn]]</f>
        <v>1752</v>
      </c>
      <c r="Z972" s="27">
        <v>2000</v>
      </c>
      <c r="AA972" s="25">
        <v>5</v>
      </c>
      <c r="AB972" s="27"/>
      <c r="AC972" s="31"/>
      <c r="AD972" s="27"/>
      <c r="AE972" s="27"/>
      <c r="AF972" s="27"/>
      <c r="AG972" s="27"/>
      <c r="AH972" s="27"/>
      <c r="AI972" s="25">
        <v>253231</v>
      </c>
      <c r="AJ972" s="25">
        <v>179794</v>
      </c>
      <c r="AK972" s="25">
        <v>7728</v>
      </c>
      <c r="AL972" s="25">
        <v>321300</v>
      </c>
      <c r="AM972" s="25">
        <v>50600</v>
      </c>
      <c r="AN972" s="25">
        <v>270700</v>
      </c>
      <c r="AO972" s="25">
        <v>0</v>
      </c>
      <c r="AP972" s="25">
        <f>Lookups!$B$56*0</f>
        <v>0</v>
      </c>
      <c r="AQ972" s="25">
        <f>Lookups!$B$56*1</f>
        <v>89850.625589999996</v>
      </c>
      <c r="AR972" s="25">
        <f>Lookups!$B$57*Inventory[[#This Row],[LnAcres]]</f>
        <v>-58009.662049032086</v>
      </c>
      <c r="AS972" s="25">
        <f>VLOOKUP(Inventory[[#This Row],[Qlty]],Lookups!$A$62:$E$75,2,FALSE)</f>
        <v>21557.329055999999</v>
      </c>
      <c r="AT972" s="25">
        <f>VLOOKUP(Inventory[[#This Row],[Cnd]],Lookups!$A$76:$E$84,2,FALSE)</f>
        <v>197752.34721000001</v>
      </c>
      <c r="AU972" s="25">
        <f>Inventory[[#This Row],[EffAge]]*Lookups!$B$85</f>
        <v>-11375.3256255</v>
      </c>
      <c r="AV972" s="25">
        <f>Inventory[[#This Row],[MainFn]]*Lookups!$B$86</f>
        <v>54398.945534577004</v>
      </c>
      <c r="AW972" s="25">
        <f>Inventory[[#This Row],[UpprFn]]*Lookups!$B$87</f>
        <v>0</v>
      </c>
      <c r="AX972" s="25">
        <f>Inventory[[#This Row],[AddFn]]*Lookups!$B$88</f>
        <v>0</v>
      </c>
      <c r="AY972" s="25">
        <f>Inventory[[#This Row],[Bsmt]]*Lookups!$B$89</f>
        <v>19543.033605983997</v>
      </c>
      <c r="AZ972" s="25">
        <f>Inventory[[#This Row],[Fixtures]]*Lookups!$B$90</f>
        <v>18960.110526</v>
      </c>
      <c r="BA972" s="25">
        <f>Inventory[[#This Row],[WdDeck]]*Lookups!$B$91</f>
        <v>0</v>
      </c>
      <c r="BB972" s="25">
        <f>ROUND(Inventory[[#This Row],[25Det]],-2)</f>
        <v>7700</v>
      </c>
      <c r="BC972" s="25">
        <f>ROUND(SUM(Inventory[[#This Row],[Mdl Qlty]:[Mdl WdDeck]])+Inventory[[#This Row],[Mdl Res Intercept]],-2)</f>
        <v>300800</v>
      </c>
      <c r="BD972" s="25">
        <f>ROUND(Inventory[[#This Row],[Mdl Land Intercept]]+Inventory[[#This Row],[Mdl LnAcres]],-2)</f>
        <v>31800</v>
      </c>
      <c r="BE972" s="25">
        <f>Inventory[[#This Row],[Unadj Res Value]]+Inventory[[#This Row],[Unadj Det Value]]+Inventory[[#This Row],[Unadj Land Value]]</f>
        <v>340300</v>
      </c>
      <c r="BF972" s="36">
        <f>(Inventory[[#This Row],[Unadj Total Value]]-Inventory[[#This Row],[24Final]])/Inventory[[#This Row],[24Final]]</f>
        <v>5.9134765017117959E-2</v>
      </c>
      <c r="BG972" s="25">
        <f>VLOOKUP(Inventory[[#This Row],[Nbhd]],Lookups!$Q$2:$T$4,4,FALSE)</f>
        <v>0.99970000000000003</v>
      </c>
      <c r="BH972" s="25">
        <f>VLOOKUP(Inventory[[#This Row],[Qlty]],Lookups!$O$7:$R$21,4,FALSE)</f>
        <v>1.0067999999999999</v>
      </c>
      <c r="BI972" s="25">
        <f>VLOOKUP(Inventory[[#This Row],[Cnd]],Lookups!$T$7:$W$16,4,FALSE)</f>
        <v>0.99650000000000005</v>
      </c>
      <c r="BJ972" s="25">
        <f>VLOOKUP(Inventory[[#This Row],[LivArea Range]],Lookups!$T$25:$W$37,4,FALSE)</f>
        <v>1.0093000000000001</v>
      </c>
      <c r="BK972" s="25">
        <f>VLOOKUP(Inventory[[#This Row],[Decade]],Lookups!$O$25:$R$42,4,FALSE)</f>
        <v>0.995</v>
      </c>
      <c r="BL972" s="25">
        <f>Inventory[[#This Row],[Nbhd Adj]]*0.95</f>
        <v>0.94971499999999998</v>
      </c>
      <c r="BM972" s="25">
        <f>Inventory[[#This Row],[Nbhd Adj]]*Inventory[[#This Row],[Quality Adj]]*Inventory[[#This Row],[Condition Adj]]*Inventory[[#This Row],[Living Area Adj]]*Inventory[[#This Row],[Decade Adj]]*0.95</f>
        <v>0.95687930361479956</v>
      </c>
      <c r="BN972" s="25">
        <f>ROUND(SUM(Inventory[[#This Row],[Mdl Qlty]:[Mdl WdDeck]])+Inventory[[#This Row],[Mdl Res Intercept]]*Inventory[[#This Row],[Res Adj ]],-2)</f>
        <v>300800</v>
      </c>
      <c r="BO972" s="25">
        <f>ROUND(Inventory[[#This Row],[25Det]]*Inventory[[#This Row],[Det/Nbhd Adj]],-2)</f>
        <v>7300</v>
      </c>
      <c r="BP972" s="25">
        <f>Inventory[[#This Row],[Adjusted Res]]+Inventory[[#This Row],[Adj Det ]]</f>
        <v>308100</v>
      </c>
      <c r="BQ972" s="25">
        <f>ROUND((Inventory[[#This Row],[Mdl Land Intercept]]+Inventory[[#This Row],[Mdl LnAcres]])*Inventory[[#This Row],[Det/Nbhd Adj]],-2)</f>
        <v>30200</v>
      </c>
      <c r="BR972" s="25">
        <f>Inventory[[#This Row],[Adjusted Impr Total]]+Inventory[[#This Row],[Adjusted Land Total]]</f>
        <v>338300</v>
      </c>
      <c r="BS972" s="36">
        <f>IFERROR((Inventory[[#This Row],[Adjusted Impr Total]]-Inventory[[#This Row],[24Bldg]])/Inventory[[#This Row],[24Bldg]],0)</f>
        <v>0.13816032508311785</v>
      </c>
      <c r="BT972" s="36">
        <f>(Inventory[[#This Row],[Adjusted Land Total]]-Inventory[[#This Row],[24Lnd]])/Inventory[[#This Row],[24Lnd]]</f>
        <v>-0.40316205533596838</v>
      </c>
      <c r="BU972" s="36">
        <f>(Inventory[[#This Row],[Adjusted Total]]-Inventory[[#This Row],[24Final]])/Inventory[[#This Row],[24Final]]</f>
        <v>5.2910052910052907E-2</v>
      </c>
    </row>
    <row r="973" spans="1:73" x14ac:dyDescent="0.3">
      <c r="A973" s="25">
        <v>2025</v>
      </c>
      <c r="B973" s="26" t="s">
        <v>1951</v>
      </c>
      <c r="C973" s="26">
        <f>LN(Inventory[[#This Row],[Acres]])</f>
        <v>-1.6607312068216509</v>
      </c>
      <c r="D973" s="25">
        <v>0.19</v>
      </c>
      <c r="E973" s="27"/>
      <c r="F973" s="26" t="s">
        <v>537</v>
      </c>
      <c r="G973" s="26" t="s">
        <v>126</v>
      </c>
      <c r="H973" s="26" t="s">
        <v>349</v>
      </c>
      <c r="I973" s="26" t="s">
        <v>538</v>
      </c>
      <c r="J973" s="26" t="s">
        <v>539</v>
      </c>
      <c r="K973" s="26" t="s">
        <v>241</v>
      </c>
      <c r="L973" s="26" t="s">
        <v>148</v>
      </c>
      <c r="M973" s="26" t="s">
        <v>303</v>
      </c>
      <c r="N973" s="26">
        <v>80</v>
      </c>
      <c r="O973" s="26">
        <f>2024-Inventory[[#This Row],[YrBlt]]</f>
        <v>76</v>
      </c>
      <c r="P973" s="26">
        <f>2024-Inventory[[#This Row],[EffYr]]</f>
        <v>51</v>
      </c>
      <c r="Q973" s="25">
        <v>1948</v>
      </c>
      <c r="R973" s="25">
        <v>1973</v>
      </c>
      <c r="S973" s="25">
        <v>1088</v>
      </c>
      <c r="T973" s="27"/>
      <c r="U973" s="25">
        <v>1088</v>
      </c>
      <c r="V973" s="25">
        <f>Inventory[[#This Row],[Bsmt]]-Inventory[[#This Row],[FnBsmt]]</f>
        <v>88</v>
      </c>
      <c r="W973" s="25">
        <v>1000</v>
      </c>
      <c r="X973" s="27"/>
      <c r="Y973" s="27">
        <f>Inventory[[#This Row],[MainFn]]+Inventory[[#This Row],[UpprFn]]+Inventory[[#This Row],[FnBsmt]]+Inventory[[#This Row],[AddFn]]</f>
        <v>2088</v>
      </c>
      <c r="Z973" s="27">
        <v>2500</v>
      </c>
      <c r="AA973" s="25">
        <v>8</v>
      </c>
      <c r="AB973" s="32">
        <v>228</v>
      </c>
      <c r="AC973" s="27"/>
      <c r="AD973" s="31"/>
      <c r="AE973" s="27"/>
      <c r="AF973" s="27"/>
      <c r="AG973" s="27"/>
      <c r="AH973" s="27"/>
      <c r="AI973" s="25">
        <v>407090</v>
      </c>
      <c r="AJ973" s="25">
        <v>289034</v>
      </c>
      <c r="AK973" s="25">
        <v>13816</v>
      </c>
      <c r="AL973" s="25">
        <v>375300</v>
      </c>
      <c r="AM973" s="25">
        <v>56600</v>
      </c>
      <c r="AN973" s="25">
        <v>318700</v>
      </c>
      <c r="AO973" s="25">
        <v>0</v>
      </c>
      <c r="AP973" s="25">
        <f>Lookups!$B$56*0</f>
        <v>0</v>
      </c>
      <c r="AQ973" s="25">
        <f>Lookups!$B$56*1</f>
        <v>89850.625589999996</v>
      </c>
      <c r="AR973" s="25">
        <f>Lookups!$B$57*Inventory[[#This Row],[LnAcres]]</f>
        <v>-52569.808201026557</v>
      </c>
      <c r="AS973" s="25">
        <f>VLOOKUP(Inventory[[#This Row],[Qlty]],Lookups!$A$62:$E$75,2,FALSE)</f>
        <v>44121.038090000002</v>
      </c>
      <c r="AT973" s="25">
        <f>VLOOKUP(Inventory[[#This Row],[Cnd]],Lookups!$A$76:$E$84,2,FALSE)</f>
        <v>197752.34721000001</v>
      </c>
      <c r="AU973" s="25">
        <f>Inventory[[#This Row],[EffAge]]*Lookups!$B$85</f>
        <v>-11375.3256255</v>
      </c>
      <c r="AV973" s="25">
        <f>Inventory[[#This Row],[MainFn]]*Lookups!$B$86</f>
        <v>53756.632826175999</v>
      </c>
      <c r="AW973" s="25">
        <f>Inventory[[#This Row],[UpprFn]]*Lookups!$B$87</f>
        <v>0</v>
      </c>
      <c r="AX973" s="25">
        <f>Inventory[[#This Row],[AddFn]]*Lookups!$B$88</f>
        <v>0</v>
      </c>
      <c r="AY973" s="25">
        <f>Inventory[[#This Row],[Bsmt]]*Lookups!$B$89</f>
        <v>31641.102028735997</v>
      </c>
      <c r="AZ973" s="25">
        <f>Inventory[[#This Row],[Fixtures]]*Lookups!$B$90</f>
        <v>30336.176841600001</v>
      </c>
      <c r="BA973" s="25">
        <f>Inventory[[#This Row],[WdDeck]]*Lookups!$B$91</f>
        <v>0</v>
      </c>
      <c r="BB973" s="25">
        <f>ROUND(Inventory[[#This Row],[25Det]],-2)</f>
        <v>13800</v>
      </c>
      <c r="BC973" s="25">
        <f>ROUND(SUM(Inventory[[#This Row],[Mdl Qlty]:[Mdl WdDeck]])+Inventory[[#This Row],[Mdl Res Intercept]],-2)</f>
        <v>346200</v>
      </c>
      <c r="BD973" s="25">
        <f>ROUND(Inventory[[#This Row],[Mdl Land Intercept]]+Inventory[[#This Row],[Mdl LnAcres]],-2)</f>
        <v>37300</v>
      </c>
      <c r="BE973" s="25">
        <f>Inventory[[#This Row],[Unadj Res Value]]+Inventory[[#This Row],[Unadj Det Value]]+Inventory[[#This Row],[Unadj Land Value]]</f>
        <v>397300</v>
      </c>
      <c r="BF973" s="36">
        <f>(Inventory[[#This Row],[Unadj Total Value]]-Inventory[[#This Row],[24Final]])/Inventory[[#This Row],[24Final]]</f>
        <v>5.861977084998668E-2</v>
      </c>
      <c r="BG973" s="25">
        <f>VLOOKUP(Inventory[[#This Row],[Nbhd]],Lookups!$Q$2:$T$4,4,FALSE)</f>
        <v>0.99970000000000003</v>
      </c>
      <c r="BH973" s="25">
        <f>VLOOKUP(Inventory[[#This Row],[Qlty]],Lookups!$O$7:$R$21,4,FALSE)</f>
        <v>0.98050000000000004</v>
      </c>
      <c r="BI973" s="25">
        <f>VLOOKUP(Inventory[[#This Row],[Cnd]],Lookups!$T$7:$W$16,4,FALSE)</f>
        <v>0.99650000000000005</v>
      </c>
      <c r="BJ973" s="25">
        <f>VLOOKUP(Inventory[[#This Row],[LivArea Range]],Lookups!$T$25:$W$37,4,FALSE)</f>
        <v>0.98919999999999997</v>
      </c>
      <c r="BK973" s="25">
        <f>VLOOKUP(Inventory[[#This Row],[Decade]],Lookups!$O$25:$R$42,4,FALSE)</f>
        <v>0.995</v>
      </c>
      <c r="BL973" s="25">
        <f>Inventory[[#This Row],[Nbhd Adj]]*0.95</f>
        <v>0.94971499999999998</v>
      </c>
      <c r="BM973" s="25">
        <f>Inventory[[#This Row],[Nbhd Adj]]*Inventory[[#This Row],[Quality Adj]]*Inventory[[#This Row],[Condition Adj]]*Inventory[[#This Row],[Living Area Adj]]*Inventory[[#This Row],[Decade Adj]]*0.95</f>
        <v>0.91332508691872449</v>
      </c>
      <c r="BN973" s="25">
        <f>ROUND(SUM(Inventory[[#This Row],[Mdl Qlty]:[Mdl WdDeck]])+Inventory[[#This Row],[Mdl Res Intercept]]*Inventory[[#This Row],[Res Adj ]],-2)</f>
        <v>346200</v>
      </c>
      <c r="BO973" s="25">
        <f>ROUND(Inventory[[#This Row],[25Det]]*Inventory[[#This Row],[Det/Nbhd Adj]],-2)</f>
        <v>13100</v>
      </c>
      <c r="BP973" s="25">
        <f>Inventory[[#This Row],[Adjusted Res]]+Inventory[[#This Row],[Adj Det ]]</f>
        <v>359300</v>
      </c>
      <c r="BQ973" s="25">
        <f>ROUND((Inventory[[#This Row],[Mdl Land Intercept]]+Inventory[[#This Row],[Mdl LnAcres]])*Inventory[[#This Row],[Det/Nbhd Adj]],-2)</f>
        <v>35400</v>
      </c>
      <c r="BR973" s="25">
        <f>Inventory[[#This Row],[Adjusted Impr Total]]+Inventory[[#This Row],[Adjusted Land Total]]</f>
        <v>394700</v>
      </c>
      <c r="BS973" s="36">
        <f>IFERROR((Inventory[[#This Row],[Adjusted Impr Total]]-Inventory[[#This Row],[24Bldg]])/Inventory[[#This Row],[24Bldg]],0)</f>
        <v>0.12739253216190774</v>
      </c>
      <c r="BT973" s="36">
        <f>(Inventory[[#This Row],[Adjusted Land Total]]-Inventory[[#This Row],[24Lnd]])/Inventory[[#This Row],[24Lnd]]</f>
        <v>-0.37455830388692579</v>
      </c>
      <c r="BU973" s="36">
        <f>(Inventory[[#This Row],[Adjusted Total]]-Inventory[[#This Row],[24Final]])/Inventory[[#This Row],[24Final]]</f>
        <v>5.1691979749533705E-2</v>
      </c>
    </row>
    <row r="974" spans="1:73" x14ac:dyDescent="0.3">
      <c r="A974" s="25">
        <v>2025</v>
      </c>
      <c r="B974" s="26" t="s">
        <v>1622</v>
      </c>
      <c r="C974" s="26">
        <f>LN(Inventory[[#This Row],[Acres]])</f>
        <v>-1.5606477482646683</v>
      </c>
      <c r="D974" s="25">
        <v>0.21</v>
      </c>
      <c r="E974" s="27"/>
      <c r="F974" s="26" t="s">
        <v>537</v>
      </c>
      <c r="G974" s="26" t="s">
        <v>126</v>
      </c>
      <c r="H974" s="26" t="s">
        <v>349</v>
      </c>
      <c r="I974" s="26" t="s">
        <v>538</v>
      </c>
      <c r="J974" s="26" t="s">
        <v>539</v>
      </c>
      <c r="K974" s="26" t="s">
        <v>242</v>
      </c>
      <c r="L974" s="26" t="s">
        <v>302</v>
      </c>
      <c r="M974" s="26" t="s">
        <v>303</v>
      </c>
      <c r="N974" s="26">
        <v>80</v>
      </c>
      <c r="O974" s="26">
        <f>2024-Inventory[[#This Row],[YrBlt]]</f>
        <v>76</v>
      </c>
      <c r="P974" s="26">
        <f>2024-Inventory[[#This Row],[EffYr]]</f>
        <v>51</v>
      </c>
      <c r="Q974" s="25">
        <v>1948</v>
      </c>
      <c r="R974" s="25">
        <v>1973</v>
      </c>
      <c r="S974" s="25">
        <v>1006</v>
      </c>
      <c r="T974" s="27"/>
      <c r="U974" s="25">
        <v>1006</v>
      </c>
      <c r="V974" s="25">
        <f>Inventory[[#This Row],[Bsmt]]-Inventory[[#This Row],[FnBsmt]]</f>
        <v>0</v>
      </c>
      <c r="W974" s="25">
        <v>1006</v>
      </c>
      <c r="X974" s="27"/>
      <c r="Y974" s="27">
        <f>Inventory[[#This Row],[MainFn]]+Inventory[[#This Row],[UpprFn]]+Inventory[[#This Row],[FnBsmt]]+Inventory[[#This Row],[AddFn]]</f>
        <v>2012</v>
      </c>
      <c r="Z974" s="27">
        <v>2500</v>
      </c>
      <c r="AA974" s="25">
        <v>8</v>
      </c>
      <c r="AB974" s="27"/>
      <c r="AC974" s="27"/>
      <c r="AD974" s="31"/>
      <c r="AE974" s="27"/>
      <c r="AF974" s="27"/>
      <c r="AG974" s="27"/>
      <c r="AH974" s="27"/>
      <c r="AI974" s="25">
        <v>297851</v>
      </c>
      <c r="AJ974" s="25">
        <v>211474</v>
      </c>
      <c r="AK974" s="25">
        <v>4877</v>
      </c>
      <c r="AL974" s="25">
        <v>350600</v>
      </c>
      <c r="AM974" s="25">
        <v>60100</v>
      </c>
      <c r="AN974" s="25">
        <v>290500</v>
      </c>
      <c r="AO974" s="25">
        <v>0</v>
      </c>
      <c r="AP974" s="25">
        <f>Lookups!$B$56*0</f>
        <v>0</v>
      </c>
      <c r="AQ974" s="25">
        <f>Lookups!$B$56*1</f>
        <v>89850.625589999996</v>
      </c>
      <c r="AR974" s="25">
        <f>Lookups!$B$57*Inventory[[#This Row],[LnAcres]]</f>
        <v>-49401.70477837498</v>
      </c>
      <c r="AS974" s="25">
        <f>VLOOKUP(Inventory[[#This Row],[Qlty]],Lookups!$A$62:$E$75,2,FALSE)</f>
        <v>29814.093161000001</v>
      </c>
      <c r="AT974" s="25">
        <f>VLOOKUP(Inventory[[#This Row],[Cnd]],Lookups!$A$76:$E$84,2,FALSE)</f>
        <v>197752.34721000001</v>
      </c>
      <c r="AU974" s="25">
        <f>Inventory[[#This Row],[EffAge]]*Lookups!$B$85</f>
        <v>-11375.3256255</v>
      </c>
      <c r="AV974" s="25">
        <f>Inventory[[#This Row],[MainFn]]*Lookups!$B$86</f>
        <v>49705.121896262004</v>
      </c>
      <c r="AW974" s="25">
        <f>Inventory[[#This Row],[UpprFn]]*Lookups!$B$87</f>
        <v>0</v>
      </c>
      <c r="AX974" s="25">
        <f>Inventory[[#This Row],[AddFn]]*Lookups!$B$88</f>
        <v>0</v>
      </c>
      <c r="AY974" s="25">
        <f>Inventory[[#This Row],[Bsmt]]*Lookups!$B$89</f>
        <v>29256.386618482</v>
      </c>
      <c r="AZ974" s="25">
        <f>Inventory[[#This Row],[Fixtures]]*Lookups!$B$90</f>
        <v>30336.176841600001</v>
      </c>
      <c r="BA974" s="25">
        <f>Inventory[[#This Row],[WdDeck]]*Lookups!$B$91</f>
        <v>0</v>
      </c>
      <c r="BB974" s="25">
        <f>ROUND(Inventory[[#This Row],[25Det]],-2)</f>
        <v>4900</v>
      </c>
      <c r="BC974" s="25">
        <f>ROUND(SUM(Inventory[[#This Row],[Mdl Qlty]:[Mdl WdDeck]])+Inventory[[#This Row],[Mdl Res Intercept]],-2)</f>
        <v>325500</v>
      </c>
      <c r="BD974" s="25">
        <f>ROUND(Inventory[[#This Row],[Mdl Land Intercept]]+Inventory[[#This Row],[Mdl LnAcres]],-2)</f>
        <v>40400</v>
      </c>
      <c r="BE974" s="25">
        <f>Inventory[[#This Row],[Unadj Res Value]]+Inventory[[#This Row],[Unadj Det Value]]+Inventory[[#This Row],[Unadj Land Value]]</f>
        <v>370800</v>
      </c>
      <c r="BF974" s="36">
        <f>(Inventory[[#This Row],[Unadj Total Value]]-Inventory[[#This Row],[24Final]])/Inventory[[#This Row],[24Final]]</f>
        <v>5.7615516257843696E-2</v>
      </c>
      <c r="BG974" s="25">
        <f>VLOOKUP(Inventory[[#This Row],[Nbhd]],Lookups!$Q$2:$T$4,4,FALSE)</f>
        <v>0.99970000000000003</v>
      </c>
      <c r="BH974" s="25">
        <f>VLOOKUP(Inventory[[#This Row],[Qlty]],Lookups!$O$7:$R$21,4,FALSE)</f>
        <v>1.0088999999999999</v>
      </c>
      <c r="BI974" s="25">
        <f>VLOOKUP(Inventory[[#This Row],[Cnd]],Lookups!$T$7:$W$16,4,FALSE)</f>
        <v>0.99650000000000005</v>
      </c>
      <c r="BJ974" s="25">
        <f>VLOOKUP(Inventory[[#This Row],[LivArea Range]],Lookups!$T$25:$W$37,4,FALSE)</f>
        <v>0.98919999999999997</v>
      </c>
      <c r="BK974" s="25">
        <f>VLOOKUP(Inventory[[#This Row],[Decade]],Lookups!$O$25:$R$42,4,FALSE)</f>
        <v>0.995</v>
      </c>
      <c r="BL974" s="25">
        <f>Inventory[[#This Row],[Nbhd Adj]]*0.95</f>
        <v>0.94971499999999998</v>
      </c>
      <c r="BM974" s="25">
        <f>Inventory[[#This Row],[Nbhd Adj]]*Inventory[[#This Row],[Quality Adj]]*Inventory[[#This Row],[Condition Adj]]*Inventory[[#This Row],[Living Area Adj]]*Inventory[[#This Row],[Decade Adj]]*0.95</f>
        <v>0.93977937806455991</v>
      </c>
      <c r="BN974" s="25">
        <f>ROUND(SUM(Inventory[[#This Row],[Mdl Qlty]:[Mdl WdDeck]])+Inventory[[#This Row],[Mdl Res Intercept]]*Inventory[[#This Row],[Res Adj ]],-2)</f>
        <v>325500</v>
      </c>
      <c r="BO974" s="25">
        <f>ROUND(Inventory[[#This Row],[25Det]]*Inventory[[#This Row],[Det/Nbhd Adj]],-2)</f>
        <v>4600</v>
      </c>
      <c r="BP974" s="25">
        <f>Inventory[[#This Row],[Adjusted Res]]+Inventory[[#This Row],[Adj Det ]]</f>
        <v>330100</v>
      </c>
      <c r="BQ974" s="25">
        <f>ROUND((Inventory[[#This Row],[Mdl Land Intercept]]+Inventory[[#This Row],[Mdl LnAcres]])*Inventory[[#This Row],[Det/Nbhd Adj]],-2)</f>
        <v>38400</v>
      </c>
      <c r="BR974" s="25">
        <f>Inventory[[#This Row],[Adjusted Impr Total]]+Inventory[[#This Row],[Adjusted Land Total]]</f>
        <v>368500</v>
      </c>
      <c r="BS974" s="36">
        <f>IFERROR((Inventory[[#This Row],[Adjusted Impr Total]]-Inventory[[#This Row],[24Bldg]])/Inventory[[#This Row],[24Bldg]],0)</f>
        <v>0.13631669535283994</v>
      </c>
      <c r="BT974" s="36">
        <f>(Inventory[[#This Row],[Adjusted Land Total]]-Inventory[[#This Row],[24Lnd]])/Inventory[[#This Row],[24Lnd]]</f>
        <v>-0.36106489184692181</v>
      </c>
      <c r="BU974" s="36">
        <f>(Inventory[[#This Row],[Adjusted Total]]-Inventory[[#This Row],[24Final]])/Inventory[[#This Row],[24Final]]</f>
        <v>5.1055333713633771E-2</v>
      </c>
    </row>
    <row r="975" spans="1:73" x14ac:dyDescent="0.3">
      <c r="A975" s="25">
        <v>2025</v>
      </c>
      <c r="B975" s="26" t="s">
        <v>951</v>
      </c>
      <c r="C975" s="26">
        <f>LN(Inventory[[#This Row],[Acres]])</f>
        <v>-1.6094379124341003</v>
      </c>
      <c r="D975" s="25">
        <v>0.2</v>
      </c>
      <c r="E975" s="32">
        <v>8519</v>
      </c>
      <c r="F975" s="26" t="s">
        <v>537</v>
      </c>
      <c r="G975" s="26" t="s">
        <v>126</v>
      </c>
      <c r="H975" s="26" t="s">
        <v>349</v>
      </c>
      <c r="I975" s="26" t="s">
        <v>538</v>
      </c>
      <c r="J975" s="26" t="s">
        <v>539</v>
      </c>
      <c r="K975" s="26" t="s">
        <v>269</v>
      </c>
      <c r="L975" s="26" t="s">
        <v>148</v>
      </c>
      <c r="M975" s="26" t="s">
        <v>323</v>
      </c>
      <c r="N975" s="26">
        <v>80</v>
      </c>
      <c r="O975" s="26">
        <f>2024-Inventory[[#This Row],[YrBlt]]</f>
        <v>76</v>
      </c>
      <c r="P975" s="26">
        <f>2024-Inventory[[#This Row],[EffYr]]</f>
        <v>51</v>
      </c>
      <c r="Q975" s="25">
        <v>1948</v>
      </c>
      <c r="R975" s="25">
        <v>1973</v>
      </c>
      <c r="S975" s="25">
        <v>1561</v>
      </c>
      <c r="T975" s="32">
        <v>663</v>
      </c>
      <c r="U975" s="25">
        <v>640</v>
      </c>
      <c r="V975" s="25">
        <f>Inventory[[#This Row],[Bsmt]]-Inventory[[#This Row],[FnBsmt]]</f>
        <v>480</v>
      </c>
      <c r="W975" s="25">
        <v>160</v>
      </c>
      <c r="X975" s="27"/>
      <c r="Y975" s="27">
        <f>Inventory[[#This Row],[MainFn]]+Inventory[[#This Row],[UpprFn]]+Inventory[[#This Row],[FnBsmt]]+Inventory[[#This Row],[AddFn]]</f>
        <v>2384</v>
      </c>
      <c r="Z975" s="27">
        <v>2500</v>
      </c>
      <c r="AA975" s="25">
        <v>10</v>
      </c>
      <c r="AB975" s="27"/>
      <c r="AC975" s="27"/>
      <c r="AD975" s="27"/>
      <c r="AE975" s="27"/>
      <c r="AF975" s="27"/>
      <c r="AG975" s="27"/>
      <c r="AH975" s="27"/>
      <c r="AI975" s="25">
        <v>517301</v>
      </c>
      <c r="AJ975" s="25">
        <v>356938</v>
      </c>
      <c r="AK975" s="25">
        <v>18452</v>
      </c>
      <c r="AL975" s="25">
        <v>391500</v>
      </c>
      <c r="AM975" s="25">
        <v>58400</v>
      </c>
      <c r="AN975" s="25">
        <v>333100</v>
      </c>
      <c r="AO975" s="25">
        <v>0</v>
      </c>
      <c r="AP975" s="25">
        <f>Lookups!$B$56*0</f>
        <v>0</v>
      </c>
      <c r="AQ975" s="25">
        <f>Lookups!$B$56*1</f>
        <v>89850.625589999996</v>
      </c>
      <c r="AR975" s="25">
        <f>Lookups!$B$57*Inventory[[#This Row],[LnAcres]]</f>
        <v>-50946.13867709865</v>
      </c>
      <c r="AS975" s="25">
        <f>VLOOKUP(Inventory[[#This Row],[Qlty]],Lookups!$A$62:$E$75,2,FALSE)</f>
        <v>44121.038090000002</v>
      </c>
      <c r="AT975" s="25">
        <f>VLOOKUP(Inventory[[#This Row],[Cnd]],Lookups!$A$76:$E$84,2,FALSE)</f>
        <v>160472.20319</v>
      </c>
      <c r="AU975" s="25">
        <f>Inventory[[#This Row],[EffAge]]*Lookups!$B$85</f>
        <v>-11375.3256255</v>
      </c>
      <c r="AV975" s="25">
        <f>Inventory[[#This Row],[MainFn]]*Lookups!$B$86</f>
        <v>77126.933677997004</v>
      </c>
      <c r="AW975" s="25">
        <f>Inventory[[#This Row],[UpprFn]]*Lookups!$B$87</f>
        <v>29693.398356842998</v>
      </c>
      <c r="AX975" s="25">
        <f>Inventory[[#This Row],[AddFn]]*Lookups!$B$88</f>
        <v>0</v>
      </c>
      <c r="AY975" s="25">
        <f>Inventory[[#This Row],[Bsmt]]*Lookups!$B$89</f>
        <v>18612.41295808</v>
      </c>
      <c r="AZ975" s="25">
        <f>Inventory[[#This Row],[Fixtures]]*Lookups!$B$90</f>
        <v>37920.221052000001</v>
      </c>
      <c r="BA975" s="25">
        <f>Inventory[[#This Row],[WdDeck]]*Lookups!$B$91</f>
        <v>0</v>
      </c>
      <c r="BB975" s="25">
        <f>ROUND(Inventory[[#This Row],[25Det]],-2)</f>
        <v>18500</v>
      </c>
      <c r="BC975" s="25">
        <f>ROUND(SUM(Inventory[[#This Row],[Mdl Qlty]:[Mdl WdDeck]])+Inventory[[#This Row],[Mdl Res Intercept]],-2)</f>
        <v>356600</v>
      </c>
      <c r="BD975" s="25">
        <f>ROUND(Inventory[[#This Row],[Mdl Land Intercept]]+Inventory[[#This Row],[Mdl LnAcres]],-2)</f>
        <v>38900</v>
      </c>
      <c r="BE975" s="25">
        <f>Inventory[[#This Row],[Unadj Res Value]]+Inventory[[#This Row],[Unadj Det Value]]+Inventory[[#This Row],[Unadj Land Value]]</f>
        <v>414000</v>
      </c>
      <c r="BF975" s="36">
        <f>(Inventory[[#This Row],[Unadj Total Value]]-Inventory[[#This Row],[24Final]])/Inventory[[#This Row],[24Final]]</f>
        <v>5.7471264367816091E-2</v>
      </c>
      <c r="BG975" s="25">
        <f>VLOOKUP(Inventory[[#This Row],[Nbhd]],Lookups!$Q$2:$T$4,4,FALSE)</f>
        <v>0.99970000000000003</v>
      </c>
      <c r="BH975" s="25">
        <f>VLOOKUP(Inventory[[#This Row],[Qlty]],Lookups!$O$7:$R$21,4,FALSE)</f>
        <v>0.98050000000000004</v>
      </c>
      <c r="BI975" s="25">
        <f>VLOOKUP(Inventory[[#This Row],[Cnd]],Lookups!$T$7:$W$16,4,FALSE)</f>
        <v>0.99729999999999996</v>
      </c>
      <c r="BJ975" s="25">
        <f>VLOOKUP(Inventory[[#This Row],[LivArea Range]],Lookups!$T$25:$W$37,4,FALSE)</f>
        <v>0.98919999999999997</v>
      </c>
      <c r="BK975" s="25">
        <f>VLOOKUP(Inventory[[#This Row],[Decade]],Lookups!$O$25:$R$42,4,FALSE)</f>
        <v>0.995</v>
      </c>
      <c r="BL975" s="25">
        <f>Inventory[[#This Row],[Nbhd Adj]]*0.95</f>
        <v>0.94971499999999998</v>
      </c>
      <c r="BM975" s="25">
        <f>Inventory[[#This Row],[Nbhd Adj]]*Inventory[[#This Row],[Quality Adj]]*Inventory[[#This Row],[Condition Adj]]*Inventory[[#This Row],[Living Area Adj]]*Inventory[[#This Row],[Decade Adj]]*0.95</f>
        <v>0.91405831328052556</v>
      </c>
      <c r="BN975" s="25">
        <f>ROUND(SUM(Inventory[[#This Row],[Mdl Qlty]:[Mdl WdDeck]])+Inventory[[#This Row],[Mdl Res Intercept]]*Inventory[[#This Row],[Res Adj ]],-2)</f>
        <v>356600</v>
      </c>
      <c r="BO975" s="25">
        <f>ROUND(Inventory[[#This Row],[25Det]]*Inventory[[#This Row],[Det/Nbhd Adj]],-2)</f>
        <v>17500</v>
      </c>
      <c r="BP975" s="25">
        <f>Inventory[[#This Row],[Adjusted Res]]+Inventory[[#This Row],[Adj Det ]]</f>
        <v>374100</v>
      </c>
      <c r="BQ975" s="25">
        <f>ROUND((Inventory[[#This Row],[Mdl Land Intercept]]+Inventory[[#This Row],[Mdl LnAcres]])*Inventory[[#This Row],[Det/Nbhd Adj]],-2)</f>
        <v>36900</v>
      </c>
      <c r="BR975" s="25">
        <f>Inventory[[#This Row],[Adjusted Impr Total]]+Inventory[[#This Row],[Adjusted Land Total]]</f>
        <v>411000</v>
      </c>
      <c r="BS975" s="36">
        <f>IFERROR((Inventory[[#This Row],[Adjusted Impr Total]]-Inventory[[#This Row],[24Bldg]])/Inventory[[#This Row],[24Bldg]],0)</f>
        <v>0.12308616031221856</v>
      </c>
      <c r="BT975" s="36">
        <f>(Inventory[[#This Row],[Adjusted Land Total]]-Inventory[[#This Row],[24Lnd]])/Inventory[[#This Row],[24Lnd]]</f>
        <v>-0.36815068493150682</v>
      </c>
      <c r="BU975" s="36">
        <f>(Inventory[[#This Row],[Adjusted Total]]-Inventory[[#This Row],[24Final]])/Inventory[[#This Row],[24Final]]</f>
        <v>4.9808429118773943E-2</v>
      </c>
    </row>
    <row r="976" spans="1:73" x14ac:dyDescent="0.3">
      <c r="A976" s="25">
        <v>2025</v>
      </c>
      <c r="B976" s="26" t="s">
        <v>1598</v>
      </c>
      <c r="C976" s="26">
        <f>LN(Inventory[[#This Row],[Acres]])</f>
        <v>-1.6607312068216509</v>
      </c>
      <c r="D976" s="25">
        <v>0.19</v>
      </c>
      <c r="E976" s="27"/>
      <c r="F976" s="26" t="s">
        <v>537</v>
      </c>
      <c r="G976" s="26" t="s">
        <v>126</v>
      </c>
      <c r="H976" s="26" t="s">
        <v>349</v>
      </c>
      <c r="I976" s="26" t="s">
        <v>538</v>
      </c>
      <c r="J976" s="26" t="s">
        <v>539</v>
      </c>
      <c r="K976" s="26" t="s">
        <v>241</v>
      </c>
      <c r="L976" s="26" t="s">
        <v>351</v>
      </c>
      <c r="M976" s="26" t="s">
        <v>303</v>
      </c>
      <c r="N976" s="26">
        <v>80</v>
      </c>
      <c r="O976" s="26">
        <f>2024-Inventory[[#This Row],[YrBlt]]</f>
        <v>76</v>
      </c>
      <c r="P976" s="26">
        <f>2024-Inventory[[#This Row],[EffYr]]</f>
        <v>51</v>
      </c>
      <c r="Q976" s="25">
        <v>1948</v>
      </c>
      <c r="R976" s="25">
        <v>1973</v>
      </c>
      <c r="S976" s="25">
        <v>1156</v>
      </c>
      <c r="T976" s="27"/>
      <c r="U976" s="25">
        <v>969</v>
      </c>
      <c r="V976" s="25">
        <f>Inventory[[#This Row],[Bsmt]]-Inventory[[#This Row],[FnBsmt]]</f>
        <v>9</v>
      </c>
      <c r="W976" s="25">
        <v>960</v>
      </c>
      <c r="X976" s="27"/>
      <c r="Y976" s="27">
        <f>Inventory[[#This Row],[MainFn]]+Inventory[[#This Row],[UpprFn]]+Inventory[[#This Row],[FnBsmt]]+Inventory[[#This Row],[AddFn]]</f>
        <v>2116</v>
      </c>
      <c r="Z976" s="27">
        <v>2500</v>
      </c>
      <c r="AA976" s="25">
        <v>5</v>
      </c>
      <c r="AB976" s="27"/>
      <c r="AC976" s="27"/>
      <c r="AD976" s="27"/>
      <c r="AE976" s="27"/>
      <c r="AF976" s="27"/>
      <c r="AG976" s="27"/>
      <c r="AH976" s="27"/>
      <c r="AI976" s="25">
        <v>272462</v>
      </c>
      <c r="AJ976" s="25">
        <v>193448</v>
      </c>
      <c r="AK976" s="25">
        <v>9040</v>
      </c>
      <c r="AL976" s="25">
        <v>339300</v>
      </c>
      <c r="AM976" s="25">
        <v>56600</v>
      </c>
      <c r="AN976" s="25">
        <v>282700</v>
      </c>
      <c r="AO976" s="25">
        <v>0</v>
      </c>
      <c r="AP976" s="25">
        <f>Lookups!$B$56*0</f>
        <v>0</v>
      </c>
      <c r="AQ976" s="25">
        <f>Lookups!$B$56*1</f>
        <v>89850.625589999996</v>
      </c>
      <c r="AR976" s="25">
        <f>Lookups!$B$57*Inventory[[#This Row],[LnAcres]]</f>
        <v>-52569.808201026557</v>
      </c>
      <c r="AS976" s="25">
        <f>VLOOKUP(Inventory[[#This Row],[Qlty]],Lookups!$A$62:$E$75,2,FALSE)</f>
        <v>21557.329055999999</v>
      </c>
      <c r="AT976" s="25">
        <f>VLOOKUP(Inventory[[#This Row],[Cnd]],Lookups!$A$76:$E$84,2,FALSE)</f>
        <v>197752.34721000001</v>
      </c>
      <c r="AU976" s="25">
        <f>Inventory[[#This Row],[EffAge]]*Lookups!$B$85</f>
        <v>-11375.3256255</v>
      </c>
      <c r="AV976" s="25">
        <f>Inventory[[#This Row],[MainFn]]*Lookups!$B$86</f>
        <v>57116.422377811999</v>
      </c>
      <c r="AW976" s="25">
        <f>Inventory[[#This Row],[UpprFn]]*Lookups!$B$87</f>
        <v>0</v>
      </c>
      <c r="AX976" s="25">
        <f>Inventory[[#This Row],[AddFn]]*Lookups!$B$88</f>
        <v>0</v>
      </c>
      <c r="AY976" s="25">
        <f>Inventory[[#This Row],[Bsmt]]*Lookups!$B$89</f>
        <v>28180.356494342999</v>
      </c>
      <c r="AZ976" s="25">
        <f>Inventory[[#This Row],[Fixtures]]*Lookups!$B$90</f>
        <v>18960.110526</v>
      </c>
      <c r="BA976" s="25">
        <f>Inventory[[#This Row],[WdDeck]]*Lookups!$B$91</f>
        <v>0</v>
      </c>
      <c r="BB976" s="25">
        <f>ROUND(Inventory[[#This Row],[25Det]],-2)</f>
        <v>9000</v>
      </c>
      <c r="BC976" s="25">
        <f>ROUND(SUM(Inventory[[#This Row],[Mdl Qlty]:[Mdl WdDeck]])+Inventory[[#This Row],[Mdl Res Intercept]],-2)</f>
        <v>312200</v>
      </c>
      <c r="BD976" s="25">
        <f>ROUND(Inventory[[#This Row],[Mdl Land Intercept]]+Inventory[[#This Row],[Mdl LnAcres]],-2)</f>
        <v>37300</v>
      </c>
      <c r="BE976" s="25">
        <f>Inventory[[#This Row],[Unadj Res Value]]+Inventory[[#This Row],[Unadj Det Value]]+Inventory[[#This Row],[Unadj Land Value]]</f>
        <v>358500</v>
      </c>
      <c r="BF976" s="36">
        <f>(Inventory[[#This Row],[Unadj Total Value]]-Inventory[[#This Row],[24Final]])/Inventory[[#This Row],[24Final]]</f>
        <v>5.6587091069849688E-2</v>
      </c>
      <c r="BG976" s="25">
        <f>VLOOKUP(Inventory[[#This Row],[Nbhd]],Lookups!$Q$2:$T$4,4,FALSE)</f>
        <v>0.99970000000000003</v>
      </c>
      <c r="BH976" s="25">
        <f>VLOOKUP(Inventory[[#This Row],[Qlty]],Lookups!$O$7:$R$21,4,FALSE)</f>
        <v>1.0067999999999999</v>
      </c>
      <c r="BI976" s="25">
        <f>VLOOKUP(Inventory[[#This Row],[Cnd]],Lookups!$T$7:$W$16,4,FALSE)</f>
        <v>0.99650000000000005</v>
      </c>
      <c r="BJ976" s="25">
        <f>VLOOKUP(Inventory[[#This Row],[LivArea Range]],Lookups!$T$25:$W$37,4,FALSE)</f>
        <v>0.98919999999999997</v>
      </c>
      <c r="BK976" s="25">
        <f>VLOOKUP(Inventory[[#This Row],[Decade]],Lookups!$O$25:$R$42,4,FALSE)</f>
        <v>0.995</v>
      </c>
      <c r="BL976" s="25">
        <f>Inventory[[#This Row],[Nbhd Adj]]*0.95</f>
        <v>0.94971499999999998</v>
      </c>
      <c r="BM976" s="25">
        <f>Inventory[[#This Row],[Nbhd Adj]]*Inventory[[#This Row],[Quality Adj]]*Inventory[[#This Row],[Condition Adj]]*Inventory[[#This Row],[Living Area Adj]]*Inventory[[#This Row],[Decade Adj]]*0.95</f>
        <v>0.93782325090236773</v>
      </c>
      <c r="BN976" s="25">
        <f>ROUND(SUM(Inventory[[#This Row],[Mdl Qlty]:[Mdl WdDeck]])+Inventory[[#This Row],[Mdl Res Intercept]]*Inventory[[#This Row],[Res Adj ]],-2)</f>
        <v>312200</v>
      </c>
      <c r="BO976" s="25">
        <f>ROUND(Inventory[[#This Row],[25Det]]*Inventory[[#This Row],[Det/Nbhd Adj]],-2)</f>
        <v>8600</v>
      </c>
      <c r="BP976" s="25">
        <f>Inventory[[#This Row],[Adjusted Res]]+Inventory[[#This Row],[Adj Det ]]</f>
        <v>320800</v>
      </c>
      <c r="BQ976" s="25">
        <f>ROUND((Inventory[[#This Row],[Mdl Land Intercept]]+Inventory[[#This Row],[Mdl LnAcres]])*Inventory[[#This Row],[Det/Nbhd Adj]],-2)</f>
        <v>35400</v>
      </c>
      <c r="BR976" s="25">
        <f>Inventory[[#This Row],[Adjusted Impr Total]]+Inventory[[#This Row],[Adjusted Land Total]]</f>
        <v>356200</v>
      </c>
      <c r="BS976" s="36">
        <f>IFERROR((Inventory[[#This Row],[Adjusted Impr Total]]-Inventory[[#This Row],[24Bldg]])/Inventory[[#This Row],[24Bldg]],0)</f>
        <v>0.13477184294304917</v>
      </c>
      <c r="BT976" s="36">
        <f>(Inventory[[#This Row],[Adjusted Land Total]]-Inventory[[#This Row],[24Lnd]])/Inventory[[#This Row],[24Lnd]]</f>
        <v>-0.37455830388692579</v>
      </c>
      <c r="BU976" s="36">
        <f>(Inventory[[#This Row],[Adjusted Total]]-Inventory[[#This Row],[24Final]])/Inventory[[#This Row],[24Final]]</f>
        <v>4.9808429118773943E-2</v>
      </c>
    </row>
    <row r="977" spans="1:73" x14ac:dyDescent="0.3">
      <c r="A977" s="25">
        <v>2025</v>
      </c>
      <c r="B977" s="26" t="s">
        <v>944</v>
      </c>
      <c r="C977" s="26">
        <f>LN(Inventory[[#This Row],[Acres]])</f>
        <v>-1.5606477482646683</v>
      </c>
      <c r="D977" s="25">
        <v>0.21</v>
      </c>
      <c r="E977" s="25">
        <v>9132</v>
      </c>
      <c r="F977" s="26" t="s">
        <v>537</v>
      </c>
      <c r="G977" s="26" t="s">
        <v>126</v>
      </c>
      <c r="H977" s="26" t="s">
        <v>349</v>
      </c>
      <c r="I977" s="26" t="s">
        <v>538</v>
      </c>
      <c r="J977" s="26" t="s">
        <v>539</v>
      </c>
      <c r="K977" s="26" t="s">
        <v>173</v>
      </c>
      <c r="L977" s="26" t="s">
        <v>148</v>
      </c>
      <c r="M977" s="26" t="s">
        <v>323</v>
      </c>
      <c r="N977" s="26">
        <v>80</v>
      </c>
      <c r="O977" s="26">
        <f>2024-Inventory[[#This Row],[YrBlt]]</f>
        <v>76</v>
      </c>
      <c r="P977" s="26">
        <f>2024-Inventory[[#This Row],[EffYr]]</f>
        <v>51</v>
      </c>
      <c r="Q977" s="25">
        <v>1948</v>
      </c>
      <c r="R977" s="25">
        <v>1973</v>
      </c>
      <c r="S977" s="25">
        <v>1482</v>
      </c>
      <c r="T977" s="32">
        <v>784</v>
      </c>
      <c r="U977" s="25">
        <v>1589</v>
      </c>
      <c r="V977" s="25">
        <f>Inventory[[#This Row],[Bsmt]]-Inventory[[#This Row],[FnBsmt]]</f>
        <v>1351</v>
      </c>
      <c r="W977" s="25">
        <v>238</v>
      </c>
      <c r="X977" s="27"/>
      <c r="Y977" s="27">
        <f>Inventory[[#This Row],[MainFn]]+Inventory[[#This Row],[UpprFn]]+Inventory[[#This Row],[FnBsmt]]+Inventory[[#This Row],[AddFn]]</f>
        <v>2504</v>
      </c>
      <c r="Z977" s="27">
        <v>3000</v>
      </c>
      <c r="AA977" s="25">
        <v>8</v>
      </c>
      <c r="AB977" s="32">
        <v>400</v>
      </c>
      <c r="AC977" s="27"/>
      <c r="AD977" s="27"/>
      <c r="AE977" s="27"/>
      <c r="AF977" s="27"/>
      <c r="AG977" s="27"/>
      <c r="AH977" s="27"/>
      <c r="AI977" s="25">
        <v>526801</v>
      </c>
      <c r="AJ977" s="25">
        <v>363493</v>
      </c>
      <c r="AK977" s="25">
        <v>0</v>
      </c>
      <c r="AL977" s="25">
        <v>397000</v>
      </c>
      <c r="AM977" s="25">
        <v>60100</v>
      </c>
      <c r="AN977" s="25">
        <v>336900</v>
      </c>
      <c r="AO977" s="25">
        <v>0</v>
      </c>
      <c r="AP977" s="25">
        <f>Lookups!$B$56*0</f>
        <v>0</v>
      </c>
      <c r="AQ977" s="25">
        <f>Lookups!$B$56*1</f>
        <v>89850.625589999996</v>
      </c>
      <c r="AR977" s="25">
        <f>Lookups!$B$57*Inventory[[#This Row],[LnAcres]]</f>
        <v>-49401.70477837498</v>
      </c>
      <c r="AS977" s="25">
        <f>VLOOKUP(Inventory[[#This Row],[Qlty]],Lookups!$A$62:$E$75,2,FALSE)</f>
        <v>44121.038090000002</v>
      </c>
      <c r="AT977" s="25">
        <f>VLOOKUP(Inventory[[#This Row],[Cnd]],Lookups!$A$76:$E$84,2,FALSE)</f>
        <v>160472.20319</v>
      </c>
      <c r="AU977" s="25">
        <f>Inventory[[#This Row],[EffAge]]*Lookups!$B$85</f>
        <v>-11375.3256255</v>
      </c>
      <c r="AV977" s="25">
        <f>Inventory[[#This Row],[MainFn]]*Lookups!$B$86</f>
        <v>73223.648757714007</v>
      </c>
      <c r="AW977" s="25">
        <f>Inventory[[#This Row],[UpprFn]]*Lookups!$B$87</f>
        <v>35112.555523023999</v>
      </c>
      <c r="AX977" s="25">
        <f>Inventory[[#This Row],[AddFn]]*Lookups!$B$88</f>
        <v>0</v>
      </c>
      <c r="AY977" s="25">
        <f>Inventory[[#This Row],[Bsmt]]*Lookups!$B$89</f>
        <v>46211.131547482997</v>
      </c>
      <c r="AZ977" s="25">
        <f>Inventory[[#This Row],[Fixtures]]*Lookups!$B$90</f>
        <v>30336.176841600001</v>
      </c>
      <c r="BA977" s="25">
        <f>Inventory[[#This Row],[WdDeck]]*Lookups!$B$91</f>
        <v>0</v>
      </c>
      <c r="BB977" s="25">
        <f>ROUND(Inventory[[#This Row],[25Det]],-2)</f>
        <v>0</v>
      </c>
      <c r="BC977" s="25">
        <f>ROUND(SUM(Inventory[[#This Row],[Mdl Qlty]:[Mdl WdDeck]])+Inventory[[#This Row],[Mdl Res Intercept]],-2)</f>
        <v>378100</v>
      </c>
      <c r="BD977" s="25">
        <f>ROUND(Inventory[[#This Row],[Mdl Land Intercept]]+Inventory[[#This Row],[Mdl LnAcres]],-2)</f>
        <v>40400</v>
      </c>
      <c r="BE977" s="25">
        <f>Inventory[[#This Row],[Unadj Res Value]]+Inventory[[#This Row],[Unadj Det Value]]+Inventory[[#This Row],[Unadj Land Value]]</f>
        <v>418500</v>
      </c>
      <c r="BF977" s="36">
        <f>(Inventory[[#This Row],[Unadj Total Value]]-Inventory[[#This Row],[24Final]])/Inventory[[#This Row],[24Final]]</f>
        <v>5.4156171284634763E-2</v>
      </c>
      <c r="BG977" s="25">
        <f>VLOOKUP(Inventory[[#This Row],[Nbhd]],Lookups!$Q$2:$T$4,4,FALSE)</f>
        <v>0.99970000000000003</v>
      </c>
      <c r="BH977" s="25">
        <f>VLOOKUP(Inventory[[#This Row],[Qlty]],Lookups!$O$7:$R$21,4,FALSE)</f>
        <v>0.98050000000000004</v>
      </c>
      <c r="BI977" s="25">
        <f>VLOOKUP(Inventory[[#This Row],[Cnd]],Lookups!$T$7:$W$16,4,FALSE)</f>
        <v>0.99729999999999996</v>
      </c>
      <c r="BJ977" s="25">
        <f>VLOOKUP(Inventory[[#This Row],[LivArea Range]],Lookups!$T$25:$W$37,4,FALSE)</f>
        <v>0.96179999999999999</v>
      </c>
      <c r="BK977" s="25">
        <f>VLOOKUP(Inventory[[#This Row],[Decade]],Lookups!$O$25:$R$42,4,FALSE)</f>
        <v>0.995</v>
      </c>
      <c r="BL977" s="25">
        <f>Inventory[[#This Row],[Nbhd Adj]]*0.95</f>
        <v>0.94971499999999998</v>
      </c>
      <c r="BM977" s="25">
        <f>Inventory[[#This Row],[Nbhd Adj]]*Inventory[[#This Row],[Quality Adj]]*Inventory[[#This Row],[Condition Adj]]*Inventory[[#This Row],[Living Area Adj]]*Inventory[[#This Row],[Decade Adj]]*0.95</f>
        <v>0.88873967419451028</v>
      </c>
      <c r="BN977" s="25">
        <f>ROUND(SUM(Inventory[[#This Row],[Mdl Qlty]:[Mdl WdDeck]])+Inventory[[#This Row],[Mdl Res Intercept]]*Inventory[[#This Row],[Res Adj ]],-2)</f>
        <v>378100</v>
      </c>
      <c r="BO977" s="25">
        <f>ROUND(Inventory[[#This Row],[25Det]]*Inventory[[#This Row],[Det/Nbhd Adj]],-2)</f>
        <v>0</v>
      </c>
      <c r="BP977" s="25">
        <f>Inventory[[#This Row],[Adjusted Res]]+Inventory[[#This Row],[Adj Det ]]</f>
        <v>378100</v>
      </c>
      <c r="BQ977" s="25">
        <f>ROUND((Inventory[[#This Row],[Mdl Land Intercept]]+Inventory[[#This Row],[Mdl LnAcres]])*Inventory[[#This Row],[Det/Nbhd Adj]],-2)</f>
        <v>38400</v>
      </c>
      <c r="BR977" s="25">
        <f>Inventory[[#This Row],[Adjusted Impr Total]]+Inventory[[#This Row],[Adjusted Land Total]]</f>
        <v>416500</v>
      </c>
      <c r="BS977" s="36">
        <f>IFERROR((Inventory[[#This Row],[Adjusted Impr Total]]-Inventory[[#This Row],[24Bldg]])/Inventory[[#This Row],[24Bldg]],0)</f>
        <v>0.12229148115167705</v>
      </c>
      <c r="BT977" s="36">
        <f>(Inventory[[#This Row],[Adjusted Land Total]]-Inventory[[#This Row],[24Lnd]])/Inventory[[#This Row],[24Lnd]]</f>
        <v>-0.36106489184692181</v>
      </c>
      <c r="BU977" s="36">
        <f>(Inventory[[#This Row],[Adjusted Total]]-Inventory[[#This Row],[24Final]])/Inventory[[#This Row],[24Final]]</f>
        <v>4.9118387909319897E-2</v>
      </c>
    </row>
    <row r="978" spans="1:73" x14ac:dyDescent="0.3">
      <c r="A978" s="25">
        <v>2025</v>
      </c>
      <c r="B978" s="26" t="s">
        <v>2458</v>
      </c>
      <c r="C978" s="26">
        <f>LN(Inventory[[#This Row],[Acres]])</f>
        <v>-1.5606477482646683</v>
      </c>
      <c r="D978" s="25">
        <v>0.21</v>
      </c>
      <c r="E978" s="31"/>
      <c r="F978" s="26" t="s">
        <v>537</v>
      </c>
      <c r="G978" s="26" t="s">
        <v>126</v>
      </c>
      <c r="H978" s="26" t="s">
        <v>349</v>
      </c>
      <c r="I978" s="26" t="s">
        <v>538</v>
      </c>
      <c r="J978" s="26" t="s">
        <v>539</v>
      </c>
      <c r="K978" s="26" t="s">
        <v>241</v>
      </c>
      <c r="L978" s="26" t="s">
        <v>302</v>
      </c>
      <c r="M978" s="26" t="s">
        <v>303</v>
      </c>
      <c r="N978" s="26">
        <v>80</v>
      </c>
      <c r="O978" s="26">
        <f>2024-Inventory[[#This Row],[YrBlt]]</f>
        <v>76</v>
      </c>
      <c r="P978" s="26">
        <f>2024-Inventory[[#This Row],[EffYr]]</f>
        <v>51</v>
      </c>
      <c r="Q978" s="25">
        <v>1948</v>
      </c>
      <c r="R978" s="25">
        <v>1973</v>
      </c>
      <c r="S978" s="25">
        <v>1441</v>
      </c>
      <c r="T978" s="31"/>
      <c r="U978" s="25">
        <v>1441</v>
      </c>
      <c r="V978" s="32">
        <f>Inventory[[#This Row],[Bsmt]]-Inventory[[#This Row],[FnBsmt]]</f>
        <v>441</v>
      </c>
      <c r="W978" s="32">
        <v>1000</v>
      </c>
      <c r="X978" s="27"/>
      <c r="Y978" s="27">
        <f>Inventory[[#This Row],[MainFn]]+Inventory[[#This Row],[UpprFn]]+Inventory[[#This Row],[FnBsmt]]+Inventory[[#This Row],[AddFn]]</f>
        <v>2441</v>
      </c>
      <c r="Z978" s="27">
        <v>2500</v>
      </c>
      <c r="AA978" s="25">
        <v>8</v>
      </c>
      <c r="AB978" s="27"/>
      <c r="AC978" s="27"/>
      <c r="AD978" s="27"/>
      <c r="AE978" s="27"/>
      <c r="AF978" s="27"/>
      <c r="AG978" s="27"/>
      <c r="AH978" s="27"/>
      <c r="AI978" s="25">
        <v>390088</v>
      </c>
      <c r="AJ978" s="25">
        <v>276962</v>
      </c>
      <c r="AK978" s="25">
        <v>9718</v>
      </c>
      <c r="AL978" s="25">
        <v>388200</v>
      </c>
      <c r="AM978" s="25">
        <v>60100</v>
      </c>
      <c r="AN978" s="25">
        <v>328100</v>
      </c>
      <c r="AO978" s="25">
        <v>0</v>
      </c>
      <c r="AP978" s="25">
        <f>Lookups!$B$56*0</f>
        <v>0</v>
      </c>
      <c r="AQ978" s="25">
        <f>Lookups!$B$56*1</f>
        <v>89850.625589999996</v>
      </c>
      <c r="AR978" s="25">
        <f>Lookups!$B$57*Inventory[[#This Row],[LnAcres]]</f>
        <v>-49401.70477837498</v>
      </c>
      <c r="AS978" s="25">
        <f>VLOOKUP(Inventory[[#This Row],[Qlty]],Lookups!$A$62:$E$75,2,FALSE)</f>
        <v>29814.093161000001</v>
      </c>
      <c r="AT978" s="25">
        <f>VLOOKUP(Inventory[[#This Row],[Cnd]],Lookups!$A$76:$E$84,2,FALSE)</f>
        <v>197752.34721000001</v>
      </c>
      <c r="AU978" s="25">
        <f>Inventory[[#This Row],[EffAge]]*Lookups!$B$85</f>
        <v>-11375.3256255</v>
      </c>
      <c r="AV978" s="25">
        <f>Inventory[[#This Row],[MainFn]]*Lookups!$B$86</f>
        <v>71197.893292756999</v>
      </c>
      <c r="AW978" s="25">
        <f>Inventory[[#This Row],[UpprFn]]*Lookups!$B$87</f>
        <v>0</v>
      </c>
      <c r="AX978" s="25">
        <f>Inventory[[#This Row],[AddFn]]*Lookups!$B$88</f>
        <v>0</v>
      </c>
      <c r="AY978" s="25">
        <f>Inventory[[#This Row],[Bsmt]]*Lookups!$B$89</f>
        <v>41907.011050926994</v>
      </c>
      <c r="AZ978" s="25">
        <f>Inventory[[#This Row],[Fixtures]]*Lookups!$B$90</f>
        <v>30336.176841600001</v>
      </c>
      <c r="BA978" s="25">
        <f>Inventory[[#This Row],[WdDeck]]*Lookups!$B$91</f>
        <v>0</v>
      </c>
      <c r="BB978" s="25">
        <f>ROUND(Inventory[[#This Row],[25Det]],-2)</f>
        <v>9700</v>
      </c>
      <c r="BC978" s="25">
        <f>ROUND(SUM(Inventory[[#This Row],[Mdl Qlty]:[Mdl WdDeck]])+Inventory[[#This Row],[Mdl Res Intercept]],-2)</f>
        <v>359600</v>
      </c>
      <c r="BD978" s="25">
        <f>ROUND(Inventory[[#This Row],[Mdl Land Intercept]]+Inventory[[#This Row],[Mdl LnAcres]],-2)</f>
        <v>40400</v>
      </c>
      <c r="BE978" s="25">
        <f>Inventory[[#This Row],[Unadj Res Value]]+Inventory[[#This Row],[Unadj Det Value]]+Inventory[[#This Row],[Unadj Land Value]]</f>
        <v>409700</v>
      </c>
      <c r="BF978" s="36">
        <f>(Inventory[[#This Row],[Unadj Total Value]]-Inventory[[#This Row],[24Final]])/Inventory[[#This Row],[24Final]]</f>
        <v>5.5383822771767129E-2</v>
      </c>
      <c r="BG978" s="25">
        <f>VLOOKUP(Inventory[[#This Row],[Nbhd]],Lookups!$Q$2:$T$4,4,FALSE)</f>
        <v>0.99970000000000003</v>
      </c>
      <c r="BH978" s="25">
        <f>VLOOKUP(Inventory[[#This Row],[Qlty]],Lookups!$O$7:$R$21,4,FALSE)</f>
        <v>1.0088999999999999</v>
      </c>
      <c r="BI978" s="25">
        <f>VLOOKUP(Inventory[[#This Row],[Cnd]],Lookups!$T$7:$W$16,4,FALSE)</f>
        <v>0.99650000000000005</v>
      </c>
      <c r="BJ978" s="25">
        <f>VLOOKUP(Inventory[[#This Row],[LivArea Range]],Lookups!$T$25:$W$37,4,FALSE)</f>
        <v>0.98919999999999997</v>
      </c>
      <c r="BK978" s="25">
        <f>VLOOKUP(Inventory[[#This Row],[Decade]],Lookups!$O$25:$R$42,4,FALSE)</f>
        <v>0.995</v>
      </c>
      <c r="BL978" s="25">
        <f>Inventory[[#This Row],[Nbhd Adj]]*0.95</f>
        <v>0.94971499999999998</v>
      </c>
      <c r="BM978" s="25">
        <f>Inventory[[#This Row],[Nbhd Adj]]*Inventory[[#This Row],[Quality Adj]]*Inventory[[#This Row],[Condition Adj]]*Inventory[[#This Row],[Living Area Adj]]*Inventory[[#This Row],[Decade Adj]]*0.95</f>
        <v>0.93977937806455991</v>
      </c>
      <c r="BN978" s="25">
        <f>ROUND(SUM(Inventory[[#This Row],[Mdl Qlty]:[Mdl WdDeck]])+Inventory[[#This Row],[Mdl Res Intercept]]*Inventory[[#This Row],[Res Adj ]],-2)</f>
        <v>359600</v>
      </c>
      <c r="BO978" s="25">
        <f>ROUND(Inventory[[#This Row],[25Det]]*Inventory[[#This Row],[Det/Nbhd Adj]],-2)</f>
        <v>9200</v>
      </c>
      <c r="BP978" s="25">
        <f>Inventory[[#This Row],[Adjusted Res]]+Inventory[[#This Row],[Adj Det ]]</f>
        <v>368800</v>
      </c>
      <c r="BQ978" s="25">
        <f>ROUND((Inventory[[#This Row],[Mdl Land Intercept]]+Inventory[[#This Row],[Mdl LnAcres]])*Inventory[[#This Row],[Det/Nbhd Adj]],-2)</f>
        <v>38400</v>
      </c>
      <c r="BR978" s="25">
        <f>Inventory[[#This Row],[Adjusted Impr Total]]+Inventory[[#This Row],[Adjusted Land Total]]</f>
        <v>407200</v>
      </c>
      <c r="BS978" s="36">
        <f>IFERROR((Inventory[[#This Row],[Adjusted Impr Total]]-Inventory[[#This Row],[24Bldg]])/Inventory[[#This Row],[24Bldg]],0)</f>
        <v>0.12404754647973179</v>
      </c>
      <c r="BT978" s="36">
        <f>(Inventory[[#This Row],[Adjusted Land Total]]-Inventory[[#This Row],[24Lnd]])/Inventory[[#This Row],[24Lnd]]</f>
        <v>-0.36106489184692181</v>
      </c>
      <c r="BU978" s="36">
        <f>(Inventory[[#This Row],[Adjusted Total]]-Inventory[[#This Row],[24Final]])/Inventory[[#This Row],[24Final]]</f>
        <v>4.8943843379701188E-2</v>
      </c>
    </row>
    <row r="979" spans="1:73" x14ac:dyDescent="0.3">
      <c r="A979" s="25">
        <v>2025</v>
      </c>
      <c r="B979" s="26" t="s">
        <v>1062</v>
      </c>
      <c r="C979" s="26">
        <f>LN(Inventory[[#This Row],[Acres]])</f>
        <v>-1.7719568419318752</v>
      </c>
      <c r="D979" s="25">
        <v>0.17</v>
      </c>
      <c r="E979" s="31"/>
      <c r="F979" s="26" t="s">
        <v>537</v>
      </c>
      <c r="G979" s="26" t="s">
        <v>126</v>
      </c>
      <c r="H979" s="26" t="s">
        <v>349</v>
      </c>
      <c r="I979" s="26" t="s">
        <v>538</v>
      </c>
      <c r="J979" s="26" t="s">
        <v>539</v>
      </c>
      <c r="K979" s="26" t="s">
        <v>241</v>
      </c>
      <c r="L979" s="26" t="s">
        <v>148</v>
      </c>
      <c r="M979" s="26" t="s">
        <v>323</v>
      </c>
      <c r="N979" s="26">
        <v>80</v>
      </c>
      <c r="O979" s="26">
        <f>2024-Inventory[[#This Row],[YrBlt]]</f>
        <v>76</v>
      </c>
      <c r="P979" s="26">
        <f>2024-Inventory[[#This Row],[EffYr]]</f>
        <v>51</v>
      </c>
      <c r="Q979" s="25">
        <v>1948</v>
      </c>
      <c r="R979" s="25">
        <v>1973</v>
      </c>
      <c r="S979" s="25">
        <v>1152</v>
      </c>
      <c r="T979" s="27"/>
      <c r="U979" s="25">
        <v>648</v>
      </c>
      <c r="V979" s="25">
        <f>Inventory[[#This Row],[Bsmt]]-Inventory[[#This Row],[FnBsmt]]</f>
        <v>0</v>
      </c>
      <c r="W979" s="25">
        <v>648</v>
      </c>
      <c r="X979" s="27"/>
      <c r="Y979" s="27">
        <f>Inventory[[#This Row],[MainFn]]+Inventory[[#This Row],[UpprFn]]+Inventory[[#This Row],[FnBsmt]]+Inventory[[#This Row],[AddFn]]</f>
        <v>1800</v>
      </c>
      <c r="Z979" s="27">
        <v>2000</v>
      </c>
      <c r="AA979" s="25">
        <v>8</v>
      </c>
      <c r="AB979" s="27"/>
      <c r="AC979" s="32">
        <v>450</v>
      </c>
      <c r="AD979" s="25">
        <v>171</v>
      </c>
      <c r="AE979" s="27"/>
      <c r="AF979" s="27"/>
      <c r="AG979" s="27"/>
      <c r="AH979" s="27"/>
      <c r="AI979" s="25">
        <v>394524</v>
      </c>
      <c r="AJ979" s="25">
        <v>272222</v>
      </c>
      <c r="AK979" s="25">
        <v>0</v>
      </c>
      <c r="AL979" s="25">
        <v>321400</v>
      </c>
      <c r="AM979" s="25">
        <v>52700</v>
      </c>
      <c r="AN979" s="25">
        <v>268700</v>
      </c>
      <c r="AO979" s="25">
        <v>0</v>
      </c>
      <c r="AP979" s="25">
        <f>Lookups!$B$56*0</f>
        <v>0</v>
      </c>
      <c r="AQ979" s="25">
        <f>Lookups!$B$56*1</f>
        <v>89850.625589999996</v>
      </c>
      <c r="AR979" s="25">
        <f>Lookups!$B$57*Inventory[[#This Row],[LnAcres]]</f>
        <v>-56090.612940989391</v>
      </c>
      <c r="AS979" s="25">
        <f>VLOOKUP(Inventory[[#This Row],[Qlty]],Lookups!$A$62:$E$75,2,FALSE)</f>
        <v>44121.038090000002</v>
      </c>
      <c r="AT979" s="25">
        <f>VLOOKUP(Inventory[[#This Row],[Cnd]],Lookups!$A$76:$E$84,2,FALSE)</f>
        <v>160472.20319</v>
      </c>
      <c r="AU979" s="25">
        <f>Inventory[[#This Row],[EffAge]]*Lookups!$B$85</f>
        <v>-11375.3256255</v>
      </c>
      <c r="AV979" s="25">
        <f>Inventory[[#This Row],[MainFn]]*Lookups!$B$86</f>
        <v>56918.787698304004</v>
      </c>
      <c r="AW979" s="25">
        <f>Inventory[[#This Row],[UpprFn]]*Lookups!$B$87</f>
        <v>0</v>
      </c>
      <c r="AX979" s="25">
        <f>Inventory[[#This Row],[AddFn]]*Lookups!$B$88</f>
        <v>0</v>
      </c>
      <c r="AY979" s="25">
        <f>Inventory[[#This Row],[Bsmt]]*Lookups!$B$89</f>
        <v>18845.068120055999</v>
      </c>
      <c r="AZ979" s="25">
        <f>Inventory[[#This Row],[Fixtures]]*Lookups!$B$90</f>
        <v>30336.176841600001</v>
      </c>
      <c r="BA979" s="25">
        <f>Inventory[[#This Row],[WdDeck]]*Lookups!$B$91</f>
        <v>5693.5331121960007</v>
      </c>
      <c r="BB979" s="25">
        <f>ROUND(Inventory[[#This Row],[25Det]],-2)</f>
        <v>0</v>
      </c>
      <c r="BC979" s="25">
        <f>ROUND(SUM(Inventory[[#This Row],[Mdl Qlty]:[Mdl WdDeck]])+Inventory[[#This Row],[Mdl Res Intercept]],-2)</f>
        <v>305000</v>
      </c>
      <c r="BD979" s="25">
        <f>ROUND(Inventory[[#This Row],[Mdl Land Intercept]]+Inventory[[#This Row],[Mdl LnAcres]],-2)</f>
        <v>33800</v>
      </c>
      <c r="BE979" s="25">
        <f>Inventory[[#This Row],[Unadj Res Value]]+Inventory[[#This Row],[Unadj Det Value]]+Inventory[[#This Row],[Unadj Land Value]]</f>
        <v>338800</v>
      </c>
      <c r="BF979" s="36">
        <f>(Inventory[[#This Row],[Unadj Total Value]]-Inventory[[#This Row],[24Final]])/Inventory[[#This Row],[24Final]]</f>
        <v>5.4138145612943375E-2</v>
      </c>
      <c r="BG979" s="25">
        <f>VLOOKUP(Inventory[[#This Row],[Nbhd]],Lookups!$Q$2:$T$4,4,FALSE)</f>
        <v>0.99970000000000003</v>
      </c>
      <c r="BH979" s="25">
        <f>VLOOKUP(Inventory[[#This Row],[Qlty]],Lookups!$O$7:$R$21,4,FALSE)</f>
        <v>0.98050000000000004</v>
      </c>
      <c r="BI979" s="25">
        <f>VLOOKUP(Inventory[[#This Row],[Cnd]],Lookups!$T$7:$W$16,4,FALSE)</f>
        <v>0.99729999999999996</v>
      </c>
      <c r="BJ979" s="25">
        <f>VLOOKUP(Inventory[[#This Row],[LivArea Range]],Lookups!$T$25:$W$37,4,FALSE)</f>
        <v>1.0093000000000001</v>
      </c>
      <c r="BK979" s="25">
        <f>VLOOKUP(Inventory[[#This Row],[Decade]],Lookups!$O$25:$R$42,4,FALSE)</f>
        <v>0.995</v>
      </c>
      <c r="BL979" s="25">
        <f>Inventory[[#This Row],[Nbhd Adj]]*0.95</f>
        <v>0.94971499999999998</v>
      </c>
      <c r="BM979" s="25">
        <f>Inventory[[#This Row],[Nbhd Adj]]*Inventory[[#This Row],[Quality Adj]]*Inventory[[#This Row],[Condition Adj]]*Inventory[[#This Row],[Living Area Adj]]*Inventory[[#This Row],[Decade Adj]]*0.95</f>
        <v>0.93263147552975589</v>
      </c>
      <c r="BN979" s="25">
        <f>ROUND(SUM(Inventory[[#This Row],[Mdl Qlty]:[Mdl WdDeck]])+Inventory[[#This Row],[Mdl Res Intercept]]*Inventory[[#This Row],[Res Adj ]],-2)</f>
        <v>305000</v>
      </c>
      <c r="BO979" s="25">
        <f>ROUND(Inventory[[#This Row],[25Det]]*Inventory[[#This Row],[Det/Nbhd Adj]],-2)</f>
        <v>0</v>
      </c>
      <c r="BP979" s="25">
        <f>Inventory[[#This Row],[Adjusted Res]]+Inventory[[#This Row],[Adj Det ]]</f>
        <v>305000</v>
      </c>
      <c r="BQ979" s="25">
        <f>ROUND((Inventory[[#This Row],[Mdl Land Intercept]]+Inventory[[#This Row],[Mdl LnAcres]])*Inventory[[#This Row],[Det/Nbhd Adj]],-2)</f>
        <v>32100</v>
      </c>
      <c r="BR979" s="25">
        <f>Inventory[[#This Row],[Adjusted Impr Total]]+Inventory[[#This Row],[Adjusted Land Total]]</f>
        <v>337100</v>
      </c>
      <c r="BS979" s="36">
        <f>IFERROR((Inventory[[#This Row],[Adjusted Impr Total]]-Inventory[[#This Row],[24Bldg]])/Inventory[[#This Row],[24Bldg]],0)</f>
        <v>0.13509490137700036</v>
      </c>
      <c r="BT979" s="36">
        <f>(Inventory[[#This Row],[Adjusted Land Total]]-Inventory[[#This Row],[24Lnd]])/Inventory[[#This Row],[24Lnd]]</f>
        <v>-0.39089184060721061</v>
      </c>
      <c r="BU979" s="36">
        <f>(Inventory[[#This Row],[Adjusted Total]]-Inventory[[#This Row],[24Final]])/Inventory[[#This Row],[24Final]]</f>
        <v>4.8848786558805229E-2</v>
      </c>
    </row>
    <row r="980" spans="1:73" x14ac:dyDescent="0.3">
      <c r="A980" s="25">
        <v>2025</v>
      </c>
      <c r="B980" s="26" t="s">
        <v>1710</v>
      </c>
      <c r="C980" s="26">
        <f>LN(Inventory[[#This Row],[Acres]])</f>
        <v>-1.3470736479666092</v>
      </c>
      <c r="D980" s="25">
        <v>0.26</v>
      </c>
      <c r="E980" s="25">
        <v>11127</v>
      </c>
      <c r="F980" s="26" t="s">
        <v>537</v>
      </c>
      <c r="G980" s="26" t="s">
        <v>126</v>
      </c>
      <c r="H980" s="26" t="s">
        <v>349</v>
      </c>
      <c r="I980" s="26" t="s">
        <v>538</v>
      </c>
      <c r="J980" s="26" t="s">
        <v>539</v>
      </c>
      <c r="K980" s="26" t="s">
        <v>300</v>
      </c>
      <c r="L980" s="26" t="s">
        <v>148</v>
      </c>
      <c r="M980" s="26" t="s">
        <v>303</v>
      </c>
      <c r="N980" s="26">
        <v>80</v>
      </c>
      <c r="O980" s="26">
        <f>2024-Inventory[[#This Row],[YrBlt]]</f>
        <v>76</v>
      </c>
      <c r="P980" s="26">
        <f>2024-Inventory[[#This Row],[EffYr]]</f>
        <v>51</v>
      </c>
      <c r="Q980" s="25">
        <v>1948</v>
      </c>
      <c r="R980" s="25">
        <v>1973</v>
      </c>
      <c r="S980" s="25">
        <v>1600</v>
      </c>
      <c r="T980" s="27"/>
      <c r="U980" s="32">
        <v>1601</v>
      </c>
      <c r="V980" s="32">
        <f>Inventory[[#This Row],[Bsmt]]-Inventory[[#This Row],[FnBsmt]]</f>
        <v>544</v>
      </c>
      <c r="W980" s="32">
        <v>1057</v>
      </c>
      <c r="X980" s="27"/>
      <c r="Y980" s="27">
        <f>Inventory[[#This Row],[MainFn]]+Inventory[[#This Row],[UpprFn]]+Inventory[[#This Row],[FnBsmt]]+Inventory[[#This Row],[AddFn]]</f>
        <v>2657</v>
      </c>
      <c r="Z980" s="27">
        <v>3000</v>
      </c>
      <c r="AA980" s="25">
        <v>12</v>
      </c>
      <c r="AB980" s="27"/>
      <c r="AC980" s="27"/>
      <c r="AD980" s="27"/>
      <c r="AE980" s="27"/>
      <c r="AF980" s="27"/>
      <c r="AG980" s="27"/>
      <c r="AH980" s="27"/>
      <c r="AI980" s="25">
        <v>529798</v>
      </c>
      <c r="AJ980" s="25">
        <v>376157</v>
      </c>
      <c r="AK980" s="25">
        <v>13177</v>
      </c>
      <c r="AL980" s="25">
        <v>437800</v>
      </c>
      <c r="AM980" s="25">
        <v>67600</v>
      </c>
      <c r="AN980" s="25">
        <v>370200</v>
      </c>
      <c r="AO980" s="25">
        <v>0</v>
      </c>
      <c r="AP980" s="25">
        <f>Lookups!$B$56*0</f>
        <v>0</v>
      </c>
      <c r="AQ980" s="25">
        <f>Lookups!$B$56*1</f>
        <v>89850.625589999996</v>
      </c>
      <c r="AR980" s="25">
        <f>Lookups!$B$57*Inventory[[#This Row],[LnAcres]]</f>
        <v>-42641.098701210125</v>
      </c>
      <c r="AS980" s="25">
        <f>VLOOKUP(Inventory[[#This Row],[Qlty]],Lookups!$A$62:$E$75,2,FALSE)</f>
        <v>44121.038090000002</v>
      </c>
      <c r="AT980" s="25">
        <f>VLOOKUP(Inventory[[#This Row],[Cnd]],Lookups!$A$76:$E$84,2,FALSE)</f>
        <v>197752.34721000001</v>
      </c>
      <c r="AU980" s="25">
        <f>Inventory[[#This Row],[EffAge]]*Lookups!$B$85</f>
        <v>-11375.3256255</v>
      </c>
      <c r="AV980" s="25">
        <f>Inventory[[#This Row],[MainFn]]*Lookups!$B$86</f>
        <v>79053.871803200003</v>
      </c>
      <c r="AW980" s="25">
        <f>Inventory[[#This Row],[UpprFn]]*Lookups!$B$87</f>
        <v>0</v>
      </c>
      <c r="AX980" s="25">
        <f>Inventory[[#This Row],[AddFn]]*Lookups!$B$88</f>
        <v>0</v>
      </c>
      <c r="AY980" s="25">
        <f>Inventory[[#This Row],[Bsmt]]*Lookups!$B$89</f>
        <v>46560.114290446996</v>
      </c>
      <c r="AZ980" s="25">
        <f>Inventory[[#This Row],[Fixtures]]*Lookups!$B$90</f>
        <v>45504.265262400004</v>
      </c>
      <c r="BA980" s="25">
        <f>Inventory[[#This Row],[WdDeck]]*Lookups!$B$91</f>
        <v>0</v>
      </c>
      <c r="BB980" s="25">
        <f>ROUND(Inventory[[#This Row],[25Det]],-2)</f>
        <v>13200</v>
      </c>
      <c r="BC980" s="25">
        <f>ROUND(SUM(Inventory[[#This Row],[Mdl Qlty]:[Mdl WdDeck]])+Inventory[[#This Row],[Mdl Res Intercept]],-2)</f>
        <v>401600</v>
      </c>
      <c r="BD980" s="25">
        <f>ROUND(Inventory[[#This Row],[Mdl Land Intercept]]+Inventory[[#This Row],[Mdl LnAcres]],-2)</f>
        <v>47200</v>
      </c>
      <c r="BE980" s="25">
        <f>Inventory[[#This Row],[Unadj Res Value]]+Inventory[[#This Row],[Unadj Det Value]]+Inventory[[#This Row],[Unadj Land Value]]</f>
        <v>462000</v>
      </c>
      <c r="BF980" s="36">
        <f>(Inventory[[#This Row],[Unadj Total Value]]-Inventory[[#This Row],[24Final]])/Inventory[[#This Row],[24Final]]</f>
        <v>5.5276381909547742E-2</v>
      </c>
      <c r="BG980" s="25">
        <f>VLOOKUP(Inventory[[#This Row],[Nbhd]],Lookups!$Q$2:$T$4,4,FALSE)</f>
        <v>0.99970000000000003</v>
      </c>
      <c r="BH980" s="25">
        <f>VLOOKUP(Inventory[[#This Row],[Qlty]],Lookups!$O$7:$R$21,4,FALSE)</f>
        <v>0.98050000000000004</v>
      </c>
      <c r="BI980" s="25">
        <f>VLOOKUP(Inventory[[#This Row],[Cnd]],Lookups!$T$7:$W$16,4,FALSE)</f>
        <v>0.99650000000000005</v>
      </c>
      <c r="BJ980" s="25">
        <f>VLOOKUP(Inventory[[#This Row],[LivArea Range]],Lookups!$T$25:$W$37,4,FALSE)</f>
        <v>0.96179999999999999</v>
      </c>
      <c r="BK980" s="25">
        <f>VLOOKUP(Inventory[[#This Row],[Decade]],Lookups!$O$25:$R$42,4,FALSE)</f>
        <v>0.995</v>
      </c>
      <c r="BL980" s="25">
        <f>Inventory[[#This Row],[Nbhd Adj]]*0.95</f>
        <v>0.94971499999999998</v>
      </c>
      <c r="BM980" s="25">
        <f>Inventory[[#This Row],[Nbhd Adj]]*Inventory[[#This Row],[Quality Adj]]*Inventory[[#This Row],[Condition Adj]]*Inventory[[#This Row],[Living Area Adj]]*Inventory[[#This Row],[Decade Adj]]*0.95</f>
        <v>0.88802675758029637</v>
      </c>
      <c r="BN980" s="25">
        <f>ROUND(SUM(Inventory[[#This Row],[Mdl Qlty]:[Mdl WdDeck]])+Inventory[[#This Row],[Mdl Res Intercept]]*Inventory[[#This Row],[Res Adj ]],-2)</f>
        <v>401600</v>
      </c>
      <c r="BO980" s="25">
        <f>ROUND(Inventory[[#This Row],[25Det]]*Inventory[[#This Row],[Det/Nbhd Adj]],-2)</f>
        <v>12500</v>
      </c>
      <c r="BP980" s="25">
        <f>Inventory[[#This Row],[Adjusted Res]]+Inventory[[#This Row],[Adj Det ]]</f>
        <v>414100</v>
      </c>
      <c r="BQ980" s="25">
        <f>ROUND((Inventory[[#This Row],[Mdl Land Intercept]]+Inventory[[#This Row],[Mdl LnAcres]])*Inventory[[#This Row],[Det/Nbhd Adj]],-2)</f>
        <v>44800</v>
      </c>
      <c r="BR980" s="25">
        <f>Inventory[[#This Row],[Adjusted Impr Total]]+Inventory[[#This Row],[Adjusted Land Total]]</f>
        <v>458900</v>
      </c>
      <c r="BS980" s="36">
        <f>IFERROR((Inventory[[#This Row],[Adjusted Impr Total]]-Inventory[[#This Row],[24Bldg]])/Inventory[[#This Row],[24Bldg]],0)</f>
        <v>0.11858454889249055</v>
      </c>
      <c r="BT980" s="36">
        <f>(Inventory[[#This Row],[Adjusted Land Total]]-Inventory[[#This Row],[24Lnd]])/Inventory[[#This Row],[24Lnd]]</f>
        <v>-0.33727810650887574</v>
      </c>
      <c r="BU980" s="36">
        <f>(Inventory[[#This Row],[Adjusted Total]]-Inventory[[#This Row],[24Final]])/Inventory[[#This Row],[24Final]]</f>
        <v>4.8195523069894927E-2</v>
      </c>
    </row>
    <row r="981" spans="1:73" x14ac:dyDescent="0.3">
      <c r="A981" s="25">
        <v>2025</v>
      </c>
      <c r="B981" s="26" t="s">
        <v>2652</v>
      </c>
      <c r="C981" s="26">
        <f>LN(Inventory[[#This Row],[Acres]])</f>
        <v>-1.0788096613719298</v>
      </c>
      <c r="D981" s="25">
        <v>0.34</v>
      </c>
      <c r="E981" s="25">
        <v>14906</v>
      </c>
      <c r="F981" s="26" t="s">
        <v>537</v>
      </c>
      <c r="G981" s="26" t="s">
        <v>126</v>
      </c>
      <c r="H981" s="26" t="s">
        <v>349</v>
      </c>
      <c r="I981" s="26" t="s">
        <v>538</v>
      </c>
      <c r="J981" s="26" t="s">
        <v>539</v>
      </c>
      <c r="K981" s="26" t="s">
        <v>241</v>
      </c>
      <c r="L981" s="26" t="s">
        <v>148</v>
      </c>
      <c r="M981" s="26" t="s">
        <v>323</v>
      </c>
      <c r="N981" s="26">
        <v>80</v>
      </c>
      <c r="O981" s="26">
        <f>2024-Inventory[[#This Row],[YrBlt]]</f>
        <v>76</v>
      </c>
      <c r="P981" s="26">
        <f>2024-Inventory[[#This Row],[EffYr]]</f>
        <v>51</v>
      </c>
      <c r="Q981" s="25">
        <v>1948</v>
      </c>
      <c r="R981" s="25">
        <v>1973</v>
      </c>
      <c r="S981" s="25">
        <v>1361</v>
      </c>
      <c r="T981" s="27"/>
      <c r="U981" s="25">
        <v>1025</v>
      </c>
      <c r="V981" s="25">
        <f>Inventory[[#This Row],[Bsmt]]-Inventory[[#This Row],[FnBsmt]]</f>
        <v>1025</v>
      </c>
      <c r="W981" s="31"/>
      <c r="X981" s="27"/>
      <c r="Y981" s="27">
        <f>Inventory[[#This Row],[MainFn]]+Inventory[[#This Row],[UpprFn]]+Inventory[[#This Row],[FnBsmt]]+Inventory[[#This Row],[AddFn]]</f>
        <v>1361</v>
      </c>
      <c r="Z981" s="27">
        <v>1500</v>
      </c>
      <c r="AA981" s="25">
        <v>5</v>
      </c>
      <c r="AB981" s="27"/>
      <c r="AC981" s="27"/>
      <c r="AD981" s="27"/>
      <c r="AE981" s="27"/>
      <c r="AF981" s="27"/>
      <c r="AG981" s="27"/>
      <c r="AH981" s="27"/>
      <c r="AI981" s="25">
        <v>383915</v>
      </c>
      <c r="AJ981" s="25">
        <v>264901</v>
      </c>
      <c r="AK981" s="25">
        <v>0</v>
      </c>
      <c r="AL981" s="25">
        <v>345500</v>
      </c>
      <c r="AM981" s="25">
        <v>76900</v>
      </c>
      <c r="AN981" s="25">
        <v>268600</v>
      </c>
      <c r="AO981" s="25">
        <v>0</v>
      </c>
      <c r="AP981" s="25">
        <f>Lookups!$B$56*0</f>
        <v>0</v>
      </c>
      <c r="AQ981" s="25">
        <f>Lookups!$B$56*1</f>
        <v>89850.625589999996</v>
      </c>
      <c r="AR981" s="25">
        <f>Lookups!$B$57*Inventory[[#This Row],[LnAcres]]</f>
        <v>-34149.305288406773</v>
      </c>
      <c r="AS981" s="25">
        <f>VLOOKUP(Inventory[[#This Row],[Qlty]],Lookups!$A$62:$E$75,2,FALSE)</f>
        <v>44121.038090000002</v>
      </c>
      <c r="AT981" s="25">
        <f>VLOOKUP(Inventory[[#This Row],[Cnd]],Lookups!$A$76:$E$84,2,FALSE)</f>
        <v>160472.20319</v>
      </c>
      <c r="AU981" s="25">
        <f>Inventory[[#This Row],[EffAge]]*Lookups!$B$85</f>
        <v>-11375.3256255</v>
      </c>
      <c r="AV981" s="25">
        <f>Inventory[[#This Row],[MainFn]]*Lookups!$B$86</f>
        <v>67245.199702597005</v>
      </c>
      <c r="AW981" s="25">
        <f>Inventory[[#This Row],[UpprFn]]*Lookups!$B$87</f>
        <v>0</v>
      </c>
      <c r="AX981" s="25">
        <f>Inventory[[#This Row],[AddFn]]*Lookups!$B$88</f>
        <v>0</v>
      </c>
      <c r="AY981" s="25">
        <f>Inventory[[#This Row],[Bsmt]]*Lookups!$B$89</f>
        <v>29808.942628174998</v>
      </c>
      <c r="AZ981" s="25">
        <f>Inventory[[#This Row],[Fixtures]]*Lookups!$B$90</f>
        <v>18960.110526</v>
      </c>
      <c r="BA981" s="25">
        <f>Inventory[[#This Row],[WdDeck]]*Lookups!$B$91</f>
        <v>0</v>
      </c>
      <c r="BB981" s="25">
        <f>ROUND(Inventory[[#This Row],[25Det]],-2)</f>
        <v>0</v>
      </c>
      <c r="BC981" s="25">
        <f>ROUND(SUM(Inventory[[#This Row],[Mdl Qlty]:[Mdl WdDeck]])+Inventory[[#This Row],[Mdl Res Intercept]],-2)</f>
        <v>309200</v>
      </c>
      <c r="BD981" s="25">
        <f>ROUND(Inventory[[#This Row],[Mdl Land Intercept]]+Inventory[[#This Row],[Mdl LnAcres]],-2)</f>
        <v>55700</v>
      </c>
      <c r="BE981" s="25">
        <f>Inventory[[#This Row],[Unadj Res Value]]+Inventory[[#This Row],[Unadj Det Value]]+Inventory[[#This Row],[Unadj Land Value]]</f>
        <v>364900</v>
      </c>
      <c r="BF981" s="36">
        <f>(Inventory[[#This Row],[Unadj Total Value]]-Inventory[[#This Row],[24Final]])/Inventory[[#This Row],[24Final]]</f>
        <v>5.615050651230101E-2</v>
      </c>
      <c r="BG981" s="25">
        <f>VLOOKUP(Inventory[[#This Row],[Nbhd]],Lookups!$Q$2:$T$4,4,FALSE)</f>
        <v>0.99970000000000003</v>
      </c>
      <c r="BH981" s="25">
        <f>VLOOKUP(Inventory[[#This Row],[Qlty]],Lookups!$O$7:$R$21,4,FALSE)</f>
        <v>0.98050000000000004</v>
      </c>
      <c r="BI981" s="25">
        <f>VLOOKUP(Inventory[[#This Row],[Cnd]],Lookups!$T$7:$W$16,4,FALSE)</f>
        <v>0.99729999999999996</v>
      </c>
      <c r="BJ981" s="25">
        <f>VLOOKUP(Inventory[[#This Row],[LivArea Range]],Lookups!$T$25:$W$37,4,FALSE)</f>
        <v>1.0157</v>
      </c>
      <c r="BK981" s="25">
        <f>VLOOKUP(Inventory[[#This Row],[Decade]],Lookups!$O$25:$R$42,4,FALSE)</f>
        <v>0.995</v>
      </c>
      <c r="BL981" s="25">
        <f>Inventory[[#This Row],[Nbhd Adj]]*0.95</f>
        <v>0.94971499999999998</v>
      </c>
      <c r="BM981" s="25">
        <f>Inventory[[#This Row],[Nbhd Adj]]*Inventory[[#This Row],[Quality Adj]]*Inventory[[#This Row],[Condition Adj]]*Inventory[[#This Row],[Living Area Adj]]*Inventory[[#This Row],[Decade Adj]]*0.95</f>
        <v>0.93854531823597842</v>
      </c>
      <c r="BN981" s="25">
        <f>ROUND(SUM(Inventory[[#This Row],[Mdl Qlty]:[Mdl WdDeck]])+Inventory[[#This Row],[Mdl Res Intercept]]*Inventory[[#This Row],[Res Adj ]],-2)</f>
        <v>309200</v>
      </c>
      <c r="BO981" s="25">
        <f>ROUND(Inventory[[#This Row],[25Det]]*Inventory[[#This Row],[Det/Nbhd Adj]],-2)</f>
        <v>0</v>
      </c>
      <c r="BP981" s="25">
        <f>Inventory[[#This Row],[Adjusted Res]]+Inventory[[#This Row],[Adj Det ]]</f>
        <v>309200</v>
      </c>
      <c r="BQ981" s="25">
        <f>ROUND((Inventory[[#This Row],[Mdl Land Intercept]]+Inventory[[#This Row],[Mdl LnAcres]])*Inventory[[#This Row],[Det/Nbhd Adj]],-2)</f>
        <v>52900</v>
      </c>
      <c r="BR981" s="25">
        <f>Inventory[[#This Row],[Adjusted Impr Total]]+Inventory[[#This Row],[Adjusted Land Total]]</f>
        <v>362100</v>
      </c>
      <c r="BS981" s="36">
        <f>IFERROR((Inventory[[#This Row],[Adjusted Impr Total]]-Inventory[[#This Row],[24Bldg]])/Inventory[[#This Row],[24Bldg]],0)</f>
        <v>0.15115413253909157</v>
      </c>
      <c r="BT981" s="36">
        <f>(Inventory[[#This Row],[Adjusted Land Total]]-Inventory[[#This Row],[24Lnd]])/Inventory[[#This Row],[24Lnd]]</f>
        <v>-0.31209362808842656</v>
      </c>
      <c r="BU981" s="36">
        <f>(Inventory[[#This Row],[Adjusted Total]]-Inventory[[#This Row],[24Final]])/Inventory[[#This Row],[24Final]]</f>
        <v>4.8046309696092616E-2</v>
      </c>
    </row>
    <row r="982" spans="1:73" x14ac:dyDescent="0.3">
      <c r="A982" s="25">
        <v>2025</v>
      </c>
      <c r="B982" s="26" t="s">
        <v>1593</v>
      </c>
      <c r="C982" s="26">
        <f>LN(Inventory[[#This Row],[Acres]])</f>
        <v>-1.7719568419318752</v>
      </c>
      <c r="D982" s="25">
        <v>0.17</v>
      </c>
      <c r="E982" s="31"/>
      <c r="F982" s="26" t="s">
        <v>537</v>
      </c>
      <c r="G982" s="26" t="s">
        <v>126</v>
      </c>
      <c r="H982" s="26" t="s">
        <v>349</v>
      </c>
      <c r="I982" s="26" t="s">
        <v>538</v>
      </c>
      <c r="J982" s="26" t="s">
        <v>539</v>
      </c>
      <c r="K982" s="26" t="s">
        <v>242</v>
      </c>
      <c r="L982" s="26" t="s">
        <v>351</v>
      </c>
      <c r="M982" s="26" t="s">
        <v>323</v>
      </c>
      <c r="N982" s="26">
        <v>80</v>
      </c>
      <c r="O982" s="26">
        <f>2024-Inventory[[#This Row],[YrBlt]]</f>
        <v>76</v>
      </c>
      <c r="P982" s="26">
        <f>2024-Inventory[[#This Row],[EffYr]]</f>
        <v>51</v>
      </c>
      <c r="Q982" s="25">
        <v>1948</v>
      </c>
      <c r="R982" s="25">
        <v>1973</v>
      </c>
      <c r="S982" s="25">
        <v>1033</v>
      </c>
      <c r="T982" s="27"/>
      <c r="U982" s="31"/>
      <c r="V982" s="31">
        <f>Inventory[[#This Row],[Bsmt]]-Inventory[[#This Row],[FnBsmt]]</f>
        <v>0</v>
      </c>
      <c r="W982" s="31"/>
      <c r="X982" s="27"/>
      <c r="Y982" s="27">
        <f>Inventory[[#This Row],[MainFn]]+Inventory[[#This Row],[UpprFn]]+Inventory[[#This Row],[FnBsmt]]+Inventory[[#This Row],[AddFn]]</f>
        <v>1033</v>
      </c>
      <c r="Z982" s="27">
        <v>1500</v>
      </c>
      <c r="AA982" s="25">
        <v>5</v>
      </c>
      <c r="AB982" s="27"/>
      <c r="AC982" s="27"/>
      <c r="AD982" s="27"/>
      <c r="AE982" s="27"/>
      <c r="AF982" s="27"/>
      <c r="AG982" s="27"/>
      <c r="AH982" s="27"/>
      <c r="AI982" s="25">
        <v>177949</v>
      </c>
      <c r="AJ982" s="25">
        <v>122785</v>
      </c>
      <c r="AK982" s="25">
        <v>6599</v>
      </c>
      <c r="AL982" s="25">
        <v>266500</v>
      </c>
      <c r="AM982" s="25">
        <v>52700</v>
      </c>
      <c r="AN982" s="25">
        <v>213800</v>
      </c>
      <c r="AO982" s="25">
        <v>0</v>
      </c>
      <c r="AP982" s="25">
        <f>Lookups!$B$56*0</f>
        <v>0</v>
      </c>
      <c r="AQ982" s="25">
        <f>Lookups!$B$56*1</f>
        <v>89850.625589999996</v>
      </c>
      <c r="AR982" s="25">
        <f>Lookups!$B$57*Inventory[[#This Row],[LnAcres]]</f>
        <v>-56090.612940989391</v>
      </c>
      <c r="AS982" s="25">
        <f>VLOOKUP(Inventory[[#This Row],[Qlty]],Lookups!$A$62:$E$75,2,FALSE)</f>
        <v>21557.329055999999</v>
      </c>
      <c r="AT982" s="25">
        <f>VLOOKUP(Inventory[[#This Row],[Cnd]],Lookups!$A$76:$E$84,2,FALSE)</f>
        <v>160472.20319</v>
      </c>
      <c r="AU982" s="25">
        <f>Inventory[[#This Row],[EffAge]]*Lookups!$B$85</f>
        <v>-11375.3256255</v>
      </c>
      <c r="AV982" s="25">
        <f>Inventory[[#This Row],[MainFn]]*Lookups!$B$86</f>
        <v>51039.155982941003</v>
      </c>
      <c r="AW982" s="25">
        <f>Inventory[[#This Row],[UpprFn]]*Lookups!$B$87</f>
        <v>0</v>
      </c>
      <c r="AX982" s="25">
        <f>Inventory[[#This Row],[AddFn]]*Lookups!$B$88</f>
        <v>0</v>
      </c>
      <c r="AY982" s="25">
        <f>Inventory[[#This Row],[Bsmt]]*Lookups!$B$89</f>
        <v>0</v>
      </c>
      <c r="AZ982" s="25">
        <f>Inventory[[#This Row],[Fixtures]]*Lookups!$B$90</f>
        <v>18960.110526</v>
      </c>
      <c r="BA982" s="25">
        <f>Inventory[[#This Row],[WdDeck]]*Lookups!$B$91</f>
        <v>0</v>
      </c>
      <c r="BB982" s="25">
        <f>ROUND(Inventory[[#This Row],[25Det]],-2)</f>
        <v>6600</v>
      </c>
      <c r="BC982" s="25">
        <f>ROUND(SUM(Inventory[[#This Row],[Mdl Qlty]:[Mdl WdDeck]])+Inventory[[#This Row],[Mdl Res Intercept]],-2)</f>
        <v>240700</v>
      </c>
      <c r="BD982" s="25">
        <f>ROUND(Inventory[[#This Row],[Mdl Land Intercept]]+Inventory[[#This Row],[Mdl LnAcres]],-2)</f>
        <v>33800</v>
      </c>
      <c r="BE982" s="25">
        <f>Inventory[[#This Row],[Unadj Res Value]]+Inventory[[#This Row],[Unadj Det Value]]+Inventory[[#This Row],[Unadj Land Value]]</f>
        <v>281100</v>
      </c>
      <c r="BF982" s="36">
        <f>(Inventory[[#This Row],[Unadj Total Value]]-Inventory[[#This Row],[24Final]])/Inventory[[#This Row],[24Final]]</f>
        <v>5.478424015009381E-2</v>
      </c>
      <c r="BG982" s="25">
        <f>VLOOKUP(Inventory[[#This Row],[Nbhd]],Lookups!$Q$2:$T$4,4,FALSE)</f>
        <v>0.99970000000000003</v>
      </c>
      <c r="BH982" s="25">
        <f>VLOOKUP(Inventory[[#This Row],[Qlty]],Lookups!$O$7:$R$21,4,FALSE)</f>
        <v>1.0067999999999999</v>
      </c>
      <c r="BI982" s="25">
        <f>VLOOKUP(Inventory[[#This Row],[Cnd]],Lookups!$T$7:$W$16,4,FALSE)</f>
        <v>0.99729999999999996</v>
      </c>
      <c r="BJ982" s="25">
        <f>VLOOKUP(Inventory[[#This Row],[LivArea Range]],Lookups!$T$25:$W$37,4,FALSE)</f>
        <v>1.0157</v>
      </c>
      <c r="BK982" s="25">
        <f>VLOOKUP(Inventory[[#This Row],[Decade]],Lookups!$O$25:$R$42,4,FALSE)</f>
        <v>0.995</v>
      </c>
      <c r="BL982" s="25">
        <f>Inventory[[#This Row],[Nbhd Adj]]*0.95</f>
        <v>0.94971499999999998</v>
      </c>
      <c r="BM982" s="25">
        <f>Inventory[[#This Row],[Nbhd Adj]]*Inventory[[#This Row],[Quality Adj]]*Inventory[[#This Row],[Condition Adj]]*Inventory[[#This Row],[Living Area Adj]]*Inventory[[#This Row],[Decade Adj]]*0.95</f>
        <v>0.96371996573175212</v>
      </c>
      <c r="BN982" s="25">
        <f>ROUND(SUM(Inventory[[#This Row],[Mdl Qlty]:[Mdl WdDeck]])+Inventory[[#This Row],[Mdl Res Intercept]]*Inventory[[#This Row],[Res Adj ]],-2)</f>
        <v>240700</v>
      </c>
      <c r="BO982" s="25">
        <f>ROUND(Inventory[[#This Row],[25Det]]*Inventory[[#This Row],[Det/Nbhd Adj]],-2)</f>
        <v>6300</v>
      </c>
      <c r="BP982" s="25">
        <f>Inventory[[#This Row],[Adjusted Res]]+Inventory[[#This Row],[Adj Det ]]</f>
        <v>247000</v>
      </c>
      <c r="BQ982" s="25">
        <f>ROUND((Inventory[[#This Row],[Mdl Land Intercept]]+Inventory[[#This Row],[Mdl LnAcres]])*Inventory[[#This Row],[Det/Nbhd Adj]],-2)</f>
        <v>32100</v>
      </c>
      <c r="BR982" s="25">
        <f>Inventory[[#This Row],[Adjusted Impr Total]]+Inventory[[#This Row],[Adjusted Land Total]]</f>
        <v>279100</v>
      </c>
      <c r="BS982" s="36">
        <f>IFERROR((Inventory[[#This Row],[Adjusted Impr Total]]-Inventory[[#This Row],[24Bldg]])/Inventory[[#This Row],[24Bldg]],0)</f>
        <v>0.15528531337698784</v>
      </c>
      <c r="BT982" s="36">
        <f>(Inventory[[#This Row],[Adjusted Land Total]]-Inventory[[#This Row],[24Lnd]])/Inventory[[#This Row],[24Lnd]]</f>
        <v>-0.39089184060721061</v>
      </c>
      <c r="BU982" s="36">
        <f>(Inventory[[#This Row],[Adjusted Total]]-Inventory[[#This Row],[24Final]])/Inventory[[#This Row],[24Final]]</f>
        <v>4.7279549718574107E-2</v>
      </c>
    </row>
    <row r="983" spans="1:73" x14ac:dyDescent="0.3">
      <c r="A983" s="25">
        <v>2025</v>
      </c>
      <c r="B983" s="26" t="s">
        <v>2544</v>
      </c>
      <c r="C983" s="26">
        <f>LN(Inventory[[#This Row],[Acres]])</f>
        <v>-1.3470736479666092</v>
      </c>
      <c r="D983" s="25">
        <v>0.26</v>
      </c>
      <c r="E983" s="31"/>
      <c r="F983" s="26" t="s">
        <v>537</v>
      </c>
      <c r="G983" s="26" t="s">
        <v>126</v>
      </c>
      <c r="H983" s="26" t="s">
        <v>349</v>
      </c>
      <c r="I983" s="26" t="s">
        <v>538</v>
      </c>
      <c r="J983" s="26" t="s">
        <v>539</v>
      </c>
      <c r="K983" s="26" t="s">
        <v>242</v>
      </c>
      <c r="L983" s="26" t="s">
        <v>351</v>
      </c>
      <c r="M983" s="26" t="s">
        <v>323</v>
      </c>
      <c r="N983" s="26">
        <v>80</v>
      </c>
      <c r="O983" s="26">
        <f>2024-Inventory[[#This Row],[YrBlt]]</f>
        <v>76</v>
      </c>
      <c r="P983" s="26">
        <f>2024-Inventory[[#This Row],[EffYr]]</f>
        <v>51</v>
      </c>
      <c r="Q983" s="25">
        <v>1948</v>
      </c>
      <c r="R983" s="25">
        <v>1973</v>
      </c>
      <c r="S983" s="25">
        <v>978</v>
      </c>
      <c r="T983" s="27"/>
      <c r="U983" s="25">
        <v>978</v>
      </c>
      <c r="V983" s="25">
        <f>Inventory[[#This Row],[Bsmt]]-Inventory[[#This Row],[FnBsmt]]</f>
        <v>489</v>
      </c>
      <c r="W983" s="25">
        <v>489</v>
      </c>
      <c r="X983" s="27"/>
      <c r="Y983" s="27">
        <f>Inventory[[#This Row],[MainFn]]+Inventory[[#This Row],[UpprFn]]+Inventory[[#This Row],[FnBsmt]]+Inventory[[#This Row],[AddFn]]</f>
        <v>1467</v>
      </c>
      <c r="Z983" s="27">
        <v>1500</v>
      </c>
      <c r="AA983" s="25">
        <v>8</v>
      </c>
      <c r="AB983" s="27"/>
      <c r="AC983" s="27"/>
      <c r="AD983" s="27"/>
      <c r="AE983" s="27"/>
      <c r="AF983" s="27"/>
      <c r="AG983" s="27"/>
      <c r="AH983" s="27"/>
      <c r="AI983" s="25">
        <v>239175</v>
      </c>
      <c r="AJ983" s="25">
        <v>165031</v>
      </c>
      <c r="AK983" s="25">
        <v>0</v>
      </c>
      <c r="AL983" s="25">
        <v>309000</v>
      </c>
      <c r="AM983" s="25">
        <v>67600</v>
      </c>
      <c r="AN983" s="25">
        <v>241400</v>
      </c>
      <c r="AO983" s="25">
        <v>0</v>
      </c>
      <c r="AP983" s="25">
        <f>Lookups!$B$56*0</f>
        <v>0</v>
      </c>
      <c r="AQ983" s="25">
        <f>Lookups!$B$56*1</f>
        <v>89850.625589999996</v>
      </c>
      <c r="AR983" s="25">
        <f>Lookups!$B$57*Inventory[[#This Row],[LnAcres]]</f>
        <v>-42641.098701210125</v>
      </c>
      <c r="AS983" s="25">
        <f>VLOOKUP(Inventory[[#This Row],[Qlty]],Lookups!$A$62:$E$75,2,FALSE)</f>
        <v>21557.329055999999</v>
      </c>
      <c r="AT983" s="25">
        <f>VLOOKUP(Inventory[[#This Row],[Cnd]],Lookups!$A$76:$E$84,2,FALSE)</f>
        <v>160472.20319</v>
      </c>
      <c r="AU983" s="25">
        <f>Inventory[[#This Row],[EffAge]]*Lookups!$B$85</f>
        <v>-11375.3256255</v>
      </c>
      <c r="AV983" s="25">
        <f>Inventory[[#This Row],[MainFn]]*Lookups!$B$86</f>
        <v>48321.679139706001</v>
      </c>
      <c r="AW983" s="25">
        <f>Inventory[[#This Row],[UpprFn]]*Lookups!$B$87</f>
        <v>0</v>
      </c>
      <c r="AX983" s="25">
        <f>Inventory[[#This Row],[AddFn]]*Lookups!$B$88</f>
        <v>0</v>
      </c>
      <c r="AY983" s="25">
        <f>Inventory[[#This Row],[Bsmt]]*Lookups!$B$89</f>
        <v>28442.093551565998</v>
      </c>
      <c r="AZ983" s="25">
        <f>Inventory[[#This Row],[Fixtures]]*Lookups!$B$90</f>
        <v>30336.176841600001</v>
      </c>
      <c r="BA983" s="25">
        <f>Inventory[[#This Row],[WdDeck]]*Lookups!$B$91</f>
        <v>0</v>
      </c>
      <c r="BB983" s="25">
        <f>ROUND(Inventory[[#This Row],[25Det]],-2)</f>
        <v>0</v>
      </c>
      <c r="BC983" s="25">
        <f>ROUND(SUM(Inventory[[#This Row],[Mdl Qlty]:[Mdl WdDeck]])+Inventory[[#This Row],[Mdl Res Intercept]],-2)</f>
        <v>277800</v>
      </c>
      <c r="BD983" s="25">
        <f>ROUND(Inventory[[#This Row],[Mdl Land Intercept]]+Inventory[[#This Row],[Mdl LnAcres]],-2)</f>
        <v>47200</v>
      </c>
      <c r="BE983" s="25">
        <f>Inventory[[#This Row],[Unadj Res Value]]+Inventory[[#This Row],[Unadj Det Value]]+Inventory[[#This Row],[Unadj Land Value]]</f>
        <v>325000</v>
      </c>
      <c r="BF983" s="36">
        <f>(Inventory[[#This Row],[Unadj Total Value]]-Inventory[[#This Row],[24Final]])/Inventory[[#This Row],[24Final]]</f>
        <v>5.1779935275080909E-2</v>
      </c>
      <c r="BG983" s="25">
        <f>VLOOKUP(Inventory[[#This Row],[Nbhd]],Lookups!$Q$2:$T$4,4,FALSE)</f>
        <v>0.99970000000000003</v>
      </c>
      <c r="BH983" s="25">
        <f>VLOOKUP(Inventory[[#This Row],[Qlty]],Lookups!$O$7:$R$21,4,FALSE)</f>
        <v>1.0067999999999999</v>
      </c>
      <c r="BI983" s="25">
        <f>VLOOKUP(Inventory[[#This Row],[Cnd]],Lookups!$T$7:$W$16,4,FALSE)</f>
        <v>0.99729999999999996</v>
      </c>
      <c r="BJ983" s="25">
        <f>VLOOKUP(Inventory[[#This Row],[LivArea Range]],Lookups!$T$25:$W$37,4,FALSE)</f>
        <v>1.0157</v>
      </c>
      <c r="BK983" s="25">
        <f>VLOOKUP(Inventory[[#This Row],[Decade]],Lookups!$O$25:$R$42,4,FALSE)</f>
        <v>0.995</v>
      </c>
      <c r="BL983" s="25">
        <f>Inventory[[#This Row],[Nbhd Adj]]*0.95</f>
        <v>0.94971499999999998</v>
      </c>
      <c r="BM983" s="25">
        <f>Inventory[[#This Row],[Nbhd Adj]]*Inventory[[#This Row],[Quality Adj]]*Inventory[[#This Row],[Condition Adj]]*Inventory[[#This Row],[Living Area Adj]]*Inventory[[#This Row],[Decade Adj]]*0.95</f>
        <v>0.96371996573175212</v>
      </c>
      <c r="BN983" s="25">
        <f>ROUND(SUM(Inventory[[#This Row],[Mdl Qlty]:[Mdl WdDeck]])+Inventory[[#This Row],[Mdl Res Intercept]]*Inventory[[#This Row],[Res Adj ]],-2)</f>
        <v>277800</v>
      </c>
      <c r="BO983" s="25">
        <f>ROUND(Inventory[[#This Row],[25Det]]*Inventory[[#This Row],[Det/Nbhd Adj]],-2)</f>
        <v>0</v>
      </c>
      <c r="BP983" s="25">
        <f>Inventory[[#This Row],[Adjusted Res]]+Inventory[[#This Row],[Adj Det ]]</f>
        <v>277800</v>
      </c>
      <c r="BQ983" s="25">
        <f>ROUND((Inventory[[#This Row],[Mdl Land Intercept]]+Inventory[[#This Row],[Mdl LnAcres]])*Inventory[[#This Row],[Det/Nbhd Adj]],-2)</f>
        <v>44800</v>
      </c>
      <c r="BR983" s="25">
        <f>Inventory[[#This Row],[Adjusted Impr Total]]+Inventory[[#This Row],[Adjusted Land Total]]</f>
        <v>322600</v>
      </c>
      <c r="BS983" s="36">
        <f>IFERROR((Inventory[[#This Row],[Adjusted Impr Total]]-Inventory[[#This Row],[24Bldg]])/Inventory[[#This Row],[24Bldg]],0)</f>
        <v>0.1507870753935377</v>
      </c>
      <c r="BT983" s="36">
        <f>(Inventory[[#This Row],[Adjusted Land Total]]-Inventory[[#This Row],[24Lnd]])/Inventory[[#This Row],[24Lnd]]</f>
        <v>-0.33727810650887574</v>
      </c>
      <c r="BU983" s="36">
        <f>(Inventory[[#This Row],[Adjusted Total]]-Inventory[[#This Row],[24Final]])/Inventory[[#This Row],[24Final]]</f>
        <v>4.4012944983818768E-2</v>
      </c>
    </row>
    <row r="984" spans="1:73" x14ac:dyDescent="0.3">
      <c r="A984" s="25">
        <v>2025</v>
      </c>
      <c r="B984" s="26" t="s">
        <v>2776</v>
      </c>
      <c r="C984" s="26">
        <f>LN(Inventory[[#This Row],[Acres]])</f>
        <v>-1.6607312068216509</v>
      </c>
      <c r="D984" s="25">
        <v>0.19</v>
      </c>
      <c r="E984" s="31"/>
      <c r="F984" s="26" t="s">
        <v>537</v>
      </c>
      <c r="G984" s="26" t="s">
        <v>126</v>
      </c>
      <c r="H984" s="26" t="s">
        <v>349</v>
      </c>
      <c r="I984" s="26" t="s">
        <v>538</v>
      </c>
      <c r="J984" s="26" t="s">
        <v>539</v>
      </c>
      <c r="K984" s="26" t="s">
        <v>241</v>
      </c>
      <c r="L984" s="26" t="s">
        <v>148</v>
      </c>
      <c r="M984" s="26" t="s">
        <v>323</v>
      </c>
      <c r="N984" s="26">
        <v>80</v>
      </c>
      <c r="O984" s="26">
        <f>2024-Inventory[[#This Row],[YrBlt]]</f>
        <v>76</v>
      </c>
      <c r="P984" s="26">
        <f>2024-Inventory[[#This Row],[EffYr]]</f>
        <v>51</v>
      </c>
      <c r="Q984" s="25">
        <v>1948</v>
      </c>
      <c r="R984" s="25">
        <v>1973</v>
      </c>
      <c r="S984" s="25">
        <v>1482</v>
      </c>
      <c r="T984" s="27"/>
      <c r="U984" s="31"/>
      <c r="V984" s="31">
        <f>Inventory[[#This Row],[Bsmt]]-Inventory[[#This Row],[FnBsmt]]</f>
        <v>0</v>
      </c>
      <c r="W984" s="31"/>
      <c r="X984" s="27"/>
      <c r="Y984" s="27">
        <f>Inventory[[#This Row],[MainFn]]+Inventory[[#This Row],[UpprFn]]+Inventory[[#This Row],[FnBsmt]]+Inventory[[#This Row],[AddFn]]</f>
        <v>1482</v>
      </c>
      <c r="Z984" s="27">
        <v>1500</v>
      </c>
      <c r="AA984" s="25">
        <v>8</v>
      </c>
      <c r="AB984" s="32">
        <v>288</v>
      </c>
      <c r="AC984" s="27"/>
      <c r="AD984" s="27"/>
      <c r="AE984" s="27"/>
      <c r="AF984" s="27"/>
      <c r="AG984" s="27"/>
      <c r="AH984" s="27"/>
      <c r="AI984" s="25">
        <v>354954</v>
      </c>
      <c r="AJ984" s="25">
        <v>244918</v>
      </c>
      <c r="AK984" s="25">
        <v>0</v>
      </c>
      <c r="AL984" s="25">
        <v>318200</v>
      </c>
      <c r="AM984" s="25">
        <v>56600</v>
      </c>
      <c r="AN984" s="25">
        <v>261600</v>
      </c>
      <c r="AO984" s="25">
        <v>0</v>
      </c>
      <c r="AP984" s="25">
        <f>Lookups!$B$56*0</f>
        <v>0</v>
      </c>
      <c r="AQ984" s="25">
        <f>Lookups!$B$56*1</f>
        <v>89850.625589999996</v>
      </c>
      <c r="AR984" s="25">
        <f>Lookups!$B$57*Inventory[[#This Row],[LnAcres]]</f>
        <v>-52569.808201026557</v>
      </c>
      <c r="AS984" s="25">
        <f>VLOOKUP(Inventory[[#This Row],[Qlty]],Lookups!$A$62:$E$75,2,FALSE)</f>
        <v>44121.038090000002</v>
      </c>
      <c r="AT984" s="25">
        <f>VLOOKUP(Inventory[[#This Row],[Cnd]],Lookups!$A$76:$E$84,2,FALSE)</f>
        <v>160472.20319</v>
      </c>
      <c r="AU984" s="25">
        <f>Inventory[[#This Row],[EffAge]]*Lookups!$B$85</f>
        <v>-11375.3256255</v>
      </c>
      <c r="AV984" s="25">
        <f>Inventory[[#This Row],[MainFn]]*Lookups!$B$86</f>
        <v>73223.648757714007</v>
      </c>
      <c r="AW984" s="25">
        <f>Inventory[[#This Row],[UpprFn]]*Lookups!$B$87</f>
        <v>0</v>
      </c>
      <c r="AX984" s="25">
        <f>Inventory[[#This Row],[AddFn]]*Lookups!$B$88</f>
        <v>0</v>
      </c>
      <c r="AY984" s="25">
        <f>Inventory[[#This Row],[Bsmt]]*Lookups!$B$89</f>
        <v>0</v>
      </c>
      <c r="AZ984" s="25">
        <f>Inventory[[#This Row],[Fixtures]]*Lookups!$B$90</f>
        <v>30336.176841600001</v>
      </c>
      <c r="BA984" s="25">
        <f>Inventory[[#This Row],[WdDeck]]*Lookups!$B$91</f>
        <v>0</v>
      </c>
      <c r="BB984" s="25">
        <f>ROUND(Inventory[[#This Row],[25Det]],-2)</f>
        <v>0</v>
      </c>
      <c r="BC984" s="25">
        <f>ROUND(SUM(Inventory[[#This Row],[Mdl Qlty]:[Mdl WdDeck]])+Inventory[[#This Row],[Mdl Res Intercept]],-2)</f>
        <v>296800</v>
      </c>
      <c r="BD984" s="25">
        <f>ROUND(Inventory[[#This Row],[Mdl Land Intercept]]+Inventory[[#This Row],[Mdl LnAcres]],-2)</f>
        <v>37300</v>
      </c>
      <c r="BE984" s="25">
        <f>Inventory[[#This Row],[Unadj Res Value]]+Inventory[[#This Row],[Unadj Det Value]]+Inventory[[#This Row],[Unadj Land Value]]</f>
        <v>334100</v>
      </c>
      <c r="BF984" s="36">
        <f>(Inventory[[#This Row],[Unadj Total Value]]-Inventory[[#This Row],[24Final]])/Inventory[[#This Row],[24Final]]</f>
        <v>4.9968573224387178E-2</v>
      </c>
      <c r="BG984" s="25">
        <f>VLOOKUP(Inventory[[#This Row],[Nbhd]],Lookups!$Q$2:$T$4,4,FALSE)</f>
        <v>0.99970000000000003</v>
      </c>
      <c r="BH984" s="25">
        <f>VLOOKUP(Inventory[[#This Row],[Qlty]],Lookups!$O$7:$R$21,4,FALSE)</f>
        <v>0.98050000000000004</v>
      </c>
      <c r="BI984" s="25">
        <f>VLOOKUP(Inventory[[#This Row],[Cnd]],Lookups!$T$7:$W$16,4,FALSE)</f>
        <v>0.99729999999999996</v>
      </c>
      <c r="BJ984" s="25">
        <f>VLOOKUP(Inventory[[#This Row],[LivArea Range]],Lookups!$T$25:$W$37,4,FALSE)</f>
        <v>1.0157</v>
      </c>
      <c r="BK984" s="25">
        <f>VLOOKUP(Inventory[[#This Row],[Decade]],Lookups!$O$25:$R$42,4,FALSE)</f>
        <v>0.995</v>
      </c>
      <c r="BL984" s="25">
        <f>Inventory[[#This Row],[Nbhd Adj]]*0.95</f>
        <v>0.94971499999999998</v>
      </c>
      <c r="BM984" s="25">
        <f>Inventory[[#This Row],[Nbhd Adj]]*Inventory[[#This Row],[Quality Adj]]*Inventory[[#This Row],[Condition Adj]]*Inventory[[#This Row],[Living Area Adj]]*Inventory[[#This Row],[Decade Adj]]*0.95</f>
        <v>0.93854531823597842</v>
      </c>
      <c r="BN984" s="25">
        <f>ROUND(SUM(Inventory[[#This Row],[Mdl Qlty]:[Mdl WdDeck]])+Inventory[[#This Row],[Mdl Res Intercept]]*Inventory[[#This Row],[Res Adj ]],-2)</f>
        <v>296800</v>
      </c>
      <c r="BO984" s="25">
        <f>ROUND(Inventory[[#This Row],[25Det]]*Inventory[[#This Row],[Det/Nbhd Adj]],-2)</f>
        <v>0</v>
      </c>
      <c r="BP984" s="25">
        <f>Inventory[[#This Row],[Adjusted Res]]+Inventory[[#This Row],[Adj Det ]]</f>
        <v>296800</v>
      </c>
      <c r="BQ984" s="25">
        <f>ROUND((Inventory[[#This Row],[Mdl Land Intercept]]+Inventory[[#This Row],[Mdl LnAcres]])*Inventory[[#This Row],[Det/Nbhd Adj]],-2)</f>
        <v>35400</v>
      </c>
      <c r="BR984" s="25">
        <f>Inventory[[#This Row],[Adjusted Impr Total]]+Inventory[[#This Row],[Adjusted Land Total]]</f>
        <v>332200</v>
      </c>
      <c r="BS984" s="36">
        <f>IFERROR((Inventory[[#This Row],[Adjusted Impr Total]]-Inventory[[#This Row],[24Bldg]])/Inventory[[#This Row],[24Bldg]],0)</f>
        <v>0.13455657492354739</v>
      </c>
      <c r="BT984" s="36">
        <f>(Inventory[[#This Row],[Adjusted Land Total]]-Inventory[[#This Row],[24Lnd]])/Inventory[[#This Row],[24Lnd]]</f>
        <v>-0.37455830388692579</v>
      </c>
      <c r="BU984" s="36">
        <f>(Inventory[[#This Row],[Adjusted Total]]-Inventory[[#This Row],[24Final]])/Inventory[[#This Row],[24Final]]</f>
        <v>4.3997485857950977E-2</v>
      </c>
    </row>
    <row r="985" spans="1:73" x14ac:dyDescent="0.3">
      <c r="A985" s="25">
        <v>2025</v>
      </c>
      <c r="B985" s="26" t="s">
        <v>1258</v>
      </c>
      <c r="C985" s="26">
        <f>LN(Inventory[[#This Row],[Acres]])</f>
        <v>-1.7147984280919266</v>
      </c>
      <c r="D985" s="25">
        <v>0.18</v>
      </c>
      <c r="E985" s="25">
        <v>7965</v>
      </c>
      <c r="F985" s="26" t="s">
        <v>537</v>
      </c>
      <c r="G985" s="26" t="s">
        <v>126</v>
      </c>
      <c r="H985" s="26" t="s">
        <v>349</v>
      </c>
      <c r="I985" s="26" t="s">
        <v>538</v>
      </c>
      <c r="J985" s="26" t="s">
        <v>539</v>
      </c>
      <c r="K985" s="26" t="s">
        <v>173</v>
      </c>
      <c r="L985" s="26" t="s">
        <v>351</v>
      </c>
      <c r="M985" s="26" t="s">
        <v>323</v>
      </c>
      <c r="N985" s="26">
        <v>80</v>
      </c>
      <c r="O985" s="26">
        <f>2024-Inventory[[#This Row],[YrBlt]]</f>
        <v>76</v>
      </c>
      <c r="P985" s="26">
        <f>2024-Inventory[[#This Row],[EffYr]]</f>
        <v>51</v>
      </c>
      <c r="Q985" s="25">
        <v>1948</v>
      </c>
      <c r="R985" s="25">
        <v>1973</v>
      </c>
      <c r="S985" s="25">
        <v>1909</v>
      </c>
      <c r="T985" s="32">
        <v>1094</v>
      </c>
      <c r="U985" s="25">
        <v>342</v>
      </c>
      <c r="V985" s="25">
        <f>Inventory[[#This Row],[Bsmt]]-Inventory[[#This Row],[FnBsmt]]</f>
        <v>342</v>
      </c>
      <c r="W985" s="31"/>
      <c r="X985" s="27"/>
      <c r="Y985" s="27">
        <f>Inventory[[#This Row],[MainFn]]+Inventory[[#This Row],[UpprFn]]+Inventory[[#This Row],[FnBsmt]]+Inventory[[#This Row],[AddFn]]</f>
        <v>3003</v>
      </c>
      <c r="Z985" s="27">
        <v>3500</v>
      </c>
      <c r="AA985" s="25">
        <v>8</v>
      </c>
      <c r="AB985" s="31"/>
      <c r="AC985" s="27"/>
      <c r="AD985" s="32">
        <v>115</v>
      </c>
      <c r="AE985" s="27"/>
      <c r="AF985" s="27"/>
      <c r="AG985" s="27"/>
      <c r="AH985" s="27"/>
      <c r="AI985" s="25">
        <v>406208</v>
      </c>
      <c r="AJ985" s="25">
        <v>280284</v>
      </c>
      <c r="AK985" s="25">
        <v>0</v>
      </c>
      <c r="AL985" s="25">
        <v>375900</v>
      </c>
      <c r="AM985" s="25">
        <v>54700</v>
      </c>
      <c r="AN985" s="25">
        <v>321200</v>
      </c>
      <c r="AO985" s="25">
        <v>0</v>
      </c>
      <c r="AP985" s="25">
        <f>Lookups!$B$56*0</f>
        <v>0</v>
      </c>
      <c r="AQ985" s="25">
        <f>Lookups!$B$56*1</f>
        <v>89850.625589999996</v>
      </c>
      <c r="AR985" s="25">
        <f>Lookups!$B$57*Inventory[[#This Row],[LnAcres]]</f>
        <v>-54281.285314520763</v>
      </c>
      <c r="AS985" s="25">
        <f>VLOOKUP(Inventory[[#This Row],[Qlty]],Lookups!$A$62:$E$75,2,FALSE)</f>
        <v>21557.329055999999</v>
      </c>
      <c r="AT985" s="25">
        <f>VLOOKUP(Inventory[[#This Row],[Cnd]],Lookups!$A$76:$E$84,2,FALSE)</f>
        <v>160472.20319</v>
      </c>
      <c r="AU985" s="25">
        <f>Inventory[[#This Row],[EffAge]]*Lookups!$B$85</f>
        <v>-11375.3256255</v>
      </c>
      <c r="AV985" s="25">
        <f>Inventory[[#This Row],[MainFn]]*Lookups!$B$86</f>
        <v>94321.150795192996</v>
      </c>
      <c r="AW985" s="25">
        <f>Inventory[[#This Row],[UpprFn]]*Lookups!$B$87</f>
        <v>48996.346609934</v>
      </c>
      <c r="AX985" s="25">
        <f>Inventory[[#This Row],[AddFn]]*Lookups!$B$88</f>
        <v>0</v>
      </c>
      <c r="AY985" s="25">
        <f>Inventory[[#This Row],[Bsmt]]*Lookups!$B$89</f>
        <v>9946.008174474</v>
      </c>
      <c r="AZ985" s="25">
        <f>Inventory[[#This Row],[Fixtures]]*Lookups!$B$90</f>
        <v>30336.176841600001</v>
      </c>
      <c r="BA985" s="25">
        <f>Inventory[[#This Row],[WdDeck]]*Lookups!$B$91</f>
        <v>3828.9842567400005</v>
      </c>
      <c r="BB985" s="25">
        <f>ROUND(Inventory[[#This Row],[25Det]],-2)</f>
        <v>0</v>
      </c>
      <c r="BC985" s="25">
        <f>ROUND(SUM(Inventory[[#This Row],[Mdl Qlty]:[Mdl WdDeck]])+Inventory[[#This Row],[Mdl Res Intercept]],-2)</f>
        <v>358100</v>
      </c>
      <c r="BD985" s="25">
        <f>ROUND(Inventory[[#This Row],[Mdl Land Intercept]]+Inventory[[#This Row],[Mdl LnAcres]],-2)</f>
        <v>35600</v>
      </c>
      <c r="BE985" s="25">
        <f>Inventory[[#This Row],[Unadj Res Value]]+Inventory[[#This Row],[Unadj Det Value]]+Inventory[[#This Row],[Unadj Land Value]]</f>
        <v>393700</v>
      </c>
      <c r="BF985" s="36">
        <f>(Inventory[[#This Row],[Unadj Total Value]]-Inventory[[#This Row],[24Final]])/Inventory[[#This Row],[24Final]]</f>
        <v>4.7353019420058526E-2</v>
      </c>
      <c r="BG985" s="25">
        <f>VLOOKUP(Inventory[[#This Row],[Nbhd]],Lookups!$Q$2:$T$4,4,FALSE)</f>
        <v>0.99970000000000003</v>
      </c>
      <c r="BH985" s="25">
        <f>VLOOKUP(Inventory[[#This Row],[Qlty]],Lookups!$O$7:$R$21,4,FALSE)</f>
        <v>1.0067999999999999</v>
      </c>
      <c r="BI985" s="25">
        <f>VLOOKUP(Inventory[[#This Row],[Cnd]],Lookups!$T$7:$W$16,4,FALSE)</f>
        <v>0.99729999999999996</v>
      </c>
      <c r="BJ985" s="25">
        <f>VLOOKUP(Inventory[[#This Row],[LivArea Range]],Lookups!$T$25:$W$37,4,FALSE)</f>
        <v>1.0126999999999999</v>
      </c>
      <c r="BK985" s="25">
        <f>VLOOKUP(Inventory[[#This Row],[Decade]],Lookups!$O$25:$R$42,4,FALSE)</f>
        <v>0.995</v>
      </c>
      <c r="BL985" s="25">
        <f>Inventory[[#This Row],[Nbhd Adj]]*0.95</f>
        <v>0.94971499999999998</v>
      </c>
      <c r="BM985" s="25">
        <f>Inventory[[#This Row],[Nbhd Adj]]*Inventory[[#This Row],[Quality Adj]]*Inventory[[#This Row],[Condition Adj]]*Inventory[[#This Row],[Living Area Adj]]*Inventory[[#This Row],[Decade Adj]]*0.95</f>
        <v>0.96087349541847533</v>
      </c>
      <c r="BN985" s="25">
        <f>ROUND(SUM(Inventory[[#This Row],[Mdl Qlty]:[Mdl WdDeck]])+Inventory[[#This Row],[Mdl Res Intercept]]*Inventory[[#This Row],[Res Adj ]],-2)</f>
        <v>358100</v>
      </c>
      <c r="BO985" s="25">
        <f>ROUND(Inventory[[#This Row],[25Det]]*Inventory[[#This Row],[Det/Nbhd Adj]],-2)</f>
        <v>0</v>
      </c>
      <c r="BP985" s="25">
        <f>Inventory[[#This Row],[Adjusted Res]]+Inventory[[#This Row],[Adj Det ]]</f>
        <v>358100</v>
      </c>
      <c r="BQ985" s="25">
        <f>ROUND((Inventory[[#This Row],[Mdl Land Intercept]]+Inventory[[#This Row],[Mdl LnAcres]])*Inventory[[#This Row],[Det/Nbhd Adj]],-2)</f>
        <v>33800</v>
      </c>
      <c r="BR985" s="25">
        <f>Inventory[[#This Row],[Adjusted Impr Total]]+Inventory[[#This Row],[Adjusted Land Total]]</f>
        <v>391900</v>
      </c>
      <c r="BS985" s="36">
        <f>IFERROR((Inventory[[#This Row],[Adjusted Impr Total]]-Inventory[[#This Row],[24Bldg]])/Inventory[[#This Row],[24Bldg]],0)</f>
        <v>0.11488169364881694</v>
      </c>
      <c r="BT985" s="36">
        <f>(Inventory[[#This Row],[Adjusted Land Total]]-Inventory[[#This Row],[24Lnd]])/Inventory[[#This Row],[24Lnd]]</f>
        <v>-0.38208409506398539</v>
      </c>
      <c r="BU985" s="36">
        <f>(Inventory[[#This Row],[Adjusted Total]]-Inventory[[#This Row],[24Final]])/Inventory[[#This Row],[24Final]]</f>
        <v>4.2564511838254854E-2</v>
      </c>
    </row>
    <row r="986" spans="1:73" x14ac:dyDescent="0.3">
      <c r="A986" s="25">
        <v>2025</v>
      </c>
      <c r="B986" s="26" t="s">
        <v>2548</v>
      </c>
      <c r="C986" s="26">
        <f>LN(Inventory[[#This Row],[Acres]])</f>
        <v>-1.7719568419318752</v>
      </c>
      <c r="D986" s="25">
        <v>0.17</v>
      </c>
      <c r="E986" s="31"/>
      <c r="F986" s="26" t="s">
        <v>537</v>
      </c>
      <c r="G986" s="26" t="s">
        <v>126</v>
      </c>
      <c r="H986" s="26" t="s">
        <v>349</v>
      </c>
      <c r="I986" s="26" t="s">
        <v>538</v>
      </c>
      <c r="J986" s="26" t="s">
        <v>539</v>
      </c>
      <c r="K986" s="26" t="s">
        <v>242</v>
      </c>
      <c r="L986" s="26" t="s">
        <v>205</v>
      </c>
      <c r="M986" s="26" t="s">
        <v>206</v>
      </c>
      <c r="N986" s="26">
        <v>80</v>
      </c>
      <c r="O986" s="26">
        <f>2024-Inventory[[#This Row],[YrBlt]]</f>
        <v>76</v>
      </c>
      <c r="P986" s="26">
        <f>2024-Inventory[[#This Row],[EffYr]]</f>
        <v>51</v>
      </c>
      <c r="Q986" s="25">
        <v>1948</v>
      </c>
      <c r="R986" s="25">
        <v>1973</v>
      </c>
      <c r="S986" s="25">
        <v>912</v>
      </c>
      <c r="T986" s="31"/>
      <c r="U986" s="31"/>
      <c r="V986" s="31">
        <f>Inventory[[#This Row],[Bsmt]]-Inventory[[#This Row],[FnBsmt]]</f>
        <v>0</v>
      </c>
      <c r="W986" s="31"/>
      <c r="X986" s="27"/>
      <c r="Y986" s="27">
        <f>Inventory[[#This Row],[MainFn]]+Inventory[[#This Row],[UpprFn]]+Inventory[[#This Row],[FnBsmt]]+Inventory[[#This Row],[AddFn]]</f>
        <v>912</v>
      </c>
      <c r="Z986" s="27">
        <v>1000</v>
      </c>
      <c r="AA986" s="25">
        <v>5</v>
      </c>
      <c r="AB986" s="27"/>
      <c r="AC986" s="27"/>
      <c r="AD986" s="31"/>
      <c r="AE986" s="27"/>
      <c r="AF986" s="27"/>
      <c r="AG986" s="27"/>
      <c r="AH986" s="27"/>
      <c r="AI986" s="25">
        <v>146896</v>
      </c>
      <c r="AJ986" s="25">
        <v>98420</v>
      </c>
      <c r="AK986" s="25">
        <v>6482</v>
      </c>
      <c r="AL986" s="25">
        <v>215600</v>
      </c>
      <c r="AM986" s="25">
        <v>52700</v>
      </c>
      <c r="AN986" s="25">
        <v>162900</v>
      </c>
      <c r="AO986" s="25">
        <v>0</v>
      </c>
      <c r="AP986" s="25">
        <f>Lookups!$B$56*0</f>
        <v>0</v>
      </c>
      <c r="AQ986" s="25">
        <f>Lookups!$B$56*1</f>
        <v>89850.625589999996</v>
      </c>
      <c r="AR986" s="25">
        <f>Lookups!$B$57*Inventory[[#This Row],[LnAcres]]</f>
        <v>-56090.612940989391</v>
      </c>
      <c r="AS986" s="25">
        <f>VLOOKUP(Inventory[[#This Row],[Qlty]],Lookups!$A$62:$E$75,2,FALSE)</f>
        <v>0</v>
      </c>
      <c r="AT986" s="25">
        <f>VLOOKUP(Inventory[[#This Row],[Cnd]],Lookups!$A$76:$E$84,2,FALSE)</f>
        <v>133714.53821</v>
      </c>
      <c r="AU986" s="25">
        <f>Inventory[[#This Row],[EffAge]]*Lookups!$B$85</f>
        <v>-11375.3256255</v>
      </c>
      <c r="AV986" s="25">
        <f>Inventory[[#This Row],[MainFn]]*Lookups!$B$86</f>
        <v>45060.706927824001</v>
      </c>
      <c r="AW986" s="25">
        <f>Inventory[[#This Row],[UpprFn]]*Lookups!$B$87</f>
        <v>0</v>
      </c>
      <c r="AX986" s="25">
        <f>Inventory[[#This Row],[AddFn]]*Lookups!$B$88</f>
        <v>0</v>
      </c>
      <c r="AY986" s="25">
        <f>Inventory[[#This Row],[Bsmt]]*Lookups!$B$89</f>
        <v>0</v>
      </c>
      <c r="AZ986" s="25">
        <f>Inventory[[#This Row],[Fixtures]]*Lookups!$B$90</f>
        <v>18960.110526</v>
      </c>
      <c r="BA986" s="25">
        <f>Inventory[[#This Row],[WdDeck]]*Lookups!$B$91</f>
        <v>0</v>
      </c>
      <c r="BB986" s="25">
        <f>ROUND(Inventory[[#This Row],[25Det]],-2)</f>
        <v>6500</v>
      </c>
      <c r="BC986" s="25">
        <f>ROUND(SUM(Inventory[[#This Row],[Mdl Qlty]:[Mdl WdDeck]])+Inventory[[#This Row],[Mdl Res Intercept]],-2)</f>
        <v>186400</v>
      </c>
      <c r="BD986" s="25">
        <f>ROUND(Inventory[[#This Row],[Mdl Land Intercept]]+Inventory[[#This Row],[Mdl LnAcres]],-2)</f>
        <v>33800</v>
      </c>
      <c r="BE986" s="25">
        <f>Inventory[[#This Row],[Unadj Res Value]]+Inventory[[#This Row],[Unadj Det Value]]+Inventory[[#This Row],[Unadj Land Value]]</f>
        <v>226700</v>
      </c>
      <c r="BF986" s="36">
        <f>(Inventory[[#This Row],[Unadj Total Value]]-Inventory[[#This Row],[24Final]])/Inventory[[#This Row],[24Final]]</f>
        <v>5.1484230055658629E-2</v>
      </c>
      <c r="BG986" s="25">
        <f>VLOOKUP(Inventory[[#This Row],[Nbhd]],Lookups!$Q$2:$T$4,4,FALSE)</f>
        <v>0.99970000000000003</v>
      </c>
      <c r="BH986" s="25">
        <f>VLOOKUP(Inventory[[#This Row],[Qlty]],Lookups!$O$7:$R$21,4,FALSE)</f>
        <v>0.99180000000000001</v>
      </c>
      <c r="BI986" s="25">
        <f>VLOOKUP(Inventory[[#This Row],[Cnd]],Lookups!$T$7:$W$16,4,FALSE)</f>
        <v>0.99329999999999996</v>
      </c>
      <c r="BJ986" s="25">
        <f>VLOOKUP(Inventory[[#This Row],[LivArea Range]],Lookups!$T$25:$W$37,4,FALSE)</f>
        <v>1.0148999999999999</v>
      </c>
      <c r="BK986" s="25">
        <f>VLOOKUP(Inventory[[#This Row],[Decade]],Lookups!$O$25:$R$42,4,FALSE)</f>
        <v>0.995</v>
      </c>
      <c r="BL986" s="25">
        <f>Inventory[[#This Row],[Nbhd Adj]]*0.95</f>
        <v>0.94971499999999998</v>
      </c>
      <c r="BM986" s="25">
        <f>Inventory[[#This Row],[Nbhd Adj]]*Inventory[[#This Row],[Quality Adj]]*Inventory[[#This Row],[Condition Adj]]*Inventory[[#This Row],[Living Area Adj]]*Inventory[[#This Row],[Decade Adj]]*0.95</f>
        <v>0.94480932301456044</v>
      </c>
      <c r="BN986" s="25">
        <f>ROUND(SUM(Inventory[[#This Row],[Mdl Qlty]:[Mdl WdDeck]])+Inventory[[#This Row],[Mdl Res Intercept]]*Inventory[[#This Row],[Res Adj ]],-2)</f>
        <v>186400</v>
      </c>
      <c r="BO986" s="25">
        <f>ROUND(Inventory[[#This Row],[25Det]]*Inventory[[#This Row],[Det/Nbhd Adj]],-2)</f>
        <v>6200</v>
      </c>
      <c r="BP986" s="25">
        <f>Inventory[[#This Row],[Adjusted Res]]+Inventory[[#This Row],[Adj Det ]]</f>
        <v>192600</v>
      </c>
      <c r="BQ986" s="25">
        <f>ROUND((Inventory[[#This Row],[Mdl Land Intercept]]+Inventory[[#This Row],[Mdl LnAcres]])*Inventory[[#This Row],[Det/Nbhd Adj]],-2)</f>
        <v>32100</v>
      </c>
      <c r="BR986" s="25">
        <f>Inventory[[#This Row],[Adjusted Impr Total]]+Inventory[[#This Row],[Adjusted Land Total]]</f>
        <v>224700</v>
      </c>
      <c r="BS986" s="36">
        <f>IFERROR((Inventory[[#This Row],[Adjusted Impr Total]]-Inventory[[#This Row],[24Bldg]])/Inventory[[#This Row],[24Bldg]],0)</f>
        <v>0.18232044198895028</v>
      </c>
      <c r="BT986" s="36">
        <f>(Inventory[[#This Row],[Adjusted Land Total]]-Inventory[[#This Row],[24Lnd]])/Inventory[[#This Row],[24Lnd]]</f>
        <v>-0.39089184060721061</v>
      </c>
      <c r="BU986" s="36">
        <f>(Inventory[[#This Row],[Adjusted Total]]-Inventory[[#This Row],[24Final]])/Inventory[[#This Row],[24Final]]</f>
        <v>4.2207792207792208E-2</v>
      </c>
    </row>
    <row r="987" spans="1:73" x14ac:dyDescent="0.3">
      <c r="A987" s="25">
        <v>2025</v>
      </c>
      <c r="B987" s="26" t="s">
        <v>2866</v>
      </c>
      <c r="C987" s="26">
        <f>LN(Inventory[[#This Row],[Acres]])</f>
        <v>-1.6607312068216509</v>
      </c>
      <c r="D987" s="25">
        <v>0.19</v>
      </c>
      <c r="E987" s="31"/>
      <c r="F987" s="26" t="s">
        <v>537</v>
      </c>
      <c r="G987" s="26" t="s">
        <v>126</v>
      </c>
      <c r="H987" s="26" t="s">
        <v>349</v>
      </c>
      <c r="I987" s="26" t="s">
        <v>538</v>
      </c>
      <c r="J987" s="26" t="s">
        <v>539</v>
      </c>
      <c r="K987" s="26" t="s">
        <v>242</v>
      </c>
      <c r="L987" s="26" t="s">
        <v>351</v>
      </c>
      <c r="M987" s="26" t="s">
        <v>323</v>
      </c>
      <c r="N987" s="26">
        <v>80</v>
      </c>
      <c r="O987" s="26">
        <f>2024-Inventory[[#This Row],[YrBlt]]</f>
        <v>76</v>
      </c>
      <c r="P987" s="26">
        <f>2024-Inventory[[#This Row],[EffYr]]</f>
        <v>51</v>
      </c>
      <c r="Q987" s="25">
        <v>1948</v>
      </c>
      <c r="R987" s="25">
        <v>1973</v>
      </c>
      <c r="S987" s="25">
        <v>1048</v>
      </c>
      <c r="T987" s="27"/>
      <c r="U987" s="25">
        <v>1048</v>
      </c>
      <c r="V987" s="32">
        <f>Inventory[[#This Row],[Bsmt]]-Inventory[[#This Row],[FnBsmt]]</f>
        <v>524</v>
      </c>
      <c r="W987" s="32">
        <v>524</v>
      </c>
      <c r="X987" s="27"/>
      <c r="Y987" s="27">
        <f>Inventory[[#This Row],[MainFn]]+Inventory[[#This Row],[UpprFn]]+Inventory[[#This Row],[FnBsmt]]+Inventory[[#This Row],[AddFn]]</f>
        <v>1572</v>
      </c>
      <c r="Z987" s="27">
        <v>2000</v>
      </c>
      <c r="AA987" s="25">
        <v>8</v>
      </c>
      <c r="AB987" s="31"/>
      <c r="AC987" s="27"/>
      <c r="AD987" s="27"/>
      <c r="AE987" s="27"/>
      <c r="AF987" s="27"/>
      <c r="AG987" s="27"/>
      <c r="AH987" s="27"/>
      <c r="AI987" s="25">
        <v>238882</v>
      </c>
      <c r="AJ987" s="25">
        <v>164829</v>
      </c>
      <c r="AK987" s="25">
        <v>13937</v>
      </c>
      <c r="AL987" s="25">
        <v>318600</v>
      </c>
      <c r="AM987" s="25">
        <v>56600</v>
      </c>
      <c r="AN987" s="25">
        <v>262000</v>
      </c>
      <c r="AO987" s="25">
        <v>0</v>
      </c>
      <c r="AP987" s="25">
        <f>Lookups!$B$56*0</f>
        <v>0</v>
      </c>
      <c r="AQ987" s="25">
        <f>Lookups!$B$56*1</f>
        <v>89850.625589999996</v>
      </c>
      <c r="AR987" s="25">
        <f>Lookups!$B$57*Inventory[[#This Row],[LnAcres]]</f>
        <v>-52569.808201026557</v>
      </c>
      <c r="AS987" s="25">
        <f>VLOOKUP(Inventory[[#This Row],[Qlty]],Lookups!$A$62:$E$75,2,FALSE)</f>
        <v>21557.329055999999</v>
      </c>
      <c r="AT987" s="25">
        <f>VLOOKUP(Inventory[[#This Row],[Cnd]],Lookups!$A$76:$E$84,2,FALSE)</f>
        <v>160472.20319</v>
      </c>
      <c r="AU987" s="25">
        <f>Inventory[[#This Row],[EffAge]]*Lookups!$B$85</f>
        <v>-11375.3256255</v>
      </c>
      <c r="AV987" s="25">
        <f>Inventory[[#This Row],[MainFn]]*Lookups!$B$86</f>
        <v>51780.286031096002</v>
      </c>
      <c r="AW987" s="25">
        <f>Inventory[[#This Row],[UpprFn]]*Lookups!$B$87</f>
        <v>0</v>
      </c>
      <c r="AX987" s="25">
        <f>Inventory[[#This Row],[AddFn]]*Lookups!$B$88</f>
        <v>0</v>
      </c>
      <c r="AY987" s="25">
        <f>Inventory[[#This Row],[Bsmt]]*Lookups!$B$89</f>
        <v>30477.826218856</v>
      </c>
      <c r="AZ987" s="25">
        <f>Inventory[[#This Row],[Fixtures]]*Lookups!$B$90</f>
        <v>30336.176841600001</v>
      </c>
      <c r="BA987" s="25">
        <f>Inventory[[#This Row],[WdDeck]]*Lookups!$B$91</f>
        <v>0</v>
      </c>
      <c r="BB987" s="25">
        <f>ROUND(Inventory[[#This Row],[25Det]],-2)</f>
        <v>13900</v>
      </c>
      <c r="BC987" s="25">
        <f>ROUND(SUM(Inventory[[#This Row],[Mdl Qlty]:[Mdl WdDeck]])+Inventory[[#This Row],[Mdl Res Intercept]],-2)</f>
        <v>283200</v>
      </c>
      <c r="BD987" s="25">
        <f>ROUND(Inventory[[#This Row],[Mdl Land Intercept]]+Inventory[[#This Row],[Mdl LnAcres]],-2)</f>
        <v>37300</v>
      </c>
      <c r="BE987" s="25">
        <f>Inventory[[#This Row],[Unadj Res Value]]+Inventory[[#This Row],[Unadj Det Value]]+Inventory[[#This Row],[Unadj Land Value]]</f>
        <v>334400</v>
      </c>
      <c r="BF987" s="36">
        <f>(Inventory[[#This Row],[Unadj Total Value]]-Inventory[[#This Row],[24Final]])/Inventory[[#This Row],[24Final]]</f>
        <v>4.9591964846202131E-2</v>
      </c>
      <c r="BG987" s="25">
        <f>VLOOKUP(Inventory[[#This Row],[Nbhd]],Lookups!$Q$2:$T$4,4,FALSE)</f>
        <v>0.99970000000000003</v>
      </c>
      <c r="BH987" s="25">
        <f>VLOOKUP(Inventory[[#This Row],[Qlty]],Lookups!$O$7:$R$21,4,FALSE)</f>
        <v>1.0067999999999999</v>
      </c>
      <c r="BI987" s="25">
        <f>VLOOKUP(Inventory[[#This Row],[Cnd]],Lookups!$T$7:$W$16,4,FALSE)</f>
        <v>0.99729999999999996</v>
      </c>
      <c r="BJ987" s="25">
        <f>VLOOKUP(Inventory[[#This Row],[LivArea Range]],Lookups!$T$25:$W$37,4,FALSE)</f>
        <v>1.0093000000000001</v>
      </c>
      <c r="BK987" s="25">
        <f>VLOOKUP(Inventory[[#This Row],[Decade]],Lookups!$O$25:$R$42,4,FALSE)</f>
        <v>0.995</v>
      </c>
      <c r="BL987" s="25">
        <f>Inventory[[#This Row],[Nbhd Adj]]*0.95</f>
        <v>0.94971499999999998</v>
      </c>
      <c r="BM987" s="25">
        <f>Inventory[[#This Row],[Nbhd Adj]]*Inventory[[#This Row],[Quality Adj]]*Inventory[[#This Row],[Condition Adj]]*Inventory[[#This Row],[Living Area Adj]]*Inventory[[#This Row],[Decade Adj]]*0.95</f>
        <v>0.957647495730095</v>
      </c>
      <c r="BN987" s="25">
        <f>ROUND(SUM(Inventory[[#This Row],[Mdl Qlty]:[Mdl WdDeck]])+Inventory[[#This Row],[Mdl Res Intercept]]*Inventory[[#This Row],[Res Adj ]],-2)</f>
        <v>283200</v>
      </c>
      <c r="BO987" s="25">
        <f>ROUND(Inventory[[#This Row],[25Det]]*Inventory[[#This Row],[Det/Nbhd Adj]],-2)</f>
        <v>13200</v>
      </c>
      <c r="BP987" s="25">
        <f>Inventory[[#This Row],[Adjusted Res]]+Inventory[[#This Row],[Adj Det ]]</f>
        <v>296400</v>
      </c>
      <c r="BQ987" s="25">
        <f>ROUND((Inventory[[#This Row],[Mdl Land Intercept]]+Inventory[[#This Row],[Mdl LnAcres]])*Inventory[[#This Row],[Det/Nbhd Adj]],-2)</f>
        <v>35400</v>
      </c>
      <c r="BR987" s="25">
        <f>Inventory[[#This Row],[Adjusted Impr Total]]+Inventory[[#This Row],[Adjusted Land Total]]</f>
        <v>331800</v>
      </c>
      <c r="BS987" s="36">
        <f>IFERROR((Inventory[[#This Row],[Adjusted Impr Total]]-Inventory[[#This Row],[24Bldg]])/Inventory[[#This Row],[24Bldg]],0)</f>
        <v>0.13129770992366413</v>
      </c>
      <c r="BT987" s="36">
        <f>(Inventory[[#This Row],[Adjusted Land Total]]-Inventory[[#This Row],[24Lnd]])/Inventory[[#This Row],[24Lnd]]</f>
        <v>-0.37455830388692579</v>
      </c>
      <c r="BU987" s="36">
        <f>(Inventory[[#This Row],[Adjusted Total]]-Inventory[[#This Row],[24Final]])/Inventory[[#This Row],[24Final]]</f>
        <v>4.1431261770244823E-2</v>
      </c>
    </row>
    <row r="988" spans="1:73" x14ac:dyDescent="0.3">
      <c r="A988" s="25">
        <v>2025</v>
      </c>
      <c r="B988" s="26" t="s">
        <v>2531</v>
      </c>
      <c r="C988" s="26">
        <f>LN(Inventory[[#This Row],[Acres]])</f>
        <v>-1.5606477482646683</v>
      </c>
      <c r="D988" s="25">
        <v>0.21</v>
      </c>
      <c r="E988" s="31"/>
      <c r="F988" s="26" t="s">
        <v>537</v>
      </c>
      <c r="G988" s="26" t="s">
        <v>126</v>
      </c>
      <c r="H988" s="26" t="s">
        <v>349</v>
      </c>
      <c r="I988" s="26" t="s">
        <v>538</v>
      </c>
      <c r="J988" s="26" t="s">
        <v>539</v>
      </c>
      <c r="K988" s="26" t="s">
        <v>173</v>
      </c>
      <c r="L988" s="26" t="s">
        <v>351</v>
      </c>
      <c r="M988" s="26" t="s">
        <v>323</v>
      </c>
      <c r="N988" s="26">
        <v>80</v>
      </c>
      <c r="O988" s="26">
        <f>2024-Inventory[[#This Row],[YrBlt]]</f>
        <v>76</v>
      </c>
      <c r="P988" s="26">
        <f>2024-Inventory[[#This Row],[EffYr]]</f>
        <v>51</v>
      </c>
      <c r="Q988" s="25">
        <v>1948</v>
      </c>
      <c r="R988" s="25">
        <v>1973</v>
      </c>
      <c r="S988" s="25">
        <v>1449</v>
      </c>
      <c r="T988" s="32">
        <v>540</v>
      </c>
      <c r="U988" s="32">
        <v>280</v>
      </c>
      <c r="V988" s="32">
        <f>Inventory[[#This Row],[Bsmt]]-Inventory[[#This Row],[FnBsmt]]</f>
        <v>280</v>
      </c>
      <c r="W988" s="27"/>
      <c r="X988" s="27"/>
      <c r="Y988" s="27">
        <f>Inventory[[#This Row],[MainFn]]+Inventory[[#This Row],[UpprFn]]+Inventory[[#This Row],[FnBsmt]]+Inventory[[#This Row],[AddFn]]</f>
        <v>1989</v>
      </c>
      <c r="Z988" s="27">
        <v>2000</v>
      </c>
      <c r="AA988" s="25">
        <v>5</v>
      </c>
      <c r="AB988" s="27"/>
      <c r="AC988" s="27"/>
      <c r="AD988" s="31"/>
      <c r="AE988" s="27"/>
      <c r="AF988" s="27"/>
      <c r="AG988" s="27"/>
      <c r="AH988" s="27"/>
      <c r="AI988" s="25">
        <v>295087</v>
      </c>
      <c r="AJ988" s="25">
        <v>203610</v>
      </c>
      <c r="AK988" s="25">
        <v>1669</v>
      </c>
      <c r="AL988" s="25">
        <v>320300</v>
      </c>
      <c r="AM988" s="25">
        <v>60100</v>
      </c>
      <c r="AN988" s="25">
        <v>260200</v>
      </c>
      <c r="AO988" s="25">
        <v>0</v>
      </c>
      <c r="AP988" s="25">
        <f>Lookups!$B$56*0</f>
        <v>0</v>
      </c>
      <c r="AQ988" s="25">
        <f>Lookups!$B$56*1</f>
        <v>89850.625589999996</v>
      </c>
      <c r="AR988" s="25">
        <f>Lookups!$B$57*Inventory[[#This Row],[LnAcres]]</f>
        <v>-49401.70477837498</v>
      </c>
      <c r="AS988" s="25">
        <f>VLOOKUP(Inventory[[#This Row],[Qlty]],Lookups!$A$62:$E$75,2,FALSE)</f>
        <v>21557.329055999999</v>
      </c>
      <c r="AT988" s="25">
        <f>VLOOKUP(Inventory[[#This Row],[Cnd]],Lookups!$A$76:$E$84,2,FALSE)</f>
        <v>160472.20319</v>
      </c>
      <c r="AU988" s="25">
        <f>Inventory[[#This Row],[EffAge]]*Lookups!$B$85</f>
        <v>-11375.3256255</v>
      </c>
      <c r="AV988" s="25">
        <f>Inventory[[#This Row],[MainFn]]*Lookups!$B$86</f>
        <v>71593.162651773004</v>
      </c>
      <c r="AW988" s="25">
        <f>Inventory[[#This Row],[UpprFn]]*Lookups!$B$87</f>
        <v>24184.668344940001</v>
      </c>
      <c r="AX988" s="25">
        <f>Inventory[[#This Row],[AddFn]]*Lookups!$B$88</f>
        <v>0</v>
      </c>
      <c r="AY988" s="25">
        <f>Inventory[[#This Row],[Bsmt]]*Lookups!$B$89</f>
        <v>8142.9306691599995</v>
      </c>
      <c r="AZ988" s="25">
        <f>Inventory[[#This Row],[Fixtures]]*Lookups!$B$90</f>
        <v>18960.110526</v>
      </c>
      <c r="BA988" s="25">
        <f>Inventory[[#This Row],[WdDeck]]*Lookups!$B$91</f>
        <v>0</v>
      </c>
      <c r="BB988" s="25">
        <f>ROUND(Inventory[[#This Row],[25Det]],-2)</f>
        <v>1700</v>
      </c>
      <c r="BC988" s="25">
        <f>ROUND(SUM(Inventory[[#This Row],[Mdl Qlty]:[Mdl WdDeck]])+Inventory[[#This Row],[Mdl Res Intercept]],-2)</f>
        <v>293500</v>
      </c>
      <c r="BD988" s="25">
        <f>ROUND(Inventory[[#This Row],[Mdl Land Intercept]]+Inventory[[#This Row],[Mdl LnAcres]],-2)</f>
        <v>40400</v>
      </c>
      <c r="BE988" s="25">
        <f>Inventory[[#This Row],[Unadj Res Value]]+Inventory[[#This Row],[Unadj Det Value]]+Inventory[[#This Row],[Unadj Land Value]]</f>
        <v>335600</v>
      </c>
      <c r="BF988" s="36">
        <f>(Inventory[[#This Row],[Unadj Total Value]]-Inventory[[#This Row],[24Final]])/Inventory[[#This Row],[24Final]]</f>
        <v>4.7767717764595694E-2</v>
      </c>
      <c r="BG988" s="25">
        <f>VLOOKUP(Inventory[[#This Row],[Nbhd]],Lookups!$Q$2:$T$4,4,FALSE)</f>
        <v>0.99970000000000003</v>
      </c>
      <c r="BH988" s="25">
        <f>VLOOKUP(Inventory[[#This Row],[Qlty]],Lookups!$O$7:$R$21,4,FALSE)</f>
        <v>1.0067999999999999</v>
      </c>
      <c r="BI988" s="25">
        <f>VLOOKUP(Inventory[[#This Row],[Cnd]],Lookups!$T$7:$W$16,4,FALSE)</f>
        <v>0.99729999999999996</v>
      </c>
      <c r="BJ988" s="25">
        <f>VLOOKUP(Inventory[[#This Row],[LivArea Range]],Lookups!$T$25:$W$37,4,FALSE)</f>
        <v>1.0093000000000001</v>
      </c>
      <c r="BK988" s="25">
        <f>VLOOKUP(Inventory[[#This Row],[Decade]],Lookups!$O$25:$R$42,4,FALSE)</f>
        <v>0.995</v>
      </c>
      <c r="BL988" s="25">
        <f>Inventory[[#This Row],[Nbhd Adj]]*0.95</f>
        <v>0.94971499999999998</v>
      </c>
      <c r="BM988" s="25">
        <f>Inventory[[#This Row],[Nbhd Adj]]*Inventory[[#This Row],[Quality Adj]]*Inventory[[#This Row],[Condition Adj]]*Inventory[[#This Row],[Living Area Adj]]*Inventory[[#This Row],[Decade Adj]]*0.95</f>
        <v>0.957647495730095</v>
      </c>
      <c r="BN988" s="25">
        <f>ROUND(SUM(Inventory[[#This Row],[Mdl Qlty]:[Mdl WdDeck]])+Inventory[[#This Row],[Mdl Res Intercept]]*Inventory[[#This Row],[Res Adj ]],-2)</f>
        <v>293500</v>
      </c>
      <c r="BO988" s="25">
        <f>ROUND(Inventory[[#This Row],[25Det]]*Inventory[[#This Row],[Det/Nbhd Adj]],-2)</f>
        <v>1600</v>
      </c>
      <c r="BP988" s="25">
        <f>Inventory[[#This Row],[Adjusted Res]]+Inventory[[#This Row],[Adj Det ]]</f>
        <v>295100</v>
      </c>
      <c r="BQ988" s="25">
        <f>ROUND((Inventory[[#This Row],[Mdl Land Intercept]]+Inventory[[#This Row],[Mdl LnAcres]])*Inventory[[#This Row],[Det/Nbhd Adj]],-2)</f>
        <v>38400</v>
      </c>
      <c r="BR988" s="25">
        <f>Inventory[[#This Row],[Adjusted Impr Total]]+Inventory[[#This Row],[Adjusted Land Total]]</f>
        <v>333500</v>
      </c>
      <c r="BS988" s="36">
        <f>IFERROR((Inventory[[#This Row],[Adjusted Impr Total]]-Inventory[[#This Row],[24Bldg]])/Inventory[[#This Row],[24Bldg]],0)</f>
        <v>0.13412759415833975</v>
      </c>
      <c r="BT988" s="36">
        <f>(Inventory[[#This Row],[Adjusted Land Total]]-Inventory[[#This Row],[24Lnd]])/Inventory[[#This Row],[24Lnd]]</f>
        <v>-0.36106489184692181</v>
      </c>
      <c r="BU988" s="36">
        <f>(Inventory[[#This Row],[Adjusted Total]]-Inventory[[#This Row],[24Final]])/Inventory[[#This Row],[24Final]]</f>
        <v>4.1211364345925691E-2</v>
      </c>
    </row>
    <row r="989" spans="1:73" x14ac:dyDescent="0.3">
      <c r="A989" s="25">
        <v>2025</v>
      </c>
      <c r="B989" s="26" t="s">
        <v>1078</v>
      </c>
      <c r="C989" s="26">
        <f>LN(Inventory[[#This Row],[Acres]])</f>
        <v>-1.7719568419318752</v>
      </c>
      <c r="D989" s="25">
        <v>0.17</v>
      </c>
      <c r="E989" s="27"/>
      <c r="F989" s="26" t="s">
        <v>537</v>
      </c>
      <c r="G989" s="26" t="s">
        <v>126</v>
      </c>
      <c r="H989" s="26" t="s">
        <v>349</v>
      </c>
      <c r="I989" s="26" t="s">
        <v>538</v>
      </c>
      <c r="J989" s="26" t="s">
        <v>539</v>
      </c>
      <c r="K989" s="26" t="s">
        <v>242</v>
      </c>
      <c r="L989" s="26" t="s">
        <v>351</v>
      </c>
      <c r="M989" s="26" t="s">
        <v>206</v>
      </c>
      <c r="N989" s="26">
        <v>80</v>
      </c>
      <c r="O989" s="26">
        <f>2024-Inventory[[#This Row],[YrBlt]]</f>
        <v>76</v>
      </c>
      <c r="P989" s="26">
        <f>2024-Inventory[[#This Row],[EffYr]]</f>
        <v>51</v>
      </c>
      <c r="Q989" s="25">
        <v>1948</v>
      </c>
      <c r="R989" s="25">
        <v>1973</v>
      </c>
      <c r="S989" s="25">
        <v>1074</v>
      </c>
      <c r="T989" s="27"/>
      <c r="U989" s="32">
        <v>1074</v>
      </c>
      <c r="V989" s="32">
        <f>Inventory[[#This Row],[Bsmt]]-Inventory[[#This Row],[FnBsmt]]</f>
        <v>306</v>
      </c>
      <c r="W989" s="32">
        <v>768</v>
      </c>
      <c r="X989" s="27"/>
      <c r="Y989" s="27">
        <f>Inventory[[#This Row],[MainFn]]+Inventory[[#This Row],[UpprFn]]+Inventory[[#This Row],[FnBsmt]]+Inventory[[#This Row],[AddFn]]</f>
        <v>1842</v>
      </c>
      <c r="Z989" s="27">
        <v>2000</v>
      </c>
      <c r="AA989" s="25">
        <v>7</v>
      </c>
      <c r="AB989" s="25">
        <v>240</v>
      </c>
      <c r="AC989" s="27"/>
      <c r="AD989" s="27"/>
      <c r="AE989" s="27"/>
      <c r="AF989" s="27"/>
      <c r="AG989" s="27"/>
      <c r="AH989" s="27"/>
      <c r="AI989" s="25">
        <v>274036</v>
      </c>
      <c r="AJ989" s="25">
        <v>183604</v>
      </c>
      <c r="AK989" s="25">
        <v>0</v>
      </c>
      <c r="AL989" s="25">
        <v>275700</v>
      </c>
      <c r="AM989" s="25">
        <v>52700</v>
      </c>
      <c r="AN989" s="25">
        <v>223000</v>
      </c>
      <c r="AO989" s="25">
        <v>0</v>
      </c>
      <c r="AP989" s="25">
        <f>Lookups!$B$56*0</f>
        <v>0</v>
      </c>
      <c r="AQ989" s="25">
        <f>Lookups!$B$56*1</f>
        <v>89850.625589999996</v>
      </c>
      <c r="AR989" s="25">
        <f>Lookups!$B$57*Inventory[[#This Row],[LnAcres]]</f>
        <v>-56090.612940989391</v>
      </c>
      <c r="AS989" s="25">
        <f>VLOOKUP(Inventory[[#This Row],[Qlty]],Lookups!$A$62:$E$75,2,FALSE)</f>
        <v>21557.329055999999</v>
      </c>
      <c r="AT989" s="25">
        <f>VLOOKUP(Inventory[[#This Row],[Cnd]],Lookups!$A$76:$E$84,2,FALSE)</f>
        <v>133714.53821</v>
      </c>
      <c r="AU989" s="25">
        <f>Inventory[[#This Row],[EffAge]]*Lookups!$B$85</f>
        <v>-11375.3256255</v>
      </c>
      <c r="AV989" s="25">
        <f>Inventory[[#This Row],[MainFn]]*Lookups!$B$86</f>
        <v>53064.911447898005</v>
      </c>
      <c r="AW989" s="25">
        <f>Inventory[[#This Row],[UpprFn]]*Lookups!$B$87</f>
        <v>0</v>
      </c>
      <c r="AX989" s="25">
        <f>Inventory[[#This Row],[AddFn]]*Lookups!$B$88</f>
        <v>0</v>
      </c>
      <c r="AY989" s="25">
        <f>Inventory[[#This Row],[Bsmt]]*Lookups!$B$89</f>
        <v>31233.955495277998</v>
      </c>
      <c r="AZ989" s="25">
        <f>Inventory[[#This Row],[Fixtures]]*Lookups!$B$90</f>
        <v>26544.1547364</v>
      </c>
      <c r="BA989" s="25">
        <f>Inventory[[#This Row],[WdDeck]]*Lookups!$B$91</f>
        <v>0</v>
      </c>
      <c r="BB989" s="25">
        <f>ROUND(Inventory[[#This Row],[25Det]],-2)</f>
        <v>0</v>
      </c>
      <c r="BC989" s="25">
        <f>ROUND(SUM(Inventory[[#This Row],[Mdl Qlty]:[Mdl WdDeck]])+Inventory[[#This Row],[Mdl Res Intercept]],-2)</f>
        <v>254700</v>
      </c>
      <c r="BD989" s="25">
        <f>ROUND(Inventory[[#This Row],[Mdl Land Intercept]]+Inventory[[#This Row],[Mdl LnAcres]],-2)</f>
        <v>33800</v>
      </c>
      <c r="BE989" s="25">
        <f>Inventory[[#This Row],[Unadj Res Value]]+Inventory[[#This Row],[Unadj Det Value]]+Inventory[[#This Row],[Unadj Land Value]]</f>
        <v>288500</v>
      </c>
      <c r="BF989" s="36">
        <f>(Inventory[[#This Row],[Unadj Total Value]]-Inventory[[#This Row],[24Final]])/Inventory[[#This Row],[24Final]]</f>
        <v>4.6427276024664489E-2</v>
      </c>
      <c r="BG989" s="25">
        <f>VLOOKUP(Inventory[[#This Row],[Nbhd]],Lookups!$Q$2:$T$4,4,FALSE)</f>
        <v>0.99970000000000003</v>
      </c>
      <c r="BH989" s="25">
        <f>VLOOKUP(Inventory[[#This Row],[Qlty]],Lookups!$O$7:$R$21,4,FALSE)</f>
        <v>1.0067999999999999</v>
      </c>
      <c r="BI989" s="25">
        <f>VLOOKUP(Inventory[[#This Row],[Cnd]],Lookups!$T$7:$W$16,4,FALSE)</f>
        <v>0.99329999999999996</v>
      </c>
      <c r="BJ989" s="25">
        <f>VLOOKUP(Inventory[[#This Row],[LivArea Range]],Lookups!$T$25:$W$37,4,FALSE)</f>
        <v>1.0093000000000001</v>
      </c>
      <c r="BK989" s="25">
        <f>VLOOKUP(Inventory[[#This Row],[Decade]],Lookups!$O$25:$R$42,4,FALSE)</f>
        <v>0.995</v>
      </c>
      <c r="BL989" s="25">
        <f>Inventory[[#This Row],[Nbhd Adj]]*0.95</f>
        <v>0.94971499999999998</v>
      </c>
      <c r="BM989" s="25">
        <f>Inventory[[#This Row],[Nbhd Adj]]*Inventory[[#This Row],[Quality Adj]]*Inventory[[#This Row],[Condition Adj]]*Inventory[[#This Row],[Living Area Adj]]*Inventory[[#This Row],[Decade Adj]]*0.95</f>
        <v>0.95380653515361813</v>
      </c>
      <c r="BN989" s="25">
        <f>ROUND(SUM(Inventory[[#This Row],[Mdl Qlty]:[Mdl WdDeck]])+Inventory[[#This Row],[Mdl Res Intercept]]*Inventory[[#This Row],[Res Adj ]],-2)</f>
        <v>254700</v>
      </c>
      <c r="BO989" s="25">
        <f>ROUND(Inventory[[#This Row],[25Det]]*Inventory[[#This Row],[Det/Nbhd Adj]],-2)</f>
        <v>0</v>
      </c>
      <c r="BP989" s="25">
        <f>Inventory[[#This Row],[Adjusted Res]]+Inventory[[#This Row],[Adj Det ]]</f>
        <v>254700</v>
      </c>
      <c r="BQ989" s="25">
        <f>ROUND((Inventory[[#This Row],[Mdl Land Intercept]]+Inventory[[#This Row],[Mdl LnAcres]])*Inventory[[#This Row],[Det/Nbhd Adj]],-2)</f>
        <v>32100</v>
      </c>
      <c r="BR989" s="25">
        <f>Inventory[[#This Row],[Adjusted Impr Total]]+Inventory[[#This Row],[Adjusted Land Total]]</f>
        <v>286800</v>
      </c>
      <c r="BS989" s="36">
        <f>IFERROR((Inventory[[#This Row],[Adjusted Impr Total]]-Inventory[[#This Row],[24Bldg]])/Inventory[[#This Row],[24Bldg]],0)</f>
        <v>0.142152466367713</v>
      </c>
      <c r="BT989" s="36">
        <f>(Inventory[[#This Row],[Adjusted Land Total]]-Inventory[[#This Row],[24Lnd]])/Inventory[[#This Row],[24Lnd]]</f>
        <v>-0.39089184060721061</v>
      </c>
      <c r="BU989" s="36">
        <f>(Inventory[[#This Row],[Adjusted Total]]-Inventory[[#This Row],[24Final]])/Inventory[[#This Row],[24Final]]</f>
        <v>4.0261153427638738E-2</v>
      </c>
    </row>
    <row r="990" spans="1:73" x14ac:dyDescent="0.3">
      <c r="A990" s="25">
        <v>2025</v>
      </c>
      <c r="B990" s="26" t="s">
        <v>1550</v>
      </c>
      <c r="C990" s="26">
        <f>LN(Inventory[[#This Row],[Acres]])</f>
        <v>-1.6094379124341003</v>
      </c>
      <c r="D990" s="25">
        <v>0.2</v>
      </c>
      <c r="E990" s="25">
        <v>8680</v>
      </c>
      <c r="F990" s="26" t="s">
        <v>537</v>
      </c>
      <c r="G990" s="26" t="s">
        <v>126</v>
      </c>
      <c r="H990" s="26" t="s">
        <v>349</v>
      </c>
      <c r="I990" s="26" t="s">
        <v>538</v>
      </c>
      <c r="J990" s="26" t="s">
        <v>539</v>
      </c>
      <c r="K990" s="26" t="s">
        <v>242</v>
      </c>
      <c r="L990" s="26" t="s">
        <v>302</v>
      </c>
      <c r="M990" s="26" t="s">
        <v>323</v>
      </c>
      <c r="N990" s="26">
        <v>80</v>
      </c>
      <c r="O990" s="26">
        <f>2024-Inventory[[#This Row],[YrBlt]]</f>
        <v>76</v>
      </c>
      <c r="P990" s="26">
        <f>2024-Inventory[[#This Row],[EffYr]]</f>
        <v>51</v>
      </c>
      <c r="Q990" s="25">
        <v>1948</v>
      </c>
      <c r="R990" s="25">
        <v>1973</v>
      </c>
      <c r="S990" s="25">
        <v>1269</v>
      </c>
      <c r="T990" s="27"/>
      <c r="U990" s="25">
        <v>1259</v>
      </c>
      <c r="V990" s="32">
        <f>Inventory[[#This Row],[Bsmt]]-Inventory[[#This Row],[FnBsmt]]</f>
        <v>659</v>
      </c>
      <c r="W990" s="32">
        <v>600</v>
      </c>
      <c r="X990" s="27"/>
      <c r="Y990" s="27">
        <f>Inventory[[#This Row],[MainFn]]+Inventory[[#This Row],[UpprFn]]+Inventory[[#This Row],[FnBsmt]]+Inventory[[#This Row],[AddFn]]</f>
        <v>1869</v>
      </c>
      <c r="Z990" s="27">
        <v>2000</v>
      </c>
      <c r="AA990" s="25">
        <v>9</v>
      </c>
      <c r="AB990" s="31"/>
      <c r="AC990" s="27"/>
      <c r="AD990" s="27"/>
      <c r="AE990" s="27"/>
      <c r="AF990" s="27"/>
      <c r="AG990" s="27"/>
      <c r="AH990" s="27"/>
      <c r="AI990" s="25">
        <v>351800</v>
      </c>
      <c r="AJ990" s="25">
        <v>242742</v>
      </c>
      <c r="AK990" s="25">
        <v>6724</v>
      </c>
      <c r="AL990" s="25">
        <v>342400</v>
      </c>
      <c r="AM990" s="25">
        <v>58400</v>
      </c>
      <c r="AN990" s="25">
        <v>284000</v>
      </c>
      <c r="AO990" s="25">
        <v>0</v>
      </c>
      <c r="AP990" s="25">
        <f>Lookups!$B$56*0</f>
        <v>0</v>
      </c>
      <c r="AQ990" s="25">
        <f>Lookups!$B$56*1</f>
        <v>89850.625589999996</v>
      </c>
      <c r="AR990" s="25">
        <f>Lookups!$B$57*Inventory[[#This Row],[LnAcres]]</f>
        <v>-50946.13867709865</v>
      </c>
      <c r="AS990" s="25">
        <f>VLOOKUP(Inventory[[#This Row],[Qlty]],Lookups!$A$62:$E$75,2,FALSE)</f>
        <v>29814.093161000001</v>
      </c>
      <c r="AT990" s="25">
        <f>VLOOKUP(Inventory[[#This Row],[Cnd]],Lookups!$A$76:$E$84,2,FALSE)</f>
        <v>160472.20319</v>
      </c>
      <c r="AU990" s="25">
        <f>Inventory[[#This Row],[EffAge]]*Lookups!$B$85</f>
        <v>-11375.3256255</v>
      </c>
      <c r="AV990" s="25">
        <f>Inventory[[#This Row],[MainFn]]*Lookups!$B$86</f>
        <v>62699.602073913004</v>
      </c>
      <c r="AW990" s="25">
        <f>Inventory[[#This Row],[UpprFn]]*Lookups!$B$87</f>
        <v>0</v>
      </c>
      <c r="AX990" s="25">
        <f>Inventory[[#This Row],[AddFn]]*Lookups!$B$88</f>
        <v>0</v>
      </c>
      <c r="AY990" s="25">
        <f>Inventory[[#This Row],[Bsmt]]*Lookups!$B$89</f>
        <v>36614.106115973002</v>
      </c>
      <c r="AZ990" s="25">
        <f>Inventory[[#This Row],[Fixtures]]*Lookups!$B$90</f>
        <v>34128.198946800003</v>
      </c>
      <c r="BA990" s="25">
        <f>Inventory[[#This Row],[WdDeck]]*Lookups!$B$91</f>
        <v>0</v>
      </c>
      <c r="BB990" s="25">
        <f>ROUND(Inventory[[#This Row],[25Det]],-2)</f>
        <v>6700</v>
      </c>
      <c r="BC990" s="25">
        <f>ROUND(SUM(Inventory[[#This Row],[Mdl Qlty]:[Mdl WdDeck]])+Inventory[[#This Row],[Mdl Res Intercept]],-2)</f>
        <v>312400</v>
      </c>
      <c r="BD990" s="25">
        <f>ROUND(Inventory[[#This Row],[Mdl Land Intercept]]+Inventory[[#This Row],[Mdl LnAcres]],-2)</f>
        <v>38900</v>
      </c>
      <c r="BE990" s="25">
        <f>Inventory[[#This Row],[Unadj Res Value]]+Inventory[[#This Row],[Unadj Det Value]]+Inventory[[#This Row],[Unadj Land Value]]</f>
        <v>358000</v>
      </c>
      <c r="BF990" s="36">
        <f>(Inventory[[#This Row],[Unadj Total Value]]-Inventory[[#This Row],[24Final]])/Inventory[[#This Row],[24Final]]</f>
        <v>4.55607476635514E-2</v>
      </c>
      <c r="BG990" s="25">
        <f>VLOOKUP(Inventory[[#This Row],[Nbhd]],Lookups!$Q$2:$T$4,4,FALSE)</f>
        <v>0.99970000000000003</v>
      </c>
      <c r="BH990" s="25">
        <f>VLOOKUP(Inventory[[#This Row],[Qlty]],Lookups!$O$7:$R$21,4,FALSE)</f>
        <v>1.0088999999999999</v>
      </c>
      <c r="BI990" s="25">
        <f>VLOOKUP(Inventory[[#This Row],[Cnd]],Lookups!$T$7:$W$16,4,FALSE)</f>
        <v>0.99729999999999996</v>
      </c>
      <c r="BJ990" s="25">
        <f>VLOOKUP(Inventory[[#This Row],[LivArea Range]],Lookups!$T$25:$W$37,4,FALSE)</f>
        <v>1.0093000000000001</v>
      </c>
      <c r="BK990" s="25">
        <f>VLOOKUP(Inventory[[#This Row],[Decade]],Lookups!$O$25:$R$42,4,FALSE)</f>
        <v>0.995</v>
      </c>
      <c r="BL990" s="25">
        <f>Inventory[[#This Row],[Nbhd Adj]]*0.95</f>
        <v>0.94971499999999998</v>
      </c>
      <c r="BM990" s="25">
        <f>Inventory[[#This Row],[Nbhd Adj]]*Inventory[[#This Row],[Quality Adj]]*Inventory[[#This Row],[Condition Adj]]*Inventory[[#This Row],[Living Area Adj]]*Inventory[[#This Row],[Decade Adj]]*0.95</f>
        <v>0.9596449726282209</v>
      </c>
      <c r="BN990" s="25">
        <f>ROUND(SUM(Inventory[[#This Row],[Mdl Qlty]:[Mdl WdDeck]])+Inventory[[#This Row],[Mdl Res Intercept]]*Inventory[[#This Row],[Res Adj ]],-2)</f>
        <v>312400</v>
      </c>
      <c r="BO990" s="25">
        <f>ROUND(Inventory[[#This Row],[25Det]]*Inventory[[#This Row],[Det/Nbhd Adj]],-2)</f>
        <v>6400</v>
      </c>
      <c r="BP990" s="25">
        <f>Inventory[[#This Row],[Adjusted Res]]+Inventory[[#This Row],[Adj Det ]]</f>
        <v>318800</v>
      </c>
      <c r="BQ990" s="25">
        <f>ROUND((Inventory[[#This Row],[Mdl Land Intercept]]+Inventory[[#This Row],[Mdl LnAcres]])*Inventory[[#This Row],[Det/Nbhd Adj]],-2)</f>
        <v>36900</v>
      </c>
      <c r="BR990" s="25">
        <f>Inventory[[#This Row],[Adjusted Impr Total]]+Inventory[[#This Row],[Adjusted Land Total]]</f>
        <v>355700</v>
      </c>
      <c r="BS990" s="36">
        <f>IFERROR((Inventory[[#This Row],[Adjusted Impr Total]]-Inventory[[#This Row],[24Bldg]])/Inventory[[#This Row],[24Bldg]],0)</f>
        <v>0.12253521126760564</v>
      </c>
      <c r="BT990" s="36">
        <f>(Inventory[[#This Row],[Adjusted Land Total]]-Inventory[[#This Row],[24Lnd]])/Inventory[[#This Row],[24Lnd]]</f>
        <v>-0.36815068493150682</v>
      </c>
      <c r="BU990" s="36">
        <f>(Inventory[[#This Row],[Adjusted Total]]-Inventory[[#This Row],[24Final]])/Inventory[[#This Row],[24Final]]</f>
        <v>3.8843457943925234E-2</v>
      </c>
    </row>
    <row r="991" spans="1:73" x14ac:dyDescent="0.3">
      <c r="A991" s="25">
        <v>2025</v>
      </c>
      <c r="B991" s="26" t="s">
        <v>2493</v>
      </c>
      <c r="C991" s="26">
        <f>LN(Inventory[[#This Row],[Acres]])</f>
        <v>-0.96758402626170559</v>
      </c>
      <c r="D991" s="25">
        <v>0.38</v>
      </c>
      <c r="E991" s="25">
        <v>16727</v>
      </c>
      <c r="F991" s="26" t="s">
        <v>537</v>
      </c>
      <c r="G991" s="26" t="s">
        <v>126</v>
      </c>
      <c r="H991" s="26" t="s">
        <v>349</v>
      </c>
      <c r="I991" s="26" t="s">
        <v>538</v>
      </c>
      <c r="J991" s="26" t="s">
        <v>539</v>
      </c>
      <c r="K991" s="26" t="s">
        <v>242</v>
      </c>
      <c r="L991" s="26" t="s">
        <v>351</v>
      </c>
      <c r="M991" s="26" t="s">
        <v>323</v>
      </c>
      <c r="N991" s="26">
        <v>80</v>
      </c>
      <c r="O991" s="26">
        <f>2024-Inventory[[#This Row],[YrBlt]]</f>
        <v>76</v>
      </c>
      <c r="P991" s="26">
        <f>2024-Inventory[[#This Row],[EffYr]]</f>
        <v>51</v>
      </c>
      <c r="Q991" s="25">
        <v>1948</v>
      </c>
      <c r="R991" s="25">
        <v>1973</v>
      </c>
      <c r="S991" s="25">
        <v>1479</v>
      </c>
      <c r="T991" s="27"/>
      <c r="U991" s="32">
        <v>961</v>
      </c>
      <c r="V991" s="32">
        <f>Inventory[[#This Row],[Bsmt]]-Inventory[[#This Row],[FnBsmt]]</f>
        <v>711</v>
      </c>
      <c r="W991" s="32">
        <v>250</v>
      </c>
      <c r="X991" s="27"/>
      <c r="Y991" s="27">
        <f>Inventory[[#This Row],[MainFn]]+Inventory[[#This Row],[UpprFn]]+Inventory[[#This Row],[FnBsmt]]+Inventory[[#This Row],[AddFn]]</f>
        <v>1729</v>
      </c>
      <c r="Z991" s="27">
        <v>2000</v>
      </c>
      <c r="AA991" s="25">
        <v>9</v>
      </c>
      <c r="AB991" s="27"/>
      <c r="AC991" s="32">
        <v>500</v>
      </c>
      <c r="AD991" s="27"/>
      <c r="AE991" s="27"/>
      <c r="AF991" s="27"/>
      <c r="AG991" s="27"/>
      <c r="AH991" s="27"/>
      <c r="AI991" s="25">
        <v>318343</v>
      </c>
      <c r="AJ991" s="25">
        <v>219657</v>
      </c>
      <c r="AK991" s="25">
        <v>0</v>
      </c>
      <c r="AL991" s="25">
        <v>348800</v>
      </c>
      <c r="AM991" s="25">
        <v>80800</v>
      </c>
      <c r="AN991" s="25">
        <v>268000</v>
      </c>
      <c r="AO991" s="25">
        <v>0</v>
      </c>
      <c r="AP991" s="25">
        <f>Lookups!$B$56*0</f>
        <v>0</v>
      </c>
      <c r="AQ991" s="25">
        <f>Lookups!$B$56*1</f>
        <v>89850.625589999996</v>
      </c>
      <c r="AR991" s="25">
        <f>Lookups!$B$57*Inventory[[#This Row],[LnAcres]]</f>
        <v>-30628.500548443946</v>
      </c>
      <c r="AS991" s="25">
        <f>VLOOKUP(Inventory[[#This Row],[Qlty]],Lookups!$A$62:$E$75,2,FALSE)</f>
        <v>21557.329055999999</v>
      </c>
      <c r="AT991" s="25">
        <f>VLOOKUP(Inventory[[#This Row],[Cnd]],Lookups!$A$76:$E$84,2,FALSE)</f>
        <v>160472.20319</v>
      </c>
      <c r="AU991" s="25">
        <f>Inventory[[#This Row],[EffAge]]*Lookups!$B$85</f>
        <v>-11375.3256255</v>
      </c>
      <c r="AV991" s="25">
        <f>Inventory[[#This Row],[MainFn]]*Lookups!$B$86</f>
        <v>73075.422748083001</v>
      </c>
      <c r="AW991" s="25">
        <f>Inventory[[#This Row],[UpprFn]]*Lookups!$B$87</f>
        <v>0</v>
      </c>
      <c r="AX991" s="25">
        <f>Inventory[[#This Row],[AddFn]]*Lookups!$B$88</f>
        <v>0</v>
      </c>
      <c r="AY991" s="25">
        <f>Inventory[[#This Row],[Bsmt]]*Lookups!$B$89</f>
        <v>27947.701332367</v>
      </c>
      <c r="AZ991" s="25">
        <f>Inventory[[#This Row],[Fixtures]]*Lookups!$B$90</f>
        <v>34128.198946800003</v>
      </c>
      <c r="BA991" s="25">
        <f>Inventory[[#This Row],[WdDeck]]*Lookups!$B$91</f>
        <v>0</v>
      </c>
      <c r="BB991" s="25">
        <f>ROUND(Inventory[[#This Row],[25Det]],-2)</f>
        <v>0</v>
      </c>
      <c r="BC991" s="25">
        <f>ROUND(SUM(Inventory[[#This Row],[Mdl Qlty]:[Mdl WdDeck]])+Inventory[[#This Row],[Mdl Res Intercept]],-2)</f>
        <v>305800</v>
      </c>
      <c r="BD991" s="25">
        <f>ROUND(Inventory[[#This Row],[Mdl Land Intercept]]+Inventory[[#This Row],[Mdl LnAcres]],-2)</f>
        <v>59200</v>
      </c>
      <c r="BE991" s="25">
        <f>Inventory[[#This Row],[Unadj Res Value]]+Inventory[[#This Row],[Unadj Det Value]]+Inventory[[#This Row],[Unadj Land Value]]</f>
        <v>365000</v>
      </c>
      <c r="BF991" s="36">
        <f>(Inventory[[#This Row],[Unadj Total Value]]-Inventory[[#This Row],[24Final]])/Inventory[[#This Row],[24Final]]</f>
        <v>4.6444954128440366E-2</v>
      </c>
      <c r="BG991" s="25">
        <f>VLOOKUP(Inventory[[#This Row],[Nbhd]],Lookups!$Q$2:$T$4,4,FALSE)</f>
        <v>0.99970000000000003</v>
      </c>
      <c r="BH991" s="25">
        <f>VLOOKUP(Inventory[[#This Row],[Qlty]],Lookups!$O$7:$R$21,4,FALSE)</f>
        <v>1.0067999999999999</v>
      </c>
      <c r="BI991" s="25">
        <f>VLOOKUP(Inventory[[#This Row],[Cnd]],Lookups!$T$7:$W$16,4,FALSE)</f>
        <v>0.99729999999999996</v>
      </c>
      <c r="BJ991" s="25">
        <f>VLOOKUP(Inventory[[#This Row],[LivArea Range]],Lookups!$T$25:$W$37,4,FALSE)</f>
        <v>1.0093000000000001</v>
      </c>
      <c r="BK991" s="25">
        <f>VLOOKUP(Inventory[[#This Row],[Decade]],Lookups!$O$25:$R$42,4,FALSE)</f>
        <v>0.995</v>
      </c>
      <c r="BL991" s="25">
        <f>Inventory[[#This Row],[Nbhd Adj]]*0.95</f>
        <v>0.94971499999999998</v>
      </c>
      <c r="BM991" s="25">
        <f>Inventory[[#This Row],[Nbhd Adj]]*Inventory[[#This Row],[Quality Adj]]*Inventory[[#This Row],[Condition Adj]]*Inventory[[#This Row],[Living Area Adj]]*Inventory[[#This Row],[Decade Adj]]*0.95</f>
        <v>0.957647495730095</v>
      </c>
      <c r="BN991" s="25">
        <f>ROUND(SUM(Inventory[[#This Row],[Mdl Qlty]:[Mdl WdDeck]])+Inventory[[#This Row],[Mdl Res Intercept]]*Inventory[[#This Row],[Res Adj ]],-2)</f>
        <v>305800</v>
      </c>
      <c r="BO991" s="25">
        <f>ROUND(Inventory[[#This Row],[25Det]]*Inventory[[#This Row],[Det/Nbhd Adj]],-2)</f>
        <v>0</v>
      </c>
      <c r="BP991" s="25">
        <f>Inventory[[#This Row],[Adjusted Res]]+Inventory[[#This Row],[Adj Det ]]</f>
        <v>305800</v>
      </c>
      <c r="BQ991" s="25">
        <f>ROUND((Inventory[[#This Row],[Mdl Land Intercept]]+Inventory[[#This Row],[Mdl LnAcres]])*Inventory[[#This Row],[Det/Nbhd Adj]],-2)</f>
        <v>56200</v>
      </c>
      <c r="BR991" s="25">
        <f>Inventory[[#This Row],[Adjusted Impr Total]]+Inventory[[#This Row],[Adjusted Land Total]]</f>
        <v>362000</v>
      </c>
      <c r="BS991" s="36">
        <f>IFERROR((Inventory[[#This Row],[Adjusted Impr Total]]-Inventory[[#This Row],[24Bldg]])/Inventory[[#This Row],[24Bldg]],0)</f>
        <v>0.141044776119403</v>
      </c>
      <c r="BT991" s="36">
        <f>(Inventory[[#This Row],[Adjusted Land Total]]-Inventory[[#This Row],[24Lnd]])/Inventory[[#This Row],[24Lnd]]</f>
        <v>-0.30445544554455445</v>
      </c>
      <c r="BU991" s="36">
        <f>(Inventory[[#This Row],[Adjusted Total]]-Inventory[[#This Row],[24Final]])/Inventory[[#This Row],[24Final]]</f>
        <v>3.7844036697247709E-2</v>
      </c>
    </row>
    <row r="992" spans="1:73" x14ac:dyDescent="0.3">
      <c r="A992" s="25">
        <v>2025</v>
      </c>
      <c r="B992" s="26" t="s">
        <v>1670</v>
      </c>
      <c r="C992" s="26">
        <f>LN(Inventory[[#This Row],[Acres]])</f>
        <v>-1.6094379124341003</v>
      </c>
      <c r="D992" s="25">
        <v>0.2</v>
      </c>
      <c r="E992" s="31"/>
      <c r="F992" s="26" t="s">
        <v>537</v>
      </c>
      <c r="G992" s="26" t="s">
        <v>126</v>
      </c>
      <c r="H992" s="26" t="s">
        <v>349</v>
      </c>
      <c r="I992" s="26" t="s">
        <v>538</v>
      </c>
      <c r="J992" s="26" t="s">
        <v>539</v>
      </c>
      <c r="K992" s="26" t="s">
        <v>242</v>
      </c>
      <c r="L992" s="26" t="s">
        <v>302</v>
      </c>
      <c r="M992" s="26" t="s">
        <v>323</v>
      </c>
      <c r="N992" s="26">
        <v>80</v>
      </c>
      <c r="O992" s="26">
        <f>2024-Inventory[[#This Row],[YrBlt]]</f>
        <v>76</v>
      </c>
      <c r="P992" s="26">
        <f>2024-Inventory[[#This Row],[EffYr]]</f>
        <v>51</v>
      </c>
      <c r="Q992" s="25">
        <v>1948</v>
      </c>
      <c r="R992" s="25">
        <v>1973</v>
      </c>
      <c r="S992" s="25">
        <v>1601</v>
      </c>
      <c r="T992" s="27"/>
      <c r="U992" s="32">
        <v>1601</v>
      </c>
      <c r="V992" s="32">
        <f>Inventory[[#This Row],[Bsmt]]-Inventory[[#This Row],[FnBsmt]]</f>
        <v>800</v>
      </c>
      <c r="W992" s="32">
        <v>801</v>
      </c>
      <c r="X992" s="27"/>
      <c r="Y992" s="27">
        <f>Inventory[[#This Row],[MainFn]]+Inventory[[#This Row],[UpprFn]]+Inventory[[#This Row],[FnBsmt]]+Inventory[[#This Row],[AddFn]]</f>
        <v>2402</v>
      </c>
      <c r="Z992" s="27">
        <v>2500</v>
      </c>
      <c r="AA992" s="25">
        <v>8</v>
      </c>
      <c r="AB992" s="27"/>
      <c r="AC992" s="27"/>
      <c r="AD992" s="27"/>
      <c r="AE992" s="27"/>
      <c r="AF992" s="27"/>
      <c r="AG992" s="27"/>
      <c r="AH992" s="27"/>
      <c r="AI992" s="25">
        <v>384062</v>
      </c>
      <c r="AJ992" s="25">
        <v>265003</v>
      </c>
      <c r="AK992" s="25">
        <v>9040</v>
      </c>
      <c r="AL992" s="25">
        <v>366700</v>
      </c>
      <c r="AM992" s="25">
        <v>58400</v>
      </c>
      <c r="AN992" s="25">
        <v>308300</v>
      </c>
      <c r="AO992" s="25">
        <v>0</v>
      </c>
      <c r="AP992" s="25">
        <f>Lookups!$B$56*0</f>
        <v>0</v>
      </c>
      <c r="AQ992" s="25">
        <f>Lookups!$B$56*1</f>
        <v>89850.625589999996</v>
      </c>
      <c r="AR992" s="25">
        <f>Lookups!$B$57*Inventory[[#This Row],[LnAcres]]</f>
        <v>-50946.13867709865</v>
      </c>
      <c r="AS992" s="25">
        <f>VLOOKUP(Inventory[[#This Row],[Qlty]],Lookups!$A$62:$E$75,2,FALSE)</f>
        <v>29814.093161000001</v>
      </c>
      <c r="AT992" s="25">
        <f>VLOOKUP(Inventory[[#This Row],[Cnd]],Lookups!$A$76:$E$84,2,FALSE)</f>
        <v>160472.20319</v>
      </c>
      <c r="AU992" s="25">
        <f>Inventory[[#This Row],[EffAge]]*Lookups!$B$85</f>
        <v>-11375.3256255</v>
      </c>
      <c r="AV992" s="25">
        <f>Inventory[[#This Row],[MainFn]]*Lookups!$B$86</f>
        <v>79103.280473077</v>
      </c>
      <c r="AW992" s="25">
        <f>Inventory[[#This Row],[UpprFn]]*Lookups!$B$87</f>
        <v>0</v>
      </c>
      <c r="AX992" s="25">
        <f>Inventory[[#This Row],[AddFn]]*Lookups!$B$88</f>
        <v>0</v>
      </c>
      <c r="AY992" s="25">
        <f>Inventory[[#This Row],[Bsmt]]*Lookups!$B$89</f>
        <v>46560.114290446996</v>
      </c>
      <c r="AZ992" s="25">
        <f>Inventory[[#This Row],[Fixtures]]*Lookups!$B$90</f>
        <v>30336.176841600001</v>
      </c>
      <c r="BA992" s="25">
        <f>Inventory[[#This Row],[WdDeck]]*Lookups!$B$91</f>
        <v>0</v>
      </c>
      <c r="BB992" s="25">
        <f>ROUND(Inventory[[#This Row],[25Det]],-2)</f>
        <v>9000</v>
      </c>
      <c r="BC992" s="25">
        <f>ROUND(SUM(Inventory[[#This Row],[Mdl Qlty]:[Mdl WdDeck]])+Inventory[[#This Row],[Mdl Res Intercept]],-2)</f>
        <v>334900</v>
      </c>
      <c r="BD992" s="25">
        <f>ROUND(Inventory[[#This Row],[Mdl Land Intercept]]+Inventory[[#This Row],[Mdl LnAcres]],-2)</f>
        <v>38900</v>
      </c>
      <c r="BE992" s="25">
        <f>Inventory[[#This Row],[Unadj Res Value]]+Inventory[[#This Row],[Unadj Det Value]]+Inventory[[#This Row],[Unadj Land Value]]</f>
        <v>382800</v>
      </c>
      <c r="BF992" s="36">
        <f>(Inventory[[#This Row],[Unadj Total Value]]-Inventory[[#This Row],[24Final]])/Inventory[[#This Row],[24Final]]</f>
        <v>4.3905099536405784E-2</v>
      </c>
      <c r="BG992" s="25">
        <f>VLOOKUP(Inventory[[#This Row],[Nbhd]],Lookups!$Q$2:$T$4,4,FALSE)</f>
        <v>0.99970000000000003</v>
      </c>
      <c r="BH992" s="25">
        <f>VLOOKUP(Inventory[[#This Row],[Qlty]],Lookups!$O$7:$R$21,4,FALSE)</f>
        <v>1.0088999999999999</v>
      </c>
      <c r="BI992" s="25">
        <f>VLOOKUP(Inventory[[#This Row],[Cnd]],Lookups!$T$7:$W$16,4,FALSE)</f>
        <v>0.99729999999999996</v>
      </c>
      <c r="BJ992" s="25">
        <f>VLOOKUP(Inventory[[#This Row],[LivArea Range]],Lookups!$T$25:$W$37,4,FALSE)</f>
        <v>0.98919999999999997</v>
      </c>
      <c r="BK992" s="25">
        <f>VLOOKUP(Inventory[[#This Row],[Decade]],Lookups!$O$25:$R$42,4,FALSE)</f>
        <v>0.995</v>
      </c>
      <c r="BL992" s="25">
        <f>Inventory[[#This Row],[Nbhd Adj]]*0.95</f>
        <v>0.94971499999999998</v>
      </c>
      <c r="BM992" s="25">
        <f>Inventory[[#This Row],[Nbhd Adj]]*Inventory[[#This Row],[Quality Adj]]*Inventory[[#This Row],[Condition Adj]]*Inventory[[#This Row],[Living Area Adj]]*Inventory[[#This Row],[Decade Adj]]*0.95</f>
        <v>0.94053384219145564</v>
      </c>
      <c r="BN992" s="25">
        <f>ROUND(SUM(Inventory[[#This Row],[Mdl Qlty]:[Mdl WdDeck]])+Inventory[[#This Row],[Mdl Res Intercept]]*Inventory[[#This Row],[Res Adj ]],-2)</f>
        <v>334900</v>
      </c>
      <c r="BO992" s="25">
        <f>ROUND(Inventory[[#This Row],[25Det]]*Inventory[[#This Row],[Det/Nbhd Adj]],-2)</f>
        <v>8600</v>
      </c>
      <c r="BP992" s="25">
        <f>Inventory[[#This Row],[Adjusted Res]]+Inventory[[#This Row],[Adj Det ]]</f>
        <v>343500</v>
      </c>
      <c r="BQ992" s="25">
        <f>ROUND((Inventory[[#This Row],[Mdl Land Intercept]]+Inventory[[#This Row],[Mdl LnAcres]])*Inventory[[#This Row],[Det/Nbhd Adj]],-2)</f>
        <v>36900</v>
      </c>
      <c r="BR992" s="25">
        <f>Inventory[[#This Row],[Adjusted Impr Total]]+Inventory[[#This Row],[Adjusted Land Total]]</f>
        <v>380400</v>
      </c>
      <c r="BS992" s="36">
        <f>IFERROR((Inventory[[#This Row],[Adjusted Impr Total]]-Inventory[[#This Row],[24Bldg]])/Inventory[[#This Row],[24Bldg]],0)</f>
        <v>0.11417450535192994</v>
      </c>
      <c r="BT992" s="36">
        <f>(Inventory[[#This Row],[Adjusted Land Total]]-Inventory[[#This Row],[24Lnd]])/Inventory[[#This Row],[24Lnd]]</f>
        <v>-0.36815068493150682</v>
      </c>
      <c r="BU992" s="36">
        <f>(Inventory[[#This Row],[Adjusted Total]]-Inventory[[#This Row],[24Final]])/Inventory[[#This Row],[24Final]]</f>
        <v>3.7360239978183801E-2</v>
      </c>
    </row>
    <row r="993" spans="1:73" x14ac:dyDescent="0.3">
      <c r="A993" s="25">
        <v>2025</v>
      </c>
      <c r="B993" s="26" t="s">
        <v>1594</v>
      </c>
      <c r="C993" s="26">
        <f>LN(Inventory[[#This Row],[Acres]])</f>
        <v>-1.7147984280919266</v>
      </c>
      <c r="D993" s="25">
        <v>0.18</v>
      </c>
      <c r="E993" s="31"/>
      <c r="F993" s="26" t="s">
        <v>537</v>
      </c>
      <c r="G993" s="26" t="s">
        <v>126</v>
      </c>
      <c r="H993" s="26" t="s">
        <v>349</v>
      </c>
      <c r="I993" s="26" t="s">
        <v>538</v>
      </c>
      <c r="J993" s="26" t="s">
        <v>539</v>
      </c>
      <c r="K993" s="26" t="s">
        <v>242</v>
      </c>
      <c r="L993" s="26" t="s">
        <v>351</v>
      </c>
      <c r="M993" s="26" t="s">
        <v>323</v>
      </c>
      <c r="N993" s="26">
        <v>80</v>
      </c>
      <c r="O993" s="26">
        <f>2024-Inventory[[#This Row],[YrBlt]]</f>
        <v>76</v>
      </c>
      <c r="P993" s="26">
        <f>2024-Inventory[[#This Row],[EffYr]]</f>
        <v>51</v>
      </c>
      <c r="Q993" s="25">
        <v>1948</v>
      </c>
      <c r="R993" s="25">
        <v>1973</v>
      </c>
      <c r="S993" s="25">
        <v>950</v>
      </c>
      <c r="T993" s="27"/>
      <c r="U993" s="32">
        <v>950</v>
      </c>
      <c r="V993" s="32">
        <f>Inventory[[#This Row],[Bsmt]]-Inventory[[#This Row],[FnBsmt]]</f>
        <v>200</v>
      </c>
      <c r="W993" s="32">
        <v>750</v>
      </c>
      <c r="X993" s="27"/>
      <c r="Y993" s="27">
        <f>Inventory[[#This Row],[MainFn]]+Inventory[[#This Row],[UpprFn]]+Inventory[[#This Row],[FnBsmt]]+Inventory[[#This Row],[AddFn]]</f>
        <v>1700</v>
      </c>
      <c r="Z993" s="27">
        <v>2000</v>
      </c>
      <c r="AA993" s="25">
        <v>9</v>
      </c>
      <c r="AB993" s="31"/>
      <c r="AC993" s="27"/>
      <c r="AD993" s="27"/>
      <c r="AE993" s="27"/>
      <c r="AF993" s="27"/>
      <c r="AG993" s="27"/>
      <c r="AH993" s="27"/>
      <c r="AI993" s="25">
        <v>239263</v>
      </c>
      <c r="AJ993" s="25">
        <v>165091</v>
      </c>
      <c r="AK993" s="25">
        <v>5261</v>
      </c>
      <c r="AL993" s="25">
        <v>308600</v>
      </c>
      <c r="AM993" s="25">
        <v>54700</v>
      </c>
      <c r="AN993" s="25">
        <v>253900</v>
      </c>
      <c r="AO993" s="25">
        <v>0</v>
      </c>
      <c r="AP993" s="25">
        <f>Lookups!$B$56*0</f>
        <v>0</v>
      </c>
      <c r="AQ993" s="25">
        <f>Lookups!$B$56*1</f>
        <v>89850.625589999996</v>
      </c>
      <c r="AR993" s="25">
        <f>Lookups!$B$57*Inventory[[#This Row],[LnAcres]]</f>
        <v>-54281.285314520763</v>
      </c>
      <c r="AS993" s="25">
        <f>VLOOKUP(Inventory[[#This Row],[Qlty]],Lookups!$A$62:$E$75,2,FALSE)</f>
        <v>21557.329055999999</v>
      </c>
      <c r="AT993" s="25">
        <f>VLOOKUP(Inventory[[#This Row],[Cnd]],Lookups!$A$76:$E$84,2,FALSE)</f>
        <v>160472.20319</v>
      </c>
      <c r="AU993" s="25">
        <f>Inventory[[#This Row],[EffAge]]*Lookups!$B$85</f>
        <v>-11375.3256255</v>
      </c>
      <c r="AV993" s="25">
        <f>Inventory[[#This Row],[MainFn]]*Lookups!$B$86</f>
        <v>46938.236383150004</v>
      </c>
      <c r="AW993" s="25">
        <f>Inventory[[#This Row],[UpprFn]]*Lookups!$B$87</f>
        <v>0</v>
      </c>
      <c r="AX993" s="25">
        <f>Inventory[[#This Row],[AddFn]]*Lookups!$B$88</f>
        <v>0</v>
      </c>
      <c r="AY993" s="25">
        <f>Inventory[[#This Row],[Bsmt]]*Lookups!$B$89</f>
        <v>27627.800484649997</v>
      </c>
      <c r="AZ993" s="25">
        <f>Inventory[[#This Row],[Fixtures]]*Lookups!$B$90</f>
        <v>34128.198946800003</v>
      </c>
      <c r="BA993" s="25">
        <f>Inventory[[#This Row],[WdDeck]]*Lookups!$B$91</f>
        <v>0</v>
      </c>
      <c r="BB993" s="25">
        <f>ROUND(Inventory[[#This Row],[25Det]],-2)</f>
        <v>5300</v>
      </c>
      <c r="BC993" s="25">
        <f>ROUND(SUM(Inventory[[#This Row],[Mdl Qlty]:[Mdl WdDeck]])+Inventory[[#This Row],[Mdl Res Intercept]],-2)</f>
        <v>279300</v>
      </c>
      <c r="BD993" s="25">
        <f>ROUND(Inventory[[#This Row],[Mdl Land Intercept]]+Inventory[[#This Row],[Mdl LnAcres]],-2)</f>
        <v>35600</v>
      </c>
      <c r="BE993" s="25">
        <f>Inventory[[#This Row],[Unadj Res Value]]+Inventory[[#This Row],[Unadj Det Value]]+Inventory[[#This Row],[Unadj Land Value]]</f>
        <v>320200</v>
      </c>
      <c r="BF993" s="36">
        <f>(Inventory[[#This Row],[Unadj Total Value]]-Inventory[[#This Row],[24Final]])/Inventory[[#This Row],[24Final]]</f>
        <v>3.7589112119248216E-2</v>
      </c>
      <c r="BG993" s="25">
        <f>VLOOKUP(Inventory[[#This Row],[Nbhd]],Lookups!$Q$2:$T$4,4,FALSE)</f>
        <v>0.99970000000000003</v>
      </c>
      <c r="BH993" s="25">
        <f>VLOOKUP(Inventory[[#This Row],[Qlty]],Lookups!$O$7:$R$21,4,FALSE)</f>
        <v>1.0067999999999999</v>
      </c>
      <c r="BI993" s="25">
        <f>VLOOKUP(Inventory[[#This Row],[Cnd]],Lookups!$T$7:$W$16,4,FALSE)</f>
        <v>0.99729999999999996</v>
      </c>
      <c r="BJ993" s="25">
        <f>VLOOKUP(Inventory[[#This Row],[LivArea Range]],Lookups!$T$25:$W$37,4,FALSE)</f>
        <v>1.0093000000000001</v>
      </c>
      <c r="BK993" s="25">
        <f>VLOOKUP(Inventory[[#This Row],[Decade]],Lookups!$O$25:$R$42,4,FALSE)</f>
        <v>0.995</v>
      </c>
      <c r="BL993" s="25">
        <f>Inventory[[#This Row],[Nbhd Adj]]*0.95</f>
        <v>0.94971499999999998</v>
      </c>
      <c r="BM993" s="25">
        <f>Inventory[[#This Row],[Nbhd Adj]]*Inventory[[#This Row],[Quality Adj]]*Inventory[[#This Row],[Condition Adj]]*Inventory[[#This Row],[Living Area Adj]]*Inventory[[#This Row],[Decade Adj]]*0.95</f>
        <v>0.957647495730095</v>
      </c>
      <c r="BN993" s="25">
        <f>ROUND(SUM(Inventory[[#This Row],[Mdl Qlty]:[Mdl WdDeck]])+Inventory[[#This Row],[Mdl Res Intercept]]*Inventory[[#This Row],[Res Adj ]],-2)</f>
        <v>279300</v>
      </c>
      <c r="BO993" s="25">
        <f>ROUND(Inventory[[#This Row],[25Det]]*Inventory[[#This Row],[Det/Nbhd Adj]],-2)</f>
        <v>5000</v>
      </c>
      <c r="BP993" s="25">
        <f>Inventory[[#This Row],[Adjusted Res]]+Inventory[[#This Row],[Adj Det ]]</f>
        <v>284300</v>
      </c>
      <c r="BQ993" s="25">
        <f>ROUND((Inventory[[#This Row],[Mdl Land Intercept]]+Inventory[[#This Row],[Mdl LnAcres]])*Inventory[[#This Row],[Det/Nbhd Adj]],-2)</f>
        <v>33800</v>
      </c>
      <c r="BR993" s="25">
        <f>Inventory[[#This Row],[Adjusted Impr Total]]+Inventory[[#This Row],[Adjusted Land Total]]</f>
        <v>318100</v>
      </c>
      <c r="BS993" s="36">
        <f>IFERROR((Inventory[[#This Row],[Adjusted Impr Total]]-Inventory[[#This Row],[24Bldg]])/Inventory[[#This Row],[24Bldg]],0)</f>
        <v>0.11973217802284364</v>
      </c>
      <c r="BT993" s="36">
        <f>(Inventory[[#This Row],[Adjusted Land Total]]-Inventory[[#This Row],[24Lnd]])/Inventory[[#This Row],[24Lnd]]</f>
        <v>-0.38208409506398539</v>
      </c>
      <c r="BU993" s="36">
        <f>(Inventory[[#This Row],[Adjusted Total]]-Inventory[[#This Row],[24Final]])/Inventory[[#This Row],[24Final]]</f>
        <v>3.0784186649384315E-2</v>
      </c>
    </row>
    <row r="994" spans="1:73" x14ac:dyDescent="0.3">
      <c r="A994" s="25">
        <v>2025</v>
      </c>
      <c r="B994" s="26" t="s">
        <v>2520</v>
      </c>
      <c r="C994" s="26">
        <f>LN(Inventory[[#This Row],[Acres]])</f>
        <v>-1.6094379124341003</v>
      </c>
      <c r="D994" s="25">
        <v>0.2</v>
      </c>
      <c r="E994" s="31"/>
      <c r="F994" s="26" t="s">
        <v>537</v>
      </c>
      <c r="G994" s="26" t="s">
        <v>126</v>
      </c>
      <c r="H994" s="26" t="s">
        <v>349</v>
      </c>
      <c r="I994" s="26" t="s">
        <v>538</v>
      </c>
      <c r="J994" s="26" t="s">
        <v>539</v>
      </c>
      <c r="K994" s="26" t="s">
        <v>241</v>
      </c>
      <c r="L994" s="26" t="s">
        <v>351</v>
      </c>
      <c r="M994" s="26" t="s">
        <v>323</v>
      </c>
      <c r="N994" s="26">
        <v>80</v>
      </c>
      <c r="O994" s="26">
        <f>2024-Inventory[[#This Row],[YrBlt]]</f>
        <v>76</v>
      </c>
      <c r="P994" s="26">
        <f>2024-Inventory[[#This Row],[EffYr]]</f>
        <v>51</v>
      </c>
      <c r="Q994" s="25">
        <v>1948</v>
      </c>
      <c r="R994" s="25">
        <v>1973</v>
      </c>
      <c r="S994" s="25">
        <v>1428</v>
      </c>
      <c r="T994" s="27"/>
      <c r="U994" s="27"/>
      <c r="V994" s="27">
        <f>Inventory[[#This Row],[Bsmt]]-Inventory[[#This Row],[FnBsmt]]</f>
        <v>0</v>
      </c>
      <c r="W994" s="27"/>
      <c r="X994" s="27"/>
      <c r="Y994" s="27">
        <f>Inventory[[#This Row],[MainFn]]+Inventory[[#This Row],[UpprFn]]+Inventory[[#This Row],[FnBsmt]]+Inventory[[#This Row],[AddFn]]</f>
        <v>1428</v>
      </c>
      <c r="Z994" s="27">
        <v>1500</v>
      </c>
      <c r="AA994" s="25">
        <v>8</v>
      </c>
      <c r="AB994" s="31"/>
      <c r="AC994" s="27"/>
      <c r="AD994" s="27"/>
      <c r="AE994" s="27"/>
      <c r="AF994" s="27"/>
      <c r="AG994" s="27"/>
      <c r="AH994" s="27"/>
      <c r="AI994" s="25">
        <v>247435</v>
      </c>
      <c r="AJ994" s="25">
        <v>170730</v>
      </c>
      <c r="AK994" s="25">
        <v>27250</v>
      </c>
      <c r="AL994" s="25">
        <v>325100</v>
      </c>
      <c r="AM994" s="25">
        <v>58400</v>
      </c>
      <c r="AN994" s="25">
        <v>266700</v>
      </c>
      <c r="AO994" s="25">
        <v>0</v>
      </c>
      <c r="AP994" s="25">
        <f>Lookups!$B$56*0</f>
        <v>0</v>
      </c>
      <c r="AQ994" s="25">
        <f>Lookups!$B$56*1</f>
        <v>89850.625589999996</v>
      </c>
      <c r="AR994" s="25">
        <f>Lookups!$B$57*Inventory[[#This Row],[LnAcres]]</f>
        <v>-50946.13867709865</v>
      </c>
      <c r="AS994" s="25">
        <f>VLOOKUP(Inventory[[#This Row],[Qlty]],Lookups!$A$62:$E$75,2,FALSE)</f>
        <v>21557.329055999999</v>
      </c>
      <c r="AT994" s="25">
        <f>VLOOKUP(Inventory[[#This Row],[Cnd]],Lookups!$A$76:$E$84,2,FALSE)</f>
        <v>160472.20319</v>
      </c>
      <c r="AU994" s="25">
        <f>Inventory[[#This Row],[EffAge]]*Lookups!$B$85</f>
        <v>-11375.3256255</v>
      </c>
      <c r="AV994" s="25">
        <f>Inventory[[#This Row],[MainFn]]*Lookups!$B$86</f>
        <v>70555.580584356008</v>
      </c>
      <c r="AW994" s="25">
        <f>Inventory[[#This Row],[UpprFn]]*Lookups!$B$87</f>
        <v>0</v>
      </c>
      <c r="AX994" s="25">
        <f>Inventory[[#This Row],[AddFn]]*Lookups!$B$88</f>
        <v>0</v>
      </c>
      <c r="AY994" s="25">
        <f>Inventory[[#This Row],[Bsmt]]*Lookups!$B$89</f>
        <v>0</v>
      </c>
      <c r="AZ994" s="25">
        <f>Inventory[[#This Row],[Fixtures]]*Lookups!$B$90</f>
        <v>30336.176841600001</v>
      </c>
      <c r="BA994" s="25">
        <f>Inventory[[#This Row],[WdDeck]]*Lookups!$B$91</f>
        <v>0</v>
      </c>
      <c r="BB994" s="25">
        <f>ROUND(Inventory[[#This Row],[25Det]],-2)</f>
        <v>27300</v>
      </c>
      <c r="BC994" s="25">
        <f>ROUND(SUM(Inventory[[#This Row],[Mdl Qlty]:[Mdl WdDeck]])+Inventory[[#This Row],[Mdl Res Intercept]],-2)</f>
        <v>271500</v>
      </c>
      <c r="BD994" s="25">
        <f>ROUND(Inventory[[#This Row],[Mdl Land Intercept]]+Inventory[[#This Row],[Mdl LnAcres]],-2)</f>
        <v>38900</v>
      </c>
      <c r="BE994" s="25">
        <f>Inventory[[#This Row],[Unadj Res Value]]+Inventory[[#This Row],[Unadj Det Value]]+Inventory[[#This Row],[Unadj Land Value]]</f>
        <v>337700</v>
      </c>
      <c r="BF994" s="36">
        <f>(Inventory[[#This Row],[Unadj Total Value]]-Inventory[[#This Row],[24Final]])/Inventory[[#This Row],[24Final]]</f>
        <v>3.8757305444478619E-2</v>
      </c>
      <c r="BG994" s="25">
        <f>VLOOKUP(Inventory[[#This Row],[Nbhd]],Lookups!$Q$2:$T$4,4,FALSE)</f>
        <v>0.99970000000000003</v>
      </c>
      <c r="BH994" s="25">
        <f>VLOOKUP(Inventory[[#This Row],[Qlty]],Lookups!$O$7:$R$21,4,FALSE)</f>
        <v>1.0067999999999999</v>
      </c>
      <c r="BI994" s="25">
        <f>VLOOKUP(Inventory[[#This Row],[Cnd]],Lookups!$T$7:$W$16,4,FALSE)</f>
        <v>0.99729999999999996</v>
      </c>
      <c r="BJ994" s="25">
        <f>VLOOKUP(Inventory[[#This Row],[LivArea Range]],Lookups!$T$25:$W$37,4,FALSE)</f>
        <v>1.0157</v>
      </c>
      <c r="BK994" s="25">
        <f>VLOOKUP(Inventory[[#This Row],[Decade]],Lookups!$O$25:$R$42,4,FALSE)</f>
        <v>0.995</v>
      </c>
      <c r="BL994" s="25">
        <f>Inventory[[#This Row],[Nbhd Adj]]*0.95</f>
        <v>0.94971499999999998</v>
      </c>
      <c r="BM994" s="25">
        <f>Inventory[[#This Row],[Nbhd Adj]]*Inventory[[#This Row],[Quality Adj]]*Inventory[[#This Row],[Condition Adj]]*Inventory[[#This Row],[Living Area Adj]]*Inventory[[#This Row],[Decade Adj]]*0.95</f>
        <v>0.96371996573175212</v>
      </c>
      <c r="BN994" s="25">
        <f>ROUND(SUM(Inventory[[#This Row],[Mdl Qlty]:[Mdl WdDeck]])+Inventory[[#This Row],[Mdl Res Intercept]]*Inventory[[#This Row],[Res Adj ]],-2)</f>
        <v>271500</v>
      </c>
      <c r="BO994" s="25">
        <f>ROUND(Inventory[[#This Row],[25Det]]*Inventory[[#This Row],[Det/Nbhd Adj]],-2)</f>
        <v>25900</v>
      </c>
      <c r="BP994" s="25">
        <f>Inventory[[#This Row],[Adjusted Res]]+Inventory[[#This Row],[Adj Det ]]</f>
        <v>297400</v>
      </c>
      <c r="BQ994" s="25">
        <f>ROUND((Inventory[[#This Row],[Mdl Land Intercept]]+Inventory[[#This Row],[Mdl LnAcres]])*Inventory[[#This Row],[Det/Nbhd Adj]],-2)</f>
        <v>36900</v>
      </c>
      <c r="BR994" s="25">
        <f>Inventory[[#This Row],[Adjusted Impr Total]]+Inventory[[#This Row],[Adjusted Land Total]]</f>
        <v>334300</v>
      </c>
      <c r="BS994" s="36">
        <f>IFERROR((Inventory[[#This Row],[Adjusted Impr Total]]-Inventory[[#This Row],[24Bldg]])/Inventory[[#This Row],[24Bldg]],0)</f>
        <v>0.1151106111736033</v>
      </c>
      <c r="BT994" s="36">
        <f>(Inventory[[#This Row],[Adjusted Land Total]]-Inventory[[#This Row],[24Lnd]])/Inventory[[#This Row],[24Lnd]]</f>
        <v>-0.36815068493150682</v>
      </c>
      <c r="BU994" s="36">
        <f>(Inventory[[#This Row],[Adjusted Total]]-Inventory[[#This Row],[24Final]])/Inventory[[#This Row],[24Final]]</f>
        <v>2.829898492771455E-2</v>
      </c>
    </row>
    <row r="995" spans="1:73" x14ac:dyDescent="0.3">
      <c r="A995" s="25">
        <v>2025</v>
      </c>
      <c r="B995" s="26" t="s">
        <v>2485</v>
      </c>
      <c r="C995" s="26">
        <f>LN(Inventory[[#This Row],[Acres]])</f>
        <v>-1.7147984280919266</v>
      </c>
      <c r="D995" s="25">
        <v>0.18</v>
      </c>
      <c r="E995" s="25">
        <v>7917</v>
      </c>
      <c r="F995" s="26" t="s">
        <v>537</v>
      </c>
      <c r="G995" s="26" t="s">
        <v>126</v>
      </c>
      <c r="H995" s="26" t="s">
        <v>349</v>
      </c>
      <c r="I995" s="26" t="s">
        <v>538</v>
      </c>
      <c r="J995" s="26" t="s">
        <v>539</v>
      </c>
      <c r="K995" s="26" t="s">
        <v>241</v>
      </c>
      <c r="L995" s="26" t="s">
        <v>351</v>
      </c>
      <c r="M995" s="26" t="s">
        <v>323</v>
      </c>
      <c r="N995" s="26">
        <v>80</v>
      </c>
      <c r="O995" s="26">
        <f>2024-Inventory[[#This Row],[YrBlt]]</f>
        <v>76</v>
      </c>
      <c r="P995" s="26">
        <f>2024-Inventory[[#This Row],[EffYr]]</f>
        <v>51</v>
      </c>
      <c r="Q995" s="25">
        <v>1948</v>
      </c>
      <c r="R995" s="25">
        <v>1973</v>
      </c>
      <c r="S995" s="25">
        <v>1364</v>
      </c>
      <c r="T995" s="27"/>
      <c r="U995" s="27"/>
      <c r="V995" s="27">
        <f>Inventory[[#This Row],[Bsmt]]-Inventory[[#This Row],[FnBsmt]]</f>
        <v>0</v>
      </c>
      <c r="W995" s="27"/>
      <c r="X995" s="27"/>
      <c r="Y995" s="27">
        <f>Inventory[[#This Row],[MainFn]]+Inventory[[#This Row],[UpprFn]]+Inventory[[#This Row],[FnBsmt]]+Inventory[[#This Row],[AddFn]]</f>
        <v>1364</v>
      </c>
      <c r="Z995" s="27">
        <v>1500</v>
      </c>
      <c r="AA995" s="25">
        <v>5</v>
      </c>
      <c r="AB995" s="27"/>
      <c r="AC995" s="27"/>
      <c r="AD995" s="31"/>
      <c r="AE995" s="27"/>
      <c r="AF995" s="27"/>
      <c r="AG995" s="27"/>
      <c r="AH995" s="27"/>
      <c r="AI995" s="25">
        <v>223257</v>
      </c>
      <c r="AJ995" s="25">
        <v>154047</v>
      </c>
      <c r="AK995" s="25">
        <v>0</v>
      </c>
      <c r="AL995" s="25">
        <v>284600</v>
      </c>
      <c r="AM995" s="25">
        <v>54700</v>
      </c>
      <c r="AN995" s="25">
        <v>229900</v>
      </c>
      <c r="AO995" s="25">
        <v>0</v>
      </c>
      <c r="AP995" s="25">
        <f>Lookups!$B$56*0</f>
        <v>0</v>
      </c>
      <c r="AQ995" s="25">
        <f>Lookups!$B$56*1</f>
        <v>89850.625589999996</v>
      </c>
      <c r="AR995" s="25">
        <f>Lookups!$B$57*Inventory[[#This Row],[LnAcres]]</f>
        <v>-54281.285314520763</v>
      </c>
      <c r="AS995" s="25">
        <f>VLOOKUP(Inventory[[#This Row],[Qlty]],Lookups!$A$62:$E$75,2,FALSE)</f>
        <v>21557.329055999999</v>
      </c>
      <c r="AT995" s="25">
        <f>VLOOKUP(Inventory[[#This Row],[Cnd]],Lookups!$A$76:$E$84,2,FALSE)</f>
        <v>160472.20319</v>
      </c>
      <c r="AU995" s="25">
        <f>Inventory[[#This Row],[EffAge]]*Lookups!$B$85</f>
        <v>-11375.3256255</v>
      </c>
      <c r="AV995" s="25">
        <f>Inventory[[#This Row],[MainFn]]*Lookups!$B$86</f>
        <v>67393.425712227996</v>
      </c>
      <c r="AW995" s="25">
        <f>Inventory[[#This Row],[UpprFn]]*Lookups!$B$87</f>
        <v>0</v>
      </c>
      <c r="AX995" s="25">
        <f>Inventory[[#This Row],[AddFn]]*Lookups!$B$88</f>
        <v>0</v>
      </c>
      <c r="AY995" s="25">
        <f>Inventory[[#This Row],[Bsmt]]*Lookups!$B$89</f>
        <v>0</v>
      </c>
      <c r="AZ995" s="25">
        <f>Inventory[[#This Row],[Fixtures]]*Lookups!$B$90</f>
        <v>18960.110526</v>
      </c>
      <c r="BA995" s="25">
        <f>Inventory[[#This Row],[WdDeck]]*Lookups!$B$91</f>
        <v>0</v>
      </c>
      <c r="BB995" s="25">
        <f>ROUND(Inventory[[#This Row],[25Det]],-2)</f>
        <v>0</v>
      </c>
      <c r="BC995" s="25">
        <f>ROUND(SUM(Inventory[[#This Row],[Mdl Qlty]:[Mdl WdDeck]])+Inventory[[#This Row],[Mdl Res Intercept]],-2)</f>
        <v>257000</v>
      </c>
      <c r="BD995" s="25">
        <f>ROUND(Inventory[[#This Row],[Mdl Land Intercept]]+Inventory[[#This Row],[Mdl LnAcres]],-2)</f>
        <v>35600</v>
      </c>
      <c r="BE995" s="25">
        <f>Inventory[[#This Row],[Unadj Res Value]]+Inventory[[#This Row],[Unadj Det Value]]+Inventory[[#This Row],[Unadj Land Value]]</f>
        <v>292600</v>
      </c>
      <c r="BF995" s="36">
        <f>(Inventory[[#This Row],[Unadj Total Value]]-Inventory[[#This Row],[24Final]])/Inventory[[#This Row],[24Final]]</f>
        <v>2.8109627547434995E-2</v>
      </c>
      <c r="BG995" s="25">
        <f>VLOOKUP(Inventory[[#This Row],[Nbhd]],Lookups!$Q$2:$T$4,4,FALSE)</f>
        <v>0.99970000000000003</v>
      </c>
      <c r="BH995" s="25">
        <f>VLOOKUP(Inventory[[#This Row],[Qlty]],Lookups!$O$7:$R$21,4,FALSE)</f>
        <v>1.0067999999999999</v>
      </c>
      <c r="BI995" s="25">
        <f>VLOOKUP(Inventory[[#This Row],[Cnd]],Lookups!$T$7:$W$16,4,FALSE)</f>
        <v>0.99729999999999996</v>
      </c>
      <c r="BJ995" s="25">
        <f>VLOOKUP(Inventory[[#This Row],[LivArea Range]],Lookups!$T$25:$W$37,4,FALSE)</f>
        <v>1.0157</v>
      </c>
      <c r="BK995" s="25">
        <f>VLOOKUP(Inventory[[#This Row],[Decade]],Lookups!$O$25:$R$42,4,FALSE)</f>
        <v>0.995</v>
      </c>
      <c r="BL995" s="25">
        <f>Inventory[[#This Row],[Nbhd Adj]]*0.95</f>
        <v>0.94971499999999998</v>
      </c>
      <c r="BM995" s="25">
        <f>Inventory[[#This Row],[Nbhd Adj]]*Inventory[[#This Row],[Quality Adj]]*Inventory[[#This Row],[Condition Adj]]*Inventory[[#This Row],[Living Area Adj]]*Inventory[[#This Row],[Decade Adj]]*0.95</f>
        <v>0.96371996573175212</v>
      </c>
      <c r="BN995" s="25">
        <f>ROUND(SUM(Inventory[[#This Row],[Mdl Qlty]:[Mdl WdDeck]])+Inventory[[#This Row],[Mdl Res Intercept]]*Inventory[[#This Row],[Res Adj ]],-2)</f>
        <v>257000</v>
      </c>
      <c r="BO995" s="25">
        <f>ROUND(Inventory[[#This Row],[25Det]]*Inventory[[#This Row],[Det/Nbhd Adj]],-2)</f>
        <v>0</v>
      </c>
      <c r="BP995" s="25">
        <f>Inventory[[#This Row],[Adjusted Res]]+Inventory[[#This Row],[Adj Det ]]</f>
        <v>257000</v>
      </c>
      <c r="BQ995" s="25">
        <f>ROUND((Inventory[[#This Row],[Mdl Land Intercept]]+Inventory[[#This Row],[Mdl LnAcres]])*Inventory[[#This Row],[Det/Nbhd Adj]],-2)</f>
        <v>33800</v>
      </c>
      <c r="BR995" s="25">
        <f>Inventory[[#This Row],[Adjusted Impr Total]]+Inventory[[#This Row],[Adjusted Land Total]]</f>
        <v>290800</v>
      </c>
      <c r="BS995" s="36">
        <f>IFERROR((Inventory[[#This Row],[Adjusted Impr Total]]-Inventory[[#This Row],[24Bldg]])/Inventory[[#This Row],[24Bldg]],0)</f>
        <v>0.11787733797303175</v>
      </c>
      <c r="BT995" s="36">
        <f>(Inventory[[#This Row],[Adjusted Land Total]]-Inventory[[#This Row],[24Lnd]])/Inventory[[#This Row],[24Lnd]]</f>
        <v>-0.38208409506398539</v>
      </c>
      <c r="BU995" s="36">
        <f>(Inventory[[#This Row],[Adjusted Total]]-Inventory[[#This Row],[24Final]])/Inventory[[#This Row],[24Final]]</f>
        <v>2.1784961349262121E-2</v>
      </c>
    </row>
    <row r="996" spans="1:73" x14ac:dyDescent="0.3">
      <c r="A996" s="25">
        <v>2025</v>
      </c>
      <c r="B996" s="26" t="s">
        <v>1158</v>
      </c>
      <c r="C996" s="26">
        <f>LN(Inventory[[#This Row],[Acres]])</f>
        <v>-1.6094379124341003</v>
      </c>
      <c r="D996" s="25">
        <v>0.2</v>
      </c>
      <c r="E996" s="25">
        <v>8640</v>
      </c>
      <c r="F996" s="26" t="s">
        <v>537</v>
      </c>
      <c r="G996" s="26" t="s">
        <v>126</v>
      </c>
      <c r="H996" s="26" t="s">
        <v>349</v>
      </c>
      <c r="I996" s="26" t="s">
        <v>538</v>
      </c>
      <c r="J996" s="26" t="s">
        <v>539</v>
      </c>
      <c r="K996" s="26" t="s">
        <v>241</v>
      </c>
      <c r="L996" s="26" t="s">
        <v>205</v>
      </c>
      <c r="M996" s="26" t="s">
        <v>323</v>
      </c>
      <c r="N996" s="26">
        <v>80</v>
      </c>
      <c r="O996" s="26">
        <f>2024-Inventory[[#This Row],[YrBlt]]</f>
        <v>76</v>
      </c>
      <c r="P996" s="26">
        <f>2024-Inventory[[#This Row],[EffYr]]</f>
        <v>51</v>
      </c>
      <c r="Q996" s="25">
        <v>1948</v>
      </c>
      <c r="R996" s="25">
        <v>1973</v>
      </c>
      <c r="S996" s="25">
        <v>1220</v>
      </c>
      <c r="T996" s="27"/>
      <c r="U996" s="32">
        <v>100</v>
      </c>
      <c r="V996" s="32">
        <f>Inventory[[#This Row],[Bsmt]]-Inventory[[#This Row],[FnBsmt]]</f>
        <v>0</v>
      </c>
      <c r="W996" s="32">
        <v>100</v>
      </c>
      <c r="X996" s="27"/>
      <c r="Y996" s="27">
        <f>Inventory[[#This Row],[MainFn]]+Inventory[[#This Row],[UpprFn]]+Inventory[[#This Row],[FnBsmt]]+Inventory[[#This Row],[AddFn]]</f>
        <v>1320</v>
      </c>
      <c r="Z996" s="27">
        <v>1500</v>
      </c>
      <c r="AA996" s="25">
        <v>5</v>
      </c>
      <c r="AB996" s="27"/>
      <c r="AC996" s="27"/>
      <c r="AD996" s="27"/>
      <c r="AE996" s="27"/>
      <c r="AF996" s="27"/>
      <c r="AG996" s="27"/>
      <c r="AH996" s="27"/>
      <c r="AI996" s="25">
        <v>188730</v>
      </c>
      <c r="AJ996" s="25">
        <v>130224</v>
      </c>
      <c r="AK996" s="25">
        <v>0</v>
      </c>
      <c r="AL996" s="25">
        <v>263100</v>
      </c>
      <c r="AM996" s="25">
        <v>58400</v>
      </c>
      <c r="AN996" s="25">
        <v>204700</v>
      </c>
      <c r="AO996" s="25">
        <v>0</v>
      </c>
      <c r="AP996" s="25">
        <f>Lookups!$B$56*0</f>
        <v>0</v>
      </c>
      <c r="AQ996" s="25">
        <f>Lookups!$B$56*1</f>
        <v>89850.625589999996</v>
      </c>
      <c r="AR996" s="25">
        <f>Lookups!$B$57*Inventory[[#This Row],[LnAcres]]</f>
        <v>-50946.13867709865</v>
      </c>
      <c r="AS996" s="25">
        <f>VLOOKUP(Inventory[[#This Row],[Qlty]],Lookups!$A$62:$E$75,2,FALSE)</f>
        <v>0</v>
      </c>
      <c r="AT996" s="25">
        <f>VLOOKUP(Inventory[[#This Row],[Cnd]],Lookups!$A$76:$E$84,2,FALSE)</f>
        <v>160472.20319</v>
      </c>
      <c r="AU996" s="25">
        <f>Inventory[[#This Row],[EffAge]]*Lookups!$B$85</f>
        <v>-11375.3256255</v>
      </c>
      <c r="AV996" s="25">
        <f>Inventory[[#This Row],[MainFn]]*Lookups!$B$86</f>
        <v>60278.577249940005</v>
      </c>
      <c r="AW996" s="25">
        <f>Inventory[[#This Row],[UpprFn]]*Lookups!$B$87</f>
        <v>0</v>
      </c>
      <c r="AX996" s="25">
        <f>Inventory[[#This Row],[AddFn]]*Lookups!$B$88</f>
        <v>0</v>
      </c>
      <c r="AY996" s="25">
        <f>Inventory[[#This Row],[Bsmt]]*Lookups!$B$89</f>
        <v>2908.1895246999998</v>
      </c>
      <c r="AZ996" s="25">
        <f>Inventory[[#This Row],[Fixtures]]*Lookups!$B$90</f>
        <v>18960.110526</v>
      </c>
      <c r="BA996" s="25">
        <f>Inventory[[#This Row],[WdDeck]]*Lookups!$B$91</f>
        <v>0</v>
      </c>
      <c r="BB996" s="25">
        <f>ROUND(Inventory[[#This Row],[25Det]],-2)</f>
        <v>0</v>
      </c>
      <c r="BC996" s="25">
        <f>ROUND(SUM(Inventory[[#This Row],[Mdl Qlty]:[Mdl WdDeck]])+Inventory[[#This Row],[Mdl Res Intercept]],-2)</f>
        <v>231200</v>
      </c>
      <c r="BD996" s="25">
        <f>ROUND(Inventory[[#This Row],[Mdl Land Intercept]]+Inventory[[#This Row],[Mdl LnAcres]],-2)</f>
        <v>38900</v>
      </c>
      <c r="BE996" s="25">
        <f>Inventory[[#This Row],[Unadj Res Value]]+Inventory[[#This Row],[Unadj Det Value]]+Inventory[[#This Row],[Unadj Land Value]]</f>
        <v>270100</v>
      </c>
      <c r="BF996" s="36">
        <f>(Inventory[[#This Row],[Unadj Total Value]]-Inventory[[#This Row],[24Final]])/Inventory[[#This Row],[24Final]]</f>
        <v>2.6605853287723299E-2</v>
      </c>
      <c r="BG996" s="25">
        <f>VLOOKUP(Inventory[[#This Row],[Nbhd]],Lookups!$Q$2:$T$4,4,FALSE)</f>
        <v>0.99970000000000003</v>
      </c>
      <c r="BH996" s="25">
        <f>VLOOKUP(Inventory[[#This Row],[Qlty]],Lookups!$O$7:$R$21,4,FALSE)</f>
        <v>0.99180000000000001</v>
      </c>
      <c r="BI996" s="25">
        <f>VLOOKUP(Inventory[[#This Row],[Cnd]],Lookups!$T$7:$W$16,4,FALSE)</f>
        <v>0.99729999999999996</v>
      </c>
      <c r="BJ996" s="25">
        <f>VLOOKUP(Inventory[[#This Row],[LivArea Range]],Lookups!$T$25:$W$37,4,FALSE)</f>
        <v>1.0157</v>
      </c>
      <c r="BK996" s="25">
        <f>VLOOKUP(Inventory[[#This Row],[Decade]],Lookups!$O$25:$R$42,4,FALSE)</f>
        <v>0.995</v>
      </c>
      <c r="BL996" s="25">
        <f>Inventory[[#This Row],[Nbhd Adj]]*0.95</f>
        <v>0.94971499999999998</v>
      </c>
      <c r="BM996" s="25">
        <f>Inventory[[#This Row],[Nbhd Adj]]*Inventory[[#This Row],[Quality Adj]]*Inventory[[#This Row],[Condition Adj]]*Inventory[[#This Row],[Living Area Adj]]*Inventory[[#This Row],[Decade Adj]]*0.95</f>
        <v>0.94936180176077878</v>
      </c>
      <c r="BN996" s="25">
        <f>ROUND(SUM(Inventory[[#This Row],[Mdl Qlty]:[Mdl WdDeck]])+Inventory[[#This Row],[Mdl Res Intercept]]*Inventory[[#This Row],[Res Adj ]],-2)</f>
        <v>231200</v>
      </c>
      <c r="BO996" s="25">
        <f>ROUND(Inventory[[#This Row],[25Det]]*Inventory[[#This Row],[Det/Nbhd Adj]],-2)</f>
        <v>0</v>
      </c>
      <c r="BP996" s="25">
        <f>Inventory[[#This Row],[Adjusted Res]]+Inventory[[#This Row],[Adj Det ]]</f>
        <v>231200</v>
      </c>
      <c r="BQ996" s="25">
        <f>ROUND((Inventory[[#This Row],[Mdl Land Intercept]]+Inventory[[#This Row],[Mdl LnAcres]])*Inventory[[#This Row],[Det/Nbhd Adj]],-2)</f>
        <v>36900</v>
      </c>
      <c r="BR996" s="25">
        <f>Inventory[[#This Row],[Adjusted Impr Total]]+Inventory[[#This Row],[Adjusted Land Total]]</f>
        <v>268100</v>
      </c>
      <c r="BS996" s="36">
        <f>IFERROR((Inventory[[#This Row],[Adjusted Impr Total]]-Inventory[[#This Row],[24Bldg]])/Inventory[[#This Row],[24Bldg]],0)</f>
        <v>0.12945774303859306</v>
      </c>
      <c r="BT996" s="36">
        <f>(Inventory[[#This Row],[Adjusted Land Total]]-Inventory[[#This Row],[24Lnd]])/Inventory[[#This Row],[24Lnd]]</f>
        <v>-0.36815068493150682</v>
      </c>
      <c r="BU996" s="36">
        <f>(Inventory[[#This Row],[Adjusted Total]]-Inventory[[#This Row],[24Final]])/Inventory[[#This Row],[24Final]]</f>
        <v>1.9004180919802355E-2</v>
      </c>
    </row>
    <row r="997" spans="1:73" x14ac:dyDescent="0.3">
      <c r="A997" s="25">
        <v>2025</v>
      </c>
      <c r="B997" s="26" t="s">
        <v>1672</v>
      </c>
      <c r="C997" s="26">
        <f>LN(Inventory[[#This Row],[Acres]])</f>
        <v>-1.6094379124341003</v>
      </c>
      <c r="D997" s="25">
        <v>0.2</v>
      </c>
      <c r="E997" s="25">
        <v>8540</v>
      </c>
      <c r="F997" s="26" t="s">
        <v>537</v>
      </c>
      <c r="G997" s="26" t="s">
        <v>126</v>
      </c>
      <c r="H997" s="26" t="s">
        <v>349</v>
      </c>
      <c r="I997" s="26" t="s">
        <v>538</v>
      </c>
      <c r="J997" s="26" t="s">
        <v>539</v>
      </c>
      <c r="K997" s="26" t="s">
        <v>242</v>
      </c>
      <c r="L997" s="26" t="s">
        <v>302</v>
      </c>
      <c r="M997" s="26" t="s">
        <v>206</v>
      </c>
      <c r="N997" s="26">
        <v>80</v>
      </c>
      <c r="O997" s="26">
        <f>2024-Inventory[[#This Row],[YrBlt]]</f>
        <v>76</v>
      </c>
      <c r="P997" s="26">
        <f>2024-Inventory[[#This Row],[EffYr]]</f>
        <v>51</v>
      </c>
      <c r="Q997" s="25">
        <v>1948</v>
      </c>
      <c r="R997" s="25">
        <v>1973</v>
      </c>
      <c r="S997" s="25">
        <v>1267</v>
      </c>
      <c r="T997" s="27"/>
      <c r="U997" s="32">
        <v>949</v>
      </c>
      <c r="V997" s="32">
        <f>Inventory[[#This Row],[Bsmt]]-Inventory[[#This Row],[FnBsmt]]</f>
        <v>49</v>
      </c>
      <c r="W997" s="32">
        <v>900</v>
      </c>
      <c r="X997" s="27"/>
      <c r="Y997" s="27">
        <f>Inventory[[#This Row],[MainFn]]+Inventory[[#This Row],[UpprFn]]+Inventory[[#This Row],[FnBsmt]]+Inventory[[#This Row],[AddFn]]</f>
        <v>2167</v>
      </c>
      <c r="Z997" s="27">
        <v>2500</v>
      </c>
      <c r="AA997" s="25">
        <v>8</v>
      </c>
      <c r="AB997" s="27"/>
      <c r="AC997" s="27"/>
      <c r="AD997" s="27"/>
      <c r="AE997" s="27"/>
      <c r="AF997" s="27"/>
      <c r="AG997" s="27"/>
      <c r="AH997" s="27"/>
      <c r="AI997" s="25">
        <v>355843</v>
      </c>
      <c r="AJ997" s="25">
        <v>238415</v>
      </c>
      <c r="AK997" s="25">
        <v>6421</v>
      </c>
      <c r="AL997" s="25">
        <v>311700</v>
      </c>
      <c r="AM997" s="25">
        <v>58400</v>
      </c>
      <c r="AN997" s="25">
        <v>253300</v>
      </c>
      <c r="AO997" s="25">
        <v>0</v>
      </c>
      <c r="AP997" s="25">
        <f>Lookups!$B$56*0</f>
        <v>0</v>
      </c>
      <c r="AQ997" s="25">
        <f>Lookups!$B$56*1</f>
        <v>89850.625589999996</v>
      </c>
      <c r="AR997" s="25">
        <f>Lookups!$B$57*Inventory[[#This Row],[LnAcres]]</f>
        <v>-50946.13867709865</v>
      </c>
      <c r="AS997" s="25">
        <f>VLOOKUP(Inventory[[#This Row],[Qlty]],Lookups!$A$62:$E$75,2,FALSE)</f>
        <v>29814.093161000001</v>
      </c>
      <c r="AT997" s="25">
        <f>VLOOKUP(Inventory[[#This Row],[Cnd]],Lookups!$A$76:$E$84,2,FALSE)</f>
        <v>133714.53821</v>
      </c>
      <c r="AU997" s="25">
        <f>Inventory[[#This Row],[EffAge]]*Lookups!$B$85</f>
        <v>-11375.3256255</v>
      </c>
      <c r="AV997" s="25">
        <f>Inventory[[#This Row],[MainFn]]*Lookups!$B$86</f>
        <v>62600.784734159002</v>
      </c>
      <c r="AW997" s="25">
        <f>Inventory[[#This Row],[UpprFn]]*Lookups!$B$87</f>
        <v>0</v>
      </c>
      <c r="AX997" s="25">
        <f>Inventory[[#This Row],[AddFn]]*Lookups!$B$88</f>
        <v>0</v>
      </c>
      <c r="AY997" s="25">
        <f>Inventory[[#This Row],[Bsmt]]*Lookups!$B$89</f>
        <v>27598.718589402997</v>
      </c>
      <c r="AZ997" s="25">
        <f>Inventory[[#This Row],[Fixtures]]*Lookups!$B$90</f>
        <v>30336.176841600001</v>
      </c>
      <c r="BA997" s="25">
        <f>Inventory[[#This Row],[WdDeck]]*Lookups!$B$91</f>
        <v>0</v>
      </c>
      <c r="BB997" s="25">
        <f>ROUND(Inventory[[#This Row],[25Det]],-2)</f>
        <v>6400</v>
      </c>
      <c r="BC997" s="25">
        <f>ROUND(SUM(Inventory[[#This Row],[Mdl Qlty]:[Mdl WdDeck]])+Inventory[[#This Row],[Mdl Res Intercept]],-2)</f>
        <v>272700</v>
      </c>
      <c r="BD997" s="25">
        <f>ROUND(Inventory[[#This Row],[Mdl Land Intercept]]+Inventory[[#This Row],[Mdl LnAcres]],-2)</f>
        <v>38900</v>
      </c>
      <c r="BE997" s="25">
        <f>Inventory[[#This Row],[Unadj Res Value]]+Inventory[[#This Row],[Unadj Det Value]]+Inventory[[#This Row],[Unadj Land Value]]</f>
        <v>318000</v>
      </c>
      <c r="BF997" s="36">
        <f>(Inventory[[#This Row],[Unadj Total Value]]-Inventory[[#This Row],[24Final]])/Inventory[[#This Row],[24Final]]</f>
        <v>2.0211742059672761E-2</v>
      </c>
      <c r="BG997" s="25">
        <f>VLOOKUP(Inventory[[#This Row],[Nbhd]],Lookups!$Q$2:$T$4,4,FALSE)</f>
        <v>0.99970000000000003</v>
      </c>
      <c r="BH997" s="25">
        <f>VLOOKUP(Inventory[[#This Row],[Qlty]],Lookups!$O$7:$R$21,4,FALSE)</f>
        <v>1.0088999999999999</v>
      </c>
      <c r="BI997" s="25">
        <f>VLOOKUP(Inventory[[#This Row],[Cnd]],Lookups!$T$7:$W$16,4,FALSE)</f>
        <v>0.99329999999999996</v>
      </c>
      <c r="BJ997" s="25">
        <f>VLOOKUP(Inventory[[#This Row],[LivArea Range]],Lookups!$T$25:$W$37,4,FALSE)</f>
        <v>0.98919999999999997</v>
      </c>
      <c r="BK997" s="25">
        <f>VLOOKUP(Inventory[[#This Row],[Decade]],Lookups!$O$25:$R$42,4,FALSE)</f>
        <v>0.995</v>
      </c>
      <c r="BL997" s="25">
        <f>Inventory[[#This Row],[Nbhd Adj]]*0.95</f>
        <v>0.94971499999999998</v>
      </c>
      <c r="BM997" s="25">
        <f>Inventory[[#This Row],[Nbhd Adj]]*Inventory[[#This Row],[Quality Adj]]*Inventory[[#This Row],[Condition Adj]]*Inventory[[#This Row],[Living Area Adj]]*Inventory[[#This Row],[Decade Adj]]*0.95</f>
        <v>0.93676152155697667</v>
      </c>
      <c r="BN997" s="25">
        <f>ROUND(SUM(Inventory[[#This Row],[Mdl Qlty]:[Mdl WdDeck]])+Inventory[[#This Row],[Mdl Res Intercept]]*Inventory[[#This Row],[Res Adj ]],-2)</f>
        <v>272700</v>
      </c>
      <c r="BO997" s="25">
        <f>ROUND(Inventory[[#This Row],[25Det]]*Inventory[[#This Row],[Det/Nbhd Adj]],-2)</f>
        <v>6100</v>
      </c>
      <c r="BP997" s="25">
        <f>Inventory[[#This Row],[Adjusted Res]]+Inventory[[#This Row],[Adj Det ]]</f>
        <v>278800</v>
      </c>
      <c r="BQ997" s="25">
        <f>ROUND((Inventory[[#This Row],[Mdl Land Intercept]]+Inventory[[#This Row],[Mdl LnAcres]])*Inventory[[#This Row],[Det/Nbhd Adj]],-2)</f>
        <v>36900</v>
      </c>
      <c r="BR997" s="25">
        <f>Inventory[[#This Row],[Adjusted Impr Total]]+Inventory[[#This Row],[Adjusted Land Total]]</f>
        <v>315700</v>
      </c>
      <c r="BS997" s="36">
        <f>IFERROR((Inventory[[#This Row],[Adjusted Impr Total]]-Inventory[[#This Row],[24Bldg]])/Inventory[[#This Row],[24Bldg]],0)</f>
        <v>0.10067114093959731</v>
      </c>
      <c r="BT997" s="36">
        <f>(Inventory[[#This Row],[Adjusted Land Total]]-Inventory[[#This Row],[24Lnd]])/Inventory[[#This Row],[24Lnd]]</f>
        <v>-0.36815068493150682</v>
      </c>
      <c r="BU997" s="36">
        <f>(Inventory[[#This Row],[Adjusted Total]]-Inventory[[#This Row],[24Final]])/Inventory[[#This Row],[24Final]]</f>
        <v>1.2832852101379532E-2</v>
      </c>
    </row>
    <row r="998" spans="1:73" x14ac:dyDescent="0.3">
      <c r="A998" s="25">
        <v>2025</v>
      </c>
      <c r="B998" s="26" t="s">
        <v>2865</v>
      </c>
      <c r="C998" s="26">
        <f>LN(Inventory[[#This Row],[Acres]])</f>
        <v>-1.6607312068216509</v>
      </c>
      <c r="D998" s="25">
        <v>0.19</v>
      </c>
      <c r="E998" s="25">
        <v>8276</v>
      </c>
      <c r="F998" s="26" t="s">
        <v>537</v>
      </c>
      <c r="G998" s="26" t="s">
        <v>126</v>
      </c>
      <c r="H998" s="26" t="s">
        <v>349</v>
      </c>
      <c r="I998" s="26" t="s">
        <v>538</v>
      </c>
      <c r="J998" s="26" t="s">
        <v>539</v>
      </c>
      <c r="K998" s="26" t="s">
        <v>242</v>
      </c>
      <c r="L998" s="26" t="s">
        <v>148</v>
      </c>
      <c r="M998" s="26" t="s">
        <v>323</v>
      </c>
      <c r="N998" s="26">
        <v>80</v>
      </c>
      <c r="O998" s="26">
        <f>2024-Inventory[[#This Row],[YrBlt]]</f>
        <v>76</v>
      </c>
      <c r="P998" s="26">
        <f>2024-Inventory[[#This Row],[EffYr]]</f>
        <v>51</v>
      </c>
      <c r="Q998" s="25">
        <v>1948</v>
      </c>
      <c r="R998" s="25">
        <v>1973</v>
      </c>
      <c r="S998" s="25">
        <v>1047</v>
      </c>
      <c r="T998" s="27"/>
      <c r="U998" s="32">
        <v>1047</v>
      </c>
      <c r="V998" s="32">
        <f>Inventory[[#This Row],[Bsmt]]-Inventory[[#This Row],[FnBsmt]]</f>
        <v>0</v>
      </c>
      <c r="W998" s="32">
        <v>1047</v>
      </c>
      <c r="X998" s="27"/>
      <c r="Y998" s="27">
        <f>Inventory[[#This Row],[MainFn]]+Inventory[[#This Row],[UpprFn]]+Inventory[[#This Row],[FnBsmt]]+Inventory[[#This Row],[AddFn]]</f>
        <v>2094</v>
      </c>
      <c r="Z998" s="27">
        <v>2500</v>
      </c>
      <c r="AA998" s="25">
        <v>9</v>
      </c>
      <c r="AB998" s="27"/>
      <c r="AC998" s="27"/>
      <c r="AD998" s="27"/>
      <c r="AE998" s="27"/>
      <c r="AF998" s="27"/>
      <c r="AG998" s="27"/>
      <c r="AH998" s="27"/>
      <c r="AI998" s="25">
        <v>375301</v>
      </c>
      <c r="AJ998" s="25">
        <v>258958</v>
      </c>
      <c r="AK998" s="25">
        <v>6724</v>
      </c>
      <c r="AL998" s="25">
        <v>347200</v>
      </c>
      <c r="AM998" s="25">
        <v>56600</v>
      </c>
      <c r="AN998" s="25">
        <v>290600</v>
      </c>
      <c r="AO998" s="25">
        <v>0</v>
      </c>
      <c r="AP998" s="25">
        <f>Lookups!$B$56*0</f>
        <v>0</v>
      </c>
      <c r="AQ998" s="25">
        <f>Lookups!$B$56*1</f>
        <v>89850.625589999996</v>
      </c>
      <c r="AR998" s="25">
        <f>Lookups!$B$57*Inventory[[#This Row],[LnAcres]]</f>
        <v>-52569.808201026557</v>
      </c>
      <c r="AS998" s="25">
        <f>VLOOKUP(Inventory[[#This Row],[Qlty]],Lookups!$A$62:$E$75,2,FALSE)</f>
        <v>44121.038090000002</v>
      </c>
      <c r="AT998" s="25">
        <f>VLOOKUP(Inventory[[#This Row],[Cnd]],Lookups!$A$76:$E$84,2,FALSE)</f>
        <v>160472.20319</v>
      </c>
      <c r="AU998" s="25">
        <f>Inventory[[#This Row],[EffAge]]*Lookups!$B$85</f>
        <v>-11375.3256255</v>
      </c>
      <c r="AV998" s="25">
        <f>Inventory[[#This Row],[MainFn]]*Lookups!$B$86</f>
        <v>51730.877361218998</v>
      </c>
      <c r="AW998" s="25">
        <f>Inventory[[#This Row],[UpprFn]]*Lookups!$B$87</f>
        <v>0</v>
      </c>
      <c r="AX998" s="25">
        <f>Inventory[[#This Row],[AddFn]]*Lookups!$B$88</f>
        <v>0</v>
      </c>
      <c r="AY998" s="25">
        <f>Inventory[[#This Row],[Bsmt]]*Lookups!$B$89</f>
        <v>30448.744323608997</v>
      </c>
      <c r="AZ998" s="25">
        <f>Inventory[[#This Row],[Fixtures]]*Lookups!$B$90</f>
        <v>34128.198946800003</v>
      </c>
      <c r="BA998" s="25">
        <f>Inventory[[#This Row],[WdDeck]]*Lookups!$B$91</f>
        <v>0</v>
      </c>
      <c r="BB998" s="25">
        <f>ROUND(Inventory[[#This Row],[25Det]],-2)</f>
        <v>6700</v>
      </c>
      <c r="BC998" s="25">
        <f>ROUND(SUM(Inventory[[#This Row],[Mdl Qlty]:[Mdl WdDeck]])+Inventory[[#This Row],[Mdl Res Intercept]],-2)</f>
        <v>309500</v>
      </c>
      <c r="BD998" s="25">
        <f>ROUND(Inventory[[#This Row],[Mdl Land Intercept]]+Inventory[[#This Row],[Mdl LnAcres]],-2)</f>
        <v>37300</v>
      </c>
      <c r="BE998" s="25">
        <f>Inventory[[#This Row],[Unadj Res Value]]+Inventory[[#This Row],[Unadj Det Value]]+Inventory[[#This Row],[Unadj Land Value]]</f>
        <v>353500</v>
      </c>
      <c r="BF998" s="36">
        <f>(Inventory[[#This Row],[Unadj Total Value]]-Inventory[[#This Row],[24Final]])/Inventory[[#This Row],[24Final]]</f>
        <v>1.8145161290322582E-2</v>
      </c>
      <c r="BG998" s="25">
        <f>VLOOKUP(Inventory[[#This Row],[Nbhd]],Lookups!$Q$2:$T$4,4,FALSE)</f>
        <v>0.99970000000000003</v>
      </c>
      <c r="BH998" s="25">
        <f>VLOOKUP(Inventory[[#This Row],[Qlty]],Lookups!$O$7:$R$21,4,FALSE)</f>
        <v>0.98050000000000004</v>
      </c>
      <c r="BI998" s="25">
        <f>VLOOKUP(Inventory[[#This Row],[Cnd]],Lookups!$T$7:$W$16,4,FALSE)</f>
        <v>0.99729999999999996</v>
      </c>
      <c r="BJ998" s="25">
        <f>VLOOKUP(Inventory[[#This Row],[LivArea Range]],Lookups!$T$25:$W$37,4,FALSE)</f>
        <v>0.98919999999999997</v>
      </c>
      <c r="BK998" s="25">
        <f>VLOOKUP(Inventory[[#This Row],[Decade]],Lookups!$O$25:$R$42,4,FALSE)</f>
        <v>0.995</v>
      </c>
      <c r="BL998" s="25">
        <f>Inventory[[#This Row],[Nbhd Adj]]*0.95</f>
        <v>0.94971499999999998</v>
      </c>
      <c r="BM998" s="25">
        <f>Inventory[[#This Row],[Nbhd Adj]]*Inventory[[#This Row],[Quality Adj]]*Inventory[[#This Row],[Condition Adj]]*Inventory[[#This Row],[Living Area Adj]]*Inventory[[#This Row],[Decade Adj]]*0.95</f>
        <v>0.91405831328052556</v>
      </c>
      <c r="BN998" s="25">
        <f>ROUND(SUM(Inventory[[#This Row],[Mdl Qlty]:[Mdl WdDeck]])+Inventory[[#This Row],[Mdl Res Intercept]]*Inventory[[#This Row],[Res Adj ]],-2)</f>
        <v>309500</v>
      </c>
      <c r="BO998" s="25">
        <f>ROUND(Inventory[[#This Row],[25Det]]*Inventory[[#This Row],[Det/Nbhd Adj]],-2)</f>
        <v>6400</v>
      </c>
      <c r="BP998" s="25">
        <f>Inventory[[#This Row],[Adjusted Res]]+Inventory[[#This Row],[Adj Det ]]</f>
        <v>315900</v>
      </c>
      <c r="BQ998" s="25">
        <f>ROUND((Inventory[[#This Row],[Mdl Land Intercept]]+Inventory[[#This Row],[Mdl LnAcres]])*Inventory[[#This Row],[Det/Nbhd Adj]],-2)</f>
        <v>35400</v>
      </c>
      <c r="BR998" s="25">
        <f>Inventory[[#This Row],[Adjusted Impr Total]]+Inventory[[#This Row],[Adjusted Land Total]]</f>
        <v>351300</v>
      </c>
      <c r="BS998" s="36">
        <f>IFERROR((Inventory[[#This Row],[Adjusted Impr Total]]-Inventory[[#This Row],[24Bldg]])/Inventory[[#This Row],[24Bldg]],0)</f>
        <v>8.7061252580867166E-2</v>
      </c>
      <c r="BT998" s="36">
        <f>(Inventory[[#This Row],[Adjusted Land Total]]-Inventory[[#This Row],[24Lnd]])/Inventory[[#This Row],[24Lnd]]</f>
        <v>-0.37455830388692579</v>
      </c>
      <c r="BU998" s="36">
        <f>(Inventory[[#This Row],[Adjusted Total]]-Inventory[[#This Row],[24Final]])/Inventory[[#This Row],[24Final]]</f>
        <v>1.1808755760368663E-2</v>
      </c>
    </row>
    <row r="999" spans="1:73" x14ac:dyDescent="0.3">
      <c r="A999" s="25">
        <v>2025</v>
      </c>
      <c r="B999" s="26" t="s">
        <v>2460</v>
      </c>
      <c r="C999" s="26">
        <f>LN(Inventory[[#This Row],[Acres]])</f>
        <v>-1.5606477482646683</v>
      </c>
      <c r="D999" s="25">
        <v>0.21</v>
      </c>
      <c r="E999" s="31"/>
      <c r="F999" s="26" t="s">
        <v>537</v>
      </c>
      <c r="G999" s="26" t="s">
        <v>126</v>
      </c>
      <c r="H999" s="26" t="s">
        <v>349</v>
      </c>
      <c r="I999" s="26" t="s">
        <v>538</v>
      </c>
      <c r="J999" s="26" t="s">
        <v>539</v>
      </c>
      <c r="K999" s="26" t="s">
        <v>242</v>
      </c>
      <c r="L999" s="26" t="s">
        <v>302</v>
      </c>
      <c r="M999" s="26" t="s">
        <v>303</v>
      </c>
      <c r="N999" s="26">
        <v>80</v>
      </c>
      <c r="O999" s="26">
        <f>2024-Inventory[[#This Row],[YrBlt]]</f>
        <v>76</v>
      </c>
      <c r="P999" s="26">
        <f>2024-Inventory[[#This Row],[EffYr]]</f>
        <v>51</v>
      </c>
      <c r="Q999" s="25">
        <v>1948</v>
      </c>
      <c r="R999" s="25">
        <v>1973</v>
      </c>
      <c r="S999" s="25">
        <v>1406</v>
      </c>
      <c r="T999" s="27"/>
      <c r="U999" s="32">
        <v>1130</v>
      </c>
      <c r="V999" s="32">
        <f>Inventory[[#This Row],[Bsmt]]-Inventory[[#This Row],[FnBsmt]]</f>
        <v>0</v>
      </c>
      <c r="W999" s="32">
        <v>1130</v>
      </c>
      <c r="X999" s="27"/>
      <c r="Y999" s="27">
        <f>Inventory[[#This Row],[MainFn]]+Inventory[[#This Row],[UpprFn]]+Inventory[[#This Row],[FnBsmt]]+Inventory[[#This Row],[AddFn]]</f>
        <v>2536</v>
      </c>
      <c r="Z999" s="27">
        <v>3000</v>
      </c>
      <c r="AA999" s="25">
        <v>8</v>
      </c>
      <c r="AB999" s="27"/>
      <c r="AC999" s="27"/>
      <c r="AD999" s="31"/>
      <c r="AE999" s="27"/>
      <c r="AF999" s="27"/>
      <c r="AG999" s="27"/>
      <c r="AH999" s="27"/>
      <c r="AI999" s="25">
        <v>399237</v>
      </c>
      <c r="AJ999" s="25">
        <v>283458</v>
      </c>
      <c r="AK999" s="25">
        <v>24991</v>
      </c>
      <c r="AL999" s="25">
        <v>406600</v>
      </c>
      <c r="AM999" s="25">
        <v>60100</v>
      </c>
      <c r="AN999" s="25">
        <v>346500</v>
      </c>
      <c r="AO999" s="25">
        <v>0</v>
      </c>
      <c r="AP999" s="25">
        <f>Lookups!$B$56*0</f>
        <v>0</v>
      </c>
      <c r="AQ999" s="25">
        <f>Lookups!$B$56*1</f>
        <v>89850.625589999996</v>
      </c>
      <c r="AR999" s="25">
        <f>Lookups!$B$57*Inventory[[#This Row],[LnAcres]]</f>
        <v>-49401.70477837498</v>
      </c>
      <c r="AS999" s="25">
        <f>VLOOKUP(Inventory[[#This Row],[Qlty]],Lookups!$A$62:$E$75,2,FALSE)</f>
        <v>29814.093161000001</v>
      </c>
      <c r="AT999" s="25">
        <f>VLOOKUP(Inventory[[#This Row],[Cnd]],Lookups!$A$76:$E$84,2,FALSE)</f>
        <v>197752.34721000001</v>
      </c>
      <c r="AU999" s="25">
        <f>Inventory[[#This Row],[EffAge]]*Lookups!$B$85</f>
        <v>-11375.3256255</v>
      </c>
      <c r="AV999" s="25">
        <f>Inventory[[#This Row],[MainFn]]*Lookups!$B$86</f>
        <v>69468.589847062001</v>
      </c>
      <c r="AW999" s="25">
        <f>Inventory[[#This Row],[UpprFn]]*Lookups!$B$87</f>
        <v>0</v>
      </c>
      <c r="AX999" s="25">
        <f>Inventory[[#This Row],[AddFn]]*Lookups!$B$88</f>
        <v>0</v>
      </c>
      <c r="AY999" s="25">
        <f>Inventory[[#This Row],[Bsmt]]*Lookups!$B$89</f>
        <v>32862.541629109997</v>
      </c>
      <c r="AZ999" s="25">
        <f>Inventory[[#This Row],[Fixtures]]*Lookups!$B$90</f>
        <v>30336.176841600001</v>
      </c>
      <c r="BA999" s="25">
        <f>Inventory[[#This Row],[WdDeck]]*Lookups!$B$91</f>
        <v>0</v>
      </c>
      <c r="BB999" s="25">
        <f>ROUND(Inventory[[#This Row],[25Det]],-2)</f>
        <v>25000</v>
      </c>
      <c r="BC999" s="25">
        <f>ROUND(SUM(Inventory[[#This Row],[Mdl Qlty]:[Mdl WdDeck]])+Inventory[[#This Row],[Mdl Res Intercept]],-2)</f>
        <v>348900</v>
      </c>
      <c r="BD999" s="25">
        <f>ROUND(Inventory[[#This Row],[Mdl Land Intercept]]+Inventory[[#This Row],[Mdl LnAcres]],-2)</f>
        <v>40400</v>
      </c>
      <c r="BE999" s="25">
        <f>Inventory[[#This Row],[Unadj Res Value]]+Inventory[[#This Row],[Unadj Det Value]]+Inventory[[#This Row],[Unadj Land Value]]</f>
        <v>414300</v>
      </c>
      <c r="BF999" s="36">
        <f>(Inventory[[#This Row],[Unadj Total Value]]-Inventory[[#This Row],[24Final]])/Inventory[[#This Row],[24Final]]</f>
        <v>1.8937530742744711E-2</v>
      </c>
      <c r="BG999" s="25">
        <f>VLOOKUP(Inventory[[#This Row],[Nbhd]],Lookups!$Q$2:$T$4,4,FALSE)</f>
        <v>0.99970000000000003</v>
      </c>
      <c r="BH999" s="25">
        <f>VLOOKUP(Inventory[[#This Row],[Qlty]],Lookups!$O$7:$R$21,4,FALSE)</f>
        <v>1.0088999999999999</v>
      </c>
      <c r="BI999" s="25">
        <f>VLOOKUP(Inventory[[#This Row],[Cnd]],Lookups!$T$7:$W$16,4,FALSE)</f>
        <v>0.99650000000000005</v>
      </c>
      <c r="BJ999" s="25">
        <f>VLOOKUP(Inventory[[#This Row],[LivArea Range]],Lookups!$T$25:$W$37,4,FALSE)</f>
        <v>0.96179999999999999</v>
      </c>
      <c r="BK999" s="25">
        <f>VLOOKUP(Inventory[[#This Row],[Decade]],Lookups!$O$25:$R$42,4,FALSE)</f>
        <v>0.995</v>
      </c>
      <c r="BL999" s="25">
        <f>Inventory[[#This Row],[Nbhd Adj]]*0.95</f>
        <v>0.94971499999999998</v>
      </c>
      <c r="BM999" s="25">
        <f>Inventory[[#This Row],[Nbhd Adj]]*Inventory[[#This Row],[Quality Adj]]*Inventory[[#This Row],[Condition Adj]]*Inventory[[#This Row],[Living Area Adj]]*Inventory[[#This Row],[Decade Adj]]*0.95</f>
        <v>0.9137482873256102</v>
      </c>
      <c r="BN999" s="25">
        <f>ROUND(SUM(Inventory[[#This Row],[Mdl Qlty]:[Mdl WdDeck]])+Inventory[[#This Row],[Mdl Res Intercept]]*Inventory[[#This Row],[Res Adj ]],-2)</f>
        <v>348900</v>
      </c>
      <c r="BO999" s="25">
        <f>ROUND(Inventory[[#This Row],[25Det]]*Inventory[[#This Row],[Det/Nbhd Adj]],-2)</f>
        <v>23700</v>
      </c>
      <c r="BP999" s="25">
        <f>Inventory[[#This Row],[Adjusted Res]]+Inventory[[#This Row],[Adj Det ]]</f>
        <v>372600</v>
      </c>
      <c r="BQ999" s="25">
        <f>ROUND((Inventory[[#This Row],[Mdl Land Intercept]]+Inventory[[#This Row],[Mdl LnAcres]])*Inventory[[#This Row],[Det/Nbhd Adj]],-2)</f>
        <v>38400</v>
      </c>
      <c r="BR999" s="25">
        <f>Inventory[[#This Row],[Adjusted Impr Total]]+Inventory[[#This Row],[Adjusted Land Total]]</f>
        <v>411000</v>
      </c>
      <c r="BS999" s="36">
        <f>IFERROR((Inventory[[#This Row],[Adjusted Impr Total]]-Inventory[[#This Row],[24Bldg]])/Inventory[[#This Row],[24Bldg]],0)</f>
        <v>7.5324675324675322E-2</v>
      </c>
      <c r="BT999" s="36">
        <f>(Inventory[[#This Row],[Adjusted Land Total]]-Inventory[[#This Row],[24Lnd]])/Inventory[[#This Row],[24Lnd]]</f>
        <v>-0.36106489184692181</v>
      </c>
      <c r="BU999" s="36">
        <f>(Inventory[[#This Row],[Adjusted Total]]-Inventory[[#This Row],[24Final]])/Inventory[[#This Row],[24Final]]</f>
        <v>1.0821446138711265E-2</v>
      </c>
    </row>
    <row r="1000" spans="1:73" x14ac:dyDescent="0.3">
      <c r="A1000" s="25">
        <v>2025</v>
      </c>
      <c r="B1000" s="26" t="s">
        <v>2856</v>
      </c>
      <c r="C1000" s="26">
        <f>LN(Inventory[[#This Row],[Acres]])</f>
        <v>-1.1394342831883648</v>
      </c>
      <c r="D1000" s="25">
        <v>0.32</v>
      </c>
      <c r="E1000" s="25">
        <v>13939</v>
      </c>
      <c r="F1000" s="26" t="s">
        <v>537</v>
      </c>
      <c r="G1000" s="26" t="s">
        <v>126</v>
      </c>
      <c r="H1000" s="26" t="s">
        <v>349</v>
      </c>
      <c r="I1000" s="26" t="s">
        <v>538</v>
      </c>
      <c r="J1000" s="26" t="s">
        <v>539</v>
      </c>
      <c r="K1000" s="26" t="s">
        <v>241</v>
      </c>
      <c r="L1000" s="26" t="s">
        <v>64</v>
      </c>
      <c r="M1000" s="26" t="s">
        <v>303</v>
      </c>
      <c r="N1000" s="26">
        <v>80</v>
      </c>
      <c r="O1000" s="26">
        <f>2024-Inventory[[#This Row],[YrBlt]]</f>
        <v>76</v>
      </c>
      <c r="P1000" s="26">
        <f>2024-Inventory[[#This Row],[EffYr]]</f>
        <v>51</v>
      </c>
      <c r="Q1000" s="25">
        <v>1948</v>
      </c>
      <c r="R1000" s="25">
        <v>1973</v>
      </c>
      <c r="S1000" s="25">
        <v>1954</v>
      </c>
      <c r="T1000" s="27"/>
      <c r="U1000" s="32">
        <v>1479</v>
      </c>
      <c r="V1000" s="32">
        <f>Inventory[[#This Row],[Bsmt]]-Inventory[[#This Row],[FnBsmt]]</f>
        <v>875</v>
      </c>
      <c r="W1000" s="32">
        <v>604</v>
      </c>
      <c r="X1000" s="27"/>
      <c r="Y1000" s="27">
        <f>Inventory[[#This Row],[MainFn]]+Inventory[[#This Row],[UpprFn]]+Inventory[[#This Row],[FnBsmt]]+Inventory[[#This Row],[AddFn]]</f>
        <v>2558</v>
      </c>
      <c r="Z1000" s="27">
        <v>3000</v>
      </c>
      <c r="AA1000" s="25">
        <v>15</v>
      </c>
      <c r="AB1000" s="27"/>
      <c r="AC1000" s="32">
        <v>456</v>
      </c>
      <c r="AD1000" s="32">
        <v>280</v>
      </c>
      <c r="AE1000" s="27"/>
      <c r="AF1000" s="27"/>
      <c r="AG1000" s="27"/>
      <c r="AH1000" s="27"/>
      <c r="AI1000" s="25">
        <v>654770</v>
      </c>
      <c r="AJ1000" s="25">
        <v>471434</v>
      </c>
      <c r="AK1000" s="25">
        <v>0</v>
      </c>
      <c r="AL1000" s="25">
        <v>601700</v>
      </c>
      <c r="AM1000" s="25">
        <v>74800</v>
      </c>
      <c r="AN1000" s="25">
        <v>526900</v>
      </c>
      <c r="AO1000" s="25">
        <v>0</v>
      </c>
      <c r="AP1000" s="25">
        <f>Lookups!$B$56*0</f>
        <v>0</v>
      </c>
      <c r="AQ1000" s="25">
        <f>Lookups!$B$56*1</f>
        <v>89850.625589999996</v>
      </c>
      <c r="AR1000" s="25">
        <f>Lookups!$B$57*Inventory[[#This Row],[LnAcres]]</f>
        <v>-36068.354396449467</v>
      </c>
      <c r="AS1000" s="25">
        <f>VLOOKUP(Inventory[[#This Row],[Qlty]],Lookups!$A$62:$E$75,2,FALSE)</f>
        <v>163885.03753</v>
      </c>
      <c r="AT1000" s="25">
        <f>VLOOKUP(Inventory[[#This Row],[Cnd]],Lookups!$A$76:$E$84,2,FALSE)</f>
        <v>197752.34721000001</v>
      </c>
      <c r="AU1000" s="25">
        <f>Inventory[[#This Row],[EffAge]]*Lookups!$B$85</f>
        <v>-11375.3256255</v>
      </c>
      <c r="AV1000" s="25">
        <f>Inventory[[#This Row],[MainFn]]*Lookups!$B$86</f>
        <v>96544.540939658007</v>
      </c>
      <c r="AW1000" s="25">
        <f>Inventory[[#This Row],[UpprFn]]*Lookups!$B$87</f>
        <v>0</v>
      </c>
      <c r="AX1000" s="25">
        <f>Inventory[[#This Row],[AddFn]]*Lookups!$B$88</f>
        <v>0</v>
      </c>
      <c r="AY1000" s="25">
        <f>Inventory[[#This Row],[Bsmt]]*Lookups!$B$89</f>
        <v>43012.123070312999</v>
      </c>
      <c r="AZ1000" s="25">
        <f>Inventory[[#This Row],[Fixtures]]*Lookups!$B$90</f>
        <v>56880.331578000005</v>
      </c>
      <c r="BA1000" s="25">
        <f>Inventory[[#This Row],[WdDeck]]*Lookups!$B$91</f>
        <v>9322.7442772800005</v>
      </c>
      <c r="BB1000" s="25">
        <f>ROUND(Inventory[[#This Row],[25Det]],-2)</f>
        <v>0</v>
      </c>
      <c r="BC1000" s="25">
        <f>ROUND(SUM(Inventory[[#This Row],[Mdl Qlty]:[Mdl WdDeck]])+Inventory[[#This Row],[Mdl Res Intercept]],-2)</f>
        <v>556000</v>
      </c>
      <c r="BD1000" s="25">
        <f>ROUND(Inventory[[#This Row],[Mdl Land Intercept]]+Inventory[[#This Row],[Mdl LnAcres]],-2)</f>
        <v>53800</v>
      </c>
      <c r="BE1000" s="25">
        <f>Inventory[[#This Row],[Unadj Res Value]]+Inventory[[#This Row],[Unadj Det Value]]+Inventory[[#This Row],[Unadj Land Value]]</f>
        <v>609800</v>
      </c>
      <c r="BF1000" s="36">
        <f>(Inventory[[#This Row],[Unadj Total Value]]-Inventory[[#This Row],[24Final]])/Inventory[[#This Row],[24Final]]</f>
        <v>1.3461858068805052E-2</v>
      </c>
      <c r="BG1000" s="25">
        <f>VLOOKUP(Inventory[[#This Row],[Nbhd]],Lookups!$Q$2:$T$4,4,FALSE)</f>
        <v>0.99970000000000003</v>
      </c>
      <c r="BH1000" s="25">
        <f>VLOOKUP(Inventory[[#This Row],[Qlty]],Lookups!$O$7:$R$21,4,FALSE)</f>
        <v>1</v>
      </c>
      <c r="BI1000" s="25">
        <f>VLOOKUP(Inventory[[#This Row],[Cnd]],Lookups!$T$7:$W$16,4,FALSE)</f>
        <v>0.99650000000000005</v>
      </c>
      <c r="BJ1000" s="25">
        <f>VLOOKUP(Inventory[[#This Row],[LivArea Range]],Lookups!$T$25:$W$37,4,FALSE)</f>
        <v>0.96179999999999999</v>
      </c>
      <c r="BK1000" s="25">
        <f>VLOOKUP(Inventory[[#This Row],[Decade]],Lookups!$O$25:$R$42,4,FALSE)</f>
        <v>0.995</v>
      </c>
      <c r="BL1000" s="25">
        <f>Inventory[[#This Row],[Nbhd Adj]]*0.95</f>
        <v>0.94971499999999998</v>
      </c>
      <c r="BM1000" s="25">
        <f>Inventory[[#This Row],[Nbhd Adj]]*Inventory[[#This Row],[Quality Adj]]*Inventory[[#This Row],[Condition Adj]]*Inventory[[#This Row],[Living Area Adj]]*Inventory[[#This Row],[Decade Adj]]*0.95</f>
        <v>0.90568766708852244</v>
      </c>
      <c r="BN1000" s="25">
        <f>ROUND(SUM(Inventory[[#This Row],[Mdl Qlty]:[Mdl WdDeck]])+Inventory[[#This Row],[Mdl Res Intercept]]*Inventory[[#This Row],[Res Adj ]],-2)</f>
        <v>556000</v>
      </c>
      <c r="BO1000" s="25">
        <f>ROUND(Inventory[[#This Row],[25Det]]*Inventory[[#This Row],[Det/Nbhd Adj]],-2)</f>
        <v>0</v>
      </c>
      <c r="BP1000" s="25">
        <f>Inventory[[#This Row],[Adjusted Res]]+Inventory[[#This Row],[Adj Det ]]</f>
        <v>556000</v>
      </c>
      <c r="BQ1000" s="25">
        <f>ROUND((Inventory[[#This Row],[Mdl Land Intercept]]+Inventory[[#This Row],[Mdl LnAcres]])*Inventory[[#This Row],[Det/Nbhd Adj]],-2)</f>
        <v>51100</v>
      </c>
      <c r="BR1000" s="25">
        <f>Inventory[[#This Row],[Adjusted Impr Total]]+Inventory[[#This Row],[Adjusted Land Total]]</f>
        <v>607100</v>
      </c>
      <c r="BS1000" s="36">
        <f>IFERROR((Inventory[[#This Row],[Adjusted Impr Total]]-Inventory[[#This Row],[24Bldg]])/Inventory[[#This Row],[24Bldg]],0)</f>
        <v>5.5228696147276525E-2</v>
      </c>
      <c r="BT1000" s="36">
        <f>(Inventory[[#This Row],[Adjusted Land Total]]-Inventory[[#This Row],[24Lnd]])/Inventory[[#This Row],[24Lnd]]</f>
        <v>-0.31684491978609625</v>
      </c>
      <c r="BU1000" s="36">
        <f>(Inventory[[#This Row],[Adjusted Total]]-Inventory[[#This Row],[24Final]])/Inventory[[#This Row],[24Final]]</f>
        <v>8.9745720458700353E-3</v>
      </c>
    </row>
    <row r="1001" spans="1:73" x14ac:dyDescent="0.3">
      <c r="A1001" s="25">
        <v>2025</v>
      </c>
      <c r="B1001" s="26" t="s">
        <v>1596</v>
      </c>
      <c r="C1001" s="26">
        <f>LN(Inventory[[#This Row],[Acres]])</f>
        <v>-1.6607312068216509</v>
      </c>
      <c r="D1001" s="25">
        <v>0.19</v>
      </c>
      <c r="E1001" s="31"/>
      <c r="F1001" s="26" t="s">
        <v>537</v>
      </c>
      <c r="G1001" s="26" t="s">
        <v>126</v>
      </c>
      <c r="H1001" s="26" t="s">
        <v>349</v>
      </c>
      <c r="I1001" s="26" t="s">
        <v>538</v>
      </c>
      <c r="J1001" s="26" t="s">
        <v>539</v>
      </c>
      <c r="K1001" s="26" t="s">
        <v>242</v>
      </c>
      <c r="L1001" s="26" t="s">
        <v>302</v>
      </c>
      <c r="M1001" s="26" t="s">
        <v>323</v>
      </c>
      <c r="N1001" s="26">
        <v>80</v>
      </c>
      <c r="O1001" s="26">
        <f>2024-Inventory[[#This Row],[YrBlt]]</f>
        <v>76</v>
      </c>
      <c r="P1001" s="26">
        <f>2024-Inventory[[#This Row],[EffYr]]</f>
        <v>51</v>
      </c>
      <c r="Q1001" s="25">
        <v>1948</v>
      </c>
      <c r="R1001" s="25">
        <v>1973</v>
      </c>
      <c r="S1001" s="25">
        <v>1149</v>
      </c>
      <c r="T1001" s="27"/>
      <c r="U1001" s="32">
        <v>990</v>
      </c>
      <c r="V1001" s="32">
        <f>Inventory[[#This Row],[Bsmt]]-Inventory[[#This Row],[FnBsmt]]</f>
        <v>0</v>
      </c>
      <c r="W1001" s="32">
        <v>990</v>
      </c>
      <c r="X1001" s="27"/>
      <c r="Y1001" s="27">
        <f>Inventory[[#This Row],[MainFn]]+Inventory[[#This Row],[UpprFn]]+Inventory[[#This Row],[FnBsmt]]+Inventory[[#This Row],[AddFn]]</f>
        <v>2139</v>
      </c>
      <c r="Z1001" s="27">
        <v>2500</v>
      </c>
      <c r="AA1001" s="25">
        <v>8</v>
      </c>
      <c r="AB1001" s="31"/>
      <c r="AC1001" s="27"/>
      <c r="AD1001" s="27"/>
      <c r="AE1001" s="27"/>
      <c r="AF1001" s="27"/>
      <c r="AG1001" s="27"/>
      <c r="AH1001" s="27"/>
      <c r="AI1001" s="25">
        <v>343192</v>
      </c>
      <c r="AJ1001" s="25">
        <v>236802</v>
      </c>
      <c r="AK1001" s="25">
        <v>0</v>
      </c>
      <c r="AL1001" s="25">
        <v>330900</v>
      </c>
      <c r="AM1001" s="25">
        <v>56600</v>
      </c>
      <c r="AN1001" s="25">
        <v>274300</v>
      </c>
      <c r="AO1001" s="25">
        <v>0</v>
      </c>
      <c r="AP1001" s="25">
        <f>Lookups!$B$56*0</f>
        <v>0</v>
      </c>
      <c r="AQ1001" s="25">
        <f>Lookups!$B$56*1</f>
        <v>89850.625589999996</v>
      </c>
      <c r="AR1001" s="25">
        <f>Lookups!$B$57*Inventory[[#This Row],[LnAcres]]</f>
        <v>-52569.808201026557</v>
      </c>
      <c r="AS1001" s="25">
        <f>VLOOKUP(Inventory[[#This Row],[Qlty]],Lookups!$A$62:$E$75,2,FALSE)</f>
        <v>29814.093161000001</v>
      </c>
      <c r="AT1001" s="25">
        <f>VLOOKUP(Inventory[[#This Row],[Cnd]],Lookups!$A$76:$E$84,2,FALSE)</f>
        <v>160472.20319</v>
      </c>
      <c r="AU1001" s="25">
        <f>Inventory[[#This Row],[EffAge]]*Lookups!$B$85</f>
        <v>-11375.3256255</v>
      </c>
      <c r="AV1001" s="25">
        <f>Inventory[[#This Row],[MainFn]]*Lookups!$B$86</f>
        <v>56770.561688672999</v>
      </c>
      <c r="AW1001" s="25">
        <f>Inventory[[#This Row],[UpprFn]]*Lookups!$B$87</f>
        <v>0</v>
      </c>
      <c r="AX1001" s="25">
        <f>Inventory[[#This Row],[AddFn]]*Lookups!$B$88</f>
        <v>0</v>
      </c>
      <c r="AY1001" s="25">
        <f>Inventory[[#This Row],[Bsmt]]*Lookups!$B$89</f>
        <v>28791.076294529998</v>
      </c>
      <c r="AZ1001" s="25">
        <f>Inventory[[#This Row],[Fixtures]]*Lookups!$B$90</f>
        <v>30336.176841600001</v>
      </c>
      <c r="BA1001" s="25">
        <f>Inventory[[#This Row],[WdDeck]]*Lookups!$B$91</f>
        <v>0</v>
      </c>
      <c r="BB1001" s="25">
        <f>ROUND(Inventory[[#This Row],[25Det]],-2)</f>
        <v>0</v>
      </c>
      <c r="BC1001" s="25">
        <f>ROUND(SUM(Inventory[[#This Row],[Mdl Qlty]:[Mdl WdDeck]])+Inventory[[#This Row],[Mdl Res Intercept]],-2)</f>
        <v>294800</v>
      </c>
      <c r="BD1001" s="25">
        <f>ROUND(Inventory[[#This Row],[Mdl Land Intercept]]+Inventory[[#This Row],[Mdl LnAcres]],-2)</f>
        <v>37300</v>
      </c>
      <c r="BE1001" s="25">
        <f>Inventory[[#This Row],[Unadj Res Value]]+Inventory[[#This Row],[Unadj Det Value]]+Inventory[[#This Row],[Unadj Land Value]]</f>
        <v>332100</v>
      </c>
      <c r="BF1001" s="36">
        <f>(Inventory[[#This Row],[Unadj Total Value]]-Inventory[[#This Row],[24Final]])/Inventory[[#This Row],[24Final]]</f>
        <v>3.6264732547597461E-3</v>
      </c>
      <c r="BG1001" s="25">
        <f>VLOOKUP(Inventory[[#This Row],[Nbhd]],Lookups!$Q$2:$T$4,4,FALSE)</f>
        <v>0.99970000000000003</v>
      </c>
      <c r="BH1001" s="25">
        <f>VLOOKUP(Inventory[[#This Row],[Qlty]],Lookups!$O$7:$R$21,4,FALSE)</f>
        <v>1.0088999999999999</v>
      </c>
      <c r="BI1001" s="25">
        <f>VLOOKUP(Inventory[[#This Row],[Cnd]],Lookups!$T$7:$W$16,4,FALSE)</f>
        <v>0.99729999999999996</v>
      </c>
      <c r="BJ1001" s="25">
        <f>VLOOKUP(Inventory[[#This Row],[LivArea Range]],Lookups!$T$25:$W$37,4,FALSE)</f>
        <v>0.98919999999999997</v>
      </c>
      <c r="BK1001" s="25">
        <f>VLOOKUP(Inventory[[#This Row],[Decade]],Lookups!$O$25:$R$42,4,FALSE)</f>
        <v>0.995</v>
      </c>
      <c r="BL1001" s="25">
        <f>Inventory[[#This Row],[Nbhd Adj]]*0.95</f>
        <v>0.94971499999999998</v>
      </c>
      <c r="BM1001" s="25">
        <f>Inventory[[#This Row],[Nbhd Adj]]*Inventory[[#This Row],[Quality Adj]]*Inventory[[#This Row],[Condition Adj]]*Inventory[[#This Row],[Living Area Adj]]*Inventory[[#This Row],[Decade Adj]]*0.95</f>
        <v>0.94053384219145564</v>
      </c>
      <c r="BN1001" s="25">
        <f>ROUND(SUM(Inventory[[#This Row],[Mdl Qlty]:[Mdl WdDeck]])+Inventory[[#This Row],[Mdl Res Intercept]]*Inventory[[#This Row],[Res Adj ]],-2)</f>
        <v>294800</v>
      </c>
      <c r="BO1001" s="25">
        <f>ROUND(Inventory[[#This Row],[25Det]]*Inventory[[#This Row],[Det/Nbhd Adj]],-2)</f>
        <v>0</v>
      </c>
      <c r="BP1001" s="25">
        <f>Inventory[[#This Row],[Adjusted Res]]+Inventory[[#This Row],[Adj Det ]]</f>
        <v>294800</v>
      </c>
      <c r="BQ1001" s="25">
        <f>ROUND((Inventory[[#This Row],[Mdl Land Intercept]]+Inventory[[#This Row],[Mdl LnAcres]])*Inventory[[#This Row],[Det/Nbhd Adj]],-2)</f>
        <v>35400</v>
      </c>
      <c r="BR1001" s="25">
        <f>Inventory[[#This Row],[Adjusted Impr Total]]+Inventory[[#This Row],[Adjusted Land Total]]</f>
        <v>330200</v>
      </c>
      <c r="BS1001" s="36">
        <f>IFERROR((Inventory[[#This Row],[Adjusted Impr Total]]-Inventory[[#This Row],[24Bldg]])/Inventory[[#This Row],[24Bldg]],0)</f>
        <v>7.4735690849434919E-2</v>
      </c>
      <c r="BT1001" s="36">
        <f>(Inventory[[#This Row],[Adjusted Land Total]]-Inventory[[#This Row],[24Lnd]])/Inventory[[#This Row],[24Lnd]]</f>
        <v>-0.37455830388692579</v>
      </c>
      <c r="BU1001" s="36">
        <f>(Inventory[[#This Row],[Adjusted Total]]-Inventory[[#This Row],[24Final]])/Inventory[[#This Row],[24Final]]</f>
        <v>-2.1154427319431852E-3</v>
      </c>
    </row>
    <row r="1002" spans="1:73" x14ac:dyDescent="0.3">
      <c r="A1002" s="25">
        <v>2025</v>
      </c>
      <c r="B1002" s="26" t="s">
        <v>1661</v>
      </c>
      <c r="C1002" s="26">
        <f>LN(Inventory[[#This Row],[Acres]])</f>
        <v>-0.34249030894677601</v>
      </c>
      <c r="D1002" s="25">
        <v>0.71</v>
      </c>
      <c r="E1002" s="27"/>
      <c r="F1002" s="26" t="s">
        <v>537</v>
      </c>
      <c r="G1002" s="26" t="s">
        <v>126</v>
      </c>
      <c r="H1002" s="26" t="s">
        <v>349</v>
      </c>
      <c r="I1002" s="26" t="s">
        <v>538</v>
      </c>
      <c r="J1002" s="26" t="s">
        <v>539</v>
      </c>
      <c r="K1002" s="26" t="s">
        <v>241</v>
      </c>
      <c r="L1002" s="26" t="s">
        <v>95</v>
      </c>
      <c r="M1002" s="26" t="s">
        <v>303</v>
      </c>
      <c r="N1002" s="26">
        <v>80</v>
      </c>
      <c r="O1002" s="26">
        <f>2024-Inventory[[#This Row],[YrBlt]]</f>
        <v>76</v>
      </c>
      <c r="P1002" s="26">
        <f>2024-Inventory[[#This Row],[EffYr]]</f>
        <v>51</v>
      </c>
      <c r="Q1002" s="25">
        <v>1948</v>
      </c>
      <c r="R1002" s="25">
        <v>1973</v>
      </c>
      <c r="S1002" s="25">
        <v>2655</v>
      </c>
      <c r="T1002" s="27"/>
      <c r="U1002" s="25">
        <v>2655</v>
      </c>
      <c r="V1002" s="25">
        <f>Inventory[[#This Row],[Bsmt]]-Inventory[[#This Row],[FnBsmt]]</f>
        <v>0</v>
      </c>
      <c r="W1002" s="25">
        <v>2655</v>
      </c>
      <c r="X1002" s="27"/>
      <c r="Y1002" s="27">
        <f>Inventory[[#This Row],[MainFn]]+Inventory[[#This Row],[UpprFn]]+Inventory[[#This Row],[FnBsmt]]+Inventory[[#This Row],[AddFn]]</f>
        <v>5310</v>
      </c>
      <c r="Z1002" s="27">
        <v>5000</v>
      </c>
      <c r="AA1002" s="25">
        <v>14</v>
      </c>
      <c r="AB1002" s="32">
        <v>728</v>
      </c>
      <c r="AC1002" s="31"/>
      <c r="AD1002" s="27"/>
      <c r="AE1002" s="27"/>
      <c r="AF1002" s="27"/>
      <c r="AG1002" s="27"/>
      <c r="AH1002" s="27"/>
      <c r="AI1002" s="25">
        <v>970284</v>
      </c>
      <c r="AJ1002" s="25">
        <v>698604</v>
      </c>
      <c r="AK1002" s="25">
        <v>33687</v>
      </c>
      <c r="AL1002" s="25">
        <v>671900</v>
      </c>
      <c r="AM1002" s="25">
        <v>102600</v>
      </c>
      <c r="AN1002" s="25">
        <v>569300</v>
      </c>
      <c r="AO1002" s="25">
        <v>0</v>
      </c>
      <c r="AP1002" s="25">
        <f>Lookups!$B$56*0</f>
        <v>0</v>
      </c>
      <c r="AQ1002" s="25">
        <f>Lookups!$B$56*1</f>
        <v>89850.625589999996</v>
      </c>
      <c r="AR1002" s="25">
        <f>Lookups!$B$57*Inventory[[#This Row],[LnAcres]]</f>
        <v>-10841.399124726569</v>
      </c>
      <c r="AS1002" s="25">
        <f>VLOOKUP(Inventory[[#This Row],[Qlty]],Lookups!$A$62:$E$75,2,FALSE)</f>
        <v>74268.409664999999</v>
      </c>
      <c r="AT1002" s="25">
        <f>VLOOKUP(Inventory[[#This Row],[Cnd]],Lookups!$A$76:$E$84,2,FALSE)</f>
        <v>197752.34721000001</v>
      </c>
      <c r="AU1002" s="25">
        <f>Inventory[[#This Row],[EffAge]]*Lookups!$B$85</f>
        <v>-11375.3256255</v>
      </c>
      <c r="AV1002" s="25">
        <f>Inventory[[#This Row],[MainFn]]*Lookups!$B$86</f>
        <v>131180.01852343499</v>
      </c>
      <c r="AW1002" s="25">
        <f>Inventory[[#This Row],[UpprFn]]*Lookups!$B$87</f>
        <v>0</v>
      </c>
      <c r="AX1002" s="25">
        <f>Inventory[[#This Row],[AddFn]]*Lookups!$B$88</f>
        <v>0</v>
      </c>
      <c r="AY1002" s="25">
        <f>Inventory[[#This Row],[Bsmt]]*Lookups!$B$89</f>
        <v>77212.431880784992</v>
      </c>
      <c r="AZ1002" s="25">
        <f>Inventory[[#This Row],[Fixtures]]*Lookups!$B$90</f>
        <v>53088.3094728</v>
      </c>
      <c r="BA1002" s="25">
        <f>Inventory[[#This Row],[WdDeck]]*Lookups!$B$91</f>
        <v>0</v>
      </c>
      <c r="BB1002" s="25">
        <f>ROUND(Inventory[[#This Row],[25Det]],-2)</f>
        <v>33700</v>
      </c>
      <c r="BC1002" s="25">
        <f>ROUND(SUM(Inventory[[#This Row],[Mdl Qlty]:[Mdl WdDeck]])+Inventory[[#This Row],[Mdl Res Intercept]],-2)</f>
        <v>522100</v>
      </c>
      <c r="BD1002" s="25">
        <f>ROUND(Inventory[[#This Row],[Mdl Land Intercept]]+Inventory[[#This Row],[Mdl LnAcres]],-2)</f>
        <v>79000</v>
      </c>
      <c r="BE1002" s="25">
        <f>Inventory[[#This Row],[Unadj Res Value]]+Inventory[[#This Row],[Unadj Det Value]]+Inventory[[#This Row],[Unadj Land Value]]</f>
        <v>634800</v>
      </c>
      <c r="BF1002" s="36">
        <f>(Inventory[[#This Row],[Unadj Total Value]]-Inventory[[#This Row],[24Final]])/Inventory[[#This Row],[24Final]]</f>
        <v>-5.521655008185742E-2</v>
      </c>
      <c r="BG1002" s="25">
        <f>VLOOKUP(Inventory[[#This Row],[Nbhd]],Lookups!$Q$2:$T$4,4,FALSE)</f>
        <v>0.99970000000000003</v>
      </c>
      <c r="BH1002" s="25">
        <f>VLOOKUP(Inventory[[#This Row],[Qlty]],Lookups!$O$7:$R$21,4,FALSE)</f>
        <v>0.98380000000000001</v>
      </c>
      <c r="BI1002" s="25">
        <f>VLOOKUP(Inventory[[#This Row],[Cnd]],Lookups!$T$7:$W$16,4,FALSE)</f>
        <v>0.99650000000000005</v>
      </c>
      <c r="BJ1002" s="25">
        <f>VLOOKUP(Inventory[[#This Row],[LivArea Range]],Lookups!$T$25:$W$37,4,FALSE)</f>
        <v>1</v>
      </c>
      <c r="BK1002" s="25">
        <f>VLOOKUP(Inventory[[#This Row],[Decade]],Lookups!$O$25:$R$42,4,FALSE)</f>
        <v>0.995</v>
      </c>
      <c r="BL1002" s="25">
        <f>Inventory[[#This Row],[Nbhd Adj]]*0.95</f>
        <v>0.94971499999999998</v>
      </c>
      <c r="BM1002" s="25">
        <f>Inventory[[#This Row],[Nbhd Adj]]*Inventory[[#This Row],[Quality Adj]]*Inventory[[#This Row],[Condition Adj]]*Inventory[[#This Row],[Living Area Adj]]*Inventory[[#This Row],[Decade Adj]]*0.95</f>
        <v>0.9264041660237976</v>
      </c>
      <c r="BN1002" s="25">
        <f>ROUND(SUM(Inventory[[#This Row],[Mdl Qlty]:[Mdl WdDeck]])+Inventory[[#This Row],[Mdl Res Intercept]]*Inventory[[#This Row],[Res Adj ]],-2)</f>
        <v>522100</v>
      </c>
      <c r="BO1002" s="25">
        <f>ROUND(Inventory[[#This Row],[25Det]]*Inventory[[#This Row],[Det/Nbhd Adj]],-2)</f>
        <v>32000</v>
      </c>
      <c r="BP1002" s="25">
        <f>Inventory[[#This Row],[Adjusted Res]]+Inventory[[#This Row],[Adj Det ]]</f>
        <v>554100</v>
      </c>
      <c r="BQ1002" s="25">
        <f>ROUND((Inventory[[#This Row],[Mdl Land Intercept]]+Inventory[[#This Row],[Mdl LnAcres]])*Inventory[[#This Row],[Det/Nbhd Adj]],-2)</f>
        <v>75000</v>
      </c>
      <c r="BR1002" s="25">
        <f>Inventory[[#This Row],[Adjusted Impr Total]]+Inventory[[#This Row],[Adjusted Land Total]]</f>
        <v>629100</v>
      </c>
      <c r="BS1002" s="36">
        <f>IFERROR((Inventory[[#This Row],[Adjusted Impr Total]]-Inventory[[#This Row],[24Bldg]])/Inventory[[#This Row],[24Bldg]],0)</f>
        <v>-2.6699455471631828E-2</v>
      </c>
      <c r="BT1002" s="36">
        <f>(Inventory[[#This Row],[Adjusted Land Total]]-Inventory[[#This Row],[24Lnd]])/Inventory[[#This Row],[24Lnd]]</f>
        <v>-0.26900584795321636</v>
      </c>
      <c r="BU1002" s="36">
        <f>(Inventory[[#This Row],[Adjusted Total]]-Inventory[[#This Row],[24Final]])/Inventory[[#This Row],[24Final]]</f>
        <v>-6.3699955350498591E-2</v>
      </c>
    </row>
    <row r="1003" spans="1:73" x14ac:dyDescent="0.3">
      <c r="A1003" s="25">
        <v>2025</v>
      </c>
      <c r="B1003" s="26" t="s">
        <v>999</v>
      </c>
      <c r="C1003" s="26">
        <f>LN(Inventory[[#This Row],[Acres]])</f>
        <v>-1.1086626245216111</v>
      </c>
      <c r="D1003" s="25">
        <v>0.33</v>
      </c>
      <c r="E1003" s="32">
        <v>14167</v>
      </c>
      <c r="F1003" s="26" t="s">
        <v>537</v>
      </c>
      <c r="G1003" s="26" t="s">
        <v>126</v>
      </c>
      <c r="H1003" s="26" t="s">
        <v>349</v>
      </c>
      <c r="I1003" s="26" t="s">
        <v>538</v>
      </c>
      <c r="J1003" s="26" t="s">
        <v>539</v>
      </c>
      <c r="K1003" s="26" t="s">
        <v>242</v>
      </c>
      <c r="L1003" s="26" t="s">
        <v>31</v>
      </c>
      <c r="M1003" s="26" t="s">
        <v>33</v>
      </c>
      <c r="N1003" s="26">
        <v>80</v>
      </c>
      <c r="O1003" s="26">
        <f>2024-Inventory[[#This Row],[YrBlt]]</f>
        <v>76</v>
      </c>
      <c r="P1003" s="26">
        <f>2024-Inventory[[#This Row],[EffYr]]</f>
        <v>51</v>
      </c>
      <c r="Q1003" s="25">
        <v>1948</v>
      </c>
      <c r="R1003" s="25">
        <v>1973</v>
      </c>
      <c r="S1003" s="25">
        <v>1210</v>
      </c>
      <c r="T1003" s="31"/>
      <c r="U1003" s="25">
        <v>1210</v>
      </c>
      <c r="V1003" s="25">
        <f>Inventory[[#This Row],[Bsmt]]-Inventory[[#This Row],[FnBsmt]]</f>
        <v>0</v>
      </c>
      <c r="W1003" s="25">
        <v>1210</v>
      </c>
      <c r="X1003" s="27"/>
      <c r="Y1003" s="27">
        <f>Inventory[[#This Row],[MainFn]]+Inventory[[#This Row],[UpprFn]]+Inventory[[#This Row],[FnBsmt]]+Inventory[[#This Row],[AddFn]]</f>
        <v>2420</v>
      </c>
      <c r="Z1003" s="27">
        <v>2500</v>
      </c>
      <c r="AA1003" s="25">
        <v>9</v>
      </c>
      <c r="AB1003" s="27"/>
      <c r="AC1003" s="27"/>
      <c r="AD1003" s="27"/>
      <c r="AE1003" s="27"/>
      <c r="AF1003" s="27"/>
      <c r="AG1003" s="27"/>
      <c r="AH1003" s="27"/>
      <c r="AI1003" s="25">
        <v>270573</v>
      </c>
      <c r="AJ1003" s="25">
        <v>178578</v>
      </c>
      <c r="AK1003" s="25">
        <v>9106</v>
      </c>
      <c r="AL1003" s="25">
        <v>263500</v>
      </c>
      <c r="AM1003" s="25">
        <v>75900</v>
      </c>
      <c r="AN1003" s="25">
        <v>187600</v>
      </c>
      <c r="AO1003" s="25">
        <v>0</v>
      </c>
      <c r="AP1003" s="25">
        <f>Lookups!$B$56*0</f>
        <v>0</v>
      </c>
      <c r="AQ1003" s="25">
        <f>Lookups!$B$56*1</f>
        <v>89850.625589999996</v>
      </c>
      <c r="AR1003" s="25">
        <f>Lookups!$B$57*Inventory[[#This Row],[LnAcres]]</f>
        <v>-35094.289365640165</v>
      </c>
      <c r="AS1003" s="25">
        <f>VLOOKUP(Inventory[[#This Row],[Qlty]],Lookups!$A$62:$E$75,2,FALSE)</f>
        <v>-43578.886190266698</v>
      </c>
      <c r="AT1003" s="25">
        <f>VLOOKUP(Inventory[[#This Row],[Cnd]],Lookups!$A$76:$E$84,2,FALSE)</f>
        <v>39013.223933000001</v>
      </c>
      <c r="AU1003" s="25">
        <f>Inventory[[#This Row],[EffAge]]*Lookups!$B$85</f>
        <v>-11375.3256255</v>
      </c>
      <c r="AV1003" s="25">
        <f>Inventory[[#This Row],[MainFn]]*Lookups!$B$86</f>
        <v>59784.490551169998</v>
      </c>
      <c r="AW1003" s="25">
        <f>Inventory[[#This Row],[UpprFn]]*Lookups!$B$87</f>
        <v>0</v>
      </c>
      <c r="AX1003" s="25">
        <f>Inventory[[#This Row],[AddFn]]*Lookups!$B$88</f>
        <v>0</v>
      </c>
      <c r="AY1003" s="25">
        <f>Inventory[[#This Row],[Bsmt]]*Lookups!$B$89</f>
        <v>35189.093248869998</v>
      </c>
      <c r="AZ1003" s="25">
        <f>Inventory[[#This Row],[Fixtures]]*Lookups!$B$90</f>
        <v>34128.198946800003</v>
      </c>
      <c r="BA1003" s="25">
        <f>Inventory[[#This Row],[WdDeck]]*Lookups!$B$91</f>
        <v>0</v>
      </c>
      <c r="BB1003" s="25">
        <f>ROUND(Inventory[[#This Row],[25Det]],-2)</f>
        <v>9100</v>
      </c>
      <c r="BC1003" s="25">
        <f>ROUND(SUM(Inventory[[#This Row],[Mdl Qlty]:[Mdl WdDeck]])+Inventory[[#This Row],[Mdl Res Intercept]],-2)</f>
        <v>113200</v>
      </c>
      <c r="BD1003" s="25">
        <f>ROUND(Inventory[[#This Row],[Mdl Land Intercept]]+Inventory[[#This Row],[Mdl LnAcres]],-2)</f>
        <v>54800</v>
      </c>
      <c r="BE1003" s="25">
        <f>Inventory[[#This Row],[Unadj Res Value]]+Inventory[[#This Row],[Unadj Det Value]]+Inventory[[#This Row],[Unadj Land Value]]</f>
        <v>177100</v>
      </c>
      <c r="BF1003" s="36">
        <f>(Inventory[[#This Row],[Unadj Total Value]]-Inventory[[#This Row],[24Final]])/Inventory[[#This Row],[24Final]]</f>
        <v>-0.32789373814041745</v>
      </c>
      <c r="BG1003" s="25">
        <f>VLOOKUP(Inventory[[#This Row],[Nbhd]],Lookups!$Q$2:$T$4,4,FALSE)</f>
        <v>0.99970000000000003</v>
      </c>
      <c r="BH1003" s="25">
        <f>VLOOKUP(Inventory[[#This Row],[Qlty]],Lookups!$O$7:$R$21,4,FALSE)</f>
        <v>1</v>
      </c>
      <c r="BI1003" s="25">
        <f>VLOOKUP(Inventory[[#This Row],[Cnd]],Lookups!$T$7:$W$16,4,FALSE)</f>
        <v>1.0021</v>
      </c>
      <c r="BJ1003" s="25">
        <f>VLOOKUP(Inventory[[#This Row],[LivArea Range]],Lookups!$T$25:$W$37,4,FALSE)</f>
        <v>0.98919999999999997</v>
      </c>
      <c r="BK1003" s="25">
        <f>VLOOKUP(Inventory[[#This Row],[Decade]],Lookups!$O$25:$R$42,4,FALSE)</f>
        <v>0.995</v>
      </c>
      <c r="BL1003" s="25">
        <f>Inventory[[#This Row],[Nbhd Adj]]*0.95</f>
        <v>0.94971499999999998</v>
      </c>
      <c r="BM1003" s="25">
        <f>Inventory[[#This Row],[Nbhd Adj]]*Inventory[[#This Row],[Quality Adj]]*Inventory[[#This Row],[Condition Adj]]*Inventory[[#This Row],[Living Area Adj]]*Inventory[[#This Row],[Decade Adj]]*0.95</f>
        <v>0.93672378526398103</v>
      </c>
      <c r="BN1003" s="25">
        <f>ROUND(SUM(Inventory[[#This Row],[Mdl Qlty]:[Mdl WdDeck]])+Inventory[[#This Row],[Mdl Res Intercept]]*Inventory[[#This Row],[Res Adj ]],-2)</f>
        <v>113200</v>
      </c>
      <c r="BO1003" s="25">
        <f>ROUND(Inventory[[#This Row],[25Det]]*Inventory[[#This Row],[Det/Nbhd Adj]],-2)</f>
        <v>8600</v>
      </c>
      <c r="BP1003" s="25">
        <f>Inventory[[#This Row],[Adjusted Res]]+Inventory[[#This Row],[Adj Det ]]</f>
        <v>121800</v>
      </c>
      <c r="BQ1003" s="25">
        <f>ROUND((Inventory[[#This Row],[Mdl Land Intercept]]+Inventory[[#This Row],[Mdl LnAcres]])*Inventory[[#This Row],[Det/Nbhd Adj]],-2)</f>
        <v>52000</v>
      </c>
      <c r="BR1003" s="25">
        <f>Inventory[[#This Row],[Adjusted Impr Total]]+Inventory[[#This Row],[Adjusted Land Total]]</f>
        <v>173800</v>
      </c>
      <c r="BS1003" s="36">
        <f>IFERROR((Inventory[[#This Row],[Adjusted Impr Total]]-Inventory[[#This Row],[24Bldg]])/Inventory[[#This Row],[24Bldg]],0)</f>
        <v>-0.35074626865671643</v>
      </c>
      <c r="BT1003" s="36">
        <f>(Inventory[[#This Row],[Adjusted Land Total]]-Inventory[[#This Row],[24Lnd]])/Inventory[[#This Row],[24Lnd]]</f>
        <v>-0.31488801054018445</v>
      </c>
      <c r="BU1003" s="36">
        <f>(Inventory[[#This Row],[Adjusted Total]]-Inventory[[#This Row],[24Final]])/Inventory[[#This Row],[24Final]]</f>
        <v>-0.34041745730550282</v>
      </c>
    </row>
    <row r="1004" spans="1:73" x14ac:dyDescent="0.3">
      <c r="A1004" s="25">
        <v>2025</v>
      </c>
      <c r="B1004" s="26" t="s">
        <v>1957</v>
      </c>
      <c r="C1004" s="26">
        <f>LN(Inventory[[#This Row],[Acres]])</f>
        <v>-1.8325814637483102</v>
      </c>
      <c r="D1004" s="25">
        <v>0.16</v>
      </c>
      <c r="E1004" s="31"/>
      <c r="F1004" s="26" t="s">
        <v>537</v>
      </c>
      <c r="G1004" s="26" t="s">
        <v>126</v>
      </c>
      <c r="H1004" s="26" t="s">
        <v>349</v>
      </c>
      <c r="I1004" s="26" t="s">
        <v>538</v>
      </c>
      <c r="J1004" s="26" t="s">
        <v>539</v>
      </c>
      <c r="K1004" s="26" t="s">
        <v>173</v>
      </c>
      <c r="L1004" s="26" t="s">
        <v>351</v>
      </c>
      <c r="M1004" s="26" t="s">
        <v>303</v>
      </c>
      <c r="N1004" s="26">
        <v>80</v>
      </c>
      <c r="O1004" s="26">
        <f>2024-Inventory[[#This Row],[YrBlt]]</f>
        <v>77</v>
      </c>
      <c r="P1004" s="26">
        <f>2024-Inventory[[#This Row],[EffYr]]</f>
        <v>51</v>
      </c>
      <c r="Q1004" s="25">
        <v>1947</v>
      </c>
      <c r="R1004" s="25">
        <v>1973</v>
      </c>
      <c r="S1004" s="25">
        <v>1146</v>
      </c>
      <c r="T1004" s="25">
        <v>612</v>
      </c>
      <c r="U1004" s="25">
        <v>936</v>
      </c>
      <c r="V1004" s="25">
        <f>Inventory[[#This Row],[Bsmt]]-Inventory[[#This Row],[FnBsmt]]</f>
        <v>236</v>
      </c>
      <c r="W1004" s="25">
        <v>700</v>
      </c>
      <c r="X1004" s="27"/>
      <c r="Y1004" s="27">
        <f>Inventory[[#This Row],[MainFn]]+Inventory[[#This Row],[UpprFn]]+Inventory[[#This Row],[FnBsmt]]+Inventory[[#This Row],[AddFn]]</f>
        <v>2458</v>
      </c>
      <c r="Z1004" s="27">
        <v>2500</v>
      </c>
      <c r="AA1004" s="25">
        <v>8</v>
      </c>
      <c r="AB1004" s="27"/>
      <c r="AC1004" s="27"/>
      <c r="AD1004" s="32">
        <v>224</v>
      </c>
      <c r="AE1004" s="27"/>
      <c r="AF1004" s="27"/>
      <c r="AG1004" s="27"/>
      <c r="AH1004" s="27"/>
      <c r="AI1004" s="25">
        <v>343712</v>
      </c>
      <c r="AJ1004" s="25">
        <v>244036</v>
      </c>
      <c r="AK1004" s="25">
        <v>7632</v>
      </c>
      <c r="AL1004" s="25">
        <v>363800</v>
      </c>
      <c r="AM1004" s="25">
        <v>50600</v>
      </c>
      <c r="AN1004" s="25">
        <v>313200</v>
      </c>
      <c r="AO1004" s="25">
        <v>0</v>
      </c>
      <c r="AP1004" s="25">
        <f>Lookups!$B$56*0</f>
        <v>0</v>
      </c>
      <c r="AQ1004" s="25">
        <f>Lookups!$B$56*1</f>
        <v>89850.625589999996</v>
      </c>
      <c r="AR1004" s="25">
        <f>Lookups!$B$57*Inventory[[#This Row],[LnAcres]]</f>
        <v>-58009.662049032086</v>
      </c>
      <c r="AS1004" s="25">
        <f>VLOOKUP(Inventory[[#This Row],[Qlty]],Lookups!$A$62:$E$75,2,FALSE)</f>
        <v>21557.329055999999</v>
      </c>
      <c r="AT1004" s="25">
        <f>VLOOKUP(Inventory[[#This Row],[Cnd]],Lookups!$A$76:$E$84,2,FALSE)</f>
        <v>197752.34721000001</v>
      </c>
      <c r="AU1004" s="25">
        <f>Inventory[[#This Row],[EffAge]]*Lookups!$B$85</f>
        <v>-11375.3256255</v>
      </c>
      <c r="AV1004" s="25">
        <f>Inventory[[#This Row],[MainFn]]*Lookups!$B$86</f>
        <v>56622.335679042</v>
      </c>
      <c r="AW1004" s="25">
        <f>Inventory[[#This Row],[UpprFn]]*Lookups!$B$87</f>
        <v>27409.290790931998</v>
      </c>
      <c r="AX1004" s="25">
        <f>Inventory[[#This Row],[AddFn]]*Lookups!$B$88</f>
        <v>0</v>
      </c>
      <c r="AY1004" s="25">
        <f>Inventory[[#This Row],[Bsmt]]*Lookups!$B$89</f>
        <v>27220.653951191998</v>
      </c>
      <c r="AZ1004" s="25">
        <f>Inventory[[#This Row],[Fixtures]]*Lookups!$B$90</f>
        <v>30336.176841600001</v>
      </c>
      <c r="BA1004" s="25">
        <f>Inventory[[#This Row],[WdDeck]]*Lookups!$B$91</f>
        <v>7458.1954218240007</v>
      </c>
      <c r="BB1004" s="25">
        <f>ROUND(Inventory[[#This Row],[25Det]],-2)</f>
        <v>7600</v>
      </c>
      <c r="BC1004" s="25">
        <f>ROUND(SUM(Inventory[[#This Row],[Mdl Qlty]:[Mdl WdDeck]])+Inventory[[#This Row],[Mdl Res Intercept]],-2)</f>
        <v>357000</v>
      </c>
      <c r="BD1004" s="25">
        <f>ROUND(Inventory[[#This Row],[Mdl Land Intercept]]+Inventory[[#This Row],[Mdl LnAcres]],-2)</f>
        <v>31800</v>
      </c>
      <c r="BE1004" s="25">
        <f>Inventory[[#This Row],[Unadj Res Value]]+Inventory[[#This Row],[Unadj Det Value]]+Inventory[[#This Row],[Unadj Land Value]]</f>
        <v>396400</v>
      </c>
      <c r="BF1004" s="36">
        <f>(Inventory[[#This Row],[Unadj Total Value]]-Inventory[[#This Row],[24Final]])/Inventory[[#This Row],[24Final]]</f>
        <v>8.9609675645959314E-2</v>
      </c>
      <c r="BG1004" s="25">
        <f>VLOOKUP(Inventory[[#This Row],[Nbhd]],Lookups!$Q$2:$T$4,4,FALSE)</f>
        <v>0.99970000000000003</v>
      </c>
      <c r="BH1004" s="25">
        <f>VLOOKUP(Inventory[[#This Row],[Qlty]],Lookups!$O$7:$R$21,4,FALSE)</f>
        <v>1.0067999999999999</v>
      </c>
      <c r="BI1004" s="25">
        <f>VLOOKUP(Inventory[[#This Row],[Cnd]],Lookups!$T$7:$W$16,4,FALSE)</f>
        <v>0.99650000000000005</v>
      </c>
      <c r="BJ1004" s="25">
        <f>VLOOKUP(Inventory[[#This Row],[LivArea Range]],Lookups!$T$25:$W$37,4,FALSE)</f>
        <v>0.98919999999999997</v>
      </c>
      <c r="BK1004" s="25">
        <f>VLOOKUP(Inventory[[#This Row],[Decade]],Lookups!$O$25:$R$42,4,FALSE)</f>
        <v>0.995</v>
      </c>
      <c r="BL1004" s="25">
        <f>Inventory[[#This Row],[Nbhd Adj]]*0.95</f>
        <v>0.94971499999999998</v>
      </c>
      <c r="BM1004" s="25">
        <f>Inventory[[#This Row],[Nbhd Adj]]*Inventory[[#This Row],[Quality Adj]]*Inventory[[#This Row],[Condition Adj]]*Inventory[[#This Row],[Living Area Adj]]*Inventory[[#This Row],[Decade Adj]]*0.95</f>
        <v>0.93782325090236773</v>
      </c>
      <c r="BN1004" s="25">
        <f>ROUND(SUM(Inventory[[#This Row],[Mdl Qlty]:[Mdl WdDeck]])+Inventory[[#This Row],[Mdl Res Intercept]]*Inventory[[#This Row],[Res Adj ]],-2)</f>
        <v>357000</v>
      </c>
      <c r="BO1004" s="25">
        <f>ROUND(Inventory[[#This Row],[25Det]]*Inventory[[#This Row],[Det/Nbhd Adj]],-2)</f>
        <v>7200</v>
      </c>
      <c r="BP1004" s="25">
        <f>Inventory[[#This Row],[Adjusted Res]]+Inventory[[#This Row],[Adj Det ]]</f>
        <v>364200</v>
      </c>
      <c r="BQ1004" s="25">
        <f>ROUND((Inventory[[#This Row],[Mdl Land Intercept]]+Inventory[[#This Row],[Mdl LnAcres]])*Inventory[[#This Row],[Det/Nbhd Adj]],-2)</f>
        <v>30200</v>
      </c>
      <c r="BR1004" s="25">
        <f>Inventory[[#This Row],[Adjusted Impr Total]]+Inventory[[#This Row],[Adjusted Land Total]]</f>
        <v>394400</v>
      </c>
      <c r="BS1004" s="36">
        <f>IFERROR((Inventory[[#This Row],[Adjusted Impr Total]]-Inventory[[#This Row],[24Bldg]])/Inventory[[#This Row],[24Bldg]],0)</f>
        <v>0.16283524904214558</v>
      </c>
      <c r="BT1004" s="36">
        <f>(Inventory[[#This Row],[Adjusted Land Total]]-Inventory[[#This Row],[24Lnd]])/Inventory[[#This Row],[24Lnd]]</f>
        <v>-0.40316205533596838</v>
      </c>
      <c r="BU1004" s="36">
        <f>(Inventory[[#This Row],[Adjusted Total]]-Inventory[[#This Row],[24Final]])/Inventory[[#This Row],[24Final]]</f>
        <v>8.4112149532710276E-2</v>
      </c>
    </row>
    <row r="1005" spans="1:73" x14ac:dyDescent="0.3">
      <c r="A1005" s="25">
        <v>2025</v>
      </c>
      <c r="B1005" s="26" t="s">
        <v>1798</v>
      </c>
      <c r="C1005" s="26">
        <f>LN(Inventory[[#This Row],[Acres]])</f>
        <v>-1.7147984280919266</v>
      </c>
      <c r="D1005" s="25">
        <v>0.18</v>
      </c>
      <c r="E1005" s="25">
        <v>7917</v>
      </c>
      <c r="F1005" s="26" t="s">
        <v>537</v>
      </c>
      <c r="G1005" s="26" t="s">
        <v>126</v>
      </c>
      <c r="H1005" s="26" t="s">
        <v>349</v>
      </c>
      <c r="I1005" s="26" t="s">
        <v>538</v>
      </c>
      <c r="J1005" s="26" t="s">
        <v>539</v>
      </c>
      <c r="K1005" s="26" t="s">
        <v>147</v>
      </c>
      <c r="L1005" s="26" t="s">
        <v>148</v>
      </c>
      <c r="M1005" s="26" t="s">
        <v>303</v>
      </c>
      <c r="N1005" s="26">
        <v>80</v>
      </c>
      <c r="O1005" s="26">
        <f>2024-Inventory[[#This Row],[YrBlt]]</f>
        <v>77</v>
      </c>
      <c r="P1005" s="26">
        <f>2024-Inventory[[#This Row],[EffYr]]</f>
        <v>51</v>
      </c>
      <c r="Q1005" s="25">
        <v>1947</v>
      </c>
      <c r="R1005" s="25">
        <v>1973</v>
      </c>
      <c r="S1005" s="25">
        <v>1081</v>
      </c>
      <c r="T1005" s="25">
        <v>408</v>
      </c>
      <c r="U1005" s="25">
        <v>884</v>
      </c>
      <c r="V1005" s="25">
        <f>Inventory[[#This Row],[Bsmt]]-Inventory[[#This Row],[FnBsmt]]</f>
        <v>442</v>
      </c>
      <c r="W1005" s="25">
        <v>442</v>
      </c>
      <c r="X1005" s="27"/>
      <c r="Y1005" s="27">
        <f>Inventory[[#This Row],[MainFn]]+Inventory[[#This Row],[UpprFn]]+Inventory[[#This Row],[FnBsmt]]+Inventory[[#This Row],[AddFn]]</f>
        <v>1931</v>
      </c>
      <c r="Z1005" s="27">
        <v>2000</v>
      </c>
      <c r="AA1005" s="25">
        <v>8</v>
      </c>
      <c r="AB1005" s="27"/>
      <c r="AC1005" s="27"/>
      <c r="AD1005" s="27"/>
      <c r="AE1005" s="27"/>
      <c r="AF1005" s="27"/>
      <c r="AG1005" s="27"/>
      <c r="AH1005" s="27"/>
      <c r="AI1005" s="25">
        <v>380645</v>
      </c>
      <c r="AJ1005" s="25">
        <v>270258</v>
      </c>
      <c r="AK1005" s="25">
        <v>17094</v>
      </c>
      <c r="AL1005" s="25">
        <v>376900</v>
      </c>
      <c r="AM1005" s="25">
        <v>54700</v>
      </c>
      <c r="AN1005" s="25">
        <v>322200</v>
      </c>
      <c r="AO1005" s="25">
        <v>0</v>
      </c>
      <c r="AP1005" s="25">
        <f>Lookups!$B$56*0</f>
        <v>0</v>
      </c>
      <c r="AQ1005" s="25">
        <f>Lookups!$B$56*1</f>
        <v>89850.625589999996</v>
      </c>
      <c r="AR1005" s="25">
        <f>Lookups!$B$57*Inventory[[#This Row],[LnAcres]]</f>
        <v>-54281.285314520763</v>
      </c>
      <c r="AS1005" s="25">
        <f>VLOOKUP(Inventory[[#This Row],[Qlty]],Lookups!$A$62:$E$75,2,FALSE)</f>
        <v>44121.038090000002</v>
      </c>
      <c r="AT1005" s="25">
        <f>VLOOKUP(Inventory[[#This Row],[Cnd]],Lookups!$A$76:$E$84,2,FALSE)</f>
        <v>197752.34721000001</v>
      </c>
      <c r="AU1005" s="25">
        <f>Inventory[[#This Row],[EffAge]]*Lookups!$B$85</f>
        <v>-11375.3256255</v>
      </c>
      <c r="AV1005" s="25">
        <f>Inventory[[#This Row],[MainFn]]*Lookups!$B$86</f>
        <v>53410.772137036998</v>
      </c>
      <c r="AW1005" s="25">
        <f>Inventory[[#This Row],[UpprFn]]*Lookups!$B$87</f>
        <v>18272.860527287998</v>
      </c>
      <c r="AX1005" s="25">
        <f>Inventory[[#This Row],[AddFn]]*Lookups!$B$88</f>
        <v>0</v>
      </c>
      <c r="AY1005" s="25">
        <f>Inventory[[#This Row],[Bsmt]]*Lookups!$B$89</f>
        <v>25708.395398347999</v>
      </c>
      <c r="AZ1005" s="25">
        <f>Inventory[[#This Row],[Fixtures]]*Lookups!$B$90</f>
        <v>30336.176841600001</v>
      </c>
      <c r="BA1005" s="25">
        <f>Inventory[[#This Row],[WdDeck]]*Lookups!$B$91</f>
        <v>0</v>
      </c>
      <c r="BB1005" s="25">
        <f>ROUND(Inventory[[#This Row],[25Det]],-2)</f>
        <v>17100</v>
      </c>
      <c r="BC1005" s="25">
        <f>ROUND(SUM(Inventory[[#This Row],[Mdl Qlty]:[Mdl WdDeck]])+Inventory[[#This Row],[Mdl Res Intercept]],-2)</f>
        <v>358200</v>
      </c>
      <c r="BD1005" s="25">
        <f>ROUND(Inventory[[#This Row],[Mdl Land Intercept]]+Inventory[[#This Row],[Mdl LnAcres]],-2)</f>
        <v>35600</v>
      </c>
      <c r="BE1005" s="25">
        <f>Inventory[[#This Row],[Unadj Res Value]]+Inventory[[#This Row],[Unadj Det Value]]+Inventory[[#This Row],[Unadj Land Value]]</f>
        <v>410900</v>
      </c>
      <c r="BF1005" s="36">
        <f>(Inventory[[#This Row],[Unadj Total Value]]-Inventory[[#This Row],[24Final]])/Inventory[[#This Row],[24Final]]</f>
        <v>9.0209604669673649E-2</v>
      </c>
      <c r="BG1005" s="25">
        <f>VLOOKUP(Inventory[[#This Row],[Nbhd]],Lookups!$Q$2:$T$4,4,FALSE)</f>
        <v>0.99970000000000003</v>
      </c>
      <c r="BH1005" s="25">
        <f>VLOOKUP(Inventory[[#This Row],[Qlty]],Lookups!$O$7:$R$21,4,FALSE)</f>
        <v>0.98050000000000004</v>
      </c>
      <c r="BI1005" s="25">
        <f>VLOOKUP(Inventory[[#This Row],[Cnd]],Lookups!$T$7:$W$16,4,FALSE)</f>
        <v>0.99650000000000005</v>
      </c>
      <c r="BJ1005" s="25">
        <f>VLOOKUP(Inventory[[#This Row],[LivArea Range]],Lookups!$T$25:$W$37,4,FALSE)</f>
        <v>1.0093000000000001</v>
      </c>
      <c r="BK1005" s="25">
        <f>VLOOKUP(Inventory[[#This Row],[Decade]],Lookups!$O$25:$R$42,4,FALSE)</f>
        <v>0.995</v>
      </c>
      <c r="BL1005" s="25">
        <f>Inventory[[#This Row],[Nbhd Adj]]*0.95</f>
        <v>0.94971499999999998</v>
      </c>
      <c r="BM1005" s="25">
        <f>Inventory[[#This Row],[Nbhd Adj]]*Inventory[[#This Row],[Quality Adj]]*Inventory[[#This Row],[Condition Adj]]*Inventory[[#This Row],[Living Area Adj]]*Inventory[[#This Row],[Decade Adj]]*0.95</f>
        <v>0.93188335041151293</v>
      </c>
      <c r="BN1005" s="25">
        <f>ROUND(SUM(Inventory[[#This Row],[Mdl Qlty]:[Mdl WdDeck]])+Inventory[[#This Row],[Mdl Res Intercept]]*Inventory[[#This Row],[Res Adj ]],-2)</f>
        <v>358200</v>
      </c>
      <c r="BO1005" s="25">
        <f>ROUND(Inventory[[#This Row],[25Det]]*Inventory[[#This Row],[Det/Nbhd Adj]],-2)</f>
        <v>16200</v>
      </c>
      <c r="BP1005" s="25">
        <f>Inventory[[#This Row],[Adjusted Res]]+Inventory[[#This Row],[Adj Det ]]</f>
        <v>374400</v>
      </c>
      <c r="BQ1005" s="25">
        <f>ROUND((Inventory[[#This Row],[Mdl Land Intercept]]+Inventory[[#This Row],[Mdl LnAcres]])*Inventory[[#This Row],[Det/Nbhd Adj]],-2)</f>
        <v>33800</v>
      </c>
      <c r="BR1005" s="25">
        <f>Inventory[[#This Row],[Adjusted Impr Total]]+Inventory[[#This Row],[Adjusted Land Total]]</f>
        <v>408200</v>
      </c>
      <c r="BS1005" s="36">
        <f>IFERROR((Inventory[[#This Row],[Adjusted Impr Total]]-Inventory[[#This Row],[24Bldg]])/Inventory[[#This Row],[24Bldg]],0)</f>
        <v>0.16201117318435754</v>
      </c>
      <c r="BT1005" s="36">
        <f>(Inventory[[#This Row],[Adjusted Land Total]]-Inventory[[#This Row],[24Lnd]])/Inventory[[#This Row],[24Lnd]]</f>
        <v>-0.38208409506398539</v>
      </c>
      <c r="BU1005" s="36">
        <f>(Inventory[[#This Row],[Adjusted Total]]-Inventory[[#This Row],[24Final]])/Inventory[[#This Row],[24Final]]</f>
        <v>8.3045900769434869E-2</v>
      </c>
    </row>
    <row r="1006" spans="1:73" x14ac:dyDescent="0.3">
      <c r="A1006" s="25">
        <v>2025</v>
      </c>
      <c r="B1006" s="26" t="s">
        <v>1057</v>
      </c>
      <c r="C1006" s="26">
        <f>LN(Inventory[[#This Row],[Acres]])</f>
        <v>-1.8325814637483102</v>
      </c>
      <c r="D1006" s="25">
        <v>0.16</v>
      </c>
      <c r="E1006" s="27"/>
      <c r="F1006" s="26" t="s">
        <v>537</v>
      </c>
      <c r="G1006" s="26" t="s">
        <v>126</v>
      </c>
      <c r="H1006" s="26" t="s">
        <v>349</v>
      </c>
      <c r="I1006" s="26" t="s">
        <v>538</v>
      </c>
      <c r="J1006" s="26" t="s">
        <v>539</v>
      </c>
      <c r="K1006" s="26" t="s">
        <v>242</v>
      </c>
      <c r="L1006" s="26" t="s">
        <v>148</v>
      </c>
      <c r="M1006" s="26" t="s">
        <v>303</v>
      </c>
      <c r="N1006" s="26">
        <v>80</v>
      </c>
      <c r="O1006" s="26">
        <f>2024-Inventory[[#This Row],[YrBlt]]</f>
        <v>77</v>
      </c>
      <c r="P1006" s="26">
        <f>2024-Inventory[[#This Row],[EffYr]]</f>
        <v>51</v>
      </c>
      <c r="Q1006" s="25">
        <v>1947</v>
      </c>
      <c r="R1006" s="25">
        <v>1973</v>
      </c>
      <c r="S1006" s="25">
        <v>1567</v>
      </c>
      <c r="T1006" s="31"/>
      <c r="U1006" s="25">
        <v>1111</v>
      </c>
      <c r="V1006" s="25">
        <f>Inventory[[#This Row],[Bsmt]]-Inventory[[#This Row],[FnBsmt]]</f>
        <v>556</v>
      </c>
      <c r="W1006" s="25">
        <v>555</v>
      </c>
      <c r="X1006" s="27"/>
      <c r="Y1006" s="27">
        <f>Inventory[[#This Row],[MainFn]]+Inventory[[#This Row],[UpprFn]]+Inventory[[#This Row],[FnBsmt]]+Inventory[[#This Row],[AddFn]]</f>
        <v>2122</v>
      </c>
      <c r="Z1006" s="27">
        <v>2500</v>
      </c>
      <c r="AA1006" s="25">
        <v>9</v>
      </c>
      <c r="AB1006" s="31"/>
      <c r="AC1006" s="27"/>
      <c r="AD1006" s="27"/>
      <c r="AE1006" s="27"/>
      <c r="AF1006" s="27"/>
      <c r="AG1006" s="27"/>
      <c r="AH1006" s="27"/>
      <c r="AI1006" s="25">
        <v>438590</v>
      </c>
      <c r="AJ1006" s="25">
        <v>311399</v>
      </c>
      <c r="AK1006" s="25">
        <v>12319</v>
      </c>
      <c r="AL1006" s="25">
        <v>384700</v>
      </c>
      <c r="AM1006" s="25">
        <v>50600</v>
      </c>
      <c r="AN1006" s="25">
        <v>334100</v>
      </c>
      <c r="AO1006" s="25">
        <v>0</v>
      </c>
      <c r="AP1006" s="25">
        <f>Lookups!$B$56*0</f>
        <v>0</v>
      </c>
      <c r="AQ1006" s="25">
        <f>Lookups!$B$56*1</f>
        <v>89850.625589999996</v>
      </c>
      <c r="AR1006" s="25">
        <f>Lookups!$B$57*Inventory[[#This Row],[LnAcres]]</f>
        <v>-58009.662049032086</v>
      </c>
      <c r="AS1006" s="25">
        <f>VLOOKUP(Inventory[[#This Row],[Qlty]],Lookups!$A$62:$E$75,2,FALSE)</f>
        <v>44121.038090000002</v>
      </c>
      <c r="AT1006" s="25">
        <f>VLOOKUP(Inventory[[#This Row],[Cnd]],Lookups!$A$76:$E$84,2,FALSE)</f>
        <v>197752.34721000001</v>
      </c>
      <c r="AU1006" s="25">
        <f>Inventory[[#This Row],[EffAge]]*Lookups!$B$85</f>
        <v>-11375.3256255</v>
      </c>
      <c r="AV1006" s="25">
        <f>Inventory[[#This Row],[MainFn]]*Lookups!$B$86</f>
        <v>77423.385697259</v>
      </c>
      <c r="AW1006" s="25">
        <f>Inventory[[#This Row],[UpprFn]]*Lookups!$B$87</f>
        <v>0</v>
      </c>
      <c r="AX1006" s="25">
        <f>Inventory[[#This Row],[AddFn]]*Lookups!$B$88</f>
        <v>0</v>
      </c>
      <c r="AY1006" s="25">
        <f>Inventory[[#This Row],[Bsmt]]*Lookups!$B$89</f>
        <v>32309.985619416999</v>
      </c>
      <c r="AZ1006" s="25">
        <f>Inventory[[#This Row],[Fixtures]]*Lookups!$B$90</f>
        <v>34128.198946800003</v>
      </c>
      <c r="BA1006" s="25">
        <f>Inventory[[#This Row],[WdDeck]]*Lookups!$B$91</f>
        <v>0</v>
      </c>
      <c r="BB1006" s="25">
        <f>ROUND(Inventory[[#This Row],[25Det]],-2)</f>
        <v>12300</v>
      </c>
      <c r="BC1006" s="25">
        <f>ROUND(SUM(Inventory[[#This Row],[Mdl Qlty]:[Mdl WdDeck]])+Inventory[[#This Row],[Mdl Res Intercept]],-2)</f>
        <v>374400</v>
      </c>
      <c r="BD1006" s="25">
        <f>ROUND(Inventory[[#This Row],[Mdl Land Intercept]]+Inventory[[#This Row],[Mdl LnAcres]],-2)</f>
        <v>31800</v>
      </c>
      <c r="BE1006" s="25">
        <f>Inventory[[#This Row],[Unadj Res Value]]+Inventory[[#This Row],[Unadj Det Value]]+Inventory[[#This Row],[Unadj Land Value]]</f>
        <v>418500</v>
      </c>
      <c r="BF1006" s="36">
        <f>(Inventory[[#This Row],[Unadj Total Value]]-Inventory[[#This Row],[24Final]])/Inventory[[#This Row],[24Final]]</f>
        <v>8.7860670652456466E-2</v>
      </c>
      <c r="BG1006" s="25">
        <f>VLOOKUP(Inventory[[#This Row],[Nbhd]],Lookups!$Q$2:$T$4,4,FALSE)</f>
        <v>0.99970000000000003</v>
      </c>
      <c r="BH1006" s="25">
        <f>VLOOKUP(Inventory[[#This Row],[Qlty]],Lookups!$O$7:$R$21,4,FALSE)</f>
        <v>0.98050000000000004</v>
      </c>
      <c r="BI1006" s="25">
        <f>VLOOKUP(Inventory[[#This Row],[Cnd]],Lookups!$T$7:$W$16,4,FALSE)</f>
        <v>0.99650000000000005</v>
      </c>
      <c r="BJ1006" s="25">
        <f>VLOOKUP(Inventory[[#This Row],[LivArea Range]],Lookups!$T$25:$W$37,4,FALSE)</f>
        <v>0.98919999999999997</v>
      </c>
      <c r="BK1006" s="25">
        <f>VLOOKUP(Inventory[[#This Row],[Decade]],Lookups!$O$25:$R$42,4,FALSE)</f>
        <v>0.995</v>
      </c>
      <c r="BL1006" s="25">
        <f>Inventory[[#This Row],[Nbhd Adj]]*0.95</f>
        <v>0.94971499999999998</v>
      </c>
      <c r="BM1006" s="25">
        <f>Inventory[[#This Row],[Nbhd Adj]]*Inventory[[#This Row],[Quality Adj]]*Inventory[[#This Row],[Condition Adj]]*Inventory[[#This Row],[Living Area Adj]]*Inventory[[#This Row],[Decade Adj]]*0.95</f>
        <v>0.91332508691872449</v>
      </c>
      <c r="BN1006" s="25">
        <f>ROUND(SUM(Inventory[[#This Row],[Mdl Qlty]:[Mdl WdDeck]])+Inventory[[#This Row],[Mdl Res Intercept]]*Inventory[[#This Row],[Res Adj ]],-2)</f>
        <v>374400</v>
      </c>
      <c r="BO1006" s="25">
        <f>ROUND(Inventory[[#This Row],[25Det]]*Inventory[[#This Row],[Det/Nbhd Adj]],-2)</f>
        <v>11700</v>
      </c>
      <c r="BP1006" s="25">
        <f>Inventory[[#This Row],[Adjusted Res]]+Inventory[[#This Row],[Adj Det ]]</f>
        <v>386100</v>
      </c>
      <c r="BQ1006" s="25">
        <f>ROUND((Inventory[[#This Row],[Mdl Land Intercept]]+Inventory[[#This Row],[Mdl LnAcres]])*Inventory[[#This Row],[Det/Nbhd Adj]],-2)</f>
        <v>30200</v>
      </c>
      <c r="BR1006" s="25">
        <f>Inventory[[#This Row],[Adjusted Impr Total]]+Inventory[[#This Row],[Adjusted Land Total]]</f>
        <v>416300</v>
      </c>
      <c r="BS1006" s="36">
        <f>IFERROR((Inventory[[#This Row],[Adjusted Impr Total]]-Inventory[[#This Row],[24Bldg]])/Inventory[[#This Row],[24Bldg]],0)</f>
        <v>0.1556420233463035</v>
      </c>
      <c r="BT1006" s="36">
        <f>(Inventory[[#This Row],[Adjusted Land Total]]-Inventory[[#This Row],[24Lnd]])/Inventory[[#This Row],[24Lnd]]</f>
        <v>-0.40316205533596838</v>
      </c>
      <c r="BU1006" s="36">
        <f>(Inventory[[#This Row],[Adjusted Total]]-Inventory[[#This Row],[24Final]])/Inventory[[#This Row],[24Final]]</f>
        <v>8.2141928775669351E-2</v>
      </c>
    </row>
    <row r="1007" spans="1:73" x14ac:dyDescent="0.3">
      <c r="A1007" s="25">
        <v>2025</v>
      </c>
      <c r="B1007" s="26" t="s">
        <v>1671</v>
      </c>
      <c r="C1007" s="26">
        <f>LN(Inventory[[#This Row],[Acres]])</f>
        <v>-1.6094379124341003</v>
      </c>
      <c r="D1007" s="25">
        <v>0.2</v>
      </c>
      <c r="E1007" s="27"/>
      <c r="F1007" s="26" t="s">
        <v>537</v>
      </c>
      <c r="G1007" s="26" t="s">
        <v>126</v>
      </c>
      <c r="H1007" s="26" t="s">
        <v>349</v>
      </c>
      <c r="I1007" s="26" t="s">
        <v>538</v>
      </c>
      <c r="J1007" s="26" t="s">
        <v>539</v>
      </c>
      <c r="K1007" s="26" t="s">
        <v>242</v>
      </c>
      <c r="L1007" s="26" t="s">
        <v>148</v>
      </c>
      <c r="M1007" s="26" t="s">
        <v>323</v>
      </c>
      <c r="N1007" s="26">
        <v>80</v>
      </c>
      <c r="O1007" s="26">
        <f>2024-Inventory[[#This Row],[YrBlt]]</f>
        <v>77</v>
      </c>
      <c r="P1007" s="26">
        <f>2024-Inventory[[#This Row],[EffYr]]</f>
        <v>51</v>
      </c>
      <c r="Q1007" s="25">
        <v>1947</v>
      </c>
      <c r="R1007" s="25">
        <v>1973</v>
      </c>
      <c r="S1007" s="25">
        <v>1237</v>
      </c>
      <c r="T1007" s="31"/>
      <c r="U1007" s="25">
        <v>1237</v>
      </c>
      <c r="V1007" s="32">
        <f>Inventory[[#This Row],[Bsmt]]-Inventory[[#This Row],[FnBsmt]]</f>
        <v>1237</v>
      </c>
      <c r="W1007" s="27"/>
      <c r="X1007" s="27"/>
      <c r="Y1007" s="27">
        <f>Inventory[[#This Row],[MainFn]]+Inventory[[#This Row],[UpprFn]]+Inventory[[#This Row],[FnBsmt]]+Inventory[[#This Row],[AddFn]]</f>
        <v>1237</v>
      </c>
      <c r="Z1007" s="27">
        <v>1500</v>
      </c>
      <c r="AA1007" s="25">
        <v>7</v>
      </c>
      <c r="AB1007" s="27"/>
      <c r="AC1007" s="27"/>
      <c r="AD1007" s="27"/>
      <c r="AE1007" s="27"/>
      <c r="AF1007" s="27"/>
      <c r="AG1007" s="27"/>
      <c r="AH1007" s="27"/>
      <c r="AI1007" s="25">
        <v>338936</v>
      </c>
      <c r="AJ1007" s="25">
        <v>233866</v>
      </c>
      <c r="AK1007" s="25">
        <v>7919</v>
      </c>
      <c r="AL1007" s="25">
        <v>334100</v>
      </c>
      <c r="AM1007" s="25">
        <v>58400</v>
      </c>
      <c r="AN1007" s="25">
        <v>275700</v>
      </c>
      <c r="AO1007" s="25">
        <v>0</v>
      </c>
      <c r="AP1007" s="25">
        <f>Lookups!$B$56*0</f>
        <v>0</v>
      </c>
      <c r="AQ1007" s="25">
        <f>Lookups!$B$56*1</f>
        <v>89850.625589999996</v>
      </c>
      <c r="AR1007" s="25">
        <f>Lookups!$B$57*Inventory[[#This Row],[LnAcres]]</f>
        <v>-50946.13867709865</v>
      </c>
      <c r="AS1007" s="25">
        <f>VLOOKUP(Inventory[[#This Row],[Qlty]],Lookups!$A$62:$E$75,2,FALSE)</f>
        <v>44121.038090000002</v>
      </c>
      <c r="AT1007" s="25">
        <f>VLOOKUP(Inventory[[#This Row],[Cnd]],Lookups!$A$76:$E$84,2,FALSE)</f>
        <v>160472.20319</v>
      </c>
      <c r="AU1007" s="25">
        <f>Inventory[[#This Row],[EffAge]]*Lookups!$B$85</f>
        <v>-11375.3256255</v>
      </c>
      <c r="AV1007" s="25">
        <f>Inventory[[#This Row],[MainFn]]*Lookups!$B$86</f>
        <v>61118.524637849005</v>
      </c>
      <c r="AW1007" s="25">
        <f>Inventory[[#This Row],[UpprFn]]*Lookups!$B$87</f>
        <v>0</v>
      </c>
      <c r="AX1007" s="25">
        <f>Inventory[[#This Row],[AddFn]]*Lookups!$B$88</f>
        <v>0</v>
      </c>
      <c r="AY1007" s="25">
        <f>Inventory[[#This Row],[Bsmt]]*Lookups!$B$89</f>
        <v>35974.304420538996</v>
      </c>
      <c r="AZ1007" s="25">
        <f>Inventory[[#This Row],[Fixtures]]*Lookups!$B$90</f>
        <v>26544.1547364</v>
      </c>
      <c r="BA1007" s="25">
        <f>Inventory[[#This Row],[WdDeck]]*Lookups!$B$91</f>
        <v>0</v>
      </c>
      <c r="BB1007" s="25">
        <f>ROUND(Inventory[[#This Row],[25Det]],-2)</f>
        <v>7900</v>
      </c>
      <c r="BC1007" s="25">
        <f>ROUND(SUM(Inventory[[#This Row],[Mdl Qlty]:[Mdl WdDeck]])+Inventory[[#This Row],[Mdl Res Intercept]],-2)</f>
        <v>316900</v>
      </c>
      <c r="BD1007" s="25">
        <f>ROUND(Inventory[[#This Row],[Mdl Land Intercept]]+Inventory[[#This Row],[Mdl LnAcres]],-2)</f>
        <v>38900</v>
      </c>
      <c r="BE1007" s="25">
        <f>Inventory[[#This Row],[Unadj Res Value]]+Inventory[[#This Row],[Unadj Det Value]]+Inventory[[#This Row],[Unadj Land Value]]</f>
        <v>363700</v>
      </c>
      <c r="BF1007" s="36">
        <f>(Inventory[[#This Row],[Unadj Total Value]]-Inventory[[#This Row],[24Final]])/Inventory[[#This Row],[24Final]]</f>
        <v>8.859622867404969E-2</v>
      </c>
      <c r="BG1007" s="25">
        <f>VLOOKUP(Inventory[[#This Row],[Nbhd]],Lookups!$Q$2:$T$4,4,FALSE)</f>
        <v>0.99970000000000003</v>
      </c>
      <c r="BH1007" s="25">
        <f>VLOOKUP(Inventory[[#This Row],[Qlty]],Lookups!$O$7:$R$21,4,FALSE)</f>
        <v>0.98050000000000004</v>
      </c>
      <c r="BI1007" s="25">
        <f>VLOOKUP(Inventory[[#This Row],[Cnd]],Lookups!$T$7:$W$16,4,FALSE)</f>
        <v>0.99729999999999996</v>
      </c>
      <c r="BJ1007" s="25">
        <f>VLOOKUP(Inventory[[#This Row],[LivArea Range]],Lookups!$T$25:$W$37,4,FALSE)</f>
        <v>1.0157</v>
      </c>
      <c r="BK1007" s="25">
        <f>VLOOKUP(Inventory[[#This Row],[Decade]],Lookups!$O$25:$R$42,4,FALSE)</f>
        <v>0.995</v>
      </c>
      <c r="BL1007" s="25">
        <f>Inventory[[#This Row],[Nbhd Adj]]*0.95</f>
        <v>0.94971499999999998</v>
      </c>
      <c r="BM1007" s="25">
        <f>Inventory[[#This Row],[Nbhd Adj]]*Inventory[[#This Row],[Quality Adj]]*Inventory[[#This Row],[Condition Adj]]*Inventory[[#This Row],[Living Area Adj]]*Inventory[[#This Row],[Decade Adj]]*0.95</f>
        <v>0.93854531823597842</v>
      </c>
      <c r="BN1007" s="25">
        <f>ROUND(SUM(Inventory[[#This Row],[Mdl Qlty]:[Mdl WdDeck]])+Inventory[[#This Row],[Mdl Res Intercept]]*Inventory[[#This Row],[Res Adj ]],-2)</f>
        <v>316900</v>
      </c>
      <c r="BO1007" s="25">
        <f>ROUND(Inventory[[#This Row],[25Det]]*Inventory[[#This Row],[Det/Nbhd Adj]],-2)</f>
        <v>7500</v>
      </c>
      <c r="BP1007" s="25">
        <f>Inventory[[#This Row],[Adjusted Res]]+Inventory[[#This Row],[Adj Det ]]</f>
        <v>324400</v>
      </c>
      <c r="BQ1007" s="25">
        <f>ROUND((Inventory[[#This Row],[Mdl Land Intercept]]+Inventory[[#This Row],[Mdl LnAcres]])*Inventory[[#This Row],[Det/Nbhd Adj]],-2)</f>
        <v>36900</v>
      </c>
      <c r="BR1007" s="25">
        <f>Inventory[[#This Row],[Adjusted Impr Total]]+Inventory[[#This Row],[Adjusted Land Total]]</f>
        <v>361300</v>
      </c>
      <c r="BS1007" s="36">
        <f>IFERROR((Inventory[[#This Row],[Adjusted Impr Total]]-Inventory[[#This Row],[24Bldg]])/Inventory[[#This Row],[24Bldg]],0)</f>
        <v>0.17664127675009067</v>
      </c>
      <c r="BT1007" s="36">
        <f>(Inventory[[#This Row],[Adjusted Land Total]]-Inventory[[#This Row],[24Lnd]])/Inventory[[#This Row],[24Lnd]]</f>
        <v>-0.36815068493150682</v>
      </c>
      <c r="BU1007" s="36">
        <f>(Inventory[[#This Row],[Adjusted Total]]-Inventory[[#This Row],[24Final]])/Inventory[[#This Row],[24Final]]</f>
        <v>8.1412750673451065E-2</v>
      </c>
    </row>
    <row r="1008" spans="1:73" x14ac:dyDescent="0.3">
      <c r="A1008" s="25">
        <v>2025</v>
      </c>
      <c r="B1008" s="26" t="s">
        <v>2900</v>
      </c>
      <c r="C1008" s="85">
        <f>LN(Inventory[[#This Row],[Acres]])</f>
        <v>-1.2039728043259361</v>
      </c>
      <c r="D1008" s="32">
        <v>0.3</v>
      </c>
      <c r="E1008" s="25">
        <v>12929</v>
      </c>
      <c r="F1008" s="26" t="s">
        <v>537</v>
      </c>
      <c r="G1008" s="26" t="s">
        <v>126</v>
      </c>
      <c r="H1008" s="26" t="s">
        <v>349</v>
      </c>
      <c r="I1008" s="26" t="s">
        <v>538</v>
      </c>
      <c r="J1008" s="26" t="s">
        <v>539</v>
      </c>
      <c r="K1008" s="26" t="s">
        <v>241</v>
      </c>
      <c r="L1008" s="26" t="s">
        <v>148</v>
      </c>
      <c r="M1008" s="26" t="s">
        <v>303</v>
      </c>
      <c r="N1008" s="26">
        <v>80</v>
      </c>
      <c r="O1008" s="26">
        <f>2024-Inventory[[#This Row],[YrBlt]]</f>
        <v>77</v>
      </c>
      <c r="P1008" s="26">
        <f>2024-Inventory[[#This Row],[EffYr]]</f>
        <v>51</v>
      </c>
      <c r="Q1008" s="25">
        <v>1947</v>
      </c>
      <c r="R1008" s="25">
        <v>1973</v>
      </c>
      <c r="S1008" s="25">
        <v>2492</v>
      </c>
      <c r="T1008" s="31"/>
      <c r="U1008" s="25">
        <v>1540</v>
      </c>
      <c r="V1008" s="25">
        <f>Inventory[[#This Row],[Bsmt]]-Inventory[[#This Row],[FnBsmt]]</f>
        <v>748</v>
      </c>
      <c r="W1008" s="25">
        <v>792</v>
      </c>
      <c r="X1008" s="27"/>
      <c r="Y1008" s="27">
        <f>Inventory[[#This Row],[MainFn]]+Inventory[[#This Row],[UpprFn]]+Inventory[[#This Row],[FnBsmt]]+Inventory[[#This Row],[AddFn]]</f>
        <v>3284</v>
      </c>
      <c r="Z1008" s="27">
        <v>3500</v>
      </c>
      <c r="AA1008" s="25">
        <v>10</v>
      </c>
      <c r="AB1008" s="27"/>
      <c r="AC1008" s="32">
        <v>600</v>
      </c>
      <c r="AD1008" s="27"/>
      <c r="AE1008" s="27"/>
      <c r="AF1008" s="27"/>
      <c r="AG1008" s="27"/>
      <c r="AH1008" s="27"/>
      <c r="AI1008" s="25">
        <v>725926</v>
      </c>
      <c r="AJ1008" s="25">
        <v>515407</v>
      </c>
      <c r="AK1008" s="25">
        <v>84330</v>
      </c>
      <c r="AL1008" s="25">
        <v>525700</v>
      </c>
      <c r="AM1008" s="25">
        <v>72500</v>
      </c>
      <c r="AN1008" s="25">
        <v>453200</v>
      </c>
      <c r="AO1008" s="25">
        <v>0</v>
      </c>
      <c r="AP1008" s="25">
        <f>Lookups!$B$56*0</f>
        <v>0</v>
      </c>
      <c r="AQ1008" s="25">
        <f>Lookups!$B$56*1</f>
        <v>89850.625589999996</v>
      </c>
      <c r="AR1008" s="25">
        <f>Lookups!$B$57*Inventory[[#This Row],[LnAcres]]</f>
        <v>-38111.29648355169</v>
      </c>
      <c r="AS1008" s="25">
        <f>VLOOKUP(Inventory[[#This Row],[Qlty]],Lookups!$A$62:$E$75,2,FALSE)</f>
        <v>44121.038090000002</v>
      </c>
      <c r="AT1008" s="25">
        <f>VLOOKUP(Inventory[[#This Row],[Cnd]],Lookups!$A$76:$E$84,2,FALSE)</f>
        <v>197752.34721000001</v>
      </c>
      <c r="AU1008" s="25">
        <f>Inventory[[#This Row],[EffAge]]*Lookups!$B$85</f>
        <v>-11375.3256255</v>
      </c>
      <c r="AV1008" s="25">
        <f>Inventory[[#This Row],[MainFn]]*Lookups!$B$86</f>
        <v>123126.405333484</v>
      </c>
      <c r="AW1008" s="25">
        <f>Inventory[[#This Row],[UpprFn]]*Lookups!$B$87</f>
        <v>0</v>
      </c>
      <c r="AX1008" s="25">
        <f>Inventory[[#This Row],[AddFn]]*Lookups!$B$88</f>
        <v>0</v>
      </c>
      <c r="AY1008" s="25">
        <f>Inventory[[#This Row],[Bsmt]]*Lookups!$B$89</f>
        <v>44786.118680380001</v>
      </c>
      <c r="AZ1008" s="25">
        <f>Inventory[[#This Row],[Fixtures]]*Lookups!$B$90</f>
        <v>37920.221052000001</v>
      </c>
      <c r="BA1008" s="25">
        <f>Inventory[[#This Row],[WdDeck]]*Lookups!$B$91</f>
        <v>0</v>
      </c>
      <c r="BB1008" s="25">
        <f>ROUND(Inventory[[#This Row],[25Det]],-2)</f>
        <v>84300</v>
      </c>
      <c r="BC1008" s="25">
        <f>ROUND(SUM(Inventory[[#This Row],[Mdl Qlty]:[Mdl WdDeck]])+Inventory[[#This Row],[Mdl Res Intercept]],-2)</f>
        <v>436300</v>
      </c>
      <c r="BD1008" s="25">
        <f>ROUND(Inventory[[#This Row],[Mdl Land Intercept]]+Inventory[[#This Row],[Mdl LnAcres]],-2)</f>
        <v>51700</v>
      </c>
      <c r="BE1008" s="25">
        <f>Inventory[[#This Row],[Unadj Res Value]]+Inventory[[#This Row],[Unadj Det Value]]+Inventory[[#This Row],[Unadj Land Value]]</f>
        <v>572300</v>
      </c>
      <c r="BF1008" s="36">
        <f>(Inventory[[#This Row],[Unadj Total Value]]-Inventory[[#This Row],[24Final]])/Inventory[[#This Row],[24Final]]</f>
        <v>8.8643713144378924E-2</v>
      </c>
      <c r="BG1008" s="25">
        <f>VLOOKUP(Inventory[[#This Row],[Nbhd]],Lookups!$Q$2:$T$4,4,FALSE)</f>
        <v>0.99970000000000003</v>
      </c>
      <c r="BH1008" s="25">
        <f>VLOOKUP(Inventory[[#This Row],[Qlty]],Lookups!$O$7:$R$21,4,FALSE)</f>
        <v>0.98050000000000004</v>
      </c>
      <c r="BI1008" s="25">
        <f>VLOOKUP(Inventory[[#This Row],[Cnd]],Lookups!$T$7:$W$16,4,FALSE)</f>
        <v>0.99650000000000005</v>
      </c>
      <c r="BJ1008" s="25">
        <f>VLOOKUP(Inventory[[#This Row],[LivArea Range]],Lookups!$T$25:$W$37,4,FALSE)</f>
        <v>1.0126999999999999</v>
      </c>
      <c r="BK1008" s="25">
        <f>VLOOKUP(Inventory[[#This Row],[Decade]],Lookups!$O$25:$R$42,4,FALSE)</f>
        <v>0.995</v>
      </c>
      <c r="BL1008" s="25">
        <f>Inventory[[#This Row],[Nbhd Adj]]*0.95</f>
        <v>0.94971499999999998</v>
      </c>
      <c r="BM1008" s="25">
        <f>Inventory[[#This Row],[Nbhd Adj]]*Inventory[[#This Row],[Quality Adj]]*Inventory[[#This Row],[Condition Adj]]*Inventory[[#This Row],[Living Area Adj]]*Inventory[[#This Row],[Decade Adj]]*0.95</f>
        <v>0.93502255916153676</v>
      </c>
      <c r="BN1008" s="25">
        <f>ROUND(SUM(Inventory[[#This Row],[Mdl Qlty]:[Mdl WdDeck]])+Inventory[[#This Row],[Mdl Res Intercept]]*Inventory[[#This Row],[Res Adj ]],-2)</f>
        <v>436300</v>
      </c>
      <c r="BO1008" s="25">
        <f>ROUND(Inventory[[#This Row],[25Det]]*Inventory[[#This Row],[Det/Nbhd Adj]],-2)</f>
        <v>80100</v>
      </c>
      <c r="BP1008" s="25">
        <f>Inventory[[#This Row],[Adjusted Res]]+Inventory[[#This Row],[Adj Det ]]</f>
        <v>516400</v>
      </c>
      <c r="BQ1008" s="25">
        <f>ROUND((Inventory[[#This Row],[Mdl Land Intercept]]+Inventory[[#This Row],[Mdl LnAcres]])*Inventory[[#This Row],[Det/Nbhd Adj]],-2)</f>
        <v>49100</v>
      </c>
      <c r="BR1008" s="25">
        <f>Inventory[[#This Row],[Adjusted Impr Total]]+Inventory[[#This Row],[Adjusted Land Total]]</f>
        <v>565500</v>
      </c>
      <c r="BS1008" s="36">
        <f>IFERROR((Inventory[[#This Row],[Adjusted Impr Total]]-Inventory[[#This Row],[24Bldg]])/Inventory[[#This Row],[24Bldg]],0)</f>
        <v>0.13945278022947927</v>
      </c>
      <c r="BT1008" s="36">
        <f>(Inventory[[#This Row],[Adjusted Land Total]]-Inventory[[#This Row],[24Lnd]])/Inventory[[#This Row],[24Lnd]]</f>
        <v>-0.32275862068965516</v>
      </c>
      <c r="BU1008" s="36">
        <f>(Inventory[[#This Row],[Adjusted Total]]-Inventory[[#This Row],[24Final]])/Inventory[[#This Row],[24Final]]</f>
        <v>7.5708579037473842E-2</v>
      </c>
    </row>
    <row r="1009" spans="1:73" x14ac:dyDescent="0.3">
      <c r="A1009" s="25">
        <v>2025</v>
      </c>
      <c r="B1009" s="26" t="s">
        <v>2286</v>
      </c>
      <c r="C1009" s="26">
        <f>LN(Inventory[[#This Row],[Acres]])</f>
        <v>-1.2729656758128873</v>
      </c>
      <c r="D1009" s="25">
        <v>0.28000000000000003</v>
      </c>
      <c r="E1009" s="31"/>
      <c r="F1009" s="26" t="s">
        <v>537</v>
      </c>
      <c r="G1009" s="26" t="s">
        <v>126</v>
      </c>
      <c r="H1009" s="26" t="s">
        <v>349</v>
      </c>
      <c r="I1009" s="26" t="s">
        <v>538</v>
      </c>
      <c r="J1009" s="26" t="s">
        <v>539</v>
      </c>
      <c r="K1009" s="26" t="s">
        <v>242</v>
      </c>
      <c r="L1009" s="26" t="s">
        <v>148</v>
      </c>
      <c r="M1009" s="26" t="s">
        <v>303</v>
      </c>
      <c r="N1009" s="26">
        <v>80</v>
      </c>
      <c r="O1009" s="26">
        <f>2024-Inventory[[#This Row],[YrBlt]]</f>
        <v>77</v>
      </c>
      <c r="P1009" s="26">
        <f>2024-Inventory[[#This Row],[EffYr]]</f>
        <v>51</v>
      </c>
      <c r="Q1009" s="25">
        <v>1947</v>
      </c>
      <c r="R1009" s="25">
        <v>1973</v>
      </c>
      <c r="S1009" s="25">
        <v>2318</v>
      </c>
      <c r="T1009" s="31"/>
      <c r="U1009" s="25">
        <v>2318</v>
      </c>
      <c r="V1009" s="25">
        <f>Inventory[[#This Row],[Bsmt]]-Inventory[[#This Row],[FnBsmt]]</f>
        <v>1024</v>
      </c>
      <c r="W1009" s="25">
        <v>1294</v>
      </c>
      <c r="X1009" s="27"/>
      <c r="Y1009" s="27">
        <f>Inventory[[#This Row],[MainFn]]+Inventory[[#This Row],[UpprFn]]+Inventory[[#This Row],[FnBsmt]]+Inventory[[#This Row],[AddFn]]</f>
        <v>3612</v>
      </c>
      <c r="Z1009" s="27">
        <v>4000</v>
      </c>
      <c r="AA1009" s="25">
        <v>10</v>
      </c>
      <c r="AB1009" s="32">
        <v>506</v>
      </c>
      <c r="AC1009" s="27"/>
      <c r="AD1009" s="27"/>
      <c r="AE1009" s="27"/>
      <c r="AF1009" s="27"/>
      <c r="AG1009" s="27"/>
      <c r="AH1009" s="27"/>
      <c r="AI1009" s="25">
        <v>728018</v>
      </c>
      <c r="AJ1009" s="25">
        <v>516893</v>
      </c>
      <c r="AK1009" s="25">
        <v>0</v>
      </c>
      <c r="AL1009" s="25">
        <v>464400</v>
      </c>
      <c r="AM1009" s="25">
        <v>70100</v>
      </c>
      <c r="AN1009" s="25">
        <v>394300</v>
      </c>
      <c r="AO1009" s="25">
        <v>0</v>
      </c>
      <c r="AP1009" s="25">
        <f>Lookups!$B$56*0</f>
        <v>0</v>
      </c>
      <c r="AQ1009" s="25">
        <f>Lookups!$B$56*1</f>
        <v>89850.625589999996</v>
      </c>
      <c r="AR1009" s="25">
        <f>Lookups!$B$57*Inventory[[#This Row],[LnAcres]]</f>
        <v>-40295.239319339329</v>
      </c>
      <c r="AS1009" s="25">
        <f>VLOOKUP(Inventory[[#This Row],[Qlty]],Lookups!$A$62:$E$75,2,FALSE)</f>
        <v>44121.038090000002</v>
      </c>
      <c r="AT1009" s="25">
        <f>VLOOKUP(Inventory[[#This Row],[Cnd]],Lookups!$A$76:$E$84,2,FALSE)</f>
        <v>197752.34721000001</v>
      </c>
      <c r="AU1009" s="25">
        <f>Inventory[[#This Row],[EffAge]]*Lookups!$B$85</f>
        <v>-11375.3256255</v>
      </c>
      <c r="AV1009" s="25">
        <f>Inventory[[#This Row],[MainFn]]*Lookups!$B$86</f>
        <v>114529.29677488601</v>
      </c>
      <c r="AW1009" s="25">
        <f>Inventory[[#This Row],[UpprFn]]*Lookups!$B$87</f>
        <v>0</v>
      </c>
      <c r="AX1009" s="25">
        <f>Inventory[[#This Row],[AddFn]]*Lookups!$B$88</f>
        <v>0</v>
      </c>
      <c r="AY1009" s="25">
        <f>Inventory[[#This Row],[Bsmt]]*Lookups!$B$89</f>
        <v>67411.83318254599</v>
      </c>
      <c r="AZ1009" s="25">
        <f>Inventory[[#This Row],[Fixtures]]*Lookups!$B$90</f>
        <v>37920.221052000001</v>
      </c>
      <c r="BA1009" s="25">
        <f>Inventory[[#This Row],[WdDeck]]*Lookups!$B$91</f>
        <v>0</v>
      </c>
      <c r="BB1009" s="25">
        <f>ROUND(Inventory[[#This Row],[25Det]],-2)</f>
        <v>0</v>
      </c>
      <c r="BC1009" s="25">
        <f>ROUND(SUM(Inventory[[#This Row],[Mdl Qlty]:[Mdl WdDeck]])+Inventory[[#This Row],[Mdl Res Intercept]],-2)</f>
        <v>450400</v>
      </c>
      <c r="BD1009" s="25">
        <f>ROUND(Inventory[[#This Row],[Mdl Land Intercept]]+Inventory[[#This Row],[Mdl LnAcres]],-2)</f>
        <v>49600</v>
      </c>
      <c r="BE1009" s="25">
        <f>Inventory[[#This Row],[Unadj Res Value]]+Inventory[[#This Row],[Unadj Det Value]]+Inventory[[#This Row],[Unadj Land Value]]</f>
        <v>500000</v>
      </c>
      <c r="BF1009" s="36">
        <f>(Inventory[[#This Row],[Unadj Total Value]]-Inventory[[#This Row],[24Final]])/Inventory[[#This Row],[24Final]]</f>
        <v>7.6658053402239454E-2</v>
      </c>
      <c r="BG1009" s="25">
        <f>VLOOKUP(Inventory[[#This Row],[Nbhd]],Lookups!$Q$2:$T$4,4,FALSE)</f>
        <v>0.99970000000000003</v>
      </c>
      <c r="BH1009" s="25">
        <f>VLOOKUP(Inventory[[#This Row],[Qlty]],Lookups!$O$7:$R$21,4,FALSE)</f>
        <v>0.98050000000000004</v>
      </c>
      <c r="BI1009" s="25">
        <f>VLOOKUP(Inventory[[#This Row],[Cnd]],Lookups!$T$7:$W$16,4,FALSE)</f>
        <v>0.99650000000000005</v>
      </c>
      <c r="BJ1009" s="25">
        <f>VLOOKUP(Inventory[[#This Row],[LivArea Range]],Lookups!$T$25:$W$37,4,FALSE)</f>
        <v>0.94579999999999997</v>
      </c>
      <c r="BK1009" s="25">
        <f>VLOOKUP(Inventory[[#This Row],[Decade]],Lookups!$O$25:$R$42,4,FALSE)</f>
        <v>0.995</v>
      </c>
      <c r="BL1009" s="25">
        <f>Inventory[[#This Row],[Nbhd Adj]]*0.95</f>
        <v>0.94971499999999998</v>
      </c>
      <c r="BM1009" s="25">
        <f>Inventory[[#This Row],[Nbhd Adj]]*Inventory[[#This Row],[Quality Adj]]*Inventory[[#This Row],[Condition Adj]]*Inventory[[#This Row],[Living Area Adj]]*Inventory[[#This Row],[Decade Adj]]*0.95</f>
        <v>0.8732540105213602</v>
      </c>
      <c r="BN1009" s="25">
        <f>ROUND(SUM(Inventory[[#This Row],[Mdl Qlty]:[Mdl WdDeck]])+Inventory[[#This Row],[Mdl Res Intercept]]*Inventory[[#This Row],[Res Adj ]],-2)</f>
        <v>450400</v>
      </c>
      <c r="BO1009" s="25">
        <f>ROUND(Inventory[[#This Row],[25Det]]*Inventory[[#This Row],[Det/Nbhd Adj]],-2)</f>
        <v>0</v>
      </c>
      <c r="BP1009" s="25">
        <f>Inventory[[#This Row],[Adjusted Res]]+Inventory[[#This Row],[Adj Det ]]</f>
        <v>450400</v>
      </c>
      <c r="BQ1009" s="25">
        <f>ROUND((Inventory[[#This Row],[Mdl Land Intercept]]+Inventory[[#This Row],[Mdl LnAcres]])*Inventory[[#This Row],[Det/Nbhd Adj]],-2)</f>
        <v>47100</v>
      </c>
      <c r="BR1009" s="25">
        <f>Inventory[[#This Row],[Adjusted Impr Total]]+Inventory[[#This Row],[Adjusted Land Total]]</f>
        <v>497500</v>
      </c>
      <c r="BS1009" s="36">
        <f>IFERROR((Inventory[[#This Row],[Adjusted Impr Total]]-Inventory[[#This Row],[24Bldg]])/Inventory[[#This Row],[24Bldg]],0)</f>
        <v>0.14227745371544509</v>
      </c>
      <c r="BT1009" s="36">
        <f>(Inventory[[#This Row],[Adjusted Land Total]]-Inventory[[#This Row],[24Lnd]])/Inventory[[#This Row],[24Lnd]]</f>
        <v>-0.32810271041369471</v>
      </c>
      <c r="BU1009" s="36">
        <f>(Inventory[[#This Row],[Adjusted Total]]-Inventory[[#This Row],[24Final]])/Inventory[[#This Row],[24Final]]</f>
        <v>7.127476313522825E-2</v>
      </c>
    </row>
    <row r="1010" spans="1:73" x14ac:dyDescent="0.3">
      <c r="A1010" s="25">
        <v>2025</v>
      </c>
      <c r="B1010" s="26" t="s">
        <v>1989</v>
      </c>
      <c r="C1010" s="26">
        <f>LN(Inventory[[#This Row],[Acres]])</f>
        <v>-1.8325814637483102</v>
      </c>
      <c r="D1010" s="25">
        <v>0.16</v>
      </c>
      <c r="E1010" s="31"/>
      <c r="F1010" s="26" t="s">
        <v>537</v>
      </c>
      <c r="G1010" s="26" t="s">
        <v>126</v>
      </c>
      <c r="H1010" s="26" t="s">
        <v>349</v>
      </c>
      <c r="I1010" s="26" t="s">
        <v>538</v>
      </c>
      <c r="J1010" s="26" t="s">
        <v>539</v>
      </c>
      <c r="K1010" s="26" t="s">
        <v>242</v>
      </c>
      <c r="L1010" s="26" t="s">
        <v>205</v>
      </c>
      <c r="M1010" s="26" t="s">
        <v>303</v>
      </c>
      <c r="N1010" s="26">
        <v>80</v>
      </c>
      <c r="O1010" s="26">
        <f>2024-Inventory[[#This Row],[YrBlt]]</f>
        <v>77</v>
      </c>
      <c r="P1010" s="26">
        <f>2024-Inventory[[#This Row],[EffYr]]</f>
        <v>51</v>
      </c>
      <c r="Q1010" s="25">
        <v>1947</v>
      </c>
      <c r="R1010" s="25">
        <v>1973</v>
      </c>
      <c r="S1010" s="25">
        <v>1185</v>
      </c>
      <c r="T1010" s="31"/>
      <c r="U1010" s="31"/>
      <c r="V1010" s="31">
        <f>Inventory[[#This Row],[Bsmt]]-Inventory[[#This Row],[FnBsmt]]</f>
        <v>0</v>
      </c>
      <c r="W1010" s="31"/>
      <c r="X1010" s="27"/>
      <c r="Y1010" s="27">
        <f>Inventory[[#This Row],[MainFn]]+Inventory[[#This Row],[UpprFn]]+Inventory[[#This Row],[FnBsmt]]+Inventory[[#This Row],[AddFn]]</f>
        <v>1185</v>
      </c>
      <c r="Z1010" s="27">
        <v>1500</v>
      </c>
      <c r="AA1010" s="25">
        <v>5</v>
      </c>
      <c r="AB1010" s="25">
        <v>220</v>
      </c>
      <c r="AC1010" s="27"/>
      <c r="AD1010" s="27"/>
      <c r="AE1010" s="27"/>
      <c r="AF1010" s="27"/>
      <c r="AG1010" s="27"/>
      <c r="AH1010" s="27"/>
      <c r="AI1010" s="25">
        <v>186454</v>
      </c>
      <c r="AJ1010" s="25">
        <v>132382</v>
      </c>
      <c r="AK1010" s="25">
        <v>0</v>
      </c>
      <c r="AL1010" s="25">
        <v>275500</v>
      </c>
      <c r="AM1010" s="25">
        <v>50600</v>
      </c>
      <c r="AN1010" s="25">
        <v>224900</v>
      </c>
      <c r="AO1010" s="25">
        <v>0</v>
      </c>
      <c r="AP1010" s="25">
        <f>Lookups!$B$56*0</f>
        <v>0</v>
      </c>
      <c r="AQ1010" s="25">
        <f>Lookups!$B$56*1</f>
        <v>89850.625589999996</v>
      </c>
      <c r="AR1010" s="25">
        <f>Lookups!$B$57*Inventory[[#This Row],[LnAcres]]</f>
        <v>-58009.662049032086</v>
      </c>
      <c r="AS1010" s="25">
        <f>VLOOKUP(Inventory[[#This Row],[Qlty]],Lookups!$A$62:$E$75,2,FALSE)</f>
        <v>0</v>
      </c>
      <c r="AT1010" s="25">
        <f>VLOOKUP(Inventory[[#This Row],[Cnd]],Lookups!$A$76:$E$84,2,FALSE)</f>
        <v>197752.34721000001</v>
      </c>
      <c r="AU1010" s="25">
        <f>Inventory[[#This Row],[EffAge]]*Lookups!$B$85</f>
        <v>-11375.3256255</v>
      </c>
      <c r="AV1010" s="25">
        <f>Inventory[[#This Row],[MainFn]]*Lookups!$B$86</f>
        <v>58549.273804245</v>
      </c>
      <c r="AW1010" s="25">
        <f>Inventory[[#This Row],[UpprFn]]*Lookups!$B$87</f>
        <v>0</v>
      </c>
      <c r="AX1010" s="25">
        <f>Inventory[[#This Row],[AddFn]]*Lookups!$B$88</f>
        <v>0</v>
      </c>
      <c r="AY1010" s="25">
        <f>Inventory[[#This Row],[Bsmt]]*Lookups!$B$89</f>
        <v>0</v>
      </c>
      <c r="AZ1010" s="25">
        <f>Inventory[[#This Row],[Fixtures]]*Lookups!$B$90</f>
        <v>18960.110526</v>
      </c>
      <c r="BA1010" s="25">
        <f>Inventory[[#This Row],[WdDeck]]*Lookups!$B$91</f>
        <v>0</v>
      </c>
      <c r="BB1010" s="25">
        <f>ROUND(Inventory[[#This Row],[25Det]],-2)</f>
        <v>0</v>
      </c>
      <c r="BC1010" s="25">
        <f>ROUND(SUM(Inventory[[#This Row],[Mdl Qlty]:[Mdl WdDeck]])+Inventory[[#This Row],[Mdl Res Intercept]],-2)</f>
        <v>263900</v>
      </c>
      <c r="BD1010" s="25">
        <f>ROUND(Inventory[[#This Row],[Mdl Land Intercept]]+Inventory[[#This Row],[Mdl LnAcres]],-2)</f>
        <v>31800</v>
      </c>
      <c r="BE1010" s="25">
        <f>Inventory[[#This Row],[Unadj Res Value]]+Inventory[[#This Row],[Unadj Det Value]]+Inventory[[#This Row],[Unadj Land Value]]</f>
        <v>295700</v>
      </c>
      <c r="BF1010" s="36">
        <f>(Inventory[[#This Row],[Unadj Total Value]]-Inventory[[#This Row],[24Final]])/Inventory[[#This Row],[24Final]]</f>
        <v>7.3321234119782211E-2</v>
      </c>
      <c r="BG1010" s="25">
        <f>VLOOKUP(Inventory[[#This Row],[Nbhd]],Lookups!$Q$2:$T$4,4,FALSE)</f>
        <v>0.99970000000000003</v>
      </c>
      <c r="BH1010" s="25">
        <f>VLOOKUP(Inventory[[#This Row],[Qlty]],Lookups!$O$7:$R$21,4,FALSE)</f>
        <v>0.99180000000000001</v>
      </c>
      <c r="BI1010" s="25">
        <f>VLOOKUP(Inventory[[#This Row],[Cnd]],Lookups!$T$7:$W$16,4,FALSE)</f>
        <v>0.99650000000000005</v>
      </c>
      <c r="BJ1010" s="25">
        <f>VLOOKUP(Inventory[[#This Row],[LivArea Range]],Lookups!$T$25:$W$37,4,FALSE)</f>
        <v>1.0157</v>
      </c>
      <c r="BK1010" s="25">
        <f>VLOOKUP(Inventory[[#This Row],[Decade]],Lookups!$O$25:$R$42,4,FALSE)</f>
        <v>0.995</v>
      </c>
      <c r="BL1010" s="25">
        <f>Inventory[[#This Row],[Nbhd Adj]]*0.95</f>
        <v>0.94971499999999998</v>
      </c>
      <c r="BM1010" s="25">
        <f>Inventory[[#This Row],[Nbhd Adj]]*Inventory[[#This Row],[Quality Adj]]*Inventory[[#This Row],[Condition Adj]]*Inventory[[#This Row],[Living Area Adj]]*Inventory[[#This Row],[Decade Adj]]*0.95</f>
        <v>0.94860025614621091</v>
      </c>
      <c r="BN1010" s="25">
        <f>ROUND(SUM(Inventory[[#This Row],[Mdl Qlty]:[Mdl WdDeck]])+Inventory[[#This Row],[Mdl Res Intercept]]*Inventory[[#This Row],[Res Adj ]],-2)</f>
        <v>263900</v>
      </c>
      <c r="BO1010" s="25">
        <f>ROUND(Inventory[[#This Row],[25Det]]*Inventory[[#This Row],[Det/Nbhd Adj]],-2)</f>
        <v>0</v>
      </c>
      <c r="BP1010" s="25">
        <f>Inventory[[#This Row],[Adjusted Res]]+Inventory[[#This Row],[Adj Det ]]</f>
        <v>263900</v>
      </c>
      <c r="BQ1010" s="25">
        <f>ROUND((Inventory[[#This Row],[Mdl Land Intercept]]+Inventory[[#This Row],[Mdl LnAcres]])*Inventory[[#This Row],[Det/Nbhd Adj]],-2)</f>
        <v>30200</v>
      </c>
      <c r="BR1010" s="25">
        <f>Inventory[[#This Row],[Adjusted Impr Total]]+Inventory[[#This Row],[Adjusted Land Total]]</f>
        <v>294100</v>
      </c>
      <c r="BS1010" s="36">
        <f>IFERROR((Inventory[[#This Row],[Adjusted Impr Total]]-Inventory[[#This Row],[24Bldg]])/Inventory[[#This Row],[24Bldg]],0)</f>
        <v>0.17341040462427745</v>
      </c>
      <c r="BT1010" s="36">
        <f>(Inventory[[#This Row],[Adjusted Land Total]]-Inventory[[#This Row],[24Lnd]])/Inventory[[#This Row],[24Lnd]]</f>
        <v>-0.40316205533596838</v>
      </c>
      <c r="BU1010" s="36">
        <f>(Inventory[[#This Row],[Adjusted Total]]-Inventory[[#This Row],[24Final]])/Inventory[[#This Row],[24Final]]</f>
        <v>6.7513611615245009E-2</v>
      </c>
    </row>
    <row r="1011" spans="1:73" x14ac:dyDescent="0.3">
      <c r="A1011" s="25">
        <v>2025</v>
      </c>
      <c r="B1011" s="26" t="s">
        <v>2374</v>
      </c>
      <c r="C1011" s="26">
        <f>LN(Inventory[[#This Row],[Acres]])</f>
        <v>-1.6094379124341003</v>
      </c>
      <c r="D1011" s="25">
        <v>0.2</v>
      </c>
      <c r="E1011" s="31"/>
      <c r="F1011" s="26" t="s">
        <v>537</v>
      </c>
      <c r="G1011" s="26" t="s">
        <v>126</v>
      </c>
      <c r="H1011" s="26" t="s">
        <v>349</v>
      </c>
      <c r="I1011" s="26" t="s">
        <v>538</v>
      </c>
      <c r="J1011" s="26" t="s">
        <v>539</v>
      </c>
      <c r="K1011" s="26" t="s">
        <v>242</v>
      </c>
      <c r="L1011" s="26" t="s">
        <v>148</v>
      </c>
      <c r="M1011" s="26" t="s">
        <v>323</v>
      </c>
      <c r="N1011" s="26">
        <v>80</v>
      </c>
      <c r="O1011" s="26">
        <f>2024-Inventory[[#This Row],[YrBlt]]</f>
        <v>77</v>
      </c>
      <c r="P1011" s="26">
        <f>2024-Inventory[[#This Row],[EffYr]]</f>
        <v>51</v>
      </c>
      <c r="Q1011" s="25">
        <v>1947</v>
      </c>
      <c r="R1011" s="25">
        <v>1973</v>
      </c>
      <c r="S1011" s="25">
        <v>1510</v>
      </c>
      <c r="T1011" s="31"/>
      <c r="U1011" s="25">
        <v>504</v>
      </c>
      <c r="V1011" s="25">
        <f>Inventory[[#This Row],[Bsmt]]-Inventory[[#This Row],[FnBsmt]]</f>
        <v>504</v>
      </c>
      <c r="W1011" s="31"/>
      <c r="X1011" s="27"/>
      <c r="Y1011" s="27">
        <f>Inventory[[#This Row],[MainFn]]+Inventory[[#This Row],[UpprFn]]+Inventory[[#This Row],[FnBsmt]]+Inventory[[#This Row],[AddFn]]</f>
        <v>1510</v>
      </c>
      <c r="Z1011" s="27">
        <v>2000</v>
      </c>
      <c r="AA1011" s="25">
        <v>8</v>
      </c>
      <c r="AB1011" s="27"/>
      <c r="AC1011" s="27"/>
      <c r="AD1011" s="27"/>
      <c r="AE1011" s="27"/>
      <c r="AF1011" s="27"/>
      <c r="AG1011" s="27"/>
      <c r="AH1011" s="27"/>
      <c r="AI1011" s="25">
        <v>380830</v>
      </c>
      <c r="AJ1011" s="25">
        <v>262773</v>
      </c>
      <c r="AK1011" s="25">
        <v>1650</v>
      </c>
      <c r="AL1011" s="25">
        <v>329200</v>
      </c>
      <c r="AM1011" s="25">
        <v>58400</v>
      </c>
      <c r="AN1011" s="25">
        <v>270800</v>
      </c>
      <c r="AO1011" s="25">
        <v>0</v>
      </c>
      <c r="AP1011" s="25">
        <f>Lookups!$B$56*0</f>
        <v>0</v>
      </c>
      <c r="AQ1011" s="25">
        <f>Lookups!$B$56*1</f>
        <v>89850.625589999996</v>
      </c>
      <c r="AR1011" s="25">
        <f>Lookups!$B$57*Inventory[[#This Row],[LnAcres]]</f>
        <v>-50946.13867709865</v>
      </c>
      <c r="AS1011" s="25">
        <f>VLOOKUP(Inventory[[#This Row],[Qlty]],Lookups!$A$62:$E$75,2,FALSE)</f>
        <v>44121.038090000002</v>
      </c>
      <c r="AT1011" s="25">
        <f>VLOOKUP(Inventory[[#This Row],[Cnd]],Lookups!$A$76:$E$84,2,FALSE)</f>
        <v>160472.20319</v>
      </c>
      <c r="AU1011" s="25">
        <f>Inventory[[#This Row],[EffAge]]*Lookups!$B$85</f>
        <v>-11375.3256255</v>
      </c>
      <c r="AV1011" s="25">
        <f>Inventory[[#This Row],[MainFn]]*Lookups!$B$86</f>
        <v>74607.091514269996</v>
      </c>
      <c r="AW1011" s="25">
        <f>Inventory[[#This Row],[UpprFn]]*Lookups!$B$87</f>
        <v>0</v>
      </c>
      <c r="AX1011" s="25">
        <f>Inventory[[#This Row],[AddFn]]*Lookups!$B$88</f>
        <v>0</v>
      </c>
      <c r="AY1011" s="25">
        <f>Inventory[[#This Row],[Bsmt]]*Lookups!$B$89</f>
        <v>14657.275204488</v>
      </c>
      <c r="AZ1011" s="25">
        <f>Inventory[[#This Row],[Fixtures]]*Lookups!$B$90</f>
        <v>30336.176841600001</v>
      </c>
      <c r="BA1011" s="25">
        <f>Inventory[[#This Row],[WdDeck]]*Lookups!$B$91</f>
        <v>0</v>
      </c>
      <c r="BB1011" s="25">
        <f>ROUND(Inventory[[#This Row],[25Det]],-2)</f>
        <v>1700</v>
      </c>
      <c r="BC1011" s="25">
        <f>ROUND(SUM(Inventory[[#This Row],[Mdl Qlty]:[Mdl WdDeck]])+Inventory[[#This Row],[Mdl Res Intercept]],-2)</f>
        <v>312800</v>
      </c>
      <c r="BD1011" s="25">
        <f>ROUND(Inventory[[#This Row],[Mdl Land Intercept]]+Inventory[[#This Row],[Mdl LnAcres]],-2)</f>
        <v>38900</v>
      </c>
      <c r="BE1011" s="25">
        <f>Inventory[[#This Row],[Unadj Res Value]]+Inventory[[#This Row],[Unadj Det Value]]+Inventory[[#This Row],[Unadj Land Value]]</f>
        <v>353400</v>
      </c>
      <c r="BF1011" s="36">
        <f>(Inventory[[#This Row],[Unadj Total Value]]-Inventory[[#This Row],[24Final]])/Inventory[[#This Row],[24Final]]</f>
        <v>7.3511543134872417E-2</v>
      </c>
      <c r="BG1011" s="25">
        <f>VLOOKUP(Inventory[[#This Row],[Nbhd]],Lookups!$Q$2:$T$4,4,FALSE)</f>
        <v>0.99970000000000003</v>
      </c>
      <c r="BH1011" s="25">
        <f>VLOOKUP(Inventory[[#This Row],[Qlty]],Lookups!$O$7:$R$21,4,FALSE)</f>
        <v>0.98050000000000004</v>
      </c>
      <c r="BI1011" s="25">
        <f>VLOOKUP(Inventory[[#This Row],[Cnd]],Lookups!$T$7:$W$16,4,FALSE)</f>
        <v>0.99729999999999996</v>
      </c>
      <c r="BJ1011" s="25">
        <f>VLOOKUP(Inventory[[#This Row],[LivArea Range]],Lookups!$T$25:$W$37,4,FALSE)</f>
        <v>1.0093000000000001</v>
      </c>
      <c r="BK1011" s="25">
        <f>VLOOKUP(Inventory[[#This Row],[Decade]],Lookups!$O$25:$R$42,4,FALSE)</f>
        <v>0.995</v>
      </c>
      <c r="BL1011" s="25">
        <f>Inventory[[#This Row],[Nbhd Adj]]*0.95</f>
        <v>0.94971499999999998</v>
      </c>
      <c r="BM1011" s="25">
        <f>Inventory[[#This Row],[Nbhd Adj]]*Inventory[[#This Row],[Quality Adj]]*Inventory[[#This Row],[Condition Adj]]*Inventory[[#This Row],[Living Area Adj]]*Inventory[[#This Row],[Decade Adj]]*0.95</f>
        <v>0.93263147552975589</v>
      </c>
      <c r="BN1011" s="25">
        <f>ROUND(SUM(Inventory[[#This Row],[Mdl Qlty]:[Mdl WdDeck]])+Inventory[[#This Row],[Mdl Res Intercept]]*Inventory[[#This Row],[Res Adj ]],-2)</f>
        <v>312800</v>
      </c>
      <c r="BO1011" s="25">
        <f>ROUND(Inventory[[#This Row],[25Det]]*Inventory[[#This Row],[Det/Nbhd Adj]],-2)</f>
        <v>1600</v>
      </c>
      <c r="BP1011" s="25">
        <f>Inventory[[#This Row],[Adjusted Res]]+Inventory[[#This Row],[Adj Det ]]</f>
        <v>314400</v>
      </c>
      <c r="BQ1011" s="25">
        <f>ROUND((Inventory[[#This Row],[Mdl Land Intercept]]+Inventory[[#This Row],[Mdl LnAcres]])*Inventory[[#This Row],[Det/Nbhd Adj]],-2)</f>
        <v>36900</v>
      </c>
      <c r="BR1011" s="25">
        <f>Inventory[[#This Row],[Adjusted Impr Total]]+Inventory[[#This Row],[Adjusted Land Total]]</f>
        <v>351300</v>
      </c>
      <c r="BS1011" s="36">
        <f>IFERROR((Inventory[[#This Row],[Adjusted Impr Total]]-Inventory[[#This Row],[24Bldg]])/Inventory[[#This Row],[24Bldg]],0)</f>
        <v>0.16100443131462333</v>
      </c>
      <c r="BT1011" s="36">
        <f>(Inventory[[#This Row],[Adjusted Land Total]]-Inventory[[#This Row],[24Lnd]])/Inventory[[#This Row],[24Lnd]]</f>
        <v>-0.36815068493150682</v>
      </c>
      <c r="BU1011" s="36">
        <f>(Inventory[[#This Row],[Adjusted Total]]-Inventory[[#This Row],[24Final]])/Inventory[[#This Row],[24Final]]</f>
        <v>6.7132442284325633E-2</v>
      </c>
    </row>
    <row r="1012" spans="1:73" x14ac:dyDescent="0.3">
      <c r="A1012" s="25">
        <v>2025</v>
      </c>
      <c r="B1012" s="26" t="s">
        <v>2546</v>
      </c>
      <c r="C1012" s="26">
        <f>LN(Inventory[[#This Row],[Acres]])</f>
        <v>-1.6607312068216509</v>
      </c>
      <c r="D1012" s="25">
        <v>0.19</v>
      </c>
      <c r="E1012" s="31"/>
      <c r="F1012" s="26" t="s">
        <v>537</v>
      </c>
      <c r="G1012" s="26" t="s">
        <v>126</v>
      </c>
      <c r="H1012" s="26" t="s">
        <v>349</v>
      </c>
      <c r="I1012" s="26" t="s">
        <v>538</v>
      </c>
      <c r="J1012" s="26" t="s">
        <v>539</v>
      </c>
      <c r="K1012" s="26" t="s">
        <v>242</v>
      </c>
      <c r="L1012" s="26" t="s">
        <v>351</v>
      </c>
      <c r="M1012" s="26" t="s">
        <v>303</v>
      </c>
      <c r="N1012" s="26">
        <v>80</v>
      </c>
      <c r="O1012" s="26">
        <f>2024-Inventory[[#This Row],[YrBlt]]</f>
        <v>77</v>
      </c>
      <c r="P1012" s="26">
        <f>2024-Inventory[[#This Row],[EffYr]]</f>
        <v>51</v>
      </c>
      <c r="Q1012" s="25">
        <v>1947</v>
      </c>
      <c r="R1012" s="25">
        <v>1973</v>
      </c>
      <c r="S1012" s="25">
        <v>1455</v>
      </c>
      <c r="T1012" s="27"/>
      <c r="U1012" s="25">
        <v>1455</v>
      </c>
      <c r="V1012" s="32">
        <f>Inventory[[#This Row],[Bsmt]]-Inventory[[#This Row],[FnBsmt]]</f>
        <v>727</v>
      </c>
      <c r="W1012" s="32">
        <v>728</v>
      </c>
      <c r="X1012" s="27"/>
      <c r="Y1012" s="27">
        <f>Inventory[[#This Row],[MainFn]]+Inventory[[#This Row],[UpprFn]]+Inventory[[#This Row],[FnBsmt]]+Inventory[[#This Row],[AddFn]]</f>
        <v>2183</v>
      </c>
      <c r="Z1012" s="27">
        <v>2500</v>
      </c>
      <c r="AA1012" s="25">
        <v>8</v>
      </c>
      <c r="AB1012" s="32">
        <v>231</v>
      </c>
      <c r="AC1012" s="27"/>
      <c r="AD1012" s="27"/>
      <c r="AE1012" s="27"/>
      <c r="AF1012" s="27"/>
      <c r="AG1012" s="27"/>
      <c r="AH1012" s="27"/>
      <c r="AI1012" s="25">
        <v>349833</v>
      </c>
      <c r="AJ1012" s="25">
        <v>248381</v>
      </c>
      <c r="AK1012" s="25">
        <v>0</v>
      </c>
      <c r="AL1012" s="25">
        <v>366000</v>
      </c>
      <c r="AM1012" s="25">
        <v>56600</v>
      </c>
      <c r="AN1012" s="25">
        <v>309400</v>
      </c>
      <c r="AO1012" s="25">
        <v>0</v>
      </c>
      <c r="AP1012" s="25">
        <f>Lookups!$B$56*0</f>
        <v>0</v>
      </c>
      <c r="AQ1012" s="25">
        <f>Lookups!$B$56*1</f>
        <v>89850.625589999996</v>
      </c>
      <c r="AR1012" s="25">
        <f>Lookups!$B$57*Inventory[[#This Row],[LnAcres]]</f>
        <v>-52569.808201026557</v>
      </c>
      <c r="AS1012" s="25">
        <f>VLOOKUP(Inventory[[#This Row],[Qlty]],Lookups!$A$62:$E$75,2,FALSE)</f>
        <v>21557.329055999999</v>
      </c>
      <c r="AT1012" s="25">
        <f>VLOOKUP(Inventory[[#This Row],[Cnd]],Lookups!$A$76:$E$84,2,FALSE)</f>
        <v>197752.34721000001</v>
      </c>
      <c r="AU1012" s="25">
        <f>Inventory[[#This Row],[EffAge]]*Lookups!$B$85</f>
        <v>-11375.3256255</v>
      </c>
      <c r="AV1012" s="25">
        <f>Inventory[[#This Row],[MainFn]]*Lookups!$B$86</f>
        <v>71889.614671035</v>
      </c>
      <c r="AW1012" s="25">
        <f>Inventory[[#This Row],[UpprFn]]*Lookups!$B$87</f>
        <v>0</v>
      </c>
      <c r="AX1012" s="25">
        <f>Inventory[[#This Row],[AddFn]]*Lookups!$B$88</f>
        <v>0</v>
      </c>
      <c r="AY1012" s="25">
        <f>Inventory[[#This Row],[Bsmt]]*Lookups!$B$89</f>
        <v>42314.157584385001</v>
      </c>
      <c r="AZ1012" s="25">
        <f>Inventory[[#This Row],[Fixtures]]*Lookups!$B$90</f>
        <v>30336.176841600001</v>
      </c>
      <c r="BA1012" s="25">
        <f>Inventory[[#This Row],[WdDeck]]*Lookups!$B$91</f>
        <v>0</v>
      </c>
      <c r="BB1012" s="25">
        <f>ROUND(Inventory[[#This Row],[25Det]],-2)</f>
        <v>0</v>
      </c>
      <c r="BC1012" s="25">
        <f>ROUND(SUM(Inventory[[#This Row],[Mdl Qlty]:[Mdl WdDeck]])+Inventory[[#This Row],[Mdl Res Intercept]],-2)</f>
        <v>352500</v>
      </c>
      <c r="BD1012" s="25">
        <f>ROUND(Inventory[[#This Row],[Mdl Land Intercept]]+Inventory[[#This Row],[Mdl LnAcres]],-2)</f>
        <v>37300</v>
      </c>
      <c r="BE1012" s="25">
        <f>Inventory[[#This Row],[Unadj Res Value]]+Inventory[[#This Row],[Unadj Det Value]]+Inventory[[#This Row],[Unadj Land Value]]</f>
        <v>389800</v>
      </c>
      <c r="BF1012" s="36">
        <f>(Inventory[[#This Row],[Unadj Total Value]]-Inventory[[#This Row],[24Final]])/Inventory[[#This Row],[24Final]]</f>
        <v>6.502732240437159E-2</v>
      </c>
      <c r="BG1012" s="25">
        <f>VLOOKUP(Inventory[[#This Row],[Nbhd]],Lookups!$Q$2:$T$4,4,FALSE)</f>
        <v>0.99970000000000003</v>
      </c>
      <c r="BH1012" s="25">
        <f>VLOOKUP(Inventory[[#This Row],[Qlty]],Lookups!$O$7:$R$21,4,FALSE)</f>
        <v>1.0067999999999999</v>
      </c>
      <c r="BI1012" s="25">
        <f>VLOOKUP(Inventory[[#This Row],[Cnd]],Lookups!$T$7:$W$16,4,FALSE)</f>
        <v>0.99650000000000005</v>
      </c>
      <c r="BJ1012" s="25">
        <f>VLOOKUP(Inventory[[#This Row],[LivArea Range]],Lookups!$T$25:$W$37,4,FALSE)</f>
        <v>0.98919999999999997</v>
      </c>
      <c r="BK1012" s="25">
        <f>VLOOKUP(Inventory[[#This Row],[Decade]],Lookups!$O$25:$R$42,4,FALSE)</f>
        <v>0.995</v>
      </c>
      <c r="BL1012" s="25">
        <f>Inventory[[#This Row],[Nbhd Adj]]*0.95</f>
        <v>0.94971499999999998</v>
      </c>
      <c r="BM1012" s="25">
        <f>Inventory[[#This Row],[Nbhd Adj]]*Inventory[[#This Row],[Quality Adj]]*Inventory[[#This Row],[Condition Adj]]*Inventory[[#This Row],[Living Area Adj]]*Inventory[[#This Row],[Decade Adj]]*0.95</f>
        <v>0.93782325090236773</v>
      </c>
      <c r="BN1012" s="25">
        <f>ROUND(SUM(Inventory[[#This Row],[Mdl Qlty]:[Mdl WdDeck]])+Inventory[[#This Row],[Mdl Res Intercept]]*Inventory[[#This Row],[Res Adj ]],-2)</f>
        <v>352500</v>
      </c>
      <c r="BO1012" s="25">
        <f>ROUND(Inventory[[#This Row],[25Det]]*Inventory[[#This Row],[Det/Nbhd Adj]],-2)</f>
        <v>0</v>
      </c>
      <c r="BP1012" s="25">
        <f>Inventory[[#This Row],[Adjusted Res]]+Inventory[[#This Row],[Adj Det ]]</f>
        <v>352500</v>
      </c>
      <c r="BQ1012" s="25">
        <f>ROUND((Inventory[[#This Row],[Mdl Land Intercept]]+Inventory[[#This Row],[Mdl LnAcres]])*Inventory[[#This Row],[Det/Nbhd Adj]],-2)</f>
        <v>35400</v>
      </c>
      <c r="BR1012" s="25">
        <f>Inventory[[#This Row],[Adjusted Impr Total]]+Inventory[[#This Row],[Adjusted Land Total]]</f>
        <v>387900</v>
      </c>
      <c r="BS1012" s="36">
        <f>IFERROR((Inventory[[#This Row],[Adjusted Impr Total]]-Inventory[[#This Row],[24Bldg]])/Inventory[[#This Row],[24Bldg]],0)</f>
        <v>0.13930187459599225</v>
      </c>
      <c r="BT1012" s="36">
        <f>(Inventory[[#This Row],[Adjusted Land Total]]-Inventory[[#This Row],[24Lnd]])/Inventory[[#This Row],[24Lnd]]</f>
        <v>-0.37455830388692579</v>
      </c>
      <c r="BU1012" s="36">
        <f>(Inventory[[#This Row],[Adjusted Total]]-Inventory[[#This Row],[24Final]])/Inventory[[#This Row],[24Final]]</f>
        <v>5.983606557377049E-2</v>
      </c>
    </row>
    <row r="1013" spans="1:73" x14ac:dyDescent="0.3">
      <c r="A1013" s="25">
        <v>2025</v>
      </c>
      <c r="B1013" s="26" t="s">
        <v>2763</v>
      </c>
      <c r="C1013" s="26">
        <f>LN(Inventory[[#This Row],[Acres]])</f>
        <v>-1.3470736479666092</v>
      </c>
      <c r="D1013" s="25">
        <v>0.26</v>
      </c>
      <c r="E1013" s="25">
        <v>11458</v>
      </c>
      <c r="F1013" s="26" t="s">
        <v>537</v>
      </c>
      <c r="G1013" s="26" t="s">
        <v>126</v>
      </c>
      <c r="H1013" s="26" t="s">
        <v>349</v>
      </c>
      <c r="I1013" s="26" t="s">
        <v>538</v>
      </c>
      <c r="J1013" s="26" t="s">
        <v>539</v>
      </c>
      <c r="K1013" s="26" t="s">
        <v>147</v>
      </c>
      <c r="L1013" s="26" t="s">
        <v>302</v>
      </c>
      <c r="M1013" s="26" t="s">
        <v>303</v>
      </c>
      <c r="N1013" s="26">
        <v>80</v>
      </c>
      <c r="O1013" s="26">
        <f>2024-Inventory[[#This Row],[YrBlt]]</f>
        <v>77</v>
      </c>
      <c r="P1013" s="26">
        <f>2024-Inventory[[#This Row],[EffYr]]</f>
        <v>51</v>
      </c>
      <c r="Q1013" s="25">
        <v>1947</v>
      </c>
      <c r="R1013" s="25">
        <v>1973</v>
      </c>
      <c r="S1013" s="25">
        <v>1253</v>
      </c>
      <c r="T1013" s="25">
        <v>844</v>
      </c>
      <c r="U1013" s="25">
        <v>861</v>
      </c>
      <c r="V1013" s="25">
        <f>Inventory[[#This Row],[Bsmt]]-Inventory[[#This Row],[FnBsmt]]</f>
        <v>261</v>
      </c>
      <c r="W1013" s="25">
        <v>600</v>
      </c>
      <c r="X1013" s="27"/>
      <c r="Y1013" s="27">
        <f>Inventory[[#This Row],[MainFn]]+Inventory[[#This Row],[UpprFn]]+Inventory[[#This Row],[FnBsmt]]+Inventory[[#This Row],[AddFn]]</f>
        <v>2697</v>
      </c>
      <c r="Z1013" s="27">
        <v>3000</v>
      </c>
      <c r="AA1013" s="25">
        <v>12</v>
      </c>
      <c r="AB1013" s="27"/>
      <c r="AC1013" s="27"/>
      <c r="AD1013" s="31"/>
      <c r="AE1013" s="27"/>
      <c r="AF1013" s="27"/>
      <c r="AG1013" s="27"/>
      <c r="AH1013" s="27"/>
      <c r="AI1013" s="25">
        <v>427207</v>
      </c>
      <c r="AJ1013" s="25">
        <v>303317</v>
      </c>
      <c r="AK1013" s="25">
        <v>30044</v>
      </c>
      <c r="AL1013" s="25">
        <v>437700</v>
      </c>
      <c r="AM1013" s="25">
        <v>67600</v>
      </c>
      <c r="AN1013" s="25">
        <v>370100</v>
      </c>
      <c r="AO1013" s="25">
        <v>0</v>
      </c>
      <c r="AP1013" s="25">
        <f>Lookups!$B$56*0</f>
        <v>0</v>
      </c>
      <c r="AQ1013" s="25">
        <f>Lookups!$B$56*1</f>
        <v>89850.625589999996</v>
      </c>
      <c r="AR1013" s="25">
        <f>Lookups!$B$57*Inventory[[#This Row],[LnAcres]]</f>
        <v>-42641.098701210125</v>
      </c>
      <c r="AS1013" s="25">
        <f>VLOOKUP(Inventory[[#This Row],[Qlty]],Lookups!$A$62:$E$75,2,FALSE)</f>
        <v>29814.093161000001</v>
      </c>
      <c r="AT1013" s="25">
        <f>VLOOKUP(Inventory[[#This Row],[Cnd]],Lookups!$A$76:$E$84,2,FALSE)</f>
        <v>197752.34721000001</v>
      </c>
      <c r="AU1013" s="25">
        <f>Inventory[[#This Row],[EffAge]]*Lookups!$B$85</f>
        <v>-11375.3256255</v>
      </c>
      <c r="AV1013" s="25">
        <f>Inventory[[#This Row],[MainFn]]*Lookups!$B$86</f>
        <v>61909.063355881</v>
      </c>
      <c r="AW1013" s="25">
        <f>Inventory[[#This Row],[UpprFn]]*Lookups!$B$87</f>
        <v>37799.740894684001</v>
      </c>
      <c r="AX1013" s="25">
        <f>Inventory[[#This Row],[AddFn]]*Lookups!$B$88</f>
        <v>0</v>
      </c>
      <c r="AY1013" s="25">
        <f>Inventory[[#This Row],[Bsmt]]*Lookups!$B$89</f>
        <v>25039.511807666997</v>
      </c>
      <c r="AZ1013" s="25">
        <f>Inventory[[#This Row],[Fixtures]]*Lookups!$B$90</f>
        <v>45504.265262400004</v>
      </c>
      <c r="BA1013" s="25">
        <f>Inventory[[#This Row],[WdDeck]]*Lookups!$B$91</f>
        <v>0</v>
      </c>
      <c r="BB1013" s="25">
        <f>ROUND(Inventory[[#This Row],[25Det]],-2)</f>
        <v>30000</v>
      </c>
      <c r="BC1013" s="25">
        <f>ROUND(SUM(Inventory[[#This Row],[Mdl Qlty]:[Mdl WdDeck]])+Inventory[[#This Row],[Mdl Res Intercept]],-2)</f>
        <v>386400</v>
      </c>
      <c r="BD1013" s="25">
        <f>ROUND(Inventory[[#This Row],[Mdl Land Intercept]]+Inventory[[#This Row],[Mdl LnAcres]],-2)</f>
        <v>47200</v>
      </c>
      <c r="BE1013" s="25">
        <f>Inventory[[#This Row],[Unadj Res Value]]+Inventory[[#This Row],[Unadj Det Value]]+Inventory[[#This Row],[Unadj Land Value]]</f>
        <v>463600</v>
      </c>
      <c r="BF1013" s="36">
        <f>(Inventory[[#This Row],[Unadj Total Value]]-Inventory[[#This Row],[24Final]])/Inventory[[#This Row],[24Final]]</f>
        <v>5.917294950879598E-2</v>
      </c>
      <c r="BG1013" s="25">
        <f>VLOOKUP(Inventory[[#This Row],[Nbhd]],Lookups!$Q$2:$T$4,4,FALSE)</f>
        <v>0.99970000000000003</v>
      </c>
      <c r="BH1013" s="25">
        <f>VLOOKUP(Inventory[[#This Row],[Qlty]],Lookups!$O$7:$R$21,4,FALSE)</f>
        <v>1.0088999999999999</v>
      </c>
      <c r="BI1013" s="25">
        <f>VLOOKUP(Inventory[[#This Row],[Cnd]],Lookups!$T$7:$W$16,4,FALSE)</f>
        <v>0.99650000000000005</v>
      </c>
      <c r="BJ1013" s="25">
        <f>VLOOKUP(Inventory[[#This Row],[LivArea Range]],Lookups!$T$25:$W$37,4,FALSE)</f>
        <v>0.96179999999999999</v>
      </c>
      <c r="BK1013" s="25">
        <f>VLOOKUP(Inventory[[#This Row],[Decade]],Lookups!$O$25:$R$42,4,FALSE)</f>
        <v>0.995</v>
      </c>
      <c r="BL1013" s="25">
        <f>Inventory[[#This Row],[Nbhd Adj]]*0.95</f>
        <v>0.94971499999999998</v>
      </c>
      <c r="BM1013" s="25">
        <f>Inventory[[#This Row],[Nbhd Adj]]*Inventory[[#This Row],[Quality Adj]]*Inventory[[#This Row],[Condition Adj]]*Inventory[[#This Row],[Living Area Adj]]*Inventory[[#This Row],[Decade Adj]]*0.95</f>
        <v>0.9137482873256102</v>
      </c>
      <c r="BN1013" s="25">
        <f>ROUND(SUM(Inventory[[#This Row],[Mdl Qlty]:[Mdl WdDeck]])+Inventory[[#This Row],[Mdl Res Intercept]]*Inventory[[#This Row],[Res Adj ]],-2)</f>
        <v>386400</v>
      </c>
      <c r="BO1013" s="25">
        <f>ROUND(Inventory[[#This Row],[25Det]]*Inventory[[#This Row],[Det/Nbhd Adj]],-2)</f>
        <v>28500</v>
      </c>
      <c r="BP1013" s="25">
        <f>Inventory[[#This Row],[Adjusted Res]]+Inventory[[#This Row],[Adj Det ]]</f>
        <v>414900</v>
      </c>
      <c r="BQ1013" s="25">
        <f>ROUND((Inventory[[#This Row],[Mdl Land Intercept]]+Inventory[[#This Row],[Mdl LnAcres]])*Inventory[[#This Row],[Det/Nbhd Adj]],-2)</f>
        <v>44800</v>
      </c>
      <c r="BR1013" s="25">
        <f>Inventory[[#This Row],[Adjusted Impr Total]]+Inventory[[#This Row],[Adjusted Land Total]]</f>
        <v>459700</v>
      </c>
      <c r="BS1013" s="36">
        <f>IFERROR((Inventory[[#This Row],[Adjusted Impr Total]]-Inventory[[#This Row],[24Bldg]])/Inventory[[#This Row],[24Bldg]],0)</f>
        <v>0.12104836530667387</v>
      </c>
      <c r="BT1013" s="36">
        <f>(Inventory[[#This Row],[Adjusted Land Total]]-Inventory[[#This Row],[24Lnd]])/Inventory[[#This Row],[24Lnd]]</f>
        <v>-0.33727810650887574</v>
      </c>
      <c r="BU1013" s="36">
        <f>(Inventory[[#This Row],[Adjusted Total]]-Inventory[[#This Row],[24Final]])/Inventory[[#This Row],[24Final]]</f>
        <v>5.0262737034498517E-2</v>
      </c>
    </row>
    <row r="1014" spans="1:73" x14ac:dyDescent="0.3">
      <c r="A1014" s="25">
        <v>2025</v>
      </c>
      <c r="B1014" s="26" t="s">
        <v>1549</v>
      </c>
      <c r="C1014" s="26">
        <f>LN(Inventory[[#This Row],[Acres]])</f>
        <v>-1.6094379124341003</v>
      </c>
      <c r="D1014" s="25">
        <v>0.2</v>
      </c>
      <c r="E1014" s="32">
        <v>8736</v>
      </c>
      <c r="F1014" s="26" t="s">
        <v>537</v>
      </c>
      <c r="G1014" s="26" t="s">
        <v>126</v>
      </c>
      <c r="H1014" s="26" t="s">
        <v>349</v>
      </c>
      <c r="I1014" s="26" t="s">
        <v>538</v>
      </c>
      <c r="J1014" s="26" t="s">
        <v>539</v>
      </c>
      <c r="K1014" s="26" t="s">
        <v>241</v>
      </c>
      <c r="L1014" s="26" t="s">
        <v>148</v>
      </c>
      <c r="M1014" s="26" t="s">
        <v>323</v>
      </c>
      <c r="N1014" s="26">
        <v>80</v>
      </c>
      <c r="O1014" s="26">
        <f>2024-Inventory[[#This Row],[YrBlt]]</f>
        <v>77</v>
      </c>
      <c r="P1014" s="26">
        <f>2024-Inventory[[#This Row],[EffYr]]</f>
        <v>51</v>
      </c>
      <c r="Q1014" s="25">
        <v>1947</v>
      </c>
      <c r="R1014" s="25">
        <v>1973</v>
      </c>
      <c r="S1014" s="25">
        <v>1581</v>
      </c>
      <c r="T1014" s="27"/>
      <c r="U1014" s="25">
        <v>1581</v>
      </c>
      <c r="V1014" s="25">
        <f>Inventory[[#This Row],[Bsmt]]-Inventory[[#This Row],[FnBsmt]]</f>
        <v>1081</v>
      </c>
      <c r="W1014" s="25">
        <v>500</v>
      </c>
      <c r="X1014" s="27"/>
      <c r="Y1014" s="27">
        <f>Inventory[[#This Row],[MainFn]]+Inventory[[#This Row],[UpprFn]]+Inventory[[#This Row],[FnBsmt]]+Inventory[[#This Row],[AddFn]]</f>
        <v>2081</v>
      </c>
      <c r="Z1014" s="27">
        <v>2500</v>
      </c>
      <c r="AA1014" s="25">
        <v>5</v>
      </c>
      <c r="AB1014" s="31"/>
      <c r="AC1014" s="27"/>
      <c r="AD1014" s="27"/>
      <c r="AE1014" s="27"/>
      <c r="AF1014" s="27"/>
      <c r="AG1014" s="27"/>
      <c r="AH1014" s="27"/>
      <c r="AI1014" s="25">
        <v>454989</v>
      </c>
      <c r="AJ1014" s="25">
        <v>313942</v>
      </c>
      <c r="AK1014" s="25">
        <v>13094</v>
      </c>
      <c r="AL1014" s="25">
        <v>367200</v>
      </c>
      <c r="AM1014" s="25">
        <v>58400</v>
      </c>
      <c r="AN1014" s="25">
        <v>308800</v>
      </c>
      <c r="AO1014" s="25">
        <v>0</v>
      </c>
      <c r="AP1014" s="25">
        <f>Lookups!$B$56*0</f>
        <v>0</v>
      </c>
      <c r="AQ1014" s="25">
        <f>Lookups!$B$56*1</f>
        <v>89850.625589999996</v>
      </c>
      <c r="AR1014" s="25">
        <f>Lookups!$B$57*Inventory[[#This Row],[LnAcres]]</f>
        <v>-50946.13867709865</v>
      </c>
      <c r="AS1014" s="25">
        <f>VLOOKUP(Inventory[[#This Row],[Qlty]],Lookups!$A$62:$E$75,2,FALSE)</f>
        <v>44121.038090000002</v>
      </c>
      <c r="AT1014" s="25">
        <f>VLOOKUP(Inventory[[#This Row],[Cnd]],Lookups!$A$76:$E$84,2,FALSE)</f>
        <v>160472.20319</v>
      </c>
      <c r="AU1014" s="25">
        <f>Inventory[[#This Row],[EffAge]]*Lookups!$B$85</f>
        <v>-11375.3256255</v>
      </c>
      <c r="AV1014" s="25">
        <f>Inventory[[#This Row],[MainFn]]*Lookups!$B$86</f>
        <v>78115.107075537002</v>
      </c>
      <c r="AW1014" s="25">
        <f>Inventory[[#This Row],[UpprFn]]*Lookups!$B$87</f>
        <v>0</v>
      </c>
      <c r="AX1014" s="25">
        <f>Inventory[[#This Row],[AddFn]]*Lookups!$B$88</f>
        <v>0</v>
      </c>
      <c r="AY1014" s="25">
        <f>Inventory[[#This Row],[Bsmt]]*Lookups!$B$89</f>
        <v>45978.476385506998</v>
      </c>
      <c r="AZ1014" s="25">
        <f>Inventory[[#This Row],[Fixtures]]*Lookups!$B$90</f>
        <v>18960.110526</v>
      </c>
      <c r="BA1014" s="25">
        <f>Inventory[[#This Row],[WdDeck]]*Lookups!$B$91</f>
        <v>0</v>
      </c>
      <c r="BB1014" s="25">
        <f>ROUND(Inventory[[#This Row],[25Det]],-2)</f>
        <v>13100</v>
      </c>
      <c r="BC1014" s="25">
        <f>ROUND(SUM(Inventory[[#This Row],[Mdl Qlty]:[Mdl WdDeck]])+Inventory[[#This Row],[Mdl Res Intercept]],-2)</f>
        <v>336300</v>
      </c>
      <c r="BD1014" s="25">
        <f>ROUND(Inventory[[#This Row],[Mdl Land Intercept]]+Inventory[[#This Row],[Mdl LnAcres]],-2)</f>
        <v>38900</v>
      </c>
      <c r="BE1014" s="25">
        <f>Inventory[[#This Row],[Unadj Res Value]]+Inventory[[#This Row],[Unadj Det Value]]+Inventory[[#This Row],[Unadj Land Value]]</f>
        <v>388300</v>
      </c>
      <c r="BF1014" s="36">
        <f>(Inventory[[#This Row],[Unadj Total Value]]-Inventory[[#This Row],[24Final]])/Inventory[[#This Row],[24Final]]</f>
        <v>5.7461873638344228E-2</v>
      </c>
      <c r="BG1014" s="25">
        <f>VLOOKUP(Inventory[[#This Row],[Nbhd]],Lookups!$Q$2:$T$4,4,FALSE)</f>
        <v>0.99970000000000003</v>
      </c>
      <c r="BH1014" s="25">
        <f>VLOOKUP(Inventory[[#This Row],[Qlty]],Lookups!$O$7:$R$21,4,FALSE)</f>
        <v>0.98050000000000004</v>
      </c>
      <c r="BI1014" s="25">
        <f>VLOOKUP(Inventory[[#This Row],[Cnd]],Lookups!$T$7:$W$16,4,FALSE)</f>
        <v>0.99729999999999996</v>
      </c>
      <c r="BJ1014" s="25">
        <f>VLOOKUP(Inventory[[#This Row],[LivArea Range]],Lookups!$T$25:$W$37,4,FALSE)</f>
        <v>0.98919999999999997</v>
      </c>
      <c r="BK1014" s="25">
        <f>VLOOKUP(Inventory[[#This Row],[Decade]],Lookups!$O$25:$R$42,4,FALSE)</f>
        <v>0.995</v>
      </c>
      <c r="BL1014" s="25">
        <f>Inventory[[#This Row],[Nbhd Adj]]*0.95</f>
        <v>0.94971499999999998</v>
      </c>
      <c r="BM1014" s="25">
        <f>Inventory[[#This Row],[Nbhd Adj]]*Inventory[[#This Row],[Quality Adj]]*Inventory[[#This Row],[Condition Adj]]*Inventory[[#This Row],[Living Area Adj]]*Inventory[[#This Row],[Decade Adj]]*0.95</f>
        <v>0.91405831328052556</v>
      </c>
      <c r="BN1014" s="25">
        <f>ROUND(SUM(Inventory[[#This Row],[Mdl Qlty]:[Mdl WdDeck]])+Inventory[[#This Row],[Mdl Res Intercept]]*Inventory[[#This Row],[Res Adj ]],-2)</f>
        <v>336300</v>
      </c>
      <c r="BO1014" s="25">
        <f>ROUND(Inventory[[#This Row],[25Det]]*Inventory[[#This Row],[Det/Nbhd Adj]],-2)</f>
        <v>12400</v>
      </c>
      <c r="BP1014" s="25">
        <f>Inventory[[#This Row],[Adjusted Res]]+Inventory[[#This Row],[Adj Det ]]</f>
        <v>348700</v>
      </c>
      <c r="BQ1014" s="25">
        <f>ROUND((Inventory[[#This Row],[Mdl Land Intercept]]+Inventory[[#This Row],[Mdl LnAcres]])*Inventory[[#This Row],[Det/Nbhd Adj]],-2)</f>
        <v>36900</v>
      </c>
      <c r="BR1014" s="25">
        <f>Inventory[[#This Row],[Adjusted Impr Total]]+Inventory[[#This Row],[Adjusted Land Total]]</f>
        <v>385600</v>
      </c>
      <c r="BS1014" s="36">
        <f>IFERROR((Inventory[[#This Row],[Adjusted Impr Total]]-Inventory[[#This Row],[24Bldg]])/Inventory[[#This Row],[24Bldg]],0)</f>
        <v>0.12920984455958548</v>
      </c>
      <c r="BT1014" s="36">
        <f>(Inventory[[#This Row],[Adjusted Land Total]]-Inventory[[#This Row],[24Lnd]])/Inventory[[#This Row],[24Lnd]]</f>
        <v>-0.36815068493150682</v>
      </c>
      <c r="BU1014" s="36">
        <f>(Inventory[[#This Row],[Adjusted Total]]-Inventory[[#This Row],[24Final]])/Inventory[[#This Row],[24Final]]</f>
        <v>5.0108932461873638E-2</v>
      </c>
    </row>
    <row r="1015" spans="1:73" x14ac:dyDescent="0.3">
      <c r="A1015" s="25">
        <v>2025</v>
      </c>
      <c r="B1015" s="26" t="s">
        <v>895</v>
      </c>
      <c r="C1015" s="26">
        <f>LN(Inventory[[#This Row],[Acres]])</f>
        <v>-1.6094379124341003</v>
      </c>
      <c r="D1015" s="25">
        <v>0.2</v>
      </c>
      <c r="E1015" s="25">
        <v>8680</v>
      </c>
      <c r="F1015" s="26" t="s">
        <v>537</v>
      </c>
      <c r="G1015" s="26" t="s">
        <v>126</v>
      </c>
      <c r="H1015" s="26" t="s">
        <v>349</v>
      </c>
      <c r="I1015" s="26" t="s">
        <v>538</v>
      </c>
      <c r="J1015" s="26" t="s">
        <v>539</v>
      </c>
      <c r="K1015" s="26" t="s">
        <v>242</v>
      </c>
      <c r="L1015" s="26" t="s">
        <v>351</v>
      </c>
      <c r="M1015" s="26" t="s">
        <v>323</v>
      </c>
      <c r="N1015" s="26">
        <v>80</v>
      </c>
      <c r="O1015" s="26">
        <f>2024-Inventory[[#This Row],[YrBlt]]</f>
        <v>77</v>
      </c>
      <c r="P1015" s="26">
        <f>2024-Inventory[[#This Row],[EffYr]]</f>
        <v>51</v>
      </c>
      <c r="Q1015" s="25">
        <v>1947</v>
      </c>
      <c r="R1015" s="25">
        <v>1973</v>
      </c>
      <c r="S1015" s="25">
        <v>1522</v>
      </c>
      <c r="T1015" s="31"/>
      <c r="U1015" s="31"/>
      <c r="V1015" s="31">
        <f>Inventory[[#This Row],[Bsmt]]-Inventory[[#This Row],[FnBsmt]]</f>
        <v>0</v>
      </c>
      <c r="W1015" s="31"/>
      <c r="X1015" s="27"/>
      <c r="Y1015" s="27">
        <f>Inventory[[#This Row],[MainFn]]+Inventory[[#This Row],[UpprFn]]+Inventory[[#This Row],[FnBsmt]]+Inventory[[#This Row],[AddFn]]</f>
        <v>1522</v>
      </c>
      <c r="Z1015" s="27">
        <v>2000</v>
      </c>
      <c r="AA1015" s="25">
        <v>6</v>
      </c>
      <c r="AB1015" s="27"/>
      <c r="AC1015" s="27"/>
      <c r="AD1015" s="31"/>
      <c r="AE1015" s="27"/>
      <c r="AF1015" s="27"/>
      <c r="AG1015" s="27"/>
      <c r="AH1015" s="27"/>
      <c r="AI1015" s="25">
        <v>240584</v>
      </c>
      <c r="AJ1015" s="25">
        <v>166003</v>
      </c>
      <c r="AK1015" s="25">
        <v>11109</v>
      </c>
      <c r="AL1015" s="25">
        <v>302800</v>
      </c>
      <c r="AM1015" s="25">
        <v>58400</v>
      </c>
      <c r="AN1015" s="25">
        <v>244400</v>
      </c>
      <c r="AO1015" s="25">
        <v>0</v>
      </c>
      <c r="AP1015" s="25">
        <f>Lookups!$B$56*0</f>
        <v>0</v>
      </c>
      <c r="AQ1015" s="25">
        <f>Lookups!$B$56*1</f>
        <v>89850.625589999996</v>
      </c>
      <c r="AR1015" s="25">
        <f>Lookups!$B$57*Inventory[[#This Row],[LnAcres]]</f>
        <v>-50946.13867709865</v>
      </c>
      <c r="AS1015" s="25">
        <f>VLOOKUP(Inventory[[#This Row],[Qlty]],Lookups!$A$62:$E$75,2,FALSE)</f>
        <v>21557.329055999999</v>
      </c>
      <c r="AT1015" s="25">
        <f>VLOOKUP(Inventory[[#This Row],[Cnd]],Lookups!$A$76:$E$84,2,FALSE)</f>
        <v>160472.20319</v>
      </c>
      <c r="AU1015" s="25">
        <f>Inventory[[#This Row],[EffAge]]*Lookups!$B$85</f>
        <v>-11375.3256255</v>
      </c>
      <c r="AV1015" s="25">
        <f>Inventory[[#This Row],[MainFn]]*Lookups!$B$86</f>
        <v>75199.995552794004</v>
      </c>
      <c r="AW1015" s="25">
        <f>Inventory[[#This Row],[UpprFn]]*Lookups!$B$87</f>
        <v>0</v>
      </c>
      <c r="AX1015" s="25">
        <f>Inventory[[#This Row],[AddFn]]*Lookups!$B$88</f>
        <v>0</v>
      </c>
      <c r="AY1015" s="25">
        <f>Inventory[[#This Row],[Bsmt]]*Lookups!$B$89</f>
        <v>0</v>
      </c>
      <c r="AZ1015" s="25">
        <f>Inventory[[#This Row],[Fixtures]]*Lookups!$B$90</f>
        <v>22752.132631200002</v>
      </c>
      <c r="BA1015" s="25">
        <f>Inventory[[#This Row],[WdDeck]]*Lookups!$B$91</f>
        <v>0</v>
      </c>
      <c r="BB1015" s="25">
        <f>ROUND(Inventory[[#This Row],[25Det]],-2)</f>
        <v>11100</v>
      </c>
      <c r="BC1015" s="25">
        <f>ROUND(SUM(Inventory[[#This Row],[Mdl Qlty]:[Mdl WdDeck]])+Inventory[[#This Row],[Mdl Res Intercept]],-2)</f>
        <v>268600</v>
      </c>
      <c r="BD1015" s="25">
        <f>ROUND(Inventory[[#This Row],[Mdl Land Intercept]]+Inventory[[#This Row],[Mdl LnAcres]],-2)</f>
        <v>38900</v>
      </c>
      <c r="BE1015" s="25">
        <f>Inventory[[#This Row],[Unadj Res Value]]+Inventory[[#This Row],[Unadj Det Value]]+Inventory[[#This Row],[Unadj Land Value]]</f>
        <v>318600</v>
      </c>
      <c r="BF1015" s="36">
        <f>(Inventory[[#This Row],[Unadj Total Value]]-Inventory[[#This Row],[24Final]])/Inventory[[#This Row],[24Final]]</f>
        <v>5.2179656538969617E-2</v>
      </c>
      <c r="BG1015" s="25">
        <f>VLOOKUP(Inventory[[#This Row],[Nbhd]],Lookups!$Q$2:$T$4,4,FALSE)</f>
        <v>0.99970000000000003</v>
      </c>
      <c r="BH1015" s="25">
        <f>VLOOKUP(Inventory[[#This Row],[Qlty]],Lookups!$O$7:$R$21,4,FALSE)</f>
        <v>1.0067999999999999</v>
      </c>
      <c r="BI1015" s="25">
        <f>VLOOKUP(Inventory[[#This Row],[Cnd]],Lookups!$T$7:$W$16,4,FALSE)</f>
        <v>0.99729999999999996</v>
      </c>
      <c r="BJ1015" s="25">
        <f>VLOOKUP(Inventory[[#This Row],[LivArea Range]],Lookups!$T$25:$W$37,4,FALSE)</f>
        <v>1.0093000000000001</v>
      </c>
      <c r="BK1015" s="25">
        <f>VLOOKUP(Inventory[[#This Row],[Decade]],Lookups!$O$25:$R$42,4,FALSE)</f>
        <v>0.995</v>
      </c>
      <c r="BL1015" s="25">
        <f>Inventory[[#This Row],[Nbhd Adj]]*0.95</f>
        <v>0.94971499999999998</v>
      </c>
      <c r="BM1015" s="25">
        <f>Inventory[[#This Row],[Nbhd Adj]]*Inventory[[#This Row],[Quality Adj]]*Inventory[[#This Row],[Condition Adj]]*Inventory[[#This Row],[Living Area Adj]]*Inventory[[#This Row],[Decade Adj]]*0.95</f>
        <v>0.957647495730095</v>
      </c>
      <c r="BN1015" s="25">
        <f>ROUND(SUM(Inventory[[#This Row],[Mdl Qlty]:[Mdl WdDeck]])+Inventory[[#This Row],[Mdl Res Intercept]]*Inventory[[#This Row],[Res Adj ]],-2)</f>
        <v>268600</v>
      </c>
      <c r="BO1015" s="25">
        <f>ROUND(Inventory[[#This Row],[25Det]]*Inventory[[#This Row],[Det/Nbhd Adj]],-2)</f>
        <v>10600</v>
      </c>
      <c r="BP1015" s="25">
        <f>Inventory[[#This Row],[Adjusted Res]]+Inventory[[#This Row],[Adj Det ]]</f>
        <v>279200</v>
      </c>
      <c r="BQ1015" s="25">
        <f>ROUND((Inventory[[#This Row],[Mdl Land Intercept]]+Inventory[[#This Row],[Mdl LnAcres]])*Inventory[[#This Row],[Det/Nbhd Adj]],-2)</f>
        <v>36900</v>
      </c>
      <c r="BR1015" s="25">
        <f>Inventory[[#This Row],[Adjusted Impr Total]]+Inventory[[#This Row],[Adjusted Land Total]]</f>
        <v>316100</v>
      </c>
      <c r="BS1015" s="36">
        <f>IFERROR((Inventory[[#This Row],[Adjusted Impr Total]]-Inventory[[#This Row],[24Bldg]])/Inventory[[#This Row],[24Bldg]],0)</f>
        <v>0.14238952536824878</v>
      </c>
      <c r="BT1015" s="36">
        <f>(Inventory[[#This Row],[Adjusted Land Total]]-Inventory[[#This Row],[24Lnd]])/Inventory[[#This Row],[24Lnd]]</f>
        <v>-0.36815068493150682</v>
      </c>
      <c r="BU1015" s="36">
        <f>(Inventory[[#This Row],[Adjusted Total]]-Inventory[[#This Row],[24Final]])/Inventory[[#This Row],[24Final]]</f>
        <v>4.3923381770145313E-2</v>
      </c>
    </row>
    <row r="1016" spans="1:73" x14ac:dyDescent="0.3">
      <c r="A1016" s="25">
        <v>2025</v>
      </c>
      <c r="B1016" s="26" t="s">
        <v>843</v>
      </c>
      <c r="C1016" s="26">
        <f>LN(Inventory[[#This Row],[Acres]])</f>
        <v>-1.7147984280919266</v>
      </c>
      <c r="D1016" s="25">
        <v>0.18</v>
      </c>
      <c r="E1016" s="25">
        <v>7625</v>
      </c>
      <c r="F1016" s="26" t="s">
        <v>537</v>
      </c>
      <c r="G1016" s="26" t="s">
        <v>126</v>
      </c>
      <c r="H1016" s="26" t="s">
        <v>349</v>
      </c>
      <c r="I1016" s="26" t="s">
        <v>538</v>
      </c>
      <c r="J1016" s="26" t="s">
        <v>539</v>
      </c>
      <c r="K1016" s="26" t="s">
        <v>242</v>
      </c>
      <c r="L1016" s="26" t="s">
        <v>351</v>
      </c>
      <c r="M1016" s="26" t="s">
        <v>323</v>
      </c>
      <c r="N1016" s="26">
        <v>80</v>
      </c>
      <c r="O1016" s="26">
        <f>2024-Inventory[[#This Row],[YrBlt]]</f>
        <v>77</v>
      </c>
      <c r="P1016" s="26">
        <f>2024-Inventory[[#This Row],[EffYr]]</f>
        <v>51</v>
      </c>
      <c r="Q1016" s="25">
        <v>1947</v>
      </c>
      <c r="R1016" s="25">
        <v>1973</v>
      </c>
      <c r="S1016" s="25">
        <v>967</v>
      </c>
      <c r="T1016" s="27"/>
      <c r="U1016" s="25">
        <v>951</v>
      </c>
      <c r="V1016" s="32">
        <f>Inventory[[#This Row],[Bsmt]]-Inventory[[#This Row],[FnBsmt]]</f>
        <v>0</v>
      </c>
      <c r="W1016" s="32">
        <v>951</v>
      </c>
      <c r="X1016" s="27"/>
      <c r="Y1016" s="27">
        <f>Inventory[[#This Row],[MainFn]]+Inventory[[#This Row],[UpprFn]]+Inventory[[#This Row],[FnBsmt]]+Inventory[[#This Row],[AddFn]]</f>
        <v>1918</v>
      </c>
      <c r="Z1016" s="27">
        <v>2000</v>
      </c>
      <c r="AA1016" s="25">
        <v>9</v>
      </c>
      <c r="AB1016" s="32">
        <v>312</v>
      </c>
      <c r="AC1016" s="27"/>
      <c r="AD1016" s="25">
        <v>142</v>
      </c>
      <c r="AE1016" s="27"/>
      <c r="AF1016" s="27"/>
      <c r="AG1016" s="27"/>
      <c r="AH1016" s="27"/>
      <c r="AI1016" s="25">
        <v>266785</v>
      </c>
      <c r="AJ1016" s="25">
        <v>184082</v>
      </c>
      <c r="AK1016" s="25">
        <v>27788</v>
      </c>
      <c r="AL1016" s="25">
        <v>332400</v>
      </c>
      <c r="AM1016" s="25">
        <v>54700</v>
      </c>
      <c r="AN1016" s="25">
        <v>277700</v>
      </c>
      <c r="AO1016" s="25">
        <v>0</v>
      </c>
      <c r="AP1016" s="25">
        <f>Lookups!$B$56*0</f>
        <v>0</v>
      </c>
      <c r="AQ1016" s="25">
        <f>Lookups!$B$56*1</f>
        <v>89850.625589999996</v>
      </c>
      <c r="AR1016" s="25">
        <f>Lookups!$B$57*Inventory[[#This Row],[LnAcres]]</f>
        <v>-54281.285314520763</v>
      </c>
      <c r="AS1016" s="25">
        <f>VLOOKUP(Inventory[[#This Row],[Qlty]],Lookups!$A$62:$E$75,2,FALSE)</f>
        <v>21557.329055999999</v>
      </c>
      <c r="AT1016" s="25">
        <f>VLOOKUP(Inventory[[#This Row],[Cnd]],Lookups!$A$76:$E$84,2,FALSE)</f>
        <v>160472.20319</v>
      </c>
      <c r="AU1016" s="25">
        <f>Inventory[[#This Row],[EffAge]]*Lookups!$B$85</f>
        <v>-11375.3256255</v>
      </c>
      <c r="AV1016" s="25">
        <f>Inventory[[#This Row],[MainFn]]*Lookups!$B$86</f>
        <v>47778.183771059004</v>
      </c>
      <c r="AW1016" s="25">
        <f>Inventory[[#This Row],[UpprFn]]*Lookups!$B$87</f>
        <v>0</v>
      </c>
      <c r="AX1016" s="25">
        <f>Inventory[[#This Row],[AddFn]]*Lookups!$B$88</f>
        <v>0</v>
      </c>
      <c r="AY1016" s="25">
        <f>Inventory[[#This Row],[Bsmt]]*Lookups!$B$89</f>
        <v>27656.882379896997</v>
      </c>
      <c r="AZ1016" s="25">
        <f>Inventory[[#This Row],[Fixtures]]*Lookups!$B$90</f>
        <v>34128.198946800003</v>
      </c>
      <c r="BA1016" s="25">
        <f>Inventory[[#This Row],[WdDeck]]*Lookups!$B$91</f>
        <v>4727.9631691920004</v>
      </c>
      <c r="BB1016" s="25">
        <f>ROUND(Inventory[[#This Row],[25Det]],-2)</f>
        <v>27800</v>
      </c>
      <c r="BC1016" s="25">
        <f>ROUND(SUM(Inventory[[#This Row],[Mdl Qlty]:[Mdl WdDeck]])+Inventory[[#This Row],[Mdl Res Intercept]],-2)</f>
        <v>284900</v>
      </c>
      <c r="BD1016" s="25">
        <f>ROUND(Inventory[[#This Row],[Mdl Land Intercept]]+Inventory[[#This Row],[Mdl LnAcres]],-2)</f>
        <v>35600</v>
      </c>
      <c r="BE1016" s="25">
        <f>Inventory[[#This Row],[Unadj Res Value]]+Inventory[[#This Row],[Unadj Det Value]]+Inventory[[#This Row],[Unadj Land Value]]</f>
        <v>348300</v>
      </c>
      <c r="BF1016" s="36">
        <f>(Inventory[[#This Row],[Unadj Total Value]]-Inventory[[#This Row],[24Final]])/Inventory[[#This Row],[24Final]]</f>
        <v>4.7833935018050541E-2</v>
      </c>
      <c r="BG1016" s="25">
        <f>VLOOKUP(Inventory[[#This Row],[Nbhd]],Lookups!$Q$2:$T$4,4,FALSE)</f>
        <v>0.99970000000000003</v>
      </c>
      <c r="BH1016" s="25">
        <f>VLOOKUP(Inventory[[#This Row],[Qlty]],Lookups!$O$7:$R$21,4,FALSE)</f>
        <v>1.0067999999999999</v>
      </c>
      <c r="BI1016" s="25">
        <f>VLOOKUP(Inventory[[#This Row],[Cnd]],Lookups!$T$7:$W$16,4,FALSE)</f>
        <v>0.99729999999999996</v>
      </c>
      <c r="BJ1016" s="25">
        <f>VLOOKUP(Inventory[[#This Row],[LivArea Range]],Lookups!$T$25:$W$37,4,FALSE)</f>
        <v>1.0093000000000001</v>
      </c>
      <c r="BK1016" s="25">
        <f>VLOOKUP(Inventory[[#This Row],[Decade]],Lookups!$O$25:$R$42,4,FALSE)</f>
        <v>0.995</v>
      </c>
      <c r="BL1016" s="25">
        <f>Inventory[[#This Row],[Nbhd Adj]]*0.95</f>
        <v>0.94971499999999998</v>
      </c>
      <c r="BM1016" s="25">
        <f>Inventory[[#This Row],[Nbhd Adj]]*Inventory[[#This Row],[Quality Adj]]*Inventory[[#This Row],[Condition Adj]]*Inventory[[#This Row],[Living Area Adj]]*Inventory[[#This Row],[Decade Adj]]*0.95</f>
        <v>0.957647495730095</v>
      </c>
      <c r="BN1016" s="25">
        <f>ROUND(SUM(Inventory[[#This Row],[Mdl Qlty]:[Mdl WdDeck]])+Inventory[[#This Row],[Mdl Res Intercept]]*Inventory[[#This Row],[Res Adj ]],-2)</f>
        <v>284900</v>
      </c>
      <c r="BO1016" s="25">
        <f>ROUND(Inventory[[#This Row],[25Det]]*Inventory[[#This Row],[Det/Nbhd Adj]],-2)</f>
        <v>26400</v>
      </c>
      <c r="BP1016" s="25">
        <f>Inventory[[#This Row],[Adjusted Res]]+Inventory[[#This Row],[Adj Det ]]</f>
        <v>311300</v>
      </c>
      <c r="BQ1016" s="25">
        <f>ROUND((Inventory[[#This Row],[Mdl Land Intercept]]+Inventory[[#This Row],[Mdl LnAcres]])*Inventory[[#This Row],[Det/Nbhd Adj]],-2)</f>
        <v>33800</v>
      </c>
      <c r="BR1016" s="25">
        <f>Inventory[[#This Row],[Adjusted Impr Total]]+Inventory[[#This Row],[Adjusted Land Total]]</f>
        <v>345100</v>
      </c>
      <c r="BS1016" s="36">
        <f>IFERROR((Inventory[[#This Row],[Adjusted Impr Total]]-Inventory[[#This Row],[24Bldg]])/Inventory[[#This Row],[24Bldg]],0)</f>
        <v>0.12099387828592006</v>
      </c>
      <c r="BT1016" s="36">
        <f>(Inventory[[#This Row],[Adjusted Land Total]]-Inventory[[#This Row],[24Lnd]])/Inventory[[#This Row],[24Lnd]]</f>
        <v>-0.38208409506398539</v>
      </c>
      <c r="BU1016" s="36">
        <f>(Inventory[[#This Row],[Adjusted Total]]-Inventory[[#This Row],[24Final]])/Inventory[[#This Row],[24Final]]</f>
        <v>3.8206979542719614E-2</v>
      </c>
    </row>
    <row r="1017" spans="1:73" x14ac:dyDescent="0.3">
      <c r="A1017" s="25">
        <v>2025</v>
      </c>
      <c r="B1017" s="26" t="s">
        <v>861</v>
      </c>
      <c r="C1017" s="26">
        <f>LN(Inventory[[#This Row],[Acres]])</f>
        <v>-1.8971199848858813</v>
      </c>
      <c r="D1017" s="25">
        <v>0.15</v>
      </c>
      <c r="E1017" s="25">
        <v>6719</v>
      </c>
      <c r="F1017" s="26" t="s">
        <v>537</v>
      </c>
      <c r="G1017" s="26" t="s">
        <v>126</v>
      </c>
      <c r="H1017" s="26" t="s">
        <v>349</v>
      </c>
      <c r="I1017" s="26" t="s">
        <v>538</v>
      </c>
      <c r="J1017" s="26" t="s">
        <v>539</v>
      </c>
      <c r="K1017" s="26" t="s">
        <v>241</v>
      </c>
      <c r="L1017" s="26" t="s">
        <v>302</v>
      </c>
      <c r="M1017" s="26" t="s">
        <v>323</v>
      </c>
      <c r="N1017" s="26">
        <v>80</v>
      </c>
      <c r="O1017" s="26">
        <f>2024-Inventory[[#This Row],[YrBlt]]</f>
        <v>77</v>
      </c>
      <c r="P1017" s="26">
        <f>2024-Inventory[[#This Row],[EffYr]]</f>
        <v>51</v>
      </c>
      <c r="Q1017" s="25">
        <v>1947</v>
      </c>
      <c r="R1017" s="25">
        <v>1973</v>
      </c>
      <c r="S1017" s="25">
        <v>1664</v>
      </c>
      <c r="T1017" s="31"/>
      <c r="U1017" s="31"/>
      <c r="V1017" s="31">
        <f>Inventory[[#This Row],[Bsmt]]-Inventory[[#This Row],[FnBsmt]]</f>
        <v>0</v>
      </c>
      <c r="W1017" s="31"/>
      <c r="X1017" s="27"/>
      <c r="Y1017" s="27">
        <f>Inventory[[#This Row],[MainFn]]+Inventory[[#This Row],[UpprFn]]+Inventory[[#This Row],[FnBsmt]]+Inventory[[#This Row],[AddFn]]</f>
        <v>1664</v>
      </c>
      <c r="Z1017" s="27">
        <v>2000</v>
      </c>
      <c r="AA1017" s="25">
        <v>8</v>
      </c>
      <c r="AB1017" s="27"/>
      <c r="AC1017" s="27"/>
      <c r="AD1017" s="27"/>
      <c r="AE1017" s="27"/>
      <c r="AF1017" s="27"/>
      <c r="AG1017" s="27"/>
      <c r="AH1017" s="27"/>
      <c r="AI1017" s="25">
        <v>342434</v>
      </c>
      <c r="AJ1017" s="25">
        <v>236279</v>
      </c>
      <c r="AK1017" s="25">
        <v>0</v>
      </c>
      <c r="AL1017" s="25">
        <v>308200</v>
      </c>
      <c r="AM1017" s="25">
        <v>48400</v>
      </c>
      <c r="AN1017" s="25">
        <v>259800</v>
      </c>
      <c r="AO1017" s="25">
        <v>0</v>
      </c>
      <c r="AP1017" s="25">
        <f>Lookups!$B$56*0</f>
        <v>0</v>
      </c>
      <c r="AQ1017" s="25">
        <f>Lookups!$B$56*1</f>
        <v>89850.625589999996</v>
      </c>
      <c r="AR1017" s="25">
        <f>Lookups!$B$57*Inventory[[#This Row],[LnAcres]]</f>
        <v>-60052.604136134301</v>
      </c>
      <c r="AS1017" s="25">
        <f>VLOOKUP(Inventory[[#This Row],[Qlty]],Lookups!$A$62:$E$75,2,FALSE)</f>
        <v>29814.093161000001</v>
      </c>
      <c r="AT1017" s="25">
        <f>VLOOKUP(Inventory[[#This Row],[Cnd]],Lookups!$A$76:$E$84,2,FALSE)</f>
        <v>160472.20319</v>
      </c>
      <c r="AU1017" s="25">
        <f>Inventory[[#This Row],[EffAge]]*Lookups!$B$85</f>
        <v>-11375.3256255</v>
      </c>
      <c r="AV1017" s="25">
        <f>Inventory[[#This Row],[MainFn]]*Lookups!$B$86</f>
        <v>82216.026675328001</v>
      </c>
      <c r="AW1017" s="25">
        <f>Inventory[[#This Row],[UpprFn]]*Lookups!$B$87</f>
        <v>0</v>
      </c>
      <c r="AX1017" s="25">
        <f>Inventory[[#This Row],[AddFn]]*Lookups!$B$88</f>
        <v>0</v>
      </c>
      <c r="AY1017" s="25">
        <f>Inventory[[#This Row],[Bsmt]]*Lookups!$B$89</f>
        <v>0</v>
      </c>
      <c r="AZ1017" s="25">
        <f>Inventory[[#This Row],[Fixtures]]*Lookups!$B$90</f>
        <v>30336.176841600001</v>
      </c>
      <c r="BA1017" s="25">
        <f>Inventory[[#This Row],[WdDeck]]*Lookups!$B$91</f>
        <v>0</v>
      </c>
      <c r="BB1017" s="25">
        <f>ROUND(Inventory[[#This Row],[25Det]],-2)</f>
        <v>0</v>
      </c>
      <c r="BC1017" s="25">
        <f>ROUND(SUM(Inventory[[#This Row],[Mdl Qlty]:[Mdl WdDeck]])+Inventory[[#This Row],[Mdl Res Intercept]],-2)</f>
        <v>291500</v>
      </c>
      <c r="BD1017" s="25">
        <f>ROUND(Inventory[[#This Row],[Mdl Land Intercept]]+Inventory[[#This Row],[Mdl LnAcres]],-2)</f>
        <v>29800</v>
      </c>
      <c r="BE1017" s="25">
        <f>Inventory[[#This Row],[Unadj Res Value]]+Inventory[[#This Row],[Unadj Det Value]]+Inventory[[#This Row],[Unadj Land Value]]</f>
        <v>321300</v>
      </c>
      <c r="BF1017" s="36">
        <f>(Inventory[[#This Row],[Unadj Total Value]]-Inventory[[#This Row],[24Final]])/Inventory[[#This Row],[24Final]]</f>
        <v>4.2504866969500323E-2</v>
      </c>
      <c r="BG1017" s="25">
        <f>VLOOKUP(Inventory[[#This Row],[Nbhd]],Lookups!$Q$2:$T$4,4,FALSE)</f>
        <v>0.99970000000000003</v>
      </c>
      <c r="BH1017" s="25">
        <f>VLOOKUP(Inventory[[#This Row],[Qlty]],Lookups!$O$7:$R$21,4,FALSE)</f>
        <v>1.0088999999999999</v>
      </c>
      <c r="BI1017" s="25">
        <f>VLOOKUP(Inventory[[#This Row],[Cnd]],Lookups!$T$7:$W$16,4,FALSE)</f>
        <v>0.99729999999999996</v>
      </c>
      <c r="BJ1017" s="25">
        <f>VLOOKUP(Inventory[[#This Row],[LivArea Range]],Lookups!$T$25:$W$37,4,FALSE)</f>
        <v>1.0093000000000001</v>
      </c>
      <c r="BK1017" s="25">
        <f>VLOOKUP(Inventory[[#This Row],[Decade]],Lookups!$O$25:$R$42,4,FALSE)</f>
        <v>0.995</v>
      </c>
      <c r="BL1017" s="25">
        <f>Inventory[[#This Row],[Nbhd Adj]]*0.95</f>
        <v>0.94971499999999998</v>
      </c>
      <c r="BM1017" s="25">
        <f>Inventory[[#This Row],[Nbhd Adj]]*Inventory[[#This Row],[Quality Adj]]*Inventory[[#This Row],[Condition Adj]]*Inventory[[#This Row],[Living Area Adj]]*Inventory[[#This Row],[Decade Adj]]*0.95</f>
        <v>0.9596449726282209</v>
      </c>
      <c r="BN1017" s="25">
        <f>ROUND(SUM(Inventory[[#This Row],[Mdl Qlty]:[Mdl WdDeck]])+Inventory[[#This Row],[Mdl Res Intercept]]*Inventory[[#This Row],[Res Adj ]],-2)</f>
        <v>291500</v>
      </c>
      <c r="BO1017" s="25">
        <f>ROUND(Inventory[[#This Row],[25Det]]*Inventory[[#This Row],[Det/Nbhd Adj]],-2)</f>
        <v>0</v>
      </c>
      <c r="BP1017" s="25">
        <f>Inventory[[#This Row],[Adjusted Res]]+Inventory[[#This Row],[Adj Det ]]</f>
        <v>291500</v>
      </c>
      <c r="BQ1017" s="25">
        <f>ROUND((Inventory[[#This Row],[Mdl Land Intercept]]+Inventory[[#This Row],[Mdl LnAcres]])*Inventory[[#This Row],[Det/Nbhd Adj]],-2)</f>
        <v>28300</v>
      </c>
      <c r="BR1017" s="25">
        <f>Inventory[[#This Row],[Adjusted Impr Total]]+Inventory[[#This Row],[Adjusted Land Total]]</f>
        <v>319800</v>
      </c>
      <c r="BS1017" s="36">
        <f>IFERROR((Inventory[[#This Row],[Adjusted Impr Total]]-Inventory[[#This Row],[24Bldg]])/Inventory[[#This Row],[24Bldg]],0)</f>
        <v>0.12201693610469592</v>
      </c>
      <c r="BT1017" s="36">
        <f>(Inventory[[#This Row],[Adjusted Land Total]]-Inventory[[#This Row],[24Lnd]])/Inventory[[#This Row],[24Lnd]]</f>
        <v>-0.41528925619834711</v>
      </c>
      <c r="BU1017" s="36">
        <f>(Inventory[[#This Row],[Adjusted Total]]-Inventory[[#This Row],[24Final]])/Inventory[[#This Row],[24Final]]</f>
        <v>3.7637897469175861E-2</v>
      </c>
    </row>
    <row r="1018" spans="1:73" x14ac:dyDescent="0.3">
      <c r="A1018" s="25">
        <v>2025</v>
      </c>
      <c r="B1018" s="26" t="s">
        <v>2488</v>
      </c>
      <c r="C1018" s="26">
        <f>LN(Inventory[[#This Row],[Acres]])</f>
        <v>-1.1711829815029451</v>
      </c>
      <c r="D1018" s="25">
        <v>0.31</v>
      </c>
      <c r="E1018" s="25">
        <v>13650</v>
      </c>
      <c r="F1018" s="26" t="s">
        <v>537</v>
      </c>
      <c r="G1018" s="26" t="s">
        <v>126</v>
      </c>
      <c r="H1018" s="26" t="s">
        <v>349</v>
      </c>
      <c r="I1018" s="26" t="s">
        <v>538</v>
      </c>
      <c r="J1018" s="26" t="s">
        <v>539</v>
      </c>
      <c r="K1018" s="26" t="s">
        <v>241</v>
      </c>
      <c r="L1018" s="26" t="s">
        <v>148</v>
      </c>
      <c r="M1018" s="26" t="s">
        <v>303</v>
      </c>
      <c r="N1018" s="26">
        <v>80</v>
      </c>
      <c r="O1018" s="26">
        <f>2024-Inventory[[#This Row],[YrBlt]]</f>
        <v>77</v>
      </c>
      <c r="P1018" s="26">
        <f>2024-Inventory[[#This Row],[EffYr]]</f>
        <v>51</v>
      </c>
      <c r="Q1018" s="25">
        <v>1947</v>
      </c>
      <c r="R1018" s="25">
        <v>1973</v>
      </c>
      <c r="S1018" s="25">
        <v>1719</v>
      </c>
      <c r="T1018" s="27"/>
      <c r="U1018" s="25">
        <v>1062</v>
      </c>
      <c r="V1018" s="25">
        <f>Inventory[[#This Row],[Bsmt]]-Inventory[[#This Row],[FnBsmt]]</f>
        <v>216</v>
      </c>
      <c r="W1018" s="25">
        <v>846</v>
      </c>
      <c r="X1018" s="27"/>
      <c r="Y1018" s="27">
        <f>Inventory[[#This Row],[MainFn]]+Inventory[[#This Row],[UpprFn]]+Inventory[[#This Row],[FnBsmt]]+Inventory[[#This Row],[AddFn]]</f>
        <v>2565</v>
      </c>
      <c r="Z1018" s="27">
        <v>3000</v>
      </c>
      <c r="AA1018" s="25">
        <v>11</v>
      </c>
      <c r="AB1018" s="27"/>
      <c r="AC1018" s="27"/>
      <c r="AD1018" s="31"/>
      <c r="AE1018" s="27"/>
      <c r="AF1018" s="27"/>
      <c r="AG1018" s="27"/>
      <c r="AH1018" s="27"/>
      <c r="AI1018" s="25">
        <v>488230</v>
      </c>
      <c r="AJ1018" s="25">
        <v>346643</v>
      </c>
      <c r="AK1018" s="25">
        <v>0</v>
      </c>
      <c r="AL1018" s="25">
        <v>428700</v>
      </c>
      <c r="AM1018" s="25">
        <v>73700</v>
      </c>
      <c r="AN1018" s="25">
        <v>355000</v>
      </c>
      <c r="AO1018" s="25">
        <v>0</v>
      </c>
      <c r="AP1018" s="25">
        <f>Lookups!$B$56*0</f>
        <v>0</v>
      </c>
      <c r="AQ1018" s="25">
        <f>Lookups!$B$56*1</f>
        <v>89850.625589999996</v>
      </c>
      <c r="AR1018" s="25">
        <f>Lookups!$B$57*Inventory[[#This Row],[LnAcres]]</f>
        <v>-37073.347241874442</v>
      </c>
      <c r="AS1018" s="25">
        <f>VLOOKUP(Inventory[[#This Row],[Qlty]],Lookups!$A$62:$E$75,2,FALSE)</f>
        <v>44121.038090000002</v>
      </c>
      <c r="AT1018" s="25">
        <f>VLOOKUP(Inventory[[#This Row],[Cnd]],Lookups!$A$76:$E$84,2,FALSE)</f>
        <v>197752.34721000001</v>
      </c>
      <c r="AU1018" s="25">
        <f>Inventory[[#This Row],[EffAge]]*Lookups!$B$85</f>
        <v>-11375.3256255</v>
      </c>
      <c r="AV1018" s="25">
        <f>Inventory[[#This Row],[MainFn]]*Lookups!$B$86</f>
        <v>84933.503518562997</v>
      </c>
      <c r="AW1018" s="25">
        <f>Inventory[[#This Row],[UpprFn]]*Lookups!$B$87</f>
        <v>0</v>
      </c>
      <c r="AX1018" s="25">
        <f>Inventory[[#This Row],[AddFn]]*Lookups!$B$88</f>
        <v>0</v>
      </c>
      <c r="AY1018" s="25">
        <f>Inventory[[#This Row],[Bsmt]]*Lookups!$B$89</f>
        <v>30884.972752313999</v>
      </c>
      <c r="AZ1018" s="25">
        <f>Inventory[[#This Row],[Fixtures]]*Lookups!$B$90</f>
        <v>41712.243157199999</v>
      </c>
      <c r="BA1018" s="25">
        <f>Inventory[[#This Row],[WdDeck]]*Lookups!$B$91</f>
        <v>0</v>
      </c>
      <c r="BB1018" s="25">
        <f>ROUND(Inventory[[#This Row],[25Det]],-2)</f>
        <v>0</v>
      </c>
      <c r="BC1018" s="25">
        <f>ROUND(SUM(Inventory[[#This Row],[Mdl Qlty]:[Mdl WdDeck]])+Inventory[[#This Row],[Mdl Res Intercept]],-2)</f>
        <v>388000</v>
      </c>
      <c r="BD1018" s="25">
        <f>ROUND(Inventory[[#This Row],[Mdl Land Intercept]]+Inventory[[#This Row],[Mdl LnAcres]],-2)</f>
        <v>52800</v>
      </c>
      <c r="BE1018" s="25">
        <f>Inventory[[#This Row],[Unadj Res Value]]+Inventory[[#This Row],[Unadj Det Value]]+Inventory[[#This Row],[Unadj Land Value]]</f>
        <v>440800</v>
      </c>
      <c r="BF1018" s="36">
        <f>(Inventory[[#This Row],[Unadj Total Value]]-Inventory[[#This Row],[24Final]])/Inventory[[#This Row],[24Final]]</f>
        <v>2.8224865873571262E-2</v>
      </c>
      <c r="BG1018" s="25">
        <f>VLOOKUP(Inventory[[#This Row],[Nbhd]],Lookups!$Q$2:$T$4,4,FALSE)</f>
        <v>0.99970000000000003</v>
      </c>
      <c r="BH1018" s="25">
        <f>VLOOKUP(Inventory[[#This Row],[Qlty]],Lookups!$O$7:$R$21,4,FALSE)</f>
        <v>0.98050000000000004</v>
      </c>
      <c r="BI1018" s="25">
        <f>VLOOKUP(Inventory[[#This Row],[Cnd]],Lookups!$T$7:$W$16,4,FALSE)</f>
        <v>0.99650000000000005</v>
      </c>
      <c r="BJ1018" s="25">
        <f>VLOOKUP(Inventory[[#This Row],[LivArea Range]],Lookups!$T$25:$W$37,4,FALSE)</f>
        <v>0.96179999999999999</v>
      </c>
      <c r="BK1018" s="25">
        <f>VLOOKUP(Inventory[[#This Row],[Decade]],Lookups!$O$25:$R$42,4,FALSE)</f>
        <v>0.995</v>
      </c>
      <c r="BL1018" s="25">
        <f>Inventory[[#This Row],[Nbhd Adj]]*0.95</f>
        <v>0.94971499999999998</v>
      </c>
      <c r="BM1018" s="25">
        <f>Inventory[[#This Row],[Nbhd Adj]]*Inventory[[#This Row],[Quality Adj]]*Inventory[[#This Row],[Condition Adj]]*Inventory[[#This Row],[Living Area Adj]]*Inventory[[#This Row],[Decade Adj]]*0.95</f>
        <v>0.88802675758029637</v>
      </c>
      <c r="BN1018" s="25">
        <f>ROUND(SUM(Inventory[[#This Row],[Mdl Qlty]:[Mdl WdDeck]])+Inventory[[#This Row],[Mdl Res Intercept]]*Inventory[[#This Row],[Res Adj ]],-2)</f>
        <v>388000</v>
      </c>
      <c r="BO1018" s="25">
        <f>ROUND(Inventory[[#This Row],[25Det]]*Inventory[[#This Row],[Det/Nbhd Adj]],-2)</f>
        <v>0</v>
      </c>
      <c r="BP1018" s="25">
        <f>Inventory[[#This Row],[Adjusted Res]]+Inventory[[#This Row],[Adj Det ]]</f>
        <v>388000</v>
      </c>
      <c r="BQ1018" s="25">
        <f>ROUND((Inventory[[#This Row],[Mdl Land Intercept]]+Inventory[[#This Row],[Mdl LnAcres]])*Inventory[[#This Row],[Det/Nbhd Adj]],-2)</f>
        <v>50100</v>
      </c>
      <c r="BR1018" s="25">
        <f>Inventory[[#This Row],[Adjusted Impr Total]]+Inventory[[#This Row],[Adjusted Land Total]]</f>
        <v>438100</v>
      </c>
      <c r="BS1018" s="36">
        <f>IFERROR((Inventory[[#This Row],[Adjusted Impr Total]]-Inventory[[#This Row],[24Bldg]])/Inventory[[#This Row],[24Bldg]],0)</f>
        <v>9.295774647887324E-2</v>
      </c>
      <c r="BT1018" s="36">
        <f>(Inventory[[#This Row],[Adjusted Land Total]]-Inventory[[#This Row],[24Lnd]])/Inventory[[#This Row],[24Lnd]]</f>
        <v>-0.32021709633649931</v>
      </c>
      <c r="BU1018" s="36">
        <f>(Inventory[[#This Row],[Adjusted Total]]-Inventory[[#This Row],[24Final]])/Inventory[[#This Row],[24Final]]</f>
        <v>2.1926755306741312E-2</v>
      </c>
    </row>
    <row r="1019" spans="1:73" x14ac:dyDescent="0.3">
      <c r="A1019" s="25">
        <v>2025</v>
      </c>
      <c r="B1019" s="26" t="s">
        <v>952</v>
      </c>
      <c r="C1019" s="26">
        <f>LN(Inventory[[#This Row],[Acres]])</f>
        <v>-1.6094379124341003</v>
      </c>
      <c r="D1019" s="25">
        <v>0.2</v>
      </c>
      <c r="E1019" s="25">
        <v>8519</v>
      </c>
      <c r="F1019" s="26" t="s">
        <v>537</v>
      </c>
      <c r="G1019" s="26" t="s">
        <v>126</v>
      </c>
      <c r="H1019" s="26" t="s">
        <v>349</v>
      </c>
      <c r="I1019" s="26" t="s">
        <v>538</v>
      </c>
      <c r="J1019" s="26" t="s">
        <v>539</v>
      </c>
      <c r="K1019" s="26" t="s">
        <v>242</v>
      </c>
      <c r="L1019" s="26" t="s">
        <v>351</v>
      </c>
      <c r="M1019" s="26" t="s">
        <v>323</v>
      </c>
      <c r="N1019" s="26">
        <v>80</v>
      </c>
      <c r="O1019" s="26">
        <f>2024-Inventory[[#This Row],[YrBlt]]</f>
        <v>77</v>
      </c>
      <c r="P1019" s="26">
        <f>2024-Inventory[[#This Row],[EffYr]]</f>
        <v>51</v>
      </c>
      <c r="Q1019" s="25">
        <v>1947</v>
      </c>
      <c r="R1019" s="25">
        <v>1973</v>
      </c>
      <c r="S1019" s="25">
        <v>898</v>
      </c>
      <c r="T1019" s="27"/>
      <c r="U1019" s="32">
        <v>906</v>
      </c>
      <c r="V1019" s="32">
        <f>Inventory[[#This Row],[Bsmt]]-Inventory[[#This Row],[FnBsmt]]</f>
        <v>0</v>
      </c>
      <c r="W1019" s="32">
        <v>906</v>
      </c>
      <c r="X1019" s="27"/>
      <c r="Y1019" s="27">
        <f>Inventory[[#This Row],[MainFn]]+Inventory[[#This Row],[UpprFn]]+Inventory[[#This Row],[FnBsmt]]+Inventory[[#This Row],[AddFn]]</f>
        <v>1804</v>
      </c>
      <c r="Z1019" s="27">
        <v>2000</v>
      </c>
      <c r="AA1019" s="25">
        <v>8</v>
      </c>
      <c r="AB1019" s="31"/>
      <c r="AC1019" s="27"/>
      <c r="AD1019" s="31"/>
      <c r="AE1019" s="27"/>
      <c r="AF1019" s="27"/>
      <c r="AG1019" s="27"/>
      <c r="AH1019" s="27"/>
      <c r="AI1019" s="25">
        <v>223743</v>
      </c>
      <c r="AJ1019" s="25">
        <v>154383</v>
      </c>
      <c r="AK1019" s="25">
        <v>5605</v>
      </c>
      <c r="AL1019" s="25">
        <v>307400</v>
      </c>
      <c r="AM1019" s="25">
        <v>58400</v>
      </c>
      <c r="AN1019" s="25">
        <v>249000</v>
      </c>
      <c r="AO1019" s="25">
        <v>0</v>
      </c>
      <c r="AP1019" s="25">
        <f>Lookups!$B$56*0</f>
        <v>0</v>
      </c>
      <c r="AQ1019" s="25">
        <f>Lookups!$B$56*1</f>
        <v>89850.625589999996</v>
      </c>
      <c r="AR1019" s="25">
        <f>Lookups!$B$57*Inventory[[#This Row],[LnAcres]]</f>
        <v>-50946.13867709865</v>
      </c>
      <c r="AS1019" s="25">
        <f>VLOOKUP(Inventory[[#This Row],[Qlty]],Lookups!$A$62:$E$75,2,FALSE)</f>
        <v>21557.329055999999</v>
      </c>
      <c r="AT1019" s="25">
        <f>VLOOKUP(Inventory[[#This Row],[Cnd]],Lookups!$A$76:$E$84,2,FALSE)</f>
        <v>160472.20319</v>
      </c>
      <c r="AU1019" s="25">
        <f>Inventory[[#This Row],[EffAge]]*Lookups!$B$85</f>
        <v>-11375.3256255</v>
      </c>
      <c r="AV1019" s="25">
        <f>Inventory[[#This Row],[MainFn]]*Lookups!$B$86</f>
        <v>44368.985549546</v>
      </c>
      <c r="AW1019" s="25">
        <f>Inventory[[#This Row],[UpprFn]]*Lookups!$B$87</f>
        <v>0</v>
      </c>
      <c r="AX1019" s="25">
        <f>Inventory[[#This Row],[AddFn]]*Lookups!$B$88</f>
        <v>0</v>
      </c>
      <c r="AY1019" s="25">
        <f>Inventory[[#This Row],[Bsmt]]*Lookups!$B$89</f>
        <v>26348.197093781997</v>
      </c>
      <c r="AZ1019" s="25">
        <f>Inventory[[#This Row],[Fixtures]]*Lookups!$B$90</f>
        <v>30336.176841600001</v>
      </c>
      <c r="BA1019" s="25">
        <f>Inventory[[#This Row],[WdDeck]]*Lookups!$B$91</f>
        <v>0</v>
      </c>
      <c r="BB1019" s="25">
        <f>ROUND(Inventory[[#This Row],[25Det]],-2)</f>
        <v>5600</v>
      </c>
      <c r="BC1019" s="25">
        <f>ROUND(SUM(Inventory[[#This Row],[Mdl Qlty]:[Mdl WdDeck]])+Inventory[[#This Row],[Mdl Res Intercept]],-2)</f>
        <v>271700</v>
      </c>
      <c r="BD1019" s="25">
        <f>ROUND(Inventory[[#This Row],[Mdl Land Intercept]]+Inventory[[#This Row],[Mdl LnAcres]],-2)</f>
        <v>38900</v>
      </c>
      <c r="BE1019" s="25">
        <f>Inventory[[#This Row],[Unadj Res Value]]+Inventory[[#This Row],[Unadj Det Value]]+Inventory[[#This Row],[Unadj Land Value]]</f>
        <v>316200</v>
      </c>
      <c r="BF1019" s="36">
        <f>(Inventory[[#This Row],[Unadj Total Value]]-Inventory[[#This Row],[24Final]])/Inventory[[#This Row],[24Final]]</f>
        <v>2.8627195836044242E-2</v>
      </c>
      <c r="BG1019" s="25">
        <f>VLOOKUP(Inventory[[#This Row],[Nbhd]],Lookups!$Q$2:$T$4,4,FALSE)</f>
        <v>0.99970000000000003</v>
      </c>
      <c r="BH1019" s="25">
        <f>VLOOKUP(Inventory[[#This Row],[Qlty]],Lookups!$O$7:$R$21,4,FALSE)</f>
        <v>1.0067999999999999</v>
      </c>
      <c r="BI1019" s="25">
        <f>VLOOKUP(Inventory[[#This Row],[Cnd]],Lookups!$T$7:$W$16,4,FALSE)</f>
        <v>0.99729999999999996</v>
      </c>
      <c r="BJ1019" s="25">
        <f>VLOOKUP(Inventory[[#This Row],[LivArea Range]],Lookups!$T$25:$W$37,4,FALSE)</f>
        <v>1.0093000000000001</v>
      </c>
      <c r="BK1019" s="25">
        <f>VLOOKUP(Inventory[[#This Row],[Decade]],Lookups!$O$25:$R$42,4,FALSE)</f>
        <v>0.995</v>
      </c>
      <c r="BL1019" s="25">
        <f>Inventory[[#This Row],[Nbhd Adj]]*0.95</f>
        <v>0.94971499999999998</v>
      </c>
      <c r="BM1019" s="25">
        <f>Inventory[[#This Row],[Nbhd Adj]]*Inventory[[#This Row],[Quality Adj]]*Inventory[[#This Row],[Condition Adj]]*Inventory[[#This Row],[Living Area Adj]]*Inventory[[#This Row],[Decade Adj]]*0.95</f>
        <v>0.957647495730095</v>
      </c>
      <c r="BN1019" s="25">
        <f>ROUND(SUM(Inventory[[#This Row],[Mdl Qlty]:[Mdl WdDeck]])+Inventory[[#This Row],[Mdl Res Intercept]]*Inventory[[#This Row],[Res Adj ]],-2)</f>
        <v>271700</v>
      </c>
      <c r="BO1019" s="25">
        <f>ROUND(Inventory[[#This Row],[25Det]]*Inventory[[#This Row],[Det/Nbhd Adj]],-2)</f>
        <v>5300</v>
      </c>
      <c r="BP1019" s="25">
        <f>Inventory[[#This Row],[Adjusted Res]]+Inventory[[#This Row],[Adj Det ]]</f>
        <v>277000</v>
      </c>
      <c r="BQ1019" s="25">
        <f>ROUND((Inventory[[#This Row],[Mdl Land Intercept]]+Inventory[[#This Row],[Mdl LnAcres]])*Inventory[[#This Row],[Det/Nbhd Adj]],-2)</f>
        <v>36900</v>
      </c>
      <c r="BR1019" s="25">
        <f>Inventory[[#This Row],[Adjusted Impr Total]]+Inventory[[#This Row],[Adjusted Land Total]]</f>
        <v>313900</v>
      </c>
      <c r="BS1019" s="36">
        <f>IFERROR((Inventory[[#This Row],[Adjusted Impr Total]]-Inventory[[#This Row],[24Bldg]])/Inventory[[#This Row],[24Bldg]],0)</f>
        <v>0.11244979919678715</v>
      </c>
      <c r="BT1019" s="36">
        <f>(Inventory[[#This Row],[Adjusted Land Total]]-Inventory[[#This Row],[24Lnd]])/Inventory[[#This Row],[24Lnd]]</f>
        <v>-0.36815068493150682</v>
      </c>
      <c r="BU1019" s="36">
        <f>(Inventory[[#This Row],[Adjusted Total]]-Inventory[[#This Row],[24Final]])/Inventory[[#This Row],[24Final]]</f>
        <v>2.114508783344177E-2</v>
      </c>
    </row>
    <row r="1020" spans="1:73" x14ac:dyDescent="0.3">
      <c r="A1020" s="25">
        <v>2025</v>
      </c>
      <c r="B1020" s="26" t="s">
        <v>2702</v>
      </c>
      <c r="C1020" s="26">
        <f>LN(Inventory[[#This Row],[Acres]])</f>
        <v>-1.5141277326297755</v>
      </c>
      <c r="D1020" s="25">
        <v>0.22</v>
      </c>
      <c r="E1020" s="31"/>
      <c r="F1020" s="26" t="s">
        <v>537</v>
      </c>
      <c r="G1020" s="26" t="s">
        <v>126</v>
      </c>
      <c r="H1020" s="26" t="s">
        <v>349</v>
      </c>
      <c r="I1020" s="26" t="s">
        <v>538</v>
      </c>
      <c r="J1020" s="26" t="s">
        <v>638</v>
      </c>
      <c r="K1020" s="26" t="s">
        <v>242</v>
      </c>
      <c r="L1020" s="26" t="s">
        <v>302</v>
      </c>
      <c r="M1020" s="26" t="s">
        <v>323</v>
      </c>
      <c r="N1020" s="26">
        <v>80</v>
      </c>
      <c r="O1020" s="26">
        <f>2024-Inventory[[#This Row],[YrBlt]]</f>
        <v>77</v>
      </c>
      <c r="P1020" s="26">
        <f>2024-Inventory[[#This Row],[EffYr]]</f>
        <v>51</v>
      </c>
      <c r="Q1020" s="25">
        <v>1947</v>
      </c>
      <c r="R1020" s="25">
        <v>1973</v>
      </c>
      <c r="S1020" s="25">
        <v>1184</v>
      </c>
      <c r="T1020" s="27"/>
      <c r="U1020" s="25">
        <v>1184</v>
      </c>
      <c r="V1020" s="25">
        <f>Inventory[[#This Row],[Bsmt]]-Inventory[[#This Row],[FnBsmt]]</f>
        <v>230</v>
      </c>
      <c r="W1020" s="25">
        <v>954</v>
      </c>
      <c r="X1020" s="27"/>
      <c r="Y1020" s="27">
        <f>Inventory[[#This Row],[MainFn]]+Inventory[[#This Row],[UpprFn]]+Inventory[[#This Row],[FnBsmt]]+Inventory[[#This Row],[AddFn]]</f>
        <v>2138</v>
      </c>
      <c r="Z1020" s="27">
        <v>2500</v>
      </c>
      <c r="AA1020" s="25">
        <v>10</v>
      </c>
      <c r="AB1020" s="27"/>
      <c r="AC1020" s="27"/>
      <c r="AD1020" s="27"/>
      <c r="AE1020" s="27"/>
      <c r="AF1020" s="27"/>
      <c r="AG1020" s="27"/>
      <c r="AH1020" s="27"/>
      <c r="AI1020" s="25">
        <v>344610</v>
      </c>
      <c r="AJ1020" s="25">
        <v>237781</v>
      </c>
      <c r="AK1020" s="25">
        <v>8098</v>
      </c>
      <c r="AL1020" s="25">
        <v>353200</v>
      </c>
      <c r="AM1020" s="25">
        <v>61700</v>
      </c>
      <c r="AN1020" s="25">
        <v>291500</v>
      </c>
      <c r="AO1020" s="25">
        <v>0</v>
      </c>
      <c r="AP1020" s="25">
        <f>Lookups!$B$56*0</f>
        <v>0</v>
      </c>
      <c r="AQ1020" s="25">
        <f>Lookups!$B$56*1</f>
        <v>89850.625589999996</v>
      </c>
      <c r="AR1020" s="25">
        <f>Lookups!$B$57*Inventory[[#This Row],[LnAcres]]</f>
        <v>-47929.131559187132</v>
      </c>
      <c r="AS1020" s="25">
        <f>VLOOKUP(Inventory[[#This Row],[Qlty]],Lookups!$A$62:$E$75,2,FALSE)</f>
        <v>29814.093161000001</v>
      </c>
      <c r="AT1020" s="25">
        <f>VLOOKUP(Inventory[[#This Row],[Cnd]],Lookups!$A$76:$E$84,2,FALSE)</f>
        <v>160472.20319</v>
      </c>
      <c r="AU1020" s="25">
        <f>Inventory[[#This Row],[EffAge]]*Lookups!$B$85</f>
        <v>-11375.3256255</v>
      </c>
      <c r="AV1020" s="25">
        <f>Inventory[[#This Row],[MainFn]]*Lookups!$B$86</f>
        <v>58499.865134368003</v>
      </c>
      <c r="AW1020" s="25">
        <f>Inventory[[#This Row],[UpprFn]]*Lookups!$B$87</f>
        <v>0</v>
      </c>
      <c r="AX1020" s="25">
        <f>Inventory[[#This Row],[AddFn]]*Lookups!$B$88</f>
        <v>0</v>
      </c>
      <c r="AY1020" s="25">
        <f>Inventory[[#This Row],[Bsmt]]*Lookups!$B$89</f>
        <v>34432.963972448</v>
      </c>
      <c r="AZ1020" s="25">
        <f>Inventory[[#This Row],[Fixtures]]*Lookups!$B$90</f>
        <v>37920.221052000001</v>
      </c>
      <c r="BA1020" s="25">
        <f>Inventory[[#This Row],[WdDeck]]*Lookups!$B$91</f>
        <v>0</v>
      </c>
      <c r="BB1020" s="25">
        <f>ROUND(Inventory[[#This Row],[25Det]],-2)</f>
        <v>8100</v>
      </c>
      <c r="BC1020" s="25">
        <f>ROUND(SUM(Inventory[[#This Row],[Mdl Qlty]:[Mdl WdDeck]])+Inventory[[#This Row],[Mdl Res Intercept]],-2)</f>
        <v>309800</v>
      </c>
      <c r="BD1020" s="25">
        <f>ROUND(Inventory[[#This Row],[Mdl Land Intercept]]+Inventory[[#This Row],[Mdl LnAcres]],-2)</f>
        <v>41900</v>
      </c>
      <c r="BE1020" s="25">
        <f>Inventory[[#This Row],[Unadj Res Value]]+Inventory[[#This Row],[Unadj Det Value]]+Inventory[[#This Row],[Unadj Land Value]]</f>
        <v>359800</v>
      </c>
      <c r="BF1020" s="36">
        <f>(Inventory[[#This Row],[Unadj Total Value]]-Inventory[[#This Row],[24Final]])/Inventory[[#This Row],[24Final]]</f>
        <v>1.868629671574179E-2</v>
      </c>
      <c r="BG1020" s="25">
        <f>VLOOKUP(Inventory[[#This Row],[Nbhd]],Lookups!$Q$2:$T$4,4,FALSE)</f>
        <v>0.99970000000000003</v>
      </c>
      <c r="BH1020" s="25">
        <f>VLOOKUP(Inventory[[#This Row],[Qlty]],Lookups!$O$7:$R$21,4,FALSE)</f>
        <v>1.0088999999999999</v>
      </c>
      <c r="BI1020" s="25">
        <f>VLOOKUP(Inventory[[#This Row],[Cnd]],Lookups!$T$7:$W$16,4,FALSE)</f>
        <v>0.99729999999999996</v>
      </c>
      <c r="BJ1020" s="25">
        <f>VLOOKUP(Inventory[[#This Row],[LivArea Range]],Lookups!$T$25:$W$37,4,FALSE)</f>
        <v>0.98919999999999997</v>
      </c>
      <c r="BK1020" s="25">
        <f>VLOOKUP(Inventory[[#This Row],[Decade]],Lookups!$O$25:$R$42,4,FALSE)</f>
        <v>0.995</v>
      </c>
      <c r="BL1020" s="25">
        <f>Inventory[[#This Row],[Nbhd Adj]]*0.95</f>
        <v>0.94971499999999998</v>
      </c>
      <c r="BM1020" s="25">
        <f>Inventory[[#This Row],[Nbhd Adj]]*Inventory[[#This Row],[Quality Adj]]*Inventory[[#This Row],[Condition Adj]]*Inventory[[#This Row],[Living Area Adj]]*Inventory[[#This Row],[Decade Adj]]*0.95</f>
        <v>0.94053384219145564</v>
      </c>
      <c r="BN1020" s="25">
        <f>ROUND(SUM(Inventory[[#This Row],[Mdl Qlty]:[Mdl WdDeck]])+Inventory[[#This Row],[Mdl Res Intercept]]*Inventory[[#This Row],[Res Adj ]],-2)</f>
        <v>309800</v>
      </c>
      <c r="BO1020" s="25">
        <f>ROUND(Inventory[[#This Row],[25Det]]*Inventory[[#This Row],[Det/Nbhd Adj]],-2)</f>
        <v>7700</v>
      </c>
      <c r="BP1020" s="25">
        <f>Inventory[[#This Row],[Adjusted Res]]+Inventory[[#This Row],[Adj Det ]]</f>
        <v>317500</v>
      </c>
      <c r="BQ1020" s="25">
        <f>ROUND((Inventory[[#This Row],[Mdl Land Intercept]]+Inventory[[#This Row],[Mdl LnAcres]])*Inventory[[#This Row],[Det/Nbhd Adj]],-2)</f>
        <v>39800</v>
      </c>
      <c r="BR1020" s="25">
        <f>Inventory[[#This Row],[Adjusted Impr Total]]+Inventory[[#This Row],[Adjusted Land Total]]</f>
        <v>357300</v>
      </c>
      <c r="BS1020" s="36">
        <f>IFERROR((Inventory[[#This Row],[Adjusted Impr Total]]-Inventory[[#This Row],[24Bldg]])/Inventory[[#This Row],[24Bldg]],0)</f>
        <v>8.9193825042881647E-2</v>
      </c>
      <c r="BT1020" s="36">
        <f>(Inventory[[#This Row],[Adjusted Land Total]]-Inventory[[#This Row],[24Lnd]])/Inventory[[#This Row],[24Lnd]]</f>
        <v>-0.35494327390599678</v>
      </c>
      <c r="BU1020" s="36">
        <f>(Inventory[[#This Row],[Adjusted Total]]-Inventory[[#This Row],[24Final]])/Inventory[[#This Row],[24Final]]</f>
        <v>1.160815402038505E-2</v>
      </c>
    </row>
    <row r="1021" spans="1:73" x14ac:dyDescent="0.3">
      <c r="A1021" s="25">
        <v>2025</v>
      </c>
      <c r="B1021" s="26" t="s">
        <v>1805</v>
      </c>
      <c r="C1021" s="26">
        <f>LN(Inventory[[#This Row],[Acres]])</f>
        <v>-1.8325814637483102</v>
      </c>
      <c r="D1021" s="25">
        <v>0.16</v>
      </c>
      <c r="E1021" s="32">
        <v>6792</v>
      </c>
      <c r="F1021" s="26" t="s">
        <v>537</v>
      </c>
      <c r="G1021" s="26" t="s">
        <v>126</v>
      </c>
      <c r="H1021" s="26" t="s">
        <v>349</v>
      </c>
      <c r="I1021" s="26" t="s">
        <v>538</v>
      </c>
      <c r="J1021" s="26" t="s">
        <v>539</v>
      </c>
      <c r="K1021" s="26" t="s">
        <v>242</v>
      </c>
      <c r="L1021" s="26" t="s">
        <v>205</v>
      </c>
      <c r="M1021" s="26" t="s">
        <v>323</v>
      </c>
      <c r="N1021" s="26">
        <v>80</v>
      </c>
      <c r="O1021" s="26">
        <f>2024-Inventory[[#This Row],[YrBlt]]</f>
        <v>77</v>
      </c>
      <c r="P1021" s="26">
        <f>2024-Inventory[[#This Row],[EffYr]]</f>
        <v>51</v>
      </c>
      <c r="Q1021" s="25">
        <v>1947</v>
      </c>
      <c r="R1021" s="25">
        <v>1973</v>
      </c>
      <c r="S1021" s="25">
        <v>884</v>
      </c>
      <c r="T1021" s="27"/>
      <c r="U1021" s="25">
        <v>884</v>
      </c>
      <c r="V1021" s="25">
        <f>Inventory[[#This Row],[Bsmt]]-Inventory[[#This Row],[FnBsmt]]</f>
        <v>0</v>
      </c>
      <c r="W1021" s="25">
        <v>884</v>
      </c>
      <c r="X1021" s="27"/>
      <c r="Y1021" s="27">
        <f>Inventory[[#This Row],[MainFn]]+Inventory[[#This Row],[UpprFn]]+Inventory[[#This Row],[FnBsmt]]+Inventory[[#This Row],[AddFn]]</f>
        <v>1768</v>
      </c>
      <c r="Z1021" s="27">
        <v>2000</v>
      </c>
      <c r="AA1021" s="25">
        <v>9</v>
      </c>
      <c r="AB1021" s="27"/>
      <c r="AC1021" s="27"/>
      <c r="AD1021" s="27"/>
      <c r="AE1021" s="27"/>
      <c r="AF1021" s="27"/>
      <c r="AG1021" s="27"/>
      <c r="AH1021" s="27"/>
      <c r="AI1021" s="25">
        <v>216699</v>
      </c>
      <c r="AJ1021" s="25">
        <v>149522</v>
      </c>
      <c r="AK1021" s="25">
        <v>9708</v>
      </c>
      <c r="AL1021" s="25">
        <v>294500</v>
      </c>
      <c r="AM1021" s="25">
        <v>50600</v>
      </c>
      <c r="AN1021" s="25">
        <v>243900</v>
      </c>
      <c r="AO1021" s="25">
        <v>0</v>
      </c>
      <c r="AP1021" s="25">
        <f>Lookups!$B$56*0</f>
        <v>0</v>
      </c>
      <c r="AQ1021" s="25">
        <f>Lookups!$B$56*1</f>
        <v>89850.625589999996</v>
      </c>
      <c r="AR1021" s="25">
        <f>Lookups!$B$57*Inventory[[#This Row],[LnAcres]]</f>
        <v>-58009.662049032086</v>
      </c>
      <c r="AS1021" s="25">
        <f>VLOOKUP(Inventory[[#This Row],[Qlty]],Lookups!$A$62:$E$75,2,FALSE)</f>
        <v>0</v>
      </c>
      <c r="AT1021" s="25">
        <f>VLOOKUP(Inventory[[#This Row],[Cnd]],Lookups!$A$76:$E$84,2,FALSE)</f>
        <v>160472.20319</v>
      </c>
      <c r="AU1021" s="25">
        <f>Inventory[[#This Row],[EffAge]]*Lookups!$B$85</f>
        <v>-11375.3256255</v>
      </c>
      <c r="AV1021" s="25">
        <f>Inventory[[#This Row],[MainFn]]*Lookups!$B$86</f>
        <v>43677.264171267998</v>
      </c>
      <c r="AW1021" s="25">
        <f>Inventory[[#This Row],[UpprFn]]*Lookups!$B$87</f>
        <v>0</v>
      </c>
      <c r="AX1021" s="25">
        <f>Inventory[[#This Row],[AddFn]]*Lookups!$B$88</f>
        <v>0</v>
      </c>
      <c r="AY1021" s="25">
        <f>Inventory[[#This Row],[Bsmt]]*Lookups!$B$89</f>
        <v>25708.395398347999</v>
      </c>
      <c r="AZ1021" s="25">
        <f>Inventory[[#This Row],[Fixtures]]*Lookups!$B$90</f>
        <v>34128.198946800003</v>
      </c>
      <c r="BA1021" s="25">
        <f>Inventory[[#This Row],[WdDeck]]*Lookups!$B$91</f>
        <v>0</v>
      </c>
      <c r="BB1021" s="25">
        <f>ROUND(Inventory[[#This Row],[25Det]],-2)</f>
        <v>9700</v>
      </c>
      <c r="BC1021" s="25">
        <f>ROUND(SUM(Inventory[[#This Row],[Mdl Qlty]:[Mdl WdDeck]])+Inventory[[#This Row],[Mdl Res Intercept]],-2)</f>
        <v>252600</v>
      </c>
      <c r="BD1021" s="25">
        <f>ROUND(Inventory[[#This Row],[Mdl Land Intercept]]+Inventory[[#This Row],[Mdl LnAcres]],-2)</f>
        <v>31800</v>
      </c>
      <c r="BE1021" s="25">
        <f>Inventory[[#This Row],[Unadj Res Value]]+Inventory[[#This Row],[Unadj Det Value]]+Inventory[[#This Row],[Unadj Land Value]]</f>
        <v>294100</v>
      </c>
      <c r="BF1021" s="36">
        <f>(Inventory[[#This Row],[Unadj Total Value]]-Inventory[[#This Row],[24Final]])/Inventory[[#This Row],[24Final]]</f>
        <v>-1.3582342954159593E-3</v>
      </c>
      <c r="BG1021" s="25">
        <f>VLOOKUP(Inventory[[#This Row],[Nbhd]],Lookups!$Q$2:$T$4,4,FALSE)</f>
        <v>0.99970000000000003</v>
      </c>
      <c r="BH1021" s="25">
        <f>VLOOKUP(Inventory[[#This Row],[Qlty]],Lookups!$O$7:$R$21,4,FALSE)</f>
        <v>0.99180000000000001</v>
      </c>
      <c r="BI1021" s="25">
        <f>VLOOKUP(Inventory[[#This Row],[Cnd]],Lookups!$T$7:$W$16,4,FALSE)</f>
        <v>0.99729999999999996</v>
      </c>
      <c r="BJ1021" s="25">
        <f>VLOOKUP(Inventory[[#This Row],[LivArea Range]],Lookups!$T$25:$W$37,4,FALSE)</f>
        <v>1.0093000000000001</v>
      </c>
      <c r="BK1021" s="25">
        <f>VLOOKUP(Inventory[[#This Row],[Decade]],Lookups!$O$25:$R$42,4,FALSE)</f>
        <v>0.995</v>
      </c>
      <c r="BL1021" s="25">
        <f>Inventory[[#This Row],[Nbhd Adj]]*0.95</f>
        <v>0.94971499999999998</v>
      </c>
      <c r="BM1021" s="25">
        <f>Inventory[[#This Row],[Nbhd Adj]]*Inventory[[#This Row],[Quality Adj]]*Inventory[[#This Row],[Condition Adj]]*Inventory[[#This Row],[Living Area Adj]]*Inventory[[#This Row],[Decade Adj]]*0.95</f>
        <v>0.94337980360062423</v>
      </c>
      <c r="BN1021" s="25">
        <f>ROUND(SUM(Inventory[[#This Row],[Mdl Qlty]:[Mdl WdDeck]])+Inventory[[#This Row],[Mdl Res Intercept]]*Inventory[[#This Row],[Res Adj ]],-2)</f>
        <v>252600</v>
      </c>
      <c r="BO1021" s="25">
        <f>ROUND(Inventory[[#This Row],[25Det]]*Inventory[[#This Row],[Det/Nbhd Adj]],-2)</f>
        <v>9200</v>
      </c>
      <c r="BP1021" s="25">
        <f>Inventory[[#This Row],[Adjusted Res]]+Inventory[[#This Row],[Adj Det ]]</f>
        <v>261800</v>
      </c>
      <c r="BQ1021" s="25">
        <f>ROUND((Inventory[[#This Row],[Mdl Land Intercept]]+Inventory[[#This Row],[Mdl LnAcres]])*Inventory[[#This Row],[Det/Nbhd Adj]],-2)</f>
        <v>30200</v>
      </c>
      <c r="BR1021" s="25">
        <f>Inventory[[#This Row],[Adjusted Impr Total]]+Inventory[[#This Row],[Adjusted Land Total]]</f>
        <v>292000</v>
      </c>
      <c r="BS1021" s="36">
        <f>IFERROR((Inventory[[#This Row],[Adjusted Impr Total]]-Inventory[[#This Row],[24Bldg]])/Inventory[[#This Row],[24Bldg]],0)</f>
        <v>7.3390733907339079E-2</v>
      </c>
      <c r="BT1021" s="36">
        <f>(Inventory[[#This Row],[Adjusted Land Total]]-Inventory[[#This Row],[24Lnd]])/Inventory[[#This Row],[24Lnd]]</f>
        <v>-0.40316205533596838</v>
      </c>
      <c r="BU1021" s="36">
        <f>(Inventory[[#This Row],[Adjusted Total]]-Inventory[[#This Row],[24Final]])/Inventory[[#This Row],[24Final]]</f>
        <v>-8.4889643463497456E-3</v>
      </c>
    </row>
    <row r="1022" spans="1:73" x14ac:dyDescent="0.3">
      <c r="A1022" s="25">
        <v>2025</v>
      </c>
      <c r="B1022" s="26" t="s">
        <v>1298</v>
      </c>
      <c r="C1022" s="26">
        <f>LN(Inventory[[#This Row],[Acres]])</f>
        <v>-1.0498221244986778</v>
      </c>
      <c r="D1022" s="25">
        <v>0.35</v>
      </c>
      <c r="E1022" s="25">
        <v>15130</v>
      </c>
      <c r="F1022" s="26" t="s">
        <v>537</v>
      </c>
      <c r="G1022" s="26" t="s">
        <v>126</v>
      </c>
      <c r="H1022" s="26" t="s">
        <v>349</v>
      </c>
      <c r="I1022" s="26" t="s">
        <v>538</v>
      </c>
      <c r="J1022" s="26" t="s">
        <v>539</v>
      </c>
      <c r="K1022" s="26" t="s">
        <v>241</v>
      </c>
      <c r="L1022" s="26" t="s">
        <v>95</v>
      </c>
      <c r="M1022" s="26" t="s">
        <v>303</v>
      </c>
      <c r="N1022" s="26">
        <v>80</v>
      </c>
      <c r="O1022" s="26">
        <f>2024-Inventory[[#This Row],[YrBlt]]</f>
        <v>77</v>
      </c>
      <c r="P1022" s="26">
        <f>2024-Inventory[[#This Row],[EffYr]]</f>
        <v>51</v>
      </c>
      <c r="Q1022" s="25">
        <v>1947</v>
      </c>
      <c r="R1022" s="25">
        <v>1973</v>
      </c>
      <c r="S1022" s="25">
        <v>1870</v>
      </c>
      <c r="T1022" s="27"/>
      <c r="U1022" s="32">
        <v>607</v>
      </c>
      <c r="V1022" s="32">
        <f>Inventory[[#This Row],[Bsmt]]-Inventory[[#This Row],[FnBsmt]]</f>
        <v>320</v>
      </c>
      <c r="W1022" s="32">
        <v>287</v>
      </c>
      <c r="X1022" s="27"/>
      <c r="Y1022" s="27">
        <f>Inventory[[#This Row],[MainFn]]+Inventory[[#This Row],[UpprFn]]+Inventory[[#This Row],[FnBsmt]]+Inventory[[#This Row],[AddFn]]</f>
        <v>2157</v>
      </c>
      <c r="Z1022" s="27">
        <v>2500</v>
      </c>
      <c r="AA1022" s="25">
        <v>11</v>
      </c>
      <c r="AB1022" s="27"/>
      <c r="AC1022" s="32">
        <v>440</v>
      </c>
      <c r="AD1022" s="27"/>
      <c r="AE1022" s="27"/>
      <c r="AF1022" s="27"/>
      <c r="AG1022" s="27"/>
      <c r="AH1022" s="27"/>
      <c r="AI1022" s="25">
        <v>532078</v>
      </c>
      <c r="AJ1022" s="25">
        <v>383096</v>
      </c>
      <c r="AK1022" s="25">
        <v>0</v>
      </c>
      <c r="AL1022" s="25">
        <v>470300</v>
      </c>
      <c r="AM1022" s="25">
        <v>77900</v>
      </c>
      <c r="AN1022" s="25">
        <v>392400</v>
      </c>
      <c r="AO1022" s="25">
        <v>0</v>
      </c>
      <c r="AP1022" s="25">
        <f>Lookups!$B$56*0</f>
        <v>0</v>
      </c>
      <c r="AQ1022" s="25">
        <f>Lookups!$B$56*1</f>
        <v>89850.625589999996</v>
      </c>
      <c r="AR1022" s="25">
        <f>Lookups!$B$57*Inventory[[#This Row],[LnAcres]]</f>
        <v>-33231.715947405908</v>
      </c>
      <c r="AS1022" s="25">
        <f>VLOOKUP(Inventory[[#This Row],[Qlty]],Lookups!$A$62:$E$75,2,FALSE)</f>
        <v>74268.409664999999</v>
      </c>
      <c r="AT1022" s="25">
        <f>VLOOKUP(Inventory[[#This Row],[Cnd]],Lookups!$A$76:$E$84,2,FALSE)</f>
        <v>197752.34721000001</v>
      </c>
      <c r="AU1022" s="25">
        <f>Inventory[[#This Row],[EffAge]]*Lookups!$B$85</f>
        <v>-11375.3256255</v>
      </c>
      <c r="AV1022" s="25">
        <f>Inventory[[#This Row],[MainFn]]*Lookups!$B$86</f>
        <v>92394.212669989996</v>
      </c>
      <c r="AW1022" s="25">
        <f>Inventory[[#This Row],[UpprFn]]*Lookups!$B$87</f>
        <v>0</v>
      </c>
      <c r="AX1022" s="25">
        <f>Inventory[[#This Row],[AddFn]]*Lookups!$B$88</f>
        <v>0</v>
      </c>
      <c r="AY1022" s="25">
        <f>Inventory[[#This Row],[Bsmt]]*Lookups!$B$89</f>
        <v>17652.710414928999</v>
      </c>
      <c r="AZ1022" s="25">
        <f>Inventory[[#This Row],[Fixtures]]*Lookups!$B$90</f>
        <v>41712.243157199999</v>
      </c>
      <c r="BA1022" s="25">
        <f>Inventory[[#This Row],[WdDeck]]*Lookups!$B$91</f>
        <v>0</v>
      </c>
      <c r="BB1022" s="25">
        <f>ROUND(Inventory[[#This Row],[25Det]],-2)</f>
        <v>0</v>
      </c>
      <c r="BC1022" s="25">
        <f>ROUND(SUM(Inventory[[#This Row],[Mdl Qlty]:[Mdl WdDeck]])+Inventory[[#This Row],[Mdl Res Intercept]],-2)</f>
        <v>412400</v>
      </c>
      <c r="BD1022" s="25">
        <f>ROUND(Inventory[[#This Row],[Mdl Land Intercept]]+Inventory[[#This Row],[Mdl LnAcres]],-2)</f>
        <v>56600</v>
      </c>
      <c r="BE1022" s="25">
        <f>Inventory[[#This Row],[Unadj Res Value]]+Inventory[[#This Row],[Unadj Det Value]]+Inventory[[#This Row],[Unadj Land Value]]</f>
        <v>469000</v>
      </c>
      <c r="BF1022" s="36">
        <f>(Inventory[[#This Row],[Unadj Total Value]]-Inventory[[#This Row],[24Final]])/Inventory[[#This Row],[24Final]]</f>
        <v>-2.7641930682543057E-3</v>
      </c>
      <c r="BG1022" s="25">
        <f>VLOOKUP(Inventory[[#This Row],[Nbhd]],Lookups!$Q$2:$T$4,4,FALSE)</f>
        <v>0.99970000000000003</v>
      </c>
      <c r="BH1022" s="25">
        <f>VLOOKUP(Inventory[[#This Row],[Qlty]],Lookups!$O$7:$R$21,4,FALSE)</f>
        <v>0.98380000000000001</v>
      </c>
      <c r="BI1022" s="25">
        <f>VLOOKUP(Inventory[[#This Row],[Cnd]],Lookups!$T$7:$W$16,4,FALSE)</f>
        <v>0.99650000000000005</v>
      </c>
      <c r="BJ1022" s="25">
        <f>VLOOKUP(Inventory[[#This Row],[LivArea Range]],Lookups!$T$25:$W$37,4,FALSE)</f>
        <v>0.98919999999999997</v>
      </c>
      <c r="BK1022" s="25">
        <f>VLOOKUP(Inventory[[#This Row],[Decade]],Lookups!$O$25:$R$42,4,FALSE)</f>
        <v>0.995</v>
      </c>
      <c r="BL1022" s="25">
        <f>Inventory[[#This Row],[Nbhd Adj]]*0.95</f>
        <v>0.94971499999999998</v>
      </c>
      <c r="BM1022" s="25">
        <f>Inventory[[#This Row],[Nbhd Adj]]*Inventory[[#This Row],[Quality Adj]]*Inventory[[#This Row],[Condition Adj]]*Inventory[[#This Row],[Living Area Adj]]*Inventory[[#This Row],[Decade Adj]]*0.95</f>
        <v>0.91639900103074046</v>
      </c>
      <c r="BN1022" s="25">
        <f>ROUND(SUM(Inventory[[#This Row],[Mdl Qlty]:[Mdl WdDeck]])+Inventory[[#This Row],[Mdl Res Intercept]]*Inventory[[#This Row],[Res Adj ]],-2)</f>
        <v>412400</v>
      </c>
      <c r="BO1022" s="25">
        <f>ROUND(Inventory[[#This Row],[25Det]]*Inventory[[#This Row],[Det/Nbhd Adj]],-2)</f>
        <v>0</v>
      </c>
      <c r="BP1022" s="25">
        <f>Inventory[[#This Row],[Adjusted Res]]+Inventory[[#This Row],[Adj Det ]]</f>
        <v>412400</v>
      </c>
      <c r="BQ1022" s="25">
        <f>ROUND((Inventory[[#This Row],[Mdl Land Intercept]]+Inventory[[#This Row],[Mdl LnAcres]])*Inventory[[#This Row],[Det/Nbhd Adj]],-2)</f>
        <v>53800</v>
      </c>
      <c r="BR1022" s="25">
        <f>Inventory[[#This Row],[Adjusted Impr Total]]+Inventory[[#This Row],[Adjusted Land Total]]</f>
        <v>466200</v>
      </c>
      <c r="BS1022" s="36">
        <f>IFERROR((Inventory[[#This Row],[Adjusted Impr Total]]-Inventory[[#This Row],[24Bldg]])/Inventory[[#This Row],[24Bldg]],0)</f>
        <v>5.09683995922528E-2</v>
      </c>
      <c r="BT1022" s="36">
        <f>(Inventory[[#This Row],[Adjusted Land Total]]-Inventory[[#This Row],[24Lnd]])/Inventory[[#This Row],[24Lnd]]</f>
        <v>-0.30937098844672656</v>
      </c>
      <c r="BU1022" s="36">
        <f>(Inventory[[#This Row],[Adjusted Total]]-Inventory[[#This Row],[24Final]])/Inventory[[#This Row],[24Final]]</f>
        <v>-8.7178396768020413E-3</v>
      </c>
    </row>
    <row r="1023" spans="1:73" x14ac:dyDescent="0.3">
      <c r="A1023" s="25">
        <v>2025</v>
      </c>
      <c r="B1023" s="26" t="s">
        <v>902</v>
      </c>
      <c r="C1023" s="26">
        <f>LN(Inventory[[#This Row],[Acres]])</f>
        <v>-1.8971199848858813</v>
      </c>
      <c r="D1023" s="25">
        <v>0.15</v>
      </c>
      <c r="E1023" s="32">
        <v>6506</v>
      </c>
      <c r="F1023" s="26" t="s">
        <v>537</v>
      </c>
      <c r="G1023" s="26" t="s">
        <v>126</v>
      </c>
      <c r="H1023" s="26" t="s">
        <v>349</v>
      </c>
      <c r="I1023" s="26" t="s">
        <v>538</v>
      </c>
      <c r="J1023" s="26" t="s">
        <v>539</v>
      </c>
      <c r="K1023" s="26" t="s">
        <v>242</v>
      </c>
      <c r="L1023" s="26" t="s">
        <v>31</v>
      </c>
      <c r="M1023" s="26" t="s">
        <v>303</v>
      </c>
      <c r="N1023" s="26">
        <v>80</v>
      </c>
      <c r="O1023" s="26">
        <f>2024-Inventory[[#This Row],[YrBlt]]</f>
        <v>77</v>
      </c>
      <c r="P1023" s="26">
        <f>2024-Inventory[[#This Row],[EffYr]]</f>
        <v>51</v>
      </c>
      <c r="Q1023" s="25">
        <v>1947</v>
      </c>
      <c r="R1023" s="25">
        <v>1973</v>
      </c>
      <c r="S1023" s="25">
        <v>888</v>
      </c>
      <c r="T1023" s="31"/>
      <c r="U1023" s="31"/>
      <c r="V1023" s="31">
        <f>Inventory[[#This Row],[Bsmt]]-Inventory[[#This Row],[FnBsmt]]</f>
        <v>0</v>
      </c>
      <c r="W1023" s="31"/>
      <c r="X1023" s="27"/>
      <c r="Y1023" s="27">
        <f>Inventory[[#This Row],[MainFn]]+Inventory[[#This Row],[UpprFn]]+Inventory[[#This Row],[FnBsmt]]+Inventory[[#This Row],[AddFn]]</f>
        <v>888</v>
      </c>
      <c r="Z1023" s="27">
        <v>1000</v>
      </c>
      <c r="AA1023" s="25">
        <v>5</v>
      </c>
      <c r="AB1023" s="31"/>
      <c r="AC1023" s="27"/>
      <c r="AD1023" s="31"/>
      <c r="AE1023" s="27"/>
      <c r="AF1023" s="27"/>
      <c r="AG1023" s="27"/>
      <c r="AH1023" s="27"/>
      <c r="AI1023" s="25">
        <v>133858</v>
      </c>
      <c r="AJ1023" s="25">
        <v>95039</v>
      </c>
      <c r="AK1023" s="25">
        <v>10689</v>
      </c>
      <c r="AL1023" s="25">
        <v>257700</v>
      </c>
      <c r="AM1023" s="25">
        <v>48400</v>
      </c>
      <c r="AN1023" s="25">
        <v>209300</v>
      </c>
      <c r="AO1023" s="25">
        <v>0</v>
      </c>
      <c r="AP1023" s="25">
        <f>Lookups!$B$56*0</f>
        <v>0</v>
      </c>
      <c r="AQ1023" s="25">
        <f>Lookups!$B$56*1</f>
        <v>89850.625589999996</v>
      </c>
      <c r="AR1023" s="25">
        <f>Lookups!$B$57*Inventory[[#This Row],[LnAcres]]</f>
        <v>-60052.604136134301</v>
      </c>
      <c r="AS1023" s="25">
        <f>VLOOKUP(Inventory[[#This Row],[Qlty]],Lookups!$A$62:$E$75,2,FALSE)</f>
        <v>-43578.886190266698</v>
      </c>
      <c r="AT1023" s="25">
        <f>VLOOKUP(Inventory[[#This Row],[Cnd]],Lookups!$A$76:$E$84,2,FALSE)</f>
        <v>197752.34721000001</v>
      </c>
      <c r="AU1023" s="25">
        <f>Inventory[[#This Row],[EffAge]]*Lookups!$B$85</f>
        <v>-11375.3256255</v>
      </c>
      <c r="AV1023" s="25">
        <f>Inventory[[#This Row],[MainFn]]*Lookups!$B$86</f>
        <v>43874.898850776</v>
      </c>
      <c r="AW1023" s="25">
        <f>Inventory[[#This Row],[UpprFn]]*Lookups!$B$87</f>
        <v>0</v>
      </c>
      <c r="AX1023" s="25">
        <f>Inventory[[#This Row],[AddFn]]*Lookups!$B$88</f>
        <v>0</v>
      </c>
      <c r="AY1023" s="25">
        <f>Inventory[[#This Row],[Bsmt]]*Lookups!$B$89</f>
        <v>0</v>
      </c>
      <c r="AZ1023" s="25">
        <f>Inventory[[#This Row],[Fixtures]]*Lookups!$B$90</f>
        <v>18960.110526</v>
      </c>
      <c r="BA1023" s="25">
        <f>Inventory[[#This Row],[WdDeck]]*Lookups!$B$91</f>
        <v>0</v>
      </c>
      <c r="BB1023" s="25">
        <f>ROUND(Inventory[[#This Row],[25Det]],-2)</f>
        <v>10700</v>
      </c>
      <c r="BC1023" s="25">
        <f>ROUND(SUM(Inventory[[#This Row],[Mdl Qlty]:[Mdl WdDeck]])+Inventory[[#This Row],[Mdl Res Intercept]],-2)</f>
        <v>205600</v>
      </c>
      <c r="BD1023" s="25">
        <f>ROUND(Inventory[[#This Row],[Mdl Land Intercept]]+Inventory[[#This Row],[Mdl LnAcres]],-2)</f>
        <v>29800</v>
      </c>
      <c r="BE1023" s="25">
        <f>Inventory[[#This Row],[Unadj Res Value]]+Inventory[[#This Row],[Unadj Det Value]]+Inventory[[#This Row],[Unadj Land Value]]</f>
        <v>246100</v>
      </c>
      <c r="BF1023" s="36">
        <f>(Inventory[[#This Row],[Unadj Total Value]]-Inventory[[#This Row],[24Final]])/Inventory[[#This Row],[24Final]]</f>
        <v>-4.5013581684128834E-2</v>
      </c>
      <c r="BG1023" s="25">
        <f>VLOOKUP(Inventory[[#This Row],[Nbhd]],Lookups!$Q$2:$T$4,4,FALSE)</f>
        <v>0.99970000000000003</v>
      </c>
      <c r="BH1023" s="25">
        <f>VLOOKUP(Inventory[[#This Row],[Qlty]],Lookups!$O$7:$R$21,4,FALSE)</f>
        <v>1</v>
      </c>
      <c r="BI1023" s="25">
        <f>VLOOKUP(Inventory[[#This Row],[Cnd]],Lookups!$T$7:$W$16,4,FALSE)</f>
        <v>0.99650000000000005</v>
      </c>
      <c r="BJ1023" s="25">
        <f>VLOOKUP(Inventory[[#This Row],[LivArea Range]],Lookups!$T$25:$W$37,4,FALSE)</f>
        <v>1.0148999999999999</v>
      </c>
      <c r="BK1023" s="25">
        <f>VLOOKUP(Inventory[[#This Row],[Decade]],Lookups!$O$25:$R$42,4,FALSE)</f>
        <v>0.995</v>
      </c>
      <c r="BL1023" s="25">
        <f>Inventory[[#This Row],[Nbhd Adj]]*0.95</f>
        <v>0.94971499999999998</v>
      </c>
      <c r="BM1023" s="25">
        <f>Inventory[[#This Row],[Nbhd Adj]]*Inventory[[#This Row],[Quality Adj]]*Inventory[[#This Row],[Condition Adj]]*Inventory[[#This Row],[Living Area Adj]]*Inventory[[#This Row],[Decade Adj]]*0.95</f>
        <v>0.95568976224593605</v>
      </c>
      <c r="BN1023" s="25">
        <f>ROUND(SUM(Inventory[[#This Row],[Mdl Qlty]:[Mdl WdDeck]])+Inventory[[#This Row],[Mdl Res Intercept]]*Inventory[[#This Row],[Res Adj ]],-2)</f>
        <v>205600</v>
      </c>
      <c r="BO1023" s="25">
        <f>ROUND(Inventory[[#This Row],[25Det]]*Inventory[[#This Row],[Det/Nbhd Adj]],-2)</f>
        <v>10200</v>
      </c>
      <c r="BP1023" s="25">
        <f>Inventory[[#This Row],[Adjusted Res]]+Inventory[[#This Row],[Adj Det ]]</f>
        <v>215800</v>
      </c>
      <c r="BQ1023" s="25">
        <f>ROUND((Inventory[[#This Row],[Mdl Land Intercept]]+Inventory[[#This Row],[Mdl LnAcres]])*Inventory[[#This Row],[Det/Nbhd Adj]],-2)</f>
        <v>28300</v>
      </c>
      <c r="BR1023" s="25">
        <f>Inventory[[#This Row],[Adjusted Impr Total]]+Inventory[[#This Row],[Adjusted Land Total]]</f>
        <v>244100</v>
      </c>
      <c r="BS1023" s="36">
        <f>IFERROR((Inventory[[#This Row],[Adjusted Impr Total]]-Inventory[[#This Row],[24Bldg]])/Inventory[[#This Row],[24Bldg]],0)</f>
        <v>3.1055900621118012E-2</v>
      </c>
      <c r="BT1023" s="36">
        <f>(Inventory[[#This Row],[Adjusted Land Total]]-Inventory[[#This Row],[24Lnd]])/Inventory[[#This Row],[24Lnd]]</f>
        <v>-0.41528925619834711</v>
      </c>
      <c r="BU1023" s="36">
        <f>(Inventory[[#This Row],[Adjusted Total]]-Inventory[[#This Row],[24Final]])/Inventory[[#This Row],[24Final]]</f>
        <v>-5.2774544043461387E-2</v>
      </c>
    </row>
    <row r="1024" spans="1:73" x14ac:dyDescent="0.3">
      <c r="A1024" s="25">
        <v>2025</v>
      </c>
      <c r="B1024" s="26" t="s">
        <v>926</v>
      </c>
      <c r="C1024" s="26">
        <f>LN(Inventory[[#This Row],[Acres]])</f>
        <v>-1.4696759700589417</v>
      </c>
      <c r="D1024" s="25">
        <v>0.23</v>
      </c>
      <c r="E1024" s="32">
        <v>10168</v>
      </c>
      <c r="F1024" s="26" t="s">
        <v>537</v>
      </c>
      <c r="G1024" s="26" t="s">
        <v>126</v>
      </c>
      <c r="H1024" s="26" t="s">
        <v>349</v>
      </c>
      <c r="I1024" s="26" t="s">
        <v>538</v>
      </c>
      <c r="J1024" s="26" t="s">
        <v>539</v>
      </c>
      <c r="K1024" s="26" t="s">
        <v>242</v>
      </c>
      <c r="L1024" s="26" t="s">
        <v>351</v>
      </c>
      <c r="M1024" s="26" t="s">
        <v>352</v>
      </c>
      <c r="N1024" s="26">
        <v>80</v>
      </c>
      <c r="O1024" s="26">
        <f>2024-Inventory[[#This Row],[YrBlt]]</f>
        <v>78</v>
      </c>
      <c r="P1024" s="26">
        <f>2024-Inventory[[#This Row],[EffYr]]</f>
        <v>52</v>
      </c>
      <c r="Q1024" s="25">
        <v>1946</v>
      </c>
      <c r="R1024" s="25">
        <v>1972</v>
      </c>
      <c r="S1024" s="25">
        <v>1072</v>
      </c>
      <c r="T1024" s="27"/>
      <c r="U1024" s="25">
        <v>397</v>
      </c>
      <c r="V1024" s="25">
        <f>Inventory[[#This Row],[Bsmt]]-Inventory[[#This Row],[FnBsmt]]</f>
        <v>397</v>
      </c>
      <c r="W1024" s="25">
        <v>0</v>
      </c>
      <c r="X1024" s="27"/>
      <c r="Y1024" s="27">
        <f>Inventory[[#This Row],[MainFn]]+Inventory[[#This Row],[UpprFn]]+Inventory[[#This Row],[FnBsmt]]+Inventory[[#This Row],[AddFn]]</f>
        <v>1072</v>
      </c>
      <c r="Z1024" s="27">
        <v>1500</v>
      </c>
      <c r="AA1024" s="25">
        <v>5</v>
      </c>
      <c r="AB1024" s="32">
        <v>220</v>
      </c>
      <c r="AC1024" s="27"/>
      <c r="AD1024" s="32">
        <v>176</v>
      </c>
      <c r="AE1024" s="27"/>
      <c r="AF1024" s="27"/>
      <c r="AG1024" s="27"/>
      <c r="AH1024" s="27"/>
      <c r="AI1024" s="25">
        <v>215826</v>
      </c>
      <c r="AJ1024" s="25">
        <v>153236</v>
      </c>
      <c r="AK1024" s="25">
        <v>0</v>
      </c>
      <c r="AL1024" s="25">
        <v>336000</v>
      </c>
      <c r="AM1024" s="25">
        <v>63300</v>
      </c>
      <c r="AN1024" s="25">
        <v>272700</v>
      </c>
      <c r="AO1024" s="25">
        <v>0</v>
      </c>
      <c r="AP1024" s="25">
        <f>Lookups!$B$56*0</f>
        <v>0</v>
      </c>
      <c r="AQ1024" s="25">
        <f>Lookups!$B$56*1</f>
        <v>89850.625589999996</v>
      </c>
      <c r="AR1024" s="25">
        <f>Lookups!$B$57*Inventory[[#This Row],[LnAcres]]</f>
        <v>-46522.028095997222</v>
      </c>
      <c r="AS1024" s="25">
        <f>VLOOKUP(Inventory[[#This Row],[Qlty]],Lookups!$A$62:$E$75,2,FALSE)</f>
        <v>21557.329055999999</v>
      </c>
      <c r="AT1024" s="25">
        <f>VLOOKUP(Inventory[[#This Row],[Cnd]],Lookups!$A$76:$E$84,2,FALSE)</f>
        <v>284810.60806</v>
      </c>
      <c r="AU1024" s="25">
        <f>Inventory[[#This Row],[EffAge]]*Lookups!$B$85</f>
        <v>-11598.371226000001</v>
      </c>
      <c r="AV1024" s="25">
        <f>Inventory[[#This Row],[MainFn]]*Lookups!$B$86</f>
        <v>52966.094108144003</v>
      </c>
      <c r="AW1024" s="25">
        <f>Inventory[[#This Row],[UpprFn]]*Lookups!$B$87</f>
        <v>0</v>
      </c>
      <c r="AX1024" s="25">
        <f>Inventory[[#This Row],[AddFn]]*Lookups!$B$88</f>
        <v>0</v>
      </c>
      <c r="AY1024" s="25">
        <f>Inventory[[#This Row],[Bsmt]]*Lookups!$B$89</f>
        <v>11545.512413058999</v>
      </c>
      <c r="AZ1024" s="25">
        <f>Inventory[[#This Row],[Fixtures]]*Lookups!$B$90</f>
        <v>18960.110526</v>
      </c>
      <c r="BA1024" s="25">
        <f>Inventory[[#This Row],[WdDeck]]*Lookups!$B$91</f>
        <v>5860.0106885760006</v>
      </c>
      <c r="BB1024" s="25">
        <f>ROUND(Inventory[[#This Row],[25Det]],-2)</f>
        <v>0</v>
      </c>
      <c r="BC1024" s="25">
        <f>ROUND(SUM(Inventory[[#This Row],[Mdl Qlty]:[Mdl WdDeck]])+Inventory[[#This Row],[Mdl Res Intercept]],-2)</f>
        <v>384100</v>
      </c>
      <c r="BD1024" s="25">
        <f>ROUND(Inventory[[#This Row],[Mdl Land Intercept]]+Inventory[[#This Row],[Mdl LnAcres]],-2)</f>
        <v>43300</v>
      </c>
      <c r="BE1024" s="25">
        <f>Inventory[[#This Row],[Unadj Res Value]]+Inventory[[#This Row],[Unadj Det Value]]+Inventory[[#This Row],[Unadj Land Value]]</f>
        <v>427400</v>
      </c>
      <c r="BF1024" s="36">
        <f>(Inventory[[#This Row],[Unadj Total Value]]-Inventory[[#This Row],[24Final]])/Inventory[[#This Row],[24Final]]</f>
        <v>0.2720238095238095</v>
      </c>
      <c r="BG1024" s="25">
        <f>VLOOKUP(Inventory[[#This Row],[Nbhd]],Lookups!$Q$2:$T$4,4,FALSE)</f>
        <v>0.99970000000000003</v>
      </c>
      <c r="BH1024" s="25">
        <f>VLOOKUP(Inventory[[#This Row],[Qlty]],Lookups!$O$7:$R$21,4,FALSE)</f>
        <v>1.0067999999999999</v>
      </c>
      <c r="BI1024" s="25">
        <f>VLOOKUP(Inventory[[#This Row],[Cnd]],Lookups!$T$7:$W$16,4,FALSE)</f>
        <v>1.0158</v>
      </c>
      <c r="BJ1024" s="25">
        <f>VLOOKUP(Inventory[[#This Row],[LivArea Range]],Lookups!$T$25:$W$37,4,FALSE)</f>
        <v>1.0157</v>
      </c>
      <c r="BK1024" s="25">
        <f>VLOOKUP(Inventory[[#This Row],[Decade]],Lookups!$O$25:$R$42,4,FALSE)</f>
        <v>0.995</v>
      </c>
      <c r="BL1024" s="25">
        <f>Inventory[[#This Row],[Nbhd Adj]]*0.95</f>
        <v>0.94971499999999998</v>
      </c>
      <c r="BM1024" s="25">
        <f>Inventory[[#This Row],[Nbhd Adj]]*Inventory[[#This Row],[Quality Adj]]*Inventory[[#This Row],[Condition Adj]]*Inventory[[#This Row],[Living Area Adj]]*Inventory[[#This Row],[Decade Adj]]*0.95</f>
        <v>0.98159705323404611</v>
      </c>
      <c r="BN1024" s="25">
        <f>ROUND(SUM(Inventory[[#This Row],[Mdl Qlty]:[Mdl WdDeck]])+Inventory[[#This Row],[Mdl Res Intercept]]*Inventory[[#This Row],[Res Adj ]],-2)</f>
        <v>384100</v>
      </c>
      <c r="BO1024" s="25">
        <f>ROUND(Inventory[[#This Row],[25Det]]*Inventory[[#This Row],[Det/Nbhd Adj]],-2)</f>
        <v>0</v>
      </c>
      <c r="BP1024" s="25">
        <f>Inventory[[#This Row],[Adjusted Res]]+Inventory[[#This Row],[Adj Det ]]</f>
        <v>384100</v>
      </c>
      <c r="BQ1024" s="25">
        <f>ROUND((Inventory[[#This Row],[Mdl Land Intercept]]+Inventory[[#This Row],[Mdl LnAcres]])*Inventory[[#This Row],[Det/Nbhd Adj]],-2)</f>
        <v>41100</v>
      </c>
      <c r="BR1024" s="25">
        <f>Inventory[[#This Row],[Adjusted Impr Total]]+Inventory[[#This Row],[Adjusted Land Total]]</f>
        <v>425200</v>
      </c>
      <c r="BS1024" s="36">
        <f>IFERROR((Inventory[[#This Row],[Adjusted Impr Total]]-Inventory[[#This Row],[24Bldg]])/Inventory[[#This Row],[24Bldg]],0)</f>
        <v>0.40850751741840852</v>
      </c>
      <c r="BT1024" s="36">
        <f>(Inventory[[#This Row],[Adjusted Land Total]]-Inventory[[#This Row],[24Lnd]])/Inventory[[#This Row],[24Lnd]]</f>
        <v>-0.35071090047393366</v>
      </c>
      <c r="BU1024" s="36">
        <f>(Inventory[[#This Row],[Adjusted Total]]-Inventory[[#This Row],[24Final]])/Inventory[[#This Row],[24Final]]</f>
        <v>0.26547619047619048</v>
      </c>
    </row>
    <row r="1025" spans="1:73" x14ac:dyDescent="0.3">
      <c r="A1025" s="25">
        <v>2025</v>
      </c>
      <c r="B1025" s="26" t="s">
        <v>2774</v>
      </c>
      <c r="C1025" s="26">
        <f>LN(Inventory[[#This Row],[Acres]])</f>
        <v>-1.2378743560016174</v>
      </c>
      <c r="D1025" s="25">
        <v>0.28999999999999998</v>
      </c>
      <c r="E1025" s="32">
        <v>12495</v>
      </c>
      <c r="F1025" s="26" t="s">
        <v>537</v>
      </c>
      <c r="G1025" s="26" t="s">
        <v>126</v>
      </c>
      <c r="H1025" s="26" t="s">
        <v>349</v>
      </c>
      <c r="I1025" s="26" t="s">
        <v>538</v>
      </c>
      <c r="J1025" s="26" t="s">
        <v>539</v>
      </c>
      <c r="K1025" s="26" t="s">
        <v>147</v>
      </c>
      <c r="L1025" s="26" t="s">
        <v>351</v>
      </c>
      <c r="M1025" s="26" t="s">
        <v>303</v>
      </c>
      <c r="N1025" s="26">
        <v>80</v>
      </c>
      <c r="O1025" s="26">
        <f>2024-Inventory[[#This Row],[YrBlt]]</f>
        <v>78</v>
      </c>
      <c r="P1025" s="26">
        <f>2024-Inventory[[#This Row],[EffYr]]</f>
        <v>56</v>
      </c>
      <c r="Q1025" s="25">
        <v>1946</v>
      </c>
      <c r="R1025" s="25">
        <v>1968</v>
      </c>
      <c r="S1025" s="25">
        <v>1088</v>
      </c>
      <c r="T1025" s="32">
        <v>667</v>
      </c>
      <c r="U1025" s="25">
        <v>1088</v>
      </c>
      <c r="V1025" s="32">
        <f>Inventory[[#This Row],[Bsmt]]-Inventory[[#This Row],[FnBsmt]]</f>
        <v>762</v>
      </c>
      <c r="W1025" s="32">
        <v>326</v>
      </c>
      <c r="X1025" s="27"/>
      <c r="Y1025" s="27">
        <f>Inventory[[#This Row],[MainFn]]+Inventory[[#This Row],[UpprFn]]+Inventory[[#This Row],[FnBsmt]]+Inventory[[#This Row],[AddFn]]</f>
        <v>2081</v>
      </c>
      <c r="Z1025" s="27">
        <v>2500</v>
      </c>
      <c r="AA1025" s="25">
        <v>9</v>
      </c>
      <c r="AB1025" s="27"/>
      <c r="AC1025" s="27"/>
      <c r="AD1025" s="32">
        <v>406</v>
      </c>
      <c r="AE1025" s="27"/>
      <c r="AF1025" s="27"/>
      <c r="AG1025" s="27"/>
      <c r="AH1025" s="27"/>
      <c r="AI1025" s="25">
        <v>328024</v>
      </c>
      <c r="AJ1025" s="25">
        <v>216496</v>
      </c>
      <c r="AK1025" s="25">
        <v>10506</v>
      </c>
      <c r="AL1025" s="25">
        <v>382600</v>
      </c>
      <c r="AM1025" s="25">
        <v>71400</v>
      </c>
      <c r="AN1025" s="25">
        <v>311200</v>
      </c>
      <c r="AO1025" s="25">
        <v>0</v>
      </c>
      <c r="AP1025" s="25">
        <f>Lookups!$B$56*0</f>
        <v>0</v>
      </c>
      <c r="AQ1025" s="25">
        <f>Lookups!$B$56*1</f>
        <v>89850.625589999996</v>
      </c>
      <c r="AR1025" s="25">
        <f>Lookups!$B$57*Inventory[[#This Row],[LnAcres]]</f>
        <v>-39184.437074869042</v>
      </c>
      <c r="AS1025" s="25">
        <f>VLOOKUP(Inventory[[#This Row],[Qlty]],Lookups!$A$62:$E$75,2,FALSE)</f>
        <v>21557.329055999999</v>
      </c>
      <c r="AT1025" s="25">
        <f>VLOOKUP(Inventory[[#This Row],[Cnd]],Lookups!$A$76:$E$84,2,FALSE)</f>
        <v>197752.34721000001</v>
      </c>
      <c r="AU1025" s="25">
        <f>Inventory[[#This Row],[EffAge]]*Lookups!$B$85</f>
        <v>-12490.553628</v>
      </c>
      <c r="AV1025" s="25">
        <f>Inventory[[#This Row],[MainFn]]*Lookups!$B$86</f>
        <v>53756.632826175999</v>
      </c>
      <c r="AW1025" s="25">
        <f>Inventory[[#This Row],[UpprFn]]*Lookups!$B$87</f>
        <v>29872.544048287</v>
      </c>
      <c r="AX1025" s="25">
        <f>Inventory[[#This Row],[AddFn]]*Lookups!$B$88</f>
        <v>0</v>
      </c>
      <c r="AY1025" s="25">
        <f>Inventory[[#This Row],[Bsmt]]*Lookups!$B$89</f>
        <v>31641.102028735997</v>
      </c>
      <c r="AZ1025" s="25">
        <f>Inventory[[#This Row],[Fixtures]]*Lookups!$B$90</f>
        <v>34128.198946800003</v>
      </c>
      <c r="BA1025" s="25">
        <f>Inventory[[#This Row],[WdDeck]]*Lookups!$B$91</f>
        <v>13517.979202056002</v>
      </c>
      <c r="BB1025" s="25">
        <f>ROUND(Inventory[[#This Row],[25Det]],-2)</f>
        <v>10500</v>
      </c>
      <c r="BC1025" s="25">
        <f>ROUND(SUM(Inventory[[#This Row],[Mdl Qlty]:[Mdl WdDeck]])+Inventory[[#This Row],[Mdl Res Intercept]],-2)</f>
        <v>369700</v>
      </c>
      <c r="BD1025" s="25">
        <f>ROUND(Inventory[[#This Row],[Mdl Land Intercept]]+Inventory[[#This Row],[Mdl LnAcres]],-2)</f>
        <v>50700</v>
      </c>
      <c r="BE1025" s="25">
        <f>Inventory[[#This Row],[Unadj Res Value]]+Inventory[[#This Row],[Unadj Det Value]]+Inventory[[#This Row],[Unadj Land Value]]</f>
        <v>430900</v>
      </c>
      <c r="BF1025" s="36">
        <f>(Inventory[[#This Row],[Unadj Total Value]]-Inventory[[#This Row],[24Final]])/Inventory[[#This Row],[24Final]]</f>
        <v>0.12624150548876112</v>
      </c>
      <c r="BG1025" s="25">
        <f>VLOOKUP(Inventory[[#This Row],[Nbhd]],Lookups!$Q$2:$T$4,4,FALSE)</f>
        <v>0.99970000000000003</v>
      </c>
      <c r="BH1025" s="25">
        <f>VLOOKUP(Inventory[[#This Row],[Qlty]],Lookups!$O$7:$R$21,4,FALSE)</f>
        <v>1.0067999999999999</v>
      </c>
      <c r="BI1025" s="25">
        <f>VLOOKUP(Inventory[[#This Row],[Cnd]],Lookups!$T$7:$W$16,4,FALSE)</f>
        <v>0.99650000000000005</v>
      </c>
      <c r="BJ1025" s="25">
        <f>VLOOKUP(Inventory[[#This Row],[LivArea Range]],Lookups!$T$25:$W$37,4,FALSE)</f>
        <v>0.98919999999999997</v>
      </c>
      <c r="BK1025" s="25">
        <f>VLOOKUP(Inventory[[#This Row],[Decade]],Lookups!$O$25:$R$42,4,FALSE)</f>
        <v>0.995</v>
      </c>
      <c r="BL1025" s="25">
        <f>Inventory[[#This Row],[Nbhd Adj]]*0.95</f>
        <v>0.94971499999999998</v>
      </c>
      <c r="BM1025" s="25">
        <f>Inventory[[#This Row],[Nbhd Adj]]*Inventory[[#This Row],[Quality Adj]]*Inventory[[#This Row],[Condition Adj]]*Inventory[[#This Row],[Living Area Adj]]*Inventory[[#This Row],[Decade Adj]]*0.95</f>
        <v>0.93782325090236773</v>
      </c>
      <c r="BN1025" s="25">
        <f>ROUND(SUM(Inventory[[#This Row],[Mdl Qlty]:[Mdl WdDeck]])+Inventory[[#This Row],[Mdl Res Intercept]]*Inventory[[#This Row],[Res Adj ]],-2)</f>
        <v>369700</v>
      </c>
      <c r="BO1025" s="25">
        <f>ROUND(Inventory[[#This Row],[25Det]]*Inventory[[#This Row],[Det/Nbhd Adj]],-2)</f>
        <v>10000</v>
      </c>
      <c r="BP1025" s="25">
        <f>Inventory[[#This Row],[Adjusted Res]]+Inventory[[#This Row],[Adj Det ]]</f>
        <v>379700</v>
      </c>
      <c r="BQ1025" s="25">
        <f>ROUND((Inventory[[#This Row],[Mdl Land Intercept]]+Inventory[[#This Row],[Mdl LnAcres]])*Inventory[[#This Row],[Det/Nbhd Adj]],-2)</f>
        <v>48100</v>
      </c>
      <c r="BR1025" s="25">
        <f>Inventory[[#This Row],[Adjusted Impr Total]]+Inventory[[#This Row],[Adjusted Land Total]]</f>
        <v>427800</v>
      </c>
      <c r="BS1025" s="36">
        <f>IFERROR((Inventory[[#This Row],[Adjusted Impr Total]]-Inventory[[#This Row],[24Bldg]])/Inventory[[#This Row],[24Bldg]],0)</f>
        <v>0.22011568123393316</v>
      </c>
      <c r="BT1025" s="36">
        <f>(Inventory[[#This Row],[Adjusted Land Total]]-Inventory[[#This Row],[24Lnd]])/Inventory[[#This Row],[24Lnd]]</f>
        <v>-0.32633053221288516</v>
      </c>
      <c r="BU1025" s="36">
        <f>(Inventory[[#This Row],[Adjusted Total]]-Inventory[[#This Row],[24Final]])/Inventory[[#This Row],[24Final]]</f>
        <v>0.11813904861474124</v>
      </c>
    </row>
    <row r="1026" spans="1:73" x14ac:dyDescent="0.3">
      <c r="A1026" s="25">
        <v>2025</v>
      </c>
      <c r="B1026" s="26" t="s">
        <v>1195</v>
      </c>
      <c r="C1026" s="26">
        <f>LN(Inventory[[#This Row],[Acres]])</f>
        <v>-1.5141277326297755</v>
      </c>
      <c r="D1026" s="25">
        <v>0.22</v>
      </c>
      <c r="E1026" s="25">
        <v>9549</v>
      </c>
      <c r="F1026" s="26" t="s">
        <v>537</v>
      </c>
      <c r="G1026" s="26" t="s">
        <v>126</v>
      </c>
      <c r="H1026" s="26" t="s">
        <v>349</v>
      </c>
      <c r="I1026" s="26" t="s">
        <v>538</v>
      </c>
      <c r="J1026" s="26" t="s">
        <v>539</v>
      </c>
      <c r="K1026" s="26" t="s">
        <v>242</v>
      </c>
      <c r="L1026" s="26" t="s">
        <v>351</v>
      </c>
      <c r="M1026" s="26" t="s">
        <v>303</v>
      </c>
      <c r="N1026" s="26">
        <v>80</v>
      </c>
      <c r="O1026" s="26">
        <f>2024-Inventory[[#This Row],[YrBlt]]</f>
        <v>78</v>
      </c>
      <c r="P1026" s="26">
        <f>2024-Inventory[[#This Row],[EffYr]]</f>
        <v>52</v>
      </c>
      <c r="Q1026" s="25">
        <v>1946</v>
      </c>
      <c r="R1026" s="25">
        <v>1972</v>
      </c>
      <c r="S1026" s="25">
        <v>1234</v>
      </c>
      <c r="T1026" s="27"/>
      <c r="U1026" s="25">
        <v>1244</v>
      </c>
      <c r="V1026" s="25">
        <f>Inventory[[#This Row],[Bsmt]]-Inventory[[#This Row],[FnBsmt]]</f>
        <v>1244</v>
      </c>
      <c r="W1026" s="31"/>
      <c r="X1026" s="27"/>
      <c r="Y1026" s="27">
        <f>Inventory[[#This Row],[MainFn]]+Inventory[[#This Row],[UpprFn]]+Inventory[[#This Row],[FnBsmt]]+Inventory[[#This Row],[AddFn]]</f>
        <v>1234</v>
      </c>
      <c r="Z1026" s="27">
        <v>1500</v>
      </c>
      <c r="AA1026" s="25">
        <v>7</v>
      </c>
      <c r="AB1026" s="27"/>
      <c r="AC1026" s="27"/>
      <c r="AD1026" s="27"/>
      <c r="AE1026" s="27"/>
      <c r="AF1026" s="27"/>
      <c r="AG1026" s="27"/>
      <c r="AH1026" s="27"/>
      <c r="AI1026" s="25">
        <v>246103</v>
      </c>
      <c r="AJ1026" s="25">
        <v>172272</v>
      </c>
      <c r="AK1026" s="25">
        <v>9270</v>
      </c>
      <c r="AL1026" s="25">
        <v>341100</v>
      </c>
      <c r="AM1026" s="25">
        <v>61700</v>
      </c>
      <c r="AN1026" s="25">
        <v>279400</v>
      </c>
      <c r="AO1026" s="25">
        <v>0</v>
      </c>
      <c r="AP1026" s="25">
        <f>Lookups!$B$56*0</f>
        <v>0</v>
      </c>
      <c r="AQ1026" s="25">
        <f>Lookups!$B$56*1</f>
        <v>89850.625589999996</v>
      </c>
      <c r="AR1026" s="25">
        <f>Lookups!$B$57*Inventory[[#This Row],[LnAcres]]</f>
        <v>-47929.131559187132</v>
      </c>
      <c r="AS1026" s="25">
        <f>VLOOKUP(Inventory[[#This Row],[Qlty]],Lookups!$A$62:$E$75,2,FALSE)</f>
        <v>21557.329055999999</v>
      </c>
      <c r="AT1026" s="25">
        <f>VLOOKUP(Inventory[[#This Row],[Cnd]],Lookups!$A$76:$E$84,2,FALSE)</f>
        <v>197752.34721000001</v>
      </c>
      <c r="AU1026" s="25">
        <f>Inventory[[#This Row],[EffAge]]*Lookups!$B$85</f>
        <v>-11598.371226000001</v>
      </c>
      <c r="AV1026" s="25">
        <f>Inventory[[#This Row],[MainFn]]*Lookups!$B$86</f>
        <v>60970.298628217999</v>
      </c>
      <c r="AW1026" s="25">
        <f>Inventory[[#This Row],[UpprFn]]*Lookups!$B$87</f>
        <v>0</v>
      </c>
      <c r="AX1026" s="25">
        <f>Inventory[[#This Row],[AddFn]]*Lookups!$B$88</f>
        <v>0</v>
      </c>
      <c r="AY1026" s="25">
        <f>Inventory[[#This Row],[Bsmt]]*Lookups!$B$89</f>
        <v>36177.877687267995</v>
      </c>
      <c r="AZ1026" s="25">
        <f>Inventory[[#This Row],[Fixtures]]*Lookups!$B$90</f>
        <v>26544.1547364</v>
      </c>
      <c r="BA1026" s="25">
        <f>Inventory[[#This Row],[WdDeck]]*Lookups!$B$91</f>
        <v>0</v>
      </c>
      <c r="BB1026" s="25">
        <f>ROUND(Inventory[[#This Row],[25Det]],-2)</f>
        <v>9300</v>
      </c>
      <c r="BC1026" s="25">
        <f>ROUND(SUM(Inventory[[#This Row],[Mdl Qlty]:[Mdl WdDeck]])+Inventory[[#This Row],[Mdl Res Intercept]],-2)</f>
        <v>331400</v>
      </c>
      <c r="BD1026" s="25">
        <f>ROUND(Inventory[[#This Row],[Mdl Land Intercept]]+Inventory[[#This Row],[Mdl LnAcres]],-2)</f>
        <v>41900</v>
      </c>
      <c r="BE1026" s="25">
        <f>Inventory[[#This Row],[Unadj Res Value]]+Inventory[[#This Row],[Unadj Det Value]]+Inventory[[#This Row],[Unadj Land Value]]</f>
        <v>382600</v>
      </c>
      <c r="BF1026" s="36">
        <f>(Inventory[[#This Row],[Unadj Total Value]]-Inventory[[#This Row],[24Final]])/Inventory[[#This Row],[24Final]]</f>
        <v>0.12166520082087365</v>
      </c>
      <c r="BG1026" s="25">
        <f>VLOOKUP(Inventory[[#This Row],[Nbhd]],Lookups!$Q$2:$T$4,4,FALSE)</f>
        <v>0.99970000000000003</v>
      </c>
      <c r="BH1026" s="25">
        <f>VLOOKUP(Inventory[[#This Row],[Qlty]],Lookups!$O$7:$R$21,4,FALSE)</f>
        <v>1.0067999999999999</v>
      </c>
      <c r="BI1026" s="25">
        <f>VLOOKUP(Inventory[[#This Row],[Cnd]],Lookups!$T$7:$W$16,4,FALSE)</f>
        <v>0.99650000000000005</v>
      </c>
      <c r="BJ1026" s="25">
        <f>VLOOKUP(Inventory[[#This Row],[LivArea Range]],Lookups!$T$25:$W$37,4,FALSE)</f>
        <v>1.0157</v>
      </c>
      <c r="BK1026" s="25">
        <f>VLOOKUP(Inventory[[#This Row],[Decade]],Lookups!$O$25:$R$42,4,FALSE)</f>
        <v>0.995</v>
      </c>
      <c r="BL1026" s="25">
        <f>Inventory[[#This Row],[Nbhd Adj]]*0.95</f>
        <v>0.94971499999999998</v>
      </c>
      <c r="BM1026" s="25">
        <f>Inventory[[#This Row],[Nbhd Adj]]*Inventory[[#This Row],[Quality Adj]]*Inventory[[#This Row],[Condition Adj]]*Inventory[[#This Row],[Living Area Adj]]*Inventory[[#This Row],[Decade Adj]]*0.95</f>
        <v>0.96294690248840986</v>
      </c>
      <c r="BN1026" s="25">
        <f>ROUND(SUM(Inventory[[#This Row],[Mdl Qlty]:[Mdl WdDeck]])+Inventory[[#This Row],[Mdl Res Intercept]]*Inventory[[#This Row],[Res Adj ]],-2)</f>
        <v>331400</v>
      </c>
      <c r="BO1026" s="25">
        <f>ROUND(Inventory[[#This Row],[25Det]]*Inventory[[#This Row],[Det/Nbhd Adj]],-2)</f>
        <v>8800</v>
      </c>
      <c r="BP1026" s="25">
        <f>Inventory[[#This Row],[Adjusted Res]]+Inventory[[#This Row],[Adj Det ]]</f>
        <v>340200</v>
      </c>
      <c r="BQ1026" s="25">
        <f>ROUND((Inventory[[#This Row],[Mdl Land Intercept]]+Inventory[[#This Row],[Mdl LnAcres]])*Inventory[[#This Row],[Det/Nbhd Adj]],-2)</f>
        <v>39800</v>
      </c>
      <c r="BR1026" s="25">
        <f>Inventory[[#This Row],[Adjusted Impr Total]]+Inventory[[#This Row],[Adjusted Land Total]]</f>
        <v>380000</v>
      </c>
      <c r="BS1026" s="36">
        <f>IFERROR((Inventory[[#This Row],[Adjusted Impr Total]]-Inventory[[#This Row],[24Bldg]])/Inventory[[#This Row],[24Bldg]],0)</f>
        <v>0.21760916249105225</v>
      </c>
      <c r="BT1026" s="36">
        <f>(Inventory[[#This Row],[Adjusted Land Total]]-Inventory[[#This Row],[24Lnd]])/Inventory[[#This Row],[24Lnd]]</f>
        <v>-0.35494327390599678</v>
      </c>
      <c r="BU1026" s="36">
        <f>(Inventory[[#This Row],[Adjusted Total]]-Inventory[[#This Row],[24Final]])/Inventory[[#This Row],[24Final]]</f>
        <v>0.11404280269715626</v>
      </c>
    </row>
    <row r="1027" spans="1:73" x14ac:dyDescent="0.3">
      <c r="A1027" s="25">
        <v>2025</v>
      </c>
      <c r="B1027" s="26" t="s">
        <v>1063</v>
      </c>
      <c r="C1027" s="26">
        <f>LN(Inventory[[#This Row],[Acres]])</f>
        <v>-1.3470736479666092</v>
      </c>
      <c r="D1027" s="25">
        <v>0.26</v>
      </c>
      <c r="E1027" s="32">
        <v>11128</v>
      </c>
      <c r="F1027" s="26" t="s">
        <v>537</v>
      </c>
      <c r="G1027" s="26" t="s">
        <v>126</v>
      </c>
      <c r="H1027" s="26" t="s">
        <v>349</v>
      </c>
      <c r="I1027" s="26" t="s">
        <v>538</v>
      </c>
      <c r="J1027" s="26" t="s">
        <v>539</v>
      </c>
      <c r="K1027" s="26" t="s">
        <v>269</v>
      </c>
      <c r="L1027" s="26" t="s">
        <v>148</v>
      </c>
      <c r="M1027" s="26" t="s">
        <v>303</v>
      </c>
      <c r="N1027" s="26">
        <v>80</v>
      </c>
      <c r="O1027" s="26">
        <f>2024-Inventory[[#This Row],[YrBlt]]</f>
        <v>78</v>
      </c>
      <c r="P1027" s="26">
        <f>2024-Inventory[[#This Row],[EffYr]]</f>
        <v>52</v>
      </c>
      <c r="Q1027" s="25">
        <v>1946</v>
      </c>
      <c r="R1027" s="25">
        <v>1972</v>
      </c>
      <c r="S1027" s="25">
        <v>2104</v>
      </c>
      <c r="T1027" s="31"/>
      <c r="U1027" s="25">
        <v>1664</v>
      </c>
      <c r="V1027" s="25">
        <f>Inventory[[#This Row],[Bsmt]]-Inventory[[#This Row],[FnBsmt]]</f>
        <v>1264</v>
      </c>
      <c r="W1027" s="25">
        <v>400</v>
      </c>
      <c r="X1027" s="27"/>
      <c r="Y1027" s="27">
        <f>Inventory[[#This Row],[MainFn]]+Inventory[[#This Row],[UpprFn]]+Inventory[[#This Row],[FnBsmt]]+Inventory[[#This Row],[AddFn]]</f>
        <v>2504</v>
      </c>
      <c r="Z1027" s="27">
        <v>3000</v>
      </c>
      <c r="AA1027" s="25">
        <v>9</v>
      </c>
      <c r="AB1027" s="27"/>
      <c r="AC1027" s="32">
        <v>440</v>
      </c>
      <c r="AD1027" s="32">
        <v>280</v>
      </c>
      <c r="AE1027" s="27"/>
      <c r="AF1027" s="27"/>
      <c r="AG1027" s="27"/>
      <c r="AH1027" s="27"/>
      <c r="AI1027" s="25">
        <v>615758</v>
      </c>
      <c r="AJ1027" s="25">
        <v>431031</v>
      </c>
      <c r="AK1027" s="25">
        <v>0</v>
      </c>
      <c r="AL1027" s="25">
        <v>429800</v>
      </c>
      <c r="AM1027" s="25">
        <v>67600</v>
      </c>
      <c r="AN1027" s="25">
        <v>362200</v>
      </c>
      <c r="AO1027" s="25">
        <v>0</v>
      </c>
      <c r="AP1027" s="25">
        <f>Lookups!$B$56*0</f>
        <v>0</v>
      </c>
      <c r="AQ1027" s="25">
        <f>Lookups!$B$56*1</f>
        <v>89850.625589999996</v>
      </c>
      <c r="AR1027" s="25">
        <f>Lookups!$B$57*Inventory[[#This Row],[LnAcres]]</f>
        <v>-42641.098701210125</v>
      </c>
      <c r="AS1027" s="25">
        <f>VLOOKUP(Inventory[[#This Row],[Qlty]],Lookups!$A$62:$E$75,2,FALSE)</f>
        <v>44121.038090000002</v>
      </c>
      <c r="AT1027" s="25">
        <f>VLOOKUP(Inventory[[#This Row],[Cnd]],Lookups!$A$76:$E$84,2,FALSE)</f>
        <v>197752.34721000001</v>
      </c>
      <c r="AU1027" s="25">
        <f>Inventory[[#This Row],[EffAge]]*Lookups!$B$85</f>
        <v>-11598.371226000001</v>
      </c>
      <c r="AV1027" s="25">
        <f>Inventory[[#This Row],[MainFn]]*Lookups!$B$86</f>
        <v>103955.84142120801</v>
      </c>
      <c r="AW1027" s="25">
        <f>Inventory[[#This Row],[UpprFn]]*Lookups!$B$87</f>
        <v>0</v>
      </c>
      <c r="AX1027" s="25">
        <f>Inventory[[#This Row],[AddFn]]*Lookups!$B$88</f>
        <v>0</v>
      </c>
      <c r="AY1027" s="25">
        <f>Inventory[[#This Row],[Bsmt]]*Lookups!$B$89</f>
        <v>48392.273691007998</v>
      </c>
      <c r="AZ1027" s="25">
        <f>Inventory[[#This Row],[Fixtures]]*Lookups!$B$90</f>
        <v>34128.198946800003</v>
      </c>
      <c r="BA1027" s="25">
        <f>Inventory[[#This Row],[WdDeck]]*Lookups!$B$91</f>
        <v>9322.7442772800005</v>
      </c>
      <c r="BB1027" s="25">
        <f>ROUND(Inventory[[#This Row],[25Det]],-2)</f>
        <v>0</v>
      </c>
      <c r="BC1027" s="25">
        <f>ROUND(SUM(Inventory[[#This Row],[Mdl Qlty]:[Mdl WdDeck]])+Inventory[[#This Row],[Mdl Res Intercept]],-2)</f>
        <v>426100</v>
      </c>
      <c r="BD1027" s="25">
        <f>ROUND(Inventory[[#This Row],[Mdl Land Intercept]]+Inventory[[#This Row],[Mdl LnAcres]],-2)</f>
        <v>47200</v>
      </c>
      <c r="BE1027" s="25">
        <f>Inventory[[#This Row],[Unadj Res Value]]+Inventory[[#This Row],[Unadj Det Value]]+Inventory[[#This Row],[Unadj Land Value]]</f>
        <v>473300</v>
      </c>
      <c r="BF1027" s="36">
        <f>(Inventory[[#This Row],[Unadj Total Value]]-Inventory[[#This Row],[24Final]])/Inventory[[#This Row],[24Final]]</f>
        <v>0.10120986505351326</v>
      </c>
      <c r="BG1027" s="25">
        <f>VLOOKUP(Inventory[[#This Row],[Nbhd]],Lookups!$Q$2:$T$4,4,FALSE)</f>
        <v>0.99970000000000003</v>
      </c>
      <c r="BH1027" s="25">
        <f>VLOOKUP(Inventory[[#This Row],[Qlty]],Lookups!$O$7:$R$21,4,FALSE)</f>
        <v>0.98050000000000004</v>
      </c>
      <c r="BI1027" s="25">
        <f>VLOOKUP(Inventory[[#This Row],[Cnd]],Lookups!$T$7:$W$16,4,FALSE)</f>
        <v>0.99650000000000005</v>
      </c>
      <c r="BJ1027" s="25">
        <f>VLOOKUP(Inventory[[#This Row],[LivArea Range]],Lookups!$T$25:$W$37,4,FALSE)</f>
        <v>0.96179999999999999</v>
      </c>
      <c r="BK1027" s="25">
        <f>VLOOKUP(Inventory[[#This Row],[Decade]],Lookups!$O$25:$R$42,4,FALSE)</f>
        <v>0.995</v>
      </c>
      <c r="BL1027" s="25">
        <f>Inventory[[#This Row],[Nbhd Adj]]*0.95</f>
        <v>0.94971499999999998</v>
      </c>
      <c r="BM1027" s="25">
        <f>Inventory[[#This Row],[Nbhd Adj]]*Inventory[[#This Row],[Quality Adj]]*Inventory[[#This Row],[Condition Adj]]*Inventory[[#This Row],[Living Area Adj]]*Inventory[[#This Row],[Decade Adj]]*0.95</f>
        <v>0.88802675758029637</v>
      </c>
      <c r="BN1027" s="25">
        <f>ROUND(SUM(Inventory[[#This Row],[Mdl Qlty]:[Mdl WdDeck]])+Inventory[[#This Row],[Mdl Res Intercept]]*Inventory[[#This Row],[Res Adj ]],-2)</f>
        <v>426100</v>
      </c>
      <c r="BO1027" s="25">
        <f>ROUND(Inventory[[#This Row],[25Det]]*Inventory[[#This Row],[Det/Nbhd Adj]],-2)</f>
        <v>0</v>
      </c>
      <c r="BP1027" s="25">
        <f>Inventory[[#This Row],[Adjusted Res]]+Inventory[[#This Row],[Adj Det ]]</f>
        <v>426100</v>
      </c>
      <c r="BQ1027" s="25">
        <f>ROUND((Inventory[[#This Row],[Mdl Land Intercept]]+Inventory[[#This Row],[Mdl LnAcres]])*Inventory[[#This Row],[Det/Nbhd Adj]],-2)</f>
        <v>44800</v>
      </c>
      <c r="BR1027" s="25">
        <f>Inventory[[#This Row],[Adjusted Impr Total]]+Inventory[[#This Row],[Adjusted Land Total]]</f>
        <v>470900</v>
      </c>
      <c r="BS1027" s="36">
        <f>IFERROR((Inventory[[#This Row],[Adjusted Impr Total]]-Inventory[[#This Row],[24Bldg]])/Inventory[[#This Row],[24Bldg]],0)</f>
        <v>0.17642186637217008</v>
      </c>
      <c r="BT1027" s="36">
        <f>(Inventory[[#This Row],[Adjusted Land Total]]-Inventory[[#This Row],[24Lnd]])/Inventory[[#This Row],[24Lnd]]</f>
        <v>-0.33727810650887574</v>
      </c>
      <c r="BU1027" s="36">
        <f>(Inventory[[#This Row],[Adjusted Total]]-Inventory[[#This Row],[24Final]])/Inventory[[#This Row],[24Final]]</f>
        <v>9.5625872498836667E-2</v>
      </c>
    </row>
    <row r="1028" spans="1:73" x14ac:dyDescent="0.3">
      <c r="A1028" s="25">
        <v>2025</v>
      </c>
      <c r="B1028" s="26" t="s">
        <v>1619</v>
      </c>
      <c r="C1028" s="26">
        <f>LN(Inventory[[#This Row],[Acres]])</f>
        <v>-1.6607312068216509</v>
      </c>
      <c r="D1028" s="25">
        <v>0.19</v>
      </c>
      <c r="E1028" s="27"/>
      <c r="F1028" s="26" t="s">
        <v>537</v>
      </c>
      <c r="G1028" s="26" t="s">
        <v>126</v>
      </c>
      <c r="H1028" s="26" t="s">
        <v>349</v>
      </c>
      <c r="I1028" s="26" t="s">
        <v>538</v>
      </c>
      <c r="J1028" s="26" t="s">
        <v>539</v>
      </c>
      <c r="K1028" s="26" t="s">
        <v>269</v>
      </c>
      <c r="L1028" s="26" t="s">
        <v>302</v>
      </c>
      <c r="M1028" s="26" t="s">
        <v>303</v>
      </c>
      <c r="N1028" s="26">
        <v>80</v>
      </c>
      <c r="O1028" s="26">
        <f>2024-Inventory[[#This Row],[YrBlt]]</f>
        <v>78</v>
      </c>
      <c r="P1028" s="26">
        <f>2024-Inventory[[#This Row],[EffYr]]</f>
        <v>52</v>
      </c>
      <c r="Q1028" s="25">
        <v>1946</v>
      </c>
      <c r="R1028" s="25">
        <v>1972</v>
      </c>
      <c r="S1028" s="25">
        <v>1142</v>
      </c>
      <c r="T1028" s="27"/>
      <c r="U1028" s="25">
        <v>900</v>
      </c>
      <c r="V1028" s="32">
        <f>Inventory[[#This Row],[Bsmt]]-Inventory[[#This Row],[FnBsmt]]</f>
        <v>225</v>
      </c>
      <c r="W1028" s="32">
        <v>675</v>
      </c>
      <c r="X1028" s="27"/>
      <c r="Y1028" s="27">
        <f>Inventory[[#This Row],[MainFn]]+Inventory[[#This Row],[UpprFn]]+Inventory[[#This Row],[FnBsmt]]+Inventory[[#This Row],[AddFn]]</f>
        <v>1817</v>
      </c>
      <c r="Z1028" s="27">
        <v>2000</v>
      </c>
      <c r="AA1028" s="25">
        <v>8</v>
      </c>
      <c r="AB1028" s="27"/>
      <c r="AC1028" s="27"/>
      <c r="AD1028" s="32">
        <v>224</v>
      </c>
      <c r="AE1028" s="27"/>
      <c r="AF1028" s="27"/>
      <c r="AG1028" s="27"/>
      <c r="AH1028" s="27"/>
      <c r="AI1028" s="25">
        <v>302747</v>
      </c>
      <c r="AJ1028" s="25">
        <v>211923</v>
      </c>
      <c r="AK1028" s="25">
        <v>7721</v>
      </c>
      <c r="AL1028" s="25">
        <v>346400</v>
      </c>
      <c r="AM1028" s="25">
        <v>56600</v>
      </c>
      <c r="AN1028" s="25">
        <v>289800</v>
      </c>
      <c r="AO1028" s="25">
        <v>0</v>
      </c>
      <c r="AP1028" s="25">
        <f>Lookups!$B$56*0</f>
        <v>0</v>
      </c>
      <c r="AQ1028" s="25">
        <f>Lookups!$B$56*1</f>
        <v>89850.625589999996</v>
      </c>
      <c r="AR1028" s="25">
        <f>Lookups!$B$57*Inventory[[#This Row],[LnAcres]]</f>
        <v>-52569.808201026557</v>
      </c>
      <c r="AS1028" s="25">
        <f>VLOOKUP(Inventory[[#This Row],[Qlty]],Lookups!$A$62:$E$75,2,FALSE)</f>
        <v>29814.093161000001</v>
      </c>
      <c r="AT1028" s="25">
        <f>VLOOKUP(Inventory[[#This Row],[Cnd]],Lookups!$A$76:$E$84,2,FALSE)</f>
        <v>197752.34721000001</v>
      </c>
      <c r="AU1028" s="25">
        <f>Inventory[[#This Row],[EffAge]]*Lookups!$B$85</f>
        <v>-11598.371226000001</v>
      </c>
      <c r="AV1028" s="25">
        <f>Inventory[[#This Row],[MainFn]]*Lookups!$B$86</f>
        <v>56424.700999534005</v>
      </c>
      <c r="AW1028" s="25">
        <f>Inventory[[#This Row],[UpprFn]]*Lookups!$B$87</f>
        <v>0</v>
      </c>
      <c r="AX1028" s="25">
        <f>Inventory[[#This Row],[AddFn]]*Lookups!$B$88</f>
        <v>0</v>
      </c>
      <c r="AY1028" s="25">
        <f>Inventory[[#This Row],[Bsmt]]*Lookups!$B$89</f>
        <v>26173.705722299997</v>
      </c>
      <c r="AZ1028" s="25">
        <f>Inventory[[#This Row],[Fixtures]]*Lookups!$B$90</f>
        <v>30336.176841600001</v>
      </c>
      <c r="BA1028" s="25">
        <f>Inventory[[#This Row],[WdDeck]]*Lookups!$B$91</f>
        <v>7458.1954218240007</v>
      </c>
      <c r="BB1028" s="25">
        <f>ROUND(Inventory[[#This Row],[25Det]],-2)</f>
        <v>7700</v>
      </c>
      <c r="BC1028" s="25">
        <f>ROUND(SUM(Inventory[[#This Row],[Mdl Qlty]:[Mdl WdDeck]])+Inventory[[#This Row],[Mdl Res Intercept]],-2)</f>
        <v>336400</v>
      </c>
      <c r="BD1028" s="25">
        <f>ROUND(Inventory[[#This Row],[Mdl Land Intercept]]+Inventory[[#This Row],[Mdl LnAcres]],-2)</f>
        <v>37300</v>
      </c>
      <c r="BE1028" s="25">
        <f>Inventory[[#This Row],[Unadj Res Value]]+Inventory[[#This Row],[Unadj Det Value]]+Inventory[[#This Row],[Unadj Land Value]]</f>
        <v>381400</v>
      </c>
      <c r="BF1028" s="36">
        <f>(Inventory[[#This Row],[Unadj Total Value]]-Inventory[[#This Row],[24Final]])/Inventory[[#This Row],[24Final]]</f>
        <v>0.10103926096997691</v>
      </c>
      <c r="BG1028" s="25">
        <f>VLOOKUP(Inventory[[#This Row],[Nbhd]],Lookups!$Q$2:$T$4,4,FALSE)</f>
        <v>0.99970000000000003</v>
      </c>
      <c r="BH1028" s="25">
        <f>VLOOKUP(Inventory[[#This Row],[Qlty]],Lookups!$O$7:$R$21,4,FALSE)</f>
        <v>1.0088999999999999</v>
      </c>
      <c r="BI1028" s="25">
        <f>VLOOKUP(Inventory[[#This Row],[Cnd]],Lookups!$T$7:$W$16,4,FALSE)</f>
        <v>0.99650000000000005</v>
      </c>
      <c r="BJ1028" s="25">
        <f>VLOOKUP(Inventory[[#This Row],[LivArea Range]],Lookups!$T$25:$W$37,4,FALSE)</f>
        <v>1.0093000000000001</v>
      </c>
      <c r="BK1028" s="25">
        <f>VLOOKUP(Inventory[[#This Row],[Decade]],Lookups!$O$25:$R$42,4,FALSE)</f>
        <v>0.995</v>
      </c>
      <c r="BL1028" s="25">
        <f>Inventory[[#This Row],[Nbhd Adj]]*0.95</f>
        <v>0.94971499999999998</v>
      </c>
      <c r="BM1028" s="25">
        <f>Inventory[[#This Row],[Nbhd Adj]]*Inventory[[#This Row],[Quality Adj]]*Inventory[[#This Row],[Condition Adj]]*Inventory[[#This Row],[Living Area Adj]]*Inventory[[#This Row],[Decade Adj]]*0.95</f>
        <v>0.9588751782051762</v>
      </c>
      <c r="BN1028" s="25">
        <f>ROUND(SUM(Inventory[[#This Row],[Mdl Qlty]:[Mdl WdDeck]])+Inventory[[#This Row],[Mdl Res Intercept]]*Inventory[[#This Row],[Res Adj ]],-2)</f>
        <v>336400</v>
      </c>
      <c r="BO1028" s="25">
        <f>ROUND(Inventory[[#This Row],[25Det]]*Inventory[[#This Row],[Det/Nbhd Adj]],-2)</f>
        <v>7300</v>
      </c>
      <c r="BP1028" s="25">
        <f>Inventory[[#This Row],[Adjusted Res]]+Inventory[[#This Row],[Adj Det ]]</f>
        <v>343700</v>
      </c>
      <c r="BQ1028" s="25">
        <f>ROUND((Inventory[[#This Row],[Mdl Land Intercept]]+Inventory[[#This Row],[Mdl LnAcres]])*Inventory[[#This Row],[Det/Nbhd Adj]],-2)</f>
        <v>35400</v>
      </c>
      <c r="BR1028" s="25">
        <f>Inventory[[#This Row],[Adjusted Impr Total]]+Inventory[[#This Row],[Adjusted Land Total]]</f>
        <v>379100</v>
      </c>
      <c r="BS1028" s="36">
        <f>IFERROR((Inventory[[#This Row],[Adjusted Impr Total]]-Inventory[[#This Row],[24Bldg]])/Inventory[[#This Row],[24Bldg]],0)</f>
        <v>0.1859903381642512</v>
      </c>
      <c r="BT1028" s="36">
        <f>(Inventory[[#This Row],[Adjusted Land Total]]-Inventory[[#This Row],[24Lnd]])/Inventory[[#This Row],[24Lnd]]</f>
        <v>-0.37455830388692579</v>
      </c>
      <c r="BU1028" s="36">
        <f>(Inventory[[#This Row],[Adjusted Total]]-Inventory[[#This Row],[24Final]])/Inventory[[#This Row],[24Final]]</f>
        <v>9.4399538106235567E-2</v>
      </c>
    </row>
    <row r="1029" spans="1:73" x14ac:dyDescent="0.3">
      <c r="A1029" s="25">
        <v>2025</v>
      </c>
      <c r="B1029" s="26" t="s">
        <v>831</v>
      </c>
      <c r="C1029" s="26">
        <f>LN(Inventory[[#This Row],[Acres]])</f>
        <v>-2.3025850929940455</v>
      </c>
      <c r="D1029" s="25">
        <v>0.1</v>
      </c>
      <c r="E1029" s="32">
        <v>4258</v>
      </c>
      <c r="F1029" s="26" t="s">
        <v>537</v>
      </c>
      <c r="G1029" s="26" t="s">
        <v>126</v>
      </c>
      <c r="H1029" s="26" t="s">
        <v>349</v>
      </c>
      <c r="I1029" s="26" t="s">
        <v>538</v>
      </c>
      <c r="J1029" s="26" t="s">
        <v>539</v>
      </c>
      <c r="K1029" s="26" t="s">
        <v>241</v>
      </c>
      <c r="L1029" s="26" t="s">
        <v>351</v>
      </c>
      <c r="M1029" s="26" t="s">
        <v>303</v>
      </c>
      <c r="N1029" s="26">
        <v>80</v>
      </c>
      <c r="O1029" s="26">
        <f>2024-Inventory[[#This Row],[YrBlt]]</f>
        <v>78</v>
      </c>
      <c r="P1029" s="26">
        <f>2024-Inventory[[#This Row],[EffYr]]</f>
        <v>52</v>
      </c>
      <c r="Q1029" s="25">
        <v>1946</v>
      </c>
      <c r="R1029" s="25">
        <v>1972</v>
      </c>
      <c r="S1029" s="25">
        <v>974</v>
      </c>
      <c r="T1029" s="27"/>
      <c r="U1029" s="25">
        <v>974</v>
      </c>
      <c r="V1029" s="25">
        <f>Inventory[[#This Row],[Bsmt]]-Inventory[[#This Row],[FnBsmt]]</f>
        <v>0</v>
      </c>
      <c r="W1029" s="25">
        <v>974</v>
      </c>
      <c r="X1029" s="27"/>
      <c r="Y1029" s="27">
        <f>Inventory[[#This Row],[MainFn]]+Inventory[[#This Row],[UpprFn]]+Inventory[[#This Row],[FnBsmt]]+Inventory[[#This Row],[AddFn]]</f>
        <v>1948</v>
      </c>
      <c r="Z1029" s="27">
        <v>2000</v>
      </c>
      <c r="AA1029" s="25">
        <v>9</v>
      </c>
      <c r="AB1029" s="32">
        <v>264</v>
      </c>
      <c r="AC1029" s="27"/>
      <c r="AD1029" s="32">
        <v>180</v>
      </c>
      <c r="AE1029" s="27"/>
      <c r="AF1029" s="27"/>
      <c r="AG1029" s="27"/>
      <c r="AH1029" s="27"/>
      <c r="AI1029" s="25">
        <v>269965</v>
      </c>
      <c r="AJ1029" s="25">
        <v>188976</v>
      </c>
      <c r="AK1029" s="25">
        <v>0</v>
      </c>
      <c r="AL1029" s="25">
        <v>311900</v>
      </c>
      <c r="AM1029" s="25">
        <v>34200</v>
      </c>
      <c r="AN1029" s="25">
        <v>277700</v>
      </c>
      <c r="AO1029" s="25">
        <v>0</v>
      </c>
      <c r="AP1029" s="25">
        <f>Lookups!$B$56*0</f>
        <v>0</v>
      </c>
      <c r="AQ1029" s="25">
        <f>Lookups!$B$56*1</f>
        <v>89850.625589999996</v>
      </c>
      <c r="AR1029" s="25">
        <f>Lookups!$B$57*Inventory[[#This Row],[LnAcres]]</f>
        <v>-72887.446329681261</v>
      </c>
      <c r="AS1029" s="25">
        <f>VLOOKUP(Inventory[[#This Row],[Qlty]],Lookups!$A$62:$E$75,2,FALSE)</f>
        <v>21557.329055999999</v>
      </c>
      <c r="AT1029" s="25">
        <f>VLOOKUP(Inventory[[#This Row],[Cnd]],Lookups!$A$76:$E$84,2,FALSE)</f>
        <v>197752.34721000001</v>
      </c>
      <c r="AU1029" s="25">
        <f>Inventory[[#This Row],[EffAge]]*Lookups!$B$85</f>
        <v>-11598.371226000001</v>
      </c>
      <c r="AV1029" s="25">
        <f>Inventory[[#This Row],[MainFn]]*Lookups!$B$86</f>
        <v>48124.044460197998</v>
      </c>
      <c r="AW1029" s="25">
        <f>Inventory[[#This Row],[UpprFn]]*Lookups!$B$87</f>
        <v>0</v>
      </c>
      <c r="AX1029" s="25">
        <f>Inventory[[#This Row],[AddFn]]*Lookups!$B$88</f>
        <v>0</v>
      </c>
      <c r="AY1029" s="25">
        <f>Inventory[[#This Row],[Bsmt]]*Lookups!$B$89</f>
        <v>28325.765970577999</v>
      </c>
      <c r="AZ1029" s="25">
        <f>Inventory[[#This Row],[Fixtures]]*Lookups!$B$90</f>
        <v>34128.198946800003</v>
      </c>
      <c r="BA1029" s="25">
        <f>Inventory[[#This Row],[WdDeck]]*Lookups!$B$91</f>
        <v>5993.1927496800008</v>
      </c>
      <c r="BB1029" s="25">
        <f>ROUND(Inventory[[#This Row],[25Det]],-2)</f>
        <v>0</v>
      </c>
      <c r="BC1029" s="25">
        <f>ROUND(SUM(Inventory[[#This Row],[Mdl Qlty]:[Mdl WdDeck]])+Inventory[[#This Row],[Mdl Res Intercept]],-2)</f>
        <v>324300</v>
      </c>
      <c r="BD1029" s="25">
        <f>ROUND(Inventory[[#This Row],[Mdl Land Intercept]]+Inventory[[#This Row],[Mdl LnAcres]],-2)</f>
        <v>17000</v>
      </c>
      <c r="BE1029" s="25">
        <f>Inventory[[#This Row],[Unadj Res Value]]+Inventory[[#This Row],[Unadj Det Value]]+Inventory[[#This Row],[Unadj Land Value]]</f>
        <v>341300</v>
      </c>
      <c r="BF1029" s="36">
        <f>(Inventory[[#This Row],[Unadj Total Value]]-Inventory[[#This Row],[24Final]])/Inventory[[#This Row],[24Final]]</f>
        <v>9.4260981083680667E-2</v>
      </c>
      <c r="BG1029" s="25">
        <f>VLOOKUP(Inventory[[#This Row],[Nbhd]],Lookups!$Q$2:$T$4,4,FALSE)</f>
        <v>0.99970000000000003</v>
      </c>
      <c r="BH1029" s="25">
        <f>VLOOKUP(Inventory[[#This Row],[Qlty]],Lookups!$O$7:$R$21,4,FALSE)</f>
        <v>1.0067999999999999</v>
      </c>
      <c r="BI1029" s="25">
        <f>VLOOKUP(Inventory[[#This Row],[Cnd]],Lookups!$T$7:$W$16,4,FALSE)</f>
        <v>0.99650000000000005</v>
      </c>
      <c r="BJ1029" s="25">
        <f>VLOOKUP(Inventory[[#This Row],[LivArea Range]],Lookups!$T$25:$W$37,4,FALSE)</f>
        <v>1.0093000000000001</v>
      </c>
      <c r="BK1029" s="25">
        <f>VLOOKUP(Inventory[[#This Row],[Decade]],Lookups!$O$25:$R$42,4,FALSE)</f>
        <v>0.995</v>
      </c>
      <c r="BL1029" s="25">
        <f>Inventory[[#This Row],[Nbhd Adj]]*0.95</f>
        <v>0.94971499999999998</v>
      </c>
      <c r="BM1029" s="25">
        <f>Inventory[[#This Row],[Nbhd Adj]]*Inventory[[#This Row],[Quality Adj]]*Inventory[[#This Row],[Condition Adj]]*Inventory[[#This Row],[Living Area Adj]]*Inventory[[#This Row],[Decade Adj]]*0.95</f>
        <v>0.95687930361479956</v>
      </c>
      <c r="BN1029" s="25">
        <f>ROUND(SUM(Inventory[[#This Row],[Mdl Qlty]:[Mdl WdDeck]])+Inventory[[#This Row],[Mdl Res Intercept]]*Inventory[[#This Row],[Res Adj ]],-2)</f>
        <v>324300</v>
      </c>
      <c r="BO1029" s="25">
        <f>ROUND(Inventory[[#This Row],[25Det]]*Inventory[[#This Row],[Det/Nbhd Adj]],-2)</f>
        <v>0</v>
      </c>
      <c r="BP1029" s="25">
        <f>Inventory[[#This Row],[Adjusted Res]]+Inventory[[#This Row],[Adj Det ]]</f>
        <v>324300</v>
      </c>
      <c r="BQ1029" s="25">
        <f>ROUND((Inventory[[#This Row],[Mdl Land Intercept]]+Inventory[[#This Row],[Mdl LnAcres]])*Inventory[[#This Row],[Det/Nbhd Adj]],-2)</f>
        <v>16100</v>
      </c>
      <c r="BR1029" s="25">
        <f>Inventory[[#This Row],[Adjusted Impr Total]]+Inventory[[#This Row],[Adjusted Land Total]]</f>
        <v>340400</v>
      </c>
      <c r="BS1029" s="36">
        <f>IFERROR((Inventory[[#This Row],[Adjusted Impr Total]]-Inventory[[#This Row],[24Bldg]])/Inventory[[#This Row],[24Bldg]],0)</f>
        <v>0.16780698595606769</v>
      </c>
      <c r="BT1029" s="36">
        <f>(Inventory[[#This Row],[Adjusted Land Total]]-Inventory[[#This Row],[24Lnd]])/Inventory[[#This Row],[24Lnd]]</f>
        <v>-0.5292397660818714</v>
      </c>
      <c r="BU1029" s="36">
        <f>(Inventory[[#This Row],[Adjusted Total]]-Inventory[[#This Row],[24Final]])/Inventory[[#This Row],[24Final]]</f>
        <v>9.1375440846425141E-2</v>
      </c>
    </row>
    <row r="1030" spans="1:73" x14ac:dyDescent="0.3">
      <c r="A1030" s="25">
        <v>2025</v>
      </c>
      <c r="B1030" s="26" t="s">
        <v>1674</v>
      </c>
      <c r="C1030" s="26">
        <f>LN(Inventory[[#This Row],[Acres]])</f>
        <v>-1.6094379124341003</v>
      </c>
      <c r="D1030" s="25">
        <v>0.2</v>
      </c>
      <c r="E1030" s="27"/>
      <c r="F1030" s="26" t="s">
        <v>537</v>
      </c>
      <c r="G1030" s="26" t="s">
        <v>126</v>
      </c>
      <c r="H1030" s="26" t="s">
        <v>349</v>
      </c>
      <c r="I1030" s="26" t="s">
        <v>538</v>
      </c>
      <c r="J1030" s="26" t="s">
        <v>539</v>
      </c>
      <c r="K1030" s="26" t="s">
        <v>269</v>
      </c>
      <c r="L1030" s="26" t="s">
        <v>351</v>
      </c>
      <c r="M1030" s="26" t="s">
        <v>323</v>
      </c>
      <c r="N1030" s="26">
        <v>80</v>
      </c>
      <c r="O1030" s="26">
        <f>2024-Inventory[[#This Row],[YrBlt]]</f>
        <v>78</v>
      </c>
      <c r="P1030" s="26">
        <f>2024-Inventory[[#This Row],[EffYr]]</f>
        <v>52</v>
      </c>
      <c r="Q1030" s="25">
        <v>1946</v>
      </c>
      <c r="R1030" s="25">
        <v>1972</v>
      </c>
      <c r="S1030" s="25">
        <v>947</v>
      </c>
      <c r="T1030" s="27"/>
      <c r="U1030" s="25">
        <v>935</v>
      </c>
      <c r="V1030" s="25">
        <f>Inventory[[#This Row],[Bsmt]]-Inventory[[#This Row],[FnBsmt]]</f>
        <v>935</v>
      </c>
      <c r="W1030" s="31"/>
      <c r="X1030" s="27"/>
      <c r="Y1030" s="27">
        <f>Inventory[[#This Row],[MainFn]]+Inventory[[#This Row],[UpprFn]]+Inventory[[#This Row],[FnBsmt]]+Inventory[[#This Row],[AddFn]]</f>
        <v>947</v>
      </c>
      <c r="Z1030" s="27">
        <v>1000</v>
      </c>
      <c r="AA1030" s="25">
        <v>5</v>
      </c>
      <c r="AB1030" s="31"/>
      <c r="AC1030" s="27"/>
      <c r="AD1030" s="27"/>
      <c r="AE1030" s="27"/>
      <c r="AF1030" s="27"/>
      <c r="AG1030" s="27"/>
      <c r="AH1030" s="27"/>
      <c r="AI1030" s="25">
        <v>198030</v>
      </c>
      <c r="AJ1030" s="25">
        <v>134660</v>
      </c>
      <c r="AK1030" s="25">
        <v>8782</v>
      </c>
      <c r="AL1030" s="25">
        <v>285800</v>
      </c>
      <c r="AM1030" s="25">
        <v>58400</v>
      </c>
      <c r="AN1030" s="25">
        <v>227400</v>
      </c>
      <c r="AO1030" s="25">
        <v>0</v>
      </c>
      <c r="AP1030" s="25">
        <f>Lookups!$B$56*0</f>
        <v>0</v>
      </c>
      <c r="AQ1030" s="25">
        <f>Lookups!$B$56*1</f>
        <v>89850.625589999996</v>
      </c>
      <c r="AR1030" s="25">
        <f>Lookups!$B$57*Inventory[[#This Row],[LnAcres]]</f>
        <v>-50946.13867709865</v>
      </c>
      <c r="AS1030" s="25">
        <f>VLOOKUP(Inventory[[#This Row],[Qlty]],Lookups!$A$62:$E$75,2,FALSE)</f>
        <v>21557.329055999999</v>
      </c>
      <c r="AT1030" s="25">
        <f>VLOOKUP(Inventory[[#This Row],[Cnd]],Lookups!$A$76:$E$84,2,FALSE)</f>
        <v>160472.20319</v>
      </c>
      <c r="AU1030" s="25">
        <f>Inventory[[#This Row],[EffAge]]*Lookups!$B$85</f>
        <v>-11598.371226000001</v>
      </c>
      <c r="AV1030" s="25">
        <f>Inventory[[#This Row],[MainFn]]*Lookups!$B$86</f>
        <v>46790.010373518999</v>
      </c>
      <c r="AW1030" s="25">
        <f>Inventory[[#This Row],[UpprFn]]*Lookups!$B$87</f>
        <v>0</v>
      </c>
      <c r="AX1030" s="25">
        <f>Inventory[[#This Row],[AddFn]]*Lookups!$B$88</f>
        <v>0</v>
      </c>
      <c r="AY1030" s="25">
        <f>Inventory[[#This Row],[Bsmt]]*Lookups!$B$89</f>
        <v>27191.572055944998</v>
      </c>
      <c r="AZ1030" s="25">
        <f>Inventory[[#This Row],[Fixtures]]*Lookups!$B$90</f>
        <v>18960.110526</v>
      </c>
      <c r="BA1030" s="25">
        <f>Inventory[[#This Row],[WdDeck]]*Lookups!$B$91</f>
        <v>0</v>
      </c>
      <c r="BB1030" s="25">
        <f>ROUND(Inventory[[#This Row],[25Det]],-2)</f>
        <v>8800</v>
      </c>
      <c r="BC1030" s="25">
        <f>ROUND(SUM(Inventory[[#This Row],[Mdl Qlty]:[Mdl WdDeck]])+Inventory[[#This Row],[Mdl Res Intercept]],-2)</f>
        <v>263400</v>
      </c>
      <c r="BD1030" s="25">
        <f>ROUND(Inventory[[#This Row],[Mdl Land Intercept]]+Inventory[[#This Row],[Mdl LnAcres]],-2)</f>
        <v>38900</v>
      </c>
      <c r="BE1030" s="25">
        <f>Inventory[[#This Row],[Unadj Res Value]]+Inventory[[#This Row],[Unadj Det Value]]+Inventory[[#This Row],[Unadj Land Value]]</f>
        <v>311100</v>
      </c>
      <c r="BF1030" s="36">
        <f>(Inventory[[#This Row],[Unadj Total Value]]-Inventory[[#This Row],[24Final]])/Inventory[[#This Row],[24Final]]</f>
        <v>8.8523442967109872E-2</v>
      </c>
      <c r="BG1030" s="25">
        <f>VLOOKUP(Inventory[[#This Row],[Nbhd]],Lookups!$Q$2:$T$4,4,FALSE)</f>
        <v>0.99970000000000003</v>
      </c>
      <c r="BH1030" s="25">
        <f>VLOOKUP(Inventory[[#This Row],[Qlty]],Lookups!$O$7:$R$21,4,FALSE)</f>
        <v>1.0067999999999999</v>
      </c>
      <c r="BI1030" s="25">
        <f>VLOOKUP(Inventory[[#This Row],[Cnd]],Lookups!$T$7:$W$16,4,FALSE)</f>
        <v>0.99729999999999996</v>
      </c>
      <c r="BJ1030" s="25">
        <f>VLOOKUP(Inventory[[#This Row],[LivArea Range]],Lookups!$T$25:$W$37,4,FALSE)</f>
        <v>1.0148999999999999</v>
      </c>
      <c r="BK1030" s="25">
        <f>VLOOKUP(Inventory[[#This Row],[Decade]],Lookups!$O$25:$R$42,4,FALSE)</f>
        <v>0.995</v>
      </c>
      <c r="BL1030" s="25">
        <f>Inventory[[#This Row],[Nbhd Adj]]*0.95</f>
        <v>0.94971499999999998</v>
      </c>
      <c r="BM1030" s="25">
        <f>Inventory[[#This Row],[Nbhd Adj]]*Inventory[[#This Row],[Quality Adj]]*Inventory[[#This Row],[Condition Adj]]*Inventory[[#This Row],[Living Area Adj]]*Inventory[[#This Row],[Decade Adj]]*0.95</f>
        <v>0.96296090698154491</v>
      </c>
      <c r="BN1030" s="25">
        <f>ROUND(SUM(Inventory[[#This Row],[Mdl Qlty]:[Mdl WdDeck]])+Inventory[[#This Row],[Mdl Res Intercept]]*Inventory[[#This Row],[Res Adj ]],-2)</f>
        <v>263400</v>
      </c>
      <c r="BO1030" s="25">
        <f>ROUND(Inventory[[#This Row],[25Det]]*Inventory[[#This Row],[Det/Nbhd Adj]],-2)</f>
        <v>8300</v>
      </c>
      <c r="BP1030" s="25">
        <f>Inventory[[#This Row],[Adjusted Res]]+Inventory[[#This Row],[Adj Det ]]</f>
        <v>271700</v>
      </c>
      <c r="BQ1030" s="25">
        <f>ROUND((Inventory[[#This Row],[Mdl Land Intercept]]+Inventory[[#This Row],[Mdl LnAcres]])*Inventory[[#This Row],[Det/Nbhd Adj]],-2)</f>
        <v>36900</v>
      </c>
      <c r="BR1030" s="25">
        <f>Inventory[[#This Row],[Adjusted Impr Total]]+Inventory[[#This Row],[Adjusted Land Total]]</f>
        <v>308600</v>
      </c>
      <c r="BS1030" s="36">
        <f>IFERROR((Inventory[[#This Row],[Adjusted Impr Total]]-Inventory[[#This Row],[24Bldg]])/Inventory[[#This Row],[24Bldg]],0)</f>
        <v>0.19481090589270009</v>
      </c>
      <c r="BT1030" s="36">
        <f>(Inventory[[#This Row],[Adjusted Land Total]]-Inventory[[#This Row],[24Lnd]])/Inventory[[#This Row],[24Lnd]]</f>
        <v>-0.36815068493150682</v>
      </c>
      <c r="BU1030" s="36">
        <f>(Inventory[[#This Row],[Adjusted Total]]-Inventory[[#This Row],[24Final]])/Inventory[[#This Row],[24Final]]</f>
        <v>7.9776067179846047E-2</v>
      </c>
    </row>
    <row r="1031" spans="1:73" x14ac:dyDescent="0.3">
      <c r="A1031" s="25">
        <v>2025</v>
      </c>
      <c r="B1031" s="26" t="s">
        <v>798</v>
      </c>
      <c r="C1031" s="26">
        <f>LN(Inventory[[#This Row],[Acres]])</f>
        <v>-1.7147984280919266</v>
      </c>
      <c r="D1031" s="25">
        <v>0.18</v>
      </c>
      <c r="E1031" s="25">
        <v>7624</v>
      </c>
      <c r="F1031" s="26" t="s">
        <v>537</v>
      </c>
      <c r="G1031" s="26" t="s">
        <v>126</v>
      </c>
      <c r="H1031" s="26" t="s">
        <v>349</v>
      </c>
      <c r="I1031" s="26" t="s">
        <v>538</v>
      </c>
      <c r="J1031" s="26" t="s">
        <v>539</v>
      </c>
      <c r="K1031" s="26" t="s">
        <v>242</v>
      </c>
      <c r="L1031" s="26" t="s">
        <v>148</v>
      </c>
      <c r="M1031" s="26" t="s">
        <v>303</v>
      </c>
      <c r="N1031" s="26">
        <v>80</v>
      </c>
      <c r="O1031" s="26">
        <f>2024-Inventory[[#This Row],[YrBlt]]</f>
        <v>78</v>
      </c>
      <c r="P1031" s="26">
        <f>2024-Inventory[[#This Row],[EffYr]]</f>
        <v>52</v>
      </c>
      <c r="Q1031" s="25">
        <v>1946</v>
      </c>
      <c r="R1031" s="25">
        <v>1972</v>
      </c>
      <c r="S1031" s="25">
        <v>1399</v>
      </c>
      <c r="T1031" s="27"/>
      <c r="U1031" s="32">
        <v>1119</v>
      </c>
      <c r="V1031" s="32">
        <f>Inventory[[#This Row],[Bsmt]]-Inventory[[#This Row],[FnBsmt]]</f>
        <v>0</v>
      </c>
      <c r="W1031" s="32">
        <v>1119</v>
      </c>
      <c r="X1031" s="27"/>
      <c r="Y1031" s="27">
        <f>Inventory[[#This Row],[MainFn]]+Inventory[[#This Row],[UpprFn]]+Inventory[[#This Row],[FnBsmt]]+Inventory[[#This Row],[AddFn]]</f>
        <v>2518</v>
      </c>
      <c r="Z1031" s="27">
        <v>3000</v>
      </c>
      <c r="AA1031" s="25">
        <v>11</v>
      </c>
      <c r="AB1031" s="31"/>
      <c r="AC1031" s="27"/>
      <c r="AD1031" s="32">
        <v>308</v>
      </c>
      <c r="AE1031" s="27"/>
      <c r="AF1031" s="27"/>
      <c r="AG1031" s="31"/>
      <c r="AH1031" s="27"/>
      <c r="AI1031" s="25">
        <v>430797</v>
      </c>
      <c r="AJ1031" s="25">
        <v>301558</v>
      </c>
      <c r="AK1031" s="25">
        <v>5261</v>
      </c>
      <c r="AL1031" s="25">
        <v>392700</v>
      </c>
      <c r="AM1031" s="25">
        <v>54700</v>
      </c>
      <c r="AN1031" s="25">
        <v>338000</v>
      </c>
      <c r="AO1031" s="25">
        <v>0</v>
      </c>
      <c r="AP1031" s="25">
        <f>Lookups!$B$56*0</f>
        <v>0</v>
      </c>
      <c r="AQ1031" s="25">
        <f>Lookups!$B$56*1</f>
        <v>89850.625589999996</v>
      </c>
      <c r="AR1031" s="25">
        <f>Lookups!$B$57*Inventory[[#This Row],[LnAcres]]</f>
        <v>-54281.285314520763</v>
      </c>
      <c r="AS1031" s="25">
        <f>VLOOKUP(Inventory[[#This Row],[Qlty]],Lookups!$A$62:$E$75,2,FALSE)</f>
        <v>44121.038090000002</v>
      </c>
      <c r="AT1031" s="25">
        <f>VLOOKUP(Inventory[[#This Row],[Cnd]],Lookups!$A$76:$E$84,2,FALSE)</f>
        <v>197752.34721000001</v>
      </c>
      <c r="AU1031" s="25">
        <f>Inventory[[#This Row],[EffAge]]*Lookups!$B$85</f>
        <v>-11598.371226000001</v>
      </c>
      <c r="AV1031" s="25">
        <f>Inventory[[#This Row],[MainFn]]*Lookups!$B$86</f>
        <v>69122.729157923008</v>
      </c>
      <c r="AW1031" s="25">
        <f>Inventory[[#This Row],[UpprFn]]*Lookups!$B$87</f>
        <v>0</v>
      </c>
      <c r="AX1031" s="25">
        <f>Inventory[[#This Row],[AddFn]]*Lookups!$B$88</f>
        <v>0</v>
      </c>
      <c r="AY1031" s="25">
        <f>Inventory[[#This Row],[Bsmt]]*Lookups!$B$89</f>
        <v>32542.640781392998</v>
      </c>
      <c r="AZ1031" s="25">
        <f>Inventory[[#This Row],[Fixtures]]*Lookups!$B$90</f>
        <v>41712.243157199999</v>
      </c>
      <c r="BA1031" s="25">
        <f>Inventory[[#This Row],[WdDeck]]*Lookups!$B$91</f>
        <v>10255.018705008</v>
      </c>
      <c r="BB1031" s="25">
        <f>ROUND(Inventory[[#This Row],[25Det]],-2)</f>
        <v>5300</v>
      </c>
      <c r="BC1031" s="25">
        <f>ROUND(SUM(Inventory[[#This Row],[Mdl Qlty]:[Mdl WdDeck]])+Inventory[[#This Row],[Mdl Res Intercept]],-2)</f>
        <v>383900</v>
      </c>
      <c r="BD1031" s="25">
        <f>ROUND(Inventory[[#This Row],[Mdl Land Intercept]]+Inventory[[#This Row],[Mdl LnAcres]],-2)</f>
        <v>35600</v>
      </c>
      <c r="BE1031" s="25">
        <f>Inventory[[#This Row],[Unadj Res Value]]+Inventory[[#This Row],[Unadj Det Value]]+Inventory[[#This Row],[Unadj Land Value]]</f>
        <v>424800</v>
      </c>
      <c r="BF1031" s="36">
        <f>(Inventory[[#This Row],[Unadj Total Value]]-Inventory[[#This Row],[24Final]])/Inventory[[#This Row],[24Final]]</f>
        <v>8.1741787624140569E-2</v>
      </c>
      <c r="BG1031" s="25">
        <f>VLOOKUP(Inventory[[#This Row],[Nbhd]],Lookups!$Q$2:$T$4,4,FALSE)</f>
        <v>0.99970000000000003</v>
      </c>
      <c r="BH1031" s="25">
        <f>VLOOKUP(Inventory[[#This Row],[Qlty]],Lookups!$O$7:$R$21,4,FALSE)</f>
        <v>0.98050000000000004</v>
      </c>
      <c r="BI1031" s="25">
        <f>VLOOKUP(Inventory[[#This Row],[Cnd]],Lookups!$T$7:$W$16,4,FALSE)</f>
        <v>0.99650000000000005</v>
      </c>
      <c r="BJ1031" s="25">
        <f>VLOOKUP(Inventory[[#This Row],[LivArea Range]],Lookups!$T$25:$W$37,4,FALSE)</f>
        <v>0.96179999999999999</v>
      </c>
      <c r="BK1031" s="25">
        <f>VLOOKUP(Inventory[[#This Row],[Decade]],Lookups!$O$25:$R$42,4,FALSE)</f>
        <v>0.995</v>
      </c>
      <c r="BL1031" s="25">
        <f>Inventory[[#This Row],[Nbhd Adj]]*0.95</f>
        <v>0.94971499999999998</v>
      </c>
      <c r="BM1031" s="25">
        <f>Inventory[[#This Row],[Nbhd Adj]]*Inventory[[#This Row],[Quality Adj]]*Inventory[[#This Row],[Condition Adj]]*Inventory[[#This Row],[Living Area Adj]]*Inventory[[#This Row],[Decade Adj]]*0.95</f>
        <v>0.88802675758029637</v>
      </c>
      <c r="BN1031" s="25">
        <f>ROUND(SUM(Inventory[[#This Row],[Mdl Qlty]:[Mdl WdDeck]])+Inventory[[#This Row],[Mdl Res Intercept]]*Inventory[[#This Row],[Res Adj ]],-2)</f>
        <v>383900</v>
      </c>
      <c r="BO1031" s="25">
        <f>ROUND(Inventory[[#This Row],[25Det]]*Inventory[[#This Row],[Det/Nbhd Adj]],-2)</f>
        <v>5000</v>
      </c>
      <c r="BP1031" s="25">
        <f>Inventory[[#This Row],[Adjusted Res]]+Inventory[[#This Row],[Adj Det ]]</f>
        <v>388900</v>
      </c>
      <c r="BQ1031" s="25">
        <f>ROUND((Inventory[[#This Row],[Mdl Land Intercept]]+Inventory[[#This Row],[Mdl LnAcres]])*Inventory[[#This Row],[Det/Nbhd Adj]],-2)</f>
        <v>33800</v>
      </c>
      <c r="BR1031" s="25">
        <f>Inventory[[#This Row],[Adjusted Impr Total]]+Inventory[[#This Row],[Adjusted Land Total]]</f>
        <v>422700</v>
      </c>
      <c r="BS1031" s="36">
        <f>IFERROR((Inventory[[#This Row],[Adjusted Impr Total]]-Inventory[[#This Row],[24Bldg]])/Inventory[[#This Row],[24Bldg]],0)</f>
        <v>0.15059171597633136</v>
      </c>
      <c r="BT1031" s="36">
        <f>(Inventory[[#This Row],[Adjusted Land Total]]-Inventory[[#This Row],[24Lnd]])/Inventory[[#This Row],[24Lnd]]</f>
        <v>-0.38208409506398539</v>
      </c>
      <c r="BU1031" s="36">
        <f>(Inventory[[#This Row],[Adjusted Total]]-Inventory[[#This Row],[24Final]])/Inventory[[#This Row],[24Final]]</f>
        <v>7.6394194041252861E-2</v>
      </c>
    </row>
    <row r="1032" spans="1:73" x14ac:dyDescent="0.3">
      <c r="A1032" s="25">
        <v>2025</v>
      </c>
      <c r="B1032" s="26" t="s">
        <v>1673</v>
      </c>
      <c r="C1032" s="26">
        <f>LN(Inventory[[#This Row],[Acres]])</f>
        <v>-1.6094379124341003</v>
      </c>
      <c r="D1032" s="25">
        <v>0.2</v>
      </c>
      <c r="E1032" s="31"/>
      <c r="F1032" s="26" t="s">
        <v>537</v>
      </c>
      <c r="G1032" s="26" t="s">
        <v>126</v>
      </c>
      <c r="H1032" s="26" t="s">
        <v>349</v>
      </c>
      <c r="I1032" s="26" t="s">
        <v>538</v>
      </c>
      <c r="J1032" s="26" t="s">
        <v>539</v>
      </c>
      <c r="K1032" s="26" t="s">
        <v>147</v>
      </c>
      <c r="L1032" s="26" t="s">
        <v>302</v>
      </c>
      <c r="M1032" s="26" t="s">
        <v>303</v>
      </c>
      <c r="N1032" s="26">
        <v>80</v>
      </c>
      <c r="O1032" s="26">
        <f>2024-Inventory[[#This Row],[YrBlt]]</f>
        <v>78</v>
      </c>
      <c r="P1032" s="26">
        <f>2024-Inventory[[#This Row],[EffYr]]</f>
        <v>52</v>
      </c>
      <c r="Q1032" s="25">
        <v>1946</v>
      </c>
      <c r="R1032" s="25">
        <v>1972</v>
      </c>
      <c r="S1032" s="25">
        <v>1211</v>
      </c>
      <c r="T1032" s="32">
        <v>546</v>
      </c>
      <c r="U1032" s="25">
        <v>1211</v>
      </c>
      <c r="V1032" s="32">
        <f>Inventory[[#This Row],[Bsmt]]-Inventory[[#This Row],[FnBsmt]]</f>
        <v>605</v>
      </c>
      <c r="W1032" s="32">
        <v>606</v>
      </c>
      <c r="X1032" s="27"/>
      <c r="Y1032" s="27">
        <f>Inventory[[#This Row],[MainFn]]+Inventory[[#This Row],[UpprFn]]+Inventory[[#This Row],[FnBsmt]]+Inventory[[#This Row],[AddFn]]</f>
        <v>2363</v>
      </c>
      <c r="Z1032" s="27">
        <v>2500</v>
      </c>
      <c r="AA1032" s="25">
        <v>7</v>
      </c>
      <c r="AB1032" s="27"/>
      <c r="AC1032" s="27"/>
      <c r="AD1032" s="27"/>
      <c r="AE1032" s="27"/>
      <c r="AF1032" s="27"/>
      <c r="AG1032" s="31"/>
      <c r="AH1032" s="27"/>
      <c r="AI1032" s="25">
        <v>389663</v>
      </c>
      <c r="AJ1032" s="25">
        <v>272764</v>
      </c>
      <c r="AK1032" s="25">
        <v>7015</v>
      </c>
      <c r="AL1032" s="25">
        <v>378500</v>
      </c>
      <c r="AM1032" s="25">
        <v>58400</v>
      </c>
      <c r="AN1032" s="25">
        <v>320100</v>
      </c>
      <c r="AO1032" s="25">
        <v>0</v>
      </c>
      <c r="AP1032" s="25">
        <f>Lookups!$B$56*0</f>
        <v>0</v>
      </c>
      <c r="AQ1032" s="25">
        <f>Lookups!$B$56*1</f>
        <v>89850.625589999996</v>
      </c>
      <c r="AR1032" s="25">
        <f>Lookups!$B$57*Inventory[[#This Row],[LnAcres]]</f>
        <v>-50946.13867709865</v>
      </c>
      <c r="AS1032" s="25">
        <f>VLOOKUP(Inventory[[#This Row],[Qlty]],Lookups!$A$62:$E$75,2,FALSE)</f>
        <v>29814.093161000001</v>
      </c>
      <c r="AT1032" s="25">
        <f>VLOOKUP(Inventory[[#This Row],[Cnd]],Lookups!$A$76:$E$84,2,FALSE)</f>
        <v>197752.34721000001</v>
      </c>
      <c r="AU1032" s="25">
        <f>Inventory[[#This Row],[EffAge]]*Lookups!$B$85</f>
        <v>-11598.371226000001</v>
      </c>
      <c r="AV1032" s="25">
        <f>Inventory[[#This Row],[MainFn]]*Lookups!$B$86</f>
        <v>59833.899221047002</v>
      </c>
      <c r="AW1032" s="25">
        <f>Inventory[[#This Row],[UpprFn]]*Lookups!$B$87</f>
        <v>24453.386882105999</v>
      </c>
      <c r="AX1032" s="25">
        <f>Inventory[[#This Row],[AddFn]]*Lookups!$B$88</f>
        <v>0</v>
      </c>
      <c r="AY1032" s="25">
        <f>Inventory[[#This Row],[Bsmt]]*Lookups!$B$89</f>
        <v>35218.175144116998</v>
      </c>
      <c r="AZ1032" s="25">
        <f>Inventory[[#This Row],[Fixtures]]*Lookups!$B$90</f>
        <v>26544.1547364</v>
      </c>
      <c r="BA1032" s="25">
        <f>Inventory[[#This Row],[WdDeck]]*Lookups!$B$91</f>
        <v>0</v>
      </c>
      <c r="BB1032" s="25">
        <f>ROUND(Inventory[[#This Row],[25Det]],-2)</f>
        <v>7000</v>
      </c>
      <c r="BC1032" s="25">
        <f>ROUND(SUM(Inventory[[#This Row],[Mdl Qlty]:[Mdl WdDeck]])+Inventory[[#This Row],[Mdl Res Intercept]],-2)</f>
        <v>362000</v>
      </c>
      <c r="BD1032" s="25">
        <f>ROUND(Inventory[[#This Row],[Mdl Land Intercept]]+Inventory[[#This Row],[Mdl LnAcres]],-2)</f>
        <v>38900</v>
      </c>
      <c r="BE1032" s="25">
        <f>Inventory[[#This Row],[Unadj Res Value]]+Inventory[[#This Row],[Unadj Det Value]]+Inventory[[#This Row],[Unadj Land Value]]</f>
        <v>407900</v>
      </c>
      <c r="BF1032" s="36">
        <f>(Inventory[[#This Row],[Unadj Total Value]]-Inventory[[#This Row],[24Final]])/Inventory[[#This Row],[24Final]]</f>
        <v>7.767503302509908E-2</v>
      </c>
      <c r="BG1032" s="25">
        <f>VLOOKUP(Inventory[[#This Row],[Nbhd]],Lookups!$Q$2:$T$4,4,FALSE)</f>
        <v>0.99970000000000003</v>
      </c>
      <c r="BH1032" s="25">
        <f>VLOOKUP(Inventory[[#This Row],[Qlty]],Lookups!$O$7:$R$21,4,FALSE)</f>
        <v>1.0088999999999999</v>
      </c>
      <c r="BI1032" s="25">
        <f>VLOOKUP(Inventory[[#This Row],[Cnd]],Lookups!$T$7:$W$16,4,FALSE)</f>
        <v>0.99650000000000005</v>
      </c>
      <c r="BJ1032" s="25">
        <f>VLOOKUP(Inventory[[#This Row],[LivArea Range]],Lookups!$T$25:$W$37,4,FALSE)</f>
        <v>0.98919999999999997</v>
      </c>
      <c r="BK1032" s="25">
        <f>VLOOKUP(Inventory[[#This Row],[Decade]],Lookups!$O$25:$R$42,4,FALSE)</f>
        <v>0.995</v>
      </c>
      <c r="BL1032" s="25">
        <f>Inventory[[#This Row],[Nbhd Adj]]*0.95</f>
        <v>0.94971499999999998</v>
      </c>
      <c r="BM1032" s="25">
        <f>Inventory[[#This Row],[Nbhd Adj]]*Inventory[[#This Row],[Quality Adj]]*Inventory[[#This Row],[Condition Adj]]*Inventory[[#This Row],[Living Area Adj]]*Inventory[[#This Row],[Decade Adj]]*0.95</f>
        <v>0.93977937806455991</v>
      </c>
      <c r="BN1032" s="25">
        <f>ROUND(SUM(Inventory[[#This Row],[Mdl Qlty]:[Mdl WdDeck]])+Inventory[[#This Row],[Mdl Res Intercept]]*Inventory[[#This Row],[Res Adj ]],-2)</f>
        <v>362000</v>
      </c>
      <c r="BO1032" s="25">
        <f>ROUND(Inventory[[#This Row],[25Det]]*Inventory[[#This Row],[Det/Nbhd Adj]],-2)</f>
        <v>6700</v>
      </c>
      <c r="BP1032" s="25">
        <f>Inventory[[#This Row],[Adjusted Res]]+Inventory[[#This Row],[Adj Det ]]</f>
        <v>368700</v>
      </c>
      <c r="BQ1032" s="25">
        <f>ROUND((Inventory[[#This Row],[Mdl Land Intercept]]+Inventory[[#This Row],[Mdl LnAcres]])*Inventory[[#This Row],[Det/Nbhd Adj]],-2)</f>
        <v>36900</v>
      </c>
      <c r="BR1032" s="25">
        <f>Inventory[[#This Row],[Adjusted Impr Total]]+Inventory[[#This Row],[Adjusted Land Total]]</f>
        <v>405600</v>
      </c>
      <c r="BS1032" s="36">
        <f>IFERROR((Inventory[[#This Row],[Adjusted Impr Total]]-Inventory[[#This Row],[24Bldg]])/Inventory[[#This Row],[24Bldg]],0)</f>
        <v>0.15182755388940955</v>
      </c>
      <c r="BT1032" s="36">
        <f>(Inventory[[#This Row],[Adjusted Land Total]]-Inventory[[#This Row],[24Lnd]])/Inventory[[#This Row],[24Lnd]]</f>
        <v>-0.36815068493150682</v>
      </c>
      <c r="BU1032" s="36">
        <f>(Inventory[[#This Row],[Adjusted Total]]-Inventory[[#This Row],[24Final]])/Inventory[[#This Row],[24Final]]</f>
        <v>7.1598414795244383E-2</v>
      </c>
    </row>
    <row r="1033" spans="1:73" x14ac:dyDescent="0.3">
      <c r="A1033" s="25">
        <v>2025</v>
      </c>
      <c r="B1033" s="26" t="s">
        <v>1086</v>
      </c>
      <c r="C1033" s="26">
        <f>LN(Inventory[[#This Row],[Acres]])</f>
        <v>-1.6094379124341003</v>
      </c>
      <c r="D1033" s="25">
        <v>0.2</v>
      </c>
      <c r="E1033" s="31"/>
      <c r="F1033" s="26" t="s">
        <v>537</v>
      </c>
      <c r="G1033" s="26" t="s">
        <v>126</v>
      </c>
      <c r="H1033" s="26" t="s">
        <v>349</v>
      </c>
      <c r="I1033" s="26" t="s">
        <v>538</v>
      </c>
      <c r="J1033" s="26" t="s">
        <v>539</v>
      </c>
      <c r="K1033" s="26" t="s">
        <v>242</v>
      </c>
      <c r="L1033" s="26" t="s">
        <v>351</v>
      </c>
      <c r="M1033" s="26" t="s">
        <v>303</v>
      </c>
      <c r="N1033" s="26">
        <v>80</v>
      </c>
      <c r="O1033" s="26">
        <f>2024-Inventory[[#This Row],[YrBlt]]</f>
        <v>78</v>
      </c>
      <c r="P1033" s="26">
        <f>2024-Inventory[[#This Row],[EffYr]]</f>
        <v>52</v>
      </c>
      <c r="Q1033" s="25">
        <v>1946</v>
      </c>
      <c r="R1033" s="25">
        <v>1972</v>
      </c>
      <c r="S1033" s="25">
        <v>1217</v>
      </c>
      <c r="T1033" s="27"/>
      <c r="U1033" s="25">
        <v>1008</v>
      </c>
      <c r="V1033" s="25">
        <f>Inventory[[#This Row],[Bsmt]]-Inventory[[#This Row],[FnBsmt]]</f>
        <v>504</v>
      </c>
      <c r="W1033" s="25">
        <v>504</v>
      </c>
      <c r="X1033" s="27"/>
      <c r="Y1033" s="27">
        <f>Inventory[[#This Row],[MainFn]]+Inventory[[#This Row],[UpprFn]]+Inventory[[#This Row],[FnBsmt]]+Inventory[[#This Row],[AddFn]]</f>
        <v>1721</v>
      </c>
      <c r="Z1033" s="27">
        <v>2000</v>
      </c>
      <c r="AA1033" s="25">
        <v>11</v>
      </c>
      <c r="AB1033" s="27"/>
      <c r="AC1033" s="27"/>
      <c r="AD1033" s="27"/>
      <c r="AE1033" s="27"/>
      <c r="AF1033" s="27"/>
      <c r="AG1033" s="31"/>
      <c r="AH1033" s="27"/>
      <c r="AI1033" s="25">
        <v>282445</v>
      </c>
      <c r="AJ1033" s="25">
        <v>197712</v>
      </c>
      <c r="AK1033" s="25">
        <v>17002</v>
      </c>
      <c r="AL1033" s="25">
        <v>367500</v>
      </c>
      <c r="AM1033" s="25">
        <v>58400</v>
      </c>
      <c r="AN1033" s="25">
        <v>309100</v>
      </c>
      <c r="AO1033" s="25">
        <v>0</v>
      </c>
      <c r="AP1033" s="25">
        <f>Lookups!$B$56*0</f>
        <v>0</v>
      </c>
      <c r="AQ1033" s="25">
        <f>Lookups!$B$56*1</f>
        <v>89850.625589999996</v>
      </c>
      <c r="AR1033" s="25">
        <f>Lookups!$B$57*Inventory[[#This Row],[LnAcres]]</f>
        <v>-50946.13867709865</v>
      </c>
      <c r="AS1033" s="25">
        <f>VLOOKUP(Inventory[[#This Row],[Qlty]],Lookups!$A$62:$E$75,2,FALSE)</f>
        <v>21557.329055999999</v>
      </c>
      <c r="AT1033" s="25">
        <f>VLOOKUP(Inventory[[#This Row],[Cnd]],Lookups!$A$76:$E$84,2,FALSE)</f>
        <v>197752.34721000001</v>
      </c>
      <c r="AU1033" s="25">
        <f>Inventory[[#This Row],[EffAge]]*Lookups!$B$85</f>
        <v>-11598.371226000001</v>
      </c>
      <c r="AV1033" s="25">
        <f>Inventory[[#This Row],[MainFn]]*Lookups!$B$86</f>
        <v>60130.351240308999</v>
      </c>
      <c r="AW1033" s="25">
        <f>Inventory[[#This Row],[UpprFn]]*Lookups!$B$87</f>
        <v>0</v>
      </c>
      <c r="AX1033" s="25">
        <f>Inventory[[#This Row],[AddFn]]*Lookups!$B$88</f>
        <v>0</v>
      </c>
      <c r="AY1033" s="25">
        <f>Inventory[[#This Row],[Bsmt]]*Lookups!$B$89</f>
        <v>29314.550408976</v>
      </c>
      <c r="AZ1033" s="25">
        <f>Inventory[[#This Row],[Fixtures]]*Lookups!$B$90</f>
        <v>41712.243157199999</v>
      </c>
      <c r="BA1033" s="25">
        <f>Inventory[[#This Row],[WdDeck]]*Lookups!$B$91</f>
        <v>0</v>
      </c>
      <c r="BB1033" s="25">
        <f>ROUND(Inventory[[#This Row],[25Det]],-2)</f>
        <v>17000</v>
      </c>
      <c r="BC1033" s="25">
        <f>ROUND(SUM(Inventory[[#This Row],[Mdl Qlty]:[Mdl WdDeck]])+Inventory[[#This Row],[Mdl Res Intercept]],-2)</f>
        <v>338900</v>
      </c>
      <c r="BD1033" s="25">
        <f>ROUND(Inventory[[#This Row],[Mdl Land Intercept]]+Inventory[[#This Row],[Mdl LnAcres]],-2)</f>
        <v>38900</v>
      </c>
      <c r="BE1033" s="25">
        <f>Inventory[[#This Row],[Unadj Res Value]]+Inventory[[#This Row],[Unadj Det Value]]+Inventory[[#This Row],[Unadj Land Value]]</f>
        <v>394800</v>
      </c>
      <c r="BF1033" s="36">
        <f>(Inventory[[#This Row],[Unadj Total Value]]-Inventory[[#This Row],[24Final]])/Inventory[[#This Row],[24Final]]</f>
        <v>7.4285714285714288E-2</v>
      </c>
      <c r="BG1033" s="25">
        <f>VLOOKUP(Inventory[[#This Row],[Nbhd]],Lookups!$Q$2:$T$4,4,FALSE)</f>
        <v>0.99970000000000003</v>
      </c>
      <c r="BH1033" s="25">
        <f>VLOOKUP(Inventory[[#This Row],[Qlty]],Lookups!$O$7:$R$21,4,FALSE)</f>
        <v>1.0067999999999999</v>
      </c>
      <c r="BI1033" s="25">
        <f>VLOOKUP(Inventory[[#This Row],[Cnd]],Lookups!$T$7:$W$16,4,FALSE)</f>
        <v>0.99650000000000005</v>
      </c>
      <c r="BJ1033" s="25">
        <f>VLOOKUP(Inventory[[#This Row],[LivArea Range]],Lookups!$T$25:$W$37,4,FALSE)</f>
        <v>1.0093000000000001</v>
      </c>
      <c r="BK1033" s="25">
        <f>VLOOKUP(Inventory[[#This Row],[Decade]],Lookups!$O$25:$R$42,4,FALSE)</f>
        <v>0.995</v>
      </c>
      <c r="BL1033" s="25">
        <f>Inventory[[#This Row],[Nbhd Adj]]*0.95</f>
        <v>0.94971499999999998</v>
      </c>
      <c r="BM1033" s="25">
        <f>Inventory[[#This Row],[Nbhd Adj]]*Inventory[[#This Row],[Quality Adj]]*Inventory[[#This Row],[Condition Adj]]*Inventory[[#This Row],[Living Area Adj]]*Inventory[[#This Row],[Decade Adj]]*0.95</f>
        <v>0.95687930361479956</v>
      </c>
      <c r="BN1033" s="25">
        <f>ROUND(SUM(Inventory[[#This Row],[Mdl Qlty]:[Mdl WdDeck]])+Inventory[[#This Row],[Mdl Res Intercept]]*Inventory[[#This Row],[Res Adj ]],-2)</f>
        <v>338900</v>
      </c>
      <c r="BO1033" s="25">
        <f>ROUND(Inventory[[#This Row],[25Det]]*Inventory[[#This Row],[Det/Nbhd Adj]],-2)</f>
        <v>16100</v>
      </c>
      <c r="BP1033" s="25">
        <f>Inventory[[#This Row],[Adjusted Res]]+Inventory[[#This Row],[Adj Det ]]</f>
        <v>355000</v>
      </c>
      <c r="BQ1033" s="25">
        <f>ROUND((Inventory[[#This Row],[Mdl Land Intercept]]+Inventory[[#This Row],[Mdl LnAcres]])*Inventory[[#This Row],[Det/Nbhd Adj]],-2)</f>
        <v>36900</v>
      </c>
      <c r="BR1033" s="25">
        <f>Inventory[[#This Row],[Adjusted Impr Total]]+Inventory[[#This Row],[Adjusted Land Total]]</f>
        <v>391900</v>
      </c>
      <c r="BS1033" s="36">
        <f>IFERROR((Inventory[[#This Row],[Adjusted Impr Total]]-Inventory[[#This Row],[24Bldg]])/Inventory[[#This Row],[24Bldg]],0)</f>
        <v>0.1484956324813976</v>
      </c>
      <c r="BT1033" s="36">
        <f>(Inventory[[#This Row],[Adjusted Land Total]]-Inventory[[#This Row],[24Lnd]])/Inventory[[#This Row],[24Lnd]]</f>
        <v>-0.36815068493150682</v>
      </c>
      <c r="BU1033" s="36">
        <f>(Inventory[[#This Row],[Adjusted Total]]-Inventory[[#This Row],[24Final]])/Inventory[[#This Row],[24Final]]</f>
        <v>6.6394557823129252E-2</v>
      </c>
    </row>
    <row r="1034" spans="1:73" x14ac:dyDescent="0.3">
      <c r="A1034" s="25">
        <v>2025</v>
      </c>
      <c r="B1034" s="26" t="s">
        <v>2823</v>
      </c>
      <c r="C1034" s="26">
        <f>LN(Inventory[[#This Row],[Acres]])</f>
        <v>-1.7719568419318752</v>
      </c>
      <c r="D1034" s="25">
        <v>0.17</v>
      </c>
      <c r="E1034" s="25">
        <v>7251</v>
      </c>
      <c r="F1034" s="26" t="s">
        <v>537</v>
      </c>
      <c r="G1034" s="26" t="s">
        <v>126</v>
      </c>
      <c r="H1034" s="26" t="s">
        <v>349</v>
      </c>
      <c r="I1034" s="26" t="s">
        <v>538</v>
      </c>
      <c r="J1034" s="26" t="s">
        <v>539</v>
      </c>
      <c r="K1034" s="26" t="s">
        <v>241</v>
      </c>
      <c r="L1034" s="26" t="s">
        <v>148</v>
      </c>
      <c r="M1034" s="26" t="s">
        <v>303</v>
      </c>
      <c r="N1034" s="26">
        <v>80</v>
      </c>
      <c r="O1034" s="26">
        <f>2024-Inventory[[#This Row],[YrBlt]]</f>
        <v>78</v>
      </c>
      <c r="P1034" s="26">
        <f>2024-Inventory[[#This Row],[EffYr]]</f>
        <v>52</v>
      </c>
      <c r="Q1034" s="25">
        <v>1946</v>
      </c>
      <c r="R1034" s="25">
        <v>1972</v>
      </c>
      <c r="S1034" s="25">
        <v>1180</v>
      </c>
      <c r="T1034" s="31"/>
      <c r="U1034" s="32">
        <v>1180</v>
      </c>
      <c r="V1034" s="32">
        <f>Inventory[[#This Row],[Bsmt]]-Inventory[[#This Row],[FnBsmt]]</f>
        <v>295</v>
      </c>
      <c r="W1034" s="32">
        <v>885</v>
      </c>
      <c r="X1034" s="27"/>
      <c r="Y1034" s="27">
        <f>Inventory[[#This Row],[MainFn]]+Inventory[[#This Row],[UpprFn]]+Inventory[[#This Row],[FnBsmt]]+Inventory[[#This Row],[AddFn]]</f>
        <v>2065</v>
      </c>
      <c r="Z1034" s="27">
        <v>2500</v>
      </c>
      <c r="AA1034" s="25">
        <v>9</v>
      </c>
      <c r="AB1034" s="32">
        <v>330</v>
      </c>
      <c r="AC1034" s="27"/>
      <c r="AD1034" s="31"/>
      <c r="AE1034" s="27"/>
      <c r="AF1034" s="27"/>
      <c r="AG1034" s="31"/>
      <c r="AH1034" s="27"/>
      <c r="AI1034" s="25">
        <v>432993</v>
      </c>
      <c r="AJ1034" s="25">
        <v>303095</v>
      </c>
      <c r="AK1034" s="25">
        <v>0</v>
      </c>
      <c r="AL1034" s="25">
        <v>365000</v>
      </c>
      <c r="AM1034" s="25">
        <v>52700</v>
      </c>
      <c r="AN1034" s="25">
        <v>312300</v>
      </c>
      <c r="AO1034" s="25">
        <v>0</v>
      </c>
      <c r="AP1034" s="25">
        <f>Lookups!$B$56*0</f>
        <v>0</v>
      </c>
      <c r="AQ1034" s="25">
        <f>Lookups!$B$56*1</f>
        <v>89850.625589999996</v>
      </c>
      <c r="AR1034" s="25">
        <f>Lookups!$B$57*Inventory[[#This Row],[LnAcres]]</f>
        <v>-56090.612940989391</v>
      </c>
      <c r="AS1034" s="25">
        <f>VLOOKUP(Inventory[[#This Row],[Qlty]],Lookups!$A$62:$E$75,2,FALSE)</f>
        <v>44121.038090000002</v>
      </c>
      <c r="AT1034" s="25">
        <f>VLOOKUP(Inventory[[#This Row],[Cnd]],Lookups!$A$76:$E$84,2,FALSE)</f>
        <v>197752.34721000001</v>
      </c>
      <c r="AU1034" s="25">
        <f>Inventory[[#This Row],[EffAge]]*Lookups!$B$85</f>
        <v>-11598.371226000001</v>
      </c>
      <c r="AV1034" s="25">
        <f>Inventory[[#This Row],[MainFn]]*Lookups!$B$86</f>
        <v>58302.23045486</v>
      </c>
      <c r="AW1034" s="25">
        <f>Inventory[[#This Row],[UpprFn]]*Lookups!$B$87</f>
        <v>0</v>
      </c>
      <c r="AX1034" s="25">
        <f>Inventory[[#This Row],[AddFn]]*Lookups!$B$88</f>
        <v>0</v>
      </c>
      <c r="AY1034" s="25">
        <f>Inventory[[#This Row],[Bsmt]]*Lookups!$B$89</f>
        <v>34316.636391460001</v>
      </c>
      <c r="AZ1034" s="25">
        <f>Inventory[[#This Row],[Fixtures]]*Lookups!$B$90</f>
        <v>34128.198946800003</v>
      </c>
      <c r="BA1034" s="25">
        <f>Inventory[[#This Row],[WdDeck]]*Lookups!$B$91</f>
        <v>0</v>
      </c>
      <c r="BB1034" s="25">
        <f>ROUND(Inventory[[#This Row],[25Det]],-2)</f>
        <v>0</v>
      </c>
      <c r="BC1034" s="25">
        <f>ROUND(SUM(Inventory[[#This Row],[Mdl Qlty]:[Mdl WdDeck]])+Inventory[[#This Row],[Mdl Res Intercept]],-2)</f>
        <v>357000</v>
      </c>
      <c r="BD1034" s="25">
        <f>ROUND(Inventory[[#This Row],[Mdl Land Intercept]]+Inventory[[#This Row],[Mdl LnAcres]],-2)</f>
        <v>33800</v>
      </c>
      <c r="BE1034" s="25">
        <f>Inventory[[#This Row],[Unadj Res Value]]+Inventory[[#This Row],[Unadj Det Value]]+Inventory[[#This Row],[Unadj Land Value]]</f>
        <v>390800</v>
      </c>
      <c r="BF1034" s="36">
        <f>(Inventory[[#This Row],[Unadj Total Value]]-Inventory[[#This Row],[24Final]])/Inventory[[#This Row],[24Final]]</f>
        <v>7.0684931506849319E-2</v>
      </c>
      <c r="BG1034" s="25">
        <f>VLOOKUP(Inventory[[#This Row],[Nbhd]],Lookups!$Q$2:$T$4,4,FALSE)</f>
        <v>0.99970000000000003</v>
      </c>
      <c r="BH1034" s="25">
        <f>VLOOKUP(Inventory[[#This Row],[Qlty]],Lookups!$O$7:$R$21,4,FALSE)</f>
        <v>0.98050000000000004</v>
      </c>
      <c r="BI1034" s="25">
        <f>VLOOKUP(Inventory[[#This Row],[Cnd]],Lookups!$T$7:$W$16,4,FALSE)</f>
        <v>0.99650000000000005</v>
      </c>
      <c r="BJ1034" s="25">
        <f>VLOOKUP(Inventory[[#This Row],[LivArea Range]],Lookups!$T$25:$W$37,4,FALSE)</f>
        <v>0.98919999999999997</v>
      </c>
      <c r="BK1034" s="25">
        <f>VLOOKUP(Inventory[[#This Row],[Decade]],Lookups!$O$25:$R$42,4,FALSE)</f>
        <v>0.995</v>
      </c>
      <c r="BL1034" s="25">
        <f>Inventory[[#This Row],[Nbhd Adj]]*0.95</f>
        <v>0.94971499999999998</v>
      </c>
      <c r="BM1034" s="25">
        <f>Inventory[[#This Row],[Nbhd Adj]]*Inventory[[#This Row],[Quality Adj]]*Inventory[[#This Row],[Condition Adj]]*Inventory[[#This Row],[Living Area Adj]]*Inventory[[#This Row],[Decade Adj]]*0.95</f>
        <v>0.91332508691872449</v>
      </c>
      <c r="BN1034" s="25">
        <f>ROUND(SUM(Inventory[[#This Row],[Mdl Qlty]:[Mdl WdDeck]])+Inventory[[#This Row],[Mdl Res Intercept]]*Inventory[[#This Row],[Res Adj ]],-2)</f>
        <v>357000</v>
      </c>
      <c r="BO1034" s="25">
        <f>ROUND(Inventory[[#This Row],[25Det]]*Inventory[[#This Row],[Det/Nbhd Adj]],-2)</f>
        <v>0</v>
      </c>
      <c r="BP1034" s="25">
        <f>Inventory[[#This Row],[Adjusted Res]]+Inventory[[#This Row],[Adj Det ]]</f>
        <v>357000</v>
      </c>
      <c r="BQ1034" s="25">
        <f>ROUND((Inventory[[#This Row],[Mdl Land Intercept]]+Inventory[[#This Row],[Mdl LnAcres]])*Inventory[[#This Row],[Det/Nbhd Adj]],-2)</f>
        <v>32100</v>
      </c>
      <c r="BR1034" s="25">
        <f>Inventory[[#This Row],[Adjusted Impr Total]]+Inventory[[#This Row],[Adjusted Land Total]]</f>
        <v>389100</v>
      </c>
      <c r="BS1034" s="36">
        <f>IFERROR((Inventory[[#This Row],[Adjusted Impr Total]]-Inventory[[#This Row],[24Bldg]])/Inventory[[#This Row],[24Bldg]],0)</f>
        <v>0.14313160422670509</v>
      </c>
      <c r="BT1034" s="36">
        <f>(Inventory[[#This Row],[Adjusted Land Total]]-Inventory[[#This Row],[24Lnd]])/Inventory[[#This Row],[24Lnd]]</f>
        <v>-0.39089184060721061</v>
      </c>
      <c r="BU1034" s="36">
        <f>(Inventory[[#This Row],[Adjusted Total]]-Inventory[[#This Row],[24Final]])/Inventory[[#This Row],[24Final]]</f>
        <v>6.6027397260273971E-2</v>
      </c>
    </row>
    <row r="1035" spans="1:73" x14ac:dyDescent="0.3">
      <c r="A1035" s="25">
        <v>2025</v>
      </c>
      <c r="B1035" s="26" t="s">
        <v>1441</v>
      </c>
      <c r="C1035" s="26">
        <f>LN(Inventory[[#This Row],[Acres]])</f>
        <v>-2.120263536200091</v>
      </c>
      <c r="D1035" s="25">
        <v>0.12</v>
      </c>
      <c r="E1035" s="32">
        <v>5036</v>
      </c>
      <c r="F1035" s="26" t="s">
        <v>537</v>
      </c>
      <c r="G1035" s="26" t="s">
        <v>126</v>
      </c>
      <c r="H1035" s="26" t="s">
        <v>349</v>
      </c>
      <c r="I1035" s="26" t="s">
        <v>538</v>
      </c>
      <c r="J1035" s="26" t="s">
        <v>539</v>
      </c>
      <c r="K1035" s="26" t="s">
        <v>242</v>
      </c>
      <c r="L1035" s="26" t="s">
        <v>351</v>
      </c>
      <c r="M1035" s="26" t="s">
        <v>323</v>
      </c>
      <c r="N1035" s="26">
        <v>80</v>
      </c>
      <c r="O1035" s="26">
        <f>2024-Inventory[[#This Row],[YrBlt]]</f>
        <v>78</v>
      </c>
      <c r="P1035" s="26">
        <f>2024-Inventory[[#This Row],[EffYr]]</f>
        <v>52</v>
      </c>
      <c r="Q1035" s="25">
        <v>1946</v>
      </c>
      <c r="R1035" s="25">
        <v>1972</v>
      </c>
      <c r="S1035" s="25">
        <v>922</v>
      </c>
      <c r="T1035" s="31"/>
      <c r="U1035" s="25">
        <v>336</v>
      </c>
      <c r="V1035" s="32">
        <f>Inventory[[#This Row],[Bsmt]]-Inventory[[#This Row],[FnBsmt]]</f>
        <v>336</v>
      </c>
      <c r="W1035" s="27"/>
      <c r="X1035" s="27"/>
      <c r="Y1035" s="27">
        <f>Inventory[[#This Row],[MainFn]]+Inventory[[#This Row],[UpprFn]]+Inventory[[#This Row],[FnBsmt]]+Inventory[[#This Row],[AddFn]]</f>
        <v>922</v>
      </c>
      <c r="Z1035" s="27">
        <v>1000</v>
      </c>
      <c r="AA1035" s="25">
        <v>5</v>
      </c>
      <c r="AB1035" s="27"/>
      <c r="AC1035" s="27"/>
      <c r="AD1035" s="31"/>
      <c r="AE1035" s="27"/>
      <c r="AF1035" s="27"/>
      <c r="AG1035" s="27"/>
      <c r="AH1035" s="27"/>
      <c r="AI1035" s="25">
        <v>177586</v>
      </c>
      <c r="AJ1035" s="25">
        <v>120758</v>
      </c>
      <c r="AK1035" s="25">
        <v>2545</v>
      </c>
      <c r="AL1035" s="25">
        <v>252500</v>
      </c>
      <c r="AM1035" s="25">
        <v>40600</v>
      </c>
      <c r="AN1035" s="25">
        <v>211900</v>
      </c>
      <c r="AO1035" s="25">
        <v>0</v>
      </c>
      <c r="AP1035" s="25">
        <f>Lookups!$B$56*0</f>
        <v>0</v>
      </c>
      <c r="AQ1035" s="25">
        <f>Lookups!$B$56*1</f>
        <v>89850.625589999996</v>
      </c>
      <c r="AR1035" s="25">
        <f>Lookups!$B$57*Inventory[[#This Row],[LnAcres]]</f>
        <v>-67116.12750806773</v>
      </c>
      <c r="AS1035" s="25">
        <f>VLOOKUP(Inventory[[#This Row],[Qlty]],Lookups!$A$62:$E$75,2,FALSE)</f>
        <v>21557.329055999999</v>
      </c>
      <c r="AT1035" s="25">
        <f>VLOOKUP(Inventory[[#This Row],[Cnd]],Lookups!$A$76:$E$84,2,FALSE)</f>
        <v>160472.20319</v>
      </c>
      <c r="AU1035" s="25">
        <f>Inventory[[#This Row],[EffAge]]*Lookups!$B$85</f>
        <v>-11598.371226000001</v>
      </c>
      <c r="AV1035" s="25">
        <f>Inventory[[#This Row],[MainFn]]*Lookups!$B$86</f>
        <v>45554.793626594001</v>
      </c>
      <c r="AW1035" s="25">
        <f>Inventory[[#This Row],[UpprFn]]*Lookups!$B$87</f>
        <v>0</v>
      </c>
      <c r="AX1035" s="25">
        <f>Inventory[[#This Row],[AddFn]]*Lookups!$B$88</f>
        <v>0</v>
      </c>
      <c r="AY1035" s="25">
        <f>Inventory[[#This Row],[Bsmt]]*Lookups!$B$89</f>
        <v>9771.5168029919987</v>
      </c>
      <c r="AZ1035" s="25">
        <f>Inventory[[#This Row],[Fixtures]]*Lookups!$B$90</f>
        <v>18960.110526</v>
      </c>
      <c r="BA1035" s="25">
        <f>Inventory[[#This Row],[WdDeck]]*Lookups!$B$91</f>
        <v>0</v>
      </c>
      <c r="BB1035" s="25">
        <f>ROUND(Inventory[[#This Row],[25Det]],-2)</f>
        <v>2500</v>
      </c>
      <c r="BC1035" s="25">
        <f>ROUND(SUM(Inventory[[#This Row],[Mdl Qlty]:[Mdl WdDeck]])+Inventory[[#This Row],[Mdl Res Intercept]],-2)</f>
        <v>244700</v>
      </c>
      <c r="BD1035" s="25">
        <f>ROUND(Inventory[[#This Row],[Mdl Land Intercept]]+Inventory[[#This Row],[Mdl LnAcres]],-2)</f>
        <v>22700</v>
      </c>
      <c r="BE1035" s="25">
        <f>Inventory[[#This Row],[Unadj Res Value]]+Inventory[[#This Row],[Unadj Det Value]]+Inventory[[#This Row],[Unadj Land Value]]</f>
        <v>269900</v>
      </c>
      <c r="BF1035" s="36">
        <f>(Inventory[[#This Row],[Unadj Total Value]]-Inventory[[#This Row],[24Final]])/Inventory[[#This Row],[24Final]]</f>
        <v>6.8910891089108917E-2</v>
      </c>
      <c r="BG1035" s="25">
        <f>VLOOKUP(Inventory[[#This Row],[Nbhd]],Lookups!$Q$2:$T$4,4,FALSE)</f>
        <v>0.99970000000000003</v>
      </c>
      <c r="BH1035" s="25">
        <f>VLOOKUP(Inventory[[#This Row],[Qlty]],Lookups!$O$7:$R$21,4,FALSE)</f>
        <v>1.0067999999999999</v>
      </c>
      <c r="BI1035" s="25">
        <f>VLOOKUP(Inventory[[#This Row],[Cnd]],Lookups!$T$7:$W$16,4,FALSE)</f>
        <v>0.99729999999999996</v>
      </c>
      <c r="BJ1035" s="25">
        <f>VLOOKUP(Inventory[[#This Row],[LivArea Range]],Lookups!$T$25:$W$37,4,FALSE)</f>
        <v>1.0148999999999999</v>
      </c>
      <c r="BK1035" s="25">
        <f>VLOOKUP(Inventory[[#This Row],[Decade]],Lookups!$O$25:$R$42,4,FALSE)</f>
        <v>0.995</v>
      </c>
      <c r="BL1035" s="25">
        <f>Inventory[[#This Row],[Nbhd Adj]]*0.95</f>
        <v>0.94971499999999998</v>
      </c>
      <c r="BM1035" s="25">
        <f>Inventory[[#This Row],[Nbhd Adj]]*Inventory[[#This Row],[Quality Adj]]*Inventory[[#This Row],[Condition Adj]]*Inventory[[#This Row],[Living Area Adj]]*Inventory[[#This Row],[Decade Adj]]*0.95</f>
        <v>0.96296090698154491</v>
      </c>
      <c r="BN1035" s="25">
        <f>ROUND(SUM(Inventory[[#This Row],[Mdl Qlty]:[Mdl WdDeck]])+Inventory[[#This Row],[Mdl Res Intercept]]*Inventory[[#This Row],[Res Adj ]],-2)</f>
        <v>244700</v>
      </c>
      <c r="BO1035" s="25">
        <f>ROUND(Inventory[[#This Row],[25Det]]*Inventory[[#This Row],[Det/Nbhd Adj]],-2)</f>
        <v>2400</v>
      </c>
      <c r="BP1035" s="25">
        <f>Inventory[[#This Row],[Adjusted Res]]+Inventory[[#This Row],[Adj Det ]]</f>
        <v>247100</v>
      </c>
      <c r="BQ1035" s="25">
        <f>ROUND((Inventory[[#This Row],[Mdl Land Intercept]]+Inventory[[#This Row],[Mdl LnAcres]])*Inventory[[#This Row],[Det/Nbhd Adj]],-2)</f>
        <v>21600</v>
      </c>
      <c r="BR1035" s="25">
        <f>Inventory[[#This Row],[Adjusted Impr Total]]+Inventory[[#This Row],[Adjusted Land Total]]</f>
        <v>268700</v>
      </c>
      <c r="BS1035" s="36">
        <f>IFERROR((Inventory[[#This Row],[Adjusted Impr Total]]-Inventory[[#This Row],[24Bldg]])/Inventory[[#This Row],[24Bldg]],0)</f>
        <v>0.16611609249646059</v>
      </c>
      <c r="BT1035" s="36">
        <f>(Inventory[[#This Row],[Adjusted Land Total]]-Inventory[[#This Row],[24Lnd]])/Inventory[[#This Row],[24Lnd]]</f>
        <v>-0.46798029556650245</v>
      </c>
      <c r="BU1035" s="36">
        <f>(Inventory[[#This Row],[Adjusted Total]]-Inventory[[#This Row],[24Final]])/Inventory[[#This Row],[24Final]]</f>
        <v>6.415841584158416E-2</v>
      </c>
    </row>
    <row r="1036" spans="1:73" x14ac:dyDescent="0.3">
      <c r="A1036" s="25">
        <v>2025</v>
      </c>
      <c r="B1036" s="26" t="s">
        <v>903</v>
      </c>
      <c r="C1036" s="26">
        <f>LN(Inventory[[#This Row],[Acres]])</f>
        <v>-1.8971199848858813</v>
      </c>
      <c r="D1036" s="25">
        <v>0.15</v>
      </c>
      <c r="E1036" s="25">
        <v>6361</v>
      </c>
      <c r="F1036" s="26" t="s">
        <v>537</v>
      </c>
      <c r="G1036" s="26" t="s">
        <v>126</v>
      </c>
      <c r="H1036" s="26" t="s">
        <v>349</v>
      </c>
      <c r="I1036" s="26" t="s">
        <v>538</v>
      </c>
      <c r="J1036" s="26" t="s">
        <v>539</v>
      </c>
      <c r="K1036" s="26" t="s">
        <v>269</v>
      </c>
      <c r="L1036" s="26" t="s">
        <v>351</v>
      </c>
      <c r="M1036" s="26" t="s">
        <v>323</v>
      </c>
      <c r="N1036" s="26">
        <v>80</v>
      </c>
      <c r="O1036" s="26">
        <f>2024-Inventory[[#This Row],[YrBlt]]</f>
        <v>78</v>
      </c>
      <c r="P1036" s="26">
        <f>2024-Inventory[[#This Row],[EffYr]]</f>
        <v>52</v>
      </c>
      <c r="Q1036" s="25">
        <v>1946</v>
      </c>
      <c r="R1036" s="25">
        <v>1972</v>
      </c>
      <c r="S1036" s="25">
        <v>1164</v>
      </c>
      <c r="T1036" s="31"/>
      <c r="U1036" s="31"/>
      <c r="V1036" s="31">
        <f>Inventory[[#This Row],[Bsmt]]-Inventory[[#This Row],[FnBsmt]]</f>
        <v>0</v>
      </c>
      <c r="W1036" s="31"/>
      <c r="X1036" s="27"/>
      <c r="Y1036" s="27">
        <f>Inventory[[#This Row],[MainFn]]+Inventory[[#This Row],[UpprFn]]+Inventory[[#This Row],[FnBsmt]]+Inventory[[#This Row],[AddFn]]</f>
        <v>1164</v>
      </c>
      <c r="Z1036" s="27">
        <v>1500</v>
      </c>
      <c r="AA1036" s="25">
        <v>5</v>
      </c>
      <c r="AB1036" s="31"/>
      <c r="AC1036" s="27"/>
      <c r="AD1036" s="27"/>
      <c r="AE1036" s="27"/>
      <c r="AF1036" s="27"/>
      <c r="AG1036" s="27"/>
      <c r="AH1036" s="27"/>
      <c r="AI1036" s="25">
        <v>210574</v>
      </c>
      <c r="AJ1036" s="25">
        <v>143190</v>
      </c>
      <c r="AK1036" s="25">
        <v>10746</v>
      </c>
      <c r="AL1036" s="25">
        <v>268600</v>
      </c>
      <c r="AM1036" s="25">
        <v>48400</v>
      </c>
      <c r="AN1036" s="25">
        <v>220200</v>
      </c>
      <c r="AO1036" s="25">
        <v>0</v>
      </c>
      <c r="AP1036" s="25">
        <f>Lookups!$B$56*0</f>
        <v>0</v>
      </c>
      <c r="AQ1036" s="25">
        <f>Lookups!$B$56*1</f>
        <v>89850.625589999996</v>
      </c>
      <c r="AR1036" s="25">
        <f>Lookups!$B$57*Inventory[[#This Row],[LnAcres]]</f>
        <v>-60052.604136134301</v>
      </c>
      <c r="AS1036" s="25">
        <f>VLOOKUP(Inventory[[#This Row],[Qlty]],Lookups!$A$62:$E$75,2,FALSE)</f>
        <v>21557.329055999999</v>
      </c>
      <c r="AT1036" s="25">
        <f>VLOOKUP(Inventory[[#This Row],[Cnd]],Lookups!$A$76:$E$84,2,FALSE)</f>
        <v>160472.20319</v>
      </c>
      <c r="AU1036" s="25">
        <f>Inventory[[#This Row],[EffAge]]*Lookups!$B$85</f>
        <v>-11598.371226000001</v>
      </c>
      <c r="AV1036" s="25">
        <f>Inventory[[#This Row],[MainFn]]*Lookups!$B$86</f>
        <v>57511.691736828005</v>
      </c>
      <c r="AW1036" s="25">
        <f>Inventory[[#This Row],[UpprFn]]*Lookups!$B$87</f>
        <v>0</v>
      </c>
      <c r="AX1036" s="25">
        <f>Inventory[[#This Row],[AddFn]]*Lookups!$B$88</f>
        <v>0</v>
      </c>
      <c r="AY1036" s="25">
        <f>Inventory[[#This Row],[Bsmt]]*Lookups!$B$89</f>
        <v>0</v>
      </c>
      <c r="AZ1036" s="25">
        <f>Inventory[[#This Row],[Fixtures]]*Lookups!$B$90</f>
        <v>18960.110526</v>
      </c>
      <c r="BA1036" s="25">
        <f>Inventory[[#This Row],[WdDeck]]*Lookups!$B$91</f>
        <v>0</v>
      </c>
      <c r="BB1036" s="25">
        <f>ROUND(Inventory[[#This Row],[25Det]],-2)</f>
        <v>10700</v>
      </c>
      <c r="BC1036" s="25">
        <f>ROUND(SUM(Inventory[[#This Row],[Mdl Qlty]:[Mdl WdDeck]])+Inventory[[#This Row],[Mdl Res Intercept]],-2)</f>
        <v>246900</v>
      </c>
      <c r="BD1036" s="25">
        <f>ROUND(Inventory[[#This Row],[Mdl Land Intercept]]+Inventory[[#This Row],[Mdl LnAcres]],-2)</f>
        <v>29800</v>
      </c>
      <c r="BE1036" s="25">
        <f>Inventory[[#This Row],[Unadj Res Value]]+Inventory[[#This Row],[Unadj Det Value]]+Inventory[[#This Row],[Unadj Land Value]]</f>
        <v>287400</v>
      </c>
      <c r="BF1036" s="36">
        <f>(Inventory[[#This Row],[Unadj Total Value]]-Inventory[[#This Row],[24Final]])/Inventory[[#This Row],[24Final]]</f>
        <v>6.9992553983618769E-2</v>
      </c>
      <c r="BG1036" s="25">
        <f>VLOOKUP(Inventory[[#This Row],[Nbhd]],Lookups!$Q$2:$T$4,4,FALSE)</f>
        <v>0.99970000000000003</v>
      </c>
      <c r="BH1036" s="25">
        <f>VLOOKUP(Inventory[[#This Row],[Qlty]],Lookups!$O$7:$R$21,4,FALSE)</f>
        <v>1.0067999999999999</v>
      </c>
      <c r="BI1036" s="25">
        <f>VLOOKUP(Inventory[[#This Row],[Cnd]],Lookups!$T$7:$W$16,4,FALSE)</f>
        <v>0.99729999999999996</v>
      </c>
      <c r="BJ1036" s="25">
        <f>VLOOKUP(Inventory[[#This Row],[LivArea Range]],Lookups!$T$25:$W$37,4,FALSE)</f>
        <v>1.0157</v>
      </c>
      <c r="BK1036" s="25">
        <f>VLOOKUP(Inventory[[#This Row],[Decade]],Lookups!$O$25:$R$42,4,FALSE)</f>
        <v>0.995</v>
      </c>
      <c r="BL1036" s="25">
        <f>Inventory[[#This Row],[Nbhd Adj]]*0.95</f>
        <v>0.94971499999999998</v>
      </c>
      <c r="BM1036" s="25">
        <f>Inventory[[#This Row],[Nbhd Adj]]*Inventory[[#This Row],[Quality Adj]]*Inventory[[#This Row],[Condition Adj]]*Inventory[[#This Row],[Living Area Adj]]*Inventory[[#This Row],[Decade Adj]]*0.95</f>
        <v>0.96371996573175212</v>
      </c>
      <c r="BN1036" s="25">
        <f>ROUND(SUM(Inventory[[#This Row],[Mdl Qlty]:[Mdl WdDeck]])+Inventory[[#This Row],[Mdl Res Intercept]]*Inventory[[#This Row],[Res Adj ]],-2)</f>
        <v>246900</v>
      </c>
      <c r="BO1036" s="25">
        <f>ROUND(Inventory[[#This Row],[25Det]]*Inventory[[#This Row],[Det/Nbhd Adj]],-2)</f>
        <v>10200</v>
      </c>
      <c r="BP1036" s="25">
        <f>Inventory[[#This Row],[Adjusted Res]]+Inventory[[#This Row],[Adj Det ]]</f>
        <v>257100</v>
      </c>
      <c r="BQ1036" s="25">
        <f>ROUND((Inventory[[#This Row],[Mdl Land Intercept]]+Inventory[[#This Row],[Mdl LnAcres]])*Inventory[[#This Row],[Det/Nbhd Adj]],-2)</f>
        <v>28300</v>
      </c>
      <c r="BR1036" s="25">
        <f>Inventory[[#This Row],[Adjusted Impr Total]]+Inventory[[#This Row],[Adjusted Land Total]]</f>
        <v>285400</v>
      </c>
      <c r="BS1036" s="36">
        <f>IFERROR((Inventory[[#This Row],[Adjusted Impr Total]]-Inventory[[#This Row],[24Bldg]])/Inventory[[#This Row],[24Bldg]],0)</f>
        <v>0.167574931880109</v>
      </c>
      <c r="BT1036" s="36">
        <f>(Inventory[[#This Row],[Adjusted Land Total]]-Inventory[[#This Row],[24Lnd]])/Inventory[[#This Row],[24Lnd]]</f>
        <v>-0.41528925619834711</v>
      </c>
      <c r="BU1036" s="36">
        <f>(Inventory[[#This Row],[Adjusted Total]]-Inventory[[#This Row],[24Final]])/Inventory[[#This Row],[24Final]]</f>
        <v>6.2546537602382726E-2</v>
      </c>
    </row>
    <row r="1037" spans="1:73" x14ac:dyDescent="0.3">
      <c r="A1037" s="25">
        <v>2025</v>
      </c>
      <c r="B1037" s="26" t="s">
        <v>883</v>
      </c>
      <c r="C1037" s="26">
        <f>LN(Inventory[[#This Row],[Acres]])</f>
        <v>-1.3470736479666092</v>
      </c>
      <c r="D1037" s="25">
        <v>0.26</v>
      </c>
      <c r="E1037" s="32">
        <v>11367</v>
      </c>
      <c r="F1037" s="26" t="s">
        <v>537</v>
      </c>
      <c r="G1037" s="26" t="s">
        <v>126</v>
      </c>
      <c r="H1037" s="26" t="s">
        <v>349</v>
      </c>
      <c r="I1037" s="26" t="s">
        <v>538</v>
      </c>
      <c r="J1037" s="26" t="s">
        <v>539</v>
      </c>
      <c r="K1037" s="26" t="s">
        <v>241</v>
      </c>
      <c r="L1037" s="26" t="s">
        <v>148</v>
      </c>
      <c r="M1037" s="26" t="s">
        <v>323</v>
      </c>
      <c r="N1037" s="26">
        <v>80</v>
      </c>
      <c r="O1037" s="26">
        <f>2024-Inventory[[#This Row],[YrBlt]]</f>
        <v>78</v>
      </c>
      <c r="P1037" s="26">
        <f>2024-Inventory[[#This Row],[EffYr]]</f>
        <v>52</v>
      </c>
      <c r="Q1037" s="25">
        <v>1946</v>
      </c>
      <c r="R1037" s="25">
        <v>1972</v>
      </c>
      <c r="S1037" s="25">
        <v>1246</v>
      </c>
      <c r="T1037" s="27"/>
      <c r="U1037" s="25">
        <v>882</v>
      </c>
      <c r="V1037" s="25">
        <f>Inventory[[#This Row],[Bsmt]]-Inventory[[#This Row],[FnBsmt]]</f>
        <v>782</v>
      </c>
      <c r="W1037" s="25">
        <v>100</v>
      </c>
      <c r="X1037" s="27"/>
      <c r="Y1037" s="27">
        <f>Inventory[[#This Row],[MainFn]]+Inventory[[#This Row],[UpprFn]]+Inventory[[#This Row],[FnBsmt]]+Inventory[[#This Row],[AddFn]]</f>
        <v>1346</v>
      </c>
      <c r="Z1037" s="27">
        <v>1500</v>
      </c>
      <c r="AA1037" s="25">
        <v>5</v>
      </c>
      <c r="AB1037" s="25">
        <v>350</v>
      </c>
      <c r="AC1037" s="27"/>
      <c r="AD1037" s="27"/>
      <c r="AE1037" s="27"/>
      <c r="AF1037" s="27"/>
      <c r="AG1037" s="27"/>
      <c r="AH1037" s="27"/>
      <c r="AI1037" s="25">
        <v>351752</v>
      </c>
      <c r="AJ1037" s="25">
        <v>239191</v>
      </c>
      <c r="AK1037" s="25">
        <v>0</v>
      </c>
      <c r="AL1037" s="25">
        <v>323900</v>
      </c>
      <c r="AM1037" s="25">
        <v>67600</v>
      </c>
      <c r="AN1037" s="25">
        <v>256300</v>
      </c>
      <c r="AO1037" s="25">
        <v>0</v>
      </c>
      <c r="AP1037" s="25">
        <f>Lookups!$B$56*0</f>
        <v>0</v>
      </c>
      <c r="AQ1037" s="25">
        <f>Lookups!$B$56*1</f>
        <v>89850.625589999996</v>
      </c>
      <c r="AR1037" s="25">
        <f>Lookups!$B$57*Inventory[[#This Row],[LnAcres]]</f>
        <v>-42641.098701210125</v>
      </c>
      <c r="AS1037" s="25">
        <f>VLOOKUP(Inventory[[#This Row],[Qlty]],Lookups!$A$62:$E$75,2,FALSE)</f>
        <v>44121.038090000002</v>
      </c>
      <c r="AT1037" s="25">
        <f>VLOOKUP(Inventory[[#This Row],[Cnd]],Lookups!$A$76:$E$84,2,FALSE)</f>
        <v>160472.20319</v>
      </c>
      <c r="AU1037" s="25">
        <f>Inventory[[#This Row],[EffAge]]*Lookups!$B$85</f>
        <v>-11598.371226000001</v>
      </c>
      <c r="AV1037" s="25">
        <f>Inventory[[#This Row],[MainFn]]*Lookups!$B$86</f>
        <v>61563.202666742</v>
      </c>
      <c r="AW1037" s="25">
        <f>Inventory[[#This Row],[UpprFn]]*Lookups!$B$87</f>
        <v>0</v>
      </c>
      <c r="AX1037" s="25">
        <f>Inventory[[#This Row],[AddFn]]*Lookups!$B$88</f>
        <v>0</v>
      </c>
      <c r="AY1037" s="25">
        <f>Inventory[[#This Row],[Bsmt]]*Lookups!$B$89</f>
        <v>25650.231607853999</v>
      </c>
      <c r="AZ1037" s="25">
        <f>Inventory[[#This Row],[Fixtures]]*Lookups!$B$90</f>
        <v>18960.110526</v>
      </c>
      <c r="BA1037" s="25">
        <f>Inventory[[#This Row],[WdDeck]]*Lookups!$B$91</f>
        <v>0</v>
      </c>
      <c r="BB1037" s="25">
        <f>ROUND(Inventory[[#This Row],[25Det]],-2)</f>
        <v>0</v>
      </c>
      <c r="BC1037" s="25">
        <f>ROUND(SUM(Inventory[[#This Row],[Mdl Qlty]:[Mdl WdDeck]])+Inventory[[#This Row],[Mdl Res Intercept]],-2)</f>
        <v>299200</v>
      </c>
      <c r="BD1037" s="25">
        <f>ROUND(Inventory[[#This Row],[Mdl Land Intercept]]+Inventory[[#This Row],[Mdl LnAcres]],-2)</f>
        <v>47200</v>
      </c>
      <c r="BE1037" s="25">
        <f>Inventory[[#This Row],[Unadj Res Value]]+Inventory[[#This Row],[Unadj Det Value]]+Inventory[[#This Row],[Unadj Land Value]]</f>
        <v>346400</v>
      </c>
      <c r="BF1037" s="36">
        <f>(Inventory[[#This Row],[Unadj Total Value]]-Inventory[[#This Row],[24Final]])/Inventory[[#This Row],[24Final]]</f>
        <v>6.9465884532263045E-2</v>
      </c>
      <c r="BG1037" s="25">
        <f>VLOOKUP(Inventory[[#This Row],[Nbhd]],Lookups!$Q$2:$T$4,4,FALSE)</f>
        <v>0.99970000000000003</v>
      </c>
      <c r="BH1037" s="25">
        <f>VLOOKUP(Inventory[[#This Row],[Qlty]],Lookups!$O$7:$R$21,4,FALSE)</f>
        <v>0.98050000000000004</v>
      </c>
      <c r="BI1037" s="25">
        <f>VLOOKUP(Inventory[[#This Row],[Cnd]],Lookups!$T$7:$W$16,4,FALSE)</f>
        <v>0.99729999999999996</v>
      </c>
      <c r="BJ1037" s="25">
        <f>VLOOKUP(Inventory[[#This Row],[LivArea Range]],Lookups!$T$25:$W$37,4,FALSE)</f>
        <v>1.0157</v>
      </c>
      <c r="BK1037" s="25">
        <f>VLOOKUP(Inventory[[#This Row],[Decade]],Lookups!$O$25:$R$42,4,FALSE)</f>
        <v>0.995</v>
      </c>
      <c r="BL1037" s="25">
        <f>Inventory[[#This Row],[Nbhd Adj]]*0.95</f>
        <v>0.94971499999999998</v>
      </c>
      <c r="BM1037" s="25">
        <f>Inventory[[#This Row],[Nbhd Adj]]*Inventory[[#This Row],[Quality Adj]]*Inventory[[#This Row],[Condition Adj]]*Inventory[[#This Row],[Living Area Adj]]*Inventory[[#This Row],[Decade Adj]]*0.95</f>
        <v>0.93854531823597842</v>
      </c>
      <c r="BN1037" s="25">
        <f>ROUND(SUM(Inventory[[#This Row],[Mdl Qlty]:[Mdl WdDeck]])+Inventory[[#This Row],[Mdl Res Intercept]]*Inventory[[#This Row],[Res Adj ]],-2)</f>
        <v>299200</v>
      </c>
      <c r="BO1037" s="25">
        <f>ROUND(Inventory[[#This Row],[25Det]]*Inventory[[#This Row],[Det/Nbhd Adj]],-2)</f>
        <v>0</v>
      </c>
      <c r="BP1037" s="25">
        <f>Inventory[[#This Row],[Adjusted Res]]+Inventory[[#This Row],[Adj Det ]]</f>
        <v>299200</v>
      </c>
      <c r="BQ1037" s="25">
        <f>ROUND((Inventory[[#This Row],[Mdl Land Intercept]]+Inventory[[#This Row],[Mdl LnAcres]])*Inventory[[#This Row],[Det/Nbhd Adj]],-2)</f>
        <v>44800</v>
      </c>
      <c r="BR1037" s="25">
        <f>Inventory[[#This Row],[Adjusted Impr Total]]+Inventory[[#This Row],[Adjusted Land Total]]</f>
        <v>344000</v>
      </c>
      <c r="BS1037" s="36">
        <f>IFERROR((Inventory[[#This Row],[Adjusted Impr Total]]-Inventory[[#This Row],[24Bldg]])/Inventory[[#This Row],[24Bldg]],0)</f>
        <v>0.16738197424892703</v>
      </c>
      <c r="BT1037" s="36">
        <f>(Inventory[[#This Row],[Adjusted Land Total]]-Inventory[[#This Row],[24Lnd]])/Inventory[[#This Row],[24Lnd]]</f>
        <v>-0.33727810650887574</v>
      </c>
      <c r="BU1037" s="36">
        <f>(Inventory[[#This Row],[Adjusted Total]]-Inventory[[#This Row],[24Final]])/Inventory[[#This Row],[24Final]]</f>
        <v>6.2056190182154983E-2</v>
      </c>
    </row>
    <row r="1038" spans="1:73" x14ac:dyDescent="0.3">
      <c r="A1038" s="25">
        <v>2025</v>
      </c>
      <c r="B1038" s="26" t="s">
        <v>1183</v>
      </c>
      <c r="C1038" s="26">
        <f>LN(Inventory[[#This Row],[Acres]])</f>
        <v>-1.5141277326297755</v>
      </c>
      <c r="D1038" s="25">
        <v>0.22</v>
      </c>
      <c r="E1038" s="31"/>
      <c r="F1038" s="26" t="s">
        <v>537</v>
      </c>
      <c r="G1038" s="26" t="s">
        <v>126</v>
      </c>
      <c r="H1038" s="26" t="s">
        <v>349</v>
      </c>
      <c r="I1038" s="26" t="s">
        <v>538</v>
      </c>
      <c r="J1038" s="26" t="s">
        <v>539</v>
      </c>
      <c r="K1038" s="26" t="s">
        <v>241</v>
      </c>
      <c r="L1038" s="26" t="s">
        <v>148</v>
      </c>
      <c r="M1038" s="26" t="s">
        <v>303</v>
      </c>
      <c r="N1038" s="26">
        <v>80</v>
      </c>
      <c r="O1038" s="26">
        <f>2024-Inventory[[#This Row],[YrBlt]]</f>
        <v>78</v>
      </c>
      <c r="P1038" s="26">
        <f>2024-Inventory[[#This Row],[EffYr]]</f>
        <v>52</v>
      </c>
      <c r="Q1038" s="25">
        <v>1946</v>
      </c>
      <c r="R1038" s="25">
        <v>1972</v>
      </c>
      <c r="S1038" s="25">
        <v>2044</v>
      </c>
      <c r="T1038" s="31"/>
      <c r="U1038" s="31"/>
      <c r="V1038" s="27">
        <f>Inventory[[#This Row],[Bsmt]]-Inventory[[#This Row],[FnBsmt]]</f>
        <v>0</v>
      </c>
      <c r="W1038" s="27"/>
      <c r="X1038" s="27"/>
      <c r="Y1038" s="27">
        <f>Inventory[[#This Row],[MainFn]]+Inventory[[#This Row],[UpprFn]]+Inventory[[#This Row],[FnBsmt]]+Inventory[[#This Row],[AddFn]]</f>
        <v>2044</v>
      </c>
      <c r="Z1038" s="27">
        <v>2500</v>
      </c>
      <c r="AA1038" s="25">
        <v>7</v>
      </c>
      <c r="AB1038" s="32">
        <v>308</v>
      </c>
      <c r="AC1038" s="31"/>
      <c r="AD1038" s="27"/>
      <c r="AE1038" s="27"/>
      <c r="AF1038" s="27"/>
      <c r="AG1038" s="27"/>
      <c r="AH1038" s="27"/>
      <c r="AI1038" s="25">
        <v>454874</v>
      </c>
      <c r="AJ1038" s="25">
        <v>318412</v>
      </c>
      <c r="AK1038" s="25">
        <v>0</v>
      </c>
      <c r="AL1038" s="25">
        <v>374600</v>
      </c>
      <c r="AM1038" s="25">
        <v>61700</v>
      </c>
      <c r="AN1038" s="25">
        <v>312900</v>
      </c>
      <c r="AO1038" s="25">
        <v>0</v>
      </c>
      <c r="AP1038" s="25">
        <f>Lookups!$B$56*0</f>
        <v>0</v>
      </c>
      <c r="AQ1038" s="25">
        <f>Lookups!$B$56*1</f>
        <v>89850.625589999996</v>
      </c>
      <c r="AR1038" s="25">
        <f>Lookups!$B$57*Inventory[[#This Row],[LnAcres]]</f>
        <v>-47929.131559187132</v>
      </c>
      <c r="AS1038" s="25">
        <f>VLOOKUP(Inventory[[#This Row],[Qlty]],Lookups!$A$62:$E$75,2,FALSE)</f>
        <v>44121.038090000002</v>
      </c>
      <c r="AT1038" s="25">
        <f>VLOOKUP(Inventory[[#This Row],[Cnd]],Lookups!$A$76:$E$84,2,FALSE)</f>
        <v>197752.34721000001</v>
      </c>
      <c r="AU1038" s="25">
        <f>Inventory[[#This Row],[EffAge]]*Lookups!$B$85</f>
        <v>-11598.371226000001</v>
      </c>
      <c r="AV1038" s="25">
        <f>Inventory[[#This Row],[MainFn]]*Lookups!$B$86</f>
        <v>100991.321228588</v>
      </c>
      <c r="AW1038" s="25">
        <f>Inventory[[#This Row],[UpprFn]]*Lookups!$B$87</f>
        <v>0</v>
      </c>
      <c r="AX1038" s="25">
        <f>Inventory[[#This Row],[AddFn]]*Lookups!$B$88</f>
        <v>0</v>
      </c>
      <c r="AY1038" s="25">
        <f>Inventory[[#This Row],[Bsmt]]*Lookups!$B$89</f>
        <v>0</v>
      </c>
      <c r="AZ1038" s="25">
        <f>Inventory[[#This Row],[Fixtures]]*Lookups!$B$90</f>
        <v>26544.1547364</v>
      </c>
      <c r="BA1038" s="25">
        <f>Inventory[[#This Row],[WdDeck]]*Lookups!$B$91</f>
        <v>0</v>
      </c>
      <c r="BB1038" s="25">
        <f>ROUND(Inventory[[#This Row],[25Det]],-2)</f>
        <v>0</v>
      </c>
      <c r="BC1038" s="25">
        <f>ROUND(SUM(Inventory[[#This Row],[Mdl Qlty]:[Mdl WdDeck]])+Inventory[[#This Row],[Mdl Res Intercept]],-2)</f>
        <v>357800</v>
      </c>
      <c r="BD1038" s="25">
        <f>ROUND(Inventory[[#This Row],[Mdl Land Intercept]]+Inventory[[#This Row],[Mdl LnAcres]],-2)</f>
        <v>41900</v>
      </c>
      <c r="BE1038" s="25">
        <f>Inventory[[#This Row],[Unadj Res Value]]+Inventory[[#This Row],[Unadj Det Value]]+Inventory[[#This Row],[Unadj Land Value]]</f>
        <v>399700</v>
      </c>
      <c r="BF1038" s="36">
        <f>(Inventory[[#This Row],[Unadj Total Value]]-Inventory[[#This Row],[24Final]])/Inventory[[#This Row],[24Final]]</f>
        <v>6.7004805125467165E-2</v>
      </c>
      <c r="BG1038" s="25">
        <f>VLOOKUP(Inventory[[#This Row],[Nbhd]],Lookups!$Q$2:$T$4,4,FALSE)</f>
        <v>0.99970000000000003</v>
      </c>
      <c r="BH1038" s="25">
        <f>VLOOKUP(Inventory[[#This Row],[Qlty]],Lookups!$O$7:$R$21,4,FALSE)</f>
        <v>0.98050000000000004</v>
      </c>
      <c r="BI1038" s="25">
        <f>VLOOKUP(Inventory[[#This Row],[Cnd]],Lookups!$T$7:$W$16,4,FALSE)</f>
        <v>0.99650000000000005</v>
      </c>
      <c r="BJ1038" s="25">
        <f>VLOOKUP(Inventory[[#This Row],[LivArea Range]],Lookups!$T$25:$W$37,4,FALSE)</f>
        <v>0.98919999999999997</v>
      </c>
      <c r="BK1038" s="25">
        <f>VLOOKUP(Inventory[[#This Row],[Decade]],Lookups!$O$25:$R$42,4,FALSE)</f>
        <v>0.995</v>
      </c>
      <c r="BL1038" s="25">
        <f>Inventory[[#This Row],[Nbhd Adj]]*0.95</f>
        <v>0.94971499999999998</v>
      </c>
      <c r="BM1038" s="25">
        <f>Inventory[[#This Row],[Nbhd Adj]]*Inventory[[#This Row],[Quality Adj]]*Inventory[[#This Row],[Condition Adj]]*Inventory[[#This Row],[Living Area Adj]]*Inventory[[#This Row],[Decade Adj]]*0.95</f>
        <v>0.91332508691872449</v>
      </c>
      <c r="BN1038" s="25">
        <f>ROUND(SUM(Inventory[[#This Row],[Mdl Qlty]:[Mdl WdDeck]])+Inventory[[#This Row],[Mdl Res Intercept]]*Inventory[[#This Row],[Res Adj ]],-2)</f>
        <v>357800</v>
      </c>
      <c r="BO1038" s="25">
        <f>ROUND(Inventory[[#This Row],[25Det]]*Inventory[[#This Row],[Det/Nbhd Adj]],-2)</f>
        <v>0</v>
      </c>
      <c r="BP1038" s="25">
        <f>Inventory[[#This Row],[Adjusted Res]]+Inventory[[#This Row],[Adj Det ]]</f>
        <v>357800</v>
      </c>
      <c r="BQ1038" s="25">
        <f>ROUND((Inventory[[#This Row],[Mdl Land Intercept]]+Inventory[[#This Row],[Mdl LnAcres]])*Inventory[[#This Row],[Det/Nbhd Adj]],-2)</f>
        <v>39800</v>
      </c>
      <c r="BR1038" s="25">
        <f>Inventory[[#This Row],[Adjusted Impr Total]]+Inventory[[#This Row],[Adjusted Land Total]]</f>
        <v>397600</v>
      </c>
      <c r="BS1038" s="36">
        <f>IFERROR((Inventory[[#This Row],[Adjusted Impr Total]]-Inventory[[#This Row],[24Bldg]])/Inventory[[#This Row],[24Bldg]],0)</f>
        <v>0.1434963247043784</v>
      </c>
      <c r="BT1038" s="36">
        <f>(Inventory[[#This Row],[Adjusted Land Total]]-Inventory[[#This Row],[24Lnd]])/Inventory[[#This Row],[24Lnd]]</f>
        <v>-0.35494327390599678</v>
      </c>
      <c r="BU1038" s="36">
        <f>(Inventory[[#This Row],[Adjusted Total]]-Inventory[[#This Row],[24Final]])/Inventory[[#This Row],[24Final]]</f>
        <v>6.1398825413774692E-2</v>
      </c>
    </row>
    <row r="1039" spans="1:73" x14ac:dyDescent="0.3">
      <c r="A1039" s="25">
        <v>2025</v>
      </c>
      <c r="B1039" s="26" t="s">
        <v>2282</v>
      </c>
      <c r="C1039" s="26">
        <f>LN(Inventory[[#This Row],[Acres]])</f>
        <v>-1.5141277326297755</v>
      </c>
      <c r="D1039" s="25">
        <v>0.22</v>
      </c>
      <c r="E1039" s="31"/>
      <c r="F1039" s="26" t="s">
        <v>537</v>
      </c>
      <c r="G1039" s="26" t="s">
        <v>126</v>
      </c>
      <c r="H1039" s="26" t="s">
        <v>349</v>
      </c>
      <c r="I1039" s="26" t="s">
        <v>538</v>
      </c>
      <c r="J1039" s="26" t="s">
        <v>539</v>
      </c>
      <c r="K1039" s="26" t="s">
        <v>269</v>
      </c>
      <c r="L1039" s="26" t="s">
        <v>302</v>
      </c>
      <c r="M1039" s="26" t="s">
        <v>303</v>
      </c>
      <c r="N1039" s="26">
        <v>80</v>
      </c>
      <c r="O1039" s="26">
        <f>2024-Inventory[[#This Row],[YrBlt]]</f>
        <v>78</v>
      </c>
      <c r="P1039" s="26">
        <f>2024-Inventory[[#This Row],[EffYr]]</f>
        <v>52</v>
      </c>
      <c r="Q1039" s="25">
        <v>1946</v>
      </c>
      <c r="R1039" s="25">
        <v>1972</v>
      </c>
      <c r="S1039" s="25">
        <v>1526</v>
      </c>
      <c r="T1039" s="27"/>
      <c r="U1039" s="25">
        <v>650</v>
      </c>
      <c r="V1039" s="25">
        <f>Inventory[[#This Row],[Bsmt]]-Inventory[[#This Row],[FnBsmt]]</f>
        <v>0</v>
      </c>
      <c r="W1039" s="25">
        <v>650</v>
      </c>
      <c r="X1039" s="27"/>
      <c r="Y1039" s="27">
        <f>Inventory[[#This Row],[MainFn]]+Inventory[[#This Row],[UpprFn]]+Inventory[[#This Row],[FnBsmt]]+Inventory[[#This Row],[AddFn]]</f>
        <v>2176</v>
      </c>
      <c r="Z1039" s="27">
        <v>2500</v>
      </c>
      <c r="AA1039" s="25">
        <v>8</v>
      </c>
      <c r="AB1039" s="31"/>
      <c r="AC1039" s="27"/>
      <c r="AD1039" s="31"/>
      <c r="AE1039" s="27"/>
      <c r="AF1039" s="27"/>
      <c r="AG1039" s="27"/>
      <c r="AH1039" s="27"/>
      <c r="AI1039" s="25">
        <v>343365</v>
      </c>
      <c r="AJ1039" s="25">
        <v>240356</v>
      </c>
      <c r="AK1039" s="25">
        <v>9718</v>
      </c>
      <c r="AL1039" s="25">
        <v>367500</v>
      </c>
      <c r="AM1039" s="25">
        <v>61700</v>
      </c>
      <c r="AN1039" s="25">
        <v>305800</v>
      </c>
      <c r="AO1039" s="25">
        <v>0</v>
      </c>
      <c r="AP1039" s="25">
        <f>Lookups!$B$56*0</f>
        <v>0</v>
      </c>
      <c r="AQ1039" s="25">
        <f>Lookups!$B$56*1</f>
        <v>89850.625589999996</v>
      </c>
      <c r="AR1039" s="25">
        <f>Lookups!$B$57*Inventory[[#This Row],[LnAcres]]</f>
        <v>-47929.131559187132</v>
      </c>
      <c r="AS1039" s="25">
        <f>VLOOKUP(Inventory[[#This Row],[Qlty]],Lookups!$A$62:$E$75,2,FALSE)</f>
        <v>29814.093161000001</v>
      </c>
      <c r="AT1039" s="25">
        <f>VLOOKUP(Inventory[[#This Row],[Cnd]],Lookups!$A$76:$E$84,2,FALSE)</f>
        <v>197752.34721000001</v>
      </c>
      <c r="AU1039" s="25">
        <f>Inventory[[#This Row],[EffAge]]*Lookups!$B$85</f>
        <v>-11598.371226000001</v>
      </c>
      <c r="AV1039" s="25">
        <f>Inventory[[#This Row],[MainFn]]*Lookups!$B$86</f>
        <v>75397.630232302006</v>
      </c>
      <c r="AW1039" s="25">
        <f>Inventory[[#This Row],[UpprFn]]*Lookups!$B$87</f>
        <v>0</v>
      </c>
      <c r="AX1039" s="25">
        <f>Inventory[[#This Row],[AddFn]]*Lookups!$B$88</f>
        <v>0</v>
      </c>
      <c r="AY1039" s="25">
        <f>Inventory[[#This Row],[Bsmt]]*Lookups!$B$89</f>
        <v>18903.231910549999</v>
      </c>
      <c r="AZ1039" s="25">
        <f>Inventory[[#This Row],[Fixtures]]*Lookups!$B$90</f>
        <v>30336.176841600001</v>
      </c>
      <c r="BA1039" s="25">
        <f>Inventory[[#This Row],[WdDeck]]*Lookups!$B$91</f>
        <v>0</v>
      </c>
      <c r="BB1039" s="25">
        <f>ROUND(Inventory[[#This Row],[25Det]],-2)</f>
        <v>9700</v>
      </c>
      <c r="BC1039" s="25">
        <f>ROUND(SUM(Inventory[[#This Row],[Mdl Qlty]:[Mdl WdDeck]])+Inventory[[#This Row],[Mdl Res Intercept]],-2)</f>
        <v>340600</v>
      </c>
      <c r="BD1039" s="25">
        <f>ROUND(Inventory[[#This Row],[Mdl Land Intercept]]+Inventory[[#This Row],[Mdl LnAcres]],-2)</f>
        <v>41900</v>
      </c>
      <c r="BE1039" s="25">
        <f>Inventory[[#This Row],[Unadj Res Value]]+Inventory[[#This Row],[Unadj Det Value]]+Inventory[[#This Row],[Unadj Land Value]]</f>
        <v>392200</v>
      </c>
      <c r="BF1039" s="36">
        <f>(Inventory[[#This Row],[Unadj Total Value]]-Inventory[[#This Row],[24Final]])/Inventory[[#This Row],[24Final]]</f>
        <v>6.7210884353741493E-2</v>
      </c>
      <c r="BG1039" s="25">
        <f>VLOOKUP(Inventory[[#This Row],[Nbhd]],Lookups!$Q$2:$T$4,4,FALSE)</f>
        <v>0.99970000000000003</v>
      </c>
      <c r="BH1039" s="25">
        <f>VLOOKUP(Inventory[[#This Row],[Qlty]],Lookups!$O$7:$R$21,4,FALSE)</f>
        <v>1.0088999999999999</v>
      </c>
      <c r="BI1039" s="25">
        <f>VLOOKUP(Inventory[[#This Row],[Cnd]],Lookups!$T$7:$W$16,4,FALSE)</f>
        <v>0.99650000000000005</v>
      </c>
      <c r="BJ1039" s="25">
        <f>VLOOKUP(Inventory[[#This Row],[LivArea Range]],Lookups!$T$25:$W$37,4,FALSE)</f>
        <v>0.98919999999999997</v>
      </c>
      <c r="BK1039" s="25">
        <f>VLOOKUP(Inventory[[#This Row],[Decade]],Lookups!$O$25:$R$42,4,FALSE)</f>
        <v>0.995</v>
      </c>
      <c r="BL1039" s="25">
        <f>Inventory[[#This Row],[Nbhd Adj]]*0.95</f>
        <v>0.94971499999999998</v>
      </c>
      <c r="BM1039" s="25">
        <f>Inventory[[#This Row],[Nbhd Adj]]*Inventory[[#This Row],[Quality Adj]]*Inventory[[#This Row],[Condition Adj]]*Inventory[[#This Row],[Living Area Adj]]*Inventory[[#This Row],[Decade Adj]]*0.95</f>
        <v>0.93977937806455991</v>
      </c>
      <c r="BN1039" s="25">
        <f>ROUND(SUM(Inventory[[#This Row],[Mdl Qlty]:[Mdl WdDeck]])+Inventory[[#This Row],[Mdl Res Intercept]]*Inventory[[#This Row],[Res Adj ]],-2)</f>
        <v>340600</v>
      </c>
      <c r="BO1039" s="25">
        <f>ROUND(Inventory[[#This Row],[25Det]]*Inventory[[#This Row],[Det/Nbhd Adj]],-2)</f>
        <v>9200</v>
      </c>
      <c r="BP1039" s="25">
        <f>Inventory[[#This Row],[Adjusted Res]]+Inventory[[#This Row],[Adj Det ]]</f>
        <v>349800</v>
      </c>
      <c r="BQ1039" s="25">
        <f>ROUND((Inventory[[#This Row],[Mdl Land Intercept]]+Inventory[[#This Row],[Mdl LnAcres]])*Inventory[[#This Row],[Det/Nbhd Adj]],-2)</f>
        <v>39800</v>
      </c>
      <c r="BR1039" s="25">
        <f>Inventory[[#This Row],[Adjusted Impr Total]]+Inventory[[#This Row],[Adjusted Land Total]]</f>
        <v>389600</v>
      </c>
      <c r="BS1039" s="36">
        <f>IFERROR((Inventory[[#This Row],[Adjusted Impr Total]]-Inventory[[#This Row],[24Bldg]])/Inventory[[#This Row],[24Bldg]],0)</f>
        <v>0.14388489208633093</v>
      </c>
      <c r="BT1039" s="36">
        <f>(Inventory[[#This Row],[Adjusted Land Total]]-Inventory[[#This Row],[24Lnd]])/Inventory[[#This Row],[24Lnd]]</f>
        <v>-0.35494327390599678</v>
      </c>
      <c r="BU1039" s="36">
        <f>(Inventory[[#This Row],[Adjusted Total]]-Inventory[[#This Row],[24Final]])/Inventory[[#This Row],[24Final]]</f>
        <v>6.0136054421768705E-2</v>
      </c>
    </row>
    <row r="1040" spans="1:73" x14ac:dyDescent="0.3">
      <c r="A1040" s="25">
        <v>2025</v>
      </c>
      <c r="B1040" s="26" t="s">
        <v>1191</v>
      </c>
      <c r="C1040" s="26">
        <f>LN(Inventory[[#This Row],[Acres]])</f>
        <v>-1.6094379124341003</v>
      </c>
      <c r="D1040" s="25">
        <v>0.2</v>
      </c>
      <c r="E1040" s="25">
        <v>8583</v>
      </c>
      <c r="F1040" s="26" t="s">
        <v>537</v>
      </c>
      <c r="G1040" s="26" t="s">
        <v>126</v>
      </c>
      <c r="H1040" s="26" t="s">
        <v>349</v>
      </c>
      <c r="I1040" s="26" t="s">
        <v>538</v>
      </c>
      <c r="J1040" s="26" t="s">
        <v>539</v>
      </c>
      <c r="K1040" s="26" t="s">
        <v>241</v>
      </c>
      <c r="L1040" s="26" t="s">
        <v>205</v>
      </c>
      <c r="M1040" s="26" t="s">
        <v>303</v>
      </c>
      <c r="N1040" s="26">
        <v>80</v>
      </c>
      <c r="O1040" s="26">
        <f>2024-Inventory[[#This Row],[YrBlt]]</f>
        <v>78</v>
      </c>
      <c r="P1040" s="26">
        <f>2024-Inventory[[#This Row],[EffYr]]</f>
        <v>52</v>
      </c>
      <c r="Q1040" s="25">
        <v>1946</v>
      </c>
      <c r="R1040" s="25">
        <v>1972</v>
      </c>
      <c r="S1040" s="25">
        <v>1152</v>
      </c>
      <c r="T1040" s="27"/>
      <c r="U1040" s="31"/>
      <c r="V1040" s="31">
        <f>Inventory[[#This Row],[Bsmt]]-Inventory[[#This Row],[FnBsmt]]</f>
        <v>0</v>
      </c>
      <c r="W1040" s="31"/>
      <c r="X1040" s="27"/>
      <c r="Y1040" s="27">
        <f>Inventory[[#This Row],[MainFn]]+Inventory[[#This Row],[UpprFn]]+Inventory[[#This Row],[FnBsmt]]+Inventory[[#This Row],[AddFn]]</f>
        <v>1152</v>
      </c>
      <c r="Z1040" s="27">
        <v>1500</v>
      </c>
      <c r="AA1040" s="25">
        <v>7</v>
      </c>
      <c r="AB1040" s="31"/>
      <c r="AC1040" s="27"/>
      <c r="AD1040" s="31"/>
      <c r="AE1040" s="27"/>
      <c r="AF1040" s="27"/>
      <c r="AG1040" s="27"/>
      <c r="AH1040" s="27"/>
      <c r="AI1040" s="25">
        <v>177983</v>
      </c>
      <c r="AJ1040" s="25">
        <v>124588</v>
      </c>
      <c r="AK1040" s="25">
        <v>9030</v>
      </c>
      <c r="AL1040" s="25">
        <v>297800</v>
      </c>
      <c r="AM1040" s="25">
        <v>58400</v>
      </c>
      <c r="AN1040" s="25">
        <v>239400</v>
      </c>
      <c r="AO1040" s="25">
        <v>0</v>
      </c>
      <c r="AP1040" s="25">
        <f>Lookups!$B$56*0</f>
        <v>0</v>
      </c>
      <c r="AQ1040" s="25">
        <f>Lookups!$B$56*1</f>
        <v>89850.625589999996</v>
      </c>
      <c r="AR1040" s="25">
        <f>Lookups!$B$57*Inventory[[#This Row],[LnAcres]]</f>
        <v>-50946.13867709865</v>
      </c>
      <c r="AS1040" s="25">
        <f>VLOOKUP(Inventory[[#This Row],[Qlty]],Lookups!$A$62:$E$75,2,FALSE)</f>
        <v>0</v>
      </c>
      <c r="AT1040" s="25">
        <f>VLOOKUP(Inventory[[#This Row],[Cnd]],Lookups!$A$76:$E$84,2,FALSE)</f>
        <v>197752.34721000001</v>
      </c>
      <c r="AU1040" s="25">
        <f>Inventory[[#This Row],[EffAge]]*Lookups!$B$85</f>
        <v>-11598.371226000001</v>
      </c>
      <c r="AV1040" s="25">
        <f>Inventory[[#This Row],[MainFn]]*Lookups!$B$86</f>
        <v>56918.787698304004</v>
      </c>
      <c r="AW1040" s="25">
        <f>Inventory[[#This Row],[UpprFn]]*Lookups!$B$87</f>
        <v>0</v>
      </c>
      <c r="AX1040" s="25">
        <f>Inventory[[#This Row],[AddFn]]*Lookups!$B$88</f>
        <v>0</v>
      </c>
      <c r="AY1040" s="25">
        <f>Inventory[[#This Row],[Bsmt]]*Lookups!$B$89</f>
        <v>0</v>
      </c>
      <c r="AZ1040" s="25">
        <f>Inventory[[#This Row],[Fixtures]]*Lookups!$B$90</f>
        <v>26544.1547364</v>
      </c>
      <c r="BA1040" s="25">
        <f>Inventory[[#This Row],[WdDeck]]*Lookups!$B$91</f>
        <v>0</v>
      </c>
      <c r="BB1040" s="25">
        <f>ROUND(Inventory[[#This Row],[25Det]],-2)</f>
        <v>9000</v>
      </c>
      <c r="BC1040" s="25">
        <f>ROUND(SUM(Inventory[[#This Row],[Mdl Qlty]:[Mdl WdDeck]])+Inventory[[#This Row],[Mdl Res Intercept]],-2)</f>
        <v>269600</v>
      </c>
      <c r="BD1040" s="25">
        <f>ROUND(Inventory[[#This Row],[Mdl Land Intercept]]+Inventory[[#This Row],[Mdl LnAcres]],-2)</f>
        <v>38900</v>
      </c>
      <c r="BE1040" s="25">
        <f>Inventory[[#This Row],[Unadj Res Value]]+Inventory[[#This Row],[Unadj Det Value]]+Inventory[[#This Row],[Unadj Land Value]]</f>
        <v>317500</v>
      </c>
      <c r="BF1040" s="36">
        <f>(Inventory[[#This Row],[Unadj Total Value]]-Inventory[[#This Row],[24Final]])/Inventory[[#This Row],[24Final]]</f>
        <v>6.61517797179315E-2</v>
      </c>
      <c r="BG1040" s="25">
        <f>VLOOKUP(Inventory[[#This Row],[Nbhd]],Lookups!$Q$2:$T$4,4,FALSE)</f>
        <v>0.99970000000000003</v>
      </c>
      <c r="BH1040" s="25">
        <f>VLOOKUP(Inventory[[#This Row],[Qlty]],Lookups!$O$7:$R$21,4,FALSE)</f>
        <v>0.99180000000000001</v>
      </c>
      <c r="BI1040" s="25">
        <f>VLOOKUP(Inventory[[#This Row],[Cnd]],Lookups!$T$7:$W$16,4,FALSE)</f>
        <v>0.99650000000000005</v>
      </c>
      <c r="BJ1040" s="25">
        <f>VLOOKUP(Inventory[[#This Row],[LivArea Range]],Lookups!$T$25:$W$37,4,FALSE)</f>
        <v>1.0157</v>
      </c>
      <c r="BK1040" s="25">
        <f>VLOOKUP(Inventory[[#This Row],[Decade]],Lookups!$O$25:$R$42,4,FALSE)</f>
        <v>0.995</v>
      </c>
      <c r="BL1040" s="25">
        <f>Inventory[[#This Row],[Nbhd Adj]]*0.95</f>
        <v>0.94971499999999998</v>
      </c>
      <c r="BM1040" s="25">
        <f>Inventory[[#This Row],[Nbhd Adj]]*Inventory[[#This Row],[Quality Adj]]*Inventory[[#This Row],[Condition Adj]]*Inventory[[#This Row],[Living Area Adj]]*Inventory[[#This Row],[Decade Adj]]*0.95</f>
        <v>0.94860025614621091</v>
      </c>
      <c r="BN1040" s="25">
        <f>ROUND(SUM(Inventory[[#This Row],[Mdl Qlty]:[Mdl WdDeck]])+Inventory[[#This Row],[Mdl Res Intercept]]*Inventory[[#This Row],[Res Adj ]],-2)</f>
        <v>269600</v>
      </c>
      <c r="BO1040" s="25">
        <f>ROUND(Inventory[[#This Row],[25Det]]*Inventory[[#This Row],[Det/Nbhd Adj]],-2)</f>
        <v>8600</v>
      </c>
      <c r="BP1040" s="25">
        <f>Inventory[[#This Row],[Adjusted Res]]+Inventory[[#This Row],[Adj Det ]]</f>
        <v>278200</v>
      </c>
      <c r="BQ1040" s="25">
        <f>ROUND((Inventory[[#This Row],[Mdl Land Intercept]]+Inventory[[#This Row],[Mdl LnAcres]])*Inventory[[#This Row],[Det/Nbhd Adj]],-2)</f>
        <v>36900</v>
      </c>
      <c r="BR1040" s="25">
        <f>Inventory[[#This Row],[Adjusted Impr Total]]+Inventory[[#This Row],[Adjusted Land Total]]</f>
        <v>315100</v>
      </c>
      <c r="BS1040" s="36">
        <f>IFERROR((Inventory[[#This Row],[Adjusted Impr Total]]-Inventory[[#This Row],[24Bldg]])/Inventory[[#This Row],[24Bldg]],0)</f>
        <v>0.16207184628237259</v>
      </c>
      <c r="BT1040" s="36">
        <f>(Inventory[[#This Row],[Adjusted Land Total]]-Inventory[[#This Row],[24Lnd]])/Inventory[[#This Row],[24Lnd]]</f>
        <v>-0.36815068493150682</v>
      </c>
      <c r="BU1040" s="36">
        <f>(Inventory[[#This Row],[Adjusted Total]]-Inventory[[#This Row],[24Final]])/Inventory[[#This Row],[24Final]]</f>
        <v>5.8092679650772333E-2</v>
      </c>
    </row>
    <row r="1041" spans="1:73" x14ac:dyDescent="0.3">
      <c r="A1041" s="25">
        <v>2025</v>
      </c>
      <c r="B1041" s="26" t="s">
        <v>929</v>
      </c>
      <c r="C1041" s="26">
        <f>LN(Inventory[[#This Row],[Acres]])</f>
        <v>-2.120263536200091</v>
      </c>
      <c r="D1041" s="25">
        <v>0.12</v>
      </c>
      <c r="E1041" s="25">
        <v>5187</v>
      </c>
      <c r="F1041" s="26" t="s">
        <v>537</v>
      </c>
      <c r="G1041" s="26" t="s">
        <v>126</v>
      </c>
      <c r="H1041" s="26" t="s">
        <v>349</v>
      </c>
      <c r="I1041" s="26" t="s">
        <v>538</v>
      </c>
      <c r="J1041" s="26" t="s">
        <v>539</v>
      </c>
      <c r="K1041" s="26" t="s">
        <v>242</v>
      </c>
      <c r="L1041" s="26" t="s">
        <v>351</v>
      </c>
      <c r="M1041" s="26" t="s">
        <v>206</v>
      </c>
      <c r="N1041" s="26">
        <v>80</v>
      </c>
      <c r="O1041" s="26">
        <f>2024-Inventory[[#This Row],[YrBlt]]</f>
        <v>78</v>
      </c>
      <c r="P1041" s="26">
        <f>2024-Inventory[[#This Row],[EffYr]]</f>
        <v>52</v>
      </c>
      <c r="Q1041" s="25">
        <v>1946</v>
      </c>
      <c r="R1041" s="25">
        <v>1972</v>
      </c>
      <c r="S1041" s="25">
        <v>868</v>
      </c>
      <c r="T1041" s="31"/>
      <c r="U1041" s="25">
        <v>868</v>
      </c>
      <c r="V1041" s="32">
        <f>Inventory[[#This Row],[Bsmt]]-Inventory[[#This Row],[FnBsmt]]</f>
        <v>0</v>
      </c>
      <c r="W1041" s="32">
        <v>868</v>
      </c>
      <c r="X1041" s="27"/>
      <c r="Y1041" s="27">
        <f>Inventory[[#This Row],[MainFn]]+Inventory[[#This Row],[UpprFn]]+Inventory[[#This Row],[FnBsmt]]+Inventory[[#This Row],[AddFn]]</f>
        <v>1736</v>
      </c>
      <c r="Z1041" s="27">
        <v>2000</v>
      </c>
      <c r="AA1041" s="25">
        <v>8</v>
      </c>
      <c r="AB1041" s="31"/>
      <c r="AC1041" s="27"/>
      <c r="AD1041" s="31"/>
      <c r="AE1041" s="27"/>
      <c r="AF1041" s="27"/>
      <c r="AG1041" s="27"/>
      <c r="AH1041" s="27"/>
      <c r="AI1041" s="25">
        <v>219950</v>
      </c>
      <c r="AJ1041" s="25">
        <v>145167</v>
      </c>
      <c r="AK1041" s="25">
        <v>12091</v>
      </c>
      <c r="AL1041" s="25">
        <v>261800</v>
      </c>
      <c r="AM1041" s="25">
        <v>40600</v>
      </c>
      <c r="AN1041" s="25">
        <v>221200</v>
      </c>
      <c r="AO1041" s="25">
        <v>0</v>
      </c>
      <c r="AP1041" s="25">
        <f>Lookups!$B$56*0</f>
        <v>0</v>
      </c>
      <c r="AQ1041" s="25">
        <f>Lookups!$B$56*1</f>
        <v>89850.625589999996</v>
      </c>
      <c r="AR1041" s="25">
        <f>Lookups!$B$57*Inventory[[#This Row],[LnAcres]]</f>
        <v>-67116.12750806773</v>
      </c>
      <c r="AS1041" s="25">
        <f>VLOOKUP(Inventory[[#This Row],[Qlty]],Lookups!$A$62:$E$75,2,FALSE)</f>
        <v>21557.329055999999</v>
      </c>
      <c r="AT1041" s="25">
        <f>VLOOKUP(Inventory[[#This Row],[Cnd]],Lookups!$A$76:$E$84,2,FALSE)</f>
        <v>133714.53821</v>
      </c>
      <c r="AU1041" s="25">
        <f>Inventory[[#This Row],[EffAge]]*Lookups!$B$85</f>
        <v>-11598.371226000001</v>
      </c>
      <c r="AV1041" s="25">
        <f>Inventory[[#This Row],[MainFn]]*Lookups!$B$86</f>
        <v>42886.725453236002</v>
      </c>
      <c r="AW1041" s="25">
        <f>Inventory[[#This Row],[UpprFn]]*Lookups!$B$87</f>
        <v>0</v>
      </c>
      <c r="AX1041" s="25">
        <f>Inventory[[#This Row],[AddFn]]*Lookups!$B$88</f>
        <v>0</v>
      </c>
      <c r="AY1041" s="25">
        <f>Inventory[[#This Row],[Bsmt]]*Lookups!$B$89</f>
        <v>25243.085074396</v>
      </c>
      <c r="AZ1041" s="25">
        <f>Inventory[[#This Row],[Fixtures]]*Lookups!$B$90</f>
        <v>30336.176841600001</v>
      </c>
      <c r="BA1041" s="25">
        <f>Inventory[[#This Row],[WdDeck]]*Lookups!$B$91</f>
        <v>0</v>
      </c>
      <c r="BB1041" s="25">
        <f>ROUND(Inventory[[#This Row],[25Det]],-2)</f>
        <v>12100</v>
      </c>
      <c r="BC1041" s="25">
        <f>ROUND(SUM(Inventory[[#This Row],[Mdl Qlty]:[Mdl WdDeck]])+Inventory[[#This Row],[Mdl Res Intercept]],-2)</f>
        <v>242100</v>
      </c>
      <c r="BD1041" s="25">
        <f>ROUND(Inventory[[#This Row],[Mdl Land Intercept]]+Inventory[[#This Row],[Mdl LnAcres]],-2)</f>
        <v>22700</v>
      </c>
      <c r="BE1041" s="25">
        <f>Inventory[[#This Row],[Unadj Res Value]]+Inventory[[#This Row],[Unadj Det Value]]+Inventory[[#This Row],[Unadj Land Value]]</f>
        <v>276900</v>
      </c>
      <c r="BF1041" s="36">
        <f>(Inventory[[#This Row],[Unadj Total Value]]-Inventory[[#This Row],[24Final]])/Inventory[[#This Row],[24Final]]</f>
        <v>5.767761650114591E-2</v>
      </c>
      <c r="BG1041" s="25">
        <f>VLOOKUP(Inventory[[#This Row],[Nbhd]],Lookups!$Q$2:$T$4,4,FALSE)</f>
        <v>0.99970000000000003</v>
      </c>
      <c r="BH1041" s="25">
        <f>VLOOKUP(Inventory[[#This Row],[Qlty]],Lookups!$O$7:$R$21,4,FALSE)</f>
        <v>1.0067999999999999</v>
      </c>
      <c r="BI1041" s="25">
        <f>VLOOKUP(Inventory[[#This Row],[Cnd]],Lookups!$T$7:$W$16,4,FALSE)</f>
        <v>0.99329999999999996</v>
      </c>
      <c r="BJ1041" s="25">
        <f>VLOOKUP(Inventory[[#This Row],[LivArea Range]],Lookups!$T$25:$W$37,4,FALSE)</f>
        <v>1.0093000000000001</v>
      </c>
      <c r="BK1041" s="25">
        <f>VLOOKUP(Inventory[[#This Row],[Decade]],Lookups!$O$25:$R$42,4,FALSE)</f>
        <v>0.995</v>
      </c>
      <c r="BL1041" s="25">
        <f>Inventory[[#This Row],[Nbhd Adj]]*0.95</f>
        <v>0.94971499999999998</v>
      </c>
      <c r="BM1041" s="25">
        <f>Inventory[[#This Row],[Nbhd Adj]]*Inventory[[#This Row],[Quality Adj]]*Inventory[[#This Row],[Condition Adj]]*Inventory[[#This Row],[Living Area Adj]]*Inventory[[#This Row],[Decade Adj]]*0.95</f>
        <v>0.95380653515361813</v>
      </c>
      <c r="BN1041" s="25">
        <f>ROUND(SUM(Inventory[[#This Row],[Mdl Qlty]:[Mdl WdDeck]])+Inventory[[#This Row],[Mdl Res Intercept]]*Inventory[[#This Row],[Res Adj ]],-2)</f>
        <v>242100</v>
      </c>
      <c r="BO1041" s="25">
        <f>ROUND(Inventory[[#This Row],[25Det]]*Inventory[[#This Row],[Det/Nbhd Adj]],-2)</f>
        <v>11500</v>
      </c>
      <c r="BP1041" s="25">
        <f>Inventory[[#This Row],[Adjusted Res]]+Inventory[[#This Row],[Adj Det ]]</f>
        <v>253600</v>
      </c>
      <c r="BQ1041" s="25">
        <f>ROUND((Inventory[[#This Row],[Mdl Land Intercept]]+Inventory[[#This Row],[Mdl LnAcres]])*Inventory[[#This Row],[Det/Nbhd Adj]],-2)</f>
        <v>21600</v>
      </c>
      <c r="BR1041" s="25">
        <f>Inventory[[#This Row],[Adjusted Impr Total]]+Inventory[[#This Row],[Adjusted Land Total]]</f>
        <v>275200</v>
      </c>
      <c r="BS1041" s="36">
        <f>IFERROR((Inventory[[#This Row],[Adjusted Impr Total]]-Inventory[[#This Row],[24Bldg]])/Inventory[[#This Row],[24Bldg]],0)</f>
        <v>0.14647377938517178</v>
      </c>
      <c r="BT1041" s="36">
        <f>(Inventory[[#This Row],[Adjusted Land Total]]-Inventory[[#This Row],[24Lnd]])/Inventory[[#This Row],[24Lnd]]</f>
        <v>-0.46798029556650245</v>
      </c>
      <c r="BU1041" s="36">
        <f>(Inventory[[#This Row],[Adjusted Total]]-Inventory[[#This Row],[24Final]])/Inventory[[#This Row],[24Final]]</f>
        <v>5.1184110007639422E-2</v>
      </c>
    </row>
    <row r="1042" spans="1:73" x14ac:dyDescent="0.3">
      <c r="A1042" s="25">
        <v>2025</v>
      </c>
      <c r="B1042" s="26" t="s">
        <v>759</v>
      </c>
      <c r="C1042" s="26">
        <f>LN(Inventory[[#This Row],[Acres]])</f>
        <v>-1.1711829815029451</v>
      </c>
      <c r="D1042" s="25">
        <v>0.31</v>
      </c>
      <c r="E1042" s="25">
        <v>13497</v>
      </c>
      <c r="F1042" s="26" t="s">
        <v>537</v>
      </c>
      <c r="G1042" s="26" t="s">
        <v>126</v>
      </c>
      <c r="H1042" s="26" t="s">
        <v>349</v>
      </c>
      <c r="I1042" s="26" t="s">
        <v>538</v>
      </c>
      <c r="J1042" s="26" t="s">
        <v>539</v>
      </c>
      <c r="K1042" s="26" t="s">
        <v>242</v>
      </c>
      <c r="L1042" s="26" t="s">
        <v>205</v>
      </c>
      <c r="M1042" s="26" t="s">
        <v>303</v>
      </c>
      <c r="N1042" s="26">
        <v>80</v>
      </c>
      <c r="O1042" s="26">
        <f>2024-Inventory[[#This Row],[YrBlt]]</f>
        <v>78</v>
      </c>
      <c r="P1042" s="26">
        <f>2024-Inventory[[#This Row],[EffYr]]</f>
        <v>52</v>
      </c>
      <c r="Q1042" s="25">
        <v>1946</v>
      </c>
      <c r="R1042" s="25">
        <v>1972</v>
      </c>
      <c r="S1042" s="25">
        <v>1416</v>
      </c>
      <c r="T1042" s="31"/>
      <c r="U1042" s="31"/>
      <c r="V1042" s="31">
        <f>Inventory[[#This Row],[Bsmt]]-Inventory[[#This Row],[FnBsmt]]</f>
        <v>0</v>
      </c>
      <c r="W1042" s="31"/>
      <c r="X1042" s="27"/>
      <c r="Y1042" s="27">
        <f>Inventory[[#This Row],[MainFn]]+Inventory[[#This Row],[UpprFn]]+Inventory[[#This Row],[FnBsmt]]+Inventory[[#This Row],[AddFn]]</f>
        <v>1416</v>
      </c>
      <c r="Z1042" s="27">
        <v>1500</v>
      </c>
      <c r="AA1042" s="25">
        <v>7</v>
      </c>
      <c r="AB1042" s="27"/>
      <c r="AC1042" s="27"/>
      <c r="AD1042" s="27"/>
      <c r="AE1042" s="27"/>
      <c r="AF1042" s="27"/>
      <c r="AG1042" s="27"/>
      <c r="AH1042" s="27"/>
      <c r="AI1042" s="25">
        <v>213034</v>
      </c>
      <c r="AJ1042" s="25">
        <v>149124</v>
      </c>
      <c r="AK1042" s="25">
        <v>8075</v>
      </c>
      <c r="AL1042" s="25">
        <v>325200</v>
      </c>
      <c r="AM1042" s="25">
        <v>73700</v>
      </c>
      <c r="AN1042" s="25">
        <v>251500</v>
      </c>
      <c r="AO1042" s="25">
        <v>0</v>
      </c>
      <c r="AP1042" s="25">
        <f>Lookups!$B$56*0</f>
        <v>0</v>
      </c>
      <c r="AQ1042" s="25">
        <f>Lookups!$B$56*1</f>
        <v>89850.625589999996</v>
      </c>
      <c r="AR1042" s="25">
        <f>Lookups!$B$57*Inventory[[#This Row],[LnAcres]]</f>
        <v>-37073.347241874442</v>
      </c>
      <c r="AS1042" s="25">
        <f>VLOOKUP(Inventory[[#This Row],[Qlty]],Lookups!$A$62:$E$75,2,FALSE)</f>
        <v>0</v>
      </c>
      <c r="AT1042" s="25">
        <f>VLOOKUP(Inventory[[#This Row],[Cnd]],Lookups!$A$76:$E$84,2,FALSE)</f>
        <v>197752.34721000001</v>
      </c>
      <c r="AU1042" s="25">
        <f>Inventory[[#This Row],[EffAge]]*Lookups!$B$85</f>
        <v>-11598.371226000001</v>
      </c>
      <c r="AV1042" s="25">
        <f>Inventory[[#This Row],[MainFn]]*Lookups!$B$86</f>
        <v>69962.676545832001</v>
      </c>
      <c r="AW1042" s="25">
        <f>Inventory[[#This Row],[UpprFn]]*Lookups!$B$87</f>
        <v>0</v>
      </c>
      <c r="AX1042" s="25">
        <f>Inventory[[#This Row],[AddFn]]*Lookups!$B$88</f>
        <v>0</v>
      </c>
      <c r="AY1042" s="25">
        <f>Inventory[[#This Row],[Bsmt]]*Lookups!$B$89</f>
        <v>0</v>
      </c>
      <c r="AZ1042" s="25">
        <f>Inventory[[#This Row],[Fixtures]]*Lookups!$B$90</f>
        <v>26544.1547364</v>
      </c>
      <c r="BA1042" s="25">
        <f>Inventory[[#This Row],[WdDeck]]*Lookups!$B$91</f>
        <v>0</v>
      </c>
      <c r="BB1042" s="25">
        <f>ROUND(Inventory[[#This Row],[25Det]],-2)</f>
        <v>8100</v>
      </c>
      <c r="BC1042" s="25">
        <f>ROUND(SUM(Inventory[[#This Row],[Mdl Qlty]:[Mdl WdDeck]])+Inventory[[#This Row],[Mdl Res Intercept]],-2)</f>
        <v>282700</v>
      </c>
      <c r="BD1042" s="25">
        <f>ROUND(Inventory[[#This Row],[Mdl Land Intercept]]+Inventory[[#This Row],[Mdl LnAcres]],-2)</f>
        <v>52800</v>
      </c>
      <c r="BE1042" s="25">
        <f>Inventory[[#This Row],[Unadj Res Value]]+Inventory[[#This Row],[Unadj Det Value]]+Inventory[[#This Row],[Unadj Land Value]]</f>
        <v>343600</v>
      </c>
      <c r="BF1042" s="36">
        <f>(Inventory[[#This Row],[Unadj Total Value]]-Inventory[[#This Row],[24Final]])/Inventory[[#This Row],[24Final]]</f>
        <v>5.6580565805658053E-2</v>
      </c>
      <c r="BG1042" s="25">
        <f>VLOOKUP(Inventory[[#This Row],[Nbhd]],Lookups!$Q$2:$T$4,4,FALSE)</f>
        <v>0.99970000000000003</v>
      </c>
      <c r="BH1042" s="25">
        <f>VLOOKUP(Inventory[[#This Row],[Qlty]],Lookups!$O$7:$R$21,4,FALSE)</f>
        <v>0.99180000000000001</v>
      </c>
      <c r="BI1042" s="25">
        <f>VLOOKUP(Inventory[[#This Row],[Cnd]],Lookups!$T$7:$W$16,4,FALSE)</f>
        <v>0.99650000000000005</v>
      </c>
      <c r="BJ1042" s="25">
        <f>VLOOKUP(Inventory[[#This Row],[LivArea Range]],Lookups!$T$25:$W$37,4,FALSE)</f>
        <v>1.0157</v>
      </c>
      <c r="BK1042" s="25">
        <f>VLOOKUP(Inventory[[#This Row],[Decade]],Lookups!$O$25:$R$42,4,FALSE)</f>
        <v>0.995</v>
      </c>
      <c r="BL1042" s="25">
        <f>Inventory[[#This Row],[Nbhd Adj]]*0.95</f>
        <v>0.94971499999999998</v>
      </c>
      <c r="BM1042" s="25">
        <f>Inventory[[#This Row],[Nbhd Adj]]*Inventory[[#This Row],[Quality Adj]]*Inventory[[#This Row],[Condition Adj]]*Inventory[[#This Row],[Living Area Adj]]*Inventory[[#This Row],[Decade Adj]]*0.95</f>
        <v>0.94860025614621091</v>
      </c>
      <c r="BN1042" s="25">
        <f>ROUND(SUM(Inventory[[#This Row],[Mdl Qlty]:[Mdl WdDeck]])+Inventory[[#This Row],[Mdl Res Intercept]]*Inventory[[#This Row],[Res Adj ]],-2)</f>
        <v>282700</v>
      </c>
      <c r="BO1042" s="25">
        <f>ROUND(Inventory[[#This Row],[25Det]]*Inventory[[#This Row],[Det/Nbhd Adj]],-2)</f>
        <v>7700</v>
      </c>
      <c r="BP1042" s="25">
        <f>Inventory[[#This Row],[Adjusted Res]]+Inventory[[#This Row],[Adj Det ]]</f>
        <v>290400</v>
      </c>
      <c r="BQ1042" s="25">
        <f>ROUND((Inventory[[#This Row],[Mdl Land Intercept]]+Inventory[[#This Row],[Mdl LnAcres]])*Inventory[[#This Row],[Det/Nbhd Adj]],-2)</f>
        <v>50100</v>
      </c>
      <c r="BR1042" s="25">
        <f>Inventory[[#This Row],[Adjusted Impr Total]]+Inventory[[#This Row],[Adjusted Land Total]]</f>
        <v>340500</v>
      </c>
      <c r="BS1042" s="36">
        <f>IFERROR((Inventory[[#This Row],[Adjusted Impr Total]]-Inventory[[#This Row],[24Bldg]])/Inventory[[#This Row],[24Bldg]],0)</f>
        <v>0.15467196819085488</v>
      </c>
      <c r="BT1042" s="36">
        <f>(Inventory[[#This Row],[Adjusted Land Total]]-Inventory[[#This Row],[24Lnd]])/Inventory[[#This Row],[24Lnd]]</f>
        <v>-0.32021709633649931</v>
      </c>
      <c r="BU1042" s="36">
        <f>(Inventory[[#This Row],[Adjusted Total]]-Inventory[[#This Row],[24Final]])/Inventory[[#This Row],[24Final]]</f>
        <v>4.7047970479704798E-2</v>
      </c>
    </row>
    <row r="1043" spans="1:73" x14ac:dyDescent="0.3">
      <c r="A1043" s="25">
        <v>2025</v>
      </c>
      <c r="B1043" s="26" t="s">
        <v>1218</v>
      </c>
      <c r="C1043" s="26">
        <f>LN(Inventory[[#This Row],[Acres]])</f>
        <v>-1.5606477482646683</v>
      </c>
      <c r="D1043" s="25">
        <v>0.21</v>
      </c>
      <c r="E1043" s="25">
        <v>8978</v>
      </c>
      <c r="F1043" s="26" t="s">
        <v>537</v>
      </c>
      <c r="G1043" s="26" t="s">
        <v>126</v>
      </c>
      <c r="H1043" s="26" t="s">
        <v>349</v>
      </c>
      <c r="I1043" s="26" t="s">
        <v>538</v>
      </c>
      <c r="J1043" s="26" t="s">
        <v>539</v>
      </c>
      <c r="K1043" s="26" t="s">
        <v>241</v>
      </c>
      <c r="L1043" s="26" t="s">
        <v>148</v>
      </c>
      <c r="M1043" s="26" t="s">
        <v>303</v>
      </c>
      <c r="N1043" s="26">
        <v>80</v>
      </c>
      <c r="O1043" s="26">
        <f>2024-Inventory[[#This Row],[YrBlt]]</f>
        <v>78</v>
      </c>
      <c r="P1043" s="26">
        <f>2024-Inventory[[#This Row],[EffYr]]</f>
        <v>52</v>
      </c>
      <c r="Q1043" s="25">
        <v>1946</v>
      </c>
      <c r="R1043" s="25">
        <v>1972</v>
      </c>
      <c r="S1043" s="25">
        <v>1344</v>
      </c>
      <c r="T1043" s="27"/>
      <c r="U1043" s="32">
        <v>1024</v>
      </c>
      <c r="V1043" s="32">
        <f>Inventory[[#This Row],[Bsmt]]-Inventory[[#This Row],[FnBsmt]]</f>
        <v>0</v>
      </c>
      <c r="W1043" s="32">
        <v>1024</v>
      </c>
      <c r="X1043" s="27"/>
      <c r="Y1043" s="27">
        <f>Inventory[[#This Row],[MainFn]]+Inventory[[#This Row],[UpprFn]]+Inventory[[#This Row],[FnBsmt]]+Inventory[[#This Row],[AddFn]]</f>
        <v>2368</v>
      </c>
      <c r="Z1043" s="27">
        <v>2500</v>
      </c>
      <c r="AA1043" s="25">
        <v>8</v>
      </c>
      <c r="AB1043" s="27"/>
      <c r="AC1043" s="25">
        <v>252</v>
      </c>
      <c r="AD1043" s="27"/>
      <c r="AE1043" s="27"/>
      <c r="AF1043" s="27"/>
      <c r="AG1043" s="27"/>
      <c r="AH1043" s="27"/>
      <c r="AI1043" s="25">
        <v>442895</v>
      </c>
      <c r="AJ1043" s="25">
        <v>310027</v>
      </c>
      <c r="AK1043" s="25">
        <v>0</v>
      </c>
      <c r="AL1043" s="25">
        <v>378400</v>
      </c>
      <c r="AM1043" s="25">
        <v>60100</v>
      </c>
      <c r="AN1043" s="25">
        <v>318300</v>
      </c>
      <c r="AO1043" s="25">
        <v>0</v>
      </c>
      <c r="AP1043" s="25">
        <f>Lookups!$B$56*0</f>
        <v>0</v>
      </c>
      <c r="AQ1043" s="25">
        <f>Lookups!$B$56*1</f>
        <v>89850.625589999996</v>
      </c>
      <c r="AR1043" s="25">
        <f>Lookups!$B$57*Inventory[[#This Row],[LnAcres]]</f>
        <v>-49401.70477837498</v>
      </c>
      <c r="AS1043" s="25">
        <f>VLOOKUP(Inventory[[#This Row],[Qlty]],Lookups!$A$62:$E$75,2,FALSE)</f>
        <v>44121.038090000002</v>
      </c>
      <c r="AT1043" s="25">
        <f>VLOOKUP(Inventory[[#This Row],[Cnd]],Lookups!$A$76:$E$84,2,FALSE)</f>
        <v>197752.34721000001</v>
      </c>
      <c r="AU1043" s="25">
        <f>Inventory[[#This Row],[EffAge]]*Lookups!$B$85</f>
        <v>-11598.371226000001</v>
      </c>
      <c r="AV1043" s="25">
        <f>Inventory[[#This Row],[MainFn]]*Lookups!$B$86</f>
        <v>66405.252314687998</v>
      </c>
      <c r="AW1043" s="25">
        <f>Inventory[[#This Row],[UpprFn]]*Lookups!$B$87</f>
        <v>0</v>
      </c>
      <c r="AX1043" s="25">
        <f>Inventory[[#This Row],[AddFn]]*Lookups!$B$88</f>
        <v>0</v>
      </c>
      <c r="AY1043" s="25">
        <f>Inventory[[#This Row],[Bsmt]]*Lookups!$B$89</f>
        <v>29779.860732927998</v>
      </c>
      <c r="AZ1043" s="25">
        <f>Inventory[[#This Row],[Fixtures]]*Lookups!$B$90</f>
        <v>30336.176841600001</v>
      </c>
      <c r="BA1043" s="25">
        <f>Inventory[[#This Row],[WdDeck]]*Lookups!$B$91</f>
        <v>0</v>
      </c>
      <c r="BB1043" s="25">
        <f>ROUND(Inventory[[#This Row],[25Det]],-2)</f>
        <v>0</v>
      </c>
      <c r="BC1043" s="25">
        <f>ROUND(SUM(Inventory[[#This Row],[Mdl Qlty]:[Mdl WdDeck]])+Inventory[[#This Row],[Mdl Res Intercept]],-2)</f>
        <v>356800</v>
      </c>
      <c r="BD1043" s="25">
        <f>ROUND(Inventory[[#This Row],[Mdl Land Intercept]]+Inventory[[#This Row],[Mdl LnAcres]],-2)</f>
        <v>40400</v>
      </c>
      <c r="BE1043" s="25">
        <f>Inventory[[#This Row],[Unadj Res Value]]+Inventory[[#This Row],[Unadj Det Value]]+Inventory[[#This Row],[Unadj Land Value]]</f>
        <v>397200</v>
      </c>
      <c r="BF1043" s="36">
        <f>(Inventory[[#This Row],[Unadj Total Value]]-Inventory[[#This Row],[24Final]])/Inventory[[#This Row],[24Final]]</f>
        <v>4.9682875264270614E-2</v>
      </c>
      <c r="BG1043" s="25">
        <f>VLOOKUP(Inventory[[#This Row],[Nbhd]],Lookups!$Q$2:$T$4,4,FALSE)</f>
        <v>0.99970000000000003</v>
      </c>
      <c r="BH1043" s="25">
        <f>VLOOKUP(Inventory[[#This Row],[Qlty]],Lookups!$O$7:$R$21,4,FALSE)</f>
        <v>0.98050000000000004</v>
      </c>
      <c r="BI1043" s="25">
        <f>VLOOKUP(Inventory[[#This Row],[Cnd]],Lookups!$T$7:$W$16,4,FALSE)</f>
        <v>0.99650000000000005</v>
      </c>
      <c r="BJ1043" s="25">
        <f>VLOOKUP(Inventory[[#This Row],[LivArea Range]],Lookups!$T$25:$W$37,4,FALSE)</f>
        <v>0.98919999999999997</v>
      </c>
      <c r="BK1043" s="25">
        <f>VLOOKUP(Inventory[[#This Row],[Decade]],Lookups!$O$25:$R$42,4,FALSE)</f>
        <v>0.995</v>
      </c>
      <c r="BL1043" s="25">
        <f>Inventory[[#This Row],[Nbhd Adj]]*0.95</f>
        <v>0.94971499999999998</v>
      </c>
      <c r="BM1043" s="25">
        <f>Inventory[[#This Row],[Nbhd Adj]]*Inventory[[#This Row],[Quality Adj]]*Inventory[[#This Row],[Condition Adj]]*Inventory[[#This Row],[Living Area Adj]]*Inventory[[#This Row],[Decade Adj]]*0.95</f>
        <v>0.91332508691872449</v>
      </c>
      <c r="BN1043" s="25">
        <f>ROUND(SUM(Inventory[[#This Row],[Mdl Qlty]:[Mdl WdDeck]])+Inventory[[#This Row],[Mdl Res Intercept]]*Inventory[[#This Row],[Res Adj ]],-2)</f>
        <v>356800</v>
      </c>
      <c r="BO1043" s="25">
        <f>ROUND(Inventory[[#This Row],[25Det]]*Inventory[[#This Row],[Det/Nbhd Adj]],-2)</f>
        <v>0</v>
      </c>
      <c r="BP1043" s="25">
        <f>Inventory[[#This Row],[Adjusted Res]]+Inventory[[#This Row],[Adj Det ]]</f>
        <v>356800</v>
      </c>
      <c r="BQ1043" s="25">
        <f>ROUND((Inventory[[#This Row],[Mdl Land Intercept]]+Inventory[[#This Row],[Mdl LnAcres]])*Inventory[[#This Row],[Det/Nbhd Adj]],-2)</f>
        <v>38400</v>
      </c>
      <c r="BR1043" s="25">
        <f>Inventory[[#This Row],[Adjusted Impr Total]]+Inventory[[#This Row],[Adjusted Land Total]]</f>
        <v>395200</v>
      </c>
      <c r="BS1043" s="36">
        <f>IFERROR((Inventory[[#This Row],[Adjusted Impr Total]]-Inventory[[#This Row],[24Bldg]])/Inventory[[#This Row],[24Bldg]],0)</f>
        <v>0.12095507382972039</v>
      </c>
      <c r="BT1043" s="36">
        <f>(Inventory[[#This Row],[Adjusted Land Total]]-Inventory[[#This Row],[24Lnd]])/Inventory[[#This Row],[24Lnd]]</f>
        <v>-0.36106489184692181</v>
      </c>
      <c r="BU1043" s="36">
        <f>(Inventory[[#This Row],[Adjusted Total]]-Inventory[[#This Row],[24Final]])/Inventory[[#This Row],[24Final]]</f>
        <v>4.4397463002114168E-2</v>
      </c>
    </row>
    <row r="1044" spans="1:73" x14ac:dyDescent="0.3">
      <c r="A1044" s="25">
        <v>2025</v>
      </c>
      <c r="B1044" s="26" t="s">
        <v>1087</v>
      </c>
      <c r="C1044" s="26">
        <f>LN(Inventory[[#This Row],[Acres]])</f>
        <v>-1.6094379124341003</v>
      </c>
      <c r="D1044" s="25">
        <v>0.2</v>
      </c>
      <c r="E1044" s="25">
        <v>8700</v>
      </c>
      <c r="F1044" s="26" t="s">
        <v>537</v>
      </c>
      <c r="G1044" s="26" t="s">
        <v>126</v>
      </c>
      <c r="H1044" s="26" t="s">
        <v>349</v>
      </c>
      <c r="I1044" s="26" t="s">
        <v>538</v>
      </c>
      <c r="J1044" s="26" t="s">
        <v>539</v>
      </c>
      <c r="K1044" s="26" t="s">
        <v>242</v>
      </c>
      <c r="L1044" s="26" t="s">
        <v>351</v>
      </c>
      <c r="M1044" s="26" t="s">
        <v>323</v>
      </c>
      <c r="N1044" s="26">
        <v>80</v>
      </c>
      <c r="O1044" s="26">
        <f>2024-Inventory[[#This Row],[YrBlt]]</f>
        <v>78</v>
      </c>
      <c r="P1044" s="26">
        <f>2024-Inventory[[#This Row],[EffYr]]</f>
        <v>52</v>
      </c>
      <c r="Q1044" s="25">
        <v>1946</v>
      </c>
      <c r="R1044" s="25">
        <v>1972</v>
      </c>
      <c r="S1044" s="25">
        <v>893</v>
      </c>
      <c r="T1044" s="27"/>
      <c r="U1044" s="25">
        <v>893</v>
      </c>
      <c r="V1044" s="25">
        <f>Inventory[[#This Row],[Bsmt]]-Inventory[[#This Row],[FnBsmt]]</f>
        <v>293</v>
      </c>
      <c r="W1044" s="25">
        <v>600</v>
      </c>
      <c r="X1044" s="27"/>
      <c r="Y1044" s="27">
        <f>Inventory[[#This Row],[MainFn]]+Inventory[[#This Row],[UpprFn]]+Inventory[[#This Row],[FnBsmt]]+Inventory[[#This Row],[AddFn]]</f>
        <v>1493</v>
      </c>
      <c r="Z1044" s="27">
        <v>1500</v>
      </c>
      <c r="AA1044" s="25">
        <v>5</v>
      </c>
      <c r="AB1044" s="27"/>
      <c r="AC1044" s="27"/>
      <c r="AD1044" s="27"/>
      <c r="AE1044" s="27"/>
      <c r="AF1044" s="27"/>
      <c r="AG1044" s="27"/>
      <c r="AH1044" s="27"/>
      <c r="AI1044" s="25">
        <v>213711</v>
      </c>
      <c r="AJ1044" s="25">
        <v>145323</v>
      </c>
      <c r="AK1044" s="25">
        <v>4143</v>
      </c>
      <c r="AL1044" s="25">
        <v>288100</v>
      </c>
      <c r="AM1044" s="25">
        <v>58400</v>
      </c>
      <c r="AN1044" s="25">
        <v>229700</v>
      </c>
      <c r="AO1044" s="25">
        <v>0</v>
      </c>
      <c r="AP1044" s="25">
        <f>Lookups!$B$56*0</f>
        <v>0</v>
      </c>
      <c r="AQ1044" s="25">
        <f>Lookups!$B$56*1</f>
        <v>89850.625589999996</v>
      </c>
      <c r="AR1044" s="25">
        <f>Lookups!$B$57*Inventory[[#This Row],[LnAcres]]</f>
        <v>-50946.13867709865</v>
      </c>
      <c r="AS1044" s="25">
        <f>VLOOKUP(Inventory[[#This Row],[Qlty]],Lookups!$A$62:$E$75,2,FALSE)</f>
        <v>21557.329055999999</v>
      </c>
      <c r="AT1044" s="25">
        <f>VLOOKUP(Inventory[[#This Row],[Cnd]],Lookups!$A$76:$E$84,2,FALSE)</f>
        <v>160472.20319</v>
      </c>
      <c r="AU1044" s="25">
        <f>Inventory[[#This Row],[EffAge]]*Lookups!$B$85</f>
        <v>-11598.371226000001</v>
      </c>
      <c r="AV1044" s="25">
        <f>Inventory[[#This Row],[MainFn]]*Lookups!$B$86</f>
        <v>44121.942200161</v>
      </c>
      <c r="AW1044" s="25">
        <f>Inventory[[#This Row],[UpprFn]]*Lookups!$B$87</f>
        <v>0</v>
      </c>
      <c r="AX1044" s="25">
        <f>Inventory[[#This Row],[AddFn]]*Lookups!$B$88</f>
        <v>0</v>
      </c>
      <c r="AY1044" s="25">
        <f>Inventory[[#This Row],[Bsmt]]*Lookups!$B$89</f>
        <v>25970.132455570998</v>
      </c>
      <c r="AZ1044" s="25">
        <f>Inventory[[#This Row],[Fixtures]]*Lookups!$B$90</f>
        <v>18960.110526</v>
      </c>
      <c r="BA1044" s="25">
        <f>Inventory[[#This Row],[WdDeck]]*Lookups!$B$91</f>
        <v>0</v>
      </c>
      <c r="BB1044" s="25">
        <f>ROUND(Inventory[[#This Row],[25Det]],-2)</f>
        <v>4100</v>
      </c>
      <c r="BC1044" s="25">
        <f>ROUND(SUM(Inventory[[#This Row],[Mdl Qlty]:[Mdl WdDeck]])+Inventory[[#This Row],[Mdl Res Intercept]],-2)</f>
        <v>259500</v>
      </c>
      <c r="BD1044" s="25">
        <f>ROUND(Inventory[[#This Row],[Mdl Land Intercept]]+Inventory[[#This Row],[Mdl LnAcres]],-2)</f>
        <v>38900</v>
      </c>
      <c r="BE1044" s="25">
        <f>Inventory[[#This Row],[Unadj Res Value]]+Inventory[[#This Row],[Unadj Det Value]]+Inventory[[#This Row],[Unadj Land Value]]</f>
        <v>302500</v>
      </c>
      <c r="BF1044" s="36">
        <f>(Inventory[[#This Row],[Unadj Total Value]]-Inventory[[#This Row],[24Final]])/Inventory[[#This Row],[24Final]]</f>
        <v>4.9982644914960087E-2</v>
      </c>
      <c r="BG1044" s="25">
        <f>VLOOKUP(Inventory[[#This Row],[Nbhd]],Lookups!$Q$2:$T$4,4,FALSE)</f>
        <v>0.99970000000000003</v>
      </c>
      <c r="BH1044" s="25">
        <f>VLOOKUP(Inventory[[#This Row],[Qlty]],Lookups!$O$7:$R$21,4,FALSE)</f>
        <v>1.0067999999999999</v>
      </c>
      <c r="BI1044" s="25">
        <f>VLOOKUP(Inventory[[#This Row],[Cnd]],Lookups!$T$7:$W$16,4,FALSE)</f>
        <v>0.99729999999999996</v>
      </c>
      <c r="BJ1044" s="25">
        <f>VLOOKUP(Inventory[[#This Row],[LivArea Range]],Lookups!$T$25:$W$37,4,FALSE)</f>
        <v>1.0157</v>
      </c>
      <c r="BK1044" s="25">
        <f>VLOOKUP(Inventory[[#This Row],[Decade]],Lookups!$O$25:$R$42,4,FALSE)</f>
        <v>0.995</v>
      </c>
      <c r="BL1044" s="25">
        <f>Inventory[[#This Row],[Nbhd Adj]]*0.95</f>
        <v>0.94971499999999998</v>
      </c>
      <c r="BM1044" s="25">
        <f>Inventory[[#This Row],[Nbhd Adj]]*Inventory[[#This Row],[Quality Adj]]*Inventory[[#This Row],[Condition Adj]]*Inventory[[#This Row],[Living Area Adj]]*Inventory[[#This Row],[Decade Adj]]*0.95</f>
        <v>0.96371996573175212</v>
      </c>
      <c r="BN1044" s="25">
        <f>ROUND(SUM(Inventory[[#This Row],[Mdl Qlty]:[Mdl WdDeck]])+Inventory[[#This Row],[Mdl Res Intercept]]*Inventory[[#This Row],[Res Adj ]],-2)</f>
        <v>259500</v>
      </c>
      <c r="BO1044" s="25">
        <f>ROUND(Inventory[[#This Row],[25Det]]*Inventory[[#This Row],[Det/Nbhd Adj]],-2)</f>
        <v>3900</v>
      </c>
      <c r="BP1044" s="25">
        <f>Inventory[[#This Row],[Adjusted Res]]+Inventory[[#This Row],[Adj Det ]]</f>
        <v>263400</v>
      </c>
      <c r="BQ1044" s="25">
        <f>ROUND((Inventory[[#This Row],[Mdl Land Intercept]]+Inventory[[#This Row],[Mdl LnAcres]])*Inventory[[#This Row],[Det/Nbhd Adj]],-2)</f>
        <v>36900</v>
      </c>
      <c r="BR1044" s="25">
        <f>Inventory[[#This Row],[Adjusted Impr Total]]+Inventory[[#This Row],[Adjusted Land Total]]</f>
        <v>300300</v>
      </c>
      <c r="BS1044" s="36">
        <f>IFERROR((Inventory[[#This Row],[Adjusted Impr Total]]-Inventory[[#This Row],[24Bldg]])/Inventory[[#This Row],[24Bldg]],0)</f>
        <v>0.14671310404875926</v>
      </c>
      <c r="BT1044" s="36">
        <f>(Inventory[[#This Row],[Adjusted Land Total]]-Inventory[[#This Row],[24Lnd]])/Inventory[[#This Row],[24Lnd]]</f>
        <v>-0.36815068493150682</v>
      </c>
      <c r="BU1044" s="36">
        <f>(Inventory[[#This Row],[Adjusted Total]]-Inventory[[#This Row],[24Final]])/Inventory[[#This Row],[24Final]]</f>
        <v>4.2346407497396737E-2</v>
      </c>
    </row>
    <row r="1045" spans="1:73" x14ac:dyDescent="0.3">
      <c r="A1045" s="25">
        <v>2025</v>
      </c>
      <c r="B1045" s="26" t="s">
        <v>1201</v>
      </c>
      <c r="C1045" s="26">
        <f>LN(Inventory[[#This Row],[Acres]])</f>
        <v>-2.2072749131897207</v>
      </c>
      <c r="D1045" s="25">
        <v>0.11</v>
      </c>
      <c r="E1045" s="25">
        <v>4673</v>
      </c>
      <c r="F1045" s="26" t="s">
        <v>537</v>
      </c>
      <c r="G1045" s="26" t="s">
        <v>126</v>
      </c>
      <c r="H1045" s="26" t="s">
        <v>349</v>
      </c>
      <c r="I1045" s="26" t="s">
        <v>538</v>
      </c>
      <c r="J1045" s="26" t="s">
        <v>539</v>
      </c>
      <c r="K1045" s="26" t="s">
        <v>242</v>
      </c>
      <c r="L1045" s="26" t="s">
        <v>205</v>
      </c>
      <c r="M1045" s="26" t="s">
        <v>323</v>
      </c>
      <c r="N1045" s="26">
        <v>80</v>
      </c>
      <c r="O1045" s="26">
        <f>2024-Inventory[[#This Row],[YrBlt]]</f>
        <v>78</v>
      </c>
      <c r="P1045" s="26">
        <f>2024-Inventory[[#This Row],[EffYr]]</f>
        <v>52</v>
      </c>
      <c r="Q1045" s="25">
        <v>1946</v>
      </c>
      <c r="R1045" s="25">
        <v>1972</v>
      </c>
      <c r="S1045" s="25">
        <v>725</v>
      </c>
      <c r="T1045" s="31"/>
      <c r="U1045" s="31"/>
      <c r="V1045" s="31">
        <f>Inventory[[#This Row],[Bsmt]]-Inventory[[#This Row],[FnBsmt]]</f>
        <v>0</v>
      </c>
      <c r="W1045" s="31"/>
      <c r="X1045" s="27"/>
      <c r="Y1045" s="27">
        <f>Inventory[[#This Row],[MainFn]]+Inventory[[#This Row],[UpprFn]]+Inventory[[#This Row],[FnBsmt]]+Inventory[[#This Row],[AddFn]]</f>
        <v>725</v>
      </c>
      <c r="Z1045" s="27">
        <v>1000</v>
      </c>
      <c r="AA1045" s="25">
        <v>5</v>
      </c>
      <c r="AB1045" s="32">
        <v>294</v>
      </c>
      <c r="AC1045" s="31"/>
      <c r="AD1045" s="31"/>
      <c r="AE1045" s="27"/>
      <c r="AF1045" s="27"/>
      <c r="AG1045" s="27"/>
      <c r="AH1045" s="27"/>
      <c r="AI1045" s="25">
        <v>125884</v>
      </c>
      <c r="AJ1045" s="25">
        <v>85601</v>
      </c>
      <c r="AK1045" s="25">
        <v>0</v>
      </c>
      <c r="AL1045" s="25">
        <v>214300</v>
      </c>
      <c r="AM1045" s="25">
        <v>37600</v>
      </c>
      <c r="AN1045" s="25">
        <v>176700</v>
      </c>
      <c r="AO1045" s="25">
        <v>0</v>
      </c>
      <c r="AP1045" s="25">
        <f>Lookups!$B$56*0</f>
        <v>0</v>
      </c>
      <c r="AQ1045" s="25">
        <f>Lookups!$B$56*1</f>
        <v>89850.625589999996</v>
      </c>
      <c r="AR1045" s="25">
        <f>Lookups!$B$57*Inventory[[#This Row],[LnAcres]]</f>
        <v>-69870.439211769743</v>
      </c>
      <c r="AS1045" s="25">
        <f>VLOOKUP(Inventory[[#This Row],[Qlty]],Lookups!$A$62:$E$75,2,FALSE)</f>
        <v>0</v>
      </c>
      <c r="AT1045" s="25">
        <f>VLOOKUP(Inventory[[#This Row],[Cnd]],Lookups!$A$76:$E$84,2,FALSE)</f>
        <v>160472.20319</v>
      </c>
      <c r="AU1045" s="25">
        <f>Inventory[[#This Row],[EffAge]]*Lookups!$B$85</f>
        <v>-11598.371226000001</v>
      </c>
      <c r="AV1045" s="25">
        <f>Inventory[[#This Row],[MainFn]]*Lookups!$B$86</f>
        <v>35821.285660825</v>
      </c>
      <c r="AW1045" s="25">
        <f>Inventory[[#This Row],[UpprFn]]*Lookups!$B$87</f>
        <v>0</v>
      </c>
      <c r="AX1045" s="25">
        <f>Inventory[[#This Row],[AddFn]]*Lookups!$B$88</f>
        <v>0</v>
      </c>
      <c r="AY1045" s="25">
        <f>Inventory[[#This Row],[Bsmt]]*Lookups!$B$89</f>
        <v>0</v>
      </c>
      <c r="AZ1045" s="25">
        <f>Inventory[[#This Row],[Fixtures]]*Lookups!$B$90</f>
        <v>18960.110526</v>
      </c>
      <c r="BA1045" s="25">
        <f>Inventory[[#This Row],[WdDeck]]*Lookups!$B$91</f>
        <v>0</v>
      </c>
      <c r="BB1045" s="25">
        <f>ROUND(Inventory[[#This Row],[25Det]],-2)</f>
        <v>0</v>
      </c>
      <c r="BC1045" s="25">
        <f>ROUND(SUM(Inventory[[#This Row],[Mdl Qlty]:[Mdl WdDeck]])+Inventory[[#This Row],[Mdl Res Intercept]],-2)</f>
        <v>203700</v>
      </c>
      <c r="BD1045" s="25">
        <f>ROUND(Inventory[[#This Row],[Mdl Land Intercept]]+Inventory[[#This Row],[Mdl LnAcres]],-2)</f>
        <v>20000</v>
      </c>
      <c r="BE1045" s="25">
        <f>Inventory[[#This Row],[Unadj Res Value]]+Inventory[[#This Row],[Unadj Det Value]]+Inventory[[#This Row],[Unadj Land Value]]</f>
        <v>223700</v>
      </c>
      <c r="BF1045" s="36">
        <f>(Inventory[[#This Row],[Unadj Total Value]]-Inventory[[#This Row],[24Final]])/Inventory[[#This Row],[24Final]]</f>
        <v>4.386374241717219E-2</v>
      </c>
      <c r="BG1045" s="25">
        <f>VLOOKUP(Inventory[[#This Row],[Nbhd]],Lookups!$Q$2:$T$4,4,FALSE)</f>
        <v>0.99970000000000003</v>
      </c>
      <c r="BH1045" s="25">
        <f>VLOOKUP(Inventory[[#This Row],[Qlty]],Lookups!$O$7:$R$21,4,FALSE)</f>
        <v>0.99180000000000001</v>
      </c>
      <c r="BI1045" s="25">
        <f>VLOOKUP(Inventory[[#This Row],[Cnd]],Lookups!$T$7:$W$16,4,FALSE)</f>
        <v>0.99729999999999996</v>
      </c>
      <c r="BJ1045" s="25">
        <f>VLOOKUP(Inventory[[#This Row],[LivArea Range]],Lookups!$T$25:$W$37,4,FALSE)</f>
        <v>1.0148999999999999</v>
      </c>
      <c r="BK1045" s="25">
        <f>VLOOKUP(Inventory[[#This Row],[Decade]],Lookups!$O$25:$R$42,4,FALSE)</f>
        <v>0.995</v>
      </c>
      <c r="BL1045" s="25">
        <f>Inventory[[#This Row],[Nbhd Adj]]*0.95</f>
        <v>0.94971499999999998</v>
      </c>
      <c r="BM1045" s="25">
        <f>Inventory[[#This Row],[Nbhd Adj]]*Inventory[[#This Row],[Quality Adj]]*Inventory[[#This Row],[Condition Adj]]*Inventory[[#This Row],[Living Area Adj]]*Inventory[[#This Row],[Decade Adj]]*0.95</f>
        <v>0.94861405199075932</v>
      </c>
      <c r="BN1045" s="25">
        <f>ROUND(SUM(Inventory[[#This Row],[Mdl Qlty]:[Mdl WdDeck]])+Inventory[[#This Row],[Mdl Res Intercept]]*Inventory[[#This Row],[Res Adj ]],-2)</f>
        <v>203700</v>
      </c>
      <c r="BO1045" s="25">
        <f>ROUND(Inventory[[#This Row],[25Det]]*Inventory[[#This Row],[Det/Nbhd Adj]],-2)</f>
        <v>0</v>
      </c>
      <c r="BP1045" s="25">
        <f>Inventory[[#This Row],[Adjusted Res]]+Inventory[[#This Row],[Adj Det ]]</f>
        <v>203700</v>
      </c>
      <c r="BQ1045" s="25">
        <f>ROUND((Inventory[[#This Row],[Mdl Land Intercept]]+Inventory[[#This Row],[Mdl LnAcres]])*Inventory[[#This Row],[Det/Nbhd Adj]],-2)</f>
        <v>19000</v>
      </c>
      <c r="BR1045" s="25">
        <f>Inventory[[#This Row],[Adjusted Impr Total]]+Inventory[[#This Row],[Adjusted Land Total]]</f>
        <v>222700</v>
      </c>
      <c r="BS1045" s="36">
        <f>IFERROR((Inventory[[#This Row],[Adjusted Impr Total]]-Inventory[[#This Row],[24Bldg]])/Inventory[[#This Row],[24Bldg]],0)</f>
        <v>0.15280135823429541</v>
      </c>
      <c r="BT1045" s="36">
        <f>(Inventory[[#This Row],[Adjusted Land Total]]-Inventory[[#This Row],[24Lnd]])/Inventory[[#This Row],[24Lnd]]</f>
        <v>-0.49468085106382981</v>
      </c>
      <c r="BU1045" s="36">
        <f>(Inventory[[#This Row],[Adjusted Total]]-Inventory[[#This Row],[24Final]])/Inventory[[#This Row],[24Final]]</f>
        <v>3.9197386840877278E-2</v>
      </c>
    </row>
    <row r="1046" spans="1:73" x14ac:dyDescent="0.3">
      <c r="A1046" s="25">
        <v>2025</v>
      </c>
      <c r="B1046" s="26" t="s">
        <v>1858</v>
      </c>
      <c r="C1046" s="26">
        <f>LN(Inventory[[#This Row],[Acres]])</f>
        <v>-1.8971199848858813</v>
      </c>
      <c r="D1046" s="25">
        <v>0.15</v>
      </c>
      <c r="E1046" s="31"/>
      <c r="F1046" s="26" t="s">
        <v>537</v>
      </c>
      <c r="G1046" s="26" t="s">
        <v>126</v>
      </c>
      <c r="H1046" s="26" t="s">
        <v>349</v>
      </c>
      <c r="I1046" s="26" t="s">
        <v>538</v>
      </c>
      <c r="J1046" s="26" t="s">
        <v>539</v>
      </c>
      <c r="K1046" s="26" t="s">
        <v>269</v>
      </c>
      <c r="L1046" s="26" t="s">
        <v>351</v>
      </c>
      <c r="M1046" s="26" t="s">
        <v>323</v>
      </c>
      <c r="N1046" s="26">
        <v>80</v>
      </c>
      <c r="O1046" s="26">
        <f>2024-Inventory[[#This Row],[YrBlt]]</f>
        <v>78</v>
      </c>
      <c r="P1046" s="26">
        <f>2024-Inventory[[#This Row],[EffYr]]</f>
        <v>52</v>
      </c>
      <c r="Q1046" s="25">
        <v>1946</v>
      </c>
      <c r="R1046" s="25">
        <v>1972</v>
      </c>
      <c r="S1046" s="25">
        <v>912</v>
      </c>
      <c r="T1046" s="27"/>
      <c r="U1046" s="32">
        <v>884</v>
      </c>
      <c r="V1046" s="32">
        <f>Inventory[[#This Row],[Bsmt]]-Inventory[[#This Row],[FnBsmt]]</f>
        <v>0</v>
      </c>
      <c r="W1046" s="32">
        <v>884</v>
      </c>
      <c r="X1046" s="27"/>
      <c r="Y1046" s="27">
        <f>Inventory[[#This Row],[MainFn]]+Inventory[[#This Row],[UpprFn]]+Inventory[[#This Row],[FnBsmt]]+Inventory[[#This Row],[AddFn]]</f>
        <v>1796</v>
      </c>
      <c r="Z1046" s="27">
        <v>2000</v>
      </c>
      <c r="AA1046" s="25">
        <v>8</v>
      </c>
      <c r="AB1046" s="31"/>
      <c r="AC1046" s="27"/>
      <c r="AD1046" s="25">
        <v>48</v>
      </c>
      <c r="AE1046" s="27"/>
      <c r="AF1046" s="27"/>
      <c r="AG1046" s="27"/>
      <c r="AH1046" s="27"/>
      <c r="AI1046" s="25">
        <v>233016</v>
      </c>
      <c r="AJ1046" s="25">
        <v>158451</v>
      </c>
      <c r="AK1046" s="25">
        <v>5732</v>
      </c>
      <c r="AL1046" s="25">
        <v>297800</v>
      </c>
      <c r="AM1046" s="25">
        <v>48400</v>
      </c>
      <c r="AN1046" s="25">
        <v>249400</v>
      </c>
      <c r="AO1046" s="25">
        <v>0</v>
      </c>
      <c r="AP1046" s="25">
        <f>Lookups!$B$56*0</f>
        <v>0</v>
      </c>
      <c r="AQ1046" s="25">
        <f>Lookups!$B$56*1</f>
        <v>89850.625589999996</v>
      </c>
      <c r="AR1046" s="25">
        <f>Lookups!$B$57*Inventory[[#This Row],[LnAcres]]</f>
        <v>-60052.604136134301</v>
      </c>
      <c r="AS1046" s="25">
        <f>VLOOKUP(Inventory[[#This Row],[Qlty]],Lookups!$A$62:$E$75,2,FALSE)</f>
        <v>21557.329055999999</v>
      </c>
      <c r="AT1046" s="25">
        <f>VLOOKUP(Inventory[[#This Row],[Cnd]],Lookups!$A$76:$E$84,2,FALSE)</f>
        <v>160472.20319</v>
      </c>
      <c r="AU1046" s="25">
        <f>Inventory[[#This Row],[EffAge]]*Lookups!$B$85</f>
        <v>-11598.371226000001</v>
      </c>
      <c r="AV1046" s="25">
        <f>Inventory[[#This Row],[MainFn]]*Lookups!$B$86</f>
        <v>45060.706927824001</v>
      </c>
      <c r="AW1046" s="25">
        <f>Inventory[[#This Row],[UpprFn]]*Lookups!$B$87</f>
        <v>0</v>
      </c>
      <c r="AX1046" s="25">
        <f>Inventory[[#This Row],[AddFn]]*Lookups!$B$88</f>
        <v>0</v>
      </c>
      <c r="AY1046" s="25">
        <f>Inventory[[#This Row],[Bsmt]]*Lookups!$B$89</f>
        <v>25708.395398347999</v>
      </c>
      <c r="AZ1046" s="25">
        <f>Inventory[[#This Row],[Fixtures]]*Lookups!$B$90</f>
        <v>30336.176841600001</v>
      </c>
      <c r="BA1046" s="25">
        <f>Inventory[[#This Row],[WdDeck]]*Lookups!$B$91</f>
        <v>1598.1847332480002</v>
      </c>
      <c r="BB1046" s="25">
        <f>ROUND(Inventory[[#This Row],[25Det]],-2)</f>
        <v>5700</v>
      </c>
      <c r="BC1046" s="25">
        <f>ROUND(SUM(Inventory[[#This Row],[Mdl Qlty]:[Mdl WdDeck]])+Inventory[[#This Row],[Mdl Res Intercept]],-2)</f>
        <v>273100</v>
      </c>
      <c r="BD1046" s="25">
        <f>ROUND(Inventory[[#This Row],[Mdl Land Intercept]]+Inventory[[#This Row],[Mdl LnAcres]],-2)</f>
        <v>29800</v>
      </c>
      <c r="BE1046" s="25">
        <f>Inventory[[#This Row],[Unadj Res Value]]+Inventory[[#This Row],[Unadj Det Value]]+Inventory[[#This Row],[Unadj Land Value]]</f>
        <v>308600</v>
      </c>
      <c r="BF1046" s="36">
        <f>(Inventory[[#This Row],[Unadj Total Value]]-Inventory[[#This Row],[24Final]])/Inventory[[#This Row],[24Final]]</f>
        <v>3.626595030221625E-2</v>
      </c>
      <c r="BG1046" s="25">
        <f>VLOOKUP(Inventory[[#This Row],[Nbhd]],Lookups!$Q$2:$T$4,4,FALSE)</f>
        <v>0.99970000000000003</v>
      </c>
      <c r="BH1046" s="25">
        <f>VLOOKUP(Inventory[[#This Row],[Qlty]],Lookups!$O$7:$R$21,4,FALSE)</f>
        <v>1.0067999999999999</v>
      </c>
      <c r="BI1046" s="25">
        <f>VLOOKUP(Inventory[[#This Row],[Cnd]],Lookups!$T$7:$W$16,4,FALSE)</f>
        <v>0.99729999999999996</v>
      </c>
      <c r="BJ1046" s="25">
        <f>VLOOKUP(Inventory[[#This Row],[LivArea Range]],Lookups!$T$25:$W$37,4,FALSE)</f>
        <v>1.0093000000000001</v>
      </c>
      <c r="BK1046" s="25">
        <f>VLOOKUP(Inventory[[#This Row],[Decade]],Lookups!$O$25:$R$42,4,FALSE)</f>
        <v>0.995</v>
      </c>
      <c r="BL1046" s="25">
        <f>Inventory[[#This Row],[Nbhd Adj]]*0.95</f>
        <v>0.94971499999999998</v>
      </c>
      <c r="BM1046" s="25">
        <f>Inventory[[#This Row],[Nbhd Adj]]*Inventory[[#This Row],[Quality Adj]]*Inventory[[#This Row],[Condition Adj]]*Inventory[[#This Row],[Living Area Adj]]*Inventory[[#This Row],[Decade Adj]]*0.95</f>
        <v>0.957647495730095</v>
      </c>
      <c r="BN1046" s="25">
        <f>ROUND(SUM(Inventory[[#This Row],[Mdl Qlty]:[Mdl WdDeck]])+Inventory[[#This Row],[Mdl Res Intercept]]*Inventory[[#This Row],[Res Adj ]],-2)</f>
        <v>273100</v>
      </c>
      <c r="BO1046" s="25">
        <f>ROUND(Inventory[[#This Row],[25Det]]*Inventory[[#This Row],[Det/Nbhd Adj]],-2)</f>
        <v>5400</v>
      </c>
      <c r="BP1046" s="25">
        <f>Inventory[[#This Row],[Adjusted Res]]+Inventory[[#This Row],[Adj Det ]]</f>
        <v>278500</v>
      </c>
      <c r="BQ1046" s="25">
        <f>ROUND((Inventory[[#This Row],[Mdl Land Intercept]]+Inventory[[#This Row],[Mdl LnAcres]])*Inventory[[#This Row],[Det/Nbhd Adj]],-2)</f>
        <v>28300</v>
      </c>
      <c r="BR1046" s="25">
        <f>Inventory[[#This Row],[Adjusted Impr Total]]+Inventory[[#This Row],[Adjusted Land Total]]</f>
        <v>306800</v>
      </c>
      <c r="BS1046" s="36">
        <f>IFERROR((Inventory[[#This Row],[Adjusted Impr Total]]-Inventory[[#This Row],[24Bldg]])/Inventory[[#This Row],[24Bldg]],0)</f>
        <v>0.11668003207698477</v>
      </c>
      <c r="BT1046" s="36">
        <f>(Inventory[[#This Row],[Adjusted Land Total]]-Inventory[[#This Row],[24Lnd]])/Inventory[[#This Row],[24Lnd]]</f>
        <v>-0.41528925619834711</v>
      </c>
      <c r="BU1046" s="36">
        <f>(Inventory[[#This Row],[Adjusted Total]]-Inventory[[#This Row],[24Final]])/Inventory[[#This Row],[24Final]]</f>
        <v>3.0221625251846879E-2</v>
      </c>
    </row>
    <row r="1047" spans="1:73" x14ac:dyDescent="0.3">
      <c r="A1047" s="25">
        <v>2025</v>
      </c>
      <c r="B1047" s="26" t="s">
        <v>1197</v>
      </c>
      <c r="C1047" s="26">
        <f>LN(Inventory[[#This Row],[Acres]])</f>
        <v>-1.5141277326297755</v>
      </c>
      <c r="D1047" s="25">
        <v>0.22</v>
      </c>
      <c r="E1047" s="25">
        <v>9578</v>
      </c>
      <c r="F1047" s="26" t="s">
        <v>537</v>
      </c>
      <c r="G1047" s="26" t="s">
        <v>126</v>
      </c>
      <c r="H1047" s="26" t="s">
        <v>349</v>
      </c>
      <c r="I1047" s="26" t="s">
        <v>538</v>
      </c>
      <c r="J1047" s="26" t="s">
        <v>539</v>
      </c>
      <c r="K1047" s="26" t="s">
        <v>242</v>
      </c>
      <c r="L1047" s="26" t="s">
        <v>351</v>
      </c>
      <c r="M1047" s="26" t="s">
        <v>323</v>
      </c>
      <c r="N1047" s="26">
        <v>80</v>
      </c>
      <c r="O1047" s="26">
        <f>2024-Inventory[[#This Row],[YrBlt]]</f>
        <v>78</v>
      </c>
      <c r="P1047" s="26">
        <f>2024-Inventory[[#This Row],[EffYr]]</f>
        <v>52</v>
      </c>
      <c r="Q1047" s="25">
        <v>1946</v>
      </c>
      <c r="R1047" s="25">
        <v>1972</v>
      </c>
      <c r="S1047" s="25">
        <v>1052</v>
      </c>
      <c r="T1047" s="27"/>
      <c r="U1047" s="32">
        <v>598</v>
      </c>
      <c r="V1047" s="32">
        <f>Inventory[[#This Row],[Bsmt]]-Inventory[[#This Row],[FnBsmt]]</f>
        <v>0</v>
      </c>
      <c r="W1047" s="32">
        <v>598</v>
      </c>
      <c r="X1047" s="27"/>
      <c r="Y1047" s="27">
        <f>Inventory[[#This Row],[MainFn]]+Inventory[[#This Row],[UpprFn]]+Inventory[[#This Row],[FnBsmt]]+Inventory[[#This Row],[AddFn]]</f>
        <v>1650</v>
      </c>
      <c r="Z1047" s="27">
        <v>2000</v>
      </c>
      <c r="AA1047" s="25">
        <v>5</v>
      </c>
      <c r="AB1047" s="27"/>
      <c r="AC1047" s="27"/>
      <c r="AD1047" s="27"/>
      <c r="AE1047" s="27"/>
      <c r="AF1047" s="27"/>
      <c r="AG1047" s="27"/>
      <c r="AH1047" s="27"/>
      <c r="AI1047" s="25">
        <v>231913</v>
      </c>
      <c r="AJ1047" s="25">
        <v>157701</v>
      </c>
      <c r="AK1047" s="25">
        <v>9708</v>
      </c>
      <c r="AL1047" s="25">
        <v>299500</v>
      </c>
      <c r="AM1047" s="25">
        <v>61700</v>
      </c>
      <c r="AN1047" s="25">
        <v>237800</v>
      </c>
      <c r="AO1047" s="25">
        <v>0</v>
      </c>
      <c r="AP1047" s="25">
        <f>Lookups!$B$56*0</f>
        <v>0</v>
      </c>
      <c r="AQ1047" s="25">
        <f>Lookups!$B$56*1</f>
        <v>89850.625589999996</v>
      </c>
      <c r="AR1047" s="25">
        <f>Lookups!$B$57*Inventory[[#This Row],[LnAcres]]</f>
        <v>-47929.131559187132</v>
      </c>
      <c r="AS1047" s="25">
        <f>VLOOKUP(Inventory[[#This Row],[Qlty]],Lookups!$A$62:$E$75,2,FALSE)</f>
        <v>21557.329055999999</v>
      </c>
      <c r="AT1047" s="25">
        <f>VLOOKUP(Inventory[[#This Row],[Cnd]],Lookups!$A$76:$E$84,2,FALSE)</f>
        <v>160472.20319</v>
      </c>
      <c r="AU1047" s="25">
        <f>Inventory[[#This Row],[EffAge]]*Lookups!$B$85</f>
        <v>-11598.371226000001</v>
      </c>
      <c r="AV1047" s="25">
        <f>Inventory[[#This Row],[MainFn]]*Lookups!$B$86</f>
        <v>51977.920710604005</v>
      </c>
      <c r="AW1047" s="25">
        <f>Inventory[[#This Row],[UpprFn]]*Lookups!$B$87</f>
        <v>0</v>
      </c>
      <c r="AX1047" s="25">
        <f>Inventory[[#This Row],[AddFn]]*Lookups!$B$88</f>
        <v>0</v>
      </c>
      <c r="AY1047" s="25">
        <f>Inventory[[#This Row],[Bsmt]]*Lookups!$B$89</f>
        <v>17390.973357706</v>
      </c>
      <c r="AZ1047" s="25">
        <f>Inventory[[#This Row],[Fixtures]]*Lookups!$B$90</f>
        <v>18960.110526</v>
      </c>
      <c r="BA1047" s="25">
        <f>Inventory[[#This Row],[WdDeck]]*Lookups!$B$91</f>
        <v>0</v>
      </c>
      <c r="BB1047" s="25">
        <f>ROUND(Inventory[[#This Row],[25Det]],-2)</f>
        <v>9700</v>
      </c>
      <c r="BC1047" s="25">
        <f>ROUND(SUM(Inventory[[#This Row],[Mdl Qlty]:[Mdl WdDeck]])+Inventory[[#This Row],[Mdl Res Intercept]],-2)</f>
        <v>258800</v>
      </c>
      <c r="BD1047" s="25">
        <f>ROUND(Inventory[[#This Row],[Mdl Land Intercept]]+Inventory[[#This Row],[Mdl LnAcres]],-2)</f>
        <v>41900</v>
      </c>
      <c r="BE1047" s="25">
        <f>Inventory[[#This Row],[Unadj Res Value]]+Inventory[[#This Row],[Unadj Det Value]]+Inventory[[#This Row],[Unadj Land Value]]</f>
        <v>310400</v>
      </c>
      <c r="BF1047" s="36">
        <f>(Inventory[[#This Row],[Unadj Total Value]]-Inventory[[#This Row],[24Final]])/Inventory[[#This Row],[24Final]]</f>
        <v>3.6393989983305508E-2</v>
      </c>
      <c r="BG1047" s="25">
        <f>VLOOKUP(Inventory[[#This Row],[Nbhd]],Lookups!$Q$2:$T$4,4,FALSE)</f>
        <v>0.99970000000000003</v>
      </c>
      <c r="BH1047" s="25">
        <f>VLOOKUP(Inventory[[#This Row],[Qlty]],Lookups!$O$7:$R$21,4,FALSE)</f>
        <v>1.0067999999999999</v>
      </c>
      <c r="BI1047" s="25">
        <f>VLOOKUP(Inventory[[#This Row],[Cnd]],Lookups!$T$7:$W$16,4,FALSE)</f>
        <v>0.99729999999999996</v>
      </c>
      <c r="BJ1047" s="25">
        <f>VLOOKUP(Inventory[[#This Row],[LivArea Range]],Lookups!$T$25:$W$37,4,FALSE)</f>
        <v>1.0093000000000001</v>
      </c>
      <c r="BK1047" s="25">
        <f>VLOOKUP(Inventory[[#This Row],[Decade]],Lookups!$O$25:$R$42,4,FALSE)</f>
        <v>0.995</v>
      </c>
      <c r="BL1047" s="25">
        <f>Inventory[[#This Row],[Nbhd Adj]]*0.95</f>
        <v>0.94971499999999998</v>
      </c>
      <c r="BM1047" s="25">
        <f>Inventory[[#This Row],[Nbhd Adj]]*Inventory[[#This Row],[Quality Adj]]*Inventory[[#This Row],[Condition Adj]]*Inventory[[#This Row],[Living Area Adj]]*Inventory[[#This Row],[Decade Adj]]*0.95</f>
        <v>0.957647495730095</v>
      </c>
      <c r="BN1047" s="25">
        <f>ROUND(SUM(Inventory[[#This Row],[Mdl Qlty]:[Mdl WdDeck]])+Inventory[[#This Row],[Mdl Res Intercept]]*Inventory[[#This Row],[Res Adj ]],-2)</f>
        <v>258800</v>
      </c>
      <c r="BO1047" s="25">
        <f>ROUND(Inventory[[#This Row],[25Det]]*Inventory[[#This Row],[Det/Nbhd Adj]],-2)</f>
        <v>9200</v>
      </c>
      <c r="BP1047" s="25">
        <f>Inventory[[#This Row],[Adjusted Res]]+Inventory[[#This Row],[Adj Det ]]</f>
        <v>268000</v>
      </c>
      <c r="BQ1047" s="25">
        <f>ROUND((Inventory[[#This Row],[Mdl Land Intercept]]+Inventory[[#This Row],[Mdl LnAcres]])*Inventory[[#This Row],[Det/Nbhd Adj]],-2)</f>
        <v>39800</v>
      </c>
      <c r="BR1047" s="25">
        <f>Inventory[[#This Row],[Adjusted Impr Total]]+Inventory[[#This Row],[Adjusted Land Total]]</f>
        <v>307800</v>
      </c>
      <c r="BS1047" s="36">
        <f>IFERROR((Inventory[[#This Row],[Adjusted Impr Total]]-Inventory[[#This Row],[24Bldg]])/Inventory[[#This Row],[24Bldg]],0)</f>
        <v>0.12699747687132043</v>
      </c>
      <c r="BT1047" s="36">
        <f>(Inventory[[#This Row],[Adjusted Land Total]]-Inventory[[#This Row],[24Lnd]])/Inventory[[#This Row],[24Lnd]]</f>
        <v>-0.35494327390599678</v>
      </c>
      <c r="BU1047" s="36">
        <f>(Inventory[[#This Row],[Adjusted Total]]-Inventory[[#This Row],[24Final]])/Inventory[[#This Row],[24Final]]</f>
        <v>2.7712854757929884E-2</v>
      </c>
    </row>
    <row r="1048" spans="1:73" x14ac:dyDescent="0.3">
      <c r="A1048" s="25">
        <v>2025</v>
      </c>
      <c r="B1048" s="26" t="s">
        <v>2318</v>
      </c>
      <c r="C1048" s="26">
        <f>LN(Inventory[[#This Row],[Acres]])</f>
        <v>-1.6607312068216509</v>
      </c>
      <c r="D1048" s="25">
        <v>0.19</v>
      </c>
      <c r="E1048" s="25">
        <v>8196</v>
      </c>
      <c r="F1048" s="26" t="s">
        <v>537</v>
      </c>
      <c r="G1048" s="26" t="s">
        <v>126</v>
      </c>
      <c r="H1048" s="26" t="s">
        <v>349</v>
      </c>
      <c r="I1048" s="26" t="s">
        <v>538</v>
      </c>
      <c r="J1048" s="26" t="s">
        <v>539</v>
      </c>
      <c r="K1048" s="26" t="s">
        <v>242</v>
      </c>
      <c r="L1048" s="26" t="s">
        <v>205</v>
      </c>
      <c r="M1048" s="26" t="s">
        <v>323</v>
      </c>
      <c r="N1048" s="26">
        <v>80</v>
      </c>
      <c r="O1048" s="26">
        <f>2024-Inventory[[#This Row],[YrBlt]]</f>
        <v>78</v>
      </c>
      <c r="P1048" s="26">
        <f>2024-Inventory[[#This Row],[EffYr]]</f>
        <v>52</v>
      </c>
      <c r="Q1048" s="25">
        <v>1946</v>
      </c>
      <c r="R1048" s="25">
        <v>1972</v>
      </c>
      <c r="S1048" s="25">
        <v>1266</v>
      </c>
      <c r="T1048" s="27"/>
      <c r="U1048" s="32">
        <v>776</v>
      </c>
      <c r="V1048" s="32">
        <f>Inventory[[#This Row],[Bsmt]]-Inventory[[#This Row],[FnBsmt]]</f>
        <v>466</v>
      </c>
      <c r="W1048" s="32">
        <v>310</v>
      </c>
      <c r="X1048" s="27"/>
      <c r="Y1048" s="27">
        <f>Inventory[[#This Row],[MainFn]]+Inventory[[#This Row],[UpprFn]]+Inventory[[#This Row],[FnBsmt]]+Inventory[[#This Row],[AddFn]]</f>
        <v>1576</v>
      </c>
      <c r="Z1048" s="27">
        <v>2000</v>
      </c>
      <c r="AA1048" s="25">
        <v>6</v>
      </c>
      <c r="AB1048" s="27"/>
      <c r="AC1048" s="27"/>
      <c r="AD1048" s="27"/>
      <c r="AE1048" s="27"/>
      <c r="AF1048" s="27"/>
      <c r="AG1048" s="27"/>
      <c r="AH1048" s="27"/>
      <c r="AI1048" s="25">
        <v>232337</v>
      </c>
      <c r="AJ1048" s="25">
        <v>157989</v>
      </c>
      <c r="AK1048" s="25">
        <v>5185</v>
      </c>
      <c r="AL1048" s="25">
        <v>291000</v>
      </c>
      <c r="AM1048" s="25">
        <v>56600</v>
      </c>
      <c r="AN1048" s="25">
        <v>234400</v>
      </c>
      <c r="AO1048" s="25">
        <v>0</v>
      </c>
      <c r="AP1048" s="25">
        <f>Lookups!$B$56*0</f>
        <v>0</v>
      </c>
      <c r="AQ1048" s="25">
        <f>Lookups!$B$56*1</f>
        <v>89850.625589999996</v>
      </c>
      <c r="AR1048" s="25">
        <f>Lookups!$B$57*Inventory[[#This Row],[LnAcres]]</f>
        <v>-52569.808201026557</v>
      </c>
      <c r="AS1048" s="25">
        <f>VLOOKUP(Inventory[[#This Row],[Qlty]],Lookups!$A$62:$E$75,2,FALSE)</f>
        <v>0</v>
      </c>
      <c r="AT1048" s="25">
        <f>VLOOKUP(Inventory[[#This Row],[Cnd]],Lookups!$A$76:$E$84,2,FALSE)</f>
        <v>160472.20319</v>
      </c>
      <c r="AU1048" s="25">
        <f>Inventory[[#This Row],[EffAge]]*Lookups!$B$85</f>
        <v>-11598.371226000001</v>
      </c>
      <c r="AV1048" s="25">
        <f>Inventory[[#This Row],[MainFn]]*Lookups!$B$86</f>
        <v>62551.376064281998</v>
      </c>
      <c r="AW1048" s="25">
        <f>Inventory[[#This Row],[UpprFn]]*Lookups!$B$87</f>
        <v>0</v>
      </c>
      <c r="AX1048" s="25">
        <f>Inventory[[#This Row],[AddFn]]*Lookups!$B$88</f>
        <v>0</v>
      </c>
      <c r="AY1048" s="25">
        <f>Inventory[[#This Row],[Bsmt]]*Lookups!$B$89</f>
        <v>22567.550711672</v>
      </c>
      <c r="AZ1048" s="25">
        <f>Inventory[[#This Row],[Fixtures]]*Lookups!$B$90</f>
        <v>22752.132631200002</v>
      </c>
      <c r="BA1048" s="25">
        <f>Inventory[[#This Row],[WdDeck]]*Lookups!$B$91</f>
        <v>0</v>
      </c>
      <c r="BB1048" s="25">
        <f>ROUND(Inventory[[#This Row],[25Det]],-2)</f>
        <v>5200</v>
      </c>
      <c r="BC1048" s="25">
        <f>ROUND(SUM(Inventory[[#This Row],[Mdl Qlty]:[Mdl WdDeck]])+Inventory[[#This Row],[Mdl Res Intercept]],-2)</f>
        <v>256700</v>
      </c>
      <c r="BD1048" s="25">
        <f>ROUND(Inventory[[#This Row],[Mdl Land Intercept]]+Inventory[[#This Row],[Mdl LnAcres]],-2)</f>
        <v>37300</v>
      </c>
      <c r="BE1048" s="25">
        <f>Inventory[[#This Row],[Unadj Res Value]]+Inventory[[#This Row],[Unadj Det Value]]+Inventory[[#This Row],[Unadj Land Value]]</f>
        <v>299200</v>
      </c>
      <c r="BF1048" s="36">
        <f>(Inventory[[#This Row],[Unadj Total Value]]-Inventory[[#This Row],[24Final]])/Inventory[[#This Row],[24Final]]</f>
        <v>2.8178694158075602E-2</v>
      </c>
      <c r="BG1048" s="25">
        <f>VLOOKUP(Inventory[[#This Row],[Nbhd]],Lookups!$Q$2:$T$4,4,FALSE)</f>
        <v>0.99970000000000003</v>
      </c>
      <c r="BH1048" s="25">
        <f>VLOOKUP(Inventory[[#This Row],[Qlty]],Lookups!$O$7:$R$21,4,FALSE)</f>
        <v>0.99180000000000001</v>
      </c>
      <c r="BI1048" s="25">
        <f>VLOOKUP(Inventory[[#This Row],[Cnd]],Lookups!$T$7:$W$16,4,FALSE)</f>
        <v>0.99729999999999996</v>
      </c>
      <c r="BJ1048" s="25">
        <f>VLOOKUP(Inventory[[#This Row],[LivArea Range]],Lookups!$T$25:$W$37,4,FALSE)</f>
        <v>1.0093000000000001</v>
      </c>
      <c r="BK1048" s="25">
        <f>VLOOKUP(Inventory[[#This Row],[Decade]],Lookups!$O$25:$R$42,4,FALSE)</f>
        <v>0.995</v>
      </c>
      <c r="BL1048" s="25">
        <f>Inventory[[#This Row],[Nbhd Adj]]*0.95</f>
        <v>0.94971499999999998</v>
      </c>
      <c r="BM1048" s="25">
        <f>Inventory[[#This Row],[Nbhd Adj]]*Inventory[[#This Row],[Quality Adj]]*Inventory[[#This Row],[Condition Adj]]*Inventory[[#This Row],[Living Area Adj]]*Inventory[[#This Row],[Decade Adj]]*0.95</f>
        <v>0.94337980360062423</v>
      </c>
      <c r="BN1048" s="25">
        <f>ROUND(SUM(Inventory[[#This Row],[Mdl Qlty]:[Mdl WdDeck]])+Inventory[[#This Row],[Mdl Res Intercept]]*Inventory[[#This Row],[Res Adj ]],-2)</f>
        <v>256700</v>
      </c>
      <c r="BO1048" s="25">
        <f>ROUND(Inventory[[#This Row],[25Det]]*Inventory[[#This Row],[Det/Nbhd Adj]],-2)</f>
        <v>4900</v>
      </c>
      <c r="BP1048" s="25">
        <f>Inventory[[#This Row],[Adjusted Res]]+Inventory[[#This Row],[Adj Det ]]</f>
        <v>261600</v>
      </c>
      <c r="BQ1048" s="25">
        <f>ROUND((Inventory[[#This Row],[Mdl Land Intercept]]+Inventory[[#This Row],[Mdl LnAcres]])*Inventory[[#This Row],[Det/Nbhd Adj]],-2)</f>
        <v>35400</v>
      </c>
      <c r="BR1048" s="25">
        <f>Inventory[[#This Row],[Adjusted Impr Total]]+Inventory[[#This Row],[Adjusted Land Total]]</f>
        <v>297000</v>
      </c>
      <c r="BS1048" s="36">
        <f>IFERROR((Inventory[[#This Row],[Adjusted Impr Total]]-Inventory[[#This Row],[24Bldg]])/Inventory[[#This Row],[24Bldg]],0)</f>
        <v>0.11604095563139932</v>
      </c>
      <c r="BT1048" s="36">
        <f>(Inventory[[#This Row],[Adjusted Land Total]]-Inventory[[#This Row],[24Lnd]])/Inventory[[#This Row],[24Lnd]]</f>
        <v>-0.37455830388692579</v>
      </c>
      <c r="BU1048" s="36">
        <f>(Inventory[[#This Row],[Adjusted Total]]-Inventory[[#This Row],[24Final]])/Inventory[[#This Row],[24Final]]</f>
        <v>2.0618556701030927E-2</v>
      </c>
    </row>
    <row r="1049" spans="1:73" x14ac:dyDescent="0.3">
      <c r="A1049" s="25">
        <v>2025</v>
      </c>
      <c r="B1049" s="26" t="s">
        <v>2748</v>
      </c>
      <c r="C1049" s="26">
        <f>LN(Inventory[[#This Row],[Acres]])</f>
        <v>-1.4271163556401458</v>
      </c>
      <c r="D1049" s="25">
        <v>0.24</v>
      </c>
      <c r="E1049" s="31"/>
      <c r="F1049" s="26" t="s">
        <v>537</v>
      </c>
      <c r="G1049" s="26" t="s">
        <v>126</v>
      </c>
      <c r="H1049" s="26" t="s">
        <v>349</v>
      </c>
      <c r="I1049" s="26" t="s">
        <v>538</v>
      </c>
      <c r="J1049" s="26" t="s">
        <v>539</v>
      </c>
      <c r="K1049" s="26" t="s">
        <v>241</v>
      </c>
      <c r="L1049" s="26" t="s">
        <v>351</v>
      </c>
      <c r="M1049" s="26" t="s">
        <v>323</v>
      </c>
      <c r="N1049" s="26">
        <v>80</v>
      </c>
      <c r="O1049" s="26">
        <f>2024-Inventory[[#This Row],[YrBlt]]</f>
        <v>78</v>
      </c>
      <c r="P1049" s="26">
        <f>2024-Inventory[[#This Row],[EffYr]]</f>
        <v>52</v>
      </c>
      <c r="Q1049" s="25">
        <v>1946</v>
      </c>
      <c r="R1049" s="25">
        <v>1972</v>
      </c>
      <c r="S1049" s="25">
        <v>1821</v>
      </c>
      <c r="T1049" s="27"/>
      <c r="U1049" s="27"/>
      <c r="V1049" s="27">
        <f>Inventory[[#This Row],[Bsmt]]-Inventory[[#This Row],[FnBsmt]]</f>
        <v>0</v>
      </c>
      <c r="W1049" s="27"/>
      <c r="X1049" s="27"/>
      <c r="Y1049" s="27">
        <f>Inventory[[#This Row],[MainFn]]+Inventory[[#This Row],[UpprFn]]+Inventory[[#This Row],[FnBsmt]]+Inventory[[#This Row],[AddFn]]</f>
        <v>1821</v>
      </c>
      <c r="Z1049" s="27">
        <v>2000</v>
      </c>
      <c r="AA1049" s="25">
        <v>7</v>
      </c>
      <c r="AB1049" s="32">
        <v>420</v>
      </c>
      <c r="AC1049" s="27"/>
      <c r="AD1049" s="27"/>
      <c r="AE1049" s="27"/>
      <c r="AF1049" s="27"/>
      <c r="AG1049" s="27"/>
      <c r="AH1049" s="27"/>
      <c r="AI1049" s="25">
        <v>321389</v>
      </c>
      <c r="AJ1049" s="25">
        <v>218545</v>
      </c>
      <c r="AK1049" s="25">
        <v>0</v>
      </c>
      <c r="AL1049" s="25">
        <v>324800</v>
      </c>
      <c r="AM1049" s="25">
        <v>64800</v>
      </c>
      <c r="AN1049" s="25">
        <v>260000</v>
      </c>
      <c r="AO1049" s="25">
        <v>0</v>
      </c>
      <c r="AP1049" s="25">
        <f>Lookups!$B$56*0</f>
        <v>0</v>
      </c>
      <c r="AQ1049" s="25">
        <f>Lookups!$B$56*1</f>
        <v>89850.625589999996</v>
      </c>
      <c r="AR1049" s="25">
        <f>Lookups!$B$57*Inventory[[#This Row],[LnAcres]]</f>
        <v>-45174.819855485119</v>
      </c>
      <c r="AS1049" s="25">
        <f>VLOOKUP(Inventory[[#This Row],[Qlty]],Lookups!$A$62:$E$75,2,FALSE)</f>
        <v>21557.329055999999</v>
      </c>
      <c r="AT1049" s="25">
        <f>VLOOKUP(Inventory[[#This Row],[Cnd]],Lookups!$A$76:$E$84,2,FALSE)</f>
        <v>160472.20319</v>
      </c>
      <c r="AU1049" s="25">
        <f>Inventory[[#This Row],[EffAge]]*Lookups!$B$85</f>
        <v>-11598.371226000001</v>
      </c>
      <c r="AV1049" s="25">
        <f>Inventory[[#This Row],[MainFn]]*Lookups!$B$86</f>
        <v>89973.187846016997</v>
      </c>
      <c r="AW1049" s="25">
        <f>Inventory[[#This Row],[UpprFn]]*Lookups!$B$87</f>
        <v>0</v>
      </c>
      <c r="AX1049" s="25">
        <f>Inventory[[#This Row],[AddFn]]*Lookups!$B$88</f>
        <v>0</v>
      </c>
      <c r="AY1049" s="25">
        <f>Inventory[[#This Row],[Bsmt]]*Lookups!$B$89</f>
        <v>0</v>
      </c>
      <c r="AZ1049" s="25">
        <f>Inventory[[#This Row],[Fixtures]]*Lookups!$B$90</f>
        <v>26544.1547364</v>
      </c>
      <c r="BA1049" s="25">
        <f>Inventory[[#This Row],[WdDeck]]*Lookups!$B$91</f>
        <v>0</v>
      </c>
      <c r="BB1049" s="25">
        <f>ROUND(Inventory[[#This Row],[25Det]],-2)</f>
        <v>0</v>
      </c>
      <c r="BC1049" s="25">
        <f>ROUND(SUM(Inventory[[#This Row],[Mdl Qlty]:[Mdl WdDeck]])+Inventory[[#This Row],[Mdl Res Intercept]],-2)</f>
        <v>286900</v>
      </c>
      <c r="BD1049" s="25">
        <f>ROUND(Inventory[[#This Row],[Mdl Land Intercept]]+Inventory[[#This Row],[Mdl LnAcres]],-2)</f>
        <v>44700</v>
      </c>
      <c r="BE1049" s="25">
        <f>Inventory[[#This Row],[Unadj Res Value]]+Inventory[[#This Row],[Unadj Det Value]]+Inventory[[#This Row],[Unadj Land Value]]</f>
        <v>331600</v>
      </c>
      <c r="BF1049" s="36">
        <f>(Inventory[[#This Row],[Unadj Total Value]]-Inventory[[#This Row],[24Final]])/Inventory[[#This Row],[24Final]]</f>
        <v>2.0935960591133004E-2</v>
      </c>
      <c r="BG1049" s="25">
        <f>VLOOKUP(Inventory[[#This Row],[Nbhd]],Lookups!$Q$2:$T$4,4,FALSE)</f>
        <v>0.99970000000000003</v>
      </c>
      <c r="BH1049" s="25">
        <f>VLOOKUP(Inventory[[#This Row],[Qlty]],Lookups!$O$7:$R$21,4,FALSE)</f>
        <v>1.0067999999999999</v>
      </c>
      <c r="BI1049" s="25">
        <f>VLOOKUP(Inventory[[#This Row],[Cnd]],Lookups!$T$7:$W$16,4,FALSE)</f>
        <v>0.99729999999999996</v>
      </c>
      <c r="BJ1049" s="25">
        <f>VLOOKUP(Inventory[[#This Row],[LivArea Range]],Lookups!$T$25:$W$37,4,FALSE)</f>
        <v>1.0093000000000001</v>
      </c>
      <c r="BK1049" s="25">
        <f>VLOOKUP(Inventory[[#This Row],[Decade]],Lookups!$O$25:$R$42,4,FALSE)</f>
        <v>0.995</v>
      </c>
      <c r="BL1049" s="25">
        <f>Inventory[[#This Row],[Nbhd Adj]]*0.95</f>
        <v>0.94971499999999998</v>
      </c>
      <c r="BM1049" s="25">
        <f>Inventory[[#This Row],[Nbhd Adj]]*Inventory[[#This Row],[Quality Adj]]*Inventory[[#This Row],[Condition Adj]]*Inventory[[#This Row],[Living Area Adj]]*Inventory[[#This Row],[Decade Adj]]*0.95</f>
        <v>0.957647495730095</v>
      </c>
      <c r="BN1049" s="25">
        <f>ROUND(SUM(Inventory[[#This Row],[Mdl Qlty]:[Mdl WdDeck]])+Inventory[[#This Row],[Mdl Res Intercept]]*Inventory[[#This Row],[Res Adj ]],-2)</f>
        <v>286900</v>
      </c>
      <c r="BO1049" s="25">
        <f>ROUND(Inventory[[#This Row],[25Det]]*Inventory[[#This Row],[Det/Nbhd Adj]],-2)</f>
        <v>0</v>
      </c>
      <c r="BP1049" s="25">
        <f>Inventory[[#This Row],[Adjusted Res]]+Inventory[[#This Row],[Adj Det ]]</f>
        <v>286900</v>
      </c>
      <c r="BQ1049" s="25">
        <f>ROUND((Inventory[[#This Row],[Mdl Land Intercept]]+Inventory[[#This Row],[Mdl LnAcres]])*Inventory[[#This Row],[Det/Nbhd Adj]],-2)</f>
        <v>42400</v>
      </c>
      <c r="BR1049" s="25">
        <f>Inventory[[#This Row],[Adjusted Impr Total]]+Inventory[[#This Row],[Adjusted Land Total]]</f>
        <v>329300</v>
      </c>
      <c r="BS1049" s="36">
        <f>IFERROR((Inventory[[#This Row],[Adjusted Impr Total]]-Inventory[[#This Row],[24Bldg]])/Inventory[[#This Row],[24Bldg]],0)</f>
        <v>0.10346153846153847</v>
      </c>
      <c r="BT1049" s="36">
        <f>(Inventory[[#This Row],[Adjusted Land Total]]-Inventory[[#This Row],[24Lnd]])/Inventory[[#This Row],[24Lnd]]</f>
        <v>-0.34567901234567899</v>
      </c>
      <c r="BU1049" s="36">
        <f>(Inventory[[#This Row],[Adjusted Total]]-Inventory[[#This Row],[24Final]])/Inventory[[#This Row],[24Final]]</f>
        <v>1.3854679802955665E-2</v>
      </c>
    </row>
    <row r="1050" spans="1:73" x14ac:dyDescent="0.3">
      <c r="A1050" s="25">
        <v>2025</v>
      </c>
      <c r="B1050" s="26" t="s">
        <v>1621</v>
      </c>
      <c r="C1050" s="26">
        <f>LN(Inventory[[#This Row],[Acres]])</f>
        <v>-1.5606477482646683</v>
      </c>
      <c r="D1050" s="25">
        <v>0.21</v>
      </c>
      <c r="E1050" s="31"/>
      <c r="F1050" s="26" t="s">
        <v>537</v>
      </c>
      <c r="G1050" s="26" t="s">
        <v>126</v>
      </c>
      <c r="H1050" s="26" t="s">
        <v>349</v>
      </c>
      <c r="I1050" s="26" t="s">
        <v>538</v>
      </c>
      <c r="J1050" s="26" t="s">
        <v>539</v>
      </c>
      <c r="K1050" s="26" t="s">
        <v>242</v>
      </c>
      <c r="L1050" s="26" t="s">
        <v>351</v>
      </c>
      <c r="M1050" s="26" t="s">
        <v>323</v>
      </c>
      <c r="N1050" s="26">
        <v>80</v>
      </c>
      <c r="O1050" s="26">
        <f>2024-Inventory[[#This Row],[YrBlt]]</f>
        <v>78</v>
      </c>
      <c r="P1050" s="26">
        <f>2024-Inventory[[#This Row],[EffYr]]</f>
        <v>52</v>
      </c>
      <c r="Q1050" s="25">
        <v>1946</v>
      </c>
      <c r="R1050" s="25">
        <v>1972</v>
      </c>
      <c r="S1050" s="25">
        <v>1030</v>
      </c>
      <c r="T1050" s="27"/>
      <c r="U1050" s="32">
        <v>934</v>
      </c>
      <c r="V1050" s="32">
        <f>Inventory[[#This Row],[Bsmt]]-Inventory[[#This Row],[FnBsmt]]</f>
        <v>0</v>
      </c>
      <c r="W1050" s="32">
        <v>934</v>
      </c>
      <c r="X1050" s="27"/>
      <c r="Y1050" s="27">
        <f>Inventory[[#This Row],[MainFn]]+Inventory[[#This Row],[UpprFn]]+Inventory[[#This Row],[FnBsmt]]+Inventory[[#This Row],[AddFn]]</f>
        <v>1964</v>
      </c>
      <c r="Z1050" s="27">
        <v>2000</v>
      </c>
      <c r="AA1050" s="25">
        <v>8</v>
      </c>
      <c r="AB1050" s="27"/>
      <c r="AC1050" s="27"/>
      <c r="AD1050" s="27"/>
      <c r="AE1050" s="27"/>
      <c r="AF1050" s="27"/>
      <c r="AG1050" s="27"/>
      <c r="AH1050" s="27"/>
      <c r="AI1050" s="25">
        <v>263490</v>
      </c>
      <c r="AJ1050" s="25">
        <v>179173</v>
      </c>
      <c r="AK1050" s="25">
        <v>5261</v>
      </c>
      <c r="AL1050" s="25">
        <v>318700</v>
      </c>
      <c r="AM1050" s="25">
        <v>60100</v>
      </c>
      <c r="AN1050" s="25">
        <v>258600</v>
      </c>
      <c r="AO1050" s="25">
        <v>0</v>
      </c>
      <c r="AP1050" s="25">
        <f>Lookups!$B$56*0</f>
        <v>0</v>
      </c>
      <c r="AQ1050" s="25">
        <f>Lookups!$B$56*1</f>
        <v>89850.625589999996</v>
      </c>
      <c r="AR1050" s="25">
        <f>Lookups!$B$57*Inventory[[#This Row],[LnAcres]]</f>
        <v>-49401.70477837498</v>
      </c>
      <c r="AS1050" s="25">
        <f>VLOOKUP(Inventory[[#This Row],[Qlty]],Lookups!$A$62:$E$75,2,FALSE)</f>
        <v>21557.329055999999</v>
      </c>
      <c r="AT1050" s="25">
        <f>VLOOKUP(Inventory[[#This Row],[Cnd]],Lookups!$A$76:$E$84,2,FALSE)</f>
        <v>160472.20319</v>
      </c>
      <c r="AU1050" s="25">
        <f>Inventory[[#This Row],[EffAge]]*Lookups!$B$85</f>
        <v>-11598.371226000001</v>
      </c>
      <c r="AV1050" s="25">
        <f>Inventory[[#This Row],[MainFn]]*Lookups!$B$86</f>
        <v>50890.929973309998</v>
      </c>
      <c r="AW1050" s="25">
        <f>Inventory[[#This Row],[UpprFn]]*Lookups!$B$87</f>
        <v>0</v>
      </c>
      <c r="AX1050" s="25">
        <f>Inventory[[#This Row],[AddFn]]*Lookups!$B$88</f>
        <v>0</v>
      </c>
      <c r="AY1050" s="25">
        <f>Inventory[[#This Row],[Bsmt]]*Lookups!$B$89</f>
        <v>27162.490160697998</v>
      </c>
      <c r="AZ1050" s="25">
        <f>Inventory[[#This Row],[Fixtures]]*Lookups!$B$90</f>
        <v>30336.176841600001</v>
      </c>
      <c r="BA1050" s="25">
        <f>Inventory[[#This Row],[WdDeck]]*Lookups!$B$91</f>
        <v>0</v>
      </c>
      <c r="BB1050" s="25">
        <f>ROUND(Inventory[[#This Row],[25Det]],-2)</f>
        <v>5300</v>
      </c>
      <c r="BC1050" s="25">
        <f>ROUND(SUM(Inventory[[#This Row],[Mdl Qlty]:[Mdl WdDeck]])+Inventory[[#This Row],[Mdl Res Intercept]],-2)</f>
        <v>278800</v>
      </c>
      <c r="BD1050" s="25">
        <f>ROUND(Inventory[[#This Row],[Mdl Land Intercept]]+Inventory[[#This Row],[Mdl LnAcres]],-2)</f>
        <v>40400</v>
      </c>
      <c r="BE1050" s="25">
        <f>Inventory[[#This Row],[Unadj Res Value]]+Inventory[[#This Row],[Unadj Det Value]]+Inventory[[#This Row],[Unadj Land Value]]</f>
        <v>324500</v>
      </c>
      <c r="BF1050" s="36">
        <f>(Inventory[[#This Row],[Unadj Total Value]]-Inventory[[#This Row],[24Final]])/Inventory[[#This Row],[24Final]]</f>
        <v>1.8198933165986822E-2</v>
      </c>
      <c r="BG1050" s="25">
        <f>VLOOKUP(Inventory[[#This Row],[Nbhd]],Lookups!$Q$2:$T$4,4,FALSE)</f>
        <v>0.99970000000000003</v>
      </c>
      <c r="BH1050" s="25">
        <f>VLOOKUP(Inventory[[#This Row],[Qlty]],Lookups!$O$7:$R$21,4,FALSE)</f>
        <v>1.0067999999999999</v>
      </c>
      <c r="BI1050" s="25">
        <f>VLOOKUP(Inventory[[#This Row],[Cnd]],Lookups!$T$7:$W$16,4,FALSE)</f>
        <v>0.99729999999999996</v>
      </c>
      <c r="BJ1050" s="25">
        <f>VLOOKUP(Inventory[[#This Row],[LivArea Range]],Lookups!$T$25:$W$37,4,FALSE)</f>
        <v>1.0093000000000001</v>
      </c>
      <c r="BK1050" s="25">
        <f>VLOOKUP(Inventory[[#This Row],[Decade]],Lookups!$O$25:$R$42,4,FALSE)</f>
        <v>0.995</v>
      </c>
      <c r="BL1050" s="25">
        <f>Inventory[[#This Row],[Nbhd Adj]]*0.95</f>
        <v>0.94971499999999998</v>
      </c>
      <c r="BM1050" s="25">
        <f>Inventory[[#This Row],[Nbhd Adj]]*Inventory[[#This Row],[Quality Adj]]*Inventory[[#This Row],[Condition Adj]]*Inventory[[#This Row],[Living Area Adj]]*Inventory[[#This Row],[Decade Adj]]*0.95</f>
        <v>0.957647495730095</v>
      </c>
      <c r="BN1050" s="25">
        <f>ROUND(SUM(Inventory[[#This Row],[Mdl Qlty]:[Mdl WdDeck]])+Inventory[[#This Row],[Mdl Res Intercept]]*Inventory[[#This Row],[Res Adj ]],-2)</f>
        <v>278800</v>
      </c>
      <c r="BO1050" s="25">
        <f>ROUND(Inventory[[#This Row],[25Det]]*Inventory[[#This Row],[Det/Nbhd Adj]],-2)</f>
        <v>5000</v>
      </c>
      <c r="BP1050" s="25">
        <f>Inventory[[#This Row],[Adjusted Res]]+Inventory[[#This Row],[Adj Det ]]</f>
        <v>283800</v>
      </c>
      <c r="BQ1050" s="25">
        <f>ROUND((Inventory[[#This Row],[Mdl Land Intercept]]+Inventory[[#This Row],[Mdl LnAcres]])*Inventory[[#This Row],[Det/Nbhd Adj]],-2)</f>
        <v>38400</v>
      </c>
      <c r="BR1050" s="25">
        <f>Inventory[[#This Row],[Adjusted Impr Total]]+Inventory[[#This Row],[Adjusted Land Total]]</f>
        <v>322200</v>
      </c>
      <c r="BS1050" s="36">
        <f>IFERROR((Inventory[[#This Row],[Adjusted Impr Total]]-Inventory[[#This Row],[24Bldg]])/Inventory[[#This Row],[24Bldg]],0)</f>
        <v>9.7447795823665889E-2</v>
      </c>
      <c r="BT1050" s="36">
        <f>(Inventory[[#This Row],[Adjusted Land Total]]-Inventory[[#This Row],[24Lnd]])/Inventory[[#This Row],[24Lnd]]</f>
        <v>-0.36106489184692181</v>
      </c>
      <c r="BU1050" s="36">
        <f>(Inventory[[#This Row],[Adjusted Total]]-Inventory[[#This Row],[24Final]])/Inventory[[#This Row],[24Final]]</f>
        <v>1.0982114841543772E-2</v>
      </c>
    </row>
    <row r="1051" spans="1:73" x14ac:dyDescent="0.3">
      <c r="A1051" s="25">
        <v>2025</v>
      </c>
      <c r="B1051" s="26" t="s">
        <v>2029</v>
      </c>
      <c r="C1051" s="26">
        <f>LN(Inventory[[#This Row],[Acres]])</f>
        <v>-1.2039728043259361</v>
      </c>
      <c r="D1051" s="25">
        <v>0.3</v>
      </c>
      <c r="E1051" s="25">
        <v>13005</v>
      </c>
      <c r="F1051" s="26" t="s">
        <v>537</v>
      </c>
      <c r="G1051" s="26" t="s">
        <v>126</v>
      </c>
      <c r="H1051" s="26" t="s">
        <v>349</v>
      </c>
      <c r="I1051" s="26" t="s">
        <v>538</v>
      </c>
      <c r="J1051" s="26" t="s">
        <v>539</v>
      </c>
      <c r="K1051" s="26" t="s">
        <v>242</v>
      </c>
      <c r="L1051" s="26" t="s">
        <v>205</v>
      </c>
      <c r="M1051" s="26" t="s">
        <v>323</v>
      </c>
      <c r="N1051" s="26">
        <v>80</v>
      </c>
      <c r="O1051" s="26">
        <f>2024-Inventory[[#This Row],[YrBlt]]</f>
        <v>78</v>
      </c>
      <c r="P1051" s="26">
        <f>2024-Inventory[[#This Row],[EffYr]]</f>
        <v>52</v>
      </c>
      <c r="Q1051" s="25">
        <v>1946</v>
      </c>
      <c r="R1051" s="25">
        <v>1972</v>
      </c>
      <c r="S1051" s="25">
        <v>864</v>
      </c>
      <c r="T1051" s="27"/>
      <c r="U1051" s="27"/>
      <c r="V1051" s="27">
        <f>Inventory[[#This Row],[Bsmt]]-Inventory[[#This Row],[FnBsmt]]</f>
        <v>0</v>
      </c>
      <c r="W1051" s="27"/>
      <c r="X1051" s="27"/>
      <c r="Y1051" s="27">
        <f>Inventory[[#This Row],[MainFn]]+Inventory[[#This Row],[UpprFn]]+Inventory[[#This Row],[FnBsmt]]+Inventory[[#This Row],[AddFn]]</f>
        <v>864</v>
      </c>
      <c r="Z1051" s="27">
        <v>1000</v>
      </c>
      <c r="AA1051" s="25">
        <v>5</v>
      </c>
      <c r="AB1051" s="27"/>
      <c r="AC1051" s="27"/>
      <c r="AD1051" s="27"/>
      <c r="AE1051" s="27"/>
      <c r="AF1051" s="27"/>
      <c r="AG1051" s="27"/>
      <c r="AH1051" s="27"/>
      <c r="AI1051" s="25">
        <v>138755</v>
      </c>
      <c r="AJ1051" s="25">
        <v>94353</v>
      </c>
      <c r="AK1051" s="25">
        <v>4342</v>
      </c>
      <c r="AL1051" s="25">
        <v>262100</v>
      </c>
      <c r="AM1051" s="25">
        <v>72500</v>
      </c>
      <c r="AN1051" s="25">
        <v>189600</v>
      </c>
      <c r="AO1051" s="25">
        <v>0</v>
      </c>
      <c r="AP1051" s="25">
        <f>Lookups!$B$56*0</f>
        <v>0</v>
      </c>
      <c r="AQ1051" s="25">
        <f>Lookups!$B$56*1</f>
        <v>89850.625589999996</v>
      </c>
      <c r="AR1051" s="25">
        <f>Lookups!$B$57*Inventory[[#This Row],[LnAcres]]</f>
        <v>-38111.29648355169</v>
      </c>
      <c r="AS1051" s="25">
        <f>VLOOKUP(Inventory[[#This Row],[Qlty]],Lookups!$A$62:$E$75,2,FALSE)</f>
        <v>0</v>
      </c>
      <c r="AT1051" s="25">
        <f>VLOOKUP(Inventory[[#This Row],[Cnd]],Lookups!$A$76:$E$84,2,FALSE)</f>
        <v>160472.20319</v>
      </c>
      <c r="AU1051" s="25">
        <f>Inventory[[#This Row],[EffAge]]*Lookups!$B$85</f>
        <v>-11598.371226000001</v>
      </c>
      <c r="AV1051" s="25">
        <f>Inventory[[#This Row],[MainFn]]*Lookups!$B$86</f>
        <v>42689.090773727999</v>
      </c>
      <c r="AW1051" s="25">
        <f>Inventory[[#This Row],[UpprFn]]*Lookups!$B$87</f>
        <v>0</v>
      </c>
      <c r="AX1051" s="25">
        <f>Inventory[[#This Row],[AddFn]]*Lookups!$B$88</f>
        <v>0</v>
      </c>
      <c r="AY1051" s="25">
        <f>Inventory[[#This Row],[Bsmt]]*Lookups!$B$89</f>
        <v>0</v>
      </c>
      <c r="AZ1051" s="25">
        <f>Inventory[[#This Row],[Fixtures]]*Lookups!$B$90</f>
        <v>18960.110526</v>
      </c>
      <c r="BA1051" s="25">
        <f>Inventory[[#This Row],[WdDeck]]*Lookups!$B$91</f>
        <v>0</v>
      </c>
      <c r="BB1051" s="25">
        <f>ROUND(Inventory[[#This Row],[25Det]],-2)</f>
        <v>4300</v>
      </c>
      <c r="BC1051" s="25">
        <f>ROUND(SUM(Inventory[[#This Row],[Mdl Qlty]:[Mdl WdDeck]])+Inventory[[#This Row],[Mdl Res Intercept]],-2)</f>
        <v>210500</v>
      </c>
      <c r="BD1051" s="25">
        <f>ROUND(Inventory[[#This Row],[Mdl Land Intercept]]+Inventory[[#This Row],[Mdl LnAcres]],-2)</f>
        <v>51700</v>
      </c>
      <c r="BE1051" s="25">
        <f>Inventory[[#This Row],[Unadj Res Value]]+Inventory[[#This Row],[Unadj Det Value]]+Inventory[[#This Row],[Unadj Land Value]]</f>
        <v>266500</v>
      </c>
      <c r="BF1051" s="36">
        <f>(Inventory[[#This Row],[Unadj Total Value]]-Inventory[[#This Row],[24Final]])/Inventory[[#This Row],[24Final]]</f>
        <v>1.6787485692483783E-2</v>
      </c>
      <c r="BG1051" s="25">
        <f>VLOOKUP(Inventory[[#This Row],[Nbhd]],Lookups!$Q$2:$T$4,4,FALSE)</f>
        <v>0.99970000000000003</v>
      </c>
      <c r="BH1051" s="25">
        <f>VLOOKUP(Inventory[[#This Row],[Qlty]],Lookups!$O$7:$R$21,4,FALSE)</f>
        <v>0.99180000000000001</v>
      </c>
      <c r="BI1051" s="25">
        <f>VLOOKUP(Inventory[[#This Row],[Cnd]],Lookups!$T$7:$W$16,4,FALSE)</f>
        <v>0.99729999999999996</v>
      </c>
      <c r="BJ1051" s="25">
        <f>VLOOKUP(Inventory[[#This Row],[LivArea Range]],Lookups!$T$25:$W$37,4,FALSE)</f>
        <v>1.0148999999999999</v>
      </c>
      <c r="BK1051" s="25">
        <f>VLOOKUP(Inventory[[#This Row],[Decade]],Lookups!$O$25:$R$42,4,FALSE)</f>
        <v>0.995</v>
      </c>
      <c r="BL1051" s="25">
        <f>Inventory[[#This Row],[Nbhd Adj]]*0.95</f>
        <v>0.94971499999999998</v>
      </c>
      <c r="BM1051" s="25">
        <f>Inventory[[#This Row],[Nbhd Adj]]*Inventory[[#This Row],[Quality Adj]]*Inventory[[#This Row],[Condition Adj]]*Inventory[[#This Row],[Living Area Adj]]*Inventory[[#This Row],[Decade Adj]]*0.95</f>
        <v>0.94861405199075932</v>
      </c>
      <c r="BN1051" s="25">
        <f>ROUND(SUM(Inventory[[#This Row],[Mdl Qlty]:[Mdl WdDeck]])+Inventory[[#This Row],[Mdl Res Intercept]]*Inventory[[#This Row],[Res Adj ]],-2)</f>
        <v>210500</v>
      </c>
      <c r="BO1051" s="25">
        <f>ROUND(Inventory[[#This Row],[25Det]]*Inventory[[#This Row],[Det/Nbhd Adj]],-2)</f>
        <v>4100</v>
      </c>
      <c r="BP1051" s="25">
        <f>Inventory[[#This Row],[Adjusted Res]]+Inventory[[#This Row],[Adj Det ]]</f>
        <v>214600</v>
      </c>
      <c r="BQ1051" s="25">
        <f>ROUND((Inventory[[#This Row],[Mdl Land Intercept]]+Inventory[[#This Row],[Mdl LnAcres]])*Inventory[[#This Row],[Det/Nbhd Adj]],-2)</f>
        <v>49100</v>
      </c>
      <c r="BR1051" s="25">
        <f>Inventory[[#This Row],[Adjusted Impr Total]]+Inventory[[#This Row],[Adjusted Land Total]]</f>
        <v>263700</v>
      </c>
      <c r="BS1051" s="36">
        <f>IFERROR((Inventory[[#This Row],[Adjusted Impr Total]]-Inventory[[#This Row],[24Bldg]])/Inventory[[#This Row],[24Bldg]],0)</f>
        <v>0.13185654008438819</v>
      </c>
      <c r="BT1051" s="36">
        <f>(Inventory[[#This Row],[Adjusted Land Total]]-Inventory[[#This Row],[24Lnd]])/Inventory[[#This Row],[24Lnd]]</f>
        <v>-0.32275862068965516</v>
      </c>
      <c r="BU1051" s="36">
        <f>(Inventory[[#This Row],[Adjusted Total]]-Inventory[[#This Row],[24Final]])/Inventory[[#This Row],[24Final]]</f>
        <v>6.1045402518122857E-3</v>
      </c>
    </row>
    <row r="1052" spans="1:73" x14ac:dyDescent="0.3">
      <c r="A1052" s="25">
        <v>2025</v>
      </c>
      <c r="B1052" s="26" t="s">
        <v>1084</v>
      </c>
      <c r="C1052" s="26">
        <f>LN(Inventory[[#This Row],[Acres]])</f>
        <v>-1.6094379124341003</v>
      </c>
      <c r="D1052" s="25">
        <v>0.2</v>
      </c>
      <c r="E1052" s="31"/>
      <c r="F1052" s="26" t="s">
        <v>537</v>
      </c>
      <c r="G1052" s="26" t="s">
        <v>126</v>
      </c>
      <c r="H1052" s="26" t="s">
        <v>349</v>
      </c>
      <c r="I1052" s="26" t="s">
        <v>538</v>
      </c>
      <c r="J1052" s="26" t="s">
        <v>539</v>
      </c>
      <c r="K1052" s="26" t="s">
        <v>242</v>
      </c>
      <c r="L1052" s="26" t="s">
        <v>351</v>
      </c>
      <c r="M1052" s="26" t="s">
        <v>323</v>
      </c>
      <c r="N1052" s="26">
        <v>80</v>
      </c>
      <c r="O1052" s="26">
        <f>2024-Inventory[[#This Row],[YrBlt]]</f>
        <v>78</v>
      </c>
      <c r="P1052" s="26">
        <f>2024-Inventory[[#This Row],[EffYr]]</f>
        <v>52</v>
      </c>
      <c r="Q1052" s="25">
        <v>1946</v>
      </c>
      <c r="R1052" s="25">
        <v>1972</v>
      </c>
      <c r="S1052" s="25">
        <v>961</v>
      </c>
      <c r="T1052" s="27"/>
      <c r="U1052" s="32">
        <v>961</v>
      </c>
      <c r="V1052" s="32">
        <f>Inventory[[#This Row],[Bsmt]]-Inventory[[#This Row],[FnBsmt]]</f>
        <v>0</v>
      </c>
      <c r="W1052" s="32">
        <v>961</v>
      </c>
      <c r="X1052" s="27"/>
      <c r="Y1052" s="27">
        <f>Inventory[[#This Row],[MainFn]]+Inventory[[#This Row],[UpprFn]]+Inventory[[#This Row],[FnBsmt]]+Inventory[[#This Row],[AddFn]]</f>
        <v>1922</v>
      </c>
      <c r="Z1052" s="27">
        <v>2000</v>
      </c>
      <c r="AA1052" s="25">
        <v>8</v>
      </c>
      <c r="AB1052" s="27"/>
      <c r="AC1052" s="27"/>
      <c r="AD1052" s="27"/>
      <c r="AE1052" s="27"/>
      <c r="AF1052" s="27"/>
      <c r="AG1052" s="27"/>
      <c r="AH1052" s="27"/>
      <c r="AI1052" s="25">
        <v>251785</v>
      </c>
      <c r="AJ1052" s="25">
        <v>171214</v>
      </c>
      <c r="AK1052" s="25">
        <v>8321</v>
      </c>
      <c r="AL1052" s="25">
        <v>319700</v>
      </c>
      <c r="AM1052" s="25">
        <v>58400</v>
      </c>
      <c r="AN1052" s="25">
        <v>261300</v>
      </c>
      <c r="AO1052" s="25">
        <v>0</v>
      </c>
      <c r="AP1052" s="25">
        <f>Lookups!$B$56*0</f>
        <v>0</v>
      </c>
      <c r="AQ1052" s="25">
        <f>Lookups!$B$56*1</f>
        <v>89850.625589999996</v>
      </c>
      <c r="AR1052" s="25">
        <f>Lookups!$B$57*Inventory[[#This Row],[LnAcres]]</f>
        <v>-50946.13867709865</v>
      </c>
      <c r="AS1052" s="25">
        <f>VLOOKUP(Inventory[[#This Row],[Qlty]],Lookups!$A$62:$E$75,2,FALSE)</f>
        <v>21557.329055999999</v>
      </c>
      <c r="AT1052" s="25">
        <f>VLOOKUP(Inventory[[#This Row],[Cnd]],Lookups!$A$76:$E$84,2,FALSE)</f>
        <v>160472.20319</v>
      </c>
      <c r="AU1052" s="25">
        <f>Inventory[[#This Row],[EffAge]]*Lookups!$B$85</f>
        <v>-11598.371226000001</v>
      </c>
      <c r="AV1052" s="25">
        <f>Inventory[[#This Row],[MainFn]]*Lookups!$B$86</f>
        <v>47481.731751797</v>
      </c>
      <c r="AW1052" s="25">
        <f>Inventory[[#This Row],[UpprFn]]*Lookups!$B$87</f>
        <v>0</v>
      </c>
      <c r="AX1052" s="25">
        <f>Inventory[[#This Row],[AddFn]]*Lookups!$B$88</f>
        <v>0</v>
      </c>
      <c r="AY1052" s="25">
        <f>Inventory[[#This Row],[Bsmt]]*Lookups!$B$89</f>
        <v>27947.701332367</v>
      </c>
      <c r="AZ1052" s="25">
        <f>Inventory[[#This Row],[Fixtures]]*Lookups!$B$90</f>
        <v>30336.176841600001</v>
      </c>
      <c r="BA1052" s="25">
        <f>Inventory[[#This Row],[WdDeck]]*Lookups!$B$91</f>
        <v>0</v>
      </c>
      <c r="BB1052" s="25">
        <f>ROUND(Inventory[[#This Row],[25Det]],-2)</f>
        <v>8300</v>
      </c>
      <c r="BC1052" s="25">
        <f>ROUND(SUM(Inventory[[#This Row],[Mdl Qlty]:[Mdl WdDeck]])+Inventory[[#This Row],[Mdl Res Intercept]],-2)</f>
        <v>276200</v>
      </c>
      <c r="BD1052" s="25">
        <f>ROUND(Inventory[[#This Row],[Mdl Land Intercept]]+Inventory[[#This Row],[Mdl LnAcres]],-2)</f>
        <v>38900</v>
      </c>
      <c r="BE1052" s="25">
        <f>Inventory[[#This Row],[Unadj Res Value]]+Inventory[[#This Row],[Unadj Det Value]]+Inventory[[#This Row],[Unadj Land Value]]</f>
        <v>323400</v>
      </c>
      <c r="BF1052" s="36">
        <f>(Inventory[[#This Row],[Unadj Total Value]]-Inventory[[#This Row],[24Final]])/Inventory[[#This Row],[24Final]]</f>
        <v>1.1573350015639663E-2</v>
      </c>
      <c r="BG1052" s="25">
        <f>VLOOKUP(Inventory[[#This Row],[Nbhd]],Lookups!$Q$2:$T$4,4,FALSE)</f>
        <v>0.99970000000000003</v>
      </c>
      <c r="BH1052" s="25">
        <f>VLOOKUP(Inventory[[#This Row],[Qlty]],Lookups!$O$7:$R$21,4,FALSE)</f>
        <v>1.0067999999999999</v>
      </c>
      <c r="BI1052" s="25">
        <f>VLOOKUP(Inventory[[#This Row],[Cnd]],Lookups!$T$7:$W$16,4,FALSE)</f>
        <v>0.99729999999999996</v>
      </c>
      <c r="BJ1052" s="25">
        <f>VLOOKUP(Inventory[[#This Row],[LivArea Range]],Lookups!$T$25:$W$37,4,FALSE)</f>
        <v>1.0093000000000001</v>
      </c>
      <c r="BK1052" s="25">
        <f>VLOOKUP(Inventory[[#This Row],[Decade]],Lookups!$O$25:$R$42,4,FALSE)</f>
        <v>0.995</v>
      </c>
      <c r="BL1052" s="25">
        <f>Inventory[[#This Row],[Nbhd Adj]]*0.95</f>
        <v>0.94971499999999998</v>
      </c>
      <c r="BM1052" s="25">
        <f>Inventory[[#This Row],[Nbhd Adj]]*Inventory[[#This Row],[Quality Adj]]*Inventory[[#This Row],[Condition Adj]]*Inventory[[#This Row],[Living Area Adj]]*Inventory[[#This Row],[Decade Adj]]*0.95</f>
        <v>0.957647495730095</v>
      </c>
      <c r="BN1052" s="25">
        <f>ROUND(SUM(Inventory[[#This Row],[Mdl Qlty]:[Mdl WdDeck]])+Inventory[[#This Row],[Mdl Res Intercept]]*Inventory[[#This Row],[Res Adj ]],-2)</f>
        <v>276200</v>
      </c>
      <c r="BO1052" s="25">
        <f>ROUND(Inventory[[#This Row],[25Det]]*Inventory[[#This Row],[Det/Nbhd Adj]],-2)</f>
        <v>7900</v>
      </c>
      <c r="BP1052" s="25">
        <f>Inventory[[#This Row],[Adjusted Res]]+Inventory[[#This Row],[Adj Det ]]</f>
        <v>284100</v>
      </c>
      <c r="BQ1052" s="25">
        <f>ROUND((Inventory[[#This Row],[Mdl Land Intercept]]+Inventory[[#This Row],[Mdl LnAcres]])*Inventory[[#This Row],[Det/Nbhd Adj]],-2)</f>
        <v>36900</v>
      </c>
      <c r="BR1052" s="25">
        <f>Inventory[[#This Row],[Adjusted Impr Total]]+Inventory[[#This Row],[Adjusted Land Total]]</f>
        <v>321000</v>
      </c>
      <c r="BS1052" s="36">
        <f>IFERROR((Inventory[[#This Row],[Adjusted Impr Total]]-Inventory[[#This Row],[24Bldg]])/Inventory[[#This Row],[24Bldg]],0)</f>
        <v>8.7256027554535015E-2</v>
      </c>
      <c r="BT1052" s="36">
        <f>(Inventory[[#This Row],[Adjusted Land Total]]-Inventory[[#This Row],[24Lnd]])/Inventory[[#This Row],[24Lnd]]</f>
        <v>-0.36815068493150682</v>
      </c>
      <c r="BU1052" s="36">
        <f>(Inventory[[#This Row],[Adjusted Total]]-Inventory[[#This Row],[24Final]])/Inventory[[#This Row],[24Final]]</f>
        <v>4.0663121676571788E-3</v>
      </c>
    </row>
    <row r="1053" spans="1:73" x14ac:dyDescent="0.3">
      <c r="A1053" s="25">
        <v>2025</v>
      </c>
      <c r="B1053" s="26" t="s">
        <v>1071</v>
      </c>
      <c r="C1053" s="26">
        <f>LN(Inventory[[#This Row],[Acres]])</f>
        <v>-1.1394342831883648</v>
      </c>
      <c r="D1053" s="25">
        <v>0.32</v>
      </c>
      <c r="E1053" s="25">
        <v>13813</v>
      </c>
      <c r="F1053" s="26" t="s">
        <v>537</v>
      </c>
      <c r="G1053" s="26" t="s">
        <v>126</v>
      </c>
      <c r="H1053" s="26" t="s">
        <v>349</v>
      </c>
      <c r="I1053" s="26" t="s">
        <v>538</v>
      </c>
      <c r="J1053" s="26" t="s">
        <v>539</v>
      </c>
      <c r="K1053" s="26" t="s">
        <v>241</v>
      </c>
      <c r="L1053" s="26" t="s">
        <v>148</v>
      </c>
      <c r="M1053" s="26" t="s">
        <v>352</v>
      </c>
      <c r="N1053" s="26">
        <v>80</v>
      </c>
      <c r="O1053" s="26">
        <f>2024-Inventory[[#This Row],[YrBlt]]</f>
        <v>79</v>
      </c>
      <c r="P1053" s="26">
        <f>2024-Inventory[[#This Row],[EffYr]]</f>
        <v>52</v>
      </c>
      <c r="Q1053" s="25">
        <v>1945</v>
      </c>
      <c r="R1053" s="25">
        <v>1972</v>
      </c>
      <c r="S1053" s="25">
        <v>1830</v>
      </c>
      <c r="T1053" s="27"/>
      <c r="U1053" s="32">
        <v>1830</v>
      </c>
      <c r="V1053" s="32">
        <f>Inventory[[#This Row],[Bsmt]]-Inventory[[#This Row],[FnBsmt]]</f>
        <v>908</v>
      </c>
      <c r="W1053" s="32">
        <v>922</v>
      </c>
      <c r="X1053" s="27"/>
      <c r="Y1053" s="27">
        <f>Inventory[[#This Row],[MainFn]]+Inventory[[#This Row],[UpprFn]]+Inventory[[#This Row],[FnBsmt]]+Inventory[[#This Row],[AddFn]]</f>
        <v>2752</v>
      </c>
      <c r="Z1053" s="27">
        <v>3000</v>
      </c>
      <c r="AA1053" s="25">
        <v>10</v>
      </c>
      <c r="AB1053" s="32">
        <v>630</v>
      </c>
      <c r="AC1053" s="27"/>
      <c r="AD1053" s="27"/>
      <c r="AE1053" s="27"/>
      <c r="AF1053" s="27"/>
      <c r="AG1053" s="27"/>
      <c r="AH1053" s="27"/>
      <c r="AI1053" s="25">
        <v>602616</v>
      </c>
      <c r="AJ1053" s="25">
        <v>427857</v>
      </c>
      <c r="AK1053" s="25">
        <v>0</v>
      </c>
      <c r="AL1053" s="25">
        <v>474000</v>
      </c>
      <c r="AM1053" s="25">
        <v>74800</v>
      </c>
      <c r="AN1053" s="25">
        <v>399200</v>
      </c>
      <c r="AO1053" s="25">
        <v>0</v>
      </c>
      <c r="AP1053" s="25">
        <f>Lookups!$B$56*0</f>
        <v>0</v>
      </c>
      <c r="AQ1053" s="25">
        <f>Lookups!$B$56*1</f>
        <v>89850.625589999996</v>
      </c>
      <c r="AR1053" s="25">
        <f>Lookups!$B$57*Inventory[[#This Row],[LnAcres]]</f>
        <v>-36068.354396449467</v>
      </c>
      <c r="AS1053" s="25">
        <f>VLOOKUP(Inventory[[#This Row],[Qlty]],Lookups!$A$62:$E$75,2,FALSE)</f>
        <v>44121.038090000002</v>
      </c>
      <c r="AT1053" s="25">
        <f>VLOOKUP(Inventory[[#This Row],[Cnd]],Lookups!$A$76:$E$84,2,FALSE)</f>
        <v>284810.60806</v>
      </c>
      <c r="AU1053" s="25">
        <f>Inventory[[#This Row],[EffAge]]*Lookups!$B$85</f>
        <v>-11598.371226000001</v>
      </c>
      <c r="AV1053" s="25">
        <f>Inventory[[#This Row],[MainFn]]*Lookups!$B$86</f>
        <v>90417.86587491</v>
      </c>
      <c r="AW1053" s="25">
        <f>Inventory[[#This Row],[UpprFn]]*Lookups!$B$87</f>
        <v>0</v>
      </c>
      <c r="AX1053" s="25">
        <f>Inventory[[#This Row],[AddFn]]*Lookups!$B$88</f>
        <v>0</v>
      </c>
      <c r="AY1053" s="25">
        <f>Inventory[[#This Row],[Bsmt]]*Lookups!$B$89</f>
        <v>53219.86830201</v>
      </c>
      <c r="AZ1053" s="25">
        <f>Inventory[[#This Row],[Fixtures]]*Lookups!$B$90</f>
        <v>37920.221052000001</v>
      </c>
      <c r="BA1053" s="25">
        <f>Inventory[[#This Row],[WdDeck]]*Lookups!$B$91</f>
        <v>0</v>
      </c>
      <c r="BB1053" s="25">
        <f>ROUND(Inventory[[#This Row],[25Det]],-2)</f>
        <v>0</v>
      </c>
      <c r="BC1053" s="25">
        <f>ROUND(SUM(Inventory[[#This Row],[Mdl Qlty]:[Mdl WdDeck]])+Inventory[[#This Row],[Mdl Res Intercept]],-2)</f>
        <v>498900</v>
      </c>
      <c r="BD1053" s="25">
        <f>ROUND(Inventory[[#This Row],[Mdl Land Intercept]]+Inventory[[#This Row],[Mdl LnAcres]],-2)</f>
        <v>53800</v>
      </c>
      <c r="BE1053" s="25">
        <f>Inventory[[#This Row],[Unadj Res Value]]+Inventory[[#This Row],[Unadj Det Value]]+Inventory[[#This Row],[Unadj Land Value]]</f>
        <v>552700</v>
      </c>
      <c r="BF1053" s="36">
        <f>(Inventory[[#This Row],[Unadj Total Value]]-Inventory[[#This Row],[24Final]])/Inventory[[#This Row],[24Final]]</f>
        <v>0.16603375527426159</v>
      </c>
      <c r="BG1053" s="25">
        <f>VLOOKUP(Inventory[[#This Row],[Nbhd]],Lookups!$Q$2:$T$4,4,FALSE)</f>
        <v>0.99970000000000003</v>
      </c>
      <c r="BH1053" s="25">
        <f>VLOOKUP(Inventory[[#This Row],[Qlty]],Lookups!$O$7:$R$21,4,FALSE)</f>
        <v>0.98050000000000004</v>
      </c>
      <c r="BI1053" s="25">
        <f>VLOOKUP(Inventory[[#This Row],[Cnd]],Lookups!$T$7:$W$16,4,FALSE)</f>
        <v>1.0158</v>
      </c>
      <c r="BJ1053" s="25">
        <f>VLOOKUP(Inventory[[#This Row],[LivArea Range]],Lookups!$T$25:$W$37,4,FALSE)</f>
        <v>0.96179999999999999</v>
      </c>
      <c r="BK1053" s="25">
        <f>VLOOKUP(Inventory[[#This Row],[Decade]],Lookups!$O$25:$R$42,4,FALSE)</f>
        <v>0.995</v>
      </c>
      <c r="BL1053" s="25">
        <f>Inventory[[#This Row],[Nbhd Adj]]*0.95</f>
        <v>0.94971499999999998</v>
      </c>
      <c r="BM1053" s="25">
        <f>Inventory[[#This Row],[Nbhd Adj]]*Inventory[[#This Row],[Quality Adj]]*Inventory[[#This Row],[Condition Adj]]*Inventory[[#This Row],[Living Area Adj]]*Inventory[[#This Row],[Decade Adj]]*0.95</f>
        <v>0.90522587089820872</v>
      </c>
      <c r="BN1053" s="25">
        <f>ROUND(SUM(Inventory[[#This Row],[Mdl Qlty]:[Mdl WdDeck]])+Inventory[[#This Row],[Mdl Res Intercept]]*Inventory[[#This Row],[Res Adj ]],-2)</f>
        <v>498900</v>
      </c>
      <c r="BO1053" s="25">
        <f>ROUND(Inventory[[#This Row],[25Det]]*Inventory[[#This Row],[Det/Nbhd Adj]],-2)</f>
        <v>0</v>
      </c>
      <c r="BP1053" s="25">
        <f>Inventory[[#This Row],[Adjusted Res]]+Inventory[[#This Row],[Adj Det ]]</f>
        <v>498900</v>
      </c>
      <c r="BQ1053" s="25">
        <f>ROUND((Inventory[[#This Row],[Mdl Land Intercept]]+Inventory[[#This Row],[Mdl LnAcres]])*Inventory[[#This Row],[Det/Nbhd Adj]],-2)</f>
        <v>51100</v>
      </c>
      <c r="BR1053" s="25">
        <f>Inventory[[#This Row],[Adjusted Impr Total]]+Inventory[[#This Row],[Adjusted Land Total]]</f>
        <v>550000</v>
      </c>
      <c r="BS1053" s="36">
        <f>IFERROR((Inventory[[#This Row],[Adjusted Impr Total]]-Inventory[[#This Row],[24Bldg]])/Inventory[[#This Row],[24Bldg]],0)</f>
        <v>0.24974949899799601</v>
      </c>
      <c r="BT1053" s="36">
        <f>(Inventory[[#This Row],[Adjusted Land Total]]-Inventory[[#This Row],[24Lnd]])/Inventory[[#This Row],[24Lnd]]</f>
        <v>-0.31684491978609625</v>
      </c>
      <c r="BU1053" s="36">
        <f>(Inventory[[#This Row],[Adjusted Total]]-Inventory[[#This Row],[24Final]])/Inventory[[#This Row],[24Final]]</f>
        <v>0.16033755274261605</v>
      </c>
    </row>
    <row r="1054" spans="1:73" x14ac:dyDescent="0.3">
      <c r="A1054" s="25">
        <v>2025</v>
      </c>
      <c r="B1054" s="26" t="s">
        <v>880</v>
      </c>
      <c r="C1054" s="26">
        <f>LN(Inventory[[#This Row],[Acres]])</f>
        <v>-1.9661128563728327</v>
      </c>
      <c r="D1054" s="25">
        <v>0.14000000000000001</v>
      </c>
      <c r="E1054" s="25">
        <v>5963</v>
      </c>
      <c r="F1054" s="26" t="s">
        <v>537</v>
      </c>
      <c r="G1054" s="26" t="s">
        <v>126</v>
      </c>
      <c r="H1054" s="26" t="s">
        <v>349</v>
      </c>
      <c r="I1054" s="26" t="s">
        <v>538</v>
      </c>
      <c r="J1054" s="26" t="s">
        <v>539</v>
      </c>
      <c r="K1054" s="26" t="s">
        <v>269</v>
      </c>
      <c r="L1054" s="26" t="s">
        <v>351</v>
      </c>
      <c r="M1054" s="26" t="s">
        <v>303</v>
      </c>
      <c r="N1054" s="26">
        <v>80</v>
      </c>
      <c r="O1054" s="26">
        <f>2024-Inventory[[#This Row],[YrBlt]]</f>
        <v>79</v>
      </c>
      <c r="P1054" s="26">
        <f>2024-Inventory[[#This Row],[EffYr]]</f>
        <v>52</v>
      </c>
      <c r="Q1054" s="25">
        <v>1945</v>
      </c>
      <c r="R1054" s="25">
        <v>1972</v>
      </c>
      <c r="S1054" s="25">
        <v>1325</v>
      </c>
      <c r="T1054" s="27"/>
      <c r="U1054" s="27"/>
      <c r="V1054" s="27">
        <f>Inventory[[#This Row],[Bsmt]]-Inventory[[#This Row],[FnBsmt]]</f>
        <v>0</v>
      </c>
      <c r="W1054" s="27"/>
      <c r="X1054" s="27"/>
      <c r="Y1054" s="27">
        <f>Inventory[[#This Row],[MainFn]]+Inventory[[#This Row],[UpprFn]]+Inventory[[#This Row],[FnBsmt]]+Inventory[[#This Row],[AddFn]]</f>
        <v>1325</v>
      </c>
      <c r="Z1054" s="27">
        <v>1500</v>
      </c>
      <c r="AA1054" s="25">
        <v>7</v>
      </c>
      <c r="AB1054" s="27"/>
      <c r="AC1054" s="27"/>
      <c r="AD1054" s="27"/>
      <c r="AE1054" s="27"/>
      <c r="AF1054" s="27"/>
      <c r="AG1054" s="27"/>
      <c r="AH1054" s="27"/>
      <c r="AI1054" s="25">
        <v>228619</v>
      </c>
      <c r="AJ1054" s="25">
        <v>160033</v>
      </c>
      <c r="AK1054" s="25">
        <v>5441</v>
      </c>
      <c r="AL1054" s="25">
        <v>285400</v>
      </c>
      <c r="AM1054" s="25">
        <v>46000</v>
      </c>
      <c r="AN1054" s="25">
        <v>239400</v>
      </c>
      <c r="AO1054" s="25">
        <v>0</v>
      </c>
      <c r="AP1054" s="25">
        <f>Lookups!$B$56*0</f>
        <v>0</v>
      </c>
      <c r="AQ1054" s="25">
        <f>Lookups!$B$56*1</f>
        <v>89850.625589999996</v>
      </c>
      <c r="AR1054" s="25">
        <f>Lookups!$B$57*Inventory[[#This Row],[LnAcres]]</f>
        <v>-62236.546971921947</v>
      </c>
      <c r="AS1054" s="25">
        <f>VLOOKUP(Inventory[[#This Row],[Qlty]],Lookups!$A$62:$E$75,2,FALSE)</f>
        <v>21557.329055999999</v>
      </c>
      <c r="AT1054" s="25">
        <f>VLOOKUP(Inventory[[#This Row],[Cnd]],Lookups!$A$76:$E$84,2,FALSE)</f>
        <v>197752.34721000001</v>
      </c>
      <c r="AU1054" s="25">
        <f>Inventory[[#This Row],[EffAge]]*Lookups!$B$85</f>
        <v>-11598.371226000001</v>
      </c>
      <c r="AV1054" s="25">
        <f>Inventory[[#This Row],[MainFn]]*Lookups!$B$86</f>
        <v>65466.487587025003</v>
      </c>
      <c r="AW1054" s="25">
        <f>Inventory[[#This Row],[UpprFn]]*Lookups!$B$87</f>
        <v>0</v>
      </c>
      <c r="AX1054" s="25">
        <f>Inventory[[#This Row],[AddFn]]*Lookups!$B$88</f>
        <v>0</v>
      </c>
      <c r="AY1054" s="25">
        <f>Inventory[[#This Row],[Bsmt]]*Lookups!$B$89</f>
        <v>0</v>
      </c>
      <c r="AZ1054" s="25">
        <f>Inventory[[#This Row],[Fixtures]]*Lookups!$B$90</f>
        <v>26544.1547364</v>
      </c>
      <c r="BA1054" s="25">
        <f>Inventory[[#This Row],[WdDeck]]*Lookups!$B$91</f>
        <v>0</v>
      </c>
      <c r="BB1054" s="25">
        <f>ROUND(Inventory[[#This Row],[25Det]],-2)</f>
        <v>5400</v>
      </c>
      <c r="BC1054" s="25">
        <f>ROUND(SUM(Inventory[[#This Row],[Mdl Qlty]:[Mdl WdDeck]])+Inventory[[#This Row],[Mdl Res Intercept]],-2)</f>
        <v>299700</v>
      </c>
      <c r="BD1054" s="25">
        <f>ROUND(Inventory[[#This Row],[Mdl Land Intercept]]+Inventory[[#This Row],[Mdl LnAcres]],-2)</f>
        <v>27600</v>
      </c>
      <c r="BE1054" s="25">
        <f>Inventory[[#This Row],[Unadj Res Value]]+Inventory[[#This Row],[Unadj Det Value]]+Inventory[[#This Row],[Unadj Land Value]]</f>
        <v>332700</v>
      </c>
      <c r="BF1054" s="36">
        <f>(Inventory[[#This Row],[Unadj Total Value]]-Inventory[[#This Row],[24Final]])/Inventory[[#This Row],[24Final]]</f>
        <v>0.1657323055360897</v>
      </c>
      <c r="BG1054" s="25">
        <f>VLOOKUP(Inventory[[#This Row],[Nbhd]],Lookups!$Q$2:$T$4,4,FALSE)</f>
        <v>0.99970000000000003</v>
      </c>
      <c r="BH1054" s="25">
        <f>VLOOKUP(Inventory[[#This Row],[Qlty]],Lookups!$O$7:$R$21,4,FALSE)</f>
        <v>1.0067999999999999</v>
      </c>
      <c r="BI1054" s="25">
        <f>VLOOKUP(Inventory[[#This Row],[Cnd]],Lookups!$T$7:$W$16,4,FALSE)</f>
        <v>0.99650000000000005</v>
      </c>
      <c r="BJ1054" s="25">
        <f>VLOOKUP(Inventory[[#This Row],[LivArea Range]],Lookups!$T$25:$W$37,4,FALSE)</f>
        <v>1.0157</v>
      </c>
      <c r="BK1054" s="25">
        <f>VLOOKUP(Inventory[[#This Row],[Decade]],Lookups!$O$25:$R$42,4,FALSE)</f>
        <v>0.995</v>
      </c>
      <c r="BL1054" s="25">
        <f>Inventory[[#This Row],[Nbhd Adj]]*0.95</f>
        <v>0.94971499999999998</v>
      </c>
      <c r="BM1054" s="25">
        <f>Inventory[[#This Row],[Nbhd Adj]]*Inventory[[#This Row],[Quality Adj]]*Inventory[[#This Row],[Condition Adj]]*Inventory[[#This Row],[Living Area Adj]]*Inventory[[#This Row],[Decade Adj]]*0.95</f>
        <v>0.96294690248840986</v>
      </c>
      <c r="BN1054" s="25">
        <f>ROUND(SUM(Inventory[[#This Row],[Mdl Qlty]:[Mdl WdDeck]])+Inventory[[#This Row],[Mdl Res Intercept]]*Inventory[[#This Row],[Res Adj ]],-2)</f>
        <v>299700</v>
      </c>
      <c r="BO1054" s="25">
        <f>ROUND(Inventory[[#This Row],[25Det]]*Inventory[[#This Row],[Det/Nbhd Adj]],-2)</f>
        <v>5200</v>
      </c>
      <c r="BP1054" s="25">
        <f>Inventory[[#This Row],[Adjusted Res]]+Inventory[[#This Row],[Adj Det ]]</f>
        <v>304900</v>
      </c>
      <c r="BQ1054" s="25">
        <f>ROUND((Inventory[[#This Row],[Mdl Land Intercept]]+Inventory[[#This Row],[Mdl LnAcres]])*Inventory[[#This Row],[Det/Nbhd Adj]],-2)</f>
        <v>26200</v>
      </c>
      <c r="BR1054" s="25">
        <f>Inventory[[#This Row],[Adjusted Impr Total]]+Inventory[[#This Row],[Adjusted Land Total]]</f>
        <v>331100</v>
      </c>
      <c r="BS1054" s="36">
        <f>IFERROR((Inventory[[#This Row],[Adjusted Impr Total]]-Inventory[[#This Row],[24Bldg]])/Inventory[[#This Row],[24Bldg]],0)</f>
        <v>0.27360066833751046</v>
      </c>
      <c r="BT1054" s="36">
        <f>(Inventory[[#This Row],[Adjusted Land Total]]-Inventory[[#This Row],[24Lnd]])/Inventory[[#This Row],[24Lnd]]</f>
        <v>-0.43043478260869567</v>
      </c>
      <c r="BU1054" s="36">
        <f>(Inventory[[#This Row],[Adjusted Total]]-Inventory[[#This Row],[24Final]])/Inventory[[#This Row],[24Final]]</f>
        <v>0.16012613875262788</v>
      </c>
    </row>
    <row r="1055" spans="1:73" x14ac:dyDescent="0.3">
      <c r="A1055" s="25">
        <v>2025</v>
      </c>
      <c r="B1055" s="26" t="s">
        <v>2257</v>
      </c>
      <c r="C1055" s="26">
        <f>LN(Inventory[[#This Row],[Acres]])</f>
        <v>-1.7147984280919266</v>
      </c>
      <c r="D1055" s="25">
        <v>0.18</v>
      </c>
      <c r="E1055" s="25">
        <v>7923</v>
      </c>
      <c r="F1055" s="26" t="s">
        <v>537</v>
      </c>
      <c r="G1055" s="26" t="s">
        <v>126</v>
      </c>
      <c r="H1055" s="26" t="s">
        <v>349</v>
      </c>
      <c r="I1055" s="26" t="s">
        <v>538</v>
      </c>
      <c r="J1055" s="26" t="s">
        <v>539</v>
      </c>
      <c r="K1055" s="26" t="s">
        <v>269</v>
      </c>
      <c r="L1055" s="26" t="s">
        <v>351</v>
      </c>
      <c r="M1055" s="26" t="s">
        <v>303</v>
      </c>
      <c r="N1055" s="26">
        <v>80</v>
      </c>
      <c r="O1055" s="26">
        <f>2024-Inventory[[#This Row],[YrBlt]]</f>
        <v>79</v>
      </c>
      <c r="P1055" s="26">
        <f>2024-Inventory[[#This Row],[EffYr]]</f>
        <v>52</v>
      </c>
      <c r="Q1055" s="25">
        <v>1945</v>
      </c>
      <c r="R1055" s="25">
        <v>1972</v>
      </c>
      <c r="S1055" s="25">
        <v>1041</v>
      </c>
      <c r="T1055" s="27"/>
      <c r="U1055" s="32">
        <v>1041</v>
      </c>
      <c r="V1055" s="32">
        <f>Inventory[[#This Row],[Bsmt]]-Inventory[[#This Row],[FnBsmt]]</f>
        <v>1041</v>
      </c>
      <c r="W1055" s="27"/>
      <c r="X1055" s="27"/>
      <c r="Y1055" s="27">
        <f>Inventory[[#This Row],[MainFn]]+Inventory[[#This Row],[UpprFn]]+Inventory[[#This Row],[FnBsmt]]+Inventory[[#This Row],[AddFn]]</f>
        <v>1041</v>
      </c>
      <c r="Z1055" s="27">
        <v>1500</v>
      </c>
      <c r="AA1055" s="25">
        <v>6</v>
      </c>
      <c r="AB1055" s="27"/>
      <c r="AC1055" s="27"/>
      <c r="AD1055" s="32">
        <v>266</v>
      </c>
      <c r="AE1055" s="27"/>
      <c r="AF1055" s="27"/>
      <c r="AG1055" s="27"/>
      <c r="AH1055" s="27"/>
      <c r="AI1055" s="25">
        <v>221240</v>
      </c>
      <c r="AJ1055" s="25">
        <v>154868</v>
      </c>
      <c r="AK1055" s="25">
        <v>0</v>
      </c>
      <c r="AL1055" s="25">
        <v>308900</v>
      </c>
      <c r="AM1055" s="25">
        <v>54700</v>
      </c>
      <c r="AN1055" s="25">
        <v>254200</v>
      </c>
      <c r="AO1055" s="25">
        <v>0</v>
      </c>
      <c r="AP1055" s="25">
        <f>Lookups!$B$56*0</f>
        <v>0</v>
      </c>
      <c r="AQ1055" s="25">
        <f>Lookups!$B$56*1</f>
        <v>89850.625589999996</v>
      </c>
      <c r="AR1055" s="25">
        <f>Lookups!$B$57*Inventory[[#This Row],[LnAcres]]</f>
        <v>-54281.285314520763</v>
      </c>
      <c r="AS1055" s="25">
        <f>VLOOKUP(Inventory[[#This Row],[Qlty]],Lookups!$A$62:$E$75,2,FALSE)</f>
        <v>21557.329055999999</v>
      </c>
      <c r="AT1055" s="25">
        <f>VLOOKUP(Inventory[[#This Row],[Cnd]],Lookups!$A$76:$E$84,2,FALSE)</f>
        <v>197752.34721000001</v>
      </c>
      <c r="AU1055" s="25">
        <f>Inventory[[#This Row],[EffAge]]*Lookups!$B$85</f>
        <v>-11598.371226000001</v>
      </c>
      <c r="AV1055" s="25">
        <f>Inventory[[#This Row],[MainFn]]*Lookups!$B$86</f>
        <v>51434.425341957001</v>
      </c>
      <c r="AW1055" s="25">
        <f>Inventory[[#This Row],[UpprFn]]*Lookups!$B$87</f>
        <v>0</v>
      </c>
      <c r="AX1055" s="25">
        <f>Inventory[[#This Row],[AddFn]]*Lookups!$B$88</f>
        <v>0</v>
      </c>
      <c r="AY1055" s="25">
        <f>Inventory[[#This Row],[Bsmt]]*Lookups!$B$89</f>
        <v>30274.252952126997</v>
      </c>
      <c r="AZ1055" s="25">
        <f>Inventory[[#This Row],[Fixtures]]*Lookups!$B$90</f>
        <v>22752.132631200002</v>
      </c>
      <c r="BA1055" s="25">
        <f>Inventory[[#This Row],[WdDeck]]*Lookups!$B$91</f>
        <v>8856.6070634160005</v>
      </c>
      <c r="BB1055" s="25">
        <f>ROUND(Inventory[[#This Row],[25Det]],-2)</f>
        <v>0</v>
      </c>
      <c r="BC1055" s="25">
        <f>ROUND(SUM(Inventory[[#This Row],[Mdl Qlty]:[Mdl WdDeck]])+Inventory[[#This Row],[Mdl Res Intercept]],-2)</f>
        <v>321000</v>
      </c>
      <c r="BD1055" s="25">
        <f>ROUND(Inventory[[#This Row],[Mdl Land Intercept]]+Inventory[[#This Row],[Mdl LnAcres]],-2)</f>
        <v>35600</v>
      </c>
      <c r="BE1055" s="25">
        <f>Inventory[[#This Row],[Unadj Res Value]]+Inventory[[#This Row],[Unadj Det Value]]+Inventory[[#This Row],[Unadj Land Value]]</f>
        <v>356600</v>
      </c>
      <c r="BF1055" s="36">
        <f>(Inventory[[#This Row],[Unadj Total Value]]-Inventory[[#This Row],[24Final]])/Inventory[[#This Row],[24Final]]</f>
        <v>0.15441890579475559</v>
      </c>
      <c r="BG1055" s="25">
        <f>VLOOKUP(Inventory[[#This Row],[Nbhd]],Lookups!$Q$2:$T$4,4,FALSE)</f>
        <v>0.99970000000000003</v>
      </c>
      <c r="BH1055" s="25">
        <f>VLOOKUP(Inventory[[#This Row],[Qlty]],Lookups!$O$7:$R$21,4,FALSE)</f>
        <v>1.0067999999999999</v>
      </c>
      <c r="BI1055" s="25">
        <f>VLOOKUP(Inventory[[#This Row],[Cnd]],Lookups!$T$7:$W$16,4,FALSE)</f>
        <v>0.99650000000000005</v>
      </c>
      <c r="BJ1055" s="25">
        <f>VLOOKUP(Inventory[[#This Row],[LivArea Range]],Lookups!$T$25:$W$37,4,FALSE)</f>
        <v>1.0157</v>
      </c>
      <c r="BK1055" s="25">
        <f>VLOOKUP(Inventory[[#This Row],[Decade]],Lookups!$O$25:$R$42,4,FALSE)</f>
        <v>0.995</v>
      </c>
      <c r="BL1055" s="25">
        <f>Inventory[[#This Row],[Nbhd Adj]]*0.95</f>
        <v>0.94971499999999998</v>
      </c>
      <c r="BM1055" s="25">
        <f>Inventory[[#This Row],[Nbhd Adj]]*Inventory[[#This Row],[Quality Adj]]*Inventory[[#This Row],[Condition Adj]]*Inventory[[#This Row],[Living Area Adj]]*Inventory[[#This Row],[Decade Adj]]*0.95</f>
        <v>0.96294690248840986</v>
      </c>
      <c r="BN1055" s="25">
        <f>ROUND(SUM(Inventory[[#This Row],[Mdl Qlty]:[Mdl WdDeck]])+Inventory[[#This Row],[Mdl Res Intercept]]*Inventory[[#This Row],[Res Adj ]],-2)</f>
        <v>321000</v>
      </c>
      <c r="BO1055" s="25">
        <f>ROUND(Inventory[[#This Row],[25Det]]*Inventory[[#This Row],[Det/Nbhd Adj]],-2)</f>
        <v>0</v>
      </c>
      <c r="BP1055" s="25">
        <f>Inventory[[#This Row],[Adjusted Res]]+Inventory[[#This Row],[Adj Det ]]</f>
        <v>321000</v>
      </c>
      <c r="BQ1055" s="25">
        <f>ROUND((Inventory[[#This Row],[Mdl Land Intercept]]+Inventory[[#This Row],[Mdl LnAcres]])*Inventory[[#This Row],[Det/Nbhd Adj]],-2)</f>
        <v>33800</v>
      </c>
      <c r="BR1055" s="25">
        <f>Inventory[[#This Row],[Adjusted Impr Total]]+Inventory[[#This Row],[Adjusted Land Total]]</f>
        <v>354800</v>
      </c>
      <c r="BS1055" s="36">
        <f>IFERROR((Inventory[[#This Row],[Adjusted Impr Total]]-Inventory[[#This Row],[24Bldg]])/Inventory[[#This Row],[24Bldg]],0)</f>
        <v>0.26278520849724624</v>
      </c>
      <c r="BT1055" s="36">
        <f>(Inventory[[#This Row],[Adjusted Land Total]]-Inventory[[#This Row],[24Lnd]])/Inventory[[#This Row],[24Lnd]]</f>
        <v>-0.38208409506398539</v>
      </c>
      <c r="BU1055" s="36">
        <f>(Inventory[[#This Row],[Adjusted Total]]-Inventory[[#This Row],[24Final]])/Inventory[[#This Row],[24Final]]</f>
        <v>0.14859177727419878</v>
      </c>
    </row>
    <row r="1056" spans="1:73" x14ac:dyDescent="0.3">
      <c r="A1056" s="25">
        <v>2025</v>
      </c>
      <c r="B1056" s="26" t="s">
        <v>841</v>
      </c>
      <c r="C1056" s="26">
        <f>LN(Inventory[[#This Row],[Acres]])</f>
        <v>-1.7147984280919266</v>
      </c>
      <c r="D1056" s="25">
        <v>0.18</v>
      </c>
      <c r="E1056" s="25">
        <v>7752</v>
      </c>
      <c r="F1056" s="26" t="s">
        <v>537</v>
      </c>
      <c r="G1056" s="26" t="s">
        <v>126</v>
      </c>
      <c r="H1056" s="26" t="s">
        <v>349</v>
      </c>
      <c r="I1056" s="26" t="s">
        <v>538</v>
      </c>
      <c r="J1056" s="26" t="s">
        <v>539</v>
      </c>
      <c r="K1056" s="26" t="s">
        <v>242</v>
      </c>
      <c r="L1056" s="26" t="s">
        <v>351</v>
      </c>
      <c r="M1056" s="26" t="s">
        <v>323</v>
      </c>
      <c r="N1056" s="26">
        <v>80</v>
      </c>
      <c r="O1056" s="26">
        <f>2024-Inventory[[#This Row],[YrBlt]]</f>
        <v>79</v>
      </c>
      <c r="P1056" s="26">
        <f>2024-Inventory[[#This Row],[EffYr]]</f>
        <v>52</v>
      </c>
      <c r="Q1056" s="25">
        <v>1945</v>
      </c>
      <c r="R1056" s="25">
        <v>1972</v>
      </c>
      <c r="S1056" s="25">
        <v>1355</v>
      </c>
      <c r="T1056" s="27"/>
      <c r="U1056" s="32">
        <v>1019</v>
      </c>
      <c r="V1056" s="32">
        <f>Inventory[[#This Row],[Bsmt]]-Inventory[[#This Row],[FnBsmt]]</f>
        <v>1019</v>
      </c>
      <c r="W1056" s="32">
        <v>0</v>
      </c>
      <c r="X1056" s="27"/>
      <c r="Y1056" s="27">
        <f>Inventory[[#This Row],[MainFn]]+Inventory[[#This Row],[UpprFn]]+Inventory[[#This Row],[FnBsmt]]+Inventory[[#This Row],[AddFn]]</f>
        <v>1355</v>
      </c>
      <c r="Z1056" s="27">
        <v>1500</v>
      </c>
      <c r="AA1056" s="25">
        <v>7</v>
      </c>
      <c r="AB1056" s="27"/>
      <c r="AC1056" s="27"/>
      <c r="AD1056" s="32">
        <v>576</v>
      </c>
      <c r="AE1056" s="27"/>
      <c r="AF1056" s="27"/>
      <c r="AG1056" s="27"/>
      <c r="AH1056" s="27"/>
      <c r="AI1056" s="25">
        <v>291388</v>
      </c>
      <c r="AJ1056" s="25">
        <v>198144</v>
      </c>
      <c r="AK1056" s="25">
        <v>6313</v>
      </c>
      <c r="AL1056" s="25">
        <v>307700</v>
      </c>
      <c r="AM1056" s="25">
        <v>54700</v>
      </c>
      <c r="AN1056" s="25">
        <v>253000</v>
      </c>
      <c r="AO1056" s="25">
        <v>0</v>
      </c>
      <c r="AP1056" s="25">
        <f>Lookups!$B$56*0</f>
        <v>0</v>
      </c>
      <c r="AQ1056" s="25">
        <f>Lookups!$B$56*1</f>
        <v>89850.625589999996</v>
      </c>
      <c r="AR1056" s="25">
        <f>Lookups!$B$57*Inventory[[#This Row],[LnAcres]]</f>
        <v>-54281.285314520763</v>
      </c>
      <c r="AS1056" s="25">
        <f>VLOOKUP(Inventory[[#This Row],[Qlty]],Lookups!$A$62:$E$75,2,FALSE)</f>
        <v>21557.329055999999</v>
      </c>
      <c r="AT1056" s="25">
        <f>VLOOKUP(Inventory[[#This Row],[Cnd]],Lookups!$A$76:$E$84,2,FALSE)</f>
        <v>160472.20319</v>
      </c>
      <c r="AU1056" s="25">
        <f>Inventory[[#This Row],[EffAge]]*Lookups!$B$85</f>
        <v>-11598.371226000001</v>
      </c>
      <c r="AV1056" s="25">
        <f>Inventory[[#This Row],[MainFn]]*Lookups!$B$86</f>
        <v>66948.747683335008</v>
      </c>
      <c r="AW1056" s="25">
        <f>Inventory[[#This Row],[UpprFn]]*Lookups!$B$87</f>
        <v>0</v>
      </c>
      <c r="AX1056" s="25">
        <f>Inventory[[#This Row],[AddFn]]*Lookups!$B$88</f>
        <v>0</v>
      </c>
      <c r="AY1056" s="25">
        <f>Inventory[[#This Row],[Bsmt]]*Lookups!$B$89</f>
        <v>29634.451256692999</v>
      </c>
      <c r="AZ1056" s="25">
        <f>Inventory[[#This Row],[Fixtures]]*Lookups!$B$90</f>
        <v>26544.1547364</v>
      </c>
      <c r="BA1056" s="25">
        <f>Inventory[[#This Row],[WdDeck]]*Lookups!$B$91</f>
        <v>19178.216798976002</v>
      </c>
      <c r="BB1056" s="25">
        <f>ROUND(Inventory[[#This Row],[25Det]],-2)</f>
        <v>6300</v>
      </c>
      <c r="BC1056" s="25">
        <f>ROUND(SUM(Inventory[[#This Row],[Mdl Qlty]:[Mdl WdDeck]])+Inventory[[#This Row],[Mdl Res Intercept]],-2)</f>
        <v>312700</v>
      </c>
      <c r="BD1056" s="25">
        <f>ROUND(Inventory[[#This Row],[Mdl Land Intercept]]+Inventory[[#This Row],[Mdl LnAcres]],-2)</f>
        <v>35600</v>
      </c>
      <c r="BE1056" s="25">
        <f>Inventory[[#This Row],[Unadj Res Value]]+Inventory[[#This Row],[Unadj Det Value]]+Inventory[[#This Row],[Unadj Land Value]]</f>
        <v>354600</v>
      </c>
      <c r="BF1056" s="36">
        <f>(Inventory[[#This Row],[Unadj Total Value]]-Inventory[[#This Row],[24Final]])/Inventory[[#This Row],[24Final]]</f>
        <v>0.15242118947026323</v>
      </c>
      <c r="BG1056" s="25">
        <f>VLOOKUP(Inventory[[#This Row],[Nbhd]],Lookups!$Q$2:$T$4,4,FALSE)</f>
        <v>0.99970000000000003</v>
      </c>
      <c r="BH1056" s="25">
        <f>VLOOKUP(Inventory[[#This Row],[Qlty]],Lookups!$O$7:$R$21,4,FALSE)</f>
        <v>1.0067999999999999</v>
      </c>
      <c r="BI1056" s="25">
        <f>VLOOKUP(Inventory[[#This Row],[Cnd]],Lookups!$T$7:$W$16,4,FALSE)</f>
        <v>0.99729999999999996</v>
      </c>
      <c r="BJ1056" s="25">
        <f>VLOOKUP(Inventory[[#This Row],[LivArea Range]],Lookups!$T$25:$W$37,4,FALSE)</f>
        <v>1.0157</v>
      </c>
      <c r="BK1056" s="25">
        <f>VLOOKUP(Inventory[[#This Row],[Decade]],Lookups!$O$25:$R$42,4,FALSE)</f>
        <v>0.995</v>
      </c>
      <c r="BL1056" s="25">
        <f>Inventory[[#This Row],[Nbhd Adj]]*0.95</f>
        <v>0.94971499999999998</v>
      </c>
      <c r="BM1056" s="25">
        <f>Inventory[[#This Row],[Nbhd Adj]]*Inventory[[#This Row],[Quality Adj]]*Inventory[[#This Row],[Condition Adj]]*Inventory[[#This Row],[Living Area Adj]]*Inventory[[#This Row],[Decade Adj]]*0.95</f>
        <v>0.96371996573175212</v>
      </c>
      <c r="BN1056" s="25">
        <f>ROUND(SUM(Inventory[[#This Row],[Mdl Qlty]:[Mdl WdDeck]])+Inventory[[#This Row],[Mdl Res Intercept]]*Inventory[[#This Row],[Res Adj ]],-2)</f>
        <v>312700</v>
      </c>
      <c r="BO1056" s="25">
        <f>ROUND(Inventory[[#This Row],[25Det]]*Inventory[[#This Row],[Det/Nbhd Adj]],-2)</f>
        <v>6000</v>
      </c>
      <c r="BP1056" s="25">
        <f>Inventory[[#This Row],[Adjusted Res]]+Inventory[[#This Row],[Adj Det ]]</f>
        <v>318700</v>
      </c>
      <c r="BQ1056" s="25">
        <f>ROUND((Inventory[[#This Row],[Mdl Land Intercept]]+Inventory[[#This Row],[Mdl LnAcres]])*Inventory[[#This Row],[Det/Nbhd Adj]],-2)</f>
        <v>33800</v>
      </c>
      <c r="BR1056" s="25">
        <f>Inventory[[#This Row],[Adjusted Impr Total]]+Inventory[[#This Row],[Adjusted Land Total]]</f>
        <v>352500</v>
      </c>
      <c r="BS1056" s="36">
        <f>IFERROR((Inventory[[#This Row],[Adjusted Impr Total]]-Inventory[[#This Row],[24Bldg]])/Inventory[[#This Row],[24Bldg]],0)</f>
        <v>0.25968379446640316</v>
      </c>
      <c r="BT1056" s="36">
        <f>(Inventory[[#This Row],[Adjusted Land Total]]-Inventory[[#This Row],[24Lnd]])/Inventory[[#This Row],[24Lnd]]</f>
        <v>-0.38208409506398539</v>
      </c>
      <c r="BU1056" s="36">
        <f>(Inventory[[#This Row],[Adjusted Total]]-Inventory[[#This Row],[24Final]])/Inventory[[#This Row],[24Final]]</f>
        <v>0.14559636009099772</v>
      </c>
    </row>
    <row r="1057" spans="1:73" x14ac:dyDescent="0.3">
      <c r="A1057" s="25">
        <v>2025</v>
      </c>
      <c r="B1057" s="26" t="s">
        <v>1270</v>
      </c>
      <c r="C1057" s="26">
        <f>LN(Inventory[[#This Row],[Acres]])</f>
        <v>-1.5141277326297755</v>
      </c>
      <c r="D1057" s="25">
        <v>0.22</v>
      </c>
      <c r="E1057" s="32">
        <v>9516</v>
      </c>
      <c r="F1057" s="26" t="s">
        <v>537</v>
      </c>
      <c r="G1057" s="26" t="s">
        <v>126</v>
      </c>
      <c r="H1057" s="26" t="s">
        <v>349</v>
      </c>
      <c r="I1057" s="26" t="s">
        <v>538</v>
      </c>
      <c r="J1057" s="26" t="s">
        <v>539</v>
      </c>
      <c r="K1057" s="26" t="s">
        <v>241</v>
      </c>
      <c r="L1057" s="26" t="s">
        <v>148</v>
      </c>
      <c r="M1057" s="26" t="s">
        <v>352</v>
      </c>
      <c r="N1057" s="26">
        <v>80</v>
      </c>
      <c r="O1057" s="26">
        <f>2024-Inventory[[#This Row],[YrBlt]]</f>
        <v>79</v>
      </c>
      <c r="P1057" s="26">
        <f>2024-Inventory[[#This Row],[EffYr]]</f>
        <v>52</v>
      </c>
      <c r="Q1057" s="25">
        <v>1945</v>
      </c>
      <c r="R1057" s="25">
        <v>1972</v>
      </c>
      <c r="S1057" s="25">
        <v>1423</v>
      </c>
      <c r="T1057" s="31"/>
      <c r="U1057" s="25">
        <v>1423</v>
      </c>
      <c r="V1057" s="25">
        <f>Inventory[[#This Row],[Bsmt]]-Inventory[[#This Row],[FnBsmt]]</f>
        <v>0</v>
      </c>
      <c r="W1057" s="25">
        <v>1423</v>
      </c>
      <c r="X1057" s="27"/>
      <c r="Y1057" s="27">
        <f>Inventory[[#This Row],[MainFn]]+Inventory[[#This Row],[UpprFn]]+Inventory[[#This Row],[FnBsmt]]+Inventory[[#This Row],[AddFn]]</f>
        <v>2846</v>
      </c>
      <c r="Z1057" s="27">
        <v>3000</v>
      </c>
      <c r="AA1057" s="25">
        <v>10</v>
      </c>
      <c r="AB1057" s="27"/>
      <c r="AC1057" s="27"/>
      <c r="AD1057" s="31"/>
      <c r="AE1057" s="27"/>
      <c r="AF1057" s="27"/>
      <c r="AG1057" s="31"/>
      <c r="AH1057" s="27"/>
      <c r="AI1057" s="25">
        <v>488882</v>
      </c>
      <c r="AJ1057" s="25">
        <v>347106</v>
      </c>
      <c r="AK1057" s="25">
        <v>34513</v>
      </c>
      <c r="AL1057" s="25">
        <v>473300</v>
      </c>
      <c r="AM1057" s="25">
        <v>61700</v>
      </c>
      <c r="AN1057" s="25">
        <v>411600</v>
      </c>
      <c r="AO1057" s="25">
        <v>0</v>
      </c>
      <c r="AP1057" s="25">
        <f>Lookups!$B$56*0</f>
        <v>0</v>
      </c>
      <c r="AQ1057" s="25">
        <f>Lookups!$B$56*1</f>
        <v>89850.625589999996</v>
      </c>
      <c r="AR1057" s="25">
        <f>Lookups!$B$57*Inventory[[#This Row],[LnAcres]]</f>
        <v>-47929.131559187132</v>
      </c>
      <c r="AS1057" s="25">
        <f>VLOOKUP(Inventory[[#This Row],[Qlty]],Lookups!$A$62:$E$75,2,FALSE)</f>
        <v>44121.038090000002</v>
      </c>
      <c r="AT1057" s="25">
        <f>VLOOKUP(Inventory[[#This Row],[Cnd]],Lookups!$A$76:$E$84,2,FALSE)</f>
        <v>284810.60806</v>
      </c>
      <c r="AU1057" s="25">
        <f>Inventory[[#This Row],[EffAge]]*Lookups!$B$85</f>
        <v>-11598.371226000001</v>
      </c>
      <c r="AV1057" s="25">
        <f>Inventory[[#This Row],[MainFn]]*Lookups!$B$86</f>
        <v>70308.537234971009</v>
      </c>
      <c r="AW1057" s="25">
        <f>Inventory[[#This Row],[UpprFn]]*Lookups!$B$87</f>
        <v>0</v>
      </c>
      <c r="AX1057" s="25">
        <f>Inventory[[#This Row],[AddFn]]*Lookups!$B$88</f>
        <v>0</v>
      </c>
      <c r="AY1057" s="25">
        <f>Inventory[[#This Row],[Bsmt]]*Lookups!$B$89</f>
        <v>41383.536936480996</v>
      </c>
      <c r="AZ1057" s="25">
        <f>Inventory[[#This Row],[Fixtures]]*Lookups!$B$90</f>
        <v>37920.221052000001</v>
      </c>
      <c r="BA1057" s="25">
        <f>Inventory[[#This Row],[WdDeck]]*Lookups!$B$91</f>
        <v>0</v>
      </c>
      <c r="BB1057" s="25">
        <f>ROUND(Inventory[[#This Row],[25Det]],-2)</f>
        <v>34500</v>
      </c>
      <c r="BC1057" s="25">
        <f>ROUND(SUM(Inventory[[#This Row],[Mdl Qlty]:[Mdl WdDeck]])+Inventory[[#This Row],[Mdl Res Intercept]],-2)</f>
        <v>466900</v>
      </c>
      <c r="BD1057" s="25">
        <f>ROUND(Inventory[[#This Row],[Mdl Land Intercept]]+Inventory[[#This Row],[Mdl LnAcres]],-2)</f>
        <v>41900</v>
      </c>
      <c r="BE1057" s="25">
        <f>Inventory[[#This Row],[Unadj Res Value]]+Inventory[[#This Row],[Unadj Det Value]]+Inventory[[#This Row],[Unadj Land Value]]</f>
        <v>543300</v>
      </c>
      <c r="BF1057" s="36">
        <f>(Inventory[[#This Row],[Unadj Total Value]]-Inventory[[#This Row],[24Final]])/Inventory[[#This Row],[24Final]]</f>
        <v>0.1478977392774139</v>
      </c>
      <c r="BG1057" s="25">
        <f>VLOOKUP(Inventory[[#This Row],[Nbhd]],Lookups!$Q$2:$T$4,4,FALSE)</f>
        <v>0.99970000000000003</v>
      </c>
      <c r="BH1057" s="25">
        <f>VLOOKUP(Inventory[[#This Row],[Qlty]],Lookups!$O$7:$R$21,4,FALSE)</f>
        <v>0.98050000000000004</v>
      </c>
      <c r="BI1057" s="25">
        <f>VLOOKUP(Inventory[[#This Row],[Cnd]],Lookups!$T$7:$W$16,4,FALSE)</f>
        <v>1.0158</v>
      </c>
      <c r="BJ1057" s="25">
        <f>VLOOKUP(Inventory[[#This Row],[LivArea Range]],Lookups!$T$25:$W$37,4,FALSE)</f>
        <v>0.96179999999999999</v>
      </c>
      <c r="BK1057" s="25">
        <f>VLOOKUP(Inventory[[#This Row],[Decade]],Lookups!$O$25:$R$42,4,FALSE)</f>
        <v>0.995</v>
      </c>
      <c r="BL1057" s="25">
        <f>Inventory[[#This Row],[Nbhd Adj]]*0.95</f>
        <v>0.94971499999999998</v>
      </c>
      <c r="BM1057" s="25">
        <f>Inventory[[#This Row],[Nbhd Adj]]*Inventory[[#This Row],[Quality Adj]]*Inventory[[#This Row],[Condition Adj]]*Inventory[[#This Row],[Living Area Adj]]*Inventory[[#This Row],[Decade Adj]]*0.95</f>
        <v>0.90522587089820872</v>
      </c>
      <c r="BN1057" s="25">
        <f>ROUND(SUM(Inventory[[#This Row],[Mdl Qlty]:[Mdl WdDeck]])+Inventory[[#This Row],[Mdl Res Intercept]]*Inventory[[#This Row],[Res Adj ]],-2)</f>
        <v>466900</v>
      </c>
      <c r="BO1057" s="25">
        <f>ROUND(Inventory[[#This Row],[25Det]]*Inventory[[#This Row],[Det/Nbhd Adj]],-2)</f>
        <v>32800</v>
      </c>
      <c r="BP1057" s="25">
        <f>Inventory[[#This Row],[Adjusted Res]]+Inventory[[#This Row],[Adj Det ]]</f>
        <v>499700</v>
      </c>
      <c r="BQ1057" s="25">
        <f>ROUND((Inventory[[#This Row],[Mdl Land Intercept]]+Inventory[[#This Row],[Mdl LnAcres]])*Inventory[[#This Row],[Det/Nbhd Adj]],-2)</f>
        <v>39800</v>
      </c>
      <c r="BR1057" s="25">
        <f>Inventory[[#This Row],[Adjusted Impr Total]]+Inventory[[#This Row],[Adjusted Land Total]]</f>
        <v>539500</v>
      </c>
      <c r="BS1057" s="36">
        <f>IFERROR((Inventory[[#This Row],[Adjusted Impr Total]]-Inventory[[#This Row],[24Bldg]])/Inventory[[#This Row],[24Bldg]],0)</f>
        <v>0.21404275996112732</v>
      </c>
      <c r="BT1057" s="36">
        <f>(Inventory[[#This Row],[Adjusted Land Total]]-Inventory[[#This Row],[24Lnd]])/Inventory[[#This Row],[24Lnd]]</f>
        <v>-0.35494327390599678</v>
      </c>
      <c r="BU1057" s="36">
        <f>(Inventory[[#This Row],[Adjusted Total]]-Inventory[[#This Row],[24Final]])/Inventory[[#This Row],[24Final]]</f>
        <v>0.13986900485949716</v>
      </c>
    </row>
    <row r="1058" spans="1:73" x14ac:dyDescent="0.3">
      <c r="A1058" s="25">
        <v>2025</v>
      </c>
      <c r="B1058" s="26" t="s">
        <v>2306</v>
      </c>
      <c r="C1058" s="26">
        <f>LN(Inventory[[#This Row],[Acres]])</f>
        <v>-1.2378743560016174</v>
      </c>
      <c r="D1058" s="25">
        <v>0.28999999999999998</v>
      </c>
      <c r="E1058" s="25">
        <v>12518</v>
      </c>
      <c r="F1058" s="26" t="s">
        <v>537</v>
      </c>
      <c r="G1058" s="26" t="s">
        <v>126</v>
      </c>
      <c r="H1058" s="26" t="s">
        <v>349</v>
      </c>
      <c r="I1058" s="26" t="s">
        <v>538</v>
      </c>
      <c r="J1058" s="26" t="s">
        <v>539</v>
      </c>
      <c r="K1058" s="26" t="s">
        <v>147</v>
      </c>
      <c r="L1058" s="26" t="s">
        <v>351</v>
      </c>
      <c r="M1058" s="26" t="s">
        <v>323</v>
      </c>
      <c r="N1058" s="26">
        <v>80</v>
      </c>
      <c r="O1058" s="26">
        <f>2024-Inventory[[#This Row],[YrBlt]]</f>
        <v>79</v>
      </c>
      <c r="P1058" s="26">
        <f>2024-Inventory[[#This Row],[EffYr]]</f>
        <v>52</v>
      </c>
      <c r="Q1058" s="25">
        <v>1945</v>
      </c>
      <c r="R1058" s="25">
        <v>1972</v>
      </c>
      <c r="S1058" s="25">
        <v>864</v>
      </c>
      <c r="T1058" s="32">
        <v>648</v>
      </c>
      <c r="U1058" s="32">
        <v>864</v>
      </c>
      <c r="V1058" s="32">
        <f>Inventory[[#This Row],[Bsmt]]-Inventory[[#This Row],[FnBsmt]]</f>
        <v>605</v>
      </c>
      <c r="W1058" s="32">
        <v>259</v>
      </c>
      <c r="X1058" s="27"/>
      <c r="Y1058" s="27">
        <f>Inventory[[#This Row],[MainFn]]+Inventory[[#This Row],[UpprFn]]+Inventory[[#This Row],[FnBsmt]]+Inventory[[#This Row],[AddFn]]</f>
        <v>1771</v>
      </c>
      <c r="Z1058" s="27">
        <v>2000</v>
      </c>
      <c r="AA1058" s="25">
        <v>8</v>
      </c>
      <c r="AB1058" s="32">
        <v>300</v>
      </c>
      <c r="AC1058" s="27"/>
      <c r="AD1058" s="32">
        <v>760</v>
      </c>
      <c r="AE1058" s="27"/>
      <c r="AF1058" s="27"/>
      <c r="AG1058" s="31"/>
      <c r="AH1058" s="27"/>
      <c r="AI1058" s="25">
        <v>298200</v>
      </c>
      <c r="AJ1058" s="25">
        <v>202776</v>
      </c>
      <c r="AK1058" s="25">
        <v>25123</v>
      </c>
      <c r="AL1058" s="25">
        <v>349800</v>
      </c>
      <c r="AM1058" s="25">
        <v>71400</v>
      </c>
      <c r="AN1058" s="25">
        <v>278400</v>
      </c>
      <c r="AO1058" s="25">
        <v>0</v>
      </c>
      <c r="AP1058" s="25">
        <f>Lookups!$B$56*0</f>
        <v>0</v>
      </c>
      <c r="AQ1058" s="25">
        <f>Lookups!$B$56*1</f>
        <v>89850.625589999996</v>
      </c>
      <c r="AR1058" s="25">
        <f>Lookups!$B$57*Inventory[[#This Row],[LnAcres]]</f>
        <v>-39184.437074869042</v>
      </c>
      <c r="AS1058" s="25">
        <f>VLOOKUP(Inventory[[#This Row],[Qlty]],Lookups!$A$62:$E$75,2,FALSE)</f>
        <v>21557.329055999999</v>
      </c>
      <c r="AT1058" s="25">
        <f>VLOOKUP(Inventory[[#This Row],[Cnd]],Lookups!$A$76:$E$84,2,FALSE)</f>
        <v>160472.20319</v>
      </c>
      <c r="AU1058" s="25">
        <f>Inventory[[#This Row],[EffAge]]*Lookups!$B$85</f>
        <v>-11598.371226000001</v>
      </c>
      <c r="AV1058" s="25">
        <f>Inventory[[#This Row],[MainFn]]*Lookups!$B$86</f>
        <v>42689.090773727999</v>
      </c>
      <c r="AW1058" s="25">
        <f>Inventory[[#This Row],[UpprFn]]*Lookups!$B$87</f>
        <v>29021.602013927997</v>
      </c>
      <c r="AX1058" s="25">
        <f>Inventory[[#This Row],[AddFn]]*Lookups!$B$88</f>
        <v>0</v>
      </c>
      <c r="AY1058" s="25">
        <f>Inventory[[#This Row],[Bsmt]]*Lookups!$B$89</f>
        <v>25126.757493408</v>
      </c>
      <c r="AZ1058" s="25">
        <f>Inventory[[#This Row],[Fixtures]]*Lookups!$B$90</f>
        <v>30336.176841600001</v>
      </c>
      <c r="BA1058" s="25">
        <f>Inventory[[#This Row],[WdDeck]]*Lookups!$B$91</f>
        <v>25304.591609760002</v>
      </c>
      <c r="BB1058" s="25">
        <f>ROUND(Inventory[[#This Row],[25Det]],-2)</f>
        <v>25100</v>
      </c>
      <c r="BC1058" s="25">
        <f>ROUND(SUM(Inventory[[#This Row],[Mdl Qlty]:[Mdl WdDeck]])+Inventory[[#This Row],[Mdl Res Intercept]],-2)</f>
        <v>322900</v>
      </c>
      <c r="BD1058" s="25">
        <f>ROUND(Inventory[[#This Row],[Mdl Land Intercept]]+Inventory[[#This Row],[Mdl LnAcres]],-2)</f>
        <v>50700</v>
      </c>
      <c r="BE1058" s="25">
        <f>Inventory[[#This Row],[Unadj Res Value]]+Inventory[[#This Row],[Unadj Det Value]]+Inventory[[#This Row],[Unadj Land Value]]</f>
        <v>398700</v>
      </c>
      <c r="BF1058" s="36">
        <f>(Inventory[[#This Row],[Unadj Total Value]]-Inventory[[#This Row],[24Final]])/Inventory[[#This Row],[24Final]]</f>
        <v>0.13979416809605488</v>
      </c>
      <c r="BG1058" s="25">
        <f>VLOOKUP(Inventory[[#This Row],[Nbhd]],Lookups!$Q$2:$T$4,4,FALSE)</f>
        <v>0.99970000000000003</v>
      </c>
      <c r="BH1058" s="25">
        <f>VLOOKUP(Inventory[[#This Row],[Qlty]],Lookups!$O$7:$R$21,4,FALSE)</f>
        <v>1.0067999999999999</v>
      </c>
      <c r="BI1058" s="25">
        <f>VLOOKUP(Inventory[[#This Row],[Cnd]],Lookups!$T$7:$W$16,4,FALSE)</f>
        <v>0.99729999999999996</v>
      </c>
      <c r="BJ1058" s="25">
        <f>VLOOKUP(Inventory[[#This Row],[LivArea Range]],Lookups!$T$25:$W$37,4,FALSE)</f>
        <v>1.0093000000000001</v>
      </c>
      <c r="BK1058" s="25">
        <f>VLOOKUP(Inventory[[#This Row],[Decade]],Lookups!$O$25:$R$42,4,FALSE)</f>
        <v>0.995</v>
      </c>
      <c r="BL1058" s="25">
        <f>Inventory[[#This Row],[Nbhd Adj]]*0.95</f>
        <v>0.94971499999999998</v>
      </c>
      <c r="BM1058" s="25">
        <f>Inventory[[#This Row],[Nbhd Adj]]*Inventory[[#This Row],[Quality Adj]]*Inventory[[#This Row],[Condition Adj]]*Inventory[[#This Row],[Living Area Adj]]*Inventory[[#This Row],[Decade Adj]]*0.95</f>
        <v>0.957647495730095</v>
      </c>
      <c r="BN1058" s="25">
        <f>ROUND(SUM(Inventory[[#This Row],[Mdl Qlty]:[Mdl WdDeck]])+Inventory[[#This Row],[Mdl Res Intercept]]*Inventory[[#This Row],[Res Adj ]],-2)</f>
        <v>322900</v>
      </c>
      <c r="BO1058" s="25">
        <f>ROUND(Inventory[[#This Row],[25Det]]*Inventory[[#This Row],[Det/Nbhd Adj]],-2)</f>
        <v>23900</v>
      </c>
      <c r="BP1058" s="25">
        <f>Inventory[[#This Row],[Adjusted Res]]+Inventory[[#This Row],[Adj Det ]]</f>
        <v>346800</v>
      </c>
      <c r="BQ1058" s="25">
        <f>ROUND((Inventory[[#This Row],[Mdl Land Intercept]]+Inventory[[#This Row],[Mdl LnAcres]])*Inventory[[#This Row],[Det/Nbhd Adj]],-2)</f>
        <v>48100</v>
      </c>
      <c r="BR1058" s="25">
        <f>Inventory[[#This Row],[Adjusted Impr Total]]+Inventory[[#This Row],[Adjusted Land Total]]</f>
        <v>394900</v>
      </c>
      <c r="BS1058" s="36">
        <f>IFERROR((Inventory[[#This Row],[Adjusted Impr Total]]-Inventory[[#This Row],[24Bldg]])/Inventory[[#This Row],[24Bldg]],0)</f>
        <v>0.24568965517241378</v>
      </c>
      <c r="BT1058" s="36">
        <f>(Inventory[[#This Row],[Adjusted Land Total]]-Inventory[[#This Row],[24Lnd]])/Inventory[[#This Row],[24Lnd]]</f>
        <v>-0.32633053221288516</v>
      </c>
      <c r="BU1058" s="36">
        <f>(Inventory[[#This Row],[Adjusted Total]]-Inventory[[#This Row],[24Final]])/Inventory[[#This Row],[24Final]]</f>
        <v>0.12893081761006289</v>
      </c>
    </row>
    <row r="1059" spans="1:73" x14ac:dyDescent="0.3">
      <c r="A1059" s="25">
        <v>2025</v>
      </c>
      <c r="B1059" s="26" t="s">
        <v>785</v>
      </c>
      <c r="C1059" s="26">
        <f>LN(Inventory[[#This Row],[Acres]])</f>
        <v>-1.7147984280919266</v>
      </c>
      <c r="D1059" s="25">
        <v>0.18</v>
      </c>
      <c r="E1059" s="25">
        <v>8040</v>
      </c>
      <c r="F1059" s="26" t="s">
        <v>537</v>
      </c>
      <c r="G1059" s="26" t="s">
        <v>126</v>
      </c>
      <c r="H1059" s="26" t="s">
        <v>349</v>
      </c>
      <c r="I1059" s="26" t="s">
        <v>538</v>
      </c>
      <c r="J1059" s="26" t="s">
        <v>539</v>
      </c>
      <c r="K1059" s="26" t="s">
        <v>242</v>
      </c>
      <c r="L1059" s="26" t="s">
        <v>351</v>
      </c>
      <c r="M1059" s="26" t="s">
        <v>303</v>
      </c>
      <c r="N1059" s="26">
        <v>80</v>
      </c>
      <c r="O1059" s="26">
        <f>2024-Inventory[[#This Row],[YrBlt]]</f>
        <v>79</v>
      </c>
      <c r="P1059" s="26">
        <f>2024-Inventory[[#This Row],[EffYr]]</f>
        <v>52</v>
      </c>
      <c r="Q1059" s="25">
        <v>1945</v>
      </c>
      <c r="R1059" s="25">
        <v>1972</v>
      </c>
      <c r="S1059" s="25">
        <v>978</v>
      </c>
      <c r="T1059" s="27"/>
      <c r="U1059" s="25">
        <v>978</v>
      </c>
      <c r="V1059" s="25">
        <f>Inventory[[#This Row],[Bsmt]]-Inventory[[#This Row],[FnBsmt]]</f>
        <v>738</v>
      </c>
      <c r="W1059" s="25">
        <v>240</v>
      </c>
      <c r="X1059" s="27"/>
      <c r="Y1059" s="27">
        <f>Inventory[[#This Row],[MainFn]]+Inventory[[#This Row],[UpprFn]]+Inventory[[#This Row],[FnBsmt]]+Inventory[[#This Row],[AddFn]]</f>
        <v>1218</v>
      </c>
      <c r="Z1059" s="27">
        <v>1500</v>
      </c>
      <c r="AA1059" s="25">
        <v>5</v>
      </c>
      <c r="AB1059" s="27"/>
      <c r="AC1059" s="27"/>
      <c r="AD1059" s="31"/>
      <c r="AE1059" s="27"/>
      <c r="AF1059" s="27"/>
      <c r="AG1059" s="27"/>
      <c r="AH1059" s="27"/>
      <c r="AI1059" s="25">
        <v>210041</v>
      </c>
      <c r="AJ1059" s="25">
        <v>147029</v>
      </c>
      <c r="AK1059" s="25">
        <v>8911</v>
      </c>
      <c r="AL1059" s="25">
        <v>310100</v>
      </c>
      <c r="AM1059" s="25">
        <v>54700</v>
      </c>
      <c r="AN1059" s="25">
        <v>255400</v>
      </c>
      <c r="AO1059" s="25">
        <v>0</v>
      </c>
      <c r="AP1059" s="25">
        <f>Lookups!$B$56*0</f>
        <v>0</v>
      </c>
      <c r="AQ1059" s="25">
        <f>Lookups!$B$56*1</f>
        <v>89850.625589999996</v>
      </c>
      <c r="AR1059" s="25">
        <f>Lookups!$B$57*Inventory[[#This Row],[LnAcres]]</f>
        <v>-54281.285314520763</v>
      </c>
      <c r="AS1059" s="25">
        <f>VLOOKUP(Inventory[[#This Row],[Qlty]],Lookups!$A$62:$E$75,2,FALSE)</f>
        <v>21557.329055999999</v>
      </c>
      <c r="AT1059" s="25">
        <f>VLOOKUP(Inventory[[#This Row],[Cnd]],Lookups!$A$76:$E$84,2,FALSE)</f>
        <v>197752.34721000001</v>
      </c>
      <c r="AU1059" s="25">
        <f>Inventory[[#This Row],[EffAge]]*Lookups!$B$85</f>
        <v>-11598.371226000001</v>
      </c>
      <c r="AV1059" s="25">
        <f>Inventory[[#This Row],[MainFn]]*Lookups!$B$86</f>
        <v>48321.679139706001</v>
      </c>
      <c r="AW1059" s="25">
        <f>Inventory[[#This Row],[UpprFn]]*Lookups!$B$87</f>
        <v>0</v>
      </c>
      <c r="AX1059" s="25">
        <f>Inventory[[#This Row],[AddFn]]*Lookups!$B$88</f>
        <v>0</v>
      </c>
      <c r="AY1059" s="25">
        <f>Inventory[[#This Row],[Bsmt]]*Lookups!$B$89</f>
        <v>28442.093551565998</v>
      </c>
      <c r="AZ1059" s="25">
        <f>Inventory[[#This Row],[Fixtures]]*Lookups!$B$90</f>
        <v>18960.110526</v>
      </c>
      <c r="BA1059" s="25">
        <f>Inventory[[#This Row],[WdDeck]]*Lookups!$B$91</f>
        <v>0</v>
      </c>
      <c r="BB1059" s="25">
        <f>ROUND(Inventory[[#This Row],[25Det]],-2)</f>
        <v>8900</v>
      </c>
      <c r="BC1059" s="25">
        <f>ROUND(SUM(Inventory[[#This Row],[Mdl Qlty]:[Mdl WdDeck]])+Inventory[[#This Row],[Mdl Res Intercept]],-2)</f>
        <v>303400</v>
      </c>
      <c r="BD1059" s="25">
        <f>ROUND(Inventory[[#This Row],[Mdl Land Intercept]]+Inventory[[#This Row],[Mdl LnAcres]],-2)</f>
        <v>35600</v>
      </c>
      <c r="BE1059" s="25">
        <f>Inventory[[#This Row],[Unadj Res Value]]+Inventory[[#This Row],[Unadj Det Value]]+Inventory[[#This Row],[Unadj Land Value]]</f>
        <v>347900</v>
      </c>
      <c r="BF1059" s="36">
        <f>(Inventory[[#This Row],[Unadj Total Value]]-Inventory[[#This Row],[24Final]])/Inventory[[#This Row],[24Final]]</f>
        <v>0.12189616252821671</v>
      </c>
      <c r="BG1059" s="25">
        <f>VLOOKUP(Inventory[[#This Row],[Nbhd]],Lookups!$Q$2:$T$4,4,FALSE)</f>
        <v>0.99970000000000003</v>
      </c>
      <c r="BH1059" s="25">
        <f>VLOOKUP(Inventory[[#This Row],[Qlty]],Lookups!$O$7:$R$21,4,FALSE)</f>
        <v>1.0067999999999999</v>
      </c>
      <c r="BI1059" s="25">
        <f>VLOOKUP(Inventory[[#This Row],[Cnd]],Lookups!$T$7:$W$16,4,FALSE)</f>
        <v>0.99650000000000005</v>
      </c>
      <c r="BJ1059" s="25">
        <f>VLOOKUP(Inventory[[#This Row],[LivArea Range]],Lookups!$T$25:$W$37,4,FALSE)</f>
        <v>1.0157</v>
      </c>
      <c r="BK1059" s="25">
        <f>VLOOKUP(Inventory[[#This Row],[Decade]],Lookups!$O$25:$R$42,4,FALSE)</f>
        <v>0.995</v>
      </c>
      <c r="BL1059" s="25">
        <f>Inventory[[#This Row],[Nbhd Adj]]*0.95</f>
        <v>0.94971499999999998</v>
      </c>
      <c r="BM1059" s="25">
        <f>Inventory[[#This Row],[Nbhd Adj]]*Inventory[[#This Row],[Quality Adj]]*Inventory[[#This Row],[Condition Adj]]*Inventory[[#This Row],[Living Area Adj]]*Inventory[[#This Row],[Decade Adj]]*0.95</f>
        <v>0.96294690248840986</v>
      </c>
      <c r="BN1059" s="25">
        <f>ROUND(SUM(Inventory[[#This Row],[Mdl Qlty]:[Mdl WdDeck]])+Inventory[[#This Row],[Mdl Res Intercept]]*Inventory[[#This Row],[Res Adj ]],-2)</f>
        <v>303400</v>
      </c>
      <c r="BO1059" s="25">
        <f>ROUND(Inventory[[#This Row],[25Det]]*Inventory[[#This Row],[Det/Nbhd Adj]],-2)</f>
        <v>8500</v>
      </c>
      <c r="BP1059" s="25">
        <f>Inventory[[#This Row],[Adjusted Res]]+Inventory[[#This Row],[Adj Det ]]</f>
        <v>311900</v>
      </c>
      <c r="BQ1059" s="25">
        <f>ROUND((Inventory[[#This Row],[Mdl Land Intercept]]+Inventory[[#This Row],[Mdl LnAcres]])*Inventory[[#This Row],[Det/Nbhd Adj]],-2)</f>
        <v>33800</v>
      </c>
      <c r="BR1059" s="25">
        <f>Inventory[[#This Row],[Adjusted Impr Total]]+Inventory[[#This Row],[Adjusted Land Total]]</f>
        <v>345700</v>
      </c>
      <c r="BS1059" s="36">
        <f>IFERROR((Inventory[[#This Row],[Adjusted Impr Total]]-Inventory[[#This Row],[24Bldg]])/Inventory[[#This Row],[24Bldg]],0)</f>
        <v>0.221221613155834</v>
      </c>
      <c r="BT1059" s="36">
        <f>(Inventory[[#This Row],[Adjusted Land Total]]-Inventory[[#This Row],[24Lnd]])/Inventory[[#This Row],[24Lnd]]</f>
        <v>-0.38208409506398539</v>
      </c>
      <c r="BU1059" s="36">
        <f>(Inventory[[#This Row],[Adjusted Total]]-Inventory[[#This Row],[24Final]])/Inventory[[#This Row],[24Final]]</f>
        <v>0.11480167687842631</v>
      </c>
    </row>
    <row r="1060" spans="1:73" x14ac:dyDescent="0.3">
      <c r="A1060" s="25">
        <v>2025</v>
      </c>
      <c r="B1060" s="26" t="s">
        <v>876</v>
      </c>
      <c r="C1060" s="26">
        <f>LN(Inventory[[#This Row],[Acres]])</f>
        <v>-1.8325814637483102</v>
      </c>
      <c r="D1060" s="25">
        <v>0.16</v>
      </c>
      <c r="E1060" s="25">
        <v>6986</v>
      </c>
      <c r="F1060" s="26" t="s">
        <v>537</v>
      </c>
      <c r="G1060" s="26" t="s">
        <v>126</v>
      </c>
      <c r="H1060" s="26" t="s">
        <v>349</v>
      </c>
      <c r="I1060" s="26" t="s">
        <v>538</v>
      </c>
      <c r="J1060" s="26" t="s">
        <v>539</v>
      </c>
      <c r="K1060" s="26" t="s">
        <v>242</v>
      </c>
      <c r="L1060" s="26" t="s">
        <v>351</v>
      </c>
      <c r="M1060" s="26" t="s">
        <v>303</v>
      </c>
      <c r="N1060" s="26">
        <v>80</v>
      </c>
      <c r="O1060" s="26">
        <f>2024-Inventory[[#This Row],[YrBlt]]</f>
        <v>79</v>
      </c>
      <c r="P1060" s="26">
        <f>2024-Inventory[[#This Row],[EffYr]]</f>
        <v>52</v>
      </c>
      <c r="Q1060" s="25">
        <v>1945</v>
      </c>
      <c r="R1060" s="25">
        <v>1972</v>
      </c>
      <c r="S1060" s="25">
        <v>891</v>
      </c>
      <c r="T1060" s="27"/>
      <c r="U1060" s="31"/>
      <c r="V1060" s="31">
        <f>Inventory[[#This Row],[Bsmt]]-Inventory[[#This Row],[FnBsmt]]</f>
        <v>0</v>
      </c>
      <c r="W1060" s="31"/>
      <c r="X1060" s="27"/>
      <c r="Y1060" s="27">
        <f>Inventory[[#This Row],[MainFn]]+Inventory[[#This Row],[UpprFn]]+Inventory[[#This Row],[FnBsmt]]+Inventory[[#This Row],[AddFn]]</f>
        <v>891</v>
      </c>
      <c r="Z1060" s="27">
        <v>1000</v>
      </c>
      <c r="AA1060" s="25">
        <v>6</v>
      </c>
      <c r="AB1060" s="32">
        <v>264</v>
      </c>
      <c r="AC1060" s="27"/>
      <c r="AD1060" s="32">
        <v>160</v>
      </c>
      <c r="AE1060" s="27"/>
      <c r="AF1060" s="27"/>
      <c r="AG1060" s="27"/>
      <c r="AH1060" s="27"/>
      <c r="AI1060" s="25">
        <v>172150</v>
      </c>
      <c r="AJ1060" s="25">
        <v>120505</v>
      </c>
      <c r="AK1060" s="25">
        <v>0</v>
      </c>
      <c r="AL1060" s="25">
        <v>278200</v>
      </c>
      <c r="AM1060" s="25">
        <v>50600</v>
      </c>
      <c r="AN1060" s="25">
        <v>227600</v>
      </c>
      <c r="AO1060" s="25">
        <v>0</v>
      </c>
      <c r="AP1060" s="25">
        <f>Lookups!$B$56*0</f>
        <v>0</v>
      </c>
      <c r="AQ1060" s="25">
        <f>Lookups!$B$56*1</f>
        <v>89850.625589999996</v>
      </c>
      <c r="AR1060" s="25">
        <f>Lookups!$B$57*Inventory[[#This Row],[LnAcres]]</f>
        <v>-58009.662049032086</v>
      </c>
      <c r="AS1060" s="25">
        <f>VLOOKUP(Inventory[[#This Row],[Qlty]],Lookups!$A$62:$E$75,2,FALSE)</f>
        <v>21557.329055999999</v>
      </c>
      <c r="AT1060" s="25">
        <f>VLOOKUP(Inventory[[#This Row],[Cnd]],Lookups!$A$76:$E$84,2,FALSE)</f>
        <v>197752.34721000001</v>
      </c>
      <c r="AU1060" s="25">
        <f>Inventory[[#This Row],[EffAge]]*Lookups!$B$85</f>
        <v>-11598.371226000001</v>
      </c>
      <c r="AV1060" s="25">
        <f>Inventory[[#This Row],[MainFn]]*Lookups!$B$86</f>
        <v>44023.124860406999</v>
      </c>
      <c r="AW1060" s="25">
        <f>Inventory[[#This Row],[UpprFn]]*Lookups!$B$87</f>
        <v>0</v>
      </c>
      <c r="AX1060" s="25">
        <f>Inventory[[#This Row],[AddFn]]*Lookups!$B$88</f>
        <v>0</v>
      </c>
      <c r="AY1060" s="25">
        <f>Inventory[[#This Row],[Bsmt]]*Lookups!$B$89</f>
        <v>0</v>
      </c>
      <c r="AZ1060" s="25">
        <f>Inventory[[#This Row],[Fixtures]]*Lookups!$B$90</f>
        <v>22752.132631200002</v>
      </c>
      <c r="BA1060" s="25">
        <f>Inventory[[#This Row],[WdDeck]]*Lookups!$B$91</f>
        <v>5327.2824441600005</v>
      </c>
      <c r="BB1060" s="25">
        <f>ROUND(Inventory[[#This Row],[25Det]],-2)</f>
        <v>0</v>
      </c>
      <c r="BC1060" s="25">
        <f>ROUND(SUM(Inventory[[#This Row],[Mdl Qlty]:[Mdl WdDeck]])+Inventory[[#This Row],[Mdl Res Intercept]],-2)</f>
        <v>279800</v>
      </c>
      <c r="BD1060" s="25">
        <f>ROUND(Inventory[[#This Row],[Mdl Land Intercept]]+Inventory[[#This Row],[Mdl LnAcres]],-2)</f>
        <v>31800</v>
      </c>
      <c r="BE1060" s="25">
        <f>Inventory[[#This Row],[Unadj Res Value]]+Inventory[[#This Row],[Unadj Det Value]]+Inventory[[#This Row],[Unadj Land Value]]</f>
        <v>311600</v>
      </c>
      <c r="BF1060" s="36">
        <f>(Inventory[[#This Row],[Unadj Total Value]]-Inventory[[#This Row],[24Final]])/Inventory[[#This Row],[24Final]]</f>
        <v>0.12005751258087707</v>
      </c>
      <c r="BG1060" s="25">
        <f>VLOOKUP(Inventory[[#This Row],[Nbhd]],Lookups!$Q$2:$T$4,4,FALSE)</f>
        <v>0.99970000000000003</v>
      </c>
      <c r="BH1060" s="25">
        <f>VLOOKUP(Inventory[[#This Row],[Qlty]],Lookups!$O$7:$R$21,4,FALSE)</f>
        <v>1.0067999999999999</v>
      </c>
      <c r="BI1060" s="25">
        <f>VLOOKUP(Inventory[[#This Row],[Cnd]],Lookups!$T$7:$W$16,4,FALSE)</f>
        <v>0.99650000000000005</v>
      </c>
      <c r="BJ1060" s="25">
        <f>VLOOKUP(Inventory[[#This Row],[LivArea Range]],Lookups!$T$25:$W$37,4,FALSE)</f>
        <v>1.0148999999999999</v>
      </c>
      <c r="BK1060" s="25">
        <f>VLOOKUP(Inventory[[#This Row],[Decade]],Lookups!$O$25:$R$42,4,FALSE)</f>
        <v>0.995</v>
      </c>
      <c r="BL1060" s="25">
        <f>Inventory[[#This Row],[Nbhd Adj]]*0.95</f>
        <v>0.94971499999999998</v>
      </c>
      <c r="BM1060" s="25">
        <f>Inventory[[#This Row],[Nbhd Adj]]*Inventory[[#This Row],[Quality Adj]]*Inventory[[#This Row],[Condition Adj]]*Inventory[[#This Row],[Living Area Adj]]*Inventory[[#This Row],[Decade Adj]]*0.95</f>
        <v>0.96218845262920827</v>
      </c>
      <c r="BN1060" s="25">
        <f>ROUND(SUM(Inventory[[#This Row],[Mdl Qlty]:[Mdl WdDeck]])+Inventory[[#This Row],[Mdl Res Intercept]]*Inventory[[#This Row],[Res Adj ]],-2)</f>
        <v>279800</v>
      </c>
      <c r="BO1060" s="25">
        <f>ROUND(Inventory[[#This Row],[25Det]]*Inventory[[#This Row],[Det/Nbhd Adj]],-2)</f>
        <v>0</v>
      </c>
      <c r="BP1060" s="25">
        <f>Inventory[[#This Row],[Adjusted Res]]+Inventory[[#This Row],[Adj Det ]]</f>
        <v>279800</v>
      </c>
      <c r="BQ1060" s="25">
        <f>ROUND((Inventory[[#This Row],[Mdl Land Intercept]]+Inventory[[#This Row],[Mdl LnAcres]])*Inventory[[#This Row],[Det/Nbhd Adj]],-2)</f>
        <v>30200</v>
      </c>
      <c r="BR1060" s="25">
        <f>Inventory[[#This Row],[Adjusted Impr Total]]+Inventory[[#This Row],[Adjusted Land Total]]</f>
        <v>310000</v>
      </c>
      <c r="BS1060" s="36">
        <f>IFERROR((Inventory[[#This Row],[Adjusted Impr Total]]-Inventory[[#This Row],[24Bldg]])/Inventory[[#This Row],[24Bldg]],0)</f>
        <v>0.22934973637961337</v>
      </c>
      <c r="BT1060" s="36">
        <f>(Inventory[[#This Row],[Adjusted Land Total]]-Inventory[[#This Row],[24Lnd]])/Inventory[[#This Row],[24Lnd]]</f>
        <v>-0.40316205533596838</v>
      </c>
      <c r="BU1060" s="36">
        <f>(Inventory[[#This Row],[Adjusted Total]]-Inventory[[#This Row],[24Final]])/Inventory[[#This Row],[24Final]]</f>
        <v>0.11430625449317038</v>
      </c>
    </row>
    <row r="1061" spans="1:73" x14ac:dyDescent="0.3">
      <c r="A1061" s="25">
        <v>2025</v>
      </c>
      <c r="B1061" s="26" t="s">
        <v>1373</v>
      </c>
      <c r="C1061" s="26">
        <f>LN(Inventory[[#This Row],[Acres]])</f>
        <v>-1.4696759700589417</v>
      </c>
      <c r="D1061" s="25">
        <v>0.23</v>
      </c>
      <c r="E1061" s="25">
        <v>9920</v>
      </c>
      <c r="F1061" s="26" t="s">
        <v>537</v>
      </c>
      <c r="G1061" s="26" t="s">
        <v>126</v>
      </c>
      <c r="H1061" s="26" t="s">
        <v>349</v>
      </c>
      <c r="I1061" s="26" t="s">
        <v>538</v>
      </c>
      <c r="J1061" s="26" t="s">
        <v>539</v>
      </c>
      <c r="K1061" s="26" t="s">
        <v>242</v>
      </c>
      <c r="L1061" s="26" t="s">
        <v>351</v>
      </c>
      <c r="M1061" s="26" t="s">
        <v>303</v>
      </c>
      <c r="N1061" s="26">
        <v>80</v>
      </c>
      <c r="O1061" s="26">
        <f>2024-Inventory[[#This Row],[YrBlt]]</f>
        <v>79</v>
      </c>
      <c r="P1061" s="26">
        <f>2024-Inventory[[#This Row],[EffYr]]</f>
        <v>52</v>
      </c>
      <c r="Q1061" s="25">
        <v>1945</v>
      </c>
      <c r="R1061" s="25">
        <v>1972</v>
      </c>
      <c r="S1061" s="25">
        <v>1215</v>
      </c>
      <c r="T1061" s="27"/>
      <c r="U1061" s="25">
        <v>720</v>
      </c>
      <c r="V1061" s="25">
        <f>Inventory[[#This Row],[Bsmt]]-Inventory[[#This Row],[FnBsmt]]</f>
        <v>620</v>
      </c>
      <c r="W1061" s="25">
        <v>100</v>
      </c>
      <c r="X1061" s="27"/>
      <c r="Y1061" s="27">
        <f>Inventory[[#This Row],[MainFn]]+Inventory[[#This Row],[UpprFn]]+Inventory[[#This Row],[FnBsmt]]+Inventory[[#This Row],[AddFn]]</f>
        <v>1315</v>
      </c>
      <c r="Z1061" s="27">
        <v>1500</v>
      </c>
      <c r="AA1061" s="25">
        <v>11</v>
      </c>
      <c r="AB1061" s="27"/>
      <c r="AC1061" s="27"/>
      <c r="AD1061" s="25">
        <v>252</v>
      </c>
      <c r="AE1061" s="27"/>
      <c r="AF1061" s="27"/>
      <c r="AG1061" s="27"/>
      <c r="AH1061" s="27"/>
      <c r="AI1061" s="25">
        <v>254383</v>
      </c>
      <c r="AJ1061" s="25">
        <v>178068</v>
      </c>
      <c r="AK1061" s="25">
        <v>6827</v>
      </c>
      <c r="AL1061" s="25">
        <v>347400</v>
      </c>
      <c r="AM1061" s="25">
        <v>63300</v>
      </c>
      <c r="AN1061" s="25">
        <v>284100</v>
      </c>
      <c r="AO1061" s="25">
        <v>0</v>
      </c>
      <c r="AP1061" s="25">
        <f>Lookups!$B$56*0</f>
        <v>0</v>
      </c>
      <c r="AQ1061" s="25">
        <f>Lookups!$B$56*1</f>
        <v>89850.625589999996</v>
      </c>
      <c r="AR1061" s="25">
        <f>Lookups!$B$57*Inventory[[#This Row],[LnAcres]]</f>
        <v>-46522.028095997222</v>
      </c>
      <c r="AS1061" s="25">
        <f>VLOOKUP(Inventory[[#This Row],[Qlty]],Lookups!$A$62:$E$75,2,FALSE)</f>
        <v>21557.329055999999</v>
      </c>
      <c r="AT1061" s="25">
        <f>VLOOKUP(Inventory[[#This Row],[Cnd]],Lookups!$A$76:$E$84,2,FALSE)</f>
        <v>197752.34721000001</v>
      </c>
      <c r="AU1061" s="25">
        <f>Inventory[[#This Row],[EffAge]]*Lookups!$B$85</f>
        <v>-11598.371226000001</v>
      </c>
      <c r="AV1061" s="25">
        <f>Inventory[[#This Row],[MainFn]]*Lookups!$B$86</f>
        <v>60031.533900555005</v>
      </c>
      <c r="AW1061" s="25">
        <f>Inventory[[#This Row],[UpprFn]]*Lookups!$B$87</f>
        <v>0</v>
      </c>
      <c r="AX1061" s="25">
        <f>Inventory[[#This Row],[AddFn]]*Lookups!$B$88</f>
        <v>0</v>
      </c>
      <c r="AY1061" s="25">
        <f>Inventory[[#This Row],[Bsmt]]*Lookups!$B$89</f>
        <v>20938.964577839997</v>
      </c>
      <c r="AZ1061" s="25">
        <f>Inventory[[#This Row],[Fixtures]]*Lookups!$B$90</f>
        <v>41712.243157199999</v>
      </c>
      <c r="BA1061" s="25">
        <f>Inventory[[#This Row],[WdDeck]]*Lookups!$B$91</f>
        <v>8390.4698495520006</v>
      </c>
      <c r="BB1061" s="25">
        <f>ROUND(Inventory[[#This Row],[25Det]],-2)</f>
        <v>6800</v>
      </c>
      <c r="BC1061" s="25">
        <f>ROUND(SUM(Inventory[[#This Row],[Mdl Qlty]:[Mdl WdDeck]])+Inventory[[#This Row],[Mdl Res Intercept]],-2)</f>
        <v>338800</v>
      </c>
      <c r="BD1061" s="25">
        <f>ROUND(Inventory[[#This Row],[Mdl Land Intercept]]+Inventory[[#This Row],[Mdl LnAcres]],-2)</f>
        <v>43300</v>
      </c>
      <c r="BE1061" s="25">
        <f>Inventory[[#This Row],[Unadj Res Value]]+Inventory[[#This Row],[Unadj Det Value]]+Inventory[[#This Row],[Unadj Land Value]]</f>
        <v>388900</v>
      </c>
      <c r="BF1061" s="36">
        <f>(Inventory[[#This Row],[Unadj Total Value]]-Inventory[[#This Row],[24Final]])/Inventory[[#This Row],[24Final]]</f>
        <v>0.11945883707541739</v>
      </c>
      <c r="BG1061" s="25">
        <f>VLOOKUP(Inventory[[#This Row],[Nbhd]],Lookups!$Q$2:$T$4,4,FALSE)</f>
        <v>0.99970000000000003</v>
      </c>
      <c r="BH1061" s="25">
        <f>VLOOKUP(Inventory[[#This Row],[Qlty]],Lookups!$O$7:$R$21,4,FALSE)</f>
        <v>1.0067999999999999</v>
      </c>
      <c r="BI1061" s="25">
        <f>VLOOKUP(Inventory[[#This Row],[Cnd]],Lookups!$T$7:$W$16,4,FALSE)</f>
        <v>0.99650000000000005</v>
      </c>
      <c r="BJ1061" s="25">
        <f>VLOOKUP(Inventory[[#This Row],[LivArea Range]],Lookups!$T$25:$W$37,4,FALSE)</f>
        <v>1.0157</v>
      </c>
      <c r="BK1061" s="25">
        <f>VLOOKUP(Inventory[[#This Row],[Decade]],Lookups!$O$25:$R$42,4,FALSE)</f>
        <v>0.995</v>
      </c>
      <c r="BL1061" s="25">
        <f>Inventory[[#This Row],[Nbhd Adj]]*0.95</f>
        <v>0.94971499999999998</v>
      </c>
      <c r="BM1061" s="25">
        <f>Inventory[[#This Row],[Nbhd Adj]]*Inventory[[#This Row],[Quality Adj]]*Inventory[[#This Row],[Condition Adj]]*Inventory[[#This Row],[Living Area Adj]]*Inventory[[#This Row],[Decade Adj]]*0.95</f>
        <v>0.96294690248840986</v>
      </c>
      <c r="BN1061" s="25">
        <f>ROUND(SUM(Inventory[[#This Row],[Mdl Qlty]:[Mdl WdDeck]])+Inventory[[#This Row],[Mdl Res Intercept]]*Inventory[[#This Row],[Res Adj ]],-2)</f>
        <v>338800</v>
      </c>
      <c r="BO1061" s="25">
        <f>ROUND(Inventory[[#This Row],[25Det]]*Inventory[[#This Row],[Det/Nbhd Adj]],-2)</f>
        <v>6500</v>
      </c>
      <c r="BP1061" s="25">
        <f>Inventory[[#This Row],[Adjusted Res]]+Inventory[[#This Row],[Adj Det ]]</f>
        <v>345300</v>
      </c>
      <c r="BQ1061" s="25">
        <f>ROUND((Inventory[[#This Row],[Mdl Land Intercept]]+Inventory[[#This Row],[Mdl LnAcres]])*Inventory[[#This Row],[Det/Nbhd Adj]],-2)</f>
        <v>41100</v>
      </c>
      <c r="BR1061" s="25">
        <f>Inventory[[#This Row],[Adjusted Impr Total]]+Inventory[[#This Row],[Adjusted Land Total]]</f>
        <v>386400</v>
      </c>
      <c r="BS1061" s="36">
        <f>IFERROR((Inventory[[#This Row],[Adjusted Impr Total]]-Inventory[[#This Row],[24Bldg]])/Inventory[[#This Row],[24Bldg]],0)</f>
        <v>0.21541710665258712</v>
      </c>
      <c r="BT1061" s="36">
        <f>(Inventory[[#This Row],[Adjusted Land Total]]-Inventory[[#This Row],[24Lnd]])/Inventory[[#This Row],[24Lnd]]</f>
        <v>-0.35071090047393366</v>
      </c>
      <c r="BU1061" s="36">
        <f>(Inventory[[#This Row],[Adjusted Total]]-Inventory[[#This Row],[24Final]])/Inventory[[#This Row],[24Final]]</f>
        <v>0.11226252158894647</v>
      </c>
    </row>
    <row r="1062" spans="1:73" x14ac:dyDescent="0.3">
      <c r="A1062" s="25">
        <v>2025</v>
      </c>
      <c r="B1062" s="26" t="s">
        <v>2340</v>
      </c>
      <c r="C1062" s="26">
        <f>LN(Inventory[[#This Row],[Acres]])</f>
        <v>-1.8325814637483102</v>
      </c>
      <c r="D1062" s="25">
        <v>0.16</v>
      </c>
      <c r="E1062" s="25">
        <v>7150</v>
      </c>
      <c r="F1062" s="26" t="s">
        <v>537</v>
      </c>
      <c r="G1062" s="26" t="s">
        <v>126</v>
      </c>
      <c r="H1062" s="26" t="s">
        <v>349</v>
      </c>
      <c r="I1062" s="26" t="s">
        <v>538</v>
      </c>
      <c r="J1062" s="26" t="s">
        <v>539</v>
      </c>
      <c r="K1062" s="26" t="s">
        <v>242</v>
      </c>
      <c r="L1062" s="26" t="s">
        <v>351</v>
      </c>
      <c r="M1062" s="26" t="s">
        <v>303</v>
      </c>
      <c r="N1062" s="26">
        <v>80</v>
      </c>
      <c r="O1062" s="26">
        <f>2024-Inventory[[#This Row],[YrBlt]]</f>
        <v>79</v>
      </c>
      <c r="P1062" s="26">
        <f>2024-Inventory[[#This Row],[EffYr]]</f>
        <v>52</v>
      </c>
      <c r="Q1062" s="25">
        <v>1945</v>
      </c>
      <c r="R1062" s="25">
        <v>1972</v>
      </c>
      <c r="S1062" s="25">
        <v>870</v>
      </c>
      <c r="T1062" s="27"/>
      <c r="U1062" s="31"/>
      <c r="V1062" s="31">
        <f>Inventory[[#This Row],[Bsmt]]-Inventory[[#This Row],[FnBsmt]]</f>
        <v>0</v>
      </c>
      <c r="W1062" s="31"/>
      <c r="X1062" s="27"/>
      <c r="Y1062" s="27">
        <f>Inventory[[#This Row],[MainFn]]+Inventory[[#This Row],[UpprFn]]+Inventory[[#This Row],[FnBsmt]]+Inventory[[#This Row],[AddFn]]</f>
        <v>870</v>
      </c>
      <c r="Z1062" s="27">
        <v>1000</v>
      </c>
      <c r="AA1062" s="25">
        <v>5</v>
      </c>
      <c r="AB1062" s="27"/>
      <c r="AC1062" s="27"/>
      <c r="AD1062" s="27"/>
      <c r="AE1062" s="27"/>
      <c r="AF1062" s="27"/>
      <c r="AG1062" s="27"/>
      <c r="AH1062" s="27"/>
      <c r="AI1062" s="25">
        <v>137289</v>
      </c>
      <c r="AJ1062" s="25">
        <v>96102</v>
      </c>
      <c r="AK1062" s="25">
        <v>20097</v>
      </c>
      <c r="AL1062" s="25">
        <v>287100</v>
      </c>
      <c r="AM1062" s="25">
        <v>50600</v>
      </c>
      <c r="AN1062" s="25">
        <v>236500</v>
      </c>
      <c r="AO1062" s="25">
        <v>0</v>
      </c>
      <c r="AP1062" s="25">
        <f>Lookups!$B$56*0</f>
        <v>0</v>
      </c>
      <c r="AQ1062" s="25">
        <f>Lookups!$B$56*1</f>
        <v>89850.625589999996</v>
      </c>
      <c r="AR1062" s="25">
        <f>Lookups!$B$57*Inventory[[#This Row],[LnAcres]]</f>
        <v>-58009.662049032086</v>
      </c>
      <c r="AS1062" s="25">
        <f>VLOOKUP(Inventory[[#This Row],[Qlty]],Lookups!$A$62:$E$75,2,FALSE)</f>
        <v>21557.329055999999</v>
      </c>
      <c r="AT1062" s="25">
        <f>VLOOKUP(Inventory[[#This Row],[Cnd]],Lookups!$A$76:$E$84,2,FALSE)</f>
        <v>197752.34721000001</v>
      </c>
      <c r="AU1062" s="25">
        <f>Inventory[[#This Row],[EffAge]]*Lookups!$B$85</f>
        <v>-11598.371226000001</v>
      </c>
      <c r="AV1062" s="25">
        <f>Inventory[[#This Row],[MainFn]]*Lookups!$B$86</f>
        <v>42985.542792990003</v>
      </c>
      <c r="AW1062" s="25">
        <f>Inventory[[#This Row],[UpprFn]]*Lookups!$B$87</f>
        <v>0</v>
      </c>
      <c r="AX1062" s="25">
        <f>Inventory[[#This Row],[AddFn]]*Lookups!$B$88</f>
        <v>0</v>
      </c>
      <c r="AY1062" s="25">
        <f>Inventory[[#This Row],[Bsmt]]*Lookups!$B$89</f>
        <v>0</v>
      </c>
      <c r="AZ1062" s="25">
        <f>Inventory[[#This Row],[Fixtures]]*Lookups!$B$90</f>
        <v>18960.110526</v>
      </c>
      <c r="BA1062" s="25">
        <f>Inventory[[#This Row],[WdDeck]]*Lookups!$B$91</f>
        <v>0</v>
      </c>
      <c r="BB1062" s="25">
        <f>ROUND(Inventory[[#This Row],[25Det]],-2)</f>
        <v>20100</v>
      </c>
      <c r="BC1062" s="25">
        <f>ROUND(SUM(Inventory[[#This Row],[Mdl Qlty]:[Mdl WdDeck]])+Inventory[[#This Row],[Mdl Res Intercept]],-2)</f>
        <v>269700</v>
      </c>
      <c r="BD1062" s="25">
        <f>ROUND(Inventory[[#This Row],[Mdl Land Intercept]]+Inventory[[#This Row],[Mdl LnAcres]],-2)</f>
        <v>31800</v>
      </c>
      <c r="BE1062" s="25">
        <f>Inventory[[#This Row],[Unadj Res Value]]+Inventory[[#This Row],[Unadj Det Value]]+Inventory[[#This Row],[Unadj Land Value]]</f>
        <v>321600</v>
      </c>
      <c r="BF1062" s="36">
        <f>(Inventory[[#This Row],[Unadj Total Value]]-Inventory[[#This Row],[24Final]])/Inventory[[#This Row],[24Final]]</f>
        <v>0.12016718913270637</v>
      </c>
      <c r="BG1062" s="25">
        <f>VLOOKUP(Inventory[[#This Row],[Nbhd]],Lookups!$Q$2:$T$4,4,FALSE)</f>
        <v>0.99970000000000003</v>
      </c>
      <c r="BH1062" s="25">
        <f>VLOOKUP(Inventory[[#This Row],[Qlty]],Lookups!$O$7:$R$21,4,FALSE)</f>
        <v>1.0067999999999999</v>
      </c>
      <c r="BI1062" s="25">
        <f>VLOOKUP(Inventory[[#This Row],[Cnd]],Lookups!$T$7:$W$16,4,FALSE)</f>
        <v>0.99650000000000005</v>
      </c>
      <c r="BJ1062" s="25">
        <f>VLOOKUP(Inventory[[#This Row],[LivArea Range]],Lookups!$T$25:$W$37,4,FALSE)</f>
        <v>1.0148999999999999</v>
      </c>
      <c r="BK1062" s="25">
        <f>VLOOKUP(Inventory[[#This Row],[Decade]],Lookups!$O$25:$R$42,4,FALSE)</f>
        <v>0.995</v>
      </c>
      <c r="BL1062" s="25">
        <f>Inventory[[#This Row],[Nbhd Adj]]*0.95</f>
        <v>0.94971499999999998</v>
      </c>
      <c r="BM1062" s="25">
        <f>Inventory[[#This Row],[Nbhd Adj]]*Inventory[[#This Row],[Quality Adj]]*Inventory[[#This Row],[Condition Adj]]*Inventory[[#This Row],[Living Area Adj]]*Inventory[[#This Row],[Decade Adj]]*0.95</f>
        <v>0.96218845262920827</v>
      </c>
      <c r="BN1062" s="25">
        <f>ROUND(SUM(Inventory[[#This Row],[Mdl Qlty]:[Mdl WdDeck]])+Inventory[[#This Row],[Mdl Res Intercept]]*Inventory[[#This Row],[Res Adj ]],-2)</f>
        <v>269700</v>
      </c>
      <c r="BO1062" s="25">
        <f>ROUND(Inventory[[#This Row],[25Det]]*Inventory[[#This Row],[Det/Nbhd Adj]],-2)</f>
        <v>19100</v>
      </c>
      <c r="BP1062" s="25">
        <f>Inventory[[#This Row],[Adjusted Res]]+Inventory[[#This Row],[Adj Det ]]</f>
        <v>288800</v>
      </c>
      <c r="BQ1062" s="25">
        <f>ROUND((Inventory[[#This Row],[Mdl Land Intercept]]+Inventory[[#This Row],[Mdl LnAcres]])*Inventory[[#This Row],[Det/Nbhd Adj]],-2)</f>
        <v>30200</v>
      </c>
      <c r="BR1062" s="25">
        <f>Inventory[[#This Row],[Adjusted Impr Total]]+Inventory[[#This Row],[Adjusted Land Total]]</f>
        <v>319000</v>
      </c>
      <c r="BS1062" s="36">
        <f>IFERROR((Inventory[[#This Row],[Adjusted Impr Total]]-Inventory[[#This Row],[24Bldg]])/Inventory[[#This Row],[24Bldg]],0)</f>
        <v>0.22114164904862579</v>
      </c>
      <c r="BT1062" s="36">
        <f>(Inventory[[#This Row],[Adjusted Land Total]]-Inventory[[#This Row],[24Lnd]])/Inventory[[#This Row],[24Lnd]]</f>
        <v>-0.40316205533596838</v>
      </c>
      <c r="BU1062" s="36">
        <f>(Inventory[[#This Row],[Adjusted Total]]-Inventory[[#This Row],[24Final]])/Inventory[[#This Row],[24Final]]</f>
        <v>0.1111111111111111</v>
      </c>
    </row>
    <row r="1063" spans="1:73" x14ac:dyDescent="0.3">
      <c r="A1063" s="25">
        <v>2025</v>
      </c>
      <c r="B1063" s="26" t="s">
        <v>796</v>
      </c>
      <c r="C1063" s="26">
        <f>LN(Inventory[[#This Row],[Acres]])</f>
        <v>-1.5606477482646683</v>
      </c>
      <c r="D1063" s="25">
        <v>0.21</v>
      </c>
      <c r="E1063" s="25">
        <v>9191</v>
      </c>
      <c r="F1063" s="26" t="s">
        <v>537</v>
      </c>
      <c r="G1063" s="26" t="s">
        <v>126</v>
      </c>
      <c r="H1063" s="26" t="s">
        <v>349</v>
      </c>
      <c r="I1063" s="26" t="s">
        <v>538</v>
      </c>
      <c r="J1063" s="26" t="s">
        <v>539</v>
      </c>
      <c r="K1063" s="26" t="s">
        <v>242</v>
      </c>
      <c r="L1063" s="26" t="s">
        <v>351</v>
      </c>
      <c r="M1063" s="26" t="s">
        <v>303</v>
      </c>
      <c r="N1063" s="26">
        <v>80</v>
      </c>
      <c r="O1063" s="26">
        <f>2024-Inventory[[#This Row],[YrBlt]]</f>
        <v>79</v>
      </c>
      <c r="P1063" s="26">
        <f>2024-Inventory[[#This Row],[EffYr]]</f>
        <v>52</v>
      </c>
      <c r="Q1063" s="25">
        <v>1945</v>
      </c>
      <c r="R1063" s="25">
        <v>1972</v>
      </c>
      <c r="S1063" s="25">
        <v>1397</v>
      </c>
      <c r="T1063" s="27"/>
      <c r="U1063" s="25">
        <v>688</v>
      </c>
      <c r="V1063" s="25">
        <f>Inventory[[#This Row],[Bsmt]]-Inventory[[#This Row],[FnBsmt]]</f>
        <v>344</v>
      </c>
      <c r="W1063" s="25">
        <v>344</v>
      </c>
      <c r="X1063" s="27"/>
      <c r="Y1063" s="27">
        <f>Inventory[[#This Row],[MainFn]]+Inventory[[#This Row],[UpprFn]]+Inventory[[#This Row],[FnBsmt]]+Inventory[[#This Row],[AddFn]]</f>
        <v>1741</v>
      </c>
      <c r="Z1063" s="27">
        <v>2000</v>
      </c>
      <c r="AA1063" s="25">
        <v>5</v>
      </c>
      <c r="AB1063" s="32">
        <v>312</v>
      </c>
      <c r="AC1063" s="27"/>
      <c r="AD1063" s="25">
        <v>252</v>
      </c>
      <c r="AE1063" s="27"/>
      <c r="AF1063" s="27"/>
      <c r="AG1063" s="27"/>
      <c r="AH1063" s="27"/>
      <c r="AI1063" s="25">
        <v>292671</v>
      </c>
      <c r="AJ1063" s="25">
        <v>204870</v>
      </c>
      <c r="AK1063" s="25">
        <v>0</v>
      </c>
      <c r="AL1063" s="25">
        <v>327100</v>
      </c>
      <c r="AM1063" s="25">
        <v>60100</v>
      </c>
      <c r="AN1063" s="25">
        <v>267000</v>
      </c>
      <c r="AO1063" s="25">
        <v>0</v>
      </c>
      <c r="AP1063" s="25">
        <f>Lookups!$B$56*0</f>
        <v>0</v>
      </c>
      <c r="AQ1063" s="25">
        <f>Lookups!$B$56*1</f>
        <v>89850.625589999996</v>
      </c>
      <c r="AR1063" s="25">
        <f>Lookups!$B$57*Inventory[[#This Row],[LnAcres]]</f>
        <v>-49401.70477837498</v>
      </c>
      <c r="AS1063" s="25">
        <f>VLOOKUP(Inventory[[#This Row],[Qlty]],Lookups!$A$62:$E$75,2,FALSE)</f>
        <v>21557.329055999999</v>
      </c>
      <c r="AT1063" s="25">
        <f>VLOOKUP(Inventory[[#This Row],[Cnd]],Lookups!$A$76:$E$84,2,FALSE)</f>
        <v>197752.34721000001</v>
      </c>
      <c r="AU1063" s="25">
        <f>Inventory[[#This Row],[EffAge]]*Lookups!$B$85</f>
        <v>-11598.371226000001</v>
      </c>
      <c r="AV1063" s="25">
        <f>Inventory[[#This Row],[MainFn]]*Lookups!$B$86</f>
        <v>69023.911818168999</v>
      </c>
      <c r="AW1063" s="25">
        <f>Inventory[[#This Row],[UpprFn]]*Lookups!$B$87</f>
        <v>0</v>
      </c>
      <c r="AX1063" s="25">
        <f>Inventory[[#This Row],[AddFn]]*Lookups!$B$88</f>
        <v>0</v>
      </c>
      <c r="AY1063" s="25">
        <f>Inventory[[#This Row],[Bsmt]]*Lookups!$B$89</f>
        <v>20008.343929936</v>
      </c>
      <c r="AZ1063" s="25">
        <f>Inventory[[#This Row],[Fixtures]]*Lookups!$B$90</f>
        <v>18960.110526</v>
      </c>
      <c r="BA1063" s="25">
        <f>Inventory[[#This Row],[WdDeck]]*Lookups!$B$91</f>
        <v>8390.4698495520006</v>
      </c>
      <c r="BB1063" s="25">
        <f>ROUND(Inventory[[#This Row],[25Det]],-2)</f>
        <v>0</v>
      </c>
      <c r="BC1063" s="25">
        <f>ROUND(SUM(Inventory[[#This Row],[Mdl Qlty]:[Mdl WdDeck]])+Inventory[[#This Row],[Mdl Res Intercept]],-2)</f>
        <v>324100</v>
      </c>
      <c r="BD1063" s="25">
        <f>ROUND(Inventory[[#This Row],[Mdl Land Intercept]]+Inventory[[#This Row],[Mdl LnAcres]],-2)</f>
        <v>40400</v>
      </c>
      <c r="BE1063" s="25">
        <f>Inventory[[#This Row],[Unadj Res Value]]+Inventory[[#This Row],[Unadj Det Value]]+Inventory[[#This Row],[Unadj Land Value]]</f>
        <v>364500</v>
      </c>
      <c r="BF1063" s="36">
        <f>(Inventory[[#This Row],[Unadj Total Value]]-Inventory[[#This Row],[24Final]])/Inventory[[#This Row],[24Final]]</f>
        <v>0.11433812289819627</v>
      </c>
      <c r="BG1063" s="25">
        <f>VLOOKUP(Inventory[[#This Row],[Nbhd]],Lookups!$Q$2:$T$4,4,FALSE)</f>
        <v>0.99970000000000003</v>
      </c>
      <c r="BH1063" s="25">
        <f>VLOOKUP(Inventory[[#This Row],[Qlty]],Lookups!$O$7:$R$21,4,FALSE)</f>
        <v>1.0067999999999999</v>
      </c>
      <c r="BI1063" s="25">
        <f>VLOOKUP(Inventory[[#This Row],[Cnd]],Lookups!$T$7:$W$16,4,FALSE)</f>
        <v>0.99650000000000005</v>
      </c>
      <c r="BJ1063" s="25">
        <f>VLOOKUP(Inventory[[#This Row],[LivArea Range]],Lookups!$T$25:$W$37,4,FALSE)</f>
        <v>1.0093000000000001</v>
      </c>
      <c r="BK1063" s="25">
        <f>VLOOKUP(Inventory[[#This Row],[Decade]],Lookups!$O$25:$R$42,4,FALSE)</f>
        <v>0.995</v>
      </c>
      <c r="BL1063" s="25">
        <f>Inventory[[#This Row],[Nbhd Adj]]*0.95</f>
        <v>0.94971499999999998</v>
      </c>
      <c r="BM1063" s="25">
        <f>Inventory[[#This Row],[Nbhd Adj]]*Inventory[[#This Row],[Quality Adj]]*Inventory[[#This Row],[Condition Adj]]*Inventory[[#This Row],[Living Area Adj]]*Inventory[[#This Row],[Decade Adj]]*0.95</f>
        <v>0.95687930361479956</v>
      </c>
      <c r="BN1063" s="25">
        <f>ROUND(SUM(Inventory[[#This Row],[Mdl Qlty]:[Mdl WdDeck]])+Inventory[[#This Row],[Mdl Res Intercept]]*Inventory[[#This Row],[Res Adj ]],-2)</f>
        <v>324100</v>
      </c>
      <c r="BO1063" s="25">
        <f>ROUND(Inventory[[#This Row],[25Det]]*Inventory[[#This Row],[Det/Nbhd Adj]],-2)</f>
        <v>0</v>
      </c>
      <c r="BP1063" s="25">
        <f>Inventory[[#This Row],[Adjusted Res]]+Inventory[[#This Row],[Adj Det ]]</f>
        <v>324100</v>
      </c>
      <c r="BQ1063" s="25">
        <f>ROUND((Inventory[[#This Row],[Mdl Land Intercept]]+Inventory[[#This Row],[Mdl LnAcres]])*Inventory[[#This Row],[Det/Nbhd Adj]],-2)</f>
        <v>38400</v>
      </c>
      <c r="BR1063" s="25">
        <f>Inventory[[#This Row],[Adjusted Impr Total]]+Inventory[[#This Row],[Adjusted Land Total]]</f>
        <v>362500</v>
      </c>
      <c r="BS1063" s="36">
        <f>IFERROR((Inventory[[#This Row],[Adjusted Impr Total]]-Inventory[[#This Row],[24Bldg]])/Inventory[[#This Row],[24Bldg]],0)</f>
        <v>0.21385767790262172</v>
      </c>
      <c r="BT1063" s="36">
        <f>(Inventory[[#This Row],[Adjusted Land Total]]-Inventory[[#This Row],[24Lnd]])/Inventory[[#This Row],[24Lnd]]</f>
        <v>-0.36106489184692181</v>
      </c>
      <c r="BU1063" s="36">
        <f>(Inventory[[#This Row],[Adjusted Total]]-Inventory[[#This Row],[24Final]])/Inventory[[#This Row],[24Final]]</f>
        <v>0.10822378477529808</v>
      </c>
    </row>
    <row r="1064" spans="1:73" x14ac:dyDescent="0.3">
      <c r="A1064" s="25">
        <v>2025</v>
      </c>
      <c r="B1064" s="26" t="s">
        <v>2593</v>
      </c>
      <c r="C1064" s="26">
        <f>LN(Inventory[[#This Row],[Acres]])</f>
        <v>-1.6607312068216509</v>
      </c>
      <c r="D1064" s="25">
        <v>0.19</v>
      </c>
      <c r="E1064" s="25">
        <v>8260</v>
      </c>
      <c r="F1064" s="26" t="s">
        <v>537</v>
      </c>
      <c r="G1064" s="26" t="s">
        <v>126</v>
      </c>
      <c r="H1064" s="26" t="s">
        <v>349</v>
      </c>
      <c r="I1064" s="26" t="s">
        <v>538</v>
      </c>
      <c r="J1064" s="26" t="s">
        <v>539</v>
      </c>
      <c r="K1064" s="26" t="s">
        <v>269</v>
      </c>
      <c r="L1064" s="26" t="s">
        <v>351</v>
      </c>
      <c r="M1064" s="26" t="s">
        <v>303</v>
      </c>
      <c r="N1064" s="26">
        <v>80</v>
      </c>
      <c r="O1064" s="26">
        <f>2024-Inventory[[#This Row],[YrBlt]]</f>
        <v>79</v>
      </c>
      <c r="P1064" s="26">
        <f>2024-Inventory[[#This Row],[EffYr]]</f>
        <v>52</v>
      </c>
      <c r="Q1064" s="25">
        <v>1945</v>
      </c>
      <c r="R1064" s="25">
        <v>1972</v>
      </c>
      <c r="S1064" s="25">
        <v>1274</v>
      </c>
      <c r="T1064" s="32">
        <v>120</v>
      </c>
      <c r="U1064" s="25">
        <v>600</v>
      </c>
      <c r="V1064" s="25">
        <f>Inventory[[#This Row],[Bsmt]]-Inventory[[#This Row],[FnBsmt]]</f>
        <v>600</v>
      </c>
      <c r="W1064" s="31"/>
      <c r="X1064" s="32">
        <v>120</v>
      </c>
      <c r="Y1064" s="32">
        <f>Inventory[[#This Row],[MainFn]]+Inventory[[#This Row],[UpprFn]]+Inventory[[#This Row],[FnBsmt]]+Inventory[[#This Row],[AddFn]]</f>
        <v>1514</v>
      </c>
      <c r="Z1064" s="27">
        <v>2000</v>
      </c>
      <c r="AA1064" s="25">
        <v>7</v>
      </c>
      <c r="AB1064" s="31"/>
      <c r="AC1064" s="27"/>
      <c r="AD1064" s="31"/>
      <c r="AE1064" s="27"/>
      <c r="AF1064" s="27"/>
      <c r="AG1064" s="27"/>
      <c r="AH1064" s="27"/>
      <c r="AI1064" s="25">
        <v>273971</v>
      </c>
      <c r="AJ1064" s="25">
        <v>191780</v>
      </c>
      <c r="AK1064" s="25">
        <v>4877</v>
      </c>
      <c r="AL1064" s="25">
        <v>332100</v>
      </c>
      <c r="AM1064" s="25">
        <v>56600</v>
      </c>
      <c r="AN1064" s="25">
        <v>275500</v>
      </c>
      <c r="AO1064" s="25">
        <v>0</v>
      </c>
      <c r="AP1064" s="25">
        <f>Lookups!$B$56*0</f>
        <v>0</v>
      </c>
      <c r="AQ1064" s="25">
        <f>Lookups!$B$56*1</f>
        <v>89850.625589999996</v>
      </c>
      <c r="AR1064" s="25">
        <f>Lookups!$B$57*Inventory[[#This Row],[LnAcres]]</f>
        <v>-52569.808201026557</v>
      </c>
      <c r="AS1064" s="25">
        <f>VLOOKUP(Inventory[[#This Row],[Qlty]],Lookups!$A$62:$E$75,2,FALSE)</f>
        <v>21557.329055999999</v>
      </c>
      <c r="AT1064" s="25">
        <f>VLOOKUP(Inventory[[#This Row],[Cnd]],Lookups!$A$76:$E$84,2,FALSE)</f>
        <v>197752.34721000001</v>
      </c>
      <c r="AU1064" s="25">
        <f>Inventory[[#This Row],[EffAge]]*Lookups!$B$85</f>
        <v>-11598.371226000001</v>
      </c>
      <c r="AV1064" s="25">
        <f>Inventory[[#This Row],[MainFn]]*Lookups!$B$86</f>
        <v>62946.645423298003</v>
      </c>
      <c r="AW1064" s="25">
        <f>Inventory[[#This Row],[UpprFn]]*Lookups!$B$87</f>
        <v>5374.3707433199997</v>
      </c>
      <c r="AX1064" s="25">
        <f>Inventory[[#This Row],[AddFn]]*Lookups!$B$88</f>
        <v>7811.3605261200009</v>
      </c>
      <c r="AY1064" s="25">
        <f>Inventory[[#This Row],[Bsmt]]*Lookups!$B$89</f>
        <v>17449.1371482</v>
      </c>
      <c r="AZ1064" s="25">
        <f>Inventory[[#This Row],[Fixtures]]*Lookups!$B$90</f>
        <v>26544.1547364</v>
      </c>
      <c r="BA1064" s="25">
        <f>Inventory[[#This Row],[WdDeck]]*Lookups!$B$91</f>
        <v>0</v>
      </c>
      <c r="BB1064" s="25">
        <f>ROUND(Inventory[[#This Row],[25Det]],-2)</f>
        <v>4900</v>
      </c>
      <c r="BC1064" s="25">
        <f>ROUND(SUM(Inventory[[#This Row],[Mdl Qlty]:[Mdl WdDeck]])+Inventory[[#This Row],[Mdl Res Intercept]],-2)</f>
        <v>327800</v>
      </c>
      <c r="BD1064" s="25">
        <f>ROUND(Inventory[[#This Row],[Mdl Land Intercept]]+Inventory[[#This Row],[Mdl LnAcres]],-2)</f>
        <v>37300</v>
      </c>
      <c r="BE1064" s="25">
        <f>Inventory[[#This Row],[Unadj Res Value]]+Inventory[[#This Row],[Unadj Det Value]]+Inventory[[#This Row],[Unadj Land Value]]</f>
        <v>370000</v>
      </c>
      <c r="BF1064" s="36">
        <f>(Inventory[[#This Row],[Unadj Total Value]]-Inventory[[#This Row],[24Final]])/Inventory[[#This Row],[24Final]]</f>
        <v>0.11412225233363445</v>
      </c>
      <c r="BG1064" s="25">
        <f>VLOOKUP(Inventory[[#This Row],[Nbhd]],Lookups!$Q$2:$T$4,4,FALSE)</f>
        <v>0.99970000000000003</v>
      </c>
      <c r="BH1064" s="25">
        <f>VLOOKUP(Inventory[[#This Row],[Qlty]],Lookups!$O$7:$R$21,4,FALSE)</f>
        <v>1.0067999999999999</v>
      </c>
      <c r="BI1064" s="25">
        <f>VLOOKUP(Inventory[[#This Row],[Cnd]],Lookups!$T$7:$W$16,4,FALSE)</f>
        <v>0.99650000000000005</v>
      </c>
      <c r="BJ1064" s="25">
        <f>VLOOKUP(Inventory[[#This Row],[LivArea Range]],Lookups!$T$25:$W$37,4,FALSE)</f>
        <v>1.0093000000000001</v>
      </c>
      <c r="BK1064" s="25">
        <f>VLOOKUP(Inventory[[#This Row],[Decade]],Lookups!$O$25:$R$42,4,FALSE)</f>
        <v>0.995</v>
      </c>
      <c r="BL1064" s="25">
        <f>Inventory[[#This Row],[Nbhd Adj]]*0.95</f>
        <v>0.94971499999999998</v>
      </c>
      <c r="BM1064" s="25">
        <f>Inventory[[#This Row],[Nbhd Adj]]*Inventory[[#This Row],[Quality Adj]]*Inventory[[#This Row],[Condition Adj]]*Inventory[[#This Row],[Living Area Adj]]*Inventory[[#This Row],[Decade Adj]]*0.95</f>
        <v>0.95687930361479956</v>
      </c>
      <c r="BN1064" s="25">
        <f>ROUND(SUM(Inventory[[#This Row],[Mdl Qlty]:[Mdl WdDeck]])+Inventory[[#This Row],[Mdl Res Intercept]]*Inventory[[#This Row],[Res Adj ]],-2)</f>
        <v>327800</v>
      </c>
      <c r="BO1064" s="25">
        <f>ROUND(Inventory[[#This Row],[25Det]]*Inventory[[#This Row],[Det/Nbhd Adj]],-2)</f>
        <v>4600</v>
      </c>
      <c r="BP1064" s="25">
        <f>Inventory[[#This Row],[Adjusted Res]]+Inventory[[#This Row],[Adj Det ]]</f>
        <v>332400</v>
      </c>
      <c r="BQ1064" s="25">
        <f>ROUND((Inventory[[#This Row],[Mdl Land Intercept]]+Inventory[[#This Row],[Mdl LnAcres]])*Inventory[[#This Row],[Det/Nbhd Adj]],-2)</f>
        <v>35400</v>
      </c>
      <c r="BR1064" s="25">
        <f>Inventory[[#This Row],[Adjusted Impr Total]]+Inventory[[#This Row],[Adjusted Land Total]]</f>
        <v>367800</v>
      </c>
      <c r="BS1064" s="36">
        <f>IFERROR((Inventory[[#This Row],[Adjusted Impr Total]]-Inventory[[#This Row],[24Bldg]])/Inventory[[#This Row],[24Bldg]],0)</f>
        <v>0.20653357531760436</v>
      </c>
      <c r="BT1064" s="36">
        <f>(Inventory[[#This Row],[Adjusted Land Total]]-Inventory[[#This Row],[24Lnd]])/Inventory[[#This Row],[24Lnd]]</f>
        <v>-0.37455830388692579</v>
      </c>
      <c r="BU1064" s="36">
        <f>(Inventory[[#This Row],[Adjusted Total]]-Inventory[[#This Row],[24Final]])/Inventory[[#This Row],[24Final]]</f>
        <v>0.10749774164408311</v>
      </c>
    </row>
    <row r="1065" spans="1:73" x14ac:dyDescent="0.3">
      <c r="A1065" s="25">
        <v>2025</v>
      </c>
      <c r="B1065" s="26" t="s">
        <v>2863</v>
      </c>
      <c r="C1065" s="26">
        <f>LN(Inventory[[#This Row],[Acres]])</f>
        <v>-1.7719568419318752</v>
      </c>
      <c r="D1065" s="25">
        <v>0.17</v>
      </c>
      <c r="E1065" s="31"/>
      <c r="F1065" s="26" t="s">
        <v>537</v>
      </c>
      <c r="G1065" s="26" t="s">
        <v>126</v>
      </c>
      <c r="H1065" s="26" t="s">
        <v>349</v>
      </c>
      <c r="I1065" s="26" t="s">
        <v>538</v>
      </c>
      <c r="J1065" s="26" t="s">
        <v>539</v>
      </c>
      <c r="K1065" s="26" t="s">
        <v>242</v>
      </c>
      <c r="L1065" s="26" t="s">
        <v>351</v>
      </c>
      <c r="M1065" s="26" t="s">
        <v>303</v>
      </c>
      <c r="N1065" s="26">
        <v>80</v>
      </c>
      <c r="O1065" s="26">
        <f>2024-Inventory[[#This Row],[YrBlt]]</f>
        <v>79</v>
      </c>
      <c r="P1065" s="26">
        <f>2024-Inventory[[#This Row],[EffYr]]</f>
        <v>29</v>
      </c>
      <c r="Q1065" s="25">
        <v>1945</v>
      </c>
      <c r="R1065" s="25">
        <v>1995</v>
      </c>
      <c r="S1065" s="25">
        <v>860</v>
      </c>
      <c r="T1065" s="27"/>
      <c r="U1065" s="25">
        <v>860</v>
      </c>
      <c r="V1065" s="25">
        <f>Inventory[[#This Row],[Bsmt]]-Inventory[[#This Row],[FnBsmt]]</f>
        <v>0</v>
      </c>
      <c r="W1065" s="25">
        <v>860</v>
      </c>
      <c r="X1065" s="27"/>
      <c r="Y1065" s="27">
        <f>Inventory[[#This Row],[MainFn]]+Inventory[[#This Row],[UpprFn]]+Inventory[[#This Row],[FnBsmt]]+Inventory[[#This Row],[AddFn]]</f>
        <v>1720</v>
      </c>
      <c r="Z1065" s="27">
        <v>2000</v>
      </c>
      <c r="AA1065" s="25">
        <v>8</v>
      </c>
      <c r="AB1065" s="27"/>
      <c r="AC1065" s="27"/>
      <c r="AD1065" s="32">
        <v>192</v>
      </c>
      <c r="AE1065" s="27"/>
      <c r="AF1065" s="27"/>
      <c r="AG1065" s="27"/>
      <c r="AH1065" s="27"/>
      <c r="AI1065" s="25">
        <v>224180</v>
      </c>
      <c r="AJ1065" s="25">
        <v>195037</v>
      </c>
      <c r="AK1065" s="25">
        <v>0</v>
      </c>
      <c r="AL1065" s="25">
        <v>315900</v>
      </c>
      <c r="AM1065" s="25">
        <v>52700</v>
      </c>
      <c r="AN1065" s="25">
        <v>263200</v>
      </c>
      <c r="AO1065" s="25">
        <v>0</v>
      </c>
      <c r="AP1065" s="25">
        <f>Lookups!$B$56*0</f>
        <v>0</v>
      </c>
      <c r="AQ1065" s="25">
        <f>Lookups!$B$56*1</f>
        <v>89850.625589999996</v>
      </c>
      <c r="AR1065" s="25">
        <f>Lookups!$B$57*Inventory[[#This Row],[LnAcres]]</f>
        <v>-56090.612940989391</v>
      </c>
      <c r="AS1065" s="25">
        <f>VLOOKUP(Inventory[[#This Row],[Qlty]],Lookups!$A$62:$E$75,2,FALSE)</f>
        <v>21557.329055999999</v>
      </c>
      <c r="AT1065" s="25">
        <f>VLOOKUP(Inventory[[#This Row],[Cnd]],Lookups!$A$76:$E$84,2,FALSE)</f>
        <v>197752.34721000001</v>
      </c>
      <c r="AU1065" s="25">
        <f>Inventory[[#This Row],[EffAge]]*Lookups!$B$85</f>
        <v>-6468.3224145000004</v>
      </c>
      <c r="AV1065" s="25">
        <f>Inventory[[#This Row],[MainFn]]*Lookups!$B$86</f>
        <v>42491.456094220004</v>
      </c>
      <c r="AW1065" s="25">
        <f>Inventory[[#This Row],[UpprFn]]*Lookups!$B$87</f>
        <v>0</v>
      </c>
      <c r="AX1065" s="25">
        <f>Inventory[[#This Row],[AddFn]]*Lookups!$B$88</f>
        <v>0</v>
      </c>
      <c r="AY1065" s="25">
        <f>Inventory[[#This Row],[Bsmt]]*Lookups!$B$89</f>
        <v>25010.429912419997</v>
      </c>
      <c r="AZ1065" s="25">
        <f>Inventory[[#This Row],[Fixtures]]*Lookups!$B$90</f>
        <v>30336.176841600001</v>
      </c>
      <c r="BA1065" s="25">
        <f>Inventory[[#This Row],[WdDeck]]*Lookups!$B$91</f>
        <v>6392.7389329920006</v>
      </c>
      <c r="BB1065" s="25">
        <f>ROUND(Inventory[[#This Row],[25Det]],-2)</f>
        <v>0</v>
      </c>
      <c r="BC1065" s="25">
        <f>ROUND(SUM(Inventory[[#This Row],[Mdl Qlty]:[Mdl WdDeck]])+Inventory[[#This Row],[Mdl Res Intercept]],-2)</f>
        <v>317100</v>
      </c>
      <c r="BD1065" s="25">
        <f>ROUND(Inventory[[#This Row],[Mdl Land Intercept]]+Inventory[[#This Row],[Mdl LnAcres]],-2)</f>
        <v>33800</v>
      </c>
      <c r="BE1065" s="25">
        <f>Inventory[[#This Row],[Unadj Res Value]]+Inventory[[#This Row],[Unadj Det Value]]+Inventory[[#This Row],[Unadj Land Value]]</f>
        <v>350900</v>
      </c>
      <c r="BF1065" s="36">
        <f>(Inventory[[#This Row],[Unadj Total Value]]-Inventory[[#This Row],[24Final]])/Inventory[[#This Row],[24Final]]</f>
        <v>0.11079455523899968</v>
      </c>
      <c r="BG1065" s="25">
        <f>VLOOKUP(Inventory[[#This Row],[Nbhd]],Lookups!$Q$2:$T$4,4,FALSE)</f>
        <v>0.99970000000000003</v>
      </c>
      <c r="BH1065" s="25">
        <f>VLOOKUP(Inventory[[#This Row],[Qlty]],Lookups!$O$7:$R$21,4,FALSE)</f>
        <v>1.0067999999999999</v>
      </c>
      <c r="BI1065" s="25">
        <f>VLOOKUP(Inventory[[#This Row],[Cnd]],Lookups!$T$7:$W$16,4,FALSE)</f>
        <v>0.99650000000000005</v>
      </c>
      <c r="BJ1065" s="25">
        <f>VLOOKUP(Inventory[[#This Row],[LivArea Range]],Lookups!$T$25:$W$37,4,FALSE)</f>
        <v>1.0093000000000001</v>
      </c>
      <c r="BK1065" s="25">
        <f>VLOOKUP(Inventory[[#This Row],[Decade]],Lookups!$O$25:$R$42,4,FALSE)</f>
        <v>0.995</v>
      </c>
      <c r="BL1065" s="25">
        <f>Inventory[[#This Row],[Nbhd Adj]]*0.95</f>
        <v>0.94971499999999998</v>
      </c>
      <c r="BM1065" s="25">
        <f>Inventory[[#This Row],[Nbhd Adj]]*Inventory[[#This Row],[Quality Adj]]*Inventory[[#This Row],[Condition Adj]]*Inventory[[#This Row],[Living Area Adj]]*Inventory[[#This Row],[Decade Adj]]*0.95</f>
        <v>0.95687930361479956</v>
      </c>
      <c r="BN1065" s="25">
        <f>ROUND(SUM(Inventory[[#This Row],[Mdl Qlty]:[Mdl WdDeck]])+Inventory[[#This Row],[Mdl Res Intercept]]*Inventory[[#This Row],[Res Adj ]],-2)</f>
        <v>317100</v>
      </c>
      <c r="BO1065" s="25">
        <f>ROUND(Inventory[[#This Row],[25Det]]*Inventory[[#This Row],[Det/Nbhd Adj]],-2)</f>
        <v>0</v>
      </c>
      <c r="BP1065" s="25">
        <f>Inventory[[#This Row],[Adjusted Res]]+Inventory[[#This Row],[Adj Det ]]</f>
        <v>317100</v>
      </c>
      <c r="BQ1065" s="25">
        <f>ROUND((Inventory[[#This Row],[Mdl Land Intercept]]+Inventory[[#This Row],[Mdl LnAcres]])*Inventory[[#This Row],[Det/Nbhd Adj]],-2)</f>
        <v>32100</v>
      </c>
      <c r="BR1065" s="25">
        <f>Inventory[[#This Row],[Adjusted Impr Total]]+Inventory[[#This Row],[Adjusted Land Total]]</f>
        <v>349200</v>
      </c>
      <c r="BS1065" s="36">
        <f>IFERROR((Inventory[[#This Row],[Adjusted Impr Total]]-Inventory[[#This Row],[24Bldg]])/Inventory[[#This Row],[24Bldg]],0)</f>
        <v>0.2047872340425532</v>
      </c>
      <c r="BT1065" s="36">
        <f>(Inventory[[#This Row],[Adjusted Land Total]]-Inventory[[#This Row],[24Lnd]])/Inventory[[#This Row],[24Lnd]]</f>
        <v>-0.39089184060721061</v>
      </c>
      <c r="BU1065" s="36">
        <f>(Inventory[[#This Row],[Adjusted Total]]-Inventory[[#This Row],[24Final]])/Inventory[[#This Row],[24Final]]</f>
        <v>0.10541310541310542</v>
      </c>
    </row>
    <row r="1066" spans="1:73" x14ac:dyDescent="0.3">
      <c r="A1066" s="25">
        <v>2025</v>
      </c>
      <c r="B1066" s="26" t="s">
        <v>1669</v>
      </c>
      <c r="C1066" s="26">
        <f>LN(Inventory[[#This Row],[Acres]])</f>
        <v>-1.6094379124341003</v>
      </c>
      <c r="D1066" s="25">
        <v>0.2</v>
      </c>
      <c r="E1066" s="31"/>
      <c r="F1066" s="26" t="s">
        <v>537</v>
      </c>
      <c r="G1066" s="26" t="s">
        <v>126</v>
      </c>
      <c r="H1066" s="26" t="s">
        <v>349</v>
      </c>
      <c r="I1066" s="26" t="s">
        <v>538</v>
      </c>
      <c r="J1066" s="26" t="s">
        <v>539</v>
      </c>
      <c r="K1066" s="26" t="s">
        <v>147</v>
      </c>
      <c r="L1066" s="26" t="s">
        <v>351</v>
      </c>
      <c r="M1066" s="26" t="s">
        <v>303</v>
      </c>
      <c r="N1066" s="26">
        <v>80</v>
      </c>
      <c r="O1066" s="26">
        <f>2024-Inventory[[#This Row],[YrBlt]]</f>
        <v>79</v>
      </c>
      <c r="P1066" s="26">
        <f>2024-Inventory[[#This Row],[EffYr]]</f>
        <v>52</v>
      </c>
      <c r="Q1066" s="25">
        <v>1945</v>
      </c>
      <c r="R1066" s="25">
        <v>1972</v>
      </c>
      <c r="S1066" s="25">
        <v>767</v>
      </c>
      <c r="T1066" s="32">
        <v>652</v>
      </c>
      <c r="U1066" s="32">
        <v>767</v>
      </c>
      <c r="V1066" s="32">
        <f>Inventory[[#This Row],[Bsmt]]-Inventory[[#This Row],[FnBsmt]]</f>
        <v>141</v>
      </c>
      <c r="W1066" s="32">
        <v>626</v>
      </c>
      <c r="X1066" s="27"/>
      <c r="Y1066" s="27">
        <f>Inventory[[#This Row],[MainFn]]+Inventory[[#This Row],[UpprFn]]+Inventory[[#This Row],[FnBsmt]]+Inventory[[#This Row],[AddFn]]</f>
        <v>2045</v>
      </c>
      <c r="Z1066" s="27">
        <v>2500</v>
      </c>
      <c r="AA1066" s="25">
        <v>8</v>
      </c>
      <c r="AB1066" s="25">
        <v>300</v>
      </c>
      <c r="AC1066" s="27"/>
      <c r="AD1066" s="32">
        <v>336</v>
      </c>
      <c r="AE1066" s="27"/>
      <c r="AF1066" s="27"/>
      <c r="AG1066" s="27"/>
      <c r="AH1066" s="27"/>
      <c r="AI1066" s="25">
        <v>296547</v>
      </c>
      <c r="AJ1066" s="25">
        <v>207583</v>
      </c>
      <c r="AK1066" s="25">
        <v>0</v>
      </c>
      <c r="AL1066" s="25">
        <v>340400</v>
      </c>
      <c r="AM1066" s="25">
        <v>58400</v>
      </c>
      <c r="AN1066" s="25">
        <v>282000</v>
      </c>
      <c r="AO1066" s="25">
        <v>0</v>
      </c>
      <c r="AP1066" s="25">
        <f>Lookups!$B$56*0</f>
        <v>0</v>
      </c>
      <c r="AQ1066" s="25">
        <f>Lookups!$B$56*1</f>
        <v>89850.625589999996</v>
      </c>
      <c r="AR1066" s="25">
        <f>Lookups!$B$57*Inventory[[#This Row],[LnAcres]]</f>
        <v>-50946.13867709865</v>
      </c>
      <c r="AS1066" s="25">
        <f>VLOOKUP(Inventory[[#This Row],[Qlty]],Lookups!$A$62:$E$75,2,FALSE)</f>
        <v>21557.329055999999</v>
      </c>
      <c r="AT1066" s="25">
        <f>VLOOKUP(Inventory[[#This Row],[Cnd]],Lookups!$A$76:$E$84,2,FALSE)</f>
        <v>197752.34721000001</v>
      </c>
      <c r="AU1066" s="25">
        <f>Inventory[[#This Row],[EffAge]]*Lookups!$B$85</f>
        <v>-11598.371226000001</v>
      </c>
      <c r="AV1066" s="25">
        <f>Inventory[[#This Row],[MainFn]]*Lookups!$B$86</f>
        <v>37896.449795658998</v>
      </c>
      <c r="AW1066" s="25">
        <f>Inventory[[#This Row],[UpprFn]]*Lookups!$B$87</f>
        <v>29200.747705371999</v>
      </c>
      <c r="AX1066" s="25">
        <f>Inventory[[#This Row],[AddFn]]*Lookups!$B$88</f>
        <v>0</v>
      </c>
      <c r="AY1066" s="25">
        <f>Inventory[[#This Row],[Bsmt]]*Lookups!$B$89</f>
        <v>22305.813654448997</v>
      </c>
      <c r="AZ1066" s="25">
        <f>Inventory[[#This Row],[Fixtures]]*Lookups!$B$90</f>
        <v>30336.176841600001</v>
      </c>
      <c r="BA1066" s="25">
        <f>Inventory[[#This Row],[WdDeck]]*Lookups!$B$91</f>
        <v>11187.293132736002</v>
      </c>
      <c r="BB1066" s="25">
        <f>ROUND(Inventory[[#This Row],[25Det]],-2)</f>
        <v>0</v>
      </c>
      <c r="BC1066" s="25">
        <f>ROUND(SUM(Inventory[[#This Row],[Mdl Qlty]:[Mdl WdDeck]])+Inventory[[#This Row],[Mdl Res Intercept]],-2)</f>
        <v>338600</v>
      </c>
      <c r="BD1066" s="25">
        <f>ROUND(Inventory[[#This Row],[Mdl Land Intercept]]+Inventory[[#This Row],[Mdl LnAcres]],-2)</f>
        <v>38900</v>
      </c>
      <c r="BE1066" s="25">
        <f>Inventory[[#This Row],[Unadj Res Value]]+Inventory[[#This Row],[Unadj Det Value]]+Inventory[[#This Row],[Unadj Land Value]]</f>
        <v>377500</v>
      </c>
      <c r="BF1066" s="36">
        <f>(Inventory[[#This Row],[Unadj Total Value]]-Inventory[[#This Row],[24Final]])/Inventory[[#This Row],[24Final]]</f>
        <v>0.10898942420681551</v>
      </c>
      <c r="BG1066" s="25">
        <f>VLOOKUP(Inventory[[#This Row],[Nbhd]],Lookups!$Q$2:$T$4,4,FALSE)</f>
        <v>0.99970000000000003</v>
      </c>
      <c r="BH1066" s="25">
        <f>VLOOKUP(Inventory[[#This Row],[Qlty]],Lookups!$O$7:$R$21,4,FALSE)</f>
        <v>1.0067999999999999</v>
      </c>
      <c r="BI1066" s="25">
        <f>VLOOKUP(Inventory[[#This Row],[Cnd]],Lookups!$T$7:$W$16,4,FALSE)</f>
        <v>0.99650000000000005</v>
      </c>
      <c r="BJ1066" s="25">
        <f>VLOOKUP(Inventory[[#This Row],[LivArea Range]],Lookups!$T$25:$W$37,4,FALSE)</f>
        <v>0.98919999999999997</v>
      </c>
      <c r="BK1066" s="25">
        <f>VLOOKUP(Inventory[[#This Row],[Decade]],Lookups!$O$25:$R$42,4,FALSE)</f>
        <v>0.995</v>
      </c>
      <c r="BL1066" s="25">
        <f>Inventory[[#This Row],[Nbhd Adj]]*0.95</f>
        <v>0.94971499999999998</v>
      </c>
      <c r="BM1066" s="25">
        <f>Inventory[[#This Row],[Nbhd Adj]]*Inventory[[#This Row],[Quality Adj]]*Inventory[[#This Row],[Condition Adj]]*Inventory[[#This Row],[Living Area Adj]]*Inventory[[#This Row],[Decade Adj]]*0.95</f>
        <v>0.93782325090236773</v>
      </c>
      <c r="BN1066" s="25">
        <f>ROUND(SUM(Inventory[[#This Row],[Mdl Qlty]:[Mdl WdDeck]])+Inventory[[#This Row],[Mdl Res Intercept]]*Inventory[[#This Row],[Res Adj ]],-2)</f>
        <v>338600</v>
      </c>
      <c r="BO1066" s="25">
        <f>ROUND(Inventory[[#This Row],[25Det]]*Inventory[[#This Row],[Det/Nbhd Adj]],-2)</f>
        <v>0</v>
      </c>
      <c r="BP1066" s="25">
        <f>Inventory[[#This Row],[Adjusted Res]]+Inventory[[#This Row],[Adj Det ]]</f>
        <v>338600</v>
      </c>
      <c r="BQ1066" s="25">
        <f>ROUND((Inventory[[#This Row],[Mdl Land Intercept]]+Inventory[[#This Row],[Mdl LnAcres]])*Inventory[[#This Row],[Det/Nbhd Adj]],-2)</f>
        <v>36900</v>
      </c>
      <c r="BR1066" s="25">
        <f>Inventory[[#This Row],[Adjusted Impr Total]]+Inventory[[#This Row],[Adjusted Land Total]]</f>
        <v>375500</v>
      </c>
      <c r="BS1066" s="36">
        <f>IFERROR((Inventory[[#This Row],[Adjusted Impr Total]]-Inventory[[#This Row],[24Bldg]])/Inventory[[#This Row],[24Bldg]],0)</f>
        <v>0.20070921985815604</v>
      </c>
      <c r="BT1066" s="36">
        <f>(Inventory[[#This Row],[Adjusted Land Total]]-Inventory[[#This Row],[24Lnd]])/Inventory[[#This Row],[24Lnd]]</f>
        <v>-0.36815068493150682</v>
      </c>
      <c r="BU1066" s="36">
        <f>(Inventory[[#This Row],[Adjusted Total]]-Inventory[[#This Row],[24Final]])/Inventory[[#This Row],[24Final]]</f>
        <v>0.10311398354876616</v>
      </c>
    </row>
    <row r="1067" spans="1:73" x14ac:dyDescent="0.3">
      <c r="A1067" s="25">
        <v>2025</v>
      </c>
      <c r="B1067" s="26" t="s">
        <v>2595</v>
      </c>
      <c r="C1067" s="26">
        <f>LN(Inventory[[#This Row],[Acres]])</f>
        <v>-1.8325814637483102</v>
      </c>
      <c r="D1067" s="25">
        <v>0.16</v>
      </c>
      <c r="E1067" s="25">
        <v>6860</v>
      </c>
      <c r="F1067" s="26" t="s">
        <v>537</v>
      </c>
      <c r="G1067" s="26" t="s">
        <v>126</v>
      </c>
      <c r="H1067" s="26" t="s">
        <v>349</v>
      </c>
      <c r="I1067" s="26" t="s">
        <v>538</v>
      </c>
      <c r="J1067" s="26" t="s">
        <v>539</v>
      </c>
      <c r="K1067" s="26" t="s">
        <v>173</v>
      </c>
      <c r="L1067" s="26" t="s">
        <v>351</v>
      </c>
      <c r="M1067" s="26" t="s">
        <v>303</v>
      </c>
      <c r="N1067" s="26">
        <v>80</v>
      </c>
      <c r="O1067" s="26">
        <f>2024-Inventory[[#This Row],[YrBlt]]</f>
        <v>79</v>
      </c>
      <c r="P1067" s="26">
        <f>2024-Inventory[[#This Row],[EffYr]]</f>
        <v>52</v>
      </c>
      <c r="Q1067" s="25">
        <v>1945</v>
      </c>
      <c r="R1067" s="25">
        <v>1972</v>
      </c>
      <c r="S1067" s="25">
        <v>1038</v>
      </c>
      <c r="T1067" s="25">
        <v>390</v>
      </c>
      <c r="U1067" s="25">
        <v>435</v>
      </c>
      <c r="V1067" s="32">
        <f>Inventory[[#This Row],[Bsmt]]-Inventory[[#This Row],[FnBsmt]]</f>
        <v>435</v>
      </c>
      <c r="W1067" s="27"/>
      <c r="X1067" s="27"/>
      <c r="Y1067" s="27">
        <f>Inventory[[#This Row],[MainFn]]+Inventory[[#This Row],[UpprFn]]+Inventory[[#This Row],[FnBsmt]]+Inventory[[#This Row],[AddFn]]</f>
        <v>1428</v>
      </c>
      <c r="Z1067" s="27">
        <v>1500</v>
      </c>
      <c r="AA1067" s="25">
        <v>5</v>
      </c>
      <c r="AB1067" s="27"/>
      <c r="AC1067" s="27"/>
      <c r="AD1067" s="31"/>
      <c r="AE1067" s="27"/>
      <c r="AF1067" s="27"/>
      <c r="AG1067" s="27"/>
      <c r="AH1067" s="27"/>
      <c r="AI1067" s="25">
        <v>236318</v>
      </c>
      <c r="AJ1067" s="25">
        <v>165423</v>
      </c>
      <c r="AK1067" s="25">
        <v>5441</v>
      </c>
      <c r="AL1067" s="25">
        <v>312700</v>
      </c>
      <c r="AM1067" s="25">
        <v>50600</v>
      </c>
      <c r="AN1067" s="25">
        <v>262100</v>
      </c>
      <c r="AO1067" s="25">
        <v>0</v>
      </c>
      <c r="AP1067" s="25">
        <f>Lookups!$B$56*0</f>
        <v>0</v>
      </c>
      <c r="AQ1067" s="25">
        <f>Lookups!$B$56*1</f>
        <v>89850.625589999996</v>
      </c>
      <c r="AR1067" s="25">
        <f>Lookups!$B$57*Inventory[[#This Row],[LnAcres]]</f>
        <v>-58009.662049032086</v>
      </c>
      <c r="AS1067" s="25">
        <f>VLOOKUP(Inventory[[#This Row],[Qlty]],Lookups!$A$62:$E$75,2,FALSE)</f>
        <v>21557.329055999999</v>
      </c>
      <c r="AT1067" s="25">
        <f>VLOOKUP(Inventory[[#This Row],[Cnd]],Lookups!$A$76:$E$84,2,FALSE)</f>
        <v>197752.34721000001</v>
      </c>
      <c r="AU1067" s="25">
        <f>Inventory[[#This Row],[EffAge]]*Lookups!$B$85</f>
        <v>-11598.371226000001</v>
      </c>
      <c r="AV1067" s="25">
        <f>Inventory[[#This Row],[MainFn]]*Lookups!$B$86</f>
        <v>51286.199332326003</v>
      </c>
      <c r="AW1067" s="25">
        <f>Inventory[[#This Row],[UpprFn]]*Lookups!$B$87</f>
        <v>17466.70491579</v>
      </c>
      <c r="AX1067" s="25">
        <f>Inventory[[#This Row],[AddFn]]*Lookups!$B$88</f>
        <v>0</v>
      </c>
      <c r="AY1067" s="25">
        <f>Inventory[[#This Row],[Bsmt]]*Lookups!$B$89</f>
        <v>12650.624432445</v>
      </c>
      <c r="AZ1067" s="25">
        <f>Inventory[[#This Row],[Fixtures]]*Lookups!$B$90</f>
        <v>18960.110526</v>
      </c>
      <c r="BA1067" s="25">
        <f>Inventory[[#This Row],[WdDeck]]*Lookups!$B$91</f>
        <v>0</v>
      </c>
      <c r="BB1067" s="25">
        <f>ROUND(Inventory[[#This Row],[25Det]],-2)</f>
        <v>5400</v>
      </c>
      <c r="BC1067" s="25">
        <f>ROUND(SUM(Inventory[[#This Row],[Mdl Qlty]:[Mdl WdDeck]])+Inventory[[#This Row],[Mdl Res Intercept]],-2)</f>
        <v>308100</v>
      </c>
      <c r="BD1067" s="25">
        <f>ROUND(Inventory[[#This Row],[Mdl Land Intercept]]+Inventory[[#This Row],[Mdl LnAcres]],-2)</f>
        <v>31800</v>
      </c>
      <c r="BE1067" s="25">
        <f>Inventory[[#This Row],[Unadj Res Value]]+Inventory[[#This Row],[Unadj Det Value]]+Inventory[[#This Row],[Unadj Land Value]]</f>
        <v>345300</v>
      </c>
      <c r="BF1067" s="36">
        <f>(Inventory[[#This Row],[Unadj Total Value]]-Inventory[[#This Row],[24Final]])/Inventory[[#This Row],[24Final]]</f>
        <v>0.10425327790214263</v>
      </c>
      <c r="BG1067" s="25">
        <f>VLOOKUP(Inventory[[#This Row],[Nbhd]],Lookups!$Q$2:$T$4,4,FALSE)</f>
        <v>0.99970000000000003</v>
      </c>
      <c r="BH1067" s="25">
        <f>VLOOKUP(Inventory[[#This Row],[Qlty]],Lookups!$O$7:$R$21,4,FALSE)</f>
        <v>1.0067999999999999</v>
      </c>
      <c r="BI1067" s="25">
        <f>VLOOKUP(Inventory[[#This Row],[Cnd]],Lookups!$T$7:$W$16,4,FALSE)</f>
        <v>0.99650000000000005</v>
      </c>
      <c r="BJ1067" s="25">
        <f>VLOOKUP(Inventory[[#This Row],[LivArea Range]],Lookups!$T$25:$W$37,4,FALSE)</f>
        <v>1.0157</v>
      </c>
      <c r="BK1067" s="25">
        <f>VLOOKUP(Inventory[[#This Row],[Decade]],Lookups!$O$25:$R$42,4,FALSE)</f>
        <v>0.995</v>
      </c>
      <c r="BL1067" s="25">
        <f>Inventory[[#This Row],[Nbhd Adj]]*0.95</f>
        <v>0.94971499999999998</v>
      </c>
      <c r="BM1067" s="25">
        <f>Inventory[[#This Row],[Nbhd Adj]]*Inventory[[#This Row],[Quality Adj]]*Inventory[[#This Row],[Condition Adj]]*Inventory[[#This Row],[Living Area Adj]]*Inventory[[#This Row],[Decade Adj]]*0.95</f>
        <v>0.96294690248840986</v>
      </c>
      <c r="BN1067" s="25">
        <f>ROUND(SUM(Inventory[[#This Row],[Mdl Qlty]:[Mdl WdDeck]])+Inventory[[#This Row],[Mdl Res Intercept]]*Inventory[[#This Row],[Res Adj ]],-2)</f>
        <v>308100</v>
      </c>
      <c r="BO1067" s="25">
        <f>ROUND(Inventory[[#This Row],[25Det]]*Inventory[[#This Row],[Det/Nbhd Adj]],-2)</f>
        <v>5200</v>
      </c>
      <c r="BP1067" s="25">
        <f>Inventory[[#This Row],[Adjusted Res]]+Inventory[[#This Row],[Adj Det ]]</f>
        <v>313300</v>
      </c>
      <c r="BQ1067" s="25">
        <f>ROUND((Inventory[[#This Row],[Mdl Land Intercept]]+Inventory[[#This Row],[Mdl LnAcres]])*Inventory[[#This Row],[Det/Nbhd Adj]],-2)</f>
        <v>30200</v>
      </c>
      <c r="BR1067" s="25">
        <f>Inventory[[#This Row],[Adjusted Impr Total]]+Inventory[[#This Row],[Adjusted Land Total]]</f>
        <v>343500</v>
      </c>
      <c r="BS1067" s="36">
        <f>IFERROR((Inventory[[#This Row],[Adjusted Impr Total]]-Inventory[[#This Row],[24Bldg]])/Inventory[[#This Row],[24Bldg]],0)</f>
        <v>0.19534528805799314</v>
      </c>
      <c r="BT1067" s="36">
        <f>(Inventory[[#This Row],[Adjusted Land Total]]-Inventory[[#This Row],[24Lnd]])/Inventory[[#This Row],[24Lnd]]</f>
        <v>-0.40316205533596838</v>
      </c>
      <c r="BU1067" s="36">
        <f>(Inventory[[#This Row],[Adjusted Total]]-Inventory[[#This Row],[24Final]])/Inventory[[#This Row],[24Final]]</f>
        <v>9.8496961944355615E-2</v>
      </c>
    </row>
    <row r="1068" spans="1:73" x14ac:dyDescent="0.3">
      <c r="A1068" s="25">
        <v>2025</v>
      </c>
      <c r="B1068" s="26" t="s">
        <v>899</v>
      </c>
      <c r="C1068" s="26">
        <f>LN(Inventory[[#This Row],[Acres]])</f>
        <v>-2.120263536200091</v>
      </c>
      <c r="D1068" s="25">
        <v>0.12</v>
      </c>
      <c r="E1068" s="25">
        <v>5022</v>
      </c>
      <c r="F1068" s="26" t="s">
        <v>537</v>
      </c>
      <c r="G1068" s="26" t="s">
        <v>126</v>
      </c>
      <c r="H1068" s="26" t="s">
        <v>349</v>
      </c>
      <c r="I1068" s="26" t="s">
        <v>538</v>
      </c>
      <c r="J1068" s="26" t="s">
        <v>539</v>
      </c>
      <c r="K1068" s="26" t="s">
        <v>242</v>
      </c>
      <c r="L1068" s="26" t="s">
        <v>351</v>
      </c>
      <c r="M1068" s="26" t="s">
        <v>323</v>
      </c>
      <c r="N1068" s="26">
        <v>80</v>
      </c>
      <c r="O1068" s="26">
        <f>2024-Inventory[[#This Row],[YrBlt]]</f>
        <v>79</v>
      </c>
      <c r="P1068" s="26">
        <f>2024-Inventory[[#This Row],[EffYr]]</f>
        <v>52</v>
      </c>
      <c r="Q1068" s="25">
        <v>1945</v>
      </c>
      <c r="R1068" s="25">
        <v>1972</v>
      </c>
      <c r="S1068" s="25">
        <v>1056</v>
      </c>
      <c r="T1068" s="27"/>
      <c r="U1068" s="25">
        <v>1074</v>
      </c>
      <c r="V1068" s="25">
        <f>Inventory[[#This Row],[Bsmt]]-Inventory[[#This Row],[FnBsmt]]</f>
        <v>1074</v>
      </c>
      <c r="W1068" s="31"/>
      <c r="X1068" s="27"/>
      <c r="Y1068" s="27">
        <f>Inventory[[#This Row],[MainFn]]+Inventory[[#This Row],[UpprFn]]+Inventory[[#This Row],[FnBsmt]]+Inventory[[#This Row],[AddFn]]</f>
        <v>1056</v>
      </c>
      <c r="Z1068" s="27">
        <v>1500</v>
      </c>
      <c r="AA1068" s="25">
        <v>5</v>
      </c>
      <c r="AB1068" s="27"/>
      <c r="AC1068" s="27"/>
      <c r="AD1068" s="27"/>
      <c r="AE1068" s="27"/>
      <c r="AF1068" s="27"/>
      <c r="AG1068" s="27"/>
      <c r="AH1068" s="27"/>
      <c r="AI1068" s="25">
        <v>212592</v>
      </c>
      <c r="AJ1068" s="25">
        <v>144563</v>
      </c>
      <c r="AK1068" s="25">
        <v>6802</v>
      </c>
      <c r="AL1068" s="25">
        <v>274200</v>
      </c>
      <c r="AM1068" s="25">
        <v>40600</v>
      </c>
      <c r="AN1068" s="25">
        <v>233600</v>
      </c>
      <c r="AO1068" s="25">
        <v>0</v>
      </c>
      <c r="AP1068" s="25">
        <f>Lookups!$B$56*0</f>
        <v>0</v>
      </c>
      <c r="AQ1068" s="25">
        <f>Lookups!$B$56*1</f>
        <v>89850.625589999996</v>
      </c>
      <c r="AR1068" s="25">
        <f>Lookups!$B$57*Inventory[[#This Row],[LnAcres]]</f>
        <v>-67116.12750806773</v>
      </c>
      <c r="AS1068" s="25">
        <f>VLOOKUP(Inventory[[#This Row],[Qlty]],Lookups!$A$62:$E$75,2,FALSE)</f>
        <v>21557.329055999999</v>
      </c>
      <c r="AT1068" s="25">
        <f>VLOOKUP(Inventory[[#This Row],[Cnd]],Lookups!$A$76:$E$84,2,FALSE)</f>
        <v>160472.20319</v>
      </c>
      <c r="AU1068" s="25">
        <f>Inventory[[#This Row],[EffAge]]*Lookups!$B$85</f>
        <v>-11598.371226000001</v>
      </c>
      <c r="AV1068" s="25">
        <f>Inventory[[#This Row],[MainFn]]*Lookups!$B$86</f>
        <v>52175.555390112</v>
      </c>
      <c r="AW1068" s="25">
        <f>Inventory[[#This Row],[UpprFn]]*Lookups!$B$87</f>
        <v>0</v>
      </c>
      <c r="AX1068" s="25">
        <f>Inventory[[#This Row],[AddFn]]*Lookups!$B$88</f>
        <v>0</v>
      </c>
      <c r="AY1068" s="25">
        <f>Inventory[[#This Row],[Bsmt]]*Lookups!$B$89</f>
        <v>31233.955495277998</v>
      </c>
      <c r="AZ1068" s="25">
        <f>Inventory[[#This Row],[Fixtures]]*Lookups!$B$90</f>
        <v>18960.110526</v>
      </c>
      <c r="BA1068" s="25">
        <f>Inventory[[#This Row],[WdDeck]]*Lookups!$B$91</f>
        <v>0</v>
      </c>
      <c r="BB1068" s="25">
        <f>ROUND(Inventory[[#This Row],[25Det]],-2)</f>
        <v>6800</v>
      </c>
      <c r="BC1068" s="25">
        <f>ROUND(SUM(Inventory[[#This Row],[Mdl Qlty]:[Mdl WdDeck]])+Inventory[[#This Row],[Mdl Res Intercept]],-2)</f>
        <v>272800</v>
      </c>
      <c r="BD1068" s="25">
        <f>ROUND(Inventory[[#This Row],[Mdl Land Intercept]]+Inventory[[#This Row],[Mdl LnAcres]],-2)</f>
        <v>22700</v>
      </c>
      <c r="BE1068" s="25">
        <f>Inventory[[#This Row],[Unadj Res Value]]+Inventory[[#This Row],[Unadj Det Value]]+Inventory[[#This Row],[Unadj Land Value]]</f>
        <v>302300</v>
      </c>
      <c r="BF1068" s="36">
        <f>(Inventory[[#This Row],[Unadj Total Value]]-Inventory[[#This Row],[24Final]])/Inventory[[#This Row],[24Final]]</f>
        <v>0.1024799416484318</v>
      </c>
      <c r="BG1068" s="25">
        <f>VLOOKUP(Inventory[[#This Row],[Nbhd]],Lookups!$Q$2:$T$4,4,FALSE)</f>
        <v>0.99970000000000003</v>
      </c>
      <c r="BH1068" s="25">
        <f>VLOOKUP(Inventory[[#This Row],[Qlty]],Lookups!$O$7:$R$21,4,FALSE)</f>
        <v>1.0067999999999999</v>
      </c>
      <c r="BI1068" s="25">
        <f>VLOOKUP(Inventory[[#This Row],[Cnd]],Lookups!$T$7:$W$16,4,FALSE)</f>
        <v>0.99729999999999996</v>
      </c>
      <c r="BJ1068" s="25">
        <f>VLOOKUP(Inventory[[#This Row],[LivArea Range]],Lookups!$T$25:$W$37,4,FALSE)</f>
        <v>1.0157</v>
      </c>
      <c r="BK1068" s="25">
        <f>VLOOKUP(Inventory[[#This Row],[Decade]],Lookups!$O$25:$R$42,4,FALSE)</f>
        <v>0.995</v>
      </c>
      <c r="BL1068" s="25">
        <f>Inventory[[#This Row],[Nbhd Adj]]*0.95</f>
        <v>0.94971499999999998</v>
      </c>
      <c r="BM1068" s="25">
        <f>Inventory[[#This Row],[Nbhd Adj]]*Inventory[[#This Row],[Quality Adj]]*Inventory[[#This Row],[Condition Adj]]*Inventory[[#This Row],[Living Area Adj]]*Inventory[[#This Row],[Decade Adj]]*0.95</f>
        <v>0.96371996573175212</v>
      </c>
      <c r="BN1068" s="25">
        <f>ROUND(SUM(Inventory[[#This Row],[Mdl Qlty]:[Mdl WdDeck]])+Inventory[[#This Row],[Mdl Res Intercept]]*Inventory[[#This Row],[Res Adj ]],-2)</f>
        <v>272800</v>
      </c>
      <c r="BO1068" s="25">
        <f>ROUND(Inventory[[#This Row],[25Det]]*Inventory[[#This Row],[Det/Nbhd Adj]],-2)</f>
        <v>6500</v>
      </c>
      <c r="BP1068" s="25">
        <f>Inventory[[#This Row],[Adjusted Res]]+Inventory[[#This Row],[Adj Det ]]</f>
        <v>279300</v>
      </c>
      <c r="BQ1068" s="25">
        <f>ROUND((Inventory[[#This Row],[Mdl Land Intercept]]+Inventory[[#This Row],[Mdl LnAcres]])*Inventory[[#This Row],[Det/Nbhd Adj]],-2)</f>
        <v>21600</v>
      </c>
      <c r="BR1068" s="25">
        <f>Inventory[[#This Row],[Adjusted Impr Total]]+Inventory[[#This Row],[Adjusted Land Total]]</f>
        <v>300900</v>
      </c>
      <c r="BS1068" s="36">
        <f>IFERROR((Inventory[[#This Row],[Adjusted Impr Total]]-Inventory[[#This Row],[24Bldg]])/Inventory[[#This Row],[24Bldg]],0)</f>
        <v>0.19563356164383561</v>
      </c>
      <c r="BT1068" s="36">
        <f>(Inventory[[#This Row],[Adjusted Land Total]]-Inventory[[#This Row],[24Lnd]])/Inventory[[#This Row],[24Lnd]]</f>
        <v>-0.46798029556650245</v>
      </c>
      <c r="BU1068" s="36">
        <f>(Inventory[[#This Row],[Adjusted Total]]-Inventory[[#This Row],[24Final]])/Inventory[[#This Row],[24Final]]</f>
        <v>9.7374179431072211E-2</v>
      </c>
    </row>
    <row r="1069" spans="1:73" x14ac:dyDescent="0.3">
      <c r="A1069" s="25">
        <v>2025</v>
      </c>
      <c r="B1069" s="26" t="s">
        <v>1436</v>
      </c>
      <c r="C1069" s="26">
        <f>LN(Inventory[[#This Row],[Acres]])</f>
        <v>-1.3470736479666092</v>
      </c>
      <c r="D1069" s="25">
        <v>0.26</v>
      </c>
      <c r="E1069" s="25">
        <v>11114</v>
      </c>
      <c r="F1069" s="26" t="s">
        <v>537</v>
      </c>
      <c r="G1069" s="26" t="s">
        <v>126</v>
      </c>
      <c r="H1069" s="26" t="s">
        <v>349</v>
      </c>
      <c r="I1069" s="26" t="s">
        <v>538</v>
      </c>
      <c r="J1069" s="26" t="s">
        <v>539</v>
      </c>
      <c r="K1069" s="26" t="s">
        <v>173</v>
      </c>
      <c r="L1069" s="26" t="s">
        <v>351</v>
      </c>
      <c r="M1069" s="26" t="s">
        <v>323</v>
      </c>
      <c r="N1069" s="26">
        <v>80</v>
      </c>
      <c r="O1069" s="26">
        <f>2024-Inventory[[#This Row],[YrBlt]]</f>
        <v>79</v>
      </c>
      <c r="P1069" s="26">
        <f>2024-Inventory[[#This Row],[EffYr]]</f>
        <v>52</v>
      </c>
      <c r="Q1069" s="25">
        <v>1945</v>
      </c>
      <c r="R1069" s="25">
        <v>1972</v>
      </c>
      <c r="S1069" s="25">
        <v>1312</v>
      </c>
      <c r="T1069" s="25">
        <v>195</v>
      </c>
      <c r="U1069" s="25">
        <v>640</v>
      </c>
      <c r="V1069" s="32">
        <f>Inventory[[#This Row],[Bsmt]]-Inventory[[#This Row],[FnBsmt]]</f>
        <v>640</v>
      </c>
      <c r="W1069" s="27"/>
      <c r="X1069" s="27"/>
      <c r="Y1069" s="27">
        <f>Inventory[[#This Row],[MainFn]]+Inventory[[#This Row],[UpprFn]]+Inventory[[#This Row],[FnBsmt]]+Inventory[[#This Row],[AddFn]]</f>
        <v>1507</v>
      </c>
      <c r="Z1069" s="27">
        <v>2000</v>
      </c>
      <c r="AA1069" s="25">
        <v>5</v>
      </c>
      <c r="AB1069" s="27"/>
      <c r="AC1069" s="27"/>
      <c r="AD1069" s="32">
        <v>300</v>
      </c>
      <c r="AE1069" s="27"/>
      <c r="AF1069" s="27"/>
      <c r="AG1069" s="27"/>
      <c r="AH1069" s="27"/>
      <c r="AI1069" s="25">
        <v>258345</v>
      </c>
      <c r="AJ1069" s="25">
        <v>175675</v>
      </c>
      <c r="AK1069" s="25">
        <v>3733</v>
      </c>
      <c r="AL1069" s="25">
        <v>310000</v>
      </c>
      <c r="AM1069" s="25">
        <v>67600</v>
      </c>
      <c r="AN1069" s="25">
        <v>242400</v>
      </c>
      <c r="AO1069" s="25">
        <v>0</v>
      </c>
      <c r="AP1069" s="25">
        <f>Lookups!$B$56*0</f>
        <v>0</v>
      </c>
      <c r="AQ1069" s="25">
        <f>Lookups!$B$56*1</f>
        <v>89850.625589999996</v>
      </c>
      <c r="AR1069" s="25">
        <f>Lookups!$B$57*Inventory[[#This Row],[LnAcres]]</f>
        <v>-42641.098701210125</v>
      </c>
      <c r="AS1069" s="25">
        <f>VLOOKUP(Inventory[[#This Row],[Qlty]],Lookups!$A$62:$E$75,2,FALSE)</f>
        <v>21557.329055999999</v>
      </c>
      <c r="AT1069" s="25">
        <f>VLOOKUP(Inventory[[#This Row],[Cnd]],Lookups!$A$76:$E$84,2,FALSE)</f>
        <v>160472.20319</v>
      </c>
      <c r="AU1069" s="25">
        <f>Inventory[[#This Row],[EffAge]]*Lookups!$B$85</f>
        <v>-11598.371226000001</v>
      </c>
      <c r="AV1069" s="25">
        <f>Inventory[[#This Row],[MainFn]]*Lookups!$B$86</f>
        <v>64824.174878623999</v>
      </c>
      <c r="AW1069" s="25">
        <f>Inventory[[#This Row],[UpprFn]]*Lookups!$B$87</f>
        <v>8733.352457895</v>
      </c>
      <c r="AX1069" s="25">
        <f>Inventory[[#This Row],[AddFn]]*Lookups!$B$88</f>
        <v>0</v>
      </c>
      <c r="AY1069" s="25">
        <f>Inventory[[#This Row],[Bsmt]]*Lookups!$B$89</f>
        <v>18612.41295808</v>
      </c>
      <c r="AZ1069" s="25">
        <f>Inventory[[#This Row],[Fixtures]]*Lookups!$B$90</f>
        <v>18960.110526</v>
      </c>
      <c r="BA1069" s="25">
        <f>Inventory[[#This Row],[WdDeck]]*Lookups!$B$91</f>
        <v>9988.6545828000017</v>
      </c>
      <c r="BB1069" s="25">
        <f>ROUND(Inventory[[#This Row],[25Det]],-2)</f>
        <v>3700</v>
      </c>
      <c r="BC1069" s="25">
        <f>ROUND(SUM(Inventory[[#This Row],[Mdl Qlty]:[Mdl WdDeck]])+Inventory[[#This Row],[Mdl Res Intercept]],-2)</f>
        <v>291500</v>
      </c>
      <c r="BD1069" s="25">
        <f>ROUND(Inventory[[#This Row],[Mdl Land Intercept]]+Inventory[[#This Row],[Mdl LnAcres]],-2)</f>
        <v>47200</v>
      </c>
      <c r="BE1069" s="25">
        <f>Inventory[[#This Row],[Unadj Res Value]]+Inventory[[#This Row],[Unadj Det Value]]+Inventory[[#This Row],[Unadj Land Value]]</f>
        <v>342400</v>
      </c>
      <c r="BF1069" s="36">
        <f>(Inventory[[#This Row],[Unadj Total Value]]-Inventory[[#This Row],[24Final]])/Inventory[[#This Row],[24Final]]</f>
        <v>0.10451612903225807</v>
      </c>
      <c r="BG1069" s="25">
        <f>VLOOKUP(Inventory[[#This Row],[Nbhd]],Lookups!$Q$2:$T$4,4,FALSE)</f>
        <v>0.99970000000000003</v>
      </c>
      <c r="BH1069" s="25">
        <f>VLOOKUP(Inventory[[#This Row],[Qlty]],Lookups!$O$7:$R$21,4,FALSE)</f>
        <v>1.0067999999999999</v>
      </c>
      <c r="BI1069" s="25">
        <f>VLOOKUP(Inventory[[#This Row],[Cnd]],Lookups!$T$7:$W$16,4,FALSE)</f>
        <v>0.99729999999999996</v>
      </c>
      <c r="BJ1069" s="25">
        <f>VLOOKUP(Inventory[[#This Row],[LivArea Range]],Lookups!$T$25:$W$37,4,FALSE)</f>
        <v>1.0093000000000001</v>
      </c>
      <c r="BK1069" s="25">
        <f>VLOOKUP(Inventory[[#This Row],[Decade]],Lookups!$O$25:$R$42,4,FALSE)</f>
        <v>0.995</v>
      </c>
      <c r="BL1069" s="25">
        <f>Inventory[[#This Row],[Nbhd Adj]]*0.95</f>
        <v>0.94971499999999998</v>
      </c>
      <c r="BM1069" s="25">
        <f>Inventory[[#This Row],[Nbhd Adj]]*Inventory[[#This Row],[Quality Adj]]*Inventory[[#This Row],[Condition Adj]]*Inventory[[#This Row],[Living Area Adj]]*Inventory[[#This Row],[Decade Adj]]*0.95</f>
        <v>0.957647495730095</v>
      </c>
      <c r="BN1069" s="25">
        <f>ROUND(SUM(Inventory[[#This Row],[Mdl Qlty]:[Mdl WdDeck]])+Inventory[[#This Row],[Mdl Res Intercept]]*Inventory[[#This Row],[Res Adj ]],-2)</f>
        <v>291500</v>
      </c>
      <c r="BO1069" s="25">
        <f>ROUND(Inventory[[#This Row],[25Det]]*Inventory[[#This Row],[Det/Nbhd Adj]],-2)</f>
        <v>3500</v>
      </c>
      <c r="BP1069" s="25">
        <f>Inventory[[#This Row],[Adjusted Res]]+Inventory[[#This Row],[Adj Det ]]</f>
        <v>295000</v>
      </c>
      <c r="BQ1069" s="25">
        <f>ROUND((Inventory[[#This Row],[Mdl Land Intercept]]+Inventory[[#This Row],[Mdl LnAcres]])*Inventory[[#This Row],[Det/Nbhd Adj]],-2)</f>
        <v>44800</v>
      </c>
      <c r="BR1069" s="25">
        <f>Inventory[[#This Row],[Adjusted Impr Total]]+Inventory[[#This Row],[Adjusted Land Total]]</f>
        <v>339800</v>
      </c>
      <c r="BS1069" s="36">
        <f>IFERROR((Inventory[[#This Row],[Adjusted Impr Total]]-Inventory[[#This Row],[24Bldg]])/Inventory[[#This Row],[24Bldg]],0)</f>
        <v>0.21699669966996699</v>
      </c>
      <c r="BT1069" s="36">
        <f>(Inventory[[#This Row],[Adjusted Land Total]]-Inventory[[#This Row],[24Lnd]])/Inventory[[#This Row],[24Lnd]]</f>
        <v>-0.33727810650887574</v>
      </c>
      <c r="BU1069" s="36">
        <f>(Inventory[[#This Row],[Adjusted Total]]-Inventory[[#This Row],[24Final]])/Inventory[[#This Row],[24Final]]</f>
        <v>9.6129032258064517E-2</v>
      </c>
    </row>
    <row r="1070" spans="1:73" x14ac:dyDescent="0.3">
      <c r="A1070" s="25">
        <v>2025</v>
      </c>
      <c r="B1070" s="26" t="s">
        <v>2604</v>
      </c>
      <c r="C1070" s="26">
        <f>LN(Inventory[[#This Row],[Acres]])</f>
        <v>-1.7719568419318752</v>
      </c>
      <c r="D1070" s="25">
        <v>0.17</v>
      </c>
      <c r="E1070" s="25">
        <v>7348</v>
      </c>
      <c r="F1070" s="26" t="s">
        <v>537</v>
      </c>
      <c r="G1070" s="26" t="s">
        <v>126</v>
      </c>
      <c r="H1070" s="26" t="s">
        <v>349</v>
      </c>
      <c r="I1070" s="26" t="s">
        <v>538</v>
      </c>
      <c r="J1070" s="26" t="s">
        <v>539</v>
      </c>
      <c r="K1070" s="26" t="s">
        <v>269</v>
      </c>
      <c r="L1070" s="26" t="s">
        <v>351</v>
      </c>
      <c r="M1070" s="26" t="s">
        <v>303</v>
      </c>
      <c r="N1070" s="26">
        <v>80</v>
      </c>
      <c r="O1070" s="26">
        <f>2024-Inventory[[#This Row],[YrBlt]]</f>
        <v>79</v>
      </c>
      <c r="P1070" s="26">
        <f>2024-Inventory[[#This Row],[EffYr]]</f>
        <v>52</v>
      </c>
      <c r="Q1070" s="25">
        <v>1945</v>
      </c>
      <c r="R1070" s="25">
        <v>1972</v>
      </c>
      <c r="S1070" s="25">
        <v>1124</v>
      </c>
      <c r="T1070" s="27"/>
      <c r="U1070" s="32">
        <v>648</v>
      </c>
      <c r="V1070" s="32">
        <f>Inventory[[#This Row],[Bsmt]]-Inventory[[#This Row],[FnBsmt]]</f>
        <v>504</v>
      </c>
      <c r="W1070" s="32">
        <v>144</v>
      </c>
      <c r="X1070" s="27"/>
      <c r="Y1070" s="27">
        <f>Inventory[[#This Row],[MainFn]]+Inventory[[#This Row],[UpprFn]]+Inventory[[#This Row],[FnBsmt]]+Inventory[[#This Row],[AddFn]]</f>
        <v>1268</v>
      </c>
      <c r="Z1070" s="27">
        <v>1500</v>
      </c>
      <c r="AA1070" s="25">
        <v>5</v>
      </c>
      <c r="AB1070" s="27"/>
      <c r="AC1070" s="27"/>
      <c r="AD1070" s="27"/>
      <c r="AE1070" s="27"/>
      <c r="AF1070" s="27"/>
      <c r="AG1070" s="27"/>
      <c r="AH1070" s="27"/>
      <c r="AI1070" s="25">
        <v>229045</v>
      </c>
      <c r="AJ1070" s="25">
        <v>160332</v>
      </c>
      <c r="AK1070" s="25">
        <v>0</v>
      </c>
      <c r="AL1070" s="25">
        <v>304600</v>
      </c>
      <c r="AM1070" s="25">
        <v>52700</v>
      </c>
      <c r="AN1070" s="25">
        <v>251900</v>
      </c>
      <c r="AO1070" s="25">
        <v>0</v>
      </c>
      <c r="AP1070" s="25">
        <f>Lookups!$B$56*0</f>
        <v>0</v>
      </c>
      <c r="AQ1070" s="25">
        <f>Lookups!$B$56*1</f>
        <v>89850.625589999996</v>
      </c>
      <c r="AR1070" s="25">
        <f>Lookups!$B$57*Inventory[[#This Row],[LnAcres]]</f>
        <v>-56090.612940989391</v>
      </c>
      <c r="AS1070" s="25">
        <f>VLOOKUP(Inventory[[#This Row],[Qlty]],Lookups!$A$62:$E$75,2,FALSE)</f>
        <v>21557.329055999999</v>
      </c>
      <c r="AT1070" s="25">
        <f>VLOOKUP(Inventory[[#This Row],[Cnd]],Lookups!$A$76:$E$84,2,FALSE)</f>
        <v>197752.34721000001</v>
      </c>
      <c r="AU1070" s="25">
        <f>Inventory[[#This Row],[EffAge]]*Lookups!$B$85</f>
        <v>-11598.371226000001</v>
      </c>
      <c r="AV1070" s="25">
        <f>Inventory[[#This Row],[MainFn]]*Lookups!$B$86</f>
        <v>55535.344941748001</v>
      </c>
      <c r="AW1070" s="25">
        <f>Inventory[[#This Row],[UpprFn]]*Lookups!$B$87</f>
        <v>0</v>
      </c>
      <c r="AX1070" s="25">
        <f>Inventory[[#This Row],[AddFn]]*Lookups!$B$88</f>
        <v>0</v>
      </c>
      <c r="AY1070" s="25">
        <f>Inventory[[#This Row],[Bsmt]]*Lookups!$B$89</f>
        <v>18845.068120055999</v>
      </c>
      <c r="AZ1070" s="25">
        <f>Inventory[[#This Row],[Fixtures]]*Lookups!$B$90</f>
        <v>18960.110526</v>
      </c>
      <c r="BA1070" s="25">
        <f>Inventory[[#This Row],[WdDeck]]*Lookups!$B$91</f>
        <v>0</v>
      </c>
      <c r="BB1070" s="25">
        <f>ROUND(Inventory[[#This Row],[25Det]],-2)</f>
        <v>0</v>
      </c>
      <c r="BC1070" s="25">
        <f>ROUND(SUM(Inventory[[#This Row],[Mdl Qlty]:[Mdl WdDeck]])+Inventory[[#This Row],[Mdl Res Intercept]],-2)</f>
        <v>301100</v>
      </c>
      <c r="BD1070" s="25">
        <f>ROUND(Inventory[[#This Row],[Mdl Land Intercept]]+Inventory[[#This Row],[Mdl LnAcres]],-2)</f>
        <v>33800</v>
      </c>
      <c r="BE1070" s="25">
        <f>Inventory[[#This Row],[Unadj Res Value]]+Inventory[[#This Row],[Unadj Det Value]]+Inventory[[#This Row],[Unadj Land Value]]</f>
        <v>334900</v>
      </c>
      <c r="BF1070" s="36">
        <f>(Inventory[[#This Row],[Unadj Total Value]]-Inventory[[#This Row],[24Final]])/Inventory[[#This Row],[24Final]]</f>
        <v>9.9474720945502304E-2</v>
      </c>
      <c r="BG1070" s="25">
        <f>VLOOKUP(Inventory[[#This Row],[Nbhd]],Lookups!$Q$2:$T$4,4,FALSE)</f>
        <v>0.99970000000000003</v>
      </c>
      <c r="BH1070" s="25">
        <f>VLOOKUP(Inventory[[#This Row],[Qlty]],Lookups!$O$7:$R$21,4,FALSE)</f>
        <v>1.0067999999999999</v>
      </c>
      <c r="BI1070" s="25">
        <f>VLOOKUP(Inventory[[#This Row],[Cnd]],Lookups!$T$7:$W$16,4,FALSE)</f>
        <v>0.99650000000000005</v>
      </c>
      <c r="BJ1070" s="25">
        <f>VLOOKUP(Inventory[[#This Row],[LivArea Range]],Lookups!$T$25:$W$37,4,FALSE)</f>
        <v>1.0157</v>
      </c>
      <c r="BK1070" s="25">
        <f>VLOOKUP(Inventory[[#This Row],[Decade]],Lookups!$O$25:$R$42,4,FALSE)</f>
        <v>0.995</v>
      </c>
      <c r="BL1070" s="25">
        <f>Inventory[[#This Row],[Nbhd Adj]]*0.95</f>
        <v>0.94971499999999998</v>
      </c>
      <c r="BM1070" s="25">
        <f>Inventory[[#This Row],[Nbhd Adj]]*Inventory[[#This Row],[Quality Adj]]*Inventory[[#This Row],[Condition Adj]]*Inventory[[#This Row],[Living Area Adj]]*Inventory[[#This Row],[Decade Adj]]*0.95</f>
        <v>0.96294690248840986</v>
      </c>
      <c r="BN1070" s="25">
        <f>ROUND(SUM(Inventory[[#This Row],[Mdl Qlty]:[Mdl WdDeck]])+Inventory[[#This Row],[Mdl Res Intercept]]*Inventory[[#This Row],[Res Adj ]],-2)</f>
        <v>301100</v>
      </c>
      <c r="BO1070" s="25">
        <f>ROUND(Inventory[[#This Row],[25Det]]*Inventory[[#This Row],[Det/Nbhd Adj]],-2)</f>
        <v>0</v>
      </c>
      <c r="BP1070" s="25">
        <f>Inventory[[#This Row],[Adjusted Res]]+Inventory[[#This Row],[Adj Det ]]</f>
        <v>301100</v>
      </c>
      <c r="BQ1070" s="25">
        <f>ROUND((Inventory[[#This Row],[Mdl Land Intercept]]+Inventory[[#This Row],[Mdl LnAcres]])*Inventory[[#This Row],[Det/Nbhd Adj]],-2)</f>
        <v>32100</v>
      </c>
      <c r="BR1070" s="25">
        <f>Inventory[[#This Row],[Adjusted Impr Total]]+Inventory[[#This Row],[Adjusted Land Total]]</f>
        <v>333200</v>
      </c>
      <c r="BS1070" s="36">
        <f>IFERROR((Inventory[[#This Row],[Adjusted Impr Total]]-Inventory[[#This Row],[24Bldg]])/Inventory[[#This Row],[24Bldg]],0)</f>
        <v>0.19531560142913854</v>
      </c>
      <c r="BT1070" s="36">
        <f>(Inventory[[#This Row],[Adjusted Land Total]]-Inventory[[#This Row],[24Lnd]])/Inventory[[#This Row],[24Lnd]]</f>
        <v>-0.39089184060721061</v>
      </c>
      <c r="BU1070" s="36">
        <f>(Inventory[[#This Row],[Adjusted Total]]-Inventory[[#This Row],[24Final]])/Inventory[[#This Row],[24Final]]</f>
        <v>9.3893630991464222E-2</v>
      </c>
    </row>
    <row r="1071" spans="1:73" x14ac:dyDescent="0.3">
      <c r="A1071" s="25">
        <v>2025</v>
      </c>
      <c r="B1071" s="26" t="s">
        <v>1457</v>
      </c>
      <c r="C1071" s="26">
        <f>LN(Inventory[[#This Row],[Acres]])</f>
        <v>-1.9661128563728327</v>
      </c>
      <c r="D1071" s="25">
        <v>0.14000000000000001</v>
      </c>
      <c r="E1071" s="25">
        <v>6300</v>
      </c>
      <c r="F1071" s="26" t="s">
        <v>537</v>
      </c>
      <c r="G1071" s="26" t="s">
        <v>126</v>
      </c>
      <c r="H1071" s="26" t="s">
        <v>349</v>
      </c>
      <c r="I1071" s="26" t="s">
        <v>538</v>
      </c>
      <c r="J1071" s="26" t="s">
        <v>539</v>
      </c>
      <c r="K1071" s="26" t="s">
        <v>242</v>
      </c>
      <c r="L1071" s="26" t="s">
        <v>351</v>
      </c>
      <c r="M1071" s="26" t="s">
        <v>303</v>
      </c>
      <c r="N1071" s="26">
        <v>80</v>
      </c>
      <c r="O1071" s="26">
        <f>2024-Inventory[[#This Row],[YrBlt]]</f>
        <v>79</v>
      </c>
      <c r="P1071" s="26">
        <f>2024-Inventory[[#This Row],[EffYr]]</f>
        <v>42</v>
      </c>
      <c r="Q1071" s="25">
        <v>1945</v>
      </c>
      <c r="R1071" s="25">
        <v>1982</v>
      </c>
      <c r="S1071" s="25">
        <v>1216</v>
      </c>
      <c r="T1071" s="31"/>
      <c r="U1071" s="25">
        <v>936</v>
      </c>
      <c r="V1071" s="25">
        <f>Inventory[[#This Row],[Bsmt]]-Inventory[[#This Row],[FnBsmt]]</f>
        <v>0</v>
      </c>
      <c r="W1071" s="25">
        <v>936</v>
      </c>
      <c r="X1071" s="27"/>
      <c r="Y1071" s="27">
        <f>Inventory[[#This Row],[MainFn]]+Inventory[[#This Row],[UpprFn]]+Inventory[[#This Row],[FnBsmt]]+Inventory[[#This Row],[AddFn]]</f>
        <v>2152</v>
      </c>
      <c r="Z1071" s="27">
        <v>2500</v>
      </c>
      <c r="AA1071" s="25">
        <v>8</v>
      </c>
      <c r="AB1071" s="31"/>
      <c r="AC1071" s="27"/>
      <c r="AD1071" s="25">
        <v>336</v>
      </c>
      <c r="AE1071" s="27"/>
      <c r="AF1071" s="27"/>
      <c r="AG1071" s="27"/>
      <c r="AH1071" s="27"/>
      <c r="AI1071" s="25">
        <v>292929</v>
      </c>
      <c r="AJ1071" s="25">
        <v>234343</v>
      </c>
      <c r="AK1071" s="25">
        <v>0</v>
      </c>
      <c r="AL1071" s="25">
        <v>333700</v>
      </c>
      <c r="AM1071" s="25">
        <v>46000</v>
      </c>
      <c r="AN1071" s="25">
        <v>287700</v>
      </c>
      <c r="AO1071" s="25">
        <v>0</v>
      </c>
      <c r="AP1071" s="25">
        <f>Lookups!$B$56*0</f>
        <v>0</v>
      </c>
      <c r="AQ1071" s="25">
        <f>Lookups!$B$56*1</f>
        <v>89850.625589999996</v>
      </c>
      <c r="AR1071" s="25">
        <f>Lookups!$B$57*Inventory[[#This Row],[LnAcres]]</f>
        <v>-62236.546971921947</v>
      </c>
      <c r="AS1071" s="25">
        <f>VLOOKUP(Inventory[[#This Row],[Qlty]],Lookups!$A$62:$E$75,2,FALSE)</f>
        <v>21557.329055999999</v>
      </c>
      <c r="AT1071" s="25">
        <f>VLOOKUP(Inventory[[#This Row],[Cnd]],Lookups!$A$76:$E$84,2,FALSE)</f>
        <v>197752.34721000001</v>
      </c>
      <c r="AU1071" s="25">
        <f>Inventory[[#This Row],[EffAge]]*Lookups!$B$85</f>
        <v>-9367.9152210000011</v>
      </c>
      <c r="AV1071" s="25">
        <f>Inventory[[#This Row],[MainFn]]*Lookups!$B$86</f>
        <v>60080.942570432002</v>
      </c>
      <c r="AW1071" s="25">
        <f>Inventory[[#This Row],[UpprFn]]*Lookups!$B$87</f>
        <v>0</v>
      </c>
      <c r="AX1071" s="25">
        <f>Inventory[[#This Row],[AddFn]]*Lookups!$B$88</f>
        <v>0</v>
      </c>
      <c r="AY1071" s="25">
        <f>Inventory[[#This Row],[Bsmt]]*Lookups!$B$89</f>
        <v>27220.653951191998</v>
      </c>
      <c r="AZ1071" s="25">
        <f>Inventory[[#This Row],[Fixtures]]*Lookups!$B$90</f>
        <v>30336.176841600001</v>
      </c>
      <c r="BA1071" s="25">
        <f>Inventory[[#This Row],[WdDeck]]*Lookups!$B$91</f>
        <v>11187.293132736002</v>
      </c>
      <c r="BB1071" s="25">
        <f>ROUND(Inventory[[#This Row],[25Det]],-2)</f>
        <v>0</v>
      </c>
      <c r="BC1071" s="25">
        <f>ROUND(SUM(Inventory[[#This Row],[Mdl Qlty]:[Mdl WdDeck]])+Inventory[[#This Row],[Mdl Res Intercept]],-2)</f>
        <v>338800</v>
      </c>
      <c r="BD1071" s="25">
        <f>ROUND(Inventory[[#This Row],[Mdl Land Intercept]]+Inventory[[#This Row],[Mdl LnAcres]],-2)</f>
        <v>27600</v>
      </c>
      <c r="BE1071" s="25">
        <f>Inventory[[#This Row],[Unadj Res Value]]+Inventory[[#This Row],[Unadj Det Value]]+Inventory[[#This Row],[Unadj Land Value]]</f>
        <v>366400</v>
      </c>
      <c r="BF1071" s="36">
        <f>(Inventory[[#This Row],[Unadj Total Value]]-Inventory[[#This Row],[24Final]])/Inventory[[#This Row],[24Final]]</f>
        <v>9.7992208570572364E-2</v>
      </c>
      <c r="BG1071" s="25">
        <f>VLOOKUP(Inventory[[#This Row],[Nbhd]],Lookups!$Q$2:$T$4,4,FALSE)</f>
        <v>0.99970000000000003</v>
      </c>
      <c r="BH1071" s="25">
        <f>VLOOKUP(Inventory[[#This Row],[Qlty]],Lookups!$O$7:$R$21,4,FALSE)</f>
        <v>1.0067999999999999</v>
      </c>
      <c r="BI1071" s="25">
        <f>VLOOKUP(Inventory[[#This Row],[Cnd]],Lookups!$T$7:$W$16,4,FALSE)</f>
        <v>0.99650000000000005</v>
      </c>
      <c r="BJ1071" s="25">
        <f>VLOOKUP(Inventory[[#This Row],[LivArea Range]],Lookups!$T$25:$W$37,4,FALSE)</f>
        <v>0.98919999999999997</v>
      </c>
      <c r="BK1071" s="25">
        <f>VLOOKUP(Inventory[[#This Row],[Decade]],Lookups!$O$25:$R$42,4,FALSE)</f>
        <v>0.995</v>
      </c>
      <c r="BL1071" s="25">
        <f>Inventory[[#This Row],[Nbhd Adj]]*0.95</f>
        <v>0.94971499999999998</v>
      </c>
      <c r="BM1071" s="25">
        <f>Inventory[[#This Row],[Nbhd Adj]]*Inventory[[#This Row],[Quality Adj]]*Inventory[[#This Row],[Condition Adj]]*Inventory[[#This Row],[Living Area Adj]]*Inventory[[#This Row],[Decade Adj]]*0.95</f>
        <v>0.93782325090236773</v>
      </c>
      <c r="BN1071" s="25">
        <f>ROUND(SUM(Inventory[[#This Row],[Mdl Qlty]:[Mdl WdDeck]])+Inventory[[#This Row],[Mdl Res Intercept]]*Inventory[[#This Row],[Res Adj ]],-2)</f>
        <v>338800</v>
      </c>
      <c r="BO1071" s="25">
        <f>ROUND(Inventory[[#This Row],[25Det]]*Inventory[[#This Row],[Det/Nbhd Adj]],-2)</f>
        <v>0</v>
      </c>
      <c r="BP1071" s="25">
        <f>Inventory[[#This Row],[Adjusted Res]]+Inventory[[#This Row],[Adj Det ]]</f>
        <v>338800</v>
      </c>
      <c r="BQ1071" s="25">
        <f>ROUND((Inventory[[#This Row],[Mdl Land Intercept]]+Inventory[[#This Row],[Mdl LnAcres]])*Inventory[[#This Row],[Det/Nbhd Adj]],-2)</f>
        <v>26200</v>
      </c>
      <c r="BR1071" s="25">
        <f>Inventory[[#This Row],[Adjusted Impr Total]]+Inventory[[#This Row],[Adjusted Land Total]]</f>
        <v>365000</v>
      </c>
      <c r="BS1071" s="36">
        <f>IFERROR((Inventory[[#This Row],[Adjusted Impr Total]]-Inventory[[#This Row],[24Bldg]])/Inventory[[#This Row],[24Bldg]],0)</f>
        <v>0.17761557177615572</v>
      </c>
      <c r="BT1071" s="36">
        <f>(Inventory[[#This Row],[Adjusted Land Total]]-Inventory[[#This Row],[24Lnd]])/Inventory[[#This Row],[24Lnd]]</f>
        <v>-0.43043478260869567</v>
      </c>
      <c r="BU1071" s="36">
        <f>(Inventory[[#This Row],[Adjusted Total]]-Inventory[[#This Row],[24Final]])/Inventory[[#This Row],[24Final]]</f>
        <v>9.3796823494156426E-2</v>
      </c>
    </row>
    <row r="1072" spans="1:73" x14ac:dyDescent="0.3">
      <c r="A1072" s="25">
        <v>2025</v>
      </c>
      <c r="B1072" s="26" t="s">
        <v>2249</v>
      </c>
      <c r="C1072" s="26">
        <f>LN(Inventory[[#This Row],[Acres]])</f>
        <v>-1.7147984280919266</v>
      </c>
      <c r="D1072" s="25">
        <v>0.18</v>
      </c>
      <c r="E1072" s="31"/>
      <c r="F1072" s="26" t="s">
        <v>537</v>
      </c>
      <c r="G1072" s="26" t="s">
        <v>126</v>
      </c>
      <c r="H1072" s="26" t="s">
        <v>349</v>
      </c>
      <c r="I1072" s="26" t="s">
        <v>538</v>
      </c>
      <c r="J1072" s="26" t="s">
        <v>539</v>
      </c>
      <c r="K1072" s="26" t="s">
        <v>416</v>
      </c>
      <c r="L1072" s="26" t="s">
        <v>351</v>
      </c>
      <c r="M1072" s="26" t="s">
        <v>303</v>
      </c>
      <c r="N1072" s="26">
        <v>80</v>
      </c>
      <c r="O1072" s="26">
        <f>2024-Inventory[[#This Row],[YrBlt]]</f>
        <v>79</v>
      </c>
      <c r="P1072" s="26">
        <f>2024-Inventory[[#This Row],[EffYr]]</f>
        <v>52</v>
      </c>
      <c r="Q1072" s="25">
        <v>1945</v>
      </c>
      <c r="R1072" s="25">
        <v>1972</v>
      </c>
      <c r="S1072" s="25">
        <v>1344</v>
      </c>
      <c r="T1072" s="32">
        <v>924</v>
      </c>
      <c r="U1072" s="25">
        <v>528</v>
      </c>
      <c r="V1072" s="32">
        <f>Inventory[[#This Row],[Bsmt]]-Inventory[[#This Row],[FnBsmt]]</f>
        <v>398</v>
      </c>
      <c r="W1072" s="32">
        <v>130</v>
      </c>
      <c r="X1072" s="27"/>
      <c r="Y1072" s="27">
        <f>Inventory[[#This Row],[MainFn]]+Inventory[[#This Row],[UpprFn]]+Inventory[[#This Row],[FnBsmt]]+Inventory[[#This Row],[AddFn]]</f>
        <v>2398</v>
      </c>
      <c r="Z1072" s="27">
        <v>2500</v>
      </c>
      <c r="AA1072" s="25">
        <v>9</v>
      </c>
      <c r="AB1072" s="27"/>
      <c r="AC1072" s="27"/>
      <c r="AD1072" s="32">
        <v>180</v>
      </c>
      <c r="AE1072" s="27"/>
      <c r="AF1072" s="27"/>
      <c r="AG1072" s="27"/>
      <c r="AH1072" s="27"/>
      <c r="AI1072" s="25">
        <v>354778</v>
      </c>
      <c r="AJ1072" s="25">
        <v>248345</v>
      </c>
      <c r="AK1072" s="25">
        <v>4877</v>
      </c>
      <c r="AL1072" s="25">
        <v>375800</v>
      </c>
      <c r="AM1072" s="25">
        <v>54700</v>
      </c>
      <c r="AN1072" s="25">
        <v>321100</v>
      </c>
      <c r="AO1072" s="25">
        <v>0</v>
      </c>
      <c r="AP1072" s="25">
        <f>Lookups!$B$56*0</f>
        <v>0</v>
      </c>
      <c r="AQ1072" s="25">
        <f>Lookups!$B$56*1</f>
        <v>89850.625589999996</v>
      </c>
      <c r="AR1072" s="25">
        <f>Lookups!$B$57*Inventory[[#This Row],[LnAcres]]</f>
        <v>-54281.285314520763</v>
      </c>
      <c r="AS1072" s="25">
        <f>VLOOKUP(Inventory[[#This Row],[Qlty]],Lookups!$A$62:$E$75,2,FALSE)</f>
        <v>21557.329055999999</v>
      </c>
      <c r="AT1072" s="25">
        <f>VLOOKUP(Inventory[[#This Row],[Cnd]],Lookups!$A$76:$E$84,2,FALSE)</f>
        <v>197752.34721000001</v>
      </c>
      <c r="AU1072" s="25">
        <f>Inventory[[#This Row],[EffAge]]*Lookups!$B$85</f>
        <v>-11598.371226000001</v>
      </c>
      <c r="AV1072" s="25">
        <f>Inventory[[#This Row],[MainFn]]*Lookups!$B$86</f>
        <v>66405.252314687998</v>
      </c>
      <c r="AW1072" s="25">
        <f>Inventory[[#This Row],[UpprFn]]*Lookups!$B$87</f>
        <v>41382.654723563996</v>
      </c>
      <c r="AX1072" s="25">
        <f>Inventory[[#This Row],[AddFn]]*Lookups!$B$88</f>
        <v>0</v>
      </c>
      <c r="AY1072" s="25">
        <f>Inventory[[#This Row],[Bsmt]]*Lookups!$B$89</f>
        <v>15355.240690416</v>
      </c>
      <c r="AZ1072" s="25">
        <f>Inventory[[#This Row],[Fixtures]]*Lookups!$B$90</f>
        <v>34128.198946800003</v>
      </c>
      <c r="BA1072" s="25">
        <f>Inventory[[#This Row],[WdDeck]]*Lookups!$B$91</f>
        <v>5993.1927496800008</v>
      </c>
      <c r="BB1072" s="25">
        <f>ROUND(Inventory[[#This Row],[25Det]],-2)</f>
        <v>4900</v>
      </c>
      <c r="BC1072" s="25">
        <f>ROUND(SUM(Inventory[[#This Row],[Mdl Qlty]:[Mdl WdDeck]])+Inventory[[#This Row],[Mdl Res Intercept]],-2)</f>
        <v>371000</v>
      </c>
      <c r="BD1072" s="25">
        <f>ROUND(Inventory[[#This Row],[Mdl Land Intercept]]+Inventory[[#This Row],[Mdl LnAcres]],-2)</f>
        <v>35600</v>
      </c>
      <c r="BE1072" s="25">
        <f>Inventory[[#This Row],[Unadj Res Value]]+Inventory[[#This Row],[Unadj Det Value]]+Inventory[[#This Row],[Unadj Land Value]]</f>
        <v>411500</v>
      </c>
      <c r="BF1072" s="36">
        <f>(Inventory[[#This Row],[Unadj Total Value]]-Inventory[[#This Row],[24Final]])/Inventory[[#This Row],[24Final]]</f>
        <v>9.4997339010111759E-2</v>
      </c>
      <c r="BG1072" s="25">
        <f>VLOOKUP(Inventory[[#This Row],[Nbhd]],Lookups!$Q$2:$T$4,4,FALSE)</f>
        <v>0.99970000000000003</v>
      </c>
      <c r="BH1072" s="25">
        <f>VLOOKUP(Inventory[[#This Row],[Qlty]],Lookups!$O$7:$R$21,4,FALSE)</f>
        <v>1.0067999999999999</v>
      </c>
      <c r="BI1072" s="25">
        <f>VLOOKUP(Inventory[[#This Row],[Cnd]],Lookups!$T$7:$W$16,4,FALSE)</f>
        <v>0.99650000000000005</v>
      </c>
      <c r="BJ1072" s="25">
        <f>VLOOKUP(Inventory[[#This Row],[LivArea Range]],Lookups!$T$25:$W$37,4,FALSE)</f>
        <v>0.98919999999999997</v>
      </c>
      <c r="BK1072" s="25">
        <f>VLOOKUP(Inventory[[#This Row],[Decade]],Lookups!$O$25:$R$42,4,FALSE)</f>
        <v>0.995</v>
      </c>
      <c r="BL1072" s="25">
        <f>Inventory[[#This Row],[Nbhd Adj]]*0.95</f>
        <v>0.94971499999999998</v>
      </c>
      <c r="BM1072" s="25">
        <f>Inventory[[#This Row],[Nbhd Adj]]*Inventory[[#This Row],[Quality Adj]]*Inventory[[#This Row],[Condition Adj]]*Inventory[[#This Row],[Living Area Adj]]*Inventory[[#This Row],[Decade Adj]]*0.95</f>
        <v>0.93782325090236773</v>
      </c>
      <c r="BN1072" s="25">
        <f>ROUND(SUM(Inventory[[#This Row],[Mdl Qlty]:[Mdl WdDeck]])+Inventory[[#This Row],[Mdl Res Intercept]]*Inventory[[#This Row],[Res Adj ]],-2)</f>
        <v>371000</v>
      </c>
      <c r="BO1072" s="25">
        <f>ROUND(Inventory[[#This Row],[25Det]]*Inventory[[#This Row],[Det/Nbhd Adj]],-2)</f>
        <v>4600</v>
      </c>
      <c r="BP1072" s="25">
        <f>Inventory[[#This Row],[Adjusted Res]]+Inventory[[#This Row],[Adj Det ]]</f>
        <v>375600</v>
      </c>
      <c r="BQ1072" s="25">
        <f>ROUND((Inventory[[#This Row],[Mdl Land Intercept]]+Inventory[[#This Row],[Mdl LnAcres]])*Inventory[[#This Row],[Det/Nbhd Adj]],-2)</f>
        <v>33800</v>
      </c>
      <c r="BR1072" s="25">
        <f>Inventory[[#This Row],[Adjusted Impr Total]]+Inventory[[#This Row],[Adjusted Land Total]]</f>
        <v>409400</v>
      </c>
      <c r="BS1072" s="36">
        <f>IFERROR((Inventory[[#This Row],[Adjusted Impr Total]]-Inventory[[#This Row],[24Bldg]])/Inventory[[#This Row],[24Bldg]],0)</f>
        <v>0.16972905636873248</v>
      </c>
      <c r="BT1072" s="36">
        <f>(Inventory[[#This Row],[Adjusted Land Total]]-Inventory[[#This Row],[24Lnd]])/Inventory[[#This Row],[24Lnd]]</f>
        <v>-0.38208409506398539</v>
      </c>
      <c r="BU1072" s="36">
        <f>(Inventory[[#This Row],[Adjusted Total]]-Inventory[[#This Row],[24Final]])/Inventory[[#This Row],[24Final]]</f>
        <v>8.9409260244811065E-2</v>
      </c>
    </row>
    <row r="1073" spans="1:73" x14ac:dyDescent="0.3">
      <c r="A1073" s="25">
        <v>2025</v>
      </c>
      <c r="B1073" s="26" t="s">
        <v>1881</v>
      </c>
      <c r="C1073" s="26">
        <f>LN(Inventory[[#This Row],[Acres]])</f>
        <v>-1.4271163556401458</v>
      </c>
      <c r="D1073" s="25">
        <v>0.24</v>
      </c>
      <c r="E1073" s="31"/>
      <c r="F1073" s="26" t="s">
        <v>537</v>
      </c>
      <c r="G1073" s="26" t="s">
        <v>126</v>
      </c>
      <c r="H1073" s="26" t="s">
        <v>349</v>
      </c>
      <c r="I1073" s="26" t="s">
        <v>538</v>
      </c>
      <c r="J1073" s="26" t="s">
        <v>539</v>
      </c>
      <c r="K1073" s="26" t="s">
        <v>242</v>
      </c>
      <c r="L1073" s="26" t="s">
        <v>302</v>
      </c>
      <c r="M1073" s="26" t="s">
        <v>303</v>
      </c>
      <c r="N1073" s="26">
        <v>80</v>
      </c>
      <c r="O1073" s="26">
        <f>2024-Inventory[[#This Row],[YrBlt]]</f>
        <v>79</v>
      </c>
      <c r="P1073" s="26">
        <f>2024-Inventory[[#This Row],[EffYr]]</f>
        <v>52</v>
      </c>
      <c r="Q1073" s="25">
        <v>1945</v>
      </c>
      <c r="R1073" s="25">
        <v>1972</v>
      </c>
      <c r="S1073" s="25">
        <v>1642</v>
      </c>
      <c r="T1073" s="27"/>
      <c r="U1073" s="31"/>
      <c r="V1073" s="31">
        <f>Inventory[[#This Row],[Bsmt]]-Inventory[[#This Row],[FnBsmt]]</f>
        <v>0</v>
      </c>
      <c r="W1073" s="31"/>
      <c r="X1073" s="27"/>
      <c r="Y1073" s="27">
        <f>Inventory[[#This Row],[MainFn]]+Inventory[[#This Row],[UpprFn]]+Inventory[[#This Row],[FnBsmt]]+Inventory[[#This Row],[AddFn]]</f>
        <v>1642</v>
      </c>
      <c r="Z1073" s="27">
        <v>2000</v>
      </c>
      <c r="AA1073" s="25">
        <v>7</v>
      </c>
      <c r="AB1073" s="32">
        <v>264</v>
      </c>
      <c r="AC1073" s="27"/>
      <c r="AD1073" s="32">
        <v>80</v>
      </c>
      <c r="AE1073" s="27"/>
      <c r="AF1073" s="27"/>
      <c r="AG1073" s="27"/>
      <c r="AH1073" s="27"/>
      <c r="AI1073" s="25">
        <v>310691</v>
      </c>
      <c r="AJ1073" s="25">
        <v>217484</v>
      </c>
      <c r="AK1073" s="25">
        <v>0</v>
      </c>
      <c r="AL1073" s="25">
        <v>338500</v>
      </c>
      <c r="AM1073" s="25">
        <v>64800</v>
      </c>
      <c r="AN1073" s="25">
        <v>273700</v>
      </c>
      <c r="AO1073" s="25">
        <v>0</v>
      </c>
      <c r="AP1073" s="25">
        <f>Lookups!$B$56*0</f>
        <v>0</v>
      </c>
      <c r="AQ1073" s="25">
        <f>Lookups!$B$56*1</f>
        <v>89850.625589999996</v>
      </c>
      <c r="AR1073" s="25">
        <f>Lookups!$B$57*Inventory[[#This Row],[LnAcres]]</f>
        <v>-45174.819855485119</v>
      </c>
      <c r="AS1073" s="25">
        <f>VLOOKUP(Inventory[[#This Row],[Qlty]],Lookups!$A$62:$E$75,2,FALSE)</f>
        <v>29814.093161000001</v>
      </c>
      <c r="AT1073" s="25">
        <f>VLOOKUP(Inventory[[#This Row],[Cnd]],Lookups!$A$76:$E$84,2,FALSE)</f>
        <v>197752.34721000001</v>
      </c>
      <c r="AU1073" s="25">
        <f>Inventory[[#This Row],[EffAge]]*Lookups!$B$85</f>
        <v>-11598.371226000001</v>
      </c>
      <c r="AV1073" s="25">
        <f>Inventory[[#This Row],[MainFn]]*Lookups!$B$86</f>
        <v>81129.035938034009</v>
      </c>
      <c r="AW1073" s="25">
        <f>Inventory[[#This Row],[UpprFn]]*Lookups!$B$87</f>
        <v>0</v>
      </c>
      <c r="AX1073" s="25">
        <f>Inventory[[#This Row],[AddFn]]*Lookups!$B$88</f>
        <v>0</v>
      </c>
      <c r="AY1073" s="25">
        <f>Inventory[[#This Row],[Bsmt]]*Lookups!$B$89</f>
        <v>0</v>
      </c>
      <c r="AZ1073" s="25">
        <f>Inventory[[#This Row],[Fixtures]]*Lookups!$B$90</f>
        <v>26544.1547364</v>
      </c>
      <c r="BA1073" s="25">
        <f>Inventory[[#This Row],[WdDeck]]*Lookups!$B$91</f>
        <v>2663.6412220800003</v>
      </c>
      <c r="BB1073" s="25">
        <f>ROUND(Inventory[[#This Row],[25Det]],-2)</f>
        <v>0</v>
      </c>
      <c r="BC1073" s="25">
        <f>ROUND(SUM(Inventory[[#This Row],[Mdl Qlty]:[Mdl WdDeck]])+Inventory[[#This Row],[Mdl Res Intercept]],-2)</f>
        <v>326300</v>
      </c>
      <c r="BD1073" s="25">
        <f>ROUND(Inventory[[#This Row],[Mdl Land Intercept]]+Inventory[[#This Row],[Mdl LnAcres]],-2)</f>
        <v>44700</v>
      </c>
      <c r="BE1073" s="25">
        <f>Inventory[[#This Row],[Unadj Res Value]]+Inventory[[#This Row],[Unadj Det Value]]+Inventory[[#This Row],[Unadj Land Value]]</f>
        <v>371000</v>
      </c>
      <c r="BF1073" s="36">
        <f>(Inventory[[#This Row],[Unadj Total Value]]-Inventory[[#This Row],[24Final]])/Inventory[[#This Row],[24Final]]</f>
        <v>9.6011816838995567E-2</v>
      </c>
      <c r="BG1073" s="25">
        <f>VLOOKUP(Inventory[[#This Row],[Nbhd]],Lookups!$Q$2:$T$4,4,FALSE)</f>
        <v>0.99970000000000003</v>
      </c>
      <c r="BH1073" s="25">
        <f>VLOOKUP(Inventory[[#This Row],[Qlty]],Lookups!$O$7:$R$21,4,FALSE)</f>
        <v>1.0088999999999999</v>
      </c>
      <c r="BI1073" s="25">
        <f>VLOOKUP(Inventory[[#This Row],[Cnd]],Lookups!$T$7:$W$16,4,FALSE)</f>
        <v>0.99650000000000005</v>
      </c>
      <c r="BJ1073" s="25">
        <f>VLOOKUP(Inventory[[#This Row],[LivArea Range]],Lookups!$T$25:$W$37,4,FALSE)</f>
        <v>1.0093000000000001</v>
      </c>
      <c r="BK1073" s="25">
        <f>VLOOKUP(Inventory[[#This Row],[Decade]],Lookups!$O$25:$R$42,4,FALSE)</f>
        <v>0.995</v>
      </c>
      <c r="BL1073" s="25">
        <f>Inventory[[#This Row],[Nbhd Adj]]*0.95</f>
        <v>0.94971499999999998</v>
      </c>
      <c r="BM1073" s="25">
        <f>Inventory[[#This Row],[Nbhd Adj]]*Inventory[[#This Row],[Quality Adj]]*Inventory[[#This Row],[Condition Adj]]*Inventory[[#This Row],[Living Area Adj]]*Inventory[[#This Row],[Decade Adj]]*0.95</f>
        <v>0.9588751782051762</v>
      </c>
      <c r="BN1073" s="25">
        <f>ROUND(SUM(Inventory[[#This Row],[Mdl Qlty]:[Mdl WdDeck]])+Inventory[[#This Row],[Mdl Res Intercept]]*Inventory[[#This Row],[Res Adj ]],-2)</f>
        <v>326300</v>
      </c>
      <c r="BO1073" s="25">
        <f>ROUND(Inventory[[#This Row],[25Det]]*Inventory[[#This Row],[Det/Nbhd Adj]],-2)</f>
        <v>0</v>
      </c>
      <c r="BP1073" s="25">
        <f>Inventory[[#This Row],[Adjusted Res]]+Inventory[[#This Row],[Adj Det ]]</f>
        <v>326300</v>
      </c>
      <c r="BQ1073" s="25">
        <f>ROUND((Inventory[[#This Row],[Mdl Land Intercept]]+Inventory[[#This Row],[Mdl LnAcres]])*Inventory[[#This Row],[Det/Nbhd Adj]],-2)</f>
        <v>42400</v>
      </c>
      <c r="BR1073" s="25">
        <f>Inventory[[#This Row],[Adjusted Impr Total]]+Inventory[[#This Row],[Adjusted Land Total]]</f>
        <v>368700</v>
      </c>
      <c r="BS1073" s="36">
        <f>IFERROR((Inventory[[#This Row],[Adjusted Impr Total]]-Inventory[[#This Row],[24Bldg]])/Inventory[[#This Row],[24Bldg]],0)</f>
        <v>0.19218122031421264</v>
      </c>
      <c r="BT1073" s="36">
        <f>(Inventory[[#This Row],[Adjusted Land Total]]-Inventory[[#This Row],[24Lnd]])/Inventory[[#This Row],[24Lnd]]</f>
        <v>-0.34567901234567899</v>
      </c>
      <c r="BU1073" s="36">
        <f>(Inventory[[#This Row],[Adjusted Total]]-Inventory[[#This Row],[24Final]])/Inventory[[#This Row],[24Final]]</f>
        <v>8.9217134416543581E-2</v>
      </c>
    </row>
    <row r="1074" spans="1:73" x14ac:dyDescent="0.3">
      <c r="A1074" s="25">
        <v>2025</v>
      </c>
      <c r="B1074" s="26" t="s">
        <v>1404</v>
      </c>
      <c r="C1074" s="26">
        <f>LN(Inventory[[#This Row],[Acres]])</f>
        <v>-1.8325814637483102</v>
      </c>
      <c r="D1074" s="25">
        <v>0.16</v>
      </c>
      <c r="E1074" s="25">
        <v>7088</v>
      </c>
      <c r="F1074" s="26" t="s">
        <v>537</v>
      </c>
      <c r="G1074" s="26" t="s">
        <v>126</v>
      </c>
      <c r="H1074" s="26" t="s">
        <v>349</v>
      </c>
      <c r="I1074" s="26" t="s">
        <v>538</v>
      </c>
      <c r="J1074" s="26" t="s">
        <v>539</v>
      </c>
      <c r="K1074" s="26" t="s">
        <v>242</v>
      </c>
      <c r="L1074" s="26" t="s">
        <v>148</v>
      </c>
      <c r="M1074" s="26" t="s">
        <v>323</v>
      </c>
      <c r="N1074" s="26">
        <v>80</v>
      </c>
      <c r="O1074" s="26">
        <f>2024-Inventory[[#This Row],[YrBlt]]</f>
        <v>79</v>
      </c>
      <c r="P1074" s="26">
        <f>2024-Inventory[[#This Row],[EffYr]]</f>
        <v>52</v>
      </c>
      <c r="Q1074" s="25">
        <v>1945</v>
      </c>
      <c r="R1074" s="25">
        <v>1972</v>
      </c>
      <c r="S1074" s="25">
        <v>1074</v>
      </c>
      <c r="T1074" s="27"/>
      <c r="U1074" s="25">
        <v>1074</v>
      </c>
      <c r="V1074" s="25">
        <f>Inventory[[#This Row],[Bsmt]]-Inventory[[#This Row],[FnBsmt]]</f>
        <v>1074</v>
      </c>
      <c r="W1074" s="25">
        <v>0</v>
      </c>
      <c r="X1074" s="27"/>
      <c r="Y1074" s="27">
        <f>Inventory[[#This Row],[MainFn]]+Inventory[[#This Row],[UpprFn]]+Inventory[[#This Row],[FnBsmt]]+Inventory[[#This Row],[AddFn]]</f>
        <v>1074</v>
      </c>
      <c r="Z1074" s="27">
        <v>1500</v>
      </c>
      <c r="AA1074" s="25">
        <v>9</v>
      </c>
      <c r="AB1074" s="32">
        <v>242</v>
      </c>
      <c r="AC1074" s="27"/>
      <c r="AD1074" s="27"/>
      <c r="AE1074" s="27"/>
      <c r="AF1074" s="27"/>
      <c r="AG1074" s="27"/>
      <c r="AH1074" s="27"/>
      <c r="AI1074" s="25">
        <v>315162</v>
      </c>
      <c r="AJ1074" s="25">
        <v>214310</v>
      </c>
      <c r="AK1074" s="25">
        <v>0</v>
      </c>
      <c r="AL1074" s="25">
        <v>314500</v>
      </c>
      <c r="AM1074" s="25">
        <v>50600</v>
      </c>
      <c r="AN1074" s="25">
        <v>263900</v>
      </c>
      <c r="AO1074" s="25">
        <v>0</v>
      </c>
      <c r="AP1074" s="25">
        <f>Lookups!$B$56*0</f>
        <v>0</v>
      </c>
      <c r="AQ1074" s="25">
        <f>Lookups!$B$56*1</f>
        <v>89850.625589999996</v>
      </c>
      <c r="AR1074" s="25">
        <f>Lookups!$B$57*Inventory[[#This Row],[LnAcres]]</f>
        <v>-58009.662049032086</v>
      </c>
      <c r="AS1074" s="25">
        <f>VLOOKUP(Inventory[[#This Row],[Qlty]],Lookups!$A$62:$E$75,2,FALSE)</f>
        <v>44121.038090000002</v>
      </c>
      <c r="AT1074" s="25">
        <f>VLOOKUP(Inventory[[#This Row],[Cnd]],Lookups!$A$76:$E$84,2,FALSE)</f>
        <v>160472.20319</v>
      </c>
      <c r="AU1074" s="25">
        <f>Inventory[[#This Row],[EffAge]]*Lookups!$B$85</f>
        <v>-11598.371226000001</v>
      </c>
      <c r="AV1074" s="25">
        <f>Inventory[[#This Row],[MainFn]]*Lookups!$B$86</f>
        <v>53064.911447898005</v>
      </c>
      <c r="AW1074" s="25">
        <f>Inventory[[#This Row],[UpprFn]]*Lookups!$B$87</f>
        <v>0</v>
      </c>
      <c r="AX1074" s="25">
        <f>Inventory[[#This Row],[AddFn]]*Lookups!$B$88</f>
        <v>0</v>
      </c>
      <c r="AY1074" s="25">
        <f>Inventory[[#This Row],[Bsmt]]*Lookups!$B$89</f>
        <v>31233.955495277998</v>
      </c>
      <c r="AZ1074" s="25">
        <f>Inventory[[#This Row],[Fixtures]]*Lookups!$B$90</f>
        <v>34128.198946800003</v>
      </c>
      <c r="BA1074" s="25">
        <f>Inventory[[#This Row],[WdDeck]]*Lookups!$B$91</f>
        <v>0</v>
      </c>
      <c r="BB1074" s="25">
        <f>ROUND(Inventory[[#This Row],[25Det]],-2)</f>
        <v>0</v>
      </c>
      <c r="BC1074" s="25">
        <f>ROUND(SUM(Inventory[[#This Row],[Mdl Qlty]:[Mdl WdDeck]])+Inventory[[#This Row],[Mdl Res Intercept]],-2)</f>
        <v>311400</v>
      </c>
      <c r="BD1074" s="25">
        <f>ROUND(Inventory[[#This Row],[Mdl Land Intercept]]+Inventory[[#This Row],[Mdl LnAcres]],-2)</f>
        <v>31800</v>
      </c>
      <c r="BE1074" s="25">
        <f>Inventory[[#This Row],[Unadj Res Value]]+Inventory[[#This Row],[Unadj Det Value]]+Inventory[[#This Row],[Unadj Land Value]]</f>
        <v>343200</v>
      </c>
      <c r="BF1074" s="36">
        <f>(Inventory[[#This Row],[Unadj Total Value]]-Inventory[[#This Row],[24Final]])/Inventory[[#This Row],[24Final]]</f>
        <v>9.1255961844197139E-2</v>
      </c>
      <c r="BG1074" s="25">
        <f>VLOOKUP(Inventory[[#This Row],[Nbhd]],Lookups!$Q$2:$T$4,4,FALSE)</f>
        <v>0.99970000000000003</v>
      </c>
      <c r="BH1074" s="25">
        <f>VLOOKUP(Inventory[[#This Row],[Qlty]],Lookups!$O$7:$R$21,4,FALSE)</f>
        <v>0.98050000000000004</v>
      </c>
      <c r="BI1074" s="25">
        <f>VLOOKUP(Inventory[[#This Row],[Cnd]],Lookups!$T$7:$W$16,4,FALSE)</f>
        <v>0.99729999999999996</v>
      </c>
      <c r="BJ1074" s="25">
        <f>VLOOKUP(Inventory[[#This Row],[LivArea Range]],Lookups!$T$25:$W$37,4,FALSE)</f>
        <v>1.0157</v>
      </c>
      <c r="BK1074" s="25">
        <f>VLOOKUP(Inventory[[#This Row],[Decade]],Lookups!$O$25:$R$42,4,FALSE)</f>
        <v>0.995</v>
      </c>
      <c r="BL1074" s="25">
        <f>Inventory[[#This Row],[Nbhd Adj]]*0.95</f>
        <v>0.94971499999999998</v>
      </c>
      <c r="BM1074" s="25">
        <f>Inventory[[#This Row],[Nbhd Adj]]*Inventory[[#This Row],[Quality Adj]]*Inventory[[#This Row],[Condition Adj]]*Inventory[[#This Row],[Living Area Adj]]*Inventory[[#This Row],[Decade Adj]]*0.95</f>
        <v>0.93854531823597842</v>
      </c>
      <c r="BN1074" s="25">
        <f>ROUND(SUM(Inventory[[#This Row],[Mdl Qlty]:[Mdl WdDeck]])+Inventory[[#This Row],[Mdl Res Intercept]]*Inventory[[#This Row],[Res Adj ]],-2)</f>
        <v>311400</v>
      </c>
      <c r="BO1074" s="25">
        <f>ROUND(Inventory[[#This Row],[25Det]]*Inventory[[#This Row],[Det/Nbhd Adj]],-2)</f>
        <v>0</v>
      </c>
      <c r="BP1074" s="25">
        <f>Inventory[[#This Row],[Adjusted Res]]+Inventory[[#This Row],[Adj Det ]]</f>
        <v>311400</v>
      </c>
      <c r="BQ1074" s="25">
        <f>ROUND((Inventory[[#This Row],[Mdl Land Intercept]]+Inventory[[#This Row],[Mdl LnAcres]])*Inventory[[#This Row],[Det/Nbhd Adj]],-2)</f>
        <v>30200</v>
      </c>
      <c r="BR1074" s="25">
        <f>Inventory[[#This Row],[Adjusted Impr Total]]+Inventory[[#This Row],[Adjusted Land Total]]</f>
        <v>341600</v>
      </c>
      <c r="BS1074" s="36">
        <f>IFERROR((Inventory[[#This Row],[Adjusted Impr Total]]-Inventory[[#This Row],[24Bldg]])/Inventory[[#This Row],[24Bldg]],0)</f>
        <v>0.17999242137173171</v>
      </c>
      <c r="BT1074" s="36">
        <f>(Inventory[[#This Row],[Adjusted Land Total]]-Inventory[[#This Row],[24Lnd]])/Inventory[[#This Row],[24Lnd]]</f>
        <v>-0.40316205533596838</v>
      </c>
      <c r="BU1074" s="36">
        <f>(Inventory[[#This Row],[Adjusted Total]]-Inventory[[#This Row],[24Final]])/Inventory[[#This Row],[24Final]]</f>
        <v>8.6168521462639106E-2</v>
      </c>
    </row>
    <row r="1075" spans="1:73" x14ac:dyDescent="0.3">
      <c r="A1075" s="25">
        <v>2025</v>
      </c>
      <c r="B1075" s="26" t="s">
        <v>1254</v>
      </c>
      <c r="C1075" s="26">
        <f>LN(Inventory[[#This Row],[Acres]])</f>
        <v>-1.7719568419318752</v>
      </c>
      <c r="D1075" s="25">
        <v>0.17</v>
      </c>
      <c r="E1075" s="25">
        <v>7389</v>
      </c>
      <c r="F1075" s="26" t="s">
        <v>537</v>
      </c>
      <c r="G1075" s="26" t="s">
        <v>126</v>
      </c>
      <c r="H1075" s="26" t="s">
        <v>349</v>
      </c>
      <c r="I1075" s="26" t="s">
        <v>538</v>
      </c>
      <c r="J1075" s="26" t="s">
        <v>539</v>
      </c>
      <c r="K1075" s="26" t="s">
        <v>242</v>
      </c>
      <c r="L1075" s="26" t="s">
        <v>148</v>
      </c>
      <c r="M1075" s="26" t="s">
        <v>303</v>
      </c>
      <c r="N1075" s="26">
        <v>80</v>
      </c>
      <c r="O1075" s="26">
        <f>2024-Inventory[[#This Row],[YrBlt]]</f>
        <v>79</v>
      </c>
      <c r="P1075" s="26">
        <f>2024-Inventory[[#This Row],[EffYr]]</f>
        <v>52</v>
      </c>
      <c r="Q1075" s="25">
        <v>1945</v>
      </c>
      <c r="R1075" s="25">
        <v>1972</v>
      </c>
      <c r="S1075" s="25">
        <v>1048</v>
      </c>
      <c r="T1075" s="31"/>
      <c r="U1075" s="25">
        <v>1048</v>
      </c>
      <c r="V1075" s="25">
        <f>Inventory[[#This Row],[Bsmt]]-Inventory[[#This Row],[FnBsmt]]</f>
        <v>524</v>
      </c>
      <c r="W1075" s="25">
        <v>524</v>
      </c>
      <c r="X1075" s="27"/>
      <c r="Y1075" s="27">
        <f>Inventory[[#This Row],[MainFn]]+Inventory[[#This Row],[UpprFn]]+Inventory[[#This Row],[FnBsmt]]+Inventory[[#This Row],[AddFn]]</f>
        <v>1572</v>
      </c>
      <c r="Z1075" s="27">
        <v>2000</v>
      </c>
      <c r="AA1075" s="25">
        <v>8</v>
      </c>
      <c r="AB1075" s="32">
        <v>240</v>
      </c>
      <c r="AC1075" s="27"/>
      <c r="AD1075" s="31"/>
      <c r="AE1075" s="27"/>
      <c r="AF1075" s="27"/>
      <c r="AG1075" s="27"/>
      <c r="AH1075" s="27"/>
      <c r="AI1075" s="25">
        <v>357035</v>
      </c>
      <c r="AJ1075" s="25">
        <v>249925</v>
      </c>
      <c r="AK1075" s="25">
        <v>0</v>
      </c>
      <c r="AL1075" s="25">
        <v>345800</v>
      </c>
      <c r="AM1075" s="25">
        <v>52700</v>
      </c>
      <c r="AN1075" s="25">
        <v>293100</v>
      </c>
      <c r="AO1075" s="25">
        <v>0</v>
      </c>
      <c r="AP1075" s="25">
        <f>Lookups!$B$56*0</f>
        <v>0</v>
      </c>
      <c r="AQ1075" s="25">
        <f>Lookups!$B$56*1</f>
        <v>89850.625589999996</v>
      </c>
      <c r="AR1075" s="25">
        <f>Lookups!$B$57*Inventory[[#This Row],[LnAcres]]</f>
        <v>-56090.612940989391</v>
      </c>
      <c r="AS1075" s="25">
        <f>VLOOKUP(Inventory[[#This Row],[Qlty]],Lookups!$A$62:$E$75,2,FALSE)</f>
        <v>44121.038090000002</v>
      </c>
      <c r="AT1075" s="25">
        <f>VLOOKUP(Inventory[[#This Row],[Cnd]],Lookups!$A$76:$E$84,2,FALSE)</f>
        <v>197752.34721000001</v>
      </c>
      <c r="AU1075" s="25">
        <f>Inventory[[#This Row],[EffAge]]*Lookups!$B$85</f>
        <v>-11598.371226000001</v>
      </c>
      <c r="AV1075" s="25">
        <f>Inventory[[#This Row],[MainFn]]*Lookups!$B$86</f>
        <v>51780.286031096002</v>
      </c>
      <c r="AW1075" s="25">
        <f>Inventory[[#This Row],[UpprFn]]*Lookups!$B$87</f>
        <v>0</v>
      </c>
      <c r="AX1075" s="25">
        <f>Inventory[[#This Row],[AddFn]]*Lookups!$B$88</f>
        <v>0</v>
      </c>
      <c r="AY1075" s="25">
        <f>Inventory[[#This Row],[Bsmt]]*Lookups!$B$89</f>
        <v>30477.826218856</v>
      </c>
      <c r="AZ1075" s="25">
        <f>Inventory[[#This Row],[Fixtures]]*Lookups!$B$90</f>
        <v>30336.176841600001</v>
      </c>
      <c r="BA1075" s="25">
        <f>Inventory[[#This Row],[WdDeck]]*Lookups!$B$91</f>
        <v>0</v>
      </c>
      <c r="BB1075" s="25">
        <f>ROUND(Inventory[[#This Row],[25Det]],-2)</f>
        <v>0</v>
      </c>
      <c r="BC1075" s="25">
        <f>ROUND(SUM(Inventory[[#This Row],[Mdl Qlty]:[Mdl WdDeck]])+Inventory[[#This Row],[Mdl Res Intercept]],-2)</f>
        <v>342900</v>
      </c>
      <c r="BD1075" s="25">
        <f>ROUND(Inventory[[#This Row],[Mdl Land Intercept]]+Inventory[[#This Row],[Mdl LnAcres]],-2)</f>
        <v>33800</v>
      </c>
      <c r="BE1075" s="25">
        <f>Inventory[[#This Row],[Unadj Res Value]]+Inventory[[#This Row],[Unadj Det Value]]+Inventory[[#This Row],[Unadj Land Value]]</f>
        <v>376700</v>
      </c>
      <c r="BF1075" s="36">
        <f>(Inventory[[#This Row],[Unadj Total Value]]-Inventory[[#This Row],[24Final]])/Inventory[[#This Row],[24Final]]</f>
        <v>8.9358010410641994E-2</v>
      </c>
      <c r="BG1075" s="25">
        <f>VLOOKUP(Inventory[[#This Row],[Nbhd]],Lookups!$Q$2:$T$4,4,FALSE)</f>
        <v>0.99970000000000003</v>
      </c>
      <c r="BH1075" s="25">
        <f>VLOOKUP(Inventory[[#This Row],[Qlty]],Lookups!$O$7:$R$21,4,FALSE)</f>
        <v>0.98050000000000004</v>
      </c>
      <c r="BI1075" s="25">
        <f>VLOOKUP(Inventory[[#This Row],[Cnd]],Lookups!$T$7:$W$16,4,FALSE)</f>
        <v>0.99650000000000005</v>
      </c>
      <c r="BJ1075" s="25">
        <f>VLOOKUP(Inventory[[#This Row],[LivArea Range]],Lookups!$T$25:$W$37,4,FALSE)</f>
        <v>1.0093000000000001</v>
      </c>
      <c r="BK1075" s="25">
        <f>VLOOKUP(Inventory[[#This Row],[Decade]],Lookups!$O$25:$R$42,4,FALSE)</f>
        <v>0.995</v>
      </c>
      <c r="BL1075" s="25">
        <f>Inventory[[#This Row],[Nbhd Adj]]*0.95</f>
        <v>0.94971499999999998</v>
      </c>
      <c r="BM1075" s="25">
        <f>Inventory[[#This Row],[Nbhd Adj]]*Inventory[[#This Row],[Quality Adj]]*Inventory[[#This Row],[Condition Adj]]*Inventory[[#This Row],[Living Area Adj]]*Inventory[[#This Row],[Decade Adj]]*0.95</f>
        <v>0.93188335041151293</v>
      </c>
      <c r="BN1075" s="25">
        <f>ROUND(SUM(Inventory[[#This Row],[Mdl Qlty]:[Mdl WdDeck]])+Inventory[[#This Row],[Mdl Res Intercept]]*Inventory[[#This Row],[Res Adj ]],-2)</f>
        <v>342900</v>
      </c>
      <c r="BO1075" s="25">
        <f>ROUND(Inventory[[#This Row],[25Det]]*Inventory[[#This Row],[Det/Nbhd Adj]],-2)</f>
        <v>0</v>
      </c>
      <c r="BP1075" s="25">
        <f>Inventory[[#This Row],[Adjusted Res]]+Inventory[[#This Row],[Adj Det ]]</f>
        <v>342900</v>
      </c>
      <c r="BQ1075" s="25">
        <f>ROUND((Inventory[[#This Row],[Mdl Land Intercept]]+Inventory[[#This Row],[Mdl LnAcres]])*Inventory[[#This Row],[Det/Nbhd Adj]],-2)</f>
        <v>32100</v>
      </c>
      <c r="BR1075" s="25">
        <f>Inventory[[#This Row],[Adjusted Impr Total]]+Inventory[[#This Row],[Adjusted Land Total]]</f>
        <v>375000</v>
      </c>
      <c r="BS1075" s="36">
        <f>IFERROR((Inventory[[#This Row],[Adjusted Impr Total]]-Inventory[[#This Row],[24Bldg]])/Inventory[[#This Row],[24Bldg]],0)</f>
        <v>0.1699078812691914</v>
      </c>
      <c r="BT1075" s="36">
        <f>(Inventory[[#This Row],[Adjusted Land Total]]-Inventory[[#This Row],[24Lnd]])/Inventory[[#This Row],[24Lnd]]</f>
        <v>-0.39089184060721061</v>
      </c>
      <c r="BU1075" s="36">
        <f>(Inventory[[#This Row],[Adjusted Total]]-Inventory[[#This Row],[24Final]])/Inventory[[#This Row],[24Final]]</f>
        <v>8.444187391555813E-2</v>
      </c>
    </row>
    <row r="1076" spans="1:73" x14ac:dyDescent="0.3">
      <c r="A1076" s="25">
        <v>2025</v>
      </c>
      <c r="B1076" s="26" t="s">
        <v>2259</v>
      </c>
      <c r="C1076" s="26">
        <f>LN(Inventory[[#This Row],[Acres]])</f>
        <v>-2.0402208285265546</v>
      </c>
      <c r="D1076" s="25">
        <v>0.13</v>
      </c>
      <c r="E1076" s="31"/>
      <c r="F1076" s="26" t="s">
        <v>537</v>
      </c>
      <c r="G1076" s="26" t="s">
        <v>126</v>
      </c>
      <c r="H1076" s="26" t="s">
        <v>349</v>
      </c>
      <c r="I1076" s="26" t="s">
        <v>538</v>
      </c>
      <c r="J1076" s="26" t="s">
        <v>539</v>
      </c>
      <c r="K1076" s="26" t="s">
        <v>269</v>
      </c>
      <c r="L1076" s="26" t="s">
        <v>302</v>
      </c>
      <c r="M1076" s="26" t="s">
        <v>303</v>
      </c>
      <c r="N1076" s="26">
        <v>80</v>
      </c>
      <c r="O1076" s="26">
        <f>2024-Inventory[[#This Row],[YrBlt]]</f>
        <v>79</v>
      </c>
      <c r="P1076" s="26">
        <f>2024-Inventory[[#This Row],[EffYr]]</f>
        <v>52</v>
      </c>
      <c r="Q1076" s="25">
        <v>1945</v>
      </c>
      <c r="R1076" s="25">
        <v>1972</v>
      </c>
      <c r="S1076" s="25">
        <v>1563</v>
      </c>
      <c r="T1076" s="27"/>
      <c r="U1076" s="25">
        <v>663</v>
      </c>
      <c r="V1076" s="25">
        <f>Inventory[[#This Row],[Bsmt]]-Inventory[[#This Row],[FnBsmt]]</f>
        <v>0</v>
      </c>
      <c r="W1076" s="25">
        <v>663</v>
      </c>
      <c r="X1076" s="27"/>
      <c r="Y1076" s="27">
        <f>Inventory[[#This Row],[MainFn]]+Inventory[[#This Row],[UpprFn]]+Inventory[[#This Row],[FnBsmt]]+Inventory[[#This Row],[AddFn]]</f>
        <v>2226</v>
      </c>
      <c r="Z1076" s="27">
        <v>2500</v>
      </c>
      <c r="AA1076" s="25">
        <v>8</v>
      </c>
      <c r="AB1076" s="27"/>
      <c r="AC1076" s="27"/>
      <c r="AD1076" s="25">
        <v>240</v>
      </c>
      <c r="AE1076" s="27"/>
      <c r="AF1076" s="27"/>
      <c r="AG1076" s="27"/>
      <c r="AH1076" s="27"/>
      <c r="AI1076" s="25">
        <v>363189</v>
      </c>
      <c r="AJ1076" s="25">
        <v>254232</v>
      </c>
      <c r="AK1076" s="25">
        <v>5261</v>
      </c>
      <c r="AL1076" s="25">
        <v>350300</v>
      </c>
      <c r="AM1076" s="25">
        <v>43400</v>
      </c>
      <c r="AN1076" s="25">
        <v>306900</v>
      </c>
      <c r="AO1076" s="25">
        <v>0</v>
      </c>
      <c r="AP1076" s="25">
        <f>Lookups!$B$56*0</f>
        <v>0</v>
      </c>
      <c r="AQ1076" s="25">
        <f>Lookups!$B$56*1</f>
        <v>89850.625589999996</v>
      </c>
      <c r="AR1076" s="25">
        <f>Lookups!$B$57*Inventory[[#This Row],[LnAcres]]</f>
        <v>-64582.406353792743</v>
      </c>
      <c r="AS1076" s="25">
        <f>VLOOKUP(Inventory[[#This Row],[Qlty]],Lookups!$A$62:$E$75,2,FALSE)</f>
        <v>29814.093161000001</v>
      </c>
      <c r="AT1076" s="25">
        <f>VLOOKUP(Inventory[[#This Row],[Cnd]],Lookups!$A$76:$E$84,2,FALSE)</f>
        <v>197752.34721000001</v>
      </c>
      <c r="AU1076" s="25">
        <f>Inventory[[#This Row],[EffAge]]*Lookups!$B$85</f>
        <v>-11598.371226000001</v>
      </c>
      <c r="AV1076" s="25">
        <f>Inventory[[#This Row],[MainFn]]*Lookups!$B$86</f>
        <v>77225.751017750998</v>
      </c>
      <c r="AW1076" s="25">
        <f>Inventory[[#This Row],[UpprFn]]*Lookups!$B$87</f>
        <v>0</v>
      </c>
      <c r="AX1076" s="25">
        <f>Inventory[[#This Row],[AddFn]]*Lookups!$B$88</f>
        <v>0</v>
      </c>
      <c r="AY1076" s="25">
        <f>Inventory[[#This Row],[Bsmt]]*Lookups!$B$89</f>
        <v>19281.296548760998</v>
      </c>
      <c r="AZ1076" s="25">
        <f>Inventory[[#This Row],[Fixtures]]*Lookups!$B$90</f>
        <v>30336.176841600001</v>
      </c>
      <c r="BA1076" s="25">
        <f>Inventory[[#This Row],[WdDeck]]*Lookups!$B$91</f>
        <v>7990.9236662400008</v>
      </c>
      <c r="BB1076" s="25">
        <f>ROUND(Inventory[[#This Row],[25Det]],-2)</f>
        <v>5300</v>
      </c>
      <c r="BC1076" s="25">
        <f>ROUND(SUM(Inventory[[#This Row],[Mdl Qlty]:[Mdl WdDeck]])+Inventory[[#This Row],[Mdl Res Intercept]],-2)</f>
        <v>350800</v>
      </c>
      <c r="BD1076" s="25">
        <f>ROUND(Inventory[[#This Row],[Mdl Land Intercept]]+Inventory[[#This Row],[Mdl LnAcres]],-2)</f>
        <v>25300</v>
      </c>
      <c r="BE1076" s="25">
        <f>Inventory[[#This Row],[Unadj Res Value]]+Inventory[[#This Row],[Unadj Det Value]]+Inventory[[#This Row],[Unadj Land Value]]</f>
        <v>381400</v>
      </c>
      <c r="BF1076" s="36">
        <f>(Inventory[[#This Row],[Unadj Total Value]]-Inventory[[#This Row],[24Final]])/Inventory[[#This Row],[24Final]]</f>
        <v>8.8781044818726812E-2</v>
      </c>
      <c r="BG1076" s="25">
        <f>VLOOKUP(Inventory[[#This Row],[Nbhd]],Lookups!$Q$2:$T$4,4,FALSE)</f>
        <v>0.99970000000000003</v>
      </c>
      <c r="BH1076" s="25">
        <f>VLOOKUP(Inventory[[#This Row],[Qlty]],Lookups!$O$7:$R$21,4,FALSE)</f>
        <v>1.0088999999999999</v>
      </c>
      <c r="BI1076" s="25">
        <f>VLOOKUP(Inventory[[#This Row],[Cnd]],Lookups!$T$7:$W$16,4,FALSE)</f>
        <v>0.99650000000000005</v>
      </c>
      <c r="BJ1076" s="25">
        <f>VLOOKUP(Inventory[[#This Row],[LivArea Range]],Lookups!$T$25:$W$37,4,FALSE)</f>
        <v>0.98919999999999997</v>
      </c>
      <c r="BK1076" s="25">
        <f>VLOOKUP(Inventory[[#This Row],[Decade]],Lookups!$O$25:$R$42,4,FALSE)</f>
        <v>0.995</v>
      </c>
      <c r="BL1076" s="25">
        <f>Inventory[[#This Row],[Nbhd Adj]]*0.95</f>
        <v>0.94971499999999998</v>
      </c>
      <c r="BM1076" s="25">
        <f>Inventory[[#This Row],[Nbhd Adj]]*Inventory[[#This Row],[Quality Adj]]*Inventory[[#This Row],[Condition Adj]]*Inventory[[#This Row],[Living Area Adj]]*Inventory[[#This Row],[Decade Adj]]*0.95</f>
        <v>0.93977937806455991</v>
      </c>
      <c r="BN1076" s="25">
        <f>ROUND(SUM(Inventory[[#This Row],[Mdl Qlty]:[Mdl WdDeck]])+Inventory[[#This Row],[Mdl Res Intercept]]*Inventory[[#This Row],[Res Adj ]],-2)</f>
        <v>350800</v>
      </c>
      <c r="BO1076" s="25">
        <f>ROUND(Inventory[[#This Row],[25Det]]*Inventory[[#This Row],[Det/Nbhd Adj]],-2)</f>
        <v>5000</v>
      </c>
      <c r="BP1076" s="25">
        <f>Inventory[[#This Row],[Adjusted Res]]+Inventory[[#This Row],[Adj Det ]]</f>
        <v>355800</v>
      </c>
      <c r="BQ1076" s="25">
        <f>ROUND((Inventory[[#This Row],[Mdl Land Intercept]]+Inventory[[#This Row],[Mdl LnAcres]])*Inventory[[#This Row],[Det/Nbhd Adj]],-2)</f>
        <v>24000</v>
      </c>
      <c r="BR1076" s="25">
        <f>Inventory[[#This Row],[Adjusted Impr Total]]+Inventory[[#This Row],[Adjusted Land Total]]</f>
        <v>379800</v>
      </c>
      <c r="BS1076" s="36">
        <f>IFERROR((Inventory[[#This Row],[Adjusted Impr Total]]-Inventory[[#This Row],[24Bldg]])/Inventory[[#This Row],[24Bldg]],0)</f>
        <v>0.15933528836754643</v>
      </c>
      <c r="BT1076" s="36">
        <f>(Inventory[[#This Row],[Adjusted Land Total]]-Inventory[[#This Row],[24Lnd]])/Inventory[[#This Row],[24Lnd]]</f>
        <v>-0.44700460829493088</v>
      </c>
      <c r="BU1076" s="36">
        <f>(Inventory[[#This Row],[Adjusted Total]]-Inventory[[#This Row],[24Final]])/Inventory[[#This Row],[24Final]]</f>
        <v>8.4213531258920921E-2</v>
      </c>
    </row>
    <row r="1077" spans="1:73" x14ac:dyDescent="0.3">
      <c r="A1077" s="25">
        <v>2025</v>
      </c>
      <c r="B1077" s="26" t="s">
        <v>2597</v>
      </c>
      <c r="C1077" s="26">
        <f>LN(Inventory[[#This Row],[Acres]])</f>
        <v>-2.2072749131897207</v>
      </c>
      <c r="D1077" s="25">
        <v>0.11</v>
      </c>
      <c r="E1077" s="25">
        <v>4935</v>
      </c>
      <c r="F1077" s="26" t="s">
        <v>537</v>
      </c>
      <c r="G1077" s="26" t="s">
        <v>126</v>
      </c>
      <c r="H1077" s="26" t="s">
        <v>349</v>
      </c>
      <c r="I1077" s="26" t="s">
        <v>538</v>
      </c>
      <c r="J1077" s="26" t="s">
        <v>539</v>
      </c>
      <c r="K1077" s="26" t="s">
        <v>269</v>
      </c>
      <c r="L1077" s="26" t="s">
        <v>351</v>
      </c>
      <c r="M1077" s="26" t="s">
        <v>323</v>
      </c>
      <c r="N1077" s="26">
        <v>80</v>
      </c>
      <c r="O1077" s="26">
        <f>2024-Inventory[[#This Row],[YrBlt]]</f>
        <v>79</v>
      </c>
      <c r="P1077" s="26">
        <f>2024-Inventory[[#This Row],[EffYr]]</f>
        <v>52</v>
      </c>
      <c r="Q1077" s="25">
        <v>1945</v>
      </c>
      <c r="R1077" s="25">
        <v>1972</v>
      </c>
      <c r="S1077" s="25">
        <v>1116</v>
      </c>
      <c r="T1077" s="27"/>
      <c r="U1077" s="25">
        <v>664</v>
      </c>
      <c r="V1077" s="32">
        <f>Inventory[[#This Row],[Bsmt]]-Inventory[[#This Row],[FnBsmt]]</f>
        <v>664</v>
      </c>
      <c r="W1077" s="27"/>
      <c r="X1077" s="27"/>
      <c r="Y1077" s="27">
        <f>Inventory[[#This Row],[MainFn]]+Inventory[[#This Row],[UpprFn]]+Inventory[[#This Row],[FnBsmt]]+Inventory[[#This Row],[AddFn]]</f>
        <v>1116</v>
      </c>
      <c r="Z1077" s="27">
        <v>1500</v>
      </c>
      <c r="AA1077" s="25">
        <v>5</v>
      </c>
      <c r="AB1077" s="27"/>
      <c r="AC1077" s="27"/>
      <c r="AD1077" s="27"/>
      <c r="AE1077" s="27"/>
      <c r="AF1077" s="27"/>
      <c r="AG1077" s="27"/>
      <c r="AH1077" s="27"/>
      <c r="AI1077" s="25">
        <v>210585</v>
      </c>
      <c r="AJ1077" s="25">
        <v>143198</v>
      </c>
      <c r="AK1077" s="25">
        <v>5869</v>
      </c>
      <c r="AL1077" s="25">
        <v>266200</v>
      </c>
      <c r="AM1077" s="25">
        <v>37600</v>
      </c>
      <c r="AN1077" s="25">
        <v>228600</v>
      </c>
      <c r="AO1077" s="25">
        <v>0</v>
      </c>
      <c r="AP1077" s="25">
        <f>Lookups!$B$56*0</f>
        <v>0</v>
      </c>
      <c r="AQ1077" s="25">
        <f>Lookups!$B$56*1</f>
        <v>89850.625589999996</v>
      </c>
      <c r="AR1077" s="25">
        <f>Lookups!$B$57*Inventory[[#This Row],[LnAcres]]</f>
        <v>-69870.439211769743</v>
      </c>
      <c r="AS1077" s="25">
        <f>VLOOKUP(Inventory[[#This Row],[Qlty]],Lookups!$A$62:$E$75,2,FALSE)</f>
        <v>21557.329055999999</v>
      </c>
      <c r="AT1077" s="25">
        <f>VLOOKUP(Inventory[[#This Row],[Cnd]],Lookups!$A$76:$E$84,2,FALSE)</f>
        <v>160472.20319</v>
      </c>
      <c r="AU1077" s="25">
        <f>Inventory[[#This Row],[EffAge]]*Lookups!$B$85</f>
        <v>-11598.371226000001</v>
      </c>
      <c r="AV1077" s="25">
        <f>Inventory[[#This Row],[MainFn]]*Lookups!$B$86</f>
        <v>55140.075582732003</v>
      </c>
      <c r="AW1077" s="25">
        <f>Inventory[[#This Row],[UpprFn]]*Lookups!$B$87</f>
        <v>0</v>
      </c>
      <c r="AX1077" s="25">
        <f>Inventory[[#This Row],[AddFn]]*Lookups!$B$88</f>
        <v>0</v>
      </c>
      <c r="AY1077" s="25">
        <f>Inventory[[#This Row],[Bsmt]]*Lookups!$B$89</f>
        <v>19310.378444007998</v>
      </c>
      <c r="AZ1077" s="25">
        <f>Inventory[[#This Row],[Fixtures]]*Lookups!$B$90</f>
        <v>18960.110526</v>
      </c>
      <c r="BA1077" s="25">
        <f>Inventory[[#This Row],[WdDeck]]*Lookups!$B$91</f>
        <v>0</v>
      </c>
      <c r="BB1077" s="25">
        <f>ROUND(Inventory[[#This Row],[25Det]],-2)</f>
        <v>5900</v>
      </c>
      <c r="BC1077" s="25">
        <f>ROUND(SUM(Inventory[[#This Row],[Mdl Qlty]:[Mdl WdDeck]])+Inventory[[#This Row],[Mdl Res Intercept]],-2)</f>
        <v>263800</v>
      </c>
      <c r="BD1077" s="25">
        <f>ROUND(Inventory[[#This Row],[Mdl Land Intercept]]+Inventory[[#This Row],[Mdl LnAcres]],-2)</f>
        <v>20000</v>
      </c>
      <c r="BE1077" s="25">
        <f>Inventory[[#This Row],[Unadj Res Value]]+Inventory[[#This Row],[Unadj Det Value]]+Inventory[[#This Row],[Unadj Land Value]]</f>
        <v>289700</v>
      </c>
      <c r="BF1077" s="36">
        <f>(Inventory[[#This Row],[Unadj Total Value]]-Inventory[[#This Row],[24Final]])/Inventory[[#This Row],[24Final]]</f>
        <v>8.8279489105935388E-2</v>
      </c>
      <c r="BG1077" s="25">
        <f>VLOOKUP(Inventory[[#This Row],[Nbhd]],Lookups!$Q$2:$T$4,4,FALSE)</f>
        <v>0.99970000000000003</v>
      </c>
      <c r="BH1077" s="25">
        <f>VLOOKUP(Inventory[[#This Row],[Qlty]],Lookups!$O$7:$R$21,4,FALSE)</f>
        <v>1.0067999999999999</v>
      </c>
      <c r="BI1077" s="25">
        <f>VLOOKUP(Inventory[[#This Row],[Cnd]],Lookups!$T$7:$W$16,4,FALSE)</f>
        <v>0.99729999999999996</v>
      </c>
      <c r="BJ1077" s="25">
        <f>VLOOKUP(Inventory[[#This Row],[LivArea Range]],Lookups!$T$25:$W$37,4,FALSE)</f>
        <v>1.0157</v>
      </c>
      <c r="BK1077" s="25">
        <f>VLOOKUP(Inventory[[#This Row],[Decade]],Lookups!$O$25:$R$42,4,FALSE)</f>
        <v>0.995</v>
      </c>
      <c r="BL1077" s="25">
        <f>Inventory[[#This Row],[Nbhd Adj]]*0.95</f>
        <v>0.94971499999999998</v>
      </c>
      <c r="BM1077" s="25">
        <f>Inventory[[#This Row],[Nbhd Adj]]*Inventory[[#This Row],[Quality Adj]]*Inventory[[#This Row],[Condition Adj]]*Inventory[[#This Row],[Living Area Adj]]*Inventory[[#This Row],[Decade Adj]]*0.95</f>
        <v>0.96371996573175212</v>
      </c>
      <c r="BN1077" s="25">
        <f>ROUND(SUM(Inventory[[#This Row],[Mdl Qlty]:[Mdl WdDeck]])+Inventory[[#This Row],[Mdl Res Intercept]]*Inventory[[#This Row],[Res Adj ]],-2)</f>
        <v>263800</v>
      </c>
      <c r="BO1077" s="25">
        <f>ROUND(Inventory[[#This Row],[25Det]]*Inventory[[#This Row],[Det/Nbhd Adj]],-2)</f>
        <v>5600</v>
      </c>
      <c r="BP1077" s="25">
        <f>Inventory[[#This Row],[Adjusted Res]]+Inventory[[#This Row],[Adj Det ]]</f>
        <v>269400</v>
      </c>
      <c r="BQ1077" s="25">
        <f>ROUND((Inventory[[#This Row],[Mdl Land Intercept]]+Inventory[[#This Row],[Mdl LnAcres]])*Inventory[[#This Row],[Det/Nbhd Adj]],-2)</f>
        <v>19000</v>
      </c>
      <c r="BR1077" s="25">
        <f>Inventory[[#This Row],[Adjusted Impr Total]]+Inventory[[#This Row],[Adjusted Land Total]]</f>
        <v>288400</v>
      </c>
      <c r="BS1077" s="36">
        <f>IFERROR((Inventory[[#This Row],[Adjusted Impr Total]]-Inventory[[#This Row],[24Bldg]])/Inventory[[#This Row],[24Bldg]],0)</f>
        <v>0.17847769028871391</v>
      </c>
      <c r="BT1077" s="36">
        <f>(Inventory[[#This Row],[Adjusted Land Total]]-Inventory[[#This Row],[24Lnd]])/Inventory[[#This Row],[24Lnd]]</f>
        <v>-0.49468085106382981</v>
      </c>
      <c r="BU1077" s="36">
        <f>(Inventory[[#This Row],[Adjusted Total]]-Inventory[[#This Row],[24Final]])/Inventory[[#This Row],[24Final]]</f>
        <v>8.3395942900075126E-2</v>
      </c>
    </row>
    <row r="1078" spans="1:73" x14ac:dyDescent="0.3">
      <c r="A1078" s="25">
        <v>2025</v>
      </c>
      <c r="B1078" s="26" t="s">
        <v>1304</v>
      </c>
      <c r="C1078" s="26">
        <f>LN(Inventory[[#This Row],[Acres]])</f>
        <v>-1.7147984280919266</v>
      </c>
      <c r="D1078" s="25">
        <v>0.18</v>
      </c>
      <c r="E1078" s="31"/>
      <c r="F1078" s="26" t="s">
        <v>537</v>
      </c>
      <c r="G1078" s="26" t="s">
        <v>126</v>
      </c>
      <c r="H1078" s="26" t="s">
        <v>349</v>
      </c>
      <c r="I1078" s="26" t="s">
        <v>538</v>
      </c>
      <c r="J1078" s="26" t="s">
        <v>539</v>
      </c>
      <c r="K1078" s="26" t="s">
        <v>242</v>
      </c>
      <c r="L1078" s="26" t="s">
        <v>302</v>
      </c>
      <c r="M1078" s="26" t="s">
        <v>303</v>
      </c>
      <c r="N1078" s="26">
        <v>80</v>
      </c>
      <c r="O1078" s="26">
        <f>2024-Inventory[[#This Row],[YrBlt]]</f>
        <v>79</v>
      </c>
      <c r="P1078" s="26">
        <f>2024-Inventory[[#This Row],[EffYr]]</f>
        <v>52</v>
      </c>
      <c r="Q1078" s="25">
        <v>1945</v>
      </c>
      <c r="R1078" s="25">
        <v>1972</v>
      </c>
      <c r="S1078" s="25">
        <v>1020</v>
      </c>
      <c r="T1078" s="27"/>
      <c r="U1078" s="32">
        <v>500</v>
      </c>
      <c r="V1078" s="32">
        <f>Inventory[[#This Row],[Bsmt]]-Inventory[[#This Row],[FnBsmt]]</f>
        <v>0</v>
      </c>
      <c r="W1078" s="32">
        <v>500</v>
      </c>
      <c r="X1078" s="27"/>
      <c r="Y1078" s="27">
        <f>Inventory[[#This Row],[MainFn]]+Inventory[[#This Row],[UpprFn]]+Inventory[[#This Row],[FnBsmt]]+Inventory[[#This Row],[AddFn]]</f>
        <v>1520</v>
      </c>
      <c r="Z1078" s="27">
        <v>2000</v>
      </c>
      <c r="AA1078" s="25">
        <v>7</v>
      </c>
      <c r="AB1078" s="32">
        <v>180</v>
      </c>
      <c r="AC1078" s="27"/>
      <c r="AD1078" s="27"/>
      <c r="AE1078" s="27"/>
      <c r="AF1078" s="27"/>
      <c r="AG1078" s="27"/>
      <c r="AH1078" s="27"/>
      <c r="AI1078" s="25">
        <v>262659</v>
      </c>
      <c r="AJ1078" s="25">
        <v>183861</v>
      </c>
      <c r="AK1078" s="25">
        <v>0</v>
      </c>
      <c r="AL1078" s="25">
        <v>315400</v>
      </c>
      <c r="AM1078" s="25">
        <v>54700</v>
      </c>
      <c r="AN1078" s="25">
        <v>260700</v>
      </c>
      <c r="AO1078" s="25">
        <v>0</v>
      </c>
      <c r="AP1078" s="25">
        <f>Lookups!$B$56*0</f>
        <v>0</v>
      </c>
      <c r="AQ1078" s="25">
        <f>Lookups!$B$56*1</f>
        <v>89850.625589999996</v>
      </c>
      <c r="AR1078" s="25">
        <f>Lookups!$B$57*Inventory[[#This Row],[LnAcres]]</f>
        <v>-54281.285314520763</v>
      </c>
      <c r="AS1078" s="25">
        <f>VLOOKUP(Inventory[[#This Row],[Qlty]],Lookups!$A$62:$E$75,2,FALSE)</f>
        <v>29814.093161000001</v>
      </c>
      <c r="AT1078" s="25">
        <f>VLOOKUP(Inventory[[#This Row],[Cnd]],Lookups!$A$76:$E$84,2,FALSE)</f>
        <v>197752.34721000001</v>
      </c>
      <c r="AU1078" s="25">
        <f>Inventory[[#This Row],[EffAge]]*Lookups!$B$85</f>
        <v>-11598.371226000001</v>
      </c>
      <c r="AV1078" s="25">
        <f>Inventory[[#This Row],[MainFn]]*Lookups!$B$86</f>
        <v>50396.843274539999</v>
      </c>
      <c r="AW1078" s="25">
        <f>Inventory[[#This Row],[UpprFn]]*Lookups!$B$87</f>
        <v>0</v>
      </c>
      <c r="AX1078" s="25">
        <f>Inventory[[#This Row],[AddFn]]*Lookups!$B$88</f>
        <v>0</v>
      </c>
      <c r="AY1078" s="25">
        <f>Inventory[[#This Row],[Bsmt]]*Lookups!$B$89</f>
        <v>14540.947623499998</v>
      </c>
      <c r="AZ1078" s="25">
        <f>Inventory[[#This Row],[Fixtures]]*Lookups!$B$90</f>
        <v>26544.1547364</v>
      </c>
      <c r="BA1078" s="25">
        <f>Inventory[[#This Row],[WdDeck]]*Lookups!$B$91</f>
        <v>0</v>
      </c>
      <c r="BB1078" s="25">
        <f>ROUND(Inventory[[#This Row],[25Det]],-2)</f>
        <v>0</v>
      </c>
      <c r="BC1078" s="25">
        <f>ROUND(SUM(Inventory[[#This Row],[Mdl Qlty]:[Mdl WdDeck]])+Inventory[[#This Row],[Mdl Res Intercept]],-2)</f>
        <v>307500</v>
      </c>
      <c r="BD1078" s="25">
        <f>ROUND(Inventory[[#This Row],[Mdl Land Intercept]]+Inventory[[#This Row],[Mdl LnAcres]],-2)</f>
        <v>35600</v>
      </c>
      <c r="BE1078" s="25">
        <f>Inventory[[#This Row],[Unadj Res Value]]+Inventory[[#This Row],[Unadj Det Value]]+Inventory[[#This Row],[Unadj Land Value]]</f>
        <v>343100</v>
      </c>
      <c r="BF1078" s="36">
        <f>(Inventory[[#This Row],[Unadj Total Value]]-Inventory[[#This Row],[24Final]])/Inventory[[#This Row],[24Final]]</f>
        <v>8.7824984147114774E-2</v>
      </c>
      <c r="BG1078" s="25">
        <f>VLOOKUP(Inventory[[#This Row],[Nbhd]],Lookups!$Q$2:$T$4,4,FALSE)</f>
        <v>0.99970000000000003</v>
      </c>
      <c r="BH1078" s="25">
        <f>VLOOKUP(Inventory[[#This Row],[Qlty]],Lookups!$O$7:$R$21,4,FALSE)</f>
        <v>1.0088999999999999</v>
      </c>
      <c r="BI1078" s="25">
        <f>VLOOKUP(Inventory[[#This Row],[Cnd]],Lookups!$T$7:$W$16,4,FALSE)</f>
        <v>0.99650000000000005</v>
      </c>
      <c r="BJ1078" s="25">
        <f>VLOOKUP(Inventory[[#This Row],[LivArea Range]],Lookups!$T$25:$W$37,4,FALSE)</f>
        <v>1.0093000000000001</v>
      </c>
      <c r="BK1078" s="25">
        <f>VLOOKUP(Inventory[[#This Row],[Decade]],Lookups!$O$25:$R$42,4,FALSE)</f>
        <v>0.995</v>
      </c>
      <c r="BL1078" s="25">
        <f>Inventory[[#This Row],[Nbhd Adj]]*0.95</f>
        <v>0.94971499999999998</v>
      </c>
      <c r="BM1078" s="25">
        <f>Inventory[[#This Row],[Nbhd Adj]]*Inventory[[#This Row],[Quality Adj]]*Inventory[[#This Row],[Condition Adj]]*Inventory[[#This Row],[Living Area Adj]]*Inventory[[#This Row],[Decade Adj]]*0.95</f>
        <v>0.9588751782051762</v>
      </c>
      <c r="BN1078" s="25">
        <f>ROUND(SUM(Inventory[[#This Row],[Mdl Qlty]:[Mdl WdDeck]])+Inventory[[#This Row],[Mdl Res Intercept]]*Inventory[[#This Row],[Res Adj ]],-2)</f>
        <v>307500</v>
      </c>
      <c r="BO1078" s="25">
        <f>ROUND(Inventory[[#This Row],[25Det]]*Inventory[[#This Row],[Det/Nbhd Adj]],-2)</f>
        <v>0</v>
      </c>
      <c r="BP1078" s="25">
        <f>Inventory[[#This Row],[Adjusted Res]]+Inventory[[#This Row],[Adj Det ]]</f>
        <v>307500</v>
      </c>
      <c r="BQ1078" s="25">
        <f>ROUND((Inventory[[#This Row],[Mdl Land Intercept]]+Inventory[[#This Row],[Mdl LnAcres]])*Inventory[[#This Row],[Det/Nbhd Adj]],-2)</f>
        <v>33800</v>
      </c>
      <c r="BR1078" s="25">
        <f>Inventory[[#This Row],[Adjusted Impr Total]]+Inventory[[#This Row],[Adjusted Land Total]]</f>
        <v>341300</v>
      </c>
      <c r="BS1078" s="36">
        <f>IFERROR((Inventory[[#This Row],[Adjusted Impr Total]]-Inventory[[#This Row],[24Bldg]])/Inventory[[#This Row],[24Bldg]],0)</f>
        <v>0.17951668584579977</v>
      </c>
      <c r="BT1078" s="36">
        <f>(Inventory[[#This Row],[Adjusted Land Total]]-Inventory[[#This Row],[24Lnd]])/Inventory[[#This Row],[24Lnd]]</f>
        <v>-0.38208409506398539</v>
      </c>
      <c r="BU1078" s="36">
        <f>(Inventory[[#This Row],[Adjusted Total]]-Inventory[[#This Row],[24Final]])/Inventory[[#This Row],[24Final]]</f>
        <v>8.2117945466074829E-2</v>
      </c>
    </row>
    <row r="1079" spans="1:73" x14ac:dyDescent="0.3">
      <c r="A1079" s="25">
        <v>2025</v>
      </c>
      <c r="B1079" s="26" t="s">
        <v>1453</v>
      </c>
      <c r="C1079" s="26">
        <f>LN(Inventory[[#This Row],[Acres]])</f>
        <v>-1.9661128563728327</v>
      </c>
      <c r="D1079" s="25">
        <v>0.14000000000000001</v>
      </c>
      <c r="E1079" s="25">
        <v>6098</v>
      </c>
      <c r="F1079" s="26" t="s">
        <v>537</v>
      </c>
      <c r="G1079" s="26" t="s">
        <v>126</v>
      </c>
      <c r="H1079" s="26" t="s">
        <v>349</v>
      </c>
      <c r="I1079" s="26" t="s">
        <v>538</v>
      </c>
      <c r="J1079" s="26" t="s">
        <v>539</v>
      </c>
      <c r="K1079" s="26" t="s">
        <v>241</v>
      </c>
      <c r="L1079" s="26" t="s">
        <v>351</v>
      </c>
      <c r="M1079" s="26" t="s">
        <v>323</v>
      </c>
      <c r="N1079" s="26">
        <v>80</v>
      </c>
      <c r="O1079" s="26">
        <f>2024-Inventory[[#This Row],[YrBlt]]</f>
        <v>79</v>
      </c>
      <c r="P1079" s="26">
        <f>2024-Inventory[[#This Row],[EffYr]]</f>
        <v>52</v>
      </c>
      <c r="Q1079" s="25">
        <v>1945</v>
      </c>
      <c r="R1079" s="25">
        <v>1972</v>
      </c>
      <c r="S1079" s="25">
        <v>1128</v>
      </c>
      <c r="T1079" s="27"/>
      <c r="U1079" s="32">
        <v>1128</v>
      </c>
      <c r="V1079" s="32">
        <f>Inventory[[#This Row],[Bsmt]]-Inventory[[#This Row],[FnBsmt]]</f>
        <v>790</v>
      </c>
      <c r="W1079" s="32">
        <v>338</v>
      </c>
      <c r="X1079" s="27"/>
      <c r="Y1079" s="27">
        <f>Inventory[[#This Row],[MainFn]]+Inventory[[#This Row],[UpprFn]]+Inventory[[#This Row],[FnBsmt]]+Inventory[[#This Row],[AddFn]]</f>
        <v>1466</v>
      </c>
      <c r="Z1079" s="27">
        <v>1500</v>
      </c>
      <c r="AA1079" s="25">
        <v>8</v>
      </c>
      <c r="AB1079" s="27"/>
      <c r="AC1079" s="27"/>
      <c r="AD1079" s="32">
        <v>180</v>
      </c>
      <c r="AE1079" s="27"/>
      <c r="AF1079" s="27"/>
      <c r="AG1079" s="27"/>
      <c r="AH1079" s="27"/>
      <c r="AI1079" s="25">
        <v>259778</v>
      </c>
      <c r="AJ1079" s="25">
        <v>176649</v>
      </c>
      <c r="AK1079" s="25">
        <v>4603</v>
      </c>
      <c r="AL1079" s="25">
        <v>301600</v>
      </c>
      <c r="AM1079" s="25">
        <v>46000</v>
      </c>
      <c r="AN1079" s="25">
        <v>255600</v>
      </c>
      <c r="AO1079" s="25">
        <v>0</v>
      </c>
      <c r="AP1079" s="25">
        <f>Lookups!$B$56*0</f>
        <v>0</v>
      </c>
      <c r="AQ1079" s="25">
        <f>Lookups!$B$56*1</f>
        <v>89850.625589999996</v>
      </c>
      <c r="AR1079" s="25">
        <f>Lookups!$B$57*Inventory[[#This Row],[LnAcres]]</f>
        <v>-62236.546971921947</v>
      </c>
      <c r="AS1079" s="25">
        <f>VLOOKUP(Inventory[[#This Row],[Qlty]],Lookups!$A$62:$E$75,2,FALSE)</f>
        <v>21557.329055999999</v>
      </c>
      <c r="AT1079" s="25">
        <f>VLOOKUP(Inventory[[#This Row],[Cnd]],Lookups!$A$76:$E$84,2,FALSE)</f>
        <v>160472.20319</v>
      </c>
      <c r="AU1079" s="25">
        <f>Inventory[[#This Row],[EffAge]]*Lookups!$B$85</f>
        <v>-11598.371226000001</v>
      </c>
      <c r="AV1079" s="25">
        <f>Inventory[[#This Row],[MainFn]]*Lookups!$B$86</f>
        <v>55732.979621256003</v>
      </c>
      <c r="AW1079" s="25">
        <f>Inventory[[#This Row],[UpprFn]]*Lookups!$B$87</f>
        <v>0</v>
      </c>
      <c r="AX1079" s="25">
        <f>Inventory[[#This Row],[AddFn]]*Lookups!$B$88</f>
        <v>0</v>
      </c>
      <c r="AY1079" s="25">
        <f>Inventory[[#This Row],[Bsmt]]*Lookups!$B$89</f>
        <v>32804.377838615997</v>
      </c>
      <c r="AZ1079" s="25">
        <f>Inventory[[#This Row],[Fixtures]]*Lookups!$B$90</f>
        <v>30336.176841600001</v>
      </c>
      <c r="BA1079" s="25">
        <f>Inventory[[#This Row],[WdDeck]]*Lookups!$B$91</f>
        <v>5993.1927496800008</v>
      </c>
      <c r="BB1079" s="25">
        <f>ROUND(Inventory[[#This Row],[25Det]],-2)</f>
        <v>4600</v>
      </c>
      <c r="BC1079" s="25">
        <f>ROUND(SUM(Inventory[[#This Row],[Mdl Qlty]:[Mdl WdDeck]])+Inventory[[#This Row],[Mdl Res Intercept]],-2)</f>
        <v>295300</v>
      </c>
      <c r="BD1079" s="25">
        <f>ROUND(Inventory[[#This Row],[Mdl Land Intercept]]+Inventory[[#This Row],[Mdl LnAcres]],-2)</f>
        <v>27600</v>
      </c>
      <c r="BE1079" s="25">
        <f>Inventory[[#This Row],[Unadj Res Value]]+Inventory[[#This Row],[Unadj Det Value]]+Inventory[[#This Row],[Unadj Land Value]]</f>
        <v>327500</v>
      </c>
      <c r="BF1079" s="36">
        <f>(Inventory[[#This Row],[Unadj Total Value]]-Inventory[[#This Row],[24Final]])/Inventory[[#This Row],[24Final]]</f>
        <v>8.5875331564986737E-2</v>
      </c>
      <c r="BG1079" s="25">
        <f>VLOOKUP(Inventory[[#This Row],[Nbhd]],Lookups!$Q$2:$T$4,4,FALSE)</f>
        <v>0.99970000000000003</v>
      </c>
      <c r="BH1079" s="25">
        <f>VLOOKUP(Inventory[[#This Row],[Qlty]],Lookups!$O$7:$R$21,4,FALSE)</f>
        <v>1.0067999999999999</v>
      </c>
      <c r="BI1079" s="25">
        <f>VLOOKUP(Inventory[[#This Row],[Cnd]],Lookups!$T$7:$W$16,4,FALSE)</f>
        <v>0.99729999999999996</v>
      </c>
      <c r="BJ1079" s="25">
        <f>VLOOKUP(Inventory[[#This Row],[LivArea Range]],Lookups!$T$25:$W$37,4,FALSE)</f>
        <v>1.0157</v>
      </c>
      <c r="BK1079" s="25">
        <f>VLOOKUP(Inventory[[#This Row],[Decade]],Lookups!$O$25:$R$42,4,FALSE)</f>
        <v>0.995</v>
      </c>
      <c r="BL1079" s="25">
        <f>Inventory[[#This Row],[Nbhd Adj]]*0.95</f>
        <v>0.94971499999999998</v>
      </c>
      <c r="BM1079" s="25">
        <f>Inventory[[#This Row],[Nbhd Adj]]*Inventory[[#This Row],[Quality Adj]]*Inventory[[#This Row],[Condition Adj]]*Inventory[[#This Row],[Living Area Adj]]*Inventory[[#This Row],[Decade Adj]]*0.95</f>
        <v>0.96371996573175212</v>
      </c>
      <c r="BN1079" s="25">
        <f>ROUND(SUM(Inventory[[#This Row],[Mdl Qlty]:[Mdl WdDeck]])+Inventory[[#This Row],[Mdl Res Intercept]]*Inventory[[#This Row],[Res Adj ]],-2)</f>
        <v>295300</v>
      </c>
      <c r="BO1079" s="25">
        <f>ROUND(Inventory[[#This Row],[25Det]]*Inventory[[#This Row],[Det/Nbhd Adj]],-2)</f>
        <v>4400</v>
      </c>
      <c r="BP1079" s="25">
        <f>Inventory[[#This Row],[Adjusted Res]]+Inventory[[#This Row],[Adj Det ]]</f>
        <v>299700</v>
      </c>
      <c r="BQ1079" s="25">
        <f>ROUND((Inventory[[#This Row],[Mdl Land Intercept]]+Inventory[[#This Row],[Mdl LnAcres]])*Inventory[[#This Row],[Det/Nbhd Adj]],-2)</f>
        <v>26200</v>
      </c>
      <c r="BR1079" s="25">
        <f>Inventory[[#This Row],[Adjusted Impr Total]]+Inventory[[#This Row],[Adjusted Land Total]]</f>
        <v>325900</v>
      </c>
      <c r="BS1079" s="36">
        <f>IFERROR((Inventory[[#This Row],[Adjusted Impr Total]]-Inventory[[#This Row],[24Bldg]])/Inventory[[#This Row],[24Bldg]],0)</f>
        <v>0.17253521126760563</v>
      </c>
      <c r="BT1079" s="36">
        <f>(Inventory[[#This Row],[Adjusted Land Total]]-Inventory[[#This Row],[24Lnd]])/Inventory[[#This Row],[24Lnd]]</f>
        <v>-0.43043478260869567</v>
      </c>
      <c r="BU1079" s="36">
        <f>(Inventory[[#This Row],[Adjusted Total]]-Inventory[[#This Row],[24Final]])/Inventory[[#This Row],[24Final]]</f>
        <v>8.057029177718833E-2</v>
      </c>
    </row>
    <row r="1080" spans="1:73" x14ac:dyDescent="0.3">
      <c r="A1080" s="25">
        <v>2025</v>
      </c>
      <c r="B1080" s="26" t="s">
        <v>2201</v>
      </c>
      <c r="C1080" s="26">
        <f>LN(Inventory[[#This Row],[Acres]])</f>
        <v>-1.4696759700589417</v>
      </c>
      <c r="D1080" s="25">
        <v>0.23</v>
      </c>
      <c r="E1080" s="25">
        <v>9814</v>
      </c>
      <c r="F1080" s="26" t="s">
        <v>537</v>
      </c>
      <c r="G1080" s="26" t="s">
        <v>126</v>
      </c>
      <c r="H1080" s="26" t="s">
        <v>349</v>
      </c>
      <c r="I1080" s="26" t="s">
        <v>538</v>
      </c>
      <c r="J1080" s="26" t="s">
        <v>539</v>
      </c>
      <c r="K1080" s="26" t="s">
        <v>242</v>
      </c>
      <c r="L1080" s="26" t="s">
        <v>148</v>
      </c>
      <c r="M1080" s="26" t="s">
        <v>323</v>
      </c>
      <c r="N1080" s="26">
        <v>80</v>
      </c>
      <c r="O1080" s="26">
        <f>2024-Inventory[[#This Row],[YrBlt]]</f>
        <v>79</v>
      </c>
      <c r="P1080" s="26">
        <f>2024-Inventory[[#This Row],[EffYr]]</f>
        <v>52</v>
      </c>
      <c r="Q1080" s="25">
        <v>1945</v>
      </c>
      <c r="R1080" s="25">
        <v>1972</v>
      </c>
      <c r="S1080" s="25">
        <v>1155</v>
      </c>
      <c r="T1080" s="27"/>
      <c r="U1080" s="25">
        <v>1155</v>
      </c>
      <c r="V1080" s="25">
        <f>Inventory[[#This Row],[Bsmt]]-Inventory[[#This Row],[FnBsmt]]</f>
        <v>1155</v>
      </c>
      <c r="W1080" s="31"/>
      <c r="X1080" s="27"/>
      <c r="Y1080" s="27">
        <f>Inventory[[#This Row],[MainFn]]+Inventory[[#This Row],[UpprFn]]+Inventory[[#This Row],[FnBsmt]]+Inventory[[#This Row],[AddFn]]</f>
        <v>1155</v>
      </c>
      <c r="Z1080" s="27">
        <v>1500</v>
      </c>
      <c r="AA1080" s="25">
        <v>8</v>
      </c>
      <c r="AB1080" s="31"/>
      <c r="AC1080" s="27"/>
      <c r="AD1080" s="27"/>
      <c r="AE1080" s="27"/>
      <c r="AF1080" s="27"/>
      <c r="AG1080" s="27"/>
      <c r="AH1080" s="27"/>
      <c r="AI1080" s="25">
        <v>322412</v>
      </c>
      <c r="AJ1080" s="25">
        <v>219240</v>
      </c>
      <c r="AK1080" s="25">
        <v>7919</v>
      </c>
      <c r="AL1080" s="25">
        <v>335800</v>
      </c>
      <c r="AM1080" s="25">
        <v>63300</v>
      </c>
      <c r="AN1080" s="25">
        <v>272500</v>
      </c>
      <c r="AO1080" s="25">
        <v>0</v>
      </c>
      <c r="AP1080" s="25">
        <f>Lookups!$B$56*0</f>
        <v>0</v>
      </c>
      <c r="AQ1080" s="25">
        <f>Lookups!$B$56*1</f>
        <v>89850.625589999996</v>
      </c>
      <c r="AR1080" s="25">
        <f>Lookups!$B$57*Inventory[[#This Row],[LnAcres]]</f>
        <v>-46522.028095997222</v>
      </c>
      <c r="AS1080" s="25">
        <f>VLOOKUP(Inventory[[#This Row],[Qlty]],Lookups!$A$62:$E$75,2,FALSE)</f>
        <v>44121.038090000002</v>
      </c>
      <c r="AT1080" s="25">
        <f>VLOOKUP(Inventory[[#This Row],[Cnd]],Lookups!$A$76:$E$84,2,FALSE)</f>
        <v>160472.20319</v>
      </c>
      <c r="AU1080" s="25">
        <f>Inventory[[#This Row],[EffAge]]*Lookups!$B$85</f>
        <v>-11598.371226000001</v>
      </c>
      <c r="AV1080" s="25">
        <f>Inventory[[#This Row],[MainFn]]*Lookups!$B$86</f>
        <v>57067.013707935002</v>
      </c>
      <c r="AW1080" s="25">
        <f>Inventory[[#This Row],[UpprFn]]*Lookups!$B$87</f>
        <v>0</v>
      </c>
      <c r="AX1080" s="25">
        <f>Inventory[[#This Row],[AddFn]]*Lookups!$B$88</f>
        <v>0</v>
      </c>
      <c r="AY1080" s="25">
        <f>Inventory[[#This Row],[Bsmt]]*Lookups!$B$89</f>
        <v>33589.589010284995</v>
      </c>
      <c r="AZ1080" s="25">
        <f>Inventory[[#This Row],[Fixtures]]*Lookups!$B$90</f>
        <v>30336.176841600001</v>
      </c>
      <c r="BA1080" s="25">
        <f>Inventory[[#This Row],[WdDeck]]*Lookups!$B$91</f>
        <v>0</v>
      </c>
      <c r="BB1080" s="25">
        <f>ROUND(Inventory[[#This Row],[25Det]],-2)</f>
        <v>7900</v>
      </c>
      <c r="BC1080" s="25">
        <f>ROUND(SUM(Inventory[[#This Row],[Mdl Qlty]:[Mdl WdDeck]])+Inventory[[#This Row],[Mdl Res Intercept]],-2)</f>
        <v>314000</v>
      </c>
      <c r="BD1080" s="25">
        <f>ROUND(Inventory[[#This Row],[Mdl Land Intercept]]+Inventory[[#This Row],[Mdl LnAcres]],-2)</f>
        <v>43300</v>
      </c>
      <c r="BE1080" s="25">
        <f>Inventory[[#This Row],[Unadj Res Value]]+Inventory[[#This Row],[Unadj Det Value]]+Inventory[[#This Row],[Unadj Land Value]]</f>
        <v>365200</v>
      </c>
      <c r="BF1080" s="36">
        <f>(Inventory[[#This Row],[Unadj Total Value]]-Inventory[[#This Row],[24Final]])/Inventory[[#This Row],[24Final]]</f>
        <v>8.7552114353782018E-2</v>
      </c>
      <c r="BG1080" s="25">
        <f>VLOOKUP(Inventory[[#This Row],[Nbhd]],Lookups!$Q$2:$T$4,4,FALSE)</f>
        <v>0.99970000000000003</v>
      </c>
      <c r="BH1080" s="25">
        <f>VLOOKUP(Inventory[[#This Row],[Qlty]],Lookups!$O$7:$R$21,4,FALSE)</f>
        <v>0.98050000000000004</v>
      </c>
      <c r="BI1080" s="25">
        <f>VLOOKUP(Inventory[[#This Row],[Cnd]],Lookups!$T$7:$W$16,4,FALSE)</f>
        <v>0.99729999999999996</v>
      </c>
      <c r="BJ1080" s="25">
        <f>VLOOKUP(Inventory[[#This Row],[LivArea Range]],Lookups!$T$25:$W$37,4,FALSE)</f>
        <v>1.0157</v>
      </c>
      <c r="BK1080" s="25">
        <f>VLOOKUP(Inventory[[#This Row],[Decade]],Lookups!$O$25:$R$42,4,FALSE)</f>
        <v>0.995</v>
      </c>
      <c r="BL1080" s="25">
        <f>Inventory[[#This Row],[Nbhd Adj]]*0.95</f>
        <v>0.94971499999999998</v>
      </c>
      <c r="BM1080" s="25">
        <f>Inventory[[#This Row],[Nbhd Adj]]*Inventory[[#This Row],[Quality Adj]]*Inventory[[#This Row],[Condition Adj]]*Inventory[[#This Row],[Living Area Adj]]*Inventory[[#This Row],[Decade Adj]]*0.95</f>
        <v>0.93854531823597842</v>
      </c>
      <c r="BN1080" s="25">
        <f>ROUND(SUM(Inventory[[#This Row],[Mdl Qlty]:[Mdl WdDeck]])+Inventory[[#This Row],[Mdl Res Intercept]]*Inventory[[#This Row],[Res Adj ]],-2)</f>
        <v>314000</v>
      </c>
      <c r="BO1080" s="25">
        <f>ROUND(Inventory[[#This Row],[25Det]]*Inventory[[#This Row],[Det/Nbhd Adj]],-2)</f>
        <v>7500</v>
      </c>
      <c r="BP1080" s="25">
        <f>Inventory[[#This Row],[Adjusted Res]]+Inventory[[#This Row],[Adj Det ]]</f>
        <v>321500</v>
      </c>
      <c r="BQ1080" s="25">
        <f>ROUND((Inventory[[#This Row],[Mdl Land Intercept]]+Inventory[[#This Row],[Mdl LnAcres]])*Inventory[[#This Row],[Det/Nbhd Adj]],-2)</f>
        <v>41100</v>
      </c>
      <c r="BR1080" s="25">
        <f>Inventory[[#This Row],[Adjusted Impr Total]]+Inventory[[#This Row],[Adjusted Land Total]]</f>
        <v>362600</v>
      </c>
      <c r="BS1080" s="36">
        <f>IFERROR((Inventory[[#This Row],[Adjusted Impr Total]]-Inventory[[#This Row],[24Bldg]])/Inventory[[#This Row],[24Bldg]],0)</f>
        <v>0.1798165137614679</v>
      </c>
      <c r="BT1080" s="36">
        <f>(Inventory[[#This Row],[Adjusted Land Total]]-Inventory[[#This Row],[24Lnd]])/Inventory[[#This Row],[24Lnd]]</f>
        <v>-0.35071090047393366</v>
      </c>
      <c r="BU1080" s="36">
        <f>(Inventory[[#This Row],[Adjusted Total]]-Inventory[[#This Row],[24Final]])/Inventory[[#This Row],[24Final]]</f>
        <v>7.9809410363311489E-2</v>
      </c>
    </row>
    <row r="1081" spans="1:73" x14ac:dyDescent="0.3">
      <c r="A1081" s="25">
        <v>2025</v>
      </c>
      <c r="B1081" s="26" t="s">
        <v>1187</v>
      </c>
      <c r="C1081" s="26">
        <f>LN(Inventory[[#This Row],[Acres]])</f>
        <v>-1.5606477482646683</v>
      </c>
      <c r="D1081" s="25">
        <v>0.21</v>
      </c>
      <c r="E1081" s="32">
        <v>9093</v>
      </c>
      <c r="F1081" s="26" t="s">
        <v>537</v>
      </c>
      <c r="G1081" s="26" t="s">
        <v>126</v>
      </c>
      <c r="H1081" s="26" t="s">
        <v>349</v>
      </c>
      <c r="I1081" s="26" t="s">
        <v>538</v>
      </c>
      <c r="J1081" s="26" t="s">
        <v>539</v>
      </c>
      <c r="K1081" s="26" t="s">
        <v>242</v>
      </c>
      <c r="L1081" s="26" t="s">
        <v>302</v>
      </c>
      <c r="M1081" s="26" t="s">
        <v>303</v>
      </c>
      <c r="N1081" s="26">
        <v>80</v>
      </c>
      <c r="O1081" s="26">
        <f>2024-Inventory[[#This Row],[YrBlt]]</f>
        <v>79</v>
      </c>
      <c r="P1081" s="26">
        <f>2024-Inventory[[#This Row],[EffYr]]</f>
        <v>52</v>
      </c>
      <c r="Q1081" s="25">
        <v>1945</v>
      </c>
      <c r="R1081" s="25">
        <v>1972</v>
      </c>
      <c r="S1081" s="25">
        <v>1603</v>
      </c>
      <c r="T1081" s="27"/>
      <c r="U1081" s="32">
        <v>1207</v>
      </c>
      <c r="V1081" s="32">
        <f>Inventory[[#This Row],[Bsmt]]-Inventory[[#This Row],[FnBsmt]]</f>
        <v>966</v>
      </c>
      <c r="W1081" s="32">
        <v>241</v>
      </c>
      <c r="X1081" s="27"/>
      <c r="Y1081" s="27">
        <f>Inventory[[#This Row],[MainFn]]+Inventory[[#This Row],[UpprFn]]+Inventory[[#This Row],[FnBsmt]]+Inventory[[#This Row],[AddFn]]</f>
        <v>1844</v>
      </c>
      <c r="Z1081" s="27">
        <v>2000</v>
      </c>
      <c r="AA1081" s="25">
        <v>11</v>
      </c>
      <c r="AB1081" s="31"/>
      <c r="AC1081" s="32">
        <v>396</v>
      </c>
      <c r="AD1081" s="27"/>
      <c r="AE1081" s="27"/>
      <c r="AF1081" s="27"/>
      <c r="AG1081" s="27"/>
      <c r="AH1081" s="27"/>
      <c r="AI1081" s="25">
        <v>391124</v>
      </c>
      <c r="AJ1081" s="25">
        <v>273787</v>
      </c>
      <c r="AK1081" s="25">
        <v>0</v>
      </c>
      <c r="AL1081" s="25">
        <v>380400</v>
      </c>
      <c r="AM1081" s="25">
        <v>60100</v>
      </c>
      <c r="AN1081" s="25">
        <v>320300</v>
      </c>
      <c r="AO1081" s="25">
        <v>0</v>
      </c>
      <c r="AP1081" s="25">
        <f>Lookups!$B$56*0</f>
        <v>0</v>
      </c>
      <c r="AQ1081" s="25">
        <f>Lookups!$B$56*1</f>
        <v>89850.625589999996</v>
      </c>
      <c r="AR1081" s="25">
        <f>Lookups!$B$57*Inventory[[#This Row],[LnAcres]]</f>
        <v>-49401.70477837498</v>
      </c>
      <c r="AS1081" s="25">
        <f>VLOOKUP(Inventory[[#This Row],[Qlty]],Lookups!$A$62:$E$75,2,FALSE)</f>
        <v>29814.093161000001</v>
      </c>
      <c r="AT1081" s="25">
        <f>VLOOKUP(Inventory[[#This Row],[Cnd]],Lookups!$A$76:$E$84,2,FALSE)</f>
        <v>197752.34721000001</v>
      </c>
      <c r="AU1081" s="25">
        <f>Inventory[[#This Row],[EffAge]]*Lookups!$B$85</f>
        <v>-11598.371226000001</v>
      </c>
      <c r="AV1081" s="25">
        <f>Inventory[[#This Row],[MainFn]]*Lookups!$B$86</f>
        <v>79202.097812831009</v>
      </c>
      <c r="AW1081" s="25">
        <f>Inventory[[#This Row],[UpprFn]]*Lookups!$B$87</f>
        <v>0</v>
      </c>
      <c r="AX1081" s="25">
        <f>Inventory[[#This Row],[AddFn]]*Lookups!$B$88</f>
        <v>0</v>
      </c>
      <c r="AY1081" s="25">
        <f>Inventory[[#This Row],[Bsmt]]*Lookups!$B$89</f>
        <v>35101.847563128998</v>
      </c>
      <c r="AZ1081" s="25">
        <f>Inventory[[#This Row],[Fixtures]]*Lookups!$B$90</f>
        <v>41712.243157199999</v>
      </c>
      <c r="BA1081" s="25">
        <f>Inventory[[#This Row],[WdDeck]]*Lookups!$B$91</f>
        <v>0</v>
      </c>
      <c r="BB1081" s="25">
        <f>ROUND(Inventory[[#This Row],[25Det]],-2)</f>
        <v>0</v>
      </c>
      <c r="BC1081" s="25">
        <f>ROUND(SUM(Inventory[[#This Row],[Mdl Qlty]:[Mdl WdDeck]])+Inventory[[#This Row],[Mdl Res Intercept]],-2)</f>
        <v>372000</v>
      </c>
      <c r="BD1081" s="25">
        <f>ROUND(Inventory[[#This Row],[Mdl Land Intercept]]+Inventory[[#This Row],[Mdl LnAcres]],-2)</f>
        <v>40400</v>
      </c>
      <c r="BE1081" s="25">
        <f>Inventory[[#This Row],[Unadj Res Value]]+Inventory[[#This Row],[Unadj Det Value]]+Inventory[[#This Row],[Unadj Land Value]]</f>
        <v>412400</v>
      </c>
      <c r="BF1081" s="36">
        <f>(Inventory[[#This Row],[Unadj Total Value]]-Inventory[[#This Row],[24Final]])/Inventory[[#This Row],[24Final]]</f>
        <v>8.4121976866456366E-2</v>
      </c>
      <c r="BG1081" s="25">
        <f>VLOOKUP(Inventory[[#This Row],[Nbhd]],Lookups!$Q$2:$T$4,4,FALSE)</f>
        <v>0.99970000000000003</v>
      </c>
      <c r="BH1081" s="25">
        <f>VLOOKUP(Inventory[[#This Row],[Qlty]],Lookups!$O$7:$R$21,4,FALSE)</f>
        <v>1.0088999999999999</v>
      </c>
      <c r="BI1081" s="25">
        <f>VLOOKUP(Inventory[[#This Row],[Cnd]],Lookups!$T$7:$W$16,4,FALSE)</f>
        <v>0.99650000000000005</v>
      </c>
      <c r="BJ1081" s="25">
        <f>VLOOKUP(Inventory[[#This Row],[LivArea Range]],Lookups!$T$25:$W$37,4,FALSE)</f>
        <v>1.0093000000000001</v>
      </c>
      <c r="BK1081" s="25">
        <f>VLOOKUP(Inventory[[#This Row],[Decade]],Lookups!$O$25:$R$42,4,FALSE)</f>
        <v>0.995</v>
      </c>
      <c r="BL1081" s="25">
        <f>Inventory[[#This Row],[Nbhd Adj]]*0.95</f>
        <v>0.94971499999999998</v>
      </c>
      <c r="BM1081" s="25">
        <f>Inventory[[#This Row],[Nbhd Adj]]*Inventory[[#This Row],[Quality Adj]]*Inventory[[#This Row],[Condition Adj]]*Inventory[[#This Row],[Living Area Adj]]*Inventory[[#This Row],[Decade Adj]]*0.95</f>
        <v>0.9588751782051762</v>
      </c>
      <c r="BN1081" s="25">
        <f>ROUND(SUM(Inventory[[#This Row],[Mdl Qlty]:[Mdl WdDeck]])+Inventory[[#This Row],[Mdl Res Intercept]]*Inventory[[#This Row],[Res Adj ]],-2)</f>
        <v>372000</v>
      </c>
      <c r="BO1081" s="25">
        <f>ROUND(Inventory[[#This Row],[25Det]]*Inventory[[#This Row],[Det/Nbhd Adj]],-2)</f>
        <v>0</v>
      </c>
      <c r="BP1081" s="25">
        <f>Inventory[[#This Row],[Adjusted Res]]+Inventory[[#This Row],[Adj Det ]]</f>
        <v>372000</v>
      </c>
      <c r="BQ1081" s="25">
        <f>ROUND((Inventory[[#This Row],[Mdl Land Intercept]]+Inventory[[#This Row],[Mdl LnAcres]])*Inventory[[#This Row],[Det/Nbhd Adj]],-2)</f>
        <v>38400</v>
      </c>
      <c r="BR1081" s="25">
        <f>Inventory[[#This Row],[Adjusted Impr Total]]+Inventory[[#This Row],[Adjusted Land Total]]</f>
        <v>410400</v>
      </c>
      <c r="BS1081" s="36">
        <f>IFERROR((Inventory[[#This Row],[Adjusted Impr Total]]-Inventory[[#This Row],[24Bldg]])/Inventory[[#This Row],[24Bldg]],0)</f>
        <v>0.16141117702154231</v>
      </c>
      <c r="BT1081" s="36">
        <f>(Inventory[[#This Row],[Adjusted Land Total]]-Inventory[[#This Row],[24Lnd]])/Inventory[[#This Row],[24Lnd]]</f>
        <v>-0.36106489184692181</v>
      </c>
      <c r="BU1081" s="36">
        <f>(Inventory[[#This Row],[Adjusted Total]]-Inventory[[#This Row],[24Final]])/Inventory[[#This Row],[24Final]]</f>
        <v>7.8864353312302835E-2</v>
      </c>
    </row>
    <row r="1082" spans="1:73" x14ac:dyDescent="0.3">
      <c r="A1082" s="25">
        <v>2025</v>
      </c>
      <c r="B1082" s="26" t="s">
        <v>1565</v>
      </c>
      <c r="C1082" s="26">
        <f>LN(Inventory[[#This Row],[Acres]])</f>
        <v>-1.5141277326297755</v>
      </c>
      <c r="D1082" s="25">
        <v>0.22</v>
      </c>
      <c r="E1082" s="27"/>
      <c r="F1082" s="26" t="s">
        <v>537</v>
      </c>
      <c r="G1082" s="26" t="s">
        <v>126</v>
      </c>
      <c r="H1082" s="26" t="s">
        <v>349</v>
      </c>
      <c r="I1082" s="26" t="s">
        <v>538</v>
      </c>
      <c r="J1082" s="26" t="s">
        <v>539</v>
      </c>
      <c r="K1082" s="26" t="s">
        <v>242</v>
      </c>
      <c r="L1082" s="26" t="s">
        <v>351</v>
      </c>
      <c r="M1082" s="26" t="s">
        <v>323</v>
      </c>
      <c r="N1082" s="26">
        <v>80</v>
      </c>
      <c r="O1082" s="26">
        <f>2024-Inventory[[#This Row],[YrBlt]]</f>
        <v>79</v>
      </c>
      <c r="P1082" s="26">
        <f>2024-Inventory[[#This Row],[EffYr]]</f>
        <v>52</v>
      </c>
      <c r="Q1082" s="25">
        <v>1945</v>
      </c>
      <c r="R1082" s="25">
        <v>1972</v>
      </c>
      <c r="S1082" s="25">
        <v>1045</v>
      </c>
      <c r="T1082" s="27"/>
      <c r="U1082" s="32">
        <v>650</v>
      </c>
      <c r="V1082" s="32">
        <f>Inventory[[#This Row],[Bsmt]]-Inventory[[#This Row],[FnBsmt]]</f>
        <v>650</v>
      </c>
      <c r="W1082" s="27"/>
      <c r="X1082" s="27"/>
      <c r="Y1082" s="27">
        <f>Inventory[[#This Row],[MainFn]]+Inventory[[#This Row],[UpprFn]]+Inventory[[#This Row],[FnBsmt]]+Inventory[[#This Row],[AddFn]]</f>
        <v>1045</v>
      </c>
      <c r="Z1082" s="27">
        <v>1500</v>
      </c>
      <c r="AA1082" s="25">
        <v>5</v>
      </c>
      <c r="AB1082" s="31"/>
      <c r="AC1082" s="27"/>
      <c r="AD1082" s="31"/>
      <c r="AE1082" s="27"/>
      <c r="AF1082" s="27"/>
      <c r="AG1082" s="27"/>
      <c r="AH1082" s="27"/>
      <c r="AI1082" s="25">
        <v>203512</v>
      </c>
      <c r="AJ1082" s="25">
        <v>138388</v>
      </c>
      <c r="AK1082" s="25">
        <v>0</v>
      </c>
      <c r="AL1082" s="25">
        <v>278200</v>
      </c>
      <c r="AM1082" s="25">
        <v>61700</v>
      </c>
      <c r="AN1082" s="25">
        <v>216500</v>
      </c>
      <c r="AO1082" s="25">
        <v>0</v>
      </c>
      <c r="AP1082" s="25">
        <f>Lookups!$B$56*0</f>
        <v>0</v>
      </c>
      <c r="AQ1082" s="25">
        <f>Lookups!$B$56*1</f>
        <v>89850.625589999996</v>
      </c>
      <c r="AR1082" s="25">
        <f>Lookups!$B$57*Inventory[[#This Row],[LnAcres]]</f>
        <v>-47929.131559187132</v>
      </c>
      <c r="AS1082" s="25">
        <f>VLOOKUP(Inventory[[#This Row],[Qlty]],Lookups!$A$62:$E$75,2,FALSE)</f>
        <v>21557.329055999999</v>
      </c>
      <c r="AT1082" s="25">
        <f>VLOOKUP(Inventory[[#This Row],[Cnd]],Lookups!$A$76:$E$84,2,FALSE)</f>
        <v>160472.20319</v>
      </c>
      <c r="AU1082" s="25">
        <f>Inventory[[#This Row],[EffAge]]*Lookups!$B$85</f>
        <v>-11598.371226000001</v>
      </c>
      <c r="AV1082" s="25">
        <f>Inventory[[#This Row],[MainFn]]*Lookups!$B$86</f>
        <v>51632.060021465004</v>
      </c>
      <c r="AW1082" s="25">
        <f>Inventory[[#This Row],[UpprFn]]*Lookups!$B$87</f>
        <v>0</v>
      </c>
      <c r="AX1082" s="25">
        <f>Inventory[[#This Row],[AddFn]]*Lookups!$B$88</f>
        <v>0</v>
      </c>
      <c r="AY1082" s="25">
        <f>Inventory[[#This Row],[Bsmt]]*Lookups!$B$89</f>
        <v>18903.231910549999</v>
      </c>
      <c r="AZ1082" s="25">
        <f>Inventory[[#This Row],[Fixtures]]*Lookups!$B$90</f>
        <v>18960.110526</v>
      </c>
      <c r="BA1082" s="25">
        <f>Inventory[[#This Row],[WdDeck]]*Lookups!$B$91</f>
        <v>0</v>
      </c>
      <c r="BB1082" s="25">
        <f>ROUND(Inventory[[#This Row],[25Det]],-2)</f>
        <v>0</v>
      </c>
      <c r="BC1082" s="25">
        <f>ROUND(SUM(Inventory[[#This Row],[Mdl Qlty]:[Mdl WdDeck]])+Inventory[[#This Row],[Mdl Res Intercept]],-2)</f>
        <v>259900</v>
      </c>
      <c r="BD1082" s="25">
        <f>ROUND(Inventory[[#This Row],[Mdl Land Intercept]]+Inventory[[#This Row],[Mdl LnAcres]],-2)</f>
        <v>41900</v>
      </c>
      <c r="BE1082" s="25">
        <f>Inventory[[#This Row],[Unadj Res Value]]+Inventory[[#This Row],[Unadj Det Value]]+Inventory[[#This Row],[Unadj Land Value]]</f>
        <v>301800</v>
      </c>
      <c r="BF1082" s="36">
        <f>(Inventory[[#This Row],[Unadj Total Value]]-Inventory[[#This Row],[24Final]])/Inventory[[#This Row],[24Final]]</f>
        <v>8.4831056793673615E-2</v>
      </c>
      <c r="BG1082" s="25">
        <f>VLOOKUP(Inventory[[#This Row],[Nbhd]],Lookups!$Q$2:$T$4,4,FALSE)</f>
        <v>0.99970000000000003</v>
      </c>
      <c r="BH1082" s="25">
        <f>VLOOKUP(Inventory[[#This Row],[Qlty]],Lookups!$O$7:$R$21,4,FALSE)</f>
        <v>1.0067999999999999</v>
      </c>
      <c r="BI1082" s="25">
        <f>VLOOKUP(Inventory[[#This Row],[Cnd]],Lookups!$T$7:$W$16,4,FALSE)</f>
        <v>0.99729999999999996</v>
      </c>
      <c r="BJ1082" s="25">
        <f>VLOOKUP(Inventory[[#This Row],[LivArea Range]],Lookups!$T$25:$W$37,4,FALSE)</f>
        <v>1.0157</v>
      </c>
      <c r="BK1082" s="25">
        <f>VLOOKUP(Inventory[[#This Row],[Decade]],Lookups!$O$25:$R$42,4,FALSE)</f>
        <v>0.995</v>
      </c>
      <c r="BL1082" s="25">
        <f>Inventory[[#This Row],[Nbhd Adj]]*0.95</f>
        <v>0.94971499999999998</v>
      </c>
      <c r="BM1082" s="25">
        <f>Inventory[[#This Row],[Nbhd Adj]]*Inventory[[#This Row],[Quality Adj]]*Inventory[[#This Row],[Condition Adj]]*Inventory[[#This Row],[Living Area Adj]]*Inventory[[#This Row],[Decade Adj]]*0.95</f>
        <v>0.96371996573175212</v>
      </c>
      <c r="BN1082" s="25">
        <f>ROUND(SUM(Inventory[[#This Row],[Mdl Qlty]:[Mdl WdDeck]])+Inventory[[#This Row],[Mdl Res Intercept]]*Inventory[[#This Row],[Res Adj ]],-2)</f>
        <v>259900</v>
      </c>
      <c r="BO1082" s="25">
        <f>ROUND(Inventory[[#This Row],[25Det]]*Inventory[[#This Row],[Det/Nbhd Adj]],-2)</f>
        <v>0</v>
      </c>
      <c r="BP1082" s="25">
        <f>Inventory[[#This Row],[Adjusted Res]]+Inventory[[#This Row],[Adj Det ]]</f>
        <v>259900</v>
      </c>
      <c r="BQ1082" s="25">
        <f>ROUND((Inventory[[#This Row],[Mdl Land Intercept]]+Inventory[[#This Row],[Mdl LnAcres]])*Inventory[[#This Row],[Det/Nbhd Adj]],-2)</f>
        <v>39800</v>
      </c>
      <c r="BR1082" s="25">
        <f>Inventory[[#This Row],[Adjusted Impr Total]]+Inventory[[#This Row],[Adjusted Land Total]]</f>
        <v>299700</v>
      </c>
      <c r="BS1082" s="36">
        <f>IFERROR((Inventory[[#This Row],[Adjusted Impr Total]]-Inventory[[#This Row],[24Bldg]])/Inventory[[#This Row],[24Bldg]],0)</f>
        <v>0.20046189376443418</v>
      </c>
      <c r="BT1082" s="36">
        <f>(Inventory[[#This Row],[Adjusted Land Total]]-Inventory[[#This Row],[24Lnd]])/Inventory[[#This Row],[24Lnd]]</f>
        <v>-0.35494327390599678</v>
      </c>
      <c r="BU1082" s="36">
        <f>(Inventory[[#This Row],[Adjusted Total]]-Inventory[[#This Row],[24Final]])/Inventory[[#This Row],[24Final]]</f>
        <v>7.728253055355859E-2</v>
      </c>
    </row>
    <row r="1083" spans="1:73" x14ac:dyDescent="0.3">
      <c r="A1083" s="25">
        <v>2025</v>
      </c>
      <c r="B1083" s="26" t="s">
        <v>2656</v>
      </c>
      <c r="C1083" s="26">
        <f>LN(Inventory[[#This Row],[Acres]])</f>
        <v>-1.3470736479666092</v>
      </c>
      <c r="D1083" s="25">
        <v>0.26</v>
      </c>
      <c r="E1083" s="32">
        <v>11422</v>
      </c>
      <c r="F1083" s="26" t="s">
        <v>537</v>
      </c>
      <c r="G1083" s="26" t="s">
        <v>126</v>
      </c>
      <c r="H1083" s="26" t="s">
        <v>349</v>
      </c>
      <c r="I1083" s="26" t="s">
        <v>538</v>
      </c>
      <c r="J1083" s="26" t="s">
        <v>539</v>
      </c>
      <c r="K1083" s="26" t="s">
        <v>242</v>
      </c>
      <c r="L1083" s="26" t="s">
        <v>148</v>
      </c>
      <c r="M1083" s="26" t="s">
        <v>323</v>
      </c>
      <c r="N1083" s="26">
        <v>80</v>
      </c>
      <c r="O1083" s="26">
        <f>2024-Inventory[[#This Row],[YrBlt]]</f>
        <v>79</v>
      </c>
      <c r="P1083" s="26">
        <f>2024-Inventory[[#This Row],[EffYr]]</f>
        <v>52</v>
      </c>
      <c r="Q1083" s="25">
        <v>1945</v>
      </c>
      <c r="R1083" s="25">
        <v>1972</v>
      </c>
      <c r="S1083" s="25">
        <v>1154</v>
      </c>
      <c r="T1083" s="27"/>
      <c r="U1083" s="25">
        <v>1154</v>
      </c>
      <c r="V1083" s="25">
        <f>Inventory[[#This Row],[Bsmt]]-Inventory[[#This Row],[FnBsmt]]</f>
        <v>1054</v>
      </c>
      <c r="W1083" s="25">
        <v>100</v>
      </c>
      <c r="X1083" s="27"/>
      <c r="Y1083" s="27">
        <f>Inventory[[#This Row],[MainFn]]+Inventory[[#This Row],[UpprFn]]+Inventory[[#This Row],[FnBsmt]]+Inventory[[#This Row],[AddFn]]</f>
        <v>1254</v>
      </c>
      <c r="Z1083" s="27">
        <v>1500</v>
      </c>
      <c r="AA1083" s="25">
        <v>5</v>
      </c>
      <c r="AB1083" s="27"/>
      <c r="AC1083" s="27"/>
      <c r="AD1083" s="27"/>
      <c r="AE1083" s="27"/>
      <c r="AF1083" s="27"/>
      <c r="AG1083" s="27"/>
      <c r="AH1083" s="27"/>
      <c r="AI1083" s="25">
        <v>322905</v>
      </c>
      <c r="AJ1083" s="25">
        <v>219575</v>
      </c>
      <c r="AK1083" s="25">
        <v>14229</v>
      </c>
      <c r="AL1083" s="25">
        <v>335200</v>
      </c>
      <c r="AM1083" s="25">
        <v>67600</v>
      </c>
      <c r="AN1083" s="25">
        <v>267600</v>
      </c>
      <c r="AO1083" s="25">
        <v>0</v>
      </c>
      <c r="AP1083" s="25">
        <f>Lookups!$B$56*0</f>
        <v>0</v>
      </c>
      <c r="AQ1083" s="25">
        <f>Lookups!$B$56*1</f>
        <v>89850.625589999996</v>
      </c>
      <c r="AR1083" s="25">
        <f>Lookups!$B$57*Inventory[[#This Row],[LnAcres]]</f>
        <v>-42641.098701210125</v>
      </c>
      <c r="AS1083" s="25">
        <f>VLOOKUP(Inventory[[#This Row],[Qlty]],Lookups!$A$62:$E$75,2,FALSE)</f>
        <v>44121.038090000002</v>
      </c>
      <c r="AT1083" s="25">
        <f>VLOOKUP(Inventory[[#This Row],[Cnd]],Lookups!$A$76:$E$84,2,FALSE)</f>
        <v>160472.20319</v>
      </c>
      <c r="AU1083" s="25">
        <f>Inventory[[#This Row],[EffAge]]*Lookups!$B$85</f>
        <v>-11598.371226000001</v>
      </c>
      <c r="AV1083" s="25">
        <f>Inventory[[#This Row],[MainFn]]*Lookups!$B$86</f>
        <v>57017.605038057998</v>
      </c>
      <c r="AW1083" s="25">
        <f>Inventory[[#This Row],[UpprFn]]*Lookups!$B$87</f>
        <v>0</v>
      </c>
      <c r="AX1083" s="25">
        <f>Inventory[[#This Row],[AddFn]]*Lookups!$B$88</f>
        <v>0</v>
      </c>
      <c r="AY1083" s="25">
        <f>Inventory[[#This Row],[Bsmt]]*Lookups!$B$89</f>
        <v>33560.507115037995</v>
      </c>
      <c r="AZ1083" s="25">
        <f>Inventory[[#This Row],[Fixtures]]*Lookups!$B$90</f>
        <v>18960.110526</v>
      </c>
      <c r="BA1083" s="25">
        <f>Inventory[[#This Row],[WdDeck]]*Lookups!$B$91</f>
        <v>0</v>
      </c>
      <c r="BB1083" s="25">
        <f>ROUND(Inventory[[#This Row],[25Det]],-2)</f>
        <v>14200</v>
      </c>
      <c r="BC1083" s="25">
        <f>ROUND(SUM(Inventory[[#This Row],[Mdl Qlty]:[Mdl WdDeck]])+Inventory[[#This Row],[Mdl Res Intercept]],-2)</f>
        <v>302500</v>
      </c>
      <c r="BD1083" s="25">
        <f>ROUND(Inventory[[#This Row],[Mdl Land Intercept]]+Inventory[[#This Row],[Mdl LnAcres]],-2)</f>
        <v>47200</v>
      </c>
      <c r="BE1083" s="25">
        <f>Inventory[[#This Row],[Unadj Res Value]]+Inventory[[#This Row],[Unadj Det Value]]+Inventory[[#This Row],[Unadj Land Value]]</f>
        <v>363900</v>
      </c>
      <c r="BF1083" s="36">
        <f>(Inventory[[#This Row],[Unadj Total Value]]-Inventory[[#This Row],[24Final]])/Inventory[[#This Row],[24Final]]</f>
        <v>8.5620525059665872E-2</v>
      </c>
      <c r="BG1083" s="25">
        <f>VLOOKUP(Inventory[[#This Row],[Nbhd]],Lookups!$Q$2:$T$4,4,FALSE)</f>
        <v>0.99970000000000003</v>
      </c>
      <c r="BH1083" s="25">
        <f>VLOOKUP(Inventory[[#This Row],[Qlty]],Lookups!$O$7:$R$21,4,FALSE)</f>
        <v>0.98050000000000004</v>
      </c>
      <c r="BI1083" s="25">
        <f>VLOOKUP(Inventory[[#This Row],[Cnd]],Lookups!$T$7:$W$16,4,FALSE)</f>
        <v>0.99729999999999996</v>
      </c>
      <c r="BJ1083" s="25">
        <f>VLOOKUP(Inventory[[#This Row],[LivArea Range]],Lookups!$T$25:$W$37,4,FALSE)</f>
        <v>1.0157</v>
      </c>
      <c r="BK1083" s="25">
        <f>VLOOKUP(Inventory[[#This Row],[Decade]],Lookups!$O$25:$R$42,4,FALSE)</f>
        <v>0.995</v>
      </c>
      <c r="BL1083" s="25">
        <f>Inventory[[#This Row],[Nbhd Adj]]*0.95</f>
        <v>0.94971499999999998</v>
      </c>
      <c r="BM1083" s="25">
        <f>Inventory[[#This Row],[Nbhd Adj]]*Inventory[[#This Row],[Quality Adj]]*Inventory[[#This Row],[Condition Adj]]*Inventory[[#This Row],[Living Area Adj]]*Inventory[[#This Row],[Decade Adj]]*0.95</f>
        <v>0.93854531823597842</v>
      </c>
      <c r="BN1083" s="25">
        <f>ROUND(SUM(Inventory[[#This Row],[Mdl Qlty]:[Mdl WdDeck]])+Inventory[[#This Row],[Mdl Res Intercept]]*Inventory[[#This Row],[Res Adj ]],-2)</f>
        <v>302500</v>
      </c>
      <c r="BO1083" s="25">
        <f>ROUND(Inventory[[#This Row],[25Det]]*Inventory[[#This Row],[Det/Nbhd Adj]],-2)</f>
        <v>13500</v>
      </c>
      <c r="BP1083" s="25">
        <f>Inventory[[#This Row],[Adjusted Res]]+Inventory[[#This Row],[Adj Det ]]</f>
        <v>316000</v>
      </c>
      <c r="BQ1083" s="25">
        <f>ROUND((Inventory[[#This Row],[Mdl Land Intercept]]+Inventory[[#This Row],[Mdl LnAcres]])*Inventory[[#This Row],[Det/Nbhd Adj]],-2)</f>
        <v>44800</v>
      </c>
      <c r="BR1083" s="25">
        <f>Inventory[[#This Row],[Adjusted Impr Total]]+Inventory[[#This Row],[Adjusted Land Total]]</f>
        <v>360800</v>
      </c>
      <c r="BS1083" s="36">
        <f>IFERROR((Inventory[[#This Row],[Adjusted Impr Total]]-Inventory[[#This Row],[24Bldg]])/Inventory[[#This Row],[24Bldg]],0)</f>
        <v>0.18086696562032886</v>
      </c>
      <c r="BT1083" s="36">
        <f>(Inventory[[#This Row],[Adjusted Land Total]]-Inventory[[#This Row],[24Lnd]])/Inventory[[#This Row],[24Lnd]]</f>
        <v>-0.33727810650887574</v>
      </c>
      <c r="BU1083" s="36">
        <f>(Inventory[[#This Row],[Adjusted Total]]-Inventory[[#This Row],[24Final]])/Inventory[[#This Row],[24Final]]</f>
        <v>7.6372315035799526E-2</v>
      </c>
    </row>
    <row r="1084" spans="1:73" x14ac:dyDescent="0.3">
      <c r="A1084" s="25">
        <v>2025</v>
      </c>
      <c r="B1084" s="26" t="s">
        <v>1408</v>
      </c>
      <c r="C1084" s="26">
        <f>LN(Inventory[[#This Row],[Acres]])</f>
        <v>-1.7719568419318752</v>
      </c>
      <c r="D1084" s="25">
        <v>0.17</v>
      </c>
      <c r="E1084" s="25">
        <v>7237</v>
      </c>
      <c r="F1084" s="26" t="s">
        <v>537</v>
      </c>
      <c r="G1084" s="26" t="s">
        <v>126</v>
      </c>
      <c r="H1084" s="26" t="s">
        <v>349</v>
      </c>
      <c r="I1084" s="26" t="s">
        <v>538</v>
      </c>
      <c r="J1084" s="26" t="s">
        <v>539</v>
      </c>
      <c r="K1084" s="26" t="s">
        <v>242</v>
      </c>
      <c r="L1084" s="26" t="s">
        <v>351</v>
      </c>
      <c r="M1084" s="26" t="s">
        <v>323</v>
      </c>
      <c r="N1084" s="26">
        <v>80</v>
      </c>
      <c r="O1084" s="26">
        <f>2024-Inventory[[#This Row],[YrBlt]]</f>
        <v>79</v>
      </c>
      <c r="P1084" s="26">
        <f>2024-Inventory[[#This Row],[EffYr]]</f>
        <v>52</v>
      </c>
      <c r="Q1084" s="25">
        <v>1945</v>
      </c>
      <c r="R1084" s="25">
        <v>1972</v>
      </c>
      <c r="S1084" s="25">
        <v>803</v>
      </c>
      <c r="T1084" s="27"/>
      <c r="U1084" s="32">
        <v>723</v>
      </c>
      <c r="V1084" s="32">
        <f>Inventory[[#This Row],[Bsmt]]-Inventory[[#This Row],[FnBsmt]]</f>
        <v>523</v>
      </c>
      <c r="W1084" s="32">
        <v>200</v>
      </c>
      <c r="X1084" s="27"/>
      <c r="Y1084" s="27">
        <f>Inventory[[#This Row],[MainFn]]+Inventory[[#This Row],[UpprFn]]+Inventory[[#This Row],[FnBsmt]]+Inventory[[#This Row],[AddFn]]</f>
        <v>1003</v>
      </c>
      <c r="Z1084" s="27">
        <v>1500</v>
      </c>
      <c r="AA1084" s="25">
        <v>5</v>
      </c>
      <c r="AB1084" s="31"/>
      <c r="AC1084" s="27"/>
      <c r="AD1084" s="27"/>
      <c r="AE1084" s="27"/>
      <c r="AF1084" s="27"/>
      <c r="AG1084" s="27"/>
      <c r="AH1084" s="27"/>
      <c r="AI1084" s="25">
        <v>179147</v>
      </c>
      <c r="AJ1084" s="25">
        <v>121820</v>
      </c>
      <c r="AK1084" s="25">
        <v>6522</v>
      </c>
      <c r="AL1084" s="25">
        <v>268100</v>
      </c>
      <c r="AM1084" s="25">
        <v>52700</v>
      </c>
      <c r="AN1084" s="25">
        <v>215400</v>
      </c>
      <c r="AO1084" s="25">
        <v>0</v>
      </c>
      <c r="AP1084" s="25">
        <f>Lookups!$B$56*0</f>
        <v>0</v>
      </c>
      <c r="AQ1084" s="25">
        <f>Lookups!$B$56*1</f>
        <v>89850.625589999996</v>
      </c>
      <c r="AR1084" s="25">
        <f>Lookups!$B$57*Inventory[[#This Row],[LnAcres]]</f>
        <v>-56090.612940989391</v>
      </c>
      <c r="AS1084" s="25">
        <f>VLOOKUP(Inventory[[#This Row],[Qlty]],Lookups!$A$62:$E$75,2,FALSE)</f>
        <v>21557.329055999999</v>
      </c>
      <c r="AT1084" s="25">
        <f>VLOOKUP(Inventory[[#This Row],[Cnd]],Lookups!$A$76:$E$84,2,FALSE)</f>
        <v>160472.20319</v>
      </c>
      <c r="AU1084" s="25">
        <f>Inventory[[#This Row],[EffAge]]*Lookups!$B$85</f>
        <v>-11598.371226000001</v>
      </c>
      <c r="AV1084" s="25">
        <f>Inventory[[#This Row],[MainFn]]*Lookups!$B$86</f>
        <v>39675.161911231</v>
      </c>
      <c r="AW1084" s="25">
        <f>Inventory[[#This Row],[UpprFn]]*Lookups!$B$87</f>
        <v>0</v>
      </c>
      <c r="AX1084" s="25">
        <f>Inventory[[#This Row],[AddFn]]*Lookups!$B$88</f>
        <v>0</v>
      </c>
      <c r="AY1084" s="25">
        <f>Inventory[[#This Row],[Bsmt]]*Lookups!$B$89</f>
        <v>21026.210263581001</v>
      </c>
      <c r="AZ1084" s="25">
        <f>Inventory[[#This Row],[Fixtures]]*Lookups!$B$90</f>
        <v>18960.110526</v>
      </c>
      <c r="BA1084" s="25">
        <f>Inventory[[#This Row],[WdDeck]]*Lookups!$B$91</f>
        <v>0</v>
      </c>
      <c r="BB1084" s="25">
        <f>ROUND(Inventory[[#This Row],[25Det]],-2)</f>
        <v>6500</v>
      </c>
      <c r="BC1084" s="25">
        <f>ROUND(SUM(Inventory[[#This Row],[Mdl Qlty]:[Mdl WdDeck]])+Inventory[[#This Row],[Mdl Res Intercept]],-2)</f>
        <v>250100</v>
      </c>
      <c r="BD1084" s="25">
        <f>ROUND(Inventory[[#This Row],[Mdl Land Intercept]]+Inventory[[#This Row],[Mdl LnAcres]],-2)</f>
        <v>33800</v>
      </c>
      <c r="BE1084" s="25">
        <f>Inventory[[#This Row],[Unadj Res Value]]+Inventory[[#This Row],[Unadj Det Value]]+Inventory[[#This Row],[Unadj Land Value]]</f>
        <v>290400</v>
      </c>
      <c r="BF1084" s="36">
        <f>(Inventory[[#This Row],[Unadj Total Value]]-Inventory[[#This Row],[24Final]])/Inventory[[#This Row],[24Final]]</f>
        <v>8.3177918687057067E-2</v>
      </c>
      <c r="BG1084" s="25">
        <f>VLOOKUP(Inventory[[#This Row],[Nbhd]],Lookups!$Q$2:$T$4,4,FALSE)</f>
        <v>0.99970000000000003</v>
      </c>
      <c r="BH1084" s="25">
        <f>VLOOKUP(Inventory[[#This Row],[Qlty]],Lookups!$O$7:$R$21,4,FALSE)</f>
        <v>1.0067999999999999</v>
      </c>
      <c r="BI1084" s="25">
        <f>VLOOKUP(Inventory[[#This Row],[Cnd]],Lookups!$T$7:$W$16,4,FALSE)</f>
        <v>0.99729999999999996</v>
      </c>
      <c r="BJ1084" s="25">
        <f>VLOOKUP(Inventory[[#This Row],[LivArea Range]],Lookups!$T$25:$W$37,4,FALSE)</f>
        <v>1.0157</v>
      </c>
      <c r="BK1084" s="25">
        <f>VLOOKUP(Inventory[[#This Row],[Decade]],Lookups!$O$25:$R$42,4,FALSE)</f>
        <v>0.995</v>
      </c>
      <c r="BL1084" s="25">
        <f>Inventory[[#This Row],[Nbhd Adj]]*0.95</f>
        <v>0.94971499999999998</v>
      </c>
      <c r="BM1084" s="25">
        <f>Inventory[[#This Row],[Nbhd Adj]]*Inventory[[#This Row],[Quality Adj]]*Inventory[[#This Row],[Condition Adj]]*Inventory[[#This Row],[Living Area Adj]]*Inventory[[#This Row],[Decade Adj]]*0.95</f>
        <v>0.96371996573175212</v>
      </c>
      <c r="BN1084" s="25">
        <f>ROUND(SUM(Inventory[[#This Row],[Mdl Qlty]:[Mdl WdDeck]])+Inventory[[#This Row],[Mdl Res Intercept]]*Inventory[[#This Row],[Res Adj ]],-2)</f>
        <v>250100</v>
      </c>
      <c r="BO1084" s="25">
        <f>ROUND(Inventory[[#This Row],[25Det]]*Inventory[[#This Row],[Det/Nbhd Adj]],-2)</f>
        <v>6200</v>
      </c>
      <c r="BP1084" s="25">
        <f>Inventory[[#This Row],[Adjusted Res]]+Inventory[[#This Row],[Adj Det ]]</f>
        <v>256300</v>
      </c>
      <c r="BQ1084" s="25">
        <f>ROUND((Inventory[[#This Row],[Mdl Land Intercept]]+Inventory[[#This Row],[Mdl LnAcres]])*Inventory[[#This Row],[Det/Nbhd Adj]],-2)</f>
        <v>32100</v>
      </c>
      <c r="BR1084" s="25">
        <f>Inventory[[#This Row],[Adjusted Impr Total]]+Inventory[[#This Row],[Adjusted Land Total]]</f>
        <v>288400</v>
      </c>
      <c r="BS1084" s="36">
        <f>IFERROR((Inventory[[#This Row],[Adjusted Impr Total]]-Inventory[[#This Row],[24Bldg]])/Inventory[[#This Row],[24Bldg]],0)</f>
        <v>0.18987929433611886</v>
      </c>
      <c r="BT1084" s="36">
        <f>(Inventory[[#This Row],[Adjusted Land Total]]-Inventory[[#This Row],[24Lnd]])/Inventory[[#This Row],[24Lnd]]</f>
        <v>-0.39089184060721061</v>
      </c>
      <c r="BU1084" s="36">
        <f>(Inventory[[#This Row],[Adjusted Total]]-Inventory[[#This Row],[24Final]])/Inventory[[#This Row],[24Final]]</f>
        <v>7.5718015665796348E-2</v>
      </c>
    </row>
    <row r="1085" spans="1:73" x14ac:dyDescent="0.3">
      <c r="A1085" s="25">
        <v>2025</v>
      </c>
      <c r="B1085" s="26" t="s">
        <v>2877</v>
      </c>
      <c r="C1085" s="26">
        <f>LN(Inventory[[#This Row],[Acres]])</f>
        <v>-1.7147984280919266</v>
      </c>
      <c r="D1085" s="25">
        <v>0.18</v>
      </c>
      <c r="E1085" s="27"/>
      <c r="F1085" s="26" t="s">
        <v>537</v>
      </c>
      <c r="G1085" s="26" t="s">
        <v>126</v>
      </c>
      <c r="H1085" s="26" t="s">
        <v>349</v>
      </c>
      <c r="I1085" s="26" t="s">
        <v>538</v>
      </c>
      <c r="J1085" s="26" t="s">
        <v>539</v>
      </c>
      <c r="K1085" s="26" t="s">
        <v>242</v>
      </c>
      <c r="L1085" s="26" t="s">
        <v>351</v>
      </c>
      <c r="M1085" s="26" t="s">
        <v>303</v>
      </c>
      <c r="N1085" s="26">
        <v>80</v>
      </c>
      <c r="O1085" s="26">
        <f>2024-Inventory[[#This Row],[YrBlt]]</f>
        <v>79</v>
      </c>
      <c r="P1085" s="26">
        <f>2024-Inventory[[#This Row],[EffYr]]</f>
        <v>52</v>
      </c>
      <c r="Q1085" s="25">
        <v>1945</v>
      </c>
      <c r="R1085" s="25">
        <v>1972</v>
      </c>
      <c r="S1085" s="25">
        <v>711</v>
      </c>
      <c r="T1085" s="27"/>
      <c r="U1085" s="25">
        <v>711</v>
      </c>
      <c r="V1085" s="25">
        <f>Inventory[[#This Row],[Bsmt]]-Inventory[[#This Row],[FnBsmt]]</f>
        <v>0</v>
      </c>
      <c r="W1085" s="25">
        <v>711</v>
      </c>
      <c r="X1085" s="27"/>
      <c r="Y1085" s="27">
        <f>Inventory[[#This Row],[MainFn]]+Inventory[[#This Row],[UpprFn]]+Inventory[[#This Row],[FnBsmt]]+Inventory[[#This Row],[AddFn]]</f>
        <v>1422</v>
      </c>
      <c r="Z1085" s="27">
        <v>1500</v>
      </c>
      <c r="AA1085" s="25">
        <v>8</v>
      </c>
      <c r="AB1085" s="27"/>
      <c r="AC1085" s="27"/>
      <c r="AD1085" s="27"/>
      <c r="AE1085" s="27"/>
      <c r="AF1085" s="27"/>
      <c r="AG1085" s="27"/>
      <c r="AH1085" s="27"/>
      <c r="AI1085" s="25">
        <v>189290</v>
      </c>
      <c r="AJ1085" s="25">
        <v>132503</v>
      </c>
      <c r="AK1085" s="25">
        <v>0</v>
      </c>
      <c r="AL1085" s="25">
        <v>305400</v>
      </c>
      <c r="AM1085" s="25">
        <v>54700</v>
      </c>
      <c r="AN1085" s="25">
        <v>250700</v>
      </c>
      <c r="AO1085" s="25">
        <v>0</v>
      </c>
      <c r="AP1085" s="25">
        <f>Lookups!$B$56*0</f>
        <v>0</v>
      </c>
      <c r="AQ1085" s="25">
        <f>Lookups!$B$56*1</f>
        <v>89850.625589999996</v>
      </c>
      <c r="AR1085" s="25">
        <f>Lookups!$B$57*Inventory[[#This Row],[LnAcres]]</f>
        <v>-54281.285314520763</v>
      </c>
      <c r="AS1085" s="25">
        <f>VLOOKUP(Inventory[[#This Row],[Qlty]],Lookups!$A$62:$E$75,2,FALSE)</f>
        <v>21557.329055999999</v>
      </c>
      <c r="AT1085" s="25">
        <f>VLOOKUP(Inventory[[#This Row],[Cnd]],Lookups!$A$76:$E$84,2,FALSE)</f>
        <v>197752.34721000001</v>
      </c>
      <c r="AU1085" s="25">
        <f>Inventory[[#This Row],[EffAge]]*Lookups!$B$85</f>
        <v>-11598.371226000001</v>
      </c>
      <c r="AV1085" s="25">
        <f>Inventory[[#This Row],[MainFn]]*Lookups!$B$86</f>
        <v>35129.564282546999</v>
      </c>
      <c r="AW1085" s="25">
        <f>Inventory[[#This Row],[UpprFn]]*Lookups!$B$87</f>
        <v>0</v>
      </c>
      <c r="AX1085" s="25">
        <f>Inventory[[#This Row],[AddFn]]*Lookups!$B$88</f>
        <v>0</v>
      </c>
      <c r="AY1085" s="25">
        <f>Inventory[[#This Row],[Bsmt]]*Lookups!$B$89</f>
        <v>20677.227520616998</v>
      </c>
      <c r="AZ1085" s="25">
        <f>Inventory[[#This Row],[Fixtures]]*Lookups!$B$90</f>
        <v>30336.176841600001</v>
      </c>
      <c r="BA1085" s="25">
        <f>Inventory[[#This Row],[WdDeck]]*Lookups!$B$91</f>
        <v>0</v>
      </c>
      <c r="BB1085" s="25">
        <f>ROUND(Inventory[[#This Row],[25Det]],-2)</f>
        <v>0</v>
      </c>
      <c r="BC1085" s="25">
        <f>ROUND(SUM(Inventory[[#This Row],[Mdl Qlty]:[Mdl WdDeck]])+Inventory[[#This Row],[Mdl Res Intercept]],-2)</f>
        <v>293900</v>
      </c>
      <c r="BD1085" s="25">
        <f>ROUND(Inventory[[#This Row],[Mdl Land Intercept]]+Inventory[[#This Row],[Mdl LnAcres]],-2)</f>
        <v>35600</v>
      </c>
      <c r="BE1085" s="25">
        <f>Inventory[[#This Row],[Unadj Res Value]]+Inventory[[#This Row],[Unadj Det Value]]+Inventory[[#This Row],[Unadj Land Value]]</f>
        <v>329500</v>
      </c>
      <c r="BF1085" s="36">
        <f>(Inventory[[#This Row],[Unadj Total Value]]-Inventory[[#This Row],[24Final]])/Inventory[[#This Row],[24Final]]</f>
        <v>7.8912901113294034E-2</v>
      </c>
      <c r="BG1085" s="25">
        <f>VLOOKUP(Inventory[[#This Row],[Nbhd]],Lookups!$Q$2:$T$4,4,FALSE)</f>
        <v>0.99970000000000003</v>
      </c>
      <c r="BH1085" s="25">
        <f>VLOOKUP(Inventory[[#This Row],[Qlty]],Lookups!$O$7:$R$21,4,FALSE)</f>
        <v>1.0067999999999999</v>
      </c>
      <c r="BI1085" s="25">
        <f>VLOOKUP(Inventory[[#This Row],[Cnd]],Lookups!$T$7:$W$16,4,FALSE)</f>
        <v>0.99650000000000005</v>
      </c>
      <c r="BJ1085" s="25">
        <f>VLOOKUP(Inventory[[#This Row],[LivArea Range]],Lookups!$T$25:$W$37,4,FALSE)</f>
        <v>1.0157</v>
      </c>
      <c r="BK1085" s="25">
        <f>VLOOKUP(Inventory[[#This Row],[Decade]],Lookups!$O$25:$R$42,4,FALSE)</f>
        <v>0.995</v>
      </c>
      <c r="BL1085" s="25">
        <f>Inventory[[#This Row],[Nbhd Adj]]*0.95</f>
        <v>0.94971499999999998</v>
      </c>
      <c r="BM1085" s="25">
        <f>Inventory[[#This Row],[Nbhd Adj]]*Inventory[[#This Row],[Quality Adj]]*Inventory[[#This Row],[Condition Adj]]*Inventory[[#This Row],[Living Area Adj]]*Inventory[[#This Row],[Decade Adj]]*0.95</f>
        <v>0.96294690248840986</v>
      </c>
      <c r="BN1085" s="25">
        <f>ROUND(SUM(Inventory[[#This Row],[Mdl Qlty]:[Mdl WdDeck]])+Inventory[[#This Row],[Mdl Res Intercept]]*Inventory[[#This Row],[Res Adj ]],-2)</f>
        <v>293900</v>
      </c>
      <c r="BO1085" s="25">
        <f>ROUND(Inventory[[#This Row],[25Det]]*Inventory[[#This Row],[Det/Nbhd Adj]],-2)</f>
        <v>0</v>
      </c>
      <c r="BP1085" s="25">
        <f>Inventory[[#This Row],[Adjusted Res]]+Inventory[[#This Row],[Adj Det ]]</f>
        <v>293900</v>
      </c>
      <c r="BQ1085" s="25">
        <f>ROUND((Inventory[[#This Row],[Mdl Land Intercept]]+Inventory[[#This Row],[Mdl LnAcres]])*Inventory[[#This Row],[Det/Nbhd Adj]],-2)</f>
        <v>33800</v>
      </c>
      <c r="BR1085" s="25">
        <f>Inventory[[#This Row],[Adjusted Impr Total]]+Inventory[[#This Row],[Adjusted Land Total]]</f>
        <v>327700</v>
      </c>
      <c r="BS1085" s="36">
        <f>IFERROR((Inventory[[#This Row],[Adjusted Impr Total]]-Inventory[[#This Row],[24Bldg]])/Inventory[[#This Row],[24Bldg]],0)</f>
        <v>0.17231751096928599</v>
      </c>
      <c r="BT1085" s="36">
        <f>(Inventory[[#This Row],[Adjusted Land Total]]-Inventory[[#This Row],[24Lnd]])/Inventory[[#This Row],[24Lnd]]</f>
        <v>-0.38208409506398539</v>
      </c>
      <c r="BU1085" s="36">
        <f>(Inventory[[#This Row],[Adjusted Total]]-Inventory[[#This Row],[24Final]])/Inventory[[#This Row],[24Final]]</f>
        <v>7.301899148657498E-2</v>
      </c>
    </row>
    <row r="1086" spans="1:73" x14ac:dyDescent="0.3">
      <c r="A1086" s="25">
        <v>2025</v>
      </c>
      <c r="B1086" s="26" t="s">
        <v>1865</v>
      </c>
      <c r="C1086" s="26">
        <f>LN(Inventory[[#This Row],[Acres]])</f>
        <v>-1.4696759700589417</v>
      </c>
      <c r="D1086" s="25">
        <v>0.23</v>
      </c>
      <c r="E1086" s="27"/>
      <c r="F1086" s="26" t="s">
        <v>537</v>
      </c>
      <c r="G1086" s="26" t="s">
        <v>126</v>
      </c>
      <c r="H1086" s="26" t="s">
        <v>349</v>
      </c>
      <c r="I1086" s="26" t="s">
        <v>538</v>
      </c>
      <c r="J1086" s="26" t="s">
        <v>539</v>
      </c>
      <c r="K1086" s="26" t="s">
        <v>242</v>
      </c>
      <c r="L1086" s="26" t="s">
        <v>351</v>
      </c>
      <c r="M1086" s="26" t="s">
        <v>303</v>
      </c>
      <c r="N1086" s="26">
        <v>80</v>
      </c>
      <c r="O1086" s="26">
        <f>2024-Inventory[[#This Row],[YrBlt]]</f>
        <v>79</v>
      </c>
      <c r="P1086" s="26">
        <f>2024-Inventory[[#This Row],[EffYr]]</f>
        <v>52</v>
      </c>
      <c r="Q1086" s="25">
        <v>1945</v>
      </c>
      <c r="R1086" s="25">
        <v>1972</v>
      </c>
      <c r="S1086" s="25">
        <v>1535</v>
      </c>
      <c r="T1086" s="31"/>
      <c r="U1086" s="25">
        <v>1016</v>
      </c>
      <c r="V1086" s="25">
        <f>Inventory[[#This Row],[Bsmt]]-Inventory[[#This Row],[FnBsmt]]</f>
        <v>366</v>
      </c>
      <c r="W1086" s="25">
        <v>650</v>
      </c>
      <c r="X1086" s="27"/>
      <c r="Y1086" s="27">
        <f>Inventory[[#This Row],[MainFn]]+Inventory[[#This Row],[UpprFn]]+Inventory[[#This Row],[FnBsmt]]+Inventory[[#This Row],[AddFn]]</f>
        <v>2185</v>
      </c>
      <c r="Z1086" s="27">
        <v>2500</v>
      </c>
      <c r="AA1086" s="25">
        <v>8</v>
      </c>
      <c r="AB1086" s="31"/>
      <c r="AC1086" s="27"/>
      <c r="AD1086" s="31"/>
      <c r="AE1086" s="27"/>
      <c r="AF1086" s="27"/>
      <c r="AG1086" s="27"/>
      <c r="AH1086" s="27"/>
      <c r="AI1086" s="25">
        <v>305602</v>
      </c>
      <c r="AJ1086" s="25">
        <v>213921</v>
      </c>
      <c r="AK1086" s="25">
        <v>41305</v>
      </c>
      <c r="AL1086" s="25">
        <v>395200</v>
      </c>
      <c r="AM1086" s="25">
        <v>63300</v>
      </c>
      <c r="AN1086" s="25">
        <v>331900</v>
      </c>
      <c r="AO1086" s="25">
        <v>0</v>
      </c>
      <c r="AP1086" s="25">
        <f>Lookups!$B$56*0</f>
        <v>0</v>
      </c>
      <c r="AQ1086" s="25">
        <f>Lookups!$B$56*1</f>
        <v>89850.625589999996</v>
      </c>
      <c r="AR1086" s="25">
        <f>Lookups!$B$57*Inventory[[#This Row],[LnAcres]]</f>
        <v>-46522.028095997222</v>
      </c>
      <c r="AS1086" s="25">
        <f>VLOOKUP(Inventory[[#This Row],[Qlty]],Lookups!$A$62:$E$75,2,FALSE)</f>
        <v>21557.329055999999</v>
      </c>
      <c r="AT1086" s="25">
        <f>VLOOKUP(Inventory[[#This Row],[Cnd]],Lookups!$A$76:$E$84,2,FALSE)</f>
        <v>197752.34721000001</v>
      </c>
      <c r="AU1086" s="25">
        <f>Inventory[[#This Row],[EffAge]]*Lookups!$B$85</f>
        <v>-11598.371226000001</v>
      </c>
      <c r="AV1086" s="25">
        <f>Inventory[[#This Row],[MainFn]]*Lookups!$B$86</f>
        <v>75842.308261195009</v>
      </c>
      <c r="AW1086" s="25">
        <f>Inventory[[#This Row],[UpprFn]]*Lookups!$B$87</f>
        <v>0</v>
      </c>
      <c r="AX1086" s="25">
        <f>Inventory[[#This Row],[AddFn]]*Lookups!$B$88</f>
        <v>0</v>
      </c>
      <c r="AY1086" s="25">
        <f>Inventory[[#This Row],[Bsmt]]*Lookups!$B$89</f>
        <v>29547.205570951999</v>
      </c>
      <c r="AZ1086" s="25">
        <f>Inventory[[#This Row],[Fixtures]]*Lookups!$B$90</f>
        <v>30336.176841600001</v>
      </c>
      <c r="BA1086" s="25">
        <f>Inventory[[#This Row],[WdDeck]]*Lookups!$B$91</f>
        <v>0</v>
      </c>
      <c r="BB1086" s="25">
        <f>ROUND(Inventory[[#This Row],[25Det]],-2)</f>
        <v>41300</v>
      </c>
      <c r="BC1086" s="25">
        <f>ROUND(SUM(Inventory[[#This Row],[Mdl Qlty]:[Mdl WdDeck]])+Inventory[[#This Row],[Mdl Res Intercept]],-2)</f>
        <v>343400</v>
      </c>
      <c r="BD1086" s="25">
        <f>ROUND(Inventory[[#This Row],[Mdl Land Intercept]]+Inventory[[#This Row],[Mdl LnAcres]],-2)</f>
        <v>43300</v>
      </c>
      <c r="BE1086" s="25">
        <f>Inventory[[#This Row],[Unadj Res Value]]+Inventory[[#This Row],[Unadj Det Value]]+Inventory[[#This Row],[Unadj Land Value]]</f>
        <v>428000</v>
      </c>
      <c r="BF1086" s="36">
        <f>(Inventory[[#This Row],[Unadj Total Value]]-Inventory[[#This Row],[24Final]])/Inventory[[#This Row],[24Final]]</f>
        <v>8.2995951417004055E-2</v>
      </c>
      <c r="BG1086" s="25">
        <f>VLOOKUP(Inventory[[#This Row],[Nbhd]],Lookups!$Q$2:$T$4,4,FALSE)</f>
        <v>0.99970000000000003</v>
      </c>
      <c r="BH1086" s="25">
        <f>VLOOKUP(Inventory[[#This Row],[Qlty]],Lookups!$O$7:$R$21,4,FALSE)</f>
        <v>1.0067999999999999</v>
      </c>
      <c r="BI1086" s="25">
        <f>VLOOKUP(Inventory[[#This Row],[Cnd]],Lookups!$T$7:$W$16,4,FALSE)</f>
        <v>0.99650000000000005</v>
      </c>
      <c r="BJ1086" s="25">
        <f>VLOOKUP(Inventory[[#This Row],[LivArea Range]],Lookups!$T$25:$W$37,4,FALSE)</f>
        <v>0.98919999999999997</v>
      </c>
      <c r="BK1086" s="25">
        <f>VLOOKUP(Inventory[[#This Row],[Decade]],Lookups!$O$25:$R$42,4,FALSE)</f>
        <v>0.995</v>
      </c>
      <c r="BL1086" s="25">
        <f>Inventory[[#This Row],[Nbhd Adj]]*0.95</f>
        <v>0.94971499999999998</v>
      </c>
      <c r="BM1086" s="25">
        <f>Inventory[[#This Row],[Nbhd Adj]]*Inventory[[#This Row],[Quality Adj]]*Inventory[[#This Row],[Condition Adj]]*Inventory[[#This Row],[Living Area Adj]]*Inventory[[#This Row],[Decade Adj]]*0.95</f>
        <v>0.93782325090236773</v>
      </c>
      <c r="BN1086" s="25">
        <f>ROUND(SUM(Inventory[[#This Row],[Mdl Qlty]:[Mdl WdDeck]])+Inventory[[#This Row],[Mdl Res Intercept]]*Inventory[[#This Row],[Res Adj ]],-2)</f>
        <v>343400</v>
      </c>
      <c r="BO1086" s="25">
        <f>ROUND(Inventory[[#This Row],[25Det]]*Inventory[[#This Row],[Det/Nbhd Adj]],-2)</f>
        <v>39200</v>
      </c>
      <c r="BP1086" s="25">
        <f>Inventory[[#This Row],[Adjusted Res]]+Inventory[[#This Row],[Adj Det ]]</f>
        <v>382600</v>
      </c>
      <c r="BQ1086" s="25">
        <f>ROUND((Inventory[[#This Row],[Mdl Land Intercept]]+Inventory[[#This Row],[Mdl LnAcres]])*Inventory[[#This Row],[Det/Nbhd Adj]],-2)</f>
        <v>41100</v>
      </c>
      <c r="BR1086" s="25">
        <f>Inventory[[#This Row],[Adjusted Impr Total]]+Inventory[[#This Row],[Adjusted Land Total]]</f>
        <v>423700</v>
      </c>
      <c r="BS1086" s="36">
        <f>IFERROR((Inventory[[#This Row],[Adjusted Impr Total]]-Inventory[[#This Row],[24Bldg]])/Inventory[[#This Row],[24Bldg]],0)</f>
        <v>0.15275685447423923</v>
      </c>
      <c r="BT1086" s="36">
        <f>(Inventory[[#This Row],[Adjusted Land Total]]-Inventory[[#This Row],[24Lnd]])/Inventory[[#This Row],[24Lnd]]</f>
        <v>-0.35071090047393366</v>
      </c>
      <c r="BU1086" s="36">
        <f>(Inventory[[#This Row],[Adjusted Total]]-Inventory[[#This Row],[24Final]])/Inventory[[#This Row],[24Final]]</f>
        <v>7.2115384615384609E-2</v>
      </c>
    </row>
    <row r="1087" spans="1:73" x14ac:dyDescent="0.3">
      <c r="A1087" s="25">
        <v>2025</v>
      </c>
      <c r="B1087" s="26" t="s">
        <v>1790</v>
      </c>
      <c r="C1087" s="26">
        <f>LN(Inventory[[#This Row],[Acres]])</f>
        <v>-1.8325814637483102</v>
      </c>
      <c r="D1087" s="25">
        <v>0.16</v>
      </c>
      <c r="E1087" s="32">
        <v>7021</v>
      </c>
      <c r="F1087" s="26" t="s">
        <v>537</v>
      </c>
      <c r="G1087" s="26" t="s">
        <v>126</v>
      </c>
      <c r="H1087" s="26" t="s">
        <v>349</v>
      </c>
      <c r="I1087" s="26" t="s">
        <v>538</v>
      </c>
      <c r="J1087" s="26" t="s">
        <v>539</v>
      </c>
      <c r="K1087" s="26" t="s">
        <v>242</v>
      </c>
      <c r="L1087" s="26" t="s">
        <v>351</v>
      </c>
      <c r="M1087" s="26" t="s">
        <v>303</v>
      </c>
      <c r="N1087" s="26">
        <v>80</v>
      </c>
      <c r="O1087" s="26">
        <f>2024-Inventory[[#This Row],[YrBlt]]</f>
        <v>79</v>
      </c>
      <c r="P1087" s="26">
        <f>2024-Inventory[[#This Row],[EffYr]]</f>
        <v>52</v>
      </c>
      <c r="Q1087" s="25">
        <v>1945</v>
      </c>
      <c r="R1087" s="25">
        <v>1972</v>
      </c>
      <c r="S1087" s="25">
        <v>1044</v>
      </c>
      <c r="T1087" s="27"/>
      <c r="U1087" s="25">
        <v>756</v>
      </c>
      <c r="V1087" s="25">
        <f>Inventory[[#This Row],[Bsmt]]-Inventory[[#This Row],[FnBsmt]]</f>
        <v>0</v>
      </c>
      <c r="W1087" s="25">
        <v>756</v>
      </c>
      <c r="X1087" s="27"/>
      <c r="Y1087" s="27">
        <f>Inventory[[#This Row],[MainFn]]+Inventory[[#This Row],[UpprFn]]+Inventory[[#This Row],[FnBsmt]]+Inventory[[#This Row],[AddFn]]</f>
        <v>1800</v>
      </c>
      <c r="Z1087" s="27">
        <v>2000</v>
      </c>
      <c r="AA1087" s="25">
        <v>8</v>
      </c>
      <c r="AB1087" s="31"/>
      <c r="AC1087" s="32">
        <v>288</v>
      </c>
      <c r="AD1087" s="27"/>
      <c r="AE1087" s="27"/>
      <c r="AF1087" s="27"/>
      <c r="AG1087" s="27"/>
      <c r="AH1087" s="27"/>
      <c r="AI1087" s="25">
        <v>255548</v>
      </c>
      <c r="AJ1087" s="25">
        <v>178884</v>
      </c>
      <c r="AK1087" s="25">
        <v>0</v>
      </c>
      <c r="AL1087" s="25">
        <v>319400</v>
      </c>
      <c r="AM1087" s="25">
        <v>50600</v>
      </c>
      <c r="AN1087" s="25">
        <v>268800</v>
      </c>
      <c r="AO1087" s="25">
        <v>0</v>
      </c>
      <c r="AP1087" s="25">
        <f>Lookups!$B$56*0</f>
        <v>0</v>
      </c>
      <c r="AQ1087" s="25">
        <f>Lookups!$B$56*1</f>
        <v>89850.625589999996</v>
      </c>
      <c r="AR1087" s="25">
        <f>Lookups!$B$57*Inventory[[#This Row],[LnAcres]]</f>
        <v>-58009.662049032086</v>
      </c>
      <c r="AS1087" s="25">
        <f>VLOOKUP(Inventory[[#This Row],[Qlty]],Lookups!$A$62:$E$75,2,FALSE)</f>
        <v>21557.329055999999</v>
      </c>
      <c r="AT1087" s="25">
        <f>VLOOKUP(Inventory[[#This Row],[Cnd]],Lookups!$A$76:$E$84,2,FALSE)</f>
        <v>197752.34721000001</v>
      </c>
      <c r="AU1087" s="25">
        <f>Inventory[[#This Row],[EffAge]]*Lookups!$B$85</f>
        <v>-11598.371226000001</v>
      </c>
      <c r="AV1087" s="25">
        <f>Inventory[[#This Row],[MainFn]]*Lookups!$B$86</f>
        <v>51582.651351588</v>
      </c>
      <c r="AW1087" s="25">
        <f>Inventory[[#This Row],[UpprFn]]*Lookups!$B$87</f>
        <v>0</v>
      </c>
      <c r="AX1087" s="25">
        <f>Inventory[[#This Row],[AddFn]]*Lookups!$B$88</f>
        <v>0</v>
      </c>
      <c r="AY1087" s="25">
        <f>Inventory[[#This Row],[Bsmt]]*Lookups!$B$89</f>
        <v>21985.912806731998</v>
      </c>
      <c r="AZ1087" s="25">
        <f>Inventory[[#This Row],[Fixtures]]*Lookups!$B$90</f>
        <v>30336.176841600001</v>
      </c>
      <c r="BA1087" s="25">
        <f>Inventory[[#This Row],[WdDeck]]*Lookups!$B$91</f>
        <v>0</v>
      </c>
      <c r="BB1087" s="25">
        <f>ROUND(Inventory[[#This Row],[25Det]],-2)</f>
        <v>0</v>
      </c>
      <c r="BC1087" s="25">
        <f>ROUND(SUM(Inventory[[#This Row],[Mdl Qlty]:[Mdl WdDeck]])+Inventory[[#This Row],[Mdl Res Intercept]],-2)</f>
        <v>311600</v>
      </c>
      <c r="BD1087" s="25">
        <f>ROUND(Inventory[[#This Row],[Mdl Land Intercept]]+Inventory[[#This Row],[Mdl LnAcres]],-2)</f>
        <v>31800</v>
      </c>
      <c r="BE1087" s="25">
        <f>Inventory[[#This Row],[Unadj Res Value]]+Inventory[[#This Row],[Unadj Det Value]]+Inventory[[#This Row],[Unadj Land Value]]</f>
        <v>343400</v>
      </c>
      <c r="BF1087" s="36">
        <f>(Inventory[[#This Row],[Unadj Total Value]]-Inventory[[#This Row],[24Final]])/Inventory[[#This Row],[24Final]]</f>
        <v>7.5140889167188474E-2</v>
      </c>
      <c r="BG1087" s="25">
        <f>VLOOKUP(Inventory[[#This Row],[Nbhd]],Lookups!$Q$2:$T$4,4,FALSE)</f>
        <v>0.99970000000000003</v>
      </c>
      <c r="BH1087" s="25">
        <f>VLOOKUP(Inventory[[#This Row],[Qlty]],Lookups!$O$7:$R$21,4,FALSE)</f>
        <v>1.0067999999999999</v>
      </c>
      <c r="BI1087" s="25">
        <f>VLOOKUP(Inventory[[#This Row],[Cnd]],Lookups!$T$7:$W$16,4,FALSE)</f>
        <v>0.99650000000000005</v>
      </c>
      <c r="BJ1087" s="25">
        <f>VLOOKUP(Inventory[[#This Row],[LivArea Range]],Lookups!$T$25:$W$37,4,FALSE)</f>
        <v>1.0093000000000001</v>
      </c>
      <c r="BK1087" s="25">
        <f>VLOOKUP(Inventory[[#This Row],[Decade]],Lookups!$O$25:$R$42,4,FALSE)</f>
        <v>0.995</v>
      </c>
      <c r="BL1087" s="25">
        <f>Inventory[[#This Row],[Nbhd Adj]]*0.95</f>
        <v>0.94971499999999998</v>
      </c>
      <c r="BM1087" s="25">
        <f>Inventory[[#This Row],[Nbhd Adj]]*Inventory[[#This Row],[Quality Adj]]*Inventory[[#This Row],[Condition Adj]]*Inventory[[#This Row],[Living Area Adj]]*Inventory[[#This Row],[Decade Adj]]*0.95</f>
        <v>0.95687930361479956</v>
      </c>
      <c r="BN1087" s="25">
        <f>ROUND(SUM(Inventory[[#This Row],[Mdl Qlty]:[Mdl WdDeck]])+Inventory[[#This Row],[Mdl Res Intercept]]*Inventory[[#This Row],[Res Adj ]],-2)</f>
        <v>311600</v>
      </c>
      <c r="BO1087" s="25">
        <f>ROUND(Inventory[[#This Row],[25Det]]*Inventory[[#This Row],[Det/Nbhd Adj]],-2)</f>
        <v>0</v>
      </c>
      <c r="BP1087" s="25">
        <f>Inventory[[#This Row],[Adjusted Res]]+Inventory[[#This Row],[Adj Det ]]</f>
        <v>311600</v>
      </c>
      <c r="BQ1087" s="25">
        <f>ROUND((Inventory[[#This Row],[Mdl Land Intercept]]+Inventory[[#This Row],[Mdl LnAcres]])*Inventory[[#This Row],[Det/Nbhd Adj]],-2)</f>
        <v>30200</v>
      </c>
      <c r="BR1087" s="25">
        <f>Inventory[[#This Row],[Adjusted Impr Total]]+Inventory[[#This Row],[Adjusted Land Total]]</f>
        <v>341800</v>
      </c>
      <c r="BS1087" s="36">
        <f>IFERROR((Inventory[[#This Row],[Adjusted Impr Total]]-Inventory[[#This Row],[24Bldg]])/Inventory[[#This Row],[24Bldg]],0)</f>
        <v>0.15922619047619047</v>
      </c>
      <c r="BT1087" s="36">
        <f>(Inventory[[#This Row],[Adjusted Land Total]]-Inventory[[#This Row],[24Lnd]])/Inventory[[#This Row],[24Lnd]]</f>
        <v>-0.40316205533596838</v>
      </c>
      <c r="BU1087" s="36">
        <f>(Inventory[[#This Row],[Adjusted Total]]-Inventory[[#This Row],[24Final]])/Inventory[[#This Row],[24Final]]</f>
        <v>7.0131496556042575E-2</v>
      </c>
    </row>
    <row r="1088" spans="1:73" x14ac:dyDescent="0.3">
      <c r="A1088" s="25">
        <v>2025</v>
      </c>
      <c r="B1088" s="26" t="s">
        <v>1718</v>
      </c>
      <c r="C1088" s="26">
        <f>LN(Inventory[[#This Row],[Acres]])</f>
        <v>-1.5141277326297755</v>
      </c>
      <c r="D1088" s="25">
        <v>0.22</v>
      </c>
      <c r="E1088" s="32">
        <v>9535</v>
      </c>
      <c r="F1088" s="26" t="s">
        <v>537</v>
      </c>
      <c r="G1088" s="26" t="s">
        <v>126</v>
      </c>
      <c r="H1088" s="26" t="s">
        <v>349</v>
      </c>
      <c r="I1088" s="26" t="s">
        <v>538</v>
      </c>
      <c r="J1088" s="26" t="s">
        <v>539</v>
      </c>
      <c r="K1088" s="26" t="s">
        <v>241</v>
      </c>
      <c r="L1088" s="26" t="s">
        <v>351</v>
      </c>
      <c r="M1088" s="26" t="s">
        <v>303</v>
      </c>
      <c r="N1088" s="26">
        <v>80</v>
      </c>
      <c r="O1088" s="26">
        <f>2024-Inventory[[#This Row],[YrBlt]]</f>
        <v>79</v>
      </c>
      <c r="P1088" s="26">
        <f>2024-Inventory[[#This Row],[EffYr]]</f>
        <v>52</v>
      </c>
      <c r="Q1088" s="25">
        <v>1945</v>
      </c>
      <c r="R1088" s="25">
        <v>1972</v>
      </c>
      <c r="S1088" s="25">
        <v>1706</v>
      </c>
      <c r="T1088" s="27"/>
      <c r="U1088" s="25">
        <v>832</v>
      </c>
      <c r="V1088" s="25">
        <f>Inventory[[#This Row],[Bsmt]]-Inventory[[#This Row],[FnBsmt]]</f>
        <v>416</v>
      </c>
      <c r="W1088" s="25">
        <v>416</v>
      </c>
      <c r="X1088" s="27"/>
      <c r="Y1088" s="27">
        <f>Inventory[[#This Row],[MainFn]]+Inventory[[#This Row],[UpprFn]]+Inventory[[#This Row],[FnBsmt]]+Inventory[[#This Row],[AddFn]]</f>
        <v>2122</v>
      </c>
      <c r="Z1088" s="27">
        <v>2500</v>
      </c>
      <c r="AA1088" s="25">
        <v>8</v>
      </c>
      <c r="AB1088" s="27"/>
      <c r="AC1088" s="27"/>
      <c r="AD1088" s="27"/>
      <c r="AE1088" s="27"/>
      <c r="AF1088" s="27"/>
      <c r="AG1088" s="27"/>
      <c r="AH1088" s="27"/>
      <c r="AI1088" s="25">
        <v>330569</v>
      </c>
      <c r="AJ1088" s="25">
        <v>231398</v>
      </c>
      <c r="AK1088" s="25">
        <v>0</v>
      </c>
      <c r="AL1088" s="25">
        <v>361000</v>
      </c>
      <c r="AM1088" s="25">
        <v>61700</v>
      </c>
      <c r="AN1088" s="25">
        <v>299300</v>
      </c>
      <c r="AO1088" s="25">
        <v>0</v>
      </c>
      <c r="AP1088" s="25">
        <f>Lookups!$B$56*0</f>
        <v>0</v>
      </c>
      <c r="AQ1088" s="25">
        <f>Lookups!$B$56*1</f>
        <v>89850.625589999996</v>
      </c>
      <c r="AR1088" s="25">
        <f>Lookups!$B$57*Inventory[[#This Row],[LnAcres]]</f>
        <v>-47929.131559187132</v>
      </c>
      <c r="AS1088" s="25">
        <f>VLOOKUP(Inventory[[#This Row],[Qlty]],Lookups!$A$62:$E$75,2,FALSE)</f>
        <v>21557.329055999999</v>
      </c>
      <c r="AT1088" s="25">
        <f>VLOOKUP(Inventory[[#This Row],[Cnd]],Lookups!$A$76:$E$84,2,FALSE)</f>
        <v>197752.34721000001</v>
      </c>
      <c r="AU1088" s="25">
        <f>Inventory[[#This Row],[EffAge]]*Lookups!$B$85</f>
        <v>-11598.371226000001</v>
      </c>
      <c r="AV1088" s="25">
        <f>Inventory[[#This Row],[MainFn]]*Lookups!$B$86</f>
        <v>84291.190810162007</v>
      </c>
      <c r="AW1088" s="25">
        <f>Inventory[[#This Row],[UpprFn]]*Lookups!$B$87</f>
        <v>0</v>
      </c>
      <c r="AX1088" s="25">
        <f>Inventory[[#This Row],[AddFn]]*Lookups!$B$88</f>
        <v>0</v>
      </c>
      <c r="AY1088" s="25">
        <f>Inventory[[#This Row],[Bsmt]]*Lookups!$B$89</f>
        <v>24196.136845503999</v>
      </c>
      <c r="AZ1088" s="25">
        <f>Inventory[[#This Row],[Fixtures]]*Lookups!$B$90</f>
        <v>30336.176841600001</v>
      </c>
      <c r="BA1088" s="25">
        <f>Inventory[[#This Row],[WdDeck]]*Lookups!$B$91</f>
        <v>0</v>
      </c>
      <c r="BB1088" s="25">
        <f>ROUND(Inventory[[#This Row],[25Det]],-2)</f>
        <v>0</v>
      </c>
      <c r="BC1088" s="25">
        <f>ROUND(SUM(Inventory[[#This Row],[Mdl Qlty]:[Mdl WdDeck]])+Inventory[[#This Row],[Mdl Res Intercept]],-2)</f>
        <v>346500</v>
      </c>
      <c r="BD1088" s="25">
        <f>ROUND(Inventory[[#This Row],[Mdl Land Intercept]]+Inventory[[#This Row],[Mdl LnAcres]],-2)</f>
        <v>41900</v>
      </c>
      <c r="BE1088" s="25">
        <f>Inventory[[#This Row],[Unadj Res Value]]+Inventory[[#This Row],[Unadj Det Value]]+Inventory[[#This Row],[Unadj Land Value]]</f>
        <v>388400</v>
      </c>
      <c r="BF1088" s="36">
        <f>(Inventory[[#This Row],[Unadj Total Value]]-Inventory[[#This Row],[24Final]])/Inventory[[#This Row],[24Final]]</f>
        <v>7.5900277008310243E-2</v>
      </c>
      <c r="BG1088" s="25">
        <f>VLOOKUP(Inventory[[#This Row],[Nbhd]],Lookups!$Q$2:$T$4,4,FALSE)</f>
        <v>0.99970000000000003</v>
      </c>
      <c r="BH1088" s="25">
        <f>VLOOKUP(Inventory[[#This Row],[Qlty]],Lookups!$O$7:$R$21,4,FALSE)</f>
        <v>1.0067999999999999</v>
      </c>
      <c r="BI1088" s="25">
        <f>VLOOKUP(Inventory[[#This Row],[Cnd]],Lookups!$T$7:$W$16,4,FALSE)</f>
        <v>0.99650000000000005</v>
      </c>
      <c r="BJ1088" s="25">
        <f>VLOOKUP(Inventory[[#This Row],[LivArea Range]],Lookups!$T$25:$W$37,4,FALSE)</f>
        <v>0.98919999999999997</v>
      </c>
      <c r="BK1088" s="25">
        <f>VLOOKUP(Inventory[[#This Row],[Decade]],Lookups!$O$25:$R$42,4,FALSE)</f>
        <v>0.995</v>
      </c>
      <c r="BL1088" s="25">
        <f>Inventory[[#This Row],[Nbhd Adj]]*0.95</f>
        <v>0.94971499999999998</v>
      </c>
      <c r="BM1088" s="25">
        <f>Inventory[[#This Row],[Nbhd Adj]]*Inventory[[#This Row],[Quality Adj]]*Inventory[[#This Row],[Condition Adj]]*Inventory[[#This Row],[Living Area Adj]]*Inventory[[#This Row],[Decade Adj]]*0.95</f>
        <v>0.93782325090236773</v>
      </c>
      <c r="BN1088" s="25">
        <f>ROUND(SUM(Inventory[[#This Row],[Mdl Qlty]:[Mdl WdDeck]])+Inventory[[#This Row],[Mdl Res Intercept]]*Inventory[[#This Row],[Res Adj ]],-2)</f>
        <v>346500</v>
      </c>
      <c r="BO1088" s="25">
        <f>ROUND(Inventory[[#This Row],[25Det]]*Inventory[[#This Row],[Det/Nbhd Adj]],-2)</f>
        <v>0</v>
      </c>
      <c r="BP1088" s="25">
        <f>Inventory[[#This Row],[Adjusted Res]]+Inventory[[#This Row],[Adj Det ]]</f>
        <v>346500</v>
      </c>
      <c r="BQ1088" s="25">
        <f>ROUND((Inventory[[#This Row],[Mdl Land Intercept]]+Inventory[[#This Row],[Mdl LnAcres]])*Inventory[[#This Row],[Det/Nbhd Adj]],-2)</f>
        <v>39800</v>
      </c>
      <c r="BR1088" s="25">
        <f>Inventory[[#This Row],[Adjusted Impr Total]]+Inventory[[#This Row],[Adjusted Land Total]]</f>
        <v>386300</v>
      </c>
      <c r="BS1088" s="36">
        <f>IFERROR((Inventory[[#This Row],[Adjusted Impr Total]]-Inventory[[#This Row],[24Bldg]])/Inventory[[#This Row],[24Bldg]],0)</f>
        <v>0.15770130304042768</v>
      </c>
      <c r="BT1088" s="36">
        <f>(Inventory[[#This Row],[Adjusted Land Total]]-Inventory[[#This Row],[24Lnd]])/Inventory[[#This Row],[24Lnd]]</f>
        <v>-0.35494327390599678</v>
      </c>
      <c r="BU1088" s="36">
        <f>(Inventory[[#This Row],[Adjusted Total]]-Inventory[[#This Row],[24Final]])/Inventory[[#This Row],[24Final]]</f>
        <v>7.0083102493074798E-2</v>
      </c>
    </row>
    <row r="1089" spans="1:73" x14ac:dyDescent="0.3">
      <c r="A1089" s="25">
        <v>2025</v>
      </c>
      <c r="B1089" s="26" t="s">
        <v>2408</v>
      </c>
      <c r="C1089" s="26">
        <f>LN(Inventory[[#This Row],[Acres]])</f>
        <v>-1.5606477482646683</v>
      </c>
      <c r="D1089" s="25">
        <v>0.21</v>
      </c>
      <c r="E1089" s="31"/>
      <c r="F1089" s="26" t="s">
        <v>537</v>
      </c>
      <c r="G1089" s="26" t="s">
        <v>126</v>
      </c>
      <c r="H1089" s="26" t="s">
        <v>349</v>
      </c>
      <c r="I1089" s="26" t="s">
        <v>538</v>
      </c>
      <c r="J1089" s="26" t="s">
        <v>539</v>
      </c>
      <c r="K1089" s="26" t="s">
        <v>242</v>
      </c>
      <c r="L1089" s="26" t="s">
        <v>148</v>
      </c>
      <c r="M1089" s="26" t="s">
        <v>303</v>
      </c>
      <c r="N1089" s="26">
        <v>80</v>
      </c>
      <c r="O1089" s="26">
        <f>2024-Inventory[[#This Row],[YrBlt]]</f>
        <v>79</v>
      </c>
      <c r="P1089" s="26">
        <f>2024-Inventory[[#This Row],[EffYr]]</f>
        <v>52</v>
      </c>
      <c r="Q1089" s="25">
        <v>1945</v>
      </c>
      <c r="R1089" s="25">
        <v>1972</v>
      </c>
      <c r="S1089" s="25">
        <v>1619</v>
      </c>
      <c r="T1089" s="27"/>
      <c r="U1089" s="25">
        <v>1598</v>
      </c>
      <c r="V1089" s="25">
        <f>Inventory[[#This Row],[Bsmt]]-Inventory[[#This Row],[FnBsmt]]</f>
        <v>795</v>
      </c>
      <c r="W1089" s="25">
        <v>803</v>
      </c>
      <c r="X1089" s="27"/>
      <c r="Y1089" s="27">
        <f>Inventory[[#This Row],[MainFn]]+Inventory[[#This Row],[UpprFn]]+Inventory[[#This Row],[FnBsmt]]+Inventory[[#This Row],[AddFn]]</f>
        <v>2422</v>
      </c>
      <c r="Z1089" s="27">
        <v>2500</v>
      </c>
      <c r="AA1089" s="25">
        <v>12</v>
      </c>
      <c r="AB1089" s="27"/>
      <c r="AC1089" s="27"/>
      <c r="AD1089" s="27"/>
      <c r="AE1089" s="27"/>
      <c r="AF1089" s="27"/>
      <c r="AG1089" s="27"/>
      <c r="AH1089" s="27"/>
      <c r="AI1089" s="25">
        <v>487846</v>
      </c>
      <c r="AJ1089" s="25">
        <v>341492</v>
      </c>
      <c r="AK1089" s="25">
        <v>10683</v>
      </c>
      <c r="AL1089" s="25">
        <v>421300</v>
      </c>
      <c r="AM1089" s="25">
        <v>60100</v>
      </c>
      <c r="AN1089" s="25">
        <v>361200</v>
      </c>
      <c r="AO1089" s="25">
        <v>0</v>
      </c>
      <c r="AP1089" s="25">
        <f>Lookups!$B$56*0</f>
        <v>0</v>
      </c>
      <c r="AQ1089" s="25">
        <f>Lookups!$B$56*1</f>
        <v>89850.625589999996</v>
      </c>
      <c r="AR1089" s="25">
        <f>Lookups!$B$57*Inventory[[#This Row],[LnAcres]]</f>
        <v>-49401.70477837498</v>
      </c>
      <c r="AS1089" s="25">
        <f>VLOOKUP(Inventory[[#This Row],[Qlty]],Lookups!$A$62:$E$75,2,FALSE)</f>
        <v>44121.038090000002</v>
      </c>
      <c r="AT1089" s="25">
        <f>VLOOKUP(Inventory[[#This Row],[Cnd]],Lookups!$A$76:$E$84,2,FALSE)</f>
        <v>197752.34721000001</v>
      </c>
      <c r="AU1089" s="25">
        <f>Inventory[[#This Row],[EffAge]]*Lookups!$B$85</f>
        <v>-11598.371226000001</v>
      </c>
      <c r="AV1089" s="25">
        <f>Inventory[[#This Row],[MainFn]]*Lookups!$B$86</f>
        <v>79992.636530863005</v>
      </c>
      <c r="AW1089" s="25">
        <f>Inventory[[#This Row],[UpprFn]]*Lookups!$B$87</f>
        <v>0</v>
      </c>
      <c r="AX1089" s="25">
        <f>Inventory[[#This Row],[AddFn]]*Lookups!$B$88</f>
        <v>0</v>
      </c>
      <c r="AY1089" s="25">
        <f>Inventory[[#This Row],[Bsmt]]*Lookups!$B$89</f>
        <v>46472.868604705996</v>
      </c>
      <c r="AZ1089" s="25">
        <f>Inventory[[#This Row],[Fixtures]]*Lookups!$B$90</f>
        <v>45504.265262400004</v>
      </c>
      <c r="BA1089" s="25">
        <f>Inventory[[#This Row],[WdDeck]]*Lookups!$B$91</f>
        <v>0</v>
      </c>
      <c r="BB1089" s="25">
        <f>ROUND(Inventory[[#This Row],[25Det]],-2)</f>
        <v>10700</v>
      </c>
      <c r="BC1089" s="25">
        <f>ROUND(SUM(Inventory[[#This Row],[Mdl Qlty]:[Mdl WdDeck]])+Inventory[[#This Row],[Mdl Res Intercept]],-2)</f>
        <v>402200</v>
      </c>
      <c r="BD1089" s="25">
        <f>ROUND(Inventory[[#This Row],[Mdl Land Intercept]]+Inventory[[#This Row],[Mdl LnAcres]],-2)</f>
        <v>40400</v>
      </c>
      <c r="BE1089" s="25">
        <f>Inventory[[#This Row],[Unadj Res Value]]+Inventory[[#This Row],[Unadj Det Value]]+Inventory[[#This Row],[Unadj Land Value]]</f>
        <v>453300</v>
      </c>
      <c r="BF1089" s="36">
        <f>(Inventory[[#This Row],[Unadj Total Value]]-Inventory[[#This Row],[24Final]])/Inventory[[#This Row],[24Final]]</f>
        <v>7.5955376216472817E-2</v>
      </c>
      <c r="BG1089" s="25">
        <f>VLOOKUP(Inventory[[#This Row],[Nbhd]],Lookups!$Q$2:$T$4,4,FALSE)</f>
        <v>0.99970000000000003</v>
      </c>
      <c r="BH1089" s="25">
        <f>VLOOKUP(Inventory[[#This Row],[Qlty]],Lookups!$O$7:$R$21,4,FALSE)</f>
        <v>0.98050000000000004</v>
      </c>
      <c r="BI1089" s="25">
        <f>VLOOKUP(Inventory[[#This Row],[Cnd]],Lookups!$T$7:$W$16,4,FALSE)</f>
        <v>0.99650000000000005</v>
      </c>
      <c r="BJ1089" s="25">
        <f>VLOOKUP(Inventory[[#This Row],[LivArea Range]],Lookups!$T$25:$W$37,4,FALSE)</f>
        <v>0.98919999999999997</v>
      </c>
      <c r="BK1089" s="25">
        <f>VLOOKUP(Inventory[[#This Row],[Decade]],Lookups!$O$25:$R$42,4,FALSE)</f>
        <v>0.995</v>
      </c>
      <c r="BL1089" s="25">
        <f>Inventory[[#This Row],[Nbhd Adj]]*0.95</f>
        <v>0.94971499999999998</v>
      </c>
      <c r="BM1089" s="25">
        <f>Inventory[[#This Row],[Nbhd Adj]]*Inventory[[#This Row],[Quality Adj]]*Inventory[[#This Row],[Condition Adj]]*Inventory[[#This Row],[Living Area Adj]]*Inventory[[#This Row],[Decade Adj]]*0.95</f>
        <v>0.91332508691872449</v>
      </c>
      <c r="BN1089" s="25">
        <f>ROUND(SUM(Inventory[[#This Row],[Mdl Qlty]:[Mdl WdDeck]])+Inventory[[#This Row],[Mdl Res Intercept]]*Inventory[[#This Row],[Res Adj ]],-2)</f>
        <v>402200</v>
      </c>
      <c r="BO1089" s="25">
        <f>ROUND(Inventory[[#This Row],[25Det]]*Inventory[[#This Row],[Det/Nbhd Adj]],-2)</f>
        <v>10100</v>
      </c>
      <c r="BP1089" s="25">
        <f>Inventory[[#This Row],[Adjusted Res]]+Inventory[[#This Row],[Adj Det ]]</f>
        <v>412300</v>
      </c>
      <c r="BQ1089" s="25">
        <f>ROUND((Inventory[[#This Row],[Mdl Land Intercept]]+Inventory[[#This Row],[Mdl LnAcres]])*Inventory[[#This Row],[Det/Nbhd Adj]],-2)</f>
        <v>38400</v>
      </c>
      <c r="BR1089" s="25">
        <f>Inventory[[#This Row],[Adjusted Impr Total]]+Inventory[[#This Row],[Adjusted Land Total]]</f>
        <v>450700</v>
      </c>
      <c r="BS1089" s="36">
        <f>IFERROR((Inventory[[#This Row],[Adjusted Impr Total]]-Inventory[[#This Row],[24Bldg]])/Inventory[[#This Row],[24Bldg]],0)</f>
        <v>0.14147286821705427</v>
      </c>
      <c r="BT1089" s="36">
        <f>(Inventory[[#This Row],[Adjusted Land Total]]-Inventory[[#This Row],[24Lnd]])/Inventory[[#This Row],[24Lnd]]</f>
        <v>-0.36106489184692181</v>
      </c>
      <c r="BU1089" s="36">
        <f>(Inventory[[#This Row],[Adjusted Total]]-Inventory[[#This Row],[24Final]])/Inventory[[#This Row],[24Final]]</f>
        <v>6.978400189888441E-2</v>
      </c>
    </row>
    <row r="1090" spans="1:73" x14ac:dyDescent="0.3">
      <c r="A1090" s="25">
        <v>2025</v>
      </c>
      <c r="B1090" s="26" t="s">
        <v>1262</v>
      </c>
      <c r="C1090" s="26">
        <f>LN(Inventory[[#This Row],[Acres]])</f>
        <v>-1.7147984280919266</v>
      </c>
      <c r="D1090" s="25">
        <v>0.18</v>
      </c>
      <c r="E1090" s="32">
        <v>7894</v>
      </c>
      <c r="F1090" s="26" t="s">
        <v>537</v>
      </c>
      <c r="G1090" s="26" t="s">
        <v>126</v>
      </c>
      <c r="H1090" s="26" t="s">
        <v>349</v>
      </c>
      <c r="I1090" s="26" t="s">
        <v>538</v>
      </c>
      <c r="J1090" s="26" t="s">
        <v>539</v>
      </c>
      <c r="K1090" s="26" t="s">
        <v>241</v>
      </c>
      <c r="L1090" s="26" t="s">
        <v>148</v>
      </c>
      <c r="M1090" s="26" t="s">
        <v>323</v>
      </c>
      <c r="N1090" s="26">
        <v>80</v>
      </c>
      <c r="O1090" s="26">
        <f>2024-Inventory[[#This Row],[YrBlt]]</f>
        <v>79</v>
      </c>
      <c r="P1090" s="26">
        <f>2024-Inventory[[#This Row],[EffYr]]</f>
        <v>52</v>
      </c>
      <c r="Q1090" s="25">
        <v>1945</v>
      </c>
      <c r="R1090" s="25">
        <v>1972</v>
      </c>
      <c r="S1090" s="25">
        <v>1225</v>
      </c>
      <c r="T1090" s="27"/>
      <c r="U1090" s="31"/>
      <c r="V1090" s="31">
        <f>Inventory[[#This Row],[Bsmt]]-Inventory[[#This Row],[FnBsmt]]</f>
        <v>0</v>
      </c>
      <c r="W1090" s="31"/>
      <c r="X1090" s="27"/>
      <c r="Y1090" s="27">
        <f>Inventory[[#This Row],[MainFn]]+Inventory[[#This Row],[UpprFn]]+Inventory[[#This Row],[FnBsmt]]+Inventory[[#This Row],[AddFn]]</f>
        <v>1225</v>
      </c>
      <c r="Z1090" s="27">
        <v>1500</v>
      </c>
      <c r="AA1090" s="25">
        <v>5</v>
      </c>
      <c r="AB1090" s="32">
        <v>308</v>
      </c>
      <c r="AC1090" s="27"/>
      <c r="AD1090" s="32">
        <v>126</v>
      </c>
      <c r="AE1090" s="27"/>
      <c r="AF1090" s="27"/>
      <c r="AG1090" s="27"/>
      <c r="AH1090" s="27"/>
      <c r="AI1090" s="25">
        <v>320520</v>
      </c>
      <c r="AJ1090" s="25">
        <v>217954</v>
      </c>
      <c r="AK1090" s="25">
        <v>0</v>
      </c>
      <c r="AL1090" s="25">
        <v>290300</v>
      </c>
      <c r="AM1090" s="25">
        <v>54700</v>
      </c>
      <c r="AN1090" s="25">
        <v>235600</v>
      </c>
      <c r="AO1090" s="25">
        <v>0</v>
      </c>
      <c r="AP1090" s="25">
        <f>Lookups!$B$56*0</f>
        <v>0</v>
      </c>
      <c r="AQ1090" s="25">
        <f>Lookups!$B$56*1</f>
        <v>89850.625589999996</v>
      </c>
      <c r="AR1090" s="25">
        <f>Lookups!$B$57*Inventory[[#This Row],[LnAcres]]</f>
        <v>-54281.285314520763</v>
      </c>
      <c r="AS1090" s="25">
        <f>VLOOKUP(Inventory[[#This Row],[Qlty]],Lookups!$A$62:$E$75,2,FALSE)</f>
        <v>44121.038090000002</v>
      </c>
      <c r="AT1090" s="25">
        <f>VLOOKUP(Inventory[[#This Row],[Cnd]],Lookups!$A$76:$E$84,2,FALSE)</f>
        <v>160472.20319</v>
      </c>
      <c r="AU1090" s="25">
        <f>Inventory[[#This Row],[EffAge]]*Lookups!$B$85</f>
        <v>-11598.371226000001</v>
      </c>
      <c r="AV1090" s="25">
        <f>Inventory[[#This Row],[MainFn]]*Lookups!$B$86</f>
        <v>60525.620599325004</v>
      </c>
      <c r="AW1090" s="25">
        <f>Inventory[[#This Row],[UpprFn]]*Lookups!$B$87</f>
        <v>0</v>
      </c>
      <c r="AX1090" s="25">
        <f>Inventory[[#This Row],[AddFn]]*Lookups!$B$88</f>
        <v>0</v>
      </c>
      <c r="AY1090" s="25">
        <f>Inventory[[#This Row],[Bsmt]]*Lookups!$B$89</f>
        <v>0</v>
      </c>
      <c r="AZ1090" s="25">
        <f>Inventory[[#This Row],[Fixtures]]*Lookups!$B$90</f>
        <v>18960.110526</v>
      </c>
      <c r="BA1090" s="25">
        <f>Inventory[[#This Row],[WdDeck]]*Lookups!$B$91</f>
        <v>4195.2349247760003</v>
      </c>
      <c r="BB1090" s="25">
        <f>ROUND(Inventory[[#This Row],[25Det]],-2)</f>
        <v>0</v>
      </c>
      <c r="BC1090" s="25">
        <f>ROUND(SUM(Inventory[[#This Row],[Mdl Qlty]:[Mdl WdDeck]])+Inventory[[#This Row],[Mdl Res Intercept]],-2)</f>
        <v>276700</v>
      </c>
      <c r="BD1090" s="25">
        <f>ROUND(Inventory[[#This Row],[Mdl Land Intercept]]+Inventory[[#This Row],[Mdl LnAcres]],-2)</f>
        <v>35600</v>
      </c>
      <c r="BE1090" s="25">
        <f>Inventory[[#This Row],[Unadj Res Value]]+Inventory[[#This Row],[Unadj Det Value]]+Inventory[[#This Row],[Unadj Land Value]]</f>
        <v>312300</v>
      </c>
      <c r="BF1090" s="36">
        <f>(Inventory[[#This Row],[Unadj Total Value]]-Inventory[[#This Row],[24Final]])/Inventory[[#This Row],[24Final]]</f>
        <v>7.5783672063382712E-2</v>
      </c>
      <c r="BG1090" s="25">
        <f>VLOOKUP(Inventory[[#This Row],[Nbhd]],Lookups!$Q$2:$T$4,4,FALSE)</f>
        <v>0.99970000000000003</v>
      </c>
      <c r="BH1090" s="25">
        <f>VLOOKUP(Inventory[[#This Row],[Qlty]],Lookups!$O$7:$R$21,4,FALSE)</f>
        <v>0.98050000000000004</v>
      </c>
      <c r="BI1090" s="25">
        <f>VLOOKUP(Inventory[[#This Row],[Cnd]],Lookups!$T$7:$W$16,4,FALSE)</f>
        <v>0.99729999999999996</v>
      </c>
      <c r="BJ1090" s="25">
        <f>VLOOKUP(Inventory[[#This Row],[LivArea Range]],Lookups!$T$25:$W$37,4,FALSE)</f>
        <v>1.0157</v>
      </c>
      <c r="BK1090" s="25">
        <f>VLOOKUP(Inventory[[#This Row],[Decade]],Lookups!$O$25:$R$42,4,FALSE)</f>
        <v>0.995</v>
      </c>
      <c r="BL1090" s="25">
        <f>Inventory[[#This Row],[Nbhd Adj]]*0.95</f>
        <v>0.94971499999999998</v>
      </c>
      <c r="BM1090" s="25">
        <f>Inventory[[#This Row],[Nbhd Adj]]*Inventory[[#This Row],[Quality Adj]]*Inventory[[#This Row],[Condition Adj]]*Inventory[[#This Row],[Living Area Adj]]*Inventory[[#This Row],[Decade Adj]]*0.95</f>
        <v>0.93854531823597842</v>
      </c>
      <c r="BN1090" s="25">
        <f>ROUND(SUM(Inventory[[#This Row],[Mdl Qlty]:[Mdl WdDeck]])+Inventory[[#This Row],[Mdl Res Intercept]]*Inventory[[#This Row],[Res Adj ]],-2)</f>
        <v>276700</v>
      </c>
      <c r="BO1090" s="25">
        <f>ROUND(Inventory[[#This Row],[25Det]]*Inventory[[#This Row],[Det/Nbhd Adj]],-2)</f>
        <v>0</v>
      </c>
      <c r="BP1090" s="25">
        <f>Inventory[[#This Row],[Adjusted Res]]+Inventory[[#This Row],[Adj Det ]]</f>
        <v>276700</v>
      </c>
      <c r="BQ1090" s="25">
        <f>ROUND((Inventory[[#This Row],[Mdl Land Intercept]]+Inventory[[#This Row],[Mdl LnAcres]])*Inventory[[#This Row],[Det/Nbhd Adj]],-2)</f>
        <v>33800</v>
      </c>
      <c r="BR1090" s="25">
        <f>Inventory[[#This Row],[Adjusted Impr Total]]+Inventory[[#This Row],[Adjusted Land Total]]</f>
        <v>310500</v>
      </c>
      <c r="BS1090" s="36">
        <f>IFERROR((Inventory[[#This Row],[Adjusted Impr Total]]-Inventory[[#This Row],[24Bldg]])/Inventory[[#This Row],[24Bldg]],0)</f>
        <v>0.17444821731748728</v>
      </c>
      <c r="BT1090" s="36">
        <f>(Inventory[[#This Row],[Adjusted Land Total]]-Inventory[[#This Row],[24Lnd]])/Inventory[[#This Row],[24Lnd]]</f>
        <v>-0.38208409506398539</v>
      </c>
      <c r="BU1090" s="36">
        <f>(Inventory[[#This Row],[Adjusted Total]]-Inventory[[#This Row],[24Final]])/Inventory[[#This Row],[24Final]]</f>
        <v>6.9583189803651399E-2</v>
      </c>
    </row>
    <row r="1091" spans="1:73" x14ac:dyDescent="0.3">
      <c r="A1091" s="25">
        <v>2025</v>
      </c>
      <c r="B1091" s="26" t="s">
        <v>1551</v>
      </c>
      <c r="C1091" s="26">
        <f>LN(Inventory[[#This Row],[Acres]])</f>
        <v>-1.6094379124341003</v>
      </c>
      <c r="D1091" s="25">
        <v>0.2</v>
      </c>
      <c r="E1091" s="32">
        <v>8680</v>
      </c>
      <c r="F1091" s="26" t="s">
        <v>537</v>
      </c>
      <c r="G1091" s="26" t="s">
        <v>126</v>
      </c>
      <c r="H1091" s="26" t="s">
        <v>349</v>
      </c>
      <c r="I1091" s="26" t="s">
        <v>538</v>
      </c>
      <c r="J1091" s="26" t="s">
        <v>539</v>
      </c>
      <c r="K1091" s="26" t="s">
        <v>242</v>
      </c>
      <c r="L1091" s="26" t="s">
        <v>351</v>
      </c>
      <c r="M1091" s="26" t="s">
        <v>323</v>
      </c>
      <c r="N1091" s="26">
        <v>80</v>
      </c>
      <c r="O1091" s="26">
        <f>2024-Inventory[[#This Row],[YrBlt]]</f>
        <v>79</v>
      </c>
      <c r="P1091" s="26">
        <f>2024-Inventory[[#This Row],[EffYr]]</f>
        <v>52</v>
      </c>
      <c r="Q1091" s="25">
        <v>1945</v>
      </c>
      <c r="R1091" s="25">
        <v>1972</v>
      </c>
      <c r="S1091" s="25">
        <v>1196</v>
      </c>
      <c r="T1091" s="27"/>
      <c r="U1091" s="32">
        <v>1196</v>
      </c>
      <c r="V1091" s="32">
        <f>Inventory[[#This Row],[Bsmt]]-Inventory[[#This Row],[FnBsmt]]</f>
        <v>585</v>
      </c>
      <c r="W1091" s="32">
        <v>611</v>
      </c>
      <c r="X1091" s="27"/>
      <c r="Y1091" s="27">
        <f>Inventory[[#This Row],[MainFn]]+Inventory[[#This Row],[UpprFn]]+Inventory[[#This Row],[FnBsmt]]+Inventory[[#This Row],[AddFn]]</f>
        <v>1807</v>
      </c>
      <c r="Z1091" s="27">
        <v>2000</v>
      </c>
      <c r="AA1091" s="25">
        <v>9</v>
      </c>
      <c r="AB1091" s="31"/>
      <c r="AC1091" s="27"/>
      <c r="AD1091" s="32">
        <v>240</v>
      </c>
      <c r="AE1091" s="27"/>
      <c r="AF1091" s="27"/>
      <c r="AG1091" s="27"/>
      <c r="AH1091" s="27"/>
      <c r="AI1091" s="25">
        <v>278594</v>
      </c>
      <c r="AJ1091" s="25">
        <v>189444</v>
      </c>
      <c r="AK1091" s="25">
        <v>6957</v>
      </c>
      <c r="AL1091" s="25">
        <v>327300</v>
      </c>
      <c r="AM1091" s="25">
        <v>58400</v>
      </c>
      <c r="AN1091" s="25">
        <v>268900</v>
      </c>
      <c r="AO1091" s="25">
        <v>0</v>
      </c>
      <c r="AP1091" s="25">
        <f>Lookups!$B$56*0</f>
        <v>0</v>
      </c>
      <c r="AQ1091" s="25">
        <f>Lookups!$B$56*1</f>
        <v>89850.625589999996</v>
      </c>
      <c r="AR1091" s="25">
        <f>Lookups!$B$57*Inventory[[#This Row],[LnAcres]]</f>
        <v>-50946.13867709865</v>
      </c>
      <c r="AS1091" s="25">
        <f>VLOOKUP(Inventory[[#This Row],[Qlty]],Lookups!$A$62:$E$75,2,FALSE)</f>
        <v>21557.329055999999</v>
      </c>
      <c r="AT1091" s="25">
        <f>VLOOKUP(Inventory[[#This Row],[Cnd]],Lookups!$A$76:$E$84,2,FALSE)</f>
        <v>160472.20319</v>
      </c>
      <c r="AU1091" s="25">
        <f>Inventory[[#This Row],[EffAge]]*Lookups!$B$85</f>
        <v>-11598.371226000001</v>
      </c>
      <c r="AV1091" s="25">
        <f>Inventory[[#This Row],[MainFn]]*Lookups!$B$86</f>
        <v>59092.769172892004</v>
      </c>
      <c r="AW1091" s="25">
        <f>Inventory[[#This Row],[UpprFn]]*Lookups!$B$87</f>
        <v>0</v>
      </c>
      <c r="AX1091" s="25">
        <f>Inventory[[#This Row],[AddFn]]*Lookups!$B$88</f>
        <v>0</v>
      </c>
      <c r="AY1091" s="25">
        <f>Inventory[[#This Row],[Bsmt]]*Lookups!$B$89</f>
        <v>34781.946715411999</v>
      </c>
      <c r="AZ1091" s="25">
        <f>Inventory[[#This Row],[Fixtures]]*Lookups!$B$90</f>
        <v>34128.198946800003</v>
      </c>
      <c r="BA1091" s="25">
        <f>Inventory[[#This Row],[WdDeck]]*Lookups!$B$91</f>
        <v>7990.9236662400008</v>
      </c>
      <c r="BB1091" s="25">
        <f>ROUND(Inventory[[#This Row],[25Det]],-2)</f>
        <v>7000</v>
      </c>
      <c r="BC1091" s="25">
        <f>ROUND(SUM(Inventory[[#This Row],[Mdl Qlty]:[Mdl WdDeck]])+Inventory[[#This Row],[Mdl Res Intercept]],-2)</f>
        <v>306400</v>
      </c>
      <c r="BD1091" s="25">
        <f>ROUND(Inventory[[#This Row],[Mdl Land Intercept]]+Inventory[[#This Row],[Mdl LnAcres]],-2)</f>
        <v>38900</v>
      </c>
      <c r="BE1091" s="25">
        <f>Inventory[[#This Row],[Unadj Res Value]]+Inventory[[#This Row],[Unadj Det Value]]+Inventory[[#This Row],[Unadj Land Value]]</f>
        <v>352300</v>
      </c>
      <c r="BF1091" s="36">
        <f>(Inventory[[#This Row],[Unadj Total Value]]-Inventory[[#This Row],[24Final]])/Inventory[[#This Row],[24Final]]</f>
        <v>7.6382523678582337E-2</v>
      </c>
      <c r="BG1091" s="25">
        <f>VLOOKUP(Inventory[[#This Row],[Nbhd]],Lookups!$Q$2:$T$4,4,FALSE)</f>
        <v>0.99970000000000003</v>
      </c>
      <c r="BH1091" s="25">
        <f>VLOOKUP(Inventory[[#This Row],[Qlty]],Lookups!$O$7:$R$21,4,FALSE)</f>
        <v>1.0067999999999999</v>
      </c>
      <c r="BI1091" s="25">
        <f>VLOOKUP(Inventory[[#This Row],[Cnd]],Lookups!$T$7:$W$16,4,FALSE)</f>
        <v>0.99729999999999996</v>
      </c>
      <c r="BJ1091" s="25">
        <f>VLOOKUP(Inventory[[#This Row],[LivArea Range]],Lookups!$T$25:$W$37,4,FALSE)</f>
        <v>1.0093000000000001</v>
      </c>
      <c r="BK1091" s="25">
        <f>VLOOKUP(Inventory[[#This Row],[Decade]],Lookups!$O$25:$R$42,4,FALSE)</f>
        <v>0.995</v>
      </c>
      <c r="BL1091" s="25">
        <f>Inventory[[#This Row],[Nbhd Adj]]*0.95</f>
        <v>0.94971499999999998</v>
      </c>
      <c r="BM1091" s="25">
        <f>Inventory[[#This Row],[Nbhd Adj]]*Inventory[[#This Row],[Quality Adj]]*Inventory[[#This Row],[Condition Adj]]*Inventory[[#This Row],[Living Area Adj]]*Inventory[[#This Row],[Decade Adj]]*0.95</f>
        <v>0.957647495730095</v>
      </c>
      <c r="BN1091" s="25">
        <f>ROUND(SUM(Inventory[[#This Row],[Mdl Qlty]:[Mdl WdDeck]])+Inventory[[#This Row],[Mdl Res Intercept]]*Inventory[[#This Row],[Res Adj ]],-2)</f>
        <v>306400</v>
      </c>
      <c r="BO1091" s="25">
        <f>ROUND(Inventory[[#This Row],[25Det]]*Inventory[[#This Row],[Det/Nbhd Adj]],-2)</f>
        <v>6600</v>
      </c>
      <c r="BP1091" s="25">
        <f>Inventory[[#This Row],[Adjusted Res]]+Inventory[[#This Row],[Adj Det ]]</f>
        <v>313000</v>
      </c>
      <c r="BQ1091" s="25">
        <f>ROUND((Inventory[[#This Row],[Mdl Land Intercept]]+Inventory[[#This Row],[Mdl LnAcres]])*Inventory[[#This Row],[Det/Nbhd Adj]],-2)</f>
        <v>36900</v>
      </c>
      <c r="BR1091" s="25">
        <f>Inventory[[#This Row],[Adjusted Impr Total]]+Inventory[[#This Row],[Adjusted Land Total]]</f>
        <v>349900</v>
      </c>
      <c r="BS1091" s="36">
        <f>IFERROR((Inventory[[#This Row],[Adjusted Impr Total]]-Inventory[[#This Row],[24Bldg]])/Inventory[[#This Row],[24Bldg]],0)</f>
        <v>0.1640014875418371</v>
      </c>
      <c r="BT1091" s="36">
        <f>(Inventory[[#This Row],[Adjusted Land Total]]-Inventory[[#This Row],[24Lnd]])/Inventory[[#This Row],[24Lnd]]</f>
        <v>-0.36815068493150682</v>
      </c>
      <c r="BU1091" s="36">
        <f>(Inventory[[#This Row],[Adjusted Total]]-Inventory[[#This Row],[24Final]])/Inventory[[#This Row],[24Final]]</f>
        <v>6.9049801405438441E-2</v>
      </c>
    </row>
    <row r="1092" spans="1:73" x14ac:dyDescent="0.3">
      <c r="A1092" s="25">
        <v>2025</v>
      </c>
      <c r="B1092" s="26" t="s">
        <v>2905</v>
      </c>
      <c r="C1092" s="26">
        <f>LN(Inventory[[#This Row],[Acres]])</f>
        <v>-1.2039728043259361</v>
      </c>
      <c r="D1092" s="25">
        <v>0.3</v>
      </c>
      <c r="E1092" s="32">
        <v>12973</v>
      </c>
      <c r="F1092" s="26" t="s">
        <v>537</v>
      </c>
      <c r="G1092" s="26" t="s">
        <v>126</v>
      </c>
      <c r="H1092" s="26" t="s">
        <v>349</v>
      </c>
      <c r="I1092" s="26" t="s">
        <v>538</v>
      </c>
      <c r="J1092" s="26" t="s">
        <v>539</v>
      </c>
      <c r="K1092" s="26" t="s">
        <v>269</v>
      </c>
      <c r="L1092" s="26" t="s">
        <v>148</v>
      </c>
      <c r="M1092" s="26" t="s">
        <v>303</v>
      </c>
      <c r="N1092" s="26">
        <v>80</v>
      </c>
      <c r="O1092" s="26">
        <f>2024-Inventory[[#This Row],[YrBlt]]</f>
        <v>79</v>
      </c>
      <c r="P1092" s="26">
        <f>2024-Inventory[[#This Row],[EffYr]]</f>
        <v>52</v>
      </c>
      <c r="Q1092" s="25">
        <v>1945</v>
      </c>
      <c r="R1092" s="25">
        <v>1972</v>
      </c>
      <c r="S1092" s="25">
        <v>2129</v>
      </c>
      <c r="T1092" s="27"/>
      <c r="U1092" s="25">
        <v>152</v>
      </c>
      <c r="V1092" s="32">
        <f>Inventory[[#This Row],[Bsmt]]-Inventory[[#This Row],[FnBsmt]]</f>
        <v>152</v>
      </c>
      <c r="W1092" s="27"/>
      <c r="X1092" s="27"/>
      <c r="Y1092" s="27">
        <f>Inventory[[#This Row],[MainFn]]+Inventory[[#This Row],[UpprFn]]+Inventory[[#This Row],[FnBsmt]]+Inventory[[#This Row],[AddFn]]</f>
        <v>2129</v>
      </c>
      <c r="Z1092" s="27">
        <v>2500</v>
      </c>
      <c r="AA1092" s="25">
        <v>7</v>
      </c>
      <c r="AB1092" s="27"/>
      <c r="AC1092" s="32">
        <v>418</v>
      </c>
      <c r="AD1092" s="25">
        <v>57</v>
      </c>
      <c r="AE1092" s="27"/>
      <c r="AF1092" s="27"/>
      <c r="AG1092" s="27"/>
      <c r="AH1092" s="27"/>
      <c r="AI1092" s="25">
        <v>519892</v>
      </c>
      <c r="AJ1092" s="25">
        <v>363924</v>
      </c>
      <c r="AK1092" s="25">
        <v>26836</v>
      </c>
      <c r="AL1092" s="25">
        <v>414400</v>
      </c>
      <c r="AM1092" s="25">
        <v>72500</v>
      </c>
      <c r="AN1092" s="25">
        <v>341900</v>
      </c>
      <c r="AO1092" s="25">
        <v>0</v>
      </c>
      <c r="AP1092" s="25">
        <f>Lookups!$B$56*0</f>
        <v>0</v>
      </c>
      <c r="AQ1092" s="25">
        <f>Lookups!$B$56*1</f>
        <v>89850.625589999996</v>
      </c>
      <c r="AR1092" s="25">
        <f>Lookups!$B$57*Inventory[[#This Row],[LnAcres]]</f>
        <v>-38111.29648355169</v>
      </c>
      <c r="AS1092" s="25">
        <f>VLOOKUP(Inventory[[#This Row],[Qlty]],Lookups!$A$62:$E$75,2,FALSE)</f>
        <v>44121.038090000002</v>
      </c>
      <c r="AT1092" s="25">
        <f>VLOOKUP(Inventory[[#This Row],[Cnd]],Lookups!$A$76:$E$84,2,FALSE)</f>
        <v>197752.34721000001</v>
      </c>
      <c r="AU1092" s="25">
        <f>Inventory[[#This Row],[EffAge]]*Lookups!$B$85</f>
        <v>-11598.371226000001</v>
      </c>
      <c r="AV1092" s="25">
        <f>Inventory[[#This Row],[MainFn]]*Lookups!$B$86</f>
        <v>105191.05816813301</v>
      </c>
      <c r="AW1092" s="25">
        <f>Inventory[[#This Row],[UpprFn]]*Lookups!$B$87</f>
        <v>0</v>
      </c>
      <c r="AX1092" s="25">
        <f>Inventory[[#This Row],[AddFn]]*Lookups!$B$88</f>
        <v>0</v>
      </c>
      <c r="AY1092" s="25">
        <f>Inventory[[#This Row],[Bsmt]]*Lookups!$B$89</f>
        <v>4420.4480775439997</v>
      </c>
      <c r="AZ1092" s="25">
        <f>Inventory[[#This Row],[Fixtures]]*Lookups!$B$90</f>
        <v>26544.1547364</v>
      </c>
      <c r="BA1092" s="25">
        <f>Inventory[[#This Row],[WdDeck]]*Lookups!$B$91</f>
        <v>1897.8443707320002</v>
      </c>
      <c r="BB1092" s="25">
        <f>ROUND(Inventory[[#This Row],[25Det]],-2)</f>
        <v>26800</v>
      </c>
      <c r="BC1092" s="25">
        <f>ROUND(SUM(Inventory[[#This Row],[Mdl Qlty]:[Mdl WdDeck]])+Inventory[[#This Row],[Mdl Res Intercept]],-2)</f>
        <v>368300</v>
      </c>
      <c r="BD1092" s="25">
        <f>ROUND(Inventory[[#This Row],[Mdl Land Intercept]]+Inventory[[#This Row],[Mdl LnAcres]],-2)</f>
        <v>51700</v>
      </c>
      <c r="BE1092" s="25">
        <f>Inventory[[#This Row],[Unadj Res Value]]+Inventory[[#This Row],[Unadj Det Value]]+Inventory[[#This Row],[Unadj Land Value]]</f>
        <v>446800</v>
      </c>
      <c r="BF1092" s="36">
        <f>(Inventory[[#This Row],[Unadj Total Value]]-Inventory[[#This Row],[24Final]])/Inventory[[#This Row],[24Final]]</f>
        <v>7.8185328185328182E-2</v>
      </c>
      <c r="BG1092" s="25">
        <f>VLOOKUP(Inventory[[#This Row],[Nbhd]],Lookups!$Q$2:$T$4,4,FALSE)</f>
        <v>0.99970000000000003</v>
      </c>
      <c r="BH1092" s="25">
        <f>VLOOKUP(Inventory[[#This Row],[Qlty]],Lookups!$O$7:$R$21,4,FALSE)</f>
        <v>0.98050000000000004</v>
      </c>
      <c r="BI1092" s="25">
        <f>VLOOKUP(Inventory[[#This Row],[Cnd]],Lookups!$T$7:$W$16,4,FALSE)</f>
        <v>0.99650000000000005</v>
      </c>
      <c r="BJ1092" s="25">
        <f>VLOOKUP(Inventory[[#This Row],[LivArea Range]],Lookups!$T$25:$W$37,4,FALSE)</f>
        <v>0.98919999999999997</v>
      </c>
      <c r="BK1092" s="25">
        <f>VLOOKUP(Inventory[[#This Row],[Decade]],Lookups!$O$25:$R$42,4,FALSE)</f>
        <v>0.995</v>
      </c>
      <c r="BL1092" s="25">
        <f>Inventory[[#This Row],[Nbhd Adj]]*0.95</f>
        <v>0.94971499999999998</v>
      </c>
      <c r="BM1092" s="25">
        <f>Inventory[[#This Row],[Nbhd Adj]]*Inventory[[#This Row],[Quality Adj]]*Inventory[[#This Row],[Condition Adj]]*Inventory[[#This Row],[Living Area Adj]]*Inventory[[#This Row],[Decade Adj]]*0.95</f>
        <v>0.91332508691872449</v>
      </c>
      <c r="BN1092" s="25">
        <f>ROUND(SUM(Inventory[[#This Row],[Mdl Qlty]:[Mdl WdDeck]])+Inventory[[#This Row],[Mdl Res Intercept]]*Inventory[[#This Row],[Res Adj ]],-2)</f>
        <v>368300</v>
      </c>
      <c r="BO1092" s="25">
        <f>ROUND(Inventory[[#This Row],[25Det]]*Inventory[[#This Row],[Det/Nbhd Adj]],-2)</f>
        <v>25500</v>
      </c>
      <c r="BP1092" s="25">
        <f>Inventory[[#This Row],[Adjusted Res]]+Inventory[[#This Row],[Adj Det ]]</f>
        <v>393800</v>
      </c>
      <c r="BQ1092" s="25">
        <f>ROUND((Inventory[[#This Row],[Mdl Land Intercept]]+Inventory[[#This Row],[Mdl LnAcres]])*Inventory[[#This Row],[Det/Nbhd Adj]],-2)</f>
        <v>49100</v>
      </c>
      <c r="BR1092" s="25">
        <f>Inventory[[#This Row],[Adjusted Impr Total]]+Inventory[[#This Row],[Adjusted Land Total]]</f>
        <v>442900</v>
      </c>
      <c r="BS1092" s="36">
        <f>IFERROR((Inventory[[#This Row],[Adjusted Impr Total]]-Inventory[[#This Row],[24Bldg]])/Inventory[[#This Row],[24Bldg]],0)</f>
        <v>0.15179877157063468</v>
      </c>
      <c r="BT1092" s="36">
        <f>(Inventory[[#This Row],[Adjusted Land Total]]-Inventory[[#This Row],[24Lnd]])/Inventory[[#This Row],[24Lnd]]</f>
        <v>-0.32275862068965516</v>
      </c>
      <c r="BU1092" s="36">
        <f>(Inventory[[#This Row],[Adjusted Total]]-Inventory[[#This Row],[24Final]])/Inventory[[#This Row],[24Final]]</f>
        <v>6.8774131274131275E-2</v>
      </c>
    </row>
    <row r="1093" spans="1:73" x14ac:dyDescent="0.3">
      <c r="A1093" s="25">
        <v>2025</v>
      </c>
      <c r="B1093" s="26" t="s">
        <v>2406</v>
      </c>
      <c r="C1093" s="26">
        <f>LN(Inventory[[#This Row],[Acres]])</f>
        <v>-1.5606477482646683</v>
      </c>
      <c r="D1093" s="25">
        <v>0.21</v>
      </c>
      <c r="E1093" s="27"/>
      <c r="F1093" s="26" t="s">
        <v>537</v>
      </c>
      <c r="G1093" s="26" t="s">
        <v>126</v>
      </c>
      <c r="H1093" s="26" t="s">
        <v>349</v>
      </c>
      <c r="I1093" s="26" t="s">
        <v>538</v>
      </c>
      <c r="J1093" s="26" t="s">
        <v>539</v>
      </c>
      <c r="K1093" s="26" t="s">
        <v>242</v>
      </c>
      <c r="L1093" s="26" t="s">
        <v>351</v>
      </c>
      <c r="M1093" s="26" t="s">
        <v>303</v>
      </c>
      <c r="N1093" s="26">
        <v>80</v>
      </c>
      <c r="O1093" s="26">
        <f>2024-Inventory[[#This Row],[YrBlt]]</f>
        <v>79</v>
      </c>
      <c r="P1093" s="26">
        <f>2024-Inventory[[#This Row],[EffYr]]</f>
        <v>52</v>
      </c>
      <c r="Q1093" s="25">
        <v>1945</v>
      </c>
      <c r="R1093" s="25">
        <v>1972</v>
      </c>
      <c r="S1093" s="25">
        <v>1420</v>
      </c>
      <c r="T1093" s="27"/>
      <c r="U1093" s="32">
        <v>682</v>
      </c>
      <c r="V1093" s="32">
        <f>Inventory[[#This Row],[Bsmt]]-Inventory[[#This Row],[FnBsmt]]</f>
        <v>0</v>
      </c>
      <c r="W1093" s="32">
        <v>682</v>
      </c>
      <c r="X1093" s="27"/>
      <c r="Y1093" s="27">
        <f>Inventory[[#This Row],[MainFn]]+Inventory[[#This Row],[UpprFn]]+Inventory[[#This Row],[FnBsmt]]+Inventory[[#This Row],[AddFn]]</f>
        <v>2102</v>
      </c>
      <c r="Z1093" s="27">
        <v>2500</v>
      </c>
      <c r="AA1093" s="25">
        <v>8</v>
      </c>
      <c r="AB1093" s="27"/>
      <c r="AC1093" s="27"/>
      <c r="AD1093" s="25">
        <v>84</v>
      </c>
      <c r="AE1093" s="27"/>
      <c r="AF1093" s="27"/>
      <c r="AG1093" s="27"/>
      <c r="AH1093" s="27"/>
      <c r="AI1093" s="25">
        <v>287494</v>
      </c>
      <c r="AJ1093" s="25">
        <v>201246</v>
      </c>
      <c r="AK1093" s="25">
        <v>10334</v>
      </c>
      <c r="AL1093" s="25">
        <v>355000</v>
      </c>
      <c r="AM1093" s="25">
        <v>60100</v>
      </c>
      <c r="AN1093" s="25">
        <v>294900</v>
      </c>
      <c r="AO1093" s="25">
        <v>0</v>
      </c>
      <c r="AP1093" s="25">
        <f>Lookups!$B$56*0</f>
        <v>0</v>
      </c>
      <c r="AQ1093" s="25">
        <f>Lookups!$B$56*1</f>
        <v>89850.625589999996</v>
      </c>
      <c r="AR1093" s="25">
        <f>Lookups!$B$57*Inventory[[#This Row],[LnAcres]]</f>
        <v>-49401.70477837498</v>
      </c>
      <c r="AS1093" s="25">
        <f>VLOOKUP(Inventory[[#This Row],[Qlty]],Lookups!$A$62:$E$75,2,FALSE)</f>
        <v>21557.329055999999</v>
      </c>
      <c r="AT1093" s="25">
        <f>VLOOKUP(Inventory[[#This Row],[Cnd]],Lookups!$A$76:$E$84,2,FALSE)</f>
        <v>197752.34721000001</v>
      </c>
      <c r="AU1093" s="25">
        <f>Inventory[[#This Row],[EffAge]]*Lookups!$B$85</f>
        <v>-11598.371226000001</v>
      </c>
      <c r="AV1093" s="25">
        <f>Inventory[[#This Row],[MainFn]]*Lookups!$B$86</f>
        <v>70160.311225340003</v>
      </c>
      <c r="AW1093" s="25">
        <f>Inventory[[#This Row],[UpprFn]]*Lookups!$B$87</f>
        <v>0</v>
      </c>
      <c r="AX1093" s="25">
        <f>Inventory[[#This Row],[AddFn]]*Lookups!$B$88</f>
        <v>0</v>
      </c>
      <c r="AY1093" s="25">
        <f>Inventory[[#This Row],[Bsmt]]*Lookups!$B$89</f>
        <v>19833.852558454</v>
      </c>
      <c r="AZ1093" s="25">
        <f>Inventory[[#This Row],[Fixtures]]*Lookups!$B$90</f>
        <v>30336.176841600001</v>
      </c>
      <c r="BA1093" s="25">
        <f>Inventory[[#This Row],[WdDeck]]*Lookups!$B$91</f>
        <v>2796.8232831840005</v>
      </c>
      <c r="BB1093" s="25">
        <f>ROUND(Inventory[[#This Row],[25Det]],-2)</f>
        <v>10300</v>
      </c>
      <c r="BC1093" s="25">
        <f>ROUND(SUM(Inventory[[#This Row],[Mdl Qlty]:[Mdl WdDeck]])+Inventory[[#This Row],[Mdl Res Intercept]],-2)</f>
        <v>330800</v>
      </c>
      <c r="BD1093" s="25">
        <f>ROUND(Inventory[[#This Row],[Mdl Land Intercept]]+Inventory[[#This Row],[Mdl LnAcres]],-2)</f>
        <v>40400</v>
      </c>
      <c r="BE1093" s="25">
        <f>Inventory[[#This Row],[Unadj Res Value]]+Inventory[[#This Row],[Unadj Det Value]]+Inventory[[#This Row],[Unadj Land Value]]</f>
        <v>381500</v>
      </c>
      <c r="BF1093" s="36">
        <f>(Inventory[[#This Row],[Unadj Total Value]]-Inventory[[#This Row],[24Final]])/Inventory[[#This Row],[24Final]]</f>
        <v>7.464788732394366E-2</v>
      </c>
      <c r="BG1093" s="25">
        <f>VLOOKUP(Inventory[[#This Row],[Nbhd]],Lookups!$Q$2:$T$4,4,FALSE)</f>
        <v>0.99970000000000003</v>
      </c>
      <c r="BH1093" s="25">
        <f>VLOOKUP(Inventory[[#This Row],[Qlty]],Lookups!$O$7:$R$21,4,FALSE)</f>
        <v>1.0067999999999999</v>
      </c>
      <c r="BI1093" s="25">
        <f>VLOOKUP(Inventory[[#This Row],[Cnd]],Lookups!$T$7:$W$16,4,FALSE)</f>
        <v>0.99650000000000005</v>
      </c>
      <c r="BJ1093" s="25">
        <f>VLOOKUP(Inventory[[#This Row],[LivArea Range]],Lookups!$T$25:$W$37,4,FALSE)</f>
        <v>0.98919999999999997</v>
      </c>
      <c r="BK1093" s="25">
        <f>VLOOKUP(Inventory[[#This Row],[Decade]],Lookups!$O$25:$R$42,4,FALSE)</f>
        <v>0.995</v>
      </c>
      <c r="BL1093" s="25">
        <f>Inventory[[#This Row],[Nbhd Adj]]*0.95</f>
        <v>0.94971499999999998</v>
      </c>
      <c r="BM1093" s="25">
        <f>Inventory[[#This Row],[Nbhd Adj]]*Inventory[[#This Row],[Quality Adj]]*Inventory[[#This Row],[Condition Adj]]*Inventory[[#This Row],[Living Area Adj]]*Inventory[[#This Row],[Decade Adj]]*0.95</f>
        <v>0.93782325090236773</v>
      </c>
      <c r="BN1093" s="25">
        <f>ROUND(SUM(Inventory[[#This Row],[Mdl Qlty]:[Mdl WdDeck]])+Inventory[[#This Row],[Mdl Res Intercept]]*Inventory[[#This Row],[Res Adj ]],-2)</f>
        <v>330800</v>
      </c>
      <c r="BO1093" s="25">
        <f>ROUND(Inventory[[#This Row],[25Det]]*Inventory[[#This Row],[Det/Nbhd Adj]],-2)</f>
        <v>9800</v>
      </c>
      <c r="BP1093" s="25">
        <f>Inventory[[#This Row],[Adjusted Res]]+Inventory[[#This Row],[Adj Det ]]</f>
        <v>340600</v>
      </c>
      <c r="BQ1093" s="25">
        <f>ROUND((Inventory[[#This Row],[Mdl Land Intercept]]+Inventory[[#This Row],[Mdl LnAcres]])*Inventory[[#This Row],[Det/Nbhd Adj]],-2)</f>
        <v>38400</v>
      </c>
      <c r="BR1093" s="25">
        <f>Inventory[[#This Row],[Adjusted Impr Total]]+Inventory[[#This Row],[Adjusted Land Total]]</f>
        <v>379000</v>
      </c>
      <c r="BS1093" s="36">
        <f>IFERROR((Inventory[[#This Row],[Adjusted Impr Total]]-Inventory[[#This Row],[24Bldg]])/Inventory[[#This Row],[24Bldg]],0)</f>
        <v>0.15496778569006442</v>
      </c>
      <c r="BT1093" s="36">
        <f>(Inventory[[#This Row],[Adjusted Land Total]]-Inventory[[#This Row],[24Lnd]])/Inventory[[#This Row],[24Lnd]]</f>
        <v>-0.36106489184692181</v>
      </c>
      <c r="BU1093" s="36">
        <f>(Inventory[[#This Row],[Adjusted Total]]-Inventory[[#This Row],[24Final]])/Inventory[[#This Row],[24Final]]</f>
        <v>6.7605633802816895E-2</v>
      </c>
    </row>
    <row r="1094" spans="1:73" x14ac:dyDescent="0.3">
      <c r="A1094" s="25">
        <v>2025</v>
      </c>
      <c r="B1094" s="26" t="s">
        <v>1862</v>
      </c>
      <c r="C1094" s="26">
        <f>LN(Inventory[[#This Row],[Acres]])</f>
        <v>-1.4696759700589417</v>
      </c>
      <c r="D1094" s="25">
        <v>0.23</v>
      </c>
      <c r="E1094" s="27"/>
      <c r="F1094" s="26" t="s">
        <v>537</v>
      </c>
      <c r="G1094" s="26" t="s">
        <v>126</v>
      </c>
      <c r="H1094" s="26" t="s">
        <v>349</v>
      </c>
      <c r="I1094" s="26" t="s">
        <v>538</v>
      </c>
      <c r="J1094" s="26" t="s">
        <v>539</v>
      </c>
      <c r="K1094" s="26" t="s">
        <v>242</v>
      </c>
      <c r="L1094" s="26" t="s">
        <v>351</v>
      </c>
      <c r="M1094" s="26" t="s">
        <v>323</v>
      </c>
      <c r="N1094" s="26">
        <v>80</v>
      </c>
      <c r="O1094" s="26">
        <f>2024-Inventory[[#This Row],[YrBlt]]</f>
        <v>79</v>
      </c>
      <c r="P1094" s="26">
        <f>2024-Inventory[[#This Row],[EffYr]]</f>
        <v>52</v>
      </c>
      <c r="Q1094" s="25">
        <v>1945</v>
      </c>
      <c r="R1094" s="25">
        <v>1972</v>
      </c>
      <c r="S1094" s="25">
        <v>1364</v>
      </c>
      <c r="T1094" s="27"/>
      <c r="U1094" s="32">
        <v>144</v>
      </c>
      <c r="V1094" s="32">
        <f>Inventory[[#This Row],[Bsmt]]-Inventory[[#This Row],[FnBsmt]]</f>
        <v>144</v>
      </c>
      <c r="W1094" s="27"/>
      <c r="X1094" s="27"/>
      <c r="Y1094" s="27">
        <f>Inventory[[#This Row],[MainFn]]+Inventory[[#This Row],[UpprFn]]+Inventory[[#This Row],[FnBsmt]]+Inventory[[#This Row],[AddFn]]</f>
        <v>1364</v>
      </c>
      <c r="Z1094" s="27">
        <v>1500</v>
      </c>
      <c r="AA1094" s="25">
        <v>5</v>
      </c>
      <c r="AB1094" s="31"/>
      <c r="AC1094" s="27"/>
      <c r="AD1094" s="32">
        <v>384</v>
      </c>
      <c r="AE1094" s="27"/>
      <c r="AF1094" s="27"/>
      <c r="AG1094" s="27"/>
      <c r="AH1094" s="27"/>
      <c r="AI1094" s="25">
        <v>247126</v>
      </c>
      <c r="AJ1094" s="25">
        <v>168046</v>
      </c>
      <c r="AK1094" s="25">
        <v>10379</v>
      </c>
      <c r="AL1094" s="25">
        <v>304300</v>
      </c>
      <c r="AM1094" s="25">
        <v>63300</v>
      </c>
      <c r="AN1094" s="25">
        <v>241000</v>
      </c>
      <c r="AO1094" s="25">
        <v>0</v>
      </c>
      <c r="AP1094" s="25">
        <f>Lookups!$B$56*0</f>
        <v>0</v>
      </c>
      <c r="AQ1094" s="25">
        <f>Lookups!$B$56*1</f>
        <v>89850.625589999996</v>
      </c>
      <c r="AR1094" s="25">
        <f>Lookups!$B$57*Inventory[[#This Row],[LnAcres]]</f>
        <v>-46522.028095997222</v>
      </c>
      <c r="AS1094" s="25">
        <f>VLOOKUP(Inventory[[#This Row],[Qlty]],Lookups!$A$62:$E$75,2,FALSE)</f>
        <v>21557.329055999999</v>
      </c>
      <c r="AT1094" s="25">
        <f>VLOOKUP(Inventory[[#This Row],[Cnd]],Lookups!$A$76:$E$84,2,FALSE)</f>
        <v>160472.20319</v>
      </c>
      <c r="AU1094" s="25">
        <f>Inventory[[#This Row],[EffAge]]*Lookups!$B$85</f>
        <v>-11598.371226000001</v>
      </c>
      <c r="AV1094" s="25">
        <f>Inventory[[#This Row],[MainFn]]*Lookups!$B$86</f>
        <v>67393.425712227996</v>
      </c>
      <c r="AW1094" s="25">
        <f>Inventory[[#This Row],[UpprFn]]*Lookups!$B$87</f>
        <v>0</v>
      </c>
      <c r="AX1094" s="25">
        <f>Inventory[[#This Row],[AddFn]]*Lookups!$B$88</f>
        <v>0</v>
      </c>
      <c r="AY1094" s="25">
        <f>Inventory[[#This Row],[Bsmt]]*Lookups!$B$89</f>
        <v>4187.7929155679994</v>
      </c>
      <c r="AZ1094" s="25">
        <f>Inventory[[#This Row],[Fixtures]]*Lookups!$B$90</f>
        <v>18960.110526</v>
      </c>
      <c r="BA1094" s="25">
        <f>Inventory[[#This Row],[WdDeck]]*Lookups!$B$91</f>
        <v>12785.477865984001</v>
      </c>
      <c r="BB1094" s="25">
        <f>ROUND(Inventory[[#This Row],[25Det]],-2)</f>
        <v>10400</v>
      </c>
      <c r="BC1094" s="25">
        <f>ROUND(SUM(Inventory[[#This Row],[Mdl Qlty]:[Mdl WdDeck]])+Inventory[[#This Row],[Mdl Res Intercept]],-2)</f>
        <v>273800</v>
      </c>
      <c r="BD1094" s="25">
        <f>ROUND(Inventory[[#This Row],[Mdl Land Intercept]]+Inventory[[#This Row],[Mdl LnAcres]],-2)</f>
        <v>43300</v>
      </c>
      <c r="BE1094" s="25">
        <f>Inventory[[#This Row],[Unadj Res Value]]+Inventory[[#This Row],[Unadj Det Value]]+Inventory[[#This Row],[Unadj Land Value]]</f>
        <v>327500</v>
      </c>
      <c r="BF1094" s="36">
        <f>(Inventory[[#This Row],[Unadj Total Value]]-Inventory[[#This Row],[24Final]])/Inventory[[#This Row],[24Final]]</f>
        <v>7.6240552086756494E-2</v>
      </c>
      <c r="BG1094" s="25">
        <f>VLOOKUP(Inventory[[#This Row],[Nbhd]],Lookups!$Q$2:$T$4,4,FALSE)</f>
        <v>0.99970000000000003</v>
      </c>
      <c r="BH1094" s="25">
        <f>VLOOKUP(Inventory[[#This Row],[Qlty]],Lookups!$O$7:$R$21,4,FALSE)</f>
        <v>1.0067999999999999</v>
      </c>
      <c r="BI1094" s="25">
        <f>VLOOKUP(Inventory[[#This Row],[Cnd]],Lookups!$T$7:$W$16,4,FALSE)</f>
        <v>0.99729999999999996</v>
      </c>
      <c r="BJ1094" s="25">
        <f>VLOOKUP(Inventory[[#This Row],[LivArea Range]],Lookups!$T$25:$W$37,4,FALSE)</f>
        <v>1.0157</v>
      </c>
      <c r="BK1094" s="25">
        <f>VLOOKUP(Inventory[[#This Row],[Decade]],Lookups!$O$25:$R$42,4,FALSE)</f>
        <v>0.995</v>
      </c>
      <c r="BL1094" s="25">
        <f>Inventory[[#This Row],[Nbhd Adj]]*0.95</f>
        <v>0.94971499999999998</v>
      </c>
      <c r="BM1094" s="25">
        <f>Inventory[[#This Row],[Nbhd Adj]]*Inventory[[#This Row],[Quality Adj]]*Inventory[[#This Row],[Condition Adj]]*Inventory[[#This Row],[Living Area Adj]]*Inventory[[#This Row],[Decade Adj]]*0.95</f>
        <v>0.96371996573175212</v>
      </c>
      <c r="BN1094" s="25">
        <f>ROUND(SUM(Inventory[[#This Row],[Mdl Qlty]:[Mdl WdDeck]])+Inventory[[#This Row],[Mdl Res Intercept]]*Inventory[[#This Row],[Res Adj ]],-2)</f>
        <v>273800</v>
      </c>
      <c r="BO1094" s="25">
        <f>ROUND(Inventory[[#This Row],[25Det]]*Inventory[[#This Row],[Det/Nbhd Adj]],-2)</f>
        <v>9900</v>
      </c>
      <c r="BP1094" s="25">
        <f>Inventory[[#This Row],[Adjusted Res]]+Inventory[[#This Row],[Adj Det ]]</f>
        <v>283700</v>
      </c>
      <c r="BQ1094" s="25">
        <f>ROUND((Inventory[[#This Row],[Mdl Land Intercept]]+Inventory[[#This Row],[Mdl LnAcres]])*Inventory[[#This Row],[Det/Nbhd Adj]],-2)</f>
        <v>41100</v>
      </c>
      <c r="BR1094" s="25">
        <f>Inventory[[#This Row],[Adjusted Impr Total]]+Inventory[[#This Row],[Adjusted Land Total]]</f>
        <v>324800</v>
      </c>
      <c r="BS1094" s="36">
        <f>IFERROR((Inventory[[#This Row],[Adjusted Impr Total]]-Inventory[[#This Row],[24Bldg]])/Inventory[[#This Row],[24Bldg]],0)</f>
        <v>0.17717842323651453</v>
      </c>
      <c r="BT1094" s="36">
        <f>(Inventory[[#This Row],[Adjusted Land Total]]-Inventory[[#This Row],[24Lnd]])/Inventory[[#This Row],[24Lnd]]</f>
        <v>-0.35071090047393366</v>
      </c>
      <c r="BU1094" s="36">
        <f>(Inventory[[#This Row],[Adjusted Total]]-Inventory[[#This Row],[24Final]])/Inventory[[#This Row],[24Final]]</f>
        <v>6.736772921459086E-2</v>
      </c>
    </row>
    <row r="1095" spans="1:73" x14ac:dyDescent="0.3">
      <c r="A1095" s="25">
        <v>2025</v>
      </c>
      <c r="B1095" s="26" t="s">
        <v>2521</v>
      </c>
      <c r="C1095" s="26">
        <f>LN(Inventory[[#This Row],[Acres]])</f>
        <v>-1.6607312068216509</v>
      </c>
      <c r="D1095" s="25">
        <v>0.19</v>
      </c>
      <c r="E1095" s="27"/>
      <c r="F1095" s="26" t="s">
        <v>537</v>
      </c>
      <c r="G1095" s="26" t="s">
        <v>126</v>
      </c>
      <c r="H1095" s="26" t="s">
        <v>349</v>
      </c>
      <c r="I1095" s="26" t="s">
        <v>538</v>
      </c>
      <c r="J1095" s="26" t="s">
        <v>539</v>
      </c>
      <c r="K1095" s="26" t="s">
        <v>242</v>
      </c>
      <c r="L1095" s="26" t="s">
        <v>351</v>
      </c>
      <c r="M1095" s="26" t="s">
        <v>323</v>
      </c>
      <c r="N1095" s="26">
        <v>80</v>
      </c>
      <c r="O1095" s="26">
        <f>2024-Inventory[[#This Row],[YrBlt]]</f>
        <v>79</v>
      </c>
      <c r="P1095" s="26">
        <f>2024-Inventory[[#This Row],[EffYr]]</f>
        <v>52</v>
      </c>
      <c r="Q1095" s="25">
        <v>1945</v>
      </c>
      <c r="R1095" s="25">
        <v>1972</v>
      </c>
      <c r="S1095" s="25">
        <v>1180</v>
      </c>
      <c r="T1095" s="27"/>
      <c r="U1095" s="25">
        <v>416</v>
      </c>
      <c r="V1095" s="25">
        <f>Inventory[[#This Row],[Bsmt]]-Inventory[[#This Row],[FnBsmt]]</f>
        <v>416</v>
      </c>
      <c r="W1095" s="31"/>
      <c r="X1095" s="27"/>
      <c r="Y1095" s="27">
        <f>Inventory[[#This Row],[MainFn]]+Inventory[[#This Row],[UpprFn]]+Inventory[[#This Row],[FnBsmt]]+Inventory[[#This Row],[AddFn]]</f>
        <v>1180</v>
      </c>
      <c r="Z1095" s="27">
        <v>1500</v>
      </c>
      <c r="AA1095" s="25">
        <v>5</v>
      </c>
      <c r="AB1095" s="27"/>
      <c r="AC1095" s="25">
        <v>294</v>
      </c>
      <c r="AD1095" s="31"/>
      <c r="AE1095" s="27"/>
      <c r="AF1095" s="27"/>
      <c r="AG1095" s="27"/>
      <c r="AH1095" s="27"/>
      <c r="AI1095" s="25">
        <v>225329</v>
      </c>
      <c r="AJ1095" s="25">
        <v>153224</v>
      </c>
      <c r="AK1095" s="25">
        <v>0</v>
      </c>
      <c r="AL1095" s="25">
        <v>276600</v>
      </c>
      <c r="AM1095" s="25">
        <v>56600</v>
      </c>
      <c r="AN1095" s="25">
        <v>220000</v>
      </c>
      <c r="AO1095" s="25">
        <v>0</v>
      </c>
      <c r="AP1095" s="25">
        <f>Lookups!$B$56*0</f>
        <v>0</v>
      </c>
      <c r="AQ1095" s="25">
        <f>Lookups!$B$56*1</f>
        <v>89850.625589999996</v>
      </c>
      <c r="AR1095" s="25">
        <f>Lookups!$B$57*Inventory[[#This Row],[LnAcres]]</f>
        <v>-52569.808201026557</v>
      </c>
      <c r="AS1095" s="25">
        <f>VLOOKUP(Inventory[[#This Row],[Qlty]],Lookups!$A$62:$E$75,2,FALSE)</f>
        <v>21557.329055999999</v>
      </c>
      <c r="AT1095" s="25">
        <f>VLOOKUP(Inventory[[#This Row],[Cnd]],Lookups!$A$76:$E$84,2,FALSE)</f>
        <v>160472.20319</v>
      </c>
      <c r="AU1095" s="25">
        <f>Inventory[[#This Row],[EffAge]]*Lookups!$B$85</f>
        <v>-11598.371226000001</v>
      </c>
      <c r="AV1095" s="25">
        <f>Inventory[[#This Row],[MainFn]]*Lookups!$B$86</f>
        <v>58302.23045486</v>
      </c>
      <c r="AW1095" s="25">
        <f>Inventory[[#This Row],[UpprFn]]*Lookups!$B$87</f>
        <v>0</v>
      </c>
      <c r="AX1095" s="25">
        <f>Inventory[[#This Row],[AddFn]]*Lookups!$B$88</f>
        <v>0</v>
      </c>
      <c r="AY1095" s="25">
        <f>Inventory[[#This Row],[Bsmt]]*Lookups!$B$89</f>
        <v>12098.068422752</v>
      </c>
      <c r="AZ1095" s="25">
        <f>Inventory[[#This Row],[Fixtures]]*Lookups!$B$90</f>
        <v>18960.110526</v>
      </c>
      <c r="BA1095" s="25">
        <f>Inventory[[#This Row],[WdDeck]]*Lookups!$B$91</f>
        <v>0</v>
      </c>
      <c r="BB1095" s="25">
        <f>ROUND(Inventory[[#This Row],[25Det]],-2)</f>
        <v>0</v>
      </c>
      <c r="BC1095" s="25">
        <f>ROUND(SUM(Inventory[[#This Row],[Mdl Qlty]:[Mdl WdDeck]])+Inventory[[#This Row],[Mdl Res Intercept]],-2)</f>
        <v>259800</v>
      </c>
      <c r="BD1095" s="25">
        <f>ROUND(Inventory[[#This Row],[Mdl Land Intercept]]+Inventory[[#This Row],[Mdl LnAcres]],-2)</f>
        <v>37300</v>
      </c>
      <c r="BE1095" s="25">
        <f>Inventory[[#This Row],[Unadj Res Value]]+Inventory[[#This Row],[Unadj Det Value]]+Inventory[[#This Row],[Unadj Land Value]]</f>
        <v>297100</v>
      </c>
      <c r="BF1095" s="36">
        <f>(Inventory[[#This Row],[Unadj Total Value]]-Inventory[[#This Row],[24Final]])/Inventory[[#This Row],[24Final]]</f>
        <v>7.4114244396240064E-2</v>
      </c>
      <c r="BG1095" s="25">
        <f>VLOOKUP(Inventory[[#This Row],[Nbhd]],Lookups!$Q$2:$T$4,4,FALSE)</f>
        <v>0.99970000000000003</v>
      </c>
      <c r="BH1095" s="25">
        <f>VLOOKUP(Inventory[[#This Row],[Qlty]],Lookups!$O$7:$R$21,4,FALSE)</f>
        <v>1.0067999999999999</v>
      </c>
      <c r="BI1095" s="25">
        <f>VLOOKUP(Inventory[[#This Row],[Cnd]],Lookups!$T$7:$W$16,4,FALSE)</f>
        <v>0.99729999999999996</v>
      </c>
      <c r="BJ1095" s="25">
        <f>VLOOKUP(Inventory[[#This Row],[LivArea Range]],Lookups!$T$25:$W$37,4,FALSE)</f>
        <v>1.0157</v>
      </c>
      <c r="BK1095" s="25">
        <f>VLOOKUP(Inventory[[#This Row],[Decade]],Lookups!$O$25:$R$42,4,FALSE)</f>
        <v>0.995</v>
      </c>
      <c r="BL1095" s="25">
        <f>Inventory[[#This Row],[Nbhd Adj]]*0.95</f>
        <v>0.94971499999999998</v>
      </c>
      <c r="BM1095" s="25">
        <f>Inventory[[#This Row],[Nbhd Adj]]*Inventory[[#This Row],[Quality Adj]]*Inventory[[#This Row],[Condition Adj]]*Inventory[[#This Row],[Living Area Adj]]*Inventory[[#This Row],[Decade Adj]]*0.95</f>
        <v>0.96371996573175212</v>
      </c>
      <c r="BN1095" s="25">
        <f>ROUND(SUM(Inventory[[#This Row],[Mdl Qlty]:[Mdl WdDeck]])+Inventory[[#This Row],[Mdl Res Intercept]]*Inventory[[#This Row],[Res Adj ]],-2)</f>
        <v>259800</v>
      </c>
      <c r="BO1095" s="25">
        <f>ROUND(Inventory[[#This Row],[25Det]]*Inventory[[#This Row],[Det/Nbhd Adj]],-2)</f>
        <v>0</v>
      </c>
      <c r="BP1095" s="25">
        <f>Inventory[[#This Row],[Adjusted Res]]+Inventory[[#This Row],[Adj Det ]]</f>
        <v>259800</v>
      </c>
      <c r="BQ1095" s="25">
        <f>ROUND((Inventory[[#This Row],[Mdl Land Intercept]]+Inventory[[#This Row],[Mdl LnAcres]])*Inventory[[#This Row],[Det/Nbhd Adj]],-2)</f>
        <v>35400</v>
      </c>
      <c r="BR1095" s="25">
        <f>Inventory[[#This Row],[Adjusted Impr Total]]+Inventory[[#This Row],[Adjusted Land Total]]</f>
        <v>295200</v>
      </c>
      <c r="BS1095" s="36">
        <f>IFERROR((Inventory[[#This Row],[Adjusted Impr Total]]-Inventory[[#This Row],[24Bldg]])/Inventory[[#This Row],[24Bldg]],0)</f>
        <v>0.18090909090909091</v>
      </c>
      <c r="BT1095" s="36">
        <f>(Inventory[[#This Row],[Adjusted Land Total]]-Inventory[[#This Row],[24Lnd]])/Inventory[[#This Row],[24Lnd]]</f>
        <v>-0.37455830388692579</v>
      </c>
      <c r="BU1095" s="36">
        <f>(Inventory[[#This Row],[Adjusted Total]]-Inventory[[#This Row],[24Final]])/Inventory[[#This Row],[24Final]]</f>
        <v>6.7245119305856832E-2</v>
      </c>
    </row>
    <row r="1096" spans="1:73" x14ac:dyDescent="0.3">
      <c r="A1096" s="25">
        <v>2025</v>
      </c>
      <c r="B1096" s="26" t="s">
        <v>905</v>
      </c>
      <c r="C1096" s="26">
        <f>LN(Inventory[[#This Row],[Acres]])</f>
        <v>-1.6607312068216509</v>
      </c>
      <c r="D1096" s="25">
        <v>0.19</v>
      </c>
      <c r="E1096" s="32">
        <v>8060</v>
      </c>
      <c r="F1096" s="26" t="s">
        <v>537</v>
      </c>
      <c r="G1096" s="26" t="s">
        <v>126</v>
      </c>
      <c r="H1096" s="26" t="s">
        <v>349</v>
      </c>
      <c r="I1096" s="26" t="s">
        <v>538</v>
      </c>
      <c r="J1096" s="26" t="s">
        <v>539</v>
      </c>
      <c r="K1096" s="26" t="s">
        <v>242</v>
      </c>
      <c r="L1096" s="26" t="s">
        <v>351</v>
      </c>
      <c r="M1096" s="26" t="s">
        <v>323</v>
      </c>
      <c r="N1096" s="26">
        <v>80</v>
      </c>
      <c r="O1096" s="26">
        <f>2024-Inventory[[#This Row],[YrBlt]]</f>
        <v>79</v>
      </c>
      <c r="P1096" s="26">
        <f>2024-Inventory[[#This Row],[EffYr]]</f>
        <v>52</v>
      </c>
      <c r="Q1096" s="25">
        <v>1945</v>
      </c>
      <c r="R1096" s="25">
        <v>1972</v>
      </c>
      <c r="S1096" s="25">
        <v>1248</v>
      </c>
      <c r="T1096" s="27"/>
      <c r="U1096" s="27"/>
      <c r="V1096" s="27">
        <f>Inventory[[#This Row],[Bsmt]]-Inventory[[#This Row],[FnBsmt]]</f>
        <v>0</v>
      </c>
      <c r="W1096" s="27"/>
      <c r="X1096" s="27"/>
      <c r="Y1096" s="27">
        <f>Inventory[[#This Row],[MainFn]]+Inventory[[#This Row],[UpprFn]]+Inventory[[#This Row],[FnBsmt]]+Inventory[[#This Row],[AddFn]]</f>
        <v>1248</v>
      </c>
      <c r="Z1096" s="27">
        <v>1500</v>
      </c>
      <c r="AA1096" s="25">
        <v>8</v>
      </c>
      <c r="AB1096" s="31"/>
      <c r="AC1096" s="27"/>
      <c r="AD1096" s="32">
        <v>300</v>
      </c>
      <c r="AE1096" s="27"/>
      <c r="AF1096" s="27"/>
      <c r="AG1096" s="27"/>
      <c r="AH1096" s="27"/>
      <c r="AI1096" s="25">
        <v>227958</v>
      </c>
      <c r="AJ1096" s="25">
        <v>155011</v>
      </c>
      <c r="AK1096" s="25">
        <v>7182</v>
      </c>
      <c r="AL1096" s="25">
        <v>294800</v>
      </c>
      <c r="AM1096" s="25">
        <v>56600</v>
      </c>
      <c r="AN1096" s="25">
        <v>238200</v>
      </c>
      <c r="AO1096" s="25">
        <v>0</v>
      </c>
      <c r="AP1096" s="25">
        <f>Lookups!$B$56*0</f>
        <v>0</v>
      </c>
      <c r="AQ1096" s="25">
        <f>Lookups!$B$56*1</f>
        <v>89850.625589999996</v>
      </c>
      <c r="AR1096" s="25">
        <f>Lookups!$B$57*Inventory[[#This Row],[LnAcres]]</f>
        <v>-52569.808201026557</v>
      </c>
      <c r="AS1096" s="25">
        <f>VLOOKUP(Inventory[[#This Row],[Qlty]],Lookups!$A$62:$E$75,2,FALSE)</f>
        <v>21557.329055999999</v>
      </c>
      <c r="AT1096" s="25">
        <f>VLOOKUP(Inventory[[#This Row],[Cnd]],Lookups!$A$76:$E$84,2,FALSE)</f>
        <v>160472.20319</v>
      </c>
      <c r="AU1096" s="25">
        <f>Inventory[[#This Row],[EffAge]]*Lookups!$B$85</f>
        <v>-11598.371226000001</v>
      </c>
      <c r="AV1096" s="25">
        <f>Inventory[[#This Row],[MainFn]]*Lookups!$B$86</f>
        <v>61662.020006496001</v>
      </c>
      <c r="AW1096" s="25">
        <f>Inventory[[#This Row],[UpprFn]]*Lookups!$B$87</f>
        <v>0</v>
      </c>
      <c r="AX1096" s="25">
        <f>Inventory[[#This Row],[AddFn]]*Lookups!$B$88</f>
        <v>0</v>
      </c>
      <c r="AY1096" s="25">
        <f>Inventory[[#This Row],[Bsmt]]*Lookups!$B$89</f>
        <v>0</v>
      </c>
      <c r="AZ1096" s="25">
        <f>Inventory[[#This Row],[Fixtures]]*Lookups!$B$90</f>
        <v>30336.176841600001</v>
      </c>
      <c r="BA1096" s="25">
        <f>Inventory[[#This Row],[WdDeck]]*Lookups!$B$91</f>
        <v>9988.6545828000017</v>
      </c>
      <c r="BB1096" s="25">
        <f>ROUND(Inventory[[#This Row],[25Det]],-2)</f>
        <v>7200</v>
      </c>
      <c r="BC1096" s="25">
        <f>ROUND(SUM(Inventory[[#This Row],[Mdl Qlty]:[Mdl WdDeck]])+Inventory[[#This Row],[Mdl Res Intercept]],-2)</f>
        <v>272400</v>
      </c>
      <c r="BD1096" s="25">
        <f>ROUND(Inventory[[#This Row],[Mdl Land Intercept]]+Inventory[[#This Row],[Mdl LnAcres]],-2)</f>
        <v>37300</v>
      </c>
      <c r="BE1096" s="25">
        <f>Inventory[[#This Row],[Unadj Res Value]]+Inventory[[#This Row],[Unadj Det Value]]+Inventory[[#This Row],[Unadj Land Value]]</f>
        <v>316900</v>
      </c>
      <c r="BF1096" s="36">
        <f>(Inventory[[#This Row],[Unadj Total Value]]-Inventory[[#This Row],[24Final]])/Inventory[[#This Row],[24Final]]</f>
        <v>7.4966078697421987E-2</v>
      </c>
      <c r="BG1096" s="25">
        <f>VLOOKUP(Inventory[[#This Row],[Nbhd]],Lookups!$Q$2:$T$4,4,FALSE)</f>
        <v>0.99970000000000003</v>
      </c>
      <c r="BH1096" s="25">
        <f>VLOOKUP(Inventory[[#This Row],[Qlty]],Lookups!$O$7:$R$21,4,FALSE)</f>
        <v>1.0067999999999999</v>
      </c>
      <c r="BI1096" s="25">
        <f>VLOOKUP(Inventory[[#This Row],[Cnd]],Lookups!$T$7:$W$16,4,FALSE)</f>
        <v>0.99729999999999996</v>
      </c>
      <c r="BJ1096" s="25">
        <f>VLOOKUP(Inventory[[#This Row],[LivArea Range]],Lookups!$T$25:$W$37,4,FALSE)</f>
        <v>1.0157</v>
      </c>
      <c r="BK1096" s="25">
        <f>VLOOKUP(Inventory[[#This Row],[Decade]],Lookups!$O$25:$R$42,4,FALSE)</f>
        <v>0.995</v>
      </c>
      <c r="BL1096" s="25">
        <f>Inventory[[#This Row],[Nbhd Adj]]*0.95</f>
        <v>0.94971499999999998</v>
      </c>
      <c r="BM1096" s="25">
        <f>Inventory[[#This Row],[Nbhd Adj]]*Inventory[[#This Row],[Quality Adj]]*Inventory[[#This Row],[Condition Adj]]*Inventory[[#This Row],[Living Area Adj]]*Inventory[[#This Row],[Decade Adj]]*0.95</f>
        <v>0.96371996573175212</v>
      </c>
      <c r="BN1096" s="25">
        <f>ROUND(SUM(Inventory[[#This Row],[Mdl Qlty]:[Mdl WdDeck]])+Inventory[[#This Row],[Mdl Res Intercept]]*Inventory[[#This Row],[Res Adj ]],-2)</f>
        <v>272400</v>
      </c>
      <c r="BO1096" s="25">
        <f>ROUND(Inventory[[#This Row],[25Det]]*Inventory[[#This Row],[Det/Nbhd Adj]],-2)</f>
        <v>6800</v>
      </c>
      <c r="BP1096" s="25">
        <f>Inventory[[#This Row],[Adjusted Res]]+Inventory[[#This Row],[Adj Det ]]</f>
        <v>279200</v>
      </c>
      <c r="BQ1096" s="25">
        <f>ROUND((Inventory[[#This Row],[Mdl Land Intercept]]+Inventory[[#This Row],[Mdl LnAcres]])*Inventory[[#This Row],[Det/Nbhd Adj]],-2)</f>
        <v>35400</v>
      </c>
      <c r="BR1096" s="25">
        <f>Inventory[[#This Row],[Adjusted Impr Total]]+Inventory[[#This Row],[Adjusted Land Total]]</f>
        <v>314600</v>
      </c>
      <c r="BS1096" s="36">
        <f>IFERROR((Inventory[[#This Row],[Adjusted Impr Total]]-Inventory[[#This Row],[24Bldg]])/Inventory[[#This Row],[24Bldg]],0)</f>
        <v>0.17212426532325778</v>
      </c>
      <c r="BT1096" s="36">
        <f>(Inventory[[#This Row],[Adjusted Land Total]]-Inventory[[#This Row],[24Lnd]])/Inventory[[#This Row],[24Lnd]]</f>
        <v>-0.37455830388692579</v>
      </c>
      <c r="BU1096" s="36">
        <f>(Inventory[[#This Row],[Adjusted Total]]-Inventory[[#This Row],[24Final]])/Inventory[[#This Row],[24Final]]</f>
        <v>6.7164179104477612E-2</v>
      </c>
    </row>
    <row r="1097" spans="1:73" x14ac:dyDescent="0.3">
      <c r="A1097" s="25">
        <v>2025</v>
      </c>
      <c r="B1097" s="26" t="s">
        <v>1871</v>
      </c>
      <c r="C1097" s="26">
        <f>LN(Inventory[[#This Row],[Acres]])</f>
        <v>-1.9661128563728327</v>
      </c>
      <c r="D1097" s="25">
        <v>0.14000000000000001</v>
      </c>
      <c r="E1097" s="27"/>
      <c r="F1097" s="26" t="s">
        <v>537</v>
      </c>
      <c r="G1097" s="26" t="s">
        <v>126</v>
      </c>
      <c r="H1097" s="26" t="s">
        <v>349</v>
      </c>
      <c r="I1097" s="26" t="s">
        <v>538</v>
      </c>
      <c r="J1097" s="26" t="s">
        <v>539</v>
      </c>
      <c r="K1097" s="26" t="s">
        <v>242</v>
      </c>
      <c r="L1097" s="26" t="s">
        <v>148</v>
      </c>
      <c r="M1097" s="26" t="s">
        <v>303</v>
      </c>
      <c r="N1097" s="26">
        <v>80</v>
      </c>
      <c r="O1097" s="26">
        <f>2024-Inventory[[#This Row],[YrBlt]]</f>
        <v>79</v>
      </c>
      <c r="P1097" s="26">
        <f>2024-Inventory[[#This Row],[EffYr]]</f>
        <v>52</v>
      </c>
      <c r="Q1097" s="25">
        <v>1945</v>
      </c>
      <c r="R1097" s="25">
        <v>1972</v>
      </c>
      <c r="S1097" s="25">
        <v>1180</v>
      </c>
      <c r="T1097" s="27"/>
      <c r="U1097" s="25">
        <v>1180</v>
      </c>
      <c r="V1097" s="25">
        <f>Inventory[[#This Row],[Bsmt]]-Inventory[[#This Row],[FnBsmt]]</f>
        <v>0</v>
      </c>
      <c r="W1097" s="25">
        <v>1180</v>
      </c>
      <c r="X1097" s="27"/>
      <c r="Y1097" s="27">
        <f>Inventory[[#This Row],[MainFn]]+Inventory[[#This Row],[UpprFn]]+Inventory[[#This Row],[FnBsmt]]+Inventory[[#This Row],[AddFn]]</f>
        <v>2360</v>
      </c>
      <c r="Z1097" s="27">
        <v>2500</v>
      </c>
      <c r="AA1097" s="25">
        <v>8</v>
      </c>
      <c r="AB1097" s="27"/>
      <c r="AC1097" s="31"/>
      <c r="AD1097" s="32">
        <v>72</v>
      </c>
      <c r="AE1097" s="27"/>
      <c r="AF1097" s="27"/>
      <c r="AG1097" s="27"/>
      <c r="AH1097" s="27"/>
      <c r="AI1097" s="25">
        <v>409245</v>
      </c>
      <c r="AJ1097" s="25">
        <v>286472</v>
      </c>
      <c r="AK1097" s="25">
        <v>27001</v>
      </c>
      <c r="AL1097" s="25">
        <v>381800</v>
      </c>
      <c r="AM1097" s="25">
        <v>46000</v>
      </c>
      <c r="AN1097" s="25">
        <v>335800</v>
      </c>
      <c r="AO1097" s="25">
        <v>0</v>
      </c>
      <c r="AP1097" s="25">
        <f>Lookups!$B$56*0</f>
        <v>0</v>
      </c>
      <c r="AQ1097" s="25">
        <f>Lookups!$B$56*1</f>
        <v>89850.625589999996</v>
      </c>
      <c r="AR1097" s="25">
        <f>Lookups!$B$57*Inventory[[#This Row],[LnAcres]]</f>
        <v>-62236.546971921947</v>
      </c>
      <c r="AS1097" s="25">
        <f>VLOOKUP(Inventory[[#This Row],[Qlty]],Lookups!$A$62:$E$75,2,FALSE)</f>
        <v>44121.038090000002</v>
      </c>
      <c r="AT1097" s="25">
        <f>VLOOKUP(Inventory[[#This Row],[Cnd]],Lookups!$A$76:$E$84,2,FALSE)</f>
        <v>197752.34721000001</v>
      </c>
      <c r="AU1097" s="25">
        <f>Inventory[[#This Row],[EffAge]]*Lookups!$B$85</f>
        <v>-11598.371226000001</v>
      </c>
      <c r="AV1097" s="25">
        <f>Inventory[[#This Row],[MainFn]]*Lookups!$B$86</f>
        <v>58302.23045486</v>
      </c>
      <c r="AW1097" s="25">
        <f>Inventory[[#This Row],[UpprFn]]*Lookups!$B$87</f>
        <v>0</v>
      </c>
      <c r="AX1097" s="25">
        <f>Inventory[[#This Row],[AddFn]]*Lookups!$B$88</f>
        <v>0</v>
      </c>
      <c r="AY1097" s="25">
        <f>Inventory[[#This Row],[Bsmt]]*Lookups!$B$89</f>
        <v>34316.636391460001</v>
      </c>
      <c r="AZ1097" s="25">
        <f>Inventory[[#This Row],[Fixtures]]*Lookups!$B$90</f>
        <v>30336.176841600001</v>
      </c>
      <c r="BA1097" s="25">
        <f>Inventory[[#This Row],[WdDeck]]*Lookups!$B$91</f>
        <v>2397.2770998720002</v>
      </c>
      <c r="BB1097" s="25">
        <f>ROUND(Inventory[[#This Row],[25Det]],-2)</f>
        <v>27000</v>
      </c>
      <c r="BC1097" s="25">
        <f>ROUND(SUM(Inventory[[#This Row],[Mdl Qlty]:[Mdl WdDeck]])+Inventory[[#This Row],[Mdl Res Intercept]],-2)</f>
        <v>355600</v>
      </c>
      <c r="BD1097" s="25">
        <f>ROUND(Inventory[[#This Row],[Mdl Land Intercept]]+Inventory[[#This Row],[Mdl LnAcres]],-2)</f>
        <v>27600</v>
      </c>
      <c r="BE1097" s="25">
        <f>Inventory[[#This Row],[Unadj Res Value]]+Inventory[[#This Row],[Unadj Det Value]]+Inventory[[#This Row],[Unadj Land Value]]</f>
        <v>410200</v>
      </c>
      <c r="BF1097" s="36">
        <f>(Inventory[[#This Row],[Unadj Total Value]]-Inventory[[#This Row],[24Final]])/Inventory[[#This Row],[24Final]]</f>
        <v>7.438449449973808E-2</v>
      </c>
      <c r="BG1097" s="25">
        <f>VLOOKUP(Inventory[[#This Row],[Nbhd]],Lookups!$Q$2:$T$4,4,FALSE)</f>
        <v>0.99970000000000003</v>
      </c>
      <c r="BH1097" s="25">
        <f>VLOOKUP(Inventory[[#This Row],[Qlty]],Lookups!$O$7:$R$21,4,FALSE)</f>
        <v>0.98050000000000004</v>
      </c>
      <c r="BI1097" s="25">
        <f>VLOOKUP(Inventory[[#This Row],[Cnd]],Lookups!$T$7:$W$16,4,FALSE)</f>
        <v>0.99650000000000005</v>
      </c>
      <c r="BJ1097" s="25">
        <f>VLOOKUP(Inventory[[#This Row],[LivArea Range]],Lookups!$T$25:$W$37,4,FALSE)</f>
        <v>0.98919999999999997</v>
      </c>
      <c r="BK1097" s="25">
        <f>VLOOKUP(Inventory[[#This Row],[Decade]],Lookups!$O$25:$R$42,4,FALSE)</f>
        <v>0.995</v>
      </c>
      <c r="BL1097" s="25">
        <f>Inventory[[#This Row],[Nbhd Adj]]*0.95</f>
        <v>0.94971499999999998</v>
      </c>
      <c r="BM1097" s="25">
        <f>Inventory[[#This Row],[Nbhd Adj]]*Inventory[[#This Row],[Quality Adj]]*Inventory[[#This Row],[Condition Adj]]*Inventory[[#This Row],[Living Area Adj]]*Inventory[[#This Row],[Decade Adj]]*0.95</f>
        <v>0.91332508691872449</v>
      </c>
      <c r="BN1097" s="25">
        <f>ROUND(SUM(Inventory[[#This Row],[Mdl Qlty]:[Mdl WdDeck]])+Inventory[[#This Row],[Mdl Res Intercept]]*Inventory[[#This Row],[Res Adj ]],-2)</f>
        <v>355600</v>
      </c>
      <c r="BO1097" s="25">
        <f>ROUND(Inventory[[#This Row],[25Det]]*Inventory[[#This Row],[Det/Nbhd Adj]],-2)</f>
        <v>25600</v>
      </c>
      <c r="BP1097" s="25">
        <f>Inventory[[#This Row],[Adjusted Res]]+Inventory[[#This Row],[Adj Det ]]</f>
        <v>381200</v>
      </c>
      <c r="BQ1097" s="25">
        <f>ROUND((Inventory[[#This Row],[Mdl Land Intercept]]+Inventory[[#This Row],[Mdl LnAcres]])*Inventory[[#This Row],[Det/Nbhd Adj]],-2)</f>
        <v>26200</v>
      </c>
      <c r="BR1097" s="25">
        <f>Inventory[[#This Row],[Adjusted Impr Total]]+Inventory[[#This Row],[Adjusted Land Total]]</f>
        <v>407400</v>
      </c>
      <c r="BS1097" s="36">
        <f>IFERROR((Inventory[[#This Row],[Adjusted Impr Total]]-Inventory[[#This Row],[24Bldg]])/Inventory[[#This Row],[24Bldg]],0)</f>
        <v>0.13519952352590828</v>
      </c>
      <c r="BT1097" s="36">
        <f>(Inventory[[#This Row],[Adjusted Land Total]]-Inventory[[#This Row],[24Lnd]])/Inventory[[#This Row],[24Lnd]]</f>
        <v>-0.43043478260869567</v>
      </c>
      <c r="BU1097" s="36">
        <f>(Inventory[[#This Row],[Adjusted Total]]-Inventory[[#This Row],[24Final]])/Inventory[[#This Row],[24Final]]</f>
        <v>6.7050811943425881E-2</v>
      </c>
    </row>
    <row r="1098" spans="1:73" x14ac:dyDescent="0.3">
      <c r="A1098" s="25">
        <v>2025</v>
      </c>
      <c r="B1098" s="26" t="s">
        <v>2793</v>
      </c>
      <c r="C1098" s="26">
        <f>LN(Inventory[[#This Row],[Acres]])</f>
        <v>-1.7147984280919266</v>
      </c>
      <c r="D1098" s="25">
        <v>0.18</v>
      </c>
      <c r="E1098" s="32">
        <v>8040</v>
      </c>
      <c r="F1098" s="26" t="s">
        <v>537</v>
      </c>
      <c r="G1098" s="26" t="s">
        <v>126</v>
      </c>
      <c r="H1098" s="26" t="s">
        <v>349</v>
      </c>
      <c r="I1098" s="26" t="s">
        <v>538</v>
      </c>
      <c r="J1098" s="26" t="s">
        <v>539</v>
      </c>
      <c r="K1098" s="26" t="s">
        <v>242</v>
      </c>
      <c r="L1098" s="26" t="s">
        <v>302</v>
      </c>
      <c r="M1098" s="26" t="s">
        <v>206</v>
      </c>
      <c r="N1098" s="26">
        <v>80</v>
      </c>
      <c r="O1098" s="26">
        <f>2024-Inventory[[#This Row],[YrBlt]]</f>
        <v>79</v>
      </c>
      <c r="P1098" s="26">
        <f>2024-Inventory[[#This Row],[EffYr]]</f>
        <v>52</v>
      </c>
      <c r="Q1098" s="25">
        <v>1945</v>
      </c>
      <c r="R1098" s="25">
        <v>1972</v>
      </c>
      <c r="S1098" s="25">
        <v>1515</v>
      </c>
      <c r="T1098" s="27"/>
      <c r="U1098" s="32">
        <v>656</v>
      </c>
      <c r="V1098" s="32">
        <f>Inventory[[#This Row],[Bsmt]]-Inventory[[#This Row],[FnBsmt]]</f>
        <v>356</v>
      </c>
      <c r="W1098" s="32">
        <v>300</v>
      </c>
      <c r="X1098" s="27"/>
      <c r="Y1098" s="27">
        <f>Inventory[[#This Row],[MainFn]]+Inventory[[#This Row],[UpprFn]]+Inventory[[#This Row],[FnBsmt]]+Inventory[[#This Row],[AddFn]]</f>
        <v>1815</v>
      </c>
      <c r="Z1098" s="27">
        <v>2000</v>
      </c>
      <c r="AA1098" s="25">
        <v>8</v>
      </c>
      <c r="AB1098" s="25">
        <v>567</v>
      </c>
      <c r="AC1098" s="27"/>
      <c r="AD1098" s="27"/>
      <c r="AE1098" s="27"/>
      <c r="AF1098" s="27"/>
      <c r="AG1098" s="27"/>
      <c r="AH1098" s="27"/>
      <c r="AI1098" s="25">
        <v>355199</v>
      </c>
      <c r="AJ1098" s="25">
        <v>234431</v>
      </c>
      <c r="AK1098" s="25">
        <v>0</v>
      </c>
      <c r="AL1098" s="25">
        <v>290700</v>
      </c>
      <c r="AM1098" s="25">
        <v>54700</v>
      </c>
      <c r="AN1098" s="25">
        <v>236000</v>
      </c>
      <c r="AO1098" s="25">
        <v>0</v>
      </c>
      <c r="AP1098" s="25">
        <f>Lookups!$B$56*0</f>
        <v>0</v>
      </c>
      <c r="AQ1098" s="25">
        <f>Lookups!$B$56*1</f>
        <v>89850.625589999996</v>
      </c>
      <c r="AR1098" s="25">
        <f>Lookups!$B$57*Inventory[[#This Row],[LnAcres]]</f>
        <v>-54281.285314520763</v>
      </c>
      <c r="AS1098" s="25">
        <f>VLOOKUP(Inventory[[#This Row],[Qlty]],Lookups!$A$62:$E$75,2,FALSE)</f>
        <v>29814.093161000001</v>
      </c>
      <c r="AT1098" s="25">
        <f>VLOOKUP(Inventory[[#This Row],[Cnd]],Lookups!$A$76:$E$84,2,FALSE)</f>
        <v>133714.53821</v>
      </c>
      <c r="AU1098" s="25">
        <f>Inventory[[#This Row],[EffAge]]*Lookups!$B$85</f>
        <v>-11598.371226000001</v>
      </c>
      <c r="AV1098" s="25">
        <f>Inventory[[#This Row],[MainFn]]*Lookups!$B$86</f>
        <v>74854.134863654996</v>
      </c>
      <c r="AW1098" s="25">
        <f>Inventory[[#This Row],[UpprFn]]*Lookups!$B$87</f>
        <v>0</v>
      </c>
      <c r="AX1098" s="25">
        <f>Inventory[[#This Row],[AddFn]]*Lookups!$B$88</f>
        <v>0</v>
      </c>
      <c r="AY1098" s="25">
        <f>Inventory[[#This Row],[Bsmt]]*Lookups!$B$89</f>
        <v>19077.723282031999</v>
      </c>
      <c r="AZ1098" s="25">
        <f>Inventory[[#This Row],[Fixtures]]*Lookups!$B$90</f>
        <v>30336.176841600001</v>
      </c>
      <c r="BA1098" s="25">
        <f>Inventory[[#This Row],[WdDeck]]*Lookups!$B$91</f>
        <v>0</v>
      </c>
      <c r="BB1098" s="25">
        <f>ROUND(Inventory[[#This Row],[25Det]],-2)</f>
        <v>0</v>
      </c>
      <c r="BC1098" s="25">
        <f>ROUND(SUM(Inventory[[#This Row],[Mdl Qlty]:[Mdl WdDeck]])+Inventory[[#This Row],[Mdl Res Intercept]],-2)</f>
        <v>276200</v>
      </c>
      <c r="BD1098" s="25">
        <f>ROUND(Inventory[[#This Row],[Mdl Land Intercept]]+Inventory[[#This Row],[Mdl LnAcres]],-2)</f>
        <v>35600</v>
      </c>
      <c r="BE1098" s="25">
        <f>Inventory[[#This Row],[Unadj Res Value]]+Inventory[[#This Row],[Unadj Det Value]]+Inventory[[#This Row],[Unadj Land Value]]</f>
        <v>311800</v>
      </c>
      <c r="BF1098" s="36">
        <f>(Inventory[[#This Row],[Unadj Total Value]]-Inventory[[#This Row],[24Final]])/Inventory[[#This Row],[24Final]]</f>
        <v>7.2583419332645338E-2</v>
      </c>
      <c r="BG1098" s="25">
        <f>VLOOKUP(Inventory[[#This Row],[Nbhd]],Lookups!$Q$2:$T$4,4,FALSE)</f>
        <v>0.99970000000000003</v>
      </c>
      <c r="BH1098" s="25">
        <f>VLOOKUP(Inventory[[#This Row],[Qlty]],Lookups!$O$7:$R$21,4,FALSE)</f>
        <v>1.0088999999999999</v>
      </c>
      <c r="BI1098" s="25">
        <f>VLOOKUP(Inventory[[#This Row],[Cnd]],Lookups!$T$7:$W$16,4,FALSE)</f>
        <v>0.99329999999999996</v>
      </c>
      <c r="BJ1098" s="25">
        <f>VLOOKUP(Inventory[[#This Row],[LivArea Range]],Lookups!$T$25:$W$37,4,FALSE)</f>
        <v>1.0093000000000001</v>
      </c>
      <c r="BK1098" s="25">
        <f>VLOOKUP(Inventory[[#This Row],[Decade]],Lookups!$O$25:$R$42,4,FALSE)</f>
        <v>0.995</v>
      </c>
      <c r="BL1098" s="25">
        <f>Inventory[[#This Row],[Nbhd Adj]]*0.95</f>
        <v>0.94971499999999998</v>
      </c>
      <c r="BM1098" s="25">
        <f>Inventory[[#This Row],[Nbhd Adj]]*Inventory[[#This Row],[Quality Adj]]*Inventory[[#This Row],[Condition Adj]]*Inventory[[#This Row],[Living Area Adj]]*Inventory[[#This Row],[Decade Adj]]*0.95</f>
        <v>0.95579600051299707</v>
      </c>
      <c r="BN1098" s="25">
        <f>ROUND(SUM(Inventory[[#This Row],[Mdl Qlty]:[Mdl WdDeck]])+Inventory[[#This Row],[Mdl Res Intercept]]*Inventory[[#This Row],[Res Adj ]],-2)</f>
        <v>276200</v>
      </c>
      <c r="BO1098" s="25">
        <f>ROUND(Inventory[[#This Row],[25Det]]*Inventory[[#This Row],[Det/Nbhd Adj]],-2)</f>
        <v>0</v>
      </c>
      <c r="BP1098" s="25">
        <f>Inventory[[#This Row],[Adjusted Res]]+Inventory[[#This Row],[Adj Det ]]</f>
        <v>276200</v>
      </c>
      <c r="BQ1098" s="25">
        <f>ROUND((Inventory[[#This Row],[Mdl Land Intercept]]+Inventory[[#This Row],[Mdl LnAcres]])*Inventory[[#This Row],[Det/Nbhd Adj]],-2)</f>
        <v>33800</v>
      </c>
      <c r="BR1098" s="25">
        <f>Inventory[[#This Row],[Adjusted Impr Total]]+Inventory[[#This Row],[Adjusted Land Total]]</f>
        <v>310000</v>
      </c>
      <c r="BS1098" s="36">
        <f>IFERROR((Inventory[[#This Row],[Adjusted Impr Total]]-Inventory[[#This Row],[24Bldg]])/Inventory[[#This Row],[24Bldg]],0)</f>
        <v>0.17033898305084746</v>
      </c>
      <c r="BT1098" s="36">
        <f>(Inventory[[#This Row],[Adjusted Land Total]]-Inventory[[#This Row],[24Lnd]])/Inventory[[#This Row],[24Lnd]]</f>
        <v>-0.38208409506398539</v>
      </c>
      <c r="BU1098" s="36">
        <f>(Inventory[[#This Row],[Adjusted Total]]-Inventory[[#This Row],[24Final]])/Inventory[[#This Row],[24Final]]</f>
        <v>6.6391468868249051E-2</v>
      </c>
    </row>
    <row r="1099" spans="1:73" x14ac:dyDescent="0.3">
      <c r="A1099" s="25">
        <v>2025</v>
      </c>
      <c r="B1099" s="26" t="s">
        <v>2395</v>
      </c>
      <c r="C1099" s="26">
        <f>LN(Inventory[[#This Row],[Acres]])</f>
        <v>-0.4780358009429998</v>
      </c>
      <c r="D1099" s="25">
        <v>0.62</v>
      </c>
      <c r="E1099" s="32">
        <v>26900</v>
      </c>
      <c r="F1099" s="26" t="s">
        <v>537</v>
      </c>
      <c r="G1099" s="26" t="s">
        <v>126</v>
      </c>
      <c r="H1099" s="26" t="s">
        <v>349</v>
      </c>
      <c r="I1099" s="26" t="s">
        <v>538</v>
      </c>
      <c r="J1099" s="26" t="s">
        <v>539</v>
      </c>
      <c r="K1099" s="26" t="s">
        <v>242</v>
      </c>
      <c r="L1099" s="26" t="s">
        <v>351</v>
      </c>
      <c r="M1099" s="26" t="s">
        <v>323</v>
      </c>
      <c r="N1099" s="26">
        <v>80</v>
      </c>
      <c r="O1099" s="26">
        <f>2024-Inventory[[#This Row],[YrBlt]]</f>
        <v>79</v>
      </c>
      <c r="P1099" s="26">
        <f>2024-Inventory[[#This Row],[EffYr]]</f>
        <v>52</v>
      </c>
      <c r="Q1099" s="25">
        <v>1945</v>
      </c>
      <c r="R1099" s="25">
        <v>1972</v>
      </c>
      <c r="S1099" s="25">
        <v>1292</v>
      </c>
      <c r="T1099" s="27"/>
      <c r="U1099" s="25">
        <v>506</v>
      </c>
      <c r="V1099" s="25">
        <f>Inventory[[#This Row],[Bsmt]]-Inventory[[#This Row],[FnBsmt]]</f>
        <v>506</v>
      </c>
      <c r="W1099" s="31"/>
      <c r="X1099" s="27"/>
      <c r="Y1099" s="27">
        <f>Inventory[[#This Row],[MainFn]]+Inventory[[#This Row],[UpprFn]]+Inventory[[#This Row],[FnBsmt]]+Inventory[[#This Row],[AddFn]]</f>
        <v>1292</v>
      </c>
      <c r="Z1099" s="27">
        <v>1500</v>
      </c>
      <c r="AA1099" s="25">
        <v>8</v>
      </c>
      <c r="AB1099" s="27"/>
      <c r="AC1099" s="31"/>
      <c r="AD1099" s="32">
        <v>280</v>
      </c>
      <c r="AE1099" s="27"/>
      <c r="AF1099" s="27"/>
      <c r="AG1099" s="27"/>
      <c r="AH1099" s="27"/>
      <c r="AI1099" s="25">
        <v>266485</v>
      </c>
      <c r="AJ1099" s="25">
        <v>181210</v>
      </c>
      <c r="AK1099" s="25">
        <v>4960</v>
      </c>
      <c r="AL1099" s="25">
        <v>341800</v>
      </c>
      <c r="AM1099" s="25">
        <v>97900</v>
      </c>
      <c r="AN1099" s="25">
        <v>243900</v>
      </c>
      <c r="AO1099" s="25">
        <v>0</v>
      </c>
      <c r="AP1099" s="25">
        <f>Lookups!$B$56*0</f>
        <v>0</v>
      </c>
      <c r="AQ1099" s="25">
        <f>Lookups!$B$56*1</f>
        <v>89850.625589999996</v>
      </c>
      <c r="AR1099" s="25">
        <f>Lookups!$B$57*Inventory[[#This Row],[LnAcres]]</f>
        <v>-15132.039589291824</v>
      </c>
      <c r="AS1099" s="25">
        <f>VLOOKUP(Inventory[[#This Row],[Qlty]],Lookups!$A$62:$E$75,2,FALSE)</f>
        <v>21557.329055999999</v>
      </c>
      <c r="AT1099" s="25">
        <f>VLOOKUP(Inventory[[#This Row],[Cnd]],Lookups!$A$76:$E$84,2,FALSE)</f>
        <v>160472.20319</v>
      </c>
      <c r="AU1099" s="25">
        <f>Inventory[[#This Row],[EffAge]]*Lookups!$B$85</f>
        <v>-11598.371226000001</v>
      </c>
      <c r="AV1099" s="25">
        <f>Inventory[[#This Row],[MainFn]]*Lookups!$B$86</f>
        <v>63836.001481084</v>
      </c>
      <c r="AW1099" s="25">
        <f>Inventory[[#This Row],[UpprFn]]*Lookups!$B$87</f>
        <v>0</v>
      </c>
      <c r="AX1099" s="25">
        <f>Inventory[[#This Row],[AddFn]]*Lookups!$B$88</f>
        <v>0</v>
      </c>
      <c r="AY1099" s="25">
        <f>Inventory[[#This Row],[Bsmt]]*Lookups!$B$89</f>
        <v>14715.438994982</v>
      </c>
      <c r="AZ1099" s="25">
        <f>Inventory[[#This Row],[Fixtures]]*Lookups!$B$90</f>
        <v>30336.176841600001</v>
      </c>
      <c r="BA1099" s="25">
        <f>Inventory[[#This Row],[WdDeck]]*Lookups!$B$91</f>
        <v>9322.7442772800005</v>
      </c>
      <c r="BB1099" s="25">
        <f>ROUND(Inventory[[#This Row],[25Det]],-2)</f>
        <v>5000</v>
      </c>
      <c r="BC1099" s="25">
        <f>ROUND(SUM(Inventory[[#This Row],[Mdl Qlty]:[Mdl WdDeck]])+Inventory[[#This Row],[Mdl Res Intercept]],-2)</f>
        <v>288600</v>
      </c>
      <c r="BD1099" s="25">
        <f>ROUND(Inventory[[#This Row],[Mdl Land Intercept]]+Inventory[[#This Row],[Mdl LnAcres]],-2)</f>
        <v>74700</v>
      </c>
      <c r="BE1099" s="25">
        <f>Inventory[[#This Row],[Unadj Res Value]]+Inventory[[#This Row],[Unadj Det Value]]+Inventory[[#This Row],[Unadj Land Value]]</f>
        <v>368300</v>
      </c>
      <c r="BF1099" s="36">
        <f>(Inventory[[#This Row],[Unadj Total Value]]-Inventory[[#This Row],[24Final]])/Inventory[[#This Row],[24Final]]</f>
        <v>7.7530719719134E-2</v>
      </c>
      <c r="BG1099" s="25">
        <f>VLOOKUP(Inventory[[#This Row],[Nbhd]],Lookups!$Q$2:$T$4,4,FALSE)</f>
        <v>0.99970000000000003</v>
      </c>
      <c r="BH1099" s="25">
        <f>VLOOKUP(Inventory[[#This Row],[Qlty]],Lookups!$O$7:$R$21,4,FALSE)</f>
        <v>1.0067999999999999</v>
      </c>
      <c r="BI1099" s="25">
        <f>VLOOKUP(Inventory[[#This Row],[Cnd]],Lookups!$T$7:$W$16,4,FALSE)</f>
        <v>0.99729999999999996</v>
      </c>
      <c r="BJ1099" s="25">
        <f>VLOOKUP(Inventory[[#This Row],[LivArea Range]],Lookups!$T$25:$W$37,4,FALSE)</f>
        <v>1.0157</v>
      </c>
      <c r="BK1099" s="25">
        <f>VLOOKUP(Inventory[[#This Row],[Decade]],Lookups!$O$25:$R$42,4,FALSE)</f>
        <v>0.995</v>
      </c>
      <c r="BL1099" s="25">
        <f>Inventory[[#This Row],[Nbhd Adj]]*0.95</f>
        <v>0.94971499999999998</v>
      </c>
      <c r="BM1099" s="25">
        <f>Inventory[[#This Row],[Nbhd Adj]]*Inventory[[#This Row],[Quality Adj]]*Inventory[[#This Row],[Condition Adj]]*Inventory[[#This Row],[Living Area Adj]]*Inventory[[#This Row],[Decade Adj]]*0.95</f>
        <v>0.96371996573175212</v>
      </c>
      <c r="BN1099" s="25">
        <f>ROUND(SUM(Inventory[[#This Row],[Mdl Qlty]:[Mdl WdDeck]])+Inventory[[#This Row],[Mdl Res Intercept]]*Inventory[[#This Row],[Res Adj ]],-2)</f>
        <v>288600</v>
      </c>
      <c r="BO1099" s="25">
        <f>ROUND(Inventory[[#This Row],[25Det]]*Inventory[[#This Row],[Det/Nbhd Adj]],-2)</f>
        <v>4700</v>
      </c>
      <c r="BP1099" s="25">
        <f>Inventory[[#This Row],[Adjusted Res]]+Inventory[[#This Row],[Adj Det ]]</f>
        <v>293300</v>
      </c>
      <c r="BQ1099" s="25">
        <f>ROUND((Inventory[[#This Row],[Mdl Land Intercept]]+Inventory[[#This Row],[Mdl LnAcres]])*Inventory[[#This Row],[Det/Nbhd Adj]],-2)</f>
        <v>71000</v>
      </c>
      <c r="BR1099" s="25">
        <f>Inventory[[#This Row],[Adjusted Impr Total]]+Inventory[[#This Row],[Adjusted Land Total]]</f>
        <v>364300</v>
      </c>
      <c r="BS1099" s="36">
        <f>IFERROR((Inventory[[#This Row],[Adjusted Impr Total]]-Inventory[[#This Row],[24Bldg]])/Inventory[[#This Row],[24Bldg]],0)</f>
        <v>0.20254202542025421</v>
      </c>
      <c r="BT1099" s="36">
        <f>(Inventory[[#This Row],[Adjusted Land Total]]-Inventory[[#This Row],[24Lnd]])/Inventory[[#This Row],[24Lnd]]</f>
        <v>-0.27477017364657813</v>
      </c>
      <c r="BU1099" s="36">
        <f>(Inventory[[#This Row],[Adjusted Total]]-Inventory[[#This Row],[24Final]])/Inventory[[#This Row],[24Final]]</f>
        <v>6.5827969572849615E-2</v>
      </c>
    </row>
    <row r="1100" spans="1:73" x14ac:dyDescent="0.3">
      <c r="A1100" s="25">
        <v>2025</v>
      </c>
      <c r="B1100" s="26" t="s">
        <v>1967</v>
      </c>
      <c r="C1100" s="26">
        <f>LN(Inventory[[#This Row],[Acres]])</f>
        <v>-1.5606477482646683</v>
      </c>
      <c r="D1100" s="25">
        <v>0.21</v>
      </c>
      <c r="E1100" s="27"/>
      <c r="F1100" s="26" t="s">
        <v>537</v>
      </c>
      <c r="G1100" s="26" t="s">
        <v>126</v>
      </c>
      <c r="H1100" s="26" t="s">
        <v>349</v>
      </c>
      <c r="I1100" s="26" t="s">
        <v>538</v>
      </c>
      <c r="J1100" s="26" t="s">
        <v>539</v>
      </c>
      <c r="K1100" s="26" t="s">
        <v>242</v>
      </c>
      <c r="L1100" s="26" t="s">
        <v>351</v>
      </c>
      <c r="M1100" s="26" t="s">
        <v>323</v>
      </c>
      <c r="N1100" s="26">
        <v>80</v>
      </c>
      <c r="O1100" s="26">
        <f>2024-Inventory[[#This Row],[YrBlt]]</f>
        <v>79</v>
      </c>
      <c r="P1100" s="26">
        <f>2024-Inventory[[#This Row],[EffYr]]</f>
        <v>52</v>
      </c>
      <c r="Q1100" s="25">
        <v>1945</v>
      </c>
      <c r="R1100" s="25">
        <v>1972</v>
      </c>
      <c r="S1100" s="25">
        <v>1217</v>
      </c>
      <c r="T1100" s="27"/>
      <c r="U1100" s="32">
        <v>1217</v>
      </c>
      <c r="V1100" s="32">
        <f>Inventory[[#This Row],[Bsmt]]-Inventory[[#This Row],[FnBsmt]]</f>
        <v>608</v>
      </c>
      <c r="W1100" s="32">
        <v>609</v>
      </c>
      <c r="X1100" s="27"/>
      <c r="Y1100" s="27">
        <f>Inventory[[#This Row],[MainFn]]+Inventory[[#This Row],[UpprFn]]+Inventory[[#This Row],[FnBsmt]]+Inventory[[#This Row],[AddFn]]</f>
        <v>1826</v>
      </c>
      <c r="Z1100" s="27">
        <v>2000</v>
      </c>
      <c r="AA1100" s="25">
        <v>7</v>
      </c>
      <c r="AB1100" s="27"/>
      <c r="AC1100" s="27"/>
      <c r="AD1100" s="32">
        <v>168</v>
      </c>
      <c r="AE1100" s="27"/>
      <c r="AF1100" s="27"/>
      <c r="AG1100" s="27"/>
      <c r="AH1100" s="27"/>
      <c r="AI1100" s="25">
        <v>270913</v>
      </c>
      <c r="AJ1100" s="25">
        <v>184221</v>
      </c>
      <c r="AK1100" s="25">
        <v>6712</v>
      </c>
      <c r="AL1100" s="25">
        <v>322200</v>
      </c>
      <c r="AM1100" s="25">
        <v>60100</v>
      </c>
      <c r="AN1100" s="25">
        <v>262100</v>
      </c>
      <c r="AO1100" s="25">
        <v>0</v>
      </c>
      <c r="AP1100" s="25">
        <f>Lookups!$B$56*0</f>
        <v>0</v>
      </c>
      <c r="AQ1100" s="25">
        <f>Lookups!$B$56*1</f>
        <v>89850.625589999996</v>
      </c>
      <c r="AR1100" s="25">
        <f>Lookups!$B$57*Inventory[[#This Row],[LnAcres]]</f>
        <v>-49401.70477837498</v>
      </c>
      <c r="AS1100" s="25">
        <f>VLOOKUP(Inventory[[#This Row],[Qlty]],Lookups!$A$62:$E$75,2,FALSE)</f>
        <v>21557.329055999999</v>
      </c>
      <c r="AT1100" s="25">
        <f>VLOOKUP(Inventory[[#This Row],[Cnd]],Lookups!$A$76:$E$84,2,FALSE)</f>
        <v>160472.20319</v>
      </c>
      <c r="AU1100" s="25">
        <f>Inventory[[#This Row],[EffAge]]*Lookups!$B$85</f>
        <v>-11598.371226000001</v>
      </c>
      <c r="AV1100" s="25">
        <f>Inventory[[#This Row],[MainFn]]*Lookups!$B$86</f>
        <v>60130.351240308999</v>
      </c>
      <c r="AW1100" s="25">
        <f>Inventory[[#This Row],[UpprFn]]*Lookups!$B$87</f>
        <v>0</v>
      </c>
      <c r="AX1100" s="25">
        <f>Inventory[[#This Row],[AddFn]]*Lookups!$B$88</f>
        <v>0</v>
      </c>
      <c r="AY1100" s="25">
        <f>Inventory[[#This Row],[Bsmt]]*Lookups!$B$89</f>
        <v>35392.666515598998</v>
      </c>
      <c r="AZ1100" s="25">
        <f>Inventory[[#This Row],[Fixtures]]*Lookups!$B$90</f>
        <v>26544.1547364</v>
      </c>
      <c r="BA1100" s="25">
        <f>Inventory[[#This Row],[WdDeck]]*Lookups!$B$91</f>
        <v>5593.646566368001</v>
      </c>
      <c r="BB1100" s="25">
        <f>ROUND(Inventory[[#This Row],[25Det]],-2)</f>
        <v>6700</v>
      </c>
      <c r="BC1100" s="25">
        <f>ROUND(SUM(Inventory[[#This Row],[Mdl Qlty]:[Mdl WdDeck]])+Inventory[[#This Row],[Mdl Res Intercept]],-2)</f>
        <v>298100</v>
      </c>
      <c r="BD1100" s="25">
        <f>ROUND(Inventory[[#This Row],[Mdl Land Intercept]]+Inventory[[#This Row],[Mdl LnAcres]],-2)</f>
        <v>40400</v>
      </c>
      <c r="BE1100" s="25">
        <f>Inventory[[#This Row],[Unadj Res Value]]+Inventory[[#This Row],[Unadj Det Value]]+Inventory[[#This Row],[Unadj Land Value]]</f>
        <v>345200</v>
      </c>
      <c r="BF1100" s="36">
        <f>(Inventory[[#This Row],[Unadj Total Value]]-Inventory[[#This Row],[24Final]])/Inventory[[#This Row],[24Final]]</f>
        <v>7.1384233395406574E-2</v>
      </c>
      <c r="BG1100" s="25">
        <f>VLOOKUP(Inventory[[#This Row],[Nbhd]],Lookups!$Q$2:$T$4,4,FALSE)</f>
        <v>0.99970000000000003</v>
      </c>
      <c r="BH1100" s="25">
        <f>VLOOKUP(Inventory[[#This Row],[Qlty]],Lookups!$O$7:$R$21,4,FALSE)</f>
        <v>1.0067999999999999</v>
      </c>
      <c r="BI1100" s="25">
        <f>VLOOKUP(Inventory[[#This Row],[Cnd]],Lookups!$T$7:$W$16,4,FALSE)</f>
        <v>0.99729999999999996</v>
      </c>
      <c r="BJ1100" s="25">
        <f>VLOOKUP(Inventory[[#This Row],[LivArea Range]],Lookups!$T$25:$W$37,4,FALSE)</f>
        <v>1.0093000000000001</v>
      </c>
      <c r="BK1100" s="25">
        <f>VLOOKUP(Inventory[[#This Row],[Decade]],Lookups!$O$25:$R$42,4,FALSE)</f>
        <v>0.995</v>
      </c>
      <c r="BL1100" s="25">
        <f>Inventory[[#This Row],[Nbhd Adj]]*0.95</f>
        <v>0.94971499999999998</v>
      </c>
      <c r="BM1100" s="25">
        <f>Inventory[[#This Row],[Nbhd Adj]]*Inventory[[#This Row],[Quality Adj]]*Inventory[[#This Row],[Condition Adj]]*Inventory[[#This Row],[Living Area Adj]]*Inventory[[#This Row],[Decade Adj]]*0.95</f>
        <v>0.957647495730095</v>
      </c>
      <c r="BN1100" s="25">
        <f>ROUND(SUM(Inventory[[#This Row],[Mdl Qlty]:[Mdl WdDeck]])+Inventory[[#This Row],[Mdl Res Intercept]]*Inventory[[#This Row],[Res Adj ]],-2)</f>
        <v>298100</v>
      </c>
      <c r="BO1100" s="25">
        <f>ROUND(Inventory[[#This Row],[25Det]]*Inventory[[#This Row],[Det/Nbhd Adj]],-2)</f>
        <v>6400</v>
      </c>
      <c r="BP1100" s="25">
        <f>Inventory[[#This Row],[Adjusted Res]]+Inventory[[#This Row],[Adj Det ]]</f>
        <v>304500</v>
      </c>
      <c r="BQ1100" s="25">
        <f>ROUND((Inventory[[#This Row],[Mdl Land Intercept]]+Inventory[[#This Row],[Mdl LnAcres]])*Inventory[[#This Row],[Det/Nbhd Adj]],-2)</f>
        <v>38400</v>
      </c>
      <c r="BR1100" s="25">
        <f>Inventory[[#This Row],[Adjusted Impr Total]]+Inventory[[#This Row],[Adjusted Land Total]]</f>
        <v>342900</v>
      </c>
      <c r="BS1100" s="36">
        <f>IFERROR((Inventory[[#This Row],[Adjusted Impr Total]]-Inventory[[#This Row],[24Bldg]])/Inventory[[#This Row],[24Bldg]],0)</f>
        <v>0.16177031667302555</v>
      </c>
      <c r="BT1100" s="36">
        <f>(Inventory[[#This Row],[Adjusted Land Total]]-Inventory[[#This Row],[24Lnd]])/Inventory[[#This Row],[24Lnd]]</f>
        <v>-0.36106489184692181</v>
      </c>
      <c r="BU1100" s="36">
        <f>(Inventory[[#This Row],[Adjusted Total]]-Inventory[[#This Row],[24Final]])/Inventory[[#This Row],[24Final]]</f>
        <v>6.4245810055865923E-2</v>
      </c>
    </row>
    <row r="1101" spans="1:73" x14ac:dyDescent="0.3">
      <c r="A1101" s="25">
        <v>2025</v>
      </c>
      <c r="B1101" s="26" t="s">
        <v>829</v>
      </c>
      <c r="C1101" s="26">
        <f>LN(Inventory[[#This Row],[Acres]])</f>
        <v>-1.9661128563728327</v>
      </c>
      <c r="D1101" s="25">
        <v>0.14000000000000001</v>
      </c>
      <c r="E1101" s="27"/>
      <c r="F1101" s="26" t="s">
        <v>537</v>
      </c>
      <c r="G1101" s="26" t="s">
        <v>126</v>
      </c>
      <c r="H1101" s="26" t="s">
        <v>349</v>
      </c>
      <c r="I1101" s="26" t="s">
        <v>538</v>
      </c>
      <c r="J1101" s="26" t="s">
        <v>539</v>
      </c>
      <c r="K1101" s="26" t="s">
        <v>269</v>
      </c>
      <c r="L1101" s="26" t="s">
        <v>351</v>
      </c>
      <c r="M1101" s="26" t="s">
        <v>323</v>
      </c>
      <c r="N1101" s="26">
        <v>80</v>
      </c>
      <c r="O1101" s="26">
        <f>2024-Inventory[[#This Row],[YrBlt]]</f>
        <v>79</v>
      </c>
      <c r="P1101" s="26">
        <f>2024-Inventory[[#This Row],[EffYr]]</f>
        <v>52</v>
      </c>
      <c r="Q1101" s="25">
        <v>1945</v>
      </c>
      <c r="R1101" s="25">
        <v>1972</v>
      </c>
      <c r="S1101" s="25">
        <v>1092</v>
      </c>
      <c r="T1101" s="27"/>
      <c r="U1101" s="32">
        <v>1092</v>
      </c>
      <c r="V1101" s="32">
        <f>Inventory[[#This Row],[Bsmt]]-Inventory[[#This Row],[FnBsmt]]</f>
        <v>592</v>
      </c>
      <c r="W1101" s="32">
        <v>500</v>
      </c>
      <c r="X1101" s="27"/>
      <c r="Y1101" s="27">
        <f>Inventory[[#This Row],[MainFn]]+Inventory[[#This Row],[UpprFn]]+Inventory[[#This Row],[FnBsmt]]+Inventory[[#This Row],[AddFn]]</f>
        <v>1592</v>
      </c>
      <c r="Z1101" s="27">
        <v>2000</v>
      </c>
      <c r="AA1101" s="25">
        <v>5</v>
      </c>
      <c r="AB1101" s="32">
        <v>220</v>
      </c>
      <c r="AC1101" s="27"/>
      <c r="AD1101" s="27"/>
      <c r="AE1101" s="27"/>
      <c r="AF1101" s="27"/>
      <c r="AG1101" s="27"/>
      <c r="AH1101" s="27"/>
      <c r="AI1101" s="25">
        <v>249492</v>
      </c>
      <c r="AJ1101" s="25">
        <v>169655</v>
      </c>
      <c r="AK1101" s="25">
        <v>0</v>
      </c>
      <c r="AL1101" s="25">
        <v>283200</v>
      </c>
      <c r="AM1101" s="25">
        <v>46000</v>
      </c>
      <c r="AN1101" s="25">
        <v>237200</v>
      </c>
      <c r="AO1101" s="25">
        <v>0</v>
      </c>
      <c r="AP1101" s="25">
        <f>Lookups!$B$56*0</f>
        <v>0</v>
      </c>
      <c r="AQ1101" s="25">
        <f>Lookups!$B$56*1</f>
        <v>89850.625589999996</v>
      </c>
      <c r="AR1101" s="25">
        <f>Lookups!$B$57*Inventory[[#This Row],[LnAcres]]</f>
        <v>-62236.546971921947</v>
      </c>
      <c r="AS1101" s="25">
        <f>VLOOKUP(Inventory[[#This Row],[Qlty]],Lookups!$A$62:$E$75,2,FALSE)</f>
        <v>21557.329055999999</v>
      </c>
      <c r="AT1101" s="25">
        <f>VLOOKUP(Inventory[[#This Row],[Cnd]],Lookups!$A$76:$E$84,2,FALSE)</f>
        <v>160472.20319</v>
      </c>
      <c r="AU1101" s="25">
        <f>Inventory[[#This Row],[EffAge]]*Lookups!$B$85</f>
        <v>-11598.371226000001</v>
      </c>
      <c r="AV1101" s="25">
        <f>Inventory[[#This Row],[MainFn]]*Lookups!$B$86</f>
        <v>53954.267505684002</v>
      </c>
      <c r="AW1101" s="25">
        <f>Inventory[[#This Row],[UpprFn]]*Lookups!$B$87</f>
        <v>0</v>
      </c>
      <c r="AX1101" s="25">
        <f>Inventory[[#This Row],[AddFn]]*Lookups!$B$88</f>
        <v>0</v>
      </c>
      <c r="AY1101" s="25">
        <f>Inventory[[#This Row],[Bsmt]]*Lookups!$B$89</f>
        <v>31757.429609723997</v>
      </c>
      <c r="AZ1101" s="25">
        <f>Inventory[[#This Row],[Fixtures]]*Lookups!$B$90</f>
        <v>18960.110526</v>
      </c>
      <c r="BA1101" s="25">
        <f>Inventory[[#This Row],[WdDeck]]*Lookups!$B$91</f>
        <v>0</v>
      </c>
      <c r="BB1101" s="25">
        <f>ROUND(Inventory[[#This Row],[25Det]],-2)</f>
        <v>0</v>
      </c>
      <c r="BC1101" s="25">
        <f>ROUND(SUM(Inventory[[#This Row],[Mdl Qlty]:[Mdl WdDeck]])+Inventory[[#This Row],[Mdl Res Intercept]],-2)</f>
        <v>275100</v>
      </c>
      <c r="BD1101" s="25">
        <f>ROUND(Inventory[[#This Row],[Mdl Land Intercept]]+Inventory[[#This Row],[Mdl LnAcres]],-2)</f>
        <v>27600</v>
      </c>
      <c r="BE1101" s="25">
        <f>Inventory[[#This Row],[Unadj Res Value]]+Inventory[[#This Row],[Unadj Det Value]]+Inventory[[#This Row],[Unadj Land Value]]</f>
        <v>302700</v>
      </c>
      <c r="BF1101" s="36">
        <f>(Inventory[[#This Row],[Unadj Total Value]]-Inventory[[#This Row],[24Final]])/Inventory[[#This Row],[24Final]]</f>
        <v>6.8855932203389827E-2</v>
      </c>
      <c r="BG1101" s="25">
        <f>VLOOKUP(Inventory[[#This Row],[Nbhd]],Lookups!$Q$2:$T$4,4,FALSE)</f>
        <v>0.99970000000000003</v>
      </c>
      <c r="BH1101" s="25">
        <f>VLOOKUP(Inventory[[#This Row],[Qlty]],Lookups!$O$7:$R$21,4,FALSE)</f>
        <v>1.0067999999999999</v>
      </c>
      <c r="BI1101" s="25">
        <f>VLOOKUP(Inventory[[#This Row],[Cnd]],Lookups!$T$7:$W$16,4,FALSE)</f>
        <v>0.99729999999999996</v>
      </c>
      <c r="BJ1101" s="25">
        <f>VLOOKUP(Inventory[[#This Row],[LivArea Range]],Lookups!$T$25:$W$37,4,FALSE)</f>
        <v>1.0093000000000001</v>
      </c>
      <c r="BK1101" s="25">
        <f>VLOOKUP(Inventory[[#This Row],[Decade]],Lookups!$O$25:$R$42,4,FALSE)</f>
        <v>0.995</v>
      </c>
      <c r="BL1101" s="25">
        <f>Inventory[[#This Row],[Nbhd Adj]]*0.95</f>
        <v>0.94971499999999998</v>
      </c>
      <c r="BM1101" s="25">
        <f>Inventory[[#This Row],[Nbhd Adj]]*Inventory[[#This Row],[Quality Adj]]*Inventory[[#This Row],[Condition Adj]]*Inventory[[#This Row],[Living Area Adj]]*Inventory[[#This Row],[Decade Adj]]*0.95</f>
        <v>0.957647495730095</v>
      </c>
      <c r="BN1101" s="25">
        <f>ROUND(SUM(Inventory[[#This Row],[Mdl Qlty]:[Mdl WdDeck]])+Inventory[[#This Row],[Mdl Res Intercept]]*Inventory[[#This Row],[Res Adj ]],-2)</f>
        <v>275100</v>
      </c>
      <c r="BO1101" s="25">
        <f>ROUND(Inventory[[#This Row],[25Det]]*Inventory[[#This Row],[Det/Nbhd Adj]],-2)</f>
        <v>0</v>
      </c>
      <c r="BP1101" s="25">
        <f>Inventory[[#This Row],[Adjusted Res]]+Inventory[[#This Row],[Adj Det ]]</f>
        <v>275100</v>
      </c>
      <c r="BQ1101" s="25">
        <f>ROUND((Inventory[[#This Row],[Mdl Land Intercept]]+Inventory[[#This Row],[Mdl LnAcres]])*Inventory[[#This Row],[Det/Nbhd Adj]],-2)</f>
        <v>26200</v>
      </c>
      <c r="BR1101" s="25">
        <f>Inventory[[#This Row],[Adjusted Impr Total]]+Inventory[[#This Row],[Adjusted Land Total]]</f>
        <v>301300</v>
      </c>
      <c r="BS1101" s="36">
        <f>IFERROR((Inventory[[#This Row],[Adjusted Impr Total]]-Inventory[[#This Row],[24Bldg]])/Inventory[[#This Row],[24Bldg]],0)</f>
        <v>0.15978077571669477</v>
      </c>
      <c r="BT1101" s="36">
        <f>(Inventory[[#This Row],[Adjusted Land Total]]-Inventory[[#This Row],[24Lnd]])/Inventory[[#This Row],[24Lnd]]</f>
        <v>-0.43043478260869567</v>
      </c>
      <c r="BU1101" s="36">
        <f>(Inventory[[#This Row],[Adjusted Total]]-Inventory[[#This Row],[24Final]])/Inventory[[#This Row],[24Final]]</f>
        <v>6.3912429378531074E-2</v>
      </c>
    </row>
    <row r="1102" spans="1:73" x14ac:dyDescent="0.3">
      <c r="A1102" s="25">
        <v>2025</v>
      </c>
      <c r="B1102" s="26" t="s">
        <v>2826</v>
      </c>
      <c r="C1102" s="26">
        <f>LN(Inventory[[#This Row],[Acres]])</f>
        <v>-1.5141277326297755</v>
      </c>
      <c r="D1102" s="25">
        <v>0.22</v>
      </c>
      <c r="E1102" s="32">
        <v>9454</v>
      </c>
      <c r="F1102" s="26" t="s">
        <v>537</v>
      </c>
      <c r="G1102" s="26" t="s">
        <v>126</v>
      </c>
      <c r="H1102" s="26" t="s">
        <v>349</v>
      </c>
      <c r="I1102" s="26" t="s">
        <v>538</v>
      </c>
      <c r="J1102" s="26" t="s">
        <v>539</v>
      </c>
      <c r="K1102" s="26" t="s">
        <v>241</v>
      </c>
      <c r="L1102" s="26" t="s">
        <v>351</v>
      </c>
      <c r="M1102" s="26" t="s">
        <v>303</v>
      </c>
      <c r="N1102" s="26">
        <v>80</v>
      </c>
      <c r="O1102" s="26">
        <f>2024-Inventory[[#This Row],[YrBlt]]</f>
        <v>79</v>
      </c>
      <c r="P1102" s="26">
        <f>2024-Inventory[[#This Row],[EffYr]]</f>
        <v>52</v>
      </c>
      <c r="Q1102" s="25">
        <v>1945</v>
      </c>
      <c r="R1102" s="25">
        <v>1972</v>
      </c>
      <c r="S1102" s="25">
        <v>1224</v>
      </c>
      <c r="T1102" s="27"/>
      <c r="U1102" s="32">
        <v>360</v>
      </c>
      <c r="V1102" s="32">
        <f>Inventory[[#This Row],[Bsmt]]-Inventory[[#This Row],[FnBsmt]]</f>
        <v>0</v>
      </c>
      <c r="W1102" s="32">
        <v>360</v>
      </c>
      <c r="X1102" s="27"/>
      <c r="Y1102" s="27">
        <f>Inventory[[#This Row],[MainFn]]+Inventory[[#This Row],[UpprFn]]+Inventory[[#This Row],[FnBsmt]]+Inventory[[#This Row],[AddFn]]</f>
        <v>1584</v>
      </c>
      <c r="Z1102" s="27">
        <v>2000</v>
      </c>
      <c r="AA1102" s="25">
        <v>5</v>
      </c>
      <c r="AB1102" s="32">
        <v>180</v>
      </c>
      <c r="AC1102" s="27"/>
      <c r="AD1102" s="27"/>
      <c r="AE1102" s="27"/>
      <c r="AF1102" s="27"/>
      <c r="AG1102" s="27"/>
      <c r="AH1102" s="27"/>
      <c r="AI1102" s="25">
        <v>252162</v>
      </c>
      <c r="AJ1102" s="25">
        <v>176513</v>
      </c>
      <c r="AK1102" s="25">
        <v>0</v>
      </c>
      <c r="AL1102" s="25">
        <v>317900</v>
      </c>
      <c r="AM1102" s="25">
        <v>61700</v>
      </c>
      <c r="AN1102" s="25">
        <v>256200</v>
      </c>
      <c r="AO1102" s="25">
        <v>0</v>
      </c>
      <c r="AP1102" s="25">
        <f>Lookups!$B$56*0</f>
        <v>0</v>
      </c>
      <c r="AQ1102" s="25">
        <f>Lookups!$B$56*1</f>
        <v>89850.625589999996</v>
      </c>
      <c r="AR1102" s="25">
        <f>Lookups!$B$57*Inventory[[#This Row],[LnAcres]]</f>
        <v>-47929.131559187132</v>
      </c>
      <c r="AS1102" s="25">
        <f>VLOOKUP(Inventory[[#This Row],[Qlty]],Lookups!$A$62:$E$75,2,FALSE)</f>
        <v>21557.329055999999</v>
      </c>
      <c r="AT1102" s="25">
        <f>VLOOKUP(Inventory[[#This Row],[Cnd]],Lookups!$A$76:$E$84,2,FALSE)</f>
        <v>197752.34721000001</v>
      </c>
      <c r="AU1102" s="25">
        <f>Inventory[[#This Row],[EffAge]]*Lookups!$B$85</f>
        <v>-11598.371226000001</v>
      </c>
      <c r="AV1102" s="25">
        <f>Inventory[[#This Row],[MainFn]]*Lookups!$B$86</f>
        <v>60476.211929448</v>
      </c>
      <c r="AW1102" s="25">
        <f>Inventory[[#This Row],[UpprFn]]*Lookups!$B$87</f>
        <v>0</v>
      </c>
      <c r="AX1102" s="25">
        <f>Inventory[[#This Row],[AddFn]]*Lookups!$B$88</f>
        <v>0</v>
      </c>
      <c r="AY1102" s="25">
        <f>Inventory[[#This Row],[Bsmt]]*Lookups!$B$89</f>
        <v>10469.482288919999</v>
      </c>
      <c r="AZ1102" s="25">
        <f>Inventory[[#This Row],[Fixtures]]*Lookups!$B$90</f>
        <v>18960.110526</v>
      </c>
      <c r="BA1102" s="25">
        <f>Inventory[[#This Row],[WdDeck]]*Lookups!$B$91</f>
        <v>0</v>
      </c>
      <c r="BB1102" s="25">
        <f>ROUND(Inventory[[#This Row],[25Det]],-2)</f>
        <v>0</v>
      </c>
      <c r="BC1102" s="25">
        <f>ROUND(SUM(Inventory[[#This Row],[Mdl Qlty]:[Mdl WdDeck]])+Inventory[[#This Row],[Mdl Res Intercept]],-2)</f>
        <v>297600</v>
      </c>
      <c r="BD1102" s="25">
        <f>ROUND(Inventory[[#This Row],[Mdl Land Intercept]]+Inventory[[#This Row],[Mdl LnAcres]],-2)</f>
        <v>41900</v>
      </c>
      <c r="BE1102" s="25">
        <f>Inventory[[#This Row],[Unadj Res Value]]+Inventory[[#This Row],[Unadj Det Value]]+Inventory[[#This Row],[Unadj Land Value]]</f>
        <v>339500</v>
      </c>
      <c r="BF1102" s="36">
        <f>(Inventory[[#This Row],[Unadj Total Value]]-Inventory[[#This Row],[24Final]])/Inventory[[#This Row],[24Final]]</f>
        <v>6.7945894935514312E-2</v>
      </c>
      <c r="BG1102" s="25">
        <f>VLOOKUP(Inventory[[#This Row],[Nbhd]],Lookups!$Q$2:$T$4,4,FALSE)</f>
        <v>0.99970000000000003</v>
      </c>
      <c r="BH1102" s="25">
        <f>VLOOKUP(Inventory[[#This Row],[Qlty]],Lookups!$O$7:$R$21,4,FALSE)</f>
        <v>1.0067999999999999</v>
      </c>
      <c r="BI1102" s="25">
        <f>VLOOKUP(Inventory[[#This Row],[Cnd]],Lookups!$T$7:$W$16,4,FALSE)</f>
        <v>0.99650000000000005</v>
      </c>
      <c r="BJ1102" s="25">
        <f>VLOOKUP(Inventory[[#This Row],[LivArea Range]],Lookups!$T$25:$W$37,4,FALSE)</f>
        <v>1.0093000000000001</v>
      </c>
      <c r="BK1102" s="25">
        <f>VLOOKUP(Inventory[[#This Row],[Decade]],Lookups!$O$25:$R$42,4,FALSE)</f>
        <v>0.995</v>
      </c>
      <c r="BL1102" s="25">
        <f>Inventory[[#This Row],[Nbhd Adj]]*0.95</f>
        <v>0.94971499999999998</v>
      </c>
      <c r="BM1102" s="25">
        <f>Inventory[[#This Row],[Nbhd Adj]]*Inventory[[#This Row],[Quality Adj]]*Inventory[[#This Row],[Condition Adj]]*Inventory[[#This Row],[Living Area Adj]]*Inventory[[#This Row],[Decade Adj]]*0.95</f>
        <v>0.95687930361479956</v>
      </c>
      <c r="BN1102" s="25">
        <f>ROUND(SUM(Inventory[[#This Row],[Mdl Qlty]:[Mdl WdDeck]])+Inventory[[#This Row],[Mdl Res Intercept]]*Inventory[[#This Row],[Res Adj ]],-2)</f>
        <v>297600</v>
      </c>
      <c r="BO1102" s="25">
        <f>ROUND(Inventory[[#This Row],[25Det]]*Inventory[[#This Row],[Det/Nbhd Adj]],-2)</f>
        <v>0</v>
      </c>
      <c r="BP1102" s="25">
        <f>Inventory[[#This Row],[Adjusted Res]]+Inventory[[#This Row],[Adj Det ]]</f>
        <v>297600</v>
      </c>
      <c r="BQ1102" s="25">
        <f>ROUND((Inventory[[#This Row],[Mdl Land Intercept]]+Inventory[[#This Row],[Mdl LnAcres]])*Inventory[[#This Row],[Det/Nbhd Adj]],-2)</f>
        <v>39800</v>
      </c>
      <c r="BR1102" s="25">
        <f>Inventory[[#This Row],[Adjusted Impr Total]]+Inventory[[#This Row],[Adjusted Land Total]]</f>
        <v>337400</v>
      </c>
      <c r="BS1102" s="36">
        <f>IFERROR((Inventory[[#This Row],[Adjusted Impr Total]]-Inventory[[#This Row],[24Bldg]])/Inventory[[#This Row],[24Bldg]],0)</f>
        <v>0.16159250585480095</v>
      </c>
      <c r="BT1102" s="36">
        <f>(Inventory[[#This Row],[Adjusted Land Total]]-Inventory[[#This Row],[24Lnd]])/Inventory[[#This Row],[24Lnd]]</f>
        <v>-0.35494327390599678</v>
      </c>
      <c r="BU1102" s="36">
        <f>(Inventory[[#This Row],[Adjusted Total]]-Inventory[[#This Row],[24Final]])/Inventory[[#This Row],[24Final]]</f>
        <v>6.1340044039005975E-2</v>
      </c>
    </row>
    <row r="1103" spans="1:73" x14ac:dyDescent="0.3">
      <c r="A1103" s="25">
        <v>2025</v>
      </c>
      <c r="B1103" s="26" t="s">
        <v>2626</v>
      </c>
      <c r="C1103" s="26">
        <f>LN(Inventory[[#This Row],[Acres]])</f>
        <v>-1.2729656758128873</v>
      </c>
      <c r="D1103" s="25">
        <v>0.28000000000000003</v>
      </c>
      <c r="E1103" s="27"/>
      <c r="F1103" s="26" t="s">
        <v>537</v>
      </c>
      <c r="G1103" s="26" t="s">
        <v>126</v>
      </c>
      <c r="H1103" s="26" t="s">
        <v>349</v>
      </c>
      <c r="I1103" s="26" t="s">
        <v>538</v>
      </c>
      <c r="J1103" s="26" t="s">
        <v>539</v>
      </c>
      <c r="K1103" s="26" t="s">
        <v>269</v>
      </c>
      <c r="L1103" s="26" t="s">
        <v>351</v>
      </c>
      <c r="M1103" s="26" t="s">
        <v>303</v>
      </c>
      <c r="N1103" s="26">
        <v>80</v>
      </c>
      <c r="O1103" s="26">
        <f>2024-Inventory[[#This Row],[YrBlt]]</f>
        <v>79</v>
      </c>
      <c r="P1103" s="26">
        <f>2024-Inventory[[#This Row],[EffYr]]</f>
        <v>52</v>
      </c>
      <c r="Q1103" s="25">
        <v>1945</v>
      </c>
      <c r="R1103" s="25">
        <v>1972</v>
      </c>
      <c r="S1103" s="25">
        <v>1306</v>
      </c>
      <c r="T1103" s="27"/>
      <c r="U1103" s="32">
        <v>368</v>
      </c>
      <c r="V1103" s="32">
        <f>Inventory[[#This Row],[Bsmt]]-Inventory[[#This Row],[FnBsmt]]</f>
        <v>0</v>
      </c>
      <c r="W1103" s="32">
        <v>368</v>
      </c>
      <c r="X1103" s="27"/>
      <c r="Y1103" s="27">
        <f>Inventory[[#This Row],[MainFn]]+Inventory[[#This Row],[UpprFn]]+Inventory[[#This Row],[FnBsmt]]+Inventory[[#This Row],[AddFn]]</f>
        <v>1674</v>
      </c>
      <c r="Z1103" s="27">
        <v>2000</v>
      </c>
      <c r="AA1103" s="25">
        <v>5</v>
      </c>
      <c r="AB1103" s="27"/>
      <c r="AC1103" s="27"/>
      <c r="AD1103" s="27"/>
      <c r="AE1103" s="27"/>
      <c r="AF1103" s="27"/>
      <c r="AG1103" s="27"/>
      <c r="AH1103" s="27"/>
      <c r="AI1103" s="25">
        <v>247506</v>
      </c>
      <c r="AJ1103" s="25">
        <v>173254</v>
      </c>
      <c r="AK1103" s="25">
        <v>0</v>
      </c>
      <c r="AL1103" s="25">
        <v>329100</v>
      </c>
      <c r="AM1103" s="25">
        <v>70100</v>
      </c>
      <c r="AN1103" s="25">
        <v>259000</v>
      </c>
      <c r="AO1103" s="25">
        <v>0</v>
      </c>
      <c r="AP1103" s="25">
        <f>Lookups!$B$56*0</f>
        <v>0</v>
      </c>
      <c r="AQ1103" s="25">
        <f>Lookups!$B$56*1</f>
        <v>89850.625589999996</v>
      </c>
      <c r="AR1103" s="25">
        <f>Lookups!$B$57*Inventory[[#This Row],[LnAcres]]</f>
        <v>-40295.239319339329</v>
      </c>
      <c r="AS1103" s="25">
        <f>VLOOKUP(Inventory[[#This Row],[Qlty]],Lookups!$A$62:$E$75,2,FALSE)</f>
        <v>21557.329055999999</v>
      </c>
      <c r="AT1103" s="25">
        <f>VLOOKUP(Inventory[[#This Row],[Cnd]],Lookups!$A$76:$E$84,2,FALSE)</f>
        <v>197752.34721000001</v>
      </c>
      <c r="AU1103" s="25">
        <f>Inventory[[#This Row],[EffAge]]*Lookups!$B$85</f>
        <v>-11598.371226000001</v>
      </c>
      <c r="AV1103" s="25">
        <f>Inventory[[#This Row],[MainFn]]*Lookups!$B$86</f>
        <v>64527.722859362002</v>
      </c>
      <c r="AW1103" s="25">
        <f>Inventory[[#This Row],[UpprFn]]*Lookups!$B$87</f>
        <v>0</v>
      </c>
      <c r="AX1103" s="25">
        <f>Inventory[[#This Row],[AddFn]]*Lookups!$B$88</f>
        <v>0</v>
      </c>
      <c r="AY1103" s="25">
        <f>Inventory[[#This Row],[Bsmt]]*Lookups!$B$89</f>
        <v>10702.137450896</v>
      </c>
      <c r="AZ1103" s="25">
        <f>Inventory[[#This Row],[Fixtures]]*Lookups!$B$90</f>
        <v>18960.110526</v>
      </c>
      <c r="BA1103" s="25">
        <f>Inventory[[#This Row],[WdDeck]]*Lookups!$B$91</f>
        <v>0</v>
      </c>
      <c r="BB1103" s="25">
        <f>ROUND(Inventory[[#This Row],[25Det]],-2)</f>
        <v>0</v>
      </c>
      <c r="BC1103" s="25">
        <f>ROUND(SUM(Inventory[[#This Row],[Mdl Qlty]:[Mdl WdDeck]])+Inventory[[#This Row],[Mdl Res Intercept]],-2)</f>
        <v>301900</v>
      </c>
      <c r="BD1103" s="25">
        <f>ROUND(Inventory[[#This Row],[Mdl Land Intercept]]+Inventory[[#This Row],[Mdl LnAcres]],-2)</f>
        <v>49600</v>
      </c>
      <c r="BE1103" s="25">
        <f>Inventory[[#This Row],[Unadj Res Value]]+Inventory[[#This Row],[Unadj Det Value]]+Inventory[[#This Row],[Unadj Land Value]]</f>
        <v>351500</v>
      </c>
      <c r="BF1103" s="36">
        <f>(Inventory[[#This Row],[Unadj Total Value]]-Inventory[[#This Row],[24Final]])/Inventory[[#This Row],[24Final]]</f>
        <v>6.8064418109996958E-2</v>
      </c>
      <c r="BG1103" s="25">
        <f>VLOOKUP(Inventory[[#This Row],[Nbhd]],Lookups!$Q$2:$T$4,4,FALSE)</f>
        <v>0.99970000000000003</v>
      </c>
      <c r="BH1103" s="25">
        <f>VLOOKUP(Inventory[[#This Row],[Qlty]],Lookups!$O$7:$R$21,4,FALSE)</f>
        <v>1.0067999999999999</v>
      </c>
      <c r="BI1103" s="25">
        <f>VLOOKUP(Inventory[[#This Row],[Cnd]],Lookups!$T$7:$W$16,4,FALSE)</f>
        <v>0.99650000000000005</v>
      </c>
      <c r="BJ1103" s="25">
        <f>VLOOKUP(Inventory[[#This Row],[LivArea Range]],Lookups!$T$25:$W$37,4,FALSE)</f>
        <v>1.0093000000000001</v>
      </c>
      <c r="BK1103" s="25">
        <f>VLOOKUP(Inventory[[#This Row],[Decade]],Lookups!$O$25:$R$42,4,FALSE)</f>
        <v>0.995</v>
      </c>
      <c r="BL1103" s="25">
        <f>Inventory[[#This Row],[Nbhd Adj]]*0.95</f>
        <v>0.94971499999999998</v>
      </c>
      <c r="BM1103" s="25">
        <f>Inventory[[#This Row],[Nbhd Adj]]*Inventory[[#This Row],[Quality Adj]]*Inventory[[#This Row],[Condition Adj]]*Inventory[[#This Row],[Living Area Adj]]*Inventory[[#This Row],[Decade Adj]]*0.95</f>
        <v>0.95687930361479956</v>
      </c>
      <c r="BN1103" s="25">
        <f>ROUND(SUM(Inventory[[#This Row],[Mdl Qlty]:[Mdl WdDeck]])+Inventory[[#This Row],[Mdl Res Intercept]]*Inventory[[#This Row],[Res Adj ]],-2)</f>
        <v>301900</v>
      </c>
      <c r="BO1103" s="25">
        <f>ROUND(Inventory[[#This Row],[25Det]]*Inventory[[#This Row],[Det/Nbhd Adj]],-2)</f>
        <v>0</v>
      </c>
      <c r="BP1103" s="25">
        <f>Inventory[[#This Row],[Adjusted Res]]+Inventory[[#This Row],[Adj Det ]]</f>
        <v>301900</v>
      </c>
      <c r="BQ1103" s="25">
        <f>ROUND((Inventory[[#This Row],[Mdl Land Intercept]]+Inventory[[#This Row],[Mdl LnAcres]])*Inventory[[#This Row],[Det/Nbhd Adj]],-2)</f>
        <v>47100</v>
      </c>
      <c r="BR1103" s="25">
        <f>Inventory[[#This Row],[Adjusted Impr Total]]+Inventory[[#This Row],[Adjusted Land Total]]</f>
        <v>349000</v>
      </c>
      <c r="BS1103" s="36">
        <f>IFERROR((Inventory[[#This Row],[Adjusted Impr Total]]-Inventory[[#This Row],[24Bldg]])/Inventory[[#This Row],[24Bldg]],0)</f>
        <v>0.16563706563706565</v>
      </c>
      <c r="BT1103" s="36">
        <f>(Inventory[[#This Row],[Adjusted Land Total]]-Inventory[[#This Row],[24Lnd]])/Inventory[[#This Row],[24Lnd]]</f>
        <v>-0.32810271041369471</v>
      </c>
      <c r="BU1103" s="36">
        <f>(Inventory[[#This Row],[Adjusted Total]]-Inventory[[#This Row],[24Final]])/Inventory[[#This Row],[24Final]]</f>
        <v>6.0467942874506228E-2</v>
      </c>
    </row>
    <row r="1104" spans="1:73" x14ac:dyDescent="0.3">
      <c r="A1104" s="25">
        <v>2025</v>
      </c>
      <c r="B1104" s="26" t="s">
        <v>2202</v>
      </c>
      <c r="C1104" s="26">
        <f>LN(Inventory[[#This Row],[Acres]])</f>
        <v>-1.5606477482646683</v>
      </c>
      <c r="D1104" s="25">
        <v>0.21</v>
      </c>
      <c r="E1104" s="32">
        <v>9069</v>
      </c>
      <c r="F1104" s="26" t="s">
        <v>537</v>
      </c>
      <c r="G1104" s="26" t="s">
        <v>126</v>
      </c>
      <c r="H1104" s="26" t="s">
        <v>349</v>
      </c>
      <c r="I1104" s="26" t="s">
        <v>538</v>
      </c>
      <c r="J1104" s="26" t="s">
        <v>539</v>
      </c>
      <c r="K1104" s="26" t="s">
        <v>300</v>
      </c>
      <c r="L1104" s="26" t="s">
        <v>302</v>
      </c>
      <c r="M1104" s="26" t="s">
        <v>303</v>
      </c>
      <c r="N1104" s="26">
        <v>80</v>
      </c>
      <c r="O1104" s="26">
        <f>2024-Inventory[[#This Row],[YrBlt]]</f>
        <v>79</v>
      </c>
      <c r="P1104" s="26">
        <f>2024-Inventory[[#This Row],[EffYr]]</f>
        <v>52</v>
      </c>
      <c r="Q1104" s="25">
        <v>1945</v>
      </c>
      <c r="R1104" s="25">
        <v>1972</v>
      </c>
      <c r="S1104" s="25">
        <v>1160</v>
      </c>
      <c r="T1104" s="32">
        <v>1206</v>
      </c>
      <c r="U1104" s="31"/>
      <c r="V1104" s="31">
        <f>Inventory[[#This Row],[Bsmt]]-Inventory[[#This Row],[FnBsmt]]</f>
        <v>0</v>
      </c>
      <c r="W1104" s="31"/>
      <c r="X1104" s="27"/>
      <c r="Y1104" s="27">
        <f>Inventory[[#This Row],[MainFn]]+Inventory[[#This Row],[UpprFn]]+Inventory[[#This Row],[FnBsmt]]+Inventory[[#This Row],[AddFn]]</f>
        <v>2366</v>
      </c>
      <c r="Z1104" s="27">
        <v>2500</v>
      </c>
      <c r="AA1104" s="25">
        <v>10</v>
      </c>
      <c r="AB1104" s="25">
        <v>528</v>
      </c>
      <c r="AC1104" s="27"/>
      <c r="AD1104" s="27"/>
      <c r="AE1104" s="27"/>
      <c r="AF1104" s="27"/>
      <c r="AG1104" s="27"/>
      <c r="AH1104" s="27"/>
      <c r="AI1104" s="25">
        <v>412387</v>
      </c>
      <c r="AJ1104" s="25">
        <v>288671</v>
      </c>
      <c r="AK1104" s="25">
        <v>0</v>
      </c>
      <c r="AL1104" s="25">
        <v>380800</v>
      </c>
      <c r="AM1104" s="25">
        <v>60100</v>
      </c>
      <c r="AN1104" s="25">
        <v>320700</v>
      </c>
      <c r="AO1104" s="25">
        <v>0</v>
      </c>
      <c r="AP1104" s="25">
        <f>Lookups!$B$56*0</f>
        <v>0</v>
      </c>
      <c r="AQ1104" s="25">
        <f>Lookups!$B$56*1</f>
        <v>89850.625589999996</v>
      </c>
      <c r="AR1104" s="25">
        <f>Lookups!$B$57*Inventory[[#This Row],[LnAcres]]</f>
        <v>-49401.70477837498</v>
      </c>
      <c r="AS1104" s="25">
        <f>VLOOKUP(Inventory[[#This Row],[Qlty]],Lookups!$A$62:$E$75,2,FALSE)</f>
        <v>29814.093161000001</v>
      </c>
      <c r="AT1104" s="25">
        <f>VLOOKUP(Inventory[[#This Row],[Cnd]],Lookups!$A$76:$E$84,2,FALSE)</f>
        <v>197752.34721000001</v>
      </c>
      <c r="AU1104" s="25">
        <f>Inventory[[#This Row],[EffAge]]*Lookups!$B$85</f>
        <v>-11598.371226000001</v>
      </c>
      <c r="AV1104" s="25">
        <f>Inventory[[#This Row],[MainFn]]*Lookups!$B$86</f>
        <v>57314.057057320002</v>
      </c>
      <c r="AW1104" s="25">
        <f>Inventory[[#This Row],[UpprFn]]*Lookups!$B$87</f>
        <v>54012.425970365999</v>
      </c>
      <c r="AX1104" s="25">
        <f>Inventory[[#This Row],[AddFn]]*Lookups!$B$88</f>
        <v>0</v>
      </c>
      <c r="AY1104" s="25">
        <f>Inventory[[#This Row],[Bsmt]]*Lookups!$B$89</f>
        <v>0</v>
      </c>
      <c r="AZ1104" s="25">
        <f>Inventory[[#This Row],[Fixtures]]*Lookups!$B$90</f>
        <v>37920.221052000001</v>
      </c>
      <c r="BA1104" s="25">
        <f>Inventory[[#This Row],[WdDeck]]*Lookups!$B$91</f>
        <v>0</v>
      </c>
      <c r="BB1104" s="25">
        <f>ROUND(Inventory[[#This Row],[25Det]],-2)</f>
        <v>0</v>
      </c>
      <c r="BC1104" s="25">
        <f>ROUND(SUM(Inventory[[#This Row],[Mdl Qlty]:[Mdl WdDeck]])+Inventory[[#This Row],[Mdl Res Intercept]],-2)</f>
        <v>365200</v>
      </c>
      <c r="BD1104" s="25">
        <f>ROUND(Inventory[[#This Row],[Mdl Land Intercept]]+Inventory[[#This Row],[Mdl LnAcres]],-2)</f>
        <v>40400</v>
      </c>
      <c r="BE1104" s="25">
        <f>Inventory[[#This Row],[Unadj Res Value]]+Inventory[[#This Row],[Unadj Det Value]]+Inventory[[#This Row],[Unadj Land Value]]</f>
        <v>405600</v>
      </c>
      <c r="BF1104" s="36">
        <f>(Inventory[[#This Row],[Unadj Total Value]]-Inventory[[#This Row],[24Final]])/Inventory[[#This Row],[24Final]]</f>
        <v>6.5126050420168072E-2</v>
      </c>
      <c r="BG1104" s="25">
        <f>VLOOKUP(Inventory[[#This Row],[Nbhd]],Lookups!$Q$2:$T$4,4,FALSE)</f>
        <v>0.99970000000000003</v>
      </c>
      <c r="BH1104" s="25">
        <f>VLOOKUP(Inventory[[#This Row],[Qlty]],Lookups!$O$7:$R$21,4,FALSE)</f>
        <v>1.0088999999999999</v>
      </c>
      <c r="BI1104" s="25">
        <f>VLOOKUP(Inventory[[#This Row],[Cnd]],Lookups!$T$7:$W$16,4,FALSE)</f>
        <v>0.99650000000000005</v>
      </c>
      <c r="BJ1104" s="25">
        <f>VLOOKUP(Inventory[[#This Row],[LivArea Range]],Lookups!$T$25:$W$37,4,FALSE)</f>
        <v>0.98919999999999997</v>
      </c>
      <c r="BK1104" s="25">
        <f>VLOOKUP(Inventory[[#This Row],[Decade]],Lookups!$O$25:$R$42,4,FALSE)</f>
        <v>0.995</v>
      </c>
      <c r="BL1104" s="25">
        <f>Inventory[[#This Row],[Nbhd Adj]]*0.95</f>
        <v>0.94971499999999998</v>
      </c>
      <c r="BM1104" s="25">
        <f>Inventory[[#This Row],[Nbhd Adj]]*Inventory[[#This Row],[Quality Adj]]*Inventory[[#This Row],[Condition Adj]]*Inventory[[#This Row],[Living Area Adj]]*Inventory[[#This Row],[Decade Adj]]*0.95</f>
        <v>0.93977937806455991</v>
      </c>
      <c r="BN1104" s="25">
        <f>ROUND(SUM(Inventory[[#This Row],[Mdl Qlty]:[Mdl WdDeck]])+Inventory[[#This Row],[Mdl Res Intercept]]*Inventory[[#This Row],[Res Adj ]],-2)</f>
        <v>365200</v>
      </c>
      <c r="BO1104" s="25">
        <f>ROUND(Inventory[[#This Row],[25Det]]*Inventory[[#This Row],[Det/Nbhd Adj]],-2)</f>
        <v>0</v>
      </c>
      <c r="BP1104" s="25">
        <f>Inventory[[#This Row],[Adjusted Res]]+Inventory[[#This Row],[Adj Det ]]</f>
        <v>365200</v>
      </c>
      <c r="BQ1104" s="25">
        <f>ROUND((Inventory[[#This Row],[Mdl Land Intercept]]+Inventory[[#This Row],[Mdl LnAcres]])*Inventory[[#This Row],[Det/Nbhd Adj]],-2)</f>
        <v>38400</v>
      </c>
      <c r="BR1104" s="25">
        <f>Inventory[[#This Row],[Adjusted Impr Total]]+Inventory[[#This Row],[Adjusted Land Total]]</f>
        <v>403600</v>
      </c>
      <c r="BS1104" s="36">
        <f>IFERROR((Inventory[[#This Row],[Adjusted Impr Total]]-Inventory[[#This Row],[24Bldg]])/Inventory[[#This Row],[24Bldg]],0)</f>
        <v>0.1387589647645775</v>
      </c>
      <c r="BT1104" s="36">
        <f>(Inventory[[#This Row],[Adjusted Land Total]]-Inventory[[#This Row],[24Lnd]])/Inventory[[#This Row],[24Lnd]]</f>
        <v>-0.36106489184692181</v>
      </c>
      <c r="BU1104" s="36">
        <f>(Inventory[[#This Row],[Adjusted Total]]-Inventory[[#This Row],[24Final]])/Inventory[[#This Row],[24Final]]</f>
        <v>5.9873949579831935E-2</v>
      </c>
    </row>
    <row r="1105" spans="1:73" x14ac:dyDescent="0.3">
      <c r="A1105" s="25">
        <v>2025</v>
      </c>
      <c r="B1105" s="26" t="s">
        <v>1534</v>
      </c>
      <c r="C1105" s="26">
        <f>LN(Inventory[[#This Row],[Acres]])</f>
        <v>-1.7147984280919266</v>
      </c>
      <c r="D1105" s="25">
        <v>0.18</v>
      </c>
      <c r="E1105" s="32">
        <v>7750</v>
      </c>
      <c r="F1105" s="26" t="s">
        <v>537</v>
      </c>
      <c r="G1105" s="26" t="s">
        <v>126</v>
      </c>
      <c r="H1105" s="26" t="s">
        <v>349</v>
      </c>
      <c r="I1105" s="26" t="s">
        <v>538</v>
      </c>
      <c r="J1105" s="26" t="s">
        <v>539</v>
      </c>
      <c r="K1105" s="26" t="s">
        <v>242</v>
      </c>
      <c r="L1105" s="26" t="s">
        <v>351</v>
      </c>
      <c r="M1105" s="26" t="s">
        <v>303</v>
      </c>
      <c r="N1105" s="26">
        <v>80</v>
      </c>
      <c r="O1105" s="26">
        <f>2024-Inventory[[#This Row],[YrBlt]]</f>
        <v>79</v>
      </c>
      <c r="P1105" s="26">
        <f>2024-Inventory[[#This Row],[EffYr]]</f>
        <v>52</v>
      </c>
      <c r="Q1105" s="25">
        <v>1945</v>
      </c>
      <c r="R1105" s="25">
        <v>1972</v>
      </c>
      <c r="S1105" s="25">
        <v>1011</v>
      </c>
      <c r="T1105" s="27"/>
      <c r="U1105" s="32">
        <v>987</v>
      </c>
      <c r="V1105" s="32">
        <f>Inventory[[#This Row],[Bsmt]]-Inventory[[#This Row],[FnBsmt]]</f>
        <v>0</v>
      </c>
      <c r="W1105" s="32">
        <v>987</v>
      </c>
      <c r="X1105" s="27"/>
      <c r="Y1105" s="27">
        <f>Inventory[[#This Row],[MainFn]]+Inventory[[#This Row],[UpprFn]]+Inventory[[#This Row],[FnBsmt]]+Inventory[[#This Row],[AddFn]]</f>
        <v>1998</v>
      </c>
      <c r="Z1105" s="27">
        <v>2000</v>
      </c>
      <c r="AA1105" s="25">
        <v>7</v>
      </c>
      <c r="AB1105" s="27"/>
      <c r="AC1105" s="27"/>
      <c r="AD1105" s="27"/>
      <c r="AE1105" s="27"/>
      <c r="AF1105" s="27"/>
      <c r="AG1105" s="27"/>
      <c r="AH1105" s="27"/>
      <c r="AI1105" s="25">
        <v>244026</v>
      </c>
      <c r="AJ1105" s="25">
        <v>170818</v>
      </c>
      <c r="AK1105" s="25">
        <v>5261</v>
      </c>
      <c r="AL1105" s="25">
        <v>331900</v>
      </c>
      <c r="AM1105" s="25">
        <v>54700</v>
      </c>
      <c r="AN1105" s="25">
        <v>277200</v>
      </c>
      <c r="AO1105" s="25">
        <v>0</v>
      </c>
      <c r="AP1105" s="25">
        <f>Lookups!$B$56*0</f>
        <v>0</v>
      </c>
      <c r="AQ1105" s="25">
        <f>Lookups!$B$56*1</f>
        <v>89850.625589999996</v>
      </c>
      <c r="AR1105" s="25">
        <f>Lookups!$B$57*Inventory[[#This Row],[LnAcres]]</f>
        <v>-54281.285314520763</v>
      </c>
      <c r="AS1105" s="25">
        <f>VLOOKUP(Inventory[[#This Row],[Qlty]],Lookups!$A$62:$E$75,2,FALSE)</f>
        <v>21557.329055999999</v>
      </c>
      <c r="AT1105" s="25">
        <f>VLOOKUP(Inventory[[#This Row],[Cnd]],Lookups!$A$76:$E$84,2,FALSE)</f>
        <v>197752.34721000001</v>
      </c>
      <c r="AU1105" s="25">
        <f>Inventory[[#This Row],[EffAge]]*Lookups!$B$85</f>
        <v>-11598.371226000001</v>
      </c>
      <c r="AV1105" s="25">
        <f>Inventory[[#This Row],[MainFn]]*Lookups!$B$86</f>
        <v>49952.165245647004</v>
      </c>
      <c r="AW1105" s="25">
        <f>Inventory[[#This Row],[UpprFn]]*Lookups!$B$87</f>
        <v>0</v>
      </c>
      <c r="AX1105" s="25">
        <f>Inventory[[#This Row],[AddFn]]*Lookups!$B$88</f>
        <v>0</v>
      </c>
      <c r="AY1105" s="25">
        <f>Inventory[[#This Row],[Bsmt]]*Lookups!$B$89</f>
        <v>28703.830608788998</v>
      </c>
      <c r="AZ1105" s="25">
        <f>Inventory[[#This Row],[Fixtures]]*Lookups!$B$90</f>
        <v>26544.1547364</v>
      </c>
      <c r="BA1105" s="25">
        <f>Inventory[[#This Row],[WdDeck]]*Lookups!$B$91</f>
        <v>0</v>
      </c>
      <c r="BB1105" s="25">
        <f>ROUND(Inventory[[#This Row],[25Det]],-2)</f>
        <v>5300</v>
      </c>
      <c r="BC1105" s="25">
        <f>ROUND(SUM(Inventory[[#This Row],[Mdl Qlty]:[Mdl WdDeck]])+Inventory[[#This Row],[Mdl Res Intercept]],-2)</f>
        <v>312900</v>
      </c>
      <c r="BD1105" s="25">
        <f>ROUND(Inventory[[#This Row],[Mdl Land Intercept]]+Inventory[[#This Row],[Mdl LnAcres]],-2)</f>
        <v>35600</v>
      </c>
      <c r="BE1105" s="25">
        <f>Inventory[[#This Row],[Unadj Res Value]]+Inventory[[#This Row],[Unadj Det Value]]+Inventory[[#This Row],[Unadj Land Value]]</f>
        <v>353800</v>
      </c>
      <c r="BF1105" s="36">
        <f>(Inventory[[#This Row],[Unadj Total Value]]-Inventory[[#This Row],[24Final]])/Inventory[[#This Row],[24Final]]</f>
        <v>6.5983730039168423E-2</v>
      </c>
      <c r="BG1105" s="25">
        <f>VLOOKUP(Inventory[[#This Row],[Nbhd]],Lookups!$Q$2:$T$4,4,FALSE)</f>
        <v>0.99970000000000003</v>
      </c>
      <c r="BH1105" s="25">
        <f>VLOOKUP(Inventory[[#This Row],[Qlty]],Lookups!$O$7:$R$21,4,FALSE)</f>
        <v>1.0067999999999999</v>
      </c>
      <c r="BI1105" s="25">
        <f>VLOOKUP(Inventory[[#This Row],[Cnd]],Lookups!$T$7:$W$16,4,FALSE)</f>
        <v>0.99650000000000005</v>
      </c>
      <c r="BJ1105" s="25">
        <f>VLOOKUP(Inventory[[#This Row],[LivArea Range]],Lookups!$T$25:$W$37,4,FALSE)</f>
        <v>1.0093000000000001</v>
      </c>
      <c r="BK1105" s="25">
        <f>VLOOKUP(Inventory[[#This Row],[Decade]],Lookups!$O$25:$R$42,4,FALSE)</f>
        <v>0.995</v>
      </c>
      <c r="BL1105" s="25">
        <f>Inventory[[#This Row],[Nbhd Adj]]*0.95</f>
        <v>0.94971499999999998</v>
      </c>
      <c r="BM1105" s="25">
        <f>Inventory[[#This Row],[Nbhd Adj]]*Inventory[[#This Row],[Quality Adj]]*Inventory[[#This Row],[Condition Adj]]*Inventory[[#This Row],[Living Area Adj]]*Inventory[[#This Row],[Decade Adj]]*0.95</f>
        <v>0.95687930361479956</v>
      </c>
      <c r="BN1105" s="25">
        <f>ROUND(SUM(Inventory[[#This Row],[Mdl Qlty]:[Mdl WdDeck]])+Inventory[[#This Row],[Mdl Res Intercept]]*Inventory[[#This Row],[Res Adj ]],-2)</f>
        <v>312900</v>
      </c>
      <c r="BO1105" s="25">
        <f>ROUND(Inventory[[#This Row],[25Det]]*Inventory[[#This Row],[Det/Nbhd Adj]],-2)</f>
        <v>5000</v>
      </c>
      <c r="BP1105" s="25">
        <f>Inventory[[#This Row],[Adjusted Res]]+Inventory[[#This Row],[Adj Det ]]</f>
        <v>317900</v>
      </c>
      <c r="BQ1105" s="25">
        <f>ROUND((Inventory[[#This Row],[Mdl Land Intercept]]+Inventory[[#This Row],[Mdl LnAcres]])*Inventory[[#This Row],[Det/Nbhd Adj]],-2)</f>
        <v>33800</v>
      </c>
      <c r="BR1105" s="25">
        <f>Inventory[[#This Row],[Adjusted Impr Total]]+Inventory[[#This Row],[Adjusted Land Total]]</f>
        <v>351700</v>
      </c>
      <c r="BS1105" s="36">
        <f>IFERROR((Inventory[[#This Row],[Adjusted Impr Total]]-Inventory[[#This Row],[24Bldg]])/Inventory[[#This Row],[24Bldg]],0)</f>
        <v>0.14682539682539683</v>
      </c>
      <c r="BT1105" s="36">
        <f>(Inventory[[#This Row],[Adjusted Land Total]]-Inventory[[#This Row],[24Lnd]])/Inventory[[#This Row],[24Lnd]]</f>
        <v>-0.38208409506398539</v>
      </c>
      <c r="BU1105" s="36">
        <f>(Inventory[[#This Row],[Adjusted Total]]-Inventory[[#This Row],[24Final]])/Inventory[[#This Row],[24Final]]</f>
        <v>5.9656523049111176E-2</v>
      </c>
    </row>
    <row r="1106" spans="1:73" x14ac:dyDescent="0.3">
      <c r="A1106" s="25">
        <v>2025</v>
      </c>
      <c r="B1106" s="26" t="s">
        <v>1706</v>
      </c>
      <c r="C1106" s="26">
        <f>LN(Inventory[[#This Row],[Acres]])</f>
        <v>-1.5141277326297755</v>
      </c>
      <c r="D1106" s="25">
        <v>0.22</v>
      </c>
      <c r="E1106" s="32">
        <v>9796</v>
      </c>
      <c r="F1106" s="26" t="s">
        <v>537</v>
      </c>
      <c r="G1106" s="26" t="s">
        <v>126</v>
      </c>
      <c r="H1106" s="26" t="s">
        <v>349</v>
      </c>
      <c r="I1106" s="26" t="s">
        <v>538</v>
      </c>
      <c r="J1106" s="26" t="s">
        <v>539</v>
      </c>
      <c r="K1106" s="26" t="s">
        <v>242</v>
      </c>
      <c r="L1106" s="26" t="s">
        <v>351</v>
      </c>
      <c r="M1106" s="26" t="s">
        <v>303</v>
      </c>
      <c r="N1106" s="26">
        <v>80</v>
      </c>
      <c r="O1106" s="26">
        <f>2024-Inventory[[#This Row],[YrBlt]]</f>
        <v>79</v>
      </c>
      <c r="P1106" s="26">
        <f>2024-Inventory[[#This Row],[EffYr]]</f>
        <v>52</v>
      </c>
      <c r="Q1106" s="25">
        <v>1945</v>
      </c>
      <c r="R1106" s="25">
        <v>1972</v>
      </c>
      <c r="S1106" s="25">
        <v>1750</v>
      </c>
      <c r="T1106" s="27"/>
      <c r="U1106" s="25">
        <v>608</v>
      </c>
      <c r="V1106" s="25">
        <f>Inventory[[#This Row],[Bsmt]]-Inventory[[#This Row],[FnBsmt]]</f>
        <v>0</v>
      </c>
      <c r="W1106" s="25">
        <v>608</v>
      </c>
      <c r="X1106" s="27"/>
      <c r="Y1106" s="27">
        <f>Inventory[[#This Row],[MainFn]]+Inventory[[#This Row],[UpprFn]]+Inventory[[#This Row],[FnBsmt]]+Inventory[[#This Row],[AddFn]]</f>
        <v>2358</v>
      </c>
      <c r="Z1106" s="27">
        <v>2500</v>
      </c>
      <c r="AA1106" s="25">
        <v>11</v>
      </c>
      <c r="AB1106" s="27"/>
      <c r="AC1106" s="27"/>
      <c r="AD1106" s="32">
        <v>110</v>
      </c>
      <c r="AE1106" s="27"/>
      <c r="AF1106" s="27"/>
      <c r="AG1106" s="27"/>
      <c r="AH1106" s="27"/>
      <c r="AI1106" s="25">
        <v>337073</v>
      </c>
      <c r="AJ1106" s="25">
        <v>235951</v>
      </c>
      <c r="AK1106" s="25">
        <v>7632</v>
      </c>
      <c r="AL1106" s="25">
        <v>381600</v>
      </c>
      <c r="AM1106" s="25">
        <v>61700</v>
      </c>
      <c r="AN1106" s="25">
        <v>319900</v>
      </c>
      <c r="AO1106" s="25">
        <v>0</v>
      </c>
      <c r="AP1106" s="25">
        <f>Lookups!$B$56*0</f>
        <v>0</v>
      </c>
      <c r="AQ1106" s="25">
        <f>Lookups!$B$56*1</f>
        <v>89850.625589999996</v>
      </c>
      <c r="AR1106" s="25">
        <f>Lookups!$B$57*Inventory[[#This Row],[LnAcres]]</f>
        <v>-47929.131559187132</v>
      </c>
      <c r="AS1106" s="25">
        <f>VLOOKUP(Inventory[[#This Row],[Qlty]],Lookups!$A$62:$E$75,2,FALSE)</f>
        <v>21557.329055999999</v>
      </c>
      <c r="AT1106" s="25">
        <f>VLOOKUP(Inventory[[#This Row],[Cnd]],Lookups!$A$76:$E$84,2,FALSE)</f>
        <v>197752.34721000001</v>
      </c>
      <c r="AU1106" s="25">
        <f>Inventory[[#This Row],[EffAge]]*Lookups!$B$85</f>
        <v>-11598.371226000001</v>
      </c>
      <c r="AV1106" s="25">
        <f>Inventory[[#This Row],[MainFn]]*Lookups!$B$86</f>
        <v>86465.172284750006</v>
      </c>
      <c r="AW1106" s="25">
        <f>Inventory[[#This Row],[UpprFn]]*Lookups!$B$87</f>
        <v>0</v>
      </c>
      <c r="AX1106" s="25">
        <f>Inventory[[#This Row],[AddFn]]*Lookups!$B$88</f>
        <v>0</v>
      </c>
      <c r="AY1106" s="25">
        <f>Inventory[[#This Row],[Bsmt]]*Lookups!$B$89</f>
        <v>17681.792310175999</v>
      </c>
      <c r="AZ1106" s="25">
        <f>Inventory[[#This Row],[Fixtures]]*Lookups!$B$90</f>
        <v>41712.243157199999</v>
      </c>
      <c r="BA1106" s="25">
        <f>Inventory[[#This Row],[WdDeck]]*Lookups!$B$91</f>
        <v>3662.5066803600002</v>
      </c>
      <c r="BB1106" s="25">
        <f>ROUND(Inventory[[#This Row],[25Det]],-2)</f>
        <v>7600</v>
      </c>
      <c r="BC1106" s="25">
        <f>ROUND(SUM(Inventory[[#This Row],[Mdl Qlty]:[Mdl WdDeck]])+Inventory[[#This Row],[Mdl Res Intercept]],-2)</f>
        <v>357200</v>
      </c>
      <c r="BD1106" s="25">
        <f>ROUND(Inventory[[#This Row],[Mdl Land Intercept]]+Inventory[[#This Row],[Mdl LnAcres]],-2)</f>
        <v>41900</v>
      </c>
      <c r="BE1106" s="25">
        <f>Inventory[[#This Row],[Unadj Res Value]]+Inventory[[#This Row],[Unadj Det Value]]+Inventory[[#This Row],[Unadj Land Value]]</f>
        <v>406700</v>
      </c>
      <c r="BF1106" s="36">
        <f>(Inventory[[#This Row],[Unadj Total Value]]-Inventory[[#This Row],[24Final]])/Inventory[[#This Row],[24Final]]</f>
        <v>6.5775681341719072E-2</v>
      </c>
      <c r="BG1106" s="25">
        <f>VLOOKUP(Inventory[[#This Row],[Nbhd]],Lookups!$Q$2:$T$4,4,FALSE)</f>
        <v>0.99970000000000003</v>
      </c>
      <c r="BH1106" s="25">
        <f>VLOOKUP(Inventory[[#This Row],[Qlty]],Lookups!$O$7:$R$21,4,FALSE)</f>
        <v>1.0067999999999999</v>
      </c>
      <c r="BI1106" s="25">
        <f>VLOOKUP(Inventory[[#This Row],[Cnd]],Lookups!$T$7:$W$16,4,FALSE)</f>
        <v>0.99650000000000005</v>
      </c>
      <c r="BJ1106" s="25">
        <f>VLOOKUP(Inventory[[#This Row],[LivArea Range]],Lookups!$T$25:$W$37,4,FALSE)</f>
        <v>0.98919999999999997</v>
      </c>
      <c r="BK1106" s="25">
        <f>VLOOKUP(Inventory[[#This Row],[Decade]],Lookups!$O$25:$R$42,4,FALSE)</f>
        <v>0.995</v>
      </c>
      <c r="BL1106" s="25">
        <f>Inventory[[#This Row],[Nbhd Adj]]*0.95</f>
        <v>0.94971499999999998</v>
      </c>
      <c r="BM1106" s="25">
        <f>Inventory[[#This Row],[Nbhd Adj]]*Inventory[[#This Row],[Quality Adj]]*Inventory[[#This Row],[Condition Adj]]*Inventory[[#This Row],[Living Area Adj]]*Inventory[[#This Row],[Decade Adj]]*0.95</f>
        <v>0.93782325090236773</v>
      </c>
      <c r="BN1106" s="25">
        <f>ROUND(SUM(Inventory[[#This Row],[Mdl Qlty]:[Mdl WdDeck]])+Inventory[[#This Row],[Mdl Res Intercept]]*Inventory[[#This Row],[Res Adj ]],-2)</f>
        <v>357200</v>
      </c>
      <c r="BO1106" s="25">
        <f>ROUND(Inventory[[#This Row],[25Det]]*Inventory[[#This Row],[Det/Nbhd Adj]],-2)</f>
        <v>7200</v>
      </c>
      <c r="BP1106" s="25">
        <f>Inventory[[#This Row],[Adjusted Res]]+Inventory[[#This Row],[Adj Det ]]</f>
        <v>364400</v>
      </c>
      <c r="BQ1106" s="25">
        <f>ROUND((Inventory[[#This Row],[Mdl Land Intercept]]+Inventory[[#This Row],[Mdl LnAcres]])*Inventory[[#This Row],[Det/Nbhd Adj]],-2)</f>
        <v>39800</v>
      </c>
      <c r="BR1106" s="25">
        <f>Inventory[[#This Row],[Adjusted Impr Total]]+Inventory[[#This Row],[Adjusted Land Total]]</f>
        <v>404200</v>
      </c>
      <c r="BS1106" s="36">
        <f>IFERROR((Inventory[[#This Row],[Adjusted Impr Total]]-Inventory[[#This Row],[24Bldg]])/Inventory[[#This Row],[24Bldg]],0)</f>
        <v>0.13910597061581745</v>
      </c>
      <c r="BT1106" s="36">
        <f>(Inventory[[#This Row],[Adjusted Land Total]]-Inventory[[#This Row],[24Lnd]])/Inventory[[#This Row],[24Lnd]]</f>
        <v>-0.35494327390599678</v>
      </c>
      <c r="BU1106" s="36">
        <f>(Inventory[[#This Row],[Adjusted Total]]-Inventory[[#This Row],[24Final]])/Inventory[[#This Row],[24Final]]</f>
        <v>5.9224318658280921E-2</v>
      </c>
    </row>
    <row r="1107" spans="1:73" x14ac:dyDescent="0.3">
      <c r="A1107" s="25">
        <v>2025</v>
      </c>
      <c r="B1107" s="26" t="s">
        <v>795</v>
      </c>
      <c r="C1107" s="26">
        <f>LN(Inventory[[#This Row],[Acres]])</f>
        <v>-1.6607312068216509</v>
      </c>
      <c r="D1107" s="25">
        <v>0.19</v>
      </c>
      <c r="E1107" s="32">
        <v>8328</v>
      </c>
      <c r="F1107" s="26" t="s">
        <v>537</v>
      </c>
      <c r="G1107" s="26" t="s">
        <v>126</v>
      </c>
      <c r="H1107" s="26" t="s">
        <v>349</v>
      </c>
      <c r="I1107" s="26" t="s">
        <v>538</v>
      </c>
      <c r="J1107" s="26" t="s">
        <v>539</v>
      </c>
      <c r="K1107" s="26" t="s">
        <v>242</v>
      </c>
      <c r="L1107" s="26" t="s">
        <v>351</v>
      </c>
      <c r="M1107" s="26" t="s">
        <v>303</v>
      </c>
      <c r="N1107" s="26">
        <v>80</v>
      </c>
      <c r="O1107" s="26">
        <f>2024-Inventory[[#This Row],[YrBlt]]</f>
        <v>79</v>
      </c>
      <c r="P1107" s="26">
        <f>2024-Inventory[[#This Row],[EffYr]]</f>
        <v>52</v>
      </c>
      <c r="Q1107" s="25">
        <v>1945</v>
      </c>
      <c r="R1107" s="25">
        <v>1972</v>
      </c>
      <c r="S1107" s="25">
        <v>984</v>
      </c>
      <c r="T1107" s="27"/>
      <c r="U1107" s="25">
        <v>984</v>
      </c>
      <c r="V1107" s="25">
        <f>Inventory[[#This Row],[Bsmt]]-Inventory[[#This Row],[FnBsmt]]</f>
        <v>0</v>
      </c>
      <c r="W1107" s="25">
        <v>984</v>
      </c>
      <c r="X1107" s="27"/>
      <c r="Y1107" s="27">
        <f>Inventory[[#This Row],[MainFn]]+Inventory[[#This Row],[UpprFn]]+Inventory[[#This Row],[FnBsmt]]+Inventory[[#This Row],[AddFn]]</f>
        <v>1968</v>
      </c>
      <c r="Z1107" s="27">
        <v>2000</v>
      </c>
      <c r="AA1107" s="25">
        <v>9</v>
      </c>
      <c r="AB1107" s="32">
        <v>176</v>
      </c>
      <c r="AC1107" s="27"/>
      <c r="AD1107" s="27"/>
      <c r="AE1107" s="27"/>
      <c r="AF1107" s="27"/>
      <c r="AG1107" s="27"/>
      <c r="AH1107" s="27"/>
      <c r="AI1107" s="25">
        <v>262667</v>
      </c>
      <c r="AJ1107" s="25">
        <v>183867</v>
      </c>
      <c r="AK1107" s="25">
        <v>0</v>
      </c>
      <c r="AL1107" s="25">
        <v>335100</v>
      </c>
      <c r="AM1107" s="25">
        <v>56600</v>
      </c>
      <c r="AN1107" s="25">
        <v>278500</v>
      </c>
      <c r="AO1107" s="25">
        <v>0</v>
      </c>
      <c r="AP1107" s="25">
        <f>Lookups!$B$56*0</f>
        <v>0</v>
      </c>
      <c r="AQ1107" s="25">
        <f>Lookups!$B$56*1</f>
        <v>89850.625589999996</v>
      </c>
      <c r="AR1107" s="25">
        <f>Lookups!$B$57*Inventory[[#This Row],[LnAcres]]</f>
        <v>-52569.808201026557</v>
      </c>
      <c r="AS1107" s="25">
        <f>VLOOKUP(Inventory[[#This Row],[Qlty]],Lookups!$A$62:$E$75,2,FALSE)</f>
        <v>21557.329055999999</v>
      </c>
      <c r="AT1107" s="25">
        <f>VLOOKUP(Inventory[[#This Row],[Cnd]],Lookups!$A$76:$E$84,2,FALSE)</f>
        <v>197752.34721000001</v>
      </c>
      <c r="AU1107" s="25">
        <f>Inventory[[#This Row],[EffAge]]*Lookups!$B$85</f>
        <v>-11598.371226000001</v>
      </c>
      <c r="AV1107" s="25">
        <f>Inventory[[#This Row],[MainFn]]*Lookups!$B$86</f>
        <v>48618.131158968004</v>
      </c>
      <c r="AW1107" s="25">
        <f>Inventory[[#This Row],[UpprFn]]*Lookups!$B$87</f>
        <v>0</v>
      </c>
      <c r="AX1107" s="25">
        <f>Inventory[[#This Row],[AddFn]]*Lookups!$B$88</f>
        <v>0</v>
      </c>
      <c r="AY1107" s="25">
        <f>Inventory[[#This Row],[Bsmt]]*Lookups!$B$89</f>
        <v>28616.584923047998</v>
      </c>
      <c r="AZ1107" s="25">
        <f>Inventory[[#This Row],[Fixtures]]*Lookups!$B$90</f>
        <v>34128.198946800003</v>
      </c>
      <c r="BA1107" s="25">
        <f>Inventory[[#This Row],[WdDeck]]*Lookups!$B$91</f>
        <v>0</v>
      </c>
      <c r="BB1107" s="25">
        <f>ROUND(Inventory[[#This Row],[25Det]],-2)</f>
        <v>0</v>
      </c>
      <c r="BC1107" s="25">
        <f>ROUND(SUM(Inventory[[#This Row],[Mdl Qlty]:[Mdl WdDeck]])+Inventory[[#This Row],[Mdl Res Intercept]],-2)</f>
        <v>319100</v>
      </c>
      <c r="BD1107" s="25">
        <f>ROUND(Inventory[[#This Row],[Mdl Land Intercept]]+Inventory[[#This Row],[Mdl LnAcres]],-2)</f>
        <v>37300</v>
      </c>
      <c r="BE1107" s="25">
        <f>Inventory[[#This Row],[Unadj Res Value]]+Inventory[[#This Row],[Unadj Det Value]]+Inventory[[#This Row],[Unadj Land Value]]</f>
        <v>356400</v>
      </c>
      <c r="BF1107" s="36">
        <f>(Inventory[[#This Row],[Unadj Total Value]]-Inventory[[#This Row],[24Final]])/Inventory[[#This Row],[24Final]]</f>
        <v>6.356311548791406E-2</v>
      </c>
      <c r="BG1107" s="25">
        <f>VLOOKUP(Inventory[[#This Row],[Nbhd]],Lookups!$Q$2:$T$4,4,FALSE)</f>
        <v>0.99970000000000003</v>
      </c>
      <c r="BH1107" s="25">
        <f>VLOOKUP(Inventory[[#This Row],[Qlty]],Lookups!$O$7:$R$21,4,FALSE)</f>
        <v>1.0067999999999999</v>
      </c>
      <c r="BI1107" s="25">
        <f>VLOOKUP(Inventory[[#This Row],[Cnd]],Lookups!$T$7:$W$16,4,FALSE)</f>
        <v>0.99650000000000005</v>
      </c>
      <c r="BJ1107" s="25">
        <f>VLOOKUP(Inventory[[#This Row],[LivArea Range]],Lookups!$T$25:$W$37,4,FALSE)</f>
        <v>1.0093000000000001</v>
      </c>
      <c r="BK1107" s="25">
        <f>VLOOKUP(Inventory[[#This Row],[Decade]],Lookups!$O$25:$R$42,4,FALSE)</f>
        <v>0.995</v>
      </c>
      <c r="BL1107" s="25">
        <f>Inventory[[#This Row],[Nbhd Adj]]*0.95</f>
        <v>0.94971499999999998</v>
      </c>
      <c r="BM1107" s="25">
        <f>Inventory[[#This Row],[Nbhd Adj]]*Inventory[[#This Row],[Quality Adj]]*Inventory[[#This Row],[Condition Adj]]*Inventory[[#This Row],[Living Area Adj]]*Inventory[[#This Row],[Decade Adj]]*0.95</f>
        <v>0.95687930361479956</v>
      </c>
      <c r="BN1107" s="25">
        <f>ROUND(SUM(Inventory[[#This Row],[Mdl Qlty]:[Mdl WdDeck]])+Inventory[[#This Row],[Mdl Res Intercept]]*Inventory[[#This Row],[Res Adj ]],-2)</f>
        <v>319100</v>
      </c>
      <c r="BO1107" s="25">
        <f>ROUND(Inventory[[#This Row],[25Det]]*Inventory[[#This Row],[Det/Nbhd Adj]],-2)</f>
        <v>0</v>
      </c>
      <c r="BP1107" s="25">
        <f>Inventory[[#This Row],[Adjusted Res]]+Inventory[[#This Row],[Adj Det ]]</f>
        <v>319100</v>
      </c>
      <c r="BQ1107" s="25">
        <f>ROUND((Inventory[[#This Row],[Mdl Land Intercept]]+Inventory[[#This Row],[Mdl LnAcres]])*Inventory[[#This Row],[Det/Nbhd Adj]],-2)</f>
        <v>35400</v>
      </c>
      <c r="BR1107" s="25">
        <f>Inventory[[#This Row],[Adjusted Impr Total]]+Inventory[[#This Row],[Adjusted Land Total]]</f>
        <v>354500</v>
      </c>
      <c r="BS1107" s="36">
        <f>IFERROR((Inventory[[#This Row],[Adjusted Impr Total]]-Inventory[[#This Row],[24Bldg]])/Inventory[[#This Row],[24Bldg]],0)</f>
        <v>0.14578096947935368</v>
      </c>
      <c r="BT1107" s="36">
        <f>(Inventory[[#This Row],[Adjusted Land Total]]-Inventory[[#This Row],[24Lnd]])/Inventory[[#This Row],[24Lnd]]</f>
        <v>-0.37455830388692579</v>
      </c>
      <c r="BU1107" s="36">
        <f>(Inventory[[#This Row],[Adjusted Total]]-Inventory[[#This Row],[24Final]])/Inventory[[#This Row],[24Final]]</f>
        <v>5.7893166219039095E-2</v>
      </c>
    </row>
    <row r="1108" spans="1:73" x14ac:dyDescent="0.3">
      <c r="A1108" s="25">
        <v>2025</v>
      </c>
      <c r="B1108" s="26" t="s">
        <v>1834</v>
      </c>
      <c r="C1108" s="26">
        <f>LN(Inventory[[#This Row],[Acres]])</f>
        <v>-1.5141277326297755</v>
      </c>
      <c r="D1108" s="25">
        <v>0.22</v>
      </c>
      <c r="E1108" s="32">
        <v>9521</v>
      </c>
      <c r="F1108" s="26" t="s">
        <v>537</v>
      </c>
      <c r="G1108" s="26" t="s">
        <v>126</v>
      </c>
      <c r="H1108" s="26" t="s">
        <v>349</v>
      </c>
      <c r="I1108" s="26" t="s">
        <v>538</v>
      </c>
      <c r="J1108" s="26" t="s">
        <v>539</v>
      </c>
      <c r="K1108" s="26" t="s">
        <v>173</v>
      </c>
      <c r="L1108" s="26" t="s">
        <v>302</v>
      </c>
      <c r="M1108" s="26" t="s">
        <v>303</v>
      </c>
      <c r="N1108" s="26">
        <v>80</v>
      </c>
      <c r="O1108" s="26">
        <f>2024-Inventory[[#This Row],[YrBlt]]</f>
        <v>79</v>
      </c>
      <c r="P1108" s="26">
        <f>2024-Inventory[[#This Row],[EffYr]]</f>
        <v>52</v>
      </c>
      <c r="Q1108" s="25">
        <v>1945</v>
      </c>
      <c r="R1108" s="25">
        <v>1972</v>
      </c>
      <c r="S1108" s="25">
        <v>944</v>
      </c>
      <c r="T1108" s="32">
        <v>440</v>
      </c>
      <c r="U1108" s="32">
        <v>864</v>
      </c>
      <c r="V1108" s="32">
        <f>Inventory[[#This Row],[Bsmt]]-Inventory[[#This Row],[FnBsmt]]</f>
        <v>0</v>
      </c>
      <c r="W1108" s="32">
        <v>864</v>
      </c>
      <c r="X1108" s="27"/>
      <c r="Y1108" s="27">
        <f>Inventory[[#This Row],[MainFn]]+Inventory[[#This Row],[UpprFn]]+Inventory[[#This Row],[FnBsmt]]+Inventory[[#This Row],[AddFn]]</f>
        <v>2248</v>
      </c>
      <c r="Z1108" s="27">
        <v>2500</v>
      </c>
      <c r="AA1108" s="25">
        <v>11</v>
      </c>
      <c r="AB1108" s="27"/>
      <c r="AC1108" s="27"/>
      <c r="AD1108" s="25">
        <v>173</v>
      </c>
      <c r="AE1108" s="27"/>
      <c r="AF1108" s="27"/>
      <c r="AG1108" s="27"/>
      <c r="AH1108" s="27"/>
      <c r="AI1108" s="25">
        <v>350788</v>
      </c>
      <c r="AJ1108" s="25">
        <v>245552</v>
      </c>
      <c r="AK1108" s="25">
        <v>6724</v>
      </c>
      <c r="AL1108" s="25">
        <v>379200</v>
      </c>
      <c r="AM1108" s="25">
        <v>61700</v>
      </c>
      <c r="AN1108" s="25">
        <v>317500</v>
      </c>
      <c r="AO1108" s="25">
        <v>0</v>
      </c>
      <c r="AP1108" s="25">
        <f>Lookups!$B$56*0</f>
        <v>0</v>
      </c>
      <c r="AQ1108" s="25">
        <f>Lookups!$B$56*1</f>
        <v>89850.625589999996</v>
      </c>
      <c r="AR1108" s="25">
        <f>Lookups!$B$57*Inventory[[#This Row],[LnAcres]]</f>
        <v>-47929.131559187132</v>
      </c>
      <c r="AS1108" s="25">
        <f>VLOOKUP(Inventory[[#This Row],[Qlty]],Lookups!$A$62:$E$75,2,FALSE)</f>
        <v>29814.093161000001</v>
      </c>
      <c r="AT1108" s="25">
        <f>VLOOKUP(Inventory[[#This Row],[Cnd]],Lookups!$A$76:$E$84,2,FALSE)</f>
        <v>197752.34721000001</v>
      </c>
      <c r="AU1108" s="25">
        <f>Inventory[[#This Row],[EffAge]]*Lookups!$B$85</f>
        <v>-11598.371226000001</v>
      </c>
      <c r="AV1108" s="25">
        <f>Inventory[[#This Row],[MainFn]]*Lookups!$B$86</f>
        <v>46641.784363888</v>
      </c>
      <c r="AW1108" s="25">
        <f>Inventory[[#This Row],[UpprFn]]*Lookups!$B$87</f>
        <v>19706.026058839998</v>
      </c>
      <c r="AX1108" s="25">
        <f>Inventory[[#This Row],[AddFn]]*Lookups!$B$88</f>
        <v>0</v>
      </c>
      <c r="AY1108" s="25">
        <f>Inventory[[#This Row],[Bsmt]]*Lookups!$B$89</f>
        <v>25126.757493408</v>
      </c>
      <c r="AZ1108" s="25">
        <f>Inventory[[#This Row],[Fixtures]]*Lookups!$B$90</f>
        <v>41712.243157199999</v>
      </c>
      <c r="BA1108" s="25">
        <f>Inventory[[#This Row],[WdDeck]]*Lookups!$B$91</f>
        <v>5760.1241427480008</v>
      </c>
      <c r="BB1108" s="25">
        <f>ROUND(Inventory[[#This Row],[25Det]],-2)</f>
        <v>6700</v>
      </c>
      <c r="BC1108" s="25">
        <f>ROUND(SUM(Inventory[[#This Row],[Mdl Qlty]:[Mdl WdDeck]])+Inventory[[#This Row],[Mdl Res Intercept]],-2)</f>
        <v>354900</v>
      </c>
      <c r="BD1108" s="25">
        <f>ROUND(Inventory[[#This Row],[Mdl Land Intercept]]+Inventory[[#This Row],[Mdl LnAcres]],-2)</f>
        <v>41900</v>
      </c>
      <c r="BE1108" s="25">
        <f>Inventory[[#This Row],[Unadj Res Value]]+Inventory[[#This Row],[Unadj Det Value]]+Inventory[[#This Row],[Unadj Land Value]]</f>
        <v>403500</v>
      </c>
      <c r="BF1108" s="36">
        <f>(Inventory[[#This Row],[Unadj Total Value]]-Inventory[[#This Row],[24Final]])/Inventory[[#This Row],[24Final]]</f>
        <v>6.4082278481012653E-2</v>
      </c>
      <c r="BG1108" s="25">
        <f>VLOOKUP(Inventory[[#This Row],[Nbhd]],Lookups!$Q$2:$T$4,4,FALSE)</f>
        <v>0.99970000000000003</v>
      </c>
      <c r="BH1108" s="25">
        <f>VLOOKUP(Inventory[[#This Row],[Qlty]],Lookups!$O$7:$R$21,4,FALSE)</f>
        <v>1.0088999999999999</v>
      </c>
      <c r="BI1108" s="25">
        <f>VLOOKUP(Inventory[[#This Row],[Cnd]],Lookups!$T$7:$W$16,4,FALSE)</f>
        <v>0.99650000000000005</v>
      </c>
      <c r="BJ1108" s="25">
        <f>VLOOKUP(Inventory[[#This Row],[LivArea Range]],Lookups!$T$25:$W$37,4,FALSE)</f>
        <v>0.98919999999999997</v>
      </c>
      <c r="BK1108" s="25">
        <f>VLOOKUP(Inventory[[#This Row],[Decade]],Lookups!$O$25:$R$42,4,FALSE)</f>
        <v>0.995</v>
      </c>
      <c r="BL1108" s="25">
        <f>Inventory[[#This Row],[Nbhd Adj]]*0.95</f>
        <v>0.94971499999999998</v>
      </c>
      <c r="BM1108" s="25">
        <f>Inventory[[#This Row],[Nbhd Adj]]*Inventory[[#This Row],[Quality Adj]]*Inventory[[#This Row],[Condition Adj]]*Inventory[[#This Row],[Living Area Adj]]*Inventory[[#This Row],[Decade Adj]]*0.95</f>
        <v>0.93977937806455991</v>
      </c>
      <c r="BN1108" s="25">
        <f>ROUND(SUM(Inventory[[#This Row],[Mdl Qlty]:[Mdl WdDeck]])+Inventory[[#This Row],[Mdl Res Intercept]]*Inventory[[#This Row],[Res Adj ]],-2)</f>
        <v>354900</v>
      </c>
      <c r="BO1108" s="25">
        <f>ROUND(Inventory[[#This Row],[25Det]]*Inventory[[#This Row],[Det/Nbhd Adj]],-2)</f>
        <v>6400</v>
      </c>
      <c r="BP1108" s="25">
        <f>Inventory[[#This Row],[Adjusted Res]]+Inventory[[#This Row],[Adj Det ]]</f>
        <v>361300</v>
      </c>
      <c r="BQ1108" s="25">
        <f>ROUND((Inventory[[#This Row],[Mdl Land Intercept]]+Inventory[[#This Row],[Mdl LnAcres]])*Inventory[[#This Row],[Det/Nbhd Adj]],-2)</f>
        <v>39800</v>
      </c>
      <c r="BR1108" s="25">
        <f>Inventory[[#This Row],[Adjusted Impr Total]]+Inventory[[#This Row],[Adjusted Land Total]]</f>
        <v>401100</v>
      </c>
      <c r="BS1108" s="36">
        <f>IFERROR((Inventory[[#This Row],[Adjusted Impr Total]]-Inventory[[#This Row],[24Bldg]])/Inventory[[#This Row],[24Bldg]],0)</f>
        <v>0.13795275590551181</v>
      </c>
      <c r="BT1108" s="36">
        <f>(Inventory[[#This Row],[Adjusted Land Total]]-Inventory[[#This Row],[24Lnd]])/Inventory[[#This Row],[24Lnd]]</f>
        <v>-0.35494327390599678</v>
      </c>
      <c r="BU1108" s="36">
        <f>(Inventory[[#This Row],[Adjusted Total]]-Inventory[[#This Row],[24Final]])/Inventory[[#This Row],[24Final]]</f>
        <v>5.7753164556962028E-2</v>
      </c>
    </row>
    <row r="1109" spans="1:73" x14ac:dyDescent="0.3">
      <c r="A1109" s="25">
        <v>2025</v>
      </c>
      <c r="B1109" s="26" t="s">
        <v>2794</v>
      </c>
      <c r="C1109" s="26">
        <f>LN(Inventory[[#This Row],[Acres]])</f>
        <v>-1.6094379124341003</v>
      </c>
      <c r="D1109" s="25">
        <v>0.2</v>
      </c>
      <c r="E1109" s="31"/>
      <c r="F1109" s="26" t="s">
        <v>537</v>
      </c>
      <c r="G1109" s="26" t="s">
        <v>126</v>
      </c>
      <c r="H1109" s="26" t="s">
        <v>349</v>
      </c>
      <c r="I1109" s="26" t="s">
        <v>538</v>
      </c>
      <c r="J1109" s="26" t="s">
        <v>539</v>
      </c>
      <c r="K1109" s="26" t="s">
        <v>242</v>
      </c>
      <c r="L1109" s="26" t="s">
        <v>351</v>
      </c>
      <c r="M1109" s="26" t="s">
        <v>323</v>
      </c>
      <c r="N1109" s="26">
        <v>80</v>
      </c>
      <c r="O1109" s="26">
        <f>2024-Inventory[[#This Row],[YrBlt]]</f>
        <v>79</v>
      </c>
      <c r="P1109" s="26">
        <f>2024-Inventory[[#This Row],[EffYr]]</f>
        <v>52</v>
      </c>
      <c r="Q1109" s="25">
        <v>1945</v>
      </c>
      <c r="R1109" s="25">
        <v>1972</v>
      </c>
      <c r="S1109" s="25">
        <v>1104</v>
      </c>
      <c r="T1109" s="27"/>
      <c r="U1109" s="31"/>
      <c r="V1109" s="31">
        <f>Inventory[[#This Row],[Bsmt]]-Inventory[[#This Row],[FnBsmt]]</f>
        <v>0</v>
      </c>
      <c r="W1109" s="31"/>
      <c r="X1109" s="27"/>
      <c r="Y1109" s="27">
        <f>Inventory[[#This Row],[MainFn]]+Inventory[[#This Row],[UpprFn]]+Inventory[[#This Row],[FnBsmt]]+Inventory[[#This Row],[AddFn]]</f>
        <v>1104</v>
      </c>
      <c r="Z1109" s="27">
        <v>1500</v>
      </c>
      <c r="AA1109" s="25">
        <v>5</v>
      </c>
      <c r="AB1109" s="27"/>
      <c r="AC1109" s="27"/>
      <c r="AD1109" s="31"/>
      <c r="AE1109" s="27"/>
      <c r="AF1109" s="27"/>
      <c r="AG1109" s="27"/>
      <c r="AH1109" s="27"/>
      <c r="AI1109" s="25">
        <v>196295</v>
      </c>
      <c r="AJ1109" s="25">
        <v>133481</v>
      </c>
      <c r="AK1109" s="25">
        <v>10394</v>
      </c>
      <c r="AL1109" s="25">
        <v>275100</v>
      </c>
      <c r="AM1109" s="25">
        <v>58400</v>
      </c>
      <c r="AN1109" s="25">
        <v>216700</v>
      </c>
      <c r="AO1109" s="25">
        <v>0</v>
      </c>
      <c r="AP1109" s="25">
        <f>Lookups!$B$56*0</f>
        <v>0</v>
      </c>
      <c r="AQ1109" s="25">
        <f>Lookups!$B$56*1</f>
        <v>89850.625589999996</v>
      </c>
      <c r="AR1109" s="25">
        <f>Lookups!$B$57*Inventory[[#This Row],[LnAcres]]</f>
        <v>-50946.13867709865</v>
      </c>
      <c r="AS1109" s="25">
        <f>VLOOKUP(Inventory[[#This Row],[Qlty]],Lookups!$A$62:$E$75,2,FALSE)</f>
        <v>21557.329055999999</v>
      </c>
      <c r="AT1109" s="25">
        <f>VLOOKUP(Inventory[[#This Row],[Cnd]],Lookups!$A$76:$E$84,2,FALSE)</f>
        <v>160472.20319</v>
      </c>
      <c r="AU1109" s="25">
        <f>Inventory[[#This Row],[EffAge]]*Lookups!$B$85</f>
        <v>-11598.371226000001</v>
      </c>
      <c r="AV1109" s="25">
        <f>Inventory[[#This Row],[MainFn]]*Lookups!$B$86</f>
        <v>54547.171544208002</v>
      </c>
      <c r="AW1109" s="25">
        <f>Inventory[[#This Row],[UpprFn]]*Lookups!$B$87</f>
        <v>0</v>
      </c>
      <c r="AX1109" s="25">
        <f>Inventory[[#This Row],[AddFn]]*Lookups!$B$88</f>
        <v>0</v>
      </c>
      <c r="AY1109" s="25">
        <f>Inventory[[#This Row],[Bsmt]]*Lookups!$B$89</f>
        <v>0</v>
      </c>
      <c r="AZ1109" s="25">
        <f>Inventory[[#This Row],[Fixtures]]*Lookups!$B$90</f>
        <v>18960.110526</v>
      </c>
      <c r="BA1109" s="25">
        <f>Inventory[[#This Row],[WdDeck]]*Lookups!$B$91</f>
        <v>0</v>
      </c>
      <c r="BB1109" s="25">
        <f>ROUND(Inventory[[#This Row],[25Det]],-2)</f>
        <v>10400</v>
      </c>
      <c r="BC1109" s="25">
        <f>ROUND(SUM(Inventory[[#This Row],[Mdl Qlty]:[Mdl WdDeck]])+Inventory[[#This Row],[Mdl Res Intercept]],-2)</f>
        <v>243900</v>
      </c>
      <c r="BD1109" s="25">
        <f>ROUND(Inventory[[#This Row],[Mdl Land Intercept]]+Inventory[[#This Row],[Mdl LnAcres]],-2)</f>
        <v>38900</v>
      </c>
      <c r="BE1109" s="25">
        <f>Inventory[[#This Row],[Unadj Res Value]]+Inventory[[#This Row],[Unadj Det Value]]+Inventory[[#This Row],[Unadj Land Value]]</f>
        <v>293200</v>
      </c>
      <c r="BF1109" s="36">
        <f>(Inventory[[#This Row],[Unadj Total Value]]-Inventory[[#This Row],[24Final]])/Inventory[[#This Row],[24Final]]</f>
        <v>6.579425663395129E-2</v>
      </c>
      <c r="BG1109" s="25">
        <f>VLOOKUP(Inventory[[#This Row],[Nbhd]],Lookups!$Q$2:$T$4,4,FALSE)</f>
        <v>0.99970000000000003</v>
      </c>
      <c r="BH1109" s="25">
        <f>VLOOKUP(Inventory[[#This Row],[Qlty]],Lookups!$O$7:$R$21,4,FALSE)</f>
        <v>1.0067999999999999</v>
      </c>
      <c r="BI1109" s="25">
        <f>VLOOKUP(Inventory[[#This Row],[Cnd]],Lookups!$T$7:$W$16,4,FALSE)</f>
        <v>0.99729999999999996</v>
      </c>
      <c r="BJ1109" s="25">
        <f>VLOOKUP(Inventory[[#This Row],[LivArea Range]],Lookups!$T$25:$W$37,4,FALSE)</f>
        <v>1.0157</v>
      </c>
      <c r="BK1109" s="25">
        <f>VLOOKUP(Inventory[[#This Row],[Decade]],Lookups!$O$25:$R$42,4,FALSE)</f>
        <v>0.995</v>
      </c>
      <c r="BL1109" s="25">
        <f>Inventory[[#This Row],[Nbhd Adj]]*0.95</f>
        <v>0.94971499999999998</v>
      </c>
      <c r="BM1109" s="25">
        <f>Inventory[[#This Row],[Nbhd Adj]]*Inventory[[#This Row],[Quality Adj]]*Inventory[[#This Row],[Condition Adj]]*Inventory[[#This Row],[Living Area Adj]]*Inventory[[#This Row],[Decade Adj]]*0.95</f>
        <v>0.96371996573175212</v>
      </c>
      <c r="BN1109" s="25">
        <f>ROUND(SUM(Inventory[[#This Row],[Mdl Qlty]:[Mdl WdDeck]])+Inventory[[#This Row],[Mdl Res Intercept]]*Inventory[[#This Row],[Res Adj ]],-2)</f>
        <v>243900</v>
      </c>
      <c r="BO1109" s="25">
        <f>ROUND(Inventory[[#This Row],[25Det]]*Inventory[[#This Row],[Det/Nbhd Adj]],-2)</f>
        <v>9900</v>
      </c>
      <c r="BP1109" s="25">
        <f>Inventory[[#This Row],[Adjusted Res]]+Inventory[[#This Row],[Adj Det ]]</f>
        <v>253800</v>
      </c>
      <c r="BQ1109" s="25">
        <f>ROUND((Inventory[[#This Row],[Mdl Land Intercept]]+Inventory[[#This Row],[Mdl LnAcres]])*Inventory[[#This Row],[Det/Nbhd Adj]],-2)</f>
        <v>36900</v>
      </c>
      <c r="BR1109" s="25">
        <f>Inventory[[#This Row],[Adjusted Impr Total]]+Inventory[[#This Row],[Adjusted Land Total]]</f>
        <v>290700</v>
      </c>
      <c r="BS1109" s="36">
        <f>IFERROR((Inventory[[#This Row],[Adjusted Impr Total]]-Inventory[[#This Row],[24Bldg]])/Inventory[[#This Row],[24Bldg]],0)</f>
        <v>0.17120443008767883</v>
      </c>
      <c r="BT1109" s="36">
        <f>(Inventory[[#This Row],[Adjusted Land Total]]-Inventory[[#This Row],[24Lnd]])/Inventory[[#This Row],[24Lnd]]</f>
        <v>-0.36815068493150682</v>
      </c>
      <c r="BU1109" s="36">
        <f>(Inventory[[#This Row],[Adjusted Total]]-Inventory[[#This Row],[24Final]])/Inventory[[#This Row],[24Final]]</f>
        <v>5.6706652126499453E-2</v>
      </c>
    </row>
    <row r="1110" spans="1:73" x14ac:dyDescent="0.3">
      <c r="A1110" s="25">
        <v>2025</v>
      </c>
      <c r="B1110" s="26" t="s">
        <v>2398</v>
      </c>
      <c r="C1110" s="26">
        <f>LN(Inventory[[#This Row],[Acres]])</f>
        <v>-0.75502258427803282</v>
      </c>
      <c r="D1110" s="25">
        <v>0.47</v>
      </c>
      <c r="E1110" s="31"/>
      <c r="F1110" s="26" t="s">
        <v>537</v>
      </c>
      <c r="G1110" s="26" t="s">
        <v>126</v>
      </c>
      <c r="H1110" s="26" t="s">
        <v>349</v>
      </c>
      <c r="I1110" s="26" t="s">
        <v>538</v>
      </c>
      <c r="J1110" s="26" t="s">
        <v>539</v>
      </c>
      <c r="K1110" s="26" t="s">
        <v>269</v>
      </c>
      <c r="L1110" s="26" t="s">
        <v>351</v>
      </c>
      <c r="M1110" s="26" t="s">
        <v>303</v>
      </c>
      <c r="N1110" s="26">
        <v>80</v>
      </c>
      <c r="O1110" s="26">
        <f>2024-Inventory[[#This Row],[YrBlt]]</f>
        <v>79</v>
      </c>
      <c r="P1110" s="26">
        <f>2024-Inventory[[#This Row],[EffYr]]</f>
        <v>52</v>
      </c>
      <c r="Q1110" s="25">
        <v>1945</v>
      </c>
      <c r="R1110" s="25">
        <v>1972</v>
      </c>
      <c r="S1110" s="25">
        <v>1386</v>
      </c>
      <c r="T1110" s="32">
        <v>660</v>
      </c>
      <c r="U1110" s="25">
        <v>957</v>
      </c>
      <c r="V1110" s="25">
        <f>Inventory[[#This Row],[Bsmt]]-Inventory[[#This Row],[FnBsmt]]</f>
        <v>813</v>
      </c>
      <c r="W1110" s="25">
        <v>144</v>
      </c>
      <c r="X1110" s="27"/>
      <c r="Y1110" s="27">
        <f>Inventory[[#This Row],[MainFn]]+Inventory[[#This Row],[UpprFn]]+Inventory[[#This Row],[FnBsmt]]+Inventory[[#This Row],[AddFn]]</f>
        <v>2190</v>
      </c>
      <c r="Z1110" s="27">
        <v>2500</v>
      </c>
      <c r="AA1110" s="25">
        <v>7</v>
      </c>
      <c r="AB1110" s="27"/>
      <c r="AC1110" s="27"/>
      <c r="AD1110" s="27"/>
      <c r="AE1110" s="27"/>
      <c r="AF1110" s="27"/>
      <c r="AG1110" s="27"/>
      <c r="AH1110" s="27"/>
      <c r="AI1110" s="25">
        <v>346812</v>
      </c>
      <c r="AJ1110" s="25">
        <v>242768</v>
      </c>
      <c r="AK1110" s="25">
        <v>9380</v>
      </c>
      <c r="AL1110" s="25">
        <v>408900</v>
      </c>
      <c r="AM1110" s="25">
        <v>88200</v>
      </c>
      <c r="AN1110" s="25">
        <v>320700</v>
      </c>
      <c r="AO1110" s="25">
        <v>0</v>
      </c>
      <c r="AP1110" s="25">
        <f>Lookups!$B$56*0</f>
        <v>0</v>
      </c>
      <c r="AQ1110" s="25">
        <f>Lookups!$B$56*1</f>
        <v>89850.625589999996</v>
      </c>
      <c r="AR1110" s="25">
        <f>Lookups!$B$57*Inventory[[#This Row],[LnAcres]]</f>
        <v>-23899.949781097919</v>
      </c>
      <c r="AS1110" s="25">
        <f>VLOOKUP(Inventory[[#This Row],[Qlty]],Lookups!$A$62:$E$75,2,FALSE)</f>
        <v>21557.329055999999</v>
      </c>
      <c r="AT1110" s="25">
        <f>VLOOKUP(Inventory[[#This Row],[Cnd]],Lookups!$A$76:$E$84,2,FALSE)</f>
        <v>197752.34721000001</v>
      </c>
      <c r="AU1110" s="25">
        <f>Inventory[[#This Row],[EffAge]]*Lookups!$B$85</f>
        <v>-11598.371226000001</v>
      </c>
      <c r="AV1110" s="25">
        <f>Inventory[[#This Row],[MainFn]]*Lookups!$B$86</f>
        <v>68480.416449522003</v>
      </c>
      <c r="AW1110" s="25">
        <f>Inventory[[#This Row],[UpprFn]]*Lookups!$B$87</f>
        <v>29559.03908826</v>
      </c>
      <c r="AX1110" s="25">
        <f>Inventory[[#This Row],[AddFn]]*Lookups!$B$88</f>
        <v>0</v>
      </c>
      <c r="AY1110" s="25">
        <f>Inventory[[#This Row],[Bsmt]]*Lookups!$B$89</f>
        <v>27831.373751379</v>
      </c>
      <c r="AZ1110" s="25">
        <f>Inventory[[#This Row],[Fixtures]]*Lookups!$B$90</f>
        <v>26544.1547364</v>
      </c>
      <c r="BA1110" s="25">
        <f>Inventory[[#This Row],[WdDeck]]*Lookups!$B$91</f>
        <v>0</v>
      </c>
      <c r="BB1110" s="25">
        <f>ROUND(Inventory[[#This Row],[25Det]],-2)</f>
        <v>9400</v>
      </c>
      <c r="BC1110" s="25">
        <f>ROUND(SUM(Inventory[[#This Row],[Mdl Qlty]:[Mdl WdDeck]])+Inventory[[#This Row],[Mdl Res Intercept]],-2)</f>
        <v>360100</v>
      </c>
      <c r="BD1110" s="25">
        <f>ROUND(Inventory[[#This Row],[Mdl Land Intercept]]+Inventory[[#This Row],[Mdl LnAcres]],-2)</f>
        <v>66000</v>
      </c>
      <c r="BE1110" s="25">
        <f>Inventory[[#This Row],[Unadj Res Value]]+Inventory[[#This Row],[Unadj Det Value]]+Inventory[[#This Row],[Unadj Land Value]]</f>
        <v>435500</v>
      </c>
      <c r="BF1110" s="36">
        <f>(Inventory[[#This Row],[Unadj Total Value]]-Inventory[[#This Row],[24Final]])/Inventory[[#This Row],[24Final]]</f>
        <v>6.5052580092932258E-2</v>
      </c>
      <c r="BG1110" s="25">
        <f>VLOOKUP(Inventory[[#This Row],[Nbhd]],Lookups!$Q$2:$T$4,4,FALSE)</f>
        <v>0.99970000000000003</v>
      </c>
      <c r="BH1110" s="25">
        <f>VLOOKUP(Inventory[[#This Row],[Qlty]],Lookups!$O$7:$R$21,4,FALSE)</f>
        <v>1.0067999999999999</v>
      </c>
      <c r="BI1110" s="25">
        <f>VLOOKUP(Inventory[[#This Row],[Cnd]],Lookups!$T$7:$W$16,4,FALSE)</f>
        <v>0.99650000000000005</v>
      </c>
      <c r="BJ1110" s="25">
        <f>VLOOKUP(Inventory[[#This Row],[LivArea Range]],Lookups!$T$25:$W$37,4,FALSE)</f>
        <v>0.98919999999999997</v>
      </c>
      <c r="BK1110" s="25">
        <f>VLOOKUP(Inventory[[#This Row],[Decade]],Lookups!$O$25:$R$42,4,FALSE)</f>
        <v>0.995</v>
      </c>
      <c r="BL1110" s="25">
        <f>Inventory[[#This Row],[Nbhd Adj]]*0.95</f>
        <v>0.94971499999999998</v>
      </c>
      <c r="BM1110" s="25">
        <f>Inventory[[#This Row],[Nbhd Adj]]*Inventory[[#This Row],[Quality Adj]]*Inventory[[#This Row],[Condition Adj]]*Inventory[[#This Row],[Living Area Adj]]*Inventory[[#This Row],[Decade Adj]]*0.95</f>
        <v>0.93782325090236773</v>
      </c>
      <c r="BN1110" s="25">
        <f>ROUND(SUM(Inventory[[#This Row],[Mdl Qlty]:[Mdl WdDeck]])+Inventory[[#This Row],[Mdl Res Intercept]]*Inventory[[#This Row],[Res Adj ]],-2)</f>
        <v>360100</v>
      </c>
      <c r="BO1110" s="25">
        <f>ROUND(Inventory[[#This Row],[25Det]]*Inventory[[#This Row],[Det/Nbhd Adj]],-2)</f>
        <v>8900</v>
      </c>
      <c r="BP1110" s="25">
        <f>Inventory[[#This Row],[Adjusted Res]]+Inventory[[#This Row],[Adj Det ]]</f>
        <v>369000</v>
      </c>
      <c r="BQ1110" s="25">
        <f>ROUND((Inventory[[#This Row],[Mdl Land Intercept]]+Inventory[[#This Row],[Mdl LnAcres]])*Inventory[[#This Row],[Det/Nbhd Adj]],-2)</f>
        <v>62600</v>
      </c>
      <c r="BR1110" s="25">
        <f>Inventory[[#This Row],[Adjusted Impr Total]]+Inventory[[#This Row],[Adjusted Land Total]]</f>
        <v>431600</v>
      </c>
      <c r="BS1110" s="36">
        <f>IFERROR((Inventory[[#This Row],[Adjusted Impr Total]]-Inventory[[#This Row],[24Bldg]])/Inventory[[#This Row],[24Bldg]],0)</f>
        <v>0.15060804490177737</v>
      </c>
      <c r="BT1110" s="36">
        <f>(Inventory[[#This Row],[Adjusted Land Total]]-Inventory[[#This Row],[24Lnd]])/Inventory[[#This Row],[24Lnd]]</f>
        <v>-0.29024943310657597</v>
      </c>
      <c r="BU1110" s="36">
        <f>(Inventory[[#This Row],[Adjusted Total]]-Inventory[[#This Row],[24Final]])/Inventory[[#This Row],[24Final]]</f>
        <v>5.5514795793592565E-2</v>
      </c>
    </row>
    <row r="1111" spans="1:73" x14ac:dyDescent="0.3">
      <c r="A1111" s="25">
        <v>2025</v>
      </c>
      <c r="B1111" s="26" t="s">
        <v>1512</v>
      </c>
      <c r="C1111" s="26">
        <f>LN(Inventory[[#This Row],[Acres]])</f>
        <v>-1.6094379124341003</v>
      </c>
      <c r="D1111" s="25">
        <v>0.2</v>
      </c>
      <c r="E1111" s="27"/>
      <c r="F1111" s="26" t="s">
        <v>537</v>
      </c>
      <c r="G1111" s="26" t="s">
        <v>126</v>
      </c>
      <c r="H1111" s="26" t="s">
        <v>349</v>
      </c>
      <c r="I1111" s="26" t="s">
        <v>538</v>
      </c>
      <c r="J1111" s="26" t="s">
        <v>638</v>
      </c>
      <c r="K1111" s="26" t="s">
        <v>242</v>
      </c>
      <c r="L1111" s="26" t="s">
        <v>351</v>
      </c>
      <c r="M1111" s="26" t="s">
        <v>323</v>
      </c>
      <c r="N1111" s="26">
        <v>80</v>
      </c>
      <c r="O1111" s="26">
        <f>2024-Inventory[[#This Row],[YrBlt]]</f>
        <v>79</v>
      </c>
      <c r="P1111" s="26">
        <f>2024-Inventory[[#This Row],[EffYr]]</f>
        <v>52</v>
      </c>
      <c r="Q1111" s="25">
        <v>1945</v>
      </c>
      <c r="R1111" s="25">
        <v>1972</v>
      </c>
      <c r="S1111" s="25">
        <v>1882</v>
      </c>
      <c r="T1111" s="31"/>
      <c r="U1111" s="25">
        <v>500</v>
      </c>
      <c r="V1111" s="25">
        <f>Inventory[[#This Row],[Bsmt]]-Inventory[[#This Row],[FnBsmt]]</f>
        <v>500</v>
      </c>
      <c r="W1111" s="31"/>
      <c r="X1111" s="27"/>
      <c r="Y1111" s="27">
        <f>Inventory[[#This Row],[MainFn]]+Inventory[[#This Row],[UpprFn]]+Inventory[[#This Row],[FnBsmt]]+Inventory[[#This Row],[AddFn]]</f>
        <v>1882</v>
      </c>
      <c r="Z1111" s="27">
        <v>2000</v>
      </c>
      <c r="AA1111" s="25">
        <v>7</v>
      </c>
      <c r="AB1111" s="27"/>
      <c r="AC1111" s="27"/>
      <c r="AD1111" s="31"/>
      <c r="AE1111" s="27"/>
      <c r="AF1111" s="27"/>
      <c r="AG1111" s="27"/>
      <c r="AH1111" s="27"/>
      <c r="AI1111" s="25">
        <v>306773</v>
      </c>
      <c r="AJ1111" s="25">
        <v>208606</v>
      </c>
      <c r="AK1111" s="25">
        <v>7608</v>
      </c>
      <c r="AL1111" s="25">
        <v>330400</v>
      </c>
      <c r="AM1111" s="25">
        <v>58400</v>
      </c>
      <c r="AN1111" s="25">
        <v>272000</v>
      </c>
      <c r="AO1111" s="25">
        <v>0</v>
      </c>
      <c r="AP1111" s="25">
        <f>Lookups!$B$56*0</f>
        <v>0</v>
      </c>
      <c r="AQ1111" s="25">
        <f>Lookups!$B$56*1</f>
        <v>89850.625589999996</v>
      </c>
      <c r="AR1111" s="25">
        <f>Lookups!$B$57*Inventory[[#This Row],[LnAcres]]</f>
        <v>-50946.13867709865</v>
      </c>
      <c r="AS1111" s="25">
        <f>VLOOKUP(Inventory[[#This Row],[Qlty]],Lookups!$A$62:$E$75,2,FALSE)</f>
        <v>21557.329055999999</v>
      </c>
      <c r="AT1111" s="25">
        <f>VLOOKUP(Inventory[[#This Row],[Cnd]],Lookups!$A$76:$E$84,2,FALSE)</f>
        <v>160472.20319</v>
      </c>
      <c r="AU1111" s="25">
        <f>Inventory[[#This Row],[EffAge]]*Lookups!$B$85</f>
        <v>-11598.371226000001</v>
      </c>
      <c r="AV1111" s="25">
        <f>Inventory[[#This Row],[MainFn]]*Lookups!$B$86</f>
        <v>92987.116708514004</v>
      </c>
      <c r="AW1111" s="25">
        <f>Inventory[[#This Row],[UpprFn]]*Lookups!$B$87</f>
        <v>0</v>
      </c>
      <c r="AX1111" s="25">
        <f>Inventory[[#This Row],[AddFn]]*Lookups!$B$88</f>
        <v>0</v>
      </c>
      <c r="AY1111" s="25">
        <f>Inventory[[#This Row],[Bsmt]]*Lookups!$B$89</f>
        <v>14540.947623499998</v>
      </c>
      <c r="AZ1111" s="25">
        <f>Inventory[[#This Row],[Fixtures]]*Lookups!$B$90</f>
        <v>26544.1547364</v>
      </c>
      <c r="BA1111" s="25">
        <f>Inventory[[#This Row],[WdDeck]]*Lookups!$B$91</f>
        <v>0</v>
      </c>
      <c r="BB1111" s="25">
        <f>ROUND(Inventory[[#This Row],[25Det]],-2)</f>
        <v>7600</v>
      </c>
      <c r="BC1111" s="25">
        <f>ROUND(SUM(Inventory[[#This Row],[Mdl Qlty]:[Mdl WdDeck]])+Inventory[[#This Row],[Mdl Res Intercept]],-2)</f>
        <v>304500</v>
      </c>
      <c r="BD1111" s="25">
        <f>ROUND(Inventory[[#This Row],[Mdl Land Intercept]]+Inventory[[#This Row],[Mdl LnAcres]],-2)</f>
        <v>38900</v>
      </c>
      <c r="BE1111" s="25">
        <f>Inventory[[#This Row],[Unadj Res Value]]+Inventory[[#This Row],[Unadj Det Value]]+Inventory[[#This Row],[Unadj Land Value]]</f>
        <v>351000</v>
      </c>
      <c r="BF1111" s="36">
        <f>(Inventory[[#This Row],[Unadj Total Value]]-Inventory[[#This Row],[24Final]])/Inventory[[#This Row],[24Final]]</f>
        <v>6.2348668280871669E-2</v>
      </c>
      <c r="BG1111" s="25">
        <f>VLOOKUP(Inventory[[#This Row],[Nbhd]],Lookups!$Q$2:$T$4,4,FALSE)</f>
        <v>0.99970000000000003</v>
      </c>
      <c r="BH1111" s="25">
        <f>VLOOKUP(Inventory[[#This Row],[Qlty]],Lookups!$O$7:$R$21,4,FALSE)</f>
        <v>1.0067999999999999</v>
      </c>
      <c r="BI1111" s="25">
        <f>VLOOKUP(Inventory[[#This Row],[Cnd]],Lookups!$T$7:$W$16,4,FALSE)</f>
        <v>0.99729999999999996</v>
      </c>
      <c r="BJ1111" s="25">
        <f>VLOOKUP(Inventory[[#This Row],[LivArea Range]],Lookups!$T$25:$W$37,4,FALSE)</f>
        <v>1.0093000000000001</v>
      </c>
      <c r="BK1111" s="25">
        <f>VLOOKUP(Inventory[[#This Row],[Decade]],Lookups!$O$25:$R$42,4,FALSE)</f>
        <v>0.995</v>
      </c>
      <c r="BL1111" s="25">
        <f>Inventory[[#This Row],[Nbhd Adj]]*0.95</f>
        <v>0.94971499999999998</v>
      </c>
      <c r="BM1111" s="25">
        <f>Inventory[[#This Row],[Nbhd Adj]]*Inventory[[#This Row],[Quality Adj]]*Inventory[[#This Row],[Condition Adj]]*Inventory[[#This Row],[Living Area Adj]]*Inventory[[#This Row],[Decade Adj]]*0.95</f>
        <v>0.957647495730095</v>
      </c>
      <c r="BN1111" s="25">
        <f>ROUND(SUM(Inventory[[#This Row],[Mdl Qlty]:[Mdl WdDeck]])+Inventory[[#This Row],[Mdl Res Intercept]]*Inventory[[#This Row],[Res Adj ]],-2)</f>
        <v>304500</v>
      </c>
      <c r="BO1111" s="25">
        <f>ROUND(Inventory[[#This Row],[25Det]]*Inventory[[#This Row],[Det/Nbhd Adj]],-2)</f>
        <v>7200</v>
      </c>
      <c r="BP1111" s="25">
        <f>Inventory[[#This Row],[Adjusted Res]]+Inventory[[#This Row],[Adj Det ]]</f>
        <v>311700</v>
      </c>
      <c r="BQ1111" s="25">
        <f>ROUND((Inventory[[#This Row],[Mdl Land Intercept]]+Inventory[[#This Row],[Mdl LnAcres]])*Inventory[[#This Row],[Det/Nbhd Adj]],-2)</f>
        <v>36900</v>
      </c>
      <c r="BR1111" s="25">
        <f>Inventory[[#This Row],[Adjusted Impr Total]]+Inventory[[#This Row],[Adjusted Land Total]]</f>
        <v>348600</v>
      </c>
      <c r="BS1111" s="36">
        <f>IFERROR((Inventory[[#This Row],[Adjusted Impr Total]]-Inventory[[#This Row],[24Bldg]])/Inventory[[#This Row],[24Bldg]],0)</f>
        <v>0.14595588235294119</v>
      </c>
      <c r="BT1111" s="36">
        <f>(Inventory[[#This Row],[Adjusted Land Total]]-Inventory[[#This Row],[24Lnd]])/Inventory[[#This Row],[24Lnd]]</f>
        <v>-0.36815068493150682</v>
      </c>
      <c r="BU1111" s="36">
        <f>(Inventory[[#This Row],[Adjusted Total]]-Inventory[[#This Row],[24Final]])/Inventory[[#This Row],[24Final]]</f>
        <v>5.5084745762711863E-2</v>
      </c>
    </row>
    <row r="1112" spans="1:73" x14ac:dyDescent="0.3">
      <c r="A1112" s="25">
        <v>2025</v>
      </c>
      <c r="B1112" s="26" t="s">
        <v>1850</v>
      </c>
      <c r="C1112" s="26">
        <f>LN(Inventory[[#This Row],[Acres]])</f>
        <v>-1.8971199848858813</v>
      </c>
      <c r="D1112" s="25">
        <v>0.15</v>
      </c>
      <c r="E1112" s="32">
        <v>6500</v>
      </c>
      <c r="F1112" s="26" t="s">
        <v>537</v>
      </c>
      <c r="G1112" s="26" t="s">
        <v>126</v>
      </c>
      <c r="H1112" s="26" t="s">
        <v>349</v>
      </c>
      <c r="I1112" s="26" t="s">
        <v>538</v>
      </c>
      <c r="J1112" s="26" t="s">
        <v>539</v>
      </c>
      <c r="K1112" s="26" t="s">
        <v>242</v>
      </c>
      <c r="L1112" s="26" t="s">
        <v>205</v>
      </c>
      <c r="M1112" s="26" t="s">
        <v>323</v>
      </c>
      <c r="N1112" s="26">
        <v>80</v>
      </c>
      <c r="O1112" s="26">
        <f>2024-Inventory[[#This Row],[YrBlt]]</f>
        <v>79</v>
      </c>
      <c r="P1112" s="26">
        <f>2024-Inventory[[#This Row],[EffYr]]</f>
        <v>52</v>
      </c>
      <c r="Q1112" s="25">
        <v>1945</v>
      </c>
      <c r="R1112" s="25">
        <v>1972</v>
      </c>
      <c r="S1112" s="25">
        <v>1092</v>
      </c>
      <c r="T1112" s="27"/>
      <c r="U1112" s="25">
        <v>110</v>
      </c>
      <c r="V1112" s="25">
        <f>Inventory[[#This Row],[Bsmt]]-Inventory[[#This Row],[FnBsmt]]</f>
        <v>0</v>
      </c>
      <c r="W1112" s="25">
        <v>110</v>
      </c>
      <c r="X1112" s="27"/>
      <c r="Y1112" s="27">
        <f>Inventory[[#This Row],[MainFn]]+Inventory[[#This Row],[UpprFn]]+Inventory[[#This Row],[FnBsmt]]+Inventory[[#This Row],[AddFn]]</f>
        <v>1202</v>
      </c>
      <c r="Z1112" s="27">
        <v>1500</v>
      </c>
      <c r="AA1112" s="25">
        <v>5</v>
      </c>
      <c r="AB1112" s="31"/>
      <c r="AC1112" s="27"/>
      <c r="AD1112" s="32">
        <v>182</v>
      </c>
      <c r="AE1112" s="27"/>
      <c r="AF1112" s="27"/>
      <c r="AG1112" s="27"/>
      <c r="AH1112" s="27"/>
      <c r="AI1112" s="25">
        <v>195267</v>
      </c>
      <c r="AJ1112" s="25">
        <v>132782</v>
      </c>
      <c r="AK1112" s="25">
        <v>7182</v>
      </c>
      <c r="AL1112" s="25">
        <v>252700</v>
      </c>
      <c r="AM1112" s="25">
        <v>48400</v>
      </c>
      <c r="AN1112" s="25">
        <v>204300</v>
      </c>
      <c r="AO1112" s="25">
        <v>0</v>
      </c>
      <c r="AP1112" s="25">
        <f>Lookups!$B$56*0</f>
        <v>0</v>
      </c>
      <c r="AQ1112" s="25">
        <f>Lookups!$B$56*1</f>
        <v>89850.625589999996</v>
      </c>
      <c r="AR1112" s="25">
        <f>Lookups!$B$57*Inventory[[#This Row],[LnAcres]]</f>
        <v>-60052.604136134301</v>
      </c>
      <c r="AS1112" s="25">
        <f>VLOOKUP(Inventory[[#This Row],[Qlty]],Lookups!$A$62:$E$75,2,FALSE)</f>
        <v>0</v>
      </c>
      <c r="AT1112" s="25">
        <f>VLOOKUP(Inventory[[#This Row],[Cnd]],Lookups!$A$76:$E$84,2,FALSE)</f>
        <v>160472.20319</v>
      </c>
      <c r="AU1112" s="25">
        <f>Inventory[[#This Row],[EffAge]]*Lookups!$B$85</f>
        <v>-11598.371226000001</v>
      </c>
      <c r="AV1112" s="25">
        <f>Inventory[[#This Row],[MainFn]]*Lookups!$B$86</f>
        <v>53954.267505684002</v>
      </c>
      <c r="AW1112" s="25">
        <f>Inventory[[#This Row],[UpprFn]]*Lookups!$B$87</f>
        <v>0</v>
      </c>
      <c r="AX1112" s="25">
        <f>Inventory[[#This Row],[AddFn]]*Lookups!$B$88</f>
        <v>0</v>
      </c>
      <c r="AY1112" s="25">
        <f>Inventory[[#This Row],[Bsmt]]*Lookups!$B$89</f>
        <v>3199.0084771699999</v>
      </c>
      <c r="AZ1112" s="25">
        <f>Inventory[[#This Row],[Fixtures]]*Lookups!$B$90</f>
        <v>18960.110526</v>
      </c>
      <c r="BA1112" s="25">
        <f>Inventory[[#This Row],[WdDeck]]*Lookups!$B$91</f>
        <v>6059.7837802320009</v>
      </c>
      <c r="BB1112" s="25">
        <f>ROUND(Inventory[[#This Row],[25Det]],-2)</f>
        <v>7200</v>
      </c>
      <c r="BC1112" s="25">
        <f>ROUND(SUM(Inventory[[#This Row],[Mdl Qlty]:[Mdl WdDeck]])+Inventory[[#This Row],[Mdl Res Intercept]],-2)</f>
        <v>231000</v>
      </c>
      <c r="BD1112" s="25">
        <f>ROUND(Inventory[[#This Row],[Mdl Land Intercept]]+Inventory[[#This Row],[Mdl LnAcres]],-2)</f>
        <v>29800</v>
      </c>
      <c r="BE1112" s="25">
        <f>Inventory[[#This Row],[Unadj Res Value]]+Inventory[[#This Row],[Unadj Det Value]]+Inventory[[#This Row],[Unadj Land Value]]</f>
        <v>268000</v>
      </c>
      <c r="BF1112" s="36">
        <f>(Inventory[[#This Row],[Unadj Total Value]]-Inventory[[#This Row],[24Final]])/Inventory[[#This Row],[24Final]]</f>
        <v>6.0546102097348634E-2</v>
      </c>
      <c r="BG1112" s="25">
        <f>VLOOKUP(Inventory[[#This Row],[Nbhd]],Lookups!$Q$2:$T$4,4,FALSE)</f>
        <v>0.99970000000000003</v>
      </c>
      <c r="BH1112" s="25">
        <f>VLOOKUP(Inventory[[#This Row],[Qlty]],Lookups!$O$7:$R$21,4,FALSE)</f>
        <v>0.99180000000000001</v>
      </c>
      <c r="BI1112" s="25">
        <f>VLOOKUP(Inventory[[#This Row],[Cnd]],Lookups!$T$7:$W$16,4,FALSE)</f>
        <v>0.99729999999999996</v>
      </c>
      <c r="BJ1112" s="25">
        <f>VLOOKUP(Inventory[[#This Row],[LivArea Range]],Lookups!$T$25:$W$37,4,FALSE)</f>
        <v>1.0157</v>
      </c>
      <c r="BK1112" s="25">
        <f>VLOOKUP(Inventory[[#This Row],[Decade]],Lookups!$O$25:$R$42,4,FALSE)</f>
        <v>0.995</v>
      </c>
      <c r="BL1112" s="25">
        <f>Inventory[[#This Row],[Nbhd Adj]]*0.95</f>
        <v>0.94971499999999998</v>
      </c>
      <c r="BM1112" s="25">
        <f>Inventory[[#This Row],[Nbhd Adj]]*Inventory[[#This Row],[Quality Adj]]*Inventory[[#This Row],[Condition Adj]]*Inventory[[#This Row],[Living Area Adj]]*Inventory[[#This Row],[Decade Adj]]*0.95</f>
        <v>0.94936180176077878</v>
      </c>
      <c r="BN1112" s="25">
        <f>ROUND(SUM(Inventory[[#This Row],[Mdl Qlty]:[Mdl WdDeck]])+Inventory[[#This Row],[Mdl Res Intercept]]*Inventory[[#This Row],[Res Adj ]],-2)</f>
        <v>231000</v>
      </c>
      <c r="BO1112" s="25">
        <f>ROUND(Inventory[[#This Row],[25Det]]*Inventory[[#This Row],[Det/Nbhd Adj]],-2)</f>
        <v>6800</v>
      </c>
      <c r="BP1112" s="25">
        <f>Inventory[[#This Row],[Adjusted Res]]+Inventory[[#This Row],[Adj Det ]]</f>
        <v>237800</v>
      </c>
      <c r="BQ1112" s="25">
        <f>ROUND((Inventory[[#This Row],[Mdl Land Intercept]]+Inventory[[#This Row],[Mdl LnAcres]])*Inventory[[#This Row],[Det/Nbhd Adj]],-2)</f>
        <v>28300</v>
      </c>
      <c r="BR1112" s="25">
        <f>Inventory[[#This Row],[Adjusted Impr Total]]+Inventory[[#This Row],[Adjusted Land Total]]</f>
        <v>266100</v>
      </c>
      <c r="BS1112" s="36">
        <f>IFERROR((Inventory[[#This Row],[Adjusted Impr Total]]-Inventory[[#This Row],[24Bldg]])/Inventory[[#This Row],[24Bldg]],0)</f>
        <v>0.16397454723445912</v>
      </c>
      <c r="BT1112" s="36">
        <f>(Inventory[[#This Row],[Adjusted Land Total]]-Inventory[[#This Row],[24Lnd]])/Inventory[[#This Row],[24Lnd]]</f>
        <v>-0.41528925619834711</v>
      </c>
      <c r="BU1112" s="36">
        <f>(Inventory[[#This Row],[Adjusted Total]]-Inventory[[#This Row],[24Final]])/Inventory[[#This Row],[24Final]]</f>
        <v>5.3027305104867431E-2</v>
      </c>
    </row>
    <row r="1113" spans="1:73" x14ac:dyDescent="0.3">
      <c r="A1113" s="25">
        <v>2025</v>
      </c>
      <c r="B1113" s="26" t="s">
        <v>900</v>
      </c>
      <c r="C1113" s="26">
        <f>LN(Inventory[[#This Row],[Acres]])</f>
        <v>-1.7719568419318752</v>
      </c>
      <c r="D1113" s="25">
        <v>0.17</v>
      </c>
      <c r="E1113" s="32">
        <v>7479</v>
      </c>
      <c r="F1113" s="26" t="s">
        <v>537</v>
      </c>
      <c r="G1113" s="26" t="s">
        <v>126</v>
      </c>
      <c r="H1113" s="26" t="s">
        <v>349</v>
      </c>
      <c r="I1113" s="26" t="s">
        <v>538</v>
      </c>
      <c r="J1113" s="26" t="s">
        <v>539</v>
      </c>
      <c r="K1113" s="26" t="s">
        <v>242</v>
      </c>
      <c r="L1113" s="26" t="s">
        <v>351</v>
      </c>
      <c r="M1113" s="26" t="s">
        <v>323</v>
      </c>
      <c r="N1113" s="26">
        <v>80</v>
      </c>
      <c r="O1113" s="26">
        <f>2024-Inventory[[#This Row],[YrBlt]]</f>
        <v>79</v>
      </c>
      <c r="P1113" s="26">
        <f>2024-Inventory[[#This Row],[EffYr]]</f>
        <v>52</v>
      </c>
      <c r="Q1113" s="25">
        <v>1945</v>
      </c>
      <c r="R1113" s="25">
        <v>1972</v>
      </c>
      <c r="S1113" s="25">
        <v>1230</v>
      </c>
      <c r="T1113" s="27"/>
      <c r="U1113" s="25">
        <v>940</v>
      </c>
      <c r="V1113" s="25">
        <f>Inventory[[#This Row],[Bsmt]]-Inventory[[#This Row],[FnBsmt]]</f>
        <v>740</v>
      </c>
      <c r="W1113" s="25">
        <v>200</v>
      </c>
      <c r="X1113" s="27"/>
      <c r="Y1113" s="27">
        <f>Inventory[[#This Row],[MainFn]]+Inventory[[#This Row],[UpprFn]]+Inventory[[#This Row],[FnBsmt]]+Inventory[[#This Row],[AddFn]]</f>
        <v>1430</v>
      </c>
      <c r="Z1113" s="27">
        <v>1500</v>
      </c>
      <c r="AA1113" s="25">
        <v>7</v>
      </c>
      <c r="AB1113" s="25">
        <v>273</v>
      </c>
      <c r="AC1113" s="27"/>
      <c r="AD1113" s="31"/>
      <c r="AE1113" s="27"/>
      <c r="AF1113" s="27"/>
      <c r="AG1113" s="27"/>
      <c r="AH1113" s="27"/>
      <c r="AI1113" s="25">
        <v>266188</v>
      </c>
      <c r="AJ1113" s="25">
        <v>181008</v>
      </c>
      <c r="AK1113" s="25">
        <v>0</v>
      </c>
      <c r="AL1113" s="25">
        <v>301300</v>
      </c>
      <c r="AM1113" s="25">
        <v>52700</v>
      </c>
      <c r="AN1113" s="25">
        <v>248600</v>
      </c>
      <c r="AO1113" s="25">
        <v>0</v>
      </c>
      <c r="AP1113" s="25">
        <f>Lookups!$B$56*0</f>
        <v>0</v>
      </c>
      <c r="AQ1113" s="25">
        <f>Lookups!$B$56*1</f>
        <v>89850.625589999996</v>
      </c>
      <c r="AR1113" s="25">
        <f>Lookups!$B$57*Inventory[[#This Row],[LnAcres]]</f>
        <v>-56090.612940989391</v>
      </c>
      <c r="AS1113" s="25">
        <f>VLOOKUP(Inventory[[#This Row],[Qlty]],Lookups!$A$62:$E$75,2,FALSE)</f>
        <v>21557.329055999999</v>
      </c>
      <c r="AT1113" s="25">
        <f>VLOOKUP(Inventory[[#This Row],[Cnd]],Lookups!$A$76:$E$84,2,FALSE)</f>
        <v>160472.20319</v>
      </c>
      <c r="AU1113" s="25">
        <f>Inventory[[#This Row],[EffAge]]*Lookups!$B$85</f>
        <v>-11598.371226000001</v>
      </c>
      <c r="AV1113" s="25">
        <f>Inventory[[#This Row],[MainFn]]*Lookups!$B$86</f>
        <v>60772.663948710004</v>
      </c>
      <c r="AW1113" s="25">
        <f>Inventory[[#This Row],[UpprFn]]*Lookups!$B$87</f>
        <v>0</v>
      </c>
      <c r="AX1113" s="25">
        <f>Inventory[[#This Row],[AddFn]]*Lookups!$B$88</f>
        <v>0</v>
      </c>
      <c r="AY1113" s="25">
        <f>Inventory[[#This Row],[Bsmt]]*Lookups!$B$89</f>
        <v>27336.981532179998</v>
      </c>
      <c r="AZ1113" s="25">
        <f>Inventory[[#This Row],[Fixtures]]*Lookups!$B$90</f>
        <v>26544.1547364</v>
      </c>
      <c r="BA1113" s="25">
        <f>Inventory[[#This Row],[WdDeck]]*Lookups!$B$91</f>
        <v>0</v>
      </c>
      <c r="BB1113" s="25">
        <f>ROUND(Inventory[[#This Row],[25Det]],-2)</f>
        <v>0</v>
      </c>
      <c r="BC1113" s="25">
        <f>ROUND(SUM(Inventory[[#This Row],[Mdl Qlty]:[Mdl WdDeck]])+Inventory[[#This Row],[Mdl Res Intercept]],-2)</f>
        <v>285100</v>
      </c>
      <c r="BD1113" s="25">
        <f>ROUND(Inventory[[#This Row],[Mdl Land Intercept]]+Inventory[[#This Row],[Mdl LnAcres]],-2)</f>
        <v>33800</v>
      </c>
      <c r="BE1113" s="25">
        <f>Inventory[[#This Row],[Unadj Res Value]]+Inventory[[#This Row],[Unadj Det Value]]+Inventory[[#This Row],[Unadj Land Value]]</f>
        <v>318900</v>
      </c>
      <c r="BF1113" s="36">
        <f>(Inventory[[#This Row],[Unadj Total Value]]-Inventory[[#This Row],[24Final]])/Inventory[[#This Row],[24Final]]</f>
        <v>5.8413541320942584E-2</v>
      </c>
      <c r="BG1113" s="25">
        <f>VLOOKUP(Inventory[[#This Row],[Nbhd]],Lookups!$Q$2:$T$4,4,FALSE)</f>
        <v>0.99970000000000003</v>
      </c>
      <c r="BH1113" s="25">
        <f>VLOOKUP(Inventory[[#This Row],[Qlty]],Lookups!$O$7:$R$21,4,FALSE)</f>
        <v>1.0067999999999999</v>
      </c>
      <c r="BI1113" s="25">
        <f>VLOOKUP(Inventory[[#This Row],[Cnd]],Lookups!$T$7:$W$16,4,FALSE)</f>
        <v>0.99729999999999996</v>
      </c>
      <c r="BJ1113" s="25">
        <f>VLOOKUP(Inventory[[#This Row],[LivArea Range]],Lookups!$T$25:$W$37,4,FALSE)</f>
        <v>1.0157</v>
      </c>
      <c r="BK1113" s="25">
        <f>VLOOKUP(Inventory[[#This Row],[Decade]],Lookups!$O$25:$R$42,4,FALSE)</f>
        <v>0.995</v>
      </c>
      <c r="BL1113" s="25">
        <f>Inventory[[#This Row],[Nbhd Adj]]*0.95</f>
        <v>0.94971499999999998</v>
      </c>
      <c r="BM1113" s="25">
        <f>Inventory[[#This Row],[Nbhd Adj]]*Inventory[[#This Row],[Quality Adj]]*Inventory[[#This Row],[Condition Adj]]*Inventory[[#This Row],[Living Area Adj]]*Inventory[[#This Row],[Decade Adj]]*0.95</f>
        <v>0.96371996573175212</v>
      </c>
      <c r="BN1113" s="25">
        <f>ROUND(SUM(Inventory[[#This Row],[Mdl Qlty]:[Mdl WdDeck]])+Inventory[[#This Row],[Mdl Res Intercept]]*Inventory[[#This Row],[Res Adj ]],-2)</f>
        <v>285100</v>
      </c>
      <c r="BO1113" s="25">
        <f>ROUND(Inventory[[#This Row],[25Det]]*Inventory[[#This Row],[Det/Nbhd Adj]],-2)</f>
        <v>0</v>
      </c>
      <c r="BP1113" s="25">
        <f>Inventory[[#This Row],[Adjusted Res]]+Inventory[[#This Row],[Adj Det ]]</f>
        <v>285100</v>
      </c>
      <c r="BQ1113" s="25">
        <f>ROUND((Inventory[[#This Row],[Mdl Land Intercept]]+Inventory[[#This Row],[Mdl LnAcres]])*Inventory[[#This Row],[Det/Nbhd Adj]],-2)</f>
        <v>32100</v>
      </c>
      <c r="BR1113" s="25">
        <f>Inventory[[#This Row],[Adjusted Impr Total]]+Inventory[[#This Row],[Adjusted Land Total]]</f>
        <v>317200</v>
      </c>
      <c r="BS1113" s="36">
        <f>IFERROR((Inventory[[#This Row],[Adjusted Impr Total]]-Inventory[[#This Row],[24Bldg]])/Inventory[[#This Row],[24Bldg]],0)</f>
        <v>0.14682220434432824</v>
      </c>
      <c r="BT1113" s="36">
        <f>(Inventory[[#This Row],[Adjusted Land Total]]-Inventory[[#This Row],[24Lnd]])/Inventory[[#This Row],[24Lnd]]</f>
        <v>-0.39089184060721061</v>
      </c>
      <c r="BU1113" s="36">
        <f>(Inventory[[#This Row],[Adjusted Total]]-Inventory[[#This Row],[24Final]])/Inventory[[#This Row],[24Final]]</f>
        <v>5.2771324261533359E-2</v>
      </c>
    </row>
    <row r="1114" spans="1:73" x14ac:dyDescent="0.3">
      <c r="A1114" s="25">
        <v>2025</v>
      </c>
      <c r="B1114" s="26" t="s">
        <v>1077</v>
      </c>
      <c r="C1114" s="26">
        <f>LN(Inventory[[#This Row],[Acres]])</f>
        <v>-1.7719568419318752</v>
      </c>
      <c r="D1114" s="25">
        <v>0.17</v>
      </c>
      <c r="E1114" s="25">
        <v>7419</v>
      </c>
      <c r="F1114" s="26" t="s">
        <v>537</v>
      </c>
      <c r="G1114" s="26" t="s">
        <v>126</v>
      </c>
      <c r="H1114" s="26" t="s">
        <v>349</v>
      </c>
      <c r="I1114" s="26" t="s">
        <v>538</v>
      </c>
      <c r="J1114" s="26" t="s">
        <v>539</v>
      </c>
      <c r="K1114" s="26" t="s">
        <v>242</v>
      </c>
      <c r="L1114" s="26" t="s">
        <v>351</v>
      </c>
      <c r="M1114" s="26" t="s">
        <v>323</v>
      </c>
      <c r="N1114" s="26">
        <v>80</v>
      </c>
      <c r="O1114" s="26">
        <f>2024-Inventory[[#This Row],[YrBlt]]</f>
        <v>79</v>
      </c>
      <c r="P1114" s="26">
        <f>2024-Inventory[[#This Row],[EffYr]]</f>
        <v>52</v>
      </c>
      <c r="Q1114" s="25">
        <v>1945</v>
      </c>
      <c r="R1114" s="25">
        <v>1972</v>
      </c>
      <c r="S1114" s="25">
        <v>1062</v>
      </c>
      <c r="T1114" s="27"/>
      <c r="U1114" s="32">
        <v>912</v>
      </c>
      <c r="V1114" s="32">
        <f>Inventory[[#This Row],[Bsmt]]-Inventory[[#This Row],[FnBsmt]]</f>
        <v>456</v>
      </c>
      <c r="W1114" s="32">
        <v>456</v>
      </c>
      <c r="X1114" s="27"/>
      <c r="Y1114" s="27">
        <f>Inventory[[#This Row],[MainFn]]+Inventory[[#This Row],[UpprFn]]+Inventory[[#This Row],[FnBsmt]]+Inventory[[#This Row],[AddFn]]</f>
        <v>1518</v>
      </c>
      <c r="Z1114" s="27">
        <v>2000</v>
      </c>
      <c r="AA1114" s="25">
        <v>8</v>
      </c>
      <c r="AB1114" s="31"/>
      <c r="AC1114" s="27"/>
      <c r="AD1114" s="27"/>
      <c r="AE1114" s="27"/>
      <c r="AF1114" s="27"/>
      <c r="AG1114" s="27"/>
      <c r="AH1114" s="27"/>
      <c r="AI1114" s="25">
        <v>235206</v>
      </c>
      <c r="AJ1114" s="25">
        <v>159940</v>
      </c>
      <c r="AK1114" s="25">
        <v>6724</v>
      </c>
      <c r="AL1114" s="25">
        <v>302400</v>
      </c>
      <c r="AM1114" s="25">
        <v>52700</v>
      </c>
      <c r="AN1114" s="25">
        <v>249700</v>
      </c>
      <c r="AO1114" s="25">
        <v>0</v>
      </c>
      <c r="AP1114" s="25">
        <f>Lookups!$B$56*0</f>
        <v>0</v>
      </c>
      <c r="AQ1114" s="25">
        <f>Lookups!$B$56*1</f>
        <v>89850.625589999996</v>
      </c>
      <c r="AR1114" s="25">
        <f>Lookups!$B$57*Inventory[[#This Row],[LnAcres]]</f>
        <v>-56090.612940989391</v>
      </c>
      <c r="AS1114" s="25">
        <f>VLOOKUP(Inventory[[#This Row],[Qlty]],Lookups!$A$62:$E$75,2,FALSE)</f>
        <v>21557.329055999999</v>
      </c>
      <c r="AT1114" s="25">
        <f>VLOOKUP(Inventory[[#This Row],[Cnd]],Lookups!$A$76:$E$84,2,FALSE)</f>
        <v>160472.20319</v>
      </c>
      <c r="AU1114" s="25">
        <f>Inventory[[#This Row],[EffAge]]*Lookups!$B$85</f>
        <v>-11598.371226000001</v>
      </c>
      <c r="AV1114" s="25">
        <f>Inventory[[#This Row],[MainFn]]*Lookups!$B$86</f>
        <v>52472.007409374004</v>
      </c>
      <c r="AW1114" s="25">
        <f>Inventory[[#This Row],[UpprFn]]*Lookups!$B$87</f>
        <v>0</v>
      </c>
      <c r="AX1114" s="25">
        <f>Inventory[[#This Row],[AddFn]]*Lookups!$B$88</f>
        <v>0</v>
      </c>
      <c r="AY1114" s="25">
        <f>Inventory[[#This Row],[Bsmt]]*Lookups!$B$89</f>
        <v>26522.688465264</v>
      </c>
      <c r="AZ1114" s="25">
        <f>Inventory[[#This Row],[Fixtures]]*Lookups!$B$90</f>
        <v>30336.176841600001</v>
      </c>
      <c r="BA1114" s="25">
        <f>Inventory[[#This Row],[WdDeck]]*Lookups!$B$91</f>
        <v>0</v>
      </c>
      <c r="BB1114" s="25">
        <f>ROUND(Inventory[[#This Row],[25Det]],-2)</f>
        <v>6700</v>
      </c>
      <c r="BC1114" s="25">
        <f>ROUND(SUM(Inventory[[#This Row],[Mdl Qlty]:[Mdl WdDeck]])+Inventory[[#This Row],[Mdl Res Intercept]],-2)</f>
        <v>279800</v>
      </c>
      <c r="BD1114" s="25">
        <f>ROUND(Inventory[[#This Row],[Mdl Land Intercept]]+Inventory[[#This Row],[Mdl LnAcres]],-2)</f>
        <v>33800</v>
      </c>
      <c r="BE1114" s="25">
        <f>Inventory[[#This Row],[Unadj Res Value]]+Inventory[[#This Row],[Unadj Det Value]]+Inventory[[#This Row],[Unadj Land Value]]</f>
        <v>320300</v>
      </c>
      <c r="BF1114" s="36">
        <f>(Inventory[[#This Row],[Unadj Total Value]]-Inventory[[#This Row],[24Final]])/Inventory[[#This Row],[24Final]]</f>
        <v>5.9193121693121693E-2</v>
      </c>
      <c r="BG1114" s="25">
        <f>VLOOKUP(Inventory[[#This Row],[Nbhd]],Lookups!$Q$2:$T$4,4,FALSE)</f>
        <v>0.99970000000000003</v>
      </c>
      <c r="BH1114" s="25">
        <f>VLOOKUP(Inventory[[#This Row],[Qlty]],Lookups!$O$7:$R$21,4,FALSE)</f>
        <v>1.0067999999999999</v>
      </c>
      <c r="BI1114" s="25">
        <f>VLOOKUP(Inventory[[#This Row],[Cnd]],Lookups!$T$7:$W$16,4,FALSE)</f>
        <v>0.99729999999999996</v>
      </c>
      <c r="BJ1114" s="25">
        <f>VLOOKUP(Inventory[[#This Row],[LivArea Range]],Lookups!$T$25:$W$37,4,FALSE)</f>
        <v>1.0093000000000001</v>
      </c>
      <c r="BK1114" s="25">
        <f>VLOOKUP(Inventory[[#This Row],[Decade]],Lookups!$O$25:$R$42,4,FALSE)</f>
        <v>0.995</v>
      </c>
      <c r="BL1114" s="25">
        <f>Inventory[[#This Row],[Nbhd Adj]]*0.95</f>
        <v>0.94971499999999998</v>
      </c>
      <c r="BM1114" s="25">
        <f>Inventory[[#This Row],[Nbhd Adj]]*Inventory[[#This Row],[Quality Adj]]*Inventory[[#This Row],[Condition Adj]]*Inventory[[#This Row],[Living Area Adj]]*Inventory[[#This Row],[Decade Adj]]*0.95</f>
        <v>0.957647495730095</v>
      </c>
      <c r="BN1114" s="25">
        <f>ROUND(SUM(Inventory[[#This Row],[Mdl Qlty]:[Mdl WdDeck]])+Inventory[[#This Row],[Mdl Res Intercept]]*Inventory[[#This Row],[Res Adj ]],-2)</f>
        <v>279800</v>
      </c>
      <c r="BO1114" s="25">
        <f>ROUND(Inventory[[#This Row],[25Det]]*Inventory[[#This Row],[Det/Nbhd Adj]],-2)</f>
        <v>6400</v>
      </c>
      <c r="BP1114" s="25">
        <f>Inventory[[#This Row],[Adjusted Res]]+Inventory[[#This Row],[Adj Det ]]</f>
        <v>286200</v>
      </c>
      <c r="BQ1114" s="25">
        <f>ROUND((Inventory[[#This Row],[Mdl Land Intercept]]+Inventory[[#This Row],[Mdl LnAcres]])*Inventory[[#This Row],[Det/Nbhd Adj]],-2)</f>
        <v>32100</v>
      </c>
      <c r="BR1114" s="25">
        <f>Inventory[[#This Row],[Adjusted Impr Total]]+Inventory[[#This Row],[Adjusted Land Total]]</f>
        <v>318300</v>
      </c>
      <c r="BS1114" s="36">
        <f>IFERROR((Inventory[[#This Row],[Adjusted Impr Total]]-Inventory[[#This Row],[24Bldg]])/Inventory[[#This Row],[24Bldg]],0)</f>
        <v>0.14617541049259111</v>
      </c>
      <c r="BT1114" s="36">
        <f>(Inventory[[#This Row],[Adjusted Land Total]]-Inventory[[#This Row],[24Lnd]])/Inventory[[#This Row],[24Lnd]]</f>
        <v>-0.39089184060721061</v>
      </c>
      <c r="BU1114" s="36">
        <f>(Inventory[[#This Row],[Adjusted Total]]-Inventory[[#This Row],[24Final]])/Inventory[[#This Row],[24Final]]</f>
        <v>5.257936507936508E-2</v>
      </c>
    </row>
    <row r="1115" spans="1:73" x14ac:dyDescent="0.3">
      <c r="A1115" s="25">
        <v>2025</v>
      </c>
      <c r="B1115" s="26" t="s">
        <v>954</v>
      </c>
      <c r="C1115" s="26">
        <f>LN(Inventory[[#This Row],[Acres]])</f>
        <v>-1.6094379124341003</v>
      </c>
      <c r="D1115" s="25">
        <v>0.2</v>
      </c>
      <c r="E1115" s="32">
        <v>8519</v>
      </c>
      <c r="F1115" s="26" t="s">
        <v>537</v>
      </c>
      <c r="G1115" s="26" t="s">
        <v>126</v>
      </c>
      <c r="H1115" s="26" t="s">
        <v>349</v>
      </c>
      <c r="I1115" s="26" t="s">
        <v>538</v>
      </c>
      <c r="J1115" s="26" t="s">
        <v>539</v>
      </c>
      <c r="K1115" s="26" t="s">
        <v>269</v>
      </c>
      <c r="L1115" s="26" t="s">
        <v>148</v>
      </c>
      <c r="M1115" s="26" t="s">
        <v>323</v>
      </c>
      <c r="N1115" s="26">
        <v>80</v>
      </c>
      <c r="O1115" s="26">
        <f>2024-Inventory[[#This Row],[YrBlt]]</f>
        <v>79</v>
      </c>
      <c r="P1115" s="26">
        <f>2024-Inventory[[#This Row],[EffYr]]</f>
        <v>52</v>
      </c>
      <c r="Q1115" s="25">
        <v>1945</v>
      </c>
      <c r="R1115" s="25">
        <v>1972</v>
      </c>
      <c r="S1115" s="25">
        <v>1266</v>
      </c>
      <c r="T1115" s="27"/>
      <c r="U1115" s="32">
        <v>1026</v>
      </c>
      <c r="V1115" s="32">
        <f>Inventory[[#This Row],[Bsmt]]-Inventory[[#This Row],[FnBsmt]]</f>
        <v>496</v>
      </c>
      <c r="W1115" s="32">
        <v>530</v>
      </c>
      <c r="X1115" s="27"/>
      <c r="Y1115" s="27">
        <f>Inventory[[#This Row],[MainFn]]+Inventory[[#This Row],[UpprFn]]+Inventory[[#This Row],[FnBsmt]]+Inventory[[#This Row],[AddFn]]</f>
        <v>1796</v>
      </c>
      <c r="Z1115" s="27">
        <v>2000</v>
      </c>
      <c r="AA1115" s="25">
        <v>7</v>
      </c>
      <c r="AB1115" s="27"/>
      <c r="AC1115" s="27"/>
      <c r="AD1115" s="27"/>
      <c r="AE1115" s="27"/>
      <c r="AF1115" s="27"/>
      <c r="AG1115" s="27"/>
      <c r="AH1115" s="27"/>
      <c r="AI1115" s="25">
        <v>380903</v>
      </c>
      <c r="AJ1115" s="25">
        <v>259014</v>
      </c>
      <c r="AK1115" s="25">
        <v>29235</v>
      </c>
      <c r="AL1115" s="25">
        <v>357800</v>
      </c>
      <c r="AM1115" s="25">
        <v>58400</v>
      </c>
      <c r="AN1115" s="25">
        <v>299400</v>
      </c>
      <c r="AO1115" s="25">
        <v>0</v>
      </c>
      <c r="AP1115" s="25">
        <f>Lookups!$B$56*0</f>
        <v>0</v>
      </c>
      <c r="AQ1115" s="25">
        <f>Lookups!$B$56*1</f>
        <v>89850.625589999996</v>
      </c>
      <c r="AR1115" s="25">
        <f>Lookups!$B$57*Inventory[[#This Row],[LnAcres]]</f>
        <v>-50946.13867709865</v>
      </c>
      <c r="AS1115" s="25">
        <f>VLOOKUP(Inventory[[#This Row],[Qlty]],Lookups!$A$62:$E$75,2,FALSE)</f>
        <v>44121.038090000002</v>
      </c>
      <c r="AT1115" s="25">
        <f>VLOOKUP(Inventory[[#This Row],[Cnd]],Lookups!$A$76:$E$84,2,FALSE)</f>
        <v>160472.20319</v>
      </c>
      <c r="AU1115" s="25">
        <f>Inventory[[#This Row],[EffAge]]*Lookups!$B$85</f>
        <v>-11598.371226000001</v>
      </c>
      <c r="AV1115" s="25">
        <f>Inventory[[#This Row],[MainFn]]*Lookups!$B$86</f>
        <v>62551.376064281998</v>
      </c>
      <c r="AW1115" s="25">
        <f>Inventory[[#This Row],[UpprFn]]*Lookups!$B$87</f>
        <v>0</v>
      </c>
      <c r="AX1115" s="25">
        <f>Inventory[[#This Row],[AddFn]]*Lookups!$B$88</f>
        <v>0</v>
      </c>
      <c r="AY1115" s="25">
        <f>Inventory[[#This Row],[Bsmt]]*Lookups!$B$89</f>
        <v>29838.024523421998</v>
      </c>
      <c r="AZ1115" s="25">
        <f>Inventory[[#This Row],[Fixtures]]*Lookups!$B$90</f>
        <v>26544.1547364</v>
      </c>
      <c r="BA1115" s="25">
        <f>Inventory[[#This Row],[WdDeck]]*Lookups!$B$91</f>
        <v>0</v>
      </c>
      <c r="BB1115" s="25">
        <f>ROUND(Inventory[[#This Row],[25Det]],-2)</f>
        <v>29200</v>
      </c>
      <c r="BC1115" s="25">
        <f>ROUND(SUM(Inventory[[#This Row],[Mdl Qlty]:[Mdl WdDeck]])+Inventory[[#This Row],[Mdl Res Intercept]],-2)</f>
        <v>311900</v>
      </c>
      <c r="BD1115" s="25">
        <f>ROUND(Inventory[[#This Row],[Mdl Land Intercept]]+Inventory[[#This Row],[Mdl LnAcres]],-2)</f>
        <v>38900</v>
      </c>
      <c r="BE1115" s="25">
        <f>Inventory[[#This Row],[Unadj Res Value]]+Inventory[[#This Row],[Unadj Det Value]]+Inventory[[#This Row],[Unadj Land Value]]</f>
        <v>380000</v>
      </c>
      <c r="BF1115" s="36">
        <f>(Inventory[[#This Row],[Unadj Total Value]]-Inventory[[#This Row],[24Final]])/Inventory[[#This Row],[24Final]]</f>
        <v>6.204583566238122E-2</v>
      </c>
      <c r="BG1115" s="25">
        <f>VLOOKUP(Inventory[[#This Row],[Nbhd]],Lookups!$Q$2:$T$4,4,FALSE)</f>
        <v>0.99970000000000003</v>
      </c>
      <c r="BH1115" s="25">
        <f>VLOOKUP(Inventory[[#This Row],[Qlty]],Lookups!$O$7:$R$21,4,FALSE)</f>
        <v>0.98050000000000004</v>
      </c>
      <c r="BI1115" s="25">
        <f>VLOOKUP(Inventory[[#This Row],[Cnd]],Lookups!$T$7:$W$16,4,FALSE)</f>
        <v>0.99729999999999996</v>
      </c>
      <c r="BJ1115" s="25">
        <f>VLOOKUP(Inventory[[#This Row],[LivArea Range]],Lookups!$T$25:$W$37,4,FALSE)</f>
        <v>1.0093000000000001</v>
      </c>
      <c r="BK1115" s="25">
        <f>VLOOKUP(Inventory[[#This Row],[Decade]],Lookups!$O$25:$R$42,4,FALSE)</f>
        <v>0.995</v>
      </c>
      <c r="BL1115" s="25">
        <f>Inventory[[#This Row],[Nbhd Adj]]*0.95</f>
        <v>0.94971499999999998</v>
      </c>
      <c r="BM1115" s="25">
        <f>Inventory[[#This Row],[Nbhd Adj]]*Inventory[[#This Row],[Quality Adj]]*Inventory[[#This Row],[Condition Adj]]*Inventory[[#This Row],[Living Area Adj]]*Inventory[[#This Row],[Decade Adj]]*0.95</f>
        <v>0.93263147552975589</v>
      </c>
      <c r="BN1115" s="25">
        <f>ROUND(SUM(Inventory[[#This Row],[Mdl Qlty]:[Mdl WdDeck]])+Inventory[[#This Row],[Mdl Res Intercept]]*Inventory[[#This Row],[Res Adj ]],-2)</f>
        <v>311900</v>
      </c>
      <c r="BO1115" s="25">
        <f>ROUND(Inventory[[#This Row],[25Det]]*Inventory[[#This Row],[Det/Nbhd Adj]],-2)</f>
        <v>27800</v>
      </c>
      <c r="BP1115" s="25">
        <f>Inventory[[#This Row],[Adjusted Res]]+Inventory[[#This Row],[Adj Det ]]</f>
        <v>339700</v>
      </c>
      <c r="BQ1115" s="25">
        <f>ROUND((Inventory[[#This Row],[Mdl Land Intercept]]+Inventory[[#This Row],[Mdl LnAcres]])*Inventory[[#This Row],[Det/Nbhd Adj]],-2)</f>
        <v>36900</v>
      </c>
      <c r="BR1115" s="25">
        <f>Inventory[[#This Row],[Adjusted Impr Total]]+Inventory[[#This Row],[Adjusted Land Total]]</f>
        <v>376600</v>
      </c>
      <c r="BS1115" s="36">
        <f>IFERROR((Inventory[[#This Row],[Adjusted Impr Total]]-Inventory[[#This Row],[24Bldg]])/Inventory[[#This Row],[24Bldg]],0)</f>
        <v>0.13460253841015363</v>
      </c>
      <c r="BT1115" s="36">
        <f>(Inventory[[#This Row],[Adjusted Land Total]]-Inventory[[#This Row],[24Lnd]])/Inventory[[#This Row],[24Lnd]]</f>
        <v>-0.36815068493150682</v>
      </c>
      <c r="BU1115" s="36">
        <f>(Inventory[[#This Row],[Adjusted Total]]-Inventory[[#This Row],[24Final]])/Inventory[[#This Row],[24Final]]</f>
        <v>5.2543320290665177E-2</v>
      </c>
    </row>
    <row r="1116" spans="1:73" x14ac:dyDescent="0.3">
      <c r="A1116" s="25">
        <v>2025</v>
      </c>
      <c r="B1116" s="26" t="s">
        <v>1536</v>
      </c>
      <c r="C1116" s="26">
        <f>LN(Inventory[[#This Row],[Acres]])</f>
        <v>-1.7719568419318752</v>
      </c>
      <c r="D1116" s="25">
        <v>0.17</v>
      </c>
      <c r="E1116" s="32">
        <v>7518</v>
      </c>
      <c r="F1116" s="26" t="s">
        <v>537</v>
      </c>
      <c r="G1116" s="26" t="s">
        <v>126</v>
      </c>
      <c r="H1116" s="26" t="s">
        <v>349</v>
      </c>
      <c r="I1116" s="26" t="s">
        <v>538</v>
      </c>
      <c r="J1116" s="26" t="s">
        <v>539</v>
      </c>
      <c r="K1116" s="26" t="s">
        <v>242</v>
      </c>
      <c r="L1116" s="26" t="s">
        <v>351</v>
      </c>
      <c r="M1116" s="26" t="s">
        <v>323</v>
      </c>
      <c r="N1116" s="26">
        <v>80</v>
      </c>
      <c r="O1116" s="26">
        <f>2024-Inventory[[#This Row],[YrBlt]]</f>
        <v>79</v>
      </c>
      <c r="P1116" s="26">
        <f>2024-Inventory[[#This Row],[EffYr]]</f>
        <v>52</v>
      </c>
      <c r="Q1116" s="25">
        <v>1945</v>
      </c>
      <c r="R1116" s="25">
        <v>1972</v>
      </c>
      <c r="S1116" s="25">
        <v>1126</v>
      </c>
      <c r="T1116" s="27"/>
      <c r="U1116" s="25">
        <v>1109</v>
      </c>
      <c r="V1116" s="25">
        <f>Inventory[[#This Row],[Bsmt]]-Inventory[[#This Row],[FnBsmt]]</f>
        <v>209</v>
      </c>
      <c r="W1116" s="25">
        <v>900</v>
      </c>
      <c r="X1116" s="27"/>
      <c r="Y1116" s="27">
        <f>Inventory[[#This Row],[MainFn]]+Inventory[[#This Row],[UpprFn]]+Inventory[[#This Row],[FnBsmt]]+Inventory[[#This Row],[AddFn]]</f>
        <v>2026</v>
      </c>
      <c r="Z1116" s="27">
        <v>2500</v>
      </c>
      <c r="AA1116" s="25">
        <v>8</v>
      </c>
      <c r="AB1116" s="31"/>
      <c r="AC1116" s="27"/>
      <c r="AD1116" s="32">
        <v>226</v>
      </c>
      <c r="AE1116" s="27"/>
      <c r="AF1116" s="27"/>
      <c r="AG1116" s="27"/>
      <c r="AH1116" s="27"/>
      <c r="AI1116" s="25">
        <v>269195</v>
      </c>
      <c r="AJ1116" s="25">
        <v>183053</v>
      </c>
      <c r="AK1116" s="25">
        <v>10334</v>
      </c>
      <c r="AL1116" s="25">
        <v>321600</v>
      </c>
      <c r="AM1116" s="25">
        <v>52700</v>
      </c>
      <c r="AN1116" s="25">
        <v>268900</v>
      </c>
      <c r="AO1116" s="25">
        <v>0</v>
      </c>
      <c r="AP1116" s="25">
        <f>Lookups!$B$56*0</f>
        <v>0</v>
      </c>
      <c r="AQ1116" s="25">
        <f>Lookups!$B$56*1</f>
        <v>89850.625589999996</v>
      </c>
      <c r="AR1116" s="25">
        <f>Lookups!$B$57*Inventory[[#This Row],[LnAcres]]</f>
        <v>-56090.612940989391</v>
      </c>
      <c r="AS1116" s="25">
        <f>VLOOKUP(Inventory[[#This Row],[Qlty]],Lookups!$A$62:$E$75,2,FALSE)</f>
        <v>21557.329055999999</v>
      </c>
      <c r="AT1116" s="25">
        <f>VLOOKUP(Inventory[[#This Row],[Cnd]],Lookups!$A$76:$E$84,2,FALSE)</f>
        <v>160472.20319</v>
      </c>
      <c r="AU1116" s="25">
        <f>Inventory[[#This Row],[EffAge]]*Lookups!$B$85</f>
        <v>-11598.371226000001</v>
      </c>
      <c r="AV1116" s="25">
        <f>Inventory[[#This Row],[MainFn]]*Lookups!$B$86</f>
        <v>55634.162281502002</v>
      </c>
      <c r="AW1116" s="25">
        <f>Inventory[[#This Row],[UpprFn]]*Lookups!$B$87</f>
        <v>0</v>
      </c>
      <c r="AX1116" s="25">
        <f>Inventory[[#This Row],[AddFn]]*Lookups!$B$88</f>
        <v>0</v>
      </c>
      <c r="AY1116" s="25">
        <f>Inventory[[#This Row],[Bsmt]]*Lookups!$B$89</f>
        <v>32251.821828922999</v>
      </c>
      <c r="AZ1116" s="25">
        <f>Inventory[[#This Row],[Fixtures]]*Lookups!$B$90</f>
        <v>30336.176841600001</v>
      </c>
      <c r="BA1116" s="25">
        <f>Inventory[[#This Row],[WdDeck]]*Lookups!$B$91</f>
        <v>7524.7864523760009</v>
      </c>
      <c r="BB1116" s="25">
        <f>ROUND(Inventory[[#This Row],[25Det]],-2)</f>
        <v>10300</v>
      </c>
      <c r="BC1116" s="25">
        <f>ROUND(SUM(Inventory[[#This Row],[Mdl Qlty]:[Mdl WdDeck]])+Inventory[[#This Row],[Mdl Res Intercept]],-2)</f>
        <v>296200</v>
      </c>
      <c r="BD1116" s="25">
        <f>ROUND(Inventory[[#This Row],[Mdl Land Intercept]]+Inventory[[#This Row],[Mdl LnAcres]],-2)</f>
        <v>33800</v>
      </c>
      <c r="BE1116" s="25">
        <f>Inventory[[#This Row],[Unadj Res Value]]+Inventory[[#This Row],[Unadj Det Value]]+Inventory[[#This Row],[Unadj Land Value]]</f>
        <v>340300</v>
      </c>
      <c r="BF1116" s="36">
        <f>(Inventory[[#This Row],[Unadj Total Value]]-Inventory[[#This Row],[24Final]])/Inventory[[#This Row],[24Final]]</f>
        <v>5.8146766169154228E-2</v>
      </c>
      <c r="BG1116" s="25">
        <f>VLOOKUP(Inventory[[#This Row],[Nbhd]],Lookups!$Q$2:$T$4,4,FALSE)</f>
        <v>0.99970000000000003</v>
      </c>
      <c r="BH1116" s="25">
        <f>VLOOKUP(Inventory[[#This Row],[Qlty]],Lookups!$O$7:$R$21,4,FALSE)</f>
        <v>1.0067999999999999</v>
      </c>
      <c r="BI1116" s="25">
        <f>VLOOKUP(Inventory[[#This Row],[Cnd]],Lookups!$T$7:$W$16,4,FALSE)</f>
        <v>0.99729999999999996</v>
      </c>
      <c r="BJ1116" s="25">
        <f>VLOOKUP(Inventory[[#This Row],[LivArea Range]],Lookups!$T$25:$W$37,4,FALSE)</f>
        <v>0.98919999999999997</v>
      </c>
      <c r="BK1116" s="25">
        <f>VLOOKUP(Inventory[[#This Row],[Decade]],Lookups!$O$25:$R$42,4,FALSE)</f>
        <v>0.995</v>
      </c>
      <c r="BL1116" s="25">
        <f>Inventory[[#This Row],[Nbhd Adj]]*0.95</f>
        <v>0.94971499999999998</v>
      </c>
      <c r="BM1116" s="25">
        <f>Inventory[[#This Row],[Nbhd Adj]]*Inventory[[#This Row],[Quality Adj]]*Inventory[[#This Row],[Condition Adj]]*Inventory[[#This Row],[Living Area Adj]]*Inventory[[#This Row],[Decade Adj]]*0.95</f>
        <v>0.93857614463114025</v>
      </c>
      <c r="BN1116" s="25">
        <f>ROUND(SUM(Inventory[[#This Row],[Mdl Qlty]:[Mdl WdDeck]])+Inventory[[#This Row],[Mdl Res Intercept]]*Inventory[[#This Row],[Res Adj ]],-2)</f>
        <v>296200</v>
      </c>
      <c r="BO1116" s="25">
        <f>ROUND(Inventory[[#This Row],[25Det]]*Inventory[[#This Row],[Det/Nbhd Adj]],-2)</f>
        <v>9800</v>
      </c>
      <c r="BP1116" s="25">
        <f>Inventory[[#This Row],[Adjusted Res]]+Inventory[[#This Row],[Adj Det ]]</f>
        <v>306000</v>
      </c>
      <c r="BQ1116" s="25">
        <f>ROUND((Inventory[[#This Row],[Mdl Land Intercept]]+Inventory[[#This Row],[Mdl LnAcres]])*Inventory[[#This Row],[Det/Nbhd Adj]],-2)</f>
        <v>32100</v>
      </c>
      <c r="BR1116" s="25">
        <f>Inventory[[#This Row],[Adjusted Impr Total]]+Inventory[[#This Row],[Adjusted Land Total]]</f>
        <v>338100</v>
      </c>
      <c r="BS1116" s="36">
        <f>IFERROR((Inventory[[#This Row],[Adjusted Impr Total]]-Inventory[[#This Row],[24Bldg]])/Inventory[[#This Row],[24Bldg]],0)</f>
        <v>0.13796950539233915</v>
      </c>
      <c r="BT1116" s="36">
        <f>(Inventory[[#This Row],[Adjusted Land Total]]-Inventory[[#This Row],[24Lnd]])/Inventory[[#This Row],[24Lnd]]</f>
        <v>-0.39089184060721061</v>
      </c>
      <c r="BU1116" s="36">
        <f>(Inventory[[#This Row],[Adjusted Total]]-Inventory[[#This Row],[24Final]])/Inventory[[#This Row],[24Final]]</f>
        <v>5.1305970149253734E-2</v>
      </c>
    </row>
    <row r="1117" spans="1:73" x14ac:dyDescent="0.3">
      <c r="A1117" s="25">
        <v>2025</v>
      </c>
      <c r="B1117" s="26" t="s">
        <v>1452</v>
      </c>
      <c r="C1117" s="26">
        <f>LN(Inventory[[#This Row],[Acres]])</f>
        <v>-1.8971199848858813</v>
      </c>
      <c r="D1117" s="25">
        <v>0.15</v>
      </c>
      <c r="E1117" s="32">
        <v>6360</v>
      </c>
      <c r="F1117" s="26" t="s">
        <v>537</v>
      </c>
      <c r="G1117" s="26" t="s">
        <v>126</v>
      </c>
      <c r="H1117" s="26" t="s">
        <v>349</v>
      </c>
      <c r="I1117" s="26" t="s">
        <v>538</v>
      </c>
      <c r="J1117" s="26" t="s">
        <v>539</v>
      </c>
      <c r="K1117" s="26" t="s">
        <v>242</v>
      </c>
      <c r="L1117" s="26" t="s">
        <v>351</v>
      </c>
      <c r="M1117" s="26" t="s">
        <v>303</v>
      </c>
      <c r="N1117" s="26">
        <v>80</v>
      </c>
      <c r="O1117" s="26">
        <f>2024-Inventory[[#This Row],[YrBlt]]</f>
        <v>79</v>
      </c>
      <c r="P1117" s="26">
        <f>2024-Inventory[[#This Row],[EffYr]]</f>
        <v>42</v>
      </c>
      <c r="Q1117" s="25">
        <v>1945</v>
      </c>
      <c r="R1117" s="25">
        <v>1982</v>
      </c>
      <c r="S1117" s="25">
        <v>1137</v>
      </c>
      <c r="T1117" s="27"/>
      <c r="U1117" s="32">
        <v>1182</v>
      </c>
      <c r="V1117" s="32">
        <f>Inventory[[#This Row],[Bsmt]]-Inventory[[#This Row],[FnBsmt]]</f>
        <v>45</v>
      </c>
      <c r="W1117" s="32">
        <v>1137</v>
      </c>
      <c r="X1117" s="27"/>
      <c r="Y1117" s="27">
        <f>Inventory[[#This Row],[MainFn]]+Inventory[[#This Row],[UpprFn]]+Inventory[[#This Row],[FnBsmt]]+Inventory[[#This Row],[AddFn]]</f>
        <v>2274</v>
      </c>
      <c r="Z1117" s="27">
        <v>2500</v>
      </c>
      <c r="AA1117" s="25">
        <v>9</v>
      </c>
      <c r="AB1117" s="27"/>
      <c r="AC1117" s="27"/>
      <c r="AD1117" s="31"/>
      <c r="AE1117" s="27"/>
      <c r="AF1117" s="27"/>
      <c r="AG1117" s="27"/>
      <c r="AH1117" s="27"/>
      <c r="AI1117" s="25">
        <v>291987</v>
      </c>
      <c r="AJ1117" s="25">
        <v>233590</v>
      </c>
      <c r="AK1117" s="25">
        <v>4603</v>
      </c>
      <c r="AL1117" s="25">
        <v>349700</v>
      </c>
      <c r="AM1117" s="25">
        <v>48400</v>
      </c>
      <c r="AN1117" s="25">
        <v>301300</v>
      </c>
      <c r="AO1117" s="25">
        <v>0</v>
      </c>
      <c r="AP1117" s="25">
        <f>Lookups!$B$56*0</f>
        <v>0</v>
      </c>
      <c r="AQ1117" s="25">
        <f>Lookups!$B$56*1</f>
        <v>89850.625589999996</v>
      </c>
      <c r="AR1117" s="25">
        <f>Lookups!$B$57*Inventory[[#This Row],[LnAcres]]</f>
        <v>-60052.604136134301</v>
      </c>
      <c r="AS1117" s="25">
        <f>VLOOKUP(Inventory[[#This Row],[Qlty]],Lookups!$A$62:$E$75,2,FALSE)</f>
        <v>21557.329055999999</v>
      </c>
      <c r="AT1117" s="25">
        <f>VLOOKUP(Inventory[[#This Row],[Cnd]],Lookups!$A$76:$E$84,2,FALSE)</f>
        <v>197752.34721000001</v>
      </c>
      <c r="AU1117" s="25">
        <f>Inventory[[#This Row],[EffAge]]*Lookups!$B$85</f>
        <v>-9367.9152210000011</v>
      </c>
      <c r="AV1117" s="25">
        <f>Inventory[[#This Row],[MainFn]]*Lookups!$B$86</f>
        <v>56177.657650148998</v>
      </c>
      <c r="AW1117" s="25">
        <f>Inventory[[#This Row],[UpprFn]]*Lookups!$B$87</f>
        <v>0</v>
      </c>
      <c r="AX1117" s="25">
        <f>Inventory[[#This Row],[AddFn]]*Lookups!$B$88</f>
        <v>0</v>
      </c>
      <c r="AY1117" s="25">
        <f>Inventory[[#This Row],[Bsmt]]*Lookups!$B$89</f>
        <v>34374.800181954</v>
      </c>
      <c r="AZ1117" s="25">
        <f>Inventory[[#This Row],[Fixtures]]*Lookups!$B$90</f>
        <v>34128.198946800003</v>
      </c>
      <c r="BA1117" s="25">
        <f>Inventory[[#This Row],[WdDeck]]*Lookups!$B$91</f>
        <v>0</v>
      </c>
      <c r="BB1117" s="25">
        <f>ROUND(Inventory[[#This Row],[25Det]],-2)</f>
        <v>4600</v>
      </c>
      <c r="BC1117" s="25">
        <f>ROUND(SUM(Inventory[[#This Row],[Mdl Qlty]:[Mdl WdDeck]])+Inventory[[#This Row],[Mdl Res Intercept]],-2)</f>
        <v>334600</v>
      </c>
      <c r="BD1117" s="25">
        <f>ROUND(Inventory[[#This Row],[Mdl Land Intercept]]+Inventory[[#This Row],[Mdl LnAcres]],-2)</f>
        <v>29800</v>
      </c>
      <c r="BE1117" s="25">
        <f>Inventory[[#This Row],[Unadj Res Value]]+Inventory[[#This Row],[Unadj Det Value]]+Inventory[[#This Row],[Unadj Land Value]]</f>
        <v>369000</v>
      </c>
      <c r="BF1117" s="36">
        <f>(Inventory[[#This Row],[Unadj Total Value]]-Inventory[[#This Row],[24Final]])/Inventory[[#This Row],[24Final]]</f>
        <v>5.5190162996854447E-2</v>
      </c>
      <c r="BG1117" s="25">
        <f>VLOOKUP(Inventory[[#This Row],[Nbhd]],Lookups!$Q$2:$T$4,4,FALSE)</f>
        <v>0.99970000000000003</v>
      </c>
      <c r="BH1117" s="25">
        <f>VLOOKUP(Inventory[[#This Row],[Qlty]],Lookups!$O$7:$R$21,4,FALSE)</f>
        <v>1.0067999999999999</v>
      </c>
      <c r="BI1117" s="25">
        <f>VLOOKUP(Inventory[[#This Row],[Cnd]],Lookups!$T$7:$W$16,4,FALSE)</f>
        <v>0.99650000000000005</v>
      </c>
      <c r="BJ1117" s="25">
        <f>VLOOKUP(Inventory[[#This Row],[LivArea Range]],Lookups!$T$25:$W$37,4,FALSE)</f>
        <v>0.98919999999999997</v>
      </c>
      <c r="BK1117" s="25">
        <f>VLOOKUP(Inventory[[#This Row],[Decade]],Lookups!$O$25:$R$42,4,FALSE)</f>
        <v>0.995</v>
      </c>
      <c r="BL1117" s="25">
        <f>Inventory[[#This Row],[Nbhd Adj]]*0.95</f>
        <v>0.94971499999999998</v>
      </c>
      <c r="BM1117" s="25">
        <f>Inventory[[#This Row],[Nbhd Adj]]*Inventory[[#This Row],[Quality Adj]]*Inventory[[#This Row],[Condition Adj]]*Inventory[[#This Row],[Living Area Adj]]*Inventory[[#This Row],[Decade Adj]]*0.95</f>
        <v>0.93782325090236773</v>
      </c>
      <c r="BN1117" s="25">
        <f>ROUND(SUM(Inventory[[#This Row],[Mdl Qlty]:[Mdl WdDeck]])+Inventory[[#This Row],[Mdl Res Intercept]]*Inventory[[#This Row],[Res Adj ]],-2)</f>
        <v>334600</v>
      </c>
      <c r="BO1117" s="25">
        <f>ROUND(Inventory[[#This Row],[25Det]]*Inventory[[#This Row],[Det/Nbhd Adj]],-2)</f>
        <v>4400</v>
      </c>
      <c r="BP1117" s="25">
        <f>Inventory[[#This Row],[Adjusted Res]]+Inventory[[#This Row],[Adj Det ]]</f>
        <v>339000</v>
      </c>
      <c r="BQ1117" s="25">
        <f>ROUND((Inventory[[#This Row],[Mdl Land Intercept]]+Inventory[[#This Row],[Mdl LnAcres]])*Inventory[[#This Row],[Det/Nbhd Adj]],-2)</f>
        <v>28300</v>
      </c>
      <c r="BR1117" s="25">
        <f>Inventory[[#This Row],[Adjusted Impr Total]]+Inventory[[#This Row],[Adjusted Land Total]]</f>
        <v>367300</v>
      </c>
      <c r="BS1117" s="36">
        <f>IFERROR((Inventory[[#This Row],[Adjusted Impr Total]]-Inventory[[#This Row],[24Bldg]])/Inventory[[#This Row],[24Bldg]],0)</f>
        <v>0.12512446067042815</v>
      </c>
      <c r="BT1117" s="36">
        <f>(Inventory[[#This Row],[Adjusted Land Total]]-Inventory[[#This Row],[24Lnd]])/Inventory[[#This Row],[24Lnd]]</f>
        <v>-0.41528925619834711</v>
      </c>
      <c r="BU1117" s="36">
        <f>(Inventory[[#This Row],[Adjusted Total]]-Inventory[[#This Row],[24Final]])/Inventory[[#This Row],[24Final]]</f>
        <v>5.0328853302830996E-2</v>
      </c>
    </row>
    <row r="1118" spans="1:73" x14ac:dyDescent="0.3">
      <c r="A1118" s="25">
        <v>2025</v>
      </c>
      <c r="B1118" s="26" t="s">
        <v>1407</v>
      </c>
      <c r="C1118" s="26">
        <f>LN(Inventory[[#This Row],[Acres]])</f>
        <v>-1.8325814637483102</v>
      </c>
      <c r="D1118" s="25">
        <v>0.16</v>
      </c>
      <c r="E1118" s="32">
        <v>7084</v>
      </c>
      <c r="F1118" s="26" t="s">
        <v>537</v>
      </c>
      <c r="G1118" s="26" t="s">
        <v>126</v>
      </c>
      <c r="H1118" s="26" t="s">
        <v>349</v>
      </c>
      <c r="I1118" s="26" t="s">
        <v>538</v>
      </c>
      <c r="J1118" s="26" t="s">
        <v>539</v>
      </c>
      <c r="K1118" s="26" t="s">
        <v>242</v>
      </c>
      <c r="L1118" s="26" t="s">
        <v>351</v>
      </c>
      <c r="M1118" s="26" t="s">
        <v>303</v>
      </c>
      <c r="N1118" s="26">
        <v>80</v>
      </c>
      <c r="O1118" s="26">
        <f>2024-Inventory[[#This Row],[YrBlt]]</f>
        <v>79</v>
      </c>
      <c r="P1118" s="26">
        <f>2024-Inventory[[#This Row],[EffYr]]</f>
        <v>52</v>
      </c>
      <c r="Q1118" s="25">
        <v>1945</v>
      </c>
      <c r="R1118" s="25">
        <v>1972</v>
      </c>
      <c r="S1118" s="25">
        <v>1328</v>
      </c>
      <c r="T1118" s="27"/>
      <c r="U1118" s="25">
        <v>885</v>
      </c>
      <c r="V1118" s="25">
        <f>Inventory[[#This Row],[Bsmt]]-Inventory[[#This Row],[FnBsmt]]</f>
        <v>0</v>
      </c>
      <c r="W1118" s="25">
        <v>885</v>
      </c>
      <c r="X1118" s="27"/>
      <c r="Y1118" s="27">
        <f>Inventory[[#This Row],[MainFn]]+Inventory[[#This Row],[UpprFn]]+Inventory[[#This Row],[FnBsmt]]+Inventory[[#This Row],[AddFn]]</f>
        <v>2213</v>
      </c>
      <c r="Z1118" s="27">
        <v>2500</v>
      </c>
      <c r="AA1118" s="25">
        <v>8</v>
      </c>
      <c r="AB1118" s="31"/>
      <c r="AC1118" s="27"/>
      <c r="AD1118" s="27"/>
      <c r="AE1118" s="27"/>
      <c r="AF1118" s="27"/>
      <c r="AG1118" s="27"/>
      <c r="AH1118" s="27"/>
      <c r="AI1118" s="25">
        <v>296722</v>
      </c>
      <c r="AJ1118" s="25">
        <v>207705</v>
      </c>
      <c r="AK1118" s="25">
        <v>6724</v>
      </c>
      <c r="AL1118" s="25">
        <v>348900</v>
      </c>
      <c r="AM1118" s="25">
        <v>50600</v>
      </c>
      <c r="AN1118" s="25">
        <v>298300</v>
      </c>
      <c r="AO1118" s="25">
        <v>0</v>
      </c>
      <c r="AP1118" s="25">
        <f>Lookups!$B$56*0</f>
        <v>0</v>
      </c>
      <c r="AQ1118" s="25">
        <f>Lookups!$B$56*1</f>
        <v>89850.625589999996</v>
      </c>
      <c r="AR1118" s="25">
        <f>Lookups!$B$57*Inventory[[#This Row],[LnAcres]]</f>
        <v>-58009.662049032086</v>
      </c>
      <c r="AS1118" s="25">
        <f>VLOOKUP(Inventory[[#This Row],[Qlty]],Lookups!$A$62:$E$75,2,FALSE)</f>
        <v>21557.329055999999</v>
      </c>
      <c r="AT1118" s="25">
        <f>VLOOKUP(Inventory[[#This Row],[Cnd]],Lookups!$A$76:$E$84,2,FALSE)</f>
        <v>197752.34721000001</v>
      </c>
      <c r="AU1118" s="25">
        <f>Inventory[[#This Row],[EffAge]]*Lookups!$B$85</f>
        <v>-11598.371226000001</v>
      </c>
      <c r="AV1118" s="25">
        <f>Inventory[[#This Row],[MainFn]]*Lookups!$B$86</f>
        <v>65614.713596656002</v>
      </c>
      <c r="AW1118" s="25">
        <f>Inventory[[#This Row],[UpprFn]]*Lookups!$B$87</f>
        <v>0</v>
      </c>
      <c r="AX1118" s="25">
        <f>Inventory[[#This Row],[AddFn]]*Lookups!$B$88</f>
        <v>0</v>
      </c>
      <c r="AY1118" s="25">
        <f>Inventory[[#This Row],[Bsmt]]*Lookups!$B$89</f>
        <v>25737.477293594999</v>
      </c>
      <c r="AZ1118" s="25">
        <f>Inventory[[#This Row],[Fixtures]]*Lookups!$B$90</f>
        <v>30336.176841600001</v>
      </c>
      <c r="BA1118" s="25">
        <f>Inventory[[#This Row],[WdDeck]]*Lookups!$B$91</f>
        <v>0</v>
      </c>
      <c r="BB1118" s="25">
        <f>ROUND(Inventory[[#This Row],[25Det]],-2)</f>
        <v>6700</v>
      </c>
      <c r="BC1118" s="25">
        <f>ROUND(SUM(Inventory[[#This Row],[Mdl Qlty]:[Mdl WdDeck]])+Inventory[[#This Row],[Mdl Res Intercept]],-2)</f>
        <v>329400</v>
      </c>
      <c r="BD1118" s="25">
        <f>ROUND(Inventory[[#This Row],[Mdl Land Intercept]]+Inventory[[#This Row],[Mdl LnAcres]],-2)</f>
        <v>31800</v>
      </c>
      <c r="BE1118" s="25">
        <f>Inventory[[#This Row],[Unadj Res Value]]+Inventory[[#This Row],[Unadj Det Value]]+Inventory[[#This Row],[Unadj Land Value]]</f>
        <v>367900</v>
      </c>
      <c r="BF1118" s="36">
        <f>(Inventory[[#This Row],[Unadj Total Value]]-Inventory[[#This Row],[24Final]])/Inventory[[#This Row],[24Final]]</f>
        <v>5.4456864431069077E-2</v>
      </c>
      <c r="BG1118" s="25">
        <f>VLOOKUP(Inventory[[#This Row],[Nbhd]],Lookups!$Q$2:$T$4,4,FALSE)</f>
        <v>0.99970000000000003</v>
      </c>
      <c r="BH1118" s="25">
        <f>VLOOKUP(Inventory[[#This Row],[Qlty]],Lookups!$O$7:$R$21,4,FALSE)</f>
        <v>1.0067999999999999</v>
      </c>
      <c r="BI1118" s="25">
        <f>VLOOKUP(Inventory[[#This Row],[Cnd]],Lookups!$T$7:$W$16,4,FALSE)</f>
        <v>0.99650000000000005</v>
      </c>
      <c r="BJ1118" s="25">
        <f>VLOOKUP(Inventory[[#This Row],[LivArea Range]],Lookups!$T$25:$W$37,4,FALSE)</f>
        <v>0.98919999999999997</v>
      </c>
      <c r="BK1118" s="25">
        <f>VLOOKUP(Inventory[[#This Row],[Decade]],Lookups!$O$25:$R$42,4,FALSE)</f>
        <v>0.995</v>
      </c>
      <c r="BL1118" s="25">
        <f>Inventory[[#This Row],[Nbhd Adj]]*0.95</f>
        <v>0.94971499999999998</v>
      </c>
      <c r="BM1118" s="25">
        <f>Inventory[[#This Row],[Nbhd Adj]]*Inventory[[#This Row],[Quality Adj]]*Inventory[[#This Row],[Condition Adj]]*Inventory[[#This Row],[Living Area Adj]]*Inventory[[#This Row],[Decade Adj]]*0.95</f>
        <v>0.93782325090236773</v>
      </c>
      <c r="BN1118" s="25">
        <f>ROUND(SUM(Inventory[[#This Row],[Mdl Qlty]:[Mdl WdDeck]])+Inventory[[#This Row],[Mdl Res Intercept]]*Inventory[[#This Row],[Res Adj ]],-2)</f>
        <v>329400</v>
      </c>
      <c r="BO1118" s="25">
        <f>ROUND(Inventory[[#This Row],[25Det]]*Inventory[[#This Row],[Det/Nbhd Adj]],-2)</f>
        <v>6400</v>
      </c>
      <c r="BP1118" s="25">
        <f>Inventory[[#This Row],[Adjusted Res]]+Inventory[[#This Row],[Adj Det ]]</f>
        <v>335800</v>
      </c>
      <c r="BQ1118" s="25">
        <f>ROUND((Inventory[[#This Row],[Mdl Land Intercept]]+Inventory[[#This Row],[Mdl LnAcres]])*Inventory[[#This Row],[Det/Nbhd Adj]],-2)</f>
        <v>30200</v>
      </c>
      <c r="BR1118" s="25">
        <f>Inventory[[#This Row],[Adjusted Impr Total]]+Inventory[[#This Row],[Adjusted Land Total]]</f>
        <v>366000</v>
      </c>
      <c r="BS1118" s="36">
        <f>IFERROR((Inventory[[#This Row],[Adjusted Impr Total]]-Inventory[[#This Row],[24Bldg]])/Inventory[[#This Row],[24Bldg]],0)</f>
        <v>0.12571237009721756</v>
      </c>
      <c r="BT1118" s="36">
        <f>(Inventory[[#This Row],[Adjusted Land Total]]-Inventory[[#This Row],[24Lnd]])/Inventory[[#This Row],[24Lnd]]</f>
        <v>-0.40316205533596838</v>
      </c>
      <c r="BU1118" s="36">
        <f>(Inventory[[#This Row],[Adjusted Total]]-Inventory[[#This Row],[24Final]])/Inventory[[#This Row],[24Final]]</f>
        <v>4.9011177987962166E-2</v>
      </c>
    </row>
    <row r="1119" spans="1:73" x14ac:dyDescent="0.3">
      <c r="A1119" s="25">
        <v>2025</v>
      </c>
      <c r="B1119" s="26" t="s">
        <v>1627</v>
      </c>
      <c r="C1119" s="26">
        <f>LN(Inventory[[#This Row],[Acres]])</f>
        <v>-1.5606477482646683</v>
      </c>
      <c r="D1119" s="25">
        <v>0.21</v>
      </c>
      <c r="E1119" s="32">
        <v>9330</v>
      </c>
      <c r="F1119" s="26" t="s">
        <v>537</v>
      </c>
      <c r="G1119" s="26" t="s">
        <v>126</v>
      </c>
      <c r="H1119" s="26" t="s">
        <v>349</v>
      </c>
      <c r="I1119" s="26" t="s">
        <v>538</v>
      </c>
      <c r="J1119" s="26" t="s">
        <v>539</v>
      </c>
      <c r="K1119" s="26" t="s">
        <v>242</v>
      </c>
      <c r="L1119" s="26" t="s">
        <v>351</v>
      </c>
      <c r="M1119" s="26" t="s">
        <v>323</v>
      </c>
      <c r="N1119" s="26">
        <v>80</v>
      </c>
      <c r="O1119" s="26">
        <f>2024-Inventory[[#This Row],[YrBlt]]</f>
        <v>79</v>
      </c>
      <c r="P1119" s="26">
        <f>2024-Inventory[[#This Row],[EffYr]]</f>
        <v>52</v>
      </c>
      <c r="Q1119" s="25">
        <v>1945</v>
      </c>
      <c r="R1119" s="25">
        <v>1972</v>
      </c>
      <c r="S1119" s="25">
        <v>1120</v>
      </c>
      <c r="T1119" s="27"/>
      <c r="U1119" s="25">
        <v>576</v>
      </c>
      <c r="V1119" s="25">
        <f>Inventory[[#This Row],[Bsmt]]-Inventory[[#This Row],[FnBsmt]]</f>
        <v>451</v>
      </c>
      <c r="W1119" s="25">
        <v>125</v>
      </c>
      <c r="X1119" s="27"/>
      <c r="Y1119" s="27">
        <f>Inventory[[#This Row],[MainFn]]+Inventory[[#This Row],[UpprFn]]+Inventory[[#This Row],[FnBsmt]]+Inventory[[#This Row],[AddFn]]</f>
        <v>1245</v>
      </c>
      <c r="Z1119" s="27">
        <v>1500</v>
      </c>
      <c r="AA1119" s="25">
        <v>8</v>
      </c>
      <c r="AB1119" s="31"/>
      <c r="AC1119" s="27"/>
      <c r="AD1119" s="31"/>
      <c r="AE1119" s="27"/>
      <c r="AF1119" s="27"/>
      <c r="AG1119" s="27"/>
      <c r="AH1119" s="27"/>
      <c r="AI1119" s="25">
        <v>223057</v>
      </c>
      <c r="AJ1119" s="25">
        <v>151679</v>
      </c>
      <c r="AK1119" s="25">
        <v>8588</v>
      </c>
      <c r="AL1119" s="25">
        <v>304700</v>
      </c>
      <c r="AM1119" s="25">
        <v>60100</v>
      </c>
      <c r="AN1119" s="25">
        <v>244600</v>
      </c>
      <c r="AO1119" s="25">
        <v>0</v>
      </c>
      <c r="AP1119" s="25">
        <f>Lookups!$B$56*0</f>
        <v>0</v>
      </c>
      <c r="AQ1119" s="25">
        <f>Lookups!$B$56*1</f>
        <v>89850.625589999996</v>
      </c>
      <c r="AR1119" s="25">
        <f>Lookups!$B$57*Inventory[[#This Row],[LnAcres]]</f>
        <v>-49401.70477837498</v>
      </c>
      <c r="AS1119" s="25">
        <f>VLOOKUP(Inventory[[#This Row],[Qlty]],Lookups!$A$62:$E$75,2,FALSE)</f>
        <v>21557.329055999999</v>
      </c>
      <c r="AT1119" s="25">
        <f>VLOOKUP(Inventory[[#This Row],[Cnd]],Lookups!$A$76:$E$84,2,FALSE)</f>
        <v>160472.20319</v>
      </c>
      <c r="AU1119" s="25">
        <f>Inventory[[#This Row],[EffAge]]*Lookups!$B$85</f>
        <v>-11598.371226000001</v>
      </c>
      <c r="AV1119" s="25">
        <f>Inventory[[#This Row],[MainFn]]*Lookups!$B$86</f>
        <v>55337.710262239998</v>
      </c>
      <c r="AW1119" s="25">
        <f>Inventory[[#This Row],[UpprFn]]*Lookups!$B$87</f>
        <v>0</v>
      </c>
      <c r="AX1119" s="25">
        <f>Inventory[[#This Row],[AddFn]]*Lookups!$B$88</f>
        <v>0</v>
      </c>
      <c r="AY1119" s="25">
        <f>Inventory[[#This Row],[Bsmt]]*Lookups!$B$89</f>
        <v>16751.171662271998</v>
      </c>
      <c r="AZ1119" s="25">
        <f>Inventory[[#This Row],[Fixtures]]*Lookups!$B$90</f>
        <v>30336.176841600001</v>
      </c>
      <c r="BA1119" s="25">
        <f>Inventory[[#This Row],[WdDeck]]*Lookups!$B$91</f>
        <v>0</v>
      </c>
      <c r="BB1119" s="25">
        <f>ROUND(Inventory[[#This Row],[25Det]],-2)</f>
        <v>8600</v>
      </c>
      <c r="BC1119" s="25">
        <f>ROUND(SUM(Inventory[[#This Row],[Mdl Qlty]:[Mdl WdDeck]])+Inventory[[#This Row],[Mdl Res Intercept]],-2)</f>
        <v>272900</v>
      </c>
      <c r="BD1119" s="25">
        <f>ROUND(Inventory[[#This Row],[Mdl Land Intercept]]+Inventory[[#This Row],[Mdl LnAcres]],-2)</f>
        <v>40400</v>
      </c>
      <c r="BE1119" s="25">
        <f>Inventory[[#This Row],[Unadj Res Value]]+Inventory[[#This Row],[Unadj Det Value]]+Inventory[[#This Row],[Unadj Land Value]]</f>
        <v>321900</v>
      </c>
      <c r="BF1119" s="36">
        <f>(Inventory[[#This Row],[Unadj Total Value]]-Inventory[[#This Row],[24Final]])/Inventory[[#This Row],[24Final]]</f>
        <v>5.6448966196258617E-2</v>
      </c>
      <c r="BG1119" s="25">
        <f>VLOOKUP(Inventory[[#This Row],[Nbhd]],Lookups!$Q$2:$T$4,4,FALSE)</f>
        <v>0.99970000000000003</v>
      </c>
      <c r="BH1119" s="25">
        <f>VLOOKUP(Inventory[[#This Row],[Qlty]],Lookups!$O$7:$R$21,4,FALSE)</f>
        <v>1.0067999999999999</v>
      </c>
      <c r="BI1119" s="25">
        <f>VLOOKUP(Inventory[[#This Row],[Cnd]],Lookups!$T$7:$W$16,4,FALSE)</f>
        <v>0.99729999999999996</v>
      </c>
      <c r="BJ1119" s="25">
        <f>VLOOKUP(Inventory[[#This Row],[LivArea Range]],Lookups!$T$25:$W$37,4,FALSE)</f>
        <v>1.0157</v>
      </c>
      <c r="BK1119" s="25">
        <f>VLOOKUP(Inventory[[#This Row],[Decade]],Lookups!$O$25:$R$42,4,FALSE)</f>
        <v>0.995</v>
      </c>
      <c r="BL1119" s="25">
        <f>Inventory[[#This Row],[Nbhd Adj]]*0.95</f>
        <v>0.94971499999999998</v>
      </c>
      <c r="BM1119" s="25">
        <f>Inventory[[#This Row],[Nbhd Adj]]*Inventory[[#This Row],[Quality Adj]]*Inventory[[#This Row],[Condition Adj]]*Inventory[[#This Row],[Living Area Adj]]*Inventory[[#This Row],[Decade Adj]]*0.95</f>
        <v>0.96371996573175212</v>
      </c>
      <c r="BN1119" s="25">
        <f>ROUND(SUM(Inventory[[#This Row],[Mdl Qlty]:[Mdl WdDeck]])+Inventory[[#This Row],[Mdl Res Intercept]]*Inventory[[#This Row],[Res Adj ]],-2)</f>
        <v>272900</v>
      </c>
      <c r="BO1119" s="25">
        <f>ROUND(Inventory[[#This Row],[25Det]]*Inventory[[#This Row],[Det/Nbhd Adj]],-2)</f>
        <v>8200</v>
      </c>
      <c r="BP1119" s="25">
        <f>Inventory[[#This Row],[Adjusted Res]]+Inventory[[#This Row],[Adj Det ]]</f>
        <v>281100</v>
      </c>
      <c r="BQ1119" s="25">
        <f>ROUND((Inventory[[#This Row],[Mdl Land Intercept]]+Inventory[[#This Row],[Mdl LnAcres]])*Inventory[[#This Row],[Det/Nbhd Adj]],-2)</f>
        <v>38400</v>
      </c>
      <c r="BR1119" s="25">
        <f>Inventory[[#This Row],[Adjusted Impr Total]]+Inventory[[#This Row],[Adjusted Land Total]]</f>
        <v>319500</v>
      </c>
      <c r="BS1119" s="36">
        <f>IFERROR((Inventory[[#This Row],[Adjusted Impr Total]]-Inventory[[#This Row],[24Bldg]])/Inventory[[#This Row],[24Bldg]],0)</f>
        <v>0.14922322158626328</v>
      </c>
      <c r="BT1119" s="36">
        <f>(Inventory[[#This Row],[Adjusted Land Total]]-Inventory[[#This Row],[24Lnd]])/Inventory[[#This Row],[24Lnd]]</f>
        <v>-0.36106489184692181</v>
      </c>
      <c r="BU1119" s="36">
        <f>(Inventory[[#This Row],[Adjusted Total]]-Inventory[[#This Row],[24Final]])/Inventory[[#This Row],[24Final]]</f>
        <v>4.8572366261896947E-2</v>
      </c>
    </row>
    <row r="1120" spans="1:73" x14ac:dyDescent="0.3">
      <c r="A1120" s="25">
        <v>2025</v>
      </c>
      <c r="B1120" s="26" t="s">
        <v>1589</v>
      </c>
      <c r="C1120" s="26">
        <f>LN(Inventory[[#This Row],[Acres]])</f>
        <v>-1.8971199848858813</v>
      </c>
      <c r="D1120" s="25">
        <v>0.15</v>
      </c>
      <c r="E1120" s="27"/>
      <c r="F1120" s="26" t="s">
        <v>537</v>
      </c>
      <c r="G1120" s="26" t="s">
        <v>126</v>
      </c>
      <c r="H1120" s="26" t="s">
        <v>349</v>
      </c>
      <c r="I1120" s="26" t="s">
        <v>538</v>
      </c>
      <c r="J1120" s="26" t="s">
        <v>539</v>
      </c>
      <c r="K1120" s="26" t="s">
        <v>269</v>
      </c>
      <c r="L1120" s="26" t="s">
        <v>351</v>
      </c>
      <c r="M1120" s="26" t="s">
        <v>323</v>
      </c>
      <c r="N1120" s="26">
        <v>80</v>
      </c>
      <c r="O1120" s="26">
        <f>2024-Inventory[[#This Row],[YrBlt]]</f>
        <v>79</v>
      </c>
      <c r="P1120" s="26">
        <f>2024-Inventory[[#This Row],[EffYr]]</f>
        <v>52</v>
      </c>
      <c r="Q1120" s="25">
        <v>1945</v>
      </c>
      <c r="R1120" s="25">
        <v>1972</v>
      </c>
      <c r="S1120" s="25">
        <v>1212</v>
      </c>
      <c r="T1120" s="32">
        <v>608</v>
      </c>
      <c r="U1120" s="31"/>
      <c r="V1120" s="31">
        <f>Inventory[[#This Row],[Bsmt]]-Inventory[[#This Row],[FnBsmt]]</f>
        <v>0</v>
      </c>
      <c r="W1120" s="31"/>
      <c r="X1120" s="27"/>
      <c r="Y1120" s="27">
        <f>Inventory[[#This Row],[MainFn]]+Inventory[[#This Row],[UpprFn]]+Inventory[[#This Row],[FnBsmt]]+Inventory[[#This Row],[AddFn]]</f>
        <v>1820</v>
      </c>
      <c r="Z1120" s="27">
        <v>2000</v>
      </c>
      <c r="AA1120" s="25">
        <v>5</v>
      </c>
      <c r="AB1120" s="31"/>
      <c r="AC1120" s="27"/>
      <c r="AD1120" s="31"/>
      <c r="AE1120" s="27"/>
      <c r="AF1120" s="27"/>
      <c r="AG1120" s="27"/>
      <c r="AH1120" s="27"/>
      <c r="AI1120" s="25">
        <v>253451</v>
      </c>
      <c r="AJ1120" s="25">
        <v>172347</v>
      </c>
      <c r="AK1120" s="25">
        <v>6482</v>
      </c>
      <c r="AL1120" s="25">
        <v>296600</v>
      </c>
      <c r="AM1120" s="25">
        <v>48400</v>
      </c>
      <c r="AN1120" s="25">
        <v>248200</v>
      </c>
      <c r="AO1120" s="25">
        <v>0</v>
      </c>
      <c r="AP1120" s="25">
        <f>Lookups!$B$56*0</f>
        <v>0</v>
      </c>
      <c r="AQ1120" s="25">
        <f>Lookups!$B$56*1</f>
        <v>89850.625589999996</v>
      </c>
      <c r="AR1120" s="25">
        <f>Lookups!$B$57*Inventory[[#This Row],[LnAcres]]</f>
        <v>-60052.604136134301</v>
      </c>
      <c r="AS1120" s="25">
        <f>VLOOKUP(Inventory[[#This Row],[Qlty]],Lookups!$A$62:$E$75,2,FALSE)</f>
        <v>21557.329055999999</v>
      </c>
      <c r="AT1120" s="25">
        <f>VLOOKUP(Inventory[[#This Row],[Cnd]],Lookups!$A$76:$E$84,2,FALSE)</f>
        <v>160472.20319</v>
      </c>
      <c r="AU1120" s="25">
        <f>Inventory[[#This Row],[EffAge]]*Lookups!$B$85</f>
        <v>-11598.371226000001</v>
      </c>
      <c r="AV1120" s="25">
        <f>Inventory[[#This Row],[MainFn]]*Lookups!$B$86</f>
        <v>59883.307890923999</v>
      </c>
      <c r="AW1120" s="25">
        <f>Inventory[[#This Row],[UpprFn]]*Lookups!$B$87</f>
        <v>27230.145099488</v>
      </c>
      <c r="AX1120" s="25">
        <f>Inventory[[#This Row],[AddFn]]*Lookups!$B$88</f>
        <v>0</v>
      </c>
      <c r="AY1120" s="25">
        <f>Inventory[[#This Row],[Bsmt]]*Lookups!$B$89</f>
        <v>0</v>
      </c>
      <c r="AZ1120" s="25">
        <f>Inventory[[#This Row],[Fixtures]]*Lookups!$B$90</f>
        <v>18960.110526</v>
      </c>
      <c r="BA1120" s="25">
        <f>Inventory[[#This Row],[WdDeck]]*Lookups!$B$91</f>
        <v>0</v>
      </c>
      <c r="BB1120" s="25">
        <f>ROUND(Inventory[[#This Row],[25Det]],-2)</f>
        <v>6500</v>
      </c>
      <c r="BC1120" s="25">
        <f>ROUND(SUM(Inventory[[#This Row],[Mdl Qlty]:[Mdl WdDeck]])+Inventory[[#This Row],[Mdl Res Intercept]],-2)</f>
        <v>276500</v>
      </c>
      <c r="BD1120" s="25">
        <f>ROUND(Inventory[[#This Row],[Mdl Land Intercept]]+Inventory[[#This Row],[Mdl LnAcres]],-2)</f>
        <v>29800</v>
      </c>
      <c r="BE1120" s="25">
        <f>Inventory[[#This Row],[Unadj Res Value]]+Inventory[[#This Row],[Unadj Det Value]]+Inventory[[#This Row],[Unadj Land Value]]</f>
        <v>312800</v>
      </c>
      <c r="BF1120" s="36">
        <f>(Inventory[[#This Row],[Unadj Total Value]]-Inventory[[#This Row],[24Final]])/Inventory[[#This Row],[24Final]]</f>
        <v>5.4619015509103169E-2</v>
      </c>
      <c r="BG1120" s="25">
        <f>VLOOKUP(Inventory[[#This Row],[Nbhd]],Lookups!$Q$2:$T$4,4,FALSE)</f>
        <v>0.99970000000000003</v>
      </c>
      <c r="BH1120" s="25">
        <f>VLOOKUP(Inventory[[#This Row],[Qlty]],Lookups!$O$7:$R$21,4,FALSE)</f>
        <v>1.0067999999999999</v>
      </c>
      <c r="BI1120" s="25">
        <f>VLOOKUP(Inventory[[#This Row],[Cnd]],Lookups!$T$7:$W$16,4,FALSE)</f>
        <v>0.99729999999999996</v>
      </c>
      <c r="BJ1120" s="25">
        <f>VLOOKUP(Inventory[[#This Row],[LivArea Range]],Lookups!$T$25:$W$37,4,FALSE)</f>
        <v>1.0093000000000001</v>
      </c>
      <c r="BK1120" s="25">
        <f>VLOOKUP(Inventory[[#This Row],[Decade]],Lookups!$O$25:$R$42,4,FALSE)</f>
        <v>0.995</v>
      </c>
      <c r="BL1120" s="25">
        <f>Inventory[[#This Row],[Nbhd Adj]]*0.95</f>
        <v>0.94971499999999998</v>
      </c>
      <c r="BM1120" s="25">
        <f>Inventory[[#This Row],[Nbhd Adj]]*Inventory[[#This Row],[Quality Adj]]*Inventory[[#This Row],[Condition Adj]]*Inventory[[#This Row],[Living Area Adj]]*Inventory[[#This Row],[Decade Adj]]*0.95</f>
        <v>0.957647495730095</v>
      </c>
      <c r="BN1120" s="25">
        <f>ROUND(SUM(Inventory[[#This Row],[Mdl Qlty]:[Mdl WdDeck]])+Inventory[[#This Row],[Mdl Res Intercept]]*Inventory[[#This Row],[Res Adj ]],-2)</f>
        <v>276500</v>
      </c>
      <c r="BO1120" s="25">
        <f>ROUND(Inventory[[#This Row],[25Det]]*Inventory[[#This Row],[Det/Nbhd Adj]],-2)</f>
        <v>6200</v>
      </c>
      <c r="BP1120" s="25">
        <f>Inventory[[#This Row],[Adjusted Res]]+Inventory[[#This Row],[Adj Det ]]</f>
        <v>282700</v>
      </c>
      <c r="BQ1120" s="25">
        <f>ROUND((Inventory[[#This Row],[Mdl Land Intercept]]+Inventory[[#This Row],[Mdl LnAcres]])*Inventory[[#This Row],[Det/Nbhd Adj]],-2)</f>
        <v>28300</v>
      </c>
      <c r="BR1120" s="25">
        <f>Inventory[[#This Row],[Adjusted Impr Total]]+Inventory[[#This Row],[Adjusted Land Total]]</f>
        <v>311000</v>
      </c>
      <c r="BS1120" s="36">
        <f>IFERROR((Inventory[[#This Row],[Adjusted Impr Total]]-Inventory[[#This Row],[24Bldg]])/Inventory[[#This Row],[24Bldg]],0)</f>
        <v>0.13900080580177276</v>
      </c>
      <c r="BT1120" s="36">
        <f>(Inventory[[#This Row],[Adjusted Land Total]]-Inventory[[#This Row],[24Lnd]])/Inventory[[#This Row],[24Lnd]]</f>
        <v>-0.41528925619834711</v>
      </c>
      <c r="BU1120" s="36">
        <f>(Inventory[[#This Row],[Adjusted Total]]-Inventory[[#This Row],[24Final]])/Inventory[[#This Row],[24Final]]</f>
        <v>4.8550236008091704E-2</v>
      </c>
    </row>
    <row r="1121" spans="1:73" x14ac:dyDescent="0.3">
      <c r="A1121" s="25">
        <v>2025</v>
      </c>
      <c r="B1121" s="26" t="s">
        <v>1508</v>
      </c>
      <c r="C1121" s="26">
        <f>LN(Inventory[[#This Row],[Acres]])</f>
        <v>-1.3093333199837622</v>
      </c>
      <c r="D1121" s="25">
        <v>0.27</v>
      </c>
      <c r="E1121" s="27"/>
      <c r="F1121" s="26" t="s">
        <v>537</v>
      </c>
      <c r="G1121" s="26" t="s">
        <v>126</v>
      </c>
      <c r="H1121" s="26" t="s">
        <v>349</v>
      </c>
      <c r="I1121" s="26" t="s">
        <v>538</v>
      </c>
      <c r="J1121" s="26" t="s">
        <v>539</v>
      </c>
      <c r="K1121" s="26" t="s">
        <v>241</v>
      </c>
      <c r="L1121" s="26" t="s">
        <v>351</v>
      </c>
      <c r="M1121" s="26" t="s">
        <v>323</v>
      </c>
      <c r="N1121" s="26">
        <v>80</v>
      </c>
      <c r="O1121" s="26">
        <f>2024-Inventory[[#This Row],[YrBlt]]</f>
        <v>79</v>
      </c>
      <c r="P1121" s="26">
        <f>2024-Inventory[[#This Row],[EffYr]]</f>
        <v>52</v>
      </c>
      <c r="Q1121" s="25">
        <v>1945</v>
      </c>
      <c r="R1121" s="25">
        <v>1972</v>
      </c>
      <c r="S1121" s="25">
        <v>1106</v>
      </c>
      <c r="T1121" s="27"/>
      <c r="U1121" s="25">
        <v>1106</v>
      </c>
      <c r="V1121" s="25">
        <f>Inventory[[#This Row],[Bsmt]]-Inventory[[#This Row],[FnBsmt]]</f>
        <v>0</v>
      </c>
      <c r="W1121" s="25">
        <v>1106</v>
      </c>
      <c r="X1121" s="27"/>
      <c r="Y1121" s="27">
        <f>Inventory[[#This Row],[MainFn]]+Inventory[[#This Row],[UpprFn]]+Inventory[[#This Row],[FnBsmt]]+Inventory[[#This Row],[AddFn]]</f>
        <v>2212</v>
      </c>
      <c r="Z1121" s="27">
        <v>2500</v>
      </c>
      <c r="AA1121" s="25">
        <v>8</v>
      </c>
      <c r="AB1121" s="27"/>
      <c r="AC1121" s="27"/>
      <c r="AD1121" s="32">
        <v>410</v>
      </c>
      <c r="AE1121" s="27"/>
      <c r="AF1121" s="27"/>
      <c r="AG1121" s="27"/>
      <c r="AH1121" s="27"/>
      <c r="AI1121" s="25">
        <v>291463</v>
      </c>
      <c r="AJ1121" s="25">
        <v>198195</v>
      </c>
      <c r="AK1121" s="25">
        <v>11952</v>
      </c>
      <c r="AL1121" s="25">
        <v>342300</v>
      </c>
      <c r="AM1121" s="25">
        <v>68900</v>
      </c>
      <c r="AN1121" s="25">
        <v>273400</v>
      </c>
      <c r="AO1121" s="25">
        <v>0</v>
      </c>
      <c r="AP1121" s="25">
        <f>Lookups!$B$56*0</f>
        <v>0</v>
      </c>
      <c r="AQ1121" s="25">
        <f>Lookups!$B$56*1</f>
        <v>89850.625589999996</v>
      </c>
      <c r="AR1121" s="25">
        <f>Lookups!$B$57*Inventory[[#This Row],[LnAcres]]</f>
        <v>-41446.443120973789</v>
      </c>
      <c r="AS1121" s="25">
        <f>VLOOKUP(Inventory[[#This Row],[Qlty]],Lookups!$A$62:$E$75,2,FALSE)</f>
        <v>21557.329055999999</v>
      </c>
      <c r="AT1121" s="25">
        <f>VLOOKUP(Inventory[[#This Row],[Cnd]],Lookups!$A$76:$E$84,2,FALSE)</f>
        <v>160472.20319</v>
      </c>
      <c r="AU1121" s="25">
        <f>Inventory[[#This Row],[EffAge]]*Lookups!$B$85</f>
        <v>-11598.371226000001</v>
      </c>
      <c r="AV1121" s="25">
        <f>Inventory[[#This Row],[MainFn]]*Lookups!$B$86</f>
        <v>54645.988883962003</v>
      </c>
      <c r="AW1121" s="25">
        <f>Inventory[[#This Row],[UpprFn]]*Lookups!$B$87</f>
        <v>0</v>
      </c>
      <c r="AX1121" s="25">
        <f>Inventory[[#This Row],[AddFn]]*Lookups!$B$88</f>
        <v>0</v>
      </c>
      <c r="AY1121" s="25">
        <f>Inventory[[#This Row],[Bsmt]]*Lookups!$B$89</f>
        <v>32164.576143181999</v>
      </c>
      <c r="AZ1121" s="25">
        <f>Inventory[[#This Row],[Fixtures]]*Lookups!$B$90</f>
        <v>30336.176841600001</v>
      </c>
      <c r="BA1121" s="25">
        <f>Inventory[[#This Row],[WdDeck]]*Lookups!$B$91</f>
        <v>13651.161263160002</v>
      </c>
      <c r="BB1121" s="25">
        <f>ROUND(Inventory[[#This Row],[25Det]],-2)</f>
        <v>12000</v>
      </c>
      <c r="BC1121" s="25">
        <f>ROUND(SUM(Inventory[[#This Row],[Mdl Qlty]:[Mdl WdDeck]])+Inventory[[#This Row],[Mdl Res Intercept]],-2)</f>
        <v>301200</v>
      </c>
      <c r="BD1121" s="25">
        <f>ROUND(Inventory[[#This Row],[Mdl Land Intercept]]+Inventory[[#This Row],[Mdl LnAcres]],-2)</f>
        <v>48400</v>
      </c>
      <c r="BE1121" s="25">
        <f>Inventory[[#This Row],[Unadj Res Value]]+Inventory[[#This Row],[Unadj Det Value]]+Inventory[[#This Row],[Unadj Land Value]]</f>
        <v>361600</v>
      </c>
      <c r="BF1121" s="36">
        <f>(Inventory[[#This Row],[Unadj Total Value]]-Inventory[[#This Row],[24Final]])/Inventory[[#This Row],[24Final]]</f>
        <v>5.6383289512123867E-2</v>
      </c>
      <c r="BG1121" s="25">
        <f>VLOOKUP(Inventory[[#This Row],[Nbhd]],Lookups!$Q$2:$T$4,4,FALSE)</f>
        <v>0.99970000000000003</v>
      </c>
      <c r="BH1121" s="25">
        <f>VLOOKUP(Inventory[[#This Row],[Qlty]],Lookups!$O$7:$R$21,4,FALSE)</f>
        <v>1.0067999999999999</v>
      </c>
      <c r="BI1121" s="25">
        <f>VLOOKUP(Inventory[[#This Row],[Cnd]],Lookups!$T$7:$W$16,4,FALSE)</f>
        <v>0.99729999999999996</v>
      </c>
      <c r="BJ1121" s="25">
        <f>VLOOKUP(Inventory[[#This Row],[LivArea Range]],Lookups!$T$25:$W$37,4,FALSE)</f>
        <v>0.98919999999999997</v>
      </c>
      <c r="BK1121" s="25">
        <f>VLOOKUP(Inventory[[#This Row],[Decade]],Lookups!$O$25:$R$42,4,FALSE)</f>
        <v>0.995</v>
      </c>
      <c r="BL1121" s="25">
        <f>Inventory[[#This Row],[Nbhd Adj]]*0.95</f>
        <v>0.94971499999999998</v>
      </c>
      <c r="BM1121" s="25">
        <f>Inventory[[#This Row],[Nbhd Adj]]*Inventory[[#This Row],[Quality Adj]]*Inventory[[#This Row],[Condition Adj]]*Inventory[[#This Row],[Living Area Adj]]*Inventory[[#This Row],[Decade Adj]]*0.95</f>
        <v>0.93857614463114025</v>
      </c>
      <c r="BN1121" s="25">
        <f>ROUND(SUM(Inventory[[#This Row],[Mdl Qlty]:[Mdl WdDeck]])+Inventory[[#This Row],[Mdl Res Intercept]]*Inventory[[#This Row],[Res Adj ]],-2)</f>
        <v>301200</v>
      </c>
      <c r="BO1121" s="25">
        <f>ROUND(Inventory[[#This Row],[25Det]]*Inventory[[#This Row],[Det/Nbhd Adj]],-2)</f>
        <v>11400</v>
      </c>
      <c r="BP1121" s="25">
        <f>Inventory[[#This Row],[Adjusted Res]]+Inventory[[#This Row],[Adj Det ]]</f>
        <v>312600</v>
      </c>
      <c r="BQ1121" s="25">
        <f>ROUND((Inventory[[#This Row],[Mdl Land Intercept]]+Inventory[[#This Row],[Mdl LnAcres]])*Inventory[[#This Row],[Det/Nbhd Adj]],-2)</f>
        <v>46000</v>
      </c>
      <c r="BR1121" s="25">
        <f>Inventory[[#This Row],[Adjusted Impr Total]]+Inventory[[#This Row],[Adjusted Land Total]]</f>
        <v>358600</v>
      </c>
      <c r="BS1121" s="36">
        <f>IFERROR((Inventory[[#This Row],[Adjusted Impr Total]]-Inventory[[#This Row],[24Bldg]])/Inventory[[#This Row],[24Bldg]],0)</f>
        <v>0.14337966349670811</v>
      </c>
      <c r="BT1121" s="36">
        <f>(Inventory[[#This Row],[Adjusted Land Total]]-Inventory[[#This Row],[24Lnd]])/Inventory[[#This Row],[24Lnd]]</f>
        <v>-0.33236574746008707</v>
      </c>
      <c r="BU1121" s="36">
        <f>(Inventory[[#This Row],[Adjusted Total]]-Inventory[[#This Row],[24Final]])/Inventory[[#This Row],[24Final]]</f>
        <v>4.7619047619047616E-2</v>
      </c>
    </row>
    <row r="1122" spans="1:73" x14ac:dyDescent="0.3">
      <c r="A1122" s="25">
        <v>2025</v>
      </c>
      <c r="B1122" s="26" t="s">
        <v>908</v>
      </c>
      <c r="C1122" s="26">
        <f>LN(Inventory[[#This Row],[Acres]])</f>
        <v>-1.1086626245216111</v>
      </c>
      <c r="D1122" s="25">
        <v>0.33</v>
      </c>
      <c r="E1122" s="31"/>
      <c r="F1122" s="26" t="s">
        <v>537</v>
      </c>
      <c r="G1122" s="26" t="s">
        <v>126</v>
      </c>
      <c r="H1122" s="26" t="s">
        <v>349</v>
      </c>
      <c r="I1122" s="26" t="s">
        <v>538</v>
      </c>
      <c r="J1122" s="26" t="s">
        <v>539</v>
      </c>
      <c r="K1122" s="26" t="s">
        <v>241</v>
      </c>
      <c r="L1122" s="26" t="s">
        <v>302</v>
      </c>
      <c r="M1122" s="26" t="s">
        <v>303</v>
      </c>
      <c r="N1122" s="26">
        <v>80</v>
      </c>
      <c r="O1122" s="26">
        <f>2024-Inventory[[#This Row],[YrBlt]]</f>
        <v>79</v>
      </c>
      <c r="P1122" s="26">
        <f>2024-Inventory[[#This Row],[EffYr]]</f>
        <v>52</v>
      </c>
      <c r="Q1122" s="25">
        <v>1945</v>
      </c>
      <c r="R1122" s="25">
        <v>1972</v>
      </c>
      <c r="S1122" s="25">
        <v>2676</v>
      </c>
      <c r="T1122" s="27"/>
      <c r="U1122" s="27"/>
      <c r="V1122" s="27">
        <f>Inventory[[#This Row],[Bsmt]]-Inventory[[#This Row],[FnBsmt]]</f>
        <v>0</v>
      </c>
      <c r="W1122" s="27"/>
      <c r="X1122" s="27"/>
      <c r="Y1122" s="27">
        <f>Inventory[[#This Row],[MainFn]]+Inventory[[#This Row],[UpprFn]]+Inventory[[#This Row],[FnBsmt]]+Inventory[[#This Row],[AddFn]]</f>
        <v>2676</v>
      </c>
      <c r="Z1122" s="27">
        <v>3000</v>
      </c>
      <c r="AA1122" s="25">
        <v>8</v>
      </c>
      <c r="AB1122" s="27"/>
      <c r="AC1122" s="27"/>
      <c r="AD1122" s="27"/>
      <c r="AE1122" s="27"/>
      <c r="AF1122" s="27"/>
      <c r="AG1122" s="27"/>
      <c r="AH1122" s="27"/>
      <c r="AI1122" s="25">
        <v>446286</v>
      </c>
      <c r="AJ1122" s="25">
        <v>312400</v>
      </c>
      <c r="AK1122" s="25">
        <v>8846</v>
      </c>
      <c r="AL1122" s="25">
        <v>419000</v>
      </c>
      <c r="AM1122" s="25">
        <v>75900</v>
      </c>
      <c r="AN1122" s="25">
        <v>343100</v>
      </c>
      <c r="AO1122" s="25">
        <v>0</v>
      </c>
      <c r="AP1122" s="25">
        <f>Lookups!$B$56*0</f>
        <v>0</v>
      </c>
      <c r="AQ1122" s="25">
        <f>Lookups!$B$56*1</f>
        <v>89850.625589999996</v>
      </c>
      <c r="AR1122" s="25">
        <f>Lookups!$B$57*Inventory[[#This Row],[LnAcres]]</f>
        <v>-35094.289365640165</v>
      </c>
      <c r="AS1122" s="25">
        <f>VLOOKUP(Inventory[[#This Row],[Qlty]],Lookups!$A$62:$E$75,2,FALSE)</f>
        <v>29814.093161000001</v>
      </c>
      <c r="AT1122" s="25">
        <f>VLOOKUP(Inventory[[#This Row],[Cnd]],Lookups!$A$76:$E$84,2,FALSE)</f>
        <v>197752.34721000001</v>
      </c>
      <c r="AU1122" s="25">
        <f>Inventory[[#This Row],[EffAge]]*Lookups!$B$85</f>
        <v>-11598.371226000001</v>
      </c>
      <c r="AV1122" s="25">
        <f>Inventory[[#This Row],[MainFn]]*Lookups!$B$86</f>
        <v>132217.600590852</v>
      </c>
      <c r="AW1122" s="25">
        <f>Inventory[[#This Row],[UpprFn]]*Lookups!$B$87</f>
        <v>0</v>
      </c>
      <c r="AX1122" s="25">
        <f>Inventory[[#This Row],[AddFn]]*Lookups!$B$88</f>
        <v>0</v>
      </c>
      <c r="AY1122" s="25">
        <f>Inventory[[#This Row],[Bsmt]]*Lookups!$B$89</f>
        <v>0</v>
      </c>
      <c r="AZ1122" s="25">
        <f>Inventory[[#This Row],[Fixtures]]*Lookups!$B$90</f>
        <v>30336.176841600001</v>
      </c>
      <c r="BA1122" s="25">
        <f>Inventory[[#This Row],[WdDeck]]*Lookups!$B$91</f>
        <v>0</v>
      </c>
      <c r="BB1122" s="25">
        <f>ROUND(Inventory[[#This Row],[25Det]],-2)</f>
        <v>8800</v>
      </c>
      <c r="BC1122" s="25">
        <f>ROUND(SUM(Inventory[[#This Row],[Mdl Qlty]:[Mdl WdDeck]])+Inventory[[#This Row],[Mdl Res Intercept]],-2)</f>
        <v>378500</v>
      </c>
      <c r="BD1122" s="25">
        <f>ROUND(Inventory[[#This Row],[Mdl Land Intercept]]+Inventory[[#This Row],[Mdl LnAcres]],-2)</f>
        <v>54800</v>
      </c>
      <c r="BE1122" s="25">
        <f>Inventory[[#This Row],[Unadj Res Value]]+Inventory[[#This Row],[Unadj Det Value]]+Inventory[[#This Row],[Unadj Land Value]]</f>
        <v>442100</v>
      </c>
      <c r="BF1122" s="36">
        <f>(Inventory[[#This Row],[Unadj Total Value]]-Inventory[[#This Row],[24Final]])/Inventory[[#This Row],[24Final]]</f>
        <v>5.5131264916467783E-2</v>
      </c>
      <c r="BG1122" s="25">
        <f>VLOOKUP(Inventory[[#This Row],[Nbhd]],Lookups!$Q$2:$T$4,4,FALSE)</f>
        <v>0.99970000000000003</v>
      </c>
      <c r="BH1122" s="25">
        <f>VLOOKUP(Inventory[[#This Row],[Qlty]],Lookups!$O$7:$R$21,4,FALSE)</f>
        <v>1.0088999999999999</v>
      </c>
      <c r="BI1122" s="25">
        <f>VLOOKUP(Inventory[[#This Row],[Cnd]],Lookups!$T$7:$W$16,4,FALSE)</f>
        <v>0.99650000000000005</v>
      </c>
      <c r="BJ1122" s="25">
        <f>VLOOKUP(Inventory[[#This Row],[LivArea Range]],Lookups!$T$25:$W$37,4,FALSE)</f>
        <v>0.96179999999999999</v>
      </c>
      <c r="BK1122" s="25">
        <f>VLOOKUP(Inventory[[#This Row],[Decade]],Lookups!$O$25:$R$42,4,FALSE)</f>
        <v>0.995</v>
      </c>
      <c r="BL1122" s="25">
        <f>Inventory[[#This Row],[Nbhd Adj]]*0.95</f>
        <v>0.94971499999999998</v>
      </c>
      <c r="BM1122" s="25">
        <f>Inventory[[#This Row],[Nbhd Adj]]*Inventory[[#This Row],[Quality Adj]]*Inventory[[#This Row],[Condition Adj]]*Inventory[[#This Row],[Living Area Adj]]*Inventory[[#This Row],[Decade Adj]]*0.95</f>
        <v>0.9137482873256102</v>
      </c>
      <c r="BN1122" s="25">
        <f>ROUND(SUM(Inventory[[#This Row],[Mdl Qlty]:[Mdl WdDeck]])+Inventory[[#This Row],[Mdl Res Intercept]]*Inventory[[#This Row],[Res Adj ]],-2)</f>
        <v>378500</v>
      </c>
      <c r="BO1122" s="25">
        <f>ROUND(Inventory[[#This Row],[25Det]]*Inventory[[#This Row],[Det/Nbhd Adj]],-2)</f>
        <v>8400</v>
      </c>
      <c r="BP1122" s="25">
        <f>Inventory[[#This Row],[Adjusted Res]]+Inventory[[#This Row],[Adj Det ]]</f>
        <v>386900</v>
      </c>
      <c r="BQ1122" s="25">
        <f>ROUND((Inventory[[#This Row],[Mdl Land Intercept]]+Inventory[[#This Row],[Mdl LnAcres]])*Inventory[[#This Row],[Det/Nbhd Adj]],-2)</f>
        <v>52000</v>
      </c>
      <c r="BR1122" s="25">
        <f>Inventory[[#This Row],[Adjusted Impr Total]]+Inventory[[#This Row],[Adjusted Land Total]]</f>
        <v>438900</v>
      </c>
      <c r="BS1122" s="36">
        <f>IFERROR((Inventory[[#This Row],[Adjusted Impr Total]]-Inventory[[#This Row],[24Bldg]])/Inventory[[#This Row],[24Bldg]],0)</f>
        <v>0.1276595744680851</v>
      </c>
      <c r="BT1122" s="36">
        <f>(Inventory[[#This Row],[Adjusted Land Total]]-Inventory[[#This Row],[24Lnd]])/Inventory[[#This Row],[24Lnd]]</f>
        <v>-0.31488801054018445</v>
      </c>
      <c r="BU1122" s="36">
        <f>(Inventory[[#This Row],[Adjusted Total]]-Inventory[[#This Row],[24Final]])/Inventory[[#This Row],[24Final]]</f>
        <v>4.7494033412887826E-2</v>
      </c>
    </row>
    <row r="1123" spans="1:73" x14ac:dyDescent="0.3">
      <c r="A1123" s="25">
        <v>2025</v>
      </c>
      <c r="B1123" s="26" t="s">
        <v>2587</v>
      </c>
      <c r="C1123" s="26">
        <f>LN(Inventory[[#This Row],[Acres]])</f>
        <v>-1.8325814637483102</v>
      </c>
      <c r="D1123" s="25">
        <v>0.16</v>
      </c>
      <c r="E1123" s="25">
        <v>7002</v>
      </c>
      <c r="F1123" s="26" t="s">
        <v>537</v>
      </c>
      <c r="G1123" s="26" t="s">
        <v>126</v>
      </c>
      <c r="H1123" s="26" t="s">
        <v>349</v>
      </c>
      <c r="I1123" s="26" t="s">
        <v>538</v>
      </c>
      <c r="J1123" s="26" t="s">
        <v>539</v>
      </c>
      <c r="K1123" s="26" t="s">
        <v>269</v>
      </c>
      <c r="L1123" s="26" t="s">
        <v>351</v>
      </c>
      <c r="M1123" s="26" t="s">
        <v>323</v>
      </c>
      <c r="N1123" s="26">
        <v>80</v>
      </c>
      <c r="O1123" s="26">
        <f>2024-Inventory[[#This Row],[YrBlt]]</f>
        <v>79</v>
      </c>
      <c r="P1123" s="26">
        <f>2024-Inventory[[#This Row],[EffYr]]</f>
        <v>52</v>
      </c>
      <c r="Q1123" s="25">
        <v>1945</v>
      </c>
      <c r="R1123" s="25">
        <v>1972</v>
      </c>
      <c r="S1123" s="25">
        <v>1390</v>
      </c>
      <c r="T1123" s="27"/>
      <c r="U1123" s="31"/>
      <c r="V1123" s="31">
        <f>Inventory[[#This Row],[Bsmt]]-Inventory[[#This Row],[FnBsmt]]</f>
        <v>0</v>
      </c>
      <c r="W1123" s="31"/>
      <c r="X1123" s="27"/>
      <c r="Y1123" s="27">
        <f>Inventory[[#This Row],[MainFn]]+Inventory[[#This Row],[UpprFn]]+Inventory[[#This Row],[FnBsmt]]+Inventory[[#This Row],[AddFn]]</f>
        <v>1390</v>
      </c>
      <c r="Z1123" s="27">
        <v>1500</v>
      </c>
      <c r="AA1123" s="25">
        <v>5</v>
      </c>
      <c r="AB1123" s="27"/>
      <c r="AC1123" s="27"/>
      <c r="AD1123" s="31"/>
      <c r="AE1123" s="27"/>
      <c r="AF1123" s="27"/>
      <c r="AG1123" s="27"/>
      <c r="AH1123" s="27"/>
      <c r="AI1123" s="25">
        <v>227116</v>
      </c>
      <c r="AJ1123" s="25">
        <v>154439</v>
      </c>
      <c r="AK1123" s="25">
        <v>8327</v>
      </c>
      <c r="AL1123" s="25">
        <v>283500</v>
      </c>
      <c r="AM1123" s="25">
        <v>50600</v>
      </c>
      <c r="AN1123" s="25">
        <v>232900</v>
      </c>
      <c r="AO1123" s="25">
        <v>0</v>
      </c>
      <c r="AP1123" s="25">
        <f>Lookups!$B$56*0</f>
        <v>0</v>
      </c>
      <c r="AQ1123" s="25">
        <f>Lookups!$B$56*1</f>
        <v>89850.625589999996</v>
      </c>
      <c r="AR1123" s="25">
        <f>Lookups!$B$57*Inventory[[#This Row],[LnAcres]]</f>
        <v>-58009.662049032086</v>
      </c>
      <c r="AS1123" s="25">
        <f>VLOOKUP(Inventory[[#This Row],[Qlty]],Lookups!$A$62:$E$75,2,FALSE)</f>
        <v>21557.329055999999</v>
      </c>
      <c r="AT1123" s="25">
        <f>VLOOKUP(Inventory[[#This Row],[Cnd]],Lookups!$A$76:$E$84,2,FALSE)</f>
        <v>160472.20319</v>
      </c>
      <c r="AU1123" s="25">
        <f>Inventory[[#This Row],[EffAge]]*Lookups!$B$85</f>
        <v>-11598.371226000001</v>
      </c>
      <c r="AV1123" s="25">
        <f>Inventory[[#This Row],[MainFn]]*Lookups!$B$86</f>
        <v>68678.051129030006</v>
      </c>
      <c r="AW1123" s="25">
        <f>Inventory[[#This Row],[UpprFn]]*Lookups!$B$87</f>
        <v>0</v>
      </c>
      <c r="AX1123" s="25">
        <f>Inventory[[#This Row],[AddFn]]*Lookups!$B$88</f>
        <v>0</v>
      </c>
      <c r="AY1123" s="25">
        <f>Inventory[[#This Row],[Bsmt]]*Lookups!$B$89</f>
        <v>0</v>
      </c>
      <c r="AZ1123" s="25">
        <f>Inventory[[#This Row],[Fixtures]]*Lookups!$B$90</f>
        <v>18960.110526</v>
      </c>
      <c r="BA1123" s="25">
        <f>Inventory[[#This Row],[WdDeck]]*Lookups!$B$91</f>
        <v>0</v>
      </c>
      <c r="BB1123" s="25">
        <f>ROUND(Inventory[[#This Row],[25Det]],-2)</f>
        <v>8300</v>
      </c>
      <c r="BC1123" s="25">
        <f>ROUND(SUM(Inventory[[#This Row],[Mdl Qlty]:[Mdl WdDeck]])+Inventory[[#This Row],[Mdl Res Intercept]],-2)</f>
        <v>258100</v>
      </c>
      <c r="BD1123" s="25">
        <f>ROUND(Inventory[[#This Row],[Mdl Land Intercept]]+Inventory[[#This Row],[Mdl LnAcres]],-2)</f>
        <v>31800</v>
      </c>
      <c r="BE1123" s="25">
        <f>Inventory[[#This Row],[Unadj Res Value]]+Inventory[[#This Row],[Unadj Det Value]]+Inventory[[#This Row],[Unadj Land Value]]</f>
        <v>298200</v>
      </c>
      <c r="BF1123" s="36">
        <f>(Inventory[[#This Row],[Unadj Total Value]]-Inventory[[#This Row],[24Final]])/Inventory[[#This Row],[24Final]]</f>
        <v>5.185185185185185E-2</v>
      </c>
      <c r="BG1123" s="25">
        <f>VLOOKUP(Inventory[[#This Row],[Nbhd]],Lookups!$Q$2:$T$4,4,FALSE)</f>
        <v>0.99970000000000003</v>
      </c>
      <c r="BH1123" s="25">
        <f>VLOOKUP(Inventory[[#This Row],[Qlty]],Lookups!$O$7:$R$21,4,FALSE)</f>
        <v>1.0067999999999999</v>
      </c>
      <c r="BI1123" s="25">
        <f>VLOOKUP(Inventory[[#This Row],[Cnd]],Lookups!$T$7:$W$16,4,FALSE)</f>
        <v>0.99729999999999996</v>
      </c>
      <c r="BJ1123" s="25">
        <f>VLOOKUP(Inventory[[#This Row],[LivArea Range]],Lookups!$T$25:$W$37,4,FALSE)</f>
        <v>1.0157</v>
      </c>
      <c r="BK1123" s="25">
        <f>VLOOKUP(Inventory[[#This Row],[Decade]],Lookups!$O$25:$R$42,4,FALSE)</f>
        <v>0.995</v>
      </c>
      <c r="BL1123" s="25">
        <f>Inventory[[#This Row],[Nbhd Adj]]*0.95</f>
        <v>0.94971499999999998</v>
      </c>
      <c r="BM1123" s="25">
        <f>Inventory[[#This Row],[Nbhd Adj]]*Inventory[[#This Row],[Quality Adj]]*Inventory[[#This Row],[Condition Adj]]*Inventory[[#This Row],[Living Area Adj]]*Inventory[[#This Row],[Decade Adj]]*0.95</f>
        <v>0.96371996573175212</v>
      </c>
      <c r="BN1123" s="25">
        <f>ROUND(SUM(Inventory[[#This Row],[Mdl Qlty]:[Mdl WdDeck]])+Inventory[[#This Row],[Mdl Res Intercept]]*Inventory[[#This Row],[Res Adj ]],-2)</f>
        <v>258100</v>
      </c>
      <c r="BO1123" s="25">
        <f>ROUND(Inventory[[#This Row],[25Det]]*Inventory[[#This Row],[Det/Nbhd Adj]],-2)</f>
        <v>7900</v>
      </c>
      <c r="BP1123" s="25">
        <f>Inventory[[#This Row],[Adjusted Res]]+Inventory[[#This Row],[Adj Det ]]</f>
        <v>266000</v>
      </c>
      <c r="BQ1123" s="25">
        <f>ROUND((Inventory[[#This Row],[Mdl Land Intercept]]+Inventory[[#This Row],[Mdl LnAcres]])*Inventory[[#This Row],[Det/Nbhd Adj]],-2)</f>
        <v>30200</v>
      </c>
      <c r="BR1123" s="25">
        <f>Inventory[[#This Row],[Adjusted Impr Total]]+Inventory[[#This Row],[Adjusted Land Total]]</f>
        <v>296200</v>
      </c>
      <c r="BS1123" s="36">
        <f>IFERROR((Inventory[[#This Row],[Adjusted Impr Total]]-Inventory[[#This Row],[24Bldg]])/Inventory[[#This Row],[24Bldg]],0)</f>
        <v>0.14212108200944612</v>
      </c>
      <c r="BT1123" s="36">
        <f>(Inventory[[#This Row],[Adjusted Land Total]]-Inventory[[#This Row],[24Lnd]])/Inventory[[#This Row],[24Lnd]]</f>
        <v>-0.40316205533596838</v>
      </c>
      <c r="BU1123" s="36">
        <f>(Inventory[[#This Row],[Adjusted Total]]-Inventory[[#This Row],[24Final]])/Inventory[[#This Row],[24Final]]</f>
        <v>4.4797178130511463E-2</v>
      </c>
    </row>
    <row r="1124" spans="1:73" x14ac:dyDescent="0.3">
      <c r="A1124" s="25">
        <v>2025</v>
      </c>
      <c r="B1124" s="26" t="s">
        <v>2729</v>
      </c>
      <c r="C1124" s="26">
        <f>LN(Inventory[[#This Row],[Acres]])</f>
        <v>-1.6094379124341003</v>
      </c>
      <c r="D1124" s="25">
        <v>0.2</v>
      </c>
      <c r="E1124" s="25">
        <v>8794</v>
      </c>
      <c r="F1124" s="26" t="s">
        <v>537</v>
      </c>
      <c r="G1124" s="26" t="s">
        <v>126</v>
      </c>
      <c r="H1124" s="26" t="s">
        <v>349</v>
      </c>
      <c r="I1124" s="26" t="s">
        <v>538</v>
      </c>
      <c r="J1124" s="26" t="s">
        <v>539</v>
      </c>
      <c r="K1124" s="26" t="s">
        <v>173</v>
      </c>
      <c r="L1124" s="26" t="s">
        <v>302</v>
      </c>
      <c r="M1124" s="26" t="s">
        <v>303</v>
      </c>
      <c r="N1124" s="26">
        <v>80</v>
      </c>
      <c r="O1124" s="26">
        <f>2024-Inventory[[#This Row],[YrBlt]]</f>
        <v>79</v>
      </c>
      <c r="P1124" s="26">
        <f>2024-Inventory[[#This Row],[EffYr]]</f>
        <v>52</v>
      </c>
      <c r="Q1124" s="25">
        <v>1945</v>
      </c>
      <c r="R1124" s="25">
        <v>1972</v>
      </c>
      <c r="S1124" s="25">
        <v>1736</v>
      </c>
      <c r="T1124" s="32">
        <v>714</v>
      </c>
      <c r="U1124" s="32">
        <v>432</v>
      </c>
      <c r="V1124" s="32">
        <f>Inventory[[#This Row],[Bsmt]]-Inventory[[#This Row],[FnBsmt]]</f>
        <v>0</v>
      </c>
      <c r="W1124" s="32">
        <v>432</v>
      </c>
      <c r="X1124" s="27"/>
      <c r="Y1124" s="27">
        <f>Inventory[[#This Row],[MainFn]]+Inventory[[#This Row],[UpprFn]]+Inventory[[#This Row],[FnBsmt]]+Inventory[[#This Row],[AddFn]]</f>
        <v>2882</v>
      </c>
      <c r="Z1124" s="27">
        <v>3000</v>
      </c>
      <c r="AA1124" s="25">
        <v>10</v>
      </c>
      <c r="AB1124" s="27"/>
      <c r="AC1124" s="27"/>
      <c r="AD1124" s="27"/>
      <c r="AE1124" s="27"/>
      <c r="AF1124" s="27"/>
      <c r="AG1124" s="27"/>
      <c r="AH1124" s="27"/>
      <c r="AI1124" s="25">
        <v>439556</v>
      </c>
      <c r="AJ1124" s="25">
        <v>307689</v>
      </c>
      <c r="AK1124" s="25">
        <v>10334</v>
      </c>
      <c r="AL1124" s="25">
        <v>412500</v>
      </c>
      <c r="AM1124" s="25">
        <v>58400</v>
      </c>
      <c r="AN1124" s="25">
        <v>354100</v>
      </c>
      <c r="AO1124" s="25">
        <v>0</v>
      </c>
      <c r="AP1124" s="25">
        <f>Lookups!$B$56*0</f>
        <v>0</v>
      </c>
      <c r="AQ1124" s="25">
        <f>Lookups!$B$56*1</f>
        <v>89850.625589999996</v>
      </c>
      <c r="AR1124" s="25">
        <f>Lookups!$B$57*Inventory[[#This Row],[LnAcres]]</f>
        <v>-50946.13867709865</v>
      </c>
      <c r="AS1124" s="25">
        <f>VLOOKUP(Inventory[[#This Row],[Qlty]],Lookups!$A$62:$E$75,2,FALSE)</f>
        <v>29814.093161000001</v>
      </c>
      <c r="AT1124" s="25">
        <f>VLOOKUP(Inventory[[#This Row],[Cnd]],Lookups!$A$76:$E$84,2,FALSE)</f>
        <v>197752.34721000001</v>
      </c>
      <c r="AU1124" s="25">
        <f>Inventory[[#This Row],[EffAge]]*Lookups!$B$85</f>
        <v>-11598.371226000001</v>
      </c>
      <c r="AV1124" s="25">
        <f>Inventory[[#This Row],[MainFn]]*Lookups!$B$86</f>
        <v>85773.450906472004</v>
      </c>
      <c r="AW1124" s="25">
        <f>Inventory[[#This Row],[UpprFn]]*Lookups!$B$87</f>
        <v>31977.505922754</v>
      </c>
      <c r="AX1124" s="25">
        <f>Inventory[[#This Row],[AddFn]]*Lookups!$B$88</f>
        <v>0</v>
      </c>
      <c r="AY1124" s="25">
        <f>Inventory[[#This Row],[Bsmt]]*Lookups!$B$89</f>
        <v>12563.378746704</v>
      </c>
      <c r="AZ1124" s="25">
        <f>Inventory[[#This Row],[Fixtures]]*Lookups!$B$90</f>
        <v>37920.221052000001</v>
      </c>
      <c r="BA1124" s="25">
        <f>Inventory[[#This Row],[WdDeck]]*Lookups!$B$91</f>
        <v>0</v>
      </c>
      <c r="BB1124" s="25">
        <f>ROUND(Inventory[[#This Row],[25Det]],-2)</f>
        <v>10300</v>
      </c>
      <c r="BC1124" s="25">
        <f>ROUND(SUM(Inventory[[#This Row],[Mdl Qlty]:[Mdl WdDeck]])+Inventory[[#This Row],[Mdl Res Intercept]],-2)</f>
        <v>384200</v>
      </c>
      <c r="BD1124" s="25">
        <f>ROUND(Inventory[[#This Row],[Mdl Land Intercept]]+Inventory[[#This Row],[Mdl LnAcres]],-2)</f>
        <v>38900</v>
      </c>
      <c r="BE1124" s="25">
        <f>Inventory[[#This Row],[Unadj Res Value]]+Inventory[[#This Row],[Unadj Det Value]]+Inventory[[#This Row],[Unadj Land Value]]</f>
        <v>433400</v>
      </c>
      <c r="BF1124" s="36">
        <f>(Inventory[[#This Row],[Unadj Total Value]]-Inventory[[#This Row],[24Final]])/Inventory[[#This Row],[24Final]]</f>
        <v>5.0666666666666665E-2</v>
      </c>
      <c r="BG1124" s="25">
        <f>VLOOKUP(Inventory[[#This Row],[Nbhd]],Lookups!$Q$2:$T$4,4,FALSE)</f>
        <v>0.99970000000000003</v>
      </c>
      <c r="BH1124" s="25">
        <f>VLOOKUP(Inventory[[#This Row],[Qlty]],Lookups!$O$7:$R$21,4,FALSE)</f>
        <v>1.0088999999999999</v>
      </c>
      <c r="BI1124" s="25">
        <f>VLOOKUP(Inventory[[#This Row],[Cnd]],Lookups!$T$7:$W$16,4,FALSE)</f>
        <v>0.99650000000000005</v>
      </c>
      <c r="BJ1124" s="25">
        <f>VLOOKUP(Inventory[[#This Row],[LivArea Range]],Lookups!$T$25:$W$37,4,FALSE)</f>
        <v>0.96179999999999999</v>
      </c>
      <c r="BK1124" s="25">
        <f>VLOOKUP(Inventory[[#This Row],[Decade]],Lookups!$O$25:$R$42,4,FALSE)</f>
        <v>0.995</v>
      </c>
      <c r="BL1124" s="25">
        <f>Inventory[[#This Row],[Nbhd Adj]]*0.95</f>
        <v>0.94971499999999998</v>
      </c>
      <c r="BM1124" s="25">
        <f>Inventory[[#This Row],[Nbhd Adj]]*Inventory[[#This Row],[Quality Adj]]*Inventory[[#This Row],[Condition Adj]]*Inventory[[#This Row],[Living Area Adj]]*Inventory[[#This Row],[Decade Adj]]*0.95</f>
        <v>0.9137482873256102</v>
      </c>
      <c r="BN1124" s="25">
        <f>ROUND(SUM(Inventory[[#This Row],[Mdl Qlty]:[Mdl WdDeck]])+Inventory[[#This Row],[Mdl Res Intercept]]*Inventory[[#This Row],[Res Adj ]],-2)</f>
        <v>384200</v>
      </c>
      <c r="BO1124" s="25">
        <f>ROUND(Inventory[[#This Row],[25Det]]*Inventory[[#This Row],[Det/Nbhd Adj]],-2)</f>
        <v>9800</v>
      </c>
      <c r="BP1124" s="25">
        <f>Inventory[[#This Row],[Adjusted Res]]+Inventory[[#This Row],[Adj Det ]]</f>
        <v>394000</v>
      </c>
      <c r="BQ1124" s="25">
        <f>ROUND((Inventory[[#This Row],[Mdl Land Intercept]]+Inventory[[#This Row],[Mdl LnAcres]])*Inventory[[#This Row],[Det/Nbhd Adj]],-2)</f>
        <v>36900</v>
      </c>
      <c r="BR1124" s="25">
        <f>Inventory[[#This Row],[Adjusted Impr Total]]+Inventory[[#This Row],[Adjusted Land Total]]</f>
        <v>430900</v>
      </c>
      <c r="BS1124" s="36">
        <f>IFERROR((Inventory[[#This Row],[Adjusted Impr Total]]-Inventory[[#This Row],[24Bldg]])/Inventory[[#This Row],[24Bldg]],0)</f>
        <v>0.112680033888732</v>
      </c>
      <c r="BT1124" s="36">
        <f>(Inventory[[#This Row],[Adjusted Land Total]]-Inventory[[#This Row],[24Lnd]])/Inventory[[#This Row],[24Lnd]]</f>
        <v>-0.36815068493150682</v>
      </c>
      <c r="BU1124" s="36">
        <f>(Inventory[[#This Row],[Adjusted Total]]-Inventory[[#This Row],[24Final]])/Inventory[[#This Row],[24Final]]</f>
        <v>4.4606060606060607E-2</v>
      </c>
    </row>
    <row r="1125" spans="1:73" x14ac:dyDescent="0.3">
      <c r="A1125" s="25">
        <v>2025</v>
      </c>
      <c r="B1125" s="26" t="s">
        <v>2089</v>
      </c>
      <c r="C1125" s="26">
        <f>LN(Inventory[[#This Row],[Acres]])</f>
        <v>-1.3470736479666092</v>
      </c>
      <c r="D1125" s="25">
        <v>0.26</v>
      </c>
      <c r="E1125" s="25">
        <v>11192</v>
      </c>
      <c r="F1125" s="26" t="s">
        <v>537</v>
      </c>
      <c r="G1125" s="26" t="s">
        <v>126</v>
      </c>
      <c r="H1125" s="26" t="s">
        <v>349</v>
      </c>
      <c r="I1125" s="26" t="s">
        <v>538</v>
      </c>
      <c r="J1125" s="26" t="s">
        <v>539</v>
      </c>
      <c r="K1125" s="26" t="s">
        <v>242</v>
      </c>
      <c r="L1125" s="26" t="s">
        <v>205</v>
      </c>
      <c r="M1125" s="26" t="s">
        <v>206</v>
      </c>
      <c r="N1125" s="26">
        <v>80</v>
      </c>
      <c r="O1125" s="26">
        <f>2024-Inventory[[#This Row],[YrBlt]]</f>
        <v>79</v>
      </c>
      <c r="P1125" s="26">
        <f>2024-Inventory[[#This Row],[EffYr]]</f>
        <v>52</v>
      </c>
      <c r="Q1125" s="25">
        <v>1945</v>
      </c>
      <c r="R1125" s="25">
        <v>1972</v>
      </c>
      <c r="S1125" s="25">
        <v>1140</v>
      </c>
      <c r="T1125" s="27"/>
      <c r="U1125" s="27"/>
      <c r="V1125" s="27">
        <f>Inventory[[#This Row],[Bsmt]]-Inventory[[#This Row],[FnBsmt]]</f>
        <v>0</v>
      </c>
      <c r="W1125" s="27"/>
      <c r="X1125" s="27"/>
      <c r="Y1125" s="27">
        <f>Inventory[[#This Row],[MainFn]]+Inventory[[#This Row],[UpprFn]]+Inventory[[#This Row],[FnBsmt]]+Inventory[[#This Row],[AddFn]]</f>
        <v>1140</v>
      </c>
      <c r="Z1125" s="27">
        <v>1500</v>
      </c>
      <c r="AA1125" s="25">
        <v>8</v>
      </c>
      <c r="AB1125" s="31"/>
      <c r="AC1125" s="27"/>
      <c r="AD1125" s="32">
        <v>168</v>
      </c>
      <c r="AE1125" s="27"/>
      <c r="AF1125" s="27"/>
      <c r="AG1125" s="27"/>
      <c r="AH1125" s="27"/>
      <c r="AI1125" s="25">
        <v>181365</v>
      </c>
      <c r="AJ1125" s="25">
        <v>119701</v>
      </c>
      <c r="AK1125" s="25">
        <v>0</v>
      </c>
      <c r="AL1125" s="25">
        <v>248200</v>
      </c>
      <c r="AM1125" s="25">
        <v>67600</v>
      </c>
      <c r="AN1125" s="25">
        <v>180600</v>
      </c>
      <c r="AO1125" s="25">
        <v>0</v>
      </c>
      <c r="AP1125" s="25">
        <f>Lookups!$B$56*0</f>
        <v>0</v>
      </c>
      <c r="AQ1125" s="25">
        <f>Lookups!$B$56*1</f>
        <v>89850.625589999996</v>
      </c>
      <c r="AR1125" s="25">
        <f>Lookups!$B$57*Inventory[[#This Row],[LnAcres]]</f>
        <v>-42641.098701210125</v>
      </c>
      <c r="AS1125" s="25">
        <f>VLOOKUP(Inventory[[#This Row],[Qlty]],Lookups!$A$62:$E$75,2,FALSE)</f>
        <v>0</v>
      </c>
      <c r="AT1125" s="25">
        <f>VLOOKUP(Inventory[[#This Row],[Cnd]],Lookups!$A$76:$E$84,2,FALSE)</f>
        <v>133714.53821</v>
      </c>
      <c r="AU1125" s="25">
        <f>Inventory[[#This Row],[EffAge]]*Lookups!$B$85</f>
        <v>-11598.371226000001</v>
      </c>
      <c r="AV1125" s="25">
        <f>Inventory[[#This Row],[MainFn]]*Lookups!$B$86</f>
        <v>56325.883659780004</v>
      </c>
      <c r="AW1125" s="25">
        <f>Inventory[[#This Row],[UpprFn]]*Lookups!$B$87</f>
        <v>0</v>
      </c>
      <c r="AX1125" s="25">
        <f>Inventory[[#This Row],[AddFn]]*Lookups!$B$88</f>
        <v>0</v>
      </c>
      <c r="AY1125" s="25">
        <f>Inventory[[#This Row],[Bsmt]]*Lookups!$B$89</f>
        <v>0</v>
      </c>
      <c r="AZ1125" s="25">
        <f>Inventory[[#This Row],[Fixtures]]*Lookups!$B$90</f>
        <v>30336.176841600001</v>
      </c>
      <c r="BA1125" s="25">
        <f>Inventory[[#This Row],[WdDeck]]*Lookups!$B$91</f>
        <v>5593.646566368001</v>
      </c>
      <c r="BB1125" s="25">
        <f>ROUND(Inventory[[#This Row],[25Det]],-2)</f>
        <v>0</v>
      </c>
      <c r="BC1125" s="25">
        <f>ROUND(SUM(Inventory[[#This Row],[Mdl Qlty]:[Mdl WdDeck]])+Inventory[[#This Row],[Mdl Res Intercept]],-2)</f>
        <v>214400</v>
      </c>
      <c r="BD1125" s="25">
        <f>ROUND(Inventory[[#This Row],[Mdl Land Intercept]]+Inventory[[#This Row],[Mdl LnAcres]],-2)</f>
        <v>47200</v>
      </c>
      <c r="BE1125" s="25">
        <f>Inventory[[#This Row],[Unadj Res Value]]+Inventory[[#This Row],[Unadj Det Value]]+Inventory[[#This Row],[Unadj Land Value]]</f>
        <v>261600</v>
      </c>
      <c r="BF1125" s="36">
        <f>(Inventory[[#This Row],[Unadj Total Value]]-Inventory[[#This Row],[24Final]])/Inventory[[#This Row],[24Final]]</f>
        <v>5.3988718775181306E-2</v>
      </c>
      <c r="BG1125" s="25">
        <f>VLOOKUP(Inventory[[#This Row],[Nbhd]],Lookups!$Q$2:$T$4,4,FALSE)</f>
        <v>0.99970000000000003</v>
      </c>
      <c r="BH1125" s="25">
        <f>VLOOKUP(Inventory[[#This Row],[Qlty]],Lookups!$O$7:$R$21,4,FALSE)</f>
        <v>0.99180000000000001</v>
      </c>
      <c r="BI1125" s="25">
        <f>VLOOKUP(Inventory[[#This Row],[Cnd]],Lookups!$T$7:$W$16,4,FALSE)</f>
        <v>0.99329999999999996</v>
      </c>
      <c r="BJ1125" s="25">
        <f>VLOOKUP(Inventory[[#This Row],[LivArea Range]],Lookups!$T$25:$W$37,4,FALSE)</f>
        <v>1.0157</v>
      </c>
      <c r="BK1125" s="25">
        <f>VLOOKUP(Inventory[[#This Row],[Decade]],Lookups!$O$25:$R$42,4,FALSE)</f>
        <v>0.995</v>
      </c>
      <c r="BL1125" s="25">
        <f>Inventory[[#This Row],[Nbhd Adj]]*0.95</f>
        <v>0.94971499999999998</v>
      </c>
      <c r="BM1125" s="25">
        <f>Inventory[[#This Row],[Nbhd Adj]]*Inventory[[#This Row],[Quality Adj]]*Inventory[[#This Row],[Condition Adj]]*Inventory[[#This Row],[Living Area Adj]]*Inventory[[#This Row],[Decade Adj]]*0.95</f>
        <v>0.94555407368793887</v>
      </c>
      <c r="BN1125" s="25">
        <f>ROUND(SUM(Inventory[[#This Row],[Mdl Qlty]:[Mdl WdDeck]])+Inventory[[#This Row],[Mdl Res Intercept]]*Inventory[[#This Row],[Res Adj ]],-2)</f>
        <v>214400</v>
      </c>
      <c r="BO1125" s="25">
        <f>ROUND(Inventory[[#This Row],[25Det]]*Inventory[[#This Row],[Det/Nbhd Adj]],-2)</f>
        <v>0</v>
      </c>
      <c r="BP1125" s="25">
        <f>Inventory[[#This Row],[Adjusted Res]]+Inventory[[#This Row],[Adj Det ]]</f>
        <v>214400</v>
      </c>
      <c r="BQ1125" s="25">
        <f>ROUND((Inventory[[#This Row],[Mdl Land Intercept]]+Inventory[[#This Row],[Mdl LnAcres]])*Inventory[[#This Row],[Det/Nbhd Adj]],-2)</f>
        <v>44800</v>
      </c>
      <c r="BR1125" s="25">
        <f>Inventory[[#This Row],[Adjusted Impr Total]]+Inventory[[#This Row],[Adjusted Land Total]]</f>
        <v>259200</v>
      </c>
      <c r="BS1125" s="36">
        <f>IFERROR((Inventory[[#This Row],[Adjusted Impr Total]]-Inventory[[#This Row],[24Bldg]])/Inventory[[#This Row],[24Bldg]],0)</f>
        <v>0.18715393133997785</v>
      </c>
      <c r="BT1125" s="36">
        <f>(Inventory[[#This Row],[Adjusted Land Total]]-Inventory[[#This Row],[24Lnd]])/Inventory[[#This Row],[24Lnd]]</f>
        <v>-0.33727810650887574</v>
      </c>
      <c r="BU1125" s="36">
        <f>(Inventory[[#This Row],[Adjusted Total]]-Inventory[[#This Row],[24Final]])/Inventory[[#This Row],[24Final]]</f>
        <v>4.4319097502014501E-2</v>
      </c>
    </row>
    <row r="1126" spans="1:73" x14ac:dyDescent="0.3">
      <c r="A1126" s="25">
        <v>2025</v>
      </c>
      <c r="B1126" s="26" t="s">
        <v>1223</v>
      </c>
      <c r="C1126" s="26">
        <f>LN(Inventory[[#This Row],[Acres]])</f>
        <v>-1.2039728043259361</v>
      </c>
      <c r="D1126" s="25">
        <v>0.3</v>
      </c>
      <c r="E1126" s="31"/>
      <c r="F1126" s="26" t="s">
        <v>537</v>
      </c>
      <c r="G1126" s="26" t="s">
        <v>126</v>
      </c>
      <c r="H1126" s="26" t="s">
        <v>349</v>
      </c>
      <c r="I1126" s="26" t="s">
        <v>538</v>
      </c>
      <c r="J1126" s="26" t="s">
        <v>539</v>
      </c>
      <c r="K1126" s="26" t="s">
        <v>242</v>
      </c>
      <c r="L1126" s="26" t="s">
        <v>302</v>
      </c>
      <c r="M1126" s="26" t="s">
        <v>303</v>
      </c>
      <c r="N1126" s="26">
        <v>80</v>
      </c>
      <c r="O1126" s="26">
        <f>2024-Inventory[[#This Row],[YrBlt]]</f>
        <v>79</v>
      </c>
      <c r="P1126" s="26">
        <f>2024-Inventory[[#This Row],[EffYr]]</f>
        <v>52</v>
      </c>
      <c r="Q1126" s="25">
        <v>1945</v>
      </c>
      <c r="R1126" s="25">
        <v>1972</v>
      </c>
      <c r="S1126" s="25">
        <v>1066</v>
      </c>
      <c r="T1126" s="27"/>
      <c r="U1126" s="32">
        <v>1066</v>
      </c>
      <c r="V1126" s="32">
        <f>Inventory[[#This Row],[Bsmt]]-Inventory[[#This Row],[FnBsmt]]</f>
        <v>0</v>
      </c>
      <c r="W1126" s="32">
        <v>1066</v>
      </c>
      <c r="X1126" s="27"/>
      <c r="Y1126" s="27">
        <f>Inventory[[#This Row],[MainFn]]+Inventory[[#This Row],[UpprFn]]+Inventory[[#This Row],[FnBsmt]]+Inventory[[#This Row],[AddFn]]</f>
        <v>2132</v>
      </c>
      <c r="Z1126" s="27">
        <v>2500</v>
      </c>
      <c r="AA1126" s="25">
        <v>8</v>
      </c>
      <c r="AB1126" s="32">
        <v>418</v>
      </c>
      <c r="AC1126" s="27"/>
      <c r="AD1126" s="27"/>
      <c r="AE1126" s="27"/>
      <c r="AF1126" s="27"/>
      <c r="AG1126" s="27"/>
      <c r="AH1126" s="27"/>
      <c r="AI1126" s="25">
        <v>342274</v>
      </c>
      <c r="AJ1126" s="25">
        <v>239592</v>
      </c>
      <c r="AK1126" s="25">
        <v>0</v>
      </c>
      <c r="AL1126" s="25">
        <v>363300</v>
      </c>
      <c r="AM1126" s="25">
        <v>72500</v>
      </c>
      <c r="AN1126" s="25">
        <v>290800</v>
      </c>
      <c r="AO1126" s="25">
        <v>0</v>
      </c>
      <c r="AP1126" s="25">
        <f>Lookups!$B$56*0</f>
        <v>0</v>
      </c>
      <c r="AQ1126" s="25">
        <f>Lookups!$B$56*1</f>
        <v>89850.625589999996</v>
      </c>
      <c r="AR1126" s="25">
        <f>Lookups!$B$57*Inventory[[#This Row],[LnAcres]]</f>
        <v>-38111.29648355169</v>
      </c>
      <c r="AS1126" s="25">
        <f>VLOOKUP(Inventory[[#This Row],[Qlty]],Lookups!$A$62:$E$75,2,FALSE)</f>
        <v>29814.093161000001</v>
      </c>
      <c r="AT1126" s="25">
        <f>VLOOKUP(Inventory[[#This Row],[Cnd]],Lookups!$A$76:$E$84,2,FALSE)</f>
        <v>197752.34721000001</v>
      </c>
      <c r="AU1126" s="25">
        <f>Inventory[[#This Row],[EffAge]]*Lookups!$B$85</f>
        <v>-11598.371226000001</v>
      </c>
      <c r="AV1126" s="25">
        <f>Inventory[[#This Row],[MainFn]]*Lookups!$B$86</f>
        <v>52669.642088881999</v>
      </c>
      <c r="AW1126" s="25">
        <f>Inventory[[#This Row],[UpprFn]]*Lookups!$B$87</f>
        <v>0</v>
      </c>
      <c r="AX1126" s="25">
        <f>Inventory[[#This Row],[AddFn]]*Lookups!$B$88</f>
        <v>0</v>
      </c>
      <c r="AY1126" s="25">
        <f>Inventory[[#This Row],[Bsmt]]*Lookups!$B$89</f>
        <v>31001.300333301999</v>
      </c>
      <c r="AZ1126" s="25">
        <f>Inventory[[#This Row],[Fixtures]]*Lookups!$B$90</f>
        <v>30336.176841600001</v>
      </c>
      <c r="BA1126" s="25">
        <f>Inventory[[#This Row],[WdDeck]]*Lookups!$B$91</f>
        <v>0</v>
      </c>
      <c r="BB1126" s="25">
        <f>ROUND(Inventory[[#This Row],[25Det]],-2)</f>
        <v>0</v>
      </c>
      <c r="BC1126" s="25">
        <f>ROUND(SUM(Inventory[[#This Row],[Mdl Qlty]:[Mdl WdDeck]])+Inventory[[#This Row],[Mdl Res Intercept]],-2)</f>
        <v>330000</v>
      </c>
      <c r="BD1126" s="25">
        <f>ROUND(Inventory[[#This Row],[Mdl Land Intercept]]+Inventory[[#This Row],[Mdl LnAcres]],-2)</f>
        <v>51700</v>
      </c>
      <c r="BE1126" s="25">
        <f>Inventory[[#This Row],[Unadj Res Value]]+Inventory[[#This Row],[Unadj Det Value]]+Inventory[[#This Row],[Unadj Land Value]]</f>
        <v>381700</v>
      </c>
      <c r="BF1126" s="36">
        <f>(Inventory[[#This Row],[Unadj Total Value]]-Inventory[[#This Row],[24Final]])/Inventory[[#This Row],[24Final]]</f>
        <v>5.0646848334709609E-2</v>
      </c>
      <c r="BG1126" s="25">
        <f>VLOOKUP(Inventory[[#This Row],[Nbhd]],Lookups!$Q$2:$T$4,4,FALSE)</f>
        <v>0.99970000000000003</v>
      </c>
      <c r="BH1126" s="25">
        <f>VLOOKUP(Inventory[[#This Row],[Qlty]],Lookups!$O$7:$R$21,4,FALSE)</f>
        <v>1.0088999999999999</v>
      </c>
      <c r="BI1126" s="25">
        <f>VLOOKUP(Inventory[[#This Row],[Cnd]],Lookups!$T$7:$W$16,4,FALSE)</f>
        <v>0.99650000000000005</v>
      </c>
      <c r="BJ1126" s="25">
        <f>VLOOKUP(Inventory[[#This Row],[LivArea Range]],Lookups!$T$25:$W$37,4,FALSE)</f>
        <v>0.98919999999999997</v>
      </c>
      <c r="BK1126" s="25">
        <f>VLOOKUP(Inventory[[#This Row],[Decade]],Lookups!$O$25:$R$42,4,FALSE)</f>
        <v>0.995</v>
      </c>
      <c r="BL1126" s="25">
        <f>Inventory[[#This Row],[Nbhd Adj]]*0.95</f>
        <v>0.94971499999999998</v>
      </c>
      <c r="BM1126" s="25">
        <f>Inventory[[#This Row],[Nbhd Adj]]*Inventory[[#This Row],[Quality Adj]]*Inventory[[#This Row],[Condition Adj]]*Inventory[[#This Row],[Living Area Adj]]*Inventory[[#This Row],[Decade Adj]]*0.95</f>
        <v>0.93977937806455991</v>
      </c>
      <c r="BN1126" s="25">
        <f>ROUND(SUM(Inventory[[#This Row],[Mdl Qlty]:[Mdl WdDeck]])+Inventory[[#This Row],[Mdl Res Intercept]]*Inventory[[#This Row],[Res Adj ]],-2)</f>
        <v>330000</v>
      </c>
      <c r="BO1126" s="25">
        <f>ROUND(Inventory[[#This Row],[25Det]]*Inventory[[#This Row],[Det/Nbhd Adj]],-2)</f>
        <v>0</v>
      </c>
      <c r="BP1126" s="25">
        <f>Inventory[[#This Row],[Adjusted Res]]+Inventory[[#This Row],[Adj Det ]]</f>
        <v>330000</v>
      </c>
      <c r="BQ1126" s="25">
        <f>ROUND((Inventory[[#This Row],[Mdl Land Intercept]]+Inventory[[#This Row],[Mdl LnAcres]])*Inventory[[#This Row],[Det/Nbhd Adj]],-2)</f>
        <v>49100</v>
      </c>
      <c r="BR1126" s="25">
        <f>Inventory[[#This Row],[Adjusted Impr Total]]+Inventory[[#This Row],[Adjusted Land Total]]</f>
        <v>379100</v>
      </c>
      <c r="BS1126" s="36">
        <f>IFERROR((Inventory[[#This Row],[Adjusted Impr Total]]-Inventory[[#This Row],[24Bldg]])/Inventory[[#This Row],[24Bldg]],0)</f>
        <v>0.13480055020632736</v>
      </c>
      <c r="BT1126" s="36">
        <f>(Inventory[[#This Row],[Adjusted Land Total]]-Inventory[[#This Row],[24Lnd]])/Inventory[[#This Row],[24Lnd]]</f>
        <v>-0.32275862068965516</v>
      </c>
      <c r="BU1126" s="36">
        <f>(Inventory[[#This Row],[Adjusted Total]]-Inventory[[#This Row],[24Final]])/Inventory[[#This Row],[24Final]]</f>
        <v>4.3490228461326726E-2</v>
      </c>
    </row>
    <row r="1127" spans="1:73" x14ac:dyDescent="0.3">
      <c r="A1127" s="25">
        <v>2025</v>
      </c>
      <c r="B1127" s="26" t="s">
        <v>1303</v>
      </c>
      <c r="C1127" s="26">
        <f>LN(Inventory[[#This Row],[Acres]])</f>
        <v>-1.7719568419318752</v>
      </c>
      <c r="D1127" s="25">
        <v>0.17</v>
      </c>
      <c r="E1127" s="31"/>
      <c r="F1127" s="26" t="s">
        <v>537</v>
      </c>
      <c r="G1127" s="26" t="s">
        <v>126</v>
      </c>
      <c r="H1127" s="26" t="s">
        <v>349</v>
      </c>
      <c r="I1127" s="26" t="s">
        <v>538</v>
      </c>
      <c r="J1127" s="26" t="s">
        <v>638</v>
      </c>
      <c r="K1127" s="26" t="s">
        <v>242</v>
      </c>
      <c r="L1127" s="26" t="s">
        <v>351</v>
      </c>
      <c r="M1127" s="26" t="s">
        <v>323</v>
      </c>
      <c r="N1127" s="26">
        <v>80</v>
      </c>
      <c r="O1127" s="26">
        <f>2024-Inventory[[#This Row],[YrBlt]]</f>
        <v>79</v>
      </c>
      <c r="P1127" s="26">
        <f>2024-Inventory[[#This Row],[EffYr]]</f>
        <v>52</v>
      </c>
      <c r="Q1127" s="25">
        <v>1945</v>
      </c>
      <c r="R1127" s="25">
        <v>1972</v>
      </c>
      <c r="S1127" s="25">
        <v>1175</v>
      </c>
      <c r="T1127" s="27"/>
      <c r="U1127" s="27"/>
      <c r="V1127" s="27">
        <f>Inventory[[#This Row],[Bsmt]]-Inventory[[#This Row],[FnBsmt]]</f>
        <v>0</v>
      </c>
      <c r="W1127" s="27"/>
      <c r="X1127" s="27"/>
      <c r="Y1127" s="27">
        <f>Inventory[[#This Row],[MainFn]]+Inventory[[#This Row],[UpprFn]]+Inventory[[#This Row],[FnBsmt]]+Inventory[[#This Row],[AddFn]]</f>
        <v>1175</v>
      </c>
      <c r="Z1127" s="27">
        <v>1500</v>
      </c>
      <c r="AA1127" s="25">
        <v>5</v>
      </c>
      <c r="AB1127" s="25">
        <v>325</v>
      </c>
      <c r="AC1127" s="27"/>
      <c r="AD1127" s="27"/>
      <c r="AE1127" s="27"/>
      <c r="AF1127" s="27"/>
      <c r="AG1127" s="27"/>
      <c r="AH1127" s="27"/>
      <c r="AI1127" s="25">
        <v>211716</v>
      </c>
      <c r="AJ1127" s="25">
        <v>143967</v>
      </c>
      <c r="AK1127" s="25">
        <v>0</v>
      </c>
      <c r="AL1127" s="25">
        <v>268300</v>
      </c>
      <c r="AM1127" s="25">
        <v>52700</v>
      </c>
      <c r="AN1127" s="25">
        <v>215600</v>
      </c>
      <c r="AO1127" s="25">
        <v>0</v>
      </c>
      <c r="AP1127" s="25">
        <f>Lookups!$B$56*0</f>
        <v>0</v>
      </c>
      <c r="AQ1127" s="25">
        <f>Lookups!$B$56*1</f>
        <v>89850.625589999996</v>
      </c>
      <c r="AR1127" s="25">
        <f>Lookups!$B$57*Inventory[[#This Row],[LnAcres]]</f>
        <v>-56090.612940989391</v>
      </c>
      <c r="AS1127" s="25">
        <f>VLOOKUP(Inventory[[#This Row],[Qlty]],Lookups!$A$62:$E$75,2,FALSE)</f>
        <v>21557.329055999999</v>
      </c>
      <c r="AT1127" s="25">
        <f>VLOOKUP(Inventory[[#This Row],[Cnd]],Lookups!$A$76:$E$84,2,FALSE)</f>
        <v>160472.20319</v>
      </c>
      <c r="AU1127" s="25">
        <f>Inventory[[#This Row],[EffAge]]*Lookups!$B$85</f>
        <v>-11598.371226000001</v>
      </c>
      <c r="AV1127" s="25">
        <f>Inventory[[#This Row],[MainFn]]*Lookups!$B$86</f>
        <v>58055.187105475001</v>
      </c>
      <c r="AW1127" s="25">
        <f>Inventory[[#This Row],[UpprFn]]*Lookups!$B$87</f>
        <v>0</v>
      </c>
      <c r="AX1127" s="25">
        <f>Inventory[[#This Row],[AddFn]]*Lookups!$B$88</f>
        <v>0</v>
      </c>
      <c r="AY1127" s="25">
        <f>Inventory[[#This Row],[Bsmt]]*Lookups!$B$89</f>
        <v>0</v>
      </c>
      <c r="AZ1127" s="25">
        <f>Inventory[[#This Row],[Fixtures]]*Lookups!$B$90</f>
        <v>18960.110526</v>
      </c>
      <c r="BA1127" s="25">
        <f>Inventory[[#This Row],[WdDeck]]*Lookups!$B$91</f>
        <v>0</v>
      </c>
      <c r="BB1127" s="25">
        <f>ROUND(Inventory[[#This Row],[25Det]],-2)</f>
        <v>0</v>
      </c>
      <c r="BC1127" s="25">
        <f>ROUND(SUM(Inventory[[#This Row],[Mdl Qlty]:[Mdl WdDeck]])+Inventory[[#This Row],[Mdl Res Intercept]],-2)</f>
        <v>247400</v>
      </c>
      <c r="BD1127" s="25">
        <f>ROUND(Inventory[[#This Row],[Mdl Land Intercept]]+Inventory[[#This Row],[Mdl LnAcres]],-2)</f>
        <v>33800</v>
      </c>
      <c r="BE1127" s="25">
        <f>Inventory[[#This Row],[Unadj Res Value]]+Inventory[[#This Row],[Unadj Det Value]]+Inventory[[#This Row],[Unadj Land Value]]</f>
        <v>281200</v>
      </c>
      <c r="BF1127" s="36">
        <f>(Inventory[[#This Row],[Unadj Total Value]]-Inventory[[#This Row],[24Final]])/Inventory[[#This Row],[24Final]]</f>
        <v>4.8080506895266495E-2</v>
      </c>
      <c r="BG1127" s="25">
        <f>VLOOKUP(Inventory[[#This Row],[Nbhd]],Lookups!$Q$2:$T$4,4,FALSE)</f>
        <v>0.99970000000000003</v>
      </c>
      <c r="BH1127" s="25">
        <f>VLOOKUP(Inventory[[#This Row],[Qlty]],Lookups!$O$7:$R$21,4,FALSE)</f>
        <v>1.0067999999999999</v>
      </c>
      <c r="BI1127" s="25">
        <f>VLOOKUP(Inventory[[#This Row],[Cnd]],Lookups!$T$7:$W$16,4,FALSE)</f>
        <v>0.99729999999999996</v>
      </c>
      <c r="BJ1127" s="25">
        <f>VLOOKUP(Inventory[[#This Row],[LivArea Range]],Lookups!$T$25:$W$37,4,FALSE)</f>
        <v>1.0157</v>
      </c>
      <c r="BK1127" s="25">
        <f>VLOOKUP(Inventory[[#This Row],[Decade]],Lookups!$O$25:$R$42,4,FALSE)</f>
        <v>0.995</v>
      </c>
      <c r="BL1127" s="25">
        <f>Inventory[[#This Row],[Nbhd Adj]]*0.95</f>
        <v>0.94971499999999998</v>
      </c>
      <c r="BM1127" s="25">
        <f>Inventory[[#This Row],[Nbhd Adj]]*Inventory[[#This Row],[Quality Adj]]*Inventory[[#This Row],[Condition Adj]]*Inventory[[#This Row],[Living Area Adj]]*Inventory[[#This Row],[Decade Adj]]*0.95</f>
        <v>0.96371996573175212</v>
      </c>
      <c r="BN1127" s="25">
        <f>ROUND(SUM(Inventory[[#This Row],[Mdl Qlty]:[Mdl WdDeck]])+Inventory[[#This Row],[Mdl Res Intercept]]*Inventory[[#This Row],[Res Adj ]],-2)</f>
        <v>247400</v>
      </c>
      <c r="BO1127" s="25">
        <f>ROUND(Inventory[[#This Row],[25Det]]*Inventory[[#This Row],[Det/Nbhd Adj]],-2)</f>
        <v>0</v>
      </c>
      <c r="BP1127" s="25">
        <f>Inventory[[#This Row],[Adjusted Res]]+Inventory[[#This Row],[Adj Det ]]</f>
        <v>247400</v>
      </c>
      <c r="BQ1127" s="25">
        <f>ROUND((Inventory[[#This Row],[Mdl Land Intercept]]+Inventory[[#This Row],[Mdl LnAcres]])*Inventory[[#This Row],[Det/Nbhd Adj]],-2)</f>
        <v>32100</v>
      </c>
      <c r="BR1127" s="25">
        <f>Inventory[[#This Row],[Adjusted Impr Total]]+Inventory[[#This Row],[Adjusted Land Total]]</f>
        <v>279500</v>
      </c>
      <c r="BS1127" s="36">
        <f>IFERROR((Inventory[[#This Row],[Adjusted Impr Total]]-Inventory[[#This Row],[24Bldg]])/Inventory[[#This Row],[24Bldg]],0)</f>
        <v>0.14749536178107606</v>
      </c>
      <c r="BT1127" s="36">
        <f>(Inventory[[#This Row],[Adjusted Land Total]]-Inventory[[#This Row],[24Lnd]])/Inventory[[#This Row],[24Lnd]]</f>
        <v>-0.39089184060721061</v>
      </c>
      <c r="BU1127" s="36">
        <f>(Inventory[[#This Row],[Adjusted Total]]-Inventory[[#This Row],[24Final]])/Inventory[[#This Row],[24Final]]</f>
        <v>4.1744316064107341E-2</v>
      </c>
    </row>
    <row r="1128" spans="1:73" x14ac:dyDescent="0.3">
      <c r="A1128" s="25">
        <v>2025</v>
      </c>
      <c r="B1128" s="26" t="s">
        <v>1973</v>
      </c>
      <c r="C1128" s="26">
        <f>LN(Inventory[[#This Row],[Acres]])</f>
        <v>-1.4271163556401458</v>
      </c>
      <c r="D1128" s="25">
        <v>0.24</v>
      </c>
      <c r="E1128" s="31"/>
      <c r="F1128" s="26" t="s">
        <v>537</v>
      </c>
      <c r="G1128" s="26" t="s">
        <v>126</v>
      </c>
      <c r="H1128" s="26" t="s">
        <v>349</v>
      </c>
      <c r="I1128" s="26" t="s">
        <v>538</v>
      </c>
      <c r="J1128" s="26" t="s">
        <v>539</v>
      </c>
      <c r="K1128" s="26" t="s">
        <v>242</v>
      </c>
      <c r="L1128" s="26" t="s">
        <v>351</v>
      </c>
      <c r="M1128" s="26" t="s">
        <v>323</v>
      </c>
      <c r="N1128" s="26">
        <v>80</v>
      </c>
      <c r="O1128" s="26">
        <f>2024-Inventory[[#This Row],[YrBlt]]</f>
        <v>79</v>
      </c>
      <c r="P1128" s="26">
        <f>2024-Inventory[[#This Row],[EffYr]]</f>
        <v>52</v>
      </c>
      <c r="Q1128" s="25">
        <v>1945</v>
      </c>
      <c r="R1128" s="25">
        <v>1972</v>
      </c>
      <c r="S1128" s="25">
        <v>1012</v>
      </c>
      <c r="T1128" s="27"/>
      <c r="U1128" s="32">
        <v>896</v>
      </c>
      <c r="V1128" s="32">
        <f>Inventory[[#This Row],[Bsmt]]-Inventory[[#This Row],[FnBsmt]]</f>
        <v>390</v>
      </c>
      <c r="W1128" s="32">
        <v>506</v>
      </c>
      <c r="X1128" s="27"/>
      <c r="Y1128" s="27">
        <f>Inventory[[#This Row],[MainFn]]+Inventory[[#This Row],[UpprFn]]+Inventory[[#This Row],[FnBsmt]]+Inventory[[#This Row],[AddFn]]</f>
        <v>1518</v>
      </c>
      <c r="Z1128" s="27">
        <v>2000</v>
      </c>
      <c r="AA1128" s="25">
        <v>5</v>
      </c>
      <c r="AB1128" s="31"/>
      <c r="AC1128" s="27"/>
      <c r="AD1128" s="31"/>
      <c r="AE1128" s="27"/>
      <c r="AF1128" s="27"/>
      <c r="AG1128" s="27"/>
      <c r="AH1128" s="27"/>
      <c r="AI1128" s="25">
        <v>232843</v>
      </c>
      <c r="AJ1128" s="25">
        <v>158333</v>
      </c>
      <c r="AK1128" s="25">
        <v>7116</v>
      </c>
      <c r="AL1128" s="25">
        <v>302600</v>
      </c>
      <c r="AM1128" s="25">
        <v>64800</v>
      </c>
      <c r="AN1128" s="25">
        <v>237800</v>
      </c>
      <c r="AO1128" s="25">
        <v>0</v>
      </c>
      <c r="AP1128" s="25">
        <f>Lookups!$B$56*0</f>
        <v>0</v>
      </c>
      <c r="AQ1128" s="25">
        <f>Lookups!$B$56*1</f>
        <v>89850.625589999996</v>
      </c>
      <c r="AR1128" s="25">
        <f>Lookups!$B$57*Inventory[[#This Row],[LnAcres]]</f>
        <v>-45174.819855485119</v>
      </c>
      <c r="AS1128" s="25">
        <f>VLOOKUP(Inventory[[#This Row],[Qlty]],Lookups!$A$62:$E$75,2,FALSE)</f>
        <v>21557.329055999999</v>
      </c>
      <c r="AT1128" s="25">
        <f>VLOOKUP(Inventory[[#This Row],[Cnd]],Lookups!$A$76:$E$84,2,FALSE)</f>
        <v>160472.20319</v>
      </c>
      <c r="AU1128" s="25">
        <f>Inventory[[#This Row],[EffAge]]*Lookups!$B$85</f>
        <v>-11598.371226000001</v>
      </c>
      <c r="AV1128" s="25">
        <f>Inventory[[#This Row],[MainFn]]*Lookups!$B$86</f>
        <v>50001.573915524001</v>
      </c>
      <c r="AW1128" s="25">
        <f>Inventory[[#This Row],[UpprFn]]*Lookups!$B$87</f>
        <v>0</v>
      </c>
      <c r="AX1128" s="25">
        <f>Inventory[[#This Row],[AddFn]]*Lookups!$B$88</f>
        <v>0</v>
      </c>
      <c r="AY1128" s="25">
        <f>Inventory[[#This Row],[Bsmt]]*Lookups!$B$89</f>
        <v>26057.378141311998</v>
      </c>
      <c r="AZ1128" s="25">
        <f>Inventory[[#This Row],[Fixtures]]*Lookups!$B$90</f>
        <v>18960.110526</v>
      </c>
      <c r="BA1128" s="25">
        <f>Inventory[[#This Row],[WdDeck]]*Lookups!$B$91</f>
        <v>0</v>
      </c>
      <c r="BB1128" s="25">
        <f>ROUND(Inventory[[#This Row],[25Det]],-2)</f>
        <v>7100</v>
      </c>
      <c r="BC1128" s="25">
        <f>ROUND(SUM(Inventory[[#This Row],[Mdl Qlty]:[Mdl WdDeck]])+Inventory[[#This Row],[Mdl Res Intercept]],-2)</f>
        <v>265500</v>
      </c>
      <c r="BD1128" s="25">
        <f>ROUND(Inventory[[#This Row],[Mdl Land Intercept]]+Inventory[[#This Row],[Mdl LnAcres]],-2)</f>
        <v>44700</v>
      </c>
      <c r="BE1128" s="25">
        <f>Inventory[[#This Row],[Unadj Res Value]]+Inventory[[#This Row],[Unadj Det Value]]+Inventory[[#This Row],[Unadj Land Value]]</f>
        <v>317300</v>
      </c>
      <c r="BF1128" s="36">
        <f>(Inventory[[#This Row],[Unadj Total Value]]-Inventory[[#This Row],[24Final]])/Inventory[[#This Row],[24Final]]</f>
        <v>4.8578982154659618E-2</v>
      </c>
      <c r="BG1128" s="25">
        <f>VLOOKUP(Inventory[[#This Row],[Nbhd]],Lookups!$Q$2:$T$4,4,FALSE)</f>
        <v>0.99970000000000003</v>
      </c>
      <c r="BH1128" s="25">
        <f>VLOOKUP(Inventory[[#This Row],[Qlty]],Lookups!$O$7:$R$21,4,FALSE)</f>
        <v>1.0067999999999999</v>
      </c>
      <c r="BI1128" s="25">
        <f>VLOOKUP(Inventory[[#This Row],[Cnd]],Lookups!$T$7:$W$16,4,FALSE)</f>
        <v>0.99729999999999996</v>
      </c>
      <c r="BJ1128" s="25">
        <f>VLOOKUP(Inventory[[#This Row],[LivArea Range]],Lookups!$T$25:$W$37,4,FALSE)</f>
        <v>1.0093000000000001</v>
      </c>
      <c r="BK1128" s="25">
        <f>VLOOKUP(Inventory[[#This Row],[Decade]],Lookups!$O$25:$R$42,4,FALSE)</f>
        <v>0.995</v>
      </c>
      <c r="BL1128" s="25">
        <f>Inventory[[#This Row],[Nbhd Adj]]*0.95</f>
        <v>0.94971499999999998</v>
      </c>
      <c r="BM1128" s="25">
        <f>Inventory[[#This Row],[Nbhd Adj]]*Inventory[[#This Row],[Quality Adj]]*Inventory[[#This Row],[Condition Adj]]*Inventory[[#This Row],[Living Area Adj]]*Inventory[[#This Row],[Decade Adj]]*0.95</f>
        <v>0.957647495730095</v>
      </c>
      <c r="BN1128" s="25">
        <f>ROUND(SUM(Inventory[[#This Row],[Mdl Qlty]:[Mdl WdDeck]])+Inventory[[#This Row],[Mdl Res Intercept]]*Inventory[[#This Row],[Res Adj ]],-2)</f>
        <v>265500</v>
      </c>
      <c r="BO1128" s="25">
        <f>ROUND(Inventory[[#This Row],[25Det]]*Inventory[[#This Row],[Det/Nbhd Adj]],-2)</f>
        <v>6800</v>
      </c>
      <c r="BP1128" s="25">
        <f>Inventory[[#This Row],[Adjusted Res]]+Inventory[[#This Row],[Adj Det ]]</f>
        <v>272300</v>
      </c>
      <c r="BQ1128" s="25">
        <f>ROUND((Inventory[[#This Row],[Mdl Land Intercept]]+Inventory[[#This Row],[Mdl LnAcres]])*Inventory[[#This Row],[Det/Nbhd Adj]],-2)</f>
        <v>42400</v>
      </c>
      <c r="BR1128" s="25">
        <f>Inventory[[#This Row],[Adjusted Impr Total]]+Inventory[[#This Row],[Adjusted Land Total]]</f>
        <v>314700</v>
      </c>
      <c r="BS1128" s="36">
        <f>IFERROR((Inventory[[#This Row],[Adjusted Impr Total]]-Inventory[[#This Row],[24Bldg]])/Inventory[[#This Row],[24Bldg]],0)</f>
        <v>0.14507989907485283</v>
      </c>
      <c r="BT1128" s="36">
        <f>(Inventory[[#This Row],[Adjusted Land Total]]-Inventory[[#This Row],[24Lnd]])/Inventory[[#This Row],[24Lnd]]</f>
        <v>-0.34567901234567899</v>
      </c>
      <c r="BU1128" s="36">
        <f>(Inventory[[#This Row],[Adjusted Total]]-Inventory[[#This Row],[24Final]])/Inventory[[#This Row],[24Final]]</f>
        <v>3.9986781229345673E-2</v>
      </c>
    </row>
    <row r="1129" spans="1:73" x14ac:dyDescent="0.3">
      <c r="A1129" s="25">
        <v>2025</v>
      </c>
      <c r="B1129" s="26" t="s">
        <v>1424</v>
      </c>
      <c r="C1129" s="26">
        <f>LN(Inventory[[#This Row],[Acres]])</f>
        <v>-1.6607312068216509</v>
      </c>
      <c r="D1129" s="25">
        <v>0.19</v>
      </c>
      <c r="E1129" s="25">
        <v>8107</v>
      </c>
      <c r="F1129" s="26" t="s">
        <v>537</v>
      </c>
      <c r="G1129" s="26" t="s">
        <v>126</v>
      </c>
      <c r="H1129" s="26" t="s">
        <v>349</v>
      </c>
      <c r="I1129" s="26" t="s">
        <v>538</v>
      </c>
      <c r="J1129" s="26" t="s">
        <v>539</v>
      </c>
      <c r="K1129" s="26" t="s">
        <v>242</v>
      </c>
      <c r="L1129" s="26" t="s">
        <v>148</v>
      </c>
      <c r="M1129" s="26" t="s">
        <v>303</v>
      </c>
      <c r="N1129" s="26">
        <v>80</v>
      </c>
      <c r="O1129" s="26">
        <f>2024-Inventory[[#This Row],[YrBlt]]</f>
        <v>79</v>
      </c>
      <c r="P1129" s="26">
        <f>2024-Inventory[[#This Row],[EffYr]]</f>
        <v>52</v>
      </c>
      <c r="Q1129" s="25">
        <v>1945</v>
      </c>
      <c r="R1129" s="25">
        <v>1972</v>
      </c>
      <c r="S1129" s="25">
        <v>1615</v>
      </c>
      <c r="T1129" s="27"/>
      <c r="U1129" s="32">
        <v>1496</v>
      </c>
      <c r="V1129" s="32">
        <f>Inventory[[#This Row],[Bsmt]]-Inventory[[#This Row],[FnBsmt]]</f>
        <v>374</v>
      </c>
      <c r="W1129" s="32">
        <v>1122</v>
      </c>
      <c r="X1129" s="27"/>
      <c r="Y1129" s="27">
        <f>Inventory[[#This Row],[MainFn]]+Inventory[[#This Row],[UpprFn]]+Inventory[[#This Row],[FnBsmt]]+Inventory[[#This Row],[AddFn]]</f>
        <v>2737</v>
      </c>
      <c r="Z1129" s="27">
        <v>3000</v>
      </c>
      <c r="AA1129" s="25">
        <v>11</v>
      </c>
      <c r="AB1129" s="25">
        <v>360</v>
      </c>
      <c r="AC1129" s="27"/>
      <c r="AD1129" s="27"/>
      <c r="AE1129" s="27"/>
      <c r="AF1129" s="27"/>
      <c r="AG1129" s="27"/>
      <c r="AH1129" s="27"/>
      <c r="AI1129" s="25">
        <v>511738</v>
      </c>
      <c r="AJ1129" s="25">
        <v>358217</v>
      </c>
      <c r="AK1129" s="25">
        <v>0</v>
      </c>
      <c r="AL1129" s="25">
        <v>414700</v>
      </c>
      <c r="AM1129" s="25">
        <v>56600</v>
      </c>
      <c r="AN1129" s="25">
        <v>358100</v>
      </c>
      <c r="AO1129" s="25">
        <v>0</v>
      </c>
      <c r="AP1129" s="25">
        <f>Lookups!$B$56*0</f>
        <v>0</v>
      </c>
      <c r="AQ1129" s="25">
        <f>Lookups!$B$56*1</f>
        <v>89850.625589999996</v>
      </c>
      <c r="AR1129" s="25">
        <f>Lookups!$B$57*Inventory[[#This Row],[LnAcres]]</f>
        <v>-52569.808201026557</v>
      </c>
      <c r="AS1129" s="25">
        <f>VLOOKUP(Inventory[[#This Row],[Qlty]],Lookups!$A$62:$E$75,2,FALSE)</f>
        <v>44121.038090000002</v>
      </c>
      <c r="AT1129" s="25">
        <f>VLOOKUP(Inventory[[#This Row],[Cnd]],Lookups!$A$76:$E$84,2,FALSE)</f>
        <v>197752.34721000001</v>
      </c>
      <c r="AU1129" s="25">
        <f>Inventory[[#This Row],[EffAge]]*Lookups!$B$85</f>
        <v>-11598.371226000001</v>
      </c>
      <c r="AV1129" s="25">
        <f>Inventory[[#This Row],[MainFn]]*Lookups!$B$86</f>
        <v>79795.001851355002</v>
      </c>
      <c r="AW1129" s="25">
        <f>Inventory[[#This Row],[UpprFn]]*Lookups!$B$87</f>
        <v>0</v>
      </c>
      <c r="AX1129" s="25">
        <f>Inventory[[#This Row],[AddFn]]*Lookups!$B$88</f>
        <v>0</v>
      </c>
      <c r="AY1129" s="25">
        <f>Inventory[[#This Row],[Bsmt]]*Lookups!$B$89</f>
        <v>43506.515289511997</v>
      </c>
      <c r="AZ1129" s="25">
        <f>Inventory[[#This Row],[Fixtures]]*Lookups!$B$90</f>
        <v>41712.243157199999</v>
      </c>
      <c r="BA1129" s="25">
        <f>Inventory[[#This Row],[WdDeck]]*Lookups!$B$91</f>
        <v>0</v>
      </c>
      <c r="BB1129" s="25">
        <f>ROUND(Inventory[[#This Row],[25Det]],-2)</f>
        <v>0</v>
      </c>
      <c r="BC1129" s="25">
        <f>ROUND(SUM(Inventory[[#This Row],[Mdl Qlty]:[Mdl WdDeck]])+Inventory[[#This Row],[Mdl Res Intercept]],-2)</f>
        <v>395300</v>
      </c>
      <c r="BD1129" s="25">
        <f>ROUND(Inventory[[#This Row],[Mdl Land Intercept]]+Inventory[[#This Row],[Mdl LnAcres]],-2)</f>
        <v>37300</v>
      </c>
      <c r="BE1129" s="25">
        <f>Inventory[[#This Row],[Unadj Res Value]]+Inventory[[#This Row],[Unadj Det Value]]+Inventory[[#This Row],[Unadj Land Value]]</f>
        <v>432600</v>
      </c>
      <c r="BF1129" s="36">
        <f>(Inventory[[#This Row],[Unadj Total Value]]-Inventory[[#This Row],[24Final]])/Inventory[[#This Row],[24Final]]</f>
        <v>4.3163732818905232E-2</v>
      </c>
      <c r="BG1129" s="25">
        <f>VLOOKUP(Inventory[[#This Row],[Nbhd]],Lookups!$Q$2:$T$4,4,FALSE)</f>
        <v>0.99970000000000003</v>
      </c>
      <c r="BH1129" s="25">
        <f>VLOOKUP(Inventory[[#This Row],[Qlty]],Lookups!$O$7:$R$21,4,FALSE)</f>
        <v>0.98050000000000004</v>
      </c>
      <c r="BI1129" s="25">
        <f>VLOOKUP(Inventory[[#This Row],[Cnd]],Lookups!$T$7:$W$16,4,FALSE)</f>
        <v>0.99650000000000005</v>
      </c>
      <c r="BJ1129" s="25">
        <f>VLOOKUP(Inventory[[#This Row],[LivArea Range]],Lookups!$T$25:$W$37,4,FALSE)</f>
        <v>0.96179999999999999</v>
      </c>
      <c r="BK1129" s="25">
        <f>VLOOKUP(Inventory[[#This Row],[Decade]],Lookups!$O$25:$R$42,4,FALSE)</f>
        <v>0.995</v>
      </c>
      <c r="BL1129" s="25">
        <f>Inventory[[#This Row],[Nbhd Adj]]*0.95</f>
        <v>0.94971499999999998</v>
      </c>
      <c r="BM1129" s="25">
        <f>Inventory[[#This Row],[Nbhd Adj]]*Inventory[[#This Row],[Quality Adj]]*Inventory[[#This Row],[Condition Adj]]*Inventory[[#This Row],[Living Area Adj]]*Inventory[[#This Row],[Decade Adj]]*0.95</f>
        <v>0.88802675758029637</v>
      </c>
      <c r="BN1129" s="25">
        <f>ROUND(SUM(Inventory[[#This Row],[Mdl Qlty]:[Mdl WdDeck]])+Inventory[[#This Row],[Mdl Res Intercept]]*Inventory[[#This Row],[Res Adj ]],-2)</f>
        <v>395300</v>
      </c>
      <c r="BO1129" s="25">
        <f>ROUND(Inventory[[#This Row],[25Det]]*Inventory[[#This Row],[Det/Nbhd Adj]],-2)</f>
        <v>0</v>
      </c>
      <c r="BP1129" s="25">
        <f>Inventory[[#This Row],[Adjusted Res]]+Inventory[[#This Row],[Adj Det ]]</f>
        <v>395300</v>
      </c>
      <c r="BQ1129" s="25">
        <f>ROUND((Inventory[[#This Row],[Mdl Land Intercept]]+Inventory[[#This Row],[Mdl LnAcres]])*Inventory[[#This Row],[Det/Nbhd Adj]],-2)</f>
        <v>35400</v>
      </c>
      <c r="BR1129" s="25">
        <f>Inventory[[#This Row],[Adjusted Impr Total]]+Inventory[[#This Row],[Adjusted Land Total]]</f>
        <v>430700</v>
      </c>
      <c r="BS1129" s="36">
        <f>IFERROR((Inventory[[#This Row],[Adjusted Impr Total]]-Inventory[[#This Row],[24Bldg]])/Inventory[[#This Row],[24Bldg]],0)</f>
        <v>0.10388159731918459</v>
      </c>
      <c r="BT1129" s="36">
        <f>(Inventory[[#This Row],[Adjusted Land Total]]-Inventory[[#This Row],[24Lnd]])/Inventory[[#This Row],[24Lnd]]</f>
        <v>-0.37455830388692579</v>
      </c>
      <c r="BU1129" s="36">
        <f>(Inventory[[#This Row],[Adjusted Total]]-Inventory[[#This Row],[24Final]])/Inventory[[#This Row],[24Final]]</f>
        <v>3.858210754762479E-2</v>
      </c>
    </row>
    <row r="1130" spans="1:73" x14ac:dyDescent="0.3">
      <c r="A1130" s="25">
        <v>2025</v>
      </c>
      <c r="B1130" s="26" t="s">
        <v>1323</v>
      </c>
      <c r="C1130" s="26">
        <f>LN(Inventory[[#This Row],[Acres]])</f>
        <v>-1.9661128563728327</v>
      </c>
      <c r="D1130" s="25">
        <v>0.14000000000000001</v>
      </c>
      <c r="E1130" s="31"/>
      <c r="F1130" s="26" t="s">
        <v>537</v>
      </c>
      <c r="G1130" s="26" t="s">
        <v>126</v>
      </c>
      <c r="H1130" s="26" t="s">
        <v>349</v>
      </c>
      <c r="I1130" s="26" t="s">
        <v>538</v>
      </c>
      <c r="J1130" s="26" t="s">
        <v>539</v>
      </c>
      <c r="K1130" s="26" t="s">
        <v>241</v>
      </c>
      <c r="L1130" s="26" t="s">
        <v>302</v>
      </c>
      <c r="M1130" s="26" t="s">
        <v>323</v>
      </c>
      <c r="N1130" s="26">
        <v>80</v>
      </c>
      <c r="O1130" s="26">
        <f>2024-Inventory[[#This Row],[YrBlt]]</f>
        <v>79</v>
      </c>
      <c r="P1130" s="26">
        <f>2024-Inventory[[#This Row],[EffYr]]</f>
        <v>52</v>
      </c>
      <c r="Q1130" s="25">
        <v>1945</v>
      </c>
      <c r="R1130" s="25">
        <v>1972</v>
      </c>
      <c r="S1130" s="25">
        <v>1176</v>
      </c>
      <c r="T1130" s="27"/>
      <c r="U1130" s="25">
        <v>896</v>
      </c>
      <c r="V1130" s="25">
        <f>Inventory[[#This Row],[Bsmt]]-Inventory[[#This Row],[FnBsmt]]</f>
        <v>0</v>
      </c>
      <c r="W1130" s="25">
        <v>896</v>
      </c>
      <c r="X1130" s="27"/>
      <c r="Y1130" s="27">
        <f>Inventory[[#This Row],[MainFn]]+Inventory[[#This Row],[UpprFn]]+Inventory[[#This Row],[FnBsmt]]+Inventory[[#This Row],[AddFn]]</f>
        <v>2072</v>
      </c>
      <c r="Z1130" s="27">
        <v>2500</v>
      </c>
      <c r="AA1130" s="25">
        <v>8</v>
      </c>
      <c r="AB1130" s="32">
        <v>228</v>
      </c>
      <c r="AC1130" s="27"/>
      <c r="AD1130" s="25">
        <v>196</v>
      </c>
      <c r="AE1130" s="27"/>
      <c r="AF1130" s="27"/>
      <c r="AG1130" s="27"/>
      <c r="AH1130" s="27"/>
      <c r="AI1130" s="25">
        <v>335463</v>
      </c>
      <c r="AJ1130" s="25">
        <v>228115</v>
      </c>
      <c r="AK1130" s="25">
        <v>0</v>
      </c>
      <c r="AL1130" s="25">
        <v>314200</v>
      </c>
      <c r="AM1130" s="25">
        <v>46000</v>
      </c>
      <c r="AN1130" s="25">
        <v>268200</v>
      </c>
      <c r="AO1130" s="25">
        <v>0</v>
      </c>
      <c r="AP1130" s="25">
        <f>Lookups!$B$56*0</f>
        <v>0</v>
      </c>
      <c r="AQ1130" s="25">
        <f>Lookups!$B$56*1</f>
        <v>89850.625589999996</v>
      </c>
      <c r="AR1130" s="25">
        <f>Lookups!$B$57*Inventory[[#This Row],[LnAcres]]</f>
        <v>-62236.546971921947</v>
      </c>
      <c r="AS1130" s="25">
        <f>VLOOKUP(Inventory[[#This Row],[Qlty]],Lookups!$A$62:$E$75,2,FALSE)</f>
        <v>29814.093161000001</v>
      </c>
      <c r="AT1130" s="25">
        <f>VLOOKUP(Inventory[[#This Row],[Cnd]],Lookups!$A$76:$E$84,2,FALSE)</f>
        <v>160472.20319</v>
      </c>
      <c r="AU1130" s="25">
        <f>Inventory[[#This Row],[EffAge]]*Lookups!$B$85</f>
        <v>-11598.371226000001</v>
      </c>
      <c r="AV1130" s="25">
        <f>Inventory[[#This Row],[MainFn]]*Lookups!$B$86</f>
        <v>58104.595775351998</v>
      </c>
      <c r="AW1130" s="25">
        <f>Inventory[[#This Row],[UpprFn]]*Lookups!$B$87</f>
        <v>0</v>
      </c>
      <c r="AX1130" s="25">
        <f>Inventory[[#This Row],[AddFn]]*Lookups!$B$88</f>
        <v>0</v>
      </c>
      <c r="AY1130" s="25">
        <f>Inventory[[#This Row],[Bsmt]]*Lookups!$B$89</f>
        <v>26057.378141311998</v>
      </c>
      <c r="AZ1130" s="25">
        <f>Inventory[[#This Row],[Fixtures]]*Lookups!$B$90</f>
        <v>30336.176841600001</v>
      </c>
      <c r="BA1130" s="25">
        <f>Inventory[[#This Row],[WdDeck]]*Lookups!$B$91</f>
        <v>6525.9209940960009</v>
      </c>
      <c r="BB1130" s="25">
        <f>ROUND(Inventory[[#This Row],[25Det]],-2)</f>
        <v>0</v>
      </c>
      <c r="BC1130" s="25">
        <f>ROUND(SUM(Inventory[[#This Row],[Mdl Qlty]:[Mdl WdDeck]])+Inventory[[#This Row],[Mdl Res Intercept]],-2)</f>
        <v>299700</v>
      </c>
      <c r="BD1130" s="25">
        <f>ROUND(Inventory[[#This Row],[Mdl Land Intercept]]+Inventory[[#This Row],[Mdl LnAcres]],-2)</f>
        <v>27600</v>
      </c>
      <c r="BE1130" s="25">
        <f>Inventory[[#This Row],[Unadj Res Value]]+Inventory[[#This Row],[Unadj Det Value]]+Inventory[[#This Row],[Unadj Land Value]]</f>
        <v>327300</v>
      </c>
      <c r="BF1130" s="36">
        <f>(Inventory[[#This Row],[Unadj Total Value]]-Inventory[[#This Row],[24Final]])/Inventory[[#This Row],[24Final]]</f>
        <v>4.1693189051559519E-2</v>
      </c>
      <c r="BG1130" s="25">
        <f>VLOOKUP(Inventory[[#This Row],[Nbhd]],Lookups!$Q$2:$T$4,4,FALSE)</f>
        <v>0.99970000000000003</v>
      </c>
      <c r="BH1130" s="25">
        <f>VLOOKUP(Inventory[[#This Row],[Qlty]],Lookups!$O$7:$R$21,4,FALSE)</f>
        <v>1.0088999999999999</v>
      </c>
      <c r="BI1130" s="25">
        <f>VLOOKUP(Inventory[[#This Row],[Cnd]],Lookups!$T$7:$W$16,4,FALSE)</f>
        <v>0.99729999999999996</v>
      </c>
      <c r="BJ1130" s="25">
        <f>VLOOKUP(Inventory[[#This Row],[LivArea Range]],Lookups!$T$25:$W$37,4,FALSE)</f>
        <v>0.98919999999999997</v>
      </c>
      <c r="BK1130" s="25">
        <f>VLOOKUP(Inventory[[#This Row],[Decade]],Lookups!$O$25:$R$42,4,FALSE)</f>
        <v>0.995</v>
      </c>
      <c r="BL1130" s="25">
        <f>Inventory[[#This Row],[Nbhd Adj]]*0.95</f>
        <v>0.94971499999999998</v>
      </c>
      <c r="BM1130" s="25">
        <f>Inventory[[#This Row],[Nbhd Adj]]*Inventory[[#This Row],[Quality Adj]]*Inventory[[#This Row],[Condition Adj]]*Inventory[[#This Row],[Living Area Adj]]*Inventory[[#This Row],[Decade Adj]]*0.95</f>
        <v>0.94053384219145564</v>
      </c>
      <c r="BN1130" s="25">
        <f>ROUND(SUM(Inventory[[#This Row],[Mdl Qlty]:[Mdl WdDeck]])+Inventory[[#This Row],[Mdl Res Intercept]]*Inventory[[#This Row],[Res Adj ]],-2)</f>
        <v>299700</v>
      </c>
      <c r="BO1130" s="25">
        <f>ROUND(Inventory[[#This Row],[25Det]]*Inventory[[#This Row],[Det/Nbhd Adj]],-2)</f>
        <v>0</v>
      </c>
      <c r="BP1130" s="25">
        <f>Inventory[[#This Row],[Adjusted Res]]+Inventory[[#This Row],[Adj Det ]]</f>
        <v>299700</v>
      </c>
      <c r="BQ1130" s="25">
        <f>ROUND((Inventory[[#This Row],[Mdl Land Intercept]]+Inventory[[#This Row],[Mdl LnAcres]])*Inventory[[#This Row],[Det/Nbhd Adj]],-2)</f>
        <v>26200</v>
      </c>
      <c r="BR1130" s="25">
        <f>Inventory[[#This Row],[Adjusted Impr Total]]+Inventory[[#This Row],[Adjusted Land Total]]</f>
        <v>325900</v>
      </c>
      <c r="BS1130" s="36">
        <f>IFERROR((Inventory[[#This Row],[Adjusted Impr Total]]-Inventory[[#This Row],[24Bldg]])/Inventory[[#This Row],[24Bldg]],0)</f>
        <v>0.1174496644295302</v>
      </c>
      <c r="BT1130" s="36">
        <f>(Inventory[[#This Row],[Adjusted Land Total]]-Inventory[[#This Row],[24Lnd]])/Inventory[[#This Row],[24Lnd]]</f>
        <v>-0.43043478260869567</v>
      </c>
      <c r="BU1130" s="36">
        <f>(Inventory[[#This Row],[Adjusted Total]]-Inventory[[#This Row],[24Final]])/Inventory[[#This Row],[24Final]]</f>
        <v>3.7237428389560789E-2</v>
      </c>
    </row>
    <row r="1131" spans="1:73" x14ac:dyDescent="0.3">
      <c r="A1131" s="25">
        <v>2025</v>
      </c>
      <c r="B1131" s="26" t="s">
        <v>2592</v>
      </c>
      <c r="C1131" s="26">
        <f>LN(Inventory[[#This Row],[Acres]])</f>
        <v>-1.8325814637483102</v>
      </c>
      <c r="D1131" s="25">
        <v>0.16</v>
      </c>
      <c r="E1131" s="25">
        <v>7000</v>
      </c>
      <c r="F1131" s="26" t="s">
        <v>537</v>
      </c>
      <c r="G1131" s="26" t="s">
        <v>126</v>
      </c>
      <c r="H1131" s="26" t="s">
        <v>349</v>
      </c>
      <c r="I1131" s="26" t="s">
        <v>538</v>
      </c>
      <c r="J1131" s="26" t="s">
        <v>539</v>
      </c>
      <c r="K1131" s="26" t="s">
        <v>269</v>
      </c>
      <c r="L1131" s="26" t="s">
        <v>351</v>
      </c>
      <c r="M1131" s="26" t="s">
        <v>323</v>
      </c>
      <c r="N1131" s="26">
        <v>80</v>
      </c>
      <c r="O1131" s="26">
        <f>2024-Inventory[[#This Row],[YrBlt]]</f>
        <v>79</v>
      </c>
      <c r="P1131" s="26">
        <f>2024-Inventory[[#This Row],[EffYr]]</f>
        <v>52</v>
      </c>
      <c r="Q1131" s="25">
        <v>1945</v>
      </c>
      <c r="R1131" s="25">
        <v>1972</v>
      </c>
      <c r="S1131" s="25">
        <v>1415</v>
      </c>
      <c r="T1131" s="27"/>
      <c r="U1131" s="32">
        <v>1070</v>
      </c>
      <c r="V1131" s="32">
        <f>Inventory[[#This Row],[Bsmt]]-Inventory[[#This Row],[FnBsmt]]</f>
        <v>449</v>
      </c>
      <c r="W1131" s="32">
        <v>621</v>
      </c>
      <c r="X1131" s="27"/>
      <c r="Y1131" s="27">
        <f>Inventory[[#This Row],[MainFn]]+Inventory[[#This Row],[UpprFn]]+Inventory[[#This Row],[FnBsmt]]+Inventory[[#This Row],[AddFn]]</f>
        <v>2036</v>
      </c>
      <c r="Z1131" s="27">
        <v>2500</v>
      </c>
      <c r="AA1131" s="25">
        <v>7</v>
      </c>
      <c r="AB1131" s="31"/>
      <c r="AC1131" s="27"/>
      <c r="AD1131" s="27"/>
      <c r="AE1131" s="27"/>
      <c r="AF1131" s="27"/>
      <c r="AG1131" s="27"/>
      <c r="AH1131" s="27"/>
      <c r="AI1131" s="25">
        <v>308944</v>
      </c>
      <c r="AJ1131" s="25">
        <v>210082</v>
      </c>
      <c r="AK1131" s="25">
        <v>8401</v>
      </c>
      <c r="AL1131" s="25">
        <v>324300</v>
      </c>
      <c r="AM1131" s="25">
        <v>50600</v>
      </c>
      <c r="AN1131" s="25">
        <v>273700</v>
      </c>
      <c r="AO1131" s="25">
        <v>0</v>
      </c>
      <c r="AP1131" s="25">
        <f>Lookups!$B$56*0</f>
        <v>0</v>
      </c>
      <c r="AQ1131" s="25">
        <f>Lookups!$B$56*1</f>
        <v>89850.625589999996</v>
      </c>
      <c r="AR1131" s="25">
        <f>Lookups!$B$57*Inventory[[#This Row],[LnAcres]]</f>
        <v>-58009.662049032086</v>
      </c>
      <c r="AS1131" s="25">
        <f>VLOOKUP(Inventory[[#This Row],[Qlty]],Lookups!$A$62:$E$75,2,FALSE)</f>
        <v>21557.329055999999</v>
      </c>
      <c r="AT1131" s="25">
        <f>VLOOKUP(Inventory[[#This Row],[Cnd]],Lookups!$A$76:$E$84,2,FALSE)</f>
        <v>160472.20319</v>
      </c>
      <c r="AU1131" s="25">
        <f>Inventory[[#This Row],[EffAge]]*Lookups!$B$85</f>
        <v>-11598.371226000001</v>
      </c>
      <c r="AV1131" s="25">
        <f>Inventory[[#This Row],[MainFn]]*Lookups!$B$86</f>
        <v>69913.267875955004</v>
      </c>
      <c r="AW1131" s="25">
        <f>Inventory[[#This Row],[UpprFn]]*Lookups!$B$87</f>
        <v>0</v>
      </c>
      <c r="AX1131" s="25">
        <f>Inventory[[#This Row],[AddFn]]*Lookups!$B$88</f>
        <v>0</v>
      </c>
      <c r="AY1131" s="25">
        <f>Inventory[[#This Row],[Bsmt]]*Lookups!$B$89</f>
        <v>31117.627914289998</v>
      </c>
      <c r="AZ1131" s="25">
        <f>Inventory[[#This Row],[Fixtures]]*Lookups!$B$90</f>
        <v>26544.1547364</v>
      </c>
      <c r="BA1131" s="25">
        <f>Inventory[[#This Row],[WdDeck]]*Lookups!$B$91</f>
        <v>0</v>
      </c>
      <c r="BB1131" s="25">
        <f>ROUND(Inventory[[#This Row],[25Det]],-2)</f>
        <v>8400</v>
      </c>
      <c r="BC1131" s="25">
        <f>ROUND(SUM(Inventory[[#This Row],[Mdl Qlty]:[Mdl WdDeck]])+Inventory[[#This Row],[Mdl Res Intercept]],-2)</f>
        <v>298000</v>
      </c>
      <c r="BD1131" s="25">
        <f>ROUND(Inventory[[#This Row],[Mdl Land Intercept]]+Inventory[[#This Row],[Mdl LnAcres]],-2)</f>
        <v>31800</v>
      </c>
      <c r="BE1131" s="25">
        <f>Inventory[[#This Row],[Unadj Res Value]]+Inventory[[#This Row],[Unadj Det Value]]+Inventory[[#This Row],[Unadj Land Value]]</f>
        <v>338200</v>
      </c>
      <c r="BF1131" s="36">
        <f>(Inventory[[#This Row],[Unadj Total Value]]-Inventory[[#This Row],[24Final]])/Inventory[[#This Row],[24Final]]</f>
        <v>4.2861547949429542E-2</v>
      </c>
      <c r="BG1131" s="25">
        <f>VLOOKUP(Inventory[[#This Row],[Nbhd]],Lookups!$Q$2:$T$4,4,FALSE)</f>
        <v>0.99970000000000003</v>
      </c>
      <c r="BH1131" s="25">
        <f>VLOOKUP(Inventory[[#This Row],[Qlty]],Lookups!$O$7:$R$21,4,FALSE)</f>
        <v>1.0067999999999999</v>
      </c>
      <c r="BI1131" s="25">
        <f>VLOOKUP(Inventory[[#This Row],[Cnd]],Lookups!$T$7:$W$16,4,FALSE)</f>
        <v>0.99729999999999996</v>
      </c>
      <c r="BJ1131" s="25">
        <f>VLOOKUP(Inventory[[#This Row],[LivArea Range]],Lookups!$T$25:$W$37,4,FALSE)</f>
        <v>0.98919999999999997</v>
      </c>
      <c r="BK1131" s="25">
        <f>VLOOKUP(Inventory[[#This Row],[Decade]],Lookups!$O$25:$R$42,4,FALSE)</f>
        <v>0.995</v>
      </c>
      <c r="BL1131" s="25">
        <f>Inventory[[#This Row],[Nbhd Adj]]*0.95</f>
        <v>0.94971499999999998</v>
      </c>
      <c r="BM1131" s="25">
        <f>Inventory[[#This Row],[Nbhd Adj]]*Inventory[[#This Row],[Quality Adj]]*Inventory[[#This Row],[Condition Adj]]*Inventory[[#This Row],[Living Area Adj]]*Inventory[[#This Row],[Decade Adj]]*0.95</f>
        <v>0.93857614463114025</v>
      </c>
      <c r="BN1131" s="25">
        <f>ROUND(SUM(Inventory[[#This Row],[Mdl Qlty]:[Mdl WdDeck]])+Inventory[[#This Row],[Mdl Res Intercept]]*Inventory[[#This Row],[Res Adj ]],-2)</f>
        <v>298000</v>
      </c>
      <c r="BO1131" s="25">
        <f>ROUND(Inventory[[#This Row],[25Det]]*Inventory[[#This Row],[Det/Nbhd Adj]],-2)</f>
        <v>8000</v>
      </c>
      <c r="BP1131" s="25">
        <f>Inventory[[#This Row],[Adjusted Res]]+Inventory[[#This Row],[Adj Det ]]</f>
        <v>306000</v>
      </c>
      <c r="BQ1131" s="25">
        <f>ROUND((Inventory[[#This Row],[Mdl Land Intercept]]+Inventory[[#This Row],[Mdl LnAcres]])*Inventory[[#This Row],[Det/Nbhd Adj]],-2)</f>
        <v>30200</v>
      </c>
      <c r="BR1131" s="25">
        <f>Inventory[[#This Row],[Adjusted Impr Total]]+Inventory[[#This Row],[Adjusted Land Total]]</f>
        <v>336200</v>
      </c>
      <c r="BS1131" s="36">
        <f>IFERROR((Inventory[[#This Row],[Adjusted Impr Total]]-Inventory[[#This Row],[24Bldg]])/Inventory[[#This Row],[24Bldg]],0)</f>
        <v>0.11801242236024845</v>
      </c>
      <c r="BT1131" s="36">
        <f>(Inventory[[#This Row],[Adjusted Land Total]]-Inventory[[#This Row],[24Lnd]])/Inventory[[#This Row],[24Lnd]]</f>
        <v>-0.40316205533596838</v>
      </c>
      <c r="BU1131" s="36">
        <f>(Inventory[[#This Row],[Adjusted Total]]-Inventory[[#This Row],[24Final]])/Inventory[[#This Row],[24Final]]</f>
        <v>3.669441874807277E-2</v>
      </c>
    </row>
    <row r="1132" spans="1:73" x14ac:dyDescent="0.3">
      <c r="A1132" s="25">
        <v>2025</v>
      </c>
      <c r="B1132" s="26" t="s">
        <v>2615</v>
      </c>
      <c r="C1132" s="26">
        <f>LN(Inventory[[#This Row],[Acres]])</f>
        <v>-1.7719568419318752</v>
      </c>
      <c r="D1132" s="25">
        <v>0.17</v>
      </c>
      <c r="E1132" s="25">
        <v>7348</v>
      </c>
      <c r="F1132" s="26" t="s">
        <v>537</v>
      </c>
      <c r="G1132" s="26" t="s">
        <v>126</v>
      </c>
      <c r="H1132" s="26" t="s">
        <v>349</v>
      </c>
      <c r="I1132" s="26" t="s">
        <v>538</v>
      </c>
      <c r="J1132" s="26" t="s">
        <v>539</v>
      </c>
      <c r="K1132" s="26" t="s">
        <v>269</v>
      </c>
      <c r="L1132" s="26" t="s">
        <v>351</v>
      </c>
      <c r="M1132" s="26" t="s">
        <v>323</v>
      </c>
      <c r="N1132" s="26">
        <v>80</v>
      </c>
      <c r="O1132" s="26">
        <f>2024-Inventory[[#This Row],[YrBlt]]</f>
        <v>79</v>
      </c>
      <c r="P1132" s="26">
        <f>2024-Inventory[[#This Row],[EffYr]]</f>
        <v>52</v>
      </c>
      <c r="Q1132" s="25">
        <v>1945</v>
      </c>
      <c r="R1132" s="25">
        <v>1972</v>
      </c>
      <c r="S1132" s="25">
        <v>1004</v>
      </c>
      <c r="T1132" s="27"/>
      <c r="U1132" s="32">
        <v>390</v>
      </c>
      <c r="V1132" s="32">
        <f>Inventory[[#This Row],[Bsmt]]-Inventory[[#This Row],[FnBsmt]]</f>
        <v>0</v>
      </c>
      <c r="W1132" s="32">
        <v>390</v>
      </c>
      <c r="X1132" s="27"/>
      <c r="Y1132" s="27">
        <f>Inventory[[#This Row],[MainFn]]+Inventory[[#This Row],[UpprFn]]+Inventory[[#This Row],[FnBsmt]]+Inventory[[#This Row],[AddFn]]</f>
        <v>1394</v>
      </c>
      <c r="Z1132" s="27">
        <v>1500</v>
      </c>
      <c r="AA1132" s="25">
        <v>5</v>
      </c>
      <c r="AB1132" s="31"/>
      <c r="AC1132" s="27"/>
      <c r="AD1132" s="27"/>
      <c r="AE1132" s="27"/>
      <c r="AF1132" s="27"/>
      <c r="AG1132" s="27"/>
      <c r="AH1132" s="27"/>
      <c r="AI1132" s="25">
        <v>205122</v>
      </c>
      <c r="AJ1132" s="25">
        <v>139483</v>
      </c>
      <c r="AK1132" s="25">
        <v>6224</v>
      </c>
      <c r="AL1132" s="25">
        <v>278100</v>
      </c>
      <c r="AM1132" s="25">
        <v>52700</v>
      </c>
      <c r="AN1132" s="25">
        <v>225400</v>
      </c>
      <c r="AO1132" s="25">
        <v>0</v>
      </c>
      <c r="AP1132" s="25">
        <f>Lookups!$B$56*0</f>
        <v>0</v>
      </c>
      <c r="AQ1132" s="25">
        <f>Lookups!$B$56*1</f>
        <v>89850.625589999996</v>
      </c>
      <c r="AR1132" s="25">
        <f>Lookups!$B$57*Inventory[[#This Row],[LnAcres]]</f>
        <v>-56090.612940989391</v>
      </c>
      <c r="AS1132" s="25">
        <f>VLOOKUP(Inventory[[#This Row],[Qlty]],Lookups!$A$62:$E$75,2,FALSE)</f>
        <v>21557.329055999999</v>
      </c>
      <c r="AT1132" s="25">
        <f>VLOOKUP(Inventory[[#This Row],[Cnd]],Lookups!$A$76:$E$84,2,FALSE)</f>
        <v>160472.20319</v>
      </c>
      <c r="AU1132" s="25">
        <f>Inventory[[#This Row],[EffAge]]*Lookups!$B$85</f>
        <v>-11598.371226000001</v>
      </c>
      <c r="AV1132" s="25">
        <f>Inventory[[#This Row],[MainFn]]*Lookups!$B$86</f>
        <v>49606.304556508003</v>
      </c>
      <c r="AW1132" s="25">
        <f>Inventory[[#This Row],[UpprFn]]*Lookups!$B$87</f>
        <v>0</v>
      </c>
      <c r="AX1132" s="25">
        <f>Inventory[[#This Row],[AddFn]]*Lookups!$B$88</f>
        <v>0</v>
      </c>
      <c r="AY1132" s="25">
        <f>Inventory[[#This Row],[Bsmt]]*Lookups!$B$89</f>
        <v>11341.93914633</v>
      </c>
      <c r="AZ1132" s="25">
        <f>Inventory[[#This Row],[Fixtures]]*Lookups!$B$90</f>
        <v>18960.110526</v>
      </c>
      <c r="BA1132" s="25">
        <f>Inventory[[#This Row],[WdDeck]]*Lookups!$B$91</f>
        <v>0</v>
      </c>
      <c r="BB1132" s="25">
        <f>ROUND(Inventory[[#This Row],[25Det]],-2)</f>
        <v>6200</v>
      </c>
      <c r="BC1132" s="25">
        <f>ROUND(SUM(Inventory[[#This Row],[Mdl Qlty]:[Mdl WdDeck]])+Inventory[[#This Row],[Mdl Res Intercept]],-2)</f>
        <v>250300</v>
      </c>
      <c r="BD1132" s="25">
        <f>ROUND(Inventory[[#This Row],[Mdl Land Intercept]]+Inventory[[#This Row],[Mdl LnAcres]],-2)</f>
        <v>33800</v>
      </c>
      <c r="BE1132" s="25">
        <f>Inventory[[#This Row],[Unadj Res Value]]+Inventory[[#This Row],[Unadj Det Value]]+Inventory[[#This Row],[Unadj Land Value]]</f>
        <v>290300</v>
      </c>
      <c r="BF1132" s="36">
        <f>(Inventory[[#This Row],[Unadj Total Value]]-Inventory[[#This Row],[24Final]])/Inventory[[#This Row],[24Final]]</f>
        <v>4.3869111830276877E-2</v>
      </c>
      <c r="BG1132" s="25">
        <f>VLOOKUP(Inventory[[#This Row],[Nbhd]],Lookups!$Q$2:$T$4,4,FALSE)</f>
        <v>0.99970000000000003</v>
      </c>
      <c r="BH1132" s="25">
        <f>VLOOKUP(Inventory[[#This Row],[Qlty]],Lookups!$O$7:$R$21,4,FALSE)</f>
        <v>1.0067999999999999</v>
      </c>
      <c r="BI1132" s="25">
        <f>VLOOKUP(Inventory[[#This Row],[Cnd]],Lookups!$T$7:$W$16,4,FALSE)</f>
        <v>0.99729999999999996</v>
      </c>
      <c r="BJ1132" s="25">
        <f>VLOOKUP(Inventory[[#This Row],[LivArea Range]],Lookups!$T$25:$W$37,4,FALSE)</f>
        <v>1.0157</v>
      </c>
      <c r="BK1132" s="25">
        <f>VLOOKUP(Inventory[[#This Row],[Decade]],Lookups!$O$25:$R$42,4,FALSE)</f>
        <v>0.995</v>
      </c>
      <c r="BL1132" s="25">
        <f>Inventory[[#This Row],[Nbhd Adj]]*0.95</f>
        <v>0.94971499999999998</v>
      </c>
      <c r="BM1132" s="25">
        <f>Inventory[[#This Row],[Nbhd Adj]]*Inventory[[#This Row],[Quality Adj]]*Inventory[[#This Row],[Condition Adj]]*Inventory[[#This Row],[Living Area Adj]]*Inventory[[#This Row],[Decade Adj]]*0.95</f>
        <v>0.96371996573175212</v>
      </c>
      <c r="BN1132" s="25">
        <f>ROUND(SUM(Inventory[[#This Row],[Mdl Qlty]:[Mdl WdDeck]])+Inventory[[#This Row],[Mdl Res Intercept]]*Inventory[[#This Row],[Res Adj ]],-2)</f>
        <v>250300</v>
      </c>
      <c r="BO1132" s="25">
        <f>ROUND(Inventory[[#This Row],[25Det]]*Inventory[[#This Row],[Det/Nbhd Adj]],-2)</f>
        <v>5900</v>
      </c>
      <c r="BP1132" s="25">
        <f>Inventory[[#This Row],[Adjusted Res]]+Inventory[[#This Row],[Adj Det ]]</f>
        <v>256200</v>
      </c>
      <c r="BQ1132" s="25">
        <f>ROUND((Inventory[[#This Row],[Mdl Land Intercept]]+Inventory[[#This Row],[Mdl LnAcres]])*Inventory[[#This Row],[Det/Nbhd Adj]],-2)</f>
        <v>32100</v>
      </c>
      <c r="BR1132" s="25">
        <f>Inventory[[#This Row],[Adjusted Impr Total]]+Inventory[[#This Row],[Adjusted Land Total]]</f>
        <v>288300</v>
      </c>
      <c r="BS1132" s="36">
        <f>IFERROR((Inventory[[#This Row],[Adjusted Impr Total]]-Inventory[[#This Row],[24Bldg]])/Inventory[[#This Row],[24Bldg]],0)</f>
        <v>0.13664596273291926</v>
      </c>
      <c r="BT1132" s="36">
        <f>(Inventory[[#This Row],[Adjusted Land Total]]-Inventory[[#This Row],[24Lnd]])/Inventory[[#This Row],[24Lnd]]</f>
        <v>-0.39089184060721061</v>
      </c>
      <c r="BU1132" s="36">
        <f>(Inventory[[#This Row],[Adjusted Total]]-Inventory[[#This Row],[24Final]])/Inventory[[#This Row],[24Final]]</f>
        <v>3.6677454153182305E-2</v>
      </c>
    </row>
    <row r="1133" spans="1:73" x14ac:dyDescent="0.3">
      <c r="A1133" s="25">
        <v>2025</v>
      </c>
      <c r="B1133" s="26" t="s">
        <v>1442</v>
      </c>
      <c r="C1133" s="26">
        <f>LN(Inventory[[#This Row],[Acres]])</f>
        <v>-2.3025850929940455</v>
      </c>
      <c r="D1133" s="25">
        <v>0.1</v>
      </c>
      <c r="E1133" s="32">
        <v>4215</v>
      </c>
      <c r="F1133" s="26" t="s">
        <v>537</v>
      </c>
      <c r="G1133" s="26" t="s">
        <v>126</v>
      </c>
      <c r="H1133" s="26" t="s">
        <v>349</v>
      </c>
      <c r="I1133" s="26" t="s">
        <v>538</v>
      </c>
      <c r="J1133" s="26" t="s">
        <v>539</v>
      </c>
      <c r="K1133" s="26" t="s">
        <v>242</v>
      </c>
      <c r="L1133" s="26" t="s">
        <v>351</v>
      </c>
      <c r="M1133" s="26" t="s">
        <v>323</v>
      </c>
      <c r="N1133" s="26">
        <v>80</v>
      </c>
      <c r="O1133" s="26">
        <f>2024-Inventory[[#This Row],[YrBlt]]</f>
        <v>79</v>
      </c>
      <c r="P1133" s="26">
        <f>2024-Inventory[[#This Row],[EffYr]]</f>
        <v>52</v>
      </c>
      <c r="Q1133" s="25">
        <v>1945</v>
      </c>
      <c r="R1133" s="25">
        <v>1972</v>
      </c>
      <c r="S1133" s="25">
        <v>963</v>
      </c>
      <c r="T1133" s="27"/>
      <c r="U1133" s="32">
        <v>891</v>
      </c>
      <c r="V1133" s="32">
        <f>Inventory[[#This Row],[Bsmt]]-Inventory[[#This Row],[FnBsmt]]</f>
        <v>0</v>
      </c>
      <c r="W1133" s="32">
        <v>891</v>
      </c>
      <c r="X1133" s="27"/>
      <c r="Y1133" s="27">
        <f>Inventory[[#This Row],[MainFn]]+Inventory[[#This Row],[UpprFn]]+Inventory[[#This Row],[FnBsmt]]+Inventory[[#This Row],[AddFn]]</f>
        <v>1854</v>
      </c>
      <c r="Z1133" s="27">
        <v>2000</v>
      </c>
      <c r="AA1133" s="25">
        <v>6</v>
      </c>
      <c r="AB1133" s="25">
        <v>234</v>
      </c>
      <c r="AC1133" s="27"/>
      <c r="AD1133" s="27"/>
      <c r="AE1133" s="27"/>
      <c r="AF1133" s="27"/>
      <c r="AG1133" s="27"/>
      <c r="AH1133" s="27"/>
      <c r="AI1133" s="25">
        <v>248133</v>
      </c>
      <c r="AJ1133" s="25">
        <v>168730</v>
      </c>
      <c r="AK1133" s="25">
        <v>0</v>
      </c>
      <c r="AL1133" s="25">
        <v>273100</v>
      </c>
      <c r="AM1133" s="25">
        <v>34200</v>
      </c>
      <c r="AN1133" s="25">
        <v>238900</v>
      </c>
      <c r="AO1133" s="25">
        <v>0</v>
      </c>
      <c r="AP1133" s="25">
        <f>Lookups!$B$56*0</f>
        <v>0</v>
      </c>
      <c r="AQ1133" s="25">
        <f>Lookups!$B$56*1</f>
        <v>89850.625589999996</v>
      </c>
      <c r="AR1133" s="25">
        <f>Lookups!$B$57*Inventory[[#This Row],[LnAcres]]</f>
        <v>-72887.446329681261</v>
      </c>
      <c r="AS1133" s="25">
        <f>VLOOKUP(Inventory[[#This Row],[Qlty]],Lookups!$A$62:$E$75,2,FALSE)</f>
        <v>21557.329055999999</v>
      </c>
      <c r="AT1133" s="25">
        <f>VLOOKUP(Inventory[[#This Row],[Cnd]],Lookups!$A$76:$E$84,2,FALSE)</f>
        <v>160472.20319</v>
      </c>
      <c r="AU1133" s="25">
        <f>Inventory[[#This Row],[EffAge]]*Lookups!$B$85</f>
        <v>-11598.371226000001</v>
      </c>
      <c r="AV1133" s="25">
        <f>Inventory[[#This Row],[MainFn]]*Lookups!$B$86</f>
        <v>47580.549091551002</v>
      </c>
      <c r="AW1133" s="25">
        <f>Inventory[[#This Row],[UpprFn]]*Lookups!$B$87</f>
        <v>0</v>
      </c>
      <c r="AX1133" s="25">
        <f>Inventory[[#This Row],[AddFn]]*Lookups!$B$88</f>
        <v>0</v>
      </c>
      <c r="AY1133" s="25">
        <f>Inventory[[#This Row],[Bsmt]]*Lookups!$B$89</f>
        <v>25911.968665076998</v>
      </c>
      <c r="AZ1133" s="25">
        <f>Inventory[[#This Row],[Fixtures]]*Lookups!$B$90</f>
        <v>22752.132631200002</v>
      </c>
      <c r="BA1133" s="25">
        <f>Inventory[[#This Row],[WdDeck]]*Lookups!$B$91</f>
        <v>0</v>
      </c>
      <c r="BB1133" s="25">
        <f>ROUND(Inventory[[#This Row],[25Det]],-2)</f>
        <v>0</v>
      </c>
      <c r="BC1133" s="25">
        <f>ROUND(SUM(Inventory[[#This Row],[Mdl Qlty]:[Mdl WdDeck]])+Inventory[[#This Row],[Mdl Res Intercept]],-2)</f>
        <v>266700</v>
      </c>
      <c r="BD1133" s="25">
        <f>ROUND(Inventory[[#This Row],[Mdl Land Intercept]]+Inventory[[#This Row],[Mdl LnAcres]],-2)</f>
        <v>17000</v>
      </c>
      <c r="BE1133" s="25">
        <f>Inventory[[#This Row],[Unadj Res Value]]+Inventory[[#This Row],[Unadj Det Value]]+Inventory[[#This Row],[Unadj Land Value]]</f>
        <v>283700</v>
      </c>
      <c r="BF1133" s="36">
        <f>(Inventory[[#This Row],[Unadj Total Value]]-Inventory[[#This Row],[24Final]])/Inventory[[#This Row],[24Final]]</f>
        <v>3.8813621384108384E-2</v>
      </c>
      <c r="BG1133" s="25">
        <f>VLOOKUP(Inventory[[#This Row],[Nbhd]],Lookups!$Q$2:$T$4,4,FALSE)</f>
        <v>0.99970000000000003</v>
      </c>
      <c r="BH1133" s="25">
        <f>VLOOKUP(Inventory[[#This Row],[Qlty]],Lookups!$O$7:$R$21,4,FALSE)</f>
        <v>1.0067999999999999</v>
      </c>
      <c r="BI1133" s="25">
        <f>VLOOKUP(Inventory[[#This Row],[Cnd]],Lookups!$T$7:$W$16,4,FALSE)</f>
        <v>0.99729999999999996</v>
      </c>
      <c r="BJ1133" s="25">
        <f>VLOOKUP(Inventory[[#This Row],[LivArea Range]],Lookups!$T$25:$W$37,4,FALSE)</f>
        <v>1.0093000000000001</v>
      </c>
      <c r="BK1133" s="25">
        <f>VLOOKUP(Inventory[[#This Row],[Decade]],Lookups!$O$25:$R$42,4,FALSE)</f>
        <v>0.995</v>
      </c>
      <c r="BL1133" s="25">
        <f>Inventory[[#This Row],[Nbhd Adj]]*0.95</f>
        <v>0.94971499999999998</v>
      </c>
      <c r="BM1133" s="25">
        <f>Inventory[[#This Row],[Nbhd Adj]]*Inventory[[#This Row],[Quality Adj]]*Inventory[[#This Row],[Condition Adj]]*Inventory[[#This Row],[Living Area Adj]]*Inventory[[#This Row],[Decade Adj]]*0.95</f>
        <v>0.957647495730095</v>
      </c>
      <c r="BN1133" s="25">
        <f>ROUND(SUM(Inventory[[#This Row],[Mdl Qlty]:[Mdl WdDeck]])+Inventory[[#This Row],[Mdl Res Intercept]]*Inventory[[#This Row],[Res Adj ]],-2)</f>
        <v>266700</v>
      </c>
      <c r="BO1133" s="25">
        <f>ROUND(Inventory[[#This Row],[25Det]]*Inventory[[#This Row],[Det/Nbhd Adj]],-2)</f>
        <v>0</v>
      </c>
      <c r="BP1133" s="25">
        <f>Inventory[[#This Row],[Adjusted Res]]+Inventory[[#This Row],[Adj Det ]]</f>
        <v>266700</v>
      </c>
      <c r="BQ1133" s="25">
        <f>ROUND((Inventory[[#This Row],[Mdl Land Intercept]]+Inventory[[#This Row],[Mdl LnAcres]])*Inventory[[#This Row],[Det/Nbhd Adj]],-2)</f>
        <v>16100</v>
      </c>
      <c r="BR1133" s="25">
        <f>Inventory[[#This Row],[Adjusted Impr Total]]+Inventory[[#This Row],[Adjusted Land Total]]</f>
        <v>282800</v>
      </c>
      <c r="BS1133" s="36">
        <f>IFERROR((Inventory[[#This Row],[Adjusted Impr Total]]-Inventory[[#This Row],[24Bldg]])/Inventory[[#This Row],[24Bldg]],0)</f>
        <v>0.11636668061950607</v>
      </c>
      <c r="BT1133" s="36">
        <f>(Inventory[[#This Row],[Adjusted Land Total]]-Inventory[[#This Row],[24Lnd]])/Inventory[[#This Row],[24Lnd]]</f>
        <v>-0.5292397660818714</v>
      </c>
      <c r="BU1133" s="36">
        <f>(Inventory[[#This Row],[Adjusted Total]]-Inventory[[#This Row],[24Final]])/Inventory[[#This Row],[24Final]]</f>
        <v>3.5518125228853899E-2</v>
      </c>
    </row>
    <row r="1134" spans="1:73" x14ac:dyDescent="0.3">
      <c r="A1134" s="25">
        <v>2025</v>
      </c>
      <c r="B1134" s="26" t="s">
        <v>764</v>
      </c>
      <c r="C1134" s="26">
        <f>LN(Inventory[[#This Row],[Acres]])</f>
        <v>-1.6094379124341003</v>
      </c>
      <c r="D1134" s="25">
        <v>0.2</v>
      </c>
      <c r="E1134" s="32">
        <v>8681</v>
      </c>
      <c r="F1134" s="26" t="s">
        <v>537</v>
      </c>
      <c r="G1134" s="26" t="s">
        <v>126</v>
      </c>
      <c r="H1134" s="26" t="s">
        <v>349</v>
      </c>
      <c r="I1134" s="26" t="s">
        <v>538</v>
      </c>
      <c r="J1134" s="26" t="s">
        <v>539</v>
      </c>
      <c r="K1134" s="26" t="s">
        <v>242</v>
      </c>
      <c r="L1134" s="26" t="s">
        <v>302</v>
      </c>
      <c r="M1134" s="26" t="s">
        <v>323</v>
      </c>
      <c r="N1134" s="26">
        <v>80</v>
      </c>
      <c r="O1134" s="26">
        <f>2024-Inventory[[#This Row],[YrBlt]]</f>
        <v>79</v>
      </c>
      <c r="P1134" s="26">
        <f>2024-Inventory[[#This Row],[EffYr]]</f>
        <v>52</v>
      </c>
      <c r="Q1134" s="25">
        <v>1945</v>
      </c>
      <c r="R1134" s="25">
        <v>1972</v>
      </c>
      <c r="S1134" s="25">
        <v>956</v>
      </c>
      <c r="T1134" s="27"/>
      <c r="U1134" s="32">
        <v>956</v>
      </c>
      <c r="V1134" s="32">
        <f>Inventory[[#This Row],[Bsmt]]-Inventory[[#This Row],[FnBsmt]]</f>
        <v>0</v>
      </c>
      <c r="W1134" s="32">
        <v>956</v>
      </c>
      <c r="X1134" s="27"/>
      <c r="Y1134" s="27">
        <f>Inventory[[#This Row],[MainFn]]+Inventory[[#This Row],[UpprFn]]+Inventory[[#This Row],[FnBsmt]]+Inventory[[#This Row],[AddFn]]</f>
        <v>1912</v>
      </c>
      <c r="Z1134" s="27">
        <v>2000</v>
      </c>
      <c r="AA1134" s="25">
        <v>8</v>
      </c>
      <c r="AB1134" s="27"/>
      <c r="AC1134" s="27"/>
      <c r="AD1134" s="32">
        <v>250</v>
      </c>
      <c r="AE1134" s="27"/>
      <c r="AF1134" s="27"/>
      <c r="AG1134" s="27"/>
      <c r="AH1134" s="27"/>
      <c r="AI1134" s="25">
        <v>308005</v>
      </c>
      <c r="AJ1134" s="25">
        <v>209443</v>
      </c>
      <c r="AK1134" s="25">
        <v>5261</v>
      </c>
      <c r="AL1134" s="25">
        <v>323100</v>
      </c>
      <c r="AM1134" s="25">
        <v>58400</v>
      </c>
      <c r="AN1134" s="25">
        <v>264700</v>
      </c>
      <c r="AO1134" s="25">
        <v>0</v>
      </c>
      <c r="AP1134" s="25">
        <f>Lookups!$B$56*0</f>
        <v>0</v>
      </c>
      <c r="AQ1134" s="25">
        <f>Lookups!$B$56*1</f>
        <v>89850.625589999996</v>
      </c>
      <c r="AR1134" s="25">
        <f>Lookups!$B$57*Inventory[[#This Row],[LnAcres]]</f>
        <v>-50946.13867709865</v>
      </c>
      <c r="AS1134" s="25">
        <f>VLOOKUP(Inventory[[#This Row],[Qlty]],Lookups!$A$62:$E$75,2,FALSE)</f>
        <v>29814.093161000001</v>
      </c>
      <c r="AT1134" s="25">
        <f>VLOOKUP(Inventory[[#This Row],[Cnd]],Lookups!$A$76:$E$84,2,FALSE)</f>
        <v>160472.20319</v>
      </c>
      <c r="AU1134" s="25">
        <f>Inventory[[#This Row],[EffAge]]*Lookups!$B$85</f>
        <v>-11598.371226000001</v>
      </c>
      <c r="AV1134" s="25">
        <f>Inventory[[#This Row],[MainFn]]*Lookups!$B$86</f>
        <v>47234.688402412001</v>
      </c>
      <c r="AW1134" s="25">
        <f>Inventory[[#This Row],[UpprFn]]*Lookups!$B$87</f>
        <v>0</v>
      </c>
      <c r="AX1134" s="25">
        <f>Inventory[[#This Row],[AddFn]]*Lookups!$B$88</f>
        <v>0</v>
      </c>
      <c r="AY1134" s="25">
        <f>Inventory[[#This Row],[Bsmt]]*Lookups!$B$89</f>
        <v>27802.291856132</v>
      </c>
      <c r="AZ1134" s="25">
        <f>Inventory[[#This Row],[Fixtures]]*Lookups!$B$90</f>
        <v>30336.176841600001</v>
      </c>
      <c r="BA1134" s="25">
        <f>Inventory[[#This Row],[WdDeck]]*Lookups!$B$91</f>
        <v>8323.8788190000014</v>
      </c>
      <c r="BB1134" s="25">
        <f>ROUND(Inventory[[#This Row],[25Det]],-2)</f>
        <v>5300</v>
      </c>
      <c r="BC1134" s="25">
        <f>ROUND(SUM(Inventory[[#This Row],[Mdl Qlty]:[Mdl WdDeck]])+Inventory[[#This Row],[Mdl Res Intercept]],-2)</f>
        <v>292400</v>
      </c>
      <c r="BD1134" s="25">
        <f>ROUND(Inventory[[#This Row],[Mdl Land Intercept]]+Inventory[[#This Row],[Mdl LnAcres]],-2)</f>
        <v>38900</v>
      </c>
      <c r="BE1134" s="25">
        <f>Inventory[[#This Row],[Unadj Res Value]]+Inventory[[#This Row],[Unadj Det Value]]+Inventory[[#This Row],[Unadj Land Value]]</f>
        <v>336600</v>
      </c>
      <c r="BF1134" s="36">
        <f>(Inventory[[#This Row],[Unadj Total Value]]-Inventory[[#This Row],[24Final]])/Inventory[[#This Row],[24Final]]</f>
        <v>4.1782729805013928E-2</v>
      </c>
      <c r="BG1134" s="25">
        <f>VLOOKUP(Inventory[[#This Row],[Nbhd]],Lookups!$Q$2:$T$4,4,FALSE)</f>
        <v>0.99970000000000003</v>
      </c>
      <c r="BH1134" s="25">
        <f>VLOOKUP(Inventory[[#This Row],[Qlty]],Lookups!$O$7:$R$21,4,FALSE)</f>
        <v>1.0088999999999999</v>
      </c>
      <c r="BI1134" s="25">
        <f>VLOOKUP(Inventory[[#This Row],[Cnd]],Lookups!$T$7:$W$16,4,FALSE)</f>
        <v>0.99729999999999996</v>
      </c>
      <c r="BJ1134" s="25">
        <f>VLOOKUP(Inventory[[#This Row],[LivArea Range]],Lookups!$T$25:$W$37,4,FALSE)</f>
        <v>1.0093000000000001</v>
      </c>
      <c r="BK1134" s="25">
        <f>VLOOKUP(Inventory[[#This Row],[Decade]],Lookups!$O$25:$R$42,4,FALSE)</f>
        <v>0.995</v>
      </c>
      <c r="BL1134" s="25">
        <f>Inventory[[#This Row],[Nbhd Adj]]*0.95</f>
        <v>0.94971499999999998</v>
      </c>
      <c r="BM1134" s="25">
        <f>Inventory[[#This Row],[Nbhd Adj]]*Inventory[[#This Row],[Quality Adj]]*Inventory[[#This Row],[Condition Adj]]*Inventory[[#This Row],[Living Area Adj]]*Inventory[[#This Row],[Decade Adj]]*0.95</f>
        <v>0.9596449726282209</v>
      </c>
      <c r="BN1134" s="25">
        <f>ROUND(SUM(Inventory[[#This Row],[Mdl Qlty]:[Mdl WdDeck]])+Inventory[[#This Row],[Mdl Res Intercept]]*Inventory[[#This Row],[Res Adj ]],-2)</f>
        <v>292400</v>
      </c>
      <c r="BO1134" s="25">
        <f>ROUND(Inventory[[#This Row],[25Det]]*Inventory[[#This Row],[Det/Nbhd Adj]],-2)</f>
        <v>5000</v>
      </c>
      <c r="BP1134" s="25">
        <f>Inventory[[#This Row],[Adjusted Res]]+Inventory[[#This Row],[Adj Det ]]</f>
        <v>297400</v>
      </c>
      <c r="BQ1134" s="25">
        <f>ROUND((Inventory[[#This Row],[Mdl Land Intercept]]+Inventory[[#This Row],[Mdl LnAcres]])*Inventory[[#This Row],[Det/Nbhd Adj]],-2)</f>
        <v>36900</v>
      </c>
      <c r="BR1134" s="25">
        <f>Inventory[[#This Row],[Adjusted Impr Total]]+Inventory[[#This Row],[Adjusted Land Total]]</f>
        <v>334300</v>
      </c>
      <c r="BS1134" s="36">
        <f>IFERROR((Inventory[[#This Row],[Adjusted Impr Total]]-Inventory[[#This Row],[24Bldg]])/Inventory[[#This Row],[24Bldg]],0)</f>
        <v>0.12353607857952399</v>
      </c>
      <c r="BT1134" s="36">
        <f>(Inventory[[#This Row],[Adjusted Land Total]]-Inventory[[#This Row],[24Lnd]])/Inventory[[#This Row],[24Lnd]]</f>
        <v>-0.36815068493150682</v>
      </c>
      <c r="BU1134" s="36">
        <f>(Inventory[[#This Row],[Adjusted Total]]-Inventory[[#This Row],[24Final]])/Inventory[[#This Row],[24Final]]</f>
        <v>3.4664190653048592E-2</v>
      </c>
    </row>
    <row r="1135" spans="1:73" x14ac:dyDescent="0.3">
      <c r="A1135" s="25">
        <v>2025</v>
      </c>
      <c r="B1135" s="26" t="s">
        <v>1704</v>
      </c>
      <c r="C1135" s="26">
        <f>LN(Inventory[[#This Row],[Acres]])</f>
        <v>-1.6607312068216509</v>
      </c>
      <c r="D1135" s="25">
        <v>0.19</v>
      </c>
      <c r="E1135" s="32">
        <v>8266</v>
      </c>
      <c r="F1135" s="26" t="s">
        <v>537</v>
      </c>
      <c r="G1135" s="26" t="s">
        <v>126</v>
      </c>
      <c r="H1135" s="26" t="s">
        <v>349</v>
      </c>
      <c r="I1135" s="26" t="s">
        <v>538</v>
      </c>
      <c r="J1135" s="26" t="s">
        <v>539</v>
      </c>
      <c r="K1135" s="26" t="s">
        <v>242</v>
      </c>
      <c r="L1135" s="26" t="s">
        <v>351</v>
      </c>
      <c r="M1135" s="26" t="s">
        <v>323</v>
      </c>
      <c r="N1135" s="26">
        <v>80</v>
      </c>
      <c r="O1135" s="26">
        <f>2024-Inventory[[#This Row],[YrBlt]]</f>
        <v>79</v>
      </c>
      <c r="P1135" s="26">
        <f>2024-Inventory[[#This Row],[EffYr]]</f>
        <v>52</v>
      </c>
      <c r="Q1135" s="25">
        <v>1945</v>
      </c>
      <c r="R1135" s="25">
        <v>1972</v>
      </c>
      <c r="S1135" s="25">
        <v>1434</v>
      </c>
      <c r="T1135" s="27"/>
      <c r="U1135" s="32">
        <v>1030</v>
      </c>
      <c r="V1135" s="32">
        <f>Inventory[[#This Row],[Bsmt]]-Inventory[[#This Row],[FnBsmt]]</f>
        <v>0</v>
      </c>
      <c r="W1135" s="32">
        <v>1030</v>
      </c>
      <c r="X1135" s="27"/>
      <c r="Y1135" s="27">
        <f>Inventory[[#This Row],[MainFn]]+Inventory[[#This Row],[UpprFn]]+Inventory[[#This Row],[FnBsmt]]+Inventory[[#This Row],[AddFn]]</f>
        <v>2464</v>
      </c>
      <c r="Z1135" s="27">
        <v>2500</v>
      </c>
      <c r="AA1135" s="25">
        <v>8</v>
      </c>
      <c r="AB1135" s="31"/>
      <c r="AC1135" s="27"/>
      <c r="AD1135" s="32">
        <v>304</v>
      </c>
      <c r="AE1135" s="27"/>
      <c r="AF1135" s="27"/>
      <c r="AG1135" s="27"/>
      <c r="AH1135" s="27"/>
      <c r="AI1135" s="25">
        <v>336628</v>
      </c>
      <c r="AJ1135" s="25">
        <v>228907</v>
      </c>
      <c r="AK1135" s="25">
        <v>0</v>
      </c>
      <c r="AL1135" s="25">
        <v>335700</v>
      </c>
      <c r="AM1135" s="25">
        <v>56600</v>
      </c>
      <c r="AN1135" s="25">
        <v>279100</v>
      </c>
      <c r="AO1135" s="25">
        <v>0</v>
      </c>
      <c r="AP1135" s="25">
        <f>Lookups!$B$56*0</f>
        <v>0</v>
      </c>
      <c r="AQ1135" s="25">
        <f>Lookups!$B$56*1</f>
        <v>89850.625589999996</v>
      </c>
      <c r="AR1135" s="25">
        <f>Lookups!$B$57*Inventory[[#This Row],[LnAcres]]</f>
        <v>-52569.808201026557</v>
      </c>
      <c r="AS1135" s="25">
        <f>VLOOKUP(Inventory[[#This Row],[Qlty]],Lookups!$A$62:$E$75,2,FALSE)</f>
        <v>21557.329055999999</v>
      </c>
      <c r="AT1135" s="25">
        <f>VLOOKUP(Inventory[[#This Row],[Cnd]],Lookups!$A$76:$E$84,2,FALSE)</f>
        <v>160472.20319</v>
      </c>
      <c r="AU1135" s="25">
        <f>Inventory[[#This Row],[EffAge]]*Lookups!$B$85</f>
        <v>-11598.371226000001</v>
      </c>
      <c r="AV1135" s="25">
        <f>Inventory[[#This Row],[MainFn]]*Lookups!$B$86</f>
        <v>70852.032603618005</v>
      </c>
      <c r="AW1135" s="25">
        <f>Inventory[[#This Row],[UpprFn]]*Lookups!$B$87</f>
        <v>0</v>
      </c>
      <c r="AX1135" s="25">
        <f>Inventory[[#This Row],[AddFn]]*Lookups!$B$88</f>
        <v>0</v>
      </c>
      <c r="AY1135" s="25">
        <f>Inventory[[#This Row],[Bsmt]]*Lookups!$B$89</f>
        <v>29954.352104409998</v>
      </c>
      <c r="AZ1135" s="25">
        <f>Inventory[[#This Row],[Fixtures]]*Lookups!$B$90</f>
        <v>30336.176841600001</v>
      </c>
      <c r="BA1135" s="25">
        <f>Inventory[[#This Row],[WdDeck]]*Lookups!$B$91</f>
        <v>10121.836643904</v>
      </c>
      <c r="BB1135" s="25">
        <f>ROUND(Inventory[[#This Row],[25Det]],-2)</f>
        <v>0</v>
      </c>
      <c r="BC1135" s="25">
        <f>ROUND(SUM(Inventory[[#This Row],[Mdl Qlty]:[Mdl WdDeck]])+Inventory[[#This Row],[Mdl Res Intercept]],-2)</f>
        <v>311700</v>
      </c>
      <c r="BD1135" s="25">
        <f>ROUND(Inventory[[#This Row],[Mdl Land Intercept]]+Inventory[[#This Row],[Mdl LnAcres]],-2)</f>
        <v>37300</v>
      </c>
      <c r="BE1135" s="25">
        <f>Inventory[[#This Row],[Unadj Res Value]]+Inventory[[#This Row],[Unadj Det Value]]+Inventory[[#This Row],[Unadj Land Value]]</f>
        <v>349000</v>
      </c>
      <c r="BF1135" s="36">
        <f>(Inventory[[#This Row],[Unadj Total Value]]-Inventory[[#This Row],[24Final]])/Inventory[[#This Row],[24Final]]</f>
        <v>3.9618707179028892E-2</v>
      </c>
      <c r="BG1135" s="25">
        <f>VLOOKUP(Inventory[[#This Row],[Nbhd]],Lookups!$Q$2:$T$4,4,FALSE)</f>
        <v>0.99970000000000003</v>
      </c>
      <c r="BH1135" s="25">
        <f>VLOOKUP(Inventory[[#This Row],[Qlty]],Lookups!$O$7:$R$21,4,FALSE)</f>
        <v>1.0067999999999999</v>
      </c>
      <c r="BI1135" s="25">
        <f>VLOOKUP(Inventory[[#This Row],[Cnd]],Lookups!$T$7:$W$16,4,FALSE)</f>
        <v>0.99729999999999996</v>
      </c>
      <c r="BJ1135" s="25">
        <f>VLOOKUP(Inventory[[#This Row],[LivArea Range]],Lookups!$T$25:$W$37,4,FALSE)</f>
        <v>0.98919999999999997</v>
      </c>
      <c r="BK1135" s="25">
        <f>VLOOKUP(Inventory[[#This Row],[Decade]],Lookups!$O$25:$R$42,4,FALSE)</f>
        <v>0.995</v>
      </c>
      <c r="BL1135" s="25">
        <f>Inventory[[#This Row],[Nbhd Adj]]*0.95</f>
        <v>0.94971499999999998</v>
      </c>
      <c r="BM1135" s="25">
        <f>Inventory[[#This Row],[Nbhd Adj]]*Inventory[[#This Row],[Quality Adj]]*Inventory[[#This Row],[Condition Adj]]*Inventory[[#This Row],[Living Area Adj]]*Inventory[[#This Row],[Decade Adj]]*0.95</f>
        <v>0.93857614463114025</v>
      </c>
      <c r="BN1135" s="25">
        <f>ROUND(SUM(Inventory[[#This Row],[Mdl Qlty]:[Mdl WdDeck]])+Inventory[[#This Row],[Mdl Res Intercept]]*Inventory[[#This Row],[Res Adj ]],-2)</f>
        <v>311700</v>
      </c>
      <c r="BO1135" s="25">
        <f>ROUND(Inventory[[#This Row],[25Det]]*Inventory[[#This Row],[Det/Nbhd Adj]],-2)</f>
        <v>0</v>
      </c>
      <c r="BP1135" s="25">
        <f>Inventory[[#This Row],[Adjusted Res]]+Inventory[[#This Row],[Adj Det ]]</f>
        <v>311700</v>
      </c>
      <c r="BQ1135" s="25">
        <f>ROUND((Inventory[[#This Row],[Mdl Land Intercept]]+Inventory[[#This Row],[Mdl LnAcres]])*Inventory[[#This Row],[Det/Nbhd Adj]],-2)</f>
        <v>35400</v>
      </c>
      <c r="BR1135" s="25">
        <f>Inventory[[#This Row],[Adjusted Impr Total]]+Inventory[[#This Row],[Adjusted Land Total]]</f>
        <v>347100</v>
      </c>
      <c r="BS1135" s="36">
        <f>IFERROR((Inventory[[#This Row],[Adjusted Impr Total]]-Inventory[[#This Row],[24Bldg]])/Inventory[[#This Row],[24Bldg]],0)</f>
        <v>0.11680401289860265</v>
      </c>
      <c r="BT1135" s="36">
        <f>(Inventory[[#This Row],[Adjusted Land Total]]-Inventory[[#This Row],[24Lnd]])/Inventory[[#This Row],[24Lnd]]</f>
        <v>-0.37455830388692579</v>
      </c>
      <c r="BU1135" s="36">
        <f>(Inventory[[#This Row],[Adjusted Total]]-Inventory[[#This Row],[24Final]])/Inventory[[#This Row],[24Final]]</f>
        <v>3.3958891867739052E-2</v>
      </c>
    </row>
    <row r="1136" spans="1:73" x14ac:dyDescent="0.3">
      <c r="A1136" s="25">
        <v>2025</v>
      </c>
      <c r="B1136" s="26" t="s">
        <v>1275</v>
      </c>
      <c r="C1136" s="26">
        <f>LN(Inventory[[#This Row],[Acres]])</f>
        <v>-1.4696759700589417</v>
      </c>
      <c r="D1136" s="25">
        <v>0.23</v>
      </c>
      <c r="E1136" s="32">
        <v>10132</v>
      </c>
      <c r="F1136" s="26" t="s">
        <v>537</v>
      </c>
      <c r="G1136" s="26" t="s">
        <v>126</v>
      </c>
      <c r="H1136" s="26" t="s">
        <v>349</v>
      </c>
      <c r="I1136" s="26" t="s">
        <v>538</v>
      </c>
      <c r="J1136" s="26" t="s">
        <v>539</v>
      </c>
      <c r="K1136" s="26" t="s">
        <v>241</v>
      </c>
      <c r="L1136" s="26" t="s">
        <v>148</v>
      </c>
      <c r="M1136" s="26" t="s">
        <v>303</v>
      </c>
      <c r="N1136" s="26">
        <v>80</v>
      </c>
      <c r="O1136" s="26">
        <f>2024-Inventory[[#This Row],[YrBlt]]</f>
        <v>79</v>
      </c>
      <c r="P1136" s="26">
        <f>2024-Inventory[[#This Row],[EffYr]]</f>
        <v>52</v>
      </c>
      <c r="Q1136" s="25">
        <v>1945</v>
      </c>
      <c r="R1136" s="25">
        <v>1972</v>
      </c>
      <c r="S1136" s="25">
        <v>1474</v>
      </c>
      <c r="T1136" s="27"/>
      <c r="U1136" s="32">
        <v>1149</v>
      </c>
      <c r="V1136" s="32">
        <f>Inventory[[#This Row],[Bsmt]]-Inventory[[#This Row],[FnBsmt]]</f>
        <v>0</v>
      </c>
      <c r="W1136" s="32">
        <v>1149</v>
      </c>
      <c r="X1136" s="27"/>
      <c r="Y1136" s="27">
        <f>Inventory[[#This Row],[MainFn]]+Inventory[[#This Row],[UpprFn]]+Inventory[[#This Row],[FnBsmt]]+Inventory[[#This Row],[AddFn]]</f>
        <v>2623</v>
      </c>
      <c r="Z1136" s="27">
        <v>3000</v>
      </c>
      <c r="AA1136" s="25">
        <v>10</v>
      </c>
      <c r="AB1136" s="27"/>
      <c r="AC1136" s="32">
        <v>325</v>
      </c>
      <c r="AD1136" s="27"/>
      <c r="AE1136" s="27"/>
      <c r="AF1136" s="27"/>
      <c r="AG1136" s="27"/>
      <c r="AH1136" s="27"/>
      <c r="AI1136" s="25">
        <v>499231</v>
      </c>
      <c r="AJ1136" s="25">
        <v>349462</v>
      </c>
      <c r="AK1136" s="25">
        <v>0</v>
      </c>
      <c r="AL1136" s="25">
        <v>402300</v>
      </c>
      <c r="AM1136" s="25">
        <v>63300</v>
      </c>
      <c r="AN1136" s="25">
        <v>339000</v>
      </c>
      <c r="AO1136" s="25">
        <v>0</v>
      </c>
      <c r="AP1136" s="25">
        <f>Lookups!$B$56*0</f>
        <v>0</v>
      </c>
      <c r="AQ1136" s="25">
        <f>Lookups!$B$56*1</f>
        <v>89850.625589999996</v>
      </c>
      <c r="AR1136" s="25">
        <f>Lookups!$B$57*Inventory[[#This Row],[LnAcres]]</f>
        <v>-46522.028095997222</v>
      </c>
      <c r="AS1136" s="25">
        <f>VLOOKUP(Inventory[[#This Row],[Qlty]],Lookups!$A$62:$E$75,2,FALSE)</f>
        <v>44121.038090000002</v>
      </c>
      <c r="AT1136" s="25">
        <f>VLOOKUP(Inventory[[#This Row],[Cnd]],Lookups!$A$76:$E$84,2,FALSE)</f>
        <v>197752.34721000001</v>
      </c>
      <c r="AU1136" s="25">
        <f>Inventory[[#This Row],[EffAge]]*Lookups!$B$85</f>
        <v>-11598.371226000001</v>
      </c>
      <c r="AV1136" s="25">
        <f>Inventory[[#This Row],[MainFn]]*Lookups!$B$86</f>
        <v>72828.379398698002</v>
      </c>
      <c r="AW1136" s="25">
        <f>Inventory[[#This Row],[UpprFn]]*Lookups!$B$87</f>
        <v>0</v>
      </c>
      <c r="AX1136" s="25">
        <f>Inventory[[#This Row],[AddFn]]*Lookups!$B$88</f>
        <v>0</v>
      </c>
      <c r="AY1136" s="25">
        <f>Inventory[[#This Row],[Bsmt]]*Lookups!$B$89</f>
        <v>33415.097638802996</v>
      </c>
      <c r="AZ1136" s="25">
        <f>Inventory[[#This Row],[Fixtures]]*Lookups!$B$90</f>
        <v>37920.221052000001</v>
      </c>
      <c r="BA1136" s="25">
        <f>Inventory[[#This Row],[WdDeck]]*Lookups!$B$91</f>
        <v>0</v>
      </c>
      <c r="BB1136" s="25">
        <f>ROUND(Inventory[[#This Row],[25Det]],-2)</f>
        <v>0</v>
      </c>
      <c r="BC1136" s="25">
        <f>ROUND(SUM(Inventory[[#This Row],[Mdl Qlty]:[Mdl WdDeck]])+Inventory[[#This Row],[Mdl Res Intercept]],-2)</f>
        <v>374400</v>
      </c>
      <c r="BD1136" s="25">
        <f>ROUND(Inventory[[#This Row],[Mdl Land Intercept]]+Inventory[[#This Row],[Mdl LnAcres]],-2)</f>
        <v>43300</v>
      </c>
      <c r="BE1136" s="25">
        <f>Inventory[[#This Row],[Unadj Res Value]]+Inventory[[#This Row],[Unadj Det Value]]+Inventory[[#This Row],[Unadj Land Value]]</f>
        <v>417700</v>
      </c>
      <c r="BF1136" s="36">
        <f>(Inventory[[#This Row],[Unadj Total Value]]-Inventory[[#This Row],[24Final]])/Inventory[[#This Row],[24Final]]</f>
        <v>3.8279890628883914E-2</v>
      </c>
      <c r="BG1136" s="25">
        <f>VLOOKUP(Inventory[[#This Row],[Nbhd]],Lookups!$Q$2:$T$4,4,FALSE)</f>
        <v>0.99970000000000003</v>
      </c>
      <c r="BH1136" s="25">
        <f>VLOOKUP(Inventory[[#This Row],[Qlty]],Lookups!$O$7:$R$21,4,FALSE)</f>
        <v>0.98050000000000004</v>
      </c>
      <c r="BI1136" s="25">
        <f>VLOOKUP(Inventory[[#This Row],[Cnd]],Lookups!$T$7:$W$16,4,FALSE)</f>
        <v>0.99650000000000005</v>
      </c>
      <c r="BJ1136" s="25">
        <f>VLOOKUP(Inventory[[#This Row],[LivArea Range]],Lookups!$T$25:$W$37,4,FALSE)</f>
        <v>0.96179999999999999</v>
      </c>
      <c r="BK1136" s="25">
        <f>VLOOKUP(Inventory[[#This Row],[Decade]],Lookups!$O$25:$R$42,4,FALSE)</f>
        <v>0.995</v>
      </c>
      <c r="BL1136" s="25">
        <f>Inventory[[#This Row],[Nbhd Adj]]*0.95</f>
        <v>0.94971499999999998</v>
      </c>
      <c r="BM1136" s="25">
        <f>Inventory[[#This Row],[Nbhd Adj]]*Inventory[[#This Row],[Quality Adj]]*Inventory[[#This Row],[Condition Adj]]*Inventory[[#This Row],[Living Area Adj]]*Inventory[[#This Row],[Decade Adj]]*0.95</f>
        <v>0.88802675758029637</v>
      </c>
      <c r="BN1136" s="25">
        <f>ROUND(SUM(Inventory[[#This Row],[Mdl Qlty]:[Mdl WdDeck]])+Inventory[[#This Row],[Mdl Res Intercept]]*Inventory[[#This Row],[Res Adj ]],-2)</f>
        <v>374400</v>
      </c>
      <c r="BO1136" s="25">
        <f>ROUND(Inventory[[#This Row],[25Det]]*Inventory[[#This Row],[Det/Nbhd Adj]],-2)</f>
        <v>0</v>
      </c>
      <c r="BP1136" s="25">
        <f>Inventory[[#This Row],[Adjusted Res]]+Inventory[[#This Row],[Adj Det ]]</f>
        <v>374400</v>
      </c>
      <c r="BQ1136" s="25">
        <f>ROUND((Inventory[[#This Row],[Mdl Land Intercept]]+Inventory[[#This Row],[Mdl LnAcres]])*Inventory[[#This Row],[Det/Nbhd Adj]],-2)</f>
        <v>41100</v>
      </c>
      <c r="BR1136" s="25">
        <f>Inventory[[#This Row],[Adjusted Impr Total]]+Inventory[[#This Row],[Adjusted Land Total]]</f>
        <v>415500</v>
      </c>
      <c r="BS1136" s="36">
        <f>IFERROR((Inventory[[#This Row],[Adjusted Impr Total]]-Inventory[[#This Row],[24Bldg]])/Inventory[[#This Row],[24Bldg]],0)</f>
        <v>0.10442477876106195</v>
      </c>
      <c r="BT1136" s="36">
        <f>(Inventory[[#This Row],[Adjusted Land Total]]-Inventory[[#This Row],[24Lnd]])/Inventory[[#This Row],[24Lnd]]</f>
        <v>-0.35071090047393366</v>
      </c>
      <c r="BU1136" s="36">
        <f>(Inventory[[#This Row],[Adjusted Total]]-Inventory[[#This Row],[24Final]])/Inventory[[#This Row],[24Final]]</f>
        <v>3.2811334824757642E-2</v>
      </c>
    </row>
    <row r="1137" spans="1:73" x14ac:dyDescent="0.3">
      <c r="A1137" s="25">
        <v>2025</v>
      </c>
      <c r="B1137" s="26" t="s">
        <v>2203</v>
      </c>
      <c r="C1137" s="26">
        <f>LN(Inventory[[#This Row],[Acres]])</f>
        <v>-1.3862943611198906</v>
      </c>
      <c r="D1137" s="25">
        <v>0.25</v>
      </c>
      <c r="E1137" s="27"/>
      <c r="F1137" s="26" t="s">
        <v>537</v>
      </c>
      <c r="G1137" s="26" t="s">
        <v>126</v>
      </c>
      <c r="H1137" s="26" t="s">
        <v>349</v>
      </c>
      <c r="I1137" s="26" t="s">
        <v>538</v>
      </c>
      <c r="J1137" s="26" t="s">
        <v>539</v>
      </c>
      <c r="K1137" s="26" t="s">
        <v>241</v>
      </c>
      <c r="L1137" s="26" t="s">
        <v>302</v>
      </c>
      <c r="M1137" s="26" t="s">
        <v>303</v>
      </c>
      <c r="N1137" s="26">
        <v>80</v>
      </c>
      <c r="O1137" s="26">
        <f>2024-Inventory[[#This Row],[YrBlt]]</f>
        <v>79</v>
      </c>
      <c r="P1137" s="26">
        <f>2024-Inventory[[#This Row],[EffYr]]</f>
        <v>52</v>
      </c>
      <c r="Q1137" s="25">
        <v>1945</v>
      </c>
      <c r="R1137" s="25">
        <v>1972</v>
      </c>
      <c r="S1137" s="25">
        <v>1837</v>
      </c>
      <c r="T1137" s="27"/>
      <c r="U1137" s="31"/>
      <c r="V1137" s="31">
        <f>Inventory[[#This Row],[Bsmt]]-Inventory[[#This Row],[FnBsmt]]</f>
        <v>0</v>
      </c>
      <c r="W1137" s="31"/>
      <c r="X1137" s="27"/>
      <c r="Y1137" s="27">
        <f>Inventory[[#This Row],[MainFn]]+Inventory[[#This Row],[UpprFn]]+Inventory[[#This Row],[FnBsmt]]+Inventory[[#This Row],[AddFn]]</f>
        <v>1837</v>
      </c>
      <c r="Z1137" s="27">
        <v>2000</v>
      </c>
      <c r="AA1137" s="25">
        <v>7</v>
      </c>
      <c r="AB1137" s="27"/>
      <c r="AC1137" s="31"/>
      <c r="AD1137" s="27"/>
      <c r="AE1137" s="27"/>
      <c r="AF1137" s="27"/>
      <c r="AG1137" s="27"/>
      <c r="AH1137" s="27"/>
      <c r="AI1137" s="25">
        <v>339873</v>
      </c>
      <c r="AJ1137" s="25">
        <v>237911</v>
      </c>
      <c r="AK1137" s="25">
        <v>9040</v>
      </c>
      <c r="AL1137" s="25">
        <v>374000</v>
      </c>
      <c r="AM1137" s="25">
        <v>66200</v>
      </c>
      <c r="AN1137" s="25">
        <v>307800</v>
      </c>
      <c r="AO1137" s="25">
        <v>0</v>
      </c>
      <c r="AP1137" s="25">
        <f>Lookups!$B$56*0</f>
        <v>0</v>
      </c>
      <c r="AQ1137" s="25">
        <f>Lookups!$B$56*1</f>
        <v>89850.625589999996</v>
      </c>
      <c r="AR1137" s="25">
        <f>Lookups!$B$57*Inventory[[#This Row],[LnAcres]]</f>
        <v>-43882.615305165229</v>
      </c>
      <c r="AS1137" s="25">
        <f>VLOOKUP(Inventory[[#This Row],[Qlty]],Lookups!$A$62:$E$75,2,FALSE)</f>
        <v>29814.093161000001</v>
      </c>
      <c r="AT1137" s="25">
        <f>VLOOKUP(Inventory[[#This Row],[Cnd]],Lookups!$A$76:$E$84,2,FALSE)</f>
        <v>197752.34721000001</v>
      </c>
      <c r="AU1137" s="25">
        <f>Inventory[[#This Row],[EffAge]]*Lookups!$B$85</f>
        <v>-11598.371226000001</v>
      </c>
      <c r="AV1137" s="25">
        <f>Inventory[[#This Row],[MainFn]]*Lookups!$B$86</f>
        <v>90763.726564049008</v>
      </c>
      <c r="AW1137" s="25">
        <f>Inventory[[#This Row],[UpprFn]]*Lookups!$B$87</f>
        <v>0</v>
      </c>
      <c r="AX1137" s="25">
        <f>Inventory[[#This Row],[AddFn]]*Lookups!$B$88</f>
        <v>0</v>
      </c>
      <c r="AY1137" s="25">
        <f>Inventory[[#This Row],[Bsmt]]*Lookups!$B$89</f>
        <v>0</v>
      </c>
      <c r="AZ1137" s="25">
        <f>Inventory[[#This Row],[Fixtures]]*Lookups!$B$90</f>
        <v>26544.1547364</v>
      </c>
      <c r="BA1137" s="25">
        <f>Inventory[[#This Row],[WdDeck]]*Lookups!$B$91</f>
        <v>0</v>
      </c>
      <c r="BB1137" s="25">
        <f>ROUND(Inventory[[#This Row],[25Det]],-2)</f>
        <v>9000</v>
      </c>
      <c r="BC1137" s="25">
        <f>ROUND(SUM(Inventory[[#This Row],[Mdl Qlty]:[Mdl WdDeck]])+Inventory[[#This Row],[Mdl Res Intercept]],-2)</f>
        <v>333300</v>
      </c>
      <c r="BD1137" s="25">
        <f>ROUND(Inventory[[#This Row],[Mdl Land Intercept]]+Inventory[[#This Row],[Mdl LnAcres]],-2)</f>
        <v>46000</v>
      </c>
      <c r="BE1137" s="25">
        <f>Inventory[[#This Row],[Unadj Res Value]]+Inventory[[#This Row],[Unadj Det Value]]+Inventory[[#This Row],[Unadj Land Value]]</f>
        <v>388300</v>
      </c>
      <c r="BF1137" s="36">
        <f>(Inventory[[#This Row],[Unadj Total Value]]-Inventory[[#This Row],[24Final]])/Inventory[[#This Row],[24Final]]</f>
        <v>3.8235294117647062E-2</v>
      </c>
      <c r="BG1137" s="25">
        <f>VLOOKUP(Inventory[[#This Row],[Nbhd]],Lookups!$Q$2:$T$4,4,FALSE)</f>
        <v>0.99970000000000003</v>
      </c>
      <c r="BH1137" s="25">
        <f>VLOOKUP(Inventory[[#This Row],[Qlty]],Lookups!$O$7:$R$21,4,FALSE)</f>
        <v>1.0088999999999999</v>
      </c>
      <c r="BI1137" s="25">
        <f>VLOOKUP(Inventory[[#This Row],[Cnd]],Lookups!$T$7:$W$16,4,FALSE)</f>
        <v>0.99650000000000005</v>
      </c>
      <c r="BJ1137" s="25">
        <f>VLOOKUP(Inventory[[#This Row],[LivArea Range]],Lookups!$T$25:$W$37,4,FALSE)</f>
        <v>1.0093000000000001</v>
      </c>
      <c r="BK1137" s="25">
        <f>VLOOKUP(Inventory[[#This Row],[Decade]],Lookups!$O$25:$R$42,4,FALSE)</f>
        <v>0.995</v>
      </c>
      <c r="BL1137" s="25">
        <f>Inventory[[#This Row],[Nbhd Adj]]*0.95</f>
        <v>0.94971499999999998</v>
      </c>
      <c r="BM1137" s="25">
        <f>Inventory[[#This Row],[Nbhd Adj]]*Inventory[[#This Row],[Quality Adj]]*Inventory[[#This Row],[Condition Adj]]*Inventory[[#This Row],[Living Area Adj]]*Inventory[[#This Row],[Decade Adj]]*0.95</f>
        <v>0.9588751782051762</v>
      </c>
      <c r="BN1137" s="25">
        <f>ROUND(SUM(Inventory[[#This Row],[Mdl Qlty]:[Mdl WdDeck]])+Inventory[[#This Row],[Mdl Res Intercept]]*Inventory[[#This Row],[Res Adj ]],-2)</f>
        <v>333300</v>
      </c>
      <c r="BO1137" s="25">
        <f>ROUND(Inventory[[#This Row],[25Det]]*Inventory[[#This Row],[Det/Nbhd Adj]],-2)</f>
        <v>8600</v>
      </c>
      <c r="BP1137" s="25">
        <f>Inventory[[#This Row],[Adjusted Res]]+Inventory[[#This Row],[Adj Det ]]</f>
        <v>341900</v>
      </c>
      <c r="BQ1137" s="25">
        <f>ROUND((Inventory[[#This Row],[Mdl Land Intercept]]+Inventory[[#This Row],[Mdl LnAcres]])*Inventory[[#This Row],[Det/Nbhd Adj]],-2)</f>
        <v>43700</v>
      </c>
      <c r="BR1137" s="25">
        <f>Inventory[[#This Row],[Adjusted Impr Total]]+Inventory[[#This Row],[Adjusted Land Total]]</f>
        <v>385600</v>
      </c>
      <c r="BS1137" s="36">
        <f>IFERROR((Inventory[[#This Row],[Adjusted Impr Total]]-Inventory[[#This Row],[24Bldg]])/Inventory[[#This Row],[24Bldg]],0)</f>
        <v>0.11078622482131253</v>
      </c>
      <c r="BT1137" s="36">
        <f>(Inventory[[#This Row],[Adjusted Land Total]]-Inventory[[#This Row],[24Lnd]])/Inventory[[#This Row],[24Lnd]]</f>
        <v>-0.33987915407854985</v>
      </c>
      <c r="BU1137" s="36">
        <f>(Inventory[[#This Row],[Adjusted Total]]-Inventory[[#This Row],[24Final]])/Inventory[[#This Row],[24Final]]</f>
        <v>3.1016042780748664E-2</v>
      </c>
    </row>
    <row r="1138" spans="1:73" x14ac:dyDescent="0.3">
      <c r="A1138" s="25">
        <v>2025</v>
      </c>
      <c r="B1138" s="26" t="s">
        <v>2302</v>
      </c>
      <c r="C1138" s="26">
        <f>LN(Inventory[[#This Row],[Acres]])</f>
        <v>-1.3470736479666092</v>
      </c>
      <c r="D1138" s="25">
        <v>0.26</v>
      </c>
      <c r="E1138" s="32">
        <v>11541</v>
      </c>
      <c r="F1138" s="26" t="s">
        <v>537</v>
      </c>
      <c r="G1138" s="26" t="s">
        <v>126</v>
      </c>
      <c r="H1138" s="26" t="s">
        <v>349</v>
      </c>
      <c r="I1138" s="26" t="s">
        <v>538</v>
      </c>
      <c r="J1138" s="26" t="s">
        <v>539</v>
      </c>
      <c r="K1138" s="26" t="s">
        <v>173</v>
      </c>
      <c r="L1138" s="26" t="s">
        <v>351</v>
      </c>
      <c r="M1138" s="26" t="s">
        <v>323</v>
      </c>
      <c r="N1138" s="26">
        <v>80</v>
      </c>
      <c r="O1138" s="26">
        <f>2024-Inventory[[#This Row],[YrBlt]]</f>
        <v>79</v>
      </c>
      <c r="P1138" s="26">
        <f>2024-Inventory[[#This Row],[EffYr]]</f>
        <v>52</v>
      </c>
      <c r="Q1138" s="25">
        <v>1945</v>
      </c>
      <c r="R1138" s="25">
        <v>1972</v>
      </c>
      <c r="S1138" s="25">
        <v>1215</v>
      </c>
      <c r="T1138" s="32">
        <v>429</v>
      </c>
      <c r="U1138" s="32">
        <v>858</v>
      </c>
      <c r="V1138" s="32">
        <f>Inventory[[#This Row],[Bsmt]]-Inventory[[#This Row],[FnBsmt]]</f>
        <v>429</v>
      </c>
      <c r="W1138" s="32">
        <v>429</v>
      </c>
      <c r="X1138" s="27"/>
      <c r="Y1138" s="27">
        <f>Inventory[[#This Row],[MainFn]]+Inventory[[#This Row],[UpprFn]]+Inventory[[#This Row],[FnBsmt]]+Inventory[[#This Row],[AddFn]]</f>
        <v>2073</v>
      </c>
      <c r="Z1138" s="27">
        <v>2500</v>
      </c>
      <c r="AA1138" s="25">
        <v>7</v>
      </c>
      <c r="AB1138" s="31"/>
      <c r="AC1138" s="27"/>
      <c r="AD1138" s="27"/>
      <c r="AE1138" s="27"/>
      <c r="AF1138" s="27"/>
      <c r="AG1138" s="27"/>
      <c r="AH1138" s="27"/>
      <c r="AI1138" s="25">
        <v>299446</v>
      </c>
      <c r="AJ1138" s="25">
        <v>203623</v>
      </c>
      <c r="AK1138" s="25">
        <v>16057</v>
      </c>
      <c r="AL1138" s="25">
        <v>350600</v>
      </c>
      <c r="AM1138" s="25">
        <v>67600</v>
      </c>
      <c r="AN1138" s="25">
        <v>283000</v>
      </c>
      <c r="AO1138" s="25">
        <v>0</v>
      </c>
      <c r="AP1138" s="25">
        <f>Lookups!$B$56*0</f>
        <v>0</v>
      </c>
      <c r="AQ1138" s="25">
        <f>Lookups!$B$56*1</f>
        <v>89850.625589999996</v>
      </c>
      <c r="AR1138" s="25">
        <f>Lookups!$B$57*Inventory[[#This Row],[LnAcres]]</f>
        <v>-42641.098701210125</v>
      </c>
      <c r="AS1138" s="25">
        <f>VLOOKUP(Inventory[[#This Row],[Qlty]],Lookups!$A$62:$E$75,2,FALSE)</f>
        <v>21557.329055999999</v>
      </c>
      <c r="AT1138" s="25">
        <f>VLOOKUP(Inventory[[#This Row],[Cnd]],Lookups!$A$76:$E$84,2,FALSE)</f>
        <v>160472.20319</v>
      </c>
      <c r="AU1138" s="25">
        <f>Inventory[[#This Row],[EffAge]]*Lookups!$B$85</f>
        <v>-11598.371226000001</v>
      </c>
      <c r="AV1138" s="25">
        <f>Inventory[[#This Row],[MainFn]]*Lookups!$B$86</f>
        <v>60031.533900555005</v>
      </c>
      <c r="AW1138" s="25">
        <f>Inventory[[#This Row],[UpprFn]]*Lookups!$B$87</f>
        <v>19213.375407369</v>
      </c>
      <c r="AX1138" s="25">
        <f>Inventory[[#This Row],[AddFn]]*Lookups!$B$88</f>
        <v>0</v>
      </c>
      <c r="AY1138" s="25">
        <f>Inventory[[#This Row],[Bsmt]]*Lookups!$B$89</f>
        <v>24952.266121925997</v>
      </c>
      <c r="AZ1138" s="25">
        <f>Inventory[[#This Row],[Fixtures]]*Lookups!$B$90</f>
        <v>26544.1547364</v>
      </c>
      <c r="BA1138" s="25">
        <f>Inventory[[#This Row],[WdDeck]]*Lookups!$B$91</f>
        <v>0</v>
      </c>
      <c r="BB1138" s="25">
        <f>ROUND(Inventory[[#This Row],[25Det]],-2)</f>
        <v>16100</v>
      </c>
      <c r="BC1138" s="25">
        <f>ROUND(SUM(Inventory[[#This Row],[Mdl Qlty]:[Mdl WdDeck]])+Inventory[[#This Row],[Mdl Res Intercept]],-2)</f>
        <v>301200</v>
      </c>
      <c r="BD1138" s="25">
        <f>ROUND(Inventory[[#This Row],[Mdl Land Intercept]]+Inventory[[#This Row],[Mdl LnAcres]],-2)</f>
        <v>47200</v>
      </c>
      <c r="BE1138" s="25">
        <f>Inventory[[#This Row],[Unadj Res Value]]+Inventory[[#This Row],[Unadj Det Value]]+Inventory[[#This Row],[Unadj Land Value]]</f>
        <v>364500</v>
      </c>
      <c r="BF1138" s="36">
        <f>(Inventory[[#This Row],[Unadj Total Value]]-Inventory[[#This Row],[24Final]])/Inventory[[#This Row],[24Final]]</f>
        <v>3.9646320593268683E-2</v>
      </c>
      <c r="BG1138" s="25">
        <f>VLOOKUP(Inventory[[#This Row],[Nbhd]],Lookups!$Q$2:$T$4,4,FALSE)</f>
        <v>0.99970000000000003</v>
      </c>
      <c r="BH1138" s="25">
        <f>VLOOKUP(Inventory[[#This Row],[Qlty]],Lookups!$O$7:$R$21,4,FALSE)</f>
        <v>1.0067999999999999</v>
      </c>
      <c r="BI1138" s="25">
        <f>VLOOKUP(Inventory[[#This Row],[Cnd]],Lookups!$T$7:$W$16,4,FALSE)</f>
        <v>0.99729999999999996</v>
      </c>
      <c r="BJ1138" s="25">
        <f>VLOOKUP(Inventory[[#This Row],[LivArea Range]],Lookups!$T$25:$W$37,4,FALSE)</f>
        <v>0.98919999999999997</v>
      </c>
      <c r="BK1138" s="25">
        <f>VLOOKUP(Inventory[[#This Row],[Decade]],Lookups!$O$25:$R$42,4,FALSE)</f>
        <v>0.995</v>
      </c>
      <c r="BL1138" s="25">
        <f>Inventory[[#This Row],[Nbhd Adj]]*0.95</f>
        <v>0.94971499999999998</v>
      </c>
      <c r="BM1138" s="25">
        <f>Inventory[[#This Row],[Nbhd Adj]]*Inventory[[#This Row],[Quality Adj]]*Inventory[[#This Row],[Condition Adj]]*Inventory[[#This Row],[Living Area Adj]]*Inventory[[#This Row],[Decade Adj]]*0.95</f>
        <v>0.93857614463114025</v>
      </c>
      <c r="BN1138" s="25">
        <f>ROUND(SUM(Inventory[[#This Row],[Mdl Qlty]:[Mdl WdDeck]])+Inventory[[#This Row],[Mdl Res Intercept]]*Inventory[[#This Row],[Res Adj ]],-2)</f>
        <v>301200</v>
      </c>
      <c r="BO1138" s="25">
        <f>ROUND(Inventory[[#This Row],[25Det]]*Inventory[[#This Row],[Det/Nbhd Adj]],-2)</f>
        <v>15200</v>
      </c>
      <c r="BP1138" s="25">
        <f>Inventory[[#This Row],[Adjusted Res]]+Inventory[[#This Row],[Adj Det ]]</f>
        <v>316400</v>
      </c>
      <c r="BQ1138" s="25">
        <f>ROUND((Inventory[[#This Row],[Mdl Land Intercept]]+Inventory[[#This Row],[Mdl LnAcres]])*Inventory[[#This Row],[Det/Nbhd Adj]],-2)</f>
        <v>44800</v>
      </c>
      <c r="BR1138" s="25">
        <f>Inventory[[#This Row],[Adjusted Impr Total]]+Inventory[[#This Row],[Adjusted Land Total]]</f>
        <v>361200</v>
      </c>
      <c r="BS1138" s="36">
        <f>IFERROR((Inventory[[#This Row],[Adjusted Impr Total]]-Inventory[[#This Row],[24Bldg]])/Inventory[[#This Row],[24Bldg]],0)</f>
        <v>0.11802120141342756</v>
      </c>
      <c r="BT1138" s="36">
        <f>(Inventory[[#This Row],[Adjusted Land Total]]-Inventory[[#This Row],[24Lnd]])/Inventory[[#This Row],[24Lnd]]</f>
        <v>-0.33727810650887574</v>
      </c>
      <c r="BU1138" s="36">
        <f>(Inventory[[#This Row],[Adjusted Total]]-Inventory[[#This Row],[24Final]])/Inventory[[#This Row],[24Final]]</f>
        <v>3.0233884768967486E-2</v>
      </c>
    </row>
    <row r="1139" spans="1:73" x14ac:dyDescent="0.3">
      <c r="A1139" s="25">
        <v>2025</v>
      </c>
      <c r="B1139" s="26" t="s">
        <v>969</v>
      </c>
      <c r="C1139" s="26">
        <f>LN(Inventory[[#This Row],[Acres]])</f>
        <v>-0.49429632181478012</v>
      </c>
      <c r="D1139" s="25">
        <v>0.61</v>
      </c>
      <c r="E1139" s="32">
        <v>26723</v>
      </c>
      <c r="F1139" s="26" t="s">
        <v>537</v>
      </c>
      <c r="G1139" s="26" t="s">
        <v>126</v>
      </c>
      <c r="H1139" s="26" t="s">
        <v>349</v>
      </c>
      <c r="I1139" s="26" t="s">
        <v>538</v>
      </c>
      <c r="J1139" s="26" t="s">
        <v>539</v>
      </c>
      <c r="K1139" s="26" t="s">
        <v>242</v>
      </c>
      <c r="L1139" s="26" t="s">
        <v>148</v>
      </c>
      <c r="M1139" s="26" t="s">
        <v>303</v>
      </c>
      <c r="N1139" s="26">
        <v>80</v>
      </c>
      <c r="O1139" s="26">
        <f>2024-Inventory[[#This Row],[YrBlt]]</f>
        <v>79</v>
      </c>
      <c r="P1139" s="26">
        <f>2024-Inventory[[#This Row],[EffYr]]</f>
        <v>52</v>
      </c>
      <c r="Q1139" s="25">
        <v>1945</v>
      </c>
      <c r="R1139" s="25">
        <v>1972</v>
      </c>
      <c r="S1139" s="25">
        <v>1114</v>
      </c>
      <c r="T1139" s="27"/>
      <c r="U1139" s="32">
        <v>1114</v>
      </c>
      <c r="V1139" s="32">
        <f>Inventory[[#This Row],[Bsmt]]-Inventory[[#This Row],[FnBsmt]]</f>
        <v>0</v>
      </c>
      <c r="W1139" s="32">
        <v>1114</v>
      </c>
      <c r="X1139" s="27"/>
      <c r="Y1139" s="27">
        <f>Inventory[[#This Row],[MainFn]]+Inventory[[#This Row],[UpprFn]]+Inventory[[#This Row],[FnBsmt]]+Inventory[[#This Row],[AddFn]]</f>
        <v>2228</v>
      </c>
      <c r="Z1139" s="27">
        <v>2500</v>
      </c>
      <c r="AA1139" s="25">
        <v>11</v>
      </c>
      <c r="AB1139" s="27"/>
      <c r="AC1139" s="27"/>
      <c r="AD1139" s="27"/>
      <c r="AE1139" s="27"/>
      <c r="AF1139" s="27"/>
      <c r="AG1139" s="27"/>
      <c r="AH1139" s="27"/>
      <c r="AI1139" s="25">
        <v>391566</v>
      </c>
      <c r="AJ1139" s="25">
        <v>274096</v>
      </c>
      <c r="AK1139" s="25">
        <v>6957</v>
      </c>
      <c r="AL1139" s="25">
        <v>424900</v>
      </c>
      <c r="AM1139" s="25">
        <v>97300</v>
      </c>
      <c r="AN1139" s="25">
        <v>327600</v>
      </c>
      <c r="AO1139" s="25">
        <v>0</v>
      </c>
      <c r="AP1139" s="25">
        <f>Lookups!$B$56*0</f>
        <v>0</v>
      </c>
      <c r="AQ1139" s="25">
        <f>Lookups!$B$56*1</f>
        <v>89850.625589999996</v>
      </c>
      <c r="AR1139" s="25">
        <f>Lookups!$B$57*Inventory[[#This Row],[LnAcres]]</f>
        <v>-15646.760129236542</v>
      </c>
      <c r="AS1139" s="25">
        <f>VLOOKUP(Inventory[[#This Row],[Qlty]],Lookups!$A$62:$E$75,2,FALSE)</f>
        <v>44121.038090000002</v>
      </c>
      <c r="AT1139" s="25">
        <f>VLOOKUP(Inventory[[#This Row],[Cnd]],Lookups!$A$76:$E$84,2,FALSE)</f>
        <v>197752.34721000001</v>
      </c>
      <c r="AU1139" s="25">
        <f>Inventory[[#This Row],[EffAge]]*Lookups!$B$85</f>
        <v>-11598.371226000001</v>
      </c>
      <c r="AV1139" s="25">
        <f>Inventory[[#This Row],[MainFn]]*Lookups!$B$86</f>
        <v>55041.258242978001</v>
      </c>
      <c r="AW1139" s="25">
        <f>Inventory[[#This Row],[UpprFn]]*Lookups!$B$87</f>
        <v>0</v>
      </c>
      <c r="AX1139" s="25">
        <f>Inventory[[#This Row],[AddFn]]*Lookups!$B$88</f>
        <v>0</v>
      </c>
      <c r="AY1139" s="25">
        <f>Inventory[[#This Row],[Bsmt]]*Lookups!$B$89</f>
        <v>32397.231305157999</v>
      </c>
      <c r="AZ1139" s="25">
        <f>Inventory[[#This Row],[Fixtures]]*Lookups!$B$90</f>
        <v>41712.243157199999</v>
      </c>
      <c r="BA1139" s="25">
        <f>Inventory[[#This Row],[WdDeck]]*Lookups!$B$91</f>
        <v>0</v>
      </c>
      <c r="BB1139" s="25">
        <f>ROUND(Inventory[[#This Row],[25Det]],-2)</f>
        <v>7000</v>
      </c>
      <c r="BC1139" s="25">
        <f>ROUND(SUM(Inventory[[#This Row],[Mdl Qlty]:[Mdl WdDeck]])+Inventory[[#This Row],[Mdl Res Intercept]],-2)</f>
        <v>359400</v>
      </c>
      <c r="BD1139" s="25">
        <f>ROUND(Inventory[[#This Row],[Mdl Land Intercept]]+Inventory[[#This Row],[Mdl LnAcres]],-2)</f>
        <v>74200</v>
      </c>
      <c r="BE1139" s="25">
        <f>Inventory[[#This Row],[Unadj Res Value]]+Inventory[[#This Row],[Unadj Det Value]]+Inventory[[#This Row],[Unadj Land Value]]</f>
        <v>440600</v>
      </c>
      <c r="BF1139" s="36">
        <f>(Inventory[[#This Row],[Unadj Total Value]]-Inventory[[#This Row],[24Final]])/Inventory[[#This Row],[24Final]]</f>
        <v>3.6949870557778298E-2</v>
      </c>
      <c r="BG1139" s="25">
        <f>VLOOKUP(Inventory[[#This Row],[Nbhd]],Lookups!$Q$2:$T$4,4,FALSE)</f>
        <v>0.99970000000000003</v>
      </c>
      <c r="BH1139" s="25">
        <f>VLOOKUP(Inventory[[#This Row],[Qlty]],Lookups!$O$7:$R$21,4,FALSE)</f>
        <v>0.98050000000000004</v>
      </c>
      <c r="BI1139" s="25">
        <f>VLOOKUP(Inventory[[#This Row],[Cnd]],Lookups!$T$7:$W$16,4,FALSE)</f>
        <v>0.99650000000000005</v>
      </c>
      <c r="BJ1139" s="25">
        <f>VLOOKUP(Inventory[[#This Row],[LivArea Range]],Lookups!$T$25:$W$37,4,FALSE)</f>
        <v>0.98919999999999997</v>
      </c>
      <c r="BK1139" s="25">
        <f>VLOOKUP(Inventory[[#This Row],[Decade]],Lookups!$O$25:$R$42,4,FALSE)</f>
        <v>0.995</v>
      </c>
      <c r="BL1139" s="25">
        <f>Inventory[[#This Row],[Nbhd Adj]]*0.95</f>
        <v>0.94971499999999998</v>
      </c>
      <c r="BM1139" s="25">
        <f>Inventory[[#This Row],[Nbhd Adj]]*Inventory[[#This Row],[Quality Adj]]*Inventory[[#This Row],[Condition Adj]]*Inventory[[#This Row],[Living Area Adj]]*Inventory[[#This Row],[Decade Adj]]*0.95</f>
        <v>0.91332508691872449</v>
      </c>
      <c r="BN1139" s="25">
        <f>ROUND(SUM(Inventory[[#This Row],[Mdl Qlty]:[Mdl WdDeck]])+Inventory[[#This Row],[Mdl Res Intercept]]*Inventory[[#This Row],[Res Adj ]],-2)</f>
        <v>359400</v>
      </c>
      <c r="BO1139" s="25">
        <f>ROUND(Inventory[[#This Row],[25Det]]*Inventory[[#This Row],[Det/Nbhd Adj]],-2)</f>
        <v>6600</v>
      </c>
      <c r="BP1139" s="25">
        <f>Inventory[[#This Row],[Adjusted Res]]+Inventory[[#This Row],[Adj Det ]]</f>
        <v>366000</v>
      </c>
      <c r="BQ1139" s="25">
        <f>ROUND((Inventory[[#This Row],[Mdl Land Intercept]]+Inventory[[#This Row],[Mdl LnAcres]])*Inventory[[#This Row],[Det/Nbhd Adj]],-2)</f>
        <v>70500</v>
      </c>
      <c r="BR1139" s="25">
        <f>Inventory[[#This Row],[Adjusted Impr Total]]+Inventory[[#This Row],[Adjusted Land Total]]</f>
        <v>436500</v>
      </c>
      <c r="BS1139" s="36">
        <f>IFERROR((Inventory[[#This Row],[Adjusted Impr Total]]-Inventory[[#This Row],[24Bldg]])/Inventory[[#This Row],[24Bldg]],0)</f>
        <v>0.11721611721611722</v>
      </c>
      <c r="BT1139" s="36">
        <f>(Inventory[[#This Row],[Adjusted Land Total]]-Inventory[[#This Row],[24Lnd]])/Inventory[[#This Row],[24Lnd]]</f>
        <v>-0.27543679342240496</v>
      </c>
      <c r="BU1139" s="36">
        <f>(Inventory[[#This Row],[Adjusted Total]]-Inventory[[#This Row],[24Final]])/Inventory[[#This Row],[24Final]]</f>
        <v>2.7300541303836197E-2</v>
      </c>
    </row>
    <row r="1140" spans="1:73" x14ac:dyDescent="0.3">
      <c r="A1140" s="25">
        <v>2025</v>
      </c>
      <c r="B1140" s="26" t="s">
        <v>2405</v>
      </c>
      <c r="C1140" s="26">
        <f>LN(Inventory[[#This Row],[Acres]])</f>
        <v>-1.8325814637483102</v>
      </c>
      <c r="D1140" s="25">
        <v>0.16</v>
      </c>
      <c r="E1140" s="32">
        <v>6999</v>
      </c>
      <c r="F1140" s="26" t="s">
        <v>537</v>
      </c>
      <c r="G1140" s="26" t="s">
        <v>126</v>
      </c>
      <c r="H1140" s="26" t="s">
        <v>349</v>
      </c>
      <c r="I1140" s="26" t="s">
        <v>538</v>
      </c>
      <c r="J1140" s="26" t="s">
        <v>539</v>
      </c>
      <c r="K1140" s="26" t="s">
        <v>4</v>
      </c>
      <c r="L1140" s="26" t="s">
        <v>302</v>
      </c>
      <c r="M1140" s="26" t="s">
        <v>323</v>
      </c>
      <c r="N1140" s="26">
        <v>80</v>
      </c>
      <c r="O1140" s="26">
        <f>2024-Inventory[[#This Row],[YrBlt]]</f>
        <v>79</v>
      </c>
      <c r="P1140" s="26">
        <f>2024-Inventory[[#This Row],[EffYr]]</f>
        <v>52</v>
      </c>
      <c r="Q1140" s="25">
        <v>1945</v>
      </c>
      <c r="R1140" s="25">
        <v>1972</v>
      </c>
      <c r="S1140" s="25">
        <v>916</v>
      </c>
      <c r="T1140" s="27"/>
      <c r="U1140" s="32">
        <v>916</v>
      </c>
      <c r="V1140" s="32">
        <f>Inventory[[#This Row],[Bsmt]]-Inventory[[#This Row],[FnBsmt]]</f>
        <v>0</v>
      </c>
      <c r="W1140" s="32">
        <v>916</v>
      </c>
      <c r="X1140" s="27"/>
      <c r="Y1140" s="27">
        <f>Inventory[[#This Row],[MainFn]]+Inventory[[#This Row],[UpprFn]]+Inventory[[#This Row],[FnBsmt]]+Inventory[[#This Row],[AddFn]]</f>
        <v>1832</v>
      </c>
      <c r="Z1140" s="27">
        <v>2000</v>
      </c>
      <c r="AA1140" s="25">
        <v>5</v>
      </c>
      <c r="AB1140" s="27"/>
      <c r="AC1140" s="27"/>
      <c r="AD1140" s="27"/>
      <c r="AE1140" s="27"/>
      <c r="AF1140" s="27"/>
      <c r="AG1140" s="27"/>
      <c r="AH1140" s="27"/>
      <c r="AI1140" s="25">
        <v>265672</v>
      </c>
      <c r="AJ1140" s="25">
        <v>180657</v>
      </c>
      <c r="AK1140" s="25">
        <v>5441</v>
      </c>
      <c r="AL1140" s="25">
        <v>297000</v>
      </c>
      <c r="AM1140" s="25">
        <v>50600</v>
      </c>
      <c r="AN1140" s="25">
        <v>246400</v>
      </c>
      <c r="AO1140" s="25">
        <v>0</v>
      </c>
      <c r="AP1140" s="25">
        <f>Lookups!$B$56*0</f>
        <v>0</v>
      </c>
      <c r="AQ1140" s="25">
        <f>Lookups!$B$56*1</f>
        <v>89850.625589999996</v>
      </c>
      <c r="AR1140" s="25">
        <f>Lookups!$B$57*Inventory[[#This Row],[LnAcres]]</f>
        <v>-58009.662049032086</v>
      </c>
      <c r="AS1140" s="25">
        <f>VLOOKUP(Inventory[[#This Row],[Qlty]],Lookups!$A$62:$E$75,2,FALSE)</f>
        <v>29814.093161000001</v>
      </c>
      <c r="AT1140" s="25">
        <f>VLOOKUP(Inventory[[#This Row],[Cnd]],Lookups!$A$76:$E$84,2,FALSE)</f>
        <v>160472.20319</v>
      </c>
      <c r="AU1140" s="25">
        <f>Inventory[[#This Row],[EffAge]]*Lookups!$B$85</f>
        <v>-11598.371226000001</v>
      </c>
      <c r="AV1140" s="25">
        <f>Inventory[[#This Row],[MainFn]]*Lookups!$B$86</f>
        <v>45258.341607332004</v>
      </c>
      <c r="AW1140" s="25">
        <f>Inventory[[#This Row],[UpprFn]]*Lookups!$B$87</f>
        <v>0</v>
      </c>
      <c r="AX1140" s="25">
        <f>Inventory[[#This Row],[AddFn]]*Lookups!$B$88</f>
        <v>0</v>
      </c>
      <c r="AY1140" s="25">
        <f>Inventory[[#This Row],[Bsmt]]*Lookups!$B$89</f>
        <v>26639.016046252</v>
      </c>
      <c r="AZ1140" s="25">
        <f>Inventory[[#This Row],[Fixtures]]*Lookups!$B$90</f>
        <v>18960.110526</v>
      </c>
      <c r="BA1140" s="25">
        <f>Inventory[[#This Row],[WdDeck]]*Lookups!$B$91</f>
        <v>0</v>
      </c>
      <c r="BB1140" s="25">
        <f>ROUND(Inventory[[#This Row],[25Det]],-2)</f>
        <v>5400</v>
      </c>
      <c r="BC1140" s="25">
        <f>ROUND(SUM(Inventory[[#This Row],[Mdl Qlty]:[Mdl WdDeck]])+Inventory[[#This Row],[Mdl Res Intercept]],-2)</f>
        <v>269500</v>
      </c>
      <c r="BD1140" s="25">
        <f>ROUND(Inventory[[#This Row],[Mdl Land Intercept]]+Inventory[[#This Row],[Mdl LnAcres]],-2)</f>
        <v>31800</v>
      </c>
      <c r="BE1140" s="25">
        <f>Inventory[[#This Row],[Unadj Res Value]]+Inventory[[#This Row],[Unadj Det Value]]+Inventory[[#This Row],[Unadj Land Value]]</f>
        <v>306700</v>
      </c>
      <c r="BF1140" s="36">
        <f>(Inventory[[#This Row],[Unadj Total Value]]-Inventory[[#This Row],[24Final]])/Inventory[[#This Row],[24Final]]</f>
        <v>3.265993265993266E-2</v>
      </c>
      <c r="BG1140" s="25">
        <f>VLOOKUP(Inventory[[#This Row],[Nbhd]],Lookups!$Q$2:$T$4,4,FALSE)</f>
        <v>0.99970000000000003</v>
      </c>
      <c r="BH1140" s="25">
        <f>VLOOKUP(Inventory[[#This Row],[Qlty]],Lookups!$O$7:$R$21,4,FALSE)</f>
        <v>1.0088999999999999</v>
      </c>
      <c r="BI1140" s="25">
        <f>VLOOKUP(Inventory[[#This Row],[Cnd]],Lookups!$T$7:$W$16,4,FALSE)</f>
        <v>0.99729999999999996</v>
      </c>
      <c r="BJ1140" s="25">
        <f>VLOOKUP(Inventory[[#This Row],[LivArea Range]],Lookups!$T$25:$W$37,4,FALSE)</f>
        <v>1.0093000000000001</v>
      </c>
      <c r="BK1140" s="25">
        <f>VLOOKUP(Inventory[[#This Row],[Decade]],Lookups!$O$25:$R$42,4,FALSE)</f>
        <v>0.995</v>
      </c>
      <c r="BL1140" s="25">
        <f>Inventory[[#This Row],[Nbhd Adj]]*0.95</f>
        <v>0.94971499999999998</v>
      </c>
      <c r="BM1140" s="25">
        <f>Inventory[[#This Row],[Nbhd Adj]]*Inventory[[#This Row],[Quality Adj]]*Inventory[[#This Row],[Condition Adj]]*Inventory[[#This Row],[Living Area Adj]]*Inventory[[#This Row],[Decade Adj]]*0.95</f>
        <v>0.9596449726282209</v>
      </c>
      <c r="BN1140" s="25">
        <f>ROUND(SUM(Inventory[[#This Row],[Mdl Qlty]:[Mdl WdDeck]])+Inventory[[#This Row],[Mdl Res Intercept]]*Inventory[[#This Row],[Res Adj ]],-2)</f>
        <v>269500</v>
      </c>
      <c r="BO1140" s="25">
        <f>ROUND(Inventory[[#This Row],[25Det]]*Inventory[[#This Row],[Det/Nbhd Adj]],-2)</f>
        <v>5200</v>
      </c>
      <c r="BP1140" s="25">
        <f>Inventory[[#This Row],[Adjusted Res]]+Inventory[[#This Row],[Adj Det ]]</f>
        <v>274700</v>
      </c>
      <c r="BQ1140" s="25">
        <f>ROUND((Inventory[[#This Row],[Mdl Land Intercept]]+Inventory[[#This Row],[Mdl LnAcres]])*Inventory[[#This Row],[Det/Nbhd Adj]],-2)</f>
        <v>30200</v>
      </c>
      <c r="BR1140" s="25">
        <f>Inventory[[#This Row],[Adjusted Impr Total]]+Inventory[[#This Row],[Adjusted Land Total]]</f>
        <v>304900</v>
      </c>
      <c r="BS1140" s="36">
        <f>IFERROR((Inventory[[#This Row],[Adjusted Impr Total]]-Inventory[[#This Row],[24Bldg]])/Inventory[[#This Row],[24Bldg]],0)</f>
        <v>0.1148538961038961</v>
      </c>
      <c r="BT1140" s="36">
        <f>(Inventory[[#This Row],[Adjusted Land Total]]-Inventory[[#This Row],[24Lnd]])/Inventory[[#This Row],[24Lnd]]</f>
        <v>-0.40316205533596838</v>
      </c>
      <c r="BU1140" s="36">
        <f>(Inventory[[#This Row],[Adjusted Total]]-Inventory[[#This Row],[24Final]])/Inventory[[#This Row],[24Final]]</f>
        <v>2.6599326599326598E-2</v>
      </c>
    </row>
    <row r="1141" spans="1:73" x14ac:dyDescent="0.3">
      <c r="A1141" s="25">
        <v>2025</v>
      </c>
      <c r="B1141" s="26" t="s">
        <v>1937</v>
      </c>
      <c r="C1141" s="26">
        <f>LN(Inventory[[#This Row],[Acres]])</f>
        <v>-1.5141277326297755</v>
      </c>
      <c r="D1141" s="25">
        <v>0.22</v>
      </c>
      <c r="E1141" s="27"/>
      <c r="F1141" s="26" t="s">
        <v>537</v>
      </c>
      <c r="G1141" s="26" t="s">
        <v>126</v>
      </c>
      <c r="H1141" s="26" t="s">
        <v>349</v>
      </c>
      <c r="I1141" s="26" t="s">
        <v>538</v>
      </c>
      <c r="J1141" s="26" t="s">
        <v>539</v>
      </c>
      <c r="K1141" s="26" t="s">
        <v>242</v>
      </c>
      <c r="L1141" s="26" t="s">
        <v>148</v>
      </c>
      <c r="M1141" s="26" t="s">
        <v>323</v>
      </c>
      <c r="N1141" s="26">
        <v>80</v>
      </c>
      <c r="O1141" s="26">
        <f>2024-Inventory[[#This Row],[YrBlt]]</f>
        <v>79</v>
      </c>
      <c r="P1141" s="26">
        <f>2024-Inventory[[#This Row],[EffYr]]</f>
        <v>52</v>
      </c>
      <c r="Q1141" s="25">
        <v>1945</v>
      </c>
      <c r="R1141" s="25">
        <v>1972</v>
      </c>
      <c r="S1141" s="25">
        <v>1244</v>
      </c>
      <c r="T1141" s="27"/>
      <c r="U1141" s="25">
        <v>1244</v>
      </c>
      <c r="V1141" s="25">
        <f>Inventory[[#This Row],[Bsmt]]-Inventory[[#This Row],[FnBsmt]]</f>
        <v>444</v>
      </c>
      <c r="W1141" s="25">
        <v>800</v>
      </c>
      <c r="X1141" s="27"/>
      <c r="Y1141" s="27">
        <f>Inventory[[#This Row],[MainFn]]+Inventory[[#This Row],[UpprFn]]+Inventory[[#This Row],[FnBsmt]]+Inventory[[#This Row],[AddFn]]</f>
        <v>2044</v>
      </c>
      <c r="Z1141" s="27">
        <v>2500</v>
      </c>
      <c r="AA1141" s="25">
        <v>9</v>
      </c>
      <c r="AB1141" s="27"/>
      <c r="AC1141" s="27"/>
      <c r="AD1141" s="27"/>
      <c r="AE1141" s="27"/>
      <c r="AF1141" s="27"/>
      <c r="AG1141" s="27"/>
      <c r="AH1141" s="27"/>
      <c r="AI1141" s="25">
        <v>406292</v>
      </c>
      <c r="AJ1141" s="25">
        <v>276279</v>
      </c>
      <c r="AK1141" s="25">
        <v>11351</v>
      </c>
      <c r="AL1141" s="25">
        <v>366200</v>
      </c>
      <c r="AM1141" s="25">
        <v>61700</v>
      </c>
      <c r="AN1141" s="25">
        <v>304500</v>
      </c>
      <c r="AO1141" s="25">
        <v>0</v>
      </c>
      <c r="AP1141" s="25">
        <f>Lookups!$B$56*0</f>
        <v>0</v>
      </c>
      <c r="AQ1141" s="25">
        <f>Lookups!$B$56*1</f>
        <v>89850.625589999996</v>
      </c>
      <c r="AR1141" s="25">
        <f>Lookups!$B$57*Inventory[[#This Row],[LnAcres]]</f>
        <v>-47929.131559187132</v>
      </c>
      <c r="AS1141" s="25">
        <f>VLOOKUP(Inventory[[#This Row],[Qlty]],Lookups!$A$62:$E$75,2,FALSE)</f>
        <v>44121.038090000002</v>
      </c>
      <c r="AT1141" s="25">
        <f>VLOOKUP(Inventory[[#This Row],[Cnd]],Lookups!$A$76:$E$84,2,FALSE)</f>
        <v>160472.20319</v>
      </c>
      <c r="AU1141" s="25">
        <f>Inventory[[#This Row],[EffAge]]*Lookups!$B$85</f>
        <v>-11598.371226000001</v>
      </c>
      <c r="AV1141" s="25">
        <f>Inventory[[#This Row],[MainFn]]*Lookups!$B$86</f>
        <v>61464.385326987998</v>
      </c>
      <c r="AW1141" s="25">
        <f>Inventory[[#This Row],[UpprFn]]*Lookups!$B$87</f>
        <v>0</v>
      </c>
      <c r="AX1141" s="25">
        <f>Inventory[[#This Row],[AddFn]]*Lookups!$B$88</f>
        <v>0</v>
      </c>
      <c r="AY1141" s="25">
        <f>Inventory[[#This Row],[Bsmt]]*Lookups!$B$89</f>
        <v>36177.877687267995</v>
      </c>
      <c r="AZ1141" s="25">
        <f>Inventory[[#This Row],[Fixtures]]*Lookups!$B$90</f>
        <v>34128.198946800003</v>
      </c>
      <c r="BA1141" s="25">
        <f>Inventory[[#This Row],[WdDeck]]*Lookups!$B$91</f>
        <v>0</v>
      </c>
      <c r="BB1141" s="25">
        <f>ROUND(Inventory[[#This Row],[25Det]],-2)</f>
        <v>11400</v>
      </c>
      <c r="BC1141" s="25">
        <f>ROUND(SUM(Inventory[[#This Row],[Mdl Qlty]:[Mdl WdDeck]])+Inventory[[#This Row],[Mdl Res Intercept]],-2)</f>
        <v>324800</v>
      </c>
      <c r="BD1141" s="25">
        <f>ROUND(Inventory[[#This Row],[Mdl Land Intercept]]+Inventory[[#This Row],[Mdl LnAcres]],-2)</f>
        <v>41900</v>
      </c>
      <c r="BE1141" s="25">
        <f>Inventory[[#This Row],[Unadj Res Value]]+Inventory[[#This Row],[Unadj Det Value]]+Inventory[[#This Row],[Unadj Land Value]]</f>
        <v>378100</v>
      </c>
      <c r="BF1141" s="36">
        <f>(Inventory[[#This Row],[Unadj Total Value]]-Inventory[[#This Row],[24Final]])/Inventory[[#This Row],[24Final]]</f>
        <v>3.2495903877662477E-2</v>
      </c>
      <c r="BG1141" s="25">
        <f>VLOOKUP(Inventory[[#This Row],[Nbhd]],Lookups!$Q$2:$T$4,4,FALSE)</f>
        <v>0.99970000000000003</v>
      </c>
      <c r="BH1141" s="25">
        <f>VLOOKUP(Inventory[[#This Row],[Qlty]],Lookups!$O$7:$R$21,4,FALSE)</f>
        <v>0.98050000000000004</v>
      </c>
      <c r="BI1141" s="25">
        <f>VLOOKUP(Inventory[[#This Row],[Cnd]],Lookups!$T$7:$W$16,4,FALSE)</f>
        <v>0.99729999999999996</v>
      </c>
      <c r="BJ1141" s="25">
        <f>VLOOKUP(Inventory[[#This Row],[LivArea Range]],Lookups!$T$25:$W$37,4,FALSE)</f>
        <v>0.98919999999999997</v>
      </c>
      <c r="BK1141" s="25">
        <f>VLOOKUP(Inventory[[#This Row],[Decade]],Lookups!$O$25:$R$42,4,FALSE)</f>
        <v>0.995</v>
      </c>
      <c r="BL1141" s="25">
        <f>Inventory[[#This Row],[Nbhd Adj]]*0.95</f>
        <v>0.94971499999999998</v>
      </c>
      <c r="BM1141" s="25">
        <f>Inventory[[#This Row],[Nbhd Adj]]*Inventory[[#This Row],[Quality Adj]]*Inventory[[#This Row],[Condition Adj]]*Inventory[[#This Row],[Living Area Adj]]*Inventory[[#This Row],[Decade Adj]]*0.95</f>
        <v>0.91405831328052556</v>
      </c>
      <c r="BN1141" s="25">
        <f>ROUND(SUM(Inventory[[#This Row],[Mdl Qlty]:[Mdl WdDeck]])+Inventory[[#This Row],[Mdl Res Intercept]]*Inventory[[#This Row],[Res Adj ]],-2)</f>
        <v>324800</v>
      </c>
      <c r="BO1141" s="25">
        <f>ROUND(Inventory[[#This Row],[25Det]]*Inventory[[#This Row],[Det/Nbhd Adj]],-2)</f>
        <v>10800</v>
      </c>
      <c r="BP1141" s="25">
        <f>Inventory[[#This Row],[Adjusted Res]]+Inventory[[#This Row],[Adj Det ]]</f>
        <v>335600</v>
      </c>
      <c r="BQ1141" s="25">
        <f>ROUND((Inventory[[#This Row],[Mdl Land Intercept]]+Inventory[[#This Row],[Mdl LnAcres]])*Inventory[[#This Row],[Det/Nbhd Adj]],-2)</f>
        <v>39800</v>
      </c>
      <c r="BR1141" s="25">
        <f>Inventory[[#This Row],[Adjusted Impr Total]]+Inventory[[#This Row],[Adjusted Land Total]]</f>
        <v>375400</v>
      </c>
      <c r="BS1141" s="36">
        <f>IFERROR((Inventory[[#This Row],[Adjusted Impr Total]]-Inventory[[#This Row],[24Bldg]])/Inventory[[#This Row],[24Bldg]],0)</f>
        <v>0.10213464696223316</v>
      </c>
      <c r="BT1141" s="36">
        <f>(Inventory[[#This Row],[Adjusted Land Total]]-Inventory[[#This Row],[24Lnd]])/Inventory[[#This Row],[24Lnd]]</f>
        <v>-0.35494327390599678</v>
      </c>
      <c r="BU1141" s="36">
        <f>(Inventory[[#This Row],[Adjusted Total]]-Inventory[[#This Row],[24Final]])/Inventory[[#This Row],[24Final]]</f>
        <v>2.5122883670125613E-2</v>
      </c>
    </row>
    <row r="1142" spans="1:73" x14ac:dyDescent="0.3">
      <c r="A1142" s="25">
        <v>2025</v>
      </c>
      <c r="B1142" s="26" t="s">
        <v>2009</v>
      </c>
      <c r="C1142" s="26">
        <f>LN(Inventory[[#This Row],[Acres]])</f>
        <v>-0.94160853985844495</v>
      </c>
      <c r="D1142" s="25">
        <v>0.39</v>
      </c>
      <c r="E1142" s="25">
        <v>16958</v>
      </c>
      <c r="F1142" s="26" t="s">
        <v>537</v>
      </c>
      <c r="G1142" s="26" t="s">
        <v>126</v>
      </c>
      <c r="H1142" s="26" t="s">
        <v>349</v>
      </c>
      <c r="I1142" s="26" t="s">
        <v>538</v>
      </c>
      <c r="J1142" s="26" t="s">
        <v>539</v>
      </c>
      <c r="K1142" s="26" t="s">
        <v>147</v>
      </c>
      <c r="L1142" s="26" t="s">
        <v>302</v>
      </c>
      <c r="M1142" s="26" t="s">
        <v>323</v>
      </c>
      <c r="N1142" s="26">
        <v>80</v>
      </c>
      <c r="O1142" s="26">
        <f>2024-Inventory[[#This Row],[YrBlt]]</f>
        <v>79</v>
      </c>
      <c r="P1142" s="26">
        <f>2024-Inventory[[#This Row],[EffYr]]</f>
        <v>52</v>
      </c>
      <c r="Q1142" s="25">
        <v>1945</v>
      </c>
      <c r="R1142" s="25">
        <v>1972</v>
      </c>
      <c r="S1142" s="25">
        <v>1200</v>
      </c>
      <c r="T1142" s="32">
        <v>871</v>
      </c>
      <c r="U1142" s="25">
        <v>940</v>
      </c>
      <c r="V1142" s="25">
        <f>Inventory[[#This Row],[Bsmt]]-Inventory[[#This Row],[FnBsmt]]</f>
        <v>0</v>
      </c>
      <c r="W1142" s="25">
        <v>940</v>
      </c>
      <c r="X1142" s="27"/>
      <c r="Y1142" s="27">
        <f>Inventory[[#This Row],[MainFn]]+Inventory[[#This Row],[UpprFn]]+Inventory[[#This Row],[FnBsmt]]+Inventory[[#This Row],[AddFn]]</f>
        <v>3011</v>
      </c>
      <c r="Z1142" s="27">
        <v>3500</v>
      </c>
      <c r="AA1142" s="25">
        <v>9</v>
      </c>
      <c r="AB1142" s="27"/>
      <c r="AC1142" s="31"/>
      <c r="AD1142" s="32">
        <v>192</v>
      </c>
      <c r="AE1142" s="27"/>
      <c r="AF1142" s="27"/>
      <c r="AG1142" s="27"/>
      <c r="AH1142" s="27"/>
      <c r="AI1142" s="25">
        <v>444528</v>
      </c>
      <c r="AJ1142" s="25">
        <v>302279</v>
      </c>
      <c r="AK1142" s="25">
        <v>18298</v>
      </c>
      <c r="AL1142" s="25">
        <v>409000</v>
      </c>
      <c r="AM1142" s="25">
        <v>81700</v>
      </c>
      <c r="AN1142" s="25">
        <v>327300</v>
      </c>
      <c r="AO1142" s="25">
        <v>0</v>
      </c>
      <c r="AP1142" s="25">
        <f>Lookups!$B$56*0</f>
        <v>0</v>
      </c>
      <c r="AQ1142" s="25">
        <f>Lookups!$B$56*1</f>
        <v>89850.625589999996</v>
      </c>
      <c r="AR1142" s="25">
        <f>Lookups!$B$57*Inventory[[#This Row],[LnAcres]]</f>
        <v>-29806.256507663158</v>
      </c>
      <c r="AS1142" s="25">
        <f>VLOOKUP(Inventory[[#This Row],[Qlty]],Lookups!$A$62:$E$75,2,FALSE)</f>
        <v>29814.093161000001</v>
      </c>
      <c r="AT1142" s="25">
        <f>VLOOKUP(Inventory[[#This Row],[Cnd]],Lookups!$A$76:$E$84,2,FALSE)</f>
        <v>160472.20319</v>
      </c>
      <c r="AU1142" s="25">
        <f>Inventory[[#This Row],[EffAge]]*Lookups!$B$85</f>
        <v>-11598.371226000001</v>
      </c>
      <c r="AV1142" s="25">
        <f>Inventory[[#This Row],[MainFn]]*Lookups!$B$86</f>
        <v>59290.403852399999</v>
      </c>
      <c r="AW1142" s="25">
        <f>Inventory[[#This Row],[UpprFn]]*Lookups!$B$87</f>
        <v>39008.974311931001</v>
      </c>
      <c r="AX1142" s="25">
        <f>Inventory[[#This Row],[AddFn]]*Lookups!$B$88</f>
        <v>0</v>
      </c>
      <c r="AY1142" s="25">
        <f>Inventory[[#This Row],[Bsmt]]*Lookups!$B$89</f>
        <v>27336.981532179998</v>
      </c>
      <c r="AZ1142" s="25">
        <f>Inventory[[#This Row],[Fixtures]]*Lookups!$B$90</f>
        <v>34128.198946800003</v>
      </c>
      <c r="BA1142" s="25">
        <f>Inventory[[#This Row],[WdDeck]]*Lookups!$B$91</f>
        <v>6392.7389329920006</v>
      </c>
      <c r="BB1142" s="25">
        <f>ROUND(Inventory[[#This Row],[25Det]],-2)</f>
        <v>18300</v>
      </c>
      <c r="BC1142" s="25">
        <f>ROUND(SUM(Inventory[[#This Row],[Mdl Qlty]:[Mdl WdDeck]])+Inventory[[#This Row],[Mdl Res Intercept]],-2)</f>
        <v>344800</v>
      </c>
      <c r="BD1142" s="25">
        <f>ROUND(Inventory[[#This Row],[Mdl Land Intercept]]+Inventory[[#This Row],[Mdl LnAcres]],-2)</f>
        <v>60000</v>
      </c>
      <c r="BE1142" s="25">
        <f>Inventory[[#This Row],[Unadj Res Value]]+Inventory[[#This Row],[Unadj Det Value]]+Inventory[[#This Row],[Unadj Land Value]]</f>
        <v>423100</v>
      </c>
      <c r="BF1142" s="36">
        <f>(Inventory[[#This Row],[Unadj Total Value]]-Inventory[[#This Row],[24Final]])/Inventory[[#This Row],[24Final]]</f>
        <v>3.4474327628361862E-2</v>
      </c>
      <c r="BG1142" s="25">
        <f>VLOOKUP(Inventory[[#This Row],[Nbhd]],Lookups!$Q$2:$T$4,4,FALSE)</f>
        <v>0.99970000000000003</v>
      </c>
      <c r="BH1142" s="25">
        <f>VLOOKUP(Inventory[[#This Row],[Qlty]],Lookups!$O$7:$R$21,4,FALSE)</f>
        <v>1.0088999999999999</v>
      </c>
      <c r="BI1142" s="25">
        <f>VLOOKUP(Inventory[[#This Row],[Cnd]],Lookups!$T$7:$W$16,4,FALSE)</f>
        <v>0.99729999999999996</v>
      </c>
      <c r="BJ1142" s="25">
        <f>VLOOKUP(Inventory[[#This Row],[LivArea Range]],Lookups!$T$25:$W$37,4,FALSE)</f>
        <v>1.0126999999999999</v>
      </c>
      <c r="BK1142" s="25">
        <f>VLOOKUP(Inventory[[#This Row],[Decade]],Lookups!$O$25:$R$42,4,FALSE)</f>
        <v>0.995</v>
      </c>
      <c r="BL1142" s="25">
        <f>Inventory[[#This Row],[Nbhd Adj]]*0.95</f>
        <v>0.94971499999999998</v>
      </c>
      <c r="BM1142" s="25">
        <f>Inventory[[#This Row],[Nbhd Adj]]*Inventory[[#This Row],[Quality Adj]]*Inventory[[#This Row],[Condition Adj]]*Inventory[[#This Row],[Living Area Adj]]*Inventory[[#This Row],[Decade Adj]]*0.95</f>
        <v>0.96287770115981319</v>
      </c>
      <c r="BN1142" s="25">
        <f>ROUND(SUM(Inventory[[#This Row],[Mdl Qlty]:[Mdl WdDeck]])+Inventory[[#This Row],[Mdl Res Intercept]]*Inventory[[#This Row],[Res Adj ]],-2)</f>
        <v>344800</v>
      </c>
      <c r="BO1142" s="25">
        <f>ROUND(Inventory[[#This Row],[25Det]]*Inventory[[#This Row],[Det/Nbhd Adj]],-2)</f>
        <v>17400</v>
      </c>
      <c r="BP1142" s="25">
        <f>Inventory[[#This Row],[Adjusted Res]]+Inventory[[#This Row],[Adj Det ]]</f>
        <v>362200</v>
      </c>
      <c r="BQ1142" s="25">
        <f>ROUND((Inventory[[#This Row],[Mdl Land Intercept]]+Inventory[[#This Row],[Mdl LnAcres]])*Inventory[[#This Row],[Det/Nbhd Adj]],-2)</f>
        <v>57000</v>
      </c>
      <c r="BR1142" s="25">
        <f>Inventory[[#This Row],[Adjusted Impr Total]]+Inventory[[#This Row],[Adjusted Land Total]]</f>
        <v>419200</v>
      </c>
      <c r="BS1142" s="36">
        <f>IFERROR((Inventory[[#This Row],[Adjusted Impr Total]]-Inventory[[#This Row],[24Bldg]])/Inventory[[#This Row],[24Bldg]],0)</f>
        <v>0.10663000305530095</v>
      </c>
      <c r="BT1142" s="36">
        <f>(Inventory[[#This Row],[Adjusted Land Total]]-Inventory[[#This Row],[24Lnd]])/Inventory[[#This Row],[24Lnd]]</f>
        <v>-0.30232558139534882</v>
      </c>
      <c r="BU1142" s="36">
        <f>(Inventory[[#This Row],[Adjusted Total]]-Inventory[[#This Row],[24Final]])/Inventory[[#This Row],[24Final]]</f>
        <v>2.493887530562347E-2</v>
      </c>
    </row>
    <row r="1143" spans="1:73" x14ac:dyDescent="0.3">
      <c r="A1143" s="25">
        <v>2025</v>
      </c>
      <c r="B1143" s="26" t="s">
        <v>1414</v>
      </c>
      <c r="C1143" s="26">
        <f>LN(Inventory[[#This Row],[Acres]])</f>
        <v>-1.5606477482646683</v>
      </c>
      <c r="D1143" s="25">
        <v>0.21</v>
      </c>
      <c r="E1143" s="25">
        <v>9202</v>
      </c>
      <c r="F1143" s="26" t="s">
        <v>537</v>
      </c>
      <c r="G1143" s="26" t="s">
        <v>126</v>
      </c>
      <c r="H1143" s="26" t="s">
        <v>349</v>
      </c>
      <c r="I1143" s="26" t="s">
        <v>538</v>
      </c>
      <c r="J1143" s="26" t="s">
        <v>539</v>
      </c>
      <c r="K1143" s="26" t="s">
        <v>242</v>
      </c>
      <c r="L1143" s="26" t="s">
        <v>351</v>
      </c>
      <c r="M1143" s="26" t="s">
        <v>323</v>
      </c>
      <c r="N1143" s="26">
        <v>80</v>
      </c>
      <c r="O1143" s="26">
        <f>2024-Inventory[[#This Row],[YrBlt]]</f>
        <v>79</v>
      </c>
      <c r="P1143" s="26">
        <f>2024-Inventory[[#This Row],[EffYr]]</f>
        <v>52</v>
      </c>
      <c r="Q1143" s="25">
        <v>1945</v>
      </c>
      <c r="R1143" s="25">
        <v>1972</v>
      </c>
      <c r="S1143" s="25">
        <v>2700</v>
      </c>
      <c r="T1143" s="27"/>
      <c r="U1143" s="25">
        <v>540</v>
      </c>
      <c r="V1143" s="25">
        <f>Inventory[[#This Row],[Bsmt]]-Inventory[[#This Row],[FnBsmt]]</f>
        <v>540</v>
      </c>
      <c r="W1143" s="31"/>
      <c r="X1143" s="27"/>
      <c r="Y1143" s="27">
        <f>Inventory[[#This Row],[MainFn]]+Inventory[[#This Row],[UpprFn]]+Inventory[[#This Row],[FnBsmt]]+Inventory[[#This Row],[AddFn]]</f>
        <v>2700</v>
      </c>
      <c r="Z1143" s="27">
        <v>3000</v>
      </c>
      <c r="AA1143" s="25">
        <v>6</v>
      </c>
      <c r="AB1143" s="31"/>
      <c r="AC1143" s="27"/>
      <c r="AD1143" s="31"/>
      <c r="AE1143" s="27"/>
      <c r="AF1143" s="27"/>
      <c r="AG1143" s="27"/>
      <c r="AH1143" s="27"/>
      <c r="AI1143" s="25">
        <v>398294</v>
      </c>
      <c r="AJ1143" s="25">
        <v>270840</v>
      </c>
      <c r="AK1143" s="25">
        <v>0</v>
      </c>
      <c r="AL1143" s="25">
        <v>373100</v>
      </c>
      <c r="AM1143" s="25">
        <v>60100</v>
      </c>
      <c r="AN1143" s="25">
        <v>313000</v>
      </c>
      <c r="AO1143" s="25">
        <v>0</v>
      </c>
      <c r="AP1143" s="25">
        <f>Lookups!$B$56*0</f>
        <v>0</v>
      </c>
      <c r="AQ1143" s="25">
        <f>Lookups!$B$56*1</f>
        <v>89850.625589999996</v>
      </c>
      <c r="AR1143" s="25">
        <f>Lookups!$B$57*Inventory[[#This Row],[LnAcres]]</f>
        <v>-49401.70477837498</v>
      </c>
      <c r="AS1143" s="25">
        <f>VLOOKUP(Inventory[[#This Row],[Qlty]],Lookups!$A$62:$E$75,2,FALSE)</f>
        <v>21557.329055999999</v>
      </c>
      <c r="AT1143" s="25">
        <f>VLOOKUP(Inventory[[#This Row],[Cnd]],Lookups!$A$76:$E$84,2,FALSE)</f>
        <v>160472.20319</v>
      </c>
      <c r="AU1143" s="25">
        <f>Inventory[[#This Row],[EffAge]]*Lookups!$B$85</f>
        <v>-11598.371226000001</v>
      </c>
      <c r="AV1143" s="25">
        <f>Inventory[[#This Row],[MainFn]]*Lookups!$B$86</f>
        <v>133403.40866790002</v>
      </c>
      <c r="AW1143" s="25">
        <f>Inventory[[#This Row],[UpprFn]]*Lookups!$B$87</f>
        <v>0</v>
      </c>
      <c r="AX1143" s="25">
        <f>Inventory[[#This Row],[AddFn]]*Lookups!$B$88</f>
        <v>0</v>
      </c>
      <c r="AY1143" s="25">
        <f>Inventory[[#This Row],[Bsmt]]*Lookups!$B$89</f>
        <v>15704.223433379999</v>
      </c>
      <c r="AZ1143" s="25">
        <f>Inventory[[#This Row],[Fixtures]]*Lookups!$B$90</f>
        <v>22752.132631200002</v>
      </c>
      <c r="BA1143" s="25">
        <f>Inventory[[#This Row],[WdDeck]]*Lookups!$B$91</f>
        <v>0</v>
      </c>
      <c r="BB1143" s="25">
        <f>ROUND(Inventory[[#This Row],[25Det]],-2)</f>
        <v>0</v>
      </c>
      <c r="BC1143" s="25">
        <f>ROUND(SUM(Inventory[[#This Row],[Mdl Qlty]:[Mdl WdDeck]])+Inventory[[#This Row],[Mdl Res Intercept]],-2)</f>
        <v>342300</v>
      </c>
      <c r="BD1143" s="25">
        <f>ROUND(Inventory[[#This Row],[Mdl Land Intercept]]+Inventory[[#This Row],[Mdl LnAcres]],-2)</f>
        <v>40400</v>
      </c>
      <c r="BE1143" s="25">
        <f>Inventory[[#This Row],[Unadj Res Value]]+Inventory[[#This Row],[Unadj Det Value]]+Inventory[[#This Row],[Unadj Land Value]]</f>
        <v>382700</v>
      </c>
      <c r="BF1143" s="36">
        <f>(Inventory[[#This Row],[Unadj Total Value]]-Inventory[[#This Row],[24Final]])/Inventory[[#This Row],[24Final]]</f>
        <v>2.5730367193781828E-2</v>
      </c>
      <c r="BG1143" s="25">
        <f>VLOOKUP(Inventory[[#This Row],[Nbhd]],Lookups!$Q$2:$T$4,4,FALSE)</f>
        <v>0.99970000000000003</v>
      </c>
      <c r="BH1143" s="25">
        <f>VLOOKUP(Inventory[[#This Row],[Qlty]],Lookups!$O$7:$R$21,4,FALSE)</f>
        <v>1.0067999999999999</v>
      </c>
      <c r="BI1143" s="25">
        <f>VLOOKUP(Inventory[[#This Row],[Cnd]],Lookups!$T$7:$W$16,4,FALSE)</f>
        <v>0.99729999999999996</v>
      </c>
      <c r="BJ1143" s="25">
        <f>VLOOKUP(Inventory[[#This Row],[LivArea Range]],Lookups!$T$25:$W$37,4,FALSE)</f>
        <v>0.96179999999999999</v>
      </c>
      <c r="BK1143" s="25">
        <f>VLOOKUP(Inventory[[#This Row],[Decade]],Lookups!$O$25:$R$42,4,FALSE)</f>
        <v>0.995</v>
      </c>
      <c r="BL1143" s="25">
        <f>Inventory[[#This Row],[Nbhd Adj]]*0.95</f>
        <v>0.94971499999999998</v>
      </c>
      <c r="BM1143" s="25">
        <f>Inventory[[#This Row],[Nbhd Adj]]*Inventory[[#This Row],[Quality Adj]]*Inventory[[#This Row],[Condition Adj]]*Inventory[[#This Row],[Living Area Adj]]*Inventory[[#This Row],[Decade Adj]]*0.95</f>
        <v>0.91257838243654554</v>
      </c>
      <c r="BN1143" s="25">
        <f>ROUND(SUM(Inventory[[#This Row],[Mdl Qlty]:[Mdl WdDeck]])+Inventory[[#This Row],[Mdl Res Intercept]]*Inventory[[#This Row],[Res Adj ]],-2)</f>
        <v>342300</v>
      </c>
      <c r="BO1143" s="25">
        <f>ROUND(Inventory[[#This Row],[25Det]]*Inventory[[#This Row],[Det/Nbhd Adj]],-2)</f>
        <v>0</v>
      </c>
      <c r="BP1143" s="25">
        <f>Inventory[[#This Row],[Adjusted Res]]+Inventory[[#This Row],[Adj Det ]]</f>
        <v>342300</v>
      </c>
      <c r="BQ1143" s="25">
        <f>ROUND((Inventory[[#This Row],[Mdl Land Intercept]]+Inventory[[#This Row],[Mdl LnAcres]])*Inventory[[#This Row],[Det/Nbhd Adj]],-2)</f>
        <v>38400</v>
      </c>
      <c r="BR1143" s="25">
        <f>Inventory[[#This Row],[Adjusted Impr Total]]+Inventory[[#This Row],[Adjusted Land Total]]</f>
        <v>380700</v>
      </c>
      <c r="BS1143" s="36">
        <f>IFERROR((Inventory[[#This Row],[Adjusted Impr Total]]-Inventory[[#This Row],[24Bldg]])/Inventory[[#This Row],[24Bldg]],0)</f>
        <v>9.361022364217253E-2</v>
      </c>
      <c r="BT1143" s="36">
        <f>(Inventory[[#This Row],[Adjusted Land Total]]-Inventory[[#This Row],[24Lnd]])/Inventory[[#This Row],[24Lnd]]</f>
        <v>-0.36106489184692181</v>
      </c>
      <c r="BU1143" s="36">
        <f>(Inventory[[#This Row],[Adjusted Total]]-Inventory[[#This Row],[24Final]])/Inventory[[#This Row],[24Final]]</f>
        <v>2.0369874028410614E-2</v>
      </c>
    </row>
    <row r="1144" spans="1:73" x14ac:dyDescent="0.3">
      <c r="A1144" s="25">
        <v>2025</v>
      </c>
      <c r="B1144" s="26" t="s">
        <v>794</v>
      </c>
      <c r="C1144" s="26">
        <f>LN(Inventory[[#This Row],[Acres]])</f>
        <v>-1.6607312068216509</v>
      </c>
      <c r="D1144" s="25">
        <v>0.19</v>
      </c>
      <c r="E1144" s="25">
        <v>8391</v>
      </c>
      <c r="F1144" s="26" t="s">
        <v>537</v>
      </c>
      <c r="G1144" s="26" t="s">
        <v>126</v>
      </c>
      <c r="H1144" s="26" t="s">
        <v>349</v>
      </c>
      <c r="I1144" s="26" t="s">
        <v>538</v>
      </c>
      <c r="J1144" s="26" t="s">
        <v>539</v>
      </c>
      <c r="K1144" s="26" t="s">
        <v>241</v>
      </c>
      <c r="L1144" s="26" t="s">
        <v>351</v>
      </c>
      <c r="M1144" s="26" t="s">
        <v>206</v>
      </c>
      <c r="N1144" s="26">
        <v>80</v>
      </c>
      <c r="O1144" s="26">
        <f>2024-Inventory[[#This Row],[YrBlt]]</f>
        <v>79</v>
      </c>
      <c r="P1144" s="26">
        <f>2024-Inventory[[#This Row],[EffYr]]</f>
        <v>52</v>
      </c>
      <c r="Q1144" s="25">
        <v>1945</v>
      </c>
      <c r="R1144" s="25">
        <v>1972</v>
      </c>
      <c r="S1144" s="25">
        <v>1054</v>
      </c>
      <c r="T1144" s="27"/>
      <c r="U1144" s="32">
        <v>1054</v>
      </c>
      <c r="V1144" s="32">
        <f>Inventory[[#This Row],[Bsmt]]-Inventory[[#This Row],[FnBsmt]]</f>
        <v>54</v>
      </c>
      <c r="W1144" s="32">
        <v>1000</v>
      </c>
      <c r="X1144" s="27"/>
      <c r="Y1144" s="27">
        <f>Inventory[[#This Row],[MainFn]]+Inventory[[#This Row],[UpprFn]]+Inventory[[#This Row],[FnBsmt]]+Inventory[[#This Row],[AddFn]]</f>
        <v>2054</v>
      </c>
      <c r="Z1144" s="27">
        <v>2500</v>
      </c>
      <c r="AA1144" s="25">
        <v>8</v>
      </c>
      <c r="AB1144" s="31"/>
      <c r="AC1144" s="27"/>
      <c r="AD1144" s="27"/>
      <c r="AE1144" s="27"/>
      <c r="AF1144" s="27"/>
      <c r="AG1144" s="27"/>
      <c r="AH1144" s="27"/>
      <c r="AI1144" s="25">
        <v>285056</v>
      </c>
      <c r="AJ1144" s="25">
        <v>188137</v>
      </c>
      <c r="AK1144" s="25">
        <v>0</v>
      </c>
      <c r="AL1144" s="25">
        <v>286500</v>
      </c>
      <c r="AM1144" s="25">
        <v>56600</v>
      </c>
      <c r="AN1144" s="25">
        <v>229900</v>
      </c>
      <c r="AO1144" s="25">
        <v>0</v>
      </c>
      <c r="AP1144" s="25">
        <f>Lookups!$B$56*0</f>
        <v>0</v>
      </c>
      <c r="AQ1144" s="25">
        <f>Lookups!$B$56*1</f>
        <v>89850.625589999996</v>
      </c>
      <c r="AR1144" s="25">
        <f>Lookups!$B$57*Inventory[[#This Row],[LnAcres]]</f>
        <v>-52569.808201026557</v>
      </c>
      <c r="AS1144" s="25">
        <f>VLOOKUP(Inventory[[#This Row],[Qlty]],Lookups!$A$62:$E$75,2,FALSE)</f>
        <v>21557.329055999999</v>
      </c>
      <c r="AT1144" s="25">
        <f>VLOOKUP(Inventory[[#This Row],[Cnd]],Lookups!$A$76:$E$84,2,FALSE)</f>
        <v>133714.53821</v>
      </c>
      <c r="AU1144" s="25">
        <f>Inventory[[#This Row],[EffAge]]*Lookups!$B$85</f>
        <v>-11598.371226000001</v>
      </c>
      <c r="AV1144" s="25">
        <f>Inventory[[#This Row],[MainFn]]*Lookups!$B$86</f>
        <v>52076.738050357999</v>
      </c>
      <c r="AW1144" s="25">
        <f>Inventory[[#This Row],[UpprFn]]*Lookups!$B$87</f>
        <v>0</v>
      </c>
      <c r="AX1144" s="25">
        <f>Inventory[[#This Row],[AddFn]]*Lookups!$B$88</f>
        <v>0</v>
      </c>
      <c r="AY1144" s="25">
        <f>Inventory[[#This Row],[Bsmt]]*Lookups!$B$89</f>
        <v>30652.317590338</v>
      </c>
      <c r="AZ1144" s="25">
        <f>Inventory[[#This Row],[Fixtures]]*Lookups!$B$90</f>
        <v>30336.176841600001</v>
      </c>
      <c r="BA1144" s="25">
        <f>Inventory[[#This Row],[WdDeck]]*Lookups!$B$91</f>
        <v>0</v>
      </c>
      <c r="BB1144" s="25">
        <f>ROUND(Inventory[[#This Row],[25Det]],-2)</f>
        <v>0</v>
      </c>
      <c r="BC1144" s="25">
        <f>ROUND(SUM(Inventory[[#This Row],[Mdl Qlty]:[Mdl WdDeck]])+Inventory[[#This Row],[Mdl Res Intercept]],-2)</f>
        <v>256700</v>
      </c>
      <c r="BD1144" s="25">
        <f>ROUND(Inventory[[#This Row],[Mdl Land Intercept]]+Inventory[[#This Row],[Mdl LnAcres]],-2)</f>
        <v>37300</v>
      </c>
      <c r="BE1144" s="25">
        <f>Inventory[[#This Row],[Unadj Res Value]]+Inventory[[#This Row],[Unadj Det Value]]+Inventory[[#This Row],[Unadj Land Value]]</f>
        <v>294000</v>
      </c>
      <c r="BF1144" s="36">
        <f>(Inventory[[#This Row],[Unadj Total Value]]-Inventory[[#This Row],[24Final]])/Inventory[[#This Row],[24Final]]</f>
        <v>2.6178010471204188E-2</v>
      </c>
      <c r="BG1144" s="25">
        <f>VLOOKUP(Inventory[[#This Row],[Nbhd]],Lookups!$Q$2:$T$4,4,FALSE)</f>
        <v>0.99970000000000003</v>
      </c>
      <c r="BH1144" s="25">
        <f>VLOOKUP(Inventory[[#This Row],[Qlty]],Lookups!$O$7:$R$21,4,FALSE)</f>
        <v>1.0067999999999999</v>
      </c>
      <c r="BI1144" s="25">
        <f>VLOOKUP(Inventory[[#This Row],[Cnd]],Lookups!$T$7:$W$16,4,FALSE)</f>
        <v>0.99329999999999996</v>
      </c>
      <c r="BJ1144" s="25">
        <f>VLOOKUP(Inventory[[#This Row],[LivArea Range]],Lookups!$T$25:$W$37,4,FALSE)</f>
        <v>0.98919999999999997</v>
      </c>
      <c r="BK1144" s="25">
        <f>VLOOKUP(Inventory[[#This Row],[Decade]],Lookups!$O$25:$R$42,4,FALSE)</f>
        <v>0.995</v>
      </c>
      <c r="BL1144" s="25">
        <f>Inventory[[#This Row],[Nbhd Adj]]*0.95</f>
        <v>0.94971499999999998</v>
      </c>
      <c r="BM1144" s="25">
        <f>Inventory[[#This Row],[Nbhd Adj]]*Inventory[[#This Row],[Quality Adj]]*Inventory[[#This Row],[Condition Adj]]*Inventory[[#This Row],[Living Area Adj]]*Inventory[[#This Row],[Decade Adj]]*0.95</f>
        <v>0.93481167598727721</v>
      </c>
      <c r="BN1144" s="25">
        <f>ROUND(SUM(Inventory[[#This Row],[Mdl Qlty]:[Mdl WdDeck]])+Inventory[[#This Row],[Mdl Res Intercept]]*Inventory[[#This Row],[Res Adj ]],-2)</f>
        <v>256700</v>
      </c>
      <c r="BO1144" s="25">
        <f>ROUND(Inventory[[#This Row],[25Det]]*Inventory[[#This Row],[Det/Nbhd Adj]],-2)</f>
        <v>0</v>
      </c>
      <c r="BP1144" s="25">
        <f>Inventory[[#This Row],[Adjusted Res]]+Inventory[[#This Row],[Adj Det ]]</f>
        <v>256700</v>
      </c>
      <c r="BQ1144" s="25">
        <f>ROUND((Inventory[[#This Row],[Mdl Land Intercept]]+Inventory[[#This Row],[Mdl LnAcres]])*Inventory[[#This Row],[Det/Nbhd Adj]],-2)</f>
        <v>35400</v>
      </c>
      <c r="BR1144" s="25">
        <f>Inventory[[#This Row],[Adjusted Impr Total]]+Inventory[[#This Row],[Adjusted Land Total]]</f>
        <v>292100</v>
      </c>
      <c r="BS1144" s="36">
        <f>IFERROR((Inventory[[#This Row],[Adjusted Impr Total]]-Inventory[[#This Row],[24Bldg]])/Inventory[[#This Row],[24Bldg]],0)</f>
        <v>0.11657242279251849</v>
      </c>
      <c r="BT1144" s="36">
        <f>(Inventory[[#This Row],[Adjusted Land Total]]-Inventory[[#This Row],[24Lnd]])/Inventory[[#This Row],[24Lnd]]</f>
        <v>-0.37455830388692579</v>
      </c>
      <c r="BU1144" s="36">
        <f>(Inventory[[#This Row],[Adjusted Total]]-Inventory[[#This Row],[24Final]])/Inventory[[#This Row],[24Final]]</f>
        <v>1.9546247818499129E-2</v>
      </c>
    </row>
    <row r="1145" spans="1:73" x14ac:dyDescent="0.3">
      <c r="A1145" s="25">
        <v>2025</v>
      </c>
      <c r="B1145" s="26" t="s">
        <v>1956</v>
      </c>
      <c r="C1145" s="26">
        <f>LN(Inventory[[#This Row],[Acres]])</f>
        <v>-1.4271163556401458</v>
      </c>
      <c r="D1145" s="25">
        <v>0.24</v>
      </c>
      <c r="E1145" s="31"/>
      <c r="F1145" s="26" t="s">
        <v>537</v>
      </c>
      <c r="G1145" s="26" t="s">
        <v>126</v>
      </c>
      <c r="H1145" s="26" t="s">
        <v>349</v>
      </c>
      <c r="I1145" s="26" t="s">
        <v>538</v>
      </c>
      <c r="J1145" s="26" t="s">
        <v>539</v>
      </c>
      <c r="K1145" s="26" t="s">
        <v>242</v>
      </c>
      <c r="L1145" s="26" t="s">
        <v>351</v>
      </c>
      <c r="M1145" s="26" t="s">
        <v>323</v>
      </c>
      <c r="N1145" s="26">
        <v>80</v>
      </c>
      <c r="O1145" s="26">
        <f>2024-Inventory[[#This Row],[YrBlt]]</f>
        <v>79</v>
      </c>
      <c r="P1145" s="26">
        <f>2024-Inventory[[#This Row],[EffYr]]</f>
        <v>52</v>
      </c>
      <c r="Q1145" s="25">
        <v>1945</v>
      </c>
      <c r="R1145" s="25">
        <v>1972</v>
      </c>
      <c r="S1145" s="25">
        <v>1056</v>
      </c>
      <c r="T1145" s="27"/>
      <c r="U1145" s="25">
        <v>1056</v>
      </c>
      <c r="V1145" s="25">
        <f>Inventory[[#This Row],[Bsmt]]-Inventory[[#This Row],[FnBsmt]]</f>
        <v>528</v>
      </c>
      <c r="W1145" s="25">
        <v>528</v>
      </c>
      <c r="X1145" s="27"/>
      <c r="Y1145" s="27">
        <f>Inventory[[#This Row],[MainFn]]+Inventory[[#This Row],[UpprFn]]+Inventory[[#This Row],[FnBsmt]]+Inventory[[#This Row],[AddFn]]</f>
        <v>1584</v>
      </c>
      <c r="Z1145" s="27">
        <v>2000</v>
      </c>
      <c r="AA1145" s="25">
        <v>7</v>
      </c>
      <c r="AB1145" s="27"/>
      <c r="AC1145" s="31"/>
      <c r="AD1145" s="27"/>
      <c r="AE1145" s="27"/>
      <c r="AF1145" s="27"/>
      <c r="AG1145" s="27"/>
      <c r="AH1145" s="27"/>
      <c r="AI1145" s="25">
        <v>256356</v>
      </c>
      <c r="AJ1145" s="25">
        <v>174322</v>
      </c>
      <c r="AK1145" s="25">
        <v>5580</v>
      </c>
      <c r="AL1145" s="25">
        <v>321500</v>
      </c>
      <c r="AM1145" s="25">
        <v>64800</v>
      </c>
      <c r="AN1145" s="25">
        <v>256700</v>
      </c>
      <c r="AO1145" s="25">
        <v>0</v>
      </c>
      <c r="AP1145" s="25">
        <f>Lookups!$B$56*0</f>
        <v>0</v>
      </c>
      <c r="AQ1145" s="25">
        <f>Lookups!$B$56*1</f>
        <v>89850.625589999996</v>
      </c>
      <c r="AR1145" s="25">
        <f>Lookups!$B$57*Inventory[[#This Row],[LnAcres]]</f>
        <v>-45174.819855485119</v>
      </c>
      <c r="AS1145" s="25">
        <f>VLOOKUP(Inventory[[#This Row],[Qlty]],Lookups!$A$62:$E$75,2,FALSE)</f>
        <v>21557.329055999999</v>
      </c>
      <c r="AT1145" s="25">
        <f>VLOOKUP(Inventory[[#This Row],[Cnd]],Lookups!$A$76:$E$84,2,FALSE)</f>
        <v>160472.20319</v>
      </c>
      <c r="AU1145" s="25">
        <f>Inventory[[#This Row],[EffAge]]*Lookups!$B$85</f>
        <v>-11598.371226000001</v>
      </c>
      <c r="AV1145" s="25">
        <f>Inventory[[#This Row],[MainFn]]*Lookups!$B$86</f>
        <v>52175.555390112</v>
      </c>
      <c r="AW1145" s="25">
        <f>Inventory[[#This Row],[UpprFn]]*Lookups!$B$87</f>
        <v>0</v>
      </c>
      <c r="AX1145" s="25">
        <f>Inventory[[#This Row],[AddFn]]*Lookups!$B$88</f>
        <v>0</v>
      </c>
      <c r="AY1145" s="25">
        <f>Inventory[[#This Row],[Bsmt]]*Lookups!$B$89</f>
        <v>30710.481380832</v>
      </c>
      <c r="AZ1145" s="25">
        <f>Inventory[[#This Row],[Fixtures]]*Lookups!$B$90</f>
        <v>26544.1547364</v>
      </c>
      <c r="BA1145" s="25">
        <f>Inventory[[#This Row],[WdDeck]]*Lookups!$B$91</f>
        <v>0</v>
      </c>
      <c r="BB1145" s="25">
        <f>ROUND(Inventory[[#This Row],[25Det]],-2)</f>
        <v>5600</v>
      </c>
      <c r="BC1145" s="25">
        <f>ROUND(SUM(Inventory[[#This Row],[Mdl Qlty]:[Mdl WdDeck]])+Inventory[[#This Row],[Mdl Res Intercept]],-2)</f>
        <v>279900</v>
      </c>
      <c r="BD1145" s="25">
        <f>ROUND(Inventory[[#This Row],[Mdl Land Intercept]]+Inventory[[#This Row],[Mdl LnAcres]],-2)</f>
        <v>44700</v>
      </c>
      <c r="BE1145" s="25">
        <f>Inventory[[#This Row],[Unadj Res Value]]+Inventory[[#This Row],[Unadj Det Value]]+Inventory[[#This Row],[Unadj Land Value]]</f>
        <v>330200</v>
      </c>
      <c r="BF1145" s="36">
        <f>(Inventory[[#This Row],[Unadj Total Value]]-Inventory[[#This Row],[24Final]])/Inventory[[#This Row],[24Final]]</f>
        <v>2.7060653188180406E-2</v>
      </c>
      <c r="BG1145" s="25">
        <f>VLOOKUP(Inventory[[#This Row],[Nbhd]],Lookups!$Q$2:$T$4,4,FALSE)</f>
        <v>0.99970000000000003</v>
      </c>
      <c r="BH1145" s="25">
        <f>VLOOKUP(Inventory[[#This Row],[Qlty]],Lookups!$O$7:$R$21,4,FALSE)</f>
        <v>1.0067999999999999</v>
      </c>
      <c r="BI1145" s="25">
        <f>VLOOKUP(Inventory[[#This Row],[Cnd]],Lookups!$T$7:$W$16,4,FALSE)</f>
        <v>0.99729999999999996</v>
      </c>
      <c r="BJ1145" s="25">
        <f>VLOOKUP(Inventory[[#This Row],[LivArea Range]],Lookups!$T$25:$W$37,4,FALSE)</f>
        <v>1.0093000000000001</v>
      </c>
      <c r="BK1145" s="25">
        <f>VLOOKUP(Inventory[[#This Row],[Decade]],Lookups!$O$25:$R$42,4,FALSE)</f>
        <v>0.995</v>
      </c>
      <c r="BL1145" s="25">
        <f>Inventory[[#This Row],[Nbhd Adj]]*0.95</f>
        <v>0.94971499999999998</v>
      </c>
      <c r="BM1145" s="25">
        <f>Inventory[[#This Row],[Nbhd Adj]]*Inventory[[#This Row],[Quality Adj]]*Inventory[[#This Row],[Condition Adj]]*Inventory[[#This Row],[Living Area Adj]]*Inventory[[#This Row],[Decade Adj]]*0.95</f>
        <v>0.957647495730095</v>
      </c>
      <c r="BN1145" s="25">
        <f>ROUND(SUM(Inventory[[#This Row],[Mdl Qlty]:[Mdl WdDeck]])+Inventory[[#This Row],[Mdl Res Intercept]]*Inventory[[#This Row],[Res Adj ]],-2)</f>
        <v>279900</v>
      </c>
      <c r="BO1145" s="25">
        <f>ROUND(Inventory[[#This Row],[25Det]]*Inventory[[#This Row],[Det/Nbhd Adj]],-2)</f>
        <v>5300</v>
      </c>
      <c r="BP1145" s="25">
        <f>Inventory[[#This Row],[Adjusted Res]]+Inventory[[#This Row],[Adj Det ]]</f>
        <v>285200</v>
      </c>
      <c r="BQ1145" s="25">
        <f>ROUND((Inventory[[#This Row],[Mdl Land Intercept]]+Inventory[[#This Row],[Mdl LnAcres]])*Inventory[[#This Row],[Det/Nbhd Adj]],-2)</f>
        <v>42400</v>
      </c>
      <c r="BR1145" s="25">
        <f>Inventory[[#This Row],[Adjusted Impr Total]]+Inventory[[#This Row],[Adjusted Land Total]]</f>
        <v>327600</v>
      </c>
      <c r="BS1145" s="36">
        <f>IFERROR((Inventory[[#This Row],[Adjusted Impr Total]]-Inventory[[#This Row],[24Bldg]])/Inventory[[#This Row],[24Bldg]],0)</f>
        <v>0.11102454226723803</v>
      </c>
      <c r="BT1145" s="36">
        <f>(Inventory[[#This Row],[Adjusted Land Total]]-Inventory[[#This Row],[24Lnd]])/Inventory[[#This Row],[24Lnd]]</f>
        <v>-0.34567901234567899</v>
      </c>
      <c r="BU1145" s="36">
        <f>(Inventory[[#This Row],[Adjusted Total]]-Inventory[[#This Row],[24Final]])/Inventory[[#This Row],[24Final]]</f>
        <v>1.8973561430793158E-2</v>
      </c>
    </row>
    <row r="1146" spans="1:73" x14ac:dyDescent="0.3">
      <c r="A1146" s="25">
        <v>2025</v>
      </c>
      <c r="B1146" s="26" t="s">
        <v>1456</v>
      </c>
      <c r="C1146" s="26">
        <f>LN(Inventory[[#This Row],[Acres]])</f>
        <v>-1.8971199848858813</v>
      </c>
      <c r="D1146" s="25">
        <v>0.15</v>
      </c>
      <c r="E1146" s="25">
        <v>6641</v>
      </c>
      <c r="F1146" s="26" t="s">
        <v>537</v>
      </c>
      <c r="G1146" s="26" t="s">
        <v>126</v>
      </c>
      <c r="H1146" s="26" t="s">
        <v>349</v>
      </c>
      <c r="I1146" s="26" t="s">
        <v>538</v>
      </c>
      <c r="J1146" s="26" t="s">
        <v>539</v>
      </c>
      <c r="K1146" s="26" t="s">
        <v>242</v>
      </c>
      <c r="L1146" s="26" t="s">
        <v>302</v>
      </c>
      <c r="M1146" s="26" t="s">
        <v>323</v>
      </c>
      <c r="N1146" s="26">
        <v>80</v>
      </c>
      <c r="O1146" s="26">
        <f>2024-Inventory[[#This Row],[YrBlt]]</f>
        <v>79</v>
      </c>
      <c r="P1146" s="26">
        <f>2024-Inventory[[#This Row],[EffYr]]</f>
        <v>52</v>
      </c>
      <c r="Q1146" s="25">
        <v>1945</v>
      </c>
      <c r="R1146" s="25">
        <v>1972</v>
      </c>
      <c r="S1146" s="25">
        <v>1068</v>
      </c>
      <c r="T1146" s="27"/>
      <c r="U1146" s="25">
        <v>1068</v>
      </c>
      <c r="V1146" s="25">
        <f>Inventory[[#This Row],[Bsmt]]-Inventory[[#This Row],[FnBsmt]]</f>
        <v>0</v>
      </c>
      <c r="W1146" s="25">
        <v>1068</v>
      </c>
      <c r="X1146" s="27"/>
      <c r="Y1146" s="27">
        <f>Inventory[[#This Row],[MainFn]]+Inventory[[#This Row],[UpprFn]]+Inventory[[#This Row],[FnBsmt]]+Inventory[[#This Row],[AddFn]]</f>
        <v>2136</v>
      </c>
      <c r="Z1146" s="27">
        <v>2500</v>
      </c>
      <c r="AA1146" s="25">
        <v>10</v>
      </c>
      <c r="AB1146" s="27"/>
      <c r="AC1146" s="27"/>
      <c r="AD1146" s="27"/>
      <c r="AE1146" s="27"/>
      <c r="AF1146" s="27"/>
      <c r="AG1146" s="27"/>
      <c r="AH1146" s="27"/>
      <c r="AI1146" s="25">
        <v>317664</v>
      </c>
      <c r="AJ1146" s="25">
        <v>216012</v>
      </c>
      <c r="AK1146" s="25">
        <v>5261</v>
      </c>
      <c r="AL1146" s="25">
        <v>330800</v>
      </c>
      <c r="AM1146" s="25">
        <v>48400</v>
      </c>
      <c r="AN1146" s="25">
        <v>282400</v>
      </c>
      <c r="AO1146" s="25">
        <v>0</v>
      </c>
      <c r="AP1146" s="25">
        <f>Lookups!$B$56*0</f>
        <v>0</v>
      </c>
      <c r="AQ1146" s="25">
        <f>Lookups!$B$56*1</f>
        <v>89850.625589999996</v>
      </c>
      <c r="AR1146" s="25">
        <f>Lookups!$B$57*Inventory[[#This Row],[LnAcres]]</f>
        <v>-60052.604136134301</v>
      </c>
      <c r="AS1146" s="25">
        <f>VLOOKUP(Inventory[[#This Row],[Qlty]],Lookups!$A$62:$E$75,2,FALSE)</f>
        <v>29814.093161000001</v>
      </c>
      <c r="AT1146" s="25">
        <f>VLOOKUP(Inventory[[#This Row],[Cnd]],Lookups!$A$76:$E$84,2,FALSE)</f>
        <v>160472.20319</v>
      </c>
      <c r="AU1146" s="25">
        <f>Inventory[[#This Row],[EffAge]]*Lookups!$B$85</f>
        <v>-11598.371226000001</v>
      </c>
      <c r="AV1146" s="25">
        <f>Inventory[[#This Row],[MainFn]]*Lookups!$B$86</f>
        <v>52768.459428636001</v>
      </c>
      <c r="AW1146" s="25">
        <f>Inventory[[#This Row],[UpprFn]]*Lookups!$B$87</f>
        <v>0</v>
      </c>
      <c r="AX1146" s="25">
        <f>Inventory[[#This Row],[AddFn]]*Lookups!$B$88</f>
        <v>0</v>
      </c>
      <c r="AY1146" s="25">
        <f>Inventory[[#This Row],[Bsmt]]*Lookups!$B$89</f>
        <v>31059.464123795999</v>
      </c>
      <c r="AZ1146" s="25">
        <f>Inventory[[#This Row],[Fixtures]]*Lookups!$B$90</f>
        <v>37920.221052000001</v>
      </c>
      <c r="BA1146" s="25">
        <f>Inventory[[#This Row],[WdDeck]]*Lookups!$B$91</f>
        <v>0</v>
      </c>
      <c r="BB1146" s="25">
        <f>ROUND(Inventory[[#This Row],[25Det]],-2)</f>
        <v>5300</v>
      </c>
      <c r="BC1146" s="25">
        <f>ROUND(SUM(Inventory[[#This Row],[Mdl Qlty]:[Mdl WdDeck]])+Inventory[[#This Row],[Mdl Res Intercept]],-2)</f>
        <v>300400</v>
      </c>
      <c r="BD1146" s="25">
        <f>ROUND(Inventory[[#This Row],[Mdl Land Intercept]]+Inventory[[#This Row],[Mdl LnAcres]],-2)</f>
        <v>29800</v>
      </c>
      <c r="BE1146" s="25">
        <f>Inventory[[#This Row],[Unadj Res Value]]+Inventory[[#This Row],[Unadj Det Value]]+Inventory[[#This Row],[Unadj Land Value]]</f>
        <v>335500</v>
      </c>
      <c r="BF1146" s="36">
        <f>(Inventory[[#This Row],[Unadj Total Value]]-Inventory[[#This Row],[24Final]])/Inventory[[#This Row],[24Final]]</f>
        <v>1.4207980652962516E-2</v>
      </c>
      <c r="BG1146" s="25">
        <f>VLOOKUP(Inventory[[#This Row],[Nbhd]],Lookups!$Q$2:$T$4,4,FALSE)</f>
        <v>0.99970000000000003</v>
      </c>
      <c r="BH1146" s="25">
        <f>VLOOKUP(Inventory[[#This Row],[Qlty]],Lookups!$O$7:$R$21,4,FALSE)</f>
        <v>1.0088999999999999</v>
      </c>
      <c r="BI1146" s="25">
        <f>VLOOKUP(Inventory[[#This Row],[Cnd]],Lookups!$T$7:$W$16,4,FALSE)</f>
        <v>0.99729999999999996</v>
      </c>
      <c r="BJ1146" s="25">
        <f>VLOOKUP(Inventory[[#This Row],[LivArea Range]],Lookups!$T$25:$W$37,4,FALSE)</f>
        <v>0.98919999999999997</v>
      </c>
      <c r="BK1146" s="25">
        <f>VLOOKUP(Inventory[[#This Row],[Decade]],Lookups!$O$25:$R$42,4,FALSE)</f>
        <v>0.995</v>
      </c>
      <c r="BL1146" s="25">
        <f>Inventory[[#This Row],[Nbhd Adj]]*0.95</f>
        <v>0.94971499999999998</v>
      </c>
      <c r="BM1146" s="25">
        <f>Inventory[[#This Row],[Nbhd Adj]]*Inventory[[#This Row],[Quality Adj]]*Inventory[[#This Row],[Condition Adj]]*Inventory[[#This Row],[Living Area Adj]]*Inventory[[#This Row],[Decade Adj]]*0.95</f>
        <v>0.94053384219145564</v>
      </c>
      <c r="BN1146" s="25">
        <f>ROUND(SUM(Inventory[[#This Row],[Mdl Qlty]:[Mdl WdDeck]])+Inventory[[#This Row],[Mdl Res Intercept]]*Inventory[[#This Row],[Res Adj ]],-2)</f>
        <v>300400</v>
      </c>
      <c r="BO1146" s="25">
        <f>ROUND(Inventory[[#This Row],[25Det]]*Inventory[[#This Row],[Det/Nbhd Adj]],-2)</f>
        <v>5000</v>
      </c>
      <c r="BP1146" s="25">
        <f>Inventory[[#This Row],[Adjusted Res]]+Inventory[[#This Row],[Adj Det ]]</f>
        <v>305400</v>
      </c>
      <c r="BQ1146" s="25">
        <f>ROUND((Inventory[[#This Row],[Mdl Land Intercept]]+Inventory[[#This Row],[Mdl LnAcres]])*Inventory[[#This Row],[Det/Nbhd Adj]],-2)</f>
        <v>28300</v>
      </c>
      <c r="BR1146" s="25">
        <f>Inventory[[#This Row],[Adjusted Impr Total]]+Inventory[[#This Row],[Adjusted Land Total]]</f>
        <v>333700</v>
      </c>
      <c r="BS1146" s="36">
        <f>IFERROR((Inventory[[#This Row],[Adjusted Impr Total]]-Inventory[[#This Row],[24Bldg]])/Inventory[[#This Row],[24Bldg]],0)</f>
        <v>8.1444759206798861E-2</v>
      </c>
      <c r="BT1146" s="36">
        <f>(Inventory[[#This Row],[Adjusted Land Total]]-Inventory[[#This Row],[24Lnd]])/Inventory[[#This Row],[24Lnd]]</f>
        <v>-0.41528925619834711</v>
      </c>
      <c r="BU1146" s="36">
        <f>(Inventory[[#This Row],[Adjusted Total]]-Inventory[[#This Row],[24Final]])/Inventory[[#This Row],[24Final]]</f>
        <v>8.7666263603385728E-3</v>
      </c>
    </row>
    <row r="1147" spans="1:73" x14ac:dyDescent="0.3">
      <c r="A1147" s="25">
        <v>2025</v>
      </c>
      <c r="B1147" s="26" t="s">
        <v>2797</v>
      </c>
      <c r="C1147" s="26">
        <f>LN(Inventory[[#This Row],[Acres]])</f>
        <v>-1.8971199848858813</v>
      </c>
      <c r="D1147" s="25">
        <v>0.15</v>
      </c>
      <c r="E1147" s="31"/>
      <c r="F1147" s="26" t="s">
        <v>537</v>
      </c>
      <c r="G1147" s="26" t="s">
        <v>126</v>
      </c>
      <c r="H1147" s="26" t="s">
        <v>349</v>
      </c>
      <c r="I1147" s="26" t="s">
        <v>538</v>
      </c>
      <c r="J1147" s="26" t="s">
        <v>539</v>
      </c>
      <c r="K1147" s="26" t="s">
        <v>241</v>
      </c>
      <c r="L1147" s="26" t="s">
        <v>351</v>
      </c>
      <c r="M1147" s="26" t="s">
        <v>323</v>
      </c>
      <c r="N1147" s="26">
        <v>80</v>
      </c>
      <c r="O1147" s="26">
        <f>2024-Inventory[[#This Row],[YrBlt]]</f>
        <v>79</v>
      </c>
      <c r="P1147" s="26">
        <f>2024-Inventory[[#This Row],[EffYr]]</f>
        <v>52</v>
      </c>
      <c r="Q1147" s="25">
        <v>1945</v>
      </c>
      <c r="R1147" s="25">
        <v>1972</v>
      </c>
      <c r="S1147" s="25">
        <v>1260</v>
      </c>
      <c r="T1147" s="27"/>
      <c r="U1147" s="25">
        <v>1260</v>
      </c>
      <c r="V1147" s="25">
        <f>Inventory[[#This Row],[Bsmt]]-Inventory[[#This Row],[FnBsmt]]</f>
        <v>0</v>
      </c>
      <c r="W1147" s="25">
        <v>1260</v>
      </c>
      <c r="X1147" s="27"/>
      <c r="Y1147" s="27">
        <f>Inventory[[#This Row],[MainFn]]+Inventory[[#This Row],[UpprFn]]+Inventory[[#This Row],[FnBsmt]]+Inventory[[#This Row],[AddFn]]</f>
        <v>2520</v>
      </c>
      <c r="Z1147" s="27">
        <v>3000</v>
      </c>
      <c r="AA1147" s="25">
        <v>9</v>
      </c>
      <c r="AB1147" s="32">
        <v>432</v>
      </c>
      <c r="AC1147" s="27"/>
      <c r="AD1147" s="27"/>
      <c r="AE1147" s="27"/>
      <c r="AF1147" s="27"/>
      <c r="AG1147" s="27"/>
      <c r="AH1147" s="27"/>
      <c r="AI1147" s="25">
        <v>327216</v>
      </c>
      <c r="AJ1147" s="25">
        <v>222507</v>
      </c>
      <c r="AK1147" s="25">
        <v>0</v>
      </c>
      <c r="AL1147" s="25">
        <v>329100</v>
      </c>
      <c r="AM1147" s="25">
        <v>48400</v>
      </c>
      <c r="AN1147" s="25">
        <v>280700</v>
      </c>
      <c r="AO1147" s="25">
        <v>0</v>
      </c>
      <c r="AP1147" s="25">
        <f>Lookups!$B$56*0</f>
        <v>0</v>
      </c>
      <c r="AQ1147" s="25">
        <f>Lookups!$B$56*1</f>
        <v>89850.625589999996</v>
      </c>
      <c r="AR1147" s="25">
        <f>Lookups!$B$57*Inventory[[#This Row],[LnAcres]]</f>
        <v>-60052.604136134301</v>
      </c>
      <c r="AS1147" s="25">
        <f>VLOOKUP(Inventory[[#This Row],[Qlty]],Lookups!$A$62:$E$75,2,FALSE)</f>
        <v>21557.329055999999</v>
      </c>
      <c r="AT1147" s="25">
        <f>VLOOKUP(Inventory[[#This Row],[Cnd]],Lookups!$A$76:$E$84,2,FALSE)</f>
        <v>160472.20319</v>
      </c>
      <c r="AU1147" s="25">
        <f>Inventory[[#This Row],[EffAge]]*Lookups!$B$85</f>
        <v>-11598.371226000001</v>
      </c>
      <c r="AV1147" s="25">
        <f>Inventory[[#This Row],[MainFn]]*Lookups!$B$86</f>
        <v>62254.924045020001</v>
      </c>
      <c r="AW1147" s="25">
        <f>Inventory[[#This Row],[UpprFn]]*Lookups!$B$87</f>
        <v>0</v>
      </c>
      <c r="AX1147" s="25">
        <f>Inventory[[#This Row],[AddFn]]*Lookups!$B$88</f>
        <v>0</v>
      </c>
      <c r="AY1147" s="25">
        <f>Inventory[[#This Row],[Bsmt]]*Lookups!$B$89</f>
        <v>36643.188011220001</v>
      </c>
      <c r="AZ1147" s="25">
        <f>Inventory[[#This Row],[Fixtures]]*Lookups!$B$90</f>
        <v>34128.198946800003</v>
      </c>
      <c r="BA1147" s="25">
        <f>Inventory[[#This Row],[WdDeck]]*Lookups!$B$91</f>
        <v>0</v>
      </c>
      <c r="BB1147" s="25">
        <f>ROUND(Inventory[[#This Row],[25Det]],-2)</f>
        <v>0</v>
      </c>
      <c r="BC1147" s="25">
        <f>ROUND(SUM(Inventory[[#This Row],[Mdl Qlty]:[Mdl WdDeck]])+Inventory[[#This Row],[Mdl Res Intercept]],-2)</f>
        <v>303500</v>
      </c>
      <c r="BD1147" s="25">
        <f>ROUND(Inventory[[#This Row],[Mdl Land Intercept]]+Inventory[[#This Row],[Mdl LnAcres]],-2)</f>
        <v>29800</v>
      </c>
      <c r="BE1147" s="25">
        <f>Inventory[[#This Row],[Unadj Res Value]]+Inventory[[#This Row],[Unadj Det Value]]+Inventory[[#This Row],[Unadj Land Value]]</f>
        <v>333300</v>
      </c>
      <c r="BF1147" s="36">
        <f>(Inventory[[#This Row],[Unadj Total Value]]-Inventory[[#This Row],[24Final]])/Inventory[[#This Row],[24Final]]</f>
        <v>1.276207839562443E-2</v>
      </c>
      <c r="BG1147" s="25">
        <f>VLOOKUP(Inventory[[#This Row],[Nbhd]],Lookups!$Q$2:$T$4,4,FALSE)</f>
        <v>0.99970000000000003</v>
      </c>
      <c r="BH1147" s="25">
        <f>VLOOKUP(Inventory[[#This Row],[Qlty]],Lookups!$O$7:$R$21,4,FALSE)</f>
        <v>1.0067999999999999</v>
      </c>
      <c r="BI1147" s="25">
        <f>VLOOKUP(Inventory[[#This Row],[Cnd]],Lookups!$T$7:$W$16,4,FALSE)</f>
        <v>0.99729999999999996</v>
      </c>
      <c r="BJ1147" s="25">
        <f>VLOOKUP(Inventory[[#This Row],[LivArea Range]],Lookups!$T$25:$W$37,4,FALSE)</f>
        <v>0.96179999999999999</v>
      </c>
      <c r="BK1147" s="25">
        <f>VLOOKUP(Inventory[[#This Row],[Decade]],Lookups!$O$25:$R$42,4,FALSE)</f>
        <v>0.995</v>
      </c>
      <c r="BL1147" s="25">
        <f>Inventory[[#This Row],[Nbhd Adj]]*0.95</f>
        <v>0.94971499999999998</v>
      </c>
      <c r="BM1147" s="25">
        <f>Inventory[[#This Row],[Nbhd Adj]]*Inventory[[#This Row],[Quality Adj]]*Inventory[[#This Row],[Condition Adj]]*Inventory[[#This Row],[Living Area Adj]]*Inventory[[#This Row],[Decade Adj]]*0.95</f>
        <v>0.91257838243654554</v>
      </c>
      <c r="BN1147" s="25">
        <f>ROUND(SUM(Inventory[[#This Row],[Mdl Qlty]:[Mdl WdDeck]])+Inventory[[#This Row],[Mdl Res Intercept]]*Inventory[[#This Row],[Res Adj ]],-2)</f>
        <v>303500</v>
      </c>
      <c r="BO1147" s="25">
        <f>ROUND(Inventory[[#This Row],[25Det]]*Inventory[[#This Row],[Det/Nbhd Adj]],-2)</f>
        <v>0</v>
      </c>
      <c r="BP1147" s="25">
        <f>Inventory[[#This Row],[Adjusted Res]]+Inventory[[#This Row],[Adj Det ]]</f>
        <v>303500</v>
      </c>
      <c r="BQ1147" s="25">
        <f>ROUND((Inventory[[#This Row],[Mdl Land Intercept]]+Inventory[[#This Row],[Mdl LnAcres]])*Inventory[[#This Row],[Det/Nbhd Adj]],-2)</f>
        <v>28300</v>
      </c>
      <c r="BR1147" s="25">
        <f>Inventory[[#This Row],[Adjusted Impr Total]]+Inventory[[#This Row],[Adjusted Land Total]]</f>
        <v>331800</v>
      </c>
      <c r="BS1147" s="36">
        <f>IFERROR((Inventory[[#This Row],[Adjusted Impr Total]]-Inventory[[#This Row],[24Bldg]])/Inventory[[#This Row],[24Bldg]],0)</f>
        <v>8.1225507659422866E-2</v>
      </c>
      <c r="BT1147" s="36">
        <f>(Inventory[[#This Row],[Adjusted Land Total]]-Inventory[[#This Row],[24Lnd]])/Inventory[[#This Row],[24Lnd]]</f>
        <v>-0.41528925619834711</v>
      </c>
      <c r="BU1147" s="36">
        <f>(Inventory[[#This Row],[Adjusted Total]]-Inventory[[#This Row],[24Final]])/Inventory[[#This Row],[24Final]]</f>
        <v>8.2041932543299913E-3</v>
      </c>
    </row>
    <row r="1148" spans="1:73" x14ac:dyDescent="0.3">
      <c r="A1148" s="25">
        <v>2025</v>
      </c>
      <c r="B1148" s="26" t="s">
        <v>1866</v>
      </c>
      <c r="C1148" s="26">
        <f>LN(Inventory[[#This Row],[Acres]])</f>
        <v>-1.4696759700589417</v>
      </c>
      <c r="D1148" s="25">
        <v>0.23</v>
      </c>
      <c r="E1148" s="27"/>
      <c r="F1148" s="26" t="s">
        <v>537</v>
      </c>
      <c r="G1148" s="26" t="s">
        <v>126</v>
      </c>
      <c r="H1148" s="26" t="s">
        <v>349</v>
      </c>
      <c r="I1148" s="26" t="s">
        <v>538</v>
      </c>
      <c r="J1148" s="26" t="s">
        <v>539</v>
      </c>
      <c r="K1148" s="26" t="s">
        <v>242</v>
      </c>
      <c r="L1148" s="26" t="s">
        <v>351</v>
      </c>
      <c r="M1148" s="26" t="s">
        <v>323</v>
      </c>
      <c r="N1148" s="26">
        <v>80</v>
      </c>
      <c r="O1148" s="26">
        <f>2024-Inventory[[#This Row],[YrBlt]]</f>
        <v>79</v>
      </c>
      <c r="P1148" s="26">
        <f>2024-Inventory[[#This Row],[EffYr]]</f>
        <v>52</v>
      </c>
      <c r="Q1148" s="25">
        <v>1945</v>
      </c>
      <c r="R1148" s="25">
        <v>1972</v>
      </c>
      <c r="S1148" s="25">
        <v>1104</v>
      </c>
      <c r="T1148" s="27"/>
      <c r="U1148" s="25">
        <v>650</v>
      </c>
      <c r="V1148" s="32">
        <f>Inventory[[#This Row],[Bsmt]]-Inventory[[#This Row],[FnBsmt]]</f>
        <v>2</v>
      </c>
      <c r="W1148" s="32">
        <v>648</v>
      </c>
      <c r="X1148" s="27"/>
      <c r="Y1148" s="27">
        <f>Inventory[[#This Row],[MainFn]]+Inventory[[#This Row],[UpprFn]]+Inventory[[#This Row],[FnBsmt]]+Inventory[[#This Row],[AddFn]]</f>
        <v>1752</v>
      </c>
      <c r="Z1148" s="27">
        <v>2000</v>
      </c>
      <c r="AA1148" s="25">
        <v>5</v>
      </c>
      <c r="AB1148" s="31"/>
      <c r="AC1148" s="27"/>
      <c r="AD1148" s="27"/>
      <c r="AE1148" s="27"/>
      <c r="AF1148" s="27"/>
      <c r="AG1148" s="27"/>
      <c r="AH1148" s="27"/>
      <c r="AI1148" s="25">
        <v>255131</v>
      </c>
      <c r="AJ1148" s="25">
        <v>173489</v>
      </c>
      <c r="AK1148" s="25">
        <v>11455</v>
      </c>
      <c r="AL1148" s="25">
        <v>312600</v>
      </c>
      <c r="AM1148" s="25">
        <v>63300</v>
      </c>
      <c r="AN1148" s="25">
        <v>249300</v>
      </c>
      <c r="AO1148" s="25">
        <v>0</v>
      </c>
      <c r="AP1148" s="25">
        <f>Lookups!$B$56*0</f>
        <v>0</v>
      </c>
      <c r="AQ1148" s="25">
        <f>Lookups!$B$56*1</f>
        <v>89850.625589999996</v>
      </c>
      <c r="AR1148" s="25">
        <f>Lookups!$B$57*Inventory[[#This Row],[LnAcres]]</f>
        <v>-46522.028095997222</v>
      </c>
      <c r="AS1148" s="25">
        <f>VLOOKUP(Inventory[[#This Row],[Qlty]],Lookups!$A$62:$E$75,2,FALSE)</f>
        <v>21557.329055999999</v>
      </c>
      <c r="AT1148" s="25">
        <f>VLOOKUP(Inventory[[#This Row],[Cnd]],Lookups!$A$76:$E$84,2,FALSE)</f>
        <v>160472.20319</v>
      </c>
      <c r="AU1148" s="25">
        <f>Inventory[[#This Row],[EffAge]]*Lookups!$B$85</f>
        <v>-11598.371226000001</v>
      </c>
      <c r="AV1148" s="25">
        <f>Inventory[[#This Row],[MainFn]]*Lookups!$B$86</f>
        <v>54547.171544208002</v>
      </c>
      <c r="AW1148" s="25">
        <f>Inventory[[#This Row],[UpprFn]]*Lookups!$B$87</f>
        <v>0</v>
      </c>
      <c r="AX1148" s="25">
        <f>Inventory[[#This Row],[AddFn]]*Lookups!$B$88</f>
        <v>0</v>
      </c>
      <c r="AY1148" s="25">
        <f>Inventory[[#This Row],[Bsmt]]*Lookups!$B$89</f>
        <v>18903.231910549999</v>
      </c>
      <c r="AZ1148" s="25">
        <f>Inventory[[#This Row],[Fixtures]]*Lookups!$B$90</f>
        <v>18960.110526</v>
      </c>
      <c r="BA1148" s="25">
        <f>Inventory[[#This Row],[WdDeck]]*Lookups!$B$91</f>
        <v>0</v>
      </c>
      <c r="BB1148" s="25">
        <f>ROUND(Inventory[[#This Row],[25Det]],-2)</f>
        <v>11500</v>
      </c>
      <c r="BC1148" s="25">
        <f>ROUND(SUM(Inventory[[#This Row],[Mdl Qlty]:[Mdl WdDeck]])+Inventory[[#This Row],[Mdl Res Intercept]],-2)</f>
        <v>262800</v>
      </c>
      <c r="BD1148" s="25">
        <f>ROUND(Inventory[[#This Row],[Mdl Land Intercept]]+Inventory[[#This Row],[Mdl LnAcres]],-2)</f>
        <v>43300</v>
      </c>
      <c r="BE1148" s="25">
        <f>Inventory[[#This Row],[Unadj Res Value]]+Inventory[[#This Row],[Unadj Det Value]]+Inventory[[#This Row],[Unadj Land Value]]</f>
        <v>317600</v>
      </c>
      <c r="BF1148" s="36">
        <f>(Inventory[[#This Row],[Unadj Total Value]]-Inventory[[#This Row],[24Final]])/Inventory[[#This Row],[24Final]]</f>
        <v>1.599488163787588E-2</v>
      </c>
      <c r="BG1148" s="25">
        <f>VLOOKUP(Inventory[[#This Row],[Nbhd]],Lookups!$Q$2:$T$4,4,FALSE)</f>
        <v>0.99970000000000003</v>
      </c>
      <c r="BH1148" s="25">
        <f>VLOOKUP(Inventory[[#This Row],[Qlty]],Lookups!$O$7:$R$21,4,FALSE)</f>
        <v>1.0067999999999999</v>
      </c>
      <c r="BI1148" s="25">
        <f>VLOOKUP(Inventory[[#This Row],[Cnd]],Lookups!$T$7:$W$16,4,FALSE)</f>
        <v>0.99729999999999996</v>
      </c>
      <c r="BJ1148" s="25">
        <f>VLOOKUP(Inventory[[#This Row],[LivArea Range]],Lookups!$T$25:$W$37,4,FALSE)</f>
        <v>1.0093000000000001</v>
      </c>
      <c r="BK1148" s="25">
        <f>VLOOKUP(Inventory[[#This Row],[Decade]],Lookups!$O$25:$R$42,4,FALSE)</f>
        <v>0.995</v>
      </c>
      <c r="BL1148" s="25">
        <f>Inventory[[#This Row],[Nbhd Adj]]*0.95</f>
        <v>0.94971499999999998</v>
      </c>
      <c r="BM1148" s="25">
        <f>Inventory[[#This Row],[Nbhd Adj]]*Inventory[[#This Row],[Quality Adj]]*Inventory[[#This Row],[Condition Adj]]*Inventory[[#This Row],[Living Area Adj]]*Inventory[[#This Row],[Decade Adj]]*0.95</f>
        <v>0.957647495730095</v>
      </c>
      <c r="BN1148" s="25">
        <f>ROUND(SUM(Inventory[[#This Row],[Mdl Qlty]:[Mdl WdDeck]])+Inventory[[#This Row],[Mdl Res Intercept]]*Inventory[[#This Row],[Res Adj ]],-2)</f>
        <v>262800</v>
      </c>
      <c r="BO1148" s="25">
        <f>ROUND(Inventory[[#This Row],[25Det]]*Inventory[[#This Row],[Det/Nbhd Adj]],-2)</f>
        <v>10900</v>
      </c>
      <c r="BP1148" s="25">
        <f>Inventory[[#This Row],[Adjusted Res]]+Inventory[[#This Row],[Adj Det ]]</f>
        <v>273700</v>
      </c>
      <c r="BQ1148" s="25">
        <f>ROUND((Inventory[[#This Row],[Mdl Land Intercept]]+Inventory[[#This Row],[Mdl LnAcres]])*Inventory[[#This Row],[Det/Nbhd Adj]],-2)</f>
        <v>41100</v>
      </c>
      <c r="BR1148" s="25">
        <f>Inventory[[#This Row],[Adjusted Impr Total]]+Inventory[[#This Row],[Adjusted Land Total]]</f>
        <v>314800</v>
      </c>
      <c r="BS1148" s="36">
        <f>IFERROR((Inventory[[#This Row],[Adjusted Impr Total]]-Inventory[[#This Row],[24Bldg]])/Inventory[[#This Row],[24Bldg]],0)</f>
        <v>9.7874047332531092E-2</v>
      </c>
      <c r="BT1148" s="36">
        <f>(Inventory[[#This Row],[Adjusted Land Total]]-Inventory[[#This Row],[24Lnd]])/Inventory[[#This Row],[24Lnd]]</f>
        <v>-0.35071090047393366</v>
      </c>
      <c r="BU1148" s="36">
        <f>(Inventory[[#This Row],[Adjusted Total]]-Inventory[[#This Row],[24Final]])/Inventory[[#This Row],[24Final]]</f>
        <v>7.0377479206653873E-3</v>
      </c>
    </row>
    <row r="1149" spans="1:73" x14ac:dyDescent="0.3">
      <c r="A1149" s="25">
        <v>2025</v>
      </c>
      <c r="B1149" s="26" t="s">
        <v>2411</v>
      </c>
      <c r="C1149" s="26">
        <f>LN(Inventory[[#This Row],[Acres]])</f>
        <v>-1.5606477482646683</v>
      </c>
      <c r="D1149" s="25">
        <v>0.21</v>
      </c>
      <c r="E1149" s="31"/>
      <c r="F1149" s="26" t="s">
        <v>537</v>
      </c>
      <c r="G1149" s="26" t="s">
        <v>126</v>
      </c>
      <c r="H1149" s="26" t="s">
        <v>349</v>
      </c>
      <c r="I1149" s="26" t="s">
        <v>538</v>
      </c>
      <c r="J1149" s="26" t="s">
        <v>539</v>
      </c>
      <c r="K1149" s="26" t="s">
        <v>242</v>
      </c>
      <c r="L1149" s="26" t="s">
        <v>302</v>
      </c>
      <c r="M1149" s="26" t="s">
        <v>323</v>
      </c>
      <c r="N1149" s="26">
        <v>80</v>
      </c>
      <c r="O1149" s="26">
        <f>2024-Inventory[[#This Row],[YrBlt]]</f>
        <v>79</v>
      </c>
      <c r="P1149" s="26">
        <f>2024-Inventory[[#This Row],[EffYr]]</f>
        <v>52</v>
      </c>
      <c r="Q1149" s="25">
        <v>1945</v>
      </c>
      <c r="R1149" s="25">
        <v>1972</v>
      </c>
      <c r="S1149" s="25">
        <v>1240</v>
      </c>
      <c r="T1149" s="27"/>
      <c r="U1149" s="32">
        <v>923</v>
      </c>
      <c r="V1149" s="32">
        <f>Inventory[[#This Row],[Bsmt]]-Inventory[[#This Row],[FnBsmt]]</f>
        <v>0</v>
      </c>
      <c r="W1149" s="32">
        <v>923</v>
      </c>
      <c r="X1149" s="27"/>
      <c r="Y1149" s="27">
        <f>Inventory[[#This Row],[MainFn]]+Inventory[[#This Row],[UpprFn]]+Inventory[[#This Row],[FnBsmt]]+Inventory[[#This Row],[AddFn]]</f>
        <v>2163</v>
      </c>
      <c r="Z1149" s="27">
        <v>2500</v>
      </c>
      <c r="AA1149" s="25">
        <v>8</v>
      </c>
      <c r="AB1149" s="32">
        <v>220</v>
      </c>
      <c r="AC1149" s="27"/>
      <c r="AD1149" s="27"/>
      <c r="AE1149" s="27"/>
      <c r="AF1149" s="27"/>
      <c r="AG1149" s="27"/>
      <c r="AH1149" s="27"/>
      <c r="AI1149" s="25">
        <v>348521</v>
      </c>
      <c r="AJ1149" s="25">
        <v>236994</v>
      </c>
      <c r="AK1149" s="25">
        <v>0</v>
      </c>
      <c r="AL1149" s="25">
        <v>333400</v>
      </c>
      <c r="AM1149" s="25">
        <v>60100</v>
      </c>
      <c r="AN1149" s="25">
        <v>273300</v>
      </c>
      <c r="AO1149" s="25">
        <v>0</v>
      </c>
      <c r="AP1149" s="25">
        <f>Lookups!$B$56*0</f>
        <v>0</v>
      </c>
      <c r="AQ1149" s="25">
        <f>Lookups!$B$56*1</f>
        <v>89850.625589999996</v>
      </c>
      <c r="AR1149" s="25">
        <f>Lookups!$B$57*Inventory[[#This Row],[LnAcres]]</f>
        <v>-49401.70477837498</v>
      </c>
      <c r="AS1149" s="25">
        <f>VLOOKUP(Inventory[[#This Row],[Qlty]],Lookups!$A$62:$E$75,2,FALSE)</f>
        <v>29814.093161000001</v>
      </c>
      <c r="AT1149" s="25">
        <f>VLOOKUP(Inventory[[#This Row],[Cnd]],Lookups!$A$76:$E$84,2,FALSE)</f>
        <v>160472.20319</v>
      </c>
      <c r="AU1149" s="25">
        <f>Inventory[[#This Row],[EffAge]]*Lookups!$B$85</f>
        <v>-11598.371226000001</v>
      </c>
      <c r="AV1149" s="25">
        <f>Inventory[[#This Row],[MainFn]]*Lookups!$B$86</f>
        <v>61266.750647480003</v>
      </c>
      <c r="AW1149" s="25">
        <f>Inventory[[#This Row],[UpprFn]]*Lookups!$B$87</f>
        <v>0</v>
      </c>
      <c r="AX1149" s="25">
        <f>Inventory[[#This Row],[AddFn]]*Lookups!$B$88</f>
        <v>0</v>
      </c>
      <c r="AY1149" s="25">
        <f>Inventory[[#This Row],[Bsmt]]*Lookups!$B$89</f>
        <v>26842.589312980999</v>
      </c>
      <c r="AZ1149" s="25">
        <f>Inventory[[#This Row],[Fixtures]]*Lookups!$B$90</f>
        <v>30336.176841600001</v>
      </c>
      <c r="BA1149" s="25">
        <f>Inventory[[#This Row],[WdDeck]]*Lookups!$B$91</f>
        <v>0</v>
      </c>
      <c r="BB1149" s="25">
        <f>ROUND(Inventory[[#This Row],[25Det]],-2)</f>
        <v>0</v>
      </c>
      <c r="BC1149" s="25">
        <f>ROUND(SUM(Inventory[[#This Row],[Mdl Qlty]:[Mdl WdDeck]])+Inventory[[#This Row],[Mdl Res Intercept]],-2)</f>
        <v>297100</v>
      </c>
      <c r="BD1149" s="25">
        <f>ROUND(Inventory[[#This Row],[Mdl Land Intercept]]+Inventory[[#This Row],[Mdl LnAcres]],-2)</f>
        <v>40400</v>
      </c>
      <c r="BE1149" s="25">
        <f>Inventory[[#This Row],[Unadj Res Value]]+Inventory[[#This Row],[Unadj Det Value]]+Inventory[[#This Row],[Unadj Land Value]]</f>
        <v>337500</v>
      </c>
      <c r="BF1149" s="36">
        <f>(Inventory[[#This Row],[Unadj Total Value]]-Inventory[[#This Row],[24Final]])/Inventory[[#This Row],[24Final]]</f>
        <v>1.2297540491901619E-2</v>
      </c>
      <c r="BG1149" s="25">
        <f>VLOOKUP(Inventory[[#This Row],[Nbhd]],Lookups!$Q$2:$T$4,4,FALSE)</f>
        <v>0.99970000000000003</v>
      </c>
      <c r="BH1149" s="25">
        <f>VLOOKUP(Inventory[[#This Row],[Qlty]],Lookups!$O$7:$R$21,4,FALSE)</f>
        <v>1.0088999999999999</v>
      </c>
      <c r="BI1149" s="25">
        <f>VLOOKUP(Inventory[[#This Row],[Cnd]],Lookups!$T$7:$W$16,4,FALSE)</f>
        <v>0.99729999999999996</v>
      </c>
      <c r="BJ1149" s="25">
        <f>VLOOKUP(Inventory[[#This Row],[LivArea Range]],Lookups!$T$25:$W$37,4,FALSE)</f>
        <v>0.98919999999999997</v>
      </c>
      <c r="BK1149" s="25">
        <f>VLOOKUP(Inventory[[#This Row],[Decade]],Lookups!$O$25:$R$42,4,FALSE)</f>
        <v>0.995</v>
      </c>
      <c r="BL1149" s="25">
        <f>Inventory[[#This Row],[Nbhd Adj]]*0.95</f>
        <v>0.94971499999999998</v>
      </c>
      <c r="BM1149" s="25">
        <f>Inventory[[#This Row],[Nbhd Adj]]*Inventory[[#This Row],[Quality Adj]]*Inventory[[#This Row],[Condition Adj]]*Inventory[[#This Row],[Living Area Adj]]*Inventory[[#This Row],[Decade Adj]]*0.95</f>
        <v>0.94053384219145564</v>
      </c>
      <c r="BN1149" s="25">
        <f>ROUND(SUM(Inventory[[#This Row],[Mdl Qlty]:[Mdl WdDeck]])+Inventory[[#This Row],[Mdl Res Intercept]]*Inventory[[#This Row],[Res Adj ]],-2)</f>
        <v>297100</v>
      </c>
      <c r="BO1149" s="25">
        <f>ROUND(Inventory[[#This Row],[25Det]]*Inventory[[#This Row],[Det/Nbhd Adj]],-2)</f>
        <v>0</v>
      </c>
      <c r="BP1149" s="25">
        <f>Inventory[[#This Row],[Adjusted Res]]+Inventory[[#This Row],[Adj Det ]]</f>
        <v>297100</v>
      </c>
      <c r="BQ1149" s="25">
        <f>ROUND((Inventory[[#This Row],[Mdl Land Intercept]]+Inventory[[#This Row],[Mdl LnAcres]])*Inventory[[#This Row],[Det/Nbhd Adj]],-2)</f>
        <v>38400</v>
      </c>
      <c r="BR1149" s="25">
        <f>Inventory[[#This Row],[Adjusted Impr Total]]+Inventory[[#This Row],[Adjusted Land Total]]</f>
        <v>335500</v>
      </c>
      <c r="BS1149" s="36">
        <f>IFERROR((Inventory[[#This Row],[Adjusted Impr Total]]-Inventory[[#This Row],[24Bldg]])/Inventory[[#This Row],[24Bldg]],0)</f>
        <v>8.7083790706183675E-2</v>
      </c>
      <c r="BT1149" s="36">
        <f>(Inventory[[#This Row],[Adjusted Land Total]]-Inventory[[#This Row],[24Lnd]])/Inventory[[#This Row],[24Lnd]]</f>
        <v>-0.36106489184692181</v>
      </c>
      <c r="BU1149" s="36">
        <f>(Inventory[[#This Row],[Adjusted Total]]-Inventory[[#This Row],[24Final]])/Inventory[[#This Row],[24Final]]</f>
        <v>6.2987402519496102E-3</v>
      </c>
    </row>
    <row r="1150" spans="1:73" x14ac:dyDescent="0.3">
      <c r="A1150" s="25">
        <v>2025</v>
      </c>
      <c r="B1150" s="26" t="s">
        <v>2605</v>
      </c>
      <c r="C1150" s="26">
        <f>LN(Inventory[[#This Row],[Acres]])</f>
        <v>-1.7719568419318752</v>
      </c>
      <c r="D1150" s="25">
        <v>0.17</v>
      </c>
      <c r="E1150" s="25">
        <v>7348</v>
      </c>
      <c r="F1150" s="26" t="s">
        <v>537</v>
      </c>
      <c r="G1150" s="26" t="s">
        <v>126</v>
      </c>
      <c r="H1150" s="26" t="s">
        <v>349</v>
      </c>
      <c r="I1150" s="26" t="s">
        <v>538</v>
      </c>
      <c r="J1150" s="26" t="s">
        <v>539</v>
      </c>
      <c r="K1150" s="26" t="s">
        <v>242</v>
      </c>
      <c r="L1150" s="26" t="s">
        <v>351</v>
      </c>
      <c r="M1150" s="26" t="s">
        <v>323</v>
      </c>
      <c r="N1150" s="26">
        <v>80</v>
      </c>
      <c r="O1150" s="26">
        <f>2024-Inventory[[#This Row],[YrBlt]]</f>
        <v>79</v>
      </c>
      <c r="P1150" s="26">
        <f>2024-Inventory[[#This Row],[EffYr]]</f>
        <v>52</v>
      </c>
      <c r="Q1150" s="25">
        <v>1945</v>
      </c>
      <c r="R1150" s="25">
        <v>1972</v>
      </c>
      <c r="S1150" s="25">
        <v>1412</v>
      </c>
      <c r="T1150" s="27"/>
      <c r="U1150" s="25">
        <v>1040</v>
      </c>
      <c r="V1150" s="25">
        <f>Inventory[[#This Row],[Bsmt]]-Inventory[[#This Row],[FnBsmt]]</f>
        <v>0</v>
      </c>
      <c r="W1150" s="25">
        <v>1040</v>
      </c>
      <c r="X1150" s="27"/>
      <c r="Y1150" s="27">
        <f>Inventory[[#This Row],[MainFn]]+Inventory[[#This Row],[UpprFn]]+Inventory[[#This Row],[FnBsmt]]+Inventory[[#This Row],[AddFn]]</f>
        <v>2452</v>
      </c>
      <c r="Z1150" s="27">
        <v>2500</v>
      </c>
      <c r="AA1150" s="25">
        <v>9</v>
      </c>
      <c r="AB1150" s="27"/>
      <c r="AC1150" s="27"/>
      <c r="AD1150" s="27"/>
      <c r="AE1150" s="27"/>
      <c r="AF1150" s="27"/>
      <c r="AG1150" s="27"/>
      <c r="AH1150" s="27"/>
      <c r="AI1150" s="25">
        <v>319873</v>
      </c>
      <c r="AJ1150" s="25">
        <v>217514</v>
      </c>
      <c r="AK1150" s="25">
        <v>1069</v>
      </c>
      <c r="AL1150" s="25">
        <v>336200</v>
      </c>
      <c r="AM1150" s="25">
        <v>52700</v>
      </c>
      <c r="AN1150" s="25">
        <v>283500</v>
      </c>
      <c r="AO1150" s="25">
        <v>0</v>
      </c>
      <c r="AP1150" s="25">
        <f>Lookups!$B$56*0</f>
        <v>0</v>
      </c>
      <c r="AQ1150" s="25">
        <f>Lookups!$B$56*1</f>
        <v>89850.625589999996</v>
      </c>
      <c r="AR1150" s="25">
        <f>Lookups!$B$57*Inventory[[#This Row],[LnAcres]]</f>
        <v>-56090.612940989391</v>
      </c>
      <c r="AS1150" s="25">
        <f>VLOOKUP(Inventory[[#This Row],[Qlty]],Lookups!$A$62:$E$75,2,FALSE)</f>
        <v>21557.329055999999</v>
      </c>
      <c r="AT1150" s="25">
        <f>VLOOKUP(Inventory[[#This Row],[Cnd]],Lookups!$A$76:$E$84,2,FALSE)</f>
        <v>160472.20319</v>
      </c>
      <c r="AU1150" s="25">
        <f>Inventory[[#This Row],[EffAge]]*Lookups!$B$85</f>
        <v>-11598.371226000001</v>
      </c>
      <c r="AV1150" s="25">
        <f>Inventory[[#This Row],[MainFn]]*Lookups!$B$86</f>
        <v>69765.041866323998</v>
      </c>
      <c r="AW1150" s="25">
        <f>Inventory[[#This Row],[UpprFn]]*Lookups!$B$87</f>
        <v>0</v>
      </c>
      <c r="AX1150" s="25">
        <f>Inventory[[#This Row],[AddFn]]*Lookups!$B$88</f>
        <v>0</v>
      </c>
      <c r="AY1150" s="25">
        <f>Inventory[[#This Row],[Bsmt]]*Lookups!$B$89</f>
        <v>30245.171056879997</v>
      </c>
      <c r="AZ1150" s="25">
        <f>Inventory[[#This Row],[Fixtures]]*Lookups!$B$90</f>
        <v>34128.198946800003</v>
      </c>
      <c r="BA1150" s="25">
        <f>Inventory[[#This Row],[WdDeck]]*Lookups!$B$91</f>
        <v>0</v>
      </c>
      <c r="BB1150" s="25">
        <f>ROUND(Inventory[[#This Row],[25Det]],-2)</f>
        <v>1100</v>
      </c>
      <c r="BC1150" s="25">
        <f>ROUND(SUM(Inventory[[#This Row],[Mdl Qlty]:[Mdl WdDeck]])+Inventory[[#This Row],[Mdl Res Intercept]],-2)</f>
        <v>304600</v>
      </c>
      <c r="BD1150" s="25">
        <f>ROUND(Inventory[[#This Row],[Mdl Land Intercept]]+Inventory[[#This Row],[Mdl LnAcres]],-2)</f>
        <v>33800</v>
      </c>
      <c r="BE1150" s="25">
        <f>Inventory[[#This Row],[Unadj Res Value]]+Inventory[[#This Row],[Unadj Det Value]]+Inventory[[#This Row],[Unadj Land Value]]</f>
        <v>339500</v>
      </c>
      <c r="BF1150" s="36">
        <f>(Inventory[[#This Row],[Unadj Total Value]]-Inventory[[#This Row],[24Final]])/Inventory[[#This Row],[24Final]]</f>
        <v>9.815585960737656E-3</v>
      </c>
      <c r="BG1150" s="25">
        <f>VLOOKUP(Inventory[[#This Row],[Nbhd]],Lookups!$Q$2:$T$4,4,FALSE)</f>
        <v>0.99970000000000003</v>
      </c>
      <c r="BH1150" s="25">
        <f>VLOOKUP(Inventory[[#This Row],[Qlty]],Lookups!$O$7:$R$21,4,FALSE)</f>
        <v>1.0067999999999999</v>
      </c>
      <c r="BI1150" s="25">
        <f>VLOOKUP(Inventory[[#This Row],[Cnd]],Lookups!$T$7:$W$16,4,FALSE)</f>
        <v>0.99729999999999996</v>
      </c>
      <c r="BJ1150" s="25">
        <f>VLOOKUP(Inventory[[#This Row],[LivArea Range]],Lookups!$T$25:$W$37,4,FALSE)</f>
        <v>0.98919999999999997</v>
      </c>
      <c r="BK1150" s="25">
        <f>VLOOKUP(Inventory[[#This Row],[Decade]],Lookups!$O$25:$R$42,4,FALSE)</f>
        <v>0.995</v>
      </c>
      <c r="BL1150" s="25">
        <f>Inventory[[#This Row],[Nbhd Adj]]*0.95</f>
        <v>0.94971499999999998</v>
      </c>
      <c r="BM1150" s="25">
        <f>Inventory[[#This Row],[Nbhd Adj]]*Inventory[[#This Row],[Quality Adj]]*Inventory[[#This Row],[Condition Adj]]*Inventory[[#This Row],[Living Area Adj]]*Inventory[[#This Row],[Decade Adj]]*0.95</f>
        <v>0.93857614463114025</v>
      </c>
      <c r="BN1150" s="25">
        <f>ROUND(SUM(Inventory[[#This Row],[Mdl Qlty]:[Mdl WdDeck]])+Inventory[[#This Row],[Mdl Res Intercept]]*Inventory[[#This Row],[Res Adj ]],-2)</f>
        <v>304600</v>
      </c>
      <c r="BO1150" s="25">
        <f>ROUND(Inventory[[#This Row],[25Det]]*Inventory[[#This Row],[Det/Nbhd Adj]],-2)</f>
        <v>1000</v>
      </c>
      <c r="BP1150" s="25">
        <f>Inventory[[#This Row],[Adjusted Res]]+Inventory[[#This Row],[Adj Det ]]</f>
        <v>305600</v>
      </c>
      <c r="BQ1150" s="25">
        <f>ROUND((Inventory[[#This Row],[Mdl Land Intercept]]+Inventory[[#This Row],[Mdl LnAcres]])*Inventory[[#This Row],[Det/Nbhd Adj]],-2)</f>
        <v>32100</v>
      </c>
      <c r="BR1150" s="25">
        <f>Inventory[[#This Row],[Adjusted Impr Total]]+Inventory[[#This Row],[Adjusted Land Total]]</f>
        <v>337700</v>
      </c>
      <c r="BS1150" s="36">
        <f>IFERROR((Inventory[[#This Row],[Adjusted Impr Total]]-Inventory[[#This Row],[24Bldg]])/Inventory[[#This Row],[24Bldg]],0)</f>
        <v>7.7954144620811294E-2</v>
      </c>
      <c r="BT1150" s="36">
        <f>(Inventory[[#This Row],[Adjusted Land Total]]-Inventory[[#This Row],[24Lnd]])/Inventory[[#This Row],[24Lnd]]</f>
        <v>-0.39089184060721061</v>
      </c>
      <c r="BU1150" s="36">
        <f>(Inventory[[#This Row],[Adjusted Total]]-Inventory[[#This Row],[24Final]])/Inventory[[#This Row],[24Final]]</f>
        <v>4.46162998215348E-3</v>
      </c>
    </row>
    <row r="1151" spans="1:73" x14ac:dyDescent="0.3">
      <c r="A1151" s="25">
        <v>2025</v>
      </c>
      <c r="B1151" s="26" t="s">
        <v>776</v>
      </c>
      <c r="C1151" s="26">
        <f>LN(Inventory[[#This Row],[Acres]])</f>
        <v>-1.7147984280919266</v>
      </c>
      <c r="D1151" s="25">
        <v>0.18</v>
      </c>
      <c r="E1151" s="25">
        <v>7656</v>
      </c>
      <c r="F1151" s="26" t="s">
        <v>537</v>
      </c>
      <c r="G1151" s="26" t="s">
        <v>126</v>
      </c>
      <c r="H1151" s="26" t="s">
        <v>349</v>
      </c>
      <c r="I1151" s="26" t="s">
        <v>538</v>
      </c>
      <c r="J1151" s="26" t="s">
        <v>539</v>
      </c>
      <c r="K1151" s="26" t="s">
        <v>241</v>
      </c>
      <c r="L1151" s="26" t="s">
        <v>351</v>
      </c>
      <c r="M1151" s="26" t="s">
        <v>323</v>
      </c>
      <c r="N1151" s="26">
        <v>80</v>
      </c>
      <c r="O1151" s="26">
        <f>2024-Inventory[[#This Row],[YrBlt]]</f>
        <v>79</v>
      </c>
      <c r="P1151" s="26">
        <f>2024-Inventory[[#This Row],[EffYr]]</f>
        <v>52</v>
      </c>
      <c r="Q1151" s="25">
        <v>1945</v>
      </c>
      <c r="R1151" s="25">
        <v>1972</v>
      </c>
      <c r="S1151" s="25">
        <v>1207</v>
      </c>
      <c r="T1151" s="27"/>
      <c r="U1151" s="25">
        <v>1207</v>
      </c>
      <c r="V1151" s="25">
        <f>Inventory[[#This Row],[Bsmt]]-Inventory[[#This Row],[FnBsmt]]</f>
        <v>0</v>
      </c>
      <c r="W1151" s="25">
        <v>1207</v>
      </c>
      <c r="X1151" s="27"/>
      <c r="Y1151" s="27">
        <f>Inventory[[#This Row],[MainFn]]+Inventory[[#This Row],[UpprFn]]+Inventory[[#This Row],[FnBsmt]]+Inventory[[#This Row],[AddFn]]</f>
        <v>2414</v>
      </c>
      <c r="Z1151" s="27">
        <v>2500</v>
      </c>
      <c r="AA1151" s="25">
        <v>7</v>
      </c>
      <c r="AB1151" s="25">
        <v>220</v>
      </c>
      <c r="AC1151" s="27"/>
      <c r="AD1151" s="27"/>
      <c r="AE1151" s="27"/>
      <c r="AF1151" s="27"/>
      <c r="AG1151" s="27"/>
      <c r="AH1151" s="27"/>
      <c r="AI1151" s="25">
        <v>312855</v>
      </c>
      <c r="AJ1151" s="25">
        <v>212741</v>
      </c>
      <c r="AK1151" s="25">
        <v>20784</v>
      </c>
      <c r="AL1151" s="25">
        <v>344200</v>
      </c>
      <c r="AM1151" s="25">
        <v>54700</v>
      </c>
      <c r="AN1151" s="25">
        <v>289500</v>
      </c>
      <c r="AO1151" s="25">
        <v>0</v>
      </c>
      <c r="AP1151" s="25">
        <f>Lookups!$B$56*0</f>
        <v>0</v>
      </c>
      <c r="AQ1151" s="25">
        <f>Lookups!$B$56*1</f>
        <v>89850.625589999996</v>
      </c>
      <c r="AR1151" s="25">
        <f>Lookups!$B$57*Inventory[[#This Row],[LnAcres]]</f>
        <v>-54281.285314520763</v>
      </c>
      <c r="AS1151" s="25">
        <f>VLOOKUP(Inventory[[#This Row],[Qlty]],Lookups!$A$62:$E$75,2,FALSE)</f>
        <v>21557.329055999999</v>
      </c>
      <c r="AT1151" s="25">
        <f>VLOOKUP(Inventory[[#This Row],[Cnd]],Lookups!$A$76:$E$84,2,FALSE)</f>
        <v>160472.20319</v>
      </c>
      <c r="AU1151" s="25">
        <f>Inventory[[#This Row],[EffAge]]*Lookups!$B$85</f>
        <v>-11598.371226000001</v>
      </c>
      <c r="AV1151" s="25">
        <f>Inventory[[#This Row],[MainFn]]*Lookups!$B$86</f>
        <v>59636.264541539</v>
      </c>
      <c r="AW1151" s="25">
        <f>Inventory[[#This Row],[UpprFn]]*Lookups!$B$87</f>
        <v>0</v>
      </c>
      <c r="AX1151" s="25">
        <f>Inventory[[#This Row],[AddFn]]*Lookups!$B$88</f>
        <v>0</v>
      </c>
      <c r="AY1151" s="25">
        <f>Inventory[[#This Row],[Bsmt]]*Lookups!$B$89</f>
        <v>35101.847563128998</v>
      </c>
      <c r="AZ1151" s="25">
        <f>Inventory[[#This Row],[Fixtures]]*Lookups!$B$90</f>
        <v>26544.1547364</v>
      </c>
      <c r="BA1151" s="25">
        <f>Inventory[[#This Row],[WdDeck]]*Lookups!$B$91</f>
        <v>0</v>
      </c>
      <c r="BB1151" s="25">
        <f>ROUND(Inventory[[#This Row],[25Det]],-2)</f>
        <v>20800</v>
      </c>
      <c r="BC1151" s="25">
        <f>ROUND(SUM(Inventory[[#This Row],[Mdl Qlty]:[Mdl WdDeck]])+Inventory[[#This Row],[Mdl Res Intercept]],-2)</f>
        <v>291700</v>
      </c>
      <c r="BD1151" s="25">
        <f>ROUND(Inventory[[#This Row],[Mdl Land Intercept]]+Inventory[[#This Row],[Mdl LnAcres]],-2)</f>
        <v>35600</v>
      </c>
      <c r="BE1151" s="25">
        <f>Inventory[[#This Row],[Unadj Res Value]]+Inventory[[#This Row],[Unadj Det Value]]+Inventory[[#This Row],[Unadj Land Value]]</f>
        <v>348100</v>
      </c>
      <c r="BF1151" s="36">
        <f>(Inventory[[#This Row],[Unadj Total Value]]-Inventory[[#This Row],[24Final]])/Inventory[[#This Row],[24Final]]</f>
        <v>1.1330621731551424E-2</v>
      </c>
      <c r="BG1151" s="25">
        <f>VLOOKUP(Inventory[[#This Row],[Nbhd]],Lookups!$Q$2:$T$4,4,FALSE)</f>
        <v>0.99970000000000003</v>
      </c>
      <c r="BH1151" s="25">
        <f>VLOOKUP(Inventory[[#This Row],[Qlty]],Lookups!$O$7:$R$21,4,FALSE)</f>
        <v>1.0067999999999999</v>
      </c>
      <c r="BI1151" s="25">
        <f>VLOOKUP(Inventory[[#This Row],[Cnd]],Lookups!$T$7:$W$16,4,FALSE)</f>
        <v>0.99729999999999996</v>
      </c>
      <c r="BJ1151" s="25">
        <f>VLOOKUP(Inventory[[#This Row],[LivArea Range]],Lookups!$T$25:$W$37,4,FALSE)</f>
        <v>0.98919999999999997</v>
      </c>
      <c r="BK1151" s="25">
        <f>VLOOKUP(Inventory[[#This Row],[Decade]],Lookups!$O$25:$R$42,4,FALSE)</f>
        <v>0.995</v>
      </c>
      <c r="BL1151" s="25">
        <f>Inventory[[#This Row],[Nbhd Adj]]*0.95</f>
        <v>0.94971499999999998</v>
      </c>
      <c r="BM1151" s="25">
        <f>Inventory[[#This Row],[Nbhd Adj]]*Inventory[[#This Row],[Quality Adj]]*Inventory[[#This Row],[Condition Adj]]*Inventory[[#This Row],[Living Area Adj]]*Inventory[[#This Row],[Decade Adj]]*0.95</f>
        <v>0.93857614463114025</v>
      </c>
      <c r="BN1151" s="25">
        <f>ROUND(SUM(Inventory[[#This Row],[Mdl Qlty]:[Mdl WdDeck]])+Inventory[[#This Row],[Mdl Res Intercept]]*Inventory[[#This Row],[Res Adj ]],-2)</f>
        <v>291700</v>
      </c>
      <c r="BO1151" s="25">
        <f>ROUND(Inventory[[#This Row],[25Det]]*Inventory[[#This Row],[Det/Nbhd Adj]],-2)</f>
        <v>19700</v>
      </c>
      <c r="BP1151" s="25">
        <f>Inventory[[#This Row],[Adjusted Res]]+Inventory[[#This Row],[Adj Det ]]</f>
        <v>311400</v>
      </c>
      <c r="BQ1151" s="25">
        <f>ROUND((Inventory[[#This Row],[Mdl Land Intercept]]+Inventory[[#This Row],[Mdl LnAcres]])*Inventory[[#This Row],[Det/Nbhd Adj]],-2)</f>
        <v>33800</v>
      </c>
      <c r="BR1151" s="25">
        <f>Inventory[[#This Row],[Adjusted Impr Total]]+Inventory[[#This Row],[Adjusted Land Total]]</f>
        <v>345200</v>
      </c>
      <c r="BS1151" s="36">
        <f>IFERROR((Inventory[[#This Row],[Adjusted Impr Total]]-Inventory[[#This Row],[24Bldg]])/Inventory[[#This Row],[24Bldg]],0)</f>
        <v>7.5647668393782383E-2</v>
      </c>
      <c r="BT1151" s="36">
        <f>(Inventory[[#This Row],[Adjusted Land Total]]-Inventory[[#This Row],[24Lnd]])/Inventory[[#This Row],[24Lnd]]</f>
        <v>-0.38208409506398539</v>
      </c>
      <c r="BU1151" s="36">
        <f>(Inventory[[#This Row],[Adjusted Total]]-Inventory[[#This Row],[24Final]])/Inventory[[#This Row],[24Final]]</f>
        <v>2.905287623474724E-3</v>
      </c>
    </row>
    <row r="1152" spans="1:73" x14ac:dyDescent="0.3">
      <c r="A1152" s="25">
        <v>2025</v>
      </c>
      <c r="B1152" s="26" t="s">
        <v>1439</v>
      </c>
      <c r="C1152" s="26">
        <f>LN(Inventory[[#This Row],[Acres]])</f>
        <v>-1.2378743560016174</v>
      </c>
      <c r="D1152" s="25">
        <v>0.28999999999999998</v>
      </c>
      <c r="E1152" s="32">
        <v>12682</v>
      </c>
      <c r="F1152" s="26" t="s">
        <v>537</v>
      </c>
      <c r="G1152" s="26" t="s">
        <v>126</v>
      </c>
      <c r="H1152" s="26" t="s">
        <v>349</v>
      </c>
      <c r="I1152" s="26" t="s">
        <v>538</v>
      </c>
      <c r="J1152" s="26" t="s">
        <v>539</v>
      </c>
      <c r="K1152" s="26" t="s">
        <v>242</v>
      </c>
      <c r="L1152" s="26" t="s">
        <v>351</v>
      </c>
      <c r="M1152" s="26" t="s">
        <v>323</v>
      </c>
      <c r="N1152" s="26">
        <v>80</v>
      </c>
      <c r="O1152" s="26">
        <f>2024-Inventory[[#This Row],[YrBlt]]</f>
        <v>79</v>
      </c>
      <c r="P1152" s="26">
        <f>2024-Inventory[[#This Row],[EffYr]]</f>
        <v>52</v>
      </c>
      <c r="Q1152" s="25">
        <v>1945</v>
      </c>
      <c r="R1152" s="25">
        <v>1972</v>
      </c>
      <c r="S1152" s="25">
        <v>1728</v>
      </c>
      <c r="T1152" s="27"/>
      <c r="U1152" s="25">
        <v>1497</v>
      </c>
      <c r="V1152" s="25">
        <f>Inventory[[#This Row],[Bsmt]]-Inventory[[#This Row],[FnBsmt]]</f>
        <v>0</v>
      </c>
      <c r="W1152" s="25">
        <v>1497</v>
      </c>
      <c r="X1152" s="27"/>
      <c r="Y1152" s="27">
        <f>Inventory[[#This Row],[MainFn]]+Inventory[[#This Row],[UpprFn]]+Inventory[[#This Row],[FnBsmt]]+Inventory[[#This Row],[AddFn]]</f>
        <v>3225</v>
      </c>
      <c r="Z1152" s="27">
        <v>3500</v>
      </c>
      <c r="AA1152" s="25">
        <v>8</v>
      </c>
      <c r="AB1152" s="27"/>
      <c r="AC1152" s="27"/>
      <c r="AD1152" s="32">
        <v>132</v>
      </c>
      <c r="AE1152" s="27"/>
      <c r="AF1152" s="27"/>
      <c r="AG1152" s="27"/>
      <c r="AH1152" s="27"/>
      <c r="AI1152" s="25">
        <v>405639</v>
      </c>
      <c r="AJ1152" s="25">
        <v>275835</v>
      </c>
      <c r="AK1152" s="25">
        <v>19446</v>
      </c>
      <c r="AL1152" s="25">
        <v>400100</v>
      </c>
      <c r="AM1152" s="25">
        <v>71400</v>
      </c>
      <c r="AN1152" s="25">
        <v>328700</v>
      </c>
      <c r="AO1152" s="25">
        <v>0</v>
      </c>
      <c r="AP1152" s="25">
        <f>Lookups!$B$56*0</f>
        <v>0</v>
      </c>
      <c r="AQ1152" s="25">
        <f>Lookups!$B$56*1</f>
        <v>89850.625589999996</v>
      </c>
      <c r="AR1152" s="25">
        <f>Lookups!$B$57*Inventory[[#This Row],[LnAcres]]</f>
        <v>-39184.437074869042</v>
      </c>
      <c r="AS1152" s="25">
        <f>VLOOKUP(Inventory[[#This Row],[Qlty]],Lookups!$A$62:$E$75,2,FALSE)</f>
        <v>21557.329055999999</v>
      </c>
      <c r="AT1152" s="25">
        <f>VLOOKUP(Inventory[[#This Row],[Cnd]],Lookups!$A$76:$E$84,2,FALSE)</f>
        <v>160472.20319</v>
      </c>
      <c r="AU1152" s="25">
        <f>Inventory[[#This Row],[EffAge]]*Lookups!$B$85</f>
        <v>-11598.371226000001</v>
      </c>
      <c r="AV1152" s="25">
        <f>Inventory[[#This Row],[MainFn]]*Lookups!$B$86</f>
        <v>85378.181547455999</v>
      </c>
      <c r="AW1152" s="25">
        <f>Inventory[[#This Row],[UpprFn]]*Lookups!$B$87</f>
        <v>0</v>
      </c>
      <c r="AX1152" s="25">
        <f>Inventory[[#This Row],[AddFn]]*Lookups!$B$88</f>
        <v>0</v>
      </c>
      <c r="AY1152" s="25">
        <f>Inventory[[#This Row],[Bsmt]]*Lookups!$B$89</f>
        <v>43535.597184758997</v>
      </c>
      <c r="AZ1152" s="25">
        <f>Inventory[[#This Row],[Fixtures]]*Lookups!$B$90</f>
        <v>30336.176841600001</v>
      </c>
      <c r="BA1152" s="25">
        <f>Inventory[[#This Row],[WdDeck]]*Lookups!$B$91</f>
        <v>4395.0080164320007</v>
      </c>
      <c r="BB1152" s="25">
        <f>ROUND(Inventory[[#This Row],[25Det]],-2)</f>
        <v>19400</v>
      </c>
      <c r="BC1152" s="25">
        <f>ROUND(SUM(Inventory[[#This Row],[Mdl Qlty]:[Mdl WdDeck]])+Inventory[[#This Row],[Mdl Res Intercept]],-2)</f>
        <v>334100</v>
      </c>
      <c r="BD1152" s="25">
        <f>ROUND(Inventory[[#This Row],[Mdl Land Intercept]]+Inventory[[#This Row],[Mdl LnAcres]],-2)</f>
        <v>50700</v>
      </c>
      <c r="BE1152" s="25">
        <f>Inventory[[#This Row],[Unadj Res Value]]+Inventory[[#This Row],[Unadj Det Value]]+Inventory[[#This Row],[Unadj Land Value]]</f>
        <v>404200</v>
      </c>
      <c r="BF1152" s="36">
        <f>(Inventory[[#This Row],[Unadj Total Value]]-Inventory[[#This Row],[24Final]])/Inventory[[#This Row],[24Final]]</f>
        <v>1.0247438140464884E-2</v>
      </c>
      <c r="BG1152" s="25">
        <f>VLOOKUP(Inventory[[#This Row],[Nbhd]],Lookups!$Q$2:$T$4,4,FALSE)</f>
        <v>0.99970000000000003</v>
      </c>
      <c r="BH1152" s="25">
        <f>VLOOKUP(Inventory[[#This Row],[Qlty]],Lookups!$O$7:$R$21,4,FALSE)</f>
        <v>1.0067999999999999</v>
      </c>
      <c r="BI1152" s="25">
        <f>VLOOKUP(Inventory[[#This Row],[Cnd]],Lookups!$T$7:$W$16,4,FALSE)</f>
        <v>0.99729999999999996</v>
      </c>
      <c r="BJ1152" s="25">
        <f>VLOOKUP(Inventory[[#This Row],[LivArea Range]],Lookups!$T$25:$W$37,4,FALSE)</f>
        <v>1.0126999999999999</v>
      </c>
      <c r="BK1152" s="25">
        <f>VLOOKUP(Inventory[[#This Row],[Decade]],Lookups!$O$25:$R$42,4,FALSE)</f>
        <v>0.995</v>
      </c>
      <c r="BL1152" s="25">
        <f>Inventory[[#This Row],[Nbhd Adj]]*0.95</f>
        <v>0.94971499999999998</v>
      </c>
      <c r="BM1152" s="25">
        <f>Inventory[[#This Row],[Nbhd Adj]]*Inventory[[#This Row],[Quality Adj]]*Inventory[[#This Row],[Condition Adj]]*Inventory[[#This Row],[Living Area Adj]]*Inventory[[#This Row],[Decade Adj]]*0.95</f>
        <v>0.96087349541847533</v>
      </c>
      <c r="BN1152" s="25">
        <f>ROUND(SUM(Inventory[[#This Row],[Mdl Qlty]:[Mdl WdDeck]])+Inventory[[#This Row],[Mdl Res Intercept]]*Inventory[[#This Row],[Res Adj ]],-2)</f>
        <v>334100</v>
      </c>
      <c r="BO1152" s="25">
        <f>ROUND(Inventory[[#This Row],[25Det]]*Inventory[[#This Row],[Det/Nbhd Adj]],-2)</f>
        <v>18500</v>
      </c>
      <c r="BP1152" s="25">
        <f>Inventory[[#This Row],[Adjusted Res]]+Inventory[[#This Row],[Adj Det ]]</f>
        <v>352600</v>
      </c>
      <c r="BQ1152" s="25">
        <f>ROUND((Inventory[[#This Row],[Mdl Land Intercept]]+Inventory[[#This Row],[Mdl LnAcres]])*Inventory[[#This Row],[Det/Nbhd Adj]],-2)</f>
        <v>48100</v>
      </c>
      <c r="BR1152" s="25">
        <f>Inventory[[#This Row],[Adjusted Impr Total]]+Inventory[[#This Row],[Adjusted Land Total]]</f>
        <v>400700</v>
      </c>
      <c r="BS1152" s="36">
        <f>IFERROR((Inventory[[#This Row],[Adjusted Impr Total]]-Inventory[[#This Row],[24Bldg]])/Inventory[[#This Row],[24Bldg]],0)</f>
        <v>7.271067843017949E-2</v>
      </c>
      <c r="BT1152" s="36">
        <f>(Inventory[[#This Row],[Adjusted Land Total]]-Inventory[[#This Row],[24Lnd]])/Inventory[[#This Row],[24Lnd]]</f>
        <v>-0.32633053221288516</v>
      </c>
      <c r="BU1152" s="36">
        <f>(Inventory[[#This Row],[Adjusted Total]]-Inventory[[#This Row],[24Final]])/Inventory[[#This Row],[24Final]]</f>
        <v>1.4996250937265683E-3</v>
      </c>
    </row>
    <row r="1153" spans="1:73" x14ac:dyDescent="0.3">
      <c r="A1153" s="25">
        <v>2025</v>
      </c>
      <c r="B1153" s="26" t="s">
        <v>804</v>
      </c>
      <c r="C1153" s="26">
        <f>LN(Inventory[[#This Row],[Acres]])</f>
        <v>-1.6094379124341003</v>
      </c>
      <c r="D1153" s="25">
        <v>0.2</v>
      </c>
      <c r="E1153" s="25">
        <v>8581</v>
      </c>
      <c r="F1153" s="26" t="s">
        <v>537</v>
      </c>
      <c r="G1153" s="26" t="s">
        <v>126</v>
      </c>
      <c r="H1153" s="26" t="s">
        <v>349</v>
      </c>
      <c r="I1153" s="26" t="s">
        <v>538</v>
      </c>
      <c r="J1153" s="26" t="s">
        <v>539</v>
      </c>
      <c r="K1153" s="26" t="s">
        <v>242</v>
      </c>
      <c r="L1153" s="26" t="s">
        <v>205</v>
      </c>
      <c r="M1153" s="26" t="s">
        <v>323</v>
      </c>
      <c r="N1153" s="26">
        <v>80</v>
      </c>
      <c r="O1153" s="26">
        <f>2024-Inventory[[#This Row],[YrBlt]]</f>
        <v>79</v>
      </c>
      <c r="P1153" s="26">
        <f>2024-Inventory[[#This Row],[EffYr]]</f>
        <v>52</v>
      </c>
      <c r="Q1153" s="25">
        <v>1945</v>
      </c>
      <c r="R1153" s="25">
        <v>1972</v>
      </c>
      <c r="S1153" s="25">
        <v>1007</v>
      </c>
      <c r="T1153" s="31"/>
      <c r="U1153" s="25">
        <v>755</v>
      </c>
      <c r="V1153" s="25">
        <f>Inventory[[#This Row],[Bsmt]]-Inventory[[#This Row],[FnBsmt]]</f>
        <v>0</v>
      </c>
      <c r="W1153" s="25">
        <v>755</v>
      </c>
      <c r="X1153" s="27"/>
      <c r="Y1153" s="27">
        <f>Inventory[[#This Row],[MainFn]]+Inventory[[#This Row],[UpprFn]]+Inventory[[#This Row],[FnBsmt]]+Inventory[[#This Row],[AddFn]]</f>
        <v>1762</v>
      </c>
      <c r="Z1153" s="27">
        <v>2000</v>
      </c>
      <c r="AA1153" s="25">
        <v>9</v>
      </c>
      <c r="AB1153" s="32">
        <v>200</v>
      </c>
      <c r="AC1153" s="27"/>
      <c r="AD1153" s="27"/>
      <c r="AE1153" s="27"/>
      <c r="AF1153" s="27"/>
      <c r="AG1153" s="27"/>
      <c r="AH1153" s="27"/>
      <c r="AI1153" s="25">
        <v>241768</v>
      </c>
      <c r="AJ1153" s="25">
        <v>164402</v>
      </c>
      <c r="AK1153" s="25">
        <v>3372</v>
      </c>
      <c r="AL1153" s="25">
        <v>299200</v>
      </c>
      <c r="AM1153" s="25">
        <v>58400</v>
      </c>
      <c r="AN1153" s="25">
        <v>240800</v>
      </c>
      <c r="AO1153" s="25">
        <v>0</v>
      </c>
      <c r="AP1153" s="25">
        <f>Lookups!$B$56*0</f>
        <v>0</v>
      </c>
      <c r="AQ1153" s="25">
        <f>Lookups!$B$56*1</f>
        <v>89850.625589999996</v>
      </c>
      <c r="AR1153" s="25">
        <f>Lookups!$B$57*Inventory[[#This Row],[LnAcres]]</f>
        <v>-50946.13867709865</v>
      </c>
      <c r="AS1153" s="25">
        <f>VLOOKUP(Inventory[[#This Row],[Qlty]],Lookups!$A$62:$E$75,2,FALSE)</f>
        <v>0</v>
      </c>
      <c r="AT1153" s="25">
        <f>VLOOKUP(Inventory[[#This Row],[Cnd]],Lookups!$A$76:$E$84,2,FALSE)</f>
        <v>160472.20319</v>
      </c>
      <c r="AU1153" s="25">
        <f>Inventory[[#This Row],[EffAge]]*Lookups!$B$85</f>
        <v>-11598.371226000001</v>
      </c>
      <c r="AV1153" s="25">
        <f>Inventory[[#This Row],[MainFn]]*Lookups!$B$86</f>
        <v>49754.530566139001</v>
      </c>
      <c r="AW1153" s="25">
        <f>Inventory[[#This Row],[UpprFn]]*Lookups!$B$87</f>
        <v>0</v>
      </c>
      <c r="AX1153" s="25">
        <f>Inventory[[#This Row],[AddFn]]*Lookups!$B$88</f>
        <v>0</v>
      </c>
      <c r="AY1153" s="25">
        <f>Inventory[[#This Row],[Bsmt]]*Lookups!$B$89</f>
        <v>21956.830911484998</v>
      </c>
      <c r="AZ1153" s="25">
        <f>Inventory[[#This Row],[Fixtures]]*Lookups!$B$90</f>
        <v>34128.198946800003</v>
      </c>
      <c r="BA1153" s="25">
        <f>Inventory[[#This Row],[WdDeck]]*Lookups!$B$91</f>
        <v>0</v>
      </c>
      <c r="BB1153" s="25">
        <f>ROUND(Inventory[[#This Row],[25Det]],-2)</f>
        <v>3400</v>
      </c>
      <c r="BC1153" s="25">
        <f>ROUND(SUM(Inventory[[#This Row],[Mdl Qlty]:[Mdl WdDeck]])+Inventory[[#This Row],[Mdl Res Intercept]],-2)</f>
        <v>254700</v>
      </c>
      <c r="BD1153" s="25">
        <f>ROUND(Inventory[[#This Row],[Mdl Land Intercept]]+Inventory[[#This Row],[Mdl LnAcres]],-2)</f>
        <v>38900</v>
      </c>
      <c r="BE1153" s="25">
        <f>Inventory[[#This Row],[Unadj Res Value]]+Inventory[[#This Row],[Unadj Det Value]]+Inventory[[#This Row],[Unadj Land Value]]</f>
        <v>297000</v>
      </c>
      <c r="BF1153" s="36">
        <f>(Inventory[[#This Row],[Unadj Total Value]]-Inventory[[#This Row],[24Final]])/Inventory[[#This Row],[24Final]]</f>
        <v>-7.3529411764705881E-3</v>
      </c>
      <c r="BG1153" s="25">
        <f>VLOOKUP(Inventory[[#This Row],[Nbhd]],Lookups!$Q$2:$T$4,4,FALSE)</f>
        <v>0.99970000000000003</v>
      </c>
      <c r="BH1153" s="25">
        <f>VLOOKUP(Inventory[[#This Row],[Qlty]],Lookups!$O$7:$R$21,4,FALSE)</f>
        <v>0.99180000000000001</v>
      </c>
      <c r="BI1153" s="25">
        <f>VLOOKUP(Inventory[[#This Row],[Cnd]],Lookups!$T$7:$W$16,4,FALSE)</f>
        <v>0.99729999999999996</v>
      </c>
      <c r="BJ1153" s="25">
        <f>VLOOKUP(Inventory[[#This Row],[LivArea Range]],Lookups!$T$25:$W$37,4,FALSE)</f>
        <v>1.0093000000000001</v>
      </c>
      <c r="BK1153" s="25">
        <f>VLOOKUP(Inventory[[#This Row],[Decade]],Lookups!$O$25:$R$42,4,FALSE)</f>
        <v>0.995</v>
      </c>
      <c r="BL1153" s="25">
        <f>Inventory[[#This Row],[Nbhd Adj]]*0.95</f>
        <v>0.94971499999999998</v>
      </c>
      <c r="BM1153" s="25">
        <f>Inventory[[#This Row],[Nbhd Adj]]*Inventory[[#This Row],[Quality Adj]]*Inventory[[#This Row],[Condition Adj]]*Inventory[[#This Row],[Living Area Adj]]*Inventory[[#This Row],[Decade Adj]]*0.95</f>
        <v>0.94337980360062423</v>
      </c>
      <c r="BN1153" s="25">
        <f>ROUND(SUM(Inventory[[#This Row],[Mdl Qlty]:[Mdl WdDeck]])+Inventory[[#This Row],[Mdl Res Intercept]]*Inventory[[#This Row],[Res Adj ]],-2)</f>
        <v>254700</v>
      </c>
      <c r="BO1153" s="25">
        <f>ROUND(Inventory[[#This Row],[25Det]]*Inventory[[#This Row],[Det/Nbhd Adj]],-2)</f>
        <v>3200</v>
      </c>
      <c r="BP1153" s="25">
        <f>Inventory[[#This Row],[Adjusted Res]]+Inventory[[#This Row],[Adj Det ]]</f>
        <v>257900</v>
      </c>
      <c r="BQ1153" s="25">
        <f>ROUND((Inventory[[#This Row],[Mdl Land Intercept]]+Inventory[[#This Row],[Mdl LnAcres]])*Inventory[[#This Row],[Det/Nbhd Adj]],-2)</f>
        <v>36900</v>
      </c>
      <c r="BR1153" s="25">
        <f>Inventory[[#This Row],[Adjusted Impr Total]]+Inventory[[#This Row],[Adjusted Land Total]]</f>
        <v>294800</v>
      </c>
      <c r="BS1153" s="36">
        <f>IFERROR((Inventory[[#This Row],[Adjusted Impr Total]]-Inventory[[#This Row],[24Bldg]])/Inventory[[#This Row],[24Bldg]],0)</f>
        <v>7.1013289036544844E-2</v>
      </c>
      <c r="BT1153" s="36">
        <f>(Inventory[[#This Row],[Adjusted Land Total]]-Inventory[[#This Row],[24Lnd]])/Inventory[[#This Row],[24Lnd]]</f>
        <v>-0.36815068493150682</v>
      </c>
      <c r="BU1153" s="36">
        <f>(Inventory[[#This Row],[Adjusted Total]]-Inventory[[#This Row],[24Final]])/Inventory[[#This Row],[24Final]]</f>
        <v>-1.4705882352941176E-2</v>
      </c>
    </row>
    <row r="1154" spans="1:73" x14ac:dyDescent="0.3">
      <c r="A1154" s="25">
        <v>2025</v>
      </c>
      <c r="B1154" s="26" t="s">
        <v>1563</v>
      </c>
      <c r="C1154" s="26">
        <f>LN(Inventory[[#This Row],[Acres]])</f>
        <v>-0.73396917508020043</v>
      </c>
      <c r="D1154" s="25">
        <v>0.48</v>
      </c>
      <c r="E1154" s="25">
        <v>20891</v>
      </c>
      <c r="F1154" s="26" t="s">
        <v>537</v>
      </c>
      <c r="G1154" s="26" t="s">
        <v>126</v>
      </c>
      <c r="H1154" s="26" t="s">
        <v>349</v>
      </c>
      <c r="I1154" s="26" t="s">
        <v>538</v>
      </c>
      <c r="J1154" s="26" t="s">
        <v>539</v>
      </c>
      <c r="K1154" s="26" t="s">
        <v>242</v>
      </c>
      <c r="L1154" s="26" t="s">
        <v>351</v>
      </c>
      <c r="M1154" s="26" t="s">
        <v>323</v>
      </c>
      <c r="N1154" s="26">
        <v>80</v>
      </c>
      <c r="O1154" s="26">
        <f>2024-Inventory[[#This Row],[YrBlt]]</f>
        <v>79</v>
      </c>
      <c r="P1154" s="26">
        <f>2024-Inventory[[#This Row],[EffYr]]</f>
        <v>52</v>
      </c>
      <c r="Q1154" s="25">
        <v>1945</v>
      </c>
      <c r="R1154" s="25">
        <v>1972</v>
      </c>
      <c r="S1154" s="25">
        <v>1476</v>
      </c>
      <c r="T1154" s="31"/>
      <c r="U1154" s="25">
        <v>1134</v>
      </c>
      <c r="V1154" s="32">
        <f>Inventory[[#This Row],[Bsmt]]-Inventory[[#This Row],[FnBsmt]]</f>
        <v>0</v>
      </c>
      <c r="W1154" s="32">
        <v>1134</v>
      </c>
      <c r="X1154" s="27"/>
      <c r="Y1154" s="27">
        <f>Inventory[[#This Row],[MainFn]]+Inventory[[#This Row],[UpprFn]]+Inventory[[#This Row],[FnBsmt]]+Inventory[[#This Row],[AddFn]]</f>
        <v>2610</v>
      </c>
      <c r="Z1154" s="27">
        <v>3000</v>
      </c>
      <c r="AA1154" s="25">
        <v>7</v>
      </c>
      <c r="AB1154" s="32">
        <v>612</v>
      </c>
      <c r="AC1154" s="31"/>
      <c r="AD1154" s="27"/>
      <c r="AE1154" s="27"/>
      <c r="AF1154" s="27"/>
      <c r="AG1154" s="27"/>
      <c r="AH1154" s="27"/>
      <c r="AI1154" s="25">
        <v>365914</v>
      </c>
      <c r="AJ1154" s="25">
        <v>248822</v>
      </c>
      <c r="AK1154" s="25">
        <v>0</v>
      </c>
      <c r="AL1154" s="25">
        <v>376600</v>
      </c>
      <c r="AM1154" s="25">
        <v>88900</v>
      </c>
      <c r="AN1154" s="25">
        <v>287700</v>
      </c>
      <c r="AO1154" s="25">
        <v>0</v>
      </c>
      <c r="AP1154" s="25">
        <f>Lookups!$B$56*0</f>
        <v>0</v>
      </c>
      <c r="AQ1154" s="25">
        <f>Lookups!$B$56*1</f>
        <v>89850.625589999996</v>
      </c>
      <c r="AR1154" s="25">
        <f>Lookups!$B$57*Inventory[[#This Row],[LnAcres]]</f>
        <v>-23233.512202902497</v>
      </c>
      <c r="AS1154" s="25">
        <f>VLOOKUP(Inventory[[#This Row],[Qlty]],Lookups!$A$62:$E$75,2,FALSE)</f>
        <v>21557.329055999999</v>
      </c>
      <c r="AT1154" s="25">
        <f>VLOOKUP(Inventory[[#This Row],[Cnd]],Lookups!$A$76:$E$84,2,FALSE)</f>
        <v>160472.20319</v>
      </c>
      <c r="AU1154" s="25">
        <f>Inventory[[#This Row],[EffAge]]*Lookups!$B$85</f>
        <v>-11598.371226000001</v>
      </c>
      <c r="AV1154" s="25">
        <f>Inventory[[#This Row],[MainFn]]*Lookups!$B$86</f>
        <v>72927.196738451996</v>
      </c>
      <c r="AW1154" s="25">
        <f>Inventory[[#This Row],[UpprFn]]*Lookups!$B$87</f>
        <v>0</v>
      </c>
      <c r="AX1154" s="25">
        <f>Inventory[[#This Row],[AddFn]]*Lookups!$B$88</f>
        <v>0</v>
      </c>
      <c r="AY1154" s="25">
        <f>Inventory[[#This Row],[Bsmt]]*Lookups!$B$89</f>
        <v>32978.869210097997</v>
      </c>
      <c r="AZ1154" s="25">
        <f>Inventory[[#This Row],[Fixtures]]*Lookups!$B$90</f>
        <v>26544.1547364</v>
      </c>
      <c r="BA1154" s="25">
        <f>Inventory[[#This Row],[WdDeck]]*Lookups!$B$91</f>
        <v>0</v>
      </c>
      <c r="BB1154" s="25">
        <f>ROUND(Inventory[[#This Row],[25Det]],-2)</f>
        <v>0</v>
      </c>
      <c r="BC1154" s="25">
        <f>ROUND(SUM(Inventory[[#This Row],[Mdl Qlty]:[Mdl WdDeck]])+Inventory[[#This Row],[Mdl Res Intercept]],-2)</f>
        <v>302900</v>
      </c>
      <c r="BD1154" s="25">
        <f>ROUND(Inventory[[#This Row],[Mdl Land Intercept]]+Inventory[[#This Row],[Mdl LnAcres]],-2)</f>
        <v>66600</v>
      </c>
      <c r="BE1154" s="25">
        <f>Inventory[[#This Row],[Unadj Res Value]]+Inventory[[#This Row],[Unadj Det Value]]+Inventory[[#This Row],[Unadj Land Value]]</f>
        <v>369500</v>
      </c>
      <c r="BF1154" s="36">
        <f>(Inventory[[#This Row],[Unadj Total Value]]-Inventory[[#This Row],[24Final]])/Inventory[[#This Row],[24Final]]</f>
        <v>-1.8852894317578334E-2</v>
      </c>
      <c r="BG1154" s="25">
        <f>VLOOKUP(Inventory[[#This Row],[Nbhd]],Lookups!$Q$2:$T$4,4,FALSE)</f>
        <v>0.99970000000000003</v>
      </c>
      <c r="BH1154" s="25">
        <f>VLOOKUP(Inventory[[#This Row],[Qlty]],Lookups!$O$7:$R$21,4,FALSE)</f>
        <v>1.0067999999999999</v>
      </c>
      <c r="BI1154" s="25">
        <f>VLOOKUP(Inventory[[#This Row],[Cnd]],Lookups!$T$7:$W$16,4,FALSE)</f>
        <v>0.99729999999999996</v>
      </c>
      <c r="BJ1154" s="25">
        <f>VLOOKUP(Inventory[[#This Row],[LivArea Range]],Lookups!$T$25:$W$37,4,FALSE)</f>
        <v>0.96179999999999999</v>
      </c>
      <c r="BK1154" s="25">
        <f>VLOOKUP(Inventory[[#This Row],[Decade]],Lookups!$O$25:$R$42,4,FALSE)</f>
        <v>0.995</v>
      </c>
      <c r="BL1154" s="25">
        <f>Inventory[[#This Row],[Nbhd Adj]]*0.95</f>
        <v>0.94971499999999998</v>
      </c>
      <c r="BM1154" s="25">
        <f>Inventory[[#This Row],[Nbhd Adj]]*Inventory[[#This Row],[Quality Adj]]*Inventory[[#This Row],[Condition Adj]]*Inventory[[#This Row],[Living Area Adj]]*Inventory[[#This Row],[Decade Adj]]*0.95</f>
        <v>0.91257838243654554</v>
      </c>
      <c r="BN1154" s="25">
        <f>ROUND(SUM(Inventory[[#This Row],[Mdl Qlty]:[Mdl WdDeck]])+Inventory[[#This Row],[Mdl Res Intercept]]*Inventory[[#This Row],[Res Adj ]],-2)</f>
        <v>302900</v>
      </c>
      <c r="BO1154" s="25">
        <f>ROUND(Inventory[[#This Row],[25Det]]*Inventory[[#This Row],[Det/Nbhd Adj]],-2)</f>
        <v>0</v>
      </c>
      <c r="BP1154" s="25">
        <f>Inventory[[#This Row],[Adjusted Res]]+Inventory[[#This Row],[Adj Det ]]</f>
        <v>302900</v>
      </c>
      <c r="BQ1154" s="25">
        <f>ROUND((Inventory[[#This Row],[Mdl Land Intercept]]+Inventory[[#This Row],[Mdl LnAcres]])*Inventory[[#This Row],[Det/Nbhd Adj]],-2)</f>
        <v>63300</v>
      </c>
      <c r="BR1154" s="25">
        <f>Inventory[[#This Row],[Adjusted Impr Total]]+Inventory[[#This Row],[Adjusted Land Total]]</f>
        <v>366200</v>
      </c>
      <c r="BS1154" s="36">
        <f>IFERROR((Inventory[[#This Row],[Adjusted Impr Total]]-Inventory[[#This Row],[24Bldg]])/Inventory[[#This Row],[24Bldg]],0)</f>
        <v>5.2832811956899546E-2</v>
      </c>
      <c r="BT1154" s="36">
        <f>(Inventory[[#This Row],[Adjusted Land Total]]-Inventory[[#This Row],[24Lnd]])/Inventory[[#This Row],[24Lnd]]</f>
        <v>-0.2879640044994376</v>
      </c>
      <c r="BU1154" s="36">
        <f>(Inventory[[#This Row],[Adjusted Total]]-Inventory[[#This Row],[24Final]])/Inventory[[#This Row],[24Final]]</f>
        <v>-2.7615507169410514E-2</v>
      </c>
    </row>
    <row r="1155" spans="1:73" x14ac:dyDescent="0.3">
      <c r="A1155" s="25">
        <v>2025</v>
      </c>
      <c r="B1155" s="26" t="s">
        <v>1306</v>
      </c>
      <c r="C1155" s="26">
        <f>LN(Inventory[[#This Row],[Acres]])</f>
        <v>-1.8971199848858813</v>
      </c>
      <c r="D1155" s="25">
        <v>0.15</v>
      </c>
      <c r="E1155" s="27"/>
      <c r="F1155" s="26" t="s">
        <v>537</v>
      </c>
      <c r="G1155" s="26" t="s">
        <v>126</v>
      </c>
      <c r="H1155" s="26" t="s">
        <v>349</v>
      </c>
      <c r="I1155" s="26" t="s">
        <v>538</v>
      </c>
      <c r="J1155" s="26" t="s">
        <v>539</v>
      </c>
      <c r="K1155" s="26" t="s">
        <v>242</v>
      </c>
      <c r="L1155" s="26" t="s">
        <v>31</v>
      </c>
      <c r="M1155" s="26" t="s">
        <v>303</v>
      </c>
      <c r="N1155" s="26">
        <v>80</v>
      </c>
      <c r="O1155" s="26">
        <f>2024-Inventory[[#This Row],[YrBlt]]</f>
        <v>79</v>
      </c>
      <c r="P1155" s="26">
        <f>2024-Inventory[[#This Row],[EffYr]]</f>
        <v>52</v>
      </c>
      <c r="Q1155" s="25">
        <v>1945</v>
      </c>
      <c r="R1155" s="25">
        <v>1972</v>
      </c>
      <c r="S1155" s="25">
        <v>832</v>
      </c>
      <c r="T1155" s="31"/>
      <c r="U1155" s="25">
        <v>832</v>
      </c>
      <c r="V1155" s="32">
        <f>Inventory[[#This Row],[Bsmt]]-Inventory[[#This Row],[FnBsmt]]</f>
        <v>416</v>
      </c>
      <c r="W1155" s="32">
        <v>416</v>
      </c>
      <c r="X1155" s="27"/>
      <c r="Y1155" s="27">
        <f>Inventory[[#This Row],[MainFn]]+Inventory[[#This Row],[UpprFn]]+Inventory[[#This Row],[FnBsmt]]+Inventory[[#This Row],[AddFn]]</f>
        <v>1248</v>
      </c>
      <c r="Z1155" s="27">
        <v>1500</v>
      </c>
      <c r="AA1155" s="25">
        <v>5</v>
      </c>
      <c r="AB1155" s="27"/>
      <c r="AC1155" s="31"/>
      <c r="AD1155" s="27"/>
      <c r="AE1155" s="27"/>
      <c r="AF1155" s="27"/>
      <c r="AG1155" s="27"/>
      <c r="AH1155" s="27"/>
      <c r="AI1155" s="25">
        <v>164803</v>
      </c>
      <c r="AJ1155" s="25">
        <v>115362</v>
      </c>
      <c r="AK1155" s="25">
        <v>14647</v>
      </c>
      <c r="AL1155" s="25">
        <v>279200</v>
      </c>
      <c r="AM1155" s="25">
        <v>48400</v>
      </c>
      <c r="AN1155" s="25">
        <v>230800</v>
      </c>
      <c r="AO1155" s="25">
        <v>0</v>
      </c>
      <c r="AP1155" s="25">
        <f>Lookups!$B$56*0</f>
        <v>0</v>
      </c>
      <c r="AQ1155" s="25">
        <f>Lookups!$B$56*1</f>
        <v>89850.625589999996</v>
      </c>
      <c r="AR1155" s="25">
        <f>Lookups!$B$57*Inventory[[#This Row],[LnAcres]]</f>
        <v>-60052.604136134301</v>
      </c>
      <c r="AS1155" s="25">
        <f>VLOOKUP(Inventory[[#This Row],[Qlty]],Lookups!$A$62:$E$75,2,FALSE)</f>
        <v>-43578.886190266698</v>
      </c>
      <c r="AT1155" s="25">
        <f>VLOOKUP(Inventory[[#This Row],[Cnd]],Lookups!$A$76:$E$84,2,FALSE)</f>
        <v>197752.34721000001</v>
      </c>
      <c r="AU1155" s="25">
        <f>Inventory[[#This Row],[EffAge]]*Lookups!$B$85</f>
        <v>-11598.371226000001</v>
      </c>
      <c r="AV1155" s="25">
        <f>Inventory[[#This Row],[MainFn]]*Lookups!$B$86</f>
        <v>41108.013337664001</v>
      </c>
      <c r="AW1155" s="25">
        <f>Inventory[[#This Row],[UpprFn]]*Lookups!$B$87</f>
        <v>0</v>
      </c>
      <c r="AX1155" s="25">
        <f>Inventory[[#This Row],[AddFn]]*Lookups!$B$88</f>
        <v>0</v>
      </c>
      <c r="AY1155" s="25">
        <f>Inventory[[#This Row],[Bsmt]]*Lookups!$B$89</f>
        <v>24196.136845503999</v>
      </c>
      <c r="AZ1155" s="25">
        <f>Inventory[[#This Row],[Fixtures]]*Lookups!$B$90</f>
        <v>18960.110526</v>
      </c>
      <c r="BA1155" s="25">
        <f>Inventory[[#This Row],[WdDeck]]*Lookups!$B$91</f>
        <v>0</v>
      </c>
      <c r="BB1155" s="25">
        <f>ROUND(Inventory[[#This Row],[25Det]],-2)</f>
        <v>14600</v>
      </c>
      <c r="BC1155" s="25">
        <f>ROUND(SUM(Inventory[[#This Row],[Mdl Qlty]:[Mdl WdDeck]])+Inventory[[#This Row],[Mdl Res Intercept]],-2)</f>
        <v>226800</v>
      </c>
      <c r="BD1155" s="25">
        <f>ROUND(Inventory[[#This Row],[Mdl Land Intercept]]+Inventory[[#This Row],[Mdl LnAcres]],-2)</f>
        <v>29800</v>
      </c>
      <c r="BE1155" s="25">
        <f>Inventory[[#This Row],[Unadj Res Value]]+Inventory[[#This Row],[Unadj Det Value]]+Inventory[[#This Row],[Unadj Land Value]]</f>
        <v>271200</v>
      </c>
      <c r="BF1155" s="36">
        <f>(Inventory[[#This Row],[Unadj Total Value]]-Inventory[[#This Row],[24Final]])/Inventory[[#This Row],[24Final]]</f>
        <v>-2.865329512893983E-2</v>
      </c>
      <c r="BG1155" s="25">
        <f>VLOOKUP(Inventory[[#This Row],[Nbhd]],Lookups!$Q$2:$T$4,4,FALSE)</f>
        <v>0.99970000000000003</v>
      </c>
      <c r="BH1155" s="25">
        <f>VLOOKUP(Inventory[[#This Row],[Qlty]],Lookups!$O$7:$R$21,4,FALSE)</f>
        <v>1</v>
      </c>
      <c r="BI1155" s="25">
        <f>VLOOKUP(Inventory[[#This Row],[Cnd]],Lookups!$T$7:$W$16,4,FALSE)</f>
        <v>0.99650000000000005</v>
      </c>
      <c r="BJ1155" s="25">
        <f>VLOOKUP(Inventory[[#This Row],[LivArea Range]],Lookups!$T$25:$W$37,4,FALSE)</f>
        <v>1.0157</v>
      </c>
      <c r="BK1155" s="25">
        <f>VLOOKUP(Inventory[[#This Row],[Decade]],Lookups!$O$25:$R$42,4,FALSE)</f>
        <v>0.995</v>
      </c>
      <c r="BL1155" s="25">
        <f>Inventory[[#This Row],[Nbhd Adj]]*0.95</f>
        <v>0.94971499999999998</v>
      </c>
      <c r="BM1155" s="25">
        <f>Inventory[[#This Row],[Nbhd Adj]]*Inventory[[#This Row],[Quality Adj]]*Inventory[[#This Row],[Condition Adj]]*Inventory[[#This Row],[Living Area Adj]]*Inventory[[#This Row],[Decade Adj]]*0.95</f>
        <v>0.95644308947994638</v>
      </c>
      <c r="BN1155" s="25">
        <f>ROUND(SUM(Inventory[[#This Row],[Mdl Qlty]:[Mdl WdDeck]])+Inventory[[#This Row],[Mdl Res Intercept]]*Inventory[[#This Row],[Res Adj ]],-2)</f>
        <v>226800</v>
      </c>
      <c r="BO1155" s="25">
        <f>ROUND(Inventory[[#This Row],[25Det]]*Inventory[[#This Row],[Det/Nbhd Adj]],-2)</f>
        <v>13900</v>
      </c>
      <c r="BP1155" s="25">
        <f>Inventory[[#This Row],[Adjusted Res]]+Inventory[[#This Row],[Adj Det ]]</f>
        <v>240700</v>
      </c>
      <c r="BQ1155" s="25">
        <f>ROUND((Inventory[[#This Row],[Mdl Land Intercept]]+Inventory[[#This Row],[Mdl LnAcres]])*Inventory[[#This Row],[Det/Nbhd Adj]],-2)</f>
        <v>28300</v>
      </c>
      <c r="BR1155" s="25">
        <f>Inventory[[#This Row],[Adjusted Impr Total]]+Inventory[[#This Row],[Adjusted Land Total]]</f>
        <v>269000</v>
      </c>
      <c r="BS1155" s="36">
        <f>IFERROR((Inventory[[#This Row],[Adjusted Impr Total]]-Inventory[[#This Row],[24Bldg]])/Inventory[[#This Row],[24Bldg]],0)</f>
        <v>4.289428076256499E-2</v>
      </c>
      <c r="BT1155" s="36">
        <f>(Inventory[[#This Row],[Adjusted Land Total]]-Inventory[[#This Row],[24Lnd]])/Inventory[[#This Row],[24Lnd]]</f>
        <v>-0.41528925619834711</v>
      </c>
      <c r="BU1155" s="36">
        <f>(Inventory[[#This Row],[Adjusted Total]]-Inventory[[#This Row],[24Final]])/Inventory[[#This Row],[24Final]]</f>
        <v>-3.6532951289398284E-2</v>
      </c>
    </row>
    <row r="1156" spans="1:73" x14ac:dyDescent="0.3">
      <c r="A1156" s="25">
        <v>2025</v>
      </c>
      <c r="B1156" s="26" t="s">
        <v>2817</v>
      </c>
      <c r="C1156" s="26">
        <f>LN(Inventory[[#This Row],[Acres]])</f>
        <v>-1.8325814637483102</v>
      </c>
      <c r="D1156" s="25">
        <v>0.16</v>
      </c>
      <c r="E1156" s="31"/>
      <c r="F1156" s="26" t="s">
        <v>537</v>
      </c>
      <c r="G1156" s="26" t="s">
        <v>126</v>
      </c>
      <c r="H1156" s="26" t="s">
        <v>349</v>
      </c>
      <c r="I1156" s="26" t="s">
        <v>538</v>
      </c>
      <c r="J1156" s="26" t="s">
        <v>539</v>
      </c>
      <c r="K1156" s="26" t="s">
        <v>242</v>
      </c>
      <c r="L1156" s="26" t="s">
        <v>31</v>
      </c>
      <c r="M1156" s="26" t="s">
        <v>206</v>
      </c>
      <c r="N1156" s="26">
        <v>80</v>
      </c>
      <c r="O1156" s="26">
        <f>2024-Inventory[[#This Row],[YrBlt]]</f>
        <v>79</v>
      </c>
      <c r="P1156" s="26">
        <f>2024-Inventory[[#This Row],[EffYr]]</f>
        <v>52</v>
      </c>
      <c r="Q1156" s="25">
        <v>1945</v>
      </c>
      <c r="R1156" s="25">
        <v>1972</v>
      </c>
      <c r="S1156" s="25">
        <v>1026</v>
      </c>
      <c r="T1156" s="31"/>
      <c r="U1156" s="31"/>
      <c r="V1156" s="27">
        <f>Inventory[[#This Row],[Bsmt]]-Inventory[[#This Row],[FnBsmt]]</f>
        <v>0</v>
      </c>
      <c r="W1156" s="27"/>
      <c r="X1156" s="27"/>
      <c r="Y1156" s="27">
        <f>Inventory[[#This Row],[MainFn]]+Inventory[[#This Row],[UpprFn]]+Inventory[[#This Row],[FnBsmt]]+Inventory[[#This Row],[AddFn]]</f>
        <v>1026</v>
      </c>
      <c r="Z1156" s="27">
        <v>1500</v>
      </c>
      <c r="AA1156" s="25">
        <v>5</v>
      </c>
      <c r="AB1156" s="27"/>
      <c r="AC1156" s="27"/>
      <c r="AD1156" s="32">
        <v>210</v>
      </c>
      <c r="AE1156" s="27"/>
      <c r="AF1156" s="27"/>
      <c r="AG1156" s="27"/>
      <c r="AH1156" s="27"/>
      <c r="AI1156" s="25">
        <v>158772</v>
      </c>
      <c r="AJ1156" s="25">
        <v>104790</v>
      </c>
      <c r="AK1156" s="25">
        <v>5261</v>
      </c>
      <c r="AL1156" s="25">
        <v>210600</v>
      </c>
      <c r="AM1156" s="25">
        <v>50600</v>
      </c>
      <c r="AN1156" s="25">
        <v>160000</v>
      </c>
      <c r="AO1156" s="25">
        <v>0</v>
      </c>
      <c r="AP1156" s="25">
        <f>Lookups!$B$56*0</f>
        <v>0</v>
      </c>
      <c r="AQ1156" s="25">
        <f>Lookups!$B$56*1</f>
        <v>89850.625589999996</v>
      </c>
      <c r="AR1156" s="25">
        <f>Lookups!$B$57*Inventory[[#This Row],[LnAcres]]</f>
        <v>-58009.662049032086</v>
      </c>
      <c r="AS1156" s="25">
        <f>VLOOKUP(Inventory[[#This Row],[Qlty]],Lookups!$A$62:$E$75,2,FALSE)</f>
        <v>-43578.886190266698</v>
      </c>
      <c r="AT1156" s="25">
        <f>VLOOKUP(Inventory[[#This Row],[Cnd]],Lookups!$A$76:$E$84,2,FALSE)</f>
        <v>133714.53821</v>
      </c>
      <c r="AU1156" s="25">
        <f>Inventory[[#This Row],[EffAge]]*Lookups!$B$85</f>
        <v>-11598.371226000001</v>
      </c>
      <c r="AV1156" s="25">
        <f>Inventory[[#This Row],[MainFn]]*Lookups!$B$86</f>
        <v>50693.295293802003</v>
      </c>
      <c r="AW1156" s="25">
        <f>Inventory[[#This Row],[UpprFn]]*Lookups!$B$87</f>
        <v>0</v>
      </c>
      <c r="AX1156" s="25">
        <f>Inventory[[#This Row],[AddFn]]*Lookups!$B$88</f>
        <v>0</v>
      </c>
      <c r="AY1156" s="25">
        <f>Inventory[[#This Row],[Bsmt]]*Lookups!$B$89</f>
        <v>0</v>
      </c>
      <c r="AZ1156" s="25">
        <f>Inventory[[#This Row],[Fixtures]]*Lookups!$B$90</f>
        <v>18960.110526</v>
      </c>
      <c r="BA1156" s="25">
        <f>Inventory[[#This Row],[WdDeck]]*Lookups!$B$91</f>
        <v>6992.0582079600008</v>
      </c>
      <c r="BB1156" s="25">
        <f>ROUND(Inventory[[#This Row],[25Det]],-2)</f>
        <v>5300</v>
      </c>
      <c r="BC1156" s="25">
        <f>ROUND(SUM(Inventory[[#This Row],[Mdl Qlty]:[Mdl WdDeck]])+Inventory[[#This Row],[Mdl Res Intercept]],-2)</f>
        <v>155200</v>
      </c>
      <c r="BD1156" s="25">
        <f>ROUND(Inventory[[#This Row],[Mdl Land Intercept]]+Inventory[[#This Row],[Mdl LnAcres]],-2)</f>
        <v>31800</v>
      </c>
      <c r="BE1156" s="25">
        <f>Inventory[[#This Row],[Unadj Res Value]]+Inventory[[#This Row],[Unadj Det Value]]+Inventory[[#This Row],[Unadj Land Value]]</f>
        <v>192300</v>
      </c>
      <c r="BF1156" s="36">
        <f>(Inventory[[#This Row],[Unadj Total Value]]-Inventory[[#This Row],[24Final]])/Inventory[[#This Row],[24Final]]</f>
        <v>-8.68945868945869E-2</v>
      </c>
      <c r="BG1156" s="25">
        <f>VLOOKUP(Inventory[[#This Row],[Nbhd]],Lookups!$Q$2:$T$4,4,FALSE)</f>
        <v>0.99970000000000003</v>
      </c>
      <c r="BH1156" s="25">
        <f>VLOOKUP(Inventory[[#This Row],[Qlty]],Lookups!$O$7:$R$21,4,FALSE)</f>
        <v>1</v>
      </c>
      <c r="BI1156" s="25">
        <f>VLOOKUP(Inventory[[#This Row],[Cnd]],Lookups!$T$7:$W$16,4,FALSE)</f>
        <v>0.99329999999999996</v>
      </c>
      <c r="BJ1156" s="25">
        <f>VLOOKUP(Inventory[[#This Row],[LivArea Range]],Lookups!$T$25:$W$37,4,FALSE)</f>
        <v>1.0157</v>
      </c>
      <c r="BK1156" s="25">
        <f>VLOOKUP(Inventory[[#This Row],[Decade]],Lookups!$O$25:$R$42,4,FALSE)</f>
        <v>0.995</v>
      </c>
      <c r="BL1156" s="25">
        <f>Inventory[[#This Row],[Nbhd Adj]]*0.95</f>
        <v>0.94971499999999998</v>
      </c>
      <c r="BM1156" s="25">
        <f>Inventory[[#This Row],[Nbhd Adj]]*Inventory[[#This Row],[Quality Adj]]*Inventory[[#This Row],[Condition Adj]]*Inventory[[#This Row],[Living Area Adj]]*Inventory[[#This Row],[Decade Adj]]*0.95</f>
        <v>0.95337172180675411</v>
      </c>
      <c r="BN1156" s="25">
        <f>ROUND(SUM(Inventory[[#This Row],[Mdl Qlty]:[Mdl WdDeck]])+Inventory[[#This Row],[Mdl Res Intercept]]*Inventory[[#This Row],[Res Adj ]],-2)</f>
        <v>155200</v>
      </c>
      <c r="BO1156" s="25">
        <f>ROUND(Inventory[[#This Row],[25Det]]*Inventory[[#This Row],[Det/Nbhd Adj]],-2)</f>
        <v>5000</v>
      </c>
      <c r="BP1156" s="25">
        <f>Inventory[[#This Row],[Adjusted Res]]+Inventory[[#This Row],[Adj Det ]]</f>
        <v>160200</v>
      </c>
      <c r="BQ1156" s="25">
        <f>ROUND((Inventory[[#This Row],[Mdl Land Intercept]]+Inventory[[#This Row],[Mdl LnAcres]])*Inventory[[#This Row],[Det/Nbhd Adj]],-2)</f>
        <v>30200</v>
      </c>
      <c r="BR1156" s="25">
        <f>Inventory[[#This Row],[Adjusted Impr Total]]+Inventory[[#This Row],[Adjusted Land Total]]</f>
        <v>190400</v>
      </c>
      <c r="BS1156" s="36">
        <f>IFERROR((Inventory[[#This Row],[Adjusted Impr Total]]-Inventory[[#This Row],[24Bldg]])/Inventory[[#This Row],[24Bldg]],0)</f>
        <v>1.25E-3</v>
      </c>
      <c r="BT1156" s="36">
        <f>(Inventory[[#This Row],[Adjusted Land Total]]-Inventory[[#This Row],[24Lnd]])/Inventory[[#This Row],[24Lnd]]</f>
        <v>-0.40316205533596838</v>
      </c>
      <c r="BU1156" s="36">
        <f>(Inventory[[#This Row],[Adjusted Total]]-Inventory[[#This Row],[24Final]])/Inventory[[#This Row],[24Final]]</f>
        <v>-9.5916429249762583E-2</v>
      </c>
    </row>
    <row r="1157" spans="1:73" x14ac:dyDescent="0.3">
      <c r="A1157" s="25">
        <v>2025</v>
      </c>
      <c r="B1157" s="26" t="s">
        <v>2709</v>
      </c>
      <c r="C1157" s="26">
        <f>LN(Inventory[[#This Row],[Acres]])</f>
        <v>-1.9661128563728327</v>
      </c>
      <c r="D1157" s="25">
        <v>0.14000000000000001</v>
      </c>
      <c r="E1157" s="32">
        <v>6180</v>
      </c>
      <c r="F1157" s="26" t="s">
        <v>537</v>
      </c>
      <c r="G1157" s="26" t="s">
        <v>126</v>
      </c>
      <c r="H1157" s="26" t="s">
        <v>349</v>
      </c>
      <c r="I1157" s="26" t="s">
        <v>538</v>
      </c>
      <c r="J1157" s="26" t="s">
        <v>638</v>
      </c>
      <c r="K1157" s="26" t="s">
        <v>242</v>
      </c>
      <c r="L1157" s="26" t="s">
        <v>31</v>
      </c>
      <c r="M1157" s="26" t="s">
        <v>323</v>
      </c>
      <c r="N1157" s="26">
        <v>80</v>
      </c>
      <c r="O1157" s="26">
        <f>2024-Inventory[[#This Row],[YrBlt]]</f>
        <v>79</v>
      </c>
      <c r="P1157" s="26">
        <f>2024-Inventory[[#This Row],[EffYr]]</f>
        <v>52</v>
      </c>
      <c r="Q1157" s="25">
        <v>1945</v>
      </c>
      <c r="R1157" s="25">
        <v>1972</v>
      </c>
      <c r="S1157" s="25">
        <v>1656</v>
      </c>
      <c r="T1157" s="27"/>
      <c r="U1157" s="31"/>
      <c r="V1157" s="31">
        <f>Inventory[[#This Row],[Bsmt]]-Inventory[[#This Row],[FnBsmt]]</f>
        <v>0</v>
      </c>
      <c r="W1157" s="31"/>
      <c r="X1157" s="27"/>
      <c r="Y1157" s="27">
        <f>Inventory[[#This Row],[MainFn]]+Inventory[[#This Row],[UpprFn]]+Inventory[[#This Row],[FnBsmt]]+Inventory[[#This Row],[AddFn]]</f>
        <v>1656</v>
      </c>
      <c r="Z1157" s="27">
        <v>2000</v>
      </c>
      <c r="AA1157" s="25">
        <v>5</v>
      </c>
      <c r="AB1157" s="27"/>
      <c r="AC1157" s="27"/>
      <c r="AD1157" s="31"/>
      <c r="AE1157" s="27"/>
      <c r="AF1157" s="27"/>
      <c r="AG1157" s="27"/>
      <c r="AH1157" s="27"/>
      <c r="AI1157" s="25">
        <v>206884</v>
      </c>
      <c r="AJ1157" s="25">
        <v>140681</v>
      </c>
      <c r="AK1157" s="25">
        <v>0</v>
      </c>
      <c r="AL1157" s="25">
        <v>260200</v>
      </c>
      <c r="AM1157" s="25">
        <v>46000</v>
      </c>
      <c r="AN1157" s="25">
        <v>214200</v>
      </c>
      <c r="AO1157" s="25">
        <v>0</v>
      </c>
      <c r="AP1157" s="25">
        <f>Lookups!$B$56*0</f>
        <v>0</v>
      </c>
      <c r="AQ1157" s="25">
        <f>Lookups!$B$56*1</f>
        <v>89850.625589999996</v>
      </c>
      <c r="AR1157" s="25">
        <f>Lookups!$B$57*Inventory[[#This Row],[LnAcres]]</f>
        <v>-62236.546971921947</v>
      </c>
      <c r="AS1157" s="25">
        <f>VLOOKUP(Inventory[[#This Row],[Qlty]],Lookups!$A$62:$E$75,2,FALSE)</f>
        <v>-43578.886190266698</v>
      </c>
      <c r="AT1157" s="25">
        <f>VLOOKUP(Inventory[[#This Row],[Cnd]],Lookups!$A$76:$E$84,2,FALSE)</f>
        <v>160472.20319</v>
      </c>
      <c r="AU1157" s="25">
        <f>Inventory[[#This Row],[EffAge]]*Lookups!$B$85</f>
        <v>-11598.371226000001</v>
      </c>
      <c r="AV1157" s="25">
        <f>Inventory[[#This Row],[MainFn]]*Lookups!$B$86</f>
        <v>81820.757316311996</v>
      </c>
      <c r="AW1157" s="25">
        <f>Inventory[[#This Row],[UpprFn]]*Lookups!$B$87</f>
        <v>0</v>
      </c>
      <c r="AX1157" s="25">
        <f>Inventory[[#This Row],[AddFn]]*Lookups!$B$88</f>
        <v>0</v>
      </c>
      <c r="AY1157" s="25">
        <f>Inventory[[#This Row],[Bsmt]]*Lookups!$B$89</f>
        <v>0</v>
      </c>
      <c r="AZ1157" s="25">
        <f>Inventory[[#This Row],[Fixtures]]*Lookups!$B$90</f>
        <v>18960.110526</v>
      </c>
      <c r="BA1157" s="25">
        <f>Inventory[[#This Row],[WdDeck]]*Lookups!$B$91</f>
        <v>0</v>
      </c>
      <c r="BB1157" s="25">
        <f>ROUND(Inventory[[#This Row],[25Det]],-2)</f>
        <v>0</v>
      </c>
      <c r="BC1157" s="25">
        <f>ROUND(SUM(Inventory[[#This Row],[Mdl Qlty]:[Mdl WdDeck]])+Inventory[[#This Row],[Mdl Res Intercept]],-2)</f>
        <v>206100</v>
      </c>
      <c r="BD1157" s="25">
        <f>ROUND(Inventory[[#This Row],[Mdl Land Intercept]]+Inventory[[#This Row],[Mdl LnAcres]],-2)</f>
        <v>27600</v>
      </c>
      <c r="BE1157" s="25">
        <f>Inventory[[#This Row],[Unadj Res Value]]+Inventory[[#This Row],[Unadj Det Value]]+Inventory[[#This Row],[Unadj Land Value]]</f>
        <v>233700</v>
      </c>
      <c r="BF1157" s="36">
        <f>(Inventory[[#This Row],[Unadj Total Value]]-Inventory[[#This Row],[24Final]])/Inventory[[#This Row],[24Final]]</f>
        <v>-0.10184473481936972</v>
      </c>
      <c r="BG1157" s="25">
        <f>VLOOKUP(Inventory[[#This Row],[Nbhd]],Lookups!$Q$2:$T$4,4,FALSE)</f>
        <v>0.99970000000000003</v>
      </c>
      <c r="BH1157" s="25">
        <f>VLOOKUP(Inventory[[#This Row],[Qlty]],Lookups!$O$7:$R$21,4,FALSE)</f>
        <v>1</v>
      </c>
      <c r="BI1157" s="25">
        <f>VLOOKUP(Inventory[[#This Row],[Cnd]],Lookups!$T$7:$W$16,4,FALSE)</f>
        <v>0.99729999999999996</v>
      </c>
      <c r="BJ1157" s="25">
        <f>VLOOKUP(Inventory[[#This Row],[LivArea Range]],Lookups!$T$25:$W$37,4,FALSE)</f>
        <v>1.0093000000000001</v>
      </c>
      <c r="BK1157" s="25">
        <f>VLOOKUP(Inventory[[#This Row],[Decade]],Lookups!$O$25:$R$42,4,FALSE)</f>
        <v>0.995</v>
      </c>
      <c r="BL1157" s="25">
        <f>Inventory[[#This Row],[Nbhd Adj]]*0.95</f>
        <v>0.94971499999999998</v>
      </c>
      <c r="BM1157" s="25">
        <f>Inventory[[#This Row],[Nbhd Adj]]*Inventory[[#This Row],[Quality Adj]]*Inventory[[#This Row],[Condition Adj]]*Inventory[[#This Row],[Living Area Adj]]*Inventory[[#This Row],[Decade Adj]]*0.95</f>
        <v>0.95117947529806834</v>
      </c>
      <c r="BN1157" s="25">
        <f>ROUND(SUM(Inventory[[#This Row],[Mdl Qlty]:[Mdl WdDeck]])+Inventory[[#This Row],[Mdl Res Intercept]]*Inventory[[#This Row],[Res Adj ]],-2)</f>
        <v>206100</v>
      </c>
      <c r="BO1157" s="25">
        <f>ROUND(Inventory[[#This Row],[25Det]]*Inventory[[#This Row],[Det/Nbhd Adj]],-2)</f>
        <v>0</v>
      </c>
      <c r="BP1157" s="25">
        <f>Inventory[[#This Row],[Adjusted Res]]+Inventory[[#This Row],[Adj Det ]]</f>
        <v>206100</v>
      </c>
      <c r="BQ1157" s="25">
        <f>ROUND((Inventory[[#This Row],[Mdl Land Intercept]]+Inventory[[#This Row],[Mdl LnAcres]])*Inventory[[#This Row],[Det/Nbhd Adj]],-2)</f>
        <v>26200</v>
      </c>
      <c r="BR1157" s="25">
        <f>Inventory[[#This Row],[Adjusted Impr Total]]+Inventory[[#This Row],[Adjusted Land Total]]</f>
        <v>232300</v>
      </c>
      <c r="BS1157" s="36">
        <f>IFERROR((Inventory[[#This Row],[Adjusted Impr Total]]-Inventory[[#This Row],[24Bldg]])/Inventory[[#This Row],[24Bldg]],0)</f>
        <v>-3.7815126050420166E-2</v>
      </c>
      <c r="BT1157" s="36">
        <f>(Inventory[[#This Row],[Adjusted Land Total]]-Inventory[[#This Row],[24Lnd]])/Inventory[[#This Row],[24Lnd]]</f>
        <v>-0.43043478260869567</v>
      </c>
      <c r="BU1157" s="36">
        <f>(Inventory[[#This Row],[Adjusted Total]]-Inventory[[#This Row],[24Final]])/Inventory[[#This Row],[24Final]]</f>
        <v>-0.10722521137586472</v>
      </c>
    </row>
    <row r="1158" spans="1:73" x14ac:dyDescent="0.3">
      <c r="A1158" s="25">
        <v>2025</v>
      </c>
      <c r="B1158" s="26" t="s">
        <v>2355</v>
      </c>
      <c r="C1158" s="26">
        <f>LN(Inventory[[#This Row],[Acres]])</f>
        <v>-2.0402208285265546</v>
      </c>
      <c r="D1158" s="25">
        <v>0.13</v>
      </c>
      <c r="E1158" s="25">
        <v>5500</v>
      </c>
      <c r="F1158" s="26" t="s">
        <v>537</v>
      </c>
      <c r="G1158" s="26" t="s">
        <v>126</v>
      </c>
      <c r="H1158" s="26" t="s">
        <v>349</v>
      </c>
      <c r="I1158" s="26" t="s">
        <v>538</v>
      </c>
      <c r="J1158" s="26" t="s">
        <v>539</v>
      </c>
      <c r="K1158" s="26" t="s">
        <v>242</v>
      </c>
      <c r="L1158" s="26" t="s">
        <v>449</v>
      </c>
      <c r="M1158" s="26" t="s">
        <v>323</v>
      </c>
      <c r="N1158" s="26">
        <v>80</v>
      </c>
      <c r="O1158" s="26">
        <f>2024-Inventory[[#This Row],[YrBlt]]</f>
        <v>79</v>
      </c>
      <c r="P1158" s="26">
        <f>2024-Inventory[[#This Row],[EffYr]]</f>
        <v>52</v>
      </c>
      <c r="Q1158" s="25">
        <v>1945</v>
      </c>
      <c r="R1158" s="25">
        <v>1972</v>
      </c>
      <c r="S1158" s="25">
        <v>784</v>
      </c>
      <c r="T1158" s="31"/>
      <c r="U1158" s="25">
        <v>596</v>
      </c>
      <c r="V1158" s="25">
        <f>Inventory[[#This Row],[Bsmt]]-Inventory[[#This Row],[FnBsmt]]</f>
        <v>596</v>
      </c>
      <c r="W1158" s="31"/>
      <c r="X1158" s="27"/>
      <c r="Y1158" s="27">
        <f>Inventory[[#This Row],[MainFn]]+Inventory[[#This Row],[UpprFn]]+Inventory[[#This Row],[FnBsmt]]+Inventory[[#This Row],[AddFn]]</f>
        <v>784</v>
      </c>
      <c r="Z1158" s="27">
        <v>1000</v>
      </c>
      <c r="AA1158" s="25">
        <v>5</v>
      </c>
      <c r="AB1158" s="27"/>
      <c r="AC1158" s="31"/>
      <c r="AD1158" s="31"/>
      <c r="AE1158" s="27"/>
      <c r="AF1158" s="27"/>
      <c r="AG1158" s="27"/>
      <c r="AH1158" s="27"/>
      <c r="AI1158" s="25">
        <v>134758</v>
      </c>
      <c r="AJ1158" s="25">
        <v>91635</v>
      </c>
      <c r="AK1158" s="25">
        <v>8226</v>
      </c>
      <c r="AL1158" s="25">
        <v>225300</v>
      </c>
      <c r="AM1158" s="25">
        <v>43400</v>
      </c>
      <c r="AN1158" s="25">
        <v>181900</v>
      </c>
      <c r="AO1158" s="25">
        <v>0</v>
      </c>
      <c r="AP1158" s="25">
        <f>Lookups!$B$56*0</f>
        <v>0</v>
      </c>
      <c r="AQ1158" s="25">
        <f>Lookups!$B$56*1</f>
        <v>89850.625589999996</v>
      </c>
      <c r="AR1158" s="25">
        <f>Lookups!$B$57*Inventory[[#This Row],[LnAcres]]</f>
        <v>-64582.406353792743</v>
      </c>
      <c r="AS1158" s="25">
        <f>VLOOKUP(Inventory[[#This Row],[Qlty]],Lookups!$A$62:$E$75,2,FALSE)</f>
        <v>-71917.896887580995</v>
      </c>
      <c r="AT1158" s="25">
        <f>VLOOKUP(Inventory[[#This Row],[Cnd]],Lookups!$A$76:$E$84,2,FALSE)</f>
        <v>160472.20319</v>
      </c>
      <c r="AU1158" s="25">
        <f>Inventory[[#This Row],[EffAge]]*Lookups!$B$85</f>
        <v>-11598.371226000001</v>
      </c>
      <c r="AV1158" s="25">
        <f>Inventory[[#This Row],[MainFn]]*Lookups!$B$86</f>
        <v>38736.397183567999</v>
      </c>
      <c r="AW1158" s="25">
        <f>Inventory[[#This Row],[UpprFn]]*Lookups!$B$87</f>
        <v>0</v>
      </c>
      <c r="AX1158" s="25">
        <f>Inventory[[#This Row],[AddFn]]*Lookups!$B$88</f>
        <v>0</v>
      </c>
      <c r="AY1158" s="25">
        <f>Inventory[[#This Row],[Bsmt]]*Lookups!$B$89</f>
        <v>17332.809567212</v>
      </c>
      <c r="AZ1158" s="25">
        <f>Inventory[[#This Row],[Fixtures]]*Lookups!$B$90</f>
        <v>18960.110526</v>
      </c>
      <c r="BA1158" s="25">
        <f>Inventory[[#This Row],[WdDeck]]*Lookups!$B$91</f>
        <v>0</v>
      </c>
      <c r="BB1158" s="25">
        <f>ROUND(Inventory[[#This Row],[25Det]],-2)</f>
        <v>8200</v>
      </c>
      <c r="BC1158" s="25">
        <f>ROUND(SUM(Inventory[[#This Row],[Mdl Qlty]:[Mdl WdDeck]])+Inventory[[#This Row],[Mdl Res Intercept]],-2)</f>
        <v>152000</v>
      </c>
      <c r="BD1158" s="25">
        <f>ROUND(Inventory[[#This Row],[Mdl Land Intercept]]+Inventory[[#This Row],[Mdl LnAcres]],-2)</f>
        <v>25300</v>
      </c>
      <c r="BE1158" s="25">
        <f>Inventory[[#This Row],[Unadj Res Value]]+Inventory[[#This Row],[Unadj Det Value]]+Inventory[[#This Row],[Unadj Land Value]]</f>
        <v>185500</v>
      </c>
      <c r="BF1158" s="36">
        <f>(Inventory[[#This Row],[Unadj Total Value]]-Inventory[[#This Row],[24Final]])/Inventory[[#This Row],[24Final]]</f>
        <v>-0.17665335108743896</v>
      </c>
      <c r="BG1158" s="25">
        <f>VLOOKUP(Inventory[[#This Row],[Nbhd]],Lookups!$Q$2:$T$4,4,FALSE)</f>
        <v>0.99970000000000003</v>
      </c>
      <c r="BH1158" s="25">
        <f>VLOOKUP(Inventory[[#This Row],[Qlty]],Lookups!$O$7:$R$21,4,FALSE)</f>
        <v>1</v>
      </c>
      <c r="BI1158" s="25">
        <f>VLOOKUP(Inventory[[#This Row],[Cnd]],Lookups!$T$7:$W$16,4,FALSE)</f>
        <v>0.99729999999999996</v>
      </c>
      <c r="BJ1158" s="25">
        <f>VLOOKUP(Inventory[[#This Row],[LivArea Range]],Lookups!$T$25:$W$37,4,FALSE)</f>
        <v>1.0148999999999999</v>
      </c>
      <c r="BK1158" s="25">
        <f>VLOOKUP(Inventory[[#This Row],[Decade]],Lookups!$O$25:$R$42,4,FALSE)</f>
        <v>0.995</v>
      </c>
      <c r="BL1158" s="25">
        <f>Inventory[[#This Row],[Nbhd Adj]]*0.95</f>
        <v>0.94971499999999998</v>
      </c>
      <c r="BM1158" s="25">
        <f>Inventory[[#This Row],[Nbhd Adj]]*Inventory[[#This Row],[Quality Adj]]*Inventory[[#This Row],[Condition Adj]]*Inventory[[#This Row],[Living Area Adj]]*Inventory[[#This Row],[Decade Adj]]*0.95</f>
        <v>0.95645699938572204</v>
      </c>
      <c r="BN1158" s="25">
        <f>ROUND(SUM(Inventory[[#This Row],[Mdl Qlty]:[Mdl WdDeck]])+Inventory[[#This Row],[Mdl Res Intercept]]*Inventory[[#This Row],[Res Adj ]],-2)</f>
        <v>152000</v>
      </c>
      <c r="BO1158" s="25">
        <f>ROUND(Inventory[[#This Row],[25Det]]*Inventory[[#This Row],[Det/Nbhd Adj]],-2)</f>
        <v>7800</v>
      </c>
      <c r="BP1158" s="25">
        <f>Inventory[[#This Row],[Adjusted Res]]+Inventory[[#This Row],[Adj Det ]]</f>
        <v>159800</v>
      </c>
      <c r="BQ1158" s="25">
        <f>ROUND((Inventory[[#This Row],[Mdl Land Intercept]]+Inventory[[#This Row],[Mdl LnAcres]])*Inventory[[#This Row],[Det/Nbhd Adj]],-2)</f>
        <v>24000</v>
      </c>
      <c r="BR1158" s="25">
        <f>Inventory[[#This Row],[Adjusted Impr Total]]+Inventory[[#This Row],[Adjusted Land Total]]</f>
        <v>183800</v>
      </c>
      <c r="BS1158" s="36">
        <f>IFERROR((Inventory[[#This Row],[Adjusted Impr Total]]-Inventory[[#This Row],[24Bldg]])/Inventory[[#This Row],[24Bldg]],0)</f>
        <v>-0.12149532710280374</v>
      </c>
      <c r="BT1158" s="36">
        <f>(Inventory[[#This Row],[Adjusted Land Total]]-Inventory[[#This Row],[24Lnd]])/Inventory[[#This Row],[24Lnd]]</f>
        <v>-0.44700460829493088</v>
      </c>
      <c r="BU1158" s="36">
        <f>(Inventory[[#This Row],[Adjusted Total]]-Inventory[[#This Row],[24Final]])/Inventory[[#This Row],[24Final]]</f>
        <v>-0.1841988459831336</v>
      </c>
    </row>
    <row r="1159" spans="1:73" x14ac:dyDescent="0.3">
      <c r="A1159" s="25">
        <v>2025</v>
      </c>
      <c r="B1159" s="26" t="s">
        <v>1243</v>
      </c>
      <c r="C1159" s="26">
        <f>LN(Inventory[[#This Row],[Acres]])</f>
        <v>-0.916290731874155</v>
      </c>
      <c r="D1159" s="25">
        <v>0.4</v>
      </c>
      <c r="E1159" s="25">
        <v>17424</v>
      </c>
      <c r="F1159" s="26" t="s">
        <v>543</v>
      </c>
      <c r="G1159" s="26" t="s">
        <v>544</v>
      </c>
      <c r="H1159" s="26" t="s">
        <v>349</v>
      </c>
      <c r="I1159" s="26" t="s">
        <v>605</v>
      </c>
      <c r="J1159" s="26" t="s">
        <v>539</v>
      </c>
      <c r="K1159" s="26" t="s">
        <v>241</v>
      </c>
      <c r="L1159" s="26" t="s">
        <v>148</v>
      </c>
      <c r="M1159" s="26" t="s">
        <v>323</v>
      </c>
      <c r="N1159" s="26">
        <v>80</v>
      </c>
      <c r="O1159" s="26">
        <f>2024-Inventory[[#This Row],[YrBlt]]</f>
        <v>80</v>
      </c>
      <c r="P1159" s="26">
        <f>2024-Inventory[[#This Row],[EffYr]]</f>
        <v>52</v>
      </c>
      <c r="Q1159" s="25">
        <v>1944</v>
      </c>
      <c r="R1159" s="25">
        <v>1972</v>
      </c>
      <c r="S1159" s="25">
        <v>1663</v>
      </c>
      <c r="T1159" s="27"/>
      <c r="U1159" s="25">
        <v>1663</v>
      </c>
      <c r="V1159" s="25">
        <f>Inventory[[#This Row],[Bsmt]]-Inventory[[#This Row],[FnBsmt]]</f>
        <v>0</v>
      </c>
      <c r="W1159" s="25">
        <v>1663</v>
      </c>
      <c r="X1159" s="27"/>
      <c r="Y1159" s="27">
        <f>Inventory[[#This Row],[MainFn]]+Inventory[[#This Row],[UpprFn]]+Inventory[[#This Row],[FnBsmt]]+Inventory[[#This Row],[AddFn]]</f>
        <v>3326</v>
      </c>
      <c r="Z1159" s="27">
        <v>3500</v>
      </c>
      <c r="AA1159" s="25">
        <v>20</v>
      </c>
      <c r="AB1159" s="27"/>
      <c r="AC1159" s="27"/>
      <c r="AD1159" s="27"/>
      <c r="AE1159" s="27"/>
      <c r="AF1159" s="27"/>
      <c r="AG1159" s="32">
        <v>103</v>
      </c>
      <c r="AH1159" s="27"/>
      <c r="AI1159" s="25">
        <v>480851</v>
      </c>
      <c r="AJ1159" s="25">
        <v>336596</v>
      </c>
      <c r="AK1159" s="25">
        <v>28970</v>
      </c>
      <c r="AL1159" s="25">
        <v>418700</v>
      </c>
      <c r="AM1159" s="25">
        <v>95000</v>
      </c>
      <c r="AN1159" s="25">
        <v>323700</v>
      </c>
      <c r="AO1159" s="25">
        <v>0</v>
      </c>
      <c r="AP1159" s="25">
        <f>Lookups!$B$56*0</f>
        <v>0</v>
      </c>
      <c r="AQ1159" s="25">
        <f>Lookups!$B$56*1</f>
        <v>89850.625589999996</v>
      </c>
      <c r="AR1159" s="25">
        <f>Lookups!$B$57*Inventory[[#This Row],[LnAcres]]</f>
        <v>-29004.831024516039</v>
      </c>
      <c r="AS1159" s="25">
        <f>VLOOKUP(Inventory[[#This Row],[Qlty]],Lookups!$A$62:$E$75,2,FALSE)</f>
        <v>44121.038090000002</v>
      </c>
      <c r="AT1159" s="25">
        <f>VLOOKUP(Inventory[[#This Row],[Cnd]],Lookups!$A$76:$E$84,2,FALSE)</f>
        <v>160472.20319</v>
      </c>
      <c r="AU1159" s="25">
        <f>Inventory[[#This Row],[EffAge]]*Lookups!$B$85</f>
        <v>-11598.371226000001</v>
      </c>
      <c r="AV1159" s="25">
        <f>Inventory[[#This Row],[MainFn]]*Lookups!$B$86</f>
        <v>82166.618005451004</v>
      </c>
      <c r="AW1159" s="25">
        <f>Inventory[[#This Row],[UpprFn]]*Lookups!$B$87</f>
        <v>0</v>
      </c>
      <c r="AX1159" s="25">
        <f>Inventory[[#This Row],[AddFn]]*Lookups!$B$88</f>
        <v>0</v>
      </c>
      <c r="AY1159" s="25">
        <f>Inventory[[#This Row],[Bsmt]]*Lookups!$B$89</f>
        <v>48363.191795760999</v>
      </c>
      <c r="AZ1159" s="25">
        <f>Inventory[[#This Row],[Fixtures]]*Lookups!$B$90</f>
        <v>75840.442104000002</v>
      </c>
      <c r="BA1159" s="25">
        <f>Inventory[[#This Row],[WdDeck]]*Lookups!$B$91</f>
        <v>0</v>
      </c>
      <c r="BB1159" s="25">
        <f>ROUND(Inventory[[#This Row],[25Det]],-2)</f>
        <v>29000</v>
      </c>
      <c r="BC1159" s="25">
        <f>ROUND(SUM(Inventory[[#This Row],[Mdl Qlty]:[Mdl WdDeck]])+Inventory[[#This Row],[Mdl Res Intercept]],-2)</f>
        <v>399400</v>
      </c>
      <c r="BD1159" s="25">
        <f>ROUND(Inventory[[#This Row],[Mdl Land Intercept]]+Inventory[[#This Row],[Mdl LnAcres]],-2)</f>
        <v>60800</v>
      </c>
      <c r="BE1159" s="25">
        <f>Inventory[[#This Row],[Unadj Res Value]]+Inventory[[#This Row],[Unadj Det Value]]+Inventory[[#This Row],[Unadj Land Value]]</f>
        <v>489200</v>
      </c>
      <c r="BF1159" s="36">
        <f>(Inventory[[#This Row],[Unadj Total Value]]-Inventory[[#This Row],[24Final]])/Inventory[[#This Row],[24Final]]</f>
        <v>0.16837831382851684</v>
      </c>
      <c r="BG1159" s="25">
        <f>VLOOKUP(Inventory[[#This Row],[Nbhd]],Lookups!$Q$2:$T$4,4,FALSE)</f>
        <v>0.99970000000000003</v>
      </c>
      <c r="BH1159" s="25">
        <f>VLOOKUP(Inventory[[#This Row],[Qlty]],Lookups!$O$7:$R$21,4,FALSE)</f>
        <v>0.98050000000000004</v>
      </c>
      <c r="BI1159" s="25">
        <f>VLOOKUP(Inventory[[#This Row],[Cnd]],Lookups!$T$7:$W$16,4,FALSE)</f>
        <v>0.99729999999999996</v>
      </c>
      <c r="BJ1159" s="25">
        <f>VLOOKUP(Inventory[[#This Row],[LivArea Range]],Lookups!$T$25:$W$37,4,FALSE)</f>
        <v>1.0126999999999999</v>
      </c>
      <c r="BK1159" s="25">
        <f>VLOOKUP(Inventory[[#This Row],[Decade]],Lookups!$O$25:$R$42,4,FALSE)</f>
        <v>0.995</v>
      </c>
      <c r="BL1159" s="25">
        <f>Inventory[[#This Row],[Nbhd Adj]]*0.95</f>
        <v>0.94971499999999998</v>
      </c>
      <c r="BM1159" s="25">
        <f>Inventory[[#This Row],[Nbhd Adj]]*Inventory[[#This Row],[Quality Adj]]*Inventory[[#This Row],[Condition Adj]]*Inventory[[#This Row],[Living Area Adj]]*Inventory[[#This Row],[Decade Adj]]*0.95</f>
        <v>0.9357732044674365</v>
      </c>
      <c r="BN1159" s="25">
        <f>ROUND(SUM(Inventory[[#This Row],[Mdl Qlty]:[Mdl WdDeck]])+Inventory[[#This Row],[Mdl Res Intercept]]*Inventory[[#This Row],[Res Adj ]],-2)</f>
        <v>399400</v>
      </c>
      <c r="BO1159" s="25">
        <f>ROUND(Inventory[[#This Row],[25Det]]*Inventory[[#This Row],[Det/Nbhd Adj]],-2)</f>
        <v>27500</v>
      </c>
      <c r="BP1159" s="25">
        <f>Inventory[[#This Row],[Adjusted Res]]+Inventory[[#This Row],[Adj Det ]]</f>
        <v>426900</v>
      </c>
      <c r="BQ1159" s="25">
        <f>ROUND((Inventory[[#This Row],[Mdl Land Intercept]]+Inventory[[#This Row],[Mdl LnAcres]])*Inventory[[#This Row],[Det/Nbhd Adj]],-2)</f>
        <v>57800</v>
      </c>
      <c r="BR1159" s="25">
        <f>Inventory[[#This Row],[Adjusted Impr Total]]+Inventory[[#This Row],[Adjusted Land Total]]</f>
        <v>484700</v>
      </c>
      <c r="BS1159" s="36">
        <f>IFERROR((Inventory[[#This Row],[Adjusted Impr Total]]-Inventory[[#This Row],[24Bldg]])/Inventory[[#This Row],[24Bldg]],0)</f>
        <v>0.31881371640407785</v>
      </c>
      <c r="BT1159" s="36">
        <f>(Inventory[[#This Row],[Adjusted Land Total]]-Inventory[[#This Row],[24Lnd]])/Inventory[[#This Row],[24Lnd]]</f>
        <v>-0.39157894736842103</v>
      </c>
      <c r="BU1159" s="36">
        <f>(Inventory[[#This Row],[Adjusted Total]]-Inventory[[#This Row],[24Final]])/Inventory[[#This Row],[24Final]]</f>
        <v>0.15763076188201577</v>
      </c>
    </row>
    <row r="1160" spans="1:73" x14ac:dyDescent="0.3">
      <c r="A1160" s="25">
        <v>2025</v>
      </c>
      <c r="B1160" s="26" t="s">
        <v>1631</v>
      </c>
      <c r="C1160" s="26">
        <f>LN(Inventory[[#This Row],[Acres]])</f>
        <v>-1.5606477482646683</v>
      </c>
      <c r="D1160" s="25">
        <v>0.21</v>
      </c>
      <c r="E1160" s="25">
        <v>9330</v>
      </c>
      <c r="F1160" s="26" t="s">
        <v>537</v>
      </c>
      <c r="G1160" s="26" t="s">
        <v>126</v>
      </c>
      <c r="H1160" s="26" t="s">
        <v>349</v>
      </c>
      <c r="I1160" s="26" t="s">
        <v>538</v>
      </c>
      <c r="J1160" s="26" t="s">
        <v>539</v>
      </c>
      <c r="K1160" s="26" t="s">
        <v>242</v>
      </c>
      <c r="L1160" s="26" t="s">
        <v>302</v>
      </c>
      <c r="M1160" s="26" t="s">
        <v>303</v>
      </c>
      <c r="N1160" s="26">
        <v>90</v>
      </c>
      <c r="O1160" s="26">
        <f>2024-Inventory[[#This Row],[YrBlt]]</f>
        <v>80</v>
      </c>
      <c r="P1160" s="26">
        <f>2024-Inventory[[#This Row],[EffYr]]</f>
        <v>52</v>
      </c>
      <c r="Q1160" s="25">
        <v>1944</v>
      </c>
      <c r="R1160" s="25">
        <v>1972</v>
      </c>
      <c r="S1160" s="25">
        <v>1070</v>
      </c>
      <c r="T1160" s="27"/>
      <c r="U1160" s="25">
        <v>463</v>
      </c>
      <c r="V1160" s="25">
        <f>Inventory[[#This Row],[Bsmt]]-Inventory[[#This Row],[FnBsmt]]</f>
        <v>139</v>
      </c>
      <c r="W1160" s="25">
        <v>324</v>
      </c>
      <c r="X1160" s="27"/>
      <c r="Y1160" s="27">
        <f>Inventory[[#This Row],[MainFn]]+Inventory[[#This Row],[UpprFn]]+Inventory[[#This Row],[FnBsmt]]+Inventory[[#This Row],[AddFn]]</f>
        <v>1394</v>
      </c>
      <c r="Z1160" s="27">
        <v>1500</v>
      </c>
      <c r="AA1160" s="25">
        <v>6</v>
      </c>
      <c r="AB1160" s="32">
        <v>220</v>
      </c>
      <c r="AC1160" s="27"/>
      <c r="AD1160" s="27"/>
      <c r="AE1160" s="27"/>
      <c r="AF1160" s="27"/>
      <c r="AG1160" s="27"/>
      <c r="AH1160" s="27"/>
      <c r="AI1160" s="25">
        <v>276584</v>
      </c>
      <c r="AJ1160" s="25">
        <v>193609</v>
      </c>
      <c r="AK1160" s="25">
        <v>0</v>
      </c>
      <c r="AL1160" s="25">
        <v>317700</v>
      </c>
      <c r="AM1160" s="25">
        <v>60100</v>
      </c>
      <c r="AN1160" s="25">
        <v>257600</v>
      </c>
      <c r="AO1160" s="25">
        <v>0</v>
      </c>
      <c r="AP1160" s="25">
        <f>Lookups!$B$56*0</f>
        <v>0</v>
      </c>
      <c r="AQ1160" s="25">
        <f>Lookups!$B$56*1</f>
        <v>89850.625589999996</v>
      </c>
      <c r="AR1160" s="25">
        <f>Lookups!$B$57*Inventory[[#This Row],[LnAcres]]</f>
        <v>-49401.70477837498</v>
      </c>
      <c r="AS1160" s="25">
        <f>VLOOKUP(Inventory[[#This Row],[Qlty]],Lookups!$A$62:$E$75,2,FALSE)</f>
        <v>29814.093161000001</v>
      </c>
      <c r="AT1160" s="25">
        <f>VLOOKUP(Inventory[[#This Row],[Cnd]],Lookups!$A$76:$E$84,2,FALSE)</f>
        <v>197752.34721000001</v>
      </c>
      <c r="AU1160" s="25">
        <f>Inventory[[#This Row],[EffAge]]*Lookups!$B$85</f>
        <v>-11598.371226000001</v>
      </c>
      <c r="AV1160" s="25">
        <f>Inventory[[#This Row],[MainFn]]*Lookups!$B$86</f>
        <v>52867.276768390002</v>
      </c>
      <c r="AW1160" s="25">
        <f>Inventory[[#This Row],[UpprFn]]*Lookups!$B$87</f>
        <v>0</v>
      </c>
      <c r="AX1160" s="25">
        <f>Inventory[[#This Row],[AddFn]]*Lookups!$B$88</f>
        <v>0</v>
      </c>
      <c r="AY1160" s="25">
        <f>Inventory[[#This Row],[Bsmt]]*Lookups!$B$89</f>
        <v>13464.917499360999</v>
      </c>
      <c r="AZ1160" s="25">
        <f>Inventory[[#This Row],[Fixtures]]*Lookups!$B$90</f>
        <v>22752.132631200002</v>
      </c>
      <c r="BA1160" s="25">
        <f>Inventory[[#This Row],[WdDeck]]*Lookups!$B$91</f>
        <v>0</v>
      </c>
      <c r="BB1160" s="25">
        <f>ROUND(Inventory[[#This Row],[25Det]],-2)</f>
        <v>0</v>
      </c>
      <c r="BC1160" s="25">
        <f>ROUND(SUM(Inventory[[#This Row],[Mdl Qlty]:[Mdl WdDeck]])+Inventory[[#This Row],[Mdl Res Intercept]],-2)</f>
        <v>305100</v>
      </c>
      <c r="BD1160" s="25">
        <f>ROUND(Inventory[[#This Row],[Mdl Land Intercept]]+Inventory[[#This Row],[Mdl LnAcres]],-2)</f>
        <v>40400</v>
      </c>
      <c r="BE1160" s="25">
        <f>Inventory[[#This Row],[Unadj Res Value]]+Inventory[[#This Row],[Unadj Det Value]]+Inventory[[#This Row],[Unadj Land Value]]</f>
        <v>345500</v>
      </c>
      <c r="BF1160" s="36">
        <f>(Inventory[[#This Row],[Unadj Total Value]]-Inventory[[#This Row],[24Final]])/Inventory[[#This Row],[24Final]]</f>
        <v>8.7503934529430283E-2</v>
      </c>
      <c r="BG1160" s="25">
        <f>VLOOKUP(Inventory[[#This Row],[Nbhd]],Lookups!$Q$2:$T$4,4,FALSE)</f>
        <v>0.99970000000000003</v>
      </c>
      <c r="BH1160" s="25">
        <f>VLOOKUP(Inventory[[#This Row],[Qlty]],Lookups!$O$7:$R$21,4,FALSE)</f>
        <v>1.0088999999999999</v>
      </c>
      <c r="BI1160" s="25">
        <f>VLOOKUP(Inventory[[#This Row],[Cnd]],Lookups!$T$7:$W$16,4,FALSE)</f>
        <v>0.99650000000000005</v>
      </c>
      <c r="BJ1160" s="25">
        <f>VLOOKUP(Inventory[[#This Row],[LivArea Range]],Lookups!$T$25:$W$37,4,FALSE)</f>
        <v>1.0157</v>
      </c>
      <c r="BK1160" s="25">
        <f>VLOOKUP(Inventory[[#This Row],[Decade]],Lookups!$O$25:$R$42,4,FALSE)</f>
        <v>0.98909999999999998</v>
      </c>
      <c r="BL1160" s="25">
        <f>Inventory[[#This Row],[Nbhd Adj]]*0.95</f>
        <v>0.94971499999999998</v>
      </c>
      <c r="BM1160" s="25">
        <f>Inventory[[#This Row],[Nbhd Adj]]*Inventory[[#This Row],[Quality Adj]]*Inventory[[#This Row],[Condition Adj]]*Inventory[[#This Row],[Living Area Adj]]*Inventory[[#This Row],[Decade Adj]]*0.95</f>
        <v>0.95923358669032743</v>
      </c>
      <c r="BN1160" s="25">
        <f>ROUND(SUM(Inventory[[#This Row],[Mdl Qlty]:[Mdl WdDeck]])+Inventory[[#This Row],[Mdl Res Intercept]]*Inventory[[#This Row],[Res Adj ]],-2)</f>
        <v>305100</v>
      </c>
      <c r="BO1160" s="25">
        <f>ROUND(Inventory[[#This Row],[25Det]]*Inventory[[#This Row],[Det/Nbhd Adj]],-2)</f>
        <v>0</v>
      </c>
      <c r="BP1160" s="25">
        <f>Inventory[[#This Row],[Adjusted Res]]+Inventory[[#This Row],[Adj Det ]]</f>
        <v>305100</v>
      </c>
      <c r="BQ1160" s="25">
        <f>ROUND((Inventory[[#This Row],[Mdl Land Intercept]]+Inventory[[#This Row],[Mdl LnAcres]])*Inventory[[#This Row],[Det/Nbhd Adj]],-2)</f>
        <v>38400</v>
      </c>
      <c r="BR1160" s="25">
        <f>Inventory[[#This Row],[Adjusted Impr Total]]+Inventory[[#This Row],[Adjusted Land Total]]</f>
        <v>343500</v>
      </c>
      <c r="BS1160" s="36">
        <f>IFERROR((Inventory[[#This Row],[Adjusted Impr Total]]-Inventory[[#This Row],[24Bldg]])/Inventory[[#This Row],[24Bldg]],0)</f>
        <v>0.18439440993788819</v>
      </c>
      <c r="BT1160" s="36">
        <f>(Inventory[[#This Row],[Adjusted Land Total]]-Inventory[[#This Row],[24Lnd]])/Inventory[[#This Row],[24Lnd]]</f>
        <v>-0.36106489184692181</v>
      </c>
      <c r="BU1160" s="36">
        <f>(Inventory[[#This Row],[Adjusted Total]]-Inventory[[#This Row],[24Final]])/Inventory[[#This Row],[24Final]]</f>
        <v>8.1208687440982058E-2</v>
      </c>
    </row>
    <row r="1161" spans="1:73" x14ac:dyDescent="0.3">
      <c r="A1161" s="25">
        <v>2025</v>
      </c>
      <c r="B1161" s="26" t="s">
        <v>2522</v>
      </c>
      <c r="C1161" s="26">
        <f>LN(Inventory[[#This Row],[Acres]])</f>
        <v>-1.3470736479666092</v>
      </c>
      <c r="D1161" s="25">
        <v>0.26</v>
      </c>
      <c r="E1161" s="31"/>
      <c r="F1161" s="26" t="s">
        <v>537</v>
      </c>
      <c r="G1161" s="26" t="s">
        <v>126</v>
      </c>
      <c r="H1161" s="26" t="s">
        <v>349</v>
      </c>
      <c r="I1161" s="26" t="s">
        <v>538</v>
      </c>
      <c r="J1161" s="26" t="s">
        <v>539</v>
      </c>
      <c r="K1161" s="26" t="s">
        <v>242</v>
      </c>
      <c r="L1161" s="26" t="s">
        <v>351</v>
      </c>
      <c r="M1161" s="26" t="s">
        <v>303</v>
      </c>
      <c r="N1161" s="26">
        <v>90</v>
      </c>
      <c r="O1161" s="26">
        <f>2024-Inventory[[#This Row],[YrBlt]]</f>
        <v>81</v>
      </c>
      <c r="P1161" s="26">
        <f>2024-Inventory[[#This Row],[EffYr]]</f>
        <v>52</v>
      </c>
      <c r="Q1161" s="25">
        <v>1943</v>
      </c>
      <c r="R1161" s="25">
        <v>1972</v>
      </c>
      <c r="S1161" s="25">
        <v>864</v>
      </c>
      <c r="T1161" s="31"/>
      <c r="U1161" s="25">
        <v>864</v>
      </c>
      <c r="V1161" s="32">
        <f>Inventory[[#This Row],[Bsmt]]-Inventory[[#This Row],[FnBsmt]]</f>
        <v>364</v>
      </c>
      <c r="W1161" s="32">
        <v>500</v>
      </c>
      <c r="X1161" s="27"/>
      <c r="Y1161" s="27">
        <f>Inventory[[#This Row],[MainFn]]+Inventory[[#This Row],[UpprFn]]+Inventory[[#This Row],[FnBsmt]]+Inventory[[#This Row],[AddFn]]</f>
        <v>1364</v>
      </c>
      <c r="Z1161" s="27">
        <v>1500</v>
      </c>
      <c r="AA1161" s="25">
        <v>7</v>
      </c>
      <c r="AB1161" s="32">
        <v>435</v>
      </c>
      <c r="AC1161" s="27"/>
      <c r="AD1161" s="27"/>
      <c r="AE1161" s="27"/>
      <c r="AF1161" s="27"/>
      <c r="AG1161" s="27"/>
      <c r="AH1161" s="27"/>
      <c r="AI1161" s="25">
        <v>228068</v>
      </c>
      <c r="AJ1161" s="25">
        <v>159648</v>
      </c>
      <c r="AK1161" s="25">
        <v>0</v>
      </c>
      <c r="AL1161" s="25">
        <v>319700</v>
      </c>
      <c r="AM1161" s="25">
        <v>67600</v>
      </c>
      <c r="AN1161" s="25">
        <v>252100</v>
      </c>
      <c r="AO1161" s="25">
        <v>0</v>
      </c>
      <c r="AP1161" s="25">
        <f>Lookups!$B$56*0</f>
        <v>0</v>
      </c>
      <c r="AQ1161" s="25">
        <f>Lookups!$B$56*1</f>
        <v>89850.625589999996</v>
      </c>
      <c r="AR1161" s="25">
        <f>Lookups!$B$57*Inventory[[#This Row],[LnAcres]]</f>
        <v>-42641.098701210125</v>
      </c>
      <c r="AS1161" s="25">
        <f>VLOOKUP(Inventory[[#This Row],[Qlty]],Lookups!$A$62:$E$75,2,FALSE)</f>
        <v>21557.329055999999</v>
      </c>
      <c r="AT1161" s="25">
        <f>VLOOKUP(Inventory[[#This Row],[Cnd]],Lookups!$A$76:$E$84,2,FALSE)</f>
        <v>197752.34721000001</v>
      </c>
      <c r="AU1161" s="25">
        <f>Inventory[[#This Row],[EffAge]]*Lookups!$B$85</f>
        <v>-11598.371226000001</v>
      </c>
      <c r="AV1161" s="25">
        <f>Inventory[[#This Row],[MainFn]]*Lookups!$B$86</f>
        <v>42689.090773727999</v>
      </c>
      <c r="AW1161" s="25">
        <f>Inventory[[#This Row],[UpprFn]]*Lookups!$B$87</f>
        <v>0</v>
      </c>
      <c r="AX1161" s="25">
        <f>Inventory[[#This Row],[AddFn]]*Lookups!$B$88</f>
        <v>0</v>
      </c>
      <c r="AY1161" s="25">
        <f>Inventory[[#This Row],[Bsmt]]*Lookups!$B$89</f>
        <v>25126.757493408</v>
      </c>
      <c r="AZ1161" s="25">
        <f>Inventory[[#This Row],[Fixtures]]*Lookups!$B$90</f>
        <v>26544.1547364</v>
      </c>
      <c r="BA1161" s="25">
        <f>Inventory[[#This Row],[WdDeck]]*Lookups!$B$91</f>
        <v>0</v>
      </c>
      <c r="BB1161" s="25">
        <f>ROUND(Inventory[[#This Row],[25Det]],-2)</f>
        <v>0</v>
      </c>
      <c r="BC1161" s="25">
        <f>ROUND(SUM(Inventory[[#This Row],[Mdl Qlty]:[Mdl WdDeck]])+Inventory[[#This Row],[Mdl Res Intercept]],-2)</f>
        <v>302100</v>
      </c>
      <c r="BD1161" s="25">
        <f>ROUND(Inventory[[#This Row],[Mdl Land Intercept]]+Inventory[[#This Row],[Mdl LnAcres]],-2)</f>
        <v>47200</v>
      </c>
      <c r="BE1161" s="25">
        <f>Inventory[[#This Row],[Unadj Res Value]]+Inventory[[#This Row],[Unadj Det Value]]+Inventory[[#This Row],[Unadj Land Value]]</f>
        <v>349300</v>
      </c>
      <c r="BF1161" s="36">
        <f>(Inventory[[#This Row],[Unadj Total Value]]-Inventory[[#This Row],[24Final]])/Inventory[[#This Row],[24Final]]</f>
        <v>9.2586800125117302E-2</v>
      </c>
      <c r="BG1161" s="25">
        <f>VLOOKUP(Inventory[[#This Row],[Nbhd]],Lookups!$Q$2:$T$4,4,FALSE)</f>
        <v>0.99970000000000003</v>
      </c>
      <c r="BH1161" s="25">
        <f>VLOOKUP(Inventory[[#This Row],[Qlty]],Lookups!$O$7:$R$21,4,FALSE)</f>
        <v>1.0067999999999999</v>
      </c>
      <c r="BI1161" s="25">
        <f>VLOOKUP(Inventory[[#This Row],[Cnd]],Lookups!$T$7:$W$16,4,FALSE)</f>
        <v>0.99650000000000005</v>
      </c>
      <c r="BJ1161" s="25">
        <f>VLOOKUP(Inventory[[#This Row],[LivArea Range]],Lookups!$T$25:$W$37,4,FALSE)</f>
        <v>1.0157</v>
      </c>
      <c r="BK1161" s="25">
        <f>VLOOKUP(Inventory[[#This Row],[Decade]],Lookups!$O$25:$R$42,4,FALSE)</f>
        <v>0.98909999999999998</v>
      </c>
      <c r="BL1161" s="25">
        <f>Inventory[[#This Row],[Nbhd Adj]]*0.95</f>
        <v>0.94971499999999998</v>
      </c>
      <c r="BM1161" s="25">
        <f>Inventory[[#This Row],[Nbhd Adj]]*Inventory[[#This Row],[Quality Adj]]*Inventory[[#This Row],[Condition Adj]]*Inventory[[#This Row],[Living Area Adj]]*Inventory[[#This Row],[Decade Adj]]*0.95</f>
        <v>0.95723696608169473</v>
      </c>
      <c r="BN1161" s="25">
        <f>ROUND(SUM(Inventory[[#This Row],[Mdl Qlty]:[Mdl WdDeck]])+Inventory[[#This Row],[Mdl Res Intercept]]*Inventory[[#This Row],[Res Adj ]],-2)</f>
        <v>302100</v>
      </c>
      <c r="BO1161" s="25">
        <f>ROUND(Inventory[[#This Row],[25Det]]*Inventory[[#This Row],[Det/Nbhd Adj]],-2)</f>
        <v>0</v>
      </c>
      <c r="BP1161" s="25">
        <f>Inventory[[#This Row],[Adjusted Res]]+Inventory[[#This Row],[Adj Det ]]</f>
        <v>302100</v>
      </c>
      <c r="BQ1161" s="25">
        <f>ROUND((Inventory[[#This Row],[Mdl Land Intercept]]+Inventory[[#This Row],[Mdl LnAcres]])*Inventory[[#This Row],[Det/Nbhd Adj]],-2)</f>
        <v>44800</v>
      </c>
      <c r="BR1161" s="25">
        <f>Inventory[[#This Row],[Adjusted Impr Total]]+Inventory[[#This Row],[Adjusted Land Total]]</f>
        <v>346900</v>
      </c>
      <c r="BS1161" s="36">
        <f>IFERROR((Inventory[[#This Row],[Adjusted Impr Total]]-Inventory[[#This Row],[24Bldg]])/Inventory[[#This Row],[24Bldg]],0)</f>
        <v>0.19833399444664815</v>
      </c>
      <c r="BT1161" s="36">
        <f>(Inventory[[#This Row],[Adjusted Land Total]]-Inventory[[#This Row],[24Lnd]])/Inventory[[#This Row],[24Lnd]]</f>
        <v>-0.33727810650887574</v>
      </c>
      <c r="BU1161" s="36">
        <f>(Inventory[[#This Row],[Adjusted Total]]-Inventory[[#This Row],[24Final]])/Inventory[[#This Row],[24Final]]</f>
        <v>8.5079762277134818E-2</v>
      </c>
    </row>
    <row r="1162" spans="1:73" x14ac:dyDescent="0.3">
      <c r="A1162" s="25">
        <v>2025</v>
      </c>
      <c r="B1162" s="26" t="s">
        <v>1531</v>
      </c>
      <c r="C1162" s="26">
        <f>LN(Inventory[[#This Row],[Acres]])</f>
        <v>-1.7147984280919266</v>
      </c>
      <c r="D1162" s="25">
        <v>0.18</v>
      </c>
      <c r="E1162" s="32">
        <v>7702</v>
      </c>
      <c r="F1162" s="26" t="s">
        <v>537</v>
      </c>
      <c r="G1162" s="26" t="s">
        <v>126</v>
      </c>
      <c r="H1162" s="26" t="s">
        <v>349</v>
      </c>
      <c r="I1162" s="26" t="s">
        <v>538</v>
      </c>
      <c r="J1162" s="26" t="s">
        <v>539</v>
      </c>
      <c r="K1162" s="26" t="s">
        <v>242</v>
      </c>
      <c r="L1162" s="26" t="s">
        <v>351</v>
      </c>
      <c r="M1162" s="26" t="s">
        <v>303</v>
      </c>
      <c r="N1162" s="26">
        <v>90</v>
      </c>
      <c r="O1162" s="26">
        <f>2024-Inventory[[#This Row],[YrBlt]]</f>
        <v>81</v>
      </c>
      <c r="P1162" s="26">
        <f>2024-Inventory[[#This Row],[EffYr]]</f>
        <v>52</v>
      </c>
      <c r="Q1162" s="25">
        <v>1943</v>
      </c>
      <c r="R1162" s="25">
        <v>1972</v>
      </c>
      <c r="S1162" s="25">
        <v>991</v>
      </c>
      <c r="T1162" s="27"/>
      <c r="U1162" s="25">
        <v>991</v>
      </c>
      <c r="V1162" s="25">
        <f>Inventory[[#This Row],[Bsmt]]-Inventory[[#This Row],[FnBsmt]]</f>
        <v>0</v>
      </c>
      <c r="W1162" s="25">
        <v>991</v>
      </c>
      <c r="X1162" s="27"/>
      <c r="Y1162" s="27">
        <f>Inventory[[#This Row],[MainFn]]+Inventory[[#This Row],[UpprFn]]+Inventory[[#This Row],[FnBsmt]]+Inventory[[#This Row],[AddFn]]</f>
        <v>1982</v>
      </c>
      <c r="Z1162" s="27">
        <v>2000</v>
      </c>
      <c r="AA1162" s="25">
        <v>5</v>
      </c>
      <c r="AB1162" s="31"/>
      <c r="AC1162" s="27"/>
      <c r="AD1162" s="27"/>
      <c r="AE1162" s="27"/>
      <c r="AF1162" s="27"/>
      <c r="AG1162" s="27"/>
      <c r="AH1162" s="27"/>
      <c r="AI1162" s="25">
        <v>239100</v>
      </c>
      <c r="AJ1162" s="25">
        <v>167370</v>
      </c>
      <c r="AK1162" s="25">
        <v>8032</v>
      </c>
      <c r="AL1162" s="25">
        <v>324700</v>
      </c>
      <c r="AM1162" s="25">
        <v>54700</v>
      </c>
      <c r="AN1162" s="25">
        <v>270000</v>
      </c>
      <c r="AO1162" s="25">
        <v>0</v>
      </c>
      <c r="AP1162" s="25">
        <f>Lookups!$B$56*0</f>
        <v>0</v>
      </c>
      <c r="AQ1162" s="25">
        <f>Lookups!$B$56*1</f>
        <v>89850.625589999996</v>
      </c>
      <c r="AR1162" s="25">
        <f>Lookups!$B$57*Inventory[[#This Row],[LnAcres]]</f>
        <v>-54281.285314520763</v>
      </c>
      <c r="AS1162" s="25">
        <f>VLOOKUP(Inventory[[#This Row],[Qlty]],Lookups!$A$62:$E$75,2,FALSE)</f>
        <v>21557.329055999999</v>
      </c>
      <c r="AT1162" s="25">
        <f>VLOOKUP(Inventory[[#This Row],[Cnd]],Lookups!$A$76:$E$84,2,FALSE)</f>
        <v>197752.34721000001</v>
      </c>
      <c r="AU1162" s="25">
        <f>Inventory[[#This Row],[EffAge]]*Lookups!$B$85</f>
        <v>-11598.371226000001</v>
      </c>
      <c r="AV1162" s="25">
        <f>Inventory[[#This Row],[MainFn]]*Lookups!$B$86</f>
        <v>48963.991848106998</v>
      </c>
      <c r="AW1162" s="25">
        <f>Inventory[[#This Row],[UpprFn]]*Lookups!$B$87</f>
        <v>0</v>
      </c>
      <c r="AX1162" s="25">
        <f>Inventory[[#This Row],[AddFn]]*Lookups!$B$88</f>
        <v>0</v>
      </c>
      <c r="AY1162" s="25">
        <f>Inventory[[#This Row],[Bsmt]]*Lookups!$B$89</f>
        <v>28820.158189776997</v>
      </c>
      <c r="AZ1162" s="25">
        <f>Inventory[[#This Row],[Fixtures]]*Lookups!$B$90</f>
        <v>18960.110526</v>
      </c>
      <c r="BA1162" s="25">
        <f>Inventory[[#This Row],[WdDeck]]*Lookups!$B$91</f>
        <v>0</v>
      </c>
      <c r="BB1162" s="25">
        <f>ROUND(Inventory[[#This Row],[25Det]],-2)</f>
        <v>8000</v>
      </c>
      <c r="BC1162" s="25">
        <f>ROUND(SUM(Inventory[[#This Row],[Mdl Qlty]:[Mdl WdDeck]])+Inventory[[#This Row],[Mdl Res Intercept]],-2)</f>
        <v>304500</v>
      </c>
      <c r="BD1162" s="25">
        <f>ROUND(Inventory[[#This Row],[Mdl Land Intercept]]+Inventory[[#This Row],[Mdl LnAcres]],-2)</f>
        <v>35600</v>
      </c>
      <c r="BE1162" s="25">
        <f>Inventory[[#This Row],[Unadj Res Value]]+Inventory[[#This Row],[Unadj Det Value]]+Inventory[[#This Row],[Unadj Land Value]]</f>
        <v>348100</v>
      </c>
      <c r="BF1162" s="36">
        <f>(Inventory[[#This Row],[Unadj Total Value]]-Inventory[[#This Row],[24Final]])/Inventory[[#This Row],[24Final]]</f>
        <v>7.2066522944256237E-2</v>
      </c>
      <c r="BG1162" s="25">
        <f>VLOOKUP(Inventory[[#This Row],[Nbhd]],Lookups!$Q$2:$T$4,4,FALSE)</f>
        <v>0.99970000000000003</v>
      </c>
      <c r="BH1162" s="25">
        <f>VLOOKUP(Inventory[[#This Row],[Qlty]],Lookups!$O$7:$R$21,4,FALSE)</f>
        <v>1.0067999999999999</v>
      </c>
      <c r="BI1162" s="25">
        <f>VLOOKUP(Inventory[[#This Row],[Cnd]],Lookups!$T$7:$W$16,4,FALSE)</f>
        <v>0.99650000000000005</v>
      </c>
      <c r="BJ1162" s="25">
        <f>VLOOKUP(Inventory[[#This Row],[LivArea Range]],Lookups!$T$25:$W$37,4,FALSE)</f>
        <v>1.0093000000000001</v>
      </c>
      <c r="BK1162" s="25">
        <f>VLOOKUP(Inventory[[#This Row],[Decade]],Lookups!$O$25:$R$42,4,FALSE)</f>
        <v>0.98909999999999998</v>
      </c>
      <c r="BL1162" s="25">
        <f>Inventory[[#This Row],[Nbhd Adj]]*0.95</f>
        <v>0.94971499999999998</v>
      </c>
      <c r="BM1162" s="25">
        <f>Inventory[[#This Row],[Nbhd Adj]]*Inventory[[#This Row],[Quality Adj]]*Inventory[[#This Row],[Condition Adj]]*Inventory[[#This Row],[Living Area Adj]]*Inventory[[#This Row],[Decade Adj]]*0.95</f>
        <v>0.95120534593507355</v>
      </c>
      <c r="BN1162" s="25">
        <f>ROUND(SUM(Inventory[[#This Row],[Mdl Qlty]:[Mdl WdDeck]])+Inventory[[#This Row],[Mdl Res Intercept]]*Inventory[[#This Row],[Res Adj ]],-2)</f>
        <v>304500</v>
      </c>
      <c r="BO1162" s="25">
        <f>ROUND(Inventory[[#This Row],[25Det]]*Inventory[[#This Row],[Det/Nbhd Adj]],-2)</f>
        <v>7600</v>
      </c>
      <c r="BP1162" s="25">
        <f>Inventory[[#This Row],[Adjusted Res]]+Inventory[[#This Row],[Adj Det ]]</f>
        <v>312100</v>
      </c>
      <c r="BQ1162" s="25">
        <f>ROUND((Inventory[[#This Row],[Mdl Land Intercept]]+Inventory[[#This Row],[Mdl LnAcres]])*Inventory[[#This Row],[Det/Nbhd Adj]],-2)</f>
        <v>33800</v>
      </c>
      <c r="BR1162" s="25">
        <f>Inventory[[#This Row],[Adjusted Impr Total]]+Inventory[[#This Row],[Adjusted Land Total]]</f>
        <v>345900</v>
      </c>
      <c r="BS1162" s="36">
        <f>IFERROR((Inventory[[#This Row],[Adjusted Impr Total]]-Inventory[[#This Row],[24Bldg]])/Inventory[[#This Row],[24Bldg]],0)</f>
        <v>0.15592592592592591</v>
      </c>
      <c r="BT1162" s="36">
        <f>(Inventory[[#This Row],[Adjusted Land Total]]-Inventory[[#This Row],[24Lnd]])/Inventory[[#This Row],[24Lnd]]</f>
        <v>-0.38208409506398539</v>
      </c>
      <c r="BU1162" s="36">
        <f>(Inventory[[#This Row],[Adjusted Total]]-Inventory[[#This Row],[24Final]])/Inventory[[#This Row],[24Final]]</f>
        <v>6.5291037881121033E-2</v>
      </c>
    </row>
    <row r="1163" spans="1:73" x14ac:dyDescent="0.3">
      <c r="A1163" s="25">
        <v>2025</v>
      </c>
      <c r="B1163" s="26" t="s">
        <v>800</v>
      </c>
      <c r="C1163" s="26">
        <f>LN(Inventory[[#This Row],[Acres]])</f>
        <v>-1.6607312068216509</v>
      </c>
      <c r="D1163" s="25">
        <v>0.19</v>
      </c>
      <c r="E1163" s="25">
        <v>8272</v>
      </c>
      <c r="F1163" s="26" t="s">
        <v>537</v>
      </c>
      <c r="G1163" s="26" t="s">
        <v>126</v>
      </c>
      <c r="H1163" s="26" t="s">
        <v>349</v>
      </c>
      <c r="I1163" s="26" t="s">
        <v>538</v>
      </c>
      <c r="J1163" s="26" t="s">
        <v>539</v>
      </c>
      <c r="K1163" s="26" t="s">
        <v>242</v>
      </c>
      <c r="L1163" s="26" t="s">
        <v>351</v>
      </c>
      <c r="M1163" s="26" t="s">
        <v>323</v>
      </c>
      <c r="N1163" s="26">
        <v>90</v>
      </c>
      <c r="O1163" s="26">
        <f>2024-Inventory[[#This Row],[YrBlt]]</f>
        <v>81</v>
      </c>
      <c r="P1163" s="26">
        <f>2024-Inventory[[#This Row],[EffYr]]</f>
        <v>52</v>
      </c>
      <c r="Q1163" s="25">
        <v>1943</v>
      </c>
      <c r="R1163" s="25">
        <v>1972</v>
      </c>
      <c r="S1163" s="25">
        <v>1029</v>
      </c>
      <c r="T1163" s="27"/>
      <c r="U1163" s="25">
        <v>1029</v>
      </c>
      <c r="V1163" s="32">
        <f>Inventory[[#This Row],[Bsmt]]-Inventory[[#This Row],[FnBsmt]]</f>
        <v>257</v>
      </c>
      <c r="W1163" s="32">
        <v>772</v>
      </c>
      <c r="X1163" s="27"/>
      <c r="Y1163" s="27">
        <f>Inventory[[#This Row],[MainFn]]+Inventory[[#This Row],[UpprFn]]+Inventory[[#This Row],[FnBsmt]]+Inventory[[#This Row],[AddFn]]</f>
        <v>1801</v>
      </c>
      <c r="Z1163" s="27">
        <v>2000</v>
      </c>
      <c r="AA1163" s="25">
        <v>8</v>
      </c>
      <c r="AB1163" s="27"/>
      <c r="AC1163" s="27"/>
      <c r="AD1163" s="25">
        <v>68</v>
      </c>
      <c r="AE1163" s="27"/>
      <c r="AF1163" s="27"/>
      <c r="AG1163" s="27"/>
      <c r="AH1163" s="27"/>
      <c r="AI1163" s="25">
        <v>253559</v>
      </c>
      <c r="AJ1163" s="25">
        <v>172420</v>
      </c>
      <c r="AK1163" s="25">
        <v>0</v>
      </c>
      <c r="AL1163" s="25">
        <v>307700</v>
      </c>
      <c r="AM1163" s="25">
        <v>56600</v>
      </c>
      <c r="AN1163" s="25">
        <v>251100</v>
      </c>
      <c r="AO1163" s="25">
        <v>0</v>
      </c>
      <c r="AP1163" s="25">
        <f>Lookups!$B$56*0</f>
        <v>0</v>
      </c>
      <c r="AQ1163" s="25">
        <f>Lookups!$B$56*1</f>
        <v>89850.625589999996</v>
      </c>
      <c r="AR1163" s="25">
        <f>Lookups!$B$57*Inventory[[#This Row],[LnAcres]]</f>
        <v>-52569.808201026557</v>
      </c>
      <c r="AS1163" s="25">
        <f>VLOOKUP(Inventory[[#This Row],[Qlty]],Lookups!$A$62:$E$75,2,FALSE)</f>
        <v>21557.329055999999</v>
      </c>
      <c r="AT1163" s="25">
        <f>VLOOKUP(Inventory[[#This Row],[Cnd]],Lookups!$A$76:$E$84,2,FALSE)</f>
        <v>160472.20319</v>
      </c>
      <c r="AU1163" s="25">
        <f>Inventory[[#This Row],[EffAge]]*Lookups!$B$85</f>
        <v>-11598.371226000001</v>
      </c>
      <c r="AV1163" s="25">
        <f>Inventory[[#This Row],[MainFn]]*Lookups!$B$86</f>
        <v>50841.521303433001</v>
      </c>
      <c r="AW1163" s="25">
        <f>Inventory[[#This Row],[UpprFn]]*Lookups!$B$87</f>
        <v>0</v>
      </c>
      <c r="AX1163" s="25">
        <f>Inventory[[#This Row],[AddFn]]*Lookups!$B$88</f>
        <v>0</v>
      </c>
      <c r="AY1163" s="25">
        <f>Inventory[[#This Row],[Bsmt]]*Lookups!$B$89</f>
        <v>29925.270209162998</v>
      </c>
      <c r="AZ1163" s="25">
        <f>Inventory[[#This Row],[Fixtures]]*Lookups!$B$90</f>
        <v>30336.176841600001</v>
      </c>
      <c r="BA1163" s="25">
        <f>Inventory[[#This Row],[WdDeck]]*Lookups!$B$91</f>
        <v>2264.0950387680004</v>
      </c>
      <c r="BB1163" s="25">
        <f>ROUND(Inventory[[#This Row],[25Det]],-2)</f>
        <v>0</v>
      </c>
      <c r="BC1163" s="25">
        <f>ROUND(SUM(Inventory[[#This Row],[Mdl Qlty]:[Mdl WdDeck]])+Inventory[[#This Row],[Mdl Res Intercept]],-2)</f>
        <v>283800</v>
      </c>
      <c r="BD1163" s="25">
        <f>ROUND(Inventory[[#This Row],[Mdl Land Intercept]]+Inventory[[#This Row],[Mdl LnAcres]],-2)</f>
        <v>37300</v>
      </c>
      <c r="BE1163" s="25">
        <f>Inventory[[#This Row],[Unadj Res Value]]+Inventory[[#This Row],[Unadj Det Value]]+Inventory[[#This Row],[Unadj Land Value]]</f>
        <v>321100</v>
      </c>
      <c r="BF1163" s="36">
        <f>(Inventory[[#This Row],[Unadj Total Value]]-Inventory[[#This Row],[24Final]])/Inventory[[#This Row],[24Final]]</f>
        <v>4.3548911277218071E-2</v>
      </c>
      <c r="BG1163" s="25">
        <f>VLOOKUP(Inventory[[#This Row],[Nbhd]],Lookups!$Q$2:$T$4,4,FALSE)</f>
        <v>0.99970000000000003</v>
      </c>
      <c r="BH1163" s="25">
        <f>VLOOKUP(Inventory[[#This Row],[Qlty]],Lookups!$O$7:$R$21,4,FALSE)</f>
        <v>1.0067999999999999</v>
      </c>
      <c r="BI1163" s="25">
        <f>VLOOKUP(Inventory[[#This Row],[Cnd]],Lookups!$T$7:$W$16,4,FALSE)</f>
        <v>0.99729999999999996</v>
      </c>
      <c r="BJ1163" s="25">
        <f>VLOOKUP(Inventory[[#This Row],[LivArea Range]],Lookups!$T$25:$W$37,4,FALSE)</f>
        <v>1.0093000000000001</v>
      </c>
      <c r="BK1163" s="25">
        <f>VLOOKUP(Inventory[[#This Row],[Decade]],Lookups!$O$25:$R$42,4,FALSE)</f>
        <v>0.98909999999999998</v>
      </c>
      <c r="BL1163" s="25">
        <f>Inventory[[#This Row],[Nbhd Adj]]*0.95</f>
        <v>0.94971499999999998</v>
      </c>
      <c r="BM1163" s="25">
        <f>Inventory[[#This Row],[Nbhd Adj]]*Inventory[[#This Row],[Quality Adj]]*Inventory[[#This Row],[Condition Adj]]*Inventory[[#This Row],[Living Area Adj]]*Inventory[[#This Row],[Decade Adj]]*0.95</f>
        <v>0.95196898294134369</v>
      </c>
      <c r="BN1163" s="25">
        <f>ROUND(SUM(Inventory[[#This Row],[Mdl Qlty]:[Mdl WdDeck]])+Inventory[[#This Row],[Mdl Res Intercept]]*Inventory[[#This Row],[Res Adj ]],-2)</f>
        <v>283800</v>
      </c>
      <c r="BO1163" s="25">
        <f>ROUND(Inventory[[#This Row],[25Det]]*Inventory[[#This Row],[Det/Nbhd Adj]],-2)</f>
        <v>0</v>
      </c>
      <c r="BP1163" s="25">
        <f>Inventory[[#This Row],[Adjusted Res]]+Inventory[[#This Row],[Adj Det ]]</f>
        <v>283800</v>
      </c>
      <c r="BQ1163" s="25">
        <f>ROUND((Inventory[[#This Row],[Mdl Land Intercept]]+Inventory[[#This Row],[Mdl LnAcres]])*Inventory[[#This Row],[Det/Nbhd Adj]],-2)</f>
        <v>35400</v>
      </c>
      <c r="BR1163" s="25">
        <f>Inventory[[#This Row],[Adjusted Impr Total]]+Inventory[[#This Row],[Adjusted Land Total]]</f>
        <v>319200</v>
      </c>
      <c r="BS1163" s="36">
        <f>IFERROR((Inventory[[#This Row],[Adjusted Impr Total]]-Inventory[[#This Row],[24Bldg]])/Inventory[[#This Row],[24Bldg]],0)</f>
        <v>0.13022700119474312</v>
      </c>
      <c r="BT1163" s="36">
        <f>(Inventory[[#This Row],[Adjusted Land Total]]-Inventory[[#This Row],[24Lnd]])/Inventory[[#This Row],[24Lnd]]</f>
        <v>-0.37455830388692579</v>
      </c>
      <c r="BU1163" s="36">
        <f>(Inventory[[#This Row],[Adjusted Total]]-Inventory[[#This Row],[24Final]])/Inventory[[#This Row],[24Final]]</f>
        <v>3.7374065648358788E-2</v>
      </c>
    </row>
    <row r="1164" spans="1:73" x14ac:dyDescent="0.3">
      <c r="A1164" s="25">
        <v>2025</v>
      </c>
      <c r="B1164" s="26" t="s">
        <v>1530</v>
      </c>
      <c r="C1164" s="26">
        <f>LN(Inventory[[#This Row],[Acres]])</f>
        <v>-1.7719568419318752</v>
      </c>
      <c r="D1164" s="25">
        <v>0.17</v>
      </c>
      <c r="E1164" s="25">
        <v>7604</v>
      </c>
      <c r="F1164" s="26" t="s">
        <v>537</v>
      </c>
      <c r="G1164" s="26" t="s">
        <v>126</v>
      </c>
      <c r="H1164" s="26" t="s">
        <v>349</v>
      </c>
      <c r="I1164" s="26" t="s">
        <v>538</v>
      </c>
      <c r="J1164" s="26" t="s">
        <v>539</v>
      </c>
      <c r="K1164" s="26" t="s">
        <v>241</v>
      </c>
      <c r="L1164" s="26" t="s">
        <v>351</v>
      </c>
      <c r="M1164" s="26" t="s">
        <v>323</v>
      </c>
      <c r="N1164" s="26">
        <v>90</v>
      </c>
      <c r="O1164" s="26">
        <f>2024-Inventory[[#This Row],[YrBlt]]</f>
        <v>81</v>
      </c>
      <c r="P1164" s="26">
        <f>2024-Inventory[[#This Row],[EffYr]]</f>
        <v>52</v>
      </c>
      <c r="Q1164" s="25">
        <v>1943</v>
      </c>
      <c r="R1164" s="25">
        <v>1972</v>
      </c>
      <c r="S1164" s="25">
        <v>1284</v>
      </c>
      <c r="T1164" s="27"/>
      <c r="U1164" s="25">
        <v>1156</v>
      </c>
      <c r="V1164" s="25">
        <f>Inventory[[#This Row],[Bsmt]]-Inventory[[#This Row],[FnBsmt]]</f>
        <v>0</v>
      </c>
      <c r="W1164" s="25">
        <v>1156</v>
      </c>
      <c r="X1164" s="27"/>
      <c r="Y1164" s="27">
        <f>Inventory[[#This Row],[MainFn]]+Inventory[[#This Row],[UpprFn]]+Inventory[[#This Row],[FnBsmt]]+Inventory[[#This Row],[AddFn]]</f>
        <v>2440</v>
      </c>
      <c r="Z1164" s="27">
        <v>2500</v>
      </c>
      <c r="AA1164" s="25">
        <v>9</v>
      </c>
      <c r="AB1164" s="27"/>
      <c r="AC1164" s="27"/>
      <c r="AD1164" s="27"/>
      <c r="AE1164" s="27"/>
      <c r="AF1164" s="27"/>
      <c r="AG1164" s="27"/>
      <c r="AH1164" s="27"/>
      <c r="AI1164" s="25">
        <v>313501</v>
      </c>
      <c r="AJ1164" s="25">
        <v>213181</v>
      </c>
      <c r="AK1164" s="25">
        <v>7282</v>
      </c>
      <c r="AL1164" s="25">
        <v>339100</v>
      </c>
      <c r="AM1164" s="25">
        <v>52700</v>
      </c>
      <c r="AN1164" s="25">
        <v>286400</v>
      </c>
      <c r="AO1164" s="25">
        <v>0</v>
      </c>
      <c r="AP1164" s="25">
        <f>Lookups!$B$56*0</f>
        <v>0</v>
      </c>
      <c r="AQ1164" s="25">
        <f>Lookups!$B$56*1</f>
        <v>89850.625589999996</v>
      </c>
      <c r="AR1164" s="25">
        <f>Lookups!$B$57*Inventory[[#This Row],[LnAcres]]</f>
        <v>-56090.612940989391</v>
      </c>
      <c r="AS1164" s="25">
        <f>VLOOKUP(Inventory[[#This Row],[Qlty]],Lookups!$A$62:$E$75,2,FALSE)</f>
        <v>21557.329055999999</v>
      </c>
      <c r="AT1164" s="25">
        <f>VLOOKUP(Inventory[[#This Row],[Cnd]],Lookups!$A$76:$E$84,2,FALSE)</f>
        <v>160472.20319</v>
      </c>
      <c r="AU1164" s="25">
        <f>Inventory[[#This Row],[EffAge]]*Lookups!$B$85</f>
        <v>-11598.371226000001</v>
      </c>
      <c r="AV1164" s="25">
        <f>Inventory[[#This Row],[MainFn]]*Lookups!$B$86</f>
        <v>63440.732122068002</v>
      </c>
      <c r="AW1164" s="25">
        <f>Inventory[[#This Row],[UpprFn]]*Lookups!$B$87</f>
        <v>0</v>
      </c>
      <c r="AX1164" s="25">
        <f>Inventory[[#This Row],[AddFn]]*Lookups!$B$88</f>
        <v>0</v>
      </c>
      <c r="AY1164" s="25">
        <f>Inventory[[#This Row],[Bsmt]]*Lookups!$B$89</f>
        <v>33618.670905531995</v>
      </c>
      <c r="AZ1164" s="25">
        <f>Inventory[[#This Row],[Fixtures]]*Lookups!$B$90</f>
        <v>34128.198946800003</v>
      </c>
      <c r="BA1164" s="25">
        <f>Inventory[[#This Row],[WdDeck]]*Lookups!$B$91</f>
        <v>0</v>
      </c>
      <c r="BB1164" s="25">
        <f>ROUND(Inventory[[#This Row],[25Det]],-2)</f>
        <v>7300</v>
      </c>
      <c r="BC1164" s="25">
        <f>ROUND(SUM(Inventory[[#This Row],[Mdl Qlty]:[Mdl WdDeck]])+Inventory[[#This Row],[Mdl Res Intercept]],-2)</f>
        <v>301600</v>
      </c>
      <c r="BD1164" s="25">
        <f>ROUND(Inventory[[#This Row],[Mdl Land Intercept]]+Inventory[[#This Row],[Mdl LnAcres]],-2)</f>
        <v>33800</v>
      </c>
      <c r="BE1164" s="25">
        <f>Inventory[[#This Row],[Unadj Res Value]]+Inventory[[#This Row],[Unadj Det Value]]+Inventory[[#This Row],[Unadj Land Value]]</f>
        <v>342700</v>
      </c>
      <c r="BF1164" s="36">
        <f>(Inventory[[#This Row],[Unadj Total Value]]-Inventory[[#This Row],[24Final]])/Inventory[[#This Row],[24Final]]</f>
        <v>1.0616337363609554E-2</v>
      </c>
      <c r="BG1164" s="25">
        <f>VLOOKUP(Inventory[[#This Row],[Nbhd]],Lookups!$Q$2:$T$4,4,FALSE)</f>
        <v>0.99970000000000003</v>
      </c>
      <c r="BH1164" s="25">
        <f>VLOOKUP(Inventory[[#This Row],[Qlty]],Lookups!$O$7:$R$21,4,FALSE)</f>
        <v>1.0067999999999999</v>
      </c>
      <c r="BI1164" s="25">
        <f>VLOOKUP(Inventory[[#This Row],[Cnd]],Lookups!$T$7:$W$16,4,FALSE)</f>
        <v>0.99729999999999996</v>
      </c>
      <c r="BJ1164" s="25">
        <f>VLOOKUP(Inventory[[#This Row],[LivArea Range]],Lookups!$T$25:$W$37,4,FALSE)</f>
        <v>0.98919999999999997</v>
      </c>
      <c r="BK1164" s="25">
        <f>VLOOKUP(Inventory[[#This Row],[Decade]],Lookups!$O$25:$R$42,4,FALSE)</f>
        <v>0.98909999999999998</v>
      </c>
      <c r="BL1164" s="25">
        <f>Inventory[[#This Row],[Nbhd Adj]]*0.95</f>
        <v>0.94971499999999998</v>
      </c>
      <c r="BM1164" s="25">
        <f>Inventory[[#This Row],[Nbhd Adj]]*Inventory[[#This Row],[Quality Adj]]*Inventory[[#This Row],[Condition Adj]]*Inventory[[#This Row],[Living Area Adj]]*Inventory[[#This Row],[Decade Adj]]*0.95</f>
        <v>0.93301071824589021</v>
      </c>
      <c r="BN1164" s="25">
        <f>ROUND(SUM(Inventory[[#This Row],[Mdl Qlty]:[Mdl WdDeck]])+Inventory[[#This Row],[Mdl Res Intercept]]*Inventory[[#This Row],[Res Adj ]],-2)</f>
        <v>301600</v>
      </c>
      <c r="BO1164" s="25">
        <f>ROUND(Inventory[[#This Row],[25Det]]*Inventory[[#This Row],[Det/Nbhd Adj]],-2)</f>
        <v>6900</v>
      </c>
      <c r="BP1164" s="25">
        <f>Inventory[[#This Row],[Adjusted Res]]+Inventory[[#This Row],[Adj Det ]]</f>
        <v>308500</v>
      </c>
      <c r="BQ1164" s="25">
        <f>ROUND((Inventory[[#This Row],[Mdl Land Intercept]]+Inventory[[#This Row],[Mdl LnAcres]])*Inventory[[#This Row],[Det/Nbhd Adj]],-2)</f>
        <v>32100</v>
      </c>
      <c r="BR1164" s="25">
        <f>Inventory[[#This Row],[Adjusted Impr Total]]+Inventory[[#This Row],[Adjusted Land Total]]</f>
        <v>340600</v>
      </c>
      <c r="BS1164" s="36">
        <f>IFERROR((Inventory[[#This Row],[Adjusted Impr Total]]-Inventory[[#This Row],[24Bldg]])/Inventory[[#This Row],[24Bldg]],0)</f>
        <v>7.7164804469273748E-2</v>
      </c>
      <c r="BT1164" s="36">
        <f>(Inventory[[#This Row],[Adjusted Land Total]]-Inventory[[#This Row],[24Lnd]])/Inventory[[#This Row],[24Lnd]]</f>
        <v>-0.39089184060721061</v>
      </c>
      <c r="BU1164" s="36">
        <f>(Inventory[[#This Row],[Adjusted Total]]-Inventory[[#This Row],[24Final]])/Inventory[[#This Row],[24Final]]</f>
        <v>4.4234739015039815E-3</v>
      </c>
    </row>
    <row r="1165" spans="1:73" x14ac:dyDescent="0.3">
      <c r="A1165" s="25">
        <v>2025</v>
      </c>
      <c r="B1165" s="26" t="s">
        <v>1528</v>
      </c>
      <c r="C1165" s="26">
        <f>LN(Inventory[[#This Row],[Acres]])</f>
        <v>-1.7147984280919266</v>
      </c>
      <c r="D1165" s="25">
        <v>0.18</v>
      </c>
      <c r="E1165" s="25">
        <v>7636</v>
      </c>
      <c r="F1165" s="26" t="s">
        <v>537</v>
      </c>
      <c r="G1165" s="26" t="s">
        <v>126</v>
      </c>
      <c r="H1165" s="26" t="s">
        <v>349</v>
      </c>
      <c r="I1165" s="26" t="s">
        <v>538</v>
      </c>
      <c r="J1165" s="26" t="s">
        <v>539</v>
      </c>
      <c r="K1165" s="26" t="s">
        <v>242</v>
      </c>
      <c r="L1165" s="26" t="s">
        <v>351</v>
      </c>
      <c r="M1165" s="26" t="s">
        <v>323</v>
      </c>
      <c r="N1165" s="26">
        <v>90</v>
      </c>
      <c r="O1165" s="26">
        <f>2024-Inventory[[#This Row],[YrBlt]]</f>
        <v>81</v>
      </c>
      <c r="P1165" s="26">
        <f>2024-Inventory[[#This Row],[EffYr]]</f>
        <v>52</v>
      </c>
      <c r="Q1165" s="25">
        <v>1943</v>
      </c>
      <c r="R1165" s="25">
        <v>1972</v>
      </c>
      <c r="S1165" s="25">
        <v>1280</v>
      </c>
      <c r="T1165" s="31"/>
      <c r="U1165" s="25">
        <v>1088</v>
      </c>
      <c r="V1165" s="25">
        <f>Inventory[[#This Row],[Bsmt]]-Inventory[[#This Row],[FnBsmt]]</f>
        <v>0</v>
      </c>
      <c r="W1165" s="25">
        <v>1088</v>
      </c>
      <c r="X1165" s="27"/>
      <c r="Y1165" s="27">
        <f>Inventory[[#This Row],[MainFn]]+Inventory[[#This Row],[UpprFn]]+Inventory[[#This Row],[FnBsmt]]+Inventory[[#This Row],[AddFn]]</f>
        <v>2368</v>
      </c>
      <c r="Z1165" s="27">
        <v>2500</v>
      </c>
      <c r="AA1165" s="25">
        <v>8</v>
      </c>
      <c r="AB1165" s="27"/>
      <c r="AC1165" s="27"/>
      <c r="AD1165" s="31"/>
      <c r="AE1165" s="27"/>
      <c r="AF1165" s="27"/>
      <c r="AG1165" s="27"/>
      <c r="AH1165" s="27"/>
      <c r="AI1165" s="25">
        <v>305125</v>
      </c>
      <c r="AJ1165" s="25">
        <v>207485</v>
      </c>
      <c r="AK1165" s="25">
        <v>0</v>
      </c>
      <c r="AL1165" s="25">
        <v>328300</v>
      </c>
      <c r="AM1165" s="25">
        <v>54700</v>
      </c>
      <c r="AN1165" s="25">
        <v>273600</v>
      </c>
      <c r="AO1165" s="25">
        <v>0</v>
      </c>
      <c r="AP1165" s="25">
        <f>Lookups!$B$56*0</f>
        <v>0</v>
      </c>
      <c r="AQ1165" s="25">
        <f>Lookups!$B$56*1</f>
        <v>89850.625589999996</v>
      </c>
      <c r="AR1165" s="25">
        <f>Lookups!$B$57*Inventory[[#This Row],[LnAcres]]</f>
        <v>-54281.285314520763</v>
      </c>
      <c r="AS1165" s="25">
        <f>VLOOKUP(Inventory[[#This Row],[Qlty]],Lookups!$A$62:$E$75,2,FALSE)</f>
        <v>21557.329055999999</v>
      </c>
      <c r="AT1165" s="25">
        <f>VLOOKUP(Inventory[[#This Row],[Cnd]],Lookups!$A$76:$E$84,2,FALSE)</f>
        <v>160472.20319</v>
      </c>
      <c r="AU1165" s="25">
        <f>Inventory[[#This Row],[EffAge]]*Lookups!$B$85</f>
        <v>-11598.371226000001</v>
      </c>
      <c r="AV1165" s="25">
        <f>Inventory[[#This Row],[MainFn]]*Lookups!$B$86</f>
        <v>63243.09744256</v>
      </c>
      <c r="AW1165" s="25">
        <f>Inventory[[#This Row],[UpprFn]]*Lookups!$B$87</f>
        <v>0</v>
      </c>
      <c r="AX1165" s="25">
        <f>Inventory[[#This Row],[AddFn]]*Lookups!$B$88</f>
        <v>0</v>
      </c>
      <c r="AY1165" s="25">
        <f>Inventory[[#This Row],[Bsmt]]*Lookups!$B$89</f>
        <v>31641.102028735997</v>
      </c>
      <c r="AZ1165" s="25">
        <f>Inventory[[#This Row],[Fixtures]]*Lookups!$B$90</f>
        <v>30336.176841600001</v>
      </c>
      <c r="BA1165" s="25">
        <f>Inventory[[#This Row],[WdDeck]]*Lookups!$B$91</f>
        <v>0</v>
      </c>
      <c r="BB1165" s="25">
        <f>ROUND(Inventory[[#This Row],[25Det]],-2)</f>
        <v>0</v>
      </c>
      <c r="BC1165" s="25">
        <f>ROUND(SUM(Inventory[[#This Row],[Mdl Qlty]:[Mdl WdDeck]])+Inventory[[#This Row],[Mdl Res Intercept]],-2)</f>
        <v>295700</v>
      </c>
      <c r="BD1165" s="25">
        <f>ROUND(Inventory[[#This Row],[Mdl Land Intercept]]+Inventory[[#This Row],[Mdl LnAcres]],-2)</f>
        <v>35600</v>
      </c>
      <c r="BE1165" s="25">
        <f>Inventory[[#This Row],[Unadj Res Value]]+Inventory[[#This Row],[Unadj Det Value]]+Inventory[[#This Row],[Unadj Land Value]]</f>
        <v>331300</v>
      </c>
      <c r="BF1165" s="36">
        <f>(Inventory[[#This Row],[Unadj Total Value]]-Inventory[[#This Row],[24Final]])/Inventory[[#This Row],[24Final]]</f>
        <v>9.1379835516296071E-3</v>
      </c>
      <c r="BG1165" s="25">
        <f>VLOOKUP(Inventory[[#This Row],[Nbhd]],Lookups!$Q$2:$T$4,4,FALSE)</f>
        <v>0.99970000000000003</v>
      </c>
      <c r="BH1165" s="25">
        <f>VLOOKUP(Inventory[[#This Row],[Qlty]],Lookups!$O$7:$R$21,4,FALSE)</f>
        <v>1.0067999999999999</v>
      </c>
      <c r="BI1165" s="25">
        <f>VLOOKUP(Inventory[[#This Row],[Cnd]],Lookups!$T$7:$W$16,4,FALSE)</f>
        <v>0.99729999999999996</v>
      </c>
      <c r="BJ1165" s="25">
        <f>VLOOKUP(Inventory[[#This Row],[LivArea Range]],Lookups!$T$25:$W$37,4,FALSE)</f>
        <v>0.98919999999999997</v>
      </c>
      <c r="BK1165" s="25">
        <f>VLOOKUP(Inventory[[#This Row],[Decade]],Lookups!$O$25:$R$42,4,FALSE)</f>
        <v>0.98909999999999998</v>
      </c>
      <c r="BL1165" s="25">
        <f>Inventory[[#This Row],[Nbhd Adj]]*0.95</f>
        <v>0.94971499999999998</v>
      </c>
      <c r="BM1165" s="25">
        <f>Inventory[[#This Row],[Nbhd Adj]]*Inventory[[#This Row],[Quality Adj]]*Inventory[[#This Row],[Condition Adj]]*Inventory[[#This Row],[Living Area Adj]]*Inventory[[#This Row],[Decade Adj]]*0.95</f>
        <v>0.93301071824589021</v>
      </c>
      <c r="BN1165" s="25">
        <f>ROUND(SUM(Inventory[[#This Row],[Mdl Qlty]:[Mdl WdDeck]])+Inventory[[#This Row],[Mdl Res Intercept]]*Inventory[[#This Row],[Res Adj ]],-2)</f>
        <v>295700</v>
      </c>
      <c r="BO1165" s="25">
        <f>ROUND(Inventory[[#This Row],[25Det]]*Inventory[[#This Row],[Det/Nbhd Adj]],-2)</f>
        <v>0</v>
      </c>
      <c r="BP1165" s="25">
        <f>Inventory[[#This Row],[Adjusted Res]]+Inventory[[#This Row],[Adj Det ]]</f>
        <v>295700</v>
      </c>
      <c r="BQ1165" s="25">
        <f>ROUND((Inventory[[#This Row],[Mdl Land Intercept]]+Inventory[[#This Row],[Mdl LnAcres]])*Inventory[[#This Row],[Det/Nbhd Adj]],-2)</f>
        <v>33800</v>
      </c>
      <c r="BR1165" s="25">
        <f>Inventory[[#This Row],[Adjusted Impr Total]]+Inventory[[#This Row],[Adjusted Land Total]]</f>
        <v>329500</v>
      </c>
      <c r="BS1165" s="36">
        <f>IFERROR((Inventory[[#This Row],[Adjusted Impr Total]]-Inventory[[#This Row],[24Bldg]])/Inventory[[#This Row],[24Bldg]],0)</f>
        <v>8.0774853801169597E-2</v>
      </c>
      <c r="BT1165" s="36">
        <f>(Inventory[[#This Row],[Adjusted Land Total]]-Inventory[[#This Row],[24Lnd]])/Inventory[[#This Row],[24Lnd]]</f>
        <v>-0.38208409506398539</v>
      </c>
      <c r="BU1165" s="36">
        <f>(Inventory[[#This Row],[Adjusted Total]]-Inventory[[#This Row],[24Final]])/Inventory[[#This Row],[24Final]]</f>
        <v>3.6551934206518429E-3</v>
      </c>
    </row>
    <row r="1166" spans="1:73" x14ac:dyDescent="0.3">
      <c r="A1166" s="25">
        <v>2025</v>
      </c>
      <c r="B1166" s="26" t="s">
        <v>1246</v>
      </c>
      <c r="C1166" s="26">
        <f>LN(Inventory[[#This Row],[Acres]])</f>
        <v>-1.3862943611198906</v>
      </c>
      <c r="D1166" s="25">
        <v>0.25</v>
      </c>
      <c r="E1166" s="31"/>
      <c r="F1166" s="26" t="s">
        <v>537</v>
      </c>
      <c r="G1166" s="26" t="s">
        <v>126</v>
      </c>
      <c r="H1166" s="26" t="s">
        <v>349</v>
      </c>
      <c r="I1166" s="26" t="s">
        <v>538</v>
      </c>
      <c r="J1166" s="26" t="s">
        <v>539</v>
      </c>
      <c r="K1166" s="26" t="s">
        <v>448</v>
      </c>
      <c r="L1166" s="26" t="s">
        <v>64</v>
      </c>
      <c r="M1166" s="26" t="s">
        <v>303</v>
      </c>
      <c r="N1166" s="26">
        <v>90</v>
      </c>
      <c r="O1166" s="26">
        <f>2024-Inventory[[#This Row],[YrBlt]]</f>
        <v>81</v>
      </c>
      <c r="P1166" s="26">
        <f>2024-Inventory[[#This Row],[EffYr]]</f>
        <v>52</v>
      </c>
      <c r="Q1166" s="25">
        <v>1943</v>
      </c>
      <c r="R1166" s="25">
        <v>1972</v>
      </c>
      <c r="S1166" s="25">
        <v>1234</v>
      </c>
      <c r="T1166" s="25">
        <v>1278</v>
      </c>
      <c r="U1166" s="25">
        <v>1069</v>
      </c>
      <c r="V1166" s="25">
        <f>Inventory[[#This Row],[Bsmt]]-Inventory[[#This Row],[FnBsmt]]</f>
        <v>0</v>
      </c>
      <c r="W1166" s="25">
        <v>1069</v>
      </c>
      <c r="X1166" s="27"/>
      <c r="Y1166" s="27">
        <f>Inventory[[#This Row],[MainFn]]+Inventory[[#This Row],[UpprFn]]+Inventory[[#This Row],[FnBsmt]]+Inventory[[#This Row],[AddFn]]</f>
        <v>3581</v>
      </c>
      <c r="Z1166" s="27">
        <v>4000</v>
      </c>
      <c r="AA1166" s="25">
        <v>14</v>
      </c>
      <c r="AB1166" s="27"/>
      <c r="AC1166" s="32">
        <v>260</v>
      </c>
      <c r="AD1166" s="31"/>
      <c r="AE1166" s="27"/>
      <c r="AF1166" s="27"/>
      <c r="AG1166" s="27"/>
      <c r="AH1166" s="27"/>
      <c r="AI1166" s="25">
        <v>798756</v>
      </c>
      <c r="AJ1166" s="25">
        <v>567117</v>
      </c>
      <c r="AK1166" s="25">
        <v>18500</v>
      </c>
      <c r="AL1166" s="25">
        <v>612300</v>
      </c>
      <c r="AM1166" s="25">
        <v>66200</v>
      </c>
      <c r="AN1166" s="25">
        <v>546100</v>
      </c>
      <c r="AO1166" s="25">
        <v>0</v>
      </c>
      <c r="AP1166" s="25">
        <f>Lookups!$B$56*0</f>
        <v>0</v>
      </c>
      <c r="AQ1166" s="25">
        <f>Lookups!$B$56*1</f>
        <v>89850.625589999996</v>
      </c>
      <c r="AR1166" s="25">
        <f>Lookups!$B$57*Inventory[[#This Row],[LnAcres]]</f>
        <v>-43882.615305165229</v>
      </c>
      <c r="AS1166" s="25">
        <f>VLOOKUP(Inventory[[#This Row],[Qlty]],Lookups!$A$62:$E$75,2,FALSE)</f>
        <v>163885.03753</v>
      </c>
      <c r="AT1166" s="25">
        <f>VLOOKUP(Inventory[[#This Row],[Cnd]],Lookups!$A$76:$E$84,2,FALSE)</f>
        <v>197752.34721000001</v>
      </c>
      <c r="AU1166" s="25">
        <f>Inventory[[#This Row],[EffAge]]*Lookups!$B$85</f>
        <v>-11598.371226000001</v>
      </c>
      <c r="AV1166" s="25">
        <f>Inventory[[#This Row],[MainFn]]*Lookups!$B$86</f>
        <v>60970.298628217999</v>
      </c>
      <c r="AW1166" s="25">
        <f>Inventory[[#This Row],[UpprFn]]*Lookups!$B$87</f>
        <v>57237.048416357997</v>
      </c>
      <c r="AX1166" s="25">
        <f>Inventory[[#This Row],[AddFn]]*Lookups!$B$88</f>
        <v>0</v>
      </c>
      <c r="AY1166" s="25">
        <f>Inventory[[#This Row],[Bsmt]]*Lookups!$B$89</f>
        <v>31088.546019042999</v>
      </c>
      <c r="AZ1166" s="25">
        <f>Inventory[[#This Row],[Fixtures]]*Lookups!$B$90</f>
        <v>53088.3094728</v>
      </c>
      <c r="BA1166" s="25">
        <f>Inventory[[#This Row],[WdDeck]]*Lookups!$B$91</f>
        <v>0</v>
      </c>
      <c r="BB1166" s="25">
        <f>ROUND(Inventory[[#This Row],[25Det]],-2)</f>
        <v>18500</v>
      </c>
      <c r="BC1166" s="25">
        <f>ROUND(SUM(Inventory[[#This Row],[Mdl Qlty]:[Mdl WdDeck]])+Inventory[[#This Row],[Mdl Res Intercept]],-2)</f>
        <v>552400</v>
      </c>
      <c r="BD1166" s="25">
        <f>ROUND(Inventory[[#This Row],[Mdl Land Intercept]]+Inventory[[#This Row],[Mdl LnAcres]],-2)</f>
        <v>46000</v>
      </c>
      <c r="BE1166" s="25">
        <f>Inventory[[#This Row],[Unadj Res Value]]+Inventory[[#This Row],[Unadj Det Value]]+Inventory[[#This Row],[Unadj Land Value]]</f>
        <v>616900</v>
      </c>
      <c r="BF1166" s="36">
        <f>(Inventory[[#This Row],[Unadj Total Value]]-Inventory[[#This Row],[24Final]])/Inventory[[#This Row],[24Final]]</f>
        <v>7.5126571941858565E-3</v>
      </c>
      <c r="BG1166" s="25">
        <f>VLOOKUP(Inventory[[#This Row],[Nbhd]],Lookups!$Q$2:$T$4,4,FALSE)</f>
        <v>0.99970000000000003</v>
      </c>
      <c r="BH1166" s="25">
        <f>VLOOKUP(Inventory[[#This Row],[Qlty]],Lookups!$O$7:$R$21,4,FALSE)</f>
        <v>1</v>
      </c>
      <c r="BI1166" s="25">
        <f>VLOOKUP(Inventory[[#This Row],[Cnd]],Lookups!$T$7:$W$16,4,FALSE)</f>
        <v>0.99650000000000005</v>
      </c>
      <c r="BJ1166" s="25">
        <f>VLOOKUP(Inventory[[#This Row],[LivArea Range]],Lookups!$T$25:$W$37,4,FALSE)</f>
        <v>0.94579999999999997</v>
      </c>
      <c r="BK1166" s="25">
        <f>VLOOKUP(Inventory[[#This Row],[Decade]],Lookups!$O$25:$R$42,4,FALSE)</f>
        <v>0.98909999999999998</v>
      </c>
      <c r="BL1166" s="25">
        <f>Inventory[[#This Row],[Nbhd Adj]]*0.95</f>
        <v>0.94971499999999998</v>
      </c>
      <c r="BM1166" s="25">
        <f>Inventory[[#This Row],[Nbhd Adj]]*Inventory[[#This Row],[Quality Adj]]*Inventory[[#This Row],[Condition Adj]]*Inventory[[#This Row],[Living Area Adj]]*Inventory[[#This Row],[Decade Adj]]*0.95</f>
        <v>0.88534005243625302</v>
      </c>
      <c r="BN1166" s="25">
        <f>ROUND(SUM(Inventory[[#This Row],[Mdl Qlty]:[Mdl WdDeck]])+Inventory[[#This Row],[Mdl Res Intercept]]*Inventory[[#This Row],[Res Adj ]],-2)</f>
        <v>552400</v>
      </c>
      <c r="BO1166" s="25">
        <f>ROUND(Inventory[[#This Row],[25Det]]*Inventory[[#This Row],[Det/Nbhd Adj]],-2)</f>
        <v>17600</v>
      </c>
      <c r="BP1166" s="25">
        <f>Inventory[[#This Row],[Adjusted Res]]+Inventory[[#This Row],[Adj Det ]]</f>
        <v>570000</v>
      </c>
      <c r="BQ1166" s="25">
        <f>ROUND((Inventory[[#This Row],[Mdl Land Intercept]]+Inventory[[#This Row],[Mdl LnAcres]])*Inventory[[#This Row],[Det/Nbhd Adj]],-2)</f>
        <v>43700</v>
      </c>
      <c r="BR1166" s="25">
        <f>Inventory[[#This Row],[Adjusted Impr Total]]+Inventory[[#This Row],[Adjusted Land Total]]</f>
        <v>613700</v>
      </c>
      <c r="BS1166" s="36">
        <f>IFERROR((Inventory[[#This Row],[Adjusted Impr Total]]-Inventory[[#This Row],[24Bldg]])/Inventory[[#This Row],[24Bldg]],0)</f>
        <v>4.3764878227430873E-2</v>
      </c>
      <c r="BT1166" s="36">
        <f>(Inventory[[#This Row],[Adjusted Land Total]]-Inventory[[#This Row],[24Lnd]])/Inventory[[#This Row],[24Lnd]]</f>
        <v>-0.33987915407854985</v>
      </c>
      <c r="BU1166" s="36">
        <f>(Inventory[[#This Row],[Adjusted Total]]-Inventory[[#This Row],[24Final]])/Inventory[[#This Row],[24Final]]</f>
        <v>2.2864608851869998E-3</v>
      </c>
    </row>
    <row r="1167" spans="1:73" x14ac:dyDescent="0.3">
      <c r="A1167" s="25">
        <v>2025</v>
      </c>
      <c r="B1167" s="26" t="s">
        <v>840</v>
      </c>
      <c r="C1167" s="26">
        <f>LN(Inventory[[#This Row],[Acres]])</f>
        <v>-1.7147984280919266</v>
      </c>
      <c r="D1167" s="25">
        <v>0.18</v>
      </c>
      <c r="E1167" s="25">
        <v>7861</v>
      </c>
      <c r="F1167" s="26" t="s">
        <v>537</v>
      </c>
      <c r="G1167" s="26" t="s">
        <v>126</v>
      </c>
      <c r="H1167" s="26" t="s">
        <v>349</v>
      </c>
      <c r="I1167" s="26" t="s">
        <v>538</v>
      </c>
      <c r="J1167" s="26" t="s">
        <v>638</v>
      </c>
      <c r="K1167" s="26" t="s">
        <v>242</v>
      </c>
      <c r="L1167" s="26" t="s">
        <v>205</v>
      </c>
      <c r="M1167" s="26" t="s">
        <v>323</v>
      </c>
      <c r="N1167" s="26">
        <v>90</v>
      </c>
      <c r="O1167" s="26">
        <f>2024-Inventory[[#This Row],[YrBlt]]</f>
        <v>81</v>
      </c>
      <c r="P1167" s="26">
        <f>2024-Inventory[[#This Row],[EffYr]]</f>
        <v>52</v>
      </c>
      <c r="Q1167" s="25">
        <v>1943</v>
      </c>
      <c r="R1167" s="25">
        <v>1972</v>
      </c>
      <c r="S1167" s="25">
        <v>1050</v>
      </c>
      <c r="T1167" s="31"/>
      <c r="U1167" s="25">
        <v>1050</v>
      </c>
      <c r="V1167" s="25">
        <f>Inventory[[#This Row],[Bsmt]]-Inventory[[#This Row],[FnBsmt]]</f>
        <v>0</v>
      </c>
      <c r="W1167" s="25">
        <v>1050</v>
      </c>
      <c r="X1167" s="27"/>
      <c r="Y1167" s="27">
        <f>Inventory[[#This Row],[MainFn]]+Inventory[[#This Row],[UpprFn]]+Inventory[[#This Row],[FnBsmt]]+Inventory[[#This Row],[AddFn]]</f>
        <v>2100</v>
      </c>
      <c r="Z1167" s="27">
        <v>2500</v>
      </c>
      <c r="AA1167" s="25">
        <v>5</v>
      </c>
      <c r="AB1167" s="27"/>
      <c r="AC1167" s="27"/>
      <c r="AD1167" s="27"/>
      <c r="AE1167" s="27"/>
      <c r="AF1167" s="27"/>
      <c r="AG1167" s="27"/>
      <c r="AH1167" s="27"/>
      <c r="AI1167" s="25">
        <v>237891</v>
      </c>
      <c r="AJ1167" s="25">
        <v>161766</v>
      </c>
      <c r="AK1167" s="25">
        <v>0</v>
      </c>
      <c r="AL1167" s="25">
        <v>288500</v>
      </c>
      <c r="AM1167" s="25">
        <v>54700</v>
      </c>
      <c r="AN1167" s="25">
        <v>233800</v>
      </c>
      <c r="AO1167" s="25">
        <v>0</v>
      </c>
      <c r="AP1167" s="25">
        <f>Lookups!$B$56*0</f>
        <v>0</v>
      </c>
      <c r="AQ1167" s="25">
        <f>Lookups!$B$56*1</f>
        <v>89850.625589999996</v>
      </c>
      <c r="AR1167" s="25">
        <f>Lookups!$B$57*Inventory[[#This Row],[LnAcres]]</f>
        <v>-54281.285314520763</v>
      </c>
      <c r="AS1167" s="25">
        <f>VLOOKUP(Inventory[[#This Row],[Qlty]],Lookups!$A$62:$E$75,2,FALSE)</f>
        <v>0</v>
      </c>
      <c r="AT1167" s="25">
        <f>VLOOKUP(Inventory[[#This Row],[Cnd]],Lookups!$A$76:$E$84,2,FALSE)</f>
        <v>160472.20319</v>
      </c>
      <c r="AU1167" s="25">
        <f>Inventory[[#This Row],[EffAge]]*Lookups!$B$85</f>
        <v>-11598.371226000001</v>
      </c>
      <c r="AV1167" s="25">
        <f>Inventory[[#This Row],[MainFn]]*Lookups!$B$86</f>
        <v>51879.103370850004</v>
      </c>
      <c r="AW1167" s="25">
        <f>Inventory[[#This Row],[UpprFn]]*Lookups!$B$87</f>
        <v>0</v>
      </c>
      <c r="AX1167" s="25">
        <f>Inventory[[#This Row],[AddFn]]*Lookups!$B$88</f>
        <v>0</v>
      </c>
      <c r="AY1167" s="25">
        <f>Inventory[[#This Row],[Bsmt]]*Lookups!$B$89</f>
        <v>30535.99000935</v>
      </c>
      <c r="AZ1167" s="25">
        <f>Inventory[[#This Row],[Fixtures]]*Lookups!$B$90</f>
        <v>18960.110526</v>
      </c>
      <c r="BA1167" s="25">
        <f>Inventory[[#This Row],[WdDeck]]*Lookups!$B$91</f>
        <v>0</v>
      </c>
      <c r="BB1167" s="25">
        <f>ROUND(Inventory[[#This Row],[25Det]],-2)</f>
        <v>0</v>
      </c>
      <c r="BC1167" s="25">
        <f>ROUND(SUM(Inventory[[#This Row],[Mdl Qlty]:[Mdl WdDeck]])+Inventory[[#This Row],[Mdl Res Intercept]],-2)</f>
        <v>250200</v>
      </c>
      <c r="BD1167" s="25">
        <f>ROUND(Inventory[[#This Row],[Mdl Land Intercept]]+Inventory[[#This Row],[Mdl LnAcres]],-2)</f>
        <v>35600</v>
      </c>
      <c r="BE1167" s="25">
        <f>Inventory[[#This Row],[Unadj Res Value]]+Inventory[[#This Row],[Unadj Det Value]]+Inventory[[#This Row],[Unadj Land Value]]</f>
        <v>285800</v>
      </c>
      <c r="BF1167" s="36">
        <f>(Inventory[[#This Row],[Unadj Total Value]]-Inventory[[#This Row],[24Final]])/Inventory[[#This Row],[24Final]]</f>
        <v>-9.3587521663778157E-3</v>
      </c>
      <c r="BG1167" s="25">
        <f>VLOOKUP(Inventory[[#This Row],[Nbhd]],Lookups!$Q$2:$T$4,4,FALSE)</f>
        <v>0.99970000000000003</v>
      </c>
      <c r="BH1167" s="25">
        <f>VLOOKUP(Inventory[[#This Row],[Qlty]],Lookups!$O$7:$R$21,4,FALSE)</f>
        <v>0.99180000000000001</v>
      </c>
      <c r="BI1167" s="25">
        <f>VLOOKUP(Inventory[[#This Row],[Cnd]],Lookups!$T$7:$W$16,4,FALSE)</f>
        <v>0.99729999999999996</v>
      </c>
      <c r="BJ1167" s="25">
        <f>VLOOKUP(Inventory[[#This Row],[LivArea Range]],Lookups!$T$25:$W$37,4,FALSE)</f>
        <v>0.98919999999999997</v>
      </c>
      <c r="BK1167" s="25">
        <f>VLOOKUP(Inventory[[#This Row],[Decade]],Lookups!$O$25:$R$42,4,FALSE)</f>
        <v>0.98909999999999998</v>
      </c>
      <c r="BL1167" s="25">
        <f>Inventory[[#This Row],[Nbhd Adj]]*0.95</f>
        <v>0.94971499999999998</v>
      </c>
      <c r="BM1167" s="25">
        <f>Inventory[[#This Row],[Nbhd Adj]]*Inventory[[#This Row],[Quality Adj]]*Inventory[[#This Row],[Condition Adj]]*Inventory[[#This Row],[Living Area Adj]]*Inventory[[#This Row],[Decade Adj]]*0.95</f>
        <v>0.91911008180003395</v>
      </c>
      <c r="BN1167" s="25">
        <f>ROUND(SUM(Inventory[[#This Row],[Mdl Qlty]:[Mdl WdDeck]])+Inventory[[#This Row],[Mdl Res Intercept]]*Inventory[[#This Row],[Res Adj ]],-2)</f>
        <v>250200</v>
      </c>
      <c r="BO1167" s="25">
        <f>ROUND(Inventory[[#This Row],[25Det]]*Inventory[[#This Row],[Det/Nbhd Adj]],-2)</f>
        <v>0</v>
      </c>
      <c r="BP1167" s="25">
        <f>Inventory[[#This Row],[Adjusted Res]]+Inventory[[#This Row],[Adj Det ]]</f>
        <v>250200</v>
      </c>
      <c r="BQ1167" s="25">
        <f>ROUND((Inventory[[#This Row],[Mdl Land Intercept]]+Inventory[[#This Row],[Mdl LnAcres]])*Inventory[[#This Row],[Det/Nbhd Adj]],-2)</f>
        <v>33800</v>
      </c>
      <c r="BR1167" s="25">
        <f>Inventory[[#This Row],[Adjusted Impr Total]]+Inventory[[#This Row],[Adjusted Land Total]]</f>
        <v>284000</v>
      </c>
      <c r="BS1167" s="36">
        <f>IFERROR((Inventory[[#This Row],[Adjusted Impr Total]]-Inventory[[#This Row],[24Bldg]])/Inventory[[#This Row],[24Bldg]],0)</f>
        <v>7.0145423438836618E-2</v>
      </c>
      <c r="BT1167" s="36">
        <f>(Inventory[[#This Row],[Adjusted Land Total]]-Inventory[[#This Row],[24Lnd]])/Inventory[[#This Row],[24Lnd]]</f>
        <v>-0.38208409506398539</v>
      </c>
      <c r="BU1167" s="36">
        <f>(Inventory[[#This Row],[Adjusted Total]]-Inventory[[#This Row],[24Final]])/Inventory[[#This Row],[24Final]]</f>
        <v>-1.5597920277296361E-2</v>
      </c>
    </row>
    <row r="1168" spans="1:73" x14ac:dyDescent="0.3">
      <c r="A1168" s="25">
        <v>2025</v>
      </c>
      <c r="B1168" s="26" t="s">
        <v>2390</v>
      </c>
      <c r="C1168" s="26">
        <f>LN(Inventory[[#This Row],[Acres]])</f>
        <v>-1.8325814637483102</v>
      </c>
      <c r="D1168" s="25">
        <v>0.16</v>
      </c>
      <c r="E1168" s="31"/>
      <c r="F1168" s="26" t="s">
        <v>537</v>
      </c>
      <c r="G1168" s="26" t="s">
        <v>126</v>
      </c>
      <c r="H1168" s="26" t="s">
        <v>349</v>
      </c>
      <c r="I1168" s="26" t="s">
        <v>538</v>
      </c>
      <c r="J1168" s="26" t="s">
        <v>539</v>
      </c>
      <c r="K1168" s="26" t="s">
        <v>242</v>
      </c>
      <c r="L1168" s="26" t="s">
        <v>148</v>
      </c>
      <c r="M1168" s="26" t="s">
        <v>303</v>
      </c>
      <c r="N1168" s="26">
        <v>90</v>
      </c>
      <c r="O1168" s="26">
        <f>2024-Inventory[[#This Row],[YrBlt]]</f>
        <v>82</v>
      </c>
      <c r="P1168" s="26">
        <f>2024-Inventory[[#This Row],[EffYr]]</f>
        <v>52</v>
      </c>
      <c r="Q1168" s="25">
        <v>1942</v>
      </c>
      <c r="R1168" s="25">
        <v>1972</v>
      </c>
      <c r="S1168" s="25">
        <v>1044</v>
      </c>
      <c r="T1168" s="31"/>
      <c r="U1168" s="25">
        <v>1044</v>
      </c>
      <c r="V1168" s="32">
        <f>Inventory[[#This Row],[Bsmt]]-Inventory[[#This Row],[FnBsmt]]</f>
        <v>1044</v>
      </c>
      <c r="W1168" s="27"/>
      <c r="X1168" s="27"/>
      <c r="Y1168" s="27">
        <f>Inventory[[#This Row],[MainFn]]+Inventory[[#This Row],[UpprFn]]+Inventory[[#This Row],[FnBsmt]]+Inventory[[#This Row],[AddFn]]</f>
        <v>1044</v>
      </c>
      <c r="Z1168" s="27">
        <v>1500</v>
      </c>
      <c r="AA1168" s="25">
        <v>10</v>
      </c>
      <c r="AB1168" s="27"/>
      <c r="AC1168" s="27"/>
      <c r="AD1168" s="32">
        <v>500</v>
      </c>
      <c r="AE1168" s="27"/>
      <c r="AF1168" s="27"/>
      <c r="AG1168" s="27"/>
      <c r="AH1168" s="27"/>
      <c r="AI1168" s="25">
        <v>312537</v>
      </c>
      <c r="AJ1168" s="25">
        <v>218776</v>
      </c>
      <c r="AK1168" s="25">
        <v>0</v>
      </c>
      <c r="AL1168" s="25">
        <v>336100</v>
      </c>
      <c r="AM1168" s="25">
        <v>50600</v>
      </c>
      <c r="AN1168" s="25">
        <v>285500</v>
      </c>
      <c r="AO1168" s="25">
        <v>0</v>
      </c>
      <c r="AP1168" s="25">
        <f>Lookups!$B$56*0</f>
        <v>0</v>
      </c>
      <c r="AQ1168" s="25">
        <f>Lookups!$B$56*1</f>
        <v>89850.625589999996</v>
      </c>
      <c r="AR1168" s="25">
        <f>Lookups!$B$57*Inventory[[#This Row],[LnAcres]]</f>
        <v>-58009.662049032086</v>
      </c>
      <c r="AS1168" s="25">
        <f>VLOOKUP(Inventory[[#This Row],[Qlty]],Lookups!$A$62:$E$75,2,FALSE)</f>
        <v>44121.038090000002</v>
      </c>
      <c r="AT1168" s="25">
        <f>VLOOKUP(Inventory[[#This Row],[Cnd]],Lookups!$A$76:$E$84,2,FALSE)</f>
        <v>197752.34721000001</v>
      </c>
      <c r="AU1168" s="25">
        <f>Inventory[[#This Row],[EffAge]]*Lookups!$B$85</f>
        <v>-11598.371226000001</v>
      </c>
      <c r="AV1168" s="25">
        <f>Inventory[[#This Row],[MainFn]]*Lookups!$B$86</f>
        <v>51582.651351588</v>
      </c>
      <c r="AW1168" s="25">
        <f>Inventory[[#This Row],[UpprFn]]*Lookups!$B$87</f>
        <v>0</v>
      </c>
      <c r="AX1168" s="25">
        <f>Inventory[[#This Row],[AddFn]]*Lookups!$B$88</f>
        <v>0</v>
      </c>
      <c r="AY1168" s="25">
        <f>Inventory[[#This Row],[Bsmt]]*Lookups!$B$89</f>
        <v>30361.498637867997</v>
      </c>
      <c r="AZ1168" s="25">
        <f>Inventory[[#This Row],[Fixtures]]*Lookups!$B$90</f>
        <v>37920.221052000001</v>
      </c>
      <c r="BA1168" s="25">
        <f>Inventory[[#This Row],[WdDeck]]*Lookups!$B$91</f>
        <v>16647.757638000003</v>
      </c>
      <c r="BB1168" s="25">
        <f>ROUND(Inventory[[#This Row],[25Det]],-2)</f>
        <v>0</v>
      </c>
      <c r="BC1168" s="25">
        <f>ROUND(SUM(Inventory[[#This Row],[Mdl Qlty]:[Mdl WdDeck]])+Inventory[[#This Row],[Mdl Res Intercept]],-2)</f>
        <v>366800</v>
      </c>
      <c r="BD1168" s="25">
        <f>ROUND(Inventory[[#This Row],[Mdl Land Intercept]]+Inventory[[#This Row],[Mdl LnAcres]],-2)</f>
        <v>31800</v>
      </c>
      <c r="BE1168" s="25">
        <f>Inventory[[#This Row],[Unadj Res Value]]+Inventory[[#This Row],[Unadj Det Value]]+Inventory[[#This Row],[Unadj Land Value]]</f>
        <v>398600</v>
      </c>
      <c r="BF1168" s="36">
        <f>(Inventory[[#This Row],[Unadj Total Value]]-Inventory[[#This Row],[24Final]])/Inventory[[#This Row],[24Final]]</f>
        <v>0.1859565605474561</v>
      </c>
      <c r="BG1168" s="25">
        <f>VLOOKUP(Inventory[[#This Row],[Nbhd]],Lookups!$Q$2:$T$4,4,FALSE)</f>
        <v>0.99970000000000003</v>
      </c>
      <c r="BH1168" s="25">
        <f>VLOOKUP(Inventory[[#This Row],[Qlty]],Lookups!$O$7:$R$21,4,FALSE)</f>
        <v>0.98050000000000004</v>
      </c>
      <c r="BI1168" s="25">
        <f>VLOOKUP(Inventory[[#This Row],[Cnd]],Lookups!$T$7:$W$16,4,FALSE)</f>
        <v>0.99650000000000005</v>
      </c>
      <c r="BJ1168" s="25">
        <f>VLOOKUP(Inventory[[#This Row],[LivArea Range]],Lookups!$T$25:$W$37,4,FALSE)</f>
        <v>1.0157</v>
      </c>
      <c r="BK1168" s="25">
        <f>VLOOKUP(Inventory[[#This Row],[Decade]],Lookups!$O$25:$R$42,4,FALSE)</f>
        <v>0.98909999999999998</v>
      </c>
      <c r="BL1168" s="25">
        <f>Inventory[[#This Row],[Nbhd Adj]]*0.95</f>
        <v>0.94971499999999998</v>
      </c>
      <c r="BM1168" s="25">
        <f>Inventory[[#This Row],[Nbhd Adj]]*Inventory[[#This Row],[Quality Adj]]*Inventory[[#This Row],[Condition Adj]]*Inventory[[#This Row],[Living Area Adj]]*Inventory[[#This Row],[Decade Adj]]*0.95</f>
        <v>0.93223166988786421</v>
      </c>
      <c r="BN1168" s="25">
        <f>ROUND(SUM(Inventory[[#This Row],[Mdl Qlty]:[Mdl WdDeck]])+Inventory[[#This Row],[Mdl Res Intercept]]*Inventory[[#This Row],[Res Adj ]],-2)</f>
        <v>366800</v>
      </c>
      <c r="BO1168" s="25">
        <f>ROUND(Inventory[[#This Row],[25Det]]*Inventory[[#This Row],[Det/Nbhd Adj]],-2)</f>
        <v>0</v>
      </c>
      <c r="BP1168" s="25">
        <f>Inventory[[#This Row],[Adjusted Res]]+Inventory[[#This Row],[Adj Det ]]</f>
        <v>366800</v>
      </c>
      <c r="BQ1168" s="25">
        <f>ROUND((Inventory[[#This Row],[Mdl Land Intercept]]+Inventory[[#This Row],[Mdl LnAcres]])*Inventory[[#This Row],[Det/Nbhd Adj]],-2)</f>
        <v>30200</v>
      </c>
      <c r="BR1168" s="25">
        <f>Inventory[[#This Row],[Adjusted Impr Total]]+Inventory[[#This Row],[Adjusted Land Total]]</f>
        <v>397000</v>
      </c>
      <c r="BS1168" s="36">
        <f>IFERROR((Inventory[[#This Row],[Adjusted Impr Total]]-Inventory[[#This Row],[24Bldg]])/Inventory[[#This Row],[24Bldg]],0)</f>
        <v>0.28476357267950964</v>
      </c>
      <c r="BT1168" s="36">
        <f>(Inventory[[#This Row],[Adjusted Land Total]]-Inventory[[#This Row],[24Lnd]])/Inventory[[#This Row],[24Lnd]]</f>
        <v>-0.40316205533596838</v>
      </c>
      <c r="BU1168" s="36">
        <f>(Inventory[[#This Row],[Adjusted Total]]-Inventory[[#This Row],[24Final]])/Inventory[[#This Row],[24Final]]</f>
        <v>0.18119607259744125</v>
      </c>
    </row>
    <row r="1169" spans="1:73" x14ac:dyDescent="0.3">
      <c r="A1169" s="25">
        <v>2025</v>
      </c>
      <c r="B1169" s="26" t="s">
        <v>2218</v>
      </c>
      <c r="C1169" s="26">
        <f>LN(Inventory[[#This Row],[Acres]])</f>
        <v>-2.4079456086518722</v>
      </c>
      <c r="D1169" s="25">
        <v>0.09</v>
      </c>
      <c r="E1169" s="25">
        <v>3794</v>
      </c>
      <c r="F1169" s="26" t="s">
        <v>537</v>
      </c>
      <c r="G1169" s="26" t="s">
        <v>126</v>
      </c>
      <c r="H1169" s="26" t="s">
        <v>349</v>
      </c>
      <c r="I1169" s="26" t="s">
        <v>538</v>
      </c>
      <c r="J1169" s="26" t="s">
        <v>539</v>
      </c>
      <c r="K1169" s="26" t="s">
        <v>242</v>
      </c>
      <c r="L1169" s="26" t="s">
        <v>351</v>
      </c>
      <c r="M1169" s="26" t="s">
        <v>206</v>
      </c>
      <c r="N1169" s="26">
        <v>90</v>
      </c>
      <c r="O1169" s="26">
        <f>2024-Inventory[[#This Row],[YrBlt]]</f>
        <v>82</v>
      </c>
      <c r="P1169" s="26">
        <f>2024-Inventory[[#This Row],[EffYr]]</f>
        <v>52</v>
      </c>
      <c r="Q1169" s="25">
        <v>1942</v>
      </c>
      <c r="R1169" s="25">
        <v>1972</v>
      </c>
      <c r="S1169" s="25">
        <v>960</v>
      </c>
      <c r="T1169" s="27"/>
      <c r="U1169" s="32">
        <v>624</v>
      </c>
      <c r="V1169" s="32">
        <f>Inventory[[#This Row],[Bsmt]]-Inventory[[#This Row],[FnBsmt]]</f>
        <v>624</v>
      </c>
      <c r="W1169" s="27"/>
      <c r="X1169" s="27"/>
      <c r="Y1169" s="27">
        <f>Inventory[[#This Row],[MainFn]]+Inventory[[#This Row],[UpprFn]]+Inventory[[#This Row],[FnBsmt]]+Inventory[[#This Row],[AddFn]]</f>
        <v>960</v>
      </c>
      <c r="Z1169" s="27">
        <v>1000</v>
      </c>
      <c r="AA1169" s="25">
        <v>5</v>
      </c>
      <c r="AB1169" s="32">
        <v>234</v>
      </c>
      <c r="AC1169" s="27"/>
      <c r="AD1169" s="31"/>
      <c r="AE1169" s="27"/>
      <c r="AF1169" s="27"/>
      <c r="AG1169" s="27"/>
      <c r="AH1169" s="27"/>
      <c r="AI1169" s="25">
        <v>205392</v>
      </c>
      <c r="AJ1169" s="25">
        <v>135559</v>
      </c>
      <c r="AK1169" s="25">
        <v>0</v>
      </c>
      <c r="AL1169" s="25">
        <v>211700</v>
      </c>
      <c r="AM1169" s="25">
        <v>30600</v>
      </c>
      <c r="AN1169" s="25">
        <v>181100</v>
      </c>
      <c r="AO1169" s="25">
        <v>0</v>
      </c>
      <c r="AP1169" s="25">
        <f>Lookups!$B$56*0</f>
        <v>0</v>
      </c>
      <c r="AQ1169" s="25">
        <f>Lookups!$B$56*1</f>
        <v>89850.625589999996</v>
      </c>
      <c r="AR1169" s="25">
        <f>Lookups!$B$57*Inventory[[#This Row],[LnAcres]]</f>
        <v>-76222.592967103381</v>
      </c>
      <c r="AS1169" s="25">
        <f>VLOOKUP(Inventory[[#This Row],[Qlty]],Lookups!$A$62:$E$75,2,FALSE)</f>
        <v>21557.329055999999</v>
      </c>
      <c r="AT1169" s="25">
        <f>VLOOKUP(Inventory[[#This Row],[Cnd]],Lookups!$A$76:$E$84,2,FALSE)</f>
        <v>133714.53821</v>
      </c>
      <c r="AU1169" s="25">
        <f>Inventory[[#This Row],[EffAge]]*Lookups!$B$85</f>
        <v>-11598.371226000001</v>
      </c>
      <c r="AV1169" s="25">
        <f>Inventory[[#This Row],[MainFn]]*Lookups!$B$86</f>
        <v>47432.323081920003</v>
      </c>
      <c r="AW1169" s="25">
        <f>Inventory[[#This Row],[UpprFn]]*Lookups!$B$87</f>
        <v>0</v>
      </c>
      <c r="AX1169" s="25">
        <f>Inventory[[#This Row],[AddFn]]*Lookups!$B$88</f>
        <v>0</v>
      </c>
      <c r="AY1169" s="25">
        <f>Inventory[[#This Row],[Bsmt]]*Lookups!$B$89</f>
        <v>18147.102634127998</v>
      </c>
      <c r="AZ1169" s="25">
        <f>Inventory[[#This Row],[Fixtures]]*Lookups!$B$90</f>
        <v>18960.110526</v>
      </c>
      <c r="BA1169" s="25">
        <f>Inventory[[#This Row],[WdDeck]]*Lookups!$B$91</f>
        <v>0</v>
      </c>
      <c r="BB1169" s="25">
        <f>ROUND(Inventory[[#This Row],[25Det]],-2)</f>
        <v>0</v>
      </c>
      <c r="BC1169" s="25">
        <f>ROUND(SUM(Inventory[[#This Row],[Mdl Qlty]:[Mdl WdDeck]])+Inventory[[#This Row],[Mdl Res Intercept]],-2)</f>
        <v>228200</v>
      </c>
      <c r="BD1169" s="25">
        <f>ROUND(Inventory[[#This Row],[Mdl Land Intercept]]+Inventory[[#This Row],[Mdl LnAcres]],-2)</f>
        <v>13600</v>
      </c>
      <c r="BE1169" s="25">
        <f>Inventory[[#This Row],[Unadj Res Value]]+Inventory[[#This Row],[Unadj Det Value]]+Inventory[[#This Row],[Unadj Land Value]]</f>
        <v>241800</v>
      </c>
      <c r="BF1169" s="36">
        <f>(Inventory[[#This Row],[Unadj Total Value]]-Inventory[[#This Row],[24Final]])/Inventory[[#This Row],[24Final]]</f>
        <v>0.14218233349078885</v>
      </c>
      <c r="BG1169" s="25">
        <f>VLOOKUP(Inventory[[#This Row],[Nbhd]],Lookups!$Q$2:$T$4,4,FALSE)</f>
        <v>0.99970000000000003</v>
      </c>
      <c r="BH1169" s="25">
        <f>VLOOKUP(Inventory[[#This Row],[Qlty]],Lookups!$O$7:$R$21,4,FALSE)</f>
        <v>1.0067999999999999</v>
      </c>
      <c r="BI1169" s="25">
        <f>VLOOKUP(Inventory[[#This Row],[Cnd]],Lookups!$T$7:$W$16,4,FALSE)</f>
        <v>0.99329999999999996</v>
      </c>
      <c r="BJ1169" s="25">
        <f>VLOOKUP(Inventory[[#This Row],[LivArea Range]],Lookups!$T$25:$W$37,4,FALSE)</f>
        <v>1.0148999999999999</v>
      </c>
      <c r="BK1169" s="25">
        <f>VLOOKUP(Inventory[[#This Row],[Decade]],Lookups!$O$25:$R$42,4,FALSE)</f>
        <v>0.98909999999999998</v>
      </c>
      <c r="BL1169" s="25">
        <f>Inventory[[#This Row],[Nbhd Adj]]*0.95</f>
        <v>0.94971499999999998</v>
      </c>
      <c r="BM1169" s="25">
        <f>Inventory[[#This Row],[Nbhd Adj]]*Inventory[[#This Row],[Quality Adj]]*Inventory[[#This Row],[Condition Adj]]*Inventory[[#This Row],[Living Area Adj]]*Inventory[[#This Row],[Decade Adj]]*0.95</f>
        <v>0.95341151768438748</v>
      </c>
      <c r="BN1169" s="25">
        <f>ROUND(SUM(Inventory[[#This Row],[Mdl Qlty]:[Mdl WdDeck]])+Inventory[[#This Row],[Mdl Res Intercept]]*Inventory[[#This Row],[Res Adj ]],-2)</f>
        <v>228200</v>
      </c>
      <c r="BO1169" s="25">
        <f>ROUND(Inventory[[#This Row],[25Det]]*Inventory[[#This Row],[Det/Nbhd Adj]],-2)</f>
        <v>0</v>
      </c>
      <c r="BP1169" s="25">
        <f>Inventory[[#This Row],[Adjusted Res]]+Inventory[[#This Row],[Adj Det ]]</f>
        <v>228200</v>
      </c>
      <c r="BQ1169" s="25">
        <f>ROUND((Inventory[[#This Row],[Mdl Land Intercept]]+Inventory[[#This Row],[Mdl LnAcres]])*Inventory[[#This Row],[Det/Nbhd Adj]],-2)</f>
        <v>12900</v>
      </c>
      <c r="BR1169" s="25">
        <f>Inventory[[#This Row],[Adjusted Impr Total]]+Inventory[[#This Row],[Adjusted Land Total]]</f>
        <v>241100</v>
      </c>
      <c r="BS1169" s="36">
        <f>IFERROR((Inventory[[#This Row],[Adjusted Impr Total]]-Inventory[[#This Row],[24Bldg]])/Inventory[[#This Row],[24Bldg]],0)</f>
        <v>0.26007730535615681</v>
      </c>
      <c r="BT1169" s="36">
        <f>(Inventory[[#This Row],[Adjusted Land Total]]-Inventory[[#This Row],[24Lnd]])/Inventory[[#This Row],[24Lnd]]</f>
        <v>-0.57843137254901966</v>
      </c>
      <c r="BU1169" s="36">
        <f>(Inventory[[#This Row],[Adjusted Total]]-Inventory[[#This Row],[24Final]])/Inventory[[#This Row],[24Final]]</f>
        <v>0.13887576759565423</v>
      </c>
    </row>
    <row r="1170" spans="1:73" x14ac:dyDescent="0.3">
      <c r="A1170" s="25">
        <v>2025</v>
      </c>
      <c r="B1170" s="26" t="s">
        <v>2749</v>
      </c>
      <c r="C1170" s="26">
        <f>LN(Inventory[[#This Row],[Acres]])</f>
        <v>-1.5141277326297755</v>
      </c>
      <c r="D1170" s="25">
        <v>0.22</v>
      </c>
      <c r="E1170" s="31"/>
      <c r="F1170" s="26" t="s">
        <v>537</v>
      </c>
      <c r="G1170" s="26" t="s">
        <v>126</v>
      </c>
      <c r="H1170" s="26" t="s">
        <v>349</v>
      </c>
      <c r="I1170" s="26" t="s">
        <v>538</v>
      </c>
      <c r="J1170" s="26" t="s">
        <v>539</v>
      </c>
      <c r="K1170" s="26" t="s">
        <v>173</v>
      </c>
      <c r="L1170" s="26" t="s">
        <v>302</v>
      </c>
      <c r="M1170" s="26" t="s">
        <v>303</v>
      </c>
      <c r="N1170" s="26">
        <v>90</v>
      </c>
      <c r="O1170" s="26">
        <f>2024-Inventory[[#This Row],[YrBlt]]</f>
        <v>82</v>
      </c>
      <c r="P1170" s="26">
        <f>2024-Inventory[[#This Row],[EffYr]]</f>
        <v>52</v>
      </c>
      <c r="Q1170" s="25">
        <v>1942</v>
      </c>
      <c r="R1170" s="25">
        <v>1972</v>
      </c>
      <c r="S1170" s="25">
        <v>1014</v>
      </c>
      <c r="T1170" s="32">
        <v>773</v>
      </c>
      <c r="U1170" s="32">
        <v>1014</v>
      </c>
      <c r="V1170" s="32">
        <f>Inventory[[#This Row],[Bsmt]]-Inventory[[#This Row],[FnBsmt]]</f>
        <v>808</v>
      </c>
      <c r="W1170" s="32">
        <v>206</v>
      </c>
      <c r="X1170" s="27"/>
      <c r="Y1170" s="27">
        <f>Inventory[[#This Row],[MainFn]]+Inventory[[#This Row],[UpprFn]]+Inventory[[#This Row],[FnBsmt]]+Inventory[[#This Row],[AddFn]]</f>
        <v>1993</v>
      </c>
      <c r="Z1170" s="27">
        <v>2000</v>
      </c>
      <c r="AA1170" s="25">
        <v>8</v>
      </c>
      <c r="AB1170" s="25">
        <v>528</v>
      </c>
      <c r="AC1170" s="27"/>
      <c r="AD1170" s="27"/>
      <c r="AE1170" s="27"/>
      <c r="AF1170" s="27"/>
      <c r="AG1170" s="27"/>
      <c r="AH1170" s="27"/>
      <c r="AI1170" s="25">
        <v>380742</v>
      </c>
      <c r="AJ1170" s="25">
        <v>266519</v>
      </c>
      <c r="AK1170" s="25">
        <v>0</v>
      </c>
      <c r="AL1170" s="25">
        <v>365500</v>
      </c>
      <c r="AM1170" s="25">
        <v>61700</v>
      </c>
      <c r="AN1170" s="25">
        <v>303800</v>
      </c>
      <c r="AO1170" s="25">
        <v>0</v>
      </c>
      <c r="AP1170" s="25">
        <f>Lookups!$B$56*0</f>
        <v>0</v>
      </c>
      <c r="AQ1170" s="25">
        <f>Lookups!$B$56*1</f>
        <v>89850.625589999996</v>
      </c>
      <c r="AR1170" s="25">
        <f>Lookups!$B$57*Inventory[[#This Row],[LnAcres]]</f>
        <v>-47929.131559187132</v>
      </c>
      <c r="AS1170" s="25">
        <f>VLOOKUP(Inventory[[#This Row],[Qlty]],Lookups!$A$62:$E$75,2,FALSE)</f>
        <v>29814.093161000001</v>
      </c>
      <c r="AT1170" s="25">
        <f>VLOOKUP(Inventory[[#This Row],[Cnd]],Lookups!$A$76:$E$84,2,FALSE)</f>
        <v>197752.34721000001</v>
      </c>
      <c r="AU1170" s="25">
        <f>Inventory[[#This Row],[EffAge]]*Lookups!$B$85</f>
        <v>-11598.371226000001</v>
      </c>
      <c r="AV1170" s="25">
        <f>Inventory[[#This Row],[MainFn]]*Lookups!$B$86</f>
        <v>50100.391255278002</v>
      </c>
      <c r="AW1170" s="25">
        <f>Inventory[[#This Row],[UpprFn]]*Lookups!$B$87</f>
        <v>34619.904871553001</v>
      </c>
      <c r="AX1170" s="25">
        <f>Inventory[[#This Row],[AddFn]]*Lookups!$B$88</f>
        <v>0</v>
      </c>
      <c r="AY1170" s="25">
        <f>Inventory[[#This Row],[Bsmt]]*Lookups!$B$89</f>
        <v>29489.041780457999</v>
      </c>
      <c r="AZ1170" s="25">
        <f>Inventory[[#This Row],[Fixtures]]*Lookups!$B$90</f>
        <v>30336.176841600001</v>
      </c>
      <c r="BA1170" s="25">
        <f>Inventory[[#This Row],[WdDeck]]*Lookups!$B$91</f>
        <v>0</v>
      </c>
      <c r="BB1170" s="25">
        <f>ROUND(Inventory[[#This Row],[25Det]],-2)</f>
        <v>0</v>
      </c>
      <c r="BC1170" s="25">
        <f>ROUND(SUM(Inventory[[#This Row],[Mdl Qlty]:[Mdl WdDeck]])+Inventory[[#This Row],[Mdl Res Intercept]],-2)</f>
        <v>360500</v>
      </c>
      <c r="BD1170" s="25">
        <f>ROUND(Inventory[[#This Row],[Mdl Land Intercept]]+Inventory[[#This Row],[Mdl LnAcres]],-2)</f>
        <v>41900</v>
      </c>
      <c r="BE1170" s="25">
        <f>Inventory[[#This Row],[Unadj Res Value]]+Inventory[[#This Row],[Unadj Det Value]]+Inventory[[#This Row],[Unadj Land Value]]</f>
        <v>402400</v>
      </c>
      <c r="BF1170" s="36">
        <f>(Inventory[[#This Row],[Unadj Total Value]]-Inventory[[#This Row],[24Final]])/Inventory[[#This Row],[24Final]]</f>
        <v>0.10095759233926128</v>
      </c>
      <c r="BG1170" s="25">
        <f>VLOOKUP(Inventory[[#This Row],[Nbhd]],Lookups!$Q$2:$T$4,4,FALSE)</f>
        <v>0.99970000000000003</v>
      </c>
      <c r="BH1170" s="25">
        <f>VLOOKUP(Inventory[[#This Row],[Qlty]],Lookups!$O$7:$R$21,4,FALSE)</f>
        <v>1.0088999999999999</v>
      </c>
      <c r="BI1170" s="25">
        <f>VLOOKUP(Inventory[[#This Row],[Cnd]],Lookups!$T$7:$W$16,4,FALSE)</f>
        <v>0.99650000000000005</v>
      </c>
      <c r="BJ1170" s="25">
        <f>VLOOKUP(Inventory[[#This Row],[LivArea Range]],Lookups!$T$25:$W$37,4,FALSE)</f>
        <v>1.0093000000000001</v>
      </c>
      <c r="BK1170" s="25">
        <f>VLOOKUP(Inventory[[#This Row],[Decade]],Lookups!$O$25:$R$42,4,FALSE)</f>
        <v>0.98909999999999998</v>
      </c>
      <c r="BL1170" s="25">
        <f>Inventory[[#This Row],[Nbhd Adj]]*0.95</f>
        <v>0.94971499999999998</v>
      </c>
      <c r="BM1170" s="25">
        <f>Inventory[[#This Row],[Nbhd Adj]]*Inventory[[#This Row],[Quality Adj]]*Inventory[[#This Row],[Condition Adj]]*Inventory[[#This Row],[Living Area Adj]]*Inventory[[#This Row],[Decade Adj]]*0.95</f>
        <v>0.95318938569119571</v>
      </c>
      <c r="BN1170" s="25">
        <f>ROUND(SUM(Inventory[[#This Row],[Mdl Qlty]:[Mdl WdDeck]])+Inventory[[#This Row],[Mdl Res Intercept]]*Inventory[[#This Row],[Res Adj ]],-2)</f>
        <v>360500</v>
      </c>
      <c r="BO1170" s="25">
        <f>ROUND(Inventory[[#This Row],[25Det]]*Inventory[[#This Row],[Det/Nbhd Adj]],-2)</f>
        <v>0</v>
      </c>
      <c r="BP1170" s="25">
        <f>Inventory[[#This Row],[Adjusted Res]]+Inventory[[#This Row],[Adj Det ]]</f>
        <v>360500</v>
      </c>
      <c r="BQ1170" s="25">
        <f>ROUND((Inventory[[#This Row],[Mdl Land Intercept]]+Inventory[[#This Row],[Mdl LnAcres]])*Inventory[[#This Row],[Det/Nbhd Adj]],-2)</f>
        <v>39800</v>
      </c>
      <c r="BR1170" s="25">
        <f>Inventory[[#This Row],[Adjusted Impr Total]]+Inventory[[#This Row],[Adjusted Land Total]]</f>
        <v>400300</v>
      </c>
      <c r="BS1170" s="36">
        <f>IFERROR((Inventory[[#This Row],[Adjusted Impr Total]]-Inventory[[#This Row],[24Bldg]])/Inventory[[#This Row],[24Bldg]],0)</f>
        <v>0.18663594470046083</v>
      </c>
      <c r="BT1170" s="36">
        <f>(Inventory[[#This Row],[Adjusted Land Total]]-Inventory[[#This Row],[24Lnd]])/Inventory[[#This Row],[24Lnd]]</f>
        <v>-0.35494327390599678</v>
      </c>
      <c r="BU1170" s="36">
        <f>(Inventory[[#This Row],[Adjusted Total]]-Inventory[[#This Row],[24Final]])/Inventory[[#This Row],[24Final]]</f>
        <v>9.5212038303693569E-2</v>
      </c>
    </row>
    <row r="1171" spans="1:73" x14ac:dyDescent="0.3">
      <c r="A1171" s="25">
        <v>2025</v>
      </c>
      <c r="B1171" s="26" t="s">
        <v>2829</v>
      </c>
      <c r="C1171" s="26">
        <f>LN(Inventory[[#This Row],[Acres]])</f>
        <v>-1.1711829815029451</v>
      </c>
      <c r="D1171" s="25">
        <v>0.31</v>
      </c>
      <c r="E1171" s="31"/>
      <c r="F1171" s="26" t="s">
        <v>537</v>
      </c>
      <c r="G1171" s="26" t="s">
        <v>126</v>
      </c>
      <c r="H1171" s="26" t="s">
        <v>349</v>
      </c>
      <c r="I1171" s="26" t="s">
        <v>538</v>
      </c>
      <c r="J1171" s="26" t="s">
        <v>539</v>
      </c>
      <c r="K1171" s="26" t="s">
        <v>242</v>
      </c>
      <c r="L1171" s="26" t="s">
        <v>351</v>
      </c>
      <c r="M1171" s="26" t="s">
        <v>303</v>
      </c>
      <c r="N1171" s="26">
        <v>90</v>
      </c>
      <c r="O1171" s="26">
        <f>2024-Inventory[[#This Row],[YrBlt]]</f>
        <v>82</v>
      </c>
      <c r="P1171" s="26">
        <f>2024-Inventory[[#This Row],[EffYr]]</f>
        <v>52</v>
      </c>
      <c r="Q1171" s="25">
        <v>1942</v>
      </c>
      <c r="R1171" s="25">
        <v>1972</v>
      </c>
      <c r="S1171" s="25">
        <v>1216</v>
      </c>
      <c r="T1171" s="27"/>
      <c r="U1171" s="25">
        <v>912</v>
      </c>
      <c r="V1171" s="32">
        <f>Inventory[[#This Row],[Bsmt]]-Inventory[[#This Row],[FnBsmt]]</f>
        <v>912</v>
      </c>
      <c r="W1171" s="27"/>
      <c r="X1171" s="27"/>
      <c r="Y1171" s="27">
        <f>Inventory[[#This Row],[MainFn]]+Inventory[[#This Row],[UpprFn]]+Inventory[[#This Row],[FnBsmt]]+Inventory[[#This Row],[AddFn]]</f>
        <v>1216</v>
      </c>
      <c r="Z1171" s="27">
        <v>1500</v>
      </c>
      <c r="AA1171" s="25">
        <v>5</v>
      </c>
      <c r="AB1171" s="31"/>
      <c r="AC1171" s="27"/>
      <c r="AD1171" s="27"/>
      <c r="AE1171" s="27"/>
      <c r="AF1171" s="27"/>
      <c r="AG1171" s="27"/>
      <c r="AH1171" s="27"/>
      <c r="AI1171" s="25">
        <v>239865</v>
      </c>
      <c r="AJ1171" s="25">
        <v>167906</v>
      </c>
      <c r="AK1171" s="25">
        <v>12364</v>
      </c>
      <c r="AL1171" s="25">
        <v>344400</v>
      </c>
      <c r="AM1171" s="25">
        <v>73700</v>
      </c>
      <c r="AN1171" s="25">
        <v>270700</v>
      </c>
      <c r="AO1171" s="25">
        <v>0</v>
      </c>
      <c r="AP1171" s="25">
        <f>Lookups!$B$56*0</f>
        <v>0</v>
      </c>
      <c r="AQ1171" s="25">
        <f>Lookups!$B$56*1</f>
        <v>89850.625589999996</v>
      </c>
      <c r="AR1171" s="25">
        <f>Lookups!$B$57*Inventory[[#This Row],[LnAcres]]</f>
        <v>-37073.347241874442</v>
      </c>
      <c r="AS1171" s="25">
        <f>VLOOKUP(Inventory[[#This Row],[Qlty]],Lookups!$A$62:$E$75,2,FALSE)</f>
        <v>21557.329055999999</v>
      </c>
      <c r="AT1171" s="25">
        <f>VLOOKUP(Inventory[[#This Row],[Cnd]],Lookups!$A$76:$E$84,2,FALSE)</f>
        <v>197752.34721000001</v>
      </c>
      <c r="AU1171" s="25">
        <f>Inventory[[#This Row],[EffAge]]*Lookups!$B$85</f>
        <v>-11598.371226000001</v>
      </c>
      <c r="AV1171" s="25">
        <f>Inventory[[#This Row],[MainFn]]*Lookups!$B$86</f>
        <v>60080.942570432002</v>
      </c>
      <c r="AW1171" s="25">
        <f>Inventory[[#This Row],[UpprFn]]*Lookups!$B$87</f>
        <v>0</v>
      </c>
      <c r="AX1171" s="25">
        <f>Inventory[[#This Row],[AddFn]]*Lookups!$B$88</f>
        <v>0</v>
      </c>
      <c r="AY1171" s="25">
        <f>Inventory[[#This Row],[Bsmt]]*Lookups!$B$89</f>
        <v>26522.688465264</v>
      </c>
      <c r="AZ1171" s="25">
        <f>Inventory[[#This Row],[Fixtures]]*Lookups!$B$90</f>
        <v>18960.110526</v>
      </c>
      <c r="BA1171" s="25">
        <f>Inventory[[#This Row],[WdDeck]]*Lookups!$B$91</f>
        <v>0</v>
      </c>
      <c r="BB1171" s="25">
        <f>ROUND(Inventory[[#This Row],[25Det]],-2)</f>
        <v>12400</v>
      </c>
      <c r="BC1171" s="25">
        <f>ROUND(SUM(Inventory[[#This Row],[Mdl Qlty]:[Mdl WdDeck]])+Inventory[[#This Row],[Mdl Res Intercept]],-2)</f>
        <v>313300</v>
      </c>
      <c r="BD1171" s="25">
        <f>ROUND(Inventory[[#This Row],[Mdl Land Intercept]]+Inventory[[#This Row],[Mdl LnAcres]],-2)</f>
        <v>52800</v>
      </c>
      <c r="BE1171" s="25">
        <f>Inventory[[#This Row],[Unadj Res Value]]+Inventory[[#This Row],[Unadj Det Value]]+Inventory[[#This Row],[Unadj Land Value]]</f>
        <v>378500</v>
      </c>
      <c r="BF1171" s="36">
        <f>(Inventory[[#This Row],[Unadj Total Value]]-Inventory[[#This Row],[24Final]])/Inventory[[#This Row],[24Final]]</f>
        <v>9.901277584204414E-2</v>
      </c>
      <c r="BG1171" s="25">
        <f>VLOOKUP(Inventory[[#This Row],[Nbhd]],Lookups!$Q$2:$T$4,4,FALSE)</f>
        <v>0.99970000000000003</v>
      </c>
      <c r="BH1171" s="25">
        <f>VLOOKUP(Inventory[[#This Row],[Qlty]],Lookups!$O$7:$R$21,4,FALSE)</f>
        <v>1.0067999999999999</v>
      </c>
      <c r="BI1171" s="25">
        <f>VLOOKUP(Inventory[[#This Row],[Cnd]],Lookups!$T$7:$W$16,4,FALSE)</f>
        <v>0.99650000000000005</v>
      </c>
      <c r="BJ1171" s="25">
        <f>VLOOKUP(Inventory[[#This Row],[LivArea Range]],Lookups!$T$25:$W$37,4,FALSE)</f>
        <v>1.0157</v>
      </c>
      <c r="BK1171" s="25">
        <f>VLOOKUP(Inventory[[#This Row],[Decade]],Lookups!$O$25:$R$42,4,FALSE)</f>
        <v>0.98909999999999998</v>
      </c>
      <c r="BL1171" s="25">
        <f>Inventory[[#This Row],[Nbhd Adj]]*0.95</f>
        <v>0.94971499999999998</v>
      </c>
      <c r="BM1171" s="25">
        <f>Inventory[[#This Row],[Nbhd Adj]]*Inventory[[#This Row],[Quality Adj]]*Inventory[[#This Row],[Condition Adj]]*Inventory[[#This Row],[Living Area Adj]]*Inventory[[#This Row],[Decade Adj]]*0.95</f>
        <v>0.95723696608169473</v>
      </c>
      <c r="BN1171" s="25">
        <f>ROUND(SUM(Inventory[[#This Row],[Mdl Qlty]:[Mdl WdDeck]])+Inventory[[#This Row],[Mdl Res Intercept]]*Inventory[[#This Row],[Res Adj ]],-2)</f>
        <v>313300</v>
      </c>
      <c r="BO1171" s="25">
        <f>ROUND(Inventory[[#This Row],[25Det]]*Inventory[[#This Row],[Det/Nbhd Adj]],-2)</f>
        <v>11700</v>
      </c>
      <c r="BP1171" s="25">
        <f>Inventory[[#This Row],[Adjusted Res]]+Inventory[[#This Row],[Adj Det ]]</f>
        <v>325000</v>
      </c>
      <c r="BQ1171" s="25">
        <f>ROUND((Inventory[[#This Row],[Mdl Land Intercept]]+Inventory[[#This Row],[Mdl LnAcres]])*Inventory[[#This Row],[Det/Nbhd Adj]],-2)</f>
        <v>50100</v>
      </c>
      <c r="BR1171" s="25">
        <f>Inventory[[#This Row],[Adjusted Impr Total]]+Inventory[[#This Row],[Adjusted Land Total]]</f>
        <v>375100</v>
      </c>
      <c r="BS1171" s="36">
        <f>IFERROR((Inventory[[#This Row],[Adjusted Impr Total]]-Inventory[[#This Row],[24Bldg]])/Inventory[[#This Row],[24Bldg]],0)</f>
        <v>0.20059106021425932</v>
      </c>
      <c r="BT1171" s="36">
        <f>(Inventory[[#This Row],[Adjusted Land Total]]-Inventory[[#This Row],[24Lnd]])/Inventory[[#This Row],[24Lnd]]</f>
        <v>-0.32021709633649931</v>
      </c>
      <c r="BU1171" s="36">
        <f>(Inventory[[#This Row],[Adjusted Total]]-Inventory[[#This Row],[24Final]])/Inventory[[#This Row],[24Final]]</f>
        <v>8.9140534262485485E-2</v>
      </c>
    </row>
    <row r="1172" spans="1:73" x14ac:dyDescent="0.3">
      <c r="A1172" s="25">
        <v>2025</v>
      </c>
      <c r="B1172" s="26" t="s">
        <v>1184</v>
      </c>
      <c r="C1172" s="26">
        <f>LN(Inventory[[#This Row],[Acres]])</f>
        <v>-1.5141277326297755</v>
      </c>
      <c r="D1172" s="25">
        <v>0.22</v>
      </c>
      <c r="E1172" s="25">
        <v>9434</v>
      </c>
      <c r="F1172" s="26" t="s">
        <v>537</v>
      </c>
      <c r="G1172" s="26" t="s">
        <v>126</v>
      </c>
      <c r="H1172" s="26" t="s">
        <v>349</v>
      </c>
      <c r="I1172" s="26" t="s">
        <v>538</v>
      </c>
      <c r="J1172" s="26" t="s">
        <v>539</v>
      </c>
      <c r="K1172" s="26" t="s">
        <v>241</v>
      </c>
      <c r="L1172" s="26" t="s">
        <v>148</v>
      </c>
      <c r="M1172" s="26" t="s">
        <v>303</v>
      </c>
      <c r="N1172" s="26">
        <v>90</v>
      </c>
      <c r="O1172" s="26">
        <f>2024-Inventory[[#This Row],[YrBlt]]</f>
        <v>82</v>
      </c>
      <c r="P1172" s="26">
        <f>2024-Inventory[[#This Row],[EffYr]]</f>
        <v>52</v>
      </c>
      <c r="Q1172" s="25">
        <v>1942</v>
      </c>
      <c r="R1172" s="25">
        <v>1972</v>
      </c>
      <c r="S1172" s="25">
        <v>1560</v>
      </c>
      <c r="T1172" s="27"/>
      <c r="U1172" s="27"/>
      <c r="V1172" s="27">
        <f>Inventory[[#This Row],[Bsmt]]-Inventory[[#This Row],[FnBsmt]]</f>
        <v>0</v>
      </c>
      <c r="W1172" s="27"/>
      <c r="X1172" s="27"/>
      <c r="Y1172" s="27">
        <f>Inventory[[#This Row],[MainFn]]+Inventory[[#This Row],[UpprFn]]+Inventory[[#This Row],[FnBsmt]]+Inventory[[#This Row],[AddFn]]</f>
        <v>1560</v>
      </c>
      <c r="Z1172" s="27">
        <v>2000</v>
      </c>
      <c r="AA1172" s="25">
        <v>8</v>
      </c>
      <c r="AB1172" s="27"/>
      <c r="AC1172" s="27"/>
      <c r="AD1172" s="27"/>
      <c r="AE1172" s="27"/>
      <c r="AF1172" s="27"/>
      <c r="AG1172" s="27"/>
      <c r="AH1172" s="27"/>
      <c r="AI1172" s="25">
        <v>341014</v>
      </c>
      <c r="AJ1172" s="25">
        <v>238710</v>
      </c>
      <c r="AK1172" s="25">
        <v>10334</v>
      </c>
      <c r="AL1172" s="25">
        <v>358000</v>
      </c>
      <c r="AM1172" s="25">
        <v>61700</v>
      </c>
      <c r="AN1172" s="25">
        <v>296300</v>
      </c>
      <c r="AO1172" s="25">
        <v>0</v>
      </c>
      <c r="AP1172" s="25">
        <f>Lookups!$B$56*0</f>
        <v>0</v>
      </c>
      <c r="AQ1172" s="25">
        <f>Lookups!$B$56*1</f>
        <v>89850.625589999996</v>
      </c>
      <c r="AR1172" s="25">
        <f>Lookups!$B$57*Inventory[[#This Row],[LnAcres]]</f>
        <v>-47929.131559187132</v>
      </c>
      <c r="AS1172" s="25">
        <f>VLOOKUP(Inventory[[#This Row],[Qlty]],Lookups!$A$62:$E$75,2,FALSE)</f>
        <v>44121.038090000002</v>
      </c>
      <c r="AT1172" s="25">
        <f>VLOOKUP(Inventory[[#This Row],[Cnd]],Lookups!$A$76:$E$84,2,FALSE)</f>
        <v>197752.34721000001</v>
      </c>
      <c r="AU1172" s="25">
        <f>Inventory[[#This Row],[EffAge]]*Lookups!$B$85</f>
        <v>-11598.371226000001</v>
      </c>
      <c r="AV1172" s="25">
        <f>Inventory[[#This Row],[MainFn]]*Lookups!$B$86</f>
        <v>77077.525008120007</v>
      </c>
      <c r="AW1172" s="25">
        <f>Inventory[[#This Row],[UpprFn]]*Lookups!$B$87</f>
        <v>0</v>
      </c>
      <c r="AX1172" s="25">
        <f>Inventory[[#This Row],[AddFn]]*Lookups!$B$88</f>
        <v>0</v>
      </c>
      <c r="AY1172" s="25">
        <f>Inventory[[#This Row],[Bsmt]]*Lookups!$B$89</f>
        <v>0</v>
      </c>
      <c r="AZ1172" s="25">
        <f>Inventory[[#This Row],[Fixtures]]*Lookups!$B$90</f>
        <v>30336.176841600001</v>
      </c>
      <c r="BA1172" s="25">
        <f>Inventory[[#This Row],[WdDeck]]*Lookups!$B$91</f>
        <v>0</v>
      </c>
      <c r="BB1172" s="25">
        <f>ROUND(Inventory[[#This Row],[25Det]],-2)</f>
        <v>10300</v>
      </c>
      <c r="BC1172" s="25">
        <f>ROUND(SUM(Inventory[[#This Row],[Mdl Qlty]:[Mdl WdDeck]])+Inventory[[#This Row],[Mdl Res Intercept]],-2)</f>
        <v>337700</v>
      </c>
      <c r="BD1172" s="25">
        <f>ROUND(Inventory[[#This Row],[Mdl Land Intercept]]+Inventory[[#This Row],[Mdl LnAcres]],-2)</f>
        <v>41900</v>
      </c>
      <c r="BE1172" s="25">
        <f>Inventory[[#This Row],[Unadj Res Value]]+Inventory[[#This Row],[Unadj Det Value]]+Inventory[[#This Row],[Unadj Land Value]]</f>
        <v>389900</v>
      </c>
      <c r="BF1172" s="36">
        <f>(Inventory[[#This Row],[Unadj Total Value]]-Inventory[[#This Row],[24Final]])/Inventory[[#This Row],[24Final]]</f>
        <v>8.9106145251396651E-2</v>
      </c>
      <c r="BG1172" s="25">
        <f>VLOOKUP(Inventory[[#This Row],[Nbhd]],Lookups!$Q$2:$T$4,4,FALSE)</f>
        <v>0.99970000000000003</v>
      </c>
      <c r="BH1172" s="25">
        <f>VLOOKUP(Inventory[[#This Row],[Qlty]],Lookups!$O$7:$R$21,4,FALSE)</f>
        <v>0.98050000000000004</v>
      </c>
      <c r="BI1172" s="25">
        <f>VLOOKUP(Inventory[[#This Row],[Cnd]],Lookups!$T$7:$W$16,4,FALSE)</f>
        <v>0.99650000000000005</v>
      </c>
      <c r="BJ1172" s="25">
        <f>VLOOKUP(Inventory[[#This Row],[LivArea Range]],Lookups!$T$25:$W$37,4,FALSE)</f>
        <v>1.0093000000000001</v>
      </c>
      <c r="BK1172" s="25">
        <f>VLOOKUP(Inventory[[#This Row],[Decade]],Lookups!$O$25:$R$42,4,FALSE)</f>
        <v>0.98909999999999998</v>
      </c>
      <c r="BL1172" s="25">
        <f>Inventory[[#This Row],[Nbhd Adj]]*0.95</f>
        <v>0.94971499999999998</v>
      </c>
      <c r="BM1172" s="25">
        <f>Inventory[[#This Row],[Nbhd Adj]]*Inventory[[#This Row],[Quality Adj]]*Inventory[[#This Row],[Condition Adj]]*Inventory[[#This Row],[Living Area Adj]]*Inventory[[#This Row],[Decade Adj]]*0.95</f>
        <v>0.92635760994173622</v>
      </c>
      <c r="BN1172" s="25">
        <f>ROUND(SUM(Inventory[[#This Row],[Mdl Qlty]:[Mdl WdDeck]])+Inventory[[#This Row],[Mdl Res Intercept]]*Inventory[[#This Row],[Res Adj ]],-2)</f>
        <v>337700</v>
      </c>
      <c r="BO1172" s="25">
        <f>ROUND(Inventory[[#This Row],[25Det]]*Inventory[[#This Row],[Det/Nbhd Adj]],-2)</f>
        <v>9800</v>
      </c>
      <c r="BP1172" s="25">
        <f>Inventory[[#This Row],[Adjusted Res]]+Inventory[[#This Row],[Adj Det ]]</f>
        <v>347500</v>
      </c>
      <c r="BQ1172" s="25">
        <f>ROUND((Inventory[[#This Row],[Mdl Land Intercept]]+Inventory[[#This Row],[Mdl LnAcres]])*Inventory[[#This Row],[Det/Nbhd Adj]],-2)</f>
        <v>39800</v>
      </c>
      <c r="BR1172" s="25">
        <f>Inventory[[#This Row],[Adjusted Impr Total]]+Inventory[[#This Row],[Adjusted Land Total]]</f>
        <v>387300</v>
      </c>
      <c r="BS1172" s="36">
        <f>IFERROR((Inventory[[#This Row],[Adjusted Impr Total]]-Inventory[[#This Row],[24Bldg]])/Inventory[[#This Row],[24Bldg]],0)</f>
        <v>0.17279784002699966</v>
      </c>
      <c r="BT1172" s="36">
        <f>(Inventory[[#This Row],[Adjusted Land Total]]-Inventory[[#This Row],[24Lnd]])/Inventory[[#This Row],[24Lnd]]</f>
        <v>-0.35494327390599678</v>
      </c>
      <c r="BU1172" s="36">
        <f>(Inventory[[#This Row],[Adjusted Total]]-Inventory[[#This Row],[24Final]])/Inventory[[#This Row],[24Final]]</f>
        <v>8.184357541899441E-2</v>
      </c>
    </row>
    <row r="1173" spans="1:73" x14ac:dyDescent="0.3">
      <c r="A1173" s="25">
        <v>2025</v>
      </c>
      <c r="B1173" s="26" t="s">
        <v>1069</v>
      </c>
      <c r="C1173" s="26">
        <f>LN(Inventory[[#This Row],[Acres]])</f>
        <v>-1.3862943611198906</v>
      </c>
      <c r="D1173" s="25">
        <v>0.25</v>
      </c>
      <c r="E1173" s="25">
        <v>10838</v>
      </c>
      <c r="F1173" s="26" t="s">
        <v>537</v>
      </c>
      <c r="G1173" s="26" t="s">
        <v>126</v>
      </c>
      <c r="H1173" s="26" t="s">
        <v>349</v>
      </c>
      <c r="I1173" s="26" t="s">
        <v>538</v>
      </c>
      <c r="J1173" s="26" t="s">
        <v>539</v>
      </c>
      <c r="K1173" s="26" t="s">
        <v>300</v>
      </c>
      <c r="L1173" s="26" t="s">
        <v>64</v>
      </c>
      <c r="M1173" s="26" t="s">
        <v>352</v>
      </c>
      <c r="N1173" s="26">
        <v>90</v>
      </c>
      <c r="O1173" s="26">
        <f>2024-Inventory[[#This Row],[YrBlt]]</f>
        <v>82</v>
      </c>
      <c r="P1173" s="26">
        <f>2024-Inventory[[#This Row],[EffYr]]</f>
        <v>52</v>
      </c>
      <c r="Q1173" s="25">
        <v>1942</v>
      </c>
      <c r="R1173" s="25">
        <v>1972</v>
      </c>
      <c r="S1173" s="25">
        <v>2099</v>
      </c>
      <c r="T1173" s="32">
        <v>784</v>
      </c>
      <c r="U1173" s="27"/>
      <c r="V1173" s="27">
        <f>Inventory[[#This Row],[Bsmt]]-Inventory[[#This Row],[FnBsmt]]</f>
        <v>0</v>
      </c>
      <c r="W1173" s="27"/>
      <c r="X1173" s="27"/>
      <c r="Y1173" s="27">
        <f>Inventory[[#This Row],[MainFn]]+Inventory[[#This Row],[UpprFn]]+Inventory[[#This Row],[FnBsmt]]+Inventory[[#This Row],[AddFn]]</f>
        <v>2883</v>
      </c>
      <c r="Z1173" s="27">
        <v>3000</v>
      </c>
      <c r="AA1173" s="25">
        <v>13</v>
      </c>
      <c r="AB1173" s="32">
        <v>504</v>
      </c>
      <c r="AC1173" s="27"/>
      <c r="AD1173" s="31"/>
      <c r="AE1173" s="27"/>
      <c r="AF1173" s="27"/>
      <c r="AG1173" s="27"/>
      <c r="AH1173" s="27"/>
      <c r="AI1173" s="25">
        <v>782039</v>
      </c>
      <c r="AJ1173" s="25">
        <v>563068</v>
      </c>
      <c r="AK1173" s="25">
        <v>0</v>
      </c>
      <c r="AL1173" s="25">
        <v>626100</v>
      </c>
      <c r="AM1173" s="25">
        <v>66200</v>
      </c>
      <c r="AN1173" s="25">
        <v>559900</v>
      </c>
      <c r="AO1173" s="25">
        <v>0</v>
      </c>
      <c r="AP1173" s="25">
        <f>Lookups!$B$56*0</f>
        <v>0</v>
      </c>
      <c r="AQ1173" s="25">
        <f>Lookups!$B$56*1</f>
        <v>89850.625589999996</v>
      </c>
      <c r="AR1173" s="25">
        <f>Lookups!$B$57*Inventory[[#This Row],[LnAcres]]</f>
        <v>-43882.615305165229</v>
      </c>
      <c r="AS1173" s="25">
        <f>VLOOKUP(Inventory[[#This Row],[Qlty]],Lookups!$A$62:$E$75,2,FALSE)</f>
        <v>163885.03753</v>
      </c>
      <c r="AT1173" s="25">
        <f>VLOOKUP(Inventory[[#This Row],[Cnd]],Lookups!$A$76:$E$84,2,FALSE)</f>
        <v>284810.60806</v>
      </c>
      <c r="AU1173" s="25">
        <f>Inventory[[#This Row],[EffAge]]*Lookups!$B$85</f>
        <v>-11598.371226000001</v>
      </c>
      <c r="AV1173" s="25">
        <f>Inventory[[#This Row],[MainFn]]*Lookups!$B$86</f>
        <v>103708.798071823</v>
      </c>
      <c r="AW1173" s="25">
        <f>Inventory[[#This Row],[UpprFn]]*Lookups!$B$87</f>
        <v>35112.555523023999</v>
      </c>
      <c r="AX1173" s="25">
        <f>Inventory[[#This Row],[AddFn]]*Lookups!$B$88</f>
        <v>0</v>
      </c>
      <c r="AY1173" s="25">
        <f>Inventory[[#This Row],[Bsmt]]*Lookups!$B$89</f>
        <v>0</v>
      </c>
      <c r="AZ1173" s="25">
        <f>Inventory[[#This Row],[Fixtures]]*Lookups!$B$90</f>
        <v>49296.287367600002</v>
      </c>
      <c r="BA1173" s="25">
        <f>Inventory[[#This Row],[WdDeck]]*Lookups!$B$91</f>
        <v>0</v>
      </c>
      <c r="BB1173" s="25">
        <f>ROUND(Inventory[[#This Row],[25Det]],-2)</f>
        <v>0</v>
      </c>
      <c r="BC1173" s="25">
        <f>ROUND(SUM(Inventory[[#This Row],[Mdl Qlty]:[Mdl WdDeck]])+Inventory[[#This Row],[Mdl Res Intercept]],-2)</f>
        <v>625200</v>
      </c>
      <c r="BD1173" s="25">
        <f>ROUND(Inventory[[#This Row],[Mdl Land Intercept]]+Inventory[[#This Row],[Mdl LnAcres]],-2)</f>
        <v>46000</v>
      </c>
      <c r="BE1173" s="25">
        <f>Inventory[[#This Row],[Unadj Res Value]]+Inventory[[#This Row],[Unadj Det Value]]+Inventory[[#This Row],[Unadj Land Value]]</f>
        <v>671200</v>
      </c>
      <c r="BF1173" s="36">
        <f>(Inventory[[#This Row],[Unadj Total Value]]-Inventory[[#This Row],[24Final]])/Inventory[[#This Row],[24Final]]</f>
        <v>7.2033221530107008E-2</v>
      </c>
      <c r="BG1173" s="25">
        <f>VLOOKUP(Inventory[[#This Row],[Nbhd]],Lookups!$Q$2:$T$4,4,FALSE)</f>
        <v>0.99970000000000003</v>
      </c>
      <c r="BH1173" s="25">
        <f>VLOOKUP(Inventory[[#This Row],[Qlty]],Lookups!$O$7:$R$21,4,FALSE)</f>
        <v>1</v>
      </c>
      <c r="BI1173" s="25">
        <f>VLOOKUP(Inventory[[#This Row],[Cnd]],Lookups!$T$7:$W$16,4,FALSE)</f>
        <v>1.0158</v>
      </c>
      <c r="BJ1173" s="25">
        <f>VLOOKUP(Inventory[[#This Row],[LivArea Range]],Lookups!$T$25:$W$37,4,FALSE)</f>
        <v>0.96179999999999999</v>
      </c>
      <c r="BK1173" s="25">
        <f>VLOOKUP(Inventory[[#This Row],[Decade]],Lookups!$O$25:$R$42,4,FALSE)</f>
        <v>0.98909999999999998</v>
      </c>
      <c r="BL1173" s="25">
        <f>Inventory[[#This Row],[Nbhd Adj]]*0.95</f>
        <v>0.94971499999999998</v>
      </c>
      <c r="BM1173" s="25">
        <f>Inventory[[#This Row],[Nbhd Adj]]*Inventory[[#This Row],[Quality Adj]]*Inventory[[#This Row],[Condition Adj]]*Inventory[[#This Row],[Living Area Adj]]*Inventory[[#This Row],[Decade Adj]]*0.95</f>
        <v>0.91775441091784082</v>
      </c>
      <c r="BN1173" s="25">
        <f>ROUND(SUM(Inventory[[#This Row],[Mdl Qlty]:[Mdl WdDeck]])+Inventory[[#This Row],[Mdl Res Intercept]]*Inventory[[#This Row],[Res Adj ]],-2)</f>
        <v>625200</v>
      </c>
      <c r="BO1173" s="25">
        <f>ROUND(Inventory[[#This Row],[25Det]]*Inventory[[#This Row],[Det/Nbhd Adj]],-2)</f>
        <v>0</v>
      </c>
      <c r="BP1173" s="25">
        <f>Inventory[[#This Row],[Adjusted Res]]+Inventory[[#This Row],[Adj Det ]]</f>
        <v>625200</v>
      </c>
      <c r="BQ1173" s="25">
        <f>ROUND((Inventory[[#This Row],[Mdl Land Intercept]]+Inventory[[#This Row],[Mdl LnAcres]])*Inventory[[#This Row],[Det/Nbhd Adj]],-2)</f>
        <v>43700</v>
      </c>
      <c r="BR1173" s="25">
        <f>Inventory[[#This Row],[Adjusted Impr Total]]+Inventory[[#This Row],[Adjusted Land Total]]</f>
        <v>668900</v>
      </c>
      <c r="BS1173" s="36">
        <f>IFERROR((Inventory[[#This Row],[Adjusted Impr Total]]-Inventory[[#This Row],[24Bldg]])/Inventory[[#This Row],[24Bldg]],0)</f>
        <v>0.11662796928022862</v>
      </c>
      <c r="BT1173" s="36">
        <f>(Inventory[[#This Row],[Adjusted Land Total]]-Inventory[[#This Row],[24Lnd]])/Inventory[[#This Row],[24Lnd]]</f>
        <v>-0.33987915407854985</v>
      </c>
      <c r="BU1173" s="36">
        <f>(Inventory[[#This Row],[Adjusted Total]]-Inventory[[#This Row],[24Final]])/Inventory[[#This Row],[24Final]]</f>
        <v>6.8359686950966295E-2</v>
      </c>
    </row>
    <row r="1174" spans="1:73" x14ac:dyDescent="0.3">
      <c r="A1174" s="25">
        <v>2025</v>
      </c>
      <c r="B1174" s="26" t="s">
        <v>1307</v>
      </c>
      <c r="C1174" s="26">
        <f>LN(Inventory[[#This Row],[Acres]])</f>
        <v>-1.8971199848858813</v>
      </c>
      <c r="D1174" s="25">
        <v>0.15</v>
      </c>
      <c r="E1174" s="31"/>
      <c r="F1174" s="26" t="s">
        <v>537</v>
      </c>
      <c r="G1174" s="26" t="s">
        <v>126</v>
      </c>
      <c r="H1174" s="26" t="s">
        <v>349</v>
      </c>
      <c r="I1174" s="26" t="s">
        <v>538</v>
      </c>
      <c r="J1174" s="26" t="s">
        <v>539</v>
      </c>
      <c r="K1174" s="26" t="s">
        <v>242</v>
      </c>
      <c r="L1174" s="26" t="s">
        <v>351</v>
      </c>
      <c r="M1174" s="26" t="s">
        <v>323</v>
      </c>
      <c r="N1174" s="26">
        <v>90</v>
      </c>
      <c r="O1174" s="26">
        <f>2024-Inventory[[#This Row],[YrBlt]]</f>
        <v>82</v>
      </c>
      <c r="P1174" s="26">
        <f>2024-Inventory[[#This Row],[EffYr]]</f>
        <v>52</v>
      </c>
      <c r="Q1174" s="25">
        <v>1942</v>
      </c>
      <c r="R1174" s="25">
        <v>1972</v>
      </c>
      <c r="S1174" s="25">
        <v>936</v>
      </c>
      <c r="T1174" s="27"/>
      <c r="U1174" s="25">
        <v>936</v>
      </c>
      <c r="V1174" s="25">
        <f>Inventory[[#This Row],[Bsmt]]-Inventory[[#This Row],[FnBsmt]]</f>
        <v>468</v>
      </c>
      <c r="W1174" s="25">
        <v>468</v>
      </c>
      <c r="X1174" s="27"/>
      <c r="Y1174" s="27">
        <f>Inventory[[#This Row],[MainFn]]+Inventory[[#This Row],[UpprFn]]+Inventory[[#This Row],[FnBsmt]]+Inventory[[#This Row],[AddFn]]</f>
        <v>1404</v>
      </c>
      <c r="Z1174" s="27">
        <v>1500</v>
      </c>
      <c r="AA1174" s="25">
        <v>7</v>
      </c>
      <c r="AB1174" s="27"/>
      <c r="AC1174" s="27"/>
      <c r="AD1174" s="27"/>
      <c r="AE1174" s="27"/>
      <c r="AF1174" s="27"/>
      <c r="AG1174" s="27"/>
      <c r="AH1174" s="27"/>
      <c r="AI1174" s="25">
        <v>216976</v>
      </c>
      <c r="AJ1174" s="25">
        <v>147544</v>
      </c>
      <c r="AK1174" s="25">
        <v>9040</v>
      </c>
      <c r="AL1174" s="25">
        <v>289600</v>
      </c>
      <c r="AM1174" s="25">
        <v>48400</v>
      </c>
      <c r="AN1174" s="25">
        <v>241200</v>
      </c>
      <c r="AO1174" s="25">
        <v>0</v>
      </c>
      <c r="AP1174" s="25">
        <f>Lookups!$B$56*0</f>
        <v>0</v>
      </c>
      <c r="AQ1174" s="25">
        <f>Lookups!$B$56*1</f>
        <v>89850.625589999996</v>
      </c>
      <c r="AR1174" s="25">
        <f>Lookups!$B$57*Inventory[[#This Row],[LnAcres]]</f>
        <v>-60052.604136134301</v>
      </c>
      <c r="AS1174" s="25">
        <f>VLOOKUP(Inventory[[#This Row],[Qlty]],Lookups!$A$62:$E$75,2,FALSE)</f>
        <v>21557.329055999999</v>
      </c>
      <c r="AT1174" s="25">
        <f>VLOOKUP(Inventory[[#This Row],[Cnd]],Lookups!$A$76:$E$84,2,FALSE)</f>
        <v>160472.20319</v>
      </c>
      <c r="AU1174" s="25">
        <f>Inventory[[#This Row],[EffAge]]*Lookups!$B$85</f>
        <v>-11598.371226000001</v>
      </c>
      <c r="AV1174" s="25">
        <f>Inventory[[#This Row],[MainFn]]*Lookups!$B$86</f>
        <v>46246.515004872002</v>
      </c>
      <c r="AW1174" s="25">
        <f>Inventory[[#This Row],[UpprFn]]*Lookups!$B$87</f>
        <v>0</v>
      </c>
      <c r="AX1174" s="25">
        <f>Inventory[[#This Row],[AddFn]]*Lookups!$B$88</f>
        <v>0</v>
      </c>
      <c r="AY1174" s="25">
        <f>Inventory[[#This Row],[Bsmt]]*Lookups!$B$89</f>
        <v>27220.653951191998</v>
      </c>
      <c r="AZ1174" s="25">
        <f>Inventory[[#This Row],[Fixtures]]*Lookups!$B$90</f>
        <v>26544.1547364</v>
      </c>
      <c r="BA1174" s="25">
        <f>Inventory[[#This Row],[WdDeck]]*Lookups!$B$91</f>
        <v>0</v>
      </c>
      <c r="BB1174" s="25">
        <f>ROUND(Inventory[[#This Row],[25Det]],-2)</f>
        <v>9000</v>
      </c>
      <c r="BC1174" s="25">
        <f>ROUND(SUM(Inventory[[#This Row],[Mdl Qlty]:[Mdl WdDeck]])+Inventory[[#This Row],[Mdl Res Intercept]],-2)</f>
        <v>270400</v>
      </c>
      <c r="BD1174" s="25">
        <f>ROUND(Inventory[[#This Row],[Mdl Land Intercept]]+Inventory[[#This Row],[Mdl LnAcres]],-2)</f>
        <v>29800</v>
      </c>
      <c r="BE1174" s="25">
        <f>Inventory[[#This Row],[Unadj Res Value]]+Inventory[[#This Row],[Unadj Det Value]]+Inventory[[#This Row],[Unadj Land Value]]</f>
        <v>309200</v>
      </c>
      <c r="BF1174" s="36">
        <f>(Inventory[[#This Row],[Unadj Total Value]]-Inventory[[#This Row],[24Final]])/Inventory[[#This Row],[24Final]]</f>
        <v>6.7679558011049717E-2</v>
      </c>
      <c r="BG1174" s="25">
        <f>VLOOKUP(Inventory[[#This Row],[Nbhd]],Lookups!$Q$2:$T$4,4,FALSE)</f>
        <v>0.99970000000000003</v>
      </c>
      <c r="BH1174" s="25">
        <f>VLOOKUP(Inventory[[#This Row],[Qlty]],Lookups!$O$7:$R$21,4,FALSE)</f>
        <v>1.0067999999999999</v>
      </c>
      <c r="BI1174" s="25">
        <f>VLOOKUP(Inventory[[#This Row],[Cnd]],Lookups!$T$7:$W$16,4,FALSE)</f>
        <v>0.99729999999999996</v>
      </c>
      <c r="BJ1174" s="25">
        <f>VLOOKUP(Inventory[[#This Row],[LivArea Range]],Lookups!$T$25:$W$37,4,FALSE)</f>
        <v>1.0157</v>
      </c>
      <c r="BK1174" s="25">
        <f>VLOOKUP(Inventory[[#This Row],[Decade]],Lookups!$O$25:$R$42,4,FALSE)</f>
        <v>0.98909999999999998</v>
      </c>
      <c r="BL1174" s="25">
        <f>Inventory[[#This Row],[Nbhd Adj]]*0.95</f>
        <v>0.94971499999999998</v>
      </c>
      <c r="BM1174" s="25">
        <f>Inventory[[#This Row],[Nbhd Adj]]*Inventory[[#This Row],[Quality Adj]]*Inventory[[#This Row],[Condition Adj]]*Inventory[[#This Row],[Living Area Adj]]*Inventory[[#This Row],[Decade Adj]]*0.95</f>
        <v>0.95800544533193577</v>
      </c>
      <c r="BN1174" s="25">
        <f>ROUND(SUM(Inventory[[#This Row],[Mdl Qlty]:[Mdl WdDeck]])+Inventory[[#This Row],[Mdl Res Intercept]]*Inventory[[#This Row],[Res Adj ]],-2)</f>
        <v>270400</v>
      </c>
      <c r="BO1174" s="25">
        <f>ROUND(Inventory[[#This Row],[25Det]]*Inventory[[#This Row],[Det/Nbhd Adj]],-2)</f>
        <v>8600</v>
      </c>
      <c r="BP1174" s="25">
        <f>Inventory[[#This Row],[Adjusted Res]]+Inventory[[#This Row],[Adj Det ]]</f>
        <v>279000</v>
      </c>
      <c r="BQ1174" s="25">
        <f>ROUND((Inventory[[#This Row],[Mdl Land Intercept]]+Inventory[[#This Row],[Mdl LnAcres]])*Inventory[[#This Row],[Det/Nbhd Adj]],-2)</f>
        <v>28300</v>
      </c>
      <c r="BR1174" s="25">
        <f>Inventory[[#This Row],[Adjusted Impr Total]]+Inventory[[#This Row],[Adjusted Land Total]]</f>
        <v>307300</v>
      </c>
      <c r="BS1174" s="36">
        <f>IFERROR((Inventory[[#This Row],[Adjusted Impr Total]]-Inventory[[#This Row],[24Bldg]])/Inventory[[#This Row],[24Bldg]],0)</f>
        <v>0.15671641791044777</v>
      </c>
      <c r="BT1174" s="36">
        <f>(Inventory[[#This Row],[Adjusted Land Total]]-Inventory[[#This Row],[24Lnd]])/Inventory[[#This Row],[24Lnd]]</f>
        <v>-0.41528925619834711</v>
      </c>
      <c r="BU1174" s="36">
        <f>(Inventory[[#This Row],[Adjusted Total]]-Inventory[[#This Row],[24Final]])/Inventory[[#This Row],[24Final]]</f>
        <v>6.1118784530386737E-2</v>
      </c>
    </row>
    <row r="1175" spans="1:73" x14ac:dyDescent="0.3">
      <c r="A1175" s="25">
        <v>2025</v>
      </c>
      <c r="B1175" s="26" t="s">
        <v>1434</v>
      </c>
      <c r="C1175" s="26">
        <f>LN(Inventory[[#This Row],[Acres]])</f>
        <v>-1.2729656758128873</v>
      </c>
      <c r="D1175" s="25">
        <v>0.28000000000000003</v>
      </c>
      <c r="E1175" s="25">
        <v>12256</v>
      </c>
      <c r="F1175" s="26" t="s">
        <v>537</v>
      </c>
      <c r="G1175" s="26" t="s">
        <v>126</v>
      </c>
      <c r="H1175" s="26" t="s">
        <v>349</v>
      </c>
      <c r="I1175" s="26" t="s">
        <v>538</v>
      </c>
      <c r="J1175" s="26" t="s">
        <v>539</v>
      </c>
      <c r="K1175" s="26" t="s">
        <v>173</v>
      </c>
      <c r="L1175" s="26" t="s">
        <v>302</v>
      </c>
      <c r="M1175" s="26" t="s">
        <v>303</v>
      </c>
      <c r="N1175" s="26">
        <v>90</v>
      </c>
      <c r="O1175" s="26">
        <f>2024-Inventory[[#This Row],[YrBlt]]</f>
        <v>82</v>
      </c>
      <c r="P1175" s="26">
        <f>2024-Inventory[[#This Row],[EffYr]]</f>
        <v>52</v>
      </c>
      <c r="Q1175" s="25">
        <v>1942</v>
      </c>
      <c r="R1175" s="25">
        <v>1972</v>
      </c>
      <c r="S1175" s="25">
        <v>1038</v>
      </c>
      <c r="T1175" s="32">
        <v>574</v>
      </c>
      <c r="U1175" s="25">
        <v>1034</v>
      </c>
      <c r="V1175" s="32">
        <f>Inventory[[#This Row],[Bsmt]]-Inventory[[#This Row],[FnBsmt]]</f>
        <v>0</v>
      </c>
      <c r="W1175" s="32">
        <v>1034</v>
      </c>
      <c r="X1175" s="27"/>
      <c r="Y1175" s="27">
        <f>Inventory[[#This Row],[MainFn]]+Inventory[[#This Row],[UpprFn]]+Inventory[[#This Row],[FnBsmt]]+Inventory[[#This Row],[AddFn]]</f>
        <v>2646</v>
      </c>
      <c r="Z1175" s="27">
        <v>3000</v>
      </c>
      <c r="AA1175" s="25">
        <v>10</v>
      </c>
      <c r="AB1175" s="27"/>
      <c r="AC1175" s="27"/>
      <c r="AD1175" s="32">
        <v>240</v>
      </c>
      <c r="AE1175" s="27"/>
      <c r="AF1175" s="27"/>
      <c r="AG1175" s="27"/>
      <c r="AH1175" s="27"/>
      <c r="AI1175" s="25">
        <v>401544</v>
      </c>
      <c r="AJ1175" s="25">
        <v>281081</v>
      </c>
      <c r="AK1175" s="25">
        <v>9679</v>
      </c>
      <c r="AL1175" s="25">
        <v>404900</v>
      </c>
      <c r="AM1175" s="25">
        <v>70100</v>
      </c>
      <c r="AN1175" s="25">
        <v>334800</v>
      </c>
      <c r="AO1175" s="25">
        <v>0</v>
      </c>
      <c r="AP1175" s="25">
        <f>Lookups!$B$56*0</f>
        <v>0</v>
      </c>
      <c r="AQ1175" s="25">
        <f>Lookups!$B$56*1</f>
        <v>89850.625589999996</v>
      </c>
      <c r="AR1175" s="25">
        <f>Lookups!$B$57*Inventory[[#This Row],[LnAcres]]</f>
        <v>-40295.239319339329</v>
      </c>
      <c r="AS1175" s="25">
        <f>VLOOKUP(Inventory[[#This Row],[Qlty]],Lookups!$A$62:$E$75,2,FALSE)</f>
        <v>29814.093161000001</v>
      </c>
      <c r="AT1175" s="25">
        <f>VLOOKUP(Inventory[[#This Row],[Cnd]],Lookups!$A$76:$E$84,2,FALSE)</f>
        <v>197752.34721000001</v>
      </c>
      <c r="AU1175" s="25">
        <f>Inventory[[#This Row],[EffAge]]*Lookups!$B$85</f>
        <v>-11598.371226000001</v>
      </c>
      <c r="AV1175" s="25">
        <f>Inventory[[#This Row],[MainFn]]*Lookups!$B$86</f>
        <v>51286.199332326003</v>
      </c>
      <c r="AW1175" s="25">
        <f>Inventory[[#This Row],[UpprFn]]*Lookups!$B$87</f>
        <v>25707.406722214</v>
      </c>
      <c r="AX1175" s="25">
        <f>Inventory[[#This Row],[AddFn]]*Lookups!$B$88</f>
        <v>0</v>
      </c>
      <c r="AY1175" s="25">
        <f>Inventory[[#This Row],[Bsmt]]*Lookups!$B$89</f>
        <v>30070.679685397998</v>
      </c>
      <c r="AZ1175" s="25">
        <f>Inventory[[#This Row],[Fixtures]]*Lookups!$B$90</f>
        <v>37920.221052000001</v>
      </c>
      <c r="BA1175" s="25">
        <f>Inventory[[#This Row],[WdDeck]]*Lookups!$B$91</f>
        <v>7990.9236662400008</v>
      </c>
      <c r="BB1175" s="25">
        <f>ROUND(Inventory[[#This Row],[25Det]],-2)</f>
        <v>9700</v>
      </c>
      <c r="BC1175" s="25">
        <f>ROUND(SUM(Inventory[[#This Row],[Mdl Qlty]:[Mdl WdDeck]])+Inventory[[#This Row],[Mdl Res Intercept]],-2)</f>
        <v>368900</v>
      </c>
      <c r="BD1175" s="25">
        <f>ROUND(Inventory[[#This Row],[Mdl Land Intercept]]+Inventory[[#This Row],[Mdl LnAcres]],-2)</f>
        <v>49600</v>
      </c>
      <c r="BE1175" s="25">
        <f>Inventory[[#This Row],[Unadj Res Value]]+Inventory[[#This Row],[Unadj Det Value]]+Inventory[[#This Row],[Unadj Land Value]]</f>
        <v>428200</v>
      </c>
      <c r="BF1175" s="36">
        <f>(Inventory[[#This Row],[Unadj Total Value]]-Inventory[[#This Row],[24Final]])/Inventory[[#This Row],[24Final]]</f>
        <v>5.7545072857495681E-2</v>
      </c>
      <c r="BG1175" s="25">
        <f>VLOOKUP(Inventory[[#This Row],[Nbhd]],Lookups!$Q$2:$T$4,4,FALSE)</f>
        <v>0.99970000000000003</v>
      </c>
      <c r="BH1175" s="25">
        <f>VLOOKUP(Inventory[[#This Row],[Qlty]],Lookups!$O$7:$R$21,4,FALSE)</f>
        <v>1.0088999999999999</v>
      </c>
      <c r="BI1175" s="25">
        <f>VLOOKUP(Inventory[[#This Row],[Cnd]],Lookups!$T$7:$W$16,4,FALSE)</f>
        <v>0.99650000000000005</v>
      </c>
      <c r="BJ1175" s="25">
        <f>VLOOKUP(Inventory[[#This Row],[LivArea Range]],Lookups!$T$25:$W$37,4,FALSE)</f>
        <v>0.96179999999999999</v>
      </c>
      <c r="BK1175" s="25">
        <f>VLOOKUP(Inventory[[#This Row],[Decade]],Lookups!$O$25:$R$42,4,FALSE)</f>
        <v>0.98909999999999998</v>
      </c>
      <c r="BL1175" s="25">
        <f>Inventory[[#This Row],[Nbhd Adj]]*0.95</f>
        <v>0.94971499999999998</v>
      </c>
      <c r="BM1175" s="25">
        <f>Inventory[[#This Row],[Nbhd Adj]]*Inventory[[#This Row],[Quality Adj]]*Inventory[[#This Row],[Condition Adj]]*Inventory[[#This Row],[Living Area Adj]]*Inventory[[#This Row],[Decade Adj]]*0.95</f>
        <v>0.90833008140076499</v>
      </c>
      <c r="BN1175" s="25">
        <f>ROUND(SUM(Inventory[[#This Row],[Mdl Qlty]:[Mdl WdDeck]])+Inventory[[#This Row],[Mdl Res Intercept]]*Inventory[[#This Row],[Res Adj ]],-2)</f>
        <v>368900</v>
      </c>
      <c r="BO1175" s="25">
        <f>ROUND(Inventory[[#This Row],[25Det]]*Inventory[[#This Row],[Det/Nbhd Adj]],-2)</f>
        <v>9200</v>
      </c>
      <c r="BP1175" s="25">
        <f>Inventory[[#This Row],[Adjusted Res]]+Inventory[[#This Row],[Adj Det ]]</f>
        <v>378100</v>
      </c>
      <c r="BQ1175" s="25">
        <f>ROUND((Inventory[[#This Row],[Mdl Land Intercept]]+Inventory[[#This Row],[Mdl LnAcres]])*Inventory[[#This Row],[Det/Nbhd Adj]],-2)</f>
        <v>47100</v>
      </c>
      <c r="BR1175" s="25">
        <f>Inventory[[#This Row],[Adjusted Impr Total]]+Inventory[[#This Row],[Adjusted Land Total]]</f>
        <v>425200</v>
      </c>
      <c r="BS1175" s="36">
        <f>IFERROR((Inventory[[#This Row],[Adjusted Impr Total]]-Inventory[[#This Row],[24Bldg]])/Inventory[[#This Row],[24Bldg]],0)</f>
        <v>0.12933094384707289</v>
      </c>
      <c r="BT1175" s="36">
        <f>(Inventory[[#This Row],[Adjusted Land Total]]-Inventory[[#This Row],[24Lnd]])/Inventory[[#This Row],[24Lnd]]</f>
        <v>-0.32810271041369471</v>
      </c>
      <c r="BU1175" s="36">
        <f>(Inventory[[#This Row],[Adjusted Total]]-Inventory[[#This Row],[24Final]])/Inventory[[#This Row],[24Final]]</f>
        <v>5.0135836008891085E-2</v>
      </c>
    </row>
    <row r="1176" spans="1:73" x14ac:dyDescent="0.3">
      <c r="A1176" s="25">
        <v>2025</v>
      </c>
      <c r="B1176" s="26" t="s">
        <v>1400</v>
      </c>
      <c r="C1176" s="26">
        <f>LN(Inventory[[#This Row],[Acres]])</f>
        <v>-1.4696759700589417</v>
      </c>
      <c r="D1176" s="25">
        <v>0.23</v>
      </c>
      <c r="E1176" s="25">
        <v>9868</v>
      </c>
      <c r="F1176" s="26" t="s">
        <v>537</v>
      </c>
      <c r="G1176" s="26" t="s">
        <v>126</v>
      </c>
      <c r="H1176" s="26" t="s">
        <v>349</v>
      </c>
      <c r="I1176" s="26" t="s">
        <v>538</v>
      </c>
      <c r="J1176" s="26" t="s">
        <v>539</v>
      </c>
      <c r="K1176" s="26" t="s">
        <v>242</v>
      </c>
      <c r="L1176" s="26" t="s">
        <v>205</v>
      </c>
      <c r="M1176" s="26" t="s">
        <v>323</v>
      </c>
      <c r="N1176" s="26">
        <v>90</v>
      </c>
      <c r="O1176" s="26">
        <f>2024-Inventory[[#This Row],[YrBlt]]</f>
        <v>82</v>
      </c>
      <c r="P1176" s="26">
        <f>2024-Inventory[[#This Row],[EffYr]]</f>
        <v>52</v>
      </c>
      <c r="Q1176" s="25">
        <v>1942</v>
      </c>
      <c r="R1176" s="25">
        <v>1972</v>
      </c>
      <c r="S1176" s="25">
        <v>1032</v>
      </c>
      <c r="T1176" s="27"/>
      <c r="U1176" s="27"/>
      <c r="V1176" s="27">
        <f>Inventory[[#This Row],[Bsmt]]-Inventory[[#This Row],[FnBsmt]]</f>
        <v>0</v>
      </c>
      <c r="W1176" s="27"/>
      <c r="X1176" s="27"/>
      <c r="Y1176" s="27">
        <f>Inventory[[#This Row],[MainFn]]+Inventory[[#This Row],[UpprFn]]+Inventory[[#This Row],[FnBsmt]]+Inventory[[#This Row],[AddFn]]</f>
        <v>1032</v>
      </c>
      <c r="Z1176" s="27">
        <v>1500</v>
      </c>
      <c r="AA1176" s="25">
        <v>5</v>
      </c>
      <c r="AB1176" s="25">
        <v>200</v>
      </c>
      <c r="AC1176" s="27"/>
      <c r="AD1176" s="27"/>
      <c r="AE1176" s="27"/>
      <c r="AF1176" s="27"/>
      <c r="AG1176" s="27"/>
      <c r="AH1176" s="27"/>
      <c r="AI1176" s="25">
        <v>162811</v>
      </c>
      <c r="AJ1176" s="25">
        <v>110711</v>
      </c>
      <c r="AK1176" s="25">
        <v>0</v>
      </c>
      <c r="AL1176" s="25">
        <v>254400</v>
      </c>
      <c r="AM1176" s="25">
        <v>63300</v>
      </c>
      <c r="AN1176" s="25">
        <v>191100</v>
      </c>
      <c r="AO1176" s="25">
        <v>0</v>
      </c>
      <c r="AP1176" s="25">
        <f>Lookups!$B$56*0</f>
        <v>0</v>
      </c>
      <c r="AQ1176" s="25">
        <f>Lookups!$B$56*1</f>
        <v>89850.625589999996</v>
      </c>
      <c r="AR1176" s="25">
        <f>Lookups!$B$57*Inventory[[#This Row],[LnAcres]]</f>
        <v>-46522.028095997222</v>
      </c>
      <c r="AS1176" s="25">
        <f>VLOOKUP(Inventory[[#This Row],[Qlty]],Lookups!$A$62:$E$75,2,FALSE)</f>
        <v>0</v>
      </c>
      <c r="AT1176" s="25">
        <f>VLOOKUP(Inventory[[#This Row],[Cnd]],Lookups!$A$76:$E$84,2,FALSE)</f>
        <v>160472.20319</v>
      </c>
      <c r="AU1176" s="25">
        <f>Inventory[[#This Row],[EffAge]]*Lookups!$B$85</f>
        <v>-11598.371226000001</v>
      </c>
      <c r="AV1176" s="25">
        <f>Inventory[[#This Row],[MainFn]]*Lookups!$B$86</f>
        <v>50989.747313063999</v>
      </c>
      <c r="AW1176" s="25">
        <f>Inventory[[#This Row],[UpprFn]]*Lookups!$B$87</f>
        <v>0</v>
      </c>
      <c r="AX1176" s="25">
        <f>Inventory[[#This Row],[AddFn]]*Lookups!$B$88</f>
        <v>0</v>
      </c>
      <c r="AY1176" s="25">
        <f>Inventory[[#This Row],[Bsmt]]*Lookups!$B$89</f>
        <v>0</v>
      </c>
      <c r="AZ1176" s="25">
        <f>Inventory[[#This Row],[Fixtures]]*Lookups!$B$90</f>
        <v>18960.110526</v>
      </c>
      <c r="BA1176" s="25">
        <f>Inventory[[#This Row],[WdDeck]]*Lookups!$B$91</f>
        <v>0</v>
      </c>
      <c r="BB1176" s="25">
        <f>ROUND(Inventory[[#This Row],[25Det]],-2)</f>
        <v>0</v>
      </c>
      <c r="BC1176" s="25">
        <f>ROUND(SUM(Inventory[[#This Row],[Mdl Qlty]:[Mdl WdDeck]])+Inventory[[#This Row],[Mdl Res Intercept]],-2)</f>
        <v>218800</v>
      </c>
      <c r="BD1176" s="25">
        <f>ROUND(Inventory[[#This Row],[Mdl Land Intercept]]+Inventory[[#This Row],[Mdl LnAcres]],-2)</f>
        <v>43300</v>
      </c>
      <c r="BE1176" s="25">
        <f>Inventory[[#This Row],[Unadj Res Value]]+Inventory[[#This Row],[Unadj Det Value]]+Inventory[[#This Row],[Unadj Land Value]]</f>
        <v>262100</v>
      </c>
      <c r="BF1176" s="36">
        <f>(Inventory[[#This Row],[Unadj Total Value]]-Inventory[[#This Row],[24Final]])/Inventory[[#This Row],[24Final]]</f>
        <v>3.0267295597484277E-2</v>
      </c>
      <c r="BG1176" s="25">
        <f>VLOOKUP(Inventory[[#This Row],[Nbhd]],Lookups!$Q$2:$T$4,4,FALSE)</f>
        <v>0.99970000000000003</v>
      </c>
      <c r="BH1176" s="25">
        <f>VLOOKUP(Inventory[[#This Row],[Qlty]],Lookups!$O$7:$R$21,4,FALSE)</f>
        <v>0.99180000000000001</v>
      </c>
      <c r="BI1176" s="25">
        <f>VLOOKUP(Inventory[[#This Row],[Cnd]],Lookups!$T$7:$W$16,4,FALSE)</f>
        <v>0.99729999999999996</v>
      </c>
      <c r="BJ1176" s="25">
        <f>VLOOKUP(Inventory[[#This Row],[LivArea Range]],Lookups!$T$25:$W$37,4,FALSE)</f>
        <v>1.0157</v>
      </c>
      <c r="BK1176" s="25">
        <f>VLOOKUP(Inventory[[#This Row],[Decade]],Lookups!$O$25:$R$42,4,FALSE)</f>
        <v>0.98909999999999998</v>
      </c>
      <c r="BL1176" s="25">
        <f>Inventory[[#This Row],[Nbhd Adj]]*0.95</f>
        <v>0.94971499999999998</v>
      </c>
      <c r="BM1176" s="25">
        <f>Inventory[[#This Row],[Nbhd Adj]]*Inventory[[#This Row],[Quality Adj]]*Inventory[[#This Row],[Condition Adj]]*Inventory[[#This Row],[Living Area Adj]]*Inventory[[#This Row],[Decade Adj]]*0.95</f>
        <v>0.94373242022269987</v>
      </c>
      <c r="BN1176" s="25">
        <f>ROUND(SUM(Inventory[[#This Row],[Mdl Qlty]:[Mdl WdDeck]])+Inventory[[#This Row],[Mdl Res Intercept]]*Inventory[[#This Row],[Res Adj ]],-2)</f>
        <v>218800</v>
      </c>
      <c r="BO1176" s="25">
        <f>ROUND(Inventory[[#This Row],[25Det]]*Inventory[[#This Row],[Det/Nbhd Adj]],-2)</f>
        <v>0</v>
      </c>
      <c r="BP1176" s="25">
        <f>Inventory[[#This Row],[Adjusted Res]]+Inventory[[#This Row],[Adj Det ]]</f>
        <v>218800</v>
      </c>
      <c r="BQ1176" s="25">
        <f>ROUND((Inventory[[#This Row],[Mdl Land Intercept]]+Inventory[[#This Row],[Mdl LnAcres]])*Inventory[[#This Row],[Det/Nbhd Adj]],-2)</f>
        <v>41100</v>
      </c>
      <c r="BR1176" s="25">
        <f>Inventory[[#This Row],[Adjusted Impr Total]]+Inventory[[#This Row],[Adjusted Land Total]]</f>
        <v>259900</v>
      </c>
      <c r="BS1176" s="36">
        <f>IFERROR((Inventory[[#This Row],[Adjusted Impr Total]]-Inventory[[#This Row],[24Bldg]])/Inventory[[#This Row],[24Bldg]],0)</f>
        <v>0.14495028780743066</v>
      </c>
      <c r="BT1176" s="36">
        <f>(Inventory[[#This Row],[Adjusted Land Total]]-Inventory[[#This Row],[24Lnd]])/Inventory[[#This Row],[24Lnd]]</f>
        <v>-0.35071090047393366</v>
      </c>
      <c r="BU1176" s="36">
        <f>(Inventory[[#This Row],[Adjusted Total]]-Inventory[[#This Row],[24Final]])/Inventory[[#This Row],[24Final]]</f>
        <v>2.1619496855345911E-2</v>
      </c>
    </row>
    <row r="1177" spans="1:73" x14ac:dyDescent="0.3">
      <c r="A1177" s="25">
        <v>2025</v>
      </c>
      <c r="B1177" s="26" t="s">
        <v>1255</v>
      </c>
      <c r="C1177" s="26">
        <f>LN(Inventory[[#This Row],[Acres]])</f>
        <v>-1.4271163556401458</v>
      </c>
      <c r="D1177" s="25">
        <v>0.24</v>
      </c>
      <c r="E1177" s="31"/>
      <c r="F1177" s="26" t="s">
        <v>537</v>
      </c>
      <c r="G1177" s="26" t="s">
        <v>126</v>
      </c>
      <c r="H1177" s="26" t="s">
        <v>349</v>
      </c>
      <c r="I1177" s="26" t="s">
        <v>538</v>
      </c>
      <c r="J1177" s="26" t="s">
        <v>539</v>
      </c>
      <c r="K1177" s="26" t="s">
        <v>242</v>
      </c>
      <c r="L1177" s="26" t="s">
        <v>148</v>
      </c>
      <c r="M1177" s="26" t="s">
        <v>352</v>
      </c>
      <c r="N1177" s="26">
        <v>90</v>
      </c>
      <c r="O1177" s="26">
        <f>2024-Inventory[[#This Row],[YrBlt]]</f>
        <v>83</v>
      </c>
      <c r="P1177" s="26">
        <f>2024-Inventory[[#This Row],[EffYr]]</f>
        <v>52</v>
      </c>
      <c r="Q1177" s="25">
        <v>1941</v>
      </c>
      <c r="R1177" s="25">
        <v>1972</v>
      </c>
      <c r="S1177" s="25">
        <v>2196</v>
      </c>
      <c r="T1177" s="27"/>
      <c r="U1177" s="25">
        <v>620</v>
      </c>
      <c r="V1177" s="25">
        <f>Inventory[[#This Row],[Bsmt]]-Inventory[[#This Row],[FnBsmt]]</f>
        <v>0</v>
      </c>
      <c r="W1177" s="25">
        <v>620</v>
      </c>
      <c r="X1177" s="27"/>
      <c r="Y1177" s="27">
        <f>Inventory[[#This Row],[MainFn]]+Inventory[[#This Row],[UpprFn]]+Inventory[[#This Row],[FnBsmt]]+Inventory[[#This Row],[AddFn]]</f>
        <v>2816</v>
      </c>
      <c r="Z1177" s="27">
        <v>3000</v>
      </c>
      <c r="AA1177" s="25">
        <v>12</v>
      </c>
      <c r="AB1177" s="31"/>
      <c r="AC1177" s="27"/>
      <c r="AD1177" s="27"/>
      <c r="AE1177" s="27"/>
      <c r="AF1177" s="27"/>
      <c r="AG1177" s="27"/>
      <c r="AH1177" s="27"/>
      <c r="AI1177" s="25">
        <v>574854</v>
      </c>
      <c r="AJ1177" s="25">
        <v>408146</v>
      </c>
      <c r="AK1177" s="25">
        <v>13177</v>
      </c>
      <c r="AL1177" s="25">
        <v>475600</v>
      </c>
      <c r="AM1177" s="25">
        <v>64800</v>
      </c>
      <c r="AN1177" s="25">
        <v>410800</v>
      </c>
      <c r="AO1177" s="25">
        <v>0</v>
      </c>
      <c r="AP1177" s="25">
        <f>Lookups!$B$56*0</f>
        <v>0</v>
      </c>
      <c r="AQ1177" s="25">
        <f>Lookups!$B$56*1</f>
        <v>89850.625589999996</v>
      </c>
      <c r="AR1177" s="25">
        <f>Lookups!$B$57*Inventory[[#This Row],[LnAcres]]</f>
        <v>-45174.819855485119</v>
      </c>
      <c r="AS1177" s="25">
        <f>VLOOKUP(Inventory[[#This Row],[Qlty]],Lookups!$A$62:$E$75,2,FALSE)</f>
        <v>44121.038090000002</v>
      </c>
      <c r="AT1177" s="25">
        <f>VLOOKUP(Inventory[[#This Row],[Cnd]],Lookups!$A$76:$E$84,2,FALSE)</f>
        <v>284810.60806</v>
      </c>
      <c r="AU1177" s="25">
        <f>Inventory[[#This Row],[EffAge]]*Lookups!$B$85</f>
        <v>-11598.371226000001</v>
      </c>
      <c r="AV1177" s="25">
        <f>Inventory[[#This Row],[MainFn]]*Lookups!$B$86</f>
        <v>108501.439049892</v>
      </c>
      <c r="AW1177" s="25">
        <f>Inventory[[#This Row],[UpprFn]]*Lookups!$B$87</f>
        <v>0</v>
      </c>
      <c r="AX1177" s="25">
        <f>Inventory[[#This Row],[AddFn]]*Lookups!$B$88</f>
        <v>0</v>
      </c>
      <c r="AY1177" s="25">
        <f>Inventory[[#This Row],[Bsmt]]*Lookups!$B$89</f>
        <v>18030.775053139998</v>
      </c>
      <c r="AZ1177" s="25">
        <f>Inventory[[#This Row],[Fixtures]]*Lookups!$B$90</f>
        <v>45504.265262400004</v>
      </c>
      <c r="BA1177" s="25">
        <f>Inventory[[#This Row],[WdDeck]]*Lookups!$B$91</f>
        <v>0</v>
      </c>
      <c r="BB1177" s="25">
        <f>ROUND(Inventory[[#This Row],[25Det]],-2)</f>
        <v>13200</v>
      </c>
      <c r="BC1177" s="25">
        <f>ROUND(SUM(Inventory[[#This Row],[Mdl Qlty]:[Mdl WdDeck]])+Inventory[[#This Row],[Mdl Res Intercept]],-2)</f>
        <v>489400</v>
      </c>
      <c r="BD1177" s="25">
        <f>ROUND(Inventory[[#This Row],[Mdl Land Intercept]]+Inventory[[#This Row],[Mdl LnAcres]],-2)</f>
        <v>44700</v>
      </c>
      <c r="BE1177" s="25">
        <f>Inventory[[#This Row],[Unadj Res Value]]+Inventory[[#This Row],[Unadj Det Value]]+Inventory[[#This Row],[Unadj Land Value]]</f>
        <v>547300</v>
      </c>
      <c r="BF1177" s="36">
        <f>(Inventory[[#This Row],[Unadj Total Value]]-Inventory[[#This Row],[24Final]])/Inventory[[#This Row],[24Final]]</f>
        <v>0.1507569386038688</v>
      </c>
      <c r="BG1177" s="25">
        <f>VLOOKUP(Inventory[[#This Row],[Nbhd]],Lookups!$Q$2:$T$4,4,FALSE)</f>
        <v>0.99970000000000003</v>
      </c>
      <c r="BH1177" s="25">
        <f>VLOOKUP(Inventory[[#This Row],[Qlty]],Lookups!$O$7:$R$21,4,FALSE)</f>
        <v>0.98050000000000004</v>
      </c>
      <c r="BI1177" s="25">
        <f>VLOOKUP(Inventory[[#This Row],[Cnd]],Lookups!$T$7:$W$16,4,FALSE)</f>
        <v>1.0158</v>
      </c>
      <c r="BJ1177" s="25">
        <f>VLOOKUP(Inventory[[#This Row],[LivArea Range]],Lookups!$T$25:$W$37,4,FALSE)</f>
        <v>0.96179999999999999</v>
      </c>
      <c r="BK1177" s="25">
        <f>VLOOKUP(Inventory[[#This Row],[Decade]],Lookups!$O$25:$R$42,4,FALSE)</f>
        <v>0.98909999999999998</v>
      </c>
      <c r="BL1177" s="25">
        <f>Inventory[[#This Row],[Nbhd Adj]]*0.95</f>
        <v>0.94971499999999998</v>
      </c>
      <c r="BM1177" s="25">
        <f>Inventory[[#This Row],[Nbhd Adj]]*Inventory[[#This Row],[Quality Adj]]*Inventory[[#This Row],[Condition Adj]]*Inventory[[#This Row],[Living Area Adj]]*Inventory[[#This Row],[Decade Adj]]*0.95</f>
        <v>0.89985819990494287</v>
      </c>
      <c r="BN1177" s="25">
        <f>ROUND(SUM(Inventory[[#This Row],[Mdl Qlty]:[Mdl WdDeck]])+Inventory[[#This Row],[Mdl Res Intercept]]*Inventory[[#This Row],[Res Adj ]],-2)</f>
        <v>489400</v>
      </c>
      <c r="BO1177" s="25">
        <f>ROUND(Inventory[[#This Row],[25Det]]*Inventory[[#This Row],[Det/Nbhd Adj]],-2)</f>
        <v>12500</v>
      </c>
      <c r="BP1177" s="25">
        <f>Inventory[[#This Row],[Adjusted Res]]+Inventory[[#This Row],[Adj Det ]]</f>
        <v>501900</v>
      </c>
      <c r="BQ1177" s="25">
        <f>ROUND((Inventory[[#This Row],[Mdl Land Intercept]]+Inventory[[#This Row],[Mdl LnAcres]])*Inventory[[#This Row],[Det/Nbhd Adj]],-2)</f>
        <v>42400</v>
      </c>
      <c r="BR1177" s="25">
        <f>Inventory[[#This Row],[Adjusted Impr Total]]+Inventory[[#This Row],[Adjusted Land Total]]</f>
        <v>544300</v>
      </c>
      <c r="BS1177" s="36">
        <f>IFERROR((Inventory[[#This Row],[Adjusted Impr Total]]-Inventory[[#This Row],[24Bldg]])/Inventory[[#This Row],[24Bldg]],0)</f>
        <v>0.2217624148003895</v>
      </c>
      <c r="BT1177" s="36">
        <f>(Inventory[[#This Row],[Adjusted Land Total]]-Inventory[[#This Row],[24Lnd]])/Inventory[[#This Row],[24Lnd]]</f>
        <v>-0.34567901234567899</v>
      </c>
      <c r="BU1177" s="36">
        <f>(Inventory[[#This Row],[Adjusted Total]]-Inventory[[#This Row],[24Final]])/Inventory[[#This Row],[24Final]]</f>
        <v>0.14444911690496215</v>
      </c>
    </row>
    <row r="1178" spans="1:73" x14ac:dyDescent="0.3">
      <c r="A1178" s="25">
        <v>2025</v>
      </c>
      <c r="B1178" s="26" t="s">
        <v>2479</v>
      </c>
      <c r="C1178" s="26">
        <f>LN(Inventory[[#This Row],[Acres]])</f>
        <v>-1.6094379124341003</v>
      </c>
      <c r="D1178" s="25">
        <v>0.2</v>
      </c>
      <c r="E1178" s="25">
        <v>8680</v>
      </c>
      <c r="F1178" s="26" t="s">
        <v>537</v>
      </c>
      <c r="G1178" s="26" t="s">
        <v>126</v>
      </c>
      <c r="H1178" s="26" t="s">
        <v>349</v>
      </c>
      <c r="I1178" s="26" t="s">
        <v>538</v>
      </c>
      <c r="J1178" s="26" t="s">
        <v>539</v>
      </c>
      <c r="K1178" s="26" t="s">
        <v>242</v>
      </c>
      <c r="L1178" s="26" t="s">
        <v>302</v>
      </c>
      <c r="M1178" s="26" t="s">
        <v>303</v>
      </c>
      <c r="N1178" s="26">
        <v>90</v>
      </c>
      <c r="O1178" s="26">
        <f>2024-Inventory[[#This Row],[YrBlt]]</f>
        <v>83</v>
      </c>
      <c r="P1178" s="26">
        <f>2024-Inventory[[#This Row],[EffYr]]</f>
        <v>52</v>
      </c>
      <c r="Q1178" s="25">
        <v>1941</v>
      </c>
      <c r="R1178" s="25">
        <v>1972</v>
      </c>
      <c r="S1178" s="25">
        <v>910</v>
      </c>
      <c r="T1178" s="27"/>
      <c r="U1178" s="25">
        <v>624</v>
      </c>
      <c r="V1178" s="25">
        <f>Inventory[[#This Row],[Bsmt]]-Inventory[[#This Row],[FnBsmt]]</f>
        <v>624</v>
      </c>
      <c r="W1178" s="31"/>
      <c r="X1178" s="27"/>
      <c r="Y1178" s="27">
        <f>Inventory[[#This Row],[MainFn]]+Inventory[[#This Row],[UpprFn]]+Inventory[[#This Row],[FnBsmt]]+Inventory[[#This Row],[AddFn]]</f>
        <v>910</v>
      </c>
      <c r="Z1178" s="27">
        <v>1000</v>
      </c>
      <c r="AA1178" s="25">
        <v>6</v>
      </c>
      <c r="AB1178" s="32">
        <v>291</v>
      </c>
      <c r="AC1178" s="27"/>
      <c r="AD1178" s="27"/>
      <c r="AE1178" s="27"/>
      <c r="AF1178" s="27"/>
      <c r="AG1178" s="27"/>
      <c r="AH1178" s="27"/>
      <c r="AI1178" s="25">
        <v>227696</v>
      </c>
      <c r="AJ1178" s="25">
        <v>159387</v>
      </c>
      <c r="AK1178" s="25">
        <v>2228</v>
      </c>
      <c r="AL1178" s="25">
        <v>304900</v>
      </c>
      <c r="AM1178" s="25">
        <v>58400</v>
      </c>
      <c r="AN1178" s="25">
        <v>246500</v>
      </c>
      <c r="AO1178" s="25">
        <v>0</v>
      </c>
      <c r="AP1178" s="25">
        <f>Lookups!$B$56*0</f>
        <v>0</v>
      </c>
      <c r="AQ1178" s="25">
        <f>Lookups!$B$56*1</f>
        <v>89850.625589999996</v>
      </c>
      <c r="AR1178" s="25">
        <f>Lookups!$B$57*Inventory[[#This Row],[LnAcres]]</f>
        <v>-50946.13867709865</v>
      </c>
      <c r="AS1178" s="25">
        <f>VLOOKUP(Inventory[[#This Row],[Qlty]],Lookups!$A$62:$E$75,2,FALSE)</f>
        <v>29814.093161000001</v>
      </c>
      <c r="AT1178" s="25">
        <f>VLOOKUP(Inventory[[#This Row],[Cnd]],Lookups!$A$76:$E$84,2,FALSE)</f>
        <v>197752.34721000001</v>
      </c>
      <c r="AU1178" s="25">
        <f>Inventory[[#This Row],[EffAge]]*Lookups!$B$85</f>
        <v>-11598.371226000001</v>
      </c>
      <c r="AV1178" s="25">
        <f>Inventory[[#This Row],[MainFn]]*Lookups!$B$86</f>
        <v>44961.88958807</v>
      </c>
      <c r="AW1178" s="25">
        <f>Inventory[[#This Row],[UpprFn]]*Lookups!$B$87</f>
        <v>0</v>
      </c>
      <c r="AX1178" s="25">
        <f>Inventory[[#This Row],[AddFn]]*Lookups!$B$88</f>
        <v>0</v>
      </c>
      <c r="AY1178" s="25">
        <f>Inventory[[#This Row],[Bsmt]]*Lookups!$B$89</f>
        <v>18147.102634127998</v>
      </c>
      <c r="AZ1178" s="25">
        <f>Inventory[[#This Row],[Fixtures]]*Lookups!$B$90</f>
        <v>22752.132631200002</v>
      </c>
      <c r="BA1178" s="25">
        <f>Inventory[[#This Row],[WdDeck]]*Lookups!$B$91</f>
        <v>0</v>
      </c>
      <c r="BB1178" s="25">
        <f>ROUND(Inventory[[#This Row],[25Det]],-2)</f>
        <v>2200</v>
      </c>
      <c r="BC1178" s="25">
        <f>ROUND(SUM(Inventory[[#This Row],[Mdl Qlty]:[Mdl WdDeck]])+Inventory[[#This Row],[Mdl Res Intercept]],-2)</f>
        <v>301800</v>
      </c>
      <c r="BD1178" s="25">
        <f>ROUND(Inventory[[#This Row],[Mdl Land Intercept]]+Inventory[[#This Row],[Mdl LnAcres]],-2)</f>
        <v>38900</v>
      </c>
      <c r="BE1178" s="25">
        <f>Inventory[[#This Row],[Unadj Res Value]]+Inventory[[#This Row],[Unadj Det Value]]+Inventory[[#This Row],[Unadj Land Value]]</f>
        <v>342900</v>
      </c>
      <c r="BF1178" s="36">
        <f>(Inventory[[#This Row],[Unadj Total Value]]-Inventory[[#This Row],[24Final]])/Inventory[[#This Row],[24Final]]</f>
        <v>0.12463102656608724</v>
      </c>
      <c r="BG1178" s="25">
        <f>VLOOKUP(Inventory[[#This Row],[Nbhd]],Lookups!$Q$2:$T$4,4,FALSE)</f>
        <v>0.99970000000000003</v>
      </c>
      <c r="BH1178" s="25">
        <f>VLOOKUP(Inventory[[#This Row],[Qlty]],Lookups!$O$7:$R$21,4,FALSE)</f>
        <v>1.0088999999999999</v>
      </c>
      <c r="BI1178" s="25">
        <f>VLOOKUP(Inventory[[#This Row],[Cnd]],Lookups!$T$7:$W$16,4,FALSE)</f>
        <v>0.99650000000000005</v>
      </c>
      <c r="BJ1178" s="25">
        <f>VLOOKUP(Inventory[[#This Row],[LivArea Range]],Lookups!$T$25:$W$37,4,FALSE)</f>
        <v>1.0148999999999999</v>
      </c>
      <c r="BK1178" s="25">
        <f>VLOOKUP(Inventory[[#This Row],[Decade]],Lookups!$O$25:$R$42,4,FALSE)</f>
        <v>0.98909999999999998</v>
      </c>
      <c r="BL1178" s="25">
        <f>Inventory[[#This Row],[Nbhd Adj]]*0.95</f>
        <v>0.94971499999999998</v>
      </c>
      <c r="BM1178" s="25">
        <f>Inventory[[#This Row],[Nbhd Adj]]*Inventory[[#This Row],[Quality Adj]]*Inventory[[#This Row],[Condition Adj]]*Inventory[[#This Row],[Living Area Adj]]*Inventory[[#This Row],[Decade Adj]]*0.95</f>
        <v>0.9584780615654358</v>
      </c>
      <c r="BN1178" s="25">
        <f>ROUND(SUM(Inventory[[#This Row],[Mdl Qlty]:[Mdl WdDeck]])+Inventory[[#This Row],[Mdl Res Intercept]]*Inventory[[#This Row],[Res Adj ]],-2)</f>
        <v>301800</v>
      </c>
      <c r="BO1178" s="25">
        <f>ROUND(Inventory[[#This Row],[25Det]]*Inventory[[#This Row],[Det/Nbhd Adj]],-2)</f>
        <v>2100</v>
      </c>
      <c r="BP1178" s="25">
        <f>Inventory[[#This Row],[Adjusted Res]]+Inventory[[#This Row],[Adj Det ]]</f>
        <v>303900</v>
      </c>
      <c r="BQ1178" s="25">
        <f>ROUND((Inventory[[#This Row],[Mdl Land Intercept]]+Inventory[[#This Row],[Mdl LnAcres]])*Inventory[[#This Row],[Det/Nbhd Adj]],-2)</f>
        <v>36900</v>
      </c>
      <c r="BR1178" s="25">
        <f>Inventory[[#This Row],[Adjusted Impr Total]]+Inventory[[#This Row],[Adjusted Land Total]]</f>
        <v>340800</v>
      </c>
      <c r="BS1178" s="36">
        <f>IFERROR((Inventory[[#This Row],[Adjusted Impr Total]]-Inventory[[#This Row],[24Bldg]])/Inventory[[#This Row],[24Bldg]],0)</f>
        <v>0.23286004056795132</v>
      </c>
      <c r="BT1178" s="36">
        <f>(Inventory[[#This Row],[Adjusted Land Total]]-Inventory[[#This Row],[24Lnd]])/Inventory[[#This Row],[24Lnd]]</f>
        <v>-0.36815068493150682</v>
      </c>
      <c r="BU1178" s="36">
        <f>(Inventory[[#This Row],[Adjusted Total]]-Inventory[[#This Row],[24Final]])/Inventory[[#This Row],[24Final]]</f>
        <v>0.11774352246638242</v>
      </c>
    </row>
    <row r="1179" spans="1:73" x14ac:dyDescent="0.3">
      <c r="A1179" s="25">
        <v>2025</v>
      </c>
      <c r="B1179" s="26" t="s">
        <v>2632</v>
      </c>
      <c r="C1179" s="26">
        <f>LN(Inventory[[#This Row],[Acres]])</f>
        <v>-2.6592600369327779</v>
      </c>
      <c r="D1179" s="25">
        <v>7.0000000000000007E-2</v>
      </c>
      <c r="E1179" s="31"/>
      <c r="F1179" s="26" t="s">
        <v>537</v>
      </c>
      <c r="G1179" s="26" t="s">
        <v>126</v>
      </c>
      <c r="H1179" s="26" t="s">
        <v>349</v>
      </c>
      <c r="I1179" s="26" t="s">
        <v>538</v>
      </c>
      <c r="J1179" s="26" t="s">
        <v>539</v>
      </c>
      <c r="K1179" s="26" t="s">
        <v>242</v>
      </c>
      <c r="L1179" s="26" t="s">
        <v>205</v>
      </c>
      <c r="M1179" s="26" t="s">
        <v>303</v>
      </c>
      <c r="N1179" s="26">
        <v>90</v>
      </c>
      <c r="O1179" s="26">
        <f>2024-Inventory[[#This Row],[YrBlt]]</f>
        <v>83</v>
      </c>
      <c r="P1179" s="26">
        <f>2024-Inventory[[#This Row],[EffYr]]</f>
        <v>52</v>
      </c>
      <c r="Q1179" s="25">
        <v>1941</v>
      </c>
      <c r="R1179" s="25">
        <v>1972</v>
      </c>
      <c r="S1179" s="25">
        <v>785</v>
      </c>
      <c r="T1179" s="27"/>
      <c r="U1179" s="31"/>
      <c r="V1179" s="31">
        <f>Inventory[[#This Row],[Bsmt]]-Inventory[[#This Row],[FnBsmt]]</f>
        <v>0</v>
      </c>
      <c r="W1179" s="31"/>
      <c r="X1179" s="27"/>
      <c r="Y1179" s="27">
        <f>Inventory[[#This Row],[MainFn]]+Inventory[[#This Row],[UpprFn]]+Inventory[[#This Row],[FnBsmt]]+Inventory[[#This Row],[AddFn]]</f>
        <v>785</v>
      </c>
      <c r="Z1179" s="27">
        <v>1000</v>
      </c>
      <c r="AA1179" s="25">
        <v>5</v>
      </c>
      <c r="AB1179" s="31"/>
      <c r="AC1179" s="27"/>
      <c r="AD1179" s="27"/>
      <c r="AE1179" s="27"/>
      <c r="AF1179" s="27"/>
      <c r="AG1179" s="27"/>
      <c r="AH1179" s="27"/>
      <c r="AI1179" s="25">
        <v>119515</v>
      </c>
      <c r="AJ1179" s="25">
        <v>83661</v>
      </c>
      <c r="AK1179" s="25">
        <v>0</v>
      </c>
      <c r="AL1179" s="25">
        <v>223500</v>
      </c>
      <c r="AM1179" s="25">
        <v>21800</v>
      </c>
      <c r="AN1179" s="25">
        <v>201700</v>
      </c>
      <c r="AO1179" s="25">
        <v>0</v>
      </c>
      <c r="AP1179" s="25">
        <f>Lookups!$B$56*0</f>
        <v>0</v>
      </c>
      <c r="AQ1179" s="25">
        <f>Lookups!$B$56*1</f>
        <v>89850.625589999996</v>
      </c>
      <c r="AR1179" s="25">
        <f>Lookups!$B$57*Inventory[[#This Row],[LnAcres]]</f>
        <v>-84177.854624504558</v>
      </c>
      <c r="AS1179" s="25">
        <f>VLOOKUP(Inventory[[#This Row],[Qlty]],Lookups!$A$62:$E$75,2,FALSE)</f>
        <v>0</v>
      </c>
      <c r="AT1179" s="25">
        <f>VLOOKUP(Inventory[[#This Row],[Cnd]],Lookups!$A$76:$E$84,2,FALSE)</f>
        <v>197752.34721000001</v>
      </c>
      <c r="AU1179" s="25">
        <f>Inventory[[#This Row],[EffAge]]*Lookups!$B$85</f>
        <v>-11598.371226000001</v>
      </c>
      <c r="AV1179" s="25">
        <f>Inventory[[#This Row],[MainFn]]*Lookups!$B$86</f>
        <v>38785.805853445003</v>
      </c>
      <c r="AW1179" s="25">
        <f>Inventory[[#This Row],[UpprFn]]*Lookups!$B$87</f>
        <v>0</v>
      </c>
      <c r="AX1179" s="25">
        <f>Inventory[[#This Row],[AddFn]]*Lookups!$B$88</f>
        <v>0</v>
      </c>
      <c r="AY1179" s="25">
        <f>Inventory[[#This Row],[Bsmt]]*Lookups!$B$89</f>
        <v>0</v>
      </c>
      <c r="AZ1179" s="25">
        <f>Inventory[[#This Row],[Fixtures]]*Lookups!$B$90</f>
        <v>18960.110526</v>
      </c>
      <c r="BA1179" s="25">
        <f>Inventory[[#This Row],[WdDeck]]*Lookups!$B$91</f>
        <v>0</v>
      </c>
      <c r="BB1179" s="25">
        <f>ROUND(Inventory[[#This Row],[25Det]],-2)</f>
        <v>0</v>
      </c>
      <c r="BC1179" s="25">
        <f>ROUND(SUM(Inventory[[#This Row],[Mdl Qlty]:[Mdl WdDeck]])+Inventory[[#This Row],[Mdl Res Intercept]],-2)</f>
        <v>243900</v>
      </c>
      <c r="BD1179" s="25">
        <f>ROUND(Inventory[[#This Row],[Mdl Land Intercept]]+Inventory[[#This Row],[Mdl LnAcres]],-2)</f>
        <v>5700</v>
      </c>
      <c r="BE1179" s="25">
        <f>Inventory[[#This Row],[Unadj Res Value]]+Inventory[[#This Row],[Unadj Det Value]]+Inventory[[#This Row],[Unadj Land Value]]</f>
        <v>249600</v>
      </c>
      <c r="BF1179" s="36">
        <f>(Inventory[[#This Row],[Unadj Total Value]]-Inventory[[#This Row],[24Final]])/Inventory[[#This Row],[24Final]]</f>
        <v>0.11677852348993288</v>
      </c>
      <c r="BG1179" s="25">
        <f>VLOOKUP(Inventory[[#This Row],[Nbhd]],Lookups!$Q$2:$T$4,4,FALSE)</f>
        <v>0.99970000000000003</v>
      </c>
      <c r="BH1179" s="25">
        <f>VLOOKUP(Inventory[[#This Row],[Qlty]],Lookups!$O$7:$R$21,4,FALSE)</f>
        <v>0.99180000000000001</v>
      </c>
      <c r="BI1179" s="25">
        <f>VLOOKUP(Inventory[[#This Row],[Cnd]],Lookups!$T$7:$W$16,4,FALSE)</f>
        <v>0.99650000000000005</v>
      </c>
      <c r="BJ1179" s="25">
        <f>VLOOKUP(Inventory[[#This Row],[LivArea Range]],Lookups!$T$25:$W$37,4,FALSE)</f>
        <v>1.0148999999999999</v>
      </c>
      <c r="BK1179" s="25">
        <f>VLOOKUP(Inventory[[#This Row],[Decade]],Lookups!$O$25:$R$42,4,FALSE)</f>
        <v>0.98909999999999998</v>
      </c>
      <c r="BL1179" s="25">
        <f>Inventory[[#This Row],[Nbhd Adj]]*0.95</f>
        <v>0.94971499999999998</v>
      </c>
      <c r="BM1179" s="25">
        <f>Inventory[[#This Row],[Nbhd Adj]]*Inventory[[#This Row],[Quality Adj]]*Inventory[[#This Row],[Condition Adj]]*Inventory[[#This Row],[Living Area Adj]]*Inventory[[#This Row],[Decade Adj]]*0.95</f>
        <v>0.94223267069144567</v>
      </c>
      <c r="BN1179" s="25">
        <f>ROUND(SUM(Inventory[[#This Row],[Mdl Qlty]:[Mdl WdDeck]])+Inventory[[#This Row],[Mdl Res Intercept]]*Inventory[[#This Row],[Res Adj ]],-2)</f>
        <v>243900</v>
      </c>
      <c r="BO1179" s="25">
        <f>ROUND(Inventory[[#This Row],[25Det]]*Inventory[[#This Row],[Det/Nbhd Adj]],-2)</f>
        <v>0</v>
      </c>
      <c r="BP1179" s="25">
        <f>Inventory[[#This Row],[Adjusted Res]]+Inventory[[#This Row],[Adj Det ]]</f>
        <v>243900</v>
      </c>
      <c r="BQ1179" s="25">
        <f>ROUND((Inventory[[#This Row],[Mdl Land Intercept]]+Inventory[[#This Row],[Mdl LnAcres]])*Inventory[[#This Row],[Det/Nbhd Adj]],-2)</f>
        <v>5400</v>
      </c>
      <c r="BR1179" s="25">
        <f>Inventory[[#This Row],[Adjusted Impr Total]]+Inventory[[#This Row],[Adjusted Land Total]]</f>
        <v>249300</v>
      </c>
      <c r="BS1179" s="36">
        <f>IFERROR((Inventory[[#This Row],[Adjusted Impr Total]]-Inventory[[#This Row],[24Bldg]])/Inventory[[#This Row],[24Bldg]],0)</f>
        <v>0.20922161626177491</v>
      </c>
      <c r="BT1179" s="36">
        <f>(Inventory[[#This Row],[Adjusted Land Total]]-Inventory[[#This Row],[24Lnd]])/Inventory[[#This Row],[24Lnd]]</f>
        <v>-0.75229357798165142</v>
      </c>
      <c r="BU1179" s="36">
        <f>(Inventory[[#This Row],[Adjusted Total]]-Inventory[[#This Row],[24Final]])/Inventory[[#This Row],[24Final]]</f>
        <v>0.11543624161073826</v>
      </c>
    </row>
    <row r="1180" spans="1:73" x14ac:dyDescent="0.3">
      <c r="A1180" s="25">
        <v>2025</v>
      </c>
      <c r="B1180" s="26" t="s">
        <v>1526</v>
      </c>
      <c r="C1180" s="26">
        <f>LN(Inventory[[#This Row],[Acres]])</f>
        <v>-1.7147984280919266</v>
      </c>
      <c r="D1180" s="25">
        <v>0.18</v>
      </c>
      <c r="E1180" s="25">
        <v>7828</v>
      </c>
      <c r="F1180" s="26" t="s">
        <v>537</v>
      </c>
      <c r="G1180" s="26" t="s">
        <v>126</v>
      </c>
      <c r="H1180" s="26" t="s">
        <v>349</v>
      </c>
      <c r="I1180" s="26" t="s">
        <v>538</v>
      </c>
      <c r="J1180" s="26" t="s">
        <v>539</v>
      </c>
      <c r="K1180" s="26" t="s">
        <v>173</v>
      </c>
      <c r="L1180" s="26" t="s">
        <v>351</v>
      </c>
      <c r="M1180" s="26" t="s">
        <v>303</v>
      </c>
      <c r="N1180" s="26">
        <v>90</v>
      </c>
      <c r="O1180" s="26">
        <f>2024-Inventory[[#This Row],[YrBlt]]</f>
        <v>83</v>
      </c>
      <c r="P1180" s="26">
        <f>2024-Inventory[[#This Row],[EffYr]]</f>
        <v>52</v>
      </c>
      <c r="Q1180" s="25">
        <v>1941</v>
      </c>
      <c r="R1180" s="25">
        <v>1972</v>
      </c>
      <c r="S1180" s="25">
        <v>549</v>
      </c>
      <c r="T1180" s="32">
        <v>396</v>
      </c>
      <c r="U1180" s="31"/>
      <c r="V1180" s="27">
        <f>Inventory[[#This Row],[Bsmt]]-Inventory[[#This Row],[FnBsmt]]</f>
        <v>0</v>
      </c>
      <c r="W1180" s="27"/>
      <c r="X1180" s="27"/>
      <c r="Y1180" s="27">
        <f>Inventory[[#This Row],[MainFn]]+Inventory[[#This Row],[UpprFn]]+Inventory[[#This Row],[FnBsmt]]+Inventory[[#This Row],[AddFn]]</f>
        <v>945</v>
      </c>
      <c r="Z1180" s="27">
        <v>1000</v>
      </c>
      <c r="AA1180" s="25">
        <v>5</v>
      </c>
      <c r="AB1180" s="27"/>
      <c r="AC1180" s="27"/>
      <c r="AD1180" s="27"/>
      <c r="AE1180" s="27"/>
      <c r="AF1180" s="27"/>
      <c r="AG1180" s="27"/>
      <c r="AH1180" s="27"/>
      <c r="AI1180" s="25">
        <v>145775</v>
      </c>
      <c r="AJ1180" s="25">
        <v>102043</v>
      </c>
      <c r="AK1180" s="25">
        <v>9318</v>
      </c>
      <c r="AL1180" s="25">
        <v>283600</v>
      </c>
      <c r="AM1180" s="25">
        <v>54700</v>
      </c>
      <c r="AN1180" s="25">
        <v>228900</v>
      </c>
      <c r="AO1180" s="25">
        <v>0</v>
      </c>
      <c r="AP1180" s="25">
        <f>Lookups!$B$56*0</f>
        <v>0</v>
      </c>
      <c r="AQ1180" s="25">
        <f>Lookups!$B$56*1</f>
        <v>89850.625589999996</v>
      </c>
      <c r="AR1180" s="25">
        <f>Lookups!$B$57*Inventory[[#This Row],[LnAcres]]</f>
        <v>-54281.285314520763</v>
      </c>
      <c r="AS1180" s="25">
        <f>VLOOKUP(Inventory[[#This Row],[Qlty]],Lookups!$A$62:$E$75,2,FALSE)</f>
        <v>21557.329055999999</v>
      </c>
      <c r="AT1180" s="25">
        <f>VLOOKUP(Inventory[[#This Row],[Cnd]],Lookups!$A$76:$E$84,2,FALSE)</f>
        <v>197752.34721000001</v>
      </c>
      <c r="AU1180" s="25">
        <f>Inventory[[#This Row],[EffAge]]*Lookups!$B$85</f>
        <v>-11598.371226000001</v>
      </c>
      <c r="AV1180" s="25">
        <f>Inventory[[#This Row],[MainFn]]*Lookups!$B$86</f>
        <v>27125.359762472999</v>
      </c>
      <c r="AW1180" s="25">
        <f>Inventory[[#This Row],[UpprFn]]*Lookups!$B$87</f>
        <v>17735.423452955998</v>
      </c>
      <c r="AX1180" s="25">
        <f>Inventory[[#This Row],[AddFn]]*Lookups!$B$88</f>
        <v>0</v>
      </c>
      <c r="AY1180" s="25">
        <f>Inventory[[#This Row],[Bsmt]]*Lookups!$B$89</f>
        <v>0</v>
      </c>
      <c r="AZ1180" s="25">
        <f>Inventory[[#This Row],[Fixtures]]*Lookups!$B$90</f>
        <v>18960.110526</v>
      </c>
      <c r="BA1180" s="25">
        <f>Inventory[[#This Row],[WdDeck]]*Lookups!$B$91</f>
        <v>0</v>
      </c>
      <c r="BB1180" s="25">
        <f>ROUND(Inventory[[#This Row],[25Det]],-2)</f>
        <v>9300</v>
      </c>
      <c r="BC1180" s="25">
        <f>ROUND(SUM(Inventory[[#This Row],[Mdl Qlty]:[Mdl WdDeck]])+Inventory[[#This Row],[Mdl Res Intercept]],-2)</f>
        <v>271500</v>
      </c>
      <c r="BD1180" s="25">
        <f>ROUND(Inventory[[#This Row],[Mdl Land Intercept]]+Inventory[[#This Row],[Mdl LnAcres]],-2)</f>
        <v>35600</v>
      </c>
      <c r="BE1180" s="25">
        <f>Inventory[[#This Row],[Unadj Res Value]]+Inventory[[#This Row],[Unadj Det Value]]+Inventory[[#This Row],[Unadj Land Value]]</f>
        <v>316400</v>
      </c>
      <c r="BF1180" s="36">
        <f>(Inventory[[#This Row],[Unadj Total Value]]-Inventory[[#This Row],[24Final]])/Inventory[[#This Row],[24Final]]</f>
        <v>0.1156558533145275</v>
      </c>
      <c r="BG1180" s="25">
        <f>VLOOKUP(Inventory[[#This Row],[Nbhd]],Lookups!$Q$2:$T$4,4,FALSE)</f>
        <v>0.99970000000000003</v>
      </c>
      <c r="BH1180" s="25">
        <f>VLOOKUP(Inventory[[#This Row],[Qlty]],Lookups!$O$7:$R$21,4,FALSE)</f>
        <v>1.0067999999999999</v>
      </c>
      <c r="BI1180" s="25">
        <f>VLOOKUP(Inventory[[#This Row],[Cnd]],Lookups!$T$7:$W$16,4,FALSE)</f>
        <v>0.99650000000000005</v>
      </c>
      <c r="BJ1180" s="25">
        <f>VLOOKUP(Inventory[[#This Row],[LivArea Range]],Lookups!$T$25:$W$37,4,FALSE)</f>
        <v>1.0148999999999999</v>
      </c>
      <c r="BK1180" s="25">
        <f>VLOOKUP(Inventory[[#This Row],[Decade]],Lookups!$O$25:$R$42,4,FALSE)</f>
        <v>0.98909999999999998</v>
      </c>
      <c r="BL1180" s="25">
        <f>Inventory[[#This Row],[Nbhd Adj]]*0.95</f>
        <v>0.94971499999999998</v>
      </c>
      <c r="BM1180" s="25">
        <f>Inventory[[#This Row],[Nbhd Adj]]*Inventory[[#This Row],[Quality Adj]]*Inventory[[#This Row],[Condition Adj]]*Inventory[[#This Row],[Living Area Adj]]*Inventory[[#This Row],[Decade Adj]]*0.95</f>
        <v>0.95648301356336674</v>
      </c>
      <c r="BN1180" s="25">
        <f>ROUND(SUM(Inventory[[#This Row],[Mdl Qlty]:[Mdl WdDeck]])+Inventory[[#This Row],[Mdl Res Intercept]]*Inventory[[#This Row],[Res Adj ]],-2)</f>
        <v>271500</v>
      </c>
      <c r="BO1180" s="25">
        <f>ROUND(Inventory[[#This Row],[25Det]]*Inventory[[#This Row],[Det/Nbhd Adj]],-2)</f>
        <v>8800</v>
      </c>
      <c r="BP1180" s="25">
        <f>Inventory[[#This Row],[Adjusted Res]]+Inventory[[#This Row],[Adj Det ]]</f>
        <v>280300</v>
      </c>
      <c r="BQ1180" s="25">
        <f>ROUND((Inventory[[#This Row],[Mdl Land Intercept]]+Inventory[[#This Row],[Mdl LnAcres]])*Inventory[[#This Row],[Det/Nbhd Adj]],-2)</f>
        <v>33800</v>
      </c>
      <c r="BR1180" s="25">
        <f>Inventory[[#This Row],[Adjusted Impr Total]]+Inventory[[#This Row],[Adjusted Land Total]]</f>
        <v>314100</v>
      </c>
      <c r="BS1180" s="36">
        <f>IFERROR((Inventory[[#This Row],[Adjusted Impr Total]]-Inventory[[#This Row],[24Bldg]])/Inventory[[#This Row],[24Bldg]],0)</f>
        <v>0.22455220620358235</v>
      </c>
      <c r="BT1180" s="36">
        <f>(Inventory[[#This Row],[Adjusted Land Total]]-Inventory[[#This Row],[24Lnd]])/Inventory[[#This Row],[24Lnd]]</f>
        <v>-0.38208409506398539</v>
      </c>
      <c r="BU1180" s="36">
        <f>(Inventory[[#This Row],[Adjusted Total]]-Inventory[[#This Row],[24Final]])/Inventory[[#This Row],[24Final]]</f>
        <v>0.10754583921015515</v>
      </c>
    </row>
    <row r="1181" spans="1:73" x14ac:dyDescent="0.3">
      <c r="A1181" s="25">
        <v>2025</v>
      </c>
      <c r="B1181" s="26" t="s">
        <v>1487</v>
      </c>
      <c r="C1181" s="26">
        <f>LN(Inventory[[#This Row],[Acres]])</f>
        <v>-1.8971199848858813</v>
      </c>
      <c r="D1181" s="25">
        <v>0.15</v>
      </c>
      <c r="E1181" s="25">
        <v>6484</v>
      </c>
      <c r="F1181" s="26" t="s">
        <v>537</v>
      </c>
      <c r="G1181" s="26" t="s">
        <v>126</v>
      </c>
      <c r="H1181" s="26" t="s">
        <v>349</v>
      </c>
      <c r="I1181" s="26" t="s">
        <v>538</v>
      </c>
      <c r="J1181" s="26" t="s">
        <v>539</v>
      </c>
      <c r="K1181" s="26" t="s">
        <v>242</v>
      </c>
      <c r="L1181" s="26" t="s">
        <v>351</v>
      </c>
      <c r="M1181" s="26" t="s">
        <v>303</v>
      </c>
      <c r="N1181" s="26">
        <v>90</v>
      </c>
      <c r="O1181" s="26">
        <f>2024-Inventory[[#This Row],[YrBlt]]</f>
        <v>83</v>
      </c>
      <c r="P1181" s="26">
        <f>2024-Inventory[[#This Row],[EffYr]]</f>
        <v>52</v>
      </c>
      <c r="Q1181" s="25">
        <v>1941</v>
      </c>
      <c r="R1181" s="25">
        <v>1972</v>
      </c>
      <c r="S1181" s="25">
        <v>918</v>
      </c>
      <c r="T1181" s="27"/>
      <c r="U1181" s="25">
        <v>943</v>
      </c>
      <c r="V1181" s="25">
        <f>Inventory[[#This Row],[Bsmt]]-Inventory[[#This Row],[FnBsmt]]</f>
        <v>343</v>
      </c>
      <c r="W1181" s="25">
        <v>600</v>
      </c>
      <c r="X1181" s="27"/>
      <c r="Y1181" s="27">
        <f>Inventory[[#This Row],[MainFn]]+Inventory[[#This Row],[UpprFn]]+Inventory[[#This Row],[FnBsmt]]+Inventory[[#This Row],[AddFn]]</f>
        <v>1518</v>
      </c>
      <c r="Z1181" s="27">
        <v>2000</v>
      </c>
      <c r="AA1181" s="25">
        <v>5</v>
      </c>
      <c r="AB1181" s="32">
        <v>200</v>
      </c>
      <c r="AC1181" s="27"/>
      <c r="AD1181" s="27"/>
      <c r="AE1181" s="27"/>
      <c r="AF1181" s="27"/>
      <c r="AG1181" s="27"/>
      <c r="AH1181" s="27"/>
      <c r="AI1181" s="25">
        <v>230921</v>
      </c>
      <c r="AJ1181" s="25">
        <v>161645</v>
      </c>
      <c r="AK1181" s="25">
        <v>0</v>
      </c>
      <c r="AL1181" s="25">
        <v>299100</v>
      </c>
      <c r="AM1181" s="25">
        <v>48400</v>
      </c>
      <c r="AN1181" s="25">
        <v>250700</v>
      </c>
      <c r="AO1181" s="25">
        <v>0</v>
      </c>
      <c r="AP1181" s="25">
        <f>Lookups!$B$56*0</f>
        <v>0</v>
      </c>
      <c r="AQ1181" s="25">
        <f>Lookups!$B$56*1</f>
        <v>89850.625589999996</v>
      </c>
      <c r="AR1181" s="25">
        <f>Lookups!$B$57*Inventory[[#This Row],[LnAcres]]</f>
        <v>-60052.604136134301</v>
      </c>
      <c r="AS1181" s="25">
        <f>VLOOKUP(Inventory[[#This Row],[Qlty]],Lookups!$A$62:$E$75,2,FALSE)</f>
        <v>21557.329055999999</v>
      </c>
      <c r="AT1181" s="25">
        <f>VLOOKUP(Inventory[[#This Row],[Cnd]],Lookups!$A$76:$E$84,2,FALSE)</f>
        <v>197752.34721000001</v>
      </c>
      <c r="AU1181" s="25">
        <f>Inventory[[#This Row],[EffAge]]*Lookups!$B$85</f>
        <v>-11598.371226000001</v>
      </c>
      <c r="AV1181" s="25">
        <f>Inventory[[#This Row],[MainFn]]*Lookups!$B$86</f>
        <v>45357.158947085998</v>
      </c>
      <c r="AW1181" s="25">
        <f>Inventory[[#This Row],[UpprFn]]*Lookups!$B$87</f>
        <v>0</v>
      </c>
      <c r="AX1181" s="25">
        <f>Inventory[[#This Row],[AddFn]]*Lookups!$B$88</f>
        <v>0</v>
      </c>
      <c r="AY1181" s="25">
        <f>Inventory[[#This Row],[Bsmt]]*Lookups!$B$89</f>
        <v>27424.227217920998</v>
      </c>
      <c r="AZ1181" s="25">
        <f>Inventory[[#This Row],[Fixtures]]*Lookups!$B$90</f>
        <v>18960.110526</v>
      </c>
      <c r="BA1181" s="25">
        <f>Inventory[[#This Row],[WdDeck]]*Lookups!$B$91</f>
        <v>0</v>
      </c>
      <c r="BB1181" s="25">
        <f>ROUND(Inventory[[#This Row],[25Det]],-2)</f>
        <v>0</v>
      </c>
      <c r="BC1181" s="25">
        <f>ROUND(SUM(Inventory[[#This Row],[Mdl Qlty]:[Mdl WdDeck]])+Inventory[[#This Row],[Mdl Res Intercept]],-2)</f>
        <v>299500</v>
      </c>
      <c r="BD1181" s="25">
        <f>ROUND(Inventory[[#This Row],[Mdl Land Intercept]]+Inventory[[#This Row],[Mdl LnAcres]],-2)</f>
        <v>29800</v>
      </c>
      <c r="BE1181" s="25">
        <f>Inventory[[#This Row],[Unadj Res Value]]+Inventory[[#This Row],[Unadj Det Value]]+Inventory[[#This Row],[Unadj Land Value]]</f>
        <v>329300</v>
      </c>
      <c r="BF1181" s="36">
        <f>(Inventory[[#This Row],[Unadj Total Value]]-Inventory[[#This Row],[24Final]])/Inventory[[#This Row],[24Final]]</f>
        <v>0.10096957539284521</v>
      </c>
      <c r="BG1181" s="25">
        <f>VLOOKUP(Inventory[[#This Row],[Nbhd]],Lookups!$Q$2:$T$4,4,FALSE)</f>
        <v>0.99970000000000003</v>
      </c>
      <c r="BH1181" s="25">
        <f>VLOOKUP(Inventory[[#This Row],[Qlty]],Lookups!$O$7:$R$21,4,FALSE)</f>
        <v>1.0067999999999999</v>
      </c>
      <c r="BI1181" s="25">
        <f>VLOOKUP(Inventory[[#This Row],[Cnd]],Lookups!$T$7:$W$16,4,FALSE)</f>
        <v>0.99650000000000005</v>
      </c>
      <c r="BJ1181" s="25">
        <f>VLOOKUP(Inventory[[#This Row],[LivArea Range]],Lookups!$T$25:$W$37,4,FALSE)</f>
        <v>1.0093000000000001</v>
      </c>
      <c r="BK1181" s="25">
        <f>VLOOKUP(Inventory[[#This Row],[Decade]],Lookups!$O$25:$R$42,4,FALSE)</f>
        <v>0.98909999999999998</v>
      </c>
      <c r="BL1181" s="25">
        <f>Inventory[[#This Row],[Nbhd Adj]]*0.95</f>
        <v>0.94971499999999998</v>
      </c>
      <c r="BM1181" s="25">
        <f>Inventory[[#This Row],[Nbhd Adj]]*Inventory[[#This Row],[Quality Adj]]*Inventory[[#This Row],[Condition Adj]]*Inventory[[#This Row],[Living Area Adj]]*Inventory[[#This Row],[Decade Adj]]*0.95</f>
        <v>0.95120534593507355</v>
      </c>
      <c r="BN1181" s="25">
        <f>ROUND(SUM(Inventory[[#This Row],[Mdl Qlty]:[Mdl WdDeck]])+Inventory[[#This Row],[Mdl Res Intercept]]*Inventory[[#This Row],[Res Adj ]],-2)</f>
        <v>299500</v>
      </c>
      <c r="BO1181" s="25">
        <f>ROUND(Inventory[[#This Row],[25Det]]*Inventory[[#This Row],[Det/Nbhd Adj]],-2)</f>
        <v>0</v>
      </c>
      <c r="BP1181" s="25">
        <f>Inventory[[#This Row],[Adjusted Res]]+Inventory[[#This Row],[Adj Det ]]</f>
        <v>299500</v>
      </c>
      <c r="BQ1181" s="25">
        <f>ROUND((Inventory[[#This Row],[Mdl Land Intercept]]+Inventory[[#This Row],[Mdl LnAcres]])*Inventory[[#This Row],[Det/Nbhd Adj]],-2)</f>
        <v>28300</v>
      </c>
      <c r="BR1181" s="25">
        <f>Inventory[[#This Row],[Adjusted Impr Total]]+Inventory[[#This Row],[Adjusted Land Total]]</f>
        <v>327800</v>
      </c>
      <c r="BS1181" s="36">
        <f>IFERROR((Inventory[[#This Row],[Adjusted Impr Total]]-Inventory[[#This Row],[24Bldg]])/Inventory[[#This Row],[24Bldg]],0)</f>
        <v>0.19465496609493418</v>
      </c>
      <c r="BT1181" s="36">
        <f>(Inventory[[#This Row],[Adjusted Land Total]]-Inventory[[#This Row],[24Lnd]])/Inventory[[#This Row],[24Lnd]]</f>
        <v>-0.41528925619834711</v>
      </c>
      <c r="BU1181" s="36">
        <f>(Inventory[[#This Row],[Adjusted Total]]-Inventory[[#This Row],[24Final]])/Inventory[[#This Row],[24Final]]</f>
        <v>9.5954530257438983E-2</v>
      </c>
    </row>
    <row r="1182" spans="1:73" x14ac:dyDescent="0.3">
      <c r="A1182" s="25">
        <v>2025</v>
      </c>
      <c r="B1182" s="26" t="s">
        <v>1403</v>
      </c>
      <c r="C1182" s="26">
        <f>LN(Inventory[[#This Row],[Acres]])</f>
        <v>-1.7719568419318752</v>
      </c>
      <c r="D1182" s="25">
        <v>0.17</v>
      </c>
      <c r="E1182" s="25">
        <v>7276</v>
      </c>
      <c r="F1182" s="26" t="s">
        <v>537</v>
      </c>
      <c r="G1182" s="26" t="s">
        <v>126</v>
      </c>
      <c r="H1182" s="26" t="s">
        <v>349</v>
      </c>
      <c r="I1182" s="26" t="s">
        <v>538</v>
      </c>
      <c r="J1182" s="26" t="s">
        <v>539</v>
      </c>
      <c r="K1182" s="26" t="s">
        <v>242</v>
      </c>
      <c r="L1182" s="26" t="s">
        <v>351</v>
      </c>
      <c r="M1182" s="26" t="s">
        <v>323</v>
      </c>
      <c r="N1182" s="26">
        <v>90</v>
      </c>
      <c r="O1182" s="26">
        <f>2024-Inventory[[#This Row],[YrBlt]]</f>
        <v>83</v>
      </c>
      <c r="P1182" s="26">
        <f>2024-Inventory[[#This Row],[EffYr]]</f>
        <v>52</v>
      </c>
      <c r="Q1182" s="25">
        <v>1941</v>
      </c>
      <c r="R1182" s="25">
        <v>1972</v>
      </c>
      <c r="S1182" s="25">
        <v>936</v>
      </c>
      <c r="T1182" s="27"/>
      <c r="U1182" s="25">
        <v>936</v>
      </c>
      <c r="V1182" s="32">
        <f>Inventory[[#This Row],[Bsmt]]-Inventory[[#This Row],[FnBsmt]]</f>
        <v>0</v>
      </c>
      <c r="W1182" s="32">
        <v>936</v>
      </c>
      <c r="X1182" s="27"/>
      <c r="Y1182" s="27">
        <f>Inventory[[#This Row],[MainFn]]+Inventory[[#This Row],[UpprFn]]+Inventory[[#This Row],[FnBsmt]]+Inventory[[#This Row],[AddFn]]</f>
        <v>1872</v>
      </c>
      <c r="Z1182" s="27">
        <v>2000</v>
      </c>
      <c r="AA1182" s="25">
        <v>5</v>
      </c>
      <c r="AB1182" s="27"/>
      <c r="AC1182" s="27"/>
      <c r="AD1182" s="31"/>
      <c r="AE1182" s="27"/>
      <c r="AF1182" s="27"/>
      <c r="AG1182" s="27"/>
      <c r="AH1182" s="27"/>
      <c r="AI1182" s="25">
        <v>236670</v>
      </c>
      <c r="AJ1182" s="25">
        <v>160936</v>
      </c>
      <c r="AK1182" s="25">
        <v>4603</v>
      </c>
      <c r="AL1182" s="25">
        <v>293300</v>
      </c>
      <c r="AM1182" s="25">
        <v>52700</v>
      </c>
      <c r="AN1182" s="25">
        <v>240600</v>
      </c>
      <c r="AO1182" s="25">
        <v>0</v>
      </c>
      <c r="AP1182" s="25">
        <f>Lookups!$B$56*0</f>
        <v>0</v>
      </c>
      <c r="AQ1182" s="25">
        <f>Lookups!$B$56*1</f>
        <v>89850.625589999996</v>
      </c>
      <c r="AR1182" s="25">
        <f>Lookups!$B$57*Inventory[[#This Row],[LnAcres]]</f>
        <v>-56090.612940989391</v>
      </c>
      <c r="AS1182" s="25">
        <f>VLOOKUP(Inventory[[#This Row],[Qlty]],Lookups!$A$62:$E$75,2,FALSE)</f>
        <v>21557.329055999999</v>
      </c>
      <c r="AT1182" s="25">
        <f>VLOOKUP(Inventory[[#This Row],[Cnd]],Lookups!$A$76:$E$84,2,FALSE)</f>
        <v>160472.20319</v>
      </c>
      <c r="AU1182" s="25">
        <f>Inventory[[#This Row],[EffAge]]*Lookups!$B$85</f>
        <v>-11598.371226000001</v>
      </c>
      <c r="AV1182" s="25">
        <f>Inventory[[#This Row],[MainFn]]*Lookups!$B$86</f>
        <v>46246.515004872002</v>
      </c>
      <c r="AW1182" s="25">
        <f>Inventory[[#This Row],[UpprFn]]*Lookups!$B$87</f>
        <v>0</v>
      </c>
      <c r="AX1182" s="25">
        <f>Inventory[[#This Row],[AddFn]]*Lookups!$B$88</f>
        <v>0</v>
      </c>
      <c r="AY1182" s="25">
        <f>Inventory[[#This Row],[Bsmt]]*Lookups!$B$89</f>
        <v>27220.653951191998</v>
      </c>
      <c r="AZ1182" s="25">
        <f>Inventory[[#This Row],[Fixtures]]*Lookups!$B$90</f>
        <v>18960.110526</v>
      </c>
      <c r="BA1182" s="25">
        <f>Inventory[[#This Row],[WdDeck]]*Lookups!$B$91</f>
        <v>0</v>
      </c>
      <c r="BB1182" s="25">
        <f>ROUND(Inventory[[#This Row],[25Det]],-2)</f>
        <v>4600</v>
      </c>
      <c r="BC1182" s="25">
        <f>ROUND(SUM(Inventory[[#This Row],[Mdl Qlty]:[Mdl WdDeck]])+Inventory[[#This Row],[Mdl Res Intercept]],-2)</f>
        <v>262900</v>
      </c>
      <c r="BD1182" s="25">
        <f>ROUND(Inventory[[#This Row],[Mdl Land Intercept]]+Inventory[[#This Row],[Mdl LnAcres]],-2)</f>
        <v>33800</v>
      </c>
      <c r="BE1182" s="25">
        <f>Inventory[[#This Row],[Unadj Res Value]]+Inventory[[#This Row],[Unadj Det Value]]+Inventory[[#This Row],[Unadj Land Value]]</f>
        <v>301300</v>
      </c>
      <c r="BF1182" s="36">
        <f>(Inventory[[#This Row],[Unadj Total Value]]-Inventory[[#This Row],[24Final]])/Inventory[[#This Row],[24Final]]</f>
        <v>2.7275826798499828E-2</v>
      </c>
      <c r="BG1182" s="25">
        <f>VLOOKUP(Inventory[[#This Row],[Nbhd]],Lookups!$Q$2:$T$4,4,FALSE)</f>
        <v>0.99970000000000003</v>
      </c>
      <c r="BH1182" s="25">
        <f>VLOOKUP(Inventory[[#This Row],[Qlty]],Lookups!$O$7:$R$21,4,FALSE)</f>
        <v>1.0067999999999999</v>
      </c>
      <c r="BI1182" s="25">
        <f>VLOOKUP(Inventory[[#This Row],[Cnd]],Lookups!$T$7:$W$16,4,FALSE)</f>
        <v>0.99729999999999996</v>
      </c>
      <c r="BJ1182" s="25">
        <f>VLOOKUP(Inventory[[#This Row],[LivArea Range]],Lookups!$T$25:$W$37,4,FALSE)</f>
        <v>1.0093000000000001</v>
      </c>
      <c r="BK1182" s="25">
        <f>VLOOKUP(Inventory[[#This Row],[Decade]],Lookups!$O$25:$R$42,4,FALSE)</f>
        <v>0.98909999999999998</v>
      </c>
      <c r="BL1182" s="25">
        <f>Inventory[[#This Row],[Nbhd Adj]]*0.95</f>
        <v>0.94971499999999998</v>
      </c>
      <c r="BM1182" s="25">
        <f>Inventory[[#This Row],[Nbhd Adj]]*Inventory[[#This Row],[Quality Adj]]*Inventory[[#This Row],[Condition Adj]]*Inventory[[#This Row],[Living Area Adj]]*Inventory[[#This Row],[Decade Adj]]*0.95</f>
        <v>0.95196898294134369</v>
      </c>
      <c r="BN1182" s="25">
        <f>ROUND(SUM(Inventory[[#This Row],[Mdl Qlty]:[Mdl WdDeck]])+Inventory[[#This Row],[Mdl Res Intercept]]*Inventory[[#This Row],[Res Adj ]],-2)</f>
        <v>262900</v>
      </c>
      <c r="BO1182" s="25">
        <f>ROUND(Inventory[[#This Row],[25Det]]*Inventory[[#This Row],[Det/Nbhd Adj]],-2)</f>
        <v>4400</v>
      </c>
      <c r="BP1182" s="25">
        <f>Inventory[[#This Row],[Adjusted Res]]+Inventory[[#This Row],[Adj Det ]]</f>
        <v>267300</v>
      </c>
      <c r="BQ1182" s="25">
        <f>ROUND((Inventory[[#This Row],[Mdl Land Intercept]]+Inventory[[#This Row],[Mdl LnAcres]])*Inventory[[#This Row],[Det/Nbhd Adj]],-2)</f>
        <v>32100</v>
      </c>
      <c r="BR1182" s="25">
        <f>Inventory[[#This Row],[Adjusted Impr Total]]+Inventory[[#This Row],[Adjusted Land Total]]</f>
        <v>299400</v>
      </c>
      <c r="BS1182" s="36">
        <f>IFERROR((Inventory[[#This Row],[Adjusted Impr Total]]-Inventory[[#This Row],[24Bldg]])/Inventory[[#This Row],[24Bldg]],0)</f>
        <v>0.11097256857855362</v>
      </c>
      <c r="BT1182" s="36">
        <f>(Inventory[[#This Row],[Adjusted Land Total]]-Inventory[[#This Row],[24Lnd]])/Inventory[[#This Row],[24Lnd]]</f>
        <v>-0.39089184060721061</v>
      </c>
      <c r="BU1182" s="36">
        <f>(Inventory[[#This Row],[Adjusted Total]]-Inventory[[#This Row],[24Final]])/Inventory[[#This Row],[24Final]]</f>
        <v>2.0797817933856121E-2</v>
      </c>
    </row>
    <row r="1183" spans="1:73" x14ac:dyDescent="0.3">
      <c r="A1183" s="25">
        <v>2025</v>
      </c>
      <c r="B1183" s="26" t="s">
        <v>2920</v>
      </c>
      <c r="C1183" s="26">
        <f>LN(Inventory[[#This Row],[Acres]])</f>
        <v>-1.3470736479666092</v>
      </c>
      <c r="D1183" s="25">
        <v>0.26</v>
      </c>
      <c r="E1183" s="25">
        <v>11354</v>
      </c>
      <c r="F1183" s="26" t="s">
        <v>537</v>
      </c>
      <c r="G1183" s="26" t="s">
        <v>126</v>
      </c>
      <c r="H1183" s="26" t="s">
        <v>349</v>
      </c>
      <c r="I1183" s="26" t="s">
        <v>538</v>
      </c>
      <c r="J1183" s="26" t="s">
        <v>539</v>
      </c>
      <c r="K1183" s="26" t="s">
        <v>269</v>
      </c>
      <c r="L1183" s="26" t="s">
        <v>95</v>
      </c>
      <c r="M1183" s="26" t="s">
        <v>303</v>
      </c>
      <c r="N1183" s="26">
        <v>90</v>
      </c>
      <c r="O1183" s="26">
        <f>2024-Inventory[[#This Row],[YrBlt]]</f>
        <v>83</v>
      </c>
      <c r="P1183" s="26">
        <f>2024-Inventory[[#This Row],[EffYr]]</f>
        <v>52</v>
      </c>
      <c r="Q1183" s="25">
        <v>1941</v>
      </c>
      <c r="R1183" s="25">
        <v>1972</v>
      </c>
      <c r="S1183" s="25">
        <v>1817</v>
      </c>
      <c r="T1183" s="27"/>
      <c r="U1183" s="25">
        <v>1817</v>
      </c>
      <c r="V1183" s="25">
        <f>Inventory[[#This Row],[Bsmt]]-Inventory[[#This Row],[FnBsmt]]</f>
        <v>0</v>
      </c>
      <c r="W1183" s="25">
        <v>1817</v>
      </c>
      <c r="X1183" s="27"/>
      <c r="Y1183" s="27">
        <f>Inventory[[#This Row],[MainFn]]+Inventory[[#This Row],[UpprFn]]+Inventory[[#This Row],[FnBsmt]]+Inventory[[#This Row],[AddFn]]</f>
        <v>3634</v>
      </c>
      <c r="Z1183" s="27">
        <v>4000</v>
      </c>
      <c r="AA1183" s="25">
        <v>10</v>
      </c>
      <c r="AB1183" s="27"/>
      <c r="AC1183" s="27"/>
      <c r="AD1183" s="31"/>
      <c r="AE1183" s="27"/>
      <c r="AF1183" s="27"/>
      <c r="AG1183" s="27"/>
      <c r="AH1183" s="27"/>
      <c r="AI1183" s="25">
        <v>669497</v>
      </c>
      <c r="AJ1183" s="25">
        <v>475343</v>
      </c>
      <c r="AK1183" s="25">
        <v>19877</v>
      </c>
      <c r="AL1183" s="25">
        <v>512500</v>
      </c>
      <c r="AM1183" s="25">
        <v>67600</v>
      </c>
      <c r="AN1183" s="25">
        <v>444900</v>
      </c>
      <c r="AO1183" s="25">
        <v>0</v>
      </c>
      <c r="AP1183" s="25">
        <f>Lookups!$B$56*0</f>
        <v>0</v>
      </c>
      <c r="AQ1183" s="25">
        <f>Lookups!$B$56*1</f>
        <v>89850.625589999996</v>
      </c>
      <c r="AR1183" s="25">
        <f>Lookups!$B$57*Inventory[[#This Row],[LnAcres]]</f>
        <v>-42641.098701210125</v>
      </c>
      <c r="AS1183" s="25">
        <f>VLOOKUP(Inventory[[#This Row],[Qlty]],Lookups!$A$62:$E$75,2,FALSE)</f>
        <v>74268.409664999999</v>
      </c>
      <c r="AT1183" s="25">
        <f>VLOOKUP(Inventory[[#This Row],[Cnd]],Lookups!$A$76:$E$84,2,FALSE)</f>
        <v>197752.34721000001</v>
      </c>
      <c r="AU1183" s="25">
        <f>Inventory[[#This Row],[EffAge]]*Lookups!$B$85</f>
        <v>-11598.371226000001</v>
      </c>
      <c r="AV1183" s="25">
        <f>Inventory[[#This Row],[MainFn]]*Lookups!$B$86</f>
        <v>89775.553166509009</v>
      </c>
      <c r="AW1183" s="25">
        <f>Inventory[[#This Row],[UpprFn]]*Lookups!$B$87</f>
        <v>0</v>
      </c>
      <c r="AX1183" s="25">
        <f>Inventory[[#This Row],[AddFn]]*Lookups!$B$88</f>
        <v>0</v>
      </c>
      <c r="AY1183" s="25">
        <f>Inventory[[#This Row],[Bsmt]]*Lookups!$B$89</f>
        <v>52841.803663799001</v>
      </c>
      <c r="AZ1183" s="25">
        <f>Inventory[[#This Row],[Fixtures]]*Lookups!$B$90</f>
        <v>37920.221052000001</v>
      </c>
      <c r="BA1183" s="25">
        <f>Inventory[[#This Row],[WdDeck]]*Lookups!$B$91</f>
        <v>0</v>
      </c>
      <c r="BB1183" s="25">
        <f>ROUND(Inventory[[#This Row],[25Det]],-2)</f>
        <v>19900</v>
      </c>
      <c r="BC1183" s="25">
        <f>ROUND(SUM(Inventory[[#This Row],[Mdl Qlty]:[Mdl WdDeck]])+Inventory[[#This Row],[Mdl Res Intercept]],-2)</f>
        <v>441000</v>
      </c>
      <c r="BD1183" s="25">
        <f>ROUND(Inventory[[#This Row],[Mdl Land Intercept]]+Inventory[[#This Row],[Mdl LnAcres]],-2)</f>
        <v>47200</v>
      </c>
      <c r="BE1183" s="25">
        <f>Inventory[[#This Row],[Unadj Res Value]]+Inventory[[#This Row],[Unadj Det Value]]+Inventory[[#This Row],[Unadj Land Value]]</f>
        <v>508100</v>
      </c>
      <c r="BF1183" s="36">
        <f>(Inventory[[#This Row],[Unadj Total Value]]-Inventory[[#This Row],[24Final]])/Inventory[[#This Row],[24Final]]</f>
        <v>-8.5853658536585373E-3</v>
      </c>
      <c r="BG1183" s="25">
        <f>VLOOKUP(Inventory[[#This Row],[Nbhd]],Lookups!$Q$2:$T$4,4,FALSE)</f>
        <v>0.99970000000000003</v>
      </c>
      <c r="BH1183" s="25">
        <f>VLOOKUP(Inventory[[#This Row],[Qlty]],Lookups!$O$7:$R$21,4,FALSE)</f>
        <v>0.98380000000000001</v>
      </c>
      <c r="BI1183" s="25">
        <f>VLOOKUP(Inventory[[#This Row],[Cnd]],Lookups!$T$7:$W$16,4,FALSE)</f>
        <v>0.99650000000000005</v>
      </c>
      <c r="BJ1183" s="25">
        <f>VLOOKUP(Inventory[[#This Row],[LivArea Range]],Lookups!$T$25:$W$37,4,FALSE)</f>
        <v>0.94579999999999997</v>
      </c>
      <c r="BK1183" s="25">
        <f>VLOOKUP(Inventory[[#This Row],[Decade]],Lookups!$O$25:$R$42,4,FALSE)</f>
        <v>0.98909999999999998</v>
      </c>
      <c r="BL1183" s="25">
        <f>Inventory[[#This Row],[Nbhd Adj]]*0.95</f>
        <v>0.94971499999999998</v>
      </c>
      <c r="BM1183" s="25">
        <f>Inventory[[#This Row],[Nbhd Adj]]*Inventory[[#This Row],[Quality Adj]]*Inventory[[#This Row],[Condition Adj]]*Inventory[[#This Row],[Living Area Adj]]*Inventory[[#This Row],[Decade Adj]]*0.95</f>
        <v>0.87099754358678572</v>
      </c>
      <c r="BN1183" s="25">
        <f>ROUND(SUM(Inventory[[#This Row],[Mdl Qlty]:[Mdl WdDeck]])+Inventory[[#This Row],[Mdl Res Intercept]]*Inventory[[#This Row],[Res Adj ]],-2)</f>
        <v>441000</v>
      </c>
      <c r="BO1183" s="25">
        <f>ROUND(Inventory[[#This Row],[25Det]]*Inventory[[#This Row],[Det/Nbhd Adj]],-2)</f>
        <v>18900</v>
      </c>
      <c r="BP1183" s="25">
        <f>Inventory[[#This Row],[Adjusted Res]]+Inventory[[#This Row],[Adj Det ]]</f>
        <v>459900</v>
      </c>
      <c r="BQ1183" s="25">
        <f>ROUND((Inventory[[#This Row],[Mdl Land Intercept]]+Inventory[[#This Row],[Mdl LnAcres]])*Inventory[[#This Row],[Det/Nbhd Adj]],-2)</f>
        <v>44800</v>
      </c>
      <c r="BR1183" s="25">
        <f>Inventory[[#This Row],[Adjusted Impr Total]]+Inventory[[#This Row],[Adjusted Land Total]]</f>
        <v>504700</v>
      </c>
      <c r="BS1183" s="36">
        <f>IFERROR((Inventory[[#This Row],[Adjusted Impr Total]]-Inventory[[#This Row],[24Bldg]])/Inventory[[#This Row],[24Bldg]],0)</f>
        <v>3.3715441672285906E-2</v>
      </c>
      <c r="BT1183" s="36">
        <f>(Inventory[[#This Row],[Adjusted Land Total]]-Inventory[[#This Row],[24Lnd]])/Inventory[[#This Row],[24Lnd]]</f>
        <v>-0.33727810650887574</v>
      </c>
      <c r="BU1183" s="36">
        <f>(Inventory[[#This Row],[Adjusted Total]]-Inventory[[#This Row],[24Final]])/Inventory[[#This Row],[24Final]]</f>
        <v>-1.5219512195121951E-2</v>
      </c>
    </row>
    <row r="1184" spans="1:73" x14ac:dyDescent="0.3">
      <c r="A1184" s="25">
        <v>2025</v>
      </c>
      <c r="B1184" s="26" t="s">
        <v>1835</v>
      </c>
      <c r="C1184" s="26">
        <f>LN(Inventory[[#This Row],[Acres]])</f>
        <v>-1.5141277326297755</v>
      </c>
      <c r="D1184" s="25">
        <v>0.22</v>
      </c>
      <c r="E1184" s="25">
        <v>9496</v>
      </c>
      <c r="F1184" s="26" t="s">
        <v>537</v>
      </c>
      <c r="G1184" s="26" t="s">
        <v>126</v>
      </c>
      <c r="H1184" s="26" t="s">
        <v>349</v>
      </c>
      <c r="I1184" s="26" t="s">
        <v>538</v>
      </c>
      <c r="J1184" s="26" t="s">
        <v>539</v>
      </c>
      <c r="K1184" s="26" t="s">
        <v>242</v>
      </c>
      <c r="L1184" s="26" t="s">
        <v>31</v>
      </c>
      <c r="M1184" s="26" t="s">
        <v>303</v>
      </c>
      <c r="N1184" s="26">
        <v>90</v>
      </c>
      <c r="O1184" s="26">
        <f>2024-Inventory[[#This Row],[YrBlt]]</f>
        <v>84</v>
      </c>
      <c r="P1184" s="26">
        <f>2024-Inventory[[#This Row],[EffYr]]</f>
        <v>52</v>
      </c>
      <c r="Q1184" s="25">
        <v>1940</v>
      </c>
      <c r="R1184" s="25">
        <v>1972</v>
      </c>
      <c r="S1184" s="25">
        <v>1300</v>
      </c>
      <c r="T1184" s="27"/>
      <c r="U1184" s="25">
        <v>144</v>
      </c>
      <c r="V1184" s="25">
        <f>Inventory[[#This Row],[Bsmt]]-Inventory[[#This Row],[FnBsmt]]</f>
        <v>144</v>
      </c>
      <c r="W1184" s="31"/>
      <c r="X1184" s="27"/>
      <c r="Y1184" s="27">
        <f>Inventory[[#This Row],[MainFn]]+Inventory[[#This Row],[UpprFn]]+Inventory[[#This Row],[FnBsmt]]+Inventory[[#This Row],[AddFn]]</f>
        <v>1300</v>
      </c>
      <c r="Z1184" s="27">
        <v>1500</v>
      </c>
      <c r="AA1184" s="25">
        <v>5</v>
      </c>
      <c r="AB1184" s="27"/>
      <c r="AC1184" s="27"/>
      <c r="AD1184" s="31"/>
      <c r="AE1184" s="27"/>
      <c r="AF1184" s="27"/>
      <c r="AG1184" s="27"/>
      <c r="AH1184" s="32">
        <v>63</v>
      </c>
      <c r="AI1184" s="25">
        <v>132705</v>
      </c>
      <c r="AJ1184" s="25">
        <v>86258</v>
      </c>
      <c r="AK1184" s="25">
        <v>0</v>
      </c>
      <c r="AL1184" s="25">
        <v>151400</v>
      </c>
      <c r="AM1184" s="25">
        <v>61700</v>
      </c>
      <c r="AN1184" s="25">
        <v>89700</v>
      </c>
      <c r="AO1184" s="25">
        <v>0</v>
      </c>
      <c r="AP1184" s="25">
        <f>Lookups!$B$56*0</f>
        <v>0</v>
      </c>
      <c r="AQ1184" s="25">
        <f>Lookups!$B$56*1</f>
        <v>89850.625589999996</v>
      </c>
      <c r="AR1184" s="25">
        <f>Lookups!$B$57*Inventory[[#This Row],[LnAcres]]</f>
        <v>-47929.131559187132</v>
      </c>
      <c r="AS1184" s="25">
        <f>VLOOKUP(Inventory[[#This Row],[Qlty]],Lookups!$A$62:$E$75,2,FALSE)</f>
        <v>-43578.886190266698</v>
      </c>
      <c r="AT1184" s="25">
        <f>VLOOKUP(Inventory[[#This Row],[Cnd]],Lookups!$A$76:$E$84,2,FALSE)</f>
        <v>197752.34721000001</v>
      </c>
      <c r="AU1184" s="25">
        <f>Inventory[[#This Row],[EffAge]]*Lookups!$B$85</f>
        <v>-11598.371226000001</v>
      </c>
      <c r="AV1184" s="25">
        <f>Inventory[[#This Row],[MainFn]]*Lookups!$B$86</f>
        <v>64231.270840099998</v>
      </c>
      <c r="AW1184" s="25">
        <f>Inventory[[#This Row],[UpprFn]]*Lookups!$B$87</f>
        <v>0</v>
      </c>
      <c r="AX1184" s="25">
        <f>Inventory[[#This Row],[AddFn]]*Lookups!$B$88</f>
        <v>0</v>
      </c>
      <c r="AY1184" s="25">
        <f>Inventory[[#This Row],[Bsmt]]*Lookups!$B$89</f>
        <v>4187.7929155679994</v>
      </c>
      <c r="AZ1184" s="25">
        <f>Inventory[[#This Row],[Fixtures]]*Lookups!$B$90</f>
        <v>18960.110526</v>
      </c>
      <c r="BA1184" s="25">
        <f>Inventory[[#This Row],[WdDeck]]*Lookups!$B$91</f>
        <v>0</v>
      </c>
      <c r="BB1184" s="25">
        <f>ROUND(Inventory[[#This Row],[25Det]],-2)</f>
        <v>0</v>
      </c>
      <c r="BC1184" s="25">
        <f>ROUND(SUM(Inventory[[#This Row],[Mdl Qlty]:[Mdl WdDeck]])+Inventory[[#This Row],[Mdl Res Intercept]],-2)</f>
        <v>230000</v>
      </c>
      <c r="BD1184" s="25">
        <f>ROUND(Inventory[[#This Row],[Mdl Land Intercept]]+Inventory[[#This Row],[Mdl LnAcres]],-2)</f>
        <v>41900</v>
      </c>
      <c r="BE1184" s="25">
        <f>Inventory[[#This Row],[Unadj Res Value]]+Inventory[[#This Row],[Unadj Det Value]]+Inventory[[#This Row],[Unadj Land Value]]</f>
        <v>271900</v>
      </c>
      <c r="BF1184" s="36">
        <f>(Inventory[[#This Row],[Unadj Total Value]]-Inventory[[#This Row],[24Final]])/Inventory[[#This Row],[24Final]]</f>
        <v>0.79590488771466317</v>
      </c>
      <c r="BG1184" s="25">
        <f>VLOOKUP(Inventory[[#This Row],[Nbhd]],Lookups!$Q$2:$T$4,4,FALSE)</f>
        <v>0.99970000000000003</v>
      </c>
      <c r="BH1184" s="25">
        <f>VLOOKUP(Inventory[[#This Row],[Qlty]],Lookups!$O$7:$R$21,4,FALSE)</f>
        <v>1</v>
      </c>
      <c r="BI1184" s="25">
        <f>VLOOKUP(Inventory[[#This Row],[Cnd]],Lookups!$T$7:$W$16,4,FALSE)</f>
        <v>0.99650000000000005</v>
      </c>
      <c r="BJ1184" s="25">
        <f>VLOOKUP(Inventory[[#This Row],[LivArea Range]],Lookups!$T$25:$W$37,4,FALSE)</f>
        <v>1.0157</v>
      </c>
      <c r="BK1184" s="25">
        <f>VLOOKUP(Inventory[[#This Row],[Decade]],Lookups!$O$25:$R$42,4,FALSE)</f>
        <v>0.98909999999999998</v>
      </c>
      <c r="BL1184" s="25">
        <f>Inventory[[#This Row],[Nbhd Adj]]*0.95</f>
        <v>0.94971499999999998</v>
      </c>
      <c r="BM1184" s="25">
        <f>Inventory[[#This Row],[Nbhd Adj]]*Inventory[[#This Row],[Quality Adj]]*Inventory[[#This Row],[Condition Adj]]*Inventory[[#This Row],[Living Area Adj]]*Inventory[[#This Row],[Decade Adj]]*0.95</f>
        <v>0.95077171839659791</v>
      </c>
      <c r="BN1184" s="25">
        <f>ROUND(SUM(Inventory[[#This Row],[Mdl Qlty]:[Mdl WdDeck]])+Inventory[[#This Row],[Mdl Res Intercept]]*Inventory[[#This Row],[Res Adj ]],-2)</f>
        <v>230000</v>
      </c>
      <c r="BO1184" s="25">
        <f>ROUND(Inventory[[#This Row],[25Det]]*Inventory[[#This Row],[Det/Nbhd Adj]],-2)</f>
        <v>0</v>
      </c>
      <c r="BP1184" s="25">
        <f>Inventory[[#This Row],[Adjusted Res]]+Inventory[[#This Row],[Adj Det ]]</f>
        <v>230000</v>
      </c>
      <c r="BQ1184" s="25">
        <f>ROUND((Inventory[[#This Row],[Mdl Land Intercept]]+Inventory[[#This Row],[Mdl LnAcres]])*Inventory[[#This Row],[Det/Nbhd Adj]],-2)</f>
        <v>39800</v>
      </c>
      <c r="BR1184" s="25">
        <f>Inventory[[#This Row],[Adjusted Impr Total]]+Inventory[[#This Row],[Adjusted Land Total]]</f>
        <v>269800</v>
      </c>
      <c r="BS1184" s="36">
        <f>IFERROR((Inventory[[#This Row],[Adjusted Impr Total]]-Inventory[[#This Row],[24Bldg]])/Inventory[[#This Row],[24Bldg]],0)</f>
        <v>1.5641025641025641</v>
      </c>
      <c r="BT1184" s="36">
        <f>(Inventory[[#This Row],[Adjusted Land Total]]-Inventory[[#This Row],[24Lnd]])/Inventory[[#This Row],[24Lnd]]</f>
        <v>-0.35494327390599678</v>
      </c>
      <c r="BU1184" s="36">
        <f>(Inventory[[#This Row],[Adjusted Total]]-Inventory[[#This Row],[24Final]])/Inventory[[#This Row],[24Final]]</f>
        <v>0.78203434610303835</v>
      </c>
    </row>
    <row r="1185" spans="1:73" x14ac:dyDescent="0.3">
      <c r="A1185" s="25">
        <v>2025</v>
      </c>
      <c r="B1185" s="26" t="s">
        <v>1237</v>
      </c>
      <c r="C1185" s="26">
        <f>LN(Inventory[[#This Row],[Acres]])</f>
        <v>-1.7147984280919266</v>
      </c>
      <c r="D1185" s="25">
        <v>0.18</v>
      </c>
      <c r="E1185" s="25">
        <v>7800</v>
      </c>
      <c r="F1185" s="26" t="s">
        <v>537</v>
      </c>
      <c r="G1185" s="26" t="s">
        <v>126</v>
      </c>
      <c r="H1185" s="26" t="s">
        <v>349</v>
      </c>
      <c r="I1185" s="26" t="s">
        <v>538</v>
      </c>
      <c r="J1185" s="26" t="s">
        <v>539</v>
      </c>
      <c r="K1185" s="26" t="s">
        <v>173</v>
      </c>
      <c r="L1185" s="26" t="s">
        <v>148</v>
      </c>
      <c r="M1185" s="26" t="s">
        <v>96</v>
      </c>
      <c r="N1185" s="26">
        <v>90</v>
      </c>
      <c r="O1185" s="26">
        <f>2024-Inventory[[#This Row],[YrBlt]]</f>
        <v>84</v>
      </c>
      <c r="P1185" s="26">
        <f>2024-Inventory[[#This Row],[EffYr]]</f>
        <v>52</v>
      </c>
      <c r="Q1185" s="25">
        <v>1940</v>
      </c>
      <c r="R1185" s="25">
        <v>1972</v>
      </c>
      <c r="S1185" s="25">
        <v>1544</v>
      </c>
      <c r="T1185" s="32">
        <v>304</v>
      </c>
      <c r="U1185" s="25">
        <v>512</v>
      </c>
      <c r="V1185" s="25">
        <f>Inventory[[#This Row],[Bsmt]]-Inventory[[#This Row],[FnBsmt]]</f>
        <v>0</v>
      </c>
      <c r="W1185" s="25">
        <v>512</v>
      </c>
      <c r="X1185" s="27"/>
      <c r="Y1185" s="27">
        <f>Inventory[[#This Row],[MainFn]]+Inventory[[#This Row],[UpprFn]]+Inventory[[#This Row],[FnBsmt]]+Inventory[[#This Row],[AddFn]]</f>
        <v>2360</v>
      </c>
      <c r="Z1185" s="27">
        <v>2500</v>
      </c>
      <c r="AA1185" s="25">
        <v>12</v>
      </c>
      <c r="AB1185" s="27"/>
      <c r="AC1185" s="31"/>
      <c r="AD1185" s="27"/>
      <c r="AE1185" s="27"/>
      <c r="AF1185" s="27"/>
      <c r="AG1185" s="27"/>
      <c r="AH1185" s="27"/>
      <c r="AI1185" s="25">
        <v>452346</v>
      </c>
      <c r="AJ1185" s="25">
        <v>330213</v>
      </c>
      <c r="AK1185" s="25">
        <v>11220</v>
      </c>
      <c r="AL1185" s="25">
        <v>442300</v>
      </c>
      <c r="AM1185" s="25">
        <v>54700</v>
      </c>
      <c r="AN1185" s="25">
        <v>387600</v>
      </c>
      <c r="AO1185" s="25">
        <v>0</v>
      </c>
      <c r="AP1185" s="25">
        <f>Lookups!$B$56*0</f>
        <v>0</v>
      </c>
      <c r="AQ1185" s="25">
        <f>Lookups!$B$56*1</f>
        <v>89850.625589999996</v>
      </c>
      <c r="AR1185" s="25">
        <f>Lookups!$B$57*Inventory[[#This Row],[LnAcres]]</f>
        <v>-54281.285314520763</v>
      </c>
      <c r="AS1185" s="25">
        <f>VLOOKUP(Inventory[[#This Row],[Qlty]],Lookups!$A$62:$E$75,2,FALSE)</f>
        <v>44121.038090000002</v>
      </c>
      <c r="AT1185" s="25">
        <f>VLOOKUP(Inventory[[#This Row],[Cnd]],Lookups!$A$76:$E$84,2,FALSE)</f>
        <v>354070.39217000001</v>
      </c>
      <c r="AU1185" s="25">
        <f>Inventory[[#This Row],[EffAge]]*Lookups!$B$85</f>
        <v>-11598.371226000001</v>
      </c>
      <c r="AV1185" s="25">
        <f>Inventory[[#This Row],[MainFn]]*Lookups!$B$86</f>
        <v>76286.986290087996</v>
      </c>
      <c r="AW1185" s="25">
        <f>Inventory[[#This Row],[UpprFn]]*Lookups!$B$87</f>
        <v>13615.072549744</v>
      </c>
      <c r="AX1185" s="25">
        <f>Inventory[[#This Row],[AddFn]]*Lookups!$B$88</f>
        <v>0</v>
      </c>
      <c r="AY1185" s="25">
        <f>Inventory[[#This Row],[Bsmt]]*Lookups!$B$89</f>
        <v>14889.930366463999</v>
      </c>
      <c r="AZ1185" s="25">
        <f>Inventory[[#This Row],[Fixtures]]*Lookups!$B$90</f>
        <v>45504.265262400004</v>
      </c>
      <c r="BA1185" s="25">
        <f>Inventory[[#This Row],[WdDeck]]*Lookups!$B$91</f>
        <v>0</v>
      </c>
      <c r="BB1185" s="25">
        <f>ROUND(Inventory[[#This Row],[25Det]],-2)</f>
        <v>11200</v>
      </c>
      <c r="BC1185" s="25">
        <f>ROUND(SUM(Inventory[[#This Row],[Mdl Qlty]:[Mdl WdDeck]])+Inventory[[#This Row],[Mdl Res Intercept]],-2)</f>
        <v>536900</v>
      </c>
      <c r="BD1185" s="25">
        <f>ROUND(Inventory[[#This Row],[Mdl Land Intercept]]+Inventory[[#This Row],[Mdl LnAcres]],-2)</f>
        <v>35600</v>
      </c>
      <c r="BE1185" s="25">
        <f>Inventory[[#This Row],[Unadj Res Value]]+Inventory[[#This Row],[Unadj Det Value]]+Inventory[[#This Row],[Unadj Land Value]]</f>
        <v>583700</v>
      </c>
      <c r="BF1185" s="36">
        <f>(Inventory[[#This Row],[Unadj Total Value]]-Inventory[[#This Row],[24Final]])/Inventory[[#This Row],[24Final]]</f>
        <v>0.31969251639158941</v>
      </c>
      <c r="BG1185" s="25">
        <f>VLOOKUP(Inventory[[#This Row],[Nbhd]],Lookups!$Q$2:$T$4,4,FALSE)</f>
        <v>0.99970000000000003</v>
      </c>
      <c r="BH1185" s="25">
        <f>VLOOKUP(Inventory[[#This Row],[Qlty]],Lookups!$O$7:$R$21,4,FALSE)</f>
        <v>0.98050000000000004</v>
      </c>
      <c r="BI1185" s="25">
        <f>VLOOKUP(Inventory[[#This Row],[Cnd]],Lookups!$T$7:$W$16,4,FALSE)</f>
        <v>1.1303000000000001</v>
      </c>
      <c r="BJ1185" s="25">
        <f>VLOOKUP(Inventory[[#This Row],[LivArea Range]],Lookups!$T$25:$W$37,4,FALSE)</f>
        <v>0.98919999999999997</v>
      </c>
      <c r="BK1185" s="25">
        <f>VLOOKUP(Inventory[[#This Row],[Decade]],Lookups!$O$25:$R$42,4,FALSE)</f>
        <v>0.98909999999999998</v>
      </c>
      <c r="BL1185" s="25">
        <f>Inventory[[#This Row],[Nbhd Adj]]*0.95</f>
        <v>0.94971499999999998</v>
      </c>
      <c r="BM1185" s="25">
        <f>Inventory[[#This Row],[Nbhd Adj]]*Inventory[[#This Row],[Quality Adj]]*Inventory[[#This Row],[Condition Adj]]*Inventory[[#This Row],[Living Area Adj]]*Inventory[[#This Row],[Decade Adj]]*0.95</f>
        <v>1.029814334165178</v>
      </c>
      <c r="BN1185" s="25">
        <f>ROUND(SUM(Inventory[[#This Row],[Mdl Qlty]:[Mdl WdDeck]])+Inventory[[#This Row],[Mdl Res Intercept]]*Inventory[[#This Row],[Res Adj ]],-2)</f>
        <v>536900</v>
      </c>
      <c r="BO1185" s="25">
        <f>ROUND(Inventory[[#This Row],[25Det]]*Inventory[[#This Row],[Det/Nbhd Adj]],-2)</f>
        <v>10700</v>
      </c>
      <c r="BP1185" s="25">
        <f>Inventory[[#This Row],[Adjusted Res]]+Inventory[[#This Row],[Adj Det ]]</f>
        <v>547600</v>
      </c>
      <c r="BQ1185" s="25">
        <f>ROUND((Inventory[[#This Row],[Mdl Land Intercept]]+Inventory[[#This Row],[Mdl LnAcres]])*Inventory[[#This Row],[Det/Nbhd Adj]],-2)</f>
        <v>33800</v>
      </c>
      <c r="BR1185" s="25">
        <f>Inventory[[#This Row],[Adjusted Impr Total]]+Inventory[[#This Row],[Adjusted Land Total]]</f>
        <v>581400</v>
      </c>
      <c r="BS1185" s="36">
        <f>IFERROR((Inventory[[#This Row],[Adjusted Impr Total]]-Inventory[[#This Row],[24Bldg]])/Inventory[[#This Row],[24Bldg]],0)</f>
        <v>0.41279669762641896</v>
      </c>
      <c r="BT1185" s="36">
        <f>(Inventory[[#This Row],[Adjusted Land Total]]-Inventory[[#This Row],[24Lnd]])/Inventory[[#This Row],[24Lnd]]</f>
        <v>-0.38208409506398539</v>
      </c>
      <c r="BU1185" s="36">
        <f>(Inventory[[#This Row],[Adjusted Total]]-Inventory[[#This Row],[24Final]])/Inventory[[#This Row],[24Final]]</f>
        <v>0.31449242595523402</v>
      </c>
    </row>
    <row r="1186" spans="1:73" x14ac:dyDescent="0.3">
      <c r="A1186" s="25">
        <v>2025</v>
      </c>
      <c r="B1186" s="26" t="s">
        <v>1469</v>
      </c>
      <c r="C1186" s="26">
        <f>LN(Inventory[[#This Row],[Acres]])</f>
        <v>-1.7147984280919266</v>
      </c>
      <c r="D1186" s="25">
        <v>0.18</v>
      </c>
      <c r="E1186" s="25">
        <v>7697</v>
      </c>
      <c r="F1186" s="26" t="s">
        <v>537</v>
      </c>
      <c r="G1186" s="26" t="s">
        <v>126</v>
      </c>
      <c r="H1186" s="26" t="s">
        <v>349</v>
      </c>
      <c r="I1186" s="26" t="s">
        <v>538</v>
      </c>
      <c r="J1186" s="26" t="s">
        <v>539</v>
      </c>
      <c r="K1186" s="26" t="s">
        <v>242</v>
      </c>
      <c r="L1186" s="26" t="s">
        <v>351</v>
      </c>
      <c r="M1186" s="26" t="s">
        <v>352</v>
      </c>
      <c r="N1186" s="26">
        <v>90</v>
      </c>
      <c r="O1186" s="26">
        <f>2024-Inventory[[#This Row],[YrBlt]]</f>
        <v>84</v>
      </c>
      <c r="P1186" s="26">
        <f>2024-Inventory[[#This Row],[EffYr]]</f>
        <v>32</v>
      </c>
      <c r="Q1186" s="25">
        <v>1940</v>
      </c>
      <c r="R1186" s="25">
        <v>1992</v>
      </c>
      <c r="S1186" s="25">
        <v>1038</v>
      </c>
      <c r="T1186" s="27"/>
      <c r="U1186" s="31"/>
      <c r="V1186" s="31">
        <f>Inventory[[#This Row],[Bsmt]]-Inventory[[#This Row],[FnBsmt]]</f>
        <v>0</v>
      </c>
      <c r="W1186" s="31"/>
      <c r="X1186" s="27"/>
      <c r="Y1186" s="27">
        <f>Inventory[[#This Row],[MainFn]]+Inventory[[#This Row],[UpprFn]]+Inventory[[#This Row],[FnBsmt]]+Inventory[[#This Row],[AddFn]]</f>
        <v>1038</v>
      </c>
      <c r="Z1186" s="27">
        <v>1500</v>
      </c>
      <c r="AA1186" s="25">
        <v>8</v>
      </c>
      <c r="AB1186" s="27"/>
      <c r="AC1186" s="31"/>
      <c r="AD1186" s="25">
        <v>170</v>
      </c>
      <c r="AE1186" s="27"/>
      <c r="AF1186" s="27"/>
      <c r="AG1186" s="27"/>
      <c r="AH1186" s="27"/>
      <c r="AI1186" s="25">
        <v>182632</v>
      </c>
      <c r="AJ1186" s="25">
        <v>158890</v>
      </c>
      <c r="AK1186" s="25">
        <v>10284</v>
      </c>
      <c r="AL1186" s="25">
        <v>336000</v>
      </c>
      <c r="AM1186" s="25">
        <v>54700</v>
      </c>
      <c r="AN1186" s="25">
        <v>281300</v>
      </c>
      <c r="AO1186" s="25">
        <v>0</v>
      </c>
      <c r="AP1186" s="25">
        <f>Lookups!$B$56*0</f>
        <v>0</v>
      </c>
      <c r="AQ1186" s="25">
        <f>Lookups!$B$56*1</f>
        <v>89850.625589999996</v>
      </c>
      <c r="AR1186" s="25">
        <f>Lookups!$B$57*Inventory[[#This Row],[LnAcres]]</f>
        <v>-54281.285314520763</v>
      </c>
      <c r="AS1186" s="25">
        <f>VLOOKUP(Inventory[[#This Row],[Qlty]],Lookups!$A$62:$E$75,2,FALSE)</f>
        <v>21557.329055999999</v>
      </c>
      <c r="AT1186" s="25">
        <f>VLOOKUP(Inventory[[#This Row],[Cnd]],Lookups!$A$76:$E$84,2,FALSE)</f>
        <v>284810.60806</v>
      </c>
      <c r="AU1186" s="25">
        <f>Inventory[[#This Row],[EffAge]]*Lookups!$B$85</f>
        <v>-7137.4592160000002</v>
      </c>
      <c r="AV1186" s="25">
        <f>Inventory[[#This Row],[MainFn]]*Lookups!$B$86</f>
        <v>51286.199332326003</v>
      </c>
      <c r="AW1186" s="25">
        <f>Inventory[[#This Row],[UpprFn]]*Lookups!$B$87</f>
        <v>0</v>
      </c>
      <c r="AX1186" s="25">
        <f>Inventory[[#This Row],[AddFn]]*Lookups!$B$88</f>
        <v>0</v>
      </c>
      <c r="AY1186" s="25">
        <f>Inventory[[#This Row],[Bsmt]]*Lookups!$B$89</f>
        <v>0</v>
      </c>
      <c r="AZ1186" s="25">
        <f>Inventory[[#This Row],[Fixtures]]*Lookups!$B$90</f>
        <v>30336.176841600001</v>
      </c>
      <c r="BA1186" s="25">
        <f>Inventory[[#This Row],[WdDeck]]*Lookups!$B$91</f>
        <v>5660.2375969200002</v>
      </c>
      <c r="BB1186" s="25">
        <f>ROUND(Inventory[[#This Row],[25Det]],-2)</f>
        <v>10300</v>
      </c>
      <c r="BC1186" s="25">
        <f>ROUND(SUM(Inventory[[#This Row],[Mdl Qlty]:[Mdl WdDeck]])+Inventory[[#This Row],[Mdl Res Intercept]],-2)</f>
        <v>386500</v>
      </c>
      <c r="BD1186" s="25">
        <f>ROUND(Inventory[[#This Row],[Mdl Land Intercept]]+Inventory[[#This Row],[Mdl LnAcres]],-2)</f>
        <v>35600</v>
      </c>
      <c r="BE1186" s="25">
        <f>Inventory[[#This Row],[Unadj Res Value]]+Inventory[[#This Row],[Unadj Det Value]]+Inventory[[#This Row],[Unadj Land Value]]</f>
        <v>432400</v>
      </c>
      <c r="BF1186" s="36">
        <f>(Inventory[[#This Row],[Unadj Total Value]]-Inventory[[#This Row],[24Final]])/Inventory[[#This Row],[24Final]]</f>
        <v>0.28690476190476188</v>
      </c>
      <c r="BG1186" s="25">
        <f>VLOOKUP(Inventory[[#This Row],[Nbhd]],Lookups!$Q$2:$T$4,4,FALSE)</f>
        <v>0.99970000000000003</v>
      </c>
      <c r="BH1186" s="25">
        <f>VLOOKUP(Inventory[[#This Row],[Qlty]],Lookups!$O$7:$R$21,4,FALSE)</f>
        <v>1.0067999999999999</v>
      </c>
      <c r="BI1186" s="25">
        <f>VLOOKUP(Inventory[[#This Row],[Cnd]],Lookups!$T$7:$W$16,4,FALSE)</f>
        <v>1.0158</v>
      </c>
      <c r="BJ1186" s="25">
        <f>VLOOKUP(Inventory[[#This Row],[LivArea Range]],Lookups!$T$25:$W$37,4,FALSE)</f>
        <v>1.0157</v>
      </c>
      <c r="BK1186" s="25">
        <f>VLOOKUP(Inventory[[#This Row],[Decade]],Lookups!$O$25:$R$42,4,FALSE)</f>
        <v>0.98909999999999998</v>
      </c>
      <c r="BL1186" s="25">
        <f>Inventory[[#This Row],[Nbhd Adj]]*0.95</f>
        <v>0.94971499999999998</v>
      </c>
      <c r="BM1186" s="25">
        <f>Inventory[[#This Row],[Nbhd Adj]]*Inventory[[#This Row],[Quality Adj]]*Inventory[[#This Row],[Condition Adj]]*Inventory[[#This Row],[Living Area Adj]]*Inventory[[#This Row],[Decade Adj]]*0.95</f>
        <v>0.97577652799376369</v>
      </c>
      <c r="BN1186" s="25">
        <f>ROUND(SUM(Inventory[[#This Row],[Mdl Qlty]:[Mdl WdDeck]])+Inventory[[#This Row],[Mdl Res Intercept]]*Inventory[[#This Row],[Res Adj ]],-2)</f>
        <v>386500</v>
      </c>
      <c r="BO1186" s="25">
        <f>ROUND(Inventory[[#This Row],[25Det]]*Inventory[[#This Row],[Det/Nbhd Adj]],-2)</f>
        <v>9800</v>
      </c>
      <c r="BP1186" s="25">
        <f>Inventory[[#This Row],[Adjusted Res]]+Inventory[[#This Row],[Adj Det ]]</f>
        <v>396300</v>
      </c>
      <c r="BQ1186" s="25">
        <f>ROUND((Inventory[[#This Row],[Mdl Land Intercept]]+Inventory[[#This Row],[Mdl LnAcres]])*Inventory[[#This Row],[Det/Nbhd Adj]],-2)</f>
        <v>33800</v>
      </c>
      <c r="BR1186" s="25">
        <f>Inventory[[#This Row],[Adjusted Impr Total]]+Inventory[[#This Row],[Adjusted Land Total]]</f>
        <v>430100</v>
      </c>
      <c r="BS1186" s="36">
        <f>IFERROR((Inventory[[#This Row],[Adjusted Impr Total]]-Inventory[[#This Row],[24Bldg]])/Inventory[[#This Row],[24Bldg]],0)</f>
        <v>0.40881621045147531</v>
      </c>
      <c r="BT1186" s="36">
        <f>(Inventory[[#This Row],[Adjusted Land Total]]-Inventory[[#This Row],[24Lnd]])/Inventory[[#This Row],[24Lnd]]</f>
        <v>-0.38208409506398539</v>
      </c>
      <c r="BU1186" s="36">
        <f>(Inventory[[#This Row],[Adjusted Total]]-Inventory[[#This Row],[24Final]])/Inventory[[#This Row],[24Final]]</f>
        <v>0.28005952380952381</v>
      </c>
    </row>
    <row r="1187" spans="1:73" x14ac:dyDescent="0.3">
      <c r="A1187" s="25">
        <v>2025</v>
      </c>
      <c r="B1187" s="26" t="s">
        <v>2577</v>
      </c>
      <c r="C1187" s="26">
        <f>LN(Inventory[[#This Row],[Acres]])</f>
        <v>-1.9661128563728327</v>
      </c>
      <c r="D1187" s="25">
        <v>0.14000000000000001</v>
      </c>
      <c r="E1187" s="31"/>
      <c r="F1187" s="26" t="s">
        <v>537</v>
      </c>
      <c r="G1187" s="26" t="s">
        <v>126</v>
      </c>
      <c r="H1187" s="26" t="s">
        <v>349</v>
      </c>
      <c r="I1187" s="26" t="s">
        <v>538</v>
      </c>
      <c r="J1187" s="26" t="s">
        <v>539</v>
      </c>
      <c r="K1187" s="26" t="s">
        <v>242</v>
      </c>
      <c r="L1187" s="26" t="s">
        <v>351</v>
      </c>
      <c r="M1187" s="26" t="s">
        <v>303</v>
      </c>
      <c r="N1187" s="26">
        <v>90</v>
      </c>
      <c r="O1187" s="26">
        <f>2024-Inventory[[#This Row],[YrBlt]]</f>
        <v>84</v>
      </c>
      <c r="P1187" s="26">
        <f>2024-Inventory[[#This Row],[EffYr]]</f>
        <v>52</v>
      </c>
      <c r="Q1187" s="25">
        <v>1940</v>
      </c>
      <c r="R1187" s="25">
        <v>1972</v>
      </c>
      <c r="S1187" s="25">
        <v>960</v>
      </c>
      <c r="T1187" s="27"/>
      <c r="U1187" s="25">
        <v>960</v>
      </c>
      <c r="V1187" s="32">
        <f>Inventory[[#This Row],[Bsmt]]-Inventory[[#This Row],[FnBsmt]]</f>
        <v>760</v>
      </c>
      <c r="W1187" s="32">
        <v>200</v>
      </c>
      <c r="X1187" s="27"/>
      <c r="Y1187" s="27">
        <f>Inventory[[#This Row],[MainFn]]+Inventory[[#This Row],[UpprFn]]+Inventory[[#This Row],[FnBsmt]]+Inventory[[#This Row],[AddFn]]</f>
        <v>1160</v>
      </c>
      <c r="Z1187" s="27">
        <v>1500</v>
      </c>
      <c r="AA1187" s="25">
        <v>9</v>
      </c>
      <c r="AB1187" s="31"/>
      <c r="AC1187" s="27"/>
      <c r="AD1187" s="32">
        <v>256</v>
      </c>
      <c r="AE1187" s="27"/>
      <c r="AF1187" s="27"/>
      <c r="AG1187" s="27"/>
      <c r="AH1187" s="27"/>
      <c r="AI1187" s="25">
        <v>219817</v>
      </c>
      <c r="AJ1187" s="25">
        <v>153872</v>
      </c>
      <c r="AK1187" s="25">
        <v>0</v>
      </c>
      <c r="AL1187" s="25">
        <v>277200</v>
      </c>
      <c r="AM1187" s="25">
        <v>46000</v>
      </c>
      <c r="AN1187" s="25">
        <v>231200</v>
      </c>
      <c r="AO1187" s="25">
        <v>0</v>
      </c>
      <c r="AP1187" s="25">
        <f>Lookups!$B$56*0</f>
        <v>0</v>
      </c>
      <c r="AQ1187" s="25">
        <f>Lookups!$B$56*1</f>
        <v>89850.625589999996</v>
      </c>
      <c r="AR1187" s="25">
        <f>Lookups!$B$57*Inventory[[#This Row],[LnAcres]]</f>
        <v>-62236.546971921947</v>
      </c>
      <c r="AS1187" s="25">
        <f>VLOOKUP(Inventory[[#This Row],[Qlty]],Lookups!$A$62:$E$75,2,FALSE)</f>
        <v>21557.329055999999</v>
      </c>
      <c r="AT1187" s="25">
        <f>VLOOKUP(Inventory[[#This Row],[Cnd]],Lookups!$A$76:$E$84,2,FALSE)</f>
        <v>197752.34721000001</v>
      </c>
      <c r="AU1187" s="25">
        <f>Inventory[[#This Row],[EffAge]]*Lookups!$B$85</f>
        <v>-11598.371226000001</v>
      </c>
      <c r="AV1187" s="25">
        <f>Inventory[[#This Row],[MainFn]]*Lookups!$B$86</f>
        <v>47432.323081920003</v>
      </c>
      <c r="AW1187" s="25">
        <f>Inventory[[#This Row],[UpprFn]]*Lookups!$B$87</f>
        <v>0</v>
      </c>
      <c r="AX1187" s="25">
        <f>Inventory[[#This Row],[AddFn]]*Lookups!$B$88</f>
        <v>0</v>
      </c>
      <c r="AY1187" s="25">
        <f>Inventory[[#This Row],[Bsmt]]*Lookups!$B$89</f>
        <v>27918.61943712</v>
      </c>
      <c r="AZ1187" s="25">
        <f>Inventory[[#This Row],[Fixtures]]*Lookups!$B$90</f>
        <v>34128.198946800003</v>
      </c>
      <c r="BA1187" s="25">
        <f>Inventory[[#This Row],[WdDeck]]*Lookups!$B$91</f>
        <v>8523.6519106560008</v>
      </c>
      <c r="BB1187" s="25">
        <f>ROUND(Inventory[[#This Row],[25Det]],-2)</f>
        <v>0</v>
      </c>
      <c r="BC1187" s="25">
        <f>ROUND(SUM(Inventory[[#This Row],[Mdl Qlty]:[Mdl WdDeck]])+Inventory[[#This Row],[Mdl Res Intercept]],-2)</f>
        <v>325700</v>
      </c>
      <c r="BD1187" s="25">
        <f>ROUND(Inventory[[#This Row],[Mdl Land Intercept]]+Inventory[[#This Row],[Mdl LnAcres]],-2)</f>
        <v>27600</v>
      </c>
      <c r="BE1187" s="25">
        <f>Inventory[[#This Row],[Unadj Res Value]]+Inventory[[#This Row],[Unadj Det Value]]+Inventory[[#This Row],[Unadj Land Value]]</f>
        <v>353300</v>
      </c>
      <c r="BF1187" s="36">
        <f>(Inventory[[#This Row],[Unadj Total Value]]-Inventory[[#This Row],[24Final]])/Inventory[[#This Row],[24Final]]</f>
        <v>0.27453102453102451</v>
      </c>
      <c r="BG1187" s="25">
        <f>VLOOKUP(Inventory[[#This Row],[Nbhd]],Lookups!$Q$2:$T$4,4,FALSE)</f>
        <v>0.99970000000000003</v>
      </c>
      <c r="BH1187" s="25">
        <f>VLOOKUP(Inventory[[#This Row],[Qlty]],Lookups!$O$7:$R$21,4,FALSE)</f>
        <v>1.0067999999999999</v>
      </c>
      <c r="BI1187" s="25">
        <f>VLOOKUP(Inventory[[#This Row],[Cnd]],Lookups!$T$7:$W$16,4,FALSE)</f>
        <v>0.99650000000000005</v>
      </c>
      <c r="BJ1187" s="25">
        <f>VLOOKUP(Inventory[[#This Row],[LivArea Range]],Lookups!$T$25:$W$37,4,FALSE)</f>
        <v>1.0157</v>
      </c>
      <c r="BK1187" s="25">
        <f>VLOOKUP(Inventory[[#This Row],[Decade]],Lookups!$O$25:$R$42,4,FALSE)</f>
        <v>0.98909999999999998</v>
      </c>
      <c r="BL1187" s="25">
        <f>Inventory[[#This Row],[Nbhd Adj]]*0.95</f>
        <v>0.94971499999999998</v>
      </c>
      <c r="BM1187" s="25">
        <f>Inventory[[#This Row],[Nbhd Adj]]*Inventory[[#This Row],[Quality Adj]]*Inventory[[#This Row],[Condition Adj]]*Inventory[[#This Row],[Living Area Adj]]*Inventory[[#This Row],[Decade Adj]]*0.95</f>
        <v>0.95723696608169473</v>
      </c>
      <c r="BN1187" s="25">
        <f>ROUND(SUM(Inventory[[#This Row],[Mdl Qlty]:[Mdl WdDeck]])+Inventory[[#This Row],[Mdl Res Intercept]]*Inventory[[#This Row],[Res Adj ]],-2)</f>
        <v>325700</v>
      </c>
      <c r="BO1187" s="25">
        <f>ROUND(Inventory[[#This Row],[25Det]]*Inventory[[#This Row],[Det/Nbhd Adj]],-2)</f>
        <v>0</v>
      </c>
      <c r="BP1187" s="25">
        <f>Inventory[[#This Row],[Adjusted Res]]+Inventory[[#This Row],[Adj Det ]]</f>
        <v>325700</v>
      </c>
      <c r="BQ1187" s="25">
        <f>ROUND((Inventory[[#This Row],[Mdl Land Intercept]]+Inventory[[#This Row],[Mdl LnAcres]])*Inventory[[#This Row],[Det/Nbhd Adj]],-2)</f>
        <v>26200</v>
      </c>
      <c r="BR1187" s="25">
        <f>Inventory[[#This Row],[Adjusted Impr Total]]+Inventory[[#This Row],[Adjusted Land Total]]</f>
        <v>351900</v>
      </c>
      <c r="BS1187" s="36">
        <f>IFERROR((Inventory[[#This Row],[Adjusted Impr Total]]-Inventory[[#This Row],[24Bldg]])/Inventory[[#This Row],[24Bldg]],0)</f>
        <v>0.4087370242214533</v>
      </c>
      <c r="BT1187" s="36">
        <f>(Inventory[[#This Row],[Adjusted Land Total]]-Inventory[[#This Row],[24Lnd]])/Inventory[[#This Row],[24Lnd]]</f>
        <v>-0.43043478260869567</v>
      </c>
      <c r="BU1187" s="36">
        <f>(Inventory[[#This Row],[Adjusted Total]]-Inventory[[#This Row],[24Final]])/Inventory[[#This Row],[24Final]]</f>
        <v>0.26948051948051949</v>
      </c>
    </row>
    <row r="1188" spans="1:73" x14ac:dyDescent="0.3">
      <c r="A1188" s="25">
        <v>2025</v>
      </c>
      <c r="B1188" s="26" t="s">
        <v>1206</v>
      </c>
      <c r="C1188" s="26">
        <f>LN(Inventory[[#This Row],[Acres]])</f>
        <v>-1.6607312068216509</v>
      </c>
      <c r="D1188" s="25">
        <v>0.19</v>
      </c>
      <c r="E1188" s="31"/>
      <c r="F1188" s="26" t="s">
        <v>537</v>
      </c>
      <c r="G1188" s="26" t="s">
        <v>126</v>
      </c>
      <c r="H1188" s="26" t="s">
        <v>349</v>
      </c>
      <c r="I1188" s="26" t="s">
        <v>538</v>
      </c>
      <c r="J1188" s="26" t="s">
        <v>539</v>
      </c>
      <c r="K1188" s="26" t="s">
        <v>242</v>
      </c>
      <c r="L1188" s="26" t="s">
        <v>148</v>
      </c>
      <c r="M1188" s="26" t="s">
        <v>352</v>
      </c>
      <c r="N1188" s="26">
        <v>90</v>
      </c>
      <c r="O1188" s="26">
        <f>2024-Inventory[[#This Row],[YrBlt]]</f>
        <v>84</v>
      </c>
      <c r="P1188" s="26">
        <f>2024-Inventory[[#This Row],[EffYr]]</f>
        <v>52</v>
      </c>
      <c r="Q1188" s="25">
        <v>1940</v>
      </c>
      <c r="R1188" s="25">
        <v>1972</v>
      </c>
      <c r="S1188" s="25">
        <v>1142</v>
      </c>
      <c r="T1188" s="27"/>
      <c r="U1188" s="25">
        <v>578</v>
      </c>
      <c r="V1188" s="25">
        <f>Inventory[[#This Row],[Bsmt]]-Inventory[[#This Row],[FnBsmt]]</f>
        <v>0</v>
      </c>
      <c r="W1188" s="25">
        <v>578</v>
      </c>
      <c r="X1188" s="27"/>
      <c r="Y1188" s="27">
        <f>Inventory[[#This Row],[MainFn]]+Inventory[[#This Row],[UpprFn]]+Inventory[[#This Row],[FnBsmt]]+Inventory[[#This Row],[AddFn]]</f>
        <v>1720</v>
      </c>
      <c r="Z1188" s="27">
        <v>2000</v>
      </c>
      <c r="AA1188" s="25">
        <v>5</v>
      </c>
      <c r="AB1188" s="27"/>
      <c r="AC1188" s="27"/>
      <c r="AD1188" s="27"/>
      <c r="AE1188" s="27"/>
      <c r="AF1188" s="27"/>
      <c r="AG1188" s="27"/>
      <c r="AH1188" s="27"/>
      <c r="AI1188" s="25">
        <v>325843</v>
      </c>
      <c r="AJ1188" s="25">
        <v>231349</v>
      </c>
      <c r="AK1188" s="25">
        <v>9004</v>
      </c>
      <c r="AL1188" s="25">
        <v>371400</v>
      </c>
      <c r="AM1188" s="25">
        <v>56600</v>
      </c>
      <c r="AN1188" s="25">
        <v>314800</v>
      </c>
      <c r="AO1188" s="25">
        <v>0</v>
      </c>
      <c r="AP1188" s="25">
        <f>Lookups!$B$56*0</f>
        <v>0</v>
      </c>
      <c r="AQ1188" s="25">
        <f>Lookups!$B$56*1</f>
        <v>89850.625589999996</v>
      </c>
      <c r="AR1188" s="25">
        <f>Lookups!$B$57*Inventory[[#This Row],[LnAcres]]</f>
        <v>-52569.808201026557</v>
      </c>
      <c r="AS1188" s="25">
        <f>VLOOKUP(Inventory[[#This Row],[Qlty]],Lookups!$A$62:$E$75,2,FALSE)</f>
        <v>44121.038090000002</v>
      </c>
      <c r="AT1188" s="25">
        <f>VLOOKUP(Inventory[[#This Row],[Cnd]],Lookups!$A$76:$E$84,2,FALSE)</f>
        <v>284810.60806</v>
      </c>
      <c r="AU1188" s="25">
        <f>Inventory[[#This Row],[EffAge]]*Lookups!$B$85</f>
        <v>-11598.371226000001</v>
      </c>
      <c r="AV1188" s="25">
        <f>Inventory[[#This Row],[MainFn]]*Lookups!$B$86</f>
        <v>56424.700999534005</v>
      </c>
      <c r="AW1188" s="25">
        <f>Inventory[[#This Row],[UpprFn]]*Lookups!$B$87</f>
        <v>0</v>
      </c>
      <c r="AX1188" s="25">
        <f>Inventory[[#This Row],[AddFn]]*Lookups!$B$88</f>
        <v>0</v>
      </c>
      <c r="AY1188" s="25">
        <f>Inventory[[#This Row],[Bsmt]]*Lookups!$B$89</f>
        <v>16809.335452765998</v>
      </c>
      <c r="AZ1188" s="25">
        <f>Inventory[[#This Row],[Fixtures]]*Lookups!$B$90</f>
        <v>18960.110526</v>
      </c>
      <c r="BA1188" s="25">
        <f>Inventory[[#This Row],[WdDeck]]*Lookups!$B$91</f>
        <v>0</v>
      </c>
      <c r="BB1188" s="25">
        <f>ROUND(Inventory[[#This Row],[25Det]],-2)</f>
        <v>9000</v>
      </c>
      <c r="BC1188" s="25">
        <f>ROUND(SUM(Inventory[[#This Row],[Mdl Qlty]:[Mdl WdDeck]])+Inventory[[#This Row],[Mdl Res Intercept]],-2)</f>
        <v>409500</v>
      </c>
      <c r="BD1188" s="25">
        <f>ROUND(Inventory[[#This Row],[Mdl Land Intercept]]+Inventory[[#This Row],[Mdl LnAcres]],-2)</f>
        <v>37300</v>
      </c>
      <c r="BE1188" s="25">
        <f>Inventory[[#This Row],[Unadj Res Value]]+Inventory[[#This Row],[Unadj Det Value]]+Inventory[[#This Row],[Unadj Land Value]]</f>
        <v>455800</v>
      </c>
      <c r="BF1188" s="36">
        <f>(Inventory[[#This Row],[Unadj Total Value]]-Inventory[[#This Row],[24Final]])/Inventory[[#This Row],[24Final]]</f>
        <v>0.22724824986537426</v>
      </c>
      <c r="BG1188" s="25">
        <f>VLOOKUP(Inventory[[#This Row],[Nbhd]],Lookups!$Q$2:$T$4,4,FALSE)</f>
        <v>0.99970000000000003</v>
      </c>
      <c r="BH1188" s="25">
        <f>VLOOKUP(Inventory[[#This Row],[Qlty]],Lookups!$O$7:$R$21,4,FALSE)</f>
        <v>0.98050000000000004</v>
      </c>
      <c r="BI1188" s="25">
        <f>VLOOKUP(Inventory[[#This Row],[Cnd]],Lookups!$T$7:$W$16,4,FALSE)</f>
        <v>1.0158</v>
      </c>
      <c r="BJ1188" s="25">
        <f>VLOOKUP(Inventory[[#This Row],[LivArea Range]],Lookups!$T$25:$W$37,4,FALSE)</f>
        <v>1.0093000000000001</v>
      </c>
      <c r="BK1188" s="25">
        <f>VLOOKUP(Inventory[[#This Row],[Decade]],Lookups!$O$25:$R$42,4,FALSE)</f>
        <v>0.98909999999999998</v>
      </c>
      <c r="BL1188" s="25">
        <f>Inventory[[#This Row],[Nbhd Adj]]*0.95</f>
        <v>0.94971499999999998</v>
      </c>
      <c r="BM1188" s="25">
        <f>Inventory[[#This Row],[Nbhd Adj]]*Inventory[[#This Row],[Quality Adj]]*Inventory[[#This Row],[Condition Adj]]*Inventory[[#This Row],[Living Area Adj]]*Inventory[[#This Row],[Decade Adj]]*0.95</f>
        <v>0.94429910705350295</v>
      </c>
      <c r="BN1188" s="25">
        <f>ROUND(SUM(Inventory[[#This Row],[Mdl Qlty]:[Mdl WdDeck]])+Inventory[[#This Row],[Mdl Res Intercept]]*Inventory[[#This Row],[Res Adj ]],-2)</f>
        <v>409500</v>
      </c>
      <c r="BO1188" s="25">
        <f>ROUND(Inventory[[#This Row],[25Det]]*Inventory[[#This Row],[Det/Nbhd Adj]],-2)</f>
        <v>8600</v>
      </c>
      <c r="BP1188" s="25">
        <f>Inventory[[#This Row],[Adjusted Res]]+Inventory[[#This Row],[Adj Det ]]</f>
        <v>418100</v>
      </c>
      <c r="BQ1188" s="25">
        <f>ROUND((Inventory[[#This Row],[Mdl Land Intercept]]+Inventory[[#This Row],[Mdl LnAcres]])*Inventory[[#This Row],[Det/Nbhd Adj]],-2)</f>
        <v>35400</v>
      </c>
      <c r="BR1188" s="25">
        <f>Inventory[[#This Row],[Adjusted Impr Total]]+Inventory[[#This Row],[Adjusted Land Total]]</f>
        <v>453500</v>
      </c>
      <c r="BS1188" s="36">
        <f>IFERROR((Inventory[[#This Row],[Adjusted Impr Total]]-Inventory[[#This Row],[24Bldg]])/Inventory[[#This Row],[24Bldg]],0)</f>
        <v>0.32814485387547648</v>
      </c>
      <c r="BT1188" s="36">
        <f>(Inventory[[#This Row],[Adjusted Land Total]]-Inventory[[#This Row],[24Lnd]])/Inventory[[#This Row],[24Lnd]]</f>
        <v>-0.37455830388692579</v>
      </c>
      <c r="BU1188" s="36">
        <f>(Inventory[[#This Row],[Adjusted Total]]-Inventory[[#This Row],[24Final]])/Inventory[[#This Row],[24Final]]</f>
        <v>0.22105546580506194</v>
      </c>
    </row>
    <row r="1189" spans="1:73" x14ac:dyDescent="0.3">
      <c r="A1189" s="25">
        <v>2025</v>
      </c>
      <c r="B1189" s="26" t="s">
        <v>1409</v>
      </c>
      <c r="C1189" s="26">
        <f>LN(Inventory[[#This Row],[Acres]])</f>
        <v>-1.8325814637483102</v>
      </c>
      <c r="D1189" s="25">
        <v>0.16</v>
      </c>
      <c r="E1189" s="25">
        <v>7119</v>
      </c>
      <c r="F1189" s="26" t="s">
        <v>537</v>
      </c>
      <c r="G1189" s="26" t="s">
        <v>126</v>
      </c>
      <c r="H1189" s="26" t="s">
        <v>349</v>
      </c>
      <c r="I1189" s="26" t="s">
        <v>538</v>
      </c>
      <c r="J1189" s="26" t="s">
        <v>539</v>
      </c>
      <c r="K1189" s="26" t="s">
        <v>242</v>
      </c>
      <c r="L1189" s="26" t="s">
        <v>351</v>
      </c>
      <c r="M1189" s="26" t="s">
        <v>352</v>
      </c>
      <c r="N1189" s="26">
        <v>90</v>
      </c>
      <c r="O1189" s="26">
        <f>2024-Inventory[[#This Row],[YrBlt]]</f>
        <v>84</v>
      </c>
      <c r="P1189" s="26">
        <f>2024-Inventory[[#This Row],[EffYr]]</f>
        <v>27</v>
      </c>
      <c r="Q1189" s="25">
        <v>1940</v>
      </c>
      <c r="R1189" s="25">
        <v>1997</v>
      </c>
      <c r="S1189" s="25">
        <v>1254</v>
      </c>
      <c r="T1189" s="31"/>
      <c r="U1189" s="25">
        <v>838</v>
      </c>
      <c r="V1189" s="25">
        <f>Inventory[[#This Row],[Bsmt]]-Inventory[[#This Row],[FnBsmt]]</f>
        <v>0</v>
      </c>
      <c r="W1189" s="25">
        <v>838</v>
      </c>
      <c r="X1189" s="27"/>
      <c r="Y1189" s="27">
        <f>Inventory[[#This Row],[MainFn]]+Inventory[[#This Row],[UpprFn]]+Inventory[[#This Row],[FnBsmt]]+Inventory[[#This Row],[AddFn]]</f>
        <v>2092</v>
      </c>
      <c r="Z1189" s="27">
        <v>2500</v>
      </c>
      <c r="AA1189" s="25">
        <v>8</v>
      </c>
      <c r="AB1189" s="27"/>
      <c r="AC1189" s="27"/>
      <c r="AD1189" s="31"/>
      <c r="AE1189" s="27"/>
      <c r="AF1189" s="27"/>
      <c r="AG1189" s="27"/>
      <c r="AH1189" s="27"/>
      <c r="AI1189" s="25">
        <v>278385</v>
      </c>
      <c r="AJ1189" s="25">
        <v>244979</v>
      </c>
      <c r="AK1189" s="25">
        <v>8474</v>
      </c>
      <c r="AL1189" s="25">
        <v>374900</v>
      </c>
      <c r="AM1189" s="25">
        <v>50600</v>
      </c>
      <c r="AN1189" s="25">
        <v>324300</v>
      </c>
      <c r="AO1189" s="25">
        <v>0</v>
      </c>
      <c r="AP1189" s="25">
        <f>Lookups!$B$56*0</f>
        <v>0</v>
      </c>
      <c r="AQ1189" s="25">
        <f>Lookups!$B$56*1</f>
        <v>89850.625589999996</v>
      </c>
      <c r="AR1189" s="25">
        <f>Lookups!$B$57*Inventory[[#This Row],[LnAcres]]</f>
        <v>-58009.662049032086</v>
      </c>
      <c r="AS1189" s="25">
        <f>VLOOKUP(Inventory[[#This Row],[Qlty]],Lookups!$A$62:$E$75,2,FALSE)</f>
        <v>21557.329055999999</v>
      </c>
      <c r="AT1189" s="25">
        <f>VLOOKUP(Inventory[[#This Row],[Cnd]],Lookups!$A$76:$E$84,2,FALSE)</f>
        <v>284810.60806</v>
      </c>
      <c r="AU1189" s="25">
        <f>Inventory[[#This Row],[EffAge]]*Lookups!$B$85</f>
        <v>-6022.2312135000002</v>
      </c>
      <c r="AV1189" s="25">
        <f>Inventory[[#This Row],[MainFn]]*Lookups!$B$86</f>
        <v>61958.472025758005</v>
      </c>
      <c r="AW1189" s="25">
        <f>Inventory[[#This Row],[UpprFn]]*Lookups!$B$87</f>
        <v>0</v>
      </c>
      <c r="AX1189" s="25">
        <f>Inventory[[#This Row],[AddFn]]*Lookups!$B$88</f>
        <v>0</v>
      </c>
      <c r="AY1189" s="25">
        <f>Inventory[[#This Row],[Bsmt]]*Lookups!$B$89</f>
        <v>24370.628216985999</v>
      </c>
      <c r="AZ1189" s="25">
        <f>Inventory[[#This Row],[Fixtures]]*Lookups!$B$90</f>
        <v>30336.176841600001</v>
      </c>
      <c r="BA1189" s="25">
        <f>Inventory[[#This Row],[WdDeck]]*Lookups!$B$91</f>
        <v>0</v>
      </c>
      <c r="BB1189" s="25">
        <f>ROUND(Inventory[[#This Row],[25Det]],-2)</f>
        <v>8500</v>
      </c>
      <c r="BC1189" s="25">
        <f>ROUND(SUM(Inventory[[#This Row],[Mdl Qlty]:[Mdl WdDeck]])+Inventory[[#This Row],[Mdl Res Intercept]],-2)</f>
        <v>417000</v>
      </c>
      <c r="BD1189" s="25">
        <f>ROUND(Inventory[[#This Row],[Mdl Land Intercept]]+Inventory[[#This Row],[Mdl LnAcres]],-2)</f>
        <v>31800</v>
      </c>
      <c r="BE1189" s="25">
        <f>Inventory[[#This Row],[Unadj Res Value]]+Inventory[[#This Row],[Unadj Det Value]]+Inventory[[#This Row],[Unadj Land Value]]</f>
        <v>457300</v>
      </c>
      <c r="BF1189" s="36">
        <f>(Inventory[[#This Row],[Unadj Total Value]]-Inventory[[#This Row],[24Final]])/Inventory[[#This Row],[24Final]]</f>
        <v>0.21979194451853828</v>
      </c>
      <c r="BG1189" s="25">
        <f>VLOOKUP(Inventory[[#This Row],[Nbhd]],Lookups!$Q$2:$T$4,4,FALSE)</f>
        <v>0.99970000000000003</v>
      </c>
      <c r="BH1189" s="25">
        <f>VLOOKUP(Inventory[[#This Row],[Qlty]],Lookups!$O$7:$R$21,4,FALSE)</f>
        <v>1.0067999999999999</v>
      </c>
      <c r="BI1189" s="25">
        <f>VLOOKUP(Inventory[[#This Row],[Cnd]],Lookups!$T$7:$W$16,4,FALSE)</f>
        <v>1.0158</v>
      </c>
      <c r="BJ1189" s="25">
        <f>VLOOKUP(Inventory[[#This Row],[LivArea Range]],Lookups!$T$25:$W$37,4,FALSE)</f>
        <v>0.98919999999999997</v>
      </c>
      <c r="BK1189" s="25">
        <f>VLOOKUP(Inventory[[#This Row],[Decade]],Lookups!$O$25:$R$42,4,FALSE)</f>
        <v>0.98909999999999998</v>
      </c>
      <c r="BL1189" s="25">
        <f>Inventory[[#This Row],[Nbhd Adj]]*0.95</f>
        <v>0.94971499999999998</v>
      </c>
      <c r="BM1189" s="25">
        <f>Inventory[[#This Row],[Nbhd Adj]]*Inventory[[#This Row],[Quality Adj]]*Inventory[[#This Row],[Condition Adj]]*Inventory[[#This Row],[Living Area Adj]]*Inventory[[#This Row],[Decade Adj]]*0.95</f>
        <v>0.95031814658996827</v>
      </c>
      <c r="BN1189" s="25">
        <f>ROUND(SUM(Inventory[[#This Row],[Mdl Qlty]:[Mdl WdDeck]])+Inventory[[#This Row],[Mdl Res Intercept]]*Inventory[[#This Row],[Res Adj ]],-2)</f>
        <v>417000</v>
      </c>
      <c r="BO1189" s="25">
        <f>ROUND(Inventory[[#This Row],[25Det]]*Inventory[[#This Row],[Det/Nbhd Adj]],-2)</f>
        <v>8000</v>
      </c>
      <c r="BP1189" s="25">
        <f>Inventory[[#This Row],[Adjusted Res]]+Inventory[[#This Row],[Adj Det ]]</f>
        <v>425000</v>
      </c>
      <c r="BQ1189" s="25">
        <f>ROUND((Inventory[[#This Row],[Mdl Land Intercept]]+Inventory[[#This Row],[Mdl LnAcres]])*Inventory[[#This Row],[Det/Nbhd Adj]],-2)</f>
        <v>30200</v>
      </c>
      <c r="BR1189" s="25">
        <f>Inventory[[#This Row],[Adjusted Impr Total]]+Inventory[[#This Row],[Adjusted Land Total]]</f>
        <v>455200</v>
      </c>
      <c r="BS1189" s="36">
        <f>IFERROR((Inventory[[#This Row],[Adjusted Impr Total]]-Inventory[[#This Row],[24Bldg]])/Inventory[[#This Row],[24Bldg]],0)</f>
        <v>0.3105149552883133</v>
      </c>
      <c r="BT1189" s="36">
        <f>(Inventory[[#This Row],[Adjusted Land Total]]-Inventory[[#This Row],[24Lnd]])/Inventory[[#This Row],[24Lnd]]</f>
        <v>-0.40316205533596838</v>
      </c>
      <c r="BU1189" s="36">
        <f>(Inventory[[#This Row],[Adjusted Total]]-Inventory[[#This Row],[24Final]])/Inventory[[#This Row],[24Final]]</f>
        <v>0.21419045078687651</v>
      </c>
    </row>
    <row r="1190" spans="1:73" x14ac:dyDescent="0.3">
      <c r="A1190" s="25">
        <v>2025</v>
      </c>
      <c r="B1190" s="26" t="s">
        <v>842</v>
      </c>
      <c r="C1190" s="26">
        <f>LN(Inventory[[#This Row],[Acres]])</f>
        <v>-1.7147984280919266</v>
      </c>
      <c r="D1190" s="25">
        <v>0.18</v>
      </c>
      <c r="E1190" s="25">
        <v>7730</v>
      </c>
      <c r="F1190" s="26" t="s">
        <v>537</v>
      </c>
      <c r="G1190" s="26" t="s">
        <v>126</v>
      </c>
      <c r="H1190" s="26" t="s">
        <v>349</v>
      </c>
      <c r="I1190" s="26" t="s">
        <v>538</v>
      </c>
      <c r="J1190" s="26" t="s">
        <v>539</v>
      </c>
      <c r="K1190" s="26" t="s">
        <v>241</v>
      </c>
      <c r="L1190" s="26" t="s">
        <v>205</v>
      </c>
      <c r="M1190" s="26" t="s">
        <v>352</v>
      </c>
      <c r="N1190" s="26">
        <v>90</v>
      </c>
      <c r="O1190" s="26">
        <f>2024-Inventory[[#This Row],[YrBlt]]</f>
        <v>84</v>
      </c>
      <c r="P1190" s="26">
        <f>2024-Inventory[[#This Row],[EffYr]]</f>
        <v>37</v>
      </c>
      <c r="Q1190" s="25">
        <v>1940</v>
      </c>
      <c r="R1190" s="25">
        <v>1987</v>
      </c>
      <c r="S1190" s="25">
        <v>1017</v>
      </c>
      <c r="T1190" s="27"/>
      <c r="U1190" s="25">
        <v>1017</v>
      </c>
      <c r="V1190" s="32">
        <f>Inventory[[#This Row],[Bsmt]]-Inventory[[#This Row],[FnBsmt]]</f>
        <v>0</v>
      </c>
      <c r="W1190" s="32">
        <v>1017</v>
      </c>
      <c r="X1190" s="27"/>
      <c r="Y1190" s="27">
        <f>Inventory[[#This Row],[MainFn]]+Inventory[[#This Row],[UpprFn]]+Inventory[[#This Row],[FnBsmt]]+Inventory[[#This Row],[AddFn]]</f>
        <v>2034</v>
      </c>
      <c r="Z1190" s="27">
        <v>2500</v>
      </c>
      <c r="AA1190" s="25">
        <v>8</v>
      </c>
      <c r="AB1190" s="27"/>
      <c r="AC1190" s="27"/>
      <c r="AD1190" s="27"/>
      <c r="AE1190" s="27"/>
      <c r="AF1190" s="27"/>
      <c r="AG1190" s="27"/>
      <c r="AH1190" s="31"/>
      <c r="AI1190" s="25">
        <v>235103</v>
      </c>
      <c r="AJ1190" s="25">
        <v>202189</v>
      </c>
      <c r="AK1190" s="25">
        <v>0</v>
      </c>
      <c r="AL1190" s="25">
        <v>352400</v>
      </c>
      <c r="AM1190" s="25">
        <v>54700</v>
      </c>
      <c r="AN1190" s="25">
        <v>297700</v>
      </c>
      <c r="AO1190" s="25">
        <v>0</v>
      </c>
      <c r="AP1190" s="25">
        <f>Lookups!$B$56*0</f>
        <v>0</v>
      </c>
      <c r="AQ1190" s="25">
        <f>Lookups!$B$56*1</f>
        <v>89850.625589999996</v>
      </c>
      <c r="AR1190" s="25">
        <f>Lookups!$B$57*Inventory[[#This Row],[LnAcres]]</f>
        <v>-54281.285314520763</v>
      </c>
      <c r="AS1190" s="25">
        <f>VLOOKUP(Inventory[[#This Row],[Qlty]],Lookups!$A$62:$E$75,2,FALSE)</f>
        <v>0</v>
      </c>
      <c r="AT1190" s="25">
        <f>VLOOKUP(Inventory[[#This Row],[Cnd]],Lookups!$A$76:$E$84,2,FALSE)</f>
        <v>284810.60806</v>
      </c>
      <c r="AU1190" s="25">
        <f>Inventory[[#This Row],[EffAge]]*Lookups!$B$85</f>
        <v>-8252.6872185000011</v>
      </c>
      <c r="AV1190" s="25">
        <f>Inventory[[#This Row],[MainFn]]*Lookups!$B$86</f>
        <v>50248.617264909</v>
      </c>
      <c r="AW1190" s="25">
        <f>Inventory[[#This Row],[UpprFn]]*Lookups!$B$87</f>
        <v>0</v>
      </c>
      <c r="AX1190" s="25">
        <f>Inventory[[#This Row],[AddFn]]*Lookups!$B$88</f>
        <v>0</v>
      </c>
      <c r="AY1190" s="25">
        <f>Inventory[[#This Row],[Bsmt]]*Lookups!$B$89</f>
        <v>29576.287466198999</v>
      </c>
      <c r="AZ1190" s="25">
        <f>Inventory[[#This Row],[Fixtures]]*Lookups!$B$90</f>
        <v>30336.176841600001</v>
      </c>
      <c r="BA1190" s="25">
        <f>Inventory[[#This Row],[WdDeck]]*Lookups!$B$91</f>
        <v>0</v>
      </c>
      <c r="BB1190" s="25">
        <f>ROUND(Inventory[[#This Row],[25Det]],-2)</f>
        <v>0</v>
      </c>
      <c r="BC1190" s="25">
        <f>ROUND(SUM(Inventory[[#This Row],[Mdl Qlty]:[Mdl WdDeck]])+Inventory[[#This Row],[Mdl Res Intercept]],-2)</f>
        <v>386700</v>
      </c>
      <c r="BD1190" s="25">
        <f>ROUND(Inventory[[#This Row],[Mdl Land Intercept]]+Inventory[[#This Row],[Mdl LnAcres]],-2)</f>
        <v>35600</v>
      </c>
      <c r="BE1190" s="25">
        <f>Inventory[[#This Row],[Unadj Res Value]]+Inventory[[#This Row],[Unadj Det Value]]+Inventory[[#This Row],[Unadj Land Value]]</f>
        <v>422300</v>
      </c>
      <c r="BF1190" s="36">
        <f>(Inventory[[#This Row],[Unadj Total Value]]-Inventory[[#This Row],[24Final]])/Inventory[[#This Row],[24Final]]</f>
        <v>0.19835414301929624</v>
      </c>
      <c r="BG1190" s="25">
        <f>VLOOKUP(Inventory[[#This Row],[Nbhd]],Lookups!$Q$2:$T$4,4,FALSE)</f>
        <v>0.99970000000000003</v>
      </c>
      <c r="BH1190" s="25">
        <f>VLOOKUP(Inventory[[#This Row],[Qlty]],Lookups!$O$7:$R$21,4,FALSE)</f>
        <v>0.99180000000000001</v>
      </c>
      <c r="BI1190" s="25">
        <f>VLOOKUP(Inventory[[#This Row],[Cnd]],Lookups!$T$7:$W$16,4,FALSE)</f>
        <v>1.0158</v>
      </c>
      <c r="BJ1190" s="25">
        <f>VLOOKUP(Inventory[[#This Row],[LivArea Range]],Lookups!$T$25:$W$37,4,FALSE)</f>
        <v>0.98919999999999997</v>
      </c>
      <c r="BK1190" s="25">
        <f>VLOOKUP(Inventory[[#This Row],[Decade]],Lookups!$O$25:$R$42,4,FALSE)</f>
        <v>0.98909999999999998</v>
      </c>
      <c r="BL1190" s="25">
        <f>Inventory[[#This Row],[Nbhd Adj]]*0.95</f>
        <v>0.94971499999999998</v>
      </c>
      <c r="BM1190" s="25">
        <f>Inventory[[#This Row],[Nbhd Adj]]*Inventory[[#This Row],[Quality Adj]]*Inventory[[#This Row],[Condition Adj]]*Inventory[[#This Row],[Living Area Adj]]*Inventory[[#This Row],[Decade Adj]]*0.95</f>
        <v>0.93615965215328845</v>
      </c>
      <c r="BN1190" s="25">
        <f>ROUND(SUM(Inventory[[#This Row],[Mdl Qlty]:[Mdl WdDeck]])+Inventory[[#This Row],[Mdl Res Intercept]]*Inventory[[#This Row],[Res Adj ]],-2)</f>
        <v>386700</v>
      </c>
      <c r="BO1190" s="25">
        <f>ROUND(Inventory[[#This Row],[25Det]]*Inventory[[#This Row],[Det/Nbhd Adj]],-2)</f>
        <v>0</v>
      </c>
      <c r="BP1190" s="25">
        <f>Inventory[[#This Row],[Adjusted Res]]+Inventory[[#This Row],[Adj Det ]]</f>
        <v>386700</v>
      </c>
      <c r="BQ1190" s="25">
        <f>ROUND((Inventory[[#This Row],[Mdl Land Intercept]]+Inventory[[#This Row],[Mdl LnAcres]])*Inventory[[#This Row],[Det/Nbhd Adj]],-2)</f>
        <v>33800</v>
      </c>
      <c r="BR1190" s="25">
        <f>Inventory[[#This Row],[Adjusted Impr Total]]+Inventory[[#This Row],[Adjusted Land Total]]</f>
        <v>420500</v>
      </c>
      <c r="BS1190" s="36">
        <f>IFERROR((Inventory[[#This Row],[Adjusted Impr Total]]-Inventory[[#This Row],[24Bldg]])/Inventory[[#This Row],[24Bldg]],0)</f>
        <v>0.29895868323815922</v>
      </c>
      <c r="BT1190" s="36">
        <f>(Inventory[[#This Row],[Adjusted Land Total]]-Inventory[[#This Row],[24Lnd]])/Inventory[[#This Row],[24Lnd]]</f>
        <v>-0.38208409506398539</v>
      </c>
      <c r="BU1190" s="36">
        <f>(Inventory[[#This Row],[Adjusted Total]]-Inventory[[#This Row],[24Final]])/Inventory[[#This Row],[24Final]]</f>
        <v>0.19324631101021567</v>
      </c>
    </row>
    <row r="1191" spans="1:73" x14ac:dyDescent="0.3">
      <c r="A1191" s="25">
        <v>2025</v>
      </c>
      <c r="B1191" s="26" t="s">
        <v>2471</v>
      </c>
      <c r="C1191" s="26">
        <f>LN(Inventory[[#This Row],[Acres]])</f>
        <v>-1.2378743560016174</v>
      </c>
      <c r="D1191" s="25">
        <v>0.28999999999999998</v>
      </c>
      <c r="E1191" s="32">
        <v>12576</v>
      </c>
      <c r="F1191" s="26" t="s">
        <v>537</v>
      </c>
      <c r="G1191" s="26" t="s">
        <v>126</v>
      </c>
      <c r="H1191" s="26" t="s">
        <v>349</v>
      </c>
      <c r="I1191" s="26" t="s">
        <v>538</v>
      </c>
      <c r="J1191" s="26" t="s">
        <v>539</v>
      </c>
      <c r="K1191" s="26" t="s">
        <v>241</v>
      </c>
      <c r="L1191" s="26" t="s">
        <v>148</v>
      </c>
      <c r="M1191" s="26" t="s">
        <v>352</v>
      </c>
      <c r="N1191" s="26">
        <v>90</v>
      </c>
      <c r="O1191" s="26">
        <f>2024-Inventory[[#This Row],[YrBlt]]</f>
        <v>84</v>
      </c>
      <c r="P1191" s="26">
        <f>2024-Inventory[[#This Row],[EffYr]]</f>
        <v>52</v>
      </c>
      <c r="Q1191" s="25">
        <v>1940</v>
      </c>
      <c r="R1191" s="25">
        <v>1972</v>
      </c>
      <c r="S1191" s="25">
        <v>1849</v>
      </c>
      <c r="T1191" s="27"/>
      <c r="U1191" s="32">
        <v>1825</v>
      </c>
      <c r="V1191" s="32">
        <f>Inventory[[#This Row],[Bsmt]]-Inventory[[#This Row],[FnBsmt]]</f>
        <v>1725</v>
      </c>
      <c r="W1191" s="32">
        <v>100</v>
      </c>
      <c r="X1191" s="27"/>
      <c r="Y1191" s="27">
        <f>Inventory[[#This Row],[MainFn]]+Inventory[[#This Row],[UpprFn]]+Inventory[[#This Row],[FnBsmt]]+Inventory[[#This Row],[AddFn]]</f>
        <v>1949</v>
      </c>
      <c r="Z1191" s="27">
        <v>2000</v>
      </c>
      <c r="AA1191" s="25">
        <v>14</v>
      </c>
      <c r="AB1191" s="31"/>
      <c r="AC1191" s="27"/>
      <c r="AD1191" s="31"/>
      <c r="AE1191" s="27"/>
      <c r="AF1191" s="27"/>
      <c r="AG1191" s="27"/>
      <c r="AH1191" s="27"/>
      <c r="AI1191" s="25">
        <v>478911</v>
      </c>
      <c r="AJ1191" s="25">
        <v>340027</v>
      </c>
      <c r="AK1191" s="25">
        <v>10334</v>
      </c>
      <c r="AL1191" s="25">
        <v>482600</v>
      </c>
      <c r="AM1191" s="25">
        <v>71400</v>
      </c>
      <c r="AN1191" s="25">
        <v>411200</v>
      </c>
      <c r="AO1191" s="25">
        <v>0</v>
      </c>
      <c r="AP1191" s="25">
        <f>Lookups!$B$56*0</f>
        <v>0</v>
      </c>
      <c r="AQ1191" s="25">
        <f>Lookups!$B$56*1</f>
        <v>89850.625589999996</v>
      </c>
      <c r="AR1191" s="25">
        <f>Lookups!$B$57*Inventory[[#This Row],[LnAcres]]</f>
        <v>-39184.437074869042</v>
      </c>
      <c r="AS1191" s="25">
        <f>VLOOKUP(Inventory[[#This Row],[Qlty]],Lookups!$A$62:$E$75,2,FALSE)</f>
        <v>44121.038090000002</v>
      </c>
      <c r="AT1191" s="25">
        <f>VLOOKUP(Inventory[[#This Row],[Cnd]],Lookups!$A$76:$E$84,2,FALSE)</f>
        <v>284810.60806</v>
      </c>
      <c r="AU1191" s="25">
        <f>Inventory[[#This Row],[EffAge]]*Lookups!$B$85</f>
        <v>-11598.371226000001</v>
      </c>
      <c r="AV1191" s="25">
        <f>Inventory[[#This Row],[MainFn]]*Lookups!$B$86</f>
        <v>91356.630602573001</v>
      </c>
      <c r="AW1191" s="25">
        <f>Inventory[[#This Row],[UpprFn]]*Lookups!$B$87</f>
        <v>0</v>
      </c>
      <c r="AX1191" s="25">
        <f>Inventory[[#This Row],[AddFn]]*Lookups!$B$88</f>
        <v>0</v>
      </c>
      <c r="AY1191" s="25">
        <f>Inventory[[#This Row],[Bsmt]]*Lookups!$B$89</f>
        <v>53074.458825775</v>
      </c>
      <c r="AZ1191" s="25">
        <f>Inventory[[#This Row],[Fixtures]]*Lookups!$B$90</f>
        <v>53088.3094728</v>
      </c>
      <c r="BA1191" s="25">
        <f>Inventory[[#This Row],[WdDeck]]*Lookups!$B$91</f>
        <v>0</v>
      </c>
      <c r="BB1191" s="25">
        <f>ROUND(Inventory[[#This Row],[25Det]],-2)</f>
        <v>10300</v>
      </c>
      <c r="BC1191" s="25">
        <f>ROUND(SUM(Inventory[[#This Row],[Mdl Qlty]:[Mdl WdDeck]])+Inventory[[#This Row],[Mdl Res Intercept]],-2)</f>
        <v>514900</v>
      </c>
      <c r="BD1191" s="25">
        <f>ROUND(Inventory[[#This Row],[Mdl Land Intercept]]+Inventory[[#This Row],[Mdl LnAcres]],-2)</f>
        <v>50700</v>
      </c>
      <c r="BE1191" s="25">
        <f>Inventory[[#This Row],[Unadj Res Value]]+Inventory[[#This Row],[Unadj Det Value]]+Inventory[[#This Row],[Unadj Land Value]]</f>
        <v>575900</v>
      </c>
      <c r="BF1191" s="36">
        <f>(Inventory[[#This Row],[Unadj Total Value]]-Inventory[[#This Row],[24Final]])/Inventory[[#This Row],[24Final]]</f>
        <v>0.19332780770824701</v>
      </c>
      <c r="BG1191" s="25">
        <f>VLOOKUP(Inventory[[#This Row],[Nbhd]],Lookups!$Q$2:$T$4,4,FALSE)</f>
        <v>0.99970000000000003</v>
      </c>
      <c r="BH1191" s="25">
        <f>VLOOKUP(Inventory[[#This Row],[Qlty]],Lookups!$O$7:$R$21,4,FALSE)</f>
        <v>0.98050000000000004</v>
      </c>
      <c r="BI1191" s="25">
        <f>VLOOKUP(Inventory[[#This Row],[Cnd]],Lookups!$T$7:$W$16,4,FALSE)</f>
        <v>1.0158</v>
      </c>
      <c r="BJ1191" s="25">
        <f>VLOOKUP(Inventory[[#This Row],[LivArea Range]],Lookups!$T$25:$W$37,4,FALSE)</f>
        <v>1.0093000000000001</v>
      </c>
      <c r="BK1191" s="25">
        <f>VLOOKUP(Inventory[[#This Row],[Decade]],Lookups!$O$25:$R$42,4,FALSE)</f>
        <v>0.98909999999999998</v>
      </c>
      <c r="BL1191" s="25">
        <f>Inventory[[#This Row],[Nbhd Adj]]*0.95</f>
        <v>0.94971499999999998</v>
      </c>
      <c r="BM1191" s="25">
        <f>Inventory[[#This Row],[Nbhd Adj]]*Inventory[[#This Row],[Quality Adj]]*Inventory[[#This Row],[Condition Adj]]*Inventory[[#This Row],[Living Area Adj]]*Inventory[[#This Row],[Decade Adj]]*0.95</f>
        <v>0.94429910705350295</v>
      </c>
      <c r="BN1191" s="25">
        <f>ROUND(SUM(Inventory[[#This Row],[Mdl Qlty]:[Mdl WdDeck]])+Inventory[[#This Row],[Mdl Res Intercept]]*Inventory[[#This Row],[Res Adj ]],-2)</f>
        <v>514900</v>
      </c>
      <c r="BO1191" s="25">
        <f>ROUND(Inventory[[#This Row],[25Det]]*Inventory[[#This Row],[Det/Nbhd Adj]],-2)</f>
        <v>9800</v>
      </c>
      <c r="BP1191" s="25">
        <f>Inventory[[#This Row],[Adjusted Res]]+Inventory[[#This Row],[Adj Det ]]</f>
        <v>524700</v>
      </c>
      <c r="BQ1191" s="25">
        <f>ROUND((Inventory[[#This Row],[Mdl Land Intercept]]+Inventory[[#This Row],[Mdl LnAcres]])*Inventory[[#This Row],[Det/Nbhd Adj]],-2)</f>
        <v>48100</v>
      </c>
      <c r="BR1191" s="25">
        <f>Inventory[[#This Row],[Adjusted Impr Total]]+Inventory[[#This Row],[Adjusted Land Total]]</f>
        <v>572800</v>
      </c>
      <c r="BS1191" s="36">
        <f>IFERROR((Inventory[[#This Row],[Adjusted Impr Total]]-Inventory[[#This Row],[24Bldg]])/Inventory[[#This Row],[24Bldg]],0)</f>
        <v>0.27602140077821014</v>
      </c>
      <c r="BT1191" s="36">
        <f>(Inventory[[#This Row],[Adjusted Land Total]]-Inventory[[#This Row],[24Lnd]])/Inventory[[#This Row],[24Lnd]]</f>
        <v>-0.32633053221288516</v>
      </c>
      <c r="BU1191" s="36">
        <f>(Inventory[[#This Row],[Adjusted Total]]-Inventory[[#This Row],[24Final]])/Inventory[[#This Row],[24Final]]</f>
        <v>0.1869042685453792</v>
      </c>
    </row>
    <row r="1192" spans="1:73" x14ac:dyDescent="0.3">
      <c r="A1192" s="25">
        <v>2025</v>
      </c>
      <c r="B1192" s="26" t="s">
        <v>2621</v>
      </c>
      <c r="C1192" s="26">
        <f>LN(Inventory[[#This Row],[Acres]])</f>
        <v>-0.9942522733438669</v>
      </c>
      <c r="D1192" s="25">
        <v>0.37</v>
      </c>
      <c r="E1192" s="32">
        <v>16164</v>
      </c>
      <c r="F1192" s="26" t="s">
        <v>537</v>
      </c>
      <c r="G1192" s="26" t="s">
        <v>126</v>
      </c>
      <c r="H1192" s="26" t="s">
        <v>349</v>
      </c>
      <c r="I1192" s="26" t="s">
        <v>538</v>
      </c>
      <c r="J1192" s="26" t="s">
        <v>539</v>
      </c>
      <c r="K1192" s="26" t="s">
        <v>173</v>
      </c>
      <c r="L1192" s="26" t="s">
        <v>148</v>
      </c>
      <c r="M1192" s="26" t="s">
        <v>352</v>
      </c>
      <c r="N1192" s="26">
        <v>90</v>
      </c>
      <c r="O1192" s="26">
        <f>2024-Inventory[[#This Row],[YrBlt]]</f>
        <v>84</v>
      </c>
      <c r="P1192" s="26">
        <f>2024-Inventory[[#This Row],[EffYr]]</f>
        <v>52</v>
      </c>
      <c r="Q1192" s="25">
        <v>1940</v>
      </c>
      <c r="R1192" s="25">
        <v>1972</v>
      </c>
      <c r="S1192" s="25">
        <v>1397</v>
      </c>
      <c r="T1192" s="32">
        <v>1010</v>
      </c>
      <c r="U1192" s="32">
        <v>900</v>
      </c>
      <c r="V1192" s="32">
        <f>Inventory[[#This Row],[Bsmt]]-Inventory[[#This Row],[FnBsmt]]</f>
        <v>250</v>
      </c>
      <c r="W1192" s="32">
        <v>650</v>
      </c>
      <c r="X1192" s="27"/>
      <c r="Y1192" s="27">
        <f>Inventory[[#This Row],[MainFn]]+Inventory[[#This Row],[UpprFn]]+Inventory[[#This Row],[FnBsmt]]+Inventory[[#This Row],[AddFn]]</f>
        <v>3057</v>
      </c>
      <c r="Z1192" s="27">
        <v>3500</v>
      </c>
      <c r="AA1192" s="25">
        <v>14</v>
      </c>
      <c r="AB1192" s="27"/>
      <c r="AC1192" s="27"/>
      <c r="AD1192" s="32">
        <v>350</v>
      </c>
      <c r="AE1192" s="27"/>
      <c r="AF1192" s="27"/>
      <c r="AG1192" s="27"/>
      <c r="AH1192" s="27"/>
      <c r="AI1192" s="25">
        <v>543503</v>
      </c>
      <c r="AJ1192" s="25">
        <v>385887</v>
      </c>
      <c r="AK1192" s="25">
        <v>21116</v>
      </c>
      <c r="AL1192" s="25">
        <v>504900</v>
      </c>
      <c r="AM1192" s="25">
        <v>79900</v>
      </c>
      <c r="AN1192" s="25">
        <v>425000</v>
      </c>
      <c r="AO1192" s="25">
        <v>0</v>
      </c>
      <c r="AP1192" s="25">
        <f>Lookups!$B$56*0</f>
        <v>0</v>
      </c>
      <c r="AQ1192" s="25">
        <f>Lookups!$B$56*1</f>
        <v>89850.625589999996</v>
      </c>
      <c r="AR1192" s="25">
        <f>Lookups!$B$57*Inventory[[#This Row],[LnAcres]]</f>
        <v>-31472.673662315807</v>
      </c>
      <c r="AS1192" s="25">
        <f>VLOOKUP(Inventory[[#This Row],[Qlty]],Lookups!$A$62:$E$75,2,FALSE)</f>
        <v>44121.038090000002</v>
      </c>
      <c r="AT1192" s="25">
        <f>VLOOKUP(Inventory[[#This Row],[Cnd]],Lookups!$A$76:$E$84,2,FALSE)</f>
        <v>284810.60806</v>
      </c>
      <c r="AU1192" s="25">
        <f>Inventory[[#This Row],[EffAge]]*Lookups!$B$85</f>
        <v>-11598.371226000001</v>
      </c>
      <c r="AV1192" s="25">
        <f>Inventory[[#This Row],[MainFn]]*Lookups!$B$86</f>
        <v>69023.911818168999</v>
      </c>
      <c r="AW1192" s="25">
        <f>Inventory[[#This Row],[UpprFn]]*Lookups!$B$87</f>
        <v>45234.287089609999</v>
      </c>
      <c r="AX1192" s="25">
        <f>Inventory[[#This Row],[AddFn]]*Lookups!$B$88</f>
        <v>0</v>
      </c>
      <c r="AY1192" s="25">
        <f>Inventory[[#This Row],[Bsmt]]*Lookups!$B$89</f>
        <v>26173.705722299997</v>
      </c>
      <c r="AZ1192" s="25">
        <f>Inventory[[#This Row],[Fixtures]]*Lookups!$B$90</f>
        <v>53088.3094728</v>
      </c>
      <c r="BA1192" s="25">
        <f>Inventory[[#This Row],[WdDeck]]*Lookups!$B$91</f>
        <v>11653.430346600002</v>
      </c>
      <c r="BB1192" s="25">
        <f>ROUND(Inventory[[#This Row],[25Det]],-2)</f>
        <v>21100</v>
      </c>
      <c r="BC1192" s="25">
        <f>ROUND(SUM(Inventory[[#This Row],[Mdl Qlty]:[Mdl WdDeck]])+Inventory[[#This Row],[Mdl Res Intercept]],-2)</f>
        <v>522500</v>
      </c>
      <c r="BD1192" s="25">
        <f>ROUND(Inventory[[#This Row],[Mdl Land Intercept]]+Inventory[[#This Row],[Mdl LnAcres]],-2)</f>
        <v>58400</v>
      </c>
      <c r="BE1192" s="25">
        <f>Inventory[[#This Row],[Unadj Res Value]]+Inventory[[#This Row],[Unadj Det Value]]+Inventory[[#This Row],[Unadj Land Value]]</f>
        <v>602000</v>
      </c>
      <c r="BF1192" s="36">
        <f>(Inventory[[#This Row],[Unadj Total Value]]-Inventory[[#This Row],[24Final]])/Inventory[[#This Row],[24Final]]</f>
        <v>0.19231530996236879</v>
      </c>
      <c r="BG1192" s="25">
        <f>VLOOKUP(Inventory[[#This Row],[Nbhd]],Lookups!$Q$2:$T$4,4,FALSE)</f>
        <v>0.99970000000000003</v>
      </c>
      <c r="BH1192" s="25">
        <f>VLOOKUP(Inventory[[#This Row],[Qlty]],Lookups!$O$7:$R$21,4,FALSE)</f>
        <v>0.98050000000000004</v>
      </c>
      <c r="BI1192" s="25">
        <f>VLOOKUP(Inventory[[#This Row],[Cnd]],Lookups!$T$7:$W$16,4,FALSE)</f>
        <v>1.0158</v>
      </c>
      <c r="BJ1192" s="25">
        <f>VLOOKUP(Inventory[[#This Row],[LivArea Range]],Lookups!$T$25:$W$37,4,FALSE)</f>
        <v>1.0126999999999999</v>
      </c>
      <c r="BK1192" s="25">
        <f>VLOOKUP(Inventory[[#This Row],[Decade]],Lookups!$O$25:$R$42,4,FALSE)</f>
        <v>0.98909999999999998</v>
      </c>
      <c r="BL1192" s="25">
        <f>Inventory[[#This Row],[Nbhd Adj]]*0.95</f>
        <v>0.94971499999999998</v>
      </c>
      <c r="BM1192" s="25">
        <f>Inventory[[#This Row],[Nbhd Adj]]*Inventory[[#This Row],[Quality Adj]]*Inventory[[#This Row],[Condition Adj]]*Inventory[[#This Row],[Living Area Adj]]*Inventory[[#This Row],[Decade Adj]]*0.95</f>
        <v>0.94748014040729434</v>
      </c>
      <c r="BN1192" s="25">
        <f>ROUND(SUM(Inventory[[#This Row],[Mdl Qlty]:[Mdl WdDeck]])+Inventory[[#This Row],[Mdl Res Intercept]]*Inventory[[#This Row],[Res Adj ]],-2)</f>
        <v>522500</v>
      </c>
      <c r="BO1192" s="25">
        <f>ROUND(Inventory[[#This Row],[25Det]]*Inventory[[#This Row],[Det/Nbhd Adj]],-2)</f>
        <v>20100</v>
      </c>
      <c r="BP1192" s="25">
        <f>Inventory[[#This Row],[Adjusted Res]]+Inventory[[#This Row],[Adj Det ]]</f>
        <v>542600</v>
      </c>
      <c r="BQ1192" s="25">
        <f>ROUND((Inventory[[#This Row],[Mdl Land Intercept]]+Inventory[[#This Row],[Mdl LnAcres]])*Inventory[[#This Row],[Det/Nbhd Adj]],-2)</f>
        <v>55400</v>
      </c>
      <c r="BR1192" s="25">
        <f>Inventory[[#This Row],[Adjusted Impr Total]]+Inventory[[#This Row],[Adjusted Land Total]]</f>
        <v>598000</v>
      </c>
      <c r="BS1192" s="36">
        <f>IFERROR((Inventory[[#This Row],[Adjusted Impr Total]]-Inventory[[#This Row],[24Bldg]])/Inventory[[#This Row],[24Bldg]],0)</f>
        <v>0.27670588235294119</v>
      </c>
      <c r="BT1192" s="36">
        <f>(Inventory[[#This Row],[Adjusted Land Total]]-Inventory[[#This Row],[24Lnd]])/Inventory[[#This Row],[24Lnd]]</f>
        <v>-0.30663329161451813</v>
      </c>
      <c r="BU1192" s="36">
        <f>(Inventory[[#This Row],[Adjusted Total]]-Inventory[[#This Row],[24Final]])/Inventory[[#This Row],[24Final]]</f>
        <v>0.18439294909883144</v>
      </c>
    </row>
    <row r="1193" spans="1:73" x14ac:dyDescent="0.3">
      <c r="A1193" s="25">
        <v>2025</v>
      </c>
      <c r="B1193" s="26" t="s">
        <v>1923</v>
      </c>
      <c r="C1193" s="26">
        <f>LN(Inventory[[#This Row],[Acres]])</f>
        <v>-1.5141277326297755</v>
      </c>
      <c r="D1193" s="25">
        <v>0.22</v>
      </c>
      <c r="E1193" s="27"/>
      <c r="F1193" s="26" t="s">
        <v>537</v>
      </c>
      <c r="G1193" s="26" t="s">
        <v>126</v>
      </c>
      <c r="H1193" s="26" t="s">
        <v>349</v>
      </c>
      <c r="I1193" s="26" t="s">
        <v>538</v>
      </c>
      <c r="J1193" s="26" t="s">
        <v>539</v>
      </c>
      <c r="K1193" s="26" t="s">
        <v>241</v>
      </c>
      <c r="L1193" s="26" t="s">
        <v>148</v>
      </c>
      <c r="M1193" s="26" t="s">
        <v>352</v>
      </c>
      <c r="N1193" s="26">
        <v>90</v>
      </c>
      <c r="O1193" s="26">
        <f>2024-Inventory[[#This Row],[YrBlt]]</f>
        <v>84</v>
      </c>
      <c r="P1193" s="26">
        <f>2024-Inventory[[#This Row],[EffYr]]</f>
        <v>52</v>
      </c>
      <c r="Q1193" s="25">
        <v>1940</v>
      </c>
      <c r="R1193" s="25">
        <v>1972</v>
      </c>
      <c r="S1193" s="25">
        <v>1160</v>
      </c>
      <c r="T1193" s="27"/>
      <c r="U1193" s="25">
        <v>1160</v>
      </c>
      <c r="V1193" s="25">
        <f>Inventory[[#This Row],[Bsmt]]-Inventory[[#This Row],[FnBsmt]]</f>
        <v>0</v>
      </c>
      <c r="W1193" s="25">
        <v>1160</v>
      </c>
      <c r="X1193" s="27"/>
      <c r="Y1193" s="27">
        <f>Inventory[[#This Row],[MainFn]]+Inventory[[#This Row],[UpprFn]]+Inventory[[#This Row],[FnBsmt]]+Inventory[[#This Row],[AddFn]]</f>
        <v>2320</v>
      </c>
      <c r="Z1193" s="27">
        <v>2500</v>
      </c>
      <c r="AA1193" s="25">
        <v>8</v>
      </c>
      <c r="AB1193" s="32">
        <v>312</v>
      </c>
      <c r="AC1193" s="27"/>
      <c r="AD1193" s="31"/>
      <c r="AE1193" s="27"/>
      <c r="AF1193" s="27"/>
      <c r="AG1193" s="27"/>
      <c r="AH1193" s="27"/>
      <c r="AI1193" s="25">
        <v>439740</v>
      </c>
      <c r="AJ1193" s="25">
        <v>312215</v>
      </c>
      <c r="AK1193" s="25">
        <v>19899</v>
      </c>
      <c r="AL1193" s="25">
        <v>428500</v>
      </c>
      <c r="AM1193" s="25">
        <v>61700</v>
      </c>
      <c r="AN1193" s="25">
        <v>366800</v>
      </c>
      <c r="AO1193" s="25">
        <v>0</v>
      </c>
      <c r="AP1193" s="25">
        <f>Lookups!$B$56*0</f>
        <v>0</v>
      </c>
      <c r="AQ1193" s="25">
        <f>Lookups!$B$56*1</f>
        <v>89850.625589999996</v>
      </c>
      <c r="AR1193" s="25">
        <f>Lookups!$B$57*Inventory[[#This Row],[LnAcres]]</f>
        <v>-47929.131559187132</v>
      </c>
      <c r="AS1193" s="25">
        <f>VLOOKUP(Inventory[[#This Row],[Qlty]],Lookups!$A$62:$E$75,2,FALSE)</f>
        <v>44121.038090000002</v>
      </c>
      <c r="AT1193" s="25">
        <f>VLOOKUP(Inventory[[#This Row],[Cnd]],Lookups!$A$76:$E$84,2,FALSE)</f>
        <v>284810.60806</v>
      </c>
      <c r="AU1193" s="25">
        <f>Inventory[[#This Row],[EffAge]]*Lookups!$B$85</f>
        <v>-11598.371226000001</v>
      </c>
      <c r="AV1193" s="25">
        <f>Inventory[[#This Row],[MainFn]]*Lookups!$B$86</f>
        <v>57314.057057320002</v>
      </c>
      <c r="AW1193" s="25">
        <f>Inventory[[#This Row],[UpprFn]]*Lookups!$B$87</f>
        <v>0</v>
      </c>
      <c r="AX1193" s="25">
        <f>Inventory[[#This Row],[AddFn]]*Lookups!$B$88</f>
        <v>0</v>
      </c>
      <c r="AY1193" s="25">
        <f>Inventory[[#This Row],[Bsmt]]*Lookups!$B$89</f>
        <v>33734.998486519995</v>
      </c>
      <c r="AZ1193" s="25">
        <f>Inventory[[#This Row],[Fixtures]]*Lookups!$B$90</f>
        <v>30336.176841600001</v>
      </c>
      <c r="BA1193" s="25">
        <f>Inventory[[#This Row],[WdDeck]]*Lookups!$B$91</f>
        <v>0</v>
      </c>
      <c r="BB1193" s="25">
        <f>ROUND(Inventory[[#This Row],[25Det]],-2)</f>
        <v>19900</v>
      </c>
      <c r="BC1193" s="25">
        <f>ROUND(SUM(Inventory[[#This Row],[Mdl Qlty]:[Mdl WdDeck]])+Inventory[[#This Row],[Mdl Res Intercept]],-2)</f>
        <v>438700</v>
      </c>
      <c r="BD1193" s="25">
        <f>ROUND(Inventory[[#This Row],[Mdl Land Intercept]]+Inventory[[#This Row],[Mdl LnAcres]],-2)</f>
        <v>41900</v>
      </c>
      <c r="BE1193" s="25">
        <f>Inventory[[#This Row],[Unadj Res Value]]+Inventory[[#This Row],[Unadj Det Value]]+Inventory[[#This Row],[Unadj Land Value]]</f>
        <v>500500</v>
      </c>
      <c r="BF1193" s="36">
        <f>(Inventory[[#This Row],[Unadj Total Value]]-Inventory[[#This Row],[24Final]])/Inventory[[#This Row],[24Final]]</f>
        <v>0.16802800466744458</v>
      </c>
      <c r="BG1193" s="25">
        <f>VLOOKUP(Inventory[[#This Row],[Nbhd]],Lookups!$Q$2:$T$4,4,FALSE)</f>
        <v>0.99970000000000003</v>
      </c>
      <c r="BH1193" s="25">
        <f>VLOOKUP(Inventory[[#This Row],[Qlty]],Lookups!$O$7:$R$21,4,FALSE)</f>
        <v>0.98050000000000004</v>
      </c>
      <c r="BI1193" s="25">
        <f>VLOOKUP(Inventory[[#This Row],[Cnd]],Lookups!$T$7:$W$16,4,FALSE)</f>
        <v>1.0158</v>
      </c>
      <c r="BJ1193" s="25">
        <f>VLOOKUP(Inventory[[#This Row],[LivArea Range]],Lookups!$T$25:$W$37,4,FALSE)</f>
        <v>0.98919999999999997</v>
      </c>
      <c r="BK1193" s="25">
        <f>VLOOKUP(Inventory[[#This Row],[Decade]],Lookups!$O$25:$R$42,4,FALSE)</f>
        <v>0.98909999999999998</v>
      </c>
      <c r="BL1193" s="25">
        <f>Inventory[[#This Row],[Nbhd Adj]]*0.95</f>
        <v>0.94971499999999998</v>
      </c>
      <c r="BM1193" s="25">
        <f>Inventory[[#This Row],[Nbhd Adj]]*Inventory[[#This Row],[Quality Adj]]*Inventory[[#This Row],[Condition Adj]]*Inventory[[#This Row],[Living Area Adj]]*Inventory[[#This Row],[Decade Adj]]*0.95</f>
        <v>0.92549358634432277</v>
      </c>
      <c r="BN1193" s="25">
        <f>ROUND(SUM(Inventory[[#This Row],[Mdl Qlty]:[Mdl WdDeck]])+Inventory[[#This Row],[Mdl Res Intercept]]*Inventory[[#This Row],[Res Adj ]],-2)</f>
        <v>438700</v>
      </c>
      <c r="BO1193" s="25">
        <f>ROUND(Inventory[[#This Row],[25Det]]*Inventory[[#This Row],[Det/Nbhd Adj]],-2)</f>
        <v>18900</v>
      </c>
      <c r="BP1193" s="25">
        <f>Inventory[[#This Row],[Adjusted Res]]+Inventory[[#This Row],[Adj Det ]]</f>
        <v>457600</v>
      </c>
      <c r="BQ1193" s="25">
        <f>ROUND((Inventory[[#This Row],[Mdl Land Intercept]]+Inventory[[#This Row],[Mdl LnAcres]])*Inventory[[#This Row],[Det/Nbhd Adj]],-2)</f>
        <v>39800</v>
      </c>
      <c r="BR1193" s="25">
        <f>Inventory[[#This Row],[Adjusted Impr Total]]+Inventory[[#This Row],[Adjusted Land Total]]</f>
        <v>497400</v>
      </c>
      <c r="BS1193" s="36">
        <f>IFERROR((Inventory[[#This Row],[Adjusted Impr Total]]-Inventory[[#This Row],[24Bldg]])/Inventory[[#This Row],[24Bldg]],0)</f>
        <v>0.24754634678298801</v>
      </c>
      <c r="BT1193" s="36">
        <f>(Inventory[[#This Row],[Adjusted Land Total]]-Inventory[[#This Row],[24Lnd]])/Inventory[[#This Row],[24Lnd]]</f>
        <v>-0.35494327390599678</v>
      </c>
      <c r="BU1193" s="36">
        <f>(Inventory[[#This Row],[Adjusted Total]]-Inventory[[#This Row],[24Final]])/Inventory[[#This Row],[24Final]]</f>
        <v>0.16079346557759627</v>
      </c>
    </row>
    <row r="1194" spans="1:73" x14ac:dyDescent="0.3">
      <c r="A1194" s="25">
        <v>2025</v>
      </c>
      <c r="B1194" s="26" t="s">
        <v>2356</v>
      </c>
      <c r="C1194" s="26">
        <f>LN(Inventory[[#This Row],[Acres]])</f>
        <v>-2.0402208285265546</v>
      </c>
      <c r="D1194" s="25">
        <v>0.13</v>
      </c>
      <c r="E1194" s="25">
        <v>5500</v>
      </c>
      <c r="F1194" s="26" t="s">
        <v>537</v>
      </c>
      <c r="G1194" s="26" t="s">
        <v>126</v>
      </c>
      <c r="H1194" s="26" t="s">
        <v>349</v>
      </c>
      <c r="I1194" s="26" t="s">
        <v>538</v>
      </c>
      <c r="J1194" s="26" t="s">
        <v>539</v>
      </c>
      <c r="K1194" s="26" t="s">
        <v>242</v>
      </c>
      <c r="L1194" s="26" t="s">
        <v>205</v>
      </c>
      <c r="M1194" s="26" t="s">
        <v>303</v>
      </c>
      <c r="N1194" s="26">
        <v>90</v>
      </c>
      <c r="O1194" s="26">
        <f>2024-Inventory[[#This Row],[YrBlt]]</f>
        <v>84</v>
      </c>
      <c r="P1194" s="26">
        <f>2024-Inventory[[#This Row],[EffYr]]</f>
        <v>52</v>
      </c>
      <c r="Q1194" s="25">
        <v>1940</v>
      </c>
      <c r="R1194" s="25">
        <v>1972</v>
      </c>
      <c r="S1194" s="25">
        <v>932</v>
      </c>
      <c r="T1194" s="27"/>
      <c r="U1194" s="25">
        <v>801</v>
      </c>
      <c r="V1194" s="32">
        <f>Inventory[[#This Row],[Bsmt]]-Inventory[[#This Row],[FnBsmt]]</f>
        <v>801</v>
      </c>
      <c r="W1194" s="27"/>
      <c r="X1194" s="27"/>
      <c r="Y1194" s="27">
        <f>Inventory[[#This Row],[MainFn]]+Inventory[[#This Row],[UpprFn]]+Inventory[[#This Row],[FnBsmt]]+Inventory[[#This Row],[AddFn]]</f>
        <v>932</v>
      </c>
      <c r="Z1194" s="27">
        <v>1000</v>
      </c>
      <c r="AA1194" s="25">
        <v>5</v>
      </c>
      <c r="AB1194" s="27"/>
      <c r="AC1194" s="27"/>
      <c r="AD1194" s="32">
        <v>132</v>
      </c>
      <c r="AE1194" s="27"/>
      <c r="AF1194" s="27"/>
      <c r="AG1194" s="27"/>
      <c r="AH1194" s="27"/>
      <c r="AI1194" s="25">
        <v>181198</v>
      </c>
      <c r="AJ1194" s="25">
        <v>126839</v>
      </c>
      <c r="AK1194" s="25">
        <v>7231</v>
      </c>
      <c r="AL1194" s="25">
        <v>272700</v>
      </c>
      <c r="AM1194" s="25">
        <v>43400</v>
      </c>
      <c r="AN1194" s="25">
        <v>229300</v>
      </c>
      <c r="AO1194" s="25">
        <v>0</v>
      </c>
      <c r="AP1194" s="25">
        <f>Lookups!$B$56*0</f>
        <v>0</v>
      </c>
      <c r="AQ1194" s="25">
        <f>Lookups!$B$56*1</f>
        <v>89850.625589999996</v>
      </c>
      <c r="AR1194" s="25">
        <f>Lookups!$B$57*Inventory[[#This Row],[LnAcres]]</f>
        <v>-64582.406353792743</v>
      </c>
      <c r="AS1194" s="25">
        <f>VLOOKUP(Inventory[[#This Row],[Qlty]],Lookups!$A$62:$E$75,2,FALSE)</f>
        <v>0</v>
      </c>
      <c r="AT1194" s="25">
        <f>VLOOKUP(Inventory[[#This Row],[Cnd]],Lookups!$A$76:$E$84,2,FALSE)</f>
        <v>197752.34721000001</v>
      </c>
      <c r="AU1194" s="25">
        <f>Inventory[[#This Row],[EffAge]]*Lookups!$B$85</f>
        <v>-11598.371226000001</v>
      </c>
      <c r="AV1194" s="25">
        <f>Inventory[[#This Row],[MainFn]]*Lookups!$B$86</f>
        <v>46048.880325364</v>
      </c>
      <c r="AW1194" s="25">
        <f>Inventory[[#This Row],[UpprFn]]*Lookups!$B$87</f>
        <v>0</v>
      </c>
      <c r="AX1194" s="25">
        <f>Inventory[[#This Row],[AddFn]]*Lookups!$B$88</f>
        <v>0</v>
      </c>
      <c r="AY1194" s="25">
        <f>Inventory[[#This Row],[Bsmt]]*Lookups!$B$89</f>
        <v>23294.598092846998</v>
      </c>
      <c r="AZ1194" s="25">
        <f>Inventory[[#This Row],[Fixtures]]*Lookups!$B$90</f>
        <v>18960.110526</v>
      </c>
      <c r="BA1194" s="25">
        <f>Inventory[[#This Row],[WdDeck]]*Lookups!$B$91</f>
        <v>4395.0080164320007</v>
      </c>
      <c r="BB1194" s="25">
        <f>ROUND(Inventory[[#This Row],[25Det]],-2)</f>
        <v>7200</v>
      </c>
      <c r="BC1194" s="25">
        <f>ROUND(SUM(Inventory[[#This Row],[Mdl Qlty]:[Mdl WdDeck]])+Inventory[[#This Row],[Mdl Res Intercept]],-2)</f>
        <v>278900</v>
      </c>
      <c r="BD1194" s="25">
        <f>ROUND(Inventory[[#This Row],[Mdl Land Intercept]]+Inventory[[#This Row],[Mdl LnAcres]],-2)</f>
        <v>25300</v>
      </c>
      <c r="BE1194" s="25">
        <f>Inventory[[#This Row],[Unadj Res Value]]+Inventory[[#This Row],[Unadj Det Value]]+Inventory[[#This Row],[Unadj Land Value]]</f>
        <v>311400</v>
      </c>
      <c r="BF1194" s="36">
        <f>(Inventory[[#This Row],[Unadj Total Value]]-Inventory[[#This Row],[24Final]])/Inventory[[#This Row],[24Final]]</f>
        <v>0.14191419141914191</v>
      </c>
      <c r="BG1194" s="25">
        <f>VLOOKUP(Inventory[[#This Row],[Nbhd]],Lookups!$Q$2:$T$4,4,FALSE)</f>
        <v>0.99970000000000003</v>
      </c>
      <c r="BH1194" s="25">
        <f>VLOOKUP(Inventory[[#This Row],[Qlty]],Lookups!$O$7:$R$21,4,FALSE)</f>
        <v>0.99180000000000001</v>
      </c>
      <c r="BI1194" s="25">
        <f>VLOOKUP(Inventory[[#This Row],[Cnd]],Lookups!$T$7:$W$16,4,FALSE)</f>
        <v>0.99650000000000005</v>
      </c>
      <c r="BJ1194" s="25">
        <f>VLOOKUP(Inventory[[#This Row],[LivArea Range]],Lookups!$T$25:$W$37,4,FALSE)</f>
        <v>1.0148999999999999</v>
      </c>
      <c r="BK1194" s="25">
        <f>VLOOKUP(Inventory[[#This Row],[Decade]],Lookups!$O$25:$R$42,4,FALSE)</f>
        <v>0.98909999999999998</v>
      </c>
      <c r="BL1194" s="25">
        <f>Inventory[[#This Row],[Nbhd Adj]]*0.95</f>
        <v>0.94971499999999998</v>
      </c>
      <c r="BM1194" s="25">
        <f>Inventory[[#This Row],[Nbhd Adj]]*Inventory[[#This Row],[Quality Adj]]*Inventory[[#This Row],[Condition Adj]]*Inventory[[#This Row],[Living Area Adj]]*Inventory[[#This Row],[Decade Adj]]*0.95</f>
        <v>0.94223267069144567</v>
      </c>
      <c r="BN1194" s="25">
        <f>ROUND(SUM(Inventory[[#This Row],[Mdl Qlty]:[Mdl WdDeck]])+Inventory[[#This Row],[Mdl Res Intercept]]*Inventory[[#This Row],[Res Adj ]],-2)</f>
        <v>278900</v>
      </c>
      <c r="BO1194" s="25">
        <f>ROUND(Inventory[[#This Row],[25Det]]*Inventory[[#This Row],[Det/Nbhd Adj]],-2)</f>
        <v>6900</v>
      </c>
      <c r="BP1194" s="25">
        <f>Inventory[[#This Row],[Adjusted Res]]+Inventory[[#This Row],[Adj Det ]]</f>
        <v>285800</v>
      </c>
      <c r="BQ1194" s="25">
        <f>ROUND((Inventory[[#This Row],[Mdl Land Intercept]]+Inventory[[#This Row],[Mdl LnAcres]])*Inventory[[#This Row],[Det/Nbhd Adj]],-2)</f>
        <v>24000</v>
      </c>
      <c r="BR1194" s="25">
        <f>Inventory[[#This Row],[Adjusted Impr Total]]+Inventory[[#This Row],[Adjusted Land Total]]</f>
        <v>309800</v>
      </c>
      <c r="BS1194" s="36">
        <f>IFERROR((Inventory[[#This Row],[Adjusted Impr Total]]-Inventory[[#This Row],[24Bldg]])/Inventory[[#This Row],[24Bldg]],0)</f>
        <v>0.24640209332751853</v>
      </c>
      <c r="BT1194" s="36">
        <f>(Inventory[[#This Row],[Adjusted Land Total]]-Inventory[[#This Row],[24Lnd]])/Inventory[[#This Row],[24Lnd]]</f>
        <v>-0.44700460829493088</v>
      </c>
      <c r="BU1194" s="36">
        <f>(Inventory[[#This Row],[Adjusted Total]]-Inventory[[#This Row],[24Final]])/Inventory[[#This Row],[24Final]]</f>
        <v>0.13604693802713605</v>
      </c>
    </row>
    <row r="1195" spans="1:73" x14ac:dyDescent="0.3">
      <c r="A1195" s="25">
        <v>2025</v>
      </c>
      <c r="B1195" s="26" t="s">
        <v>2048</v>
      </c>
      <c r="C1195" s="26">
        <f>LN(Inventory[[#This Row],[Acres]])</f>
        <v>-1.7719568419318752</v>
      </c>
      <c r="D1195" s="25">
        <v>0.17</v>
      </c>
      <c r="E1195" s="31"/>
      <c r="F1195" s="26" t="s">
        <v>537</v>
      </c>
      <c r="G1195" s="26" t="s">
        <v>126</v>
      </c>
      <c r="H1195" s="26" t="s">
        <v>349</v>
      </c>
      <c r="I1195" s="26" t="s">
        <v>538</v>
      </c>
      <c r="J1195" s="26" t="s">
        <v>539</v>
      </c>
      <c r="K1195" s="26" t="s">
        <v>269</v>
      </c>
      <c r="L1195" s="26" t="s">
        <v>351</v>
      </c>
      <c r="M1195" s="26" t="s">
        <v>303</v>
      </c>
      <c r="N1195" s="26">
        <v>90</v>
      </c>
      <c r="O1195" s="26">
        <f>2024-Inventory[[#This Row],[YrBlt]]</f>
        <v>84</v>
      </c>
      <c r="P1195" s="26">
        <f>2024-Inventory[[#This Row],[EffYr]]</f>
        <v>52</v>
      </c>
      <c r="Q1195" s="25">
        <v>1940</v>
      </c>
      <c r="R1195" s="25">
        <v>1972</v>
      </c>
      <c r="S1195" s="25">
        <v>995</v>
      </c>
      <c r="T1195" s="31"/>
      <c r="U1195" s="31"/>
      <c r="V1195" s="31">
        <f>Inventory[[#This Row],[Bsmt]]-Inventory[[#This Row],[FnBsmt]]</f>
        <v>0</v>
      </c>
      <c r="W1195" s="31"/>
      <c r="X1195" s="27"/>
      <c r="Y1195" s="27">
        <f>Inventory[[#This Row],[MainFn]]+Inventory[[#This Row],[UpprFn]]+Inventory[[#This Row],[FnBsmt]]+Inventory[[#This Row],[AddFn]]</f>
        <v>995</v>
      </c>
      <c r="Z1195" s="27">
        <v>1000</v>
      </c>
      <c r="AA1195" s="25">
        <v>7</v>
      </c>
      <c r="AB1195" s="27"/>
      <c r="AC1195" s="27"/>
      <c r="AD1195" s="32">
        <v>260</v>
      </c>
      <c r="AE1195" s="27"/>
      <c r="AF1195" s="27"/>
      <c r="AG1195" s="27"/>
      <c r="AH1195" s="27"/>
      <c r="AI1195" s="25">
        <v>187309</v>
      </c>
      <c r="AJ1195" s="25">
        <v>131116</v>
      </c>
      <c r="AK1195" s="25">
        <v>9270</v>
      </c>
      <c r="AL1195" s="25">
        <v>294200</v>
      </c>
      <c r="AM1195" s="25">
        <v>52700</v>
      </c>
      <c r="AN1195" s="25">
        <v>241500</v>
      </c>
      <c r="AO1195" s="25">
        <v>0</v>
      </c>
      <c r="AP1195" s="25">
        <f>Lookups!$B$56*0</f>
        <v>0</v>
      </c>
      <c r="AQ1195" s="25">
        <f>Lookups!$B$56*1</f>
        <v>89850.625589999996</v>
      </c>
      <c r="AR1195" s="25">
        <f>Lookups!$B$57*Inventory[[#This Row],[LnAcres]]</f>
        <v>-56090.612940989391</v>
      </c>
      <c r="AS1195" s="25">
        <f>VLOOKUP(Inventory[[#This Row],[Qlty]],Lookups!$A$62:$E$75,2,FALSE)</f>
        <v>21557.329055999999</v>
      </c>
      <c r="AT1195" s="25">
        <f>VLOOKUP(Inventory[[#This Row],[Cnd]],Lookups!$A$76:$E$84,2,FALSE)</f>
        <v>197752.34721000001</v>
      </c>
      <c r="AU1195" s="25">
        <f>Inventory[[#This Row],[EffAge]]*Lookups!$B$85</f>
        <v>-11598.371226000001</v>
      </c>
      <c r="AV1195" s="25">
        <f>Inventory[[#This Row],[MainFn]]*Lookups!$B$86</f>
        <v>49161.626527615001</v>
      </c>
      <c r="AW1195" s="25">
        <f>Inventory[[#This Row],[UpprFn]]*Lookups!$B$87</f>
        <v>0</v>
      </c>
      <c r="AX1195" s="25">
        <f>Inventory[[#This Row],[AddFn]]*Lookups!$B$88</f>
        <v>0</v>
      </c>
      <c r="AY1195" s="25">
        <f>Inventory[[#This Row],[Bsmt]]*Lookups!$B$89</f>
        <v>0</v>
      </c>
      <c r="AZ1195" s="25">
        <f>Inventory[[#This Row],[Fixtures]]*Lookups!$B$90</f>
        <v>26544.1547364</v>
      </c>
      <c r="BA1195" s="25">
        <f>Inventory[[#This Row],[WdDeck]]*Lookups!$B$91</f>
        <v>8656.8339717600011</v>
      </c>
      <c r="BB1195" s="25">
        <f>ROUND(Inventory[[#This Row],[25Det]],-2)</f>
        <v>9300</v>
      </c>
      <c r="BC1195" s="25">
        <f>ROUND(SUM(Inventory[[#This Row],[Mdl Qlty]:[Mdl WdDeck]])+Inventory[[#This Row],[Mdl Res Intercept]],-2)</f>
        <v>292100</v>
      </c>
      <c r="BD1195" s="25">
        <f>ROUND(Inventory[[#This Row],[Mdl Land Intercept]]+Inventory[[#This Row],[Mdl LnAcres]],-2)</f>
        <v>33800</v>
      </c>
      <c r="BE1195" s="25">
        <f>Inventory[[#This Row],[Unadj Res Value]]+Inventory[[#This Row],[Unadj Det Value]]+Inventory[[#This Row],[Unadj Land Value]]</f>
        <v>335200</v>
      </c>
      <c r="BF1195" s="36">
        <f>(Inventory[[#This Row],[Unadj Total Value]]-Inventory[[#This Row],[24Final]])/Inventory[[#This Row],[24Final]]</f>
        <v>0.13936097892590074</v>
      </c>
      <c r="BG1195" s="25">
        <f>VLOOKUP(Inventory[[#This Row],[Nbhd]],Lookups!$Q$2:$T$4,4,FALSE)</f>
        <v>0.99970000000000003</v>
      </c>
      <c r="BH1195" s="25">
        <f>VLOOKUP(Inventory[[#This Row],[Qlty]],Lookups!$O$7:$R$21,4,FALSE)</f>
        <v>1.0067999999999999</v>
      </c>
      <c r="BI1195" s="25">
        <f>VLOOKUP(Inventory[[#This Row],[Cnd]],Lookups!$T$7:$W$16,4,FALSE)</f>
        <v>0.99650000000000005</v>
      </c>
      <c r="BJ1195" s="25">
        <f>VLOOKUP(Inventory[[#This Row],[LivArea Range]],Lookups!$T$25:$W$37,4,FALSE)</f>
        <v>1.0148999999999999</v>
      </c>
      <c r="BK1195" s="25">
        <f>VLOOKUP(Inventory[[#This Row],[Decade]],Lookups!$O$25:$R$42,4,FALSE)</f>
        <v>0.98909999999999998</v>
      </c>
      <c r="BL1195" s="25">
        <f>Inventory[[#This Row],[Nbhd Adj]]*0.95</f>
        <v>0.94971499999999998</v>
      </c>
      <c r="BM1195" s="25">
        <f>Inventory[[#This Row],[Nbhd Adj]]*Inventory[[#This Row],[Quality Adj]]*Inventory[[#This Row],[Condition Adj]]*Inventory[[#This Row],[Living Area Adj]]*Inventory[[#This Row],[Decade Adj]]*0.95</f>
        <v>0.95648301356336674</v>
      </c>
      <c r="BN1195" s="25">
        <f>ROUND(SUM(Inventory[[#This Row],[Mdl Qlty]:[Mdl WdDeck]])+Inventory[[#This Row],[Mdl Res Intercept]]*Inventory[[#This Row],[Res Adj ]],-2)</f>
        <v>292100</v>
      </c>
      <c r="BO1195" s="25">
        <f>ROUND(Inventory[[#This Row],[25Det]]*Inventory[[#This Row],[Det/Nbhd Adj]],-2)</f>
        <v>8800</v>
      </c>
      <c r="BP1195" s="25">
        <f>Inventory[[#This Row],[Adjusted Res]]+Inventory[[#This Row],[Adj Det ]]</f>
        <v>300900</v>
      </c>
      <c r="BQ1195" s="25">
        <f>ROUND((Inventory[[#This Row],[Mdl Land Intercept]]+Inventory[[#This Row],[Mdl LnAcres]])*Inventory[[#This Row],[Det/Nbhd Adj]],-2)</f>
        <v>32100</v>
      </c>
      <c r="BR1195" s="25">
        <f>Inventory[[#This Row],[Adjusted Impr Total]]+Inventory[[#This Row],[Adjusted Land Total]]</f>
        <v>333000</v>
      </c>
      <c r="BS1195" s="36">
        <f>IFERROR((Inventory[[#This Row],[Adjusted Impr Total]]-Inventory[[#This Row],[24Bldg]])/Inventory[[#This Row],[24Bldg]],0)</f>
        <v>0.24596273291925466</v>
      </c>
      <c r="BT1195" s="36">
        <f>(Inventory[[#This Row],[Adjusted Land Total]]-Inventory[[#This Row],[24Lnd]])/Inventory[[#This Row],[24Lnd]]</f>
        <v>-0.39089184060721061</v>
      </c>
      <c r="BU1195" s="36">
        <f>(Inventory[[#This Row],[Adjusted Total]]-Inventory[[#This Row],[24Final]])/Inventory[[#This Row],[24Final]]</f>
        <v>0.1318830727396329</v>
      </c>
    </row>
    <row r="1196" spans="1:73" x14ac:dyDescent="0.3">
      <c r="A1196" s="25">
        <v>2025</v>
      </c>
      <c r="B1196" s="26" t="s">
        <v>1068</v>
      </c>
      <c r="C1196" s="26">
        <f>LN(Inventory[[#This Row],[Acres]])</f>
        <v>-0.89159811928378363</v>
      </c>
      <c r="D1196" s="25">
        <v>0.41</v>
      </c>
      <c r="E1196" s="32">
        <v>17768</v>
      </c>
      <c r="F1196" s="26" t="s">
        <v>537</v>
      </c>
      <c r="G1196" s="26" t="s">
        <v>126</v>
      </c>
      <c r="H1196" s="26" t="s">
        <v>349</v>
      </c>
      <c r="I1196" s="26" t="s">
        <v>538</v>
      </c>
      <c r="J1196" s="26" t="s">
        <v>539</v>
      </c>
      <c r="K1196" s="26" t="s">
        <v>448</v>
      </c>
      <c r="L1196" s="26" t="s">
        <v>485</v>
      </c>
      <c r="M1196" s="26" t="s">
        <v>352</v>
      </c>
      <c r="N1196" s="26">
        <v>90</v>
      </c>
      <c r="O1196" s="26">
        <f>2024-Inventory[[#This Row],[YrBlt]]</f>
        <v>84</v>
      </c>
      <c r="P1196" s="26">
        <f>2024-Inventory[[#This Row],[EffYr]]</f>
        <v>52</v>
      </c>
      <c r="Q1196" s="25">
        <v>1940</v>
      </c>
      <c r="R1196" s="25">
        <v>1972</v>
      </c>
      <c r="S1196" s="25">
        <v>1602</v>
      </c>
      <c r="T1196" s="32">
        <v>1233</v>
      </c>
      <c r="U1196" s="27"/>
      <c r="V1196" s="27">
        <f>Inventory[[#This Row],[Bsmt]]-Inventory[[#This Row],[FnBsmt]]</f>
        <v>0</v>
      </c>
      <c r="W1196" s="27"/>
      <c r="X1196" s="27"/>
      <c r="Y1196" s="27">
        <f>Inventory[[#This Row],[MainFn]]+Inventory[[#This Row],[UpprFn]]+Inventory[[#This Row],[FnBsmt]]+Inventory[[#This Row],[AddFn]]</f>
        <v>2835</v>
      </c>
      <c r="Z1196" s="27">
        <v>3000</v>
      </c>
      <c r="AA1196" s="25">
        <v>12</v>
      </c>
      <c r="AB1196" s="25">
        <v>609</v>
      </c>
      <c r="AC1196" s="27"/>
      <c r="AD1196" s="27"/>
      <c r="AE1196" s="27"/>
      <c r="AF1196" s="27"/>
      <c r="AG1196" s="27"/>
      <c r="AH1196" s="27"/>
      <c r="AI1196" s="25">
        <v>851459</v>
      </c>
      <c r="AJ1196" s="25">
        <v>613050</v>
      </c>
      <c r="AK1196" s="25">
        <v>0</v>
      </c>
      <c r="AL1196" s="25">
        <v>676700</v>
      </c>
      <c r="AM1196" s="25">
        <v>83400</v>
      </c>
      <c r="AN1196" s="25">
        <v>593300</v>
      </c>
      <c r="AO1196" s="25">
        <v>0</v>
      </c>
      <c r="AP1196" s="25">
        <f>Lookups!$B$56*0</f>
        <v>0</v>
      </c>
      <c r="AQ1196" s="25">
        <f>Lookups!$B$56*1</f>
        <v>89850.625589999996</v>
      </c>
      <c r="AR1196" s="25">
        <f>Lookups!$B$57*Inventory[[#This Row],[LnAcres]]</f>
        <v>-28223.195861326454</v>
      </c>
      <c r="AS1196" s="25">
        <f>VLOOKUP(Inventory[[#This Row],[Qlty]],Lookups!$A$62:$E$75,2,FALSE)</f>
        <v>253501.66539499999</v>
      </c>
      <c r="AT1196" s="25">
        <f>VLOOKUP(Inventory[[#This Row],[Cnd]],Lookups!$A$76:$E$84,2,FALSE)</f>
        <v>284810.60806</v>
      </c>
      <c r="AU1196" s="25">
        <f>Inventory[[#This Row],[EffAge]]*Lookups!$B$85</f>
        <v>-11598.371226000001</v>
      </c>
      <c r="AV1196" s="25">
        <f>Inventory[[#This Row],[MainFn]]*Lookups!$B$86</f>
        <v>79152.689142953997</v>
      </c>
      <c r="AW1196" s="25">
        <f>Inventory[[#This Row],[UpprFn]]*Lookups!$B$87</f>
        <v>55221.659387612999</v>
      </c>
      <c r="AX1196" s="25">
        <f>Inventory[[#This Row],[AddFn]]*Lookups!$B$88</f>
        <v>0</v>
      </c>
      <c r="AY1196" s="25">
        <f>Inventory[[#This Row],[Bsmt]]*Lookups!$B$89</f>
        <v>0</v>
      </c>
      <c r="AZ1196" s="25">
        <f>Inventory[[#This Row],[Fixtures]]*Lookups!$B$90</f>
        <v>45504.265262400004</v>
      </c>
      <c r="BA1196" s="25">
        <f>Inventory[[#This Row],[WdDeck]]*Lookups!$B$91</f>
        <v>0</v>
      </c>
      <c r="BB1196" s="25">
        <f>ROUND(Inventory[[#This Row],[25Det]],-2)</f>
        <v>0</v>
      </c>
      <c r="BC1196" s="25">
        <f>ROUND(SUM(Inventory[[#This Row],[Mdl Qlty]:[Mdl WdDeck]])+Inventory[[#This Row],[Mdl Res Intercept]],-2)</f>
        <v>706600</v>
      </c>
      <c r="BD1196" s="25">
        <f>ROUND(Inventory[[#This Row],[Mdl Land Intercept]]+Inventory[[#This Row],[Mdl LnAcres]],-2)</f>
        <v>61600</v>
      </c>
      <c r="BE1196" s="25">
        <f>Inventory[[#This Row],[Unadj Res Value]]+Inventory[[#This Row],[Unadj Det Value]]+Inventory[[#This Row],[Unadj Land Value]]</f>
        <v>768200</v>
      </c>
      <c r="BF1196" s="36">
        <f>(Inventory[[#This Row],[Unadj Total Value]]-Inventory[[#This Row],[24Final]])/Inventory[[#This Row],[24Final]]</f>
        <v>0.1352150140387173</v>
      </c>
      <c r="BG1196" s="25">
        <f>VLOOKUP(Inventory[[#This Row],[Nbhd]],Lookups!$Q$2:$T$4,4,FALSE)</f>
        <v>0.99970000000000003</v>
      </c>
      <c r="BH1196" s="25">
        <f>VLOOKUP(Inventory[[#This Row],[Qlty]],Lookups!$O$7:$R$21,4,FALSE)</f>
        <v>1</v>
      </c>
      <c r="BI1196" s="25">
        <f>VLOOKUP(Inventory[[#This Row],[Cnd]],Lookups!$T$7:$W$16,4,FALSE)</f>
        <v>1.0158</v>
      </c>
      <c r="BJ1196" s="25">
        <f>VLOOKUP(Inventory[[#This Row],[LivArea Range]],Lookups!$T$25:$W$37,4,FALSE)</f>
        <v>0.96179999999999999</v>
      </c>
      <c r="BK1196" s="25">
        <f>VLOOKUP(Inventory[[#This Row],[Decade]],Lookups!$O$25:$R$42,4,FALSE)</f>
        <v>0.98909999999999998</v>
      </c>
      <c r="BL1196" s="25">
        <f>Inventory[[#This Row],[Nbhd Adj]]*0.95</f>
        <v>0.94971499999999998</v>
      </c>
      <c r="BM1196" s="25">
        <f>Inventory[[#This Row],[Nbhd Adj]]*Inventory[[#This Row],[Quality Adj]]*Inventory[[#This Row],[Condition Adj]]*Inventory[[#This Row],[Living Area Adj]]*Inventory[[#This Row],[Decade Adj]]*0.95</f>
        <v>0.91775441091784082</v>
      </c>
      <c r="BN1196" s="25">
        <f>ROUND(SUM(Inventory[[#This Row],[Mdl Qlty]:[Mdl WdDeck]])+Inventory[[#This Row],[Mdl Res Intercept]]*Inventory[[#This Row],[Res Adj ]],-2)</f>
        <v>706600</v>
      </c>
      <c r="BO1196" s="25">
        <f>ROUND(Inventory[[#This Row],[25Det]]*Inventory[[#This Row],[Det/Nbhd Adj]],-2)</f>
        <v>0</v>
      </c>
      <c r="BP1196" s="25">
        <f>Inventory[[#This Row],[Adjusted Res]]+Inventory[[#This Row],[Adj Det ]]</f>
        <v>706600</v>
      </c>
      <c r="BQ1196" s="25">
        <f>ROUND((Inventory[[#This Row],[Mdl Land Intercept]]+Inventory[[#This Row],[Mdl LnAcres]])*Inventory[[#This Row],[Det/Nbhd Adj]],-2)</f>
        <v>58500</v>
      </c>
      <c r="BR1196" s="25">
        <f>Inventory[[#This Row],[Adjusted Impr Total]]+Inventory[[#This Row],[Adjusted Land Total]]</f>
        <v>765100</v>
      </c>
      <c r="BS1196" s="36">
        <f>IFERROR((Inventory[[#This Row],[Adjusted Impr Total]]-Inventory[[#This Row],[24Bldg]])/Inventory[[#This Row],[24Bldg]],0)</f>
        <v>0.19096578459464014</v>
      </c>
      <c r="BT1196" s="36">
        <f>(Inventory[[#This Row],[Adjusted Land Total]]-Inventory[[#This Row],[24Lnd]])/Inventory[[#This Row],[24Lnd]]</f>
        <v>-0.29856115107913667</v>
      </c>
      <c r="BU1196" s="36">
        <f>(Inventory[[#This Row],[Adjusted Total]]-Inventory[[#This Row],[24Final]])/Inventory[[#This Row],[24Final]]</f>
        <v>0.13063395891827989</v>
      </c>
    </row>
    <row r="1197" spans="1:73" x14ac:dyDescent="0.3">
      <c r="A1197" s="25">
        <v>2025</v>
      </c>
      <c r="B1197" s="26" t="s">
        <v>788</v>
      </c>
      <c r="C1197" s="26">
        <f>LN(Inventory[[#This Row],[Acres]])</f>
        <v>-1.7147984280919266</v>
      </c>
      <c r="D1197" s="25">
        <v>0.18</v>
      </c>
      <c r="E1197" s="25">
        <v>8040</v>
      </c>
      <c r="F1197" s="26" t="s">
        <v>537</v>
      </c>
      <c r="G1197" s="26" t="s">
        <v>126</v>
      </c>
      <c r="H1197" s="26" t="s">
        <v>349</v>
      </c>
      <c r="I1197" s="26" t="s">
        <v>538</v>
      </c>
      <c r="J1197" s="26" t="s">
        <v>539</v>
      </c>
      <c r="K1197" s="26" t="s">
        <v>242</v>
      </c>
      <c r="L1197" s="26" t="s">
        <v>351</v>
      </c>
      <c r="M1197" s="26" t="s">
        <v>303</v>
      </c>
      <c r="N1197" s="26">
        <v>90</v>
      </c>
      <c r="O1197" s="26">
        <f>2024-Inventory[[#This Row],[YrBlt]]</f>
        <v>84</v>
      </c>
      <c r="P1197" s="26">
        <f>2024-Inventory[[#This Row],[EffYr]]</f>
        <v>52</v>
      </c>
      <c r="Q1197" s="25">
        <v>1940</v>
      </c>
      <c r="R1197" s="25">
        <v>1972</v>
      </c>
      <c r="S1197" s="25">
        <v>1166</v>
      </c>
      <c r="T1197" s="27"/>
      <c r="U1197" s="32">
        <v>892</v>
      </c>
      <c r="V1197" s="32">
        <f>Inventory[[#This Row],[Bsmt]]-Inventory[[#This Row],[FnBsmt]]</f>
        <v>892</v>
      </c>
      <c r="W1197" s="27"/>
      <c r="X1197" s="27"/>
      <c r="Y1197" s="27">
        <f>Inventory[[#This Row],[MainFn]]+Inventory[[#This Row],[UpprFn]]+Inventory[[#This Row],[FnBsmt]]+Inventory[[#This Row],[AddFn]]</f>
        <v>1166</v>
      </c>
      <c r="Z1197" s="27">
        <v>1500</v>
      </c>
      <c r="AA1197" s="25">
        <v>8</v>
      </c>
      <c r="AB1197" s="27"/>
      <c r="AC1197" s="27"/>
      <c r="AD1197" s="32">
        <v>96</v>
      </c>
      <c r="AE1197" s="27"/>
      <c r="AF1197" s="27"/>
      <c r="AG1197" s="27"/>
      <c r="AH1197" s="27"/>
      <c r="AI1197" s="25">
        <v>237479</v>
      </c>
      <c r="AJ1197" s="25">
        <v>166235</v>
      </c>
      <c r="AK1197" s="25">
        <v>9040</v>
      </c>
      <c r="AL1197" s="25">
        <v>326300</v>
      </c>
      <c r="AM1197" s="25">
        <v>54700</v>
      </c>
      <c r="AN1197" s="25">
        <v>271600</v>
      </c>
      <c r="AO1197" s="25">
        <v>0</v>
      </c>
      <c r="AP1197" s="25">
        <f>Lookups!$B$56*0</f>
        <v>0</v>
      </c>
      <c r="AQ1197" s="25">
        <f>Lookups!$B$56*1</f>
        <v>89850.625589999996</v>
      </c>
      <c r="AR1197" s="25">
        <f>Lookups!$B$57*Inventory[[#This Row],[LnAcres]]</f>
        <v>-54281.285314520763</v>
      </c>
      <c r="AS1197" s="25">
        <f>VLOOKUP(Inventory[[#This Row],[Qlty]],Lookups!$A$62:$E$75,2,FALSE)</f>
        <v>21557.329055999999</v>
      </c>
      <c r="AT1197" s="25">
        <f>VLOOKUP(Inventory[[#This Row],[Cnd]],Lookups!$A$76:$E$84,2,FALSE)</f>
        <v>197752.34721000001</v>
      </c>
      <c r="AU1197" s="25">
        <f>Inventory[[#This Row],[EffAge]]*Lookups!$B$85</f>
        <v>-11598.371226000001</v>
      </c>
      <c r="AV1197" s="25">
        <f>Inventory[[#This Row],[MainFn]]*Lookups!$B$86</f>
        <v>57610.509076581999</v>
      </c>
      <c r="AW1197" s="25">
        <f>Inventory[[#This Row],[UpprFn]]*Lookups!$B$87</f>
        <v>0</v>
      </c>
      <c r="AX1197" s="25">
        <f>Inventory[[#This Row],[AddFn]]*Lookups!$B$88</f>
        <v>0</v>
      </c>
      <c r="AY1197" s="25">
        <f>Inventory[[#This Row],[Bsmt]]*Lookups!$B$89</f>
        <v>25941.050560323998</v>
      </c>
      <c r="AZ1197" s="25">
        <f>Inventory[[#This Row],[Fixtures]]*Lookups!$B$90</f>
        <v>30336.176841600001</v>
      </c>
      <c r="BA1197" s="25">
        <f>Inventory[[#This Row],[WdDeck]]*Lookups!$B$91</f>
        <v>3196.3694664960003</v>
      </c>
      <c r="BB1197" s="25">
        <f>ROUND(Inventory[[#This Row],[25Det]],-2)</f>
        <v>9000</v>
      </c>
      <c r="BC1197" s="25">
        <f>ROUND(SUM(Inventory[[#This Row],[Mdl Qlty]:[Mdl WdDeck]])+Inventory[[#This Row],[Mdl Res Intercept]],-2)</f>
        <v>324800</v>
      </c>
      <c r="BD1197" s="25">
        <f>ROUND(Inventory[[#This Row],[Mdl Land Intercept]]+Inventory[[#This Row],[Mdl LnAcres]],-2)</f>
        <v>35600</v>
      </c>
      <c r="BE1197" s="25">
        <f>Inventory[[#This Row],[Unadj Res Value]]+Inventory[[#This Row],[Unadj Det Value]]+Inventory[[#This Row],[Unadj Land Value]]</f>
        <v>369400</v>
      </c>
      <c r="BF1197" s="36">
        <f>(Inventory[[#This Row],[Unadj Total Value]]-Inventory[[#This Row],[24Final]])/Inventory[[#This Row],[24Final]]</f>
        <v>0.13208703646950659</v>
      </c>
      <c r="BG1197" s="25">
        <f>VLOOKUP(Inventory[[#This Row],[Nbhd]],Lookups!$Q$2:$T$4,4,FALSE)</f>
        <v>0.99970000000000003</v>
      </c>
      <c r="BH1197" s="25">
        <f>VLOOKUP(Inventory[[#This Row],[Qlty]],Lookups!$O$7:$R$21,4,FALSE)</f>
        <v>1.0067999999999999</v>
      </c>
      <c r="BI1197" s="25">
        <f>VLOOKUP(Inventory[[#This Row],[Cnd]],Lookups!$T$7:$W$16,4,FALSE)</f>
        <v>0.99650000000000005</v>
      </c>
      <c r="BJ1197" s="25">
        <f>VLOOKUP(Inventory[[#This Row],[LivArea Range]],Lookups!$T$25:$W$37,4,FALSE)</f>
        <v>1.0157</v>
      </c>
      <c r="BK1197" s="25">
        <f>VLOOKUP(Inventory[[#This Row],[Decade]],Lookups!$O$25:$R$42,4,FALSE)</f>
        <v>0.98909999999999998</v>
      </c>
      <c r="BL1197" s="25">
        <f>Inventory[[#This Row],[Nbhd Adj]]*0.95</f>
        <v>0.94971499999999998</v>
      </c>
      <c r="BM1197" s="25">
        <f>Inventory[[#This Row],[Nbhd Adj]]*Inventory[[#This Row],[Quality Adj]]*Inventory[[#This Row],[Condition Adj]]*Inventory[[#This Row],[Living Area Adj]]*Inventory[[#This Row],[Decade Adj]]*0.95</f>
        <v>0.95723696608169473</v>
      </c>
      <c r="BN1197" s="25">
        <f>ROUND(SUM(Inventory[[#This Row],[Mdl Qlty]:[Mdl WdDeck]])+Inventory[[#This Row],[Mdl Res Intercept]]*Inventory[[#This Row],[Res Adj ]],-2)</f>
        <v>324800</v>
      </c>
      <c r="BO1197" s="25">
        <f>ROUND(Inventory[[#This Row],[25Det]]*Inventory[[#This Row],[Det/Nbhd Adj]],-2)</f>
        <v>8600</v>
      </c>
      <c r="BP1197" s="25">
        <f>Inventory[[#This Row],[Adjusted Res]]+Inventory[[#This Row],[Adj Det ]]</f>
        <v>333400</v>
      </c>
      <c r="BQ1197" s="25">
        <f>ROUND((Inventory[[#This Row],[Mdl Land Intercept]]+Inventory[[#This Row],[Mdl LnAcres]])*Inventory[[#This Row],[Det/Nbhd Adj]],-2)</f>
        <v>33800</v>
      </c>
      <c r="BR1197" s="25">
        <f>Inventory[[#This Row],[Adjusted Impr Total]]+Inventory[[#This Row],[Adjusted Land Total]]</f>
        <v>367200</v>
      </c>
      <c r="BS1197" s="36">
        <f>IFERROR((Inventory[[#This Row],[Adjusted Impr Total]]-Inventory[[#This Row],[24Bldg]])/Inventory[[#This Row],[24Bldg]],0)</f>
        <v>0.22754050073637702</v>
      </c>
      <c r="BT1197" s="36">
        <f>(Inventory[[#This Row],[Adjusted Land Total]]-Inventory[[#This Row],[24Lnd]])/Inventory[[#This Row],[24Lnd]]</f>
        <v>-0.38208409506398539</v>
      </c>
      <c r="BU1197" s="36">
        <f>(Inventory[[#This Row],[Adjusted Total]]-Inventory[[#This Row],[24Final]])/Inventory[[#This Row],[24Final]]</f>
        <v>0.12534477474716518</v>
      </c>
    </row>
    <row r="1198" spans="1:73" x14ac:dyDescent="0.3">
      <c r="A1198" s="25">
        <v>2025</v>
      </c>
      <c r="B1198" s="26" t="s">
        <v>1083</v>
      </c>
      <c r="C1198" s="26">
        <f>LN(Inventory[[#This Row],[Acres]])</f>
        <v>-1.8325814637483102</v>
      </c>
      <c r="D1198" s="25">
        <v>0.16</v>
      </c>
      <c r="E1198" s="27"/>
      <c r="F1198" s="26" t="s">
        <v>537</v>
      </c>
      <c r="G1198" s="26" t="s">
        <v>126</v>
      </c>
      <c r="H1198" s="26" t="s">
        <v>349</v>
      </c>
      <c r="I1198" s="26" t="s">
        <v>538</v>
      </c>
      <c r="J1198" s="26" t="s">
        <v>539</v>
      </c>
      <c r="K1198" s="26" t="s">
        <v>242</v>
      </c>
      <c r="L1198" s="26" t="s">
        <v>302</v>
      </c>
      <c r="M1198" s="26" t="s">
        <v>206</v>
      </c>
      <c r="N1198" s="26">
        <v>90</v>
      </c>
      <c r="O1198" s="26">
        <f>2024-Inventory[[#This Row],[YrBlt]]</f>
        <v>84</v>
      </c>
      <c r="P1198" s="26">
        <f>2024-Inventory[[#This Row],[EffYr]]</f>
        <v>52</v>
      </c>
      <c r="Q1198" s="25">
        <v>1940</v>
      </c>
      <c r="R1198" s="25">
        <v>1972</v>
      </c>
      <c r="S1198" s="25">
        <v>1209</v>
      </c>
      <c r="T1198" s="27"/>
      <c r="U1198" s="25">
        <v>1050</v>
      </c>
      <c r="V1198" s="25">
        <f>Inventory[[#This Row],[Bsmt]]-Inventory[[#This Row],[FnBsmt]]</f>
        <v>748</v>
      </c>
      <c r="W1198" s="25">
        <v>302</v>
      </c>
      <c r="X1198" s="27"/>
      <c r="Y1198" s="27">
        <f>Inventory[[#This Row],[MainFn]]+Inventory[[#This Row],[UpprFn]]+Inventory[[#This Row],[FnBsmt]]+Inventory[[#This Row],[AddFn]]</f>
        <v>1511</v>
      </c>
      <c r="Z1198" s="27">
        <v>2000</v>
      </c>
      <c r="AA1198" s="25">
        <v>5</v>
      </c>
      <c r="AB1198" s="27"/>
      <c r="AC1198" s="27"/>
      <c r="AD1198" s="32">
        <v>204</v>
      </c>
      <c r="AE1198" s="27"/>
      <c r="AF1198" s="27"/>
      <c r="AG1198" s="27"/>
      <c r="AH1198" s="27"/>
      <c r="AI1198" s="25">
        <v>301563</v>
      </c>
      <c r="AJ1198" s="25">
        <v>199032</v>
      </c>
      <c r="AK1198" s="25">
        <v>6724</v>
      </c>
      <c r="AL1198" s="25">
        <v>271100</v>
      </c>
      <c r="AM1198" s="25">
        <v>50600</v>
      </c>
      <c r="AN1198" s="25">
        <v>220500</v>
      </c>
      <c r="AO1198" s="25">
        <v>0</v>
      </c>
      <c r="AP1198" s="25">
        <f>Lookups!$B$56*0</f>
        <v>0</v>
      </c>
      <c r="AQ1198" s="25">
        <f>Lookups!$B$56*1</f>
        <v>89850.625589999996</v>
      </c>
      <c r="AR1198" s="25">
        <f>Lookups!$B$57*Inventory[[#This Row],[LnAcres]]</f>
        <v>-58009.662049032086</v>
      </c>
      <c r="AS1198" s="25">
        <f>VLOOKUP(Inventory[[#This Row],[Qlty]],Lookups!$A$62:$E$75,2,FALSE)</f>
        <v>29814.093161000001</v>
      </c>
      <c r="AT1198" s="25">
        <f>VLOOKUP(Inventory[[#This Row],[Cnd]],Lookups!$A$76:$E$84,2,FALSE)</f>
        <v>133714.53821</v>
      </c>
      <c r="AU1198" s="25">
        <f>Inventory[[#This Row],[EffAge]]*Lookups!$B$85</f>
        <v>-11598.371226000001</v>
      </c>
      <c r="AV1198" s="25">
        <f>Inventory[[#This Row],[MainFn]]*Lookups!$B$86</f>
        <v>59735.081881293001</v>
      </c>
      <c r="AW1198" s="25">
        <f>Inventory[[#This Row],[UpprFn]]*Lookups!$B$87</f>
        <v>0</v>
      </c>
      <c r="AX1198" s="25">
        <f>Inventory[[#This Row],[AddFn]]*Lookups!$B$88</f>
        <v>0</v>
      </c>
      <c r="AY1198" s="25">
        <f>Inventory[[#This Row],[Bsmt]]*Lookups!$B$89</f>
        <v>30535.99000935</v>
      </c>
      <c r="AZ1198" s="25">
        <f>Inventory[[#This Row],[Fixtures]]*Lookups!$B$90</f>
        <v>18960.110526</v>
      </c>
      <c r="BA1198" s="25">
        <f>Inventory[[#This Row],[WdDeck]]*Lookups!$B$91</f>
        <v>6792.2851163040004</v>
      </c>
      <c r="BB1198" s="25">
        <f>ROUND(Inventory[[#This Row],[25Det]],-2)</f>
        <v>6700</v>
      </c>
      <c r="BC1198" s="25">
        <f>ROUND(SUM(Inventory[[#This Row],[Mdl Qlty]:[Mdl WdDeck]])+Inventory[[#This Row],[Mdl Res Intercept]],-2)</f>
        <v>268000</v>
      </c>
      <c r="BD1198" s="25">
        <f>ROUND(Inventory[[#This Row],[Mdl Land Intercept]]+Inventory[[#This Row],[Mdl LnAcres]],-2)</f>
        <v>31800</v>
      </c>
      <c r="BE1198" s="25">
        <f>Inventory[[#This Row],[Unadj Res Value]]+Inventory[[#This Row],[Unadj Det Value]]+Inventory[[#This Row],[Unadj Land Value]]</f>
        <v>306500</v>
      </c>
      <c r="BF1198" s="36">
        <f>(Inventory[[#This Row],[Unadj Total Value]]-Inventory[[#This Row],[24Final]])/Inventory[[#This Row],[24Final]]</f>
        <v>0.13057912209516784</v>
      </c>
      <c r="BG1198" s="25">
        <f>VLOOKUP(Inventory[[#This Row],[Nbhd]],Lookups!$Q$2:$T$4,4,FALSE)</f>
        <v>0.99970000000000003</v>
      </c>
      <c r="BH1198" s="25">
        <f>VLOOKUP(Inventory[[#This Row],[Qlty]],Lookups!$O$7:$R$21,4,FALSE)</f>
        <v>1.0088999999999999</v>
      </c>
      <c r="BI1198" s="25">
        <f>VLOOKUP(Inventory[[#This Row],[Cnd]],Lookups!$T$7:$W$16,4,FALSE)</f>
        <v>0.99329999999999996</v>
      </c>
      <c r="BJ1198" s="25">
        <f>VLOOKUP(Inventory[[#This Row],[LivArea Range]],Lookups!$T$25:$W$37,4,FALSE)</f>
        <v>1.0093000000000001</v>
      </c>
      <c r="BK1198" s="25">
        <f>VLOOKUP(Inventory[[#This Row],[Decade]],Lookups!$O$25:$R$42,4,FALSE)</f>
        <v>0.98909999999999998</v>
      </c>
      <c r="BL1198" s="25">
        <f>Inventory[[#This Row],[Nbhd Adj]]*0.95</f>
        <v>0.94971499999999998</v>
      </c>
      <c r="BM1198" s="25">
        <f>Inventory[[#This Row],[Nbhd Adj]]*Inventory[[#This Row],[Quality Adj]]*Inventory[[#This Row],[Condition Adj]]*Inventory[[#This Row],[Living Area Adj]]*Inventory[[#This Row],[Decade Adj]]*0.95</f>
        <v>0.95012846643960336</v>
      </c>
      <c r="BN1198" s="25">
        <f>ROUND(SUM(Inventory[[#This Row],[Mdl Qlty]:[Mdl WdDeck]])+Inventory[[#This Row],[Mdl Res Intercept]]*Inventory[[#This Row],[Res Adj ]],-2)</f>
        <v>268000</v>
      </c>
      <c r="BO1198" s="25">
        <f>ROUND(Inventory[[#This Row],[25Det]]*Inventory[[#This Row],[Det/Nbhd Adj]],-2)</f>
        <v>6400</v>
      </c>
      <c r="BP1198" s="25">
        <f>Inventory[[#This Row],[Adjusted Res]]+Inventory[[#This Row],[Adj Det ]]</f>
        <v>274400</v>
      </c>
      <c r="BQ1198" s="25">
        <f>ROUND((Inventory[[#This Row],[Mdl Land Intercept]]+Inventory[[#This Row],[Mdl LnAcres]])*Inventory[[#This Row],[Det/Nbhd Adj]],-2)</f>
        <v>30200</v>
      </c>
      <c r="BR1198" s="25">
        <f>Inventory[[#This Row],[Adjusted Impr Total]]+Inventory[[#This Row],[Adjusted Land Total]]</f>
        <v>304600</v>
      </c>
      <c r="BS1198" s="36">
        <f>IFERROR((Inventory[[#This Row],[Adjusted Impr Total]]-Inventory[[#This Row],[24Bldg]])/Inventory[[#This Row],[24Bldg]],0)</f>
        <v>0.24444444444444444</v>
      </c>
      <c r="BT1198" s="36">
        <f>(Inventory[[#This Row],[Adjusted Land Total]]-Inventory[[#This Row],[24Lnd]])/Inventory[[#This Row],[24Lnd]]</f>
        <v>-0.40316205533596838</v>
      </c>
      <c r="BU1198" s="36">
        <f>(Inventory[[#This Row],[Adjusted Total]]-Inventory[[#This Row],[24Final]])/Inventory[[#This Row],[24Final]]</f>
        <v>0.12357063814090742</v>
      </c>
    </row>
    <row r="1199" spans="1:73" x14ac:dyDescent="0.3">
      <c r="A1199" s="25">
        <v>2025</v>
      </c>
      <c r="B1199" s="26" t="s">
        <v>1392</v>
      </c>
      <c r="C1199" s="26">
        <f>LN(Inventory[[#This Row],[Acres]])</f>
        <v>-2.0402208285265546</v>
      </c>
      <c r="D1199" s="25">
        <v>0.13</v>
      </c>
      <c r="E1199" s="32">
        <v>5662</v>
      </c>
      <c r="F1199" s="26" t="s">
        <v>537</v>
      </c>
      <c r="G1199" s="26" t="s">
        <v>126</v>
      </c>
      <c r="H1199" s="26" t="s">
        <v>349</v>
      </c>
      <c r="I1199" s="26" t="s">
        <v>538</v>
      </c>
      <c r="J1199" s="26" t="s">
        <v>539</v>
      </c>
      <c r="K1199" s="26" t="s">
        <v>242</v>
      </c>
      <c r="L1199" s="26" t="s">
        <v>351</v>
      </c>
      <c r="M1199" s="26" t="s">
        <v>303</v>
      </c>
      <c r="N1199" s="26">
        <v>90</v>
      </c>
      <c r="O1199" s="26">
        <f>2024-Inventory[[#This Row],[YrBlt]]</f>
        <v>84</v>
      </c>
      <c r="P1199" s="26">
        <f>2024-Inventory[[#This Row],[EffYr]]</f>
        <v>52</v>
      </c>
      <c r="Q1199" s="25">
        <v>1940</v>
      </c>
      <c r="R1199" s="25">
        <v>1972</v>
      </c>
      <c r="S1199" s="25">
        <v>952</v>
      </c>
      <c r="T1199" s="27"/>
      <c r="U1199" s="32">
        <v>969</v>
      </c>
      <c r="V1199" s="32">
        <f>Inventory[[#This Row],[Bsmt]]-Inventory[[#This Row],[FnBsmt]]</f>
        <v>649</v>
      </c>
      <c r="W1199" s="32">
        <v>320</v>
      </c>
      <c r="X1199" s="27"/>
      <c r="Y1199" s="27">
        <f>Inventory[[#This Row],[MainFn]]+Inventory[[#This Row],[UpprFn]]+Inventory[[#This Row],[FnBsmt]]+Inventory[[#This Row],[AddFn]]</f>
        <v>1272</v>
      </c>
      <c r="Z1199" s="27">
        <v>1500</v>
      </c>
      <c r="AA1199" s="25">
        <v>5</v>
      </c>
      <c r="AB1199" s="27"/>
      <c r="AC1199" s="27"/>
      <c r="AD1199" s="27"/>
      <c r="AE1199" s="27"/>
      <c r="AF1199" s="27"/>
      <c r="AG1199" s="27"/>
      <c r="AH1199" s="27"/>
      <c r="AI1199" s="25">
        <v>210864</v>
      </c>
      <c r="AJ1199" s="25">
        <v>147605</v>
      </c>
      <c r="AK1199" s="25">
        <v>8156</v>
      </c>
      <c r="AL1199" s="25">
        <v>298300</v>
      </c>
      <c r="AM1199" s="25">
        <v>43400</v>
      </c>
      <c r="AN1199" s="25">
        <v>254900</v>
      </c>
      <c r="AO1199" s="25">
        <v>0</v>
      </c>
      <c r="AP1199" s="25">
        <f>Lookups!$B$56*0</f>
        <v>0</v>
      </c>
      <c r="AQ1199" s="25">
        <f>Lookups!$B$56*1</f>
        <v>89850.625589999996</v>
      </c>
      <c r="AR1199" s="25">
        <f>Lookups!$B$57*Inventory[[#This Row],[LnAcres]]</f>
        <v>-64582.406353792743</v>
      </c>
      <c r="AS1199" s="25">
        <f>VLOOKUP(Inventory[[#This Row],[Qlty]],Lookups!$A$62:$E$75,2,FALSE)</f>
        <v>21557.329055999999</v>
      </c>
      <c r="AT1199" s="25">
        <f>VLOOKUP(Inventory[[#This Row],[Cnd]],Lookups!$A$76:$E$84,2,FALSE)</f>
        <v>197752.34721000001</v>
      </c>
      <c r="AU1199" s="25">
        <f>Inventory[[#This Row],[EffAge]]*Lookups!$B$85</f>
        <v>-11598.371226000001</v>
      </c>
      <c r="AV1199" s="25">
        <f>Inventory[[#This Row],[MainFn]]*Lookups!$B$86</f>
        <v>47037.053722903998</v>
      </c>
      <c r="AW1199" s="25">
        <f>Inventory[[#This Row],[UpprFn]]*Lookups!$B$87</f>
        <v>0</v>
      </c>
      <c r="AX1199" s="25">
        <f>Inventory[[#This Row],[AddFn]]*Lookups!$B$88</f>
        <v>0</v>
      </c>
      <c r="AY1199" s="25">
        <f>Inventory[[#This Row],[Bsmt]]*Lookups!$B$89</f>
        <v>28180.356494342999</v>
      </c>
      <c r="AZ1199" s="25">
        <f>Inventory[[#This Row],[Fixtures]]*Lookups!$B$90</f>
        <v>18960.110526</v>
      </c>
      <c r="BA1199" s="25">
        <f>Inventory[[#This Row],[WdDeck]]*Lookups!$B$91</f>
        <v>0</v>
      </c>
      <c r="BB1199" s="25">
        <f>ROUND(Inventory[[#This Row],[25Det]],-2)</f>
        <v>8200</v>
      </c>
      <c r="BC1199" s="25">
        <f>ROUND(SUM(Inventory[[#This Row],[Mdl Qlty]:[Mdl WdDeck]])+Inventory[[#This Row],[Mdl Res Intercept]],-2)</f>
        <v>301900</v>
      </c>
      <c r="BD1199" s="25">
        <f>ROUND(Inventory[[#This Row],[Mdl Land Intercept]]+Inventory[[#This Row],[Mdl LnAcres]],-2)</f>
        <v>25300</v>
      </c>
      <c r="BE1199" s="25">
        <f>Inventory[[#This Row],[Unadj Res Value]]+Inventory[[#This Row],[Unadj Det Value]]+Inventory[[#This Row],[Unadj Land Value]]</f>
        <v>335400</v>
      </c>
      <c r="BF1199" s="36">
        <f>(Inventory[[#This Row],[Unadj Total Value]]-Inventory[[#This Row],[24Final]])/Inventory[[#This Row],[24Final]]</f>
        <v>0.12437143814951392</v>
      </c>
      <c r="BG1199" s="25">
        <f>VLOOKUP(Inventory[[#This Row],[Nbhd]],Lookups!$Q$2:$T$4,4,FALSE)</f>
        <v>0.99970000000000003</v>
      </c>
      <c r="BH1199" s="25">
        <f>VLOOKUP(Inventory[[#This Row],[Qlty]],Lookups!$O$7:$R$21,4,FALSE)</f>
        <v>1.0067999999999999</v>
      </c>
      <c r="BI1199" s="25">
        <f>VLOOKUP(Inventory[[#This Row],[Cnd]],Lookups!$T$7:$W$16,4,FALSE)</f>
        <v>0.99650000000000005</v>
      </c>
      <c r="BJ1199" s="25">
        <f>VLOOKUP(Inventory[[#This Row],[LivArea Range]],Lookups!$T$25:$W$37,4,FALSE)</f>
        <v>1.0157</v>
      </c>
      <c r="BK1199" s="25">
        <f>VLOOKUP(Inventory[[#This Row],[Decade]],Lookups!$O$25:$R$42,4,FALSE)</f>
        <v>0.98909999999999998</v>
      </c>
      <c r="BL1199" s="25">
        <f>Inventory[[#This Row],[Nbhd Adj]]*0.95</f>
        <v>0.94971499999999998</v>
      </c>
      <c r="BM1199" s="25">
        <f>Inventory[[#This Row],[Nbhd Adj]]*Inventory[[#This Row],[Quality Adj]]*Inventory[[#This Row],[Condition Adj]]*Inventory[[#This Row],[Living Area Adj]]*Inventory[[#This Row],[Decade Adj]]*0.95</f>
        <v>0.95723696608169473</v>
      </c>
      <c r="BN1199" s="25">
        <f>ROUND(SUM(Inventory[[#This Row],[Mdl Qlty]:[Mdl WdDeck]])+Inventory[[#This Row],[Mdl Res Intercept]]*Inventory[[#This Row],[Res Adj ]],-2)</f>
        <v>301900</v>
      </c>
      <c r="BO1199" s="25">
        <f>ROUND(Inventory[[#This Row],[25Det]]*Inventory[[#This Row],[Det/Nbhd Adj]],-2)</f>
        <v>7700</v>
      </c>
      <c r="BP1199" s="25">
        <f>Inventory[[#This Row],[Adjusted Res]]+Inventory[[#This Row],[Adj Det ]]</f>
        <v>309600</v>
      </c>
      <c r="BQ1199" s="25">
        <f>ROUND((Inventory[[#This Row],[Mdl Land Intercept]]+Inventory[[#This Row],[Mdl LnAcres]])*Inventory[[#This Row],[Det/Nbhd Adj]],-2)</f>
        <v>24000</v>
      </c>
      <c r="BR1199" s="25">
        <f>Inventory[[#This Row],[Adjusted Impr Total]]+Inventory[[#This Row],[Adjusted Land Total]]</f>
        <v>333600</v>
      </c>
      <c r="BS1199" s="36">
        <f>IFERROR((Inventory[[#This Row],[Adjusted Impr Total]]-Inventory[[#This Row],[24Bldg]])/Inventory[[#This Row],[24Bldg]],0)</f>
        <v>0.21459395841506473</v>
      </c>
      <c r="BT1199" s="36">
        <f>(Inventory[[#This Row],[Adjusted Land Total]]-Inventory[[#This Row],[24Lnd]])/Inventory[[#This Row],[24Lnd]]</f>
        <v>-0.44700460829493088</v>
      </c>
      <c r="BU1199" s="36">
        <f>(Inventory[[#This Row],[Adjusted Total]]-Inventory[[#This Row],[24Final]])/Inventory[[#This Row],[24Final]]</f>
        <v>0.11833724438484747</v>
      </c>
    </row>
    <row r="1200" spans="1:73" x14ac:dyDescent="0.3">
      <c r="A1200" s="25">
        <v>2025</v>
      </c>
      <c r="B1200" s="26" t="s">
        <v>953</v>
      </c>
      <c r="C1200" s="26">
        <f>LN(Inventory[[#This Row],[Acres]])</f>
        <v>-1.6094379124341003</v>
      </c>
      <c r="D1200" s="25">
        <v>0.2</v>
      </c>
      <c r="E1200" s="32">
        <v>8519</v>
      </c>
      <c r="F1200" s="26" t="s">
        <v>537</v>
      </c>
      <c r="G1200" s="26" t="s">
        <v>126</v>
      </c>
      <c r="H1200" s="26" t="s">
        <v>349</v>
      </c>
      <c r="I1200" s="26" t="s">
        <v>538</v>
      </c>
      <c r="J1200" s="26" t="s">
        <v>539</v>
      </c>
      <c r="K1200" s="26" t="s">
        <v>242</v>
      </c>
      <c r="L1200" s="26" t="s">
        <v>351</v>
      </c>
      <c r="M1200" s="26" t="s">
        <v>303</v>
      </c>
      <c r="N1200" s="26">
        <v>90</v>
      </c>
      <c r="O1200" s="26">
        <f>2024-Inventory[[#This Row],[YrBlt]]</f>
        <v>84</v>
      </c>
      <c r="P1200" s="26">
        <f>2024-Inventory[[#This Row],[EffYr]]</f>
        <v>52</v>
      </c>
      <c r="Q1200" s="25">
        <v>1940</v>
      </c>
      <c r="R1200" s="25">
        <v>1972</v>
      </c>
      <c r="S1200" s="25">
        <v>1042</v>
      </c>
      <c r="T1200" s="27"/>
      <c r="U1200" s="25">
        <v>1085</v>
      </c>
      <c r="V1200" s="25">
        <f>Inventory[[#This Row],[Bsmt]]-Inventory[[#This Row],[FnBsmt]]</f>
        <v>1085</v>
      </c>
      <c r="W1200" s="31"/>
      <c r="X1200" s="27"/>
      <c r="Y1200" s="27">
        <f>Inventory[[#This Row],[MainFn]]+Inventory[[#This Row],[UpprFn]]+Inventory[[#This Row],[FnBsmt]]+Inventory[[#This Row],[AddFn]]</f>
        <v>1042</v>
      </c>
      <c r="Z1200" s="27">
        <v>1500</v>
      </c>
      <c r="AA1200" s="25">
        <v>5</v>
      </c>
      <c r="AB1200" s="27"/>
      <c r="AC1200" s="27"/>
      <c r="AD1200" s="27"/>
      <c r="AE1200" s="27"/>
      <c r="AF1200" s="27"/>
      <c r="AG1200" s="27"/>
      <c r="AH1200" s="27"/>
      <c r="AI1200" s="25">
        <v>214043</v>
      </c>
      <c r="AJ1200" s="25">
        <v>149830</v>
      </c>
      <c r="AK1200" s="25">
        <v>15582</v>
      </c>
      <c r="AL1200" s="25">
        <v>323500</v>
      </c>
      <c r="AM1200" s="25">
        <v>58400</v>
      </c>
      <c r="AN1200" s="25">
        <v>265100</v>
      </c>
      <c r="AO1200" s="25">
        <v>0</v>
      </c>
      <c r="AP1200" s="25">
        <f>Lookups!$B$56*0</f>
        <v>0</v>
      </c>
      <c r="AQ1200" s="25">
        <f>Lookups!$B$56*1</f>
        <v>89850.625589999996</v>
      </c>
      <c r="AR1200" s="25">
        <f>Lookups!$B$57*Inventory[[#This Row],[LnAcres]]</f>
        <v>-50946.13867709865</v>
      </c>
      <c r="AS1200" s="25">
        <f>VLOOKUP(Inventory[[#This Row],[Qlty]],Lookups!$A$62:$E$75,2,FALSE)</f>
        <v>21557.329055999999</v>
      </c>
      <c r="AT1200" s="25">
        <f>VLOOKUP(Inventory[[#This Row],[Cnd]],Lookups!$A$76:$E$84,2,FALSE)</f>
        <v>197752.34721000001</v>
      </c>
      <c r="AU1200" s="25">
        <f>Inventory[[#This Row],[EffAge]]*Lookups!$B$85</f>
        <v>-11598.371226000001</v>
      </c>
      <c r="AV1200" s="25">
        <f>Inventory[[#This Row],[MainFn]]*Lookups!$B$86</f>
        <v>51483.834011833998</v>
      </c>
      <c r="AW1200" s="25">
        <f>Inventory[[#This Row],[UpprFn]]*Lookups!$B$87</f>
        <v>0</v>
      </c>
      <c r="AX1200" s="25">
        <f>Inventory[[#This Row],[AddFn]]*Lookups!$B$88</f>
        <v>0</v>
      </c>
      <c r="AY1200" s="25">
        <f>Inventory[[#This Row],[Bsmt]]*Lookups!$B$89</f>
        <v>31553.856342994997</v>
      </c>
      <c r="AZ1200" s="25">
        <f>Inventory[[#This Row],[Fixtures]]*Lookups!$B$90</f>
        <v>18960.110526</v>
      </c>
      <c r="BA1200" s="25">
        <f>Inventory[[#This Row],[WdDeck]]*Lookups!$B$91</f>
        <v>0</v>
      </c>
      <c r="BB1200" s="25">
        <f>ROUND(Inventory[[#This Row],[25Det]],-2)</f>
        <v>15600</v>
      </c>
      <c r="BC1200" s="25">
        <f>ROUND(SUM(Inventory[[#This Row],[Mdl Qlty]:[Mdl WdDeck]])+Inventory[[#This Row],[Mdl Res Intercept]],-2)</f>
        <v>309700</v>
      </c>
      <c r="BD1200" s="25">
        <f>ROUND(Inventory[[#This Row],[Mdl Land Intercept]]+Inventory[[#This Row],[Mdl LnAcres]],-2)</f>
        <v>38900</v>
      </c>
      <c r="BE1200" s="25">
        <f>Inventory[[#This Row],[Unadj Res Value]]+Inventory[[#This Row],[Unadj Det Value]]+Inventory[[#This Row],[Unadj Land Value]]</f>
        <v>364200</v>
      </c>
      <c r="BF1200" s="36">
        <f>(Inventory[[#This Row],[Unadj Total Value]]-Inventory[[#This Row],[24Final]])/Inventory[[#This Row],[24Final]]</f>
        <v>0.12581143740340031</v>
      </c>
      <c r="BG1200" s="25">
        <f>VLOOKUP(Inventory[[#This Row],[Nbhd]],Lookups!$Q$2:$T$4,4,FALSE)</f>
        <v>0.99970000000000003</v>
      </c>
      <c r="BH1200" s="25">
        <f>VLOOKUP(Inventory[[#This Row],[Qlty]],Lookups!$O$7:$R$21,4,FALSE)</f>
        <v>1.0067999999999999</v>
      </c>
      <c r="BI1200" s="25">
        <f>VLOOKUP(Inventory[[#This Row],[Cnd]],Lookups!$T$7:$W$16,4,FALSE)</f>
        <v>0.99650000000000005</v>
      </c>
      <c r="BJ1200" s="25">
        <f>VLOOKUP(Inventory[[#This Row],[LivArea Range]],Lookups!$T$25:$W$37,4,FALSE)</f>
        <v>1.0157</v>
      </c>
      <c r="BK1200" s="25">
        <f>VLOOKUP(Inventory[[#This Row],[Decade]],Lookups!$O$25:$R$42,4,FALSE)</f>
        <v>0.98909999999999998</v>
      </c>
      <c r="BL1200" s="25">
        <f>Inventory[[#This Row],[Nbhd Adj]]*0.95</f>
        <v>0.94971499999999998</v>
      </c>
      <c r="BM1200" s="25">
        <f>Inventory[[#This Row],[Nbhd Adj]]*Inventory[[#This Row],[Quality Adj]]*Inventory[[#This Row],[Condition Adj]]*Inventory[[#This Row],[Living Area Adj]]*Inventory[[#This Row],[Decade Adj]]*0.95</f>
        <v>0.95723696608169473</v>
      </c>
      <c r="BN1200" s="25">
        <f>ROUND(SUM(Inventory[[#This Row],[Mdl Qlty]:[Mdl WdDeck]])+Inventory[[#This Row],[Mdl Res Intercept]]*Inventory[[#This Row],[Res Adj ]],-2)</f>
        <v>309700</v>
      </c>
      <c r="BO1200" s="25">
        <f>ROUND(Inventory[[#This Row],[25Det]]*Inventory[[#This Row],[Det/Nbhd Adj]],-2)</f>
        <v>14800</v>
      </c>
      <c r="BP1200" s="25">
        <f>Inventory[[#This Row],[Adjusted Res]]+Inventory[[#This Row],[Adj Det ]]</f>
        <v>324500</v>
      </c>
      <c r="BQ1200" s="25">
        <f>ROUND((Inventory[[#This Row],[Mdl Land Intercept]]+Inventory[[#This Row],[Mdl LnAcres]])*Inventory[[#This Row],[Det/Nbhd Adj]],-2)</f>
        <v>36900</v>
      </c>
      <c r="BR1200" s="25">
        <f>Inventory[[#This Row],[Adjusted Impr Total]]+Inventory[[#This Row],[Adjusted Land Total]]</f>
        <v>361400</v>
      </c>
      <c r="BS1200" s="36">
        <f>IFERROR((Inventory[[#This Row],[Adjusted Impr Total]]-Inventory[[#This Row],[24Bldg]])/Inventory[[#This Row],[24Bldg]],0)</f>
        <v>0.22406639004149378</v>
      </c>
      <c r="BT1200" s="36">
        <f>(Inventory[[#This Row],[Adjusted Land Total]]-Inventory[[#This Row],[24Lnd]])/Inventory[[#This Row],[24Lnd]]</f>
        <v>-0.36815068493150682</v>
      </c>
      <c r="BU1200" s="36">
        <f>(Inventory[[#This Row],[Adjusted Total]]-Inventory[[#This Row],[24Final]])/Inventory[[#This Row],[24Final]]</f>
        <v>0.11715610510046368</v>
      </c>
    </row>
    <row r="1201" spans="1:73" x14ac:dyDescent="0.3">
      <c r="A1201" s="25">
        <v>2025</v>
      </c>
      <c r="B1201" s="26" t="s">
        <v>1437</v>
      </c>
      <c r="C1201" s="26">
        <f>LN(Inventory[[#This Row],[Acres]])</f>
        <v>-1.3093333199837622</v>
      </c>
      <c r="D1201" s="25">
        <v>0.27</v>
      </c>
      <c r="E1201" s="32">
        <v>11547</v>
      </c>
      <c r="F1201" s="26" t="s">
        <v>537</v>
      </c>
      <c r="G1201" s="26" t="s">
        <v>126</v>
      </c>
      <c r="H1201" s="26" t="s">
        <v>349</v>
      </c>
      <c r="I1201" s="26" t="s">
        <v>538</v>
      </c>
      <c r="J1201" s="26" t="s">
        <v>539</v>
      </c>
      <c r="K1201" s="26" t="s">
        <v>242</v>
      </c>
      <c r="L1201" s="26" t="s">
        <v>351</v>
      </c>
      <c r="M1201" s="26" t="s">
        <v>303</v>
      </c>
      <c r="N1201" s="26">
        <v>90</v>
      </c>
      <c r="O1201" s="26">
        <f>2024-Inventory[[#This Row],[YrBlt]]</f>
        <v>84</v>
      </c>
      <c r="P1201" s="26">
        <f>2024-Inventory[[#This Row],[EffYr]]</f>
        <v>52</v>
      </c>
      <c r="Q1201" s="25">
        <v>1940</v>
      </c>
      <c r="R1201" s="25">
        <v>1972</v>
      </c>
      <c r="S1201" s="25">
        <v>1207</v>
      </c>
      <c r="T1201" s="27"/>
      <c r="U1201" s="25">
        <v>1107</v>
      </c>
      <c r="V1201" s="25">
        <f>Inventory[[#This Row],[Bsmt]]-Inventory[[#This Row],[FnBsmt]]</f>
        <v>1107</v>
      </c>
      <c r="W1201" s="31"/>
      <c r="X1201" s="27"/>
      <c r="Y1201" s="27">
        <f>Inventory[[#This Row],[MainFn]]+Inventory[[#This Row],[UpprFn]]+Inventory[[#This Row],[FnBsmt]]+Inventory[[#This Row],[AddFn]]</f>
        <v>1207</v>
      </c>
      <c r="Z1201" s="27">
        <v>1500</v>
      </c>
      <c r="AA1201" s="25">
        <v>5</v>
      </c>
      <c r="AB1201" s="32">
        <v>253</v>
      </c>
      <c r="AC1201" s="27"/>
      <c r="AD1201" s="27"/>
      <c r="AE1201" s="27"/>
      <c r="AF1201" s="27"/>
      <c r="AG1201" s="27"/>
      <c r="AH1201" s="27"/>
      <c r="AI1201" s="25">
        <v>254034</v>
      </c>
      <c r="AJ1201" s="25">
        <v>177824</v>
      </c>
      <c r="AK1201" s="25">
        <v>24795</v>
      </c>
      <c r="AL1201" s="25">
        <v>348000</v>
      </c>
      <c r="AM1201" s="25">
        <v>68900</v>
      </c>
      <c r="AN1201" s="25">
        <v>279100</v>
      </c>
      <c r="AO1201" s="25">
        <v>0</v>
      </c>
      <c r="AP1201" s="25">
        <f>Lookups!$B$56*0</f>
        <v>0</v>
      </c>
      <c r="AQ1201" s="25">
        <f>Lookups!$B$56*1</f>
        <v>89850.625589999996</v>
      </c>
      <c r="AR1201" s="25">
        <f>Lookups!$B$57*Inventory[[#This Row],[LnAcres]]</f>
        <v>-41446.443120973789</v>
      </c>
      <c r="AS1201" s="25">
        <f>VLOOKUP(Inventory[[#This Row],[Qlty]],Lookups!$A$62:$E$75,2,FALSE)</f>
        <v>21557.329055999999</v>
      </c>
      <c r="AT1201" s="25">
        <f>VLOOKUP(Inventory[[#This Row],[Cnd]],Lookups!$A$76:$E$84,2,FALSE)</f>
        <v>197752.34721000001</v>
      </c>
      <c r="AU1201" s="25">
        <f>Inventory[[#This Row],[EffAge]]*Lookups!$B$85</f>
        <v>-11598.371226000001</v>
      </c>
      <c r="AV1201" s="25">
        <f>Inventory[[#This Row],[MainFn]]*Lookups!$B$86</f>
        <v>59636.264541539</v>
      </c>
      <c r="AW1201" s="25">
        <f>Inventory[[#This Row],[UpprFn]]*Lookups!$B$87</f>
        <v>0</v>
      </c>
      <c r="AX1201" s="25">
        <f>Inventory[[#This Row],[AddFn]]*Lookups!$B$88</f>
        <v>0</v>
      </c>
      <c r="AY1201" s="25">
        <f>Inventory[[#This Row],[Bsmt]]*Lookups!$B$89</f>
        <v>32193.658038428999</v>
      </c>
      <c r="AZ1201" s="25">
        <f>Inventory[[#This Row],[Fixtures]]*Lookups!$B$90</f>
        <v>18960.110526</v>
      </c>
      <c r="BA1201" s="25">
        <f>Inventory[[#This Row],[WdDeck]]*Lookups!$B$91</f>
        <v>0</v>
      </c>
      <c r="BB1201" s="25">
        <f>ROUND(Inventory[[#This Row],[25Det]],-2)</f>
        <v>24800</v>
      </c>
      <c r="BC1201" s="25">
        <f>ROUND(SUM(Inventory[[#This Row],[Mdl Qlty]:[Mdl WdDeck]])+Inventory[[#This Row],[Mdl Res Intercept]],-2)</f>
        <v>318500</v>
      </c>
      <c r="BD1201" s="25">
        <f>ROUND(Inventory[[#This Row],[Mdl Land Intercept]]+Inventory[[#This Row],[Mdl LnAcres]],-2)</f>
        <v>48400</v>
      </c>
      <c r="BE1201" s="25">
        <f>Inventory[[#This Row],[Unadj Res Value]]+Inventory[[#This Row],[Unadj Det Value]]+Inventory[[#This Row],[Unadj Land Value]]</f>
        <v>391700</v>
      </c>
      <c r="BF1201" s="36">
        <f>(Inventory[[#This Row],[Unadj Total Value]]-Inventory[[#This Row],[24Final]])/Inventory[[#This Row],[24Final]]</f>
        <v>0.12557471264367817</v>
      </c>
      <c r="BG1201" s="25">
        <f>VLOOKUP(Inventory[[#This Row],[Nbhd]],Lookups!$Q$2:$T$4,4,FALSE)</f>
        <v>0.99970000000000003</v>
      </c>
      <c r="BH1201" s="25">
        <f>VLOOKUP(Inventory[[#This Row],[Qlty]],Lookups!$O$7:$R$21,4,FALSE)</f>
        <v>1.0067999999999999</v>
      </c>
      <c r="BI1201" s="25">
        <f>VLOOKUP(Inventory[[#This Row],[Cnd]],Lookups!$T$7:$W$16,4,FALSE)</f>
        <v>0.99650000000000005</v>
      </c>
      <c r="BJ1201" s="25">
        <f>VLOOKUP(Inventory[[#This Row],[LivArea Range]],Lookups!$T$25:$W$37,4,FALSE)</f>
        <v>1.0157</v>
      </c>
      <c r="BK1201" s="25">
        <f>VLOOKUP(Inventory[[#This Row],[Decade]],Lookups!$O$25:$R$42,4,FALSE)</f>
        <v>0.98909999999999998</v>
      </c>
      <c r="BL1201" s="25">
        <f>Inventory[[#This Row],[Nbhd Adj]]*0.95</f>
        <v>0.94971499999999998</v>
      </c>
      <c r="BM1201" s="25">
        <f>Inventory[[#This Row],[Nbhd Adj]]*Inventory[[#This Row],[Quality Adj]]*Inventory[[#This Row],[Condition Adj]]*Inventory[[#This Row],[Living Area Adj]]*Inventory[[#This Row],[Decade Adj]]*0.95</f>
        <v>0.95723696608169473</v>
      </c>
      <c r="BN1201" s="25">
        <f>ROUND(SUM(Inventory[[#This Row],[Mdl Qlty]:[Mdl WdDeck]])+Inventory[[#This Row],[Mdl Res Intercept]]*Inventory[[#This Row],[Res Adj ]],-2)</f>
        <v>318500</v>
      </c>
      <c r="BO1201" s="25">
        <f>ROUND(Inventory[[#This Row],[25Det]]*Inventory[[#This Row],[Det/Nbhd Adj]],-2)</f>
        <v>23500</v>
      </c>
      <c r="BP1201" s="25">
        <f>Inventory[[#This Row],[Adjusted Res]]+Inventory[[#This Row],[Adj Det ]]</f>
        <v>342000</v>
      </c>
      <c r="BQ1201" s="25">
        <f>ROUND((Inventory[[#This Row],[Mdl Land Intercept]]+Inventory[[#This Row],[Mdl LnAcres]])*Inventory[[#This Row],[Det/Nbhd Adj]],-2)</f>
        <v>46000</v>
      </c>
      <c r="BR1201" s="25">
        <f>Inventory[[#This Row],[Adjusted Impr Total]]+Inventory[[#This Row],[Adjusted Land Total]]</f>
        <v>388000</v>
      </c>
      <c r="BS1201" s="36">
        <f>IFERROR((Inventory[[#This Row],[Adjusted Impr Total]]-Inventory[[#This Row],[24Bldg]])/Inventory[[#This Row],[24Bldg]],0)</f>
        <v>0.22536725188104623</v>
      </c>
      <c r="BT1201" s="36">
        <f>(Inventory[[#This Row],[Adjusted Land Total]]-Inventory[[#This Row],[24Lnd]])/Inventory[[#This Row],[24Lnd]]</f>
        <v>-0.33236574746008707</v>
      </c>
      <c r="BU1201" s="36">
        <f>(Inventory[[#This Row],[Adjusted Total]]-Inventory[[#This Row],[24Final]])/Inventory[[#This Row],[24Final]]</f>
        <v>0.11494252873563218</v>
      </c>
    </row>
    <row r="1202" spans="1:73" x14ac:dyDescent="0.3">
      <c r="A1202" s="25">
        <v>2025</v>
      </c>
      <c r="B1202" s="26" t="s">
        <v>1966</v>
      </c>
      <c r="C1202" s="26">
        <f>LN(Inventory[[#This Row],[Acres]])</f>
        <v>-1.5606477482646683</v>
      </c>
      <c r="D1202" s="25">
        <v>0.21</v>
      </c>
      <c r="E1202" s="32">
        <v>9100</v>
      </c>
      <c r="F1202" s="26" t="s">
        <v>537</v>
      </c>
      <c r="G1202" s="26" t="s">
        <v>126</v>
      </c>
      <c r="H1202" s="26" t="s">
        <v>349</v>
      </c>
      <c r="I1202" s="26" t="s">
        <v>538</v>
      </c>
      <c r="J1202" s="26" t="s">
        <v>539</v>
      </c>
      <c r="K1202" s="26" t="s">
        <v>242</v>
      </c>
      <c r="L1202" s="26" t="s">
        <v>148</v>
      </c>
      <c r="M1202" s="26" t="s">
        <v>303</v>
      </c>
      <c r="N1202" s="26">
        <v>90</v>
      </c>
      <c r="O1202" s="26">
        <f>2024-Inventory[[#This Row],[YrBlt]]</f>
        <v>84</v>
      </c>
      <c r="P1202" s="26">
        <f>2024-Inventory[[#This Row],[EffYr]]</f>
        <v>52</v>
      </c>
      <c r="Q1202" s="25">
        <v>1940</v>
      </c>
      <c r="R1202" s="25">
        <v>1972</v>
      </c>
      <c r="S1202" s="25">
        <v>1313</v>
      </c>
      <c r="T1202" s="27"/>
      <c r="U1202" s="32">
        <v>1123</v>
      </c>
      <c r="V1202" s="32">
        <f>Inventory[[#This Row],[Bsmt]]-Inventory[[#This Row],[FnBsmt]]</f>
        <v>561</v>
      </c>
      <c r="W1202" s="32">
        <v>562</v>
      </c>
      <c r="X1202" s="27"/>
      <c r="Y1202" s="27">
        <f>Inventory[[#This Row],[MainFn]]+Inventory[[#This Row],[UpprFn]]+Inventory[[#This Row],[FnBsmt]]+Inventory[[#This Row],[AddFn]]</f>
        <v>1875</v>
      </c>
      <c r="Z1202" s="27">
        <v>2000</v>
      </c>
      <c r="AA1202" s="25">
        <v>11</v>
      </c>
      <c r="AB1202" s="27"/>
      <c r="AC1202" s="27"/>
      <c r="AD1202" s="32">
        <v>399</v>
      </c>
      <c r="AE1202" s="27"/>
      <c r="AF1202" s="27"/>
      <c r="AG1202" s="27"/>
      <c r="AH1202" s="27"/>
      <c r="AI1202" s="25">
        <v>413068</v>
      </c>
      <c r="AJ1202" s="25">
        <v>289148</v>
      </c>
      <c r="AK1202" s="25">
        <v>9258</v>
      </c>
      <c r="AL1202" s="25">
        <v>385800</v>
      </c>
      <c r="AM1202" s="25">
        <v>60100</v>
      </c>
      <c r="AN1202" s="25">
        <v>325700</v>
      </c>
      <c r="AO1202" s="25">
        <v>0</v>
      </c>
      <c r="AP1202" s="25">
        <f>Lookups!$B$56*0</f>
        <v>0</v>
      </c>
      <c r="AQ1202" s="25">
        <f>Lookups!$B$56*1</f>
        <v>89850.625589999996</v>
      </c>
      <c r="AR1202" s="25">
        <f>Lookups!$B$57*Inventory[[#This Row],[LnAcres]]</f>
        <v>-49401.70477837498</v>
      </c>
      <c r="AS1202" s="25">
        <f>VLOOKUP(Inventory[[#This Row],[Qlty]],Lookups!$A$62:$E$75,2,FALSE)</f>
        <v>44121.038090000002</v>
      </c>
      <c r="AT1202" s="25">
        <f>VLOOKUP(Inventory[[#This Row],[Cnd]],Lookups!$A$76:$E$84,2,FALSE)</f>
        <v>197752.34721000001</v>
      </c>
      <c r="AU1202" s="25">
        <f>Inventory[[#This Row],[EffAge]]*Lookups!$B$85</f>
        <v>-11598.371226000001</v>
      </c>
      <c r="AV1202" s="25">
        <f>Inventory[[#This Row],[MainFn]]*Lookups!$B$86</f>
        <v>64873.583548501003</v>
      </c>
      <c r="AW1202" s="25">
        <f>Inventory[[#This Row],[UpprFn]]*Lookups!$B$87</f>
        <v>0</v>
      </c>
      <c r="AX1202" s="25">
        <f>Inventory[[#This Row],[AddFn]]*Lookups!$B$88</f>
        <v>0</v>
      </c>
      <c r="AY1202" s="25">
        <f>Inventory[[#This Row],[Bsmt]]*Lookups!$B$89</f>
        <v>32658.968362380998</v>
      </c>
      <c r="AZ1202" s="25">
        <f>Inventory[[#This Row],[Fixtures]]*Lookups!$B$90</f>
        <v>41712.243157199999</v>
      </c>
      <c r="BA1202" s="25">
        <f>Inventory[[#This Row],[WdDeck]]*Lookups!$B$91</f>
        <v>13284.910595124002</v>
      </c>
      <c r="BB1202" s="25">
        <f>ROUND(Inventory[[#This Row],[25Det]],-2)</f>
        <v>9300</v>
      </c>
      <c r="BC1202" s="25">
        <f>ROUND(SUM(Inventory[[#This Row],[Mdl Qlty]:[Mdl WdDeck]])+Inventory[[#This Row],[Mdl Res Intercept]],-2)</f>
        <v>382800</v>
      </c>
      <c r="BD1202" s="25">
        <f>ROUND(Inventory[[#This Row],[Mdl Land Intercept]]+Inventory[[#This Row],[Mdl LnAcres]],-2)</f>
        <v>40400</v>
      </c>
      <c r="BE1202" s="25">
        <f>Inventory[[#This Row],[Unadj Res Value]]+Inventory[[#This Row],[Unadj Det Value]]+Inventory[[#This Row],[Unadj Land Value]]</f>
        <v>432500</v>
      </c>
      <c r="BF1202" s="36">
        <f>(Inventory[[#This Row],[Unadj Total Value]]-Inventory[[#This Row],[24Final]])/Inventory[[#This Row],[24Final]]</f>
        <v>0.12104717470191809</v>
      </c>
      <c r="BG1202" s="25">
        <f>VLOOKUP(Inventory[[#This Row],[Nbhd]],Lookups!$Q$2:$T$4,4,FALSE)</f>
        <v>0.99970000000000003</v>
      </c>
      <c r="BH1202" s="25">
        <f>VLOOKUP(Inventory[[#This Row],[Qlty]],Lookups!$O$7:$R$21,4,FALSE)</f>
        <v>0.98050000000000004</v>
      </c>
      <c r="BI1202" s="25">
        <f>VLOOKUP(Inventory[[#This Row],[Cnd]],Lookups!$T$7:$W$16,4,FALSE)</f>
        <v>0.99650000000000005</v>
      </c>
      <c r="BJ1202" s="25">
        <f>VLOOKUP(Inventory[[#This Row],[LivArea Range]],Lookups!$T$25:$W$37,4,FALSE)</f>
        <v>1.0093000000000001</v>
      </c>
      <c r="BK1202" s="25">
        <f>VLOOKUP(Inventory[[#This Row],[Decade]],Lookups!$O$25:$R$42,4,FALSE)</f>
        <v>0.98909999999999998</v>
      </c>
      <c r="BL1202" s="25">
        <f>Inventory[[#This Row],[Nbhd Adj]]*0.95</f>
        <v>0.94971499999999998</v>
      </c>
      <c r="BM1202" s="25">
        <f>Inventory[[#This Row],[Nbhd Adj]]*Inventory[[#This Row],[Quality Adj]]*Inventory[[#This Row],[Condition Adj]]*Inventory[[#This Row],[Living Area Adj]]*Inventory[[#This Row],[Decade Adj]]*0.95</f>
        <v>0.92635760994173622</v>
      </c>
      <c r="BN1202" s="25">
        <f>ROUND(SUM(Inventory[[#This Row],[Mdl Qlty]:[Mdl WdDeck]])+Inventory[[#This Row],[Mdl Res Intercept]]*Inventory[[#This Row],[Res Adj ]],-2)</f>
        <v>382800</v>
      </c>
      <c r="BO1202" s="25">
        <f>ROUND(Inventory[[#This Row],[25Det]]*Inventory[[#This Row],[Det/Nbhd Adj]],-2)</f>
        <v>8800</v>
      </c>
      <c r="BP1202" s="25">
        <f>Inventory[[#This Row],[Adjusted Res]]+Inventory[[#This Row],[Adj Det ]]</f>
        <v>391600</v>
      </c>
      <c r="BQ1202" s="25">
        <f>ROUND((Inventory[[#This Row],[Mdl Land Intercept]]+Inventory[[#This Row],[Mdl LnAcres]])*Inventory[[#This Row],[Det/Nbhd Adj]],-2)</f>
        <v>38400</v>
      </c>
      <c r="BR1202" s="25">
        <f>Inventory[[#This Row],[Adjusted Impr Total]]+Inventory[[#This Row],[Adjusted Land Total]]</f>
        <v>430000</v>
      </c>
      <c r="BS1202" s="36">
        <f>IFERROR((Inventory[[#This Row],[Adjusted Impr Total]]-Inventory[[#This Row],[24Bldg]])/Inventory[[#This Row],[24Bldg]],0)</f>
        <v>0.20233343567700338</v>
      </c>
      <c r="BT1202" s="36">
        <f>(Inventory[[#This Row],[Adjusted Land Total]]-Inventory[[#This Row],[24Lnd]])/Inventory[[#This Row],[24Lnd]]</f>
        <v>-0.36106489184692181</v>
      </c>
      <c r="BU1202" s="36">
        <f>(Inventory[[#This Row],[Adjusted Total]]-Inventory[[#This Row],[24Final]])/Inventory[[#This Row],[24Final]]</f>
        <v>0.11456713322965267</v>
      </c>
    </row>
    <row r="1203" spans="1:73" x14ac:dyDescent="0.3">
      <c r="A1203" s="25">
        <v>2025</v>
      </c>
      <c r="B1203" s="26" t="s">
        <v>1909</v>
      </c>
      <c r="C1203" s="26">
        <f>LN(Inventory[[#This Row],[Acres]])</f>
        <v>-1.2378743560016174</v>
      </c>
      <c r="D1203" s="25">
        <v>0.28999999999999998</v>
      </c>
      <c r="E1203" s="25">
        <v>12474</v>
      </c>
      <c r="F1203" s="26" t="s">
        <v>537</v>
      </c>
      <c r="G1203" s="26" t="s">
        <v>126</v>
      </c>
      <c r="H1203" s="26" t="s">
        <v>349</v>
      </c>
      <c r="I1203" s="26" t="s">
        <v>538</v>
      </c>
      <c r="J1203" s="26" t="s">
        <v>539</v>
      </c>
      <c r="K1203" s="26" t="s">
        <v>147</v>
      </c>
      <c r="L1203" s="26" t="s">
        <v>351</v>
      </c>
      <c r="M1203" s="26" t="s">
        <v>303</v>
      </c>
      <c r="N1203" s="26">
        <v>90</v>
      </c>
      <c r="O1203" s="26">
        <f>2024-Inventory[[#This Row],[YrBlt]]</f>
        <v>84</v>
      </c>
      <c r="P1203" s="26">
        <f>2024-Inventory[[#This Row],[EffYr]]</f>
        <v>52</v>
      </c>
      <c r="Q1203" s="25">
        <v>1940</v>
      </c>
      <c r="R1203" s="25">
        <v>1972</v>
      </c>
      <c r="S1203" s="25">
        <v>1137</v>
      </c>
      <c r="T1203" s="32">
        <v>852</v>
      </c>
      <c r="U1203" s="25">
        <v>568</v>
      </c>
      <c r="V1203" s="25">
        <f>Inventory[[#This Row],[Bsmt]]-Inventory[[#This Row],[FnBsmt]]</f>
        <v>170</v>
      </c>
      <c r="W1203" s="25">
        <v>398</v>
      </c>
      <c r="X1203" s="27"/>
      <c r="Y1203" s="27">
        <f>Inventory[[#This Row],[MainFn]]+Inventory[[#This Row],[UpprFn]]+Inventory[[#This Row],[FnBsmt]]+Inventory[[#This Row],[AddFn]]</f>
        <v>2387</v>
      </c>
      <c r="Z1203" s="27">
        <v>2500</v>
      </c>
      <c r="AA1203" s="25">
        <v>8</v>
      </c>
      <c r="AB1203" s="27"/>
      <c r="AC1203" s="27"/>
      <c r="AD1203" s="32">
        <v>584</v>
      </c>
      <c r="AE1203" s="27"/>
      <c r="AF1203" s="27"/>
      <c r="AG1203" s="27"/>
      <c r="AH1203" s="27"/>
      <c r="AI1203" s="25">
        <v>339184</v>
      </c>
      <c r="AJ1203" s="25">
        <v>237429</v>
      </c>
      <c r="AK1203" s="25">
        <v>23413</v>
      </c>
      <c r="AL1203" s="25">
        <v>393600</v>
      </c>
      <c r="AM1203" s="25">
        <v>71400</v>
      </c>
      <c r="AN1203" s="25">
        <v>322200</v>
      </c>
      <c r="AO1203" s="25">
        <v>0</v>
      </c>
      <c r="AP1203" s="25">
        <f>Lookups!$B$56*0</f>
        <v>0</v>
      </c>
      <c r="AQ1203" s="25">
        <f>Lookups!$B$56*1</f>
        <v>89850.625589999996</v>
      </c>
      <c r="AR1203" s="25">
        <f>Lookups!$B$57*Inventory[[#This Row],[LnAcres]]</f>
        <v>-39184.437074869042</v>
      </c>
      <c r="AS1203" s="25">
        <f>VLOOKUP(Inventory[[#This Row],[Qlty]],Lookups!$A$62:$E$75,2,FALSE)</f>
        <v>21557.329055999999</v>
      </c>
      <c r="AT1203" s="25">
        <f>VLOOKUP(Inventory[[#This Row],[Cnd]],Lookups!$A$76:$E$84,2,FALSE)</f>
        <v>197752.34721000001</v>
      </c>
      <c r="AU1203" s="25">
        <f>Inventory[[#This Row],[EffAge]]*Lookups!$B$85</f>
        <v>-11598.371226000001</v>
      </c>
      <c r="AV1203" s="25">
        <f>Inventory[[#This Row],[MainFn]]*Lookups!$B$86</f>
        <v>56177.657650148998</v>
      </c>
      <c r="AW1203" s="25">
        <f>Inventory[[#This Row],[UpprFn]]*Lookups!$B$87</f>
        <v>38158.032277571998</v>
      </c>
      <c r="AX1203" s="25">
        <f>Inventory[[#This Row],[AddFn]]*Lookups!$B$88</f>
        <v>0</v>
      </c>
      <c r="AY1203" s="25">
        <f>Inventory[[#This Row],[Bsmt]]*Lookups!$B$89</f>
        <v>16518.516500295998</v>
      </c>
      <c r="AZ1203" s="25">
        <f>Inventory[[#This Row],[Fixtures]]*Lookups!$B$90</f>
        <v>30336.176841600001</v>
      </c>
      <c r="BA1203" s="25">
        <f>Inventory[[#This Row],[WdDeck]]*Lookups!$B$91</f>
        <v>19444.580921184002</v>
      </c>
      <c r="BB1203" s="25">
        <f>ROUND(Inventory[[#This Row],[25Det]],-2)</f>
        <v>23400</v>
      </c>
      <c r="BC1203" s="25">
        <f>ROUND(SUM(Inventory[[#This Row],[Mdl Qlty]:[Mdl WdDeck]])+Inventory[[#This Row],[Mdl Res Intercept]],-2)</f>
        <v>368300</v>
      </c>
      <c r="BD1203" s="25">
        <f>ROUND(Inventory[[#This Row],[Mdl Land Intercept]]+Inventory[[#This Row],[Mdl LnAcres]],-2)</f>
        <v>50700</v>
      </c>
      <c r="BE1203" s="25">
        <f>Inventory[[#This Row],[Unadj Res Value]]+Inventory[[#This Row],[Unadj Det Value]]+Inventory[[#This Row],[Unadj Land Value]]</f>
        <v>442400</v>
      </c>
      <c r="BF1203" s="36">
        <f>(Inventory[[#This Row],[Unadj Total Value]]-Inventory[[#This Row],[24Final]])/Inventory[[#This Row],[24Final]]</f>
        <v>0.12398373983739837</v>
      </c>
      <c r="BG1203" s="25">
        <f>VLOOKUP(Inventory[[#This Row],[Nbhd]],Lookups!$Q$2:$T$4,4,FALSE)</f>
        <v>0.99970000000000003</v>
      </c>
      <c r="BH1203" s="25">
        <f>VLOOKUP(Inventory[[#This Row],[Qlty]],Lookups!$O$7:$R$21,4,FALSE)</f>
        <v>1.0067999999999999</v>
      </c>
      <c r="BI1203" s="25">
        <f>VLOOKUP(Inventory[[#This Row],[Cnd]],Lookups!$T$7:$W$16,4,FALSE)</f>
        <v>0.99650000000000005</v>
      </c>
      <c r="BJ1203" s="25">
        <f>VLOOKUP(Inventory[[#This Row],[LivArea Range]],Lookups!$T$25:$W$37,4,FALSE)</f>
        <v>0.98919999999999997</v>
      </c>
      <c r="BK1203" s="25">
        <f>VLOOKUP(Inventory[[#This Row],[Decade]],Lookups!$O$25:$R$42,4,FALSE)</f>
        <v>0.98909999999999998</v>
      </c>
      <c r="BL1203" s="25">
        <f>Inventory[[#This Row],[Nbhd Adj]]*0.95</f>
        <v>0.94971499999999998</v>
      </c>
      <c r="BM1203" s="25">
        <f>Inventory[[#This Row],[Nbhd Adj]]*Inventory[[#This Row],[Quality Adj]]*Inventory[[#This Row],[Condition Adj]]*Inventory[[#This Row],[Living Area Adj]]*Inventory[[#This Row],[Decade Adj]]*0.95</f>
        <v>0.9322622889120924</v>
      </c>
      <c r="BN1203" s="25">
        <f>ROUND(SUM(Inventory[[#This Row],[Mdl Qlty]:[Mdl WdDeck]])+Inventory[[#This Row],[Mdl Res Intercept]]*Inventory[[#This Row],[Res Adj ]],-2)</f>
        <v>368300</v>
      </c>
      <c r="BO1203" s="25">
        <f>ROUND(Inventory[[#This Row],[25Det]]*Inventory[[#This Row],[Det/Nbhd Adj]],-2)</f>
        <v>22200</v>
      </c>
      <c r="BP1203" s="25">
        <f>Inventory[[#This Row],[Adjusted Res]]+Inventory[[#This Row],[Adj Det ]]</f>
        <v>390500</v>
      </c>
      <c r="BQ1203" s="25">
        <f>ROUND((Inventory[[#This Row],[Mdl Land Intercept]]+Inventory[[#This Row],[Mdl LnAcres]])*Inventory[[#This Row],[Det/Nbhd Adj]],-2)</f>
        <v>48100</v>
      </c>
      <c r="BR1203" s="25">
        <f>Inventory[[#This Row],[Adjusted Impr Total]]+Inventory[[#This Row],[Adjusted Land Total]]</f>
        <v>438600</v>
      </c>
      <c r="BS1203" s="36">
        <f>IFERROR((Inventory[[#This Row],[Adjusted Impr Total]]-Inventory[[#This Row],[24Bldg]])/Inventory[[#This Row],[24Bldg]],0)</f>
        <v>0.21198013656114215</v>
      </c>
      <c r="BT1203" s="36">
        <f>(Inventory[[#This Row],[Adjusted Land Total]]-Inventory[[#This Row],[24Lnd]])/Inventory[[#This Row],[24Lnd]]</f>
        <v>-0.32633053221288516</v>
      </c>
      <c r="BU1203" s="36">
        <f>(Inventory[[#This Row],[Adjusted Total]]-Inventory[[#This Row],[24Final]])/Inventory[[#This Row],[24Final]]</f>
        <v>0.11432926829268293</v>
      </c>
    </row>
    <row r="1204" spans="1:73" x14ac:dyDescent="0.3">
      <c r="A1204" s="25">
        <v>2025</v>
      </c>
      <c r="B1204" s="26" t="s">
        <v>1311</v>
      </c>
      <c r="C1204" s="26">
        <f>LN(Inventory[[#This Row],[Acres]])</f>
        <v>-1.9661128563728327</v>
      </c>
      <c r="D1204" s="25">
        <v>0.14000000000000001</v>
      </c>
      <c r="E1204" s="25">
        <v>6254</v>
      </c>
      <c r="F1204" s="26" t="s">
        <v>537</v>
      </c>
      <c r="G1204" s="26" t="s">
        <v>126</v>
      </c>
      <c r="H1204" s="26" t="s">
        <v>349</v>
      </c>
      <c r="I1204" s="26" t="s">
        <v>538</v>
      </c>
      <c r="J1204" s="26" t="s">
        <v>539</v>
      </c>
      <c r="K1204" s="26" t="s">
        <v>242</v>
      </c>
      <c r="L1204" s="26" t="s">
        <v>351</v>
      </c>
      <c r="M1204" s="26" t="s">
        <v>303</v>
      </c>
      <c r="N1204" s="26">
        <v>90</v>
      </c>
      <c r="O1204" s="26">
        <f>2024-Inventory[[#This Row],[YrBlt]]</f>
        <v>84</v>
      </c>
      <c r="P1204" s="26">
        <f>2024-Inventory[[#This Row],[EffYr]]</f>
        <v>52</v>
      </c>
      <c r="Q1204" s="25">
        <v>1940</v>
      </c>
      <c r="R1204" s="25">
        <v>1972</v>
      </c>
      <c r="S1204" s="25">
        <v>1039</v>
      </c>
      <c r="T1204" s="27"/>
      <c r="U1204" s="25">
        <v>930</v>
      </c>
      <c r="V1204" s="32">
        <f>Inventory[[#This Row],[Bsmt]]-Inventory[[#This Row],[FnBsmt]]</f>
        <v>546</v>
      </c>
      <c r="W1204" s="32">
        <v>384</v>
      </c>
      <c r="X1204" s="27"/>
      <c r="Y1204" s="27">
        <f>Inventory[[#This Row],[MainFn]]+Inventory[[#This Row],[UpprFn]]+Inventory[[#This Row],[FnBsmt]]+Inventory[[#This Row],[AddFn]]</f>
        <v>1423</v>
      </c>
      <c r="Z1204" s="27">
        <v>1500</v>
      </c>
      <c r="AA1204" s="25">
        <v>5</v>
      </c>
      <c r="AB1204" s="27"/>
      <c r="AC1204" s="27"/>
      <c r="AD1204" s="27"/>
      <c r="AE1204" s="27"/>
      <c r="AF1204" s="27"/>
      <c r="AG1204" s="27"/>
      <c r="AH1204" s="27"/>
      <c r="AI1204" s="25">
        <v>233629</v>
      </c>
      <c r="AJ1204" s="25">
        <v>163540</v>
      </c>
      <c r="AK1204" s="25">
        <v>6724</v>
      </c>
      <c r="AL1204" s="25">
        <v>303500</v>
      </c>
      <c r="AM1204" s="25">
        <v>46000</v>
      </c>
      <c r="AN1204" s="25">
        <v>257500</v>
      </c>
      <c r="AO1204" s="25">
        <v>0</v>
      </c>
      <c r="AP1204" s="25">
        <f>Lookups!$B$56*0</f>
        <v>0</v>
      </c>
      <c r="AQ1204" s="25">
        <f>Lookups!$B$56*1</f>
        <v>89850.625589999996</v>
      </c>
      <c r="AR1204" s="25">
        <f>Lookups!$B$57*Inventory[[#This Row],[LnAcres]]</f>
        <v>-62236.546971921947</v>
      </c>
      <c r="AS1204" s="25">
        <f>VLOOKUP(Inventory[[#This Row],[Qlty]],Lookups!$A$62:$E$75,2,FALSE)</f>
        <v>21557.329055999999</v>
      </c>
      <c r="AT1204" s="25">
        <f>VLOOKUP(Inventory[[#This Row],[Cnd]],Lookups!$A$76:$E$84,2,FALSE)</f>
        <v>197752.34721000001</v>
      </c>
      <c r="AU1204" s="25">
        <f>Inventory[[#This Row],[EffAge]]*Lookups!$B$85</f>
        <v>-11598.371226000001</v>
      </c>
      <c r="AV1204" s="25">
        <f>Inventory[[#This Row],[MainFn]]*Lookups!$B$86</f>
        <v>51335.608002203</v>
      </c>
      <c r="AW1204" s="25">
        <f>Inventory[[#This Row],[UpprFn]]*Lookups!$B$87</f>
        <v>0</v>
      </c>
      <c r="AX1204" s="25">
        <f>Inventory[[#This Row],[AddFn]]*Lookups!$B$88</f>
        <v>0</v>
      </c>
      <c r="AY1204" s="25">
        <f>Inventory[[#This Row],[Bsmt]]*Lookups!$B$89</f>
        <v>27046.162579709999</v>
      </c>
      <c r="AZ1204" s="25">
        <f>Inventory[[#This Row],[Fixtures]]*Lookups!$B$90</f>
        <v>18960.110526</v>
      </c>
      <c r="BA1204" s="25">
        <f>Inventory[[#This Row],[WdDeck]]*Lookups!$B$91</f>
        <v>0</v>
      </c>
      <c r="BB1204" s="25">
        <f>ROUND(Inventory[[#This Row],[25Det]],-2)</f>
        <v>6700</v>
      </c>
      <c r="BC1204" s="25">
        <f>ROUND(SUM(Inventory[[#This Row],[Mdl Qlty]:[Mdl WdDeck]])+Inventory[[#This Row],[Mdl Res Intercept]],-2)</f>
        <v>305100</v>
      </c>
      <c r="BD1204" s="25">
        <f>ROUND(Inventory[[#This Row],[Mdl Land Intercept]]+Inventory[[#This Row],[Mdl LnAcres]],-2)</f>
        <v>27600</v>
      </c>
      <c r="BE1204" s="25">
        <f>Inventory[[#This Row],[Unadj Res Value]]+Inventory[[#This Row],[Unadj Det Value]]+Inventory[[#This Row],[Unadj Land Value]]</f>
        <v>339400</v>
      </c>
      <c r="BF1204" s="36">
        <f>(Inventory[[#This Row],[Unadj Total Value]]-Inventory[[#This Row],[24Final]])/Inventory[[#This Row],[24Final]]</f>
        <v>0.11828665568369028</v>
      </c>
      <c r="BG1204" s="25">
        <f>VLOOKUP(Inventory[[#This Row],[Nbhd]],Lookups!$Q$2:$T$4,4,FALSE)</f>
        <v>0.99970000000000003</v>
      </c>
      <c r="BH1204" s="25">
        <f>VLOOKUP(Inventory[[#This Row],[Qlty]],Lookups!$O$7:$R$21,4,FALSE)</f>
        <v>1.0067999999999999</v>
      </c>
      <c r="BI1204" s="25">
        <f>VLOOKUP(Inventory[[#This Row],[Cnd]],Lookups!$T$7:$W$16,4,FALSE)</f>
        <v>0.99650000000000005</v>
      </c>
      <c r="BJ1204" s="25">
        <f>VLOOKUP(Inventory[[#This Row],[LivArea Range]],Lookups!$T$25:$W$37,4,FALSE)</f>
        <v>1.0157</v>
      </c>
      <c r="BK1204" s="25">
        <f>VLOOKUP(Inventory[[#This Row],[Decade]],Lookups!$O$25:$R$42,4,FALSE)</f>
        <v>0.98909999999999998</v>
      </c>
      <c r="BL1204" s="25">
        <f>Inventory[[#This Row],[Nbhd Adj]]*0.95</f>
        <v>0.94971499999999998</v>
      </c>
      <c r="BM1204" s="25">
        <f>Inventory[[#This Row],[Nbhd Adj]]*Inventory[[#This Row],[Quality Adj]]*Inventory[[#This Row],[Condition Adj]]*Inventory[[#This Row],[Living Area Adj]]*Inventory[[#This Row],[Decade Adj]]*0.95</f>
        <v>0.95723696608169473</v>
      </c>
      <c r="BN1204" s="25">
        <f>ROUND(SUM(Inventory[[#This Row],[Mdl Qlty]:[Mdl WdDeck]])+Inventory[[#This Row],[Mdl Res Intercept]]*Inventory[[#This Row],[Res Adj ]],-2)</f>
        <v>305100</v>
      </c>
      <c r="BO1204" s="25">
        <f>ROUND(Inventory[[#This Row],[25Det]]*Inventory[[#This Row],[Det/Nbhd Adj]],-2)</f>
        <v>6400</v>
      </c>
      <c r="BP1204" s="25">
        <f>Inventory[[#This Row],[Adjusted Res]]+Inventory[[#This Row],[Adj Det ]]</f>
        <v>311500</v>
      </c>
      <c r="BQ1204" s="25">
        <f>ROUND((Inventory[[#This Row],[Mdl Land Intercept]]+Inventory[[#This Row],[Mdl LnAcres]])*Inventory[[#This Row],[Det/Nbhd Adj]],-2)</f>
        <v>26200</v>
      </c>
      <c r="BR1204" s="25">
        <f>Inventory[[#This Row],[Adjusted Impr Total]]+Inventory[[#This Row],[Adjusted Land Total]]</f>
        <v>337700</v>
      </c>
      <c r="BS1204" s="36">
        <f>IFERROR((Inventory[[#This Row],[Adjusted Impr Total]]-Inventory[[#This Row],[24Bldg]])/Inventory[[#This Row],[24Bldg]],0)</f>
        <v>0.20970873786407768</v>
      </c>
      <c r="BT1204" s="36">
        <f>(Inventory[[#This Row],[Adjusted Land Total]]-Inventory[[#This Row],[24Lnd]])/Inventory[[#This Row],[24Lnd]]</f>
        <v>-0.43043478260869567</v>
      </c>
      <c r="BU1204" s="36">
        <f>(Inventory[[#This Row],[Adjusted Total]]-Inventory[[#This Row],[24Final]])/Inventory[[#This Row],[24Final]]</f>
        <v>0.11268533772652389</v>
      </c>
    </row>
    <row r="1205" spans="1:73" x14ac:dyDescent="0.3">
      <c r="A1205" s="25">
        <v>2025</v>
      </c>
      <c r="B1205" s="26" t="s">
        <v>2040</v>
      </c>
      <c r="C1205" s="26">
        <f>LN(Inventory[[#This Row],[Acres]])</f>
        <v>-1.7719568419318752</v>
      </c>
      <c r="D1205" s="25">
        <v>0.17</v>
      </c>
      <c r="E1205" s="25">
        <v>7325</v>
      </c>
      <c r="F1205" s="26" t="s">
        <v>537</v>
      </c>
      <c r="G1205" s="26" t="s">
        <v>126</v>
      </c>
      <c r="H1205" s="26" t="s">
        <v>349</v>
      </c>
      <c r="I1205" s="26" t="s">
        <v>538</v>
      </c>
      <c r="J1205" s="26" t="s">
        <v>539</v>
      </c>
      <c r="K1205" s="26" t="s">
        <v>173</v>
      </c>
      <c r="L1205" s="26" t="s">
        <v>351</v>
      </c>
      <c r="M1205" s="26" t="s">
        <v>303</v>
      </c>
      <c r="N1205" s="26">
        <v>90</v>
      </c>
      <c r="O1205" s="26">
        <f>2024-Inventory[[#This Row],[YrBlt]]</f>
        <v>84</v>
      </c>
      <c r="P1205" s="26">
        <f>2024-Inventory[[#This Row],[EffYr]]</f>
        <v>52</v>
      </c>
      <c r="Q1205" s="25">
        <v>1940</v>
      </c>
      <c r="R1205" s="25">
        <v>1972</v>
      </c>
      <c r="S1205" s="25">
        <v>1020</v>
      </c>
      <c r="T1205" s="32">
        <v>384</v>
      </c>
      <c r="U1205" s="25">
        <v>1020</v>
      </c>
      <c r="V1205" s="25">
        <f>Inventory[[#This Row],[Bsmt]]-Inventory[[#This Row],[FnBsmt]]</f>
        <v>819</v>
      </c>
      <c r="W1205" s="25">
        <v>201</v>
      </c>
      <c r="X1205" s="27"/>
      <c r="Y1205" s="27">
        <f>Inventory[[#This Row],[MainFn]]+Inventory[[#This Row],[UpprFn]]+Inventory[[#This Row],[FnBsmt]]+Inventory[[#This Row],[AddFn]]</f>
        <v>1605</v>
      </c>
      <c r="Z1205" s="27">
        <v>2000</v>
      </c>
      <c r="AA1205" s="25">
        <v>8</v>
      </c>
      <c r="AB1205" s="27"/>
      <c r="AC1205" s="27"/>
      <c r="AD1205" s="31"/>
      <c r="AE1205" s="27"/>
      <c r="AF1205" s="27"/>
      <c r="AG1205" s="27"/>
      <c r="AH1205" s="27"/>
      <c r="AI1205" s="25">
        <v>265486</v>
      </c>
      <c r="AJ1205" s="25">
        <v>185840</v>
      </c>
      <c r="AK1205" s="25">
        <v>9708</v>
      </c>
      <c r="AL1205" s="25">
        <v>339100</v>
      </c>
      <c r="AM1205" s="25">
        <v>52700</v>
      </c>
      <c r="AN1205" s="25">
        <v>286400</v>
      </c>
      <c r="AO1205" s="25">
        <v>0</v>
      </c>
      <c r="AP1205" s="25">
        <f>Lookups!$B$56*0</f>
        <v>0</v>
      </c>
      <c r="AQ1205" s="25">
        <f>Lookups!$B$56*1</f>
        <v>89850.625589999996</v>
      </c>
      <c r="AR1205" s="25">
        <f>Lookups!$B$57*Inventory[[#This Row],[LnAcres]]</f>
        <v>-56090.612940989391</v>
      </c>
      <c r="AS1205" s="25">
        <f>VLOOKUP(Inventory[[#This Row],[Qlty]],Lookups!$A$62:$E$75,2,FALSE)</f>
        <v>21557.329055999999</v>
      </c>
      <c r="AT1205" s="25">
        <f>VLOOKUP(Inventory[[#This Row],[Cnd]],Lookups!$A$76:$E$84,2,FALSE)</f>
        <v>197752.34721000001</v>
      </c>
      <c r="AU1205" s="25">
        <f>Inventory[[#This Row],[EffAge]]*Lookups!$B$85</f>
        <v>-11598.371226000001</v>
      </c>
      <c r="AV1205" s="25">
        <f>Inventory[[#This Row],[MainFn]]*Lookups!$B$86</f>
        <v>50396.843274539999</v>
      </c>
      <c r="AW1205" s="25">
        <f>Inventory[[#This Row],[UpprFn]]*Lookups!$B$87</f>
        <v>17197.986378623998</v>
      </c>
      <c r="AX1205" s="25">
        <f>Inventory[[#This Row],[AddFn]]*Lookups!$B$88</f>
        <v>0</v>
      </c>
      <c r="AY1205" s="25">
        <f>Inventory[[#This Row],[Bsmt]]*Lookups!$B$89</f>
        <v>29663.533151939999</v>
      </c>
      <c r="AZ1205" s="25">
        <f>Inventory[[#This Row],[Fixtures]]*Lookups!$B$90</f>
        <v>30336.176841600001</v>
      </c>
      <c r="BA1205" s="25">
        <f>Inventory[[#This Row],[WdDeck]]*Lookups!$B$91</f>
        <v>0</v>
      </c>
      <c r="BB1205" s="25">
        <f>ROUND(Inventory[[#This Row],[25Det]],-2)</f>
        <v>9700</v>
      </c>
      <c r="BC1205" s="25">
        <f>ROUND(SUM(Inventory[[#This Row],[Mdl Qlty]:[Mdl WdDeck]])+Inventory[[#This Row],[Mdl Res Intercept]],-2)</f>
        <v>335300</v>
      </c>
      <c r="BD1205" s="25">
        <f>ROUND(Inventory[[#This Row],[Mdl Land Intercept]]+Inventory[[#This Row],[Mdl LnAcres]],-2)</f>
        <v>33800</v>
      </c>
      <c r="BE1205" s="25">
        <f>Inventory[[#This Row],[Unadj Res Value]]+Inventory[[#This Row],[Unadj Det Value]]+Inventory[[#This Row],[Unadj Land Value]]</f>
        <v>378800</v>
      </c>
      <c r="BF1205" s="36">
        <f>(Inventory[[#This Row],[Unadj Total Value]]-Inventory[[#This Row],[24Final]])/Inventory[[#This Row],[24Final]]</f>
        <v>0.11707460925980537</v>
      </c>
      <c r="BG1205" s="25">
        <f>VLOOKUP(Inventory[[#This Row],[Nbhd]],Lookups!$Q$2:$T$4,4,FALSE)</f>
        <v>0.99970000000000003</v>
      </c>
      <c r="BH1205" s="25">
        <f>VLOOKUP(Inventory[[#This Row],[Qlty]],Lookups!$O$7:$R$21,4,FALSE)</f>
        <v>1.0067999999999999</v>
      </c>
      <c r="BI1205" s="25">
        <f>VLOOKUP(Inventory[[#This Row],[Cnd]],Lookups!$T$7:$W$16,4,FALSE)</f>
        <v>0.99650000000000005</v>
      </c>
      <c r="BJ1205" s="25">
        <f>VLOOKUP(Inventory[[#This Row],[LivArea Range]],Lookups!$T$25:$W$37,4,FALSE)</f>
        <v>1.0093000000000001</v>
      </c>
      <c r="BK1205" s="25">
        <f>VLOOKUP(Inventory[[#This Row],[Decade]],Lookups!$O$25:$R$42,4,FALSE)</f>
        <v>0.98909999999999998</v>
      </c>
      <c r="BL1205" s="25">
        <f>Inventory[[#This Row],[Nbhd Adj]]*0.95</f>
        <v>0.94971499999999998</v>
      </c>
      <c r="BM1205" s="25">
        <f>Inventory[[#This Row],[Nbhd Adj]]*Inventory[[#This Row],[Quality Adj]]*Inventory[[#This Row],[Condition Adj]]*Inventory[[#This Row],[Living Area Adj]]*Inventory[[#This Row],[Decade Adj]]*0.95</f>
        <v>0.95120534593507355</v>
      </c>
      <c r="BN1205" s="25">
        <f>ROUND(SUM(Inventory[[#This Row],[Mdl Qlty]:[Mdl WdDeck]])+Inventory[[#This Row],[Mdl Res Intercept]]*Inventory[[#This Row],[Res Adj ]],-2)</f>
        <v>335300</v>
      </c>
      <c r="BO1205" s="25">
        <f>ROUND(Inventory[[#This Row],[25Det]]*Inventory[[#This Row],[Det/Nbhd Adj]],-2)</f>
        <v>9200</v>
      </c>
      <c r="BP1205" s="25">
        <f>Inventory[[#This Row],[Adjusted Res]]+Inventory[[#This Row],[Adj Det ]]</f>
        <v>344500</v>
      </c>
      <c r="BQ1205" s="25">
        <f>ROUND((Inventory[[#This Row],[Mdl Land Intercept]]+Inventory[[#This Row],[Mdl LnAcres]])*Inventory[[#This Row],[Det/Nbhd Adj]],-2)</f>
        <v>32100</v>
      </c>
      <c r="BR1205" s="25">
        <f>Inventory[[#This Row],[Adjusted Impr Total]]+Inventory[[#This Row],[Adjusted Land Total]]</f>
        <v>376600</v>
      </c>
      <c r="BS1205" s="36">
        <f>IFERROR((Inventory[[#This Row],[Adjusted Impr Total]]-Inventory[[#This Row],[24Bldg]])/Inventory[[#This Row],[24Bldg]],0)</f>
        <v>0.20286312849162011</v>
      </c>
      <c r="BT1205" s="36">
        <f>(Inventory[[#This Row],[Adjusted Land Total]]-Inventory[[#This Row],[24Lnd]])/Inventory[[#This Row],[24Lnd]]</f>
        <v>-0.39089184060721061</v>
      </c>
      <c r="BU1205" s="36">
        <f>(Inventory[[#This Row],[Adjusted Total]]-Inventory[[#This Row],[24Final]])/Inventory[[#This Row],[24Final]]</f>
        <v>0.11058684753759952</v>
      </c>
    </row>
    <row r="1206" spans="1:73" x14ac:dyDescent="0.3">
      <c r="A1206" s="25">
        <v>2025</v>
      </c>
      <c r="B1206" s="26" t="s">
        <v>1401</v>
      </c>
      <c r="C1206" s="26">
        <f>LN(Inventory[[#This Row],[Acres]])</f>
        <v>-1.4696759700589417</v>
      </c>
      <c r="D1206" s="25">
        <v>0.23</v>
      </c>
      <c r="E1206" s="25">
        <v>9829</v>
      </c>
      <c r="F1206" s="26" t="s">
        <v>537</v>
      </c>
      <c r="G1206" s="26" t="s">
        <v>126</v>
      </c>
      <c r="H1206" s="26" t="s">
        <v>349</v>
      </c>
      <c r="I1206" s="26" t="s">
        <v>538</v>
      </c>
      <c r="J1206" s="26" t="s">
        <v>539</v>
      </c>
      <c r="K1206" s="26" t="s">
        <v>242</v>
      </c>
      <c r="L1206" s="26" t="s">
        <v>302</v>
      </c>
      <c r="M1206" s="26" t="s">
        <v>303</v>
      </c>
      <c r="N1206" s="26">
        <v>90</v>
      </c>
      <c r="O1206" s="26">
        <f>2024-Inventory[[#This Row],[YrBlt]]</f>
        <v>84</v>
      </c>
      <c r="P1206" s="26">
        <f>2024-Inventory[[#This Row],[EffYr]]</f>
        <v>52</v>
      </c>
      <c r="Q1206" s="25">
        <v>1940</v>
      </c>
      <c r="R1206" s="25">
        <v>1972</v>
      </c>
      <c r="S1206" s="25">
        <v>1167</v>
      </c>
      <c r="T1206" s="27"/>
      <c r="U1206" s="27"/>
      <c r="V1206" s="27">
        <f>Inventory[[#This Row],[Bsmt]]-Inventory[[#This Row],[FnBsmt]]</f>
        <v>0</v>
      </c>
      <c r="W1206" s="27"/>
      <c r="X1206" s="27"/>
      <c r="Y1206" s="27">
        <f>Inventory[[#This Row],[MainFn]]+Inventory[[#This Row],[UpprFn]]+Inventory[[#This Row],[FnBsmt]]+Inventory[[#This Row],[AddFn]]</f>
        <v>1167</v>
      </c>
      <c r="Z1206" s="27">
        <v>1500</v>
      </c>
      <c r="AA1206" s="25">
        <v>5</v>
      </c>
      <c r="AB1206" s="32">
        <v>210</v>
      </c>
      <c r="AC1206" s="27"/>
      <c r="AD1206" s="32">
        <v>200</v>
      </c>
      <c r="AE1206" s="27"/>
      <c r="AF1206" s="27"/>
      <c r="AG1206" s="27"/>
      <c r="AH1206" s="27"/>
      <c r="AI1206" s="25">
        <v>251263</v>
      </c>
      <c r="AJ1206" s="25">
        <v>175884</v>
      </c>
      <c r="AK1206" s="25">
        <v>0</v>
      </c>
      <c r="AL1206" s="25">
        <v>306800</v>
      </c>
      <c r="AM1206" s="25">
        <v>63300</v>
      </c>
      <c r="AN1206" s="25">
        <v>243500</v>
      </c>
      <c r="AO1206" s="25">
        <v>0</v>
      </c>
      <c r="AP1206" s="25">
        <f>Lookups!$B$56*0</f>
        <v>0</v>
      </c>
      <c r="AQ1206" s="25">
        <f>Lookups!$B$56*1</f>
        <v>89850.625589999996</v>
      </c>
      <c r="AR1206" s="25">
        <f>Lookups!$B$57*Inventory[[#This Row],[LnAcres]]</f>
        <v>-46522.028095997222</v>
      </c>
      <c r="AS1206" s="25">
        <f>VLOOKUP(Inventory[[#This Row],[Qlty]],Lookups!$A$62:$E$75,2,FALSE)</f>
        <v>29814.093161000001</v>
      </c>
      <c r="AT1206" s="25">
        <f>VLOOKUP(Inventory[[#This Row],[Cnd]],Lookups!$A$76:$E$84,2,FALSE)</f>
        <v>197752.34721000001</v>
      </c>
      <c r="AU1206" s="25">
        <f>Inventory[[#This Row],[EffAge]]*Lookups!$B$85</f>
        <v>-11598.371226000001</v>
      </c>
      <c r="AV1206" s="25">
        <f>Inventory[[#This Row],[MainFn]]*Lookups!$B$86</f>
        <v>57659.917746459003</v>
      </c>
      <c r="AW1206" s="25">
        <f>Inventory[[#This Row],[UpprFn]]*Lookups!$B$87</f>
        <v>0</v>
      </c>
      <c r="AX1206" s="25">
        <f>Inventory[[#This Row],[AddFn]]*Lookups!$B$88</f>
        <v>0</v>
      </c>
      <c r="AY1206" s="25">
        <f>Inventory[[#This Row],[Bsmt]]*Lookups!$B$89</f>
        <v>0</v>
      </c>
      <c r="AZ1206" s="25">
        <f>Inventory[[#This Row],[Fixtures]]*Lookups!$B$90</f>
        <v>18960.110526</v>
      </c>
      <c r="BA1206" s="25">
        <f>Inventory[[#This Row],[WdDeck]]*Lookups!$B$91</f>
        <v>6659.1030552000011</v>
      </c>
      <c r="BB1206" s="25">
        <f>ROUND(Inventory[[#This Row],[25Det]],-2)</f>
        <v>0</v>
      </c>
      <c r="BC1206" s="25">
        <f>ROUND(SUM(Inventory[[#This Row],[Mdl Qlty]:[Mdl WdDeck]])+Inventory[[#This Row],[Mdl Res Intercept]],-2)</f>
        <v>299200</v>
      </c>
      <c r="BD1206" s="25">
        <f>ROUND(Inventory[[#This Row],[Mdl Land Intercept]]+Inventory[[#This Row],[Mdl LnAcres]],-2)</f>
        <v>43300</v>
      </c>
      <c r="BE1206" s="25">
        <f>Inventory[[#This Row],[Unadj Res Value]]+Inventory[[#This Row],[Unadj Det Value]]+Inventory[[#This Row],[Unadj Land Value]]</f>
        <v>342500</v>
      </c>
      <c r="BF1206" s="36">
        <f>(Inventory[[#This Row],[Unadj Total Value]]-Inventory[[#This Row],[24Final]])/Inventory[[#This Row],[24Final]]</f>
        <v>0.11636245110821382</v>
      </c>
      <c r="BG1206" s="25">
        <f>VLOOKUP(Inventory[[#This Row],[Nbhd]],Lookups!$Q$2:$T$4,4,FALSE)</f>
        <v>0.99970000000000003</v>
      </c>
      <c r="BH1206" s="25">
        <f>VLOOKUP(Inventory[[#This Row],[Qlty]],Lookups!$O$7:$R$21,4,FALSE)</f>
        <v>1.0088999999999999</v>
      </c>
      <c r="BI1206" s="25">
        <f>VLOOKUP(Inventory[[#This Row],[Cnd]],Lookups!$T$7:$W$16,4,FALSE)</f>
        <v>0.99650000000000005</v>
      </c>
      <c r="BJ1206" s="25">
        <f>VLOOKUP(Inventory[[#This Row],[LivArea Range]],Lookups!$T$25:$W$37,4,FALSE)</f>
        <v>1.0157</v>
      </c>
      <c r="BK1206" s="25">
        <f>VLOOKUP(Inventory[[#This Row],[Decade]],Lookups!$O$25:$R$42,4,FALSE)</f>
        <v>0.98909999999999998</v>
      </c>
      <c r="BL1206" s="25">
        <f>Inventory[[#This Row],[Nbhd Adj]]*0.95</f>
        <v>0.94971499999999998</v>
      </c>
      <c r="BM1206" s="25">
        <f>Inventory[[#This Row],[Nbhd Adj]]*Inventory[[#This Row],[Quality Adj]]*Inventory[[#This Row],[Condition Adj]]*Inventory[[#This Row],[Living Area Adj]]*Inventory[[#This Row],[Decade Adj]]*0.95</f>
        <v>0.95923358669032743</v>
      </c>
      <c r="BN1206" s="25">
        <f>ROUND(SUM(Inventory[[#This Row],[Mdl Qlty]:[Mdl WdDeck]])+Inventory[[#This Row],[Mdl Res Intercept]]*Inventory[[#This Row],[Res Adj ]],-2)</f>
        <v>299200</v>
      </c>
      <c r="BO1206" s="25">
        <f>ROUND(Inventory[[#This Row],[25Det]]*Inventory[[#This Row],[Det/Nbhd Adj]],-2)</f>
        <v>0</v>
      </c>
      <c r="BP1206" s="25">
        <f>Inventory[[#This Row],[Adjusted Res]]+Inventory[[#This Row],[Adj Det ]]</f>
        <v>299200</v>
      </c>
      <c r="BQ1206" s="25">
        <f>ROUND((Inventory[[#This Row],[Mdl Land Intercept]]+Inventory[[#This Row],[Mdl LnAcres]])*Inventory[[#This Row],[Det/Nbhd Adj]],-2)</f>
        <v>41100</v>
      </c>
      <c r="BR1206" s="25">
        <f>Inventory[[#This Row],[Adjusted Impr Total]]+Inventory[[#This Row],[Adjusted Land Total]]</f>
        <v>340300</v>
      </c>
      <c r="BS1206" s="36">
        <f>IFERROR((Inventory[[#This Row],[Adjusted Impr Total]]-Inventory[[#This Row],[24Bldg]])/Inventory[[#This Row],[24Bldg]],0)</f>
        <v>0.22874743326488706</v>
      </c>
      <c r="BT1206" s="36">
        <f>(Inventory[[#This Row],[Adjusted Land Total]]-Inventory[[#This Row],[24Lnd]])/Inventory[[#This Row],[24Lnd]]</f>
        <v>-0.35071090047393366</v>
      </c>
      <c r="BU1206" s="36">
        <f>(Inventory[[#This Row],[Adjusted Total]]-Inventory[[#This Row],[24Final]])/Inventory[[#This Row],[24Final]]</f>
        <v>0.1091916558018253</v>
      </c>
    </row>
    <row r="1207" spans="1:73" x14ac:dyDescent="0.3">
      <c r="A1207" s="25">
        <v>2025</v>
      </c>
      <c r="B1207" s="26" t="s">
        <v>2337</v>
      </c>
      <c r="C1207" s="26">
        <f>LN(Inventory[[#This Row],[Acres]])</f>
        <v>-1.4696759700589417</v>
      </c>
      <c r="D1207" s="25">
        <v>0.23</v>
      </c>
      <c r="E1207" s="31"/>
      <c r="F1207" s="26" t="s">
        <v>537</v>
      </c>
      <c r="G1207" s="26" t="s">
        <v>126</v>
      </c>
      <c r="H1207" s="26" t="s">
        <v>349</v>
      </c>
      <c r="I1207" s="26" t="s">
        <v>538</v>
      </c>
      <c r="J1207" s="26" t="s">
        <v>539</v>
      </c>
      <c r="K1207" s="26" t="s">
        <v>242</v>
      </c>
      <c r="L1207" s="26" t="s">
        <v>148</v>
      </c>
      <c r="M1207" s="26" t="s">
        <v>303</v>
      </c>
      <c r="N1207" s="26">
        <v>90</v>
      </c>
      <c r="O1207" s="26">
        <f>2024-Inventory[[#This Row],[YrBlt]]</f>
        <v>84</v>
      </c>
      <c r="P1207" s="26">
        <f>2024-Inventory[[#This Row],[EffYr]]</f>
        <v>52</v>
      </c>
      <c r="Q1207" s="25">
        <v>1940</v>
      </c>
      <c r="R1207" s="25">
        <v>1972</v>
      </c>
      <c r="S1207" s="25">
        <v>1777</v>
      </c>
      <c r="T1207" s="27"/>
      <c r="U1207" s="32">
        <v>1050</v>
      </c>
      <c r="V1207" s="32">
        <f>Inventory[[#This Row],[Bsmt]]-Inventory[[#This Row],[FnBsmt]]</f>
        <v>1050</v>
      </c>
      <c r="W1207" s="27"/>
      <c r="X1207" s="27"/>
      <c r="Y1207" s="27">
        <f>Inventory[[#This Row],[MainFn]]+Inventory[[#This Row],[UpprFn]]+Inventory[[#This Row],[FnBsmt]]+Inventory[[#This Row],[AddFn]]</f>
        <v>1777</v>
      </c>
      <c r="Z1207" s="27">
        <v>2000</v>
      </c>
      <c r="AA1207" s="25">
        <v>9</v>
      </c>
      <c r="AB1207" s="27"/>
      <c r="AC1207" s="27"/>
      <c r="AD1207" s="27"/>
      <c r="AE1207" s="27"/>
      <c r="AF1207" s="27"/>
      <c r="AG1207" s="27"/>
      <c r="AH1207" s="27"/>
      <c r="AI1207" s="25">
        <v>429586</v>
      </c>
      <c r="AJ1207" s="25">
        <v>300710</v>
      </c>
      <c r="AK1207" s="25">
        <v>0</v>
      </c>
      <c r="AL1207" s="25">
        <v>382600</v>
      </c>
      <c r="AM1207" s="25">
        <v>63300</v>
      </c>
      <c r="AN1207" s="25">
        <v>319300</v>
      </c>
      <c r="AO1207" s="25">
        <v>0</v>
      </c>
      <c r="AP1207" s="25">
        <f>Lookups!$B$56*0</f>
        <v>0</v>
      </c>
      <c r="AQ1207" s="25">
        <f>Lookups!$B$56*1</f>
        <v>89850.625589999996</v>
      </c>
      <c r="AR1207" s="25">
        <f>Lookups!$B$57*Inventory[[#This Row],[LnAcres]]</f>
        <v>-46522.028095997222</v>
      </c>
      <c r="AS1207" s="25">
        <f>VLOOKUP(Inventory[[#This Row],[Qlty]],Lookups!$A$62:$E$75,2,FALSE)</f>
        <v>44121.038090000002</v>
      </c>
      <c r="AT1207" s="25">
        <f>VLOOKUP(Inventory[[#This Row],[Cnd]],Lookups!$A$76:$E$84,2,FALSE)</f>
        <v>197752.34721000001</v>
      </c>
      <c r="AU1207" s="25">
        <f>Inventory[[#This Row],[EffAge]]*Lookups!$B$85</f>
        <v>-11598.371226000001</v>
      </c>
      <c r="AV1207" s="25">
        <f>Inventory[[#This Row],[MainFn]]*Lookups!$B$86</f>
        <v>87799.206371428998</v>
      </c>
      <c r="AW1207" s="25">
        <f>Inventory[[#This Row],[UpprFn]]*Lookups!$B$87</f>
        <v>0</v>
      </c>
      <c r="AX1207" s="25">
        <f>Inventory[[#This Row],[AddFn]]*Lookups!$B$88</f>
        <v>0</v>
      </c>
      <c r="AY1207" s="25">
        <f>Inventory[[#This Row],[Bsmt]]*Lookups!$B$89</f>
        <v>30535.99000935</v>
      </c>
      <c r="AZ1207" s="25">
        <f>Inventory[[#This Row],[Fixtures]]*Lookups!$B$90</f>
        <v>34128.198946800003</v>
      </c>
      <c r="BA1207" s="25">
        <f>Inventory[[#This Row],[WdDeck]]*Lookups!$B$91</f>
        <v>0</v>
      </c>
      <c r="BB1207" s="25">
        <f>ROUND(Inventory[[#This Row],[25Det]],-2)</f>
        <v>0</v>
      </c>
      <c r="BC1207" s="25">
        <f>ROUND(SUM(Inventory[[#This Row],[Mdl Qlty]:[Mdl WdDeck]])+Inventory[[#This Row],[Mdl Res Intercept]],-2)</f>
        <v>382700</v>
      </c>
      <c r="BD1207" s="25">
        <f>ROUND(Inventory[[#This Row],[Mdl Land Intercept]]+Inventory[[#This Row],[Mdl LnAcres]],-2)</f>
        <v>43300</v>
      </c>
      <c r="BE1207" s="25">
        <f>Inventory[[#This Row],[Unadj Res Value]]+Inventory[[#This Row],[Unadj Det Value]]+Inventory[[#This Row],[Unadj Land Value]]</f>
        <v>426000</v>
      </c>
      <c r="BF1207" s="36">
        <f>(Inventory[[#This Row],[Unadj Total Value]]-Inventory[[#This Row],[24Final]])/Inventory[[#This Row],[24Final]]</f>
        <v>0.1134343962362781</v>
      </c>
      <c r="BG1207" s="25">
        <f>VLOOKUP(Inventory[[#This Row],[Nbhd]],Lookups!$Q$2:$T$4,4,FALSE)</f>
        <v>0.99970000000000003</v>
      </c>
      <c r="BH1207" s="25">
        <f>VLOOKUP(Inventory[[#This Row],[Qlty]],Lookups!$O$7:$R$21,4,FALSE)</f>
        <v>0.98050000000000004</v>
      </c>
      <c r="BI1207" s="25">
        <f>VLOOKUP(Inventory[[#This Row],[Cnd]],Lookups!$T$7:$W$16,4,FALSE)</f>
        <v>0.99650000000000005</v>
      </c>
      <c r="BJ1207" s="25">
        <f>VLOOKUP(Inventory[[#This Row],[LivArea Range]],Lookups!$T$25:$W$37,4,FALSE)</f>
        <v>1.0093000000000001</v>
      </c>
      <c r="BK1207" s="25">
        <f>VLOOKUP(Inventory[[#This Row],[Decade]],Lookups!$O$25:$R$42,4,FALSE)</f>
        <v>0.98909999999999998</v>
      </c>
      <c r="BL1207" s="25">
        <f>Inventory[[#This Row],[Nbhd Adj]]*0.95</f>
        <v>0.94971499999999998</v>
      </c>
      <c r="BM1207" s="25">
        <f>Inventory[[#This Row],[Nbhd Adj]]*Inventory[[#This Row],[Quality Adj]]*Inventory[[#This Row],[Condition Adj]]*Inventory[[#This Row],[Living Area Adj]]*Inventory[[#This Row],[Decade Adj]]*0.95</f>
        <v>0.92635760994173622</v>
      </c>
      <c r="BN1207" s="25">
        <f>ROUND(SUM(Inventory[[#This Row],[Mdl Qlty]:[Mdl WdDeck]])+Inventory[[#This Row],[Mdl Res Intercept]]*Inventory[[#This Row],[Res Adj ]],-2)</f>
        <v>382700</v>
      </c>
      <c r="BO1207" s="25">
        <f>ROUND(Inventory[[#This Row],[25Det]]*Inventory[[#This Row],[Det/Nbhd Adj]],-2)</f>
        <v>0</v>
      </c>
      <c r="BP1207" s="25">
        <f>Inventory[[#This Row],[Adjusted Res]]+Inventory[[#This Row],[Adj Det ]]</f>
        <v>382700</v>
      </c>
      <c r="BQ1207" s="25">
        <f>ROUND((Inventory[[#This Row],[Mdl Land Intercept]]+Inventory[[#This Row],[Mdl LnAcres]])*Inventory[[#This Row],[Det/Nbhd Adj]],-2)</f>
        <v>41100</v>
      </c>
      <c r="BR1207" s="25">
        <f>Inventory[[#This Row],[Adjusted Impr Total]]+Inventory[[#This Row],[Adjusted Land Total]]</f>
        <v>423800</v>
      </c>
      <c r="BS1207" s="36">
        <f>IFERROR((Inventory[[#This Row],[Adjusted Impr Total]]-Inventory[[#This Row],[24Bldg]])/Inventory[[#This Row],[24Bldg]],0)</f>
        <v>0.19855934857500782</v>
      </c>
      <c r="BT1207" s="36">
        <f>(Inventory[[#This Row],[Adjusted Land Total]]-Inventory[[#This Row],[24Lnd]])/Inventory[[#This Row],[24Lnd]]</f>
        <v>-0.35071090047393366</v>
      </c>
      <c r="BU1207" s="36">
        <f>(Inventory[[#This Row],[Adjusted Total]]-Inventory[[#This Row],[24Final]])/Inventory[[#This Row],[24Final]]</f>
        <v>0.10768426555148981</v>
      </c>
    </row>
    <row r="1208" spans="1:73" x14ac:dyDescent="0.3">
      <c r="A1208" s="25">
        <v>2025</v>
      </c>
      <c r="B1208" s="26" t="s">
        <v>1955</v>
      </c>
      <c r="C1208" s="26">
        <f>LN(Inventory[[#This Row],[Acres]])</f>
        <v>-1.7719568419318752</v>
      </c>
      <c r="D1208" s="25">
        <v>0.17</v>
      </c>
      <c r="E1208" s="25">
        <v>7352</v>
      </c>
      <c r="F1208" s="26" t="s">
        <v>537</v>
      </c>
      <c r="G1208" s="26" t="s">
        <v>126</v>
      </c>
      <c r="H1208" s="26" t="s">
        <v>349</v>
      </c>
      <c r="I1208" s="26" t="s">
        <v>538</v>
      </c>
      <c r="J1208" s="26" t="s">
        <v>539</v>
      </c>
      <c r="K1208" s="26" t="s">
        <v>269</v>
      </c>
      <c r="L1208" s="26" t="s">
        <v>351</v>
      </c>
      <c r="M1208" s="26" t="s">
        <v>303</v>
      </c>
      <c r="N1208" s="26">
        <v>90</v>
      </c>
      <c r="O1208" s="26">
        <f>2024-Inventory[[#This Row],[YrBlt]]</f>
        <v>84</v>
      </c>
      <c r="P1208" s="26">
        <f>2024-Inventory[[#This Row],[EffYr]]</f>
        <v>52</v>
      </c>
      <c r="Q1208" s="25">
        <v>1940</v>
      </c>
      <c r="R1208" s="25">
        <v>1972</v>
      </c>
      <c r="S1208" s="25">
        <v>998</v>
      </c>
      <c r="T1208" s="27"/>
      <c r="U1208" s="25">
        <v>500</v>
      </c>
      <c r="V1208" s="25">
        <f>Inventory[[#This Row],[Bsmt]]-Inventory[[#This Row],[FnBsmt]]</f>
        <v>0</v>
      </c>
      <c r="W1208" s="25">
        <v>500</v>
      </c>
      <c r="X1208" s="27"/>
      <c r="Y1208" s="27">
        <f>Inventory[[#This Row],[MainFn]]+Inventory[[#This Row],[UpprFn]]+Inventory[[#This Row],[FnBsmt]]+Inventory[[#This Row],[AddFn]]</f>
        <v>1498</v>
      </c>
      <c r="Z1208" s="27">
        <v>1500</v>
      </c>
      <c r="AA1208" s="25">
        <v>8</v>
      </c>
      <c r="AB1208" s="27"/>
      <c r="AC1208" s="27"/>
      <c r="AD1208" s="25">
        <v>372</v>
      </c>
      <c r="AE1208" s="27"/>
      <c r="AF1208" s="27"/>
      <c r="AG1208" s="27"/>
      <c r="AH1208" s="27"/>
      <c r="AI1208" s="25">
        <v>237465</v>
      </c>
      <c r="AJ1208" s="25">
        <v>166226</v>
      </c>
      <c r="AK1208" s="25">
        <v>5261</v>
      </c>
      <c r="AL1208" s="25">
        <v>317300</v>
      </c>
      <c r="AM1208" s="25">
        <v>52700</v>
      </c>
      <c r="AN1208" s="25">
        <v>264600</v>
      </c>
      <c r="AO1208" s="25">
        <v>0</v>
      </c>
      <c r="AP1208" s="25">
        <f>Lookups!$B$56*0</f>
        <v>0</v>
      </c>
      <c r="AQ1208" s="25">
        <f>Lookups!$B$56*1</f>
        <v>89850.625589999996</v>
      </c>
      <c r="AR1208" s="25">
        <f>Lookups!$B$57*Inventory[[#This Row],[LnAcres]]</f>
        <v>-56090.612940989391</v>
      </c>
      <c r="AS1208" s="25">
        <f>VLOOKUP(Inventory[[#This Row],[Qlty]],Lookups!$A$62:$E$75,2,FALSE)</f>
        <v>21557.329055999999</v>
      </c>
      <c r="AT1208" s="25">
        <f>VLOOKUP(Inventory[[#This Row],[Cnd]],Lookups!$A$76:$E$84,2,FALSE)</f>
        <v>197752.34721000001</v>
      </c>
      <c r="AU1208" s="25">
        <f>Inventory[[#This Row],[EffAge]]*Lookups!$B$85</f>
        <v>-11598.371226000001</v>
      </c>
      <c r="AV1208" s="25">
        <f>Inventory[[#This Row],[MainFn]]*Lookups!$B$86</f>
        <v>49309.852537245999</v>
      </c>
      <c r="AW1208" s="25">
        <f>Inventory[[#This Row],[UpprFn]]*Lookups!$B$87</f>
        <v>0</v>
      </c>
      <c r="AX1208" s="25">
        <f>Inventory[[#This Row],[AddFn]]*Lookups!$B$88</f>
        <v>0</v>
      </c>
      <c r="AY1208" s="25">
        <f>Inventory[[#This Row],[Bsmt]]*Lookups!$B$89</f>
        <v>14540.947623499998</v>
      </c>
      <c r="AZ1208" s="25">
        <f>Inventory[[#This Row],[Fixtures]]*Lookups!$B$90</f>
        <v>30336.176841600001</v>
      </c>
      <c r="BA1208" s="25">
        <f>Inventory[[#This Row],[WdDeck]]*Lookups!$B$91</f>
        <v>12385.931682672001</v>
      </c>
      <c r="BB1208" s="25">
        <f>ROUND(Inventory[[#This Row],[25Det]],-2)</f>
        <v>5300</v>
      </c>
      <c r="BC1208" s="25">
        <f>ROUND(SUM(Inventory[[#This Row],[Mdl Qlty]:[Mdl WdDeck]])+Inventory[[#This Row],[Mdl Res Intercept]],-2)</f>
        <v>314300</v>
      </c>
      <c r="BD1208" s="25">
        <f>ROUND(Inventory[[#This Row],[Mdl Land Intercept]]+Inventory[[#This Row],[Mdl LnAcres]],-2)</f>
        <v>33800</v>
      </c>
      <c r="BE1208" s="25">
        <f>Inventory[[#This Row],[Unadj Res Value]]+Inventory[[#This Row],[Unadj Det Value]]+Inventory[[#This Row],[Unadj Land Value]]</f>
        <v>353400</v>
      </c>
      <c r="BF1208" s="36">
        <f>(Inventory[[#This Row],[Unadj Total Value]]-Inventory[[#This Row],[24Final]])/Inventory[[#This Row],[24Final]]</f>
        <v>0.11377245508982035</v>
      </c>
      <c r="BG1208" s="25">
        <f>VLOOKUP(Inventory[[#This Row],[Nbhd]],Lookups!$Q$2:$T$4,4,FALSE)</f>
        <v>0.99970000000000003</v>
      </c>
      <c r="BH1208" s="25">
        <f>VLOOKUP(Inventory[[#This Row],[Qlty]],Lookups!$O$7:$R$21,4,FALSE)</f>
        <v>1.0067999999999999</v>
      </c>
      <c r="BI1208" s="25">
        <f>VLOOKUP(Inventory[[#This Row],[Cnd]],Lookups!$T$7:$W$16,4,FALSE)</f>
        <v>0.99650000000000005</v>
      </c>
      <c r="BJ1208" s="25">
        <f>VLOOKUP(Inventory[[#This Row],[LivArea Range]],Lookups!$T$25:$W$37,4,FALSE)</f>
        <v>1.0157</v>
      </c>
      <c r="BK1208" s="25">
        <f>VLOOKUP(Inventory[[#This Row],[Decade]],Lookups!$O$25:$R$42,4,FALSE)</f>
        <v>0.98909999999999998</v>
      </c>
      <c r="BL1208" s="25">
        <f>Inventory[[#This Row],[Nbhd Adj]]*0.95</f>
        <v>0.94971499999999998</v>
      </c>
      <c r="BM1208" s="25">
        <f>Inventory[[#This Row],[Nbhd Adj]]*Inventory[[#This Row],[Quality Adj]]*Inventory[[#This Row],[Condition Adj]]*Inventory[[#This Row],[Living Area Adj]]*Inventory[[#This Row],[Decade Adj]]*0.95</f>
        <v>0.95723696608169473</v>
      </c>
      <c r="BN1208" s="25">
        <f>ROUND(SUM(Inventory[[#This Row],[Mdl Qlty]:[Mdl WdDeck]])+Inventory[[#This Row],[Mdl Res Intercept]]*Inventory[[#This Row],[Res Adj ]],-2)</f>
        <v>314300</v>
      </c>
      <c r="BO1208" s="25">
        <f>ROUND(Inventory[[#This Row],[25Det]]*Inventory[[#This Row],[Det/Nbhd Adj]],-2)</f>
        <v>5000</v>
      </c>
      <c r="BP1208" s="25">
        <f>Inventory[[#This Row],[Adjusted Res]]+Inventory[[#This Row],[Adj Det ]]</f>
        <v>319300</v>
      </c>
      <c r="BQ1208" s="25">
        <f>ROUND((Inventory[[#This Row],[Mdl Land Intercept]]+Inventory[[#This Row],[Mdl LnAcres]])*Inventory[[#This Row],[Det/Nbhd Adj]],-2)</f>
        <v>32100</v>
      </c>
      <c r="BR1208" s="25">
        <f>Inventory[[#This Row],[Adjusted Impr Total]]+Inventory[[#This Row],[Adjusted Land Total]]</f>
        <v>351400</v>
      </c>
      <c r="BS1208" s="36">
        <f>IFERROR((Inventory[[#This Row],[Adjusted Impr Total]]-Inventory[[#This Row],[24Bldg]])/Inventory[[#This Row],[24Bldg]],0)</f>
        <v>0.20672713529856387</v>
      </c>
      <c r="BT1208" s="36">
        <f>(Inventory[[#This Row],[Adjusted Land Total]]-Inventory[[#This Row],[24Lnd]])/Inventory[[#This Row],[24Lnd]]</f>
        <v>-0.39089184060721061</v>
      </c>
      <c r="BU1208" s="36">
        <f>(Inventory[[#This Row],[Adjusted Total]]-Inventory[[#This Row],[24Final]])/Inventory[[#This Row],[24Final]]</f>
        <v>0.10746927198235108</v>
      </c>
    </row>
    <row r="1209" spans="1:73" x14ac:dyDescent="0.3">
      <c r="A1209" s="25">
        <v>2025</v>
      </c>
      <c r="B1209" s="26" t="s">
        <v>1279</v>
      </c>
      <c r="C1209" s="26">
        <f>LN(Inventory[[#This Row],[Acres]])</f>
        <v>-1.4271163556401458</v>
      </c>
      <c r="D1209" s="25">
        <v>0.24</v>
      </c>
      <c r="E1209" s="27"/>
      <c r="F1209" s="26" t="s">
        <v>537</v>
      </c>
      <c r="G1209" s="26" t="s">
        <v>126</v>
      </c>
      <c r="H1209" s="26" t="s">
        <v>349</v>
      </c>
      <c r="I1209" s="26" t="s">
        <v>538</v>
      </c>
      <c r="J1209" s="26" t="s">
        <v>539</v>
      </c>
      <c r="K1209" s="26" t="s">
        <v>242</v>
      </c>
      <c r="L1209" s="26" t="s">
        <v>351</v>
      </c>
      <c r="M1209" s="26" t="s">
        <v>303</v>
      </c>
      <c r="N1209" s="26">
        <v>90</v>
      </c>
      <c r="O1209" s="26">
        <f>2024-Inventory[[#This Row],[YrBlt]]</f>
        <v>84</v>
      </c>
      <c r="P1209" s="26">
        <f>2024-Inventory[[#This Row],[EffYr]]</f>
        <v>52</v>
      </c>
      <c r="Q1209" s="25">
        <v>1940</v>
      </c>
      <c r="R1209" s="25">
        <v>1972</v>
      </c>
      <c r="S1209" s="25">
        <v>1362</v>
      </c>
      <c r="T1209" s="27"/>
      <c r="U1209" s="25">
        <v>1182</v>
      </c>
      <c r="V1209" s="32">
        <f>Inventory[[#This Row],[Bsmt]]-Inventory[[#This Row],[FnBsmt]]</f>
        <v>1182</v>
      </c>
      <c r="W1209" s="27"/>
      <c r="X1209" s="27"/>
      <c r="Y1209" s="27">
        <f>Inventory[[#This Row],[MainFn]]+Inventory[[#This Row],[UpprFn]]+Inventory[[#This Row],[FnBsmt]]+Inventory[[#This Row],[AddFn]]</f>
        <v>1362</v>
      </c>
      <c r="Z1209" s="27">
        <v>1500</v>
      </c>
      <c r="AA1209" s="25">
        <v>5</v>
      </c>
      <c r="AB1209" s="32">
        <v>252</v>
      </c>
      <c r="AC1209" s="27"/>
      <c r="AD1209" s="27"/>
      <c r="AE1209" s="27"/>
      <c r="AF1209" s="27"/>
      <c r="AG1209" s="27"/>
      <c r="AH1209" s="27"/>
      <c r="AI1209" s="25">
        <v>276210</v>
      </c>
      <c r="AJ1209" s="25">
        <v>193347</v>
      </c>
      <c r="AK1209" s="25">
        <v>40422</v>
      </c>
      <c r="AL1209" s="25">
        <v>369500</v>
      </c>
      <c r="AM1209" s="25">
        <v>64800</v>
      </c>
      <c r="AN1209" s="25">
        <v>304700</v>
      </c>
      <c r="AO1209" s="25">
        <v>0</v>
      </c>
      <c r="AP1209" s="25">
        <f>Lookups!$B$56*0</f>
        <v>0</v>
      </c>
      <c r="AQ1209" s="25">
        <f>Lookups!$B$56*1</f>
        <v>89850.625589999996</v>
      </c>
      <c r="AR1209" s="25">
        <f>Lookups!$B$57*Inventory[[#This Row],[LnAcres]]</f>
        <v>-45174.819855485119</v>
      </c>
      <c r="AS1209" s="25">
        <f>VLOOKUP(Inventory[[#This Row],[Qlty]],Lookups!$A$62:$E$75,2,FALSE)</f>
        <v>21557.329055999999</v>
      </c>
      <c r="AT1209" s="25">
        <f>VLOOKUP(Inventory[[#This Row],[Cnd]],Lookups!$A$76:$E$84,2,FALSE)</f>
        <v>197752.34721000001</v>
      </c>
      <c r="AU1209" s="25">
        <f>Inventory[[#This Row],[EffAge]]*Lookups!$B$85</f>
        <v>-11598.371226000001</v>
      </c>
      <c r="AV1209" s="25">
        <f>Inventory[[#This Row],[MainFn]]*Lookups!$B$86</f>
        <v>67294.608372474002</v>
      </c>
      <c r="AW1209" s="25">
        <f>Inventory[[#This Row],[UpprFn]]*Lookups!$B$87</f>
        <v>0</v>
      </c>
      <c r="AX1209" s="25">
        <f>Inventory[[#This Row],[AddFn]]*Lookups!$B$88</f>
        <v>0</v>
      </c>
      <c r="AY1209" s="25">
        <f>Inventory[[#This Row],[Bsmt]]*Lookups!$B$89</f>
        <v>34374.800181954</v>
      </c>
      <c r="AZ1209" s="25">
        <f>Inventory[[#This Row],[Fixtures]]*Lookups!$B$90</f>
        <v>18960.110526</v>
      </c>
      <c r="BA1209" s="25">
        <f>Inventory[[#This Row],[WdDeck]]*Lookups!$B$91</f>
        <v>0</v>
      </c>
      <c r="BB1209" s="25">
        <f>ROUND(Inventory[[#This Row],[25Det]],-2)</f>
        <v>40400</v>
      </c>
      <c r="BC1209" s="25">
        <f>ROUND(SUM(Inventory[[#This Row],[Mdl Qlty]:[Mdl WdDeck]])+Inventory[[#This Row],[Mdl Res Intercept]],-2)</f>
        <v>328300</v>
      </c>
      <c r="BD1209" s="25">
        <f>ROUND(Inventory[[#This Row],[Mdl Land Intercept]]+Inventory[[#This Row],[Mdl LnAcres]],-2)</f>
        <v>44700</v>
      </c>
      <c r="BE1209" s="25">
        <f>Inventory[[#This Row],[Unadj Res Value]]+Inventory[[#This Row],[Unadj Det Value]]+Inventory[[#This Row],[Unadj Land Value]]</f>
        <v>413400</v>
      </c>
      <c r="BF1209" s="36">
        <f>(Inventory[[#This Row],[Unadj Total Value]]-Inventory[[#This Row],[24Final]])/Inventory[[#This Row],[24Final]]</f>
        <v>0.11880920162381597</v>
      </c>
      <c r="BG1209" s="25">
        <f>VLOOKUP(Inventory[[#This Row],[Nbhd]],Lookups!$Q$2:$T$4,4,FALSE)</f>
        <v>0.99970000000000003</v>
      </c>
      <c r="BH1209" s="25">
        <f>VLOOKUP(Inventory[[#This Row],[Qlty]],Lookups!$O$7:$R$21,4,FALSE)</f>
        <v>1.0067999999999999</v>
      </c>
      <c r="BI1209" s="25">
        <f>VLOOKUP(Inventory[[#This Row],[Cnd]],Lookups!$T$7:$W$16,4,FALSE)</f>
        <v>0.99650000000000005</v>
      </c>
      <c r="BJ1209" s="25">
        <f>VLOOKUP(Inventory[[#This Row],[LivArea Range]],Lookups!$T$25:$W$37,4,FALSE)</f>
        <v>1.0157</v>
      </c>
      <c r="BK1209" s="25">
        <f>VLOOKUP(Inventory[[#This Row],[Decade]],Lookups!$O$25:$R$42,4,FALSE)</f>
        <v>0.98909999999999998</v>
      </c>
      <c r="BL1209" s="25">
        <f>Inventory[[#This Row],[Nbhd Adj]]*0.95</f>
        <v>0.94971499999999998</v>
      </c>
      <c r="BM1209" s="25">
        <f>Inventory[[#This Row],[Nbhd Adj]]*Inventory[[#This Row],[Quality Adj]]*Inventory[[#This Row],[Condition Adj]]*Inventory[[#This Row],[Living Area Adj]]*Inventory[[#This Row],[Decade Adj]]*0.95</f>
        <v>0.95723696608169473</v>
      </c>
      <c r="BN1209" s="25">
        <f>ROUND(SUM(Inventory[[#This Row],[Mdl Qlty]:[Mdl WdDeck]])+Inventory[[#This Row],[Mdl Res Intercept]]*Inventory[[#This Row],[Res Adj ]],-2)</f>
        <v>328300</v>
      </c>
      <c r="BO1209" s="25">
        <f>ROUND(Inventory[[#This Row],[25Det]]*Inventory[[#This Row],[Det/Nbhd Adj]],-2)</f>
        <v>38400</v>
      </c>
      <c r="BP1209" s="25">
        <f>Inventory[[#This Row],[Adjusted Res]]+Inventory[[#This Row],[Adj Det ]]</f>
        <v>366700</v>
      </c>
      <c r="BQ1209" s="25">
        <f>ROUND((Inventory[[#This Row],[Mdl Land Intercept]]+Inventory[[#This Row],[Mdl LnAcres]])*Inventory[[#This Row],[Det/Nbhd Adj]],-2)</f>
        <v>42400</v>
      </c>
      <c r="BR1209" s="25">
        <f>Inventory[[#This Row],[Adjusted Impr Total]]+Inventory[[#This Row],[Adjusted Land Total]]</f>
        <v>409100</v>
      </c>
      <c r="BS1209" s="36">
        <f>IFERROR((Inventory[[#This Row],[Adjusted Impr Total]]-Inventory[[#This Row],[24Bldg]])/Inventory[[#This Row],[24Bldg]],0)</f>
        <v>0.20347883163767641</v>
      </c>
      <c r="BT1209" s="36">
        <f>(Inventory[[#This Row],[Adjusted Land Total]]-Inventory[[#This Row],[24Lnd]])/Inventory[[#This Row],[24Lnd]]</f>
        <v>-0.34567901234567899</v>
      </c>
      <c r="BU1209" s="36">
        <f>(Inventory[[#This Row],[Adjusted Total]]-Inventory[[#This Row],[24Final]])/Inventory[[#This Row],[24Final]]</f>
        <v>0.10717185385656293</v>
      </c>
    </row>
    <row r="1210" spans="1:73" x14ac:dyDescent="0.3">
      <c r="A1210" s="25">
        <v>2025</v>
      </c>
      <c r="B1210" s="26" t="s">
        <v>1423</v>
      </c>
      <c r="C1210" s="26">
        <f>LN(Inventory[[#This Row],[Acres]])</f>
        <v>-1.7147984280919266</v>
      </c>
      <c r="D1210" s="25">
        <v>0.18</v>
      </c>
      <c r="E1210" s="32">
        <v>8040</v>
      </c>
      <c r="F1210" s="26" t="s">
        <v>537</v>
      </c>
      <c r="G1210" s="26" t="s">
        <v>126</v>
      </c>
      <c r="H1210" s="26" t="s">
        <v>349</v>
      </c>
      <c r="I1210" s="26" t="s">
        <v>538</v>
      </c>
      <c r="J1210" s="26" t="s">
        <v>539</v>
      </c>
      <c r="K1210" s="26" t="s">
        <v>242</v>
      </c>
      <c r="L1210" s="26" t="s">
        <v>351</v>
      </c>
      <c r="M1210" s="26" t="s">
        <v>323</v>
      </c>
      <c r="N1210" s="26">
        <v>90</v>
      </c>
      <c r="O1210" s="26">
        <f>2024-Inventory[[#This Row],[YrBlt]]</f>
        <v>84</v>
      </c>
      <c r="P1210" s="26">
        <f>2024-Inventory[[#This Row],[EffYr]]</f>
        <v>52</v>
      </c>
      <c r="Q1210" s="25">
        <v>1940</v>
      </c>
      <c r="R1210" s="25">
        <v>1972</v>
      </c>
      <c r="S1210" s="25">
        <v>1198</v>
      </c>
      <c r="T1210" s="27"/>
      <c r="U1210" s="25">
        <v>1056</v>
      </c>
      <c r="V1210" s="32">
        <f>Inventory[[#This Row],[Bsmt]]-Inventory[[#This Row],[FnBsmt]]</f>
        <v>1056</v>
      </c>
      <c r="W1210" s="27"/>
      <c r="X1210" s="27"/>
      <c r="Y1210" s="27">
        <f>Inventory[[#This Row],[MainFn]]+Inventory[[#This Row],[UpprFn]]+Inventory[[#This Row],[FnBsmt]]+Inventory[[#This Row],[AddFn]]</f>
        <v>1198</v>
      </c>
      <c r="Z1210" s="27">
        <v>1500</v>
      </c>
      <c r="AA1210" s="25">
        <v>5</v>
      </c>
      <c r="AB1210" s="27"/>
      <c r="AC1210" s="27"/>
      <c r="AD1210" s="32">
        <v>108</v>
      </c>
      <c r="AE1210" s="27"/>
      <c r="AF1210" s="27"/>
      <c r="AG1210" s="27"/>
      <c r="AH1210" s="27"/>
      <c r="AI1210" s="25">
        <v>229309</v>
      </c>
      <c r="AJ1210" s="25">
        <v>155930</v>
      </c>
      <c r="AK1210" s="25">
        <v>6394</v>
      </c>
      <c r="AL1210" s="25">
        <v>291700</v>
      </c>
      <c r="AM1210" s="25">
        <v>54700</v>
      </c>
      <c r="AN1210" s="25">
        <v>237000</v>
      </c>
      <c r="AO1210" s="25">
        <v>0</v>
      </c>
      <c r="AP1210" s="25">
        <f>Lookups!$B$56*0</f>
        <v>0</v>
      </c>
      <c r="AQ1210" s="25">
        <f>Lookups!$B$56*1</f>
        <v>89850.625589999996</v>
      </c>
      <c r="AR1210" s="25">
        <f>Lookups!$B$57*Inventory[[#This Row],[LnAcres]]</f>
        <v>-54281.285314520763</v>
      </c>
      <c r="AS1210" s="25">
        <f>VLOOKUP(Inventory[[#This Row],[Qlty]],Lookups!$A$62:$E$75,2,FALSE)</f>
        <v>21557.329055999999</v>
      </c>
      <c r="AT1210" s="25">
        <f>VLOOKUP(Inventory[[#This Row],[Cnd]],Lookups!$A$76:$E$84,2,FALSE)</f>
        <v>160472.20319</v>
      </c>
      <c r="AU1210" s="25">
        <f>Inventory[[#This Row],[EffAge]]*Lookups!$B$85</f>
        <v>-11598.371226000001</v>
      </c>
      <c r="AV1210" s="25">
        <f>Inventory[[#This Row],[MainFn]]*Lookups!$B$86</f>
        <v>59191.586512646005</v>
      </c>
      <c r="AW1210" s="25">
        <f>Inventory[[#This Row],[UpprFn]]*Lookups!$B$87</f>
        <v>0</v>
      </c>
      <c r="AX1210" s="25">
        <f>Inventory[[#This Row],[AddFn]]*Lookups!$B$88</f>
        <v>0</v>
      </c>
      <c r="AY1210" s="25">
        <f>Inventory[[#This Row],[Bsmt]]*Lookups!$B$89</f>
        <v>30710.481380832</v>
      </c>
      <c r="AZ1210" s="25">
        <f>Inventory[[#This Row],[Fixtures]]*Lookups!$B$90</f>
        <v>18960.110526</v>
      </c>
      <c r="BA1210" s="25">
        <f>Inventory[[#This Row],[WdDeck]]*Lookups!$B$91</f>
        <v>3595.9156498080001</v>
      </c>
      <c r="BB1210" s="25">
        <f>ROUND(Inventory[[#This Row],[25Det]],-2)</f>
        <v>6400</v>
      </c>
      <c r="BC1210" s="25">
        <f>ROUND(SUM(Inventory[[#This Row],[Mdl Qlty]:[Mdl WdDeck]])+Inventory[[#This Row],[Mdl Res Intercept]],-2)</f>
        <v>282900</v>
      </c>
      <c r="BD1210" s="25">
        <f>ROUND(Inventory[[#This Row],[Mdl Land Intercept]]+Inventory[[#This Row],[Mdl LnAcres]],-2)</f>
        <v>35600</v>
      </c>
      <c r="BE1210" s="25">
        <f>Inventory[[#This Row],[Unadj Res Value]]+Inventory[[#This Row],[Unadj Det Value]]+Inventory[[#This Row],[Unadj Land Value]]</f>
        <v>324900</v>
      </c>
      <c r="BF1210" s="36">
        <f>(Inventory[[#This Row],[Unadj Total Value]]-Inventory[[#This Row],[24Final]])/Inventory[[#This Row],[24Final]]</f>
        <v>0.11381556393555023</v>
      </c>
      <c r="BG1210" s="25">
        <f>VLOOKUP(Inventory[[#This Row],[Nbhd]],Lookups!$Q$2:$T$4,4,FALSE)</f>
        <v>0.99970000000000003</v>
      </c>
      <c r="BH1210" s="25">
        <f>VLOOKUP(Inventory[[#This Row],[Qlty]],Lookups!$O$7:$R$21,4,FALSE)</f>
        <v>1.0067999999999999</v>
      </c>
      <c r="BI1210" s="25">
        <f>VLOOKUP(Inventory[[#This Row],[Cnd]],Lookups!$T$7:$W$16,4,FALSE)</f>
        <v>0.99729999999999996</v>
      </c>
      <c r="BJ1210" s="25">
        <f>VLOOKUP(Inventory[[#This Row],[LivArea Range]],Lookups!$T$25:$W$37,4,FALSE)</f>
        <v>1.0157</v>
      </c>
      <c r="BK1210" s="25">
        <f>VLOOKUP(Inventory[[#This Row],[Decade]],Lookups!$O$25:$R$42,4,FALSE)</f>
        <v>0.98909999999999998</v>
      </c>
      <c r="BL1210" s="25">
        <f>Inventory[[#This Row],[Nbhd Adj]]*0.95</f>
        <v>0.94971499999999998</v>
      </c>
      <c r="BM1210" s="25">
        <f>Inventory[[#This Row],[Nbhd Adj]]*Inventory[[#This Row],[Quality Adj]]*Inventory[[#This Row],[Condition Adj]]*Inventory[[#This Row],[Living Area Adj]]*Inventory[[#This Row],[Decade Adj]]*0.95</f>
        <v>0.95800544533193577</v>
      </c>
      <c r="BN1210" s="25">
        <f>ROUND(SUM(Inventory[[#This Row],[Mdl Qlty]:[Mdl WdDeck]])+Inventory[[#This Row],[Mdl Res Intercept]]*Inventory[[#This Row],[Res Adj ]],-2)</f>
        <v>282900</v>
      </c>
      <c r="BO1210" s="25">
        <f>ROUND(Inventory[[#This Row],[25Det]]*Inventory[[#This Row],[Det/Nbhd Adj]],-2)</f>
        <v>6100</v>
      </c>
      <c r="BP1210" s="25">
        <f>Inventory[[#This Row],[Adjusted Res]]+Inventory[[#This Row],[Adj Det ]]</f>
        <v>289000</v>
      </c>
      <c r="BQ1210" s="25">
        <f>ROUND((Inventory[[#This Row],[Mdl Land Intercept]]+Inventory[[#This Row],[Mdl LnAcres]])*Inventory[[#This Row],[Det/Nbhd Adj]],-2)</f>
        <v>33800</v>
      </c>
      <c r="BR1210" s="25">
        <f>Inventory[[#This Row],[Adjusted Impr Total]]+Inventory[[#This Row],[Adjusted Land Total]]</f>
        <v>322800</v>
      </c>
      <c r="BS1210" s="36">
        <f>IFERROR((Inventory[[#This Row],[Adjusted Impr Total]]-Inventory[[#This Row],[24Bldg]])/Inventory[[#This Row],[24Bldg]],0)</f>
        <v>0.21940928270042195</v>
      </c>
      <c r="BT1210" s="36">
        <f>(Inventory[[#This Row],[Adjusted Land Total]]-Inventory[[#This Row],[24Lnd]])/Inventory[[#This Row],[24Lnd]]</f>
        <v>-0.38208409506398539</v>
      </c>
      <c r="BU1210" s="36">
        <f>(Inventory[[#This Row],[Adjusted Total]]-Inventory[[#This Row],[24Final]])/Inventory[[#This Row],[24Final]]</f>
        <v>0.10661638669866301</v>
      </c>
    </row>
    <row r="1211" spans="1:73" x14ac:dyDescent="0.3">
      <c r="A1211" s="25">
        <v>2025</v>
      </c>
      <c r="B1211" s="26" t="s">
        <v>1110</v>
      </c>
      <c r="C1211" s="26">
        <f>LN(Inventory[[#This Row],[Acres]])</f>
        <v>-1.9661128563728327</v>
      </c>
      <c r="D1211" s="25">
        <v>0.14000000000000001</v>
      </c>
      <c r="E1211" s="27"/>
      <c r="F1211" s="26" t="s">
        <v>537</v>
      </c>
      <c r="G1211" s="26" t="s">
        <v>126</v>
      </c>
      <c r="H1211" s="26" t="s">
        <v>349</v>
      </c>
      <c r="I1211" s="26" t="s">
        <v>538</v>
      </c>
      <c r="J1211" s="26" t="s">
        <v>539</v>
      </c>
      <c r="K1211" s="26" t="s">
        <v>242</v>
      </c>
      <c r="L1211" s="26" t="s">
        <v>302</v>
      </c>
      <c r="M1211" s="26" t="s">
        <v>303</v>
      </c>
      <c r="N1211" s="26">
        <v>90</v>
      </c>
      <c r="O1211" s="26">
        <f>2024-Inventory[[#This Row],[YrBlt]]</f>
        <v>84</v>
      </c>
      <c r="P1211" s="26">
        <f>2024-Inventory[[#This Row],[EffYr]]</f>
        <v>52</v>
      </c>
      <c r="Q1211" s="25">
        <v>1940</v>
      </c>
      <c r="R1211" s="25">
        <v>1972</v>
      </c>
      <c r="S1211" s="25">
        <v>1368</v>
      </c>
      <c r="T1211" s="27"/>
      <c r="U1211" s="25">
        <v>984</v>
      </c>
      <c r="V1211" s="25">
        <f>Inventory[[#This Row],[Bsmt]]-Inventory[[#This Row],[FnBsmt]]</f>
        <v>0</v>
      </c>
      <c r="W1211" s="25">
        <v>984</v>
      </c>
      <c r="X1211" s="27"/>
      <c r="Y1211" s="27">
        <f>Inventory[[#This Row],[MainFn]]+Inventory[[#This Row],[UpprFn]]+Inventory[[#This Row],[FnBsmt]]+Inventory[[#This Row],[AddFn]]</f>
        <v>2352</v>
      </c>
      <c r="Z1211" s="27">
        <v>2500</v>
      </c>
      <c r="AA1211" s="25">
        <v>6</v>
      </c>
      <c r="AB1211" s="27"/>
      <c r="AC1211" s="27"/>
      <c r="AD1211" s="32">
        <v>416</v>
      </c>
      <c r="AE1211" s="27"/>
      <c r="AF1211" s="27"/>
      <c r="AG1211" s="27"/>
      <c r="AH1211" s="27"/>
      <c r="AI1211" s="25">
        <v>345169</v>
      </c>
      <c r="AJ1211" s="25">
        <v>241618</v>
      </c>
      <c r="AK1211" s="25">
        <v>0</v>
      </c>
      <c r="AL1211" s="25">
        <v>339500</v>
      </c>
      <c r="AM1211" s="25">
        <v>46000</v>
      </c>
      <c r="AN1211" s="25">
        <v>293500</v>
      </c>
      <c r="AO1211" s="25">
        <v>0</v>
      </c>
      <c r="AP1211" s="25">
        <f>Lookups!$B$56*0</f>
        <v>0</v>
      </c>
      <c r="AQ1211" s="25">
        <f>Lookups!$B$56*1</f>
        <v>89850.625589999996</v>
      </c>
      <c r="AR1211" s="25">
        <f>Lookups!$B$57*Inventory[[#This Row],[LnAcres]]</f>
        <v>-62236.546971921947</v>
      </c>
      <c r="AS1211" s="25">
        <f>VLOOKUP(Inventory[[#This Row],[Qlty]],Lookups!$A$62:$E$75,2,FALSE)</f>
        <v>29814.093161000001</v>
      </c>
      <c r="AT1211" s="25">
        <f>VLOOKUP(Inventory[[#This Row],[Cnd]],Lookups!$A$76:$E$84,2,FALSE)</f>
        <v>197752.34721000001</v>
      </c>
      <c r="AU1211" s="25">
        <f>Inventory[[#This Row],[EffAge]]*Lookups!$B$85</f>
        <v>-11598.371226000001</v>
      </c>
      <c r="AV1211" s="25">
        <f>Inventory[[#This Row],[MainFn]]*Lookups!$B$86</f>
        <v>67591.060391735999</v>
      </c>
      <c r="AW1211" s="25">
        <f>Inventory[[#This Row],[UpprFn]]*Lookups!$B$87</f>
        <v>0</v>
      </c>
      <c r="AX1211" s="25">
        <f>Inventory[[#This Row],[AddFn]]*Lookups!$B$88</f>
        <v>0</v>
      </c>
      <c r="AY1211" s="25">
        <f>Inventory[[#This Row],[Bsmt]]*Lookups!$B$89</f>
        <v>28616.584923047998</v>
      </c>
      <c r="AZ1211" s="25">
        <f>Inventory[[#This Row],[Fixtures]]*Lookups!$B$90</f>
        <v>22752.132631200002</v>
      </c>
      <c r="BA1211" s="25">
        <f>Inventory[[#This Row],[WdDeck]]*Lookups!$B$91</f>
        <v>13850.934354816001</v>
      </c>
      <c r="BB1211" s="25">
        <f>ROUND(Inventory[[#This Row],[25Det]],-2)</f>
        <v>0</v>
      </c>
      <c r="BC1211" s="25">
        <f>ROUND(SUM(Inventory[[#This Row],[Mdl Qlty]:[Mdl WdDeck]])+Inventory[[#This Row],[Mdl Res Intercept]],-2)</f>
        <v>348800</v>
      </c>
      <c r="BD1211" s="25">
        <f>ROUND(Inventory[[#This Row],[Mdl Land Intercept]]+Inventory[[#This Row],[Mdl LnAcres]],-2)</f>
        <v>27600</v>
      </c>
      <c r="BE1211" s="25">
        <f>Inventory[[#This Row],[Unadj Res Value]]+Inventory[[#This Row],[Unadj Det Value]]+Inventory[[#This Row],[Unadj Land Value]]</f>
        <v>376400</v>
      </c>
      <c r="BF1211" s="36">
        <f>(Inventory[[#This Row],[Unadj Total Value]]-Inventory[[#This Row],[24Final]])/Inventory[[#This Row],[24Final]]</f>
        <v>0.10868924889543446</v>
      </c>
      <c r="BG1211" s="25">
        <f>VLOOKUP(Inventory[[#This Row],[Nbhd]],Lookups!$Q$2:$T$4,4,FALSE)</f>
        <v>0.99970000000000003</v>
      </c>
      <c r="BH1211" s="25">
        <f>VLOOKUP(Inventory[[#This Row],[Qlty]],Lookups!$O$7:$R$21,4,FALSE)</f>
        <v>1.0088999999999999</v>
      </c>
      <c r="BI1211" s="25">
        <f>VLOOKUP(Inventory[[#This Row],[Cnd]],Lookups!$T$7:$W$16,4,FALSE)</f>
        <v>0.99650000000000005</v>
      </c>
      <c r="BJ1211" s="25">
        <f>VLOOKUP(Inventory[[#This Row],[LivArea Range]],Lookups!$T$25:$W$37,4,FALSE)</f>
        <v>0.98919999999999997</v>
      </c>
      <c r="BK1211" s="25">
        <f>VLOOKUP(Inventory[[#This Row],[Decade]],Lookups!$O$25:$R$42,4,FALSE)</f>
        <v>0.98909999999999998</v>
      </c>
      <c r="BL1211" s="25">
        <f>Inventory[[#This Row],[Nbhd Adj]]*0.95</f>
        <v>0.94971499999999998</v>
      </c>
      <c r="BM1211" s="25">
        <f>Inventory[[#This Row],[Nbhd Adj]]*Inventory[[#This Row],[Quality Adj]]*Inventory[[#This Row],[Condition Adj]]*Inventory[[#This Row],[Living Area Adj]]*Inventory[[#This Row],[Decade Adj]]*0.95</f>
        <v>0.93420681692829766</v>
      </c>
      <c r="BN1211" s="25">
        <f>ROUND(SUM(Inventory[[#This Row],[Mdl Qlty]:[Mdl WdDeck]])+Inventory[[#This Row],[Mdl Res Intercept]]*Inventory[[#This Row],[Res Adj ]],-2)</f>
        <v>348800</v>
      </c>
      <c r="BO1211" s="25">
        <f>ROUND(Inventory[[#This Row],[25Det]]*Inventory[[#This Row],[Det/Nbhd Adj]],-2)</f>
        <v>0</v>
      </c>
      <c r="BP1211" s="25">
        <f>Inventory[[#This Row],[Adjusted Res]]+Inventory[[#This Row],[Adj Det ]]</f>
        <v>348800</v>
      </c>
      <c r="BQ1211" s="25">
        <f>ROUND((Inventory[[#This Row],[Mdl Land Intercept]]+Inventory[[#This Row],[Mdl LnAcres]])*Inventory[[#This Row],[Det/Nbhd Adj]],-2)</f>
        <v>26200</v>
      </c>
      <c r="BR1211" s="25">
        <f>Inventory[[#This Row],[Adjusted Impr Total]]+Inventory[[#This Row],[Adjusted Land Total]]</f>
        <v>375000</v>
      </c>
      <c r="BS1211" s="36">
        <f>IFERROR((Inventory[[#This Row],[Adjusted Impr Total]]-Inventory[[#This Row],[24Bldg]])/Inventory[[#This Row],[24Bldg]],0)</f>
        <v>0.18841567291311756</v>
      </c>
      <c r="BT1211" s="36">
        <f>(Inventory[[#This Row],[Adjusted Land Total]]-Inventory[[#This Row],[24Lnd]])/Inventory[[#This Row],[24Lnd]]</f>
        <v>-0.43043478260869567</v>
      </c>
      <c r="BU1211" s="36">
        <f>(Inventory[[#This Row],[Adjusted Total]]-Inventory[[#This Row],[24Final]])/Inventory[[#This Row],[24Final]]</f>
        <v>0.10456553755522828</v>
      </c>
    </row>
    <row r="1212" spans="1:73" x14ac:dyDescent="0.3">
      <c r="A1212" s="25">
        <v>2025</v>
      </c>
      <c r="B1212" s="26" t="s">
        <v>1808</v>
      </c>
      <c r="C1212" s="26">
        <f>LN(Inventory[[#This Row],[Acres]])</f>
        <v>-1.4696759700589417</v>
      </c>
      <c r="D1212" s="25">
        <v>0.23</v>
      </c>
      <c r="E1212" s="32">
        <v>9926</v>
      </c>
      <c r="F1212" s="26" t="s">
        <v>537</v>
      </c>
      <c r="G1212" s="26" t="s">
        <v>126</v>
      </c>
      <c r="H1212" s="26" t="s">
        <v>349</v>
      </c>
      <c r="I1212" s="26" t="s">
        <v>538</v>
      </c>
      <c r="J1212" s="26" t="s">
        <v>539</v>
      </c>
      <c r="K1212" s="26" t="s">
        <v>242</v>
      </c>
      <c r="L1212" s="26" t="s">
        <v>351</v>
      </c>
      <c r="M1212" s="26" t="s">
        <v>323</v>
      </c>
      <c r="N1212" s="26">
        <v>90</v>
      </c>
      <c r="O1212" s="26">
        <f>2024-Inventory[[#This Row],[YrBlt]]</f>
        <v>84</v>
      </c>
      <c r="P1212" s="26">
        <f>2024-Inventory[[#This Row],[EffYr]]</f>
        <v>52</v>
      </c>
      <c r="Q1212" s="25">
        <v>1940</v>
      </c>
      <c r="R1212" s="25">
        <v>1972</v>
      </c>
      <c r="S1212" s="25">
        <v>1288</v>
      </c>
      <c r="T1212" s="27"/>
      <c r="U1212" s="25">
        <v>1288</v>
      </c>
      <c r="V1212" s="25">
        <f>Inventory[[#This Row],[Bsmt]]-Inventory[[#This Row],[FnBsmt]]</f>
        <v>1288</v>
      </c>
      <c r="W1212" s="31"/>
      <c r="X1212" s="27"/>
      <c r="Y1212" s="27">
        <f>Inventory[[#This Row],[MainFn]]+Inventory[[#This Row],[UpprFn]]+Inventory[[#This Row],[FnBsmt]]+Inventory[[#This Row],[AddFn]]</f>
        <v>1288</v>
      </c>
      <c r="Z1212" s="27">
        <v>1500</v>
      </c>
      <c r="AA1212" s="25">
        <v>8</v>
      </c>
      <c r="AB1212" s="27"/>
      <c r="AC1212" s="27"/>
      <c r="AD1212" s="32">
        <v>156</v>
      </c>
      <c r="AE1212" s="27"/>
      <c r="AF1212" s="27"/>
      <c r="AG1212" s="27"/>
      <c r="AH1212" s="27"/>
      <c r="AI1212" s="25">
        <v>258202</v>
      </c>
      <c r="AJ1212" s="25">
        <v>175577</v>
      </c>
      <c r="AK1212" s="25">
        <v>6178</v>
      </c>
      <c r="AL1212" s="25">
        <v>321100</v>
      </c>
      <c r="AM1212" s="25">
        <v>63300</v>
      </c>
      <c r="AN1212" s="25">
        <v>257800</v>
      </c>
      <c r="AO1212" s="25">
        <v>0</v>
      </c>
      <c r="AP1212" s="25">
        <f>Lookups!$B$56*0</f>
        <v>0</v>
      </c>
      <c r="AQ1212" s="25">
        <f>Lookups!$B$56*1</f>
        <v>89850.625589999996</v>
      </c>
      <c r="AR1212" s="25">
        <f>Lookups!$B$57*Inventory[[#This Row],[LnAcres]]</f>
        <v>-46522.028095997222</v>
      </c>
      <c r="AS1212" s="25">
        <f>VLOOKUP(Inventory[[#This Row],[Qlty]],Lookups!$A$62:$E$75,2,FALSE)</f>
        <v>21557.329055999999</v>
      </c>
      <c r="AT1212" s="25">
        <f>VLOOKUP(Inventory[[#This Row],[Cnd]],Lookups!$A$76:$E$84,2,FALSE)</f>
        <v>160472.20319</v>
      </c>
      <c r="AU1212" s="25">
        <f>Inventory[[#This Row],[EffAge]]*Lookups!$B$85</f>
        <v>-11598.371226000001</v>
      </c>
      <c r="AV1212" s="25">
        <f>Inventory[[#This Row],[MainFn]]*Lookups!$B$86</f>
        <v>63638.366801576005</v>
      </c>
      <c r="AW1212" s="25">
        <f>Inventory[[#This Row],[UpprFn]]*Lookups!$B$87</f>
        <v>0</v>
      </c>
      <c r="AX1212" s="25">
        <f>Inventory[[#This Row],[AddFn]]*Lookups!$B$88</f>
        <v>0</v>
      </c>
      <c r="AY1212" s="25">
        <f>Inventory[[#This Row],[Bsmt]]*Lookups!$B$89</f>
        <v>37457.481078135999</v>
      </c>
      <c r="AZ1212" s="25">
        <f>Inventory[[#This Row],[Fixtures]]*Lookups!$B$90</f>
        <v>30336.176841600001</v>
      </c>
      <c r="BA1212" s="25">
        <f>Inventory[[#This Row],[WdDeck]]*Lookups!$B$91</f>
        <v>5194.1003830560003</v>
      </c>
      <c r="BB1212" s="25">
        <f>ROUND(Inventory[[#This Row],[25Det]],-2)</f>
        <v>6200</v>
      </c>
      <c r="BC1212" s="25">
        <f>ROUND(SUM(Inventory[[#This Row],[Mdl Qlty]:[Mdl WdDeck]])+Inventory[[#This Row],[Mdl Res Intercept]],-2)</f>
        <v>307100</v>
      </c>
      <c r="BD1212" s="25">
        <f>ROUND(Inventory[[#This Row],[Mdl Land Intercept]]+Inventory[[#This Row],[Mdl LnAcres]],-2)</f>
        <v>43300</v>
      </c>
      <c r="BE1212" s="25">
        <f>Inventory[[#This Row],[Unadj Res Value]]+Inventory[[#This Row],[Unadj Det Value]]+Inventory[[#This Row],[Unadj Land Value]]</f>
        <v>356600</v>
      </c>
      <c r="BF1212" s="36">
        <f>(Inventory[[#This Row],[Unadj Total Value]]-Inventory[[#This Row],[24Final]])/Inventory[[#This Row],[24Final]]</f>
        <v>0.11055745873559639</v>
      </c>
      <c r="BG1212" s="25">
        <f>VLOOKUP(Inventory[[#This Row],[Nbhd]],Lookups!$Q$2:$T$4,4,FALSE)</f>
        <v>0.99970000000000003</v>
      </c>
      <c r="BH1212" s="25">
        <f>VLOOKUP(Inventory[[#This Row],[Qlty]],Lookups!$O$7:$R$21,4,FALSE)</f>
        <v>1.0067999999999999</v>
      </c>
      <c r="BI1212" s="25">
        <f>VLOOKUP(Inventory[[#This Row],[Cnd]],Lookups!$T$7:$W$16,4,FALSE)</f>
        <v>0.99729999999999996</v>
      </c>
      <c r="BJ1212" s="25">
        <f>VLOOKUP(Inventory[[#This Row],[LivArea Range]],Lookups!$T$25:$W$37,4,FALSE)</f>
        <v>1.0157</v>
      </c>
      <c r="BK1212" s="25">
        <f>VLOOKUP(Inventory[[#This Row],[Decade]],Lookups!$O$25:$R$42,4,FALSE)</f>
        <v>0.98909999999999998</v>
      </c>
      <c r="BL1212" s="25">
        <f>Inventory[[#This Row],[Nbhd Adj]]*0.95</f>
        <v>0.94971499999999998</v>
      </c>
      <c r="BM1212" s="25">
        <f>Inventory[[#This Row],[Nbhd Adj]]*Inventory[[#This Row],[Quality Adj]]*Inventory[[#This Row],[Condition Adj]]*Inventory[[#This Row],[Living Area Adj]]*Inventory[[#This Row],[Decade Adj]]*0.95</f>
        <v>0.95800544533193577</v>
      </c>
      <c r="BN1212" s="25">
        <f>ROUND(SUM(Inventory[[#This Row],[Mdl Qlty]:[Mdl WdDeck]])+Inventory[[#This Row],[Mdl Res Intercept]]*Inventory[[#This Row],[Res Adj ]],-2)</f>
        <v>307100</v>
      </c>
      <c r="BO1212" s="25">
        <f>ROUND(Inventory[[#This Row],[25Det]]*Inventory[[#This Row],[Det/Nbhd Adj]],-2)</f>
        <v>5900</v>
      </c>
      <c r="BP1212" s="25">
        <f>Inventory[[#This Row],[Adjusted Res]]+Inventory[[#This Row],[Adj Det ]]</f>
        <v>313000</v>
      </c>
      <c r="BQ1212" s="25">
        <f>ROUND((Inventory[[#This Row],[Mdl Land Intercept]]+Inventory[[#This Row],[Mdl LnAcres]])*Inventory[[#This Row],[Det/Nbhd Adj]],-2)</f>
        <v>41100</v>
      </c>
      <c r="BR1212" s="25">
        <f>Inventory[[#This Row],[Adjusted Impr Total]]+Inventory[[#This Row],[Adjusted Land Total]]</f>
        <v>354100</v>
      </c>
      <c r="BS1212" s="36">
        <f>IFERROR((Inventory[[#This Row],[Adjusted Impr Total]]-Inventory[[#This Row],[24Bldg]])/Inventory[[#This Row],[24Bldg]],0)</f>
        <v>0.21411947245927077</v>
      </c>
      <c r="BT1212" s="36">
        <f>(Inventory[[#This Row],[Adjusted Land Total]]-Inventory[[#This Row],[24Lnd]])/Inventory[[#This Row],[24Lnd]]</f>
        <v>-0.35071090047393366</v>
      </c>
      <c r="BU1212" s="36">
        <f>(Inventory[[#This Row],[Adjusted Total]]-Inventory[[#This Row],[24Final]])/Inventory[[#This Row],[24Final]]</f>
        <v>0.10277172220492059</v>
      </c>
    </row>
    <row r="1213" spans="1:73" x14ac:dyDescent="0.3">
      <c r="A1213" s="25">
        <v>2025</v>
      </c>
      <c r="B1213" s="26" t="s">
        <v>1952</v>
      </c>
      <c r="C1213" s="26">
        <f>LN(Inventory[[#This Row],[Acres]])</f>
        <v>-1.6607312068216509</v>
      </c>
      <c r="D1213" s="25">
        <v>0.19</v>
      </c>
      <c r="E1213" s="27"/>
      <c r="F1213" s="26" t="s">
        <v>537</v>
      </c>
      <c r="G1213" s="26" t="s">
        <v>126</v>
      </c>
      <c r="H1213" s="26" t="s">
        <v>349</v>
      </c>
      <c r="I1213" s="26" t="s">
        <v>538</v>
      </c>
      <c r="J1213" s="26" t="s">
        <v>539</v>
      </c>
      <c r="K1213" s="26" t="s">
        <v>242</v>
      </c>
      <c r="L1213" s="26" t="s">
        <v>351</v>
      </c>
      <c r="M1213" s="26" t="s">
        <v>303</v>
      </c>
      <c r="N1213" s="26">
        <v>90</v>
      </c>
      <c r="O1213" s="26">
        <f>2024-Inventory[[#This Row],[YrBlt]]</f>
        <v>84</v>
      </c>
      <c r="P1213" s="26">
        <f>2024-Inventory[[#This Row],[EffYr]]</f>
        <v>52</v>
      </c>
      <c r="Q1213" s="25">
        <v>1940</v>
      </c>
      <c r="R1213" s="25">
        <v>1972</v>
      </c>
      <c r="S1213" s="25">
        <v>1254</v>
      </c>
      <c r="T1213" s="27"/>
      <c r="U1213" s="31"/>
      <c r="V1213" s="31">
        <f>Inventory[[#This Row],[Bsmt]]-Inventory[[#This Row],[FnBsmt]]</f>
        <v>0</v>
      </c>
      <c r="W1213" s="31"/>
      <c r="X1213" s="27"/>
      <c r="Y1213" s="27">
        <f>Inventory[[#This Row],[MainFn]]+Inventory[[#This Row],[UpprFn]]+Inventory[[#This Row],[FnBsmt]]+Inventory[[#This Row],[AddFn]]</f>
        <v>1254</v>
      </c>
      <c r="Z1213" s="27">
        <v>1500</v>
      </c>
      <c r="AA1213" s="25">
        <v>5</v>
      </c>
      <c r="AB1213" s="27"/>
      <c r="AC1213" s="27"/>
      <c r="AD1213" s="31"/>
      <c r="AE1213" s="27"/>
      <c r="AF1213" s="27"/>
      <c r="AG1213" s="27"/>
      <c r="AH1213" s="27"/>
      <c r="AI1213" s="25">
        <v>213578</v>
      </c>
      <c r="AJ1213" s="25">
        <v>149505</v>
      </c>
      <c r="AK1213" s="25">
        <v>0</v>
      </c>
      <c r="AL1213" s="25">
        <v>294600</v>
      </c>
      <c r="AM1213" s="25">
        <v>56600</v>
      </c>
      <c r="AN1213" s="25">
        <v>238000</v>
      </c>
      <c r="AO1213" s="25">
        <v>0</v>
      </c>
      <c r="AP1213" s="25">
        <f>Lookups!$B$56*0</f>
        <v>0</v>
      </c>
      <c r="AQ1213" s="25">
        <f>Lookups!$B$56*1</f>
        <v>89850.625589999996</v>
      </c>
      <c r="AR1213" s="25">
        <f>Lookups!$B$57*Inventory[[#This Row],[LnAcres]]</f>
        <v>-52569.808201026557</v>
      </c>
      <c r="AS1213" s="25">
        <f>VLOOKUP(Inventory[[#This Row],[Qlty]],Lookups!$A$62:$E$75,2,FALSE)</f>
        <v>21557.329055999999</v>
      </c>
      <c r="AT1213" s="25">
        <f>VLOOKUP(Inventory[[#This Row],[Cnd]],Lookups!$A$76:$E$84,2,FALSE)</f>
        <v>197752.34721000001</v>
      </c>
      <c r="AU1213" s="25">
        <f>Inventory[[#This Row],[EffAge]]*Lookups!$B$85</f>
        <v>-11598.371226000001</v>
      </c>
      <c r="AV1213" s="25">
        <f>Inventory[[#This Row],[MainFn]]*Lookups!$B$86</f>
        <v>61958.472025758005</v>
      </c>
      <c r="AW1213" s="25">
        <f>Inventory[[#This Row],[UpprFn]]*Lookups!$B$87</f>
        <v>0</v>
      </c>
      <c r="AX1213" s="25">
        <f>Inventory[[#This Row],[AddFn]]*Lookups!$B$88</f>
        <v>0</v>
      </c>
      <c r="AY1213" s="25">
        <f>Inventory[[#This Row],[Bsmt]]*Lookups!$B$89</f>
        <v>0</v>
      </c>
      <c r="AZ1213" s="25">
        <f>Inventory[[#This Row],[Fixtures]]*Lookups!$B$90</f>
        <v>18960.110526</v>
      </c>
      <c r="BA1213" s="25">
        <f>Inventory[[#This Row],[WdDeck]]*Lookups!$B$91</f>
        <v>0</v>
      </c>
      <c r="BB1213" s="25">
        <f>ROUND(Inventory[[#This Row],[25Det]],-2)</f>
        <v>0</v>
      </c>
      <c r="BC1213" s="25">
        <f>ROUND(SUM(Inventory[[#This Row],[Mdl Qlty]:[Mdl WdDeck]])+Inventory[[#This Row],[Mdl Res Intercept]],-2)</f>
        <v>288600</v>
      </c>
      <c r="BD1213" s="25">
        <f>ROUND(Inventory[[#This Row],[Mdl Land Intercept]]+Inventory[[#This Row],[Mdl LnAcres]],-2)</f>
        <v>37300</v>
      </c>
      <c r="BE1213" s="25">
        <f>Inventory[[#This Row],[Unadj Res Value]]+Inventory[[#This Row],[Unadj Det Value]]+Inventory[[#This Row],[Unadj Land Value]]</f>
        <v>325900</v>
      </c>
      <c r="BF1213" s="36">
        <f>(Inventory[[#This Row],[Unadj Total Value]]-Inventory[[#This Row],[24Final]])/Inventory[[#This Row],[24Final]]</f>
        <v>0.10624575695858791</v>
      </c>
      <c r="BG1213" s="25">
        <f>VLOOKUP(Inventory[[#This Row],[Nbhd]],Lookups!$Q$2:$T$4,4,FALSE)</f>
        <v>0.99970000000000003</v>
      </c>
      <c r="BH1213" s="25">
        <f>VLOOKUP(Inventory[[#This Row],[Qlty]],Lookups!$O$7:$R$21,4,FALSE)</f>
        <v>1.0067999999999999</v>
      </c>
      <c r="BI1213" s="25">
        <f>VLOOKUP(Inventory[[#This Row],[Cnd]],Lookups!$T$7:$W$16,4,FALSE)</f>
        <v>0.99650000000000005</v>
      </c>
      <c r="BJ1213" s="25">
        <f>VLOOKUP(Inventory[[#This Row],[LivArea Range]],Lookups!$T$25:$W$37,4,FALSE)</f>
        <v>1.0157</v>
      </c>
      <c r="BK1213" s="25">
        <f>VLOOKUP(Inventory[[#This Row],[Decade]],Lookups!$O$25:$R$42,4,FALSE)</f>
        <v>0.98909999999999998</v>
      </c>
      <c r="BL1213" s="25">
        <f>Inventory[[#This Row],[Nbhd Adj]]*0.95</f>
        <v>0.94971499999999998</v>
      </c>
      <c r="BM1213" s="25">
        <f>Inventory[[#This Row],[Nbhd Adj]]*Inventory[[#This Row],[Quality Adj]]*Inventory[[#This Row],[Condition Adj]]*Inventory[[#This Row],[Living Area Adj]]*Inventory[[#This Row],[Decade Adj]]*0.95</f>
        <v>0.95723696608169473</v>
      </c>
      <c r="BN1213" s="25">
        <f>ROUND(SUM(Inventory[[#This Row],[Mdl Qlty]:[Mdl WdDeck]])+Inventory[[#This Row],[Mdl Res Intercept]]*Inventory[[#This Row],[Res Adj ]],-2)</f>
        <v>288600</v>
      </c>
      <c r="BO1213" s="25">
        <f>ROUND(Inventory[[#This Row],[25Det]]*Inventory[[#This Row],[Det/Nbhd Adj]],-2)</f>
        <v>0</v>
      </c>
      <c r="BP1213" s="25">
        <f>Inventory[[#This Row],[Adjusted Res]]+Inventory[[#This Row],[Adj Det ]]</f>
        <v>288600</v>
      </c>
      <c r="BQ1213" s="25">
        <f>ROUND((Inventory[[#This Row],[Mdl Land Intercept]]+Inventory[[#This Row],[Mdl LnAcres]])*Inventory[[#This Row],[Det/Nbhd Adj]],-2)</f>
        <v>35400</v>
      </c>
      <c r="BR1213" s="25">
        <f>Inventory[[#This Row],[Adjusted Impr Total]]+Inventory[[#This Row],[Adjusted Land Total]]</f>
        <v>324000</v>
      </c>
      <c r="BS1213" s="36">
        <f>IFERROR((Inventory[[#This Row],[Adjusted Impr Total]]-Inventory[[#This Row],[24Bldg]])/Inventory[[#This Row],[24Bldg]],0)</f>
        <v>0.21260504201680672</v>
      </c>
      <c r="BT1213" s="36">
        <f>(Inventory[[#This Row],[Adjusted Land Total]]-Inventory[[#This Row],[24Lnd]])/Inventory[[#This Row],[24Lnd]]</f>
        <v>-0.37455830388692579</v>
      </c>
      <c r="BU1213" s="36">
        <f>(Inventory[[#This Row],[Adjusted Total]]-Inventory[[#This Row],[24Final]])/Inventory[[#This Row],[24Final]]</f>
        <v>9.9796334012219962E-2</v>
      </c>
    </row>
    <row r="1214" spans="1:73" x14ac:dyDescent="0.3">
      <c r="A1214" s="25">
        <v>2025</v>
      </c>
      <c r="B1214" s="26" t="s">
        <v>1833</v>
      </c>
      <c r="C1214" s="26">
        <f>LN(Inventory[[#This Row],[Acres]])</f>
        <v>-1.7719568419318752</v>
      </c>
      <c r="D1214" s="25">
        <v>0.17</v>
      </c>
      <c r="E1214" s="32">
        <v>7313</v>
      </c>
      <c r="F1214" s="26" t="s">
        <v>537</v>
      </c>
      <c r="G1214" s="26" t="s">
        <v>126</v>
      </c>
      <c r="H1214" s="26" t="s">
        <v>349</v>
      </c>
      <c r="I1214" s="26" t="s">
        <v>538</v>
      </c>
      <c r="J1214" s="26" t="s">
        <v>539</v>
      </c>
      <c r="K1214" s="26" t="s">
        <v>242</v>
      </c>
      <c r="L1214" s="26" t="s">
        <v>351</v>
      </c>
      <c r="M1214" s="26" t="s">
        <v>206</v>
      </c>
      <c r="N1214" s="26">
        <v>90</v>
      </c>
      <c r="O1214" s="26">
        <f>2024-Inventory[[#This Row],[YrBlt]]</f>
        <v>84</v>
      </c>
      <c r="P1214" s="26">
        <f>2024-Inventory[[#This Row],[EffYr]]</f>
        <v>52</v>
      </c>
      <c r="Q1214" s="25">
        <v>1940</v>
      </c>
      <c r="R1214" s="25">
        <v>1972</v>
      </c>
      <c r="S1214" s="25">
        <v>656</v>
      </c>
      <c r="T1214" s="27"/>
      <c r="U1214" s="25">
        <v>656</v>
      </c>
      <c r="V1214" s="25">
        <f>Inventory[[#This Row],[Bsmt]]-Inventory[[#This Row],[FnBsmt]]</f>
        <v>519</v>
      </c>
      <c r="W1214" s="25">
        <v>137</v>
      </c>
      <c r="X1214" s="27"/>
      <c r="Y1214" s="27">
        <f>Inventory[[#This Row],[MainFn]]+Inventory[[#This Row],[UpprFn]]+Inventory[[#This Row],[FnBsmt]]+Inventory[[#This Row],[AddFn]]</f>
        <v>793</v>
      </c>
      <c r="Z1214" s="27">
        <v>1000</v>
      </c>
      <c r="AA1214" s="25">
        <v>8</v>
      </c>
      <c r="AB1214" s="27"/>
      <c r="AC1214" s="27"/>
      <c r="AD1214" s="27"/>
      <c r="AE1214" s="27"/>
      <c r="AF1214" s="27"/>
      <c r="AG1214" s="27"/>
      <c r="AH1214" s="27"/>
      <c r="AI1214" s="25">
        <v>155567</v>
      </c>
      <c r="AJ1214" s="25">
        <v>102674</v>
      </c>
      <c r="AK1214" s="25">
        <v>3193</v>
      </c>
      <c r="AL1214" s="25">
        <v>237100</v>
      </c>
      <c r="AM1214" s="25">
        <v>52700</v>
      </c>
      <c r="AN1214" s="25">
        <v>184400</v>
      </c>
      <c r="AO1214" s="25">
        <v>0</v>
      </c>
      <c r="AP1214" s="25">
        <f>Lookups!$B$56*0</f>
        <v>0</v>
      </c>
      <c r="AQ1214" s="25">
        <f>Lookups!$B$56*1</f>
        <v>89850.625589999996</v>
      </c>
      <c r="AR1214" s="25">
        <f>Lookups!$B$57*Inventory[[#This Row],[LnAcres]]</f>
        <v>-56090.612940989391</v>
      </c>
      <c r="AS1214" s="25">
        <f>VLOOKUP(Inventory[[#This Row],[Qlty]],Lookups!$A$62:$E$75,2,FALSE)</f>
        <v>21557.329055999999</v>
      </c>
      <c r="AT1214" s="25">
        <f>VLOOKUP(Inventory[[#This Row],[Cnd]],Lookups!$A$76:$E$84,2,FALSE)</f>
        <v>133714.53821</v>
      </c>
      <c r="AU1214" s="25">
        <f>Inventory[[#This Row],[EffAge]]*Lookups!$B$85</f>
        <v>-11598.371226000001</v>
      </c>
      <c r="AV1214" s="25">
        <f>Inventory[[#This Row],[MainFn]]*Lookups!$B$86</f>
        <v>32412.087439311999</v>
      </c>
      <c r="AW1214" s="25">
        <f>Inventory[[#This Row],[UpprFn]]*Lookups!$B$87</f>
        <v>0</v>
      </c>
      <c r="AX1214" s="25">
        <f>Inventory[[#This Row],[AddFn]]*Lookups!$B$88</f>
        <v>0</v>
      </c>
      <c r="AY1214" s="25">
        <f>Inventory[[#This Row],[Bsmt]]*Lookups!$B$89</f>
        <v>19077.723282031999</v>
      </c>
      <c r="AZ1214" s="25">
        <f>Inventory[[#This Row],[Fixtures]]*Lookups!$B$90</f>
        <v>30336.176841600001</v>
      </c>
      <c r="BA1214" s="25">
        <f>Inventory[[#This Row],[WdDeck]]*Lookups!$B$91</f>
        <v>0</v>
      </c>
      <c r="BB1214" s="25">
        <f>ROUND(Inventory[[#This Row],[25Det]],-2)</f>
        <v>3200</v>
      </c>
      <c r="BC1214" s="25">
        <f>ROUND(SUM(Inventory[[#This Row],[Mdl Qlty]:[Mdl WdDeck]])+Inventory[[#This Row],[Mdl Res Intercept]],-2)</f>
        <v>225500</v>
      </c>
      <c r="BD1214" s="25">
        <f>ROUND(Inventory[[#This Row],[Mdl Land Intercept]]+Inventory[[#This Row],[Mdl LnAcres]],-2)</f>
        <v>33800</v>
      </c>
      <c r="BE1214" s="25">
        <f>Inventory[[#This Row],[Unadj Res Value]]+Inventory[[#This Row],[Unadj Det Value]]+Inventory[[#This Row],[Unadj Land Value]]</f>
        <v>262500</v>
      </c>
      <c r="BF1214" s="36">
        <f>(Inventory[[#This Row],[Unadj Total Value]]-Inventory[[#This Row],[24Final]])/Inventory[[#This Row],[24Final]]</f>
        <v>0.10712779417967103</v>
      </c>
      <c r="BG1214" s="25">
        <f>VLOOKUP(Inventory[[#This Row],[Nbhd]],Lookups!$Q$2:$T$4,4,FALSE)</f>
        <v>0.99970000000000003</v>
      </c>
      <c r="BH1214" s="25">
        <f>VLOOKUP(Inventory[[#This Row],[Qlty]],Lookups!$O$7:$R$21,4,FALSE)</f>
        <v>1.0067999999999999</v>
      </c>
      <c r="BI1214" s="25">
        <f>VLOOKUP(Inventory[[#This Row],[Cnd]],Lookups!$T$7:$W$16,4,FALSE)</f>
        <v>0.99329999999999996</v>
      </c>
      <c r="BJ1214" s="25">
        <f>VLOOKUP(Inventory[[#This Row],[LivArea Range]],Lookups!$T$25:$W$37,4,FALSE)</f>
        <v>1.0148999999999999</v>
      </c>
      <c r="BK1214" s="25">
        <f>VLOOKUP(Inventory[[#This Row],[Decade]],Lookups!$O$25:$R$42,4,FALSE)</f>
        <v>0.98909999999999998</v>
      </c>
      <c r="BL1214" s="25">
        <f>Inventory[[#This Row],[Nbhd Adj]]*0.95</f>
        <v>0.94971499999999998</v>
      </c>
      <c r="BM1214" s="25">
        <f>Inventory[[#This Row],[Nbhd Adj]]*Inventory[[#This Row],[Quality Adj]]*Inventory[[#This Row],[Condition Adj]]*Inventory[[#This Row],[Living Area Adj]]*Inventory[[#This Row],[Decade Adj]]*0.95</f>
        <v>0.95341151768438748</v>
      </c>
      <c r="BN1214" s="25">
        <f>ROUND(SUM(Inventory[[#This Row],[Mdl Qlty]:[Mdl WdDeck]])+Inventory[[#This Row],[Mdl Res Intercept]]*Inventory[[#This Row],[Res Adj ]],-2)</f>
        <v>225500</v>
      </c>
      <c r="BO1214" s="25">
        <f>ROUND(Inventory[[#This Row],[25Det]]*Inventory[[#This Row],[Det/Nbhd Adj]],-2)</f>
        <v>3000</v>
      </c>
      <c r="BP1214" s="25">
        <f>Inventory[[#This Row],[Adjusted Res]]+Inventory[[#This Row],[Adj Det ]]</f>
        <v>228500</v>
      </c>
      <c r="BQ1214" s="25">
        <f>ROUND((Inventory[[#This Row],[Mdl Land Intercept]]+Inventory[[#This Row],[Mdl LnAcres]])*Inventory[[#This Row],[Det/Nbhd Adj]],-2)</f>
        <v>32100</v>
      </c>
      <c r="BR1214" s="25">
        <f>Inventory[[#This Row],[Adjusted Impr Total]]+Inventory[[#This Row],[Adjusted Land Total]]</f>
        <v>260600</v>
      </c>
      <c r="BS1214" s="36">
        <f>IFERROR((Inventory[[#This Row],[Adjusted Impr Total]]-Inventory[[#This Row],[24Bldg]])/Inventory[[#This Row],[24Bldg]],0)</f>
        <v>0.23915401301518438</v>
      </c>
      <c r="BT1214" s="36">
        <f>(Inventory[[#This Row],[Adjusted Land Total]]-Inventory[[#This Row],[24Lnd]])/Inventory[[#This Row],[24Lnd]]</f>
        <v>-0.39089184060721061</v>
      </c>
      <c r="BU1214" s="36">
        <f>(Inventory[[#This Row],[Adjusted Total]]-Inventory[[#This Row],[24Final]])/Inventory[[#This Row],[24Final]]</f>
        <v>9.9114297764656259E-2</v>
      </c>
    </row>
    <row r="1215" spans="1:73" x14ac:dyDescent="0.3">
      <c r="A1215" s="25">
        <v>2025</v>
      </c>
      <c r="B1215" s="26" t="s">
        <v>1406</v>
      </c>
      <c r="C1215" s="26">
        <f>LN(Inventory[[#This Row],[Acres]])</f>
        <v>-1.8325814637483102</v>
      </c>
      <c r="D1215" s="25">
        <v>0.16</v>
      </c>
      <c r="E1215" s="25">
        <v>7017</v>
      </c>
      <c r="F1215" s="26" t="s">
        <v>537</v>
      </c>
      <c r="G1215" s="26" t="s">
        <v>126</v>
      </c>
      <c r="H1215" s="26" t="s">
        <v>349</v>
      </c>
      <c r="I1215" s="26" t="s">
        <v>538</v>
      </c>
      <c r="J1215" s="26" t="s">
        <v>539</v>
      </c>
      <c r="K1215" s="26" t="s">
        <v>242</v>
      </c>
      <c r="L1215" s="26" t="s">
        <v>351</v>
      </c>
      <c r="M1215" s="26" t="s">
        <v>303</v>
      </c>
      <c r="N1215" s="26">
        <v>90</v>
      </c>
      <c r="O1215" s="26">
        <f>2024-Inventory[[#This Row],[YrBlt]]</f>
        <v>84</v>
      </c>
      <c r="P1215" s="26">
        <f>2024-Inventory[[#This Row],[EffYr]]</f>
        <v>52</v>
      </c>
      <c r="Q1215" s="25">
        <v>1940</v>
      </c>
      <c r="R1215" s="25">
        <v>1972</v>
      </c>
      <c r="S1215" s="25">
        <v>932</v>
      </c>
      <c r="T1215" s="27"/>
      <c r="U1215" s="25">
        <v>932</v>
      </c>
      <c r="V1215" s="25">
        <f>Inventory[[#This Row],[Bsmt]]-Inventory[[#This Row],[FnBsmt]]</f>
        <v>624</v>
      </c>
      <c r="W1215" s="25">
        <v>308</v>
      </c>
      <c r="X1215" s="27"/>
      <c r="Y1215" s="27">
        <f>Inventory[[#This Row],[MainFn]]+Inventory[[#This Row],[UpprFn]]+Inventory[[#This Row],[FnBsmt]]+Inventory[[#This Row],[AddFn]]</f>
        <v>1240</v>
      </c>
      <c r="Z1215" s="27">
        <v>1500</v>
      </c>
      <c r="AA1215" s="25">
        <v>8</v>
      </c>
      <c r="AB1215" s="27"/>
      <c r="AC1215" s="27"/>
      <c r="AD1215" s="31"/>
      <c r="AE1215" s="27"/>
      <c r="AF1215" s="27"/>
      <c r="AG1215" s="27"/>
      <c r="AH1215" s="27"/>
      <c r="AI1215" s="25">
        <v>223835</v>
      </c>
      <c r="AJ1215" s="25">
        <v>156685</v>
      </c>
      <c r="AK1215" s="25">
        <v>9312</v>
      </c>
      <c r="AL1215" s="25">
        <v>318700</v>
      </c>
      <c r="AM1215" s="25">
        <v>50600</v>
      </c>
      <c r="AN1215" s="25">
        <v>268100</v>
      </c>
      <c r="AO1215" s="25">
        <v>0</v>
      </c>
      <c r="AP1215" s="25">
        <f>Lookups!$B$56*0</f>
        <v>0</v>
      </c>
      <c r="AQ1215" s="25">
        <f>Lookups!$B$56*1</f>
        <v>89850.625589999996</v>
      </c>
      <c r="AR1215" s="25">
        <f>Lookups!$B$57*Inventory[[#This Row],[LnAcres]]</f>
        <v>-58009.662049032086</v>
      </c>
      <c r="AS1215" s="25">
        <f>VLOOKUP(Inventory[[#This Row],[Qlty]],Lookups!$A$62:$E$75,2,FALSE)</f>
        <v>21557.329055999999</v>
      </c>
      <c r="AT1215" s="25">
        <f>VLOOKUP(Inventory[[#This Row],[Cnd]],Lookups!$A$76:$E$84,2,FALSE)</f>
        <v>197752.34721000001</v>
      </c>
      <c r="AU1215" s="25">
        <f>Inventory[[#This Row],[EffAge]]*Lookups!$B$85</f>
        <v>-11598.371226000001</v>
      </c>
      <c r="AV1215" s="25">
        <f>Inventory[[#This Row],[MainFn]]*Lookups!$B$86</f>
        <v>46048.880325364</v>
      </c>
      <c r="AW1215" s="25">
        <f>Inventory[[#This Row],[UpprFn]]*Lookups!$B$87</f>
        <v>0</v>
      </c>
      <c r="AX1215" s="25">
        <f>Inventory[[#This Row],[AddFn]]*Lookups!$B$88</f>
        <v>0</v>
      </c>
      <c r="AY1215" s="25">
        <f>Inventory[[#This Row],[Bsmt]]*Lookups!$B$89</f>
        <v>27104.326370203999</v>
      </c>
      <c r="AZ1215" s="25">
        <f>Inventory[[#This Row],[Fixtures]]*Lookups!$B$90</f>
        <v>30336.176841600001</v>
      </c>
      <c r="BA1215" s="25">
        <f>Inventory[[#This Row],[WdDeck]]*Lookups!$B$91</f>
        <v>0</v>
      </c>
      <c r="BB1215" s="25">
        <f>ROUND(Inventory[[#This Row],[25Det]],-2)</f>
        <v>9300</v>
      </c>
      <c r="BC1215" s="25">
        <f>ROUND(SUM(Inventory[[#This Row],[Mdl Qlty]:[Mdl WdDeck]])+Inventory[[#This Row],[Mdl Res Intercept]],-2)</f>
        <v>311200</v>
      </c>
      <c r="BD1215" s="25">
        <f>ROUND(Inventory[[#This Row],[Mdl Land Intercept]]+Inventory[[#This Row],[Mdl LnAcres]],-2)</f>
        <v>31800</v>
      </c>
      <c r="BE1215" s="25">
        <f>Inventory[[#This Row],[Unadj Res Value]]+Inventory[[#This Row],[Unadj Det Value]]+Inventory[[#This Row],[Unadj Land Value]]</f>
        <v>352300</v>
      </c>
      <c r="BF1215" s="36">
        <f>(Inventory[[#This Row],[Unadj Total Value]]-Inventory[[#This Row],[24Final]])/Inventory[[#This Row],[24Final]]</f>
        <v>0.10542830247882021</v>
      </c>
      <c r="BG1215" s="25">
        <f>VLOOKUP(Inventory[[#This Row],[Nbhd]],Lookups!$Q$2:$T$4,4,FALSE)</f>
        <v>0.99970000000000003</v>
      </c>
      <c r="BH1215" s="25">
        <f>VLOOKUP(Inventory[[#This Row],[Qlty]],Lookups!$O$7:$R$21,4,FALSE)</f>
        <v>1.0067999999999999</v>
      </c>
      <c r="BI1215" s="25">
        <f>VLOOKUP(Inventory[[#This Row],[Cnd]],Lookups!$T$7:$W$16,4,FALSE)</f>
        <v>0.99650000000000005</v>
      </c>
      <c r="BJ1215" s="25">
        <f>VLOOKUP(Inventory[[#This Row],[LivArea Range]],Lookups!$T$25:$W$37,4,FALSE)</f>
        <v>1.0157</v>
      </c>
      <c r="BK1215" s="25">
        <f>VLOOKUP(Inventory[[#This Row],[Decade]],Lookups!$O$25:$R$42,4,FALSE)</f>
        <v>0.98909999999999998</v>
      </c>
      <c r="BL1215" s="25">
        <f>Inventory[[#This Row],[Nbhd Adj]]*0.95</f>
        <v>0.94971499999999998</v>
      </c>
      <c r="BM1215" s="25">
        <f>Inventory[[#This Row],[Nbhd Adj]]*Inventory[[#This Row],[Quality Adj]]*Inventory[[#This Row],[Condition Adj]]*Inventory[[#This Row],[Living Area Adj]]*Inventory[[#This Row],[Decade Adj]]*0.95</f>
        <v>0.95723696608169473</v>
      </c>
      <c r="BN1215" s="25">
        <f>ROUND(SUM(Inventory[[#This Row],[Mdl Qlty]:[Mdl WdDeck]])+Inventory[[#This Row],[Mdl Res Intercept]]*Inventory[[#This Row],[Res Adj ]],-2)</f>
        <v>311200</v>
      </c>
      <c r="BO1215" s="25">
        <f>ROUND(Inventory[[#This Row],[25Det]]*Inventory[[#This Row],[Det/Nbhd Adj]],-2)</f>
        <v>8800</v>
      </c>
      <c r="BP1215" s="25">
        <f>Inventory[[#This Row],[Adjusted Res]]+Inventory[[#This Row],[Adj Det ]]</f>
        <v>320000</v>
      </c>
      <c r="BQ1215" s="25">
        <f>ROUND((Inventory[[#This Row],[Mdl Land Intercept]]+Inventory[[#This Row],[Mdl LnAcres]])*Inventory[[#This Row],[Det/Nbhd Adj]],-2)</f>
        <v>30200</v>
      </c>
      <c r="BR1215" s="25">
        <f>Inventory[[#This Row],[Adjusted Impr Total]]+Inventory[[#This Row],[Adjusted Land Total]]</f>
        <v>350200</v>
      </c>
      <c r="BS1215" s="36">
        <f>IFERROR((Inventory[[#This Row],[Adjusted Impr Total]]-Inventory[[#This Row],[24Bldg]])/Inventory[[#This Row],[24Bldg]],0)</f>
        <v>0.19358448340171577</v>
      </c>
      <c r="BT1215" s="36">
        <f>(Inventory[[#This Row],[Adjusted Land Total]]-Inventory[[#This Row],[24Lnd]])/Inventory[[#This Row],[24Lnd]]</f>
        <v>-0.40316205533596838</v>
      </c>
      <c r="BU1215" s="36">
        <f>(Inventory[[#This Row],[Adjusted Total]]-Inventory[[#This Row],[24Final]])/Inventory[[#This Row],[24Final]]</f>
        <v>9.8839033573893939E-2</v>
      </c>
    </row>
    <row r="1216" spans="1:73" x14ac:dyDescent="0.3">
      <c r="A1216" s="25">
        <v>2025</v>
      </c>
      <c r="B1216" s="26" t="s">
        <v>2499</v>
      </c>
      <c r="C1216" s="26">
        <f>LN(Inventory[[#This Row],[Acres]])</f>
        <v>-0.77652878949899629</v>
      </c>
      <c r="D1216" s="25">
        <v>0.46</v>
      </c>
      <c r="E1216" s="32">
        <v>19823</v>
      </c>
      <c r="F1216" s="26" t="s">
        <v>537</v>
      </c>
      <c r="G1216" s="26" t="s">
        <v>126</v>
      </c>
      <c r="H1216" s="26" t="s">
        <v>349</v>
      </c>
      <c r="I1216" s="26" t="s">
        <v>538</v>
      </c>
      <c r="J1216" s="26" t="s">
        <v>539</v>
      </c>
      <c r="K1216" s="26" t="s">
        <v>147</v>
      </c>
      <c r="L1216" s="26" t="s">
        <v>148</v>
      </c>
      <c r="M1216" s="26" t="s">
        <v>303</v>
      </c>
      <c r="N1216" s="26">
        <v>90</v>
      </c>
      <c r="O1216" s="26">
        <f>2024-Inventory[[#This Row],[YrBlt]]</f>
        <v>84</v>
      </c>
      <c r="P1216" s="26">
        <f>2024-Inventory[[#This Row],[EffYr]]</f>
        <v>52</v>
      </c>
      <c r="Q1216" s="25">
        <v>1940</v>
      </c>
      <c r="R1216" s="25">
        <v>1972</v>
      </c>
      <c r="S1216" s="25">
        <v>918</v>
      </c>
      <c r="T1216" s="32">
        <v>475</v>
      </c>
      <c r="U1216" s="32">
        <v>950</v>
      </c>
      <c r="V1216" s="32">
        <f>Inventory[[#This Row],[Bsmt]]-Inventory[[#This Row],[FnBsmt]]</f>
        <v>665</v>
      </c>
      <c r="W1216" s="32">
        <v>285</v>
      </c>
      <c r="X1216" s="27"/>
      <c r="Y1216" s="27">
        <f>Inventory[[#This Row],[MainFn]]+Inventory[[#This Row],[UpprFn]]+Inventory[[#This Row],[FnBsmt]]+Inventory[[#This Row],[AddFn]]</f>
        <v>1678</v>
      </c>
      <c r="Z1216" s="27">
        <v>2000</v>
      </c>
      <c r="AA1216" s="25">
        <v>11</v>
      </c>
      <c r="AB1216" s="31"/>
      <c r="AC1216" s="27"/>
      <c r="AD1216" s="32">
        <v>322</v>
      </c>
      <c r="AE1216" s="27"/>
      <c r="AF1216" s="27"/>
      <c r="AG1216" s="27"/>
      <c r="AH1216" s="27"/>
      <c r="AI1216" s="25">
        <v>392904</v>
      </c>
      <c r="AJ1216" s="25">
        <v>275033</v>
      </c>
      <c r="AK1216" s="25">
        <v>7465</v>
      </c>
      <c r="AL1216" s="25">
        <v>406200</v>
      </c>
      <c r="AM1216" s="25">
        <v>87500</v>
      </c>
      <c r="AN1216" s="25">
        <v>318700</v>
      </c>
      <c r="AO1216" s="25">
        <v>0</v>
      </c>
      <c r="AP1216" s="25">
        <f>Lookups!$B$56*0</f>
        <v>0</v>
      </c>
      <c r="AQ1216" s="25">
        <f>Lookups!$B$56*1</f>
        <v>89850.625589999996</v>
      </c>
      <c r="AR1216" s="25">
        <f>Lookups!$B$57*Inventory[[#This Row],[LnAcres]]</f>
        <v>-24580.720443414604</v>
      </c>
      <c r="AS1216" s="25">
        <f>VLOOKUP(Inventory[[#This Row],[Qlty]],Lookups!$A$62:$E$75,2,FALSE)</f>
        <v>44121.038090000002</v>
      </c>
      <c r="AT1216" s="25">
        <f>VLOOKUP(Inventory[[#This Row],[Cnd]],Lookups!$A$76:$E$84,2,FALSE)</f>
        <v>197752.34721000001</v>
      </c>
      <c r="AU1216" s="25">
        <f>Inventory[[#This Row],[EffAge]]*Lookups!$B$85</f>
        <v>-11598.371226000001</v>
      </c>
      <c r="AV1216" s="25">
        <f>Inventory[[#This Row],[MainFn]]*Lookups!$B$86</f>
        <v>45357.158947085998</v>
      </c>
      <c r="AW1216" s="25">
        <f>Inventory[[#This Row],[UpprFn]]*Lookups!$B$87</f>
        <v>21273.550858974999</v>
      </c>
      <c r="AX1216" s="25">
        <f>Inventory[[#This Row],[AddFn]]*Lookups!$B$88</f>
        <v>0</v>
      </c>
      <c r="AY1216" s="25">
        <f>Inventory[[#This Row],[Bsmt]]*Lookups!$B$89</f>
        <v>27627.800484649997</v>
      </c>
      <c r="AZ1216" s="25">
        <f>Inventory[[#This Row],[Fixtures]]*Lookups!$B$90</f>
        <v>41712.243157199999</v>
      </c>
      <c r="BA1216" s="25">
        <f>Inventory[[#This Row],[WdDeck]]*Lookups!$B$91</f>
        <v>10721.155918872</v>
      </c>
      <c r="BB1216" s="25">
        <f>ROUND(Inventory[[#This Row],[25Det]],-2)</f>
        <v>7500</v>
      </c>
      <c r="BC1216" s="25">
        <f>ROUND(SUM(Inventory[[#This Row],[Mdl Qlty]:[Mdl WdDeck]])+Inventory[[#This Row],[Mdl Res Intercept]],-2)</f>
        <v>377000</v>
      </c>
      <c r="BD1216" s="25">
        <f>ROUND(Inventory[[#This Row],[Mdl Land Intercept]]+Inventory[[#This Row],[Mdl LnAcres]],-2)</f>
        <v>65300</v>
      </c>
      <c r="BE1216" s="25">
        <f>Inventory[[#This Row],[Unadj Res Value]]+Inventory[[#This Row],[Unadj Det Value]]+Inventory[[#This Row],[Unadj Land Value]]</f>
        <v>449800</v>
      </c>
      <c r="BF1216" s="36">
        <f>(Inventory[[#This Row],[Unadj Total Value]]-Inventory[[#This Row],[24Final]])/Inventory[[#This Row],[24Final]]</f>
        <v>0.10733628754308222</v>
      </c>
      <c r="BG1216" s="25">
        <f>VLOOKUP(Inventory[[#This Row],[Nbhd]],Lookups!$Q$2:$T$4,4,FALSE)</f>
        <v>0.99970000000000003</v>
      </c>
      <c r="BH1216" s="25">
        <f>VLOOKUP(Inventory[[#This Row],[Qlty]],Lookups!$O$7:$R$21,4,FALSE)</f>
        <v>0.98050000000000004</v>
      </c>
      <c r="BI1216" s="25">
        <f>VLOOKUP(Inventory[[#This Row],[Cnd]],Lookups!$T$7:$W$16,4,FALSE)</f>
        <v>0.99650000000000005</v>
      </c>
      <c r="BJ1216" s="25">
        <f>VLOOKUP(Inventory[[#This Row],[LivArea Range]],Lookups!$T$25:$W$37,4,FALSE)</f>
        <v>1.0093000000000001</v>
      </c>
      <c r="BK1216" s="25">
        <f>VLOOKUP(Inventory[[#This Row],[Decade]],Lookups!$O$25:$R$42,4,FALSE)</f>
        <v>0.98909999999999998</v>
      </c>
      <c r="BL1216" s="25">
        <f>Inventory[[#This Row],[Nbhd Adj]]*0.95</f>
        <v>0.94971499999999998</v>
      </c>
      <c r="BM1216" s="25">
        <f>Inventory[[#This Row],[Nbhd Adj]]*Inventory[[#This Row],[Quality Adj]]*Inventory[[#This Row],[Condition Adj]]*Inventory[[#This Row],[Living Area Adj]]*Inventory[[#This Row],[Decade Adj]]*0.95</f>
        <v>0.92635760994173622</v>
      </c>
      <c r="BN1216" s="25">
        <f>ROUND(SUM(Inventory[[#This Row],[Mdl Qlty]:[Mdl WdDeck]])+Inventory[[#This Row],[Mdl Res Intercept]]*Inventory[[#This Row],[Res Adj ]],-2)</f>
        <v>377000</v>
      </c>
      <c r="BO1216" s="25">
        <f>ROUND(Inventory[[#This Row],[25Det]]*Inventory[[#This Row],[Det/Nbhd Adj]],-2)</f>
        <v>7100</v>
      </c>
      <c r="BP1216" s="25">
        <f>Inventory[[#This Row],[Adjusted Res]]+Inventory[[#This Row],[Adj Det ]]</f>
        <v>384100</v>
      </c>
      <c r="BQ1216" s="25">
        <f>ROUND((Inventory[[#This Row],[Mdl Land Intercept]]+Inventory[[#This Row],[Mdl LnAcres]])*Inventory[[#This Row],[Det/Nbhd Adj]],-2)</f>
        <v>62000</v>
      </c>
      <c r="BR1216" s="25">
        <f>Inventory[[#This Row],[Adjusted Impr Total]]+Inventory[[#This Row],[Adjusted Land Total]]</f>
        <v>446100</v>
      </c>
      <c r="BS1216" s="36">
        <f>IFERROR((Inventory[[#This Row],[Adjusted Impr Total]]-Inventory[[#This Row],[24Bldg]])/Inventory[[#This Row],[24Bldg]],0)</f>
        <v>0.20520866018198933</v>
      </c>
      <c r="BT1216" s="36">
        <f>(Inventory[[#This Row],[Adjusted Land Total]]-Inventory[[#This Row],[24Lnd]])/Inventory[[#This Row],[24Lnd]]</f>
        <v>-0.29142857142857143</v>
      </c>
      <c r="BU1216" s="36">
        <f>(Inventory[[#This Row],[Adjusted Total]]-Inventory[[#This Row],[24Final]])/Inventory[[#This Row],[24Final]]</f>
        <v>9.8227474150664698E-2</v>
      </c>
    </row>
    <row r="1217" spans="1:73" x14ac:dyDescent="0.3">
      <c r="A1217" s="25">
        <v>2025</v>
      </c>
      <c r="B1217" s="26" t="s">
        <v>2768</v>
      </c>
      <c r="C1217" s="26">
        <f>LN(Inventory[[#This Row],[Acres]])</f>
        <v>-1.5606477482646683</v>
      </c>
      <c r="D1217" s="25">
        <v>0.21</v>
      </c>
      <c r="E1217" s="27"/>
      <c r="F1217" s="26" t="s">
        <v>537</v>
      </c>
      <c r="G1217" s="26" t="s">
        <v>126</v>
      </c>
      <c r="H1217" s="26" t="s">
        <v>349</v>
      </c>
      <c r="I1217" s="26" t="s">
        <v>538</v>
      </c>
      <c r="J1217" s="26" t="s">
        <v>539</v>
      </c>
      <c r="K1217" s="26" t="s">
        <v>173</v>
      </c>
      <c r="L1217" s="26" t="s">
        <v>302</v>
      </c>
      <c r="M1217" s="26" t="s">
        <v>303</v>
      </c>
      <c r="N1217" s="26">
        <v>90</v>
      </c>
      <c r="O1217" s="26">
        <f>2024-Inventory[[#This Row],[YrBlt]]</f>
        <v>84</v>
      </c>
      <c r="P1217" s="26">
        <f>2024-Inventory[[#This Row],[EffYr]]</f>
        <v>52</v>
      </c>
      <c r="Q1217" s="25">
        <v>1940</v>
      </c>
      <c r="R1217" s="25">
        <v>1972</v>
      </c>
      <c r="S1217" s="25">
        <v>962</v>
      </c>
      <c r="T1217" s="32">
        <v>499</v>
      </c>
      <c r="U1217" s="25">
        <v>962</v>
      </c>
      <c r="V1217" s="32">
        <f>Inventory[[#This Row],[Bsmt]]-Inventory[[#This Row],[FnBsmt]]</f>
        <v>671</v>
      </c>
      <c r="W1217" s="32">
        <v>291</v>
      </c>
      <c r="X1217" s="27"/>
      <c r="Y1217" s="27">
        <f>Inventory[[#This Row],[MainFn]]+Inventory[[#This Row],[UpprFn]]+Inventory[[#This Row],[FnBsmt]]+Inventory[[#This Row],[AddFn]]</f>
        <v>1752</v>
      </c>
      <c r="Z1217" s="27">
        <v>2000</v>
      </c>
      <c r="AA1217" s="25">
        <v>5</v>
      </c>
      <c r="AB1217" s="27"/>
      <c r="AC1217" s="27"/>
      <c r="AD1217" s="31"/>
      <c r="AE1217" s="27"/>
      <c r="AF1217" s="27"/>
      <c r="AG1217" s="27"/>
      <c r="AH1217" s="27"/>
      <c r="AI1217" s="25">
        <v>309284</v>
      </c>
      <c r="AJ1217" s="25">
        <v>216499</v>
      </c>
      <c r="AK1217" s="25">
        <v>8156</v>
      </c>
      <c r="AL1217" s="25">
        <v>345100</v>
      </c>
      <c r="AM1217" s="25">
        <v>60100</v>
      </c>
      <c r="AN1217" s="25">
        <v>285000</v>
      </c>
      <c r="AO1217" s="25">
        <v>0</v>
      </c>
      <c r="AP1217" s="25">
        <f>Lookups!$B$56*0</f>
        <v>0</v>
      </c>
      <c r="AQ1217" s="25">
        <f>Lookups!$B$56*1</f>
        <v>89850.625589999996</v>
      </c>
      <c r="AR1217" s="25">
        <f>Lookups!$B$57*Inventory[[#This Row],[LnAcres]]</f>
        <v>-49401.70477837498</v>
      </c>
      <c r="AS1217" s="25">
        <f>VLOOKUP(Inventory[[#This Row],[Qlty]],Lookups!$A$62:$E$75,2,FALSE)</f>
        <v>29814.093161000001</v>
      </c>
      <c r="AT1217" s="25">
        <f>VLOOKUP(Inventory[[#This Row],[Cnd]],Lookups!$A$76:$E$84,2,FALSE)</f>
        <v>197752.34721000001</v>
      </c>
      <c r="AU1217" s="25">
        <f>Inventory[[#This Row],[EffAge]]*Lookups!$B$85</f>
        <v>-11598.371226000001</v>
      </c>
      <c r="AV1217" s="25">
        <f>Inventory[[#This Row],[MainFn]]*Lookups!$B$86</f>
        <v>47531.140421674005</v>
      </c>
      <c r="AW1217" s="25">
        <f>Inventory[[#This Row],[UpprFn]]*Lookups!$B$87</f>
        <v>22348.425007638998</v>
      </c>
      <c r="AX1217" s="25">
        <f>Inventory[[#This Row],[AddFn]]*Lookups!$B$88</f>
        <v>0</v>
      </c>
      <c r="AY1217" s="25">
        <f>Inventory[[#This Row],[Bsmt]]*Lookups!$B$89</f>
        <v>27976.783227614</v>
      </c>
      <c r="AZ1217" s="25">
        <f>Inventory[[#This Row],[Fixtures]]*Lookups!$B$90</f>
        <v>18960.110526</v>
      </c>
      <c r="BA1217" s="25">
        <f>Inventory[[#This Row],[WdDeck]]*Lookups!$B$91</f>
        <v>0</v>
      </c>
      <c r="BB1217" s="25">
        <f>ROUND(Inventory[[#This Row],[25Det]],-2)</f>
        <v>8200</v>
      </c>
      <c r="BC1217" s="25">
        <f>ROUND(SUM(Inventory[[#This Row],[Mdl Qlty]:[Mdl WdDeck]])+Inventory[[#This Row],[Mdl Res Intercept]],-2)</f>
        <v>332800</v>
      </c>
      <c r="BD1217" s="25">
        <f>ROUND(Inventory[[#This Row],[Mdl Land Intercept]]+Inventory[[#This Row],[Mdl LnAcres]],-2)</f>
        <v>40400</v>
      </c>
      <c r="BE1217" s="25">
        <f>Inventory[[#This Row],[Unadj Res Value]]+Inventory[[#This Row],[Unadj Det Value]]+Inventory[[#This Row],[Unadj Land Value]]</f>
        <v>381400</v>
      </c>
      <c r="BF1217" s="36">
        <f>(Inventory[[#This Row],[Unadj Total Value]]-Inventory[[#This Row],[24Final]])/Inventory[[#This Row],[24Final]]</f>
        <v>0.10518690234714576</v>
      </c>
      <c r="BG1217" s="25">
        <f>VLOOKUP(Inventory[[#This Row],[Nbhd]],Lookups!$Q$2:$T$4,4,FALSE)</f>
        <v>0.99970000000000003</v>
      </c>
      <c r="BH1217" s="25">
        <f>VLOOKUP(Inventory[[#This Row],[Qlty]],Lookups!$O$7:$R$21,4,FALSE)</f>
        <v>1.0088999999999999</v>
      </c>
      <c r="BI1217" s="25">
        <f>VLOOKUP(Inventory[[#This Row],[Cnd]],Lookups!$T$7:$W$16,4,FALSE)</f>
        <v>0.99650000000000005</v>
      </c>
      <c r="BJ1217" s="25">
        <f>VLOOKUP(Inventory[[#This Row],[LivArea Range]],Lookups!$T$25:$W$37,4,FALSE)</f>
        <v>1.0093000000000001</v>
      </c>
      <c r="BK1217" s="25">
        <f>VLOOKUP(Inventory[[#This Row],[Decade]],Lookups!$O$25:$R$42,4,FALSE)</f>
        <v>0.98909999999999998</v>
      </c>
      <c r="BL1217" s="25">
        <f>Inventory[[#This Row],[Nbhd Adj]]*0.95</f>
        <v>0.94971499999999998</v>
      </c>
      <c r="BM1217" s="25">
        <f>Inventory[[#This Row],[Nbhd Adj]]*Inventory[[#This Row],[Quality Adj]]*Inventory[[#This Row],[Condition Adj]]*Inventory[[#This Row],[Living Area Adj]]*Inventory[[#This Row],[Decade Adj]]*0.95</f>
        <v>0.95318938569119571</v>
      </c>
      <c r="BN1217" s="25">
        <f>ROUND(SUM(Inventory[[#This Row],[Mdl Qlty]:[Mdl WdDeck]])+Inventory[[#This Row],[Mdl Res Intercept]]*Inventory[[#This Row],[Res Adj ]],-2)</f>
        <v>332800</v>
      </c>
      <c r="BO1217" s="25">
        <f>ROUND(Inventory[[#This Row],[25Det]]*Inventory[[#This Row],[Det/Nbhd Adj]],-2)</f>
        <v>7700</v>
      </c>
      <c r="BP1217" s="25">
        <f>Inventory[[#This Row],[Adjusted Res]]+Inventory[[#This Row],[Adj Det ]]</f>
        <v>340500</v>
      </c>
      <c r="BQ1217" s="25">
        <f>ROUND((Inventory[[#This Row],[Mdl Land Intercept]]+Inventory[[#This Row],[Mdl LnAcres]])*Inventory[[#This Row],[Det/Nbhd Adj]],-2)</f>
        <v>38400</v>
      </c>
      <c r="BR1217" s="25">
        <f>Inventory[[#This Row],[Adjusted Impr Total]]+Inventory[[#This Row],[Adjusted Land Total]]</f>
        <v>378900</v>
      </c>
      <c r="BS1217" s="36">
        <f>IFERROR((Inventory[[#This Row],[Adjusted Impr Total]]-Inventory[[#This Row],[24Bldg]])/Inventory[[#This Row],[24Bldg]],0)</f>
        <v>0.19473684210526315</v>
      </c>
      <c r="BT1217" s="36">
        <f>(Inventory[[#This Row],[Adjusted Land Total]]-Inventory[[#This Row],[24Lnd]])/Inventory[[#This Row],[24Lnd]]</f>
        <v>-0.36106489184692181</v>
      </c>
      <c r="BU1217" s="36">
        <f>(Inventory[[#This Row],[Adjusted Total]]-Inventory[[#This Row],[24Final]])/Inventory[[#This Row],[24Final]]</f>
        <v>9.7942625325992461E-2</v>
      </c>
    </row>
    <row r="1218" spans="1:73" x14ac:dyDescent="0.3">
      <c r="A1218" s="25">
        <v>2025</v>
      </c>
      <c r="B1218" s="26" t="s">
        <v>1196</v>
      </c>
      <c r="C1218" s="26">
        <f>LN(Inventory[[#This Row],[Acres]])</f>
        <v>-1.5141277326297755</v>
      </c>
      <c r="D1218" s="25">
        <v>0.22</v>
      </c>
      <c r="E1218" s="32">
        <v>9549</v>
      </c>
      <c r="F1218" s="26" t="s">
        <v>537</v>
      </c>
      <c r="G1218" s="26" t="s">
        <v>126</v>
      </c>
      <c r="H1218" s="26" t="s">
        <v>349</v>
      </c>
      <c r="I1218" s="26" t="s">
        <v>538</v>
      </c>
      <c r="J1218" s="26" t="s">
        <v>539</v>
      </c>
      <c r="K1218" s="26" t="s">
        <v>242</v>
      </c>
      <c r="L1218" s="26" t="s">
        <v>351</v>
      </c>
      <c r="M1218" s="26" t="s">
        <v>323</v>
      </c>
      <c r="N1218" s="26">
        <v>90</v>
      </c>
      <c r="O1218" s="26">
        <f>2024-Inventory[[#This Row],[YrBlt]]</f>
        <v>84</v>
      </c>
      <c r="P1218" s="26">
        <f>2024-Inventory[[#This Row],[EffYr]]</f>
        <v>52</v>
      </c>
      <c r="Q1218" s="25">
        <v>1940</v>
      </c>
      <c r="R1218" s="25">
        <v>1972</v>
      </c>
      <c r="S1218" s="25">
        <v>1377</v>
      </c>
      <c r="T1218" s="31"/>
      <c r="U1218" s="25">
        <v>774</v>
      </c>
      <c r="V1218" s="32">
        <f>Inventory[[#This Row],[Bsmt]]-Inventory[[#This Row],[FnBsmt]]</f>
        <v>374</v>
      </c>
      <c r="W1218" s="32">
        <v>400</v>
      </c>
      <c r="X1218" s="27"/>
      <c r="Y1218" s="27">
        <f>Inventory[[#This Row],[MainFn]]+Inventory[[#This Row],[UpprFn]]+Inventory[[#This Row],[FnBsmt]]+Inventory[[#This Row],[AddFn]]</f>
        <v>1777</v>
      </c>
      <c r="Z1218" s="27">
        <v>2000</v>
      </c>
      <c r="AA1218" s="25">
        <v>8</v>
      </c>
      <c r="AB1218" s="32">
        <v>327</v>
      </c>
      <c r="AC1218" s="27"/>
      <c r="AD1218" s="32">
        <v>582</v>
      </c>
      <c r="AE1218" s="27"/>
      <c r="AF1218" s="27"/>
      <c r="AG1218" s="27"/>
      <c r="AH1218" s="27"/>
      <c r="AI1218" s="25">
        <v>298885</v>
      </c>
      <c r="AJ1218" s="25">
        <v>203242</v>
      </c>
      <c r="AK1218" s="25">
        <v>0</v>
      </c>
      <c r="AL1218" s="25">
        <v>319700</v>
      </c>
      <c r="AM1218" s="25">
        <v>61700</v>
      </c>
      <c r="AN1218" s="25">
        <v>258000</v>
      </c>
      <c r="AO1218" s="25">
        <v>0</v>
      </c>
      <c r="AP1218" s="25">
        <f>Lookups!$B$56*0</f>
        <v>0</v>
      </c>
      <c r="AQ1218" s="25">
        <f>Lookups!$B$56*1</f>
        <v>89850.625589999996</v>
      </c>
      <c r="AR1218" s="25">
        <f>Lookups!$B$57*Inventory[[#This Row],[LnAcres]]</f>
        <v>-47929.131559187132</v>
      </c>
      <c r="AS1218" s="25">
        <f>VLOOKUP(Inventory[[#This Row],[Qlty]],Lookups!$A$62:$E$75,2,FALSE)</f>
        <v>21557.329055999999</v>
      </c>
      <c r="AT1218" s="25">
        <f>VLOOKUP(Inventory[[#This Row],[Cnd]],Lookups!$A$76:$E$84,2,FALSE)</f>
        <v>160472.20319</v>
      </c>
      <c r="AU1218" s="25">
        <f>Inventory[[#This Row],[EffAge]]*Lookups!$B$85</f>
        <v>-11598.371226000001</v>
      </c>
      <c r="AV1218" s="25">
        <f>Inventory[[#This Row],[MainFn]]*Lookups!$B$86</f>
        <v>68035.738420629001</v>
      </c>
      <c r="AW1218" s="25">
        <f>Inventory[[#This Row],[UpprFn]]*Lookups!$B$87</f>
        <v>0</v>
      </c>
      <c r="AX1218" s="25">
        <f>Inventory[[#This Row],[AddFn]]*Lookups!$B$88</f>
        <v>0</v>
      </c>
      <c r="AY1218" s="25">
        <f>Inventory[[#This Row],[Bsmt]]*Lookups!$B$89</f>
        <v>22509.386921178</v>
      </c>
      <c r="AZ1218" s="25">
        <f>Inventory[[#This Row],[Fixtures]]*Lookups!$B$90</f>
        <v>30336.176841600001</v>
      </c>
      <c r="BA1218" s="25">
        <f>Inventory[[#This Row],[WdDeck]]*Lookups!$B$91</f>
        <v>19377.989890632001</v>
      </c>
      <c r="BB1218" s="25">
        <f>ROUND(Inventory[[#This Row],[25Det]],-2)</f>
        <v>0</v>
      </c>
      <c r="BC1218" s="25">
        <f>ROUND(SUM(Inventory[[#This Row],[Mdl Qlty]:[Mdl WdDeck]])+Inventory[[#This Row],[Mdl Res Intercept]],-2)</f>
        <v>310700</v>
      </c>
      <c r="BD1218" s="25">
        <f>ROUND(Inventory[[#This Row],[Mdl Land Intercept]]+Inventory[[#This Row],[Mdl LnAcres]],-2)</f>
        <v>41900</v>
      </c>
      <c r="BE1218" s="25">
        <f>Inventory[[#This Row],[Unadj Res Value]]+Inventory[[#This Row],[Unadj Det Value]]+Inventory[[#This Row],[Unadj Land Value]]</f>
        <v>352600</v>
      </c>
      <c r="BF1218" s="36">
        <f>(Inventory[[#This Row],[Unadj Total Value]]-Inventory[[#This Row],[24Final]])/Inventory[[#This Row],[24Final]]</f>
        <v>0.10290897716609321</v>
      </c>
      <c r="BG1218" s="25">
        <f>VLOOKUP(Inventory[[#This Row],[Nbhd]],Lookups!$Q$2:$T$4,4,FALSE)</f>
        <v>0.99970000000000003</v>
      </c>
      <c r="BH1218" s="25">
        <f>VLOOKUP(Inventory[[#This Row],[Qlty]],Lookups!$O$7:$R$21,4,FALSE)</f>
        <v>1.0067999999999999</v>
      </c>
      <c r="BI1218" s="25">
        <f>VLOOKUP(Inventory[[#This Row],[Cnd]],Lookups!$T$7:$W$16,4,FALSE)</f>
        <v>0.99729999999999996</v>
      </c>
      <c r="BJ1218" s="25">
        <f>VLOOKUP(Inventory[[#This Row],[LivArea Range]],Lookups!$T$25:$W$37,4,FALSE)</f>
        <v>1.0093000000000001</v>
      </c>
      <c r="BK1218" s="25">
        <f>VLOOKUP(Inventory[[#This Row],[Decade]],Lookups!$O$25:$R$42,4,FALSE)</f>
        <v>0.98909999999999998</v>
      </c>
      <c r="BL1218" s="25">
        <f>Inventory[[#This Row],[Nbhd Adj]]*0.95</f>
        <v>0.94971499999999998</v>
      </c>
      <c r="BM1218" s="25">
        <f>Inventory[[#This Row],[Nbhd Adj]]*Inventory[[#This Row],[Quality Adj]]*Inventory[[#This Row],[Condition Adj]]*Inventory[[#This Row],[Living Area Adj]]*Inventory[[#This Row],[Decade Adj]]*0.95</f>
        <v>0.95196898294134369</v>
      </c>
      <c r="BN1218" s="25">
        <f>ROUND(SUM(Inventory[[#This Row],[Mdl Qlty]:[Mdl WdDeck]])+Inventory[[#This Row],[Mdl Res Intercept]]*Inventory[[#This Row],[Res Adj ]],-2)</f>
        <v>310700</v>
      </c>
      <c r="BO1218" s="25">
        <f>ROUND(Inventory[[#This Row],[25Det]]*Inventory[[#This Row],[Det/Nbhd Adj]],-2)</f>
        <v>0</v>
      </c>
      <c r="BP1218" s="25">
        <f>Inventory[[#This Row],[Adjusted Res]]+Inventory[[#This Row],[Adj Det ]]</f>
        <v>310700</v>
      </c>
      <c r="BQ1218" s="25">
        <f>ROUND((Inventory[[#This Row],[Mdl Land Intercept]]+Inventory[[#This Row],[Mdl LnAcres]])*Inventory[[#This Row],[Det/Nbhd Adj]],-2)</f>
        <v>39800</v>
      </c>
      <c r="BR1218" s="25">
        <f>Inventory[[#This Row],[Adjusted Impr Total]]+Inventory[[#This Row],[Adjusted Land Total]]</f>
        <v>350500</v>
      </c>
      <c r="BS1218" s="36">
        <f>IFERROR((Inventory[[#This Row],[Adjusted Impr Total]]-Inventory[[#This Row],[24Bldg]])/Inventory[[#This Row],[24Bldg]],0)</f>
        <v>0.20426356589147288</v>
      </c>
      <c r="BT1218" s="36">
        <f>(Inventory[[#This Row],[Adjusted Land Total]]-Inventory[[#This Row],[24Lnd]])/Inventory[[#This Row],[24Lnd]]</f>
        <v>-0.35494327390599678</v>
      </c>
      <c r="BU1218" s="36">
        <f>(Inventory[[#This Row],[Adjusted Total]]-Inventory[[#This Row],[24Final]])/Inventory[[#This Row],[24Final]]</f>
        <v>9.6340319049108544E-2</v>
      </c>
    </row>
    <row r="1219" spans="1:73" x14ac:dyDescent="0.3">
      <c r="A1219" s="25">
        <v>2025</v>
      </c>
      <c r="B1219" s="26" t="s">
        <v>1533</v>
      </c>
      <c r="C1219" s="26">
        <f>LN(Inventory[[#This Row],[Acres]])</f>
        <v>-1.7147984280919266</v>
      </c>
      <c r="D1219" s="25">
        <v>0.18</v>
      </c>
      <c r="E1219" s="32">
        <v>7781</v>
      </c>
      <c r="F1219" s="26" t="s">
        <v>537</v>
      </c>
      <c r="G1219" s="26" t="s">
        <v>126</v>
      </c>
      <c r="H1219" s="26" t="s">
        <v>349</v>
      </c>
      <c r="I1219" s="26" t="s">
        <v>538</v>
      </c>
      <c r="J1219" s="26" t="s">
        <v>539</v>
      </c>
      <c r="K1219" s="26" t="s">
        <v>242</v>
      </c>
      <c r="L1219" s="26" t="s">
        <v>351</v>
      </c>
      <c r="M1219" s="26" t="s">
        <v>206</v>
      </c>
      <c r="N1219" s="26">
        <v>90</v>
      </c>
      <c r="O1219" s="26">
        <f>2024-Inventory[[#This Row],[YrBlt]]</f>
        <v>84</v>
      </c>
      <c r="P1219" s="26">
        <f>2024-Inventory[[#This Row],[EffYr]]</f>
        <v>52</v>
      </c>
      <c r="Q1219" s="25">
        <v>1940</v>
      </c>
      <c r="R1219" s="25">
        <v>1972</v>
      </c>
      <c r="S1219" s="25">
        <v>1027</v>
      </c>
      <c r="T1219" s="27"/>
      <c r="U1219" s="32">
        <v>1015</v>
      </c>
      <c r="V1219" s="32">
        <f>Inventory[[#This Row],[Bsmt]]-Inventory[[#This Row],[FnBsmt]]</f>
        <v>710</v>
      </c>
      <c r="W1219" s="32">
        <v>305</v>
      </c>
      <c r="X1219" s="27"/>
      <c r="Y1219" s="27">
        <f>Inventory[[#This Row],[MainFn]]+Inventory[[#This Row],[UpprFn]]+Inventory[[#This Row],[FnBsmt]]+Inventory[[#This Row],[AddFn]]</f>
        <v>1332</v>
      </c>
      <c r="Z1219" s="27">
        <v>1500</v>
      </c>
      <c r="AA1219" s="25">
        <v>5</v>
      </c>
      <c r="AB1219" s="31"/>
      <c r="AC1219" s="27"/>
      <c r="AD1219" s="27"/>
      <c r="AE1219" s="27"/>
      <c r="AF1219" s="27"/>
      <c r="AG1219" s="27"/>
      <c r="AH1219" s="27"/>
      <c r="AI1219" s="25">
        <v>219432</v>
      </c>
      <c r="AJ1219" s="25">
        <v>144825</v>
      </c>
      <c r="AK1219" s="25">
        <v>0</v>
      </c>
      <c r="AL1219" s="25">
        <v>252400</v>
      </c>
      <c r="AM1219" s="25">
        <v>54700</v>
      </c>
      <c r="AN1219" s="25">
        <v>197700</v>
      </c>
      <c r="AO1219" s="25">
        <v>0</v>
      </c>
      <c r="AP1219" s="25">
        <f>Lookups!$B$56*0</f>
        <v>0</v>
      </c>
      <c r="AQ1219" s="25">
        <f>Lookups!$B$56*1</f>
        <v>89850.625589999996</v>
      </c>
      <c r="AR1219" s="25">
        <f>Lookups!$B$57*Inventory[[#This Row],[LnAcres]]</f>
        <v>-54281.285314520763</v>
      </c>
      <c r="AS1219" s="25">
        <f>VLOOKUP(Inventory[[#This Row],[Qlty]],Lookups!$A$62:$E$75,2,FALSE)</f>
        <v>21557.329055999999</v>
      </c>
      <c r="AT1219" s="25">
        <f>VLOOKUP(Inventory[[#This Row],[Cnd]],Lookups!$A$76:$E$84,2,FALSE)</f>
        <v>133714.53821</v>
      </c>
      <c r="AU1219" s="25">
        <f>Inventory[[#This Row],[EffAge]]*Lookups!$B$85</f>
        <v>-11598.371226000001</v>
      </c>
      <c r="AV1219" s="25">
        <f>Inventory[[#This Row],[MainFn]]*Lookups!$B$86</f>
        <v>50742.703963679</v>
      </c>
      <c r="AW1219" s="25">
        <f>Inventory[[#This Row],[UpprFn]]*Lookups!$B$87</f>
        <v>0</v>
      </c>
      <c r="AX1219" s="25">
        <f>Inventory[[#This Row],[AddFn]]*Lookups!$B$88</f>
        <v>0</v>
      </c>
      <c r="AY1219" s="25">
        <f>Inventory[[#This Row],[Bsmt]]*Lookups!$B$89</f>
        <v>29518.123675704999</v>
      </c>
      <c r="AZ1219" s="25">
        <f>Inventory[[#This Row],[Fixtures]]*Lookups!$B$90</f>
        <v>18960.110526</v>
      </c>
      <c r="BA1219" s="25">
        <f>Inventory[[#This Row],[WdDeck]]*Lookups!$B$91</f>
        <v>0</v>
      </c>
      <c r="BB1219" s="25">
        <f>ROUND(Inventory[[#This Row],[25Det]],-2)</f>
        <v>0</v>
      </c>
      <c r="BC1219" s="25">
        <f>ROUND(SUM(Inventory[[#This Row],[Mdl Qlty]:[Mdl WdDeck]])+Inventory[[#This Row],[Mdl Res Intercept]],-2)</f>
        <v>242900</v>
      </c>
      <c r="BD1219" s="25">
        <f>ROUND(Inventory[[#This Row],[Mdl Land Intercept]]+Inventory[[#This Row],[Mdl LnAcres]],-2)</f>
        <v>35600</v>
      </c>
      <c r="BE1219" s="25">
        <f>Inventory[[#This Row],[Unadj Res Value]]+Inventory[[#This Row],[Unadj Det Value]]+Inventory[[#This Row],[Unadj Land Value]]</f>
        <v>278500</v>
      </c>
      <c r="BF1219" s="36">
        <f>(Inventory[[#This Row],[Unadj Total Value]]-Inventory[[#This Row],[24Final]])/Inventory[[#This Row],[24Final]]</f>
        <v>0.10340729001584786</v>
      </c>
      <c r="BG1219" s="25">
        <f>VLOOKUP(Inventory[[#This Row],[Nbhd]],Lookups!$Q$2:$T$4,4,FALSE)</f>
        <v>0.99970000000000003</v>
      </c>
      <c r="BH1219" s="25">
        <f>VLOOKUP(Inventory[[#This Row],[Qlty]],Lookups!$O$7:$R$21,4,FALSE)</f>
        <v>1.0067999999999999</v>
      </c>
      <c r="BI1219" s="25">
        <f>VLOOKUP(Inventory[[#This Row],[Cnd]],Lookups!$T$7:$W$16,4,FALSE)</f>
        <v>0.99329999999999996</v>
      </c>
      <c r="BJ1219" s="25">
        <f>VLOOKUP(Inventory[[#This Row],[LivArea Range]],Lookups!$T$25:$W$37,4,FALSE)</f>
        <v>1.0157</v>
      </c>
      <c r="BK1219" s="25">
        <f>VLOOKUP(Inventory[[#This Row],[Decade]],Lookups!$O$25:$R$42,4,FALSE)</f>
        <v>0.98909999999999998</v>
      </c>
      <c r="BL1219" s="25">
        <f>Inventory[[#This Row],[Nbhd Adj]]*0.95</f>
        <v>0.94971499999999998</v>
      </c>
      <c r="BM1219" s="25">
        <f>Inventory[[#This Row],[Nbhd Adj]]*Inventory[[#This Row],[Quality Adj]]*Inventory[[#This Row],[Condition Adj]]*Inventory[[#This Row],[Living Area Adj]]*Inventory[[#This Row],[Decade Adj]]*0.95</f>
        <v>0.9541630490807298</v>
      </c>
      <c r="BN1219" s="25">
        <f>ROUND(SUM(Inventory[[#This Row],[Mdl Qlty]:[Mdl WdDeck]])+Inventory[[#This Row],[Mdl Res Intercept]]*Inventory[[#This Row],[Res Adj ]],-2)</f>
        <v>242900</v>
      </c>
      <c r="BO1219" s="25">
        <f>ROUND(Inventory[[#This Row],[25Det]]*Inventory[[#This Row],[Det/Nbhd Adj]],-2)</f>
        <v>0</v>
      </c>
      <c r="BP1219" s="25">
        <f>Inventory[[#This Row],[Adjusted Res]]+Inventory[[#This Row],[Adj Det ]]</f>
        <v>242900</v>
      </c>
      <c r="BQ1219" s="25">
        <f>ROUND((Inventory[[#This Row],[Mdl Land Intercept]]+Inventory[[#This Row],[Mdl LnAcres]])*Inventory[[#This Row],[Det/Nbhd Adj]],-2)</f>
        <v>33800</v>
      </c>
      <c r="BR1219" s="25">
        <f>Inventory[[#This Row],[Adjusted Impr Total]]+Inventory[[#This Row],[Adjusted Land Total]]</f>
        <v>276700</v>
      </c>
      <c r="BS1219" s="36">
        <f>IFERROR((Inventory[[#This Row],[Adjusted Impr Total]]-Inventory[[#This Row],[24Bldg]])/Inventory[[#This Row],[24Bldg]],0)</f>
        <v>0.22862923621648962</v>
      </c>
      <c r="BT1219" s="36">
        <f>(Inventory[[#This Row],[Adjusted Land Total]]-Inventory[[#This Row],[24Lnd]])/Inventory[[#This Row],[24Lnd]]</f>
        <v>-0.38208409506398539</v>
      </c>
      <c r="BU1219" s="36">
        <f>(Inventory[[#This Row],[Adjusted Total]]-Inventory[[#This Row],[24Final]])/Inventory[[#This Row],[24Final]]</f>
        <v>9.6275752773375592E-2</v>
      </c>
    </row>
    <row r="1220" spans="1:73" x14ac:dyDescent="0.3">
      <c r="A1220" s="25">
        <v>2025</v>
      </c>
      <c r="B1220" s="26" t="s">
        <v>1529</v>
      </c>
      <c r="C1220" s="26">
        <f>LN(Inventory[[#This Row],[Acres]])</f>
        <v>-1.7147984280919266</v>
      </c>
      <c r="D1220" s="25">
        <v>0.18</v>
      </c>
      <c r="E1220" s="32">
        <v>7696</v>
      </c>
      <c r="F1220" s="26" t="s">
        <v>537</v>
      </c>
      <c r="G1220" s="26" t="s">
        <v>126</v>
      </c>
      <c r="H1220" s="26" t="s">
        <v>349</v>
      </c>
      <c r="I1220" s="26" t="s">
        <v>538</v>
      </c>
      <c r="J1220" s="26" t="s">
        <v>539</v>
      </c>
      <c r="K1220" s="26" t="s">
        <v>242</v>
      </c>
      <c r="L1220" s="26" t="s">
        <v>205</v>
      </c>
      <c r="M1220" s="26" t="s">
        <v>206</v>
      </c>
      <c r="N1220" s="26">
        <v>90</v>
      </c>
      <c r="O1220" s="26">
        <f>2024-Inventory[[#This Row],[YrBlt]]</f>
        <v>84</v>
      </c>
      <c r="P1220" s="26">
        <f>2024-Inventory[[#This Row],[EffYr]]</f>
        <v>52</v>
      </c>
      <c r="Q1220" s="25">
        <v>1940</v>
      </c>
      <c r="R1220" s="25">
        <v>1972</v>
      </c>
      <c r="S1220" s="25">
        <v>999</v>
      </c>
      <c r="T1220" s="27"/>
      <c r="U1220" s="25">
        <v>999</v>
      </c>
      <c r="V1220" s="25">
        <f>Inventory[[#This Row],[Bsmt]]-Inventory[[#This Row],[FnBsmt]]</f>
        <v>999</v>
      </c>
      <c r="W1220" s="25">
        <v>0</v>
      </c>
      <c r="X1220" s="27"/>
      <c r="Y1220" s="27">
        <f>Inventory[[#This Row],[MainFn]]+Inventory[[#This Row],[UpprFn]]+Inventory[[#This Row],[FnBsmt]]+Inventory[[#This Row],[AddFn]]</f>
        <v>999</v>
      </c>
      <c r="Z1220" s="27">
        <v>1000</v>
      </c>
      <c r="AA1220" s="25">
        <v>5</v>
      </c>
      <c r="AB1220" s="32">
        <v>312</v>
      </c>
      <c r="AC1220" s="27"/>
      <c r="AD1220" s="27"/>
      <c r="AE1220" s="27"/>
      <c r="AF1220" s="27"/>
      <c r="AG1220" s="27"/>
      <c r="AH1220" s="27"/>
      <c r="AI1220" s="25">
        <v>208976</v>
      </c>
      <c r="AJ1220" s="25">
        <v>137924</v>
      </c>
      <c r="AK1220" s="25">
        <v>0</v>
      </c>
      <c r="AL1220" s="25">
        <v>231200</v>
      </c>
      <c r="AM1220" s="25">
        <v>54700</v>
      </c>
      <c r="AN1220" s="25">
        <v>176500</v>
      </c>
      <c r="AO1220" s="25">
        <v>0</v>
      </c>
      <c r="AP1220" s="25">
        <f>Lookups!$B$56*0</f>
        <v>0</v>
      </c>
      <c r="AQ1220" s="25">
        <f>Lookups!$B$56*1</f>
        <v>89850.625589999996</v>
      </c>
      <c r="AR1220" s="25">
        <f>Lookups!$B$57*Inventory[[#This Row],[LnAcres]]</f>
        <v>-54281.285314520763</v>
      </c>
      <c r="AS1220" s="25">
        <f>VLOOKUP(Inventory[[#This Row],[Qlty]],Lookups!$A$62:$E$75,2,FALSE)</f>
        <v>0</v>
      </c>
      <c r="AT1220" s="25">
        <f>VLOOKUP(Inventory[[#This Row],[Cnd]],Lookups!$A$76:$E$84,2,FALSE)</f>
        <v>133714.53821</v>
      </c>
      <c r="AU1220" s="25">
        <f>Inventory[[#This Row],[EffAge]]*Lookups!$B$85</f>
        <v>-11598.371226000001</v>
      </c>
      <c r="AV1220" s="25">
        <f>Inventory[[#This Row],[MainFn]]*Lookups!$B$86</f>
        <v>49359.261207123003</v>
      </c>
      <c r="AW1220" s="25">
        <f>Inventory[[#This Row],[UpprFn]]*Lookups!$B$87</f>
        <v>0</v>
      </c>
      <c r="AX1220" s="25">
        <f>Inventory[[#This Row],[AddFn]]*Lookups!$B$88</f>
        <v>0</v>
      </c>
      <c r="AY1220" s="25">
        <f>Inventory[[#This Row],[Bsmt]]*Lookups!$B$89</f>
        <v>29052.813351752997</v>
      </c>
      <c r="AZ1220" s="25">
        <f>Inventory[[#This Row],[Fixtures]]*Lookups!$B$90</f>
        <v>18960.110526</v>
      </c>
      <c r="BA1220" s="25">
        <f>Inventory[[#This Row],[WdDeck]]*Lookups!$B$91</f>
        <v>0</v>
      </c>
      <c r="BB1220" s="25">
        <f>ROUND(Inventory[[#This Row],[25Det]],-2)</f>
        <v>0</v>
      </c>
      <c r="BC1220" s="25">
        <f>ROUND(SUM(Inventory[[#This Row],[Mdl Qlty]:[Mdl WdDeck]])+Inventory[[#This Row],[Mdl Res Intercept]],-2)</f>
        <v>219500</v>
      </c>
      <c r="BD1220" s="25">
        <f>ROUND(Inventory[[#This Row],[Mdl Land Intercept]]+Inventory[[#This Row],[Mdl LnAcres]],-2)</f>
        <v>35600</v>
      </c>
      <c r="BE1220" s="25">
        <f>Inventory[[#This Row],[Unadj Res Value]]+Inventory[[#This Row],[Unadj Det Value]]+Inventory[[#This Row],[Unadj Land Value]]</f>
        <v>255100</v>
      </c>
      <c r="BF1220" s="36">
        <f>(Inventory[[#This Row],[Unadj Total Value]]-Inventory[[#This Row],[24Final]])/Inventory[[#This Row],[24Final]]</f>
        <v>0.10337370242214533</v>
      </c>
      <c r="BG1220" s="25">
        <f>VLOOKUP(Inventory[[#This Row],[Nbhd]],Lookups!$Q$2:$T$4,4,FALSE)</f>
        <v>0.99970000000000003</v>
      </c>
      <c r="BH1220" s="25">
        <f>VLOOKUP(Inventory[[#This Row],[Qlty]],Lookups!$O$7:$R$21,4,FALSE)</f>
        <v>0.99180000000000001</v>
      </c>
      <c r="BI1220" s="25">
        <f>VLOOKUP(Inventory[[#This Row],[Cnd]],Lookups!$T$7:$W$16,4,FALSE)</f>
        <v>0.99329999999999996</v>
      </c>
      <c r="BJ1220" s="25">
        <f>VLOOKUP(Inventory[[#This Row],[LivArea Range]],Lookups!$T$25:$W$37,4,FALSE)</f>
        <v>1.0148999999999999</v>
      </c>
      <c r="BK1220" s="25">
        <f>VLOOKUP(Inventory[[#This Row],[Decade]],Lookups!$O$25:$R$42,4,FALSE)</f>
        <v>0.98909999999999998</v>
      </c>
      <c r="BL1220" s="25">
        <f>Inventory[[#This Row],[Nbhd Adj]]*0.95</f>
        <v>0.94971499999999998</v>
      </c>
      <c r="BM1220" s="25">
        <f>Inventory[[#This Row],[Nbhd Adj]]*Inventory[[#This Row],[Quality Adj]]*Inventory[[#This Row],[Condition Adj]]*Inventory[[#This Row],[Living Area Adj]]*Inventory[[#This Row],[Decade Adj]]*0.95</f>
        <v>0.93920693607407202</v>
      </c>
      <c r="BN1220" s="25">
        <f>ROUND(SUM(Inventory[[#This Row],[Mdl Qlty]:[Mdl WdDeck]])+Inventory[[#This Row],[Mdl Res Intercept]]*Inventory[[#This Row],[Res Adj ]],-2)</f>
        <v>219500</v>
      </c>
      <c r="BO1220" s="25">
        <f>ROUND(Inventory[[#This Row],[25Det]]*Inventory[[#This Row],[Det/Nbhd Adj]],-2)</f>
        <v>0</v>
      </c>
      <c r="BP1220" s="25">
        <f>Inventory[[#This Row],[Adjusted Res]]+Inventory[[#This Row],[Adj Det ]]</f>
        <v>219500</v>
      </c>
      <c r="BQ1220" s="25">
        <f>ROUND((Inventory[[#This Row],[Mdl Land Intercept]]+Inventory[[#This Row],[Mdl LnAcres]])*Inventory[[#This Row],[Det/Nbhd Adj]],-2)</f>
        <v>33800</v>
      </c>
      <c r="BR1220" s="25">
        <f>Inventory[[#This Row],[Adjusted Impr Total]]+Inventory[[#This Row],[Adjusted Land Total]]</f>
        <v>253300</v>
      </c>
      <c r="BS1220" s="36">
        <f>IFERROR((Inventory[[#This Row],[Adjusted Impr Total]]-Inventory[[#This Row],[24Bldg]])/Inventory[[#This Row],[24Bldg]],0)</f>
        <v>0.24362606232294617</v>
      </c>
      <c r="BT1220" s="36">
        <f>(Inventory[[#This Row],[Adjusted Land Total]]-Inventory[[#This Row],[24Lnd]])/Inventory[[#This Row],[24Lnd]]</f>
        <v>-0.38208409506398539</v>
      </c>
      <c r="BU1220" s="36">
        <f>(Inventory[[#This Row],[Adjusted Total]]-Inventory[[#This Row],[24Final]])/Inventory[[#This Row],[24Final]]</f>
        <v>9.5588235294117641E-2</v>
      </c>
    </row>
    <row r="1221" spans="1:73" x14ac:dyDescent="0.3">
      <c r="A1221" s="25">
        <v>2025</v>
      </c>
      <c r="B1221" s="26" t="s">
        <v>2741</v>
      </c>
      <c r="C1221" s="26">
        <f>LN(Inventory[[#This Row],[Acres]])</f>
        <v>-1.6094379124341003</v>
      </c>
      <c r="D1221" s="25">
        <v>0.2</v>
      </c>
      <c r="E1221" s="27"/>
      <c r="F1221" s="26" t="s">
        <v>537</v>
      </c>
      <c r="G1221" s="26" t="s">
        <v>126</v>
      </c>
      <c r="H1221" s="26" t="s">
        <v>349</v>
      </c>
      <c r="I1221" s="26" t="s">
        <v>538</v>
      </c>
      <c r="J1221" s="26" t="s">
        <v>539</v>
      </c>
      <c r="K1221" s="26" t="s">
        <v>242</v>
      </c>
      <c r="L1221" s="26" t="s">
        <v>148</v>
      </c>
      <c r="M1221" s="26" t="s">
        <v>303</v>
      </c>
      <c r="N1221" s="26">
        <v>90</v>
      </c>
      <c r="O1221" s="26">
        <f>2024-Inventory[[#This Row],[YrBlt]]</f>
        <v>84</v>
      </c>
      <c r="P1221" s="26">
        <f>2024-Inventory[[#This Row],[EffYr]]</f>
        <v>52</v>
      </c>
      <c r="Q1221" s="25">
        <v>1940</v>
      </c>
      <c r="R1221" s="25">
        <v>1972</v>
      </c>
      <c r="S1221" s="25">
        <v>1200</v>
      </c>
      <c r="T1221" s="27"/>
      <c r="U1221" s="25">
        <v>990</v>
      </c>
      <c r="V1221" s="25">
        <f>Inventory[[#This Row],[Bsmt]]-Inventory[[#This Row],[FnBsmt]]</f>
        <v>692</v>
      </c>
      <c r="W1221" s="25">
        <v>298</v>
      </c>
      <c r="X1221" s="27"/>
      <c r="Y1221" s="27">
        <f>Inventory[[#This Row],[MainFn]]+Inventory[[#This Row],[UpprFn]]+Inventory[[#This Row],[FnBsmt]]+Inventory[[#This Row],[AddFn]]</f>
        <v>1498</v>
      </c>
      <c r="Z1221" s="27">
        <v>1500</v>
      </c>
      <c r="AA1221" s="25">
        <v>5</v>
      </c>
      <c r="AB1221" s="27"/>
      <c r="AC1221" s="27"/>
      <c r="AD1221" s="27"/>
      <c r="AE1221" s="27"/>
      <c r="AF1221" s="27"/>
      <c r="AG1221" s="27"/>
      <c r="AH1221" s="27"/>
      <c r="AI1221" s="25">
        <v>325004</v>
      </c>
      <c r="AJ1221" s="25">
        <v>227503</v>
      </c>
      <c r="AK1221" s="25">
        <v>10334</v>
      </c>
      <c r="AL1221" s="25">
        <v>350500</v>
      </c>
      <c r="AM1221" s="25">
        <v>58400</v>
      </c>
      <c r="AN1221" s="25">
        <v>292100</v>
      </c>
      <c r="AO1221" s="25">
        <v>0</v>
      </c>
      <c r="AP1221" s="25">
        <f>Lookups!$B$56*0</f>
        <v>0</v>
      </c>
      <c r="AQ1221" s="25">
        <f>Lookups!$B$56*1</f>
        <v>89850.625589999996</v>
      </c>
      <c r="AR1221" s="25">
        <f>Lookups!$B$57*Inventory[[#This Row],[LnAcres]]</f>
        <v>-50946.13867709865</v>
      </c>
      <c r="AS1221" s="25">
        <f>VLOOKUP(Inventory[[#This Row],[Qlty]],Lookups!$A$62:$E$75,2,FALSE)</f>
        <v>44121.038090000002</v>
      </c>
      <c r="AT1221" s="25">
        <f>VLOOKUP(Inventory[[#This Row],[Cnd]],Lookups!$A$76:$E$84,2,FALSE)</f>
        <v>197752.34721000001</v>
      </c>
      <c r="AU1221" s="25">
        <f>Inventory[[#This Row],[EffAge]]*Lookups!$B$85</f>
        <v>-11598.371226000001</v>
      </c>
      <c r="AV1221" s="25">
        <f>Inventory[[#This Row],[MainFn]]*Lookups!$B$86</f>
        <v>59290.403852399999</v>
      </c>
      <c r="AW1221" s="25">
        <f>Inventory[[#This Row],[UpprFn]]*Lookups!$B$87</f>
        <v>0</v>
      </c>
      <c r="AX1221" s="25">
        <f>Inventory[[#This Row],[AddFn]]*Lookups!$B$88</f>
        <v>0</v>
      </c>
      <c r="AY1221" s="25">
        <f>Inventory[[#This Row],[Bsmt]]*Lookups!$B$89</f>
        <v>28791.076294529998</v>
      </c>
      <c r="AZ1221" s="25">
        <f>Inventory[[#This Row],[Fixtures]]*Lookups!$B$90</f>
        <v>18960.110526</v>
      </c>
      <c r="BA1221" s="25">
        <f>Inventory[[#This Row],[WdDeck]]*Lookups!$B$91</f>
        <v>0</v>
      </c>
      <c r="BB1221" s="25">
        <f>ROUND(Inventory[[#This Row],[25Det]],-2)</f>
        <v>10300</v>
      </c>
      <c r="BC1221" s="25">
        <f>ROUND(SUM(Inventory[[#This Row],[Mdl Qlty]:[Mdl WdDeck]])+Inventory[[#This Row],[Mdl Res Intercept]],-2)</f>
        <v>337300</v>
      </c>
      <c r="BD1221" s="25">
        <f>ROUND(Inventory[[#This Row],[Mdl Land Intercept]]+Inventory[[#This Row],[Mdl LnAcres]],-2)</f>
        <v>38900</v>
      </c>
      <c r="BE1221" s="25">
        <f>Inventory[[#This Row],[Unadj Res Value]]+Inventory[[#This Row],[Unadj Det Value]]+Inventory[[#This Row],[Unadj Land Value]]</f>
        <v>386500</v>
      </c>
      <c r="BF1221" s="36">
        <f>(Inventory[[#This Row],[Unadj Total Value]]-Inventory[[#This Row],[24Final]])/Inventory[[#This Row],[24Final]]</f>
        <v>0.10271041369472182</v>
      </c>
      <c r="BG1221" s="25">
        <f>VLOOKUP(Inventory[[#This Row],[Nbhd]],Lookups!$Q$2:$T$4,4,FALSE)</f>
        <v>0.99970000000000003</v>
      </c>
      <c r="BH1221" s="25">
        <f>VLOOKUP(Inventory[[#This Row],[Qlty]],Lookups!$O$7:$R$21,4,FALSE)</f>
        <v>0.98050000000000004</v>
      </c>
      <c r="BI1221" s="25">
        <f>VLOOKUP(Inventory[[#This Row],[Cnd]],Lookups!$T$7:$W$16,4,FALSE)</f>
        <v>0.99650000000000005</v>
      </c>
      <c r="BJ1221" s="25">
        <f>VLOOKUP(Inventory[[#This Row],[LivArea Range]],Lookups!$T$25:$W$37,4,FALSE)</f>
        <v>1.0157</v>
      </c>
      <c r="BK1221" s="25">
        <f>VLOOKUP(Inventory[[#This Row],[Decade]],Lookups!$O$25:$R$42,4,FALSE)</f>
        <v>0.98909999999999998</v>
      </c>
      <c r="BL1221" s="25">
        <f>Inventory[[#This Row],[Nbhd Adj]]*0.95</f>
        <v>0.94971499999999998</v>
      </c>
      <c r="BM1221" s="25">
        <f>Inventory[[#This Row],[Nbhd Adj]]*Inventory[[#This Row],[Quality Adj]]*Inventory[[#This Row],[Condition Adj]]*Inventory[[#This Row],[Living Area Adj]]*Inventory[[#This Row],[Decade Adj]]*0.95</f>
        <v>0.93223166988786421</v>
      </c>
      <c r="BN1221" s="25">
        <f>ROUND(SUM(Inventory[[#This Row],[Mdl Qlty]:[Mdl WdDeck]])+Inventory[[#This Row],[Mdl Res Intercept]]*Inventory[[#This Row],[Res Adj ]],-2)</f>
        <v>337300</v>
      </c>
      <c r="BO1221" s="25">
        <f>ROUND(Inventory[[#This Row],[25Det]]*Inventory[[#This Row],[Det/Nbhd Adj]],-2)</f>
        <v>9800</v>
      </c>
      <c r="BP1221" s="25">
        <f>Inventory[[#This Row],[Adjusted Res]]+Inventory[[#This Row],[Adj Det ]]</f>
        <v>347100</v>
      </c>
      <c r="BQ1221" s="25">
        <f>ROUND((Inventory[[#This Row],[Mdl Land Intercept]]+Inventory[[#This Row],[Mdl LnAcres]])*Inventory[[#This Row],[Det/Nbhd Adj]],-2)</f>
        <v>36900</v>
      </c>
      <c r="BR1221" s="25">
        <f>Inventory[[#This Row],[Adjusted Impr Total]]+Inventory[[#This Row],[Adjusted Land Total]]</f>
        <v>384000</v>
      </c>
      <c r="BS1221" s="36">
        <f>IFERROR((Inventory[[#This Row],[Adjusted Impr Total]]-Inventory[[#This Row],[24Bldg]])/Inventory[[#This Row],[24Bldg]],0)</f>
        <v>0.18829168093118795</v>
      </c>
      <c r="BT1221" s="36">
        <f>(Inventory[[#This Row],[Adjusted Land Total]]-Inventory[[#This Row],[24Lnd]])/Inventory[[#This Row],[24Lnd]]</f>
        <v>-0.36815068493150682</v>
      </c>
      <c r="BU1221" s="36">
        <f>(Inventory[[#This Row],[Adjusted Total]]-Inventory[[#This Row],[24Final]])/Inventory[[#This Row],[24Final]]</f>
        <v>9.5577746077032816E-2</v>
      </c>
    </row>
    <row r="1222" spans="1:73" x14ac:dyDescent="0.3">
      <c r="A1222" s="25">
        <v>2025</v>
      </c>
      <c r="B1222" s="26" t="s">
        <v>838</v>
      </c>
      <c r="C1222" s="26">
        <f>LN(Inventory[[#This Row],[Acres]])</f>
        <v>-1.6094379124341003</v>
      </c>
      <c r="D1222" s="25">
        <v>0.2</v>
      </c>
      <c r="E1222" s="32">
        <v>8618</v>
      </c>
      <c r="F1222" s="26" t="s">
        <v>537</v>
      </c>
      <c r="G1222" s="26" t="s">
        <v>126</v>
      </c>
      <c r="H1222" s="26" t="s">
        <v>349</v>
      </c>
      <c r="I1222" s="26" t="s">
        <v>538</v>
      </c>
      <c r="J1222" s="26" t="s">
        <v>539</v>
      </c>
      <c r="K1222" s="26" t="s">
        <v>147</v>
      </c>
      <c r="L1222" s="26" t="s">
        <v>351</v>
      </c>
      <c r="M1222" s="26" t="s">
        <v>303</v>
      </c>
      <c r="N1222" s="26">
        <v>90</v>
      </c>
      <c r="O1222" s="26">
        <f>2024-Inventory[[#This Row],[YrBlt]]</f>
        <v>84</v>
      </c>
      <c r="P1222" s="26">
        <f>2024-Inventory[[#This Row],[EffYr]]</f>
        <v>52</v>
      </c>
      <c r="Q1222" s="25">
        <v>1940</v>
      </c>
      <c r="R1222" s="25">
        <v>1972</v>
      </c>
      <c r="S1222" s="25">
        <v>1046</v>
      </c>
      <c r="T1222" s="32">
        <v>572</v>
      </c>
      <c r="U1222" s="32">
        <v>1046</v>
      </c>
      <c r="V1222" s="32">
        <f>Inventory[[#This Row],[Bsmt]]-Inventory[[#This Row],[FnBsmt]]</f>
        <v>1046</v>
      </c>
      <c r="W1222" s="32">
        <v>0</v>
      </c>
      <c r="X1222" s="27"/>
      <c r="Y1222" s="27">
        <f>Inventory[[#This Row],[MainFn]]+Inventory[[#This Row],[UpprFn]]+Inventory[[#This Row],[FnBsmt]]+Inventory[[#This Row],[AddFn]]</f>
        <v>1618</v>
      </c>
      <c r="Z1222" s="27">
        <v>2000</v>
      </c>
      <c r="AA1222" s="25">
        <v>7</v>
      </c>
      <c r="AB1222" s="27"/>
      <c r="AC1222" s="27"/>
      <c r="AD1222" s="27"/>
      <c r="AE1222" s="27"/>
      <c r="AF1222" s="27"/>
      <c r="AG1222" s="27"/>
      <c r="AH1222" s="27"/>
      <c r="AI1222" s="25">
        <v>287460</v>
      </c>
      <c r="AJ1222" s="25">
        <v>201222</v>
      </c>
      <c r="AK1222" s="25">
        <v>6957</v>
      </c>
      <c r="AL1222" s="25">
        <v>352800</v>
      </c>
      <c r="AM1222" s="25">
        <v>58400</v>
      </c>
      <c r="AN1222" s="25">
        <v>294400</v>
      </c>
      <c r="AO1222" s="25">
        <v>0</v>
      </c>
      <c r="AP1222" s="25">
        <f>Lookups!$B$56*0</f>
        <v>0</v>
      </c>
      <c r="AQ1222" s="25">
        <f>Lookups!$B$56*1</f>
        <v>89850.625589999996</v>
      </c>
      <c r="AR1222" s="25">
        <f>Lookups!$B$57*Inventory[[#This Row],[LnAcres]]</f>
        <v>-50946.13867709865</v>
      </c>
      <c r="AS1222" s="25">
        <f>VLOOKUP(Inventory[[#This Row],[Qlty]],Lookups!$A$62:$E$75,2,FALSE)</f>
        <v>21557.329055999999</v>
      </c>
      <c r="AT1222" s="25">
        <f>VLOOKUP(Inventory[[#This Row],[Cnd]],Lookups!$A$76:$E$84,2,FALSE)</f>
        <v>197752.34721000001</v>
      </c>
      <c r="AU1222" s="25">
        <f>Inventory[[#This Row],[EffAge]]*Lookups!$B$85</f>
        <v>-11598.371226000001</v>
      </c>
      <c r="AV1222" s="25">
        <f>Inventory[[#This Row],[MainFn]]*Lookups!$B$86</f>
        <v>51681.468691342001</v>
      </c>
      <c r="AW1222" s="25">
        <f>Inventory[[#This Row],[UpprFn]]*Lookups!$B$87</f>
        <v>25617.833876492001</v>
      </c>
      <c r="AX1222" s="25">
        <f>Inventory[[#This Row],[AddFn]]*Lookups!$B$88</f>
        <v>0</v>
      </c>
      <c r="AY1222" s="25">
        <f>Inventory[[#This Row],[Bsmt]]*Lookups!$B$89</f>
        <v>30419.662428361997</v>
      </c>
      <c r="AZ1222" s="25">
        <f>Inventory[[#This Row],[Fixtures]]*Lookups!$B$90</f>
        <v>26544.1547364</v>
      </c>
      <c r="BA1222" s="25">
        <f>Inventory[[#This Row],[WdDeck]]*Lookups!$B$91</f>
        <v>0</v>
      </c>
      <c r="BB1222" s="25">
        <f>ROUND(Inventory[[#This Row],[25Det]],-2)</f>
        <v>7000</v>
      </c>
      <c r="BC1222" s="25">
        <f>ROUND(SUM(Inventory[[#This Row],[Mdl Qlty]:[Mdl WdDeck]])+Inventory[[#This Row],[Mdl Res Intercept]],-2)</f>
        <v>342000</v>
      </c>
      <c r="BD1222" s="25">
        <f>ROUND(Inventory[[#This Row],[Mdl Land Intercept]]+Inventory[[#This Row],[Mdl LnAcres]],-2)</f>
        <v>38900</v>
      </c>
      <c r="BE1222" s="25">
        <f>Inventory[[#This Row],[Unadj Res Value]]+Inventory[[#This Row],[Unadj Det Value]]+Inventory[[#This Row],[Unadj Land Value]]</f>
        <v>387900</v>
      </c>
      <c r="BF1222" s="36">
        <f>(Inventory[[#This Row],[Unadj Total Value]]-Inventory[[#This Row],[24Final]])/Inventory[[#This Row],[24Final]]</f>
        <v>9.9489795918367346E-2</v>
      </c>
      <c r="BG1222" s="25">
        <f>VLOOKUP(Inventory[[#This Row],[Nbhd]],Lookups!$Q$2:$T$4,4,FALSE)</f>
        <v>0.99970000000000003</v>
      </c>
      <c r="BH1222" s="25">
        <f>VLOOKUP(Inventory[[#This Row],[Qlty]],Lookups!$O$7:$R$21,4,FALSE)</f>
        <v>1.0067999999999999</v>
      </c>
      <c r="BI1222" s="25">
        <f>VLOOKUP(Inventory[[#This Row],[Cnd]],Lookups!$T$7:$W$16,4,FALSE)</f>
        <v>0.99650000000000005</v>
      </c>
      <c r="BJ1222" s="25">
        <f>VLOOKUP(Inventory[[#This Row],[LivArea Range]],Lookups!$T$25:$W$37,4,FALSE)</f>
        <v>1.0093000000000001</v>
      </c>
      <c r="BK1222" s="25">
        <f>VLOOKUP(Inventory[[#This Row],[Decade]],Lookups!$O$25:$R$42,4,FALSE)</f>
        <v>0.98909999999999998</v>
      </c>
      <c r="BL1222" s="25">
        <f>Inventory[[#This Row],[Nbhd Adj]]*0.95</f>
        <v>0.94971499999999998</v>
      </c>
      <c r="BM1222" s="25">
        <f>Inventory[[#This Row],[Nbhd Adj]]*Inventory[[#This Row],[Quality Adj]]*Inventory[[#This Row],[Condition Adj]]*Inventory[[#This Row],[Living Area Adj]]*Inventory[[#This Row],[Decade Adj]]*0.95</f>
        <v>0.95120534593507355</v>
      </c>
      <c r="BN1222" s="25">
        <f>ROUND(SUM(Inventory[[#This Row],[Mdl Qlty]:[Mdl WdDeck]])+Inventory[[#This Row],[Mdl Res Intercept]]*Inventory[[#This Row],[Res Adj ]],-2)</f>
        <v>342000</v>
      </c>
      <c r="BO1222" s="25">
        <f>ROUND(Inventory[[#This Row],[25Det]]*Inventory[[#This Row],[Det/Nbhd Adj]],-2)</f>
        <v>6600</v>
      </c>
      <c r="BP1222" s="25">
        <f>Inventory[[#This Row],[Adjusted Res]]+Inventory[[#This Row],[Adj Det ]]</f>
        <v>348600</v>
      </c>
      <c r="BQ1222" s="25">
        <f>ROUND((Inventory[[#This Row],[Mdl Land Intercept]]+Inventory[[#This Row],[Mdl LnAcres]])*Inventory[[#This Row],[Det/Nbhd Adj]],-2)</f>
        <v>36900</v>
      </c>
      <c r="BR1222" s="25">
        <f>Inventory[[#This Row],[Adjusted Impr Total]]+Inventory[[#This Row],[Adjusted Land Total]]</f>
        <v>385500</v>
      </c>
      <c r="BS1222" s="36">
        <f>IFERROR((Inventory[[#This Row],[Adjusted Impr Total]]-Inventory[[#This Row],[24Bldg]])/Inventory[[#This Row],[24Bldg]],0)</f>
        <v>0.18410326086956522</v>
      </c>
      <c r="BT1222" s="36">
        <f>(Inventory[[#This Row],[Adjusted Land Total]]-Inventory[[#This Row],[24Lnd]])/Inventory[[#This Row],[24Lnd]]</f>
        <v>-0.36815068493150682</v>
      </c>
      <c r="BU1222" s="36">
        <f>(Inventory[[#This Row],[Adjusted Total]]-Inventory[[#This Row],[24Final]])/Inventory[[#This Row],[24Final]]</f>
        <v>9.2687074829931979E-2</v>
      </c>
    </row>
    <row r="1223" spans="1:73" x14ac:dyDescent="0.3">
      <c r="A1223" s="25">
        <v>2025</v>
      </c>
      <c r="B1223" s="26" t="s">
        <v>789</v>
      </c>
      <c r="C1223" s="26">
        <f>LN(Inventory[[#This Row],[Acres]])</f>
        <v>-1.7147984280919266</v>
      </c>
      <c r="D1223" s="25">
        <v>0.18</v>
      </c>
      <c r="E1223" s="32">
        <v>8040</v>
      </c>
      <c r="F1223" s="26" t="s">
        <v>537</v>
      </c>
      <c r="G1223" s="26" t="s">
        <v>126</v>
      </c>
      <c r="H1223" s="26" t="s">
        <v>349</v>
      </c>
      <c r="I1223" s="26" t="s">
        <v>538</v>
      </c>
      <c r="J1223" s="26" t="s">
        <v>546</v>
      </c>
      <c r="K1223" s="26" t="s">
        <v>242</v>
      </c>
      <c r="L1223" s="26" t="s">
        <v>351</v>
      </c>
      <c r="M1223" s="26" t="s">
        <v>303</v>
      </c>
      <c r="N1223" s="26">
        <v>90</v>
      </c>
      <c r="O1223" s="26">
        <f>2024-Inventory[[#This Row],[YrBlt]]</f>
        <v>84</v>
      </c>
      <c r="P1223" s="26">
        <f>2024-Inventory[[#This Row],[EffYr]]</f>
        <v>52</v>
      </c>
      <c r="Q1223" s="25">
        <v>1940</v>
      </c>
      <c r="R1223" s="25">
        <v>1972</v>
      </c>
      <c r="S1223" s="25">
        <v>1038</v>
      </c>
      <c r="T1223" s="27"/>
      <c r="U1223" s="25">
        <v>1043</v>
      </c>
      <c r="V1223" s="32">
        <f>Inventory[[#This Row],[Bsmt]]-Inventory[[#This Row],[FnBsmt]]</f>
        <v>730</v>
      </c>
      <c r="W1223" s="32">
        <v>313</v>
      </c>
      <c r="X1223" s="27"/>
      <c r="Y1223" s="27">
        <f>Inventory[[#This Row],[MainFn]]+Inventory[[#This Row],[UpprFn]]+Inventory[[#This Row],[FnBsmt]]+Inventory[[#This Row],[AddFn]]</f>
        <v>1351</v>
      </c>
      <c r="Z1223" s="27">
        <v>1500</v>
      </c>
      <c r="AA1223" s="25">
        <v>5</v>
      </c>
      <c r="AB1223" s="27"/>
      <c r="AC1223" s="27"/>
      <c r="AD1223" s="31"/>
      <c r="AE1223" s="27"/>
      <c r="AF1223" s="27"/>
      <c r="AG1223" s="27"/>
      <c r="AH1223" s="27"/>
      <c r="AI1223" s="25">
        <v>229865</v>
      </c>
      <c r="AJ1223" s="25">
        <v>160906</v>
      </c>
      <c r="AK1223" s="25">
        <v>6394</v>
      </c>
      <c r="AL1223" s="25">
        <v>318800</v>
      </c>
      <c r="AM1223" s="25">
        <v>54700</v>
      </c>
      <c r="AN1223" s="25">
        <v>264100</v>
      </c>
      <c r="AO1223" s="25">
        <v>0</v>
      </c>
      <c r="AP1223" s="25">
        <f>Lookups!$B$56*0</f>
        <v>0</v>
      </c>
      <c r="AQ1223" s="25">
        <f>Lookups!$B$56*1</f>
        <v>89850.625589999996</v>
      </c>
      <c r="AR1223" s="25">
        <f>Lookups!$B$57*Inventory[[#This Row],[LnAcres]]</f>
        <v>-54281.285314520763</v>
      </c>
      <c r="AS1223" s="25">
        <f>VLOOKUP(Inventory[[#This Row],[Qlty]],Lookups!$A$62:$E$75,2,FALSE)</f>
        <v>21557.329055999999</v>
      </c>
      <c r="AT1223" s="25">
        <f>VLOOKUP(Inventory[[#This Row],[Cnd]],Lookups!$A$76:$E$84,2,FALSE)</f>
        <v>197752.34721000001</v>
      </c>
      <c r="AU1223" s="25">
        <f>Inventory[[#This Row],[EffAge]]*Lookups!$B$85</f>
        <v>-11598.371226000001</v>
      </c>
      <c r="AV1223" s="25">
        <f>Inventory[[#This Row],[MainFn]]*Lookups!$B$86</f>
        <v>51286.199332326003</v>
      </c>
      <c r="AW1223" s="25">
        <f>Inventory[[#This Row],[UpprFn]]*Lookups!$B$87</f>
        <v>0</v>
      </c>
      <c r="AX1223" s="25">
        <f>Inventory[[#This Row],[AddFn]]*Lookups!$B$88</f>
        <v>0</v>
      </c>
      <c r="AY1223" s="25">
        <f>Inventory[[#This Row],[Bsmt]]*Lookups!$B$89</f>
        <v>30332.416742620997</v>
      </c>
      <c r="AZ1223" s="25">
        <f>Inventory[[#This Row],[Fixtures]]*Lookups!$B$90</f>
        <v>18960.110526</v>
      </c>
      <c r="BA1223" s="25">
        <f>Inventory[[#This Row],[WdDeck]]*Lookups!$B$91</f>
        <v>0</v>
      </c>
      <c r="BB1223" s="25">
        <f>ROUND(Inventory[[#This Row],[25Det]],-2)</f>
        <v>6400</v>
      </c>
      <c r="BC1223" s="25">
        <f>ROUND(SUM(Inventory[[#This Row],[Mdl Qlty]:[Mdl WdDeck]])+Inventory[[#This Row],[Mdl Res Intercept]],-2)</f>
        <v>308300</v>
      </c>
      <c r="BD1223" s="25">
        <f>ROUND(Inventory[[#This Row],[Mdl Land Intercept]]+Inventory[[#This Row],[Mdl LnAcres]],-2)</f>
        <v>35600</v>
      </c>
      <c r="BE1223" s="25">
        <f>Inventory[[#This Row],[Unadj Res Value]]+Inventory[[#This Row],[Unadj Det Value]]+Inventory[[#This Row],[Unadj Land Value]]</f>
        <v>350300</v>
      </c>
      <c r="BF1223" s="36">
        <f>(Inventory[[#This Row],[Unadj Total Value]]-Inventory[[#This Row],[24Final]])/Inventory[[#This Row],[24Final]]</f>
        <v>9.8808030112923467E-2</v>
      </c>
      <c r="BG1223" s="25">
        <f>VLOOKUP(Inventory[[#This Row],[Nbhd]],Lookups!$Q$2:$T$4,4,FALSE)</f>
        <v>0.99970000000000003</v>
      </c>
      <c r="BH1223" s="25">
        <f>VLOOKUP(Inventory[[#This Row],[Qlty]],Lookups!$O$7:$R$21,4,FALSE)</f>
        <v>1.0067999999999999</v>
      </c>
      <c r="BI1223" s="25">
        <f>VLOOKUP(Inventory[[#This Row],[Cnd]],Lookups!$T$7:$W$16,4,FALSE)</f>
        <v>0.99650000000000005</v>
      </c>
      <c r="BJ1223" s="25">
        <f>VLOOKUP(Inventory[[#This Row],[LivArea Range]],Lookups!$T$25:$W$37,4,FALSE)</f>
        <v>1.0157</v>
      </c>
      <c r="BK1223" s="25">
        <f>VLOOKUP(Inventory[[#This Row],[Decade]],Lookups!$O$25:$R$42,4,FALSE)</f>
        <v>0.98909999999999998</v>
      </c>
      <c r="BL1223" s="25">
        <f>Inventory[[#This Row],[Nbhd Adj]]*0.95</f>
        <v>0.94971499999999998</v>
      </c>
      <c r="BM1223" s="25">
        <f>Inventory[[#This Row],[Nbhd Adj]]*Inventory[[#This Row],[Quality Adj]]*Inventory[[#This Row],[Condition Adj]]*Inventory[[#This Row],[Living Area Adj]]*Inventory[[#This Row],[Decade Adj]]*0.95</f>
        <v>0.95723696608169473</v>
      </c>
      <c r="BN1223" s="25">
        <f>ROUND(SUM(Inventory[[#This Row],[Mdl Qlty]:[Mdl WdDeck]])+Inventory[[#This Row],[Mdl Res Intercept]]*Inventory[[#This Row],[Res Adj ]],-2)</f>
        <v>308300</v>
      </c>
      <c r="BO1223" s="25">
        <f>ROUND(Inventory[[#This Row],[25Det]]*Inventory[[#This Row],[Det/Nbhd Adj]],-2)</f>
        <v>6100</v>
      </c>
      <c r="BP1223" s="25">
        <f>Inventory[[#This Row],[Adjusted Res]]+Inventory[[#This Row],[Adj Det ]]</f>
        <v>314400</v>
      </c>
      <c r="BQ1223" s="25">
        <f>ROUND((Inventory[[#This Row],[Mdl Land Intercept]]+Inventory[[#This Row],[Mdl LnAcres]])*Inventory[[#This Row],[Det/Nbhd Adj]],-2)</f>
        <v>33800</v>
      </c>
      <c r="BR1223" s="25">
        <f>Inventory[[#This Row],[Adjusted Impr Total]]+Inventory[[#This Row],[Adjusted Land Total]]</f>
        <v>348200</v>
      </c>
      <c r="BS1223" s="36">
        <f>IFERROR((Inventory[[#This Row],[Adjusted Impr Total]]-Inventory[[#This Row],[24Bldg]])/Inventory[[#This Row],[24Bldg]],0)</f>
        <v>0.1904581597879591</v>
      </c>
      <c r="BT1223" s="36">
        <f>(Inventory[[#This Row],[Adjusted Land Total]]-Inventory[[#This Row],[24Lnd]])/Inventory[[#This Row],[24Lnd]]</f>
        <v>-0.38208409506398539</v>
      </c>
      <c r="BU1223" s="36">
        <f>(Inventory[[#This Row],[Adjusted Total]]-Inventory[[#This Row],[24Final]])/Inventory[[#This Row],[24Final]]</f>
        <v>9.2220828105395239E-2</v>
      </c>
    </row>
    <row r="1224" spans="1:73" x14ac:dyDescent="0.3">
      <c r="A1224" s="25">
        <v>2025</v>
      </c>
      <c r="B1224" s="26" t="s">
        <v>784</v>
      </c>
      <c r="C1224" s="26">
        <f>LN(Inventory[[#This Row],[Acres]])</f>
        <v>-1.7147984280919266</v>
      </c>
      <c r="D1224" s="25">
        <v>0.18</v>
      </c>
      <c r="E1224" s="32">
        <v>8040</v>
      </c>
      <c r="F1224" s="26" t="s">
        <v>537</v>
      </c>
      <c r="G1224" s="26" t="s">
        <v>126</v>
      </c>
      <c r="H1224" s="26" t="s">
        <v>349</v>
      </c>
      <c r="I1224" s="26" t="s">
        <v>538</v>
      </c>
      <c r="J1224" s="26" t="s">
        <v>539</v>
      </c>
      <c r="K1224" s="26" t="s">
        <v>242</v>
      </c>
      <c r="L1224" s="26" t="s">
        <v>351</v>
      </c>
      <c r="M1224" s="26" t="s">
        <v>323</v>
      </c>
      <c r="N1224" s="26">
        <v>90</v>
      </c>
      <c r="O1224" s="26">
        <f>2024-Inventory[[#This Row],[YrBlt]]</f>
        <v>84</v>
      </c>
      <c r="P1224" s="26">
        <f>2024-Inventory[[#This Row],[EffYr]]</f>
        <v>52</v>
      </c>
      <c r="Q1224" s="25">
        <v>1940</v>
      </c>
      <c r="R1224" s="25">
        <v>1972</v>
      </c>
      <c r="S1224" s="25">
        <v>862</v>
      </c>
      <c r="T1224" s="27"/>
      <c r="U1224" s="25">
        <v>742</v>
      </c>
      <c r="V1224" s="25">
        <f>Inventory[[#This Row],[Bsmt]]-Inventory[[#This Row],[FnBsmt]]</f>
        <v>742</v>
      </c>
      <c r="W1224" s="31"/>
      <c r="X1224" s="27"/>
      <c r="Y1224" s="27">
        <f>Inventory[[#This Row],[MainFn]]+Inventory[[#This Row],[UpprFn]]+Inventory[[#This Row],[FnBsmt]]+Inventory[[#This Row],[AddFn]]</f>
        <v>862</v>
      </c>
      <c r="Z1224" s="27">
        <v>1000</v>
      </c>
      <c r="AA1224" s="25">
        <v>5</v>
      </c>
      <c r="AB1224" s="27"/>
      <c r="AC1224" s="27"/>
      <c r="AD1224" s="31"/>
      <c r="AE1224" s="27"/>
      <c r="AF1224" s="27"/>
      <c r="AG1224" s="27"/>
      <c r="AH1224" s="27"/>
      <c r="AI1224" s="25">
        <v>172678</v>
      </c>
      <c r="AJ1224" s="25">
        <v>117421</v>
      </c>
      <c r="AK1224" s="25">
        <v>8321</v>
      </c>
      <c r="AL1224" s="25">
        <v>270400</v>
      </c>
      <c r="AM1224" s="25">
        <v>54700</v>
      </c>
      <c r="AN1224" s="25">
        <v>215700</v>
      </c>
      <c r="AO1224" s="25">
        <v>0</v>
      </c>
      <c r="AP1224" s="25">
        <f>Lookups!$B$56*0</f>
        <v>0</v>
      </c>
      <c r="AQ1224" s="25">
        <f>Lookups!$B$56*1</f>
        <v>89850.625589999996</v>
      </c>
      <c r="AR1224" s="25">
        <f>Lookups!$B$57*Inventory[[#This Row],[LnAcres]]</f>
        <v>-54281.285314520763</v>
      </c>
      <c r="AS1224" s="25">
        <f>VLOOKUP(Inventory[[#This Row],[Qlty]],Lookups!$A$62:$E$75,2,FALSE)</f>
        <v>21557.329055999999</v>
      </c>
      <c r="AT1224" s="25">
        <f>VLOOKUP(Inventory[[#This Row],[Cnd]],Lookups!$A$76:$E$84,2,FALSE)</f>
        <v>160472.20319</v>
      </c>
      <c r="AU1224" s="25">
        <f>Inventory[[#This Row],[EffAge]]*Lookups!$B$85</f>
        <v>-11598.371226000001</v>
      </c>
      <c r="AV1224" s="25">
        <f>Inventory[[#This Row],[MainFn]]*Lookups!$B$86</f>
        <v>42590.273433973998</v>
      </c>
      <c r="AW1224" s="25">
        <f>Inventory[[#This Row],[UpprFn]]*Lookups!$B$87</f>
        <v>0</v>
      </c>
      <c r="AX1224" s="25">
        <f>Inventory[[#This Row],[AddFn]]*Lookups!$B$88</f>
        <v>0</v>
      </c>
      <c r="AY1224" s="25">
        <f>Inventory[[#This Row],[Bsmt]]*Lookups!$B$89</f>
        <v>21578.766273273999</v>
      </c>
      <c r="AZ1224" s="25">
        <f>Inventory[[#This Row],[Fixtures]]*Lookups!$B$90</f>
        <v>18960.110526</v>
      </c>
      <c r="BA1224" s="25">
        <f>Inventory[[#This Row],[WdDeck]]*Lookups!$B$91</f>
        <v>0</v>
      </c>
      <c r="BB1224" s="25">
        <f>ROUND(Inventory[[#This Row],[25Det]],-2)</f>
        <v>8300</v>
      </c>
      <c r="BC1224" s="25">
        <f>ROUND(SUM(Inventory[[#This Row],[Mdl Qlty]:[Mdl WdDeck]])+Inventory[[#This Row],[Mdl Res Intercept]],-2)</f>
        <v>253600</v>
      </c>
      <c r="BD1224" s="25">
        <f>ROUND(Inventory[[#This Row],[Mdl Land Intercept]]+Inventory[[#This Row],[Mdl LnAcres]],-2)</f>
        <v>35600</v>
      </c>
      <c r="BE1224" s="25">
        <f>Inventory[[#This Row],[Unadj Res Value]]+Inventory[[#This Row],[Unadj Det Value]]+Inventory[[#This Row],[Unadj Land Value]]</f>
        <v>297500</v>
      </c>
      <c r="BF1224" s="36">
        <f>(Inventory[[#This Row],[Unadj Total Value]]-Inventory[[#This Row],[24Final]])/Inventory[[#This Row],[24Final]]</f>
        <v>0.10022189349112426</v>
      </c>
      <c r="BG1224" s="25">
        <f>VLOOKUP(Inventory[[#This Row],[Nbhd]],Lookups!$Q$2:$T$4,4,FALSE)</f>
        <v>0.99970000000000003</v>
      </c>
      <c r="BH1224" s="25">
        <f>VLOOKUP(Inventory[[#This Row],[Qlty]],Lookups!$O$7:$R$21,4,FALSE)</f>
        <v>1.0067999999999999</v>
      </c>
      <c r="BI1224" s="25">
        <f>VLOOKUP(Inventory[[#This Row],[Cnd]],Lookups!$T$7:$W$16,4,FALSE)</f>
        <v>0.99729999999999996</v>
      </c>
      <c r="BJ1224" s="25">
        <f>VLOOKUP(Inventory[[#This Row],[LivArea Range]],Lookups!$T$25:$W$37,4,FALSE)</f>
        <v>1.0148999999999999</v>
      </c>
      <c r="BK1224" s="25">
        <f>VLOOKUP(Inventory[[#This Row],[Decade]],Lookups!$O$25:$R$42,4,FALSE)</f>
        <v>0.98909999999999998</v>
      </c>
      <c r="BL1224" s="25">
        <f>Inventory[[#This Row],[Nbhd Adj]]*0.95</f>
        <v>0.94971499999999998</v>
      </c>
      <c r="BM1224" s="25">
        <f>Inventory[[#This Row],[Nbhd Adj]]*Inventory[[#This Row],[Quality Adj]]*Inventory[[#This Row],[Condition Adj]]*Inventory[[#This Row],[Living Area Adj]]*Inventory[[#This Row],[Decade Adj]]*0.95</f>
        <v>0.95725088753311172</v>
      </c>
      <c r="BN1224" s="25">
        <f>ROUND(SUM(Inventory[[#This Row],[Mdl Qlty]:[Mdl WdDeck]])+Inventory[[#This Row],[Mdl Res Intercept]]*Inventory[[#This Row],[Res Adj ]],-2)</f>
        <v>253600</v>
      </c>
      <c r="BO1224" s="25">
        <f>ROUND(Inventory[[#This Row],[25Det]]*Inventory[[#This Row],[Det/Nbhd Adj]],-2)</f>
        <v>7900</v>
      </c>
      <c r="BP1224" s="25">
        <f>Inventory[[#This Row],[Adjusted Res]]+Inventory[[#This Row],[Adj Det ]]</f>
        <v>261500</v>
      </c>
      <c r="BQ1224" s="25">
        <f>ROUND((Inventory[[#This Row],[Mdl Land Intercept]]+Inventory[[#This Row],[Mdl LnAcres]])*Inventory[[#This Row],[Det/Nbhd Adj]],-2)</f>
        <v>33800</v>
      </c>
      <c r="BR1224" s="25">
        <f>Inventory[[#This Row],[Adjusted Impr Total]]+Inventory[[#This Row],[Adjusted Land Total]]</f>
        <v>295300</v>
      </c>
      <c r="BS1224" s="36">
        <f>IFERROR((Inventory[[#This Row],[Adjusted Impr Total]]-Inventory[[#This Row],[24Bldg]])/Inventory[[#This Row],[24Bldg]],0)</f>
        <v>0.2123319425127492</v>
      </c>
      <c r="BT1224" s="36">
        <f>(Inventory[[#This Row],[Adjusted Land Total]]-Inventory[[#This Row],[24Lnd]])/Inventory[[#This Row],[24Lnd]]</f>
        <v>-0.38208409506398539</v>
      </c>
      <c r="BU1224" s="36">
        <f>(Inventory[[#This Row],[Adjusted Total]]-Inventory[[#This Row],[24Final]])/Inventory[[#This Row],[24Final]]</f>
        <v>9.2085798816568046E-2</v>
      </c>
    </row>
    <row r="1225" spans="1:73" x14ac:dyDescent="0.3">
      <c r="A1225" s="25">
        <v>2025</v>
      </c>
      <c r="B1225" s="26" t="s">
        <v>2402</v>
      </c>
      <c r="C1225" s="26">
        <f>LN(Inventory[[#This Row],[Acres]])</f>
        <v>-1.7719568419318752</v>
      </c>
      <c r="D1225" s="25">
        <v>0.17</v>
      </c>
      <c r="E1225" s="32">
        <v>7205</v>
      </c>
      <c r="F1225" s="26" t="s">
        <v>537</v>
      </c>
      <c r="G1225" s="26" t="s">
        <v>126</v>
      </c>
      <c r="H1225" s="26" t="s">
        <v>349</v>
      </c>
      <c r="I1225" s="26" t="s">
        <v>538</v>
      </c>
      <c r="J1225" s="26" t="s">
        <v>539</v>
      </c>
      <c r="K1225" s="26" t="s">
        <v>147</v>
      </c>
      <c r="L1225" s="26" t="s">
        <v>148</v>
      </c>
      <c r="M1225" s="26" t="s">
        <v>303</v>
      </c>
      <c r="N1225" s="26">
        <v>90</v>
      </c>
      <c r="O1225" s="26">
        <f>2024-Inventory[[#This Row],[YrBlt]]</f>
        <v>84</v>
      </c>
      <c r="P1225" s="26">
        <f>2024-Inventory[[#This Row],[EffYr]]</f>
        <v>32</v>
      </c>
      <c r="Q1225" s="25">
        <v>1940</v>
      </c>
      <c r="R1225" s="25">
        <v>1992</v>
      </c>
      <c r="S1225" s="25">
        <v>1273</v>
      </c>
      <c r="T1225" s="32">
        <v>928</v>
      </c>
      <c r="U1225" s="25">
        <v>1273</v>
      </c>
      <c r="V1225" s="25">
        <f>Inventory[[#This Row],[Bsmt]]-Inventory[[#This Row],[FnBsmt]]</f>
        <v>0</v>
      </c>
      <c r="W1225" s="25">
        <v>1273</v>
      </c>
      <c r="X1225" s="27"/>
      <c r="Y1225" s="27">
        <f>Inventory[[#This Row],[MainFn]]+Inventory[[#This Row],[UpprFn]]+Inventory[[#This Row],[FnBsmt]]+Inventory[[#This Row],[AddFn]]</f>
        <v>3474</v>
      </c>
      <c r="Z1225" s="27">
        <v>3500</v>
      </c>
      <c r="AA1225" s="25">
        <v>12</v>
      </c>
      <c r="AB1225" s="31"/>
      <c r="AC1225" s="27"/>
      <c r="AD1225" s="32">
        <v>408</v>
      </c>
      <c r="AE1225" s="27"/>
      <c r="AF1225" s="27"/>
      <c r="AG1225" s="27"/>
      <c r="AH1225" s="27"/>
      <c r="AI1225" s="25">
        <v>558744</v>
      </c>
      <c r="AJ1225" s="25">
        <v>480520</v>
      </c>
      <c r="AK1225" s="25">
        <v>9040</v>
      </c>
      <c r="AL1225" s="25">
        <v>435900</v>
      </c>
      <c r="AM1225" s="25">
        <v>52700</v>
      </c>
      <c r="AN1225" s="25">
        <v>383200</v>
      </c>
      <c r="AO1225" s="25">
        <v>0</v>
      </c>
      <c r="AP1225" s="25">
        <f>Lookups!$B$56*0</f>
        <v>0</v>
      </c>
      <c r="AQ1225" s="25">
        <f>Lookups!$B$56*1</f>
        <v>89850.625589999996</v>
      </c>
      <c r="AR1225" s="25">
        <f>Lookups!$B$57*Inventory[[#This Row],[LnAcres]]</f>
        <v>-56090.612940989391</v>
      </c>
      <c r="AS1225" s="25">
        <f>VLOOKUP(Inventory[[#This Row],[Qlty]],Lookups!$A$62:$E$75,2,FALSE)</f>
        <v>44121.038090000002</v>
      </c>
      <c r="AT1225" s="25">
        <f>VLOOKUP(Inventory[[#This Row],[Cnd]],Lookups!$A$76:$E$84,2,FALSE)</f>
        <v>197752.34721000001</v>
      </c>
      <c r="AU1225" s="25">
        <f>Inventory[[#This Row],[EffAge]]*Lookups!$B$85</f>
        <v>-7137.4592160000002</v>
      </c>
      <c r="AV1225" s="25">
        <f>Inventory[[#This Row],[MainFn]]*Lookups!$B$86</f>
        <v>62897.236753420999</v>
      </c>
      <c r="AW1225" s="25">
        <f>Inventory[[#This Row],[UpprFn]]*Lookups!$B$87</f>
        <v>41561.800415008001</v>
      </c>
      <c r="AX1225" s="25">
        <f>Inventory[[#This Row],[AddFn]]*Lookups!$B$88</f>
        <v>0</v>
      </c>
      <c r="AY1225" s="25">
        <f>Inventory[[#This Row],[Bsmt]]*Lookups!$B$89</f>
        <v>37021.252649431</v>
      </c>
      <c r="AZ1225" s="25">
        <f>Inventory[[#This Row],[Fixtures]]*Lookups!$B$90</f>
        <v>45504.265262400004</v>
      </c>
      <c r="BA1225" s="25">
        <f>Inventory[[#This Row],[WdDeck]]*Lookups!$B$91</f>
        <v>13584.570232608001</v>
      </c>
      <c r="BB1225" s="25">
        <f>ROUND(Inventory[[#This Row],[25Det]],-2)</f>
        <v>9000</v>
      </c>
      <c r="BC1225" s="25">
        <f>ROUND(SUM(Inventory[[#This Row],[Mdl Qlty]:[Mdl WdDeck]])+Inventory[[#This Row],[Mdl Res Intercept]],-2)</f>
        <v>435300</v>
      </c>
      <c r="BD1225" s="25">
        <f>ROUND(Inventory[[#This Row],[Mdl Land Intercept]]+Inventory[[#This Row],[Mdl LnAcres]],-2)</f>
        <v>33800</v>
      </c>
      <c r="BE1225" s="25">
        <f>Inventory[[#This Row],[Unadj Res Value]]+Inventory[[#This Row],[Unadj Det Value]]+Inventory[[#This Row],[Unadj Land Value]]</f>
        <v>478100</v>
      </c>
      <c r="BF1225" s="36">
        <f>(Inventory[[#This Row],[Unadj Total Value]]-Inventory[[#This Row],[24Final]])/Inventory[[#This Row],[24Final]]</f>
        <v>9.6811195228263369E-2</v>
      </c>
      <c r="BG1225" s="25">
        <f>VLOOKUP(Inventory[[#This Row],[Nbhd]],Lookups!$Q$2:$T$4,4,FALSE)</f>
        <v>0.99970000000000003</v>
      </c>
      <c r="BH1225" s="25">
        <f>VLOOKUP(Inventory[[#This Row],[Qlty]],Lookups!$O$7:$R$21,4,FALSE)</f>
        <v>0.98050000000000004</v>
      </c>
      <c r="BI1225" s="25">
        <f>VLOOKUP(Inventory[[#This Row],[Cnd]],Lookups!$T$7:$W$16,4,FALSE)</f>
        <v>0.99650000000000005</v>
      </c>
      <c r="BJ1225" s="25">
        <f>VLOOKUP(Inventory[[#This Row],[LivArea Range]],Lookups!$T$25:$W$37,4,FALSE)</f>
        <v>1.0126999999999999</v>
      </c>
      <c r="BK1225" s="25">
        <f>VLOOKUP(Inventory[[#This Row],[Decade]],Lookups!$O$25:$R$42,4,FALSE)</f>
        <v>0.98909999999999998</v>
      </c>
      <c r="BL1225" s="25">
        <f>Inventory[[#This Row],[Nbhd Adj]]*0.95</f>
        <v>0.94971499999999998</v>
      </c>
      <c r="BM1225" s="25">
        <f>Inventory[[#This Row],[Nbhd Adj]]*Inventory[[#This Row],[Quality Adj]]*Inventory[[#This Row],[Condition Adj]]*Inventory[[#This Row],[Living Area Adj]]*Inventory[[#This Row],[Decade Adj]]*0.95</f>
        <v>0.92947820428811667</v>
      </c>
      <c r="BN1225" s="25">
        <f>ROUND(SUM(Inventory[[#This Row],[Mdl Qlty]:[Mdl WdDeck]])+Inventory[[#This Row],[Mdl Res Intercept]]*Inventory[[#This Row],[Res Adj ]],-2)</f>
        <v>435300</v>
      </c>
      <c r="BO1225" s="25">
        <f>ROUND(Inventory[[#This Row],[25Det]]*Inventory[[#This Row],[Det/Nbhd Adj]],-2)</f>
        <v>8600</v>
      </c>
      <c r="BP1225" s="25">
        <f>Inventory[[#This Row],[Adjusted Res]]+Inventory[[#This Row],[Adj Det ]]</f>
        <v>443900</v>
      </c>
      <c r="BQ1225" s="25">
        <f>ROUND((Inventory[[#This Row],[Mdl Land Intercept]]+Inventory[[#This Row],[Mdl LnAcres]])*Inventory[[#This Row],[Det/Nbhd Adj]],-2)</f>
        <v>32100</v>
      </c>
      <c r="BR1225" s="25">
        <f>Inventory[[#This Row],[Adjusted Impr Total]]+Inventory[[#This Row],[Adjusted Land Total]]</f>
        <v>476000</v>
      </c>
      <c r="BS1225" s="36">
        <f>IFERROR((Inventory[[#This Row],[Adjusted Impr Total]]-Inventory[[#This Row],[24Bldg]])/Inventory[[#This Row],[24Bldg]],0)</f>
        <v>0.15840292275574114</v>
      </c>
      <c r="BT1225" s="36">
        <f>(Inventory[[#This Row],[Adjusted Land Total]]-Inventory[[#This Row],[24Lnd]])/Inventory[[#This Row],[24Lnd]]</f>
        <v>-0.39089184060721061</v>
      </c>
      <c r="BU1225" s="36">
        <f>(Inventory[[#This Row],[Adjusted Total]]-Inventory[[#This Row],[24Final]])/Inventory[[#This Row],[24Final]]</f>
        <v>9.1993576508373476E-2</v>
      </c>
    </row>
    <row r="1226" spans="1:73" x14ac:dyDescent="0.3">
      <c r="A1226" s="25">
        <v>2025</v>
      </c>
      <c r="B1226" s="26" t="s">
        <v>1867</v>
      </c>
      <c r="C1226" s="26">
        <f>LN(Inventory[[#This Row],[Acres]])</f>
        <v>-1.4696759700589417</v>
      </c>
      <c r="D1226" s="25">
        <v>0.23</v>
      </c>
      <c r="E1226" s="27"/>
      <c r="F1226" s="26" t="s">
        <v>537</v>
      </c>
      <c r="G1226" s="26" t="s">
        <v>126</v>
      </c>
      <c r="H1226" s="26" t="s">
        <v>349</v>
      </c>
      <c r="I1226" s="26" t="s">
        <v>538</v>
      </c>
      <c r="J1226" s="26" t="s">
        <v>539</v>
      </c>
      <c r="K1226" s="26" t="s">
        <v>242</v>
      </c>
      <c r="L1226" s="26" t="s">
        <v>351</v>
      </c>
      <c r="M1226" s="26" t="s">
        <v>303</v>
      </c>
      <c r="N1226" s="26">
        <v>90</v>
      </c>
      <c r="O1226" s="26">
        <f>2024-Inventory[[#This Row],[YrBlt]]</f>
        <v>84</v>
      </c>
      <c r="P1226" s="26">
        <f>2024-Inventory[[#This Row],[EffYr]]</f>
        <v>52</v>
      </c>
      <c r="Q1226" s="25">
        <v>1940</v>
      </c>
      <c r="R1226" s="25">
        <v>1972</v>
      </c>
      <c r="S1226" s="25">
        <v>1677</v>
      </c>
      <c r="T1226" s="27"/>
      <c r="U1226" s="31"/>
      <c r="V1226" s="31">
        <f>Inventory[[#This Row],[Bsmt]]-Inventory[[#This Row],[FnBsmt]]</f>
        <v>0</v>
      </c>
      <c r="W1226" s="31"/>
      <c r="X1226" s="27"/>
      <c r="Y1226" s="27">
        <f>Inventory[[#This Row],[MainFn]]+Inventory[[#This Row],[UpprFn]]+Inventory[[#This Row],[FnBsmt]]+Inventory[[#This Row],[AddFn]]</f>
        <v>1677</v>
      </c>
      <c r="Z1226" s="27">
        <v>2000</v>
      </c>
      <c r="AA1226" s="25">
        <v>5</v>
      </c>
      <c r="AB1226" s="27"/>
      <c r="AC1226" s="27"/>
      <c r="AD1226" s="31"/>
      <c r="AE1226" s="27"/>
      <c r="AF1226" s="27"/>
      <c r="AG1226" s="27"/>
      <c r="AH1226" s="27"/>
      <c r="AI1226" s="25">
        <v>236822</v>
      </c>
      <c r="AJ1226" s="25">
        <v>165775</v>
      </c>
      <c r="AK1226" s="25">
        <v>11735</v>
      </c>
      <c r="AL1226" s="25">
        <v>331400</v>
      </c>
      <c r="AM1226" s="25">
        <v>63300</v>
      </c>
      <c r="AN1226" s="25">
        <v>268100</v>
      </c>
      <c r="AO1226" s="25">
        <v>0</v>
      </c>
      <c r="AP1226" s="25">
        <f>Lookups!$B$56*0</f>
        <v>0</v>
      </c>
      <c r="AQ1226" s="25">
        <f>Lookups!$B$56*1</f>
        <v>89850.625589999996</v>
      </c>
      <c r="AR1226" s="25">
        <f>Lookups!$B$57*Inventory[[#This Row],[LnAcres]]</f>
        <v>-46522.028095997222</v>
      </c>
      <c r="AS1226" s="25">
        <f>VLOOKUP(Inventory[[#This Row],[Qlty]],Lookups!$A$62:$E$75,2,FALSE)</f>
        <v>21557.329055999999</v>
      </c>
      <c r="AT1226" s="25">
        <f>VLOOKUP(Inventory[[#This Row],[Cnd]],Lookups!$A$76:$E$84,2,FALSE)</f>
        <v>197752.34721000001</v>
      </c>
      <c r="AU1226" s="25">
        <f>Inventory[[#This Row],[EffAge]]*Lookups!$B$85</f>
        <v>-11598.371226000001</v>
      </c>
      <c r="AV1226" s="25">
        <f>Inventory[[#This Row],[MainFn]]*Lookups!$B$86</f>
        <v>82858.339383729006</v>
      </c>
      <c r="AW1226" s="25">
        <f>Inventory[[#This Row],[UpprFn]]*Lookups!$B$87</f>
        <v>0</v>
      </c>
      <c r="AX1226" s="25">
        <f>Inventory[[#This Row],[AddFn]]*Lookups!$B$88</f>
        <v>0</v>
      </c>
      <c r="AY1226" s="25">
        <f>Inventory[[#This Row],[Bsmt]]*Lookups!$B$89</f>
        <v>0</v>
      </c>
      <c r="AZ1226" s="25">
        <f>Inventory[[#This Row],[Fixtures]]*Lookups!$B$90</f>
        <v>18960.110526</v>
      </c>
      <c r="BA1226" s="25">
        <f>Inventory[[#This Row],[WdDeck]]*Lookups!$B$91</f>
        <v>0</v>
      </c>
      <c r="BB1226" s="25">
        <f>ROUND(Inventory[[#This Row],[25Det]],-2)</f>
        <v>11700</v>
      </c>
      <c r="BC1226" s="25">
        <f>ROUND(SUM(Inventory[[#This Row],[Mdl Qlty]:[Mdl WdDeck]])+Inventory[[#This Row],[Mdl Res Intercept]],-2)</f>
        <v>309500</v>
      </c>
      <c r="BD1226" s="25">
        <f>ROUND(Inventory[[#This Row],[Mdl Land Intercept]]+Inventory[[#This Row],[Mdl LnAcres]],-2)</f>
        <v>43300</v>
      </c>
      <c r="BE1226" s="25">
        <f>Inventory[[#This Row],[Unadj Res Value]]+Inventory[[#This Row],[Unadj Det Value]]+Inventory[[#This Row],[Unadj Land Value]]</f>
        <v>364500</v>
      </c>
      <c r="BF1226" s="36">
        <f>(Inventory[[#This Row],[Unadj Total Value]]-Inventory[[#This Row],[24Final]])/Inventory[[#This Row],[24Final]]</f>
        <v>9.9879299939649974E-2</v>
      </c>
      <c r="BG1226" s="25">
        <f>VLOOKUP(Inventory[[#This Row],[Nbhd]],Lookups!$Q$2:$T$4,4,FALSE)</f>
        <v>0.99970000000000003</v>
      </c>
      <c r="BH1226" s="25">
        <f>VLOOKUP(Inventory[[#This Row],[Qlty]],Lookups!$O$7:$R$21,4,FALSE)</f>
        <v>1.0067999999999999</v>
      </c>
      <c r="BI1226" s="25">
        <f>VLOOKUP(Inventory[[#This Row],[Cnd]],Lookups!$T$7:$W$16,4,FALSE)</f>
        <v>0.99650000000000005</v>
      </c>
      <c r="BJ1226" s="25">
        <f>VLOOKUP(Inventory[[#This Row],[LivArea Range]],Lookups!$T$25:$W$37,4,FALSE)</f>
        <v>1.0093000000000001</v>
      </c>
      <c r="BK1226" s="25">
        <f>VLOOKUP(Inventory[[#This Row],[Decade]],Lookups!$O$25:$R$42,4,FALSE)</f>
        <v>0.98909999999999998</v>
      </c>
      <c r="BL1226" s="25">
        <f>Inventory[[#This Row],[Nbhd Adj]]*0.95</f>
        <v>0.94971499999999998</v>
      </c>
      <c r="BM1226" s="25">
        <f>Inventory[[#This Row],[Nbhd Adj]]*Inventory[[#This Row],[Quality Adj]]*Inventory[[#This Row],[Condition Adj]]*Inventory[[#This Row],[Living Area Adj]]*Inventory[[#This Row],[Decade Adj]]*0.95</f>
        <v>0.95120534593507355</v>
      </c>
      <c r="BN1226" s="25">
        <f>ROUND(SUM(Inventory[[#This Row],[Mdl Qlty]:[Mdl WdDeck]])+Inventory[[#This Row],[Mdl Res Intercept]]*Inventory[[#This Row],[Res Adj ]],-2)</f>
        <v>309500</v>
      </c>
      <c r="BO1226" s="25">
        <f>ROUND(Inventory[[#This Row],[25Det]]*Inventory[[#This Row],[Det/Nbhd Adj]],-2)</f>
        <v>11100</v>
      </c>
      <c r="BP1226" s="25">
        <f>Inventory[[#This Row],[Adjusted Res]]+Inventory[[#This Row],[Adj Det ]]</f>
        <v>320600</v>
      </c>
      <c r="BQ1226" s="25">
        <f>ROUND((Inventory[[#This Row],[Mdl Land Intercept]]+Inventory[[#This Row],[Mdl LnAcres]])*Inventory[[#This Row],[Det/Nbhd Adj]],-2)</f>
        <v>41100</v>
      </c>
      <c r="BR1226" s="25">
        <f>Inventory[[#This Row],[Adjusted Impr Total]]+Inventory[[#This Row],[Adjusted Land Total]]</f>
        <v>361700</v>
      </c>
      <c r="BS1226" s="36">
        <f>IFERROR((Inventory[[#This Row],[Adjusted Impr Total]]-Inventory[[#This Row],[24Bldg]])/Inventory[[#This Row],[24Bldg]],0)</f>
        <v>0.195822454308094</v>
      </c>
      <c r="BT1226" s="36">
        <f>(Inventory[[#This Row],[Adjusted Land Total]]-Inventory[[#This Row],[24Lnd]])/Inventory[[#This Row],[24Lnd]]</f>
        <v>-0.35071090047393366</v>
      </c>
      <c r="BU1226" s="36">
        <f>(Inventory[[#This Row],[Adjusted Total]]-Inventory[[#This Row],[24Final]])/Inventory[[#This Row],[24Final]]</f>
        <v>9.1430295715147852E-2</v>
      </c>
    </row>
    <row r="1227" spans="1:73" x14ac:dyDescent="0.3">
      <c r="A1227" s="25">
        <v>2025</v>
      </c>
      <c r="B1227" s="26" t="s">
        <v>2743</v>
      </c>
      <c r="C1227" s="26">
        <f>LN(Inventory[[#This Row],[Acres]])</f>
        <v>-1.5141277326297755</v>
      </c>
      <c r="D1227" s="25">
        <v>0.22</v>
      </c>
      <c r="E1227" s="27"/>
      <c r="F1227" s="26" t="s">
        <v>537</v>
      </c>
      <c r="G1227" s="26" t="s">
        <v>126</v>
      </c>
      <c r="H1227" s="26" t="s">
        <v>349</v>
      </c>
      <c r="I1227" s="26" t="s">
        <v>538</v>
      </c>
      <c r="J1227" s="26" t="s">
        <v>539</v>
      </c>
      <c r="K1227" s="26" t="s">
        <v>147</v>
      </c>
      <c r="L1227" s="26" t="s">
        <v>148</v>
      </c>
      <c r="M1227" s="26" t="s">
        <v>303</v>
      </c>
      <c r="N1227" s="26">
        <v>90</v>
      </c>
      <c r="O1227" s="26">
        <f>2024-Inventory[[#This Row],[YrBlt]]</f>
        <v>84</v>
      </c>
      <c r="P1227" s="26">
        <f>2024-Inventory[[#This Row],[EffYr]]</f>
        <v>52</v>
      </c>
      <c r="Q1227" s="25">
        <v>1940</v>
      </c>
      <c r="R1227" s="25">
        <v>1972</v>
      </c>
      <c r="S1227" s="25">
        <v>1562</v>
      </c>
      <c r="T1227" s="32">
        <v>700</v>
      </c>
      <c r="U1227" s="25">
        <v>992</v>
      </c>
      <c r="V1227" s="25">
        <f>Inventory[[#This Row],[Bsmt]]-Inventory[[#This Row],[FnBsmt]]</f>
        <v>496</v>
      </c>
      <c r="W1227" s="25">
        <v>496</v>
      </c>
      <c r="X1227" s="27"/>
      <c r="Y1227" s="27">
        <f>Inventory[[#This Row],[MainFn]]+Inventory[[#This Row],[UpprFn]]+Inventory[[#This Row],[FnBsmt]]+Inventory[[#This Row],[AddFn]]</f>
        <v>2758</v>
      </c>
      <c r="Z1227" s="27">
        <v>3000</v>
      </c>
      <c r="AA1227" s="25">
        <v>12</v>
      </c>
      <c r="AB1227" s="31"/>
      <c r="AC1227" s="27"/>
      <c r="AD1227" s="25">
        <v>343</v>
      </c>
      <c r="AE1227" s="27"/>
      <c r="AF1227" s="27"/>
      <c r="AG1227" s="27"/>
      <c r="AH1227" s="27"/>
      <c r="AI1227" s="25">
        <v>564410</v>
      </c>
      <c r="AJ1227" s="25">
        <v>395087</v>
      </c>
      <c r="AK1227" s="25">
        <v>12258</v>
      </c>
      <c r="AL1227" s="25">
        <v>436700</v>
      </c>
      <c r="AM1227" s="25">
        <v>61700</v>
      </c>
      <c r="AN1227" s="25">
        <v>375000</v>
      </c>
      <c r="AO1227" s="25">
        <v>0</v>
      </c>
      <c r="AP1227" s="25">
        <f>Lookups!$B$56*0</f>
        <v>0</v>
      </c>
      <c r="AQ1227" s="25">
        <f>Lookups!$B$56*1</f>
        <v>89850.625589999996</v>
      </c>
      <c r="AR1227" s="25">
        <f>Lookups!$B$57*Inventory[[#This Row],[LnAcres]]</f>
        <v>-47929.131559187132</v>
      </c>
      <c r="AS1227" s="25">
        <f>VLOOKUP(Inventory[[#This Row],[Qlty]],Lookups!$A$62:$E$75,2,FALSE)</f>
        <v>44121.038090000002</v>
      </c>
      <c r="AT1227" s="25">
        <f>VLOOKUP(Inventory[[#This Row],[Cnd]],Lookups!$A$76:$E$84,2,FALSE)</f>
        <v>197752.34721000001</v>
      </c>
      <c r="AU1227" s="25">
        <f>Inventory[[#This Row],[EffAge]]*Lookups!$B$85</f>
        <v>-11598.371226000001</v>
      </c>
      <c r="AV1227" s="25">
        <f>Inventory[[#This Row],[MainFn]]*Lookups!$B$86</f>
        <v>77176.342347874001</v>
      </c>
      <c r="AW1227" s="25">
        <f>Inventory[[#This Row],[UpprFn]]*Lookups!$B$87</f>
        <v>31350.496002699998</v>
      </c>
      <c r="AX1227" s="25">
        <f>Inventory[[#This Row],[AddFn]]*Lookups!$B$88</f>
        <v>0</v>
      </c>
      <c r="AY1227" s="25">
        <f>Inventory[[#This Row],[Bsmt]]*Lookups!$B$89</f>
        <v>28849.240085023997</v>
      </c>
      <c r="AZ1227" s="25">
        <f>Inventory[[#This Row],[Fixtures]]*Lookups!$B$90</f>
        <v>45504.265262400004</v>
      </c>
      <c r="BA1227" s="25">
        <f>Inventory[[#This Row],[WdDeck]]*Lookups!$B$91</f>
        <v>11420.361739668002</v>
      </c>
      <c r="BB1227" s="25">
        <f>ROUND(Inventory[[#This Row],[25Det]],-2)</f>
        <v>12300</v>
      </c>
      <c r="BC1227" s="25">
        <f>ROUND(SUM(Inventory[[#This Row],[Mdl Qlty]:[Mdl WdDeck]])+Inventory[[#This Row],[Mdl Res Intercept]],-2)</f>
        <v>424600</v>
      </c>
      <c r="BD1227" s="25">
        <f>ROUND(Inventory[[#This Row],[Mdl Land Intercept]]+Inventory[[#This Row],[Mdl LnAcres]],-2)</f>
        <v>41900</v>
      </c>
      <c r="BE1227" s="25">
        <f>Inventory[[#This Row],[Unadj Res Value]]+Inventory[[#This Row],[Unadj Det Value]]+Inventory[[#This Row],[Unadj Land Value]]</f>
        <v>478800</v>
      </c>
      <c r="BF1227" s="36">
        <f>(Inventory[[#This Row],[Unadj Total Value]]-Inventory[[#This Row],[24Final]])/Inventory[[#This Row],[24Final]]</f>
        <v>9.6404854591252573E-2</v>
      </c>
      <c r="BG1227" s="25">
        <f>VLOOKUP(Inventory[[#This Row],[Nbhd]],Lookups!$Q$2:$T$4,4,FALSE)</f>
        <v>0.99970000000000003</v>
      </c>
      <c r="BH1227" s="25">
        <f>VLOOKUP(Inventory[[#This Row],[Qlty]],Lookups!$O$7:$R$21,4,FALSE)</f>
        <v>0.98050000000000004</v>
      </c>
      <c r="BI1227" s="25">
        <f>VLOOKUP(Inventory[[#This Row],[Cnd]],Lookups!$T$7:$W$16,4,FALSE)</f>
        <v>0.99650000000000005</v>
      </c>
      <c r="BJ1227" s="25">
        <f>VLOOKUP(Inventory[[#This Row],[LivArea Range]],Lookups!$T$25:$W$37,4,FALSE)</f>
        <v>0.96179999999999999</v>
      </c>
      <c r="BK1227" s="25">
        <f>VLOOKUP(Inventory[[#This Row],[Decade]],Lookups!$O$25:$R$42,4,FALSE)</f>
        <v>0.98909999999999998</v>
      </c>
      <c r="BL1227" s="25">
        <f>Inventory[[#This Row],[Nbhd Adj]]*0.95</f>
        <v>0.94971499999999998</v>
      </c>
      <c r="BM1227" s="25">
        <f>Inventory[[#This Row],[Nbhd Adj]]*Inventory[[#This Row],[Quality Adj]]*Inventory[[#This Row],[Condition Adj]]*Inventory[[#This Row],[Living Area Adj]]*Inventory[[#This Row],[Decade Adj]]*0.95</f>
        <v>0.88276107127906644</v>
      </c>
      <c r="BN1227" s="25">
        <f>ROUND(SUM(Inventory[[#This Row],[Mdl Qlty]:[Mdl WdDeck]])+Inventory[[#This Row],[Mdl Res Intercept]]*Inventory[[#This Row],[Res Adj ]],-2)</f>
        <v>424600</v>
      </c>
      <c r="BO1227" s="25">
        <f>ROUND(Inventory[[#This Row],[25Det]]*Inventory[[#This Row],[Det/Nbhd Adj]],-2)</f>
        <v>11600</v>
      </c>
      <c r="BP1227" s="25">
        <f>Inventory[[#This Row],[Adjusted Res]]+Inventory[[#This Row],[Adj Det ]]</f>
        <v>436200</v>
      </c>
      <c r="BQ1227" s="25">
        <f>ROUND((Inventory[[#This Row],[Mdl Land Intercept]]+Inventory[[#This Row],[Mdl LnAcres]])*Inventory[[#This Row],[Det/Nbhd Adj]],-2)</f>
        <v>39800</v>
      </c>
      <c r="BR1227" s="25">
        <f>Inventory[[#This Row],[Adjusted Impr Total]]+Inventory[[#This Row],[Adjusted Land Total]]</f>
        <v>476000</v>
      </c>
      <c r="BS1227" s="36">
        <f>IFERROR((Inventory[[#This Row],[Adjusted Impr Total]]-Inventory[[#This Row],[24Bldg]])/Inventory[[#This Row],[24Bldg]],0)</f>
        <v>0.16320000000000001</v>
      </c>
      <c r="BT1227" s="36">
        <f>(Inventory[[#This Row],[Adjusted Land Total]]-Inventory[[#This Row],[24Lnd]])/Inventory[[#This Row],[24Lnd]]</f>
        <v>-0.35494327390599678</v>
      </c>
      <c r="BU1227" s="36">
        <f>(Inventory[[#This Row],[Adjusted Total]]-Inventory[[#This Row],[24Final]])/Inventory[[#This Row],[24Final]]</f>
        <v>8.9993130295397294E-2</v>
      </c>
    </row>
    <row r="1228" spans="1:73" x14ac:dyDescent="0.3">
      <c r="A1228" s="25">
        <v>2025</v>
      </c>
      <c r="B1228" s="26" t="s">
        <v>1429</v>
      </c>
      <c r="C1228" s="26">
        <f>LN(Inventory[[#This Row],[Acres]])</f>
        <v>-1.6094379124341003</v>
      </c>
      <c r="D1228" s="25">
        <v>0.2</v>
      </c>
      <c r="E1228" s="32">
        <v>8618</v>
      </c>
      <c r="F1228" s="26" t="s">
        <v>537</v>
      </c>
      <c r="G1228" s="26" t="s">
        <v>126</v>
      </c>
      <c r="H1228" s="26" t="s">
        <v>349</v>
      </c>
      <c r="I1228" s="26" t="s">
        <v>538</v>
      </c>
      <c r="J1228" s="26" t="s">
        <v>539</v>
      </c>
      <c r="K1228" s="26" t="s">
        <v>300</v>
      </c>
      <c r="L1228" s="26" t="s">
        <v>148</v>
      </c>
      <c r="M1228" s="26" t="s">
        <v>303</v>
      </c>
      <c r="N1228" s="26">
        <v>90</v>
      </c>
      <c r="O1228" s="26">
        <f>2024-Inventory[[#This Row],[YrBlt]]</f>
        <v>84</v>
      </c>
      <c r="P1228" s="26">
        <f>2024-Inventory[[#This Row],[EffYr]]</f>
        <v>52</v>
      </c>
      <c r="Q1228" s="25">
        <v>1940</v>
      </c>
      <c r="R1228" s="25">
        <v>1972</v>
      </c>
      <c r="S1228" s="25">
        <v>1551</v>
      </c>
      <c r="T1228" s="27"/>
      <c r="U1228" s="25">
        <v>1222</v>
      </c>
      <c r="V1228" s="25">
        <f>Inventory[[#This Row],[Bsmt]]-Inventory[[#This Row],[FnBsmt]]</f>
        <v>0</v>
      </c>
      <c r="W1228" s="25">
        <v>1222</v>
      </c>
      <c r="X1228" s="27"/>
      <c r="Y1228" s="27">
        <f>Inventory[[#This Row],[MainFn]]+Inventory[[#This Row],[UpprFn]]+Inventory[[#This Row],[FnBsmt]]+Inventory[[#This Row],[AddFn]]</f>
        <v>2773</v>
      </c>
      <c r="Z1228" s="27">
        <v>3000</v>
      </c>
      <c r="AA1228" s="25">
        <v>10</v>
      </c>
      <c r="AB1228" s="27"/>
      <c r="AC1228" s="27"/>
      <c r="AD1228" s="25">
        <v>640</v>
      </c>
      <c r="AE1228" s="27"/>
      <c r="AF1228" s="27"/>
      <c r="AG1228" s="27"/>
      <c r="AH1228" s="27"/>
      <c r="AI1228" s="25">
        <v>521407</v>
      </c>
      <c r="AJ1228" s="25">
        <v>364985</v>
      </c>
      <c r="AK1228" s="25">
        <v>10334</v>
      </c>
      <c r="AL1228" s="25">
        <v>411600</v>
      </c>
      <c r="AM1228" s="25">
        <v>58400</v>
      </c>
      <c r="AN1228" s="25">
        <v>353200</v>
      </c>
      <c r="AO1228" s="25">
        <v>0</v>
      </c>
      <c r="AP1228" s="25">
        <f>Lookups!$B$56*0</f>
        <v>0</v>
      </c>
      <c r="AQ1228" s="25">
        <f>Lookups!$B$56*1</f>
        <v>89850.625589999996</v>
      </c>
      <c r="AR1228" s="25">
        <f>Lookups!$B$57*Inventory[[#This Row],[LnAcres]]</f>
        <v>-50946.13867709865</v>
      </c>
      <c r="AS1228" s="25">
        <f>VLOOKUP(Inventory[[#This Row],[Qlty]],Lookups!$A$62:$E$75,2,FALSE)</f>
        <v>44121.038090000002</v>
      </c>
      <c r="AT1228" s="25">
        <f>VLOOKUP(Inventory[[#This Row],[Cnd]],Lookups!$A$76:$E$84,2,FALSE)</f>
        <v>197752.34721000001</v>
      </c>
      <c r="AU1228" s="25">
        <f>Inventory[[#This Row],[EffAge]]*Lookups!$B$85</f>
        <v>-11598.371226000001</v>
      </c>
      <c r="AV1228" s="25">
        <f>Inventory[[#This Row],[MainFn]]*Lookups!$B$86</f>
        <v>76632.846979227004</v>
      </c>
      <c r="AW1228" s="25">
        <f>Inventory[[#This Row],[UpprFn]]*Lookups!$B$87</f>
        <v>0</v>
      </c>
      <c r="AX1228" s="25">
        <f>Inventory[[#This Row],[AddFn]]*Lookups!$B$88</f>
        <v>0</v>
      </c>
      <c r="AY1228" s="25">
        <f>Inventory[[#This Row],[Bsmt]]*Lookups!$B$89</f>
        <v>35538.075991833997</v>
      </c>
      <c r="AZ1228" s="25">
        <f>Inventory[[#This Row],[Fixtures]]*Lookups!$B$90</f>
        <v>37920.221052000001</v>
      </c>
      <c r="BA1228" s="25">
        <f>Inventory[[#This Row],[WdDeck]]*Lookups!$B$91</f>
        <v>21309.129776640002</v>
      </c>
      <c r="BB1228" s="25">
        <f>ROUND(Inventory[[#This Row],[25Det]],-2)</f>
        <v>10300</v>
      </c>
      <c r="BC1228" s="25">
        <f>ROUND(SUM(Inventory[[#This Row],[Mdl Qlty]:[Mdl WdDeck]])+Inventory[[#This Row],[Mdl Res Intercept]],-2)</f>
        <v>401700</v>
      </c>
      <c r="BD1228" s="25">
        <f>ROUND(Inventory[[#This Row],[Mdl Land Intercept]]+Inventory[[#This Row],[Mdl LnAcres]],-2)</f>
        <v>38900</v>
      </c>
      <c r="BE1228" s="25">
        <f>Inventory[[#This Row],[Unadj Res Value]]+Inventory[[#This Row],[Unadj Det Value]]+Inventory[[#This Row],[Unadj Land Value]]</f>
        <v>450900</v>
      </c>
      <c r="BF1228" s="36">
        <f>(Inventory[[#This Row],[Unadj Total Value]]-Inventory[[#This Row],[24Final]])/Inventory[[#This Row],[24Final]]</f>
        <v>9.5481049562682219E-2</v>
      </c>
      <c r="BG1228" s="25">
        <f>VLOOKUP(Inventory[[#This Row],[Nbhd]],Lookups!$Q$2:$T$4,4,FALSE)</f>
        <v>0.99970000000000003</v>
      </c>
      <c r="BH1228" s="25">
        <f>VLOOKUP(Inventory[[#This Row],[Qlty]],Lookups!$O$7:$R$21,4,FALSE)</f>
        <v>0.98050000000000004</v>
      </c>
      <c r="BI1228" s="25">
        <f>VLOOKUP(Inventory[[#This Row],[Cnd]],Lookups!$T$7:$W$16,4,FALSE)</f>
        <v>0.99650000000000005</v>
      </c>
      <c r="BJ1228" s="25">
        <f>VLOOKUP(Inventory[[#This Row],[LivArea Range]],Lookups!$T$25:$W$37,4,FALSE)</f>
        <v>0.96179999999999999</v>
      </c>
      <c r="BK1228" s="25">
        <f>VLOOKUP(Inventory[[#This Row],[Decade]],Lookups!$O$25:$R$42,4,FALSE)</f>
        <v>0.98909999999999998</v>
      </c>
      <c r="BL1228" s="25">
        <f>Inventory[[#This Row],[Nbhd Adj]]*0.95</f>
        <v>0.94971499999999998</v>
      </c>
      <c r="BM1228" s="25">
        <f>Inventory[[#This Row],[Nbhd Adj]]*Inventory[[#This Row],[Quality Adj]]*Inventory[[#This Row],[Condition Adj]]*Inventory[[#This Row],[Living Area Adj]]*Inventory[[#This Row],[Decade Adj]]*0.95</f>
        <v>0.88276107127906644</v>
      </c>
      <c r="BN1228" s="25">
        <f>ROUND(SUM(Inventory[[#This Row],[Mdl Qlty]:[Mdl WdDeck]])+Inventory[[#This Row],[Mdl Res Intercept]]*Inventory[[#This Row],[Res Adj ]],-2)</f>
        <v>401700</v>
      </c>
      <c r="BO1228" s="25">
        <f>ROUND(Inventory[[#This Row],[25Det]]*Inventory[[#This Row],[Det/Nbhd Adj]],-2)</f>
        <v>9800</v>
      </c>
      <c r="BP1228" s="25">
        <f>Inventory[[#This Row],[Adjusted Res]]+Inventory[[#This Row],[Adj Det ]]</f>
        <v>411500</v>
      </c>
      <c r="BQ1228" s="25">
        <f>ROUND((Inventory[[#This Row],[Mdl Land Intercept]]+Inventory[[#This Row],[Mdl LnAcres]])*Inventory[[#This Row],[Det/Nbhd Adj]],-2)</f>
        <v>36900</v>
      </c>
      <c r="BR1228" s="25">
        <f>Inventory[[#This Row],[Adjusted Impr Total]]+Inventory[[#This Row],[Adjusted Land Total]]</f>
        <v>448400</v>
      </c>
      <c r="BS1228" s="36">
        <f>IFERROR((Inventory[[#This Row],[Adjusted Impr Total]]-Inventory[[#This Row],[24Bldg]])/Inventory[[#This Row],[24Bldg]],0)</f>
        <v>0.16506228765571915</v>
      </c>
      <c r="BT1228" s="36">
        <f>(Inventory[[#This Row],[Adjusted Land Total]]-Inventory[[#This Row],[24Lnd]])/Inventory[[#This Row],[24Lnd]]</f>
        <v>-0.36815068493150682</v>
      </c>
      <c r="BU1228" s="36">
        <f>(Inventory[[#This Row],[Adjusted Total]]-Inventory[[#This Row],[24Final]])/Inventory[[#This Row],[24Final]]</f>
        <v>8.9407191448007781E-2</v>
      </c>
    </row>
    <row r="1229" spans="1:73" x14ac:dyDescent="0.3">
      <c r="A1229" s="25">
        <v>2025</v>
      </c>
      <c r="B1229" s="26" t="s">
        <v>1145</v>
      </c>
      <c r="C1229" s="26">
        <f>LN(Inventory[[#This Row],[Acres]])</f>
        <v>-1.8971199848858813</v>
      </c>
      <c r="D1229" s="25">
        <v>0.15</v>
      </c>
      <c r="E1229" s="27"/>
      <c r="F1229" s="26" t="s">
        <v>537</v>
      </c>
      <c r="G1229" s="26" t="s">
        <v>126</v>
      </c>
      <c r="H1229" s="26" t="s">
        <v>349</v>
      </c>
      <c r="I1229" s="26" t="s">
        <v>538</v>
      </c>
      <c r="J1229" s="26" t="s">
        <v>539</v>
      </c>
      <c r="K1229" s="26" t="s">
        <v>147</v>
      </c>
      <c r="L1229" s="26" t="s">
        <v>351</v>
      </c>
      <c r="M1229" s="26" t="s">
        <v>303</v>
      </c>
      <c r="N1229" s="26">
        <v>90</v>
      </c>
      <c r="O1229" s="26">
        <f>2024-Inventory[[#This Row],[YrBlt]]</f>
        <v>84</v>
      </c>
      <c r="P1229" s="26">
        <f>2024-Inventory[[#This Row],[EffYr]]</f>
        <v>52</v>
      </c>
      <c r="Q1229" s="25">
        <v>1940</v>
      </c>
      <c r="R1229" s="25">
        <v>1972</v>
      </c>
      <c r="S1229" s="25">
        <v>1156</v>
      </c>
      <c r="T1229" s="32">
        <v>696</v>
      </c>
      <c r="U1229" s="25">
        <v>1156</v>
      </c>
      <c r="V1229" s="32">
        <f>Inventory[[#This Row],[Bsmt]]-Inventory[[#This Row],[FnBsmt]]</f>
        <v>656</v>
      </c>
      <c r="W1229" s="32">
        <v>500</v>
      </c>
      <c r="X1229" s="27"/>
      <c r="Y1229" s="27">
        <f>Inventory[[#This Row],[MainFn]]+Inventory[[#This Row],[UpprFn]]+Inventory[[#This Row],[FnBsmt]]+Inventory[[#This Row],[AddFn]]</f>
        <v>2352</v>
      </c>
      <c r="Z1229" s="27">
        <v>2500</v>
      </c>
      <c r="AA1229" s="25">
        <v>8</v>
      </c>
      <c r="AB1229" s="27"/>
      <c r="AC1229" s="31"/>
      <c r="AD1229" s="27"/>
      <c r="AE1229" s="27"/>
      <c r="AF1229" s="27"/>
      <c r="AG1229" s="27"/>
      <c r="AH1229" s="27"/>
      <c r="AI1229" s="25">
        <v>331195</v>
      </c>
      <c r="AJ1229" s="25">
        <v>231837</v>
      </c>
      <c r="AK1229" s="25">
        <v>7640</v>
      </c>
      <c r="AL1229" s="25">
        <v>363400</v>
      </c>
      <c r="AM1229" s="25">
        <v>48400</v>
      </c>
      <c r="AN1229" s="25">
        <v>315000</v>
      </c>
      <c r="AO1229" s="25">
        <v>0</v>
      </c>
      <c r="AP1229" s="25">
        <f>Lookups!$B$56*0</f>
        <v>0</v>
      </c>
      <c r="AQ1229" s="25">
        <f>Lookups!$B$56*1</f>
        <v>89850.625589999996</v>
      </c>
      <c r="AR1229" s="25">
        <f>Lookups!$B$57*Inventory[[#This Row],[LnAcres]]</f>
        <v>-60052.604136134301</v>
      </c>
      <c r="AS1229" s="25">
        <f>VLOOKUP(Inventory[[#This Row],[Qlty]],Lookups!$A$62:$E$75,2,FALSE)</f>
        <v>21557.329055999999</v>
      </c>
      <c r="AT1229" s="25">
        <f>VLOOKUP(Inventory[[#This Row],[Cnd]],Lookups!$A$76:$E$84,2,FALSE)</f>
        <v>197752.34721000001</v>
      </c>
      <c r="AU1229" s="25">
        <f>Inventory[[#This Row],[EffAge]]*Lookups!$B$85</f>
        <v>-11598.371226000001</v>
      </c>
      <c r="AV1229" s="25">
        <f>Inventory[[#This Row],[MainFn]]*Lookups!$B$86</f>
        <v>57116.422377811999</v>
      </c>
      <c r="AW1229" s="25">
        <f>Inventory[[#This Row],[UpprFn]]*Lookups!$B$87</f>
        <v>31171.350311255999</v>
      </c>
      <c r="AX1229" s="25">
        <f>Inventory[[#This Row],[AddFn]]*Lookups!$B$88</f>
        <v>0</v>
      </c>
      <c r="AY1229" s="25">
        <f>Inventory[[#This Row],[Bsmt]]*Lookups!$B$89</f>
        <v>33618.670905531995</v>
      </c>
      <c r="AZ1229" s="25">
        <f>Inventory[[#This Row],[Fixtures]]*Lookups!$B$90</f>
        <v>30336.176841600001</v>
      </c>
      <c r="BA1229" s="25">
        <f>Inventory[[#This Row],[WdDeck]]*Lookups!$B$91</f>
        <v>0</v>
      </c>
      <c r="BB1229" s="25">
        <f>ROUND(Inventory[[#This Row],[25Det]],-2)</f>
        <v>7600</v>
      </c>
      <c r="BC1229" s="25">
        <f>ROUND(SUM(Inventory[[#This Row],[Mdl Qlty]:[Mdl WdDeck]])+Inventory[[#This Row],[Mdl Res Intercept]],-2)</f>
        <v>360000</v>
      </c>
      <c r="BD1229" s="25">
        <f>ROUND(Inventory[[#This Row],[Mdl Land Intercept]]+Inventory[[#This Row],[Mdl LnAcres]],-2)</f>
        <v>29800</v>
      </c>
      <c r="BE1229" s="25">
        <f>Inventory[[#This Row],[Unadj Res Value]]+Inventory[[#This Row],[Unadj Det Value]]+Inventory[[#This Row],[Unadj Land Value]]</f>
        <v>397400</v>
      </c>
      <c r="BF1229" s="36">
        <f>(Inventory[[#This Row],[Unadj Total Value]]-Inventory[[#This Row],[24Final]])/Inventory[[#This Row],[24Final]]</f>
        <v>9.3560814529444133E-2</v>
      </c>
      <c r="BG1229" s="25">
        <f>VLOOKUP(Inventory[[#This Row],[Nbhd]],Lookups!$Q$2:$T$4,4,FALSE)</f>
        <v>0.99970000000000003</v>
      </c>
      <c r="BH1229" s="25">
        <f>VLOOKUP(Inventory[[#This Row],[Qlty]],Lookups!$O$7:$R$21,4,FALSE)</f>
        <v>1.0067999999999999</v>
      </c>
      <c r="BI1229" s="25">
        <f>VLOOKUP(Inventory[[#This Row],[Cnd]],Lookups!$T$7:$W$16,4,FALSE)</f>
        <v>0.99650000000000005</v>
      </c>
      <c r="BJ1229" s="25">
        <f>VLOOKUP(Inventory[[#This Row],[LivArea Range]],Lookups!$T$25:$W$37,4,FALSE)</f>
        <v>0.98919999999999997</v>
      </c>
      <c r="BK1229" s="25">
        <f>VLOOKUP(Inventory[[#This Row],[Decade]],Lookups!$O$25:$R$42,4,FALSE)</f>
        <v>0.98909999999999998</v>
      </c>
      <c r="BL1229" s="25">
        <f>Inventory[[#This Row],[Nbhd Adj]]*0.95</f>
        <v>0.94971499999999998</v>
      </c>
      <c r="BM1229" s="25">
        <f>Inventory[[#This Row],[Nbhd Adj]]*Inventory[[#This Row],[Quality Adj]]*Inventory[[#This Row],[Condition Adj]]*Inventory[[#This Row],[Living Area Adj]]*Inventory[[#This Row],[Decade Adj]]*0.95</f>
        <v>0.9322622889120924</v>
      </c>
      <c r="BN1229" s="25">
        <f>ROUND(SUM(Inventory[[#This Row],[Mdl Qlty]:[Mdl WdDeck]])+Inventory[[#This Row],[Mdl Res Intercept]]*Inventory[[#This Row],[Res Adj ]],-2)</f>
        <v>360000</v>
      </c>
      <c r="BO1229" s="25">
        <f>ROUND(Inventory[[#This Row],[25Det]]*Inventory[[#This Row],[Det/Nbhd Adj]],-2)</f>
        <v>7300</v>
      </c>
      <c r="BP1229" s="25">
        <f>Inventory[[#This Row],[Adjusted Res]]+Inventory[[#This Row],[Adj Det ]]</f>
        <v>367300</v>
      </c>
      <c r="BQ1229" s="25">
        <f>ROUND((Inventory[[#This Row],[Mdl Land Intercept]]+Inventory[[#This Row],[Mdl LnAcres]])*Inventory[[#This Row],[Det/Nbhd Adj]],-2)</f>
        <v>28300</v>
      </c>
      <c r="BR1229" s="25">
        <f>Inventory[[#This Row],[Adjusted Impr Total]]+Inventory[[#This Row],[Adjusted Land Total]]</f>
        <v>395600</v>
      </c>
      <c r="BS1229" s="36">
        <f>IFERROR((Inventory[[#This Row],[Adjusted Impr Total]]-Inventory[[#This Row],[24Bldg]])/Inventory[[#This Row],[24Bldg]],0)</f>
        <v>0.16603174603174603</v>
      </c>
      <c r="BT1229" s="36">
        <f>(Inventory[[#This Row],[Adjusted Land Total]]-Inventory[[#This Row],[24Lnd]])/Inventory[[#This Row],[24Lnd]]</f>
        <v>-0.41528925619834711</v>
      </c>
      <c r="BU1229" s="36">
        <f>(Inventory[[#This Row],[Adjusted Total]]-Inventory[[#This Row],[24Final]])/Inventory[[#This Row],[24Final]]</f>
        <v>8.8607594936708861E-2</v>
      </c>
    </row>
    <row r="1230" spans="1:73" x14ac:dyDescent="0.3">
      <c r="A1230" s="25">
        <v>2025</v>
      </c>
      <c r="B1230" s="26" t="s">
        <v>808</v>
      </c>
      <c r="C1230" s="26">
        <f>LN(Inventory[[#This Row],[Acres]])</f>
        <v>-1.6607312068216509</v>
      </c>
      <c r="D1230" s="25">
        <v>0.19</v>
      </c>
      <c r="E1230" s="32">
        <v>8456</v>
      </c>
      <c r="F1230" s="26" t="s">
        <v>537</v>
      </c>
      <c r="G1230" s="26" t="s">
        <v>126</v>
      </c>
      <c r="H1230" s="26" t="s">
        <v>349</v>
      </c>
      <c r="I1230" s="26" t="s">
        <v>538</v>
      </c>
      <c r="J1230" s="26" t="s">
        <v>539</v>
      </c>
      <c r="K1230" s="26" t="s">
        <v>269</v>
      </c>
      <c r="L1230" s="26" t="s">
        <v>351</v>
      </c>
      <c r="M1230" s="26" t="s">
        <v>303</v>
      </c>
      <c r="N1230" s="26">
        <v>90</v>
      </c>
      <c r="O1230" s="26">
        <f>2024-Inventory[[#This Row],[YrBlt]]</f>
        <v>84</v>
      </c>
      <c r="P1230" s="26">
        <f>2024-Inventory[[#This Row],[EffYr]]</f>
        <v>52</v>
      </c>
      <c r="Q1230" s="25">
        <v>1940</v>
      </c>
      <c r="R1230" s="25">
        <v>1972</v>
      </c>
      <c r="S1230" s="25">
        <v>855</v>
      </c>
      <c r="T1230" s="27"/>
      <c r="U1230" s="25">
        <v>855</v>
      </c>
      <c r="V1230" s="25">
        <f>Inventory[[#This Row],[Bsmt]]-Inventory[[#This Row],[FnBsmt]]</f>
        <v>0</v>
      </c>
      <c r="W1230" s="25">
        <v>855</v>
      </c>
      <c r="X1230" s="27"/>
      <c r="Y1230" s="27">
        <f>Inventory[[#This Row],[MainFn]]+Inventory[[#This Row],[UpprFn]]+Inventory[[#This Row],[FnBsmt]]+Inventory[[#This Row],[AddFn]]</f>
        <v>1710</v>
      </c>
      <c r="Z1230" s="27">
        <v>2000</v>
      </c>
      <c r="AA1230" s="25">
        <v>8</v>
      </c>
      <c r="AB1230" s="27"/>
      <c r="AC1230" s="27"/>
      <c r="AD1230" s="32">
        <v>180</v>
      </c>
      <c r="AE1230" s="27"/>
      <c r="AF1230" s="27"/>
      <c r="AG1230" s="27"/>
      <c r="AH1230" s="27"/>
      <c r="AI1230" s="25">
        <v>224736</v>
      </c>
      <c r="AJ1230" s="25">
        <v>157315</v>
      </c>
      <c r="AK1230" s="25">
        <v>5261</v>
      </c>
      <c r="AL1230" s="25">
        <v>323400</v>
      </c>
      <c r="AM1230" s="25">
        <v>56600</v>
      </c>
      <c r="AN1230" s="25">
        <v>266800</v>
      </c>
      <c r="AO1230" s="25">
        <v>0</v>
      </c>
      <c r="AP1230" s="25">
        <f>Lookups!$B$56*0</f>
        <v>0</v>
      </c>
      <c r="AQ1230" s="25">
        <f>Lookups!$B$56*1</f>
        <v>89850.625589999996</v>
      </c>
      <c r="AR1230" s="25">
        <f>Lookups!$B$57*Inventory[[#This Row],[LnAcres]]</f>
        <v>-52569.808201026557</v>
      </c>
      <c r="AS1230" s="25">
        <f>VLOOKUP(Inventory[[#This Row],[Qlty]],Lookups!$A$62:$E$75,2,FALSE)</f>
        <v>21557.329055999999</v>
      </c>
      <c r="AT1230" s="25">
        <f>VLOOKUP(Inventory[[#This Row],[Cnd]],Lookups!$A$76:$E$84,2,FALSE)</f>
        <v>197752.34721000001</v>
      </c>
      <c r="AU1230" s="25">
        <f>Inventory[[#This Row],[EffAge]]*Lookups!$B$85</f>
        <v>-11598.371226000001</v>
      </c>
      <c r="AV1230" s="25">
        <f>Inventory[[#This Row],[MainFn]]*Lookups!$B$86</f>
        <v>42244.412744835005</v>
      </c>
      <c r="AW1230" s="25">
        <f>Inventory[[#This Row],[UpprFn]]*Lookups!$B$87</f>
        <v>0</v>
      </c>
      <c r="AX1230" s="25">
        <f>Inventory[[#This Row],[AddFn]]*Lookups!$B$88</f>
        <v>0</v>
      </c>
      <c r="AY1230" s="25">
        <f>Inventory[[#This Row],[Bsmt]]*Lookups!$B$89</f>
        <v>24865.020436184997</v>
      </c>
      <c r="AZ1230" s="25">
        <f>Inventory[[#This Row],[Fixtures]]*Lookups!$B$90</f>
        <v>30336.176841600001</v>
      </c>
      <c r="BA1230" s="25">
        <f>Inventory[[#This Row],[WdDeck]]*Lookups!$B$91</f>
        <v>5993.1927496800008</v>
      </c>
      <c r="BB1230" s="25">
        <f>ROUND(Inventory[[#This Row],[25Det]],-2)</f>
        <v>5300</v>
      </c>
      <c r="BC1230" s="25">
        <f>ROUND(SUM(Inventory[[#This Row],[Mdl Qlty]:[Mdl WdDeck]])+Inventory[[#This Row],[Mdl Res Intercept]],-2)</f>
        <v>311200</v>
      </c>
      <c r="BD1230" s="25">
        <f>ROUND(Inventory[[#This Row],[Mdl Land Intercept]]+Inventory[[#This Row],[Mdl LnAcres]],-2)</f>
        <v>37300</v>
      </c>
      <c r="BE1230" s="25">
        <f>Inventory[[#This Row],[Unadj Res Value]]+Inventory[[#This Row],[Unadj Det Value]]+Inventory[[#This Row],[Unadj Land Value]]</f>
        <v>353800</v>
      </c>
      <c r="BF1230" s="36">
        <f>(Inventory[[#This Row],[Unadj Total Value]]-Inventory[[#This Row],[24Final]])/Inventory[[#This Row],[24Final]]</f>
        <v>9.4001236858379716E-2</v>
      </c>
      <c r="BG1230" s="25">
        <f>VLOOKUP(Inventory[[#This Row],[Nbhd]],Lookups!$Q$2:$T$4,4,FALSE)</f>
        <v>0.99970000000000003</v>
      </c>
      <c r="BH1230" s="25">
        <f>VLOOKUP(Inventory[[#This Row],[Qlty]],Lookups!$O$7:$R$21,4,FALSE)</f>
        <v>1.0067999999999999</v>
      </c>
      <c r="BI1230" s="25">
        <f>VLOOKUP(Inventory[[#This Row],[Cnd]],Lookups!$T$7:$W$16,4,FALSE)</f>
        <v>0.99650000000000005</v>
      </c>
      <c r="BJ1230" s="25">
        <f>VLOOKUP(Inventory[[#This Row],[LivArea Range]],Lookups!$T$25:$W$37,4,FALSE)</f>
        <v>1.0093000000000001</v>
      </c>
      <c r="BK1230" s="25">
        <f>VLOOKUP(Inventory[[#This Row],[Decade]],Lookups!$O$25:$R$42,4,FALSE)</f>
        <v>0.98909999999999998</v>
      </c>
      <c r="BL1230" s="25">
        <f>Inventory[[#This Row],[Nbhd Adj]]*0.95</f>
        <v>0.94971499999999998</v>
      </c>
      <c r="BM1230" s="25">
        <f>Inventory[[#This Row],[Nbhd Adj]]*Inventory[[#This Row],[Quality Adj]]*Inventory[[#This Row],[Condition Adj]]*Inventory[[#This Row],[Living Area Adj]]*Inventory[[#This Row],[Decade Adj]]*0.95</f>
        <v>0.95120534593507355</v>
      </c>
      <c r="BN1230" s="25">
        <f>ROUND(SUM(Inventory[[#This Row],[Mdl Qlty]:[Mdl WdDeck]])+Inventory[[#This Row],[Mdl Res Intercept]]*Inventory[[#This Row],[Res Adj ]],-2)</f>
        <v>311200</v>
      </c>
      <c r="BO1230" s="25">
        <f>ROUND(Inventory[[#This Row],[25Det]]*Inventory[[#This Row],[Det/Nbhd Adj]],-2)</f>
        <v>5000</v>
      </c>
      <c r="BP1230" s="25">
        <f>Inventory[[#This Row],[Adjusted Res]]+Inventory[[#This Row],[Adj Det ]]</f>
        <v>316200</v>
      </c>
      <c r="BQ1230" s="25">
        <f>ROUND((Inventory[[#This Row],[Mdl Land Intercept]]+Inventory[[#This Row],[Mdl LnAcres]])*Inventory[[#This Row],[Det/Nbhd Adj]],-2)</f>
        <v>35400</v>
      </c>
      <c r="BR1230" s="25">
        <f>Inventory[[#This Row],[Adjusted Impr Total]]+Inventory[[#This Row],[Adjusted Land Total]]</f>
        <v>351600</v>
      </c>
      <c r="BS1230" s="36">
        <f>IFERROR((Inventory[[#This Row],[Adjusted Impr Total]]-Inventory[[#This Row],[24Bldg]])/Inventory[[#This Row],[24Bldg]],0)</f>
        <v>0.18515742128935533</v>
      </c>
      <c r="BT1230" s="36">
        <f>(Inventory[[#This Row],[Adjusted Land Total]]-Inventory[[#This Row],[24Lnd]])/Inventory[[#This Row],[24Lnd]]</f>
        <v>-0.37455830388692579</v>
      </c>
      <c r="BU1230" s="36">
        <f>(Inventory[[#This Row],[Adjusted Total]]-Inventory[[#This Row],[24Final]])/Inventory[[#This Row],[24Final]]</f>
        <v>8.7198515769944335E-2</v>
      </c>
    </row>
    <row r="1231" spans="1:73" x14ac:dyDescent="0.3">
      <c r="A1231" s="25">
        <v>2025</v>
      </c>
      <c r="B1231" s="26" t="s">
        <v>1527</v>
      </c>
      <c r="C1231" s="26">
        <f>LN(Inventory[[#This Row],[Acres]])</f>
        <v>-1.7147984280919266</v>
      </c>
      <c r="D1231" s="25">
        <v>0.18</v>
      </c>
      <c r="E1231" s="32">
        <v>7630</v>
      </c>
      <c r="F1231" s="26" t="s">
        <v>537</v>
      </c>
      <c r="G1231" s="26" t="s">
        <v>126</v>
      </c>
      <c r="H1231" s="26" t="s">
        <v>349</v>
      </c>
      <c r="I1231" s="26" t="s">
        <v>538</v>
      </c>
      <c r="J1231" s="26" t="s">
        <v>638</v>
      </c>
      <c r="K1231" s="26" t="s">
        <v>242</v>
      </c>
      <c r="L1231" s="26" t="s">
        <v>302</v>
      </c>
      <c r="M1231" s="26" t="s">
        <v>206</v>
      </c>
      <c r="N1231" s="26">
        <v>90</v>
      </c>
      <c r="O1231" s="26">
        <f>2024-Inventory[[#This Row],[YrBlt]]</f>
        <v>84</v>
      </c>
      <c r="P1231" s="26">
        <f>2024-Inventory[[#This Row],[EffYr]]</f>
        <v>52</v>
      </c>
      <c r="Q1231" s="25">
        <v>1940</v>
      </c>
      <c r="R1231" s="25">
        <v>1972</v>
      </c>
      <c r="S1231" s="25">
        <v>892</v>
      </c>
      <c r="T1231" s="27"/>
      <c r="U1231" s="27"/>
      <c r="V1231" s="27">
        <f>Inventory[[#This Row],[Bsmt]]-Inventory[[#This Row],[FnBsmt]]</f>
        <v>0</v>
      </c>
      <c r="W1231" s="27"/>
      <c r="X1231" s="31"/>
      <c r="Y1231" s="31">
        <f>Inventory[[#This Row],[MainFn]]+Inventory[[#This Row],[UpprFn]]+Inventory[[#This Row],[FnBsmt]]+Inventory[[#This Row],[AddFn]]</f>
        <v>892</v>
      </c>
      <c r="Z1231" s="27">
        <v>1000</v>
      </c>
      <c r="AA1231" s="25">
        <v>5</v>
      </c>
      <c r="AB1231" s="31"/>
      <c r="AC1231" s="27"/>
      <c r="AD1231" s="27"/>
      <c r="AE1231" s="27"/>
      <c r="AF1231" s="27"/>
      <c r="AG1231" s="27"/>
      <c r="AH1231" s="27"/>
      <c r="AI1231" s="25">
        <v>183936</v>
      </c>
      <c r="AJ1231" s="25">
        <v>121398</v>
      </c>
      <c r="AK1231" s="25">
        <v>16760</v>
      </c>
      <c r="AL1231" s="25">
        <v>243500</v>
      </c>
      <c r="AM1231" s="25">
        <v>54700</v>
      </c>
      <c r="AN1231" s="25">
        <v>188800</v>
      </c>
      <c r="AO1231" s="25">
        <v>0</v>
      </c>
      <c r="AP1231" s="25">
        <f>Lookups!$B$56*0</f>
        <v>0</v>
      </c>
      <c r="AQ1231" s="25">
        <f>Lookups!$B$56*1</f>
        <v>89850.625589999996</v>
      </c>
      <c r="AR1231" s="25">
        <f>Lookups!$B$57*Inventory[[#This Row],[LnAcres]]</f>
        <v>-54281.285314520763</v>
      </c>
      <c r="AS1231" s="25">
        <f>VLOOKUP(Inventory[[#This Row],[Qlty]],Lookups!$A$62:$E$75,2,FALSE)</f>
        <v>29814.093161000001</v>
      </c>
      <c r="AT1231" s="25">
        <f>VLOOKUP(Inventory[[#This Row],[Cnd]],Lookups!$A$76:$E$84,2,FALSE)</f>
        <v>133714.53821</v>
      </c>
      <c r="AU1231" s="25">
        <f>Inventory[[#This Row],[EffAge]]*Lookups!$B$85</f>
        <v>-11598.371226000001</v>
      </c>
      <c r="AV1231" s="25">
        <f>Inventory[[#This Row],[MainFn]]*Lookups!$B$86</f>
        <v>44072.533530284003</v>
      </c>
      <c r="AW1231" s="25">
        <f>Inventory[[#This Row],[UpprFn]]*Lookups!$B$87</f>
        <v>0</v>
      </c>
      <c r="AX1231" s="25">
        <f>Inventory[[#This Row],[AddFn]]*Lookups!$B$88</f>
        <v>0</v>
      </c>
      <c r="AY1231" s="25">
        <f>Inventory[[#This Row],[Bsmt]]*Lookups!$B$89</f>
        <v>0</v>
      </c>
      <c r="AZ1231" s="25">
        <f>Inventory[[#This Row],[Fixtures]]*Lookups!$B$90</f>
        <v>18960.110526</v>
      </c>
      <c r="BA1231" s="25">
        <f>Inventory[[#This Row],[WdDeck]]*Lookups!$B$91</f>
        <v>0</v>
      </c>
      <c r="BB1231" s="25">
        <f>ROUND(Inventory[[#This Row],[25Det]],-2)</f>
        <v>16800</v>
      </c>
      <c r="BC1231" s="25">
        <f>ROUND(SUM(Inventory[[#This Row],[Mdl Qlty]:[Mdl WdDeck]])+Inventory[[#This Row],[Mdl Res Intercept]],-2)</f>
        <v>215000</v>
      </c>
      <c r="BD1231" s="25">
        <f>ROUND(Inventory[[#This Row],[Mdl Land Intercept]]+Inventory[[#This Row],[Mdl LnAcres]],-2)</f>
        <v>35600</v>
      </c>
      <c r="BE1231" s="25">
        <f>Inventory[[#This Row],[Unadj Res Value]]+Inventory[[#This Row],[Unadj Det Value]]+Inventory[[#This Row],[Unadj Land Value]]</f>
        <v>267400</v>
      </c>
      <c r="BF1231" s="36">
        <f>(Inventory[[#This Row],[Unadj Total Value]]-Inventory[[#This Row],[24Final]])/Inventory[[#This Row],[24Final]]</f>
        <v>9.8151950718685835E-2</v>
      </c>
      <c r="BG1231" s="25">
        <f>VLOOKUP(Inventory[[#This Row],[Nbhd]],Lookups!$Q$2:$T$4,4,FALSE)</f>
        <v>0.99970000000000003</v>
      </c>
      <c r="BH1231" s="25">
        <f>VLOOKUP(Inventory[[#This Row],[Qlty]],Lookups!$O$7:$R$21,4,FALSE)</f>
        <v>1.0088999999999999</v>
      </c>
      <c r="BI1231" s="25">
        <f>VLOOKUP(Inventory[[#This Row],[Cnd]],Lookups!$T$7:$W$16,4,FALSE)</f>
        <v>0.99329999999999996</v>
      </c>
      <c r="BJ1231" s="25">
        <f>VLOOKUP(Inventory[[#This Row],[LivArea Range]],Lookups!$T$25:$W$37,4,FALSE)</f>
        <v>1.0148999999999999</v>
      </c>
      <c r="BK1231" s="25">
        <f>VLOOKUP(Inventory[[#This Row],[Decade]],Lookups!$O$25:$R$42,4,FALSE)</f>
        <v>0.98909999999999998</v>
      </c>
      <c r="BL1231" s="25">
        <f>Inventory[[#This Row],[Nbhd Adj]]*0.95</f>
        <v>0.94971499999999998</v>
      </c>
      <c r="BM1231" s="25">
        <f>Inventory[[#This Row],[Nbhd Adj]]*Inventory[[#This Row],[Quality Adj]]*Inventory[[#This Row],[Condition Adj]]*Inventory[[#This Row],[Living Area Adj]]*Inventory[[#This Row],[Decade Adj]]*0.95</f>
        <v>0.95540015910983178</v>
      </c>
      <c r="BN1231" s="25">
        <f>ROUND(SUM(Inventory[[#This Row],[Mdl Qlty]:[Mdl WdDeck]])+Inventory[[#This Row],[Mdl Res Intercept]]*Inventory[[#This Row],[Res Adj ]],-2)</f>
        <v>215000</v>
      </c>
      <c r="BO1231" s="25">
        <f>ROUND(Inventory[[#This Row],[25Det]]*Inventory[[#This Row],[Det/Nbhd Adj]],-2)</f>
        <v>15900</v>
      </c>
      <c r="BP1231" s="25">
        <f>Inventory[[#This Row],[Adjusted Res]]+Inventory[[#This Row],[Adj Det ]]</f>
        <v>230900</v>
      </c>
      <c r="BQ1231" s="25">
        <f>ROUND((Inventory[[#This Row],[Mdl Land Intercept]]+Inventory[[#This Row],[Mdl LnAcres]])*Inventory[[#This Row],[Det/Nbhd Adj]],-2)</f>
        <v>33800</v>
      </c>
      <c r="BR1231" s="25">
        <f>Inventory[[#This Row],[Adjusted Impr Total]]+Inventory[[#This Row],[Adjusted Land Total]]</f>
        <v>264700</v>
      </c>
      <c r="BS1231" s="36">
        <f>IFERROR((Inventory[[#This Row],[Adjusted Impr Total]]-Inventory[[#This Row],[24Bldg]])/Inventory[[#This Row],[24Bldg]],0)</f>
        <v>0.22298728813559321</v>
      </c>
      <c r="BT1231" s="36">
        <f>(Inventory[[#This Row],[Adjusted Land Total]]-Inventory[[#This Row],[24Lnd]])/Inventory[[#This Row],[24Lnd]]</f>
        <v>-0.38208409506398539</v>
      </c>
      <c r="BU1231" s="36">
        <f>(Inventory[[#This Row],[Adjusted Total]]-Inventory[[#This Row],[24Final]])/Inventory[[#This Row],[24Final]]</f>
        <v>8.7063655030800824E-2</v>
      </c>
    </row>
    <row r="1232" spans="1:73" x14ac:dyDescent="0.3">
      <c r="A1232" s="25">
        <v>2025</v>
      </c>
      <c r="B1232" s="26" t="s">
        <v>892</v>
      </c>
      <c r="C1232" s="26">
        <f>LN(Inventory[[#This Row],[Acres]])</f>
        <v>-1.4696759700589417</v>
      </c>
      <c r="D1232" s="25">
        <v>0.23</v>
      </c>
      <c r="E1232" s="25">
        <v>10039</v>
      </c>
      <c r="F1232" s="26" t="s">
        <v>537</v>
      </c>
      <c r="G1232" s="26" t="s">
        <v>126</v>
      </c>
      <c r="H1232" s="26" t="s">
        <v>349</v>
      </c>
      <c r="I1232" s="26" t="s">
        <v>538</v>
      </c>
      <c r="J1232" s="26" t="s">
        <v>539</v>
      </c>
      <c r="K1232" s="26" t="s">
        <v>242</v>
      </c>
      <c r="L1232" s="26" t="s">
        <v>351</v>
      </c>
      <c r="M1232" s="26" t="s">
        <v>323</v>
      </c>
      <c r="N1232" s="26">
        <v>90</v>
      </c>
      <c r="O1232" s="26">
        <f>2024-Inventory[[#This Row],[YrBlt]]</f>
        <v>84</v>
      </c>
      <c r="P1232" s="26">
        <f>2024-Inventory[[#This Row],[EffYr]]</f>
        <v>52</v>
      </c>
      <c r="Q1232" s="25">
        <v>1940</v>
      </c>
      <c r="R1232" s="25">
        <v>1972</v>
      </c>
      <c r="S1232" s="25">
        <v>1203</v>
      </c>
      <c r="T1232" s="27"/>
      <c r="U1232" s="25">
        <v>1203</v>
      </c>
      <c r="V1232" s="25">
        <f>Inventory[[#This Row],[Bsmt]]-Inventory[[#This Row],[FnBsmt]]</f>
        <v>1203</v>
      </c>
      <c r="W1232" s="31"/>
      <c r="X1232" s="27"/>
      <c r="Y1232" s="27">
        <f>Inventory[[#This Row],[MainFn]]+Inventory[[#This Row],[UpprFn]]+Inventory[[#This Row],[FnBsmt]]+Inventory[[#This Row],[AddFn]]</f>
        <v>1203</v>
      </c>
      <c r="Z1232" s="27">
        <v>1500</v>
      </c>
      <c r="AA1232" s="25">
        <v>5</v>
      </c>
      <c r="AB1232" s="27"/>
      <c r="AC1232" s="27"/>
      <c r="AD1232" s="27"/>
      <c r="AE1232" s="27"/>
      <c r="AF1232" s="27"/>
      <c r="AG1232" s="27"/>
      <c r="AH1232" s="27"/>
      <c r="AI1232" s="25">
        <v>249246</v>
      </c>
      <c r="AJ1232" s="25">
        <v>169487</v>
      </c>
      <c r="AK1232" s="25">
        <v>11645</v>
      </c>
      <c r="AL1232" s="25">
        <v>309100</v>
      </c>
      <c r="AM1232" s="25">
        <v>63300</v>
      </c>
      <c r="AN1232" s="25">
        <v>245800</v>
      </c>
      <c r="AO1232" s="25">
        <v>0</v>
      </c>
      <c r="AP1232" s="25">
        <f>Lookups!$B$56*0</f>
        <v>0</v>
      </c>
      <c r="AQ1232" s="25">
        <f>Lookups!$B$56*1</f>
        <v>89850.625589999996</v>
      </c>
      <c r="AR1232" s="25">
        <f>Lookups!$B$57*Inventory[[#This Row],[LnAcres]]</f>
        <v>-46522.028095997222</v>
      </c>
      <c r="AS1232" s="25">
        <f>VLOOKUP(Inventory[[#This Row],[Qlty]],Lookups!$A$62:$E$75,2,FALSE)</f>
        <v>21557.329055999999</v>
      </c>
      <c r="AT1232" s="25">
        <f>VLOOKUP(Inventory[[#This Row],[Cnd]],Lookups!$A$76:$E$84,2,FALSE)</f>
        <v>160472.20319</v>
      </c>
      <c r="AU1232" s="25">
        <f>Inventory[[#This Row],[EffAge]]*Lookups!$B$85</f>
        <v>-11598.371226000001</v>
      </c>
      <c r="AV1232" s="25">
        <f>Inventory[[#This Row],[MainFn]]*Lookups!$B$86</f>
        <v>59438.629862031004</v>
      </c>
      <c r="AW1232" s="25">
        <f>Inventory[[#This Row],[UpprFn]]*Lookups!$B$87</f>
        <v>0</v>
      </c>
      <c r="AX1232" s="25">
        <f>Inventory[[#This Row],[AddFn]]*Lookups!$B$88</f>
        <v>0</v>
      </c>
      <c r="AY1232" s="25">
        <f>Inventory[[#This Row],[Bsmt]]*Lookups!$B$89</f>
        <v>34985.519982140999</v>
      </c>
      <c r="AZ1232" s="25">
        <f>Inventory[[#This Row],[Fixtures]]*Lookups!$B$90</f>
        <v>18960.110526</v>
      </c>
      <c r="BA1232" s="25">
        <f>Inventory[[#This Row],[WdDeck]]*Lookups!$B$91</f>
        <v>0</v>
      </c>
      <c r="BB1232" s="25">
        <f>ROUND(Inventory[[#This Row],[25Det]],-2)</f>
        <v>11600</v>
      </c>
      <c r="BC1232" s="25">
        <f>ROUND(SUM(Inventory[[#This Row],[Mdl Qlty]:[Mdl WdDeck]])+Inventory[[#This Row],[Mdl Res Intercept]],-2)</f>
        <v>283800</v>
      </c>
      <c r="BD1232" s="25">
        <f>ROUND(Inventory[[#This Row],[Mdl Land Intercept]]+Inventory[[#This Row],[Mdl LnAcres]],-2)</f>
        <v>43300</v>
      </c>
      <c r="BE1232" s="25">
        <f>Inventory[[#This Row],[Unadj Res Value]]+Inventory[[#This Row],[Unadj Det Value]]+Inventory[[#This Row],[Unadj Land Value]]</f>
        <v>338700</v>
      </c>
      <c r="BF1232" s="36">
        <f>(Inventory[[#This Row],[Unadj Total Value]]-Inventory[[#This Row],[24Final]])/Inventory[[#This Row],[24Final]]</f>
        <v>9.5761889356195409E-2</v>
      </c>
      <c r="BG1232" s="25">
        <f>VLOOKUP(Inventory[[#This Row],[Nbhd]],Lookups!$Q$2:$T$4,4,FALSE)</f>
        <v>0.99970000000000003</v>
      </c>
      <c r="BH1232" s="25">
        <f>VLOOKUP(Inventory[[#This Row],[Qlty]],Lookups!$O$7:$R$21,4,FALSE)</f>
        <v>1.0067999999999999</v>
      </c>
      <c r="BI1232" s="25">
        <f>VLOOKUP(Inventory[[#This Row],[Cnd]],Lookups!$T$7:$W$16,4,FALSE)</f>
        <v>0.99729999999999996</v>
      </c>
      <c r="BJ1232" s="25">
        <f>VLOOKUP(Inventory[[#This Row],[LivArea Range]],Lookups!$T$25:$W$37,4,FALSE)</f>
        <v>1.0157</v>
      </c>
      <c r="BK1232" s="25">
        <f>VLOOKUP(Inventory[[#This Row],[Decade]],Lookups!$O$25:$R$42,4,FALSE)</f>
        <v>0.98909999999999998</v>
      </c>
      <c r="BL1232" s="25">
        <f>Inventory[[#This Row],[Nbhd Adj]]*0.95</f>
        <v>0.94971499999999998</v>
      </c>
      <c r="BM1232" s="25">
        <f>Inventory[[#This Row],[Nbhd Adj]]*Inventory[[#This Row],[Quality Adj]]*Inventory[[#This Row],[Condition Adj]]*Inventory[[#This Row],[Living Area Adj]]*Inventory[[#This Row],[Decade Adj]]*0.95</f>
        <v>0.95800544533193577</v>
      </c>
      <c r="BN1232" s="25">
        <f>ROUND(SUM(Inventory[[#This Row],[Mdl Qlty]:[Mdl WdDeck]])+Inventory[[#This Row],[Mdl Res Intercept]]*Inventory[[#This Row],[Res Adj ]],-2)</f>
        <v>283800</v>
      </c>
      <c r="BO1232" s="25">
        <f>ROUND(Inventory[[#This Row],[25Det]]*Inventory[[#This Row],[Det/Nbhd Adj]],-2)</f>
        <v>11100</v>
      </c>
      <c r="BP1232" s="25">
        <f>Inventory[[#This Row],[Adjusted Res]]+Inventory[[#This Row],[Adj Det ]]</f>
        <v>294900</v>
      </c>
      <c r="BQ1232" s="25">
        <f>ROUND((Inventory[[#This Row],[Mdl Land Intercept]]+Inventory[[#This Row],[Mdl LnAcres]])*Inventory[[#This Row],[Det/Nbhd Adj]],-2)</f>
        <v>41100</v>
      </c>
      <c r="BR1232" s="25">
        <f>Inventory[[#This Row],[Adjusted Impr Total]]+Inventory[[#This Row],[Adjusted Land Total]]</f>
        <v>336000</v>
      </c>
      <c r="BS1232" s="36">
        <f>IFERROR((Inventory[[#This Row],[Adjusted Impr Total]]-Inventory[[#This Row],[24Bldg]])/Inventory[[#This Row],[24Bldg]],0)</f>
        <v>0.19975589910496339</v>
      </c>
      <c r="BT1232" s="36">
        <f>(Inventory[[#This Row],[Adjusted Land Total]]-Inventory[[#This Row],[24Lnd]])/Inventory[[#This Row],[24Lnd]]</f>
        <v>-0.35071090047393366</v>
      </c>
      <c r="BU1232" s="36">
        <f>(Inventory[[#This Row],[Adjusted Total]]-Inventory[[#This Row],[24Final]])/Inventory[[#This Row],[24Final]]</f>
        <v>8.7026852151407305E-2</v>
      </c>
    </row>
    <row r="1233" spans="1:73" x14ac:dyDescent="0.3">
      <c r="A1233" s="25">
        <v>2025</v>
      </c>
      <c r="B1233" s="26" t="s">
        <v>1053</v>
      </c>
      <c r="C1233" s="26">
        <f>LN(Inventory[[#This Row],[Acres]])</f>
        <v>-1.8325814637483102</v>
      </c>
      <c r="D1233" s="25">
        <v>0.16</v>
      </c>
      <c r="E1233" s="31"/>
      <c r="F1233" s="26" t="s">
        <v>537</v>
      </c>
      <c r="G1233" s="26" t="s">
        <v>126</v>
      </c>
      <c r="H1233" s="26" t="s">
        <v>349</v>
      </c>
      <c r="I1233" s="26" t="s">
        <v>538</v>
      </c>
      <c r="J1233" s="26" t="s">
        <v>539</v>
      </c>
      <c r="K1233" s="26" t="s">
        <v>242</v>
      </c>
      <c r="L1233" s="26" t="s">
        <v>351</v>
      </c>
      <c r="M1233" s="26" t="s">
        <v>323</v>
      </c>
      <c r="N1233" s="26">
        <v>90</v>
      </c>
      <c r="O1233" s="26">
        <f>2024-Inventory[[#This Row],[YrBlt]]</f>
        <v>84</v>
      </c>
      <c r="P1233" s="26">
        <f>2024-Inventory[[#This Row],[EffYr]]</f>
        <v>52</v>
      </c>
      <c r="Q1233" s="25">
        <v>1940</v>
      </c>
      <c r="R1233" s="25">
        <v>1972</v>
      </c>
      <c r="S1233" s="25">
        <v>1261</v>
      </c>
      <c r="T1233" s="27"/>
      <c r="U1233" s="25">
        <v>1173</v>
      </c>
      <c r="V1233" s="25">
        <f>Inventory[[#This Row],[Bsmt]]-Inventory[[#This Row],[FnBsmt]]</f>
        <v>673</v>
      </c>
      <c r="W1233" s="25">
        <v>500</v>
      </c>
      <c r="X1233" s="27"/>
      <c r="Y1233" s="27">
        <f>Inventory[[#This Row],[MainFn]]+Inventory[[#This Row],[UpprFn]]+Inventory[[#This Row],[FnBsmt]]+Inventory[[#This Row],[AddFn]]</f>
        <v>1761</v>
      </c>
      <c r="Z1233" s="27">
        <v>2000</v>
      </c>
      <c r="AA1233" s="25">
        <v>8</v>
      </c>
      <c r="AB1233" s="27"/>
      <c r="AC1233" s="27"/>
      <c r="AD1233" s="32">
        <v>274</v>
      </c>
      <c r="AE1233" s="27"/>
      <c r="AF1233" s="27"/>
      <c r="AG1233" s="27"/>
      <c r="AH1233" s="27"/>
      <c r="AI1233" s="25">
        <v>281606</v>
      </c>
      <c r="AJ1233" s="25">
        <v>191492</v>
      </c>
      <c r="AK1233" s="25">
        <v>5261</v>
      </c>
      <c r="AL1233" s="25">
        <v>314200</v>
      </c>
      <c r="AM1233" s="25">
        <v>50600</v>
      </c>
      <c r="AN1233" s="25">
        <v>263600</v>
      </c>
      <c r="AO1233" s="25">
        <v>0</v>
      </c>
      <c r="AP1233" s="25">
        <f>Lookups!$B$56*0</f>
        <v>0</v>
      </c>
      <c r="AQ1233" s="25">
        <f>Lookups!$B$56*1</f>
        <v>89850.625589999996</v>
      </c>
      <c r="AR1233" s="25">
        <f>Lookups!$B$57*Inventory[[#This Row],[LnAcres]]</f>
        <v>-58009.662049032086</v>
      </c>
      <c r="AS1233" s="25">
        <f>VLOOKUP(Inventory[[#This Row],[Qlty]],Lookups!$A$62:$E$75,2,FALSE)</f>
        <v>21557.329055999999</v>
      </c>
      <c r="AT1233" s="25">
        <f>VLOOKUP(Inventory[[#This Row],[Cnd]],Lookups!$A$76:$E$84,2,FALSE)</f>
        <v>160472.20319</v>
      </c>
      <c r="AU1233" s="25">
        <f>Inventory[[#This Row],[EffAge]]*Lookups!$B$85</f>
        <v>-11598.371226000001</v>
      </c>
      <c r="AV1233" s="25">
        <f>Inventory[[#This Row],[MainFn]]*Lookups!$B$86</f>
        <v>62304.332714896998</v>
      </c>
      <c r="AW1233" s="25">
        <f>Inventory[[#This Row],[UpprFn]]*Lookups!$B$87</f>
        <v>0</v>
      </c>
      <c r="AX1233" s="25">
        <f>Inventory[[#This Row],[AddFn]]*Lookups!$B$88</f>
        <v>0</v>
      </c>
      <c r="AY1233" s="25">
        <f>Inventory[[#This Row],[Bsmt]]*Lookups!$B$89</f>
        <v>34113.063124731001</v>
      </c>
      <c r="AZ1233" s="25">
        <f>Inventory[[#This Row],[Fixtures]]*Lookups!$B$90</f>
        <v>30336.176841600001</v>
      </c>
      <c r="BA1233" s="25">
        <f>Inventory[[#This Row],[WdDeck]]*Lookups!$B$91</f>
        <v>9122.971185624001</v>
      </c>
      <c r="BB1233" s="25">
        <f>ROUND(Inventory[[#This Row],[25Det]],-2)</f>
        <v>5300</v>
      </c>
      <c r="BC1233" s="25">
        <f>ROUND(SUM(Inventory[[#This Row],[Mdl Qlty]:[Mdl WdDeck]])+Inventory[[#This Row],[Mdl Res Intercept]],-2)</f>
        <v>306300</v>
      </c>
      <c r="BD1233" s="25">
        <f>ROUND(Inventory[[#This Row],[Mdl Land Intercept]]+Inventory[[#This Row],[Mdl LnAcres]],-2)</f>
        <v>31800</v>
      </c>
      <c r="BE1233" s="25">
        <f>Inventory[[#This Row],[Unadj Res Value]]+Inventory[[#This Row],[Unadj Det Value]]+Inventory[[#This Row],[Unadj Land Value]]</f>
        <v>343400</v>
      </c>
      <c r="BF1233" s="36">
        <f>(Inventory[[#This Row],[Unadj Total Value]]-Inventory[[#This Row],[24Final]])/Inventory[[#This Row],[24Final]]</f>
        <v>9.2934436664544873E-2</v>
      </c>
      <c r="BG1233" s="25">
        <f>VLOOKUP(Inventory[[#This Row],[Nbhd]],Lookups!$Q$2:$T$4,4,FALSE)</f>
        <v>0.99970000000000003</v>
      </c>
      <c r="BH1233" s="25">
        <f>VLOOKUP(Inventory[[#This Row],[Qlty]],Lookups!$O$7:$R$21,4,FALSE)</f>
        <v>1.0067999999999999</v>
      </c>
      <c r="BI1233" s="25">
        <f>VLOOKUP(Inventory[[#This Row],[Cnd]],Lookups!$T$7:$W$16,4,FALSE)</f>
        <v>0.99729999999999996</v>
      </c>
      <c r="BJ1233" s="25">
        <f>VLOOKUP(Inventory[[#This Row],[LivArea Range]],Lookups!$T$25:$W$37,4,FALSE)</f>
        <v>1.0093000000000001</v>
      </c>
      <c r="BK1233" s="25">
        <f>VLOOKUP(Inventory[[#This Row],[Decade]],Lookups!$O$25:$R$42,4,FALSE)</f>
        <v>0.98909999999999998</v>
      </c>
      <c r="BL1233" s="25">
        <f>Inventory[[#This Row],[Nbhd Adj]]*0.95</f>
        <v>0.94971499999999998</v>
      </c>
      <c r="BM1233" s="25">
        <f>Inventory[[#This Row],[Nbhd Adj]]*Inventory[[#This Row],[Quality Adj]]*Inventory[[#This Row],[Condition Adj]]*Inventory[[#This Row],[Living Area Adj]]*Inventory[[#This Row],[Decade Adj]]*0.95</f>
        <v>0.95196898294134369</v>
      </c>
      <c r="BN1233" s="25">
        <f>ROUND(SUM(Inventory[[#This Row],[Mdl Qlty]:[Mdl WdDeck]])+Inventory[[#This Row],[Mdl Res Intercept]]*Inventory[[#This Row],[Res Adj ]],-2)</f>
        <v>306300</v>
      </c>
      <c r="BO1233" s="25">
        <f>ROUND(Inventory[[#This Row],[25Det]]*Inventory[[#This Row],[Det/Nbhd Adj]],-2)</f>
        <v>5000</v>
      </c>
      <c r="BP1233" s="25">
        <f>Inventory[[#This Row],[Adjusted Res]]+Inventory[[#This Row],[Adj Det ]]</f>
        <v>311300</v>
      </c>
      <c r="BQ1233" s="25">
        <f>ROUND((Inventory[[#This Row],[Mdl Land Intercept]]+Inventory[[#This Row],[Mdl LnAcres]])*Inventory[[#This Row],[Det/Nbhd Adj]],-2)</f>
        <v>30200</v>
      </c>
      <c r="BR1233" s="25">
        <f>Inventory[[#This Row],[Adjusted Impr Total]]+Inventory[[#This Row],[Adjusted Land Total]]</f>
        <v>341500</v>
      </c>
      <c r="BS1233" s="36">
        <f>IFERROR((Inventory[[#This Row],[Adjusted Impr Total]]-Inventory[[#This Row],[24Bldg]])/Inventory[[#This Row],[24Bldg]],0)</f>
        <v>0.18095599393019726</v>
      </c>
      <c r="BT1233" s="36">
        <f>(Inventory[[#This Row],[Adjusted Land Total]]-Inventory[[#This Row],[24Lnd]])/Inventory[[#This Row],[24Lnd]]</f>
        <v>-0.40316205533596838</v>
      </c>
      <c r="BU1233" s="36">
        <f>(Inventory[[#This Row],[Adjusted Total]]-Inventory[[#This Row],[24Final]])/Inventory[[#This Row],[24Final]]</f>
        <v>8.6887332908975171E-2</v>
      </c>
    </row>
    <row r="1234" spans="1:73" x14ac:dyDescent="0.3">
      <c r="A1234" s="25">
        <v>2025</v>
      </c>
      <c r="B1234" s="26" t="s">
        <v>1388</v>
      </c>
      <c r="C1234" s="26">
        <f>LN(Inventory[[#This Row],[Acres]])</f>
        <v>-2.120263536200091</v>
      </c>
      <c r="D1234" s="25">
        <v>0.12</v>
      </c>
      <c r="E1234" s="25">
        <v>5444</v>
      </c>
      <c r="F1234" s="26" t="s">
        <v>537</v>
      </c>
      <c r="G1234" s="26" t="s">
        <v>126</v>
      </c>
      <c r="H1234" s="26" t="s">
        <v>349</v>
      </c>
      <c r="I1234" s="26" t="s">
        <v>538</v>
      </c>
      <c r="J1234" s="26" t="s">
        <v>539</v>
      </c>
      <c r="K1234" s="26" t="s">
        <v>269</v>
      </c>
      <c r="L1234" s="26" t="s">
        <v>351</v>
      </c>
      <c r="M1234" s="26" t="s">
        <v>323</v>
      </c>
      <c r="N1234" s="26">
        <v>90</v>
      </c>
      <c r="O1234" s="26">
        <f>2024-Inventory[[#This Row],[YrBlt]]</f>
        <v>84</v>
      </c>
      <c r="P1234" s="26">
        <f>2024-Inventory[[#This Row],[EffYr]]</f>
        <v>52</v>
      </c>
      <c r="Q1234" s="25">
        <v>1940</v>
      </c>
      <c r="R1234" s="25">
        <v>1972</v>
      </c>
      <c r="S1234" s="25">
        <v>968</v>
      </c>
      <c r="T1234" s="27"/>
      <c r="U1234" s="32">
        <v>984</v>
      </c>
      <c r="V1234" s="32">
        <f>Inventory[[#This Row],[Bsmt]]-Inventory[[#This Row],[FnBsmt]]</f>
        <v>734</v>
      </c>
      <c r="W1234" s="32">
        <v>250</v>
      </c>
      <c r="X1234" s="27"/>
      <c r="Y1234" s="27">
        <f>Inventory[[#This Row],[MainFn]]+Inventory[[#This Row],[UpprFn]]+Inventory[[#This Row],[FnBsmt]]+Inventory[[#This Row],[AddFn]]</f>
        <v>1218</v>
      </c>
      <c r="Z1234" s="27">
        <v>1500</v>
      </c>
      <c r="AA1234" s="25">
        <v>5</v>
      </c>
      <c r="AB1234" s="31"/>
      <c r="AC1234" s="27"/>
      <c r="AD1234" s="27"/>
      <c r="AE1234" s="27"/>
      <c r="AF1234" s="27"/>
      <c r="AG1234" s="27"/>
      <c r="AH1234" s="27"/>
      <c r="AI1234" s="25">
        <v>212929</v>
      </c>
      <c r="AJ1234" s="25">
        <v>144792</v>
      </c>
      <c r="AK1234" s="25">
        <v>9004</v>
      </c>
      <c r="AL1234" s="25">
        <v>272400</v>
      </c>
      <c r="AM1234" s="25">
        <v>40600</v>
      </c>
      <c r="AN1234" s="25">
        <v>231800</v>
      </c>
      <c r="AO1234" s="25">
        <v>0</v>
      </c>
      <c r="AP1234" s="25">
        <f>Lookups!$B$56*0</f>
        <v>0</v>
      </c>
      <c r="AQ1234" s="25">
        <f>Lookups!$B$56*1</f>
        <v>89850.625589999996</v>
      </c>
      <c r="AR1234" s="25">
        <f>Lookups!$B$57*Inventory[[#This Row],[LnAcres]]</f>
        <v>-67116.12750806773</v>
      </c>
      <c r="AS1234" s="25">
        <f>VLOOKUP(Inventory[[#This Row],[Qlty]],Lookups!$A$62:$E$75,2,FALSE)</f>
        <v>21557.329055999999</v>
      </c>
      <c r="AT1234" s="25">
        <f>VLOOKUP(Inventory[[#This Row],[Cnd]],Lookups!$A$76:$E$84,2,FALSE)</f>
        <v>160472.20319</v>
      </c>
      <c r="AU1234" s="25">
        <f>Inventory[[#This Row],[EffAge]]*Lookups!$B$85</f>
        <v>-11598.371226000001</v>
      </c>
      <c r="AV1234" s="25">
        <f>Inventory[[#This Row],[MainFn]]*Lookups!$B$86</f>
        <v>47827.592440936001</v>
      </c>
      <c r="AW1234" s="25">
        <f>Inventory[[#This Row],[UpprFn]]*Lookups!$B$87</f>
        <v>0</v>
      </c>
      <c r="AX1234" s="25">
        <f>Inventory[[#This Row],[AddFn]]*Lookups!$B$88</f>
        <v>0</v>
      </c>
      <c r="AY1234" s="25">
        <f>Inventory[[#This Row],[Bsmt]]*Lookups!$B$89</f>
        <v>28616.584923047998</v>
      </c>
      <c r="AZ1234" s="25">
        <f>Inventory[[#This Row],[Fixtures]]*Lookups!$B$90</f>
        <v>18960.110526</v>
      </c>
      <c r="BA1234" s="25">
        <f>Inventory[[#This Row],[WdDeck]]*Lookups!$B$91</f>
        <v>0</v>
      </c>
      <c r="BB1234" s="25">
        <f>ROUND(Inventory[[#This Row],[25Det]],-2)</f>
        <v>9000</v>
      </c>
      <c r="BC1234" s="25">
        <f>ROUND(SUM(Inventory[[#This Row],[Mdl Qlty]:[Mdl WdDeck]])+Inventory[[#This Row],[Mdl Res Intercept]],-2)</f>
        <v>265800</v>
      </c>
      <c r="BD1234" s="25">
        <f>ROUND(Inventory[[#This Row],[Mdl Land Intercept]]+Inventory[[#This Row],[Mdl LnAcres]],-2)</f>
        <v>22700</v>
      </c>
      <c r="BE1234" s="25">
        <f>Inventory[[#This Row],[Unadj Res Value]]+Inventory[[#This Row],[Unadj Det Value]]+Inventory[[#This Row],[Unadj Land Value]]</f>
        <v>297500</v>
      </c>
      <c r="BF1234" s="36">
        <f>(Inventory[[#This Row],[Unadj Total Value]]-Inventory[[#This Row],[24Final]])/Inventory[[#This Row],[24Final]]</f>
        <v>9.2143906020557997E-2</v>
      </c>
      <c r="BG1234" s="25">
        <f>VLOOKUP(Inventory[[#This Row],[Nbhd]],Lookups!$Q$2:$T$4,4,FALSE)</f>
        <v>0.99970000000000003</v>
      </c>
      <c r="BH1234" s="25">
        <f>VLOOKUP(Inventory[[#This Row],[Qlty]],Lookups!$O$7:$R$21,4,FALSE)</f>
        <v>1.0067999999999999</v>
      </c>
      <c r="BI1234" s="25">
        <f>VLOOKUP(Inventory[[#This Row],[Cnd]],Lookups!$T$7:$W$16,4,FALSE)</f>
        <v>0.99729999999999996</v>
      </c>
      <c r="BJ1234" s="25">
        <f>VLOOKUP(Inventory[[#This Row],[LivArea Range]],Lookups!$T$25:$W$37,4,FALSE)</f>
        <v>1.0157</v>
      </c>
      <c r="BK1234" s="25">
        <f>VLOOKUP(Inventory[[#This Row],[Decade]],Lookups!$O$25:$R$42,4,FALSE)</f>
        <v>0.98909999999999998</v>
      </c>
      <c r="BL1234" s="25">
        <f>Inventory[[#This Row],[Nbhd Adj]]*0.95</f>
        <v>0.94971499999999998</v>
      </c>
      <c r="BM1234" s="25">
        <f>Inventory[[#This Row],[Nbhd Adj]]*Inventory[[#This Row],[Quality Adj]]*Inventory[[#This Row],[Condition Adj]]*Inventory[[#This Row],[Living Area Adj]]*Inventory[[#This Row],[Decade Adj]]*0.95</f>
        <v>0.95800544533193577</v>
      </c>
      <c r="BN1234" s="25">
        <f>ROUND(SUM(Inventory[[#This Row],[Mdl Qlty]:[Mdl WdDeck]])+Inventory[[#This Row],[Mdl Res Intercept]]*Inventory[[#This Row],[Res Adj ]],-2)</f>
        <v>265800</v>
      </c>
      <c r="BO1234" s="25">
        <f>ROUND(Inventory[[#This Row],[25Det]]*Inventory[[#This Row],[Det/Nbhd Adj]],-2)</f>
        <v>8600</v>
      </c>
      <c r="BP1234" s="25">
        <f>Inventory[[#This Row],[Adjusted Res]]+Inventory[[#This Row],[Adj Det ]]</f>
        <v>274400</v>
      </c>
      <c r="BQ1234" s="25">
        <f>ROUND((Inventory[[#This Row],[Mdl Land Intercept]]+Inventory[[#This Row],[Mdl LnAcres]])*Inventory[[#This Row],[Det/Nbhd Adj]],-2)</f>
        <v>21600</v>
      </c>
      <c r="BR1234" s="25">
        <f>Inventory[[#This Row],[Adjusted Impr Total]]+Inventory[[#This Row],[Adjusted Land Total]]</f>
        <v>296000</v>
      </c>
      <c r="BS1234" s="36">
        <f>IFERROR((Inventory[[#This Row],[Adjusted Impr Total]]-Inventory[[#This Row],[24Bldg]])/Inventory[[#This Row],[24Bldg]],0)</f>
        <v>0.18377911993097498</v>
      </c>
      <c r="BT1234" s="36">
        <f>(Inventory[[#This Row],[Adjusted Land Total]]-Inventory[[#This Row],[24Lnd]])/Inventory[[#This Row],[24Lnd]]</f>
        <v>-0.46798029556650245</v>
      </c>
      <c r="BU1234" s="36">
        <f>(Inventory[[#This Row],[Adjusted Total]]-Inventory[[#This Row],[24Final]])/Inventory[[#This Row],[24Final]]</f>
        <v>8.6637298091042578E-2</v>
      </c>
    </row>
    <row r="1235" spans="1:73" x14ac:dyDescent="0.3">
      <c r="A1235" s="25">
        <v>2025</v>
      </c>
      <c r="B1235" s="26" t="s">
        <v>1054</v>
      </c>
      <c r="C1235" s="26">
        <f>LN(Inventory[[#This Row],[Acres]])</f>
        <v>-1.8325814637483102</v>
      </c>
      <c r="D1235" s="25">
        <v>0.16</v>
      </c>
      <c r="E1235" s="27"/>
      <c r="F1235" s="26" t="s">
        <v>537</v>
      </c>
      <c r="G1235" s="26" t="s">
        <v>126</v>
      </c>
      <c r="H1235" s="26" t="s">
        <v>349</v>
      </c>
      <c r="I1235" s="26" t="s">
        <v>538</v>
      </c>
      <c r="J1235" s="26" t="s">
        <v>539</v>
      </c>
      <c r="K1235" s="26" t="s">
        <v>242</v>
      </c>
      <c r="L1235" s="26" t="s">
        <v>351</v>
      </c>
      <c r="M1235" s="26" t="s">
        <v>323</v>
      </c>
      <c r="N1235" s="26">
        <v>90</v>
      </c>
      <c r="O1235" s="26">
        <f>2024-Inventory[[#This Row],[YrBlt]]</f>
        <v>84</v>
      </c>
      <c r="P1235" s="26">
        <f>2024-Inventory[[#This Row],[EffYr]]</f>
        <v>52</v>
      </c>
      <c r="Q1235" s="25">
        <v>1940</v>
      </c>
      <c r="R1235" s="25">
        <v>1972</v>
      </c>
      <c r="S1235" s="25">
        <v>781</v>
      </c>
      <c r="T1235" s="27"/>
      <c r="U1235" s="25">
        <v>781</v>
      </c>
      <c r="V1235" s="25">
        <f>Inventory[[#This Row],[Bsmt]]-Inventory[[#This Row],[FnBsmt]]</f>
        <v>0</v>
      </c>
      <c r="W1235" s="25">
        <v>781</v>
      </c>
      <c r="X1235" s="27"/>
      <c r="Y1235" s="27">
        <f>Inventory[[#This Row],[MainFn]]+Inventory[[#This Row],[UpprFn]]+Inventory[[#This Row],[FnBsmt]]+Inventory[[#This Row],[AddFn]]</f>
        <v>1562</v>
      </c>
      <c r="Z1235" s="27">
        <v>2000</v>
      </c>
      <c r="AA1235" s="25">
        <v>9</v>
      </c>
      <c r="AB1235" s="31"/>
      <c r="AC1235" s="27"/>
      <c r="AD1235" s="32">
        <v>529</v>
      </c>
      <c r="AE1235" s="27"/>
      <c r="AF1235" s="27"/>
      <c r="AG1235" s="27"/>
      <c r="AH1235" s="27"/>
      <c r="AI1235" s="25">
        <v>222912</v>
      </c>
      <c r="AJ1235" s="25">
        <v>151580</v>
      </c>
      <c r="AK1235" s="25">
        <v>5261</v>
      </c>
      <c r="AL1235" s="25">
        <v>293300</v>
      </c>
      <c r="AM1235" s="25">
        <v>50600</v>
      </c>
      <c r="AN1235" s="25">
        <v>242700</v>
      </c>
      <c r="AO1235" s="25">
        <v>0</v>
      </c>
      <c r="AP1235" s="25">
        <f>Lookups!$B$56*0</f>
        <v>0</v>
      </c>
      <c r="AQ1235" s="25">
        <f>Lookups!$B$56*1</f>
        <v>89850.625589999996</v>
      </c>
      <c r="AR1235" s="25">
        <f>Lookups!$B$57*Inventory[[#This Row],[LnAcres]]</f>
        <v>-58009.662049032086</v>
      </c>
      <c r="AS1235" s="25">
        <f>VLOOKUP(Inventory[[#This Row],[Qlty]],Lookups!$A$62:$E$75,2,FALSE)</f>
        <v>21557.329055999999</v>
      </c>
      <c r="AT1235" s="25">
        <f>VLOOKUP(Inventory[[#This Row],[Cnd]],Lookups!$A$76:$E$84,2,FALSE)</f>
        <v>160472.20319</v>
      </c>
      <c r="AU1235" s="25">
        <f>Inventory[[#This Row],[EffAge]]*Lookups!$B$85</f>
        <v>-11598.371226000001</v>
      </c>
      <c r="AV1235" s="25">
        <f>Inventory[[#This Row],[MainFn]]*Lookups!$B$86</f>
        <v>38588.171173937</v>
      </c>
      <c r="AW1235" s="25">
        <f>Inventory[[#This Row],[UpprFn]]*Lookups!$B$87</f>
        <v>0</v>
      </c>
      <c r="AX1235" s="25">
        <f>Inventory[[#This Row],[AddFn]]*Lookups!$B$88</f>
        <v>0</v>
      </c>
      <c r="AY1235" s="25">
        <f>Inventory[[#This Row],[Bsmt]]*Lookups!$B$89</f>
        <v>22712.960187907</v>
      </c>
      <c r="AZ1235" s="25">
        <f>Inventory[[#This Row],[Fixtures]]*Lookups!$B$90</f>
        <v>34128.198946800003</v>
      </c>
      <c r="BA1235" s="25">
        <f>Inventory[[#This Row],[WdDeck]]*Lookups!$B$91</f>
        <v>17613.327581004003</v>
      </c>
      <c r="BB1235" s="25">
        <f>ROUND(Inventory[[#This Row],[25Det]],-2)</f>
        <v>5300</v>
      </c>
      <c r="BC1235" s="25">
        <f>ROUND(SUM(Inventory[[#This Row],[Mdl Qlty]:[Mdl WdDeck]])+Inventory[[#This Row],[Mdl Res Intercept]],-2)</f>
        <v>283500</v>
      </c>
      <c r="BD1235" s="25">
        <f>ROUND(Inventory[[#This Row],[Mdl Land Intercept]]+Inventory[[#This Row],[Mdl LnAcres]],-2)</f>
        <v>31800</v>
      </c>
      <c r="BE1235" s="25">
        <f>Inventory[[#This Row],[Unadj Res Value]]+Inventory[[#This Row],[Unadj Det Value]]+Inventory[[#This Row],[Unadj Land Value]]</f>
        <v>320600</v>
      </c>
      <c r="BF1235" s="36">
        <f>(Inventory[[#This Row],[Unadj Total Value]]-Inventory[[#This Row],[24Final]])/Inventory[[#This Row],[24Final]]</f>
        <v>9.3078758949880672E-2</v>
      </c>
      <c r="BG1235" s="25">
        <f>VLOOKUP(Inventory[[#This Row],[Nbhd]],Lookups!$Q$2:$T$4,4,FALSE)</f>
        <v>0.99970000000000003</v>
      </c>
      <c r="BH1235" s="25">
        <f>VLOOKUP(Inventory[[#This Row],[Qlty]],Lookups!$O$7:$R$21,4,FALSE)</f>
        <v>1.0067999999999999</v>
      </c>
      <c r="BI1235" s="25">
        <f>VLOOKUP(Inventory[[#This Row],[Cnd]],Lookups!$T$7:$W$16,4,FALSE)</f>
        <v>0.99729999999999996</v>
      </c>
      <c r="BJ1235" s="25">
        <f>VLOOKUP(Inventory[[#This Row],[LivArea Range]],Lookups!$T$25:$W$37,4,FALSE)</f>
        <v>1.0093000000000001</v>
      </c>
      <c r="BK1235" s="25">
        <f>VLOOKUP(Inventory[[#This Row],[Decade]],Lookups!$O$25:$R$42,4,FALSE)</f>
        <v>0.98909999999999998</v>
      </c>
      <c r="BL1235" s="25">
        <f>Inventory[[#This Row],[Nbhd Adj]]*0.95</f>
        <v>0.94971499999999998</v>
      </c>
      <c r="BM1235" s="25">
        <f>Inventory[[#This Row],[Nbhd Adj]]*Inventory[[#This Row],[Quality Adj]]*Inventory[[#This Row],[Condition Adj]]*Inventory[[#This Row],[Living Area Adj]]*Inventory[[#This Row],[Decade Adj]]*0.95</f>
        <v>0.95196898294134369</v>
      </c>
      <c r="BN1235" s="25">
        <f>ROUND(SUM(Inventory[[#This Row],[Mdl Qlty]:[Mdl WdDeck]])+Inventory[[#This Row],[Mdl Res Intercept]]*Inventory[[#This Row],[Res Adj ]],-2)</f>
        <v>283500</v>
      </c>
      <c r="BO1235" s="25">
        <f>ROUND(Inventory[[#This Row],[25Det]]*Inventory[[#This Row],[Det/Nbhd Adj]],-2)</f>
        <v>5000</v>
      </c>
      <c r="BP1235" s="25">
        <f>Inventory[[#This Row],[Adjusted Res]]+Inventory[[#This Row],[Adj Det ]]</f>
        <v>288500</v>
      </c>
      <c r="BQ1235" s="25">
        <f>ROUND((Inventory[[#This Row],[Mdl Land Intercept]]+Inventory[[#This Row],[Mdl LnAcres]])*Inventory[[#This Row],[Det/Nbhd Adj]],-2)</f>
        <v>30200</v>
      </c>
      <c r="BR1235" s="25">
        <f>Inventory[[#This Row],[Adjusted Impr Total]]+Inventory[[#This Row],[Adjusted Land Total]]</f>
        <v>318700</v>
      </c>
      <c r="BS1235" s="36">
        <f>IFERROR((Inventory[[#This Row],[Adjusted Impr Total]]-Inventory[[#This Row],[24Bldg]])/Inventory[[#This Row],[24Bldg]],0)</f>
        <v>0.18871034198599093</v>
      </c>
      <c r="BT1235" s="36">
        <f>(Inventory[[#This Row],[Adjusted Land Total]]-Inventory[[#This Row],[24Lnd]])/Inventory[[#This Row],[24Lnd]]</f>
        <v>-0.40316205533596838</v>
      </c>
      <c r="BU1235" s="36">
        <f>(Inventory[[#This Row],[Adjusted Total]]-Inventory[[#This Row],[24Final]])/Inventory[[#This Row],[24Final]]</f>
        <v>8.660075008523696E-2</v>
      </c>
    </row>
    <row r="1236" spans="1:73" x14ac:dyDescent="0.3">
      <c r="A1236" s="25">
        <v>2025</v>
      </c>
      <c r="B1236" s="26" t="s">
        <v>1844</v>
      </c>
      <c r="C1236" s="26">
        <f>LN(Inventory[[#This Row],[Acres]])</f>
        <v>-1.8971199848858813</v>
      </c>
      <c r="D1236" s="25">
        <v>0.15</v>
      </c>
      <c r="E1236" s="27"/>
      <c r="F1236" s="26" t="s">
        <v>537</v>
      </c>
      <c r="G1236" s="26" t="s">
        <v>126</v>
      </c>
      <c r="H1236" s="26" t="s">
        <v>349</v>
      </c>
      <c r="I1236" s="26" t="s">
        <v>538</v>
      </c>
      <c r="J1236" s="26" t="s">
        <v>638</v>
      </c>
      <c r="K1236" s="26" t="s">
        <v>242</v>
      </c>
      <c r="L1236" s="26" t="s">
        <v>205</v>
      </c>
      <c r="M1236" s="26" t="s">
        <v>303</v>
      </c>
      <c r="N1236" s="26">
        <v>90</v>
      </c>
      <c r="O1236" s="26">
        <f>2024-Inventory[[#This Row],[YrBlt]]</f>
        <v>84</v>
      </c>
      <c r="P1236" s="26">
        <f>2024-Inventory[[#This Row],[EffYr]]</f>
        <v>52</v>
      </c>
      <c r="Q1236" s="25">
        <v>1940</v>
      </c>
      <c r="R1236" s="25">
        <v>1972</v>
      </c>
      <c r="S1236" s="25">
        <v>782</v>
      </c>
      <c r="T1236" s="27"/>
      <c r="U1236" s="27"/>
      <c r="V1236" s="27">
        <f>Inventory[[#This Row],[Bsmt]]-Inventory[[#This Row],[FnBsmt]]</f>
        <v>0</v>
      </c>
      <c r="W1236" s="27"/>
      <c r="X1236" s="27"/>
      <c r="Y1236" s="27">
        <f>Inventory[[#This Row],[MainFn]]+Inventory[[#This Row],[UpprFn]]+Inventory[[#This Row],[FnBsmt]]+Inventory[[#This Row],[AddFn]]</f>
        <v>782</v>
      </c>
      <c r="Z1236" s="27">
        <v>1000</v>
      </c>
      <c r="AA1236" s="25">
        <v>5</v>
      </c>
      <c r="AB1236" s="31"/>
      <c r="AC1236" s="27"/>
      <c r="AD1236" s="31"/>
      <c r="AE1236" s="27"/>
      <c r="AF1236" s="27"/>
      <c r="AG1236" s="27"/>
      <c r="AH1236" s="27"/>
      <c r="AI1236" s="25">
        <v>120906</v>
      </c>
      <c r="AJ1236" s="25">
        <v>84634</v>
      </c>
      <c r="AK1236" s="25">
        <v>0</v>
      </c>
      <c r="AL1236" s="25">
        <v>250500</v>
      </c>
      <c r="AM1236" s="25">
        <v>48400</v>
      </c>
      <c r="AN1236" s="25">
        <v>202100</v>
      </c>
      <c r="AO1236" s="25">
        <v>0</v>
      </c>
      <c r="AP1236" s="25">
        <f>Lookups!$B$56*0</f>
        <v>0</v>
      </c>
      <c r="AQ1236" s="25">
        <f>Lookups!$B$56*1</f>
        <v>89850.625589999996</v>
      </c>
      <c r="AR1236" s="25">
        <f>Lookups!$B$57*Inventory[[#This Row],[LnAcres]]</f>
        <v>-60052.604136134301</v>
      </c>
      <c r="AS1236" s="25">
        <f>VLOOKUP(Inventory[[#This Row],[Qlty]],Lookups!$A$62:$E$75,2,FALSE)</f>
        <v>0</v>
      </c>
      <c r="AT1236" s="25">
        <f>VLOOKUP(Inventory[[#This Row],[Cnd]],Lookups!$A$76:$E$84,2,FALSE)</f>
        <v>197752.34721000001</v>
      </c>
      <c r="AU1236" s="25">
        <f>Inventory[[#This Row],[EffAge]]*Lookups!$B$85</f>
        <v>-11598.371226000001</v>
      </c>
      <c r="AV1236" s="25">
        <f>Inventory[[#This Row],[MainFn]]*Lookups!$B$86</f>
        <v>38637.579843814005</v>
      </c>
      <c r="AW1236" s="25">
        <f>Inventory[[#This Row],[UpprFn]]*Lookups!$B$87</f>
        <v>0</v>
      </c>
      <c r="AX1236" s="25">
        <f>Inventory[[#This Row],[AddFn]]*Lookups!$B$88</f>
        <v>0</v>
      </c>
      <c r="AY1236" s="25">
        <f>Inventory[[#This Row],[Bsmt]]*Lookups!$B$89</f>
        <v>0</v>
      </c>
      <c r="AZ1236" s="25">
        <f>Inventory[[#This Row],[Fixtures]]*Lookups!$B$90</f>
        <v>18960.110526</v>
      </c>
      <c r="BA1236" s="25">
        <f>Inventory[[#This Row],[WdDeck]]*Lookups!$B$91</f>
        <v>0</v>
      </c>
      <c r="BB1236" s="25">
        <f>ROUND(Inventory[[#This Row],[25Det]],-2)</f>
        <v>0</v>
      </c>
      <c r="BC1236" s="25">
        <f>ROUND(SUM(Inventory[[#This Row],[Mdl Qlty]:[Mdl WdDeck]])+Inventory[[#This Row],[Mdl Res Intercept]],-2)</f>
        <v>243800</v>
      </c>
      <c r="BD1236" s="25">
        <f>ROUND(Inventory[[#This Row],[Mdl Land Intercept]]+Inventory[[#This Row],[Mdl LnAcres]],-2)</f>
        <v>29800</v>
      </c>
      <c r="BE1236" s="25">
        <f>Inventory[[#This Row],[Unadj Res Value]]+Inventory[[#This Row],[Unadj Det Value]]+Inventory[[#This Row],[Unadj Land Value]]</f>
        <v>273600</v>
      </c>
      <c r="BF1236" s="36">
        <f>(Inventory[[#This Row],[Unadj Total Value]]-Inventory[[#This Row],[24Final]])/Inventory[[#This Row],[24Final]]</f>
        <v>9.2215568862275443E-2</v>
      </c>
      <c r="BG1236" s="25">
        <f>VLOOKUP(Inventory[[#This Row],[Nbhd]],Lookups!$Q$2:$T$4,4,FALSE)</f>
        <v>0.99970000000000003</v>
      </c>
      <c r="BH1236" s="25">
        <f>VLOOKUP(Inventory[[#This Row],[Qlty]],Lookups!$O$7:$R$21,4,FALSE)</f>
        <v>0.99180000000000001</v>
      </c>
      <c r="BI1236" s="25">
        <f>VLOOKUP(Inventory[[#This Row],[Cnd]],Lookups!$T$7:$W$16,4,FALSE)</f>
        <v>0.99650000000000005</v>
      </c>
      <c r="BJ1236" s="25">
        <f>VLOOKUP(Inventory[[#This Row],[LivArea Range]],Lookups!$T$25:$W$37,4,FALSE)</f>
        <v>1.0148999999999999</v>
      </c>
      <c r="BK1236" s="25">
        <f>VLOOKUP(Inventory[[#This Row],[Decade]],Lookups!$O$25:$R$42,4,FALSE)</f>
        <v>0.98909999999999998</v>
      </c>
      <c r="BL1236" s="25">
        <f>Inventory[[#This Row],[Nbhd Adj]]*0.95</f>
        <v>0.94971499999999998</v>
      </c>
      <c r="BM1236" s="25">
        <f>Inventory[[#This Row],[Nbhd Adj]]*Inventory[[#This Row],[Quality Adj]]*Inventory[[#This Row],[Condition Adj]]*Inventory[[#This Row],[Living Area Adj]]*Inventory[[#This Row],[Decade Adj]]*0.95</f>
        <v>0.94223267069144567</v>
      </c>
      <c r="BN1236" s="25">
        <f>ROUND(SUM(Inventory[[#This Row],[Mdl Qlty]:[Mdl WdDeck]])+Inventory[[#This Row],[Mdl Res Intercept]]*Inventory[[#This Row],[Res Adj ]],-2)</f>
        <v>243800</v>
      </c>
      <c r="BO1236" s="25">
        <f>ROUND(Inventory[[#This Row],[25Det]]*Inventory[[#This Row],[Det/Nbhd Adj]],-2)</f>
        <v>0</v>
      </c>
      <c r="BP1236" s="25">
        <f>Inventory[[#This Row],[Adjusted Res]]+Inventory[[#This Row],[Adj Det ]]</f>
        <v>243800</v>
      </c>
      <c r="BQ1236" s="25">
        <f>ROUND((Inventory[[#This Row],[Mdl Land Intercept]]+Inventory[[#This Row],[Mdl LnAcres]])*Inventory[[#This Row],[Det/Nbhd Adj]],-2)</f>
        <v>28300</v>
      </c>
      <c r="BR1236" s="25">
        <f>Inventory[[#This Row],[Adjusted Impr Total]]+Inventory[[#This Row],[Adjusted Land Total]]</f>
        <v>272100</v>
      </c>
      <c r="BS1236" s="36">
        <f>IFERROR((Inventory[[#This Row],[Adjusted Impr Total]]-Inventory[[#This Row],[24Bldg]])/Inventory[[#This Row],[24Bldg]],0)</f>
        <v>0.20633349826818406</v>
      </c>
      <c r="BT1236" s="36">
        <f>(Inventory[[#This Row],[Adjusted Land Total]]-Inventory[[#This Row],[24Lnd]])/Inventory[[#This Row],[24Lnd]]</f>
        <v>-0.41528925619834711</v>
      </c>
      <c r="BU1236" s="36">
        <f>(Inventory[[#This Row],[Adjusted Total]]-Inventory[[#This Row],[24Final]])/Inventory[[#This Row],[24Final]]</f>
        <v>8.6227544910179643E-2</v>
      </c>
    </row>
    <row r="1237" spans="1:73" x14ac:dyDescent="0.3">
      <c r="A1237" s="25">
        <v>2025</v>
      </c>
      <c r="B1237" s="26" t="s">
        <v>1890</v>
      </c>
      <c r="C1237" s="26">
        <f>LN(Inventory[[#This Row],[Acres]])</f>
        <v>-1.8325814637483102</v>
      </c>
      <c r="D1237" s="25">
        <v>0.16</v>
      </c>
      <c r="E1237" s="27"/>
      <c r="F1237" s="26" t="s">
        <v>537</v>
      </c>
      <c r="G1237" s="26" t="s">
        <v>126</v>
      </c>
      <c r="H1237" s="26" t="s">
        <v>349</v>
      </c>
      <c r="I1237" s="26" t="s">
        <v>538</v>
      </c>
      <c r="J1237" s="26" t="s">
        <v>539</v>
      </c>
      <c r="K1237" s="26" t="s">
        <v>242</v>
      </c>
      <c r="L1237" s="26" t="s">
        <v>351</v>
      </c>
      <c r="M1237" s="26" t="s">
        <v>323</v>
      </c>
      <c r="N1237" s="26">
        <v>90</v>
      </c>
      <c r="O1237" s="26">
        <f>2024-Inventory[[#This Row],[YrBlt]]</f>
        <v>84</v>
      </c>
      <c r="P1237" s="26">
        <f>2024-Inventory[[#This Row],[EffYr]]</f>
        <v>52</v>
      </c>
      <c r="Q1237" s="25">
        <v>1940</v>
      </c>
      <c r="R1237" s="25">
        <v>1972</v>
      </c>
      <c r="S1237" s="25">
        <v>1124</v>
      </c>
      <c r="T1237" s="27"/>
      <c r="U1237" s="25">
        <v>1124</v>
      </c>
      <c r="V1237" s="25">
        <f>Inventory[[#This Row],[Bsmt]]-Inventory[[#This Row],[FnBsmt]]</f>
        <v>1124</v>
      </c>
      <c r="W1237" s="31"/>
      <c r="X1237" s="27"/>
      <c r="Y1237" s="27">
        <f>Inventory[[#This Row],[MainFn]]+Inventory[[#This Row],[UpprFn]]+Inventory[[#This Row],[FnBsmt]]+Inventory[[#This Row],[AddFn]]</f>
        <v>1124</v>
      </c>
      <c r="Z1237" s="27">
        <v>1500</v>
      </c>
      <c r="AA1237" s="25">
        <v>7</v>
      </c>
      <c r="AB1237" s="31"/>
      <c r="AC1237" s="27"/>
      <c r="AD1237" s="27"/>
      <c r="AE1237" s="27"/>
      <c r="AF1237" s="27"/>
      <c r="AG1237" s="27"/>
      <c r="AH1237" s="27"/>
      <c r="AI1237" s="25">
        <v>229445</v>
      </c>
      <c r="AJ1237" s="25">
        <v>156023</v>
      </c>
      <c r="AK1237" s="25">
        <v>7107</v>
      </c>
      <c r="AL1237" s="25">
        <v>296900</v>
      </c>
      <c r="AM1237" s="25">
        <v>50600</v>
      </c>
      <c r="AN1237" s="25">
        <v>246300</v>
      </c>
      <c r="AO1237" s="25">
        <v>0</v>
      </c>
      <c r="AP1237" s="25">
        <f>Lookups!$B$56*0</f>
        <v>0</v>
      </c>
      <c r="AQ1237" s="25">
        <f>Lookups!$B$56*1</f>
        <v>89850.625589999996</v>
      </c>
      <c r="AR1237" s="25">
        <f>Lookups!$B$57*Inventory[[#This Row],[LnAcres]]</f>
        <v>-58009.662049032086</v>
      </c>
      <c r="AS1237" s="25">
        <f>VLOOKUP(Inventory[[#This Row],[Qlty]],Lookups!$A$62:$E$75,2,FALSE)</f>
        <v>21557.329055999999</v>
      </c>
      <c r="AT1237" s="25">
        <f>VLOOKUP(Inventory[[#This Row],[Cnd]],Lookups!$A$76:$E$84,2,FALSE)</f>
        <v>160472.20319</v>
      </c>
      <c r="AU1237" s="25">
        <f>Inventory[[#This Row],[EffAge]]*Lookups!$B$85</f>
        <v>-11598.371226000001</v>
      </c>
      <c r="AV1237" s="25">
        <f>Inventory[[#This Row],[MainFn]]*Lookups!$B$86</f>
        <v>55535.344941748001</v>
      </c>
      <c r="AW1237" s="25">
        <f>Inventory[[#This Row],[UpprFn]]*Lookups!$B$87</f>
        <v>0</v>
      </c>
      <c r="AX1237" s="25">
        <f>Inventory[[#This Row],[AddFn]]*Lookups!$B$88</f>
        <v>0</v>
      </c>
      <c r="AY1237" s="25">
        <f>Inventory[[#This Row],[Bsmt]]*Lookups!$B$89</f>
        <v>32688.050257627998</v>
      </c>
      <c r="AZ1237" s="25">
        <f>Inventory[[#This Row],[Fixtures]]*Lookups!$B$90</f>
        <v>26544.1547364</v>
      </c>
      <c r="BA1237" s="25">
        <f>Inventory[[#This Row],[WdDeck]]*Lookups!$B$91</f>
        <v>0</v>
      </c>
      <c r="BB1237" s="25">
        <f>ROUND(Inventory[[#This Row],[25Det]],-2)</f>
        <v>7100</v>
      </c>
      <c r="BC1237" s="25">
        <f>ROUND(SUM(Inventory[[#This Row],[Mdl Qlty]:[Mdl WdDeck]])+Inventory[[#This Row],[Mdl Res Intercept]],-2)</f>
        <v>285200</v>
      </c>
      <c r="BD1237" s="25">
        <f>ROUND(Inventory[[#This Row],[Mdl Land Intercept]]+Inventory[[#This Row],[Mdl LnAcres]],-2)</f>
        <v>31800</v>
      </c>
      <c r="BE1237" s="25">
        <f>Inventory[[#This Row],[Unadj Res Value]]+Inventory[[#This Row],[Unadj Det Value]]+Inventory[[#This Row],[Unadj Land Value]]</f>
        <v>324100</v>
      </c>
      <c r="BF1237" s="36">
        <f>(Inventory[[#This Row],[Unadj Total Value]]-Inventory[[#This Row],[24Final]])/Inventory[[#This Row],[24Final]]</f>
        <v>9.1613337824183225E-2</v>
      </c>
      <c r="BG1237" s="25">
        <f>VLOOKUP(Inventory[[#This Row],[Nbhd]],Lookups!$Q$2:$T$4,4,FALSE)</f>
        <v>0.99970000000000003</v>
      </c>
      <c r="BH1237" s="25">
        <f>VLOOKUP(Inventory[[#This Row],[Qlty]],Lookups!$O$7:$R$21,4,FALSE)</f>
        <v>1.0067999999999999</v>
      </c>
      <c r="BI1237" s="25">
        <f>VLOOKUP(Inventory[[#This Row],[Cnd]],Lookups!$T$7:$W$16,4,FALSE)</f>
        <v>0.99729999999999996</v>
      </c>
      <c r="BJ1237" s="25">
        <f>VLOOKUP(Inventory[[#This Row],[LivArea Range]],Lookups!$T$25:$W$37,4,FALSE)</f>
        <v>1.0157</v>
      </c>
      <c r="BK1237" s="25">
        <f>VLOOKUP(Inventory[[#This Row],[Decade]],Lookups!$O$25:$R$42,4,FALSE)</f>
        <v>0.98909999999999998</v>
      </c>
      <c r="BL1237" s="25">
        <f>Inventory[[#This Row],[Nbhd Adj]]*0.95</f>
        <v>0.94971499999999998</v>
      </c>
      <c r="BM1237" s="25">
        <f>Inventory[[#This Row],[Nbhd Adj]]*Inventory[[#This Row],[Quality Adj]]*Inventory[[#This Row],[Condition Adj]]*Inventory[[#This Row],[Living Area Adj]]*Inventory[[#This Row],[Decade Adj]]*0.95</f>
        <v>0.95800544533193577</v>
      </c>
      <c r="BN1237" s="25">
        <f>ROUND(SUM(Inventory[[#This Row],[Mdl Qlty]:[Mdl WdDeck]])+Inventory[[#This Row],[Mdl Res Intercept]]*Inventory[[#This Row],[Res Adj ]],-2)</f>
        <v>285200</v>
      </c>
      <c r="BO1237" s="25">
        <f>ROUND(Inventory[[#This Row],[25Det]]*Inventory[[#This Row],[Det/Nbhd Adj]],-2)</f>
        <v>6700</v>
      </c>
      <c r="BP1237" s="25">
        <f>Inventory[[#This Row],[Adjusted Res]]+Inventory[[#This Row],[Adj Det ]]</f>
        <v>291900</v>
      </c>
      <c r="BQ1237" s="25">
        <f>ROUND((Inventory[[#This Row],[Mdl Land Intercept]]+Inventory[[#This Row],[Mdl LnAcres]])*Inventory[[#This Row],[Det/Nbhd Adj]],-2)</f>
        <v>30200</v>
      </c>
      <c r="BR1237" s="25">
        <f>Inventory[[#This Row],[Adjusted Impr Total]]+Inventory[[#This Row],[Adjusted Land Total]]</f>
        <v>322100</v>
      </c>
      <c r="BS1237" s="36">
        <f>IFERROR((Inventory[[#This Row],[Adjusted Impr Total]]-Inventory[[#This Row],[24Bldg]])/Inventory[[#This Row],[24Bldg]],0)</f>
        <v>0.18514007308160779</v>
      </c>
      <c r="BT1237" s="36">
        <f>(Inventory[[#This Row],[Adjusted Land Total]]-Inventory[[#This Row],[24Lnd]])/Inventory[[#This Row],[24Lnd]]</f>
        <v>-0.40316205533596838</v>
      </c>
      <c r="BU1237" s="36">
        <f>(Inventory[[#This Row],[Adjusted Total]]-Inventory[[#This Row],[24Final]])/Inventory[[#This Row],[24Final]]</f>
        <v>8.4877062984169749E-2</v>
      </c>
    </row>
    <row r="1238" spans="1:73" x14ac:dyDescent="0.3">
      <c r="A1238" s="25">
        <v>2025</v>
      </c>
      <c r="B1238" s="26" t="s">
        <v>801</v>
      </c>
      <c r="C1238" s="26">
        <f>LN(Inventory[[#This Row],[Acres]])</f>
        <v>-1.6607312068216509</v>
      </c>
      <c r="D1238" s="25">
        <v>0.19</v>
      </c>
      <c r="E1238" s="32">
        <v>8490</v>
      </c>
      <c r="F1238" s="26" t="s">
        <v>537</v>
      </c>
      <c r="G1238" s="26" t="s">
        <v>126</v>
      </c>
      <c r="H1238" s="26" t="s">
        <v>349</v>
      </c>
      <c r="I1238" s="26" t="s">
        <v>538</v>
      </c>
      <c r="J1238" s="26" t="s">
        <v>539</v>
      </c>
      <c r="K1238" s="26" t="s">
        <v>242</v>
      </c>
      <c r="L1238" s="26" t="s">
        <v>351</v>
      </c>
      <c r="M1238" s="26" t="s">
        <v>303</v>
      </c>
      <c r="N1238" s="26">
        <v>90</v>
      </c>
      <c r="O1238" s="26">
        <f>2024-Inventory[[#This Row],[YrBlt]]</f>
        <v>84</v>
      </c>
      <c r="P1238" s="26">
        <f>2024-Inventory[[#This Row],[EffYr]]</f>
        <v>52</v>
      </c>
      <c r="Q1238" s="25">
        <v>1940</v>
      </c>
      <c r="R1238" s="25">
        <v>1972</v>
      </c>
      <c r="S1238" s="25">
        <v>1016</v>
      </c>
      <c r="T1238" s="31"/>
      <c r="U1238" s="25">
        <v>1016</v>
      </c>
      <c r="V1238" s="32">
        <f>Inventory[[#This Row],[Bsmt]]-Inventory[[#This Row],[FnBsmt]]</f>
        <v>266</v>
      </c>
      <c r="W1238" s="32">
        <v>750</v>
      </c>
      <c r="X1238" s="27"/>
      <c r="Y1238" s="27">
        <f>Inventory[[#This Row],[MainFn]]+Inventory[[#This Row],[UpprFn]]+Inventory[[#This Row],[FnBsmt]]+Inventory[[#This Row],[AddFn]]</f>
        <v>1766</v>
      </c>
      <c r="Z1238" s="27">
        <v>2000</v>
      </c>
      <c r="AA1238" s="25">
        <v>10</v>
      </c>
      <c r="AB1238" s="27"/>
      <c r="AC1238" s="27"/>
      <c r="AD1238" s="32">
        <v>108</v>
      </c>
      <c r="AE1238" s="27"/>
      <c r="AF1238" s="27"/>
      <c r="AG1238" s="27"/>
      <c r="AH1238" s="27"/>
      <c r="AI1238" s="25">
        <v>249346</v>
      </c>
      <c r="AJ1238" s="25">
        <v>174542</v>
      </c>
      <c r="AK1238" s="25">
        <v>5261</v>
      </c>
      <c r="AL1238" s="25">
        <v>340600</v>
      </c>
      <c r="AM1238" s="25">
        <v>56600</v>
      </c>
      <c r="AN1238" s="25">
        <v>284000</v>
      </c>
      <c r="AO1238" s="25">
        <v>0</v>
      </c>
      <c r="AP1238" s="25">
        <f>Lookups!$B$56*0</f>
        <v>0</v>
      </c>
      <c r="AQ1238" s="25">
        <f>Lookups!$B$56*1</f>
        <v>89850.625589999996</v>
      </c>
      <c r="AR1238" s="25">
        <f>Lookups!$B$57*Inventory[[#This Row],[LnAcres]]</f>
        <v>-52569.808201026557</v>
      </c>
      <c r="AS1238" s="25">
        <f>VLOOKUP(Inventory[[#This Row],[Qlty]],Lookups!$A$62:$E$75,2,FALSE)</f>
        <v>21557.329055999999</v>
      </c>
      <c r="AT1238" s="25">
        <f>VLOOKUP(Inventory[[#This Row],[Cnd]],Lookups!$A$76:$E$84,2,FALSE)</f>
        <v>197752.34721000001</v>
      </c>
      <c r="AU1238" s="25">
        <f>Inventory[[#This Row],[EffAge]]*Lookups!$B$85</f>
        <v>-11598.371226000001</v>
      </c>
      <c r="AV1238" s="25">
        <f>Inventory[[#This Row],[MainFn]]*Lookups!$B$86</f>
        <v>50199.208595032003</v>
      </c>
      <c r="AW1238" s="25">
        <f>Inventory[[#This Row],[UpprFn]]*Lookups!$B$87</f>
        <v>0</v>
      </c>
      <c r="AX1238" s="25">
        <f>Inventory[[#This Row],[AddFn]]*Lookups!$B$88</f>
        <v>0</v>
      </c>
      <c r="AY1238" s="25">
        <f>Inventory[[#This Row],[Bsmt]]*Lookups!$B$89</f>
        <v>29547.205570951999</v>
      </c>
      <c r="AZ1238" s="25">
        <f>Inventory[[#This Row],[Fixtures]]*Lookups!$B$90</f>
        <v>37920.221052000001</v>
      </c>
      <c r="BA1238" s="25">
        <f>Inventory[[#This Row],[WdDeck]]*Lookups!$B$91</f>
        <v>3595.9156498080001</v>
      </c>
      <c r="BB1238" s="25">
        <f>ROUND(Inventory[[#This Row],[25Det]],-2)</f>
        <v>5300</v>
      </c>
      <c r="BC1238" s="25">
        <f>ROUND(SUM(Inventory[[#This Row],[Mdl Qlty]:[Mdl WdDeck]])+Inventory[[#This Row],[Mdl Res Intercept]],-2)</f>
        <v>329000</v>
      </c>
      <c r="BD1238" s="25">
        <f>ROUND(Inventory[[#This Row],[Mdl Land Intercept]]+Inventory[[#This Row],[Mdl LnAcres]],-2)</f>
        <v>37300</v>
      </c>
      <c r="BE1238" s="25">
        <f>Inventory[[#This Row],[Unadj Res Value]]+Inventory[[#This Row],[Unadj Det Value]]+Inventory[[#This Row],[Unadj Land Value]]</f>
        <v>371600</v>
      </c>
      <c r="BF1238" s="36">
        <f>(Inventory[[#This Row],[Unadj Total Value]]-Inventory[[#This Row],[24Final]])/Inventory[[#This Row],[24Final]]</f>
        <v>9.1015854374632998E-2</v>
      </c>
      <c r="BG1238" s="25">
        <f>VLOOKUP(Inventory[[#This Row],[Nbhd]],Lookups!$Q$2:$T$4,4,FALSE)</f>
        <v>0.99970000000000003</v>
      </c>
      <c r="BH1238" s="25">
        <f>VLOOKUP(Inventory[[#This Row],[Qlty]],Lookups!$O$7:$R$21,4,FALSE)</f>
        <v>1.0067999999999999</v>
      </c>
      <c r="BI1238" s="25">
        <f>VLOOKUP(Inventory[[#This Row],[Cnd]],Lookups!$T$7:$W$16,4,FALSE)</f>
        <v>0.99650000000000005</v>
      </c>
      <c r="BJ1238" s="25">
        <f>VLOOKUP(Inventory[[#This Row],[LivArea Range]],Lookups!$T$25:$W$37,4,FALSE)</f>
        <v>1.0093000000000001</v>
      </c>
      <c r="BK1238" s="25">
        <f>VLOOKUP(Inventory[[#This Row],[Decade]],Lookups!$O$25:$R$42,4,FALSE)</f>
        <v>0.98909999999999998</v>
      </c>
      <c r="BL1238" s="25">
        <f>Inventory[[#This Row],[Nbhd Adj]]*0.95</f>
        <v>0.94971499999999998</v>
      </c>
      <c r="BM1238" s="25">
        <f>Inventory[[#This Row],[Nbhd Adj]]*Inventory[[#This Row],[Quality Adj]]*Inventory[[#This Row],[Condition Adj]]*Inventory[[#This Row],[Living Area Adj]]*Inventory[[#This Row],[Decade Adj]]*0.95</f>
        <v>0.95120534593507355</v>
      </c>
      <c r="BN1238" s="25">
        <f>ROUND(SUM(Inventory[[#This Row],[Mdl Qlty]:[Mdl WdDeck]])+Inventory[[#This Row],[Mdl Res Intercept]]*Inventory[[#This Row],[Res Adj ]],-2)</f>
        <v>329000</v>
      </c>
      <c r="BO1238" s="25">
        <f>ROUND(Inventory[[#This Row],[25Det]]*Inventory[[#This Row],[Det/Nbhd Adj]],-2)</f>
        <v>5000</v>
      </c>
      <c r="BP1238" s="25">
        <f>Inventory[[#This Row],[Adjusted Res]]+Inventory[[#This Row],[Adj Det ]]</f>
        <v>334000</v>
      </c>
      <c r="BQ1238" s="25">
        <f>ROUND((Inventory[[#This Row],[Mdl Land Intercept]]+Inventory[[#This Row],[Mdl LnAcres]])*Inventory[[#This Row],[Det/Nbhd Adj]],-2)</f>
        <v>35400</v>
      </c>
      <c r="BR1238" s="25">
        <f>Inventory[[#This Row],[Adjusted Impr Total]]+Inventory[[#This Row],[Adjusted Land Total]]</f>
        <v>369400</v>
      </c>
      <c r="BS1238" s="36">
        <f>IFERROR((Inventory[[#This Row],[Adjusted Impr Total]]-Inventory[[#This Row],[24Bldg]])/Inventory[[#This Row],[24Bldg]],0)</f>
        <v>0.176056338028169</v>
      </c>
      <c r="BT1238" s="36">
        <f>(Inventory[[#This Row],[Adjusted Land Total]]-Inventory[[#This Row],[24Lnd]])/Inventory[[#This Row],[24Lnd]]</f>
        <v>-0.37455830388692579</v>
      </c>
      <c r="BU1238" s="36">
        <f>(Inventory[[#This Row],[Adjusted Total]]-Inventory[[#This Row],[24Final]])/Inventory[[#This Row],[24Final]]</f>
        <v>8.4556664709336468E-2</v>
      </c>
    </row>
    <row r="1239" spans="1:73" x14ac:dyDescent="0.3">
      <c r="A1239" s="25">
        <v>2025</v>
      </c>
      <c r="B1239" s="26" t="s">
        <v>1884</v>
      </c>
      <c r="C1239" s="26">
        <f>LN(Inventory[[#This Row],[Acres]])</f>
        <v>-1.9661128563728327</v>
      </c>
      <c r="D1239" s="25">
        <v>0.14000000000000001</v>
      </c>
      <c r="E1239" s="27"/>
      <c r="F1239" s="26" t="s">
        <v>537</v>
      </c>
      <c r="G1239" s="26" t="s">
        <v>126</v>
      </c>
      <c r="H1239" s="26" t="s">
        <v>349</v>
      </c>
      <c r="I1239" s="26" t="s">
        <v>538</v>
      </c>
      <c r="J1239" s="26" t="s">
        <v>539</v>
      </c>
      <c r="K1239" s="26" t="s">
        <v>242</v>
      </c>
      <c r="L1239" s="26" t="s">
        <v>205</v>
      </c>
      <c r="M1239" s="26" t="s">
        <v>303</v>
      </c>
      <c r="N1239" s="26">
        <v>90</v>
      </c>
      <c r="O1239" s="26">
        <f>2024-Inventory[[#This Row],[YrBlt]]</f>
        <v>84</v>
      </c>
      <c r="P1239" s="26">
        <f>2024-Inventory[[#This Row],[EffYr]]</f>
        <v>52</v>
      </c>
      <c r="Q1239" s="25">
        <v>1940</v>
      </c>
      <c r="R1239" s="25">
        <v>1972</v>
      </c>
      <c r="S1239" s="25">
        <v>1085</v>
      </c>
      <c r="T1239" s="27"/>
      <c r="U1239" s="25">
        <v>280</v>
      </c>
      <c r="V1239" s="32">
        <f>Inventory[[#This Row],[Bsmt]]-Inventory[[#This Row],[FnBsmt]]</f>
        <v>280</v>
      </c>
      <c r="W1239" s="27"/>
      <c r="X1239" s="27"/>
      <c r="Y1239" s="27">
        <f>Inventory[[#This Row],[MainFn]]+Inventory[[#This Row],[UpprFn]]+Inventory[[#This Row],[FnBsmt]]+Inventory[[#This Row],[AddFn]]</f>
        <v>1085</v>
      </c>
      <c r="Z1239" s="27">
        <v>1500</v>
      </c>
      <c r="AA1239" s="25">
        <v>5</v>
      </c>
      <c r="AB1239" s="27"/>
      <c r="AC1239" s="27"/>
      <c r="AD1239" s="27"/>
      <c r="AE1239" s="27"/>
      <c r="AF1239" s="27"/>
      <c r="AG1239" s="27"/>
      <c r="AH1239" s="27"/>
      <c r="AI1239" s="25">
        <v>186800</v>
      </c>
      <c r="AJ1239" s="25">
        <v>130760</v>
      </c>
      <c r="AK1239" s="25">
        <v>6480</v>
      </c>
      <c r="AL1239" s="25">
        <v>276100</v>
      </c>
      <c r="AM1239" s="25">
        <v>46000</v>
      </c>
      <c r="AN1239" s="25">
        <v>230100</v>
      </c>
      <c r="AO1239" s="25">
        <v>0</v>
      </c>
      <c r="AP1239" s="25">
        <f>Lookups!$B$56*0</f>
        <v>0</v>
      </c>
      <c r="AQ1239" s="25">
        <f>Lookups!$B$56*1</f>
        <v>89850.625589999996</v>
      </c>
      <c r="AR1239" s="25">
        <f>Lookups!$B$57*Inventory[[#This Row],[LnAcres]]</f>
        <v>-62236.546971921947</v>
      </c>
      <c r="AS1239" s="25">
        <f>VLOOKUP(Inventory[[#This Row],[Qlty]],Lookups!$A$62:$E$75,2,FALSE)</f>
        <v>0</v>
      </c>
      <c r="AT1239" s="25">
        <f>VLOOKUP(Inventory[[#This Row],[Cnd]],Lookups!$A$76:$E$84,2,FALSE)</f>
        <v>197752.34721000001</v>
      </c>
      <c r="AU1239" s="25">
        <f>Inventory[[#This Row],[EffAge]]*Lookups!$B$85</f>
        <v>-11598.371226000001</v>
      </c>
      <c r="AV1239" s="25">
        <f>Inventory[[#This Row],[MainFn]]*Lookups!$B$86</f>
        <v>53608.406816545001</v>
      </c>
      <c r="AW1239" s="25">
        <f>Inventory[[#This Row],[UpprFn]]*Lookups!$B$87</f>
        <v>0</v>
      </c>
      <c r="AX1239" s="25">
        <f>Inventory[[#This Row],[AddFn]]*Lookups!$B$88</f>
        <v>0</v>
      </c>
      <c r="AY1239" s="25">
        <f>Inventory[[#This Row],[Bsmt]]*Lookups!$B$89</f>
        <v>8142.9306691599995</v>
      </c>
      <c r="AZ1239" s="25">
        <f>Inventory[[#This Row],[Fixtures]]*Lookups!$B$90</f>
        <v>18960.110526</v>
      </c>
      <c r="BA1239" s="25">
        <f>Inventory[[#This Row],[WdDeck]]*Lookups!$B$91</f>
        <v>0</v>
      </c>
      <c r="BB1239" s="25">
        <f>ROUND(Inventory[[#This Row],[25Det]],-2)</f>
        <v>6500</v>
      </c>
      <c r="BC1239" s="25">
        <f>ROUND(SUM(Inventory[[#This Row],[Mdl Qlty]:[Mdl WdDeck]])+Inventory[[#This Row],[Mdl Res Intercept]],-2)</f>
        <v>266900</v>
      </c>
      <c r="BD1239" s="25">
        <f>ROUND(Inventory[[#This Row],[Mdl Land Intercept]]+Inventory[[#This Row],[Mdl LnAcres]],-2)</f>
        <v>27600</v>
      </c>
      <c r="BE1239" s="25">
        <f>Inventory[[#This Row],[Unadj Res Value]]+Inventory[[#This Row],[Unadj Det Value]]+Inventory[[#This Row],[Unadj Land Value]]</f>
        <v>301000</v>
      </c>
      <c r="BF1239" s="36">
        <f>(Inventory[[#This Row],[Unadj Total Value]]-Inventory[[#This Row],[24Final]])/Inventory[[#This Row],[24Final]]</f>
        <v>9.0184715682723654E-2</v>
      </c>
      <c r="BG1239" s="25">
        <f>VLOOKUP(Inventory[[#This Row],[Nbhd]],Lookups!$Q$2:$T$4,4,FALSE)</f>
        <v>0.99970000000000003</v>
      </c>
      <c r="BH1239" s="25">
        <f>VLOOKUP(Inventory[[#This Row],[Qlty]],Lookups!$O$7:$R$21,4,FALSE)</f>
        <v>0.99180000000000001</v>
      </c>
      <c r="BI1239" s="25">
        <f>VLOOKUP(Inventory[[#This Row],[Cnd]],Lookups!$T$7:$W$16,4,FALSE)</f>
        <v>0.99650000000000005</v>
      </c>
      <c r="BJ1239" s="25">
        <f>VLOOKUP(Inventory[[#This Row],[LivArea Range]],Lookups!$T$25:$W$37,4,FALSE)</f>
        <v>1.0157</v>
      </c>
      <c r="BK1239" s="25">
        <f>VLOOKUP(Inventory[[#This Row],[Decade]],Lookups!$O$25:$R$42,4,FALSE)</f>
        <v>0.98909999999999998</v>
      </c>
      <c r="BL1239" s="25">
        <f>Inventory[[#This Row],[Nbhd Adj]]*0.95</f>
        <v>0.94971499999999998</v>
      </c>
      <c r="BM1239" s="25">
        <f>Inventory[[#This Row],[Nbhd Adj]]*Inventory[[#This Row],[Quality Adj]]*Inventory[[#This Row],[Condition Adj]]*Inventory[[#This Row],[Living Area Adj]]*Inventory[[#This Row],[Decade Adj]]*0.95</f>
        <v>0.94297539030574595</v>
      </c>
      <c r="BN1239" s="25">
        <f>ROUND(SUM(Inventory[[#This Row],[Mdl Qlty]:[Mdl WdDeck]])+Inventory[[#This Row],[Mdl Res Intercept]]*Inventory[[#This Row],[Res Adj ]],-2)</f>
        <v>266900</v>
      </c>
      <c r="BO1239" s="25">
        <f>ROUND(Inventory[[#This Row],[25Det]]*Inventory[[#This Row],[Det/Nbhd Adj]],-2)</f>
        <v>6200</v>
      </c>
      <c r="BP1239" s="25">
        <f>Inventory[[#This Row],[Adjusted Res]]+Inventory[[#This Row],[Adj Det ]]</f>
        <v>273100</v>
      </c>
      <c r="BQ1239" s="25">
        <f>ROUND((Inventory[[#This Row],[Mdl Land Intercept]]+Inventory[[#This Row],[Mdl LnAcres]])*Inventory[[#This Row],[Det/Nbhd Adj]],-2)</f>
        <v>26200</v>
      </c>
      <c r="BR1239" s="25">
        <f>Inventory[[#This Row],[Adjusted Impr Total]]+Inventory[[#This Row],[Adjusted Land Total]]</f>
        <v>299300</v>
      </c>
      <c r="BS1239" s="36">
        <f>IFERROR((Inventory[[#This Row],[Adjusted Impr Total]]-Inventory[[#This Row],[24Bldg]])/Inventory[[#This Row],[24Bldg]],0)</f>
        <v>0.18687527162103434</v>
      </c>
      <c r="BT1239" s="36">
        <f>(Inventory[[#This Row],[Adjusted Land Total]]-Inventory[[#This Row],[24Lnd]])/Inventory[[#This Row],[24Lnd]]</f>
        <v>-0.43043478260869567</v>
      </c>
      <c r="BU1239" s="36">
        <f>(Inventory[[#This Row],[Adjusted Total]]-Inventory[[#This Row],[24Final]])/Inventory[[#This Row],[24Final]]</f>
        <v>8.4027526258601951E-2</v>
      </c>
    </row>
    <row r="1240" spans="1:73" x14ac:dyDescent="0.3">
      <c r="A1240" s="25">
        <v>2025</v>
      </c>
      <c r="B1240" s="26" t="s">
        <v>1708</v>
      </c>
      <c r="C1240" s="26">
        <f>LN(Inventory[[#This Row],[Acres]])</f>
        <v>-1.7719568419318752</v>
      </c>
      <c r="D1240" s="25">
        <v>0.17</v>
      </c>
      <c r="E1240" s="32">
        <v>7617</v>
      </c>
      <c r="F1240" s="26" t="s">
        <v>537</v>
      </c>
      <c r="G1240" s="26" t="s">
        <v>126</v>
      </c>
      <c r="H1240" s="26" t="s">
        <v>349</v>
      </c>
      <c r="I1240" s="26" t="s">
        <v>538</v>
      </c>
      <c r="J1240" s="26" t="s">
        <v>539</v>
      </c>
      <c r="K1240" s="26" t="s">
        <v>242</v>
      </c>
      <c r="L1240" s="26" t="s">
        <v>148</v>
      </c>
      <c r="M1240" s="26" t="s">
        <v>323</v>
      </c>
      <c r="N1240" s="26">
        <v>90</v>
      </c>
      <c r="O1240" s="26">
        <f>2024-Inventory[[#This Row],[YrBlt]]</f>
        <v>84</v>
      </c>
      <c r="P1240" s="26">
        <f>2024-Inventory[[#This Row],[EffYr]]</f>
        <v>52</v>
      </c>
      <c r="Q1240" s="25">
        <v>1940</v>
      </c>
      <c r="R1240" s="25">
        <v>1972</v>
      </c>
      <c r="S1240" s="25">
        <v>1812</v>
      </c>
      <c r="T1240" s="27"/>
      <c r="U1240" s="25">
        <v>1790</v>
      </c>
      <c r="V1240" s="25">
        <f>Inventory[[#This Row],[Bsmt]]-Inventory[[#This Row],[FnBsmt]]</f>
        <v>895</v>
      </c>
      <c r="W1240" s="25">
        <v>895</v>
      </c>
      <c r="X1240" s="27"/>
      <c r="Y1240" s="27">
        <f>Inventory[[#This Row],[MainFn]]+Inventory[[#This Row],[UpprFn]]+Inventory[[#This Row],[FnBsmt]]+Inventory[[#This Row],[AddFn]]</f>
        <v>2707</v>
      </c>
      <c r="Z1240" s="27">
        <v>3000</v>
      </c>
      <c r="AA1240" s="25">
        <v>8</v>
      </c>
      <c r="AB1240" s="27"/>
      <c r="AC1240" s="27"/>
      <c r="AD1240" s="32">
        <v>408</v>
      </c>
      <c r="AE1240" s="27"/>
      <c r="AF1240" s="27"/>
      <c r="AG1240" s="27"/>
      <c r="AH1240" s="27"/>
      <c r="AI1240" s="25">
        <v>537038</v>
      </c>
      <c r="AJ1240" s="25">
        <v>365186</v>
      </c>
      <c r="AK1240" s="25">
        <v>14990</v>
      </c>
      <c r="AL1240" s="25">
        <v>391900</v>
      </c>
      <c r="AM1240" s="25">
        <v>52700</v>
      </c>
      <c r="AN1240" s="25">
        <v>339200</v>
      </c>
      <c r="AO1240" s="25">
        <v>0</v>
      </c>
      <c r="AP1240" s="25">
        <f>Lookups!$B$56*0</f>
        <v>0</v>
      </c>
      <c r="AQ1240" s="25">
        <f>Lookups!$B$56*1</f>
        <v>89850.625589999996</v>
      </c>
      <c r="AR1240" s="25">
        <f>Lookups!$B$57*Inventory[[#This Row],[LnAcres]]</f>
        <v>-56090.612940989391</v>
      </c>
      <c r="AS1240" s="25">
        <f>VLOOKUP(Inventory[[#This Row],[Qlty]],Lookups!$A$62:$E$75,2,FALSE)</f>
        <v>44121.038090000002</v>
      </c>
      <c r="AT1240" s="25">
        <f>VLOOKUP(Inventory[[#This Row],[Cnd]],Lookups!$A$76:$E$84,2,FALSE)</f>
        <v>160472.20319</v>
      </c>
      <c r="AU1240" s="25">
        <f>Inventory[[#This Row],[EffAge]]*Lookups!$B$85</f>
        <v>-11598.371226000001</v>
      </c>
      <c r="AV1240" s="25">
        <f>Inventory[[#This Row],[MainFn]]*Lookups!$B$86</f>
        <v>89528.509817123995</v>
      </c>
      <c r="AW1240" s="25">
        <f>Inventory[[#This Row],[UpprFn]]*Lookups!$B$87</f>
        <v>0</v>
      </c>
      <c r="AX1240" s="25">
        <f>Inventory[[#This Row],[AddFn]]*Lookups!$B$88</f>
        <v>0</v>
      </c>
      <c r="AY1240" s="25">
        <f>Inventory[[#This Row],[Bsmt]]*Lookups!$B$89</f>
        <v>52056.592492129996</v>
      </c>
      <c r="AZ1240" s="25">
        <f>Inventory[[#This Row],[Fixtures]]*Lookups!$B$90</f>
        <v>30336.176841600001</v>
      </c>
      <c r="BA1240" s="25">
        <f>Inventory[[#This Row],[WdDeck]]*Lookups!$B$91</f>
        <v>13584.570232608001</v>
      </c>
      <c r="BB1240" s="25">
        <f>ROUND(Inventory[[#This Row],[25Det]],-2)</f>
        <v>15000</v>
      </c>
      <c r="BC1240" s="25">
        <f>ROUND(SUM(Inventory[[#This Row],[Mdl Qlty]:[Mdl WdDeck]])+Inventory[[#This Row],[Mdl Res Intercept]],-2)</f>
        <v>378500</v>
      </c>
      <c r="BD1240" s="25">
        <f>ROUND(Inventory[[#This Row],[Mdl Land Intercept]]+Inventory[[#This Row],[Mdl LnAcres]],-2)</f>
        <v>33800</v>
      </c>
      <c r="BE1240" s="25">
        <f>Inventory[[#This Row],[Unadj Res Value]]+Inventory[[#This Row],[Unadj Det Value]]+Inventory[[#This Row],[Unadj Land Value]]</f>
        <v>427300</v>
      </c>
      <c r="BF1240" s="36">
        <f>(Inventory[[#This Row],[Unadj Total Value]]-Inventory[[#This Row],[24Final]])/Inventory[[#This Row],[24Final]]</f>
        <v>9.0329165603470277E-2</v>
      </c>
      <c r="BG1240" s="25">
        <f>VLOOKUP(Inventory[[#This Row],[Nbhd]],Lookups!$Q$2:$T$4,4,FALSE)</f>
        <v>0.99970000000000003</v>
      </c>
      <c r="BH1240" s="25">
        <f>VLOOKUP(Inventory[[#This Row],[Qlty]],Lookups!$O$7:$R$21,4,FALSE)</f>
        <v>0.98050000000000004</v>
      </c>
      <c r="BI1240" s="25">
        <f>VLOOKUP(Inventory[[#This Row],[Cnd]],Lookups!$T$7:$W$16,4,FALSE)</f>
        <v>0.99729999999999996</v>
      </c>
      <c r="BJ1240" s="25">
        <f>VLOOKUP(Inventory[[#This Row],[LivArea Range]],Lookups!$T$25:$W$37,4,FALSE)</f>
        <v>0.96179999999999999</v>
      </c>
      <c r="BK1240" s="25">
        <f>VLOOKUP(Inventory[[#This Row],[Decade]],Lookups!$O$25:$R$42,4,FALSE)</f>
        <v>0.98909999999999998</v>
      </c>
      <c r="BL1240" s="25">
        <f>Inventory[[#This Row],[Nbhd Adj]]*0.95</f>
        <v>0.94971499999999998</v>
      </c>
      <c r="BM1240" s="25">
        <f>Inventory[[#This Row],[Nbhd Adj]]*Inventory[[#This Row],[Quality Adj]]*Inventory[[#This Row],[Condition Adj]]*Inventory[[#This Row],[Living Area Adj]]*Inventory[[#This Row],[Decade Adj]]*0.95</f>
        <v>0.88346976054853277</v>
      </c>
      <c r="BN1240" s="25">
        <f>ROUND(SUM(Inventory[[#This Row],[Mdl Qlty]:[Mdl WdDeck]])+Inventory[[#This Row],[Mdl Res Intercept]]*Inventory[[#This Row],[Res Adj ]],-2)</f>
        <v>378500</v>
      </c>
      <c r="BO1240" s="25">
        <f>ROUND(Inventory[[#This Row],[25Det]]*Inventory[[#This Row],[Det/Nbhd Adj]],-2)</f>
        <v>14200</v>
      </c>
      <c r="BP1240" s="25">
        <f>Inventory[[#This Row],[Adjusted Res]]+Inventory[[#This Row],[Adj Det ]]</f>
        <v>392700</v>
      </c>
      <c r="BQ1240" s="25">
        <f>ROUND((Inventory[[#This Row],[Mdl Land Intercept]]+Inventory[[#This Row],[Mdl LnAcres]])*Inventory[[#This Row],[Det/Nbhd Adj]],-2)</f>
        <v>32100</v>
      </c>
      <c r="BR1240" s="25">
        <f>Inventory[[#This Row],[Adjusted Impr Total]]+Inventory[[#This Row],[Adjusted Land Total]]</f>
        <v>424800</v>
      </c>
      <c r="BS1240" s="36">
        <f>IFERROR((Inventory[[#This Row],[Adjusted Impr Total]]-Inventory[[#This Row],[24Bldg]])/Inventory[[#This Row],[24Bldg]],0)</f>
        <v>0.15772405660377359</v>
      </c>
      <c r="BT1240" s="36">
        <f>(Inventory[[#This Row],[Adjusted Land Total]]-Inventory[[#This Row],[24Lnd]])/Inventory[[#This Row],[24Lnd]]</f>
        <v>-0.39089184060721061</v>
      </c>
      <c r="BU1240" s="36">
        <f>(Inventory[[#This Row],[Adjusted Total]]-Inventory[[#This Row],[24Final]])/Inventory[[#This Row],[24Final]]</f>
        <v>8.3949987241643279E-2</v>
      </c>
    </row>
    <row r="1241" spans="1:73" x14ac:dyDescent="0.3">
      <c r="A1241" s="25">
        <v>2025</v>
      </c>
      <c r="B1241" s="26" t="s">
        <v>1996</v>
      </c>
      <c r="C1241" s="26">
        <f>LN(Inventory[[#This Row],[Acres]])</f>
        <v>-1.4696759700589417</v>
      </c>
      <c r="D1241" s="25">
        <v>0.23</v>
      </c>
      <c r="E1241" s="27"/>
      <c r="F1241" s="26" t="s">
        <v>537</v>
      </c>
      <c r="G1241" s="26" t="s">
        <v>126</v>
      </c>
      <c r="H1241" s="26" t="s">
        <v>349</v>
      </c>
      <c r="I1241" s="26" t="s">
        <v>538</v>
      </c>
      <c r="J1241" s="26" t="s">
        <v>539</v>
      </c>
      <c r="K1241" s="26" t="s">
        <v>147</v>
      </c>
      <c r="L1241" s="26" t="s">
        <v>148</v>
      </c>
      <c r="M1241" s="26" t="s">
        <v>323</v>
      </c>
      <c r="N1241" s="26">
        <v>90</v>
      </c>
      <c r="O1241" s="26">
        <f>2024-Inventory[[#This Row],[YrBlt]]</f>
        <v>84</v>
      </c>
      <c r="P1241" s="26">
        <f>2024-Inventory[[#This Row],[EffYr]]</f>
        <v>52</v>
      </c>
      <c r="Q1241" s="25">
        <v>1940</v>
      </c>
      <c r="R1241" s="25">
        <v>1972</v>
      </c>
      <c r="S1241" s="25">
        <v>1162</v>
      </c>
      <c r="T1241" s="32">
        <v>578</v>
      </c>
      <c r="U1241" s="25">
        <v>1044</v>
      </c>
      <c r="V1241" s="25">
        <f>Inventory[[#This Row],[Bsmt]]-Inventory[[#This Row],[FnBsmt]]</f>
        <v>521</v>
      </c>
      <c r="W1241" s="25">
        <v>523</v>
      </c>
      <c r="X1241" s="27"/>
      <c r="Y1241" s="27">
        <f>Inventory[[#This Row],[MainFn]]+Inventory[[#This Row],[UpprFn]]+Inventory[[#This Row],[FnBsmt]]+Inventory[[#This Row],[AddFn]]</f>
        <v>2263</v>
      </c>
      <c r="Z1241" s="27">
        <v>2500</v>
      </c>
      <c r="AA1241" s="25">
        <v>8</v>
      </c>
      <c r="AB1241" s="27"/>
      <c r="AC1241" s="27"/>
      <c r="AD1241" s="25">
        <v>400</v>
      </c>
      <c r="AE1241" s="27"/>
      <c r="AF1241" s="27"/>
      <c r="AG1241" s="27"/>
      <c r="AH1241" s="27"/>
      <c r="AI1241" s="25">
        <v>458567</v>
      </c>
      <c r="AJ1241" s="25">
        <v>311826</v>
      </c>
      <c r="AK1241" s="25">
        <v>10689</v>
      </c>
      <c r="AL1241" s="25">
        <v>370700</v>
      </c>
      <c r="AM1241" s="25">
        <v>63300</v>
      </c>
      <c r="AN1241" s="25">
        <v>307400</v>
      </c>
      <c r="AO1241" s="25">
        <v>0</v>
      </c>
      <c r="AP1241" s="25">
        <f>Lookups!$B$56*0</f>
        <v>0</v>
      </c>
      <c r="AQ1241" s="25">
        <f>Lookups!$B$56*1</f>
        <v>89850.625589999996</v>
      </c>
      <c r="AR1241" s="25">
        <f>Lookups!$B$57*Inventory[[#This Row],[LnAcres]]</f>
        <v>-46522.028095997222</v>
      </c>
      <c r="AS1241" s="25">
        <f>VLOOKUP(Inventory[[#This Row],[Qlty]],Lookups!$A$62:$E$75,2,FALSE)</f>
        <v>44121.038090000002</v>
      </c>
      <c r="AT1241" s="25">
        <f>VLOOKUP(Inventory[[#This Row],[Cnd]],Lookups!$A$76:$E$84,2,FALSE)</f>
        <v>160472.20319</v>
      </c>
      <c r="AU1241" s="25">
        <f>Inventory[[#This Row],[EffAge]]*Lookups!$B$85</f>
        <v>-11598.371226000001</v>
      </c>
      <c r="AV1241" s="25">
        <f>Inventory[[#This Row],[MainFn]]*Lookups!$B$86</f>
        <v>57412.874397074003</v>
      </c>
      <c r="AW1241" s="25">
        <f>Inventory[[#This Row],[UpprFn]]*Lookups!$B$87</f>
        <v>25886.552413657999</v>
      </c>
      <c r="AX1241" s="25">
        <f>Inventory[[#This Row],[AddFn]]*Lookups!$B$88</f>
        <v>0</v>
      </c>
      <c r="AY1241" s="25">
        <f>Inventory[[#This Row],[Bsmt]]*Lookups!$B$89</f>
        <v>30361.498637867997</v>
      </c>
      <c r="AZ1241" s="25">
        <f>Inventory[[#This Row],[Fixtures]]*Lookups!$B$90</f>
        <v>30336.176841600001</v>
      </c>
      <c r="BA1241" s="25">
        <f>Inventory[[#This Row],[WdDeck]]*Lookups!$B$91</f>
        <v>13318.206110400002</v>
      </c>
      <c r="BB1241" s="25">
        <f>ROUND(Inventory[[#This Row],[25Det]],-2)</f>
        <v>10700</v>
      </c>
      <c r="BC1241" s="25">
        <f>ROUND(SUM(Inventory[[#This Row],[Mdl Qlty]:[Mdl WdDeck]])+Inventory[[#This Row],[Mdl Res Intercept]],-2)</f>
        <v>350300</v>
      </c>
      <c r="BD1241" s="25">
        <f>ROUND(Inventory[[#This Row],[Mdl Land Intercept]]+Inventory[[#This Row],[Mdl LnAcres]],-2)</f>
        <v>43300</v>
      </c>
      <c r="BE1241" s="25">
        <f>Inventory[[#This Row],[Unadj Res Value]]+Inventory[[#This Row],[Unadj Det Value]]+Inventory[[#This Row],[Unadj Land Value]]</f>
        <v>404300</v>
      </c>
      <c r="BF1241" s="36">
        <f>(Inventory[[#This Row],[Unadj Total Value]]-Inventory[[#This Row],[24Final]])/Inventory[[#This Row],[24Final]]</f>
        <v>9.0639330995414075E-2</v>
      </c>
      <c r="BG1241" s="25">
        <f>VLOOKUP(Inventory[[#This Row],[Nbhd]],Lookups!$Q$2:$T$4,4,FALSE)</f>
        <v>0.99970000000000003</v>
      </c>
      <c r="BH1241" s="25">
        <f>VLOOKUP(Inventory[[#This Row],[Qlty]],Lookups!$O$7:$R$21,4,FALSE)</f>
        <v>0.98050000000000004</v>
      </c>
      <c r="BI1241" s="25">
        <f>VLOOKUP(Inventory[[#This Row],[Cnd]],Lookups!$T$7:$W$16,4,FALSE)</f>
        <v>0.99729999999999996</v>
      </c>
      <c r="BJ1241" s="25">
        <f>VLOOKUP(Inventory[[#This Row],[LivArea Range]],Lookups!$T$25:$W$37,4,FALSE)</f>
        <v>0.98919999999999997</v>
      </c>
      <c r="BK1241" s="25">
        <f>VLOOKUP(Inventory[[#This Row],[Decade]],Lookups!$O$25:$R$42,4,FALSE)</f>
        <v>0.98909999999999998</v>
      </c>
      <c r="BL1241" s="25">
        <f>Inventory[[#This Row],[Nbhd Adj]]*0.95</f>
        <v>0.94971499999999998</v>
      </c>
      <c r="BM1241" s="25">
        <f>Inventory[[#This Row],[Nbhd Adj]]*Inventory[[#This Row],[Quality Adj]]*Inventory[[#This Row],[Condition Adj]]*Inventory[[#This Row],[Living Area Adj]]*Inventory[[#This Row],[Decade Adj]]*0.95</f>
        <v>0.9086382690108219</v>
      </c>
      <c r="BN1241" s="25">
        <f>ROUND(SUM(Inventory[[#This Row],[Mdl Qlty]:[Mdl WdDeck]])+Inventory[[#This Row],[Mdl Res Intercept]]*Inventory[[#This Row],[Res Adj ]],-2)</f>
        <v>350300</v>
      </c>
      <c r="BO1241" s="25">
        <f>ROUND(Inventory[[#This Row],[25Det]]*Inventory[[#This Row],[Det/Nbhd Adj]],-2)</f>
        <v>10200</v>
      </c>
      <c r="BP1241" s="25">
        <f>Inventory[[#This Row],[Adjusted Res]]+Inventory[[#This Row],[Adj Det ]]</f>
        <v>360500</v>
      </c>
      <c r="BQ1241" s="25">
        <f>ROUND((Inventory[[#This Row],[Mdl Land Intercept]]+Inventory[[#This Row],[Mdl LnAcres]])*Inventory[[#This Row],[Det/Nbhd Adj]],-2)</f>
        <v>41100</v>
      </c>
      <c r="BR1241" s="25">
        <f>Inventory[[#This Row],[Adjusted Impr Total]]+Inventory[[#This Row],[Adjusted Land Total]]</f>
        <v>401600</v>
      </c>
      <c r="BS1241" s="36">
        <f>IFERROR((Inventory[[#This Row],[Adjusted Impr Total]]-Inventory[[#This Row],[24Bldg]])/Inventory[[#This Row],[24Bldg]],0)</f>
        <v>0.17273910214703969</v>
      </c>
      <c r="BT1241" s="36">
        <f>(Inventory[[#This Row],[Adjusted Land Total]]-Inventory[[#This Row],[24Lnd]])/Inventory[[#This Row],[24Lnd]]</f>
        <v>-0.35071090047393366</v>
      </c>
      <c r="BU1241" s="36">
        <f>(Inventory[[#This Row],[Adjusted Total]]-Inventory[[#This Row],[24Final]])/Inventory[[#This Row],[24Final]]</f>
        <v>8.3355813326139741E-2</v>
      </c>
    </row>
    <row r="1242" spans="1:73" x14ac:dyDescent="0.3">
      <c r="A1242" s="25">
        <v>2025</v>
      </c>
      <c r="B1242" s="26" t="s">
        <v>1443</v>
      </c>
      <c r="C1242" s="26">
        <f>LN(Inventory[[#This Row],[Acres]])</f>
        <v>-1.8325814637483102</v>
      </c>
      <c r="D1242" s="25">
        <v>0.16</v>
      </c>
      <c r="E1242" s="32">
        <v>6878</v>
      </c>
      <c r="F1242" s="26" t="s">
        <v>537</v>
      </c>
      <c r="G1242" s="26" t="s">
        <v>126</v>
      </c>
      <c r="H1242" s="26" t="s">
        <v>349</v>
      </c>
      <c r="I1242" s="26" t="s">
        <v>538</v>
      </c>
      <c r="J1242" s="26" t="s">
        <v>539</v>
      </c>
      <c r="K1242" s="26" t="s">
        <v>242</v>
      </c>
      <c r="L1242" s="26" t="s">
        <v>351</v>
      </c>
      <c r="M1242" s="26" t="s">
        <v>323</v>
      </c>
      <c r="N1242" s="26">
        <v>90</v>
      </c>
      <c r="O1242" s="26">
        <f>2024-Inventory[[#This Row],[YrBlt]]</f>
        <v>84</v>
      </c>
      <c r="P1242" s="26">
        <f>2024-Inventory[[#This Row],[EffYr]]</f>
        <v>52</v>
      </c>
      <c r="Q1242" s="25">
        <v>1940</v>
      </c>
      <c r="R1242" s="25">
        <v>1972</v>
      </c>
      <c r="S1242" s="25">
        <v>1084</v>
      </c>
      <c r="T1242" s="27"/>
      <c r="U1242" s="25">
        <v>1088</v>
      </c>
      <c r="V1242" s="32">
        <f>Inventory[[#This Row],[Bsmt]]-Inventory[[#This Row],[FnBsmt]]</f>
        <v>788</v>
      </c>
      <c r="W1242" s="32">
        <v>300</v>
      </c>
      <c r="X1242" s="27"/>
      <c r="Y1242" s="27">
        <f>Inventory[[#This Row],[MainFn]]+Inventory[[#This Row],[UpprFn]]+Inventory[[#This Row],[FnBsmt]]+Inventory[[#This Row],[AddFn]]</f>
        <v>1384</v>
      </c>
      <c r="Z1242" s="27">
        <v>1500</v>
      </c>
      <c r="AA1242" s="25">
        <v>7</v>
      </c>
      <c r="AB1242" s="27"/>
      <c r="AC1242" s="27"/>
      <c r="AD1242" s="25">
        <v>120</v>
      </c>
      <c r="AE1242" s="27"/>
      <c r="AF1242" s="27"/>
      <c r="AG1242" s="27"/>
      <c r="AH1242" s="27"/>
      <c r="AI1242" s="25">
        <v>246219</v>
      </c>
      <c r="AJ1242" s="25">
        <v>167429</v>
      </c>
      <c r="AK1242" s="25">
        <v>6050</v>
      </c>
      <c r="AL1242" s="25">
        <v>297600</v>
      </c>
      <c r="AM1242" s="25">
        <v>50600</v>
      </c>
      <c r="AN1242" s="25">
        <v>247000</v>
      </c>
      <c r="AO1242" s="25">
        <v>0</v>
      </c>
      <c r="AP1242" s="25">
        <f>Lookups!$B$56*0</f>
        <v>0</v>
      </c>
      <c r="AQ1242" s="25">
        <f>Lookups!$B$56*1</f>
        <v>89850.625589999996</v>
      </c>
      <c r="AR1242" s="25">
        <f>Lookups!$B$57*Inventory[[#This Row],[LnAcres]]</f>
        <v>-58009.662049032086</v>
      </c>
      <c r="AS1242" s="25">
        <f>VLOOKUP(Inventory[[#This Row],[Qlty]],Lookups!$A$62:$E$75,2,FALSE)</f>
        <v>21557.329055999999</v>
      </c>
      <c r="AT1242" s="25">
        <f>VLOOKUP(Inventory[[#This Row],[Cnd]],Lookups!$A$76:$E$84,2,FALSE)</f>
        <v>160472.20319</v>
      </c>
      <c r="AU1242" s="25">
        <f>Inventory[[#This Row],[EffAge]]*Lookups!$B$85</f>
        <v>-11598.371226000001</v>
      </c>
      <c r="AV1242" s="25">
        <f>Inventory[[#This Row],[MainFn]]*Lookups!$B$86</f>
        <v>53558.998146668004</v>
      </c>
      <c r="AW1242" s="25">
        <f>Inventory[[#This Row],[UpprFn]]*Lookups!$B$87</f>
        <v>0</v>
      </c>
      <c r="AX1242" s="25">
        <f>Inventory[[#This Row],[AddFn]]*Lookups!$B$88</f>
        <v>0</v>
      </c>
      <c r="AY1242" s="25">
        <f>Inventory[[#This Row],[Bsmt]]*Lookups!$B$89</f>
        <v>31641.102028735997</v>
      </c>
      <c r="AZ1242" s="25">
        <f>Inventory[[#This Row],[Fixtures]]*Lookups!$B$90</f>
        <v>26544.1547364</v>
      </c>
      <c r="BA1242" s="25">
        <f>Inventory[[#This Row],[WdDeck]]*Lookups!$B$91</f>
        <v>3995.4618331200004</v>
      </c>
      <c r="BB1242" s="25">
        <f>ROUND(Inventory[[#This Row],[25Det]],-2)</f>
        <v>6100</v>
      </c>
      <c r="BC1242" s="25">
        <f>ROUND(SUM(Inventory[[#This Row],[Mdl Qlty]:[Mdl WdDeck]])+Inventory[[#This Row],[Mdl Res Intercept]],-2)</f>
        <v>286200</v>
      </c>
      <c r="BD1242" s="25">
        <f>ROUND(Inventory[[#This Row],[Mdl Land Intercept]]+Inventory[[#This Row],[Mdl LnAcres]],-2)</f>
        <v>31800</v>
      </c>
      <c r="BE1242" s="25">
        <f>Inventory[[#This Row],[Unadj Res Value]]+Inventory[[#This Row],[Unadj Det Value]]+Inventory[[#This Row],[Unadj Land Value]]</f>
        <v>324100</v>
      </c>
      <c r="BF1242" s="36">
        <f>(Inventory[[#This Row],[Unadj Total Value]]-Inventory[[#This Row],[24Final]])/Inventory[[#This Row],[24Final]]</f>
        <v>8.9045698924731187E-2</v>
      </c>
      <c r="BG1242" s="25">
        <f>VLOOKUP(Inventory[[#This Row],[Nbhd]],Lookups!$Q$2:$T$4,4,FALSE)</f>
        <v>0.99970000000000003</v>
      </c>
      <c r="BH1242" s="25">
        <f>VLOOKUP(Inventory[[#This Row],[Qlty]],Lookups!$O$7:$R$21,4,FALSE)</f>
        <v>1.0067999999999999</v>
      </c>
      <c r="BI1242" s="25">
        <f>VLOOKUP(Inventory[[#This Row],[Cnd]],Lookups!$T$7:$W$16,4,FALSE)</f>
        <v>0.99729999999999996</v>
      </c>
      <c r="BJ1242" s="25">
        <f>VLOOKUP(Inventory[[#This Row],[LivArea Range]],Lookups!$T$25:$W$37,4,FALSE)</f>
        <v>1.0157</v>
      </c>
      <c r="BK1242" s="25">
        <f>VLOOKUP(Inventory[[#This Row],[Decade]],Lookups!$O$25:$R$42,4,FALSE)</f>
        <v>0.98909999999999998</v>
      </c>
      <c r="BL1242" s="25">
        <f>Inventory[[#This Row],[Nbhd Adj]]*0.95</f>
        <v>0.94971499999999998</v>
      </c>
      <c r="BM1242" s="25">
        <f>Inventory[[#This Row],[Nbhd Adj]]*Inventory[[#This Row],[Quality Adj]]*Inventory[[#This Row],[Condition Adj]]*Inventory[[#This Row],[Living Area Adj]]*Inventory[[#This Row],[Decade Adj]]*0.95</f>
        <v>0.95800544533193577</v>
      </c>
      <c r="BN1242" s="25">
        <f>ROUND(SUM(Inventory[[#This Row],[Mdl Qlty]:[Mdl WdDeck]])+Inventory[[#This Row],[Mdl Res Intercept]]*Inventory[[#This Row],[Res Adj ]],-2)</f>
        <v>286200</v>
      </c>
      <c r="BO1242" s="25">
        <f>ROUND(Inventory[[#This Row],[25Det]]*Inventory[[#This Row],[Det/Nbhd Adj]],-2)</f>
        <v>5700</v>
      </c>
      <c r="BP1242" s="25">
        <f>Inventory[[#This Row],[Adjusted Res]]+Inventory[[#This Row],[Adj Det ]]</f>
        <v>291900</v>
      </c>
      <c r="BQ1242" s="25">
        <f>ROUND((Inventory[[#This Row],[Mdl Land Intercept]]+Inventory[[#This Row],[Mdl LnAcres]])*Inventory[[#This Row],[Det/Nbhd Adj]],-2)</f>
        <v>30200</v>
      </c>
      <c r="BR1242" s="25">
        <f>Inventory[[#This Row],[Adjusted Impr Total]]+Inventory[[#This Row],[Adjusted Land Total]]</f>
        <v>322100</v>
      </c>
      <c r="BS1242" s="36">
        <f>IFERROR((Inventory[[#This Row],[Adjusted Impr Total]]-Inventory[[#This Row],[24Bldg]])/Inventory[[#This Row],[24Bldg]],0)</f>
        <v>0.18178137651821863</v>
      </c>
      <c r="BT1242" s="36">
        <f>(Inventory[[#This Row],[Adjusted Land Total]]-Inventory[[#This Row],[24Lnd]])/Inventory[[#This Row],[24Lnd]]</f>
        <v>-0.40316205533596838</v>
      </c>
      <c r="BU1242" s="36">
        <f>(Inventory[[#This Row],[Adjusted Total]]-Inventory[[#This Row],[24Final]])/Inventory[[#This Row],[24Final]]</f>
        <v>8.2325268817204297E-2</v>
      </c>
    </row>
    <row r="1243" spans="1:73" x14ac:dyDescent="0.3">
      <c r="A1243" s="25">
        <v>2025</v>
      </c>
      <c r="B1243" s="26" t="s">
        <v>1402</v>
      </c>
      <c r="C1243" s="26">
        <f>LN(Inventory[[#This Row],[Acres]])</f>
        <v>-1.7719568419318752</v>
      </c>
      <c r="D1243" s="25">
        <v>0.17</v>
      </c>
      <c r="E1243" s="32">
        <v>7255</v>
      </c>
      <c r="F1243" s="26" t="s">
        <v>537</v>
      </c>
      <c r="G1243" s="26" t="s">
        <v>126</v>
      </c>
      <c r="H1243" s="26" t="s">
        <v>349</v>
      </c>
      <c r="I1243" s="26" t="s">
        <v>538</v>
      </c>
      <c r="J1243" s="26" t="s">
        <v>539</v>
      </c>
      <c r="K1243" s="26" t="s">
        <v>242</v>
      </c>
      <c r="L1243" s="26" t="s">
        <v>302</v>
      </c>
      <c r="M1243" s="26" t="s">
        <v>323</v>
      </c>
      <c r="N1243" s="26">
        <v>90</v>
      </c>
      <c r="O1243" s="26">
        <f>2024-Inventory[[#This Row],[YrBlt]]</f>
        <v>84</v>
      </c>
      <c r="P1243" s="26">
        <f>2024-Inventory[[#This Row],[EffYr]]</f>
        <v>52</v>
      </c>
      <c r="Q1243" s="25">
        <v>1940</v>
      </c>
      <c r="R1243" s="25">
        <v>1972</v>
      </c>
      <c r="S1243" s="25">
        <v>870</v>
      </c>
      <c r="T1243" s="31"/>
      <c r="U1243" s="25">
        <v>870</v>
      </c>
      <c r="V1243" s="32">
        <f>Inventory[[#This Row],[Bsmt]]-Inventory[[#This Row],[FnBsmt]]</f>
        <v>670</v>
      </c>
      <c r="W1243" s="32">
        <v>200</v>
      </c>
      <c r="X1243" s="27"/>
      <c r="Y1243" s="27">
        <f>Inventory[[#This Row],[MainFn]]+Inventory[[#This Row],[UpprFn]]+Inventory[[#This Row],[FnBsmt]]+Inventory[[#This Row],[AddFn]]</f>
        <v>1070</v>
      </c>
      <c r="Z1243" s="27">
        <v>1500</v>
      </c>
      <c r="AA1243" s="25">
        <v>6</v>
      </c>
      <c r="AB1243" s="32">
        <v>200</v>
      </c>
      <c r="AC1243" s="31"/>
      <c r="AD1243" s="27"/>
      <c r="AE1243" s="27"/>
      <c r="AF1243" s="27"/>
      <c r="AG1243" s="27"/>
      <c r="AH1243" s="27"/>
      <c r="AI1243" s="25">
        <v>223782</v>
      </c>
      <c r="AJ1243" s="25">
        <v>152172</v>
      </c>
      <c r="AK1243" s="25">
        <v>0</v>
      </c>
      <c r="AL1243" s="25">
        <v>278900</v>
      </c>
      <c r="AM1243" s="25">
        <v>52700</v>
      </c>
      <c r="AN1243" s="25">
        <v>226200</v>
      </c>
      <c r="AO1243" s="25">
        <v>0</v>
      </c>
      <c r="AP1243" s="25">
        <f>Lookups!$B$56*0</f>
        <v>0</v>
      </c>
      <c r="AQ1243" s="25">
        <f>Lookups!$B$56*1</f>
        <v>89850.625589999996</v>
      </c>
      <c r="AR1243" s="25">
        <f>Lookups!$B$57*Inventory[[#This Row],[LnAcres]]</f>
        <v>-56090.612940989391</v>
      </c>
      <c r="AS1243" s="25">
        <f>VLOOKUP(Inventory[[#This Row],[Qlty]],Lookups!$A$62:$E$75,2,FALSE)</f>
        <v>29814.093161000001</v>
      </c>
      <c r="AT1243" s="25">
        <f>VLOOKUP(Inventory[[#This Row],[Cnd]],Lookups!$A$76:$E$84,2,FALSE)</f>
        <v>160472.20319</v>
      </c>
      <c r="AU1243" s="25">
        <f>Inventory[[#This Row],[EffAge]]*Lookups!$B$85</f>
        <v>-11598.371226000001</v>
      </c>
      <c r="AV1243" s="25">
        <f>Inventory[[#This Row],[MainFn]]*Lookups!$B$86</f>
        <v>42985.542792990003</v>
      </c>
      <c r="AW1243" s="25">
        <f>Inventory[[#This Row],[UpprFn]]*Lookups!$B$87</f>
        <v>0</v>
      </c>
      <c r="AX1243" s="25">
        <f>Inventory[[#This Row],[AddFn]]*Lookups!$B$88</f>
        <v>0</v>
      </c>
      <c r="AY1243" s="25">
        <f>Inventory[[#This Row],[Bsmt]]*Lookups!$B$89</f>
        <v>25301.24886489</v>
      </c>
      <c r="AZ1243" s="25">
        <f>Inventory[[#This Row],[Fixtures]]*Lookups!$B$90</f>
        <v>22752.132631200002</v>
      </c>
      <c r="BA1243" s="25">
        <f>Inventory[[#This Row],[WdDeck]]*Lookups!$B$91</f>
        <v>0</v>
      </c>
      <c r="BB1243" s="25">
        <f>ROUND(Inventory[[#This Row],[25Det]],-2)</f>
        <v>0</v>
      </c>
      <c r="BC1243" s="25">
        <f>ROUND(SUM(Inventory[[#This Row],[Mdl Qlty]:[Mdl WdDeck]])+Inventory[[#This Row],[Mdl Res Intercept]],-2)</f>
        <v>269700</v>
      </c>
      <c r="BD1243" s="25">
        <f>ROUND(Inventory[[#This Row],[Mdl Land Intercept]]+Inventory[[#This Row],[Mdl LnAcres]],-2)</f>
        <v>33800</v>
      </c>
      <c r="BE1243" s="25">
        <f>Inventory[[#This Row],[Unadj Res Value]]+Inventory[[#This Row],[Unadj Det Value]]+Inventory[[#This Row],[Unadj Land Value]]</f>
        <v>303500</v>
      </c>
      <c r="BF1243" s="36">
        <f>(Inventory[[#This Row],[Unadj Total Value]]-Inventory[[#This Row],[24Final]])/Inventory[[#This Row],[24Final]]</f>
        <v>8.8203657224811757E-2</v>
      </c>
      <c r="BG1243" s="25">
        <f>VLOOKUP(Inventory[[#This Row],[Nbhd]],Lookups!$Q$2:$T$4,4,FALSE)</f>
        <v>0.99970000000000003</v>
      </c>
      <c r="BH1243" s="25">
        <f>VLOOKUP(Inventory[[#This Row],[Qlty]],Lookups!$O$7:$R$21,4,FALSE)</f>
        <v>1.0088999999999999</v>
      </c>
      <c r="BI1243" s="25">
        <f>VLOOKUP(Inventory[[#This Row],[Cnd]],Lookups!$T$7:$W$16,4,FALSE)</f>
        <v>0.99729999999999996</v>
      </c>
      <c r="BJ1243" s="25">
        <f>VLOOKUP(Inventory[[#This Row],[LivArea Range]],Lookups!$T$25:$W$37,4,FALSE)</f>
        <v>1.0157</v>
      </c>
      <c r="BK1243" s="25">
        <f>VLOOKUP(Inventory[[#This Row],[Decade]],Lookups!$O$25:$R$42,4,FALSE)</f>
        <v>0.98909999999999998</v>
      </c>
      <c r="BL1243" s="25">
        <f>Inventory[[#This Row],[Nbhd Adj]]*0.95</f>
        <v>0.94971499999999998</v>
      </c>
      <c r="BM1243" s="25">
        <f>Inventory[[#This Row],[Nbhd Adj]]*Inventory[[#This Row],[Quality Adj]]*Inventory[[#This Row],[Condition Adj]]*Inventory[[#This Row],[Living Area Adj]]*Inventory[[#This Row],[Decade Adj]]*0.95</f>
        <v>0.96000366884722899</v>
      </c>
      <c r="BN1243" s="25">
        <f>ROUND(SUM(Inventory[[#This Row],[Mdl Qlty]:[Mdl WdDeck]])+Inventory[[#This Row],[Mdl Res Intercept]]*Inventory[[#This Row],[Res Adj ]],-2)</f>
        <v>269700</v>
      </c>
      <c r="BO1243" s="25">
        <f>ROUND(Inventory[[#This Row],[25Det]]*Inventory[[#This Row],[Det/Nbhd Adj]],-2)</f>
        <v>0</v>
      </c>
      <c r="BP1243" s="25">
        <f>Inventory[[#This Row],[Adjusted Res]]+Inventory[[#This Row],[Adj Det ]]</f>
        <v>269700</v>
      </c>
      <c r="BQ1243" s="25">
        <f>ROUND((Inventory[[#This Row],[Mdl Land Intercept]]+Inventory[[#This Row],[Mdl LnAcres]])*Inventory[[#This Row],[Det/Nbhd Adj]],-2)</f>
        <v>32100</v>
      </c>
      <c r="BR1243" s="25">
        <f>Inventory[[#This Row],[Adjusted Impr Total]]+Inventory[[#This Row],[Adjusted Land Total]]</f>
        <v>301800</v>
      </c>
      <c r="BS1243" s="36">
        <f>IFERROR((Inventory[[#This Row],[Adjusted Impr Total]]-Inventory[[#This Row],[24Bldg]])/Inventory[[#This Row],[24Bldg]],0)</f>
        <v>0.19230769230769232</v>
      </c>
      <c r="BT1243" s="36">
        <f>(Inventory[[#This Row],[Adjusted Land Total]]-Inventory[[#This Row],[24Lnd]])/Inventory[[#This Row],[24Lnd]]</f>
        <v>-0.39089184060721061</v>
      </c>
      <c r="BU1243" s="36">
        <f>(Inventory[[#This Row],[Adjusted Total]]-Inventory[[#This Row],[24Final]])/Inventory[[#This Row],[24Final]]</f>
        <v>8.2108282538544283E-2</v>
      </c>
    </row>
    <row r="1244" spans="1:73" x14ac:dyDescent="0.3">
      <c r="A1244" s="25">
        <v>2025</v>
      </c>
      <c r="B1244" s="26" t="s">
        <v>1629</v>
      </c>
      <c r="C1244" s="26">
        <f>LN(Inventory[[#This Row],[Acres]])</f>
        <v>-1.5606477482646683</v>
      </c>
      <c r="D1244" s="25">
        <v>0.21</v>
      </c>
      <c r="E1244" s="32">
        <v>9330</v>
      </c>
      <c r="F1244" s="26" t="s">
        <v>537</v>
      </c>
      <c r="G1244" s="26" t="s">
        <v>126</v>
      </c>
      <c r="H1244" s="26" t="s">
        <v>349</v>
      </c>
      <c r="I1244" s="26" t="s">
        <v>538</v>
      </c>
      <c r="J1244" s="26" t="s">
        <v>539</v>
      </c>
      <c r="K1244" s="26" t="s">
        <v>242</v>
      </c>
      <c r="L1244" s="26" t="s">
        <v>302</v>
      </c>
      <c r="M1244" s="26" t="s">
        <v>303</v>
      </c>
      <c r="N1244" s="26">
        <v>90</v>
      </c>
      <c r="O1244" s="26">
        <f>2024-Inventory[[#This Row],[YrBlt]]</f>
        <v>84</v>
      </c>
      <c r="P1244" s="26">
        <f>2024-Inventory[[#This Row],[EffYr]]</f>
        <v>52</v>
      </c>
      <c r="Q1244" s="25">
        <v>1940</v>
      </c>
      <c r="R1244" s="25">
        <v>1972</v>
      </c>
      <c r="S1244" s="25">
        <v>1067</v>
      </c>
      <c r="T1244" s="27"/>
      <c r="U1244" s="25">
        <v>192</v>
      </c>
      <c r="V1244" s="32">
        <f>Inventory[[#This Row],[Bsmt]]-Inventory[[#This Row],[FnBsmt]]</f>
        <v>0</v>
      </c>
      <c r="W1244" s="32">
        <v>192</v>
      </c>
      <c r="X1244" s="27"/>
      <c r="Y1244" s="27">
        <f>Inventory[[#This Row],[MainFn]]+Inventory[[#This Row],[UpprFn]]+Inventory[[#This Row],[FnBsmt]]+Inventory[[#This Row],[AddFn]]</f>
        <v>1259</v>
      </c>
      <c r="Z1244" s="27">
        <v>1500</v>
      </c>
      <c r="AA1244" s="25">
        <v>5</v>
      </c>
      <c r="AB1244" s="27"/>
      <c r="AC1244" s="27"/>
      <c r="AD1244" s="27"/>
      <c r="AE1244" s="27"/>
      <c r="AF1244" s="27"/>
      <c r="AG1244" s="27"/>
      <c r="AH1244" s="27"/>
      <c r="AI1244" s="25">
        <v>222941</v>
      </c>
      <c r="AJ1244" s="25">
        <v>156059</v>
      </c>
      <c r="AK1244" s="25">
        <v>19073</v>
      </c>
      <c r="AL1244" s="25">
        <v>323200</v>
      </c>
      <c r="AM1244" s="25">
        <v>60100</v>
      </c>
      <c r="AN1244" s="25">
        <v>263100</v>
      </c>
      <c r="AO1244" s="25">
        <v>0</v>
      </c>
      <c r="AP1244" s="25">
        <f>Lookups!$B$56*0</f>
        <v>0</v>
      </c>
      <c r="AQ1244" s="25">
        <f>Lookups!$B$56*1</f>
        <v>89850.625589999996</v>
      </c>
      <c r="AR1244" s="25">
        <f>Lookups!$B$57*Inventory[[#This Row],[LnAcres]]</f>
        <v>-49401.70477837498</v>
      </c>
      <c r="AS1244" s="25">
        <f>VLOOKUP(Inventory[[#This Row],[Qlty]],Lookups!$A$62:$E$75,2,FALSE)</f>
        <v>29814.093161000001</v>
      </c>
      <c r="AT1244" s="25">
        <f>VLOOKUP(Inventory[[#This Row],[Cnd]],Lookups!$A$76:$E$84,2,FALSE)</f>
        <v>197752.34721000001</v>
      </c>
      <c r="AU1244" s="25">
        <f>Inventory[[#This Row],[EffAge]]*Lookups!$B$85</f>
        <v>-11598.371226000001</v>
      </c>
      <c r="AV1244" s="25">
        <f>Inventory[[#This Row],[MainFn]]*Lookups!$B$86</f>
        <v>52719.050758759004</v>
      </c>
      <c r="AW1244" s="25">
        <f>Inventory[[#This Row],[UpprFn]]*Lookups!$B$87</f>
        <v>0</v>
      </c>
      <c r="AX1244" s="25">
        <f>Inventory[[#This Row],[AddFn]]*Lookups!$B$88</f>
        <v>0</v>
      </c>
      <c r="AY1244" s="25">
        <f>Inventory[[#This Row],[Bsmt]]*Lookups!$B$89</f>
        <v>5583.7238874239993</v>
      </c>
      <c r="AZ1244" s="25">
        <f>Inventory[[#This Row],[Fixtures]]*Lookups!$B$90</f>
        <v>18960.110526</v>
      </c>
      <c r="BA1244" s="25">
        <f>Inventory[[#This Row],[WdDeck]]*Lookups!$B$91</f>
        <v>0</v>
      </c>
      <c r="BB1244" s="25">
        <f>ROUND(Inventory[[#This Row],[25Det]],-2)</f>
        <v>19100</v>
      </c>
      <c r="BC1244" s="25">
        <f>ROUND(SUM(Inventory[[#This Row],[Mdl Qlty]:[Mdl WdDeck]])+Inventory[[#This Row],[Mdl Res Intercept]],-2)</f>
        <v>293200</v>
      </c>
      <c r="BD1244" s="25">
        <f>ROUND(Inventory[[#This Row],[Mdl Land Intercept]]+Inventory[[#This Row],[Mdl LnAcres]],-2)</f>
        <v>40400</v>
      </c>
      <c r="BE1244" s="25">
        <f>Inventory[[#This Row],[Unadj Res Value]]+Inventory[[#This Row],[Unadj Det Value]]+Inventory[[#This Row],[Unadj Land Value]]</f>
        <v>352700</v>
      </c>
      <c r="BF1244" s="36">
        <f>(Inventory[[#This Row],[Unadj Total Value]]-Inventory[[#This Row],[24Final]])/Inventory[[#This Row],[24Final]]</f>
        <v>9.1274752475247523E-2</v>
      </c>
      <c r="BG1244" s="25">
        <f>VLOOKUP(Inventory[[#This Row],[Nbhd]],Lookups!$Q$2:$T$4,4,FALSE)</f>
        <v>0.99970000000000003</v>
      </c>
      <c r="BH1244" s="25">
        <f>VLOOKUP(Inventory[[#This Row],[Qlty]],Lookups!$O$7:$R$21,4,FALSE)</f>
        <v>1.0088999999999999</v>
      </c>
      <c r="BI1244" s="25">
        <f>VLOOKUP(Inventory[[#This Row],[Cnd]],Lookups!$T$7:$W$16,4,FALSE)</f>
        <v>0.99650000000000005</v>
      </c>
      <c r="BJ1244" s="25">
        <f>VLOOKUP(Inventory[[#This Row],[LivArea Range]],Lookups!$T$25:$W$37,4,FALSE)</f>
        <v>1.0157</v>
      </c>
      <c r="BK1244" s="25">
        <f>VLOOKUP(Inventory[[#This Row],[Decade]],Lookups!$O$25:$R$42,4,FALSE)</f>
        <v>0.98909999999999998</v>
      </c>
      <c r="BL1244" s="25">
        <f>Inventory[[#This Row],[Nbhd Adj]]*0.95</f>
        <v>0.94971499999999998</v>
      </c>
      <c r="BM1244" s="25">
        <f>Inventory[[#This Row],[Nbhd Adj]]*Inventory[[#This Row],[Quality Adj]]*Inventory[[#This Row],[Condition Adj]]*Inventory[[#This Row],[Living Area Adj]]*Inventory[[#This Row],[Decade Adj]]*0.95</f>
        <v>0.95923358669032743</v>
      </c>
      <c r="BN1244" s="25">
        <f>ROUND(SUM(Inventory[[#This Row],[Mdl Qlty]:[Mdl WdDeck]])+Inventory[[#This Row],[Mdl Res Intercept]]*Inventory[[#This Row],[Res Adj ]],-2)</f>
        <v>293200</v>
      </c>
      <c r="BO1244" s="25">
        <f>ROUND(Inventory[[#This Row],[25Det]]*Inventory[[#This Row],[Det/Nbhd Adj]],-2)</f>
        <v>18100</v>
      </c>
      <c r="BP1244" s="25">
        <f>Inventory[[#This Row],[Adjusted Res]]+Inventory[[#This Row],[Adj Det ]]</f>
        <v>311300</v>
      </c>
      <c r="BQ1244" s="25">
        <f>ROUND((Inventory[[#This Row],[Mdl Land Intercept]]+Inventory[[#This Row],[Mdl LnAcres]])*Inventory[[#This Row],[Det/Nbhd Adj]],-2)</f>
        <v>38400</v>
      </c>
      <c r="BR1244" s="25">
        <f>Inventory[[#This Row],[Adjusted Impr Total]]+Inventory[[#This Row],[Adjusted Land Total]]</f>
        <v>349700</v>
      </c>
      <c r="BS1244" s="36">
        <f>IFERROR((Inventory[[#This Row],[Adjusted Impr Total]]-Inventory[[#This Row],[24Bldg]])/Inventory[[#This Row],[24Bldg]],0)</f>
        <v>0.18320030406689472</v>
      </c>
      <c r="BT1244" s="36">
        <f>(Inventory[[#This Row],[Adjusted Land Total]]-Inventory[[#This Row],[24Lnd]])/Inventory[[#This Row],[24Lnd]]</f>
        <v>-0.36106489184692181</v>
      </c>
      <c r="BU1244" s="36">
        <f>(Inventory[[#This Row],[Adjusted Total]]-Inventory[[#This Row],[24Final]])/Inventory[[#This Row],[24Final]]</f>
        <v>8.1992574257425746E-2</v>
      </c>
    </row>
    <row r="1245" spans="1:73" x14ac:dyDescent="0.3">
      <c r="A1245" s="25">
        <v>2025</v>
      </c>
      <c r="B1245" s="26" t="s">
        <v>1676</v>
      </c>
      <c r="C1245" s="26">
        <f>LN(Inventory[[#This Row],[Acres]])</f>
        <v>-1.6094379124341003</v>
      </c>
      <c r="D1245" s="25">
        <v>0.2</v>
      </c>
      <c r="E1245" s="27"/>
      <c r="F1245" s="26" t="s">
        <v>537</v>
      </c>
      <c r="G1245" s="26" t="s">
        <v>126</v>
      </c>
      <c r="H1245" s="26" t="s">
        <v>349</v>
      </c>
      <c r="I1245" s="26" t="s">
        <v>538</v>
      </c>
      <c r="J1245" s="26" t="s">
        <v>539</v>
      </c>
      <c r="K1245" s="26" t="s">
        <v>242</v>
      </c>
      <c r="L1245" s="26" t="s">
        <v>302</v>
      </c>
      <c r="M1245" s="26" t="s">
        <v>303</v>
      </c>
      <c r="N1245" s="26">
        <v>90</v>
      </c>
      <c r="O1245" s="26">
        <f>2024-Inventory[[#This Row],[YrBlt]]</f>
        <v>84</v>
      </c>
      <c r="P1245" s="26">
        <f>2024-Inventory[[#This Row],[EffYr]]</f>
        <v>52</v>
      </c>
      <c r="Q1245" s="25">
        <v>1940</v>
      </c>
      <c r="R1245" s="25">
        <v>1972</v>
      </c>
      <c r="S1245" s="25">
        <v>1148</v>
      </c>
      <c r="T1245" s="27"/>
      <c r="U1245" s="25">
        <v>1148</v>
      </c>
      <c r="V1245" s="32">
        <f>Inventory[[#This Row],[Bsmt]]-Inventory[[#This Row],[FnBsmt]]</f>
        <v>574</v>
      </c>
      <c r="W1245" s="32">
        <v>574</v>
      </c>
      <c r="X1245" s="27"/>
      <c r="Y1245" s="27">
        <f>Inventory[[#This Row],[MainFn]]+Inventory[[#This Row],[UpprFn]]+Inventory[[#This Row],[FnBsmt]]+Inventory[[#This Row],[AddFn]]</f>
        <v>1722</v>
      </c>
      <c r="Z1245" s="27">
        <v>2000</v>
      </c>
      <c r="AA1245" s="25">
        <v>9</v>
      </c>
      <c r="AB1245" s="32">
        <v>372</v>
      </c>
      <c r="AC1245" s="27"/>
      <c r="AD1245" s="27"/>
      <c r="AE1245" s="27"/>
      <c r="AF1245" s="27"/>
      <c r="AG1245" s="27"/>
      <c r="AH1245" s="27"/>
      <c r="AI1245" s="25">
        <v>328813</v>
      </c>
      <c r="AJ1245" s="25">
        <v>230169</v>
      </c>
      <c r="AK1245" s="25">
        <v>0</v>
      </c>
      <c r="AL1245" s="25">
        <v>349100</v>
      </c>
      <c r="AM1245" s="25">
        <v>58400</v>
      </c>
      <c r="AN1245" s="25">
        <v>290700</v>
      </c>
      <c r="AO1245" s="25">
        <v>0</v>
      </c>
      <c r="AP1245" s="25">
        <f>Lookups!$B$56*0</f>
        <v>0</v>
      </c>
      <c r="AQ1245" s="25">
        <f>Lookups!$B$56*1</f>
        <v>89850.625589999996</v>
      </c>
      <c r="AR1245" s="25">
        <f>Lookups!$B$57*Inventory[[#This Row],[LnAcres]]</f>
        <v>-50946.13867709865</v>
      </c>
      <c r="AS1245" s="25">
        <f>VLOOKUP(Inventory[[#This Row],[Qlty]],Lookups!$A$62:$E$75,2,FALSE)</f>
        <v>29814.093161000001</v>
      </c>
      <c r="AT1245" s="25">
        <f>VLOOKUP(Inventory[[#This Row],[Cnd]],Lookups!$A$76:$E$84,2,FALSE)</f>
        <v>197752.34721000001</v>
      </c>
      <c r="AU1245" s="25">
        <f>Inventory[[#This Row],[EffAge]]*Lookups!$B$85</f>
        <v>-11598.371226000001</v>
      </c>
      <c r="AV1245" s="25">
        <f>Inventory[[#This Row],[MainFn]]*Lookups!$B$86</f>
        <v>56721.153018796002</v>
      </c>
      <c r="AW1245" s="25">
        <f>Inventory[[#This Row],[UpprFn]]*Lookups!$B$87</f>
        <v>0</v>
      </c>
      <c r="AX1245" s="25">
        <f>Inventory[[#This Row],[AddFn]]*Lookups!$B$88</f>
        <v>0</v>
      </c>
      <c r="AY1245" s="25">
        <f>Inventory[[#This Row],[Bsmt]]*Lookups!$B$89</f>
        <v>33386.015743555996</v>
      </c>
      <c r="AZ1245" s="25">
        <f>Inventory[[#This Row],[Fixtures]]*Lookups!$B$90</f>
        <v>34128.198946800003</v>
      </c>
      <c r="BA1245" s="25">
        <f>Inventory[[#This Row],[WdDeck]]*Lookups!$B$91</f>
        <v>0</v>
      </c>
      <c r="BB1245" s="25">
        <f>ROUND(Inventory[[#This Row],[25Det]],-2)</f>
        <v>0</v>
      </c>
      <c r="BC1245" s="25">
        <f>ROUND(SUM(Inventory[[#This Row],[Mdl Qlty]:[Mdl WdDeck]])+Inventory[[#This Row],[Mdl Res Intercept]],-2)</f>
        <v>340200</v>
      </c>
      <c r="BD1245" s="25">
        <f>ROUND(Inventory[[#This Row],[Mdl Land Intercept]]+Inventory[[#This Row],[Mdl LnAcres]],-2)</f>
        <v>38900</v>
      </c>
      <c r="BE1245" s="25">
        <f>Inventory[[#This Row],[Unadj Res Value]]+Inventory[[#This Row],[Unadj Det Value]]+Inventory[[#This Row],[Unadj Land Value]]</f>
        <v>379100</v>
      </c>
      <c r="BF1245" s="36">
        <f>(Inventory[[#This Row],[Unadj Total Value]]-Inventory[[#This Row],[24Final]])/Inventory[[#This Row],[24Final]]</f>
        <v>8.5935262102549412E-2</v>
      </c>
      <c r="BG1245" s="25">
        <f>VLOOKUP(Inventory[[#This Row],[Nbhd]],Lookups!$Q$2:$T$4,4,FALSE)</f>
        <v>0.99970000000000003</v>
      </c>
      <c r="BH1245" s="25">
        <f>VLOOKUP(Inventory[[#This Row],[Qlty]],Lookups!$O$7:$R$21,4,FALSE)</f>
        <v>1.0088999999999999</v>
      </c>
      <c r="BI1245" s="25">
        <f>VLOOKUP(Inventory[[#This Row],[Cnd]],Lookups!$T$7:$W$16,4,FALSE)</f>
        <v>0.99650000000000005</v>
      </c>
      <c r="BJ1245" s="25">
        <f>VLOOKUP(Inventory[[#This Row],[LivArea Range]],Lookups!$T$25:$W$37,4,FALSE)</f>
        <v>1.0093000000000001</v>
      </c>
      <c r="BK1245" s="25">
        <f>VLOOKUP(Inventory[[#This Row],[Decade]],Lookups!$O$25:$R$42,4,FALSE)</f>
        <v>0.98909999999999998</v>
      </c>
      <c r="BL1245" s="25">
        <f>Inventory[[#This Row],[Nbhd Adj]]*0.95</f>
        <v>0.94971499999999998</v>
      </c>
      <c r="BM1245" s="25">
        <f>Inventory[[#This Row],[Nbhd Adj]]*Inventory[[#This Row],[Quality Adj]]*Inventory[[#This Row],[Condition Adj]]*Inventory[[#This Row],[Living Area Adj]]*Inventory[[#This Row],[Decade Adj]]*0.95</f>
        <v>0.95318938569119571</v>
      </c>
      <c r="BN1245" s="25">
        <f>ROUND(SUM(Inventory[[#This Row],[Mdl Qlty]:[Mdl WdDeck]])+Inventory[[#This Row],[Mdl Res Intercept]]*Inventory[[#This Row],[Res Adj ]],-2)</f>
        <v>340200</v>
      </c>
      <c r="BO1245" s="25">
        <f>ROUND(Inventory[[#This Row],[25Det]]*Inventory[[#This Row],[Det/Nbhd Adj]],-2)</f>
        <v>0</v>
      </c>
      <c r="BP1245" s="25">
        <f>Inventory[[#This Row],[Adjusted Res]]+Inventory[[#This Row],[Adj Det ]]</f>
        <v>340200</v>
      </c>
      <c r="BQ1245" s="25">
        <f>ROUND((Inventory[[#This Row],[Mdl Land Intercept]]+Inventory[[#This Row],[Mdl LnAcres]])*Inventory[[#This Row],[Det/Nbhd Adj]],-2)</f>
        <v>36900</v>
      </c>
      <c r="BR1245" s="25">
        <f>Inventory[[#This Row],[Adjusted Impr Total]]+Inventory[[#This Row],[Adjusted Land Total]]</f>
        <v>377100</v>
      </c>
      <c r="BS1245" s="36">
        <f>IFERROR((Inventory[[#This Row],[Adjusted Impr Total]]-Inventory[[#This Row],[24Bldg]])/Inventory[[#This Row],[24Bldg]],0)</f>
        <v>0.17027863777089783</v>
      </c>
      <c r="BT1245" s="36">
        <f>(Inventory[[#This Row],[Adjusted Land Total]]-Inventory[[#This Row],[24Lnd]])/Inventory[[#This Row],[24Lnd]]</f>
        <v>-0.36815068493150682</v>
      </c>
      <c r="BU1245" s="36">
        <f>(Inventory[[#This Row],[Adjusted Total]]-Inventory[[#This Row],[24Final]])/Inventory[[#This Row],[24Final]]</f>
        <v>8.0206244629046117E-2</v>
      </c>
    </row>
    <row r="1246" spans="1:73" x14ac:dyDescent="0.3">
      <c r="A1246" s="25">
        <v>2025</v>
      </c>
      <c r="B1246" s="26" t="s">
        <v>1041</v>
      </c>
      <c r="C1246" s="26">
        <f>LN(Inventory[[#This Row],[Acres]])</f>
        <v>-0.916290731874155</v>
      </c>
      <c r="D1246" s="25">
        <v>0.4</v>
      </c>
      <c r="E1246" s="27"/>
      <c r="F1246" s="26" t="s">
        <v>537</v>
      </c>
      <c r="G1246" s="26" t="s">
        <v>126</v>
      </c>
      <c r="H1246" s="26" t="s">
        <v>349</v>
      </c>
      <c r="I1246" s="26" t="s">
        <v>538</v>
      </c>
      <c r="J1246" s="26" t="s">
        <v>539</v>
      </c>
      <c r="K1246" s="26" t="s">
        <v>147</v>
      </c>
      <c r="L1246" s="26" t="s">
        <v>148</v>
      </c>
      <c r="M1246" s="26" t="s">
        <v>303</v>
      </c>
      <c r="N1246" s="26">
        <v>90</v>
      </c>
      <c r="O1246" s="26">
        <f>2024-Inventory[[#This Row],[YrBlt]]</f>
        <v>84</v>
      </c>
      <c r="P1246" s="26">
        <f>2024-Inventory[[#This Row],[EffYr]]</f>
        <v>52</v>
      </c>
      <c r="Q1246" s="25">
        <v>1940</v>
      </c>
      <c r="R1246" s="25">
        <v>1972</v>
      </c>
      <c r="S1246" s="25">
        <v>1839</v>
      </c>
      <c r="T1246" s="32">
        <v>390</v>
      </c>
      <c r="U1246" s="25">
        <v>1839</v>
      </c>
      <c r="V1246" s="25">
        <f>Inventory[[#This Row],[Bsmt]]-Inventory[[#This Row],[FnBsmt]]</f>
        <v>1471</v>
      </c>
      <c r="W1246" s="25">
        <v>368</v>
      </c>
      <c r="X1246" s="27"/>
      <c r="Y1246" s="27">
        <f>Inventory[[#This Row],[MainFn]]+Inventory[[#This Row],[UpprFn]]+Inventory[[#This Row],[FnBsmt]]+Inventory[[#This Row],[AddFn]]</f>
        <v>2597</v>
      </c>
      <c r="Z1246" s="27">
        <v>3000</v>
      </c>
      <c r="AA1246" s="25">
        <v>12</v>
      </c>
      <c r="AB1246" s="27"/>
      <c r="AC1246" s="27"/>
      <c r="AD1246" s="31"/>
      <c r="AE1246" s="27"/>
      <c r="AF1246" s="27"/>
      <c r="AG1246" s="27"/>
      <c r="AH1246" s="27"/>
      <c r="AI1246" s="25">
        <v>584089</v>
      </c>
      <c r="AJ1246" s="25">
        <v>408862</v>
      </c>
      <c r="AK1246" s="25">
        <v>11490</v>
      </c>
      <c r="AL1246" s="25">
        <v>469400</v>
      </c>
      <c r="AM1246" s="25">
        <v>82600</v>
      </c>
      <c r="AN1246" s="25">
        <v>386800</v>
      </c>
      <c r="AO1246" s="25">
        <v>0</v>
      </c>
      <c r="AP1246" s="25">
        <f>Lookups!$B$56*0</f>
        <v>0</v>
      </c>
      <c r="AQ1246" s="25">
        <f>Lookups!$B$56*1</f>
        <v>89850.625589999996</v>
      </c>
      <c r="AR1246" s="25">
        <f>Lookups!$B$57*Inventory[[#This Row],[LnAcres]]</f>
        <v>-29004.831024516039</v>
      </c>
      <c r="AS1246" s="25">
        <f>VLOOKUP(Inventory[[#This Row],[Qlty]],Lookups!$A$62:$E$75,2,FALSE)</f>
        <v>44121.038090000002</v>
      </c>
      <c r="AT1246" s="25">
        <f>VLOOKUP(Inventory[[#This Row],[Cnd]],Lookups!$A$76:$E$84,2,FALSE)</f>
        <v>197752.34721000001</v>
      </c>
      <c r="AU1246" s="25">
        <f>Inventory[[#This Row],[EffAge]]*Lookups!$B$85</f>
        <v>-11598.371226000001</v>
      </c>
      <c r="AV1246" s="25">
        <f>Inventory[[#This Row],[MainFn]]*Lookups!$B$86</f>
        <v>90862.543903803002</v>
      </c>
      <c r="AW1246" s="25">
        <f>Inventory[[#This Row],[UpprFn]]*Lookups!$B$87</f>
        <v>17466.70491579</v>
      </c>
      <c r="AX1246" s="25">
        <f>Inventory[[#This Row],[AddFn]]*Lookups!$B$88</f>
        <v>0</v>
      </c>
      <c r="AY1246" s="25">
        <f>Inventory[[#This Row],[Bsmt]]*Lookups!$B$89</f>
        <v>53481.605359232999</v>
      </c>
      <c r="AZ1246" s="25">
        <f>Inventory[[#This Row],[Fixtures]]*Lookups!$B$90</f>
        <v>45504.265262400004</v>
      </c>
      <c r="BA1246" s="25">
        <f>Inventory[[#This Row],[WdDeck]]*Lookups!$B$91</f>
        <v>0</v>
      </c>
      <c r="BB1246" s="25">
        <f>ROUND(Inventory[[#This Row],[25Det]],-2)</f>
        <v>11500</v>
      </c>
      <c r="BC1246" s="25">
        <f>ROUND(SUM(Inventory[[#This Row],[Mdl Qlty]:[Mdl WdDeck]])+Inventory[[#This Row],[Mdl Res Intercept]],-2)</f>
        <v>437600</v>
      </c>
      <c r="BD1246" s="25">
        <f>ROUND(Inventory[[#This Row],[Mdl Land Intercept]]+Inventory[[#This Row],[Mdl LnAcres]],-2)</f>
        <v>60800</v>
      </c>
      <c r="BE1246" s="25">
        <f>Inventory[[#This Row],[Unadj Res Value]]+Inventory[[#This Row],[Unadj Det Value]]+Inventory[[#This Row],[Unadj Land Value]]</f>
        <v>509900</v>
      </c>
      <c r="BF1246" s="36">
        <f>(Inventory[[#This Row],[Unadj Total Value]]-Inventory[[#This Row],[24Final]])/Inventory[[#This Row],[24Final]]</f>
        <v>8.6280357903706861E-2</v>
      </c>
      <c r="BG1246" s="25">
        <f>VLOOKUP(Inventory[[#This Row],[Nbhd]],Lookups!$Q$2:$T$4,4,FALSE)</f>
        <v>0.99970000000000003</v>
      </c>
      <c r="BH1246" s="25">
        <f>VLOOKUP(Inventory[[#This Row],[Qlty]],Lookups!$O$7:$R$21,4,FALSE)</f>
        <v>0.98050000000000004</v>
      </c>
      <c r="BI1246" s="25">
        <f>VLOOKUP(Inventory[[#This Row],[Cnd]],Lookups!$T$7:$W$16,4,FALSE)</f>
        <v>0.99650000000000005</v>
      </c>
      <c r="BJ1246" s="25">
        <f>VLOOKUP(Inventory[[#This Row],[LivArea Range]],Lookups!$T$25:$W$37,4,FALSE)</f>
        <v>0.96179999999999999</v>
      </c>
      <c r="BK1246" s="25">
        <f>VLOOKUP(Inventory[[#This Row],[Decade]],Lookups!$O$25:$R$42,4,FALSE)</f>
        <v>0.98909999999999998</v>
      </c>
      <c r="BL1246" s="25">
        <f>Inventory[[#This Row],[Nbhd Adj]]*0.95</f>
        <v>0.94971499999999998</v>
      </c>
      <c r="BM1246" s="25">
        <f>Inventory[[#This Row],[Nbhd Adj]]*Inventory[[#This Row],[Quality Adj]]*Inventory[[#This Row],[Condition Adj]]*Inventory[[#This Row],[Living Area Adj]]*Inventory[[#This Row],[Decade Adj]]*0.95</f>
        <v>0.88276107127906644</v>
      </c>
      <c r="BN1246" s="25">
        <f>ROUND(SUM(Inventory[[#This Row],[Mdl Qlty]:[Mdl WdDeck]])+Inventory[[#This Row],[Mdl Res Intercept]]*Inventory[[#This Row],[Res Adj ]],-2)</f>
        <v>437600</v>
      </c>
      <c r="BO1246" s="25">
        <f>ROUND(Inventory[[#This Row],[25Det]]*Inventory[[#This Row],[Det/Nbhd Adj]],-2)</f>
        <v>10900</v>
      </c>
      <c r="BP1246" s="25">
        <f>Inventory[[#This Row],[Adjusted Res]]+Inventory[[#This Row],[Adj Det ]]</f>
        <v>448500</v>
      </c>
      <c r="BQ1246" s="25">
        <f>ROUND((Inventory[[#This Row],[Mdl Land Intercept]]+Inventory[[#This Row],[Mdl LnAcres]])*Inventory[[#This Row],[Det/Nbhd Adj]],-2)</f>
        <v>57800</v>
      </c>
      <c r="BR1246" s="25">
        <f>Inventory[[#This Row],[Adjusted Impr Total]]+Inventory[[#This Row],[Adjusted Land Total]]</f>
        <v>506300</v>
      </c>
      <c r="BS1246" s="36">
        <f>IFERROR((Inventory[[#This Row],[Adjusted Impr Total]]-Inventory[[#This Row],[24Bldg]])/Inventory[[#This Row],[24Bldg]],0)</f>
        <v>0.15951396070320578</v>
      </c>
      <c r="BT1246" s="36">
        <f>(Inventory[[#This Row],[Adjusted Land Total]]-Inventory[[#This Row],[24Lnd]])/Inventory[[#This Row],[24Lnd]]</f>
        <v>-0.30024213075060535</v>
      </c>
      <c r="BU1246" s="36">
        <f>(Inventory[[#This Row],[Adjusted Total]]-Inventory[[#This Row],[24Final]])/Inventory[[#This Row],[24Final]]</f>
        <v>7.8610992756710699E-2</v>
      </c>
    </row>
    <row r="1247" spans="1:73" x14ac:dyDescent="0.3">
      <c r="A1247" s="25">
        <v>2025</v>
      </c>
      <c r="B1247" s="26" t="s">
        <v>2785</v>
      </c>
      <c r="C1247" s="26">
        <f>LN(Inventory[[#This Row],[Acres]])</f>
        <v>-1.6094379124341003</v>
      </c>
      <c r="D1247" s="25">
        <v>0.2</v>
      </c>
      <c r="E1247" s="32">
        <v>8845</v>
      </c>
      <c r="F1247" s="26" t="s">
        <v>537</v>
      </c>
      <c r="G1247" s="26" t="s">
        <v>126</v>
      </c>
      <c r="H1247" s="26" t="s">
        <v>349</v>
      </c>
      <c r="I1247" s="26" t="s">
        <v>538</v>
      </c>
      <c r="J1247" s="26" t="s">
        <v>638</v>
      </c>
      <c r="K1247" s="26" t="s">
        <v>269</v>
      </c>
      <c r="L1247" s="26" t="s">
        <v>351</v>
      </c>
      <c r="M1247" s="26" t="s">
        <v>323</v>
      </c>
      <c r="N1247" s="26">
        <v>90</v>
      </c>
      <c r="O1247" s="26">
        <f>2024-Inventory[[#This Row],[YrBlt]]</f>
        <v>84</v>
      </c>
      <c r="P1247" s="26">
        <f>2024-Inventory[[#This Row],[EffYr]]</f>
        <v>52</v>
      </c>
      <c r="Q1247" s="25">
        <v>1940</v>
      </c>
      <c r="R1247" s="25">
        <v>1972</v>
      </c>
      <c r="S1247" s="25">
        <v>932</v>
      </c>
      <c r="T1247" s="27"/>
      <c r="U1247" s="25">
        <v>932</v>
      </c>
      <c r="V1247" s="25">
        <f>Inventory[[#This Row],[Bsmt]]-Inventory[[#This Row],[FnBsmt]]</f>
        <v>932</v>
      </c>
      <c r="W1247" s="31"/>
      <c r="X1247" s="27"/>
      <c r="Y1247" s="27">
        <f>Inventory[[#This Row],[MainFn]]+Inventory[[#This Row],[UpprFn]]+Inventory[[#This Row],[FnBsmt]]+Inventory[[#This Row],[AddFn]]</f>
        <v>932</v>
      </c>
      <c r="Z1247" s="27">
        <v>1000</v>
      </c>
      <c r="AA1247" s="25">
        <v>5</v>
      </c>
      <c r="AB1247" s="27"/>
      <c r="AC1247" s="31"/>
      <c r="AD1247" s="27"/>
      <c r="AE1247" s="27"/>
      <c r="AF1247" s="27"/>
      <c r="AG1247" s="27"/>
      <c r="AH1247" s="27"/>
      <c r="AI1247" s="25">
        <v>196077</v>
      </c>
      <c r="AJ1247" s="25">
        <v>133332</v>
      </c>
      <c r="AK1247" s="25">
        <v>4877</v>
      </c>
      <c r="AL1247" s="25">
        <v>282200</v>
      </c>
      <c r="AM1247" s="25">
        <v>58400</v>
      </c>
      <c r="AN1247" s="25">
        <v>223800</v>
      </c>
      <c r="AO1247" s="25">
        <v>0</v>
      </c>
      <c r="AP1247" s="25">
        <f>Lookups!$B$56*0</f>
        <v>0</v>
      </c>
      <c r="AQ1247" s="25">
        <f>Lookups!$B$56*1</f>
        <v>89850.625589999996</v>
      </c>
      <c r="AR1247" s="25">
        <f>Lookups!$B$57*Inventory[[#This Row],[LnAcres]]</f>
        <v>-50946.13867709865</v>
      </c>
      <c r="AS1247" s="25">
        <f>VLOOKUP(Inventory[[#This Row],[Qlty]],Lookups!$A$62:$E$75,2,FALSE)</f>
        <v>21557.329055999999</v>
      </c>
      <c r="AT1247" s="25">
        <f>VLOOKUP(Inventory[[#This Row],[Cnd]],Lookups!$A$76:$E$84,2,FALSE)</f>
        <v>160472.20319</v>
      </c>
      <c r="AU1247" s="25">
        <f>Inventory[[#This Row],[EffAge]]*Lookups!$B$85</f>
        <v>-11598.371226000001</v>
      </c>
      <c r="AV1247" s="25">
        <f>Inventory[[#This Row],[MainFn]]*Lookups!$B$86</f>
        <v>46048.880325364</v>
      </c>
      <c r="AW1247" s="25">
        <f>Inventory[[#This Row],[UpprFn]]*Lookups!$B$87</f>
        <v>0</v>
      </c>
      <c r="AX1247" s="25">
        <f>Inventory[[#This Row],[AddFn]]*Lookups!$B$88</f>
        <v>0</v>
      </c>
      <c r="AY1247" s="25">
        <f>Inventory[[#This Row],[Bsmt]]*Lookups!$B$89</f>
        <v>27104.326370203999</v>
      </c>
      <c r="AZ1247" s="25">
        <f>Inventory[[#This Row],[Fixtures]]*Lookups!$B$90</f>
        <v>18960.110526</v>
      </c>
      <c r="BA1247" s="25">
        <f>Inventory[[#This Row],[WdDeck]]*Lookups!$B$91</f>
        <v>0</v>
      </c>
      <c r="BB1247" s="25">
        <f>ROUND(Inventory[[#This Row],[25Det]],-2)</f>
        <v>4900</v>
      </c>
      <c r="BC1247" s="25">
        <f>ROUND(SUM(Inventory[[#This Row],[Mdl Qlty]:[Mdl WdDeck]])+Inventory[[#This Row],[Mdl Res Intercept]],-2)</f>
        <v>262500</v>
      </c>
      <c r="BD1247" s="25">
        <f>ROUND(Inventory[[#This Row],[Mdl Land Intercept]]+Inventory[[#This Row],[Mdl LnAcres]],-2)</f>
        <v>38900</v>
      </c>
      <c r="BE1247" s="25">
        <f>Inventory[[#This Row],[Unadj Res Value]]+Inventory[[#This Row],[Unadj Det Value]]+Inventory[[#This Row],[Unadj Land Value]]</f>
        <v>306300</v>
      </c>
      <c r="BF1247" s="36">
        <f>(Inventory[[#This Row],[Unadj Total Value]]-Inventory[[#This Row],[24Final]])/Inventory[[#This Row],[24Final]]</f>
        <v>8.5400425230333102E-2</v>
      </c>
      <c r="BG1247" s="25">
        <f>VLOOKUP(Inventory[[#This Row],[Nbhd]],Lookups!$Q$2:$T$4,4,FALSE)</f>
        <v>0.99970000000000003</v>
      </c>
      <c r="BH1247" s="25">
        <f>VLOOKUP(Inventory[[#This Row],[Qlty]],Lookups!$O$7:$R$21,4,FALSE)</f>
        <v>1.0067999999999999</v>
      </c>
      <c r="BI1247" s="25">
        <f>VLOOKUP(Inventory[[#This Row],[Cnd]],Lookups!$T$7:$W$16,4,FALSE)</f>
        <v>0.99729999999999996</v>
      </c>
      <c r="BJ1247" s="25">
        <f>VLOOKUP(Inventory[[#This Row],[LivArea Range]],Lookups!$T$25:$W$37,4,FALSE)</f>
        <v>1.0148999999999999</v>
      </c>
      <c r="BK1247" s="25">
        <f>VLOOKUP(Inventory[[#This Row],[Decade]],Lookups!$O$25:$R$42,4,FALSE)</f>
        <v>0.98909999999999998</v>
      </c>
      <c r="BL1247" s="25">
        <f>Inventory[[#This Row],[Nbhd Adj]]*0.95</f>
        <v>0.94971499999999998</v>
      </c>
      <c r="BM1247" s="25">
        <f>Inventory[[#This Row],[Nbhd Adj]]*Inventory[[#This Row],[Quality Adj]]*Inventory[[#This Row],[Condition Adj]]*Inventory[[#This Row],[Living Area Adj]]*Inventory[[#This Row],[Decade Adj]]*0.95</f>
        <v>0.95725088753311172</v>
      </c>
      <c r="BN1247" s="25">
        <f>ROUND(SUM(Inventory[[#This Row],[Mdl Qlty]:[Mdl WdDeck]])+Inventory[[#This Row],[Mdl Res Intercept]]*Inventory[[#This Row],[Res Adj ]],-2)</f>
        <v>262500</v>
      </c>
      <c r="BO1247" s="25">
        <f>ROUND(Inventory[[#This Row],[25Det]]*Inventory[[#This Row],[Det/Nbhd Adj]],-2)</f>
        <v>4600</v>
      </c>
      <c r="BP1247" s="25">
        <f>Inventory[[#This Row],[Adjusted Res]]+Inventory[[#This Row],[Adj Det ]]</f>
        <v>267100</v>
      </c>
      <c r="BQ1247" s="25">
        <f>ROUND((Inventory[[#This Row],[Mdl Land Intercept]]+Inventory[[#This Row],[Mdl LnAcres]])*Inventory[[#This Row],[Det/Nbhd Adj]],-2)</f>
        <v>36900</v>
      </c>
      <c r="BR1247" s="25">
        <f>Inventory[[#This Row],[Adjusted Impr Total]]+Inventory[[#This Row],[Adjusted Land Total]]</f>
        <v>304000</v>
      </c>
      <c r="BS1247" s="36">
        <f>IFERROR((Inventory[[#This Row],[Adjusted Impr Total]]-Inventory[[#This Row],[24Bldg]])/Inventory[[#This Row],[24Bldg]],0)</f>
        <v>0.19347631814119751</v>
      </c>
      <c r="BT1247" s="36">
        <f>(Inventory[[#This Row],[Adjusted Land Total]]-Inventory[[#This Row],[24Lnd]])/Inventory[[#This Row],[24Lnd]]</f>
        <v>-0.36815068493150682</v>
      </c>
      <c r="BU1247" s="36">
        <f>(Inventory[[#This Row],[Adjusted Total]]-Inventory[[#This Row],[24Final]])/Inventory[[#This Row],[24Final]]</f>
        <v>7.7250177179305463E-2</v>
      </c>
    </row>
    <row r="1248" spans="1:73" x14ac:dyDescent="0.3">
      <c r="A1248" s="25">
        <v>2025</v>
      </c>
      <c r="B1248" s="26" t="s">
        <v>1924</v>
      </c>
      <c r="C1248" s="26">
        <f>LN(Inventory[[#This Row],[Acres]])</f>
        <v>-1.8325814637483102</v>
      </c>
      <c r="D1248" s="25">
        <v>0.16</v>
      </c>
      <c r="E1248" s="27"/>
      <c r="F1248" s="26" t="s">
        <v>537</v>
      </c>
      <c r="G1248" s="26" t="s">
        <v>126</v>
      </c>
      <c r="H1248" s="26" t="s">
        <v>349</v>
      </c>
      <c r="I1248" s="26" t="s">
        <v>538</v>
      </c>
      <c r="J1248" s="26" t="s">
        <v>539</v>
      </c>
      <c r="K1248" s="26" t="s">
        <v>147</v>
      </c>
      <c r="L1248" s="26" t="s">
        <v>302</v>
      </c>
      <c r="M1248" s="26" t="s">
        <v>303</v>
      </c>
      <c r="N1248" s="26">
        <v>90</v>
      </c>
      <c r="O1248" s="26">
        <f>2024-Inventory[[#This Row],[YrBlt]]</f>
        <v>84</v>
      </c>
      <c r="P1248" s="26">
        <f>2024-Inventory[[#This Row],[EffYr]]</f>
        <v>52</v>
      </c>
      <c r="Q1248" s="25">
        <v>1940</v>
      </c>
      <c r="R1248" s="25">
        <v>1972</v>
      </c>
      <c r="S1248" s="25">
        <v>832</v>
      </c>
      <c r="T1248" s="25">
        <v>544</v>
      </c>
      <c r="U1248" s="25">
        <v>832</v>
      </c>
      <c r="V1248" s="25">
        <f>Inventory[[#This Row],[Bsmt]]-Inventory[[#This Row],[FnBsmt]]</f>
        <v>0</v>
      </c>
      <c r="W1248" s="25">
        <v>832</v>
      </c>
      <c r="X1248" s="27"/>
      <c r="Y1248" s="27">
        <f>Inventory[[#This Row],[MainFn]]+Inventory[[#This Row],[UpprFn]]+Inventory[[#This Row],[FnBsmt]]+Inventory[[#This Row],[AddFn]]</f>
        <v>2208</v>
      </c>
      <c r="Z1248" s="27">
        <v>2500</v>
      </c>
      <c r="AA1248" s="25">
        <v>12</v>
      </c>
      <c r="AB1248" s="27"/>
      <c r="AC1248" s="31"/>
      <c r="AD1248" s="32">
        <v>160</v>
      </c>
      <c r="AE1248" s="27"/>
      <c r="AF1248" s="27"/>
      <c r="AG1248" s="27"/>
      <c r="AH1248" s="27"/>
      <c r="AI1248" s="25">
        <v>362000</v>
      </c>
      <c r="AJ1248" s="25">
        <v>253400</v>
      </c>
      <c r="AK1248" s="25">
        <v>7107</v>
      </c>
      <c r="AL1248" s="25">
        <v>365300</v>
      </c>
      <c r="AM1248" s="25">
        <v>50600</v>
      </c>
      <c r="AN1248" s="25">
        <v>314700</v>
      </c>
      <c r="AO1248" s="25">
        <v>0</v>
      </c>
      <c r="AP1248" s="25">
        <f>Lookups!$B$56*0</f>
        <v>0</v>
      </c>
      <c r="AQ1248" s="25">
        <f>Lookups!$B$56*1</f>
        <v>89850.625589999996</v>
      </c>
      <c r="AR1248" s="25">
        <f>Lookups!$B$57*Inventory[[#This Row],[LnAcres]]</f>
        <v>-58009.662049032086</v>
      </c>
      <c r="AS1248" s="25">
        <f>VLOOKUP(Inventory[[#This Row],[Qlty]],Lookups!$A$62:$E$75,2,FALSE)</f>
        <v>29814.093161000001</v>
      </c>
      <c r="AT1248" s="25">
        <f>VLOOKUP(Inventory[[#This Row],[Cnd]],Lookups!$A$76:$E$84,2,FALSE)</f>
        <v>197752.34721000001</v>
      </c>
      <c r="AU1248" s="25">
        <f>Inventory[[#This Row],[EffAge]]*Lookups!$B$85</f>
        <v>-11598.371226000001</v>
      </c>
      <c r="AV1248" s="25">
        <f>Inventory[[#This Row],[MainFn]]*Lookups!$B$86</f>
        <v>41108.013337664001</v>
      </c>
      <c r="AW1248" s="25">
        <f>Inventory[[#This Row],[UpprFn]]*Lookups!$B$87</f>
        <v>24363.814036383999</v>
      </c>
      <c r="AX1248" s="25">
        <f>Inventory[[#This Row],[AddFn]]*Lookups!$B$88</f>
        <v>0</v>
      </c>
      <c r="AY1248" s="25">
        <f>Inventory[[#This Row],[Bsmt]]*Lookups!$B$89</f>
        <v>24196.136845503999</v>
      </c>
      <c r="AZ1248" s="25">
        <f>Inventory[[#This Row],[Fixtures]]*Lookups!$B$90</f>
        <v>45504.265262400004</v>
      </c>
      <c r="BA1248" s="25">
        <f>Inventory[[#This Row],[WdDeck]]*Lookups!$B$91</f>
        <v>5327.2824441600005</v>
      </c>
      <c r="BB1248" s="25">
        <f>ROUND(Inventory[[#This Row],[25Det]],-2)</f>
        <v>7100</v>
      </c>
      <c r="BC1248" s="25">
        <f>ROUND(SUM(Inventory[[#This Row],[Mdl Qlty]:[Mdl WdDeck]])+Inventory[[#This Row],[Mdl Res Intercept]],-2)</f>
        <v>356500</v>
      </c>
      <c r="BD1248" s="25">
        <f>ROUND(Inventory[[#This Row],[Mdl Land Intercept]]+Inventory[[#This Row],[Mdl LnAcres]],-2)</f>
        <v>31800</v>
      </c>
      <c r="BE1248" s="25">
        <f>Inventory[[#This Row],[Unadj Res Value]]+Inventory[[#This Row],[Unadj Det Value]]+Inventory[[#This Row],[Unadj Land Value]]</f>
        <v>395400</v>
      </c>
      <c r="BF1248" s="36">
        <f>(Inventory[[#This Row],[Unadj Total Value]]-Inventory[[#This Row],[24Final]])/Inventory[[#This Row],[24Final]]</f>
        <v>8.2398029017246105E-2</v>
      </c>
      <c r="BG1248" s="25">
        <f>VLOOKUP(Inventory[[#This Row],[Nbhd]],Lookups!$Q$2:$T$4,4,FALSE)</f>
        <v>0.99970000000000003</v>
      </c>
      <c r="BH1248" s="25">
        <f>VLOOKUP(Inventory[[#This Row],[Qlty]],Lookups!$O$7:$R$21,4,FALSE)</f>
        <v>1.0088999999999999</v>
      </c>
      <c r="BI1248" s="25">
        <f>VLOOKUP(Inventory[[#This Row],[Cnd]],Lookups!$T$7:$W$16,4,FALSE)</f>
        <v>0.99650000000000005</v>
      </c>
      <c r="BJ1248" s="25">
        <f>VLOOKUP(Inventory[[#This Row],[LivArea Range]],Lookups!$T$25:$W$37,4,FALSE)</f>
        <v>0.98919999999999997</v>
      </c>
      <c r="BK1248" s="25">
        <f>VLOOKUP(Inventory[[#This Row],[Decade]],Lookups!$O$25:$R$42,4,FALSE)</f>
        <v>0.98909999999999998</v>
      </c>
      <c r="BL1248" s="25">
        <f>Inventory[[#This Row],[Nbhd Adj]]*0.95</f>
        <v>0.94971499999999998</v>
      </c>
      <c r="BM1248" s="25">
        <f>Inventory[[#This Row],[Nbhd Adj]]*Inventory[[#This Row],[Quality Adj]]*Inventory[[#This Row],[Condition Adj]]*Inventory[[#This Row],[Living Area Adj]]*Inventory[[#This Row],[Decade Adj]]*0.95</f>
        <v>0.93420681692829766</v>
      </c>
      <c r="BN1248" s="25">
        <f>ROUND(SUM(Inventory[[#This Row],[Mdl Qlty]:[Mdl WdDeck]])+Inventory[[#This Row],[Mdl Res Intercept]]*Inventory[[#This Row],[Res Adj ]],-2)</f>
        <v>356500</v>
      </c>
      <c r="BO1248" s="25">
        <f>ROUND(Inventory[[#This Row],[25Det]]*Inventory[[#This Row],[Det/Nbhd Adj]],-2)</f>
        <v>6700</v>
      </c>
      <c r="BP1248" s="25">
        <f>Inventory[[#This Row],[Adjusted Res]]+Inventory[[#This Row],[Adj Det ]]</f>
        <v>363200</v>
      </c>
      <c r="BQ1248" s="25">
        <f>ROUND((Inventory[[#This Row],[Mdl Land Intercept]]+Inventory[[#This Row],[Mdl LnAcres]])*Inventory[[#This Row],[Det/Nbhd Adj]],-2)</f>
        <v>30200</v>
      </c>
      <c r="BR1248" s="25">
        <f>Inventory[[#This Row],[Adjusted Impr Total]]+Inventory[[#This Row],[Adjusted Land Total]]</f>
        <v>393400</v>
      </c>
      <c r="BS1248" s="36">
        <f>IFERROR((Inventory[[#This Row],[Adjusted Impr Total]]-Inventory[[#This Row],[24Bldg]])/Inventory[[#This Row],[24Bldg]],0)</f>
        <v>0.15411503018748013</v>
      </c>
      <c r="BT1248" s="36">
        <f>(Inventory[[#This Row],[Adjusted Land Total]]-Inventory[[#This Row],[24Lnd]])/Inventory[[#This Row],[24Lnd]]</f>
        <v>-0.40316205533596838</v>
      </c>
      <c r="BU1248" s="36">
        <f>(Inventory[[#This Row],[Adjusted Total]]-Inventory[[#This Row],[24Final]])/Inventory[[#This Row],[24Final]]</f>
        <v>7.6923076923076927E-2</v>
      </c>
    </row>
    <row r="1249" spans="1:73" x14ac:dyDescent="0.3">
      <c r="A1249" s="25">
        <v>2025</v>
      </c>
      <c r="B1249" s="26" t="s">
        <v>1860</v>
      </c>
      <c r="C1249" s="26">
        <f>LN(Inventory[[#This Row],[Acres]])</f>
        <v>-1.8971199848858813</v>
      </c>
      <c r="D1249" s="25">
        <v>0.15</v>
      </c>
      <c r="E1249" s="25">
        <v>6628</v>
      </c>
      <c r="F1249" s="26" t="s">
        <v>537</v>
      </c>
      <c r="G1249" s="26" t="s">
        <v>126</v>
      </c>
      <c r="H1249" s="26" t="s">
        <v>349</v>
      </c>
      <c r="I1249" s="26" t="s">
        <v>538</v>
      </c>
      <c r="J1249" s="26" t="s">
        <v>539</v>
      </c>
      <c r="K1249" s="26" t="s">
        <v>242</v>
      </c>
      <c r="L1249" s="26" t="s">
        <v>351</v>
      </c>
      <c r="M1249" s="26" t="s">
        <v>323</v>
      </c>
      <c r="N1249" s="26">
        <v>90</v>
      </c>
      <c r="O1249" s="26">
        <f>2024-Inventory[[#This Row],[YrBlt]]</f>
        <v>84</v>
      </c>
      <c r="P1249" s="26">
        <f>2024-Inventory[[#This Row],[EffYr]]</f>
        <v>52</v>
      </c>
      <c r="Q1249" s="25">
        <v>1940</v>
      </c>
      <c r="R1249" s="25">
        <v>1972</v>
      </c>
      <c r="S1249" s="25">
        <v>1288</v>
      </c>
      <c r="T1249" s="31"/>
      <c r="U1249" s="25">
        <v>1028</v>
      </c>
      <c r="V1249" s="32">
        <f>Inventory[[#This Row],[Bsmt]]-Inventory[[#This Row],[FnBsmt]]</f>
        <v>528</v>
      </c>
      <c r="W1249" s="32">
        <v>500</v>
      </c>
      <c r="X1249" s="27"/>
      <c r="Y1249" s="27">
        <f>Inventory[[#This Row],[MainFn]]+Inventory[[#This Row],[UpprFn]]+Inventory[[#This Row],[FnBsmt]]+Inventory[[#This Row],[AddFn]]</f>
        <v>1788</v>
      </c>
      <c r="Z1249" s="27">
        <v>2000</v>
      </c>
      <c r="AA1249" s="25">
        <v>5</v>
      </c>
      <c r="AB1249" s="27"/>
      <c r="AC1249" s="27"/>
      <c r="AD1249" s="32">
        <v>163</v>
      </c>
      <c r="AE1249" s="27"/>
      <c r="AF1249" s="27"/>
      <c r="AG1249" s="27"/>
      <c r="AH1249" s="27"/>
      <c r="AI1249" s="25">
        <v>289118</v>
      </c>
      <c r="AJ1249" s="25">
        <v>196600</v>
      </c>
      <c r="AK1249" s="25">
        <v>5261</v>
      </c>
      <c r="AL1249" s="25">
        <v>298800</v>
      </c>
      <c r="AM1249" s="25">
        <v>48400</v>
      </c>
      <c r="AN1249" s="25">
        <v>250400</v>
      </c>
      <c r="AO1249" s="25">
        <v>0</v>
      </c>
      <c r="AP1249" s="25">
        <f>Lookups!$B$56*0</f>
        <v>0</v>
      </c>
      <c r="AQ1249" s="25">
        <f>Lookups!$B$56*1</f>
        <v>89850.625589999996</v>
      </c>
      <c r="AR1249" s="25">
        <f>Lookups!$B$57*Inventory[[#This Row],[LnAcres]]</f>
        <v>-60052.604136134301</v>
      </c>
      <c r="AS1249" s="25">
        <f>VLOOKUP(Inventory[[#This Row],[Qlty]],Lookups!$A$62:$E$75,2,FALSE)</f>
        <v>21557.329055999999</v>
      </c>
      <c r="AT1249" s="25">
        <f>VLOOKUP(Inventory[[#This Row],[Cnd]],Lookups!$A$76:$E$84,2,FALSE)</f>
        <v>160472.20319</v>
      </c>
      <c r="AU1249" s="25">
        <f>Inventory[[#This Row],[EffAge]]*Lookups!$B$85</f>
        <v>-11598.371226000001</v>
      </c>
      <c r="AV1249" s="25">
        <f>Inventory[[#This Row],[MainFn]]*Lookups!$B$86</f>
        <v>63638.366801576005</v>
      </c>
      <c r="AW1249" s="25">
        <f>Inventory[[#This Row],[UpprFn]]*Lookups!$B$87</f>
        <v>0</v>
      </c>
      <c r="AX1249" s="25">
        <f>Inventory[[#This Row],[AddFn]]*Lookups!$B$88</f>
        <v>0</v>
      </c>
      <c r="AY1249" s="25">
        <f>Inventory[[#This Row],[Bsmt]]*Lookups!$B$89</f>
        <v>29896.188313915998</v>
      </c>
      <c r="AZ1249" s="25">
        <f>Inventory[[#This Row],[Fixtures]]*Lookups!$B$90</f>
        <v>18960.110526</v>
      </c>
      <c r="BA1249" s="25">
        <f>Inventory[[#This Row],[WdDeck]]*Lookups!$B$91</f>
        <v>5427.1689899880002</v>
      </c>
      <c r="BB1249" s="25">
        <f>ROUND(Inventory[[#This Row],[25Det]],-2)</f>
        <v>5300</v>
      </c>
      <c r="BC1249" s="25">
        <f>ROUND(SUM(Inventory[[#This Row],[Mdl Qlty]:[Mdl WdDeck]])+Inventory[[#This Row],[Mdl Res Intercept]],-2)</f>
        <v>288400</v>
      </c>
      <c r="BD1249" s="25">
        <f>ROUND(Inventory[[#This Row],[Mdl Land Intercept]]+Inventory[[#This Row],[Mdl LnAcres]],-2)</f>
        <v>29800</v>
      </c>
      <c r="BE1249" s="25">
        <f>Inventory[[#This Row],[Unadj Res Value]]+Inventory[[#This Row],[Unadj Det Value]]+Inventory[[#This Row],[Unadj Land Value]]</f>
        <v>323500</v>
      </c>
      <c r="BF1249" s="36">
        <f>(Inventory[[#This Row],[Unadj Total Value]]-Inventory[[#This Row],[24Final]])/Inventory[[#This Row],[24Final]]</f>
        <v>8.2663989290495316E-2</v>
      </c>
      <c r="BG1249" s="25">
        <f>VLOOKUP(Inventory[[#This Row],[Nbhd]],Lookups!$Q$2:$T$4,4,FALSE)</f>
        <v>0.99970000000000003</v>
      </c>
      <c r="BH1249" s="25">
        <f>VLOOKUP(Inventory[[#This Row],[Qlty]],Lookups!$O$7:$R$21,4,FALSE)</f>
        <v>1.0067999999999999</v>
      </c>
      <c r="BI1249" s="25">
        <f>VLOOKUP(Inventory[[#This Row],[Cnd]],Lookups!$T$7:$W$16,4,FALSE)</f>
        <v>0.99729999999999996</v>
      </c>
      <c r="BJ1249" s="25">
        <f>VLOOKUP(Inventory[[#This Row],[LivArea Range]],Lookups!$T$25:$W$37,4,FALSE)</f>
        <v>1.0093000000000001</v>
      </c>
      <c r="BK1249" s="25">
        <f>VLOOKUP(Inventory[[#This Row],[Decade]],Lookups!$O$25:$R$42,4,FALSE)</f>
        <v>0.98909999999999998</v>
      </c>
      <c r="BL1249" s="25">
        <f>Inventory[[#This Row],[Nbhd Adj]]*0.95</f>
        <v>0.94971499999999998</v>
      </c>
      <c r="BM1249" s="25">
        <f>Inventory[[#This Row],[Nbhd Adj]]*Inventory[[#This Row],[Quality Adj]]*Inventory[[#This Row],[Condition Adj]]*Inventory[[#This Row],[Living Area Adj]]*Inventory[[#This Row],[Decade Adj]]*0.95</f>
        <v>0.95196898294134369</v>
      </c>
      <c r="BN1249" s="25">
        <f>ROUND(SUM(Inventory[[#This Row],[Mdl Qlty]:[Mdl WdDeck]])+Inventory[[#This Row],[Mdl Res Intercept]]*Inventory[[#This Row],[Res Adj ]],-2)</f>
        <v>288400</v>
      </c>
      <c r="BO1249" s="25">
        <f>ROUND(Inventory[[#This Row],[25Det]]*Inventory[[#This Row],[Det/Nbhd Adj]],-2)</f>
        <v>5000</v>
      </c>
      <c r="BP1249" s="25">
        <f>Inventory[[#This Row],[Adjusted Res]]+Inventory[[#This Row],[Adj Det ]]</f>
        <v>293400</v>
      </c>
      <c r="BQ1249" s="25">
        <f>ROUND((Inventory[[#This Row],[Mdl Land Intercept]]+Inventory[[#This Row],[Mdl LnAcres]])*Inventory[[#This Row],[Det/Nbhd Adj]],-2)</f>
        <v>28300</v>
      </c>
      <c r="BR1249" s="25">
        <f>Inventory[[#This Row],[Adjusted Impr Total]]+Inventory[[#This Row],[Adjusted Land Total]]</f>
        <v>321700</v>
      </c>
      <c r="BS1249" s="36">
        <f>IFERROR((Inventory[[#This Row],[Adjusted Impr Total]]-Inventory[[#This Row],[24Bldg]])/Inventory[[#This Row],[24Bldg]],0)</f>
        <v>0.17172523961661343</v>
      </c>
      <c r="BT1249" s="36">
        <f>(Inventory[[#This Row],[Adjusted Land Total]]-Inventory[[#This Row],[24Lnd]])/Inventory[[#This Row],[24Lnd]]</f>
        <v>-0.41528925619834711</v>
      </c>
      <c r="BU1249" s="36">
        <f>(Inventory[[#This Row],[Adjusted Total]]-Inventory[[#This Row],[24Final]])/Inventory[[#This Row],[24Final]]</f>
        <v>7.6639892904953141E-2</v>
      </c>
    </row>
    <row r="1250" spans="1:73" x14ac:dyDescent="0.3">
      <c r="A1250" s="25">
        <v>2025</v>
      </c>
      <c r="B1250" s="26" t="s">
        <v>1576</v>
      </c>
      <c r="C1250" s="26">
        <f>LN(Inventory[[#This Row],[Acres]])</f>
        <v>-1.6094379124341003</v>
      </c>
      <c r="D1250" s="25">
        <v>0.2</v>
      </c>
      <c r="E1250" s="25">
        <v>8522</v>
      </c>
      <c r="F1250" s="26" t="s">
        <v>537</v>
      </c>
      <c r="G1250" s="26" t="s">
        <v>126</v>
      </c>
      <c r="H1250" s="26" t="s">
        <v>349</v>
      </c>
      <c r="I1250" s="26" t="s">
        <v>538</v>
      </c>
      <c r="J1250" s="26" t="s">
        <v>539</v>
      </c>
      <c r="K1250" s="26" t="s">
        <v>242</v>
      </c>
      <c r="L1250" s="26" t="s">
        <v>351</v>
      </c>
      <c r="M1250" s="26" t="s">
        <v>323</v>
      </c>
      <c r="N1250" s="26">
        <v>90</v>
      </c>
      <c r="O1250" s="26">
        <f>2024-Inventory[[#This Row],[YrBlt]]</f>
        <v>84</v>
      </c>
      <c r="P1250" s="26">
        <f>2024-Inventory[[#This Row],[EffYr]]</f>
        <v>52</v>
      </c>
      <c r="Q1250" s="25">
        <v>1940</v>
      </c>
      <c r="R1250" s="25">
        <v>1972</v>
      </c>
      <c r="S1250" s="25">
        <v>1421</v>
      </c>
      <c r="T1250" s="27"/>
      <c r="U1250" s="27"/>
      <c r="V1250" s="27">
        <f>Inventory[[#This Row],[Bsmt]]-Inventory[[#This Row],[FnBsmt]]</f>
        <v>0</v>
      </c>
      <c r="W1250" s="27"/>
      <c r="X1250" s="27"/>
      <c r="Y1250" s="27">
        <f>Inventory[[#This Row],[MainFn]]+Inventory[[#This Row],[UpprFn]]+Inventory[[#This Row],[FnBsmt]]+Inventory[[#This Row],[AddFn]]</f>
        <v>1421</v>
      </c>
      <c r="Z1250" s="27">
        <v>1500</v>
      </c>
      <c r="AA1250" s="25">
        <v>5</v>
      </c>
      <c r="AB1250" s="27"/>
      <c r="AC1250" s="27"/>
      <c r="AD1250" s="32">
        <v>209</v>
      </c>
      <c r="AE1250" s="27"/>
      <c r="AF1250" s="27"/>
      <c r="AG1250" s="27"/>
      <c r="AH1250" s="27"/>
      <c r="AI1250" s="25">
        <v>228357</v>
      </c>
      <c r="AJ1250" s="25">
        <v>155283</v>
      </c>
      <c r="AK1250" s="25">
        <v>9040</v>
      </c>
      <c r="AL1250" s="25">
        <v>290000</v>
      </c>
      <c r="AM1250" s="25">
        <v>58400</v>
      </c>
      <c r="AN1250" s="25">
        <v>231600</v>
      </c>
      <c r="AO1250" s="25">
        <v>0</v>
      </c>
      <c r="AP1250" s="25">
        <f>Lookups!$B$56*0</f>
        <v>0</v>
      </c>
      <c r="AQ1250" s="25">
        <f>Lookups!$B$56*1</f>
        <v>89850.625589999996</v>
      </c>
      <c r="AR1250" s="25">
        <f>Lookups!$B$57*Inventory[[#This Row],[LnAcres]]</f>
        <v>-50946.13867709865</v>
      </c>
      <c r="AS1250" s="25">
        <f>VLOOKUP(Inventory[[#This Row],[Qlty]],Lookups!$A$62:$E$75,2,FALSE)</f>
        <v>21557.329055999999</v>
      </c>
      <c r="AT1250" s="25">
        <f>VLOOKUP(Inventory[[#This Row],[Cnd]],Lookups!$A$76:$E$84,2,FALSE)</f>
        <v>160472.20319</v>
      </c>
      <c r="AU1250" s="25">
        <f>Inventory[[#This Row],[EffAge]]*Lookups!$B$85</f>
        <v>-11598.371226000001</v>
      </c>
      <c r="AV1250" s="25">
        <f>Inventory[[#This Row],[MainFn]]*Lookups!$B$86</f>
        <v>70209.719895217</v>
      </c>
      <c r="AW1250" s="25">
        <f>Inventory[[#This Row],[UpprFn]]*Lookups!$B$87</f>
        <v>0</v>
      </c>
      <c r="AX1250" s="25">
        <f>Inventory[[#This Row],[AddFn]]*Lookups!$B$88</f>
        <v>0</v>
      </c>
      <c r="AY1250" s="25">
        <f>Inventory[[#This Row],[Bsmt]]*Lookups!$B$89</f>
        <v>0</v>
      </c>
      <c r="AZ1250" s="25">
        <f>Inventory[[#This Row],[Fixtures]]*Lookups!$B$90</f>
        <v>18960.110526</v>
      </c>
      <c r="BA1250" s="25">
        <f>Inventory[[#This Row],[WdDeck]]*Lookups!$B$91</f>
        <v>6958.7626926840003</v>
      </c>
      <c r="BB1250" s="25">
        <f>ROUND(Inventory[[#This Row],[25Det]],-2)</f>
        <v>9000</v>
      </c>
      <c r="BC1250" s="25">
        <f>ROUND(SUM(Inventory[[#This Row],[Mdl Qlty]:[Mdl WdDeck]])+Inventory[[#This Row],[Mdl Res Intercept]],-2)</f>
        <v>266600</v>
      </c>
      <c r="BD1250" s="25">
        <f>ROUND(Inventory[[#This Row],[Mdl Land Intercept]]+Inventory[[#This Row],[Mdl LnAcres]],-2)</f>
        <v>38900</v>
      </c>
      <c r="BE1250" s="25">
        <f>Inventory[[#This Row],[Unadj Res Value]]+Inventory[[#This Row],[Unadj Det Value]]+Inventory[[#This Row],[Unadj Land Value]]</f>
        <v>314500</v>
      </c>
      <c r="BF1250" s="36">
        <f>(Inventory[[#This Row],[Unadj Total Value]]-Inventory[[#This Row],[24Final]])/Inventory[[#This Row],[24Final]]</f>
        <v>8.4482758620689657E-2</v>
      </c>
      <c r="BG1250" s="25">
        <f>VLOOKUP(Inventory[[#This Row],[Nbhd]],Lookups!$Q$2:$T$4,4,FALSE)</f>
        <v>0.99970000000000003</v>
      </c>
      <c r="BH1250" s="25">
        <f>VLOOKUP(Inventory[[#This Row],[Qlty]],Lookups!$O$7:$R$21,4,FALSE)</f>
        <v>1.0067999999999999</v>
      </c>
      <c r="BI1250" s="25">
        <f>VLOOKUP(Inventory[[#This Row],[Cnd]],Lookups!$T$7:$W$16,4,FALSE)</f>
        <v>0.99729999999999996</v>
      </c>
      <c r="BJ1250" s="25">
        <f>VLOOKUP(Inventory[[#This Row],[LivArea Range]],Lookups!$T$25:$W$37,4,FALSE)</f>
        <v>1.0157</v>
      </c>
      <c r="BK1250" s="25">
        <f>VLOOKUP(Inventory[[#This Row],[Decade]],Lookups!$O$25:$R$42,4,FALSE)</f>
        <v>0.98909999999999998</v>
      </c>
      <c r="BL1250" s="25">
        <f>Inventory[[#This Row],[Nbhd Adj]]*0.95</f>
        <v>0.94971499999999998</v>
      </c>
      <c r="BM1250" s="25">
        <f>Inventory[[#This Row],[Nbhd Adj]]*Inventory[[#This Row],[Quality Adj]]*Inventory[[#This Row],[Condition Adj]]*Inventory[[#This Row],[Living Area Adj]]*Inventory[[#This Row],[Decade Adj]]*0.95</f>
        <v>0.95800544533193577</v>
      </c>
      <c r="BN1250" s="25">
        <f>ROUND(SUM(Inventory[[#This Row],[Mdl Qlty]:[Mdl WdDeck]])+Inventory[[#This Row],[Mdl Res Intercept]]*Inventory[[#This Row],[Res Adj ]],-2)</f>
        <v>266600</v>
      </c>
      <c r="BO1250" s="25">
        <f>ROUND(Inventory[[#This Row],[25Det]]*Inventory[[#This Row],[Det/Nbhd Adj]],-2)</f>
        <v>8600</v>
      </c>
      <c r="BP1250" s="25">
        <f>Inventory[[#This Row],[Adjusted Res]]+Inventory[[#This Row],[Adj Det ]]</f>
        <v>275200</v>
      </c>
      <c r="BQ1250" s="25">
        <f>ROUND((Inventory[[#This Row],[Mdl Land Intercept]]+Inventory[[#This Row],[Mdl LnAcres]])*Inventory[[#This Row],[Det/Nbhd Adj]],-2)</f>
        <v>36900</v>
      </c>
      <c r="BR1250" s="25">
        <f>Inventory[[#This Row],[Adjusted Impr Total]]+Inventory[[#This Row],[Adjusted Land Total]]</f>
        <v>312100</v>
      </c>
      <c r="BS1250" s="36">
        <f>IFERROR((Inventory[[#This Row],[Adjusted Impr Total]]-Inventory[[#This Row],[24Bldg]])/Inventory[[#This Row],[24Bldg]],0)</f>
        <v>0.18825561312607944</v>
      </c>
      <c r="BT1250" s="36">
        <f>(Inventory[[#This Row],[Adjusted Land Total]]-Inventory[[#This Row],[24Lnd]])/Inventory[[#This Row],[24Lnd]]</f>
        <v>-0.36815068493150682</v>
      </c>
      <c r="BU1250" s="36">
        <f>(Inventory[[#This Row],[Adjusted Total]]-Inventory[[#This Row],[24Final]])/Inventory[[#This Row],[24Final]]</f>
        <v>7.6206896551724135E-2</v>
      </c>
    </row>
    <row r="1251" spans="1:73" x14ac:dyDescent="0.3">
      <c r="A1251" s="25">
        <v>2025</v>
      </c>
      <c r="B1251" s="26" t="s">
        <v>1263</v>
      </c>
      <c r="C1251" s="26">
        <f>LN(Inventory[[#This Row],[Acres]])</f>
        <v>-1.6094379124341003</v>
      </c>
      <c r="D1251" s="25">
        <v>0.2</v>
      </c>
      <c r="E1251" s="25">
        <v>8637</v>
      </c>
      <c r="F1251" s="26" t="s">
        <v>537</v>
      </c>
      <c r="G1251" s="26" t="s">
        <v>126</v>
      </c>
      <c r="H1251" s="26" t="s">
        <v>349</v>
      </c>
      <c r="I1251" s="26" t="s">
        <v>538</v>
      </c>
      <c r="J1251" s="26" t="s">
        <v>539</v>
      </c>
      <c r="K1251" s="26" t="s">
        <v>242</v>
      </c>
      <c r="L1251" s="26" t="s">
        <v>148</v>
      </c>
      <c r="M1251" s="26" t="s">
        <v>303</v>
      </c>
      <c r="N1251" s="26">
        <v>90</v>
      </c>
      <c r="O1251" s="26">
        <f>2024-Inventory[[#This Row],[YrBlt]]</f>
        <v>84</v>
      </c>
      <c r="P1251" s="26">
        <f>2024-Inventory[[#This Row],[EffYr]]</f>
        <v>52</v>
      </c>
      <c r="Q1251" s="25">
        <v>1940</v>
      </c>
      <c r="R1251" s="25">
        <v>1972</v>
      </c>
      <c r="S1251" s="25">
        <v>1988</v>
      </c>
      <c r="T1251" s="27"/>
      <c r="U1251" s="32">
        <v>972</v>
      </c>
      <c r="V1251" s="32">
        <f>Inventory[[#This Row],[Bsmt]]-Inventory[[#This Row],[FnBsmt]]</f>
        <v>0</v>
      </c>
      <c r="W1251" s="32">
        <v>972</v>
      </c>
      <c r="X1251" s="27"/>
      <c r="Y1251" s="27">
        <f>Inventory[[#This Row],[MainFn]]+Inventory[[#This Row],[UpprFn]]+Inventory[[#This Row],[FnBsmt]]+Inventory[[#This Row],[AddFn]]</f>
        <v>2960</v>
      </c>
      <c r="Z1251" s="27">
        <v>3000</v>
      </c>
      <c r="AA1251" s="25">
        <v>12</v>
      </c>
      <c r="AB1251" s="27"/>
      <c r="AC1251" s="32">
        <v>888</v>
      </c>
      <c r="AD1251" s="32">
        <v>386</v>
      </c>
      <c r="AE1251" s="27"/>
      <c r="AF1251" s="27"/>
      <c r="AG1251" s="27"/>
      <c r="AH1251" s="27"/>
      <c r="AI1251" s="25">
        <v>561465</v>
      </c>
      <c r="AJ1251" s="25">
        <v>393026</v>
      </c>
      <c r="AK1251" s="25">
        <v>0</v>
      </c>
      <c r="AL1251" s="25">
        <v>420200</v>
      </c>
      <c r="AM1251" s="25">
        <v>58400</v>
      </c>
      <c r="AN1251" s="25">
        <v>361800</v>
      </c>
      <c r="AO1251" s="25">
        <v>0</v>
      </c>
      <c r="AP1251" s="25">
        <f>Lookups!$B$56*0</f>
        <v>0</v>
      </c>
      <c r="AQ1251" s="25">
        <f>Lookups!$B$56*1</f>
        <v>89850.625589999996</v>
      </c>
      <c r="AR1251" s="25">
        <f>Lookups!$B$57*Inventory[[#This Row],[LnAcres]]</f>
        <v>-50946.13867709865</v>
      </c>
      <c r="AS1251" s="25">
        <f>VLOOKUP(Inventory[[#This Row],[Qlty]],Lookups!$A$62:$E$75,2,FALSE)</f>
        <v>44121.038090000002</v>
      </c>
      <c r="AT1251" s="25">
        <f>VLOOKUP(Inventory[[#This Row],[Cnd]],Lookups!$A$76:$E$84,2,FALSE)</f>
        <v>197752.34721000001</v>
      </c>
      <c r="AU1251" s="25">
        <f>Inventory[[#This Row],[EffAge]]*Lookups!$B$85</f>
        <v>-11598.371226000001</v>
      </c>
      <c r="AV1251" s="25">
        <f>Inventory[[#This Row],[MainFn]]*Lookups!$B$86</f>
        <v>98224.435715476007</v>
      </c>
      <c r="AW1251" s="25">
        <f>Inventory[[#This Row],[UpprFn]]*Lookups!$B$87</f>
        <v>0</v>
      </c>
      <c r="AX1251" s="25">
        <f>Inventory[[#This Row],[AddFn]]*Lookups!$B$88</f>
        <v>0</v>
      </c>
      <c r="AY1251" s="25">
        <f>Inventory[[#This Row],[Bsmt]]*Lookups!$B$89</f>
        <v>28267.602180083999</v>
      </c>
      <c r="AZ1251" s="25">
        <f>Inventory[[#This Row],[Fixtures]]*Lookups!$B$90</f>
        <v>45504.265262400004</v>
      </c>
      <c r="BA1251" s="25">
        <f>Inventory[[#This Row],[WdDeck]]*Lookups!$B$91</f>
        <v>12852.068896536</v>
      </c>
      <c r="BB1251" s="25">
        <f>ROUND(Inventory[[#This Row],[25Det]],-2)</f>
        <v>0</v>
      </c>
      <c r="BC1251" s="25">
        <f>ROUND(SUM(Inventory[[#This Row],[Mdl Qlty]:[Mdl WdDeck]])+Inventory[[#This Row],[Mdl Res Intercept]],-2)</f>
        <v>415100</v>
      </c>
      <c r="BD1251" s="25">
        <f>ROUND(Inventory[[#This Row],[Mdl Land Intercept]]+Inventory[[#This Row],[Mdl LnAcres]],-2)</f>
        <v>38900</v>
      </c>
      <c r="BE1251" s="25">
        <f>Inventory[[#This Row],[Unadj Res Value]]+Inventory[[#This Row],[Unadj Det Value]]+Inventory[[#This Row],[Unadj Land Value]]</f>
        <v>454000</v>
      </c>
      <c r="BF1251" s="36">
        <f>(Inventory[[#This Row],[Unadj Total Value]]-Inventory[[#This Row],[24Final]])/Inventory[[#This Row],[24Final]]</f>
        <v>8.0437886720609239E-2</v>
      </c>
      <c r="BG1251" s="25">
        <f>VLOOKUP(Inventory[[#This Row],[Nbhd]],Lookups!$Q$2:$T$4,4,FALSE)</f>
        <v>0.99970000000000003</v>
      </c>
      <c r="BH1251" s="25">
        <f>VLOOKUP(Inventory[[#This Row],[Qlty]],Lookups!$O$7:$R$21,4,FALSE)</f>
        <v>0.98050000000000004</v>
      </c>
      <c r="BI1251" s="25">
        <f>VLOOKUP(Inventory[[#This Row],[Cnd]],Lookups!$T$7:$W$16,4,FALSE)</f>
        <v>0.99650000000000005</v>
      </c>
      <c r="BJ1251" s="25">
        <f>VLOOKUP(Inventory[[#This Row],[LivArea Range]],Lookups!$T$25:$W$37,4,FALSE)</f>
        <v>0.96179999999999999</v>
      </c>
      <c r="BK1251" s="25">
        <f>VLOOKUP(Inventory[[#This Row],[Decade]],Lookups!$O$25:$R$42,4,FALSE)</f>
        <v>0.98909999999999998</v>
      </c>
      <c r="BL1251" s="25">
        <f>Inventory[[#This Row],[Nbhd Adj]]*0.95</f>
        <v>0.94971499999999998</v>
      </c>
      <c r="BM1251" s="25">
        <f>Inventory[[#This Row],[Nbhd Adj]]*Inventory[[#This Row],[Quality Adj]]*Inventory[[#This Row],[Condition Adj]]*Inventory[[#This Row],[Living Area Adj]]*Inventory[[#This Row],[Decade Adj]]*0.95</f>
        <v>0.88276107127906644</v>
      </c>
      <c r="BN1251" s="25">
        <f>ROUND(SUM(Inventory[[#This Row],[Mdl Qlty]:[Mdl WdDeck]])+Inventory[[#This Row],[Mdl Res Intercept]]*Inventory[[#This Row],[Res Adj ]],-2)</f>
        <v>415100</v>
      </c>
      <c r="BO1251" s="25">
        <f>ROUND(Inventory[[#This Row],[25Det]]*Inventory[[#This Row],[Det/Nbhd Adj]],-2)</f>
        <v>0</v>
      </c>
      <c r="BP1251" s="25">
        <f>Inventory[[#This Row],[Adjusted Res]]+Inventory[[#This Row],[Adj Det ]]</f>
        <v>415100</v>
      </c>
      <c r="BQ1251" s="25">
        <f>ROUND((Inventory[[#This Row],[Mdl Land Intercept]]+Inventory[[#This Row],[Mdl LnAcres]])*Inventory[[#This Row],[Det/Nbhd Adj]],-2)</f>
        <v>36900</v>
      </c>
      <c r="BR1251" s="25">
        <f>Inventory[[#This Row],[Adjusted Impr Total]]+Inventory[[#This Row],[Adjusted Land Total]]</f>
        <v>452000</v>
      </c>
      <c r="BS1251" s="36">
        <f>IFERROR((Inventory[[#This Row],[Adjusted Impr Total]]-Inventory[[#This Row],[24Bldg]])/Inventory[[#This Row],[24Bldg]],0)</f>
        <v>0.14731896075179657</v>
      </c>
      <c r="BT1251" s="36">
        <f>(Inventory[[#This Row],[Adjusted Land Total]]-Inventory[[#This Row],[24Lnd]])/Inventory[[#This Row],[24Lnd]]</f>
        <v>-0.36815068493150682</v>
      </c>
      <c r="BU1251" s="36">
        <f>(Inventory[[#This Row],[Adjusted Total]]-Inventory[[#This Row],[24Final]])/Inventory[[#This Row],[24Final]]</f>
        <v>7.5678248453117561E-2</v>
      </c>
    </row>
    <row r="1252" spans="1:73" x14ac:dyDescent="0.3">
      <c r="A1252" s="25">
        <v>2025</v>
      </c>
      <c r="B1252" s="26" t="s">
        <v>2547</v>
      </c>
      <c r="C1252" s="26">
        <f>LN(Inventory[[#This Row],[Acres]])</f>
        <v>-1.6607312068216509</v>
      </c>
      <c r="D1252" s="25">
        <v>0.19</v>
      </c>
      <c r="E1252" s="25">
        <v>8308</v>
      </c>
      <c r="F1252" s="26" t="s">
        <v>537</v>
      </c>
      <c r="G1252" s="26" t="s">
        <v>126</v>
      </c>
      <c r="H1252" s="26" t="s">
        <v>349</v>
      </c>
      <c r="I1252" s="26" t="s">
        <v>538</v>
      </c>
      <c r="J1252" s="26" t="s">
        <v>539</v>
      </c>
      <c r="K1252" s="26" t="s">
        <v>242</v>
      </c>
      <c r="L1252" s="26" t="s">
        <v>205</v>
      </c>
      <c r="M1252" s="26" t="s">
        <v>303</v>
      </c>
      <c r="N1252" s="26">
        <v>90</v>
      </c>
      <c r="O1252" s="26">
        <f>2024-Inventory[[#This Row],[YrBlt]]</f>
        <v>84</v>
      </c>
      <c r="P1252" s="26">
        <f>2024-Inventory[[#This Row],[EffYr]]</f>
        <v>52</v>
      </c>
      <c r="Q1252" s="25">
        <v>1940</v>
      </c>
      <c r="R1252" s="25">
        <v>1972</v>
      </c>
      <c r="S1252" s="25">
        <v>1286</v>
      </c>
      <c r="T1252" s="27"/>
      <c r="U1252" s="27"/>
      <c r="V1252" s="27">
        <f>Inventory[[#This Row],[Bsmt]]-Inventory[[#This Row],[FnBsmt]]</f>
        <v>0</v>
      </c>
      <c r="W1252" s="27"/>
      <c r="X1252" s="27"/>
      <c r="Y1252" s="27">
        <f>Inventory[[#This Row],[MainFn]]+Inventory[[#This Row],[UpprFn]]+Inventory[[#This Row],[FnBsmt]]+Inventory[[#This Row],[AddFn]]</f>
        <v>1286</v>
      </c>
      <c r="Z1252" s="27">
        <v>1500</v>
      </c>
      <c r="AA1252" s="25">
        <v>5</v>
      </c>
      <c r="AB1252" s="31"/>
      <c r="AC1252" s="27"/>
      <c r="AD1252" s="27"/>
      <c r="AE1252" s="27"/>
      <c r="AF1252" s="27"/>
      <c r="AG1252" s="27"/>
      <c r="AH1252" s="27"/>
      <c r="AI1252" s="25">
        <v>187981</v>
      </c>
      <c r="AJ1252" s="25">
        <v>131587</v>
      </c>
      <c r="AK1252" s="25">
        <v>6313</v>
      </c>
      <c r="AL1252" s="25">
        <v>288600</v>
      </c>
      <c r="AM1252" s="25">
        <v>56600</v>
      </c>
      <c r="AN1252" s="25">
        <v>232000</v>
      </c>
      <c r="AO1252" s="25">
        <v>0</v>
      </c>
      <c r="AP1252" s="25">
        <f>Lookups!$B$56*0</f>
        <v>0</v>
      </c>
      <c r="AQ1252" s="25">
        <f>Lookups!$B$56*1</f>
        <v>89850.625589999996</v>
      </c>
      <c r="AR1252" s="25">
        <f>Lookups!$B$57*Inventory[[#This Row],[LnAcres]]</f>
        <v>-52569.808201026557</v>
      </c>
      <c r="AS1252" s="25">
        <f>VLOOKUP(Inventory[[#This Row],[Qlty]],Lookups!$A$62:$E$75,2,FALSE)</f>
        <v>0</v>
      </c>
      <c r="AT1252" s="25">
        <f>VLOOKUP(Inventory[[#This Row],[Cnd]],Lookups!$A$76:$E$84,2,FALSE)</f>
        <v>197752.34721000001</v>
      </c>
      <c r="AU1252" s="25">
        <f>Inventory[[#This Row],[EffAge]]*Lookups!$B$85</f>
        <v>-11598.371226000001</v>
      </c>
      <c r="AV1252" s="25">
        <f>Inventory[[#This Row],[MainFn]]*Lookups!$B$86</f>
        <v>63539.549461822004</v>
      </c>
      <c r="AW1252" s="25">
        <f>Inventory[[#This Row],[UpprFn]]*Lookups!$B$87</f>
        <v>0</v>
      </c>
      <c r="AX1252" s="25">
        <f>Inventory[[#This Row],[AddFn]]*Lookups!$B$88</f>
        <v>0</v>
      </c>
      <c r="AY1252" s="25">
        <f>Inventory[[#This Row],[Bsmt]]*Lookups!$B$89</f>
        <v>0</v>
      </c>
      <c r="AZ1252" s="25">
        <f>Inventory[[#This Row],[Fixtures]]*Lookups!$B$90</f>
        <v>18960.110526</v>
      </c>
      <c r="BA1252" s="25">
        <f>Inventory[[#This Row],[WdDeck]]*Lookups!$B$91</f>
        <v>0</v>
      </c>
      <c r="BB1252" s="25">
        <f>ROUND(Inventory[[#This Row],[25Det]],-2)</f>
        <v>6300</v>
      </c>
      <c r="BC1252" s="25">
        <f>ROUND(SUM(Inventory[[#This Row],[Mdl Qlty]:[Mdl WdDeck]])+Inventory[[#This Row],[Mdl Res Intercept]],-2)</f>
        <v>268700</v>
      </c>
      <c r="BD1252" s="25">
        <f>ROUND(Inventory[[#This Row],[Mdl Land Intercept]]+Inventory[[#This Row],[Mdl LnAcres]],-2)</f>
        <v>37300</v>
      </c>
      <c r="BE1252" s="25">
        <f>Inventory[[#This Row],[Unadj Res Value]]+Inventory[[#This Row],[Unadj Det Value]]+Inventory[[#This Row],[Unadj Land Value]]</f>
        <v>312300</v>
      </c>
      <c r="BF1252" s="36">
        <f>(Inventory[[#This Row],[Unadj Total Value]]-Inventory[[#This Row],[24Final]])/Inventory[[#This Row],[24Final]]</f>
        <v>8.2120582120582125E-2</v>
      </c>
      <c r="BG1252" s="25">
        <f>VLOOKUP(Inventory[[#This Row],[Nbhd]],Lookups!$Q$2:$T$4,4,FALSE)</f>
        <v>0.99970000000000003</v>
      </c>
      <c r="BH1252" s="25">
        <f>VLOOKUP(Inventory[[#This Row],[Qlty]],Lookups!$O$7:$R$21,4,FALSE)</f>
        <v>0.99180000000000001</v>
      </c>
      <c r="BI1252" s="25">
        <f>VLOOKUP(Inventory[[#This Row],[Cnd]],Lookups!$T$7:$W$16,4,FALSE)</f>
        <v>0.99650000000000005</v>
      </c>
      <c r="BJ1252" s="25">
        <f>VLOOKUP(Inventory[[#This Row],[LivArea Range]],Lookups!$T$25:$W$37,4,FALSE)</f>
        <v>1.0157</v>
      </c>
      <c r="BK1252" s="25">
        <f>VLOOKUP(Inventory[[#This Row],[Decade]],Lookups!$O$25:$R$42,4,FALSE)</f>
        <v>0.98909999999999998</v>
      </c>
      <c r="BL1252" s="25">
        <f>Inventory[[#This Row],[Nbhd Adj]]*0.95</f>
        <v>0.94971499999999998</v>
      </c>
      <c r="BM1252" s="25">
        <f>Inventory[[#This Row],[Nbhd Adj]]*Inventory[[#This Row],[Quality Adj]]*Inventory[[#This Row],[Condition Adj]]*Inventory[[#This Row],[Living Area Adj]]*Inventory[[#This Row],[Decade Adj]]*0.95</f>
        <v>0.94297539030574595</v>
      </c>
      <c r="BN1252" s="25">
        <f>ROUND(SUM(Inventory[[#This Row],[Mdl Qlty]:[Mdl WdDeck]])+Inventory[[#This Row],[Mdl Res Intercept]]*Inventory[[#This Row],[Res Adj ]],-2)</f>
        <v>268700</v>
      </c>
      <c r="BO1252" s="25">
        <f>ROUND(Inventory[[#This Row],[25Det]]*Inventory[[#This Row],[Det/Nbhd Adj]],-2)</f>
        <v>6000</v>
      </c>
      <c r="BP1252" s="25">
        <f>Inventory[[#This Row],[Adjusted Res]]+Inventory[[#This Row],[Adj Det ]]</f>
        <v>274700</v>
      </c>
      <c r="BQ1252" s="25">
        <f>ROUND((Inventory[[#This Row],[Mdl Land Intercept]]+Inventory[[#This Row],[Mdl LnAcres]])*Inventory[[#This Row],[Det/Nbhd Adj]],-2)</f>
        <v>35400</v>
      </c>
      <c r="BR1252" s="25">
        <f>Inventory[[#This Row],[Adjusted Impr Total]]+Inventory[[#This Row],[Adjusted Land Total]]</f>
        <v>310100</v>
      </c>
      <c r="BS1252" s="36">
        <f>IFERROR((Inventory[[#This Row],[Adjusted Impr Total]]-Inventory[[#This Row],[24Bldg]])/Inventory[[#This Row],[24Bldg]],0)</f>
        <v>0.18405172413793103</v>
      </c>
      <c r="BT1252" s="36">
        <f>(Inventory[[#This Row],[Adjusted Land Total]]-Inventory[[#This Row],[24Lnd]])/Inventory[[#This Row],[24Lnd]]</f>
        <v>-0.37455830388692579</v>
      </c>
      <c r="BU1252" s="36">
        <f>(Inventory[[#This Row],[Adjusted Total]]-Inventory[[#This Row],[24Final]])/Inventory[[#This Row],[24Final]]</f>
        <v>7.4497574497574492E-2</v>
      </c>
    </row>
    <row r="1253" spans="1:73" x14ac:dyDescent="0.3">
      <c r="A1253" s="25">
        <v>2025</v>
      </c>
      <c r="B1253" s="26" t="s">
        <v>1295</v>
      </c>
      <c r="C1253" s="26">
        <f>LN(Inventory[[#This Row],[Acres]])</f>
        <v>-1.9661128563728327</v>
      </c>
      <c r="D1253" s="25">
        <v>0.14000000000000001</v>
      </c>
      <c r="E1253" s="25">
        <v>5986</v>
      </c>
      <c r="F1253" s="26" t="s">
        <v>537</v>
      </c>
      <c r="G1253" s="26" t="s">
        <v>126</v>
      </c>
      <c r="H1253" s="26" t="s">
        <v>349</v>
      </c>
      <c r="I1253" s="26" t="s">
        <v>538</v>
      </c>
      <c r="J1253" s="26" t="s">
        <v>539</v>
      </c>
      <c r="K1253" s="26" t="s">
        <v>269</v>
      </c>
      <c r="L1253" s="26" t="s">
        <v>148</v>
      </c>
      <c r="M1253" s="26" t="s">
        <v>303</v>
      </c>
      <c r="N1253" s="26">
        <v>90</v>
      </c>
      <c r="O1253" s="26">
        <f>2024-Inventory[[#This Row],[YrBlt]]</f>
        <v>84</v>
      </c>
      <c r="P1253" s="26">
        <f>2024-Inventory[[#This Row],[EffYr]]</f>
        <v>52</v>
      </c>
      <c r="Q1253" s="25">
        <v>1940</v>
      </c>
      <c r="R1253" s="25">
        <v>1972</v>
      </c>
      <c r="S1253" s="25">
        <v>1218</v>
      </c>
      <c r="T1253" s="27"/>
      <c r="U1253" s="32">
        <v>662</v>
      </c>
      <c r="V1253" s="32">
        <f>Inventory[[#This Row],[Bsmt]]-Inventory[[#This Row],[FnBsmt]]</f>
        <v>0</v>
      </c>
      <c r="W1253" s="32">
        <v>662</v>
      </c>
      <c r="X1253" s="27"/>
      <c r="Y1253" s="27">
        <f>Inventory[[#This Row],[MainFn]]+Inventory[[#This Row],[UpprFn]]+Inventory[[#This Row],[FnBsmt]]+Inventory[[#This Row],[AddFn]]</f>
        <v>1880</v>
      </c>
      <c r="Z1253" s="27">
        <v>2000</v>
      </c>
      <c r="AA1253" s="25">
        <v>8</v>
      </c>
      <c r="AB1253" s="31"/>
      <c r="AC1253" s="27"/>
      <c r="AD1253" s="27"/>
      <c r="AE1253" s="27"/>
      <c r="AF1253" s="27"/>
      <c r="AG1253" s="27"/>
      <c r="AH1253" s="27"/>
      <c r="AI1253" s="25">
        <v>374447</v>
      </c>
      <c r="AJ1253" s="25">
        <v>262113</v>
      </c>
      <c r="AK1253" s="25">
        <v>11621</v>
      </c>
      <c r="AL1253" s="25">
        <v>351100</v>
      </c>
      <c r="AM1253" s="25">
        <v>46000</v>
      </c>
      <c r="AN1253" s="25">
        <v>305100</v>
      </c>
      <c r="AO1253" s="25">
        <v>0</v>
      </c>
      <c r="AP1253" s="25">
        <f>Lookups!$B$56*0</f>
        <v>0</v>
      </c>
      <c r="AQ1253" s="25">
        <f>Lookups!$B$56*1</f>
        <v>89850.625589999996</v>
      </c>
      <c r="AR1253" s="25">
        <f>Lookups!$B$57*Inventory[[#This Row],[LnAcres]]</f>
        <v>-62236.546971921947</v>
      </c>
      <c r="AS1253" s="25">
        <f>VLOOKUP(Inventory[[#This Row],[Qlty]],Lookups!$A$62:$E$75,2,FALSE)</f>
        <v>44121.038090000002</v>
      </c>
      <c r="AT1253" s="25">
        <f>VLOOKUP(Inventory[[#This Row],[Cnd]],Lookups!$A$76:$E$84,2,FALSE)</f>
        <v>197752.34721000001</v>
      </c>
      <c r="AU1253" s="25">
        <f>Inventory[[#This Row],[EffAge]]*Lookups!$B$85</f>
        <v>-11598.371226000001</v>
      </c>
      <c r="AV1253" s="25">
        <f>Inventory[[#This Row],[MainFn]]*Lookups!$B$86</f>
        <v>60179.759910186003</v>
      </c>
      <c r="AW1253" s="25">
        <f>Inventory[[#This Row],[UpprFn]]*Lookups!$B$87</f>
        <v>0</v>
      </c>
      <c r="AX1253" s="25">
        <f>Inventory[[#This Row],[AddFn]]*Lookups!$B$88</f>
        <v>0</v>
      </c>
      <c r="AY1253" s="25">
        <f>Inventory[[#This Row],[Bsmt]]*Lookups!$B$89</f>
        <v>19252.214653513998</v>
      </c>
      <c r="AZ1253" s="25">
        <f>Inventory[[#This Row],[Fixtures]]*Lookups!$B$90</f>
        <v>30336.176841600001</v>
      </c>
      <c r="BA1253" s="25">
        <f>Inventory[[#This Row],[WdDeck]]*Lookups!$B$91</f>
        <v>0</v>
      </c>
      <c r="BB1253" s="25">
        <f>ROUND(Inventory[[#This Row],[25Det]],-2)</f>
        <v>11600</v>
      </c>
      <c r="BC1253" s="25">
        <f>ROUND(SUM(Inventory[[#This Row],[Mdl Qlty]:[Mdl WdDeck]])+Inventory[[#This Row],[Mdl Res Intercept]],-2)</f>
        <v>340000</v>
      </c>
      <c r="BD1253" s="25">
        <f>ROUND(Inventory[[#This Row],[Mdl Land Intercept]]+Inventory[[#This Row],[Mdl LnAcres]],-2)</f>
        <v>27600</v>
      </c>
      <c r="BE1253" s="25">
        <f>Inventory[[#This Row],[Unadj Res Value]]+Inventory[[#This Row],[Unadj Det Value]]+Inventory[[#This Row],[Unadj Land Value]]</f>
        <v>379200</v>
      </c>
      <c r="BF1253" s="36">
        <f>(Inventory[[#This Row],[Unadj Total Value]]-Inventory[[#This Row],[24Final]])/Inventory[[#This Row],[24Final]]</f>
        <v>8.0034178296781541E-2</v>
      </c>
      <c r="BG1253" s="25">
        <f>VLOOKUP(Inventory[[#This Row],[Nbhd]],Lookups!$Q$2:$T$4,4,FALSE)</f>
        <v>0.99970000000000003</v>
      </c>
      <c r="BH1253" s="25">
        <f>VLOOKUP(Inventory[[#This Row],[Qlty]],Lookups!$O$7:$R$21,4,FALSE)</f>
        <v>0.98050000000000004</v>
      </c>
      <c r="BI1253" s="25">
        <f>VLOOKUP(Inventory[[#This Row],[Cnd]],Lookups!$T$7:$W$16,4,FALSE)</f>
        <v>0.99650000000000005</v>
      </c>
      <c r="BJ1253" s="25">
        <f>VLOOKUP(Inventory[[#This Row],[LivArea Range]],Lookups!$T$25:$W$37,4,FALSE)</f>
        <v>1.0093000000000001</v>
      </c>
      <c r="BK1253" s="25">
        <f>VLOOKUP(Inventory[[#This Row],[Decade]],Lookups!$O$25:$R$42,4,FALSE)</f>
        <v>0.98909999999999998</v>
      </c>
      <c r="BL1253" s="25">
        <f>Inventory[[#This Row],[Nbhd Adj]]*0.95</f>
        <v>0.94971499999999998</v>
      </c>
      <c r="BM1253" s="25">
        <f>Inventory[[#This Row],[Nbhd Adj]]*Inventory[[#This Row],[Quality Adj]]*Inventory[[#This Row],[Condition Adj]]*Inventory[[#This Row],[Living Area Adj]]*Inventory[[#This Row],[Decade Adj]]*0.95</f>
        <v>0.92635760994173622</v>
      </c>
      <c r="BN1253" s="25">
        <f>ROUND(SUM(Inventory[[#This Row],[Mdl Qlty]:[Mdl WdDeck]])+Inventory[[#This Row],[Mdl Res Intercept]]*Inventory[[#This Row],[Res Adj ]],-2)</f>
        <v>340000</v>
      </c>
      <c r="BO1253" s="25">
        <f>ROUND(Inventory[[#This Row],[25Det]]*Inventory[[#This Row],[Det/Nbhd Adj]],-2)</f>
        <v>11000</v>
      </c>
      <c r="BP1253" s="25">
        <f>Inventory[[#This Row],[Adjusted Res]]+Inventory[[#This Row],[Adj Det ]]</f>
        <v>351000</v>
      </c>
      <c r="BQ1253" s="25">
        <f>ROUND((Inventory[[#This Row],[Mdl Land Intercept]]+Inventory[[#This Row],[Mdl LnAcres]])*Inventory[[#This Row],[Det/Nbhd Adj]],-2)</f>
        <v>26200</v>
      </c>
      <c r="BR1253" s="25">
        <f>Inventory[[#This Row],[Adjusted Impr Total]]+Inventory[[#This Row],[Adjusted Land Total]]</f>
        <v>377200</v>
      </c>
      <c r="BS1253" s="36">
        <f>IFERROR((Inventory[[#This Row],[Adjusted Impr Total]]-Inventory[[#This Row],[24Bldg]])/Inventory[[#This Row],[24Bldg]],0)</f>
        <v>0.15044247787610621</v>
      </c>
      <c r="BT1253" s="36">
        <f>(Inventory[[#This Row],[Adjusted Land Total]]-Inventory[[#This Row],[24Lnd]])/Inventory[[#This Row],[24Lnd]]</f>
        <v>-0.43043478260869567</v>
      </c>
      <c r="BU1253" s="36">
        <f>(Inventory[[#This Row],[Adjusted Total]]-Inventory[[#This Row],[24Final]])/Inventory[[#This Row],[24Final]]</f>
        <v>7.4337795499857584E-2</v>
      </c>
    </row>
    <row r="1254" spans="1:73" x14ac:dyDescent="0.3">
      <c r="A1254" s="25">
        <v>2025</v>
      </c>
      <c r="B1254" s="26" t="s">
        <v>1341</v>
      </c>
      <c r="C1254" s="26">
        <f>LN(Inventory[[#This Row],[Acres]])</f>
        <v>-1.7147984280919266</v>
      </c>
      <c r="D1254" s="25">
        <v>0.18</v>
      </c>
      <c r="E1254" s="25">
        <v>7691</v>
      </c>
      <c r="F1254" s="26" t="s">
        <v>537</v>
      </c>
      <c r="G1254" s="26" t="s">
        <v>126</v>
      </c>
      <c r="H1254" s="26" t="s">
        <v>349</v>
      </c>
      <c r="I1254" s="26" t="s">
        <v>538</v>
      </c>
      <c r="J1254" s="26" t="s">
        <v>539</v>
      </c>
      <c r="K1254" s="26" t="s">
        <v>242</v>
      </c>
      <c r="L1254" s="26" t="s">
        <v>351</v>
      </c>
      <c r="M1254" s="26" t="s">
        <v>323</v>
      </c>
      <c r="N1254" s="26">
        <v>90</v>
      </c>
      <c r="O1254" s="26">
        <f>2024-Inventory[[#This Row],[YrBlt]]</f>
        <v>84</v>
      </c>
      <c r="P1254" s="26">
        <f>2024-Inventory[[#This Row],[EffYr]]</f>
        <v>52</v>
      </c>
      <c r="Q1254" s="25">
        <v>1940</v>
      </c>
      <c r="R1254" s="25">
        <v>1972</v>
      </c>
      <c r="S1254" s="25">
        <v>1012</v>
      </c>
      <c r="T1254" s="27"/>
      <c r="U1254" s="32">
        <v>812</v>
      </c>
      <c r="V1254" s="32">
        <f>Inventory[[#This Row],[Bsmt]]-Inventory[[#This Row],[FnBsmt]]</f>
        <v>812</v>
      </c>
      <c r="W1254" s="27"/>
      <c r="X1254" s="27"/>
      <c r="Y1254" s="27">
        <f>Inventory[[#This Row],[MainFn]]+Inventory[[#This Row],[UpprFn]]+Inventory[[#This Row],[FnBsmt]]+Inventory[[#This Row],[AddFn]]</f>
        <v>1012</v>
      </c>
      <c r="Z1254" s="27">
        <v>1500</v>
      </c>
      <c r="AA1254" s="25">
        <v>6</v>
      </c>
      <c r="AB1254" s="31"/>
      <c r="AC1254" s="27"/>
      <c r="AD1254" s="27"/>
      <c r="AE1254" s="27"/>
      <c r="AF1254" s="27"/>
      <c r="AG1254" s="27"/>
      <c r="AH1254" s="27"/>
      <c r="AI1254" s="25">
        <v>207995</v>
      </c>
      <c r="AJ1254" s="25">
        <v>141437</v>
      </c>
      <c r="AK1254" s="25">
        <v>9708</v>
      </c>
      <c r="AL1254" s="25">
        <v>288600</v>
      </c>
      <c r="AM1254" s="25">
        <v>54700</v>
      </c>
      <c r="AN1254" s="25">
        <v>233900</v>
      </c>
      <c r="AO1254" s="25">
        <v>0</v>
      </c>
      <c r="AP1254" s="25">
        <f>Lookups!$B$56*0</f>
        <v>0</v>
      </c>
      <c r="AQ1254" s="25">
        <f>Lookups!$B$56*1</f>
        <v>89850.625589999996</v>
      </c>
      <c r="AR1254" s="25">
        <f>Lookups!$B$57*Inventory[[#This Row],[LnAcres]]</f>
        <v>-54281.285314520763</v>
      </c>
      <c r="AS1254" s="25">
        <f>VLOOKUP(Inventory[[#This Row],[Qlty]],Lookups!$A$62:$E$75,2,FALSE)</f>
        <v>21557.329055999999</v>
      </c>
      <c r="AT1254" s="25">
        <f>VLOOKUP(Inventory[[#This Row],[Cnd]],Lookups!$A$76:$E$84,2,FALSE)</f>
        <v>160472.20319</v>
      </c>
      <c r="AU1254" s="25">
        <f>Inventory[[#This Row],[EffAge]]*Lookups!$B$85</f>
        <v>-11598.371226000001</v>
      </c>
      <c r="AV1254" s="25">
        <f>Inventory[[#This Row],[MainFn]]*Lookups!$B$86</f>
        <v>50001.573915524001</v>
      </c>
      <c r="AW1254" s="25">
        <f>Inventory[[#This Row],[UpprFn]]*Lookups!$B$87</f>
        <v>0</v>
      </c>
      <c r="AX1254" s="25">
        <f>Inventory[[#This Row],[AddFn]]*Lookups!$B$88</f>
        <v>0</v>
      </c>
      <c r="AY1254" s="25">
        <f>Inventory[[#This Row],[Bsmt]]*Lookups!$B$89</f>
        <v>23614.498940563997</v>
      </c>
      <c r="AZ1254" s="25">
        <f>Inventory[[#This Row],[Fixtures]]*Lookups!$B$90</f>
        <v>22752.132631200002</v>
      </c>
      <c r="BA1254" s="25">
        <f>Inventory[[#This Row],[WdDeck]]*Lookups!$B$91</f>
        <v>0</v>
      </c>
      <c r="BB1254" s="25">
        <f>ROUND(Inventory[[#This Row],[25Det]],-2)</f>
        <v>9700</v>
      </c>
      <c r="BC1254" s="25">
        <f>ROUND(SUM(Inventory[[#This Row],[Mdl Qlty]:[Mdl WdDeck]])+Inventory[[#This Row],[Mdl Res Intercept]],-2)</f>
        <v>266800</v>
      </c>
      <c r="BD1254" s="25">
        <f>ROUND(Inventory[[#This Row],[Mdl Land Intercept]]+Inventory[[#This Row],[Mdl LnAcres]],-2)</f>
        <v>35600</v>
      </c>
      <c r="BE1254" s="25">
        <f>Inventory[[#This Row],[Unadj Res Value]]+Inventory[[#This Row],[Unadj Det Value]]+Inventory[[#This Row],[Unadj Land Value]]</f>
        <v>312100</v>
      </c>
      <c r="BF1254" s="36">
        <f>(Inventory[[#This Row],[Unadj Total Value]]-Inventory[[#This Row],[24Final]])/Inventory[[#This Row],[24Final]]</f>
        <v>8.1427581427581427E-2</v>
      </c>
      <c r="BG1254" s="25">
        <f>VLOOKUP(Inventory[[#This Row],[Nbhd]],Lookups!$Q$2:$T$4,4,FALSE)</f>
        <v>0.99970000000000003</v>
      </c>
      <c r="BH1254" s="25">
        <f>VLOOKUP(Inventory[[#This Row],[Qlty]],Lookups!$O$7:$R$21,4,FALSE)</f>
        <v>1.0067999999999999</v>
      </c>
      <c r="BI1254" s="25">
        <f>VLOOKUP(Inventory[[#This Row],[Cnd]],Lookups!$T$7:$W$16,4,FALSE)</f>
        <v>0.99729999999999996</v>
      </c>
      <c r="BJ1254" s="25">
        <f>VLOOKUP(Inventory[[#This Row],[LivArea Range]],Lookups!$T$25:$W$37,4,FALSE)</f>
        <v>1.0157</v>
      </c>
      <c r="BK1254" s="25">
        <f>VLOOKUP(Inventory[[#This Row],[Decade]],Lookups!$O$25:$R$42,4,FALSE)</f>
        <v>0.98909999999999998</v>
      </c>
      <c r="BL1254" s="25">
        <f>Inventory[[#This Row],[Nbhd Adj]]*0.95</f>
        <v>0.94971499999999998</v>
      </c>
      <c r="BM1254" s="25">
        <f>Inventory[[#This Row],[Nbhd Adj]]*Inventory[[#This Row],[Quality Adj]]*Inventory[[#This Row],[Condition Adj]]*Inventory[[#This Row],[Living Area Adj]]*Inventory[[#This Row],[Decade Adj]]*0.95</f>
        <v>0.95800544533193577</v>
      </c>
      <c r="BN1254" s="25">
        <f>ROUND(SUM(Inventory[[#This Row],[Mdl Qlty]:[Mdl WdDeck]])+Inventory[[#This Row],[Mdl Res Intercept]]*Inventory[[#This Row],[Res Adj ]],-2)</f>
        <v>266800</v>
      </c>
      <c r="BO1254" s="25">
        <f>ROUND(Inventory[[#This Row],[25Det]]*Inventory[[#This Row],[Det/Nbhd Adj]],-2)</f>
        <v>9200</v>
      </c>
      <c r="BP1254" s="25">
        <f>Inventory[[#This Row],[Adjusted Res]]+Inventory[[#This Row],[Adj Det ]]</f>
        <v>276000</v>
      </c>
      <c r="BQ1254" s="25">
        <f>ROUND((Inventory[[#This Row],[Mdl Land Intercept]]+Inventory[[#This Row],[Mdl LnAcres]])*Inventory[[#This Row],[Det/Nbhd Adj]],-2)</f>
        <v>33800</v>
      </c>
      <c r="BR1254" s="25">
        <f>Inventory[[#This Row],[Adjusted Impr Total]]+Inventory[[#This Row],[Adjusted Land Total]]</f>
        <v>309800</v>
      </c>
      <c r="BS1254" s="36">
        <f>IFERROR((Inventory[[#This Row],[Adjusted Impr Total]]-Inventory[[#This Row],[24Bldg]])/Inventory[[#This Row],[24Bldg]],0)</f>
        <v>0.17999144933732364</v>
      </c>
      <c r="BT1254" s="36">
        <f>(Inventory[[#This Row],[Adjusted Land Total]]-Inventory[[#This Row],[24Lnd]])/Inventory[[#This Row],[24Lnd]]</f>
        <v>-0.38208409506398539</v>
      </c>
      <c r="BU1254" s="36">
        <f>(Inventory[[#This Row],[Adjusted Total]]-Inventory[[#This Row],[24Final]])/Inventory[[#This Row],[24Final]]</f>
        <v>7.3458073458073453E-2</v>
      </c>
    </row>
    <row r="1255" spans="1:73" x14ac:dyDescent="0.3">
      <c r="A1255" s="25">
        <v>2025</v>
      </c>
      <c r="B1255" s="26" t="s">
        <v>1240</v>
      </c>
      <c r="C1255" s="26">
        <f>LN(Inventory[[#This Row],[Acres]])</f>
        <v>-1.4271163556401458</v>
      </c>
      <c r="D1255" s="25">
        <v>0.24</v>
      </c>
      <c r="E1255" s="25">
        <v>10282</v>
      </c>
      <c r="F1255" s="26" t="s">
        <v>537</v>
      </c>
      <c r="G1255" s="26" t="s">
        <v>126</v>
      </c>
      <c r="H1255" s="26" t="s">
        <v>349</v>
      </c>
      <c r="I1255" s="26" t="s">
        <v>538</v>
      </c>
      <c r="J1255" s="26" t="s">
        <v>539</v>
      </c>
      <c r="K1255" s="26" t="s">
        <v>173</v>
      </c>
      <c r="L1255" s="26" t="s">
        <v>148</v>
      </c>
      <c r="M1255" s="26" t="s">
        <v>303</v>
      </c>
      <c r="N1255" s="26">
        <v>90</v>
      </c>
      <c r="O1255" s="26">
        <f>2024-Inventory[[#This Row],[YrBlt]]</f>
        <v>84</v>
      </c>
      <c r="P1255" s="26">
        <f>2024-Inventory[[#This Row],[EffYr]]</f>
        <v>52</v>
      </c>
      <c r="Q1255" s="25">
        <v>1940</v>
      </c>
      <c r="R1255" s="25">
        <v>1972</v>
      </c>
      <c r="S1255" s="25">
        <v>1254</v>
      </c>
      <c r="T1255" s="32">
        <v>548</v>
      </c>
      <c r="U1255" s="32">
        <v>1270</v>
      </c>
      <c r="V1255" s="32">
        <f>Inventory[[#This Row],[Bsmt]]-Inventory[[#This Row],[FnBsmt]]</f>
        <v>537</v>
      </c>
      <c r="W1255" s="32">
        <v>733</v>
      </c>
      <c r="X1255" s="27"/>
      <c r="Y1255" s="27">
        <f>Inventory[[#This Row],[MainFn]]+Inventory[[#This Row],[UpprFn]]+Inventory[[#This Row],[FnBsmt]]+Inventory[[#This Row],[AddFn]]</f>
        <v>2535</v>
      </c>
      <c r="Z1255" s="27">
        <v>3000</v>
      </c>
      <c r="AA1255" s="25">
        <v>8</v>
      </c>
      <c r="AB1255" s="31"/>
      <c r="AC1255" s="27"/>
      <c r="AD1255" s="27"/>
      <c r="AE1255" s="27"/>
      <c r="AF1255" s="27"/>
      <c r="AG1255" s="27"/>
      <c r="AH1255" s="27"/>
      <c r="AI1255" s="25">
        <v>469649</v>
      </c>
      <c r="AJ1255" s="25">
        <v>328754</v>
      </c>
      <c r="AK1255" s="25">
        <v>10610</v>
      </c>
      <c r="AL1255" s="25">
        <v>406800</v>
      </c>
      <c r="AM1255" s="25">
        <v>64800</v>
      </c>
      <c r="AN1255" s="25">
        <v>342000</v>
      </c>
      <c r="AO1255" s="25">
        <v>0</v>
      </c>
      <c r="AP1255" s="25">
        <f>Lookups!$B$56*0</f>
        <v>0</v>
      </c>
      <c r="AQ1255" s="25">
        <f>Lookups!$B$56*1</f>
        <v>89850.625589999996</v>
      </c>
      <c r="AR1255" s="25">
        <f>Lookups!$B$57*Inventory[[#This Row],[LnAcres]]</f>
        <v>-45174.819855485119</v>
      </c>
      <c r="AS1255" s="25">
        <f>VLOOKUP(Inventory[[#This Row],[Qlty]],Lookups!$A$62:$E$75,2,FALSE)</f>
        <v>44121.038090000002</v>
      </c>
      <c r="AT1255" s="25">
        <f>VLOOKUP(Inventory[[#This Row],[Cnd]],Lookups!$A$76:$E$84,2,FALSE)</f>
        <v>197752.34721000001</v>
      </c>
      <c r="AU1255" s="25">
        <f>Inventory[[#This Row],[EffAge]]*Lookups!$B$85</f>
        <v>-11598.371226000001</v>
      </c>
      <c r="AV1255" s="25">
        <f>Inventory[[#This Row],[MainFn]]*Lookups!$B$86</f>
        <v>61958.472025758005</v>
      </c>
      <c r="AW1255" s="25">
        <f>Inventory[[#This Row],[UpprFn]]*Lookups!$B$87</f>
        <v>24542.959727827998</v>
      </c>
      <c r="AX1255" s="25">
        <f>Inventory[[#This Row],[AddFn]]*Lookups!$B$88</f>
        <v>0</v>
      </c>
      <c r="AY1255" s="25">
        <f>Inventory[[#This Row],[Bsmt]]*Lookups!$B$89</f>
        <v>36934.006963690001</v>
      </c>
      <c r="AZ1255" s="25">
        <f>Inventory[[#This Row],[Fixtures]]*Lookups!$B$90</f>
        <v>30336.176841600001</v>
      </c>
      <c r="BA1255" s="25">
        <f>Inventory[[#This Row],[WdDeck]]*Lookups!$B$91</f>
        <v>0</v>
      </c>
      <c r="BB1255" s="25">
        <f>ROUND(Inventory[[#This Row],[25Det]],-2)</f>
        <v>10600</v>
      </c>
      <c r="BC1255" s="25">
        <f>ROUND(SUM(Inventory[[#This Row],[Mdl Qlty]:[Mdl WdDeck]])+Inventory[[#This Row],[Mdl Res Intercept]],-2)</f>
        <v>384000</v>
      </c>
      <c r="BD1255" s="25">
        <f>ROUND(Inventory[[#This Row],[Mdl Land Intercept]]+Inventory[[#This Row],[Mdl LnAcres]],-2)</f>
        <v>44700</v>
      </c>
      <c r="BE1255" s="25">
        <f>Inventory[[#This Row],[Unadj Res Value]]+Inventory[[#This Row],[Unadj Det Value]]+Inventory[[#This Row],[Unadj Land Value]]</f>
        <v>439300</v>
      </c>
      <c r="BF1255" s="36">
        <f>(Inventory[[#This Row],[Unadj Total Value]]-Inventory[[#This Row],[24Final]])/Inventory[[#This Row],[24Final]]</f>
        <v>7.9891838741396257E-2</v>
      </c>
      <c r="BG1255" s="25">
        <f>VLOOKUP(Inventory[[#This Row],[Nbhd]],Lookups!$Q$2:$T$4,4,FALSE)</f>
        <v>0.99970000000000003</v>
      </c>
      <c r="BH1255" s="25">
        <f>VLOOKUP(Inventory[[#This Row],[Qlty]],Lookups!$O$7:$R$21,4,FALSE)</f>
        <v>0.98050000000000004</v>
      </c>
      <c r="BI1255" s="25">
        <f>VLOOKUP(Inventory[[#This Row],[Cnd]],Lookups!$T$7:$W$16,4,FALSE)</f>
        <v>0.99650000000000005</v>
      </c>
      <c r="BJ1255" s="25">
        <f>VLOOKUP(Inventory[[#This Row],[LivArea Range]],Lookups!$T$25:$W$37,4,FALSE)</f>
        <v>0.96179999999999999</v>
      </c>
      <c r="BK1255" s="25">
        <f>VLOOKUP(Inventory[[#This Row],[Decade]],Lookups!$O$25:$R$42,4,FALSE)</f>
        <v>0.98909999999999998</v>
      </c>
      <c r="BL1255" s="25">
        <f>Inventory[[#This Row],[Nbhd Adj]]*0.95</f>
        <v>0.94971499999999998</v>
      </c>
      <c r="BM1255" s="25">
        <f>Inventory[[#This Row],[Nbhd Adj]]*Inventory[[#This Row],[Quality Adj]]*Inventory[[#This Row],[Condition Adj]]*Inventory[[#This Row],[Living Area Adj]]*Inventory[[#This Row],[Decade Adj]]*0.95</f>
        <v>0.88276107127906644</v>
      </c>
      <c r="BN1255" s="25">
        <f>ROUND(SUM(Inventory[[#This Row],[Mdl Qlty]:[Mdl WdDeck]])+Inventory[[#This Row],[Mdl Res Intercept]]*Inventory[[#This Row],[Res Adj ]],-2)</f>
        <v>384000</v>
      </c>
      <c r="BO1255" s="25">
        <f>ROUND(Inventory[[#This Row],[25Det]]*Inventory[[#This Row],[Det/Nbhd Adj]],-2)</f>
        <v>10100</v>
      </c>
      <c r="BP1255" s="25">
        <f>Inventory[[#This Row],[Adjusted Res]]+Inventory[[#This Row],[Adj Det ]]</f>
        <v>394100</v>
      </c>
      <c r="BQ1255" s="25">
        <f>ROUND((Inventory[[#This Row],[Mdl Land Intercept]]+Inventory[[#This Row],[Mdl LnAcres]])*Inventory[[#This Row],[Det/Nbhd Adj]],-2)</f>
        <v>42400</v>
      </c>
      <c r="BR1255" s="25">
        <f>Inventory[[#This Row],[Adjusted Impr Total]]+Inventory[[#This Row],[Adjusted Land Total]]</f>
        <v>436500</v>
      </c>
      <c r="BS1255" s="36">
        <f>IFERROR((Inventory[[#This Row],[Adjusted Impr Total]]-Inventory[[#This Row],[24Bldg]])/Inventory[[#This Row],[24Bldg]],0)</f>
        <v>0.15233918128654972</v>
      </c>
      <c r="BT1255" s="36">
        <f>(Inventory[[#This Row],[Adjusted Land Total]]-Inventory[[#This Row],[24Lnd]])/Inventory[[#This Row],[24Lnd]]</f>
        <v>-0.34567901234567899</v>
      </c>
      <c r="BU1255" s="36">
        <f>(Inventory[[#This Row],[Adjusted Total]]-Inventory[[#This Row],[24Final]])/Inventory[[#This Row],[24Final]]</f>
        <v>7.3008849557522126E-2</v>
      </c>
    </row>
    <row r="1256" spans="1:73" x14ac:dyDescent="0.3">
      <c r="A1256" s="25">
        <v>2025</v>
      </c>
      <c r="B1256" s="26" t="s">
        <v>2025</v>
      </c>
      <c r="C1256" s="26">
        <f>LN(Inventory[[#This Row],[Acres]])</f>
        <v>-1.5606477482646683</v>
      </c>
      <c r="D1256" s="25">
        <v>0.21</v>
      </c>
      <c r="E1256" s="31"/>
      <c r="F1256" s="26" t="s">
        <v>537</v>
      </c>
      <c r="G1256" s="26" t="s">
        <v>126</v>
      </c>
      <c r="H1256" s="26" t="s">
        <v>349</v>
      </c>
      <c r="I1256" s="26" t="s">
        <v>538</v>
      </c>
      <c r="J1256" s="26" t="s">
        <v>539</v>
      </c>
      <c r="K1256" s="26" t="s">
        <v>242</v>
      </c>
      <c r="L1256" s="26" t="s">
        <v>351</v>
      </c>
      <c r="M1256" s="26" t="s">
        <v>323</v>
      </c>
      <c r="N1256" s="26">
        <v>90</v>
      </c>
      <c r="O1256" s="26">
        <f>2024-Inventory[[#This Row],[YrBlt]]</f>
        <v>84</v>
      </c>
      <c r="P1256" s="26">
        <f>2024-Inventory[[#This Row],[EffYr]]</f>
        <v>52</v>
      </c>
      <c r="Q1256" s="25">
        <v>1940</v>
      </c>
      <c r="R1256" s="25">
        <v>1972</v>
      </c>
      <c r="S1256" s="25">
        <v>1062</v>
      </c>
      <c r="T1256" s="31"/>
      <c r="U1256" s="32">
        <v>784</v>
      </c>
      <c r="V1256" s="32">
        <f>Inventory[[#This Row],[Bsmt]]-Inventory[[#This Row],[FnBsmt]]</f>
        <v>624</v>
      </c>
      <c r="W1256" s="32">
        <v>160</v>
      </c>
      <c r="X1256" s="27"/>
      <c r="Y1256" s="27">
        <f>Inventory[[#This Row],[MainFn]]+Inventory[[#This Row],[UpprFn]]+Inventory[[#This Row],[FnBsmt]]+Inventory[[#This Row],[AddFn]]</f>
        <v>1222</v>
      </c>
      <c r="Z1256" s="27">
        <v>1500</v>
      </c>
      <c r="AA1256" s="25">
        <v>5</v>
      </c>
      <c r="AB1256" s="27"/>
      <c r="AC1256" s="25">
        <v>264</v>
      </c>
      <c r="AD1256" s="27"/>
      <c r="AE1256" s="27"/>
      <c r="AF1256" s="27"/>
      <c r="AG1256" s="27"/>
      <c r="AH1256" s="27"/>
      <c r="AI1256" s="25">
        <v>221612</v>
      </c>
      <c r="AJ1256" s="25">
        <v>150696</v>
      </c>
      <c r="AK1256" s="25">
        <v>27932</v>
      </c>
      <c r="AL1256" s="25">
        <v>307400</v>
      </c>
      <c r="AM1256" s="25">
        <v>60100</v>
      </c>
      <c r="AN1256" s="25">
        <v>247300</v>
      </c>
      <c r="AO1256" s="25">
        <v>0</v>
      </c>
      <c r="AP1256" s="25">
        <f>Lookups!$B$56*0</f>
        <v>0</v>
      </c>
      <c r="AQ1256" s="25">
        <f>Lookups!$B$56*1</f>
        <v>89850.625589999996</v>
      </c>
      <c r="AR1256" s="25">
        <f>Lookups!$B$57*Inventory[[#This Row],[LnAcres]]</f>
        <v>-49401.70477837498</v>
      </c>
      <c r="AS1256" s="25">
        <f>VLOOKUP(Inventory[[#This Row],[Qlty]],Lookups!$A$62:$E$75,2,FALSE)</f>
        <v>21557.329055999999</v>
      </c>
      <c r="AT1256" s="25">
        <f>VLOOKUP(Inventory[[#This Row],[Cnd]],Lookups!$A$76:$E$84,2,FALSE)</f>
        <v>160472.20319</v>
      </c>
      <c r="AU1256" s="25">
        <f>Inventory[[#This Row],[EffAge]]*Lookups!$B$85</f>
        <v>-11598.371226000001</v>
      </c>
      <c r="AV1256" s="25">
        <f>Inventory[[#This Row],[MainFn]]*Lookups!$B$86</f>
        <v>52472.007409374004</v>
      </c>
      <c r="AW1256" s="25">
        <f>Inventory[[#This Row],[UpprFn]]*Lookups!$B$87</f>
        <v>0</v>
      </c>
      <c r="AX1256" s="25">
        <f>Inventory[[#This Row],[AddFn]]*Lookups!$B$88</f>
        <v>0</v>
      </c>
      <c r="AY1256" s="25">
        <f>Inventory[[#This Row],[Bsmt]]*Lookups!$B$89</f>
        <v>22800.205873647999</v>
      </c>
      <c r="AZ1256" s="25">
        <f>Inventory[[#This Row],[Fixtures]]*Lookups!$B$90</f>
        <v>18960.110526</v>
      </c>
      <c r="BA1256" s="25">
        <f>Inventory[[#This Row],[WdDeck]]*Lookups!$B$91</f>
        <v>0</v>
      </c>
      <c r="BB1256" s="25">
        <f>ROUND(Inventory[[#This Row],[25Det]],-2)</f>
        <v>27900</v>
      </c>
      <c r="BC1256" s="25">
        <f>ROUND(SUM(Inventory[[#This Row],[Mdl Qlty]:[Mdl WdDeck]])+Inventory[[#This Row],[Mdl Res Intercept]],-2)</f>
        <v>264700</v>
      </c>
      <c r="BD1256" s="25">
        <f>ROUND(Inventory[[#This Row],[Mdl Land Intercept]]+Inventory[[#This Row],[Mdl LnAcres]],-2)</f>
        <v>40400</v>
      </c>
      <c r="BE1256" s="25">
        <f>Inventory[[#This Row],[Unadj Res Value]]+Inventory[[#This Row],[Unadj Det Value]]+Inventory[[#This Row],[Unadj Land Value]]</f>
        <v>333000</v>
      </c>
      <c r="BF1256" s="36">
        <f>(Inventory[[#This Row],[Unadj Total Value]]-Inventory[[#This Row],[24Final]])/Inventory[[#This Row],[24Final]]</f>
        <v>8.3279115159401437E-2</v>
      </c>
      <c r="BG1256" s="25">
        <f>VLOOKUP(Inventory[[#This Row],[Nbhd]],Lookups!$Q$2:$T$4,4,FALSE)</f>
        <v>0.99970000000000003</v>
      </c>
      <c r="BH1256" s="25">
        <f>VLOOKUP(Inventory[[#This Row],[Qlty]],Lookups!$O$7:$R$21,4,FALSE)</f>
        <v>1.0067999999999999</v>
      </c>
      <c r="BI1256" s="25">
        <f>VLOOKUP(Inventory[[#This Row],[Cnd]],Lookups!$T$7:$W$16,4,FALSE)</f>
        <v>0.99729999999999996</v>
      </c>
      <c r="BJ1256" s="25">
        <f>VLOOKUP(Inventory[[#This Row],[LivArea Range]],Lookups!$T$25:$W$37,4,FALSE)</f>
        <v>1.0157</v>
      </c>
      <c r="BK1256" s="25">
        <f>VLOOKUP(Inventory[[#This Row],[Decade]],Lookups!$O$25:$R$42,4,FALSE)</f>
        <v>0.98909999999999998</v>
      </c>
      <c r="BL1256" s="25">
        <f>Inventory[[#This Row],[Nbhd Adj]]*0.95</f>
        <v>0.94971499999999998</v>
      </c>
      <c r="BM1256" s="25">
        <f>Inventory[[#This Row],[Nbhd Adj]]*Inventory[[#This Row],[Quality Adj]]*Inventory[[#This Row],[Condition Adj]]*Inventory[[#This Row],[Living Area Adj]]*Inventory[[#This Row],[Decade Adj]]*0.95</f>
        <v>0.95800544533193577</v>
      </c>
      <c r="BN1256" s="25">
        <f>ROUND(SUM(Inventory[[#This Row],[Mdl Qlty]:[Mdl WdDeck]])+Inventory[[#This Row],[Mdl Res Intercept]]*Inventory[[#This Row],[Res Adj ]],-2)</f>
        <v>264700</v>
      </c>
      <c r="BO1256" s="25">
        <f>ROUND(Inventory[[#This Row],[25Det]]*Inventory[[#This Row],[Det/Nbhd Adj]],-2)</f>
        <v>26500</v>
      </c>
      <c r="BP1256" s="25">
        <f>Inventory[[#This Row],[Adjusted Res]]+Inventory[[#This Row],[Adj Det ]]</f>
        <v>291200</v>
      </c>
      <c r="BQ1256" s="25">
        <f>ROUND((Inventory[[#This Row],[Mdl Land Intercept]]+Inventory[[#This Row],[Mdl LnAcres]])*Inventory[[#This Row],[Det/Nbhd Adj]],-2)</f>
        <v>38400</v>
      </c>
      <c r="BR1256" s="25">
        <f>Inventory[[#This Row],[Adjusted Impr Total]]+Inventory[[#This Row],[Adjusted Land Total]]</f>
        <v>329600</v>
      </c>
      <c r="BS1256" s="36">
        <f>IFERROR((Inventory[[#This Row],[Adjusted Impr Total]]-Inventory[[#This Row],[24Bldg]])/Inventory[[#This Row],[24Bldg]],0)</f>
        <v>0.17751718560452892</v>
      </c>
      <c r="BT1256" s="36">
        <f>(Inventory[[#This Row],[Adjusted Land Total]]-Inventory[[#This Row],[24Lnd]])/Inventory[[#This Row],[24Lnd]]</f>
        <v>-0.36106489184692181</v>
      </c>
      <c r="BU1256" s="36">
        <f>(Inventory[[#This Row],[Adjusted Total]]-Inventory[[#This Row],[24Final]])/Inventory[[#This Row],[24Final]]</f>
        <v>7.2218607677293434E-2</v>
      </c>
    </row>
    <row r="1257" spans="1:73" x14ac:dyDescent="0.3">
      <c r="A1257" s="25">
        <v>2025</v>
      </c>
      <c r="B1257" s="26" t="s">
        <v>1813</v>
      </c>
      <c r="C1257" s="26">
        <f>LN(Inventory[[#This Row],[Acres]])</f>
        <v>-0.89159811928378363</v>
      </c>
      <c r="D1257" s="25">
        <v>0.41</v>
      </c>
      <c r="E1257" s="25">
        <v>17804</v>
      </c>
      <c r="F1257" s="26" t="s">
        <v>537</v>
      </c>
      <c r="G1257" s="26" t="s">
        <v>126</v>
      </c>
      <c r="H1257" s="26" t="s">
        <v>349</v>
      </c>
      <c r="I1257" s="26" t="s">
        <v>538</v>
      </c>
      <c r="J1257" s="26" t="s">
        <v>539</v>
      </c>
      <c r="K1257" s="26" t="s">
        <v>173</v>
      </c>
      <c r="L1257" s="26" t="s">
        <v>148</v>
      </c>
      <c r="M1257" s="26" t="s">
        <v>323</v>
      </c>
      <c r="N1257" s="26">
        <v>90</v>
      </c>
      <c r="O1257" s="26">
        <f>2024-Inventory[[#This Row],[YrBlt]]</f>
        <v>84</v>
      </c>
      <c r="P1257" s="26">
        <f>2024-Inventory[[#This Row],[EffYr]]</f>
        <v>52</v>
      </c>
      <c r="Q1257" s="25">
        <v>1940</v>
      </c>
      <c r="R1257" s="25">
        <v>1972</v>
      </c>
      <c r="S1257" s="25">
        <v>1925</v>
      </c>
      <c r="T1257" s="25">
        <v>483</v>
      </c>
      <c r="U1257" s="32">
        <v>1774</v>
      </c>
      <c r="V1257" s="32">
        <f>Inventory[[#This Row],[Bsmt]]-Inventory[[#This Row],[FnBsmt]]</f>
        <v>1774</v>
      </c>
      <c r="W1257" s="27"/>
      <c r="X1257" s="27"/>
      <c r="Y1257" s="27">
        <f>Inventory[[#This Row],[MainFn]]+Inventory[[#This Row],[UpprFn]]+Inventory[[#This Row],[FnBsmt]]+Inventory[[#This Row],[AddFn]]</f>
        <v>2408</v>
      </c>
      <c r="Z1257" s="27">
        <v>2500</v>
      </c>
      <c r="AA1257" s="25">
        <v>8</v>
      </c>
      <c r="AB1257" s="27"/>
      <c r="AC1257" s="31"/>
      <c r="AD1257" s="27"/>
      <c r="AE1257" s="27"/>
      <c r="AF1257" s="27"/>
      <c r="AG1257" s="27"/>
      <c r="AH1257" s="27"/>
      <c r="AI1257" s="25">
        <v>565232</v>
      </c>
      <c r="AJ1257" s="25">
        <v>384358</v>
      </c>
      <c r="AK1257" s="25">
        <v>14084</v>
      </c>
      <c r="AL1257" s="25">
        <v>432500</v>
      </c>
      <c r="AM1257" s="25">
        <v>83400</v>
      </c>
      <c r="AN1257" s="25">
        <v>349100</v>
      </c>
      <c r="AO1257" s="25">
        <v>0</v>
      </c>
      <c r="AP1257" s="25">
        <f>Lookups!$B$56*0</f>
        <v>0</v>
      </c>
      <c r="AQ1257" s="25">
        <f>Lookups!$B$56*1</f>
        <v>89850.625589999996</v>
      </c>
      <c r="AR1257" s="25">
        <f>Lookups!$B$57*Inventory[[#This Row],[LnAcres]]</f>
        <v>-28223.195861326454</v>
      </c>
      <c r="AS1257" s="25">
        <f>VLOOKUP(Inventory[[#This Row],[Qlty]],Lookups!$A$62:$E$75,2,FALSE)</f>
        <v>44121.038090000002</v>
      </c>
      <c r="AT1257" s="25">
        <f>VLOOKUP(Inventory[[#This Row],[Cnd]],Lookups!$A$76:$E$84,2,FALSE)</f>
        <v>160472.20319</v>
      </c>
      <c r="AU1257" s="25">
        <f>Inventory[[#This Row],[EffAge]]*Lookups!$B$85</f>
        <v>-11598.371226000001</v>
      </c>
      <c r="AV1257" s="25">
        <f>Inventory[[#This Row],[MainFn]]*Lookups!$B$86</f>
        <v>95111.689513225007</v>
      </c>
      <c r="AW1257" s="25">
        <f>Inventory[[#This Row],[UpprFn]]*Lookups!$B$87</f>
        <v>21631.842241863</v>
      </c>
      <c r="AX1257" s="25">
        <f>Inventory[[#This Row],[AddFn]]*Lookups!$B$88</f>
        <v>0</v>
      </c>
      <c r="AY1257" s="25">
        <f>Inventory[[#This Row],[Bsmt]]*Lookups!$B$89</f>
        <v>51591.282168177997</v>
      </c>
      <c r="AZ1257" s="25">
        <f>Inventory[[#This Row],[Fixtures]]*Lookups!$B$90</f>
        <v>30336.176841600001</v>
      </c>
      <c r="BA1257" s="25">
        <f>Inventory[[#This Row],[WdDeck]]*Lookups!$B$91</f>
        <v>0</v>
      </c>
      <c r="BB1257" s="25">
        <f>ROUND(Inventory[[#This Row],[25Det]],-2)</f>
        <v>14100</v>
      </c>
      <c r="BC1257" s="25">
        <f>ROUND(SUM(Inventory[[#This Row],[Mdl Qlty]:[Mdl WdDeck]])+Inventory[[#This Row],[Mdl Res Intercept]],-2)</f>
        <v>391700</v>
      </c>
      <c r="BD1257" s="25">
        <f>ROUND(Inventory[[#This Row],[Mdl Land Intercept]]+Inventory[[#This Row],[Mdl LnAcres]],-2)</f>
        <v>61600</v>
      </c>
      <c r="BE1257" s="25">
        <f>Inventory[[#This Row],[Unadj Res Value]]+Inventory[[#This Row],[Unadj Det Value]]+Inventory[[#This Row],[Unadj Land Value]]</f>
        <v>467400</v>
      </c>
      <c r="BF1257" s="36">
        <f>(Inventory[[#This Row],[Unadj Total Value]]-Inventory[[#This Row],[24Final]])/Inventory[[#This Row],[24Final]]</f>
        <v>8.0693641618497111E-2</v>
      </c>
      <c r="BG1257" s="25">
        <f>VLOOKUP(Inventory[[#This Row],[Nbhd]],Lookups!$Q$2:$T$4,4,FALSE)</f>
        <v>0.99970000000000003</v>
      </c>
      <c r="BH1257" s="25">
        <f>VLOOKUP(Inventory[[#This Row],[Qlty]],Lookups!$O$7:$R$21,4,FALSE)</f>
        <v>0.98050000000000004</v>
      </c>
      <c r="BI1257" s="25">
        <f>VLOOKUP(Inventory[[#This Row],[Cnd]],Lookups!$T$7:$W$16,4,FALSE)</f>
        <v>0.99729999999999996</v>
      </c>
      <c r="BJ1257" s="25">
        <f>VLOOKUP(Inventory[[#This Row],[LivArea Range]],Lookups!$T$25:$W$37,4,FALSE)</f>
        <v>0.98919999999999997</v>
      </c>
      <c r="BK1257" s="25">
        <f>VLOOKUP(Inventory[[#This Row],[Decade]],Lookups!$O$25:$R$42,4,FALSE)</f>
        <v>0.98909999999999998</v>
      </c>
      <c r="BL1257" s="25">
        <f>Inventory[[#This Row],[Nbhd Adj]]*0.95</f>
        <v>0.94971499999999998</v>
      </c>
      <c r="BM1257" s="25">
        <f>Inventory[[#This Row],[Nbhd Adj]]*Inventory[[#This Row],[Quality Adj]]*Inventory[[#This Row],[Condition Adj]]*Inventory[[#This Row],[Living Area Adj]]*Inventory[[#This Row],[Decade Adj]]*0.95</f>
        <v>0.9086382690108219</v>
      </c>
      <c r="BN1257" s="25">
        <f>ROUND(SUM(Inventory[[#This Row],[Mdl Qlty]:[Mdl WdDeck]])+Inventory[[#This Row],[Mdl Res Intercept]]*Inventory[[#This Row],[Res Adj ]],-2)</f>
        <v>391700</v>
      </c>
      <c r="BO1257" s="25">
        <f>ROUND(Inventory[[#This Row],[25Det]]*Inventory[[#This Row],[Det/Nbhd Adj]],-2)</f>
        <v>13400</v>
      </c>
      <c r="BP1257" s="25">
        <f>Inventory[[#This Row],[Adjusted Res]]+Inventory[[#This Row],[Adj Det ]]</f>
        <v>405100</v>
      </c>
      <c r="BQ1257" s="25">
        <f>ROUND((Inventory[[#This Row],[Mdl Land Intercept]]+Inventory[[#This Row],[Mdl LnAcres]])*Inventory[[#This Row],[Det/Nbhd Adj]],-2)</f>
        <v>58500</v>
      </c>
      <c r="BR1257" s="25">
        <f>Inventory[[#This Row],[Adjusted Impr Total]]+Inventory[[#This Row],[Adjusted Land Total]]</f>
        <v>463600</v>
      </c>
      <c r="BS1257" s="36">
        <f>IFERROR((Inventory[[#This Row],[Adjusted Impr Total]]-Inventory[[#This Row],[24Bldg]])/Inventory[[#This Row],[24Bldg]],0)</f>
        <v>0.16041248925809223</v>
      </c>
      <c r="BT1257" s="36">
        <f>(Inventory[[#This Row],[Adjusted Land Total]]-Inventory[[#This Row],[24Lnd]])/Inventory[[#This Row],[24Lnd]]</f>
        <v>-0.29856115107913667</v>
      </c>
      <c r="BU1257" s="36">
        <f>(Inventory[[#This Row],[Adjusted Total]]-Inventory[[#This Row],[24Final]])/Inventory[[#This Row],[24Final]]</f>
        <v>7.1907514450867058E-2</v>
      </c>
    </row>
    <row r="1258" spans="1:73" x14ac:dyDescent="0.3">
      <c r="A1258" s="25">
        <v>2025</v>
      </c>
      <c r="B1258" s="26" t="s">
        <v>1188</v>
      </c>
      <c r="C1258" s="26">
        <f>LN(Inventory[[#This Row],[Acres]])</f>
        <v>-1.5606477482646683</v>
      </c>
      <c r="D1258" s="25">
        <v>0.21</v>
      </c>
      <c r="E1258" s="31"/>
      <c r="F1258" s="26" t="s">
        <v>537</v>
      </c>
      <c r="G1258" s="26" t="s">
        <v>126</v>
      </c>
      <c r="H1258" s="26" t="s">
        <v>349</v>
      </c>
      <c r="I1258" s="26" t="s">
        <v>538</v>
      </c>
      <c r="J1258" s="26" t="s">
        <v>539</v>
      </c>
      <c r="K1258" s="26" t="s">
        <v>242</v>
      </c>
      <c r="L1258" s="26" t="s">
        <v>148</v>
      </c>
      <c r="M1258" s="26" t="s">
        <v>303</v>
      </c>
      <c r="N1258" s="26">
        <v>90</v>
      </c>
      <c r="O1258" s="26">
        <f>2024-Inventory[[#This Row],[YrBlt]]</f>
        <v>84</v>
      </c>
      <c r="P1258" s="26">
        <f>2024-Inventory[[#This Row],[EffYr]]</f>
        <v>52</v>
      </c>
      <c r="Q1258" s="25">
        <v>1940</v>
      </c>
      <c r="R1258" s="25">
        <v>1972</v>
      </c>
      <c r="S1258" s="25">
        <v>1358</v>
      </c>
      <c r="T1258" s="31"/>
      <c r="U1258" s="32">
        <v>972</v>
      </c>
      <c r="V1258" s="32">
        <f>Inventory[[#This Row],[Bsmt]]-Inventory[[#This Row],[FnBsmt]]</f>
        <v>0</v>
      </c>
      <c r="W1258" s="32">
        <v>972</v>
      </c>
      <c r="X1258" s="27"/>
      <c r="Y1258" s="27">
        <f>Inventory[[#This Row],[MainFn]]+Inventory[[#This Row],[UpprFn]]+Inventory[[#This Row],[FnBsmt]]+Inventory[[#This Row],[AddFn]]</f>
        <v>2330</v>
      </c>
      <c r="Z1258" s="27">
        <v>2500</v>
      </c>
      <c r="AA1258" s="25">
        <v>13</v>
      </c>
      <c r="AB1258" s="27"/>
      <c r="AC1258" s="31"/>
      <c r="AD1258" s="32">
        <v>512</v>
      </c>
      <c r="AE1258" s="27"/>
      <c r="AF1258" s="27"/>
      <c r="AG1258" s="27"/>
      <c r="AH1258" s="27"/>
      <c r="AI1258" s="25">
        <v>441999</v>
      </c>
      <c r="AJ1258" s="25">
        <v>309399</v>
      </c>
      <c r="AK1258" s="25">
        <v>39169</v>
      </c>
      <c r="AL1258" s="25">
        <v>436400</v>
      </c>
      <c r="AM1258" s="25">
        <v>60100</v>
      </c>
      <c r="AN1258" s="25">
        <v>376300</v>
      </c>
      <c r="AO1258" s="25">
        <v>0</v>
      </c>
      <c r="AP1258" s="25">
        <f>Lookups!$B$56*0</f>
        <v>0</v>
      </c>
      <c r="AQ1258" s="25">
        <f>Lookups!$B$56*1</f>
        <v>89850.625589999996</v>
      </c>
      <c r="AR1258" s="25">
        <f>Lookups!$B$57*Inventory[[#This Row],[LnAcres]]</f>
        <v>-49401.70477837498</v>
      </c>
      <c r="AS1258" s="25">
        <f>VLOOKUP(Inventory[[#This Row],[Qlty]],Lookups!$A$62:$E$75,2,FALSE)</f>
        <v>44121.038090000002</v>
      </c>
      <c r="AT1258" s="25">
        <f>VLOOKUP(Inventory[[#This Row],[Cnd]],Lookups!$A$76:$E$84,2,FALSE)</f>
        <v>197752.34721000001</v>
      </c>
      <c r="AU1258" s="25">
        <f>Inventory[[#This Row],[EffAge]]*Lookups!$B$85</f>
        <v>-11598.371226000001</v>
      </c>
      <c r="AV1258" s="25">
        <f>Inventory[[#This Row],[MainFn]]*Lookups!$B$86</f>
        <v>67096.973692965999</v>
      </c>
      <c r="AW1258" s="25">
        <f>Inventory[[#This Row],[UpprFn]]*Lookups!$B$87</f>
        <v>0</v>
      </c>
      <c r="AX1258" s="25">
        <f>Inventory[[#This Row],[AddFn]]*Lookups!$B$88</f>
        <v>0</v>
      </c>
      <c r="AY1258" s="25">
        <f>Inventory[[#This Row],[Bsmt]]*Lookups!$B$89</f>
        <v>28267.602180083999</v>
      </c>
      <c r="AZ1258" s="25">
        <f>Inventory[[#This Row],[Fixtures]]*Lookups!$B$90</f>
        <v>49296.287367600002</v>
      </c>
      <c r="BA1258" s="25">
        <f>Inventory[[#This Row],[WdDeck]]*Lookups!$B$91</f>
        <v>17047.303821312002</v>
      </c>
      <c r="BB1258" s="25">
        <f>ROUND(Inventory[[#This Row],[25Det]],-2)</f>
        <v>39200</v>
      </c>
      <c r="BC1258" s="25">
        <f>ROUND(SUM(Inventory[[#This Row],[Mdl Qlty]:[Mdl WdDeck]])+Inventory[[#This Row],[Mdl Res Intercept]],-2)</f>
        <v>392000</v>
      </c>
      <c r="BD1258" s="25">
        <f>ROUND(Inventory[[#This Row],[Mdl Land Intercept]]+Inventory[[#This Row],[Mdl LnAcres]],-2)</f>
        <v>40400</v>
      </c>
      <c r="BE1258" s="25">
        <f>Inventory[[#This Row],[Unadj Res Value]]+Inventory[[#This Row],[Unadj Det Value]]+Inventory[[#This Row],[Unadj Land Value]]</f>
        <v>471600</v>
      </c>
      <c r="BF1258" s="36">
        <f>(Inventory[[#This Row],[Unadj Total Value]]-Inventory[[#This Row],[24Final]])/Inventory[[#This Row],[24Final]]</f>
        <v>8.0659945004582956E-2</v>
      </c>
      <c r="BG1258" s="25">
        <f>VLOOKUP(Inventory[[#This Row],[Nbhd]],Lookups!$Q$2:$T$4,4,FALSE)</f>
        <v>0.99970000000000003</v>
      </c>
      <c r="BH1258" s="25">
        <f>VLOOKUP(Inventory[[#This Row],[Qlty]],Lookups!$O$7:$R$21,4,FALSE)</f>
        <v>0.98050000000000004</v>
      </c>
      <c r="BI1258" s="25">
        <f>VLOOKUP(Inventory[[#This Row],[Cnd]],Lookups!$T$7:$W$16,4,FALSE)</f>
        <v>0.99650000000000005</v>
      </c>
      <c r="BJ1258" s="25">
        <f>VLOOKUP(Inventory[[#This Row],[LivArea Range]],Lookups!$T$25:$W$37,4,FALSE)</f>
        <v>0.98919999999999997</v>
      </c>
      <c r="BK1258" s="25">
        <f>VLOOKUP(Inventory[[#This Row],[Decade]],Lookups!$O$25:$R$42,4,FALSE)</f>
        <v>0.98909999999999998</v>
      </c>
      <c r="BL1258" s="25">
        <f>Inventory[[#This Row],[Nbhd Adj]]*0.95</f>
        <v>0.94971499999999998</v>
      </c>
      <c r="BM1258" s="25">
        <f>Inventory[[#This Row],[Nbhd Adj]]*Inventory[[#This Row],[Quality Adj]]*Inventory[[#This Row],[Condition Adj]]*Inventory[[#This Row],[Living Area Adj]]*Inventory[[#This Row],[Decade Adj]]*0.95</f>
        <v>0.90790939042342744</v>
      </c>
      <c r="BN1258" s="25">
        <f>ROUND(SUM(Inventory[[#This Row],[Mdl Qlty]:[Mdl WdDeck]])+Inventory[[#This Row],[Mdl Res Intercept]]*Inventory[[#This Row],[Res Adj ]],-2)</f>
        <v>392000</v>
      </c>
      <c r="BO1258" s="25">
        <f>ROUND(Inventory[[#This Row],[25Det]]*Inventory[[#This Row],[Det/Nbhd Adj]],-2)</f>
        <v>37200</v>
      </c>
      <c r="BP1258" s="25">
        <f>Inventory[[#This Row],[Adjusted Res]]+Inventory[[#This Row],[Adj Det ]]</f>
        <v>429200</v>
      </c>
      <c r="BQ1258" s="25">
        <f>ROUND((Inventory[[#This Row],[Mdl Land Intercept]]+Inventory[[#This Row],[Mdl LnAcres]])*Inventory[[#This Row],[Det/Nbhd Adj]],-2)</f>
        <v>38400</v>
      </c>
      <c r="BR1258" s="25">
        <f>Inventory[[#This Row],[Adjusted Impr Total]]+Inventory[[#This Row],[Adjusted Land Total]]</f>
        <v>467600</v>
      </c>
      <c r="BS1258" s="36">
        <f>IFERROR((Inventory[[#This Row],[Adjusted Impr Total]]-Inventory[[#This Row],[24Bldg]])/Inventory[[#This Row],[24Bldg]],0)</f>
        <v>0.14057932500664364</v>
      </c>
      <c r="BT1258" s="36">
        <f>(Inventory[[#This Row],[Adjusted Land Total]]-Inventory[[#This Row],[24Lnd]])/Inventory[[#This Row],[24Lnd]]</f>
        <v>-0.36106489184692181</v>
      </c>
      <c r="BU1258" s="36">
        <f>(Inventory[[#This Row],[Adjusted Total]]-Inventory[[#This Row],[24Final]])/Inventory[[#This Row],[24Final]]</f>
        <v>7.1494042163153068E-2</v>
      </c>
    </row>
    <row r="1259" spans="1:73" x14ac:dyDescent="0.3">
      <c r="A1259" s="25">
        <v>2025</v>
      </c>
      <c r="B1259" s="26" t="s">
        <v>2364</v>
      </c>
      <c r="C1259" s="26">
        <f>LN(Inventory[[#This Row],[Acres]])</f>
        <v>-0.94160853985844495</v>
      </c>
      <c r="D1259" s="25">
        <v>0.39</v>
      </c>
      <c r="E1259" s="25">
        <v>15302</v>
      </c>
      <c r="F1259" s="26" t="s">
        <v>537</v>
      </c>
      <c r="G1259" s="26" t="s">
        <v>126</v>
      </c>
      <c r="H1259" s="26" t="s">
        <v>349</v>
      </c>
      <c r="I1259" s="26" t="s">
        <v>538</v>
      </c>
      <c r="J1259" s="26" t="s">
        <v>539</v>
      </c>
      <c r="K1259" s="26" t="s">
        <v>242</v>
      </c>
      <c r="L1259" s="26" t="s">
        <v>302</v>
      </c>
      <c r="M1259" s="26" t="s">
        <v>303</v>
      </c>
      <c r="N1259" s="26">
        <v>90</v>
      </c>
      <c r="O1259" s="26">
        <f>2024-Inventory[[#This Row],[YrBlt]]</f>
        <v>84</v>
      </c>
      <c r="P1259" s="26">
        <f>2024-Inventory[[#This Row],[EffYr]]</f>
        <v>42</v>
      </c>
      <c r="Q1259" s="25">
        <v>1940</v>
      </c>
      <c r="R1259" s="25">
        <v>1982</v>
      </c>
      <c r="S1259" s="25">
        <v>1094</v>
      </c>
      <c r="T1259" s="31"/>
      <c r="U1259" s="32">
        <v>548</v>
      </c>
      <c r="V1259" s="32">
        <f>Inventory[[#This Row],[Bsmt]]-Inventory[[#This Row],[FnBsmt]]</f>
        <v>0</v>
      </c>
      <c r="W1259" s="32">
        <v>548</v>
      </c>
      <c r="X1259" s="27"/>
      <c r="Y1259" s="27">
        <f>Inventory[[#This Row],[MainFn]]+Inventory[[#This Row],[UpprFn]]+Inventory[[#This Row],[FnBsmt]]+Inventory[[#This Row],[AddFn]]</f>
        <v>1642</v>
      </c>
      <c r="Z1259" s="27">
        <v>2000</v>
      </c>
      <c r="AA1259" s="25">
        <v>5</v>
      </c>
      <c r="AB1259" s="27"/>
      <c r="AC1259" s="31"/>
      <c r="AD1259" s="32">
        <v>96</v>
      </c>
      <c r="AE1259" s="27"/>
      <c r="AF1259" s="27"/>
      <c r="AG1259" s="27"/>
      <c r="AH1259" s="27"/>
      <c r="AI1259" s="25">
        <v>290893</v>
      </c>
      <c r="AJ1259" s="25">
        <v>232714</v>
      </c>
      <c r="AK1259" s="25">
        <v>11430</v>
      </c>
      <c r="AL1259" s="25">
        <v>353100</v>
      </c>
      <c r="AM1259" s="25">
        <v>81700</v>
      </c>
      <c r="AN1259" s="25">
        <v>271400</v>
      </c>
      <c r="AO1259" s="25">
        <v>0</v>
      </c>
      <c r="AP1259" s="25">
        <f>Lookups!$B$56*0</f>
        <v>0</v>
      </c>
      <c r="AQ1259" s="25">
        <f>Lookups!$B$56*1</f>
        <v>89850.625589999996</v>
      </c>
      <c r="AR1259" s="25">
        <f>Lookups!$B$57*Inventory[[#This Row],[LnAcres]]</f>
        <v>-29806.256507663158</v>
      </c>
      <c r="AS1259" s="25">
        <f>VLOOKUP(Inventory[[#This Row],[Qlty]],Lookups!$A$62:$E$75,2,FALSE)</f>
        <v>29814.093161000001</v>
      </c>
      <c r="AT1259" s="25">
        <f>VLOOKUP(Inventory[[#This Row],[Cnd]],Lookups!$A$76:$E$84,2,FALSE)</f>
        <v>197752.34721000001</v>
      </c>
      <c r="AU1259" s="25">
        <f>Inventory[[#This Row],[EffAge]]*Lookups!$B$85</f>
        <v>-9367.9152210000011</v>
      </c>
      <c r="AV1259" s="25">
        <f>Inventory[[#This Row],[MainFn]]*Lookups!$B$86</f>
        <v>54053.084845438003</v>
      </c>
      <c r="AW1259" s="25">
        <f>Inventory[[#This Row],[UpprFn]]*Lookups!$B$87</f>
        <v>0</v>
      </c>
      <c r="AX1259" s="25">
        <f>Inventory[[#This Row],[AddFn]]*Lookups!$B$88</f>
        <v>0</v>
      </c>
      <c r="AY1259" s="25">
        <f>Inventory[[#This Row],[Bsmt]]*Lookups!$B$89</f>
        <v>15936.878595356</v>
      </c>
      <c r="AZ1259" s="25">
        <f>Inventory[[#This Row],[Fixtures]]*Lookups!$B$90</f>
        <v>18960.110526</v>
      </c>
      <c r="BA1259" s="25">
        <f>Inventory[[#This Row],[WdDeck]]*Lookups!$B$91</f>
        <v>3196.3694664960003</v>
      </c>
      <c r="BB1259" s="25">
        <f>ROUND(Inventory[[#This Row],[25Det]],-2)</f>
        <v>11400</v>
      </c>
      <c r="BC1259" s="25">
        <f>ROUND(SUM(Inventory[[#This Row],[Mdl Qlty]:[Mdl WdDeck]])+Inventory[[#This Row],[Mdl Res Intercept]],-2)</f>
        <v>310300</v>
      </c>
      <c r="BD1259" s="25">
        <f>ROUND(Inventory[[#This Row],[Mdl Land Intercept]]+Inventory[[#This Row],[Mdl LnAcres]],-2)</f>
        <v>60000</v>
      </c>
      <c r="BE1259" s="25">
        <f>Inventory[[#This Row],[Unadj Res Value]]+Inventory[[#This Row],[Unadj Det Value]]+Inventory[[#This Row],[Unadj Land Value]]</f>
        <v>381700</v>
      </c>
      <c r="BF1259" s="36">
        <f>(Inventory[[#This Row],[Unadj Total Value]]-Inventory[[#This Row],[24Final]])/Inventory[[#This Row],[24Final]]</f>
        <v>8.0996884735202487E-2</v>
      </c>
      <c r="BG1259" s="25">
        <f>VLOOKUP(Inventory[[#This Row],[Nbhd]],Lookups!$Q$2:$T$4,4,FALSE)</f>
        <v>0.99970000000000003</v>
      </c>
      <c r="BH1259" s="25">
        <f>VLOOKUP(Inventory[[#This Row],[Qlty]],Lookups!$O$7:$R$21,4,FALSE)</f>
        <v>1.0088999999999999</v>
      </c>
      <c r="BI1259" s="25">
        <f>VLOOKUP(Inventory[[#This Row],[Cnd]],Lookups!$T$7:$W$16,4,FALSE)</f>
        <v>0.99650000000000005</v>
      </c>
      <c r="BJ1259" s="25">
        <f>VLOOKUP(Inventory[[#This Row],[LivArea Range]],Lookups!$T$25:$W$37,4,FALSE)</f>
        <v>1.0093000000000001</v>
      </c>
      <c r="BK1259" s="25">
        <f>VLOOKUP(Inventory[[#This Row],[Decade]],Lookups!$O$25:$R$42,4,FALSE)</f>
        <v>0.98909999999999998</v>
      </c>
      <c r="BL1259" s="25">
        <f>Inventory[[#This Row],[Nbhd Adj]]*0.95</f>
        <v>0.94971499999999998</v>
      </c>
      <c r="BM1259" s="25">
        <f>Inventory[[#This Row],[Nbhd Adj]]*Inventory[[#This Row],[Quality Adj]]*Inventory[[#This Row],[Condition Adj]]*Inventory[[#This Row],[Living Area Adj]]*Inventory[[#This Row],[Decade Adj]]*0.95</f>
        <v>0.95318938569119571</v>
      </c>
      <c r="BN1259" s="25">
        <f>ROUND(SUM(Inventory[[#This Row],[Mdl Qlty]:[Mdl WdDeck]])+Inventory[[#This Row],[Mdl Res Intercept]]*Inventory[[#This Row],[Res Adj ]],-2)</f>
        <v>310300</v>
      </c>
      <c r="BO1259" s="25">
        <f>ROUND(Inventory[[#This Row],[25Det]]*Inventory[[#This Row],[Det/Nbhd Adj]],-2)</f>
        <v>10900</v>
      </c>
      <c r="BP1259" s="25">
        <f>Inventory[[#This Row],[Adjusted Res]]+Inventory[[#This Row],[Adj Det ]]</f>
        <v>321200</v>
      </c>
      <c r="BQ1259" s="25">
        <f>ROUND((Inventory[[#This Row],[Mdl Land Intercept]]+Inventory[[#This Row],[Mdl LnAcres]])*Inventory[[#This Row],[Det/Nbhd Adj]],-2)</f>
        <v>57000</v>
      </c>
      <c r="BR1259" s="25">
        <f>Inventory[[#This Row],[Adjusted Impr Total]]+Inventory[[#This Row],[Adjusted Land Total]]</f>
        <v>378200</v>
      </c>
      <c r="BS1259" s="36">
        <f>IFERROR((Inventory[[#This Row],[Adjusted Impr Total]]-Inventory[[#This Row],[24Bldg]])/Inventory[[#This Row],[24Bldg]],0)</f>
        <v>0.18349299926308033</v>
      </c>
      <c r="BT1259" s="36">
        <f>(Inventory[[#This Row],[Adjusted Land Total]]-Inventory[[#This Row],[24Lnd]])/Inventory[[#This Row],[24Lnd]]</f>
        <v>-0.30232558139534882</v>
      </c>
      <c r="BU1259" s="36">
        <f>(Inventory[[#This Row],[Adjusted Total]]-Inventory[[#This Row],[24Final]])/Inventory[[#This Row],[24Final]]</f>
        <v>7.1084678561314077E-2</v>
      </c>
    </row>
    <row r="1260" spans="1:73" x14ac:dyDescent="0.3">
      <c r="A1260" s="25">
        <v>2025</v>
      </c>
      <c r="B1260" s="26" t="s">
        <v>866</v>
      </c>
      <c r="C1260" s="26">
        <f>LN(Inventory[[#This Row],[Acres]])</f>
        <v>-1.6607312068216509</v>
      </c>
      <c r="D1260" s="25">
        <v>0.19</v>
      </c>
      <c r="E1260" s="25">
        <v>8486</v>
      </c>
      <c r="F1260" s="26" t="s">
        <v>537</v>
      </c>
      <c r="G1260" s="26" t="s">
        <v>126</v>
      </c>
      <c r="H1260" s="26" t="s">
        <v>349</v>
      </c>
      <c r="I1260" s="26" t="s">
        <v>538</v>
      </c>
      <c r="J1260" s="26" t="s">
        <v>539</v>
      </c>
      <c r="K1260" s="26" t="s">
        <v>173</v>
      </c>
      <c r="L1260" s="26" t="s">
        <v>302</v>
      </c>
      <c r="M1260" s="26" t="s">
        <v>303</v>
      </c>
      <c r="N1260" s="26">
        <v>90</v>
      </c>
      <c r="O1260" s="26">
        <f>2024-Inventory[[#This Row],[YrBlt]]</f>
        <v>84</v>
      </c>
      <c r="P1260" s="26">
        <f>2024-Inventory[[#This Row],[EffYr]]</f>
        <v>52</v>
      </c>
      <c r="Q1260" s="25">
        <v>1940</v>
      </c>
      <c r="R1260" s="25">
        <v>1972</v>
      </c>
      <c r="S1260" s="25">
        <v>1326</v>
      </c>
      <c r="T1260" s="25">
        <v>692</v>
      </c>
      <c r="U1260" s="31"/>
      <c r="V1260" s="27">
        <f>Inventory[[#This Row],[Bsmt]]-Inventory[[#This Row],[FnBsmt]]</f>
        <v>0</v>
      </c>
      <c r="W1260" s="27"/>
      <c r="X1260" s="27"/>
      <c r="Y1260" s="27">
        <f>Inventory[[#This Row],[MainFn]]+Inventory[[#This Row],[UpprFn]]+Inventory[[#This Row],[FnBsmt]]+Inventory[[#This Row],[AddFn]]</f>
        <v>2018</v>
      </c>
      <c r="Z1260" s="27">
        <v>2500</v>
      </c>
      <c r="AA1260" s="25">
        <v>11</v>
      </c>
      <c r="AB1260" s="27"/>
      <c r="AC1260" s="27"/>
      <c r="AD1260" s="27"/>
      <c r="AE1260" s="27"/>
      <c r="AF1260" s="27"/>
      <c r="AG1260" s="27"/>
      <c r="AH1260" s="27"/>
      <c r="AI1260" s="25">
        <v>347632</v>
      </c>
      <c r="AJ1260" s="25">
        <v>243342</v>
      </c>
      <c r="AK1260" s="25">
        <v>1799</v>
      </c>
      <c r="AL1260" s="25">
        <v>365400</v>
      </c>
      <c r="AM1260" s="25">
        <v>56600</v>
      </c>
      <c r="AN1260" s="25">
        <v>308800</v>
      </c>
      <c r="AO1260" s="25">
        <v>0</v>
      </c>
      <c r="AP1260" s="25">
        <f>Lookups!$B$56*0</f>
        <v>0</v>
      </c>
      <c r="AQ1260" s="25">
        <f>Lookups!$B$56*1</f>
        <v>89850.625589999996</v>
      </c>
      <c r="AR1260" s="25">
        <f>Lookups!$B$57*Inventory[[#This Row],[LnAcres]]</f>
        <v>-52569.808201026557</v>
      </c>
      <c r="AS1260" s="25">
        <f>VLOOKUP(Inventory[[#This Row],[Qlty]],Lookups!$A$62:$E$75,2,FALSE)</f>
        <v>29814.093161000001</v>
      </c>
      <c r="AT1260" s="25">
        <f>VLOOKUP(Inventory[[#This Row],[Cnd]],Lookups!$A$76:$E$84,2,FALSE)</f>
        <v>197752.34721000001</v>
      </c>
      <c r="AU1260" s="25">
        <f>Inventory[[#This Row],[EffAge]]*Lookups!$B$85</f>
        <v>-11598.371226000001</v>
      </c>
      <c r="AV1260" s="25">
        <f>Inventory[[#This Row],[MainFn]]*Lookups!$B$86</f>
        <v>65515.896256902</v>
      </c>
      <c r="AW1260" s="25">
        <f>Inventory[[#This Row],[UpprFn]]*Lookups!$B$87</f>
        <v>30992.204619812001</v>
      </c>
      <c r="AX1260" s="25">
        <f>Inventory[[#This Row],[AddFn]]*Lookups!$B$88</f>
        <v>0</v>
      </c>
      <c r="AY1260" s="25">
        <f>Inventory[[#This Row],[Bsmt]]*Lookups!$B$89</f>
        <v>0</v>
      </c>
      <c r="AZ1260" s="25">
        <f>Inventory[[#This Row],[Fixtures]]*Lookups!$B$90</f>
        <v>41712.243157199999</v>
      </c>
      <c r="BA1260" s="25">
        <f>Inventory[[#This Row],[WdDeck]]*Lookups!$B$91</f>
        <v>0</v>
      </c>
      <c r="BB1260" s="25">
        <f>ROUND(Inventory[[#This Row],[25Det]],-2)</f>
        <v>1800</v>
      </c>
      <c r="BC1260" s="25">
        <f>ROUND(SUM(Inventory[[#This Row],[Mdl Qlty]:[Mdl WdDeck]])+Inventory[[#This Row],[Mdl Res Intercept]],-2)</f>
        <v>354200</v>
      </c>
      <c r="BD1260" s="25">
        <f>ROUND(Inventory[[#This Row],[Mdl Land Intercept]]+Inventory[[#This Row],[Mdl LnAcres]],-2)</f>
        <v>37300</v>
      </c>
      <c r="BE1260" s="25">
        <f>Inventory[[#This Row],[Unadj Res Value]]+Inventory[[#This Row],[Unadj Det Value]]+Inventory[[#This Row],[Unadj Land Value]]</f>
        <v>393300</v>
      </c>
      <c r="BF1260" s="36">
        <f>(Inventory[[#This Row],[Unadj Total Value]]-Inventory[[#This Row],[24Final]])/Inventory[[#This Row],[24Final]]</f>
        <v>7.6354679802955669E-2</v>
      </c>
      <c r="BG1260" s="25">
        <f>VLOOKUP(Inventory[[#This Row],[Nbhd]],Lookups!$Q$2:$T$4,4,FALSE)</f>
        <v>0.99970000000000003</v>
      </c>
      <c r="BH1260" s="25">
        <f>VLOOKUP(Inventory[[#This Row],[Qlty]],Lookups!$O$7:$R$21,4,FALSE)</f>
        <v>1.0088999999999999</v>
      </c>
      <c r="BI1260" s="25">
        <f>VLOOKUP(Inventory[[#This Row],[Cnd]],Lookups!$T$7:$W$16,4,FALSE)</f>
        <v>0.99650000000000005</v>
      </c>
      <c r="BJ1260" s="25">
        <f>VLOOKUP(Inventory[[#This Row],[LivArea Range]],Lookups!$T$25:$W$37,4,FALSE)</f>
        <v>0.98919999999999997</v>
      </c>
      <c r="BK1260" s="25">
        <f>VLOOKUP(Inventory[[#This Row],[Decade]],Lookups!$O$25:$R$42,4,FALSE)</f>
        <v>0.98909999999999998</v>
      </c>
      <c r="BL1260" s="25">
        <f>Inventory[[#This Row],[Nbhd Adj]]*0.95</f>
        <v>0.94971499999999998</v>
      </c>
      <c r="BM1260" s="25">
        <f>Inventory[[#This Row],[Nbhd Adj]]*Inventory[[#This Row],[Quality Adj]]*Inventory[[#This Row],[Condition Adj]]*Inventory[[#This Row],[Living Area Adj]]*Inventory[[#This Row],[Decade Adj]]*0.95</f>
        <v>0.93420681692829766</v>
      </c>
      <c r="BN1260" s="25">
        <f>ROUND(SUM(Inventory[[#This Row],[Mdl Qlty]:[Mdl WdDeck]])+Inventory[[#This Row],[Mdl Res Intercept]]*Inventory[[#This Row],[Res Adj ]],-2)</f>
        <v>354200</v>
      </c>
      <c r="BO1260" s="25">
        <f>ROUND(Inventory[[#This Row],[25Det]]*Inventory[[#This Row],[Det/Nbhd Adj]],-2)</f>
        <v>1700</v>
      </c>
      <c r="BP1260" s="25">
        <f>Inventory[[#This Row],[Adjusted Res]]+Inventory[[#This Row],[Adj Det ]]</f>
        <v>355900</v>
      </c>
      <c r="BQ1260" s="25">
        <f>ROUND((Inventory[[#This Row],[Mdl Land Intercept]]+Inventory[[#This Row],[Mdl LnAcres]])*Inventory[[#This Row],[Det/Nbhd Adj]],-2)</f>
        <v>35400</v>
      </c>
      <c r="BR1260" s="25">
        <f>Inventory[[#This Row],[Adjusted Impr Total]]+Inventory[[#This Row],[Adjusted Land Total]]</f>
        <v>391300</v>
      </c>
      <c r="BS1260" s="36">
        <f>IFERROR((Inventory[[#This Row],[Adjusted Impr Total]]-Inventory[[#This Row],[24Bldg]])/Inventory[[#This Row],[24Bldg]],0)</f>
        <v>0.15252590673575128</v>
      </c>
      <c r="BT1260" s="36">
        <f>(Inventory[[#This Row],[Adjusted Land Total]]-Inventory[[#This Row],[24Lnd]])/Inventory[[#This Row],[24Lnd]]</f>
        <v>-0.37455830388692579</v>
      </c>
      <c r="BU1260" s="36">
        <f>(Inventory[[#This Row],[Adjusted Total]]-Inventory[[#This Row],[24Final]])/Inventory[[#This Row],[24Final]]</f>
        <v>7.0881226053639848E-2</v>
      </c>
    </row>
    <row r="1261" spans="1:73" x14ac:dyDescent="0.3">
      <c r="A1261" s="25">
        <v>2025</v>
      </c>
      <c r="B1261" s="26" t="s">
        <v>1391</v>
      </c>
      <c r="C1261" s="26">
        <f>LN(Inventory[[#This Row],[Acres]])</f>
        <v>-2.120263536200091</v>
      </c>
      <c r="D1261" s="25">
        <v>0.12</v>
      </c>
      <c r="E1261" s="25">
        <v>5377</v>
      </c>
      <c r="F1261" s="26" t="s">
        <v>537</v>
      </c>
      <c r="G1261" s="26" t="s">
        <v>126</v>
      </c>
      <c r="H1261" s="26" t="s">
        <v>349</v>
      </c>
      <c r="I1261" s="26" t="s">
        <v>538</v>
      </c>
      <c r="J1261" s="26" t="s">
        <v>539</v>
      </c>
      <c r="K1261" s="26" t="s">
        <v>269</v>
      </c>
      <c r="L1261" s="26" t="s">
        <v>148</v>
      </c>
      <c r="M1261" s="26" t="s">
        <v>303</v>
      </c>
      <c r="N1261" s="26">
        <v>90</v>
      </c>
      <c r="O1261" s="26">
        <f>2024-Inventory[[#This Row],[YrBlt]]</f>
        <v>84</v>
      </c>
      <c r="P1261" s="26">
        <f>2024-Inventory[[#This Row],[EffYr]]</f>
        <v>52</v>
      </c>
      <c r="Q1261" s="25">
        <v>1940</v>
      </c>
      <c r="R1261" s="25">
        <v>1972</v>
      </c>
      <c r="S1261" s="25">
        <v>1246</v>
      </c>
      <c r="T1261" s="31"/>
      <c r="U1261" s="25">
        <v>1246</v>
      </c>
      <c r="V1261" s="25">
        <f>Inventory[[#This Row],[Bsmt]]-Inventory[[#This Row],[FnBsmt]]</f>
        <v>0</v>
      </c>
      <c r="W1261" s="25">
        <v>1246</v>
      </c>
      <c r="X1261" s="27"/>
      <c r="Y1261" s="27">
        <f>Inventory[[#This Row],[MainFn]]+Inventory[[#This Row],[UpprFn]]+Inventory[[#This Row],[FnBsmt]]+Inventory[[#This Row],[AddFn]]</f>
        <v>2492</v>
      </c>
      <c r="Z1261" s="27">
        <v>2500</v>
      </c>
      <c r="AA1261" s="25">
        <v>8</v>
      </c>
      <c r="AB1261" s="27"/>
      <c r="AC1261" s="27"/>
      <c r="AD1261" s="32">
        <v>180</v>
      </c>
      <c r="AE1261" s="27"/>
      <c r="AF1261" s="27"/>
      <c r="AG1261" s="27"/>
      <c r="AH1261" s="27"/>
      <c r="AI1261" s="25">
        <v>437147</v>
      </c>
      <c r="AJ1261" s="25">
        <v>306003</v>
      </c>
      <c r="AK1261" s="25">
        <v>7465</v>
      </c>
      <c r="AL1261" s="25">
        <v>367300</v>
      </c>
      <c r="AM1261" s="25">
        <v>40600</v>
      </c>
      <c r="AN1261" s="25">
        <v>326700</v>
      </c>
      <c r="AO1261" s="25">
        <v>0</v>
      </c>
      <c r="AP1261" s="25">
        <f>Lookups!$B$56*0</f>
        <v>0</v>
      </c>
      <c r="AQ1261" s="25">
        <f>Lookups!$B$56*1</f>
        <v>89850.625589999996</v>
      </c>
      <c r="AR1261" s="25">
        <f>Lookups!$B$57*Inventory[[#This Row],[LnAcres]]</f>
        <v>-67116.12750806773</v>
      </c>
      <c r="AS1261" s="25">
        <f>VLOOKUP(Inventory[[#This Row],[Qlty]],Lookups!$A$62:$E$75,2,FALSE)</f>
        <v>44121.038090000002</v>
      </c>
      <c r="AT1261" s="25">
        <f>VLOOKUP(Inventory[[#This Row],[Cnd]],Lookups!$A$76:$E$84,2,FALSE)</f>
        <v>197752.34721000001</v>
      </c>
      <c r="AU1261" s="25">
        <f>Inventory[[#This Row],[EffAge]]*Lookups!$B$85</f>
        <v>-11598.371226000001</v>
      </c>
      <c r="AV1261" s="25">
        <f>Inventory[[#This Row],[MainFn]]*Lookups!$B$86</f>
        <v>61563.202666742</v>
      </c>
      <c r="AW1261" s="25">
        <f>Inventory[[#This Row],[UpprFn]]*Lookups!$B$87</f>
        <v>0</v>
      </c>
      <c r="AX1261" s="25">
        <f>Inventory[[#This Row],[AddFn]]*Lookups!$B$88</f>
        <v>0</v>
      </c>
      <c r="AY1261" s="25">
        <f>Inventory[[#This Row],[Bsmt]]*Lookups!$B$89</f>
        <v>36236.041477761995</v>
      </c>
      <c r="AZ1261" s="25">
        <f>Inventory[[#This Row],[Fixtures]]*Lookups!$B$90</f>
        <v>30336.176841600001</v>
      </c>
      <c r="BA1261" s="25">
        <f>Inventory[[#This Row],[WdDeck]]*Lookups!$B$91</f>
        <v>5993.1927496800008</v>
      </c>
      <c r="BB1261" s="25">
        <f>ROUND(Inventory[[#This Row],[25Det]],-2)</f>
        <v>7500</v>
      </c>
      <c r="BC1261" s="25">
        <f>ROUND(SUM(Inventory[[#This Row],[Mdl Qlty]:[Mdl WdDeck]])+Inventory[[#This Row],[Mdl Res Intercept]],-2)</f>
        <v>364400</v>
      </c>
      <c r="BD1261" s="25">
        <f>ROUND(Inventory[[#This Row],[Mdl Land Intercept]]+Inventory[[#This Row],[Mdl LnAcres]],-2)</f>
        <v>22700</v>
      </c>
      <c r="BE1261" s="25">
        <f>Inventory[[#This Row],[Unadj Res Value]]+Inventory[[#This Row],[Unadj Det Value]]+Inventory[[#This Row],[Unadj Land Value]]</f>
        <v>394600</v>
      </c>
      <c r="BF1261" s="36">
        <f>(Inventory[[#This Row],[Unadj Total Value]]-Inventory[[#This Row],[24Final]])/Inventory[[#This Row],[24Final]]</f>
        <v>7.432616389872039E-2</v>
      </c>
      <c r="BG1261" s="25">
        <f>VLOOKUP(Inventory[[#This Row],[Nbhd]],Lookups!$Q$2:$T$4,4,FALSE)</f>
        <v>0.99970000000000003</v>
      </c>
      <c r="BH1261" s="25">
        <f>VLOOKUP(Inventory[[#This Row],[Qlty]],Lookups!$O$7:$R$21,4,FALSE)</f>
        <v>0.98050000000000004</v>
      </c>
      <c r="BI1261" s="25">
        <f>VLOOKUP(Inventory[[#This Row],[Cnd]],Lookups!$T$7:$W$16,4,FALSE)</f>
        <v>0.99650000000000005</v>
      </c>
      <c r="BJ1261" s="25">
        <f>VLOOKUP(Inventory[[#This Row],[LivArea Range]],Lookups!$T$25:$W$37,4,FALSE)</f>
        <v>0.98919999999999997</v>
      </c>
      <c r="BK1261" s="25">
        <f>VLOOKUP(Inventory[[#This Row],[Decade]],Lookups!$O$25:$R$42,4,FALSE)</f>
        <v>0.98909999999999998</v>
      </c>
      <c r="BL1261" s="25">
        <f>Inventory[[#This Row],[Nbhd Adj]]*0.95</f>
        <v>0.94971499999999998</v>
      </c>
      <c r="BM1261" s="25">
        <f>Inventory[[#This Row],[Nbhd Adj]]*Inventory[[#This Row],[Quality Adj]]*Inventory[[#This Row],[Condition Adj]]*Inventory[[#This Row],[Living Area Adj]]*Inventory[[#This Row],[Decade Adj]]*0.95</f>
        <v>0.90790939042342744</v>
      </c>
      <c r="BN1261" s="25">
        <f>ROUND(SUM(Inventory[[#This Row],[Mdl Qlty]:[Mdl WdDeck]])+Inventory[[#This Row],[Mdl Res Intercept]]*Inventory[[#This Row],[Res Adj ]],-2)</f>
        <v>364400</v>
      </c>
      <c r="BO1261" s="25">
        <f>ROUND(Inventory[[#This Row],[25Det]]*Inventory[[#This Row],[Det/Nbhd Adj]],-2)</f>
        <v>7100</v>
      </c>
      <c r="BP1261" s="25">
        <f>Inventory[[#This Row],[Adjusted Res]]+Inventory[[#This Row],[Adj Det ]]</f>
        <v>371500</v>
      </c>
      <c r="BQ1261" s="25">
        <f>ROUND((Inventory[[#This Row],[Mdl Land Intercept]]+Inventory[[#This Row],[Mdl LnAcres]])*Inventory[[#This Row],[Det/Nbhd Adj]],-2)</f>
        <v>21600</v>
      </c>
      <c r="BR1261" s="25">
        <f>Inventory[[#This Row],[Adjusted Impr Total]]+Inventory[[#This Row],[Adjusted Land Total]]</f>
        <v>393100</v>
      </c>
      <c r="BS1261" s="36">
        <f>IFERROR((Inventory[[#This Row],[Adjusted Impr Total]]-Inventory[[#This Row],[24Bldg]])/Inventory[[#This Row],[24Bldg]],0)</f>
        <v>0.13712886440159167</v>
      </c>
      <c r="BT1261" s="36">
        <f>(Inventory[[#This Row],[Adjusted Land Total]]-Inventory[[#This Row],[24Lnd]])/Inventory[[#This Row],[24Lnd]]</f>
        <v>-0.46798029556650245</v>
      </c>
      <c r="BU1261" s="36">
        <f>(Inventory[[#This Row],[Adjusted Total]]-Inventory[[#This Row],[24Final]])/Inventory[[#This Row],[24Final]]</f>
        <v>7.0242308739450046E-2</v>
      </c>
    </row>
    <row r="1262" spans="1:73" x14ac:dyDescent="0.3">
      <c r="A1262" s="25">
        <v>2025</v>
      </c>
      <c r="B1262" s="26" t="s">
        <v>1438</v>
      </c>
      <c r="C1262" s="26">
        <f>LN(Inventory[[#This Row],[Acres]])</f>
        <v>-1.2729656758128873</v>
      </c>
      <c r="D1262" s="25">
        <v>0.28000000000000003</v>
      </c>
      <c r="E1262" s="25">
        <v>12394</v>
      </c>
      <c r="F1262" s="26" t="s">
        <v>537</v>
      </c>
      <c r="G1262" s="26" t="s">
        <v>126</v>
      </c>
      <c r="H1262" s="26" t="s">
        <v>349</v>
      </c>
      <c r="I1262" s="26" t="s">
        <v>538</v>
      </c>
      <c r="J1262" s="26" t="s">
        <v>539</v>
      </c>
      <c r="K1262" s="26" t="s">
        <v>173</v>
      </c>
      <c r="L1262" s="26" t="s">
        <v>351</v>
      </c>
      <c r="M1262" s="26" t="s">
        <v>303</v>
      </c>
      <c r="N1262" s="26">
        <v>90</v>
      </c>
      <c r="O1262" s="26">
        <f>2024-Inventory[[#This Row],[YrBlt]]</f>
        <v>84</v>
      </c>
      <c r="P1262" s="26">
        <f>2024-Inventory[[#This Row],[EffYr]]</f>
        <v>52</v>
      </c>
      <c r="Q1262" s="25">
        <v>1940</v>
      </c>
      <c r="R1262" s="25">
        <v>1972</v>
      </c>
      <c r="S1262" s="25">
        <v>1336</v>
      </c>
      <c r="T1262" s="25">
        <v>260</v>
      </c>
      <c r="U1262" s="31"/>
      <c r="V1262" s="27">
        <f>Inventory[[#This Row],[Bsmt]]-Inventory[[#This Row],[FnBsmt]]</f>
        <v>0</v>
      </c>
      <c r="W1262" s="27"/>
      <c r="X1262" s="27"/>
      <c r="Y1262" s="27">
        <f>Inventory[[#This Row],[MainFn]]+Inventory[[#This Row],[UpprFn]]+Inventory[[#This Row],[FnBsmt]]+Inventory[[#This Row],[AddFn]]</f>
        <v>1596</v>
      </c>
      <c r="Z1262" s="27">
        <v>2000</v>
      </c>
      <c r="AA1262" s="25">
        <v>7</v>
      </c>
      <c r="AB1262" s="32">
        <v>276</v>
      </c>
      <c r="AC1262" s="27"/>
      <c r="AD1262" s="31"/>
      <c r="AE1262" s="27"/>
      <c r="AF1262" s="27"/>
      <c r="AG1262" s="27"/>
      <c r="AH1262" s="27"/>
      <c r="AI1262" s="25">
        <v>256165</v>
      </c>
      <c r="AJ1262" s="25">
        <v>179316</v>
      </c>
      <c r="AK1262" s="25">
        <v>0</v>
      </c>
      <c r="AL1262" s="25">
        <v>335500</v>
      </c>
      <c r="AM1262" s="25">
        <v>70100</v>
      </c>
      <c r="AN1262" s="25">
        <v>265400</v>
      </c>
      <c r="AO1262" s="25">
        <v>0</v>
      </c>
      <c r="AP1262" s="25">
        <f>Lookups!$B$56*0</f>
        <v>0</v>
      </c>
      <c r="AQ1262" s="25">
        <f>Lookups!$B$56*1</f>
        <v>89850.625589999996</v>
      </c>
      <c r="AR1262" s="25">
        <f>Lookups!$B$57*Inventory[[#This Row],[LnAcres]]</f>
        <v>-40295.239319339329</v>
      </c>
      <c r="AS1262" s="25">
        <f>VLOOKUP(Inventory[[#This Row],[Qlty]],Lookups!$A$62:$E$75,2,FALSE)</f>
        <v>21557.329055999999</v>
      </c>
      <c r="AT1262" s="25">
        <f>VLOOKUP(Inventory[[#This Row],[Cnd]],Lookups!$A$76:$E$84,2,FALSE)</f>
        <v>197752.34721000001</v>
      </c>
      <c r="AU1262" s="25">
        <f>Inventory[[#This Row],[EffAge]]*Lookups!$B$85</f>
        <v>-11598.371226000001</v>
      </c>
      <c r="AV1262" s="25">
        <f>Inventory[[#This Row],[MainFn]]*Lookups!$B$86</f>
        <v>66009.982955672007</v>
      </c>
      <c r="AW1262" s="25">
        <f>Inventory[[#This Row],[UpprFn]]*Lookups!$B$87</f>
        <v>11644.46994386</v>
      </c>
      <c r="AX1262" s="25">
        <f>Inventory[[#This Row],[AddFn]]*Lookups!$B$88</f>
        <v>0</v>
      </c>
      <c r="AY1262" s="25">
        <f>Inventory[[#This Row],[Bsmt]]*Lookups!$B$89</f>
        <v>0</v>
      </c>
      <c r="AZ1262" s="25">
        <f>Inventory[[#This Row],[Fixtures]]*Lookups!$B$90</f>
        <v>26544.1547364</v>
      </c>
      <c r="BA1262" s="25">
        <f>Inventory[[#This Row],[WdDeck]]*Lookups!$B$91</f>
        <v>0</v>
      </c>
      <c r="BB1262" s="25">
        <f>ROUND(Inventory[[#This Row],[25Det]],-2)</f>
        <v>0</v>
      </c>
      <c r="BC1262" s="25">
        <f>ROUND(SUM(Inventory[[#This Row],[Mdl Qlty]:[Mdl WdDeck]])+Inventory[[#This Row],[Mdl Res Intercept]],-2)</f>
        <v>311900</v>
      </c>
      <c r="BD1262" s="25">
        <f>ROUND(Inventory[[#This Row],[Mdl Land Intercept]]+Inventory[[#This Row],[Mdl LnAcres]],-2)</f>
        <v>49600</v>
      </c>
      <c r="BE1262" s="25">
        <f>Inventory[[#This Row],[Unadj Res Value]]+Inventory[[#This Row],[Unadj Det Value]]+Inventory[[#This Row],[Unadj Land Value]]</f>
        <v>361500</v>
      </c>
      <c r="BF1262" s="36">
        <f>(Inventory[[#This Row],[Unadj Total Value]]-Inventory[[#This Row],[24Final]])/Inventory[[#This Row],[24Final]]</f>
        <v>7.7496274217585689E-2</v>
      </c>
      <c r="BG1262" s="25">
        <f>VLOOKUP(Inventory[[#This Row],[Nbhd]],Lookups!$Q$2:$T$4,4,FALSE)</f>
        <v>0.99970000000000003</v>
      </c>
      <c r="BH1262" s="25">
        <f>VLOOKUP(Inventory[[#This Row],[Qlty]],Lookups!$O$7:$R$21,4,FALSE)</f>
        <v>1.0067999999999999</v>
      </c>
      <c r="BI1262" s="25">
        <f>VLOOKUP(Inventory[[#This Row],[Cnd]],Lookups!$T$7:$W$16,4,FALSE)</f>
        <v>0.99650000000000005</v>
      </c>
      <c r="BJ1262" s="25">
        <f>VLOOKUP(Inventory[[#This Row],[LivArea Range]],Lookups!$T$25:$W$37,4,FALSE)</f>
        <v>1.0093000000000001</v>
      </c>
      <c r="BK1262" s="25">
        <f>VLOOKUP(Inventory[[#This Row],[Decade]],Lookups!$O$25:$R$42,4,FALSE)</f>
        <v>0.98909999999999998</v>
      </c>
      <c r="BL1262" s="25">
        <f>Inventory[[#This Row],[Nbhd Adj]]*0.95</f>
        <v>0.94971499999999998</v>
      </c>
      <c r="BM1262" s="25">
        <f>Inventory[[#This Row],[Nbhd Adj]]*Inventory[[#This Row],[Quality Adj]]*Inventory[[#This Row],[Condition Adj]]*Inventory[[#This Row],[Living Area Adj]]*Inventory[[#This Row],[Decade Adj]]*0.95</f>
        <v>0.95120534593507355</v>
      </c>
      <c r="BN1262" s="25">
        <f>ROUND(SUM(Inventory[[#This Row],[Mdl Qlty]:[Mdl WdDeck]])+Inventory[[#This Row],[Mdl Res Intercept]]*Inventory[[#This Row],[Res Adj ]],-2)</f>
        <v>311900</v>
      </c>
      <c r="BO1262" s="25">
        <f>ROUND(Inventory[[#This Row],[25Det]]*Inventory[[#This Row],[Det/Nbhd Adj]],-2)</f>
        <v>0</v>
      </c>
      <c r="BP1262" s="25">
        <f>Inventory[[#This Row],[Adjusted Res]]+Inventory[[#This Row],[Adj Det ]]</f>
        <v>311900</v>
      </c>
      <c r="BQ1262" s="25">
        <f>ROUND((Inventory[[#This Row],[Mdl Land Intercept]]+Inventory[[#This Row],[Mdl LnAcres]])*Inventory[[#This Row],[Det/Nbhd Adj]],-2)</f>
        <v>47100</v>
      </c>
      <c r="BR1262" s="25">
        <f>Inventory[[#This Row],[Adjusted Impr Total]]+Inventory[[#This Row],[Adjusted Land Total]]</f>
        <v>359000</v>
      </c>
      <c r="BS1262" s="36">
        <f>IFERROR((Inventory[[#This Row],[Adjusted Impr Total]]-Inventory[[#This Row],[24Bldg]])/Inventory[[#This Row],[24Bldg]],0)</f>
        <v>0.17520723436322533</v>
      </c>
      <c r="BT1262" s="36">
        <f>(Inventory[[#This Row],[Adjusted Land Total]]-Inventory[[#This Row],[24Lnd]])/Inventory[[#This Row],[24Lnd]]</f>
        <v>-0.32810271041369471</v>
      </c>
      <c r="BU1262" s="36">
        <f>(Inventory[[#This Row],[Adjusted Total]]-Inventory[[#This Row],[24Final]])/Inventory[[#This Row],[24Final]]</f>
        <v>7.0044709388971685E-2</v>
      </c>
    </row>
    <row r="1263" spans="1:73" x14ac:dyDescent="0.3">
      <c r="A1263" s="25">
        <v>2025</v>
      </c>
      <c r="B1263" s="26" t="s">
        <v>1448</v>
      </c>
      <c r="C1263" s="26">
        <f>LN(Inventory[[#This Row],[Acres]])</f>
        <v>-2.0402208285265546</v>
      </c>
      <c r="D1263" s="25">
        <v>0.13</v>
      </c>
      <c r="E1263" s="25">
        <v>5692</v>
      </c>
      <c r="F1263" s="26" t="s">
        <v>537</v>
      </c>
      <c r="G1263" s="26" t="s">
        <v>126</v>
      </c>
      <c r="H1263" s="26" t="s">
        <v>349</v>
      </c>
      <c r="I1263" s="26" t="s">
        <v>538</v>
      </c>
      <c r="J1263" s="26" t="s">
        <v>539</v>
      </c>
      <c r="K1263" s="26" t="s">
        <v>242</v>
      </c>
      <c r="L1263" s="26" t="s">
        <v>205</v>
      </c>
      <c r="M1263" s="26" t="s">
        <v>323</v>
      </c>
      <c r="N1263" s="26">
        <v>90</v>
      </c>
      <c r="O1263" s="26">
        <f>2024-Inventory[[#This Row],[YrBlt]]</f>
        <v>84</v>
      </c>
      <c r="P1263" s="26">
        <f>2024-Inventory[[#This Row],[EffYr]]</f>
        <v>52</v>
      </c>
      <c r="Q1263" s="25">
        <v>1940</v>
      </c>
      <c r="R1263" s="25">
        <v>1972</v>
      </c>
      <c r="S1263" s="25">
        <v>706</v>
      </c>
      <c r="T1263" s="31"/>
      <c r="U1263" s="25">
        <v>706</v>
      </c>
      <c r="V1263" s="25">
        <f>Inventory[[#This Row],[Bsmt]]-Inventory[[#This Row],[FnBsmt]]</f>
        <v>356</v>
      </c>
      <c r="W1263" s="25">
        <v>350</v>
      </c>
      <c r="X1263" s="27"/>
      <c r="Y1263" s="27">
        <f>Inventory[[#This Row],[MainFn]]+Inventory[[#This Row],[UpprFn]]+Inventory[[#This Row],[FnBsmt]]+Inventory[[#This Row],[AddFn]]</f>
        <v>1056</v>
      </c>
      <c r="Z1263" s="27">
        <v>1500</v>
      </c>
      <c r="AA1263" s="25">
        <v>5</v>
      </c>
      <c r="AB1263" s="27"/>
      <c r="AC1263" s="27"/>
      <c r="AD1263" s="32">
        <v>225</v>
      </c>
      <c r="AE1263" s="27"/>
      <c r="AF1263" s="27"/>
      <c r="AG1263" s="27"/>
      <c r="AH1263" s="27"/>
      <c r="AI1263" s="25">
        <v>162938</v>
      </c>
      <c r="AJ1263" s="25">
        <v>110798</v>
      </c>
      <c r="AK1263" s="25">
        <v>6050</v>
      </c>
      <c r="AL1263" s="25">
        <v>243400</v>
      </c>
      <c r="AM1263" s="25">
        <v>43400</v>
      </c>
      <c r="AN1263" s="25">
        <v>200000</v>
      </c>
      <c r="AO1263" s="25">
        <v>0</v>
      </c>
      <c r="AP1263" s="25">
        <f>Lookups!$B$56*0</f>
        <v>0</v>
      </c>
      <c r="AQ1263" s="25">
        <f>Lookups!$B$56*1</f>
        <v>89850.625589999996</v>
      </c>
      <c r="AR1263" s="25">
        <f>Lookups!$B$57*Inventory[[#This Row],[LnAcres]]</f>
        <v>-64582.406353792743</v>
      </c>
      <c r="AS1263" s="25">
        <f>VLOOKUP(Inventory[[#This Row],[Qlty]],Lookups!$A$62:$E$75,2,FALSE)</f>
        <v>0</v>
      </c>
      <c r="AT1263" s="25">
        <f>VLOOKUP(Inventory[[#This Row],[Cnd]],Lookups!$A$76:$E$84,2,FALSE)</f>
        <v>160472.20319</v>
      </c>
      <c r="AU1263" s="25">
        <f>Inventory[[#This Row],[EffAge]]*Lookups!$B$85</f>
        <v>-11598.371226000001</v>
      </c>
      <c r="AV1263" s="25">
        <f>Inventory[[#This Row],[MainFn]]*Lookups!$B$86</f>
        <v>34882.520933161999</v>
      </c>
      <c r="AW1263" s="25">
        <f>Inventory[[#This Row],[UpprFn]]*Lookups!$B$87</f>
        <v>0</v>
      </c>
      <c r="AX1263" s="25">
        <f>Inventory[[#This Row],[AddFn]]*Lookups!$B$88</f>
        <v>0</v>
      </c>
      <c r="AY1263" s="25">
        <f>Inventory[[#This Row],[Bsmt]]*Lookups!$B$89</f>
        <v>20531.818044381998</v>
      </c>
      <c r="AZ1263" s="25">
        <f>Inventory[[#This Row],[Fixtures]]*Lookups!$B$90</f>
        <v>18960.110526</v>
      </c>
      <c r="BA1263" s="25">
        <f>Inventory[[#This Row],[WdDeck]]*Lookups!$B$91</f>
        <v>7491.4909371000003</v>
      </c>
      <c r="BB1263" s="25">
        <f>ROUND(Inventory[[#This Row],[25Det]],-2)</f>
        <v>6100</v>
      </c>
      <c r="BC1263" s="25">
        <f>ROUND(SUM(Inventory[[#This Row],[Mdl Qlty]:[Mdl WdDeck]])+Inventory[[#This Row],[Mdl Res Intercept]],-2)</f>
        <v>230700</v>
      </c>
      <c r="BD1263" s="25">
        <f>ROUND(Inventory[[#This Row],[Mdl Land Intercept]]+Inventory[[#This Row],[Mdl LnAcres]],-2)</f>
        <v>25300</v>
      </c>
      <c r="BE1263" s="25">
        <f>Inventory[[#This Row],[Unadj Res Value]]+Inventory[[#This Row],[Unadj Det Value]]+Inventory[[#This Row],[Unadj Land Value]]</f>
        <v>262100</v>
      </c>
      <c r="BF1263" s="36">
        <f>(Inventory[[#This Row],[Unadj Total Value]]-Inventory[[#This Row],[24Final]])/Inventory[[#This Row],[24Final]]</f>
        <v>7.6828266228430572E-2</v>
      </c>
      <c r="BG1263" s="25">
        <f>VLOOKUP(Inventory[[#This Row],[Nbhd]],Lookups!$Q$2:$T$4,4,FALSE)</f>
        <v>0.99970000000000003</v>
      </c>
      <c r="BH1263" s="25">
        <f>VLOOKUP(Inventory[[#This Row],[Qlty]],Lookups!$O$7:$R$21,4,FALSE)</f>
        <v>0.99180000000000001</v>
      </c>
      <c r="BI1263" s="25">
        <f>VLOOKUP(Inventory[[#This Row],[Cnd]],Lookups!$T$7:$W$16,4,FALSE)</f>
        <v>0.99729999999999996</v>
      </c>
      <c r="BJ1263" s="25">
        <f>VLOOKUP(Inventory[[#This Row],[LivArea Range]],Lookups!$T$25:$W$37,4,FALSE)</f>
        <v>1.0157</v>
      </c>
      <c r="BK1263" s="25">
        <f>VLOOKUP(Inventory[[#This Row],[Decade]],Lookups!$O$25:$R$42,4,FALSE)</f>
        <v>0.98909999999999998</v>
      </c>
      <c r="BL1263" s="25">
        <f>Inventory[[#This Row],[Nbhd Adj]]*0.95</f>
        <v>0.94971499999999998</v>
      </c>
      <c r="BM1263" s="25">
        <f>Inventory[[#This Row],[Nbhd Adj]]*Inventory[[#This Row],[Quality Adj]]*Inventory[[#This Row],[Condition Adj]]*Inventory[[#This Row],[Living Area Adj]]*Inventory[[#This Row],[Decade Adj]]*0.95</f>
        <v>0.94373242022269987</v>
      </c>
      <c r="BN1263" s="25">
        <f>ROUND(SUM(Inventory[[#This Row],[Mdl Qlty]:[Mdl WdDeck]])+Inventory[[#This Row],[Mdl Res Intercept]]*Inventory[[#This Row],[Res Adj ]],-2)</f>
        <v>230700</v>
      </c>
      <c r="BO1263" s="25">
        <f>ROUND(Inventory[[#This Row],[25Det]]*Inventory[[#This Row],[Det/Nbhd Adj]],-2)</f>
        <v>5700</v>
      </c>
      <c r="BP1263" s="25">
        <f>Inventory[[#This Row],[Adjusted Res]]+Inventory[[#This Row],[Adj Det ]]</f>
        <v>236400</v>
      </c>
      <c r="BQ1263" s="25">
        <f>ROUND((Inventory[[#This Row],[Mdl Land Intercept]]+Inventory[[#This Row],[Mdl LnAcres]])*Inventory[[#This Row],[Det/Nbhd Adj]],-2)</f>
        <v>24000</v>
      </c>
      <c r="BR1263" s="25">
        <f>Inventory[[#This Row],[Adjusted Impr Total]]+Inventory[[#This Row],[Adjusted Land Total]]</f>
        <v>260400</v>
      </c>
      <c r="BS1263" s="36">
        <f>IFERROR((Inventory[[#This Row],[Adjusted Impr Total]]-Inventory[[#This Row],[24Bldg]])/Inventory[[#This Row],[24Bldg]],0)</f>
        <v>0.182</v>
      </c>
      <c r="BT1263" s="36">
        <f>(Inventory[[#This Row],[Adjusted Land Total]]-Inventory[[#This Row],[24Lnd]])/Inventory[[#This Row],[24Lnd]]</f>
        <v>-0.44700460829493088</v>
      </c>
      <c r="BU1263" s="36">
        <f>(Inventory[[#This Row],[Adjusted Total]]-Inventory[[#This Row],[24Final]])/Inventory[[#This Row],[24Final]]</f>
        <v>6.9843878389482333E-2</v>
      </c>
    </row>
    <row r="1264" spans="1:73" x14ac:dyDescent="0.3">
      <c r="A1264" s="25">
        <v>2025</v>
      </c>
      <c r="B1264" s="26" t="s">
        <v>2733</v>
      </c>
      <c r="C1264" s="26">
        <f>LN(Inventory[[#This Row],[Acres]])</f>
        <v>-1.5141277326297755</v>
      </c>
      <c r="D1264" s="25">
        <v>0.22</v>
      </c>
      <c r="E1264" s="25">
        <v>9375</v>
      </c>
      <c r="F1264" s="26" t="s">
        <v>537</v>
      </c>
      <c r="G1264" s="26" t="s">
        <v>126</v>
      </c>
      <c r="H1264" s="26" t="s">
        <v>349</v>
      </c>
      <c r="I1264" s="26" t="s">
        <v>538</v>
      </c>
      <c r="J1264" s="26" t="s">
        <v>539</v>
      </c>
      <c r="K1264" s="26" t="s">
        <v>242</v>
      </c>
      <c r="L1264" s="26" t="s">
        <v>205</v>
      </c>
      <c r="M1264" s="26" t="s">
        <v>206</v>
      </c>
      <c r="N1264" s="26">
        <v>90</v>
      </c>
      <c r="O1264" s="26">
        <f>2024-Inventory[[#This Row],[YrBlt]]</f>
        <v>84</v>
      </c>
      <c r="P1264" s="26">
        <f>2024-Inventory[[#This Row],[EffYr]]</f>
        <v>52</v>
      </c>
      <c r="Q1264" s="25">
        <v>1940</v>
      </c>
      <c r="R1264" s="25">
        <v>1972</v>
      </c>
      <c r="S1264" s="25">
        <v>926</v>
      </c>
      <c r="T1264" s="31"/>
      <c r="U1264" s="25">
        <v>926</v>
      </c>
      <c r="V1264" s="25">
        <f>Inventory[[#This Row],[Bsmt]]-Inventory[[#This Row],[FnBsmt]]</f>
        <v>740</v>
      </c>
      <c r="W1264" s="25">
        <v>186</v>
      </c>
      <c r="X1264" s="27"/>
      <c r="Y1264" s="27">
        <f>Inventory[[#This Row],[MainFn]]+Inventory[[#This Row],[UpprFn]]+Inventory[[#This Row],[FnBsmt]]+Inventory[[#This Row],[AddFn]]</f>
        <v>1112</v>
      </c>
      <c r="Z1264" s="27">
        <v>1500</v>
      </c>
      <c r="AA1264" s="25">
        <v>5</v>
      </c>
      <c r="AB1264" s="27"/>
      <c r="AC1264" s="27"/>
      <c r="AD1264" s="31"/>
      <c r="AE1264" s="27"/>
      <c r="AF1264" s="27"/>
      <c r="AG1264" s="27"/>
      <c r="AH1264" s="27"/>
      <c r="AI1264" s="25">
        <v>183576</v>
      </c>
      <c r="AJ1264" s="25">
        <v>121160</v>
      </c>
      <c r="AK1264" s="25">
        <v>6112</v>
      </c>
      <c r="AL1264" s="25">
        <v>242600</v>
      </c>
      <c r="AM1264" s="25">
        <v>61700</v>
      </c>
      <c r="AN1264" s="25">
        <v>180900</v>
      </c>
      <c r="AO1264" s="25">
        <v>0</v>
      </c>
      <c r="AP1264" s="25">
        <f>Lookups!$B$56*0</f>
        <v>0</v>
      </c>
      <c r="AQ1264" s="25">
        <f>Lookups!$B$56*1</f>
        <v>89850.625589999996</v>
      </c>
      <c r="AR1264" s="25">
        <f>Lookups!$B$57*Inventory[[#This Row],[LnAcres]]</f>
        <v>-47929.131559187132</v>
      </c>
      <c r="AS1264" s="25">
        <f>VLOOKUP(Inventory[[#This Row],[Qlty]],Lookups!$A$62:$E$75,2,FALSE)</f>
        <v>0</v>
      </c>
      <c r="AT1264" s="25">
        <f>VLOOKUP(Inventory[[#This Row],[Cnd]],Lookups!$A$76:$E$84,2,FALSE)</f>
        <v>133714.53821</v>
      </c>
      <c r="AU1264" s="25">
        <f>Inventory[[#This Row],[EffAge]]*Lookups!$B$85</f>
        <v>-11598.371226000001</v>
      </c>
      <c r="AV1264" s="25">
        <f>Inventory[[#This Row],[MainFn]]*Lookups!$B$86</f>
        <v>45752.428306102003</v>
      </c>
      <c r="AW1264" s="25">
        <f>Inventory[[#This Row],[UpprFn]]*Lookups!$B$87</f>
        <v>0</v>
      </c>
      <c r="AX1264" s="25">
        <f>Inventory[[#This Row],[AddFn]]*Lookups!$B$88</f>
        <v>0</v>
      </c>
      <c r="AY1264" s="25">
        <f>Inventory[[#This Row],[Bsmt]]*Lookups!$B$89</f>
        <v>26929.834998721999</v>
      </c>
      <c r="AZ1264" s="25">
        <f>Inventory[[#This Row],[Fixtures]]*Lookups!$B$90</f>
        <v>18960.110526</v>
      </c>
      <c r="BA1264" s="25">
        <f>Inventory[[#This Row],[WdDeck]]*Lookups!$B$91</f>
        <v>0</v>
      </c>
      <c r="BB1264" s="25">
        <f>ROUND(Inventory[[#This Row],[25Det]],-2)</f>
        <v>6100</v>
      </c>
      <c r="BC1264" s="25">
        <f>ROUND(SUM(Inventory[[#This Row],[Mdl Qlty]:[Mdl WdDeck]])+Inventory[[#This Row],[Mdl Res Intercept]],-2)</f>
        <v>213800</v>
      </c>
      <c r="BD1264" s="25">
        <f>ROUND(Inventory[[#This Row],[Mdl Land Intercept]]+Inventory[[#This Row],[Mdl LnAcres]],-2)</f>
        <v>41900</v>
      </c>
      <c r="BE1264" s="25">
        <f>Inventory[[#This Row],[Unadj Res Value]]+Inventory[[#This Row],[Unadj Det Value]]+Inventory[[#This Row],[Unadj Land Value]]</f>
        <v>261800</v>
      </c>
      <c r="BF1264" s="36">
        <f>(Inventory[[#This Row],[Unadj Total Value]]-Inventory[[#This Row],[24Final]])/Inventory[[#This Row],[24Final]]</f>
        <v>7.9142621599340476E-2</v>
      </c>
      <c r="BG1264" s="25">
        <f>VLOOKUP(Inventory[[#This Row],[Nbhd]],Lookups!$Q$2:$T$4,4,FALSE)</f>
        <v>0.99970000000000003</v>
      </c>
      <c r="BH1264" s="25">
        <f>VLOOKUP(Inventory[[#This Row],[Qlty]],Lookups!$O$7:$R$21,4,FALSE)</f>
        <v>0.99180000000000001</v>
      </c>
      <c r="BI1264" s="25">
        <f>VLOOKUP(Inventory[[#This Row],[Cnd]],Lookups!$T$7:$W$16,4,FALSE)</f>
        <v>0.99329999999999996</v>
      </c>
      <c r="BJ1264" s="25">
        <f>VLOOKUP(Inventory[[#This Row],[LivArea Range]],Lookups!$T$25:$W$37,4,FALSE)</f>
        <v>1.0157</v>
      </c>
      <c r="BK1264" s="25">
        <f>VLOOKUP(Inventory[[#This Row],[Decade]],Lookups!$O$25:$R$42,4,FALSE)</f>
        <v>0.98909999999999998</v>
      </c>
      <c r="BL1264" s="25">
        <f>Inventory[[#This Row],[Nbhd Adj]]*0.95</f>
        <v>0.94971499999999998</v>
      </c>
      <c r="BM1264" s="25">
        <f>Inventory[[#This Row],[Nbhd Adj]]*Inventory[[#This Row],[Quality Adj]]*Inventory[[#This Row],[Condition Adj]]*Inventory[[#This Row],[Living Area Adj]]*Inventory[[#This Row],[Decade Adj]]*0.95</f>
        <v>0.93994727063793004</v>
      </c>
      <c r="BN1264" s="25">
        <f>ROUND(SUM(Inventory[[#This Row],[Mdl Qlty]:[Mdl WdDeck]])+Inventory[[#This Row],[Mdl Res Intercept]]*Inventory[[#This Row],[Res Adj ]],-2)</f>
        <v>213800</v>
      </c>
      <c r="BO1264" s="25">
        <f>ROUND(Inventory[[#This Row],[25Det]]*Inventory[[#This Row],[Det/Nbhd Adj]],-2)</f>
        <v>5800</v>
      </c>
      <c r="BP1264" s="25">
        <f>Inventory[[#This Row],[Adjusted Res]]+Inventory[[#This Row],[Adj Det ]]</f>
        <v>219600</v>
      </c>
      <c r="BQ1264" s="25">
        <f>ROUND((Inventory[[#This Row],[Mdl Land Intercept]]+Inventory[[#This Row],[Mdl LnAcres]])*Inventory[[#This Row],[Det/Nbhd Adj]],-2)</f>
        <v>39800</v>
      </c>
      <c r="BR1264" s="25">
        <f>Inventory[[#This Row],[Adjusted Impr Total]]+Inventory[[#This Row],[Adjusted Land Total]]</f>
        <v>259400</v>
      </c>
      <c r="BS1264" s="36">
        <f>IFERROR((Inventory[[#This Row],[Adjusted Impr Total]]-Inventory[[#This Row],[24Bldg]])/Inventory[[#This Row],[24Bldg]],0)</f>
        <v>0.21393034825870647</v>
      </c>
      <c r="BT1264" s="36">
        <f>(Inventory[[#This Row],[Adjusted Land Total]]-Inventory[[#This Row],[24Lnd]])/Inventory[[#This Row],[24Lnd]]</f>
        <v>-0.35494327390599678</v>
      </c>
      <c r="BU1264" s="36">
        <f>(Inventory[[#This Row],[Adjusted Total]]-Inventory[[#This Row],[24Final]])/Inventory[[#This Row],[24Final]]</f>
        <v>6.9249793899422915E-2</v>
      </c>
    </row>
    <row r="1265" spans="1:73" x14ac:dyDescent="0.3">
      <c r="A1265" s="25">
        <v>2025</v>
      </c>
      <c r="B1265" s="26" t="s">
        <v>786</v>
      </c>
      <c r="C1265" s="26">
        <f>LN(Inventory[[#This Row],[Acres]])</f>
        <v>-1.7147984280919266</v>
      </c>
      <c r="D1265" s="25">
        <v>0.18</v>
      </c>
      <c r="E1265" s="32">
        <v>8040</v>
      </c>
      <c r="F1265" s="26" t="s">
        <v>537</v>
      </c>
      <c r="G1265" s="26" t="s">
        <v>126</v>
      </c>
      <c r="H1265" s="26" t="s">
        <v>349</v>
      </c>
      <c r="I1265" s="26" t="s">
        <v>538</v>
      </c>
      <c r="J1265" s="26" t="s">
        <v>539</v>
      </c>
      <c r="K1265" s="26" t="s">
        <v>269</v>
      </c>
      <c r="L1265" s="26" t="s">
        <v>302</v>
      </c>
      <c r="M1265" s="26" t="s">
        <v>303</v>
      </c>
      <c r="N1265" s="26">
        <v>90</v>
      </c>
      <c r="O1265" s="26">
        <f>2024-Inventory[[#This Row],[YrBlt]]</f>
        <v>84</v>
      </c>
      <c r="P1265" s="26">
        <f>2024-Inventory[[#This Row],[EffYr]]</f>
        <v>52</v>
      </c>
      <c r="Q1265" s="25">
        <v>1940</v>
      </c>
      <c r="R1265" s="25">
        <v>1972</v>
      </c>
      <c r="S1265" s="25">
        <v>938</v>
      </c>
      <c r="T1265" s="27"/>
      <c r="U1265" s="32">
        <v>938</v>
      </c>
      <c r="V1265" s="32">
        <f>Inventory[[#This Row],[Bsmt]]-Inventory[[#This Row],[FnBsmt]]</f>
        <v>193</v>
      </c>
      <c r="W1265" s="32">
        <v>745</v>
      </c>
      <c r="X1265" s="27"/>
      <c r="Y1265" s="27">
        <f>Inventory[[#This Row],[MainFn]]+Inventory[[#This Row],[UpprFn]]+Inventory[[#This Row],[FnBsmt]]+Inventory[[#This Row],[AddFn]]</f>
        <v>1683</v>
      </c>
      <c r="Z1265" s="27">
        <v>2000</v>
      </c>
      <c r="AA1265" s="25">
        <v>9</v>
      </c>
      <c r="AB1265" s="27"/>
      <c r="AC1265" s="27"/>
      <c r="AD1265" s="27"/>
      <c r="AE1265" s="27"/>
      <c r="AF1265" s="27"/>
      <c r="AG1265" s="27"/>
      <c r="AH1265" s="27"/>
      <c r="AI1265" s="25">
        <v>279999</v>
      </c>
      <c r="AJ1265" s="25">
        <v>195999</v>
      </c>
      <c r="AK1265" s="25">
        <v>33554</v>
      </c>
      <c r="AL1265" s="25">
        <v>364300</v>
      </c>
      <c r="AM1265" s="25">
        <v>54700</v>
      </c>
      <c r="AN1265" s="25">
        <v>309600</v>
      </c>
      <c r="AO1265" s="25">
        <v>0</v>
      </c>
      <c r="AP1265" s="25">
        <f>Lookups!$B$56*0</f>
        <v>0</v>
      </c>
      <c r="AQ1265" s="25">
        <f>Lookups!$B$56*1</f>
        <v>89850.625589999996</v>
      </c>
      <c r="AR1265" s="25">
        <f>Lookups!$B$57*Inventory[[#This Row],[LnAcres]]</f>
        <v>-54281.285314520763</v>
      </c>
      <c r="AS1265" s="25">
        <f>VLOOKUP(Inventory[[#This Row],[Qlty]],Lookups!$A$62:$E$75,2,FALSE)</f>
        <v>29814.093161000001</v>
      </c>
      <c r="AT1265" s="25">
        <f>VLOOKUP(Inventory[[#This Row],[Cnd]],Lookups!$A$76:$E$84,2,FALSE)</f>
        <v>197752.34721000001</v>
      </c>
      <c r="AU1265" s="25">
        <f>Inventory[[#This Row],[EffAge]]*Lookups!$B$85</f>
        <v>-11598.371226000001</v>
      </c>
      <c r="AV1265" s="25">
        <f>Inventory[[#This Row],[MainFn]]*Lookups!$B$86</f>
        <v>46345.332344626004</v>
      </c>
      <c r="AW1265" s="25">
        <f>Inventory[[#This Row],[UpprFn]]*Lookups!$B$87</f>
        <v>0</v>
      </c>
      <c r="AX1265" s="25">
        <f>Inventory[[#This Row],[AddFn]]*Lookups!$B$88</f>
        <v>0</v>
      </c>
      <c r="AY1265" s="25">
        <f>Inventory[[#This Row],[Bsmt]]*Lookups!$B$89</f>
        <v>27278.817741685998</v>
      </c>
      <c r="AZ1265" s="25">
        <f>Inventory[[#This Row],[Fixtures]]*Lookups!$B$90</f>
        <v>34128.198946800003</v>
      </c>
      <c r="BA1265" s="25">
        <f>Inventory[[#This Row],[WdDeck]]*Lookups!$B$91</f>
        <v>0</v>
      </c>
      <c r="BB1265" s="25">
        <f>ROUND(Inventory[[#This Row],[25Det]],-2)</f>
        <v>33600</v>
      </c>
      <c r="BC1265" s="25">
        <f>ROUND(SUM(Inventory[[#This Row],[Mdl Qlty]:[Mdl WdDeck]])+Inventory[[#This Row],[Mdl Res Intercept]],-2)</f>
        <v>323700</v>
      </c>
      <c r="BD1265" s="25">
        <f>ROUND(Inventory[[#This Row],[Mdl Land Intercept]]+Inventory[[#This Row],[Mdl LnAcres]],-2)</f>
        <v>35600</v>
      </c>
      <c r="BE1265" s="25">
        <f>Inventory[[#This Row],[Unadj Res Value]]+Inventory[[#This Row],[Unadj Det Value]]+Inventory[[#This Row],[Unadj Land Value]]</f>
        <v>392900</v>
      </c>
      <c r="BF1265" s="36">
        <f>(Inventory[[#This Row],[Unadj Total Value]]-Inventory[[#This Row],[24Final]])/Inventory[[#This Row],[24Final]]</f>
        <v>7.850672522646171E-2</v>
      </c>
      <c r="BG1265" s="25">
        <f>VLOOKUP(Inventory[[#This Row],[Nbhd]],Lookups!$Q$2:$T$4,4,FALSE)</f>
        <v>0.99970000000000003</v>
      </c>
      <c r="BH1265" s="25">
        <f>VLOOKUP(Inventory[[#This Row],[Qlty]],Lookups!$O$7:$R$21,4,FALSE)</f>
        <v>1.0088999999999999</v>
      </c>
      <c r="BI1265" s="25">
        <f>VLOOKUP(Inventory[[#This Row],[Cnd]],Lookups!$T$7:$W$16,4,FALSE)</f>
        <v>0.99650000000000005</v>
      </c>
      <c r="BJ1265" s="25">
        <f>VLOOKUP(Inventory[[#This Row],[LivArea Range]],Lookups!$T$25:$W$37,4,FALSE)</f>
        <v>1.0093000000000001</v>
      </c>
      <c r="BK1265" s="25">
        <f>VLOOKUP(Inventory[[#This Row],[Decade]],Lookups!$O$25:$R$42,4,FALSE)</f>
        <v>0.98909999999999998</v>
      </c>
      <c r="BL1265" s="25">
        <f>Inventory[[#This Row],[Nbhd Adj]]*0.95</f>
        <v>0.94971499999999998</v>
      </c>
      <c r="BM1265" s="25">
        <f>Inventory[[#This Row],[Nbhd Adj]]*Inventory[[#This Row],[Quality Adj]]*Inventory[[#This Row],[Condition Adj]]*Inventory[[#This Row],[Living Area Adj]]*Inventory[[#This Row],[Decade Adj]]*0.95</f>
        <v>0.95318938569119571</v>
      </c>
      <c r="BN1265" s="25">
        <f>ROUND(SUM(Inventory[[#This Row],[Mdl Qlty]:[Mdl WdDeck]])+Inventory[[#This Row],[Mdl Res Intercept]]*Inventory[[#This Row],[Res Adj ]],-2)</f>
        <v>323700</v>
      </c>
      <c r="BO1265" s="25">
        <f>ROUND(Inventory[[#This Row],[25Det]]*Inventory[[#This Row],[Det/Nbhd Adj]],-2)</f>
        <v>31900</v>
      </c>
      <c r="BP1265" s="25">
        <f>Inventory[[#This Row],[Adjusted Res]]+Inventory[[#This Row],[Adj Det ]]</f>
        <v>355600</v>
      </c>
      <c r="BQ1265" s="25">
        <f>ROUND((Inventory[[#This Row],[Mdl Land Intercept]]+Inventory[[#This Row],[Mdl LnAcres]])*Inventory[[#This Row],[Det/Nbhd Adj]],-2)</f>
        <v>33800</v>
      </c>
      <c r="BR1265" s="25">
        <f>Inventory[[#This Row],[Adjusted Impr Total]]+Inventory[[#This Row],[Adjusted Land Total]]</f>
        <v>389400</v>
      </c>
      <c r="BS1265" s="36">
        <f>IFERROR((Inventory[[#This Row],[Adjusted Impr Total]]-Inventory[[#This Row],[24Bldg]])/Inventory[[#This Row],[24Bldg]],0)</f>
        <v>0.14857881136950904</v>
      </c>
      <c r="BT1265" s="36">
        <f>(Inventory[[#This Row],[Adjusted Land Total]]-Inventory[[#This Row],[24Lnd]])/Inventory[[#This Row],[24Lnd]]</f>
        <v>-0.38208409506398539</v>
      </c>
      <c r="BU1265" s="36">
        <f>(Inventory[[#This Row],[Adjusted Total]]-Inventory[[#This Row],[24Final]])/Inventory[[#This Row],[24Final]]</f>
        <v>6.8899258852594014E-2</v>
      </c>
    </row>
    <row r="1266" spans="1:73" x14ac:dyDescent="0.3">
      <c r="A1266" s="25">
        <v>2025</v>
      </c>
      <c r="B1266" s="26" t="s">
        <v>2860</v>
      </c>
      <c r="C1266" s="26">
        <f>LN(Inventory[[#This Row],[Acres]])</f>
        <v>-1.9661128563728327</v>
      </c>
      <c r="D1266" s="25">
        <v>0.14000000000000001</v>
      </c>
      <c r="E1266" s="25">
        <v>5939</v>
      </c>
      <c r="F1266" s="26" t="s">
        <v>537</v>
      </c>
      <c r="G1266" s="26" t="s">
        <v>126</v>
      </c>
      <c r="H1266" s="26" t="s">
        <v>349</v>
      </c>
      <c r="I1266" s="26" t="s">
        <v>538</v>
      </c>
      <c r="J1266" s="26" t="s">
        <v>539</v>
      </c>
      <c r="K1266" s="26" t="s">
        <v>242</v>
      </c>
      <c r="L1266" s="26" t="s">
        <v>302</v>
      </c>
      <c r="M1266" s="26" t="s">
        <v>303</v>
      </c>
      <c r="N1266" s="26">
        <v>90</v>
      </c>
      <c r="O1266" s="26">
        <f>2024-Inventory[[#This Row],[YrBlt]]</f>
        <v>84</v>
      </c>
      <c r="P1266" s="26">
        <f>2024-Inventory[[#This Row],[EffYr]]</f>
        <v>52</v>
      </c>
      <c r="Q1266" s="25">
        <v>1940</v>
      </c>
      <c r="R1266" s="25">
        <v>1972</v>
      </c>
      <c r="S1266" s="25">
        <v>1158</v>
      </c>
      <c r="T1266" s="27"/>
      <c r="U1266" s="25">
        <v>618</v>
      </c>
      <c r="V1266" s="32">
        <f>Inventory[[#This Row],[Bsmt]]-Inventory[[#This Row],[FnBsmt]]</f>
        <v>0</v>
      </c>
      <c r="W1266" s="32">
        <v>618</v>
      </c>
      <c r="X1266" s="27"/>
      <c r="Y1266" s="27">
        <f>Inventory[[#This Row],[MainFn]]+Inventory[[#This Row],[UpprFn]]+Inventory[[#This Row],[FnBsmt]]+Inventory[[#This Row],[AddFn]]</f>
        <v>1776</v>
      </c>
      <c r="Z1266" s="27">
        <v>2000</v>
      </c>
      <c r="AA1266" s="25">
        <v>8</v>
      </c>
      <c r="AB1266" s="27"/>
      <c r="AC1266" s="32">
        <v>240</v>
      </c>
      <c r="AD1266" s="27"/>
      <c r="AE1266" s="27"/>
      <c r="AF1266" s="27"/>
      <c r="AG1266" s="27"/>
      <c r="AH1266" s="27"/>
      <c r="AI1266" s="25">
        <v>301306</v>
      </c>
      <c r="AJ1266" s="25">
        <v>210914</v>
      </c>
      <c r="AK1266" s="25">
        <v>0</v>
      </c>
      <c r="AL1266" s="25">
        <v>325300</v>
      </c>
      <c r="AM1266" s="25">
        <v>46000</v>
      </c>
      <c r="AN1266" s="25">
        <v>279300</v>
      </c>
      <c r="AO1266" s="25">
        <v>0</v>
      </c>
      <c r="AP1266" s="25">
        <f>Lookups!$B$56*0</f>
        <v>0</v>
      </c>
      <c r="AQ1266" s="25">
        <f>Lookups!$B$56*1</f>
        <v>89850.625589999996</v>
      </c>
      <c r="AR1266" s="25">
        <f>Lookups!$B$57*Inventory[[#This Row],[LnAcres]]</f>
        <v>-62236.546971921947</v>
      </c>
      <c r="AS1266" s="25">
        <f>VLOOKUP(Inventory[[#This Row],[Qlty]],Lookups!$A$62:$E$75,2,FALSE)</f>
        <v>29814.093161000001</v>
      </c>
      <c r="AT1266" s="25">
        <f>VLOOKUP(Inventory[[#This Row],[Cnd]],Lookups!$A$76:$E$84,2,FALSE)</f>
        <v>197752.34721000001</v>
      </c>
      <c r="AU1266" s="25">
        <f>Inventory[[#This Row],[EffAge]]*Lookups!$B$85</f>
        <v>-11598.371226000001</v>
      </c>
      <c r="AV1266" s="25">
        <f>Inventory[[#This Row],[MainFn]]*Lookups!$B$86</f>
        <v>57215.239717566001</v>
      </c>
      <c r="AW1266" s="25">
        <f>Inventory[[#This Row],[UpprFn]]*Lookups!$B$87</f>
        <v>0</v>
      </c>
      <c r="AX1266" s="25">
        <f>Inventory[[#This Row],[AddFn]]*Lookups!$B$88</f>
        <v>0</v>
      </c>
      <c r="AY1266" s="25">
        <f>Inventory[[#This Row],[Bsmt]]*Lookups!$B$89</f>
        <v>17972.611262645998</v>
      </c>
      <c r="AZ1266" s="25">
        <f>Inventory[[#This Row],[Fixtures]]*Lookups!$B$90</f>
        <v>30336.176841600001</v>
      </c>
      <c r="BA1266" s="25">
        <f>Inventory[[#This Row],[WdDeck]]*Lookups!$B$91</f>
        <v>0</v>
      </c>
      <c r="BB1266" s="25">
        <f>ROUND(Inventory[[#This Row],[25Det]],-2)</f>
        <v>0</v>
      </c>
      <c r="BC1266" s="25">
        <f>ROUND(SUM(Inventory[[#This Row],[Mdl Qlty]:[Mdl WdDeck]])+Inventory[[#This Row],[Mdl Res Intercept]],-2)</f>
        <v>321500</v>
      </c>
      <c r="BD1266" s="25">
        <f>ROUND(Inventory[[#This Row],[Mdl Land Intercept]]+Inventory[[#This Row],[Mdl LnAcres]],-2)</f>
        <v>27600</v>
      </c>
      <c r="BE1266" s="25">
        <f>Inventory[[#This Row],[Unadj Res Value]]+Inventory[[#This Row],[Unadj Det Value]]+Inventory[[#This Row],[Unadj Land Value]]</f>
        <v>349100</v>
      </c>
      <c r="BF1266" s="36">
        <f>(Inventory[[#This Row],[Unadj Total Value]]-Inventory[[#This Row],[24Final]])/Inventory[[#This Row],[24Final]]</f>
        <v>7.3163233937903471E-2</v>
      </c>
      <c r="BG1266" s="25">
        <f>VLOOKUP(Inventory[[#This Row],[Nbhd]],Lookups!$Q$2:$T$4,4,FALSE)</f>
        <v>0.99970000000000003</v>
      </c>
      <c r="BH1266" s="25">
        <f>VLOOKUP(Inventory[[#This Row],[Qlty]],Lookups!$O$7:$R$21,4,FALSE)</f>
        <v>1.0088999999999999</v>
      </c>
      <c r="BI1266" s="25">
        <f>VLOOKUP(Inventory[[#This Row],[Cnd]],Lookups!$T$7:$W$16,4,FALSE)</f>
        <v>0.99650000000000005</v>
      </c>
      <c r="BJ1266" s="25">
        <f>VLOOKUP(Inventory[[#This Row],[LivArea Range]],Lookups!$T$25:$W$37,4,FALSE)</f>
        <v>1.0093000000000001</v>
      </c>
      <c r="BK1266" s="25">
        <f>VLOOKUP(Inventory[[#This Row],[Decade]],Lookups!$O$25:$R$42,4,FALSE)</f>
        <v>0.98909999999999998</v>
      </c>
      <c r="BL1266" s="25">
        <f>Inventory[[#This Row],[Nbhd Adj]]*0.95</f>
        <v>0.94971499999999998</v>
      </c>
      <c r="BM1266" s="25">
        <f>Inventory[[#This Row],[Nbhd Adj]]*Inventory[[#This Row],[Quality Adj]]*Inventory[[#This Row],[Condition Adj]]*Inventory[[#This Row],[Living Area Adj]]*Inventory[[#This Row],[Decade Adj]]*0.95</f>
        <v>0.95318938569119571</v>
      </c>
      <c r="BN1266" s="25">
        <f>ROUND(SUM(Inventory[[#This Row],[Mdl Qlty]:[Mdl WdDeck]])+Inventory[[#This Row],[Mdl Res Intercept]]*Inventory[[#This Row],[Res Adj ]],-2)</f>
        <v>321500</v>
      </c>
      <c r="BO1266" s="25">
        <f>ROUND(Inventory[[#This Row],[25Det]]*Inventory[[#This Row],[Det/Nbhd Adj]],-2)</f>
        <v>0</v>
      </c>
      <c r="BP1266" s="25">
        <f>Inventory[[#This Row],[Adjusted Res]]+Inventory[[#This Row],[Adj Det ]]</f>
        <v>321500</v>
      </c>
      <c r="BQ1266" s="25">
        <f>ROUND((Inventory[[#This Row],[Mdl Land Intercept]]+Inventory[[#This Row],[Mdl LnAcres]])*Inventory[[#This Row],[Det/Nbhd Adj]],-2)</f>
        <v>26200</v>
      </c>
      <c r="BR1266" s="25">
        <f>Inventory[[#This Row],[Adjusted Impr Total]]+Inventory[[#This Row],[Adjusted Land Total]]</f>
        <v>347700</v>
      </c>
      <c r="BS1266" s="36">
        <f>IFERROR((Inventory[[#This Row],[Adjusted Impr Total]]-Inventory[[#This Row],[24Bldg]])/Inventory[[#This Row],[24Bldg]],0)</f>
        <v>0.1510920157536699</v>
      </c>
      <c r="BT1266" s="36">
        <f>(Inventory[[#This Row],[Adjusted Land Total]]-Inventory[[#This Row],[24Lnd]])/Inventory[[#This Row],[24Lnd]]</f>
        <v>-0.43043478260869567</v>
      </c>
      <c r="BU1266" s="36">
        <f>(Inventory[[#This Row],[Adjusted Total]]-Inventory[[#This Row],[24Final]])/Inventory[[#This Row],[24Final]]</f>
        <v>6.8859514294497381E-2</v>
      </c>
    </row>
    <row r="1267" spans="1:73" x14ac:dyDescent="0.3">
      <c r="A1267" s="25">
        <v>2025</v>
      </c>
      <c r="B1267" s="26" t="s">
        <v>2280</v>
      </c>
      <c r="C1267" s="26">
        <f>LN(Inventory[[#This Row],[Acres]])</f>
        <v>-1.6094379124341003</v>
      </c>
      <c r="D1267" s="25">
        <v>0.2</v>
      </c>
      <c r="E1267" s="31"/>
      <c r="F1267" s="26" t="s">
        <v>537</v>
      </c>
      <c r="G1267" s="26" t="s">
        <v>126</v>
      </c>
      <c r="H1267" s="26" t="s">
        <v>349</v>
      </c>
      <c r="I1267" s="26" t="s">
        <v>538</v>
      </c>
      <c r="J1267" s="26" t="s">
        <v>539</v>
      </c>
      <c r="K1267" s="26" t="s">
        <v>269</v>
      </c>
      <c r="L1267" s="26" t="s">
        <v>148</v>
      </c>
      <c r="M1267" s="26" t="s">
        <v>303</v>
      </c>
      <c r="N1267" s="26">
        <v>90</v>
      </c>
      <c r="O1267" s="26">
        <f>2024-Inventory[[#This Row],[YrBlt]]</f>
        <v>84</v>
      </c>
      <c r="P1267" s="26">
        <f>2024-Inventory[[#This Row],[EffYr]]</f>
        <v>52</v>
      </c>
      <c r="Q1267" s="25">
        <v>1940</v>
      </c>
      <c r="R1267" s="25">
        <v>1972</v>
      </c>
      <c r="S1267" s="25">
        <v>1321</v>
      </c>
      <c r="T1267" s="27"/>
      <c r="U1267" s="32">
        <v>1321</v>
      </c>
      <c r="V1267" s="32">
        <f>Inventory[[#This Row],[Bsmt]]-Inventory[[#This Row],[FnBsmt]]</f>
        <v>0</v>
      </c>
      <c r="W1267" s="32">
        <v>1321</v>
      </c>
      <c r="X1267" s="27"/>
      <c r="Y1267" s="27">
        <f>Inventory[[#This Row],[MainFn]]+Inventory[[#This Row],[UpprFn]]+Inventory[[#This Row],[FnBsmt]]+Inventory[[#This Row],[AddFn]]</f>
        <v>2642</v>
      </c>
      <c r="Z1267" s="27">
        <v>3000</v>
      </c>
      <c r="AA1267" s="25">
        <v>9</v>
      </c>
      <c r="AB1267" s="27"/>
      <c r="AC1267" s="27"/>
      <c r="AD1267" s="32">
        <v>160</v>
      </c>
      <c r="AE1267" s="27"/>
      <c r="AF1267" s="27"/>
      <c r="AG1267" s="27"/>
      <c r="AH1267" s="27"/>
      <c r="AI1267" s="25">
        <v>449412</v>
      </c>
      <c r="AJ1267" s="25">
        <v>314588</v>
      </c>
      <c r="AK1267" s="25">
        <v>41853</v>
      </c>
      <c r="AL1267" s="25">
        <v>421500</v>
      </c>
      <c r="AM1267" s="25">
        <v>58400</v>
      </c>
      <c r="AN1267" s="25">
        <v>363100</v>
      </c>
      <c r="AO1267" s="25">
        <v>0</v>
      </c>
      <c r="AP1267" s="25">
        <f>Lookups!$B$56*0</f>
        <v>0</v>
      </c>
      <c r="AQ1267" s="25">
        <f>Lookups!$B$56*1</f>
        <v>89850.625589999996</v>
      </c>
      <c r="AR1267" s="25">
        <f>Lookups!$B$57*Inventory[[#This Row],[LnAcres]]</f>
        <v>-50946.13867709865</v>
      </c>
      <c r="AS1267" s="25">
        <f>VLOOKUP(Inventory[[#This Row],[Qlty]],Lookups!$A$62:$E$75,2,FALSE)</f>
        <v>44121.038090000002</v>
      </c>
      <c r="AT1267" s="25">
        <f>VLOOKUP(Inventory[[#This Row],[Cnd]],Lookups!$A$76:$E$84,2,FALSE)</f>
        <v>197752.34721000001</v>
      </c>
      <c r="AU1267" s="25">
        <f>Inventory[[#This Row],[EffAge]]*Lookups!$B$85</f>
        <v>-11598.371226000001</v>
      </c>
      <c r="AV1267" s="25">
        <f>Inventory[[#This Row],[MainFn]]*Lookups!$B$86</f>
        <v>65268.852907517001</v>
      </c>
      <c r="AW1267" s="25">
        <f>Inventory[[#This Row],[UpprFn]]*Lookups!$B$87</f>
        <v>0</v>
      </c>
      <c r="AX1267" s="25">
        <f>Inventory[[#This Row],[AddFn]]*Lookups!$B$88</f>
        <v>0</v>
      </c>
      <c r="AY1267" s="25">
        <f>Inventory[[#This Row],[Bsmt]]*Lookups!$B$89</f>
        <v>38417.183621286997</v>
      </c>
      <c r="AZ1267" s="25">
        <f>Inventory[[#This Row],[Fixtures]]*Lookups!$B$90</f>
        <v>34128.198946800003</v>
      </c>
      <c r="BA1267" s="25">
        <f>Inventory[[#This Row],[WdDeck]]*Lookups!$B$91</f>
        <v>5327.2824441600005</v>
      </c>
      <c r="BB1267" s="25">
        <f>ROUND(Inventory[[#This Row],[25Det]],-2)</f>
        <v>41900</v>
      </c>
      <c r="BC1267" s="25">
        <f>ROUND(SUM(Inventory[[#This Row],[Mdl Qlty]:[Mdl WdDeck]])+Inventory[[#This Row],[Mdl Res Intercept]],-2)</f>
        <v>373400</v>
      </c>
      <c r="BD1267" s="25">
        <f>ROUND(Inventory[[#This Row],[Mdl Land Intercept]]+Inventory[[#This Row],[Mdl LnAcres]],-2)</f>
        <v>38900</v>
      </c>
      <c r="BE1267" s="25">
        <f>Inventory[[#This Row],[Unadj Res Value]]+Inventory[[#This Row],[Unadj Det Value]]+Inventory[[#This Row],[Unadj Land Value]]</f>
        <v>454200</v>
      </c>
      <c r="BF1267" s="36">
        <f>(Inventory[[#This Row],[Unadj Total Value]]-Inventory[[#This Row],[24Final]])/Inventory[[#This Row],[24Final]]</f>
        <v>7.7580071174377221E-2</v>
      </c>
      <c r="BG1267" s="25">
        <f>VLOOKUP(Inventory[[#This Row],[Nbhd]],Lookups!$Q$2:$T$4,4,FALSE)</f>
        <v>0.99970000000000003</v>
      </c>
      <c r="BH1267" s="25">
        <f>VLOOKUP(Inventory[[#This Row],[Qlty]],Lookups!$O$7:$R$21,4,FALSE)</f>
        <v>0.98050000000000004</v>
      </c>
      <c r="BI1267" s="25">
        <f>VLOOKUP(Inventory[[#This Row],[Cnd]],Lookups!$T$7:$W$16,4,FALSE)</f>
        <v>0.99650000000000005</v>
      </c>
      <c r="BJ1267" s="25">
        <f>VLOOKUP(Inventory[[#This Row],[LivArea Range]],Lookups!$T$25:$W$37,4,FALSE)</f>
        <v>0.96179999999999999</v>
      </c>
      <c r="BK1267" s="25">
        <f>VLOOKUP(Inventory[[#This Row],[Decade]],Lookups!$O$25:$R$42,4,FALSE)</f>
        <v>0.98909999999999998</v>
      </c>
      <c r="BL1267" s="25">
        <f>Inventory[[#This Row],[Nbhd Adj]]*0.95</f>
        <v>0.94971499999999998</v>
      </c>
      <c r="BM1267" s="25">
        <f>Inventory[[#This Row],[Nbhd Adj]]*Inventory[[#This Row],[Quality Adj]]*Inventory[[#This Row],[Condition Adj]]*Inventory[[#This Row],[Living Area Adj]]*Inventory[[#This Row],[Decade Adj]]*0.95</f>
        <v>0.88276107127906644</v>
      </c>
      <c r="BN1267" s="25">
        <f>ROUND(SUM(Inventory[[#This Row],[Mdl Qlty]:[Mdl WdDeck]])+Inventory[[#This Row],[Mdl Res Intercept]]*Inventory[[#This Row],[Res Adj ]],-2)</f>
        <v>373400</v>
      </c>
      <c r="BO1267" s="25">
        <f>ROUND(Inventory[[#This Row],[25Det]]*Inventory[[#This Row],[Det/Nbhd Adj]],-2)</f>
        <v>39700</v>
      </c>
      <c r="BP1267" s="25">
        <f>Inventory[[#This Row],[Adjusted Res]]+Inventory[[#This Row],[Adj Det ]]</f>
        <v>413100</v>
      </c>
      <c r="BQ1267" s="25">
        <f>ROUND((Inventory[[#This Row],[Mdl Land Intercept]]+Inventory[[#This Row],[Mdl LnAcres]])*Inventory[[#This Row],[Det/Nbhd Adj]],-2)</f>
        <v>36900</v>
      </c>
      <c r="BR1267" s="25">
        <f>Inventory[[#This Row],[Adjusted Impr Total]]+Inventory[[#This Row],[Adjusted Land Total]]</f>
        <v>450000</v>
      </c>
      <c r="BS1267" s="36">
        <f>IFERROR((Inventory[[#This Row],[Adjusted Impr Total]]-Inventory[[#This Row],[24Bldg]])/Inventory[[#This Row],[24Bldg]],0)</f>
        <v>0.13770311209033323</v>
      </c>
      <c r="BT1267" s="36">
        <f>(Inventory[[#This Row],[Adjusted Land Total]]-Inventory[[#This Row],[24Lnd]])/Inventory[[#This Row],[24Lnd]]</f>
        <v>-0.36815068493150682</v>
      </c>
      <c r="BU1267" s="36">
        <f>(Inventory[[#This Row],[Adjusted Total]]-Inventory[[#This Row],[24Final]])/Inventory[[#This Row],[24Final]]</f>
        <v>6.7615658362989328E-2</v>
      </c>
    </row>
    <row r="1268" spans="1:73" x14ac:dyDescent="0.3">
      <c r="A1268" s="25">
        <v>2025</v>
      </c>
      <c r="B1268" s="26" t="s">
        <v>1859</v>
      </c>
      <c r="C1268" s="26">
        <f>LN(Inventory[[#This Row],[Acres]])</f>
        <v>-1.8971199848858813</v>
      </c>
      <c r="D1268" s="25">
        <v>0.15</v>
      </c>
      <c r="E1268" s="27"/>
      <c r="F1268" s="26" t="s">
        <v>537</v>
      </c>
      <c r="G1268" s="26" t="s">
        <v>126</v>
      </c>
      <c r="H1268" s="26" t="s">
        <v>349</v>
      </c>
      <c r="I1268" s="26" t="s">
        <v>538</v>
      </c>
      <c r="J1268" s="26" t="s">
        <v>539</v>
      </c>
      <c r="K1268" s="26" t="s">
        <v>242</v>
      </c>
      <c r="L1268" s="26" t="s">
        <v>302</v>
      </c>
      <c r="M1268" s="26" t="s">
        <v>303</v>
      </c>
      <c r="N1268" s="26">
        <v>90</v>
      </c>
      <c r="O1268" s="26">
        <f>2024-Inventory[[#This Row],[YrBlt]]</f>
        <v>84</v>
      </c>
      <c r="P1268" s="26">
        <f>2024-Inventory[[#This Row],[EffYr]]</f>
        <v>52</v>
      </c>
      <c r="Q1268" s="25">
        <v>1940</v>
      </c>
      <c r="R1268" s="25">
        <v>1972</v>
      </c>
      <c r="S1268" s="25">
        <v>949</v>
      </c>
      <c r="T1268" s="31"/>
      <c r="U1268" s="25">
        <v>949</v>
      </c>
      <c r="V1268" s="32">
        <f>Inventory[[#This Row],[Bsmt]]-Inventory[[#This Row],[FnBsmt]]</f>
        <v>0</v>
      </c>
      <c r="W1268" s="32">
        <v>949</v>
      </c>
      <c r="X1268" s="27"/>
      <c r="Y1268" s="27">
        <f>Inventory[[#This Row],[MainFn]]+Inventory[[#This Row],[UpprFn]]+Inventory[[#This Row],[FnBsmt]]+Inventory[[#This Row],[AddFn]]</f>
        <v>1898</v>
      </c>
      <c r="Z1268" s="27">
        <v>2000</v>
      </c>
      <c r="AA1268" s="25">
        <v>9</v>
      </c>
      <c r="AB1268" s="27"/>
      <c r="AC1268" s="27"/>
      <c r="AD1268" s="31"/>
      <c r="AE1268" s="27"/>
      <c r="AF1268" s="27"/>
      <c r="AG1268" s="27"/>
      <c r="AH1268" s="27"/>
      <c r="AI1268" s="25">
        <v>282925</v>
      </c>
      <c r="AJ1268" s="25">
        <v>198048</v>
      </c>
      <c r="AK1268" s="25">
        <v>6724</v>
      </c>
      <c r="AL1268" s="25">
        <v>336600</v>
      </c>
      <c r="AM1268" s="25">
        <v>48400</v>
      </c>
      <c r="AN1268" s="25">
        <v>288200</v>
      </c>
      <c r="AO1268" s="25">
        <v>0</v>
      </c>
      <c r="AP1268" s="25">
        <f>Lookups!$B$56*0</f>
        <v>0</v>
      </c>
      <c r="AQ1268" s="25">
        <f>Lookups!$B$56*1</f>
        <v>89850.625589999996</v>
      </c>
      <c r="AR1268" s="25">
        <f>Lookups!$B$57*Inventory[[#This Row],[LnAcres]]</f>
        <v>-60052.604136134301</v>
      </c>
      <c r="AS1268" s="25">
        <f>VLOOKUP(Inventory[[#This Row],[Qlty]],Lookups!$A$62:$E$75,2,FALSE)</f>
        <v>29814.093161000001</v>
      </c>
      <c r="AT1268" s="25">
        <f>VLOOKUP(Inventory[[#This Row],[Cnd]],Lookups!$A$76:$E$84,2,FALSE)</f>
        <v>197752.34721000001</v>
      </c>
      <c r="AU1268" s="25">
        <f>Inventory[[#This Row],[EffAge]]*Lookups!$B$85</f>
        <v>-11598.371226000001</v>
      </c>
      <c r="AV1268" s="25">
        <f>Inventory[[#This Row],[MainFn]]*Lookups!$B$86</f>
        <v>46888.827713273</v>
      </c>
      <c r="AW1268" s="25">
        <f>Inventory[[#This Row],[UpprFn]]*Lookups!$B$87</f>
        <v>0</v>
      </c>
      <c r="AX1268" s="25">
        <f>Inventory[[#This Row],[AddFn]]*Lookups!$B$88</f>
        <v>0</v>
      </c>
      <c r="AY1268" s="25">
        <f>Inventory[[#This Row],[Bsmt]]*Lookups!$B$89</f>
        <v>27598.718589402997</v>
      </c>
      <c r="AZ1268" s="25">
        <f>Inventory[[#This Row],[Fixtures]]*Lookups!$B$90</f>
        <v>34128.198946800003</v>
      </c>
      <c r="BA1268" s="25">
        <f>Inventory[[#This Row],[WdDeck]]*Lookups!$B$91</f>
        <v>0</v>
      </c>
      <c r="BB1268" s="25">
        <f>ROUND(Inventory[[#This Row],[25Det]],-2)</f>
        <v>6700</v>
      </c>
      <c r="BC1268" s="25">
        <f>ROUND(SUM(Inventory[[#This Row],[Mdl Qlty]:[Mdl WdDeck]])+Inventory[[#This Row],[Mdl Res Intercept]],-2)</f>
        <v>324600</v>
      </c>
      <c r="BD1268" s="25">
        <f>ROUND(Inventory[[#This Row],[Mdl Land Intercept]]+Inventory[[#This Row],[Mdl LnAcres]],-2)</f>
        <v>29800</v>
      </c>
      <c r="BE1268" s="25">
        <f>Inventory[[#This Row],[Unadj Res Value]]+Inventory[[#This Row],[Unadj Det Value]]+Inventory[[#This Row],[Unadj Land Value]]</f>
        <v>361100</v>
      </c>
      <c r="BF1268" s="36">
        <f>(Inventory[[#This Row],[Unadj Total Value]]-Inventory[[#This Row],[24Final]])/Inventory[[#This Row],[24Final]]</f>
        <v>7.278669043374926E-2</v>
      </c>
      <c r="BG1268" s="25">
        <f>VLOOKUP(Inventory[[#This Row],[Nbhd]],Lookups!$Q$2:$T$4,4,FALSE)</f>
        <v>0.99970000000000003</v>
      </c>
      <c r="BH1268" s="25">
        <f>VLOOKUP(Inventory[[#This Row],[Qlty]],Lookups!$O$7:$R$21,4,FALSE)</f>
        <v>1.0088999999999999</v>
      </c>
      <c r="BI1268" s="25">
        <f>VLOOKUP(Inventory[[#This Row],[Cnd]],Lookups!$T$7:$W$16,4,FALSE)</f>
        <v>0.99650000000000005</v>
      </c>
      <c r="BJ1268" s="25">
        <f>VLOOKUP(Inventory[[#This Row],[LivArea Range]],Lookups!$T$25:$W$37,4,FALSE)</f>
        <v>1.0093000000000001</v>
      </c>
      <c r="BK1268" s="25">
        <f>VLOOKUP(Inventory[[#This Row],[Decade]],Lookups!$O$25:$R$42,4,FALSE)</f>
        <v>0.98909999999999998</v>
      </c>
      <c r="BL1268" s="25">
        <f>Inventory[[#This Row],[Nbhd Adj]]*0.95</f>
        <v>0.94971499999999998</v>
      </c>
      <c r="BM1268" s="25">
        <f>Inventory[[#This Row],[Nbhd Adj]]*Inventory[[#This Row],[Quality Adj]]*Inventory[[#This Row],[Condition Adj]]*Inventory[[#This Row],[Living Area Adj]]*Inventory[[#This Row],[Decade Adj]]*0.95</f>
        <v>0.95318938569119571</v>
      </c>
      <c r="BN1268" s="25">
        <f>ROUND(SUM(Inventory[[#This Row],[Mdl Qlty]:[Mdl WdDeck]])+Inventory[[#This Row],[Mdl Res Intercept]]*Inventory[[#This Row],[Res Adj ]],-2)</f>
        <v>324600</v>
      </c>
      <c r="BO1268" s="25">
        <f>ROUND(Inventory[[#This Row],[25Det]]*Inventory[[#This Row],[Det/Nbhd Adj]],-2)</f>
        <v>6400</v>
      </c>
      <c r="BP1268" s="25">
        <f>Inventory[[#This Row],[Adjusted Res]]+Inventory[[#This Row],[Adj Det ]]</f>
        <v>331000</v>
      </c>
      <c r="BQ1268" s="25">
        <f>ROUND((Inventory[[#This Row],[Mdl Land Intercept]]+Inventory[[#This Row],[Mdl LnAcres]])*Inventory[[#This Row],[Det/Nbhd Adj]],-2)</f>
        <v>28300</v>
      </c>
      <c r="BR1268" s="25">
        <f>Inventory[[#This Row],[Adjusted Impr Total]]+Inventory[[#This Row],[Adjusted Land Total]]</f>
        <v>359300</v>
      </c>
      <c r="BS1268" s="36">
        <f>IFERROR((Inventory[[#This Row],[Adjusted Impr Total]]-Inventory[[#This Row],[24Bldg]])/Inventory[[#This Row],[24Bldg]],0)</f>
        <v>0.14850798056904926</v>
      </c>
      <c r="BT1268" s="36">
        <f>(Inventory[[#This Row],[Adjusted Land Total]]-Inventory[[#This Row],[24Lnd]])/Inventory[[#This Row],[24Lnd]]</f>
        <v>-0.41528925619834711</v>
      </c>
      <c r="BU1268" s="36">
        <f>(Inventory[[#This Row],[Adjusted Total]]-Inventory[[#This Row],[24Final]])/Inventory[[#This Row],[24Final]]</f>
        <v>6.7439096850861552E-2</v>
      </c>
    </row>
    <row r="1269" spans="1:73" x14ac:dyDescent="0.3">
      <c r="A1269" s="25">
        <v>2025</v>
      </c>
      <c r="B1269" s="26" t="s">
        <v>1410</v>
      </c>
      <c r="C1269" s="26">
        <f>LN(Inventory[[#This Row],[Acres]])</f>
        <v>-1.8325814637483102</v>
      </c>
      <c r="D1269" s="25">
        <v>0.16</v>
      </c>
      <c r="E1269" s="25">
        <v>7009</v>
      </c>
      <c r="F1269" s="26" t="s">
        <v>537</v>
      </c>
      <c r="G1269" s="26" t="s">
        <v>126</v>
      </c>
      <c r="H1269" s="26" t="s">
        <v>349</v>
      </c>
      <c r="I1269" s="26" t="s">
        <v>538</v>
      </c>
      <c r="J1269" s="26" t="s">
        <v>539</v>
      </c>
      <c r="K1269" s="26" t="s">
        <v>242</v>
      </c>
      <c r="L1269" s="26" t="s">
        <v>351</v>
      </c>
      <c r="M1269" s="26" t="s">
        <v>323</v>
      </c>
      <c r="N1269" s="26">
        <v>90</v>
      </c>
      <c r="O1269" s="26">
        <f>2024-Inventory[[#This Row],[YrBlt]]</f>
        <v>84</v>
      </c>
      <c r="P1269" s="26">
        <f>2024-Inventory[[#This Row],[EffYr]]</f>
        <v>52</v>
      </c>
      <c r="Q1269" s="25">
        <v>1940</v>
      </c>
      <c r="R1269" s="25">
        <v>1972</v>
      </c>
      <c r="S1269" s="25">
        <v>847</v>
      </c>
      <c r="T1269" s="31"/>
      <c r="U1269" s="25">
        <v>847</v>
      </c>
      <c r="V1269" s="25">
        <f>Inventory[[#This Row],[Bsmt]]-Inventory[[#This Row],[FnBsmt]]</f>
        <v>635</v>
      </c>
      <c r="W1269" s="25">
        <v>212</v>
      </c>
      <c r="X1269" s="27"/>
      <c r="Y1269" s="27">
        <f>Inventory[[#This Row],[MainFn]]+Inventory[[#This Row],[UpprFn]]+Inventory[[#This Row],[FnBsmt]]+Inventory[[#This Row],[AddFn]]</f>
        <v>1059</v>
      </c>
      <c r="Z1269" s="27">
        <v>1500</v>
      </c>
      <c r="AA1269" s="25">
        <v>5</v>
      </c>
      <c r="AB1269" s="27"/>
      <c r="AC1269" s="27"/>
      <c r="AD1269" s="27"/>
      <c r="AE1269" s="27"/>
      <c r="AF1269" s="27"/>
      <c r="AG1269" s="27"/>
      <c r="AH1269" s="27"/>
      <c r="AI1269" s="25">
        <v>200621</v>
      </c>
      <c r="AJ1269" s="25">
        <v>136422</v>
      </c>
      <c r="AK1269" s="25">
        <v>4340</v>
      </c>
      <c r="AL1269" s="25">
        <v>272300</v>
      </c>
      <c r="AM1269" s="25">
        <v>50600</v>
      </c>
      <c r="AN1269" s="25">
        <v>221700</v>
      </c>
      <c r="AO1269" s="25">
        <v>0</v>
      </c>
      <c r="AP1269" s="25">
        <f>Lookups!$B$56*0</f>
        <v>0</v>
      </c>
      <c r="AQ1269" s="25">
        <f>Lookups!$B$56*1</f>
        <v>89850.625589999996</v>
      </c>
      <c r="AR1269" s="25">
        <f>Lookups!$B$57*Inventory[[#This Row],[LnAcres]]</f>
        <v>-58009.662049032086</v>
      </c>
      <c r="AS1269" s="25">
        <f>VLOOKUP(Inventory[[#This Row],[Qlty]],Lookups!$A$62:$E$75,2,FALSE)</f>
        <v>21557.329055999999</v>
      </c>
      <c r="AT1269" s="25">
        <f>VLOOKUP(Inventory[[#This Row],[Cnd]],Lookups!$A$76:$E$84,2,FALSE)</f>
        <v>160472.20319</v>
      </c>
      <c r="AU1269" s="25">
        <f>Inventory[[#This Row],[EffAge]]*Lookups!$B$85</f>
        <v>-11598.371226000001</v>
      </c>
      <c r="AV1269" s="25">
        <f>Inventory[[#This Row],[MainFn]]*Lookups!$B$86</f>
        <v>41849.143385818999</v>
      </c>
      <c r="AW1269" s="25">
        <f>Inventory[[#This Row],[UpprFn]]*Lookups!$B$87</f>
        <v>0</v>
      </c>
      <c r="AX1269" s="25">
        <f>Inventory[[#This Row],[AddFn]]*Lookups!$B$88</f>
        <v>0</v>
      </c>
      <c r="AY1269" s="25">
        <f>Inventory[[#This Row],[Bsmt]]*Lookups!$B$89</f>
        <v>24632.365274208998</v>
      </c>
      <c r="AZ1269" s="25">
        <f>Inventory[[#This Row],[Fixtures]]*Lookups!$B$90</f>
        <v>18960.110526</v>
      </c>
      <c r="BA1269" s="25">
        <f>Inventory[[#This Row],[WdDeck]]*Lookups!$B$91</f>
        <v>0</v>
      </c>
      <c r="BB1269" s="25">
        <f>ROUND(Inventory[[#This Row],[25Det]],-2)</f>
        <v>4300</v>
      </c>
      <c r="BC1269" s="25">
        <f>ROUND(SUM(Inventory[[#This Row],[Mdl Qlty]:[Mdl WdDeck]])+Inventory[[#This Row],[Mdl Res Intercept]],-2)</f>
        <v>255900</v>
      </c>
      <c r="BD1269" s="25">
        <f>ROUND(Inventory[[#This Row],[Mdl Land Intercept]]+Inventory[[#This Row],[Mdl LnAcres]],-2)</f>
        <v>31800</v>
      </c>
      <c r="BE1269" s="25">
        <f>Inventory[[#This Row],[Unadj Res Value]]+Inventory[[#This Row],[Unadj Det Value]]+Inventory[[#This Row],[Unadj Land Value]]</f>
        <v>292000</v>
      </c>
      <c r="BF1269" s="36">
        <f>(Inventory[[#This Row],[Unadj Total Value]]-Inventory[[#This Row],[24Final]])/Inventory[[#This Row],[24Final]]</f>
        <v>7.2346676459786999E-2</v>
      </c>
      <c r="BG1269" s="25">
        <f>VLOOKUP(Inventory[[#This Row],[Nbhd]],Lookups!$Q$2:$T$4,4,FALSE)</f>
        <v>0.99970000000000003</v>
      </c>
      <c r="BH1269" s="25">
        <f>VLOOKUP(Inventory[[#This Row],[Qlty]],Lookups!$O$7:$R$21,4,FALSE)</f>
        <v>1.0067999999999999</v>
      </c>
      <c r="BI1269" s="25">
        <f>VLOOKUP(Inventory[[#This Row],[Cnd]],Lookups!$T$7:$W$16,4,FALSE)</f>
        <v>0.99729999999999996</v>
      </c>
      <c r="BJ1269" s="25">
        <f>VLOOKUP(Inventory[[#This Row],[LivArea Range]],Lookups!$T$25:$W$37,4,FALSE)</f>
        <v>1.0157</v>
      </c>
      <c r="BK1269" s="25">
        <f>VLOOKUP(Inventory[[#This Row],[Decade]],Lookups!$O$25:$R$42,4,FALSE)</f>
        <v>0.98909999999999998</v>
      </c>
      <c r="BL1269" s="25">
        <f>Inventory[[#This Row],[Nbhd Adj]]*0.95</f>
        <v>0.94971499999999998</v>
      </c>
      <c r="BM1269" s="25">
        <f>Inventory[[#This Row],[Nbhd Adj]]*Inventory[[#This Row],[Quality Adj]]*Inventory[[#This Row],[Condition Adj]]*Inventory[[#This Row],[Living Area Adj]]*Inventory[[#This Row],[Decade Adj]]*0.95</f>
        <v>0.95800544533193577</v>
      </c>
      <c r="BN1269" s="25">
        <f>ROUND(SUM(Inventory[[#This Row],[Mdl Qlty]:[Mdl WdDeck]])+Inventory[[#This Row],[Mdl Res Intercept]]*Inventory[[#This Row],[Res Adj ]],-2)</f>
        <v>255900</v>
      </c>
      <c r="BO1269" s="25">
        <f>ROUND(Inventory[[#This Row],[25Det]]*Inventory[[#This Row],[Det/Nbhd Adj]],-2)</f>
        <v>4100</v>
      </c>
      <c r="BP1269" s="25">
        <f>Inventory[[#This Row],[Adjusted Res]]+Inventory[[#This Row],[Adj Det ]]</f>
        <v>260000</v>
      </c>
      <c r="BQ1269" s="25">
        <f>ROUND((Inventory[[#This Row],[Mdl Land Intercept]]+Inventory[[#This Row],[Mdl LnAcres]])*Inventory[[#This Row],[Det/Nbhd Adj]],-2)</f>
        <v>30200</v>
      </c>
      <c r="BR1269" s="25">
        <f>Inventory[[#This Row],[Adjusted Impr Total]]+Inventory[[#This Row],[Adjusted Land Total]]</f>
        <v>290200</v>
      </c>
      <c r="BS1269" s="36">
        <f>IFERROR((Inventory[[#This Row],[Adjusted Impr Total]]-Inventory[[#This Row],[24Bldg]])/Inventory[[#This Row],[24Bldg]],0)</f>
        <v>0.17275597654488048</v>
      </c>
      <c r="BT1269" s="36">
        <f>(Inventory[[#This Row],[Adjusted Land Total]]-Inventory[[#This Row],[24Lnd]])/Inventory[[#This Row],[24Lnd]]</f>
        <v>-0.40316205533596838</v>
      </c>
      <c r="BU1269" s="36">
        <f>(Inventory[[#This Row],[Adjusted Total]]-Inventory[[#This Row],[24Final]])/Inventory[[#This Row],[24Final]]</f>
        <v>6.5736320235034881E-2</v>
      </c>
    </row>
    <row r="1270" spans="1:73" x14ac:dyDescent="0.3">
      <c r="A1270" s="25">
        <v>2025</v>
      </c>
      <c r="B1270" s="26" t="s">
        <v>1573</v>
      </c>
      <c r="C1270" s="26">
        <f>LN(Inventory[[#This Row],[Acres]])</f>
        <v>-1.2729656758128873</v>
      </c>
      <c r="D1270" s="25">
        <v>0.28000000000000003</v>
      </c>
      <c r="E1270" s="32">
        <v>12137</v>
      </c>
      <c r="F1270" s="26" t="s">
        <v>537</v>
      </c>
      <c r="G1270" s="26" t="s">
        <v>126</v>
      </c>
      <c r="H1270" s="26" t="s">
        <v>349</v>
      </c>
      <c r="I1270" s="26" t="s">
        <v>538</v>
      </c>
      <c r="J1270" s="26" t="s">
        <v>539</v>
      </c>
      <c r="K1270" s="26" t="s">
        <v>173</v>
      </c>
      <c r="L1270" s="26" t="s">
        <v>351</v>
      </c>
      <c r="M1270" s="26" t="s">
        <v>323</v>
      </c>
      <c r="N1270" s="26">
        <v>90</v>
      </c>
      <c r="O1270" s="26">
        <f>2024-Inventory[[#This Row],[YrBlt]]</f>
        <v>84</v>
      </c>
      <c r="P1270" s="26">
        <f>2024-Inventory[[#This Row],[EffYr]]</f>
        <v>52</v>
      </c>
      <c r="Q1270" s="25">
        <v>1940</v>
      </c>
      <c r="R1270" s="25">
        <v>1972</v>
      </c>
      <c r="S1270" s="25">
        <v>880</v>
      </c>
      <c r="T1270" s="32">
        <v>1072</v>
      </c>
      <c r="U1270" s="25">
        <v>760</v>
      </c>
      <c r="V1270" s="25">
        <f>Inventory[[#This Row],[Bsmt]]-Inventory[[#This Row],[FnBsmt]]</f>
        <v>760</v>
      </c>
      <c r="W1270" s="31"/>
      <c r="X1270" s="27"/>
      <c r="Y1270" s="27">
        <f>Inventory[[#This Row],[MainFn]]+Inventory[[#This Row],[UpprFn]]+Inventory[[#This Row],[FnBsmt]]+Inventory[[#This Row],[AddFn]]</f>
        <v>1952</v>
      </c>
      <c r="Z1270" s="27">
        <v>2000</v>
      </c>
      <c r="AA1270" s="25">
        <v>6</v>
      </c>
      <c r="AB1270" s="27"/>
      <c r="AC1270" s="27"/>
      <c r="AD1270" s="27"/>
      <c r="AE1270" s="27"/>
      <c r="AF1270" s="27"/>
      <c r="AG1270" s="27"/>
      <c r="AH1270" s="27"/>
      <c r="AI1270" s="25">
        <v>312521</v>
      </c>
      <c r="AJ1270" s="25">
        <v>212514</v>
      </c>
      <c r="AK1270" s="25">
        <v>19848</v>
      </c>
      <c r="AL1270" s="25">
        <v>350200</v>
      </c>
      <c r="AM1270" s="25">
        <v>70100</v>
      </c>
      <c r="AN1270" s="25">
        <v>280100</v>
      </c>
      <c r="AO1270" s="25">
        <v>0</v>
      </c>
      <c r="AP1270" s="25">
        <f>Lookups!$B$56*0</f>
        <v>0</v>
      </c>
      <c r="AQ1270" s="25">
        <f>Lookups!$B$56*1</f>
        <v>89850.625589999996</v>
      </c>
      <c r="AR1270" s="25">
        <f>Lookups!$B$57*Inventory[[#This Row],[LnAcres]]</f>
        <v>-40295.239319339329</v>
      </c>
      <c r="AS1270" s="25">
        <f>VLOOKUP(Inventory[[#This Row],[Qlty]],Lookups!$A$62:$E$75,2,FALSE)</f>
        <v>21557.329055999999</v>
      </c>
      <c r="AT1270" s="25">
        <f>VLOOKUP(Inventory[[#This Row],[Cnd]],Lookups!$A$76:$E$84,2,FALSE)</f>
        <v>160472.20319</v>
      </c>
      <c r="AU1270" s="25">
        <f>Inventory[[#This Row],[EffAge]]*Lookups!$B$85</f>
        <v>-11598.371226000001</v>
      </c>
      <c r="AV1270" s="25">
        <f>Inventory[[#This Row],[MainFn]]*Lookups!$B$86</f>
        <v>43479.629491760003</v>
      </c>
      <c r="AW1270" s="25">
        <f>Inventory[[#This Row],[UpprFn]]*Lookups!$B$87</f>
        <v>48011.045306991997</v>
      </c>
      <c r="AX1270" s="25">
        <f>Inventory[[#This Row],[AddFn]]*Lookups!$B$88</f>
        <v>0</v>
      </c>
      <c r="AY1270" s="25">
        <f>Inventory[[#This Row],[Bsmt]]*Lookups!$B$89</f>
        <v>22102.240387719998</v>
      </c>
      <c r="AZ1270" s="25">
        <f>Inventory[[#This Row],[Fixtures]]*Lookups!$B$90</f>
        <v>22752.132631200002</v>
      </c>
      <c r="BA1270" s="25">
        <f>Inventory[[#This Row],[WdDeck]]*Lookups!$B$91</f>
        <v>0</v>
      </c>
      <c r="BB1270" s="25">
        <f>ROUND(Inventory[[#This Row],[25Det]],-2)</f>
        <v>19800</v>
      </c>
      <c r="BC1270" s="25">
        <f>ROUND(SUM(Inventory[[#This Row],[Mdl Qlty]:[Mdl WdDeck]])+Inventory[[#This Row],[Mdl Res Intercept]],-2)</f>
        <v>306800</v>
      </c>
      <c r="BD1270" s="25">
        <f>ROUND(Inventory[[#This Row],[Mdl Land Intercept]]+Inventory[[#This Row],[Mdl LnAcres]],-2)</f>
        <v>49600</v>
      </c>
      <c r="BE1270" s="25">
        <f>Inventory[[#This Row],[Unadj Res Value]]+Inventory[[#This Row],[Unadj Det Value]]+Inventory[[#This Row],[Unadj Land Value]]</f>
        <v>376200</v>
      </c>
      <c r="BF1270" s="36">
        <f>(Inventory[[#This Row],[Unadj Total Value]]-Inventory[[#This Row],[24Final]])/Inventory[[#This Row],[24Final]]</f>
        <v>7.4243289548829236E-2</v>
      </c>
      <c r="BG1270" s="25">
        <f>VLOOKUP(Inventory[[#This Row],[Nbhd]],Lookups!$Q$2:$T$4,4,FALSE)</f>
        <v>0.99970000000000003</v>
      </c>
      <c r="BH1270" s="25">
        <f>VLOOKUP(Inventory[[#This Row],[Qlty]],Lookups!$O$7:$R$21,4,FALSE)</f>
        <v>1.0067999999999999</v>
      </c>
      <c r="BI1270" s="25">
        <f>VLOOKUP(Inventory[[#This Row],[Cnd]],Lookups!$T$7:$W$16,4,FALSE)</f>
        <v>0.99729999999999996</v>
      </c>
      <c r="BJ1270" s="25">
        <f>VLOOKUP(Inventory[[#This Row],[LivArea Range]],Lookups!$T$25:$W$37,4,FALSE)</f>
        <v>1.0093000000000001</v>
      </c>
      <c r="BK1270" s="25">
        <f>VLOOKUP(Inventory[[#This Row],[Decade]],Lookups!$O$25:$R$42,4,FALSE)</f>
        <v>0.98909999999999998</v>
      </c>
      <c r="BL1270" s="25">
        <f>Inventory[[#This Row],[Nbhd Adj]]*0.95</f>
        <v>0.94971499999999998</v>
      </c>
      <c r="BM1270" s="25">
        <f>Inventory[[#This Row],[Nbhd Adj]]*Inventory[[#This Row],[Quality Adj]]*Inventory[[#This Row],[Condition Adj]]*Inventory[[#This Row],[Living Area Adj]]*Inventory[[#This Row],[Decade Adj]]*0.95</f>
        <v>0.95196898294134369</v>
      </c>
      <c r="BN1270" s="25">
        <f>ROUND(SUM(Inventory[[#This Row],[Mdl Qlty]:[Mdl WdDeck]])+Inventory[[#This Row],[Mdl Res Intercept]]*Inventory[[#This Row],[Res Adj ]],-2)</f>
        <v>306800</v>
      </c>
      <c r="BO1270" s="25">
        <f>ROUND(Inventory[[#This Row],[25Det]]*Inventory[[#This Row],[Det/Nbhd Adj]],-2)</f>
        <v>18800</v>
      </c>
      <c r="BP1270" s="25">
        <f>Inventory[[#This Row],[Adjusted Res]]+Inventory[[#This Row],[Adj Det ]]</f>
        <v>325600</v>
      </c>
      <c r="BQ1270" s="25">
        <f>ROUND((Inventory[[#This Row],[Mdl Land Intercept]]+Inventory[[#This Row],[Mdl LnAcres]])*Inventory[[#This Row],[Det/Nbhd Adj]],-2)</f>
        <v>47100</v>
      </c>
      <c r="BR1270" s="25">
        <f>Inventory[[#This Row],[Adjusted Impr Total]]+Inventory[[#This Row],[Adjusted Land Total]]</f>
        <v>372700</v>
      </c>
      <c r="BS1270" s="36">
        <f>IFERROR((Inventory[[#This Row],[Adjusted Impr Total]]-Inventory[[#This Row],[24Bldg]])/Inventory[[#This Row],[24Bldg]],0)</f>
        <v>0.16244198500535523</v>
      </c>
      <c r="BT1270" s="36">
        <f>(Inventory[[#This Row],[Adjusted Land Total]]-Inventory[[#This Row],[24Lnd]])/Inventory[[#This Row],[24Lnd]]</f>
        <v>-0.32810271041369471</v>
      </c>
      <c r="BU1270" s="36">
        <f>(Inventory[[#This Row],[Adjusted Total]]-Inventory[[#This Row],[24Final]])/Inventory[[#This Row],[24Final]]</f>
        <v>6.4249000571102222E-2</v>
      </c>
    </row>
    <row r="1271" spans="1:73" x14ac:dyDescent="0.3">
      <c r="A1271" s="25">
        <v>2025</v>
      </c>
      <c r="B1271" s="26" t="s">
        <v>806</v>
      </c>
      <c r="C1271" s="26">
        <f>LN(Inventory[[#This Row],[Acres]])</f>
        <v>-1.5606477482646683</v>
      </c>
      <c r="D1271" s="25">
        <v>0.21</v>
      </c>
      <c r="E1271" s="25">
        <v>8985</v>
      </c>
      <c r="F1271" s="26" t="s">
        <v>537</v>
      </c>
      <c r="G1271" s="26" t="s">
        <v>126</v>
      </c>
      <c r="H1271" s="26" t="s">
        <v>349</v>
      </c>
      <c r="I1271" s="26" t="s">
        <v>538</v>
      </c>
      <c r="J1271" s="26" t="s">
        <v>539</v>
      </c>
      <c r="K1271" s="26" t="s">
        <v>242</v>
      </c>
      <c r="L1271" s="26" t="s">
        <v>205</v>
      </c>
      <c r="M1271" s="26" t="s">
        <v>303</v>
      </c>
      <c r="N1271" s="26">
        <v>90</v>
      </c>
      <c r="O1271" s="26">
        <f>2024-Inventory[[#This Row],[YrBlt]]</f>
        <v>84</v>
      </c>
      <c r="P1271" s="26">
        <f>2024-Inventory[[#This Row],[EffYr]]</f>
        <v>52</v>
      </c>
      <c r="Q1271" s="25">
        <v>1940</v>
      </c>
      <c r="R1271" s="25">
        <v>1972</v>
      </c>
      <c r="S1271" s="25">
        <v>922</v>
      </c>
      <c r="T1271" s="31"/>
      <c r="U1271" s="25">
        <v>922</v>
      </c>
      <c r="V1271" s="32">
        <f>Inventory[[#This Row],[Bsmt]]-Inventory[[#This Row],[FnBsmt]]</f>
        <v>461</v>
      </c>
      <c r="W1271" s="32">
        <v>461</v>
      </c>
      <c r="X1271" s="27"/>
      <c r="Y1271" s="27">
        <f>Inventory[[#This Row],[MainFn]]+Inventory[[#This Row],[UpprFn]]+Inventory[[#This Row],[FnBsmt]]+Inventory[[#This Row],[AddFn]]</f>
        <v>1383</v>
      </c>
      <c r="Z1271" s="27">
        <v>1500</v>
      </c>
      <c r="AA1271" s="25">
        <v>5</v>
      </c>
      <c r="AB1271" s="27"/>
      <c r="AC1271" s="27"/>
      <c r="AD1271" s="27"/>
      <c r="AE1271" s="27"/>
      <c r="AF1271" s="27"/>
      <c r="AG1271" s="27"/>
      <c r="AH1271" s="27"/>
      <c r="AI1271" s="25">
        <v>205483</v>
      </c>
      <c r="AJ1271" s="25">
        <v>143838</v>
      </c>
      <c r="AK1271" s="25">
        <v>5261</v>
      </c>
      <c r="AL1271" s="25">
        <v>301600</v>
      </c>
      <c r="AM1271" s="25">
        <v>60100</v>
      </c>
      <c r="AN1271" s="25">
        <v>241500</v>
      </c>
      <c r="AO1271" s="25">
        <v>0</v>
      </c>
      <c r="AP1271" s="25">
        <f>Lookups!$B$56*0</f>
        <v>0</v>
      </c>
      <c r="AQ1271" s="25">
        <f>Lookups!$B$56*1</f>
        <v>89850.625589999996</v>
      </c>
      <c r="AR1271" s="25">
        <f>Lookups!$B$57*Inventory[[#This Row],[LnAcres]]</f>
        <v>-49401.70477837498</v>
      </c>
      <c r="AS1271" s="25">
        <f>VLOOKUP(Inventory[[#This Row],[Qlty]],Lookups!$A$62:$E$75,2,FALSE)</f>
        <v>0</v>
      </c>
      <c r="AT1271" s="25">
        <f>VLOOKUP(Inventory[[#This Row],[Cnd]],Lookups!$A$76:$E$84,2,FALSE)</f>
        <v>197752.34721000001</v>
      </c>
      <c r="AU1271" s="25">
        <f>Inventory[[#This Row],[EffAge]]*Lookups!$B$85</f>
        <v>-11598.371226000001</v>
      </c>
      <c r="AV1271" s="25">
        <f>Inventory[[#This Row],[MainFn]]*Lookups!$B$86</f>
        <v>45554.793626594001</v>
      </c>
      <c r="AW1271" s="25">
        <f>Inventory[[#This Row],[UpprFn]]*Lookups!$B$87</f>
        <v>0</v>
      </c>
      <c r="AX1271" s="25">
        <f>Inventory[[#This Row],[AddFn]]*Lookups!$B$88</f>
        <v>0</v>
      </c>
      <c r="AY1271" s="25">
        <f>Inventory[[#This Row],[Bsmt]]*Lookups!$B$89</f>
        <v>26813.507417733999</v>
      </c>
      <c r="AZ1271" s="25">
        <f>Inventory[[#This Row],[Fixtures]]*Lookups!$B$90</f>
        <v>18960.110526</v>
      </c>
      <c r="BA1271" s="25">
        <f>Inventory[[#This Row],[WdDeck]]*Lookups!$B$91</f>
        <v>0</v>
      </c>
      <c r="BB1271" s="25">
        <f>ROUND(Inventory[[#This Row],[25Det]],-2)</f>
        <v>5300</v>
      </c>
      <c r="BC1271" s="25">
        <f>ROUND(SUM(Inventory[[#This Row],[Mdl Qlty]:[Mdl WdDeck]])+Inventory[[#This Row],[Mdl Res Intercept]],-2)</f>
        <v>277500</v>
      </c>
      <c r="BD1271" s="25">
        <f>ROUND(Inventory[[#This Row],[Mdl Land Intercept]]+Inventory[[#This Row],[Mdl LnAcres]],-2)</f>
        <v>40400</v>
      </c>
      <c r="BE1271" s="25">
        <f>Inventory[[#This Row],[Unadj Res Value]]+Inventory[[#This Row],[Unadj Det Value]]+Inventory[[#This Row],[Unadj Land Value]]</f>
        <v>323200</v>
      </c>
      <c r="BF1271" s="36">
        <f>(Inventory[[#This Row],[Unadj Total Value]]-Inventory[[#This Row],[24Final]])/Inventory[[#This Row],[24Final]]</f>
        <v>7.161803713527852E-2</v>
      </c>
      <c r="BG1271" s="25">
        <f>VLOOKUP(Inventory[[#This Row],[Nbhd]],Lookups!$Q$2:$T$4,4,FALSE)</f>
        <v>0.99970000000000003</v>
      </c>
      <c r="BH1271" s="25">
        <f>VLOOKUP(Inventory[[#This Row],[Qlty]],Lookups!$O$7:$R$21,4,FALSE)</f>
        <v>0.99180000000000001</v>
      </c>
      <c r="BI1271" s="25">
        <f>VLOOKUP(Inventory[[#This Row],[Cnd]],Lookups!$T$7:$W$16,4,FALSE)</f>
        <v>0.99650000000000005</v>
      </c>
      <c r="BJ1271" s="25">
        <f>VLOOKUP(Inventory[[#This Row],[LivArea Range]],Lookups!$T$25:$W$37,4,FALSE)</f>
        <v>1.0157</v>
      </c>
      <c r="BK1271" s="25">
        <f>VLOOKUP(Inventory[[#This Row],[Decade]],Lookups!$O$25:$R$42,4,FALSE)</f>
        <v>0.98909999999999998</v>
      </c>
      <c r="BL1271" s="25">
        <f>Inventory[[#This Row],[Nbhd Adj]]*0.95</f>
        <v>0.94971499999999998</v>
      </c>
      <c r="BM1271" s="25">
        <f>Inventory[[#This Row],[Nbhd Adj]]*Inventory[[#This Row],[Quality Adj]]*Inventory[[#This Row],[Condition Adj]]*Inventory[[#This Row],[Living Area Adj]]*Inventory[[#This Row],[Decade Adj]]*0.95</f>
        <v>0.94297539030574595</v>
      </c>
      <c r="BN1271" s="25">
        <f>ROUND(SUM(Inventory[[#This Row],[Mdl Qlty]:[Mdl WdDeck]])+Inventory[[#This Row],[Mdl Res Intercept]]*Inventory[[#This Row],[Res Adj ]],-2)</f>
        <v>277500</v>
      </c>
      <c r="BO1271" s="25">
        <f>ROUND(Inventory[[#This Row],[25Det]]*Inventory[[#This Row],[Det/Nbhd Adj]],-2)</f>
        <v>5000</v>
      </c>
      <c r="BP1271" s="25">
        <f>Inventory[[#This Row],[Adjusted Res]]+Inventory[[#This Row],[Adj Det ]]</f>
        <v>282500</v>
      </c>
      <c r="BQ1271" s="25">
        <f>ROUND((Inventory[[#This Row],[Mdl Land Intercept]]+Inventory[[#This Row],[Mdl LnAcres]])*Inventory[[#This Row],[Det/Nbhd Adj]],-2)</f>
        <v>38400</v>
      </c>
      <c r="BR1271" s="25">
        <f>Inventory[[#This Row],[Adjusted Impr Total]]+Inventory[[#This Row],[Adjusted Land Total]]</f>
        <v>320900</v>
      </c>
      <c r="BS1271" s="36">
        <f>IFERROR((Inventory[[#This Row],[Adjusted Impr Total]]-Inventory[[#This Row],[24Bldg]])/Inventory[[#This Row],[24Bldg]],0)</f>
        <v>0.16977225672877846</v>
      </c>
      <c r="BT1271" s="36">
        <f>(Inventory[[#This Row],[Adjusted Land Total]]-Inventory[[#This Row],[24Lnd]])/Inventory[[#This Row],[24Lnd]]</f>
        <v>-0.36106489184692181</v>
      </c>
      <c r="BU1271" s="36">
        <f>(Inventory[[#This Row],[Adjusted Total]]-Inventory[[#This Row],[24Final]])/Inventory[[#This Row],[24Final]]</f>
        <v>6.3992042440318309E-2</v>
      </c>
    </row>
    <row r="1272" spans="1:73" x14ac:dyDescent="0.3">
      <c r="A1272" s="25">
        <v>2025</v>
      </c>
      <c r="B1272" s="26" t="s">
        <v>1892</v>
      </c>
      <c r="C1272" s="26">
        <f>LN(Inventory[[#This Row],[Acres]])</f>
        <v>-1.5141277326297755</v>
      </c>
      <c r="D1272" s="25">
        <v>0.22</v>
      </c>
      <c r="E1272" s="27"/>
      <c r="F1272" s="26" t="s">
        <v>537</v>
      </c>
      <c r="G1272" s="26" t="s">
        <v>126</v>
      </c>
      <c r="H1272" s="26" t="s">
        <v>349</v>
      </c>
      <c r="I1272" s="26" t="s">
        <v>538</v>
      </c>
      <c r="J1272" s="26" t="s">
        <v>539</v>
      </c>
      <c r="K1272" s="26" t="s">
        <v>242</v>
      </c>
      <c r="L1272" s="26" t="s">
        <v>351</v>
      </c>
      <c r="M1272" s="26" t="s">
        <v>303</v>
      </c>
      <c r="N1272" s="26">
        <v>90</v>
      </c>
      <c r="O1272" s="26">
        <f>2024-Inventory[[#This Row],[YrBlt]]</f>
        <v>84</v>
      </c>
      <c r="P1272" s="26">
        <f>2024-Inventory[[#This Row],[EffYr]]</f>
        <v>52</v>
      </c>
      <c r="Q1272" s="25">
        <v>1940</v>
      </c>
      <c r="R1272" s="25">
        <v>1972</v>
      </c>
      <c r="S1272" s="25">
        <v>1046</v>
      </c>
      <c r="T1272" s="27"/>
      <c r="U1272" s="25">
        <v>794</v>
      </c>
      <c r="V1272" s="32">
        <f>Inventory[[#This Row],[Bsmt]]-Inventory[[#This Row],[FnBsmt]]</f>
        <v>0</v>
      </c>
      <c r="W1272" s="32">
        <v>794</v>
      </c>
      <c r="X1272" s="27"/>
      <c r="Y1272" s="27">
        <f>Inventory[[#This Row],[MainFn]]+Inventory[[#This Row],[UpprFn]]+Inventory[[#This Row],[FnBsmt]]+Inventory[[#This Row],[AddFn]]</f>
        <v>1840</v>
      </c>
      <c r="Z1272" s="27">
        <v>2000</v>
      </c>
      <c r="AA1272" s="25">
        <v>8</v>
      </c>
      <c r="AB1272" s="27"/>
      <c r="AC1272" s="32">
        <v>252</v>
      </c>
      <c r="AD1272" s="27"/>
      <c r="AE1272" s="27"/>
      <c r="AF1272" s="27"/>
      <c r="AG1272" s="27"/>
      <c r="AH1272" s="27"/>
      <c r="AI1272" s="25">
        <v>256657</v>
      </c>
      <c r="AJ1272" s="25">
        <v>179660</v>
      </c>
      <c r="AK1272" s="25">
        <v>0</v>
      </c>
      <c r="AL1272" s="25">
        <v>331500</v>
      </c>
      <c r="AM1272" s="25">
        <v>61700</v>
      </c>
      <c r="AN1272" s="25">
        <v>269800</v>
      </c>
      <c r="AO1272" s="25">
        <v>0</v>
      </c>
      <c r="AP1272" s="25">
        <f>Lookups!$B$56*0</f>
        <v>0</v>
      </c>
      <c r="AQ1272" s="25">
        <f>Lookups!$B$56*1</f>
        <v>89850.625589999996</v>
      </c>
      <c r="AR1272" s="25">
        <f>Lookups!$B$57*Inventory[[#This Row],[LnAcres]]</f>
        <v>-47929.131559187132</v>
      </c>
      <c r="AS1272" s="25">
        <f>VLOOKUP(Inventory[[#This Row],[Qlty]],Lookups!$A$62:$E$75,2,FALSE)</f>
        <v>21557.329055999999</v>
      </c>
      <c r="AT1272" s="25">
        <f>VLOOKUP(Inventory[[#This Row],[Cnd]],Lookups!$A$76:$E$84,2,FALSE)</f>
        <v>197752.34721000001</v>
      </c>
      <c r="AU1272" s="25">
        <f>Inventory[[#This Row],[EffAge]]*Lookups!$B$85</f>
        <v>-11598.371226000001</v>
      </c>
      <c r="AV1272" s="25">
        <f>Inventory[[#This Row],[MainFn]]*Lookups!$B$86</f>
        <v>51681.468691342001</v>
      </c>
      <c r="AW1272" s="25">
        <f>Inventory[[#This Row],[UpprFn]]*Lookups!$B$87</f>
        <v>0</v>
      </c>
      <c r="AX1272" s="25">
        <f>Inventory[[#This Row],[AddFn]]*Lookups!$B$88</f>
        <v>0</v>
      </c>
      <c r="AY1272" s="25">
        <f>Inventory[[#This Row],[Bsmt]]*Lookups!$B$89</f>
        <v>23091.024826117999</v>
      </c>
      <c r="AZ1272" s="25">
        <f>Inventory[[#This Row],[Fixtures]]*Lookups!$B$90</f>
        <v>30336.176841600001</v>
      </c>
      <c r="BA1272" s="25">
        <f>Inventory[[#This Row],[WdDeck]]*Lookups!$B$91</f>
        <v>0</v>
      </c>
      <c r="BB1272" s="25">
        <f>ROUND(Inventory[[#This Row],[25Det]],-2)</f>
        <v>0</v>
      </c>
      <c r="BC1272" s="25">
        <f>ROUND(SUM(Inventory[[#This Row],[Mdl Qlty]:[Mdl WdDeck]])+Inventory[[#This Row],[Mdl Res Intercept]],-2)</f>
        <v>312800</v>
      </c>
      <c r="BD1272" s="25">
        <f>ROUND(Inventory[[#This Row],[Mdl Land Intercept]]+Inventory[[#This Row],[Mdl LnAcres]],-2)</f>
        <v>41900</v>
      </c>
      <c r="BE1272" s="25">
        <f>Inventory[[#This Row],[Unadj Res Value]]+Inventory[[#This Row],[Unadj Det Value]]+Inventory[[#This Row],[Unadj Land Value]]</f>
        <v>354700</v>
      </c>
      <c r="BF1272" s="36">
        <f>(Inventory[[#This Row],[Unadj Total Value]]-Inventory[[#This Row],[24Final]])/Inventory[[#This Row],[24Final]]</f>
        <v>6.9984917043740574E-2</v>
      </c>
      <c r="BG1272" s="25">
        <f>VLOOKUP(Inventory[[#This Row],[Nbhd]],Lookups!$Q$2:$T$4,4,FALSE)</f>
        <v>0.99970000000000003</v>
      </c>
      <c r="BH1272" s="25">
        <f>VLOOKUP(Inventory[[#This Row],[Qlty]],Lookups!$O$7:$R$21,4,FALSE)</f>
        <v>1.0067999999999999</v>
      </c>
      <c r="BI1272" s="25">
        <f>VLOOKUP(Inventory[[#This Row],[Cnd]],Lookups!$T$7:$W$16,4,FALSE)</f>
        <v>0.99650000000000005</v>
      </c>
      <c r="BJ1272" s="25">
        <f>VLOOKUP(Inventory[[#This Row],[LivArea Range]],Lookups!$T$25:$W$37,4,FALSE)</f>
        <v>1.0093000000000001</v>
      </c>
      <c r="BK1272" s="25">
        <f>VLOOKUP(Inventory[[#This Row],[Decade]],Lookups!$O$25:$R$42,4,FALSE)</f>
        <v>0.98909999999999998</v>
      </c>
      <c r="BL1272" s="25">
        <f>Inventory[[#This Row],[Nbhd Adj]]*0.95</f>
        <v>0.94971499999999998</v>
      </c>
      <c r="BM1272" s="25">
        <f>Inventory[[#This Row],[Nbhd Adj]]*Inventory[[#This Row],[Quality Adj]]*Inventory[[#This Row],[Condition Adj]]*Inventory[[#This Row],[Living Area Adj]]*Inventory[[#This Row],[Decade Adj]]*0.95</f>
        <v>0.95120534593507355</v>
      </c>
      <c r="BN1272" s="25">
        <f>ROUND(SUM(Inventory[[#This Row],[Mdl Qlty]:[Mdl WdDeck]])+Inventory[[#This Row],[Mdl Res Intercept]]*Inventory[[#This Row],[Res Adj ]],-2)</f>
        <v>312800</v>
      </c>
      <c r="BO1272" s="25">
        <f>ROUND(Inventory[[#This Row],[25Det]]*Inventory[[#This Row],[Det/Nbhd Adj]],-2)</f>
        <v>0</v>
      </c>
      <c r="BP1272" s="25">
        <f>Inventory[[#This Row],[Adjusted Res]]+Inventory[[#This Row],[Adj Det ]]</f>
        <v>312800</v>
      </c>
      <c r="BQ1272" s="25">
        <f>ROUND((Inventory[[#This Row],[Mdl Land Intercept]]+Inventory[[#This Row],[Mdl LnAcres]])*Inventory[[#This Row],[Det/Nbhd Adj]],-2)</f>
        <v>39800</v>
      </c>
      <c r="BR1272" s="25">
        <f>Inventory[[#This Row],[Adjusted Impr Total]]+Inventory[[#This Row],[Adjusted Land Total]]</f>
        <v>352600</v>
      </c>
      <c r="BS1272" s="36">
        <f>IFERROR((Inventory[[#This Row],[Adjusted Impr Total]]-Inventory[[#This Row],[24Bldg]])/Inventory[[#This Row],[24Bldg]],0)</f>
        <v>0.15937731653076354</v>
      </c>
      <c r="BT1272" s="36">
        <f>(Inventory[[#This Row],[Adjusted Land Total]]-Inventory[[#This Row],[24Lnd]])/Inventory[[#This Row],[24Lnd]]</f>
        <v>-0.35494327390599678</v>
      </c>
      <c r="BU1272" s="36">
        <f>(Inventory[[#This Row],[Adjusted Total]]-Inventory[[#This Row],[24Final]])/Inventory[[#This Row],[24Final]]</f>
        <v>6.3650075414781293E-2</v>
      </c>
    </row>
    <row r="1273" spans="1:73" x14ac:dyDescent="0.3">
      <c r="A1273" s="25">
        <v>2025</v>
      </c>
      <c r="B1273" s="26" t="s">
        <v>2574</v>
      </c>
      <c r="C1273" s="26">
        <f>LN(Inventory[[#This Row],[Acres]])</f>
        <v>-1.9661128563728327</v>
      </c>
      <c r="D1273" s="25">
        <v>0.14000000000000001</v>
      </c>
      <c r="E1273" s="32">
        <v>6235</v>
      </c>
      <c r="F1273" s="26" t="s">
        <v>537</v>
      </c>
      <c r="G1273" s="26" t="s">
        <v>126</v>
      </c>
      <c r="H1273" s="26" t="s">
        <v>349</v>
      </c>
      <c r="I1273" s="26" t="s">
        <v>538</v>
      </c>
      <c r="J1273" s="26" t="s">
        <v>539</v>
      </c>
      <c r="K1273" s="26" t="s">
        <v>242</v>
      </c>
      <c r="L1273" s="26" t="s">
        <v>351</v>
      </c>
      <c r="M1273" s="26" t="s">
        <v>323</v>
      </c>
      <c r="N1273" s="26">
        <v>90</v>
      </c>
      <c r="O1273" s="26">
        <f>2024-Inventory[[#This Row],[YrBlt]]</f>
        <v>84</v>
      </c>
      <c r="P1273" s="26">
        <f>2024-Inventory[[#This Row],[EffYr]]</f>
        <v>52</v>
      </c>
      <c r="Q1273" s="25">
        <v>1940</v>
      </c>
      <c r="R1273" s="25">
        <v>1972</v>
      </c>
      <c r="S1273" s="25">
        <v>968</v>
      </c>
      <c r="T1273" s="27"/>
      <c r="U1273" s="25">
        <v>968</v>
      </c>
      <c r="V1273" s="25">
        <f>Inventory[[#This Row],[Bsmt]]-Inventory[[#This Row],[FnBsmt]]</f>
        <v>0</v>
      </c>
      <c r="W1273" s="25">
        <v>968</v>
      </c>
      <c r="X1273" s="27"/>
      <c r="Y1273" s="27">
        <f>Inventory[[#This Row],[MainFn]]+Inventory[[#This Row],[UpprFn]]+Inventory[[#This Row],[FnBsmt]]+Inventory[[#This Row],[AddFn]]</f>
        <v>1936</v>
      </c>
      <c r="Z1273" s="27">
        <v>2000</v>
      </c>
      <c r="AA1273" s="25">
        <v>8</v>
      </c>
      <c r="AB1273" s="27"/>
      <c r="AC1273" s="27"/>
      <c r="AD1273" s="25">
        <v>404</v>
      </c>
      <c r="AE1273" s="27"/>
      <c r="AF1273" s="27"/>
      <c r="AG1273" s="27"/>
      <c r="AH1273" s="27"/>
      <c r="AI1273" s="25">
        <v>259646</v>
      </c>
      <c r="AJ1273" s="25">
        <v>176559</v>
      </c>
      <c r="AK1273" s="25">
        <v>0</v>
      </c>
      <c r="AL1273" s="25">
        <v>297500</v>
      </c>
      <c r="AM1273" s="25">
        <v>46000</v>
      </c>
      <c r="AN1273" s="25">
        <v>251500</v>
      </c>
      <c r="AO1273" s="25">
        <v>0</v>
      </c>
      <c r="AP1273" s="25">
        <f>Lookups!$B$56*0</f>
        <v>0</v>
      </c>
      <c r="AQ1273" s="25">
        <f>Lookups!$B$56*1</f>
        <v>89850.625589999996</v>
      </c>
      <c r="AR1273" s="25">
        <f>Lookups!$B$57*Inventory[[#This Row],[LnAcres]]</f>
        <v>-62236.546971921947</v>
      </c>
      <c r="AS1273" s="25">
        <f>VLOOKUP(Inventory[[#This Row],[Qlty]],Lookups!$A$62:$E$75,2,FALSE)</f>
        <v>21557.329055999999</v>
      </c>
      <c r="AT1273" s="25">
        <f>VLOOKUP(Inventory[[#This Row],[Cnd]],Lookups!$A$76:$E$84,2,FALSE)</f>
        <v>160472.20319</v>
      </c>
      <c r="AU1273" s="25">
        <f>Inventory[[#This Row],[EffAge]]*Lookups!$B$85</f>
        <v>-11598.371226000001</v>
      </c>
      <c r="AV1273" s="25">
        <f>Inventory[[#This Row],[MainFn]]*Lookups!$B$86</f>
        <v>47827.592440936001</v>
      </c>
      <c r="AW1273" s="25">
        <f>Inventory[[#This Row],[UpprFn]]*Lookups!$B$87</f>
        <v>0</v>
      </c>
      <c r="AX1273" s="25">
        <f>Inventory[[#This Row],[AddFn]]*Lookups!$B$88</f>
        <v>0</v>
      </c>
      <c r="AY1273" s="25">
        <f>Inventory[[#This Row],[Bsmt]]*Lookups!$B$89</f>
        <v>28151.274599095999</v>
      </c>
      <c r="AZ1273" s="25">
        <f>Inventory[[#This Row],[Fixtures]]*Lookups!$B$90</f>
        <v>30336.176841600001</v>
      </c>
      <c r="BA1273" s="25">
        <f>Inventory[[#This Row],[WdDeck]]*Lookups!$B$91</f>
        <v>13451.388171504001</v>
      </c>
      <c r="BB1273" s="25">
        <f>ROUND(Inventory[[#This Row],[25Det]],-2)</f>
        <v>0</v>
      </c>
      <c r="BC1273" s="25">
        <f>ROUND(SUM(Inventory[[#This Row],[Mdl Qlty]:[Mdl WdDeck]])+Inventory[[#This Row],[Mdl Res Intercept]],-2)</f>
        <v>290200</v>
      </c>
      <c r="BD1273" s="25">
        <f>ROUND(Inventory[[#This Row],[Mdl Land Intercept]]+Inventory[[#This Row],[Mdl LnAcres]],-2)</f>
        <v>27600</v>
      </c>
      <c r="BE1273" s="25">
        <f>Inventory[[#This Row],[Unadj Res Value]]+Inventory[[#This Row],[Unadj Det Value]]+Inventory[[#This Row],[Unadj Land Value]]</f>
        <v>317800</v>
      </c>
      <c r="BF1273" s="36">
        <f>(Inventory[[#This Row],[Unadj Total Value]]-Inventory[[#This Row],[24Final]])/Inventory[[#This Row],[24Final]]</f>
        <v>6.8235294117647061E-2</v>
      </c>
      <c r="BG1273" s="25">
        <f>VLOOKUP(Inventory[[#This Row],[Nbhd]],Lookups!$Q$2:$T$4,4,FALSE)</f>
        <v>0.99970000000000003</v>
      </c>
      <c r="BH1273" s="25">
        <f>VLOOKUP(Inventory[[#This Row],[Qlty]],Lookups!$O$7:$R$21,4,FALSE)</f>
        <v>1.0067999999999999</v>
      </c>
      <c r="BI1273" s="25">
        <f>VLOOKUP(Inventory[[#This Row],[Cnd]],Lookups!$T$7:$W$16,4,FALSE)</f>
        <v>0.99729999999999996</v>
      </c>
      <c r="BJ1273" s="25">
        <f>VLOOKUP(Inventory[[#This Row],[LivArea Range]],Lookups!$T$25:$W$37,4,FALSE)</f>
        <v>1.0093000000000001</v>
      </c>
      <c r="BK1273" s="25">
        <f>VLOOKUP(Inventory[[#This Row],[Decade]],Lookups!$O$25:$R$42,4,FALSE)</f>
        <v>0.98909999999999998</v>
      </c>
      <c r="BL1273" s="25">
        <f>Inventory[[#This Row],[Nbhd Adj]]*0.95</f>
        <v>0.94971499999999998</v>
      </c>
      <c r="BM1273" s="25">
        <f>Inventory[[#This Row],[Nbhd Adj]]*Inventory[[#This Row],[Quality Adj]]*Inventory[[#This Row],[Condition Adj]]*Inventory[[#This Row],[Living Area Adj]]*Inventory[[#This Row],[Decade Adj]]*0.95</f>
        <v>0.95196898294134369</v>
      </c>
      <c r="BN1273" s="25">
        <f>ROUND(SUM(Inventory[[#This Row],[Mdl Qlty]:[Mdl WdDeck]])+Inventory[[#This Row],[Mdl Res Intercept]]*Inventory[[#This Row],[Res Adj ]],-2)</f>
        <v>290200</v>
      </c>
      <c r="BO1273" s="25">
        <f>ROUND(Inventory[[#This Row],[25Det]]*Inventory[[#This Row],[Det/Nbhd Adj]],-2)</f>
        <v>0</v>
      </c>
      <c r="BP1273" s="25">
        <f>Inventory[[#This Row],[Adjusted Res]]+Inventory[[#This Row],[Adj Det ]]</f>
        <v>290200</v>
      </c>
      <c r="BQ1273" s="25">
        <f>ROUND((Inventory[[#This Row],[Mdl Land Intercept]]+Inventory[[#This Row],[Mdl LnAcres]])*Inventory[[#This Row],[Det/Nbhd Adj]],-2)</f>
        <v>26200</v>
      </c>
      <c r="BR1273" s="25">
        <f>Inventory[[#This Row],[Adjusted Impr Total]]+Inventory[[#This Row],[Adjusted Land Total]]</f>
        <v>316400</v>
      </c>
      <c r="BS1273" s="36">
        <f>IFERROR((Inventory[[#This Row],[Adjusted Impr Total]]-Inventory[[#This Row],[24Bldg]])/Inventory[[#This Row],[24Bldg]],0)</f>
        <v>0.15387673956262427</v>
      </c>
      <c r="BT1273" s="36">
        <f>(Inventory[[#This Row],[Adjusted Land Total]]-Inventory[[#This Row],[24Lnd]])/Inventory[[#This Row],[24Lnd]]</f>
        <v>-0.43043478260869567</v>
      </c>
      <c r="BU1273" s="36">
        <f>(Inventory[[#This Row],[Adjusted Total]]-Inventory[[#This Row],[24Final]])/Inventory[[#This Row],[24Final]]</f>
        <v>6.3529411764705876E-2</v>
      </c>
    </row>
    <row r="1274" spans="1:73" x14ac:dyDescent="0.3">
      <c r="A1274" s="25">
        <v>2025</v>
      </c>
      <c r="B1274" s="26" t="s">
        <v>2260</v>
      </c>
      <c r="C1274" s="26">
        <f>LN(Inventory[[#This Row],[Acres]])</f>
        <v>-2.0402208285265546</v>
      </c>
      <c r="D1274" s="25">
        <v>0.13</v>
      </c>
      <c r="E1274" s="27"/>
      <c r="F1274" s="26" t="s">
        <v>537</v>
      </c>
      <c r="G1274" s="26" t="s">
        <v>126</v>
      </c>
      <c r="H1274" s="26" t="s">
        <v>349</v>
      </c>
      <c r="I1274" s="26" t="s">
        <v>538</v>
      </c>
      <c r="J1274" s="26" t="s">
        <v>539</v>
      </c>
      <c r="K1274" s="26" t="s">
        <v>242</v>
      </c>
      <c r="L1274" s="26" t="s">
        <v>351</v>
      </c>
      <c r="M1274" s="26" t="s">
        <v>303</v>
      </c>
      <c r="N1274" s="26">
        <v>90</v>
      </c>
      <c r="O1274" s="26">
        <f>2024-Inventory[[#This Row],[YrBlt]]</f>
        <v>84</v>
      </c>
      <c r="P1274" s="26">
        <f>2024-Inventory[[#This Row],[EffYr]]</f>
        <v>52</v>
      </c>
      <c r="Q1274" s="25">
        <v>1940</v>
      </c>
      <c r="R1274" s="25">
        <v>1972</v>
      </c>
      <c r="S1274" s="25">
        <v>963</v>
      </c>
      <c r="T1274" s="31"/>
      <c r="U1274" s="25">
        <v>747</v>
      </c>
      <c r="V1274" s="32">
        <f>Inventory[[#This Row],[Bsmt]]-Inventory[[#This Row],[FnBsmt]]</f>
        <v>162</v>
      </c>
      <c r="W1274" s="32">
        <v>585</v>
      </c>
      <c r="X1274" s="27"/>
      <c r="Y1274" s="27">
        <f>Inventory[[#This Row],[MainFn]]+Inventory[[#This Row],[UpprFn]]+Inventory[[#This Row],[FnBsmt]]+Inventory[[#This Row],[AddFn]]</f>
        <v>1548</v>
      </c>
      <c r="Z1274" s="27">
        <v>2000</v>
      </c>
      <c r="AA1274" s="25">
        <v>5</v>
      </c>
      <c r="AB1274" s="27"/>
      <c r="AC1274" s="27"/>
      <c r="AD1274" s="27"/>
      <c r="AE1274" s="27"/>
      <c r="AF1274" s="27"/>
      <c r="AG1274" s="27"/>
      <c r="AH1274" s="27"/>
      <c r="AI1274" s="25">
        <v>229793</v>
      </c>
      <c r="AJ1274" s="25">
        <v>160855</v>
      </c>
      <c r="AK1274" s="25">
        <v>5073</v>
      </c>
      <c r="AL1274" s="25">
        <v>305600</v>
      </c>
      <c r="AM1274" s="25">
        <v>43400</v>
      </c>
      <c r="AN1274" s="25">
        <v>262200</v>
      </c>
      <c r="AO1274" s="25">
        <v>0</v>
      </c>
      <c r="AP1274" s="25">
        <f>Lookups!$B$56*0</f>
        <v>0</v>
      </c>
      <c r="AQ1274" s="25">
        <f>Lookups!$B$56*1</f>
        <v>89850.625589999996</v>
      </c>
      <c r="AR1274" s="25">
        <f>Lookups!$B$57*Inventory[[#This Row],[LnAcres]]</f>
        <v>-64582.406353792743</v>
      </c>
      <c r="AS1274" s="25">
        <f>VLOOKUP(Inventory[[#This Row],[Qlty]],Lookups!$A$62:$E$75,2,FALSE)</f>
        <v>21557.329055999999</v>
      </c>
      <c r="AT1274" s="25">
        <f>VLOOKUP(Inventory[[#This Row],[Cnd]],Lookups!$A$76:$E$84,2,FALSE)</f>
        <v>197752.34721000001</v>
      </c>
      <c r="AU1274" s="25">
        <f>Inventory[[#This Row],[EffAge]]*Lookups!$B$85</f>
        <v>-11598.371226000001</v>
      </c>
      <c r="AV1274" s="25">
        <f>Inventory[[#This Row],[MainFn]]*Lookups!$B$86</f>
        <v>47580.549091551002</v>
      </c>
      <c r="AW1274" s="25">
        <f>Inventory[[#This Row],[UpprFn]]*Lookups!$B$87</f>
        <v>0</v>
      </c>
      <c r="AX1274" s="25">
        <f>Inventory[[#This Row],[AddFn]]*Lookups!$B$88</f>
        <v>0</v>
      </c>
      <c r="AY1274" s="25">
        <f>Inventory[[#This Row],[Bsmt]]*Lookups!$B$89</f>
        <v>21724.175749508999</v>
      </c>
      <c r="AZ1274" s="25">
        <f>Inventory[[#This Row],[Fixtures]]*Lookups!$B$90</f>
        <v>18960.110526</v>
      </c>
      <c r="BA1274" s="25">
        <f>Inventory[[#This Row],[WdDeck]]*Lookups!$B$91</f>
        <v>0</v>
      </c>
      <c r="BB1274" s="25">
        <f>ROUND(Inventory[[#This Row],[25Det]],-2)</f>
        <v>5100</v>
      </c>
      <c r="BC1274" s="25">
        <f>ROUND(SUM(Inventory[[#This Row],[Mdl Qlty]:[Mdl WdDeck]])+Inventory[[#This Row],[Mdl Res Intercept]],-2)</f>
        <v>296000</v>
      </c>
      <c r="BD1274" s="25">
        <f>ROUND(Inventory[[#This Row],[Mdl Land Intercept]]+Inventory[[#This Row],[Mdl LnAcres]],-2)</f>
        <v>25300</v>
      </c>
      <c r="BE1274" s="25">
        <f>Inventory[[#This Row],[Unadj Res Value]]+Inventory[[#This Row],[Unadj Det Value]]+Inventory[[#This Row],[Unadj Land Value]]</f>
        <v>326400</v>
      </c>
      <c r="BF1274" s="36">
        <f>(Inventory[[#This Row],[Unadj Total Value]]-Inventory[[#This Row],[24Final]])/Inventory[[#This Row],[24Final]]</f>
        <v>6.8062827225130892E-2</v>
      </c>
      <c r="BG1274" s="25">
        <f>VLOOKUP(Inventory[[#This Row],[Nbhd]],Lookups!$Q$2:$T$4,4,FALSE)</f>
        <v>0.99970000000000003</v>
      </c>
      <c r="BH1274" s="25">
        <f>VLOOKUP(Inventory[[#This Row],[Qlty]],Lookups!$O$7:$R$21,4,FALSE)</f>
        <v>1.0067999999999999</v>
      </c>
      <c r="BI1274" s="25">
        <f>VLOOKUP(Inventory[[#This Row],[Cnd]],Lookups!$T$7:$W$16,4,FALSE)</f>
        <v>0.99650000000000005</v>
      </c>
      <c r="BJ1274" s="25">
        <f>VLOOKUP(Inventory[[#This Row],[LivArea Range]],Lookups!$T$25:$W$37,4,FALSE)</f>
        <v>1.0093000000000001</v>
      </c>
      <c r="BK1274" s="25">
        <f>VLOOKUP(Inventory[[#This Row],[Decade]],Lookups!$O$25:$R$42,4,FALSE)</f>
        <v>0.98909999999999998</v>
      </c>
      <c r="BL1274" s="25">
        <f>Inventory[[#This Row],[Nbhd Adj]]*0.95</f>
        <v>0.94971499999999998</v>
      </c>
      <c r="BM1274" s="25">
        <f>Inventory[[#This Row],[Nbhd Adj]]*Inventory[[#This Row],[Quality Adj]]*Inventory[[#This Row],[Condition Adj]]*Inventory[[#This Row],[Living Area Adj]]*Inventory[[#This Row],[Decade Adj]]*0.95</f>
        <v>0.95120534593507355</v>
      </c>
      <c r="BN1274" s="25">
        <f>ROUND(SUM(Inventory[[#This Row],[Mdl Qlty]:[Mdl WdDeck]])+Inventory[[#This Row],[Mdl Res Intercept]]*Inventory[[#This Row],[Res Adj ]],-2)</f>
        <v>296000</v>
      </c>
      <c r="BO1274" s="25">
        <f>ROUND(Inventory[[#This Row],[25Det]]*Inventory[[#This Row],[Det/Nbhd Adj]],-2)</f>
        <v>4800</v>
      </c>
      <c r="BP1274" s="25">
        <f>Inventory[[#This Row],[Adjusted Res]]+Inventory[[#This Row],[Adj Det ]]</f>
        <v>300800</v>
      </c>
      <c r="BQ1274" s="25">
        <f>ROUND((Inventory[[#This Row],[Mdl Land Intercept]]+Inventory[[#This Row],[Mdl LnAcres]])*Inventory[[#This Row],[Det/Nbhd Adj]],-2)</f>
        <v>24000</v>
      </c>
      <c r="BR1274" s="25">
        <f>Inventory[[#This Row],[Adjusted Impr Total]]+Inventory[[#This Row],[Adjusted Land Total]]</f>
        <v>324800</v>
      </c>
      <c r="BS1274" s="36">
        <f>IFERROR((Inventory[[#This Row],[Adjusted Impr Total]]-Inventory[[#This Row],[24Bldg]])/Inventory[[#This Row],[24Bldg]],0)</f>
        <v>0.14721586575133486</v>
      </c>
      <c r="BT1274" s="36">
        <f>(Inventory[[#This Row],[Adjusted Land Total]]-Inventory[[#This Row],[24Lnd]])/Inventory[[#This Row],[24Lnd]]</f>
        <v>-0.44700460829493088</v>
      </c>
      <c r="BU1274" s="36">
        <f>(Inventory[[#This Row],[Adjusted Total]]-Inventory[[#This Row],[24Final]])/Inventory[[#This Row],[24Final]]</f>
        <v>6.2827225130890049E-2</v>
      </c>
    </row>
    <row r="1275" spans="1:73" x14ac:dyDescent="0.3">
      <c r="A1275" s="25">
        <v>2025</v>
      </c>
      <c r="B1275" s="26" t="s">
        <v>2901</v>
      </c>
      <c r="C1275" s="26">
        <f>LN(Inventory[[#This Row],[Acres]])</f>
        <v>-1.2039728043259361</v>
      </c>
      <c r="D1275" s="25">
        <v>0.3</v>
      </c>
      <c r="E1275" s="25">
        <v>12927</v>
      </c>
      <c r="F1275" s="26" t="s">
        <v>537</v>
      </c>
      <c r="G1275" s="26" t="s">
        <v>126</v>
      </c>
      <c r="H1275" s="26" t="s">
        <v>349</v>
      </c>
      <c r="I1275" s="26" t="s">
        <v>538</v>
      </c>
      <c r="J1275" s="26" t="s">
        <v>539</v>
      </c>
      <c r="K1275" s="26" t="s">
        <v>242</v>
      </c>
      <c r="L1275" s="26" t="s">
        <v>351</v>
      </c>
      <c r="M1275" s="26" t="s">
        <v>303</v>
      </c>
      <c r="N1275" s="26">
        <v>90</v>
      </c>
      <c r="O1275" s="26">
        <f>2024-Inventory[[#This Row],[YrBlt]]</f>
        <v>84</v>
      </c>
      <c r="P1275" s="26">
        <f>2024-Inventory[[#This Row],[EffYr]]</f>
        <v>52</v>
      </c>
      <c r="Q1275" s="25">
        <v>1940</v>
      </c>
      <c r="R1275" s="25">
        <v>1972</v>
      </c>
      <c r="S1275" s="25">
        <v>2061</v>
      </c>
      <c r="T1275" s="27"/>
      <c r="U1275" s="31"/>
      <c r="V1275" s="31">
        <f>Inventory[[#This Row],[Bsmt]]-Inventory[[#This Row],[FnBsmt]]</f>
        <v>0</v>
      </c>
      <c r="W1275" s="31"/>
      <c r="X1275" s="27"/>
      <c r="Y1275" s="27">
        <f>Inventory[[#This Row],[MainFn]]+Inventory[[#This Row],[UpprFn]]+Inventory[[#This Row],[FnBsmt]]+Inventory[[#This Row],[AddFn]]</f>
        <v>2061</v>
      </c>
      <c r="Z1275" s="27">
        <v>2500</v>
      </c>
      <c r="AA1275" s="25">
        <v>9</v>
      </c>
      <c r="AB1275" s="32">
        <v>484</v>
      </c>
      <c r="AC1275" s="27"/>
      <c r="AD1275" s="27"/>
      <c r="AE1275" s="27"/>
      <c r="AF1275" s="27"/>
      <c r="AG1275" s="27"/>
      <c r="AH1275" s="27"/>
      <c r="AI1275" s="25">
        <v>333089</v>
      </c>
      <c r="AJ1275" s="25">
        <v>233162</v>
      </c>
      <c r="AK1275" s="25">
        <v>0</v>
      </c>
      <c r="AL1275" s="25">
        <v>369700</v>
      </c>
      <c r="AM1275" s="25">
        <v>72500</v>
      </c>
      <c r="AN1275" s="25">
        <v>297200</v>
      </c>
      <c r="AO1275" s="25">
        <v>0</v>
      </c>
      <c r="AP1275" s="25">
        <f>Lookups!$B$56*0</f>
        <v>0</v>
      </c>
      <c r="AQ1275" s="25">
        <f>Lookups!$B$56*1</f>
        <v>89850.625589999996</v>
      </c>
      <c r="AR1275" s="25">
        <f>Lookups!$B$57*Inventory[[#This Row],[LnAcres]]</f>
        <v>-38111.29648355169</v>
      </c>
      <c r="AS1275" s="25">
        <f>VLOOKUP(Inventory[[#This Row],[Qlty]],Lookups!$A$62:$E$75,2,FALSE)</f>
        <v>21557.329055999999</v>
      </c>
      <c r="AT1275" s="25">
        <f>VLOOKUP(Inventory[[#This Row],[Cnd]],Lookups!$A$76:$E$84,2,FALSE)</f>
        <v>197752.34721000001</v>
      </c>
      <c r="AU1275" s="25">
        <f>Inventory[[#This Row],[EffAge]]*Lookups!$B$85</f>
        <v>-11598.371226000001</v>
      </c>
      <c r="AV1275" s="25">
        <f>Inventory[[#This Row],[MainFn]]*Lookups!$B$86</f>
        <v>101831.26861649701</v>
      </c>
      <c r="AW1275" s="25">
        <f>Inventory[[#This Row],[UpprFn]]*Lookups!$B$87</f>
        <v>0</v>
      </c>
      <c r="AX1275" s="25">
        <f>Inventory[[#This Row],[AddFn]]*Lookups!$B$88</f>
        <v>0</v>
      </c>
      <c r="AY1275" s="25">
        <f>Inventory[[#This Row],[Bsmt]]*Lookups!$B$89</f>
        <v>0</v>
      </c>
      <c r="AZ1275" s="25">
        <f>Inventory[[#This Row],[Fixtures]]*Lookups!$B$90</f>
        <v>34128.198946800003</v>
      </c>
      <c r="BA1275" s="25">
        <f>Inventory[[#This Row],[WdDeck]]*Lookups!$B$91</f>
        <v>0</v>
      </c>
      <c r="BB1275" s="25">
        <f>ROUND(Inventory[[#This Row],[25Det]],-2)</f>
        <v>0</v>
      </c>
      <c r="BC1275" s="25">
        <f>ROUND(SUM(Inventory[[#This Row],[Mdl Qlty]:[Mdl WdDeck]])+Inventory[[#This Row],[Mdl Res Intercept]],-2)</f>
        <v>343700</v>
      </c>
      <c r="BD1275" s="25">
        <f>ROUND(Inventory[[#This Row],[Mdl Land Intercept]]+Inventory[[#This Row],[Mdl LnAcres]],-2)</f>
        <v>51700</v>
      </c>
      <c r="BE1275" s="25">
        <f>Inventory[[#This Row],[Unadj Res Value]]+Inventory[[#This Row],[Unadj Det Value]]+Inventory[[#This Row],[Unadj Land Value]]</f>
        <v>395400</v>
      </c>
      <c r="BF1275" s="36">
        <f>(Inventory[[#This Row],[Unadj Total Value]]-Inventory[[#This Row],[24Final]])/Inventory[[#This Row],[24Final]]</f>
        <v>6.9515823640789828E-2</v>
      </c>
      <c r="BG1275" s="25">
        <f>VLOOKUP(Inventory[[#This Row],[Nbhd]],Lookups!$Q$2:$T$4,4,FALSE)</f>
        <v>0.99970000000000003</v>
      </c>
      <c r="BH1275" s="25">
        <f>VLOOKUP(Inventory[[#This Row],[Qlty]],Lookups!$O$7:$R$21,4,FALSE)</f>
        <v>1.0067999999999999</v>
      </c>
      <c r="BI1275" s="25">
        <f>VLOOKUP(Inventory[[#This Row],[Cnd]],Lookups!$T$7:$W$16,4,FALSE)</f>
        <v>0.99650000000000005</v>
      </c>
      <c r="BJ1275" s="25">
        <f>VLOOKUP(Inventory[[#This Row],[LivArea Range]],Lookups!$T$25:$W$37,4,FALSE)</f>
        <v>0.98919999999999997</v>
      </c>
      <c r="BK1275" s="25">
        <f>VLOOKUP(Inventory[[#This Row],[Decade]],Lookups!$O$25:$R$42,4,FALSE)</f>
        <v>0.98909999999999998</v>
      </c>
      <c r="BL1275" s="25">
        <f>Inventory[[#This Row],[Nbhd Adj]]*0.95</f>
        <v>0.94971499999999998</v>
      </c>
      <c r="BM1275" s="25">
        <f>Inventory[[#This Row],[Nbhd Adj]]*Inventory[[#This Row],[Quality Adj]]*Inventory[[#This Row],[Condition Adj]]*Inventory[[#This Row],[Living Area Adj]]*Inventory[[#This Row],[Decade Adj]]*0.95</f>
        <v>0.9322622889120924</v>
      </c>
      <c r="BN1275" s="25">
        <f>ROUND(SUM(Inventory[[#This Row],[Mdl Qlty]:[Mdl WdDeck]])+Inventory[[#This Row],[Mdl Res Intercept]]*Inventory[[#This Row],[Res Adj ]],-2)</f>
        <v>343700</v>
      </c>
      <c r="BO1275" s="25">
        <f>ROUND(Inventory[[#This Row],[25Det]]*Inventory[[#This Row],[Det/Nbhd Adj]],-2)</f>
        <v>0</v>
      </c>
      <c r="BP1275" s="25">
        <f>Inventory[[#This Row],[Adjusted Res]]+Inventory[[#This Row],[Adj Det ]]</f>
        <v>343700</v>
      </c>
      <c r="BQ1275" s="25">
        <f>ROUND((Inventory[[#This Row],[Mdl Land Intercept]]+Inventory[[#This Row],[Mdl LnAcres]])*Inventory[[#This Row],[Det/Nbhd Adj]],-2)</f>
        <v>49100</v>
      </c>
      <c r="BR1275" s="25">
        <f>Inventory[[#This Row],[Adjusted Impr Total]]+Inventory[[#This Row],[Adjusted Land Total]]</f>
        <v>392800</v>
      </c>
      <c r="BS1275" s="36">
        <f>IFERROR((Inventory[[#This Row],[Adjusted Impr Total]]-Inventory[[#This Row],[24Bldg]])/Inventory[[#This Row],[24Bldg]],0)</f>
        <v>0.15646029609690443</v>
      </c>
      <c r="BT1275" s="36">
        <f>(Inventory[[#This Row],[Adjusted Land Total]]-Inventory[[#This Row],[24Lnd]])/Inventory[[#This Row],[24Lnd]]</f>
        <v>-0.32275862068965516</v>
      </c>
      <c r="BU1275" s="36">
        <f>(Inventory[[#This Row],[Adjusted Total]]-Inventory[[#This Row],[24Final]])/Inventory[[#This Row],[24Final]]</f>
        <v>6.2483094400865566E-2</v>
      </c>
    </row>
    <row r="1276" spans="1:73" x14ac:dyDescent="0.3">
      <c r="A1276" s="25">
        <v>2025</v>
      </c>
      <c r="B1276" s="26" t="s">
        <v>2171</v>
      </c>
      <c r="C1276" s="26">
        <f>LN(Inventory[[#This Row],[Acres]])</f>
        <v>-1.8325814637483102</v>
      </c>
      <c r="D1276" s="25">
        <v>0.16</v>
      </c>
      <c r="E1276" s="27"/>
      <c r="F1276" s="26" t="s">
        <v>537</v>
      </c>
      <c r="G1276" s="26" t="s">
        <v>126</v>
      </c>
      <c r="H1276" s="26" t="s">
        <v>349</v>
      </c>
      <c r="I1276" s="26" t="s">
        <v>538</v>
      </c>
      <c r="J1276" s="26" t="s">
        <v>539</v>
      </c>
      <c r="K1276" s="26" t="s">
        <v>242</v>
      </c>
      <c r="L1276" s="26" t="s">
        <v>351</v>
      </c>
      <c r="M1276" s="26" t="s">
        <v>303</v>
      </c>
      <c r="N1276" s="26">
        <v>90</v>
      </c>
      <c r="O1276" s="26">
        <f>2024-Inventory[[#This Row],[YrBlt]]</f>
        <v>84</v>
      </c>
      <c r="P1276" s="26">
        <f>2024-Inventory[[#This Row],[EffYr]]</f>
        <v>52</v>
      </c>
      <c r="Q1276" s="25">
        <v>1940</v>
      </c>
      <c r="R1276" s="25">
        <v>1972</v>
      </c>
      <c r="S1276" s="25">
        <v>1408</v>
      </c>
      <c r="T1276" s="31"/>
      <c r="U1276" s="25">
        <v>930</v>
      </c>
      <c r="V1276" s="25">
        <f>Inventory[[#This Row],[Bsmt]]-Inventory[[#This Row],[FnBsmt]]</f>
        <v>0</v>
      </c>
      <c r="W1276" s="25">
        <v>930</v>
      </c>
      <c r="X1276" s="27"/>
      <c r="Y1276" s="27">
        <f>Inventory[[#This Row],[MainFn]]+Inventory[[#This Row],[UpprFn]]+Inventory[[#This Row],[FnBsmt]]+Inventory[[#This Row],[AddFn]]</f>
        <v>2338</v>
      </c>
      <c r="Z1276" s="27">
        <v>2500</v>
      </c>
      <c r="AA1276" s="25">
        <v>5</v>
      </c>
      <c r="AB1276" s="27"/>
      <c r="AC1276" s="27"/>
      <c r="AD1276" s="27"/>
      <c r="AE1276" s="27"/>
      <c r="AF1276" s="27"/>
      <c r="AG1276" s="27"/>
      <c r="AH1276" s="27"/>
      <c r="AI1276" s="25">
        <v>306373</v>
      </c>
      <c r="AJ1276" s="25">
        <v>214461</v>
      </c>
      <c r="AK1276" s="25">
        <v>11109</v>
      </c>
      <c r="AL1276" s="25">
        <v>342700</v>
      </c>
      <c r="AM1276" s="25">
        <v>50600</v>
      </c>
      <c r="AN1276" s="25">
        <v>292100</v>
      </c>
      <c r="AO1276" s="25">
        <v>0</v>
      </c>
      <c r="AP1276" s="25">
        <f>Lookups!$B$56*0</f>
        <v>0</v>
      </c>
      <c r="AQ1276" s="25">
        <f>Lookups!$B$56*1</f>
        <v>89850.625589999996</v>
      </c>
      <c r="AR1276" s="25">
        <f>Lookups!$B$57*Inventory[[#This Row],[LnAcres]]</f>
        <v>-58009.662049032086</v>
      </c>
      <c r="AS1276" s="25">
        <f>VLOOKUP(Inventory[[#This Row],[Qlty]],Lookups!$A$62:$E$75,2,FALSE)</f>
        <v>21557.329055999999</v>
      </c>
      <c r="AT1276" s="25">
        <f>VLOOKUP(Inventory[[#This Row],[Cnd]],Lookups!$A$76:$E$84,2,FALSE)</f>
        <v>197752.34721000001</v>
      </c>
      <c r="AU1276" s="25">
        <f>Inventory[[#This Row],[EffAge]]*Lookups!$B$85</f>
        <v>-11598.371226000001</v>
      </c>
      <c r="AV1276" s="25">
        <f>Inventory[[#This Row],[MainFn]]*Lookups!$B$86</f>
        <v>69567.407186815995</v>
      </c>
      <c r="AW1276" s="25">
        <f>Inventory[[#This Row],[UpprFn]]*Lookups!$B$87</f>
        <v>0</v>
      </c>
      <c r="AX1276" s="25">
        <f>Inventory[[#This Row],[AddFn]]*Lookups!$B$88</f>
        <v>0</v>
      </c>
      <c r="AY1276" s="25">
        <f>Inventory[[#This Row],[Bsmt]]*Lookups!$B$89</f>
        <v>27046.162579709999</v>
      </c>
      <c r="AZ1276" s="25">
        <f>Inventory[[#This Row],[Fixtures]]*Lookups!$B$90</f>
        <v>18960.110526</v>
      </c>
      <c r="BA1276" s="25">
        <f>Inventory[[#This Row],[WdDeck]]*Lookups!$B$91</f>
        <v>0</v>
      </c>
      <c r="BB1276" s="25">
        <f>ROUND(Inventory[[#This Row],[25Det]],-2)</f>
        <v>11100</v>
      </c>
      <c r="BC1276" s="25">
        <f>ROUND(SUM(Inventory[[#This Row],[Mdl Qlty]:[Mdl WdDeck]])+Inventory[[#This Row],[Mdl Res Intercept]],-2)</f>
        <v>323300</v>
      </c>
      <c r="BD1276" s="25">
        <f>ROUND(Inventory[[#This Row],[Mdl Land Intercept]]+Inventory[[#This Row],[Mdl LnAcres]],-2)</f>
        <v>31800</v>
      </c>
      <c r="BE1276" s="25">
        <f>Inventory[[#This Row],[Unadj Res Value]]+Inventory[[#This Row],[Unadj Det Value]]+Inventory[[#This Row],[Unadj Land Value]]</f>
        <v>366200</v>
      </c>
      <c r="BF1276" s="36">
        <f>(Inventory[[#This Row],[Unadj Total Value]]-Inventory[[#This Row],[24Final]])/Inventory[[#This Row],[24Final]]</f>
        <v>6.8573096002334397E-2</v>
      </c>
      <c r="BG1276" s="25">
        <f>VLOOKUP(Inventory[[#This Row],[Nbhd]],Lookups!$Q$2:$T$4,4,FALSE)</f>
        <v>0.99970000000000003</v>
      </c>
      <c r="BH1276" s="25">
        <f>VLOOKUP(Inventory[[#This Row],[Qlty]],Lookups!$O$7:$R$21,4,FALSE)</f>
        <v>1.0067999999999999</v>
      </c>
      <c r="BI1276" s="25">
        <f>VLOOKUP(Inventory[[#This Row],[Cnd]],Lookups!$T$7:$W$16,4,FALSE)</f>
        <v>0.99650000000000005</v>
      </c>
      <c r="BJ1276" s="25">
        <f>VLOOKUP(Inventory[[#This Row],[LivArea Range]],Lookups!$T$25:$W$37,4,FALSE)</f>
        <v>0.98919999999999997</v>
      </c>
      <c r="BK1276" s="25">
        <f>VLOOKUP(Inventory[[#This Row],[Decade]],Lookups!$O$25:$R$42,4,FALSE)</f>
        <v>0.98909999999999998</v>
      </c>
      <c r="BL1276" s="25">
        <f>Inventory[[#This Row],[Nbhd Adj]]*0.95</f>
        <v>0.94971499999999998</v>
      </c>
      <c r="BM1276" s="25">
        <f>Inventory[[#This Row],[Nbhd Adj]]*Inventory[[#This Row],[Quality Adj]]*Inventory[[#This Row],[Condition Adj]]*Inventory[[#This Row],[Living Area Adj]]*Inventory[[#This Row],[Decade Adj]]*0.95</f>
        <v>0.9322622889120924</v>
      </c>
      <c r="BN1276" s="25">
        <f>ROUND(SUM(Inventory[[#This Row],[Mdl Qlty]:[Mdl WdDeck]])+Inventory[[#This Row],[Mdl Res Intercept]]*Inventory[[#This Row],[Res Adj ]],-2)</f>
        <v>323300</v>
      </c>
      <c r="BO1276" s="25">
        <f>ROUND(Inventory[[#This Row],[25Det]]*Inventory[[#This Row],[Det/Nbhd Adj]],-2)</f>
        <v>10600</v>
      </c>
      <c r="BP1276" s="25">
        <f>Inventory[[#This Row],[Adjusted Res]]+Inventory[[#This Row],[Adj Det ]]</f>
        <v>333900</v>
      </c>
      <c r="BQ1276" s="25">
        <f>ROUND((Inventory[[#This Row],[Mdl Land Intercept]]+Inventory[[#This Row],[Mdl LnAcres]])*Inventory[[#This Row],[Det/Nbhd Adj]],-2)</f>
        <v>30200</v>
      </c>
      <c r="BR1276" s="25">
        <f>Inventory[[#This Row],[Adjusted Impr Total]]+Inventory[[#This Row],[Adjusted Land Total]]</f>
        <v>364100</v>
      </c>
      <c r="BS1276" s="36">
        <f>IFERROR((Inventory[[#This Row],[Adjusted Impr Total]]-Inventory[[#This Row],[24Bldg]])/Inventory[[#This Row],[24Bldg]],0)</f>
        <v>0.14310167750770283</v>
      </c>
      <c r="BT1276" s="36">
        <f>(Inventory[[#This Row],[Adjusted Land Total]]-Inventory[[#This Row],[24Lnd]])/Inventory[[#This Row],[24Lnd]]</f>
        <v>-0.40316205533596838</v>
      </c>
      <c r="BU1276" s="36">
        <f>(Inventory[[#This Row],[Adjusted Total]]-Inventory[[#This Row],[24Final]])/Inventory[[#This Row],[24Final]]</f>
        <v>6.2445287423402392E-2</v>
      </c>
    </row>
    <row r="1277" spans="1:73" x14ac:dyDescent="0.3">
      <c r="A1277" s="25">
        <v>2025</v>
      </c>
      <c r="B1277" s="26" t="s">
        <v>1256</v>
      </c>
      <c r="C1277" s="26">
        <f>LN(Inventory[[#This Row],[Acres]])</f>
        <v>-1.7147984280919266</v>
      </c>
      <c r="D1277" s="25">
        <v>0.18</v>
      </c>
      <c r="E1277" s="27"/>
      <c r="F1277" s="26" t="s">
        <v>537</v>
      </c>
      <c r="G1277" s="26" t="s">
        <v>126</v>
      </c>
      <c r="H1277" s="26" t="s">
        <v>349</v>
      </c>
      <c r="I1277" s="26" t="s">
        <v>538</v>
      </c>
      <c r="J1277" s="26" t="s">
        <v>539</v>
      </c>
      <c r="K1277" s="26" t="s">
        <v>242</v>
      </c>
      <c r="L1277" s="26" t="s">
        <v>148</v>
      </c>
      <c r="M1277" s="26" t="s">
        <v>303</v>
      </c>
      <c r="N1277" s="26">
        <v>90</v>
      </c>
      <c r="O1277" s="26">
        <f>2024-Inventory[[#This Row],[YrBlt]]</f>
        <v>84</v>
      </c>
      <c r="P1277" s="26">
        <f>2024-Inventory[[#This Row],[EffYr]]</f>
        <v>52</v>
      </c>
      <c r="Q1277" s="25">
        <v>1940</v>
      </c>
      <c r="R1277" s="25">
        <v>1972</v>
      </c>
      <c r="S1277" s="25">
        <v>1374</v>
      </c>
      <c r="T1277" s="27"/>
      <c r="U1277" s="25">
        <v>666</v>
      </c>
      <c r="V1277" s="25">
        <f>Inventory[[#This Row],[Bsmt]]-Inventory[[#This Row],[FnBsmt]]</f>
        <v>0</v>
      </c>
      <c r="W1277" s="25">
        <v>666</v>
      </c>
      <c r="X1277" s="27"/>
      <c r="Y1277" s="27">
        <f>Inventory[[#This Row],[MainFn]]+Inventory[[#This Row],[UpprFn]]+Inventory[[#This Row],[FnBsmt]]+Inventory[[#This Row],[AddFn]]</f>
        <v>2040</v>
      </c>
      <c r="Z1277" s="27">
        <v>2500</v>
      </c>
      <c r="AA1277" s="25">
        <v>8</v>
      </c>
      <c r="AB1277" s="27"/>
      <c r="AC1277" s="27"/>
      <c r="AD1277" s="31"/>
      <c r="AE1277" s="27"/>
      <c r="AF1277" s="27"/>
      <c r="AG1277" s="27"/>
      <c r="AH1277" s="27"/>
      <c r="AI1277" s="25">
        <v>407857</v>
      </c>
      <c r="AJ1277" s="25">
        <v>285500</v>
      </c>
      <c r="AK1277" s="25">
        <v>10854</v>
      </c>
      <c r="AL1277" s="25">
        <v>369000</v>
      </c>
      <c r="AM1277" s="25">
        <v>54700</v>
      </c>
      <c r="AN1277" s="25">
        <v>314300</v>
      </c>
      <c r="AO1277" s="25">
        <v>0</v>
      </c>
      <c r="AP1277" s="25">
        <f>Lookups!$B$56*0</f>
        <v>0</v>
      </c>
      <c r="AQ1277" s="25">
        <f>Lookups!$B$56*1</f>
        <v>89850.625589999996</v>
      </c>
      <c r="AR1277" s="25">
        <f>Lookups!$B$57*Inventory[[#This Row],[LnAcres]]</f>
        <v>-54281.285314520763</v>
      </c>
      <c r="AS1277" s="25">
        <f>VLOOKUP(Inventory[[#This Row],[Qlty]],Lookups!$A$62:$E$75,2,FALSE)</f>
        <v>44121.038090000002</v>
      </c>
      <c r="AT1277" s="25">
        <f>VLOOKUP(Inventory[[#This Row],[Cnd]],Lookups!$A$76:$E$84,2,FALSE)</f>
        <v>197752.34721000001</v>
      </c>
      <c r="AU1277" s="25">
        <f>Inventory[[#This Row],[EffAge]]*Lookups!$B$85</f>
        <v>-11598.371226000001</v>
      </c>
      <c r="AV1277" s="25">
        <f>Inventory[[#This Row],[MainFn]]*Lookups!$B$86</f>
        <v>67887.512410997995</v>
      </c>
      <c r="AW1277" s="25">
        <f>Inventory[[#This Row],[UpprFn]]*Lookups!$B$87</f>
        <v>0</v>
      </c>
      <c r="AX1277" s="25">
        <f>Inventory[[#This Row],[AddFn]]*Lookups!$B$88</f>
        <v>0</v>
      </c>
      <c r="AY1277" s="25">
        <f>Inventory[[#This Row],[Bsmt]]*Lookups!$B$89</f>
        <v>19368.542234501998</v>
      </c>
      <c r="AZ1277" s="25">
        <f>Inventory[[#This Row],[Fixtures]]*Lookups!$B$90</f>
        <v>30336.176841600001</v>
      </c>
      <c r="BA1277" s="25">
        <f>Inventory[[#This Row],[WdDeck]]*Lookups!$B$91</f>
        <v>0</v>
      </c>
      <c r="BB1277" s="25">
        <f>ROUND(Inventory[[#This Row],[25Det]],-2)</f>
        <v>10900</v>
      </c>
      <c r="BC1277" s="25">
        <f>ROUND(SUM(Inventory[[#This Row],[Mdl Qlty]:[Mdl WdDeck]])+Inventory[[#This Row],[Mdl Res Intercept]],-2)</f>
        <v>347900</v>
      </c>
      <c r="BD1277" s="25">
        <f>ROUND(Inventory[[#This Row],[Mdl Land Intercept]]+Inventory[[#This Row],[Mdl LnAcres]],-2)</f>
        <v>35600</v>
      </c>
      <c r="BE1277" s="25">
        <f>Inventory[[#This Row],[Unadj Res Value]]+Inventory[[#This Row],[Unadj Det Value]]+Inventory[[#This Row],[Unadj Land Value]]</f>
        <v>394400</v>
      </c>
      <c r="BF1277" s="36">
        <f>(Inventory[[#This Row],[Unadj Total Value]]-Inventory[[#This Row],[24Final]])/Inventory[[#This Row],[24Final]]</f>
        <v>6.8834688346883471E-2</v>
      </c>
      <c r="BG1277" s="25">
        <f>VLOOKUP(Inventory[[#This Row],[Nbhd]],Lookups!$Q$2:$T$4,4,FALSE)</f>
        <v>0.99970000000000003</v>
      </c>
      <c r="BH1277" s="25">
        <f>VLOOKUP(Inventory[[#This Row],[Qlty]],Lookups!$O$7:$R$21,4,FALSE)</f>
        <v>0.98050000000000004</v>
      </c>
      <c r="BI1277" s="25">
        <f>VLOOKUP(Inventory[[#This Row],[Cnd]],Lookups!$T$7:$W$16,4,FALSE)</f>
        <v>0.99650000000000005</v>
      </c>
      <c r="BJ1277" s="25">
        <f>VLOOKUP(Inventory[[#This Row],[LivArea Range]],Lookups!$T$25:$W$37,4,FALSE)</f>
        <v>0.98919999999999997</v>
      </c>
      <c r="BK1277" s="25">
        <f>VLOOKUP(Inventory[[#This Row],[Decade]],Lookups!$O$25:$R$42,4,FALSE)</f>
        <v>0.98909999999999998</v>
      </c>
      <c r="BL1277" s="25">
        <f>Inventory[[#This Row],[Nbhd Adj]]*0.95</f>
        <v>0.94971499999999998</v>
      </c>
      <c r="BM1277" s="25">
        <f>Inventory[[#This Row],[Nbhd Adj]]*Inventory[[#This Row],[Quality Adj]]*Inventory[[#This Row],[Condition Adj]]*Inventory[[#This Row],[Living Area Adj]]*Inventory[[#This Row],[Decade Adj]]*0.95</f>
        <v>0.90790939042342744</v>
      </c>
      <c r="BN1277" s="25">
        <f>ROUND(SUM(Inventory[[#This Row],[Mdl Qlty]:[Mdl WdDeck]])+Inventory[[#This Row],[Mdl Res Intercept]]*Inventory[[#This Row],[Res Adj ]],-2)</f>
        <v>347900</v>
      </c>
      <c r="BO1277" s="25">
        <f>ROUND(Inventory[[#This Row],[25Det]]*Inventory[[#This Row],[Det/Nbhd Adj]],-2)</f>
        <v>10300</v>
      </c>
      <c r="BP1277" s="25">
        <f>Inventory[[#This Row],[Adjusted Res]]+Inventory[[#This Row],[Adj Det ]]</f>
        <v>358200</v>
      </c>
      <c r="BQ1277" s="25">
        <f>ROUND((Inventory[[#This Row],[Mdl Land Intercept]]+Inventory[[#This Row],[Mdl LnAcres]])*Inventory[[#This Row],[Det/Nbhd Adj]],-2)</f>
        <v>33800</v>
      </c>
      <c r="BR1277" s="25">
        <f>Inventory[[#This Row],[Adjusted Impr Total]]+Inventory[[#This Row],[Adjusted Land Total]]</f>
        <v>392000</v>
      </c>
      <c r="BS1277" s="36">
        <f>IFERROR((Inventory[[#This Row],[Adjusted Impr Total]]-Inventory[[#This Row],[24Bldg]])/Inventory[[#This Row],[24Bldg]],0)</f>
        <v>0.13967546929685015</v>
      </c>
      <c r="BT1277" s="36">
        <f>(Inventory[[#This Row],[Adjusted Land Total]]-Inventory[[#This Row],[24Lnd]])/Inventory[[#This Row],[24Lnd]]</f>
        <v>-0.38208409506398539</v>
      </c>
      <c r="BU1277" s="36">
        <f>(Inventory[[#This Row],[Adjusted Total]]-Inventory[[#This Row],[24Final]])/Inventory[[#This Row],[24Final]]</f>
        <v>6.2330623306233061E-2</v>
      </c>
    </row>
    <row r="1278" spans="1:73" x14ac:dyDescent="0.3">
      <c r="A1278" s="25">
        <v>2025</v>
      </c>
      <c r="B1278" s="26" t="s">
        <v>879</v>
      </c>
      <c r="C1278" s="26">
        <f>LN(Inventory[[#This Row],[Acres]])</f>
        <v>-1.6094379124341003</v>
      </c>
      <c r="D1278" s="25">
        <v>0.2</v>
      </c>
      <c r="E1278" s="32">
        <v>8558</v>
      </c>
      <c r="F1278" s="26" t="s">
        <v>537</v>
      </c>
      <c r="G1278" s="26" t="s">
        <v>126</v>
      </c>
      <c r="H1278" s="26" t="s">
        <v>349</v>
      </c>
      <c r="I1278" s="26" t="s">
        <v>538</v>
      </c>
      <c r="J1278" s="26" t="s">
        <v>539</v>
      </c>
      <c r="K1278" s="26" t="s">
        <v>242</v>
      </c>
      <c r="L1278" s="26" t="s">
        <v>302</v>
      </c>
      <c r="M1278" s="26" t="s">
        <v>303</v>
      </c>
      <c r="N1278" s="26">
        <v>90</v>
      </c>
      <c r="O1278" s="26">
        <f>2024-Inventory[[#This Row],[YrBlt]]</f>
        <v>84</v>
      </c>
      <c r="P1278" s="26">
        <f>2024-Inventory[[#This Row],[EffYr]]</f>
        <v>52</v>
      </c>
      <c r="Q1278" s="25">
        <v>1940</v>
      </c>
      <c r="R1278" s="25">
        <v>1972</v>
      </c>
      <c r="S1278" s="25">
        <v>1160</v>
      </c>
      <c r="T1278" s="27"/>
      <c r="U1278" s="25">
        <v>712</v>
      </c>
      <c r="V1278" s="25">
        <f>Inventory[[#This Row],[Bsmt]]-Inventory[[#This Row],[FnBsmt]]</f>
        <v>100</v>
      </c>
      <c r="W1278" s="25">
        <v>612</v>
      </c>
      <c r="X1278" s="27"/>
      <c r="Y1278" s="27">
        <f>Inventory[[#This Row],[MainFn]]+Inventory[[#This Row],[UpprFn]]+Inventory[[#This Row],[FnBsmt]]+Inventory[[#This Row],[AddFn]]</f>
        <v>1772</v>
      </c>
      <c r="Z1278" s="27">
        <v>2000</v>
      </c>
      <c r="AA1278" s="25">
        <v>7</v>
      </c>
      <c r="AB1278" s="25">
        <v>220</v>
      </c>
      <c r="AC1278" s="27"/>
      <c r="AD1278" s="27"/>
      <c r="AE1278" s="27"/>
      <c r="AF1278" s="27"/>
      <c r="AG1278" s="27"/>
      <c r="AH1278" s="27"/>
      <c r="AI1278" s="25">
        <v>306097</v>
      </c>
      <c r="AJ1278" s="25">
        <v>214268</v>
      </c>
      <c r="AK1278" s="25">
        <v>0</v>
      </c>
      <c r="AL1278" s="25">
        <v>336500</v>
      </c>
      <c r="AM1278" s="25">
        <v>58400</v>
      </c>
      <c r="AN1278" s="25">
        <v>278100</v>
      </c>
      <c r="AO1278" s="25">
        <v>0</v>
      </c>
      <c r="AP1278" s="25">
        <f>Lookups!$B$56*0</f>
        <v>0</v>
      </c>
      <c r="AQ1278" s="25">
        <f>Lookups!$B$56*1</f>
        <v>89850.625589999996</v>
      </c>
      <c r="AR1278" s="25">
        <f>Lookups!$B$57*Inventory[[#This Row],[LnAcres]]</f>
        <v>-50946.13867709865</v>
      </c>
      <c r="AS1278" s="25">
        <f>VLOOKUP(Inventory[[#This Row],[Qlty]],Lookups!$A$62:$E$75,2,FALSE)</f>
        <v>29814.093161000001</v>
      </c>
      <c r="AT1278" s="25">
        <f>VLOOKUP(Inventory[[#This Row],[Cnd]],Lookups!$A$76:$E$84,2,FALSE)</f>
        <v>197752.34721000001</v>
      </c>
      <c r="AU1278" s="25">
        <f>Inventory[[#This Row],[EffAge]]*Lookups!$B$85</f>
        <v>-11598.371226000001</v>
      </c>
      <c r="AV1278" s="25">
        <f>Inventory[[#This Row],[MainFn]]*Lookups!$B$86</f>
        <v>57314.057057320002</v>
      </c>
      <c r="AW1278" s="25">
        <f>Inventory[[#This Row],[UpprFn]]*Lookups!$B$87</f>
        <v>0</v>
      </c>
      <c r="AX1278" s="25">
        <f>Inventory[[#This Row],[AddFn]]*Lookups!$B$88</f>
        <v>0</v>
      </c>
      <c r="AY1278" s="25">
        <f>Inventory[[#This Row],[Bsmt]]*Lookups!$B$89</f>
        <v>20706.309415863998</v>
      </c>
      <c r="AZ1278" s="25">
        <f>Inventory[[#This Row],[Fixtures]]*Lookups!$B$90</f>
        <v>26544.1547364</v>
      </c>
      <c r="BA1278" s="25">
        <f>Inventory[[#This Row],[WdDeck]]*Lookups!$B$91</f>
        <v>0</v>
      </c>
      <c r="BB1278" s="25">
        <f>ROUND(Inventory[[#This Row],[25Det]],-2)</f>
        <v>0</v>
      </c>
      <c r="BC1278" s="25">
        <f>ROUND(SUM(Inventory[[#This Row],[Mdl Qlty]:[Mdl WdDeck]])+Inventory[[#This Row],[Mdl Res Intercept]],-2)</f>
        <v>320500</v>
      </c>
      <c r="BD1278" s="25">
        <f>ROUND(Inventory[[#This Row],[Mdl Land Intercept]]+Inventory[[#This Row],[Mdl LnAcres]],-2)</f>
        <v>38900</v>
      </c>
      <c r="BE1278" s="25">
        <f>Inventory[[#This Row],[Unadj Res Value]]+Inventory[[#This Row],[Unadj Det Value]]+Inventory[[#This Row],[Unadj Land Value]]</f>
        <v>359400</v>
      </c>
      <c r="BF1278" s="36">
        <f>(Inventory[[#This Row],[Unadj Total Value]]-Inventory[[#This Row],[24Final]])/Inventory[[#This Row],[24Final]]</f>
        <v>6.8053491827637438E-2</v>
      </c>
      <c r="BG1278" s="25">
        <f>VLOOKUP(Inventory[[#This Row],[Nbhd]],Lookups!$Q$2:$T$4,4,FALSE)</f>
        <v>0.99970000000000003</v>
      </c>
      <c r="BH1278" s="25">
        <f>VLOOKUP(Inventory[[#This Row],[Qlty]],Lookups!$O$7:$R$21,4,FALSE)</f>
        <v>1.0088999999999999</v>
      </c>
      <c r="BI1278" s="25">
        <f>VLOOKUP(Inventory[[#This Row],[Cnd]],Lookups!$T$7:$W$16,4,FALSE)</f>
        <v>0.99650000000000005</v>
      </c>
      <c r="BJ1278" s="25">
        <f>VLOOKUP(Inventory[[#This Row],[LivArea Range]],Lookups!$T$25:$W$37,4,FALSE)</f>
        <v>1.0093000000000001</v>
      </c>
      <c r="BK1278" s="25">
        <f>VLOOKUP(Inventory[[#This Row],[Decade]],Lookups!$O$25:$R$42,4,FALSE)</f>
        <v>0.98909999999999998</v>
      </c>
      <c r="BL1278" s="25">
        <f>Inventory[[#This Row],[Nbhd Adj]]*0.95</f>
        <v>0.94971499999999998</v>
      </c>
      <c r="BM1278" s="25">
        <f>Inventory[[#This Row],[Nbhd Adj]]*Inventory[[#This Row],[Quality Adj]]*Inventory[[#This Row],[Condition Adj]]*Inventory[[#This Row],[Living Area Adj]]*Inventory[[#This Row],[Decade Adj]]*0.95</f>
        <v>0.95318938569119571</v>
      </c>
      <c r="BN1278" s="25">
        <f>ROUND(SUM(Inventory[[#This Row],[Mdl Qlty]:[Mdl WdDeck]])+Inventory[[#This Row],[Mdl Res Intercept]]*Inventory[[#This Row],[Res Adj ]],-2)</f>
        <v>320500</v>
      </c>
      <c r="BO1278" s="25">
        <f>ROUND(Inventory[[#This Row],[25Det]]*Inventory[[#This Row],[Det/Nbhd Adj]],-2)</f>
        <v>0</v>
      </c>
      <c r="BP1278" s="25">
        <f>Inventory[[#This Row],[Adjusted Res]]+Inventory[[#This Row],[Adj Det ]]</f>
        <v>320500</v>
      </c>
      <c r="BQ1278" s="25">
        <f>ROUND((Inventory[[#This Row],[Mdl Land Intercept]]+Inventory[[#This Row],[Mdl LnAcres]])*Inventory[[#This Row],[Det/Nbhd Adj]],-2)</f>
        <v>36900</v>
      </c>
      <c r="BR1278" s="25">
        <f>Inventory[[#This Row],[Adjusted Impr Total]]+Inventory[[#This Row],[Adjusted Land Total]]</f>
        <v>357400</v>
      </c>
      <c r="BS1278" s="36">
        <f>IFERROR((Inventory[[#This Row],[Adjusted Impr Total]]-Inventory[[#This Row],[24Bldg]])/Inventory[[#This Row],[24Bldg]],0)</f>
        <v>0.1524631427544049</v>
      </c>
      <c r="BT1278" s="36">
        <f>(Inventory[[#This Row],[Adjusted Land Total]]-Inventory[[#This Row],[24Lnd]])/Inventory[[#This Row],[24Lnd]]</f>
        <v>-0.36815068493150682</v>
      </c>
      <c r="BU1278" s="36">
        <f>(Inventory[[#This Row],[Adjusted Total]]-Inventory[[#This Row],[24Final]])/Inventory[[#This Row],[24Final]]</f>
        <v>6.210995542347697E-2</v>
      </c>
    </row>
    <row r="1279" spans="1:73" x14ac:dyDescent="0.3">
      <c r="A1279" s="25">
        <v>2025</v>
      </c>
      <c r="B1279" s="26" t="s">
        <v>1394</v>
      </c>
      <c r="C1279" s="26">
        <f>LN(Inventory[[#This Row],[Acres]])</f>
        <v>-2.2072749131897207</v>
      </c>
      <c r="D1279" s="25">
        <v>0.11</v>
      </c>
      <c r="E1279" s="32">
        <v>4909</v>
      </c>
      <c r="F1279" s="26" t="s">
        <v>537</v>
      </c>
      <c r="G1279" s="26" t="s">
        <v>126</v>
      </c>
      <c r="H1279" s="26" t="s">
        <v>349</v>
      </c>
      <c r="I1279" s="26" t="s">
        <v>538</v>
      </c>
      <c r="J1279" s="26" t="s">
        <v>539</v>
      </c>
      <c r="K1279" s="26" t="s">
        <v>242</v>
      </c>
      <c r="L1279" s="26" t="s">
        <v>351</v>
      </c>
      <c r="M1279" s="26" t="s">
        <v>303</v>
      </c>
      <c r="N1279" s="26">
        <v>90</v>
      </c>
      <c r="O1279" s="26">
        <f>2024-Inventory[[#This Row],[YrBlt]]</f>
        <v>84</v>
      </c>
      <c r="P1279" s="26">
        <f>2024-Inventory[[#This Row],[EffYr]]</f>
        <v>52</v>
      </c>
      <c r="Q1279" s="25">
        <v>1940</v>
      </c>
      <c r="R1279" s="25">
        <v>1972</v>
      </c>
      <c r="S1279" s="25">
        <v>994</v>
      </c>
      <c r="T1279" s="31"/>
      <c r="U1279" s="25">
        <v>1027</v>
      </c>
      <c r="V1279" s="25">
        <f>Inventory[[#This Row],[Bsmt]]-Inventory[[#This Row],[FnBsmt]]</f>
        <v>0</v>
      </c>
      <c r="W1279" s="25">
        <v>1027</v>
      </c>
      <c r="X1279" s="27"/>
      <c r="Y1279" s="27">
        <f>Inventory[[#This Row],[MainFn]]+Inventory[[#This Row],[UpprFn]]+Inventory[[#This Row],[FnBsmt]]+Inventory[[#This Row],[AddFn]]</f>
        <v>2021</v>
      </c>
      <c r="Z1279" s="27">
        <v>2500</v>
      </c>
      <c r="AA1279" s="25">
        <v>10</v>
      </c>
      <c r="AB1279" s="27"/>
      <c r="AC1279" s="27"/>
      <c r="AD1279" s="31"/>
      <c r="AE1279" s="27"/>
      <c r="AF1279" s="27"/>
      <c r="AG1279" s="27"/>
      <c r="AH1279" s="27"/>
      <c r="AI1279" s="25">
        <v>265311</v>
      </c>
      <c r="AJ1279" s="25">
        <v>185718</v>
      </c>
      <c r="AK1279" s="25">
        <v>22054</v>
      </c>
      <c r="AL1279" s="25">
        <v>343300</v>
      </c>
      <c r="AM1279" s="25">
        <v>37600</v>
      </c>
      <c r="AN1279" s="25">
        <v>305700</v>
      </c>
      <c r="AO1279" s="25">
        <v>0</v>
      </c>
      <c r="AP1279" s="25">
        <f>Lookups!$B$56*0</f>
        <v>0</v>
      </c>
      <c r="AQ1279" s="25">
        <f>Lookups!$B$56*1</f>
        <v>89850.625589999996</v>
      </c>
      <c r="AR1279" s="25">
        <f>Lookups!$B$57*Inventory[[#This Row],[LnAcres]]</f>
        <v>-69870.439211769743</v>
      </c>
      <c r="AS1279" s="25">
        <f>VLOOKUP(Inventory[[#This Row],[Qlty]],Lookups!$A$62:$E$75,2,FALSE)</f>
        <v>21557.329055999999</v>
      </c>
      <c r="AT1279" s="25">
        <f>VLOOKUP(Inventory[[#This Row],[Cnd]],Lookups!$A$76:$E$84,2,FALSE)</f>
        <v>197752.34721000001</v>
      </c>
      <c r="AU1279" s="25">
        <f>Inventory[[#This Row],[EffAge]]*Lookups!$B$85</f>
        <v>-11598.371226000001</v>
      </c>
      <c r="AV1279" s="25">
        <f>Inventory[[#This Row],[MainFn]]*Lookups!$B$86</f>
        <v>49112.217857738004</v>
      </c>
      <c r="AW1279" s="25">
        <f>Inventory[[#This Row],[UpprFn]]*Lookups!$B$87</f>
        <v>0</v>
      </c>
      <c r="AX1279" s="25">
        <f>Inventory[[#This Row],[AddFn]]*Lookups!$B$88</f>
        <v>0</v>
      </c>
      <c r="AY1279" s="25">
        <f>Inventory[[#This Row],[Bsmt]]*Lookups!$B$89</f>
        <v>29867.106418668998</v>
      </c>
      <c r="AZ1279" s="25">
        <f>Inventory[[#This Row],[Fixtures]]*Lookups!$B$90</f>
        <v>37920.221052000001</v>
      </c>
      <c r="BA1279" s="25">
        <f>Inventory[[#This Row],[WdDeck]]*Lookups!$B$91</f>
        <v>0</v>
      </c>
      <c r="BB1279" s="25">
        <f>ROUND(Inventory[[#This Row],[25Det]],-2)</f>
        <v>22100</v>
      </c>
      <c r="BC1279" s="25">
        <f>ROUND(SUM(Inventory[[#This Row],[Mdl Qlty]:[Mdl WdDeck]])+Inventory[[#This Row],[Mdl Res Intercept]],-2)</f>
        <v>324600</v>
      </c>
      <c r="BD1279" s="25">
        <f>ROUND(Inventory[[#This Row],[Mdl Land Intercept]]+Inventory[[#This Row],[Mdl LnAcres]],-2)</f>
        <v>20000</v>
      </c>
      <c r="BE1279" s="25">
        <f>Inventory[[#This Row],[Unadj Res Value]]+Inventory[[#This Row],[Unadj Det Value]]+Inventory[[#This Row],[Unadj Land Value]]</f>
        <v>366700</v>
      </c>
      <c r="BF1279" s="36">
        <f>(Inventory[[#This Row],[Unadj Total Value]]-Inventory[[#This Row],[24Final]])/Inventory[[#This Row],[24Final]]</f>
        <v>6.8161957471599185E-2</v>
      </c>
      <c r="BG1279" s="25">
        <f>VLOOKUP(Inventory[[#This Row],[Nbhd]],Lookups!$Q$2:$T$4,4,FALSE)</f>
        <v>0.99970000000000003</v>
      </c>
      <c r="BH1279" s="25">
        <f>VLOOKUP(Inventory[[#This Row],[Qlty]],Lookups!$O$7:$R$21,4,FALSE)</f>
        <v>1.0067999999999999</v>
      </c>
      <c r="BI1279" s="25">
        <f>VLOOKUP(Inventory[[#This Row],[Cnd]],Lookups!$T$7:$W$16,4,FALSE)</f>
        <v>0.99650000000000005</v>
      </c>
      <c r="BJ1279" s="25">
        <f>VLOOKUP(Inventory[[#This Row],[LivArea Range]],Lookups!$T$25:$W$37,4,FALSE)</f>
        <v>0.98919999999999997</v>
      </c>
      <c r="BK1279" s="25">
        <f>VLOOKUP(Inventory[[#This Row],[Decade]],Lookups!$O$25:$R$42,4,FALSE)</f>
        <v>0.98909999999999998</v>
      </c>
      <c r="BL1279" s="25">
        <f>Inventory[[#This Row],[Nbhd Adj]]*0.95</f>
        <v>0.94971499999999998</v>
      </c>
      <c r="BM1279" s="25">
        <f>Inventory[[#This Row],[Nbhd Adj]]*Inventory[[#This Row],[Quality Adj]]*Inventory[[#This Row],[Condition Adj]]*Inventory[[#This Row],[Living Area Adj]]*Inventory[[#This Row],[Decade Adj]]*0.95</f>
        <v>0.9322622889120924</v>
      </c>
      <c r="BN1279" s="25">
        <f>ROUND(SUM(Inventory[[#This Row],[Mdl Qlty]:[Mdl WdDeck]])+Inventory[[#This Row],[Mdl Res Intercept]]*Inventory[[#This Row],[Res Adj ]],-2)</f>
        <v>324600</v>
      </c>
      <c r="BO1279" s="25">
        <f>ROUND(Inventory[[#This Row],[25Det]]*Inventory[[#This Row],[Det/Nbhd Adj]],-2)</f>
        <v>20900</v>
      </c>
      <c r="BP1279" s="25">
        <f>Inventory[[#This Row],[Adjusted Res]]+Inventory[[#This Row],[Adj Det ]]</f>
        <v>345500</v>
      </c>
      <c r="BQ1279" s="25">
        <f>ROUND((Inventory[[#This Row],[Mdl Land Intercept]]+Inventory[[#This Row],[Mdl LnAcres]])*Inventory[[#This Row],[Det/Nbhd Adj]],-2)</f>
        <v>19000</v>
      </c>
      <c r="BR1279" s="25">
        <f>Inventory[[#This Row],[Adjusted Impr Total]]+Inventory[[#This Row],[Adjusted Land Total]]</f>
        <v>364500</v>
      </c>
      <c r="BS1279" s="36">
        <f>IFERROR((Inventory[[#This Row],[Adjusted Impr Total]]-Inventory[[#This Row],[24Bldg]])/Inventory[[#This Row],[24Bldg]],0)</f>
        <v>0.13019299967288192</v>
      </c>
      <c r="BT1279" s="36">
        <f>(Inventory[[#This Row],[Adjusted Land Total]]-Inventory[[#This Row],[24Lnd]])/Inventory[[#This Row],[24Lnd]]</f>
        <v>-0.49468085106382981</v>
      </c>
      <c r="BU1279" s="36">
        <f>(Inventory[[#This Row],[Adjusted Total]]-Inventory[[#This Row],[24Final]])/Inventory[[#This Row],[24Final]]</f>
        <v>6.1753568307602681E-2</v>
      </c>
    </row>
    <row r="1280" spans="1:73" x14ac:dyDescent="0.3">
      <c r="A1280" s="25">
        <v>2025</v>
      </c>
      <c r="B1280" s="26" t="s">
        <v>1922</v>
      </c>
      <c r="C1280" s="26">
        <f>LN(Inventory[[#This Row],[Acres]])</f>
        <v>-1.7147984280919266</v>
      </c>
      <c r="D1280" s="25">
        <v>0.18</v>
      </c>
      <c r="E1280" s="27"/>
      <c r="F1280" s="26" t="s">
        <v>537</v>
      </c>
      <c r="G1280" s="26" t="s">
        <v>126</v>
      </c>
      <c r="H1280" s="26" t="s">
        <v>349</v>
      </c>
      <c r="I1280" s="26" t="s">
        <v>538</v>
      </c>
      <c r="J1280" s="26" t="s">
        <v>539</v>
      </c>
      <c r="K1280" s="26" t="s">
        <v>147</v>
      </c>
      <c r="L1280" s="26" t="s">
        <v>302</v>
      </c>
      <c r="M1280" s="26" t="s">
        <v>303</v>
      </c>
      <c r="N1280" s="26">
        <v>90</v>
      </c>
      <c r="O1280" s="26">
        <f>2024-Inventory[[#This Row],[YrBlt]]</f>
        <v>84</v>
      </c>
      <c r="P1280" s="26">
        <f>2024-Inventory[[#This Row],[EffYr]]</f>
        <v>52</v>
      </c>
      <c r="Q1280" s="25">
        <v>1940</v>
      </c>
      <c r="R1280" s="25">
        <v>1972</v>
      </c>
      <c r="S1280" s="25">
        <v>1463</v>
      </c>
      <c r="T1280" s="27"/>
      <c r="U1280" s="25">
        <v>1015</v>
      </c>
      <c r="V1280" s="25">
        <f>Inventory[[#This Row],[Bsmt]]-Inventory[[#This Row],[FnBsmt]]</f>
        <v>0</v>
      </c>
      <c r="W1280" s="25">
        <v>1015</v>
      </c>
      <c r="X1280" s="27"/>
      <c r="Y1280" s="27">
        <f>Inventory[[#This Row],[MainFn]]+Inventory[[#This Row],[UpprFn]]+Inventory[[#This Row],[FnBsmt]]+Inventory[[#This Row],[AddFn]]</f>
        <v>2478</v>
      </c>
      <c r="Z1280" s="27">
        <v>2500</v>
      </c>
      <c r="AA1280" s="25">
        <v>12</v>
      </c>
      <c r="AB1280" s="27"/>
      <c r="AC1280" s="27"/>
      <c r="AD1280" s="32">
        <v>126</v>
      </c>
      <c r="AE1280" s="27"/>
      <c r="AF1280" s="27"/>
      <c r="AG1280" s="27"/>
      <c r="AH1280" s="27"/>
      <c r="AI1280" s="25">
        <v>389044</v>
      </c>
      <c r="AJ1280" s="25">
        <v>272331</v>
      </c>
      <c r="AK1280" s="25">
        <v>10212</v>
      </c>
      <c r="AL1280" s="25">
        <v>387200</v>
      </c>
      <c r="AM1280" s="25">
        <v>54700</v>
      </c>
      <c r="AN1280" s="25">
        <v>332500</v>
      </c>
      <c r="AO1280" s="25">
        <v>0</v>
      </c>
      <c r="AP1280" s="25">
        <f>Lookups!$B$56*0</f>
        <v>0</v>
      </c>
      <c r="AQ1280" s="25">
        <f>Lookups!$B$56*1</f>
        <v>89850.625589999996</v>
      </c>
      <c r="AR1280" s="25">
        <f>Lookups!$B$57*Inventory[[#This Row],[LnAcres]]</f>
        <v>-54281.285314520763</v>
      </c>
      <c r="AS1280" s="25">
        <f>VLOOKUP(Inventory[[#This Row],[Qlty]],Lookups!$A$62:$E$75,2,FALSE)</f>
        <v>29814.093161000001</v>
      </c>
      <c r="AT1280" s="25">
        <f>VLOOKUP(Inventory[[#This Row],[Cnd]],Lookups!$A$76:$E$84,2,FALSE)</f>
        <v>197752.34721000001</v>
      </c>
      <c r="AU1280" s="25">
        <f>Inventory[[#This Row],[EffAge]]*Lookups!$B$85</f>
        <v>-11598.371226000001</v>
      </c>
      <c r="AV1280" s="25">
        <f>Inventory[[#This Row],[MainFn]]*Lookups!$B$86</f>
        <v>72284.884030051006</v>
      </c>
      <c r="AW1280" s="25">
        <f>Inventory[[#This Row],[UpprFn]]*Lookups!$B$87</f>
        <v>0</v>
      </c>
      <c r="AX1280" s="25">
        <f>Inventory[[#This Row],[AddFn]]*Lookups!$B$88</f>
        <v>0</v>
      </c>
      <c r="AY1280" s="25">
        <f>Inventory[[#This Row],[Bsmt]]*Lookups!$B$89</f>
        <v>29518.123675704999</v>
      </c>
      <c r="AZ1280" s="25">
        <f>Inventory[[#This Row],[Fixtures]]*Lookups!$B$90</f>
        <v>45504.265262400004</v>
      </c>
      <c r="BA1280" s="25">
        <f>Inventory[[#This Row],[WdDeck]]*Lookups!$B$91</f>
        <v>4195.2349247760003</v>
      </c>
      <c r="BB1280" s="25">
        <f>ROUND(Inventory[[#This Row],[25Det]],-2)</f>
        <v>10200</v>
      </c>
      <c r="BC1280" s="25">
        <f>ROUND(SUM(Inventory[[#This Row],[Mdl Qlty]:[Mdl WdDeck]])+Inventory[[#This Row],[Mdl Res Intercept]],-2)</f>
        <v>367500</v>
      </c>
      <c r="BD1280" s="25">
        <f>ROUND(Inventory[[#This Row],[Mdl Land Intercept]]+Inventory[[#This Row],[Mdl LnAcres]],-2)</f>
        <v>35600</v>
      </c>
      <c r="BE1280" s="25">
        <f>Inventory[[#This Row],[Unadj Res Value]]+Inventory[[#This Row],[Unadj Det Value]]+Inventory[[#This Row],[Unadj Land Value]]</f>
        <v>413300</v>
      </c>
      <c r="BF1280" s="36">
        <f>(Inventory[[#This Row],[Unadj Total Value]]-Inventory[[#This Row],[24Final]])/Inventory[[#This Row],[24Final]]</f>
        <v>6.7407024793388434E-2</v>
      </c>
      <c r="BG1280" s="25">
        <f>VLOOKUP(Inventory[[#This Row],[Nbhd]],Lookups!$Q$2:$T$4,4,FALSE)</f>
        <v>0.99970000000000003</v>
      </c>
      <c r="BH1280" s="25">
        <f>VLOOKUP(Inventory[[#This Row],[Qlty]],Lookups!$O$7:$R$21,4,FALSE)</f>
        <v>1.0088999999999999</v>
      </c>
      <c r="BI1280" s="25">
        <f>VLOOKUP(Inventory[[#This Row],[Cnd]],Lookups!$T$7:$W$16,4,FALSE)</f>
        <v>0.99650000000000005</v>
      </c>
      <c r="BJ1280" s="25">
        <f>VLOOKUP(Inventory[[#This Row],[LivArea Range]],Lookups!$T$25:$W$37,4,FALSE)</f>
        <v>0.98919999999999997</v>
      </c>
      <c r="BK1280" s="25">
        <f>VLOOKUP(Inventory[[#This Row],[Decade]],Lookups!$O$25:$R$42,4,FALSE)</f>
        <v>0.98909999999999998</v>
      </c>
      <c r="BL1280" s="25">
        <f>Inventory[[#This Row],[Nbhd Adj]]*0.95</f>
        <v>0.94971499999999998</v>
      </c>
      <c r="BM1280" s="25">
        <f>Inventory[[#This Row],[Nbhd Adj]]*Inventory[[#This Row],[Quality Adj]]*Inventory[[#This Row],[Condition Adj]]*Inventory[[#This Row],[Living Area Adj]]*Inventory[[#This Row],[Decade Adj]]*0.95</f>
        <v>0.93420681692829766</v>
      </c>
      <c r="BN1280" s="25">
        <f>ROUND(SUM(Inventory[[#This Row],[Mdl Qlty]:[Mdl WdDeck]])+Inventory[[#This Row],[Mdl Res Intercept]]*Inventory[[#This Row],[Res Adj ]],-2)</f>
        <v>367500</v>
      </c>
      <c r="BO1280" s="25">
        <f>ROUND(Inventory[[#This Row],[25Det]]*Inventory[[#This Row],[Det/Nbhd Adj]],-2)</f>
        <v>9700</v>
      </c>
      <c r="BP1280" s="25">
        <f>Inventory[[#This Row],[Adjusted Res]]+Inventory[[#This Row],[Adj Det ]]</f>
        <v>377200</v>
      </c>
      <c r="BQ1280" s="25">
        <f>ROUND((Inventory[[#This Row],[Mdl Land Intercept]]+Inventory[[#This Row],[Mdl LnAcres]])*Inventory[[#This Row],[Det/Nbhd Adj]],-2)</f>
        <v>33800</v>
      </c>
      <c r="BR1280" s="25">
        <f>Inventory[[#This Row],[Adjusted Impr Total]]+Inventory[[#This Row],[Adjusted Land Total]]</f>
        <v>411000</v>
      </c>
      <c r="BS1280" s="36">
        <f>IFERROR((Inventory[[#This Row],[Adjusted Impr Total]]-Inventory[[#This Row],[24Bldg]])/Inventory[[#This Row],[24Bldg]],0)</f>
        <v>0.13443609022556391</v>
      </c>
      <c r="BT1280" s="36">
        <f>(Inventory[[#This Row],[Adjusted Land Total]]-Inventory[[#This Row],[24Lnd]])/Inventory[[#This Row],[24Lnd]]</f>
        <v>-0.38208409506398539</v>
      </c>
      <c r="BU1280" s="36">
        <f>(Inventory[[#This Row],[Adjusted Total]]-Inventory[[#This Row],[24Final]])/Inventory[[#This Row],[24Final]]</f>
        <v>6.1466942148760334E-2</v>
      </c>
    </row>
    <row r="1281" spans="1:73" x14ac:dyDescent="0.3">
      <c r="A1281" s="25">
        <v>2025</v>
      </c>
      <c r="B1281" s="26" t="s">
        <v>1630</v>
      </c>
      <c r="C1281" s="26">
        <f>LN(Inventory[[#This Row],[Acres]])</f>
        <v>-1.1394342831883648</v>
      </c>
      <c r="D1281" s="25">
        <v>0.32</v>
      </c>
      <c r="E1281" s="32">
        <v>14040</v>
      </c>
      <c r="F1281" s="26" t="s">
        <v>537</v>
      </c>
      <c r="G1281" s="26" t="s">
        <v>126</v>
      </c>
      <c r="H1281" s="26" t="s">
        <v>349</v>
      </c>
      <c r="I1281" s="26" t="s">
        <v>538</v>
      </c>
      <c r="J1281" s="26" t="s">
        <v>539</v>
      </c>
      <c r="K1281" s="26" t="s">
        <v>242</v>
      </c>
      <c r="L1281" s="26" t="s">
        <v>302</v>
      </c>
      <c r="M1281" s="26" t="s">
        <v>206</v>
      </c>
      <c r="N1281" s="26">
        <v>90</v>
      </c>
      <c r="O1281" s="26">
        <f>2024-Inventory[[#This Row],[YrBlt]]</f>
        <v>84</v>
      </c>
      <c r="P1281" s="26">
        <f>2024-Inventory[[#This Row],[EffYr]]</f>
        <v>52</v>
      </c>
      <c r="Q1281" s="25">
        <v>1940</v>
      </c>
      <c r="R1281" s="25">
        <v>1972</v>
      </c>
      <c r="S1281" s="25">
        <v>1440</v>
      </c>
      <c r="T1281" s="27"/>
      <c r="U1281" s="25">
        <v>648</v>
      </c>
      <c r="V1281" s="25">
        <f>Inventory[[#This Row],[Bsmt]]-Inventory[[#This Row],[FnBsmt]]</f>
        <v>448</v>
      </c>
      <c r="W1281" s="25">
        <v>200</v>
      </c>
      <c r="X1281" s="27"/>
      <c r="Y1281" s="27">
        <f>Inventory[[#This Row],[MainFn]]+Inventory[[#This Row],[UpprFn]]+Inventory[[#This Row],[FnBsmt]]+Inventory[[#This Row],[AddFn]]</f>
        <v>1640</v>
      </c>
      <c r="Z1281" s="27">
        <v>2000</v>
      </c>
      <c r="AA1281" s="25">
        <v>8</v>
      </c>
      <c r="AB1281" s="27"/>
      <c r="AC1281" s="31"/>
      <c r="AD1281" s="31"/>
      <c r="AE1281" s="27"/>
      <c r="AF1281" s="27"/>
      <c r="AG1281" s="27"/>
      <c r="AH1281" s="27"/>
      <c r="AI1281" s="25">
        <v>309140</v>
      </c>
      <c r="AJ1281" s="25">
        <v>204032</v>
      </c>
      <c r="AK1281" s="25">
        <v>10436</v>
      </c>
      <c r="AL1281" s="25">
        <v>314000</v>
      </c>
      <c r="AM1281" s="25">
        <v>74800</v>
      </c>
      <c r="AN1281" s="25">
        <v>239200</v>
      </c>
      <c r="AO1281" s="25">
        <v>0</v>
      </c>
      <c r="AP1281" s="25">
        <f>Lookups!$B$56*0</f>
        <v>0</v>
      </c>
      <c r="AQ1281" s="25">
        <f>Lookups!$B$56*1</f>
        <v>89850.625589999996</v>
      </c>
      <c r="AR1281" s="25">
        <f>Lookups!$B$57*Inventory[[#This Row],[LnAcres]]</f>
        <v>-36068.354396449467</v>
      </c>
      <c r="AS1281" s="25">
        <f>VLOOKUP(Inventory[[#This Row],[Qlty]],Lookups!$A$62:$E$75,2,FALSE)</f>
        <v>29814.093161000001</v>
      </c>
      <c r="AT1281" s="25">
        <f>VLOOKUP(Inventory[[#This Row],[Cnd]],Lookups!$A$76:$E$84,2,FALSE)</f>
        <v>133714.53821</v>
      </c>
      <c r="AU1281" s="25">
        <f>Inventory[[#This Row],[EffAge]]*Lookups!$B$85</f>
        <v>-11598.371226000001</v>
      </c>
      <c r="AV1281" s="25">
        <f>Inventory[[#This Row],[MainFn]]*Lookups!$B$86</f>
        <v>71148.484622880002</v>
      </c>
      <c r="AW1281" s="25">
        <f>Inventory[[#This Row],[UpprFn]]*Lookups!$B$87</f>
        <v>0</v>
      </c>
      <c r="AX1281" s="25">
        <f>Inventory[[#This Row],[AddFn]]*Lookups!$B$88</f>
        <v>0</v>
      </c>
      <c r="AY1281" s="25">
        <f>Inventory[[#This Row],[Bsmt]]*Lookups!$B$89</f>
        <v>18845.068120055999</v>
      </c>
      <c r="AZ1281" s="25">
        <f>Inventory[[#This Row],[Fixtures]]*Lookups!$B$90</f>
        <v>30336.176841600001</v>
      </c>
      <c r="BA1281" s="25">
        <f>Inventory[[#This Row],[WdDeck]]*Lookups!$B$91</f>
        <v>0</v>
      </c>
      <c r="BB1281" s="25">
        <f>ROUND(Inventory[[#This Row],[25Det]],-2)</f>
        <v>10400</v>
      </c>
      <c r="BC1281" s="25">
        <f>ROUND(SUM(Inventory[[#This Row],[Mdl Qlty]:[Mdl WdDeck]])+Inventory[[#This Row],[Mdl Res Intercept]],-2)</f>
        <v>272300</v>
      </c>
      <c r="BD1281" s="25">
        <f>ROUND(Inventory[[#This Row],[Mdl Land Intercept]]+Inventory[[#This Row],[Mdl LnAcres]],-2)</f>
        <v>53800</v>
      </c>
      <c r="BE1281" s="25">
        <f>Inventory[[#This Row],[Unadj Res Value]]+Inventory[[#This Row],[Unadj Det Value]]+Inventory[[#This Row],[Unadj Land Value]]</f>
        <v>336500</v>
      </c>
      <c r="BF1281" s="36">
        <f>(Inventory[[#This Row],[Unadj Total Value]]-Inventory[[#This Row],[24Final]])/Inventory[[#This Row],[24Final]]</f>
        <v>7.1656050955414011E-2</v>
      </c>
      <c r="BG1281" s="25">
        <f>VLOOKUP(Inventory[[#This Row],[Nbhd]],Lookups!$Q$2:$T$4,4,FALSE)</f>
        <v>0.99970000000000003</v>
      </c>
      <c r="BH1281" s="25">
        <f>VLOOKUP(Inventory[[#This Row],[Qlty]],Lookups!$O$7:$R$21,4,FALSE)</f>
        <v>1.0088999999999999</v>
      </c>
      <c r="BI1281" s="25">
        <f>VLOOKUP(Inventory[[#This Row],[Cnd]],Lookups!$T$7:$W$16,4,FALSE)</f>
        <v>0.99329999999999996</v>
      </c>
      <c r="BJ1281" s="25">
        <f>VLOOKUP(Inventory[[#This Row],[LivArea Range]],Lookups!$T$25:$W$37,4,FALSE)</f>
        <v>1.0093000000000001</v>
      </c>
      <c r="BK1281" s="25">
        <f>VLOOKUP(Inventory[[#This Row],[Decade]],Lookups!$O$25:$R$42,4,FALSE)</f>
        <v>0.98909999999999998</v>
      </c>
      <c r="BL1281" s="25">
        <f>Inventory[[#This Row],[Nbhd Adj]]*0.95</f>
        <v>0.94971499999999998</v>
      </c>
      <c r="BM1281" s="25">
        <f>Inventory[[#This Row],[Nbhd Adj]]*Inventory[[#This Row],[Quality Adj]]*Inventory[[#This Row],[Condition Adj]]*Inventory[[#This Row],[Living Area Adj]]*Inventory[[#This Row],[Decade Adj]]*0.95</f>
        <v>0.95012846643960336</v>
      </c>
      <c r="BN1281" s="25">
        <f>ROUND(SUM(Inventory[[#This Row],[Mdl Qlty]:[Mdl WdDeck]])+Inventory[[#This Row],[Mdl Res Intercept]]*Inventory[[#This Row],[Res Adj ]],-2)</f>
        <v>272300</v>
      </c>
      <c r="BO1281" s="25">
        <f>ROUND(Inventory[[#This Row],[25Det]]*Inventory[[#This Row],[Det/Nbhd Adj]],-2)</f>
        <v>9900</v>
      </c>
      <c r="BP1281" s="25">
        <f>Inventory[[#This Row],[Adjusted Res]]+Inventory[[#This Row],[Adj Det ]]</f>
        <v>282200</v>
      </c>
      <c r="BQ1281" s="25">
        <f>ROUND((Inventory[[#This Row],[Mdl Land Intercept]]+Inventory[[#This Row],[Mdl LnAcres]])*Inventory[[#This Row],[Det/Nbhd Adj]],-2)</f>
        <v>51100</v>
      </c>
      <c r="BR1281" s="25">
        <f>Inventory[[#This Row],[Adjusted Impr Total]]+Inventory[[#This Row],[Adjusted Land Total]]</f>
        <v>333300</v>
      </c>
      <c r="BS1281" s="36">
        <f>IFERROR((Inventory[[#This Row],[Adjusted Impr Total]]-Inventory[[#This Row],[24Bldg]])/Inventory[[#This Row],[24Bldg]],0)</f>
        <v>0.17976588628762541</v>
      </c>
      <c r="BT1281" s="36">
        <f>(Inventory[[#This Row],[Adjusted Land Total]]-Inventory[[#This Row],[24Lnd]])/Inventory[[#This Row],[24Lnd]]</f>
        <v>-0.31684491978609625</v>
      </c>
      <c r="BU1281" s="36">
        <f>(Inventory[[#This Row],[Adjusted Total]]-Inventory[[#This Row],[24Final]])/Inventory[[#This Row],[24Final]]</f>
        <v>6.1464968152866242E-2</v>
      </c>
    </row>
    <row r="1282" spans="1:73" x14ac:dyDescent="0.3">
      <c r="A1282" s="25">
        <v>2025</v>
      </c>
      <c r="B1282" s="26" t="s">
        <v>1238</v>
      </c>
      <c r="C1282" s="26">
        <f>LN(Inventory[[#This Row],[Acres]])</f>
        <v>-1.7147984280919266</v>
      </c>
      <c r="D1282" s="25">
        <v>0.18</v>
      </c>
      <c r="E1282" s="32">
        <v>7800</v>
      </c>
      <c r="F1282" s="26" t="s">
        <v>537</v>
      </c>
      <c r="G1282" s="26" t="s">
        <v>126</v>
      </c>
      <c r="H1282" s="26" t="s">
        <v>349</v>
      </c>
      <c r="I1282" s="26" t="s">
        <v>538</v>
      </c>
      <c r="J1282" s="26" t="s">
        <v>539</v>
      </c>
      <c r="K1282" s="26" t="s">
        <v>173</v>
      </c>
      <c r="L1282" s="26" t="s">
        <v>351</v>
      </c>
      <c r="M1282" s="26" t="s">
        <v>303</v>
      </c>
      <c r="N1282" s="26">
        <v>90</v>
      </c>
      <c r="O1282" s="26">
        <f>2024-Inventory[[#This Row],[YrBlt]]</f>
        <v>84</v>
      </c>
      <c r="P1282" s="26">
        <f>2024-Inventory[[#This Row],[EffYr]]</f>
        <v>52</v>
      </c>
      <c r="Q1282" s="25">
        <v>1940</v>
      </c>
      <c r="R1282" s="25">
        <v>1972</v>
      </c>
      <c r="S1282" s="25">
        <v>1152</v>
      </c>
      <c r="T1282" s="32">
        <v>201</v>
      </c>
      <c r="U1282" s="25">
        <v>1044</v>
      </c>
      <c r="V1282" s="25">
        <f>Inventory[[#This Row],[Bsmt]]-Inventory[[#This Row],[FnBsmt]]</f>
        <v>284</v>
      </c>
      <c r="W1282" s="25">
        <v>760</v>
      </c>
      <c r="X1282" s="27"/>
      <c r="Y1282" s="27">
        <f>Inventory[[#This Row],[MainFn]]+Inventory[[#This Row],[UpprFn]]+Inventory[[#This Row],[FnBsmt]]+Inventory[[#This Row],[AddFn]]</f>
        <v>2113</v>
      </c>
      <c r="Z1282" s="27">
        <v>2500</v>
      </c>
      <c r="AA1282" s="25">
        <v>9</v>
      </c>
      <c r="AB1282" s="32">
        <v>288</v>
      </c>
      <c r="AC1282" s="31"/>
      <c r="AD1282" s="27"/>
      <c r="AE1282" s="27"/>
      <c r="AF1282" s="27"/>
      <c r="AG1282" s="27"/>
      <c r="AH1282" s="27"/>
      <c r="AI1282" s="25">
        <v>310558</v>
      </c>
      <c r="AJ1282" s="25">
        <v>217391</v>
      </c>
      <c r="AK1282" s="25">
        <v>0</v>
      </c>
      <c r="AL1282" s="25">
        <v>350400</v>
      </c>
      <c r="AM1282" s="25">
        <v>54700</v>
      </c>
      <c r="AN1282" s="25">
        <v>295700</v>
      </c>
      <c r="AO1282" s="25">
        <v>0</v>
      </c>
      <c r="AP1282" s="25">
        <f>Lookups!$B$56*0</f>
        <v>0</v>
      </c>
      <c r="AQ1282" s="25">
        <f>Lookups!$B$56*1</f>
        <v>89850.625589999996</v>
      </c>
      <c r="AR1282" s="25">
        <f>Lookups!$B$57*Inventory[[#This Row],[LnAcres]]</f>
        <v>-54281.285314520763</v>
      </c>
      <c r="AS1282" s="25">
        <f>VLOOKUP(Inventory[[#This Row],[Qlty]],Lookups!$A$62:$E$75,2,FALSE)</f>
        <v>21557.329055999999</v>
      </c>
      <c r="AT1282" s="25">
        <f>VLOOKUP(Inventory[[#This Row],[Cnd]],Lookups!$A$76:$E$84,2,FALSE)</f>
        <v>197752.34721000001</v>
      </c>
      <c r="AU1282" s="25">
        <f>Inventory[[#This Row],[EffAge]]*Lookups!$B$85</f>
        <v>-11598.371226000001</v>
      </c>
      <c r="AV1282" s="25">
        <f>Inventory[[#This Row],[MainFn]]*Lookups!$B$86</f>
        <v>56918.787698304004</v>
      </c>
      <c r="AW1282" s="25">
        <f>Inventory[[#This Row],[UpprFn]]*Lookups!$B$87</f>
        <v>9002.0709950609998</v>
      </c>
      <c r="AX1282" s="25">
        <f>Inventory[[#This Row],[AddFn]]*Lookups!$B$88</f>
        <v>0</v>
      </c>
      <c r="AY1282" s="25">
        <f>Inventory[[#This Row],[Bsmt]]*Lookups!$B$89</f>
        <v>30361.498637867997</v>
      </c>
      <c r="AZ1282" s="25">
        <f>Inventory[[#This Row],[Fixtures]]*Lookups!$B$90</f>
        <v>34128.198946800003</v>
      </c>
      <c r="BA1282" s="25">
        <f>Inventory[[#This Row],[WdDeck]]*Lookups!$B$91</f>
        <v>0</v>
      </c>
      <c r="BB1282" s="25">
        <f>ROUND(Inventory[[#This Row],[25Det]],-2)</f>
        <v>0</v>
      </c>
      <c r="BC1282" s="25">
        <f>ROUND(SUM(Inventory[[#This Row],[Mdl Qlty]:[Mdl WdDeck]])+Inventory[[#This Row],[Mdl Res Intercept]],-2)</f>
        <v>338100</v>
      </c>
      <c r="BD1282" s="25">
        <f>ROUND(Inventory[[#This Row],[Mdl Land Intercept]]+Inventory[[#This Row],[Mdl LnAcres]],-2)</f>
        <v>35600</v>
      </c>
      <c r="BE1282" s="25">
        <f>Inventory[[#This Row],[Unadj Res Value]]+Inventory[[#This Row],[Unadj Det Value]]+Inventory[[#This Row],[Unadj Land Value]]</f>
        <v>373700</v>
      </c>
      <c r="BF1282" s="36">
        <f>(Inventory[[#This Row],[Unadj Total Value]]-Inventory[[#This Row],[24Final]])/Inventory[[#This Row],[24Final]]</f>
        <v>6.6495433789954345E-2</v>
      </c>
      <c r="BG1282" s="25">
        <f>VLOOKUP(Inventory[[#This Row],[Nbhd]],Lookups!$Q$2:$T$4,4,FALSE)</f>
        <v>0.99970000000000003</v>
      </c>
      <c r="BH1282" s="25">
        <f>VLOOKUP(Inventory[[#This Row],[Qlty]],Lookups!$O$7:$R$21,4,FALSE)</f>
        <v>1.0067999999999999</v>
      </c>
      <c r="BI1282" s="25">
        <f>VLOOKUP(Inventory[[#This Row],[Cnd]],Lookups!$T$7:$W$16,4,FALSE)</f>
        <v>0.99650000000000005</v>
      </c>
      <c r="BJ1282" s="25">
        <f>VLOOKUP(Inventory[[#This Row],[LivArea Range]],Lookups!$T$25:$W$37,4,FALSE)</f>
        <v>0.98919999999999997</v>
      </c>
      <c r="BK1282" s="25">
        <f>VLOOKUP(Inventory[[#This Row],[Decade]],Lookups!$O$25:$R$42,4,FALSE)</f>
        <v>0.98909999999999998</v>
      </c>
      <c r="BL1282" s="25">
        <f>Inventory[[#This Row],[Nbhd Adj]]*0.95</f>
        <v>0.94971499999999998</v>
      </c>
      <c r="BM1282" s="25">
        <f>Inventory[[#This Row],[Nbhd Adj]]*Inventory[[#This Row],[Quality Adj]]*Inventory[[#This Row],[Condition Adj]]*Inventory[[#This Row],[Living Area Adj]]*Inventory[[#This Row],[Decade Adj]]*0.95</f>
        <v>0.9322622889120924</v>
      </c>
      <c r="BN1282" s="25">
        <f>ROUND(SUM(Inventory[[#This Row],[Mdl Qlty]:[Mdl WdDeck]])+Inventory[[#This Row],[Mdl Res Intercept]]*Inventory[[#This Row],[Res Adj ]],-2)</f>
        <v>338100</v>
      </c>
      <c r="BO1282" s="25">
        <f>ROUND(Inventory[[#This Row],[25Det]]*Inventory[[#This Row],[Det/Nbhd Adj]],-2)</f>
        <v>0</v>
      </c>
      <c r="BP1282" s="25">
        <f>Inventory[[#This Row],[Adjusted Res]]+Inventory[[#This Row],[Adj Det ]]</f>
        <v>338100</v>
      </c>
      <c r="BQ1282" s="25">
        <f>ROUND((Inventory[[#This Row],[Mdl Land Intercept]]+Inventory[[#This Row],[Mdl LnAcres]])*Inventory[[#This Row],[Det/Nbhd Adj]],-2)</f>
        <v>33800</v>
      </c>
      <c r="BR1282" s="25">
        <f>Inventory[[#This Row],[Adjusted Impr Total]]+Inventory[[#This Row],[Adjusted Land Total]]</f>
        <v>371900</v>
      </c>
      <c r="BS1282" s="36">
        <f>IFERROR((Inventory[[#This Row],[Adjusted Impr Total]]-Inventory[[#This Row],[24Bldg]])/Inventory[[#This Row],[24Bldg]],0)</f>
        <v>0.14338856949611092</v>
      </c>
      <c r="BT1282" s="36">
        <f>(Inventory[[#This Row],[Adjusted Land Total]]-Inventory[[#This Row],[24Lnd]])/Inventory[[#This Row],[24Lnd]]</f>
        <v>-0.38208409506398539</v>
      </c>
      <c r="BU1282" s="36">
        <f>(Inventory[[#This Row],[Adjusted Total]]-Inventory[[#This Row],[24Final]])/Inventory[[#This Row],[24Final]]</f>
        <v>6.1358447488584475E-2</v>
      </c>
    </row>
    <row r="1283" spans="1:73" x14ac:dyDescent="0.3">
      <c r="A1283" s="25">
        <v>2025</v>
      </c>
      <c r="B1283" s="26" t="s">
        <v>1111</v>
      </c>
      <c r="C1283" s="26">
        <f>LN(Inventory[[#This Row],[Acres]])</f>
        <v>-1.9661128563728327</v>
      </c>
      <c r="D1283" s="25">
        <v>0.14000000000000001</v>
      </c>
      <c r="E1283" s="27"/>
      <c r="F1283" s="26" t="s">
        <v>537</v>
      </c>
      <c r="G1283" s="26" t="s">
        <v>126</v>
      </c>
      <c r="H1283" s="26" t="s">
        <v>349</v>
      </c>
      <c r="I1283" s="26" t="s">
        <v>538</v>
      </c>
      <c r="J1283" s="26" t="s">
        <v>539</v>
      </c>
      <c r="K1283" s="26" t="s">
        <v>4</v>
      </c>
      <c r="L1283" s="26" t="s">
        <v>302</v>
      </c>
      <c r="M1283" s="26" t="s">
        <v>303</v>
      </c>
      <c r="N1283" s="26">
        <v>90</v>
      </c>
      <c r="O1283" s="26">
        <f>2024-Inventory[[#This Row],[YrBlt]]</f>
        <v>84</v>
      </c>
      <c r="P1283" s="26">
        <f>2024-Inventory[[#This Row],[EffYr]]</f>
        <v>52</v>
      </c>
      <c r="Q1283" s="25">
        <v>1940</v>
      </c>
      <c r="R1283" s="25">
        <v>1972</v>
      </c>
      <c r="S1283" s="25">
        <v>1125</v>
      </c>
      <c r="T1283" s="27"/>
      <c r="U1283" s="25">
        <v>1125</v>
      </c>
      <c r="V1283" s="25">
        <f>Inventory[[#This Row],[Bsmt]]-Inventory[[#This Row],[FnBsmt]]</f>
        <v>225</v>
      </c>
      <c r="W1283" s="25">
        <v>900</v>
      </c>
      <c r="X1283" s="27"/>
      <c r="Y1283" s="27">
        <f>Inventory[[#This Row],[MainFn]]+Inventory[[#This Row],[UpprFn]]+Inventory[[#This Row],[FnBsmt]]+Inventory[[#This Row],[AddFn]]</f>
        <v>2025</v>
      </c>
      <c r="Z1283" s="27">
        <v>2500</v>
      </c>
      <c r="AA1283" s="25">
        <v>9</v>
      </c>
      <c r="AB1283" s="27"/>
      <c r="AC1283" s="27"/>
      <c r="AD1283" s="27"/>
      <c r="AE1283" s="27"/>
      <c r="AF1283" s="27"/>
      <c r="AG1283" s="27"/>
      <c r="AH1283" s="27"/>
      <c r="AI1283" s="25">
        <v>328948</v>
      </c>
      <c r="AJ1283" s="25">
        <v>230264</v>
      </c>
      <c r="AK1283" s="25">
        <v>0</v>
      </c>
      <c r="AL1283" s="25">
        <v>343900</v>
      </c>
      <c r="AM1283" s="25">
        <v>46000</v>
      </c>
      <c r="AN1283" s="25">
        <v>297900</v>
      </c>
      <c r="AO1283" s="25">
        <v>0</v>
      </c>
      <c r="AP1283" s="25">
        <f>Lookups!$B$56*0</f>
        <v>0</v>
      </c>
      <c r="AQ1283" s="25">
        <f>Lookups!$B$56*1</f>
        <v>89850.625589999996</v>
      </c>
      <c r="AR1283" s="25">
        <f>Lookups!$B$57*Inventory[[#This Row],[LnAcres]]</f>
        <v>-62236.546971921947</v>
      </c>
      <c r="AS1283" s="25">
        <f>VLOOKUP(Inventory[[#This Row],[Qlty]],Lookups!$A$62:$E$75,2,FALSE)</f>
        <v>29814.093161000001</v>
      </c>
      <c r="AT1283" s="25">
        <f>VLOOKUP(Inventory[[#This Row],[Cnd]],Lookups!$A$76:$E$84,2,FALSE)</f>
        <v>197752.34721000001</v>
      </c>
      <c r="AU1283" s="25">
        <f>Inventory[[#This Row],[EffAge]]*Lookups!$B$85</f>
        <v>-11598.371226000001</v>
      </c>
      <c r="AV1283" s="25">
        <f>Inventory[[#This Row],[MainFn]]*Lookups!$B$86</f>
        <v>55584.753611625005</v>
      </c>
      <c r="AW1283" s="25">
        <f>Inventory[[#This Row],[UpprFn]]*Lookups!$B$87</f>
        <v>0</v>
      </c>
      <c r="AX1283" s="25">
        <f>Inventory[[#This Row],[AddFn]]*Lookups!$B$88</f>
        <v>0</v>
      </c>
      <c r="AY1283" s="25">
        <f>Inventory[[#This Row],[Bsmt]]*Lookups!$B$89</f>
        <v>32717.132152874998</v>
      </c>
      <c r="AZ1283" s="25">
        <f>Inventory[[#This Row],[Fixtures]]*Lookups!$B$90</f>
        <v>34128.198946800003</v>
      </c>
      <c r="BA1283" s="25">
        <f>Inventory[[#This Row],[WdDeck]]*Lookups!$B$91</f>
        <v>0</v>
      </c>
      <c r="BB1283" s="25">
        <f>ROUND(Inventory[[#This Row],[25Det]],-2)</f>
        <v>0</v>
      </c>
      <c r="BC1283" s="25">
        <f>ROUND(SUM(Inventory[[#This Row],[Mdl Qlty]:[Mdl WdDeck]])+Inventory[[#This Row],[Mdl Res Intercept]],-2)</f>
        <v>338400</v>
      </c>
      <c r="BD1283" s="25">
        <f>ROUND(Inventory[[#This Row],[Mdl Land Intercept]]+Inventory[[#This Row],[Mdl LnAcres]],-2)</f>
        <v>27600</v>
      </c>
      <c r="BE1283" s="25">
        <f>Inventory[[#This Row],[Unadj Res Value]]+Inventory[[#This Row],[Unadj Det Value]]+Inventory[[#This Row],[Unadj Land Value]]</f>
        <v>366000</v>
      </c>
      <c r="BF1283" s="36">
        <f>(Inventory[[#This Row],[Unadj Total Value]]-Inventory[[#This Row],[24Final]])/Inventory[[#This Row],[24Final]]</f>
        <v>6.4262867112532707E-2</v>
      </c>
      <c r="BG1283" s="25">
        <f>VLOOKUP(Inventory[[#This Row],[Nbhd]],Lookups!$Q$2:$T$4,4,FALSE)</f>
        <v>0.99970000000000003</v>
      </c>
      <c r="BH1283" s="25">
        <f>VLOOKUP(Inventory[[#This Row],[Qlty]],Lookups!$O$7:$R$21,4,FALSE)</f>
        <v>1.0088999999999999</v>
      </c>
      <c r="BI1283" s="25">
        <f>VLOOKUP(Inventory[[#This Row],[Cnd]],Lookups!$T$7:$W$16,4,FALSE)</f>
        <v>0.99650000000000005</v>
      </c>
      <c r="BJ1283" s="25">
        <f>VLOOKUP(Inventory[[#This Row],[LivArea Range]],Lookups!$T$25:$W$37,4,FALSE)</f>
        <v>0.98919999999999997</v>
      </c>
      <c r="BK1283" s="25">
        <f>VLOOKUP(Inventory[[#This Row],[Decade]],Lookups!$O$25:$R$42,4,FALSE)</f>
        <v>0.98909999999999998</v>
      </c>
      <c r="BL1283" s="25">
        <f>Inventory[[#This Row],[Nbhd Adj]]*0.95</f>
        <v>0.94971499999999998</v>
      </c>
      <c r="BM1283" s="25">
        <f>Inventory[[#This Row],[Nbhd Adj]]*Inventory[[#This Row],[Quality Adj]]*Inventory[[#This Row],[Condition Adj]]*Inventory[[#This Row],[Living Area Adj]]*Inventory[[#This Row],[Decade Adj]]*0.95</f>
        <v>0.93420681692829766</v>
      </c>
      <c r="BN1283" s="25">
        <f>ROUND(SUM(Inventory[[#This Row],[Mdl Qlty]:[Mdl WdDeck]])+Inventory[[#This Row],[Mdl Res Intercept]]*Inventory[[#This Row],[Res Adj ]],-2)</f>
        <v>338400</v>
      </c>
      <c r="BO1283" s="25">
        <f>ROUND(Inventory[[#This Row],[25Det]]*Inventory[[#This Row],[Det/Nbhd Adj]],-2)</f>
        <v>0</v>
      </c>
      <c r="BP1283" s="25">
        <f>Inventory[[#This Row],[Adjusted Res]]+Inventory[[#This Row],[Adj Det ]]</f>
        <v>338400</v>
      </c>
      <c r="BQ1283" s="25">
        <f>ROUND((Inventory[[#This Row],[Mdl Land Intercept]]+Inventory[[#This Row],[Mdl LnAcres]])*Inventory[[#This Row],[Det/Nbhd Adj]],-2)</f>
        <v>26200</v>
      </c>
      <c r="BR1283" s="25">
        <f>Inventory[[#This Row],[Adjusted Impr Total]]+Inventory[[#This Row],[Adjusted Land Total]]</f>
        <v>364600</v>
      </c>
      <c r="BS1283" s="36">
        <f>IFERROR((Inventory[[#This Row],[Adjusted Impr Total]]-Inventory[[#This Row],[24Bldg]])/Inventory[[#This Row],[24Bldg]],0)</f>
        <v>0.13595166163141995</v>
      </c>
      <c r="BT1283" s="36">
        <f>(Inventory[[#This Row],[Adjusted Land Total]]-Inventory[[#This Row],[24Lnd]])/Inventory[[#This Row],[24Lnd]]</f>
        <v>-0.43043478260869567</v>
      </c>
      <c r="BU1283" s="36">
        <f>(Inventory[[#This Row],[Adjusted Total]]-Inventory[[#This Row],[24Final]])/Inventory[[#This Row],[24Final]]</f>
        <v>6.0191916254725211E-2</v>
      </c>
    </row>
    <row r="1284" spans="1:73" x14ac:dyDescent="0.3">
      <c r="A1284" s="25">
        <v>2025</v>
      </c>
      <c r="B1284" s="26" t="s">
        <v>2645</v>
      </c>
      <c r="C1284" s="26">
        <f>LN(Inventory[[#This Row],[Acres]])</f>
        <v>-1.5141277326297755</v>
      </c>
      <c r="D1284" s="25">
        <v>0.22</v>
      </c>
      <c r="E1284" s="25">
        <v>9670</v>
      </c>
      <c r="F1284" s="26" t="s">
        <v>537</v>
      </c>
      <c r="G1284" s="26" t="s">
        <v>126</v>
      </c>
      <c r="H1284" s="26" t="s">
        <v>349</v>
      </c>
      <c r="I1284" s="26" t="s">
        <v>538</v>
      </c>
      <c r="J1284" s="26" t="s">
        <v>539</v>
      </c>
      <c r="K1284" s="26" t="s">
        <v>242</v>
      </c>
      <c r="L1284" s="26" t="s">
        <v>302</v>
      </c>
      <c r="M1284" s="26" t="s">
        <v>206</v>
      </c>
      <c r="N1284" s="26">
        <v>90</v>
      </c>
      <c r="O1284" s="26">
        <f>2024-Inventory[[#This Row],[YrBlt]]</f>
        <v>84</v>
      </c>
      <c r="P1284" s="26">
        <f>2024-Inventory[[#This Row],[EffYr]]</f>
        <v>52</v>
      </c>
      <c r="Q1284" s="25">
        <v>1940</v>
      </c>
      <c r="R1284" s="25">
        <v>1972</v>
      </c>
      <c r="S1284" s="25">
        <v>1032</v>
      </c>
      <c r="T1284" s="27"/>
      <c r="U1284" s="27"/>
      <c r="V1284" s="27">
        <f>Inventory[[#This Row],[Bsmt]]-Inventory[[#This Row],[FnBsmt]]</f>
        <v>0</v>
      </c>
      <c r="W1284" s="27"/>
      <c r="X1284" s="27"/>
      <c r="Y1284" s="27">
        <f>Inventory[[#This Row],[MainFn]]+Inventory[[#This Row],[UpprFn]]+Inventory[[#This Row],[FnBsmt]]+Inventory[[#This Row],[AddFn]]</f>
        <v>1032</v>
      </c>
      <c r="Z1284" s="27">
        <v>1500</v>
      </c>
      <c r="AA1284" s="25">
        <v>5</v>
      </c>
      <c r="AB1284" s="27"/>
      <c r="AC1284" s="27"/>
      <c r="AD1284" s="27"/>
      <c r="AE1284" s="27"/>
      <c r="AF1284" s="27"/>
      <c r="AG1284" s="27"/>
      <c r="AH1284" s="27"/>
      <c r="AI1284" s="25">
        <v>208046</v>
      </c>
      <c r="AJ1284" s="25">
        <v>137310</v>
      </c>
      <c r="AK1284" s="25">
        <v>7795</v>
      </c>
      <c r="AL1284" s="25">
        <v>254000</v>
      </c>
      <c r="AM1284" s="25">
        <v>61700</v>
      </c>
      <c r="AN1284" s="25">
        <v>192300</v>
      </c>
      <c r="AO1284" s="25">
        <v>0</v>
      </c>
      <c r="AP1284" s="25">
        <f>Lookups!$B$56*0</f>
        <v>0</v>
      </c>
      <c r="AQ1284" s="25">
        <f>Lookups!$B$56*1</f>
        <v>89850.625589999996</v>
      </c>
      <c r="AR1284" s="25">
        <f>Lookups!$B$57*Inventory[[#This Row],[LnAcres]]</f>
        <v>-47929.131559187132</v>
      </c>
      <c r="AS1284" s="25">
        <f>VLOOKUP(Inventory[[#This Row],[Qlty]],Lookups!$A$62:$E$75,2,FALSE)</f>
        <v>29814.093161000001</v>
      </c>
      <c r="AT1284" s="25">
        <f>VLOOKUP(Inventory[[#This Row],[Cnd]],Lookups!$A$76:$E$84,2,FALSE)</f>
        <v>133714.53821</v>
      </c>
      <c r="AU1284" s="25">
        <f>Inventory[[#This Row],[EffAge]]*Lookups!$B$85</f>
        <v>-11598.371226000001</v>
      </c>
      <c r="AV1284" s="25">
        <f>Inventory[[#This Row],[MainFn]]*Lookups!$B$86</f>
        <v>50989.747313063999</v>
      </c>
      <c r="AW1284" s="25">
        <f>Inventory[[#This Row],[UpprFn]]*Lookups!$B$87</f>
        <v>0</v>
      </c>
      <c r="AX1284" s="25">
        <f>Inventory[[#This Row],[AddFn]]*Lookups!$B$88</f>
        <v>0</v>
      </c>
      <c r="AY1284" s="25">
        <f>Inventory[[#This Row],[Bsmt]]*Lookups!$B$89</f>
        <v>0</v>
      </c>
      <c r="AZ1284" s="25">
        <f>Inventory[[#This Row],[Fixtures]]*Lookups!$B$90</f>
        <v>18960.110526</v>
      </c>
      <c r="BA1284" s="25">
        <f>Inventory[[#This Row],[WdDeck]]*Lookups!$B$91</f>
        <v>0</v>
      </c>
      <c r="BB1284" s="25">
        <f>ROUND(Inventory[[#This Row],[25Det]],-2)</f>
        <v>7800</v>
      </c>
      <c r="BC1284" s="25">
        <f>ROUND(SUM(Inventory[[#This Row],[Mdl Qlty]:[Mdl WdDeck]])+Inventory[[#This Row],[Mdl Res Intercept]],-2)</f>
        <v>221900</v>
      </c>
      <c r="BD1284" s="25">
        <f>ROUND(Inventory[[#This Row],[Mdl Land Intercept]]+Inventory[[#This Row],[Mdl LnAcres]],-2)</f>
        <v>41900</v>
      </c>
      <c r="BE1284" s="25">
        <f>Inventory[[#This Row],[Unadj Res Value]]+Inventory[[#This Row],[Unadj Det Value]]+Inventory[[#This Row],[Unadj Land Value]]</f>
        <v>271600</v>
      </c>
      <c r="BF1284" s="36">
        <f>(Inventory[[#This Row],[Unadj Total Value]]-Inventory[[#This Row],[24Final]])/Inventory[[#This Row],[24Final]]</f>
        <v>6.9291338582677164E-2</v>
      </c>
      <c r="BG1284" s="25">
        <f>VLOOKUP(Inventory[[#This Row],[Nbhd]],Lookups!$Q$2:$T$4,4,FALSE)</f>
        <v>0.99970000000000003</v>
      </c>
      <c r="BH1284" s="25">
        <f>VLOOKUP(Inventory[[#This Row],[Qlty]],Lookups!$O$7:$R$21,4,FALSE)</f>
        <v>1.0088999999999999</v>
      </c>
      <c r="BI1284" s="25">
        <f>VLOOKUP(Inventory[[#This Row],[Cnd]],Lookups!$T$7:$W$16,4,FALSE)</f>
        <v>0.99329999999999996</v>
      </c>
      <c r="BJ1284" s="25">
        <f>VLOOKUP(Inventory[[#This Row],[LivArea Range]],Lookups!$T$25:$W$37,4,FALSE)</f>
        <v>1.0157</v>
      </c>
      <c r="BK1284" s="25">
        <f>VLOOKUP(Inventory[[#This Row],[Decade]],Lookups!$O$25:$R$42,4,FALSE)</f>
        <v>0.98909999999999998</v>
      </c>
      <c r="BL1284" s="25">
        <f>Inventory[[#This Row],[Nbhd Adj]]*0.95</f>
        <v>0.94971499999999998</v>
      </c>
      <c r="BM1284" s="25">
        <f>Inventory[[#This Row],[Nbhd Adj]]*Inventory[[#This Row],[Quality Adj]]*Inventory[[#This Row],[Condition Adj]]*Inventory[[#This Row],[Living Area Adj]]*Inventory[[#This Row],[Decade Adj]]*0.95</f>
        <v>0.95615325806272178</v>
      </c>
      <c r="BN1284" s="25">
        <f>ROUND(SUM(Inventory[[#This Row],[Mdl Qlty]:[Mdl WdDeck]])+Inventory[[#This Row],[Mdl Res Intercept]]*Inventory[[#This Row],[Res Adj ]],-2)</f>
        <v>221900</v>
      </c>
      <c r="BO1284" s="25">
        <f>ROUND(Inventory[[#This Row],[25Det]]*Inventory[[#This Row],[Det/Nbhd Adj]],-2)</f>
        <v>7400</v>
      </c>
      <c r="BP1284" s="25">
        <f>Inventory[[#This Row],[Adjusted Res]]+Inventory[[#This Row],[Adj Det ]]</f>
        <v>229300</v>
      </c>
      <c r="BQ1284" s="25">
        <f>ROUND((Inventory[[#This Row],[Mdl Land Intercept]]+Inventory[[#This Row],[Mdl LnAcres]])*Inventory[[#This Row],[Det/Nbhd Adj]],-2)</f>
        <v>39800</v>
      </c>
      <c r="BR1284" s="25">
        <f>Inventory[[#This Row],[Adjusted Impr Total]]+Inventory[[#This Row],[Adjusted Land Total]]</f>
        <v>269100</v>
      </c>
      <c r="BS1284" s="36">
        <f>IFERROR((Inventory[[#This Row],[Adjusted Impr Total]]-Inventory[[#This Row],[24Bldg]])/Inventory[[#This Row],[24Bldg]],0)</f>
        <v>0.19240769630785232</v>
      </c>
      <c r="BT1284" s="36">
        <f>(Inventory[[#This Row],[Adjusted Land Total]]-Inventory[[#This Row],[24Lnd]])/Inventory[[#This Row],[24Lnd]]</f>
        <v>-0.35494327390599678</v>
      </c>
      <c r="BU1284" s="36">
        <f>(Inventory[[#This Row],[Adjusted Total]]-Inventory[[#This Row],[24Final]])/Inventory[[#This Row],[24Final]]</f>
        <v>5.9448818897637798E-2</v>
      </c>
    </row>
    <row r="1285" spans="1:73" x14ac:dyDescent="0.3">
      <c r="A1285" s="25">
        <v>2025</v>
      </c>
      <c r="B1285" s="26" t="s">
        <v>2868</v>
      </c>
      <c r="C1285" s="26">
        <f>LN(Inventory[[#This Row],[Acres]])</f>
        <v>-1.6607312068216509</v>
      </c>
      <c r="D1285" s="25">
        <v>0.19</v>
      </c>
      <c r="E1285" s="31"/>
      <c r="F1285" s="26" t="s">
        <v>537</v>
      </c>
      <c r="G1285" s="26" t="s">
        <v>126</v>
      </c>
      <c r="H1285" s="26" t="s">
        <v>349</v>
      </c>
      <c r="I1285" s="26" t="s">
        <v>538</v>
      </c>
      <c r="J1285" s="26" t="s">
        <v>539</v>
      </c>
      <c r="K1285" s="26" t="s">
        <v>242</v>
      </c>
      <c r="L1285" s="26" t="s">
        <v>351</v>
      </c>
      <c r="M1285" s="26" t="s">
        <v>323</v>
      </c>
      <c r="N1285" s="26">
        <v>90</v>
      </c>
      <c r="O1285" s="26">
        <f>2024-Inventory[[#This Row],[YrBlt]]</f>
        <v>84</v>
      </c>
      <c r="P1285" s="26">
        <f>2024-Inventory[[#This Row],[EffYr]]</f>
        <v>52</v>
      </c>
      <c r="Q1285" s="25">
        <v>1940</v>
      </c>
      <c r="R1285" s="25">
        <v>1972</v>
      </c>
      <c r="S1285" s="25">
        <v>906</v>
      </c>
      <c r="T1285" s="31"/>
      <c r="U1285" s="31"/>
      <c r="V1285" s="31">
        <f>Inventory[[#This Row],[Bsmt]]-Inventory[[#This Row],[FnBsmt]]</f>
        <v>0</v>
      </c>
      <c r="W1285" s="31"/>
      <c r="X1285" s="27"/>
      <c r="Y1285" s="27">
        <f>Inventory[[#This Row],[MainFn]]+Inventory[[#This Row],[UpprFn]]+Inventory[[#This Row],[FnBsmt]]+Inventory[[#This Row],[AddFn]]</f>
        <v>906</v>
      </c>
      <c r="Z1285" s="27">
        <v>1000</v>
      </c>
      <c r="AA1285" s="25">
        <v>5</v>
      </c>
      <c r="AB1285" s="32">
        <v>240</v>
      </c>
      <c r="AC1285" s="27"/>
      <c r="AD1285" s="27"/>
      <c r="AE1285" s="27"/>
      <c r="AF1285" s="27"/>
      <c r="AG1285" s="27"/>
      <c r="AH1285" s="27"/>
      <c r="AI1285" s="25">
        <v>166442</v>
      </c>
      <c r="AJ1285" s="25">
        <v>113181</v>
      </c>
      <c r="AK1285" s="25">
        <v>0</v>
      </c>
      <c r="AL1285" s="25">
        <v>254500</v>
      </c>
      <c r="AM1285" s="25">
        <v>56600</v>
      </c>
      <c r="AN1285" s="25">
        <v>197900</v>
      </c>
      <c r="AO1285" s="25">
        <v>0</v>
      </c>
      <c r="AP1285" s="25">
        <f>Lookups!$B$56*0</f>
        <v>0</v>
      </c>
      <c r="AQ1285" s="25">
        <f>Lookups!$B$56*1</f>
        <v>89850.625589999996</v>
      </c>
      <c r="AR1285" s="25">
        <f>Lookups!$B$57*Inventory[[#This Row],[LnAcres]]</f>
        <v>-52569.808201026557</v>
      </c>
      <c r="AS1285" s="25">
        <f>VLOOKUP(Inventory[[#This Row],[Qlty]],Lookups!$A$62:$E$75,2,FALSE)</f>
        <v>21557.329055999999</v>
      </c>
      <c r="AT1285" s="25">
        <f>VLOOKUP(Inventory[[#This Row],[Cnd]],Lookups!$A$76:$E$84,2,FALSE)</f>
        <v>160472.20319</v>
      </c>
      <c r="AU1285" s="25">
        <f>Inventory[[#This Row],[EffAge]]*Lookups!$B$85</f>
        <v>-11598.371226000001</v>
      </c>
      <c r="AV1285" s="25">
        <f>Inventory[[#This Row],[MainFn]]*Lookups!$B$86</f>
        <v>44764.254908561998</v>
      </c>
      <c r="AW1285" s="25">
        <f>Inventory[[#This Row],[UpprFn]]*Lookups!$B$87</f>
        <v>0</v>
      </c>
      <c r="AX1285" s="25">
        <f>Inventory[[#This Row],[AddFn]]*Lookups!$B$88</f>
        <v>0</v>
      </c>
      <c r="AY1285" s="25">
        <f>Inventory[[#This Row],[Bsmt]]*Lookups!$B$89</f>
        <v>0</v>
      </c>
      <c r="AZ1285" s="25">
        <f>Inventory[[#This Row],[Fixtures]]*Lookups!$B$90</f>
        <v>18960.110526</v>
      </c>
      <c r="BA1285" s="25">
        <f>Inventory[[#This Row],[WdDeck]]*Lookups!$B$91</f>
        <v>0</v>
      </c>
      <c r="BB1285" s="25">
        <f>ROUND(Inventory[[#This Row],[25Det]],-2)</f>
        <v>0</v>
      </c>
      <c r="BC1285" s="25">
        <f>ROUND(SUM(Inventory[[#This Row],[Mdl Qlty]:[Mdl WdDeck]])+Inventory[[#This Row],[Mdl Res Intercept]],-2)</f>
        <v>234200</v>
      </c>
      <c r="BD1285" s="25">
        <f>ROUND(Inventory[[#This Row],[Mdl Land Intercept]]+Inventory[[#This Row],[Mdl LnAcres]],-2)</f>
        <v>37300</v>
      </c>
      <c r="BE1285" s="25">
        <f>Inventory[[#This Row],[Unadj Res Value]]+Inventory[[#This Row],[Unadj Det Value]]+Inventory[[#This Row],[Unadj Land Value]]</f>
        <v>271500</v>
      </c>
      <c r="BF1285" s="36">
        <f>(Inventory[[#This Row],[Unadj Total Value]]-Inventory[[#This Row],[24Final]])/Inventory[[#This Row],[24Final]]</f>
        <v>6.6797642436149315E-2</v>
      </c>
      <c r="BG1285" s="25">
        <f>VLOOKUP(Inventory[[#This Row],[Nbhd]],Lookups!$Q$2:$T$4,4,FALSE)</f>
        <v>0.99970000000000003</v>
      </c>
      <c r="BH1285" s="25">
        <f>VLOOKUP(Inventory[[#This Row],[Qlty]],Lookups!$O$7:$R$21,4,FALSE)</f>
        <v>1.0067999999999999</v>
      </c>
      <c r="BI1285" s="25">
        <f>VLOOKUP(Inventory[[#This Row],[Cnd]],Lookups!$T$7:$W$16,4,FALSE)</f>
        <v>0.99729999999999996</v>
      </c>
      <c r="BJ1285" s="25">
        <f>VLOOKUP(Inventory[[#This Row],[LivArea Range]],Lookups!$T$25:$W$37,4,FALSE)</f>
        <v>1.0148999999999999</v>
      </c>
      <c r="BK1285" s="25">
        <f>VLOOKUP(Inventory[[#This Row],[Decade]],Lookups!$O$25:$R$42,4,FALSE)</f>
        <v>0.98909999999999998</v>
      </c>
      <c r="BL1285" s="25">
        <f>Inventory[[#This Row],[Nbhd Adj]]*0.95</f>
        <v>0.94971499999999998</v>
      </c>
      <c r="BM1285" s="25">
        <f>Inventory[[#This Row],[Nbhd Adj]]*Inventory[[#This Row],[Quality Adj]]*Inventory[[#This Row],[Condition Adj]]*Inventory[[#This Row],[Living Area Adj]]*Inventory[[#This Row],[Decade Adj]]*0.95</f>
        <v>0.95725088753311172</v>
      </c>
      <c r="BN1285" s="25">
        <f>ROUND(SUM(Inventory[[#This Row],[Mdl Qlty]:[Mdl WdDeck]])+Inventory[[#This Row],[Mdl Res Intercept]]*Inventory[[#This Row],[Res Adj ]],-2)</f>
        <v>234200</v>
      </c>
      <c r="BO1285" s="25">
        <f>ROUND(Inventory[[#This Row],[25Det]]*Inventory[[#This Row],[Det/Nbhd Adj]],-2)</f>
        <v>0</v>
      </c>
      <c r="BP1285" s="25">
        <f>Inventory[[#This Row],[Adjusted Res]]+Inventory[[#This Row],[Adj Det ]]</f>
        <v>234200</v>
      </c>
      <c r="BQ1285" s="25">
        <f>ROUND((Inventory[[#This Row],[Mdl Land Intercept]]+Inventory[[#This Row],[Mdl LnAcres]])*Inventory[[#This Row],[Det/Nbhd Adj]],-2)</f>
        <v>35400</v>
      </c>
      <c r="BR1285" s="25">
        <f>Inventory[[#This Row],[Adjusted Impr Total]]+Inventory[[#This Row],[Adjusted Land Total]]</f>
        <v>269600</v>
      </c>
      <c r="BS1285" s="36">
        <f>IFERROR((Inventory[[#This Row],[Adjusted Impr Total]]-Inventory[[#This Row],[24Bldg]])/Inventory[[#This Row],[24Bldg]],0)</f>
        <v>0.18342597271349168</v>
      </c>
      <c r="BT1285" s="36">
        <f>(Inventory[[#This Row],[Adjusted Land Total]]-Inventory[[#This Row],[24Lnd]])/Inventory[[#This Row],[24Lnd]]</f>
        <v>-0.37455830388692579</v>
      </c>
      <c r="BU1285" s="36">
        <f>(Inventory[[#This Row],[Adjusted Total]]-Inventory[[#This Row],[24Final]])/Inventory[[#This Row],[24Final]]</f>
        <v>5.9332023575638507E-2</v>
      </c>
    </row>
    <row r="1286" spans="1:73" x14ac:dyDescent="0.3">
      <c r="A1286" s="25">
        <v>2025</v>
      </c>
      <c r="B1286" s="26" t="s">
        <v>1975</v>
      </c>
      <c r="C1286" s="26">
        <f>LN(Inventory[[#This Row],[Acres]])</f>
        <v>-1.5606477482646683</v>
      </c>
      <c r="D1286" s="25">
        <v>0.21</v>
      </c>
      <c r="E1286" s="31"/>
      <c r="F1286" s="26" t="s">
        <v>537</v>
      </c>
      <c r="G1286" s="26" t="s">
        <v>126</v>
      </c>
      <c r="H1286" s="26" t="s">
        <v>349</v>
      </c>
      <c r="I1286" s="26" t="s">
        <v>538</v>
      </c>
      <c r="J1286" s="26" t="s">
        <v>539</v>
      </c>
      <c r="K1286" s="26" t="s">
        <v>242</v>
      </c>
      <c r="L1286" s="26" t="s">
        <v>302</v>
      </c>
      <c r="M1286" s="26" t="s">
        <v>303</v>
      </c>
      <c r="N1286" s="26">
        <v>90</v>
      </c>
      <c r="O1286" s="26">
        <f>2024-Inventory[[#This Row],[YrBlt]]</f>
        <v>84</v>
      </c>
      <c r="P1286" s="26">
        <f>2024-Inventory[[#This Row],[EffYr]]</f>
        <v>52</v>
      </c>
      <c r="Q1286" s="25">
        <v>1940</v>
      </c>
      <c r="R1286" s="25">
        <v>1972</v>
      </c>
      <c r="S1286" s="25">
        <v>1081</v>
      </c>
      <c r="T1286" s="27"/>
      <c r="U1286" s="25">
        <v>1081</v>
      </c>
      <c r="V1286" s="25">
        <f>Inventory[[#This Row],[Bsmt]]-Inventory[[#This Row],[FnBsmt]]</f>
        <v>106</v>
      </c>
      <c r="W1286" s="25">
        <v>975</v>
      </c>
      <c r="X1286" s="27"/>
      <c r="Y1286" s="27">
        <f>Inventory[[#This Row],[MainFn]]+Inventory[[#This Row],[UpprFn]]+Inventory[[#This Row],[FnBsmt]]+Inventory[[#This Row],[AddFn]]</f>
        <v>2056</v>
      </c>
      <c r="Z1286" s="27">
        <v>2500</v>
      </c>
      <c r="AA1286" s="25">
        <v>6</v>
      </c>
      <c r="AB1286" s="27"/>
      <c r="AC1286" s="27"/>
      <c r="AD1286" s="27"/>
      <c r="AE1286" s="27"/>
      <c r="AF1286" s="27"/>
      <c r="AG1286" s="27"/>
      <c r="AH1286" s="27"/>
      <c r="AI1286" s="25">
        <v>322210</v>
      </c>
      <c r="AJ1286" s="25">
        <v>225547</v>
      </c>
      <c r="AK1286" s="25">
        <v>8824</v>
      </c>
      <c r="AL1286" s="25">
        <v>349700</v>
      </c>
      <c r="AM1286" s="25">
        <v>60100</v>
      </c>
      <c r="AN1286" s="25">
        <v>289600</v>
      </c>
      <c r="AO1286" s="25">
        <v>0</v>
      </c>
      <c r="AP1286" s="25">
        <f>Lookups!$B$56*0</f>
        <v>0</v>
      </c>
      <c r="AQ1286" s="25">
        <f>Lookups!$B$56*1</f>
        <v>89850.625589999996</v>
      </c>
      <c r="AR1286" s="25">
        <f>Lookups!$B$57*Inventory[[#This Row],[LnAcres]]</f>
        <v>-49401.70477837498</v>
      </c>
      <c r="AS1286" s="25">
        <f>VLOOKUP(Inventory[[#This Row],[Qlty]],Lookups!$A$62:$E$75,2,FALSE)</f>
        <v>29814.093161000001</v>
      </c>
      <c r="AT1286" s="25">
        <f>VLOOKUP(Inventory[[#This Row],[Cnd]],Lookups!$A$76:$E$84,2,FALSE)</f>
        <v>197752.34721000001</v>
      </c>
      <c r="AU1286" s="25">
        <f>Inventory[[#This Row],[EffAge]]*Lookups!$B$85</f>
        <v>-11598.371226000001</v>
      </c>
      <c r="AV1286" s="25">
        <f>Inventory[[#This Row],[MainFn]]*Lookups!$B$86</f>
        <v>53410.772137036998</v>
      </c>
      <c r="AW1286" s="25">
        <f>Inventory[[#This Row],[UpprFn]]*Lookups!$B$87</f>
        <v>0</v>
      </c>
      <c r="AX1286" s="25">
        <f>Inventory[[#This Row],[AddFn]]*Lookups!$B$88</f>
        <v>0</v>
      </c>
      <c r="AY1286" s="25">
        <f>Inventory[[#This Row],[Bsmt]]*Lookups!$B$89</f>
        <v>31437.528762006998</v>
      </c>
      <c r="AZ1286" s="25">
        <f>Inventory[[#This Row],[Fixtures]]*Lookups!$B$90</f>
        <v>22752.132631200002</v>
      </c>
      <c r="BA1286" s="25">
        <f>Inventory[[#This Row],[WdDeck]]*Lookups!$B$91</f>
        <v>0</v>
      </c>
      <c r="BB1286" s="25">
        <f>ROUND(Inventory[[#This Row],[25Det]],-2)</f>
        <v>8800</v>
      </c>
      <c r="BC1286" s="25">
        <f>ROUND(SUM(Inventory[[#This Row],[Mdl Qlty]:[Mdl WdDeck]])+Inventory[[#This Row],[Mdl Res Intercept]],-2)</f>
        <v>323600</v>
      </c>
      <c r="BD1286" s="25">
        <f>ROUND(Inventory[[#This Row],[Mdl Land Intercept]]+Inventory[[#This Row],[Mdl LnAcres]],-2)</f>
        <v>40400</v>
      </c>
      <c r="BE1286" s="25">
        <f>Inventory[[#This Row],[Unadj Res Value]]+Inventory[[#This Row],[Unadj Det Value]]+Inventory[[#This Row],[Unadj Land Value]]</f>
        <v>372800</v>
      </c>
      <c r="BF1286" s="36">
        <f>(Inventory[[#This Row],[Unadj Total Value]]-Inventory[[#This Row],[24Final]])/Inventory[[#This Row],[24Final]]</f>
        <v>6.6056619959965687E-2</v>
      </c>
      <c r="BG1286" s="25">
        <f>VLOOKUP(Inventory[[#This Row],[Nbhd]],Lookups!$Q$2:$T$4,4,FALSE)</f>
        <v>0.99970000000000003</v>
      </c>
      <c r="BH1286" s="25">
        <f>VLOOKUP(Inventory[[#This Row],[Qlty]],Lookups!$O$7:$R$21,4,FALSE)</f>
        <v>1.0088999999999999</v>
      </c>
      <c r="BI1286" s="25">
        <f>VLOOKUP(Inventory[[#This Row],[Cnd]],Lookups!$T$7:$W$16,4,FALSE)</f>
        <v>0.99650000000000005</v>
      </c>
      <c r="BJ1286" s="25">
        <f>VLOOKUP(Inventory[[#This Row],[LivArea Range]],Lookups!$T$25:$W$37,4,FALSE)</f>
        <v>0.98919999999999997</v>
      </c>
      <c r="BK1286" s="25">
        <f>VLOOKUP(Inventory[[#This Row],[Decade]],Lookups!$O$25:$R$42,4,FALSE)</f>
        <v>0.98909999999999998</v>
      </c>
      <c r="BL1286" s="25">
        <f>Inventory[[#This Row],[Nbhd Adj]]*0.95</f>
        <v>0.94971499999999998</v>
      </c>
      <c r="BM1286" s="25">
        <f>Inventory[[#This Row],[Nbhd Adj]]*Inventory[[#This Row],[Quality Adj]]*Inventory[[#This Row],[Condition Adj]]*Inventory[[#This Row],[Living Area Adj]]*Inventory[[#This Row],[Decade Adj]]*0.95</f>
        <v>0.93420681692829766</v>
      </c>
      <c r="BN1286" s="25">
        <f>ROUND(SUM(Inventory[[#This Row],[Mdl Qlty]:[Mdl WdDeck]])+Inventory[[#This Row],[Mdl Res Intercept]]*Inventory[[#This Row],[Res Adj ]],-2)</f>
        <v>323600</v>
      </c>
      <c r="BO1286" s="25">
        <f>ROUND(Inventory[[#This Row],[25Det]]*Inventory[[#This Row],[Det/Nbhd Adj]],-2)</f>
        <v>8400</v>
      </c>
      <c r="BP1286" s="25">
        <f>Inventory[[#This Row],[Adjusted Res]]+Inventory[[#This Row],[Adj Det ]]</f>
        <v>332000</v>
      </c>
      <c r="BQ1286" s="25">
        <f>ROUND((Inventory[[#This Row],[Mdl Land Intercept]]+Inventory[[#This Row],[Mdl LnAcres]])*Inventory[[#This Row],[Det/Nbhd Adj]],-2)</f>
        <v>38400</v>
      </c>
      <c r="BR1286" s="25">
        <f>Inventory[[#This Row],[Adjusted Impr Total]]+Inventory[[#This Row],[Adjusted Land Total]]</f>
        <v>370400</v>
      </c>
      <c r="BS1286" s="36">
        <f>IFERROR((Inventory[[#This Row],[Adjusted Impr Total]]-Inventory[[#This Row],[24Bldg]])/Inventory[[#This Row],[24Bldg]],0)</f>
        <v>0.14640883977900551</v>
      </c>
      <c r="BT1286" s="36">
        <f>(Inventory[[#This Row],[Adjusted Land Total]]-Inventory[[#This Row],[24Lnd]])/Inventory[[#This Row],[24Lnd]]</f>
        <v>-0.36106489184692181</v>
      </c>
      <c r="BU1286" s="36">
        <f>(Inventory[[#This Row],[Adjusted Total]]-Inventory[[#This Row],[24Final]])/Inventory[[#This Row],[24Final]]</f>
        <v>5.9193594509579638E-2</v>
      </c>
    </row>
    <row r="1287" spans="1:73" x14ac:dyDescent="0.3">
      <c r="A1287" s="25">
        <v>2025</v>
      </c>
      <c r="B1287" s="26" t="s">
        <v>1632</v>
      </c>
      <c r="C1287" s="26">
        <f>LN(Inventory[[#This Row],[Acres]])</f>
        <v>-1.6094379124341003</v>
      </c>
      <c r="D1287" s="25">
        <v>0.2</v>
      </c>
      <c r="E1287" s="32">
        <v>8689</v>
      </c>
      <c r="F1287" s="26" t="s">
        <v>537</v>
      </c>
      <c r="G1287" s="26" t="s">
        <v>126</v>
      </c>
      <c r="H1287" s="26" t="s">
        <v>349</v>
      </c>
      <c r="I1287" s="26" t="s">
        <v>538</v>
      </c>
      <c r="J1287" s="26" t="s">
        <v>539</v>
      </c>
      <c r="K1287" s="26" t="s">
        <v>173</v>
      </c>
      <c r="L1287" s="26" t="s">
        <v>351</v>
      </c>
      <c r="M1287" s="26" t="s">
        <v>323</v>
      </c>
      <c r="N1287" s="26">
        <v>90</v>
      </c>
      <c r="O1287" s="26">
        <f>2024-Inventory[[#This Row],[YrBlt]]</f>
        <v>84</v>
      </c>
      <c r="P1287" s="26">
        <f>2024-Inventory[[#This Row],[EffYr]]</f>
        <v>52</v>
      </c>
      <c r="Q1287" s="25">
        <v>1940</v>
      </c>
      <c r="R1287" s="25">
        <v>1972</v>
      </c>
      <c r="S1287" s="25">
        <v>1246</v>
      </c>
      <c r="T1287" s="25">
        <v>926</v>
      </c>
      <c r="U1287" s="25">
        <v>1246</v>
      </c>
      <c r="V1287" s="25">
        <f>Inventory[[#This Row],[Bsmt]]-Inventory[[#This Row],[FnBsmt]]</f>
        <v>615</v>
      </c>
      <c r="W1287" s="25">
        <v>631</v>
      </c>
      <c r="X1287" s="27"/>
      <c r="Y1287" s="27">
        <f>Inventory[[#This Row],[MainFn]]+Inventory[[#This Row],[UpprFn]]+Inventory[[#This Row],[FnBsmt]]+Inventory[[#This Row],[AddFn]]</f>
        <v>2803</v>
      </c>
      <c r="Z1287" s="27">
        <v>3000</v>
      </c>
      <c r="AA1287" s="25">
        <v>8</v>
      </c>
      <c r="AB1287" s="27"/>
      <c r="AC1287" s="27"/>
      <c r="AD1287" s="25">
        <v>280</v>
      </c>
      <c r="AE1287" s="27"/>
      <c r="AF1287" s="27"/>
      <c r="AG1287" s="27"/>
      <c r="AH1287" s="27"/>
      <c r="AI1287" s="25">
        <v>395501</v>
      </c>
      <c r="AJ1287" s="25">
        <v>268941</v>
      </c>
      <c r="AK1287" s="25">
        <v>23742</v>
      </c>
      <c r="AL1287" s="25">
        <v>386100</v>
      </c>
      <c r="AM1287" s="25">
        <v>58400</v>
      </c>
      <c r="AN1287" s="25">
        <v>327700</v>
      </c>
      <c r="AO1287" s="25">
        <v>0</v>
      </c>
      <c r="AP1287" s="25">
        <f>Lookups!$B$56*0</f>
        <v>0</v>
      </c>
      <c r="AQ1287" s="25">
        <f>Lookups!$B$56*1</f>
        <v>89850.625589999996</v>
      </c>
      <c r="AR1287" s="25">
        <f>Lookups!$B$57*Inventory[[#This Row],[LnAcres]]</f>
        <v>-50946.13867709865</v>
      </c>
      <c r="AS1287" s="25">
        <f>VLOOKUP(Inventory[[#This Row],[Qlty]],Lookups!$A$62:$E$75,2,FALSE)</f>
        <v>21557.329055999999</v>
      </c>
      <c r="AT1287" s="25">
        <f>VLOOKUP(Inventory[[#This Row],[Cnd]],Lookups!$A$76:$E$84,2,FALSE)</f>
        <v>160472.20319</v>
      </c>
      <c r="AU1287" s="25">
        <f>Inventory[[#This Row],[EffAge]]*Lookups!$B$85</f>
        <v>-11598.371226000001</v>
      </c>
      <c r="AV1287" s="25">
        <f>Inventory[[#This Row],[MainFn]]*Lookups!$B$86</f>
        <v>61563.202666742</v>
      </c>
      <c r="AW1287" s="25">
        <f>Inventory[[#This Row],[UpprFn]]*Lookups!$B$87</f>
        <v>41472.227569285998</v>
      </c>
      <c r="AX1287" s="25">
        <f>Inventory[[#This Row],[AddFn]]*Lookups!$B$88</f>
        <v>0</v>
      </c>
      <c r="AY1287" s="25">
        <f>Inventory[[#This Row],[Bsmt]]*Lookups!$B$89</f>
        <v>36236.041477761995</v>
      </c>
      <c r="AZ1287" s="25">
        <f>Inventory[[#This Row],[Fixtures]]*Lookups!$B$90</f>
        <v>30336.176841600001</v>
      </c>
      <c r="BA1287" s="25">
        <f>Inventory[[#This Row],[WdDeck]]*Lookups!$B$91</f>
        <v>9322.7442772800005</v>
      </c>
      <c r="BB1287" s="25">
        <f>ROUND(Inventory[[#This Row],[25Det]],-2)</f>
        <v>23700</v>
      </c>
      <c r="BC1287" s="25">
        <f>ROUND(SUM(Inventory[[#This Row],[Mdl Qlty]:[Mdl WdDeck]])+Inventory[[#This Row],[Mdl Res Intercept]],-2)</f>
        <v>349400</v>
      </c>
      <c r="BD1287" s="25">
        <f>ROUND(Inventory[[#This Row],[Mdl Land Intercept]]+Inventory[[#This Row],[Mdl LnAcres]],-2)</f>
        <v>38900</v>
      </c>
      <c r="BE1287" s="25">
        <f>Inventory[[#This Row],[Unadj Res Value]]+Inventory[[#This Row],[Unadj Det Value]]+Inventory[[#This Row],[Unadj Land Value]]</f>
        <v>412000</v>
      </c>
      <c r="BF1287" s="36">
        <f>(Inventory[[#This Row],[Unadj Total Value]]-Inventory[[#This Row],[24Final]])/Inventory[[#This Row],[24Final]]</f>
        <v>6.7081067081067078E-2</v>
      </c>
      <c r="BG1287" s="25">
        <f>VLOOKUP(Inventory[[#This Row],[Nbhd]],Lookups!$Q$2:$T$4,4,FALSE)</f>
        <v>0.99970000000000003</v>
      </c>
      <c r="BH1287" s="25">
        <f>VLOOKUP(Inventory[[#This Row],[Qlty]],Lookups!$O$7:$R$21,4,FALSE)</f>
        <v>1.0067999999999999</v>
      </c>
      <c r="BI1287" s="25">
        <f>VLOOKUP(Inventory[[#This Row],[Cnd]],Lookups!$T$7:$W$16,4,FALSE)</f>
        <v>0.99729999999999996</v>
      </c>
      <c r="BJ1287" s="25">
        <f>VLOOKUP(Inventory[[#This Row],[LivArea Range]],Lookups!$T$25:$W$37,4,FALSE)</f>
        <v>0.96179999999999999</v>
      </c>
      <c r="BK1287" s="25">
        <f>VLOOKUP(Inventory[[#This Row],[Decade]],Lookups!$O$25:$R$42,4,FALSE)</f>
        <v>0.98909999999999998</v>
      </c>
      <c r="BL1287" s="25">
        <f>Inventory[[#This Row],[Nbhd Adj]]*0.95</f>
        <v>0.94971499999999998</v>
      </c>
      <c r="BM1287" s="25">
        <f>Inventory[[#This Row],[Nbhd Adj]]*Inventory[[#This Row],[Quality Adj]]*Inventory[[#This Row],[Condition Adj]]*Inventory[[#This Row],[Living Area Adj]]*Inventory[[#This Row],[Decade Adj]]*0.95</f>
        <v>0.90716711363616798</v>
      </c>
      <c r="BN1287" s="25">
        <f>ROUND(SUM(Inventory[[#This Row],[Mdl Qlty]:[Mdl WdDeck]])+Inventory[[#This Row],[Mdl Res Intercept]]*Inventory[[#This Row],[Res Adj ]],-2)</f>
        <v>349400</v>
      </c>
      <c r="BO1287" s="25">
        <f>ROUND(Inventory[[#This Row],[25Det]]*Inventory[[#This Row],[Det/Nbhd Adj]],-2)</f>
        <v>22500</v>
      </c>
      <c r="BP1287" s="25">
        <f>Inventory[[#This Row],[Adjusted Res]]+Inventory[[#This Row],[Adj Det ]]</f>
        <v>371900</v>
      </c>
      <c r="BQ1287" s="25">
        <f>ROUND((Inventory[[#This Row],[Mdl Land Intercept]]+Inventory[[#This Row],[Mdl LnAcres]])*Inventory[[#This Row],[Det/Nbhd Adj]],-2)</f>
        <v>36900</v>
      </c>
      <c r="BR1287" s="25">
        <f>Inventory[[#This Row],[Adjusted Impr Total]]+Inventory[[#This Row],[Adjusted Land Total]]</f>
        <v>408800</v>
      </c>
      <c r="BS1287" s="36">
        <f>IFERROR((Inventory[[#This Row],[Adjusted Impr Total]]-Inventory[[#This Row],[24Bldg]])/Inventory[[#This Row],[24Bldg]],0)</f>
        <v>0.13487946292340555</v>
      </c>
      <c r="BT1287" s="36">
        <f>(Inventory[[#This Row],[Adjusted Land Total]]-Inventory[[#This Row],[24Lnd]])/Inventory[[#This Row],[24Lnd]]</f>
        <v>-0.36815068493150682</v>
      </c>
      <c r="BU1287" s="36">
        <f>(Inventory[[#This Row],[Adjusted Total]]-Inventory[[#This Row],[24Final]])/Inventory[[#This Row],[24Final]]</f>
        <v>5.8793058793058794E-2</v>
      </c>
    </row>
    <row r="1288" spans="1:73" x14ac:dyDescent="0.3">
      <c r="A1288" s="25">
        <v>2025</v>
      </c>
      <c r="B1288" s="26" t="s">
        <v>2357</v>
      </c>
      <c r="C1288" s="26">
        <f>LN(Inventory[[#This Row],[Acres]])</f>
        <v>-2.0402208285265546</v>
      </c>
      <c r="D1288" s="25">
        <v>0.13</v>
      </c>
      <c r="E1288" s="25">
        <v>5500</v>
      </c>
      <c r="F1288" s="26" t="s">
        <v>537</v>
      </c>
      <c r="G1288" s="26" t="s">
        <v>126</v>
      </c>
      <c r="H1288" s="26" t="s">
        <v>349</v>
      </c>
      <c r="I1288" s="26" t="s">
        <v>538</v>
      </c>
      <c r="J1288" s="26" t="s">
        <v>539</v>
      </c>
      <c r="K1288" s="26" t="s">
        <v>242</v>
      </c>
      <c r="L1288" s="26" t="s">
        <v>351</v>
      </c>
      <c r="M1288" s="26" t="s">
        <v>323</v>
      </c>
      <c r="N1288" s="26">
        <v>90</v>
      </c>
      <c r="O1288" s="26">
        <f>2024-Inventory[[#This Row],[YrBlt]]</f>
        <v>84</v>
      </c>
      <c r="P1288" s="26">
        <f>2024-Inventory[[#This Row],[EffYr]]</f>
        <v>52</v>
      </c>
      <c r="Q1288" s="25">
        <v>1940</v>
      </c>
      <c r="R1288" s="25">
        <v>1972</v>
      </c>
      <c r="S1288" s="25">
        <v>1049</v>
      </c>
      <c r="T1288" s="27"/>
      <c r="U1288" s="31"/>
      <c r="V1288" s="31">
        <f>Inventory[[#This Row],[Bsmt]]-Inventory[[#This Row],[FnBsmt]]</f>
        <v>0</v>
      </c>
      <c r="W1288" s="31"/>
      <c r="X1288" s="27"/>
      <c r="Y1288" s="27">
        <f>Inventory[[#This Row],[MainFn]]+Inventory[[#This Row],[UpprFn]]+Inventory[[#This Row],[FnBsmt]]+Inventory[[#This Row],[AddFn]]</f>
        <v>1049</v>
      </c>
      <c r="Z1288" s="27">
        <v>1500</v>
      </c>
      <c r="AA1288" s="25">
        <v>5</v>
      </c>
      <c r="AB1288" s="27"/>
      <c r="AC1288" s="27"/>
      <c r="AD1288" s="27"/>
      <c r="AE1288" s="27"/>
      <c r="AF1288" s="27"/>
      <c r="AG1288" s="27"/>
      <c r="AH1288" s="27"/>
      <c r="AI1288" s="25">
        <v>176101</v>
      </c>
      <c r="AJ1288" s="25">
        <v>119749</v>
      </c>
      <c r="AK1288" s="25">
        <v>0</v>
      </c>
      <c r="AL1288" s="25">
        <v>250500</v>
      </c>
      <c r="AM1288" s="25">
        <v>43400</v>
      </c>
      <c r="AN1288" s="25">
        <v>207100</v>
      </c>
      <c r="AO1288" s="25">
        <v>0</v>
      </c>
      <c r="AP1288" s="25">
        <f>Lookups!$B$56*0</f>
        <v>0</v>
      </c>
      <c r="AQ1288" s="25">
        <f>Lookups!$B$56*1</f>
        <v>89850.625589999996</v>
      </c>
      <c r="AR1288" s="25">
        <f>Lookups!$B$57*Inventory[[#This Row],[LnAcres]]</f>
        <v>-64582.406353792743</v>
      </c>
      <c r="AS1288" s="25">
        <f>VLOOKUP(Inventory[[#This Row],[Qlty]],Lookups!$A$62:$E$75,2,FALSE)</f>
        <v>21557.329055999999</v>
      </c>
      <c r="AT1288" s="25">
        <f>VLOOKUP(Inventory[[#This Row],[Cnd]],Lookups!$A$76:$E$84,2,FALSE)</f>
        <v>160472.20319</v>
      </c>
      <c r="AU1288" s="25">
        <f>Inventory[[#This Row],[EffAge]]*Lookups!$B$85</f>
        <v>-11598.371226000001</v>
      </c>
      <c r="AV1288" s="25">
        <f>Inventory[[#This Row],[MainFn]]*Lookups!$B$86</f>
        <v>51829.694700972999</v>
      </c>
      <c r="AW1288" s="25">
        <f>Inventory[[#This Row],[UpprFn]]*Lookups!$B$87</f>
        <v>0</v>
      </c>
      <c r="AX1288" s="25">
        <f>Inventory[[#This Row],[AddFn]]*Lookups!$B$88</f>
        <v>0</v>
      </c>
      <c r="AY1288" s="25">
        <f>Inventory[[#This Row],[Bsmt]]*Lookups!$B$89</f>
        <v>0</v>
      </c>
      <c r="AZ1288" s="25">
        <f>Inventory[[#This Row],[Fixtures]]*Lookups!$B$90</f>
        <v>18960.110526</v>
      </c>
      <c r="BA1288" s="25">
        <f>Inventory[[#This Row],[WdDeck]]*Lookups!$B$91</f>
        <v>0</v>
      </c>
      <c r="BB1288" s="25">
        <f>ROUND(Inventory[[#This Row],[25Det]],-2)</f>
        <v>0</v>
      </c>
      <c r="BC1288" s="25">
        <f>ROUND(SUM(Inventory[[#This Row],[Mdl Qlty]:[Mdl WdDeck]])+Inventory[[#This Row],[Mdl Res Intercept]],-2)</f>
        <v>241200</v>
      </c>
      <c r="BD1288" s="25">
        <f>ROUND(Inventory[[#This Row],[Mdl Land Intercept]]+Inventory[[#This Row],[Mdl LnAcres]],-2)</f>
        <v>25300</v>
      </c>
      <c r="BE1288" s="25">
        <f>Inventory[[#This Row],[Unadj Res Value]]+Inventory[[#This Row],[Unadj Det Value]]+Inventory[[#This Row],[Unadj Land Value]]</f>
        <v>266500</v>
      </c>
      <c r="BF1288" s="36">
        <f>(Inventory[[#This Row],[Unadj Total Value]]-Inventory[[#This Row],[24Final]])/Inventory[[#This Row],[24Final]]</f>
        <v>6.3872255489021951E-2</v>
      </c>
      <c r="BG1288" s="25">
        <f>VLOOKUP(Inventory[[#This Row],[Nbhd]],Lookups!$Q$2:$T$4,4,FALSE)</f>
        <v>0.99970000000000003</v>
      </c>
      <c r="BH1288" s="25">
        <f>VLOOKUP(Inventory[[#This Row],[Qlty]],Lookups!$O$7:$R$21,4,FALSE)</f>
        <v>1.0067999999999999</v>
      </c>
      <c r="BI1288" s="25">
        <f>VLOOKUP(Inventory[[#This Row],[Cnd]],Lookups!$T$7:$W$16,4,FALSE)</f>
        <v>0.99729999999999996</v>
      </c>
      <c r="BJ1288" s="25">
        <f>VLOOKUP(Inventory[[#This Row],[LivArea Range]],Lookups!$T$25:$W$37,4,FALSE)</f>
        <v>1.0157</v>
      </c>
      <c r="BK1288" s="25">
        <f>VLOOKUP(Inventory[[#This Row],[Decade]],Lookups!$O$25:$R$42,4,FALSE)</f>
        <v>0.98909999999999998</v>
      </c>
      <c r="BL1288" s="25">
        <f>Inventory[[#This Row],[Nbhd Adj]]*0.95</f>
        <v>0.94971499999999998</v>
      </c>
      <c r="BM1288" s="25">
        <f>Inventory[[#This Row],[Nbhd Adj]]*Inventory[[#This Row],[Quality Adj]]*Inventory[[#This Row],[Condition Adj]]*Inventory[[#This Row],[Living Area Adj]]*Inventory[[#This Row],[Decade Adj]]*0.95</f>
        <v>0.95800544533193577</v>
      </c>
      <c r="BN1288" s="25">
        <f>ROUND(SUM(Inventory[[#This Row],[Mdl Qlty]:[Mdl WdDeck]])+Inventory[[#This Row],[Mdl Res Intercept]]*Inventory[[#This Row],[Res Adj ]],-2)</f>
        <v>241200</v>
      </c>
      <c r="BO1288" s="25">
        <f>ROUND(Inventory[[#This Row],[25Det]]*Inventory[[#This Row],[Det/Nbhd Adj]],-2)</f>
        <v>0</v>
      </c>
      <c r="BP1288" s="25">
        <f>Inventory[[#This Row],[Adjusted Res]]+Inventory[[#This Row],[Adj Det ]]</f>
        <v>241200</v>
      </c>
      <c r="BQ1288" s="25">
        <f>ROUND((Inventory[[#This Row],[Mdl Land Intercept]]+Inventory[[#This Row],[Mdl LnAcres]])*Inventory[[#This Row],[Det/Nbhd Adj]],-2)</f>
        <v>24000</v>
      </c>
      <c r="BR1288" s="25">
        <f>Inventory[[#This Row],[Adjusted Impr Total]]+Inventory[[#This Row],[Adjusted Land Total]]</f>
        <v>265200</v>
      </c>
      <c r="BS1288" s="36">
        <f>IFERROR((Inventory[[#This Row],[Adjusted Impr Total]]-Inventory[[#This Row],[24Bldg]])/Inventory[[#This Row],[24Bldg]],0)</f>
        <v>0.16465475615644617</v>
      </c>
      <c r="BT1288" s="36">
        <f>(Inventory[[#This Row],[Adjusted Land Total]]-Inventory[[#This Row],[24Lnd]])/Inventory[[#This Row],[24Lnd]]</f>
        <v>-0.44700460829493088</v>
      </c>
      <c r="BU1288" s="36">
        <f>(Inventory[[#This Row],[Adjusted Total]]-Inventory[[#This Row],[24Final]])/Inventory[[#This Row],[24Final]]</f>
        <v>5.8682634730538925E-2</v>
      </c>
    </row>
    <row r="1289" spans="1:73" x14ac:dyDescent="0.3">
      <c r="A1289" s="25">
        <v>2025</v>
      </c>
      <c r="B1289" s="26" t="s">
        <v>1449</v>
      </c>
      <c r="C1289" s="26">
        <f>LN(Inventory[[#This Row],[Acres]])</f>
        <v>-1.9661128563728327</v>
      </c>
      <c r="D1289" s="25">
        <v>0.14000000000000001</v>
      </c>
      <c r="E1289" s="32">
        <v>6277</v>
      </c>
      <c r="F1289" s="26" t="s">
        <v>537</v>
      </c>
      <c r="G1289" s="26" t="s">
        <v>126</v>
      </c>
      <c r="H1289" s="26" t="s">
        <v>349</v>
      </c>
      <c r="I1289" s="26" t="s">
        <v>538</v>
      </c>
      <c r="J1289" s="26" t="s">
        <v>539</v>
      </c>
      <c r="K1289" s="26" t="s">
        <v>147</v>
      </c>
      <c r="L1289" s="26" t="s">
        <v>351</v>
      </c>
      <c r="M1289" s="26" t="s">
        <v>303</v>
      </c>
      <c r="N1289" s="26">
        <v>90</v>
      </c>
      <c r="O1289" s="26">
        <f>2024-Inventory[[#This Row],[YrBlt]]</f>
        <v>84</v>
      </c>
      <c r="P1289" s="26">
        <f>2024-Inventory[[#This Row],[EffYr]]</f>
        <v>52</v>
      </c>
      <c r="Q1289" s="25">
        <v>1940</v>
      </c>
      <c r="R1289" s="25">
        <v>1972</v>
      </c>
      <c r="S1289" s="25">
        <v>956</v>
      </c>
      <c r="T1289" s="32">
        <v>478</v>
      </c>
      <c r="U1289" s="25">
        <v>956</v>
      </c>
      <c r="V1289" s="25">
        <f>Inventory[[#This Row],[Bsmt]]-Inventory[[#This Row],[FnBsmt]]</f>
        <v>0</v>
      </c>
      <c r="W1289" s="25">
        <v>956</v>
      </c>
      <c r="X1289" s="27"/>
      <c r="Y1289" s="27">
        <f>Inventory[[#This Row],[MainFn]]+Inventory[[#This Row],[UpprFn]]+Inventory[[#This Row],[FnBsmt]]+Inventory[[#This Row],[AddFn]]</f>
        <v>2390</v>
      </c>
      <c r="Z1289" s="27">
        <v>2500</v>
      </c>
      <c r="AA1289" s="25">
        <v>11</v>
      </c>
      <c r="AB1289" s="27"/>
      <c r="AC1289" s="27"/>
      <c r="AD1289" s="31"/>
      <c r="AE1289" s="27"/>
      <c r="AF1289" s="27"/>
      <c r="AG1289" s="27"/>
      <c r="AH1289" s="27"/>
      <c r="AI1289" s="25">
        <v>303486</v>
      </c>
      <c r="AJ1289" s="25">
        <v>212440</v>
      </c>
      <c r="AK1289" s="25">
        <v>5261</v>
      </c>
      <c r="AL1289" s="25">
        <v>356300</v>
      </c>
      <c r="AM1289" s="25">
        <v>46000</v>
      </c>
      <c r="AN1289" s="25">
        <v>310300</v>
      </c>
      <c r="AO1289" s="25">
        <v>0</v>
      </c>
      <c r="AP1289" s="25">
        <f>Lookups!$B$56*0</f>
        <v>0</v>
      </c>
      <c r="AQ1289" s="25">
        <f>Lookups!$B$56*1</f>
        <v>89850.625589999996</v>
      </c>
      <c r="AR1289" s="25">
        <f>Lookups!$B$57*Inventory[[#This Row],[LnAcres]]</f>
        <v>-62236.546971921947</v>
      </c>
      <c r="AS1289" s="25">
        <f>VLOOKUP(Inventory[[#This Row],[Qlty]],Lookups!$A$62:$E$75,2,FALSE)</f>
        <v>21557.329055999999</v>
      </c>
      <c r="AT1289" s="25">
        <f>VLOOKUP(Inventory[[#This Row],[Cnd]],Lookups!$A$76:$E$84,2,FALSE)</f>
        <v>197752.34721000001</v>
      </c>
      <c r="AU1289" s="25">
        <f>Inventory[[#This Row],[EffAge]]*Lookups!$B$85</f>
        <v>-11598.371226000001</v>
      </c>
      <c r="AV1289" s="25">
        <f>Inventory[[#This Row],[MainFn]]*Lookups!$B$86</f>
        <v>47234.688402412001</v>
      </c>
      <c r="AW1289" s="25">
        <f>Inventory[[#This Row],[UpprFn]]*Lookups!$B$87</f>
        <v>21407.910127558</v>
      </c>
      <c r="AX1289" s="25">
        <f>Inventory[[#This Row],[AddFn]]*Lookups!$B$88</f>
        <v>0</v>
      </c>
      <c r="AY1289" s="25">
        <f>Inventory[[#This Row],[Bsmt]]*Lookups!$B$89</f>
        <v>27802.291856132</v>
      </c>
      <c r="AZ1289" s="25">
        <f>Inventory[[#This Row],[Fixtures]]*Lookups!$B$90</f>
        <v>41712.243157199999</v>
      </c>
      <c r="BA1289" s="25">
        <f>Inventory[[#This Row],[WdDeck]]*Lookups!$B$91</f>
        <v>0</v>
      </c>
      <c r="BB1289" s="25">
        <f>ROUND(Inventory[[#This Row],[25Det]],-2)</f>
        <v>5300</v>
      </c>
      <c r="BC1289" s="25">
        <f>ROUND(SUM(Inventory[[#This Row],[Mdl Qlty]:[Mdl WdDeck]])+Inventory[[#This Row],[Mdl Res Intercept]],-2)</f>
        <v>345900</v>
      </c>
      <c r="BD1289" s="25">
        <f>ROUND(Inventory[[#This Row],[Mdl Land Intercept]]+Inventory[[#This Row],[Mdl LnAcres]],-2)</f>
        <v>27600</v>
      </c>
      <c r="BE1289" s="25">
        <f>Inventory[[#This Row],[Unadj Res Value]]+Inventory[[#This Row],[Unadj Det Value]]+Inventory[[#This Row],[Unadj Land Value]]</f>
        <v>378800</v>
      </c>
      <c r="BF1289" s="36">
        <f>(Inventory[[#This Row],[Unadj Total Value]]-Inventory[[#This Row],[24Final]])/Inventory[[#This Row],[24Final]]</f>
        <v>6.3149031714847037E-2</v>
      </c>
      <c r="BG1289" s="25">
        <f>VLOOKUP(Inventory[[#This Row],[Nbhd]],Lookups!$Q$2:$T$4,4,FALSE)</f>
        <v>0.99970000000000003</v>
      </c>
      <c r="BH1289" s="25">
        <f>VLOOKUP(Inventory[[#This Row],[Qlty]],Lookups!$O$7:$R$21,4,FALSE)</f>
        <v>1.0067999999999999</v>
      </c>
      <c r="BI1289" s="25">
        <f>VLOOKUP(Inventory[[#This Row],[Cnd]],Lookups!$T$7:$W$16,4,FALSE)</f>
        <v>0.99650000000000005</v>
      </c>
      <c r="BJ1289" s="25">
        <f>VLOOKUP(Inventory[[#This Row],[LivArea Range]],Lookups!$T$25:$W$37,4,FALSE)</f>
        <v>0.98919999999999997</v>
      </c>
      <c r="BK1289" s="25">
        <f>VLOOKUP(Inventory[[#This Row],[Decade]],Lookups!$O$25:$R$42,4,FALSE)</f>
        <v>0.98909999999999998</v>
      </c>
      <c r="BL1289" s="25">
        <f>Inventory[[#This Row],[Nbhd Adj]]*0.95</f>
        <v>0.94971499999999998</v>
      </c>
      <c r="BM1289" s="25">
        <f>Inventory[[#This Row],[Nbhd Adj]]*Inventory[[#This Row],[Quality Adj]]*Inventory[[#This Row],[Condition Adj]]*Inventory[[#This Row],[Living Area Adj]]*Inventory[[#This Row],[Decade Adj]]*0.95</f>
        <v>0.9322622889120924</v>
      </c>
      <c r="BN1289" s="25">
        <f>ROUND(SUM(Inventory[[#This Row],[Mdl Qlty]:[Mdl WdDeck]])+Inventory[[#This Row],[Mdl Res Intercept]]*Inventory[[#This Row],[Res Adj ]],-2)</f>
        <v>345900</v>
      </c>
      <c r="BO1289" s="25">
        <f>ROUND(Inventory[[#This Row],[25Det]]*Inventory[[#This Row],[Det/Nbhd Adj]],-2)</f>
        <v>5000</v>
      </c>
      <c r="BP1289" s="25">
        <f>Inventory[[#This Row],[Adjusted Res]]+Inventory[[#This Row],[Adj Det ]]</f>
        <v>350900</v>
      </c>
      <c r="BQ1289" s="25">
        <f>ROUND((Inventory[[#This Row],[Mdl Land Intercept]]+Inventory[[#This Row],[Mdl LnAcres]])*Inventory[[#This Row],[Det/Nbhd Adj]],-2)</f>
        <v>26200</v>
      </c>
      <c r="BR1289" s="25">
        <f>Inventory[[#This Row],[Adjusted Impr Total]]+Inventory[[#This Row],[Adjusted Land Total]]</f>
        <v>377100</v>
      </c>
      <c r="BS1289" s="36">
        <f>IFERROR((Inventory[[#This Row],[Adjusted Impr Total]]-Inventory[[#This Row],[24Bldg]])/Inventory[[#This Row],[24Bldg]],0)</f>
        <v>0.13084112149532709</v>
      </c>
      <c r="BT1289" s="36">
        <f>(Inventory[[#This Row],[Adjusted Land Total]]-Inventory[[#This Row],[24Lnd]])/Inventory[[#This Row],[24Lnd]]</f>
        <v>-0.43043478260869567</v>
      </c>
      <c r="BU1289" s="36">
        <f>(Inventory[[#This Row],[Adjusted Total]]-Inventory[[#This Row],[24Final]])/Inventory[[#This Row],[24Final]]</f>
        <v>5.8377771540836371E-2</v>
      </c>
    </row>
    <row r="1290" spans="1:73" x14ac:dyDescent="0.3">
      <c r="A1290" s="25">
        <v>2025</v>
      </c>
      <c r="B1290" s="26" t="s">
        <v>1532</v>
      </c>
      <c r="C1290" s="26">
        <f>LN(Inventory[[#This Row],[Acres]])</f>
        <v>-1.7147984280919266</v>
      </c>
      <c r="D1290" s="25">
        <v>0.18</v>
      </c>
      <c r="E1290" s="32">
        <v>7778</v>
      </c>
      <c r="F1290" s="26" t="s">
        <v>537</v>
      </c>
      <c r="G1290" s="26" t="s">
        <v>126</v>
      </c>
      <c r="H1290" s="26" t="s">
        <v>349</v>
      </c>
      <c r="I1290" s="26" t="s">
        <v>538</v>
      </c>
      <c r="J1290" s="26" t="s">
        <v>539</v>
      </c>
      <c r="K1290" s="26" t="s">
        <v>242</v>
      </c>
      <c r="L1290" s="26" t="s">
        <v>205</v>
      </c>
      <c r="M1290" s="26" t="s">
        <v>323</v>
      </c>
      <c r="N1290" s="26">
        <v>90</v>
      </c>
      <c r="O1290" s="26">
        <f>2024-Inventory[[#This Row],[YrBlt]]</f>
        <v>84</v>
      </c>
      <c r="P1290" s="26">
        <f>2024-Inventory[[#This Row],[EffYr]]</f>
        <v>52</v>
      </c>
      <c r="Q1290" s="25">
        <v>1940</v>
      </c>
      <c r="R1290" s="25">
        <v>1972</v>
      </c>
      <c r="S1290" s="25">
        <v>1005</v>
      </c>
      <c r="T1290" s="27"/>
      <c r="U1290" s="32">
        <v>1005</v>
      </c>
      <c r="V1290" s="32">
        <f>Inventory[[#This Row],[Bsmt]]-Inventory[[#This Row],[FnBsmt]]</f>
        <v>1005</v>
      </c>
      <c r="W1290" s="27"/>
      <c r="X1290" s="27"/>
      <c r="Y1290" s="27">
        <f>Inventory[[#This Row],[MainFn]]+Inventory[[#This Row],[UpprFn]]+Inventory[[#This Row],[FnBsmt]]+Inventory[[#This Row],[AddFn]]</f>
        <v>1005</v>
      </c>
      <c r="Z1290" s="27">
        <v>1500</v>
      </c>
      <c r="AA1290" s="25">
        <v>5</v>
      </c>
      <c r="AB1290" s="27"/>
      <c r="AC1290" s="27"/>
      <c r="AD1290" s="27"/>
      <c r="AE1290" s="27"/>
      <c r="AF1290" s="27"/>
      <c r="AG1290" s="27"/>
      <c r="AH1290" s="27"/>
      <c r="AI1290" s="25">
        <v>192653</v>
      </c>
      <c r="AJ1290" s="25">
        <v>131004</v>
      </c>
      <c r="AK1290" s="25">
        <v>0</v>
      </c>
      <c r="AL1290" s="25">
        <v>265200</v>
      </c>
      <c r="AM1290" s="25">
        <v>54700</v>
      </c>
      <c r="AN1290" s="25">
        <v>210500</v>
      </c>
      <c r="AO1290" s="25">
        <v>0</v>
      </c>
      <c r="AP1290" s="25">
        <f>Lookups!$B$56*0</f>
        <v>0</v>
      </c>
      <c r="AQ1290" s="25">
        <f>Lookups!$B$56*1</f>
        <v>89850.625589999996</v>
      </c>
      <c r="AR1290" s="25">
        <f>Lookups!$B$57*Inventory[[#This Row],[LnAcres]]</f>
        <v>-54281.285314520763</v>
      </c>
      <c r="AS1290" s="25">
        <f>VLOOKUP(Inventory[[#This Row],[Qlty]],Lookups!$A$62:$E$75,2,FALSE)</f>
        <v>0</v>
      </c>
      <c r="AT1290" s="25">
        <f>VLOOKUP(Inventory[[#This Row],[Cnd]],Lookups!$A$76:$E$84,2,FALSE)</f>
        <v>160472.20319</v>
      </c>
      <c r="AU1290" s="25">
        <f>Inventory[[#This Row],[EffAge]]*Lookups!$B$85</f>
        <v>-11598.371226000001</v>
      </c>
      <c r="AV1290" s="25">
        <f>Inventory[[#This Row],[MainFn]]*Lookups!$B$86</f>
        <v>49655.713226385</v>
      </c>
      <c r="AW1290" s="25">
        <f>Inventory[[#This Row],[UpprFn]]*Lookups!$B$87</f>
        <v>0</v>
      </c>
      <c r="AX1290" s="25">
        <f>Inventory[[#This Row],[AddFn]]*Lookups!$B$88</f>
        <v>0</v>
      </c>
      <c r="AY1290" s="25">
        <f>Inventory[[#This Row],[Bsmt]]*Lookups!$B$89</f>
        <v>29227.304723235</v>
      </c>
      <c r="AZ1290" s="25">
        <f>Inventory[[#This Row],[Fixtures]]*Lookups!$B$90</f>
        <v>18960.110526</v>
      </c>
      <c r="BA1290" s="25">
        <f>Inventory[[#This Row],[WdDeck]]*Lookups!$B$91</f>
        <v>0</v>
      </c>
      <c r="BB1290" s="25">
        <f>ROUND(Inventory[[#This Row],[25Det]],-2)</f>
        <v>0</v>
      </c>
      <c r="BC1290" s="25">
        <f>ROUND(SUM(Inventory[[#This Row],[Mdl Qlty]:[Mdl WdDeck]])+Inventory[[#This Row],[Mdl Res Intercept]],-2)</f>
        <v>246700</v>
      </c>
      <c r="BD1290" s="25">
        <f>ROUND(Inventory[[#This Row],[Mdl Land Intercept]]+Inventory[[#This Row],[Mdl LnAcres]],-2)</f>
        <v>35600</v>
      </c>
      <c r="BE1290" s="25">
        <f>Inventory[[#This Row],[Unadj Res Value]]+Inventory[[#This Row],[Unadj Det Value]]+Inventory[[#This Row],[Unadj Land Value]]</f>
        <v>282300</v>
      </c>
      <c r="BF1290" s="36">
        <f>(Inventory[[#This Row],[Unadj Total Value]]-Inventory[[#This Row],[24Final]])/Inventory[[#This Row],[24Final]]</f>
        <v>6.4479638009049781E-2</v>
      </c>
      <c r="BG1290" s="25">
        <f>VLOOKUP(Inventory[[#This Row],[Nbhd]],Lookups!$Q$2:$T$4,4,FALSE)</f>
        <v>0.99970000000000003</v>
      </c>
      <c r="BH1290" s="25">
        <f>VLOOKUP(Inventory[[#This Row],[Qlty]],Lookups!$O$7:$R$21,4,FALSE)</f>
        <v>0.99180000000000001</v>
      </c>
      <c r="BI1290" s="25">
        <f>VLOOKUP(Inventory[[#This Row],[Cnd]],Lookups!$T$7:$W$16,4,FALSE)</f>
        <v>0.99729999999999996</v>
      </c>
      <c r="BJ1290" s="25">
        <f>VLOOKUP(Inventory[[#This Row],[LivArea Range]],Lookups!$T$25:$W$37,4,FALSE)</f>
        <v>1.0157</v>
      </c>
      <c r="BK1290" s="25">
        <f>VLOOKUP(Inventory[[#This Row],[Decade]],Lookups!$O$25:$R$42,4,FALSE)</f>
        <v>0.98909999999999998</v>
      </c>
      <c r="BL1290" s="25">
        <f>Inventory[[#This Row],[Nbhd Adj]]*0.95</f>
        <v>0.94971499999999998</v>
      </c>
      <c r="BM1290" s="25">
        <f>Inventory[[#This Row],[Nbhd Adj]]*Inventory[[#This Row],[Quality Adj]]*Inventory[[#This Row],[Condition Adj]]*Inventory[[#This Row],[Living Area Adj]]*Inventory[[#This Row],[Decade Adj]]*0.95</f>
        <v>0.94373242022269987</v>
      </c>
      <c r="BN1290" s="25">
        <f>ROUND(SUM(Inventory[[#This Row],[Mdl Qlty]:[Mdl WdDeck]])+Inventory[[#This Row],[Mdl Res Intercept]]*Inventory[[#This Row],[Res Adj ]],-2)</f>
        <v>246700</v>
      </c>
      <c r="BO1290" s="25">
        <f>ROUND(Inventory[[#This Row],[25Det]]*Inventory[[#This Row],[Det/Nbhd Adj]],-2)</f>
        <v>0</v>
      </c>
      <c r="BP1290" s="25">
        <f>Inventory[[#This Row],[Adjusted Res]]+Inventory[[#This Row],[Adj Det ]]</f>
        <v>246700</v>
      </c>
      <c r="BQ1290" s="25">
        <f>ROUND((Inventory[[#This Row],[Mdl Land Intercept]]+Inventory[[#This Row],[Mdl LnAcres]])*Inventory[[#This Row],[Det/Nbhd Adj]],-2)</f>
        <v>33800</v>
      </c>
      <c r="BR1290" s="25">
        <f>Inventory[[#This Row],[Adjusted Impr Total]]+Inventory[[#This Row],[Adjusted Land Total]]</f>
        <v>280500</v>
      </c>
      <c r="BS1290" s="36">
        <f>IFERROR((Inventory[[#This Row],[Adjusted Impr Total]]-Inventory[[#This Row],[24Bldg]])/Inventory[[#This Row],[24Bldg]],0)</f>
        <v>0.17197149643705464</v>
      </c>
      <c r="BT1290" s="36">
        <f>(Inventory[[#This Row],[Adjusted Land Total]]-Inventory[[#This Row],[24Lnd]])/Inventory[[#This Row],[24Lnd]]</f>
        <v>-0.38208409506398539</v>
      </c>
      <c r="BU1290" s="36">
        <f>(Inventory[[#This Row],[Adjusted Total]]-Inventory[[#This Row],[24Final]])/Inventory[[#This Row],[24Final]]</f>
        <v>5.7692307692307696E-2</v>
      </c>
    </row>
    <row r="1291" spans="1:73" x14ac:dyDescent="0.3">
      <c r="A1291" s="25">
        <v>2025</v>
      </c>
      <c r="B1291" s="26" t="s">
        <v>2096</v>
      </c>
      <c r="C1291" s="26">
        <f>LN(Inventory[[#This Row],[Acres]])</f>
        <v>-1.2378743560016174</v>
      </c>
      <c r="D1291" s="25">
        <v>0.28999999999999998</v>
      </c>
      <c r="E1291" s="32">
        <v>12710</v>
      </c>
      <c r="F1291" s="26" t="s">
        <v>537</v>
      </c>
      <c r="G1291" s="26" t="s">
        <v>126</v>
      </c>
      <c r="H1291" s="26" t="s">
        <v>349</v>
      </c>
      <c r="I1291" s="26" t="s">
        <v>538</v>
      </c>
      <c r="J1291" s="26" t="s">
        <v>539</v>
      </c>
      <c r="K1291" s="26" t="s">
        <v>242</v>
      </c>
      <c r="L1291" s="26" t="s">
        <v>148</v>
      </c>
      <c r="M1291" s="26" t="s">
        <v>206</v>
      </c>
      <c r="N1291" s="26">
        <v>90</v>
      </c>
      <c r="O1291" s="26">
        <f>2024-Inventory[[#This Row],[YrBlt]]</f>
        <v>84</v>
      </c>
      <c r="P1291" s="26">
        <f>2024-Inventory[[#This Row],[EffYr]]</f>
        <v>52</v>
      </c>
      <c r="Q1291" s="25">
        <v>1940</v>
      </c>
      <c r="R1291" s="25">
        <v>1972</v>
      </c>
      <c r="S1291" s="25">
        <v>1069</v>
      </c>
      <c r="T1291" s="27"/>
      <c r="U1291" s="25">
        <v>1109</v>
      </c>
      <c r="V1291" s="25">
        <f>Inventory[[#This Row],[Bsmt]]-Inventory[[#This Row],[FnBsmt]]</f>
        <v>222</v>
      </c>
      <c r="W1291" s="25">
        <v>887</v>
      </c>
      <c r="X1291" s="27"/>
      <c r="Y1291" s="27">
        <f>Inventory[[#This Row],[MainFn]]+Inventory[[#This Row],[UpprFn]]+Inventory[[#This Row],[FnBsmt]]+Inventory[[#This Row],[AddFn]]</f>
        <v>1956</v>
      </c>
      <c r="Z1291" s="27">
        <v>2000</v>
      </c>
      <c r="AA1291" s="25">
        <v>8</v>
      </c>
      <c r="AB1291" s="27"/>
      <c r="AC1291" s="27"/>
      <c r="AD1291" s="25">
        <v>192</v>
      </c>
      <c r="AE1291" s="27"/>
      <c r="AF1291" s="27"/>
      <c r="AG1291" s="27"/>
      <c r="AH1291" s="27"/>
      <c r="AI1291" s="25">
        <v>359152</v>
      </c>
      <c r="AJ1291" s="25">
        <v>237040</v>
      </c>
      <c r="AK1291" s="25">
        <v>40225</v>
      </c>
      <c r="AL1291" s="25">
        <v>353900</v>
      </c>
      <c r="AM1291" s="25">
        <v>71400</v>
      </c>
      <c r="AN1291" s="25">
        <v>282500</v>
      </c>
      <c r="AO1291" s="25">
        <v>0</v>
      </c>
      <c r="AP1291" s="25">
        <f>Lookups!$B$56*0</f>
        <v>0</v>
      </c>
      <c r="AQ1291" s="25">
        <f>Lookups!$B$56*1</f>
        <v>89850.625589999996</v>
      </c>
      <c r="AR1291" s="25">
        <f>Lookups!$B$57*Inventory[[#This Row],[LnAcres]]</f>
        <v>-39184.437074869042</v>
      </c>
      <c r="AS1291" s="25">
        <f>VLOOKUP(Inventory[[#This Row],[Qlty]],Lookups!$A$62:$E$75,2,FALSE)</f>
        <v>44121.038090000002</v>
      </c>
      <c r="AT1291" s="25">
        <f>VLOOKUP(Inventory[[#This Row],[Cnd]],Lookups!$A$76:$E$84,2,FALSE)</f>
        <v>133714.53821</v>
      </c>
      <c r="AU1291" s="25">
        <f>Inventory[[#This Row],[EffAge]]*Lookups!$B$85</f>
        <v>-11598.371226000001</v>
      </c>
      <c r="AV1291" s="25">
        <f>Inventory[[#This Row],[MainFn]]*Lookups!$B$86</f>
        <v>52817.868098513005</v>
      </c>
      <c r="AW1291" s="25">
        <f>Inventory[[#This Row],[UpprFn]]*Lookups!$B$87</f>
        <v>0</v>
      </c>
      <c r="AX1291" s="25">
        <f>Inventory[[#This Row],[AddFn]]*Lookups!$B$88</f>
        <v>0</v>
      </c>
      <c r="AY1291" s="25">
        <f>Inventory[[#This Row],[Bsmt]]*Lookups!$B$89</f>
        <v>32251.821828922999</v>
      </c>
      <c r="AZ1291" s="25">
        <f>Inventory[[#This Row],[Fixtures]]*Lookups!$B$90</f>
        <v>30336.176841600001</v>
      </c>
      <c r="BA1291" s="25">
        <f>Inventory[[#This Row],[WdDeck]]*Lookups!$B$91</f>
        <v>6392.7389329920006</v>
      </c>
      <c r="BB1291" s="25">
        <f>ROUND(Inventory[[#This Row],[25Det]],-2)</f>
        <v>40200</v>
      </c>
      <c r="BC1291" s="25">
        <f>ROUND(SUM(Inventory[[#This Row],[Mdl Qlty]:[Mdl WdDeck]])+Inventory[[#This Row],[Mdl Res Intercept]],-2)</f>
        <v>288000</v>
      </c>
      <c r="BD1291" s="25">
        <f>ROUND(Inventory[[#This Row],[Mdl Land Intercept]]+Inventory[[#This Row],[Mdl LnAcres]],-2)</f>
        <v>50700</v>
      </c>
      <c r="BE1291" s="25">
        <f>Inventory[[#This Row],[Unadj Res Value]]+Inventory[[#This Row],[Unadj Det Value]]+Inventory[[#This Row],[Unadj Land Value]]</f>
        <v>378900</v>
      </c>
      <c r="BF1291" s="36">
        <f>(Inventory[[#This Row],[Unadj Total Value]]-Inventory[[#This Row],[24Final]])/Inventory[[#This Row],[24Final]]</f>
        <v>7.0641424131110478E-2</v>
      </c>
      <c r="BG1291" s="25">
        <f>VLOOKUP(Inventory[[#This Row],[Nbhd]],Lookups!$Q$2:$T$4,4,FALSE)</f>
        <v>0.99970000000000003</v>
      </c>
      <c r="BH1291" s="25">
        <f>VLOOKUP(Inventory[[#This Row],[Qlty]],Lookups!$O$7:$R$21,4,FALSE)</f>
        <v>0.98050000000000004</v>
      </c>
      <c r="BI1291" s="25">
        <f>VLOOKUP(Inventory[[#This Row],[Cnd]],Lookups!$T$7:$W$16,4,FALSE)</f>
        <v>0.99329999999999996</v>
      </c>
      <c r="BJ1291" s="25">
        <f>VLOOKUP(Inventory[[#This Row],[LivArea Range]],Lookups!$T$25:$W$37,4,FALSE)</f>
        <v>1.0093000000000001</v>
      </c>
      <c r="BK1291" s="25">
        <f>VLOOKUP(Inventory[[#This Row],[Decade]],Lookups!$O$25:$R$42,4,FALSE)</f>
        <v>0.98909999999999998</v>
      </c>
      <c r="BL1291" s="25">
        <f>Inventory[[#This Row],[Nbhd Adj]]*0.95</f>
        <v>0.94971499999999998</v>
      </c>
      <c r="BM1291" s="25">
        <f>Inventory[[#This Row],[Nbhd Adj]]*Inventory[[#This Row],[Quality Adj]]*Inventory[[#This Row],[Condition Adj]]*Inventory[[#This Row],[Living Area Adj]]*Inventory[[#This Row],[Decade Adj]]*0.95</f>
        <v>0.92338285394393016</v>
      </c>
      <c r="BN1291" s="25">
        <f>ROUND(SUM(Inventory[[#This Row],[Mdl Qlty]:[Mdl WdDeck]])+Inventory[[#This Row],[Mdl Res Intercept]]*Inventory[[#This Row],[Res Adj ]],-2)</f>
        <v>288000</v>
      </c>
      <c r="BO1291" s="25">
        <f>ROUND(Inventory[[#This Row],[25Det]]*Inventory[[#This Row],[Det/Nbhd Adj]],-2)</f>
        <v>38200</v>
      </c>
      <c r="BP1291" s="25">
        <f>Inventory[[#This Row],[Adjusted Res]]+Inventory[[#This Row],[Adj Det ]]</f>
        <v>326200</v>
      </c>
      <c r="BQ1291" s="25">
        <f>ROUND((Inventory[[#This Row],[Mdl Land Intercept]]+Inventory[[#This Row],[Mdl LnAcres]])*Inventory[[#This Row],[Det/Nbhd Adj]],-2)</f>
        <v>48100</v>
      </c>
      <c r="BR1291" s="25">
        <f>Inventory[[#This Row],[Adjusted Impr Total]]+Inventory[[#This Row],[Adjusted Land Total]]</f>
        <v>374300</v>
      </c>
      <c r="BS1291" s="36">
        <f>IFERROR((Inventory[[#This Row],[Adjusted Impr Total]]-Inventory[[#This Row],[24Bldg]])/Inventory[[#This Row],[24Bldg]],0)</f>
        <v>0.15469026548672565</v>
      </c>
      <c r="BT1291" s="36">
        <f>(Inventory[[#This Row],[Adjusted Land Total]]-Inventory[[#This Row],[24Lnd]])/Inventory[[#This Row],[24Lnd]]</f>
        <v>-0.32633053221288516</v>
      </c>
      <c r="BU1291" s="36">
        <f>(Inventory[[#This Row],[Adjusted Total]]-Inventory[[#This Row],[24Final]])/Inventory[[#This Row],[24Final]]</f>
        <v>5.7643402090986152E-2</v>
      </c>
    </row>
    <row r="1292" spans="1:73" x14ac:dyDescent="0.3">
      <c r="A1292" s="25">
        <v>2025</v>
      </c>
      <c r="B1292" s="26" t="s">
        <v>830</v>
      </c>
      <c r="C1292" s="26">
        <f>LN(Inventory[[#This Row],[Acres]])</f>
        <v>-1.8325814637483102</v>
      </c>
      <c r="D1292" s="25">
        <v>0.16</v>
      </c>
      <c r="E1292" s="32">
        <v>7132</v>
      </c>
      <c r="F1292" s="26" t="s">
        <v>537</v>
      </c>
      <c r="G1292" s="26" t="s">
        <v>126</v>
      </c>
      <c r="H1292" s="26" t="s">
        <v>349</v>
      </c>
      <c r="I1292" s="26" t="s">
        <v>538</v>
      </c>
      <c r="J1292" s="26" t="s">
        <v>539</v>
      </c>
      <c r="K1292" s="26" t="s">
        <v>242</v>
      </c>
      <c r="L1292" s="26" t="s">
        <v>351</v>
      </c>
      <c r="M1292" s="26" t="s">
        <v>303</v>
      </c>
      <c r="N1292" s="26">
        <v>90</v>
      </c>
      <c r="O1292" s="26">
        <f>2024-Inventory[[#This Row],[YrBlt]]</f>
        <v>84</v>
      </c>
      <c r="P1292" s="26">
        <f>2024-Inventory[[#This Row],[EffYr]]</f>
        <v>52</v>
      </c>
      <c r="Q1292" s="25">
        <v>1940</v>
      </c>
      <c r="R1292" s="25">
        <v>1972</v>
      </c>
      <c r="S1292" s="25">
        <v>1014</v>
      </c>
      <c r="T1292" s="27"/>
      <c r="U1292" s="25">
        <v>1014</v>
      </c>
      <c r="V1292" s="25">
        <f>Inventory[[#This Row],[Bsmt]]-Inventory[[#This Row],[FnBsmt]]</f>
        <v>0</v>
      </c>
      <c r="W1292" s="25">
        <v>1014</v>
      </c>
      <c r="X1292" s="27"/>
      <c r="Y1292" s="27">
        <f>Inventory[[#This Row],[MainFn]]+Inventory[[#This Row],[UpprFn]]+Inventory[[#This Row],[FnBsmt]]+Inventory[[#This Row],[AddFn]]</f>
        <v>2028</v>
      </c>
      <c r="Z1292" s="27">
        <v>2500</v>
      </c>
      <c r="AA1292" s="25">
        <v>8</v>
      </c>
      <c r="AB1292" s="27"/>
      <c r="AC1292" s="27"/>
      <c r="AD1292" s="27"/>
      <c r="AE1292" s="27"/>
      <c r="AF1292" s="27"/>
      <c r="AG1292" s="27"/>
      <c r="AH1292" s="27"/>
      <c r="AI1292" s="25">
        <v>258700</v>
      </c>
      <c r="AJ1292" s="25">
        <v>181090</v>
      </c>
      <c r="AK1292" s="25">
        <v>6050</v>
      </c>
      <c r="AL1292" s="25">
        <v>334400</v>
      </c>
      <c r="AM1292" s="25">
        <v>50600</v>
      </c>
      <c r="AN1292" s="25">
        <v>283800</v>
      </c>
      <c r="AO1292" s="25">
        <v>0</v>
      </c>
      <c r="AP1292" s="25">
        <f>Lookups!$B$56*0</f>
        <v>0</v>
      </c>
      <c r="AQ1292" s="25">
        <f>Lookups!$B$56*1</f>
        <v>89850.625589999996</v>
      </c>
      <c r="AR1292" s="25">
        <f>Lookups!$B$57*Inventory[[#This Row],[LnAcres]]</f>
        <v>-58009.662049032086</v>
      </c>
      <c r="AS1292" s="25">
        <f>VLOOKUP(Inventory[[#This Row],[Qlty]],Lookups!$A$62:$E$75,2,FALSE)</f>
        <v>21557.329055999999</v>
      </c>
      <c r="AT1292" s="25">
        <f>VLOOKUP(Inventory[[#This Row],[Cnd]],Lookups!$A$76:$E$84,2,FALSE)</f>
        <v>197752.34721000001</v>
      </c>
      <c r="AU1292" s="25">
        <f>Inventory[[#This Row],[EffAge]]*Lookups!$B$85</f>
        <v>-11598.371226000001</v>
      </c>
      <c r="AV1292" s="25">
        <f>Inventory[[#This Row],[MainFn]]*Lookups!$B$86</f>
        <v>50100.391255278002</v>
      </c>
      <c r="AW1292" s="25">
        <f>Inventory[[#This Row],[UpprFn]]*Lookups!$B$87</f>
        <v>0</v>
      </c>
      <c r="AX1292" s="25">
        <f>Inventory[[#This Row],[AddFn]]*Lookups!$B$88</f>
        <v>0</v>
      </c>
      <c r="AY1292" s="25">
        <f>Inventory[[#This Row],[Bsmt]]*Lookups!$B$89</f>
        <v>29489.041780457999</v>
      </c>
      <c r="AZ1292" s="25">
        <f>Inventory[[#This Row],[Fixtures]]*Lookups!$B$90</f>
        <v>30336.176841600001</v>
      </c>
      <c r="BA1292" s="25">
        <f>Inventory[[#This Row],[WdDeck]]*Lookups!$B$91</f>
        <v>0</v>
      </c>
      <c r="BB1292" s="25">
        <f>ROUND(Inventory[[#This Row],[25Det]],-2)</f>
        <v>6100</v>
      </c>
      <c r="BC1292" s="25">
        <f>ROUND(SUM(Inventory[[#This Row],[Mdl Qlty]:[Mdl WdDeck]])+Inventory[[#This Row],[Mdl Res Intercept]],-2)</f>
        <v>317600</v>
      </c>
      <c r="BD1292" s="25">
        <f>ROUND(Inventory[[#This Row],[Mdl Land Intercept]]+Inventory[[#This Row],[Mdl LnAcres]],-2)</f>
        <v>31800</v>
      </c>
      <c r="BE1292" s="25">
        <f>Inventory[[#This Row],[Unadj Res Value]]+Inventory[[#This Row],[Unadj Det Value]]+Inventory[[#This Row],[Unadj Land Value]]</f>
        <v>355500</v>
      </c>
      <c r="BF1292" s="36">
        <f>(Inventory[[#This Row],[Unadj Total Value]]-Inventory[[#This Row],[24Final]])/Inventory[[#This Row],[24Final]]</f>
        <v>6.3098086124401917E-2</v>
      </c>
      <c r="BG1292" s="25">
        <f>VLOOKUP(Inventory[[#This Row],[Nbhd]],Lookups!$Q$2:$T$4,4,FALSE)</f>
        <v>0.99970000000000003</v>
      </c>
      <c r="BH1292" s="25">
        <f>VLOOKUP(Inventory[[#This Row],[Qlty]],Lookups!$O$7:$R$21,4,FALSE)</f>
        <v>1.0067999999999999</v>
      </c>
      <c r="BI1292" s="25">
        <f>VLOOKUP(Inventory[[#This Row],[Cnd]],Lookups!$T$7:$W$16,4,FALSE)</f>
        <v>0.99650000000000005</v>
      </c>
      <c r="BJ1292" s="25">
        <f>VLOOKUP(Inventory[[#This Row],[LivArea Range]],Lookups!$T$25:$W$37,4,FALSE)</f>
        <v>0.98919999999999997</v>
      </c>
      <c r="BK1292" s="25">
        <f>VLOOKUP(Inventory[[#This Row],[Decade]],Lookups!$O$25:$R$42,4,FALSE)</f>
        <v>0.98909999999999998</v>
      </c>
      <c r="BL1292" s="25">
        <f>Inventory[[#This Row],[Nbhd Adj]]*0.95</f>
        <v>0.94971499999999998</v>
      </c>
      <c r="BM1292" s="25">
        <f>Inventory[[#This Row],[Nbhd Adj]]*Inventory[[#This Row],[Quality Adj]]*Inventory[[#This Row],[Condition Adj]]*Inventory[[#This Row],[Living Area Adj]]*Inventory[[#This Row],[Decade Adj]]*0.95</f>
        <v>0.9322622889120924</v>
      </c>
      <c r="BN1292" s="25">
        <f>ROUND(SUM(Inventory[[#This Row],[Mdl Qlty]:[Mdl WdDeck]])+Inventory[[#This Row],[Mdl Res Intercept]]*Inventory[[#This Row],[Res Adj ]],-2)</f>
        <v>317600</v>
      </c>
      <c r="BO1292" s="25">
        <f>ROUND(Inventory[[#This Row],[25Det]]*Inventory[[#This Row],[Det/Nbhd Adj]],-2)</f>
        <v>5700</v>
      </c>
      <c r="BP1292" s="25">
        <f>Inventory[[#This Row],[Adjusted Res]]+Inventory[[#This Row],[Adj Det ]]</f>
        <v>323300</v>
      </c>
      <c r="BQ1292" s="25">
        <f>ROUND((Inventory[[#This Row],[Mdl Land Intercept]]+Inventory[[#This Row],[Mdl LnAcres]])*Inventory[[#This Row],[Det/Nbhd Adj]],-2)</f>
        <v>30200</v>
      </c>
      <c r="BR1292" s="25">
        <f>Inventory[[#This Row],[Adjusted Impr Total]]+Inventory[[#This Row],[Adjusted Land Total]]</f>
        <v>353500</v>
      </c>
      <c r="BS1292" s="36">
        <f>IFERROR((Inventory[[#This Row],[Adjusted Impr Total]]-Inventory[[#This Row],[24Bldg]])/Inventory[[#This Row],[24Bldg]],0)</f>
        <v>0.13918252290345315</v>
      </c>
      <c r="BT1292" s="36">
        <f>(Inventory[[#This Row],[Adjusted Land Total]]-Inventory[[#This Row],[24Lnd]])/Inventory[[#This Row],[24Lnd]]</f>
        <v>-0.40316205533596838</v>
      </c>
      <c r="BU1292" s="36">
        <f>(Inventory[[#This Row],[Adjusted Total]]-Inventory[[#This Row],[24Final]])/Inventory[[#This Row],[24Final]]</f>
        <v>5.7117224880382775E-2</v>
      </c>
    </row>
    <row r="1293" spans="1:73" x14ac:dyDescent="0.3">
      <c r="A1293" s="25">
        <v>2025</v>
      </c>
      <c r="B1293" s="26" t="s">
        <v>1721</v>
      </c>
      <c r="C1293" s="26">
        <f>LN(Inventory[[#This Row],[Acres]])</f>
        <v>-1.5141277326297755</v>
      </c>
      <c r="D1293" s="25">
        <v>0.22</v>
      </c>
      <c r="E1293" s="32">
        <v>9441</v>
      </c>
      <c r="F1293" s="26" t="s">
        <v>537</v>
      </c>
      <c r="G1293" s="26" t="s">
        <v>126</v>
      </c>
      <c r="H1293" s="26" t="s">
        <v>349</v>
      </c>
      <c r="I1293" s="26" t="s">
        <v>538</v>
      </c>
      <c r="J1293" s="26" t="s">
        <v>539</v>
      </c>
      <c r="K1293" s="26" t="s">
        <v>242</v>
      </c>
      <c r="L1293" s="26" t="s">
        <v>351</v>
      </c>
      <c r="M1293" s="26" t="s">
        <v>323</v>
      </c>
      <c r="N1293" s="26">
        <v>90</v>
      </c>
      <c r="O1293" s="26">
        <f>2024-Inventory[[#This Row],[YrBlt]]</f>
        <v>84</v>
      </c>
      <c r="P1293" s="26">
        <f>2024-Inventory[[#This Row],[EffYr]]</f>
        <v>52</v>
      </c>
      <c r="Q1293" s="25">
        <v>1940</v>
      </c>
      <c r="R1293" s="25">
        <v>1972</v>
      </c>
      <c r="S1293" s="25">
        <v>922</v>
      </c>
      <c r="T1293" s="27"/>
      <c r="U1293" s="25">
        <v>922</v>
      </c>
      <c r="V1293" s="25">
        <f>Inventory[[#This Row],[Bsmt]]-Inventory[[#This Row],[FnBsmt]]</f>
        <v>222</v>
      </c>
      <c r="W1293" s="25">
        <v>700</v>
      </c>
      <c r="X1293" s="27"/>
      <c r="Y1293" s="27">
        <f>Inventory[[#This Row],[MainFn]]+Inventory[[#This Row],[UpprFn]]+Inventory[[#This Row],[FnBsmt]]+Inventory[[#This Row],[AddFn]]</f>
        <v>1622</v>
      </c>
      <c r="Z1293" s="27">
        <v>2000</v>
      </c>
      <c r="AA1293" s="25">
        <v>9</v>
      </c>
      <c r="AB1293" s="27"/>
      <c r="AC1293" s="27"/>
      <c r="AD1293" s="32">
        <v>150</v>
      </c>
      <c r="AE1293" s="27"/>
      <c r="AF1293" s="27"/>
      <c r="AG1293" s="27"/>
      <c r="AH1293" s="27"/>
      <c r="AI1293" s="25">
        <v>253269</v>
      </c>
      <c r="AJ1293" s="25">
        <v>172223</v>
      </c>
      <c r="AK1293" s="25">
        <v>39604</v>
      </c>
      <c r="AL1293" s="25">
        <v>339900</v>
      </c>
      <c r="AM1293" s="25">
        <v>61700</v>
      </c>
      <c r="AN1293" s="25">
        <v>278200</v>
      </c>
      <c r="AO1293" s="25">
        <v>0</v>
      </c>
      <c r="AP1293" s="25">
        <f>Lookups!$B$56*0</f>
        <v>0</v>
      </c>
      <c r="AQ1293" s="25">
        <f>Lookups!$B$56*1</f>
        <v>89850.625589999996</v>
      </c>
      <c r="AR1293" s="25">
        <f>Lookups!$B$57*Inventory[[#This Row],[LnAcres]]</f>
        <v>-47929.131559187132</v>
      </c>
      <c r="AS1293" s="25">
        <f>VLOOKUP(Inventory[[#This Row],[Qlty]],Lookups!$A$62:$E$75,2,FALSE)</f>
        <v>21557.329055999999</v>
      </c>
      <c r="AT1293" s="25">
        <f>VLOOKUP(Inventory[[#This Row],[Cnd]],Lookups!$A$76:$E$84,2,FALSE)</f>
        <v>160472.20319</v>
      </c>
      <c r="AU1293" s="25">
        <f>Inventory[[#This Row],[EffAge]]*Lookups!$B$85</f>
        <v>-11598.371226000001</v>
      </c>
      <c r="AV1293" s="25">
        <f>Inventory[[#This Row],[MainFn]]*Lookups!$B$86</f>
        <v>45554.793626594001</v>
      </c>
      <c r="AW1293" s="25">
        <f>Inventory[[#This Row],[UpprFn]]*Lookups!$B$87</f>
        <v>0</v>
      </c>
      <c r="AX1293" s="25">
        <f>Inventory[[#This Row],[AddFn]]*Lookups!$B$88</f>
        <v>0</v>
      </c>
      <c r="AY1293" s="25">
        <f>Inventory[[#This Row],[Bsmt]]*Lookups!$B$89</f>
        <v>26813.507417733999</v>
      </c>
      <c r="AZ1293" s="25">
        <f>Inventory[[#This Row],[Fixtures]]*Lookups!$B$90</f>
        <v>34128.198946800003</v>
      </c>
      <c r="BA1293" s="25">
        <f>Inventory[[#This Row],[WdDeck]]*Lookups!$B$91</f>
        <v>4994.3272914000008</v>
      </c>
      <c r="BB1293" s="25">
        <f>ROUND(Inventory[[#This Row],[25Det]],-2)</f>
        <v>39600</v>
      </c>
      <c r="BC1293" s="25">
        <f>ROUND(SUM(Inventory[[#This Row],[Mdl Qlty]:[Mdl WdDeck]])+Inventory[[#This Row],[Mdl Res Intercept]],-2)</f>
        <v>281900</v>
      </c>
      <c r="BD1293" s="25">
        <f>ROUND(Inventory[[#This Row],[Mdl Land Intercept]]+Inventory[[#This Row],[Mdl LnAcres]],-2)</f>
        <v>41900</v>
      </c>
      <c r="BE1293" s="25">
        <f>Inventory[[#This Row],[Unadj Res Value]]+Inventory[[#This Row],[Unadj Det Value]]+Inventory[[#This Row],[Unadj Land Value]]</f>
        <v>363400</v>
      </c>
      <c r="BF1293" s="36">
        <f>(Inventory[[#This Row],[Unadj Total Value]]-Inventory[[#This Row],[24Final]])/Inventory[[#This Row],[24Final]]</f>
        <v>6.913798175934098E-2</v>
      </c>
      <c r="BG1293" s="25">
        <f>VLOOKUP(Inventory[[#This Row],[Nbhd]],Lookups!$Q$2:$T$4,4,FALSE)</f>
        <v>0.99970000000000003</v>
      </c>
      <c r="BH1293" s="25">
        <f>VLOOKUP(Inventory[[#This Row],[Qlty]],Lookups!$O$7:$R$21,4,FALSE)</f>
        <v>1.0067999999999999</v>
      </c>
      <c r="BI1293" s="25">
        <f>VLOOKUP(Inventory[[#This Row],[Cnd]],Lookups!$T$7:$W$16,4,FALSE)</f>
        <v>0.99729999999999996</v>
      </c>
      <c r="BJ1293" s="25">
        <f>VLOOKUP(Inventory[[#This Row],[LivArea Range]],Lookups!$T$25:$W$37,4,FALSE)</f>
        <v>1.0093000000000001</v>
      </c>
      <c r="BK1293" s="25">
        <f>VLOOKUP(Inventory[[#This Row],[Decade]],Lookups!$O$25:$R$42,4,FALSE)</f>
        <v>0.98909999999999998</v>
      </c>
      <c r="BL1293" s="25">
        <f>Inventory[[#This Row],[Nbhd Adj]]*0.95</f>
        <v>0.94971499999999998</v>
      </c>
      <c r="BM1293" s="25">
        <f>Inventory[[#This Row],[Nbhd Adj]]*Inventory[[#This Row],[Quality Adj]]*Inventory[[#This Row],[Condition Adj]]*Inventory[[#This Row],[Living Area Adj]]*Inventory[[#This Row],[Decade Adj]]*0.95</f>
        <v>0.95196898294134369</v>
      </c>
      <c r="BN1293" s="25">
        <f>ROUND(SUM(Inventory[[#This Row],[Mdl Qlty]:[Mdl WdDeck]])+Inventory[[#This Row],[Mdl Res Intercept]]*Inventory[[#This Row],[Res Adj ]],-2)</f>
        <v>281900</v>
      </c>
      <c r="BO1293" s="25">
        <f>ROUND(Inventory[[#This Row],[25Det]]*Inventory[[#This Row],[Det/Nbhd Adj]],-2)</f>
        <v>37600</v>
      </c>
      <c r="BP1293" s="25">
        <f>Inventory[[#This Row],[Adjusted Res]]+Inventory[[#This Row],[Adj Det ]]</f>
        <v>319500</v>
      </c>
      <c r="BQ1293" s="25">
        <f>ROUND((Inventory[[#This Row],[Mdl Land Intercept]]+Inventory[[#This Row],[Mdl LnAcres]])*Inventory[[#This Row],[Det/Nbhd Adj]],-2)</f>
        <v>39800</v>
      </c>
      <c r="BR1293" s="25">
        <f>Inventory[[#This Row],[Adjusted Impr Total]]+Inventory[[#This Row],[Adjusted Land Total]]</f>
        <v>359300</v>
      </c>
      <c r="BS1293" s="36">
        <f>IFERROR((Inventory[[#This Row],[Adjusted Impr Total]]-Inventory[[#This Row],[24Bldg]])/Inventory[[#This Row],[24Bldg]],0)</f>
        <v>0.14845434938892882</v>
      </c>
      <c r="BT1293" s="36">
        <f>(Inventory[[#This Row],[Adjusted Land Total]]-Inventory[[#This Row],[24Lnd]])/Inventory[[#This Row],[24Lnd]]</f>
        <v>-0.35494327390599678</v>
      </c>
      <c r="BU1293" s="36">
        <f>(Inventory[[#This Row],[Adjusted Total]]-Inventory[[#This Row],[24Final]])/Inventory[[#This Row],[24Final]]</f>
        <v>5.7075610473668728E-2</v>
      </c>
    </row>
    <row r="1294" spans="1:73" x14ac:dyDescent="0.3">
      <c r="A1294" s="25">
        <v>2025</v>
      </c>
      <c r="B1294" s="26" t="s">
        <v>2837</v>
      </c>
      <c r="C1294" s="26">
        <f>LN(Inventory[[#This Row],[Acres]])</f>
        <v>-2.0402208285265546</v>
      </c>
      <c r="D1294" s="25">
        <v>0.13</v>
      </c>
      <c r="E1294" s="31"/>
      <c r="F1294" s="26" t="s">
        <v>537</v>
      </c>
      <c r="G1294" s="26" t="s">
        <v>126</v>
      </c>
      <c r="H1294" s="26" t="s">
        <v>349</v>
      </c>
      <c r="I1294" s="26" t="s">
        <v>538</v>
      </c>
      <c r="J1294" s="26" t="s">
        <v>638</v>
      </c>
      <c r="K1294" s="26" t="s">
        <v>242</v>
      </c>
      <c r="L1294" s="26" t="s">
        <v>351</v>
      </c>
      <c r="M1294" s="26" t="s">
        <v>323</v>
      </c>
      <c r="N1294" s="26">
        <v>90</v>
      </c>
      <c r="O1294" s="26">
        <f>2024-Inventory[[#This Row],[YrBlt]]</f>
        <v>84</v>
      </c>
      <c r="P1294" s="26">
        <f>2024-Inventory[[#This Row],[EffYr]]</f>
        <v>52</v>
      </c>
      <c r="Q1294" s="25">
        <v>1940</v>
      </c>
      <c r="R1294" s="25">
        <v>1972</v>
      </c>
      <c r="S1294" s="25">
        <v>893</v>
      </c>
      <c r="T1294" s="27"/>
      <c r="U1294" s="25">
        <v>663</v>
      </c>
      <c r="V1294" s="25">
        <f>Inventory[[#This Row],[Bsmt]]-Inventory[[#This Row],[FnBsmt]]</f>
        <v>263</v>
      </c>
      <c r="W1294" s="25">
        <v>400</v>
      </c>
      <c r="X1294" s="27"/>
      <c r="Y1294" s="27">
        <f>Inventory[[#This Row],[MainFn]]+Inventory[[#This Row],[UpprFn]]+Inventory[[#This Row],[FnBsmt]]+Inventory[[#This Row],[AddFn]]</f>
        <v>1293</v>
      </c>
      <c r="Z1294" s="27">
        <v>1500</v>
      </c>
      <c r="AA1294" s="25">
        <v>9</v>
      </c>
      <c r="AB1294" s="32">
        <v>278</v>
      </c>
      <c r="AC1294" s="27"/>
      <c r="AD1294" s="27"/>
      <c r="AE1294" s="27"/>
      <c r="AF1294" s="27"/>
      <c r="AG1294" s="27"/>
      <c r="AH1294" s="27"/>
      <c r="AI1294" s="25">
        <v>225489</v>
      </c>
      <c r="AJ1294" s="25">
        <v>153333</v>
      </c>
      <c r="AK1294" s="25">
        <v>0</v>
      </c>
      <c r="AL1294" s="25">
        <v>276500</v>
      </c>
      <c r="AM1294" s="25">
        <v>43400</v>
      </c>
      <c r="AN1294" s="25">
        <v>233100</v>
      </c>
      <c r="AO1294" s="25">
        <v>0</v>
      </c>
      <c r="AP1294" s="25">
        <f>Lookups!$B$56*0</f>
        <v>0</v>
      </c>
      <c r="AQ1294" s="25">
        <f>Lookups!$B$56*1</f>
        <v>89850.625589999996</v>
      </c>
      <c r="AR1294" s="25">
        <f>Lookups!$B$57*Inventory[[#This Row],[LnAcres]]</f>
        <v>-64582.406353792743</v>
      </c>
      <c r="AS1294" s="25">
        <f>VLOOKUP(Inventory[[#This Row],[Qlty]],Lookups!$A$62:$E$75,2,FALSE)</f>
        <v>21557.329055999999</v>
      </c>
      <c r="AT1294" s="25">
        <f>VLOOKUP(Inventory[[#This Row],[Cnd]],Lookups!$A$76:$E$84,2,FALSE)</f>
        <v>160472.20319</v>
      </c>
      <c r="AU1294" s="25">
        <f>Inventory[[#This Row],[EffAge]]*Lookups!$B$85</f>
        <v>-11598.371226000001</v>
      </c>
      <c r="AV1294" s="25">
        <f>Inventory[[#This Row],[MainFn]]*Lookups!$B$86</f>
        <v>44121.942200161</v>
      </c>
      <c r="AW1294" s="25">
        <f>Inventory[[#This Row],[UpprFn]]*Lookups!$B$87</f>
        <v>0</v>
      </c>
      <c r="AX1294" s="25">
        <f>Inventory[[#This Row],[AddFn]]*Lookups!$B$88</f>
        <v>0</v>
      </c>
      <c r="AY1294" s="25">
        <f>Inventory[[#This Row],[Bsmt]]*Lookups!$B$89</f>
        <v>19281.296548760998</v>
      </c>
      <c r="AZ1294" s="25">
        <f>Inventory[[#This Row],[Fixtures]]*Lookups!$B$90</f>
        <v>34128.198946800003</v>
      </c>
      <c r="BA1294" s="25">
        <f>Inventory[[#This Row],[WdDeck]]*Lookups!$B$91</f>
        <v>0</v>
      </c>
      <c r="BB1294" s="25">
        <f>ROUND(Inventory[[#This Row],[25Det]],-2)</f>
        <v>0</v>
      </c>
      <c r="BC1294" s="25">
        <f>ROUND(SUM(Inventory[[#This Row],[Mdl Qlty]:[Mdl WdDeck]])+Inventory[[#This Row],[Mdl Res Intercept]],-2)</f>
        <v>268000</v>
      </c>
      <c r="BD1294" s="25">
        <f>ROUND(Inventory[[#This Row],[Mdl Land Intercept]]+Inventory[[#This Row],[Mdl LnAcres]],-2)</f>
        <v>25300</v>
      </c>
      <c r="BE1294" s="25">
        <f>Inventory[[#This Row],[Unadj Res Value]]+Inventory[[#This Row],[Unadj Det Value]]+Inventory[[#This Row],[Unadj Land Value]]</f>
        <v>293300</v>
      </c>
      <c r="BF1294" s="36">
        <f>(Inventory[[#This Row],[Unadj Total Value]]-Inventory[[#This Row],[24Final]])/Inventory[[#This Row],[24Final]]</f>
        <v>6.0759493670886074E-2</v>
      </c>
      <c r="BG1294" s="25">
        <f>VLOOKUP(Inventory[[#This Row],[Nbhd]],Lookups!$Q$2:$T$4,4,FALSE)</f>
        <v>0.99970000000000003</v>
      </c>
      <c r="BH1294" s="25">
        <f>VLOOKUP(Inventory[[#This Row],[Qlty]],Lookups!$O$7:$R$21,4,FALSE)</f>
        <v>1.0067999999999999</v>
      </c>
      <c r="BI1294" s="25">
        <f>VLOOKUP(Inventory[[#This Row],[Cnd]],Lookups!$T$7:$W$16,4,FALSE)</f>
        <v>0.99729999999999996</v>
      </c>
      <c r="BJ1294" s="25">
        <f>VLOOKUP(Inventory[[#This Row],[LivArea Range]],Lookups!$T$25:$W$37,4,FALSE)</f>
        <v>1.0157</v>
      </c>
      <c r="BK1294" s="25">
        <f>VLOOKUP(Inventory[[#This Row],[Decade]],Lookups!$O$25:$R$42,4,FALSE)</f>
        <v>0.98909999999999998</v>
      </c>
      <c r="BL1294" s="25">
        <f>Inventory[[#This Row],[Nbhd Adj]]*0.95</f>
        <v>0.94971499999999998</v>
      </c>
      <c r="BM1294" s="25">
        <f>Inventory[[#This Row],[Nbhd Adj]]*Inventory[[#This Row],[Quality Adj]]*Inventory[[#This Row],[Condition Adj]]*Inventory[[#This Row],[Living Area Adj]]*Inventory[[#This Row],[Decade Adj]]*0.95</f>
        <v>0.95800544533193577</v>
      </c>
      <c r="BN1294" s="25">
        <f>ROUND(SUM(Inventory[[#This Row],[Mdl Qlty]:[Mdl WdDeck]])+Inventory[[#This Row],[Mdl Res Intercept]]*Inventory[[#This Row],[Res Adj ]],-2)</f>
        <v>268000</v>
      </c>
      <c r="BO1294" s="25">
        <f>ROUND(Inventory[[#This Row],[25Det]]*Inventory[[#This Row],[Det/Nbhd Adj]],-2)</f>
        <v>0</v>
      </c>
      <c r="BP1294" s="25">
        <f>Inventory[[#This Row],[Adjusted Res]]+Inventory[[#This Row],[Adj Det ]]</f>
        <v>268000</v>
      </c>
      <c r="BQ1294" s="25">
        <f>ROUND((Inventory[[#This Row],[Mdl Land Intercept]]+Inventory[[#This Row],[Mdl LnAcres]])*Inventory[[#This Row],[Det/Nbhd Adj]],-2)</f>
        <v>24000</v>
      </c>
      <c r="BR1294" s="25">
        <f>Inventory[[#This Row],[Adjusted Impr Total]]+Inventory[[#This Row],[Adjusted Land Total]]</f>
        <v>292000</v>
      </c>
      <c r="BS1294" s="36">
        <f>IFERROR((Inventory[[#This Row],[Adjusted Impr Total]]-Inventory[[#This Row],[24Bldg]])/Inventory[[#This Row],[24Bldg]],0)</f>
        <v>0.14972114972114972</v>
      </c>
      <c r="BT1294" s="36">
        <f>(Inventory[[#This Row],[Adjusted Land Total]]-Inventory[[#This Row],[24Lnd]])/Inventory[[#This Row],[24Lnd]]</f>
        <v>-0.44700460829493088</v>
      </c>
      <c r="BU1294" s="36">
        <f>(Inventory[[#This Row],[Adjusted Total]]-Inventory[[#This Row],[24Final]])/Inventory[[#This Row],[24Final]]</f>
        <v>5.6057866184448461E-2</v>
      </c>
    </row>
    <row r="1295" spans="1:73" x14ac:dyDescent="0.3">
      <c r="A1295" s="25">
        <v>2025</v>
      </c>
      <c r="B1295" s="26" t="s">
        <v>1305</v>
      </c>
      <c r="C1295" s="26">
        <f>LN(Inventory[[#This Row],[Acres]])</f>
        <v>-1.8971199848858813</v>
      </c>
      <c r="D1295" s="25">
        <v>0.15</v>
      </c>
      <c r="E1295" s="31"/>
      <c r="F1295" s="26" t="s">
        <v>537</v>
      </c>
      <c r="G1295" s="26" t="s">
        <v>126</v>
      </c>
      <c r="H1295" s="26" t="s">
        <v>349</v>
      </c>
      <c r="I1295" s="26" t="s">
        <v>538</v>
      </c>
      <c r="J1295" s="26" t="s">
        <v>539</v>
      </c>
      <c r="K1295" s="26" t="s">
        <v>173</v>
      </c>
      <c r="L1295" s="26" t="s">
        <v>302</v>
      </c>
      <c r="M1295" s="26" t="s">
        <v>303</v>
      </c>
      <c r="N1295" s="26">
        <v>90</v>
      </c>
      <c r="O1295" s="26">
        <f>2024-Inventory[[#This Row],[YrBlt]]</f>
        <v>84</v>
      </c>
      <c r="P1295" s="26">
        <f>2024-Inventory[[#This Row],[EffYr]]</f>
        <v>52</v>
      </c>
      <c r="Q1295" s="25">
        <v>1940</v>
      </c>
      <c r="R1295" s="25">
        <v>1972</v>
      </c>
      <c r="S1295" s="25">
        <v>1091</v>
      </c>
      <c r="T1295" s="31"/>
      <c r="U1295" s="32">
        <v>1125</v>
      </c>
      <c r="V1295" s="32">
        <f>Inventory[[#This Row],[Bsmt]]-Inventory[[#This Row],[FnBsmt]]</f>
        <v>0</v>
      </c>
      <c r="W1295" s="32">
        <v>1125</v>
      </c>
      <c r="X1295" s="32">
        <v>264</v>
      </c>
      <c r="Y1295" s="32">
        <f>Inventory[[#This Row],[MainFn]]+Inventory[[#This Row],[UpprFn]]+Inventory[[#This Row],[FnBsmt]]+Inventory[[#This Row],[AddFn]]</f>
        <v>2480</v>
      </c>
      <c r="Z1295" s="27">
        <v>2500</v>
      </c>
      <c r="AA1295" s="25">
        <v>14</v>
      </c>
      <c r="AB1295" s="32">
        <v>264</v>
      </c>
      <c r="AC1295" s="27"/>
      <c r="AD1295" s="27"/>
      <c r="AE1295" s="27"/>
      <c r="AF1295" s="27"/>
      <c r="AG1295" s="27"/>
      <c r="AH1295" s="27"/>
      <c r="AI1295" s="25">
        <v>388427</v>
      </c>
      <c r="AJ1295" s="25">
        <v>271899</v>
      </c>
      <c r="AK1295" s="25">
        <v>30036</v>
      </c>
      <c r="AL1295" s="25">
        <v>406900</v>
      </c>
      <c r="AM1295" s="25">
        <v>48400</v>
      </c>
      <c r="AN1295" s="25">
        <v>358500</v>
      </c>
      <c r="AO1295" s="25">
        <v>0</v>
      </c>
      <c r="AP1295" s="25">
        <f>Lookups!$B$56*0</f>
        <v>0</v>
      </c>
      <c r="AQ1295" s="25">
        <f>Lookups!$B$56*1</f>
        <v>89850.625589999996</v>
      </c>
      <c r="AR1295" s="25">
        <f>Lookups!$B$57*Inventory[[#This Row],[LnAcres]]</f>
        <v>-60052.604136134301</v>
      </c>
      <c r="AS1295" s="25">
        <f>VLOOKUP(Inventory[[#This Row],[Qlty]],Lookups!$A$62:$E$75,2,FALSE)</f>
        <v>29814.093161000001</v>
      </c>
      <c r="AT1295" s="25">
        <f>VLOOKUP(Inventory[[#This Row],[Cnd]],Lookups!$A$76:$E$84,2,FALSE)</f>
        <v>197752.34721000001</v>
      </c>
      <c r="AU1295" s="25">
        <f>Inventory[[#This Row],[EffAge]]*Lookups!$B$85</f>
        <v>-11598.371226000001</v>
      </c>
      <c r="AV1295" s="25">
        <f>Inventory[[#This Row],[MainFn]]*Lookups!$B$86</f>
        <v>53904.858835807005</v>
      </c>
      <c r="AW1295" s="25">
        <f>Inventory[[#This Row],[UpprFn]]*Lookups!$B$87</f>
        <v>0</v>
      </c>
      <c r="AX1295" s="25">
        <f>Inventory[[#This Row],[AddFn]]*Lookups!$B$88</f>
        <v>17184.993157464003</v>
      </c>
      <c r="AY1295" s="25">
        <f>Inventory[[#This Row],[Bsmt]]*Lookups!$B$89</f>
        <v>32717.132152874998</v>
      </c>
      <c r="AZ1295" s="25">
        <f>Inventory[[#This Row],[Fixtures]]*Lookups!$B$90</f>
        <v>53088.3094728</v>
      </c>
      <c r="BA1295" s="25">
        <f>Inventory[[#This Row],[WdDeck]]*Lookups!$B$91</f>
        <v>0</v>
      </c>
      <c r="BB1295" s="25">
        <f>ROUND(Inventory[[#This Row],[25Det]],-2)</f>
        <v>30000</v>
      </c>
      <c r="BC1295" s="25">
        <f>ROUND(SUM(Inventory[[#This Row],[Mdl Qlty]:[Mdl WdDeck]])+Inventory[[#This Row],[Mdl Res Intercept]],-2)</f>
        <v>372900</v>
      </c>
      <c r="BD1295" s="25">
        <f>ROUND(Inventory[[#This Row],[Mdl Land Intercept]]+Inventory[[#This Row],[Mdl LnAcres]],-2)</f>
        <v>29800</v>
      </c>
      <c r="BE1295" s="25">
        <f>Inventory[[#This Row],[Unadj Res Value]]+Inventory[[#This Row],[Unadj Det Value]]+Inventory[[#This Row],[Unadj Land Value]]</f>
        <v>432700</v>
      </c>
      <c r="BF1295" s="36">
        <f>(Inventory[[#This Row],[Unadj Total Value]]-Inventory[[#This Row],[24Final]])/Inventory[[#This Row],[24Final]]</f>
        <v>6.3406242319980335E-2</v>
      </c>
      <c r="BG1295" s="25">
        <f>VLOOKUP(Inventory[[#This Row],[Nbhd]],Lookups!$Q$2:$T$4,4,FALSE)</f>
        <v>0.99970000000000003</v>
      </c>
      <c r="BH1295" s="25">
        <f>VLOOKUP(Inventory[[#This Row],[Qlty]],Lookups!$O$7:$R$21,4,FALSE)</f>
        <v>1.0088999999999999</v>
      </c>
      <c r="BI1295" s="25">
        <f>VLOOKUP(Inventory[[#This Row],[Cnd]],Lookups!$T$7:$W$16,4,FALSE)</f>
        <v>0.99650000000000005</v>
      </c>
      <c r="BJ1295" s="25">
        <f>VLOOKUP(Inventory[[#This Row],[LivArea Range]],Lookups!$T$25:$W$37,4,FALSE)</f>
        <v>0.98919999999999997</v>
      </c>
      <c r="BK1295" s="25">
        <f>VLOOKUP(Inventory[[#This Row],[Decade]],Lookups!$O$25:$R$42,4,FALSE)</f>
        <v>0.98909999999999998</v>
      </c>
      <c r="BL1295" s="25">
        <f>Inventory[[#This Row],[Nbhd Adj]]*0.95</f>
        <v>0.94971499999999998</v>
      </c>
      <c r="BM1295" s="25">
        <f>Inventory[[#This Row],[Nbhd Adj]]*Inventory[[#This Row],[Quality Adj]]*Inventory[[#This Row],[Condition Adj]]*Inventory[[#This Row],[Living Area Adj]]*Inventory[[#This Row],[Decade Adj]]*0.95</f>
        <v>0.93420681692829766</v>
      </c>
      <c r="BN1295" s="25">
        <f>ROUND(SUM(Inventory[[#This Row],[Mdl Qlty]:[Mdl WdDeck]])+Inventory[[#This Row],[Mdl Res Intercept]]*Inventory[[#This Row],[Res Adj ]],-2)</f>
        <v>372900</v>
      </c>
      <c r="BO1295" s="25">
        <f>ROUND(Inventory[[#This Row],[25Det]]*Inventory[[#This Row],[Det/Nbhd Adj]],-2)</f>
        <v>28500</v>
      </c>
      <c r="BP1295" s="25">
        <f>Inventory[[#This Row],[Adjusted Res]]+Inventory[[#This Row],[Adj Det ]]</f>
        <v>401400</v>
      </c>
      <c r="BQ1295" s="25">
        <f>ROUND((Inventory[[#This Row],[Mdl Land Intercept]]+Inventory[[#This Row],[Mdl LnAcres]])*Inventory[[#This Row],[Det/Nbhd Adj]],-2)</f>
        <v>28300</v>
      </c>
      <c r="BR1295" s="25">
        <f>Inventory[[#This Row],[Adjusted Impr Total]]+Inventory[[#This Row],[Adjusted Land Total]]</f>
        <v>429700</v>
      </c>
      <c r="BS1295" s="36">
        <f>IFERROR((Inventory[[#This Row],[Adjusted Impr Total]]-Inventory[[#This Row],[24Bldg]])/Inventory[[#This Row],[24Bldg]],0)</f>
        <v>0.1196652719665272</v>
      </c>
      <c r="BT1295" s="36">
        <f>(Inventory[[#This Row],[Adjusted Land Total]]-Inventory[[#This Row],[24Lnd]])/Inventory[[#This Row],[24Lnd]]</f>
        <v>-0.41528925619834711</v>
      </c>
      <c r="BU1295" s="36">
        <f>(Inventory[[#This Row],[Adjusted Total]]-Inventory[[#This Row],[24Final]])/Inventory[[#This Row],[24Final]]</f>
        <v>5.6033423445564022E-2</v>
      </c>
    </row>
    <row r="1296" spans="1:73" x14ac:dyDescent="0.3">
      <c r="A1296" s="25">
        <v>2025</v>
      </c>
      <c r="B1296" s="26" t="s">
        <v>1405</v>
      </c>
      <c r="C1296" s="26">
        <f>LN(Inventory[[#This Row],[Acres]])</f>
        <v>-1.8325814637483102</v>
      </c>
      <c r="D1296" s="25">
        <v>0.16</v>
      </c>
      <c r="E1296" s="32">
        <v>6991</v>
      </c>
      <c r="F1296" s="26" t="s">
        <v>537</v>
      </c>
      <c r="G1296" s="26" t="s">
        <v>126</v>
      </c>
      <c r="H1296" s="26" t="s">
        <v>349</v>
      </c>
      <c r="I1296" s="26" t="s">
        <v>538</v>
      </c>
      <c r="J1296" s="26" t="s">
        <v>539</v>
      </c>
      <c r="K1296" s="26" t="s">
        <v>242</v>
      </c>
      <c r="L1296" s="26" t="s">
        <v>351</v>
      </c>
      <c r="M1296" s="26" t="s">
        <v>323</v>
      </c>
      <c r="N1296" s="26">
        <v>90</v>
      </c>
      <c r="O1296" s="26">
        <f>2024-Inventory[[#This Row],[YrBlt]]</f>
        <v>84</v>
      </c>
      <c r="P1296" s="26">
        <f>2024-Inventory[[#This Row],[EffYr]]</f>
        <v>52</v>
      </c>
      <c r="Q1296" s="25">
        <v>1940</v>
      </c>
      <c r="R1296" s="25">
        <v>1972</v>
      </c>
      <c r="S1296" s="25">
        <v>1182</v>
      </c>
      <c r="T1296" s="27"/>
      <c r="U1296" s="32">
        <v>818</v>
      </c>
      <c r="V1296" s="32">
        <f>Inventory[[#This Row],[Bsmt]]-Inventory[[#This Row],[FnBsmt]]</f>
        <v>50</v>
      </c>
      <c r="W1296" s="32">
        <v>768</v>
      </c>
      <c r="X1296" s="27"/>
      <c r="Y1296" s="27">
        <f>Inventory[[#This Row],[MainFn]]+Inventory[[#This Row],[UpprFn]]+Inventory[[#This Row],[FnBsmt]]+Inventory[[#This Row],[AddFn]]</f>
        <v>1950</v>
      </c>
      <c r="Z1296" s="27">
        <v>2000</v>
      </c>
      <c r="AA1296" s="25">
        <v>8</v>
      </c>
      <c r="AB1296" s="31"/>
      <c r="AC1296" s="27"/>
      <c r="AD1296" s="32">
        <v>309</v>
      </c>
      <c r="AE1296" s="27"/>
      <c r="AF1296" s="27"/>
      <c r="AG1296" s="27"/>
      <c r="AH1296" s="27"/>
      <c r="AI1296" s="25">
        <v>276919</v>
      </c>
      <c r="AJ1296" s="25">
        <v>188305</v>
      </c>
      <c r="AK1296" s="25">
        <v>4340</v>
      </c>
      <c r="AL1296" s="25">
        <v>310300</v>
      </c>
      <c r="AM1296" s="25">
        <v>50600</v>
      </c>
      <c r="AN1296" s="25">
        <v>259700</v>
      </c>
      <c r="AO1296" s="25">
        <v>0</v>
      </c>
      <c r="AP1296" s="25">
        <f>Lookups!$B$56*0</f>
        <v>0</v>
      </c>
      <c r="AQ1296" s="25">
        <f>Lookups!$B$56*1</f>
        <v>89850.625589999996</v>
      </c>
      <c r="AR1296" s="25">
        <f>Lookups!$B$57*Inventory[[#This Row],[LnAcres]]</f>
        <v>-58009.662049032086</v>
      </c>
      <c r="AS1296" s="25">
        <f>VLOOKUP(Inventory[[#This Row],[Qlty]],Lookups!$A$62:$E$75,2,FALSE)</f>
        <v>21557.329055999999</v>
      </c>
      <c r="AT1296" s="25">
        <f>VLOOKUP(Inventory[[#This Row],[Cnd]],Lookups!$A$76:$E$84,2,FALSE)</f>
        <v>160472.20319</v>
      </c>
      <c r="AU1296" s="25">
        <f>Inventory[[#This Row],[EffAge]]*Lookups!$B$85</f>
        <v>-11598.371226000001</v>
      </c>
      <c r="AV1296" s="25">
        <f>Inventory[[#This Row],[MainFn]]*Lookups!$B$86</f>
        <v>58401.047794614002</v>
      </c>
      <c r="AW1296" s="25">
        <f>Inventory[[#This Row],[UpprFn]]*Lookups!$B$87</f>
        <v>0</v>
      </c>
      <c r="AX1296" s="25">
        <f>Inventory[[#This Row],[AddFn]]*Lookups!$B$88</f>
        <v>0</v>
      </c>
      <c r="AY1296" s="25">
        <f>Inventory[[#This Row],[Bsmt]]*Lookups!$B$89</f>
        <v>23788.990312046</v>
      </c>
      <c r="AZ1296" s="25">
        <f>Inventory[[#This Row],[Fixtures]]*Lookups!$B$90</f>
        <v>30336.176841600001</v>
      </c>
      <c r="BA1296" s="25">
        <f>Inventory[[#This Row],[WdDeck]]*Lookups!$B$91</f>
        <v>10288.314220284001</v>
      </c>
      <c r="BB1296" s="25">
        <f>ROUND(Inventory[[#This Row],[25Det]],-2)</f>
        <v>4300</v>
      </c>
      <c r="BC1296" s="25">
        <f>ROUND(SUM(Inventory[[#This Row],[Mdl Qlty]:[Mdl WdDeck]])+Inventory[[#This Row],[Mdl Res Intercept]],-2)</f>
        <v>293200</v>
      </c>
      <c r="BD1296" s="25">
        <f>ROUND(Inventory[[#This Row],[Mdl Land Intercept]]+Inventory[[#This Row],[Mdl LnAcres]],-2)</f>
        <v>31800</v>
      </c>
      <c r="BE1296" s="25">
        <f>Inventory[[#This Row],[Unadj Res Value]]+Inventory[[#This Row],[Unadj Det Value]]+Inventory[[#This Row],[Unadj Land Value]]</f>
        <v>329300</v>
      </c>
      <c r="BF1296" s="36">
        <f>(Inventory[[#This Row],[Unadj Total Value]]-Inventory[[#This Row],[24Final]])/Inventory[[#This Row],[24Final]]</f>
        <v>6.1231066709635837E-2</v>
      </c>
      <c r="BG1296" s="25">
        <f>VLOOKUP(Inventory[[#This Row],[Nbhd]],Lookups!$Q$2:$T$4,4,FALSE)</f>
        <v>0.99970000000000003</v>
      </c>
      <c r="BH1296" s="25">
        <f>VLOOKUP(Inventory[[#This Row],[Qlty]],Lookups!$O$7:$R$21,4,FALSE)</f>
        <v>1.0067999999999999</v>
      </c>
      <c r="BI1296" s="25">
        <f>VLOOKUP(Inventory[[#This Row],[Cnd]],Lookups!$T$7:$W$16,4,FALSE)</f>
        <v>0.99729999999999996</v>
      </c>
      <c r="BJ1296" s="25">
        <f>VLOOKUP(Inventory[[#This Row],[LivArea Range]],Lookups!$T$25:$W$37,4,FALSE)</f>
        <v>1.0093000000000001</v>
      </c>
      <c r="BK1296" s="25">
        <f>VLOOKUP(Inventory[[#This Row],[Decade]],Lookups!$O$25:$R$42,4,FALSE)</f>
        <v>0.98909999999999998</v>
      </c>
      <c r="BL1296" s="25">
        <f>Inventory[[#This Row],[Nbhd Adj]]*0.95</f>
        <v>0.94971499999999998</v>
      </c>
      <c r="BM1296" s="25">
        <f>Inventory[[#This Row],[Nbhd Adj]]*Inventory[[#This Row],[Quality Adj]]*Inventory[[#This Row],[Condition Adj]]*Inventory[[#This Row],[Living Area Adj]]*Inventory[[#This Row],[Decade Adj]]*0.95</f>
        <v>0.95196898294134369</v>
      </c>
      <c r="BN1296" s="25">
        <f>ROUND(SUM(Inventory[[#This Row],[Mdl Qlty]:[Mdl WdDeck]])+Inventory[[#This Row],[Mdl Res Intercept]]*Inventory[[#This Row],[Res Adj ]],-2)</f>
        <v>293200</v>
      </c>
      <c r="BO1296" s="25">
        <f>ROUND(Inventory[[#This Row],[25Det]]*Inventory[[#This Row],[Det/Nbhd Adj]],-2)</f>
        <v>4100</v>
      </c>
      <c r="BP1296" s="25">
        <f>Inventory[[#This Row],[Adjusted Res]]+Inventory[[#This Row],[Adj Det ]]</f>
        <v>297300</v>
      </c>
      <c r="BQ1296" s="25">
        <f>ROUND((Inventory[[#This Row],[Mdl Land Intercept]]+Inventory[[#This Row],[Mdl LnAcres]])*Inventory[[#This Row],[Det/Nbhd Adj]],-2)</f>
        <v>30200</v>
      </c>
      <c r="BR1296" s="25">
        <f>Inventory[[#This Row],[Adjusted Impr Total]]+Inventory[[#This Row],[Adjusted Land Total]]</f>
        <v>327500</v>
      </c>
      <c r="BS1296" s="36">
        <f>IFERROR((Inventory[[#This Row],[Adjusted Impr Total]]-Inventory[[#This Row],[24Bldg]])/Inventory[[#This Row],[24Bldg]],0)</f>
        <v>0.14478244127839815</v>
      </c>
      <c r="BT1296" s="36">
        <f>(Inventory[[#This Row],[Adjusted Land Total]]-Inventory[[#This Row],[24Lnd]])/Inventory[[#This Row],[24Lnd]]</f>
        <v>-0.40316205533596838</v>
      </c>
      <c r="BU1296" s="36">
        <f>(Inventory[[#This Row],[Adjusted Total]]-Inventory[[#This Row],[24Final]])/Inventory[[#This Row],[24Final]]</f>
        <v>5.5430228810828229E-2</v>
      </c>
    </row>
    <row r="1297" spans="1:73" x14ac:dyDescent="0.3">
      <c r="A1297" s="25">
        <v>2025</v>
      </c>
      <c r="B1297" s="26" t="s">
        <v>783</v>
      </c>
      <c r="C1297" s="26">
        <f>LN(Inventory[[#This Row],[Acres]])</f>
        <v>-1.7719568419318752</v>
      </c>
      <c r="D1297" s="25">
        <v>0.17</v>
      </c>
      <c r="E1297" s="32">
        <v>7300</v>
      </c>
      <c r="F1297" s="26" t="s">
        <v>537</v>
      </c>
      <c r="G1297" s="26" t="s">
        <v>126</v>
      </c>
      <c r="H1297" s="26" t="s">
        <v>349</v>
      </c>
      <c r="I1297" s="26" t="s">
        <v>538</v>
      </c>
      <c r="J1297" s="26" t="s">
        <v>539</v>
      </c>
      <c r="K1297" s="26" t="s">
        <v>242</v>
      </c>
      <c r="L1297" s="26" t="s">
        <v>205</v>
      </c>
      <c r="M1297" s="26" t="s">
        <v>323</v>
      </c>
      <c r="N1297" s="26">
        <v>90</v>
      </c>
      <c r="O1297" s="26">
        <f>2024-Inventory[[#This Row],[YrBlt]]</f>
        <v>84</v>
      </c>
      <c r="P1297" s="26">
        <f>2024-Inventory[[#This Row],[EffYr]]</f>
        <v>52</v>
      </c>
      <c r="Q1297" s="25">
        <v>1940</v>
      </c>
      <c r="R1297" s="25">
        <v>1972</v>
      </c>
      <c r="S1297" s="25">
        <v>1020</v>
      </c>
      <c r="T1297" s="27"/>
      <c r="U1297" s="25">
        <v>1020</v>
      </c>
      <c r="V1297" s="25">
        <f>Inventory[[#This Row],[Bsmt]]-Inventory[[#This Row],[FnBsmt]]</f>
        <v>920</v>
      </c>
      <c r="W1297" s="25">
        <v>100</v>
      </c>
      <c r="X1297" s="27"/>
      <c r="Y1297" s="27">
        <f>Inventory[[#This Row],[MainFn]]+Inventory[[#This Row],[UpprFn]]+Inventory[[#This Row],[FnBsmt]]+Inventory[[#This Row],[AddFn]]</f>
        <v>1120</v>
      </c>
      <c r="Z1297" s="27">
        <v>1500</v>
      </c>
      <c r="AA1297" s="25">
        <v>6</v>
      </c>
      <c r="AB1297" s="31"/>
      <c r="AC1297" s="27"/>
      <c r="AD1297" s="27"/>
      <c r="AE1297" s="27"/>
      <c r="AF1297" s="27"/>
      <c r="AG1297" s="27"/>
      <c r="AH1297" s="27"/>
      <c r="AI1297" s="25">
        <v>199995</v>
      </c>
      <c r="AJ1297" s="25">
        <v>135997</v>
      </c>
      <c r="AK1297" s="25">
        <v>6050</v>
      </c>
      <c r="AL1297" s="25">
        <v>274300</v>
      </c>
      <c r="AM1297" s="25">
        <v>52700</v>
      </c>
      <c r="AN1297" s="25">
        <v>221600</v>
      </c>
      <c r="AO1297" s="25">
        <v>0</v>
      </c>
      <c r="AP1297" s="25">
        <f>Lookups!$B$56*0</f>
        <v>0</v>
      </c>
      <c r="AQ1297" s="25">
        <f>Lookups!$B$56*1</f>
        <v>89850.625589999996</v>
      </c>
      <c r="AR1297" s="25">
        <f>Lookups!$B$57*Inventory[[#This Row],[LnAcres]]</f>
        <v>-56090.612940989391</v>
      </c>
      <c r="AS1297" s="25">
        <f>VLOOKUP(Inventory[[#This Row],[Qlty]],Lookups!$A$62:$E$75,2,FALSE)</f>
        <v>0</v>
      </c>
      <c r="AT1297" s="25">
        <f>VLOOKUP(Inventory[[#This Row],[Cnd]],Lookups!$A$76:$E$84,2,FALSE)</f>
        <v>160472.20319</v>
      </c>
      <c r="AU1297" s="25">
        <f>Inventory[[#This Row],[EffAge]]*Lookups!$B$85</f>
        <v>-11598.371226000001</v>
      </c>
      <c r="AV1297" s="25">
        <f>Inventory[[#This Row],[MainFn]]*Lookups!$B$86</f>
        <v>50396.843274539999</v>
      </c>
      <c r="AW1297" s="25">
        <f>Inventory[[#This Row],[UpprFn]]*Lookups!$B$87</f>
        <v>0</v>
      </c>
      <c r="AX1297" s="25">
        <f>Inventory[[#This Row],[AddFn]]*Lookups!$B$88</f>
        <v>0</v>
      </c>
      <c r="AY1297" s="25">
        <f>Inventory[[#This Row],[Bsmt]]*Lookups!$B$89</f>
        <v>29663.533151939999</v>
      </c>
      <c r="AZ1297" s="25">
        <f>Inventory[[#This Row],[Fixtures]]*Lookups!$B$90</f>
        <v>22752.132631200002</v>
      </c>
      <c r="BA1297" s="25">
        <f>Inventory[[#This Row],[WdDeck]]*Lookups!$B$91</f>
        <v>0</v>
      </c>
      <c r="BB1297" s="25">
        <f>ROUND(Inventory[[#This Row],[25Det]],-2)</f>
        <v>6100</v>
      </c>
      <c r="BC1297" s="25">
        <f>ROUND(SUM(Inventory[[#This Row],[Mdl Qlty]:[Mdl WdDeck]])+Inventory[[#This Row],[Mdl Res Intercept]],-2)</f>
        <v>251700</v>
      </c>
      <c r="BD1297" s="25">
        <f>ROUND(Inventory[[#This Row],[Mdl Land Intercept]]+Inventory[[#This Row],[Mdl LnAcres]],-2)</f>
        <v>33800</v>
      </c>
      <c r="BE1297" s="25">
        <f>Inventory[[#This Row],[Unadj Res Value]]+Inventory[[#This Row],[Unadj Det Value]]+Inventory[[#This Row],[Unadj Land Value]]</f>
        <v>291600</v>
      </c>
      <c r="BF1297" s="36">
        <f>(Inventory[[#This Row],[Unadj Total Value]]-Inventory[[#This Row],[24Final]])/Inventory[[#This Row],[24Final]]</f>
        <v>6.3069631790010933E-2</v>
      </c>
      <c r="BG1297" s="25">
        <f>VLOOKUP(Inventory[[#This Row],[Nbhd]],Lookups!$Q$2:$T$4,4,FALSE)</f>
        <v>0.99970000000000003</v>
      </c>
      <c r="BH1297" s="25">
        <f>VLOOKUP(Inventory[[#This Row],[Qlty]],Lookups!$O$7:$R$21,4,FALSE)</f>
        <v>0.99180000000000001</v>
      </c>
      <c r="BI1297" s="25">
        <f>VLOOKUP(Inventory[[#This Row],[Cnd]],Lookups!$T$7:$W$16,4,FALSE)</f>
        <v>0.99729999999999996</v>
      </c>
      <c r="BJ1297" s="25">
        <f>VLOOKUP(Inventory[[#This Row],[LivArea Range]],Lookups!$T$25:$W$37,4,FALSE)</f>
        <v>1.0157</v>
      </c>
      <c r="BK1297" s="25">
        <f>VLOOKUP(Inventory[[#This Row],[Decade]],Lookups!$O$25:$R$42,4,FALSE)</f>
        <v>0.98909999999999998</v>
      </c>
      <c r="BL1297" s="25">
        <f>Inventory[[#This Row],[Nbhd Adj]]*0.95</f>
        <v>0.94971499999999998</v>
      </c>
      <c r="BM1297" s="25">
        <f>Inventory[[#This Row],[Nbhd Adj]]*Inventory[[#This Row],[Quality Adj]]*Inventory[[#This Row],[Condition Adj]]*Inventory[[#This Row],[Living Area Adj]]*Inventory[[#This Row],[Decade Adj]]*0.95</f>
        <v>0.94373242022269987</v>
      </c>
      <c r="BN1297" s="25">
        <f>ROUND(SUM(Inventory[[#This Row],[Mdl Qlty]:[Mdl WdDeck]])+Inventory[[#This Row],[Mdl Res Intercept]]*Inventory[[#This Row],[Res Adj ]],-2)</f>
        <v>251700</v>
      </c>
      <c r="BO1297" s="25">
        <f>ROUND(Inventory[[#This Row],[25Det]]*Inventory[[#This Row],[Det/Nbhd Adj]],-2)</f>
        <v>5700</v>
      </c>
      <c r="BP1297" s="25">
        <f>Inventory[[#This Row],[Adjusted Res]]+Inventory[[#This Row],[Adj Det ]]</f>
        <v>257400</v>
      </c>
      <c r="BQ1297" s="25">
        <f>ROUND((Inventory[[#This Row],[Mdl Land Intercept]]+Inventory[[#This Row],[Mdl LnAcres]])*Inventory[[#This Row],[Det/Nbhd Adj]],-2)</f>
        <v>32100</v>
      </c>
      <c r="BR1297" s="25">
        <f>Inventory[[#This Row],[Adjusted Impr Total]]+Inventory[[#This Row],[Adjusted Land Total]]</f>
        <v>289500</v>
      </c>
      <c r="BS1297" s="36">
        <f>IFERROR((Inventory[[#This Row],[Adjusted Impr Total]]-Inventory[[#This Row],[24Bldg]])/Inventory[[#This Row],[24Bldg]],0)</f>
        <v>0.1615523465703971</v>
      </c>
      <c r="BT1297" s="36">
        <f>(Inventory[[#This Row],[Adjusted Land Total]]-Inventory[[#This Row],[24Lnd]])/Inventory[[#This Row],[24Lnd]]</f>
        <v>-0.39089184060721061</v>
      </c>
      <c r="BU1297" s="36">
        <f>(Inventory[[#This Row],[Adjusted Total]]-Inventory[[#This Row],[24Final]])/Inventory[[#This Row],[24Final]]</f>
        <v>5.5413780532263944E-2</v>
      </c>
    </row>
    <row r="1298" spans="1:73" x14ac:dyDescent="0.3">
      <c r="A1298" s="25">
        <v>2025</v>
      </c>
      <c r="B1298" s="26" t="s">
        <v>2784</v>
      </c>
      <c r="C1298" s="26">
        <f>LN(Inventory[[#This Row],[Acres]])</f>
        <v>-1.8325814637483102</v>
      </c>
      <c r="D1298" s="25">
        <v>0.16</v>
      </c>
      <c r="E1298" s="32">
        <v>6754</v>
      </c>
      <c r="F1298" s="26" t="s">
        <v>537</v>
      </c>
      <c r="G1298" s="26" t="s">
        <v>126</v>
      </c>
      <c r="H1298" s="26" t="s">
        <v>349</v>
      </c>
      <c r="I1298" s="26" t="s">
        <v>538</v>
      </c>
      <c r="J1298" s="26" t="s">
        <v>539</v>
      </c>
      <c r="K1298" s="26" t="s">
        <v>242</v>
      </c>
      <c r="L1298" s="26" t="s">
        <v>351</v>
      </c>
      <c r="M1298" s="26" t="s">
        <v>323</v>
      </c>
      <c r="N1298" s="26">
        <v>90</v>
      </c>
      <c r="O1298" s="26">
        <f>2024-Inventory[[#This Row],[YrBlt]]</f>
        <v>84</v>
      </c>
      <c r="P1298" s="26">
        <f>2024-Inventory[[#This Row],[EffYr]]</f>
        <v>52</v>
      </c>
      <c r="Q1298" s="25">
        <v>1940</v>
      </c>
      <c r="R1298" s="25">
        <v>1972</v>
      </c>
      <c r="S1298" s="25">
        <v>848</v>
      </c>
      <c r="T1298" s="27"/>
      <c r="U1298" s="25">
        <v>432</v>
      </c>
      <c r="V1298" s="25">
        <f>Inventory[[#This Row],[Bsmt]]-Inventory[[#This Row],[FnBsmt]]</f>
        <v>432</v>
      </c>
      <c r="W1298" s="31"/>
      <c r="X1298" s="27"/>
      <c r="Y1298" s="27">
        <f>Inventory[[#This Row],[MainFn]]+Inventory[[#This Row],[UpprFn]]+Inventory[[#This Row],[FnBsmt]]+Inventory[[#This Row],[AddFn]]</f>
        <v>848</v>
      </c>
      <c r="Z1298" s="27">
        <v>1000</v>
      </c>
      <c r="AA1298" s="25">
        <v>6</v>
      </c>
      <c r="AB1298" s="27"/>
      <c r="AC1298" s="27"/>
      <c r="AD1298" s="27"/>
      <c r="AE1298" s="27"/>
      <c r="AF1298" s="27"/>
      <c r="AG1298" s="27"/>
      <c r="AH1298" s="27"/>
      <c r="AI1298" s="25">
        <v>171553</v>
      </c>
      <c r="AJ1298" s="25">
        <v>116656</v>
      </c>
      <c r="AK1298" s="25">
        <v>4877</v>
      </c>
      <c r="AL1298" s="25">
        <v>267600</v>
      </c>
      <c r="AM1298" s="25">
        <v>50600</v>
      </c>
      <c r="AN1298" s="25">
        <v>217000</v>
      </c>
      <c r="AO1298" s="25">
        <v>0</v>
      </c>
      <c r="AP1298" s="25">
        <f>Lookups!$B$56*0</f>
        <v>0</v>
      </c>
      <c r="AQ1298" s="25">
        <f>Lookups!$B$56*1</f>
        <v>89850.625589999996</v>
      </c>
      <c r="AR1298" s="25">
        <f>Lookups!$B$57*Inventory[[#This Row],[LnAcres]]</f>
        <v>-58009.662049032086</v>
      </c>
      <c r="AS1298" s="25">
        <f>VLOOKUP(Inventory[[#This Row],[Qlty]],Lookups!$A$62:$E$75,2,FALSE)</f>
        <v>21557.329055999999</v>
      </c>
      <c r="AT1298" s="25">
        <f>VLOOKUP(Inventory[[#This Row],[Cnd]],Lookups!$A$76:$E$84,2,FALSE)</f>
        <v>160472.20319</v>
      </c>
      <c r="AU1298" s="25">
        <f>Inventory[[#This Row],[EffAge]]*Lookups!$B$85</f>
        <v>-11598.371226000001</v>
      </c>
      <c r="AV1298" s="25">
        <f>Inventory[[#This Row],[MainFn]]*Lookups!$B$86</f>
        <v>41898.552055696004</v>
      </c>
      <c r="AW1298" s="25">
        <f>Inventory[[#This Row],[UpprFn]]*Lookups!$B$87</f>
        <v>0</v>
      </c>
      <c r="AX1298" s="25">
        <f>Inventory[[#This Row],[AddFn]]*Lookups!$B$88</f>
        <v>0</v>
      </c>
      <c r="AY1298" s="25">
        <f>Inventory[[#This Row],[Bsmt]]*Lookups!$B$89</f>
        <v>12563.378746704</v>
      </c>
      <c r="AZ1298" s="25">
        <f>Inventory[[#This Row],[Fixtures]]*Lookups!$B$90</f>
        <v>22752.132631200002</v>
      </c>
      <c r="BA1298" s="25">
        <f>Inventory[[#This Row],[WdDeck]]*Lookups!$B$91</f>
        <v>0</v>
      </c>
      <c r="BB1298" s="25">
        <f>ROUND(Inventory[[#This Row],[25Det]],-2)</f>
        <v>4900</v>
      </c>
      <c r="BC1298" s="25">
        <f>ROUND(SUM(Inventory[[#This Row],[Mdl Qlty]:[Mdl WdDeck]])+Inventory[[#This Row],[Mdl Res Intercept]],-2)</f>
        <v>247600</v>
      </c>
      <c r="BD1298" s="25">
        <f>ROUND(Inventory[[#This Row],[Mdl Land Intercept]]+Inventory[[#This Row],[Mdl LnAcres]],-2)</f>
        <v>31800</v>
      </c>
      <c r="BE1298" s="25">
        <f>Inventory[[#This Row],[Unadj Res Value]]+Inventory[[#This Row],[Unadj Det Value]]+Inventory[[#This Row],[Unadj Land Value]]</f>
        <v>284300</v>
      </c>
      <c r="BF1298" s="36">
        <f>(Inventory[[#This Row],[Unadj Total Value]]-Inventory[[#This Row],[24Final]])/Inventory[[#This Row],[24Final]]</f>
        <v>6.2406576980568014E-2</v>
      </c>
      <c r="BG1298" s="25">
        <f>VLOOKUP(Inventory[[#This Row],[Nbhd]],Lookups!$Q$2:$T$4,4,FALSE)</f>
        <v>0.99970000000000003</v>
      </c>
      <c r="BH1298" s="25">
        <f>VLOOKUP(Inventory[[#This Row],[Qlty]],Lookups!$O$7:$R$21,4,FALSE)</f>
        <v>1.0067999999999999</v>
      </c>
      <c r="BI1298" s="25">
        <f>VLOOKUP(Inventory[[#This Row],[Cnd]],Lookups!$T$7:$W$16,4,FALSE)</f>
        <v>0.99729999999999996</v>
      </c>
      <c r="BJ1298" s="25">
        <f>VLOOKUP(Inventory[[#This Row],[LivArea Range]],Lookups!$T$25:$W$37,4,FALSE)</f>
        <v>1.0148999999999999</v>
      </c>
      <c r="BK1298" s="25">
        <f>VLOOKUP(Inventory[[#This Row],[Decade]],Lookups!$O$25:$R$42,4,FALSE)</f>
        <v>0.98909999999999998</v>
      </c>
      <c r="BL1298" s="25">
        <f>Inventory[[#This Row],[Nbhd Adj]]*0.95</f>
        <v>0.94971499999999998</v>
      </c>
      <c r="BM1298" s="25">
        <f>Inventory[[#This Row],[Nbhd Adj]]*Inventory[[#This Row],[Quality Adj]]*Inventory[[#This Row],[Condition Adj]]*Inventory[[#This Row],[Living Area Adj]]*Inventory[[#This Row],[Decade Adj]]*0.95</f>
        <v>0.95725088753311172</v>
      </c>
      <c r="BN1298" s="25">
        <f>ROUND(SUM(Inventory[[#This Row],[Mdl Qlty]:[Mdl WdDeck]])+Inventory[[#This Row],[Mdl Res Intercept]]*Inventory[[#This Row],[Res Adj ]],-2)</f>
        <v>247600</v>
      </c>
      <c r="BO1298" s="25">
        <f>ROUND(Inventory[[#This Row],[25Det]]*Inventory[[#This Row],[Det/Nbhd Adj]],-2)</f>
        <v>4600</v>
      </c>
      <c r="BP1298" s="25">
        <f>Inventory[[#This Row],[Adjusted Res]]+Inventory[[#This Row],[Adj Det ]]</f>
        <v>252200</v>
      </c>
      <c r="BQ1298" s="25">
        <f>ROUND((Inventory[[#This Row],[Mdl Land Intercept]]+Inventory[[#This Row],[Mdl LnAcres]])*Inventory[[#This Row],[Det/Nbhd Adj]],-2)</f>
        <v>30200</v>
      </c>
      <c r="BR1298" s="25">
        <f>Inventory[[#This Row],[Adjusted Impr Total]]+Inventory[[#This Row],[Adjusted Land Total]]</f>
        <v>282400</v>
      </c>
      <c r="BS1298" s="36">
        <f>IFERROR((Inventory[[#This Row],[Adjusted Impr Total]]-Inventory[[#This Row],[24Bldg]])/Inventory[[#This Row],[24Bldg]],0)</f>
        <v>0.16221198156682029</v>
      </c>
      <c r="BT1298" s="36">
        <f>(Inventory[[#This Row],[Adjusted Land Total]]-Inventory[[#This Row],[24Lnd]])/Inventory[[#This Row],[24Lnd]]</f>
        <v>-0.40316205533596838</v>
      </c>
      <c r="BU1298" s="36">
        <f>(Inventory[[#This Row],[Adjusted Total]]-Inventory[[#This Row],[24Final]])/Inventory[[#This Row],[24Final]]</f>
        <v>5.5306427503736919E-2</v>
      </c>
    </row>
    <row r="1299" spans="1:73" x14ac:dyDescent="0.3">
      <c r="A1299" s="25">
        <v>2025</v>
      </c>
      <c r="B1299" s="26" t="s">
        <v>2664</v>
      </c>
      <c r="C1299" s="26">
        <f>LN(Inventory[[#This Row],[Acres]])</f>
        <v>-1.7719568419318752</v>
      </c>
      <c r="D1299" s="25">
        <v>0.17</v>
      </c>
      <c r="E1299" s="31"/>
      <c r="F1299" s="26" t="s">
        <v>537</v>
      </c>
      <c r="G1299" s="26" t="s">
        <v>126</v>
      </c>
      <c r="H1299" s="26" t="s">
        <v>349</v>
      </c>
      <c r="I1299" s="26" t="s">
        <v>538</v>
      </c>
      <c r="J1299" s="26" t="s">
        <v>539</v>
      </c>
      <c r="K1299" s="26" t="s">
        <v>242</v>
      </c>
      <c r="L1299" s="26" t="s">
        <v>351</v>
      </c>
      <c r="M1299" s="26" t="s">
        <v>303</v>
      </c>
      <c r="N1299" s="26">
        <v>90</v>
      </c>
      <c r="O1299" s="26">
        <f>2024-Inventory[[#This Row],[YrBlt]]</f>
        <v>84</v>
      </c>
      <c r="P1299" s="26">
        <f>2024-Inventory[[#This Row],[EffYr]]</f>
        <v>52</v>
      </c>
      <c r="Q1299" s="25">
        <v>1940</v>
      </c>
      <c r="R1299" s="25">
        <v>1972</v>
      </c>
      <c r="S1299" s="25">
        <v>1139</v>
      </c>
      <c r="T1299" s="31"/>
      <c r="U1299" s="25">
        <v>1139</v>
      </c>
      <c r="V1299" s="25">
        <f>Inventory[[#This Row],[Bsmt]]-Inventory[[#This Row],[FnBsmt]]</f>
        <v>0</v>
      </c>
      <c r="W1299" s="25">
        <v>1139</v>
      </c>
      <c r="X1299" s="27"/>
      <c r="Y1299" s="27">
        <f>Inventory[[#This Row],[MainFn]]+Inventory[[#This Row],[UpprFn]]+Inventory[[#This Row],[FnBsmt]]+Inventory[[#This Row],[AddFn]]</f>
        <v>2278</v>
      </c>
      <c r="Z1299" s="27">
        <v>2500</v>
      </c>
      <c r="AA1299" s="25">
        <v>8</v>
      </c>
      <c r="AB1299" s="27"/>
      <c r="AC1299" s="27"/>
      <c r="AD1299" s="27"/>
      <c r="AE1299" s="27"/>
      <c r="AF1299" s="27"/>
      <c r="AG1299" s="27"/>
      <c r="AH1299" s="27"/>
      <c r="AI1299" s="25">
        <v>285242</v>
      </c>
      <c r="AJ1299" s="25">
        <v>199669</v>
      </c>
      <c r="AK1299" s="25">
        <v>10297</v>
      </c>
      <c r="AL1299" s="25">
        <v>350000</v>
      </c>
      <c r="AM1299" s="25">
        <v>52700</v>
      </c>
      <c r="AN1299" s="25">
        <v>297300</v>
      </c>
      <c r="AO1299" s="25">
        <v>0</v>
      </c>
      <c r="AP1299" s="25">
        <f>Lookups!$B$56*0</f>
        <v>0</v>
      </c>
      <c r="AQ1299" s="25">
        <f>Lookups!$B$56*1</f>
        <v>89850.625589999996</v>
      </c>
      <c r="AR1299" s="25">
        <f>Lookups!$B$57*Inventory[[#This Row],[LnAcres]]</f>
        <v>-56090.612940989391</v>
      </c>
      <c r="AS1299" s="25">
        <f>VLOOKUP(Inventory[[#This Row],[Qlty]],Lookups!$A$62:$E$75,2,FALSE)</f>
        <v>21557.329055999999</v>
      </c>
      <c r="AT1299" s="25">
        <f>VLOOKUP(Inventory[[#This Row],[Cnd]],Lookups!$A$76:$E$84,2,FALSE)</f>
        <v>197752.34721000001</v>
      </c>
      <c r="AU1299" s="25">
        <f>Inventory[[#This Row],[EffAge]]*Lookups!$B$85</f>
        <v>-11598.371226000001</v>
      </c>
      <c r="AV1299" s="25">
        <f>Inventory[[#This Row],[MainFn]]*Lookups!$B$86</f>
        <v>56276.474989902999</v>
      </c>
      <c r="AW1299" s="25">
        <f>Inventory[[#This Row],[UpprFn]]*Lookups!$B$87</f>
        <v>0</v>
      </c>
      <c r="AX1299" s="25">
        <f>Inventory[[#This Row],[AddFn]]*Lookups!$B$88</f>
        <v>0</v>
      </c>
      <c r="AY1299" s="25">
        <f>Inventory[[#This Row],[Bsmt]]*Lookups!$B$89</f>
        <v>33124.278686332997</v>
      </c>
      <c r="AZ1299" s="25">
        <f>Inventory[[#This Row],[Fixtures]]*Lookups!$B$90</f>
        <v>30336.176841600001</v>
      </c>
      <c r="BA1299" s="25">
        <f>Inventory[[#This Row],[WdDeck]]*Lookups!$B$91</f>
        <v>0</v>
      </c>
      <c r="BB1299" s="25">
        <f>ROUND(Inventory[[#This Row],[25Det]],-2)</f>
        <v>10300</v>
      </c>
      <c r="BC1299" s="25">
        <f>ROUND(SUM(Inventory[[#This Row],[Mdl Qlty]:[Mdl WdDeck]])+Inventory[[#This Row],[Mdl Res Intercept]],-2)</f>
        <v>327400</v>
      </c>
      <c r="BD1299" s="25">
        <f>ROUND(Inventory[[#This Row],[Mdl Land Intercept]]+Inventory[[#This Row],[Mdl LnAcres]],-2)</f>
        <v>33800</v>
      </c>
      <c r="BE1299" s="25">
        <f>Inventory[[#This Row],[Unadj Res Value]]+Inventory[[#This Row],[Unadj Det Value]]+Inventory[[#This Row],[Unadj Land Value]]</f>
        <v>371500</v>
      </c>
      <c r="BF1299" s="36">
        <f>(Inventory[[#This Row],[Unadj Total Value]]-Inventory[[#This Row],[24Final]])/Inventory[[#This Row],[24Final]]</f>
        <v>6.142857142857143E-2</v>
      </c>
      <c r="BG1299" s="25">
        <f>VLOOKUP(Inventory[[#This Row],[Nbhd]],Lookups!$Q$2:$T$4,4,FALSE)</f>
        <v>0.99970000000000003</v>
      </c>
      <c r="BH1299" s="25">
        <f>VLOOKUP(Inventory[[#This Row],[Qlty]],Lookups!$O$7:$R$21,4,FALSE)</f>
        <v>1.0067999999999999</v>
      </c>
      <c r="BI1299" s="25">
        <f>VLOOKUP(Inventory[[#This Row],[Cnd]],Lookups!$T$7:$W$16,4,FALSE)</f>
        <v>0.99650000000000005</v>
      </c>
      <c r="BJ1299" s="25">
        <f>VLOOKUP(Inventory[[#This Row],[LivArea Range]],Lookups!$T$25:$W$37,4,FALSE)</f>
        <v>0.98919999999999997</v>
      </c>
      <c r="BK1299" s="25">
        <f>VLOOKUP(Inventory[[#This Row],[Decade]],Lookups!$O$25:$R$42,4,FALSE)</f>
        <v>0.98909999999999998</v>
      </c>
      <c r="BL1299" s="25">
        <f>Inventory[[#This Row],[Nbhd Adj]]*0.95</f>
        <v>0.94971499999999998</v>
      </c>
      <c r="BM1299" s="25">
        <f>Inventory[[#This Row],[Nbhd Adj]]*Inventory[[#This Row],[Quality Adj]]*Inventory[[#This Row],[Condition Adj]]*Inventory[[#This Row],[Living Area Adj]]*Inventory[[#This Row],[Decade Adj]]*0.95</f>
        <v>0.9322622889120924</v>
      </c>
      <c r="BN1299" s="25">
        <f>ROUND(SUM(Inventory[[#This Row],[Mdl Qlty]:[Mdl WdDeck]])+Inventory[[#This Row],[Mdl Res Intercept]]*Inventory[[#This Row],[Res Adj ]],-2)</f>
        <v>327400</v>
      </c>
      <c r="BO1299" s="25">
        <f>ROUND(Inventory[[#This Row],[25Det]]*Inventory[[#This Row],[Det/Nbhd Adj]],-2)</f>
        <v>9800</v>
      </c>
      <c r="BP1299" s="25">
        <f>Inventory[[#This Row],[Adjusted Res]]+Inventory[[#This Row],[Adj Det ]]</f>
        <v>337200</v>
      </c>
      <c r="BQ1299" s="25">
        <f>ROUND((Inventory[[#This Row],[Mdl Land Intercept]]+Inventory[[#This Row],[Mdl LnAcres]])*Inventory[[#This Row],[Det/Nbhd Adj]],-2)</f>
        <v>32100</v>
      </c>
      <c r="BR1299" s="25">
        <f>Inventory[[#This Row],[Adjusted Impr Total]]+Inventory[[#This Row],[Adjusted Land Total]]</f>
        <v>369300</v>
      </c>
      <c r="BS1299" s="36">
        <f>IFERROR((Inventory[[#This Row],[Adjusted Impr Total]]-Inventory[[#This Row],[24Bldg]])/Inventory[[#This Row],[24Bldg]],0)</f>
        <v>0.13420787083753785</v>
      </c>
      <c r="BT1299" s="36">
        <f>(Inventory[[#This Row],[Adjusted Land Total]]-Inventory[[#This Row],[24Lnd]])/Inventory[[#This Row],[24Lnd]]</f>
        <v>-0.39089184060721061</v>
      </c>
      <c r="BU1299" s="36">
        <f>(Inventory[[#This Row],[Adjusted Total]]-Inventory[[#This Row],[24Final]])/Inventory[[#This Row],[24Final]]</f>
        <v>5.5142857142857146E-2</v>
      </c>
    </row>
    <row r="1300" spans="1:73" x14ac:dyDescent="0.3">
      <c r="A1300" s="25">
        <v>2025</v>
      </c>
      <c r="B1300" s="26" t="s">
        <v>1947</v>
      </c>
      <c r="C1300" s="26">
        <f>LN(Inventory[[#This Row],[Acres]])</f>
        <v>-1.8971199848858813</v>
      </c>
      <c r="D1300" s="25">
        <v>0.15</v>
      </c>
      <c r="E1300" s="31"/>
      <c r="F1300" s="26" t="s">
        <v>537</v>
      </c>
      <c r="G1300" s="26" t="s">
        <v>126</v>
      </c>
      <c r="H1300" s="26" t="s">
        <v>349</v>
      </c>
      <c r="I1300" s="26" t="s">
        <v>538</v>
      </c>
      <c r="J1300" s="26" t="s">
        <v>539</v>
      </c>
      <c r="K1300" s="26" t="s">
        <v>269</v>
      </c>
      <c r="L1300" s="26" t="s">
        <v>351</v>
      </c>
      <c r="M1300" s="26" t="s">
        <v>303</v>
      </c>
      <c r="N1300" s="26">
        <v>90</v>
      </c>
      <c r="O1300" s="26">
        <f>2024-Inventory[[#This Row],[YrBlt]]</f>
        <v>84</v>
      </c>
      <c r="P1300" s="26">
        <f>2024-Inventory[[#This Row],[EffYr]]</f>
        <v>52</v>
      </c>
      <c r="Q1300" s="25">
        <v>1940</v>
      </c>
      <c r="R1300" s="25">
        <v>1972</v>
      </c>
      <c r="S1300" s="25">
        <v>1113</v>
      </c>
      <c r="T1300" s="25">
        <v>364</v>
      </c>
      <c r="U1300" s="25">
        <v>1041</v>
      </c>
      <c r="V1300" s="25">
        <f>Inventory[[#This Row],[Bsmt]]-Inventory[[#This Row],[FnBsmt]]</f>
        <v>0</v>
      </c>
      <c r="W1300" s="25">
        <v>1041</v>
      </c>
      <c r="X1300" s="27"/>
      <c r="Y1300" s="27">
        <f>Inventory[[#This Row],[MainFn]]+Inventory[[#This Row],[UpprFn]]+Inventory[[#This Row],[FnBsmt]]+Inventory[[#This Row],[AddFn]]</f>
        <v>2518</v>
      </c>
      <c r="Z1300" s="27">
        <v>3000</v>
      </c>
      <c r="AA1300" s="25">
        <v>8</v>
      </c>
      <c r="AB1300" s="27"/>
      <c r="AC1300" s="27"/>
      <c r="AD1300" s="27"/>
      <c r="AE1300" s="27"/>
      <c r="AF1300" s="27"/>
      <c r="AG1300" s="27"/>
      <c r="AH1300" s="27"/>
      <c r="AI1300" s="25">
        <v>308480</v>
      </c>
      <c r="AJ1300" s="25">
        <v>215936</v>
      </c>
      <c r="AK1300" s="25">
        <v>9040</v>
      </c>
      <c r="AL1300" s="25">
        <v>356900</v>
      </c>
      <c r="AM1300" s="25">
        <v>48400</v>
      </c>
      <c r="AN1300" s="25">
        <v>308500</v>
      </c>
      <c r="AO1300" s="25">
        <v>0</v>
      </c>
      <c r="AP1300" s="25">
        <f>Lookups!$B$56*0</f>
        <v>0</v>
      </c>
      <c r="AQ1300" s="25">
        <f>Lookups!$B$56*1</f>
        <v>89850.625589999996</v>
      </c>
      <c r="AR1300" s="25">
        <f>Lookups!$B$57*Inventory[[#This Row],[LnAcres]]</f>
        <v>-60052.604136134301</v>
      </c>
      <c r="AS1300" s="25">
        <f>VLOOKUP(Inventory[[#This Row],[Qlty]],Lookups!$A$62:$E$75,2,FALSE)</f>
        <v>21557.329055999999</v>
      </c>
      <c r="AT1300" s="25">
        <f>VLOOKUP(Inventory[[#This Row],[Cnd]],Lookups!$A$76:$E$84,2,FALSE)</f>
        <v>197752.34721000001</v>
      </c>
      <c r="AU1300" s="25">
        <f>Inventory[[#This Row],[EffAge]]*Lookups!$B$85</f>
        <v>-11598.371226000001</v>
      </c>
      <c r="AV1300" s="25">
        <f>Inventory[[#This Row],[MainFn]]*Lookups!$B$86</f>
        <v>54991.849573101004</v>
      </c>
      <c r="AW1300" s="25">
        <f>Inventory[[#This Row],[UpprFn]]*Lookups!$B$87</f>
        <v>16302.257921404</v>
      </c>
      <c r="AX1300" s="25">
        <f>Inventory[[#This Row],[AddFn]]*Lookups!$B$88</f>
        <v>0</v>
      </c>
      <c r="AY1300" s="25">
        <f>Inventory[[#This Row],[Bsmt]]*Lookups!$B$89</f>
        <v>30274.252952126997</v>
      </c>
      <c r="AZ1300" s="25">
        <f>Inventory[[#This Row],[Fixtures]]*Lookups!$B$90</f>
        <v>30336.176841600001</v>
      </c>
      <c r="BA1300" s="25">
        <f>Inventory[[#This Row],[WdDeck]]*Lookups!$B$91</f>
        <v>0</v>
      </c>
      <c r="BB1300" s="25">
        <f>ROUND(Inventory[[#This Row],[25Det]],-2)</f>
        <v>9000</v>
      </c>
      <c r="BC1300" s="25">
        <f>ROUND(SUM(Inventory[[#This Row],[Mdl Qlty]:[Mdl WdDeck]])+Inventory[[#This Row],[Mdl Res Intercept]],-2)</f>
        <v>339600</v>
      </c>
      <c r="BD1300" s="25">
        <f>ROUND(Inventory[[#This Row],[Mdl Land Intercept]]+Inventory[[#This Row],[Mdl LnAcres]],-2)</f>
        <v>29800</v>
      </c>
      <c r="BE1300" s="25">
        <f>Inventory[[#This Row],[Unadj Res Value]]+Inventory[[#This Row],[Unadj Det Value]]+Inventory[[#This Row],[Unadj Land Value]]</f>
        <v>378400</v>
      </c>
      <c r="BF1300" s="36">
        <f>(Inventory[[#This Row],[Unadj Total Value]]-Inventory[[#This Row],[24Final]])/Inventory[[#This Row],[24Final]]</f>
        <v>6.0240963855421686E-2</v>
      </c>
      <c r="BG1300" s="25">
        <f>VLOOKUP(Inventory[[#This Row],[Nbhd]],Lookups!$Q$2:$T$4,4,FALSE)</f>
        <v>0.99970000000000003</v>
      </c>
      <c r="BH1300" s="25">
        <f>VLOOKUP(Inventory[[#This Row],[Qlty]],Lookups!$O$7:$R$21,4,FALSE)</f>
        <v>1.0067999999999999</v>
      </c>
      <c r="BI1300" s="25">
        <f>VLOOKUP(Inventory[[#This Row],[Cnd]],Lookups!$T$7:$W$16,4,FALSE)</f>
        <v>0.99650000000000005</v>
      </c>
      <c r="BJ1300" s="25">
        <f>VLOOKUP(Inventory[[#This Row],[LivArea Range]],Lookups!$T$25:$W$37,4,FALSE)</f>
        <v>0.96179999999999999</v>
      </c>
      <c r="BK1300" s="25">
        <f>VLOOKUP(Inventory[[#This Row],[Decade]],Lookups!$O$25:$R$42,4,FALSE)</f>
        <v>0.98909999999999998</v>
      </c>
      <c r="BL1300" s="25">
        <f>Inventory[[#This Row],[Nbhd Adj]]*0.95</f>
        <v>0.94971499999999998</v>
      </c>
      <c r="BM1300" s="25">
        <f>Inventory[[#This Row],[Nbhd Adj]]*Inventory[[#This Row],[Quality Adj]]*Inventory[[#This Row],[Condition Adj]]*Inventory[[#This Row],[Living Area Adj]]*Inventory[[#This Row],[Decade Adj]]*0.95</f>
        <v>0.90643941515937176</v>
      </c>
      <c r="BN1300" s="25">
        <f>ROUND(SUM(Inventory[[#This Row],[Mdl Qlty]:[Mdl WdDeck]])+Inventory[[#This Row],[Mdl Res Intercept]]*Inventory[[#This Row],[Res Adj ]],-2)</f>
        <v>339600</v>
      </c>
      <c r="BO1300" s="25">
        <f>ROUND(Inventory[[#This Row],[25Det]]*Inventory[[#This Row],[Det/Nbhd Adj]],-2)</f>
        <v>8600</v>
      </c>
      <c r="BP1300" s="25">
        <f>Inventory[[#This Row],[Adjusted Res]]+Inventory[[#This Row],[Adj Det ]]</f>
        <v>348200</v>
      </c>
      <c r="BQ1300" s="25">
        <f>ROUND((Inventory[[#This Row],[Mdl Land Intercept]]+Inventory[[#This Row],[Mdl LnAcres]])*Inventory[[#This Row],[Det/Nbhd Adj]],-2)</f>
        <v>28300</v>
      </c>
      <c r="BR1300" s="25">
        <f>Inventory[[#This Row],[Adjusted Impr Total]]+Inventory[[#This Row],[Adjusted Land Total]]</f>
        <v>376500</v>
      </c>
      <c r="BS1300" s="36">
        <f>IFERROR((Inventory[[#This Row],[Adjusted Impr Total]]-Inventory[[#This Row],[24Bldg]])/Inventory[[#This Row],[24Bldg]],0)</f>
        <v>0.12868719611021071</v>
      </c>
      <c r="BT1300" s="36">
        <f>(Inventory[[#This Row],[Adjusted Land Total]]-Inventory[[#This Row],[24Lnd]])/Inventory[[#This Row],[24Lnd]]</f>
        <v>-0.41528925619834711</v>
      </c>
      <c r="BU1300" s="36">
        <f>(Inventory[[#This Row],[Adjusted Total]]-Inventory[[#This Row],[24Final]])/Inventory[[#This Row],[24Final]]</f>
        <v>5.4917343793779771E-2</v>
      </c>
    </row>
    <row r="1301" spans="1:73" x14ac:dyDescent="0.3">
      <c r="A1301" s="25">
        <v>2025</v>
      </c>
      <c r="B1301" s="26" t="s">
        <v>2212</v>
      </c>
      <c r="C1301" s="26">
        <f>LN(Inventory[[#This Row],[Acres]])</f>
        <v>-1.8325814637483102</v>
      </c>
      <c r="D1301" s="25">
        <v>0.16</v>
      </c>
      <c r="E1301" s="25">
        <v>7000</v>
      </c>
      <c r="F1301" s="26" t="s">
        <v>537</v>
      </c>
      <c r="G1301" s="26" t="s">
        <v>126</v>
      </c>
      <c r="H1301" s="26" t="s">
        <v>349</v>
      </c>
      <c r="I1301" s="26" t="s">
        <v>538</v>
      </c>
      <c r="J1301" s="26" t="s">
        <v>539</v>
      </c>
      <c r="K1301" s="26" t="s">
        <v>269</v>
      </c>
      <c r="L1301" s="26" t="s">
        <v>351</v>
      </c>
      <c r="M1301" s="26" t="s">
        <v>303</v>
      </c>
      <c r="N1301" s="26">
        <v>90</v>
      </c>
      <c r="O1301" s="26">
        <f>2024-Inventory[[#This Row],[YrBlt]]</f>
        <v>84</v>
      </c>
      <c r="P1301" s="26">
        <f>2024-Inventory[[#This Row],[EffYr]]</f>
        <v>52</v>
      </c>
      <c r="Q1301" s="25">
        <v>1940</v>
      </c>
      <c r="R1301" s="25">
        <v>1972</v>
      </c>
      <c r="S1301" s="25">
        <v>1196</v>
      </c>
      <c r="T1301" s="27"/>
      <c r="U1301" s="25">
        <v>780</v>
      </c>
      <c r="V1301" s="25">
        <f>Inventory[[#This Row],[Bsmt]]-Inventory[[#This Row],[FnBsmt]]</f>
        <v>0</v>
      </c>
      <c r="W1301" s="25">
        <v>780</v>
      </c>
      <c r="X1301" s="27"/>
      <c r="Y1301" s="27">
        <f>Inventory[[#This Row],[MainFn]]+Inventory[[#This Row],[UpprFn]]+Inventory[[#This Row],[FnBsmt]]+Inventory[[#This Row],[AddFn]]</f>
        <v>1976</v>
      </c>
      <c r="Z1301" s="27">
        <v>2000</v>
      </c>
      <c r="AA1301" s="25">
        <v>5</v>
      </c>
      <c r="AB1301" s="27"/>
      <c r="AC1301" s="27"/>
      <c r="AD1301" s="27"/>
      <c r="AE1301" s="27"/>
      <c r="AF1301" s="27"/>
      <c r="AG1301" s="27"/>
      <c r="AH1301" s="27"/>
      <c r="AI1301" s="25">
        <v>273877</v>
      </c>
      <c r="AJ1301" s="25">
        <v>191714</v>
      </c>
      <c r="AK1301" s="25">
        <v>4877</v>
      </c>
      <c r="AL1301" s="25">
        <v>325400</v>
      </c>
      <c r="AM1301" s="25">
        <v>50600</v>
      </c>
      <c r="AN1301" s="25">
        <v>274800</v>
      </c>
      <c r="AO1301" s="25">
        <v>0</v>
      </c>
      <c r="AP1301" s="25">
        <f>Lookups!$B$56*0</f>
        <v>0</v>
      </c>
      <c r="AQ1301" s="25">
        <f>Lookups!$B$56*1</f>
        <v>89850.625589999996</v>
      </c>
      <c r="AR1301" s="25">
        <f>Lookups!$B$57*Inventory[[#This Row],[LnAcres]]</f>
        <v>-58009.662049032086</v>
      </c>
      <c r="AS1301" s="25">
        <f>VLOOKUP(Inventory[[#This Row],[Qlty]],Lookups!$A$62:$E$75,2,FALSE)</f>
        <v>21557.329055999999</v>
      </c>
      <c r="AT1301" s="25">
        <f>VLOOKUP(Inventory[[#This Row],[Cnd]],Lookups!$A$76:$E$84,2,FALSE)</f>
        <v>197752.34721000001</v>
      </c>
      <c r="AU1301" s="25">
        <f>Inventory[[#This Row],[EffAge]]*Lookups!$B$85</f>
        <v>-11598.371226000001</v>
      </c>
      <c r="AV1301" s="25">
        <f>Inventory[[#This Row],[MainFn]]*Lookups!$B$86</f>
        <v>59092.769172892004</v>
      </c>
      <c r="AW1301" s="25">
        <f>Inventory[[#This Row],[UpprFn]]*Lookups!$B$87</f>
        <v>0</v>
      </c>
      <c r="AX1301" s="25">
        <f>Inventory[[#This Row],[AddFn]]*Lookups!$B$88</f>
        <v>0</v>
      </c>
      <c r="AY1301" s="25">
        <f>Inventory[[#This Row],[Bsmt]]*Lookups!$B$89</f>
        <v>22683.87829266</v>
      </c>
      <c r="AZ1301" s="25">
        <f>Inventory[[#This Row],[Fixtures]]*Lookups!$B$90</f>
        <v>18960.110526</v>
      </c>
      <c r="BA1301" s="25">
        <f>Inventory[[#This Row],[WdDeck]]*Lookups!$B$91</f>
        <v>0</v>
      </c>
      <c r="BB1301" s="25">
        <f>ROUND(Inventory[[#This Row],[25Det]],-2)</f>
        <v>4900</v>
      </c>
      <c r="BC1301" s="25">
        <f>ROUND(SUM(Inventory[[#This Row],[Mdl Qlty]:[Mdl WdDeck]])+Inventory[[#This Row],[Mdl Res Intercept]],-2)</f>
        <v>308400</v>
      </c>
      <c r="BD1301" s="25">
        <f>ROUND(Inventory[[#This Row],[Mdl Land Intercept]]+Inventory[[#This Row],[Mdl LnAcres]],-2)</f>
        <v>31800</v>
      </c>
      <c r="BE1301" s="25">
        <f>Inventory[[#This Row],[Unadj Res Value]]+Inventory[[#This Row],[Unadj Det Value]]+Inventory[[#This Row],[Unadj Land Value]]</f>
        <v>345100</v>
      </c>
      <c r="BF1301" s="36">
        <f>(Inventory[[#This Row],[Unadj Total Value]]-Inventory[[#This Row],[24Final]])/Inventory[[#This Row],[24Final]]</f>
        <v>6.0540872771972953E-2</v>
      </c>
      <c r="BG1301" s="25">
        <f>VLOOKUP(Inventory[[#This Row],[Nbhd]],Lookups!$Q$2:$T$4,4,FALSE)</f>
        <v>0.99970000000000003</v>
      </c>
      <c r="BH1301" s="25">
        <f>VLOOKUP(Inventory[[#This Row],[Qlty]],Lookups!$O$7:$R$21,4,FALSE)</f>
        <v>1.0067999999999999</v>
      </c>
      <c r="BI1301" s="25">
        <f>VLOOKUP(Inventory[[#This Row],[Cnd]],Lookups!$T$7:$W$16,4,FALSE)</f>
        <v>0.99650000000000005</v>
      </c>
      <c r="BJ1301" s="25">
        <f>VLOOKUP(Inventory[[#This Row],[LivArea Range]],Lookups!$T$25:$W$37,4,FALSE)</f>
        <v>1.0093000000000001</v>
      </c>
      <c r="BK1301" s="25">
        <f>VLOOKUP(Inventory[[#This Row],[Decade]],Lookups!$O$25:$R$42,4,FALSE)</f>
        <v>0.98909999999999998</v>
      </c>
      <c r="BL1301" s="25">
        <f>Inventory[[#This Row],[Nbhd Adj]]*0.95</f>
        <v>0.94971499999999998</v>
      </c>
      <c r="BM1301" s="25">
        <f>Inventory[[#This Row],[Nbhd Adj]]*Inventory[[#This Row],[Quality Adj]]*Inventory[[#This Row],[Condition Adj]]*Inventory[[#This Row],[Living Area Adj]]*Inventory[[#This Row],[Decade Adj]]*0.95</f>
        <v>0.95120534593507355</v>
      </c>
      <c r="BN1301" s="25">
        <f>ROUND(SUM(Inventory[[#This Row],[Mdl Qlty]:[Mdl WdDeck]])+Inventory[[#This Row],[Mdl Res Intercept]]*Inventory[[#This Row],[Res Adj ]],-2)</f>
        <v>308400</v>
      </c>
      <c r="BO1301" s="25">
        <f>ROUND(Inventory[[#This Row],[25Det]]*Inventory[[#This Row],[Det/Nbhd Adj]],-2)</f>
        <v>4600</v>
      </c>
      <c r="BP1301" s="25">
        <f>Inventory[[#This Row],[Adjusted Res]]+Inventory[[#This Row],[Adj Det ]]</f>
        <v>313000</v>
      </c>
      <c r="BQ1301" s="25">
        <f>ROUND((Inventory[[#This Row],[Mdl Land Intercept]]+Inventory[[#This Row],[Mdl LnAcres]])*Inventory[[#This Row],[Det/Nbhd Adj]],-2)</f>
        <v>30200</v>
      </c>
      <c r="BR1301" s="25">
        <f>Inventory[[#This Row],[Adjusted Impr Total]]+Inventory[[#This Row],[Adjusted Land Total]]</f>
        <v>343200</v>
      </c>
      <c r="BS1301" s="36">
        <f>IFERROR((Inventory[[#This Row],[Adjusted Impr Total]]-Inventory[[#This Row],[24Bldg]])/Inventory[[#This Row],[24Bldg]],0)</f>
        <v>0.13901018922852984</v>
      </c>
      <c r="BT1301" s="36">
        <f>(Inventory[[#This Row],[Adjusted Land Total]]-Inventory[[#This Row],[24Lnd]])/Inventory[[#This Row],[24Lnd]]</f>
        <v>-0.40316205533596838</v>
      </c>
      <c r="BU1301" s="36">
        <f>(Inventory[[#This Row],[Adjusted Total]]-Inventory[[#This Row],[24Final]])/Inventory[[#This Row],[24Final]]</f>
        <v>5.4701905347264906E-2</v>
      </c>
    </row>
    <row r="1302" spans="1:73" x14ac:dyDescent="0.3">
      <c r="A1302" s="25">
        <v>2025</v>
      </c>
      <c r="B1302" s="26" t="s">
        <v>1079</v>
      </c>
      <c r="C1302" s="26">
        <f>LN(Inventory[[#This Row],[Acres]])</f>
        <v>-1.7719568419318752</v>
      </c>
      <c r="D1302" s="25">
        <v>0.17</v>
      </c>
      <c r="E1302" s="27"/>
      <c r="F1302" s="26" t="s">
        <v>537</v>
      </c>
      <c r="G1302" s="26" t="s">
        <v>126</v>
      </c>
      <c r="H1302" s="26" t="s">
        <v>349</v>
      </c>
      <c r="I1302" s="26" t="s">
        <v>538</v>
      </c>
      <c r="J1302" s="26" t="s">
        <v>539</v>
      </c>
      <c r="K1302" s="26" t="s">
        <v>242</v>
      </c>
      <c r="L1302" s="26" t="s">
        <v>351</v>
      </c>
      <c r="M1302" s="26" t="s">
        <v>303</v>
      </c>
      <c r="N1302" s="26">
        <v>90</v>
      </c>
      <c r="O1302" s="26">
        <f>2024-Inventory[[#This Row],[YrBlt]]</f>
        <v>84</v>
      </c>
      <c r="P1302" s="26">
        <f>2024-Inventory[[#This Row],[EffYr]]</f>
        <v>52</v>
      </c>
      <c r="Q1302" s="25">
        <v>1940</v>
      </c>
      <c r="R1302" s="25">
        <v>1972</v>
      </c>
      <c r="S1302" s="25">
        <v>992</v>
      </c>
      <c r="T1302" s="31"/>
      <c r="U1302" s="25">
        <v>992</v>
      </c>
      <c r="V1302" s="25">
        <f>Inventory[[#This Row],[Bsmt]]-Inventory[[#This Row],[FnBsmt]]</f>
        <v>0</v>
      </c>
      <c r="W1302" s="25">
        <v>992</v>
      </c>
      <c r="X1302" s="27"/>
      <c r="Y1302" s="27">
        <f>Inventory[[#This Row],[MainFn]]+Inventory[[#This Row],[UpprFn]]+Inventory[[#This Row],[FnBsmt]]+Inventory[[#This Row],[AddFn]]</f>
        <v>1984</v>
      </c>
      <c r="Z1302" s="27">
        <v>2000</v>
      </c>
      <c r="AA1302" s="25">
        <v>9</v>
      </c>
      <c r="AB1302" s="27"/>
      <c r="AC1302" s="27"/>
      <c r="AD1302" s="32">
        <v>108</v>
      </c>
      <c r="AE1302" s="27"/>
      <c r="AF1302" s="27"/>
      <c r="AG1302" s="27"/>
      <c r="AH1302" s="27"/>
      <c r="AI1302" s="25">
        <v>269087</v>
      </c>
      <c r="AJ1302" s="25">
        <v>188361</v>
      </c>
      <c r="AK1302" s="25">
        <v>6050</v>
      </c>
      <c r="AL1302" s="25">
        <v>342400</v>
      </c>
      <c r="AM1302" s="25">
        <v>52700</v>
      </c>
      <c r="AN1302" s="25">
        <v>289700</v>
      </c>
      <c r="AO1302" s="25">
        <v>0</v>
      </c>
      <c r="AP1302" s="25">
        <f>Lookups!$B$56*0</f>
        <v>0</v>
      </c>
      <c r="AQ1302" s="25">
        <f>Lookups!$B$56*1</f>
        <v>89850.625589999996</v>
      </c>
      <c r="AR1302" s="25">
        <f>Lookups!$B$57*Inventory[[#This Row],[LnAcres]]</f>
        <v>-56090.612940989391</v>
      </c>
      <c r="AS1302" s="25">
        <f>VLOOKUP(Inventory[[#This Row],[Qlty]],Lookups!$A$62:$E$75,2,FALSE)</f>
        <v>21557.329055999999</v>
      </c>
      <c r="AT1302" s="25">
        <f>VLOOKUP(Inventory[[#This Row],[Cnd]],Lookups!$A$76:$E$84,2,FALSE)</f>
        <v>197752.34721000001</v>
      </c>
      <c r="AU1302" s="25">
        <f>Inventory[[#This Row],[EffAge]]*Lookups!$B$85</f>
        <v>-11598.371226000001</v>
      </c>
      <c r="AV1302" s="25">
        <f>Inventory[[#This Row],[MainFn]]*Lookups!$B$86</f>
        <v>49013.400517984002</v>
      </c>
      <c r="AW1302" s="25">
        <f>Inventory[[#This Row],[UpprFn]]*Lookups!$B$87</f>
        <v>0</v>
      </c>
      <c r="AX1302" s="25">
        <f>Inventory[[#This Row],[AddFn]]*Lookups!$B$88</f>
        <v>0</v>
      </c>
      <c r="AY1302" s="25">
        <f>Inventory[[#This Row],[Bsmt]]*Lookups!$B$89</f>
        <v>28849.240085023997</v>
      </c>
      <c r="AZ1302" s="25">
        <f>Inventory[[#This Row],[Fixtures]]*Lookups!$B$90</f>
        <v>34128.198946800003</v>
      </c>
      <c r="BA1302" s="25">
        <f>Inventory[[#This Row],[WdDeck]]*Lookups!$B$91</f>
        <v>3595.9156498080001</v>
      </c>
      <c r="BB1302" s="25">
        <f>ROUND(Inventory[[#This Row],[25Det]],-2)</f>
        <v>6100</v>
      </c>
      <c r="BC1302" s="25">
        <f>ROUND(SUM(Inventory[[#This Row],[Mdl Qlty]:[Mdl WdDeck]])+Inventory[[#This Row],[Mdl Res Intercept]],-2)</f>
        <v>323300</v>
      </c>
      <c r="BD1302" s="25">
        <f>ROUND(Inventory[[#This Row],[Mdl Land Intercept]]+Inventory[[#This Row],[Mdl LnAcres]],-2)</f>
        <v>33800</v>
      </c>
      <c r="BE1302" s="25">
        <f>Inventory[[#This Row],[Unadj Res Value]]+Inventory[[#This Row],[Unadj Det Value]]+Inventory[[#This Row],[Unadj Land Value]]</f>
        <v>363200</v>
      </c>
      <c r="BF1302" s="36">
        <f>(Inventory[[#This Row],[Unadj Total Value]]-Inventory[[#This Row],[24Final]])/Inventory[[#This Row],[24Final]]</f>
        <v>6.0747663551401869E-2</v>
      </c>
      <c r="BG1302" s="25">
        <f>VLOOKUP(Inventory[[#This Row],[Nbhd]],Lookups!$Q$2:$T$4,4,FALSE)</f>
        <v>0.99970000000000003</v>
      </c>
      <c r="BH1302" s="25">
        <f>VLOOKUP(Inventory[[#This Row],[Qlty]],Lookups!$O$7:$R$21,4,FALSE)</f>
        <v>1.0067999999999999</v>
      </c>
      <c r="BI1302" s="25">
        <f>VLOOKUP(Inventory[[#This Row],[Cnd]],Lookups!$T$7:$W$16,4,FALSE)</f>
        <v>0.99650000000000005</v>
      </c>
      <c r="BJ1302" s="25">
        <f>VLOOKUP(Inventory[[#This Row],[LivArea Range]],Lookups!$T$25:$W$37,4,FALSE)</f>
        <v>1.0093000000000001</v>
      </c>
      <c r="BK1302" s="25">
        <f>VLOOKUP(Inventory[[#This Row],[Decade]],Lookups!$O$25:$R$42,4,FALSE)</f>
        <v>0.98909999999999998</v>
      </c>
      <c r="BL1302" s="25">
        <f>Inventory[[#This Row],[Nbhd Adj]]*0.95</f>
        <v>0.94971499999999998</v>
      </c>
      <c r="BM1302" s="25">
        <f>Inventory[[#This Row],[Nbhd Adj]]*Inventory[[#This Row],[Quality Adj]]*Inventory[[#This Row],[Condition Adj]]*Inventory[[#This Row],[Living Area Adj]]*Inventory[[#This Row],[Decade Adj]]*0.95</f>
        <v>0.95120534593507355</v>
      </c>
      <c r="BN1302" s="25">
        <f>ROUND(SUM(Inventory[[#This Row],[Mdl Qlty]:[Mdl WdDeck]])+Inventory[[#This Row],[Mdl Res Intercept]]*Inventory[[#This Row],[Res Adj ]],-2)</f>
        <v>323300</v>
      </c>
      <c r="BO1302" s="25">
        <f>ROUND(Inventory[[#This Row],[25Det]]*Inventory[[#This Row],[Det/Nbhd Adj]],-2)</f>
        <v>5700</v>
      </c>
      <c r="BP1302" s="25">
        <f>Inventory[[#This Row],[Adjusted Res]]+Inventory[[#This Row],[Adj Det ]]</f>
        <v>329000</v>
      </c>
      <c r="BQ1302" s="25">
        <f>ROUND((Inventory[[#This Row],[Mdl Land Intercept]]+Inventory[[#This Row],[Mdl LnAcres]])*Inventory[[#This Row],[Det/Nbhd Adj]],-2)</f>
        <v>32100</v>
      </c>
      <c r="BR1302" s="25">
        <f>Inventory[[#This Row],[Adjusted Impr Total]]+Inventory[[#This Row],[Adjusted Land Total]]</f>
        <v>361100</v>
      </c>
      <c r="BS1302" s="36">
        <f>IFERROR((Inventory[[#This Row],[Adjusted Impr Total]]-Inventory[[#This Row],[24Bldg]])/Inventory[[#This Row],[24Bldg]],0)</f>
        <v>0.13565757680358992</v>
      </c>
      <c r="BT1302" s="36">
        <f>(Inventory[[#This Row],[Adjusted Land Total]]-Inventory[[#This Row],[24Lnd]])/Inventory[[#This Row],[24Lnd]]</f>
        <v>-0.39089184060721061</v>
      </c>
      <c r="BU1302" s="36">
        <f>(Inventory[[#This Row],[Adjusted Total]]-Inventory[[#This Row],[24Final]])/Inventory[[#This Row],[24Final]]</f>
        <v>5.4614485981308414E-2</v>
      </c>
    </row>
    <row r="1303" spans="1:73" x14ac:dyDescent="0.3">
      <c r="A1303" s="25">
        <v>2025</v>
      </c>
      <c r="B1303" s="26" t="s">
        <v>2907</v>
      </c>
      <c r="C1303" s="26">
        <f>LN(Inventory[[#This Row],[Acres]])</f>
        <v>-0.67334455326376563</v>
      </c>
      <c r="D1303" s="25">
        <v>0.51</v>
      </c>
      <c r="E1303" s="32">
        <v>22251</v>
      </c>
      <c r="F1303" s="26" t="s">
        <v>537</v>
      </c>
      <c r="G1303" s="26" t="s">
        <v>126</v>
      </c>
      <c r="H1303" s="26" t="s">
        <v>349</v>
      </c>
      <c r="I1303" s="26" t="s">
        <v>538</v>
      </c>
      <c r="J1303" s="26" t="s">
        <v>539</v>
      </c>
      <c r="K1303" s="26" t="s">
        <v>241</v>
      </c>
      <c r="L1303" s="26" t="s">
        <v>302</v>
      </c>
      <c r="M1303" s="26" t="s">
        <v>303</v>
      </c>
      <c r="N1303" s="26">
        <v>90</v>
      </c>
      <c r="O1303" s="26">
        <f>2024-Inventory[[#This Row],[YrBlt]]</f>
        <v>84</v>
      </c>
      <c r="P1303" s="26">
        <f>2024-Inventory[[#This Row],[EffYr]]</f>
        <v>52</v>
      </c>
      <c r="Q1303" s="25">
        <v>1940</v>
      </c>
      <c r="R1303" s="25">
        <v>1972</v>
      </c>
      <c r="S1303" s="25">
        <v>1664</v>
      </c>
      <c r="T1303" s="27"/>
      <c r="U1303" s="25">
        <v>1552</v>
      </c>
      <c r="V1303" s="25">
        <f>Inventory[[#This Row],[Bsmt]]-Inventory[[#This Row],[FnBsmt]]</f>
        <v>458</v>
      </c>
      <c r="W1303" s="25">
        <v>1094</v>
      </c>
      <c r="X1303" s="27"/>
      <c r="Y1303" s="27">
        <f>Inventory[[#This Row],[MainFn]]+Inventory[[#This Row],[UpprFn]]+Inventory[[#This Row],[FnBsmt]]+Inventory[[#This Row],[AddFn]]</f>
        <v>2758</v>
      </c>
      <c r="Z1303" s="27">
        <v>3000</v>
      </c>
      <c r="AA1303" s="25">
        <v>8</v>
      </c>
      <c r="AB1303" s="32">
        <v>420</v>
      </c>
      <c r="AC1303" s="27"/>
      <c r="AD1303" s="32">
        <v>132</v>
      </c>
      <c r="AE1303" s="27"/>
      <c r="AF1303" s="27"/>
      <c r="AG1303" s="27"/>
      <c r="AH1303" s="27"/>
      <c r="AI1303" s="25">
        <v>446725</v>
      </c>
      <c r="AJ1303" s="25">
        <v>312708</v>
      </c>
      <c r="AK1303" s="25">
        <v>0</v>
      </c>
      <c r="AL1303" s="25">
        <v>420300</v>
      </c>
      <c r="AM1303" s="25">
        <v>91100</v>
      </c>
      <c r="AN1303" s="25">
        <v>329200</v>
      </c>
      <c r="AO1303" s="25">
        <v>0</v>
      </c>
      <c r="AP1303" s="25">
        <f>Lookups!$B$56*0</f>
        <v>0</v>
      </c>
      <c r="AQ1303" s="25">
        <f>Lookups!$B$56*1</f>
        <v>89850.625589999996</v>
      </c>
      <c r="AR1303" s="25">
        <f>Lookups!$B$57*Inventory[[#This Row],[LnAcres]]</f>
        <v>-21314.46309485981</v>
      </c>
      <c r="AS1303" s="25">
        <f>VLOOKUP(Inventory[[#This Row],[Qlty]],Lookups!$A$62:$E$75,2,FALSE)</f>
        <v>29814.093161000001</v>
      </c>
      <c r="AT1303" s="25">
        <f>VLOOKUP(Inventory[[#This Row],[Cnd]],Lookups!$A$76:$E$84,2,FALSE)</f>
        <v>197752.34721000001</v>
      </c>
      <c r="AU1303" s="25">
        <f>Inventory[[#This Row],[EffAge]]*Lookups!$B$85</f>
        <v>-11598.371226000001</v>
      </c>
      <c r="AV1303" s="25">
        <f>Inventory[[#This Row],[MainFn]]*Lookups!$B$86</f>
        <v>82216.026675328001</v>
      </c>
      <c r="AW1303" s="25">
        <f>Inventory[[#This Row],[UpprFn]]*Lookups!$B$87</f>
        <v>0</v>
      </c>
      <c r="AX1303" s="25">
        <f>Inventory[[#This Row],[AddFn]]*Lookups!$B$88</f>
        <v>0</v>
      </c>
      <c r="AY1303" s="25">
        <f>Inventory[[#This Row],[Bsmt]]*Lookups!$B$89</f>
        <v>45135.101423344</v>
      </c>
      <c r="AZ1303" s="25">
        <f>Inventory[[#This Row],[Fixtures]]*Lookups!$B$90</f>
        <v>30336.176841600001</v>
      </c>
      <c r="BA1303" s="25">
        <f>Inventory[[#This Row],[WdDeck]]*Lookups!$B$91</f>
        <v>4395.0080164320007</v>
      </c>
      <c r="BB1303" s="25">
        <f>ROUND(Inventory[[#This Row],[25Det]],-2)</f>
        <v>0</v>
      </c>
      <c r="BC1303" s="25">
        <f>ROUND(SUM(Inventory[[#This Row],[Mdl Qlty]:[Mdl WdDeck]])+Inventory[[#This Row],[Mdl Res Intercept]],-2)</f>
        <v>378100</v>
      </c>
      <c r="BD1303" s="25">
        <f>ROUND(Inventory[[#This Row],[Mdl Land Intercept]]+Inventory[[#This Row],[Mdl LnAcres]],-2)</f>
        <v>68500</v>
      </c>
      <c r="BE1303" s="25">
        <f>Inventory[[#This Row],[Unadj Res Value]]+Inventory[[#This Row],[Unadj Det Value]]+Inventory[[#This Row],[Unadj Land Value]]</f>
        <v>446600</v>
      </c>
      <c r="BF1303" s="36">
        <f>(Inventory[[#This Row],[Unadj Total Value]]-Inventory[[#This Row],[24Final]])/Inventory[[#This Row],[24Final]]</f>
        <v>6.2574351653580773E-2</v>
      </c>
      <c r="BG1303" s="25">
        <f>VLOOKUP(Inventory[[#This Row],[Nbhd]],Lookups!$Q$2:$T$4,4,FALSE)</f>
        <v>0.99970000000000003</v>
      </c>
      <c r="BH1303" s="25">
        <f>VLOOKUP(Inventory[[#This Row],[Qlty]],Lookups!$O$7:$R$21,4,FALSE)</f>
        <v>1.0088999999999999</v>
      </c>
      <c r="BI1303" s="25">
        <f>VLOOKUP(Inventory[[#This Row],[Cnd]],Lookups!$T$7:$W$16,4,FALSE)</f>
        <v>0.99650000000000005</v>
      </c>
      <c r="BJ1303" s="25">
        <f>VLOOKUP(Inventory[[#This Row],[LivArea Range]],Lookups!$T$25:$W$37,4,FALSE)</f>
        <v>0.96179999999999999</v>
      </c>
      <c r="BK1303" s="25">
        <f>VLOOKUP(Inventory[[#This Row],[Decade]],Lookups!$O$25:$R$42,4,FALSE)</f>
        <v>0.98909999999999998</v>
      </c>
      <c r="BL1303" s="25">
        <f>Inventory[[#This Row],[Nbhd Adj]]*0.95</f>
        <v>0.94971499999999998</v>
      </c>
      <c r="BM1303" s="25">
        <f>Inventory[[#This Row],[Nbhd Adj]]*Inventory[[#This Row],[Quality Adj]]*Inventory[[#This Row],[Condition Adj]]*Inventory[[#This Row],[Living Area Adj]]*Inventory[[#This Row],[Decade Adj]]*0.95</f>
        <v>0.90833008140076499</v>
      </c>
      <c r="BN1303" s="25">
        <f>ROUND(SUM(Inventory[[#This Row],[Mdl Qlty]:[Mdl WdDeck]])+Inventory[[#This Row],[Mdl Res Intercept]]*Inventory[[#This Row],[Res Adj ]],-2)</f>
        <v>378100</v>
      </c>
      <c r="BO1303" s="25">
        <f>ROUND(Inventory[[#This Row],[25Det]]*Inventory[[#This Row],[Det/Nbhd Adj]],-2)</f>
        <v>0</v>
      </c>
      <c r="BP1303" s="25">
        <f>Inventory[[#This Row],[Adjusted Res]]+Inventory[[#This Row],[Adj Det ]]</f>
        <v>378100</v>
      </c>
      <c r="BQ1303" s="25">
        <f>ROUND((Inventory[[#This Row],[Mdl Land Intercept]]+Inventory[[#This Row],[Mdl LnAcres]])*Inventory[[#This Row],[Det/Nbhd Adj]],-2)</f>
        <v>65100</v>
      </c>
      <c r="BR1303" s="25">
        <f>Inventory[[#This Row],[Adjusted Impr Total]]+Inventory[[#This Row],[Adjusted Land Total]]</f>
        <v>443200</v>
      </c>
      <c r="BS1303" s="36">
        <f>IFERROR((Inventory[[#This Row],[Adjusted Impr Total]]-Inventory[[#This Row],[24Bldg]])/Inventory[[#This Row],[24Bldg]],0)</f>
        <v>0.14854191980558931</v>
      </c>
      <c r="BT1303" s="36">
        <f>(Inventory[[#This Row],[Adjusted Land Total]]-Inventory[[#This Row],[24Lnd]])/Inventory[[#This Row],[24Lnd]]</f>
        <v>-0.2854006586169045</v>
      </c>
      <c r="BU1303" s="36">
        <f>(Inventory[[#This Row],[Adjusted Total]]-Inventory[[#This Row],[24Final]])/Inventory[[#This Row],[24Final]]</f>
        <v>5.4484891743992389E-2</v>
      </c>
    </row>
    <row r="1304" spans="1:73" x14ac:dyDescent="0.3">
      <c r="A1304" s="25">
        <v>2025</v>
      </c>
      <c r="B1304" s="26" t="s">
        <v>2910</v>
      </c>
      <c r="C1304" s="26">
        <f>LN(Inventory[[#This Row],[Acres]])</f>
        <v>-1.4696759700589417</v>
      </c>
      <c r="D1304" s="25">
        <v>0.23</v>
      </c>
      <c r="E1304" s="32">
        <v>9875</v>
      </c>
      <c r="F1304" s="26" t="s">
        <v>537</v>
      </c>
      <c r="G1304" s="26" t="s">
        <v>126</v>
      </c>
      <c r="H1304" s="26" t="s">
        <v>349</v>
      </c>
      <c r="I1304" s="26" t="s">
        <v>538</v>
      </c>
      <c r="J1304" s="26" t="s">
        <v>539</v>
      </c>
      <c r="K1304" s="26" t="s">
        <v>147</v>
      </c>
      <c r="L1304" s="26" t="s">
        <v>148</v>
      </c>
      <c r="M1304" s="26" t="s">
        <v>303</v>
      </c>
      <c r="N1304" s="26">
        <v>90</v>
      </c>
      <c r="O1304" s="26">
        <f>2024-Inventory[[#This Row],[YrBlt]]</f>
        <v>84</v>
      </c>
      <c r="P1304" s="26">
        <f>2024-Inventory[[#This Row],[EffYr]]</f>
        <v>52</v>
      </c>
      <c r="Q1304" s="25">
        <v>1940</v>
      </c>
      <c r="R1304" s="25">
        <v>1972</v>
      </c>
      <c r="S1304" s="25">
        <v>1167</v>
      </c>
      <c r="T1304" s="32">
        <v>992</v>
      </c>
      <c r="U1304" s="25">
        <v>796</v>
      </c>
      <c r="V1304" s="25">
        <f>Inventory[[#This Row],[Bsmt]]-Inventory[[#This Row],[FnBsmt]]</f>
        <v>159</v>
      </c>
      <c r="W1304" s="25">
        <v>637</v>
      </c>
      <c r="X1304" s="27"/>
      <c r="Y1304" s="27">
        <f>Inventory[[#This Row],[MainFn]]+Inventory[[#This Row],[UpprFn]]+Inventory[[#This Row],[FnBsmt]]+Inventory[[#This Row],[AddFn]]</f>
        <v>2796</v>
      </c>
      <c r="Z1304" s="27">
        <v>3000</v>
      </c>
      <c r="AA1304" s="25">
        <v>13</v>
      </c>
      <c r="AB1304" s="32">
        <v>252</v>
      </c>
      <c r="AC1304" s="27"/>
      <c r="AD1304" s="27"/>
      <c r="AE1304" s="27"/>
      <c r="AF1304" s="27"/>
      <c r="AG1304" s="27"/>
      <c r="AH1304" s="27"/>
      <c r="AI1304" s="25">
        <v>532589</v>
      </c>
      <c r="AJ1304" s="25">
        <v>372812</v>
      </c>
      <c r="AK1304" s="25">
        <v>0</v>
      </c>
      <c r="AL1304" s="25">
        <v>422900</v>
      </c>
      <c r="AM1304" s="25">
        <v>63300</v>
      </c>
      <c r="AN1304" s="25">
        <v>359600</v>
      </c>
      <c r="AO1304" s="25">
        <v>0</v>
      </c>
      <c r="AP1304" s="25">
        <f>Lookups!$B$56*0</f>
        <v>0</v>
      </c>
      <c r="AQ1304" s="25">
        <f>Lookups!$B$56*1</f>
        <v>89850.625589999996</v>
      </c>
      <c r="AR1304" s="25">
        <f>Lookups!$B$57*Inventory[[#This Row],[LnAcres]]</f>
        <v>-46522.028095997222</v>
      </c>
      <c r="AS1304" s="25">
        <f>VLOOKUP(Inventory[[#This Row],[Qlty]],Lookups!$A$62:$E$75,2,FALSE)</f>
        <v>44121.038090000002</v>
      </c>
      <c r="AT1304" s="25">
        <f>VLOOKUP(Inventory[[#This Row],[Cnd]],Lookups!$A$76:$E$84,2,FALSE)</f>
        <v>197752.34721000001</v>
      </c>
      <c r="AU1304" s="25">
        <f>Inventory[[#This Row],[EffAge]]*Lookups!$B$85</f>
        <v>-11598.371226000001</v>
      </c>
      <c r="AV1304" s="25">
        <f>Inventory[[#This Row],[MainFn]]*Lookups!$B$86</f>
        <v>57659.917746459003</v>
      </c>
      <c r="AW1304" s="25">
        <f>Inventory[[#This Row],[UpprFn]]*Lookups!$B$87</f>
        <v>44428.131478112002</v>
      </c>
      <c r="AX1304" s="25">
        <f>Inventory[[#This Row],[AddFn]]*Lookups!$B$88</f>
        <v>0</v>
      </c>
      <c r="AY1304" s="25">
        <f>Inventory[[#This Row],[Bsmt]]*Lookups!$B$89</f>
        <v>23149.188616611998</v>
      </c>
      <c r="AZ1304" s="25">
        <f>Inventory[[#This Row],[Fixtures]]*Lookups!$B$90</f>
        <v>49296.287367600002</v>
      </c>
      <c r="BA1304" s="25">
        <f>Inventory[[#This Row],[WdDeck]]*Lookups!$B$91</f>
        <v>0</v>
      </c>
      <c r="BB1304" s="25">
        <f>ROUND(Inventory[[#This Row],[25Det]],-2)</f>
        <v>0</v>
      </c>
      <c r="BC1304" s="25">
        <f>ROUND(SUM(Inventory[[#This Row],[Mdl Qlty]:[Mdl WdDeck]])+Inventory[[#This Row],[Mdl Res Intercept]],-2)</f>
        <v>404800</v>
      </c>
      <c r="BD1304" s="25">
        <f>ROUND(Inventory[[#This Row],[Mdl Land Intercept]]+Inventory[[#This Row],[Mdl LnAcres]],-2)</f>
        <v>43300</v>
      </c>
      <c r="BE1304" s="25">
        <f>Inventory[[#This Row],[Unadj Res Value]]+Inventory[[#This Row],[Unadj Det Value]]+Inventory[[#This Row],[Unadj Land Value]]</f>
        <v>448100</v>
      </c>
      <c r="BF1304" s="36">
        <f>(Inventory[[#This Row],[Unadj Total Value]]-Inventory[[#This Row],[24Final]])/Inventory[[#This Row],[24Final]]</f>
        <v>5.9588555213998584E-2</v>
      </c>
      <c r="BG1304" s="25">
        <f>VLOOKUP(Inventory[[#This Row],[Nbhd]],Lookups!$Q$2:$T$4,4,FALSE)</f>
        <v>0.99970000000000003</v>
      </c>
      <c r="BH1304" s="25">
        <f>VLOOKUP(Inventory[[#This Row],[Qlty]],Lookups!$O$7:$R$21,4,FALSE)</f>
        <v>0.98050000000000004</v>
      </c>
      <c r="BI1304" s="25">
        <f>VLOOKUP(Inventory[[#This Row],[Cnd]],Lookups!$T$7:$W$16,4,FALSE)</f>
        <v>0.99650000000000005</v>
      </c>
      <c r="BJ1304" s="25">
        <f>VLOOKUP(Inventory[[#This Row],[LivArea Range]],Lookups!$T$25:$W$37,4,FALSE)</f>
        <v>0.96179999999999999</v>
      </c>
      <c r="BK1304" s="25">
        <f>VLOOKUP(Inventory[[#This Row],[Decade]],Lookups!$O$25:$R$42,4,FALSE)</f>
        <v>0.98909999999999998</v>
      </c>
      <c r="BL1304" s="25">
        <f>Inventory[[#This Row],[Nbhd Adj]]*0.95</f>
        <v>0.94971499999999998</v>
      </c>
      <c r="BM1304" s="25">
        <f>Inventory[[#This Row],[Nbhd Adj]]*Inventory[[#This Row],[Quality Adj]]*Inventory[[#This Row],[Condition Adj]]*Inventory[[#This Row],[Living Area Adj]]*Inventory[[#This Row],[Decade Adj]]*0.95</f>
        <v>0.88276107127906644</v>
      </c>
      <c r="BN1304" s="25">
        <f>ROUND(SUM(Inventory[[#This Row],[Mdl Qlty]:[Mdl WdDeck]])+Inventory[[#This Row],[Mdl Res Intercept]]*Inventory[[#This Row],[Res Adj ]],-2)</f>
        <v>404800</v>
      </c>
      <c r="BO1304" s="25">
        <f>ROUND(Inventory[[#This Row],[25Det]]*Inventory[[#This Row],[Det/Nbhd Adj]],-2)</f>
        <v>0</v>
      </c>
      <c r="BP1304" s="25">
        <f>Inventory[[#This Row],[Adjusted Res]]+Inventory[[#This Row],[Adj Det ]]</f>
        <v>404800</v>
      </c>
      <c r="BQ1304" s="25">
        <f>ROUND((Inventory[[#This Row],[Mdl Land Intercept]]+Inventory[[#This Row],[Mdl LnAcres]])*Inventory[[#This Row],[Det/Nbhd Adj]],-2)</f>
        <v>41100</v>
      </c>
      <c r="BR1304" s="25">
        <f>Inventory[[#This Row],[Adjusted Impr Total]]+Inventory[[#This Row],[Adjusted Land Total]]</f>
        <v>445900</v>
      </c>
      <c r="BS1304" s="36">
        <f>IFERROR((Inventory[[#This Row],[Adjusted Impr Total]]-Inventory[[#This Row],[24Bldg]])/Inventory[[#This Row],[24Bldg]],0)</f>
        <v>0.12569521690767518</v>
      </c>
      <c r="BT1304" s="36">
        <f>(Inventory[[#This Row],[Adjusted Land Total]]-Inventory[[#This Row],[24Lnd]])/Inventory[[#This Row],[24Lnd]]</f>
        <v>-0.35071090047393366</v>
      </c>
      <c r="BU1304" s="36">
        <f>(Inventory[[#This Row],[Adjusted Total]]-Inventory[[#This Row],[24Final]])/Inventory[[#This Row],[24Final]]</f>
        <v>5.438637975880823E-2</v>
      </c>
    </row>
    <row r="1305" spans="1:73" x14ac:dyDescent="0.3">
      <c r="A1305" s="25">
        <v>2025</v>
      </c>
      <c r="B1305" s="26" t="s">
        <v>1479</v>
      </c>
      <c r="C1305" s="26">
        <f>LN(Inventory[[#This Row],[Acres]])</f>
        <v>-1.8325814637483102</v>
      </c>
      <c r="D1305" s="25">
        <v>0.16</v>
      </c>
      <c r="E1305" s="32">
        <v>6931</v>
      </c>
      <c r="F1305" s="26" t="s">
        <v>537</v>
      </c>
      <c r="G1305" s="26" t="s">
        <v>126</v>
      </c>
      <c r="H1305" s="26" t="s">
        <v>349</v>
      </c>
      <c r="I1305" s="26" t="s">
        <v>538</v>
      </c>
      <c r="J1305" s="26" t="s">
        <v>539</v>
      </c>
      <c r="K1305" s="26" t="s">
        <v>242</v>
      </c>
      <c r="L1305" s="26" t="s">
        <v>351</v>
      </c>
      <c r="M1305" s="26" t="s">
        <v>323</v>
      </c>
      <c r="N1305" s="26">
        <v>90</v>
      </c>
      <c r="O1305" s="26">
        <f>2024-Inventory[[#This Row],[YrBlt]]</f>
        <v>84</v>
      </c>
      <c r="P1305" s="26">
        <f>2024-Inventory[[#This Row],[EffYr]]</f>
        <v>52</v>
      </c>
      <c r="Q1305" s="25">
        <v>1940</v>
      </c>
      <c r="R1305" s="25">
        <v>1972</v>
      </c>
      <c r="S1305" s="25">
        <v>1116</v>
      </c>
      <c r="T1305" s="27"/>
      <c r="U1305" s="31"/>
      <c r="V1305" s="31">
        <f>Inventory[[#This Row],[Bsmt]]-Inventory[[#This Row],[FnBsmt]]</f>
        <v>0</v>
      </c>
      <c r="W1305" s="31"/>
      <c r="X1305" s="27"/>
      <c r="Y1305" s="27">
        <f>Inventory[[#This Row],[MainFn]]+Inventory[[#This Row],[UpprFn]]+Inventory[[#This Row],[FnBsmt]]+Inventory[[#This Row],[AddFn]]</f>
        <v>1116</v>
      </c>
      <c r="Z1305" s="27">
        <v>1500</v>
      </c>
      <c r="AA1305" s="25">
        <v>5</v>
      </c>
      <c r="AB1305" s="27"/>
      <c r="AC1305" s="27"/>
      <c r="AD1305" s="27"/>
      <c r="AE1305" s="27"/>
      <c r="AF1305" s="27"/>
      <c r="AG1305" s="27"/>
      <c r="AH1305" s="27"/>
      <c r="AI1305" s="25">
        <v>188083</v>
      </c>
      <c r="AJ1305" s="25">
        <v>127896</v>
      </c>
      <c r="AK1305" s="25">
        <v>5261</v>
      </c>
      <c r="AL1305" s="25">
        <v>265300</v>
      </c>
      <c r="AM1305" s="25">
        <v>50600</v>
      </c>
      <c r="AN1305" s="25">
        <v>214700</v>
      </c>
      <c r="AO1305" s="25">
        <v>0</v>
      </c>
      <c r="AP1305" s="25">
        <f>Lookups!$B$56*0</f>
        <v>0</v>
      </c>
      <c r="AQ1305" s="25">
        <f>Lookups!$B$56*1</f>
        <v>89850.625589999996</v>
      </c>
      <c r="AR1305" s="25">
        <f>Lookups!$B$57*Inventory[[#This Row],[LnAcres]]</f>
        <v>-58009.662049032086</v>
      </c>
      <c r="AS1305" s="25">
        <f>VLOOKUP(Inventory[[#This Row],[Qlty]],Lookups!$A$62:$E$75,2,FALSE)</f>
        <v>21557.329055999999</v>
      </c>
      <c r="AT1305" s="25">
        <f>VLOOKUP(Inventory[[#This Row],[Cnd]],Lookups!$A$76:$E$84,2,FALSE)</f>
        <v>160472.20319</v>
      </c>
      <c r="AU1305" s="25">
        <f>Inventory[[#This Row],[EffAge]]*Lookups!$B$85</f>
        <v>-11598.371226000001</v>
      </c>
      <c r="AV1305" s="25">
        <f>Inventory[[#This Row],[MainFn]]*Lookups!$B$86</f>
        <v>55140.075582732003</v>
      </c>
      <c r="AW1305" s="25">
        <f>Inventory[[#This Row],[UpprFn]]*Lookups!$B$87</f>
        <v>0</v>
      </c>
      <c r="AX1305" s="25">
        <f>Inventory[[#This Row],[AddFn]]*Lookups!$B$88</f>
        <v>0</v>
      </c>
      <c r="AY1305" s="25">
        <f>Inventory[[#This Row],[Bsmt]]*Lookups!$B$89</f>
        <v>0</v>
      </c>
      <c r="AZ1305" s="25">
        <f>Inventory[[#This Row],[Fixtures]]*Lookups!$B$90</f>
        <v>18960.110526</v>
      </c>
      <c r="BA1305" s="25">
        <f>Inventory[[#This Row],[WdDeck]]*Lookups!$B$91</f>
        <v>0</v>
      </c>
      <c r="BB1305" s="25">
        <f>ROUND(Inventory[[#This Row],[25Det]],-2)</f>
        <v>5300</v>
      </c>
      <c r="BC1305" s="25">
        <f>ROUND(SUM(Inventory[[#This Row],[Mdl Qlty]:[Mdl WdDeck]])+Inventory[[#This Row],[Mdl Res Intercept]],-2)</f>
        <v>244500</v>
      </c>
      <c r="BD1305" s="25">
        <f>ROUND(Inventory[[#This Row],[Mdl Land Intercept]]+Inventory[[#This Row],[Mdl LnAcres]],-2)</f>
        <v>31800</v>
      </c>
      <c r="BE1305" s="25">
        <f>Inventory[[#This Row],[Unadj Res Value]]+Inventory[[#This Row],[Unadj Det Value]]+Inventory[[#This Row],[Unadj Land Value]]</f>
        <v>281600</v>
      </c>
      <c r="BF1305" s="36">
        <f>(Inventory[[#This Row],[Unadj Total Value]]-Inventory[[#This Row],[24Final]])/Inventory[[#This Row],[24Final]]</f>
        <v>6.1439879381831888E-2</v>
      </c>
      <c r="BG1305" s="25">
        <f>VLOOKUP(Inventory[[#This Row],[Nbhd]],Lookups!$Q$2:$T$4,4,FALSE)</f>
        <v>0.99970000000000003</v>
      </c>
      <c r="BH1305" s="25">
        <f>VLOOKUP(Inventory[[#This Row],[Qlty]],Lookups!$O$7:$R$21,4,FALSE)</f>
        <v>1.0067999999999999</v>
      </c>
      <c r="BI1305" s="25">
        <f>VLOOKUP(Inventory[[#This Row],[Cnd]],Lookups!$T$7:$W$16,4,FALSE)</f>
        <v>0.99729999999999996</v>
      </c>
      <c r="BJ1305" s="25">
        <f>VLOOKUP(Inventory[[#This Row],[LivArea Range]],Lookups!$T$25:$W$37,4,FALSE)</f>
        <v>1.0157</v>
      </c>
      <c r="BK1305" s="25">
        <f>VLOOKUP(Inventory[[#This Row],[Decade]],Lookups!$O$25:$R$42,4,FALSE)</f>
        <v>0.98909999999999998</v>
      </c>
      <c r="BL1305" s="25">
        <f>Inventory[[#This Row],[Nbhd Adj]]*0.95</f>
        <v>0.94971499999999998</v>
      </c>
      <c r="BM1305" s="25">
        <f>Inventory[[#This Row],[Nbhd Adj]]*Inventory[[#This Row],[Quality Adj]]*Inventory[[#This Row],[Condition Adj]]*Inventory[[#This Row],[Living Area Adj]]*Inventory[[#This Row],[Decade Adj]]*0.95</f>
        <v>0.95800544533193577</v>
      </c>
      <c r="BN1305" s="25">
        <f>ROUND(SUM(Inventory[[#This Row],[Mdl Qlty]:[Mdl WdDeck]])+Inventory[[#This Row],[Mdl Res Intercept]]*Inventory[[#This Row],[Res Adj ]],-2)</f>
        <v>244500</v>
      </c>
      <c r="BO1305" s="25">
        <f>ROUND(Inventory[[#This Row],[25Det]]*Inventory[[#This Row],[Det/Nbhd Adj]],-2)</f>
        <v>5000</v>
      </c>
      <c r="BP1305" s="25">
        <f>Inventory[[#This Row],[Adjusted Res]]+Inventory[[#This Row],[Adj Det ]]</f>
        <v>249500</v>
      </c>
      <c r="BQ1305" s="25">
        <f>ROUND((Inventory[[#This Row],[Mdl Land Intercept]]+Inventory[[#This Row],[Mdl LnAcres]])*Inventory[[#This Row],[Det/Nbhd Adj]],-2)</f>
        <v>30200</v>
      </c>
      <c r="BR1305" s="25">
        <f>Inventory[[#This Row],[Adjusted Impr Total]]+Inventory[[#This Row],[Adjusted Land Total]]</f>
        <v>279700</v>
      </c>
      <c r="BS1305" s="36">
        <f>IFERROR((Inventory[[#This Row],[Adjusted Impr Total]]-Inventory[[#This Row],[24Bldg]])/Inventory[[#This Row],[24Bldg]],0)</f>
        <v>0.16208663251047975</v>
      </c>
      <c r="BT1305" s="36">
        <f>(Inventory[[#This Row],[Adjusted Land Total]]-Inventory[[#This Row],[24Lnd]])/Inventory[[#This Row],[24Lnd]]</f>
        <v>-0.40316205533596838</v>
      </c>
      <c r="BU1305" s="36">
        <f>(Inventory[[#This Row],[Adjusted Total]]-Inventory[[#This Row],[24Final]])/Inventory[[#This Row],[24Final]]</f>
        <v>5.427817565020731E-2</v>
      </c>
    </row>
    <row r="1306" spans="1:73" x14ac:dyDescent="0.3">
      <c r="A1306" s="25">
        <v>2025</v>
      </c>
      <c r="B1306" s="26" t="s">
        <v>1455</v>
      </c>
      <c r="C1306" s="26">
        <f>LN(Inventory[[#This Row],[Acres]])</f>
        <v>-1.9661128563728327</v>
      </c>
      <c r="D1306" s="25">
        <v>0.14000000000000001</v>
      </c>
      <c r="E1306" s="32">
        <v>5996</v>
      </c>
      <c r="F1306" s="26" t="s">
        <v>537</v>
      </c>
      <c r="G1306" s="26" t="s">
        <v>126</v>
      </c>
      <c r="H1306" s="26" t="s">
        <v>349</v>
      </c>
      <c r="I1306" s="26" t="s">
        <v>538</v>
      </c>
      <c r="J1306" s="26" t="s">
        <v>539</v>
      </c>
      <c r="K1306" s="26" t="s">
        <v>242</v>
      </c>
      <c r="L1306" s="26" t="s">
        <v>351</v>
      </c>
      <c r="M1306" s="26" t="s">
        <v>323</v>
      </c>
      <c r="N1306" s="26">
        <v>90</v>
      </c>
      <c r="O1306" s="26">
        <f>2024-Inventory[[#This Row],[YrBlt]]</f>
        <v>84</v>
      </c>
      <c r="P1306" s="26">
        <f>2024-Inventory[[#This Row],[EffYr]]</f>
        <v>52</v>
      </c>
      <c r="Q1306" s="25">
        <v>1940</v>
      </c>
      <c r="R1306" s="25">
        <v>1972</v>
      </c>
      <c r="S1306" s="25">
        <v>912</v>
      </c>
      <c r="T1306" s="27"/>
      <c r="U1306" s="25">
        <v>840</v>
      </c>
      <c r="V1306" s="25">
        <f>Inventory[[#This Row],[Bsmt]]-Inventory[[#This Row],[FnBsmt]]</f>
        <v>0</v>
      </c>
      <c r="W1306" s="25">
        <v>840</v>
      </c>
      <c r="X1306" s="27"/>
      <c r="Y1306" s="27">
        <f>Inventory[[#This Row],[MainFn]]+Inventory[[#This Row],[UpprFn]]+Inventory[[#This Row],[FnBsmt]]+Inventory[[#This Row],[AddFn]]</f>
        <v>1752</v>
      </c>
      <c r="Z1306" s="27">
        <v>2000</v>
      </c>
      <c r="AA1306" s="25">
        <v>9</v>
      </c>
      <c r="AB1306" s="31"/>
      <c r="AC1306" s="27"/>
      <c r="AD1306" s="32">
        <v>288</v>
      </c>
      <c r="AE1306" s="27"/>
      <c r="AF1306" s="27"/>
      <c r="AG1306" s="27"/>
      <c r="AH1306" s="27"/>
      <c r="AI1306" s="25">
        <v>244995</v>
      </c>
      <c r="AJ1306" s="25">
        <v>166597</v>
      </c>
      <c r="AK1306" s="25">
        <v>5261</v>
      </c>
      <c r="AL1306" s="25">
        <v>298600</v>
      </c>
      <c r="AM1306" s="25">
        <v>46000</v>
      </c>
      <c r="AN1306" s="25">
        <v>252600</v>
      </c>
      <c r="AO1306" s="25">
        <v>0</v>
      </c>
      <c r="AP1306" s="25">
        <f>Lookups!$B$56*0</f>
        <v>0</v>
      </c>
      <c r="AQ1306" s="25">
        <f>Lookups!$B$56*1</f>
        <v>89850.625589999996</v>
      </c>
      <c r="AR1306" s="25">
        <f>Lookups!$B$57*Inventory[[#This Row],[LnAcres]]</f>
        <v>-62236.546971921947</v>
      </c>
      <c r="AS1306" s="25">
        <f>VLOOKUP(Inventory[[#This Row],[Qlty]],Lookups!$A$62:$E$75,2,FALSE)</f>
        <v>21557.329055999999</v>
      </c>
      <c r="AT1306" s="25">
        <f>VLOOKUP(Inventory[[#This Row],[Cnd]],Lookups!$A$76:$E$84,2,FALSE)</f>
        <v>160472.20319</v>
      </c>
      <c r="AU1306" s="25">
        <f>Inventory[[#This Row],[EffAge]]*Lookups!$B$85</f>
        <v>-11598.371226000001</v>
      </c>
      <c r="AV1306" s="25">
        <f>Inventory[[#This Row],[MainFn]]*Lookups!$B$86</f>
        <v>45060.706927824001</v>
      </c>
      <c r="AW1306" s="25">
        <f>Inventory[[#This Row],[UpprFn]]*Lookups!$B$87</f>
        <v>0</v>
      </c>
      <c r="AX1306" s="25">
        <f>Inventory[[#This Row],[AddFn]]*Lookups!$B$88</f>
        <v>0</v>
      </c>
      <c r="AY1306" s="25">
        <f>Inventory[[#This Row],[Bsmt]]*Lookups!$B$89</f>
        <v>24428.792007479999</v>
      </c>
      <c r="AZ1306" s="25">
        <f>Inventory[[#This Row],[Fixtures]]*Lookups!$B$90</f>
        <v>34128.198946800003</v>
      </c>
      <c r="BA1306" s="25">
        <f>Inventory[[#This Row],[WdDeck]]*Lookups!$B$91</f>
        <v>9589.1083994880009</v>
      </c>
      <c r="BB1306" s="25">
        <f>ROUND(Inventory[[#This Row],[25Det]],-2)</f>
        <v>5300</v>
      </c>
      <c r="BC1306" s="25">
        <f>ROUND(SUM(Inventory[[#This Row],[Mdl Qlty]:[Mdl WdDeck]])+Inventory[[#This Row],[Mdl Res Intercept]],-2)</f>
        <v>283600</v>
      </c>
      <c r="BD1306" s="25">
        <f>ROUND(Inventory[[#This Row],[Mdl Land Intercept]]+Inventory[[#This Row],[Mdl LnAcres]],-2)</f>
        <v>27600</v>
      </c>
      <c r="BE1306" s="25">
        <f>Inventory[[#This Row],[Unadj Res Value]]+Inventory[[#This Row],[Unadj Det Value]]+Inventory[[#This Row],[Unadj Land Value]]</f>
        <v>316500</v>
      </c>
      <c r="BF1306" s="36">
        <f>(Inventory[[#This Row],[Unadj Total Value]]-Inventory[[#This Row],[24Final]])/Inventory[[#This Row],[24Final]]</f>
        <v>5.9946416610850636E-2</v>
      </c>
      <c r="BG1306" s="25">
        <f>VLOOKUP(Inventory[[#This Row],[Nbhd]],Lookups!$Q$2:$T$4,4,FALSE)</f>
        <v>0.99970000000000003</v>
      </c>
      <c r="BH1306" s="25">
        <f>VLOOKUP(Inventory[[#This Row],[Qlty]],Lookups!$O$7:$R$21,4,FALSE)</f>
        <v>1.0067999999999999</v>
      </c>
      <c r="BI1306" s="25">
        <f>VLOOKUP(Inventory[[#This Row],[Cnd]],Lookups!$T$7:$W$16,4,FALSE)</f>
        <v>0.99729999999999996</v>
      </c>
      <c r="BJ1306" s="25">
        <f>VLOOKUP(Inventory[[#This Row],[LivArea Range]],Lookups!$T$25:$W$37,4,FALSE)</f>
        <v>1.0093000000000001</v>
      </c>
      <c r="BK1306" s="25">
        <f>VLOOKUP(Inventory[[#This Row],[Decade]],Lookups!$O$25:$R$42,4,FALSE)</f>
        <v>0.98909999999999998</v>
      </c>
      <c r="BL1306" s="25">
        <f>Inventory[[#This Row],[Nbhd Adj]]*0.95</f>
        <v>0.94971499999999998</v>
      </c>
      <c r="BM1306" s="25">
        <f>Inventory[[#This Row],[Nbhd Adj]]*Inventory[[#This Row],[Quality Adj]]*Inventory[[#This Row],[Condition Adj]]*Inventory[[#This Row],[Living Area Adj]]*Inventory[[#This Row],[Decade Adj]]*0.95</f>
        <v>0.95196898294134369</v>
      </c>
      <c r="BN1306" s="25">
        <f>ROUND(SUM(Inventory[[#This Row],[Mdl Qlty]:[Mdl WdDeck]])+Inventory[[#This Row],[Mdl Res Intercept]]*Inventory[[#This Row],[Res Adj ]],-2)</f>
        <v>283600</v>
      </c>
      <c r="BO1306" s="25">
        <f>ROUND(Inventory[[#This Row],[25Det]]*Inventory[[#This Row],[Det/Nbhd Adj]],-2)</f>
        <v>5000</v>
      </c>
      <c r="BP1306" s="25">
        <f>Inventory[[#This Row],[Adjusted Res]]+Inventory[[#This Row],[Adj Det ]]</f>
        <v>288600</v>
      </c>
      <c r="BQ1306" s="25">
        <f>ROUND((Inventory[[#This Row],[Mdl Land Intercept]]+Inventory[[#This Row],[Mdl LnAcres]])*Inventory[[#This Row],[Det/Nbhd Adj]],-2)</f>
        <v>26200</v>
      </c>
      <c r="BR1306" s="25">
        <f>Inventory[[#This Row],[Adjusted Impr Total]]+Inventory[[#This Row],[Adjusted Land Total]]</f>
        <v>314800</v>
      </c>
      <c r="BS1306" s="36">
        <f>IFERROR((Inventory[[#This Row],[Adjusted Impr Total]]-Inventory[[#This Row],[24Bldg]])/Inventory[[#This Row],[24Bldg]],0)</f>
        <v>0.14251781472684086</v>
      </c>
      <c r="BT1306" s="36">
        <f>(Inventory[[#This Row],[Adjusted Land Total]]-Inventory[[#This Row],[24Lnd]])/Inventory[[#This Row],[24Lnd]]</f>
        <v>-0.43043478260869567</v>
      </c>
      <c r="BU1306" s="36">
        <f>(Inventory[[#This Row],[Adjusted Total]]-Inventory[[#This Row],[24Final]])/Inventory[[#This Row],[24Final]]</f>
        <v>5.4253181513730743E-2</v>
      </c>
    </row>
    <row r="1307" spans="1:73" x14ac:dyDescent="0.3">
      <c r="A1307" s="25">
        <v>2025</v>
      </c>
      <c r="B1307" s="26" t="s">
        <v>2665</v>
      </c>
      <c r="C1307" s="26">
        <f>LN(Inventory[[#This Row],[Acres]])</f>
        <v>-1.7719568419318752</v>
      </c>
      <c r="D1307" s="25">
        <v>0.17</v>
      </c>
      <c r="E1307" s="27"/>
      <c r="F1307" s="26" t="s">
        <v>537</v>
      </c>
      <c r="G1307" s="26" t="s">
        <v>126</v>
      </c>
      <c r="H1307" s="26" t="s">
        <v>349</v>
      </c>
      <c r="I1307" s="26" t="s">
        <v>538</v>
      </c>
      <c r="J1307" s="26" t="s">
        <v>638</v>
      </c>
      <c r="K1307" s="26" t="s">
        <v>269</v>
      </c>
      <c r="L1307" s="26" t="s">
        <v>351</v>
      </c>
      <c r="M1307" s="26" t="s">
        <v>303</v>
      </c>
      <c r="N1307" s="26">
        <v>90</v>
      </c>
      <c r="O1307" s="26">
        <f>2024-Inventory[[#This Row],[YrBlt]]</f>
        <v>84</v>
      </c>
      <c r="P1307" s="26">
        <f>2024-Inventory[[#This Row],[EffYr]]</f>
        <v>52</v>
      </c>
      <c r="Q1307" s="25">
        <v>1940</v>
      </c>
      <c r="R1307" s="25">
        <v>1972</v>
      </c>
      <c r="S1307" s="25">
        <v>903</v>
      </c>
      <c r="T1307" s="27"/>
      <c r="U1307" s="32">
        <v>903</v>
      </c>
      <c r="V1307" s="32">
        <f>Inventory[[#This Row],[Bsmt]]-Inventory[[#This Row],[FnBsmt]]</f>
        <v>0</v>
      </c>
      <c r="W1307" s="32">
        <v>903</v>
      </c>
      <c r="X1307" s="27"/>
      <c r="Y1307" s="27">
        <f>Inventory[[#This Row],[MainFn]]+Inventory[[#This Row],[UpprFn]]+Inventory[[#This Row],[FnBsmt]]+Inventory[[#This Row],[AddFn]]</f>
        <v>1806</v>
      </c>
      <c r="Z1307" s="27">
        <v>2000</v>
      </c>
      <c r="AA1307" s="25">
        <v>8</v>
      </c>
      <c r="AB1307" s="32">
        <v>216</v>
      </c>
      <c r="AC1307" s="27"/>
      <c r="AD1307" s="27"/>
      <c r="AE1307" s="27"/>
      <c r="AF1307" s="27"/>
      <c r="AG1307" s="27"/>
      <c r="AH1307" s="27"/>
      <c r="AI1307" s="25">
        <v>247199</v>
      </c>
      <c r="AJ1307" s="25">
        <v>173039</v>
      </c>
      <c r="AK1307" s="25">
        <v>0</v>
      </c>
      <c r="AL1307" s="25">
        <v>323600</v>
      </c>
      <c r="AM1307" s="25">
        <v>52700</v>
      </c>
      <c r="AN1307" s="25">
        <v>270900</v>
      </c>
      <c r="AO1307" s="25">
        <v>0</v>
      </c>
      <c r="AP1307" s="25">
        <f>Lookups!$B$56*0</f>
        <v>0</v>
      </c>
      <c r="AQ1307" s="25">
        <f>Lookups!$B$56*1</f>
        <v>89850.625589999996</v>
      </c>
      <c r="AR1307" s="25">
        <f>Lookups!$B$57*Inventory[[#This Row],[LnAcres]]</f>
        <v>-56090.612940989391</v>
      </c>
      <c r="AS1307" s="25">
        <f>VLOOKUP(Inventory[[#This Row],[Qlty]],Lookups!$A$62:$E$75,2,FALSE)</f>
        <v>21557.329055999999</v>
      </c>
      <c r="AT1307" s="25">
        <f>VLOOKUP(Inventory[[#This Row],[Cnd]],Lookups!$A$76:$E$84,2,FALSE)</f>
        <v>197752.34721000001</v>
      </c>
      <c r="AU1307" s="25">
        <f>Inventory[[#This Row],[EffAge]]*Lookups!$B$85</f>
        <v>-11598.371226000001</v>
      </c>
      <c r="AV1307" s="25">
        <f>Inventory[[#This Row],[MainFn]]*Lookups!$B$86</f>
        <v>44616.028898930999</v>
      </c>
      <c r="AW1307" s="25">
        <f>Inventory[[#This Row],[UpprFn]]*Lookups!$B$87</f>
        <v>0</v>
      </c>
      <c r="AX1307" s="25">
        <f>Inventory[[#This Row],[AddFn]]*Lookups!$B$88</f>
        <v>0</v>
      </c>
      <c r="AY1307" s="25">
        <f>Inventory[[#This Row],[Bsmt]]*Lookups!$B$89</f>
        <v>26260.951408040997</v>
      </c>
      <c r="AZ1307" s="25">
        <f>Inventory[[#This Row],[Fixtures]]*Lookups!$B$90</f>
        <v>30336.176841600001</v>
      </c>
      <c r="BA1307" s="25">
        <f>Inventory[[#This Row],[WdDeck]]*Lookups!$B$91</f>
        <v>0</v>
      </c>
      <c r="BB1307" s="25">
        <f>ROUND(Inventory[[#This Row],[25Det]],-2)</f>
        <v>0</v>
      </c>
      <c r="BC1307" s="25">
        <f>ROUND(SUM(Inventory[[#This Row],[Mdl Qlty]:[Mdl WdDeck]])+Inventory[[#This Row],[Mdl Res Intercept]],-2)</f>
        <v>308900</v>
      </c>
      <c r="BD1307" s="25">
        <f>ROUND(Inventory[[#This Row],[Mdl Land Intercept]]+Inventory[[#This Row],[Mdl LnAcres]],-2)</f>
        <v>33800</v>
      </c>
      <c r="BE1307" s="25">
        <f>Inventory[[#This Row],[Unadj Res Value]]+Inventory[[#This Row],[Unadj Det Value]]+Inventory[[#This Row],[Unadj Land Value]]</f>
        <v>342700</v>
      </c>
      <c r="BF1307" s="36">
        <f>(Inventory[[#This Row],[Unadj Total Value]]-Inventory[[#This Row],[24Final]])/Inventory[[#This Row],[24Final]]</f>
        <v>5.9023485784919651E-2</v>
      </c>
      <c r="BG1307" s="25">
        <f>VLOOKUP(Inventory[[#This Row],[Nbhd]],Lookups!$Q$2:$T$4,4,FALSE)</f>
        <v>0.99970000000000003</v>
      </c>
      <c r="BH1307" s="25">
        <f>VLOOKUP(Inventory[[#This Row],[Qlty]],Lookups!$O$7:$R$21,4,FALSE)</f>
        <v>1.0067999999999999</v>
      </c>
      <c r="BI1307" s="25">
        <f>VLOOKUP(Inventory[[#This Row],[Cnd]],Lookups!$T$7:$W$16,4,FALSE)</f>
        <v>0.99650000000000005</v>
      </c>
      <c r="BJ1307" s="25">
        <f>VLOOKUP(Inventory[[#This Row],[LivArea Range]],Lookups!$T$25:$W$37,4,FALSE)</f>
        <v>1.0093000000000001</v>
      </c>
      <c r="BK1307" s="25">
        <f>VLOOKUP(Inventory[[#This Row],[Decade]],Lookups!$O$25:$R$42,4,FALSE)</f>
        <v>0.98909999999999998</v>
      </c>
      <c r="BL1307" s="25">
        <f>Inventory[[#This Row],[Nbhd Adj]]*0.95</f>
        <v>0.94971499999999998</v>
      </c>
      <c r="BM1307" s="25">
        <f>Inventory[[#This Row],[Nbhd Adj]]*Inventory[[#This Row],[Quality Adj]]*Inventory[[#This Row],[Condition Adj]]*Inventory[[#This Row],[Living Area Adj]]*Inventory[[#This Row],[Decade Adj]]*0.95</f>
        <v>0.95120534593507355</v>
      </c>
      <c r="BN1307" s="25">
        <f>ROUND(SUM(Inventory[[#This Row],[Mdl Qlty]:[Mdl WdDeck]])+Inventory[[#This Row],[Mdl Res Intercept]]*Inventory[[#This Row],[Res Adj ]],-2)</f>
        <v>308900</v>
      </c>
      <c r="BO1307" s="25">
        <f>ROUND(Inventory[[#This Row],[25Det]]*Inventory[[#This Row],[Det/Nbhd Adj]],-2)</f>
        <v>0</v>
      </c>
      <c r="BP1307" s="25">
        <f>Inventory[[#This Row],[Adjusted Res]]+Inventory[[#This Row],[Adj Det ]]</f>
        <v>308900</v>
      </c>
      <c r="BQ1307" s="25">
        <f>ROUND((Inventory[[#This Row],[Mdl Land Intercept]]+Inventory[[#This Row],[Mdl LnAcres]])*Inventory[[#This Row],[Det/Nbhd Adj]],-2)</f>
        <v>32100</v>
      </c>
      <c r="BR1307" s="25">
        <f>Inventory[[#This Row],[Adjusted Impr Total]]+Inventory[[#This Row],[Adjusted Land Total]]</f>
        <v>341000</v>
      </c>
      <c r="BS1307" s="36">
        <f>IFERROR((Inventory[[#This Row],[Adjusted Impr Total]]-Inventory[[#This Row],[24Bldg]])/Inventory[[#This Row],[24Bldg]],0)</f>
        <v>0.14027316352897748</v>
      </c>
      <c r="BT1307" s="36">
        <f>(Inventory[[#This Row],[Adjusted Land Total]]-Inventory[[#This Row],[24Lnd]])/Inventory[[#This Row],[24Lnd]]</f>
        <v>-0.39089184060721061</v>
      </c>
      <c r="BU1307" s="36">
        <f>(Inventory[[#This Row],[Adjusted Total]]-Inventory[[#This Row],[24Final]])/Inventory[[#This Row],[24Final]]</f>
        <v>5.3770086526576021E-2</v>
      </c>
    </row>
    <row r="1308" spans="1:73" x14ac:dyDescent="0.3">
      <c r="A1308" s="25">
        <v>2025</v>
      </c>
      <c r="B1308" s="26" t="s">
        <v>2362</v>
      </c>
      <c r="C1308" s="26">
        <f>LN(Inventory[[#This Row],[Acres]])</f>
        <v>-1.6607312068216509</v>
      </c>
      <c r="D1308" s="25">
        <v>0.19</v>
      </c>
      <c r="E1308" s="31"/>
      <c r="F1308" s="26" t="s">
        <v>537</v>
      </c>
      <c r="G1308" s="26" t="s">
        <v>126</v>
      </c>
      <c r="H1308" s="26" t="s">
        <v>349</v>
      </c>
      <c r="I1308" s="26" t="s">
        <v>538</v>
      </c>
      <c r="J1308" s="26" t="s">
        <v>539</v>
      </c>
      <c r="K1308" s="26" t="s">
        <v>173</v>
      </c>
      <c r="L1308" s="26" t="s">
        <v>205</v>
      </c>
      <c r="M1308" s="26" t="s">
        <v>323</v>
      </c>
      <c r="N1308" s="26">
        <v>90</v>
      </c>
      <c r="O1308" s="26">
        <f>2024-Inventory[[#This Row],[YrBlt]]</f>
        <v>84</v>
      </c>
      <c r="P1308" s="26">
        <f>2024-Inventory[[#This Row],[EffYr]]</f>
        <v>52</v>
      </c>
      <c r="Q1308" s="25">
        <v>1940</v>
      </c>
      <c r="R1308" s="25">
        <v>1972</v>
      </c>
      <c r="S1308" s="25">
        <v>896</v>
      </c>
      <c r="T1308" s="32">
        <v>300</v>
      </c>
      <c r="U1308" s="25">
        <v>896</v>
      </c>
      <c r="V1308" s="25">
        <f>Inventory[[#This Row],[Bsmt]]-Inventory[[#This Row],[FnBsmt]]</f>
        <v>896</v>
      </c>
      <c r="W1308" s="31"/>
      <c r="X1308" s="27"/>
      <c r="Y1308" s="27">
        <f>Inventory[[#This Row],[MainFn]]+Inventory[[#This Row],[UpprFn]]+Inventory[[#This Row],[FnBsmt]]+Inventory[[#This Row],[AddFn]]</f>
        <v>1196</v>
      </c>
      <c r="Z1308" s="27">
        <v>1500</v>
      </c>
      <c r="AA1308" s="25">
        <v>7</v>
      </c>
      <c r="AB1308" s="27"/>
      <c r="AC1308" s="27"/>
      <c r="AD1308" s="31"/>
      <c r="AE1308" s="27"/>
      <c r="AF1308" s="27"/>
      <c r="AG1308" s="27"/>
      <c r="AH1308" s="27"/>
      <c r="AI1308" s="25">
        <v>210063</v>
      </c>
      <c r="AJ1308" s="25">
        <v>142843</v>
      </c>
      <c r="AK1308" s="25">
        <v>6224</v>
      </c>
      <c r="AL1308" s="25">
        <v>285300</v>
      </c>
      <c r="AM1308" s="25">
        <v>56600</v>
      </c>
      <c r="AN1308" s="25">
        <v>228700</v>
      </c>
      <c r="AO1308" s="25">
        <v>0</v>
      </c>
      <c r="AP1308" s="25">
        <f>Lookups!$B$56*0</f>
        <v>0</v>
      </c>
      <c r="AQ1308" s="25">
        <f>Lookups!$B$56*1</f>
        <v>89850.625589999996</v>
      </c>
      <c r="AR1308" s="25">
        <f>Lookups!$B$57*Inventory[[#This Row],[LnAcres]]</f>
        <v>-52569.808201026557</v>
      </c>
      <c r="AS1308" s="25">
        <f>VLOOKUP(Inventory[[#This Row],[Qlty]],Lookups!$A$62:$E$75,2,FALSE)</f>
        <v>0</v>
      </c>
      <c r="AT1308" s="25">
        <f>VLOOKUP(Inventory[[#This Row],[Cnd]],Lookups!$A$76:$E$84,2,FALSE)</f>
        <v>160472.20319</v>
      </c>
      <c r="AU1308" s="25">
        <f>Inventory[[#This Row],[EffAge]]*Lookups!$B$85</f>
        <v>-11598.371226000001</v>
      </c>
      <c r="AV1308" s="25">
        <f>Inventory[[#This Row],[MainFn]]*Lookups!$B$86</f>
        <v>44270.168209791998</v>
      </c>
      <c r="AW1308" s="25">
        <f>Inventory[[#This Row],[UpprFn]]*Lookups!$B$87</f>
        <v>13435.926858299999</v>
      </c>
      <c r="AX1308" s="25">
        <f>Inventory[[#This Row],[AddFn]]*Lookups!$B$88</f>
        <v>0</v>
      </c>
      <c r="AY1308" s="25">
        <f>Inventory[[#This Row],[Bsmt]]*Lookups!$B$89</f>
        <v>26057.378141311998</v>
      </c>
      <c r="AZ1308" s="25">
        <f>Inventory[[#This Row],[Fixtures]]*Lookups!$B$90</f>
        <v>26544.1547364</v>
      </c>
      <c r="BA1308" s="25">
        <f>Inventory[[#This Row],[WdDeck]]*Lookups!$B$91</f>
        <v>0</v>
      </c>
      <c r="BB1308" s="25">
        <f>ROUND(Inventory[[#This Row],[25Det]],-2)</f>
        <v>6200</v>
      </c>
      <c r="BC1308" s="25">
        <f>ROUND(SUM(Inventory[[#This Row],[Mdl Qlty]:[Mdl WdDeck]])+Inventory[[#This Row],[Mdl Res Intercept]],-2)</f>
        <v>259200</v>
      </c>
      <c r="BD1308" s="25">
        <f>ROUND(Inventory[[#This Row],[Mdl Land Intercept]]+Inventory[[#This Row],[Mdl LnAcres]],-2)</f>
        <v>37300</v>
      </c>
      <c r="BE1308" s="25">
        <f>Inventory[[#This Row],[Unadj Res Value]]+Inventory[[#This Row],[Unadj Det Value]]+Inventory[[#This Row],[Unadj Land Value]]</f>
        <v>302700</v>
      </c>
      <c r="BF1308" s="36">
        <f>(Inventory[[#This Row],[Unadj Total Value]]-Inventory[[#This Row],[24Final]])/Inventory[[#This Row],[24Final]]</f>
        <v>6.0988433228180865E-2</v>
      </c>
      <c r="BG1308" s="25">
        <f>VLOOKUP(Inventory[[#This Row],[Nbhd]],Lookups!$Q$2:$T$4,4,FALSE)</f>
        <v>0.99970000000000003</v>
      </c>
      <c r="BH1308" s="25">
        <f>VLOOKUP(Inventory[[#This Row],[Qlty]],Lookups!$O$7:$R$21,4,FALSE)</f>
        <v>0.99180000000000001</v>
      </c>
      <c r="BI1308" s="25">
        <f>VLOOKUP(Inventory[[#This Row],[Cnd]],Lookups!$T$7:$W$16,4,FALSE)</f>
        <v>0.99729999999999996</v>
      </c>
      <c r="BJ1308" s="25">
        <f>VLOOKUP(Inventory[[#This Row],[LivArea Range]],Lookups!$T$25:$W$37,4,FALSE)</f>
        <v>1.0157</v>
      </c>
      <c r="BK1308" s="25">
        <f>VLOOKUP(Inventory[[#This Row],[Decade]],Lookups!$O$25:$R$42,4,FALSE)</f>
        <v>0.98909999999999998</v>
      </c>
      <c r="BL1308" s="25">
        <f>Inventory[[#This Row],[Nbhd Adj]]*0.95</f>
        <v>0.94971499999999998</v>
      </c>
      <c r="BM1308" s="25">
        <f>Inventory[[#This Row],[Nbhd Adj]]*Inventory[[#This Row],[Quality Adj]]*Inventory[[#This Row],[Condition Adj]]*Inventory[[#This Row],[Living Area Adj]]*Inventory[[#This Row],[Decade Adj]]*0.95</f>
        <v>0.94373242022269987</v>
      </c>
      <c r="BN1308" s="25">
        <f>ROUND(SUM(Inventory[[#This Row],[Mdl Qlty]:[Mdl WdDeck]])+Inventory[[#This Row],[Mdl Res Intercept]]*Inventory[[#This Row],[Res Adj ]],-2)</f>
        <v>259200</v>
      </c>
      <c r="BO1308" s="25">
        <f>ROUND(Inventory[[#This Row],[25Det]]*Inventory[[#This Row],[Det/Nbhd Adj]],-2)</f>
        <v>5900</v>
      </c>
      <c r="BP1308" s="25">
        <f>Inventory[[#This Row],[Adjusted Res]]+Inventory[[#This Row],[Adj Det ]]</f>
        <v>265100</v>
      </c>
      <c r="BQ1308" s="25">
        <f>ROUND((Inventory[[#This Row],[Mdl Land Intercept]]+Inventory[[#This Row],[Mdl LnAcres]])*Inventory[[#This Row],[Det/Nbhd Adj]],-2)</f>
        <v>35400</v>
      </c>
      <c r="BR1308" s="25">
        <f>Inventory[[#This Row],[Adjusted Impr Total]]+Inventory[[#This Row],[Adjusted Land Total]]</f>
        <v>300500</v>
      </c>
      <c r="BS1308" s="36">
        <f>IFERROR((Inventory[[#This Row],[Adjusted Impr Total]]-Inventory[[#This Row],[24Bldg]])/Inventory[[#This Row],[24Bldg]],0)</f>
        <v>0.15916047223436816</v>
      </c>
      <c r="BT1308" s="36">
        <f>(Inventory[[#This Row],[Adjusted Land Total]]-Inventory[[#This Row],[24Lnd]])/Inventory[[#This Row],[24Lnd]]</f>
        <v>-0.37455830388692579</v>
      </c>
      <c r="BU1308" s="36">
        <f>(Inventory[[#This Row],[Adjusted Total]]-Inventory[[#This Row],[24Final]])/Inventory[[#This Row],[24Final]]</f>
        <v>5.3277252015422362E-2</v>
      </c>
    </row>
    <row r="1309" spans="1:73" x14ac:dyDescent="0.3">
      <c r="A1309" s="25">
        <v>2025</v>
      </c>
      <c r="B1309" s="26" t="s">
        <v>1065</v>
      </c>
      <c r="C1309" s="26">
        <f>LN(Inventory[[#This Row],[Acres]])</f>
        <v>-1.5141277326297755</v>
      </c>
      <c r="D1309" s="25">
        <v>0.22</v>
      </c>
      <c r="E1309" s="25">
        <v>9520</v>
      </c>
      <c r="F1309" s="26" t="s">
        <v>537</v>
      </c>
      <c r="G1309" s="26" t="s">
        <v>126</v>
      </c>
      <c r="H1309" s="26" t="s">
        <v>349</v>
      </c>
      <c r="I1309" s="26" t="s">
        <v>538</v>
      </c>
      <c r="J1309" s="26" t="s">
        <v>539</v>
      </c>
      <c r="K1309" s="26" t="s">
        <v>242</v>
      </c>
      <c r="L1309" s="26" t="s">
        <v>148</v>
      </c>
      <c r="M1309" s="26" t="s">
        <v>323</v>
      </c>
      <c r="N1309" s="26">
        <v>90</v>
      </c>
      <c r="O1309" s="26">
        <f>2024-Inventory[[#This Row],[YrBlt]]</f>
        <v>84</v>
      </c>
      <c r="P1309" s="26">
        <f>2024-Inventory[[#This Row],[EffYr]]</f>
        <v>52</v>
      </c>
      <c r="Q1309" s="25">
        <v>1940</v>
      </c>
      <c r="R1309" s="25">
        <v>1972</v>
      </c>
      <c r="S1309" s="25">
        <v>1702</v>
      </c>
      <c r="T1309" s="27"/>
      <c r="U1309" s="25">
        <v>685</v>
      </c>
      <c r="V1309" s="25">
        <f>Inventory[[#This Row],[Bsmt]]-Inventory[[#This Row],[FnBsmt]]</f>
        <v>685</v>
      </c>
      <c r="W1309" s="31"/>
      <c r="X1309" s="27"/>
      <c r="Y1309" s="27">
        <f>Inventory[[#This Row],[MainFn]]+Inventory[[#This Row],[UpprFn]]+Inventory[[#This Row],[FnBsmt]]+Inventory[[#This Row],[AddFn]]</f>
        <v>1702</v>
      </c>
      <c r="Z1309" s="27">
        <v>2000</v>
      </c>
      <c r="AA1309" s="25">
        <v>10</v>
      </c>
      <c r="AB1309" s="27"/>
      <c r="AC1309" s="32">
        <v>462</v>
      </c>
      <c r="AD1309" s="27"/>
      <c r="AE1309" s="27"/>
      <c r="AF1309" s="27"/>
      <c r="AG1309" s="27"/>
      <c r="AH1309" s="27"/>
      <c r="AI1309" s="25">
        <v>432807</v>
      </c>
      <c r="AJ1309" s="25">
        <v>294309</v>
      </c>
      <c r="AK1309" s="25">
        <v>0</v>
      </c>
      <c r="AL1309" s="25">
        <v>355900</v>
      </c>
      <c r="AM1309" s="25">
        <v>61700</v>
      </c>
      <c r="AN1309" s="25">
        <v>294200</v>
      </c>
      <c r="AO1309" s="25">
        <v>0</v>
      </c>
      <c r="AP1309" s="25">
        <f>Lookups!$B$56*0</f>
        <v>0</v>
      </c>
      <c r="AQ1309" s="25">
        <f>Lookups!$B$56*1</f>
        <v>89850.625589999996</v>
      </c>
      <c r="AR1309" s="25">
        <f>Lookups!$B$57*Inventory[[#This Row],[LnAcres]]</f>
        <v>-47929.131559187132</v>
      </c>
      <c r="AS1309" s="25">
        <f>VLOOKUP(Inventory[[#This Row],[Qlty]],Lookups!$A$62:$E$75,2,FALSE)</f>
        <v>44121.038090000002</v>
      </c>
      <c r="AT1309" s="25">
        <f>VLOOKUP(Inventory[[#This Row],[Cnd]],Lookups!$A$76:$E$84,2,FALSE)</f>
        <v>160472.20319</v>
      </c>
      <c r="AU1309" s="25">
        <f>Inventory[[#This Row],[EffAge]]*Lookups!$B$85</f>
        <v>-11598.371226000001</v>
      </c>
      <c r="AV1309" s="25">
        <f>Inventory[[#This Row],[MainFn]]*Lookups!$B$86</f>
        <v>84093.556130654004</v>
      </c>
      <c r="AW1309" s="25">
        <f>Inventory[[#This Row],[UpprFn]]*Lookups!$B$87</f>
        <v>0</v>
      </c>
      <c r="AX1309" s="25">
        <f>Inventory[[#This Row],[AddFn]]*Lookups!$B$88</f>
        <v>0</v>
      </c>
      <c r="AY1309" s="25">
        <f>Inventory[[#This Row],[Bsmt]]*Lookups!$B$89</f>
        <v>19921.098244195</v>
      </c>
      <c r="AZ1309" s="25">
        <f>Inventory[[#This Row],[Fixtures]]*Lookups!$B$90</f>
        <v>37920.221052000001</v>
      </c>
      <c r="BA1309" s="25">
        <f>Inventory[[#This Row],[WdDeck]]*Lookups!$B$91</f>
        <v>0</v>
      </c>
      <c r="BB1309" s="25">
        <f>ROUND(Inventory[[#This Row],[25Det]],-2)</f>
        <v>0</v>
      </c>
      <c r="BC1309" s="25">
        <f>ROUND(SUM(Inventory[[#This Row],[Mdl Qlty]:[Mdl WdDeck]])+Inventory[[#This Row],[Mdl Res Intercept]],-2)</f>
        <v>334900</v>
      </c>
      <c r="BD1309" s="25">
        <f>ROUND(Inventory[[#This Row],[Mdl Land Intercept]]+Inventory[[#This Row],[Mdl LnAcres]],-2)</f>
        <v>41900</v>
      </c>
      <c r="BE1309" s="25">
        <f>Inventory[[#This Row],[Unadj Res Value]]+Inventory[[#This Row],[Unadj Det Value]]+Inventory[[#This Row],[Unadj Land Value]]</f>
        <v>376800</v>
      </c>
      <c r="BF1309" s="36">
        <f>(Inventory[[#This Row],[Unadj Total Value]]-Inventory[[#This Row],[24Final]])/Inventory[[#This Row],[24Final]]</f>
        <v>5.8724360775498738E-2</v>
      </c>
      <c r="BG1309" s="25">
        <f>VLOOKUP(Inventory[[#This Row],[Nbhd]],Lookups!$Q$2:$T$4,4,FALSE)</f>
        <v>0.99970000000000003</v>
      </c>
      <c r="BH1309" s="25">
        <f>VLOOKUP(Inventory[[#This Row],[Qlty]],Lookups!$O$7:$R$21,4,FALSE)</f>
        <v>0.98050000000000004</v>
      </c>
      <c r="BI1309" s="25">
        <f>VLOOKUP(Inventory[[#This Row],[Cnd]],Lookups!$T$7:$W$16,4,FALSE)</f>
        <v>0.99729999999999996</v>
      </c>
      <c r="BJ1309" s="25">
        <f>VLOOKUP(Inventory[[#This Row],[LivArea Range]],Lookups!$T$25:$W$37,4,FALSE)</f>
        <v>1.0093000000000001</v>
      </c>
      <c r="BK1309" s="25">
        <f>VLOOKUP(Inventory[[#This Row],[Decade]],Lookups!$O$25:$R$42,4,FALSE)</f>
        <v>0.98909999999999998</v>
      </c>
      <c r="BL1309" s="25">
        <f>Inventory[[#This Row],[Nbhd Adj]]*0.95</f>
        <v>0.94971499999999998</v>
      </c>
      <c r="BM1309" s="25">
        <f>Inventory[[#This Row],[Nbhd Adj]]*Inventory[[#This Row],[Quality Adj]]*Inventory[[#This Row],[Condition Adj]]*Inventory[[#This Row],[Living Area Adj]]*Inventory[[#This Row],[Decade Adj]]*0.95</f>
        <v>0.92710129894118753</v>
      </c>
      <c r="BN1309" s="25">
        <f>ROUND(SUM(Inventory[[#This Row],[Mdl Qlty]:[Mdl WdDeck]])+Inventory[[#This Row],[Mdl Res Intercept]]*Inventory[[#This Row],[Res Adj ]],-2)</f>
        <v>334900</v>
      </c>
      <c r="BO1309" s="25">
        <f>ROUND(Inventory[[#This Row],[25Det]]*Inventory[[#This Row],[Det/Nbhd Adj]],-2)</f>
        <v>0</v>
      </c>
      <c r="BP1309" s="25">
        <f>Inventory[[#This Row],[Adjusted Res]]+Inventory[[#This Row],[Adj Det ]]</f>
        <v>334900</v>
      </c>
      <c r="BQ1309" s="25">
        <f>ROUND((Inventory[[#This Row],[Mdl Land Intercept]]+Inventory[[#This Row],[Mdl LnAcres]])*Inventory[[#This Row],[Det/Nbhd Adj]],-2)</f>
        <v>39800</v>
      </c>
      <c r="BR1309" s="25">
        <f>Inventory[[#This Row],[Adjusted Impr Total]]+Inventory[[#This Row],[Adjusted Land Total]]</f>
        <v>374700</v>
      </c>
      <c r="BS1309" s="36">
        <f>IFERROR((Inventory[[#This Row],[Adjusted Impr Total]]-Inventory[[#This Row],[24Bldg]])/Inventory[[#This Row],[24Bldg]],0)</f>
        <v>0.13834126444595513</v>
      </c>
      <c r="BT1309" s="36">
        <f>(Inventory[[#This Row],[Adjusted Land Total]]-Inventory[[#This Row],[24Lnd]])/Inventory[[#This Row],[24Lnd]]</f>
        <v>-0.35494327390599678</v>
      </c>
      <c r="BU1309" s="36">
        <f>(Inventory[[#This Row],[Adjusted Total]]-Inventory[[#This Row],[24Final]])/Inventory[[#This Row],[24Final]]</f>
        <v>5.2823826917673504E-2</v>
      </c>
    </row>
    <row r="1310" spans="1:73" x14ac:dyDescent="0.3">
      <c r="A1310" s="25">
        <v>2025</v>
      </c>
      <c r="B1310" s="26" t="s">
        <v>1545</v>
      </c>
      <c r="C1310" s="26">
        <f>LN(Inventory[[#This Row],[Acres]])</f>
        <v>-1.6094379124341003</v>
      </c>
      <c r="D1310" s="25">
        <v>0.2</v>
      </c>
      <c r="E1310" s="25">
        <v>8519</v>
      </c>
      <c r="F1310" s="26" t="s">
        <v>537</v>
      </c>
      <c r="G1310" s="26" t="s">
        <v>126</v>
      </c>
      <c r="H1310" s="26" t="s">
        <v>349</v>
      </c>
      <c r="I1310" s="26" t="s">
        <v>538</v>
      </c>
      <c r="J1310" s="26" t="s">
        <v>539</v>
      </c>
      <c r="K1310" s="26" t="s">
        <v>242</v>
      </c>
      <c r="L1310" s="26" t="s">
        <v>302</v>
      </c>
      <c r="M1310" s="26" t="s">
        <v>303</v>
      </c>
      <c r="N1310" s="26">
        <v>90</v>
      </c>
      <c r="O1310" s="26">
        <f>2024-Inventory[[#This Row],[YrBlt]]</f>
        <v>84</v>
      </c>
      <c r="P1310" s="26">
        <f>2024-Inventory[[#This Row],[EffYr]]</f>
        <v>52</v>
      </c>
      <c r="Q1310" s="25">
        <v>1940</v>
      </c>
      <c r="R1310" s="25">
        <v>1972</v>
      </c>
      <c r="S1310" s="25">
        <v>962</v>
      </c>
      <c r="T1310" s="27"/>
      <c r="U1310" s="25">
        <v>995</v>
      </c>
      <c r="V1310" s="25">
        <f>Inventory[[#This Row],[Bsmt]]-Inventory[[#This Row],[FnBsmt]]</f>
        <v>0</v>
      </c>
      <c r="W1310" s="25">
        <v>995</v>
      </c>
      <c r="X1310" s="27"/>
      <c r="Y1310" s="27">
        <f>Inventory[[#This Row],[MainFn]]+Inventory[[#This Row],[UpprFn]]+Inventory[[#This Row],[FnBsmt]]+Inventory[[#This Row],[AddFn]]</f>
        <v>1957</v>
      </c>
      <c r="Z1310" s="27">
        <v>2000</v>
      </c>
      <c r="AA1310" s="25">
        <v>9</v>
      </c>
      <c r="AB1310" s="32">
        <v>360</v>
      </c>
      <c r="AC1310" s="27"/>
      <c r="AD1310" s="31"/>
      <c r="AE1310" s="27"/>
      <c r="AF1310" s="27"/>
      <c r="AG1310" s="27"/>
      <c r="AH1310" s="27"/>
      <c r="AI1310" s="25">
        <v>323168</v>
      </c>
      <c r="AJ1310" s="25">
        <v>226218</v>
      </c>
      <c r="AK1310" s="25">
        <v>0</v>
      </c>
      <c r="AL1310" s="25">
        <v>345400</v>
      </c>
      <c r="AM1310" s="25">
        <v>58400</v>
      </c>
      <c r="AN1310" s="25">
        <v>287000</v>
      </c>
      <c r="AO1310" s="25">
        <v>0</v>
      </c>
      <c r="AP1310" s="25">
        <f>Lookups!$B$56*0</f>
        <v>0</v>
      </c>
      <c r="AQ1310" s="25">
        <f>Lookups!$B$56*1</f>
        <v>89850.625589999996</v>
      </c>
      <c r="AR1310" s="25">
        <f>Lookups!$B$57*Inventory[[#This Row],[LnAcres]]</f>
        <v>-50946.13867709865</v>
      </c>
      <c r="AS1310" s="25">
        <f>VLOOKUP(Inventory[[#This Row],[Qlty]],Lookups!$A$62:$E$75,2,FALSE)</f>
        <v>29814.093161000001</v>
      </c>
      <c r="AT1310" s="25">
        <f>VLOOKUP(Inventory[[#This Row],[Cnd]],Lookups!$A$76:$E$84,2,FALSE)</f>
        <v>197752.34721000001</v>
      </c>
      <c r="AU1310" s="25">
        <f>Inventory[[#This Row],[EffAge]]*Lookups!$B$85</f>
        <v>-11598.371226000001</v>
      </c>
      <c r="AV1310" s="25">
        <f>Inventory[[#This Row],[MainFn]]*Lookups!$B$86</f>
        <v>47531.140421674005</v>
      </c>
      <c r="AW1310" s="25">
        <f>Inventory[[#This Row],[UpprFn]]*Lookups!$B$87</f>
        <v>0</v>
      </c>
      <c r="AX1310" s="25">
        <f>Inventory[[#This Row],[AddFn]]*Lookups!$B$88</f>
        <v>0</v>
      </c>
      <c r="AY1310" s="25">
        <f>Inventory[[#This Row],[Bsmt]]*Lookups!$B$89</f>
        <v>28936.485770764997</v>
      </c>
      <c r="AZ1310" s="25">
        <f>Inventory[[#This Row],[Fixtures]]*Lookups!$B$90</f>
        <v>34128.198946800003</v>
      </c>
      <c r="BA1310" s="25">
        <f>Inventory[[#This Row],[WdDeck]]*Lookups!$B$91</f>
        <v>0</v>
      </c>
      <c r="BB1310" s="25">
        <f>ROUND(Inventory[[#This Row],[25Det]],-2)</f>
        <v>0</v>
      </c>
      <c r="BC1310" s="25">
        <f>ROUND(SUM(Inventory[[#This Row],[Mdl Qlty]:[Mdl WdDeck]])+Inventory[[#This Row],[Mdl Res Intercept]],-2)</f>
        <v>326600</v>
      </c>
      <c r="BD1310" s="25">
        <f>ROUND(Inventory[[#This Row],[Mdl Land Intercept]]+Inventory[[#This Row],[Mdl LnAcres]],-2)</f>
        <v>38900</v>
      </c>
      <c r="BE1310" s="25">
        <f>Inventory[[#This Row],[Unadj Res Value]]+Inventory[[#This Row],[Unadj Det Value]]+Inventory[[#This Row],[Unadj Land Value]]</f>
        <v>365500</v>
      </c>
      <c r="BF1310" s="36">
        <f>(Inventory[[#This Row],[Unadj Total Value]]-Inventory[[#This Row],[24Final]])/Inventory[[#This Row],[24Final]]</f>
        <v>5.8193398957730166E-2</v>
      </c>
      <c r="BG1310" s="25">
        <f>VLOOKUP(Inventory[[#This Row],[Nbhd]],Lookups!$Q$2:$T$4,4,FALSE)</f>
        <v>0.99970000000000003</v>
      </c>
      <c r="BH1310" s="25">
        <f>VLOOKUP(Inventory[[#This Row],[Qlty]],Lookups!$O$7:$R$21,4,FALSE)</f>
        <v>1.0088999999999999</v>
      </c>
      <c r="BI1310" s="25">
        <f>VLOOKUP(Inventory[[#This Row],[Cnd]],Lookups!$T$7:$W$16,4,FALSE)</f>
        <v>0.99650000000000005</v>
      </c>
      <c r="BJ1310" s="25">
        <f>VLOOKUP(Inventory[[#This Row],[LivArea Range]],Lookups!$T$25:$W$37,4,FALSE)</f>
        <v>1.0093000000000001</v>
      </c>
      <c r="BK1310" s="25">
        <f>VLOOKUP(Inventory[[#This Row],[Decade]],Lookups!$O$25:$R$42,4,FALSE)</f>
        <v>0.98909999999999998</v>
      </c>
      <c r="BL1310" s="25">
        <f>Inventory[[#This Row],[Nbhd Adj]]*0.95</f>
        <v>0.94971499999999998</v>
      </c>
      <c r="BM1310" s="25">
        <f>Inventory[[#This Row],[Nbhd Adj]]*Inventory[[#This Row],[Quality Adj]]*Inventory[[#This Row],[Condition Adj]]*Inventory[[#This Row],[Living Area Adj]]*Inventory[[#This Row],[Decade Adj]]*0.95</f>
        <v>0.95318938569119571</v>
      </c>
      <c r="BN1310" s="25">
        <f>ROUND(SUM(Inventory[[#This Row],[Mdl Qlty]:[Mdl WdDeck]])+Inventory[[#This Row],[Mdl Res Intercept]]*Inventory[[#This Row],[Res Adj ]],-2)</f>
        <v>326600</v>
      </c>
      <c r="BO1310" s="25">
        <f>ROUND(Inventory[[#This Row],[25Det]]*Inventory[[#This Row],[Det/Nbhd Adj]],-2)</f>
        <v>0</v>
      </c>
      <c r="BP1310" s="25">
        <f>Inventory[[#This Row],[Adjusted Res]]+Inventory[[#This Row],[Adj Det ]]</f>
        <v>326600</v>
      </c>
      <c r="BQ1310" s="25">
        <f>ROUND((Inventory[[#This Row],[Mdl Land Intercept]]+Inventory[[#This Row],[Mdl LnAcres]])*Inventory[[#This Row],[Det/Nbhd Adj]],-2)</f>
        <v>36900</v>
      </c>
      <c r="BR1310" s="25">
        <f>Inventory[[#This Row],[Adjusted Impr Total]]+Inventory[[#This Row],[Adjusted Land Total]]</f>
        <v>363500</v>
      </c>
      <c r="BS1310" s="36">
        <f>IFERROR((Inventory[[#This Row],[Adjusted Impr Total]]-Inventory[[#This Row],[24Bldg]])/Inventory[[#This Row],[24Bldg]],0)</f>
        <v>0.13797909407665504</v>
      </c>
      <c r="BT1310" s="36">
        <f>(Inventory[[#This Row],[Adjusted Land Total]]-Inventory[[#This Row],[24Lnd]])/Inventory[[#This Row],[24Lnd]]</f>
        <v>-0.36815068493150682</v>
      </c>
      <c r="BU1310" s="36">
        <f>(Inventory[[#This Row],[Adjusted Total]]-Inventory[[#This Row],[24Final]])/Inventory[[#This Row],[24Final]]</f>
        <v>5.2403011001737117E-2</v>
      </c>
    </row>
    <row r="1311" spans="1:73" x14ac:dyDescent="0.3">
      <c r="A1311" s="25">
        <v>2025</v>
      </c>
      <c r="B1311" s="26" t="s">
        <v>2439</v>
      </c>
      <c r="C1311" s="26">
        <f>LN(Inventory[[#This Row],[Acres]])</f>
        <v>-0.79850769621777162</v>
      </c>
      <c r="D1311" s="25">
        <v>0.45</v>
      </c>
      <c r="E1311" s="32">
        <v>19723</v>
      </c>
      <c r="F1311" s="26" t="s">
        <v>537</v>
      </c>
      <c r="G1311" s="26" t="s">
        <v>126</v>
      </c>
      <c r="H1311" s="26" t="s">
        <v>349</v>
      </c>
      <c r="I1311" s="26" t="s">
        <v>538</v>
      </c>
      <c r="J1311" s="26" t="s">
        <v>539</v>
      </c>
      <c r="K1311" s="26" t="s">
        <v>300</v>
      </c>
      <c r="L1311" s="26" t="s">
        <v>95</v>
      </c>
      <c r="M1311" s="26" t="s">
        <v>352</v>
      </c>
      <c r="N1311" s="26">
        <v>90</v>
      </c>
      <c r="O1311" s="26">
        <f>2024-Inventory[[#This Row],[YrBlt]]</f>
        <v>84</v>
      </c>
      <c r="P1311" s="26">
        <f>2024-Inventory[[#This Row],[EffYr]]</f>
        <v>52</v>
      </c>
      <c r="Q1311" s="25">
        <v>1940</v>
      </c>
      <c r="R1311" s="25">
        <v>1972</v>
      </c>
      <c r="S1311" s="25">
        <v>2166</v>
      </c>
      <c r="T1311" s="27"/>
      <c r="U1311" s="25">
        <v>1638</v>
      </c>
      <c r="V1311" s="25">
        <f>Inventory[[#This Row],[Bsmt]]-Inventory[[#This Row],[FnBsmt]]</f>
        <v>819</v>
      </c>
      <c r="W1311" s="25">
        <v>819</v>
      </c>
      <c r="X1311" s="27"/>
      <c r="Y1311" s="27">
        <f>Inventory[[#This Row],[MainFn]]+Inventory[[#This Row],[UpprFn]]+Inventory[[#This Row],[FnBsmt]]+Inventory[[#This Row],[AddFn]]</f>
        <v>2985</v>
      </c>
      <c r="Z1311" s="27">
        <v>3000</v>
      </c>
      <c r="AA1311" s="25">
        <v>11</v>
      </c>
      <c r="AB1311" s="27"/>
      <c r="AC1311" s="27"/>
      <c r="AD1311" s="27"/>
      <c r="AE1311" s="27"/>
      <c r="AF1311" s="27"/>
      <c r="AG1311" s="27"/>
      <c r="AH1311" s="27"/>
      <c r="AI1311" s="25">
        <v>678569</v>
      </c>
      <c r="AJ1311" s="25">
        <v>488570</v>
      </c>
      <c r="AK1311" s="25">
        <v>46499</v>
      </c>
      <c r="AL1311" s="25">
        <v>617000</v>
      </c>
      <c r="AM1311" s="25">
        <v>86700</v>
      </c>
      <c r="AN1311" s="25">
        <v>530300</v>
      </c>
      <c r="AO1311" s="25">
        <v>0</v>
      </c>
      <c r="AP1311" s="25">
        <f>Lookups!$B$56*0</f>
        <v>0</v>
      </c>
      <c r="AQ1311" s="25">
        <f>Lookups!$B$56*1</f>
        <v>89850.625589999996</v>
      </c>
      <c r="AR1311" s="25">
        <f>Lookups!$B$57*Inventory[[#This Row],[LnAcres]]</f>
        <v>-25276.45429000472</v>
      </c>
      <c r="AS1311" s="25">
        <f>VLOOKUP(Inventory[[#This Row],[Qlty]],Lookups!$A$62:$E$75,2,FALSE)</f>
        <v>74268.409664999999</v>
      </c>
      <c r="AT1311" s="25">
        <f>VLOOKUP(Inventory[[#This Row],[Cnd]],Lookups!$A$76:$E$84,2,FALSE)</f>
        <v>284810.60806</v>
      </c>
      <c r="AU1311" s="25">
        <f>Inventory[[#This Row],[EffAge]]*Lookups!$B$85</f>
        <v>-11598.371226000001</v>
      </c>
      <c r="AV1311" s="25">
        <f>Inventory[[#This Row],[MainFn]]*Lookups!$B$86</f>
        <v>107019.178953582</v>
      </c>
      <c r="AW1311" s="25">
        <f>Inventory[[#This Row],[UpprFn]]*Lookups!$B$87</f>
        <v>0</v>
      </c>
      <c r="AX1311" s="25">
        <f>Inventory[[#This Row],[AddFn]]*Lookups!$B$88</f>
        <v>0</v>
      </c>
      <c r="AY1311" s="25">
        <f>Inventory[[#This Row],[Bsmt]]*Lookups!$B$89</f>
        <v>47636.144414586</v>
      </c>
      <c r="AZ1311" s="25">
        <f>Inventory[[#This Row],[Fixtures]]*Lookups!$B$90</f>
        <v>41712.243157199999</v>
      </c>
      <c r="BA1311" s="25">
        <f>Inventory[[#This Row],[WdDeck]]*Lookups!$B$91</f>
        <v>0</v>
      </c>
      <c r="BB1311" s="25">
        <f>ROUND(Inventory[[#This Row],[25Det]],-2)</f>
        <v>46500</v>
      </c>
      <c r="BC1311" s="25">
        <f>ROUND(SUM(Inventory[[#This Row],[Mdl Qlty]:[Mdl WdDeck]])+Inventory[[#This Row],[Mdl Res Intercept]],-2)</f>
        <v>543800</v>
      </c>
      <c r="BD1311" s="25">
        <f>ROUND(Inventory[[#This Row],[Mdl Land Intercept]]+Inventory[[#This Row],[Mdl LnAcres]],-2)</f>
        <v>64600</v>
      </c>
      <c r="BE1311" s="25">
        <f>Inventory[[#This Row],[Unadj Res Value]]+Inventory[[#This Row],[Unadj Det Value]]+Inventory[[#This Row],[Unadj Land Value]]</f>
        <v>654900</v>
      </c>
      <c r="BF1311" s="36">
        <f>(Inventory[[#This Row],[Unadj Total Value]]-Inventory[[#This Row],[24Final]])/Inventory[[#This Row],[24Final]]</f>
        <v>6.1426256077795789E-2</v>
      </c>
      <c r="BG1311" s="25">
        <f>VLOOKUP(Inventory[[#This Row],[Nbhd]],Lookups!$Q$2:$T$4,4,FALSE)</f>
        <v>0.99970000000000003</v>
      </c>
      <c r="BH1311" s="25">
        <f>VLOOKUP(Inventory[[#This Row],[Qlty]],Lookups!$O$7:$R$21,4,FALSE)</f>
        <v>0.98380000000000001</v>
      </c>
      <c r="BI1311" s="25">
        <f>VLOOKUP(Inventory[[#This Row],[Cnd]],Lookups!$T$7:$W$16,4,FALSE)</f>
        <v>1.0158</v>
      </c>
      <c r="BJ1311" s="25">
        <f>VLOOKUP(Inventory[[#This Row],[LivArea Range]],Lookups!$T$25:$W$37,4,FALSE)</f>
        <v>0.96179999999999999</v>
      </c>
      <c r="BK1311" s="25">
        <f>VLOOKUP(Inventory[[#This Row],[Decade]],Lookups!$O$25:$R$42,4,FALSE)</f>
        <v>0.98909999999999998</v>
      </c>
      <c r="BL1311" s="25">
        <f>Inventory[[#This Row],[Nbhd Adj]]*0.95</f>
        <v>0.94971499999999998</v>
      </c>
      <c r="BM1311" s="25">
        <f>Inventory[[#This Row],[Nbhd Adj]]*Inventory[[#This Row],[Quality Adj]]*Inventory[[#This Row],[Condition Adj]]*Inventory[[#This Row],[Living Area Adj]]*Inventory[[#This Row],[Decade Adj]]*0.95</f>
        <v>0.90288678946097178</v>
      </c>
      <c r="BN1311" s="25">
        <f>ROUND(SUM(Inventory[[#This Row],[Mdl Qlty]:[Mdl WdDeck]])+Inventory[[#This Row],[Mdl Res Intercept]]*Inventory[[#This Row],[Res Adj ]],-2)</f>
        <v>543800</v>
      </c>
      <c r="BO1311" s="25">
        <f>ROUND(Inventory[[#This Row],[25Det]]*Inventory[[#This Row],[Det/Nbhd Adj]],-2)</f>
        <v>44200</v>
      </c>
      <c r="BP1311" s="25">
        <f>Inventory[[#This Row],[Adjusted Res]]+Inventory[[#This Row],[Adj Det ]]</f>
        <v>588000</v>
      </c>
      <c r="BQ1311" s="25">
        <f>ROUND((Inventory[[#This Row],[Mdl Land Intercept]]+Inventory[[#This Row],[Mdl LnAcres]])*Inventory[[#This Row],[Det/Nbhd Adj]],-2)</f>
        <v>61300</v>
      </c>
      <c r="BR1311" s="25">
        <f>Inventory[[#This Row],[Adjusted Impr Total]]+Inventory[[#This Row],[Adjusted Land Total]]</f>
        <v>649300</v>
      </c>
      <c r="BS1311" s="36">
        <f>IFERROR((Inventory[[#This Row],[Adjusted Impr Total]]-Inventory[[#This Row],[24Bldg]])/Inventory[[#This Row],[24Bldg]],0)</f>
        <v>0.10880633603620592</v>
      </c>
      <c r="BT1311" s="36">
        <f>(Inventory[[#This Row],[Adjusted Land Total]]-Inventory[[#This Row],[24Lnd]])/Inventory[[#This Row],[24Lnd]]</f>
        <v>-0.29296424452133796</v>
      </c>
      <c r="BU1311" s="36">
        <f>(Inventory[[#This Row],[Adjusted Total]]-Inventory[[#This Row],[24Final]])/Inventory[[#This Row],[24Final]]</f>
        <v>5.2350081037277146E-2</v>
      </c>
    </row>
    <row r="1312" spans="1:73" x14ac:dyDescent="0.3">
      <c r="A1312" s="25">
        <v>2025</v>
      </c>
      <c r="B1312" s="26" t="s">
        <v>993</v>
      </c>
      <c r="C1312" s="26">
        <f>LN(Inventory[[#This Row],[Acres]])</f>
        <v>-0.3285040669720361</v>
      </c>
      <c r="D1312" s="25">
        <v>0.72</v>
      </c>
      <c r="E1312" s="32">
        <v>31258</v>
      </c>
      <c r="F1312" s="26" t="s">
        <v>537</v>
      </c>
      <c r="G1312" s="26" t="s">
        <v>126</v>
      </c>
      <c r="H1312" s="26" t="s">
        <v>349</v>
      </c>
      <c r="I1312" s="26" t="s">
        <v>538</v>
      </c>
      <c r="J1312" s="26" t="s">
        <v>539</v>
      </c>
      <c r="K1312" s="26" t="s">
        <v>300</v>
      </c>
      <c r="L1312" s="26" t="s">
        <v>302</v>
      </c>
      <c r="M1312" s="26" t="s">
        <v>303</v>
      </c>
      <c r="N1312" s="26">
        <v>90</v>
      </c>
      <c r="O1312" s="26">
        <f>2024-Inventory[[#This Row],[YrBlt]]</f>
        <v>84</v>
      </c>
      <c r="P1312" s="26">
        <f>2024-Inventory[[#This Row],[EffYr]]</f>
        <v>52</v>
      </c>
      <c r="Q1312" s="25">
        <v>1940</v>
      </c>
      <c r="R1312" s="25">
        <v>1972</v>
      </c>
      <c r="S1312" s="25">
        <v>2468</v>
      </c>
      <c r="T1312" s="31"/>
      <c r="U1312" s="25">
        <v>937</v>
      </c>
      <c r="V1312" s="25">
        <f>Inventory[[#This Row],[Bsmt]]-Inventory[[#This Row],[FnBsmt]]</f>
        <v>237</v>
      </c>
      <c r="W1312" s="25">
        <v>700</v>
      </c>
      <c r="X1312" s="27"/>
      <c r="Y1312" s="27">
        <f>Inventory[[#This Row],[MainFn]]+Inventory[[#This Row],[UpprFn]]+Inventory[[#This Row],[FnBsmt]]+Inventory[[#This Row],[AddFn]]</f>
        <v>3168</v>
      </c>
      <c r="Z1312" s="27">
        <v>3500</v>
      </c>
      <c r="AA1312" s="25">
        <v>5</v>
      </c>
      <c r="AB1312" s="27"/>
      <c r="AC1312" s="27"/>
      <c r="AD1312" s="31"/>
      <c r="AE1312" s="27"/>
      <c r="AF1312" s="27"/>
      <c r="AG1312" s="27"/>
      <c r="AH1312" s="27"/>
      <c r="AI1312" s="25">
        <v>502052</v>
      </c>
      <c r="AJ1312" s="25">
        <v>351436</v>
      </c>
      <c r="AK1312" s="25">
        <v>74769</v>
      </c>
      <c r="AL1312" s="25">
        <v>504400</v>
      </c>
      <c r="AM1312" s="25">
        <v>103100</v>
      </c>
      <c r="AN1312" s="25">
        <v>401300</v>
      </c>
      <c r="AO1312" s="25">
        <v>0</v>
      </c>
      <c r="AP1312" s="25">
        <f>Lookups!$B$56*0</f>
        <v>0</v>
      </c>
      <c r="AQ1312" s="25">
        <f>Lookups!$B$56*1</f>
        <v>89850.625589999996</v>
      </c>
      <c r="AR1312" s="25">
        <f>Lookups!$B$57*Inventory[[#This Row],[LnAcres]]</f>
        <v>-10398.670009355532</v>
      </c>
      <c r="AS1312" s="25">
        <f>VLOOKUP(Inventory[[#This Row],[Qlty]],Lookups!$A$62:$E$75,2,FALSE)</f>
        <v>29814.093161000001</v>
      </c>
      <c r="AT1312" s="25">
        <f>VLOOKUP(Inventory[[#This Row],[Cnd]],Lookups!$A$76:$E$84,2,FALSE)</f>
        <v>197752.34721000001</v>
      </c>
      <c r="AU1312" s="25">
        <f>Inventory[[#This Row],[EffAge]]*Lookups!$B$85</f>
        <v>-11598.371226000001</v>
      </c>
      <c r="AV1312" s="25">
        <f>Inventory[[#This Row],[MainFn]]*Lookups!$B$86</f>
        <v>121940.597256436</v>
      </c>
      <c r="AW1312" s="25">
        <f>Inventory[[#This Row],[UpprFn]]*Lookups!$B$87</f>
        <v>0</v>
      </c>
      <c r="AX1312" s="25">
        <f>Inventory[[#This Row],[AddFn]]*Lookups!$B$88</f>
        <v>0</v>
      </c>
      <c r="AY1312" s="25">
        <f>Inventory[[#This Row],[Bsmt]]*Lookups!$B$89</f>
        <v>27249.735846438998</v>
      </c>
      <c r="AZ1312" s="25">
        <f>Inventory[[#This Row],[Fixtures]]*Lookups!$B$90</f>
        <v>18960.110526</v>
      </c>
      <c r="BA1312" s="25">
        <f>Inventory[[#This Row],[WdDeck]]*Lookups!$B$91</f>
        <v>0</v>
      </c>
      <c r="BB1312" s="25">
        <f>ROUND(Inventory[[#This Row],[25Det]],-2)</f>
        <v>74800</v>
      </c>
      <c r="BC1312" s="25">
        <f>ROUND(SUM(Inventory[[#This Row],[Mdl Qlty]:[Mdl WdDeck]])+Inventory[[#This Row],[Mdl Res Intercept]],-2)</f>
        <v>384100</v>
      </c>
      <c r="BD1312" s="25">
        <f>ROUND(Inventory[[#This Row],[Mdl Land Intercept]]+Inventory[[#This Row],[Mdl LnAcres]],-2)</f>
        <v>79500</v>
      </c>
      <c r="BE1312" s="25">
        <f>Inventory[[#This Row],[Unadj Res Value]]+Inventory[[#This Row],[Unadj Det Value]]+Inventory[[#This Row],[Unadj Land Value]]</f>
        <v>538400</v>
      </c>
      <c r="BF1312" s="36">
        <f>(Inventory[[#This Row],[Unadj Total Value]]-Inventory[[#This Row],[24Final]])/Inventory[[#This Row],[24Final]]</f>
        <v>6.7406819984139568E-2</v>
      </c>
      <c r="BG1312" s="25">
        <f>VLOOKUP(Inventory[[#This Row],[Nbhd]],Lookups!$Q$2:$T$4,4,FALSE)</f>
        <v>0.99970000000000003</v>
      </c>
      <c r="BH1312" s="25">
        <f>VLOOKUP(Inventory[[#This Row],[Qlty]],Lookups!$O$7:$R$21,4,FALSE)</f>
        <v>1.0088999999999999</v>
      </c>
      <c r="BI1312" s="25">
        <f>VLOOKUP(Inventory[[#This Row],[Cnd]],Lookups!$T$7:$W$16,4,FALSE)</f>
        <v>0.99650000000000005</v>
      </c>
      <c r="BJ1312" s="25">
        <f>VLOOKUP(Inventory[[#This Row],[LivArea Range]],Lookups!$T$25:$W$37,4,FALSE)</f>
        <v>1.0126999999999999</v>
      </c>
      <c r="BK1312" s="25">
        <f>VLOOKUP(Inventory[[#This Row],[Decade]],Lookups!$O$25:$R$42,4,FALSE)</f>
        <v>0.98909999999999998</v>
      </c>
      <c r="BL1312" s="25">
        <f>Inventory[[#This Row],[Nbhd Adj]]*0.95</f>
        <v>0.94971499999999998</v>
      </c>
      <c r="BM1312" s="25">
        <f>Inventory[[#This Row],[Nbhd Adj]]*Inventory[[#This Row],[Quality Adj]]*Inventory[[#This Row],[Condition Adj]]*Inventory[[#This Row],[Living Area Adj]]*Inventory[[#This Row],[Decade Adj]]*0.95</f>
        <v>0.9564003674719842</v>
      </c>
      <c r="BN1312" s="25">
        <f>ROUND(SUM(Inventory[[#This Row],[Mdl Qlty]:[Mdl WdDeck]])+Inventory[[#This Row],[Mdl Res Intercept]]*Inventory[[#This Row],[Res Adj ]],-2)</f>
        <v>384100</v>
      </c>
      <c r="BO1312" s="25">
        <f>ROUND(Inventory[[#This Row],[25Det]]*Inventory[[#This Row],[Det/Nbhd Adj]],-2)</f>
        <v>71000</v>
      </c>
      <c r="BP1312" s="25">
        <f>Inventory[[#This Row],[Adjusted Res]]+Inventory[[#This Row],[Adj Det ]]</f>
        <v>455100</v>
      </c>
      <c r="BQ1312" s="25">
        <f>ROUND((Inventory[[#This Row],[Mdl Land Intercept]]+Inventory[[#This Row],[Mdl LnAcres]])*Inventory[[#This Row],[Det/Nbhd Adj]],-2)</f>
        <v>75500</v>
      </c>
      <c r="BR1312" s="25">
        <f>Inventory[[#This Row],[Adjusted Impr Total]]+Inventory[[#This Row],[Adjusted Land Total]]</f>
        <v>530600</v>
      </c>
      <c r="BS1312" s="36">
        <f>IFERROR((Inventory[[#This Row],[Adjusted Impr Total]]-Inventory[[#This Row],[24Bldg]])/Inventory[[#This Row],[24Bldg]],0)</f>
        <v>0.13406429105407425</v>
      </c>
      <c r="BT1312" s="36">
        <f>(Inventory[[#This Row],[Adjusted Land Total]]-Inventory[[#This Row],[24Lnd]])/Inventory[[#This Row],[24Lnd]]</f>
        <v>-0.26770126091173618</v>
      </c>
      <c r="BU1312" s="36">
        <f>(Inventory[[#This Row],[Adjusted Total]]-Inventory[[#This Row],[24Final]])/Inventory[[#This Row],[24Final]]</f>
        <v>5.1942902458366379E-2</v>
      </c>
    </row>
    <row r="1313" spans="1:73" x14ac:dyDescent="0.3">
      <c r="A1313" s="25">
        <v>2025</v>
      </c>
      <c r="B1313" s="26" t="s">
        <v>1413</v>
      </c>
      <c r="C1313" s="26">
        <f>LN(Inventory[[#This Row],[Acres]])</f>
        <v>-1.4271163556401458</v>
      </c>
      <c r="D1313" s="25">
        <v>0.24</v>
      </c>
      <c r="E1313" s="32">
        <v>10310</v>
      </c>
      <c r="F1313" s="26" t="s">
        <v>537</v>
      </c>
      <c r="G1313" s="26" t="s">
        <v>126</v>
      </c>
      <c r="H1313" s="26" t="s">
        <v>349</v>
      </c>
      <c r="I1313" s="26" t="s">
        <v>538</v>
      </c>
      <c r="J1313" s="26" t="s">
        <v>539</v>
      </c>
      <c r="K1313" s="26" t="s">
        <v>173</v>
      </c>
      <c r="L1313" s="26" t="s">
        <v>205</v>
      </c>
      <c r="M1313" s="26" t="s">
        <v>323</v>
      </c>
      <c r="N1313" s="26">
        <v>90</v>
      </c>
      <c r="O1313" s="26">
        <f>2024-Inventory[[#This Row],[YrBlt]]</f>
        <v>84</v>
      </c>
      <c r="P1313" s="26">
        <f>2024-Inventory[[#This Row],[EffYr]]</f>
        <v>52</v>
      </c>
      <c r="Q1313" s="25">
        <v>1940</v>
      </c>
      <c r="R1313" s="25">
        <v>1972</v>
      </c>
      <c r="S1313" s="25">
        <v>1152</v>
      </c>
      <c r="T1313" s="32">
        <v>572</v>
      </c>
      <c r="U1313" s="25">
        <v>1152</v>
      </c>
      <c r="V1313" s="25">
        <f>Inventory[[#This Row],[Bsmt]]-Inventory[[#This Row],[FnBsmt]]</f>
        <v>1152</v>
      </c>
      <c r="W1313" s="31"/>
      <c r="X1313" s="27"/>
      <c r="Y1313" s="27">
        <f>Inventory[[#This Row],[MainFn]]+Inventory[[#This Row],[UpprFn]]+Inventory[[#This Row],[FnBsmt]]+Inventory[[#This Row],[AddFn]]</f>
        <v>1724</v>
      </c>
      <c r="Z1313" s="27">
        <v>2000</v>
      </c>
      <c r="AA1313" s="25">
        <v>5</v>
      </c>
      <c r="AB1313" s="27"/>
      <c r="AC1313" s="27"/>
      <c r="AD1313" s="31"/>
      <c r="AE1313" s="27"/>
      <c r="AF1313" s="27"/>
      <c r="AG1313" s="27"/>
      <c r="AH1313" s="27"/>
      <c r="AI1313" s="25">
        <v>268525</v>
      </c>
      <c r="AJ1313" s="25">
        <v>182597</v>
      </c>
      <c r="AK1313" s="25">
        <v>4598</v>
      </c>
      <c r="AL1313" s="25">
        <v>314500</v>
      </c>
      <c r="AM1313" s="25">
        <v>64800</v>
      </c>
      <c r="AN1313" s="25">
        <v>249700</v>
      </c>
      <c r="AO1313" s="25">
        <v>0</v>
      </c>
      <c r="AP1313" s="25">
        <f>Lookups!$B$56*0</f>
        <v>0</v>
      </c>
      <c r="AQ1313" s="25">
        <f>Lookups!$B$56*1</f>
        <v>89850.625589999996</v>
      </c>
      <c r="AR1313" s="25">
        <f>Lookups!$B$57*Inventory[[#This Row],[LnAcres]]</f>
        <v>-45174.819855485119</v>
      </c>
      <c r="AS1313" s="25">
        <f>VLOOKUP(Inventory[[#This Row],[Qlty]],Lookups!$A$62:$E$75,2,FALSE)</f>
        <v>0</v>
      </c>
      <c r="AT1313" s="25">
        <f>VLOOKUP(Inventory[[#This Row],[Cnd]],Lookups!$A$76:$E$84,2,FALSE)</f>
        <v>160472.20319</v>
      </c>
      <c r="AU1313" s="25">
        <f>Inventory[[#This Row],[EffAge]]*Lookups!$B$85</f>
        <v>-11598.371226000001</v>
      </c>
      <c r="AV1313" s="25">
        <f>Inventory[[#This Row],[MainFn]]*Lookups!$B$86</f>
        <v>56918.787698304004</v>
      </c>
      <c r="AW1313" s="25">
        <f>Inventory[[#This Row],[UpprFn]]*Lookups!$B$87</f>
        <v>25617.833876492001</v>
      </c>
      <c r="AX1313" s="25">
        <f>Inventory[[#This Row],[AddFn]]*Lookups!$B$88</f>
        <v>0</v>
      </c>
      <c r="AY1313" s="25">
        <f>Inventory[[#This Row],[Bsmt]]*Lookups!$B$89</f>
        <v>33502.343324543996</v>
      </c>
      <c r="AZ1313" s="25">
        <f>Inventory[[#This Row],[Fixtures]]*Lookups!$B$90</f>
        <v>18960.110526</v>
      </c>
      <c r="BA1313" s="25">
        <f>Inventory[[#This Row],[WdDeck]]*Lookups!$B$91</f>
        <v>0</v>
      </c>
      <c r="BB1313" s="25">
        <f>ROUND(Inventory[[#This Row],[25Det]],-2)</f>
        <v>4600</v>
      </c>
      <c r="BC1313" s="25">
        <f>ROUND(SUM(Inventory[[#This Row],[Mdl Qlty]:[Mdl WdDeck]])+Inventory[[#This Row],[Mdl Res Intercept]],-2)</f>
        <v>283900</v>
      </c>
      <c r="BD1313" s="25">
        <f>ROUND(Inventory[[#This Row],[Mdl Land Intercept]]+Inventory[[#This Row],[Mdl LnAcres]],-2)</f>
        <v>44700</v>
      </c>
      <c r="BE1313" s="25">
        <f>Inventory[[#This Row],[Unadj Res Value]]+Inventory[[#This Row],[Unadj Det Value]]+Inventory[[#This Row],[Unadj Land Value]]</f>
        <v>333200</v>
      </c>
      <c r="BF1313" s="36">
        <f>(Inventory[[#This Row],[Unadj Total Value]]-Inventory[[#This Row],[24Final]])/Inventory[[#This Row],[24Final]]</f>
        <v>5.9459459459459463E-2</v>
      </c>
      <c r="BG1313" s="25">
        <f>VLOOKUP(Inventory[[#This Row],[Nbhd]],Lookups!$Q$2:$T$4,4,FALSE)</f>
        <v>0.99970000000000003</v>
      </c>
      <c r="BH1313" s="25">
        <f>VLOOKUP(Inventory[[#This Row],[Qlty]],Lookups!$O$7:$R$21,4,FALSE)</f>
        <v>0.99180000000000001</v>
      </c>
      <c r="BI1313" s="25">
        <f>VLOOKUP(Inventory[[#This Row],[Cnd]],Lookups!$T$7:$W$16,4,FALSE)</f>
        <v>0.99729999999999996</v>
      </c>
      <c r="BJ1313" s="25">
        <f>VLOOKUP(Inventory[[#This Row],[LivArea Range]],Lookups!$T$25:$W$37,4,FALSE)</f>
        <v>1.0093000000000001</v>
      </c>
      <c r="BK1313" s="25">
        <f>VLOOKUP(Inventory[[#This Row],[Decade]],Lookups!$O$25:$R$42,4,FALSE)</f>
        <v>0.98909999999999998</v>
      </c>
      <c r="BL1313" s="25">
        <f>Inventory[[#This Row],[Nbhd Adj]]*0.95</f>
        <v>0.94971499999999998</v>
      </c>
      <c r="BM1313" s="25">
        <f>Inventory[[#This Row],[Nbhd Adj]]*Inventory[[#This Row],[Quality Adj]]*Inventory[[#This Row],[Condition Adj]]*Inventory[[#This Row],[Living Area Adj]]*Inventory[[#This Row],[Decade Adj]]*0.95</f>
        <v>0.93778589320741457</v>
      </c>
      <c r="BN1313" s="25">
        <f>ROUND(SUM(Inventory[[#This Row],[Mdl Qlty]:[Mdl WdDeck]])+Inventory[[#This Row],[Mdl Res Intercept]]*Inventory[[#This Row],[Res Adj ]],-2)</f>
        <v>283900</v>
      </c>
      <c r="BO1313" s="25">
        <f>ROUND(Inventory[[#This Row],[25Det]]*Inventory[[#This Row],[Det/Nbhd Adj]],-2)</f>
        <v>4400</v>
      </c>
      <c r="BP1313" s="25">
        <f>Inventory[[#This Row],[Adjusted Res]]+Inventory[[#This Row],[Adj Det ]]</f>
        <v>288300</v>
      </c>
      <c r="BQ1313" s="25">
        <f>ROUND((Inventory[[#This Row],[Mdl Land Intercept]]+Inventory[[#This Row],[Mdl LnAcres]])*Inventory[[#This Row],[Det/Nbhd Adj]],-2)</f>
        <v>42400</v>
      </c>
      <c r="BR1313" s="25">
        <f>Inventory[[#This Row],[Adjusted Impr Total]]+Inventory[[#This Row],[Adjusted Land Total]]</f>
        <v>330700</v>
      </c>
      <c r="BS1313" s="36">
        <f>IFERROR((Inventory[[#This Row],[Adjusted Impr Total]]-Inventory[[#This Row],[24Bldg]])/Inventory[[#This Row],[24Bldg]],0)</f>
        <v>0.15458550260312376</v>
      </c>
      <c r="BT1313" s="36">
        <f>(Inventory[[#This Row],[Adjusted Land Total]]-Inventory[[#This Row],[24Lnd]])/Inventory[[#This Row],[24Lnd]]</f>
        <v>-0.34567901234567899</v>
      </c>
      <c r="BU1313" s="36">
        <f>(Inventory[[#This Row],[Adjusted Total]]-Inventory[[#This Row],[24Final]])/Inventory[[#This Row],[24Final]]</f>
        <v>5.151033386327504E-2</v>
      </c>
    </row>
    <row r="1314" spans="1:73" x14ac:dyDescent="0.3">
      <c r="A1314" s="25">
        <v>2025</v>
      </c>
      <c r="B1314" s="26" t="s">
        <v>2305</v>
      </c>
      <c r="C1314" s="26">
        <f>LN(Inventory[[#This Row],[Acres]])</f>
        <v>-1.6094379124341003</v>
      </c>
      <c r="D1314" s="25">
        <v>0.2</v>
      </c>
      <c r="E1314" s="32">
        <v>8680</v>
      </c>
      <c r="F1314" s="26" t="s">
        <v>537</v>
      </c>
      <c r="G1314" s="26" t="s">
        <v>126</v>
      </c>
      <c r="H1314" s="26" t="s">
        <v>349</v>
      </c>
      <c r="I1314" s="26" t="s">
        <v>538</v>
      </c>
      <c r="J1314" s="26" t="s">
        <v>539</v>
      </c>
      <c r="K1314" s="26" t="s">
        <v>242</v>
      </c>
      <c r="L1314" s="26" t="s">
        <v>351</v>
      </c>
      <c r="M1314" s="26" t="s">
        <v>303</v>
      </c>
      <c r="N1314" s="26">
        <v>90</v>
      </c>
      <c r="O1314" s="26">
        <f>2024-Inventory[[#This Row],[YrBlt]]</f>
        <v>84</v>
      </c>
      <c r="P1314" s="26">
        <f>2024-Inventory[[#This Row],[EffYr]]</f>
        <v>52</v>
      </c>
      <c r="Q1314" s="25">
        <v>1940</v>
      </c>
      <c r="R1314" s="25">
        <v>1972</v>
      </c>
      <c r="S1314" s="25">
        <v>2024</v>
      </c>
      <c r="T1314" s="27"/>
      <c r="U1314" s="32">
        <v>629</v>
      </c>
      <c r="V1314" s="32">
        <f>Inventory[[#This Row],[Bsmt]]-Inventory[[#This Row],[FnBsmt]]</f>
        <v>0</v>
      </c>
      <c r="W1314" s="32">
        <v>629</v>
      </c>
      <c r="X1314" s="27"/>
      <c r="Y1314" s="27">
        <f>Inventory[[#This Row],[MainFn]]+Inventory[[#This Row],[UpprFn]]+Inventory[[#This Row],[FnBsmt]]+Inventory[[#This Row],[AddFn]]</f>
        <v>2653</v>
      </c>
      <c r="Z1314" s="27">
        <v>3000</v>
      </c>
      <c r="AA1314" s="25">
        <v>11</v>
      </c>
      <c r="AB1314" s="31"/>
      <c r="AC1314" s="32">
        <v>1216</v>
      </c>
      <c r="AD1314" s="27"/>
      <c r="AE1314" s="27"/>
      <c r="AF1314" s="27"/>
      <c r="AG1314" s="27"/>
      <c r="AH1314" s="27"/>
      <c r="AI1314" s="25">
        <v>396550</v>
      </c>
      <c r="AJ1314" s="25">
        <v>277585</v>
      </c>
      <c r="AK1314" s="25">
        <v>0</v>
      </c>
      <c r="AL1314" s="25">
        <v>384800</v>
      </c>
      <c r="AM1314" s="25">
        <v>58400</v>
      </c>
      <c r="AN1314" s="25">
        <v>326400</v>
      </c>
      <c r="AO1314" s="25">
        <v>0</v>
      </c>
      <c r="AP1314" s="25">
        <f>Lookups!$B$56*0</f>
        <v>0</v>
      </c>
      <c r="AQ1314" s="25">
        <f>Lookups!$B$56*1</f>
        <v>89850.625589999996</v>
      </c>
      <c r="AR1314" s="25">
        <f>Lookups!$B$57*Inventory[[#This Row],[LnAcres]]</f>
        <v>-50946.13867709865</v>
      </c>
      <c r="AS1314" s="25">
        <f>VLOOKUP(Inventory[[#This Row],[Qlty]],Lookups!$A$62:$E$75,2,FALSE)</f>
        <v>21557.329055999999</v>
      </c>
      <c r="AT1314" s="25">
        <f>VLOOKUP(Inventory[[#This Row],[Cnd]],Lookups!$A$76:$E$84,2,FALSE)</f>
        <v>197752.34721000001</v>
      </c>
      <c r="AU1314" s="25">
        <f>Inventory[[#This Row],[EffAge]]*Lookups!$B$85</f>
        <v>-11598.371226000001</v>
      </c>
      <c r="AV1314" s="25">
        <f>Inventory[[#This Row],[MainFn]]*Lookups!$B$86</f>
        <v>100003.147831048</v>
      </c>
      <c r="AW1314" s="25">
        <f>Inventory[[#This Row],[UpprFn]]*Lookups!$B$87</f>
        <v>0</v>
      </c>
      <c r="AX1314" s="25">
        <f>Inventory[[#This Row],[AddFn]]*Lookups!$B$88</f>
        <v>0</v>
      </c>
      <c r="AY1314" s="25">
        <f>Inventory[[#This Row],[Bsmt]]*Lookups!$B$89</f>
        <v>18292.512110363001</v>
      </c>
      <c r="AZ1314" s="25">
        <f>Inventory[[#This Row],[Fixtures]]*Lookups!$B$90</f>
        <v>41712.243157199999</v>
      </c>
      <c r="BA1314" s="25">
        <f>Inventory[[#This Row],[WdDeck]]*Lookups!$B$91</f>
        <v>0</v>
      </c>
      <c r="BB1314" s="25">
        <f>ROUND(Inventory[[#This Row],[25Det]],-2)</f>
        <v>0</v>
      </c>
      <c r="BC1314" s="25">
        <f>ROUND(SUM(Inventory[[#This Row],[Mdl Qlty]:[Mdl WdDeck]])+Inventory[[#This Row],[Mdl Res Intercept]],-2)</f>
        <v>367700</v>
      </c>
      <c r="BD1314" s="25">
        <f>ROUND(Inventory[[#This Row],[Mdl Land Intercept]]+Inventory[[#This Row],[Mdl LnAcres]],-2)</f>
        <v>38900</v>
      </c>
      <c r="BE1314" s="25">
        <f>Inventory[[#This Row],[Unadj Res Value]]+Inventory[[#This Row],[Unadj Det Value]]+Inventory[[#This Row],[Unadj Land Value]]</f>
        <v>406600</v>
      </c>
      <c r="BF1314" s="36">
        <f>(Inventory[[#This Row],[Unadj Total Value]]-Inventory[[#This Row],[24Final]])/Inventory[[#This Row],[24Final]]</f>
        <v>5.6652806652806656E-2</v>
      </c>
      <c r="BG1314" s="25">
        <f>VLOOKUP(Inventory[[#This Row],[Nbhd]],Lookups!$Q$2:$T$4,4,FALSE)</f>
        <v>0.99970000000000003</v>
      </c>
      <c r="BH1314" s="25">
        <f>VLOOKUP(Inventory[[#This Row],[Qlty]],Lookups!$O$7:$R$21,4,FALSE)</f>
        <v>1.0067999999999999</v>
      </c>
      <c r="BI1314" s="25">
        <f>VLOOKUP(Inventory[[#This Row],[Cnd]],Lookups!$T$7:$W$16,4,FALSE)</f>
        <v>0.99650000000000005</v>
      </c>
      <c r="BJ1314" s="25">
        <f>VLOOKUP(Inventory[[#This Row],[LivArea Range]],Lookups!$T$25:$W$37,4,FALSE)</f>
        <v>0.96179999999999999</v>
      </c>
      <c r="BK1314" s="25">
        <f>VLOOKUP(Inventory[[#This Row],[Decade]],Lookups!$O$25:$R$42,4,FALSE)</f>
        <v>0.98909999999999998</v>
      </c>
      <c r="BL1314" s="25">
        <f>Inventory[[#This Row],[Nbhd Adj]]*0.95</f>
        <v>0.94971499999999998</v>
      </c>
      <c r="BM1314" s="25">
        <f>Inventory[[#This Row],[Nbhd Adj]]*Inventory[[#This Row],[Quality Adj]]*Inventory[[#This Row],[Condition Adj]]*Inventory[[#This Row],[Living Area Adj]]*Inventory[[#This Row],[Decade Adj]]*0.95</f>
        <v>0.90643941515937176</v>
      </c>
      <c r="BN1314" s="25">
        <f>ROUND(SUM(Inventory[[#This Row],[Mdl Qlty]:[Mdl WdDeck]])+Inventory[[#This Row],[Mdl Res Intercept]]*Inventory[[#This Row],[Res Adj ]],-2)</f>
        <v>367700</v>
      </c>
      <c r="BO1314" s="25">
        <f>ROUND(Inventory[[#This Row],[25Det]]*Inventory[[#This Row],[Det/Nbhd Adj]],-2)</f>
        <v>0</v>
      </c>
      <c r="BP1314" s="25">
        <f>Inventory[[#This Row],[Adjusted Res]]+Inventory[[#This Row],[Adj Det ]]</f>
        <v>367700</v>
      </c>
      <c r="BQ1314" s="25">
        <f>ROUND((Inventory[[#This Row],[Mdl Land Intercept]]+Inventory[[#This Row],[Mdl LnAcres]])*Inventory[[#This Row],[Det/Nbhd Adj]],-2)</f>
        <v>36900</v>
      </c>
      <c r="BR1314" s="25">
        <f>Inventory[[#This Row],[Adjusted Impr Total]]+Inventory[[#This Row],[Adjusted Land Total]]</f>
        <v>404600</v>
      </c>
      <c r="BS1314" s="36">
        <f>IFERROR((Inventory[[#This Row],[Adjusted Impr Total]]-Inventory[[#This Row],[24Bldg]])/Inventory[[#This Row],[24Bldg]],0)</f>
        <v>0.12653186274509803</v>
      </c>
      <c r="BT1314" s="36">
        <f>(Inventory[[#This Row],[Adjusted Land Total]]-Inventory[[#This Row],[24Lnd]])/Inventory[[#This Row],[24Lnd]]</f>
        <v>-0.36815068493150682</v>
      </c>
      <c r="BU1314" s="36">
        <f>(Inventory[[#This Row],[Adjusted Total]]-Inventory[[#This Row],[24Final]])/Inventory[[#This Row],[24Final]]</f>
        <v>5.1455301455301458E-2</v>
      </c>
    </row>
    <row r="1315" spans="1:73" x14ac:dyDescent="0.3">
      <c r="A1315" s="25">
        <v>2025</v>
      </c>
      <c r="B1315" s="26" t="s">
        <v>1186</v>
      </c>
      <c r="C1315" s="26">
        <f>LN(Inventory[[#This Row],[Acres]])</f>
        <v>-1.0788096613719298</v>
      </c>
      <c r="D1315" s="25">
        <v>0.34</v>
      </c>
      <c r="E1315" s="27"/>
      <c r="F1315" s="26" t="s">
        <v>537</v>
      </c>
      <c r="G1315" s="26" t="s">
        <v>126</v>
      </c>
      <c r="H1315" s="26" t="s">
        <v>349</v>
      </c>
      <c r="I1315" s="26" t="s">
        <v>538</v>
      </c>
      <c r="J1315" s="26" t="s">
        <v>539</v>
      </c>
      <c r="K1315" s="26" t="s">
        <v>242</v>
      </c>
      <c r="L1315" s="26" t="s">
        <v>302</v>
      </c>
      <c r="M1315" s="26" t="s">
        <v>323</v>
      </c>
      <c r="N1315" s="26">
        <v>90</v>
      </c>
      <c r="O1315" s="26">
        <f>2024-Inventory[[#This Row],[YrBlt]]</f>
        <v>84</v>
      </c>
      <c r="P1315" s="26">
        <f>2024-Inventory[[#This Row],[EffYr]]</f>
        <v>52</v>
      </c>
      <c r="Q1315" s="25">
        <v>1940</v>
      </c>
      <c r="R1315" s="25">
        <v>1972</v>
      </c>
      <c r="S1315" s="25">
        <v>1622</v>
      </c>
      <c r="T1315" s="27"/>
      <c r="U1315" s="25">
        <v>1208</v>
      </c>
      <c r="V1315" s="25">
        <f>Inventory[[#This Row],[Bsmt]]-Inventory[[#This Row],[FnBsmt]]</f>
        <v>1051</v>
      </c>
      <c r="W1315" s="25">
        <v>157</v>
      </c>
      <c r="X1315" s="27"/>
      <c r="Y1315" s="27">
        <f>Inventory[[#This Row],[MainFn]]+Inventory[[#This Row],[UpprFn]]+Inventory[[#This Row],[FnBsmt]]+Inventory[[#This Row],[AddFn]]</f>
        <v>1779</v>
      </c>
      <c r="Z1315" s="27">
        <v>2000</v>
      </c>
      <c r="AA1315" s="25">
        <v>7</v>
      </c>
      <c r="AB1315" s="31"/>
      <c r="AC1315" s="32">
        <v>432</v>
      </c>
      <c r="AD1315" s="27"/>
      <c r="AE1315" s="27"/>
      <c r="AF1315" s="27"/>
      <c r="AG1315" s="27"/>
      <c r="AH1315" s="27"/>
      <c r="AI1315" s="25">
        <v>374549</v>
      </c>
      <c r="AJ1315" s="25">
        <v>254693</v>
      </c>
      <c r="AK1315" s="25">
        <v>0</v>
      </c>
      <c r="AL1315" s="25">
        <v>355300</v>
      </c>
      <c r="AM1315" s="25">
        <v>76900</v>
      </c>
      <c r="AN1315" s="25">
        <v>278400</v>
      </c>
      <c r="AO1315" s="25">
        <v>0</v>
      </c>
      <c r="AP1315" s="25">
        <f>Lookups!$B$56*0</f>
        <v>0</v>
      </c>
      <c r="AQ1315" s="25">
        <f>Lookups!$B$56*1</f>
        <v>89850.625589999996</v>
      </c>
      <c r="AR1315" s="25">
        <f>Lookups!$B$57*Inventory[[#This Row],[LnAcres]]</f>
        <v>-34149.305288406773</v>
      </c>
      <c r="AS1315" s="25">
        <f>VLOOKUP(Inventory[[#This Row],[Qlty]],Lookups!$A$62:$E$75,2,FALSE)</f>
        <v>29814.093161000001</v>
      </c>
      <c r="AT1315" s="25">
        <f>VLOOKUP(Inventory[[#This Row],[Cnd]],Lookups!$A$76:$E$84,2,FALSE)</f>
        <v>160472.20319</v>
      </c>
      <c r="AU1315" s="25">
        <f>Inventory[[#This Row],[EffAge]]*Lookups!$B$85</f>
        <v>-11598.371226000001</v>
      </c>
      <c r="AV1315" s="25">
        <f>Inventory[[#This Row],[MainFn]]*Lookups!$B$86</f>
        <v>80140.862540493996</v>
      </c>
      <c r="AW1315" s="25">
        <f>Inventory[[#This Row],[UpprFn]]*Lookups!$B$87</f>
        <v>0</v>
      </c>
      <c r="AX1315" s="25">
        <f>Inventory[[#This Row],[AddFn]]*Lookups!$B$88</f>
        <v>0</v>
      </c>
      <c r="AY1315" s="25">
        <f>Inventory[[#This Row],[Bsmt]]*Lookups!$B$89</f>
        <v>35130.929458375998</v>
      </c>
      <c r="AZ1315" s="25">
        <f>Inventory[[#This Row],[Fixtures]]*Lookups!$B$90</f>
        <v>26544.1547364</v>
      </c>
      <c r="BA1315" s="25">
        <f>Inventory[[#This Row],[WdDeck]]*Lookups!$B$91</f>
        <v>0</v>
      </c>
      <c r="BB1315" s="25">
        <f>ROUND(Inventory[[#This Row],[25Det]],-2)</f>
        <v>0</v>
      </c>
      <c r="BC1315" s="25">
        <f>ROUND(SUM(Inventory[[#This Row],[Mdl Qlty]:[Mdl WdDeck]])+Inventory[[#This Row],[Mdl Res Intercept]],-2)</f>
        <v>320500</v>
      </c>
      <c r="BD1315" s="25">
        <f>ROUND(Inventory[[#This Row],[Mdl Land Intercept]]+Inventory[[#This Row],[Mdl LnAcres]],-2)</f>
        <v>55700</v>
      </c>
      <c r="BE1315" s="25">
        <f>Inventory[[#This Row],[Unadj Res Value]]+Inventory[[#This Row],[Unadj Det Value]]+Inventory[[#This Row],[Unadj Land Value]]</f>
        <v>376200</v>
      </c>
      <c r="BF1315" s="36">
        <f>(Inventory[[#This Row],[Unadj Total Value]]-Inventory[[#This Row],[24Final]])/Inventory[[#This Row],[24Final]]</f>
        <v>5.8823529411764705E-2</v>
      </c>
      <c r="BG1315" s="25">
        <f>VLOOKUP(Inventory[[#This Row],[Nbhd]],Lookups!$Q$2:$T$4,4,FALSE)</f>
        <v>0.99970000000000003</v>
      </c>
      <c r="BH1315" s="25">
        <f>VLOOKUP(Inventory[[#This Row],[Qlty]],Lookups!$O$7:$R$21,4,FALSE)</f>
        <v>1.0088999999999999</v>
      </c>
      <c r="BI1315" s="25">
        <f>VLOOKUP(Inventory[[#This Row],[Cnd]],Lookups!$T$7:$W$16,4,FALSE)</f>
        <v>0.99729999999999996</v>
      </c>
      <c r="BJ1315" s="25">
        <f>VLOOKUP(Inventory[[#This Row],[LivArea Range]],Lookups!$T$25:$W$37,4,FALSE)</f>
        <v>1.0093000000000001</v>
      </c>
      <c r="BK1315" s="25">
        <f>VLOOKUP(Inventory[[#This Row],[Decade]],Lookups!$O$25:$R$42,4,FALSE)</f>
        <v>0.98909999999999998</v>
      </c>
      <c r="BL1315" s="25">
        <f>Inventory[[#This Row],[Nbhd Adj]]*0.95</f>
        <v>0.94971499999999998</v>
      </c>
      <c r="BM1315" s="25">
        <f>Inventory[[#This Row],[Nbhd Adj]]*Inventory[[#This Row],[Quality Adj]]*Inventory[[#This Row],[Condition Adj]]*Inventory[[#This Row],[Living Area Adj]]*Inventory[[#This Row],[Decade Adj]]*0.95</f>
        <v>0.95395461550409388</v>
      </c>
      <c r="BN1315" s="25">
        <f>ROUND(SUM(Inventory[[#This Row],[Mdl Qlty]:[Mdl WdDeck]])+Inventory[[#This Row],[Mdl Res Intercept]]*Inventory[[#This Row],[Res Adj ]],-2)</f>
        <v>320500</v>
      </c>
      <c r="BO1315" s="25">
        <f>ROUND(Inventory[[#This Row],[25Det]]*Inventory[[#This Row],[Det/Nbhd Adj]],-2)</f>
        <v>0</v>
      </c>
      <c r="BP1315" s="25">
        <f>Inventory[[#This Row],[Adjusted Res]]+Inventory[[#This Row],[Adj Det ]]</f>
        <v>320500</v>
      </c>
      <c r="BQ1315" s="25">
        <f>ROUND((Inventory[[#This Row],[Mdl Land Intercept]]+Inventory[[#This Row],[Mdl LnAcres]])*Inventory[[#This Row],[Det/Nbhd Adj]],-2)</f>
        <v>52900</v>
      </c>
      <c r="BR1315" s="25">
        <f>Inventory[[#This Row],[Adjusted Impr Total]]+Inventory[[#This Row],[Adjusted Land Total]]</f>
        <v>373400</v>
      </c>
      <c r="BS1315" s="36">
        <f>IFERROR((Inventory[[#This Row],[Adjusted Impr Total]]-Inventory[[#This Row],[24Bldg]])/Inventory[[#This Row],[24Bldg]],0)</f>
        <v>0.15122126436781611</v>
      </c>
      <c r="BT1315" s="36">
        <f>(Inventory[[#This Row],[Adjusted Land Total]]-Inventory[[#This Row],[24Lnd]])/Inventory[[#This Row],[24Lnd]]</f>
        <v>-0.31209362808842656</v>
      </c>
      <c r="BU1315" s="36">
        <f>(Inventory[[#This Row],[Adjusted Total]]-Inventory[[#This Row],[24Final]])/Inventory[[#This Row],[24Final]]</f>
        <v>5.0942865184351253E-2</v>
      </c>
    </row>
    <row r="1316" spans="1:73" x14ac:dyDescent="0.3">
      <c r="A1316" s="25">
        <v>2025</v>
      </c>
      <c r="B1316" s="26" t="s">
        <v>2918</v>
      </c>
      <c r="C1316" s="26">
        <f>LN(Inventory[[#This Row],[Acres]])</f>
        <v>-1.3093333199837622</v>
      </c>
      <c r="D1316" s="25">
        <v>0.27</v>
      </c>
      <c r="E1316" s="32">
        <v>11576</v>
      </c>
      <c r="F1316" s="26" t="s">
        <v>537</v>
      </c>
      <c r="G1316" s="26" t="s">
        <v>126</v>
      </c>
      <c r="H1316" s="26" t="s">
        <v>349</v>
      </c>
      <c r="I1316" s="26" t="s">
        <v>538</v>
      </c>
      <c r="J1316" s="26" t="s">
        <v>539</v>
      </c>
      <c r="K1316" s="26" t="s">
        <v>241</v>
      </c>
      <c r="L1316" s="26" t="s">
        <v>148</v>
      </c>
      <c r="M1316" s="26" t="s">
        <v>303</v>
      </c>
      <c r="N1316" s="26">
        <v>90</v>
      </c>
      <c r="O1316" s="26">
        <f>2024-Inventory[[#This Row],[YrBlt]]</f>
        <v>84</v>
      </c>
      <c r="P1316" s="26">
        <f>2024-Inventory[[#This Row],[EffYr]]</f>
        <v>52</v>
      </c>
      <c r="Q1316" s="25">
        <v>1940</v>
      </c>
      <c r="R1316" s="25">
        <v>1972</v>
      </c>
      <c r="S1316" s="25">
        <v>1684</v>
      </c>
      <c r="T1316" s="27"/>
      <c r="U1316" s="25">
        <v>840</v>
      </c>
      <c r="V1316" s="25">
        <f>Inventory[[#This Row],[Bsmt]]-Inventory[[#This Row],[FnBsmt]]</f>
        <v>0</v>
      </c>
      <c r="W1316" s="25">
        <v>840</v>
      </c>
      <c r="X1316" s="27"/>
      <c r="Y1316" s="27">
        <f>Inventory[[#This Row],[MainFn]]+Inventory[[#This Row],[UpprFn]]+Inventory[[#This Row],[FnBsmt]]+Inventory[[#This Row],[AddFn]]</f>
        <v>2524</v>
      </c>
      <c r="Z1316" s="27">
        <v>3000</v>
      </c>
      <c r="AA1316" s="25">
        <v>8</v>
      </c>
      <c r="AB1316" s="31"/>
      <c r="AC1316" s="27"/>
      <c r="AD1316" s="27"/>
      <c r="AE1316" s="27"/>
      <c r="AF1316" s="27"/>
      <c r="AG1316" s="27"/>
      <c r="AH1316" s="27"/>
      <c r="AI1316" s="25">
        <v>456990</v>
      </c>
      <c r="AJ1316" s="25">
        <v>319893</v>
      </c>
      <c r="AK1316" s="25">
        <v>15164</v>
      </c>
      <c r="AL1316" s="25">
        <v>408000</v>
      </c>
      <c r="AM1316" s="25">
        <v>68900</v>
      </c>
      <c r="AN1316" s="25">
        <v>339100</v>
      </c>
      <c r="AO1316" s="25">
        <v>0</v>
      </c>
      <c r="AP1316" s="25">
        <f>Lookups!$B$56*0</f>
        <v>0</v>
      </c>
      <c r="AQ1316" s="25">
        <f>Lookups!$B$56*1</f>
        <v>89850.625589999996</v>
      </c>
      <c r="AR1316" s="25">
        <f>Lookups!$B$57*Inventory[[#This Row],[LnAcres]]</f>
        <v>-41446.443120973789</v>
      </c>
      <c r="AS1316" s="25">
        <f>VLOOKUP(Inventory[[#This Row],[Qlty]],Lookups!$A$62:$E$75,2,FALSE)</f>
        <v>44121.038090000002</v>
      </c>
      <c r="AT1316" s="25">
        <f>VLOOKUP(Inventory[[#This Row],[Cnd]],Lookups!$A$76:$E$84,2,FALSE)</f>
        <v>197752.34721000001</v>
      </c>
      <c r="AU1316" s="25">
        <f>Inventory[[#This Row],[EffAge]]*Lookups!$B$85</f>
        <v>-11598.371226000001</v>
      </c>
      <c r="AV1316" s="25">
        <f>Inventory[[#This Row],[MainFn]]*Lookups!$B$86</f>
        <v>83204.200072868</v>
      </c>
      <c r="AW1316" s="25">
        <f>Inventory[[#This Row],[UpprFn]]*Lookups!$B$87</f>
        <v>0</v>
      </c>
      <c r="AX1316" s="25">
        <f>Inventory[[#This Row],[AddFn]]*Lookups!$B$88</f>
        <v>0</v>
      </c>
      <c r="AY1316" s="25">
        <f>Inventory[[#This Row],[Bsmt]]*Lookups!$B$89</f>
        <v>24428.792007479999</v>
      </c>
      <c r="AZ1316" s="25">
        <f>Inventory[[#This Row],[Fixtures]]*Lookups!$B$90</f>
        <v>30336.176841600001</v>
      </c>
      <c r="BA1316" s="25">
        <f>Inventory[[#This Row],[WdDeck]]*Lookups!$B$91</f>
        <v>0</v>
      </c>
      <c r="BB1316" s="25">
        <f>ROUND(Inventory[[#This Row],[25Det]],-2)</f>
        <v>15200</v>
      </c>
      <c r="BC1316" s="25">
        <f>ROUND(SUM(Inventory[[#This Row],[Mdl Qlty]:[Mdl WdDeck]])+Inventory[[#This Row],[Mdl Res Intercept]],-2)</f>
        <v>368200</v>
      </c>
      <c r="BD1316" s="25">
        <f>ROUND(Inventory[[#This Row],[Mdl Land Intercept]]+Inventory[[#This Row],[Mdl LnAcres]],-2)</f>
        <v>48400</v>
      </c>
      <c r="BE1316" s="25">
        <f>Inventory[[#This Row],[Unadj Res Value]]+Inventory[[#This Row],[Unadj Det Value]]+Inventory[[#This Row],[Unadj Land Value]]</f>
        <v>431800</v>
      </c>
      <c r="BF1316" s="36">
        <f>(Inventory[[#This Row],[Unadj Total Value]]-Inventory[[#This Row],[24Final]])/Inventory[[#This Row],[24Final]]</f>
        <v>5.8333333333333334E-2</v>
      </c>
      <c r="BG1316" s="25">
        <f>VLOOKUP(Inventory[[#This Row],[Nbhd]],Lookups!$Q$2:$T$4,4,FALSE)</f>
        <v>0.99970000000000003</v>
      </c>
      <c r="BH1316" s="25">
        <f>VLOOKUP(Inventory[[#This Row],[Qlty]],Lookups!$O$7:$R$21,4,FALSE)</f>
        <v>0.98050000000000004</v>
      </c>
      <c r="BI1316" s="25">
        <f>VLOOKUP(Inventory[[#This Row],[Cnd]],Lookups!$T$7:$W$16,4,FALSE)</f>
        <v>0.99650000000000005</v>
      </c>
      <c r="BJ1316" s="25">
        <f>VLOOKUP(Inventory[[#This Row],[LivArea Range]],Lookups!$T$25:$W$37,4,FALSE)</f>
        <v>0.96179999999999999</v>
      </c>
      <c r="BK1316" s="25">
        <f>VLOOKUP(Inventory[[#This Row],[Decade]],Lookups!$O$25:$R$42,4,FALSE)</f>
        <v>0.98909999999999998</v>
      </c>
      <c r="BL1316" s="25">
        <f>Inventory[[#This Row],[Nbhd Adj]]*0.95</f>
        <v>0.94971499999999998</v>
      </c>
      <c r="BM1316" s="25">
        <f>Inventory[[#This Row],[Nbhd Adj]]*Inventory[[#This Row],[Quality Adj]]*Inventory[[#This Row],[Condition Adj]]*Inventory[[#This Row],[Living Area Adj]]*Inventory[[#This Row],[Decade Adj]]*0.95</f>
        <v>0.88276107127906644</v>
      </c>
      <c r="BN1316" s="25">
        <f>ROUND(SUM(Inventory[[#This Row],[Mdl Qlty]:[Mdl WdDeck]])+Inventory[[#This Row],[Mdl Res Intercept]]*Inventory[[#This Row],[Res Adj ]],-2)</f>
        <v>368200</v>
      </c>
      <c r="BO1316" s="25">
        <f>ROUND(Inventory[[#This Row],[25Det]]*Inventory[[#This Row],[Det/Nbhd Adj]],-2)</f>
        <v>14400</v>
      </c>
      <c r="BP1316" s="25">
        <f>Inventory[[#This Row],[Adjusted Res]]+Inventory[[#This Row],[Adj Det ]]</f>
        <v>382600</v>
      </c>
      <c r="BQ1316" s="25">
        <f>ROUND((Inventory[[#This Row],[Mdl Land Intercept]]+Inventory[[#This Row],[Mdl LnAcres]])*Inventory[[#This Row],[Det/Nbhd Adj]],-2)</f>
        <v>46000</v>
      </c>
      <c r="BR1316" s="25">
        <f>Inventory[[#This Row],[Adjusted Impr Total]]+Inventory[[#This Row],[Adjusted Land Total]]</f>
        <v>428600</v>
      </c>
      <c r="BS1316" s="36">
        <f>IFERROR((Inventory[[#This Row],[Adjusted Impr Total]]-Inventory[[#This Row],[24Bldg]])/Inventory[[#This Row],[24Bldg]],0)</f>
        <v>0.12828074314361546</v>
      </c>
      <c r="BT1316" s="36">
        <f>(Inventory[[#This Row],[Adjusted Land Total]]-Inventory[[#This Row],[24Lnd]])/Inventory[[#This Row],[24Lnd]]</f>
        <v>-0.33236574746008707</v>
      </c>
      <c r="BU1316" s="36">
        <f>(Inventory[[#This Row],[Adjusted Total]]-Inventory[[#This Row],[24Final]])/Inventory[[#This Row],[24Final]]</f>
        <v>5.0490196078431374E-2</v>
      </c>
    </row>
    <row r="1317" spans="1:73" x14ac:dyDescent="0.3">
      <c r="A1317" s="25">
        <v>2025</v>
      </c>
      <c r="B1317" s="26" t="s">
        <v>1675</v>
      </c>
      <c r="C1317" s="26">
        <f>LN(Inventory[[#This Row],[Acres]])</f>
        <v>-1.6094379124341003</v>
      </c>
      <c r="D1317" s="25">
        <v>0.2</v>
      </c>
      <c r="E1317" s="31"/>
      <c r="F1317" s="26" t="s">
        <v>537</v>
      </c>
      <c r="G1317" s="26" t="s">
        <v>126</v>
      </c>
      <c r="H1317" s="26" t="s">
        <v>349</v>
      </c>
      <c r="I1317" s="26" t="s">
        <v>538</v>
      </c>
      <c r="J1317" s="26" t="s">
        <v>539</v>
      </c>
      <c r="K1317" s="26" t="s">
        <v>242</v>
      </c>
      <c r="L1317" s="26" t="s">
        <v>351</v>
      </c>
      <c r="M1317" s="26" t="s">
        <v>303</v>
      </c>
      <c r="N1317" s="26">
        <v>90</v>
      </c>
      <c r="O1317" s="26">
        <f>2024-Inventory[[#This Row],[YrBlt]]</f>
        <v>84</v>
      </c>
      <c r="P1317" s="26">
        <f>2024-Inventory[[#This Row],[EffYr]]</f>
        <v>52</v>
      </c>
      <c r="Q1317" s="25">
        <v>1940</v>
      </c>
      <c r="R1317" s="25">
        <v>1972</v>
      </c>
      <c r="S1317" s="25">
        <v>1156</v>
      </c>
      <c r="T1317" s="27"/>
      <c r="U1317" s="25">
        <v>1156</v>
      </c>
      <c r="V1317" s="25">
        <f>Inventory[[#This Row],[Bsmt]]-Inventory[[#This Row],[FnBsmt]]</f>
        <v>0</v>
      </c>
      <c r="W1317" s="25">
        <v>1156</v>
      </c>
      <c r="X1317" s="27"/>
      <c r="Y1317" s="27">
        <f>Inventory[[#This Row],[MainFn]]+Inventory[[#This Row],[UpprFn]]+Inventory[[#This Row],[FnBsmt]]+Inventory[[#This Row],[AddFn]]</f>
        <v>2312</v>
      </c>
      <c r="Z1317" s="27">
        <v>2500</v>
      </c>
      <c r="AA1317" s="25">
        <v>8</v>
      </c>
      <c r="AB1317" s="31"/>
      <c r="AC1317" s="27"/>
      <c r="AD1317" s="27"/>
      <c r="AE1317" s="27"/>
      <c r="AF1317" s="27"/>
      <c r="AG1317" s="27"/>
      <c r="AH1317" s="27"/>
      <c r="AI1317" s="25">
        <v>285580</v>
      </c>
      <c r="AJ1317" s="25">
        <v>199906</v>
      </c>
      <c r="AK1317" s="25">
        <v>5831</v>
      </c>
      <c r="AL1317" s="25">
        <v>353400</v>
      </c>
      <c r="AM1317" s="25">
        <v>58400</v>
      </c>
      <c r="AN1317" s="25">
        <v>295000</v>
      </c>
      <c r="AO1317" s="25">
        <v>0</v>
      </c>
      <c r="AP1317" s="25">
        <f>Lookups!$B$56*0</f>
        <v>0</v>
      </c>
      <c r="AQ1317" s="25">
        <f>Lookups!$B$56*1</f>
        <v>89850.625589999996</v>
      </c>
      <c r="AR1317" s="25">
        <f>Lookups!$B$57*Inventory[[#This Row],[LnAcres]]</f>
        <v>-50946.13867709865</v>
      </c>
      <c r="AS1317" s="25">
        <f>VLOOKUP(Inventory[[#This Row],[Qlty]],Lookups!$A$62:$E$75,2,FALSE)</f>
        <v>21557.329055999999</v>
      </c>
      <c r="AT1317" s="25">
        <f>VLOOKUP(Inventory[[#This Row],[Cnd]],Lookups!$A$76:$E$84,2,FALSE)</f>
        <v>197752.34721000001</v>
      </c>
      <c r="AU1317" s="25">
        <f>Inventory[[#This Row],[EffAge]]*Lookups!$B$85</f>
        <v>-11598.371226000001</v>
      </c>
      <c r="AV1317" s="25">
        <f>Inventory[[#This Row],[MainFn]]*Lookups!$B$86</f>
        <v>57116.422377811999</v>
      </c>
      <c r="AW1317" s="25">
        <f>Inventory[[#This Row],[UpprFn]]*Lookups!$B$87</f>
        <v>0</v>
      </c>
      <c r="AX1317" s="25">
        <f>Inventory[[#This Row],[AddFn]]*Lookups!$B$88</f>
        <v>0</v>
      </c>
      <c r="AY1317" s="25">
        <f>Inventory[[#This Row],[Bsmt]]*Lookups!$B$89</f>
        <v>33618.670905531995</v>
      </c>
      <c r="AZ1317" s="25">
        <f>Inventory[[#This Row],[Fixtures]]*Lookups!$B$90</f>
        <v>30336.176841600001</v>
      </c>
      <c r="BA1317" s="25">
        <f>Inventory[[#This Row],[WdDeck]]*Lookups!$B$91</f>
        <v>0</v>
      </c>
      <c r="BB1317" s="25">
        <f>ROUND(Inventory[[#This Row],[25Det]],-2)</f>
        <v>5800</v>
      </c>
      <c r="BC1317" s="25">
        <f>ROUND(SUM(Inventory[[#This Row],[Mdl Qlty]:[Mdl WdDeck]])+Inventory[[#This Row],[Mdl Res Intercept]],-2)</f>
        <v>328800</v>
      </c>
      <c r="BD1317" s="25">
        <f>ROUND(Inventory[[#This Row],[Mdl Land Intercept]]+Inventory[[#This Row],[Mdl LnAcres]],-2)</f>
        <v>38900</v>
      </c>
      <c r="BE1317" s="25">
        <f>Inventory[[#This Row],[Unadj Res Value]]+Inventory[[#This Row],[Unadj Det Value]]+Inventory[[#This Row],[Unadj Land Value]]</f>
        <v>373500</v>
      </c>
      <c r="BF1317" s="36">
        <f>(Inventory[[#This Row],[Unadj Total Value]]-Inventory[[#This Row],[24Final]])/Inventory[[#This Row],[24Final]]</f>
        <v>5.6876061120543296E-2</v>
      </c>
      <c r="BG1317" s="25">
        <f>VLOOKUP(Inventory[[#This Row],[Nbhd]],Lookups!$Q$2:$T$4,4,FALSE)</f>
        <v>0.99970000000000003</v>
      </c>
      <c r="BH1317" s="25">
        <f>VLOOKUP(Inventory[[#This Row],[Qlty]],Lookups!$O$7:$R$21,4,FALSE)</f>
        <v>1.0067999999999999</v>
      </c>
      <c r="BI1317" s="25">
        <f>VLOOKUP(Inventory[[#This Row],[Cnd]],Lookups!$T$7:$W$16,4,FALSE)</f>
        <v>0.99650000000000005</v>
      </c>
      <c r="BJ1317" s="25">
        <f>VLOOKUP(Inventory[[#This Row],[LivArea Range]],Lookups!$T$25:$W$37,4,FALSE)</f>
        <v>0.98919999999999997</v>
      </c>
      <c r="BK1317" s="25">
        <f>VLOOKUP(Inventory[[#This Row],[Decade]],Lookups!$O$25:$R$42,4,FALSE)</f>
        <v>0.98909999999999998</v>
      </c>
      <c r="BL1317" s="25">
        <f>Inventory[[#This Row],[Nbhd Adj]]*0.95</f>
        <v>0.94971499999999998</v>
      </c>
      <c r="BM1317" s="25">
        <f>Inventory[[#This Row],[Nbhd Adj]]*Inventory[[#This Row],[Quality Adj]]*Inventory[[#This Row],[Condition Adj]]*Inventory[[#This Row],[Living Area Adj]]*Inventory[[#This Row],[Decade Adj]]*0.95</f>
        <v>0.9322622889120924</v>
      </c>
      <c r="BN1317" s="25">
        <f>ROUND(SUM(Inventory[[#This Row],[Mdl Qlty]:[Mdl WdDeck]])+Inventory[[#This Row],[Mdl Res Intercept]]*Inventory[[#This Row],[Res Adj ]],-2)</f>
        <v>328800</v>
      </c>
      <c r="BO1317" s="25">
        <f>ROUND(Inventory[[#This Row],[25Det]]*Inventory[[#This Row],[Det/Nbhd Adj]],-2)</f>
        <v>5500</v>
      </c>
      <c r="BP1317" s="25">
        <f>Inventory[[#This Row],[Adjusted Res]]+Inventory[[#This Row],[Adj Det ]]</f>
        <v>334300</v>
      </c>
      <c r="BQ1317" s="25">
        <f>ROUND((Inventory[[#This Row],[Mdl Land Intercept]]+Inventory[[#This Row],[Mdl LnAcres]])*Inventory[[#This Row],[Det/Nbhd Adj]],-2)</f>
        <v>36900</v>
      </c>
      <c r="BR1317" s="25">
        <f>Inventory[[#This Row],[Adjusted Impr Total]]+Inventory[[#This Row],[Adjusted Land Total]]</f>
        <v>371200</v>
      </c>
      <c r="BS1317" s="36">
        <f>IFERROR((Inventory[[#This Row],[Adjusted Impr Total]]-Inventory[[#This Row],[24Bldg]])/Inventory[[#This Row],[24Bldg]],0)</f>
        <v>0.13322033898305086</v>
      </c>
      <c r="BT1317" s="36">
        <f>(Inventory[[#This Row],[Adjusted Land Total]]-Inventory[[#This Row],[24Lnd]])/Inventory[[#This Row],[24Lnd]]</f>
        <v>-0.36815068493150682</v>
      </c>
      <c r="BU1317" s="36">
        <f>(Inventory[[#This Row],[Adjusted Total]]-Inventory[[#This Row],[24Final]])/Inventory[[#This Row],[24Final]]</f>
        <v>5.0367855121675152E-2</v>
      </c>
    </row>
    <row r="1318" spans="1:73" x14ac:dyDescent="0.3">
      <c r="A1318" s="25">
        <v>2025</v>
      </c>
      <c r="B1318" s="26" t="s">
        <v>2747</v>
      </c>
      <c r="C1318" s="26">
        <f>LN(Inventory[[#This Row],[Acres]])</f>
        <v>-1.7719568419318752</v>
      </c>
      <c r="D1318" s="25">
        <v>0.17</v>
      </c>
      <c r="E1318" s="31"/>
      <c r="F1318" s="26" t="s">
        <v>537</v>
      </c>
      <c r="G1318" s="26" t="s">
        <v>126</v>
      </c>
      <c r="H1318" s="26" t="s">
        <v>349</v>
      </c>
      <c r="I1318" s="26" t="s">
        <v>538</v>
      </c>
      <c r="J1318" s="26" t="s">
        <v>539</v>
      </c>
      <c r="K1318" s="26" t="s">
        <v>269</v>
      </c>
      <c r="L1318" s="26" t="s">
        <v>148</v>
      </c>
      <c r="M1318" s="26" t="s">
        <v>303</v>
      </c>
      <c r="N1318" s="26">
        <v>90</v>
      </c>
      <c r="O1318" s="26">
        <f>2024-Inventory[[#This Row],[YrBlt]]</f>
        <v>84</v>
      </c>
      <c r="P1318" s="26">
        <f>2024-Inventory[[#This Row],[EffYr]]</f>
        <v>52</v>
      </c>
      <c r="Q1318" s="25">
        <v>1940</v>
      </c>
      <c r="R1318" s="25">
        <v>1972</v>
      </c>
      <c r="S1318" s="25">
        <v>1550</v>
      </c>
      <c r="T1318" s="31"/>
      <c r="U1318" s="25">
        <v>1550</v>
      </c>
      <c r="V1318" s="25">
        <f>Inventory[[#This Row],[Bsmt]]-Inventory[[#This Row],[FnBsmt]]</f>
        <v>270</v>
      </c>
      <c r="W1318" s="25">
        <v>1280</v>
      </c>
      <c r="X1318" s="27"/>
      <c r="Y1318" s="27">
        <f>Inventory[[#This Row],[MainFn]]+Inventory[[#This Row],[UpprFn]]+Inventory[[#This Row],[FnBsmt]]+Inventory[[#This Row],[AddFn]]</f>
        <v>2830</v>
      </c>
      <c r="Z1318" s="27">
        <v>3000</v>
      </c>
      <c r="AA1318" s="25">
        <v>9</v>
      </c>
      <c r="AB1318" s="27"/>
      <c r="AC1318" s="27"/>
      <c r="AD1318" s="27"/>
      <c r="AE1318" s="27"/>
      <c r="AF1318" s="27"/>
      <c r="AG1318" s="27"/>
      <c r="AH1318" s="27"/>
      <c r="AI1318" s="25">
        <v>514951</v>
      </c>
      <c r="AJ1318" s="25">
        <v>360466</v>
      </c>
      <c r="AK1318" s="25">
        <v>15673</v>
      </c>
      <c r="AL1318" s="25">
        <v>412500</v>
      </c>
      <c r="AM1318" s="25">
        <v>52700</v>
      </c>
      <c r="AN1318" s="25">
        <v>359800</v>
      </c>
      <c r="AO1318" s="25">
        <v>0</v>
      </c>
      <c r="AP1318" s="25">
        <f>Lookups!$B$56*0</f>
        <v>0</v>
      </c>
      <c r="AQ1318" s="25">
        <f>Lookups!$B$56*1</f>
        <v>89850.625589999996</v>
      </c>
      <c r="AR1318" s="25">
        <f>Lookups!$B$57*Inventory[[#This Row],[LnAcres]]</f>
        <v>-56090.612940989391</v>
      </c>
      <c r="AS1318" s="25">
        <f>VLOOKUP(Inventory[[#This Row],[Qlty]],Lookups!$A$62:$E$75,2,FALSE)</f>
        <v>44121.038090000002</v>
      </c>
      <c r="AT1318" s="25">
        <f>VLOOKUP(Inventory[[#This Row],[Cnd]],Lookups!$A$76:$E$84,2,FALSE)</f>
        <v>197752.34721000001</v>
      </c>
      <c r="AU1318" s="25">
        <f>Inventory[[#This Row],[EffAge]]*Lookups!$B$85</f>
        <v>-11598.371226000001</v>
      </c>
      <c r="AV1318" s="25">
        <f>Inventory[[#This Row],[MainFn]]*Lookups!$B$86</f>
        <v>76583.438309350007</v>
      </c>
      <c r="AW1318" s="25">
        <f>Inventory[[#This Row],[UpprFn]]*Lookups!$B$87</f>
        <v>0</v>
      </c>
      <c r="AX1318" s="25">
        <f>Inventory[[#This Row],[AddFn]]*Lookups!$B$88</f>
        <v>0</v>
      </c>
      <c r="AY1318" s="25">
        <f>Inventory[[#This Row],[Bsmt]]*Lookups!$B$89</f>
        <v>45076.93763285</v>
      </c>
      <c r="AZ1318" s="25">
        <f>Inventory[[#This Row],[Fixtures]]*Lookups!$B$90</f>
        <v>34128.198946800003</v>
      </c>
      <c r="BA1318" s="25">
        <f>Inventory[[#This Row],[WdDeck]]*Lookups!$B$91</f>
        <v>0</v>
      </c>
      <c r="BB1318" s="25">
        <f>ROUND(Inventory[[#This Row],[25Det]],-2)</f>
        <v>15700</v>
      </c>
      <c r="BC1318" s="25">
        <f>ROUND(SUM(Inventory[[#This Row],[Mdl Qlty]:[Mdl WdDeck]])+Inventory[[#This Row],[Mdl Res Intercept]],-2)</f>
        <v>386100</v>
      </c>
      <c r="BD1318" s="25">
        <f>ROUND(Inventory[[#This Row],[Mdl Land Intercept]]+Inventory[[#This Row],[Mdl LnAcres]],-2)</f>
        <v>33800</v>
      </c>
      <c r="BE1318" s="25">
        <f>Inventory[[#This Row],[Unadj Res Value]]+Inventory[[#This Row],[Unadj Det Value]]+Inventory[[#This Row],[Unadj Land Value]]</f>
        <v>435600</v>
      </c>
      <c r="BF1318" s="36">
        <f>(Inventory[[#This Row],[Unadj Total Value]]-Inventory[[#This Row],[24Final]])/Inventory[[#This Row],[24Final]]</f>
        <v>5.6000000000000001E-2</v>
      </c>
      <c r="BG1318" s="25">
        <f>VLOOKUP(Inventory[[#This Row],[Nbhd]],Lookups!$Q$2:$T$4,4,FALSE)</f>
        <v>0.99970000000000003</v>
      </c>
      <c r="BH1318" s="25">
        <f>VLOOKUP(Inventory[[#This Row],[Qlty]],Lookups!$O$7:$R$21,4,FALSE)</f>
        <v>0.98050000000000004</v>
      </c>
      <c r="BI1318" s="25">
        <f>VLOOKUP(Inventory[[#This Row],[Cnd]],Lookups!$T$7:$W$16,4,FALSE)</f>
        <v>0.99650000000000005</v>
      </c>
      <c r="BJ1318" s="25">
        <f>VLOOKUP(Inventory[[#This Row],[LivArea Range]],Lookups!$T$25:$W$37,4,FALSE)</f>
        <v>0.96179999999999999</v>
      </c>
      <c r="BK1318" s="25">
        <f>VLOOKUP(Inventory[[#This Row],[Decade]],Lookups!$O$25:$R$42,4,FALSE)</f>
        <v>0.98909999999999998</v>
      </c>
      <c r="BL1318" s="25">
        <f>Inventory[[#This Row],[Nbhd Adj]]*0.95</f>
        <v>0.94971499999999998</v>
      </c>
      <c r="BM1318" s="25">
        <f>Inventory[[#This Row],[Nbhd Adj]]*Inventory[[#This Row],[Quality Adj]]*Inventory[[#This Row],[Condition Adj]]*Inventory[[#This Row],[Living Area Adj]]*Inventory[[#This Row],[Decade Adj]]*0.95</f>
        <v>0.88276107127906644</v>
      </c>
      <c r="BN1318" s="25">
        <f>ROUND(SUM(Inventory[[#This Row],[Mdl Qlty]:[Mdl WdDeck]])+Inventory[[#This Row],[Mdl Res Intercept]]*Inventory[[#This Row],[Res Adj ]],-2)</f>
        <v>386100</v>
      </c>
      <c r="BO1318" s="25">
        <f>ROUND(Inventory[[#This Row],[25Det]]*Inventory[[#This Row],[Det/Nbhd Adj]],-2)</f>
        <v>14900</v>
      </c>
      <c r="BP1318" s="25">
        <f>Inventory[[#This Row],[Adjusted Res]]+Inventory[[#This Row],[Adj Det ]]</f>
        <v>401000</v>
      </c>
      <c r="BQ1318" s="25">
        <f>ROUND((Inventory[[#This Row],[Mdl Land Intercept]]+Inventory[[#This Row],[Mdl LnAcres]])*Inventory[[#This Row],[Det/Nbhd Adj]],-2)</f>
        <v>32100</v>
      </c>
      <c r="BR1318" s="25">
        <f>Inventory[[#This Row],[Adjusted Impr Total]]+Inventory[[#This Row],[Adjusted Land Total]]</f>
        <v>433100</v>
      </c>
      <c r="BS1318" s="36">
        <f>IFERROR((Inventory[[#This Row],[Adjusted Impr Total]]-Inventory[[#This Row],[24Bldg]])/Inventory[[#This Row],[24Bldg]],0)</f>
        <v>0.11450806003335186</v>
      </c>
      <c r="BT1318" s="36">
        <f>(Inventory[[#This Row],[Adjusted Land Total]]-Inventory[[#This Row],[24Lnd]])/Inventory[[#This Row],[24Lnd]]</f>
        <v>-0.39089184060721061</v>
      </c>
      <c r="BU1318" s="36">
        <f>(Inventory[[#This Row],[Adjusted Total]]-Inventory[[#This Row],[24Final]])/Inventory[[#This Row],[24Final]]</f>
        <v>4.9939393939393936E-2</v>
      </c>
    </row>
    <row r="1319" spans="1:73" x14ac:dyDescent="0.3">
      <c r="A1319" s="25">
        <v>2025</v>
      </c>
      <c r="B1319" s="26" t="s">
        <v>2270</v>
      </c>
      <c r="C1319" s="26">
        <f>LN(Inventory[[#This Row],[Acres]])</f>
        <v>-1.4696759700589417</v>
      </c>
      <c r="D1319" s="25">
        <v>0.23</v>
      </c>
      <c r="E1319" s="25">
        <v>10212</v>
      </c>
      <c r="F1319" s="26" t="s">
        <v>537</v>
      </c>
      <c r="G1319" s="26" t="s">
        <v>126</v>
      </c>
      <c r="H1319" s="26" t="s">
        <v>349</v>
      </c>
      <c r="I1319" s="26" t="s">
        <v>538</v>
      </c>
      <c r="J1319" s="26" t="s">
        <v>539</v>
      </c>
      <c r="K1319" s="26" t="s">
        <v>242</v>
      </c>
      <c r="L1319" s="26" t="s">
        <v>302</v>
      </c>
      <c r="M1319" s="26" t="s">
        <v>323</v>
      </c>
      <c r="N1319" s="26">
        <v>90</v>
      </c>
      <c r="O1319" s="26">
        <f>2024-Inventory[[#This Row],[YrBlt]]</f>
        <v>84</v>
      </c>
      <c r="P1319" s="26">
        <f>2024-Inventory[[#This Row],[EffYr]]</f>
        <v>52</v>
      </c>
      <c r="Q1319" s="25">
        <v>1940</v>
      </c>
      <c r="R1319" s="25">
        <v>1972</v>
      </c>
      <c r="S1319" s="25">
        <v>1569</v>
      </c>
      <c r="T1319" s="31"/>
      <c r="U1319" s="25">
        <v>1569</v>
      </c>
      <c r="V1319" s="25">
        <f>Inventory[[#This Row],[Bsmt]]-Inventory[[#This Row],[FnBsmt]]</f>
        <v>1409</v>
      </c>
      <c r="W1319" s="25">
        <v>160</v>
      </c>
      <c r="X1319" s="27"/>
      <c r="Y1319" s="27">
        <f>Inventory[[#This Row],[MainFn]]+Inventory[[#This Row],[UpprFn]]+Inventory[[#This Row],[FnBsmt]]+Inventory[[#This Row],[AddFn]]</f>
        <v>1729</v>
      </c>
      <c r="Z1319" s="27">
        <v>2000</v>
      </c>
      <c r="AA1319" s="25">
        <v>8</v>
      </c>
      <c r="AB1319" s="27"/>
      <c r="AC1319" s="27"/>
      <c r="AD1319" s="27"/>
      <c r="AE1319" s="27"/>
      <c r="AF1319" s="27"/>
      <c r="AG1319" s="27"/>
      <c r="AH1319" s="27"/>
      <c r="AI1319" s="25">
        <v>362782</v>
      </c>
      <c r="AJ1319" s="25">
        <v>246692</v>
      </c>
      <c r="AK1319" s="25">
        <v>0</v>
      </c>
      <c r="AL1319" s="25">
        <v>355600</v>
      </c>
      <c r="AM1319" s="25">
        <v>63300</v>
      </c>
      <c r="AN1319" s="25">
        <v>292300</v>
      </c>
      <c r="AO1319" s="25">
        <v>0</v>
      </c>
      <c r="AP1319" s="25">
        <f>Lookups!$B$56*0</f>
        <v>0</v>
      </c>
      <c r="AQ1319" s="25">
        <f>Lookups!$B$56*1</f>
        <v>89850.625589999996</v>
      </c>
      <c r="AR1319" s="25">
        <f>Lookups!$B$57*Inventory[[#This Row],[LnAcres]]</f>
        <v>-46522.028095997222</v>
      </c>
      <c r="AS1319" s="25">
        <f>VLOOKUP(Inventory[[#This Row],[Qlty]],Lookups!$A$62:$E$75,2,FALSE)</f>
        <v>29814.093161000001</v>
      </c>
      <c r="AT1319" s="25">
        <f>VLOOKUP(Inventory[[#This Row],[Cnd]],Lookups!$A$76:$E$84,2,FALSE)</f>
        <v>160472.20319</v>
      </c>
      <c r="AU1319" s="25">
        <f>Inventory[[#This Row],[EffAge]]*Lookups!$B$85</f>
        <v>-11598.371226000001</v>
      </c>
      <c r="AV1319" s="25">
        <f>Inventory[[#This Row],[MainFn]]*Lookups!$B$86</f>
        <v>77522.203037013009</v>
      </c>
      <c r="AW1319" s="25">
        <f>Inventory[[#This Row],[UpprFn]]*Lookups!$B$87</f>
        <v>0</v>
      </c>
      <c r="AX1319" s="25">
        <f>Inventory[[#This Row],[AddFn]]*Lookups!$B$88</f>
        <v>0</v>
      </c>
      <c r="AY1319" s="25">
        <f>Inventory[[#This Row],[Bsmt]]*Lookups!$B$89</f>
        <v>45629.493642542999</v>
      </c>
      <c r="AZ1319" s="25">
        <f>Inventory[[#This Row],[Fixtures]]*Lookups!$B$90</f>
        <v>30336.176841600001</v>
      </c>
      <c r="BA1319" s="25">
        <f>Inventory[[#This Row],[WdDeck]]*Lookups!$B$91</f>
        <v>0</v>
      </c>
      <c r="BB1319" s="25">
        <f>ROUND(Inventory[[#This Row],[25Det]],-2)</f>
        <v>0</v>
      </c>
      <c r="BC1319" s="25">
        <f>ROUND(SUM(Inventory[[#This Row],[Mdl Qlty]:[Mdl WdDeck]])+Inventory[[#This Row],[Mdl Res Intercept]],-2)</f>
        <v>332200</v>
      </c>
      <c r="BD1319" s="25">
        <f>ROUND(Inventory[[#This Row],[Mdl Land Intercept]]+Inventory[[#This Row],[Mdl LnAcres]],-2)</f>
        <v>43300</v>
      </c>
      <c r="BE1319" s="25">
        <f>Inventory[[#This Row],[Unadj Res Value]]+Inventory[[#This Row],[Unadj Det Value]]+Inventory[[#This Row],[Unadj Land Value]]</f>
        <v>375500</v>
      </c>
      <c r="BF1319" s="36">
        <f>(Inventory[[#This Row],[Unadj Total Value]]-Inventory[[#This Row],[24Final]])/Inventory[[#This Row],[24Final]]</f>
        <v>5.596175478065242E-2</v>
      </c>
      <c r="BG1319" s="25">
        <f>VLOOKUP(Inventory[[#This Row],[Nbhd]],Lookups!$Q$2:$T$4,4,FALSE)</f>
        <v>0.99970000000000003</v>
      </c>
      <c r="BH1319" s="25">
        <f>VLOOKUP(Inventory[[#This Row],[Qlty]],Lookups!$O$7:$R$21,4,FALSE)</f>
        <v>1.0088999999999999</v>
      </c>
      <c r="BI1319" s="25">
        <f>VLOOKUP(Inventory[[#This Row],[Cnd]],Lookups!$T$7:$W$16,4,FALSE)</f>
        <v>0.99729999999999996</v>
      </c>
      <c r="BJ1319" s="25">
        <f>VLOOKUP(Inventory[[#This Row],[LivArea Range]],Lookups!$T$25:$W$37,4,FALSE)</f>
        <v>1.0093000000000001</v>
      </c>
      <c r="BK1319" s="25">
        <f>VLOOKUP(Inventory[[#This Row],[Decade]],Lookups!$O$25:$R$42,4,FALSE)</f>
        <v>0.98909999999999998</v>
      </c>
      <c r="BL1319" s="25">
        <f>Inventory[[#This Row],[Nbhd Adj]]*0.95</f>
        <v>0.94971499999999998</v>
      </c>
      <c r="BM1319" s="25">
        <f>Inventory[[#This Row],[Nbhd Adj]]*Inventory[[#This Row],[Quality Adj]]*Inventory[[#This Row],[Condition Adj]]*Inventory[[#This Row],[Living Area Adj]]*Inventory[[#This Row],[Decade Adj]]*0.95</f>
        <v>0.95395461550409388</v>
      </c>
      <c r="BN1319" s="25">
        <f>ROUND(SUM(Inventory[[#This Row],[Mdl Qlty]:[Mdl WdDeck]])+Inventory[[#This Row],[Mdl Res Intercept]]*Inventory[[#This Row],[Res Adj ]],-2)</f>
        <v>332200</v>
      </c>
      <c r="BO1319" s="25">
        <f>ROUND(Inventory[[#This Row],[25Det]]*Inventory[[#This Row],[Det/Nbhd Adj]],-2)</f>
        <v>0</v>
      </c>
      <c r="BP1319" s="25">
        <f>Inventory[[#This Row],[Adjusted Res]]+Inventory[[#This Row],[Adj Det ]]</f>
        <v>332200</v>
      </c>
      <c r="BQ1319" s="25">
        <f>ROUND((Inventory[[#This Row],[Mdl Land Intercept]]+Inventory[[#This Row],[Mdl LnAcres]])*Inventory[[#This Row],[Det/Nbhd Adj]],-2)</f>
        <v>41100</v>
      </c>
      <c r="BR1319" s="25">
        <f>Inventory[[#This Row],[Adjusted Impr Total]]+Inventory[[#This Row],[Adjusted Land Total]]</f>
        <v>373300</v>
      </c>
      <c r="BS1319" s="36">
        <f>IFERROR((Inventory[[#This Row],[Adjusted Impr Total]]-Inventory[[#This Row],[24Bldg]])/Inventory[[#This Row],[24Bldg]],0)</f>
        <v>0.13650359219979474</v>
      </c>
      <c r="BT1319" s="36">
        <f>(Inventory[[#This Row],[Adjusted Land Total]]-Inventory[[#This Row],[24Lnd]])/Inventory[[#This Row],[24Lnd]]</f>
        <v>-0.35071090047393366</v>
      </c>
      <c r="BU1319" s="36">
        <f>(Inventory[[#This Row],[Adjusted Total]]-Inventory[[#This Row],[24Final]])/Inventory[[#This Row],[24Final]]</f>
        <v>4.9775028121484814E-2</v>
      </c>
    </row>
    <row r="1320" spans="1:73" x14ac:dyDescent="0.3">
      <c r="A1320" s="25">
        <v>2025</v>
      </c>
      <c r="B1320" s="26" t="s">
        <v>2915</v>
      </c>
      <c r="C1320" s="26">
        <f>LN(Inventory[[#This Row],[Acres]])</f>
        <v>-1.7147984280919266</v>
      </c>
      <c r="D1320" s="25">
        <v>0.18</v>
      </c>
      <c r="E1320" s="25">
        <v>7969</v>
      </c>
      <c r="F1320" s="26" t="s">
        <v>537</v>
      </c>
      <c r="G1320" s="26" t="s">
        <v>126</v>
      </c>
      <c r="H1320" s="26" t="s">
        <v>349</v>
      </c>
      <c r="I1320" s="26" t="s">
        <v>538</v>
      </c>
      <c r="J1320" s="26" t="s">
        <v>539</v>
      </c>
      <c r="K1320" s="26" t="s">
        <v>350</v>
      </c>
      <c r="L1320" s="26" t="s">
        <v>302</v>
      </c>
      <c r="M1320" s="26" t="s">
        <v>303</v>
      </c>
      <c r="N1320" s="26">
        <v>90</v>
      </c>
      <c r="O1320" s="26">
        <f>2024-Inventory[[#This Row],[YrBlt]]</f>
        <v>84</v>
      </c>
      <c r="P1320" s="26">
        <f>2024-Inventory[[#This Row],[EffYr]]</f>
        <v>52</v>
      </c>
      <c r="Q1320" s="25">
        <v>1940</v>
      </c>
      <c r="R1320" s="25">
        <v>1972</v>
      </c>
      <c r="S1320" s="25">
        <v>1406</v>
      </c>
      <c r="T1320" s="27"/>
      <c r="U1320" s="25">
        <v>958</v>
      </c>
      <c r="V1320" s="25">
        <f>Inventory[[#This Row],[Bsmt]]-Inventory[[#This Row],[FnBsmt]]</f>
        <v>0</v>
      </c>
      <c r="W1320" s="25">
        <v>958</v>
      </c>
      <c r="X1320" s="27"/>
      <c r="Y1320" s="27">
        <f>Inventory[[#This Row],[MainFn]]+Inventory[[#This Row],[UpprFn]]+Inventory[[#This Row],[FnBsmt]]+Inventory[[#This Row],[AddFn]]</f>
        <v>2364</v>
      </c>
      <c r="Z1320" s="27">
        <v>2500</v>
      </c>
      <c r="AA1320" s="25">
        <v>9</v>
      </c>
      <c r="AB1320" s="32">
        <v>374</v>
      </c>
      <c r="AC1320" s="27"/>
      <c r="AD1320" s="27"/>
      <c r="AE1320" s="27"/>
      <c r="AF1320" s="27"/>
      <c r="AG1320" s="27"/>
      <c r="AH1320" s="27"/>
      <c r="AI1320" s="25">
        <v>407963</v>
      </c>
      <c r="AJ1320" s="25">
        <v>285574</v>
      </c>
      <c r="AK1320" s="25">
        <v>0</v>
      </c>
      <c r="AL1320" s="25">
        <v>363200</v>
      </c>
      <c r="AM1320" s="25">
        <v>54700</v>
      </c>
      <c r="AN1320" s="25">
        <v>308500</v>
      </c>
      <c r="AO1320" s="25">
        <v>0</v>
      </c>
      <c r="AP1320" s="25">
        <f>Lookups!$B$56*0</f>
        <v>0</v>
      </c>
      <c r="AQ1320" s="25">
        <f>Lookups!$B$56*1</f>
        <v>89850.625589999996</v>
      </c>
      <c r="AR1320" s="25">
        <f>Lookups!$B$57*Inventory[[#This Row],[LnAcres]]</f>
        <v>-54281.285314520763</v>
      </c>
      <c r="AS1320" s="25">
        <f>VLOOKUP(Inventory[[#This Row],[Qlty]],Lookups!$A$62:$E$75,2,FALSE)</f>
        <v>29814.093161000001</v>
      </c>
      <c r="AT1320" s="25">
        <f>VLOOKUP(Inventory[[#This Row],[Cnd]],Lookups!$A$76:$E$84,2,FALSE)</f>
        <v>197752.34721000001</v>
      </c>
      <c r="AU1320" s="25">
        <f>Inventory[[#This Row],[EffAge]]*Lookups!$B$85</f>
        <v>-11598.371226000001</v>
      </c>
      <c r="AV1320" s="25">
        <f>Inventory[[#This Row],[MainFn]]*Lookups!$B$86</f>
        <v>69468.589847062001</v>
      </c>
      <c r="AW1320" s="25">
        <f>Inventory[[#This Row],[UpprFn]]*Lookups!$B$87</f>
        <v>0</v>
      </c>
      <c r="AX1320" s="25">
        <f>Inventory[[#This Row],[AddFn]]*Lookups!$B$88</f>
        <v>0</v>
      </c>
      <c r="AY1320" s="25">
        <f>Inventory[[#This Row],[Bsmt]]*Lookups!$B$89</f>
        <v>27860.455646626</v>
      </c>
      <c r="AZ1320" s="25">
        <f>Inventory[[#This Row],[Fixtures]]*Lookups!$B$90</f>
        <v>34128.198946800003</v>
      </c>
      <c r="BA1320" s="25">
        <f>Inventory[[#This Row],[WdDeck]]*Lookups!$B$91</f>
        <v>0</v>
      </c>
      <c r="BB1320" s="25">
        <f>ROUND(Inventory[[#This Row],[25Det]],-2)</f>
        <v>0</v>
      </c>
      <c r="BC1320" s="25">
        <f>ROUND(SUM(Inventory[[#This Row],[Mdl Qlty]:[Mdl WdDeck]])+Inventory[[#This Row],[Mdl Res Intercept]],-2)</f>
        <v>347400</v>
      </c>
      <c r="BD1320" s="25">
        <f>ROUND(Inventory[[#This Row],[Mdl Land Intercept]]+Inventory[[#This Row],[Mdl LnAcres]],-2)</f>
        <v>35600</v>
      </c>
      <c r="BE1320" s="25">
        <f>Inventory[[#This Row],[Unadj Res Value]]+Inventory[[#This Row],[Unadj Det Value]]+Inventory[[#This Row],[Unadj Land Value]]</f>
        <v>383000</v>
      </c>
      <c r="BF1320" s="36">
        <f>(Inventory[[#This Row],[Unadj Total Value]]-Inventory[[#This Row],[24Final]])/Inventory[[#This Row],[24Final]]</f>
        <v>5.4515418502202644E-2</v>
      </c>
      <c r="BG1320" s="25">
        <f>VLOOKUP(Inventory[[#This Row],[Nbhd]],Lookups!$Q$2:$T$4,4,FALSE)</f>
        <v>0.99970000000000003</v>
      </c>
      <c r="BH1320" s="25">
        <f>VLOOKUP(Inventory[[#This Row],[Qlty]],Lookups!$O$7:$R$21,4,FALSE)</f>
        <v>1.0088999999999999</v>
      </c>
      <c r="BI1320" s="25">
        <f>VLOOKUP(Inventory[[#This Row],[Cnd]],Lookups!$T$7:$W$16,4,FALSE)</f>
        <v>0.99650000000000005</v>
      </c>
      <c r="BJ1320" s="25">
        <f>VLOOKUP(Inventory[[#This Row],[LivArea Range]],Lookups!$T$25:$W$37,4,FALSE)</f>
        <v>0.98919999999999997</v>
      </c>
      <c r="BK1320" s="25">
        <f>VLOOKUP(Inventory[[#This Row],[Decade]],Lookups!$O$25:$R$42,4,FALSE)</f>
        <v>0.98909999999999998</v>
      </c>
      <c r="BL1320" s="25">
        <f>Inventory[[#This Row],[Nbhd Adj]]*0.95</f>
        <v>0.94971499999999998</v>
      </c>
      <c r="BM1320" s="25">
        <f>Inventory[[#This Row],[Nbhd Adj]]*Inventory[[#This Row],[Quality Adj]]*Inventory[[#This Row],[Condition Adj]]*Inventory[[#This Row],[Living Area Adj]]*Inventory[[#This Row],[Decade Adj]]*0.95</f>
        <v>0.93420681692829766</v>
      </c>
      <c r="BN1320" s="25">
        <f>ROUND(SUM(Inventory[[#This Row],[Mdl Qlty]:[Mdl WdDeck]])+Inventory[[#This Row],[Mdl Res Intercept]]*Inventory[[#This Row],[Res Adj ]],-2)</f>
        <v>347400</v>
      </c>
      <c r="BO1320" s="25">
        <f>ROUND(Inventory[[#This Row],[25Det]]*Inventory[[#This Row],[Det/Nbhd Adj]],-2)</f>
        <v>0</v>
      </c>
      <c r="BP1320" s="25">
        <f>Inventory[[#This Row],[Adjusted Res]]+Inventory[[#This Row],[Adj Det ]]</f>
        <v>347400</v>
      </c>
      <c r="BQ1320" s="25">
        <f>ROUND((Inventory[[#This Row],[Mdl Land Intercept]]+Inventory[[#This Row],[Mdl LnAcres]])*Inventory[[#This Row],[Det/Nbhd Adj]],-2)</f>
        <v>33800</v>
      </c>
      <c r="BR1320" s="25">
        <f>Inventory[[#This Row],[Adjusted Impr Total]]+Inventory[[#This Row],[Adjusted Land Total]]</f>
        <v>381200</v>
      </c>
      <c r="BS1320" s="36">
        <f>IFERROR((Inventory[[#This Row],[Adjusted Impr Total]]-Inventory[[#This Row],[24Bldg]])/Inventory[[#This Row],[24Bldg]],0)</f>
        <v>0.12609400324149109</v>
      </c>
      <c r="BT1320" s="36">
        <f>(Inventory[[#This Row],[Adjusted Land Total]]-Inventory[[#This Row],[24Lnd]])/Inventory[[#This Row],[24Lnd]]</f>
        <v>-0.38208409506398539</v>
      </c>
      <c r="BU1320" s="36">
        <f>(Inventory[[#This Row],[Adjusted Total]]-Inventory[[#This Row],[24Final]])/Inventory[[#This Row],[24Final]]</f>
        <v>4.9559471365638763E-2</v>
      </c>
    </row>
    <row r="1321" spans="1:73" x14ac:dyDescent="0.3">
      <c r="A1321" s="25">
        <v>2025</v>
      </c>
      <c r="B1321" s="26" t="s">
        <v>714</v>
      </c>
      <c r="C1321" s="26">
        <f>LN(Inventory[[#This Row],[Acres]])</f>
        <v>-0.69314718055994529</v>
      </c>
      <c r="D1321" s="25">
        <v>0.5</v>
      </c>
      <c r="E1321" s="25">
        <v>21744</v>
      </c>
      <c r="F1321" s="26" t="s">
        <v>537</v>
      </c>
      <c r="G1321" s="26" t="s">
        <v>126</v>
      </c>
      <c r="H1321" s="26" t="s">
        <v>349</v>
      </c>
      <c r="I1321" s="26" t="s">
        <v>538</v>
      </c>
      <c r="J1321" s="26" t="s">
        <v>539</v>
      </c>
      <c r="K1321" s="26" t="s">
        <v>242</v>
      </c>
      <c r="L1321" s="26" t="s">
        <v>205</v>
      </c>
      <c r="M1321" s="26" t="s">
        <v>323</v>
      </c>
      <c r="N1321" s="26">
        <v>90</v>
      </c>
      <c r="O1321" s="26">
        <f>2024-Inventory[[#This Row],[YrBlt]]</f>
        <v>84</v>
      </c>
      <c r="P1321" s="26">
        <f>2024-Inventory[[#This Row],[EffYr]]</f>
        <v>52</v>
      </c>
      <c r="Q1321" s="25">
        <v>1940</v>
      </c>
      <c r="R1321" s="25">
        <v>1972</v>
      </c>
      <c r="S1321" s="25">
        <v>1192</v>
      </c>
      <c r="T1321" s="27"/>
      <c r="U1321" s="25">
        <v>1190</v>
      </c>
      <c r="V1321" s="25">
        <f>Inventory[[#This Row],[Bsmt]]-Inventory[[#This Row],[FnBsmt]]</f>
        <v>1190</v>
      </c>
      <c r="W1321" s="31"/>
      <c r="X1321" s="27"/>
      <c r="Y1321" s="27">
        <f>Inventory[[#This Row],[MainFn]]+Inventory[[#This Row],[UpprFn]]+Inventory[[#This Row],[FnBsmt]]+Inventory[[#This Row],[AddFn]]</f>
        <v>1192</v>
      </c>
      <c r="Z1321" s="27">
        <v>1500</v>
      </c>
      <c r="AA1321" s="25">
        <v>5</v>
      </c>
      <c r="AB1321" s="27"/>
      <c r="AC1321" s="27"/>
      <c r="AD1321" s="31"/>
      <c r="AE1321" s="27"/>
      <c r="AF1321" s="27"/>
      <c r="AG1321" s="27"/>
      <c r="AH1321" s="27"/>
      <c r="AI1321" s="25">
        <v>219863</v>
      </c>
      <c r="AJ1321" s="25">
        <v>149507</v>
      </c>
      <c r="AK1321" s="25">
        <v>6542</v>
      </c>
      <c r="AL1321" s="25">
        <v>316500</v>
      </c>
      <c r="AM1321" s="25">
        <v>90400</v>
      </c>
      <c r="AN1321" s="25">
        <v>226100</v>
      </c>
      <c r="AO1321" s="25">
        <v>0</v>
      </c>
      <c r="AP1321" s="25">
        <f>Lookups!$B$56*0</f>
        <v>0</v>
      </c>
      <c r="AQ1321" s="25">
        <f>Lookups!$B$56*1</f>
        <v>89850.625589999996</v>
      </c>
      <c r="AR1321" s="25">
        <f>Lookups!$B$57*Inventory[[#This Row],[LnAcres]]</f>
        <v>-21941.307652582615</v>
      </c>
      <c r="AS1321" s="25">
        <f>VLOOKUP(Inventory[[#This Row],[Qlty]],Lookups!$A$62:$E$75,2,FALSE)</f>
        <v>0</v>
      </c>
      <c r="AT1321" s="25">
        <f>VLOOKUP(Inventory[[#This Row],[Cnd]],Lookups!$A$76:$E$84,2,FALSE)</f>
        <v>160472.20319</v>
      </c>
      <c r="AU1321" s="25">
        <f>Inventory[[#This Row],[EffAge]]*Lookups!$B$85</f>
        <v>-11598.371226000001</v>
      </c>
      <c r="AV1321" s="25">
        <f>Inventory[[#This Row],[MainFn]]*Lookups!$B$86</f>
        <v>58895.134493384001</v>
      </c>
      <c r="AW1321" s="25">
        <f>Inventory[[#This Row],[UpprFn]]*Lookups!$B$87</f>
        <v>0</v>
      </c>
      <c r="AX1321" s="25">
        <f>Inventory[[#This Row],[AddFn]]*Lookups!$B$88</f>
        <v>0</v>
      </c>
      <c r="AY1321" s="25">
        <f>Inventory[[#This Row],[Bsmt]]*Lookups!$B$89</f>
        <v>34607.45534393</v>
      </c>
      <c r="AZ1321" s="25">
        <f>Inventory[[#This Row],[Fixtures]]*Lookups!$B$90</f>
        <v>18960.110526</v>
      </c>
      <c r="BA1321" s="25">
        <f>Inventory[[#This Row],[WdDeck]]*Lookups!$B$91</f>
        <v>0</v>
      </c>
      <c r="BB1321" s="25">
        <f>ROUND(Inventory[[#This Row],[25Det]],-2)</f>
        <v>6500</v>
      </c>
      <c r="BC1321" s="25">
        <f>ROUND(SUM(Inventory[[#This Row],[Mdl Qlty]:[Mdl WdDeck]])+Inventory[[#This Row],[Mdl Res Intercept]],-2)</f>
        <v>261300</v>
      </c>
      <c r="BD1321" s="25">
        <f>ROUND(Inventory[[#This Row],[Mdl Land Intercept]]+Inventory[[#This Row],[Mdl LnAcres]],-2)</f>
        <v>67900</v>
      </c>
      <c r="BE1321" s="25">
        <f>Inventory[[#This Row],[Unadj Res Value]]+Inventory[[#This Row],[Unadj Det Value]]+Inventory[[#This Row],[Unadj Land Value]]</f>
        <v>335700</v>
      </c>
      <c r="BF1321" s="36">
        <f>(Inventory[[#This Row],[Unadj Total Value]]-Inventory[[#This Row],[24Final]])/Inventory[[#This Row],[24Final]]</f>
        <v>6.0663507109004741E-2</v>
      </c>
      <c r="BG1321" s="25">
        <f>VLOOKUP(Inventory[[#This Row],[Nbhd]],Lookups!$Q$2:$T$4,4,FALSE)</f>
        <v>0.99970000000000003</v>
      </c>
      <c r="BH1321" s="25">
        <f>VLOOKUP(Inventory[[#This Row],[Qlty]],Lookups!$O$7:$R$21,4,FALSE)</f>
        <v>0.99180000000000001</v>
      </c>
      <c r="BI1321" s="25">
        <f>VLOOKUP(Inventory[[#This Row],[Cnd]],Lookups!$T$7:$W$16,4,FALSE)</f>
        <v>0.99729999999999996</v>
      </c>
      <c r="BJ1321" s="25">
        <f>VLOOKUP(Inventory[[#This Row],[LivArea Range]],Lookups!$T$25:$W$37,4,FALSE)</f>
        <v>1.0157</v>
      </c>
      <c r="BK1321" s="25">
        <f>VLOOKUP(Inventory[[#This Row],[Decade]],Lookups!$O$25:$R$42,4,FALSE)</f>
        <v>0.98909999999999998</v>
      </c>
      <c r="BL1321" s="25">
        <f>Inventory[[#This Row],[Nbhd Adj]]*0.95</f>
        <v>0.94971499999999998</v>
      </c>
      <c r="BM1321" s="25">
        <f>Inventory[[#This Row],[Nbhd Adj]]*Inventory[[#This Row],[Quality Adj]]*Inventory[[#This Row],[Condition Adj]]*Inventory[[#This Row],[Living Area Adj]]*Inventory[[#This Row],[Decade Adj]]*0.95</f>
        <v>0.94373242022269987</v>
      </c>
      <c r="BN1321" s="25">
        <f>ROUND(SUM(Inventory[[#This Row],[Mdl Qlty]:[Mdl WdDeck]])+Inventory[[#This Row],[Mdl Res Intercept]]*Inventory[[#This Row],[Res Adj ]],-2)</f>
        <v>261300</v>
      </c>
      <c r="BO1321" s="25">
        <f>ROUND(Inventory[[#This Row],[25Det]]*Inventory[[#This Row],[Det/Nbhd Adj]],-2)</f>
        <v>6200</v>
      </c>
      <c r="BP1321" s="25">
        <f>Inventory[[#This Row],[Adjusted Res]]+Inventory[[#This Row],[Adj Det ]]</f>
        <v>267500</v>
      </c>
      <c r="BQ1321" s="25">
        <f>ROUND((Inventory[[#This Row],[Mdl Land Intercept]]+Inventory[[#This Row],[Mdl LnAcres]])*Inventory[[#This Row],[Det/Nbhd Adj]],-2)</f>
        <v>64500</v>
      </c>
      <c r="BR1321" s="25">
        <f>Inventory[[#This Row],[Adjusted Impr Total]]+Inventory[[#This Row],[Adjusted Land Total]]</f>
        <v>332000</v>
      </c>
      <c r="BS1321" s="36">
        <f>IFERROR((Inventory[[#This Row],[Adjusted Impr Total]]-Inventory[[#This Row],[24Bldg]])/Inventory[[#This Row],[24Bldg]],0)</f>
        <v>0.18310482087571872</v>
      </c>
      <c r="BT1321" s="36">
        <f>(Inventory[[#This Row],[Adjusted Land Total]]-Inventory[[#This Row],[24Lnd]])/Inventory[[#This Row],[24Lnd]]</f>
        <v>-0.28650442477876104</v>
      </c>
      <c r="BU1321" s="36">
        <f>(Inventory[[#This Row],[Adjusted Total]]-Inventory[[#This Row],[24Final]])/Inventory[[#This Row],[24Final]]</f>
        <v>4.8973143759873619E-2</v>
      </c>
    </row>
    <row r="1322" spans="1:73" x14ac:dyDescent="0.3">
      <c r="A1322" s="25">
        <v>2025</v>
      </c>
      <c r="B1322" s="26" t="s">
        <v>1796</v>
      </c>
      <c r="C1322" s="26">
        <f>LN(Inventory[[#This Row],[Acres]])</f>
        <v>-1.5141277326297755</v>
      </c>
      <c r="D1322" s="25">
        <v>0.22</v>
      </c>
      <c r="E1322" s="32">
        <v>9765</v>
      </c>
      <c r="F1322" s="26" t="s">
        <v>537</v>
      </c>
      <c r="G1322" s="26" t="s">
        <v>126</v>
      </c>
      <c r="H1322" s="26" t="s">
        <v>349</v>
      </c>
      <c r="I1322" s="26" t="s">
        <v>538</v>
      </c>
      <c r="J1322" s="26" t="s">
        <v>539</v>
      </c>
      <c r="K1322" s="26" t="s">
        <v>242</v>
      </c>
      <c r="L1322" s="26" t="s">
        <v>351</v>
      </c>
      <c r="M1322" s="26" t="s">
        <v>303</v>
      </c>
      <c r="N1322" s="26">
        <v>90</v>
      </c>
      <c r="O1322" s="26">
        <f>2024-Inventory[[#This Row],[YrBlt]]</f>
        <v>84</v>
      </c>
      <c r="P1322" s="26">
        <f>2024-Inventory[[#This Row],[EffYr]]</f>
        <v>52</v>
      </c>
      <c r="Q1322" s="25">
        <v>1940</v>
      </c>
      <c r="R1322" s="25">
        <v>1972</v>
      </c>
      <c r="S1322" s="25">
        <v>1379</v>
      </c>
      <c r="T1322" s="27"/>
      <c r="U1322" s="25">
        <v>1034</v>
      </c>
      <c r="V1322" s="25">
        <f>Inventory[[#This Row],[Bsmt]]-Inventory[[#This Row],[FnBsmt]]</f>
        <v>0</v>
      </c>
      <c r="W1322" s="25">
        <v>1034</v>
      </c>
      <c r="X1322" s="27"/>
      <c r="Y1322" s="27">
        <f>Inventory[[#This Row],[MainFn]]+Inventory[[#This Row],[UpprFn]]+Inventory[[#This Row],[FnBsmt]]+Inventory[[#This Row],[AddFn]]</f>
        <v>2413</v>
      </c>
      <c r="Z1322" s="27">
        <v>2500</v>
      </c>
      <c r="AA1322" s="25">
        <v>8</v>
      </c>
      <c r="AB1322" s="32">
        <v>220</v>
      </c>
      <c r="AC1322" s="27"/>
      <c r="AD1322" s="31"/>
      <c r="AE1322" s="27"/>
      <c r="AF1322" s="27"/>
      <c r="AG1322" s="27"/>
      <c r="AH1322" s="27"/>
      <c r="AI1322" s="25">
        <v>334033</v>
      </c>
      <c r="AJ1322" s="25">
        <v>233823</v>
      </c>
      <c r="AK1322" s="25">
        <v>0</v>
      </c>
      <c r="AL1322" s="25">
        <v>358600</v>
      </c>
      <c r="AM1322" s="25">
        <v>61700</v>
      </c>
      <c r="AN1322" s="25">
        <v>296900</v>
      </c>
      <c r="AO1322" s="25">
        <v>0</v>
      </c>
      <c r="AP1322" s="25">
        <f>Lookups!$B$56*0</f>
        <v>0</v>
      </c>
      <c r="AQ1322" s="25">
        <f>Lookups!$B$56*1</f>
        <v>89850.625589999996</v>
      </c>
      <c r="AR1322" s="25">
        <f>Lookups!$B$57*Inventory[[#This Row],[LnAcres]]</f>
        <v>-47929.131559187132</v>
      </c>
      <c r="AS1322" s="25">
        <f>VLOOKUP(Inventory[[#This Row],[Qlty]],Lookups!$A$62:$E$75,2,FALSE)</f>
        <v>21557.329055999999</v>
      </c>
      <c r="AT1322" s="25">
        <f>VLOOKUP(Inventory[[#This Row],[Cnd]],Lookups!$A$76:$E$84,2,FALSE)</f>
        <v>197752.34721000001</v>
      </c>
      <c r="AU1322" s="25">
        <f>Inventory[[#This Row],[EffAge]]*Lookups!$B$85</f>
        <v>-11598.371226000001</v>
      </c>
      <c r="AV1322" s="25">
        <f>Inventory[[#This Row],[MainFn]]*Lookups!$B$86</f>
        <v>68134.555760382995</v>
      </c>
      <c r="AW1322" s="25">
        <f>Inventory[[#This Row],[UpprFn]]*Lookups!$B$87</f>
        <v>0</v>
      </c>
      <c r="AX1322" s="25">
        <f>Inventory[[#This Row],[AddFn]]*Lookups!$B$88</f>
        <v>0</v>
      </c>
      <c r="AY1322" s="25">
        <f>Inventory[[#This Row],[Bsmt]]*Lookups!$B$89</f>
        <v>30070.679685397998</v>
      </c>
      <c r="AZ1322" s="25">
        <f>Inventory[[#This Row],[Fixtures]]*Lookups!$B$90</f>
        <v>30336.176841600001</v>
      </c>
      <c r="BA1322" s="25">
        <f>Inventory[[#This Row],[WdDeck]]*Lookups!$B$91</f>
        <v>0</v>
      </c>
      <c r="BB1322" s="25">
        <f>ROUND(Inventory[[#This Row],[25Det]],-2)</f>
        <v>0</v>
      </c>
      <c r="BC1322" s="25">
        <f>ROUND(SUM(Inventory[[#This Row],[Mdl Qlty]:[Mdl WdDeck]])+Inventory[[#This Row],[Mdl Res Intercept]],-2)</f>
        <v>336300</v>
      </c>
      <c r="BD1322" s="25">
        <f>ROUND(Inventory[[#This Row],[Mdl Land Intercept]]+Inventory[[#This Row],[Mdl LnAcres]],-2)</f>
        <v>41900</v>
      </c>
      <c r="BE1322" s="25">
        <f>Inventory[[#This Row],[Unadj Res Value]]+Inventory[[#This Row],[Unadj Det Value]]+Inventory[[#This Row],[Unadj Land Value]]</f>
        <v>378200</v>
      </c>
      <c r="BF1322" s="36">
        <f>(Inventory[[#This Row],[Unadj Total Value]]-Inventory[[#This Row],[24Final]])/Inventory[[#This Row],[24Final]]</f>
        <v>5.4656999442275513E-2</v>
      </c>
      <c r="BG1322" s="25">
        <f>VLOOKUP(Inventory[[#This Row],[Nbhd]],Lookups!$Q$2:$T$4,4,FALSE)</f>
        <v>0.99970000000000003</v>
      </c>
      <c r="BH1322" s="25">
        <f>VLOOKUP(Inventory[[#This Row],[Qlty]],Lookups!$O$7:$R$21,4,FALSE)</f>
        <v>1.0067999999999999</v>
      </c>
      <c r="BI1322" s="25">
        <f>VLOOKUP(Inventory[[#This Row],[Cnd]],Lookups!$T$7:$W$16,4,FALSE)</f>
        <v>0.99650000000000005</v>
      </c>
      <c r="BJ1322" s="25">
        <f>VLOOKUP(Inventory[[#This Row],[LivArea Range]],Lookups!$T$25:$W$37,4,FALSE)</f>
        <v>0.98919999999999997</v>
      </c>
      <c r="BK1322" s="25">
        <f>VLOOKUP(Inventory[[#This Row],[Decade]],Lookups!$O$25:$R$42,4,FALSE)</f>
        <v>0.98909999999999998</v>
      </c>
      <c r="BL1322" s="25">
        <f>Inventory[[#This Row],[Nbhd Adj]]*0.95</f>
        <v>0.94971499999999998</v>
      </c>
      <c r="BM1322" s="25">
        <f>Inventory[[#This Row],[Nbhd Adj]]*Inventory[[#This Row],[Quality Adj]]*Inventory[[#This Row],[Condition Adj]]*Inventory[[#This Row],[Living Area Adj]]*Inventory[[#This Row],[Decade Adj]]*0.95</f>
        <v>0.9322622889120924</v>
      </c>
      <c r="BN1322" s="25">
        <f>ROUND(SUM(Inventory[[#This Row],[Mdl Qlty]:[Mdl WdDeck]])+Inventory[[#This Row],[Mdl Res Intercept]]*Inventory[[#This Row],[Res Adj ]],-2)</f>
        <v>336300</v>
      </c>
      <c r="BO1322" s="25">
        <f>ROUND(Inventory[[#This Row],[25Det]]*Inventory[[#This Row],[Det/Nbhd Adj]],-2)</f>
        <v>0</v>
      </c>
      <c r="BP1322" s="25">
        <f>Inventory[[#This Row],[Adjusted Res]]+Inventory[[#This Row],[Adj Det ]]</f>
        <v>336300</v>
      </c>
      <c r="BQ1322" s="25">
        <f>ROUND((Inventory[[#This Row],[Mdl Land Intercept]]+Inventory[[#This Row],[Mdl LnAcres]])*Inventory[[#This Row],[Det/Nbhd Adj]],-2)</f>
        <v>39800</v>
      </c>
      <c r="BR1322" s="25">
        <f>Inventory[[#This Row],[Adjusted Impr Total]]+Inventory[[#This Row],[Adjusted Land Total]]</f>
        <v>376100</v>
      </c>
      <c r="BS1322" s="36">
        <f>IFERROR((Inventory[[#This Row],[Adjusted Impr Total]]-Inventory[[#This Row],[24Bldg]])/Inventory[[#This Row],[24Bldg]],0)</f>
        <v>0.13270461434826542</v>
      </c>
      <c r="BT1322" s="36">
        <f>(Inventory[[#This Row],[Adjusted Land Total]]-Inventory[[#This Row],[24Lnd]])/Inventory[[#This Row],[24Lnd]]</f>
        <v>-0.35494327390599678</v>
      </c>
      <c r="BU1322" s="36">
        <f>(Inventory[[#This Row],[Adjusted Total]]-Inventory[[#This Row],[24Final]])/Inventory[[#This Row],[24Final]]</f>
        <v>4.8800892359174571E-2</v>
      </c>
    </row>
    <row r="1323" spans="1:73" x14ac:dyDescent="0.3">
      <c r="A1323" s="25">
        <v>2025</v>
      </c>
      <c r="B1323" s="26" t="s">
        <v>1948</v>
      </c>
      <c r="C1323" s="26">
        <f>LN(Inventory[[#This Row],[Acres]])</f>
        <v>-1.5141277326297755</v>
      </c>
      <c r="D1323" s="25">
        <v>0.22</v>
      </c>
      <c r="E1323" s="27"/>
      <c r="F1323" s="26" t="s">
        <v>537</v>
      </c>
      <c r="G1323" s="26" t="s">
        <v>126</v>
      </c>
      <c r="H1323" s="26" t="s">
        <v>349</v>
      </c>
      <c r="I1323" s="26" t="s">
        <v>538</v>
      </c>
      <c r="J1323" s="26" t="s">
        <v>539</v>
      </c>
      <c r="K1323" s="26" t="s">
        <v>242</v>
      </c>
      <c r="L1323" s="26" t="s">
        <v>351</v>
      </c>
      <c r="M1323" s="26" t="s">
        <v>303</v>
      </c>
      <c r="N1323" s="26">
        <v>90</v>
      </c>
      <c r="O1323" s="26">
        <f>2024-Inventory[[#This Row],[YrBlt]]</f>
        <v>84</v>
      </c>
      <c r="P1323" s="26">
        <f>2024-Inventory[[#This Row],[EffYr]]</f>
        <v>52</v>
      </c>
      <c r="Q1323" s="25">
        <v>1940</v>
      </c>
      <c r="R1323" s="25">
        <v>1972</v>
      </c>
      <c r="S1323" s="25">
        <v>1067</v>
      </c>
      <c r="T1323" s="27"/>
      <c r="U1323" s="25">
        <v>1067</v>
      </c>
      <c r="V1323" s="25">
        <f>Inventory[[#This Row],[Bsmt]]-Inventory[[#This Row],[FnBsmt]]</f>
        <v>16</v>
      </c>
      <c r="W1323" s="25">
        <v>1051</v>
      </c>
      <c r="X1323" s="27"/>
      <c r="Y1323" s="27">
        <f>Inventory[[#This Row],[MainFn]]+Inventory[[#This Row],[UpprFn]]+Inventory[[#This Row],[FnBsmt]]+Inventory[[#This Row],[AddFn]]</f>
        <v>2118</v>
      </c>
      <c r="Z1323" s="27">
        <v>2500</v>
      </c>
      <c r="AA1323" s="25">
        <v>8</v>
      </c>
      <c r="AB1323" s="31"/>
      <c r="AC1323" s="27"/>
      <c r="AD1323" s="27"/>
      <c r="AE1323" s="27"/>
      <c r="AF1323" s="27"/>
      <c r="AG1323" s="27"/>
      <c r="AH1323" s="27"/>
      <c r="AI1323" s="25">
        <v>273832</v>
      </c>
      <c r="AJ1323" s="25">
        <v>191682</v>
      </c>
      <c r="AK1323" s="25">
        <v>5934</v>
      </c>
      <c r="AL1323" s="25">
        <v>350200</v>
      </c>
      <c r="AM1323" s="25">
        <v>61700</v>
      </c>
      <c r="AN1323" s="25">
        <v>288500</v>
      </c>
      <c r="AO1323" s="25">
        <v>0</v>
      </c>
      <c r="AP1323" s="25">
        <f>Lookups!$B$56*0</f>
        <v>0</v>
      </c>
      <c r="AQ1323" s="25">
        <f>Lookups!$B$56*1</f>
        <v>89850.625589999996</v>
      </c>
      <c r="AR1323" s="25">
        <f>Lookups!$B$57*Inventory[[#This Row],[LnAcres]]</f>
        <v>-47929.131559187132</v>
      </c>
      <c r="AS1323" s="25">
        <f>VLOOKUP(Inventory[[#This Row],[Qlty]],Lookups!$A$62:$E$75,2,FALSE)</f>
        <v>21557.329055999999</v>
      </c>
      <c r="AT1323" s="25">
        <f>VLOOKUP(Inventory[[#This Row],[Cnd]],Lookups!$A$76:$E$84,2,FALSE)</f>
        <v>197752.34721000001</v>
      </c>
      <c r="AU1323" s="25">
        <f>Inventory[[#This Row],[EffAge]]*Lookups!$B$85</f>
        <v>-11598.371226000001</v>
      </c>
      <c r="AV1323" s="25">
        <f>Inventory[[#This Row],[MainFn]]*Lookups!$B$86</f>
        <v>52719.050758759004</v>
      </c>
      <c r="AW1323" s="25">
        <f>Inventory[[#This Row],[UpprFn]]*Lookups!$B$87</f>
        <v>0</v>
      </c>
      <c r="AX1323" s="25">
        <f>Inventory[[#This Row],[AddFn]]*Lookups!$B$88</f>
        <v>0</v>
      </c>
      <c r="AY1323" s="25">
        <f>Inventory[[#This Row],[Bsmt]]*Lookups!$B$89</f>
        <v>31030.382228548999</v>
      </c>
      <c r="AZ1323" s="25">
        <f>Inventory[[#This Row],[Fixtures]]*Lookups!$B$90</f>
        <v>30336.176841600001</v>
      </c>
      <c r="BA1323" s="25">
        <f>Inventory[[#This Row],[WdDeck]]*Lookups!$B$91</f>
        <v>0</v>
      </c>
      <c r="BB1323" s="25">
        <f>ROUND(Inventory[[#This Row],[25Det]],-2)</f>
        <v>5900</v>
      </c>
      <c r="BC1323" s="25">
        <f>ROUND(SUM(Inventory[[#This Row],[Mdl Qlty]:[Mdl WdDeck]])+Inventory[[#This Row],[Mdl Res Intercept]],-2)</f>
        <v>321800</v>
      </c>
      <c r="BD1323" s="25">
        <f>ROUND(Inventory[[#This Row],[Mdl Land Intercept]]+Inventory[[#This Row],[Mdl LnAcres]],-2)</f>
        <v>41900</v>
      </c>
      <c r="BE1323" s="25">
        <f>Inventory[[#This Row],[Unadj Res Value]]+Inventory[[#This Row],[Unadj Det Value]]+Inventory[[#This Row],[Unadj Land Value]]</f>
        <v>369600</v>
      </c>
      <c r="BF1323" s="36">
        <f>(Inventory[[#This Row],[Unadj Total Value]]-Inventory[[#This Row],[24Final]])/Inventory[[#This Row],[24Final]]</f>
        <v>5.5396916047972589E-2</v>
      </c>
      <c r="BG1323" s="25">
        <f>VLOOKUP(Inventory[[#This Row],[Nbhd]],Lookups!$Q$2:$T$4,4,FALSE)</f>
        <v>0.99970000000000003</v>
      </c>
      <c r="BH1323" s="25">
        <f>VLOOKUP(Inventory[[#This Row],[Qlty]],Lookups!$O$7:$R$21,4,FALSE)</f>
        <v>1.0067999999999999</v>
      </c>
      <c r="BI1323" s="25">
        <f>VLOOKUP(Inventory[[#This Row],[Cnd]],Lookups!$T$7:$W$16,4,FALSE)</f>
        <v>0.99650000000000005</v>
      </c>
      <c r="BJ1323" s="25">
        <f>VLOOKUP(Inventory[[#This Row],[LivArea Range]],Lookups!$T$25:$W$37,4,FALSE)</f>
        <v>0.98919999999999997</v>
      </c>
      <c r="BK1323" s="25">
        <f>VLOOKUP(Inventory[[#This Row],[Decade]],Lookups!$O$25:$R$42,4,FALSE)</f>
        <v>0.98909999999999998</v>
      </c>
      <c r="BL1323" s="25">
        <f>Inventory[[#This Row],[Nbhd Adj]]*0.95</f>
        <v>0.94971499999999998</v>
      </c>
      <c r="BM1323" s="25">
        <f>Inventory[[#This Row],[Nbhd Adj]]*Inventory[[#This Row],[Quality Adj]]*Inventory[[#This Row],[Condition Adj]]*Inventory[[#This Row],[Living Area Adj]]*Inventory[[#This Row],[Decade Adj]]*0.95</f>
        <v>0.9322622889120924</v>
      </c>
      <c r="BN1323" s="25">
        <f>ROUND(SUM(Inventory[[#This Row],[Mdl Qlty]:[Mdl WdDeck]])+Inventory[[#This Row],[Mdl Res Intercept]]*Inventory[[#This Row],[Res Adj ]],-2)</f>
        <v>321800</v>
      </c>
      <c r="BO1323" s="25">
        <f>ROUND(Inventory[[#This Row],[25Det]]*Inventory[[#This Row],[Det/Nbhd Adj]],-2)</f>
        <v>5600</v>
      </c>
      <c r="BP1323" s="25">
        <f>Inventory[[#This Row],[Adjusted Res]]+Inventory[[#This Row],[Adj Det ]]</f>
        <v>327400</v>
      </c>
      <c r="BQ1323" s="25">
        <f>ROUND((Inventory[[#This Row],[Mdl Land Intercept]]+Inventory[[#This Row],[Mdl LnAcres]])*Inventory[[#This Row],[Det/Nbhd Adj]],-2)</f>
        <v>39800</v>
      </c>
      <c r="BR1323" s="25">
        <f>Inventory[[#This Row],[Adjusted Impr Total]]+Inventory[[#This Row],[Adjusted Land Total]]</f>
        <v>367200</v>
      </c>
      <c r="BS1323" s="36">
        <f>IFERROR((Inventory[[#This Row],[Adjusted Impr Total]]-Inventory[[#This Row],[24Bldg]])/Inventory[[#This Row],[24Bldg]],0)</f>
        <v>0.13483535528596188</v>
      </c>
      <c r="BT1323" s="36">
        <f>(Inventory[[#This Row],[Adjusted Land Total]]-Inventory[[#This Row],[24Lnd]])/Inventory[[#This Row],[24Lnd]]</f>
        <v>-0.35494327390599678</v>
      </c>
      <c r="BU1323" s="36">
        <f>(Inventory[[#This Row],[Adjusted Total]]-Inventory[[#This Row],[24Final]])/Inventory[[#This Row],[24Final]]</f>
        <v>4.8543689320388349E-2</v>
      </c>
    </row>
    <row r="1324" spans="1:73" x14ac:dyDescent="0.3">
      <c r="A1324" s="25">
        <v>2025</v>
      </c>
      <c r="B1324" s="26" t="s">
        <v>1963</v>
      </c>
      <c r="C1324" s="26">
        <f>LN(Inventory[[#This Row],[Acres]])</f>
        <v>-1.5141277326297755</v>
      </c>
      <c r="D1324" s="25">
        <v>0.22</v>
      </c>
      <c r="E1324" s="32">
        <v>9376</v>
      </c>
      <c r="F1324" s="26" t="s">
        <v>537</v>
      </c>
      <c r="G1324" s="26" t="s">
        <v>126</v>
      </c>
      <c r="H1324" s="26" t="s">
        <v>349</v>
      </c>
      <c r="I1324" s="26" t="s">
        <v>538</v>
      </c>
      <c r="J1324" s="26" t="s">
        <v>539</v>
      </c>
      <c r="K1324" s="26" t="s">
        <v>147</v>
      </c>
      <c r="L1324" s="26" t="s">
        <v>351</v>
      </c>
      <c r="M1324" s="26" t="s">
        <v>323</v>
      </c>
      <c r="N1324" s="26">
        <v>90</v>
      </c>
      <c r="O1324" s="26">
        <f>2024-Inventory[[#This Row],[YrBlt]]</f>
        <v>84</v>
      </c>
      <c r="P1324" s="26">
        <f>2024-Inventory[[#This Row],[EffYr]]</f>
        <v>52</v>
      </c>
      <c r="Q1324" s="25">
        <v>1940</v>
      </c>
      <c r="R1324" s="25">
        <v>1972</v>
      </c>
      <c r="S1324" s="25">
        <v>1073</v>
      </c>
      <c r="T1324" s="32">
        <v>540</v>
      </c>
      <c r="U1324" s="25">
        <v>899</v>
      </c>
      <c r="V1324" s="25">
        <f>Inventory[[#This Row],[Bsmt]]-Inventory[[#This Row],[FnBsmt]]</f>
        <v>539</v>
      </c>
      <c r="W1324" s="25">
        <v>360</v>
      </c>
      <c r="X1324" s="27"/>
      <c r="Y1324" s="27">
        <f>Inventory[[#This Row],[MainFn]]+Inventory[[#This Row],[UpprFn]]+Inventory[[#This Row],[FnBsmt]]+Inventory[[#This Row],[AddFn]]</f>
        <v>1973</v>
      </c>
      <c r="Z1324" s="27">
        <v>2000</v>
      </c>
      <c r="AA1324" s="25">
        <v>10</v>
      </c>
      <c r="AB1324" s="31"/>
      <c r="AC1324" s="27"/>
      <c r="AD1324" s="27"/>
      <c r="AE1324" s="27"/>
      <c r="AF1324" s="27"/>
      <c r="AG1324" s="27"/>
      <c r="AH1324" s="27"/>
      <c r="AI1324" s="25">
        <v>296128</v>
      </c>
      <c r="AJ1324" s="25">
        <v>201367</v>
      </c>
      <c r="AK1324" s="25">
        <v>8623</v>
      </c>
      <c r="AL1324" s="25">
        <v>343300</v>
      </c>
      <c r="AM1324" s="25">
        <v>61700</v>
      </c>
      <c r="AN1324" s="25">
        <v>281600</v>
      </c>
      <c r="AO1324" s="25">
        <v>0</v>
      </c>
      <c r="AP1324" s="25">
        <f>Lookups!$B$56*0</f>
        <v>0</v>
      </c>
      <c r="AQ1324" s="25">
        <f>Lookups!$B$56*1</f>
        <v>89850.625589999996</v>
      </c>
      <c r="AR1324" s="25">
        <f>Lookups!$B$57*Inventory[[#This Row],[LnAcres]]</f>
        <v>-47929.131559187132</v>
      </c>
      <c r="AS1324" s="25">
        <f>VLOOKUP(Inventory[[#This Row],[Qlty]],Lookups!$A$62:$E$75,2,FALSE)</f>
        <v>21557.329055999999</v>
      </c>
      <c r="AT1324" s="25">
        <f>VLOOKUP(Inventory[[#This Row],[Cnd]],Lookups!$A$76:$E$84,2,FALSE)</f>
        <v>160472.20319</v>
      </c>
      <c r="AU1324" s="25">
        <f>Inventory[[#This Row],[EffAge]]*Lookups!$B$85</f>
        <v>-11598.371226000001</v>
      </c>
      <c r="AV1324" s="25">
        <f>Inventory[[#This Row],[MainFn]]*Lookups!$B$86</f>
        <v>53015.502778021</v>
      </c>
      <c r="AW1324" s="25">
        <f>Inventory[[#This Row],[UpprFn]]*Lookups!$B$87</f>
        <v>24184.668344940001</v>
      </c>
      <c r="AX1324" s="25">
        <f>Inventory[[#This Row],[AddFn]]*Lookups!$B$88</f>
        <v>0</v>
      </c>
      <c r="AY1324" s="25">
        <f>Inventory[[#This Row],[Bsmt]]*Lookups!$B$89</f>
        <v>26144.623827052998</v>
      </c>
      <c r="AZ1324" s="25">
        <f>Inventory[[#This Row],[Fixtures]]*Lookups!$B$90</f>
        <v>37920.221052000001</v>
      </c>
      <c r="BA1324" s="25">
        <f>Inventory[[#This Row],[WdDeck]]*Lookups!$B$91</f>
        <v>0</v>
      </c>
      <c r="BB1324" s="25">
        <f>ROUND(Inventory[[#This Row],[25Det]],-2)</f>
        <v>8600</v>
      </c>
      <c r="BC1324" s="25">
        <f>ROUND(SUM(Inventory[[#This Row],[Mdl Qlty]:[Mdl WdDeck]])+Inventory[[#This Row],[Mdl Res Intercept]],-2)</f>
        <v>311700</v>
      </c>
      <c r="BD1324" s="25">
        <f>ROUND(Inventory[[#This Row],[Mdl Land Intercept]]+Inventory[[#This Row],[Mdl LnAcres]],-2)</f>
        <v>41900</v>
      </c>
      <c r="BE1324" s="25">
        <f>Inventory[[#This Row],[Unadj Res Value]]+Inventory[[#This Row],[Unadj Det Value]]+Inventory[[#This Row],[Unadj Land Value]]</f>
        <v>362200</v>
      </c>
      <c r="BF1324" s="36">
        <f>(Inventory[[#This Row],[Unadj Total Value]]-Inventory[[#This Row],[24Final]])/Inventory[[#This Row],[24Final]]</f>
        <v>5.5053888727060879E-2</v>
      </c>
      <c r="BG1324" s="25">
        <f>VLOOKUP(Inventory[[#This Row],[Nbhd]],Lookups!$Q$2:$T$4,4,FALSE)</f>
        <v>0.99970000000000003</v>
      </c>
      <c r="BH1324" s="25">
        <f>VLOOKUP(Inventory[[#This Row],[Qlty]],Lookups!$O$7:$R$21,4,FALSE)</f>
        <v>1.0067999999999999</v>
      </c>
      <c r="BI1324" s="25">
        <f>VLOOKUP(Inventory[[#This Row],[Cnd]],Lookups!$T$7:$W$16,4,FALSE)</f>
        <v>0.99729999999999996</v>
      </c>
      <c r="BJ1324" s="25">
        <f>VLOOKUP(Inventory[[#This Row],[LivArea Range]],Lookups!$T$25:$W$37,4,FALSE)</f>
        <v>1.0093000000000001</v>
      </c>
      <c r="BK1324" s="25">
        <f>VLOOKUP(Inventory[[#This Row],[Decade]],Lookups!$O$25:$R$42,4,FALSE)</f>
        <v>0.98909999999999998</v>
      </c>
      <c r="BL1324" s="25">
        <f>Inventory[[#This Row],[Nbhd Adj]]*0.95</f>
        <v>0.94971499999999998</v>
      </c>
      <c r="BM1324" s="25">
        <f>Inventory[[#This Row],[Nbhd Adj]]*Inventory[[#This Row],[Quality Adj]]*Inventory[[#This Row],[Condition Adj]]*Inventory[[#This Row],[Living Area Adj]]*Inventory[[#This Row],[Decade Adj]]*0.95</f>
        <v>0.95196898294134369</v>
      </c>
      <c r="BN1324" s="25">
        <f>ROUND(SUM(Inventory[[#This Row],[Mdl Qlty]:[Mdl WdDeck]])+Inventory[[#This Row],[Mdl Res Intercept]]*Inventory[[#This Row],[Res Adj ]],-2)</f>
        <v>311700</v>
      </c>
      <c r="BO1324" s="25">
        <f>ROUND(Inventory[[#This Row],[25Det]]*Inventory[[#This Row],[Det/Nbhd Adj]],-2)</f>
        <v>8200</v>
      </c>
      <c r="BP1324" s="25">
        <f>Inventory[[#This Row],[Adjusted Res]]+Inventory[[#This Row],[Adj Det ]]</f>
        <v>319900</v>
      </c>
      <c r="BQ1324" s="25">
        <f>ROUND((Inventory[[#This Row],[Mdl Land Intercept]]+Inventory[[#This Row],[Mdl LnAcres]])*Inventory[[#This Row],[Det/Nbhd Adj]],-2)</f>
        <v>39800</v>
      </c>
      <c r="BR1324" s="25">
        <f>Inventory[[#This Row],[Adjusted Impr Total]]+Inventory[[#This Row],[Adjusted Land Total]]</f>
        <v>359700</v>
      </c>
      <c r="BS1324" s="36">
        <f>IFERROR((Inventory[[#This Row],[Adjusted Impr Total]]-Inventory[[#This Row],[24Bldg]])/Inventory[[#This Row],[24Bldg]],0)</f>
        <v>0.13600852272727273</v>
      </c>
      <c r="BT1324" s="36">
        <f>(Inventory[[#This Row],[Adjusted Land Total]]-Inventory[[#This Row],[24Lnd]])/Inventory[[#This Row],[24Lnd]]</f>
        <v>-0.35494327390599678</v>
      </c>
      <c r="BU1324" s="36">
        <f>(Inventory[[#This Row],[Adjusted Total]]-Inventory[[#This Row],[24Final]])/Inventory[[#This Row],[24Final]]</f>
        <v>4.7771628313428488E-2</v>
      </c>
    </row>
    <row r="1325" spans="1:73" x14ac:dyDescent="0.3">
      <c r="A1325" s="25">
        <v>2025</v>
      </c>
      <c r="B1325" s="26" t="s">
        <v>1283</v>
      </c>
      <c r="C1325" s="26">
        <f>LN(Inventory[[#This Row],[Acres]])</f>
        <v>-1.6607312068216509</v>
      </c>
      <c r="D1325" s="25">
        <v>0.19</v>
      </c>
      <c r="E1325" s="32">
        <v>8425</v>
      </c>
      <c r="F1325" s="26" t="s">
        <v>537</v>
      </c>
      <c r="G1325" s="26" t="s">
        <v>126</v>
      </c>
      <c r="H1325" s="26" t="s">
        <v>349</v>
      </c>
      <c r="I1325" s="26" t="s">
        <v>538</v>
      </c>
      <c r="J1325" s="26" t="s">
        <v>539</v>
      </c>
      <c r="K1325" s="26" t="s">
        <v>242</v>
      </c>
      <c r="L1325" s="26" t="s">
        <v>302</v>
      </c>
      <c r="M1325" s="26" t="s">
        <v>303</v>
      </c>
      <c r="N1325" s="26">
        <v>90</v>
      </c>
      <c r="O1325" s="26">
        <f>2024-Inventory[[#This Row],[YrBlt]]</f>
        <v>84</v>
      </c>
      <c r="P1325" s="26">
        <f>2024-Inventory[[#This Row],[EffYr]]</f>
        <v>52</v>
      </c>
      <c r="Q1325" s="25">
        <v>1940</v>
      </c>
      <c r="R1325" s="25">
        <v>1972</v>
      </c>
      <c r="S1325" s="25">
        <v>1636</v>
      </c>
      <c r="T1325" s="27"/>
      <c r="U1325" s="25">
        <v>1100</v>
      </c>
      <c r="V1325" s="25">
        <f>Inventory[[#This Row],[Bsmt]]-Inventory[[#This Row],[FnBsmt]]</f>
        <v>0</v>
      </c>
      <c r="W1325" s="25">
        <v>1100</v>
      </c>
      <c r="X1325" s="27"/>
      <c r="Y1325" s="27">
        <f>Inventory[[#This Row],[MainFn]]+Inventory[[#This Row],[UpprFn]]+Inventory[[#This Row],[FnBsmt]]+Inventory[[#This Row],[AddFn]]</f>
        <v>2736</v>
      </c>
      <c r="Z1325" s="27">
        <v>3000</v>
      </c>
      <c r="AA1325" s="25">
        <v>9</v>
      </c>
      <c r="AB1325" s="27"/>
      <c r="AC1325" s="27"/>
      <c r="AD1325" s="31"/>
      <c r="AE1325" s="27"/>
      <c r="AF1325" s="27"/>
      <c r="AG1325" s="27"/>
      <c r="AH1325" s="27"/>
      <c r="AI1325" s="25">
        <v>401325</v>
      </c>
      <c r="AJ1325" s="25">
        <v>280928</v>
      </c>
      <c r="AK1325" s="25">
        <v>9718</v>
      </c>
      <c r="AL1325" s="25">
        <v>389400</v>
      </c>
      <c r="AM1325" s="25">
        <v>56600</v>
      </c>
      <c r="AN1325" s="25">
        <v>332800</v>
      </c>
      <c r="AO1325" s="25">
        <v>0</v>
      </c>
      <c r="AP1325" s="25">
        <f>Lookups!$B$56*0</f>
        <v>0</v>
      </c>
      <c r="AQ1325" s="25">
        <f>Lookups!$B$56*1</f>
        <v>89850.625589999996</v>
      </c>
      <c r="AR1325" s="25">
        <f>Lookups!$B$57*Inventory[[#This Row],[LnAcres]]</f>
        <v>-52569.808201026557</v>
      </c>
      <c r="AS1325" s="25">
        <f>VLOOKUP(Inventory[[#This Row],[Qlty]],Lookups!$A$62:$E$75,2,FALSE)</f>
        <v>29814.093161000001</v>
      </c>
      <c r="AT1325" s="25">
        <f>VLOOKUP(Inventory[[#This Row],[Cnd]],Lookups!$A$76:$E$84,2,FALSE)</f>
        <v>197752.34721000001</v>
      </c>
      <c r="AU1325" s="25">
        <f>Inventory[[#This Row],[EffAge]]*Lookups!$B$85</f>
        <v>-11598.371226000001</v>
      </c>
      <c r="AV1325" s="25">
        <f>Inventory[[#This Row],[MainFn]]*Lookups!$B$86</f>
        <v>80832.583918771998</v>
      </c>
      <c r="AW1325" s="25">
        <f>Inventory[[#This Row],[UpprFn]]*Lookups!$B$87</f>
        <v>0</v>
      </c>
      <c r="AX1325" s="25">
        <f>Inventory[[#This Row],[AddFn]]*Lookups!$B$88</f>
        <v>0</v>
      </c>
      <c r="AY1325" s="25">
        <f>Inventory[[#This Row],[Bsmt]]*Lookups!$B$89</f>
        <v>31990.0847717</v>
      </c>
      <c r="AZ1325" s="25">
        <f>Inventory[[#This Row],[Fixtures]]*Lookups!$B$90</f>
        <v>34128.198946800003</v>
      </c>
      <c r="BA1325" s="25">
        <f>Inventory[[#This Row],[WdDeck]]*Lookups!$B$91</f>
        <v>0</v>
      </c>
      <c r="BB1325" s="25">
        <f>ROUND(Inventory[[#This Row],[25Det]],-2)</f>
        <v>9700</v>
      </c>
      <c r="BC1325" s="25">
        <f>ROUND(SUM(Inventory[[#This Row],[Mdl Qlty]:[Mdl WdDeck]])+Inventory[[#This Row],[Mdl Res Intercept]],-2)</f>
        <v>362900</v>
      </c>
      <c r="BD1325" s="25">
        <f>ROUND(Inventory[[#This Row],[Mdl Land Intercept]]+Inventory[[#This Row],[Mdl LnAcres]],-2)</f>
        <v>37300</v>
      </c>
      <c r="BE1325" s="25">
        <f>Inventory[[#This Row],[Unadj Res Value]]+Inventory[[#This Row],[Unadj Det Value]]+Inventory[[#This Row],[Unadj Land Value]]</f>
        <v>409900</v>
      </c>
      <c r="BF1325" s="36">
        <f>(Inventory[[#This Row],[Unadj Total Value]]-Inventory[[#This Row],[24Final]])/Inventory[[#This Row],[24Final]]</f>
        <v>5.2645095017976373E-2</v>
      </c>
      <c r="BG1325" s="25">
        <f>VLOOKUP(Inventory[[#This Row],[Nbhd]],Lookups!$Q$2:$T$4,4,FALSE)</f>
        <v>0.99970000000000003</v>
      </c>
      <c r="BH1325" s="25">
        <f>VLOOKUP(Inventory[[#This Row],[Qlty]],Lookups!$O$7:$R$21,4,FALSE)</f>
        <v>1.0088999999999999</v>
      </c>
      <c r="BI1325" s="25">
        <f>VLOOKUP(Inventory[[#This Row],[Cnd]],Lookups!$T$7:$W$16,4,FALSE)</f>
        <v>0.99650000000000005</v>
      </c>
      <c r="BJ1325" s="25">
        <f>VLOOKUP(Inventory[[#This Row],[LivArea Range]],Lookups!$T$25:$W$37,4,FALSE)</f>
        <v>0.96179999999999999</v>
      </c>
      <c r="BK1325" s="25">
        <f>VLOOKUP(Inventory[[#This Row],[Decade]],Lookups!$O$25:$R$42,4,FALSE)</f>
        <v>0.98909999999999998</v>
      </c>
      <c r="BL1325" s="25">
        <f>Inventory[[#This Row],[Nbhd Adj]]*0.95</f>
        <v>0.94971499999999998</v>
      </c>
      <c r="BM1325" s="25">
        <f>Inventory[[#This Row],[Nbhd Adj]]*Inventory[[#This Row],[Quality Adj]]*Inventory[[#This Row],[Condition Adj]]*Inventory[[#This Row],[Living Area Adj]]*Inventory[[#This Row],[Decade Adj]]*0.95</f>
        <v>0.90833008140076499</v>
      </c>
      <c r="BN1325" s="25">
        <f>ROUND(SUM(Inventory[[#This Row],[Mdl Qlty]:[Mdl WdDeck]])+Inventory[[#This Row],[Mdl Res Intercept]]*Inventory[[#This Row],[Res Adj ]],-2)</f>
        <v>362900</v>
      </c>
      <c r="BO1325" s="25">
        <f>ROUND(Inventory[[#This Row],[25Det]]*Inventory[[#This Row],[Det/Nbhd Adj]],-2)</f>
        <v>9200</v>
      </c>
      <c r="BP1325" s="25">
        <f>Inventory[[#This Row],[Adjusted Res]]+Inventory[[#This Row],[Adj Det ]]</f>
        <v>372100</v>
      </c>
      <c r="BQ1325" s="25">
        <f>ROUND((Inventory[[#This Row],[Mdl Land Intercept]]+Inventory[[#This Row],[Mdl LnAcres]])*Inventory[[#This Row],[Det/Nbhd Adj]],-2)</f>
        <v>35400</v>
      </c>
      <c r="BR1325" s="25">
        <f>Inventory[[#This Row],[Adjusted Impr Total]]+Inventory[[#This Row],[Adjusted Land Total]]</f>
        <v>407500</v>
      </c>
      <c r="BS1325" s="36">
        <f>IFERROR((Inventory[[#This Row],[Adjusted Impr Total]]-Inventory[[#This Row],[24Bldg]])/Inventory[[#This Row],[24Bldg]],0)</f>
        <v>0.1180889423076923</v>
      </c>
      <c r="BT1325" s="36">
        <f>(Inventory[[#This Row],[Adjusted Land Total]]-Inventory[[#This Row],[24Lnd]])/Inventory[[#This Row],[24Lnd]]</f>
        <v>-0.37455830388692579</v>
      </c>
      <c r="BU1325" s="36">
        <f>(Inventory[[#This Row],[Adjusted Total]]-Inventory[[#This Row],[24Final]])/Inventory[[#This Row],[24Final]]</f>
        <v>4.6481766820749872E-2</v>
      </c>
    </row>
    <row r="1326" spans="1:73" x14ac:dyDescent="0.3">
      <c r="A1326" s="25">
        <v>2025</v>
      </c>
      <c r="B1326" s="26" t="s">
        <v>1920</v>
      </c>
      <c r="C1326" s="26">
        <f>LN(Inventory[[#This Row],[Acres]])</f>
        <v>-1.5606477482646683</v>
      </c>
      <c r="D1326" s="25">
        <v>0.21</v>
      </c>
      <c r="E1326" s="32">
        <v>9345</v>
      </c>
      <c r="F1326" s="26" t="s">
        <v>537</v>
      </c>
      <c r="G1326" s="26" t="s">
        <v>126</v>
      </c>
      <c r="H1326" s="26" t="s">
        <v>349</v>
      </c>
      <c r="I1326" s="26" t="s">
        <v>538</v>
      </c>
      <c r="J1326" s="26" t="s">
        <v>539</v>
      </c>
      <c r="K1326" s="26" t="s">
        <v>242</v>
      </c>
      <c r="L1326" s="26" t="s">
        <v>148</v>
      </c>
      <c r="M1326" s="26" t="s">
        <v>323</v>
      </c>
      <c r="N1326" s="26">
        <v>90</v>
      </c>
      <c r="O1326" s="26">
        <f>2024-Inventory[[#This Row],[YrBlt]]</f>
        <v>84</v>
      </c>
      <c r="P1326" s="26">
        <f>2024-Inventory[[#This Row],[EffYr]]</f>
        <v>52</v>
      </c>
      <c r="Q1326" s="25">
        <v>1940</v>
      </c>
      <c r="R1326" s="25">
        <v>1972</v>
      </c>
      <c r="S1326" s="25">
        <v>1328</v>
      </c>
      <c r="T1326" s="27"/>
      <c r="U1326" s="25">
        <v>1328</v>
      </c>
      <c r="V1326" s="25">
        <f>Inventory[[#This Row],[Bsmt]]-Inventory[[#This Row],[FnBsmt]]</f>
        <v>664</v>
      </c>
      <c r="W1326" s="25">
        <v>664</v>
      </c>
      <c r="X1326" s="27"/>
      <c r="Y1326" s="27">
        <f>Inventory[[#This Row],[MainFn]]+Inventory[[#This Row],[UpprFn]]+Inventory[[#This Row],[FnBsmt]]+Inventory[[#This Row],[AddFn]]</f>
        <v>1992</v>
      </c>
      <c r="Z1326" s="27">
        <v>2000</v>
      </c>
      <c r="AA1326" s="25">
        <v>7</v>
      </c>
      <c r="AB1326" s="31"/>
      <c r="AC1326" s="27"/>
      <c r="AD1326" s="27"/>
      <c r="AE1326" s="27"/>
      <c r="AF1326" s="27"/>
      <c r="AG1326" s="27"/>
      <c r="AH1326" s="27"/>
      <c r="AI1326" s="25">
        <v>399170</v>
      </c>
      <c r="AJ1326" s="25">
        <v>271436</v>
      </c>
      <c r="AK1326" s="25">
        <v>9040</v>
      </c>
      <c r="AL1326" s="25">
        <v>354500</v>
      </c>
      <c r="AM1326" s="25">
        <v>60100</v>
      </c>
      <c r="AN1326" s="25">
        <v>294400</v>
      </c>
      <c r="AO1326" s="25">
        <v>0</v>
      </c>
      <c r="AP1326" s="25">
        <f>Lookups!$B$56*0</f>
        <v>0</v>
      </c>
      <c r="AQ1326" s="25">
        <f>Lookups!$B$56*1</f>
        <v>89850.625589999996</v>
      </c>
      <c r="AR1326" s="25">
        <f>Lookups!$B$57*Inventory[[#This Row],[LnAcres]]</f>
        <v>-49401.70477837498</v>
      </c>
      <c r="AS1326" s="25">
        <f>VLOOKUP(Inventory[[#This Row],[Qlty]],Lookups!$A$62:$E$75,2,FALSE)</f>
        <v>44121.038090000002</v>
      </c>
      <c r="AT1326" s="25">
        <f>VLOOKUP(Inventory[[#This Row],[Cnd]],Lookups!$A$76:$E$84,2,FALSE)</f>
        <v>160472.20319</v>
      </c>
      <c r="AU1326" s="25">
        <f>Inventory[[#This Row],[EffAge]]*Lookups!$B$85</f>
        <v>-11598.371226000001</v>
      </c>
      <c r="AV1326" s="25">
        <f>Inventory[[#This Row],[MainFn]]*Lookups!$B$86</f>
        <v>65614.713596656002</v>
      </c>
      <c r="AW1326" s="25">
        <f>Inventory[[#This Row],[UpprFn]]*Lookups!$B$87</f>
        <v>0</v>
      </c>
      <c r="AX1326" s="25">
        <f>Inventory[[#This Row],[AddFn]]*Lookups!$B$88</f>
        <v>0</v>
      </c>
      <c r="AY1326" s="25">
        <f>Inventory[[#This Row],[Bsmt]]*Lookups!$B$89</f>
        <v>38620.756888015996</v>
      </c>
      <c r="AZ1326" s="25">
        <f>Inventory[[#This Row],[Fixtures]]*Lookups!$B$90</f>
        <v>26544.1547364</v>
      </c>
      <c r="BA1326" s="25">
        <f>Inventory[[#This Row],[WdDeck]]*Lookups!$B$91</f>
        <v>0</v>
      </c>
      <c r="BB1326" s="25">
        <f>ROUND(Inventory[[#This Row],[25Det]],-2)</f>
        <v>9000</v>
      </c>
      <c r="BC1326" s="25">
        <f>ROUND(SUM(Inventory[[#This Row],[Mdl Qlty]:[Mdl WdDeck]])+Inventory[[#This Row],[Mdl Res Intercept]],-2)</f>
        <v>323800</v>
      </c>
      <c r="BD1326" s="25">
        <f>ROUND(Inventory[[#This Row],[Mdl Land Intercept]]+Inventory[[#This Row],[Mdl LnAcres]],-2)</f>
        <v>40400</v>
      </c>
      <c r="BE1326" s="25">
        <f>Inventory[[#This Row],[Unadj Res Value]]+Inventory[[#This Row],[Unadj Det Value]]+Inventory[[#This Row],[Unadj Land Value]]</f>
        <v>373200</v>
      </c>
      <c r="BF1326" s="36">
        <f>(Inventory[[#This Row],[Unadj Total Value]]-Inventory[[#This Row],[24Final]])/Inventory[[#This Row],[24Final]]</f>
        <v>5.2750352609308888E-2</v>
      </c>
      <c r="BG1326" s="25">
        <f>VLOOKUP(Inventory[[#This Row],[Nbhd]],Lookups!$Q$2:$T$4,4,FALSE)</f>
        <v>0.99970000000000003</v>
      </c>
      <c r="BH1326" s="25">
        <f>VLOOKUP(Inventory[[#This Row],[Qlty]],Lookups!$O$7:$R$21,4,FALSE)</f>
        <v>0.98050000000000004</v>
      </c>
      <c r="BI1326" s="25">
        <f>VLOOKUP(Inventory[[#This Row],[Cnd]],Lookups!$T$7:$W$16,4,FALSE)</f>
        <v>0.99729999999999996</v>
      </c>
      <c r="BJ1326" s="25">
        <f>VLOOKUP(Inventory[[#This Row],[LivArea Range]],Lookups!$T$25:$W$37,4,FALSE)</f>
        <v>1.0093000000000001</v>
      </c>
      <c r="BK1326" s="25">
        <f>VLOOKUP(Inventory[[#This Row],[Decade]],Lookups!$O$25:$R$42,4,FALSE)</f>
        <v>0.98909999999999998</v>
      </c>
      <c r="BL1326" s="25">
        <f>Inventory[[#This Row],[Nbhd Adj]]*0.95</f>
        <v>0.94971499999999998</v>
      </c>
      <c r="BM1326" s="25">
        <f>Inventory[[#This Row],[Nbhd Adj]]*Inventory[[#This Row],[Quality Adj]]*Inventory[[#This Row],[Condition Adj]]*Inventory[[#This Row],[Living Area Adj]]*Inventory[[#This Row],[Decade Adj]]*0.95</f>
        <v>0.92710129894118753</v>
      </c>
      <c r="BN1326" s="25">
        <f>ROUND(SUM(Inventory[[#This Row],[Mdl Qlty]:[Mdl WdDeck]])+Inventory[[#This Row],[Mdl Res Intercept]]*Inventory[[#This Row],[Res Adj ]],-2)</f>
        <v>323800</v>
      </c>
      <c r="BO1326" s="25">
        <f>ROUND(Inventory[[#This Row],[25Det]]*Inventory[[#This Row],[Det/Nbhd Adj]],-2)</f>
        <v>8600</v>
      </c>
      <c r="BP1326" s="25">
        <f>Inventory[[#This Row],[Adjusted Res]]+Inventory[[#This Row],[Adj Det ]]</f>
        <v>332400</v>
      </c>
      <c r="BQ1326" s="25">
        <f>ROUND((Inventory[[#This Row],[Mdl Land Intercept]]+Inventory[[#This Row],[Mdl LnAcres]])*Inventory[[#This Row],[Det/Nbhd Adj]],-2)</f>
        <v>38400</v>
      </c>
      <c r="BR1326" s="25">
        <f>Inventory[[#This Row],[Adjusted Impr Total]]+Inventory[[#This Row],[Adjusted Land Total]]</f>
        <v>370800</v>
      </c>
      <c r="BS1326" s="36">
        <f>IFERROR((Inventory[[#This Row],[Adjusted Impr Total]]-Inventory[[#This Row],[24Bldg]])/Inventory[[#This Row],[24Bldg]],0)</f>
        <v>0.12907608695652173</v>
      </c>
      <c r="BT1326" s="36">
        <f>(Inventory[[#This Row],[Adjusted Land Total]]-Inventory[[#This Row],[24Lnd]])/Inventory[[#This Row],[24Lnd]]</f>
        <v>-0.36106489184692181</v>
      </c>
      <c r="BU1326" s="36">
        <f>(Inventory[[#This Row],[Adjusted Total]]-Inventory[[#This Row],[24Final]])/Inventory[[#This Row],[24Final]]</f>
        <v>4.5980253878702394E-2</v>
      </c>
    </row>
    <row r="1327" spans="1:73" x14ac:dyDescent="0.3">
      <c r="A1327" s="25">
        <v>2025</v>
      </c>
      <c r="B1327" s="26" t="s">
        <v>886</v>
      </c>
      <c r="C1327" s="26">
        <f>LN(Inventory[[#This Row],[Acres]])</f>
        <v>-0.44628710262841947</v>
      </c>
      <c r="D1327" s="25">
        <v>0.64</v>
      </c>
      <c r="E1327" s="32">
        <v>27810</v>
      </c>
      <c r="F1327" s="26" t="s">
        <v>537</v>
      </c>
      <c r="G1327" s="26" t="s">
        <v>126</v>
      </c>
      <c r="H1327" s="26" t="s">
        <v>349</v>
      </c>
      <c r="I1327" s="26" t="s">
        <v>538</v>
      </c>
      <c r="J1327" s="26" t="s">
        <v>539</v>
      </c>
      <c r="K1327" s="26" t="s">
        <v>242</v>
      </c>
      <c r="L1327" s="26" t="s">
        <v>351</v>
      </c>
      <c r="M1327" s="26" t="s">
        <v>323</v>
      </c>
      <c r="N1327" s="26">
        <v>90</v>
      </c>
      <c r="O1327" s="26">
        <f>2024-Inventory[[#This Row],[YrBlt]]</f>
        <v>84</v>
      </c>
      <c r="P1327" s="26">
        <f>2024-Inventory[[#This Row],[EffYr]]</f>
        <v>52</v>
      </c>
      <c r="Q1327" s="25">
        <v>1940</v>
      </c>
      <c r="R1327" s="25">
        <v>1972</v>
      </c>
      <c r="S1327" s="25">
        <v>1012</v>
      </c>
      <c r="T1327" s="27"/>
      <c r="U1327" s="32">
        <v>1024</v>
      </c>
      <c r="V1327" s="32">
        <f>Inventory[[#This Row],[Bsmt]]-Inventory[[#This Row],[FnBsmt]]</f>
        <v>764</v>
      </c>
      <c r="W1327" s="32">
        <v>260</v>
      </c>
      <c r="X1327" s="27"/>
      <c r="Y1327" s="27">
        <f>Inventory[[#This Row],[MainFn]]+Inventory[[#This Row],[UpprFn]]+Inventory[[#This Row],[FnBsmt]]+Inventory[[#This Row],[AddFn]]</f>
        <v>1272</v>
      </c>
      <c r="Z1327" s="27">
        <v>1500</v>
      </c>
      <c r="AA1327" s="25">
        <v>5</v>
      </c>
      <c r="AB1327" s="31"/>
      <c r="AC1327" s="27"/>
      <c r="AD1327" s="27"/>
      <c r="AE1327" s="27"/>
      <c r="AF1327" s="27"/>
      <c r="AG1327" s="27"/>
      <c r="AH1327" s="27"/>
      <c r="AI1327" s="25">
        <v>217566</v>
      </c>
      <c r="AJ1327" s="25">
        <v>147945</v>
      </c>
      <c r="AK1327" s="25">
        <v>4877</v>
      </c>
      <c r="AL1327" s="25">
        <v>330700</v>
      </c>
      <c r="AM1327" s="25">
        <v>99000</v>
      </c>
      <c r="AN1327" s="25">
        <v>231700</v>
      </c>
      <c r="AO1327" s="25">
        <v>0</v>
      </c>
      <c r="AP1327" s="25">
        <f>Lookups!$B$56*0</f>
        <v>0</v>
      </c>
      <c r="AQ1327" s="25">
        <f>Lookups!$B$56*1</f>
        <v>89850.625589999996</v>
      </c>
      <c r="AR1327" s="25">
        <f>Lookups!$B$57*Inventory[[#This Row],[LnAcres]]</f>
        <v>-14127.046743866851</v>
      </c>
      <c r="AS1327" s="25">
        <f>VLOOKUP(Inventory[[#This Row],[Qlty]],Lookups!$A$62:$E$75,2,FALSE)</f>
        <v>21557.329055999999</v>
      </c>
      <c r="AT1327" s="25">
        <f>VLOOKUP(Inventory[[#This Row],[Cnd]],Lookups!$A$76:$E$84,2,FALSE)</f>
        <v>160472.20319</v>
      </c>
      <c r="AU1327" s="25">
        <f>Inventory[[#This Row],[EffAge]]*Lookups!$B$85</f>
        <v>-11598.371226000001</v>
      </c>
      <c r="AV1327" s="25">
        <f>Inventory[[#This Row],[MainFn]]*Lookups!$B$86</f>
        <v>50001.573915524001</v>
      </c>
      <c r="AW1327" s="25">
        <f>Inventory[[#This Row],[UpprFn]]*Lookups!$B$87</f>
        <v>0</v>
      </c>
      <c r="AX1327" s="25">
        <f>Inventory[[#This Row],[AddFn]]*Lookups!$B$88</f>
        <v>0</v>
      </c>
      <c r="AY1327" s="25">
        <f>Inventory[[#This Row],[Bsmt]]*Lookups!$B$89</f>
        <v>29779.860732927998</v>
      </c>
      <c r="AZ1327" s="25">
        <f>Inventory[[#This Row],[Fixtures]]*Lookups!$B$90</f>
        <v>18960.110526</v>
      </c>
      <c r="BA1327" s="25">
        <f>Inventory[[#This Row],[WdDeck]]*Lookups!$B$91</f>
        <v>0</v>
      </c>
      <c r="BB1327" s="25">
        <f>ROUND(Inventory[[#This Row],[25Det]],-2)</f>
        <v>4900</v>
      </c>
      <c r="BC1327" s="25">
        <f>ROUND(SUM(Inventory[[#This Row],[Mdl Qlty]:[Mdl WdDeck]])+Inventory[[#This Row],[Mdl Res Intercept]],-2)</f>
        <v>269200</v>
      </c>
      <c r="BD1327" s="25">
        <f>ROUND(Inventory[[#This Row],[Mdl Land Intercept]]+Inventory[[#This Row],[Mdl LnAcres]],-2)</f>
        <v>75700</v>
      </c>
      <c r="BE1327" s="25">
        <f>Inventory[[#This Row],[Unadj Res Value]]+Inventory[[#This Row],[Unadj Det Value]]+Inventory[[#This Row],[Unadj Land Value]]</f>
        <v>349800</v>
      </c>
      <c r="BF1327" s="36">
        <f>(Inventory[[#This Row],[Unadj Total Value]]-Inventory[[#This Row],[24Final]])/Inventory[[#This Row],[24Final]]</f>
        <v>5.7756274569095857E-2</v>
      </c>
      <c r="BG1327" s="25">
        <f>VLOOKUP(Inventory[[#This Row],[Nbhd]],Lookups!$Q$2:$T$4,4,FALSE)</f>
        <v>0.99970000000000003</v>
      </c>
      <c r="BH1327" s="25">
        <f>VLOOKUP(Inventory[[#This Row],[Qlty]],Lookups!$O$7:$R$21,4,FALSE)</f>
        <v>1.0067999999999999</v>
      </c>
      <c r="BI1327" s="25">
        <f>VLOOKUP(Inventory[[#This Row],[Cnd]],Lookups!$T$7:$W$16,4,FALSE)</f>
        <v>0.99729999999999996</v>
      </c>
      <c r="BJ1327" s="25">
        <f>VLOOKUP(Inventory[[#This Row],[LivArea Range]],Lookups!$T$25:$W$37,4,FALSE)</f>
        <v>1.0157</v>
      </c>
      <c r="BK1327" s="25">
        <f>VLOOKUP(Inventory[[#This Row],[Decade]],Lookups!$O$25:$R$42,4,FALSE)</f>
        <v>0.98909999999999998</v>
      </c>
      <c r="BL1327" s="25">
        <f>Inventory[[#This Row],[Nbhd Adj]]*0.95</f>
        <v>0.94971499999999998</v>
      </c>
      <c r="BM1327" s="25">
        <f>Inventory[[#This Row],[Nbhd Adj]]*Inventory[[#This Row],[Quality Adj]]*Inventory[[#This Row],[Condition Adj]]*Inventory[[#This Row],[Living Area Adj]]*Inventory[[#This Row],[Decade Adj]]*0.95</f>
        <v>0.95800544533193577</v>
      </c>
      <c r="BN1327" s="25">
        <f>ROUND(SUM(Inventory[[#This Row],[Mdl Qlty]:[Mdl WdDeck]])+Inventory[[#This Row],[Mdl Res Intercept]]*Inventory[[#This Row],[Res Adj ]],-2)</f>
        <v>269200</v>
      </c>
      <c r="BO1327" s="25">
        <f>ROUND(Inventory[[#This Row],[25Det]]*Inventory[[#This Row],[Det/Nbhd Adj]],-2)</f>
        <v>4600</v>
      </c>
      <c r="BP1327" s="25">
        <f>Inventory[[#This Row],[Adjusted Res]]+Inventory[[#This Row],[Adj Det ]]</f>
        <v>273800</v>
      </c>
      <c r="BQ1327" s="25">
        <f>ROUND((Inventory[[#This Row],[Mdl Land Intercept]]+Inventory[[#This Row],[Mdl LnAcres]])*Inventory[[#This Row],[Det/Nbhd Adj]],-2)</f>
        <v>71900</v>
      </c>
      <c r="BR1327" s="25">
        <f>Inventory[[#This Row],[Adjusted Impr Total]]+Inventory[[#This Row],[Adjusted Land Total]]</f>
        <v>345700</v>
      </c>
      <c r="BS1327" s="36">
        <f>IFERROR((Inventory[[#This Row],[Adjusted Impr Total]]-Inventory[[#This Row],[24Bldg]])/Inventory[[#This Row],[24Bldg]],0)</f>
        <v>0.18170047475183426</v>
      </c>
      <c r="BT1327" s="36">
        <f>(Inventory[[#This Row],[Adjusted Land Total]]-Inventory[[#This Row],[24Lnd]])/Inventory[[#This Row],[24Lnd]]</f>
        <v>-0.27373737373737372</v>
      </c>
      <c r="BU1327" s="36">
        <f>(Inventory[[#This Row],[Adjusted Total]]-Inventory[[#This Row],[24Final]])/Inventory[[#This Row],[24Final]]</f>
        <v>4.5358330813426065E-2</v>
      </c>
    </row>
    <row r="1328" spans="1:73" x14ac:dyDescent="0.3">
      <c r="A1328" s="25">
        <v>2025</v>
      </c>
      <c r="B1328" s="26" t="s">
        <v>1072</v>
      </c>
      <c r="C1328" s="26">
        <f>LN(Inventory[[#This Row],[Acres]])</f>
        <v>-1.4271163556401458</v>
      </c>
      <c r="D1328" s="25">
        <v>0.24</v>
      </c>
      <c r="E1328" s="32">
        <v>10650</v>
      </c>
      <c r="F1328" s="26" t="s">
        <v>537</v>
      </c>
      <c r="G1328" s="26" t="s">
        <v>126</v>
      </c>
      <c r="H1328" s="26" t="s">
        <v>349</v>
      </c>
      <c r="I1328" s="26" t="s">
        <v>538</v>
      </c>
      <c r="J1328" s="26" t="s">
        <v>539</v>
      </c>
      <c r="K1328" s="26" t="s">
        <v>241</v>
      </c>
      <c r="L1328" s="26" t="s">
        <v>148</v>
      </c>
      <c r="M1328" s="26" t="s">
        <v>303</v>
      </c>
      <c r="N1328" s="26">
        <v>90</v>
      </c>
      <c r="O1328" s="26">
        <f>2024-Inventory[[#This Row],[YrBlt]]</f>
        <v>84</v>
      </c>
      <c r="P1328" s="26">
        <f>2024-Inventory[[#This Row],[EffYr]]</f>
        <v>52</v>
      </c>
      <c r="Q1328" s="25">
        <v>1940</v>
      </c>
      <c r="R1328" s="25">
        <v>1972</v>
      </c>
      <c r="S1328" s="25">
        <v>1938</v>
      </c>
      <c r="T1328" s="27"/>
      <c r="U1328" s="25">
        <v>843</v>
      </c>
      <c r="V1328" s="25">
        <f>Inventory[[#This Row],[Bsmt]]-Inventory[[#This Row],[FnBsmt]]</f>
        <v>0</v>
      </c>
      <c r="W1328" s="25">
        <v>843</v>
      </c>
      <c r="X1328" s="27"/>
      <c r="Y1328" s="27">
        <f>Inventory[[#This Row],[MainFn]]+Inventory[[#This Row],[UpprFn]]+Inventory[[#This Row],[FnBsmt]]+Inventory[[#This Row],[AddFn]]</f>
        <v>2781</v>
      </c>
      <c r="Z1328" s="27">
        <v>3000</v>
      </c>
      <c r="AA1328" s="25">
        <v>10</v>
      </c>
      <c r="AB1328" s="32">
        <v>441</v>
      </c>
      <c r="AC1328" s="27"/>
      <c r="AD1328" s="27"/>
      <c r="AE1328" s="27"/>
      <c r="AF1328" s="27"/>
      <c r="AG1328" s="27"/>
      <c r="AH1328" s="27"/>
      <c r="AI1328" s="25">
        <v>545618</v>
      </c>
      <c r="AJ1328" s="25">
        <v>381933</v>
      </c>
      <c r="AK1328" s="25">
        <v>0</v>
      </c>
      <c r="AL1328" s="25">
        <v>412300</v>
      </c>
      <c r="AM1328" s="25">
        <v>64800</v>
      </c>
      <c r="AN1328" s="25">
        <v>347500</v>
      </c>
      <c r="AO1328" s="25">
        <v>0</v>
      </c>
      <c r="AP1328" s="25">
        <f>Lookups!$B$56*0</f>
        <v>0</v>
      </c>
      <c r="AQ1328" s="25">
        <f>Lookups!$B$56*1</f>
        <v>89850.625589999996</v>
      </c>
      <c r="AR1328" s="25">
        <f>Lookups!$B$57*Inventory[[#This Row],[LnAcres]]</f>
        <v>-45174.819855485119</v>
      </c>
      <c r="AS1328" s="25">
        <f>VLOOKUP(Inventory[[#This Row],[Qlty]],Lookups!$A$62:$E$75,2,FALSE)</f>
        <v>44121.038090000002</v>
      </c>
      <c r="AT1328" s="25">
        <f>VLOOKUP(Inventory[[#This Row],[Cnd]],Lookups!$A$76:$E$84,2,FALSE)</f>
        <v>197752.34721000001</v>
      </c>
      <c r="AU1328" s="25">
        <f>Inventory[[#This Row],[EffAge]]*Lookups!$B$85</f>
        <v>-11598.371226000001</v>
      </c>
      <c r="AV1328" s="25">
        <f>Inventory[[#This Row],[MainFn]]*Lookups!$B$86</f>
        <v>95754.002221625997</v>
      </c>
      <c r="AW1328" s="25">
        <f>Inventory[[#This Row],[UpprFn]]*Lookups!$B$87</f>
        <v>0</v>
      </c>
      <c r="AX1328" s="25">
        <f>Inventory[[#This Row],[AddFn]]*Lookups!$B$88</f>
        <v>0</v>
      </c>
      <c r="AY1328" s="25">
        <f>Inventory[[#This Row],[Bsmt]]*Lookups!$B$89</f>
        <v>24516.037693220998</v>
      </c>
      <c r="AZ1328" s="25">
        <f>Inventory[[#This Row],[Fixtures]]*Lookups!$B$90</f>
        <v>37920.221052000001</v>
      </c>
      <c r="BA1328" s="25">
        <f>Inventory[[#This Row],[WdDeck]]*Lookups!$B$91</f>
        <v>0</v>
      </c>
      <c r="BB1328" s="25">
        <f>ROUND(Inventory[[#This Row],[25Det]],-2)</f>
        <v>0</v>
      </c>
      <c r="BC1328" s="25">
        <f>ROUND(SUM(Inventory[[#This Row],[Mdl Qlty]:[Mdl WdDeck]])+Inventory[[#This Row],[Mdl Res Intercept]],-2)</f>
        <v>388500</v>
      </c>
      <c r="BD1328" s="25">
        <f>ROUND(Inventory[[#This Row],[Mdl Land Intercept]]+Inventory[[#This Row],[Mdl LnAcres]],-2)</f>
        <v>44700</v>
      </c>
      <c r="BE1328" s="25">
        <f>Inventory[[#This Row],[Unadj Res Value]]+Inventory[[#This Row],[Unadj Det Value]]+Inventory[[#This Row],[Unadj Land Value]]</f>
        <v>433200</v>
      </c>
      <c r="BF1328" s="36">
        <f>(Inventory[[#This Row],[Unadj Total Value]]-Inventory[[#This Row],[24Final]])/Inventory[[#This Row],[24Final]]</f>
        <v>5.0691244239631339E-2</v>
      </c>
      <c r="BG1328" s="25">
        <f>VLOOKUP(Inventory[[#This Row],[Nbhd]],Lookups!$Q$2:$T$4,4,FALSE)</f>
        <v>0.99970000000000003</v>
      </c>
      <c r="BH1328" s="25">
        <f>VLOOKUP(Inventory[[#This Row],[Qlty]],Lookups!$O$7:$R$21,4,FALSE)</f>
        <v>0.98050000000000004</v>
      </c>
      <c r="BI1328" s="25">
        <f>VLOOKUP(Inventory[[#This Row],[Cnd]],Lookups!$T$7:$W$16,4,FALSE)</f>
        <v>0.99650000000000005</v>
      </c>
      <c r="BJ1328" s="25">
        <f>VLOOKUP(Inventory[[#This Row],[LivArea Range]],Lookups!$T$25:$W$37,4,FALSE)</f>
        <v>0.96179999999999999</v>
      </c>
      <c r="BK1328" s="25">
        <f>VLOOKUP(Inventory[[#This Row],[Decade]],Lookups!$O$25:$R$42,4,FALSE)</f>
        <v>0.98909999999999998</v>
      </c>
      <c r="BL1328" s="25">
        <f>Inventory[[#This Row],[Nbhd Adj]]*0.95</f>
        <v>0.94971499999999998</v>
      </c>
      <c r="BM1328" s="25">
        <f>Inventory[[#This Row],[Nbhd Adj]]*Inventory[[#This Row],[Quality Adj]]*Inventory[[#This Row],[Condition Adj]]*Inventory[[#This Row],[Living Area Adj]]*Inventory[[#This Row],[Decade Adj]]*0.95</f>
        <v>0.88276107127906644</v>
      </c>
      <c r="BN1328" s="25">
        <f>ROUND(SUM(Inventory[[#This Row],[Mdl Qlty]:[Mdl WdDeck]])+Inventory[[#This Row],[Mdl Res Intercept]]*Inventory[[#This Row],[Res Adj ]],-2)</f>
        <v>388500</v>
      </c>
      <c r="BO1328" s="25">
        <f>ROUND(Inventory[[#This Row],[25Det]]*Inventory[[#This Row],[Det/Nbhd Adj]],-2)</f>
        <v>0</v>
      </c>
      <c r="BP1328" s="25">
        <f>Inventory[[#This Row],[Adjusted Res]]+Inventory[[#This Row],[Adj Det ]]</f>
        <v>388500</v>
      </c>
      <c r="BQ1328" s="25">
        <f>ROUND((Inventory[[#This Row],[Mdl Land Intercept]]+Inventory[[#This Row],[Mdl LnAcres]])*Inventory[[#This Row],[Det/Nbhd Adj]],-2)</f>
        <v>42400</v>
      </c>
      <c r="BR1328" s="25">
        <f>Inventory[[#This Row],[Adjusted Impr Total]]+Inventory[[#This Row],[Adjusted Land Total]]</f>
        <v>430900</v>
      </c>
      <c r="BS1328" s="36">
        <f>IFERROR((Inventory[[#This Row],[Adjusted Impr Total]]-Inventory[[#This Row],[24Bldg]])/Inventory[[#This Row],[24Bldg]],0)</f>
        <v>0.11798561151079137</v>
      </c>
      <c r="BT1328" s="36">
        <f>(Inventory[[#This Row],[Adjusted Land Total]]-Inventory[[#This Row],[24Lnd]])/Inventory[[#This Row],[24Lnd]]</f>
        <v>-0.34567901234567899</v>
      </c>
      <c r="BU1328" s="36">
        <f>(Inventory[[#This Row],[Adjusted Total]]-Inventory[[#This Row],[24Final]])/Inventory[[#This Row],[24Final]]</f>
        <v>4.5112781954887216E-2</v>
      </c>
    </row>
    <row r="1329" spans="1:73" x14ac:dyDescent="0.3">
      <c r="A1329" s="25">
        <v>2025</v>
      </c>
      <c r="B1329" s="26" t="s">
        <v>1667</v>
      </c>
      <c r="C1329" s="26">
        <f>LN(Inventory[[#This Row],[Acres]])</f>
        <v>-1.6607312068216509</v>
      </c>
      <c r="D1329" s="25">
        <v>0.19</v>
      </c>
      <c r="E1329" s="27"/>
      <c r="F1329" s="26" t="s">
        <v>537</v>
      </c>
      <c r="G1329" s="26" t="s">
        <v>126</v>
      </c>
      <c r="H1329" s="26" t="s">
        <v>349</v>
      </c>
      <c r="I1329" s="26" t="s">
        <v>538</v>
      </c>
      <c r="J1329" s="26" t="s">
        <v>539</v>
      </c>
      <c r="K1329" s="26" t="s">
        <v>242</v>
      </c>
      <c r="L1329" s="26" t="s">
        <v>351</v>
      </c>
      <c r="M1329" s="26" t="s">
        <v>323</v>
      </c>
      <c r="N1329" s="26">
        <v>90</v>
      </c>
      <c r="O1329" s="26">
        <f>2024-Inventory[[#This Row],[YrBlt]]</f>
        <v>84</v>
      </c>
      <c r="P1329" s="26">
        <f>2024-Inventory[[#This Row],[EffYr]]</f>
        <v>52</v>
      </c>
      <c r="Q1329" s="25">
        <v>1940</v>
      </c>
      <c r="R1329" s="25">
        <v>1972</v>
      </c>
      <c r="S1329" s="25">
        <v>1426</v>
      </c>
      <c r="T1329" s="27"/>
      <c r="U1329" s="32">
        <v>1426</v>
      </c>
      <c r="V1329" s="32">
        <f>Inventory[[#This Row],[Bsmt]]-Inventory[[#This Row],[FnBsmt]]</f>
        <v>713</v>
      </c>
      <c r="W1329" s="32">
        <v>713</v>
      </c>
      <c r="X1329" s="27"/>
      <c r="Y1329" s="27">
        <f>Inventory[[#This Row],[MainFn]]+Inventory[[#This Row],[UpprFn]]+Inventory[[#This Row],[FnBsmt]]+Inventory[[#This Row],[AddFn]]</f>
        <v>2139</v>
      </c>
      <c r="Z1329" s="27">
        <v>2500</v>
      </c>
      <c r="AA1329" s="25">
        <v>8</v>
      </c>
      <c r="AB1329" s="31"/>
      <c r="AC1329" s="27"/>
      <c r="AD1329" s="31"/>
      <c r="AE1329" s="27"/>
      <c r="AF1329" s="27"/>
      <c r="AG1329" s="27"/>
      <c r="AH1329" s="27"/>
      <c r="AI1329" s="25">
        <v>309810</v>
      </c>
      <c r="AJ1329" s="25">
        <v>210671</v>
      </c>
      <c r="AK1329" s="25">
        <v>6178</v>
      </c>
      <c r="AL1329" s="25">
        <v>338900</v>
      </c>
      <c r="AM1329" s="25">
        <v>56600</v>
      </c>
      <c r="AN1329" s="25">
        <v>282300</v>
      </c>
      <c r="AO1329" s="25">
        <v>0</v>
      </c>
      <c r="AP1329" s="25">
        <f>Lookups!$B$56*0</f>
        <v>0</v>
      </c>
      <c r="AQ1329" s="25">
        <f>Lookups!$B$56*1</f>
        <v>89850.625589999996</v>
      </c>
      <c r="AR1329" s="25">
        <f>Lookups!$B$57*Inventory[[#This Row],[LnAcres]]</f>
        <v>-52569.808201026557</v>
      </c>
      <c r="AS1329" s="25">
        <f>VLOOKUP(Inventory[[#This Row],[Qlty]],Lookups!$A$62:$E$75,2,FALSE)</f>
        <v>21557.329055999999</v>
      </c>
      <c r="AT1329" s="25">
        <f>VLOOKUP(Inventory[[#This Row],[Cnd]],Lookups!$A$76:$E$84,2,FALSE)</f>
        <v>160472.20319</v>
      </c>
      <c r="AU1329" s="25">
        <f>Inventory[[#This Row],[EffAge]]*Lookups!$B$85</f>
        <v>-11598.371226000001</v>
      </c>
      <c r="AV1329" s="25">
        <f>Inventory[[#This Row],[MainFn]]*Lookups!$B$86</f>
        <v>70456.763244602</v>
      </c>
      <c r="AW1329" s="25">
        <f>Inventory[[#This Row],[UpprFn]]*Lookups!$B$87</f>
        <v>0</v>
      </c>
      <c r="AX1329" s="25">
        <f>Inventory[[#This Row],[AddFn]]*Lookups!$B$88</f>
        <v>0</v>
      </c>
      <c r="AY1329" s="25">
        <f>Inventory[[#This Row],[Bsmt]]*Lookups!$B$89</f>
        <v>41470.782622221996</v>
      </c>
      <c r="AZ1329" s="25">
        <f>Inventory[[#This Row],[Fixtures]]*Lookups!$B$90</f>
        <v>30336.176841600001</v>
      </c>
      <c r="BA1329" s="25">
        <f>Inventory[[#This Row],[WdDeck]]*Lookups!$B$91</f>
        <v>0</v>
      </c>
      <c r="BB1329" s="25">
        <f>ROUND(Inventory[[#This Row],[25Det]],-2)</f>
        <v>6200</v>
      </c>
      <c r="BC1329" s="25">
        <f>ROUND(SUM(Inventory[[#This Row],[Mdl Qlty]:[Mdl WdDeck]])+Inventory[[#This Row],[Mdl Res Intercept]],-2)</f>
        <v>312700</v>
      </c>
      <c r="BD1329" s="25">
        <f>ROUND(Inventory[[#This Row],[Mdl Land Intercept]]+Inventory[[#This Row],[Mdl LnAcres]],-2)</f>
        <v>37300</v>
      </c>
      <c r="BE1329" s="25">
        <f>Inventory[[#This Row],[Unadj Res Value]]+Inventory[[#This Row],[Unadj Det Value]]+Inventory[[#This Row],[Unadj Land Value]]</f>
        <v>356200</v>
      </c>
      <c r="BF1329" s="36">
        <f>(Inventory[[#This Row],[Unadj Total Value]]-Inventory[[#This Row],[24Final]])/Inventory[[#This Row],[24Final]]</f>
        <v>5.1047506639126584E-2</v>
      </c>
      <c r="BG1329" s="25">
        <f>VLOOKUP(Inventory[[#This Row],[Nbhd]],Lookups!$Q$2:$T$4,4,FALSE)</f>
        <v>0.99970000000000003</v>
      </c>
      <c r="BH1329" s="25">
        <f>VLOOKUP(Inventory[[#This Row],[Qlty]],Lookups!$O$7:$R$21,4,FALSE)</f>
        <v>1.0067999999999999</v>
      </c>
      <c r="BI1329" s="25">
        <f>VLOOKUP(Inventory[[#This Row],[Cnd]],Lookups!$T$7:$W$16,4,FALSE)</f>
        <v>0.99729999999999996</v>
      </c>
      <c r="BJ1329" s="25">
        <f>VLOOKUP(Inventory[[#This Row],[LivArea Range]],Lookups!$T$25:$W$37,4,FALSE)</f>
        <v>0.98919999999999997</v>
      </c>
      <c r="BK1329" s="25">
        <f>VLOOKUP(Inventory[[#This Row],[Decade]],Lookups!$O$25:$R$42,4,FALSE)</f>
        <v>0.98909999999999998</v>
      </c>
      <c r="BL1329" s="25">
        <f>Inventory[[#This Row],[Nbhd Adj]]*0.95</f>
        <v>0.94971499999999998</v>
      </c>
      <c r="BM1329" s="25">
        <f>Inventory[[#This Row],[Nbhd Adj]]*Inventory[[#This Row],[Quality Adj]]*Inventory[[#This Row],[Condition Adj]]*Inventory[[#This Row],[Living Area Adj]]*Inventory[[#This Row],[Decade Adj]]*0.95</f>
        <v>0.93301071824589021</v>
      </c>
      <c r="BN1329" s="25">
        <f>ROUND(SUM(Inventory[[#This Row],[Mdl Qlty]:[Mdl WdDeck]])+Inventory[[#This Row],[Mdl Res Intercept]]*Inventory[[#This Row],[Res Adj ]],-2)</f>
        <v>312700</v>
      </c>
      <c r="BO1329" s="25">
        <f>ROUND(Inventory[[#This Row],[25Det]]*Inventory[[#This Row],[Det/Nbhd Adj]],-2)</f>
        <v>5900</v>
      </c>
      <c r="BP1329" s="25">
        <f>Inventory[[#This Row],[Adjusted Res]]+Inventory[[#This Row],[Adj Det ]]</f>
        <v>318600</v>
      </c>
      <c r="BQ1329" s="25">
        <f>ROUND((Inventory[[#This Row],[Mdl Land Intercept]]+Inventory[[#This Row],[Mdl LnAcres]])*Inventory[[#This Row],[Det/Nbhd Adj]],-2)</f>
        <v>35400</v>
      </c>
      <c r="BR1329" s="25">
        <f>Inventory[[#This Row],[Adjusted Impr Total]]+Inventory[[#This Row],[Adjusted Land Total]]</f>
        <v>354000</v>
      </c>
      <c r="BS1329" s="36">
        <f>IFERROR((Inventory[[#This Row],[Adjusted Impr Total]]-Inventory[[#This Row],[24Bldg]])/Inventory[[#This Row],[24Bldg]],0)</f>
        <v>0.12858660998937302</v>
      </c>
      <c r="BT1329" s="36">
        <f>(Inventory[[#This Row],[Adjusted Land Total]]-Inventory[[#This Row],[24Lnd]])/Inventory[[#This Row],[24Lnd]]</f>
        <v>-0.37455830388692579</v>
      </c>
      <c r="BU1329" s="36">
        <f>(Inventory[[#This Row],[Adjusted Total]]-Inventory[[#This Row],[24Final]])/Inventory[[#This Row],[24Final]]</f>
        <v>4.4555916199468873E-2</v>
      </c>
    </row>
    <row r="1330" spans="1:73" x14ac:dyDescent="0.3">
      <c r="A1330" s="25">
        <v>2025</v>
      </c>
      <c r="B1330" s="26" t="s">
        <v>802</v>
      </c>
      <c r="C1330" s="26">
        <f>LN(Inventory[[#This Row],[Acres]])</f>
        <v>-1.6607312068216509</v>
      </c>
      <c r="D1330" s="25">
        <v>0.19</v>
      </c>
      <c r="E1330" s="32">
        <v>8315</v>
      </c>
      <c r="F1330" s="26" t="s">
        <v>537</v>
      </c>
      <c r="G1330" s="26" t="s">
        <v>126</v>
      </c>
      <c r="H1330" s="26" t="s">
        <v>349</v>
      </c>
      <c r="I1330" s="26" t="s">
        <v>538</v>
      </c>
      <c r="J1330" s="26" t="s">
        <v>638</v>
      </c>
      <c r="K1330" s="26" t="s">
        <v>241</v>
      </c>
      <c r="L1330" s="26" t="s">
        <v>351</v>
      </c>
      <c r="M1330" s="26" t="s">
        <v>303</v>
      </c>
      <c r="N1330" s="26">
        <v>90</v>
      </c>
      <c r="O1330" s="26">
        <f>2024-Inventory[[#This Row],[YrBlt]]</f>
        <v>84</v>
      </c>
      <c r="P1330" s="26">
        <f>2024-Inventory[[#This Row],[EffYr]]</f>
        <v>52</v>
      </c>
      <c r="Q1330" s="25">
        <v>1940</v>
      </c>
      <c r="R1330" s="25">
        <v>1972</v>
      </c>
      <c r="S1330" s="25">
        <v>1106</v>
      </c>
      <c r="T1330" s="27"/>
      <c r="U1330" s="25">
        <v>1106</v>
      </c>
      <c r="V1330" s="25">
        <f>Inventory[[#This Row],[Bsmt]]-Inventory[[#This Row],[FnBsmt]]</f>
        <v>0</v>
      </c>
      <c r="W1330" s="25">
        <v>1106</v>
      </c>
      <c r="X1330" s="27"/>
      <c r="Y1330" s="27">
        <f>Inventory[[#This Row],[MainFn]]+Inventory[[#This Row],[UpprFn]]+Inventory[[#This Row],[FnBsmt]]+Inventory[[#This Row],[AddFn]]</f>
        <v>2212</v>
      </c>
      <c r="Z1330" s="27">
        <v>2500</v>
      </c>
      <c r="AA1330" s="25">
        <v>8</v>
      </c>
      <c r="AB1330" s="32">
        <v>200</v>
      </c>
      <c r="AC1330" s="27"/>
      <c r="AD1330" s="27"/>
      <c r="AE1330" s="27"/>
      <c r="AF1330" s="27"/>
      <c r="AG1330" s="27"/>
      <c r="AH1330" s="27"/>
      <c r="AI1330" s="25">
        <v>291703</v>
      </c>
      <c r="AJ1330" s="25">
        <v>204192</v>
      </c>
      <c r="AK1330" s="25">
        <v>0</v>
      </c>
      <c r="AL1330" s="25">
        <v>345000</v>
      </c>
      <c r="AM1330" s="25">
        <v>56600</v>
      </c>
      <c r="AN1330" s="25">
        <v>288400</v>
      </c>
      <c r="AO1330" s="25">
        <v>0</v>
      </c>
      <c r="AP1330" s="25">
        <f>Lookups!$B$56*0</f>
        <v>0</v>
      </c>
      <c r="AQ1330" s="25">
        <f>Lookups!$B$56*1</f>
        <v>89850.625589999996</v>
      </c>
      <c r="AR1330" s="25">
        <f>Lookups!$B$57*Inventory[[#This Row],[LnAcres]]</f>
        <v>-52569.808201026557</v>
      </c>
      <c r="AS1330" s="25">
        <f>VLOOKUP(Inventory[[#This Row],[Qlty]],Lookups!$A$62:$E$75,2,FALSE)</f>
        <v>21557.329055999999</v>
      </c>
      <c r="AT1330" s="25">
        <f>VLOOKUP(Inventory[[#This Row],[Cnd]],Lookups!$A$76:$E$84,2,FALSE)</f>
        <v>197752.34721000001</v>
      </c>
      <c r="AU1330" s="25">
        <f>Inventory[[#This Row],[EffAge]]*Lookups!$B$85</f>
        <v>-11598.371226000001</v>
      </c>
      <c r="AV1330" s="25">
        <f>Inventory[[#This Row],[MainFn]]*Lookups!$B$86</f>
        <v>54645.988883962003</v>
      </c>
      <c r="AW1330" s="25">
        <f>Inventory[[#This Row],[UpprFn]]*Lookups!$B$87</f>
        <v>0</v>
      </c>
      <c r="AX1330" s="25">
        <f>Inventory[[#This Row],[AddFn]]*Lookups!$B$88</f>
        <v>0</v>
      </c>
      <c r="AY1330" s="25">
        <f>Inventory[[#This Row],[Bsmt]]*Lookups!$B$89</f>
        <v>32164.576143181999</v>
      </c>
      <c r="AZ1330" s="25">
        <f>Inventory[[#This Row],[Fixtures]]*Lookups!$B$90</f>
        <v>30336.176841600001</v>
      </c>
      <c r="BA1330" s="25">
        <f>Inventory[[#This Row],[WdDeck]]*Lookups!$B$91</f>
        <v>0</v>
      </c>
      <c r="BB1330" s="25">
        <f>ROUND(Inventory[[#This Row],[25Det]],-2)</f>
        <v>0</v>
      </c>
      <c r="BC1330" s="25">
        <f>ROUND(SUM(Inventory[[#This Row],[Mdl Qlty]:[Mdl WdDeck]])+Inventory[[#This Row],[Mdl Res Intercept]],-2)</f>
        <v>324900</v>
      </c>
      <c r="BD1330" s="25">
        <f>ROUND(Inventory[[#This Row],[Mdl Land Intercept]]+Inventory[[#This Row],[Mdl LnAcres]],-2)</f>
        <v>37300</v>
      </c>
      <c r="BE1330" s="25">
        <f>Inventory[[#This Row],[Unadj Res Value]]+Inventory[[#This Row],[Unadj Det Value]]+Inventory[[#This Row],[Unadj Land Value]]</f>
        <v>362200</v>
      </c>
      <c r="BF1330" s="36">
        <f>(Inventory[[#This Row],[Unadj Total Value]]-Inventory[[#This Row],[24Final]])/Inventory[[#This Row],[24Final]]</f>
        <v>4.9855072463768114E-2</v>
      </c>
      <c r="BG1330" s="25">
        <f>VLOOKUP(Inventory[[#This Row],[Nbhd]],Lookups!$Q$2:$T$4,4,FALSE)</f>
        <v>0.99970000000000003</v>
      </c>
      <c r="BH1330" s="25">
        <f>VLOOKUP(Inventory[[#This Row],[Qlty]],Lookups!$O$7:$R$21,4,FALSE)</f>
        <v>1.0067999999999999</v>
      </c>
      <c r="BI1330" s="25">
        <f>VLOOKUP(Inventory[[#This Row],[Cnd]],Lookups!$T$7:$W$16,4,FALSE)</f>
        <v>0.99650000000000005</v>
      </c>
      <c r="BJ1330" s="25">
        <f>VLOOKUP(Inventory[[#This Row],[LivArea Range]],Lookups!$T$25:$W$37,4,FALSE)</f>
        <v>0.98919999999999997</v>
      </c>
      <c r="BK1330" s="25">
        <f>VLOOKUP(Inventory[[#This Row],[Decade]],Lookups!$O$25:$R$42,4,FALSE)</f>
        <v>0.98909999999999998</v>
      </c>
      <c r="BL1330" s="25">
        <f>Inventory[[#This Row],[Nbhd Adj]]*0.95</f>
        <v>0.94971499999999998</v>
      </c>
      <c r="BM1330" s="25">
        <f>Inventory[[#This Row],[Nbhd Adj]]*Inventory[[#This Row],[Quality Adj]]*Inventory[[#This Row],[Condition Adj]]*Inventory[[#This Row],[Living Area Adj]]*Inventory[[#This Row],[Decade Adj]]*0.95</f>
        <v>0.9322622889120924</v>
      </c>
      <c r="BN1330" s="25">
        <f>ROUND(SUM(Inventory[[#This Row],[Mdl Qlty]:[Mdl WdDeck]])+Inventory[[#This Row],[Mdl Res Intercept]]*Inventory[[#This Row],[Res Adj ]],-2)</f>
        <v>324900</v>
      </c>
      <c r="BO1330" s="25">
        <f>ROUND(Inventory[[#This Row],[25Det]]*Inventory[[#This Row],[Det/Nbhd Adj]],-2)</f>
        <v>0</v>
      </c>
      <c r="BP1330" s="25">
        <f>Inventory[[#This Row],[Adjusted Res]]+Inventory[[#This Row],[Adj Det ]]</f>
        <v>324900</v>
      </c>
      <c r="BQ1330" s="25">
        <f>ROUND((Inventory[[#This Row],[Mdl Land Intercept]]+Inventory[[#This Row],[Mdl LnAcres]])*Inventory[[#This Row],[Det/Nbhd Adj]],-2)</f>
        <v>35400</v>
      </c>
      <c r="BR1330" s="25">
        <f>Inventory[[#This Row],[Adjusted Impr Total]]+Inventory[[#This Row],[Adjusted Land Total]]</f>
        <v>360300</v>
      </c>
      <c r="BS1330" s="36">
        <f>IFERROR((Inventory[[#This Row],[Adjusted Impr Total]]-Inventory[[#This Row],[24Bldg]])/Inventory[[#This Row],[24Bldg]],0)</f>
        <v>0.12656033287101248</v>
      </c>
      <c r="BT1330" s="36">
        <f>(Inventory[[#This Row],[Adjusted Land Total]]-Inventory[[#This Row],[24Lnd]])/Inventory[[#This Row],[24Lnd]]</f>
        <v>-0.37455830388692579</v>
      </c>
      <c r="BU1330" s="36">
        <f>(Inventory[[#This Row],[Adjusted Total]]-Inventory[[#This Row],[24Final]])/Inventory[[#This Row],[24Final]]</f>
        <v>4.4347826086956518E-2</v>
      </c>
    </row>
    <row r="1331" spans="1:73" x14ac:dyDescent="0.3">
      <c r="A1331" s="25">
        <v>2025</v>
      </c>
      <c r="B1331" s="26" t="s">
        <v>2921</v>
      </c>
      <c r="C1331" s="26">
        <f>LN(Inventory[[#This Row],[Acres]])</f>
        <v>-1.3093333199837622</v>
      </c>
      <c r="D1331" s="25">
        <v>0.27</v>
      </c>
      <c r="E1331" s="25">
        <v>11716</v>
      </c>
      <c r="F1331" s="26" t="s">
        <v>537</v>
      </c>
      <c r="G1331" s="26" t="s">
        <v>126</v>
      </c>
      <c r="H1331" s="26" t="s">
        <v>349</v>
      </c>
      <c r="I1331" s="26" t="s">
        <v>538</v>
      </c>
      <c r="J1331" s="26" t="s">
        <v>539</v>
      </c>
      <c r="K1331" s="26" t="s">
        <v>147</v>
      </c>
      <c r="L1331" s="26" t="s">
        <v>302</v>
      </c>
      <c r="M1331" s="26" t="s">
        <v>303</v>
      </c>
      <c r="N1331" s="26">
        <v>90</v>
      </c>
      <c r="O1331" s="26">
        <f>2024-Inventory[[#This Row],[YrBlt]]</f>
        <v>84</v>
      </c>
      <c r="P1331" s="26">
        <f>2024-Inventory[[#This Row],[EffYr]]</f>
        <v>52</v>
      </c>
      <c r="Q1331" s="25">
        <v>1940</v>
      </c>
      <c r="R1331" s="25">
        <v>1972</v>
      </c>
      <c r="S1331" s="25">
        <v>1402</v>
      </c>
      <c r="T1331" s="25">
        <v>1192</v>
      </c>
      <c r="U1331" s="25">
        <v>234</v>
      </c>
      <c r="V1331" s="25">
        <f>Inventory[[#This Row],[Bsmt]]-Inventory[[#This Row],[FnBsmt]]</f>
        <v>0</v>
      </c>
      <c r="W1331" s="25">
        <v>234</v>
      </c>
      <c r="X1331" s="27"/>
      <c r="Y1331" s="27">
        <f>Inventory[[#This Row],[MainFn]]+Inventory[[#This Row],[UpprFn]]+Inventory[[#This Row],[FnBsmt]]+Inventory[[#This Row],[AddFn]]</f>
        <v>2828</v>
      </c>
      <c r="Z1331" s="27">
        <v>3000</v>
      </c>
      <c r="AA1331" s="25">
        <v>8</v>
      </c>
      <c r="AB1331" s="32">
        <v>638</v>
      </c>
      <c r="AC1331" s="27"/>
      <c r="AD1331" s="27"/>
      <c r="AE1331" s="27"/>
      <c r="AF1331" s="27"/>
      <c r="AG1331" s="27"/>
      <c r="AH1331" s="27"/>
      <c r="AI1331" s="25">
        <v>478006</v>
      </c>
      <c r="AJ1331" s="25">
        <v>334604</v>
      </c>
      <c r="AK1331" s="25">
        <v>0</v>
      </c>
      <c r="AL1331" s="25">
        <v>403900</v>
      </c>
      <c r="AM1331" s="25">
        <v>68900</v>
      </c>
      <c r="AN1331" s="25">
        <v>335000</v>
      </c>
      <c r="AO1331" s="25">
        <v>0</v>
      </c>
      <c r="AP1331" s="25">
        <f>Lookups!$B$56*0</f>
        <v>0</v>
      </c>
      <c r="AQ1331" s="25">
        <f>Lookups!$B$56*1</f>
        <v>89850.625589999996</v>
      </c>
      <c r="AR1331" s="25">
        <f>Lookups!$B$57*Inventory[[#This Row],[LnAcres]]</f>
        <v>-41446.443120973789</v>
      </c>
      <c r="AS1331" s="25">
        <f>VLOOKUP(Inventory[[#This Row],[Qlty]],Lookups!$A$62:$E$75,2,FALSE)</f>
        <v>29814.093161000001</v>
      </c>
      <c r="AT1331" s="25">
        <f>VLOOKUP(Inventory[[#This Row],[Cnd]],Lookups!$A$76:$E$84,2,FALSE)</f>
        <v>197752.34721000001</v>
      </c>
      <c r="AU1331" s="25">
        <f>Inventory[[#This Row],[EffAge]]*Lookups!$B$85</f>
        <v>-11598.371226000001</v>
      </c>
      <c r="AV1331" s="25">
        <f>Inventory[[#This Row],[MainFn]]*Lookups!$B$86</f>
        <v>69270.955167553999</v>
      </c>
      <c r="AW1331" s="25">
        <f>Inventory[[#This Row],[UpprFn]]*Lookups!$B$87</f>
        <v>53385.416050312</v>
      </c>
      <c r="AX1331" s="25">
        <f>Inventory[[#This Row],[AddFn]]*Lookups!$B$88</f>
        <v>0</v>
      </c>
      <c r="AY1331" s="25">
        <f>Inventory[[#This Row],[Bsmt]]*Lookups!$B$89</f>
        <v>6805.1634877979996</v>
      </c>
      <c r="AZ1331" s="25">
        <f>Inventory[[#This Row],[Fixtures]]*Lookups!$B$90</f>
        <v>30336.176841600001</v>
      </c>
      <c r="BA1331" s="25">
        <f>Inventory[[#This Row],[WdDeck]]*Lookups!$B$91</f>
        <v>0</v>
      </c>
      <c r="BB1331" s="25">
        <f>ROUND(Inventory[[#This Row],[25Det]],-2)</f>
        <v>0</v>
      </c>
      <c r="BC1331" s="25">
        <f>ROUND(SUM(Inventory[[#This Row],[Mdl Qlty]:[Mdl WdDeck]])+Inventory[[#This Row],[Mdl Res Intercept]],-2)</f>
        <v>375800</v>
      </c>
      <c r="BD1331" s="25">
        <f>ROUND(Inventory[[#This Row],[Mdl Land Intercept]]+Inventory[[#This Row],[Mdl LnAcres]],-2)</f>
        <v>48400</v>
      </c>
      <c r="BE1331" s="25">
        <f>Inventory[[#This Row],[Unadj Res Value]]+Inventory[[#This Row],[Unadj Det Value]]+Inventory[[#This Row],[Unadj Land Value]]</f>
        <v>424200</v>
      </c>
      <c r="BF1331" s="36">
        <f>(Inventory[[#This Row],[Unadj Total Value]]-Inventory[[#This Row],[24Final]])/Inventory[[#This Row],[24Final]]</f>
        <v>5.0259965337954939E-2</v>
      </c>
      <c r="BG1331" s="25">
        <f>VLOOKUP(Inventory[[#This Row],[Nbhd]],Lookups!$Q$2:$T$4,4,FALSE)</f>
        <v>0.99970000000000003</v>
      </c>
      <c r="BH1331" s="25">
        <f>VLOOKUP(Inventory[[#This Row],[Qlty]],Lookups!$O$7:$R$21,4,FALSE)</f>
        <v>1.0088999999999999</v>
      </c>
      <c r="BI1331" s="25">
        <f>VLOOKUP(Inventory[[#This Row],[Cnd]],Lookups!$T$7:$W$16,4,FALSE)</f>
        <v>0.99650000000000005</v>
      </c>
      <c r="BJ1331" s="25">
        <f>VLOOKUP(Inventory[[#This Row],[LivArea Range]],Lookups!$T$25:$W$37,4,FALSE)</f>
        <v>0.96179999999999999</v>
      </c>
      <c r="BK1331" s="25">
        <f>VLOOKUP(Inventory[[#This Row],[Decade]],Lookups!$O$25:$R$42,4,FALSE)</f>
        <v>0.98909999999999998</v>
      </c>
      <c r="BL1331" s="25">
        <f>Inventory[[#This Row],[Nbhd Adj]]*0.95</f>
        <v>0.94971499999999998</v>
      </c>
      <c r="BM1331" s="25">
        <f>Inventory[[#This Row],[Nbhd Adj]]*Inventory[[#This Row],[Quality Adj]]*Inventory[[#This Row],[Condition Adj]]*Inventory[[#This Row],[Living Area Adj]]*Inventory[[#This Row],[Decade Adj]]*0.95</f>
        <v>0.90833008140076499</v>
      </c>
      <c r="BN1331" s="25">
        <f>ROUND(SUM(Inventory[[#This Row],[Mdl Qlty]:[Mdl WdDeck]])+Inventory[[#This Row],[Mdl Res Intercept]]*Inventory[[#This Row],[Res Adj ]],-2)</f>
        <v>375800</v>
      </c>
      <c r="BO1331" s="25">
        <f>ROUND(Inventory[[#This Row],[25Det]]*Inventory[[#This Row],[Det/Nbhd Adj]],-2)</f>
        <v>0</v>
      </c>
      <c r="BP1331" s="25">
        <f>Inventory[[#This Row],[Adjusted Res]]+Inventory[[#This Row],[Adj Det ]]</f>
        <v>375800</v>
      </c>
      <c r="BQ1331" s="25">
        <f>ROUND((Inventory[[#This Row],[Mdl Land Intercept]]+Inventory[[#This Row],[Mdl LnAcres]])*Inventory[[#This Row],[Det/Nbhd Adj]],-2)</f>
        <v>46000</v>
      </c>
      <c r="BR1331" s="25">
        <f>Inventory[[#This Row],[Adjusted Impr Total]]+Inventory[[#This Row],[Adjusted Land Total]]</f>
        <v>421800</v>
      </c>
      <c r="BS1331" s="36">
        <f>IFERROR((Inventory[[#This Row],[Adjusted Impr Total]]-Inventory[[#This Row],[24Bldg]])/Inventory[[#This Row],[24Bldg]],0)</f>
        <v>0.12179104477611941</v>
      </c>
      <c r="BT1331" s="36">
        <f>(Inventory[[#This Row],[Adjusted Land Total]]-Inventory[[#This Row],[24Lnd]])/Inventory[[#This Row],[24Lnd]]</f>
        <v>-0.33236574746008707</v>
      </c>
      <c r="BU1331" s="36">
        <f>(Inventory[[#This Row],[Adjusted Total]]-Inventory[[#This Row],[24Final]])/Inventory[[#This Row],[24Final]]</f>
        <v>4.4317900470413465E-2</v>
      </c>
    </row>
    <row r="1332" spans="1:73" x14ac:dyDescent="0.3">
      <c r="A1332" s="25">
        <v>2025</v>
      </c>
      <c r="B1332" s="26" t="s">
        <v>1943</v>
      </c>
      <c r="C1332" s="26">
        <f>LN(Inventory[[#This Row],[Acres]])</f>
        <v>-1.5606477482646683</v>
      </c>
      <c r="D1332" s="25">
        <v>0.21</v>
      </c>
      <c r="E1332" s="31"/>
      <c r="F1332" s="26" t="s">
        <v>537</v>
      </c>
      <c r="G1332" s="26" t="s">
        <v>126</v>
      </c>
      <c r="H1332" s="26" t="s">
        <v>349</v>
      </c>
      <c r="I1332" s="26" t="s">
        <v>538</v>
      </c>
      <c r="J1332" s="26" t="s">
        <v>539</v>
      </c>
      <c r="K1332" s="26" t="s">
        <v>242</v>
      </c>
      <c r="L1332" s="26" t="s">
        <v>351</v>
      </c>
      <c r="M1332" s="26" t="s">
        <v>323</v>
      </c>
      <c r="N1332" s="26">
        <v>90</v>
      </c>
      <c r="O1332" s="26">
        <f>2024-Inventory[[#This Row],[YrBlt]]</f>
        <v>84</v>
      </c>
      <c r="P1332" s="26">
        <f>2024-Inventory[[#This Row],[EffYr]]</f>
        <v>52</v>
      </c>
      <c r="Q1332" s="25">
        <v>1940</v>
      </c>
      <c r="R1332" s="25">
        <v>1972</v>
      </c>
      <c r="S1332" s="25">
        <v>1168</v>
      </c>
      <c r="T1332" s="31"/>
      <c r="U1332" s="25">
        <v>1168</v>
      </c>
      <c r="V1332" s="25">
        <f>Inventory[[#This Row],[Bsmt]]-Inventory[[#This Row],[FnBsmt]]</f>
        <v>581</v>
      </c>
      <c r="W1332" s="25">
        <v>587</v>
      </c>
      <c r="X1332" s="27"/>
      <c r="Y1332" s="27">
        <f>Inventory[[#This Row],[MainFn]]+Inventory[[#This Row],[UpprFn]]+Inventory[[#This Row],[FnBsmt]]+Inventory[[#This Row],[AddFn]]</f>
        <v>1755</v>
      </c>
      <c r="Z1332" s="27">
        <v>2000</v>
      </c>
      <c r="AA1332" s="25">
        <v>7</v>
      </c>
      <c r="AB1332" s="27"/>
      <c r="AC1332" s="27"/>
      <c r="AD1332" s="27"/>
      <c r="AE1332" s="27"/>
      <c r="AF1332" s="27"/>
      <c r="AG1332" s="27"/>
      <c r="AH1332" s="27"/>
      <c r="AI1332" s="25">
        <v>262717</v>
      </c>
      <c r="AJ1332" s="25">
        <v>178648</v>
      </c>
      <c r="AK1332" s="25">
        <v>8623</v>
      </c>
      <c r="AL1332" s="25">
        <v>321300</v>
      </c>
      <c r="AM1332" s="25">
        <v>60100</v>
      </c>
      <c r="AN1332" s="25">
        <v>261200</v>
      </c>
      <c r="AO1332" s="25">
        <v>0</v>
      </c>
      <c r="AP1332" s="25">
        <f>Lookups!$B$56*0</f>
        <v>0</v>
      </c>
      <c r="AQ1332" s="25">
        <f>Lookups!$B$56*1</f>
        <v>89850.625589999996</v>
      </c>
      <c r="AR1332" s="25">
        <f>Lookups!$B$57*Inventory[[#This Row],[LnAcres]]</f>
        <v>-49401.70477837498</v>
      </c>
      <c r="AS1332" s="25">
        <f>VLOOKUP(Inventory[[#This Row],[Qlty]],Lookups!$A$62:$E$75,2,FALSE)</f>
        <v>21557.329055999999</v>
      </c>
      <c r="AT1332" s="25">
        <f>VLOOKUP(Inventory[[#This Row],[Cnd]],Lookups!$A$76:$E$84,2,FALSE)</f>
        <v>160472.20319</v>
      </c>
      <c r="AU1332" s="25">
        <f>Inventory[[#This Row],[EffAge]]*Lookups!$B$85</f>
        <v>-11598.371226000001</v>
      </c>
      <c r="AV1332" s="25">
        <f>Inventory[[#This Row],[MainFn]]*Lookups!$B$86</f>
        <v>57709.326416336</v>
      </c>
      <c r="AW1332" s="25">
        <f>Inventory[[#This Row],[UpprFn]]*Lookups!$B$87</f>
        <v>0</v>
      </c>
      <c r="AX1332" s="25">
        <f>Inventory[[#This Row],[AddFn]]*Lookups!$B$88</f>
        <v>0</v>
      </c>
      <c r="AY1332" s="25">
        <f>Inventory[[#This Row],[Bsmt]]*Lookups!$B$89</f>
        <v>33967.653648496002</v>
      </c>
      <c r="AZ1332" s="25">
        <f>Inventory[[#This Row],[Fixtures]]*Lookups!$B$90</f>
        <v>26544.1547364</v>
      </c>
      <c r="BA1332" s="25">
        <f>Inventory[[#This Row],[WdDeck]]*Lookups!$B$91</f>
        <v>0</v>
      </c>
      <c r="BB1332" s="25">
        <f>ROUND(Inventory[[#This Row],[25Det]],-2)</f>
        <v>8600</v>
      </c>
      <c r="BC1332" s="25">
        <f>ROUND(SUM(Inventory[[#This Row],[Mdl Qlty]:[Mdl WdDeck]])+Inventory[[#This Row],[Mdl Res Intercept]],-2)</f>
        <v>288700</v>
      </c>
      <c r="BD1332" s="25">
        <f>ROUND(Inventory[[#This Row],[Mdl Land Intercept]]+Inventory[[#This Row],[Mdl LnAcres]],-2)</f>
        <v>40400</v>
      </c>
      <c r="BE1332" s="25">
        <f>Inventory[[#This Row],[Unadj Res Value]]+Inventory[[#This Row],[Unadj Det Value]]+Inventory[[#This Row],[Unadj Land Value]]</f>
        <v>337700</v>
      </c>
      <c r="BF1332" s="36">
        <f>(Inventory[[#This Row],[Unadj Total Value]]-Inventory[[#This Row],[24Final]])/Inventory[[#This Row],[24Final]]</f>
        <v>5.1042639277933392E-2</v>
      </c>
      <c r="BG1332" s="25">
        <f>VLOOKUP(Inventory[[#This Row],[Nbhd]],Lookups!$Q$2:$T$4,4,FALSE)</f>
        <v>0.99970000000000003</v>
      </c>
      <c r="BH1332" s="25">
        <f>VLOOKUP(Inventory[[#This Row],[Qlty]],Lookups!$O$7:$R$21,4,FALSE)</f>
        <v>1.0067999999999999</v>
      </c>
      <c r="BI1332" s="25">
        <f>VLOOKUP(Inventory[[#This Row],[Cnd]],Lookups!$T$7:$W$16,4,FALSE)</f>
        <v>0.99729999999999996</v>
      </c>
      <c r="BJ1332" s="25">
        <f>VLOOKUP(Inventory[[#This Row],[LivArea Range]],Lookups!$T$25:$W$37,4,FALSE)</f>
        <v>1.0093000000000001</v>
      </c>
      <c r="BK1332" s="25">
        <f>VLOOKUP(Inventory[[#This Row],[Decade]],Lookups!$O$25:$R$42,4,FALSE)</f>
        <v>0.98909999999999998</v>
      </c>
      <c r="BL1332" s="25">
        <f>Inventory[[#This Row],[Nbhd Adj]]*0.95</f>
        <v>0.94971499999999998</v>
      </c>
      <c r="BM1332" s="25">
        <f>Inventory[[#This Row],[Nbhd Adj]]*Inventory[[#This Row],[Quality Adj]]*Inventory[[#This Row],[Condition Adj]]*Inventory[[#This Row],[Living Area Adj]]*Inventory[[#This Row],[Decade Adj]]*0.95</f>
        <v>0.95196898294134369</v>
      </c>
      <c r="BN1332" s="25">
        <f>ROUND(SUM(Inventory[[#This Row],[Mdl Qlty]:[Mdl WdDeck]])+Inventory[[#This Row],[Mdl Res Intercept]]*Inventory[[#This Row],[Res Adj ]],-2)</f>
        <v>288700</v>
      </c>
      <c r="BO1332" s="25">
        <f>ROUND(Inventory[[#This Row],[25Det]]*Inventory[[#This Row],[Det/Nbhd Adj]],-2)</f>
        <v>8200</v>
      </c>
      <c r="BP1332" s="25">
        <f>Inventory[[#This Row],[Adjusted Res]]+Inventory[[#This Row],[Adj Det ]]</f>
        <v>296900</v>
      </c>
      <c r="BQ1332" s="25">
        <f>ROUND((Inventory[[#This Row],[Mdl Land Intercept]]+Inventory[[#This Row],[Mdl LnAcres]])*Inventory[[#This Row],[Det/Nbhd Adj]],-2)</f>
        <v>38400</v>
      </c>
      <c r="BR1332" s="25">
        <f>Inventory[[#This Row],[Adjusted Impr Total]]+Inventory[[#This Row],[Adjusted Land Total]]</f>
        <v>335300</v>
      </c>
      <c r="BS1332" s="36">
        <f>IFERROR((Inventory[[#This Row],[Adjusted Impr Total]]-Inventory[[#This Row],[24Bldg]])/Inventory[[#This Row],[24Bldg]],0)</f>
        <v>0.13667687595712097</v>
      </c>
      <c r="BT1332" s="36">
        <f>(Inventory[[#This Row],[Adjusted Land Total]]-Inventory[[#This Row],[24Lnd]])/Inventory[[#This Row],[24Lnd]]</f>
        <v>-0.36106489184692181</v>
      </c>
      <c r="BU1332" s="36">
        <f>(Inventory[[#This Row],[Adjusted Total]]-Inventory[[#This Row],[24Final]])/Inventory[[#This Row],[24Final]]</f>
        <v>4.357298474945534E-2</v>
      </c>
    </row>
    <row r="1333" spans="1:73" x14ac:dyDescent="0.3">
      <c r="A1333" s="25">
        <v>2025</v>
      </c>
      <c r="B1333" s="26" t="s">
        <v>797</v>
      </c>
      <c r="C1333" s="26">
        <f>LN(Inventory[[#This Row],[Acres]])</f>
        <v>-1.6094379124341003</v>
      </c>
      <c r="D1333" s="25">
        <v>0.2</v>
      </c>
      <c r="E1333" s="32">
        <v>8781</v>
      </c>
      <c r="F1333" s="26" t="s">
        <v>537</v>
      </c>
      <c r="G1333" s="26" t="s">
        <v>126</v>
      </c>
      <c r="H1333" s="26" t="s">
        <v>349</v>
      </c>
      <c r="I1333" s="26" t="s">
        <v>538</v>
      </c>
      <c r="J1333" s="26" t="s">
        <v>539</v>
      </c>
      <c r="K1333" s="26" t="s">
        <v>242</v>
      </c>
      <c r="L1333" s="26" t="s">
        <v>351</v>
      </c>
      <c r="M1333" s="26" t="s">
        <v>323</v>
      </c>
      <c r="N1333" s="26">
        <v>90</v>
      </c>
      <c r="O1333" s="26">
        <f>2024-Inventory[[#This Row],[YrBlt]]</f>
        <v>84</v>
      </c>
      <c r="P1333" s="26">
        <f>2024-Inventory[[#This Row],[EffYr]]</f>
        <v>52</v>
      </c>
      <c r="Q1333" s="25">
        <v>1940</v>
      </c>
      <c r="R1333" s="25">
        <v>1972</v>
      </c>
      <c r="S1333" s="25">
        <v>1130</v>
      </c>
      <c r="T1333" s="31"/>
      <c r="U1333" s="31"/>
      <c r="V1333" s="31">
        <f>Inventory[[#This Row],[Bsmt]]-Inventory[[#This Row],[FnBsmt]]</f>
        <v>0</v>
      </c>
      <c r="W1333" s="31"/>
      <c r="X1333" s="27"/>
      <c r="Y1333" s="27">
        <f>Inventory[[#This Row],[MainFn]]+Inventory[[#This Row],[UpprFn]]+Inventory[[#This Row],[FnBsmt]]+Inventory[[#This Row],[AddFn]]</f>
        <v>1130</v>
      </c>
      <c r="Z1333" s="27">
        <v>1500</v>
      </c>
      <c r="AA1333" s="25">
        <v>5</v>
      </c>
      <c r="AB1333" s="27"/>
      <c r="AC1333" s="27"/>
      <c r="AD1333" s="31"/>
      <c r="AE1333" s="27"/>
      <c r="AF1333" s="27"/>
      <c r="AG1333" s="27"/>
      <c r="AH1333" s="27"/>
      <c r="AI1333" s="25">
        <v>187049</v>
      </c>
      <c r="AJ1333" s="25">
        <v>127193</v>
      </c>
      <c r="AK1333" s="25">
        <v>5831</v>
      </c>
      <c r="AL1333" s="25">
        <v>275600</v>
      </c>
      <c r="AM1333" s="25">
        <v>58400</v>
      </c>
      <c r="AN1333" s="25">
        <v>217200</v>
      </c>
      <c r="AO1333" s="25">
        <v>0</v>
      </c>
      <c r="AP1333" s="25">
        <f>Lookups!$B$56*0</f>
        <v>0</v>
      </c>
      <c r="AQ1333" s="25">
        <f>Lookups!$B$56*1</f>
        <v>89850.625589999996</v>
      </c>
      <c r="AR1333" s="25">
        <f>Lookups!$B$57*Inventory[[#This Row],[LnAcres]]</f>
        <v>-50946.13867709865</v>
      </c>
      <c r="AS1333" s="25">
        <f>VLOOKUP(Inventory[[#This Row],[Qlty]],Lookups!$A$62:$E$75,2,FALSE)</f>
        <v>21557.329055999999</v>
      </c>
      <c r="AT1333" s="25">
        <f>VLOOKUP(Inventory[[#This Row],[Cnd]],Lookups!$A$76:$E$84,2,FALSE)</f>
        <v>160472.20319</v>
      </c>
      <c r="AU1333" s="25">
        <f>Inventory[[#This Row],[EffAge]]*Lookups!$B$85</f>
        <v>-11598.371226000001</v>
      </c>
      <c r="AV1333" s="25">
        <f>Inventory[[#This Row],[MainFn]]*Lookups!$B$86</f>
        <v>55831.796961010004</v>
      </c>
      <c r="AW1333" s="25">
        <f>Inventory[[#This Row],[UpprFn]]*Lookups!$B$87</f>
        <v>0</v>
      </c>
      <c r="AX1333" s="25">
        <f>Inventory[[#This Row],[AddFn]]*Lookups!$B$88</f>
        <v>0</v>
      </c>
      <c r="AY1333" s="25">
        <f>Inventory[[#This Row],[Bsmt]]*Lookups!$B$89</f>
        <v>0</v>
      </c>
      <c r="AZ1333" s="25">
        <f>Inventory[[#This Row],[Fixtures]]*Lookups!$B$90</f>
        <v>18960.110526</v>
      </c>
      <c r="BA1333" s="25">
        <f>Inventory[[#This Row],[WdDeck]]*Lookups!$B$91</f>
        <v>0</v>
      </c>
      <c r="BB1333" s="25">
        <f>ROUND(Inventory[[#This Row],[25Det]],-2)</f>
        <v>5800</v>
      </c>
      <c r="BC1333" s="25">
        <f>ROUND(SUM(Inventory[[#This Row],[Mdl Qlty]:[Mdl WdDeck]])+Inventory[[#This Row],[Mdl Res Intercept]],-2)</f>
        <v>245200</v>
      </c>
      <c r="BD1333" s="25">
        <f>ROUND(Inventory[[#This Row],[Mdl Land Intercept]]+Inventory[[#This Row],[Mdl LnAcres]],-2)</f>
        <v>38900</v>
      </c>
      <c r="BE1333" s="25">
        <f>Inventory[[#This Row],[Unadj Res Value]]+Inventory[[#This Row],[Unadj Det Value]]+Inventory[[#This Row],[Unadj Land Value]]</f>
        <v>289900</v>
      </c>
      <c r="BF1333" s="36">
        <f>(Inventory[[#This Row],[Unadj Total Value]]-Inventory[[#This Row],[24Final]])/Inventory[[#This Row],[24Final]]</f>
        <v>5.1886792452830191E-2</v>
      </c>
      <c r="BG1333" s="25">
        <f>VLOOKUP(Inventory[[#This Row],[Nbhd]],Lookups!$Q$2:$T$4,4,FALSE)</f>
        <v>0.99970000000000003</v>
      </c>
      <c r="BH1333" s="25">
        <f>VLOOKUP(Inventory[[#This Row],[Qlty]],Lookups!$O$7:$R$21,4,FALSE)</f>
        <v>1.0067999999999999</v>
      </c>
      <c r="BI1333" s="25">
        <f>VLOOKUP(Inventory[[#This Row],[Cnd]],Lookups!$T$7:$W$16,4,FALSE)</f>
        <v>0.99729999999999996</v>
      </c>
      <c r="BJ1333" s="25">
        <f>VLOOKUP(Inventory[[#This Row],[LivArea Range]],Lookups!$T$25:$W$37,4,FALSE)</f>
        <v>1.0157</v>
      </c>
      <c r="BK1333" s="25">
        <f>VLOOKUP(Inventory[[#This Row],[Decade]],Lookups!$O$25:$R$42,4,FALSE)</f>
        <v>0.98909999999999998</v>
      </c>
      <c r="BL1333" s="25">
        <f>Inventory[[#This Row],[Nbhd Adj]]*0.95</f>
        <v>0.94971499999999998</v>
      </c>
      <c r="BM1333" s="25">
        <f>Inventory[[#This Row],[Nbhd Adj]]*Inventory[[#This Row],[Quality Adj]]*Inventory[[#This Row],[Condition Adj]]*Inventory[[#This Row],[Living Area Adj]]*Inventory[[#This Row],[Decade Adj]]*0.95</f>
        <v>0.95800544533193577</v>
      </c>
      <c r="BN1333" s="25">
        <f>ROUND(SUM(Inventory[[#This Row],[Mdl Qlty]:[Mdl WdDeck]])+Inventory[[#This Row],[Mdl Res Intercept]]*Inventory[[#This Row],[Res Adj ]],-2)</f>
        <v>245200</v>
      </c>
      <c r="BO1333" s="25">
        <f>ROUND(Inventory[[#This Row],[25Det]]*Inventory[[#This Row],[Det/Nbhd Adj]],-2)</f>
        <v>5500</v>
      </c>
      <c r="BP1333" s="25">
        <f>Inventory[[#This Row],[Adjusted Res]]+Inventory[[#This Row],[Adj Det ]]</f>
        <v>250700</v>
      </c>
      <c r="BQ1333" s="25">
        <f>ROUND((Inventory[[#This Row],[Mdl Land Intercept]]+Inventory[[#This Row],[Mdl LnAcres]])*Inventory[[#This Row],[Det/Nbhd Adj]],-2)</f>
        <v>36900</v>
      </c>
      <c r="BR1333" s="25">
        <f>Inventory[[#This Row],[Adjusted Impr Total]]+Inventory[[#This Row],[Adjusted Land Total]]</f>
        <v>287600</v>
      </c>
      <c r="BS1333" s="36">
        <f>IFERROR((Inventory[[#This Row],[Adjusted Impr Total]]-Inventory[[#This Row],[24Bldg]])/Inventory[[#This Row],[24Bldg]],0)</f>
        <v>0.15423572744014732</v>
      </c>
      <c r="BT1333" s="36">
        <f>(Inventory[[#This Row],[Adjusted Land Total]]-Inventory[[#This Row],[24Lnd]])/Inventory[[#This Row],[24Lnd]]</f>
        <v>-0.36815068493150682</v>
      </c>
      <c r="BU1333" s="36">
        <f>(Inventory[[#This Row],[Adjusted Total]]-Inventory[[#This Row],[24Final]])/Inventory[[#This Row],[24Final]]</f>
        <v>4.3541364296081277E-2</v>
      </c>
    </row>
    <row r="1334" spans="1:73" x14ac:dyDescent="0.3">
      <c r="A1334" s="25">
        <v>2025</v>
      </c>
      <c r="B1334" s="26" t="s">
        <v>1287</v>
      </c>
      <c r="C1334" s="26">
        <f>LN(Inventory[[#This Row],[Acres]])</f>
        <v>-1.4271163556401458</v>
      </c>
      <c r="D1334" s="25">
        <v>0.24</v>
      </c>
      <c r="E1334" s="32">
        <v>10419</v>
      </c>
      <c r="F1334" s="26" t="s">
        <v>537</v>
      </c>
      <c r="G1334" s="26" t="s">
        <v>126</v>
      </c>
      <c r="H1334" s="26" t="s">
        <v>349</v>
      </c>
      <c r="I1334" s="26" t="s">
        <v>538</v>
      </c>
      <c r="J1334" s="26" t="s">
        <v>539</v>
      </c>
      <c r="K1334" s="26" t="s">
        <v>241</v>
      </c>
      <c r="L1334" s="26" t="s">
        <v>148</v>
      </c>
      <c r="M1334" s="26" t="s">
        <v>323</v>
      </c>
      <c r="N1334" s="26">
        <v>90</v>
      </c>
      <c r="O1334" s="26">
        <f>2024-Inventory[[#This Row],[YrBlt]]</f>
        <v>84</v>
      </c>
      <c r="P1334" s="26">
        <f>2024-Inventory[[#This Row],[EffYr]]</f>
        <v>52</v>
      </c>
      <c r="Q1334" s="25">
        <v>1940</v>
      </c>
      <c r="R1334" s="25">
        <v>1972</v>
      </c>
      <c r="S1334" s="25">
        <v>1923</v>
      </c>
      <c r="T1334" s="27"/>
      <c r="U1334" s="32">
        <v>855</v>
      </c>
      <c r="V1334" s="32">
        <f>Inventory[[#This Row],[Bsmt]]-Inventory[[#This Row],[FnBsmt]]</f>
        <v>663</v>
      </c>
      <c r="W1334" s="32">
        <v>192</v>
      </c>
      <c r="X1334" s="27"/>
      <c r="Y1334" s="27">
        <f>Inventory[[#This Row],[MainFn]]+Inventory[[#This Row],[UpprFn]]+Inventory[[#This Row],[FnBsmt]]+Inventory[[#This Row],[AddFn]]</f>
        <v>2115</v>
      </c>
      <c r="Z1334" s="27">
        <v>2500</v>
      </c>
      <c r="AA1334" s="25">
        <v>8</v>
      </c>
      <c r="AB1334" s="27"/>
      <c r="AC1334" s="32">
        <v>308</v>
      </c>
      <c r="AD1334" s="27"/>
      <c r="AE1334" s="27"/>
      <c r="AF1334" s="27"/>
      <c r="AG1334" s="27"/>
      <c r="AH1334" s="27"/>
      <c r="AI1334" s="25">
        <v>489118</v>
      </c>
      <c r="AJ1334" s="25">
        <v>332600</v>
      </c>
      <c r="AK1334" s="25">
        <v>0</v>
      </c>
      <c r="AL1334" s="25">
        <v>369700</v>
      </c>
      <c r="AM1334" s="25">
        <v>64800</v>
      </c>
      <c r="AN1334" s="25">
        <v>304900</v>
      </c>
      <c r="AO1334" s="25">
        <v>0</v>
      </c>
      <c r="AP1334" s="25">
        <f>Lookups!$B$56*0</f>
        <v>0</v>
      </c>
      <c r="AQ1334" s="25">
        <f>Lookups!$B$56*1</f>
        <v>89850.625589999996</v>
      </c>
      <c r="AR1334" s="25">
        <f>Lookups!$B$57*Inventory[[#This Row],[LnAcres]]</f>
        <v>-45174.819855485119</v>
      </c>
      <c r="AS1334" s="25">
        <f>VLOOKUP(Inventory[[#This Row],[Qlty]],Lookups!$A$62:$E$75,2,FALSE)</f>
        <v>44121.038090000002</v>
      </c>
      <c r="AT1334" s="25">
        <f>VLOOKUP(Inventory[[#This Row],[Cnd]],Lookups!$A$76:$E$84,2,FALSE)</f>
        <v>160472.20319</v>
      </c>
      <c r="AU1334" s="25">
        <f>Inventory[[#This Row],[EffAge]]*Lookups!$B$85</f>
        <v>-11598.371226000001</v>
      </c>
      <c r="AV1334" s="25">
        <f>Inventory[[#This Row],[MainFn]]*Lookups!$B$86</f>
        <v>95012.872173470998</v>
      </c>
      <c r="AW1334" s="25">
        <f>Inventory[[#This Row],[UpprFn]]*Lookups!$B$87</f>
        <v>0</v>
      </c>
      <c r="AX1334" s="25">
        <f>Inventory[[#This Row],[AddFn]]*Lookups!$B$88</f>
        <v>0</v>
      </c>
      <c r="AY1334" s="25">
        <f>Inventory[[#This Row],[Bsmt]]*Lookups!$B$89</f>
        <v>24865.020436184997</v>
      </c>
      <c r="AZ1334" s="25">
        <f>Inventory[[#This Row],[Fixtures]]*Lookups!$B$90</f>
        <v>30336.176841600001</v>
      </c>
      <c r="BA1334" s="25">
        <f>Inventory[[#This Row],[WdDeck]]*Lookups!$B$91</f>
        <v>0</v>
      </c>
      <c r="BB1334" s="25">
        <f>ROUND(Inventory[[#This Row],[25Det]],-2)</f>
        <v>0</v>
      </c>
      <c r="BC1334" s="25">
        <f>ROUND(SUM(Inventory[[#This Row],[Mdl Qlty]:[Mdl WdDeck]])+Inventory[[#This Row],[Mdl Res Intercept]],-2)</f>
        <v>343200</v>
      </c>
      <c r="BD1334" s="25">
        <f>ROUND(Inventory[[#This Row],[Mdl Land Intercept]]+Inventory[[#This Row],[Mdl LnAcres]],-2)</f>
        <v>44700</v>
      </c>
      <c r="BE1334" s="25">
        <f>Inventory[[#This Row],[Unadj Res Value]]+Inventory[[#This Row],[Unadj Det Value]]+Inventory[[#This Row],[Unadj Land Value]]</f>
        <v>387900</v>
      </c>
      <c r="BF1334" s="36">
        <f>(Inventory[[#This Row],[Unadj Total Value]]-Inventory[[#This Row],[24Final]])/Inventory[[#This Row],[24Final]]</f>
        <v>4.9229104679469837E-2</v>
      </c>
      <c r="BG1334" s="25">
        <f>VLOOKUP(Inventory[[#This Row],[Nbhd]],Lookups!$Q$2:$T$4,4,FALSE)</f>
        <v>0.99970000000000003</v>
      </c>
      <c r="BH1334" s="25">
        <f>VLOOKUP(Inventory[[#This Row],[Qlty]],Lookups!$O$7:$R$21,4,FALSE)</f>
        <v>0.98050000000000004</v>
      </c>
      <c r="BI1334" s="25">
        <f>VLOOKUP(Inventory[[#This Row],[Cnd]],Lookups!$T$7:$W$16,4,FALSE)</f>
        <v>0.99729999999999996</v>
      </c>
      <c r="BJ1334" s="25">
        <f>VLOOKUP(Inventory[[#This Row],[LivArea Range]],Lookups!$T$25:$W$37,4,FALSE)</f>
        <v>0.98919999999999997</v>
      </c>
      <c r="BK1334" s="25">
        <f>VLOOKUP(Inventory[[#This Row],[Decade]],Lookups!$O$25:$R$42,4,FALSE)</f>
        <v>0.98909999999999998</v>
      </c>
      <c r="BL1334" s="25">
        <f>Inventory[[#This Row],[Nbhd Adj]]*0.95</f>
        <v>0.94971499999999998</v>
      </c>
      <c r="BM1334" s="25">
        <f>Inventory[[#This Row],[Nbhd Adj]]*Inventory[[#This Row],[Quality Adj]]*Inventory[[#This Row],[Condition Adj]]*Inventory[[#This Row],[Living Area Adj]]*Inventory[[#This Row],[Decade Adj]]*0.95</f>
        <v>0.9086382690108219</v>
      </c>
      <c r="BN1334" s="25">
        <f>ROUND(SUM(Inventory[[#This Row],[Mdl Qlty]:[Mdl WdDeck]])+Inventory[[#This Row],[Mdl Res Intercept]]*Inventory[[#This Row],[Res Adj ]],-2)</f>
        <v>343200</v>
      </c>
      <c r="BO1334" s="25">
        <f>ROUND(Inventory[[#This Row],[25Det]]*Inventory[[#This Row],[Det/Nbhd Adj]],-2)</f>
        <v>0</v>
      </c>
      <c r="BP1334" s="25">
        <f>Inventory[[#This Row],[Adjusted Res]]+Inventory[[#This Row],[Adj Det ]]</f>
        <v>343200</v>
      </c>
      <c r="BQ1334" s="25">
        <f>ROUND((Inventory[[#This Row],[Mdl Land Intercept]]+Inventory[[#This Row],[Mdl LnAcres]])*Inventory[[#This Row],[Det/Nbhd Adj]],-2)</f>
        <v>42400</v>
      </c>
      <c r="BR1334" s="25">
        <f>Inventory[[#This Row],[Adjusted Impr Total]]+Inventory[[#This Row],[Adjusted Land Total]]</f>
        <v>385600</v>
      </c>
      <c r="BS1334" s="36">
        <f>IFERROR((Inventory[[#This Row],[Adjusted Impr Total]]-Inventory[[#This Row],[24Bldg]])/Inventory[[#This Row],[24Bldg]],0)</f>
        <v>0.12561495572318793</v>
      </c>
      <c r="BT1334" s="36">
        <f>(Inventory[[#This Row],[Adjusted Land Total]]-Inventory[[#This Row],[24Lnd]])/Inventory[[#This Row],[24Lnd]]</f>
        <v>-0.34567901234567899</v>
      </c>
      <c r="BU1334" s="36">
        <f>(Inventory[[#This Row],[Adjusted Total]]-Inventory[[#This Row],[24Final]])/Inventory[[#This Row],[24Final]]</f>
        <v>4.3007844197998378E-2</v>
      </c>
    </row>
    <row r="1335" spans="1:73" x14ac:dyDescent="0.3">
      <c r="A1335" s="25">
        <v>2025</v>
      </c>
      <c r="B1335" s="26" t="s">
        <v>1949</v>
      </c>
      <c r="C1335" s="26">
        <f>LN(Inventory[[#This Row],[Acres]])</f>
        <v>-1.8971199848858813</v>
      </c>
      <c r="D1335" s="25">
        <v>0.15</v>
      </c>
      <c r="E1335" s="27"/>
      <c r="F1335" s="26" t="s">
        <v>537</v>
      </c>
      <c r="G1335" s="26" t="s">
        <v>126</v>
      </c>
      <c r="H1335" s="26" t="s">
        <v>349</v>
      </c>
      <c r="I1335" s="26" t="s">
        <v>538</v>
      </c>
      <c r="J1335" s="26" t="s">
        <v>539</v>
      </c>
      <c r="K1335" s="26" t="s">
        <v>242</v>
      </c>
      <c r="L1335" s="26" t="s">
        <v>351</v>
      </c>
      <c r="M1335" s="26" t="s">
        <v>303</v>
      </c>
      <c r="N1335" s="26">
        <v>90</v>
      </c>
      <c r="O1335" s="26">
        <f>2024-Inventory[[#This Row],[YrBlt]]</f>
        <v>84</v>
      </c>
      <c r="P1335" s="26">
        <f>2024-Inventory[[#This Row],[EffYr]]</f>
        <v>52</v>
      </c>
      <c r="Q1335" s="25">
        <v>1940</v>
      </c>
      <c r="R1335" s="25">
        <v>1972</v>
      </c>
      <c r="S1335" s="25">
        <v>1442</v>
      </c>
      <c r="T1335" s="27"/>
      <c r="U1335" s="25">
        <v>1035</v>
      </c>
      <c r="V1335" s="32">
        <f>Inventory[[#This Row],[Bsmt]]-Inventory[[#This Row],[FnBsmt]]</f>
        <v>0</v>
      </c>
      <c r="W1335" s="32">
        <v>1035</v>
      </c>
      <c r="X1335" s="27"/>
      <c r="Y1335" s="27">
        <f>Inventory[[#This Row],[MainFn]]+Inventory[[#This Row],[UpprFn]]+Inventory[[#This Row],[FnBsmt]]+Inventory[[#This Row],[AddFn]]</f>
        <v>2477</v>
      </c>
      <c r="Z1335" s="27">
        <v>2500</v>
      </c>
      <c r="AA1335" s="25">
        <v>11</v>
      </c>
      <c r="AB1335" s="27"/>
      <c r="AC1335" s="27"/>
      <c r="AD1335" s="27"/>
      <c r="AE1335" s="27"/>
      <c r="AF1335" s="27"/>
      <c r="AG1335" s="27"/>
      <c r="AH1335" s="27"/>
      <c r="AI1335" s="25">
        <v>326689</v>
      </c>
      <c r="AJ1335" s="25">
        <v>228682</v>
      </c>
      <c r="AK1335" s="25">
        <v>0</v>
      </c>
      <c r="AL1335" s="25">
        <v>363600</v>
      </c>
      <c r="AM1335" s="25">
        <v>48400</v>
      </c>
      <c r="AN1335" s="25">
        <v>315200</v>
      </c>
      <c r="AO1335" s="25">
        <v>0</v>
      </c>
      <c r="AP1335" s="25">
        <f>Lookups!$B$56*0</f>
        <v>0</v>
      </c>
      <c r="AQ1335" s="25">
        <f>Lookups!$B$56*1</f>
        <v>89850.625589999996</v>
      </c>
      <c r="AR1335" s="25">
        <f>Lookups!$B$57*Inventory[[#This Row],[LnAcres]]</f>
        <v>-60052.604136134301</v>
      </c>
      <c r="AS1335" s="25">
        <f>VLOOKUP(Inventory[[#This Row],[Qlty]],Lookups!$A$62:$E$75,2,FALSE)</f>
        <v>21557.329055999999</v>
      </c>
      <c r="AT1335" s="25">
        <f>VLOOKUP(Inventory[[#This Row],[Cnd]],Lookups!$A$76:$E$84,2,FALSE)</f>
        <v>197752.34721000001</v>
      </c>
      <c r="AU1335" s="25">
        <f>Inventory[[#This Row],[EffAge]]*Lookups!$B$85</f>
        <v>-11598.371226000001</v>
      </c>
      <c r="AV1335" s="25">
        <f>Inventory[[#This Row],[MainFn]]*Lookups!$B$86</f>
        <v>71247.301962633996</v>
      </c>
      <c r="AW1335" s="25">
        <f>Inventory[[#This Row],[UpprFn]]*Lookups!$B$87</f>
        <v>0</v>
      </c>
      <c r="AX1335" s="25">
        <f>Inventory[[#This Row],[AddFn]]*Lookups!$B$88</f>
        <v>0</v>
      </c>
      <c r="AY1335" s="25">
        <f>Inventory[[#This Row],[Bsmt]]*Lookups!$B$89</f>
        <v>30099.761580644998</v>
      </c>
      <c r="AZ1335" s="25">
        <f>Inventory[[#This Row],[Fixtures]]*Lookups!$B$90</f>
        <v>41712.243157199999</v>
      </c>
      <c r="BA1335" s="25">
        <f>Inventory[[#This Row],[WdDeck]]*Lookups!$B$91</f>
        <v>0</v>
      </c>
      <c r="BB1335" s="25">
        <f>ROUND(Inventory[[#This Row],[25Det]],-2)</f>
        <v>0</v>
      </c>
      <c r="BC1335" s="25">
        <f>ROUND(SUM(Inventory[[#This Row],[Mdl Qlty]:[Mdl WdDeck]])+Inventory[[#This Row],[Mdl Res Intercept]],-2)</f>
        <v>350800</v>
      </c>
      <c r="BD1335" s="25">
        <f>ROUND(Inventory[[#This Row],[Mdl Land Intercept]]+Inventory[[#This Row],[Mdl LnAcres]],-2)</f>
        <v>29800</v>
      </c>
      <c r="BE1335" s="25">
        <f>Inventory[[#This Row],[Unadj Res Value]]+Inventory[[#This Row],[Unadj Det Value]]+Inventory[[#This Row],[Unadj Land Value]]</f>
        <v>380600</v>
      </c>
      <c r="BF1335" s="36">
        <f>(Inventory[[#This Row],[Unadj Total Value]]-Inventory[[#This Row],[24Final]])/Inventory[[#This Row],[24Final]]</f>
        <v>4.6754675467546754E-2</v>
      </c>
      <c r="BG1335" s="25">
        <f>VLOOKUP(Inventory[[#This Row],[Nbhd]],Lookups!$Q$2:$T$4,4,FALSE)</f>
        <v>0.99970000000000003</v>
      </c>
      <c r="BH1335" s="25">
        <f>VLOOKUP(Inventory[[#This Row],[Qlty]],Lookups!$O$7:$R$21,4,FALSE)</f>
        <v>1.0067999999999999</v>
      </c>
      <c r="BI1335" s="25">
        <f>VLOOKUP(Inventory[[#This Row],[Cnd]],Lookups!$T$7:$W$16,4,FALSE)</f>
        <v>0.99650000000000005</v>
      </c>
      <c r="BJ1335" s="25">
        <f>VLOOKUP(Inventory[[#This Row],[LivArea Range]],Lookups!$T$25:$W$37,4,FALSE)</f>
        <v>0.98919999999999997</v>
      </c>
      <c r="BK1335" s="25">
        <f>VLOOKUP(Inventory[[#This Row],[Decade]],Lookups!$O$25:$R$42,4,FALSE)</f>
        <v>0.98909999999999998</v>
      </c>
      <c r="BL1335" s="25">
        <f>Inventory[[#This Row],[Nbhd Adj]]*0.95</f>
        <v>0.94971499999999998</v>
      </c>
      <c r="BM1335" s="25">
        <f>Inventory[[#This Row],[Nbhd Adj]]*Inventory[[#This Row],[Quality Adj]]*Inventory[[#This Row],[Condition Adj]]*Inventory[[#This Row],[Living Area Adj]]*Inventory[[#This Row],[Decade Adj]]*0.95</f>
        <v>0.9322622889120924</v>
      </c>
      <c r="BN1335" s="25">
        <f>ROUND(SUM(Inventory[[#This Row],[Mdl Qlty]:[Mdl WdDeck]])+Inventory[[#This Row],[Mdl Res Intercept]]*Inventory[[#This Row],[Res Adj ]],-2)</f>
        <v>350800</v>
      </c>
      <c r="BO1335" s="25">
        <f>ROUND(Inventory[[#This Row],[25Det]]*Inventory[[#This Row],[Det/Nbhd Adj]],-2)</f>
        <v>0</v>
      </c>
      <c r="BP1335" s="25">
        <f>Inventory[[#This Row],[Adjusted Res]]+Inventory[[#This Row],[Adj Det ]]</f>
        <v>350800</v>
      </c>
      <c r="BQ1335" s="25">
        <f>ROUND((Inventory[[#This Row],[Mdl Land Intercept]]+Inventory[[#This Row],[Mdl LnAcres]])*Inventory[[#This Row],[Det/Nbhd Adj]],-2)</f>
        <v>28300</v>
      </c>
      <c r="BR1335" s="25">
        <f>Inventory[[#This Row],[Adjusted Impr Total]]+Inventory[[#This Row],[Adjusted Land Total]]</f>
        <v>379100</v>
      </c>
      <c r="BS1335" s="36">
        <f>IFERROR((Inventory[[#This Row],[Adjusted Impr Total]]-Inventory[[#This Row],[24Bldg]])/Inventory[[#This Row],[24Bldg]],0)</f>
        <v>0.11294416243654823</v>
      </c>
      <c r="BT1335" s="36">
        <f>(Inventory[[#This Row],[Adjusted Land Total]]-Inventory[[#This Row],[24Lnd]])/Inventory[[#This Row],[24Lnd]]</f>
        <v>-0.41528925619834711</v>
      </c>
      <c r="BU1335" s="36">
        <f>(Inventory[[#This Row],[Adjusted Total]]-Inventory[[#This Row],[24Final]])/Inventory[[#This Row],[24Final]]</f>
        <v>4.2629262926292627E-2</v>
      </c>
    </row>
    <row r="1336" spans="1:73" x14ac:dyDescent="0.3">
      <c r="A1336" s="25">
        <v>2025</v>
      </c>
      <c r="B1336" s="26" t="s">
        <v>1809</v>
      </c>
      <c r="C1336" s="26">
        <f>LN(Inventory[[#This Row],[Acres]])</f>
        <v>-1.5141277326297755</v>
      </c>
      <c r="D1336" s="25">
        <v>0.22</v>
      </c>
      <c r="E1336" s="32">
        <v>9800</v>
      </c>
      <c r="F1336" s="26" t="s">
        <v>537</v>
      </c>
      <c r="G1336" s="26" t="s">
        <v>126</v>
      </c>
      <c r="H1336" s="26" t="s">
        <v>349</v>
      </c>
      <c r="I1336" s="26" t="s">
        <v>538</v>
      </c>
      <c r="J1336" s="26" t="s">
        <v>539</v>
      </c>
      <c r="K1336" s="26" t="s">
        <v>242</v>
      </c>
      <c r="L1336" s="26" t="s">
        <v>302</v>
      </c>
      <c r="M1336" s="26" t="s">
        <v>323</v>
      </c>
      <c r="N1336" s="26">
        <v>90</v>
      </c>
      <c r="O1336" s="26">
        <f>2024-Inventory[[#This Row],[YrBlt]]</f>
        <v>84</v>
      </c>
      <c r="P1336" s="26">
        <f>2024-Inventory[[#This Row],[EffYr]]</f>
        <v>52</v>
      </c>
      <c r="Q1336" s="25">
        <v>1940</v>
      </c>
      <c r="R1336" s="25">
        <v>1972</v>
      </c>
      <c r="S1336" s="25">
        <v>1341</v>
      </c>
      <c r="T1336" s="31"/>
      <c r="U1336" s="25">
        <v>1146</v>
      </c>
      <c r="V1336" s="25">
        <f>Inventory[[#This Row],[Bsmt]]-Inventory[[#This Row],[FnBsmt]]</f>
        <v>573</v>
      </c>
      <c r="W1336" s="25">
        <v>573</v>
      </c>
      <c r="X1336" s="27"/>
      <c r="Y1336" s="27">
        <f>Inventory[[#This Row],[MainFn]]+Inventory[[#This Row],[UpprFn]]+Inventory[[#This Row],[FnBsmt]]+Inventory[[#This Row],[AddFn]]</f>
        <v>1914</v>
      </c>
      <c r="Z1336" s="27">
        <v>2000</v>
      </c>
      <c r="AA1336" s="25">
        <v>8</v>
      </c>
      <c r="AB1336" s="27"/>
      <c r="AC1336" s="27"/>
      <c r="AD1336" s="31"/>
      <c r="AE1336" s="27"/>
      <c r="AF1336" s="27"/>
      <c r="AG1336" s="27"/>
      <c r="AH1336" s="27"/>
      <c r="AI1336" s="25">
        <v>351867</v>
      </c>
      <c r="AJ1336" s="25">
        <v>239270</v>
      </c>
      <c r="AK1336" s="25">
        <v>7698</v>
      </c>
      <c r="AL1336" s="25">
        <v>341700</v>
      </c>
      <c r="AM1336" s="25">
        <v>61700</v>
      </c>
      <c r="AN1336" s="25">
        <v>280000</v>
      </c>
      <c r="AO1336" s="25">
        <v>0</v>
      </c>
      <c r="AP1336" s="25">
        <f>Lookups!$B$56*0</f>
        <v>0</v>
      </c>
      <c r="AQ1336" s="25">
        <f>Lookups!$B$56*1</f>
        <v>89850.625589999996</v>
      </c>
      <c r="AR1336" s="25">
        <f>Lookups!$B$57*Inventory[[#This Row],[LnAcres]]</f>
        <v>-47929.131559187132</v>
      </c>
      <c r="AS1336" s="25">
        <f>VLOOKUP(Inventory[[#This Row],[Qlty]],Lookups!$A$62:$E$75,2,FALSE)</f>
        <v>29814.093161000001</v>
      </c>
      <c r="AT1336" s="25">
        <f>VLOOKUP(Inventory[[#This Row],[Cnd]],Lookups!$A$76:$E$84,2,FALSE)</f>
        <v>160472.20319</v>
      </c>
      <c r="AU1336" s="25">
        <f>Inventory[[#This Row],[EffAge]]*Lookups!$B$85</f>
        <v>-11598.371226000001</v>
      </c>
      <c r="AV1336" s="25">
        <f>Inventory[[#This Row],[MainFn]]*Lookups!$B$86</f>
        <v>66257.026305057007</v>
      </c>
      <c r="AW1336" s="25">
        <f>Inventory[[#This Row],[UpprFn]]*Lookups!$B$87</f>
        <v>0</v>
      </c>
      <c r="AX1336" s="25">
        <f>Inventory[[#This Row],[AddFn]]*Lookups!$B$88</f>
        <v>0</v>
      </c>
      <c r="AY1336" s="25">
        <f>Inventory[[#This Row],[Bsmt]]*Lookups!$B$89</f>
        <v>33327.851953061996</v>
      </c>
      <c r="AZ1336" s="25">
        <f>Inventory[[#This Row],[Fixtures]]*Lookups!$B$90</f>
        <v>30336.176841600001</v>
      </c>
      <c r="BA1336" s="25">
        <f>Inventory[[#This Row],[WdDeck]]*Lookups!$B$91</f>
        <v>0</v>
      </c>
      <c r="BB1336" s="25">
        <f>ROUND(Inventory[[#This Row],[25Det]],-2)</f>
        <v>7700</v>
      </c>
      <c r="BC1336" s="25">
        <f>ROUND(SUM(Inventory[[#This Row],[Mdl Qlty]:[Mdl WdDeck]])+Inventory[[#This Row],[Mdl Res Intercept]],-2)</f>
        <v>308600</v>
      </c>
      <c r="BD1336" s="25">
        <f>ROUND(Inventory[[#This Row],[Mdl Land Intercept]]+Inventory[[#This Row],[Mdl LnAcres]],-2)</f>
        <v>41900</v>
      </c>
      <c r="BE1336" s="25">
        <f>Inventory[[#This Row],[Unadj Res Value]]+Inventory[[#This Row],[Unadj Det Value]]+Inventory[[#This Row],[Unadj Land Value]]</f>
        <v>358200</v>
      </c>
      <c r="BF1336" s="36">
        <f>(Inventory[[#This Row],[Unadj Total Value]]-Inventory[[#This Row],[24Final]])/Inventory[[#This Row],[24Final]]</f>
        <v>4.8287971905179985E-2</v>
      </c>
      <c r="BG1336" s="25">
        <f>VLOOKUP(Inventory[[#This Row],[Nbhd]],Lookups!$Q$2:$T$4,4,FALSE)</f>
        <v>0.99970000000000003</v>
      </c>
      <c r="BH1336" s="25">
        <f>VLOOKUP(Inventory[[#This Row],[Qlty]],Lookups!$O$7:$R$21,4,FALSE)</f>
        <v>1.0088999999999999</v>
      </c>
      <c r="BI1336" s="25">
        <f>VLOOKUP(Inventory[[#This Row],[Cnd]],Lookups!$T$7:$W$16,4,FALSE)</f>
        <v>0.99729999999999996</v>
      </c>
      <c r="BJ1336" s="25">
        <f>VLOOKUP(Inventory[[#This Row],[LivArea Range]],Lookups!$T$25:$W$37,4,FALSE)</f>
        <v>1.0093000000000001</v>
      </c>
      <c r="BK1336" s="25">
        <f>VLOOKUP(Inventory[[#This Row],[Decade]],Lookups!$O$25:$R$42,4,FALSE)</f>
        <v>0.98909999999999998</v>
      </c>
      <c r="BL1336" s="25">
        <f>Inventory[[#This Row],[Nbhd Adj]]*0.95</f>
        <v>0.94971499999999998</v>
      </c>
      <c r="BM1336" s="25">
        <f>Inventory[[#This Row],[Nbhd Adj]]*Inventory[[#This Row],[Quality Adj]]*Inventory[[#This Row],[Condition Adj]]*Inventory[[#This Row],[Living Area Adj]]*Inventory[[#This Row],[Decade Adj]]*0.95</f>
        <v>0.95395461550409388</v>
      </c>
      <c r="BN1336" s="25">
        <f>ROUND(SUM(Inventory[[#This Row],[Mdl Qlty]:[Mdl WdDeck]])+Inventory[[#This Row],[Mdl Res Intercept]]*Inventory[[#This Row],[Res Adj ]],-2)</f>
        <v>308600</v>
      </c>
      <c r="BO1336" s="25">
        <f>ROUND(Inventory[[#This Row],[25Det]]*Inventory[[#This Row],[Det/Nbhd Adj]],-2)</f>
        <v>7300</v>
      </c>
      <c r="BP1336" s="25">
        <f>Inventory[[#This Row],[Adjusted Res]]+Inventory[[#This Row],[Adj Det ]]</f>
        <v>315900</v>
      </c>
      <c r="BQ1336" s="25">
        <f>ROUND((Inventory[[#This Row],[Mdl Land Intercept]]+Inventory[[#This Row],[Mdl LnAcres]])*Inventory[[#This Row],[Det/Nbhd Adj]],-2)</f>
        <v>39800</v>
      </c>
      <c r="BR1336" s="25">
        <f>Inventory[[#This Row],[Adjusted Impr Total]]+Inventory[[#This Row],[Adjusted Land Total]]</f>
        <v>355700</v>
      </c>
      <c r="BS1336" s="36">
        <f>IFERROR((Inventory[[#This Row],[Adjusted Impr Total]]-Inventory[[#This Row],[24Bldg]])/Inventory[[#This Row],[24Bldg]],0)</f>
        <v>0.12821428571428573</v>
      </c>
      <c r="BT1336" s="36">
        <f>(Inventory[[#This Row],[Adjusted Land Total]]-Inventory[[#This Row],[24Lnd]])/Inventory[[#This Row],[24Lnd]]</f>
        <v>-0.35494327390599678</v>
      </c>
      <c r="BU1336" s="36">
        <f>(Inventory[[#This Row],[Adjusted Total]]-Inventory[[#This Row],[24Final]])/Inventory[[#This Row],[24Final]]</f>
        <v>4.0971612525607257E-2</v>
      </c>
    </row>
    <row r="1337" spans="1:73" x14ac:dyDescent="0.3">
      <c r="A1337" s="25">
        <v>2025</v>
      </c>
      <c r="B1337" s="26" t="s">
        <v>1885</v>
      </c>
      <c r="C1337" s="26">
        <f>LN(Inventory[[#This Row],[Acres]])</f>
        <v>-1.7719568419318752</v>
      </c>
      <c r="D1337" s="25">
        <v>0.17</v>
      </c>
      <c r="E1337" s="27"/>
      <c r="F1337" s="26" t="s">
        <v>537</v>
      </c>
      <c r="G1337" s="26" t="s">
        <v>126</v>
      </c>
      <c r="H1337" s="26" t="s">
        <v>349</v>
      </c>
      <c r="I1337" s="26" t="s">
        <v>538</v>
      </c>
      <c r="J1337" s="26" t="s">
        <v>539</v>
      </c>
      <c r="K1337" s="26" t="s">
        <v>242</v>
      </c>
      <c r="L1337" s="26" t="s">
        <v>302</v>
      </c>
      <c r="M1337" s="26" t="s">
        <v>323</v>
      </c>
      <c r="N1337" s="26">
        <v>90</v>
      </c>
      <c r="O1337" s="26">
        <f>2024-Inventory[[#This Row],[YrBlt]]</f>
        <v>84</v>
      </c>
      <c r="P1337" s="26">
        <f>2024-Inventory[[#This Row],[EffYr]]</f>
        <v>52</v>
      </c>
      <c r="Q1337" s="25">
        <v>1940</v>
      </c>
      <c r="R1337" s="25">
        <v>1972</v>
      </c>
      <c r="S1337" s="25">
        <v>848</v>
      </c>
      <c r="T1337" s="27"/>
      <c r="U1337" s="25">
        <v>425</v>
      </c>
      <c r="V1337" s="25">
        <f>Inventory[[#This Row],[Bsmt]]-Inventory[[#This Row],[FnBsmt]]</f>
        <v>0</v>
      </c>
      <c r="W1337" s="25">
        <v>425</v>
      </c>
      <c r="X1337" s="27"/>
      <c r="Y1337" s="27">
        <f>Inventory[[#This Row],[MainFn]]+Inventory[[#This Row],[UpprFn]]+Inventory[[#This Row],[FnBsmt]]+Inventory[[#This Row],[AddFn]]</f>
        <v>1273</v>
      </c>
      <c r="Z1337" s="27">
        <v>1500</v>
      </c>
      <c r="AA1337" s="25">
        <v>8</v>
      </c>
      <c r="AB1337" s="27"/>
      <c r="AC1337" s="27"/>
      <c r="AD1337" s="27"/>
      <c r="AE1337" s="27"/>
      <c r="AF1337" s="27"/>
      <c r="AG1337" s="27"/>
      <c r="AH1337" s="27"/>
      <c r="AI1337" s="25">
        <v>221091</v>
      </c>
      <c r="AJ1337" s="25">
        <v>150342</v>
      </c>
      <c r="AK1337" s="25">
        <v>5874</v>
      </c>
      <c r="AL1337" s="25">
        <v>289200</v>
      </c>
      <c r="AM1337" s="25">
        <v>52700</v>
      </c>
      <c r="AN1337" s="25">
        <v>236500</v>
      </c>
      <c r="AO1337" s="25">
        <v>0</v>
      </c>
      <c r="AP1337" s="25">
        <f>Lookups!$B$56*0</f>
        <v>0</v>
      </c>
      <c r="AQ1337" s="25">
        <f>Lookups!$B$56*1</f>
        <v>89850.625589999996</v>
      </c>
      <c r="AR1337" s="25">
        <f>Lookups!$B$57*Inventory[[#This Row],[LnAcres]]</f>
        <v>-56090.612940989391</v>
      </c>
      <c r="AS1337" s="25">
        <f>VLOOKUP(Inventory[[#This Row],[Qlty]],Lookups!$A$62:$E$75,2,FALSE)</f>
        <v>29814.093161000001</v>
      </c>
      <c r="AT1337" s="25">
        <f>VLOOKUP(Inventory[[#This Row],[Cnd]],Lookups!$A$76:$E$84,2,FALSE)</f>
        <v>160472.20319</v>
      </c>
      <c r="AU1337" s="25">
        <f>Inventory[[#This Row],[EffAge]]*Lookups!$B$85</f>
        <v>-11598.371226000001</v>
      </c>
      <c r="AV1337" s="25">
        <f>Inventory[[#This Row],[MainFn]]*Lookups!$B$86</f>
        <v>41898.552055696004</v>
      </c>
      <c r="AW1337" s="25">
        <f>Inventory[[#This Row],[UpprFn]]*Lookups!$B$87</f>
        <v>0</v>
      </c>
      <c r="AX1337" s="25">
        <f>Inventory[[#This Row],[AddFn]]*Lookups!$B$88</f>
        <v>0</v>
      </c>
      <c r="AY1337" s="25">
        <f>Inventory[[#This Row],[Bsmt]]*Lookups!$B$89</f>
        <v>12359.805479974999</v>
      </c>
      <c r="AZ1337" s="25">
        <f>Inventory[[#This Row],[Fixtures]]*Lookups!$B$90</f>
        <v>30336.176841600001</v>
      </c>
      <c r="BA1337" s="25">
        <f>Inventory[[#This Row],[WdDeck]]*Lookups!$B$91</f>
        <v>0</v>
      </c>
      <c r="BB1337" s="25">
        <f>ROUND(Inventory[[#This Row],[25Det]],-2)</f>
        <v>5900</v>
      </c>
      <c r="BC1337" s="25">
        <f>ROUND(SUM(Inventory[[#This Row],[Mdl Qlty]:[Mdl WdDeck]])+Inventory[[#This Row],[Mdl Res Intercept]],-2)</f>
        <v>263300</v>
      </c>
      <c r="BD1337" s="25">
        <f>ROUND(Inventory[[#This Row],[Mdl Land Intercept]]+Inventory[[#This Row],[Mdl LnAcres]],-2)</f>
        <v>33800</v>
      </c>
      <c r="BE1337" s="25">
        <f>Inventory[[#This Row],[Unadj Res Value]]+Inventory[[#This Row],[Unadj Det Value]]+Inventory[[#This Row],[Unadj Land Value]]</f>
        <v>303000</v>
      </c>
      <c r="BF1337" s="36">
        <f>(Inventory[[#This Row],[Unadj Total Value]]-Inventory[[#This Row],[24Final]])/Inventory[[#This Row],[24Final]]</f>
        <v>4.7717842323651449E-2</v>
      </c>
      <c r="BG1337" s="25">
        <f>VLOOKUP(Inventory[[#This Row],[Nbhd]],Lookups!$Q$2:$T$4,4,FALSE)</f>
        <v>0.99970000000000003</v>
      </c>
      <c r="BH1337" s="25">
        <f>VLOOKUP(Inventory[[#This Row],[Qlty]],Lookups!$O$7:$R$21,4,FALSE)</f>
        <v>1.0088999999999999</v>
      </c>
      <c r="BI1337" s="25">
        <f>VLOOKUP(Inventory[[#This Row],[Cnd]],Lookups!$T$7:$W$16,4,FALSE)</f>
        <v>0.99729999999999996</v>
      </c>
      <c r="BJ1337" s="25">
        <f>VLOOKUP(Inventory[[#This Row],[LivArea Range]],Lookups!$T$25:$W$37,4,FALSE)</f>
        <v>1.0157</v>
      </c>
      <c r="BK1337" s="25">
        <f>VLOOKUP(Inventory[[#This Row],[Decade]],Lookups!$O$25:$R$42,4,FALSE)</f>
        <v>0.98909999999999998</v>
      </c>
      <c r="BL1337" s="25">
        <f>Inventory[[#This Row],[Nbhd Adj]]*0.95</f>
        <v>0.94971499999999998</v>
      </c>
      <c r="BM1337" s="25">
        <f>Inventory[[#This Row],[Nbhd Adj]]*Inventory[[#This Row],[Quality Adj]]*Inventory[[#This Row],[Condition Adj]]*Inventory[[#This Row],[Living Area Adj]]*Inventory[[#This Row],[Decade Adj]]*0.95</f>
        <v>0.96000366884722899</v>
      </c>
      <c r="BN1337" s="25">
        <f>ROUND(SUM(Inventory[[#This Row],[Mdl Qlty]:[Mdl WdDeck]])+Inventory[[#This Row],[Mdl Res Intercept]]*Inventory[[#This Row],[Res Adj ]],-2)</f>
        <v>263300</v>
      </c>
      <c r="BO1337" s="25">
        <f>ROUND(Inventory[[#This Row],[25Det]]*Inventory[[#This Row],[Det/Nbhd Adj]],-2)</f>
        <v>5600</v>
      </c>
      <c r="BP1337" s="25">
        <f>Inventory[[#This Row],[Adjusted Res]]+Inventory[[#This Row],[Adj Det ]]</f>
        <v>268900</v>
      </c>
      <c r="BQ1337" s="25">
        <f>ROUND((Inventory[[#This Row],[Mdl Land Intercept]]+Inventory[[#This Row],[Mdl LnAcres]])*Inventory[[#This Row],[Det/Nbhd Adj]],-2)</f>
        <v>32100</v>
      </c>
      <c r="BR1337" s="25">
        <f>Inventory[[#This Row],[Adjusted Impr Total]]+Inventory[[#This Row],[Adjusted Land Total]]</f>
        <v>301000</v>
      </c>
      <c r="BS1337" s="36">
        <f>IFERROR((Inventory[[#This Row],[Adjusted Impr Total]]-Inventory[[#This Row],[24Bldg]])/Inventory[[#This Row],[24Bldg]],0)</f>
        <v>0.13699788583509515</v>
      </c>
      <c r="BT1337" s="36">
        <f>(Inventory[[#This Row],[Adjusted Land Total]]-Inventory[[#This Row],[24Lnd]])/Inventory[[#This Row],[24Lnd]]</f>
        <v>-0.39089184060721061</v>
      </c>
      <c r="BU1337" s="36">
        <f>(Inventory[[#This Row],[Adjusted Total]]-Inventory[[#This Row],[24Final]])/Inventory[[#This Row],[24Final]]</f>
        <v>4.0802213001383127E-2</v>
      </c>
    </row>
    <row r="1338" spans="1:73" x14ac:dyDescent="0.3">
      <c r="A1338" s="25">
        <v>2025</v>
      </c>
      <c r="B1338" s="26" t="s">
        <v>1451</v>
      </c>
      <c r="C1338" s="26">
        <f>LN(Inventory[[#This Row],[Acres]])</f>
        <v>-1.9661128563728327</v>
      </c>
      <c r="D1338" s="25">
        <v>0.14000000000000001</v>
      </c>
      <c r="E1338" s="32">
        <v>5930</v>
      </c>
      <c r="F1338" s="26" t="s">
        <v>537</v>
      </c>
      <c r="G1338" s="26" t="s">
        <v>126</v>
      </c>
      <c r="H1338" s="26" t="s">
        <v>349</v>
      </c>
      <c r="I1338" s="26" t="s">
        <v>538</v>
      </c>
      <c r="J1338" s="26" t="s">
        <v>539</v>
      </c>
      <c r="K1338" s="26" t="s">
        <v>242</v>
      </c>
      <c r="L1338" s="26" t="s">
        <v>205</v>
      </c>
      <c r="M1338" s="26" t="s">
        <v>323</v>
      </c>
      <c r="N1338" s="26">
        <v>90</v>
      </c>
      <c r="O1338" s="26">
        <f>2024-Inventory[[#This Row],[YrBlt]]</f>
        <v>84</v>
      </c>
      <c r="P1338" s="26">
        <f>2024-Inventory[[#This Row],[EffYr]]</f>
        <v>52</v>
      </c>
      <c r="Q1338" s="25">
        <v>1940</v>
      </c>
      <c r="R1338" s="25">
        <v>1972</v>
      </c>
      <c r="S1338" s="25">
        <v>624</v>
      </c>
      <c r="T1338" s="27"/>
      <c r="U1338" s="25">
        <v>312</v>
      </c>
      <c r="V1338" s="32">
        <f>Inventory[[#This Row],[Bsmt]]-Inventory[[#This Row],[FnBsmt]]</f>
        <v>156</v>
      </c>
      <c r="W1338" s="32">
        <v>156</v>
      </c>
      <c r="X1338" s="27"/>
      <c r="Y1338" s="27">
        <f>Inventory[[#This Row],[MainFn]]+Inventory[[#This Row],[UpprFn]]+Inventory[[#This Row],[FnBsmt]]+Inventory[[#This Row],[AddFn]]</f>
        <v>780</v>
      </c>
      <c r="Z1338" s="27">
        <v>1000</v>
      </c>
      <c r="AA1338" s="25">
        <v>5</v>
      </c>
      <c r="AB1338" s="27"/>
      <c r="AC1338" s="27"/>
      <c r="AD1338" s="27"/>
      <c r="AE1338" s="27"/>
      <c r="AF1338" s="27"/>
      <c r="AG1338" s="27"/>
      <c r="AH1338" s="27"/>
      <c r="AI1338" s="25">
        <v>124802</v>
      </c>
      <c r="AJ1338" s="25">
        <v>84865</v>
      </c>
      <c r="AK1338" s="25">
        <v>6050</v>
      </c>
      <c r="AL1338" s="25">
        <v>230300</v>
      </c>
      <c r="AM1338" s="25">
        <v>46000</v>
      </c>
      <c r="AN1338" s="25">
        <v>184300</v>
      </c>
      <c r="AO1338" s="25">
        <v>0</v>
      </c>
      <c r="AP1338" s="25">
        <f>Lookups!$B$56*0</f>
        <v>0</v>
      </c>
      <c r="AQ1338" s="25">
        <f>Lookups!$B$56*1</f>
        <v>89850.625589999996</v>
      </c>
      <c r="AR1338" s="25">
        <f>Lookups!$B$57*Inventory[[#This Row],[LnAcres]]</f>
        <v>-62236.546971921947</v>
      </c>
      <c r="AS1338" s="25">
        <f>VLOOKUP(Inventory[[#This Row],[Qlty]],Lookups!$A$62:$E$75,2,FALSE)</f>
        <v>0</v>
      </c>
      <c r="AT1338" s="25">
        <f>VLOOKUP(Inventory[[#This Row],[Cnd]],Lookups!$A$76:$E$84,2,FALSE)</f>
        <v>160472.20319</v>
      </c>
      <c r="AU1338" s="25">
        <f>Inventory[[#This Row],[EffAge]]*Lookups!$B$85</f>
        <v>-11598.371226000001</v>
      </c>
      <c r="AV1338" s="25">
        <f>Inventory[[#This Row],[MainFn]]*Lookups!$B$86</f>
        <v>30831.010003248</v>
      </c>
      <c r="AW1338" s="25">
        <f>Inventory[[#This Row],[UpprFn]]*Lookups!$B$87</f>
        <v>0</v>
      </c>
      <c r="AX1338" s="25">
        <f>Inventory[[#This Row],[AddFn]]*Lookups!$B$88</f>
        <v>0</v>
      </c>
      <c r="AY1338" s="25">
        <f>Inventory[[#This Row],[Bsmt]]*Lookups!$B$89</f>
        <v>9073.5513170639988</v>
      </c>
      <c r="AZ1338" s="25">
        <f>Inventory[[#This Row],[Fixtures]]*Lookups!$B$90</f>
        <v>18960.110526</v>
      </c>
      <c r="BA1338" s="25">
        <f>Inventory[[#This Row],[WdDeck]]*Lookups!$B$91</f>
        <v>0</v>
      </c>
      <c r="BB1338" s="25">
        <f>ROUND(Inventory[[#This Row],[25Det]],-2)</f>
        <v>6100</v>
      </c>
      <c r="BC1338" s="25">
        <f>ROUND(SUM(Inventory[[#This Row],[Mdl Qlty]:[Mdl WdDeck]])+Inventory[[#This Row],[Mdl Res Intercept]],-2)</f>
        <v>207700</v>
      </c>
      <c r="BD1338" s="25">
        <f>ROUND(Inventory[[#This Row],[Mdl Land Intercept]]+Inventory[[#This Row],[Mdl LnAcres]],-2)</f>
        <v>27600</v>
      </c>
      <c r="BE1338" s="25">
        <f>Inventory[[#This Row],[Unadj Res Value]]+Inventory[[#This Row],[Unadj Det Value]]+Inventory[[#This Row],[Unadj Land Value]]</f>
        <v>241400</v>
      </c>
      <c r="BF1338" s="36">
        <f>(Inventory[[#This Row],[Unadj Total Value]]-Inventory[[#This Row],[24Final]])/Inventory[[#This Row],[24Final]]</f>
        <v>4.8198002605297441E-2</v>
      </c>
      <c r="BG1338" s="25">
        <f>VLOOKUP(Inventory[[#This Row],[Nbhd]],Lookups!$Q$2:$T$4,4,FALSE)</f>
        <v>0.99970000000000003</v>
      </c>
      <c r="BH1338" s="25">
        <f>VLOOKUP(Inventory[[#This Row],[Qlty]],Lookups!$O$7:$R$21,4,FALSE)</f>
        <v>0.99180000000000001</v>
      </c>
      <c r="BI1338" s="25">
        <f>VLOOKUP(Inventory[[#This Row],[Cnd]],Lookups!$T$7:$W$16,4,FALSE)</f>
        <v>0.99729999999999996</v>
      </c>
      <c r="BJ1338" s="25">
        <f>VLOOKUP(Inventory[[#This Row],[LivArea Range]],Lookups!$T$25:$W$37,4,FALSE)</f>
        <v>1.0148999999999999</v>
      </c>
      <c r="BK1338" s="25">
        <f>VLOOKUP(Inventory[[#This Row],[Decade]],Lookups!$O$25:$R$42,4,FALSE)</f>
        <v>0.98909999999999998</v>
      </c>
      <c r="BL1338" s="25">
        <f>Inventory[[#This Row],[Nbhd Adj]]*0.95</f>
        <v>0.94971499999999998</v>
      </c>
      <c r="BM1338" s="25">
        <f>Inventory[[#This Row],[Nbhd Adj]]*Inventory[[#This Row],[Quality Adj]]*Inventory[[#This Row],[Condition Adj]]*Inventory[[#This Row],[Living Area Adj]]*Inventory[[#This Row],[Decade Adj]]*0.95</f>
        <v>0.94298910434578886</v>
      </c>
      <c r="BN1338" s="25">
        <f>ROUND(SUM(Inventory[[#This Row],[Mdl Qlty]:[Mdl WdDeck]])+Inventory[[#This Row],[Mdl Res Intercept]]*Inventory[[#This Row],[Res Adj ]],-2)</f>
        <v>207700</v>
      </c>
      <c r="BO1338" s="25">
        <f>ROUND(Inventory[[#This Row],[25Det]]*Inventory[[#This Row],[Det/Nbhd Adj]],-2)</f>
        <v>5700</v>
      </c>
      <c r="BP1338" s="25">
        <f>Inventory[[#This Row],[Adjusted Res]]+Inventory[[#This Row],[Adj Det ]]</f>
        <v>213400</v>
      </c>
      <c r="BQ1338" s="25">
        <f>ROUND((Inventory[[#This Row],[Mdl Land Intercept]]+Inventory[[#This Row],[Mdl LnAcres]])*Inventory[[#This Row],[Det/Nbhd Adj]],-2)</f>
        <v>26200</v>
      </c>
      <c r="BR1338" s="25">
        <f>Inventory[[#This Row],[Adjusted Impr Total]]+Inventory[[#This Row],[Adjusted Land Total]]</f>
        <v>239600</v>
      </c>
      <c r="BS1338" s="36">
        <f>IFERROR((Inventory[[#This Row],[Adjusted Impr Total]]-Inventory[[#This Row],[24Bldg]])/Inventory[[#This Row],[24Bldg]],0)</f>
        <v>0.15789473684210525</v>
      </c>
      <c r="BT1338" s="36">
        <f>(Inventory[[#This Row],[Adjusted Land Total]]-Inventory[[#This Row],[24Lnd]])/Inventory[[#This Row],[24Lnd]]</f>
        <v>-0.43043478260869567</v>
      </c>
      <c r="BU1338" s="36">
        <f>(Inventory[[#This Row],[Adjusted Total]]-Inventory[[#This Row],[24Final]])/Inventory[[#This Row],[24Final]]</f>
        <v>4.038211029092488E-2</v>
      </c>
    </row>
    <row r="1339" spans="1:73" x14ac:dyDescent="0.3">
      <c r="A1339" s="25">
        <v>2025</v>
      </c>
      <c r="B1339" s="26" t="s">
        <v>1688</v>
      </c>
      <c r="C1339" s="26">
        <f>LN(Inventory[[#This Row],[Acres]])</f>
        <v>-0.916290731874155</v>
      </c>
      <c r="D1339" s="25">
        <v>0.4</v>
      </c>
      <c r="E1339" s="32">
        <v>17220</v>
      </c>
      <c r="F1339" s="26" t="s">
        <v>537</v>
      </c>
      <c r="G1339" s="26" t="s">
        <v>126</v>
      </c>
      <c r="H1339" s="26" t="s">
        <v>349</v>
      </c>
      <c r="I1339" s="26" t="s">
        <v>538</v>
      </c>
      <c r="J1339" s="26" t="s">
        <v>539</v>
      </c>
      <c r="K1339" s="26" t="s">
        <v>269</v>
      </c>
      <c r="L1339" s="26" t="s">
        <v>148</v>
      </c>
      <c r="M1339" s="26" t="s">
        <v>303</v>
      </c>
      <c r="N1339" s="26">
        <v>90</v>
      </c>
      <c r="O1339" s="26">
        <f>2024-Inventory[[#This Row],[YrBlt]]</f>
        <v>84</v>
      </c>
      <c r="P1339" s="26">
        <f>2024-Inventory[[#This Row],[EffYr]]</f>
        <v>52</v>
      </c>
      <c r="Q1339" s="25">
        <v>1940</v>
      </c>
      <c r="R1339" s="25">
        <v>1972</v>
      </c>
      <c r="S1339" s="25">
        <v>1841</v>
      </c>
      <c r="T1339" s="31"/>
      <c r="U1339" s="27"/>
      <c r="V1339" s="27">
        <f>Inventory[[#This Row],[Bsmt]]-Inventory[[#This Row],[FnBsmt]]</f>
        <v>0</v>
      </c>
      <c r="W1339" s="27"/>
      <c r="X1339" s="27"/>
      <c r="Y1339" s="27">
        <f>Inventory[[#This Row],[MainFn]]+Inventory[[#This Row],[UpprFn]]+Inventory[[#This Row],[FnBsmt]]+Inventory[[#This Row],[AddFn]]</f>
        <v>1841</v>
      </c>
      <c r="Z1339" s="27">
        <v>2000</v>
      </c>
      <c r="AA1339" s="25">
        <v>9</v>
      </c>
      <c r="AB1339" s="27"/>
      <c r="AC1339" s="32">
        <v>620</v>
      </c>
      <c r="AD1339" s="31"/>
      <c r="AE1339" s="27"/>
      <c r="AF1339" s="27"/>
      <c r="AG1339" s="27"/>
      <c r="AH1339" s="27"/>
      <c r="AI1339" s="25">
        <v>481205</v>
      </c>
      <c r="AJ1339" s="25">
        <v>336844</v>
      </c>
      <c r="AK1339" s="25">
        <v>0</v>
      </c>
      <c r="AL1339" s="25">
        <v>397500</v>
      </c>
      <c r="AM1339" s="25">
        <v>82600</v>
      </c>
      <c r="AN1339" s="25">
        <v>314900</v>
      </c>
      <c r="AO1339" s="25">
        <v>0</v>
      </c>
      <c r="AP1339" s="25">
        <f>Lookups!$B$56*0</f>
        <v>0</v>
      </c>
      <c r="AQ1339" s="25">
        <f>Lookups!$B$56*1</f>
        <v>89850.625589999996</v>
      </c>
      <c r="AR1339" s="25">
        <f>Lookups!$B$57*Inventory[[#This Row],[LnAcres]]</f>
        <v>-29004.831024516039</v>
      </c>
      <c r="AS1339" s="25">
        <f>VLOOKUP(Inventory[[#This Row],[Qlty]],Lookups!$A$62:$E$75,2,FALSE)</f>
        <v>44121.038090000002</v>
      </c>
      <c r="AT1339" s="25">
        <f>VLOOKUP(Inventory[[#This Row],[Cnd]],Lookups!$A$76:$E$84,2,FALSE)</f>
        <v>197752.34721000001</v>
      </c>
      <c r="AU1339" s="25">
        <f>Inventory[[#This Row],[EffAge]]*Lookups!$B$85</f>
        <v>-11598.371226000001</v>
      </c>
      <c r="AV1339" s="25">
        <f>Inventory[[#This Row],[MainFn]]*Lookups!$B$86</f>
        <v>90961.361243556996</v>
      </c>
      <c r="AW1339" s="25">
        <f>Inventory[[#This Row],[UpprFn]]*Lookups!$B$87</f>
        <v>0</v>
      </c>
      <c r="AX1339" s="25">
        <f>Inventory[[#This Row],[AddFn]]*Lookups!$B$88</f>
        <v>0</v>
      </c>
      <c r="AY1339" s="25">
        <f>Inventory[[#This Row],[Bsmt]]*Lookups!$B$89</f>
        <v>0</v>
      </c>
      <c r="AZ1339" s="25">
        <f>Inventory[[#This Row],[Fixtures]]*Lookups!$B$90</f>
        <v>34128.198946800003</v>
      </c>
      <c r="BA1339" s="25">
        <f>Inventory[[#This Row],[WdDeck]]*Lookups!$B$91</f>
        <v>0</v>
      </c>
      <c r="BB1339" s="25">
        <f>ROUND(Inventory[[#This Row],[25Det]],-2)</f>
        <v>0</v>
      </c>
      <c r="BC1339" s="25">
        <f>ROUND(SUM(Inventory[[#This Row],[Mdl Qlty]:[Mdl WdDeck]])+Inventory[[#This Row],[Mdl Res Intercept]],-2)</f>
        <v>355400</v>
      </c>
      <c r="BD1339" s="25">
        <f>ROUND(Inventory[[#This Row],[Mdl Land Intercept]]+Inventory[[#This Row],[Mdl LnAcres]],-2)</f>
        <v>60800</v>
      </c>
      <c r="BE1339" s="25">
        <f>Inventory[[#This Row],[Unadj Res Value]]+Inventory[[#This Row],[Unadj Det Value]]+Inventory[[#This Row],[Unadj Land Value]]</f>
        <v>416200</v>
      </c>
      <c r="BF1339" s="36">
        <f>(Inventory[[#This Row],[Unadj Total Value]]-Inventory[[#This Row],[24Final]])/Inventory[[#This Row],[24Final]]</f>
        <v>4.7044025157232702E-2</v>
      </c>
      <c r="BG1339" s="25">
        <f>VLOOKUP(Inventory[[#This Row],[Nbhd]],Lookups!$Q$2:$T$4,4,FALSE)</f>
        <v>0.99970000000000003</v>
      </c>
      <c r="BH1339" s="25">
        <f>VLOOKUP(Inventory[[#This Row],[Qlty]],Lookups!$O$7:$R$21,4,FALSE)</f>
        <v>0.98050000000000004</v>
      </c>
      <c r="BI1339" s="25">
        <f>VLOOKUP(Inventory[[#This Row],[Cnd]],Lookups!$T$7:$W$16,4,FALSE)</f>
        <v>0.99650000000000005</v>
      </c>
      <c r="BJ1339" s="25">
        <f>VLOOKUP(Inventory[[#This Row],[LivArea Range]],Lookups!$T$25:$W$37,4,FALSE)</f>
        <v>1.0093000000000001</v>
      </c>
      <c r="BK1339" s="25">
        <f>VLOOKUP(Inventory[[#This Row],[Decade]],Lookups!$O$25:$R$42,4,FALSE)</f>
        <v>0.98909999999999998</v>
      </c>
      <c r="BL1339" s="25">
        <f>Inventory[[#This Row],[Nbhd Adj]]*0.95</f>
        <v>0.94971499999999998</v>
      </c>
      <c r="BM1339" s="25">
        <f>Inventory[[#This Row],[Nbhd Adj]]*Inventory[[#This Row],[Quality Adj]]*Inventory[[#This Row],[Condition Adj]]*Inventory[[#This Row],[Living Area Adj]]*Inventory[[#This Row],[Decade Adj]]*0.95</f>
        <v>0.92635760994173622</v>
      </c>
      <c r="BN1339" s="25">
        <f>ROUND(SUM(Inventory[[#This Row],[Mdl Qlty]:[Mdl WdDeck]])+Inventory[[#This Row],[Mdl Res Intercept]]*Inventory[[#This Row],[Res Adj ]],-2)</f>
        <v>355400</v>
      </c>
      <c r="BO1339" s="25">
        <f>ROUND(Inventory[[#This Row],[25Det]]*Inventory[[#This Row],[Det/Nbhd Adj]],-2)</f>
        <v>0</v>
      </c>
      <c r="BP1339" s="25">
        <f>Inventory[[#This Row],[Adjusted Res]]+Inventory[[#This Row],[Adj Det ]]</f>
        <v>355400</v>
      </c>
      <c r="BQ1339" s="25">
        <f>ROUND((Inventory[[#This Row],[Mdl Land Intercept]]+Inventory[[#This Row],[Mdl LnAcres]])*Inventory[[#This Row],[Det/Nbhd Adj]],-2)</f>
        <v>57800</v>
      </c>
      <c r="BR1339" s="25">
        <f>Inventory[[#This Row],[Adjusted Impr Total]]+Inventory[[#This Row],[Adjusted Land Total]]</f>
        <v>413200</v>
      </c>
      <c r="BS1339" s="36">
        <f>IFERROR((Inventory[[#This Row],[Adjusted Impr Total]]-Inventory[[#This Row],[24Bldg]])/Inventory[[#This Row],[24Bldg]],0)</f>
        <v>0.12861225785963798</v>
      </c>
      <c r="BT1339" s="36">
        <f>(Inventory[[#This Row],[Adjusted Land Total]]-Inventory[[#This Row],[24Lnd]])/Inventory[[#This Row],[24Lnd]]</f>
        <v>-0.30024213075060535</v>
      </c>
      <c r="BU1339" s="36">
        <f>(Inventory[[#This Row],[Adjusted Total]]-Inventory[[#This Row],[24Final]])/Inventory[[#This Row],[24Final]]</f>
        <v>3.9496855345911949E-2</v>
      </c>
    </row>
    <row r="1340" spans="1:73" x14ac:dyDescent="0.3">
      <c r="A1340" s="25">
        <v>2025</v>
      </c>
      <c r="B1340" s="26" t="s">
        <v>894</v>
      </c>
      <c r="C1340" s="26">
        <f>LN(Inventory[[#This Row],[Acres]])</f>
        <v>-1.6094379124341003</v>
      </c>
      <c r="D1340" s="25">
        <v>0.2</v>
      </c>
      <c r="E1340" s="32">
        <v>8680</v>
      </c>
      <c r="F1340" s="26" t="s">
        <v>537</v>
      </c>
      <c r="G1340" s="26" t="s">
        <v>126</v>
      </c>
      <c r="H1340" s="26" t="s">
        <v>349</v>
      </c>
      <c r="I1340" s="26" t="s">
        <v>538</v>
      </c>
      <c r="J1340" s="26" t="s">
        <v>539</v>
      </c>
      <c r="K1340" s="26" t="s">
        <v>147</v>
      </c>
      <c r="L1340" s="26" t="s">
        <v>351</v>
      </c>
      <c r="M1340" s="26" t="s">
        <v>303</v>
      </c>
      <c r="N1340" s="26">
        <v>90</v>
      </c>
      <c r="O1340" s="26">
        <f>2024-Inventory[[#This Row],[YrBlt]]</f>
        <v>84</v>
      </c>
      <c r="P1340" s="26">
        <f>2024-Inventory[[#This Row],[EffYr]]</f>
        <v>52</v>
      </c>
      <c r="Q1340" s="25">
        <v>1940</v>
      </c>
      <c r="R1340" s="25">
        <v>1972</v>
      </c>
      <c r="S1340" s="25">
        <v>952</v>
      </c>
      <c r="T1340" s="25">
        <v>727</v>
      </c>
      <c r="U1340" s="25">
        <v>969</v>
      </c>
      <c r="V1340" s="25">
        <f>Inventory[[#This Row],[Bsmt]]-Inventory[[#This Row],[FnBsmt]]</f>
        <v>0</v>
      </c>
      <c r="W1340" s="25">
        <v>969</v>
      </c>
      <c r="X1340" s="27"/>
      <c r="Y1340" s="27">
        <f>Inventory[[#This Row],[MainFn]]+Inventory[[#This Row],[UpprFn]]+Inventory[[#This Row],[FnBsmt]]+Inventory[[#This Row],[AddFn]]</f>
        <v>2648</v>
      </c>
      <c r="Z1340" s="27">
        <v>3000</v>
      </c>
      <c r="AA1340" s="25">
        <v>8</v>
      </c>
      <c r="AB1340" s="27"/>
      <c r="AC1340" s="27"/>
      <c r="AD1340" s="27"/>
      <c r="AE1340" s="27"/>
      <c r="AF1340" s="27"/>
      <c r="AG1340" s="27"/>
      <c r="AH1340" s="27"/>
      <c r="AI1340" s="25">
        <v>351547</v>
      </c>
      <c r="AJ1340" s="25">
        <v>246083</v>
      </c>
      <c r="AK1340" s="25">
        <v>5073</v>
      </c>
      <c r="AL1340" s="25">
        <v>372800</v>
      </c>
      <c r="AM1340" s="25">
        <v>58400</v>
      </c>
      <c r="AN1340" s="25">
        <v>314400</v>
      </c>
      <c r="AO1340" s="25">
        <v>0</v>
      </c>
      <c r="AP1340" s="25">
        <f>Lookups!$B$56*0</f>
        <v>0</v>
      </c>
      <c r="AQ1340" s="25">
        <f>Lookups!$B$56*1</f>
        <v>89850.625589999996</v>
      </c>
      <c r="AR1340" s="25">
        <f>Lookups!$B$57*Inventory[[#This Row],[LnAcres]]</f>
        <v>-50946.13867709865</v>
      </c>
      <c r="AS1340" s="25">
        <f>VLOOKUP(Inventory[[#This Row],[Qlty]],Lookups!$A$62:$E$75,2,FALSE)</f>
        <v>21557.329055999999</v>
      </c>
      <c r="AT1340" s="25">
        <f>VLOOKUP(Inventory[[#This Row],[Cnd]],Lookups!$A$76:$E$84,2,FALSE)</f>
        <v>197752.34721000001</v>
      </c>
      <c r="AU1340" s="25">
        <f>Inventory[[#This Row],[EffAge]]*Lookups!$B$85</f>
        <v>-11598.371226000001</v>
      </c>
      <c r="AV1340" s="25">
        <f>Inventory[[#This Row],[MainFn]]*Lookups!$B$86</f>
        <v>47037.053722903998</v>
      </c>
      <c r="AW1340" s="25">
        <f>Inventory[[#This Row],[UpprFn]]*Lookups!$B$87</f>
        <v>32559.729419946998</v>
      </c>
      <c r="AX1340" s="25">
        <f>Inventory[[#This Row],[AddFn]]*Lookups!$B$88</f>
        <v>0</v>
      </c>
      <c r="AY1340" s="25">
        <f>Inventory[[#This Row],[Bsmt]]*Lookups!$B$89</f>
        <v>28180.356494342999</v>
      </c>
      <c r="AZ1340" s="25">
        <f>Inventory[[#This Row],[Fixtures]]*Lookups!$B$90</f>
        <v>30336.176841600001</v>
      </c>
      <c r="BA1340" s="25">
        <f>Inventory[[#This Row],[WdDeck]]*Lookups!$B$91</f>
        <v>0</v>
      </c>
      <c r="BB1340" s="25">
        <f>ROUND(Inventory[[#This Row],[25Det]],-2)</f>
        <v>5100</v>
      </c>
      <c r="BC1340" s="25">
        <f>ROUND(SUM(Inventory[[#This Row],[Mdl Qlty]:[Mdl WdDeck]])+Inventory[[#This Row],[Mdl Res Intercept]],-2)</f>
        <v>345800</v>
      </c>
      <c r="BD1340" s="25">
        <f>ROUND(Inventory[[#This Row],[Mdl Land Intercept]]+Inventory[[#This Row],[Mdl LnAcres]],-2)</f>
        <v>38900</v>
      </c>
      <c r="BE1340" s="25">
        <f>Inventory[[#This Row],[Unadj Res Value]]+Inventory[[#This Row],[Unadj Det Value]]+Inventory[[#This Row],[Unadj Land Value]]</f>
        <v>389800</v>
      </c>
      <c r="BF1340" s="36">
        <f>(Inventory[[#This Row],[Unadj Total Value]]-Inventory[[#This Row],[24Final]])/Inventory[[#This Row],[24Final]]</f>
        <v>4.5600858369098711E-2</v>
      </c>
      <c r="BG1340" s="25">
        <f>VLOOKUP(Inventory[[#This Row],[Nbhd]],Lookups!$Q$2:$T$4,4,FALSE)</f>
        <v>0.99970000000000003</v>
      </c>
      <c r="BH1340" s="25">
        <f>VLOOKUP(Inventory[[#This Row],[Qlty]],Lookups!$O$7:$R$21,4,FALSE)</f>
        <v>1.0067999999999999</v>
      </c>
      <c r="BI1340" s="25">
        <f>VLOOKUP(Inventory[[#This Row],[Cnd]],Lookups!$T$7:$W$16,4,FALSE)</f>
        <v>0.99650000000000005</v>
      </c>
      <c r="BJ1340" s="25">
        <f>VLOOKUP(Inventory[[#This Row],[LivArea Range]],Lookups!$T$25:$W$37,4,FALSE)</f>
        <v>0.96179999999999999</v>
      </c>
      <c r="BK1340" s="25">
        <f>VLOOKUP(Inventory[[#This Row],[Decade]],Lookups!$O$25:$R$42,4,FALSE)</f>
        <v>0.98909999999999998</v>
      </c>
      <c r="BL1340" s="25">
        <f>Inventory[[#This Row],[Nbhd Adj]]*0.95</f>
        <v>0.94971499999999998</v>
      </c>
      <c r="BM1340" s="25">
        <f>Inventory[[#This Row],[Nbhd Adj]]*Inventory[[#This Row],[Quality Adj]]*Inventory[[#This Row],[Condition Adj]]*Inventory[[#This Row],[Living Area Adj]]*Inventory[[#This Row],[Decade Adj]]*0.95</f>
        <v>0.90643941515937176</v>
      </c>
      <c r="BN1340" s="25">
        <f>ROUND(SUM(Inventory[[#This Row],[Mdl Qlty]:[Mdl WdDeck]])+Inventory[[#This Row],[Mdl Res Intercept]]*Inventory[[#This Row],[Res Adj ]],-2)</f>
        <v>345800</v>
      </c>
      <c r="BO1340" s="25">
        <f>ROUND(Inventory[[#This Row],[25Det]]*Inventory[[#This Row],[Det/Nbhd Adj]],-2)</f>
        <v>4800</v>
      </c>
      <c r="BP1340" s="25">
        <f>Inventory[[#This Row],[Adjusted Res]]+Inventory[[#This Row],[Adj Det ]]</f>
        <v>350600</v>
      </c>
      <c r="BQ1340" s="25">
        <f>ROUND((Inventory[[#This Row],[Mdl Land Intercept]]+Inventory[[#This Row],[Mdl LnAcres]])*Inventory[[#This Row],[Det/Nbhd Adj]],-2)</f>
        <v>36900</v>
      </c>
      <c r="BR1340" s="25">
        <f>Inventory[[#This Row],[Adjusted Impr Total]]+Inventory[[#This Row],[Adjusted Land Total]]</f>
        <v>387500</v>
      </c>
      <c r="BS1340" s="36">
        <f>IFERROR((Inventory[[#This Row],[Adjusted Impr Total]]-Inventory[[#This Row],[24Bldg]])/Inventory[[#This Row],[24Bldg]],0)</f>
        <v>0.11513994910941476</v>
      </c>
      <c r="BT1340" s="36">
        <f>(Inventory[[#This Row],[Adjusted Land Total]]-Inventory[[#This Row],[24Lnd]])/Inventory[[#This Row],[24Lnd]]</f>
        <v>-0.36815068493150682</v>
      </c>
      <c r="BU1340" s="36">
        <f>(Inventory[[#This Row],[Adjusted Total]]-Inventory[[#This Row],[24Final]])/Inventory[[#This Row],[24Final]]</f>
        <v>3.9431330472103003E-2</v>
      </c>
    </row>
    <row r="1341" spans="1:73" x14ac:dyDescent="0.3">
      <c r="A1341" s="25">
        <v>2025</v>
      </c>
      <c r="B1341" s="26" t="s">
        <v>2327</v>
      </c>
      <c r="C1341" s="26">
        <f>LN(Inventory[[#This Row],[Acres]])</f>
        <v>-1.5606477482646683</v>
      </c>
      <c r="D1341" s="25">
        <v>0.21</v>
      </c>
      <c r="E1341" s="27"/>
      <c r="F1341" s="26" t="s">
        <v>537</v>
      </c>
      <c r="G1341" s="26" t="s">
        <v>126</v>
      </c>
      <c r="H1341" s="26" t="s">
        <v>349</v>
      </c>
      <c r="I1341" s="26" t="s">
        <v>538</v>
      </c>
      <c r="J1341" s="26" t="s">
        <v>539</v>
      </c>
      <c r="K1341" s="26" t="s">
        <v>242</v>
      </c>
      <c r="L1341" s="26" t="s">
        <v>351</v>
      </c>
      <c r="M1341" s="26" t="s">
        <v>323</v>
      </c>
      <c r="N1341" s="26">
        <v>90</v>
      </c>
      <c r="O1341" s="26">
        <f>2024-Inventory[[#This Row],[YrBlt]]</f>
        <v>84</v>
      </c>
      <c r="P1341" s="26">
        <f>2024-Inventory[[#This Row],[EffYr]]</f>
        <v>52</v>
      </c>
      <c r="Q1341" s="25">
        <v>1940</v>
      </c>
      <c r="R1341" s="25">
        <v>1972</v>
      </c>
      <c r="S1341" s="25">
        <v>1008</v>
      </c>
      <c r="T1341" s="31"/>
      <c r="U1341" s="25">
        <v>998</v>
      </c>
      <c r="V1341" s="25">
        <f>Inventory[[#This Row],[Bsmt]]-Inventory[[#This Row],[FnBsmt]]</f>
        <v>398</v>
      </c>
      <c r="W1341" s="25">
        <v>600</v>
      </c>
      <c r="X1341" s="27"/>
      <c r="Y1341" s="27">
        <f>Inventory[[#This Row],[MainFn]]+Inventory[[#This Row],[UpprFn]]+Inventory[[#This Row],[FnBsmt]]+Inventory[[#This Row],[AddFn]]</f>
        <v>1608</v>
      </c>
      <c r="Z1341" s="27">
        <v>2000</v>
      </c>
      <c r="AA1341" s="25">
        <v>8</v>
      </c>
      <c r="AB1341" s="27"/>
      <c r="AC1341" s="27"/>
      <c r="AD1341" s="27"/>
      <c r="AE1341" s="27"/>
      <c r="AF1341" s="27"/>
      <c r="AG1341" s="27"/>
      <c r="AH1341" s="27"/>
      <c r="AI1341" s="25">
        <v>244069</v>
      </c>
      <c r="AJ1341" s="25">
        <v>165967</v>
      </c>
      <c r="AK1341" s="25">
        <v>5261</v>
      </c>
      <c r="AL1341" s="25">
        <v>311000</v>
      </c>
      <c r="AM1341" s="25">
        <v>60100</v>
      </c>
      <c r="AN1341" s="25">
        <v>250900</v>
      </c>
      <c r="AO1341" s="25">
        <v>0</v>
      </c>
      <c r="AP1341" s="25">
        <f>Lookups!$B$56*0</f>
        <v>0</v>
      </c>
      <c r="AQ1341" s="25">
        <f>Lookups!$B$56*1</f>
        <v>89850.625589999996</v>
      </c>
      <c r="AR1341" s="25">
        <f>Lookups!$B$57*Inventory[[#This Row],[LnAcres]]</f>
        <v>-49401.70477837498</v>
      </c>
      <c r="AS1341" s="25">
        <f>VLOOKUP(Inventory[[#This Row],[Qlty]],Lookups!$A$62:$E$75,2,FALSE)</f>
        <v>21557.329055999999</v>
      </c>
      <c r="AT1341" s="25">
        <f>VLOOKUP(Inventory[[#This Row],[Cnd]],Lookups!$A$76:$E$84,2,FALSE)</f>
        <v>160472.20319</v>
      </c>
      <c r="AU1341" s="25">
        <f>Inventory[[#This Row],[EffAge]]*Lookups!$B$85</f>
        <v>-11598.371226000001</v>
      </c>
      <c r="AV1341" s="25">
        <f>Inventory[[#This Row],[MainFn]]*Lookups!$B$86</f>
        <v>49803.939236015998</v>
      </c>
      <c r="AW1341" s="25">
        <f>Inventory[[#This Row],[UpprFn]]*Lookups!$B$87</f>
        <v>0</v>
      </c>
      <c r="AX1341" s="25">
        <f>Inventory[[#This Row],[AddFn]]*Lookups!$B$88</f>
        <v>0</v>
      </c>
      <c r="AY1341" s="25">
        <f>Inventory[[#This Row],[Bsmt]]*Lookups!$B$89</f>
        <v>29023.731456505997</v>
      </c>
      <c r="AZ1341" s="25">
        <f>Inventory[[#This Row],[Fixtures]]*Lookups!$B$90</f>
        <v>30336.176841600001</v>
      </c>
      <c r="BA1341" s="25">
        <f>Inventory[[#This Row],[WdDeck]]*Lookups!$B$91</f>
        <v>0</v>
      </c>
      <c r="BB1341" s="25">
        <f>ROUND(Inventory[[#This Row],[25Det]],-2)</f>
        <v>5300</v>
      </c>
      <c r="BC1341" s="25">
        <f>ROUND(SUM(Inventory[[#This Row],[Mdl Qlty]:[Mdl WdDeck]])+Inventory[[#This Row],[Mdl Res Intercept]],-2)</f>
        <v>279600</v>
      </c>
      <c r="BD1341" s="25">
        <f>ROUND(Inventory[[#This Row],[Mdl Land Intercept]]+Inventory[[#This Row],[Mdl LnAcres]],-2)</f>
        <v>40400</v>
      </c>
      <c r="BE1341" s="25">
        <f>Inventory[[#This Row],[Unadj Res Value]]+Inventory[[#This Row],[Unadj Det Value]]+Inventory[[#This Row],[Unadj Land Value]]</f>
        <v>325300</v>
      </c>
      <c r="BF1341" s="36">
        <f>(Inventory[[#This Row],[Unadj Total Value]]-Inventory[[#This Row],[24Final]])/Inventory[[#This Row],[24Final]]</f>
        <v>4.5980707395498394E-2</v>
      </c>
      <c r="BG1341" s="25">
        <f>VLOOKUP(Inventory[[#This Row],[Nbhd]],Lookups!$Q$2:$T$4,4,FALSE)</f>
        <v>0.99970000000000003</v>
      </c>
      <c r="BH1341" s="25">
        <f>VLOOKUP(Inventory[[#This Row],[Qlty]],Lookups!$O$7:$R$21,4,FALSE)</f>
        <v>1.0067999999999999</v>
      </c>
      <c r="BI1341" s="25">
        <f>VLOOKUP(Inventory[[#This Row],[Cnd]],Lookups!$T$7:$W$16,4,FALSE)</f>
        <v>0.99729999999999996</v>
      </c>
      <c r="BJ1341" s="25">
        <f>VLOOKUP(Inventory[[#This Row],[LivArea Range]],Lookups!$T$25:$W$37,4,FALSE)</f>
        <v>1.0093000000000001</v>
      </c>
      <c r="BK1341" s="25">
        <f>VLOOKUP(Inventory[[#This Row],[Decade]],Lookups!$O$25:$R$42,4,FALSE)</f>
        <v>0.98909999999999998</v>
      </c>
      <c r="BL1341" s="25">
        <f>Inventory[[#This Row],[Nbhd Adj]]*0.95</f>
        <v>0.94971499999999998</v>
      </c>
      <c r="BM1341" s="25">
        <f>Inventory[[#This Row],[Nbhd Adj]]*Inventory[[#This Row],[Quality Adj]]*Inventory[[#This Row],[Condition Adj]]*Inventory[[#This Row],[Living Area Adj]]*Inventory[[#This Row],[Decade Adj]]*0.95</f>
        <v>0.95196898294134369</v>
      </c>
      <c r="BN1341" s="25">
        <f>ROUND(SUM(Inventory[[#This Row],[Mdl Qlty]:[Mdl WdDeck]])+Inventory[[#This Row],[Mdl Res Intercept]]*Inventory[[#This Row],[Res Adj ]],-2)</f>
        <v>279600</v>
      </c>
      <c r="BO1341" s="25">
        <f>ROUND(Inventory[[#This Row],[25Det]]*Inventory[[#This Row],[Det/Nbhd Adj]],-2)</f>
        <v>5000</v>
      </c>
      <c r="BP1341" s="25">
        <f>Inventory[[#This Row],[Adjusted Res]]+Inventory[[#This Row],[Adj Det ]]</f>
        <v>284600</v>
      </c>
      <c r="BQ1341" s="25">
        <f>ROUND((Inventory[[#This Row],[Mdl Land Intercept]]+Inventory[[#This Row],[Mdl LnAcres]])*Inventory[[#This Row],[Det/Nbhd Adj]],-2)</f>
        <v>38400</v>
      </c>
      <c r="BR1341" s="25">
        <f>Inventory[[#This Row],[Adjusted Impr Total]]+Inventory[[#This Row],[Adjusted Land Total]]</f>
        <v>323000</v>
      </c>
      <c r="BS1341" s="36">
        <f>IFERROR((Inventory[[#This Row],[Adjusted Impr Total]]-Inventory[[#This Row],[24Bldg]])/Inventory[[#This Row],[24Bldg]],0)</f>
        <v>0.13431646074133122</v>
      </c>
      <c r="BT1341" s="36">
        <f>(Inventory[[#This Row],[Adjusted Land Total]]-Inventory[[#This Row],[24Lnd]])/Inventory[[#This Row],[24Lnd]]</f>
        <v>-0.36106489184692181</v>
      </c>
      <c r="BU1341" s="36">
        <f>(Inventory[[#This Row],[Adjusted Total]]-Inventory[[#This Row],[24Final]])/Inventory[[#This Row],[24Final]]</f>
        <v>3.8585209003215437E-2</v>
      </c>
    </row>
    <row r="1342" spans="1:73" x14ac:dyDescent="0.3">
      <c r="A1342" s="25">
        <v>2025</v>
      </c>
      <c r="B1342" s="26" t="s">
        <v>928</v>
      </c>
      <c r="C1342" s="26">
        <f>LN(Inventory[[#This Row],[Acres]])</f>
        <v>-2.120263536200091</v>
      </c>
      <c r="D1342" s="25">
        <v>0.12</v>
      </c>
      <c r="E1342" s="32">
        <v>5200</v>
      </c>
      <c r="F1342" s="26" t="s">
        <v>537</v>
      </c>
      <c r="G1342" s="26" t="s">
        <v>126</v>
      </c>
      <c r="H1342" s="26" t="s">
        <v>349</v>
      </c>
      <c r="I1342" s="26" t="s">
        <v>538</v>
      </c>
      <c r="J1342" s="26" t="s">
        <v>539</v>
      </c>
      <c r="K1342" s="26" t="s">
        <v>173</v>
      </c>
      <c r="L1342" s="26" t="s">
        <v>351</v>
      </c>
      <c r="M1342" s="26" t="s">
        <v>206</v>
      </c>
      <c r="N1342" s="26">
        <v>90</v>
      </c>
      <c r="O1342" s="26">
        <f>2024-Inventory[[#This Row],[YrBlt]]</f>
        <v>84</v>
      </c>
      <c r="P1342" s="26">
        <f>2024-Inventory[[#This Row],[EffYr]]</f>
        <v>52</v>
      </c>
      <c r="Q1342" s="25">
        <v>1940</v>
      </c>
      <c r="R1342" s="25">
        <v>1972</v>
      </c>
      <c r="S1342" s="25">
        <v>1219</v>
      </c>
      <c r="T1342" s="25">
        <v>1</v>
      </c>
      <c r="U1342" s="25">
        <v>1183</v>
      </c>
      <c r="V1342" s="25">
        <f>Inventory[[#This Row],[Bsmt]]-Inventory[[#This Row],[FnBsmt]]</f>
        <v>0</v>
      </c>
      <c r="W1342" s="25">
        <v>1183</v>
      </c>
      <c r="X1342" s="27"/>
      <c r="Y1342" s="27">
        <f>Inventory[[#This Row],[MainFn]]+Inventory[[#This Row],[UpprFn]]+Inventory[[#This Row],[FnBsmt]]+Inventory[[#This Row],[AddFn]]</f>
        <v>2403</v>
      </c>
      <c r="Z1342" s="27">
        <v>2500</v>
      </c>
      <c r="AA1342" s="25">
        <v>8</v>
      </c>
      <c r="AB1342" s="27"/>
      <c r="AC1342" s="27"/>
      <c r="AD1342" s="32">
        <v>96</v>
      </c>
      <c r="AE1342" s="27"/>
      <c r="AF1342" s="27"/>
      <c r="AG1342" s="27"/>
      <c r="AH1342" s="27"/>
      <c r="AI1342" s="25">
        <v>325278</v>
      </c>
      <c r="AJ1342" s="25">
        <v>214683</v>
      </c>
      <c r="AK1342" s="25">
        <v>0</v>
      </c>
      <c r="AL1342" s="25">
        <v>282600</v>
      </c>
      <c r="AM1342" s="25">
        <v>40600</v>
      </c>
      <c r="AN1342" s="25">
        <v>242000</v>
      </c>
      <c r="AO1342" s="25">
        <v>0</v>
      </c>
      <c r="AP1342" s="25">
        <f>Lookups!$B$56*0</f>
        <v>0</v>
      </c>
      <c r="AQ1342" s="25">
        <f>Lookups!$B$56*1</f>
        <v>89850.625589999996</v>
      </c>
      <c r="AR1342" s="25">
        <f>Lookups!$B$57*Inventory[[#This Row],[LnAcres]]</f>
        <v>-67116.12750806773</v>
      </c>
      <c r="AS1342" s="25">
        <f>VLOOKUP(Inventory[[#This Row],[Qlty]],Lookups!$A$62:$E$75,2,FALSE)</f>
        <v>21557.329055999999</v>
      </c>
      <c r="AT1342" s="25">
        <f>VLOOKUP(Inventory[[#This Row],[Cnd]],Lookups!$A$76:$E$84,2,FALSE)</f>
        <v>133714.53821</v>
      </c>
      <c r="AU1342" s="25">
        <f>Inventory[[#This Row],[EffAge]]*Lookups!$B$85</f>
        <v>-11598.371226000001</v>
      </c>
      <c r="AV1342" s="25">
        <f>Inventory[[#This Row],[MainFn]]*Lookups!$B$86</f>
        <v>60229.168580063</v>
      </c>
      <c r="AW1342" s="25">
        <f>Inventory[[#This Row],[UpprFn]]*Lookups!$B$87</f>
        <v>44.786422860999998</v>
      </c>
      <c r="AX1342" s="25">
        <f>Inventory[[#This Row],[AddFn]]*Lookups!$B$88</f>
        <v>0</v>
      </c>
      <c r="AY1342" s="25">
        <f>Inventory[[#This Row],[Bsmt]]*Lookups!$B$89</f>
        <v>34403.882077201</v>
      </c>
      <c r="AZ1342" s="25">
        <f>Inventory[[#This Row],[Fixtures]]*Lookups!$B$90</f>
        <v>30336.176841600001</v>
      </c>
      <c r="BA1342" s="25">
        <f>Inventory[[#This Row],[WdDeck]]*Lookups!$B$91</f>
        <v>3196.3694664960003</v>
      </c>
      <c r="BB1342" s="25">
        <f>ROUND(Inventory[[#This Row],[25Det]],-2)</f>
        <v>0</v>
      </c>
      <c r="BC1342" s="25">
        <f>ROUND(SUM(Inventory[[#This Row],[Mdl Qlty]:[Mdl WdDeck]])+Inventory[[#This Row],[Mdl Res Intercept]],-2)</f>
        <v>271900</v>
      </c>
      <c r="BD1342" s="25">
        <f>ROUND(Inventory[[#This Row],[Mdl Land Intercept]]+Inventory[[#This Row],[Mdl LnAcres]],-2)</f>
        <v>22700</v>
      </c>
      <c r="BE1342" s="25">
        <f>Inventory[[#This Row],[Unadj Res Value]]+Inventory[[#This Row],[Unadj Det Value]]+Inventory[[#This Row],[Unadj Land Value]]</f>
        <v>294600</v>
      </c>
      <c r="BF1342" s="36">
        <f>(Inventory[[#This Row],[Unadj Total Value]]-Inventory[[#This Row],[24Final]])/Inventory[[#This Row],[24Final]]</f>
        <v>4.2462845010615709E-2</v>
      </c>
      <c r="BG1342" s="25">
        <f>VLOOKUP(Inventory[[#This Row],[Nbhd]],Lookups!$Q$2:$T$4,4,FALSE)</f>
        <v>0.99970000000000003</v>
      </c>
      <c r="BH1342" s="25">
        <f>VLOOKUP(Inventory[[#This Row],[Qlty]],Lookups!$O$7:$R$21,4,FALSE)</f>
        <v>1.0067999999999999</v>
      </c>
      <c r="BI1342" s="25">
        <f>VLOOKUP(Inventory[[#This Row],[Cnd]],Lookups!$T$7:$W$16,4,FALSE)</f>
        <v>0.99329999999999996</v>
      </c>
      <c r="BJ1342" s="25">
        <f>VLOOKUP(Inventory[[#This Row],[LivArea Range]],Lookups!$T$25:$W$37,4,FALSE)</f>
        <v>0.98919999999999997</v>
      </c>
      <c r="BK1342" s="25">
        <f>VLOOKUP(Inventory[[#This Row],[Decade]],Lookups!$O$25:$R$42,4,FALSE)</f>
        <v>0.98909999999999998</v>
      </c>
      <c r="BL1342" s="25">
        <f>Inventory[[#This Row],[Nbhd Adj]]*0.95</f>
        <v>0.94971499999999998</v>
      </c>
      <c r="BM1342" s="25">
        <f>Inventory[[#This Row],[Nbhd Adj]]*Inventory[[#This Row],[Quality Adj]]*Inventory[[#This Row],[Condition Adj]]*Inventory[[#This Row],[Living Area Adj]]*Inventory[[#This Row],[Decade Adj]]*0.95</f>
        <v>0.92926857157690035</v>
      </c>
      <c r="BN1342" s="25">
        <f>ROUND(SUM(Inventory[[#This Row],[Mdl Qlty]:[Mdl WdDeck]])+Inventory[[#This Row],[Mdl Res Intercept]]*Inventory[[#This Row],[Res Adj ]],-2)</f>
        <v>271900</v>
      </c>
      <c r="BO1342" s="25">
        <f>ROUND(Inventory[[#This Row],[25Det]]*Inventory[[#This Row],[Det/Nbhd Adj]],-2)</f>
        <v>0</v>
      </c>
      <c r="BP1342" s="25">
        <f>Inventory[[#This Row],[Adjusted Res]]+Inventory[[#This Row],[Adj Det ]]</f>
        <v>271900</v>
      </c>
      <c r="BQ1342" s="25">
        <f>ROUND((Inventory[[#This Row],[Mdl Land Intercept]]+Inventory[[#This Row],[Mdl LnAcres]])*Inventory[[#This Row],[Det/Nbhd Adj]],-2)</f>
        <v>21600</v>
      </c>
      <c r="BR1342" s="25">
        <f>Inventory[[#This Row],[Adjusted Impr Total]]+Inventory[[#This Row],[Adjusted Land Total]]</f>
        <v>293500</v>
      </c>
      <c r="BS1342" s="36">
        <f>IFERROR((Inventory[[#This Row],[Adjusted Impr Total]]-Inventory[[#This Row],[24Bldg]])/Inventory[[#This Row],[24Bldg]],0)</f>
        <v>0.12355371900826446</v>
      </c>
      <c r="BT1342" s="36">
        <f>(Inventory[[#This Row],[Adjusted Land Total]]-Inventory[[#This Row],[24Lnd]])/Inventory[[#This Row],[24Lnd]]</f>
        <v>-0.46798029556650245</v>
      </c>
      <c r="BU1342" s="36">
        <f>(Inventory[[#This Row],[Adjusted Total]]-Inventory[[#This Row],[24Final]])/Inventory[[#This Row],[24Final]]</f>
        <v>3.8570417551309272E-2</v>
      </c>
    </row>
    <row r="1343" spans="1:73" x14ac:dyDescent="0.3">
      <c r="A1343" s="25">
        <v>2025</v>
      </c>
      <c r="B1343" s="26" t="s">
        <v>1804</v>
      </c>
      <c r="C1343" s="26">
        <f>LN(Inventory[[#This Row],[Acres]])</f>
        <v>-1.4696759700589417</v>
      </c>
      <c r="D1343" s="25">
        <v>0.23</v>
      </c>
      <c r="E1343" s="32">
        <v>10119</v>
      </c>
      <c r="F1343" s="26" t="s">
        <v>537</v>
      </c>
      <c r="G1343" s="26" t="s">
        <v>126</v>
      </c>
      <c r="H1343" s="26" t="s">
        <v>349</v>
      </c>
      <c r="I1343" s="26" t="s">
        <v>538</v>
      </c>
      <c r="J1343" s="26" t="s">
        <v>539</v>
      </c>
      <c r="K1343" s="26" t="s">
        <v>242</v>
      </c>
      <c r="L1343" s="26" t="s">
        <v>351</v>
      </c>
      <c r="M1343" s="26" t="s">
        <v>323</v>
      </c>
      <c r="N1343" s="26">
        <v>90</v>
      </c>
      <c r="O1343" s="26">
        <f>2024-Inventory[[#This Row],[YrBlt]]</f>
        <v>84</v>
      </c>
      <c r="P1343" s="26">
        <f>2024-Inventory[[#This Row],[EffYr]]</f>
        <v>52</v>
      </c>
      <c r="Q1343" s="25">
        <v>1940</v>
      </c>
      <c r="R1343" s="25">
        <v>1972</v>
      </c>
      <c r="S1343" s="25">
        <v>1074</v>
      </c>
      <c r="T1343" s="27"/>
      <c r="U1343" s="32">
        <v>1074</v>
      </c>
      <c r="V1343" s="32">
        <f>Inventory[[#This Row],[Bsmt]]-Inventory[[#This Row],[FnBsmt]]</f>
        <v>514</v>
      </c>
      <c r="W1343" s="32">
        <v>560</v>
      </c>
      <c r="X1343" s="27"/>
      <c r="Y1343" s="27">
        <f>Inventory[[#This Row],[MainFn]]+Inventory[[#This Row],[UpprFn]]+Inventory[[#This Row],[FnBsmt]]+Inventory[[#This Row],[AddFn]]</f>
        <v>1634</v>
      </c>
      <c r="Z1343" s="27">
        <v>2000</v>
      </c>
      <c r="AA1343" s="25">
        <v>8</v>
      </c>
      <c r="AB1343" s="27"/>
      <c r="AC1343" s="27"/>
      <c r="AD1343" s="31"/>
      <c r="AE1343" s="27"/>
      <c r="AF1343" s="27"/>
      <c r="AG1343" s="27"/>
      <c r="AH1343" s="27"/>
      <c r="AI1343" s="25">
        <v>256489</v>
      </c>
      <c r="AJ1343" s="25">
        <v>174413</v>
      </c>
      <c r="AK1343" s="25">
        <v>10026</v>
      </c>
      <c r="AL1343" s="25">
        <v>323300</v>
      </c>
      <c r="AM1343" s="25">
        <v>63300</v>
      </c>
      <c r="AN1343" s="25">
        <v>260000</v>
      </c>
      <c r="AO1343" s="25">
        <v>0</v>
      </c>
      <c r="AP1343" s="25">
        <f>Lookups!$B$56*0</f>
        <v>0</v>
      </c>
      <c r="AQ1343" s="25">
        <f>Lookups!$B$56*1</f>
        <v>89850.625589999996</v>
      </c>
      <c r="AR1343" s="25">
        <f>Lookups!$B$57*Inventory[[#This Row],[LnAcres]]</f>
        <v>-46522.028095997222</v>
      </c>
      <c r="AS1343" s="25">
        <f>VLOOKUP(Inventory[[#This Row],[Qlty]],Lookups!$A$62:$E$75,2,FALSE)</f>
        <v>21557.329055999999</v>
      </c>
      <c r="AT1343" s="25">
        <f>VLOOKUP(Inventory[[#This Row],[Cnd]],Lookups!$A$76:$E$84,2,FALSE)</f>
        <v>160472.20319</v>
      </c>
      <c r="AU1343" s="25">
        <f>Inventory[[#This Row],[EffAge]]*Lookups!$B$85</f>
        <v>-11598.371226000001</v>
      </c>
      <c r="AV1343" s="25">
        <f>Inventory[[#This Row],[MainFn]]*Lookups!$B$86</f>
        <v>53064.911447898005</v>
      </c>
      <c r="AW1343" s="25">
        <f>Inventory[[#This Row],[UpprFn]]*Lookups!$B$87</f>
        <v>0</v>
      </c>
      <c r="AX1343" s="25">
        <f>Inventory[[#This Row],[AddFn]]*Lookups!$B$88</f>
        <v>0</v>
      </c>
      <c r="AY1343" s="25">
        <f>Inventory[[#This Row],[Bsmt]]*Lookups!$B$89</f>
        <v>31233.955495277998</v>
      </c>
      <c r="AZ1343" s="25">
        <f>Inventory[[#This Row],[Fixtures]]*Lookups!$B$90</f>
        <v>30336.176841600001</v>
      </c>
      <c r="BA1343" s="25">
        <f>Inventory[[#This Row],[WdDeck]]*Lookups!$B$91</f>
        <v>0</v>
      </c>
      <c r="BB1343" s="25">
        <f>ROUND(Inventory[[#This Row],[25Det]],-2)</f>
        <v>10000</v>
      </c>
      <c r="BC1343" s="25">
        <f>ROUND(SUM(Inventory[[#This Row],[Mdl Qlty]:[Mdl WdDeck]])+Inventory[[#This Row],[Mdl Res Intercept]],-2)</f>
        <v>285100</v>
      </c>
      <c r="BD1343" s="25">
        <f>ROUND(Inventory[[#This Row],[Mdl Land Intercept]]+Inventory[[#This Row],[Mdl LnAcres]],-2)</f>
        <v>43300</v>
      </c>
      <c r="BE1343" s="25">
        <f>Inventory[[#This Row],[Unadj Res Value]]+Inventory[[#This Row],[Unadj Det Value]]+Inventory[[#This Row],[Unadj Land Value]]</f>
        <v>338400</v>
      </c>
      <c r="BF1343" s="36">
        <f>(Inventory[[#This Row],[Unadj Total Value]]-Inventory[[#This Row],[24Final]])/Inventory[[#This Row],[24Final]]</f>
        <v>4.6705845963501393E-2</v>
      </c>
      <c r="BG1343" s="25">
        <f>VLOOKUP(Inventory[[#This Row],[Nbhd]],Lookups!$Q$2:$T$4,4,FALSE)</f>
        <v>0.99970000000000003</v>
      </c>
      <c r="BH1343" s="25">
        <f>VLOOKUP(Inventory[[#This Row],[Qlty]],Lookups!$O$7:$R$21,4,FALSE)</f>
        <v>1.0067999999999999</v>
      </c>
      <c r="BI1343" s="25">
        <f>VLOOKUP(Inventory[[#This Row],[Cnd]],Lookups!$T$7:$W$16,4,FALSE)</f>
        <v>0.99729999999999996</v>
      </c>
      <c r="BJ1343" s="25">
        <f>VLOOKUP(Inventory[[#This Row],[LivArea Range]],Lookups!$T$25:$W$37,4,FALSE)</f>
        <v>1.0093000000000001</v>
      </c>
      <c r="BK1343" s="25">
        <f>VLOOKUP(Inventory[[#This Row],[Decade]],Lookups!$O$25:$R$42,4,FALSE)</f>
        <v>0.98909999999999998</v>
      </c>
      <c r="BL1343" s="25">
        <f>Inventory[[#This Row],[Nbhd Adj]]*0.95</f>
        <v>0.94971499999999998</v>
      </c>
      <c r="BM1343" s="25">
        <f>Inventory[[#This Row],[Nbhd Adj]]*Inventory[[#This Row],[Quality Adj]]*Inventory[[#This Row],[Condition Adj]]*Inventory[[#This Row],[Living Area Adj]]*Inventory[[#This Row],[Decade Adj]]*0.95</f>
        <v>0.95196898294134369</v>
      </c>
      <c r="BN1343" s="25">
        <f>ROUND(SUM(Inventory[[#This Row],[Mdl Qlty]:[Mdl WdDeck]])+Inventory[[#This Row],[Mdl Res Intercept]]*Inventory[[#This Row],[Res Adj ]],-2)</f>
        <v>285100</v>
      </c>
      <c r="BO1343" s="25">
        <f>ROUND(Inventory[[#This Row],[25Det]]*Inventory[[#This Row],[Det/Nbhd Adj]],-2)</f>
        <v>9500</v>
      </c>
      <c r="BP1343" s="25">
        <f>Inventory[[#This Row],[Adjusted Res]]+Inventory[[#This Row],[Adj Det ]]</f>
        <v>294600</v>
      </c>
      <c r="BQ1343" s="25">
        <f>ROUND((Inventory[[#This Row],[Mdl Land Intercept]]+Inventory[[#This Row],[Mdl LnAcres]])*Inventory[[#This Row],[Det/Nbhd Adj]],-2)</f>
        <v>41100</v>
      </c>
      <c r="BR1343" s="25">
        <f>Inventory[[#This Row],[Adjusted Impr Total]]+Inventory[[#This Row],[Adjusted Land Total]]</f>
        <v>335700</v>
      </c>
      <c r="BS1343" s="36">
        <f>IFERROR((Inventory[[#This Row],[Adjusted Impr Total]]-Inventory[[#This Row],[24Bldg]])/Inventory[[#This Row],[24Bldg]],0)</f>
        <v>0.13307692307692306</v>
      </c>
      <c r="BT1343" s="36">
        <f>(Inventory[[#This Row],[Adjusted Land Total]]-Inventory[[#This Row],[24Lnd]])/Inventory[[#This Row],[24Lnd]]</f>
        <v>-0.35071090047393366</v>
      </c>
      <c r="BU1343" s="36">
        <f>(Inventory[[#This Row],[Adjusted Total]]-Inventory[[#This Row],[24Final]])/Inventory[[#This Row],[24Final]]</f>
        <v>3.835446953294154E-2</v>
      </c>
    </row>
    <row r="1344" spans="1:73" x14ac:dyDescent="0.3">
      <c r="A1344" s="25">
        <v>2025</v>
      </c>
      <c r="B1344" s="26" t="s">
        <v>1454</v>
      </c>
      <c r="C1344" s="26">
        <f>LN(Inventory[[#This Row],[Acres]])</f>
        <v>-2.0402208285265546</v>
      </c>
      <c r="D1344" s="25">
        <v>0.13</v>
      </c>
      <c r="E1344" s="32">
        <v>5575</v>
      </c>
      <c r="F1344" s="26" t="s">
        <v>537</v>
      </c>
      <c r="G1344" s="26" t="s">
        <v>126</v>
      </c>
      <c r="H1344" s="26" t="s">
        <v>349</v>
      </c>
      <c r="I1344" s="26" t="s">
        <v>538</v>
      </c>
      <c r="J1344" s="26" t="s">
        <v>539</v>
      </c>
      <c r="K1344" s="26" t="s">
        <v>242</v>
      </c>
      <c r="L1344" s="26" t="s">
        <v>351</v>
      </c>
      <c r="M1344" s="26" t="s">
        <v>323</v>
      </c>
      <c r="N1344" s="26">
        <v>90</v>
      </c>
      <c r="O1344" s="26">
        <f>2024-Inventory[[#This Row],[YrBlt]]</f>
        <v>84</v>
      </c>
      <c r="P1344" s="26">
        <f>2024-Inventory[[#This Row],[EffYr]]</f>
        <v>52</v>
      </c>
      <c r="Q1344" s="25">
        <v>1940</v>
      </c>
      <c r="R1344" s="25">
        <v>1972</v>
      </c>
      <c r="S1344" s="25">
        <v>840</v>
      </c>
      <c r="T1344" s="27"/>
      <c r="U1344" s="32">
        <v>840</v>
      </c>
      <c r="V1344" s="32">
        <f>Inventory[[#This Row],[Bsmt]]-Inventory[[#This Row],[FnBsmt]]</f>
        <v>51</v>
      </c>
      <c r="W1344" s="32">
        <v>789</v>
      </c>
      <c r="X1344" s="27"/>
      <c r="Y1344" s="27">
        <f>Inventory[[#This Row],[MainFn]]+Inventory[[#This Row],[UpprFn]]+Inventory[[#This Row],[FnBsmt]]+Inventory[[#This Row],[AddFn]]</f>
        <v>1629</v>
      </c>
      <c r="Z1344" s="27">
        <v>2000</v>
      </c>
      <c r="AA1344" s="25">
        <v>9</v>
      </c>
      <c r="AB1344" s="31"/>
      <c r="AC1344" s="27"/>
      <c r="AD1344" s="27"/>
      <c r="AE1344" s="27"/>
      <c r="AF1344" s="27"/>
      <c r="AG1344" s="27"/>
      <c r="AH1344" s="27"/>
      <c r="AI1344" s="25">
        <v>215728</v>
      </c>
      <c r="AJ1344" s="25">
        <v>146695</v>
      </c>
      <c r="AK1344" s="25">
        <v>19310</v>
      </c>
      <c r="AL1344" s="25">
        <v>301400</v>
      </c>
      <c r="AM1344" s="25">
        <v>43400</v>
      </c>
      <c r="AN1344" s="25">
        <v>258000</v>
      </c>
      <c r="AO1344" s="25">
        <v>0</v>
      </c>
      <c r="AP1344" s="25">
        <f>Lookups!$B$56*0</f>
        <v>0</v>
      </c>
      <c r="AQ1344" s="25">
        <f>Lookups!$B$56*1</f>
        <v>89850.625589999996</v>
      </c>
      <c r="AR1344" s="25">
        <f>Lookups!$B$57*Inventory[[#This Row],[LnAcres]]</f>
        <v>-64582.406353792743</v>
      </c>
      <c r="AS1344" s="25">
        <f>VLOOKUP(Inventory[[#This Row],[Qlty]],Lookups!$A$62:$E$75,2,FALSE)</f>
        <v>21557.329055999999</v>
      </c>
      <c r="AT1344" s="25">
        <f>VLOOKUP(Inventory[[#This Row],[Cnd]],Lookups!$A$76:$E$84,2,FALSE)</f>
        <v>160472.20319</v>
      </c>
      <c r="AU1344" s="25">
        <f>Inventory[[#This Row],[EffAge]]*Lookups!$B$85</f>
        <v>-11598.371226000001</v>
      </c>
      <c r="AV1344" s="25">
        <f>Inventory[[#This Row],[MainFn]]*Lookups!$B$86</f>
        <v>41503.282696679998</v>
      </c>
      <c r="AW1344" s="25">
        <f>Inventory[[#This Row],[UpprFn]]*Lookups!$B$87</f>
        <v>0</v>
      </c>
      <c r="AX1344" s="25">
        <f>Inventory[[#This Row],[AddFn]]*Lookups!$B$88</f>
        <v>0</v>
      </c>
      <c r="AY1344" s="25">
        <f>Inventory[[#This Row],[Bsmt]]*Lookups!$B$89</f>
        <v>24428.792007479999</v>
      </c>
      <c r="AZ1344" s="25">
        <f>Inventory[[#This Row],[Fixtures]]*Lookups!$B$90</f>
        <v>34128.198946800003</v>
      </c>
      <c r="BA1344" s="25">
        <f>Inventory[[#This Row],[WdDeck]]*Lookups!$B$91</f>
        <v>0</v>
      </c>
      <c r="BB1344" s="25">
        <f>ROUND(Inventory[[#This Row],[25Det]],-2)</f>
        <v>19300</v>
      </c>
      <c r="BC1344" s="25">
        <f>ROUND(SUM(Inventory[[#This Row],[Mdl Qlty]:[Mdl WdDeck]])+Inventory[[#This Row],[Mdl Res Intercept]],-2)</f>
        <v>270500</v>
      </c>
      <c r="BD1344" s="25">
        <f>ROUND(Inventory[[#This Row],[Mdl Land Intercept]]+Inventory[[#This Row],[Mdl LnAcres]],-2)</f>
        <v>25300</v>
      </c>
      <c r="BE1344" s="25">
        <f>Inventory[[#This Row],[Unadj Res Value]]+Inventory[[#This Row],[Unadj Det Value]]+Inventory[[#This Row],[Unadj Land Value]]</f>
        <v>315100</v>
      </c>
      <c r="BF1344" s="36">
        <f>(Inventory[[#This Row],[Unadj Total Value]]-Inventory[[#This Row],[24Final]])/Inventory[[#This Row],[24Final]]</f>
        <v>4.5454545454545456E-2</v>
      </c>
      <c r="BG1344" s="25">
        <f>VLOOKUP(Inventory[[#This Row],[Nbhd]],Lookups!$Q$2:$T$4,4,FALSE)</f>
        <v>0.99970000000000003</v>
      </c>
      <c r="BH1344" s="25">
        <f>VLOOKUP(Inventory[[#This Row],[Qlty]],Lookups!$O$7:$R$21,4,FALSE)</f>
        <v>1.0067999999999999</v>
      </c>
      <c r="BI1344" s="25">
        <f>VLOOKUP(Inventory[[#This Row],[Cnd]],Lookups!$T$7:$W$16,4,FALSE)</f>
        <v>0.99729999999999996</v>
      </c>
      <c r="BJ1344" s="25">
        <f>VLOOKUP(Inventory[[#This Row],[LivArea Range]],Lookups!$T$25:$W$37,4,FALSE)</f>
        <v>1.0093000000000001</v>
      </c>
      <c r="BK1344" s="25">
        <f>VLOOKUP(Inventory[[#This Row],[Decade]],Lookups!$O$25:$R$42,4,FALSE)</f>
        <v>0.98909999999999998</v>
      </c>
      <c r="BL1344" s="25">
        <f>Inventory[[#This Row],[Nbhd Adj]]*0.95</f>
        <v>0.94971499999999998</v>
      </c>
      <c r="BM1344" s="25">
        <f>Inventory[[#This Row],[Nbhd Adj]]*Inventory[[#This Row],[Quality Adj]]*Inventory[[#This Row],[Condition Adj]]*Inventory[[#This Row],[Living Area Adj]]*Inventory[[#This Row],[Decade Adj]]*0.95</f>
        <v>0.95196898294134369</v>
      </c>
      <c r="BN1344" s="25">
        <f>ROUND(SUM(Inventory[[#This Row],[Mdl Qlty]:[Mdl WdDeck]])+Inventory[[#This Row],[Mdl Res Intercept]]*Inventory[[#This Row],[Res Adj ]],-2)</f>
        <v>270500</v>
      </c>
      <c r="BO1344" s="25">
        <f>ROUND(Inventory[[#This Row],[25Det]]*Inventory[[#This Row],[Det/Nbhd Adj]],-2)</f>
        <v>18300</v>
      </c>
      <c r="BP1344" s="25">
        <f>Inventory[[#This Row],[Adjusted Res]]+Inventory[[#This Row],[Adj Det ]]</f>
        <v>288800</v>
      </c>
      <c r="BQ1344" s="25">
        <f>ROUND((Inventory[[#This Row],[Mdl Land Intercept]]+Inventory[[#This Row],[Mdl LnAcres]])*Inventory[[#This Row],[Det/Nbhd Adj]],-2)</f>
        <v>24000</v>
      </c>
      <c r="BR1344" s="25">
        <f>Inventory[[#This Row],[Adjusted Impr Total]]+Inventory[[#This Row],[Adjusted Land Total]]</f>
        <v>312800</v>
      </c>
      <c r="BS1344" s="36">
        <f>IFERROR((Inventory[[#This Row],[Adjusted Impr Total]]-Inventory[[#This Row],[24Bldg]])/Inventory[[#This Row],[24Bldg]],0)</f>
        <v>0.11937984496124031</v>
      </c>
      <c r="BT1344" s="36">
        <f>(Inventory[[#This Row],[Adjusted Land Total]]-Inventory[[#This Row],[24Lnd]])/Inventory[[#This Row],[24Lnd]]</f>
        <v>-0.44700460829493088</v>
      </c>
      <c r="BU1344" s="36">
        <f>(Inventory[[#This Row],[Adjusted Total]]-Inventory[[#This Row],[24Final]])/Inventory[[#This Row],[24Final]]</f>
        <v>3.7823490378234903E-2</v>
      </c>
    </row>
    <row r="1345" spans="1:73" x14ac:dyDescent="0.3">
      <c r="A1345" s="25">
        <v>2025</v>
      </c>
      <c r="B1345" s="26" t="s">
        <v>2646</v>
      </c>
      <c r="C1345" s="26">
        <f>LN(Inventory[[#This Row],[Acres]])</f>
        <v>-1.9661128563728327</v>
      </c>
      <c r="D1345" s="25">
        <v>0.14000000000000001</v>
      </c>
      <c r="E1345" s="32">
        <v>5883</v>
      </c>
      <c r="F1345" s="26" t="s">
        <v>537</v>
      </c>
      <c r="G1345" s="26" t="s">
        <v>126</v>
      </c>
      <c r="H1345" s="26" t="s">
        <v>349</v>
      </c>
      <c r="I1345" s="26" t="s">
        <v>538</v>
      </c>
      <c r="J1345" s="26" t="s">
        <v>539</v>
      </c>
      <c r="K1345" s="26" t="s">
        <v>242</v>
      </c>
      <c r="L1345" s="26" t="s">
        <v>205</v>
      </c>
      <c r="M1345" s="26" t="s">
        <v>323</v>
      </c>
      <c r="N1345" s="26">
        <v>90</v>
      </c>
      <c r="O1345" s="26">
        <f>2024-Inventory[[#This Row],[YrBlt]]</f>
        <v>84</v>
      </c>
      <c r="P1345" s="26">
        <f>2024-Inventory[[#This Row],[EffYr]]</f>
        <v>52</v>
      </c>
      <c r="Q1345" s="25">
        <v>1940</v>
      </c>
      <c r="R1345" s="25">
        <v>1972</v>
      </c>
      <c r="S1345" s="25">
        <v>792</v>
      </c>
      <c r="T1345" s="31"/>
      <c r="U1345" s="31"/>
      <c r="V1345" s="31">
        <f>Inventory[[#This Row],[Bsmt]]-Inventory[[#This Row],[FnBsmt]]</f>
        <v>0</v>
      </c>
      <c r="W1345" s="31"/>
      <c r="X1345" s="27"/>
      <c r="Y1345" s="27">
        <f>Inventory[[#This Row],[MainFn]]+Inventory[[#This Row],[UpprFn]]+Inventory[[#This Row],[FnBsmt]]+Inventory[[#This Row],[AddFn]]</f>
        <v>792</v>
      </c>
      <c r="Z1345" s="27">
        <v>1000</v>
      </c>
      <c r="AA1345" s="25">
        <v>5</v>
      </c>
      <c r="AB1345" s="27"/>
      <c r="AC1345" s="27"/>
      <c r="AD1345" s="27"/>
      <c r="AE1345" s="27"/>
      <c r="AF1345" s="27"/>
      <c r="AG1345" s="27"/>
      <c r="AH1345" s="27"/>
      <c r="AI1345" s="25">
        <v>122100</v>
      </c>
      <c r="AJ1345" s="25">
        <v>83028</v>
      </c>
      <c r="AK1345" s="25">
        <v>6178</v>
      </c>
      <c r="AL1345" s="25">
        <v>230500</v>
      </c>
      <c r="AM1345" s="25">
        <v>46000</v>
      </c>
      <c r="AN1345" s="25">
        <v>184500</v>
      </c>
      <c r="AO1345" s="25">
        <v>0</v>
      </c>
      <c r="AP1345" s="25">
        <f>Lookups!$B$56*0</f>
        <v>0</v>
      </c>
      <c r="AQ1345" s="25">
        <f>Lookups!$B$56*1</f>
        <v>89850.625589999996</v>
      </c>
      <c r="AR1345" s="25">
        <f>Lookups!$B$57*Inventory[[#This Row],[LnAcres]]</f>
        <v>-62236.546971921947</v>
      </c>
      <c r="AS1345" s="25">
        <f>VLOOKUP(Inventory[[#This Row],[Qlty]],Lookups!$A$62:$E$75,2,FALSE)</f>
        <v>0</v>
      </c>
      <c r="AT1345" s="25">
        <f>VLOOKUP(Inventory[[#This Row],[Cnd]],Lookups!$A$76:$E$84,2,FALSE)</f>
        <v>160472.20319</v>
      </c>
      <c r="AU1345" s="25">
        <f>Inventory[[#This Row],[EffAge]]*Lookups!$B$85</f>
        <v>-11598.371226000001</v>
      </c>
      <c r="AV1345" s="25">
        <f>Inventory[[#This Row],[MainFn]]*Lookups!$B$86</f>
        <v>39131.666542584004</v>
      </c>
      <c r="AW1345" s="25">
        <f>Inventory[[#This Row],[UpprFn]]*Lookups!$B$87</f>
        <v>0</v>
      </c>
      <c r="AX1345" s="25">
        <f>Inventory[[#This Row],[AddFn]]*Lookups!$B$88</f>
        <v>0</v>
      </c>
      <c r="AY1345" s="25">
        <f>Inventory[[#This Row],[Bsmt]]*Lookups!$B$89</f>
        <v>0</v>
      </c>
      <c r="AZ1345" s="25">
        <f>Inventory[[#This Row],[Fixtures]]*Lookups!$B$90</f>
        <v>18960.110526</v>
      </c>
      <c r="BA1345" s="25">
        <f>Inventory[[#This Row],[WdDeck]]*Lookups!$B$91</f>
        <v>0</v>
      </c>
      <c r="BB1345" s="25">
        <f>ROUND(Inventory[[#This Row],[25Det]],-2)</f>
        <v>6200</v>
      </c>
      <c r="BC1345" s="25">
        <f>ROUND(SUM(Inventory[[#This Row],[Mdl Qlty]:[Mdl WdDeck]])+Inventory[[#This Row],[Mdl Res Intercept]],-2)</f>
        <v>207000</v>
      </c>
      <c r="BD1345" s="25">
        <f>ROUND(Inventory[[#This Row],[Mdl Land Intercept]]+Inventory[[#This Row],[Mdl LnAcres]],-2)</f>
        <v>27600</v>
      </c>
      <c r="BE1345" s="25">
        <f>Inventory[[#This Row],[Unadj Res Value]]+Inventory[[#This Row],[Unadj Det Value]]+Inventory[[#This Row],[Unadj Land Value]]</f>
        <v>240800</v>
      </c>
      <c r="BF1345" s="36">
        <f>(Inventory[[#This Row],[Unadj Total Value]]-Inventory[[#This Row],[24Final]])/Inventory[[#This Row],[24Final]]</f>
        <v>4.468546637744035E-2</v>
      </c>
      <c r="BG1345" s="25">
        <f>VLOOKUP(Inventory[[#This Row],[Nbhd]],Lookups!$Q$2:$T$4,4,FALSE)</f>
        <v>0.99970000000000003</v>
      </c>
      <c r="BH1345" s="25">
        <f>VLOOKUP(Inventory[[#This Row],[Qlty]],Lookups!$O$7:$R$21,4,FALSE)</f>
        <v>0.99180000000000001</v>
      </c>
      <c r="BI1345" s="25">
        <f>VLOOKUP(Inventory[[#This Row],[Cnd]],Lookups!$T$7:$W$16,4,FALSE)</f>
        <v>0.99729999999999996</v>
      </c>
      <c r="BJ1345" s="25">
        <f>VLOOKUP(Inventory[[#This Row],[LivArea Range]],Lookups!$T$25:$W$37,4,FALSE)</f>
        <v>1.0148999999999999</v>
      </c>
      <c r="BK1345" s="25">
        <f>VLOOKUP(Inventory[[#This Row],[Decade]],Lookups!$O$25:$R$42,4,FALSE)</f>
        <v>0.98909999999999998</v>
      </c>
      <c r="BL1345" s="25">
        <f>Inventory[[#This Row],[Nbhd Adj]]*0.95</f>
        <v>0.94971499999999998</v>
      </c>
      <c r="BM1345" s="25">
        <f>Inventory[[#This Row],[Nbhd Adj]]*Inventory[[#This Row],[Quality Adj]]*Inventory[[#This Row],[Condition Adj]]*Inventory[[#This Row],[Living Area Adj]]*Inventory[[#This Row],[Decade Adj]]*0.95</f>
        <v>0.94298910434578886</v>
      </c>
      <c r="BN1345" s="25">
        <f>ROUND(SUM(Inventory[[#This Row],[Mdl Qlty]:[Mdl WdDeck]])+Inventory[[#This Row],[Mdl Res Intercept]]*Inventory[[#This Row],[Res Adj ]],-2)</f>
        <v>207000</v>
      </c>
      <c r="BO1345" s="25">
        <f>ROUND(Inventory[[#This Row],[25Det]]*Inventory[[#This Row],[Det/Nbhd Adj]],-2)</f>
        <v>5900</v>
      </c>
      <c r="BP1345" s="25">
        <f>Inventory[[#This Row],[Adjusted Res]]+Inventory[[#This Row],[Adj Det ]]</f>
        <v>212900</v>
      </c>
      <c r="BQ1345" s="25">
        <f>ROUND((Inventory[[#This Row],[Mdl Land Intercept]]+Inventory[[#This Row],[Mdl LnAcres]])*Inventory[[#This Row],[Det/Nbhd Adj]],-2)</f>
        <v>26200</v>
      </c>
      <c r="BR1345" s="25">
        <f>Inventory[[#This Row],[Adjusted Impr Total]]+Inventory[[#This Row],[Adjusted Land Total]]</f>
        <v>239100</v>
      </c>
      <c r="BS1345" s="36">
        <f>IFERROR((Inventory[[#This Row],[Adjusted Impr Total]]-Inventory[[#This Row],[24Bldg]])/Inventory[[#This Row],[24Bldg]],0)</f>
        <v>0.15392953929539296</v>
      </c>
      <c r="BT1345" s="36">
        <f>(Inventory[[#This Row],[Adjusted Land Total]]-Inventory[[#This Row],[24Lnd]])/Inventory[[#This Row],[24Lnd]]</f>
        <v>-0.43043478260869567</v>
      </c>
      <c r="BU1345" s="36">
        <f>(Inventory[[#This Row],[Adjusted Total]]-Inventory[[#This Row],[24Final]])/Inventory[[#This Row],[24Final]]</f>
        <v>3.7310195227765727E-2</v>
      </c>
    </row>
    <row r="1346" spans="1:73" x14ac:dyDescent="0.3">
      <c r="A1346" s="25">
        <v>2025</v>
      </c>
      <c r="B1346" s="26" t="s">
        <v>2407</v>
      </c>
      <c r="C1346" s="26">
        <f>LN(Inventory[[#This Row],[Acres]])</f>
        <v>-1.5606477482646683</v>
      </c>
      <c r="D1346" s="25">
        <v>0.21</v>
      </c>
      <c r="E1346" s="27"/>
      <c r="F1346" s="26" t="s">
        <v>537</v>
      </c>
      <c r="G1346" s="26" t="s">
        <v>126</v>
      </c>
      <c r="H1346" s="26" t="s">
        <v>349</v>
      </c>
      <c r="I1346" s="26" t="s">
        <v>538</v>
      </c>
      <c r="J1346" s="26" t="s">
        <v>539</v>
      </c>
      <c r="K1346" s="26" t="s">
        <v>173</v>
      </c>
      <c r="L1346" s="26" t="s">
        <v>351</v>
      </c>
      <c r="M1346" s="26" t="s">
        <v>323</v>
      </c>
      <c r="N1346" s="26">
        <v>90</v>
      </c>
      <c r="O1346" s="26">
        <f>2024-Inventory[[#This Row],[YrBlt]]</f>
        <v>84</v>
      </c>
      <c r="P1346" s="26">
        <f>2024-Inventory[[#This Row],[EffYr]]</f>
        <v>52</v>
      </c>
      <c r="Q1346" s="25">
        <v>1940</v>
      </c>
      <c r="R1346" s="25">
        <v>1972</v>
      </c>
      <c r="S1346" s="25">
        <v>1212</v>
      </c>
      <c r="T1346" s="25">
        <v>720</v>
      </c>
      <c r="U1346" s="25">
        <v>1212</v>
      </c>
      <c r="V1346" s="32">
        <f>Inventory[[#This Row],[Bsmt]]-Inventory[[#This Row],[FnBsmt]]</f>
        <v>606</v>
      </c>
      <c r="W1346" s="32">
        <v>606</v>
      </c>
      <c r="X1346" s="27"/>
      <c r="Y1346" s="27">
        <f>Inventory[[#This Row],[MainFn]]+Inventory[[#This Row],[UpprFn]]+Inventory[[#This Row],[FnBsmt]]+Inventory[[#This Row],[AddFn]]</f>
        <v>2538</v>
      </c>
      <c r="Z1346" s="27">
        <v>3000</v>
      </c>
      <c r="AA1346" s="25">
        <v>7</v>
      </c>
      <c r="AB1346" s="27"/>
      <c r="AC1346" s="27"/>
      <c r="AD1346" s="27"/>
      <c r="AE1346" s="27"/>
      <c r="AF1346" s="27"/>
      <c r="AG1346" s="27"/>
      <c r="AH1346" s="27"/>
      <c r="AI1346" s="25">
        <v>347057</v>
      </c>
      <c r="AJ1346" s="25">
        <v>235999</v>
      </c>
      <c r="AK1346" s="25">
        <v>6050</v>
      </c>
      <c r="AL1346" s="25">
        <v>355400</v>
      </c>
      <c r="AM1346" s="25">
        <v>60100</v>
      </c>
      <c r="AN1346" s="25">
        <v>295300</v>
      </c>
      <c r="AO1346" s="25">
        <v>0</v>
      </c>
      <c r="AP1346" s="25">
        <f>Lookups!$B$56*0</f>
        <v>0</v>
      </c>
      <c r="AQ1346" s="25">
        <f>Lookups!$B$56*1</f>
        <v>89850.625589999996</v>
      </c>
      <c r="AR1346" s="25">
        <f>Lookups!$B$57*Inventory[[#This Row],[LnAcres]]</f>
        <v>-49401.70477837498</v>
      </c>
      <c r="AS1346" s="25">
        <f>VLOOKUP(Inventory[[#This Row],[Qlty]],Lookups!$A$62:$E$75,2,FALSE)</f>
        <v>21557.329055999999</v>
      </c>
      <c r="AT1346" s="25">
        <f>VLOOKUP(Inventory[[#This Row],[Cnd]],Lookups!$A$76:$E$84,2,FALSE)</f>
        <v>160472.20319</v>
      </c>
      <c r="AU1346" s="25">
        <f>Inventory[[#This Row],[EffAge]]*Lookups!$B$85</f>
        <v>-11598.371226000001</v>
      </c>
      <c r="AV1346" s="25">
        <f>Inventory[[#This Row],[MainFn]]*Lookups!$B$86</f>
        <v>59883.307890923999</v>
      </c>
      <c r="AW1346" s="25">
        <f>Inventory[[#This Row],[UpprFn]]*Lookups!$B$87</f>
        <v>32246.224459919998</v>
      </c>
      <c r="AX1346" s="25">
        <f>Inventory[[#This Row],[AddFn]]*Lookups!$B$88</f>
        <v>0</v>
      </c>
      <c r="AY1346" s="25">
        <f>Inventory[[#This Row],[Bsmt]]*Lookups!$B$89</f>
        <v>35247.257039363998</v>
      </c>
      <c r="AZ1346" s="25">
        <f>Inventory[[#This Row],[Fixtures]]*Lookups!$B$90</f>
        <v>26544.1547364</v>
      </c>
      <c r="BA1346" s="25">
        <f>Inventory[[#This Row],[WdDeck]]*Lookups!$B$91</f>
        <v>0</v>
      </c>
      <c r="BB1346" s="25">
        <f>ROUND(Inventory[[#This Row],[25Det]],-2)</f>
        <v>6100</v>
      </c>
      <c r="BC1346" s="25">
        <f>ROUND(SUM(Inventory[[#This Row],[Mdl Qlty]:[Mdl WdDeck]])+Inventory[[#This Row],[Mdl Res Intercept]],-2)</f>
        <v>324400</v>
      </c>
      <c r="BD1346" s="25">
        <f>ROUND(Inventory[[#This Row],[Mdl Land Intercept]]+Inventory[[#This Row],[Mdl LnAcres]],-2)</f>
        <v>40400</v>
      </c>
      <c r="BE1346" s="25">
        <f>Inventory[[#This Row],[Unadj Res Value]]+Inventory[[#This Row],[Unadj Det Value]]+Inventory[[#This Row],[Unadj Land Value]]</f>
        <v>370900</v>
      </c>
      <c r="BF1346" s="36">
        <f>(Inventory[[#This Row],[Unadj Total Value]]-Inventory[[#This Row],[24Final]])/Inventory[[#This Row],[24Final]]</f>
        <v>4.3612830613393362E-2</v>
      </c>
      <c r="BG1346" s="25">
        <f>VLOOKUP(Inventory[[#This Row],[Nbhd]],Lookups!$Q$2:$T$4,4,FALSE)</f>
        <v>0.99970000000000003</v>
      </c>
      <c r="BH1346" s="25">
        <f>VLOOKUP(Inventory[[#This Row],[Qlty]],Lookups!$O$7:$R$21,4,FALSE)</f>
        <v>1.0067999999999999</v>
      </c>
      <c r="BI1346" s="25">
        <f>VLOOKUP(Inventory[[#This Row],[Cnd]],Lookups!$T$7:$W$16,4,FALSE)</f>
        <v>0.99729999999999996</v>
      </c>
      <c r="BJ1346" s="25">
        <f>VLOOKUP(Inventory[[#This Row],[LivArea Range]],Lookups!$T$25:$W$37,4,FALSE)</f>
        <v>0.96179999999999999</v>
      </c>
      <c r="BK1346" s="25">
        <f>VLOOKUP(Inventory[[#This Row],[Decade]],Lookups!$O$25:$R$42,4,FALSE)</f>
        <v>0.98909999999999998</v>
      </c>
      <c r="BL1346" s="25">
        <f>Inventory[[#This Row],[Nbhd Adj]]*0.95</f>
        <v>0.94971499999999998</v>
      </c>
      <c r="BM1346" s="25">
        <f>Inventory[[#This Row],[Nbhd Adj]]*Inventory[[#This Row],[Quality Adj]]*Inventory[[#This Row],[Condition Adj]]*Inventory[[#This Row],[Living Area Adj]]*Inventory[[#This Row],[Decade Adj]]*0.95</f>
        <v>0.90716711363616798</v>
      </c>
      <c r="BN1346" s="25">
        <f>ROUND(SUM(Inventory[[#This Row],[Mdl Qlty]:[Mdl WdDeck]])+Inventory[[#This Row],[Mdl Res Intercept]]*Inventory[[#This Row],[Res Adj ]],-2)</f>
        <v>324400</v>
      </c>
      <c r="BO1346" s="25">
        <f>ROUND(Inventory[[#This Row],[25Det]]*Inventory[[#This Row],[Det/Nbhd Adj]],-2)</f>
        <v>5700</v>
      </c>
      <c r="BP1346" s="25">
        <f>Inventory[[#This Row],[Adjusted Res]]+Inventory[[#This Row],[Adj Det ]]</f>
        <v>330100</v>
      </c>
      <c r="BQ1346" s="25">
        <f>ROUND((Inventory[[#This Row],[Mdl Land Intercept]]+Inventory[[#This Row],[Mdl LnAcres]])*Inventory[[#This Row],[Det/Nbhd Adj]],-2)</f>
        <v>38400</v>
      </c>
      <c r="BR1346" s="25">
        <f>Inventory[[#This Row],[Adjusted Impr Total]]+Inventory[[#This Row],[Adjusted Land Total]]</f>
        <v>368500</v>
      </c>
      <c r="BS1346" s="36">
        <f>IFERROR((Inventory[[#This Row],[Adjusted Impr Total]]-Inventory[[#This Row],[24Bldg]])/Inventory[[#This Row],[24Bldg]],0)</f>
        <v>0.11784625804266848</v>
      </c>
      <c r="BT1346" s="36">
        <f>(Inventory[[#This Row],[Adjusted Land Total]]-Inventory[[#This Row],[24Lnd]])/Inventory[[#This Row],[24Lnd]]</f>
        <v>-0.36106489184692181</v>
      </c>
      <c r="BU1346" s="36">
        <f>(Inventory[[#This Row],[Adjusted Total]]-Inventory[[#This Row],[24Final]])/Inventory[[#This Row],[24Final]]</f>
        <v>3.6859876195835681E-2</v>
      </c>
    </row>
    <row r="1347" spans="1:73" x14ac:dyDescent="0.3">
      <c r="A1347" s="25">
        <v>2025</v>
      </c>
      <c r="B1347" s="26" t="s">
        <v>1636</v>
      </c>
      <c r="C1347" s="26">
        <f>LN(Inventory[[#This Row],[Acres]])</f>
        <v>-1.5606477482646683</v>
      </c>
      <c r="D1347" s="25">
        <v>0.21</v>
      </c>
      <c r="E1347" s="32">
        <v>9243</v>
      </c>
      <c r="F1347" s="26" t="s">
        <v>537</v>
      </c>
      <c r="G1347" s="26" t="s">
        <v>126</v>
      </c>
      <c r="H1347" s="26" t="s">
        <v>349</v>
      </c>
      <c r="I1347" s="26" t="s">
        <v>538</v>
      </c>
      <c r="J1347" s="26" t="s">
        <v>539</v>
      </c>
      <c r="K1347" s="26" t="s">
        <v>242</v>
      </c>
      <c r="L1347" s="26" t="s">
        <v>302</v>
      </c>
      <c r="M1347" s="26" t="s">
        <v>323</v>
      </c>
      <c r="N1347" s="26">
        <v>90</v>
      </c>
      <c r="O1347" s="26">
        <f>2024-Inventory[[#This Row],[YrBlt]]</f>
        <v>84</v>
      </c>
      <c r="P1347" s="26">
        <f>2024-Inventory[[#This Row],[EffYr]]</f>
        <v>52</v>
      </c>
      <c r="Q1347" s="25">
        <v>1940</v>
      </c>
      <c r="R1347" s="25">
        <v>1972</v>
      </c>
      <c r="S1347" s="25">
        <v>1567</v>
      </c>
      <c r="T1347" s="31"/>
      <c r="U1347" s="25">
        <v>64</v>
      </c>
      <c r="V1347" s="25">
        <f>Inventory[[#This Row],[Bsmt]]-Inventory[[#This Row],[FnBsmt]]</f>
        <v>64</v>
      </c>
      <c r="W1347" s="31"/>
      <c r="X1347" s="27"/>
      <c r="Y1347" s="27">
        <f>Inventory[[#This Row],[MainFn]]+Inventory[[#This Row],[UpprFn]]+Inventory[[#This Row],[FnBsmt]]+Inventory[[#This Row],[AddFn]]</f>
        <v>1567</v>
      </c>
      <c r="Z1347" s="27">
        <v>2000</v>
      </c>
      <c r="AA1347" s="25">
        <v>8</v>
      </c>
      <c r="AB1347" s="32">
        <v>748</v>
      </c>
      <c r="AC1347" s="27"/>
      <c r="AD1347" s="27"/>
      <c r="AE1347" s="27"/>
      <c r="AF1347" s="27"/>
      <c r="AG1347" s="27"/>
      <c r="AH1347" s="27"/>
      <c r="AI1347" s="25">
        <v>338240</v>
      </c>
      <c r="AJ1347" s="25">
        <v>230003</v>
      </c>
      <c r="AK1347" s="25">
        <v>0</v>
      </c>
      <c r="AL1347" s="25">
        <v>315100</v>
      </c>
      <c r="AM1347" s="25">
        <v>60100</v>
      </c>
      <c r="AN1347" s="25">
        <v>255000</v>
      </c>
      <c r="AO1347" s="25">
        <v>0</v>
      </c>
      <c r="AP1347" s="25">
        <f>Lookups!$B$56*0</f>
        <v>0</v>
      </c>
      <c r="AQ1347" s="25">
        <f>Lookups!$B$56*1</f>
        <v>89850.625589999996</v>
      </c>
      <c r="AR1347" s="25">
        <f>Lookups!$B$57*Inventory[[#This Row],[LnAcres]]</f>
        <v>-49401.70477837498</v>
      </c>
      <c r="AS1347" s="25">
        <f>VLOOKUP(Inventory[[#This Row],[Qlty]],Lookups!$A$62:$E$75,2,FALSE)</f>
        <v>29814.093161000001</v>
      </c>
      <c r="AT1347" s="25">
        <f>VLOOKUP(Inventory[[#This Row],[Cnd]],Lookups!$A$76:$E$84,2,FALSE)</f>
        <v>160472.20319</v>
      </c>
      <c r="AU1347" s="25">
        <f>Inventory[[#This Row],[EffAge]]*Lookups!$B$85</f>
        <v>-11598.371226000001</v>
      </c>
      <c r="AV1347" s="25">
        <f>Inventory[[#This Row],[MainFn]]*Lookups!$B$86</f>
        <v>77423.385697259</v>
      </c>
      <c r="AW1347" s="25">
        <f>Inventory[[#This Row],[UpprFn]]*Lookups!$B$87</f>
        <v>0</v>
      </c>
      <c r="AX1347" s="25">
        <f>Inventory[[#This Row],[AddFn]]*Lookups!$B$88</f>
        <v>0</v>
      </c>
      <c r="AY1347" s="25">
        <f>Inventory[[#This Row],[Bsmt]]*Lookups!$B$89</f>
        <v>1861.2412958079999</v>
      </c>
      <c r="AZ1347" s="25">
        <f>Inventory[[#This Row],[Fixtures]]*Lookups!$B$90</f>
        <v>30336.176841600001</v>
      </c>
      <c r="BA1347" s="25">
        <f>Inventory[[#This Row],[WdDeck]]*Lookups!$B$91</f>
        <v>0</v>
      </c>
      <c r="BB1347" s="25">
        <f>ROUND(Inventory[[#This Row],[25Det]],-2)</f>
        <v>0</v>
      </c>
      <c r="BC1347" s="25">
        <f>ROUND(SUM(Inventory[[#This Row],[Mdl Qlty]:[Mdl WdDeck]])+Inventory[[#This Row],[Mdl Res Intercept]],-2)</f>
        <v>288300</v>
      </c>
      <c r="BD1347" s="25">
        <f>ROUND(Inventory[[#This Row],[Mdl Land Intercept]]+Inventory[[#This Row],[Mdl LnAcres]],-2)</f>
        <v>40400</v>
      </c>
      <c r="BE1347" s="25">
        <f>Inventory[[#This Row],[Unadj Res Value]]+Inventory[[#This Row],[Unadj Det Value]]+Inventory[[#This Row],[Unadj Land Value]]</f>
        <v>328700</v>
      </c>
      <c r="BF1347" s="36">
        <f>(Inventory[[#This Row],[Unadj Total Value]]-Inventory[[#This Row],[24Final]])/Inventory[[#This Row],[24Final]]</f>
        <v>4.3160901301174233E-2</v>
      </c>
      <c r="BG1347" s="25">
        <f>VLOOKUP(Inventory[[#This Row],[Nbhd]],Lookups!$Q$2:$T$4,4,FALSE)</f>
        <v>0.99970000000000003</v>
      </c>
      <c r="BH1347" s="25">
        <f>VLOOKUP(Inventory[[#This Row],[Qlty]],Lookups!$O$7:$R$21,4,FALSE)</f>
        <v>1.0088999999999999</v>
      </c>
      <c r="BI1347" s="25">
        <f>VLOOKUP(Inventory[[#This Row],[Cnd]],Lookups!$T$7:$W$16,4,FALSE)</f>
        <v>0.99729999999999996</v>
      </c>
      <c r="BJ1347" s="25">
        <f>VLOOKUP(Inventory[[#This Row],[LivArea Range]],Lookups!$T$25:$W$37,4,FALSE)</f>
        <v>1.0093000000000001</v>
      </c>
      <c r="BK1347" s="25">
        <f>VLOOKUP(Inventory[[#This Row],[Decade]],Lookups!$O$25:$R$42,4,FALSE)</f>
        <v>0.98909999999999998</v>
      </c>
      <c r="BL1347" s="25">
        <f>Inventory[[#This Row],[Nbhd Adj]]*0.95</f>
        <v>0.94971499999999998</v>
      </c>
      <c r="BM1347" s="25">
        <f>Inventory[[#This Row],[Nbhd Adj]]*Inventory[[#This Row],[Quality Adj]]*Inventory[[#This Row],[Condition Adj]]*Inventory[[#This Row],[Living Area Adj]]*Inventory[[#This Row],[Decade Adj]]*0.95</f>
        <v>0.95395461550409388</v>
      </c>
      <c r="BN1347" s="25">
        <f>ROUND(SUM(Inventory[[#This Row],[Mdl Qlty]:[Mdl WdDeck]])+Inventory[[#This Row],[Mdl Res Intercept]]*Inventory[[#This Row],[Res Adj ]],-2)</f>
        <v>288300</v>
      </c>
      <c r="BO1347" s="25">
        <f>ROUND(Inventory[[#This Row],[25Det]]*Inventory[[#This Row],[Det/Nbhd Adj]],-2)</f>
        <v>0</v>
      </c>
      <c r="BP1347" s="25">
        <f>Inventory[[#This Row],[Adjusted Res]]+Inventory[[#This Row],[Adj Det ]]</f>
        <v>288300</v>
      </c>
      <c r="BQ1347" s="25">
        <f>ROUND((Inventory[[#This Row],[Mdl Land Intercept]]+Inventory[[#This Row],[Mdl LnAcres]])*Inventory[[#This Row],[Det/Nbhd Adj]],-2)</f>
        <v>38400</v>
      </c>
      <c r="BR1347" s="25">
        <f>Inventory[[#This Row],[Adjusted Impr Total]]+Inventory[[#This Row],[Adjusted Land Total]]</f>
        <v>326700</v>
      </c>
      <c r="BS1347" s="36">
        <f>IFERROR((Inventory[[#This Row],[Adjusted Impr Total]]-Inventory[[#This Row],[24Bldg]])/Inventory[[#This Row],[24Bldg]],0)</f>
        <v>0.13058823529411764</v>
      </c>
      <c r="BT1347" s="36">
        <f>(Inventory[[#This Row],[Adjusted Land Total]]-Inventory[[#This Row],[24Lnd]])/Inventory[[#This Row],[24Lnd]]</f>
        <v>-0.36106489184692181</v>
      </c>
      <c r="BU1347" s="36">
        <f>(Inventory[[#This Row],[Adjusted Total]]-Inventory[[#This Row],[24Final]])/Inventory[[#This Row],[24Final]]</f>
        <v>3.6813709933354491E-2</v>
      </c>
    </row>
    <row r="1348" spans="1:73" x14ac:dyDescent="0.3">
      <c r="A1348" s="25">
        <v>2025</v>
      </c>
      <c r="B1348" s="26" t="s">
        <v>2477</v>
      </c>
      <c r="C1348" s="26">
        <f>LN(Inventory[[#This Row],[Acres]])</f>
        <v>-1.4271163556401458</v>
      </c>
      <c r="D1348" s="25">
        <v>0.24</v>
      </c>
      <c r="E1348" s="25">
        <v>10349</v>
      </c>
      <c r="F1348" s="26" t="s">
        <v>537</v>
      </c>
      <c r="G1348" s="26" t="s">
        <v>126</v>
      </c>
      <c r="H1348" s="26" t="s">
        <v>349</v>
      </c>
      <c r="I1348" s="26" t="s">
        <v>538</v>
      </c>
      <c r="J1348" s="26" t="s">
        <v>539</v>
      </c>
      <c r="K1348" s="26" t="s">
        <v>242</v>
      </c>
      <c r="L1348" s="26" t="s">
        <v>205</v>
      </c>
      <c r="M1348" s="26" t="s">
        <v>206</v>
      </c>
      <c r="N1348" s="26">
        <v>90</v>
      </c>
      <c r="O1348" s="26">
        <f>2024-Inventory[[#This Row],[YrBlt]]</f>
        <v>84</v>
      </c>
      <c r="P1348" s="26">
        <f>2024-Inventory[[#This Row],[EffYr]]</f>
        <v>52</v>
      </c>
      <c r="Q1348" s="25">
        <v>1940</v>
      </c>
      <c r="R1348" s="25">
        <v>1972</v>
      </c>
      <c r="S1348" s="25">
        <v>1260</v>
      </c>
      <c r="T1348" s="27"/>
      <c r="U1348" s="32">
        <v>1260</v>
      </c>
      <c r="V1348" s="32">
        <f>Inventory[[#This Row],[Bsmt]]-Inventory[[#This Row],[FnBsmt]]</f>
        <v>630</v>
      </c>
      <c r="W1348" s="32">
        <v>630</v>
      </c>
      <c r="X1348" s="27"/>
      <c r="Y1348" s="27">
        <f>Inventory[[#This Row],[MainFn]]+Inventory[[#This Row],[UpprFn]]+Inventory[[#This Row],[FnBsmt]]+Inventory[[#This Row],[AddFn]]</f>
        <v>1890</v>
      </c>
      <c r="Z1348" s="27">
        <v>2000</v>
      </c>
      <c r="AA1348" s="25">
        <v>7</v>
      </c>
      <c r="AB1348" s="31"/>
      <c r="AC1348" s="27"/>
      <c r="AD1348" s="27"/>
      <c r="AE1348" s="27"/>
      <c r="AF1348" s="27"/>
      <c r="AG1348" s="27"/>
      <c r="AH1348" s="27"/>
      <c r="AI1348" s="25">
        <v>253058</v>
      </c>
      <c r="AJ1348" s="25">
        <v>167018</v>
      </c>
      <c r="AK1348" s="25">
        <v>10334</v>
      </c>
      <c r="AL1348" s="25">
        <v>289400</v>
      </c>
      <c r="AM1348" s="25">
        <v>64800</v>
      </c>
      <c r="AN1348" s="25">
        <v>224600</v>
      </c>
      <c r="AO1348" s="25">
        <v>0</v>
      </c>
      <c r="AP1348" s="25">
        <f>Lookups!$B$56*0</f>
        <v>0</v>
      </c>
      <c r="AQ1348" s="25">
        <f>Lookups!$B$56*1</f>
        <v>89850.625589999996</v>
      </c>
      <c r="AR1348" s="25">
        <f>Lookups!$B$57*Inventory[[#This Row],[LnAcres]]</f>
        <v>-45174.819855485119</v>
      </c>
      <c r="AS1348" s="25">
        <f>VLOOKUP(Inventory[[#This Row],[Qlty]],Lookups!$A$62:$E$75,2,FALSE)</f>
        <v>0</v>
      </c>
      <c r="AT1348" s="25">
        <f>VLOOKUP(Inventory[[#This Row],[Cnd]],Lookups!$A$76:$E$84,2,FALSE)</f>
        <v>133714.53821</v>
      </c>
      <c r="AU1348" s="25">
        <f>Inventory[[#This Row],[EffAge]]*Lookups!$B$85</f>
        <v>-11598.371226000001</v>
      </c>
      <c r="AV1348" s="25">
        <f>Inventory[[#This Row],[MainFn]]*Lookups!$B$86</f>
        <v>62254.924045020001</v>
      </c>
      <c r="AW1348" s="25">
        <f>Inventory[[#This Row],[UpprFn]]*Lookups!$B$87</f>
        <v>0</v>
      </c>
      <c r="AX1348" s="25">
        <f>Inventory[[#This Row],[AddFn]]*Lookups!$B$88</f>
        <v>0</v>
      </c>
      <c r="AY1348" s="25">
        <f>Inventory[[#This Row],[Bsmt]]*Lookups!$B$89</f>
        <v>36643.188011220001</v>
      </c>
      <c r="AZ1348" s="25">
        <f>Inventory[[#This Row],[Fixtures]]*Lookups!$B$90</f>
        <v>26544.1547364</v>
      </c>
      <c r="BA1348" s="25">
        <f>Inventory[[#This Row],[WdDeck]]*Lookups!$B$91</f>
        <v>0</v>
      </c>
      <c r="BB1348" s="25">
        <f>ROUND(Inventory[[#This Row],[25Det]],-2)</f>
        <v>10300</v>
      </c>
      <c r="BC1348" s="25">
        <f>ROUND(SUM(Inventory[[#This Row],[Mdl Qlty]:[Mdl WdDeck]])+Inventory[[#This Row],[Mdl Res Intercept]],-2)</f>
        <v>247600</v>
      </c>
      <c r="BD1348" s="25">
        <f>ROUND(Inventory[[#This Row],[Mdl Land Intercept]]+Inventory[[#This Row],[Mdl LnAcres]],-2)</f>
        <v>44700</v>
      </c>
      <c r="BE1348" s="25">
        <f>Inventory[[#This Row],[Unadj Res Value]]+Inventory[[#This Row],[Unadj Det Value]]+Inventory[[#This Row],[Unadj Land Value]]</f>
        <v>302600</v>
      </c>
      <c r="BF1348" s="36">
        <f>(Inventory[[#This Row],[Unadj Total Value]]-Inventory[[#This Row],[24Final]])/Inventory[[#This Row],[24Final]]</f>
        <v>4.5611610228058048E-2</v>
      </c>
      <c r="BG1348" s="25">
        <f>VLOOKUP(Inventory[[#This Row],[Nbhd]],Lookups!$Q$2:$T$4,4,FALSE)</f>
        <v>0.99970000000000003</v>
      </c>
      <c r="BH1348" s="25">
        <f>VLOOKUP(Inventory[[#This Row],[Qlty]],Lookups!$O$7:$R$21,4,FALSE)</f>
        <v>0.99180000000000001</v>
      </c>
      <c r="BI1348" s="25">
        <f>VLOOKUP(Inventory[[#This Row],[Cnd]],Lookups!$T$7:$W$16,4,FALSE)</f>
        <v>0.99329999999999996</v>
      </c>
      <c r="BJ1348" s="25">
        <f>VLOOKUP(Inventory[[#This Row],[LivArea Range]],Lookups!$T$25:$W$37,4,FALSE)</f>
        <v>1.0093000000000001</v>
      </c>
      <c r="BK1348" s="25">
        <f>VLOOKUP(Inventory[[#This Row],[Decade]],Lookups!$O$25:$R$42,4,FALSE)</f>
        <v>0.98909999999999998</v>
      </c>
      <c r="BL1348" s="25">
        <f>Inventory[[#This Row],[Nbhd Adj]]*0.95</f>
        <v>0.94971499999999998</v>
      </c>
      <c r="BM1348" s="25">
        <f>Inventory[[#This Row],[Nbhd Adj]]*Inventory[[#This Row],[Quality Adj]]*Inventory[[#This Row],[Condition Adj]]*Inventory[[#This Row],[Living Area Adj]]*Inventory[[#This Row],[Decade Adj]]*0.95</f>
        <v>0.93402459412706784</v>
      </c>
      <c r="BN1348" s="25">
        <f>ROUND(SUM(Inventory[[#This Row],[Mdl Qlty]:[Mdl WdDeck]])+Inventory[[#This Row],[Mdl Res Intercept]]*Inventory[[#This Row],[Res Adj ]],-2)</f>
        <v>247600</v>
      </c>
      <c r="BO1348" s="25">
        <f>ROUND(Inventory[[#This Row],[25Det]]*Inventory[[#This Row],[Det/Nbhd Adj]],-2)</f>
        <v>9800</v>
      </c>
      <c r="BP1348" s="25">
        <f>Inventory[[#This Row],[Adjusted Res]]+Inventory[[#This Row],[Adj Det ]]</f>
        <v>257400</v>
      </c>
      <c r="BQ1348" s="25">
        <f>ROUND((Inventory[[#This Row],[Mdl Land Intercept]]+Inventory[[#This Row],[Mdl LnAcres]])*Inventory[[#This Row],[Det/Nbhd Adj]],-2)</f>
        <v>42400</v>
      </c>
      <c r="BR1348" s="25">
        <f>Inventory[[#This Row],[Adjusted Impr Total]]+Inventory[[#This Row],[Adjusted Land Total]]</f>
        <v>299800</v>
      </c>
      <c r="BS1348" s="36">
        <f>IFERROR((Inventory[[#This Row],[Adjusted Impr Total]]-Inventory[[#This Row],[24Bldg]])/Inventory[[#This Row],[24Bldg]],0)</f>
        <v>0.14603739982190561</v>
      </c>
      <c r="BT1348" s="36">
        <f>(Inventory[[#This Row],[Adjusted Land Total]]-Inventory[[#This Row],[24Lnd]])/Inventory[[#This Row],[24Lnd]]</f>
        <v>-0.34567901234567899</v>
      </c>
      <c r="BU1348" s="36">
        <f>(Inventory[[#This Row],[Adjusted Total]]-Inventory[[#This Row],[24Final]])/Inventory[[#This Row],[24Final]]</f>
        <v>3.5936420179682099E-2</v>
      </c>
    </row>
    <row r="1349" spans="1:73" x14ac:dyDescent="0.3">
      <c r="A1349" s="25">
        <v>2025</v>
      </c>
      <c r="B1349" s="26" t="s">
        <v>2827</v>
      </c>
      <c r="C1349" s="26">
        <f>LN(Inventory[[#This Row],[Acres]])</f>
        <v>-1.9661128563728327</v>
      </c>
      <c r="D1349" s="25">
        <v>0.14000000000000001</v>
      </c>
      <c r="E1349" s="31"/>
      <c r="F1349" s="26" t="s">
        <v>537</v>
      </c>
      <c r="G1349" s="26" t="s">
        <v>126</v>
      </c>
      <c r="H1349" s="26" t="s">
        <v>349</v>
      </c>
      <c r="I1349" s="26" t="s">
        <v>538</v>
      </c>
      <c r="J1349" s="26" t="s">
        <v>539</v>
      </c>
      <c r="K1349" s="26" t="s">
        <v>242</v>
      </c>
      <c r="L1349" s="26" t="s">
        <v>205</v>
      </c>
      <c r="M1349" s="26" t="s">
        <v>323</v>
      </c>
      <c r="N1349" s="26">
        <v>90</v>
      </c>
      <c r="O1349" s="26">
        <f>2024-Inventory[[#This Row],[YrBlt]]</f>
        <v>84</v>
      </c>
      <c r="P1349" s="26">
        <f>2024-Inventory[[#This Row],[EffYr]]</f>
        <v>52</v>
      </c>
      <c r="Q1349" s="25">
        <v>1940</v>
      </c>
      <c r="R1349" s="25">
        <v>1972</v>
      </c>
      <c r="S1349" s="25">
        <v>1030</v>
      </c>
      <c r="T1349" s="31"/>
      <c r="U1349" s="31"/>
      <c r="V1349" s="27">
        <f>Inventory[[#This Row],[Bsmt]]-Inventory[[#This Row],[FnBsmt]]</f>
        <v>0</v>
      </c>
      <c r="W1349" s="27"/>
      <c r="X1349" s="27"/>
      <c r="Y1349" s="27">
        <f>Inventory[[#This Row],[MainFn]]+Inventory[[#This Row],[UpprFn]]+Inventory[[#This Row],[FnBsmt]]+Inventory[[#This Row],[AddFn]]</f>
        <v>1030</v>
      </c>
      <c r="Z1349" s="27">
        <v>1500</v>
      </c>
      <c r="AA1349" s="25">
        <v>5</v>
      </c>
      <c r="AB1349" s="25">
        <v>388</v>
      </c>
      <c r="AC1349" s="27"/>
      <c r="AD1349" s="27"/>
      <c r="AE1349" s="27"/>
      <c r="AF1349" s="27"/>
      <c r="AG1349" s="27"/>
      <c r="AH1349" s="27"/>
      <c r="AI1349" s="25">
        <v>167752</v>
      </c>
      <c r="AJ1349" s="25">
        <v>114071</v>
      </c>
      <c r="AK1349" s="25">
        <v>0</v>
      </c>
      <c r="AL1349" s="25">
        <v>236500</v>
      </c>
      <c r="AM1349" s="25">
        <v>46000</v>
      </c>
      <c r="AN1349" s="25">
        <v>190500</v>
      </c>
      <c r="AO1349" s="25">
        <v>0</v>
      </c>
      <c r="AP1349" s="25">
        <f>Lookups!$B$56*0</f>
        <v>0</v>
      </c>
      <c r="AQ1349" s="25">
        <f>Lookups!$B$56*1</f>
        <v>89850.625589999996</v>
      </c>
      <c r="AR1349" s="25">
        <f>Lookups!$B$57*Inventory[[#This Row],[LnAcres]]</f>
        <v>-62236.546971921947</v>
      </c>
      <c r="AS1349" s="25">
        <f>VLOOKUP(Inventory[[#This Row],[Qlty]],Lookups!$A$62:$E$75,2,FALSE)</f>
        <v>0</v>
      </c>
      <c r="AT1349" s="25">
        <f>VLOOKUP(Inventory[[#This Row],[Cnd]],Lookups!$A$76:$E$84,2,FALSE)</f>
        <v>160472.20319</v>
      </c>
      <c r="AU1349" s="25">
        <f>Inventory[[#This Row],[EffAge]]*Lookups!$B$85</f>
        <v>-11598.371226000001</v>
      </c>
      <c r="AV1349" s="25">
        <f>Inventory[[#This Row],[MainFn]]*Lookups!$B$86</f>
        <v>50890.929973309998</v>
      </c>
      <c r="AW1349" s="25">
        <f>Inventory[[#This Row],[UpprFn]]*Lookups!$B$87</f>
        <v>0</v>
      </c>
      <c r="AX1349" s="25">
        <f>Inventory[[#This Row],[AddFn]]*Lookups!$B$88</f>
        <v>0</v>
      </c>
      <c r="AY1349" s="25">
        <f>Inventory[[#This Row],[Bsmt]]*Lookups!$B$89</f>
        <v>0</v>
      </c>
      <c r="AZ1349" s="25">
        <f>Inventory[[#This Row],[Fixtures]]*Lookups!$B$90</f>
        <v>18960.110526</v>
      </c>
      <c r="BA1349" s="25">
        <f>Inventory[[#This Row],[WdDeck]]*Lookups!$B$91</f>
        <v>0</v>
      </c>
      <c r="BB1349" s="25">
        <f>ROUND(Inventory[[#This Row],[25Det]],-2)</f>
        <v>0</v>
      </c>
      <c r="BC1349" s="25">
        <f>ROUND(SUM(Inventory[[#This Row],[Mdl Qlty]:[Mdl WdDeck]])+Inventory[[#This Row],[Mdl Res Intercept]],-2)</f>
        <v>218700</v>
      </c>
      <c r="BD1349" s="25">
        <f>ROUND(Inventory[[#This Row],[Mdl Land Intercept]]+Inventory[[#This Row],[Mdl LnAcres]],-2)</f>
        <v>27600</v>
      </c>
      <c r="BE1349" s="25">
        <f>Inventory[[#This Row],[Unadj Res Value]]+Inventory[[#This Row],[Unadj Det Value]]+Inventory[[#This Row],[Unadj Land Value]]</f>
        <v>246300</v>
      </c>
      <c r="BF1349" s="36">
        <f>(Inventory[[#This Row],[Unadj Total Value]]-Inventory[[#This Row],[24Final]])/Inventory[[#This Row],[24Final]]</f>
        <v>4.1437632135306553E-2</v>
      </c>
      <c r="BG1349" s="25">
        <f>VLOOKUP(Inventory[[#This Row],[Nbhd]],Lookups!$Q$2:$T$4,4,FALSE)</f>
        <v>0.99970000000000003</v>
      </c>
      <c r="BH1349" s="25">
        <f>VLOOKUP(Inventory[[#This Row],[Qlty]],Lookups!$O$7:$R$21,4,FALSE)</f>
        <v>0.99180000000000001</v>
      </c>
      <c r="BI1349" s="25">
        <f>VLOOKUP(Inventory[[#This Row],[Cnd]],Lookups!$T$7:$W$16,4,FALSE)</f>
        <v>0.99729999999999996</v>
      </c>
      <c r="BJ1349" s="25">
        <f>VLOOKUP(Inventory[[#This Row],[LivArea Range]],Lookups!$T$25:$W$37,4,FALSE)</f>
        <v>1.0157</v>
      </c>
      <c r="BK1349" s="25">
        <f>VLOOKUP(Inventory[[#This Row],[Decade]],Lookups!$O$25:$R$42,4,FALSE)</f>
        <v>0.98909999999999998</v>
      </c>
      <c r="BL1349" s="25">
        <f>Inventory[[#This Row],[Nbhd Adj]]*0.95</f>
        <v>0.94971499999999998</v>
      </c>
      <c r="BM1349" s="25">
        <f>Inventory[[#This Row],[Nbhd Adj]]*Inventory[[#This Row],[Quality Adj]]*Inventory[[#This Row],[Condition Adj]]*Inventory[[#This Row],[Living Area Adj]]*Inventory[[#This Row],[Decade Adj]]*0.95</f>
        <v>0.94373242022269987</v>
      </c>
      <c r="BN1349" s="25">
        <f>ROUND(SUM(Inventory[[#This Row],[Mdl Qlty]:[Mdl WdDeck]])+Inventory[[#This Row],[Mdl Res Intercept]]*Inventory[[#This Row],[Res Adj ]],-2)</f>
        <v>218700</v>
      </c>
      <c r="BO1349" s="25">
        <f>ROUND(Inventory[[#This Row],[25Det]]*Inventory[[#This Row],[Det/Nbhd Adj]],-2)</f>
        <v>0</v>
      </c>
      <c r="BP1349" s="25">
        <f>Inventory[[#This Row],[Adjusted Res]]+Inventory[[#This Row],[Adj Det ]]</f>
        <v>218700</v>
      </c>
      <c r="BQ1349" s="25">
        <f>ROUND((Inventory[[#This Row],[Mdl Land Intercept]]+Inventory[[#This Row],[Mdl LnAcres]])*Inventory[[#This Row],[Det/Nbhd Adj]],-2)</f>
        <v>26200</v>
      </c>
      <c r="BR1349" s="25">
        <f>Inventory[[#This Row],[Adjusted Impr Total]]+Inventory[[#This Row],[Adjusted Land Total]]</f>
        <v>244900</v>
      </c>
      <c r="BS1349" s="36">
        <f>IFERROR((Inventory[[#This Row],[Adjusted Impr Total]]-Inventory[[#This Row],[24Bldg]])/Inventory[[#This Row],[24Bldg]],0)</f>
        <v>0.14803149606299212</v>
      </c>
      <c r="BT1349" s="36">
        <f>(Inventory[[#This Row],[Adjusted Land Total]]-Inventory[[#This Row],[24Lnd]])/Inventory[[#This Row],[24Lnd]]</f>
        <v>-0.43043478260869567</v>
      </c>
      <c r="BU1349" s="36">
        <f>(Inventory[[#This Row],[Adjusted Total]]-Inventory[[#This Row],[24Final]])/Inventory[[#This Row],[24Final]]</f>
        <v>3.5517970401691329E-2</v>
      </c>
    </row>
    <row r="1350" spans="1:73" x14ac:dyDescent="0.3">
      <c r="A1350" s="25">
        <v>2025</v>
      </c>
      <c r="B1350" s="26" t="s">
        <v>1807</v>
      </c>
      <c r="C1350" s="26">
        <f>LN(Inventory[[#This Row],[Acres]])</f>
        <v>-1.5141277326297755</v>
      </c>
      <c r="D1350" s="25">
        <v>0.22</v>
      </c>
      <c r="E1350" s="27"/>
      <c r="F1350" s="26" t="s">
        <v>537</v>
      </c>
      <c r="G1350" s="26" t="s">
        <v>126</v>
      </c>
      <c r="H1350" s="26" t="s">
        <v>349</v>
      </c>
      <c r="I1350" s="26" t="s">
        <v>538</v>
      </c>
      <c r="J1350" s="26" t="s">
        <v>539</v>
      </c>
      <c r="K1350" s="26" t="s">
        <v>241</v>
      </c>
      <c r="L1350" s="26" t="s">
        <v>351</v>
      </c>
      <c r="M1350" s="26" t="s">
        <v>323</v>
      </c>
      <c r="N1350" s="26">
        <v>90</v>
      </c>
      <c r="O1350" s="26">
        <f>2024-Inventory[[#This Row],[YrBlt]]</f>
        <v>84</v>
      </c>
      <c r="P1350" s="26">
        <f>2024-Inventory[[#This Row],[EffYr]]</f>
        <v>52</v>
      </c>
      <c r="Q1350" s="25">
        <v>1940</v>
      </c>
      <c r="R1350" s="25">
        <v>1972</v>
      </c>
      <c r="S1350" s="25">
        <v>941</v>
      </c>
      <c r="T1350" s="31"/>
      <c r="U1350" s="25">
        <v>120</v>
      </c>
      <c r="V1350" s="25">
        <f>Inventory[[#This Row],[Bsmt]]-Inventory[[#This Row],[FnBsmt]]</f>
        <v>0</v>
      </c>
      <c r="W1350" s="25">
        <v>120</v>
      </c>
      <c r="X1350" s="27"/>
      <c r="Y1350" s="27">
        <f>Inventory[[#This Row],[MainFn]]+Inventory[[#This Row],[UpprFn]]+Inventory[[#This Row],[FnBsmt]]+Inventory[[#This Row],[AddFn]]</f>
        <v>1061</v>
      </c>
      <c r="Z1350" s="27">
        <v>1500</v>
      </c>
      <c r="AA1350" s="25">
        <v>6</v>
      </c>
      <c r="AB1350" s="25">
        <v>300</v>
      </c>
      <c r="AC1350" s="27"/>
      <c r="AD1350" s="31"/>
      <c r="AE1350" s="27"/>
      <c r="AF1350" s="27"/>
      <c r="AG1350" s="27"/>
      <c r="AH1350" s="27"/>
      <c r="AI1350" s="25">
        <v>212868</v>
      </c>
      <c r="AJ1350" s="25">
        <v>144750</v>
      </c>
      <c r="AK1350" s="25">
        <v>25167</v>
      </c>
      <c r="AL1350" s="25">
        <v>296600</v>
      </c>
      <c r="AM1350" s="25">
        <v>61700</v>
      </c>
      <c r="AN1350" s="25">
        <v>234900</v>
      </c>
      <c r="AO1350" s="25">
        <v>0</v>
      </c>
      <c r="AP1350" s="25">
        <f>Lookups!$B$56*0</f>
        <v>0</v>
      </c>
      <c r="AQ1350" s="25">
        <f>Lookups!$B$56*1</f>
        <v>89850.625589999996</v>
      </c>
      <c r="AR1350" s="25">
        <f>Lookups!$B$57*Inventory[[#This Row],[LnAcres]]</f>
        <v>-47929.131559187132</v>
      </c>
      <c r="AS1350" s="25">
        <f>VLOOKUP(Inventory[[#This Row],[Qlty]],Lookups!$A$62:$E$75,2,FALSE)</f>
        <v>21557.329055999999</v>
      </c>
      <c r="AT1350" s="25">
        <f>VLOOKUP(Inventory[[#This Row],[Cnd]],Lookups!$A$76:$E$84,2,FALSE)</f>
        <v>160472.20319</v>
      </c>
      <c r="AU1350" s="25">
        <f>Inventory[[#This Row],[EffAge]]*Lookups!$B$85</f>
        <v>-11598.371226000001</v>
      </c>
      <c r="AV1350" s="25">
        <f>Inventory[[#This Row],[MainFn]]*Lookups!$B$86</f>
        <v>46493.558354257002</v>
      </c>
      <c r="AW1350" s="25">
        <f>Inventory[[#This Row],[UpprFn]]*Lookups!$B$87</f>
        <v>0</v>
      </c>
      <c r="AX1350" s="25">
        <f>Inventory[[#This Row],[AddFn]]*Lookups!$B$88</f>
        <v>0</v>
      </c>
      <c r="AY1350" s="25">
        <f>Inventory[[#This Row],[Bsmt]]*Lookups!$B$89</f>
        <v>3489.82742964</v>
      </c>
      <c r="AZ1350" s="25">
        <f>Inventory[[#This Row],[Fixtures]]*Lookups!$B$90</f>
        <v>22752.132631200002</v>
      </c>
      <c r="BA1350" s="25">
        <f>Inventory[[#This Row],[WdDeck]]*Lookups!$B$91</f>
        <v>0</v>
      </c>
      <c r="BB1350" s="25">
        <f>ROUND(Inventory[[#This Row],[25Det]],-2)</f>
        <v>25200</v>
      </c>
      <c r="BC1350" s="25">
        <f>ROUND(SUM(Inventory[[#This Row],[Mdl Qlty]:[Mdl WdDeck]])+Inventory[[#This Row],[Mdl Res Intercept]],-2)</f>
        <v>243200</v>
      </c>
      <c r="BD1350" s="25">
        <f>ROUND(Inventory[[#This Row],[Mdl Land Intercept]]+Inventory[[#This Row],[Mdl LnAcres]],-2)</f>
        <v>41900</v>
      </c>
      <c r="BE1350" s="25">
        <f>Inventory[[#This Row],[Unadj Res Value]]+Inventory[[#This Row],[Unadj Det Value]]+Inventory[[#This Row],[Unadj Land Value]]</f>
        <v>310300</v>
      </c>
      <c r="BF1350" s="36">
        <f>(Inventory[[#This Row],[Unadj Total Value]]-Inventory[[#This Row],[24Final]])/Inventory[[#This Row],[24Final]]</f>
        <v>4.6190155091031693E-2</v>
      </c>
      <c r="BG1350" s="25">
        <f>VLOOKUP(Inventory[[#This Row],[Nbhd]],Lookups!$Q$2:$T$4,4,FALSE)</f>
        <v>0.99970000000000003</v>
      </c>
      <c r="BH1350" s="25">
        <f>VLOOKUP(Inventory[[#This Row],[Qlty]],Lookups!$O$7:$R$21,4,FALSE)</f>
        <v>1.0067999999999999</v>
      </c>
      <c r="BI1350" s="25">
        <f>VLOOKUP(Inventory[[#This Row],[Cnd]],Lookups!$T$7:$W$16,4,FALSE)</f>
        <v>0.99729999999999996</v>
      </c>
      <c r="BJ1350" s="25">
        <f>VLOOKUP(Inventory[[#This Row],[LivArea Range]],Lookups!$T$25:$W$37,4,FALSE)</f>
        <v>1.0157</v>
      </c>
      <c r="BK1350" s="25">
        <f>VLOOKUP(Inventory[[#This Row],[Decade]],Lookups!$O$25:$R$42,4,FALSE)</f>
        <v>0.98909999999999998</v>
      </c>
      <c r="BL1350" s="25">
        <f>Inventory[[#This Row],[Nbhd Adj]]*0.95</f>
        <v>0.94971499999999998</v>
      </c>
      <c r="BM1350" s="25">
        <f>Inventory[[#This Row],[Nbhd Adj]]*Inventory[[#This Row],[Quality Adj]]*Inventory[[#This Row],[Condition Adj]]*Inventory[[#This Row],[Living Area Adj]]*Inventory[[#This Row],[Decade Adj]]*0.95</f>
        <v>0.95800544533193577</v>
      </c>
      <c r="BN1350" s="25">
        <f>ROUND(SUM(Inventory[[#This Row],[Mdl Qlty]:[Mdl WdDeck]])+Inventory[[#This Row],[Mdl Res Intercept]]*Inventory[[#This Row],[Res Adj ]],-2)</f>
        <v>243200</v>
      </c>
      <c r="BO1350" s="25">
        <f>ROUND(Inventory[[#This Row],[25Det]]*Inventory[[#This Row],[Det/Nbhd Adj]],-2)</f>
        <v>23900</v>
      </c>
      <c r="BP1350" s="25">
        <f>Inventory[[#This Row],[Adjusted Res]]+Inventory[[#This Row],[Adj Det ]]</f>
        <v>267100</v>
      </c>
      <c r="BQ1350" s="25">
        <f>ROUND((Inventory[[#This Row],[Mdl Land Intercept]]+Inventory[[#This Row],[Mdl LnAcres]])*Inventory[[#This Row],[Det/Nbhd Adj]],-2)</f>
        <v>39800</v>
      </c>
      <c r="BR1350" s="25">
        <f>Inventory[[#This Row],[Adjusted Impr Total]]+Inventory[[#This Row],[Adjusted Land Total]]</f>
        <v>306900</v>
      </c>
      <c r="BS1350" s="36">
        <f>IFERROR((Inventory[[#This Row],[Adjusted Impr Total]]-Inventory[[#This Row],[24Bldg]])/Inventory[[#This Row],[24Bldg]],0)</f>
        <v>0.13707960834397617</v>
      </c>
      <c r="BT1350" s="36">
        <f>(Inventory[[#This Row],[Adjusted Land Total]]-Inventory[[#This Row],[24Lnd]])/Inventory[[#This Row],[24Lnd]]</f>
        <v>-0.35494327390599678</v>
      </c>
      <c r="BU1350" s="36">
        <f>(Inventory[[#This Row],[Adjusted Total]]-Inventory[[#This Row],[24Final]])/Inventory[[#This Row],[24Final]]</f>
        <v>3.4726904922454484E-2</v>
      </c>
    </row>
    <row r="1351" spans="1:73" x14ac:dyDescent="0.3">
      <c r="A1351" s="25">
        <v>2025</v>
      </c>
      <c r="B1351" s="26" t="s">
        <v>1412</v>
      </c>
      <c r="C1351" s="26">
        <f>LN(Inventory[[#This Row],[Acres]])</f>
        <v>-1.8971199848858813</v>
      </c>
      <c r="D1351" s="25">
        <v>0.15</v>
      </c>
      <c r="E1351" s="32">
        <v>6591</v>
      </c>
      <c r="F1351" s="26" t="s">
        <v>537</v>
      </c>
      <c r="G1351" s="26" t="s">
        <v>126</v>
      </c>
      <c r="H1351" s="26" t="s">
        <v>349</v>
      </c>
      <c r="I1351" s="26" t="s">
        <v>538</v>
      </c>
      <c r="J1351" s="26" t="s">
        <v>539</v>
      </c>
      <c r="K1351" s="26" t="s">
        <v>242</v>
      </c>
      <c r="L1351" s="26" t="s">
        <v>205</v>
      </c>
      <c r="M1351" s="26" t="s">
        <v>323</v>
      </c>
      <c r="N1351" s="26">
        <v>90</v>
      </c>
      <c r="O1351" s="26">
        <f>2024-Inventory[[#This Row],[YrBlt]]</f>
        <v>84</v>
      </c>
      <c r="P1351" s="26">
        <f>2024-Inventory[[#This Row],[EffYr]]</f>
        <v>52</v>
      </c>
      <c r="Q1351" s="25">
        <v>1940</v>
      </c>
      <c r="R1351" s="25">
        <v>1972</v>
      </c>
      <c r="S1351" s="25">
        <v>986</v>
      </c>
      <c r="T1351" s="31"/>
      <c r="U1351" s="25">
        <v>493</v>
      </c>
      <c r="V1351" s="25">
        <f>Inventory[[#This Row],[Bsmt]]-Inventory[[#This Row],[FnBsmt]]</f>
        <v>246</v>
      </c>
      <c r="W1351" s="25">
        <v>247</v>
      </c>
      <c r="X1351" s="27"/>
      <c r="Y1351" s="27">
        <f>Inventory[[#This Row],[MainFn]]+Inventory[[#This Row],[UpprFn]]+Inventory[[#This Row],[FnBsmt]]+Inventory[[#This Row],[AddFn]]</f>
        <v>1233</v>
      </c>
      <c r="Z1351" s="27">
        <v>1500</v>
      </c>
      <c r="AA1351" s="25">
        <v>5</v>
      </c>
      <c r="AB1351" s="27"/>
      <c r="AC1351" s="27"/>
      <c r="AD1351" s="31"/>
      <c r="AE1351" s="27"/>
      <c r="AF1351" s="27"/>
      <c r="AG1351" s="27"/>
      <c r="AH1351" s="27"/>
      <c r="AI1351" s="25">
        <v>182929</v>
      </c>
      <c r="AJ1351" s="25">
        <v>124392</v>
      </c>
      <c r="AK1351" s="25">
        <v>5605</v>
      </c>
      <c r="AL1351" s="25">
        <v>255800</v>
      </c>
      <c r="AM1351" s="25">
        <v>48400</v>
      </c>
      <c r="AN1351" s="25">
        <v>207400</v>
      </c>
      <c r="AO1351" s="25">
        <v>0</v>
      </c>
      <c r="AP1351" s="25">
        <f>Lookups!$B$56*0</f>
        <v>0</v>
      </c>
      <c r="AQ1351" s="25">
        <f>Lookups!$B$56*1</f>
        <v>89850.625589999996</v>
      </c>
      <c r="AR1351" s="25">
        <f>Lookups!$B$57*Inventory[[#This Row],[LnAcres]]</f>
        <v>-60052.604136134301</v>
      </c>
      <c r="AS1351" s="25">
        <f>VLOOKUP(Inventory[[#This Row],[Qlty]],Lookups!$A$62:$E$75,2,FALSE)</f>
        <v>0</v>
      </c>
      <c r="AT1351" s="25">
        <f>VLOOKUP(Inventory[[#This Row],[Cnd]],Lookups!$A$76:$E$84,2,FALSE)</f>
        <v>160472.20319</v>
      </c>
      <c r="AU1351" s="25">
        <f>Inventory[[#This Row],[EffAge]]*Lookups!$B$85</f>
        <v>-11598.371226000001</v>
      </c>
      <c r="AV1351" s="25">
        <f>Inventory[[#This Row],[MainFn]]*Lookups!$B$86</f>
        <v>48716.948498721998</v>
      </c>
      <c r="AW1351" s="25">
        <f>Inventory[[#This Row],[UpprFn]]*Lookups!$B$87</f>
        <v>0</v>
      </c>
      <c r="AX1351" s="25">
        <f>Inventory[[#This Row],[AddFn]]*Lookups!$B$88</f>
        <v>0</v>
      </c>
      <c r="AY1351" s="25">
        <f>Inventory[[#This Row],[Bsmt]]*Lookups!$B$89</f>
        <v>14337.374356770999</v>
      </c>
      <c r="AZ1351" s="25">
        <f>Inventory[[#This Row],[Fixtures]]*Lookups!$B$90</f>
        <v>18960.110526</v>
      </c>
      <c r="BA1351" s="25">
        <f>Inventory[[#This Row],[WdDeck]]*Lookups!$B$91</f>
        <v>0</v>
      </c>
      <c r="BB1351" s="25">
        <f>ROUND(Inventory[[#This Row],[25Det]],-2)</f>
        <v>5600</v>
      </c>
      <c r="BC1351" s="25">
        <f>ROUND(SUM(Inventory[[#This Row],[Mdl Qlty]:[Mdl WdDeck]])+Inventory[[#This Row],[Mdl Res Intercept]],-2)</f>
        <v>230900</v>
      </c>
      <c r="BD1351" s="25">
        <f>ROUND(Inventory[[#This Row],[Mdl Land Intercept]]+Inventory[[#This Row],[Mdl LnAcres]],-2)</f>
        <v>29800</v>
      </c>
      <c r="BE1351" s="25">
        <f>Inventory[[#This Row],[Unadj Res Value]]+Inventory[[#This Row],[Unadj Det Value]]+Inventory[[#This Row],[Unadj Land Value]]</f>
        <v>266300</v>
      </c>
      <c r="BF1351" s="36">
        <f>(Inventory[[#This Row],[Unadj Total Value]]-Inventory[[#This Row],[24Final]])/Inventory[[#This Row],[24Final]]</f>
        <v>4.1047693510555122E-2</v>
      </c>
      <c r="BG1351" s="25">
        <f>VLOOKUP(Inventory[[#This Row],[Nbhd]],Lookups!$Q$2:$T$4,4,FALSE)</f>
        <v>0.99970000000000003</v>
      </c>
      <c r="BH1351" s="25">
        <f>VLOOKUP(Inventory[[#This Row],[Qlty]],Lookups!$O$7:$R$21,4,FALSE)</f>
        <v>0.99180000000000001</v>
      </c>
      <c r="BI1351" s="25">
        <f>VLOOKUP(Inventory[[#This Row],[Cnd]],Lookups!$T$7:$W$16,4,FALSE)</f>
        <v>0.99729999999999996</v>
      </c>
      <c r="BJ1351" s="25">
        <f>VLOOKUP(Inventory[[#This Row],[LivArea Range]],Lookups!$T$25:$W$37,4,FALSE)</f>
        <v>1.0157</v>
      </c>
      <c r="BK1351" s="25">
        <f>VLOOKUP(Inventory[[#This Row],[Decade]],Lookups!$O$25:$R$42,4,FALSE)</f>
        <v>0.98909999999999998</v>
      </c>
      <c r="BL1351" s="25">
        <f>Inventory[[#This Row],[Nbhd Adj]]*0.95</f>
        <v>0.94971499999999998</v>
      </c>
      <c r="BM1351" s="25">
        <f>Inventory[[#This Row],[Nbhd Adj]]*Inventory[[#This Row],[Quality Adj]]*Inventory[[#This Row],[Condition Adj]]*Inventory[[#This Row],[Living Area Adj]]*Inventory[[#This Row],[Decade Adj]]*0.95</f>
        <v>0.94373242022269987</v>
      </c>
      <c r="BN1351" s="25">
        <f>ROUND(SUM(Inventory[[#This Row],[Mdl Qlty]:[Mdl WdDeck]])+Inventory[[#This Row],[Mdl Res Intercept]]*Inventory[[#This Row],[Res Adj ]],-2)</f>
        <v>230900</v>
      </c>
      <c r="BO1351" s="25">
        <f>ROUND(Inventory[[#This Row],[25Det]]*Inventory[[#This Row],[Det/Nbhd Adj]],-2)</f>
        <v>5300</v>
      </c>
      <c r="BP1351" s="25">
        <f>Inventory[[#This Row],[Adjusted Res]]+Inventory[[#This Row],[Adj Det ]]</f>
        <v>236200</v>
      </c>
      <c r="BQ1351" s="25">
        <f>ROUND((Inventory[[#This Row],[Mdl Land Intercept]]+Inventory[[#This Row],[Mdl LnAcres]])*Inventory[[#This Row],[Det/Nbhd Adj]],-2)</f>
        <v>28300</v>
      </c>
      <c r="BR1351" s="25">
        <f>Inventory[[#This Row],[Adjusted Impr Total]]+Inventory[[#This Row],[Adjusted Land Total]]</f>
        <v>264500</v>
      </c>
      <c r="BS1351" s="36">
        <f>IFERROR((Inventory[[#This Row],[Adjusted Impr Total]]-Inventory[[#This Row],[24Bldg]])/Inventory[[#This Row],[24Bldg]],0)</f>
        <v>0.13886210221793635</v>
      </c>
      <c r="BT1351" s="36">
        <f>(Inventory[[#This Row],[Adjusted Land Total]]-Inventory[[#This Row],[24Lnd]])/Inventory[[#This Row],[24Lnd]]</f>
        <v>-0.41528925619834711</v>
      </c>
      <c r="BU1351" s="36">
        <f>(Inventory[[#This Row],[Adjusted Total]]-Inventory[[#This Row],[24Final]])/Inventory[[#This Row],[24Final]]</f>
        <v>3.4010946051602813E-2</v>
      </c>
    </row>
    <row r="1352" spans="1:73" x14ac:dyDescent="0.3">
      <c r="A1352" s="25">
        <v>2025</v>
      </c>
      <c r="B1352" s="26" t="s">
        <v>2051</v>
      </c>
      <c r="C1352" s="26">
        <f>LN(Inventory[[#This Row],[Acres]])</f>
        <v>-2.0402208285265546</v>
      </c>
      <c r="D1352" s="25">
        <v>0.13</v>
      </c>
      <c r="E1352" s="27"/>
      <c r="F1352" s="26" t="s">
        <v>537</v>
      </c>
      <c r="G1352" s="26" t="s">
        <v>126</v>
      </c>
      <c r="H1352" s="26" t="s">
        <v>349</v>
      </c>
      <c r="I1352" s="26" t="s">
        <v>538</v>
      </c>
      <c r="J1352" s="26" t="s">
        <v>539</v>
      </c>
      <c r="K1352" s="26" t="s">
        <v>173</v>
      </c>
      <c r="L1352" s="26" t="s">
        <v>205</v>
      </c>
      <c r="M1352" s="26" t="s">
        <v>323</v>
      </c>
      <c r="N1352" s="26">
        <v>90</v>
      </c>
      <c r="O1352" s="26">
        <f>2024-Inventory[[#This Row],[YrBlt]]</f>
        <v>84</v>
      </c>
      <c r="P1352" s="26">
        <f>2024-Inventory[[#This Row],[EffYr]]</f>
        <v>52</v>
      </c>
      <c r="Q1352" s="25">
        <v>1940</v>
      </c>
      <c r="R1352" s="25">
        <v>1972</v>
      </c>
      <c r="S1352" s="25">
        <v>1016</v>
      </c>
      <c r="T1352" s="27"/>
      <c r="U1352" s="25">
        <v>1016</v>
      </c>
      <c r="V1352" s="25">
        <f>Inventory[[#This Row],[Bsmt]]-Inventory[[#This Row],[FnBsmt]]</f>
        <v>584</v>
      </c>
      <c r="W1352" s="25">
        <v>432</v>
      </c>
      <c r="X1352" s="27"/>
      <c r="Y1352" s="27">
        <f>Inventory[[#This Row],[MainFn]]+Inventory[[#This Row],[UpprFn]]+Inventory[[#This Row],[FnBsmt]]+Inventory[[#This Row],[AddFn]]</f>
        <v>1448</v>
      </c>
      <c r="Z1352" s="27">
        <v>1500</v>
      </c>
      <c r="AA1352" s="25">
        <v>8</v>
      </c>
      <c r="AB1352" s="27"/>
      <c r="AC1352" s="27"/>
      <c r="AD1352" s="27"/>
      <c r="AE1352" s="27"/>
      <c r="AF1352" s="27"/>
      <c r="AG1352" s="27"/>
      <c r="AH1352" s="27"/>
      <c r="AI1352" s="25">
        <v>224344</v>
      </c>
      <c r="AJ1352" s="25">
        <v>152554</v>
      </c>
      <c r="AK1352" s="25">
        <v>0</v>
      </c>
      <c r="AL1352" s="25">
        <v>273700</v>
      </c>
      <c r="AM1352" s="25">
        <v>43400</v>
      </c>
      <c r="AN1352" s="25">
        <v>230300</v>
      </c>
      <c r="AO1352" s="25">
        <v>0</v>
      </c>
      <c r="AP1352" s="25">
        <f>Lookups!$B$56*0</f>
        <v>0</v>
      </c>
      <c r="AQ1352" s="25">
        <f>Lookups!$B$56*1</f>
        <v>89850.625589999996</v>
      </c>
      <c r="AR1352" s="25">
        <f>Lookups!$B$57*Inventory[[#This Row],[LnAcres]]</f>
        <v>-64582.406353792743</v>
      </c>
      <c r="AS1352" s="25">
        <f>VLOOKUP(Inventory[[#This Row],[Qlty]],Lookups!$A$62:$E$75,2,FALSE)</f>
        <v>0</v>
      </c>
      <c r="AT1352" s="25">
        <f>VLOOKUP(Inventory[[#This Row],[Cnd]],Lookups!$A$76:$E$84,2,FALSE)</f>
        <v>160472.20319</v>
      </c>
      <c r="AU1352" s="25">
        <f>Inventory[[#This Row],[EffAge]]*Lookups!$B$85</f>
        <v>-11598.371226000001</v>
      </c>
      <c r="AV1352" s="25">
        <f>Inventory[[#This Row],[MainFn]]*Lookups!$B$86</f>
        <v>50199.208595032003</v>
      </c>
      <c r="AW1352" s="25">
        <f>Inventory[[#This Row],[UpprFn]]*Lookups!$B$87</f>
        <v>0</v>
      </c>
      <c r="AX1352" s="25">
        <f>Inventory[[#This Row],[AddFn]]*Lookups!$B$88</f>
        <v>0</v>
      </c>
      <c r="AY1352" s="25">
        <f>Inventory[[#This Row],[Bsmt]]*Lookups!$B$89</f>
        <v>29547.205570951999</v>
      </c>
      <c r="AZ1352" s="25">
        <f>Inventory[[#This Row],[Fixtures]]*Lookups!$B$90</f>
        <v>30336.176841600001</v>
      </c>
      <c r="BA1352" s="25">
        <f>Inventory[[#This Row],[WdDeck]]*Lookups!$B$91</f>
        <v>0</v>
      </c>
      <c r="BB1352" s="25">
        <f>ROUND(Inventory[[#This Row],[25Det]],-2)</f>
        <v>0</v>
      </c>
      <c r="BC1352" s="25">
        <f>ROUND(SUM(Inventory[[#This Row],[Mdl Qlty]:[Mdl WdDeck]])+Inventory[[#This Row],[Mdl Res Intercept]],-2)</f>
        <v>259000</v>
      </c>
      <c r="BD1352" s="25">
        <f>ROUND(Inventory[[#This Row],[Mdl Land Intercept]]+Inventory[[#This Row],[Mdl LnAcres]],-2)</f>
        <v>25300</v>
      </c>
      <c r="BE1352" s="25">
        <f>Inventory[[#This Row],[Unadj Res Value]]+Inventory[[#This Row],[Unadj Det Value]]+Inventory[[#This Row],[Unadj Land Value]]</f>
        <v>284300</v>
      </c>
      <c r="BF1352" s="36">
        <f>(Inventory[[#This Row],[Unadj Total Value]]-Inventory[[#This Row],[24Final]])/Inventory[[#This Row],[24Final]]</f>
        <v>3.872853489221776E-2</v>
      </c>
      <c r="BG1352" s="25">
        <f>VLOOKUP(Inventory[[#This Row],[Nbhd]],Lookups!$Q$2:$T$4,4,FALSE)</f>
        <v>0.99970000000000003</v>
      </c>
      <c r="BH1352" s="25">
        <f>VLOOKUP(Inventory[[#This Row],[Qlty]],Lookups!$O$7:$R$21,4,FALSE)</f>
        <v>0.99180000000000001</v>
      </c>
      <c r="BI1352" s="25">
        <f>VLOOKUP(Inventory[[#This Row],[Cnd]],Lookups!$T$7:$W$16,4,FALSE)</f>
        <v>0.99729999999999996</v>
      </c>
      <c r="BJ1352" s="25">
        <f>VLOOKUP(Inventory[[#This Row],[LivArea Range]],Lookups!$T$25:$W$37,4,FALSE)</f>
        <v>1.0157</v>
      </c>
      <c r="BK1352" s="25">
        <f>VLOOKUP(Inventory[[#This Row],[Decade]],Lookups!$O$25:$R$42,4,FALSE)</f>
        <v>0.98909999999999998</v>
      </c>
      <c r="BL1352" s="25">
        <f>Inventory[[#This Row],[Nbhd Adj]]*0.95</f>
        <v>0.94971499999999998</v>
      </c>
      <c r="BM1352" s="25">
        <f>Inventory[[#This Row],[Nbhd Adj]]*Inventory[[#This Row],[Quality Adj]]*Inventory[[#This Row],[Condition Adj]]*Inventory[[#This Row],[Living Area Adj]]*Inventory[[#This Row],[Decade Adj]]*0.95</f>
        <v>0.94373242022269987</v>
      </c>
      <c r="BN1352" s="25">
        <f>ROUND(SUM(Inventory[[#This Row],[Mdl Qlty]:[Mdl WdDeck]])+Inventory[[#This Row],[Mdl Res Intercept]]*Inventory[[#This Row],[Res Adj ]],-2)</f>
        <v>259000</v>
      </c>
      <c r="BO1352" s="25">
        <f>ROUND(Inventory[[#This Row],[25Det]]*Inventory[[#This Row],[Det/Nbhd Adj]],-2)</f>
        <v>0</v>
      </c>
      <c r="BP1352" s="25">
        <f>Inventory[[#This Row],[Adjusted Res]]+Inventory[[#This Row],[Adj Det ]]</f>
        <v>259000</v>
      </c>
      <c r="BQ1352" s="25">
        <f>ROUND((Inventory[[#This Row],[Mdl Land Intercept]]+Inventory[[#This Row],[Mdl LnAcres]])*Inventory[[#This Row],[Det/Nbhd Adj]],-2)</f>
        <v>24000</v>
      </c>
      <c r="BR1352" s="25">
        <f>Inventory[[#This Row],[Adjusted Impr Total]]+Inventory[[#This Row],[Adjusted Land Total]]</f>
        <v>283000</v>
      </c>
      <c r="BS1352" s="36">
        <f>IFERROR((Inventory[[#This Row],[Adjusted Impr Total]]-Inventory[[#This Row],[24Bldg]])/Inventory[[#This Row],[24Bldg]],0)</f>
        <v>0.12462006079027356</v>
      </c>
      <c r="BT1352" s="36">
        <f>(Inventory[[#This Row],[Adjusted Land Total]]-Inventory[[#This Row],[24Lnd]])/Inventory[[#This Row],[24Lnd]]</f>
        <v>-0.44700460829493088</v>
      </c>
      <c r="BU1352" s="36">
        <f>(Inventory[[#This Row],[Adjusted Total]]-Inventory[[#This Row],[24Final]])/Inventory[[#This Row],[24Final]]</f>
        <v>3.3978808914870297E-2</v>
      </c>
    </row>
    <row r="1353" spans="1:73" x14ac:dyDescent="0.3">
      <c r="A1353" s="25">
        <v>2025</v>
      </c>
      <c r="B1353" s="26" t="s">
        <v>2916</v>
      </c>
      <c r="C1353" s="26">
        <f>LN(Inventory[[#This Row],[Acres]])</f>
        <v>-1.7147984280919266</v>
      </c>
      <c r="D1353" s="25">
        <v>0.18</v>
      </c>
      <c r="E1353" s="32">
        <v>8007</v>
      </c>
      <c r="F1353" s="26" t="s">
        <v>537</v>
      </c>
      <c r="G1353" s="26" t="s">
        <v>126</v>
      </c>
      <c r="H1353" s="26" t="s">
        <v>349</v>
      </c>
      <c r="I1353" s="26" t="s">
        <v>538</v>
      </c>
      <c r="J1353" s="26" t="s">
        <v>539</v>
      </c>
      <c r="K1353" s="26" t="s">
        <v>350</v>
      </c>
      <c r="L1353" s="26" t="s">
        <v>148</v>
      </c>
      <c r="M1353" s="26" t="s">
        <v>206</v>
      </c>
      <c r="N1353" s="26">
        <v>90</v>
      </c>
      <c r="O1353" s="26">
        <f>2024-Inventory[[#This Row],[YrBlt]]</f>
        <v>84</v>
      </c>
      <c r="P1353" s="26">
        <f>2024-Inventory[[#This Row],[EffYr]]</f>
        <v>52</v>
      </c>
      <c r="Q1353" s="25">
        <v>1940</v>
      </c>
      <c r="R1353" s="25">
        <v>1972</v>
      </c>
      <c r="S1353" s="25">
        <v>1510</v>
      </c>
      <c r="T1353" s="31"/>
      <c r="U1353" s="25">
        <v>680</v>
      </c>
      <c r="V1353" s="25">
        <f>Inventory[[#This Row],[Bsmt]]-Inventory[[#This Row],[FnBsmt]]</f>
        <v>0</v>
      </c>
      <c r="W1353" s="25">
        <v>680</v>
      </c>
      <c r="X1353" s="27"/>
      <c r="Y1353" s="27">
        <f>Inventory[[#This Row],[MainFn]]+Inventory[[#This Row],[UpprFn]]+Inventory[[#This Row],[FnBsmt]]+Inventory[[#This Row],[AddFn]]</f>
        <v>2190</v>
      </c>
      <c r="Z1353" s="27">
        <v>2500</v>
      </c>
      <c r="AA1353" s="25">
        <v>8</v>
      </c>
      <c r="AB1353" s="32">
        <v>400</v>
      </c>
      <c r="AC1353" s="27"/>
      <c r="AD1353" s="27"/>
      <c r="AE1353" s="27"/>
      <c r="AF1353" s="27"/>
      <c r="AG1353" s="27"/>
      <c r="AH1353" s="27"/>
      <c r="AI1353" s="25">
        <v>438808</v>
      </c>
      <c r="AJ1353" s="25">
        <v>289613</v>
      </c>
      <c r="AK1353" s="25">
        <v>0</v>
      </c>
      <c r="AL1353" s="25">
        <v>314400</v>
      </c>
      <c r="AM1353" s="25">
        <v>54700</v>
      </c>
      <c r="AN1353" s="25">
        <v>259700</v>
      </c>
      <c r="AO1353" s="25">
        <v>0</v>
      </c>
      <c r="AP1353" s="25">
        <f>Lookups!$B$56*0</f>
        <v>0</v>
      </c>
      <c r="AQ1353" s="25">
        <f>Lookups!$B$56*1</f>
        <v>89850.625589999996</v>
      </c>
      <c r="AR1353" s="25">
        <f>Lookups!$B$57*Inventory[[#This Row],[LnAcres]]</f>
        <v>-54281.285314520763</v>
      </c>
      <c r="AS1353" s="25">
        <f>VLOOKUP(Inventory[[#This Row],[Qlty]],Lookups!$A$62:$E$75,2,FALSE)</f>
        <v>44121.038090000002</v>
      </c>
      <c r="AT1353" s="25">
        <f>VLOOKUP(Inventory[[#This Row],[Cnd]],Lookups!$A$76:$E$84,2,FALSE)</f>
        <v>133714.53821</v>
      </c>
      <c r="AU1353" s="25">
        <f>Inventory[[#This Row],[EffAge]]*Lookups!$B$85</f>
        <v>-11598.371226000001</v>
      </c>
      <c r="AV1353" s="25">
        <f>Inventory[[#This Row],[MainFn]]*Lookups!$B$86</f>
        <v>74607.091514269996</v>
      </c>
      <c r="AW1353" s="25">
        <f>Inventory[[#This Row],[UpprFn]]*Lookups!$B$87</f>
        <v>0</v>
      </c>
      <c r="AX1353" s="25">
        <f>Inventory[[#This Row],[AddFn]]*Lookups!$B$88</f>
        <v>0</v>
      </c>
      <c r="AY1353" s="25">
        <f>Inventory[[#This Row],[Bsmt]]*Lookups!$B$89</f>
        <v>19775.68876796</v>
      </c>
      <c r="AZ1353" s="25">
        <f>Inventory[[#This Row],[Fixtures]]*Lookups!$B$90</f>
        <v>30336.176841600001</v>
      </c>
      <c r="BA1353" s="25">
        <f>Inventory[[#This Row],[WdDeck]]*Lookups!$B$91</f>
        <v>0</v>
      </c>
      <c r="BB1353" s="25">
        <f>ROUND(Inventory[[#This Row],[25Det]],-2)</f>
        <v>0</v>
      </c>
      <c r="BC1353" s="25">
        <f>ROUND(SUM(Inventory[[#This Row],[Mdl Qlty]:[Mdl WdDeck]])+Inventory[[#This Row],[Mdl Res Intercept]],-2)</f>
        <v>291000</v>
      </c>
      <c r="BD1353" s="25">
        <f>ROUND(Inventory[[#This Row],[Mdl Land Intercept]]+Inventory[[#This Row],[Mdl LnAcres]],-2)</f>
        <v>35600</v>
      </c>
      <c r="BE1353" s="25">
        <f>Inventory[[#This Row],[Unadj Res Value]]+Inventory[[#This Row],[Unadj Det Value]]+Inventory[[#This Row],[Unadj Land Value]]</f>
        <v>326600</v>
      </c>
      <c r="BF1353" s="36">
        <f>(Inventory[[#This Row],[Unadj Total Value]]-Inventory[[#This Row],[24Final]])/Inventory[[#This Row],[24Final]]</f>
        <v>3.8804071246819338E-2</v>
      </c>
      <c r="BG1353" s="25">
        <f>VLOOKUP(Inventory[[#This Row],[Nbhd]],Lookups!$Q$2:$T$4,4,FALSE)</f>
        <v>0.99970000000000003</v>
      </c>
      <c r="BH1353" s="25">
        <f>VLOOKUP(Inventory[[#This Row],[Qlty]],Lookups!$O$7:$R$21,4,FALSE)</f>
        <v>0.98050000000000004</v>
      </c>
      <c r="BI1353" s="25">
        <f>VLOOKUP(Inventory[[#This Row],[Cnd]],Lookups!$T$7:$W$16,4,FALSE)</f>
        <v>0.99329999999999996</v>
      </c>
      <c r="BJ1353" s="25">
        <f>VLOOKUP(Inventory[[#This Row],[LivArea Range]],Lookups!$T$25:$W$37,4,FALSE)</f>
        <v>0.98919999999999997</v>
      </c>
      <c r="BK1353" s="25">
        <f>VLOOKUP(Inventory[[#This Row],[Decade]],Lookups!$O$25:$R$42,4,FALSE)</f>
        <v>0.98909999999999998</v>
      </c>
      <c r="BL1353" s="25">
        <f>Inventory[[#This Row],[Nbhd Adj]]*0.95</f>
        <v>0.94971499999999998</v>
      </c>
      <c r="BM1353" s="25">
        <f>Inventory[[#This Row],[Nbhd Adj]]*Inventory[[#This Row],[Quality Adj]]*Inventory[[#This Row],[Condition Adj]]*Inventory[[#This Row],[Living Area Adj]]*Inventory[[#This Row],[Decade Adj]]*0.95</f>
        <v>0.90499387607384885</v>
      </c>
      <c r="BN1353" s="25">
        <f>ROUND(SUM(Inventory[[#This Row],[Mdl Qlty]:[Mdl WdDeck]])+Inventory[[#This Row],[Mdl Res Intercept]]*Inventory[[#This Row],[Res Adj ]],-2)</f>
        <v>291000</v>
      </c>
      <c r="BO1353" s="25">
        <f>ROUND(Inventory[[#This Row],[25Det]]*Inventory[[#This Row],[Det/Nbhd Adj]],-2)</f>
        <v>0</v>
      </c>
      <c r="BP1353" s="25">
        <f>Inventory[[#This Row],[Adjusted Res]]+Inventory[[#This Row],[Adj Det ]]</f>
        <v>291000</v>
      </c>
      <c r="BQ1353" s="25">
        <f>ROUND((Inventory[[#This Row],[Mdl Land Intercept]]+Inventory[[#This Row],[Mdl LnAcres]])*Inventory[[#This Row],[Det/Nbhd Adj]],-2)</f>
        <v>33800</v>
      </c>
      <c r="BR1353" s="25">
        <f>Inventory[[#This Row],[Adjusted Impr Total]]+Inventory[[#This Row],[Adjusted Land Total]]</f>
        <v>324800</v>
      </c>
      <c r="BS1353" s="36">
        <f>IFERROR((Inventory[[#This Row],[Adjusted Impr Total]]-Inventory[[#This Row],[24Bldg]])/Inventory[[#This Row],[24Bldg]],0)</f>
        <v>0.12052368117058145</v>
      </c>
      <c r="BT1353" s="36">
        <f>(Inventory[[#This Row],[Adjusted Land Total]]-Inventory[[#This Row],[24Lnd]])/Inventory[[#This Row],[24Lnd]]</f>
        <v>-0.38208409506398539</v>
      </c>
      <c r="BU1353" s="36">
        <f>(Inventory[[#This Row],[Adjusted Total]]-Inventory[[#This Row],[24Final]])/Inventory[[#This Row],[24Final]]</f>
        <v>3.3078880407124679E-2</v>
      </c>
    </row>
    <row r="1354" spans="1:73" x14ac:dyDescent="0.3">
      <c r="A1354" s="25">
        <v>2025</v>
      </c>
      <c r="B1354" s="26" t="s">
        <v>2481</v>
      </c>
      <c r="C1354" s="26">
        <f>LN(Inventory[[#This Row],[Acres]])</f>
        <v>-1.5606477482646683</v>
      </c>
      <c r="D1354" s="25">
        <v>0.21</v>
      </c>
      <c r="E1354" s="32">
        <v>9240</v>
      </c>
      <c r="F1354" s="26" t="s">
        <v>537</v>
      </c>
      <c r="G1354" s="26" t="s">
        <v>126</v>
      </c>
      <c r="H1354" s="26" t="s">
        <v>349</v>
      </c>
      <c r="I1354" s="26" t="s">
        <v>538</v>
      </c>
      <c r="J1354" s="26" t="s">
        <v>539</v>
      </c>
      <c r="K1354" s="26" t="s">
        <v>242</v>
      </c>
      <c r="L1354" s="26" t="s">
        <v>351</v>
      </c>
      <c r="M1354" s="26" t="s">
        <v>323</v>
      </c>
      <c r="N1354" s="26">
        <v>90</v>
      </c>
      <c r="O1354" s="26">
        <f>2024-Inventory[[#This Row],[YrBlt]]</f>
        <v>84</v>
      </c>
      <c r="P1354" s="26">
        <f>2024-Inventory[[#This Row],[EffYr]]</f>
        <v>52</v>
      </c>
      <c r="Q1354" s="25">
        <v>1940</v>
      </c>
      <c r="R1354" s="25">
        <v>1972</v>
      </c>
      <c r="S1354" s="25">
        <v>1800</v>
      </c>
      <c r="T1354" s="31"/>
      <c r="U1354" s="25">
        <v>316</v>
      </c>
      <c r="V1354" s="25">
        <f>Inventory[[#This Row],[Bsmt]]-Inventory[[#This Row],[FnBsmt]]</f>
        <v>316</v>
      </c>
      <c r="W1354" s="31"/>
      <c r="X1354" s="27"/>
      <c r="Y1354" s="27">
        <f>Inventory[[#This Row],[MainFn]]+Inventory[[#This Row],[UpprFn]]+Inventory[[#This Row],[FnBsmt]]+Inventory[[#This Row],[AddFn]]</f>
        <v>1800</v>
      </c>
      <c r="Z1354" s="27">
        <v>2000</v>
      </c>
      <c r="AA1354" s="25">
        <v>11</v>
      </c>
      <c r="AB1354" s="27"/>
      <c r="AC1354" s="27"/>
      <c r="AD1354" s="27"/>
      <c r="AE1354" s="27"/>
      <c r="AF1354" s="27"/>
      <c r="AG1354" s="27"/>
      <c r="AH1354" s="27"/>
      <c r="AI1354" s="25">
        <v>306898</v>
      </c>
      <c r="AJ1354" s="25">
        <v>208691</v>
      </c>
      <c r="AK1354" s="25">
        <v>8403</v>
      </c>
      <c r="AL1354" s="25">
        <v>345400</v>
      </c>
      <c r="AM1354" s="25">
        <v>60100</v>
      </c>
      <c r="AN1354" s="25">
        <v>285300</v>
      </c>
      <c r="AO1354" s="25">
        <v>0</v>
      </c>
      <c r="AP1354" s="25">
        <f>Lookups!$B$56*0</f>
        <v>0</v>
      </c>
      <c r="AQ1354" s="25">
        <f>Lookups!$B$56*1</f>
        <v>89850.625589999996</v>
      </c>
      <c r="AR1354" s="25">
        <f>Lookups!$B$57*Inventory[[#This Row],[LnAcres]]</f>
        <v>-49401.70477837498</v>
      </c>
      <c r="AS1354" s="25">
        <f>VLOOKUP(Inventory[[#This Row],[Qlty]],Lookups!$A$62:$E$75,2,FALSE)</f>
        <v>21557.329055999999</v>
      </c>
      <c r="AT1354" s="25">
        <f>VLOOKUP(Inventory[[#This Row],[Cnd]],Lookups!$A$76:$E$84,2,FALSE)</f>
        <v>160472.20319</v>
      </c>
      <c r="AU1354" s="25">
        <f>Inventory[[#This Row],[EffAge]]*Lookups!$B$85</f>
        <v>-11598.371226000001</v>
      </c>
      <c r="AV1354" s="25">
        <f>Inventory[[#This Row],[MainFn]]*Lookups!$B$86</f>
        <v>88935.605778600002</v>
      </c>
      <c r="AW1354" s="25">
        <f>Inventory[[#This Row],[UpprFn]]*Lookups!$B$87</f>
        <v>0</v>
      </c>
      <c r="AX1354" s="25">
        <f>Inventory[[#This Row],[AddFn]]*Lookups!$B$88</f>
        <v>0</v>
      </c>
      <c r="AY1354" s="25">
        <f>Inventory[[#This Row],[Bsmt]]*Lookups!$B$89</f>
        <v>9189.8788980520003</v>
      </c>
      <c r="AZ1354" s="25">
        <f>Inventory[[#This Row],[Fixtures]]*Lookups!$B$90</f>
        <v>41712.243157199999</v>
      </c>
      <c r="BA1354" s="25">
        <f>Inventory[[#This Row],[WdDeck]]*Lookups!$B$91</f>
        <v>0</v>
      </c>
      <c r="BB1354" s="25">
        <f>ROUND(Inventory[[#This Row],[25Det]],-2)</f>
        <v>8400</v>
      </c>
      <c r="BC1354" s="25">
        <f>ROUND(SUM(Inventory[[#This Row],[Mdl Qlty]:[Mdl WdDeck]])+Inventory[[#This Row],[Mdl Res Intercept]],-2)</f>
        <v>310300</v>
      </c>
      <c r="BD1354" s="25">
        <f>ROUND(Inventory[[#This Row],[Mdl Land Intercept]]+Inventory[[#This Row],[Mdl LnAcres]],-2)</f>
        <v>40400</v>
      </c>
      <c r="BE1354" s="25">
        <f>Inventory[[#This Row],[Unadj Res Value]]+Inventory[[#This Row],[Unadj Det Value]]+Inventory[[#This Row],[Unadj Land Value]]</f>
        <v>359100</v>
      </c>
      <c r="BF1354" s="36">
        <f>(Inventory[[#This Row],[Unadj Total Value]]-Inventory[[#This Row],[24Final]])/Inventory[[#This Row],[24Final]]</f>
        <v>3.9664157498552406E-2</v>
      </c>
      <c r="BG1354" s="25">
        <f>VLOOKUP(Inventory[[#This Row],[Nbhd]],Lookups!$Q$2:$T$4,4,FALSE)</f>
        <v>0.99970000000000003</v>
      </c>
      <c r="BH1354" s="25">
        <f>VLOOKUP(Inventory[[#This Row],[Qlty]],Lookups!$O$7:$R$21,4,FALSE)</f>
        <v>1.0067999999999999</v>
      </c>
      <c r="BI1354" s="25">
        <f>VLOOKUP(Inventory[[#This Row],[Cnd]],Lookups!$T$7:$W$16,4,FALSE)</f>
        <v>0.99729999999999996</v>
      </c>
      <c r="BJ1354" s="25">
        <f>VLOOKUP(Inventory[[#This Row],[LivArea Range]],Lookups!$T$25:$W$37,4,FALSE)</f>
        <v>1.0093000000000001</v>
      </c>
      <c r="BK1354" s="25">
        <f>VLOOKUP(Inventory[[#This Row],[Decade]],Lookups!$O$25:$R$42,4,FALSE)</f>
        <v>0.98909999999999998</v>
      </c>
      <c r="BL1354" s="25">
        <f>Inventory[[#This Row],[Nbhd Adj]]*0.95</f>
        <v>0.94971499999999998</v>
      </c>
      <c r="BM1354" s="25">
        <f>Inventory[[#This Row],[Nbhd Adj]]*Inventory[[#This Row],[Quality Adj]]*Inventory[[#This Row],[Condition Adj]]*Inventory[[#This Row],[Living Area Adj]]*Inventory[[#This Row],[Decade Adj]]*0.95</f>
        <v>0.95196898294134369</v>
      </c>
      <c r="BN1354" s="25">
        <f>ROUND(SUM(Inventory[[#This Row],[Mdl Qlty]:[Mdl WdDeck]])+Inventory[[#This Row],[Mdl Res Intercept]]*Inventory[[#This Row],[Res Adj ]],-2)</f>
        <v>310300</v>
      </c>
      <c r="BO1354" s="25">
        <f>ROUND(Inventory[[#This Row],[25Det]]*Inventory[[#This Row],[Det/Nbhd Adj]],-2)</f>
        <v>8000</v>
      </c>
      <c r="BP1354" s="25">
        <f>Inventory[[#This Row],[Adjusted Res]]+Inventory[[#This Row],[Adj Det ]]</f>
        <v>318300</v>
      </c>
      <c r="BQ1354" s="25">
        <f>ROUND((Inventory[[#This Row],[Mdl Land Intercept]]+Inventory[[#This Row],[Mdl LnAcres]])*Inventory[[#This Row],[Det/Nbhd Adj]],-2)</f>
        <v>38400</v>
      </c>
      <c r="BR1354" s="25">
        <f>Inventory[[#This Row],[Adjusted Impr Total]]+Inventory[[#This Row],[Adjusted Land Total]]</f>
        <v>356700</v>
      </c>
      <c r="BS1354" s="36">
        <f>IFERROR((Inventory[[#This Row],[Adjusted Impr Total]]-Inventory[[#This Row],[24Bldg]])/Inventory[[#This Row],[24Bldg]],0)</f>
        <v>0.1156677181913775</v>
      </c>
      <c r="BT1354" s="36">
        <f>(Inventory[[#This Row],[Adjusted Land Total]]-Inventory[[#This Row],[24Lnd]])/Inventory[[#This Row],[24Lnd]]</f>
        <v>-0.36106489184692181</v>
      </c>
      <c r="BU1354" s="36">
        <f>(Inventory[[#This Row],[Adjusted Total]]-Inventory[[#This Row],[24Final]])/Inventory[[#This Row],[24Final]]</f>
        <v>3.2715691951360738E-2</v>
      </c>
    </row>
    <row r="1355" spans="1:73" x14ac:dyDescent="0.3">
      <c r="A1355" s="25">
        <v>2025</v>
      </c>
      <c r="B1355" s="26" t="s">
        <v>1428</v>
      </c>
      <c r="C1355" s="26">
        <f>LN(Inventory[[#This Row],[Acres]])</f>
        <v>-1.6094379124341003</v>
      </c>
      <c r="D1355" s="25">
        <v>0.2</v>
      </c>
      <c r="E1355" s="32">
        <v>8618</v>
      </c>
      <c r="F1355" s="26" t="s">
        <v>537</v>
      </c>
      <c r="G1355" s="26" t="s">
        <v>126</v>
      </c>
      <c r="H1355" s="26" t="s">
        <v>349</v>
      </c>
      <c r="I1355" s="26" t="s">
        <v>538</v>
      </c>
      <c r="J1355" s="26" t="s">
        <v>539</v>
      </c>
      <c r="K1355" s="26" t="s">
        <v>242</v>
      </c>
      <c r="L1355" s="26" t="s">
        <v>302</v>
      </c>
      <c r="M1355" s="26" t="s">
        <v>323</v>
      </c>
      <c r="N1355" s="26">
        <v>90</v>
      </c>
      <c r="O1355" s="26">
        <f>2024-Inventory[[#This Row],[YrBlt]]</f>
        <v>84</v>
      </c>
      <c r="P1355" s="26">
        <f>2024-Inventory[[#This Row],[EffYr]]</f>
        <v>52</v>
      </c>
      <c r="Q1355" s="25">
        <v>1940</v>
      </c>
      <c r="R1355" s="25">
        <v>1972</v>
      </c>
      <c r="S1355" s="25">
        <v>1263</v>
      </c>
      <c r="T1355" s="27"/>
      <c r="U1355" s="25">
        <v>935</v>
      </c>
      <c r="V1355" s="25">
        <f>Inventory[[#This Row],[Bsmt]]-Inventory[[#This Row],[FnBsmt]]</f>
        <v>467</v>
      </c>
      <c r="W1355" s="25">
        <v>468</v>
      </c>
      <c r="X1355" s="27"/>
      <c r="Y1355" s="27">
        <f>Inventory[[#This Row],[MainFn]]+Inventory[[#This Row],[UpprFn]]+Inventory[[#This Row],[FnBsmt]]+Inventory[[#This Row],[AddFn]]</f>
        <v>1731</v>
      </c>
      <c r="Z1355" s="27">
        <v>2000</v>
      </c>
      <c r="AA1355" s="25">
        <v>8</v>
      </c>
      <c r="AB1355" s="32">
        <v>231</v>
      </c>
      <c r="AC1355" s="27"/>
      <c r="AD1355" s="27"/>
      <c r="AE1355" s="27"/>
      <c r="AF1355" s="27"/>
      <c r="AG1355" s="27"/>
      <c r="AH1355" s="27"/>
      <c r="AI1355" s="25">
        <v>329149</v>
      </c>
      <c r="AJ1355" s="25">
        <v>223821</v>
      </c>
      <c r="AK1355" s="25">
        <v>0</v>
      </c>
      <c r="AL1355" s="25">
        <v>324900</v>
      </c>
      <c r="AM1355" s="25">
        <v>58400</v>
      </c>
      <c r="AN1355" s="25">
        <v>266500</v>
      </c>
      <c r="AO1355" s="25">
        <v>0</v>
      </c>
      <c r="AP1355" s="25">
        <f>Lookups!$B$56*0</f>
        <v>0</v>
      </c>
      <c r="AQ1355" s="25">
        <f>Lookups!$B$56*1</f>
        <v>89850.625589999996</v>
      </c>
      <c r="AR1355" s="25">
        <f>Lookups!$B$57*Inventory[[#This Row],[LnAcres]]</f>
        <v>-50946.13867709865</v>
      </c>
      <c r="AS1355" s="25">
        <f>VLOOKUP(Inventory[[#This Row],[Qlty]],Lookups!$A$62:$E$75,2,FALSE)</f>
        <v>29814.093161000001</v>
      </c>
      <c r="AT1355" s="25">
        <f>VLOOKUP(Inventory[[#This Row],[Cnd]],Lookups!$A$76:$E$84,2,FALSE)</f>
        <v>160472.20319</v>
      </c>
      <c r="AU1355" s="25">
        <f>Inventory[[#This Row],[EffAge]]*Lookups!$B$85</f>
        <v>-11598.371226000001</v>
      </c>
      <c r="AV1355" s="25">
        <f>Inventory[[#This Row],[MainFn]]*Lookups!$B$86</f>
        <v>62403.150054651</v>
      </c>
      <c r="AW1355" s="25">
        <f>Inventory[[#This Row],[UpprFn]]*Lookups!$B$87</f>
        <v>0</v>
      </c>
      <c r="AX1355" s="25">
        <f>Inventory[[#This Row],[AddFn]]*Lookups!$B$88</f>
        <v>0</v>
      </c>
      <c r="AY1355" s="25">
        <f>Inventory[[#This Row],[Bsmt]]*Lookups!$B$89</f>
        <v>27191.572055944998</v>
      </c>
      <c r="AZ1355" s="25">
        <f>Inventory[[#This Row],[Fixtures]]*Lookups!$B$90</f>
        <v>30336.176841600001</v>
      </c>
      <c r="BA1355" s="25">
        <f>Inventory[[#This Row],[WdDeck]]*Lookups!$B$91</f>
        <v>0</v>
      </c>
      <c r="BB1355" s="25">
        <f>ROUND(Inventory[[#This Row],[25Det]],-2)</f>
        <v>0</v>
      </c>
      <c r="BC1355" s="25">
        <f>ROUND(SUM(Inventory[[#This Row],[Mdl Qlty]:[Mdl WdDeck]])+Inventory[[#This Row],[Mdl Res Intercept]],-2)</f>
        <v>298600</v>
      </c>
      <c r="BD1355" s="25">
        <f>ROUND(Inventory[[#This Row],[Mdl Land Intercept]]+Inventory[[#This Row],[Mdl LnAcres]],-2)</f>
        <v>38900</v>
      </c>
      <c r="BE1355" s="25">
        <f>Inventory[[#This Row],[Unadj Res Value]]+Inventory[[#This Row],[Unadj Det Value]]+Inventory[[#This Row],[Unadj Land Value]]</f>
        <v>337500</v>
      </c>
      <c r="BF1355" s="36">
        <f>(Inventory[[#This Row],[Unadj Total Value]]-Inventory[[#This Row],[24Final]])/Inventory[[#This Row],[24Final]]</f>
        <v>3.8781163434903045E-2</v>
      </c>
      <c r="BG1355" s="25">
        <f>VLOOKUP(Inventory[[#This Row],[Nbhd]],Lookups!$Q$2:$T$4,4,FALSE)</f>
        <v>0.99970000000000003</v>
      </c>
      <c r="BH1355" s="25">
        <f>VLOOKUP(Inventory[[#This Row],[Qlty]],Lookups!$O$7:$R$21,4,FALSE)</f>
        <v>1.0088999999999999</v>
      </c>
      <c r="BI1355" s="25">
        <f>VLOOKUP(Inventory[[#This Row],[Cnd]],Lookups!$T$7:$W$16,4,FALSE)</f>
        <v>0.99729999999999996</v>
      </c>
      <c r="BJ1355" s="25">
        <f>VLOOKUP(Inventory[[#This Row],[LivArea Range]],Lookups!$T$25:$W$37,4,FALSE)</f>
        <v>1.0093000000000001</v>
      </c>
      <c r="BK1355" s="25">
        <f>VLOOKUP(Inventory[[#This Row],[Decade]],Lookups!$O$25:$R$42,4,FALSE)</f>
        <v>0.98909999999999998</v>
      </c>
      <c r="BL1355" s="25">
        <f>Inventory[[#This Row],[Nbhd Adj]]*0.95</f>
        <v>0.94971499999999998</v>
      </c>
      <c r="BM1355" s="25">
        <f>Inventory[[#This Row],[Nbhd Adj]]*Inventory[[#This Row],[Quality Adj]]*Inventory[[#This Row],[Condition Adj]]*Inventory[[#This Row],[Living Area Adj]]*Inventory[[#This Row],[Decade Adj]]*0.95</f>
        <v>0.95395461550409388</v>
      </c>
      <c r="BN1355" s="25">
        <f>ROUND(SUM(Inventory[[#This Row],[Mdl Qlty]:[Mdl WdDeck]])+Inventory[[#This Row],[Mdl Res Intercept]]*Inventory[[#This Row],[Res Adj ]],-2)</f>
        <v>298600</v>
      </c>
      <c r="BO1355" s="25">
        <f>ROUND(Inventory[[#This Row],[25Det]]*Inventory[[#This Row],[Det/Nbhd Adj]],-2)</f>
        <v>0</v>
      </c>
      <c r="BP1355" s="25">
        <f>Inventory[[#This Row],[Adjusted Res]]+Inventory[[#This Row],[Adj Det ]]</f>
        <v>298600</v>
      </c>
      <c r="BQ1355" s="25">
        <f>ROUND((Inventory[[#This Row],[Mdl Land Intercept]]+Inventory[[#This Row],[Mdl LnAcres]])*Inventory[[#This Row],[Det/Nbhd Adj]],-2)</f>
        <v>36900</v>
      </c>
      <c r="BR1355" s="25">
        <f>Inventory[[#This Row],[Adjusted Impr Total]]+Inventory[[#This Row],[Adjusted Land Total]]</f>
        <v>335500</v>
      </c>
      <c r="BS1355" s="36">
        <f>IFERROR((Inventory[[#This Row],[Adjusted Impr Total]]-Inventory[[#This Row],[24Bldg]])/Inventory[[#This Row],[24Bldg]],0)</f>
        <v>0.12045028142589118</v>
      </c>
      <c r="BT1355" s="36">
        <f>(Inventory[[#This Row],[Adjusted Land Total]]-Inventory[[#This Row],[24Lnd]])/Inventory[[#This Row],[24Lnd]]</f>
        <v>-0.36815068493150682</v>
      </c>
      <c r="BU1355" s="36">
        <f>(Inventory[[#This Row],[Adjusted Total]]-Inventory[[#This Row],[24Final]])/Inventory[[#This Row],[24Final]]</f>
        <v>3.2625423207140659E-2</v>
      </c>
    </row>
    <row r="1356" spans="1:73" x14ac:dyDescent="0.3">
      <c r="A1356" s="25">
        <v>2025</v>
      </c>
      <c r="B1356" s="26" t="s">
        <v>2475</v>
      </c>
      <c r="C1356" s="26">
        <f>LN(Inventory[[#This Row],[Acres]])</f>
        <v>-1.5141277326297755</v>
      </c>
      <c r="D1356" s="25">
        <v>0.22</v>
      </c>
      <c r="E1356" s="25">
        <v>9750</v>
      </c>
      <c r="F1356" s="26" t="s">
        <v>537</v>
      </c>
      <c r="G1356" s="26" t="s">
        <v>126</v>
      </c>
      <c r="H1356" s="26" t="s">
        <v>349</v>
      </c>
      <c r="I1356" s="26" t="s">
        <v>538</v>
      </c>
      <c r="J1356" s="26" t="s">
        <v>539</v>
      </c>
      <c r="K1356" s="26" t="s">
        <v>416</v>
      </c>
      <c r="L1356" s="26" t="s">
        <v>351</v>
      </c>
      <c r="M1356" s="26" t="s">
        <v>323</v>
      </c>
      <c r="N1356" s="26">
        <v>90</v>
      </c>
      <c r="O1356" s="26">
        <f>2024-Inventory[[#This Row],[YrBlt]]</f>
        <v>84</v>
      </c>
      <c r="P1356" s="26">
        <f>2024-Inventory[[#This Row],[EffYr]]</f>
        <v>52</v>
      </c>
      <c r="Q1356" s="25">
        <v>1940</v>
      </c>
      <c r="R1356" s="25">
        <v>1972</v>
      </c>
      <c r="S1356" s="25">
        <v>684</v>
      </c>
      <c r="T1356" s="32">
        <v>414</v>
      </c>
      <c r="U1356" s="25">
        <v>480</v>
      </c>
      <c r="V1356" s="25">
        <f>Inventory[[#This Row],[Bsmt]]-Inventory[[#This Row],[FnBsmt]]</f>
        <v>0</v>
      </c>
      <c r="W1356" s="25">
        <v>480</v>
      </c>
      <c r="X1356" s="27"/>
      <c r="Y1356" s="27">
        <f>Inventory[[#This Row],[MainFn]]+Inventory[[#This Row],[UpprFn]]+Inventory[[#This Row],[FnBsmt]]+Inventory[[#This Row],[AddFn]]</f>
        <v>1578</v>
      </c>
      <c r="Z1356" s="27">
        <v>2000</v>
      </c>
      <c r="AA1356" s="25">
        <v>7</v>
      </c>
      <c r="AB1356" s="27"/>
      <c r="AC1356" s="27"/>
      <c r="AD1356" s="27"/>
      <c r="AE1356" s="27"/>
      <c r="AF1356" s="27"/>
      <c r="AG1356" s="27"/>
      <c r="AH1356" s="27"/>
      <c r="AI1356" s="25">
        <v>212479</v>
      </c>
      <c r="AJ1356" s="25">
        <v>144486</v>
      </c>
      <c r="AK1356" s="25">
        <v>0</v>
      </c>
      <c r="AL1356" s="25">
        <v>293800</v>
      </c>
      <c r="AM1356" s="25">
        <v>61700</v>
      </c>
      <c r="AN1356" s="25">
        <v>232100</v>
      </c>
      <c r="AO1356" s="25">
        <v>0</v>
      </c>
      <c r="AP1356" s="25">
        <f>Lookups!$B$56*0</f>
        <v>0</v>
      </c>
      <c r="AQ1356" s="25">
        <f>Lookups!$B$56*1</f>
        <v>89850.625589999996</v>
      </c>
      <c r="AR1356" s="25">
        <f>Lookups!$B$57*Inventory[[#This Row],[LnAcres]]</f>
        <v>-47929.131559187132</v>
      </c>
      <c r="AS1356" s="25">
        <f>VLOOKUP(Inventory[[#This Row],[Qlty]],Lookups!$A$62:$E$75,2,FALSE)</f>
        <v>21557.329055999999</v>
      </c>
      <c r="AT1356" s="25">
        <f>VLOOKUP(Inventory[[#This Row],[Cnd]],Lookups!$A$76:$E$84,2,FALSE)</f>
        <v>160472.20319</v>
      </c>
      <c r="AU1356" s="25">
        <f>Inventory[[#This Row],[EffAge]]*Lookups!$B$85</f>
        <v>-11598.371226000001</v>
      </c>
      <c r="AV1356" s="25">
        <f>Inventory[[#This Row],[MainFn]]*Lookups!$B$86</f>
        <v>33795.530195867999</v>
      </c>
      <c r="AW1356" s="25">
        <f>Inventory[[#This Row],[UpprFn]]*Lookups!$B$87</f>
        <v>18541.579064453999</v>
      </c>
      <c r="AX1356" s="25">
        <f>Inventory[[#This Row],[AddFn]]*Lookups!$B$88</f>
        <v>0</v>
      </c>
      <c r="AY1356" s="25">
        <f>Inventory[[#This Row],[Bsmt]]*Lookups!$B$89</f>
        <v>13959.30971856</v>
      </c>
      <c r="AZ1356" s="25">
        <f>Inventory[[#This Row],[Fixtures]]*Lookups!$B$90</f>
        <v>26544.1547364</v>
      </c>
      <c r="BA1356" s="25">
        <f>Inventory[[#This Row],[WdDeck]]*Lookups!$B$91</f>
        <v>0</v>
      </c>
      <c r="BB1356" s="25">
        <f>ROUND(Inventory[[#This Row],[25Det]],-2)</f>
        <v>0</v>
      </c>
      <c r="BC1356" s="25">
        <f>ROUND(SUM(Inventory[[#This Row],[Mdl Qlty]:[Mdl WdDeck]])+Inventory[[#This Row],[Mdl Res Intercept]],-2)</f>
        <v>263300</v>
      </c>
      <c r="BD1356" s="25">
        <f>ROUND(Inventory[[#This Row],[Mdl Land Intercept]]+Inventory[[#This Row],[Mdl LnAcres]],-2)</f>
        <v>41900</v>
      </c>
      <c r="BE1356" s="25">
        <f>Inventory[[#This Row],[Unadj Res Value]]+Inventory[[#This Row],[Unadj Det Value]]+Inventory[[#This Row],[Unadj Land Value]]</f>
        <v>305200</v>
      </c>
      <c r="BF1356" s="36">
        <f>(Inventory[[#This Row],[Unadj Total Value]]-Inventory[[#This Row],[24Final]])/Inventory[[#This Row],[24Final]]</f>
        <v>3.880190605854323E-2</v>
      </c>
      <c r="BG1356" s="25">
        <f>VLOOKUP(Inventory[[#This Row],[Nbhd]],Lookups!$Q$2:$T$4,4,FALSE)</f>
        <v>0.99970000000000003</v>
      </c>
      <c r="BH1356" s="25">
        <f>VLOOKUP(Inventory[[#This Row],[Qlty]],Lookups!$O$7:$R$21,4,FALSE)</f>
        <v>1.0067999999999999</v>
      </c>
      <c r="BI1356" s="25">
        <f>VLOOKUP(Inventory[[#This Row],[Cnd]],Lookups!$T$7:$W$16,4,FALSE)</f>
        <v>0.99729999999999996</v>
      </c>
      <c r="BJ1356" s="25">
        <f>VLOOKUP(Inventory[[#This Row],[LivArea Range]],Lookups!$T$25:$W$37,4,FALSE)</f>
        <v>1.0093000000000001</v>
      </c>
      <c r="BK1356" s="25">
        <f>VLOOKUP(Inventory[[#This Row],[Decade]],Lookups!$O$25:$R$42,4,FALSE)</f>
        <v>0.98909999999999998</v>
      </c>
      <c r="BL1356" s="25">
        <f>Inventory[[#This Row],[Nbhd Adj]]*0.95</f>
        <v>0.94971499999999998</v>
      </c>
      <c r="BM1356" s="25">
        <f>Inventory[[#This Row],[Nbhd Adj]]*Inventory[[#This Row],[Quality Adj]]*Inventory[[#This Row],[Condition Adj]]*Inventory[[#This Row],[Living Area Adj]]*Inventory[[#This Row],[Decade Adj]]*0.95</f>
        <v>0.95196898294134369</v>
      </c>
      <c r="BN1356" s="25">
        <f>ROUND(SUM(Inventory[[#This Row],[Mdl Qlty]:[Mdl WdDeck]])+Inventory[[#This Row],[Mdl Res Intercept]]*Inventory[[#This Row],[Res Adj ]],-2)</f>
        <v>263300</v>
      </c>
      <c r="BO1356" s="25">
        <f>ROUND(Inventory[[#This Row],[25Det]]*Inventory[[#This Row],[Det/Nbhd Adj]],-2)</f>
        <v>0</v>
      </c>
      <c r="BP1356" s="25">
        <f>Inventory[[#This Row],[Adjusted Res]]+Inventory[[#This Row],[Adj Det ]]</f>
        <v>263300</v>
      </c>
      <c r="BQ1356" s="25">
        <f>ROUND((Inventory[[#This Row],[Mdl Land Intercept]]+Inventory[[#This Row],[Mdl LnAcres]])*Inventory[[#This Row],[Det/Nbhd Adj]],-2)</f>
        <v>39800</v>
      </c>
      <c r="BR1356" s="25">
        <f>Inventory[[#This Row],[Adjusted Impr Total]]+Inventory[[#This Row],[Adjusted Land Total]]</f>
        <v>303100</v>
      </c>
      <c r="BS1356" s="36">
        <f>IFERROR((Inventory[[#This Row],[Adjusted Impr Total]]-Inventory[[#This Row],[24Bldg]])/Inventory[[#This Row],[24Bldg]],0)</f>
        <v>0.13442481688927185</v>
      </c>
      <c r="BT1356" s="36">
        <f>(Inventory[[#This Row],[Adjusted Land Total]]-Inventory[[#This Row],[24Lnd]])/Inventory[[#This Row],[24Lnd]]</f>
        <v>-0.35494327390599678</v>
      </c>
      <c r="BU1356" s="36">
        <f>(Inventory[[#This Row],[Adjusted Total]]-Inventory[[#This Row],[24Final]])/Inventory[[#This Row],[24Final]]</f>
        <v>3.165418652144316E-2</v>
      </c>
    </row>
    <row r="1357" spans="1:73" x14ac:dyDescent="0.3">
      <c r="A1357" s="25">
        <v>2025</v>
      </c>
      <c r="B1357" s="26" t="s">
        <v>1450</v>
      </c>
      <c r="C1357" s="26">
        <f>LN(Inventory[[#This Row],[Acres]])</f>
        <v>-1.9661128563728327</v>
      </c>
      <c r="D1357" s="25">
        <v>0.14000000000000001</v>
      </c>
      <c r="E1357" s="25">
        <v>5910</v>
      </c>
      <c r="F1357" s="26" t="s">
        <v>537</v>
      </c>
      <c r="G1357" s="26" t="s">
        <v>126</v>
      </c>
      <c r="H1357" s="26" t="s">
        <v>349</v>
      </c>
      <c r="I1357" s="26" t="s">
        <v>538</v>
      </c>
      <c r="J1357" s="26" t="s">
        <v>539</v>
      </c>
      <c r="K1357" s="26" t="s">
        <v>242</v>
      </c>
      <c r="L1357" s="26" t="s">
        <v>351</v>
      </c>
      <c r="M1357" s="26" t="s">
        <v>323</v>
      </c>
      <c r="N1357" s="26">
        <v>90</v>
      </c>
      <c r="O1357" s="26">
        <f>2024-Inventory[[#This Row],[YrBlt]]</f>
        <v>84</v>
      </c>
      <c r="P1357" s="26">
        <f>2024-Inventory[[#This Row],[EffYr]]</f>
        <v>52</v>
      </c>
      <c r="Q1357" s="25">
        <v>1940</v>
      </c>
      <c r="R1357" s="25">
        <v>1972</v>
      </c>
      <c r="S1357" s="25">
        <v>862</v>
      </c>
      <c r="T1357" s="27"/>
      <c r="U1357" s="32">
        <v>862</v>
      </c>
      <c r="V1357" s="32">
        <f>Inventory[[#This Row],[Bsmt]]-Inventory[[#This Row],[FnBsmt]]</f>
        <v>0</v>
      </c>
      <c r="W1357" s="32">
        <v>862</v>
      </c>
      <c r="X1357" s="27"/>
      <c r="Y1357" s="27">
        <f>Inventory[[#This Row],[MainFn]]+Inventory[[#This Row],[UpprFn]]+Inventory[[#This Row],[FnBsmt]]+Inventory[[#This Row],[AddFn]]</f>
        <v>1724</v>
      </c>
      <c r="Z1357" s="27">
        <v>2000</v>
      </c>
      <c r="AA1357" s="25">
        <v>8</v>
      </c>
      <c r="AB1357" s="27"/>
      <c r="AC1357" s="27"/>
      <c r="AD1357" s="27"/>
      <c r="AE1357" s="27"/>
      <c r="AF1357" s="27"/>
      <c r="AG1357" s="27"/>
      <c r="AH1357" s="27"/>
      <c r="AI1357" s="25">
        <v>218787</v>
      </c>
      <c r="AJ1357" s="25">
        <v>148775</v>
      </c>
      <c r="AK1357" s="25">
        <v>6050</v>
      </c>
      <c r="AL1357" s="25">
        <v>291100</v>
      </c>
      <c r="AM1357" s="25">
        <v>46000</v>
      </c>
      <c r="AN1357" s="25">
        <v>245100</v>
      </c>
      <c r="AO1357" s="25">
        <v>0</v>
      </c>
      <c r="AP1357" s="25">
        <f>Lookups!$B$56*0</f>
        <v>0</v>
      </c>
      <c r="AQ1357" s="25">
        <f>Lookups!$B$56*1</f>
        <v>89850.625589999996</v>
      </c>
      <c r="AR1357" s="25">
        <f>Lookups!$B$57*Inventory[[#This Row],[LnAcres]]</f>
        <v>-62236.546971921947</v>
      </c>
      <c r="AS1357" s="25">
        <f>VLOOKUP(Inventory[[#This Row],[Qlty]],Lookups!$A$62:$E$75,2,FALSE)</f>
        <v>21557.329055999999</v>
      </c>
      <c r="AT1357" s="25">
        <f>VLOOKUP(Inventory[[#This Row],[Cnd]],Lookups!$A$76:$E$84,2,FALSE)</f>
        <v>160472.20319</v>
      </c>
      <c r="AU1357" s="25">
        <f>Inventory[[#This Row],[EffAge]]*Lookups!$B$85</f>
        <v>-11598.371226000001</v>
      </c>
      <c r="AV1357" s="25">
        <f>Inventory[[#This Row],[MainFn]]*Lookups!$B$86</f>
        <v>42590.273433973998</v>
      </c>
      <c r="AW1357" s="25">
        <f>Inventory[[#This Row],[UpprFn]]*Lookups!$B$87</f>
        <v>0</v>
      </c>
      <c r="AX1357" s="25">
        <f>Inventory[[#This Row],[AddFn]]*Lookups!$B$88</f>
        <v>0</v>
      </c>
      <c r="AY1357" s="25">
        <f>Inventory[[#This Row],[Bsmt]]*Lookups!$B$89</f>
        <v>25068.593702914</v>
      </c>
      <c r="AZ1357" s="25">
        <f>Inventory[[#This Row],[Fixtures]]*Lookups!$B$90</f>
        <v>30336.176841600001</v>
      </c>
      <c r="BA1357" s="25">
        <f>Inventory[[#This Row],[WdDeck]]*Lookups!$B$91</f>
        <v>0</v>
      </c>
      <c r="BB1357" s="25">
        <f>ROUND(Inventory[[#This Row],[25Det]],-2)</f>
        <v>6100</v>
      </c>
      <c r="BC1357" s="25">
        <f>ROUND(SUM(Inventory[[#This Row],[Mdl Qlty]:[Mdl WdDeck]])+Inventory[[#This Row],[Mdl Res Intercept]],-2)</f>
        <v>268400</v>
      </c>
      <c r="BD1357" s="25">
        <f>ROUND(Inventory[[#This Row],[Mdl Land Intercept]]+Inventory[[#This Row],[Mdl LnAcres]],-2)</f>
        <v>27600</v>
      </c>
      <c r="BE1357" s="25">
        <f>Inventory[[#This Row],[Unadj Res Value]]+Inventory[[#This Row],[Unadj Det Value]]+Inventory[[#This Row],[Unadj Land Value]]</f>
        <v>302100</v>
      </c>
      <c r="BF1357" s="36">
        <f>(Inventory[[#This Row],[Unadj Total Value]]-Inventory[[#This Row],[24Final]])/Inventory[[#This Row],[24Final]]</f>
        <v>3.7787701820680177E-2</v>
      </c>
      <c r="BG1357" s="25">
        <f>VLOOKUP(Inventory[[#This Row],[Nbhd]],Lookups!$Q$2:$T$4,4,FALSE)</f>
        <v>0.99970000000000003</v>
      </c>
      <c r="BH1357" s="25">
        <f>VLOOKUP(Inventory[[#This Row],[Qlty]],Lookups!$O$7:$R$21,4,FALSE)</f>
        <v>1.0067999999999999</v>
      </c>
      <c r="BI1357" s="25">
        <f>VLOOKUP(Inventory[[#This Row],[Cnd]],Lookups!$T$7:$W$16,4,FALSE)</f>
        <v>0.99729999999999996</v>
      </c>
      <c r="BJ1357" s="25">
        <f>VLOOKUP(Inventory[[#This Row],[LivArea Range]],Lookups!$T$25:$W$37,4,FALSE)</f>
        <v>1.0093000000000001</v>
      </c>
      <c r="BK1357" s="25">
        <f>VLOOKUP(Inventory[[#This Row],[Decade]],Lookups!$O$25:$R$42,4,FALSE)</f>
        <v>0.98909999999999998</v>
      </c>
      <c r="BL1357" s="25">
        <f>Inventory[[#This Row],[Nbhd Adj]]*0.95</f>
        <v>0.94971499999999998</v>
      </c>
      <c r="BM1357" s="25">
        <f>Inventory[[#This Row],[Nbhd Adj]]*Inventory[[#This Row],[Quality Adj]]*Inventory[[#This Row],[Condition Adj]]*Inventory[[#This Row],[Living Area Adj]]*Inventory[[#This Row],[Decade Adj]]*0.95</f>
        <v>0.95196898294134369</v>
      </c>
      <c r="BN1357" s="25">
        <f>ROUND(SUM(Inventory[[#This Row],[Mdl Qlty]:[Mdl WdDeck]])+Inventory[[#This Row],[Mdl Res Intercept]]*Inventory[[#This Row],[Res Adj ]],-2)</f>
        <v>268400</v>
      </c>
      <c r="BO1357" s="25">
        <f>ROUND(Inventory[[#This Row],[25Det]]*Inventory[[#This Row],[Det/Nbhd Adj]],-2)</f>
        <v>5700</v>
      </c>
      <c r="BP1357" s="25">
        <f>Inventory[[#This Row],[Adjusted Res]]+Inventory[[#This Row],[Adj Det ]]</f>
        <v>274100</v>
      </c>
      <c r="BQ1357" s="25">
        <f>ROUND((Inventory[[#This Row],[Mdl Land Intercept]]+Inventory[[#This Row],[Mdl LnAcres]])*Inventory[[#This Row],[Det/Nbhd Adj]],-2)</f>
        <v>26200</v>
      </c>
      <c r="BR1357" s="25">
        <f>Inventory[[#This Row],[Adjusted Impr Total]]+Inventory[[#This Row],[Adjusted Land Total]]</f>
        <v>300300</v>
      </c>
      <c r="BS1357" s="36">
        <f>IFERROR((Inventory[[#This Row],[Adjusted Impr Total]]-Inventory[[#This Row],[24Bldg]])/Inventory[[#This Row],[24Bldg]],0)</f>
        <v>0.11831905344757242</v>
      </c>
      <c r="BT1357" s="36">
        <f>(Inventory[[#This Row],[Adjusted Land Total]]-Inventory[[#This Row],[24Lnd]])/Inventory[[#This Row],[24Lnd]]</f>
        <v>-0.43043478260869567</v>
      </c>
      <c r="BU1357" s="36">
        <f>(Inventory[[#This Row],[Adjusted Total]]-Inventory[[#This Row],[24Final]])/Inventory[[#This Row],[24Final]]</f>
        <v>3.1604259704568878E-2</v>
      </c>
    </row>
    <row r="1358" spans="1:73" x14ac:dyDescent="0.3">
      <c r="A1358" s="25">
        <v>2025</v>
      </c>
      <c r="B1358" s="26" t="s">
        <v>1965</v>
      </c>
      <c r="C1358" s="26">
        <f>LN(Inventory[[#This Row],[Acres]])</f>
        <v>-1.7147984280919266</v>
      </c>
      <c r="D1358" s="25">
        <v>0.18</v>
      </c>
      <c r="E1358" s="25">
        <v>7700</v>
      </c>
      <c r="F1358" s="26" t="s">
        <v>537</v>
      </c>
      <c r="G1358" s="26" t="s">
        <v>126</v>
      </c>
      <c r="H1358" s="26" t="s">
        <v>349</v>
      </c>
      <c r="I1358" s="26" t="s">
        <v>538</v>
      </c>
      <c r="J1358" s="26" t="s">
        <v>539</v>
      </c>
      <c r="K1358" s="26" t="s">
        <v>242</v>
      </c>
      <c r="L1358" s="26" t="s">
        <v>351</v>
      </c>
      <c r="M1358" s="26" t="s">
        <v>206</v>
      </c>
      <c r="N1358" s="26">
        <v>90</v>
      </c>
      <c r="O1358" s="26">
        <f>2024-Inventory[[#This Row],[YrBlt]]</f>
        <v>84</v>
      </c>
      <c r="P1358" s="26">
        <f>2024-Inventory[[#This Row],[EffYr]]</f>
        <v>52</v>
      </c>
      <c r="Q1358" s="25">
        <v>1940</v>
      </c>
      <c r="R1358" s="25">
        <v>1972</v>
      </c>
      <c r="S1358" s="25">
        <v>1061</v>
      </c>
      <c r="T1358" s="27"/>
      <c r="U1358" s="32">
        <v>1061</v>
      </c>
      <c r="V1358" s="32">
        <f>Inventory[[#This Row],[Bsmt]]-Inventory[[#This Row],[FnBsmt]]</f>
        <v>0</v>
      </c>
      <c r="W1358" s="32">
        <v>1061</v>
      </c>
      <c r="X1358" s="27"/>
      <c r="Y1358" s="27">
        <f>Inventory[[#This Row],[MainFn]]+Inventory[[#This Row],[UpprFn]]+Inventory[[#This Row],[FnBsmt]]+Inventory[[#This Row],[AddFn]]</f>
        <v>2122</v>
      </c>
      <c r="Z1358" s="27">
        <v>2500</v>
      </c>
      <c r="AA1358" s="25">
        <v>7</v>
      </c>
      <c r="AB1358" s="27"/>
      <c r="AC1358" s="27"/>
      <c r="AD1358" s="27"/>
      <c r="AE1358" s="27"/>
      <c r="AF1358" s="27"/>
      <c r="AG1358" s="27"/>
      <c r="AH1358" s="27"/>
      <c r="AI1358" s="25">
        <v>278036</v>
      </c>
      <c r="AJ1358" s="25">
        <v>183504</v>
      </c>
      <c r="AK1358" s="25">
        <v>0</v>
      </c>
      <c r="AL1358" s="25">
        <v>278700</v>
      </c>
      <c r="AM1358" s="25">
        <v>54700</v>
      </c>
      <c r="AN1358" s="25">
        <v>224000</v>
      </c>
      <c r="AO1358" s="25">
        <v>0</v>
      </c>
      <c r="AP1358" s="25">
        <f>Lookups!$B$56*0</f>
        <v>0</v>
      </c>
      <c r="AQ1358" s="25">
        <f>Lookups!$B$56*1</f>
        <v>89850.625589999996</v>
      </c>
      <c r="AR1358" s="25">
        <f>Lookups!$B$57*Inventory[[#This Row],[LnAcres]]</f>
        <v>-54281.285314520763</v>
      </c>
      <c r="AS1358" s="25">
        <f>VLOOKUP(Inventory[[#This Row],[Qlty]],Lookups!$A$62:$E$75,2,FALSE)</f>
        <v>21557.329055999999</v>
      </c>
      <c r="AT1358" s="25">
        <f>VLOOKUP(Inventory[[#This Row],[Cnd]],Lookups!$A$76:$E$84,2,FALSE)</f>
        <v>133714.53821</v>
      </c>
      <c r="AU1358" s="25">
        <f>Inventory[[#This Row],[EffAge]]*Lookups!$B$85</f>
        <v>-11598.371226000001</v>
      </c>
      <c r="AV1358" s="25">
        <f>Inventory[[#This Row],[MainFn]]*Lookups!$B$86</f>
        <v>52422.598739497</v>
      </c>
      <c r="AW1358" s="25">
        <f>Inventory[[#This Row],[UpprFn]]*Lookups!$B$87</f>
        <v>0</v>
      </c>
      <c r="AX1358" s="25">
        <f>Inventory[[#This Row],[AddFn]]*Lookups!$B$88</f>
        <v>0</v>
      </c>
      <c r="AY1358" s="25">
        <f>Inventory[[#This Row],[Bsmt]]*Lookups!$B$89</f>
        <v>30855.890857066999</v>
      </c>
      <c r="AZ1358" s="25">
        <f>Inventory[[#This Row],[Fixtures]]*Lookups!$B$90</f>
        <v>26544.1547364</v>
      </c>
      <c r="BA1358" s="25">
        <f>Inventory[[#This Row],[WdDeck]]*Lookups!$B$91</f>
        <v>0</v>
      </c>
      <c r="BB1358" s="25">
        <f>ROUND(Inventory[[#This Row],[25Det]],-2)</f>
        <v>0</v>
      </c>
      <c r="BC1358" s="25">
        <f>ROUND(SUM(Inventory[[#This Row],[Mdl Qlty]:[Mdl WdDeck]])+Inventory[[#This Row],[Mdl Res Intercept]],-2)</f>
        <v>253500</v>
      </c>
      <c r="BD1358" s="25">
        <f>ROUND(Inventory[[#This Row],[Mdl Land Intercept]]+Inventory[[#This Row],[Mdl LnAcres]],-2)</f>
        <v>35600</v>
      </c>
      <c r="BE1358" s="25">
        <f>Inventory[[#This Row],[Unadj Res Value]]+Inventory[[#This Row],[Unadj Det Value]]+Inventory[[#This Row],[Unadj Land Value]]</f>
        <v>289100</v>
      </c>
      <c r="BF1358" s="36">
        <f>(Inventory[[#This Row],[Unadj Total Value]]-Inventory[[#This Row],[24Final]])/Inventory[[#This Row],[24Final]]</f>
        <v>3.7316110513096516E-2</v>
      </c>
      <c r="BG1358" s="25">
        <f>VLOOKUP(Inventory[[#This Row],[Nbhd]],Lookups!$Q$2:$T$4,4,FALSE)</f>
        <v>0.99970000000000003</v>
      </c>
      <c r="BH1358" s="25">
        <f>VLOOKUP(Inventory[[#This Row],[Qlty]],Lookups!$O$7:$R$21,4,FALSE)</f>
        <v>1.0067999999999999</v>
      </c>
      <c r="BI1358" s="25">
        <f>VLOOKUP(Inventory[[#This Row],[Cnd]],Lookups!$T$7:$W$16,4,FALSE)</f>
        <v>0.99329999999999996</v>
      </c>
      <c r="BJ1358" s="25">
        <f>VLOOKUP(Inventory[[#This Row],[LivArea Range]],Lookups!$T$25:$W$37,4,FALSE)</f>
        <v>0.98919999999999997</v>
      </c>
      <c r="BK1358" s="25">
        <f>VLOOKUP(Inventory[[#This Row],[Decade]],Lookups!$O$25:$R$42,4,FALSE)</f>
        <v>0.98909999999999998</v>
      </c>
      <c r="BL1358" s="25">
        <f>Inventory[[#This Row],[Nbhd Adj]]*0.95</f>
        <v>0.94971499999999998</v>
      </c>
      <c r="BM1358" s="25">
        <f>Inventory[[#This Row],[Nbhd Adj]]*Inventory[[#This Row],[Quality Adj]]*Inventory[[#This Row],[Condition Adj]]*Inventory[[#This Row],[Living Area Adj]]*Inventory[[#This Row],[Decade Adj]]*0.95</f>
        <v>0.92926857157690035</v>
      </c>
      <c r="BN1358" s="25">
        <f>ROUND(SUM(Inventory[[#This Row],[Mdl Qlty]:[Mdl WdDeck]])+Inventory[[#This Row],[Mdl Res Intercept]]*Inventory[[#This Row],[Res Adj ]],-2)</f>
        <v>253500</v>
      </c>
      <c r="BO1358" s="25">
        <f>ROUND(Inventory[[#This Row],[25Det]]*Inventory[[#This Row],[Det/Nbhd Adj]],-2)</f>
        <v>0</v>
      </c>
      <c r="BP1358" s="25">
        <f>Inventory[[#This Row],[Adjusted Res]]+Inventory[[#This Row],[Adj Det ]]</f>
        <v>253500</v>
      </c>
      <c r="BQ1358" s="25">
        <f>ROUND((Inventory[[#This Row],[Mdl Land Intercept]]+Inventory[[#This Row],[Mdl LnAcres]])*Inventory[[#This Row],[Det/Nbhd Adj]],-2)</f>
        <v>33800</v>
      </c>
      <c r="BR1358" s="25">
        <f>Inventory[[#This Row],[Adjusted Impr Total]]+Inventory[[#This Row],[Adjusted Land Total]]</f>
        <v>287300</v>
      </c>
      <c r="BS1358" s="36">
        <f>IFERROR((Inventory[[#This Row],[Adjusted Impr Total]]-Inventory[[#This Row],[24Bldg]])/Inventory[[#This Row],[24Bldg]],0)</f>
        <v>0.13169642857142858</v>
      </c>
      <c r="BT1358" s="36">
        <f>(Inventory[[#This Row],[Adjusted Land Total]]-Inventory[[#This Row],[24Lnd]])/Inventory[[#This Row],[24Lnd]]</f>
        <v>-0.38208409506398539</v>
      </c>
      <c r="BU1358" s="36">
        <f>(Inventory[[#This Row],[Adjusted Total]]-Inventory[[#This Row],[24Final]])/Inventory[[#This Row],[24Final]]</f>
        <v>3.0857552924291352E-2</v>
      </c>
    </row>
    <row r="1359" spans="1:73" x14ac:dyDescent="0.3">
      <c r="A1359" s="25">
        <v>2025</v>
      </c>
      <c r="B1359" s="26" t="s">
        <v>2922</v>
      </c>
      <c r="C1359" s="26">
        <f>LN(Inventory[[#This Row],[Acres]])</f>
        <v>-1.4696759700589417</v>
      </c>
      <c r="D1359" s="25">
        <v>0.23</v>
      </c>
      <c r="E1359" s="25">
        <v>10129</v>
      </c>
      <c r="F1359" s="26" t="s">
        <v>537</v>
      </c>
      <c r="G1359" s="26" t="s">
        <v>126</v>
      </c>
      <c r="H1359" s="26" t="s">
        <v>349</v>
      </c>
      <c r="I1359" s="26" t="s">
        <v>538</v>
      </c>
      <c r="J1359" s="26" t="s">
        <v>539</v>
      </c>
      <c r="K1359" s="26" t="s">
        <v>147</v>
      </c>
      <c r="L1359" s="26" t="s">
        <v>148</v>
      </c>
      <c r="M1359" s="26" t="s">
        <v>323</v>
      </c>
      <c r="N1359" s="26">
        <v>90</v>
      </c>
      <c r="O1359" s="26">
        <f>2024-Inventory[[#This Row],[YrBlt]]</f>
        <v>84</v>
      </c>
      <c r="P1359" s="26">
        <f>2024-Inventory[[#This Row],[EffYr]]</f>
        <v>52</v>
      </c>
      <c r="Q1359" s="25">
        <v>1940</v>
      </c>
      <c r="R1359" s="25">
        <v>1972</v>
      </c>
      <c r="S1359" s="25">
        <v>915</v>
      </c>
      <c r="T1359" s="32">
        <v>686</v>
      </c>
      <c r="U1359" s="25">
        <v>609</v>
      </c>
      <c r="V1359" s="32">
        <f>Inventory[[#This Row],[Bsmt]]-Inventory[[#This Row],[FnBsmt]]</f>
        <v>59</v>
      </c>
      <c r="W1359" s="32">
        <v>550</v>
      </c>
      <c r="X1359" s="27"/>
      <c r="Y1359" s="27">
        <f>Inventory[[#This Row],[MainFn]]+Inventory[[#This Row],[UpprFn]]+Inventory[[#This Row],[FnBsmt]]+Inventory[[#This Row],[AddFn]]</f>
        <v>2151</v>
      </c>
      <c r="Z1359" s="27">
        <v>2500</v>
      </c>
      <c r="AA1359" s="25">
        <v>8</v>
      </c>
      <c r="AB1359" s="32">
        <v>609</v>
      </c>
      <c r="AC1359" s="27"/>
      <c r="AD1359" s="27"/>
      <c r="AE1359" s="27"/>
      <c r="AF1359" s="27"/>
      <c r="AG1359" s="27"/>
      <c r="AH1359" s="27"/>
      <c r="AI1359" s="25">
        <v>425760</v>
      </c>
      <c r="AJ1359" s="25">
        <v>289517</v>
      </c>
      <c r="AK1359" s="25">
        <v>0</v>
      </c>
      <c r="AL1359" s="25">
        <v>347600</v>
      </c>
      <c r="AM1359" s="25">
        <v>63300</v>
      </c>
      <c r="AN1359" s="25">
        <v>284300</v>
      </c>
      <c r="AO1359" s="25">
        <v>0</v>
      </c>
      <c r="AP1359" s="25">
        <f>Lookups!$B$56*0</f>
        <v>0</v>
      </c>
      <c r="AQ1359" s="25">
        <f>Lookups!$B$56*1</f>
        <v>89850.625589999996</v>
      </c>
      <c r="AR1359" s="25">
        <f>Lookups!$B$57*Inventory[[#This Row],[LnAcres]]</f>
        <v>-46522.028095997222</v>
      </c>
      <c r="AS1359" s="25">
        <f>VLOOKUP(Inventory[[#This Row],[Qlty]],Lookups!$A$62:$E$75,2,FALSE)</f>
        <v>44121.038090000002</v>
      </c>
      <c r="AT1359" s="25">
        <f>VLOOKUP(Inventory[[#This Row],[Cnd]],Lookups!$A$76:$E$84,2,FALSE)</f>
        <v>160472.20319</v>
      </c>
      <c r="AU1359" s="25">
        <f>Inventory[[#This Row],[EffAge]]*Lookups!$B$85</f>
        <v>-11598.371226000001</v>
      </c>
      <c r="AV1359" s="25">
        <f>Inventory[[#This Row],[MainFn]]*Lookups!$B$86</f>
        <v>45208.932937455</v>
      </c>
      <c r="AW1359" s="25">
        <f>Inventory[[#This Row],[UpprFn]]*Lookups!$B$87</f>
        <v>30723.486082645999</v>
      </c>
      <c r="AX1359" s="25">
        <f>Inventory[[#This Row],[AddFn]]*Lookups!$B$88</f>
        <v>0</v>
      </c>
      <c r="AY1359" s="25">
        <f>Inventory[[#This Row],[Bsmt]]*Lookups!$B$89</f>
        <v>17710.874205422999</v>
      </c>
      <c r="AZ1359" s="25">
        <f>Inventory[[#This Row],[Fixtures]]*Lookups!$B$90</f>
        <v>30336.176841600001</v>
      </c>
      <c r="BA1359" s="25">
        <f>Inventory[[#This Row],[WdDeck]]*Lookups!$B$91</f>
        <v>0</v>
      </c>
      <c r="BB1359" s="25">
        <f>ROUND(Inventory[[#This Row],[25Det]],-2)</f>
        <v>0</v>
      </c>
      <c r="BC1359" s="25">
        <f>ROUND(SUM(Inventory[[#This Row],[Mdl Qlty]:[Mdl WdDeck]])+Inventory[[#This Row],[Mdl Res Intercept]],-2)</f>
        <v>317000</v>
      </c>
      <c r="BD1359" s="25">
        <f>ROUND(Inventory[[#This Row],[Mdl Land Intercept]]+Inventory[[#This Row],[Mdl LnAcres]],-2)</f>
        <v>43300</v>
      </c>
      <c r="BE1359" s="25">
        <f>Inventory[[#This Row],[Unadj Res Value]]+Inventory[[#This Row],[Unadj Det Value]]+Inventory[[#This Row],[Unadj Land Value]]</f>
        <v>360300</v>
      </c>
      <c r="BF1359" s="36">
        <f>(Inventory[[#This Row],[Unadj Total Value]]-Inventory[[#This Row],[24Final]])/Inventory[[#This Row],[24Final]]</f>
        <v>3.6536248561565017E-2</v>
      </c>
      <c r="BG1359" s="25">
        <f>VLOOKUP(Inventory[[#This Row],[Nbhd]],Lookups!$Q$2:$T$4,4,FALSE)</f>
        <v>0.99970000000000003</v>
      </c>
      <c r="BH1359" s="25">
        <f>VLOOKUP(Inventory[[#This Row],[Qlty]],Lookups!$O$7:$R$21,4,FALSE)</f>
        <v>0.98050000000000004</v>
      </c>
      <c r="BI1359" s="25">
        <f>VLOOKUP(Inventory[[#This Row],[Cnd]],Lookups!$T$7:$W$16,4,FALSE)</f>
        <v>0.99729999999999996</v>
      </c>
      <c r="BJ1359" s="25">
        <f>VLOOKUP(Inventory[[#This Row],[LivArea Range]],Lookups!$T$25:$W$37,4,FALSE)</f>
        <v>0.98919999999999997</v>
      </c>
      <c r="BK1359" s="25">
        <f>VLOOKUP(Inventory[[#This Row],[Decade]],Lookups!$O$25:$R$42,4,FALSE)</f>
        <v>0.98909999999999998</v>
      </c>
      <c r="BL1359" s="25">
        <f>Inventory[[#This Row],[Nbhd Adj]]*0.95</f>
        <v>0.94971499999999998</v>
      </c>
      <c r="BM1359" s="25">
        <f>Inventory[[#This Row],[Nbhd Adj]]*Inventory[[#This Row],[Quality Adj]]*Inventory[[#This Row],[Condition Adj]]*Inventory[[#This Row],[Living Area Adj]]*Inventory[[#This Row],[Decade Adj]]*0.95</f>
        <v>0.9086382690108219</v>
      </c>
      <c r="BN1359" s="25">
        <f>ROUND(SUM(Inventory[[#This Row],[Mdl Qlty]:[Mdl WdDeck]])+Inventory[[#This Row],[Mdl Res Intercept]]*Inventory[[#This Row],[Res Adj ]],-2)</f>
        <v>317000</v>
      </c>
      <c r="BO1359" s="25">
        <f>ROUND(Inventory[[#This Row],[25Det]]*Inventory[[#This Row],[Det/Nbhd Adj]],-2)</f>
        <v>0</v>
      </c>
      <c r="BP1359" s="25">
        <f>Inventory[[#This Row],[Adjusted Res]]+Inventory[[#This Row],[Adj Det ]]</f>
        <v>317000</v>
      </c>
      <c r="BQ1359" s="25">
        <f>ROUND((Inventory[[#This Row],[Mdl Land Intercept]]+Inventory[[#This Row],[Mdl LnAcres]])*Inventory[[#This Row],[Det/Nbhd Adj]],-2)</f>
        <v>41100</v>
      </c>
      <c r="BR1359" s="25">
        <f>Inventory[[#This Row],[Adjusted Impr Total]]+Inventory[[#This Row],[Adjusted Land Total]]</f>
        <v>358100</v>
      </c>
      <c r="BS1359" s="36">
        <f>IFERROR((Inventory[[#This Row],[Adjusted Impr Total]]-Inventory[[#This Row],[24Bldg]])/Inventory[[#This Row],[24Bldg]],0)</f>
        <v>0.11501934576151952</v>
      </c>
      <c r="BT1359" s="36">
        <f>(Inventory[[#This Row],[Adjusted Land Total]]-Inventory[[#This Row],[24Lnd]])/Inventory[[#This Row],[24Lnd]]</f>
        <v>-0.35071090047393366</v>
      </c>
      <c r="BU1359" s="36">
        <f>(Inventory[[#This Row],[Adjusted Total]]-Inventory[[#This Row],[24Final]])/Inventory[[#This Row],[24Final]]</f>
        <v>3.0207134637514385E-2</v>
      </c>
    </row>
    <row r="1360" spans="1:73" x14ac:dyDescent="0.3">
      <c r="A1360" s="25">
        <v>2025</v>
      </c>
      <c r="B1360" s="26" t="s">
        <v>1791</v>
      </c>
      <c r="C1360" s="26">
        <f>LN(Inventory[[#This Row],[Acres]])</f>
        <v>-1.8325814637483102</v>
      </c>
      <c r="D1360" s="25">
        <v>0.16</v>
      </c>
      <c r="E1360" s="25">
        <v>6997</v>
      </c>
      <c r="F1360" s="26" t="s">
        <v>537</v>
      </c>
      <c r="G1360" s="26" t="s">
        <v>126</v>
      </c>
      <c r="H1360" s="26" t="s">
        <v>349</v>
      </c>
      <c r="I1360" s="26" t="s">
        <v>538</v>
      </c>
      <c r="J1360" s="26" t="s">
        <v>539</v>
      </c>
      <c r="K1360" s="26" t="s">
        <v>242</v>
      </c>
      <c r="L1360" s="26" t="s">
        <v>302</v>
      </c>
      <c r="M1360" s="26" t="s">
        <v>323</v>
      </c>
      <c r="N1360" s="26">
        <v>90</v>
      </c>
      <c r="O1360" s="26">
        <f>2024-Inventory[[#This Row],[YrBlt]]</f>
        <v>84</v>
      </c>
      <c r="P1360" s="26">
        <f>2024-Inventory[[#This Row],[EffYr]]</f>
        <v>52</v>
      </c>
      <c r="Q1360" s="25">
        <v>1940</v>
      </c>
      <c r="R1360" s="25">
        <v>1972</v>
      </c>
      <c r="S1360" s="25">
        <v>1148</v>
      </c>
      <c r="T1360" s="27"/>
      <c r="U1360" s="32">
        <v>1148</v>
      </c>
      <c r="V1360" s="32">
        <f>Inventory[[#This Row],[Bsmt]]-Inventory[[#This Row],[FnBsmt]]</f>
        <v>574</v>
      </c>
      <c r="W1360" s="32">
        <v>574</v>
      </c>
      <c r="X1360" s="27"/>
      <c r="Y1360" s="27">
        <f>Inventory[[#This Row],[MainFn]]+Inventory[[#This Row],[UpprFn]]+Inventory[[#This Row],[FnBsmt]]+Inventory[[#This Row],[AddFn]]</f>
        <v>1722</v>
      </c>
      <c r="Z1360" s="27">
        <v>2000</v>
      </c>
      <c r="AA1360" s="25">
        <v>9</v>
      </c>
      <c r="AB1360" s="27"/>
      <c r="AC1360" s="27"/>
      <c r="AD1360" s="27"/>
      <c r="AE1360" s="27"/>
      <c r="AF1360" s="27"/>
      <c r="AG1360" s="27"/>
      <c r="AH1360" s="27"/>
      <c r="AI1360" s="25">
        <v>316345</v>
      </c>
      <c r="AJ1360" s="25">
        <v>215115</v>
      </c>
      <c r="AK1360" s="25">
        <v>1777</v>
      </c>
      <c r="AL1360" s="25">
        <v>325000</v>
      </c>
      <c r="AM1360" s="25">
        <v>50600</v>
      </c>
      <c r="AN1360" s="25">
        <v>274400</v>
      </c>
      <c r="AO1360" s="25">
        <v>0</v>
      </c>
      <c r="AP1360" s="25">
        <f>Lookups!$B$56*0</f>
        <v>0</v>
      </c>
      <c r="AQ1360" s="25">
        <f>Lookups!$B$56*1</f>
        <v>89850.625589999996</v>
      </c>
      <c r="AR1360" s="25">
        <f>Lookups!$B$57*Inventory[[#This Row],[LnAcres]]</f>
        <v>-58009.662049032086</v>
      </c>
      <c r="AS1360" s="25">
        <f>VLOOKUP(Inventory[[#This Row],[Qlty]],Lookups!$A$62:$E$75,2,FALSE)</f>
        <v>29814.093161000001</v>
      </c>
      <c r="AT1360" s="25">
        <f>VLOOKUP(Inventory[[#This Row],[Cnd]],Lookups!$A$76:$E$84,2,FALSE)</f>
        <v>160472.20319</v>
      </c>
      <c r="AU1360" s="25">
        <f>Inventory[[#This Row],[EffAge]]*Lookups!$B$85</f>
        <v>-11598.371226000001</v>
      </c>
      <c r="AV1360" s="25">
        <f>Inventory[[#This Row],[MainFn]]*Lookups!$B$86</f>
        <v>56721.153018796002</v>
      </c>
      <c r="AW1360" s="25">
        <f>Inventory[[#This Row],[UpprFn]]*Lookups!$B$87</f>
        <v>0</v>
      </c>
      <c r="AX1360" s="25">
        <f>Inventory[[#This Row],[AddFn]]*Lookups!$B$88</f>
        <v>0</v>
      </c>
      <c r="AY1360" s="25">
        <f>Inventory[[#This Row],[Bsmt]]*Lookups!$B$89</f>
        <v>33386.015743555996</v>
      </c>
      <c r="AZ1360" s="25">
        <f>Inventory[[#This Row],[Fixtures]]*Lookups!$B$90</f>
        <v>34128.198946800003</v>
      </c>
      <c r="BA1360" s="25">
        <f>Inventory[[#This Row],[WdDeck]]*Lookups!$B$91</f>
        <v>0</v>
      </c>
      <c r="BB1360" s="25">
        <f>ROUND(Inventory[[#This Row],[25Det]],-2)</f>
        <v>1800</v>
      </c>
      <c r="BC1360" s="25">
        <f>ROUND(SUM(Inventory[[#This Row],[Mdl Qlty]:[Mdl WdDeck]])+Inventory[[#This Row],[Mdl Res Intercept]],-2)</f>
        <v>302900</v>
      </c>
      <c r="BD1360" s="25">
        <f>ROUND(Inventory[[#This Row],[Mdl Land Intercept]]+Inventory[[#This Row],[Mdl LnAcres]],-2)</f>
        <v>31800</v>
      </c>
      <c r="BE1360" s="25">
        <f>Inventory[[#This Row],[Unadj Res Value]]+Inventory[[#This Row],[Unadj Det Value]]+Inventory[[#This Row],[Unadj Land Value]]</f>
        <v>336500</v>
      </c>
      <c r="BF1360" s="36">
        <f>(Inventory[[#This Row],[Unadj Total Value]]-Inventory[[#This Row],[24Final]])/Inventory[[#This Row],[24Final]]</f>
        <v>3.5384615384615382E-2</v>
      </c>
      <c r="BG1360" s="25">
        <f>VLOOKUP(Inventory[[#This Row],[Nbhd]],Lookups!$Q$2:$T$4,4,FALSE)</f>
        <v>0.99970000000000003</v>
      </c>
      <c r="BH1360" s="25">
        <f>VLOOKUP(Inventory[[#This Row],[Qlty]],Lookups!$O$7:$R$21,4,FALSE)</f>
        <v>1.0088999999999999</v>
      </c>
      <c r="BI1360" s="25">
        <f>VLOOKUP(Inventory[[#This Row],[Cnd]],Lookups!$T$7:$W$16,4,FALSE)</f>
        <v>0.99729999999999996</v>
      </c>
      <c r="BJ1360" s="25">
        <f>VLOOKUP(Inventory[[#This Row],[LivArea Range]],Lookups!$T$25:$W$37,4,FALSE)</f>
        <v>1.0093000000000001</v>
      </c>
      <c r="BK1360" s="25">
        <f>VLOOKUP(Inventory[[#This Row],[Decade]],Lookups!$O$25:$R$42,4,FALSE)</f>
        <v>0.98909999999999998</v>
      </c>
      <c r="BL1360" s="25">
        <f>Inventory[[#This Row],[Nbhd Adj]]*0.95</f>
        <v>0.94971499999999998</v>
      </c>
      <c r="BM1360" s="25">
        <f>Inventory[[#This Row],[Nbhd Adj]]*Inventory[[#This Row],[Quality Adj]]*Inventory[[#This Row],[Condition Adj]]*Inventory[[#This Row],[Living Area Adj]]*Inventory[[#This Row],[Decade Adj]]*0.95</f>
        <v>0.95395461550409388</v>
      </c>
      <c r="BN1360" s="25">
        <f>ROUND(SUM(Inventory[[#This Row],[Mdl Qlty]:[Mdl WdDeck]])+Inventory[[#This Row],[Mdl Res Intercept]]*Inventory[[#This Row],[Res Adj ]],-2)</f>
        <v>302900</v>
      </c>
      <c r="BO1360" s="25">
        <f>ROUND(Inventory[[#This Row],[25Det]]*Inventory[[#This Row],[Det/Nbhd Adj]],-2)</f>
        <v>1700</v>
      </c>
      <c r="BP1360" s="25">
        <f>Inventory[[#This Row],[Adjusted Res]]+Inventory[[#This Row],[Adj Det ]]</f>
        <v>304600</v>
      </c>
      <c r="BQ1360" s="25">
        <f>ROUND((Inventory[[#This Row],[Mdl Land Intercept]]+Inventory[[#This Row],[Mdl LnAcres]])*Inventory[[#This Row],[Det/Nbhd Adj]],-2)</f>
        <v>30200</v>
      </c>
      <c r="BR1360" s="25">
        <f>Inventory[[#This Row],[Adjusted Impr Total]]+Inventory[[#This Row],[Adjusted Land Total]]</f>
        <v>334800</v>
      </c>
      <c r="BS1360" s="36">
        <f>IFERROR((Inventory[[#This Row],[Adjusted Impr Total]]-Inventory[[#This Row],[24Bldg]])/Inventory[[#This Row],[24Bldg]],0)</f>
        <v>0.11005830903790087</v>
      </c>
      <c r="BT1360" s="36">
        <f>(Inventory[[#This Row],[Adjusted Land Total]]-Inventory[[#This Row],[24Lnd]])/Inventory[[#This Row],[24Lnd]]</f>
        <v>-0.40316205533596838</v>
      </c>
      <c r="BU1360" s="36">
        <f>(Inventory[[#This Row],[Adjusted Total]]-Inventory[[#This Row],[24Final]])/Inventory[[#This Row],[24Final]]</f>
        <v>3.0153846153846153E-2</v>
      </c>
    </row>
    <row r="1361" spans="1:73" x14ac:dyDescent="0.3">
      <c r="A1361" s="25">
        <v>2025</v>
      </c>
      <c r="B1361" s="26" t="s">
        <v>2600</v>
      </c>
      <c r="C1361" s="26">
        <f>LN(Inventory[[#This Row],[Acres]])</f>
        <v>-1.4271163556401458</v>
      </c>
      <c r="D1361" s="25">
        <v>0.24</v>
      </c>
      <c r="E1361" s="25">
        <v>10325</v>
      </c>
      <c r="F1361" s="26" t="s">
        <v>537</v>
      </c>
      <c r="G1361" s="26" t="s">
        <v>126</v>
      </c>
      <c r="H1361" s="26" t="s">
        <v>349</v>
      </c>
      <c r="I1361" s="26" t="s">
        <v>538</v>
      </c>
      <c r="J1361" s="26" t="s">
        <v>539</v>
      </c>
      <c r="K1361" s="26" t="s">
        <v>241</v>
      </c>
      <c r="L1361" s="26" t="s">
        <v>148</v>
      </c>
      <c r="M1361" s="26" t="s">
        <v>323</v>
      </c>
      <c r="N1361" s="26">
        <v>90</v>
      </c>
      <c r="O1361" s="26">
        <f>2024-Inventory[[#This Row],[YrBlt]]</f>
        <v>84</v>
      </c>
      <c r="P1361" s="26">
        <f>2024-Inventory[[#This Row],[EffYr]]</f>
        <v>52</v>
      </c>
      <c r="Q1361" s="25">
        <v>1940</v>
      </c>
      <c r="R1361" s="25">
        <v>1972</v>
      </c>
      <c r="S1361" s="25">
        <v>1624</v>
      </c>
      <c r="T1361" s="27"/>
      <c r="U1361" s="31"/>
      <c r="V1361" s="27">
        <f>Inventory[[#This Row],[Bsmt]]-Inventory[[#This Row],[FnBsmt]]</f>
        <v>0</v>
      </c>
      <c r="W1361" s="27"/>
      <c r="X1361" s="27"/>
      <c r="Y1361" s="27">
        <f>Inventory[[#This Row],[MainFn]]+Inventory[[#This Row],[UpprFn]]+Inventory[[#This Row],[FnBsmt]]+Inventory[[#This Row],[AddFn]]</f>
        <v>1624</v>
      </c>
      <c r="Z1361" s="27">
        <v>2000</v>
      </c>
      <c r="AA1361" s="25">
        <v>7</v>
      </c>
      <c r="AB1361" s="27"/>
      <c r="AC1361" s="27"/>
      <c r="AD1361" s="31"/>
      <c r="AE1361" s="27"/>
      <c r="AF1361" s="27"/>
      <c r="AG1361" s="27"/>
      <c r="AH1361" s="27"/>
      <c r="AI1361" s="25">
        <v>382363</v>
      </c>
      <c r="AJ1361" s="25">
        <v>260007</v>
      </c>
      <c r="AK1361" s="25">
        <v>11438</v>
      </c>
      <c r="AL1361" s="25">
        <v>343500</v>
      </c>
      <c r="AM1361" s="25">
        <v>64800</v>
      </c>
      <c r="AN1361" s="25">
        <v>278700</v>
      </c>
      <c r="AO1361" s="25">
        <v>0</v>
      </c>
      <c r="AP1361" s="25">
        <f>Lookups!$B$56*0</f>
        <v>0</v>
      </c>
      <c r="AQ1361" s="25">
        <f>Lookups!$B$56*1</f>
        <v>89850.625589999996</v>
      </c>
      <c r="AR1361" s="25">
        <f>Lookups!$B$57*Inventory[[#This Row],[LnAcres]]</f>
        <v>-45174.819855485119</v>
      </c>
      <c r="AS1361" s="25">
        <f>VLOOKUP(Inventory[[#This Row],[Qlty]],Lookups!$A$62:$E$75,2,FALSE)</f>
        <v>44121.038090000002</v>
      </c>
      <c r="AT1361" s="25">
        <f>VLOOKUP(Inventory[[#This Row],[Cnd]],Lookups!$A$76:$E$84,2,FALSE)</f>
        <v>160472.20319</v>
      </c>
      <c r="AU1361" s="25">
        <f>Inventory[[#This Row],[EffAge]]*Lookups!$B$85</f>
        <v>-11598.371226000001</v>
      </c>
      <c r="AV1361" s="25">
        <f>Inventory[[#This Row],[MainFn]]*Lookups!$B$86</f>
        <v>80239.679880248004</v>
      </c>
      <c r="AW1361" s="25">
        <f>Inventory[[#This Row],[UpprFn]]*Lookups!$B$87</f>
        <v>0</v>
      </c>
      <c r="AX1361" s="25">
        <f>Inventory[[#This Row],[AddFn]]*Lookups!$B$88</f>
        <v>0</v>
      </c>
      <c r="AY1361" s="25">
        <f>Inventory[[#This Row],[Bsmt]]*Lookups!$B$89</f>
        <v>0</v>
      </c>
      <c r="AZ1361" s="25">
        <f>Inventory[[#This Row],[Fixtures]]*Lookups!$B$90</f>
        <v>26544.1547364</v>
      </c>
      <c r="BA1361" s="25">
        <f>Inventory[[#This Row],[WdDeck]]*Lookups!$B$91</f>
        <v>0</v>
      </c>
      <c r="BB1361" s="25">
        <f>ROUND(Inventory[[#This Row],[25Det]],-2)</f>
        <v>11400</v>
      </c>
      <c r="BC1361" s="25">
        <f>ROUND(SUM(Inventory[[#This Row],[Mdl Qlty]:[Mdl WdDeck]])+Inventory[[#This Row],[Mdl Res Intercept]],-2)</f>
        <v>299800</v>
      </c>
      <c r="BD1361" s="25">
        <f>ROUND(Inventory[[#This Row],[Mdl Land Intercept]]+Inventory[[#This Row],[Mdl LnAcres]],-2)</f>
        <v>44700</v>
      </c>
      <c r="BE1361" s="25">
        <f>Inventory[[#This Row],[Unadj Res Value]]+Inventory[[#This Row],[Unadj Det Value]]+Inventory[[#This Row],[Unadj Land Value]]</f>
        <v>355900</v>
      </c>
      <c r="BF1361" s="36">
        <f>(Inventory[[#This Row],[Unadj Total Value]]-Inventory[[#This Row],[24Final]])/Inventory[[#This Row],[24Final]]</f>
        <v>3.6098981077147013E-2</v>
      </c>
      <c r="BG1361" s="25">
        <f>VLOOKUP(Inventory[[#This Row],[Nbhd]],Lookups!$Q$2:$T$4,4,FALSE)</f>
        <v>0.99970000000000003</v>
      </c>
      <c r="BH1361" s="25">
        <f>VLOOKUP(Inventory[[#This Row],[Qlty]],Lookups!$O$7:$R$21,4,FALSE)</f>
        <v>0.98050000000000004</v>
      </c>
      <c r="BI1361" s="25">
        <f>VLOOKUP(Inventory[[#This Row],[Cnd]],Lookups!$T$7:$W$16,4,FALSE)</f>
        <v>0.99729999999999996</v>
      </c>
      <c r="BJ1361" s="25">
        <f>VLOOKUP(Inventory[[#This Row],[LivArea Range]],Lookups!$T$25:$W$37,4,FALSE)</f>
        <v>1.0093000000000001</v>
      </c>
      <c r="BK1361" s="25">
        <f>VLOOKUP(Inventory[[#This Row],[Decade]],Lookups!$O$25:$R$42,4,FALSE)</f>
        <v>0.98909999999999998</v>
      </c>
      <c r="BL1361" s="25">
        <f>Inventory[[#This Row],[Nbhd Adj]]*0.95</f>
        <v>0.94971499999999998</v>
      </c>
      <c r="BM1361" s="25">
        <f>Inventory[[#This Row],[Nbhd Adj]]*Inventory[[#This Row],[Quality Adj]]*Inventory[[#This Row],[Condition Adj]]*Inventory[[#This Row],[Living Area Adj]]*Inventory[[#This Row],[Decade Adj]]*0.95</f>
        <v>0.92710129894118753</v>
      </c>
      <c r="BN1361" s="25">
        <f>ROUND(SUM(Inventory[[#This Row],[Mdl Qlty]:[Mdl WdDeck]])+Inventory[[#This Row],[Mdl Res Intercept]]*Inventory[[#This Row],[Res Adj ]],-2)</f>
        <v>299800</v>
      </c>
      <c r="BO1361" s="25">
        <f>ROUND(Inventory[[#This Row],[25Det]]*Inventory[[#This Row],[Det/Nbhd Adj]],-2)</f>
        <v>10900</v>
      </c>
      <c r="BP1361" s="25">
        <f>Inventory[[#This Row],[Adjusted Res]]+Inventory[[#This Row],[Adj Det ]]</f>
        <v>310700</v>
      </c>
      <c r="BQ1361" s="25">
        <f>ROUND((Inventory[[#This Row],[Mdl Land Intercept]]+Inventory[[#This Row],[Mdl LnAcres]])*Inventory[[#This Row],[Det/Nbhd Adj]],-2)</f>
        <v>42400</v>
      </c>
      <c r="BR1361" s="25">
        <f>Inventory[[#This Row],[Adjusted Impr Total]]+Inventory[[#This Row],[Adjusted Land Total]]</f>
        <v>353100</v>
      </c>
      <c r="BS1361" s="36">
        <f>IFERROR((Inventory[[#This Row],[Adjusted Impr Total]]-Inventory[[#This Row],[24Bldg]])/Inventory[[#This Row],[24Bldg]],0)</f>
        <v>0.11481880157875853</v>
      </c>
      <c r="BT1361" s="36">
        <f>(Inventory[[#This Row],[Adjusted Land Total]]-Inventory[[#This Row],[24Lnd]])/Inventory[[#This Row],[24Lnd]]</f>
        <v>-0.34567901234567899</v>
      </c>
      <c r="BU1361" s="36">
        <f>(Inventory[[#This Row],[Adjusted Total]]-Inventory[[#This Row],[24Final]])/Inventory[[#This Row],[24Final]]</f>
        <v>2.794759825327511E-2</v>
      </c>
    </row>
    <row r="1362" spans="1:73" x14ac:dyDescent="0.3">
      <c r="A1362" s="25">
        <v>2025</v>
      </c>
      <c r="B1362" s="26" t="s">
        <v>2307</v>
      </c>
      <c r="C1362" s="26">
        <f>LN(Inventory[[#This Row],[Acres]])</f>
        <v>-1.6094379124341003</v>
      </c>
      <c r="D1362" s="25">
        <v>0.2</v>
      </c>
      <c r="E1362" s="25">
        <v>8680</v>
      </c>
      <c r="F1362" s="26" t="s">
        <v>537</v>
      </c>
      <c r="G1362" s="26" t="s">
        <v>126</v>
      </c>
      <c r="H1362" s="26" t="s">
        <v>349</v>
      </c>
      <c r="I1362" s="26" t="s">
        <v>538</v>
      </c>
      <c r="J1362" s="26" t="s">
        <v>539</v>
      </c>
      <c r="K1362" s="26" t="s">
        <v>173</v>
      </c>
      <c r="L1362" s="26" t="s">
        <v>351</v>
      </c>
      <c r="M1362" s="26" t="s">
        <v>323</v>
      </c>
      <c r="N1362" s="26">
        <v>90</v>
      </c>
      <c r="O1362" s="26">
        <f>2024-Inventory[[#This Row],[YrBlt]]</f>
        <v>84</v>
      </c>
      <c r="P1362" s="26">
        <f>2024-Inventory[[#This Row],[EffYr]]</f>
        <v>52</v>
      </c>
      <c r="Q1362" s="25">
        <v>1940</v>
      </c>
      <c r="R1362" s="25">
        <v>1972</v>
      </c>
      <c r="S1362" s="25">
        <v>1058</v>
      </c>
      <c r="T1362" s="32">
        <v>553</v>
      </c>
      <c r="U1362" s="32">
        <v>1107</v>
      </c>
      <c r="V1362" s="32">
        <f>Inventory[[#This Row],[Bsmt]]-Inventory[[#This Row],[FnBsmt]]</f>
        <v>0</v>
      </c>
      <c r="W1362" s="32">
        <v>1107</v>
      </c>
      <c r="X1362" s="27"/>
      <c r="Y1362" s="27">
        <f>Inventory[[#This Row],[MainFn]]+Inventory[[#This Row],[UpprFn]]+Inventory[[#This Row],[FnBsmt]]+Inventory[[#This Row],[AddFn]]</f>
        <v>2718</v>
      </c>
      <c r="Z1362" s="27">
        <v>3000</v>
      </c>
      <c r="AA1362" s="25">
        <v>5</v>
      </c>
      <c r="AB1362" s="27"/>
      <c r="AC1362" s="27"/>
      <c r="AD1362" s="32">
        <v>182</v>
      </c>
      <c r="AE1362" s="27"/>
      <c r="AF1362" s="27"/>
      <c r="AG1362" s="27"/>
      <c r="AH1362" s="27"/>
      <c r="AI1362" s="25">
        <v>329130</v>
      </c>
      <c r="AJ1362" s="25">
        <v>223808</v>
      </c>
      <c r="AK1362" s="25">
        <v>9708</v>
      </c>
      <c r="AL1362" s="25">
        <v>341300</v>
      </c>
      <c r="AM1362" s="25">
        <v>58400</v>
      </c>
      <c r="AN1362" s="25">
        <v>282900</v>
      </c>
      <c r="AO1362" s="25">
        <v>0</v>
      </c>
      <c r="AP1362" s="25">
        <f>Lookups!$B$56*0</f>
        <v>0</v>
      </c>
      <c r="AQ1362" s="25">
        <f>Lookups!$B$56*1</f>
        <v>89850.625589999996</v>
      </c>
      <c r="AR1362" s="25">
        <f>Lookups!$B$57*Inventory[[#This Row],[LnAcres]]</f>
        <v>-50946.13867709865</v>
      </c>
      <c r="AS1362" s="25">
        <f>VLOOKUP(Inventory[[#This Row],[Qlty]],Lookups!$A$62:$E$75,2,FALSE)</f>
        <v>21557.329055999999</v>
      </c>
      <c r="AT1362" s="25">
        <f>VLOOKUP(Inventory[[#This Row],[Cnd]],Lookups!$A$76:$E$84,2,FALSE)</f>
        <v>160472.20319</v>
      </c>
      <c r="AU1362" s="25">
        <f>Inventory[[#This Row],[EffAge]]*Lookups!$B$85</f>
        <v>-11598.371226000001</v>
      </c>
      <c r="AV1362" s="25">
        <f>Inventory[[#This Row],[MainFn]]*Lookups!$B$86</f>
        <v>52274.372729866001</v>
      </c>
      <c r="AW1362" s="25">
        <f>Inventory[[#This Row],[UpprFn]]*Lookups!$B$87</f>
        <v>24766.891842132998</v>
      </c>
      <c r="AX1362" s="25">
        <f>Inventory[[#This Row],[AddFn]]*Lookups!$B$88</f>
        <v>0</v>
      </c>
      <c r="AY1362" s="25">
        <f>Inventory[[#This Row],[Bsmt]]*Lookups!$B$89</f>
        <v>32193.658038428999</v>
      </c>
      <c r="AZ1362" s="25">
        <f>Inventory[[#This Row],[Fixtures]]*Lookups!$B$90</f>
        <v>18960.110526</v>
      </c>
      <c r="BA1362" s="25">
        <f>Inventory[[#This Row],[WdDeck]]*Lookups!$B$91</f>
        <v>6059.7837802320009</v>
      </c>
      <c r="BB1362" s="25">
        <f>ROUND(Inventory[[#This Row],[25Det]],-2)</f>
        <v>9700</v>
      </c>
      <c r="BC1362" s="25">
        <f>ROUND(SUM(Inventory[[#This Row],[Mdl Qlty]:[Mdl WdDeck]])+Inventory[[#This Row],[Mdl Res Intercept]],-2)</f>
        <v>304700</v>
      </c>
      <c r="BD1362" s="25">
        <f>ROUND(Inventory[[#This Row],[Mdl Land Intercept]]+Inventory[[#This Row],[Mdl LnAcres]],-2)</f>
        <v>38900</v>
      </c>
      <c r="BE1362" s="25">
        <f>Inventory[[#This Row],[Unadj Res Value]]+Inventory[[#This Row],[Unadj Det Value]]+Inventory[[#This Row],[Unadj Land Value]]</f>
        <v>353300</v>
      </c>
      <c r="BF1362" s="36">
        <f>(Inventory[[#This Row],[Unadj Total Value]]-Inventory[[#This Row],[24Final]])/Inventory[[#This Row],[24Final]]</f>
        <v>3.5159683562847932E-2</v>
      </c>
      <c r="BG1362" s="25">
        <f>VLOOKUP(Inventory[[#This Row],[Nbhd]],Lookups!$Q$2:$T$4,4,FALSE)</f>
        <v>0.99970000000000003</v>
      </c>
      <c r="BH1362" s="25">
        <f>VLOOKUP(Inventory[[#This Row],[Qlty]],Lookups!$O$7:$R$21,4,FALSE)</f>
        <v>1.0067999999999999</v>
      </c>
      <c r="BI1362" s="25">
        <f>VLOOKUP(Inventory[[#This Row],[Cnd]],Lookups!$T$7:$W$16,4,FALSE)</f>
        <v>0.99729999999999996</v>
      </c>
      <c r="BJ1362" s="25">
        <f>VLOOKUP(Inventory[[#This Row],[LivArea Range]],Lookups!$T$25:$W$37,4,FALSE)</f>
        <v>0.96179999999999999</v>
      </c>
      <c r="BK1362" s="25">
        <f>VLOOKUP(Inventory[[#This Row],[Decade]],Lookups!$O$25:$R$42,4,FALSE)</f>
        <v>0.98909999999999998</v>
      </c>
      <c r="BL1362" s="25">
        <f>Inventory[[#This Row],[Nbhd Adj]]*0.95</f>
        <v>0.94971499999999998</v>
      </c>
      <c r="BM1362" s="25">
        <f>Inventory[[#This Row],[Nbhd Adj]]*Inventory[[#This Row],[Quality Adj]]*Inventory[[#This Row],[Condition Adj]]*Inventory[[#This Row],[Living Area Adj]]*Inventory[[#This Row],[Decade Adj]]*0.95</f>
        <v>0.90716711363616798</v>
      </c>
      <c r="BN1362" s="25">
        <f>ROUND(SUM(Inventory[[#This Row],[Mdl Qlty]:[Mdl WdDeck]])+Inventory[[#This Row],[Mdl Res Intercept]]*Inventory[[#This Row],[Res Adj ]],-2)</f>
        <v>304700</v>
      </c>
      <c r="BO1362" s="25">
        <f>ROUND(Inventory[[#This Row],[25Det]]*Inventory[[#This Row],[Det/Nbhd Adj]],-2)</f>
        <v>9200</v>
      </c>
      <c r="BP1362" s="25">
        <f>Inventory[[#This Row],[Adjusted Res]]+Inventory[[#This Row],[Adj Det ]]</f>
        <v>313900</v>
      </c>
      <c r="BQ1362" s="25">
        <f>ROUND((Inventory[[#This Row],[Mdl Land Intercept]]+Inventory[[#This Row],[Mdl LnAcres]])*Inventory[[#This Row],[Det/Nbhd Adj]],-2)</f>
        <v>36900</v>
      </c>
      <c r="BR1362" s="25">
        <f>Inventory[[#This Row],[Adjusted Impr Total]]+Inventory[[#This Row],[Adjusted Land Total]]</f>
        <v>350800</v>
      </c>
      <c r="BS1362" s="36">
        <f>IFERROR((Inventory[[#This Row],[Adjusted Impr Total]]-Inventory[[#This Row],[24Bldg]])/Inventory[[#This Row],[24Bldg]],0)</f>
        <v>0.10957935666313184</v>
      </c>
      <c r="BT1362" s="36">
        <f>(Inventory[[#This Row],[Adjusted Land Total]]-Inventory[[#This Row],[24Lnd]])/Inventory[[#This Row],[24Lnd]]</f>
        <v>-0.36815068493150682</v>
      </c>
      <c r="BU1362" s="36">
        <f>(Inventory[[#This Row],[Adjusted Total]]-Inventory[[#This Row],[24Final]])/Inventory[[#This Row],[24Final]]</f>
        <v>2.7834749487254614E-2</v>
      </c>
    </row>
    <row r="1363" spans="1:73" x14ac:dyDescent="0.3">
      <c r="A1363" s="25">
        <v>2025</v>
      </c>
      <c r="B1363" s="26" t="s">
        <v>1284</v>
      </c>
      <c r="C1363" s="26">
        <f>LN(Inventory[[#This Row],[Acres]])</f>
        <v>-1.7147984280919266</v>
      </c>
      <c r="D1363" s="25">
        <v>0.18</v>
      </c>
      <c r="E1363" s="31"/>
      <c r="F1363" s="26" t="s">
        <v>537</v>
      </c>
      <c r="G1363" s="26" t="s">
        <v>126</v>
      </c>
      <c r="H1363" s="26" t="s">
        <v>349</v>
      </c>
      <c r="I1363" s="26" t="s">
        <v>538</v>
      </c>
      <c r="J1363" s="26" t="s">
        <v>539</v>
      </c>
      <c r="K1363" s="26" t="s">
        <v>242</v>
      </c>
      <c r="L1363" s="26" t="s">
        <v>148</v>
      </c>
      <c r="M1363" s="26" t="s">
        <v>303</v>
      </c>
      <c r="N1363" s="26">
        <v>90</v>
      </c>
      <c r="O1363" s="26">
        <f>2024-Inventory[[#This Row],[YrBlt]]</f>
        <v>84</v>
      </c>
      <c r="P1363" s="26">
        <f>2024-Inventory[[#This Row],[EffYr]]</f>
        <v>52</v>
      </c>
      <c r="Q1363" s="25">
        <v>1940</v>
      </c>
      <c r="R1363" s="25">
        <v>1972</v>
      </c>
      <c r="S1363" s="25">
        <v>1498</v>
      </c>
      <c r="T1363" s="31"/>
      <c r="U1363" s="25">
        <v>1498</v>
      </c>
      <c r="V1363" s="25">
        <f>Inventory[[#This Row],[Bsmt]]-Inventory[[#This Row],[FnBsmt]]</f>
        <v>0</v>
      </c>
      <c r="W1363" s="25">
        <v>1498</v>
      </c>
      <c r="X1363" s="27"/>
      <c r="Y1363" s="27">
        <f>Inventory[[#This Row],[MainFn]]+Inventory[[#This Row],[UpprFn]]+Inventory[[#This Row],[FnBsmt]]+Inventory[[#This Row],[AddFn]]</f>
        <v>2996</v>
      </c>
      <c r="Z1363" s="27">
        <v>3000</v>
      </c>
      <c r="AA1363" s="25">
        <v>9</v>
      </c>
      <c r="AB1363" s="31"/>
      <c r="AC1363" s="27"/>
      <c r="AD1363" s="31"/>
      <c r="AE1363" s="27"/>
      <c r="AF1363" s="27"/>
      <c r="AG1363" s="27"/>
      <c r="AH1363" s="27"/>
      <c r="AI1363" s="25">
        <v>519145</v>
      </c>
      <c r="AJ1363" s="25">
        <v>363402</v>
      </c>
      <c r="AK1363" s="25">
        <v>40355</v>
      </c>
      <c r="AL1363" s="25">
        <v>442200</v>
      </c>
      <c r="AM1363" s="25">
        <v>54700</v>
      </c>
      <c r="AN1363" s="25">
        <v>387500</v>
      </c>
      <c r="AO1363" s="25">
        <v>0</v>
      </c>
      <c r="AP1363" s="25">
        <f>Lookups!$B$56*0</f>
        <v>0</v>
      </c>
      <c r="AQ1363" s="25">
        <f>Lookups!$B$56*1</f>
        <v>89850.625589999996</v>
      </c>
      <c r="AR1363" s="25">
        <f>Lookups!$B$57*Inventory[[#This Row],[LnAcres]]</f>
        <v>-54281.285314520763</v>
      </c>
      <c r="AS1363" s="25">
        <f>VLOOKUP(Inventory[[#This Row],[Qlty]],Lookups!$A$62:$E$75,2,FALSE)</f>
        <v>44121.038090000002</v>
      </c>
      <c r="AT1363" s="25">
        <f>VLOOKUP(Inventory[[#This Row],[Cnd]],Lookups!$A$76:$E$84,2,FALSE)</f>
        <v>197752.34721000001</v>
      </c>
      <c r="AU1363" s="25">
        <f>Inventory[[#This Row],[EffAge]]*Lookups!$B$85</f>
        <v>-11598.371226000001</v>
      </c>
      <c r="AV1363" s="25">
        <f>Inventory[[#This Row],[MainFn]]*Lookups!$B$86</f>
        <v>74014.187475746003</v>
      </c>
      <c r="AW1363" s="25">
        <f>Inventory[[#This Row],[UpprFn]]*Lookups!$B$87</f>
        <v>0</v>
      </c>
      <c r="AX1363" s="25">
        <f>Inventory[[#This Row],[AddFn]]*Lookups!$B$88</f>
        <v>0</v>
      </c>
      <c r="AY1363" s="25">
        <f>Inventory[[#This Row],[Bsmt]]*Lookups!$B$89</f>
        <v>43564.679080005997</v>
      </c>
      <c r="AZ1363" s="25">
        <f>Inventory[[#This Row],[Fixtures]]*Lookups!$B$90</f>
        <v>34128.198946800003</v>
      </c>
      <c r="BA1363" s="25">
        <f>Inventory[[#This Row],[WdDeck]]*Lookups!$B$91</f>
        <v>0</v>
      </c>
      <c r="BB1363" s="25">
        <f>ROUND(Inventory[[#This Row],[25Det]],-2)</f>
        <v>40400</v>
      </c>
      <c r="BC1363" s="25">
        <f>ROUND(SUM(Inventory[[#This Row],[Mdl Qlty]:[Mdl WdDeck]])+Inventory[[#This Row],[Mdl Res Intercept]],-2)</f>
        <v>382000</v>
      </c>
      <c r="BD1363" s="25">
        <f>ROUND(Inventory[[#This Row],[Mdl Land Intercept]]+Inventory[[#This Row],[Mdl LnAcres]],-2)</f>
        <v>35600</v>
      </c>
      <c r="BE1363" s="25">
        <f>Inventory[[#This Row],[Unadj Res Value]]+Inventory[[#This Row],[Unadj Det Value]]+Inventory[[#This Row],[Unadj Land Value]]</f>
        <v>458000</v>
      </c>
      <c r="BF1363" s="36">
        <f>(Inventory[[#This Row],[Unadj Total Value]]-Inventory[[#This Row],[24Final]])/Inventory[[#This Row],[24Final]]</f>
        <v>3.5730438715513339E-2</v>
      </c>
      <c r="BG1363" s="25">
        <f>VLOOKUP(Inventory[[#This Row],[Nbhd]],Lookups!$Q$2:$T$4,4,FALSE)</f>
        <v>0.99970000000000003</v>
      </c>
      <c r="BH1363" s="25">
        <f>VLOOKUP(Inventory[[#This Row],[Qlty]],Lookups!$O$7:$R$21,4,FALSE)</f>
        <v>0.98050000000000004</v>
      </c>
      <c r="BI1363" s="25">
        <f>VLOOKUP(Inventory[[#This Row],[Cnd]],Lookups!$T$7:$W$16,4,FALSE)</f>
        <v>0.99650000000000005</v>
      </c>
      <c r="BJ1363" s="25">
        <f>VLOOKUP(Inventory[[#This Row],[LivArea Range]],Lookups!$T$25:$W$37,4,FALSE)</f>
        <v>0.96179999999999999</v>
      </c>
      <c r="BK1363" s="25">
        <f>VLOOKUP(Inventory[[#This Row],[Decade]],Lookups!$O$25:$R$42,4,FALSE)</f>
        <v>0.98909999999999998</v>
      </c>
      <c r="BL1363" s="25">
        <f>Inventory[[#This Row],[Nbhd Adj]]*0.95</f>
        <v>0.94971499999999998</v>
      </c>
      <c r="BM1363" s="25">
        <f>Inventory[[#This Row],[Nbhd Adj]]*Inventory[[#This Row],[Quality Adj]]*Inventory[[#This Row],[Condition Adj]]*Inventory[[#This Row],[Living Area Adj]]*Inventory[[#This Row],[Decade Adj]]*0.95</f>
        <v>0.88276107127906644</v>
      </c>
      <c r="BN1363" s="25">
        <f>ROUND(SUM(Inventory[[#This Row],[Mdl Qlty]:[Mdl WdDeck]])+Inventory[[#This Row],[Mdl Res Intercept]]*Inventory[[#This Row],[Res Adj ]],-2)</f>
        <v>382000</v>
      </c>
      <c r="BO1363" s="25">
        <f>ROUND(Inventory[[#This Row],[25Det]]*Inventory[[#This Row],[Det/Nbhd Adj]],-2)</f>
        <v>38300</v>
      </c>
      <c r="BP1363" s="25">
        <f>Inventory[[#This Row],[Adjusted Res]]+Inventory[[#This Row],[Adj Det ]]</f>
        <v>420300</v>
      </c>
      <c r="BQ1363" s="25">
        <f>ROUND((Inventory[[#This Row],[Mdl Land Intercept]]+Inventory[[#This Row],[Mdl LnAcres]])*Inventory[[#This Row],[Det/Nbhd Adj]],-2)</f>
        <v>33800</v>
      </c>
      <c r="BR1363" s="25">
        <f>Inventory[[#This Row],[Adjusted Impr Total]]+Inventory[[#This Row],[Adjusted Land Total]]</f>
        <v>454100</v>
      </c>
      <c r="BS1363" s="36">
        <f>IFERROR((Inventory[[#This Row],[Adjusted Impr Total]]-Inventory[[#This Row],[24Bldg]])/Inventory[[#This Row],[24Bldg]],0)</f>
        <v>8.4645161290322582E-2</v>
      </c>
      <c r="BT1363" s="36">
        <f>(Inventory[[#This Row],[Adjusted Land Total]]-Inventory[[#This Row],[24Lnd]])/Inventory[[#This Row],[24Lnd]]</f>
        <v>-0.38208409506398539</v>
      </c>
      <c r="BU1363" s="36">
        <f>(Inventory[[#This Row],[Adjusted Total]]-Inventory[[#This Row],[24Final]])/Inventory[[#This Row],[24Final]]</f>
        <v>2.6910900045228402E-2</v>
      </c>
    </row>
    <row r="1364" spans="1:73" x14ac:dyDescent="0.3">
      <c r="A1364" s="25">
        <v>2025</v>
      </c>
      <c r="B1364" s="26" t="s">
        <v>807</v>
      </c>
      <c r="C1364" s="26">
        <f>LN(Inventory[[#This Row],[Acres]])</f>
        <v>-1.6094379124341003</v>
      </c>
      <c r="D1364" s="25">
        <v>0.2</v>
      </c>
      <c r="E1364" s="25">
        <v>8739</v>
      </c>
      <c r="F1364" s="26" t="s">
        <v>537</v>
      </c>
      <c r="G1364" s="26" t="s">
        <v>126</v>
      </c>
      <c r="H1364" s="26" t="s">
        <v>349</v>
      </c>
      <c r="I1364" s="26" t="s">
        <v>538</v>
      </c>
      <c r="J1364" s="26" t="s">
        <v>539</v>
      </c>
      <c r="K1364" s="26" t="s">
        <v>242</v>
      </c>
      <c r="L1364" s="26" t="s">
        <v>205</v>
      </c>
      <c r="M1364" s="26" t="s">
        <v>323</v>
      </c>
      <c r="N1364" s="26">
        <v>90</v>
      </c>
      <c r="O1364" s="26">
        <f>2024-Inventory[[#This Row],[YrBlt]]</f>
        <v>84</v>
      </c>
      <c r="P1364" s="26">
        <f>2024-Inventory[[#This Row],[EffYr]]</f>
        <v>52</v>
      </c>
      <c r="Q1364" s="25">
        <v>1940</v>
      </c>
      <c r="R1364" s="25">
        <v>1972</v>
      </c>
      <c r="S1364" s="25">
        <v>871</v>
      </c>
      <c r="T1364" s="31"/>
      <c r="U1364" s="25">
        <v>871</v>
      </c>
      <c r="V1364" s="25">
        <f>Inventory[[#This Row],[Bsmt]]-Inventory[[#This Row],[FnBsmt]]</f>
        <v>435</v>
      </c>
      <c r="W1364" s="25">
        <v>436</v>
      </c>
      <c r="X1364" s="27"/>
      <c r="Y1364" s="27">
        <f>Inventory[[#This Row],[MainFn]]+Inventory[[#This Row],[UpprFn]]+Inventory[[#This Row],[FnBsmt]]+Inventory[[#This Row],[AddFn]]</f>
        <v>1307</v>
      </c>
      <c r="Z1364" s="27">
        <v>1500</v>
      </c>
      <c r="AA1364" s="25">
        <v>5</v>
      </c>
      <c r="AB1364" s="27"/>
      <c r="AC1364" s="27"/>
      <c r="AD1364" s="25">
        <v>35</v>
      </c>
      <c r="AE1364" s="27"/>
      <c r="AF1364" s="27"/>
      <c r="AG1364" s="27"/>
      <c r="AH1364" s="27"/>
      <c r="AI1364" s="25">
        <v>205929</v>
      </c>
      <c r="AJ1364" s="25">
        <v>140032</v>
      </c>
      <c r="AK1364" s="25">
        <v>5831</v>
      </c>
      <c r="AL1364" s="25">
        <v>272500</v>
      </c>
      <c r="AM1364" s="25">
        <v>58400</v>
      </c>
      <c r="AN1364" s="25">
        <v>214100</v>
      </c>
      <c r="AO1364" s="25">
        <v>0</v>
      </c>
      <c r="AP1364" s="25">
        <f>Lookups!$B$56*0</f>
        <v>0</v>
      </c>
      <c r="AQ1364" s="25">
        <f>Lookups!$B$56*1</f>
        <v>89850.625589999996</v>
      </c>
      <c r="AR1364" s="25">
        <f>Lookups!$B$57*Inventory[[#This Row],[LnAcres]]</f>
        <v>-50946.13867709865</v>
      </c>
      <c r="AS1364" s="25">
        <f>VLOOKUP(Inventory[[#This Row],[Qlty]],Lookups!$A$62:$E$75,2,FALSE)</f>
        <v>0</v>
      </c>
      <c r="AT1364" s="25">
        <f>VLOOKUP(Inventory[[#This Row],[Cnd]],Lookups!$A$76:$E$84,2,FALSE)</f>
        <v>160472.20319</v>
      </c>
      <c r="AU1364" s="25">
        <f>Inventory[[#This Row],[EffAge]]*Lookups!$B$85</f>
        <v>-11598.371226000001</v>
      </c>
      <c r="AV1364" s="25">
        <f>Inventory[[#This Row],[MainFn]]*Lookups!$B$86</f>
        <v>43034.951462867</v>
      </c>
      <c r="AW1364" s="25">
        <f>Inventory[[#This Row],[UpprFn]]*Lookups!$B$87</f>
        <v>0</v>
      </c>
      <c r="AX1364" s="25">
        <f>Inventory[[#This Row],[AddFn]]*Lookups!$B$88</f>
        <v>0</v>
      </c>
      <c r="AY1364" s="25">
        <f>Inventory[[#This Row],[Bsmt]]*Lookups!$B$89</f>
        <v>25330.330760137</v>
      </c>
      <c r="AZ1364" s="25">
        <f>Inventory[[#This Row],[Fixtures]]*Lookups!$B$90</f>
        <v>18960.110526</v>
      </c>
      <c r="BA1364" s="25">
        <f>Inventory[[#This Row],[WdDeck]]*Lookups!$B$91</f>
        <v>1165.3430346600001</v>
      </c>
      <c r="BB1364" s="25">
        <f>ROUND(Inventory[[#This Row],[25Det]],-2)</f>
        <v>5800</v>
      </c>
      <c r="BC1364" s="25">
        <f>ROUND(SUM(Inventory[[#This Row],[Mdl Qlty]:[Mdl WdDeck]])+Inventory[[#This Row],[Mdl Res Intercept]],-2)</f>
        <v>237400</v>
      </c>
      <c r="BD1364" s="25">
        <f>ROUND(Inventory[[#This Row],[Mdl Land Intercept]]+Inventory[[#This Row],[Mdl LnAcres]],-2)</f>
        <v>38900</v>
      </c>
      <c r="BE1364" s="25">
        <f>Inventory[[#This Row],[Unadj Res Value]]+Inventory[[#This Row],[Unadj Det Value]]+Inventory[[#This Row],[Unadj Land Value]]</f>
        <v>282100</v>
      </c>
      <c r="BF1364" s="36">
        <f>(Inventory[[#This Row],[Unadj Total Value]]-Inventory[[#This Row],[24Final]])/Inventory[[#This Row],[24Final]]</f>
        <v>3.5229357798165141E-2</v>
      </c>
      <c r="BG1364" s="25">
        <f>VLOOKUP(Inventory[[#This Row],[Nbhd]],Lookups!$Q$2:$T$4,4,FALSE)</f>
        <v>0.99970000000000003</v>
      </c>
      <c r="BH1364" s="25">
        <f>VLOOKUP(Inventory[[#This Row],[Qlty]],Lookups!$O$7:$R$21,4,FALSE)</f>
        <v>0.99180000000000001</v>
      </c>
      <c r="BI1364" s="25">
        <f>VLOOKUP(Inventory[[#This Row],[Cnd]],Lookups!$T$7:$W$16,4,FALSE)</f>
        <v>0.99729999999999996</v>
      </c>
      <c r="BJ1364" s="25">
        <f>VLOOKUP(Inventory[[#This Row],[LivArea Range]],Lookups!$T$25:$W$37,4,FALSE)</f>
        <v>1.0157</v>
      </c>
      <c r="BK1364" s="25">
        <f>VLOOKUP(Inventory[[#This Row],[Decade]],Lookups!$O$25:$R$42,4,FALSE)</f>
        <v>0.98909999999999998</v>
      </c>
      <c r="BL1364" s="25">
        <f>Inventory[[#This Row],[Nbhd Adj]]*0.95</f>
        <v>0.94971499999999998</v>
      </c>
      <c r="BM1364" s="25">
        <f>Inventory[[#This Row],[Nbhd Adj]]*Inventory[[#This Row],[Quality Adj]]*Inventory[[#This Row],[Condition Adj]]*Inventory[[#This Row],[Living Area Adj]]*Inventory[[#This Row],[Decade Adj]]*0.95</f>
        <v>0.94373242022269987</v>
      </c>
      <c r="BN1364" s="25">
        <f>ROUND(SUM(Inventory[[#This Row],[Mdl Qlty]:[Mdl WdDeck]])+Inventory[[#This Row],[Mdl Res Intercept]]*Inventory[[#This Row],[Res Adj ]],-2)</f>
        <v>237400</v>
      </c>
      <c r="BO1364" s="25">
        <f>ROUND(Inventory[[#This Row],[25Det]]*Inventory[[#This Row],[Det/Nbhd Adj]],-2)</f>
        <v>5500</v>
      </c>
      <c r="BP1364" s="25">
        <f>Inventory[[#This Row],[Adjusted Res]]+Inventory[[#This Row],[Adj Det ]]</f>
        <v>242900</v>
      </c>
      <c r="BQ1364" s="25">
        <f>ROUND((Inventory[[#This Row],[Mdl Land Intercept]]+Inventory[[#This Row],[Mdl LnAcres]])*Inventory[[#This Row],[Det/Nbhd Adj]],-2)</f>
        <v>36900</v>
      </c>
      <c r="BR1364" s="25">
        <f>Inventory[[#This Row],[Adjusted Impr Total]]+Inventory[[#This Row],[Adjusted Land Total]]</f>
        <v>279800</v>
      </c>
      <c r="BS1364" s="36">
        <f>IFERROR((Inventory[[#This Row],[Adjusted Impr Total]]-Inventory[[#This Row],[24Bldg]])/Inventory[[#This Row],[24Bldg]],0)</f>
        <v>0.13451658103689865</v>
      </c>
      <c r="BT1364" s="36">
        <f>(Inventory[[#This Row],[Adjusted Land Total]]-Inventory[[#This Row],[24Lnd]])/Inventory[[#This Row],[24Lnd]]</f>
        <v>-0.36815068493150682</v>
      </c>
      <c r="BU1364" s="36">
        <f>(Inventory[[#This Row],[Adjusted Total]]-Inventory[[#This Row],[24Final]])/Inventory[[#This Row],[24Final]]</f>
        <v>2.6788990825688072E-2</v>
      </c>
    </row>
    <row r="1365" spans="1:73" x14ac:dyDescent="0.3">
      <c r="A1365" s="25">
        <v>2025</v>
      </c>
      <c r="B1365" s="26" t="s">
        <v>2578</v>
      </c>
      <c r="C1365" s="26">
        <f>LN(Inventory[[#This Row],[Acres]])</f>
        <v>-1.9661128563728327</v>
      </c>
      <c r="D1365" s="25">
        <v>0.14000000000000001</v>
      </c>
      <c r="E1365" s="31"/>
      <c r="F1365" s="26" t="s">
        <v>537</v>
      </c>
      <c r="G1365" s="26" t="s">
        <v>126</v>
      </c>
      <c r="H1365" s="26" t="s">
        <v>349</v>
      </c>
      <c r="I1365" s="26" t="s">
        <v>538</v>
      </c>
      <c r="J1365" s="26" t="s">
        <v>539</v>
      </c>
      <c r="K1365" s="26" t="s">
        <v>242</v>
      </c>
      <c r="L1365" s="26" t="s">
        <v>351</v>
      </c>
      <c r="M1365" s="26" t="s">
        <v>323</v>
      </c>
      <c r="N1365" s="26">
        <v>90</v>
      </c>
      <c r="O1365" s="26">
        <f>2024-Inventory[[#This Row],[YrBlt]]</f>
        <v>84</v>
      </c>
      <c r="P1365" s="26">
        <f>2024-Inventory[[#This Row],[EffYr]]</f>
        <v>52</v>
      </c>
      <c r="Q1365" s="25">
        <v>1940</v>
      </c>
      <c r="R1365" s="25">
        <v>1972</v>
      </c>
      <c r="S1365" s="25">
        <v>944</v>
      </c>
      <c r="T1365" s="27"/>
      <c r="U1365" s="32">
        <v>944</v>
      </c>
      <c r="V1365" s="32">
        <f>Inventory[[#This Row],[Bsmt]]-Inventory[[#This Row],[FnBsmt]]</f>
        <v>0</v>
      </c>
      <c r="W1365" s="32">
        <v>944</v>
      </c>
      <c r="X1365" s="27"/>
      <c r="Y1365" s="27">
        <f>Inventory[[#This Row],[MainFn]]+Inventory[[#This Row],[UpprFn]]+Inventory[[#This Row],[FnBsmt]]+Inventory[[#This Row],[AddFn]]</f>
        <v>1888</v>
      </c>
      <c r="Z1365" s="27">
        <v>2000</v>
      </c>
      <c r="AA1365" s="25">
        <v>5</v>
      </c>
      <c r="AB1365" s="27"/>
      <c r="AC1365" s="27"/>
      <c r="AD1365" s="27"/>
      <c r="AE1365" s="27"/>
      <c r="AF1365" s="27"/>
      <c r="AG1365" s="27"/>
      <c r="AH1365" s="27"/>
      <c r="AI1365" s="25">
        <v>248330</v>
      </c>
      <c r="AJ1365" s="25">
        <v>168864</v>
      </c>
      <c r="AK1365" s="25">
        <v>6724</v>
      </c>
      <c r="AL1365" s="25">
        <v>288800</v>
      </c>
      <c r="AM1365" s="25">
        <v>46000</v>
      </c>
      <c r="AN1365" s="25">
        <v>242800</v>
      </c>
      <c r="AO1365" s="25">
        <v>0</v>
      </c>
      <c r="AP1365" s="25">
        <f>Lookups!$B$56*0</f>
        <v>0</v>
      </c>
      <c r="AQ1365" s="25">
        <f>Lookups!$B$56*1</f>
        <v>89850.625589999996</v>
      </c>
      <c r="AR1365" s="25">
        <f>Lookups!$B$57*Inventory[[#This Row],[LnAcres]]</f>
        <v>-62236.546971921947</v>
      </c>
      <c r="AS1365" s="25">
        <f>VLOOKUP(Inventory[[#This Row],[Qlty]],Lookups!$A$62:$E$75,2,FALSE)</f>
        <v>21557.329055999999</v>
      </c>
      <c r="AT1365" s="25">
        <f>VLOOKUP(Inventory[[#This Row],[Cnd]],Lookups!$A$76:$E$84,2,FALSE)</f>
        <v>160472.20319</v>
      </c>
      <c r="AU1365" s="25">
        <f>Inventory[[#This Row],[EffAge]]*Lookups!$B$85</f>
        <v>-11598.371226000001</v>
      </c>
      <c r="AV1365" s="25">
        <f>Inventory[[#This Row],[MainFn]]*Lookups!$B$86</f>
        <v>46641.784363888</v>
      </c>
      <c r="AW1365" s="25">
        <f>Inventory[[#This Row],[UpprFn]]*Lookups!$B$87</f>
        <v>0</v>
      </c>
      <c r="AX1365" s="25">
        <f>Inventory[[#This Row],[AddFn]]*Lookups!$B$88</f>
        <v>0</v>
      </c>
      <c r="AY1365" s="25">
        <f>Inventory[[#This Row],[Bsmt]]*Lookups!$B$89</f>
        <v>27453.309113167998</v>
      </c>
      <c r="AZ1365" s="25">
        <f>Inventory[[#This Row],[Fixtures]]*Lookups!$B$90</f>
        <v>18960.110526</v>
      </c>
      <c r="BA1365" s="25">
        <f>Inventory[[#This Row],[WdDeck]]*Lookups!$B$91</f>
        <v>0</v>
      </c>
      <c r="BB1365" s="25">
        <f>ROUND(Inventory[[#This Row],[25Det]],-2)</f>
        <v>6700</v>
      </c>
      <c r="BC1365" s="25">
        <f>ROUND(SUM(Inventory[[#This Row],[Mdl Qlty]:[Mdl WdDeck]])+Inventory[[#This Row],[Mdl Res Intercept]],-2)</f>
        <v>263500</v>
      </c>
      <c r="BD1365" s="25">
        <f>ROUND(Inventory[[#This Row],[Mdl Land Intercept]]+Inventory[[#This Row],[Mdl LnAcres]],-2)</f>
        <v>27600</v>
      </c>
      <c r="BE1365" s="25">
        <f>Inventory[[#This Row],[Unadj Res Value]]+Inventory[[#This Row],[Unadj Det Value]]+Inventory[[#This Row],[Unadj Land Value]]</f>
        <v>297800</v>
      </c>
      <c r="BF1365" s="36">
        <f>(Inventory[[#This Row],[Unadj Total Value]]-Inventory[[#This Row],[24Final]])/Inventory[[#This Row],[24Final]]</f>
        <v>3.1163434903047092E-2</v>
      </c>
      <c r="BG1365" s="25">
        <f>VLOOKUP(Inventory[[#This Row],[Nbhd]],Lookups!$Q$2:$T$4,4,FALSE)</f>
        <v>0.99970000000000003</v>
      </c>
      <c r="BH1365" s="25">
        <f>VLOOKUP(Inventory[[#This Row],[Qlty]],Lookups!$O$7:$R$21,4,FALSE)</f>
        <v>1.0067999999999999</v>
      </c>
      <c r="BI1365" s="25">
        <f>VLOOKUP(Inventory[[#This Row],[Cnd]],Lookups!$T$7:$W$16,4,FALSE)</f>
        <v>0.99729999999999996</v>
      </c>
      <c r="BJ1365" s="25">
        <f>VLOOKUP(Inventory[[#This Row],[LivArea Range]],Lookups!$T$25:$W$37,4,FALSE)</f>
        <v>1.0093000000000001</v>
      </c>
      <c r="BK1365" s="25">
        <f>VLOOKUP(Inventory[[#This Row],[Decade]],Lookups!$O$25:$R$42,4,FALSE)</f>
        <v>0.98909999999999998</v>
      </c>
      <c r="BL1365" s="25">
        <f>Inventory[[#This Row],[Nbhd Adj]]*0.95</f>
        <v>0.94971499999999998</v>
      </c>
      <c r="BM1365" s="25">
        <f>Inventory[[#This Row],[Nbhd Adj]]*Inventory[[#This Row],[Quality Adj]]*Inventory[[#This Row],[Condition Adj]]*Inventory[[#This Row],[Living Area Adj]]*Inventory[[#This Row],[Decade Adj]]*0.95</f>
        <v>0.95196898294134369</v>
      </c>
      <c r="BN1365" s="25">
        <f>ROUND(SUM(Inventory[[#This Row],[Mdl Qlty]:[Mdl WdDeck]])+Inventory[[#This Row],[Mdl Res Intercept]]*Inventory[[#This Row],[Res Adj ]],-2)</f>
        <v>263500</v>
      </c>
      <c r="BO1365" s="25">
        <f>ROUND(Inventory[[#This Row],[25Det]]*Inventory[[#This Row],[Det/Nbhd Adj]],-2)</f>
        <v>6400</v>
      </c>
      <c r="BP1365" s="25">
        <f>Inventory[[#This Row],[Adjusted Res]]+Inventory[[#This Row],[Adj Det ]]</f>
        <v>269900</v>
      </c>
      <c r="BQ1365" s="25">
        <f>ROUND((Inventory[[#This Row],[Mdl Land Intercept]]+Inventory[[#This Row],[Mdl LnAcres]])*Inventory[[#This Row],[Det/Nbhd Adj]],-2)</f>
        <v>26200</v>
      </c>
      <c r="BR1365" s="25">
        <f>Inventory[[#This Row],[Adjusted Impr Total]]+Inventory[[#This Row],[Adjusted Land Total]]</f>
        <v>296100</v>
      </c>
      <c r="BS1365" s="36">
        <f>IFERROR((Inventory[[#This Row],[Adjusted Impr Total]]-Inventory[[#This Row],[24Bldg]])/Inventory[[#This Row],[24Bldg]],0)</f>
        <v>0.11161449752883032</v>
      </c>
      <c r="BT1365" s="36">
        <f>(Inventory[[#This Row],[Adjusted Land Total]]-Inventory[[#This Row],[24Lnd]])/Inventory[[#This Row],[24Lnd]]</f>
        <v>-0.43043478260869567</v>
      </c>
      <c r="BU1365" s="36">
        <f>(Inventory[[#This Row],[Adjusted Total]]-Inventory[[#This Row],[24Final]])/Inventory[[#This Row],[24Final]]</f>
        <v>2.5277008310249309E-2</v>
      </c>
    </row>
    <row r="1366" spans="1:73" x14ac:dyDescent="0.3">
      <c r="A1366" s="25">
        <v>2025</v>
      </c>
      <c r="B1366" s="26" t="s">
        <v>1081</v>
      </c>
      <c r="C1366" s="26">
        <f>LN(Inventory[[#This Row],[Acres]])</f>
        <v>-1.7719568419318752</v>
      </c>
      <c r="D1366" s="25">
        <v>0.17</v>
      </c>
      <c r="E1366" s="31"/>
      <c r="F1366" s="26" t="s">
        <v>537</v>
      </c>
      <c r="G1366" s="26" t="s">
        <v>126</v>
      </c>
      <c r="H1366" s="26" t="s">
        <v>349</v>
      </c>
      <c r="I1366" s="26" t="s">
        <v>538</v>
      </c>
      <c r="J1366" s="26" t="s">
        <v>539</v>
      </c>
      <c r="K1366" s="26" t="s">
        <v>242</v>
      </c>
      <c r="L1366" s="26" t="s">
        <v>351</v>
      </c>
      <c r="M1366" s="26" t="s">
        <v>323</v>
      </c>
      <c r="N1366" s="26">
        <v>90</v>
      </c>
      <c r="O1366" s="26">
        <f>2024-Inventory[[#This Row],[YrBlt]]</f>
        <v>84</v>
      </c>
      <c r="P1366" s="26">
        <f>2024-Inventory[[#This Row],[EffYr]]</f>
        <v>52</v>
      </c>
      <c r="Q1366" s="25">
        <v>1940</v>
      </c>
      <c r="R1366" s="25">
        <v>1972</v>
      </c>
      <c r="S1366" s="25">
        <v>861</v>
      </c>
      <c r="T1366" s="31"/>
      <c r="U1366" s="25">
        <v>861</v>
      </c>
      <c r="V1366" s="25">
        <f>Inventory[[#This Row],[Bsmt]]-Inventory[[#This Row],[FnBsmt]]</f>
        <v>0</v>
      </c>
      <c r="W1366" s="25">
        <v>861</v>
      </c>
      <c r="X1366" s="27"/>
      <c r="Y1366" s="27">
        <f>Inventory[[#This Row],[MainFn]]+Inventory[[#This Row],[UpprFn]]+Inventory[[#This Row],[FnBsmt]]+Inventory[[#This Row],[AddFn]]</f>
        <v>1722</v>
      </c>
      <c r="Z1366" s="27">
        <v>2000</v>
      </c>
      <c r="AA1366" s="25">
        <v>5</v>
      </c>
      <c r="AB1366" s="27"/>
      <c r="AC1366" s="27"/>
      <c r="AD1366" s="31"/>
      <c r="AE1366" s="27"/>
      <c r="AF1366" s="27"/>
      <c r="AG1366" s="27"/>
      <c r="AH1366" s="27"/>
      <c r="AI1366" s="25">
        <v>219060</v>
      </c>
      <c r="AJ1366" s="25">
        <v>148961</v>
      </c>
      <c r="AK1366" s="25">
        <v>5168</v>
      </c>
      <c r="AL1366" s="25">
        <v>286900</v>
      </c>
      <c r="AM1366" s="25">
        <v>52700</v>
      </c>
      <c r="AN1366" s="25">
        <v>234200</v>
      </c>
      <c r="AO1366" s="25">
        <v>0</v>
      </c>
      <c r="AP1366" s="25">
        <f>Lookups!$B$56*0</f>
        <v>0</v>
      </c>
      <c r="AQ1366" s="25">
        <f>Lookups!$B$56*1</f>
        <v>89850.625589999996</v>
      </c>
      <c r="AR1366" s="25">
        <f>Lookups!$B$57*Inventory[[#This Row],[LnAcres]]</f>
        <v>-56090.612940989391</v>
      </c>
      <c r="AS1366" s="25">
        <f>VLOOKUP(Inventory[[#This Row],[Qlty]],Lookups!$A$62:$E$75,2,FALSE)</f>
        <v>21557.329055999999</v>
      </c>
      <c r="AT1366" s="25">
        <f>VLOOKUP(Inventory[[#This Row],[Cnd]],Lookups!$A$76:$E$84,2,FALSE)</f>
        <v>160472.20319</v>
      </c>
      <c r="AU1366" s="25">
        <f>Inventory[[#This Row],[EffAge]]*Lookups!$B$85</f>
        <v>-11598.371226000001</v>
      </c>
      <c r="AV1366" s="25">
        <f>Inventory[[#This Row],[MainFn]]*Lookups!$B$86</f>
        <v>42540.864764097001</v>
      </c>
      <c r="AW1366" s="25">
        <f>Inventory[[#This Row],[UpprFn]]*Lookups!$B$87</f>
        <v>0</v>
      </c>
      <c r="AX1366" s="25">
        <f>Inventory[[#This Row],[AddFn]]*Lookups!$B$88</f>
        <v>0</v>
      </c>
      <c r="AY1366" s="25">
        <f>Inventory[[#This Row],[Bsmt]]*Lookups!$B$89</f>
        <v>25039.511807666997</v>
      </c>
      <c r="AZ1366" s="25">
        <f>Inventory[[#This Row],[Fixtures]]*Lookups!$B$90</f>
        <v>18960.110526</v>
      </c>
      <c r="BA1366" s="25">
        <f>Inventory[[#This Row],[WdDeck]]*Lookups!$B$91</f>
        <v>0</v>
      </c>
      <c r="BB1366" s="25">
        <f>ROUND(Inventory[[#This Row],[25Det]],-2)</f>
        <v>5200</v>
      </c>
      <c r="BC1366" s="25">
        <f>ROUND(SUM(Inventory[[#This Row],[Mdl Qlty]:[Mdl WdDeck]])+Inventory[[#This Row],[Mdl Res Intercept]],-2)</f>
        <v>257000</v>
      </c>
      <c r="BD1366" s="25">
        <f>ROUND(Inventory[[#This Row],[Mdl Land Intercept]]+Inventory[[#This Row],[Mdl LnAcres]],-2)</f>
        <v>33800</v>
      </c>
      <c r="BE1366" s="25">
        <f>Inventory[[#This Row],[Unadj Res Value]]+Inventory[[#This Row],[Unadj Det Value]]+Inventory[[#This Row],[Unadj Land Value]]</f>
        <v>296000</v>
      </c>
      <c r="BF1366" s="36">
        <f>(Inventory[[#This Row],[Unadj Total Value]]-Inventory[[#This Row],[24Final]])/Inventory[[#This Row],[24Final]]</f>
        <v>3.1718368769606133E-2</v>
      </c>
      <c r="BG1366" s="25">
        <f>VLOOKUP(Inventory[[#This Row],[Nbhd]],Lookups!$Q$2:$T$4,4,FALSE)</f>
        <v>0.99970000000000003</v>
      </c>
      <c r="BH1366" s="25">
        <f>VLOOKUP(Inventory[[#This Row],[Qlty]],Lookups!$O$7:$R$21,4,FALSE)</f>
        <v>1.0067999999999999</v>
      </c>
      <c r="BI1366" s="25">
        <f>VLOOKUP(Inventory[[#This Row],[Cnd]],Lookups!$T$7:$W$16,4,FALSE)</f>
        <v>0.99729999999999996</v>
      </c>
      <c r="BJ1366" s="25">
        <f>VLOOKUP(Inventory[[#This Row],[LivArea Range]],Lookups!$T$25:$W$37,4,FALSE)</f>
        <v>1.0093000000000001</v>
      </c>
      <c r="BK1366" s="25">
        <f>VLOOKUP(Inventory[[#This Row],[Decade]],Lookups!$O$25:$R$42,4,FALSE)</f>
        <v>0.98909999999999998</v>
      </c>
      <c r="BL1366" s="25">
        <f>Inventory[[#This Row],[Nbhd Adj]]*0.95</f>
        <v>0.94971499999999998</v>
      </c>
      <c r="BM1366" s="25">
        <f>Inventory[[#This Row],[Nbhd Adj]]*Inventory[[#This Row],[Quality Adj]]*Inventory[[#This Row],[Condition Adj]]*Inventory[[#This Row],[Living Area Adj]]*Inventory[[#This Row],[Decade Adj]]*0.95</f>
        <v>0.95196898294134369</v>
      </c>
      <c r="BN1366" s="25">
        <f>ROUND(SUM(Inventory[[#This Row],[Mdl Qlty]:[Mdl WdDeck]])+Inventory[[#This Row],[Mdl Res Intercept]]*Inventory[[#This Row],[Res Adj ]],-2)</f>
        <v>257000</v>
      </c>
      <c r="BO1366" s="25">
        <f>ROUND(Inventory[[#This Row],[25Det]]*Inventory[[#This Row],[Det/Nbhd Adj]],-2)</f>
        <v>4900</v>
      </c>
      <c r="BP1366" s="25">
        <f>Inventory[[#This Row],[Adjusted Res]]+Inventory[[#This Row],[Adj Det ]]</f>
        <v>261900</v>
      </c>
      <c r="BQ1366" s="25">
        <f>ROUND((Inventory[[#This Row],[Mdl Land Intercept]]+Inventory[[#This Row],[Mdl LnAcres]])*Inventory[[#This Row],[Det/Nbhd Adj]],-2)</f>
        <v>32100</v>
      </c>
      <c r="BR1366" s="25">
        <f>Inventory[[#This Row],[Adjusted Impr Total]]+Inventory[[#This Row],[Adjusted Land Total]]</f>
        <v>294000</v>
      </c>
      <c r="BS1366" s="36">
        <f>IFERROR((Inventory[[#This Row],[Adjusted Impr Total]]-Inventory[[#This Row],[24Bldg]])/Inventory[[#This Row],[24Bldg]],0)</f>
        <v>0.11827497865072588</v>
      </c>
      <c r="BT1366" s="36">
        <f>(Inventory[[#This Row],[Adjusted Land Total]]-Inventory[[#This Row],[24Lnd]])/Inventory[[#This Row],[24Lnd]]</f>
        <v>-0.39089184060721061</v>
      </c>
      <c r="BU1366" s="36">
        <f>(Inventory[[#This Row],[Adjusted Total]]-Inventory[[#This Row],[24Final]])/Inventory[[#This Row],[24Final]]</f>
        <v>2.4747298710352039E-2</v>
      </c>
    </row>
    <row r="1367" spans="1:73" x14ac:dyDescent="0.3">
      <c r="A1367" s="25">
        <v>2025</v>
      </c>
      <c r="B1367" s="26" t="s">
        <v>1447</v>
      </c>
      <c r="C1367" s="26">
        <f>LN(Inventory[[#This Row],[Acres]])</f>
        <v>-1.8325814637483102</v>
      </c>
      <c r="D1367" s="25">
        <v>0.16</v>
      </c>
      <c r="E1367" s="25">
        <v>7005</v>
      </c>
      <c r="F1367" s="26" t="s">
        <v>537</v>
      </c>
      <c r="G1367" s="26" t="s">
        <v>126</v>
      </c>
      <c r="H1367" s="26" t="s">
        <v>349</v>
      </c>
      <c r="I1367" s="26" t="s">
        <v>538</v>
      </c>
      <c r="J1367" s="26" t="s">
        <v>539</v>
      </c>
      <c r="K1367" s="26" t="s">
        <v>242</v>
      </c>
      <c r="L1367" s="26" t="s">
        <v>351</v>
      </c>
      <c r="M1367" s="26" t="s">
        <v>323</v>
      </c>
      <c r="N1367" s="26">
        <v>90</v>
      </c>
      <c r="O1367" s="26">
        <f>2024-Inventory[[#This Row],[YrBlt]]</f>
        <v>84</v>
      </c>
      <c r="P1367" s="26">
        <f>2024-Inventory[[#This Row],[EffYr]]</f>
        <v>52</v>
      </c>
      <c r="Q1367" s="25">
        <v>1940</v>
      </c>
      <c r="R1367" s="25">
        <v>1972</v>
      </c>
      <c r="S1367" s="25">
        <v>860</v>
      </c>
      <c r="T1367" s="31"/>
      <c r="U1367" s="25">
        <v>860</v>
      </c>
      <c r="V1367" s="25">
        <f>Inventory[[#This Row],[Bsmt]]-Inventory[[#This Row],[FnBsmt]]</f>
        <v>0</v>
      </c>
      <c r="W1367" s="25">
        <v>860</v>
      </c>
      <c r="X1367" s="27"/>
      <c r="Y1367" s="27">
        <f>Inventory[[#This Row],[MainFn]]+Inventory[[#This Row],[UpprFn]]+Inventory[[#This Row],[FnBsmt]]+Inventory[[#This Row],[AddFn]]</f>
        <v>1720</v>
      </c>
      <c r="Z1367" s="27">
        <v>2000</v>
      </c>
      <c r="AA1367" s="25">
        <v>5</v>
      </c>
      <c r="AB1367" s="27"/>
      <c r="AC1367" s="27"/>
      <c r="AD1367" s="32">
        <v>200</v>
      </c>
      <c r="AE1367" s="27"/>
      <c r="AF1367" s="27"/>
      <c r="AG1367" s="27"/>
      <c r="AH1367" s="27"/>
      <c r="AI1367" s="25">
        <v>238611</v>
      </c>
      <c r="AJ1367" s="25">
        <v>162255</v>
      </c>
      <c r="AK1367" s="25">
        <v>5261</v>
      </c>
      <c r="AL1367" s="25">
        <v>291600</v>
      </c>
      <c r="AM1367" s="25">
        <v>50600</v>
      </c>
      <c r="AN1367" s="25">
        <v>241000</v>
      </c>
      <c r="AO1367" s="25">
        <v>0</v>
      </c>
      <c r="AP1367" s="25">
        <f>Lookups!$B$56*0</f>
        <v>0</v>
      </c>
      <c r="AQ1367" s="25">
        <f>Lookups!$B$56*1</f>
        <v>89850.625589999996</v>
      </c>
      <c r="AR1367" s="25">
        <f>Lookups!$B$57*Inventory[[#This Row],[LnAcres]]</f>
        <v>-58009.662049032086</v>
      </c>
      <c r="AS1367" s="25">
        <f>VLOOKUP(Inventory[[#This Row],[Qlty]],Lookups!$A$62:$E$75,2,FALSE)</f>
        <v>21557.329055999999</v>
      </c>
      <c r="AT1367" s="25">
        <f>VLOOKUP(Inventory[[#This Row],[Cnd]],Lookups!$A$76:$E$84,2,FALSE)</f>
        <v>160472.20319</v>
      </c>
      <c r="AU1367" s="25">
        <f>Inventory[[#This Row],[EffAge]]*Lookups!$B$85</f>
        <v>-11598.371226000001</v>
      </c>
      <c r="AV1367" s="25">
        <f>Inventory[[#This Row],[MainFn]]*Lookups!$B$86</f>
        <v>42491.456094220004</v>
      </c>
      <c r="AW1367" s="25">
        <f>Inventory[[#This Row],[UpprFn]]*Lookups!$B$87</f>
        <v>0</v>
      </c>
      <c r="AX1367" s="25">
        <f>Inventory[[#This Row],[AddFn]]*Lookups!$B$88</f>
        <v>0</v>
      </c>
      <c r="AY1367" s="25">
        <f>Inventory[[#This Row],[Bsmt]]*Lookups!$B$89</f>
        <v>25010.429912419997</v>
      </c>
      <c r="AZ1367" s="25">
        <f>Inventory[[#This Row],[Fixtures]]*Lookups!$B$90</f>
        <v>18960.110526</v>
      </c>
      <c r="BA1367" s="25">
        <f>Inventory[[#This Row],[WdDeck]]*Lookups!$B$91</f>
        <v>6659.1030552000011</v>
      </c>
      <c r="BB1367" s="25">
        <f>ROUND(Inventory[[#This Row],[25Det]],-2)</f>
        <v>5300</v>
      </c>
      <c r="BC1367" s="25">
        <f>ROUND(SUM(Inventory[[#This Row],[Mdl Qlty]:[Mdl WdDeck]])+Inventory[[#This Row],[Mdl Res Intercept]],-2)</f>
        <v>263600</v>
      </c>
      <c r="BD1367" s="25">
        <f>ROUND(Inventory[[#This Row],[Mdl Land Intercept]]+Inventory[[#This Row],[Mdl LnAcres]],-2)</f>
        <v>31800</v>
      </c>
      <c r="BE1367" s="25">
        <f>Inventory[[#This Row],[Unadj Res Value]]+Inventory[[#This Row],[Unadj Det Value]]+Inventory[[#This Row],[Unadj Land Value]]</f>
        <v>300700</v>
      </c>
      <c r="BF1367" s="36">
        <f>(Inventory[[#This Row],[Unadj Total Value]]-Inventory[[#This Row],[24Final]])/Inventory[[#This Row],[24Final]]</f>
        <v>3.1207133058984912E-2</v>
      </c>
      <c r="BG1367" s="25">
        <f>VLOOKUP(Inventory[[#This Row],[Nbhd]],Lookups!$Q$2:$T$4,4,FALSE)</f>
        <v>0.99970000000000003</v>
      </c>
      <c r="BH1367" s="25">
        <f>VLOOKUP(Inventory[[#This Row],[Qlty]],Lookups!$O$7:$R$21,4,FALSE)</f>
        <v>1.0067999999999999</v>
      </c>
      <c r="BI1367" s="25">
        <f>VLOOKUP(Inventory[[#This Row],[Cnd]],Lookups!$T$7:$W$16,4,FALSE)</f>
        <v>0.99729999999999996</v>
      </c>
      <c r="BJ1367" s="25">
        <f>VLOOKUP(Inventory[[#This Row],[LivArea Range]],Lookups!$T$25:$W$37,4,FALSE)</f>
        <v>1.0093000000000001</v>
      </c>
      <c r="BK1367" s="25">
        <f>VLOOKUP(Inventory[[#This Row],[Decade]],Lookups!$O$25:$R$42,4,FALSE)</f>
        <v>0.98909999999999998</v>
      </c>
      <c r="BL1367" s="25">
        <f>Inventory[[#This Row],[Nbhd Adj]]*0.95</f>
        <v>0.94971499999999998</v>
      </c>
      <c r="BM1367" s="25">
        <f>Inventory[[#This Row],[Nbhd Adj]]*Inventory[[#This Row],[Quality Adj]]*Inventory[[#This Row],[Condition Adj]]*Inventory[[#This Row],[Living Area Adj]]*Inventory[[#This Row],[Decade Adj]]*0.95</f>
        <v>0.95196898294134369</v>
      </c>
      <c r="BN1367" s="25">
        <f>ROUND(SUM(Inventory[[#This Row],[Mdl Qlty]:[Mdl WdDeck]])+Inventory[[#This Row],[Mdl Res Intercept]]*Inventory[[#This Row],[Res Adj ]],-2)</f>
        <v>263600</v>
      </c>
      <c r="BO1367" s="25">
        <f>ROUND(Inventory[[#This Row],[25Det]]*Inventory[[#This Row],[Det/Nbhd Adj]],-2)</f>
        <v>5000</v>
      </c>
      <c r="BP1367" s="25">
        <f>Inventory[[#This Row],[Adjusted Res]]+Inventory[[#This Row],[Adj Det ]]</f>
        <v>268600</v>
      </c>
      <c r="BQ1367" s="25">
        <f>ROUND((Inventory[[#This Row],[Mdl Land Intercept]]+Inventory[[#This Row],[Mdl LnAcres]])*Inventory[[#This Row],[Det/Nbhd Adj]],-2)</f>
        <v>30200</v>
      </c>
      <c r="BR1367" s="25">
        <f>Inventory[[#This Row],[Adjusted Impr Total]]+Inventory[[#This Row],[Adjusted Land Total]]</f>
        <v>298800</v>
      </c>
      <c r="BS1367" s="36">
        <f>IFERROR((Inventory[[#This Row],[Adjusted Impr Total]]-Inventory[[#This Row],[24Bldg]])/Inventory[[#This Row],[24Bldg]],0)</f>
        <v>0.11452282157676348</v>
      </c>
      <c r="BT1367" s="36">
        <f>(Inventory[[#This Row],[Adjusted Land Total]]-Inventory[[#This Row],[24Lnd]])/Inventory[[#This Row],[24Lnd]]</f>
        <v>-0.40316205533596838</v>
      </c>
      <c r="BU1367" s="36">
        <f>(Inventory[[#This Row],[Adjusted Total]]-Inventory[[#This Row],[24Final]])/Inventory[[#This Row],[24Final]]</f>
        <v>2.4691358024691357E-2</v>
      </c>
    </row>
    <row r="1368" spans="1:73" x14ac:dyDescent="0.3">
      <c r="A1368" s="25">
        <v>2025</v>
      </c>
      <c r="B1368" s="26" t="s">
        <v>1059</v>
      </c>
      <c r="C1368" s="26">
        <f>LN(Inventory[[#This Row],[Acres]])</f>
        <v>-1.9661128563728327</v>
      </c>
      <c r="D1368" s="25">
        <v>0.14000000000000001</v>
      </c>
      <c r="E1368" s="31"/>
      <c r="F1368" s="26" t="s">
        <v>537</v>
      </c>
      <c r="G1368" s="26" t="s">
        <v>126</v>
      </c>
      <c r="H1368" s="26" t="s">
        <v>349</v>
      </c>
      <c r="I1368" s="26" t="s">
        <v>538</v>
      </c>
      <c r="J1368" s="26" t="s">
        <v>539</v>
      </c>
      <c r="K1368" s="26" t="s">
        <v>242</v>
      </c>
      <c r="L1368" s="26" t="s">
        <v>351</v>
      </c>
      <c r="M1368" s="26" t="s">
        <v>323</v>
      </c>
      <c r="N1368" s="26">
        <v>90</v>
      </c>
      <c r="O1368" s="26">
        <f>2024-Inventory[[#This Row],[YrBlt]]</f>
        <v>84</v>
      </c>
      <c r="P1368" s="26">
        <f>2024-Inventory[[#This Row],[EffYr]]</f>
        <v>52</v>
      </c>
      <c r="Q1368" s="25">
        <v>1940</v>
      </c>
      <c r="R1368" s="25">
        <v>1972</v>
      </c>
      <c r="S1368" s="25">
        <v>997</v>
      </c>
      <c r="T1368" s="27"/>
      <c r="U1368" s="32">
        <v>997</v>
      </c>
      <c r="V1368" s="32">
        <f>Inventory[[#This Row],[Bsmt]]-Inventory[[#This Row],[FnBsmt]]</f>
        <v>0</v>
      </c>
      <c r="W1368" s="32">
        <v>997</v>
      </c>
      <c r="X1368" s="27"/>
      <c r="Y1368" s="27">
        <f>Inventory[[#This Row],[MainFn]]+Inventory[[#This Row],[UpprFn]]+Inventory[[#This Row],[FnBsmt]]+Inventory[[#This Row],[AddFn]]</f>
        <v>1994</v>
      </c>
      <c r="Z1368" s="27">
        <v>2000</v>
      </c>
      <c r="AA1368" s="25">
        <v>8</v>
      </c>
      <c r="AB1368" s="27"/>
      <c r="AC1368" s="27"/>
      <c r="AD1368" s="27"/>
      <c r="AE1368" s="27"/>
      <c r="AF1368" s="27"/>
      <c r="AG1368" s="27"/>
      <c r="AH1368" s="27"/>
      <c r="AI1368" s="25">
        <v>250820</v>
      </c>
      <c r="AJ1368" s="25">
        <v>170558</v>
      </c>
      <c r="AK1368" s="25">
        <v>5831</v>
      </c>
      <c r="AL1368" s="25">
        <v>303300</v>
      </c>
      <c r="AM1368" s="25">
        <v>46000</v>
      </c>
      <c r="AN1368" s="25">
        <v>257300</v>
      </c>
      <c r="AO1368" s="25">
        <v>0</v>
      </c>
      <c r="AP1368" s="25">
        <f>Lookups!$B$56*0</f>
        <v>0</v>
      </c>
      <c r="AQ1368" s="25">
        <f>Lookups!$B$56*1</f>
        <v>89850.625589999996</v>
      </c>
      <c r="AR1368" s="25">
        <f>Lookups!$B$57*Inventory[[#This Row],[LnAcres]]</f>
        <v>-62236.546971921947</v>
      </c>
      <c r="AS1368" s="25">
        <f>VLOOKUP(Inventory[[#This Row],[Qlty]],Lookups!$A$62:$E$75,2,FALSE)</f>
        <v>21557.329055999999</v>
      </c>
      <c r="AT1368" s="25">
        <f>VLOOKUP(Inventory[[#This Row],[Cnd]],Lookups!$A$76:$E$84,2,FALSE)</f>
        <v>160472.20319</v>
      </c>
      <c r="AU1368" s="25">
        <f>Inventory[[#This Row],[EffAge]]*Lookups!$B$85</f>
        <v>-11598.371226000001</v>
      </c>
      <c r="AV1368" s="25">
        <f>Inventory[[#This Row],[MainFn]]*Lookups!$B$86</f>
        <v>49260.443867369002</v>
      </c>
      <c r="AW1368" s="25">
        <f>Inventory[[#This Row],[UpprFn]]*Lookups!$B$87</f>
        <v>0</v>
      </c>
      <c r="AX1368" s="25">
        <f>Inventory[[#This Row],[AddFn]]*Lookups!$B$88</f>
        <v>0</v>
      </c>
      <c r="AY1368" s="25">
        <f>Inventory[[#This Row],[Bsmt]]*Lookups!$B$89</f>
        <v>28994.649561258997</v>
      </c>
      <c r="AZ1368" s="25">
        <f>Inventory[[#This Row],[Fixtures]]*Lookups!$B$90</f>
        <v>30336.176841600001</v>
      </c>
      <c r="BA1368" s="25">
        <f>Inventory[[#This Row],[WdDeck]]*Lookups!$B$91</f>
        <v>0</v>
      </c>
      <c r="BB1368" s="25">
        <f>ROUND(Inventory[[#This Row],[25Det]],-2)</f>
        <v>5800</v>
      </c>
      <c r="BC1368" s="25">
        <f>ROUND(SUM(Inventory[[#This Row],[Mdl Qlty]:[Mdl WdDeck]])+Inventory[[#This Row],[Mdl Res Intercept]],-2)</f>
        <v>279000</v>
      </c>
      <c r="BD1368" s="25">
        <f>ROUND(Inventory[[#This Row],[Mdl Land Intercept]]+Inventory[[#This Row],[Mdl LnAcres]],-2)</f>
        <v>27600</v>
      </c>
      <c r="BE1368" s="25">
        <f>Inventory[[#This Row],[Unadj Res Value]]+Inventory[[#This Row],[Unadj Det Value]]+Inventory[[#This Row],[Unadj Land Value]]</f>
        <v>312400</v>
      </c>
      <c r="BF1368" s="36">
        <f>(Inventory[[#This Row],[Unadj Total Value]]-Inventory[[#This Row],[24Final]])/Inventory[[#This Row],[24Final]]</f>
        <v>3.0003297065611605E-2</v>
      </c>
      <c r="BG1368" s="25">
        <f>VLOOKUP(Inventory[[#This Row],[Nbhd]],Lookups!$Q$2:$T$4,4,FALSE)</f>
        <v>0.99970000000000003</v>
      </c>
      <c r="BH1368" s="25">
        <f>VLOOKUP(Inventory[[#This Row],[Qlty]],Lookups!$O$7:$R$21,4,FALSE)</f>
        <v>1.0067999999999999</v>
      </c>
      <c r="BI1368" s="25">
        <f>VLOOKUP(Inventory[[#This Row],[Cnd]],Lookups!$T$7:$W$16,4,FALSE)</f>
        <v>0.99729999999999996</v>
      </c>
      <c r="BJ1368" s="25">
        <f>VLOOKUP(Inventory[[#This Row],[LivArea Range]],Lookups!$T$25:$W$37,4,FALSE)</f>
        <v>1.0093000000000001</v>
      </c>
      <c r="BK1368" s="25">
        <f>VLOOKUP(Inventory[[#This Row],[Decade]],Lookups!$O$25:$R$42,4,FALSE)</f>
        <v>0.98909999999999998</v>
      </c>
      <c r="BL1368" s="25">
        <f>Inventory[[#This Row],[Nbhd Adj]]*0.95</f>
        <v>0.94971499999999998</v>
      </c>
      <c r="BM1368" s="25">
        <f>Inventory[[#This Row],[Nbhd Adj]]*Inventory[[#This Row],[Quality Adj]]*Inventory[[#This Row],[Condition Adj]]*Inventory[[#This Row],[Living Area Adj]]*Inventory[[#This Row],[Decade Adj]]*0.95</f>
        <v>0.95196898294134369</v>
      </c>
      <c r="BN1368" s="25">
        <f>ROUND(SUM(Inventory[[#This Row],[Mdl Qlty]:[Mdl WdDeck]])+Inventory[[#This Row],[Mdl Res Intercept]]*Inventory[[#This Row],[Res Adj ]],-2)</f>
        <v>279000</v>
      </c>
      <c r="BO1368" s="25">
        <f>ROUND(Inventory[[#This Row],[25Det]]*Inventory[[#This Row],[Det/Nbhd Adj]],-2)</f>
        <v>5500</v>
      </c>
      <c r="BP1368" s="25">
        <f>Inventory[[#This Row],[Adjusted Res]]+Inventory[[#This Row],[Adj Det ]]</f>
        <v>284500</v>
      </c>
      <c r="BQ1368" s="25">
        <f>ROUND((Inventory[[#This Row],[Mdl Land Intercept]]+Inventory[[#This Row],[Mdl LnAcres]])*Inventory[[#This Row],[Det/Nbhd Adj]],-2)</f>
        <v>26200</v>
      </c>
      <c r="BR1368" s="25">
        <f>Inventory[[#This Row],[Adjusted Impr Total]]+Inventory[[#This Row],[Adjusted Land Total]]</f>
        <v>310700</v>
      </c>
      <c r="BS1368" s="36">
        <f>IFERROR((Inventory[[#This Row],[Adjusted Impr Total]]-Inventory[[#This Row],[24Bldg]])/Inventory[[#This Row],[24Bldg]],0)</f>
        <v>0.10571317528177225</v>
      </c>
      <c r="BT1368" s="36">
        <f>(Inventory[[#This Row],[Adjusted Land Total]]-Inventory[[#This Row],[24Lnd]])/Inventory[[#This Row],[24Lnd]]</f>
        <v>-0.43043478260869567</v>
      </c>
      <c r="BU1368" s="36">
        <f>(Inventory[[#This Row],[Adjusted Total]]-Inventory[[#This Row],[24Final]])/Inventory[[#This Row],[24Final]]</f>
        <v>2.4398285525881965E-2</v>
      </c>
    </row>
    <row r="1369" spans="1:73" x14ac:dyDescent="0.3">
      <c r="A1369" s="25">
        <v>2025</v>
      </c>
      <c r="B1369" s="26" t="s">
        <v>2737</v>
      </c>
      <c r="C1369" s="26">
        <f>LN(Inventory[[#This Row],[Acres]])</f>
        <v>-1.3862943611198906</v>
      </c>
      <c r="D1369" s="25">
        <v>0.25</v>
      </c>
      <c r="E1369" s="31"/>
      <c r="F1369" s="26" t="s">
        <v>537</v>
      </c>
      <c r="G1369" s="26" t="s">
        <v>126</v>
      </c>
      <c r="H1369" s="26" t="s">
        <v>349</v>
      </c>
      <c r="I1369" s="26" t="s">
        <v>538</v>
      </c>
      <c r="J1369" s="26" t="s">
        <v>539</v>
      </c>
      <c r="K1369" s="26" t="s">
        <v>242</v>
      </c>
      <c r="L1369" s="26" t="s">
        <v>351</v>
      </c>
      <c r="M1369" s="26" t="s">
        <v>323</v>
      </c>
      <c r="N1369" s="26">
        <v>90</v>
      </c>
      <c r="O1369" s="26">
        <f>2024-Inventory[[#This Row],[YrBlt]]</f>
        <v>84</v>
      </c>
      <c r="P1369" s="26">
        <f>2024-Inventory[[#This Row],[EffYr]]</f>
        <v>52</v>
      </c>
      <c r="Q1369" s="25">
        <v>1940</v>
      </c>
      <c r="R1369" s="25">
        <v>1972</v>
      </c>
      <c r="S1369" s="25">
        <v>1547</v>
      </c>
      <c r="T1369" s="27"/>
      <c r="U1369" s="32">
        <v>1400</v>
      </c>
      <c r="V1369" s="32">
        <f>Inventory[[#This Row],[Bsmt]]-Inventory[[#This Row],[FnBsmt]]</f>
        <v>978</v>
      </c>
      <c r="W1369" s="32">
        <v>422</v>
      </c>
      <c r="X1369" s="27"/>
      <c r="Y1369" s="27">
        <f>Inventory[[#This Row],[MainFn]]+Inventory[[#This Row],[UpprFn]]+Inventory[[#This Row],[FnBsmt]]+Inventory[[#This Row],[AddFn]]</f>
        <v>1969</v>
      </c>
      <c r="Z1369" s="27">
        <v>2000</v>
      </c>
      <c r="AA1369" s="25">
        <v>8</v>
      </c>
      <c r="AB1369" s="25">
        <v>294</v>
      </c>
      <c r="AC1369" s="27"/>
      <c r="AD1369" s="27"/>
      <c r="AE1369" s="27"/>
      <c r="AF1369" s="27"/>
      <c r="AG1369" s="27"/>
      <c r="AH1369" s="27"/>
      <c r="AI1369" s="25">
        <v>347267</v>
      </c>
      <c r="AJ1369" s="25">
        <v>236142</v>
      </c>
      <c r="AK1369" s="25">
        <v>0</v>
      </c>
      <c r="AL1369" s="25">
        <v>353000</v>
      </c>
      <c r="AM1369" s="25">
        <v>66200</v>
      </c>
      <c r="AN1369" s="25">
        <v>286800</v>
      </c>
      <c r="AO1369" s="25">
        <v>0</v>
      </c>
      <c r="AP1369" s="25">
        <f>Lookups!$B$56*0</f>
        <v>0</v>
      </c>
      <c r="AQ1369" s="25">
        <f>Lookups!$B$56*1</f>
        <v>89850.625589999996</v>
      </c>
      <c r="AR1369" s="25">
        <f>Lookups!$B$57*Inventory[[#This Row],[LnAcres]]</f>
        <v>-43882.615305165229</v>
      </c>
      <c r="AS1369" s="25">
        <f>VLOOKUP(Inventory[[#This Row],[Qlty]],Lookups!$A$62:$E$75,2,FALSE)</f>
        <v>21557.329055999999</v>
      </c>
      <c r="AT1369" s="25">
        <f>VLOOKUP(Inventory[[#This Row],[Cnd]],Lookups!$A$76:$E$84,2,FALSE)</f>
        <v>160472.20319</v>
      </c>
      <c r="AU1369" s="25">
        <f>Inventory[[#This Row],[EffAge]]*Lookups!$B$85</f>
        <v>-11598.371226000001</v>
      </c>
      <c r="AV1369" s="25">
        <f>Inventory[[#This Row],[MainFn]]*Lookups!$B$86</f>
        <v>76435.212299719002</v>
      </c>
      <c r="AW1369" s="25">
        <f>Inventory[[#This Row],[UpprFn]]*Lookups!$B$87</f>
        <v>0</v>
      </c>
      <c r="AX1369" s="25">
        <f>Inventory[[#This Row],[AddFn]]*Lookups!$B$88</f>
        <v>0</v>
      </c>
      <c r="AY1369" s="25">
        <f>Inventory[[#This Row],[Bsmt]]*Lookups!$B$89</f>
        <v>40714.653345799998</v>
      </c>
      <c r="AZ1369" s="25">
        <f>Inventory[[#This Row],[Fixtures]]*Lookups!$B$90</f>
        <v>30336.176841600001</v>
      </c>
      <c r="BA1369" s="25">
        <f>Inventory[[#This Row],[WdDeck]]*Lookups!$B$91</f>
        <v>0</v>
      </c>
      <c r="BB1369" s="25">
        <f>ROUND(Inventory[[#This Row],[25Det]],-2)</f>
        <v>0</v>
      </c>
      <c r="BC1369" s="25">
        <f>ROUND(SUM(Inventory[[#This Row],[Mdl Qlty]:[Mdl WdDeck]])+Inventory[[#This Row],[Mdl Res Intercept]],-2)</f>
        <v>317900</v>
      </c>
      <c r="BD1369" s="25">
        <f>ROUND(Inventory[[#This Row],[Mdl Land Intercept]]+Inventory[[#This Row],[Mdl LnAcres]],-2)</f>
        <v>46000</v>
      </c>
      <c r="BE1369" s="25">
        <f>Inventory[[#This Row],[Unadj Res Value]]+Inventory[[#This Row],[Unadj Det Value]]+Inventory[[#This Row],[Unadj Land Value]]</f>
        <v>363900</v>
      </c>
      <c r="BF1369" s="36">
        <f>(Inventory[[#This Row],[Unadj Total Value]]-Inventory[[#This Row],[24Final]])/Inventory[[#This Row],[24Final]]</f>
        <v>3.0878186968838525E-2</v>
      </c>
      <c r="BG1369" s="25">
        <f>VLOOKUP(Inventory[[#This Row],[Nbhd]],Lookups!$Q$2:$T$4,4,FALSE)</f>
        <v>0.99970000000000003</v>
      </c>
      <c r="BH1369" s="25">
        <f>VLOOKUP(Inventory[[#This Row],[Qlty]],Lookups!$O$7:$R$21,4,FALSE)</f>
        <v>1.0067999999999999</v>
      </c>
      <c r="BI1369" s="25">
        <f>VLOOKUP(Inventory[[#This Row],[Cnd]],Lookups!$T$7:$W$16,4,FALSE)</f>
        <v>0.99729999999999996</v>
      </c>
      <c r="BJ1369" s="25">
        <f>VLOOKUP(Inventory[[#This Row],[LivArea Range]],Lookups!$T$25:$W$37,4,FALSE)</f>
        <v>1.0093000000000001</v>
      </c>
      <c r="BK1369" s="25">
        <f>VLOOKUP(Inventory[[#This Row],[Decade]],Lookups!$O$25:$R$42,4,FALSE)</f>
        <v>0.98909999999999998</v>
      </c>
      <c r="BL1369" s="25">
        <f>Inventory[[#This Row],[Nbhd Adj]]*0.95</f>
        <v>0.94971499999999998</v>
      </c>
      <c r="BM1369" s="25">
        <f>Inventory[[#This Row],[Nbhd Adj]]*Inventory[[#This Row],[Quality Adj]]*Inventory[[#This Row],[Condition Adj]]*Inventory[[#This Row],[Living Area Adj]]*Inventory[[#This Row],[Decade Adj]]*0.95</f>
        <v>0.95196898294134369</v>
      </c>
      <c r="BN1369" s="25">
        <f>ROUND(SUM(Inventory[[#This Row],[Mdl Qlty]:[Mdl WdDeck]])+Inventory[[#This Row],[Mdl Res Intercept]]*Inventory[[#This Row],[Res Adj ]],-2)</f>
        <v>317900</v>
      </c>
      <c r="BO1369" s="25">
        <f>ROUND(Inventory[[#This Row],[25Det]]*Inventory[[#This Row],[Det/Nbhd Adj]],-2)</f>
        <v>0</v>
      </c>
      <c r="BP1369" s="25">
        <f>Inventory[[#This Row],[Adjusted Res]]+Inventory[[#This Row],[Adj Det ]]</f>
        <v>317900</v>
      </c>
      <c r="BQ1369" s="25">
        <f>ROUND((Inventory[[#This Row],[Mdl Land Intercept]]+Inventory[[#This Row],[Mdl LnAcres]])*Inventory[[#This Row],[Det/Nbhd Adj]],-2)</f>
        <v>43700</v>
      </c>
      <c r="BR1369" s="25">
        <f>Inventory[[#This Row],[Adjusted Impr Total]]+Inventory[[#This Row],[Adjusted Land Total]]</f>
        <v>361600</v>
      </c>
      <c r="BS1369" s="36">
        <f>IFERROR((Inventory[[#This Row],[Adjusted Impr Total]]-Inventory[[#This Row],[24Bldg]])/Inventory[[#This Row],[24Bldg]],0)</f>
        <v>0.10843793584379359</v>
      </c>
      <c r="BT1369" s="36">
        <f>(Inventory[[#This Row],[Adjusted Land Total]]-Inventory[[#This Row],[24Lnd]])/Inventory[[#This Row],[24Lnd]]</f>
        <v>-0.33987915407854985</v>
      </c>
      <c r="BU1369" s="36">
        <f>(Inventory[[#This Row],[Adjusted Total]]-Inventory[[#This Row],[24Final]])/Inventory[[#This Row],[24Final]]</f>
        <v>2.4362606232294616E-2</v>
      </c>
    </row>
    <row r="1370" spans="1:73" x14ac:dyDescent="0.3">
      <c r="A1370" s="25">
        <v>2025</v>
      </c>
      <c r="B1370" s="26" t="s">
        <v>2097</v>
      </c>
      <c r="C1370" s="26">
        <f>LN(Inventory[[#This Row],[Acres]])</f>
        <v>-1.2378743560016174</v>
      </c>
      <c r="D1370" s="25">
        <v>0.28999999999999998</v>
      </c>
      <c r="E1370" s="32">
        <v>12710</v>
      </c>
      <c r="F1370" s="26" t="s">
        <v>537</v>
      </c>
      <c r="G1370" s="26" t="s">
        <v>126</v>
      </c>
      <c r="H1370" s="26" t="s">
        <v>349</v>
      </c>
      <c r="I1370" s="26" t="s">
        <v>538</v>
      </c>
      <c r="J1370" s="26" t="s">
        <v>539</v>
      </c>
      <c r="K1370" s="26" t="s">
        <v>242</v>
      </c>
      <c r="L1370" s="26" t="s">
        <v>351</v>
      </c>
      <c r="M1370" s="26" t="s">
        <v>323</v>
      </c>
      <c r="N1370" s="26">
        <v>90</v>
      </c>
      <c r="O1370" s="26">
        <f>2024-Inventory[[#This Row],[YrBlt]]</f>
        <v>84</v>
      </c>
      <c r="P1370" s="26">
        <f>2024-Inventory[[#This Row],[EffYr]]</f>
        <v>52</v>
      </c>
      <c r="Q1370" s="25">
        <v>1940</v>
      </c>
      <c r="R1370" s="25">
        <v>1972</v>
      </c>
      <c r="S1370" s="25">
        <v>1163</v>
      </c>
      <c r="T1370" s="27"/>
      <c r="U1370" s="32">
        <v>1092</v>
      </c>
      <c r="V1370" s="32">
        <f>Inventory[[#This Row],[Bsmt]]-Inventory[[#This Row],[FnBsmt]]</f>
        <v>0</v>
      </c>
      <c r="W1370" s="32">
        <v>1092</v>
      </c>
      <c r="X1370" s="27"/>
      <c r="Y1370" s="27">
        <f>Inventory[[#This Row],[MainFn]]+Inventory[[#This Row],[UpprFn]]+Inventory[[#This Row],[FnBsmt]]+Inventory[[#This Row],[AddFn]]</f>
        <v>2255</v>
      </c>
      <c r="Z1370" s="27">
        <v>2500</v>
      </c>
      <c r="AA1370" s="25">
        <v>8</v>
      </c>
      <c r="AB1370" s="27"/>
      <c r="AC1370" s="27"/>
      <c r="AD1370" s="25">
        <v>208</v>
      </c>
      <c r="AE1370" s="27"/>
      <c r="AF1370" s="27"/>
      <c r="AG1370" s="27"/>
      <c r="AH1370" s="27"/>
      <c r="AI1370" s="25">
        <v>286371</v>
      </c>
      <c r="AJ1370" s="25">
        <v>194732</v>
      </c>
      <c r="AK1370" s="25">
        <v>6724</v>
      </c>
      <c r="AL1370" s="25">
        <v>343200</v>
      </c>
      <c r="AM1370" s="25">
        <v>71400</v>
      </c>
      <c r="AN1370" s="25">
        <v>271800</v>
      </c>
      <c r="AO1370" s="25">
        <v>0</v>
      </c>
      <c r="AP1370" s="25">
        <f>Lookups!$B$56*0</f>
        <v>0</v>
      </c>
      <c r="AQ1370" s="25">
        <f>Lookups!$B$56*1</f>
        <v>89850.625589999996</v>
      </c>
      <c r="AR1370" s="25">
        <f>Lookups!$B$57*Inventory[[#This Row],[LnAcres]]</f>
        <v>-39184.437074869042</v>
      </c>
      <c r="AS1370" s="25">
        <f>VLOOKUP(Inventory[[#This Row],[Qlty]],Lookups!$A$62:$E$75,2,FALSE)</f>
        <v>21557.329055999999</v>
      </c>
      <c r="AT1370" s="25">
        <f>VLOOKUP(Inventory[[#This Row],[Cnd]],Lookups!$A$76:$E$84,2,FALSE)</f>
        <v>160472.20319</v>
      </c>
      <c r="AU1370" s="25">
        <f>Inventory[[#This Row],[EffAge]]*Lookups!$B$85</f>
        <v>-11598.371226000001</v>
      </c>
      <c r="AV1370" s="25">
        <f>Inventory[[#This Row],[MainFn]]*Lookups!$B$86</f>
        <v>57462.283066951</v>
      </c>
      <c r="AW1370" s="25">
        <f>Inventory[[#This Row],[UpprFn]]*Lookups!$B$87</f>
        <v>0</v>
      </c>
      <c r="AX1370" s="25">
        <f>Inventory[[#This Row],[AddFn]]*Lookups!$B$88</f>
        <v>0</v>
      </c>
      <c r="AY1370" s="25">
        <f>Inventory[[#This Row],[Bsmt]]*Lookups!$B$89</f>
        <v>31757.429609723997</v>
      </c>
      <c r="AZ1370" s="25">
        <f>Inventory[[#This Row],[Fixtures]]*Lookups!$B$90</f>
        <v>30336.176841600001</v>
      </c>
      <c r="BA1370" s="25">
        <f>Inventory[[#This Row],[WdDeck]]*Lookups!$B$91</f>
        <v>6925.4671774080007</v>
      </c>
      <c r="BB1370" s="25">
        <f>ROUND(Inventory[[#This Row],[25Det]],-2)</f>
        <v>6700</v>
      </c>
      <c r="BC1370" s="25">
        <f>ROUND(SUM(Inventory[[#This Row],[Mdl Qlty]:[Mdl WdDeck]])+Inventory[[#This Row],[Mdl Res Intercept]],-2)</f>
        <v>296900</v>
      </c>
      <c r="BD1370" s="25">
        <f>ROUND(Inventory[[#This Row],[Mdl Land Intercept]]+Inventory[[#This Row],[Mdl LnAcres]],-2)</f>
        <v>50700</v>
      </c>
      <c r="BE1370" s="25">
        <f>Inventory[[#This Row],[Unadj Res Value]]+Inventory[[#This Row],[Unadj Det Value]]+Inventory[[#This Row],[Unadj Land Value]]</f>
        <v>354300</v>
      </c>
      <c r="BF1370" s="36">
        <f>(Inventory[[#This Row],[Unadj Total Value]]-Inventory[[#This Row],[24Final]])/Inventory[[#This Row],[24Final]]</f>
        <v>3.2342657342657344E-2</v>
      </c>
      <c r="BG1370" s="25">
        <f>VLOOKUP(Inventory[[#This Row],[Nbhd]],Lookups!$Q$2:$T$4,4,FALSE)</f>
        <v>0.99970000000000003</v>
      </c>
      <c r="BH1370" s="25">
        <f>VLOOKUP(Inventory[[#This Row],[Qlty]],Lookups!$O$7:$R$21,4,FALSE)</f>
        <v>1.0067999999999999</v>
      </c>
      <c r="BI1370" s="25">
        <f>VLOOKUP(Inventory[[#This Row],[Cnd]],Lookups!$T$7:$W$16,4,FALSE)</f>
        <v>0.99729999999999996</v>
      </c>
      <c r="BJ1370" s="25">
        <f>VLOOKUP(Inventory[[#This Row],[LivArea Range]],Lookups!$T$25:$W$37,4,FALSE)</f>
        <v>0.98919999999999997</v>
      </c>
      <c r="BK1370" s="25">
        <f>VLOOKUP(Inventory[[#This Row],[Decade]],Lookups!$O$25:$R$42,4,FALSE)</f>
        <v>0.98909999999999998</v>
      </c>
      <c r="BL1370" s="25">
        <f>Inventory[[#This Row],[Nbhd Adj]]*0.95</f>
        <v>0.94971499999999998</v>
      </c>
      <c r="BM1370" s="25">
        <f>Inventory[[#This Row],[Nbhd Adj]]*Inventory[[#This Row],[Quality Adj]]*Inventory[[#This Row],[Condition Adj]]*Inventory[[#This Row],[Living Area Adj]]*Inventory[[#This Row],[Decade Adj]]*0.95</f>
        <v>0.93301071824589021</v>
      </c>
      <c r="BN1370" s="25">
        <f>ROUND(SUM(Inventory[[#This Row],[Mdl Qlty]:[Mdl WdDeck]])+Inventory[[#This Row],[Mdl Res Intercept]]*Inventory[[#This Row],[Res Adj ]],-2)</f>
        <v>296900</v>
      </c>
      <c r="BO1370" s="25">
        <f>ROUND(Inventory[[#This Row],[25Det]]*Inventory[[#This Row],[Det/Nbhd Adj]],-2)</f>
        <v>6400</v>
      </c>
      <c r="BP1370" s="25">
        <f>Inventory[[#This Row],[Adjusted Res]]+Inventory[[#This Row],[Adj Det ]]</f>
        <v>303300</v>
      </c>
      <c r="BQ1370" s="25">
        <f>ROUND((Inventory[[#This Row],[Mdl Land Intercept]]+Inventory[[#This Row],[Mdl LnAcres]])*Inventory[[#This Row],[Det/Nbhd Adj]],-2)</f>
        <v>48100</v>
      </c>
      <c r="BR1370" s="25">
        <f>Inventory[[#This Row],[Adjusted Impr Total]]+Inventory[[#This Row],[Adjusted Land Total]]</f>
        <v>351400</v>
      </c>
      <c r="BS1370" s="36">
        <f>IFERROR((Inventory[[#This Row],[Adjusted Impr Total]]-Inventory[[#This Row],[24Bldg]])/Inventory[[#This Row],[24Bldg]],0)</f>
        <v>0.11589403973509933</v>
      </c>
      <c r="BT1370" s="36">
        <f>(Inventory[[#This Row],[Adjusted Land Total]]-Inventory[[#This Row],[24Lnd]])/Inventory[[#This Row],[24Lnd]]</f>
        <v>-0.32633053221288516</v>
      </c>
      <c r="BU1370" s="36">
        <f>(Inventory[[#This Row],[Adjusted Total]]-Inventory[[#This Row],[24Final]])/Inventory[[#This Row],[24Final]]</f>
        <v>2.3892773892773892E-2</v>
      </c>
    </row>
    <row r="1371" spans="1:73" x14ac:dyDescent="0.3">
      <c r="A1371" s="25">
        <v>2025</v>
      </c>
      <c r="B1371" s="26" t="s">
        <v>2570</v>
      </c>
      <c r="C1371" s="26">
        <f>LN(Inventory[[#This Row],[Acres]])</f>
        <v>-1.8971199848858813</v>
      </c>
      <c r="D1371" s="25">
        <v>0.15</v>
      </c>
      <c r="E1371" s="32">
        <v>6567</v>
      </c>
      <c r="F1371" s="26" t="s">
        <v>537</v>
      </c>
      <c r="G1371" s="26" t="s">
        <v>126</v>
      </c>
      <c r="H1371" s="26" t="s">
        <v>349</v>
      </c>
      <c r="I1371" s="26" t="s">
        <v>538</v>
      </c>
      <c r="J1371" s="26" t="s">
        <v>539</v>
      </c>
      <c r="K1371" s="26" t="s">
        <v>242</v>
      </c>
      <c r="L1371" s="26" t="s">
        <v>351</v>
      </c>
      <c r="M1371" s="26" t="s">
        <v>323</v>
      </c>
      <c r="N1371" s="26">
        <v>90</v>
      </c>
      <c r="O1371" s="26">
        <f>2024-Inventory[[#This Row],[YrBlt]]</f>
        <v>84</v>
      </c>
      <c r="P1371" s="26">
        <f>2024-Inventory[[#This Row],[EffYr]]</f>
        <v>52</v>
      </c>
      <c r="Q1371" s="25">
        <v>1940</v>
      </c>
      <c r="R1371" s="25">
        <v>1972</v>
      </c>
      <c r="S1371" s="25">
        <v>982</v>
      </c>
      <c r="T1371" s="27"/>
      <c r="U1371" s="25">
        <v>754</v>
      </c>
      <c r="V1371" s="25">
        <f>Inventory[[#This Row],[Bsmt]]-Inventory[[#This Row],[FnBsmt]]</f>
        <v>0</v>
      </c>
      <c r="W1371" s="25">
        <v>754</v>
      </c>
      <c r="X1371" s="27"/>
      <c r="Y1371" s="27">
        <f>Inventory[[#This Row],[MainFn]]+Inventory[[#This Row],[UpprFn]]+Inventory[[#This Row],[FnBsmt]]+Inventory[[#This Row],[AddFn]]</f>
        <v>1736</v>
      </c>
      <c r="Z1371" s="27">
        <v>2000</v>
      </c>
      <c r="AA1371" s="25">
        <v>8</v>
      </c>
      <c r="AB1371" s="31"/>
      <c r="AC1371" s="32">
        <v>228</v>
      </c>
      <c r="AD1371" s="27"/>
      <c r="AE1371" s="27"/>
      <c r="AF1371" s="27"/>
      <c r="AG1371" s="27"/>
      <c r="AH1371" s="27"/>
      <c r="AI1371" s="25">
        <v>247412</v>
      </c>
      <c r="AJ1371" s="25">
        <v>168240</v>
      </c>
      <c r="AK1371" s="25">
        <v>0</v>
      </c>
      <c r="AL1371" s="25">
        <v>292800</v>
      </c>
      <c r="AM1371" s="25">
        <v>48400</v>
      </c>
      <c r="AN1371" s="25">
        <v>244400</v>
      </c>
      <c r="AO1371" s="25">
        <v>0</v>
      </c>
      <c r="AP1371" s="25">
        <f>Lookups!$B$56*0</f>
        <v>0</v>
      </c>
      <c r="AQ1371" s="25">
        <f>Lookups!$B$56*1</f>
        <v>89850.625589999996</v>
      </c>
      <c r="AR1371" s="25">
        <f>Lookups!$B$57*Inventory[[#This Row],[LnAcres]]</f>
        <v>-60052.604136134301</v>
      </c>
      <c r="AS1371" s="25">
        <f>VLOOKUP(Inventory[[#This Row],[Qlty]],Lookups!$A$62:$E$75,2,FALSE)</f>
        <v>21557.329055999999</v>
      </c>
      <c r="AT1371" s="25">
        <f>VLOOKUP(Inventory[[#This Row],[Cnd]],Lookups!$A$76:$E$84,2,FALSE)</f>
        <v>160472.20319</v>
      </c>
      <c r="AU1371" s="25">
        <f>Inventory[[#This Row],[EffAge]]*Lookups!$B$85</f>
        <v>-11598.371226000001</v>
      </c>
      <c r="AV1371" s="25">
        <f>Inventory[[#This Row],[MainFn]]*Lookups!$B$86</f>
        <v>48519.313819214003</v>
      </c>
      <c r="AW1371" s="25">
        <f>Inventory[[#This Row],[UpprFn]]*Lookups!$B$87</f>
        <v>0</v>
      </c>
      <c r="AX1371" s="25">
        <f>Inventory[[#This Row],[AddFn]]*Lookups!$B$88</f>
        <v>0</v>
      </c>
      <c r="AY1371" s="25">
        <f>Inventory[[#This Row],[Bsmt]]*Lookups!$B$89</f>
        <v>21927.749016237998</v>
      </c>
      <c r="AZ1371" s="25">
        <f>Inventory[[#This Row],[Fixtures]]*Lookups!$B$90</f>
        <v>30336.176841600001</v>
      </c>
      <c r="BA1371" s="25">
        <f>Inventory[[#This Row],[WdDeck]]*Lookups!$B$91</f>
        <v>0</v>
      </c>
      <c r="BB1371" s="25">
        <f>ROUND(Inventory[[#This Row],[25Det]],-2)</f>
        <v>0</v>
      </c>
      <c r="BC1371" s="25">
        <f>ROUND(SUM(Inventory[[#This Row],[Mdl Qlty]:[Mdl WdDeck]])+Inventory[[#This Row],[Mdl Res Intercept]],-2)</f>
        <v>271200</v>
      </c>
      <c r="BD1371" s="25">
        <f>ROUND(Inventory[[#This Row],[Mdl Land Intercept]]+Inventory[[#This Row],[Mdl LnAcres]],-2)</f>
        <v>29800</v>
      </c>
      <c r="BE1371" s="25">
        <f>Inventory[[#This Row],[Unadj Res Value]]+Inventory[[#This Row],[Unadj Det Value]]+Inventory[[#This Row],[Unadj Land Value]]</f>
        <v>301000</v>
      </c>
      <c r="BF1371" s="36">
        <f>(Inventory[[#This Row],[Unadj Total Value]]-Inventory[[#This Row],[24Final]])/Inventory[[#This Row],[24Final]]</f>
        <v>2.8005464480874317E-2</v>
      </c>
      <c r="BG1371" s="25">
        <f>VLOOKUP(Inventory[[#This Row],[Nbhd]],Lookups!$Q$2:$T$4,4,FALSE)</f>
        <v>0.99970000000000003</v>
      </c>
      <c r="BH1371" s="25">
        <f>VLOOKUP(Inventory[[#This Row],[Qlty]],Lookups!$O$7:$R$21,4,FALSE)</f>
        <v>1.0067999999999999</v>
      </c>
      <c r="BI1371" s="25">
        <f>VLOOKUP(Inventory[[#This Row],[Cnd]],Lookups!$T$7:$W$16,4,FALSE)</f>
        <v>0.99729999999999996</v>
      </c>
      <c r="BJ1371" s="25">
        <f>VLOOKUP(Inventory[[#This Row],[LivArea Range]],Lookups!$T$25:$W$37,4,FALSE)</f>
        <v>1.0093000000000001</v>
      </c>
      <c r="BK1371" s="25">
        <f>VLOOKUP(Inventory[[#This Row],[Decade]],Lookups!$O$25:$R$42,4,FALSE)</f>
        <v>0.98909999999999998</v>
      </c>
      <c r="BL1371" s="25">
        <f>Inventory[[#This Row],[Nbhd Adj]]*0.95</f>
        <v>0.94971499999999998</v>
      </c>
      <c r="BM1371" s="25">
        <f>Inventory[[#This Row],[Nbhd Adj]]*Inventory[[#This Row],[Quality Adj]]*Inventory[[#This Row],[Condition Adj]]*Inventory[[#This Row],[Living Area Adj]]*Inventory[[#This Row],[Decade Adj]]*0.95</f>
        <v>0.95196898294134369</v>
      </c>
      <c r="BN1371" s="25">
        <f>ROUND(SUM(Inventory[[#This Row],[Mdl Qlty]:[Mdl WdDeck]])+Inventory[[#This Row],[Mdl Res Intercept]]*Inventory[[#This Row],[Res Adj ]],-2)</f>
        <v>271200</v>
      </c>
      <c r="BO1371" s="25">
        <f>ROUND(Inventory[[#This Row],[25Det]]*Inventory[[#This Row],[Det/Nbhd Adj]],-2)</f>
        <v>0</v>
      </c>
      <c r="BP1371" s="25">
        <f>Inventory[[#This Row],[Adjusted Res]]+Inventory[[#This Row],[Adj Det ]]</f>
        <v>271200</v>
      </c>
      <c r="BQ1371" s="25">
        <f>ROUND((Inventory[[#This Row],[Mdl Land Intercept]]+Inventory[[#This Row],[Mdl LnAcres]])*Inventory[[#This Row],[Det/Nbhd Adj]],-2)</f>
        <v>28300</v>
      </c>
      <c r="BR1371" s="25">
        <f>Inventory[[#This Row],[Adjusted Impr Total]]+Inventory[[#This Row],[Adjusted Land Total]]</f>
        <v>299500</v>
      </c>
      <c r="BS1371" s="36">
        <f>IFERROR((Inventory[[#This Row],[Adjusted Impr Total]]-Inventory[[#This Row],[24Bldg]])/Inventory[[#This Row],[24Bldg]],0)</f>
        <v>0.10965630114566285</v>
      </c>
      <c r="BT1371" s="36">
        <f>(Inventory[[#This Row],[Adjusted Land Total]]-Inventory[[#This Row],[24Lnd]])/Inventory[[#This Row],[24Lnd]]</f>
        <v>-0.41528925619834711</v>
      </c>
      <c r="BU1371" s="36">
        <f>(Inventory[[#This Row],[Adjusted Total]]-Inventory[[#This Row],[24Final]])/Inventory[[#This Row],[24Final]]</f>
        <v>2.2882513661202187E-2</v>
      </c>
    </row>
    <row r="1372" spans="1:73" x14ac:dyDescent="0.3">
      <c r="A1372" s="25">
        <v>2025</v>
      </c>
      <c r="B1372" s="26" t="s">
        <v>1950</v>
      </c>
      <c r="C1372" s="26">
        <f>LN(Inventory[[#This Row],[Acres]])</f>
        <v>-1.8971199848858813</v>
      </c>
      <c r="D1372" s="25">
        <v>0.15</v>
      </c>
      <c r="E1372" s="27"/>
      <c r="F1372" s="26" t="s">
        <v>537</v>
      </c>
      <c r="G1372" s="26" t="s">
        <v>126</v>
      </c>
      <c r="H1372" s="26" t="s">
        <v>349</v>
      </c>
      <c r="I1372" s="26" t="s">
        <v>538</v>
      </c>
      <c r="J1372" s="26" t="s">
        <v>539</v>
      </c>
      <c r="K1372" s="26" t="s">
        <v>242</v>
      </c>
      <c r="L1372" s="26" t="s">
        <v>351</v>
      </c>
      <c r="M1372" s="26" t="s">
        <v>323</v>
      </c>
      <c r="N1372" s="26">
        <v>90</v>
      </c>
      <c r="O1372" s="26">
        <f>2024-Inventory[[#This Row],[YrBlt]]</f>
        <v>84</v>
      </c>
      <c r="P1372" s="26">
        <f>2024-Inventory[[#This Row],[EffYr]]</f>
        <v>52</v>
      </c>
      <c r="Q1372" s="25">
        <v>1940</v>
      </c>
      <c r="R1372" s="25">
        <v>1972</v>
      </c>
      <c r="S1372" s="25">
        <v>1033</v>
      </c>
      <c r="T1372" s="27"/>
      <c r="U1372" s="32">
        <v>1033</v>
      </c>
      <c r="V1372" s="32">
        <f>Inventory[[#This Row],[Bsmt]]-Inventory[[#This Row],[FnBsmt]]</f>
        <v>201</v>
      </c>
      <c r="W1372" s="32">
        <v>832</v>
      </c>
      <c r="X1372" s="27"/>
      <c r="Y1372" s="27">
        <f>Inventory[[#This Row],[MainFn]]+Inventory[[#This Row],[UpprFn]]+Inventory[[#This Row],[FnBsmt]]+Inventory[[#This Row],[AddFn]]</f>
        <v>1865</v>
      </c>
      <c r="Z1372" s="27">
        <v>2000</v>
      </c>
      <c r="AA1372" s="25">
        <v>8</v>
      </c>
      <c r="AB1372" s="31"/>
      <c r="AC1372" s="27"/>
      <c r="AD1372" s="27"/>
      <c r="AE1372" s="27"/>
      <c r="AF1372" s="27"/>
      <c r="AG1372" s="27"/>
      <c r="AH1372" s="27"/>
      <c r="AI1372" s="25">
        <v>268037</v>
      </c>
      <c r="AJ1372" s="25">
        <v>182265</v>
      </c>
      <c r="AK1372" s="25">
        <v>7465</v>
      </c>
      <c r="AL1372" s="25">
        <v>310300</v>
      </c>
      <c r="AM1372" s="25">
        <v>48400</v>
      </c>
      <c r="AN1372" s="25">
        <v>261900</v>
      </c>
      <c r="AO1372" s="25">
        <v>0</v>
      </c>
      <c r="AP1372" s="25">
        <f>Lookups!$B$56*0</f>
        <v>0</v>
      </c>
      <c r="AQ1372" s="25">
        <f>Lookups!$B$56*1</f>
        <v>89850.625589999996</v>
      </c>
      <c r="AR1372" s="25">
        <f>Lookups!$B$57*Inventory[[#This Row],[LnAcres]]</f>
        <v>-60052.604136134301</v>
      </c>
      <c r="AS1372" s="25">
        <f>VLOOKUP(Inventory[[#This Row],[Qlty]],Lookups!$A$62:$E$75,2,FALSE)</f>
        <v>21557.329055999999</v>
      </c>
      <c r="AT1372" s="25">
        <f>VLOOKUP(Inventory[[#This Row],[Cnd]],Lookups!$A$76:$E$84,2,FALSE)</f>
        <v>160472.20319</v>
      </c>
      <c r="AU1372" s="25">
        <f>Inventory[[#This Row],[EffAge]]*Lookups!$B$85</f>
        <v>-11598.371226000001</v>
      </c>
      <c r="AV1372" s="25">
        <f>Inventory[[#This Row],[MainFn]]*Lookups!$B$86</f>
        <v>51039.155982941003</v>
      </c>
      <c r="AW1372" s="25">
        <f>Inventory[[#This Row],[UpprFn]]*Lookups!$B$87</f>
        <v>0</v>
      </c>
      <c r="AX1372" s="25">
        <f>Inventory[[#This Row],[AddFn]]*Lookups!$B$88</f>
        <v>0</v>
      </c>
      <c r="AY1372" s="25">
        <f>Inventory[[#This Row],[Bsmt]]*Lookups!$B$89</f>
        <v>30041.597790150998</v>
      </c>
      <c r="AZ1372" s="25">
        <f>Inventory[[#This Row],[Fixtures]]*Lookups!$B$90</f>
        <v>30336.176841600001</v>
      </c>
      <c r="BA1372" s="25">
        <f>Inventory[[#This Row],[WdDeck]]*Lookups!$B$91</f>
        <v>0</v>
      </c>
      <c r="BB1372" s="25">
        <f>ROUND(Inventory[[#This Row],[25Det]],-2)</f>
        <v>7500</v>
      </c>
      <c r="BC1372" s="25">
        <f>ROUND(SUM(Inventory[[#This Row],[Mdl Qlty]:[Mdl WdDeck]])+Inventory[[#This Row],[Mdl Res Intercept]],-2)</f>
        <v>281800</v>
      </c>
      <c r="BD1372" s="25">
        <f>ROUND(Inventory[[#This Row],[Mdl Land Intercept]]+Inventory[[#This Row],[Mdl LnAcres]],-2)</f>
        <v>29800</v>
      </c>
      <c r="BE1372" s="25">
        <f>Inventory[[#This Row],[Unadj Res Value]]+Inventory[[#This Row],[Unadj Det Value]]+Inventory[[#This Row],[Unadj Land Value]]</f>
        <v>319100</v>
      </c>
      <c r="BF1372" s="36">
        <f>(Inventory[[#This Row],[Unadj Total Value]]-Inventory[[#This Row],[24Final]])/Inventory[[#This Row],[24Final]]</f>
        <v>2.8359651949726072E-2</v>
      </c>
      <c r="BG1372" s="25">
        <f>VLOOKUP(Inventory[[#This Row],[Nbhd]],Lookups!$Q$2:$T$4,4,FALSE)</f>
        <v>0.99970000000000003</v>
      </c>
      <c r="BH1372" s="25">
        <f>VLOOKUP(Inventory[[#This Row],[Qlty]],Lookups!$O$7:$R$21,4,FALSE)</f>
        <v>1.0067999999999999</v>
      </c>
      <c r="BI1372" s="25">
        <f>VLOOKUP(Inventory[[#This Row],[Cnd]],Lookups!$T$7:$W$16,4,FALSE)</f>
        <v>0.99729999999999996</v>
      </c>
      <c r="BJ1372" s="25">
        <f>VLOOKUP(Inventory[[#This Row],[LivArea Range]],Lookups!$T$25:$W$37,4,FALSE)</f>
        <v>1.0093000000000001</v>
      </c>
      <c r="BK1372" s="25">
        <f>VLOOKUP(Inventory[[#This Row],[Decade]],Lookups!$O$25:$R$42,4,FALSE)</f>
        <v>0.98909999999999998</v>
      </c>
      <c r="BL1372" s="25">
        <f>Inventory[[#This Row],[Nbhd Adj]]*0.95</f>
        <v>0.94971499999999998</v>
      </c>
      <c r="BM1372" s="25">
        <f>Inventory[[#This Row],[Nbhd Adj]]*Inventory[[#This Row],[Quality Adj]]*Inventory[[#This Row],[Condition Adj]]*Inventory[[#This Row],[Living Area Adj]]*Inventory[[#This Row],[Decade Adj]]*0.95</f>
        <v>0.95196898294134369</v>
      </c>
      <c r="BN1372" s="25">
        <f>ROUND(SUM(Inventory[[#This Row],[Mdl Qlty]:[Mdl WdDeck]])+Inventory[[#This Row],[Mdl Res Intercept]]*Inventory[[#This Row],[Res Adj ]],-2)</f>
        <v>281800</v>
      </c>
      <c r="BO1372" s="25">
        <f>ROUND(Inventory[[#This Row],[25Det]]*Inventory[[#This Row],[Det/Nbhd Adj]],-2)</f>
        <v>7100</v>
      </c>
      <c r="BP1372" s="25">
        <f>Inventory[[#This Row],[Adjusted Res]]+Inventory[[#This Row],[Adj Det ]]</f>
        <v>288900</v>
      </c>
      <c r="BQ1372" s="25">
        <f>ROUND((Inventory[[#This Row],[Mdl Land Intercept]]+Inventory[[#This Row],[Mdl LnAcres]])*Inventory[[#This Row],[Det/Nbhd Adj]],-2)</f>
        <v>28300</v>
      </c>
      <c r="BR1372" s="25">
        <f>Inventory[[#This Row],[Adjusted Impr Total]]+Inventory[[#This Row],[Adjusted Land Total]]</f>
        <v>317200</v>
      </c>
      <c r="BS1372" s="36">
        <f>IFERROR((Inventory[[#This Row],[Adjusted Impr Total]]-Inventory[[#This Row],[24Bldg]])/Inventory[[#This Row],[24Bldg]],0)</f>
        <v>0.10309278350515463</v>
      </c>
      <c r="BT1372" s="36">
        <f>(Inventory[[#This Row],[Adjusted Land Total]]-Inventory[[#This Row],[24Lnd]])/Inventory[[#This Row],[24Lnd]]</f>
        <v>-0.41528925619834711</v>
      </c>
      <c r="BU1372" s="36">
        <f>(Inventory[[#This Row],[Adjusted Total]]-Inventory[[#This Row],[24Final]])/Inventory[[#This Row],[24Final]]</f>
        <v>2.2236545278762489E-2</v>
      </c>
    </row>
    <row r="1373" spans="1:73" x14ac:dyDescent="0.3">
      <c r="A1373" s="25">
        <v>2025</v>
      </c>
      <c r="B1373" s="26" t="s">
        <v>631</v>
      </c>
      <c r="C1373" s="26">
        <f>LN(Inventory[[#This Row],[Acres]])</f>
        <v>-1.6094379124341003</v>
      </c>
      <c r="D1373" s="25">
        <v>0.2</v>
      </c>
      <c r="E1373" s="32">
        <v>8741</v>
      </c>
      <c r="F1373" s="26" t="s">
        <v>537</v>
      </c>
      <c r="G1373" s="26" t="s">
        <v>126</v>
      </c>
      <c r="H1373" s="26" t="s">
        <v>349</v>
      </c>
      <c r="I1373" s="26" t="s">
        <v>538</v>
      </c>
      <c r="J1373" s="26" t="s">
        <v>539</v>
      </c>
      <c r="K1373" s="26" t="s">
        <v>173</v>
      </c>
      <c r="L1373" s="26" t="s">
        <v>351</v>
      </c>
      <c r="M1373" s="26" t="s">
        <v>323</v>
      </c>
      <c r="N1373" s="26">
        <v>90</v>
      </c>
      <c r="O1373" s="26">
        <f>2024-Inventory[[#This Row],[YrBlt]]</f>
        <v>84</v>
      </c>
      <c r="P1373" s="26">
        <f>2024-Inventory[[#This Row],[EffYr]]</f>
        <v>52</v>
      </c>
      <c r="Q1373" s="25">
        <v>1940</v>
      </c>
      <c r="R1373" s="25">
        <v>1972</v>
      </c>
      <c r="S1373" s="25">
        <v>1305</v>
      </c>
      <c r="T1373" s="32">
        <v>600</v>
      </c>
      <c r="U1373" s="25">
        <v>1305</v>
      </c>
      <c r="V1373" s="25">
        <f>Inventory[[#This Row],[Bsmt]]-Inventory[[#This Row],[FnBsmt]]</f>
        <v>330</v>
      </c>
      <c r="W1373" s="25">
        <v>975</v>
      </c>
      <c r="X1373" s="27"/>
      <c r="Y1373" s="27">
        <f>Inventory[[#This Row],[MainFn]]+Inventory[[#This Row],[UpprFn]]+Inventory[[#This Row],[FnBsmt]]+Inventory[[#This Row],[AddFn]]</f>
        <v>2880</v>
      </c>
      <c r="Z1373" s="27">
        <v>3000</v>
      </c>
      <c r="AA1373" s="25">
        <v>10</v>
      </c>
      <c r="AB1373" s="27"/>
      <c r="AC1373" s="31"/>
      <c r="AD1373" s="31"/>
      <c r="AE1373" s="27"/>
      <c r="AF1373" s="27"/>
      <c r="AG1373" s="27"/>
      <c r="AH1373" s="27"/>
      <c r="AI1373" s="25">
        <v>365960</v>
      </c>
      <c r="AJ1373" s="25">
        <v>248853</v>
      </c>
      <c r="AK1373" s="25">
        <v>9004</v>
      </c>
      <c r="AL1373" s="25">
        <v>375200</v>
      </c>
      <c r="AM1373" s="25">
        <v>58400</v>
      </c>
      <c r="AN1373" s="25">
        <v>316800</v>
      </c>
      <c r="AO1373" s="25">
        <v>0</v>
      </c>
      <c r="AP1373" s="25">
        <f>Lookups!$B$56*0</f>
        <v>0</v>
      </c>
      <c r="AQ1373" s="25">
        <f>Lookups!$B$56*1</f>
        <v>89850.625589999996</v>
      </c>
      <c r="AR1373" s="25">
        <f>Lookups!$B$57*Inventory[[#This Row],[LnAcres]]</f>
        <v>-50946.13867709865</v>
      </c>
      <c r="AS1373" s="25">
        <f>VLOOKUP(Inventory[[#This Row],[Qlty]],Lookups!$A$62:$E$75,2,FALSE)</f>
        <v>21557.329055999999</v>
      </c>
      <c r="AT1373" s="25">
        <f>VLOOKUP(Inventory[[#This Row],[Cnd]],Lookups!$A$76:$E$84,2,FALSE)</f>
        <v>160472.20319</v>
      </c>
      <c r="AU1373" s="25">
        <f>Inventory[[#This Row],[EffAge]]*Lookups!$B$85</f>
        <v>-11598.371226000001</v>
      </c>
      <c r="AV1373" s="25">
        <f>Inventory[[#This Row],[MainFn]]*Lookups!$B$86</f>
        <v>64478.314189485005</v>
      </c>
      <c r="AW1373" s="25">
        <f>Inventory[[#This Row],[UpprFn]]*Lookups!$B$87</f>
        <v>26871.853716599999</v>
      </c>
      <c r="AX1373" s="25">
        <f>Inventory[[#This Row],[AddFn]]*Lookups!$B$88</f>
        <v>0</v>
      </c>
      <c r="AY1373" s="25">
        <f>Inventory[[#This Row],[Bsmt]]*Lookups!$B$89</f>
        <v>37951.873297334998</v>
      </c>
      <c r="AZ1373" s="25">
        <f>Inventory[[#This Row],[Fixtures]]*Lookups!$B$90</f>
        <v>37920.221052000001</v>
      </c>
      <c r="BA1373" s="25">
        <f>Inventory[[#This Row],[WdDeck]]*Lookups!$B$91</f>
        <v>0</v>
      </c>
      <c r="BB1373" s="25">
        <f>ROUND(Inventory[[#This Row],[25Det]],-2)</f>
        <v>9000</v>
      </c>
      <c r="BC1373" s="25">
        <f>ROUND(SUM(Inventory[[#This Row],[Mdl Qlty]:[Mdl WdDeck]])+Inventory[[#This Row],[Mdl Res Intercept]],-2)</f>
        <v>337700</v>
      </c>
      <c r="BD1373" s="25">
        <f>ROUND(Inventory[[#This Row],[Mdl Land Intercept]]+Inventory[[#This Row],[Mdl LnAcres]],-2)</f>
        <v>38900</v>
      </c>
      <c r="BE1373" s="25">
        <f>Inventory[[#This Row],[Unadj Res Value]]+Inventory[[#This Row],[Unadj Det Value]]+Inventory[[#This Row],[Unadj Land Value]]</f>
        <v>385600</v>
      </c>
      <c r="BF1373" s="36">
        <f>(Inventory[[#This Row],[Unadj Total Value]]-Inventory[[#This Row],[24Final]])/Inventory[[#This Row],[24Final]]</f>
        <v>2.7718550106609809E-2</v>
      </c>
      <c r="BG1373" s="25">
        <f>VLOOKUP(Inventory[[#This Row],[Nbhd]],Lookups!$Q$2:$T$4,4,FALSE)</f>
        <v>0.99970000000000003</v>
      </c>
      <c r="BH1373" s="25">
        <f>VLOOKUP(Inventory[[#This Row],[Qlty]],Lookups!$O$7:$R$21,4,FALSE)</f>
        <v>1.0067999999999999</v>
      </c>
      <c r="BI1373" s="25">
        <f>VLOOKUP(Inventory[[#This Row],[Cnd]],Lookups!$T$7:$W$16,4,FALSE)</f>
        <v>0.99729999999999996</v>
      </c>
      <c r="BJ1373" s="25">
        <f>VLOOKUP(Inventory[[#This Row],[LivArea Range]],Lookups!$T$25:$W$37,4,FALSE)</f>
        <v>0.96179999999999999</v>
      </c>
      <c r="BK1373" s="25">
        <f>VLOOKUP(Inventory[[#This Row],[Decade]],Lookups!$O$25:$R$42,4,FALSE)</f>
        <v>0.98909999999999998</v>
      </c>
      <c r="BL1373" s="25">
        <f>Inventory[[#This Row],[Nbhd Adj]]*0.95</f>
        <v>0.94971499999999998</v>
      </c>
      <c r="BM1373" s="25">
        <f>Inventory[[#This Row],[Nbhd Adj]]*Inventory[[#This Row],[Quality Adj]]*Inventory[[#This Row],[Condition Adj]]*Inventory[[#This Row],[Living Area Adj]]*Inventory[[#This Row],[Decade Adj]]*0.95</f>
        <v>0.90716711363616798</v>
      </c>
      <c r="BN1373" s="25">
        <f>ROUND(SUM(Inventory[[#This Row],[Mdl Qlty]:[Mdl WdDeck]])+Inventory[[#This Row],[Mdl Res Intercept]]*Inventory[[#This Row],[Res Adj ]],-2)</f>
        <v>337700</v>
      </c>
      <c r="BO1373" s="25">
        <f>ROUND(Inventory[[#This Row],[25Det]]*Inventory[[#This Row],[Det/Nbhd Adj]],-2)</f>
        <v>8600</v>
      </c>
      <c r="BP1373" s="25">
        <f>Inventory[[#This Row],[Adjusted Res]]+Inventory[[#This Row],[Adj Det ]]</f>
        <v>346300</v>
      </c>
      <c r="BQ1373" s="25">
        <f>ROUND((Inventory[[#This Row],[Mdl Land Intercept]]+Inventory[[#This Row],[Mdl LnAcres]])*Inventory[[#This Row],[Det/Nbhd Adj]],-2)</f>
        <v>36900</v>
      </c>
      <c r="BR1373" s="25">
        <f>Inventory[[#This Row],[Adjusted Impr Total]]+Inventory[[#This Row],[Adjusted Land Total]]</f>
        <v>383200</v>
      </c>
      <c r="BS1373" s="36">
        <f>IFERROR((Inventory[[#This Row],[Adjusted Impr Total]]-Inventory[[#This Row],[24Bldg]])/Inventory[[#This Row],[24Bldg]],0)</f>
        <v>9.3118686868686865E-2</v>
      </c>
      <c r="BT1373" s="36">
        <f>(Inventory[[#This Row],[Adjusted Land Total]]-Inventory[[#This Row],[24Lnd]])/Inventory[[#This Row],[24Lnd]]</f>
        <v>-0.36815068493150682</v>
      </c>
      <c r="BU1373" s="36">
        <f>(Inventory[[#This Row],[Adjusted Total]]-Inventory[[#This Row],[24Final]])/Inventory[[#This Row],[24Final]]</f>
        <v>2.1321961620469083E-2</v>
      </c>
    </row>
    <row r="1374" spans="1:73" x14ac:dyDescent="0.3">
      <c r="A1374" s="25">
        <v>2025</v>
      </c>
      <c r="B1374" s="26" t="s">
        <v>1817</v>
      </c>
      <c r="C1374" s="26">
        <f>LN(Inventory[[#This Row],[Acres]])</f>
        <v>-1.1394342831883648</v>
      </c>
      <c r="D1374" s="25">
        <v>0.32</v>
      </c>
      <c r="E1374" s="32">
        <v>14000</v>
      </c>
      <c r="F1374" s="26" t="s">
        <v>537</v>
      </c>
      <c r="G1374" s="26" t="s">
        <v>126</v>
      </c>
      <c r="H1374" s="26" t="s">
        <v>349</v>
      </c>
      <c r="I1374" s="26" t="s">
        <v>538</v>
      </c>
      <c r="J1374" s="26" t="s">
        <v>539</v>
      </c>
      <c r="K1374" s="26" t="s">
        <v>242</v>
      </c>
      <c r="L1374" s="26" t="s">
        <v>302</v>
      </c>
      <c r="M1374" s="26" t="s">
        <v>323</v>
      </c>
      <c r="N1374" s="26">
        <v>90</v>
      </c>
      <c r="O1374" s="26">
        <f>2024-Inventory[[#This Row],[YrBlt]]</f>
        <v>84</v>
      </c>
      <c r="P1374" s="26">
        <f>2024-Inventory[[#This Row],[EffYr]]</f>
        <v>52</v>
      </c>
      <c r="Q1374" s="25">
        <v>1940</v>
      </c>
      <c r="R1374" s="25">
        <v>1972</v>
      </c>
      <c r="S1374" s="25">
        <v>1442</v>
      </c>
      <c r="T1374" s="27"/>
      <c r="U1374" s="27"/>
      <c r="V1374" s="27">
        <f>Inventory[[#This Row],[Bsmt]]-Inventory[[#This Row],[FnBsmt]]</f>
        <v>0</v>
      </c>
      <c r="W1374" s="27"/>
      <c r="X1374" s="27"/>
      <c r="Y1374" s="27">
        <f>Inventory[[#This Row],[MainFn]]+Inventory[[#This Row],[UpprFn]]+Inventory[[#This Row],[FnBsmt]]+Inventory[[#This Row],[AddFn]]</f>
        <v>1442</v>
      </c>
      <c r="Z1374" s="27">
        <v>1500</v>
      </c>
      <c r="AA1374" s="25">
        <v>8</v>
      </c>
      <c r="AB1374" s="31"/>
      <c r="AC1374" s="27"/>
      <c r="AD1374" s="27"/>
      <c r="AE1374" s="27"/>
      <c r="AF1374" s="27"/>
      <c r="AG1374" s="27"/>
      <c r="AH1374" s="27"/>
      <c r="AI1374" s="25">
        <v>300637</v>
      </c>
      <c r="AJ1374" s="25">
        <v>204433</v>
      </c>
      <c r="AK1374" s="25">
        <v>0</v>
      </c>
      <c r="AL1374" s="25">
        <v>324600</v>
      </c>
      <c r="AM1374" s="25">
        <v>74800</v>
      </c>
      <c r="AN1374" s="25">
        <v>249800</v>
      </c>
      <c r="AO1374" s="25">
        <v>0</v>
      </c>
      <c r="AP1374" s="25">
        <f>Lookups!$B$56*0</f>
        <v>0</v>
      </c>
      <c r="AQ1374" s="25">
        <f>Lookups!$B$56*1</f>
        <v>89850.625589999996</v>
      </c>
      <c r="AR1374" s="25">
        <f>Lookups!$B$57*Inventory[[#This Row],[LnAcres]]</f>
        <v>-36068.354396449467</v>
      </c>
      <c r="AS1374" s="25">
        <f>VLOOKUP(Inventory[[#This Row],[Qlty]],Lookups!$A$62:$E$75,2,FALSE)</f>
        <v>29814.093161000001</v>
      </c>
      <c r="AT1374" s="25">
        <f>VLOOKUP(Inventory[[#This Row],[Cnd]],Lookups!$A$76:$E$84,2,FALSE)</f>
        <v>160472.20319</v>
      </c>
      <c r="AU1374" s="25">
        <f>Inventory[[#This Row],[EffAge]]*Lookups!$B$85</f>
        <v>-11598.371226000001</v>
      </c>
      <c r="AV1374" s="25">
        <f>Inventory[[#This Row],[MainFn]]*Lookups!$B$86</f>
        <v>71247.301962633996</v>
      </c>
      <c r="AW1374" s="25">
        <f>Inventory[[#This Row],[UpprFn]]*Lookups!$B$87</f>
        <v>0</v>
      </c>
      <c r="AX1374" s="25">
        <f>Inventory[[#This Row],[AddFn]]*Lookups!$B$88</f>
        <v>0</v>
      </c>
      <c r="AY1374" s="25">
        <f>Inventory[[#This Row],[Bsmt]]*Lookups!$B$89</f>
        <v>0</v>
      </c>
      <c r="AZ1374" s="25">
        <f>Inventory[[#This Row],[Fixtures]]*Lookups!$B$90</f>
        <v>30336.176841600001</v>
      </c>
      <c r="BA1374" s="25">
        <f>Inventory[[#This Row],[WdDeck]]*Lookups!$B$91</f>
        <v>0</v>
      </c>
      <c r="BB1374" s="25">
        <f>ROUND(Inventory[[#This Row],[25Det]],-2)</f>
        <v>0</v>
      </c>
      <c r="BC1374" s="25">
        <f>ROUND(SUM(Inventory[[#This Row],[Mdl Qlty]:[Mdl WdDeck]])+Inventory[[#This Row],[Mdl Res Intercept]],-2)</f>
        <v>280300</v>
      </c>
      <c r="BD1374" s="25">
        <f>ROUND(Inventory[[#This Row],[Mdl Land Intercept]]+Inventory[[#This Row],[Mdl LnAcres]],-2)</f>
        <v>53800</v>
      </c>
      <c r="BE1374" s="25">
        <f>Inventory[[#This Row],[Unadj Res Value]]+Inventory[[#This Row],[Unadj Det Value]]+Inventory[[#This Row],[Unadj Land Value]]</f>
        <v>334100</v>
      </c>
      <c r="BF1374" s="36">
        <f>(Inventory[[#This Row],[Unadj Total Value]]-Inventory[[#This Row],[24Final]])/Inventory[[#This Row],[24Final]]</f>
        <v>2.9266789895255701E-2</v>
      </c>
      <c r="BG1374" s="25">
        <f>VLOOKUP(Inventory[[#This Row],[Nbhd]],Lookups!$Q$2:$T$4,4,FALSE)</f>
        <v>0.99970000000000003</v>
      </c>
      <c r="BH1374" s="25">
        <f>VLOOKUP(Inventory[[#This Row],[Qlty]],Lookups!$O$7:$R$21,4,FALSE)</f>
        <v>1.0088999999999999</v>
      </c>
      <c r="BI1374" s="25">
        <f>VLOOKUP(Inventory[[#This Row],[Cnd]],Lookups!$T$7:$W$16,4,FALSE)</f>
        <v>0.99729999999999996</v>
      </c>
      <c r="BJ1374" s="25">
        <f>VLOOKUP(Inventory[[#This Row],[LivArea Range]],Lookups!$T$25:$W$37,4,FALSE)</f>
        <v>1.0157</v>
      </c>
      <c r="BK1374" s="25">
        <f>VLOOKUP(Inventory[[#This Row],[Decade]],Lookups!$O$25:$R$42,4,FALSE)</f>
        <v>0.98909999999999998</v>
      </c>
      <c r="BL1374" s="25">
        <f>Inventory[[#This Row],[Nbhd Adj]]*0.95</f>
        <v>0.94971499999999998</v>
      </c>
      <c r="BM1374" s="25">
        <f>Inventory[[#This Row],[Nbhd Adj]]*Inventory[[#This Row],[Quality Adj]]*Inventory[[#This Row],[Condition Adj]]*Inventory[[#This Row],[Living Area Adj]]*Inventory[[#This Row],[Decade Adj]]*0.95</f>
        <v>0.96000366884722899</v>
      </c>
      <c r="BN1374" s="25">
        <f>ROUND(SUM(Inventory[[#This Row],[Mdl Qlty]:[Mdl WdDeck]])+Inventory[[#This Row],[Mdl Res Intercept]]*Inventory[[#This Row],[Res Adj ]],-2)</f>
        <v>280300</v>
      </c>
      <c r="BO1374" s="25">
        <f>ROUND(Inventory[[#This Row],[25Det]]*Inventory[[#This Row],[Det/Nbhd Adj]],-2)</f>
        <v>0</v>
      </c>
      <c r="BP1374" s="25">
        <f>Inventory[[#This Row],[Adjusted Res]]+Inventory[[#This Row],[Adj Det ]]</f>
        <v>280300</v>
      </c>
      <c r="BQ1374" s="25">
        <f>ROUND((Inventory[[#This Row],[Mdl Land Intercept]]+Inventory[[#This Row],[Mdl LnAcres]])*Inventory[[#This Row],[Det/Nbhd Adj]],-2)</f>
        <v>51100</v>
      </c>
      <c r="BR1374" s="25">
        <f>Inventory[[#This Row],[Adjusted Impr Total]]+Inventory[[#This Row],[Adjusted Land Total]]</f>
        <v>331400</v>
      </c>
      <c r="BS1374" s="36">
        <f>IFERROR((Inventory[[#This Row],[Adjusted Impr Total]]-Inventory[[#This Row],[24Bldg]])/Inventory[[#This Row],[24Bldg]],0)</f>
        <v>0.12209767814251402</v>
      </c>
      <c r="BT1374" s="36">
        <f>(Inventory[[#This Row],[Adjusted Land Total]]-Inventory[[#This Row],[24Lnd]])/Inventory[[#This Row],[24Lnd]]</f>
        <v>-0.31684491978609625</v>
      </c>
      <c r="BU1374" s="36">
        <f>(Inventory[[#This Row],[Adjusted Total]]-Inventory[[#This Row],[24Final]])/Inventory[[#This Row],[24Final]]</f>
        <v>2.0948860135551448E-2</v>
      </c>
    </row>
    <row r="1375" spans="1:73" x14ac:dyDescent="0.3">
      <c r="A1375" s="25">
        <v>2025</v>
      </c>
      <c r="B1375" s="26" t="s">
        <v>1802</v>
      </c>
      <c r="C1375" s="26">
        <f>LN(Inventory[[#This Row],[Acres]])</f>
        <v>-1.5606477482646683</v>
      </c>
      <c r="D1375" s="25">
        <v>0.21</v>
      </c>
      <c r="E1375" s="27"/>
      <c r="F1375" s="26" t="s">
        <v>537</v>
      </c>
      <c r="G1375" s="26" t="s">
        <v>126</v>
      </c>
      <c r="H1375" s="26" t="s">
        <v>349</v>
      </c>
      <c r="I1375" s="26" t="s">
        <v>538</v>
      </c>
      <c r="J1375" s="26" t="s">
        <v>539</v>
      </c>
      <c r="K1375" s="26" t="s">
        <v>241</v>
      </c>
      <c r="L1375" s="26" t="s">
        <v>351</v>
      </c>
      <c r="M1375" s="26" t="s">
        <v>323</v>
      </c>
      <c r="N1375" s="26">
        <v>90</v>
      </c>
      <c r="O1375" s="26">
        <f>2024-Inventory[[#This Row],[YrBlt]]</f>
        <v>84</v>
      </c>
      <c r="P1375" s="26">
        <f>2024-Inventory[[#This Row],[EffYr]]</f>
        <v>52</v>
      </c>
      <c r="Q1375" s="25">
        <v>1940</v>
      </c>
      <c r="R1375" s="25">
        <v>1972</v>
      </c>
      <c r="S1375" s="25">
        <v>1078</v>
      </c>
      <c r="T1375" s="31"/>
      <c r="U1375" s="25">
        <v>1078</v>
      </c>
      <c r="V1375" s="32">
        <f>Inventory[[#This Row],[Bsmt]]-Inventory[[#This Row],[FnBsmt]]</f>
        <v>0</v>
      </c>
      <c r="W1375" s="32">
        <v>1078</v>
      </c>
      <c r="X1375" s="27"/>
      <c r="Y1375" s="27">
        <f>Inventory[[#This Row],[MainFn]]+Inventory[[#This Row],[UpprFn]]+Inventory[[#This Row],[FnBsmt]]+Inventory[[#This Row],[AddFn]]</f>
        <v>2156</v>
      </c>
      <c r="Z1375" s="27">
        <v>2500</v>
      </c>
      <c r="AA1375" s="25">
        <v>5</v>
      </c>
      <c r="AB1375" s="31"/>
      <c r="AC1375" s="27"/>
      <c r="AD1375" s="32">
        <v>172</v>
      </c>
      <c r="AE1375" s="27"/>
      <c r="AF1375" s="27"/>
      <c r="AG1375" s="27"/>
      <c r="AH1375" s="27"/>
      <c r="AI1375" s="25">
        <v>286656</v>
      </c>
      <c r="AJ1375" s="25">
        <v>194926</v>
      </c>
      <c r="AK1375" s="25">
        <v>9766</v>
      </c>
      <c r="AL1375" s="25">
        <v>320700</v>
      </c>
      <c r="AM1375" s="25">
        <v>60100</v>
      </c>
      <c r="AN1375" s="25">
        <v>260600</v>
      </c>
      <c r="AO1375" s="25">
        <v>0</v>
      </c>
      <c r="AP1375" s="25">
        <f>Lookups!$B$56*0</f>
        <v>0</v>
      </c>
      <c r="AQ1375" s="25">
        <f>Lookups!$B$56*1</f>
        <v>89850.625589999996</v>
      </c>
      <c r="AR1375" s="25">
        <f>Lookups!$B$57*Inventory[[#This Row],[LnAcres]]</f>
        <v>-49401.70477837498</v>
      </c>
      <c r="AS1375" s="25">
        <f>VLOOKUP(Inventory[[#This Row],[Qlty]],Lookups!$A$62:$E$75,2,FALSE)</f>
        <v>21557.329055999999</v>
      </c>
      <c r="AT1375" s="25">
        <f>VLOOKUP(Inventory[[#This Row],[Cnd]],Lookups!$A$76:$E$84,2,FALSE)</f>
        <v>160472.20319</v>
      </c>
      <c r="AU1375" s="25">
        <f>Inventory[[#This Row],[EffAge]]*Lookups!$B$85</f>
        <v>-11598.371226000001</v>
      </c>
      <c r="AV1375" s="25">
        <f>Inventory[[#This Row],[MainFn]]*Lookups!$B$86</f>
        <v>53262.546127406</v>
      </c>
      <c r="AW1375" s="25">
        <f>Inventory[[#This Row],[UpprFn]]*Lookups!$B$87</f>
        <v>0</v>
      </c>
      <c r="AX1375" s="25">
        <f>Inventory[[#This Row],[AddFn]]*Lookups!$B$88</f>
        <v>0</v>
      </c>
      <c r="AY1375" s="25">
        <f>Inventory[[#This Row],[Bsmt]]*Lookups!$B$89</f>
        <v>31350.283076265998</v>
      </c>
      <c r="AZ1375" s="25">
        <f>Inventory[[#This Row],[Fixtures]]*Lookups!$B$90</f>
        <v>18960.110526</v>
      </c>
      <c r="BA1375" s="25">
        <f>Inventory[[#This Row],[WdDeck]]*Lookups!$B$91</f>
        <v>5726.8286274720003</v>
      </c>
      <c r="BB1375" s="25">
        <f>ROUND(Inventory[[#This Row],[25Det]],-2)</f>
        <v>9800</v>
      </c>
      <c r="BC1375" s="25">
        <f>ROUND(SUM(Inventory[[#This Row],[Mdl Qlty]:[Mdl WdDeck]])+Inventory[[#This Row],[Mdl Res Intercept]],-2)</f>
        <v>279700</v>
      </c>
      <c r="BD1375" s="25">
        <f>ROUND(Inventory[[#This Row],[Mdl Land Intercept]]+Inventory[[#This Row],[Mdl LnAcres]],-2)</f>
        <v>40400</v>
      </c>
      <c r="BE1375" s="25">
        <f>Inventory[[#This Row],[Unadj Res Value]]+Inventory[[#This Row],[Unadj Det Value]]+Inventory[[#This Row],[Unadj Land Value]]</f>
        <v>329900</v>
      </c>
      <c r="BF1375" s="36">
        <f>(Inventory[[#This Row],[Unadj Total Value]]-Inventory[[#This Row],[24Final]])/Inventory[[#This Row],[24Final]]</f>
        <v>2.8687246647957593E-2</v>
      </c>
      <c r="BG1375" s="25">
        <f>VLOOKUP(Inventory[[#This Row],[Nbhd]],Lookups!$Q$2:$T$4,4,FALSE)</f>
        <v>0.99970000000000003</v>
      </c>
      <c r="BH1375" s="25">
        <f>VLOOKUP(Inventory[[#This Row],[Qlty]],Lookups!$O$7:$R$21,4,FALSE)</f>
        <v>1.0067999999999999</v>
      </c>
      <c r="BI1375" s="25">
        <f>VLOOKUP(Inventory[[#This Row],[Cnd]],Lookups!$T$7:$W$16,4,FALSE)</f>
        <v>0.99729999999999996</v>
      </c>
      <c r="BJ1375" s="25">
        <f>VLOOKUP(Inventory[[#This Row],[LivArea Range]],Lookups!$T$25:$W$37,4,FALSE)</f>
        <v>0.98919999999999997</v>
      </c>
      <c r="BK1375" s="25">
        <f>VLOOKUP(Inventory[[#This Row],[Decade]],Lookups!$O$25:$R$42,4,FALSE)</f>
        <v>0.98909999999999998</v>
      </c>
      <c r="BL1375" s="25">
        <f>Inventory[[#This Row],[Nbhd Adj]]*0.95</f>
        <v>0.94971499999999998</v>
      </c>
      <c r="BM1375" s="25">
        <f>Inventory[[#This Row],[Nbhd Adj]]*Inventory[[#This Row],[Quality Adj]]*Inventory[[#This Row],[Condition Adj]]*Inventory[[#This Row],[Living Area Adj]]*Inventory[[#This Row],[Decade Adj]]*0.95</f>
        <v>0.93301071824589021</v>
      </c>
      <c r="BN1375" s="25">
        <f>ROUND(SUM(Inventory[[#This Row],[Mdl Qlty]:[Mdl WdDeck]])+Inventory[[#This Row],[Mdl Res Intercept]]*Inventory[[#This Row],[Res Adj ]],-2)</f>
        <v>279700</v>
      </c>
      <c r="BO1375" s="25">
        <f>ROUND(Inventory[[#This Row],[25Det]]*Inventory[[#This Row],[Det/Nbhd Adj]],-2)</f>
        <v>9300</v>
      </c>
      <c r="BP1375" s="25">
        <f>Inventory[[#This Row],[Adjusted Res]]+Inventory[[#This Row],[Adj Det ]]</f>
        <v>289000</v>
      </c>
      <c r="BQ1375" s="25">
        <f>ROUND((Inventory[[#This Row],[Mdl Land Intercept]]+Inventory[[#This Row],[Mdl LnAcres]])*Inventory[[#This Row],[Det/Nbhd Adj]],-2)</f>
        <v>38400</v>
      </c>
      <c r="BR1375" s="25">
        <f>Inventory[[#This Row],[Adjusted Impr Total]]+Inventory[[#This Row],[Adjusted Land Total]]</f>
        <v>327400</v>
      </c>
      <c r="BS1375" s="36">
        <f>IFERROR((Inventory[[#This Row],[Adjusted Impr Total]]-Inventory[[#This Row],[24Bldg]])/Inventory[[#This Row],[24Bldg]],0)</f>
        <v>0.10897927858787414</v>
      </c>
      <c r="BT1375" s="36">
        <f>(Inventory[[#This Row],[Adjusted Land Total]]-Inventory[[#This Row],[24Lnd]])/Inventory[[#This Row],[24Lnd]]</f>
        <v>-0.36106489184692181</v>
      </c>
      <c r="BU1375" s="36">
        <f>(Inventory[[#This Row],[Adjusted Total]]-Inventory[[#This Row],[24Final]])/Inventory[[#This Row],[24Final]]</f>
        <v>2.0891799189273464E-2</v>
      </c>
    </row>
    <row r="1376" spans="1:73" x14ac:dyDescent="0.3">
      <c r="A1376" s="25">
        <v>2025</v>
      </c>
      <c r="B1376" s="26" t="s">
        <v>761</v>
      </c>
      <c r="C1376" s="26">
        <f>LN(Inventory[[#This Row],[Acres]])</f>
        <v>-1.1711829815029451</v>
      </c>
      <c r="D1376" s="25">
        <v>0.31</v>
      </c>
      <c r="E1376" s="32">
        <v>13573</v>
      </c>
      <c r="F1376" s="26" t="s">
        <v>537</v>
      </c>
      <c r="G1376" s="26" t="s">
        <v>126</v>
      </c>
      <c r="H1376" s="26" t="s">
        <v>349</v>
      </c>
      <c r="I1376" s="26" t="s">
        <v>538</v>
      </c>
      <c r="J1376" s="26" t="s">
        <v>539</v>
      </c>
      <c r="K1376" s="26" t="s">
        <v>242</v>
      </c>
      <c r="L1376" s="26" t="s">
        <v>205</v>
      </c>
      <c r="M1376" s="26" t="s">
        <v>323</v>
      </c>
      <c r="N1376" s="26">
        <v>90</v>
      </c>
      <c r="O1376" s="26">
        <f>2024-Inventory[[#This Row],[YrBlt]]</f>
        <v>84</v>
      </c>
      <c r="P1376" s="26">
        <f>2024-Inventory[[#This Row],[EffYr]]</f>
        <v>52</v>
      </c>
      <c r="Q1376" s="25">
        <v>1940</v>
      </c>
      <c r="R1376" s="25">
        <v>1972</v>
      </c>
      <c r="S1376" s="25">
        <v>971</v>
      </c>
      <c r="T1376" s="27"/>
      <c r="U1376" s="31"/>
      <c r="V1376" s="31">
        <f>Inventory[[#This Row],[Bsmt]]-Inventory[[#This Row],[FnBsmt]]</f>
        <v>0</v>
      </c>
      <c r="W1376" s="31"/>
      <c r="X1376" s="27"/>
      <c r="Y1376" s="27">
        <f>Inventory[[#This Row],[MainFn]]+Inventory[[#This Row],[UpprFn]]+Inventory[[#This Row],[FnBsmt]]+Inventory[[#This Row],[AddFn]]</f>
        <v>971</v>
      </c>
      <c r="Z1376" s="27">
        <v>1000</v>
      </c>
      <c r="AA1376" s="25">
        <v>5</v>
      </c>
      <c r="AB1376" s="27"/>
      <c r="AC1376" s="27"/>
      <c r="AD1376" s="27"/>
      <c r="AE1376" s="27"/>
      <c r="AF1376" s="27"/>
      <c r="AG1376" s="27"/>
      <c r="AH1376" s="27"/>
      <c r="AI1376" s="25">
        <v>154576</v>
      </c>
      <c r="AJ1376" s="25">
        <v>105112</v>
      </c>
      <c r="AK1376" s="25">
        <v>4598</v>
      </c>
      <c r="AL1376" s="25">
        <v>264900</v>
      </c>
      <c r="AM1376" s="25">
        <v>73700</v>
      </c>
      <c r="AN1376" s="25">
        <v>191200</v>
      </c>
      <c r="AO1376" s="25">
        <v>0</v>
      </c>
      <c r="AP1376" s="25">
        <f>Lookups!$B$56*0</f>
        <v>0</v>
      </c>
      <c r="AQ1376" s="25">
        <f>Lookups!$B$56*1</f>
        <v>89850.625589999996</v>
      </c>
      <c r="AR1376" s="25">
        <f>Lookups!$B$57*Inventory[[#This Row],[LnAcres]]</f>
        <v>-37073.347241874442</v>
      </c>
      <c r="AS1376" s="25">
        <f>VLOOKUP(Inventory[[#This Row],[Qlty]],Lookups!$A$62:$E$75,2,FALSE)</f>
        <v>0</v>
      </c>
      <c r="AT1376" s="25">
        <f>VLOOKUP(Inventory[[#This Row],[Cnd]],Lookups!$A$76:$E$84,2,FALSE)</f>
        <v>160472.20319</v>
      </c>
      <c r="AU1376" s="25">
        <f>Inventory[[#This Row],[EffAge]]*Lookups!$B$85</f>
        <v>-11598.371226000001</v>
      </c>
      <c r="AV1376" s="25">
        <f>Inventory[[#This Row],[MainFn]]*Lookups!$B$86</f>
        <v>47975.818450567</v>
      </c>
      <c r="AW1376" s="25">
        <f>Inventory[[#This Row],[UpprFn]]*Lookups!$B$87</f>
        <v>0</v>
      </c>
      <c r="AX1376" s="25">
        <f>Inventory[[#This Row],[AddFn]]*Lookups!$B$88</f>
        <v>0</v>
      </c>
      <c r="AY1376" s="25">
        <f>Inventory[[#This Row],[Bsmt]]*Lookups!$B$89</f>
        <v>0</v>
      </c>
      <c r="AZ1376" s="25">
        <f>Inventory[[#This Row],[Fixtures]]*Lookups!$B$90</f>
        <v>18960.110526</v>
      </c>
      <c r="BA1376" s="25">
        <f>Inventory[[#This Row],[WdDeck]]*Lookups!$B$91</f>
        <v>0</v>
      </c>
      <c r="BB1376" s="25">
        <f>ROUND(Inventory[[#This Row],[25Det]],-2)</f>
        <v>4600</v>
      </c>
      <c r="BC1376" s="25">
        <f>ROUND(SUM(Inventory[[#This Row],[Mdl Qlty]:[Mdl WdDeck]])+Inventory[[#This Row],[Mdl Res Intercept]],-2)</f>
        <v>215800</v>
      </c>
      <c r="BD1376" s="25">
        <f>ROUND(Inventory[[#This Row],[Mdl Land Intercept]]+Inventory[[#This Row],[Mdl LnAcres]],-2)</f>
        <v>52800</v>
      </c>
      <c r="BE1376" s="25">
        <f>Inventory[[#This Row],[Unadj Res Value]]+Inventory[[#This Row],[Unadj Det Value]]+Inventory[[#This Row],[Unadj Land Value]]</f>
        <v>273200</v>
      </c>
      <c r="BF1376" s="36">
        <f>(Inventory[[#This Row],[Unadj Total Value]]-Inventory[[#This Row],[24Final]])/Inventory[[#This Row],[24Final]]</f>
        <v>3.1332578331445829E-2</v>
      </c>
      <c r="BG1376" s="25">
        <f>VLOOKUP(Inventory[[#This Row],[Nbhd]],Lookups!$Q$2:$T$4,4,FALSE)</f>
        <v>0.99970000000000003</v>
      </c>
      <c r="BH1376" s="25">
        <f>VLOOKUP(Inventory[[#This Row],[Qlty]],Lookups!$O$7:$R$21,4,FALSE)</f>
        <v>0.99180000000000001</v>
      </c>
      <c r="BI1376" s="25">
        <f>VLOOKUP(Inventory[[#This Row],[Cnd]],Lookups!$T$7:$W$16,4,FALSE)</f>
        <v>0.99729999999999996</v>
      </c>
      <c r="BJ1376" s="25">
        <f>VLOOKUP(Inventory[[#This Row],[LivArea Range]],Lookups!$T$25:$W$37,4,FALSE)</f>
        <v>1.0148999999999999</v>
      </c>
      <c r="BK1376" s="25">
        <f>VLOOKUP(Inventory[[#This Row],[Decade]],Lookups!$O$25:$R$42,4,FALSE)</f>
        <v>0.98909999999999998</v>
      </c>
      <c r="BL1376" s="25">
        <f>Inventory[[#This Row],[Nbhd Adj]]*0.95</f>
        <v>0.94971499999999998</v>
      </c>
      <c r="BM1376" s="25">
        <f>Inventory[[#This Row],[Nbhd Adj]]*Inventory[[#This Row],[Quality Adj]]*Inventory[[#This Row],[Condition Adj]]*Inventory[[#This Row],[Living Area Adj]]*Inventory[[#This Row],[Decade Adj]]*0.95</f>
        <v>0.94298910434578886</v>
      </c>
      <c r="BN1376" s="25">
        <f>ROUND(SUM(Inventory[[#This Row],[Mdl Qlty]:[Mdl WdDeck]])+Inventory[[#This Row],[Mdl Res Intercept]]*Inventory[[#This Row],[Res Adj ]],-2)</f>
        <v>215800</v>
      </c>
      <c r="BO1376" s="25">
        <f>ROUND(Inventory[[#This Row],[25Det]]*Inventory[[#This Row],[Det/Nbhd Adj]],-2)</f>
        <v>4400</v>
      </c>
      <c r="BP1376" s="25">
        <f>Inventory[[#This Row],[Adjusted Res]]+Inventory[[#This Row],[Adj Det ]]</f>
        <v>220200</v>
      </c>
      <c r="BQ1376" s="25">
        <f>ROUND((Inventory[[#This Row],[Mdl Land Intercept]]+Inventory[[#This Row],[Mdl LnAcres]])*Inventory[[#This Row],[Det/Nbhd Adj]],-2)</f>
        <v>50100</v>
      </c>
      <c r="BR1376" s="25">
        <f>Inventory[[#This Row],[Adjusted Impr Total]]+Inventory[[#This Row],[Adjusted Land Total]]</f>
        <v>270300</v>
      </c>
      <c r="BS1376" s="36">
        <f>IFERROR((Inventory[[#This Row],[Adjusted Impr Total]]-Inventory[[#This Row],[24Bldg]])/Inventory[[#This Row],[24Bldg]],0)</f>
        <v>0.15167364016736401</v>
      </c>
      <c r="BT1376" s="36">
        <f>(Inventory[[#This Row],[Adjusted Land Total]]-Inventory[[#This Row],[24Lnd]])/Inventory[[#This Row],[24Lnd]]</f>
        <v>-0.32021709633649931</v>
      </c>
      <c r="BU1376" s="36">
        <f>(Inventory[[#This Row],[Adjusted Total]]-Inventory[[#This Row],[24Final]])/Inventory[[#This Row],[24Final]]</f>
        <v>2.0385050962627407E-2</v>
      </c>
    </row>
    <row r="1377" spans="1:73" x14ac:dyDescent="0.3">
      <c r="A1377" s="25">
        <v>2025</v>
      </c>
      <c r="B1377" s="26" t="s">
        <v>2659</v>
      </c>
      <c r="C1377" s="26">
        <f>LN(Inventory[[#This Row],[Acres]])</f>
        <v>-1.8325814637483102</v>
      </c>
      <c r="D1377" s="25">
        <v>0.16</v>
      </c>
      <c r="E1377" s="27"/>
      <c r="F1377" s="26" t="s">
        <v>537</v>
      </c>
      <c r="G1377" s="26" t="s">
        <v>126</v>
      </c>
      <c r="H1377" s="26" t="s">
        <v>349</v>
      </c>
      <c r="I1377" s="26" t="s">
        <v>538</v>
      </c>
      <c r="J1377" s="26" t="s">
        <v>539</v>
      </c>
      <c r="K1377" s="26" t="s">
        <v>269</v>
      </c>
      <c r="L1377" s="26" t="s">
        <v>351</v>
      </c>
      <c r="M1377" s="26" t="s">
        <v>323</v>
      </c>
      <c r="N1377" s="26">
        <v>90</v>
      </c>
      <c r="O1377" s="26">
        <f>2024-Inventory[[#This Row],[YrBlt]]</f>
        <v>84</v>
      </c>
      <c r="P1377" s="26">
        <f>2024-Inventory[[#This Row],[EffYr]]</f>
        <v>52</v>
      </c>
      <c r="Q1377" s="25">
        <v>1940</v>
      </c>
      <c r="R1377" s="25">
        <v>1972</v>
      </c>
      <c r="S1377" s="25">
        <v>1380</v>
      </c>
      <c r="T1377" s="31"/>
      <c r="U1377" s="32">
        <v>698</v>
      </c>
      <c r="V1377" s="32">
        <f>Inventory[[#This Row],[Bsmt]]-Inventory[[#This Row],[FnBsmt]]</f>
        <v>0</v>
      </c>
      <c r="W1377" s="32">
        <v>698</v>
      </c>
      <c r="X1377" s="27"/>
      <c r="Y1377" s="27">
        <f>Inventory[[#This Row],[MainFn]]+Inventory[[#This Row],[UpprFn]]+Inventory[[#This Row],[FnBsmt]]+Inventory[[#This Row],[AddFn]]</f>
        <v>2078</v>
      </c>
      <c r="Z1377" s="27">
        <v>2500</v>
      </c>
      <c r="AA1377" s="25">
        <v>8</v>
      </c>
      <c r="AB1377" s="31"/>
      <c r="AC1377" s="27"/>
      <c r="AD1377" s="31"/>
      <c r="AE1377" s="27"/>
      <c r="AF1377" s="27"/>
      <c r="AG1377" s="27"/>
      <c r="AH1377" s="27"/>
      <c r="AI1377" s="25">
        <v>289087</v>
      </c>
      <c r="AJ1377" s="25">
        <v>196579</v>
      </c>
      <c r="AK1377" s="25">
        <v>6357</v>
      </c>
      <c r="AL1377" s="25">
        <v>319200</v>
      </c>
      <c r="AM1377" s="25">
        <v>50600</v>
      </c>
      <c r="AN1377" s="25">
        <v>268600</v>
      </c>
      <c r="AO1377" s="25">
        <v>0</v>
      </c>
      <c r="AP1377" s="25">
        <f>Lookups!$B$56*0</f>
        <v>0</v>
      </c>
      <c r="AQ1377" s="25">
        <f>Lookups!$B$56*1</f>
        <v>89850.625589999996</v>
      </c>
      <c r="AR1377" s="25">
        <f>Lookups!$B$57*Inventory[[#This Row],[LnAcres]]</f>
        <v>-58009.662049032086</v>
      </c>
      <c r="AS1377" s="25">
        <f>VLOOKUP(Inventory[[#This Row],[Qlty]],Lookups!$A$62:$E$75,2,FALSE)</f>
        <v>21557.329055999999</v>
      </c>
      <c r="AT1377" s="25">
        <f>VLOOKUP(Inventory[[#This Row],[Cnd]],Lookups!$A$76:$E$84,2,FALSE)</f>
        <v>160472.20319</v>
      </c>
      <c r="AU1377" s="25">
        <f>Inventory[[#This Row],[EffAge]]*Lookups!$B$85</f>
        <v>-11598.371226000001</v>
      </c>
      <c r="AV1377" s="25">
        <f>Inventory[[#This Row],[MainFn]]*Lookups!$B$86</f>
        <v>68183.964430260006</v>
      </c>
      <c r="AW1377" s="25">
        <f>Inventory[[#This Row],[UpprFn]]*Lookups!$B$87</f>
        <v>0</v>
      </c>
      <c r="AX1377" s="25">
        <f>Inventory[[#This Row],[AddFn]]*Lookups!$B$88</f>
        <v>0</v>
      </c>
      <c r="AY1377" s="25">
        <f>Inventory[[#This Row],[Bsmt]]*Lookups!$B$89</f>
        <v>20299.162882405999</v>
      </c>
      <c r="AZ1377" s="25">
        <f>Inventory[[#This Row],[Fixtures]]*Lookups!$B$90</f>
        <v>30336.176841600001</v>
      </c>
      <c r="BA1377" s="25">
        <f>Inventory[[#This Row],[WdDeck]]*Lookups!$B$91</f>
        <v>0</v>
      </c>
      <c r="BB1377" s="25">
        <f>ROUND(Inventory[[#This Row],[25Det]],-2)</f>
        <v>6400</v>
      </c>
      <c r="BC1377" s="25">
        <f>ROUND(SUM(Inventory[[#This Row],[Mdl Qlty]:[Mdl WdDeck]])+Inventory[[#This Row],[Mdl Res Intercept]],-2)</f>
        <v>289300</v>
      </c>
      <c r="BD1377" s="25">
        <f>ROUND(Inventory[[#This Row],[Mdl Land Intercept]]+Inventory[[#This Row],[Mdl LnAcres]],-2)</f>
        <v>31800</v>
      </c>
      <c r="BE1377" s="25">
        <f>Inventory[[#This Row],[Unadj Res Value]]+Inventory[[#This Row],[Unadj Det Value]]+Inventory[[#This Row],[Unadj Land Value]]</f>
        <v>327500</v>
      </c>
      <c r="BF1377" s="36">
        <f>(Inventory[[#This Row],[Unadj Total Value]]-Inventory[[#This Row],[24Final]])/Inventory[[#This Row],[24Final]]</f>
        <v>2.6002506265664159E-2</v>
      </c>
      <c r="BG1377" s="25">
        <f>VLOOKUP(Inventory[[#This Row],[Nbhd]],Lookups!$Q$2:$T$4,4,FALSE)</f>
        <v>0.99970000000000003</v>
      </c>
      <c r="BH1377" s="25">
        <f>VLOOKUP(Inventory[[#This Row],[Qlty]],Lookups!$O$7:$R$21,4,FALSE)</f>
        <v>1.0067999999999999</v>
      </c>
      <c r="BI1377" s="25">
        <f>VLOOKUP(Inventory[[#This Row],[Cnd]],Lookups!$T$7:$W$16,4,FALSE)</f>
        <v>0.99729999999999996</v>
      </c>
      <c r="BJ1377" s="25">
        <f>VLOOKUP(Inventory[[#This Row],[LivArea Range]],Lookups!$T$25:$W$37,4,FALSE)</f>
        <v>0.98919999999999997</v>
      </c>
      <c r="BK1377" s="25">
        <f>VLOOKUP(Inventory[[#This Row],[Decade]],Lookups!$O$25:$R$42,4,FALSE)</f>
        <v>0.98909999999999998</v>
      </c>
      <c r="BL1377" s="25">
        <f>Inventory[[#This Row],[Nbhd Adj]]*0.95</f>
        <v>0.94971499999999998</v>
      </c>
      <c r="BM1377" s="25">
        <f>Inventory[[#This Row],[Nbhd Adj]]*Inventory[[#This Row],[Quality Adj]]*Inventory[[#This Row],[Condition Adj]]*Inventory[[#This Row],[Living Area Adj]]*Inventory[[#This Row],[Decade Adj]]*0.95</f>
        <v>0.93301071824589021</v>
      </c>
      <c r="BN1377" s="25">
        <f>ROUND(SUM(Inventory[[#This Row],[Mdl Qlty]:[Mdl WdDeck]])+Inventory[[#This Row],[Mdl Res Intercept]]*Inventory[[#This Row],[Res Adj ]],-2)</f>
        <v>289300</v>
      </c>
      <c r="BO1377" s="25">
        <f>ROUND(Inventory[[#This Row],[25Det]]*Inventory[[#This Row],[Det/Nbhd Adj]],-2)</f>
        <v>6000</v>
      </c>
      <c r="BP1377" s="25">
        <f>Inventory[[#This Row],[Adjusted Res]]+Inventory[[#This Row],[Adj Det ]]</f>
        <v>295300</v>
      </c>
      <c r="BQ1377" s="25">
        <f>ROUND((Inventory[[#This Row],[Mdl Land Intercept]]+Inventory[[#This Row],[Mdl LnAcres]])*Inventory[[#This Row],[Det/Nbhd Adj]],-2)</f>
        <v>30200</v>
      </c>
      <c r="BR1377" s="25">
        <f>Inventory[[#This Row],[Adjusted Impr Total]]+Inventory[[#This Row],[Adjusted Land Total]]</f>
        <v>325500</v>
      </c>
      <c r="BS1377" s="36">
        <f>IFERROR((Inventory[[#This Row],[Adjusted Impr Total]]-Inventory[[#This Row],[24Bldg]])/Inventory[[#This Row],[24Bldg]],0)</f>
        <v>9.9404318689501114E-2</v>
      </c>
      <c r="BT1377" s="36">
        <f>(Inventory[[#This Row],[Adjusted Land Total]]-Inventory[[#This Row],[24Lnd]])/Inventory[[#This Row],[24Lnd]]</f>
        <v>-0.40316205533596838</v>
      </c>
      <c r="BU1377" s="36">
        <f>(Inventory[[#This Row],[Adjusted Total]]-Inventory[[#This Row],[24Final]])/Inventory[[#This Row],[24Final]]</f>
        <v>1.9736842105263157E-2</v>
      </c>
    </row>
    <row r="1378" spans="1:73" x14ac:dyDescent="0.3">
      <c r="A1378" s="25">
        <v>2025</v>
      </c>
      <c r="B1378" s="26" t="s">
        <v>1252</v>
      </c>
      <c r="C1378" s="26">
        <f>LN(Inventory[[#This Row],[Acres]])</f>
        <v>-1.7719568419318752</v>
      </c>
      <c r="D1378" s="25">
        <v>0.17</v>
      </c>
      <c r="E1378" s="32">
        <v>7350</v>
      </c>
      <c r="F1378" s="26" t="s">
        <v>537</v>
      </c>
      <c r="G1378" s="26" t="s">
        <v>126</v>
      </c>
      <c r="H1378" s="26" t="s">
        <v>349</v>
      </c>
      <c r="I1378" s="26" t="s">
        <v>538</v>
      </c>
      <c r="J1378" s="26" t="s">
        <v>539</v>
      </c>
      <c r="K1378" s="26" t="s">
        <v>269</v>
      </c>
      <c r="L1378" s="26" t="s">
        <v>351</v>
      </c>
      <c r="M1378" s="26" t="s">
        <v>323</v>
      </c>
      <c r="N1378" s="26">
        <v>90</v>
      </c>
      <c r="O1378" s="26">
        <f>2024-Inventory[[#This Row],[YrBlt]]</f>
        <v>84</v>
      </c>
      <c r="P1378" s="26">
        <f>2024-Inventory[[#This Row],[EffYr]]</f>
        <v>52</v>
      </c>
      <c r="Q1378" s="25">
        <v>1940</v>
      </c>
      <c r="R1378" s="25">
        <v>1972</v>
      </c>
      <c r="S1378" s="25">
        <v>1064</v>
      </c>
      <c r="T1378" s="32">
        <v>266</v>
      </c>
      <c r="U1378" s="25">
        <v>780</v>
      </c>
      <c r="V1378" s="25">
        <f>Inventory[[#This Row],[Bsmt]]-Inventory[[#This Row],[FnBsmt]]</f>
        <v>234</v>
      </c>
      <c r="W1378" s="25">
        <v>546</v>
      </c>
      <c r="X1378" s="27"/>
      <c r="Y1378" s="27">
        <f>Inventory[[#This Row],[MainFn]]+Inventory[[#This Row],[UpprFn]]+Inventory[[#This Row],[FnBsmt]]+Inventory[[#This Row],[AddFn]]</f>
        <v>1876</v>
      </c>
      <c r="Z1378" s="27">
        <v>2000</v>
      </c>
      <c r="AA1378" s="25">
        <v>5</v>
      </c>
      <c r="AB1378" s="27"/>
      <c r="AC1378" s="25">
        <v>288</v>
      </c>
      <c r="AD1378" s="31"/>
      <c r="AE1378" s="27"/>
      <c r="AF1378" s="27"/>
      <c r="AG1378" s="27"/>
      <c r="AH1378" s="27"/>
      <c r="AI1378" s="25">
        <v>283408</v>
      </c>
      <c r="AJ1378" s="25">
        <v>192717</v>
      </c>
      <c r="AK1378" s="25">
        <v>0</v>
      </c>
      <c r="AL1378" s="25">
        <v>303000</v>
      </c>
      <c r="AM1378" s="25">
        <v>52700</v>
      </c>
      <c r="AN1378" s="25">
        <v>250300</v>
      </c>
      <c r="AO1378" s="25">
        <v>0</v>
      </c>
      <c r="AP1378" s="25">
        <f>Lookups!$B$56*0</f>
        <v>0</v>
      </c>
      <c r="AQ1378" s="25">
        <f>Lookups!$B$56*1</f>
        <v>89850.625589999996</v>
      </c>
      <c r="AR1378" s="25">
        <f>Lookups!$B$57*Inventory[[#This Row],[LnAcres]]</f>
        <v>-56090.612940989391</v>
      </c>
      <c r="AS1378" s="25">
        <f>VLOOKUP(Inventory[[#This Row],[Qlty]],Lookups!$A$62:$E$75,2,FALSE)</f>
        <v>21557.329055999999</v>
      </c>
      <c r="AT1378" s="25">
        <f>VLOOKUP(Inventory[[#This Row],[Cnd]],Lookups!$A$76:$E$84,2,FALSE)</f>
        <v>160472.20319</v>
      </c>
      <c r="AU1378" s="25">
        <f>Inventory[[#This Row],[EffAge]]*Lookups!$B$85</f>
        <v>-11598.371226000001</v>
      </c>
      <c r="AV1378" s="25">
        <f>Inventory[[#This Row],[MainFn]]*Lookups!$B$86</f>
        <v>52570.824749127998</v>
      </c>
      <c r="AW1378" s="25">
        <f>Inventory[[#This Row],[UpprFn]]*Lookups!$B$87</f>
        <v>11913.188481026</v>
      </c>
      <c r="AX1378" s="25">
        <f>Inventory[[#This Row],[AddFn]]*Lookups!$B$88</f>
        <v>0</v>
      </c>
      <c r="AY1378" s="25">
        <f>Inventory[[#This Row],[Bsmt]]*Lookups!$B$89</f>
        <v>22683.87829266</v>
      </c>
      <c r="AZ1378" s="25">
        <f>Inventory[[#This Row],[Fixtures]]*Lookups!$B$90</f>
        <v>18960.110526</v>
      </c>
      <c r="BA1378" s="25">
        <f>Inventory[[#This Row],[WdDeck]]*Lookups!$B$91</f>
        <v>0</v>
      </c>
      <c r="BB1378" s="25">
        <f>ROUND(Inventory[[#This Row],[25Det]],-2)</f>
        <v>0</v>
      </c>
      <c r="BC1378" s="25">
        <f>ROUND(SUM(Inventory[[#This Row],[Mdl Qlty]:[Mdl WdDeck]])+Inventory[[#This Row],[Mdl Res Intercept]],-2)</f>
        <v>276600</v>
      </c>
      <c r="BD1378" s="25">
        <f>ROUND(Inventory[[#This Row],[Mdl Land Intercept]]+Inventory[[#This Row],[Mdl LnAcres]],-2)</f>
        <v>33800</v>
      </c>
      <c r="BE1378" s="25">
        <f>Inventory[[#This Row],[Unadj Res Value]]+Inventory[[#This Row],[Unadj Det Value]]+Inventory[[#This Row],[Unadj Land Value]]</f>
        <v>310400</v>
      </c>
      <c r="BF1378" s="36">
        <f>(Inventory[[#This Row],[Unadj Total Value]]-Inventory[[#This Row],[24Final]])/Inventory[[#This Row],[24Final]]</f>
        <v>2.4422442244224421E-2</v>
      </c>
      <c r="BG1378" s="25">
        <f>VLOOKUP(Inventory[[#This Row],[Nbhd]],Lookups!$Q$2:$T$4,4,FALSE)</f>
        <v>0.99970000000000003</v>
      </c>
      <c r="BH1378" s="25">
        <f>VLOOKUP(Inventory[[#This Row],[Qlty]],Lookups!$O$7:$R$21,4,FALSE)</f>
        <v>1.0067999999999999</v>
      </c>
      <c r="BI1378" s="25">
        <f>VLOOKUP(Inventory[[#This Row],[Cnd]],Lookups!$T$7:$W$16,4,FALSE)</f>
        <v>0.99729999999999996</v>
      </c>
      <c r="BJ1378" s="25">
        <f>VLOOKUP(Inventory[[#This Row],[LivArea Range]],Lookups!$T$25:$W$37,4,FALSE)</f>
        <v>1.0093000000000001</v>
      </c>
      <c r="BK1378" s="25">
        <f>VLOOKUP(Inventory[[#This Row],[Decade]],Lookups!$O$25:$R$42,4,FALSE)</f>
        <v>0.98909999999999998</v>
      </c>
      <c r="BL1378" s="25">
        <f>Inventory[[#This Row],[Nbhd Adj]]*0.95</f>
        <v>0.94971499999999998</v>
      </c>
      <c r="BM1378" s="25">
        <f>Inventory[[#This Row],[Nbhd Adj]]*Inventory[[#This Row],[Quality Adj]]*Inventory[[#This Row],[Condition Adj]]*Inventory[[#This Row],[Living Area Adj]]*Inventory[[#This Row],[Decade Adj]]*0.95</f>
        <v>0.95196898294134369</v>
      </c>
      <c r="BN1378" s="25">
        <f>ROUND(SUM(Inventory[[#This Row],[Mdl Qlty]:[Mdl WdDeck]])+Inventory[[#This Row],[Mdl Res Intercept]]*Inventory[[#This Row],[Res Adj ]],-2)</f>
        <v>276600</v>
      </c>
      <c r="BO1378" s="25">
        <f>ROUND(Inventory[[#This Row],[25Det]]*Inventory[[#This Row],[Det/Nbhd Adj]],-2)</f>
        <v>0</v>
      </c>
      <c r="BP1378" s="25">
        <f>Inventory[[#This Row],[Adjusted Res]]+Inventory[[#This Row],[Adj Det ]]</f>
        <v>276600</v>
      </c>
      <c r="BQ1378" s="25">
        <f>ROUND((Inventory[[#This Row],[Mdl Land Intercept]]+Inventory[[#This Row],[Mdl LnAcres]])*Inventory[[#This Row],[Det/Nbhd Adj]],-2)</f>
        <v>32100</v>
      </c>
      <c r="BR1378" s="25">
        <f>Inventory[[#This Row],[Adjusted Impr Total]]+Inventory[[#This Row],[Adjusted Land Total]]</f>
        <v>308700</v>
      </c>
      <c r="BS1378" s="36">
        <f>IFERROR((Inventory[[#This Row],[Adjusted Impr Total]]-Inventory[[#This Row],[24Bldg]])/Inventory[[#This Row],[24Bldg]],0)</f>
        <v>0.10507391130643227</v>
      </c>
      <c r="BT1378" s="36">
        <f>(Inventory[[#This Row],[Adjusted Land Total]]-Inventory[[#This Row],[24Lnd]])/Inventory[[#This Row],[24Lnd]]</f>
        <v>-0.39089184060721061</v>
      </c>
      <c r="BU1378" s="36">
        <f>(Inventory[[#This Row],[Adjusted Total]]-Inventory[[#This Row],[24Final]])/Inventory[[#This Row],[24Final]]</f>
        <v>1.8811881188118811E-2</v>
      </c>
    </row>
    <row r="1379" spans="1:73" x14ac:dyDescent="0.3">
      <c r="A1379" s="25">
        <v>2025</v>
      </c>
      <c r="B1379" s="26" t="s">
        <v>2917</v>
      </c>
      <c r="C1379" s="26">
        <f>LN(Inventory[[#This Row],[Acres]])</f>
        <v>-1.5141277326297755</v>
      </c>
      <c r="D1379" s="25">
        <v>0.22</v>
      </c>
      <c r="E1379" s="32">
        <v>9551</v>
      </c>
      <c r="F1379" s="26" t="s">
        <v>537</v>
      </c>
      <c r="G1379" s="26" t="s">
        <v>126</v>
      </c>
      <c r="H1379" s="26" t="s">
        <v>349</v>
      </c>
      <c r="I1379" s="26" t="s">
        <v>538</v>
      </c>
      <c r="J1379" s="26" t="s">
        <v>539</v>
      </c>
      <c r="K1379" s="26" t="s">
        <v>350</v>
      </c>
      <c r="L1379" s="26" t="s">
        <v>148</v>
      </c>
      <c r="M1379" s="26" t="s">
        <v>206</v>
      </c>
      <c r="N1379" s="26">
        <v>90</v>
      </c>
      <c r="O1379" s="26">
        <f>2024-Inventory[[#This Row],[YrBlt]]</f>
        <v>84</v>
      </c>
      <c r="P1379" s="26">
        <f>2024-Inventory[[#This Row],[EffYr]]</f>
        <v>52</v>
      </c>
      <c r="Q1379" s="25">
        <v>1940</v>
      </c>
      <c r="R1379" s="25">
        <v>1972</v>
      </c>
      <c r="S1379" s="25">
        <v>2116</v>
      </c>
      <c r="T1379" s="27"/>
      <c r="U1379" s="32">
        <v>612</v>
      </c>
      <c r="V1379" s="32">
        <f>Inventory[[#This Row],[Bsmt]]-Inventory[[#This Row],[FnBsmt]]</f>
        <v>0</v>
      </c>
      <c r="W1379" s="32">
        <v>612</v>
      </c>
      <c r="X1379" s="27"/>
      <c r="Y1379" s="27">
        <f>Inventory[[#This Row],[MainFn]]+Inventory[[#This Row],[UpprFn]]+Inventory[[#This Row],[FnBsmt]]+Inventory[[#This Row],[AddFn]]</f>
        <v>2728</v>
      </c>
      <c r="Z1379" s="27">
        <v>3000</v>
      </c>
      <c r="AA1379" s="25">
        <v>8</v>
      </c>
      <c r="AB1379" s="27"/>
      <c r="AC1379" s="32">
        <v>340</v>
      </c>
      <c r="AD1379" s="31"/>
      <c r="AE1379" s="27"/>
      <c r="AF1379" s="27"/>
      <c r="AG1379" s="27"/>
      <c r="AH1379" s="27"/>
      <c r="AI1379" s="25">
        <v>529783</v>
      </c>
      <c r="AJ1379" s="25">
        <v>349657</v>
      </c>
      <c r="AK1379" s="25">
        <v>0</v>
      </c>
      <c r="AL1379" s="25">
        <v>353000</v>
      </c>
      <c r="AM1379" s="25">
        <v>61700</v>
      </c>
      <c r="AN1379" s="25">
        <v>291300</v>
      </c>
      <c r="AO1379" s="25">
        <v>0</v>
      </c>
      <c r="AP1379" s="25">
        <f>Lookups!$B$56*0</f>
        <v>0</v>
      </c>
      <c r="AQ1379" s="25">
        <f>Lookups!$B$56*1</f>
        <v>89850.625589999996</v>
      </c>
      <c r="AR1379" s="25">
        <f>Lookups!$B$57*Inventory[[#This Row],[LnAcres]]</f>
        <v>-47929.131559187132</v>
      </c>
      <c r="AS1379" s="25">
        <f>VLOOKUP(Inventory[[#This Row],[Qlty]],Lookups!$A$62:$E$75,2,FALSE)</f>
        <v>44121.038090000002</v>
      </c>
      <c r="AT1379" s="25">
        <f>VLOOKUP(Inventory[[#This Row],[Cnd]],Lookups!$A$76:$E$84,2,FALSE)</f>
        <v>133714.53821</v>
      </c>
      <c r="AU1379" s="25">
        <f>Inventory[[#This Row],[EffAge]]*Lookups!$B$85</f>
        <v>-11598.371226000001</v>
      </c>
      <c r="AV1379" s="25">
        <f>Inventory[[#This Row],[MainFn]]*Lookups!$B$86</f>
        <v>104548.745459732</v>
      </c>
      <c r="AW1379" s="25">
        <f>Inventory[[#This Row],[UpprFn]]*Lookups!$B$87</f>
        <v>0</v>
      </c>
      <c r="AX1379" s="25">
        <f>Inventory[[#This Row],[AddFn]]*Lookups!$B$88</f>
        <v>0</v>
      </c>
      <c r="AY1379" s="25">
        <f>Inventory[[#This Row],[Bsmt]]*Lookups!$B$89</f>
        <v>17798.119891163999</v>
      </c>
      <c r="AZ1379" s="25">
        <f>Inventory[[#This Row],[Fixtures]]*Lookups!$B$90</f>
        <v>30336.176841600001</v>
      </c>
      <c r="BA1379" s="25">
        <f>Inventory[[#This Row],[WdDeck]]*Lookups!$B$91</f>
        <v>0</v>
      </c>
      <c r="BB1379" s="25">
        <f>ROUND(Inventory[[#This Row],[25Det]],-2)</f>
        <v>0</v>
      </c>
      <c r="BC1379" s="25">
        <f>ROUND(SUM(Inventory[[#This Row],[Mdl Qlty]:[Mdl WdDeck]])+Inventory[[#This Row],[Mdl Res Intercept]],-2)</f>
        <v>318900</v>
      </c>
      <c r="BD1379" s="25">
        <f>ROUND(Inventory[[#This Row],[Mdl Land Intercept]]+Inventory[[#This Row],[Mdl LnAcres]],-2)</f>
        <v>41900</v>
      </c>
      <c r="BE1379" s="25">
        <f>Inventory[[#This Row],[Unadj Res Value]]+Inventory[[#This Row],[Unadj Det Value]]+Inventory[[#This Row],[Unadj Land Value]]</f>
        <v>360800</v>
      </c>
      <c r="BF1379" s="36">
        <f>(Inventory[[#This Row],[Unadj Total Value]]-Inventory[[#This Row],[24Final]])/Inventory[[#This Row],[24Final]]</f>
        <v>2.2096317280453259E-2</v>
      </c>
      <c r="BG1379" s="25">
        <f>VLOOKUP(Inventory[[#This Row],[Nbhd]],Lookups!$Q$2:$T$4,4,FALSE)</f>
        <v>0.99970000000000003</v>
      </c>
      <c r="BH1379" s="25">
        <f>VLOOKUP(Inventory[[#This Row],[Qlty]],Lookups!$O$7:$R$21,4,FALSE)</f>
        <v>0.98050000000000004</v>
      </c>
      <c r="BI1379" s="25">
        <f>VLOOKUP(Inventory[[#This Row],[Cnd]],Lookups!$T$7:$W$16,4,FALSE)</f>
        <v>0.99329999999999996</v>
      </c>
      <c r="BJ1379" s="25">
        <f>VLOOKUP(Inventory[[#This Row],[LivArea Range]],Lookups!$T$25:$W$37,4,FALSE)</f>
        <v>0.96179999999999999</v>
      </c>
      <c r="BK1379" s="25">
        <f>VLOOKUP(Inventory[[#This Row],[Decade]],Lookups!$O$25:$R$42,4,FALSE)</f>
        <v>0.98909999999999998</v>
      </c>
      <c r="BL1379" s="25">
        <f>Inventory[[#This Row],[Nbhd Adj]]*0.95</f>
        <v>0.94971499999999998</v>
      </c>
      <c r="BM1379" s="25">
        <f>Inventory[[#This Row],[Nbhd Adj]]*Inventory[[#This Row],[Quality Adj]]*Inventory[[#This Row],[Condition Adj]]*Inventory[[#This Row],[Living Area Adj]]*Inventory[[#This Row],[Decade Adj]]*0.95</f>
        <v>0.87992631420120082</v>
      </c>
      <c r="BN1379" s="25">
        <f>ROUND(SUM(Inventory[[#This Row],[Mdl Qlty]:[Mdl WdDeck]])+Inventory[[#This Row],[Mdl Res Intercept]]*Inventory[[#This Row],[Res Adj ]],-2)</f>
        <v>318900</v>
      </c>
      <c r="BO1379" s="25">
        <f>ROUND(Inventory[[#This Row],[25Det]]*Inventory[[#This Row],[Det/Nbhd Adj]],-2)</f>
        <v>0</v>
      </c>
      <c r="BP1379" s="25">
        <f>Inventory[[#This Row],[Adjusted Res]]+Inventory[[#This Row],[Adj Det ]]</f>
        <v>318900</v>
      </c>
      <c r="BQ1379" s="25">
        <f>ROUND((Inventory[[#This Row],[Mdl Land Intercept]]+Inventory[[#This Row],[Mdl LnAcres]])*Inventory[[#This Row],[Det/Nbhd Adj]],-2)</f>
        <v>39800</v>
      </c>
      <c r="BR1379" s="25">
        <f>Inventory[[#This Row],[Adjusted Impr Total]]+Inventory[[#This Row],[Adjusted Land Total]]</f>
        <v>358700</v>
      </c>
      <c r="BS1379" s="36">
        <f>IFERROR((Inventory[[#This Row],[Adjusted Impr Total]]-Inventory[[#This Row],[24Bldg]])/Inventory[[#This Row],[24Bldg]],0)</f>
        <v>9.4747682801235841E-2</v>
      </c>
      <c r="BT1379" s="36">
        <f>(Inventory[[#This Row],[Adjusted Land Total]]-Inventory[[#This Row],[24Lnd]])/Inventory[[#This Row],[24Lnd]]</f>
        <v>-0.35494327390599678</v>
      </c>
      <c r="BU1379" s="36">
        <f>(Inventory[[#This Row],[Adjusted Total]]-Inventory[[#This Row],[24Final]])/Inventory[[#This Row],[24Final]]</f>
        <v>1.614730878186969E-2</v>
      </c>
    </row>
    <row r="1380" spans="1:73" x14ac:dyDescent="0.3">
      <c r="A1380" s="25">
        <v>2025</v>
      </c>
      <c r="B1380" s="26" t="s">
        <v>2904</v>
      </c>
      <c r="C1380" s="26">
        <f>LN(Inventory[[#This Row],[Acres]])</f>
        <v>-1.1711829815029451</v>
      </c>
      <c r="D1380" s="25">
        <v>0.31</v>
      </c>
      <c r="E1380" s="32">
        <v>13621</v>
      </c>
      <c r="F1380" s="26" t="s">
        <v>537</v>
      </c>
      <c r="G1380" s="26" t="s">
        <v>126</v>
      </c>
      <c r="H1380" s="26" t="s">
        <v>349</v>
      </c>
      <c r="I1380" s="26" t="s">
        <v>538</v>
      </c>
      <c r="J1380" s="26" t="s">
        <v>539</v>
      </c>
      <c r="K1380" s="26" t="s">
        <v>269</v>
      </c>
      <c r="L1380" s="26" t="s">
        <v>148</v>
      </c>
      <c r="M1380" s="26" t="s">
        <v>303</v>
      </c>
      <c r="N1380" s="26">
        <v>90</v>
      </c>
      <c r="O1380" s="26">
        <f>2024-Inventory[[#This Row],[YrBlt]]</f>
        <v>84</v>
      </c>
      <c r="P1380" s="26">
        <f>2024-Inventory[[#This Row],[EffYr]]</f>
        <v>52</v>
      </c>
      <c r="Q1380" s="25">
        <v>1940</v>
      </c>
      <c r="R1380" s="25">
        <v>1972</v>
      </c>
      <c r="S1380" s="25">
        <v>2885</v>
      </c>
      <c r="T1380" s="27"/>
      <c r="U1380" s="31"/>
      <c r="V1380" s="31">
        <f>Inventory[[#This Row],[Bsmt]]-Inventory[[#This Row],[FnBsmt]]</f>
        <v>0</v>
      </c>
      <c r="W1380" s="31"/>
      <c r="X1380" s="27"/>
      <c r="Y1380" s="27">
        <f>Inventory[[#This Row],[MainFn]]+Inventory[[#This Row],[UpprFn]]+Inventory[[#This Row],[FnBsmt]]+Inventory[[#This Row],[AddFn]]</f>
        <v>2885</v>
      </c>
      <c r="Z1380" s="27">
        <v>3000</v>
      </c>
      <c r="AA1380" s="25">
        <v>11</v>
      </c>
      <c r="AB1380" s="27"/>
      <c r="AC1380" s="31"/>
      <c r="AD1380" s="27"/>
      <c r="AE1380" s="27"/>
      <c r="AF1380" s="27"/>
      <c r="AG1380" s="27"/>
      <c r="AH1380" s="27"/>
      <c r="AI1380" s="25">
        <v>636561</v>
      </c>
      <c r="AJ1380" s="25">
        <v>445593</v>
      </c>
      <c r="AK1380" s="25">
        <v>11752</v>
      </c>
      <c r="AL1380" s="25">
        <v>469500</v>
      </c>
      <c r="AM1380" s="25">
        <v>73700</v>
      </c>
      <c r="AN1380" s="25">
        <v>395800</v>
      </c>
      <c r="AO1380" s="25">
        <v>0</v>
      </c>
      <c r="AP1380" s="25">
        <f>Lookups!$B$56*0</f>
        <v>0</v>
      </c>
      <c r="AQ1380" s="25">
        <f>Lookups!$B$56*1</f>
        <v>89850.625589999996</v>
      </c>
      <c r="AR1380" s="25">
        <f>Lookups!$B$57*Inventory[[#This Row],[LnAcres]]</f>
        <v>-37073.347241874442</v>
      </c>
      <c r="AS1380" s="25">
        <f>VLOOKUP(Inventory[[#This Row],[Qlty]],Lookups!$A$62:$E$75,2,FALSE)</f>
        <v>44121.038090000002</v>
      </c>
      <c r="AT1380" s="25">
        <f>VLOOKUP(Inventory[[#This Row],[Cnd]],Lookups!$A$76:$E$84,2,FALSE)</f>
        <v>197752.34721000001</v>
      </c>
      <c r="AU1380" s="25">
        <f>Inventory[[#This Row],[EffAge]]*Lookups!$B$85</f>
        <v>-11598.371226000001</v>
      </c>
      <c r="AV1380" s="25">
        <f>Inventory[[#This Row],[MainFn]]*Lookups!$B$86</f>
        <v>142544.012595145</v>
      </c>
      <c r="AW1380" s="25">
        <f>Inventory[[#This Row],[UpprFn]]*Lookups!$B$87</f>
        <v>0</v>
      </c>
      <c r="AX1380" s="25">
        <f>Inventory[[#This Row],[AddFn]]*Lookups!$B$88</f>
        <v>0</v>
      </c>
      <c r="AY1380" s="25">
        <f>Inventory[[#This Row],[Bsmt]]*Lookups!$B$89</f>
        <v>0</v>
      </c>
      <c r="AZ1380" s="25">
        <f>Inventory[[#This Row],[Fixtures]]*Lookups!$B$90</f>
        <v>41712.243157199999</v>
      </c>
      <c r="BA1380" s="25">
        <f>Inventory[[#This Row],[WdDeck]]*Lookups!$B$91</f>
        <v>0</v>
      </c>
      <c r="BB1380" s="25">
        <f>ROUND(Inventory[[#This Row],[25Det]],-2)</f>
        <v>11800</v>
      </c>
      <c r="BC1380" s="25">
        <f>ROUND(SUM(Inventory[[#This Row],[Mdl Qlty]:[Mdl WdDeck]])+Inventory[[#This Row],[Mdl Res Intercept]],-2)</f>
        <v>414500</v>
      </c>
      <c r="BD1380" s="25">
        <f>ROUND(Inventory[[#This Row],[Mdl Land Intercept]]+Inventory[[#This Row],[Mdl LnAcres]],-2)</f>
        <v>52800</v>
      </c>
      <c r="BE1380" s="25">
        <f>Inventory[[#This Row],[Unadj Res Value]]+Inventory[[#This Row],[Unadj Det Value]]+Inventory[[#This Row],[Unadj Land Value]]</f>
        <v>479100</v>
      </c>
      <c r="BF1380" s="36">
        <f>(Inventory[[#This Row],[Unadj Total Value]]-Inventory[[#This Row],[24Final]])/Inventory[[#This Row],[24Final]]</f>
        <v>2.0447284345047924E-2</v>
      </c>
      <c r="BG1380" s="25">
        <f>VLOOKUP(Inventory[[#This Row],[Nbhd]],Lookups!$Q$2:$T$4,4,FALSE)</f>
        <v>0.99970000000000003</v>
      </c>
      <c r="BH1380" s="25">
        <f>VLOOKUP(Inventory[[#This Row],[Qlty]],Lookups!$O$7:$R$21,4,FALSE)</f>
        <v>0.98050000000000004</v>
      </c>
      <c r="BI1380" s="25">
        <f>VLOOKUP(Inventory[[#This Row],[Cnd]],Lookups!$T$7:$W$16,4,FALSE)</f>
        <v>0.99650000000000005</v>
      </c>
      <c r="BJ1380" s="25">
        <f>VLOOKUP(Inventory[[#This Row],[LivArea Range]],Lookups!$T$25:$W$37,4,FALSE)</f>
        <v>0.96179999999999999</v>
      </c>
      <c r="BK1380" s="25">
        <f>VLOOKUP(Inventory[[#This Row],[Decade]],Lookups!$O$25:$R$42,4,FALSE)</f>
        <v>0.98909999999999998</v>
      </c>
      <c r="BL1380" s="25">
        <f>Inventory[[#This Row],[Nbhd Adj]]*0.95</f>
        <v>0.94971499999999998</v>
      </c>
      <c r="BM1380" s="25">
        <f>Inventory[[#This Row],[Nbhd Adj]]*Inventory[[#This Row],[Quality Adj]]*Inventory[[#This Row],[Condition Adj]]*Inventory[[#This Row],[Living Area Adj]]*Inventory[[#This Row],[Decade Adj]]*0.95</f>
        <v>0.88276107127906644</v>
      </c>
      <c r="BN1380" s="25">
        <f>ROUND(SUM(Inventory[[#This Row],[Mdl Qlty]:[Mdl WdDeck]])+Inventory[[#This Row],[Mdl Res Intercept]]*Inventory[[#This Row],[Res Adj ]],-2)</f>
        <v>414500</v>
      </c>
      <c r="BO1380" s="25">
        <f>ROUND(Inventory[[#This Row],[25Det]]*Inventory[[#This Row],[Det/Nbhd Adj]],-2)</f>
        <v>11200</v>
      </c>
      <c r="BP1380" s="25">
        <f>Inventory[[#This Row],[Adjusted Res]]+Inventory[[#This Row],[Adj Det ]]</f>
        <v>425700</v>
      </c>
      <c r="BQ1380" s="25">
        <f>ROUND((Inventory[[#This Row],[Mdl Land Intercept]]+Inventory[[#This Row],[Mdl LnAcres]])*Inventory[[#This Row],[Det/Nbhd Adj]],-2)</f>
        <v>50100</v>
      </c>
      <c r="BR1380" s="25">
        <f>Inventory[[#This Row],[Adjusted Impr Total]]+Inventory[[#This Row],[Adjusted Land Total]]</f>
        <v>475800</v>
      </c>
      <c r="BS1380" s="36">
        <f>IFERROR((Inventory[[#This Row],[Adjusted Impr Total]]-Inventory[[#This Row],[24Bldg]])/Inventory[[#This Row],[24Bldg]],0)</f>
        <v>7.5543203638201106E-2</v>
      </c>
      <c r="BT1380" s="36">
        <f>(Inventory[[#This Row],[Adjusted Land Total]]-Inventory[[#This Row],[24Lnd]])/Inventory[[#This Row],[24Lnd]]</f>
        <v>-0.32021709633649931</v>
      </c>
      <c r="BU1380" s="36">
        <f>(Inventory[[#This Row],[Adjusted Total]]-Inventory[[#This Row],[24Final]])/Inventory[[#This Row],[24Final]]</f>
        <v>1.34185303514377E-2</v>
      </c>
    </row>
    <row r="1381" spans="1:73" x14ac:dyDescent="0.3">
      <c r="A1381" s="25">
        <v>2025</v>
      </c>
      <c r="B1381" s="26" t="s">
        <v>2919</v>
      </c>
      <c r="C1381" s="26">
        <f>LN(Inventory[[#This Row],[Acres]])</f>
        <v>-1.1711829815029451</v>
      </c>
      <c r="D1381" s="25">
        <v>0.31</v>
      </c>
      <c r="E1381" s="32">
        <v>13644</v>
      </c>
      <c r="F1381" s="26" t="s">
        <v>537</v>
      </c>
      <c r="G1381" s="26" t="s">
        <v>126</v>
      </c>
      <c r="H1381" s="26" t="s">
        <v>349</v>
      </c>
      <c r="I1381" s="26" t="s">
        <v>538</v>
      </c>
      <c r="J1381" s="26" t="s">
        <v>539</v>
      </c>
      <c r="K1381" s="26" t="s">
        <v>173</v>
      </c>
      <c r="L1381" s="26" t="s">
        <v>148</v>
      </c>
      <c r="M1381" s="26" t="s">
        <v>323</v>
      </c>
      <c r="N1381" s="26">
        <v>90</v>
      </c>
      <c r="O1381" s="26">
        <f>2024-Inventory[[#This Row],[YrBlt]]</f>
        <v>84</v>
      </c>
      <c r="P1381" s="26">
        <f>2024-Inventory[[#This Row],[EffYr]]</f>
        <v>52</v>
      </c>
      <c r="Q1381" s="25">
        <v>1940</v>
      </c>
      <c r="R1381" s="25">
        <v>1972</v>
      </c>
      <c r="S1381" s="25">
        <v>2116</v>
      </c>
      <c r="T1381" s="32">
        <v>484</v>
      </c>
      <c r="U1381" s="27"/>
      <c r="V1381" s="27">
        <f>Inventory[[#This Row],[Bsmt]]-Inventory[[#This Row],[FnBsmt]]</f>
        <v>0</v>
      </c>
      <c r="W1381" s="27"/>
      <c r="X1381" s="27"/>
      <c r="Y1381" s="27">
        <f>Inventory[[#This Row],[MainFn]]+Inventory[[#This Row],[UpprFn]]+Inventory[[#This Row],[FnBsmt]]+Inventory[[#This Row],[AddFn]]</f>
        <v>2600</v>
      </c>
      <c r="Z1381" s="27">
        <v>3000</v>
      </c>
      <c r="AA1381" s="25">
        <v>8</v>
      </c>
      <c r="AB1381" s="32">
        <v>572</v>
      </c>
      <c r="AC1381" s="27"/>
      <c r="AD1381" s="27"/>
      <c r="AE1381" s="27"/>
      <c r="AF1381" s="27"/>
      <c r="AG1381" s="27"/>
      <c r="AH1381" s="27"/>
      <c r="AI1381" s="25">
        <v>526104</v>
      </c>
      <c r="AJ1381" s="25">
        <v>357751</v>
      </c>
      <c r="AK1381" s="25">
        <v>0</v>
      </c>
      <c r="AL1381" s="25">
        <v>394600</v>
      </c>
      <c r="AM1381" s="25">
        <v>73700</v>
      </c>
      <c r="AN1381" s="25">
        <v>320900</v>
      </c>
      <c r="AO1381" s="25">
        <v>0</v>
      </c>
      <c r="AP1381" s="25">
        <f>Lookups!$B$56*0</f>
        <v>0</v>
      </c>
      <c r="AQ1381" s="25">
        <f>Lookups!$B$56*1</f>
        <v>89850.625589999996</v>
      </c>
      <c r="AR1381" s="25">
        <f>Lookups!$B$57*Inventory[[#This Row],[LnAcres]]</f>
        <v>-37073.347241874442</v>
      </c>
      <c r="AS1381" s="25">
        <f>VLOOKUP(Inventory[[#This Row],[Qlty]],Lookups!$A$62:$E$75,2,FALSE)</f>
        <v>44121.038090000002</v>
      </c>
      <c r="AT1381" s="25">
        <f>VLOOKUP(Inventory[[#This Row],[Cnd]],Lookups!$A$76:$E$84,2,FALSE)</f>
        <v>160472.20319</v>
      </c>
      <c r="AU1381" s="25">
        <f>Inventory[[#This Row],[EffAge]]*Lookups!$B$85</f>
        <v>-11598.371226000001</v>
      </c>
      <c r="AV1381" s="25">
        <f>Inventory[[#This Row],[MainFn]]*Lookups!$B$86</f>
        <v>104548.745459732</v>
      </c>
      <c r="AW1381" s="25">
        <f>Inventory[[#This Row],[UpprFn]]*Lookups!$B$87</f>
        <v>21676.628664723998</v>
      </c>
      <c r="AX1381" s="25">
        <f>Inventory[[#This Row],[AddFn]]*Lookups!$B$88</f>
        <v>0</v>
      </c>
      <c r="AY1381" s="25">
        <f>Inventory[[#This Row],[Bsmt]]*Lookups!$B$89</f>
        <v>0</v>
      </c>
      <c r="AZ1381" s="25">
        <f>Inventory[[#This Row],[Fixtures]]*Lookups!$B$90</f>
        <v>30336.176841600001</v>
      </c>
      <c r="BA1381" s="25">
        <f>Inventory[[#This Row],[WdDeck]]*Lookups!$B$91</f>
        <v>0</v>
      </c>
      <c r="BB1381" s="25">
        <f>ROUND(Inventory[[#This Row],[25Det]],-2)</f>
        <v>0</v>
      </c>
      <c r="BC1381" s="25">
        <f>ROUND(SUM(Inventory[[#This Row],[Mdl Qlty]:[Mdl WdDeck]])+Inventory[[#This Row],[Mdl Res Intercept]],-2)</f>
        <v>349600</v>
      </c>
      <c r="BD1381" s="25">
        <f>ROUND(Inventory[[#This Row],[Mdl Land Intercept]]+Inventory[[#This Row],[Mdl LnAcres]],-2)</f>
        <v>52800</v>
      </c>
      <c r="BE1381" s="25">
        <f>Inventory[[#This Row],[Unadj Res Value]]+Inventory[[#This Row],[Unadj Det Value]]+Inventory[[#This Row],[Unadj Land Value]]</f>
        <v>402400</v>
      </c>
      <c r="BF1381" s="36">
        <f>(Inventory[[#This Row],[Unadj Total Value]]-Inventory[[#This Row],[24Final]])/Inventory[[#This Row],[24Final]]</f>
        <v>1.9766852508869743E-2</v>
      </c>
      <c r="BG1381" s="25">
        <f>VLOOKUP(Inventory[[#This Row],[Nbhd]],Lookups!$Q$2:$T$4,4,FALSE)</f>
        <v>0.99970000000000003</v>
      </c>
      <c r="BH1381" s="25">
        <f>VLOOKUP(Inventory[[#This Row],[Qlty]],Lookups!$O$7:$R$21,4,FALSE)</f>
        <v>0.98050000000000004</v>
      </c>
      <c r="BI1381" s="25">
        <f>VLOOKUP(Inventory[[#This Row],[Cnd]],Lookups!$T$7:$W$16,4,FALSE)</f>
        <v>0.99729999999999996</v>
      </c>
      <c r="BJ1381" s="25">
        <f>VLOOKUP(Inventory[[#This Row],[LivArea Range]],Lookups!$T$25:$W$37,4,FALSE)</f>
        <v>0.96179999999999999</v>
      </c>
      <c r="BK1381" s="25">
        <f>VLOOKUP(Inventory[[#This Row],[Decade]],Lookups!$O$25:$R$42,4,FALSE)</f>
        <v>0.98909999999999998</v>
      </c>
      <c r="BL1381" s="25">
        <f>Inventory[[#This Row],[Nbhd Adj]]*0.95</f>
        <v>0.94971499999999998</v>
      </c>
      <c r="BM1381" s="25">
        <f>Inventory[[#This Row],[Nbhd Adj]]*Inventory[[#This Row],[Quality Adj]]*Inventory[[#This Row],[Condition Adj]]*Inventory[[#This Row],[Living Area Adj]]*Inventory[[#This Row],[Decade Adj]]*0.95</f>
        <v>0.88346976054853277</v>
      </c>
      <c r="BN1381" s="25">
        <f>ROUND(SUM(Inventory[[#This Row],[Mdl Qlty]:[Mdl WdDeck]])+Inventory[[#This Row],[Mdl Res Intercept]]*Inventory[[#This Row],[Res Adj ]],-2)</f>
        <v>349600</v>
      </c>
      <c r="BO1381" s="25">
        <f>ROUND(Inventory[[#This Row],[25Det]]*Inventory[[#This Row],[Det/Nbhd Adj]],-2)</f>
        <v>0</v>
      </c>
      <c r="BP1381" s="25">
        <f>Inventory[[#This Row],[Adjusted Res]]+Inventory[[#This Row],[Adj Det ]]</f>
        <v>349600</v>
      </c>
      <c r="BQ1381" s="25">
        <f>ROUND((Inventory[[#This Row],[Mdl Land Intercept]]+Inventory[[#This Row],[Mdl LnAcres]])*Inventory[[#This Row],[Det/Nbhd Adj]],-2)</f>
        <v>50100</v>
      </c>
      <c r="BR1381" s="25">
        <f>Inventory[[#This Row],[Adjusted Impr Total]]+Inventory[[#This Row],[Adjusted Land Total]]</f>
        <v>399700</v>
      </c>
      <c r="BS1381" s="36">
        <f>IFERROR((Inventory[[#This Row],[Adjusted Impr Total]]-Inventory[[#This Row],[24Bldg]])/Inventory[[#This Row],[24Bldg]],0)</f>
        <v>8.943596135867872E-2</v>
      </c>
      <c r="BT1381" s="36">
        <f>(Inventory[[#This Row],[Adjusted Land Total]]-Inventory[[#This Row],[24Lnd]])/Inventory[[#This Row],[24Lnd]]</f>
        <v>-0.32021709633649931</v>
      </c>
      <c r="BU1381" s="36">
        <f>(Inventory[[#This Row],[Adjusted Total]]-Inventory[[#This Row],[24Final]])/Inventory[[#This Row],[24Final]]</f>
        <v>1.2924480486568676E-2</v>
      </c>
    </row>
    <row r="1382" spans="1:73" x14ac:dyDescent="0.3">
      <c r="A1382" s="25">
        <v>2025</v>
      </c>
      <c r="B1382" s="26" t="s">
        <v>2762</v>
      </c>
      <c r="C1382" s="26">
        <f>LN(Inventory[[#This Row],[Acres]])</f>
        <v>-1.5606477482646683</v>
      </c>
      <c r="D1382" s="25">
        <v>0.21</v>
      </c>
      <c r="E1382" s="32">
        <v>9080</v>
      </c>
      <c r="F1382" s="26" t="s">
        <v>537</v>
      </c>
      <c r="G1382" s="26" t="s">
        <v>126</v>
      </c>
      <c r="H1382" s="26" t="s">
        <v>349</v>
      </c>
      <c r="I1382" s="26" t="s">
        <v>538</v>
      </c>
      <c r="J1382" s="26" t="s">
        <v>539</v>
      </c>
      <c r="K1382" s="26" t="s">
        <v>269</v>
      </c>
      <c r="L1382" s="26" t="s">
        <v>302</v>
      </c>
      <c r="M1382" s="26" t="s">
        <v>323</v>
      </c>
      <c r="N1382" s="26">
        <v>90</v>
      </c>
      <c r="O1382" s="26">
        <f>2024-Inventory[[#This Row],[YrBlt]]</f>
        <v>84</v>
      </c>
      <c r="P1382" s="26">
        <f>2024-Inventory[[#This Row],[EffYr]]</f>
        <v>52</v>
      </c>
      <c r="Q1382" s="25">
        <v>1940</v>
      </c>
      <c r="R1382" s="25">
        <v>1972</v>
      </c>
      <c r="S1382" s="25">
        <v>1267</v>
      </c>
      <c r="T1382" s="27"/>
      <c r="U1382" s="32">
        <v>1167</v>
      </c>
      <c r="V1382" s="32">
        <f>Inventory[[#This Row],[Bsmt]]-Inventory[[#This Row],[FnBsmt]]</f>
        <v>397</v>
      </c>
      <c r="W1382" s="32">
        <v>770</v>
      </c>
      <c r="X1382" s="27"/>
      <c r="Y1382" s="27">
        <f>Inventory[[#This Row],[MainFn]]+Inventory[[#This Row],[UpprFn]]+Inventory[[#This Row],[FnBsmt]]+Inventory[[#This Row],[AddFn]]</f>
        <v>2037</v>
      </c>
      <c r="Z1382" s="27">
        <v>2500</v>
      </c>
      <c r="AA1382" s="25">
        <v>9</v>
      </c>
      <c r="AB1382" s="31"/>
      <c r="AC1382" s="27"/>
      <c r="AD1382" s="31"/>
      <c r="AE1382" s="27"/>
      <c r="AF1382" s="27"/>
      <c r="AG1382" s="27"/>
      <c r="AH1382" s="27"/>
      <c r="AI1382" s="25">
        <v>342721</v>
      </c>
      <c r="AJ1382" s="25">
        <v>233050</v>
      </c>
      <c r="AK1382" s="25">
        <v>12820</v>
      </c>
      <c r="AL1382" s="25">
        <v>355800</v>
      </c>
      <c r="AM1382" s="25">
        <v>60100</v>
      </c>
      <c r="AN1382" s="25">
        <v>295700</v>
      </c>
      <c r="AO1382" s="25">
        <v>0</v>
      </c>
      <c r="AP1382" s="25">
        <f>Lookups!$B$56*0</f>
        <v>0</v>
      </c>
      <c r="AQ1382" s="25">
        <f>Lookups!$B$56*1</f>
        <v>89850.625589999996</v>
      </c>
      <c r="AR1382" s="25">
        <f>Lookups!$B$57*Inventory[[#This Row],[LnAcres]]</f>
        <v>-49401.70477837498</v>
      </c>
      <c r="AS1382" s="25">
        <f>VLOOKUP(Inventory[[#This Row],[Qlty]],Lookups!$A$62:$E$75,2,FALSE)</f>
        <v>29814.093161000001</v>
      </c>
      <c r="AT1382" s="25">
        <f>VLOOKUP(Inventory[[#This Row],[Cnd]],Lookups!$A$76:$E$84,2,FALSE)</f>
        <v>160472.20319</v>
      </c>
      <c r="AU1382" s="25">
        <f>Inventory[[#This Row],[EffAge]]*Lookups!$B$85</f>
        <v>-11598.371226000001</v>
      </c>
      <c r="AV1382" s="25">
        <f>Inventory[[#This Row],[MainFn]]*Lookups!$B$86</f>
        <v>62600.784734159002</v>
      </c>
      <c r="AW1382" s="25">
        <f>Inventory[[#This Row],[UpprFn]]*Lookups!$B$87</f>
        <v>0</v>
      </c>
      <c r="AX1382" s="25">
        <f>Inventory[[#This Row],[AddFn]]*Lookups!$B$88</f>
        <v>0</v>
      </c>
      <c r="AY1382" s="25">
        <f>Inventory[[#This Row],[Bsmt]]*Lookups!$B$89</f>
        <v>33938.571753249002</v>
      </c>
      <c r="AZ1382" s="25">
        <f>Inventory[[#This Row],[Fixtures]]*Lookups!$B$90</f>
        <v>34128.198946800003</v>
      </c>
      <c r="BA1382" s="25">
        <f>Inventory[[#This Row],[WdDeck]]*Lookups!$B$91</f>
        <v>0</v>
      </c>
      <c r="BB1382" s="25">
        <f>ROUND(Inventory[[#This Row],[25Det]],-2)</f>
        <v>12800</v>
      </c>
      <c r="BC1382" s="25">
        <f>ROUND(SUM(Inventory[[#This Row],[Mdl Qlty]:[Mdl WdDeck]])+Inventory[[#This Row],[Mdl Res Intercept]],-2)</f>
        <v>309400</v>
      </c>
      <c r="BD1382" s="25">
        <f>ROUND(Inventory[[#This Row],[Mdl Land Intercept]]+Inventory[[#This Row],[Mdl LnAcres]],-2)</f>
        <v>40400</v>
      </c>
      <c r="BE1382" s="25">
        <f>Inventory[[#This Row],[Unadj Res Value]]+Inventory[[#This Row],[Unadj Det Value]]+Inventory[[#This Row],[Unadj Land Value]]</f>
        <v>362600</v>
      </c>
      <c r="BF1382" s="36">
        <f>(Inventory[[#This Row],[Unadj Total Value]]-Inventory[[#This Row],[24Final]])/Inventory[[#This Row],[24Final]]</f>
        <v>1.9111860595840361E-2</v>
      </c>
      <c r="BG1382" s="25">
        <f>VLOOKUP(Inventory[[#This Row],[Nbhd]],Lookups!$Q$2:$T$4,4,FALSE)</f>
        <v>0.99970000000000003</v>
      </c>
      <c r="BH1382" s="25">
        <f>VLOOKUP(Inventory[[#This Row],[Qlty]],Lookups!$O$7:$R$21,4,FALSE)</f>
        <v>1.0088999999999999</v>
      </c>
      <c r="BI1382" s="25">
        <f>VLOOKUP(Inventory[[#This Row],[Cnd]],Lookups!$T$7:$W$16,4,FALSE)</f>
        <v>0.99729999999999996</v>
      </c>
      <c r="BJ1382" s="25">
        <f>VLOOKUP(Inventory[[#This Row],[LivArea Range]],Lookups!$T$25:$W$37,4,FALSE)</f>
        <v>0.98919999999999997</v>
      </c>
      <c r="BK1382" s="25">
        <f>VLOOKUP(Inventory[[#This Row],[Decade]],Lookups!$O$25:$R$42,4,FALSE)</f>
        <v>0.98909999999999998</v>
      </c>
      <c r="BL1382" s="25">
        <f>Inventory[[#This Row],[Nbhd Adj]]*0.95</f>
        <v>0.94971499999999998</v>
      </c>
      <c r="BM1382" s="25">
        <f>Inventory[[#This Row],[Nbhd Adj]]*Inventory[[#This Row],[Quality Adj]]*Inventory[[#This Row],[Condition Adj]]*Inventory[[#This Row],[Living Area Adj]]*Inventory[[#This Row],[Decade Adj]]*0.95</f>
        <v>0.93495680734831033</v>
      </c>
      <c r="BN1382" s="25">
        <f>ROUND(SUM(Inventory[[#This Row],[Mdl Qlty]:[Mdl WdDeck]])+Inventory[[#This Row],[Mdl Res Intercept]]*Inventory[[#This Row],[Res Adj ]],-2)</f>
        <v>309400</v>
      </c>
      <c r="BO1382" s="25">
        <f>ROUND(Inventory[[#This Row],[25Det]]*Inventory[[#This Row],[Det/Nbhd Adj]],-2)</f>
        <v>12200</v>
      </c>
      <c r="BP1382" s="25">
        <f>Inventory[[#This Row],[Adjusted Res]]+Inventory[[#This Row],[Adj Det ]]</f>
        <v>321600</v>
      </c>
      <c r="BQ1382" s="25">
        <f>ROUND((Inventory[[#This Row],[Mdl Land Intercept]]+Inventory[[#This Row],[Mdl LnAcres]])*Inventory[[#This Row],[Det/Nbhd Adj]],-2)</f>
        <v>38400</v>
      </c>
      <c r="BR1382" s="25">
        <f>Inventory[[#This Row],[Adjusted Impr Total]]+Inventory[[#This Row],[Adjusted Land Total]]</f>
        <v>360000</v>
      </c>
      <c r="BS1382" s="36">
        <f>IFERROR((Inventory[[#This Row],[Adjusted Impr Total]]-Inventory[[#This Row],[24Bldg]])/Inventory[[#This Row],[24Bldg]],0)</f>
        <v>8.7588772404463985E-2</v>
      </c>
      <c r="BT1382" s="36">
        <f>(Inventory[[#This Row],[Adjusted Land Total]]-Inventory[[#This Row],[24Lnd]])/Inventory[[#This Row],[24Lnd]]</f>
        <v>-0.36106489184692181</v>
      </c>
      <c r="BU1382" s="36">
        <f>(Inventory[[#This Row],[Adjusted Total]]-Inventory[[#This Row],[24Final]])/Inventory[[#This Row],[24Final]]</f>
        <v>1.1804384485666104E-2</v>
      </c>
    </row>
    <row r="1383" spans="1:73" x14ac:dyDescent="0.3">
      <c r="A1383" s="25">
        <v>2025</v>
      </c>
      <c r="B1383" s="26" t="s">
        <v>1297</v>
      </c>
      <c r="C1383" s="26">
        <f>LN(Inventory[[#This Row],[Acres]])</f>
        <v>-1.0788096613719298</v>
      </c>
      <c r="D1383" s="25">
        <v>0.34</v>
      </c>
      <c r="E1383" s="32">
        <v>14720</v>
      </c>
      <c r="F1383" s="26" t="s">
        <v>537</v>
      </c>
      <c r="G1383" s="26" t="s">
        <v>126</v>
      </c>
      <c r="H1383" s="26" t="s">
        <v>349</v>
      </c>
      <c r="I1383" s="26" t="s">
        <v>538</v>
      </c>
      <c r="J1383" s="26" t="s">
        <v>539</v>
      </c>
      <c r="K1383" s="26" t="s">
        <v>269</v>
      </c>
      <c r="L1383" s="26" t="s">
        <v>95</v>
      </c>
      <c r="M1383" s="26" t="s">
        <v>303</v>
      </c>
      <c r="N1383" s="26">
        <v>90</v>
      </c>
      <c r="O1383" s="26">
        <f>2024-Inventory[[#This Row],[YrBlt]]</f>
        <v>84</v>
      </c>
      <c r="P1383" s="26">
        <f>2024-Inventory[[#This Row],[EffYr]]</f>
        <v>52</v>
      </c>
      <c r="Q1383" s="25">
        <v>1940</v>
      </c>
      <c r="R1383" s="25">
        <v>1972</v>
      </c>
      <c r="S1383" s="25">
        <v>2256</v>
      </c>
      <c r="T1383" s="27"/>
      <c r="U1383" s="32">
        <v>1004</v>
      </c>
      <c r="V1383" s="32">
        <f>Inventory[[#This Row],[Bsmt]]-Inventory[[#This Row],[FnBsmt]]</f>
        <v>0</v>
      </c>
      <c r="W1383" s="32">
        <v>1004</v>
      </c>
      <c r="X1383" s="27"/>
      <c r="Y1383" s="27">
        <f>Inventory[[#This Row],[MainFn]]+Inventory[[#This Row],[UpprFn]]+Inventory[[#This Row],[FnBsmt]]+Inventory[[#This Row],[AddFn]]</f>
        <v>3260</v>
      </c>
      <c r="Z1383" s="27">
        <v>3500</v>
      </c>
      <c r="AA1383" s="25">
        <v>13</v>
      </c>
      <c r="AB1383" s="32">
        <v>441</v>
      </c>
      <c r="AC1383" s="27"/>
      <c r="AD1383" s="32">
        <v>346</v>
      </c>
      <c r="AE1383" s="27"/>
      <c r="AF1383" s="27"/>
      <c r="AG1383" s="27"/>
      <c r="AH1383" s="27"/>
      <c r="AI1383" s="25">
        <v>714992</v>
      </c>
      <c r="AJ1383" s="25">
        <v>507644</v>
      </c>
      <c r="AK1383" s="25">
        <v>11673</v>
      </c>
      <c r="AL1383" s="25">
        <v>520400</v>
      </c>
      <c r="AM1383" s="25">
        <v>76900</v>
      </c>
      <c r="AN1383" s="25">
        <v>443500</v>
      </c>
      <c r="AO1383" s="25">
        <v>0</v>
      </c>
      <c r="AP1383" s="25">
        <f>Lookups!$B$56*0</f>
        <v>0</v>
      </c>
      <c r="AQ1383" s="25">
        <f>Lookups!$B$56*1</f>
        <v>89850.625589999996</v>
      </c>
      <c r="AR1383" s="25">
        <f>Lookups!$B$57*Inventory[[#This Row],[LnAcres]]</f>
        <v>-34149.305288406773</v>
      </c>
      <c r="AS1383" s="25">
        <f>VLOOKUP(Inventory[[#This Row],[Qlty]],Lookups!$A$62:$E$75,2,FALSE)</f>
        <v>74268.409664999999</v>
      </c>
      <c r="AT1383" s="25">
        <f>VLOOKUP(Inventory[[#This Row],[Cnd]],Lookups!$A$76:$E$84,2,FALSE)</f>
        <v>197752.34721000001</v>
      </c>
      <c r="AU1383" s="25">
        <f>Inventory[[#This Row],[EffAge]]*Lookups!$B$85</f>
        <v>-11598.371226000001</v>
      </c>
      <c r="AV1383" s="25">
        <f>Inventory[[#This Row],[MainFn]]*Lookups!$B$86</f>
        <v>111465.95924251201</v>
      </c>
      <c r="AW1383" s="25">
        <f>Inventory[[#This Row],[UpprFn]]*Lookups!$B$87</f>
        <v>0</v>
      </c>
      <c r="AX1383" s="25">
        <f>Inventory[[#This Row],[AddFn]]*Lookups!$B$88</f>
        <v>0</v>
      </c>
      <c r="AY1383" s="25">
        <f>Inventory[[#This Row],[Bsmt]]*Lookups!$B$89</f>
        <v>29198.222827988</v>
      </c>
      <c r="AZ1383" s="25">
        <f>Inventory[[#This Row],[Fixtures]]*Lookups!$B$90</f>
        <v>49296.287367600002</v>
      </c>
      <c r="BA1383" s="25">
        <f>Inventory[[#This Row],[WdDeck]]*Lookups!$B$91</f>
        <v>11520.248285496002</v>
      </c>
      <c r="BB1383" s="25">
        <f>ROUND(Inventory[[#This Row],[25Det]],-2)</f>
        <v>11700</v>
      </c>
      <c r="BC1383" s="25">
        <f>ROUND(SUM(Inventory[[#This Row],[Mdl Qlty]:[Mdl WdDeck]])+Inventory[[#This Row],[Mdl Res Intercept]],-2)</f>
        <v>461900</v>
      </c>
      <c r="BD1383" s="25">
        <f>ROUND(Inventory[[#This Row],[Mdl Land Intercept]]+Inventory[[#This Row],[Mdl LnAcres]],-2)</f>
        <v>55700</v>
      </c>
      <c r="BE1383" s="25">
        <f>Inventory[[#This Row],[Unadj Res Value]]+Inventory[[#This Row],[Unadj Det Value]]+Inventory[[#This Row],[Unadj Land Value]]</f>
        <v>529300</v>
      </c>
      <c r="BF1383" s="36">
        <f>(Inventory[[#This Row],[Unadj Total Value]]-Inventory[[#This Row],[24Final]])/Inventory[[#This Row],[24Final]]</f>
        <v>1.7102229054573405E-2</v>
      </c>
      <c r="BG1383" s="25">
        <f>VLOOKUP(Inventory[[#This Row],[Nbhd]],Lookups!$Q$2:$T$4,4,FALSE)</f>
        <v>0.99970000000000003</v>
      </c>
      <c r="BH1383" s="25">
        <f>VLOOKUP(Inventory[[#This Row],[Qlty]],Lookups!$O$7:$R$21,4,FALSE)</f>
        <v>0.98380000000000001</v>
      </c>
      <c r="BI1383" s="25">
        <f>VLOOKUP(Inventory[[#This Row],[Cnd]],Lookups!$T$7:$W$16,4,FALSE)</f>
        <v>0.99650000000000005</v>
      </c>
      <c r="BJ1383" s="25">
        <f>VLOOKUP(Inventory[[#This Row],[LivArea Range]],Lookups!$T$25:$W$37,4,FALSE)</f>
        <v>1.0126999999999999</v>
      </c>
      <c r="BK1383" s="25">
        <f>VLOOKUP(Inventory[[#This Row],[Decade]],Lookups!$O$25:$R$42,4,FALSE)</f>
        <v>0.98909999999999998</v>
      </c>
      <c r="BL1383" s="25">
        <f>Inventory[[#This Row],[Nbhd Adj]]*0.95</f>
        <v>0.94971499999999998</v>
      </c>
      <c r="BM1383" s="25">
        <f>Inventory[[#This Row],[Nbhd Adj]]*Inventory[[#This Row],[Quality Adj]]*Inventory[[#This Row],[Condition Adj]]*Inventory[[#This Row],[Living Area Adj]]*Inventory[[#This Row],[Decade Adj]]*0.95</f>
        <v>0.9326064838130026</v>
      </c>
      <c r="BN1383" s="25">
        <f>ROUND(SUM(Inventory[[#This Row],[Mdl Qlty]:[Mdl WdDeck]])+Inventory[[#This Row],[Mdl Res Intercept]]*Inventory[[#This Row],[Res Adj ]],-2)</f>
        <v>461900</v>
      </c>
      <c r="BO1383" s="25">
        <f>ROUND(Inventory[[#This Row],[25Det]]*Inventory[[#This Row],[Det/Nbhd Adj]],-2)</f>
        <v>11100</v>
      </c>
      <c r="BP1383" s="25">
        <f>Inventory[[#This Row],[Adjusted Res]]+Inventory[[#This Row],[Adj Det ]]</f>
        <v>473000</v>
      </c>
      <c r="BQ1383" s="25">
        <f>ROUND((Inventory[[#This Row],[Mdl Land Intercept]]+Inventory[[#This Row],[Mdl LnAcres]])*Inventory[[#This Row],[Det/Nbhd Adj]],-2)</f>
        <v>52900</v>
      </c>
      <c r="BR1383" s="25">
        <f>Inventory[[#This Row],[Adjusted Impr Total]]+Inventory[[#This Row],[Adjusted Land Total]]</f>
        <v>525900</v>
      </c>
      <c r="BS1383" s="36">
        <f>IFERROR((Inventory[[#This Row],[Adjusted Impr Total]]-Inventory[[#This Row],[24Bldg]])/Inventory[[#This Row],[24Bldg]],0)</f>
        <v>6.6516347237880497E-2</v>
      </c>
      <c r="BT1383" s="36">
        <f>(Inventory[[#This Row],[Adjusted Land Total]]-Inventory[[#This Row],[24Lnd]])/Inventory[[#This Row],[24Lnd]]</f>
        <v>-0.31209362808842656</v>
      </c>
      <c r="BU1383" s="36">
        <f>(Inventory[[#This Row],[Adjusted Total]]-Inventory[[#This Row],[24Final]])/Inventory[[#This Row],[24Final]]</f>
        <v>1.0568793235972328E-2</v>
      </c>
    </row>
    <row r="1384" spans="1:73" x14ac:dyDescent="0.3">
      <c r="A1384" s="25">
        <v>2025</v>
      </c>
      <c r="B1384" s="26" t="s">
        <v>2906</v>
      </c>
      <c r="C1384" s="26">
        <f>LN(Inventory[[#This Row],[Acres]])</f>
        <v>-1.3470736479666092</v>
      </c>
      <c r="D1384" s="25">
        <v>0.26</v>
      </c>
      <c r="E1384" s="25">
        <v>11501</v>
      </c>
      <c r="F1384" s="26" t="s">
        <v>537</v>
      </c>
      <c r="G1384" s="26" t="s">
        <v>126</v>
      </c>
      <c r="H1384" s="26" t="s">
        <v>349</v>
      </c>
      <c r="I1384" s="26" t="s">
        <v>538</v>
      </c>
      <c r="J1384" s="26" t="s">
        <v>539</v>
      </c>
      <c r="K1384" s="26" t="s">
        <v>242</v>
      </c>
      <c r="L1384" s="26" t="s">
        <v>95</v>
      </c>
      <c r="M1384" s="26" t="s">
        <v>303</v>
      </c>
      <c r="N1384" s="26">
        <v>90</v>
      </c>
      <c r="O1384" s="26">
        <f>2024-Inventory[[#This Row],[YrBlt]]</f>
        <v>84</v>
      </c>
      <c r="P1384" s="26">
        <f>2024-Inventory[[#This Row],[EffYr]]</f>
        <v>52</v>
      </c>
      <c r="Q1384" s="25">
        <v>1940</v>
      </c>
      <c r="R1384" s="25">
        <v>1972</v>
      </c>
      <c r="S1384" s="25">
        <v>1840</v>
      </c>
      <c r="T1384" s="27"/>
      <c r="U1384" s="32">
        <v>1015</v>
      </c>
      <c r="V1384" s="32">
        <f>Inventory[[#This Row],[Bsmt]]-Inventory[[#This Row],[FnBsmt]]</f>
        <v>0</v>
      </c>
      <c r="W1384" s="32">
        <v>1015</v>
      </c>
      <c r="X1384" s="27"/>
      <c r="Y1384" s="27">
        <f>Inventory[[#This Row],[MainFn]]+Inventory[[#This Row],[UpprFn]]+Inventory[[#This Row],[FnBsmt]]+Inventory[[#This Row],[AddFn]]</f>
        <v>2855</v>
      </c>
      <c r="Z1384" s="27">
        <v>3000</v>
      </c>
      <c r="AA1384" s="25">
        <v>9</v>
      </c>
      <c r="AB1384" s="32">
        <v>600</v>
      </c>
      <c r="AC1384" s="27"/>
      <c r="AD1384" s="32">
        <v>469</v>
      </c>
      <c r="AE1384" s="27"/>
      <c r="AF1384" s="27"/>
      <c r="AG1384" s="27"/>
      <c r="AH1384" s="27"/>
      <c r="AI1384" s="25">
        <v>636829</v>
      </c>
      <c r="AJ1384" s="25">
        <v>452149</v>
      </c>
      <c r="AK1384" s="25">
        <v>0</v>
      </c>
      <c r="AL1384" s="25">
        <v>470600</v>
      </c>
      <c r="AM1384" s="25">
        <v>67600</v>
      </c>
      <c r="AN1384" s="25">
        <v>403000</v>
      </c>
      <c r="AO1384" s="25">
        <v>0</v>
      </c>
      <c r="AP1384" s="25">
        <f>Lookups!$B$56*0</f>
        <v>0</v>
      </c>
      <c r="AQ1384" s="25">
        <f>Lookups!$B$56*1</f>
        <v>89850.625589999996</v>
      </c>
      <c r="AR1384" s="25">
        <f>Lookups!$B$57*Inventory[[#This Row],[LnAcres]]</f>
        <v>-42641.098701210125</v>
      </c>
      <c r="AS1384" s="25">
        <f>VLOOKUP(Inventory[[#This Row],[Qlty]],Lookups!$A$62:$E$75,2,FALSE)</f>
        <v>74268.409664999999</v>
      </c>
      <c r="AT1384" s="25">
        <f>VLOOKUP(Inventory[[#This Row],[Cnd]],Lookups!$A$76:$E$84,2,FALSE)</f>
        <v>197752.34721000001</v>
      </c>
      <c r="AU1384" s="25">
        <f>Inventory[[#This Row],[EffAge]]*Lookups!$B$85</f>
        <v>-11598.371226000001</v>
      </c>
      <c r="AV1384" s="25">
        <f>Inventory[[#This Row],[MainFn]]*Lookups!$B$86</f>
        <v>90911.952573679999</v>
      </c>
      <c r="AW1384" s="25">
        <f>Inventory[[#This Row],[UpprFn]]*Lookups!$B$87</f>
        <v>0</v>
      </c>
      <c r="AX1384" s="25">
        <f>Inventory[[#This Row],[AddFn]]*Lookups!$B$88</f>
        <v>0</v>
      </c>
      <c r="AY1384" s="25">
        <f>Inventory[[#This Row],[Bsmt]]*Lookups!$B$89</f>
        <v>29518.123675704999</v>
      </c>
      <c r="AZ1384" s="25">
        <f>Inventory[[#This Row],[Fixtures]]*Lookups!$B$90</f>
        <v>34128.198946800003</v>
      </c>
      <c r="BA1384" s="25">
        <f>Inventory[[#This Row],[WdDeck]]*Lookups!$B$91</f>
        <v>15615.596664444001</v>
      </c>
      <c r="BB1384" s="25">
        <f>ROUND(Inventory[[#This Row],[25Det]],-2)</f>
        <v>0</v>
      </c>
      <c r="BC1384" s="25">
        <f>ROUND(SUM(Inventory[[#This Row],[Mdl Qlty]:[Mdl WdDeck]])+Inventory[[#This Row],[Mdl Res Intercept]],-2)</f>
        <v>430600</v>
      </c>
      <c r="BD1384" s="25">
        <f>ROUND(Inventory[[#This Row],[Mdl Land Intercept]]+Inventory[[#This Row],[Mdl LnAcres]],-2)</f>
        <v>47200</v>
      </c>
      <c r="BE1384" s="25">
        <f>Inventory[[#This Row],[Unadj Res Value]]+Inventory[[#This Row],[Unadj Det Value]]+Inventory[[#This Row],[Unadj Land Value]]</f>
        <v>477800</v>
      </c>
      <c r="BF1384" s="36">
        <f>(Inventory[[#This Row],[Unadj Total Value]]-Inventory[[#This Row],[24Final]])/Inventory[[#This Row],[24Final]]</f>
        <v>1.529961750956226E-2</v>
      </c>
      <c r="BG1384" s="25">
        <f>VLOOKUP(Inventory[[#This Row],[Nbhd]],Lookups!$Q$2:$T$4,4,FALSE)</f>
        <v>0.99970000000000003</v>
      </c>
      <c r="BH1384" s="25">
        <f>VLOOKUP(Inventory[[#This Row],[Qlty]],Lookups!$O$7:$R$21,4,FALSE)</f>
        <v>0.98380000000000001</v>
      </c>
      <c r="BI1384" s="25">
        <f>VLOOKUP(Inventory[[#This Row],[Cnd]],Lookups!$T$7:$W$16,4,FALSE)</f>
        <v>0.99650000000000005</v>
      </c>
      <c r="BJ1384" s="25">
        <f>VLOOKUP(Inventory[[#This Row],[LivArea Range]],Lookups!$T$25:$W$37,4,FALSE)</f>
        <v>0.96179999999999999</v>
      </c>
      <c r="BK1384" s="25">
        <f>VLOOKUP(Inventory[[#This Row],[Decade]],Lookups!$O$25:$R$42,4,FALSE)</f>
        <v>0.98909999999999998</v>
      </c>
      <c r="BL1384" s="25">
        <f>Inventory[[#This Row],[Nbhd Adj]]*0.95</f>
        <v>0.94971499999999998</v>
      </c>
      <c r="BM1384" s="25">
        <f>Inventory[[#This Row],[Nbhd Adj]]*Inventory[[#This Row],[Quality Adj]]*Inventory[[#This Row],[Condition Adj]]*Inventory[[#This Row],[Living Area Adj]]*Inventory[[#This Row],[Decade Adj]]*0.95</f>
        <v>0.88573211822982711</v>
      </c>
      <c r="BN1384" s="25">
        <f>ROUND(SUM(Inventory[[#This Row],[Mdl Qlty]:[Mdl WdDeck]])+Inventory[[#This Row],[Mdl Res Intercept]]*Inventory[[#This Row],[Res Adj ]],-2)</f>
        <v>430600</v>
      </c>
      <c r="BO1384" s="25">
        <f>ROUND(Inventory[[#This Row],[25Det]]*Inventory[[#This Row],[Det/Nbhd Adj]],-2)</f>
        <v>0</v>
      </c>
      <c r="BP1384" s="25">
        <f>Inventory[[#This Row],[Adjusted Res]]+Inventory[[#This Row],[Adj Det ]]</f>
        <v>430600</v>
      </c>
      <c r="BQ1384" s="25">
        <f>ROUND((Inventory[[#This Row],[Mdl Land Intercept]]+Inventory[[#This Row],[Mdl LnAcres]])*Inventory[[#This Row],[Det/Nbhd Adj]],-2)</f>
        <v>44800</v>
      </c>
      <c r="BR1384" s="25">
        <f>Inventory[[#This Row],[Adjusted Impr Total]]+Inventory[[#This Row],[Adjusted Land Total]]</f>
        <v>475400</v>
      </c>
      <c r="BS1384" s="36">
        <f>IFERROR((Inventory[[#This Row],[Adjusted Impr Total]]-Inventory[[#This Row],[24Bldg]])/Inventory[[#This Row],[24Bldg]],0)</f>
        <v>6.8486352357320104E-2</v>
      </c>
      <c r="BT1384" s="36">
        <f>(Inventory[[#This Row],[Adjusted Land Total]]-Inventory[[#This Row],[24Lnd]])/Inventory[[#This Row],[24Lnd]]</f>
        <v>-0.33727810650887574</v>
      </c>
      <c r="BU1384" s="36">
        <f>(Inventory[[#This Row],[Adjusted Total]]-Inventory[[#This Row],[24Final]])/Inventory[[#This Row],[24Final]]</f>
        <v>1.0199745006374841E-2</v>
      </c>
    </row>
    <row r="1385" spans="1:73" x14ac:dyDescent="0.3">
      <c r="A1385" s="25">
        <v>2025</v>
      </c>
      <c r="B1385" s="26" t="s">
        <v>2908</v>
      </c>
      <c r="C1385" s="26">
        <f>LN(Inventory[[#This Row],[Acres]])</f>
        <v>-1.0216512475319814</v>
      </c>
      <c r="D1385" s="25">
        <v>0.36</v>
      </c>
      <c r="E1385" s="25">
        <v>15750</v>
      </c>
      <c r="F1385" s="26" t="s">
        <v>537</v>
      </c>
      <c r="G1385" s="26" t="s">
        <v>126</v>
      </c>
      <c r="H1385" s="26" t="s">
        <v>349</v>
      </c>
      <c r="I1385" s="26" t="s">
        <v>538</v>
      </c>
      <c r="J1385" s="26" t="s">
        <v>539</v>
      </c>
      <c r="K1385" s="26" t="s">
        <v>173</v>
      </c>
      <c r="L1385" s="26" t="s">
        <v>95</v>
      </c>
      <c r="M1385" s="26" t="s">
        <v>303</v>
      </c>
      <c r="N1385" s="26">
        <v>90</v>
      </c>
      <c r="O1385" s="26">
        <f>2024-Inventory[[#This Row],[YrBlt]]</f>
        <v>84</v>
      </c>
      <c r="P1385" s="26">
        <f>2024-Inventory[[#This Row],[EffYr]]</f>
        <v>52</v>
      </c>
      <c r="Q1385" s="25">
        <v>1940</v>
      </c>
      <c r="R1385" s="25">
        <v>1972</v>
      </c>
      <c r="S1385" s="25">
        <v>1432</v>
      </c>
      <c r="T1385" s="32">
        <v>1066</v>
      </c>
      <c r="U1385" s="32">
        <v>1432</v>
      </c>
      <c r="V1385" s="32">
        <f>Inventory[[#This Row],[Bsmt]]-Inventory[[#This Row],[FnBsmt]]</f>
        <v>269</v>
      </c>
      <c r="W1385" s="32">
        <v>1163</v>
      </c>
      <c r="X1385" s="27"/>
      <c r="Y1385" s="27">
        <f>Inventory[[#This Row],[MainFn]]+Inventory[[#This Row],[UpprFn]]+Inventory[[#This Row],[FnBsmt]]+Inventory[[#This Row],[AddFn]]</f>
        <v>3661</v>
      </c>
      <c r="Z1385" s="27">
        <v>4000</v>
      </c>
      <c r="AA1385" s="25">
        <v>13</v>
      </c>
      <c r="AB1385" s="27"/>
      <c r="AC1385" s="27"/>
      <c r="AD1385" s="32">
        <v>216</v>
      </c>
      <c r="AE1385" s="27"/>
      <c r="AF1385" s="27"/>
      <c r="AG1385" s="27"/>
      <c r="AH1385" s="27"/>
      <c r="AI1385" s="25">
        <v>716914</v>
      </c>
      <c r="AJ1385" s="25">
        <v>509009</v>
      </c>
      <c r="AK1385" s="25">
        <v>18632</v>
      </c>
      <c r="AL1385" s="25">
        <v>544600</v>
      </c>
      <c r="AM1385" s="25">
        <v>78900</v>
      </c>
      <c r="AN1385" s="25">
        <v>465700</v>
      </c>
      <c r="AO1385" s="25">
        <v>0</v>
      </c>
      <c r="AP1385" s="25">
        <f>Lookups!$B$56*0</f>
        <v>0</v>
      </c>
      <c r="AQ1385" s="25">
        <f>Lookups!$B$56*1</f>
        <v>89850.625589999996</v>
      </c>
      <c r="AR1385" s="25">
        <f>Lookups!$B$57*Inventory[[#This Row],[LnAcres]]</f>
        <v>-32339.977661938148</v>
      </c>
      <c r="AS1385" s="25">
        <f>VLOOKUP(Inventory[[#This Row],[Qlty]],Lookups!$A$62:$E$75,2,FALSE)</f>
        <v>74268.409664999999</v>
      </c>
      <c r="AT1385" s="25">
        <f>VLOOKUP(Inventory[[#This Row],[Cnd]],Lookups!$A$76:$E$84,2,FALSE)</f>
        <v>197752.34721000001</v>
      </c>
      <c r="AU1385" s="25">
        <f>Inventory[[#This Row],[EffAge]]*Lookups!$B$85</f>
        <v>-11598.371226000001</v>
      </c>
      <c r="AV1385" s="25">
        <f>Inventory[[#This Row],[MainFn]]*Lookups!$B$86</f>
        <v>70753.215263863996</v>
      </c>
      <c r="AW1385" s="25">
        <f>Inventory[[#This Row],[UpprFn]]*Lookups!$B$87</f>
        <v>47742.326769825995</v>
      </c>
      <c r="AX1385" s="25">
        <f>Inventory[[#This Row],[AddFn]]*Lookups!$B$88</f>
        <v>0</v>
      </c>
      <c r="AY1385" s="25">
        <f>Inventory[[#This Row],[Bsmt]]*Lookups!$B$89</f>
        <v>41645.273993703995</v>
      </c>
      <c r="AZ1385" s="25">
        <f>Inventory[[#This Row],[Fixtures]]*Lookups!$B$90</f>
        <v>49296.287367600002</v>
      </c>
      <c r="BA1385" s="25">
        <f>Inventory[[#This Row],[WdDeck]]*Lookups!$B$91</f>
        <v>7191.8312996160003</v>
      </c>
      <c r="BB1385" s="25">
        <f>ROUND(Inventory[[#This Row],[25Det]],-2)</f>
        <v>18600</v>
      </c>
      <c r="BC1385" s="25">
        <f>ROUND(SUM(Inventory[[#This Row],[Mdl Qlty]:[Mdl WdDeck]])+Inventory[[#This Row],[Mdl Res Intercept]],-2)</f>
        <v>477100</v>
      </c>
      <c r="BD1385" s="25">
        <f>ROUND(Inventory[[#This Row],[Mdl Land Intercept]]+Inventory[[#This Row],[Mdl LnAcres]],-2)</f>
        <v>57500</v>
      </c>
      <c r="BE1385" s="25">
        <f>Inventory[[#This Row],[Unadj Res Value]]+Inventory[[#This Row],[Unadj Det Value]]+Inventory[[#This Row],[Unadj Land Value]]</f>
        <v>553200</v>
      </c>
      <c r="BF1385" s="36">
        <f>(Inventory[[#This Row],[Unadj Total Value]]-Inventory[[#This Row],[24Final]])/Inventory[[#This Row],[24Final]]</f>
        <v>1.5791406536907821E-2</v>
      </c>
      <c r="BG1385" s="25">
        <f>VLOOKUP(Inventory[[#This Row],[Nbhd]],Lookups!$Q$2:$T$4,4,FALSE)</f>
        <v>0.99970000000000003</v>
      </c>
      <c r="BH1385" s="25">
        <f>VLOOKUP(Inventory[[#This Row],[Qlty]],Lookups!$O$7:$R$21,4,FALSE)</f>
        <v>0.98380000000000001</v>
      </c>
      <c r="BI1385" s="25">
        <f>VLOOKUP(Inventory[[#This Row],[Cnd]],Lookups!$T$7:$W$16,4,FALSE)</f>
        <v>0.99650000000000005</v>
      </c>
      <c r="BJ1385" s="25">
        <f>VLOOKUP(Inventory[[#This Row],[LivArea Range]],Lookups!$T$25:$W$37,4,FALSE)</f>
        <v>0.94579999999999997</v>
      </c>
      <c r="BK1385" s="25">
        <f>VLOOKUP(Inventory[[#This Row],[Decade]],Lookups!$O$25:$R$42,4,FALSE)</f>
        <v>0.98909999999999998</v>
      </c>
      <c r="BL1385" s="25">
        <f>Inventory[[#This Row],[Nbhd Adj]]*0.95</f>
        <v>0.94971499999999998</v>
      </c>
      <c r="BM1385" s="25">
        <f>Inventory[[#This Row],[Nbhd Adj]]*Inventory[[#This Row],[Quality Adj]]*Inventory[[#This Row],[Condition Adj]]*Inventory[[#This Row],[Living Area Adj]]*Inventory[[#This Row],[Decade Adj]]*0.95</f>
        <v>0.87099754358678572</v>
      </c>
      <c r="BN1385" s="25">
        <f>ROUND(SUM(Inventory[[#This Row],[Mdl Qlty]:[Mdl WdDeck]])+Inventory[[#This Row],[Mdl Res Intercept]]*Inventory[[#This Row],[Res Adj ]],-2)</f>
        <v>477100</v>
      </c>
      <c r="BO1385" s="25">
        <f>ROUND(Inventory[[#This Row],[25Det]]*Inventory[[#This Row],[Det/Nbhd Adj]],-2)</f>
        <v>17700</v>
      </c>
      <c r="BP1385" s="25">
        <f>Inventory[[#This Row],[Adjusted Res]]+Inventory[[#This Row],[Adj Det ]]</f>
        <v>494800</v>
      </c>
      <c r="BQ1385" s="25">
        <f>ROUND((Inventory[[#This Row],[Mdl Land Intercept]]+Inventory[[#This Row],[Mdl LnAcres]])*Inventory[[#This Row],[Det/Nbhd Adj]],-2)</f>
        <v>54600</v>
      </c>
      <c r="BR1385" s="25">
        <f>Inventory[[#This Row],[Adjusted Impr Total]]+Inventory[[#This Row],[Adjusted Land Total]]</f>
        <v>549400</v>
      </c>
      <c r="BS1385" s="36">
        <f>IFERROR((Inventory[[#This Row],[Adjusted Impr Total]]-Inventory[[#This Row],[24Bldg]])/Inventory[[#This Row],[24Bldg]],0)</f>
        <v>6.2486579342924627E-2</v>
      </c>
      <c r="BT1385" s="36">
        <f>(Inventory[[#This Row],[Adjusted Land Total]]-Inventory[[#This Row],[24Lnd]])/Inventory[[#This Row],[24Lnd]]</f>
        <v>-0.30798479087452474</v>
      </c>
      <c r="BU1385" s="36">
        <f>(Inventory[[#This Row],[Adjusted Total]]-Inventory[[#This Row],[24Final]])/Inventory[[#This Row],[24Final]]</f>
        <v>8.813808299669483E-3</v>
      </c>
    </row>
    <row r="1386" spans="1:73" x14ac:dyDescent="0.3">
      <c r="A1386" s="25">
        <v>2025</v>
      </c>
      <c r="B1386" s="26" t="s">
        <v>2130</v>
      </c>
      <c r="C1386" s="26">
        <f>LN(Inventory[[#This Row],[Acres]])</f>
        <v>-1.0216512475319814</v>
      </c>
      <c r="D1386" s="25">
        <v>0.36</v>
      </c>
      <c r="E1386" s="32">
        <v>15498</v>
      </c>
      <c r="F1386" s="26" t="s">
        <v>537</v>
      </c>
      <c r="G1386" s="26" t="s">
        <v>126</v>
      </c>
      <c r="H1386" s="26" t="s">
        <v>349</v>
      </c>
      <c r="I1386" s="26" t="s">
        <v>538</v>
      </c>
      <c r="J1386" s="26" t="s">
        <v>539</v>
      </c>
      <c r="K1386" s="26" t="s">
        <v>242</v>
      </c>
      <c r="L1386" s="26" t="s">
        <v>351</v>
      </c>
      <c r="M1386" s="26" t="s">
        <v>206</v>
      </c>
      <c r="N1386" s="26">
        <v>90</v>
      </c>
      <c r="O1386" s="26">
        <f>2024-Inventory[[#This Row],[YrBlt]]</f>
        <v>84</v>
      </c>
      <c r="P1386" s="26">
        <f>2024-Inventory[[#This Row],[EffYr]]</f>
        <v>52</v>
      </c>
      <c r="Q1386" s="25">
        <v>1940</v>
      </c>
      <c r="R1386" s="25">
        <v>1972</v>
      </c>
      <c r="S1386" s="25">
        <v>1377</v>
      </c>
      <c r="T1386" s="27"/>
      <c r="U1386" s="25">
        <v>779</v>
      </c>
      <c r="V1386" s="25">
        <f>Inventory[[#This Row],[Bsmt]]-Inventory[[#This Row],[FnBsmt]]</f>
        <v>0</v>
      </c>
      <c r="W1386" s="25">
        <v>779</v>
      </c>
      <c r="X1386" s="27"/>
      <c r="Y1386" s="27">
        <f>Inventory[[#This Row],[MainFn]]+Inventory[[#This Row],[UpprFn]]+Inventory[[#This Row],[FnBsmt]]+Inventory[[#This Row],[AddFn]]</f>
        <v>2156</v>
      </c>
      <c r="Z1386" s="27">
        <v>2500</v>
      </c>
      <c r="AA1386" s="25">
        <v>5</v>
      </c>
      <c r="AB1386" s="27"/>
      <c r="AC1386" s="32">
        <v>338</v>
      </c>
      <c r="AD1386" s="31"/>
      <c r="AE1386" s="27"/>
      <c r="AF1386" s="27"/>
      <c r="AG1386" s="27"/>
      <c r="AH1386" s="27"/>
      <c r="AI1386" s="25">
        <v>305330</v>
      </c>
      <c r="AJ1386" s="25">
        <v>201518</v>
      </c>
      <c r="AK1386" s="25">
        <v>3449</v>
      </c>
      <c r="AL1386" s="25">
        <v>309100</v>
      </c>
      <c r="AM1386" s="25">
        <v>78900</v>
      </c>
      <c r="AN1386" s="25">
        <v>230200</v>
      </c>
      <c r="AO1386" s="25">
        <v>0</v>
      </c>
      <c r="AP1386" s="25">
        <f>Lookups!$B$56*0</f>
        <v>0</v>
      </c>
      <c r="AQ1386" s="25">
        <f>Lookups!$B$56*1</f>
        <v>89850.625589999996</v>
      </c>
      <c r="AR1386" s="25">
        <f>Lookups!$B$57*Inventory[[#This Row],[LnAcres]]</f>
        <v>-32339.977661938148</v>
      </c>
      <c r="AS1386" s="25">
        <f>VLOOKUP(Inventory[[#This Row],[Qlty]],Lookups!$A$62:$E$75,2,FALSE)</f>
        <v>21557.329055999999</v>
      </c>
      <c r="AT1386" s="25">
        <f>VLOOKUP(Inventory[[#This Row],[Cnd]],Lookups!$A$76:$E$84,2,FALSE)</f>
        <v>133714.53821</v>
      </c>
      <c r="AU1386" s="25">
        <f>Inventory[[#This Row],[EffAge]]*Lookups!$B$85</f>
        <v>-11598.371226000001</v>
      </c>
      <c r="AV1386" s="25">
        <f>Inventory[[#This Row],[MainFn]]*Lookups!$B$86</f>
        <v>68035.738420629001</v>
      </c>
      <c r="AW1386" s="25">
        <f>Inventory[[#This Row],[UpprFn]]*Lookups!$B$87</f>
        <v>0</v>
      </c>
      <c r="AX1386" s="25">
        <f>Inventory[[#This Row],[AddFn]]*Lookups!$B$88</f>
        <v>0</v>
      </c>
      <c r="AY1386" s="25">
        <f>Inventory[[#This Row],[Bsmt]]*Lookups!$B$89</f>
        <v>22654.796397413</v>
      </c>
      <c r="AZ1386" s="25">
        <f>Inventory[[#This Row],[Fixtures]]*Lookups!$B$90</f>
        <v>18960.110526</v>
      </c>
      <c r="BA1386" s="25">
        <f>Inventory[[#This Row],[WdDeck]]*Lookups!$B$91</f>
        <v>0</v>
      </c>
      <c r="BB1386" s="25">
        <f>ROUND(Inventory[[#This Row],[25Det]],-2)</f>
        <v>3400</v>
      </c>
      <c r="BC1386" s="25">
        <f>ROUND(SUM(Inventory[[#This Row],[Mdl Qlty]:[Mdl WdDeck]])+Inventory[[#This Row],[Mdl Res Intercept]],-2)</f>
        <v>253300</v>
      </c>
      <c r="BD1386" s="25">
        <f>ROUND(Inventory[[#This Row],[Mdl Land Intercept]]+Inventory[[#This Row],[Mdl LnAcres]],-2)</f>
        <v>57500</v>
      </c>
      <c r="BE1386" s="25">
        <f>Inventory[[#This Row],[Unadj Res Value]]+Inventory[[#This Row],[Unadj Det Value]]+Inventory[[#This Row],[Unadj Land Value]]</f>
        <v>314200</v>
      </c>
      <c r="BF1386" s="36">
        <f>(Inventory[[#This Row],[Unadj Total Value]]-Inventory[[#This Row],[24Final]])/Inventory[[#This Row],[24Final]]</f>
        <v>1.6499514720155289E-2</v>
      </c>
      <c r="BG1386" s="25">
        <f>VLOOKUP(Inventory[[#This Row],[Nbhd]],Lookups!$Q$2:$T$4,4,FALSE)</f>
        <v>0.99970000000000003</v>
      </c>
      <c r="BH1386" s="25">
        <f>VLOOKUP(Inventory[[#This Row],[Qlty]],Lookups!$O$7:$R$21,4,FALSE)</f>
        <v>1.0067999999999999</v>
      </c>
      <c r="BI1386" s="25">
        <f>VLOOKUP(Inventory[[#This Row],[Cnd]],Lookups!$T$7:$W$16,4,FALSE)</f>
        <v>0.99329999999999996</v>
      </c>
      <c r="BJ1386" s="25">
        <f>VLOOKUP(Inventory[[#This Row],[LivArea Range]],Lookups!$T$25:$W$37,4,FALSE)</f>
        <v>0.98919999999999997</v>
      </c>
      <c r="BK1386" s="25">
        <f>VLOOKUP(Inventory[[#This Row],[Decade]],Lookups!$O$25:$R$42,4,FALSE)</f>
        <v>0.98909999999999998</v>
      </c>
      <c r="BL1386" s="25">
        <f>Inventory[[#This Row],[Nbhd Adj]]*0.95</f>
        <v>0.94971499999999998</v>
      </c>
      <c r="BM1386" s="25">
        <f>Inventory[[#This Row],[Nbhd Adj]]*Inventory[[#This Row],[Quality Adj]]*Inventory[[#This Row],[Condition Adj]]*Inventory[[#This Row],[Living Area Adj]]*Inventory[[#This Row],[Decade Adj]]*0.95</f>
        <v>0.92926857157690035</v>
      </c>
      <c r="BN1386" s="25">
        <f>ROUND(SUM(Inventory[[#This Row],[Mdl Qlty]:[Mdl WdDeck]])+Inventory[[#This Row],[Mdl Res Intercept]]*Inventory[[#This Row],[Res Adj ]],-2)</f>
        <v>253300</v>
      </c>
      <c r="BO1386" s="25">
        <f>ROUND(Inventory[[#This Row],[25Det]]*Inventory[[#This Row],[Det/Nbhd Adj]],-2)</f>
        <v>3300</v>
      </c>
      <c r="BP1386" s="25">
        <f>Inventory[[#This Row],[Adjusted Res]]+Inventory[[#This Row],[Adj Det ]]</f>
        <v>256600</v>
      </c>
      <c r="BQ1386" s="25">
        <f>ROUND((Inventory[[#This Row],[Mdl Land Intercept]]+Inventory[[#This Row],[Mdl LnAcres]])*Inventory[[#This Row],[Det/Nbhd Adj]],-2)</f>
        <v>54600</v>
      </c>
      <c r="BR1386" s="25">
        <f>Inventory[[#This Row],[Adjusted Impr Total]]+Inventory[[#This Row],[Adjusted Land Total]]</f>
        <v>311200</v>
      </c>
      <c r="BS1386" s="36">
        <f>IFERROR((Inventory[[#This Row],[Adjusted Impr Total]]-Inventory[[#This Row],[24Bldg]])/Inventory[[#This Row],[24Bldg]],0)</f>
        <v>0.11468288444830582</v>
      </c>
      <c r="BT1386" s="36">
        <f>(Inventory[[#This Row],[Adjusted Land Total]]-Inventory[[#This Row],[24Lnd]])/Inventory[[#This Row],[24Lnd]]</f>
        <v>-0.30798479087452474</v>
      </c>
      <c r="BU1386" s="36">
        <f>(Inventory[[#This Row],[Adjusted Total]]-Inventory[[#This Row],[24Final]])/Inventory[[#This Row],[24Final]]</f>
        <v>6.7939178259462957E-3</v>
      </c>
    </row>
    <row r="1387" spans="1:73" x14ac:dyDescent="0.3">
      <c r="A1387" s="25">
        <v>2025</v>
      </c>
      <c r="B1387" s="26" t="s">
        <v>1946</v>
      </c>
      <c r="C1387" s="26">
        <f>LN(Inventory[[#This Row],[Acres]])</f>
        <v>-1.9661128563728327</v>
      </c>
      <c r="D1387" s="25">
        <v>0.14000000000000001</v>
      </c>
      <c r="E1387" s="32">
        <v>6031</v>
      </c>
      <c r="F1387" s="26" t="s">
        <v>537</v>
      </c>
      <c r="G1387" s="26" t="s">
        <v>126</v>
      </c>
      <c r="H1387" s="26" t="s">
        <v>349</v>
      </c>
      <c r="I1387" s="26" t="s">
        <v>538</v>
      </c>
      <c r="J1387" s="26" t="s">
        <v>539</v>
      </c>
      <c r="K1387" s="26" t="s">
        <v>242</v>
      </c>
      <c r="L1387" s="26" t="s">
        <v>148</v>
      </c>
      <c r="M1387" s="26" t="s">
        <v>323</v>
      </c>
      <c r="N1387" s="26">
        <v>90</v>
      </c>
      <c r="O1387" s="26">
        <f>2024-Inventory[[#This Row],[YrBlt]]</f>
        <v>84</v>
      </c>
      <c r="P1387" s="26">
        <f>2024-Inventory[[#This Row],[EffYr]]</f>
        <v>52</v>
      </c>
      <c r="Q1387" s="25">
        <v>1940</v>
      </c>
      <c r="R1387" s="25">
        <v>1972</v>
      </c>
      <c r="S1387" s="25">
        <v>1009</v>
      </c>
      <c r="T1387" s="27"/>
      <c r="U1387" s="32">
        <v>1009</v>
      </c>
      <c r="V1387" s="32">
        <f>Inventory[[#This Row],[Bsmt]]-Inventory[[#This Row],[FnBsmt]]</f>
        <v>0</v>
      </c>
      <c r="W1387" s="32">
        <v>1009</v>
      </c>
      <c r="X1387" s="27"/>
      <c r="Y1387" s="27">
        <f>Inventory[[#This Row],[MainFn]]+Inventory[[#This Row],[UpprFn]]+Inventory[[#This Row],[FnBsmt]]+Inventory[[#This Row],[AddFn]]</f>
        <v>2018</v>
      </c>
      <c r="Z1387" s="27">
        <v>2500</v>
      </c>
      <c r="AA1387" s="25">
        <v>7</v>
      </c>
      <c r="AB1387" s="27"/>
      <c r="AC1387" s="27"/>
      <c r="AD1387" s="27"/>
      <c r="AE1387" s="27"/>
      <c r="AF1387" s="27"/>
      <c r="AG1387" s="27"/>
      <c r="AH1387" s="27"/>
      <c r="AI1387" s="25">
        <v>363936</v>
      </c>
      <c r="AJ1387" s="25">
        <v>247476</v>
      </c>
      <c r="AK1387" s="25">
        <v>14106</v>
      </c>
      <c r="AL1387" s="25">
        <v>337300</v>
      </c>
      <c r="AM1387" s="25">
        <v>46000</v>
      </c>
      <c r="AN1387" s="25">
        <v>291300</v>
      </c>
      <c r="AO1387" s="25">
        <v>0</v>
      </c>
      <c r="AP1387" s="25">
        <f>Lookups!$B$56*0</f>
        <v>0</v>
      </c>
      <c r="AQ1387" s="25">
        <f>Lookups!$B$56*1</f>
        <v>89850.625589999996</v>
      </c>
      <c r="AR1387" s="25">
        <f>Lookups!$B$57*Inventory[[#This Row],[LnAcres]]</f>
        <v>-62236.546971921947</v>
      </c>
      <c r="AS1387" s="25">
        <f>VLOOKUP(Inventory[[#This Row],[Qlty]],Lookups!$A$62:$E$75,2,FALSE)</f>
        <v>44121.038090000002</v>
      </c>
      <c r="AT1387" s="25">
        <f>VLOOKUP(Inventory[[#This Row],[Cnd]],Lookups!$A$76:$E$84,2,FALSE)</f>
        <v>160472.20319</v>
      </c>
      <c r="AU1387" s="25">
        <f>Inventory[[#This Row],[EffAge]]*Lookups!$B$85</f>
        <v>-11598.371226000001</v>
      </c>
      <c r="AV1387" s="25">
        <f>Inventory[[#This Row],[MainFn]]*Lookups!$B$86</f>
        <v>49853.347905893002</v>
      </c>
      <c r="AW1387" s="25">
        <f>Inventory[[#This Row],[UpprFn]]*Lookups!$B$87</f>
        <v>0</v>
      </c>
      <c r="AX1387" s="25">
        <f>Inventory[[#This Row],[AddFn]]*Lookups!$B$88</f>
        <v>0</v>
      </c>
      <c r="AY1387" s="25">
        <f>Inventory[[#This Row],[Bsmt]]*Lookups!$B$89</f>
        <v>29343.632304223</v>
      </c>
      <c r="AZ1387" s="25">
        <f>Inventory[[#This Row],[Fixtures]]*Lookups!$B$90</f>
        <v>26544.1547364</v>
      </c>
      <c r="BA1387" s="25">
        <f>Inventory[[#This Row],[WdDeck]]*Lookups!$B$91</f>
        <v>0</v>
      </c>
      <c r="BB1387" s="25">
        <f>ROUND(Inventory[[#This Row],[25Det]],-2)</f>
        <v>14100</v>
      </c>
      <c r="BC1387" s="25">
        <f>ROUND(SUM(Inventory[[#This Row],[Mdl Qlty]:[Mdl WdDeck]])+Inventory[[#This Row],[Mdl Res Intercept]],-2)</f>
        <v>298700</v>
      </c>
      <c r="BD1387" s="25">
        <f>ROUND(Inventory[[#This Row],[Mdl Land Intercept]]+Inventory[[#This Row],[Mdl LnAcres]],-2)</f>
        <v>27600</v>
      </c>
      <c r="BE1387" s="25">
        <f>Inventory[[#This Row],[Unadj Res Value]]+Inventory[[#This Row],[Unadj Det Value]]+Inventory[[#This Row],[Unadj Land Value]]</f>
        <v>340400</v>
      </c>
      <c r="BF1387" s="36">
        <f>(Inventory[[#This Row],[Unadj Total Value]]-Inventory[[#This Row],[24Final]])/Inventory[[#This Row],[24Final]]</f>
        <v>9.1906314853246376E-3</v>
      </c>
      <c r="BG1387" s="25">
        <f>VLOOKUP(Inventory[[#This Row],[Nbhd]],Lookups!$Q$2:$T$4,4,FALSE)</f>
        <v>0.99970000000000003</v>
      </c>
      <c r="BH1387" s="25">
        <f>VLOOKUP(Inventory[[#This Row],[Qlty]],Lookups!$O$7:$R$21,4,FALSE)</f>
        <v>0.98050000000000004</v>
      </c>
      <c r="BI1387" s="25">
        <f>VLOOKUP(Inventory[[#This Row],[Cnd]],Lookups!$T$7:$W$16,4,FALSE)</f>
        <v>0.99729999999999996</v>
      </c>
      <c r="BJ1387" s="25">
        <f>VLOOKUP(Inventory[[#This Row],[LivArea Range]],Lookups!$T$25:$W$37,4,FALSE)</f>
        <v>0.98919999999999997</v>
      </c>
      <c r="BK1387" s="25">
        <f>VLOOKUP(Inventory[[#This Row],[Decade]],Lookups!$O$25:$R$42,4,FALSE)</f>
        <v>0.98909999999999998</v>
      </c>
      <c r="BL1387" s="25">
        <f>Inventory[[#This Row],[Nbhd Adj]]*0.95</f>
        <v>0.94971499999999998</v>
      </c>
      <c r="BM1387" s="25">
        <f>Inventory[[#This Row],[Nbhd Adj]]*Inventory[[#This Row],[Quality Adj]]*Inventory[[#This Row],[Condition Adj]]*Inventory[[#This Row],[Living Area Adj]]*Inventory[[#This Row],[Decade Adj]]*0.95</f>
        <v>0.9086382690108219</v>
      </c>
      <c r="BN1387" s="25">
        <f>ROUND(SUM(Inventory[[#This Row],[Mdl Qlty]:[Mdl WdDeck]])+Inventory[[#This Row],[Mdl Res Intercept]]*Inventory[[#This Row],[Res Adj ]],-2)</f>
        <v>298700</v>
      </c>
      <c r="BO1387" s="25">
        <f>ROUND(Inventory[[#This Row],[25Det]]*Inventory[[#This Row],[Det/Nbhd Adj]],-2)</f>
        <v>13400</v>
      </c>
      <c r="BP1387" s="25">
        <f>Inventory[[#This Row],[Adjusted Res]]+Inventory[[#This Row],[Adj Det ]]</f>
        <v>312100</v>
      </c>
      <c r="BQ1387" s="25">
        <f>ROUND((Inventory[[#This Row],[Mdl Land Intercept]]+Inventory[[#This Row],[Mdl LnAcres]])*Inventory[[#This Row],[Det/Nbhd Adj]],-2)</f>
        <v>26200</v>
      </c>
      <c r="BR1387" s="25">
        <f>Inventory[[#This Row],[Adjusted Impr Total]]+Inventory[[#This Row],[Adjusted Land Total]]</f>
        <v>338300</v>
      </c>
      <c r="BS1387" s="36">
        <f>IFERROR((Inventory[[#This Row],[Adjusted Impr Total]]-Inventory[[#This Row],[24Bldg]])/Inventory[[#This Row],[24Bldg]],0)</f>
        <v>7.1404050806728459E-2</v>
      </c>
      <c r="BT1387" s="36">
        <f>(Inventory[[#This Row],[Adjusted Land Total]]-Inventory[[#This Row],[24Lnd]])/Inventory[[#This Row],[24Lnd]]</f>
        <v>-0.43043478260869567</v>
      </c>
      <c r="BU1387" s="36">
        <f>(Inventory[[#This Row],[Adjusted Total]]-Inventory[[#This Row],[24Final]])/Inventory[[#This Row],[24Final]]</f>
        <v>2.9647198339756895E-3</v>
      </c>
    </row>
    <row r="1388" spans="1:73" x14ac:dyDescent="0.3">
      <c r="A1388" s="25">
        <v>2025</v>
      </c>
      <c r="B1388" s="26" t="s">
        <v>2599</v>
      </c>
      <c r="C1388" s="26">
        <f>LN(Inventory[[#This Row],[Acres]])</f>
        <v>-1.4271163556401458</v>
      </c>
      <c r="D1388" s="25">
        <v>0.24</v>
      </c>
      <c r="E1388" s="25">
        <v>10325</v>
      </c>
      <c r="F1388" s="26" t="s">
        <v>537</v>
      </c>
      <c r="G1388" s="26" t="s">
        <v>126</v>
      </c>
      <c r="H1388" s="26" t="s">
        <v>349</v>
      </c>
      <c r="I1388" s="26" t="s">
        <v>538</v>
      </c>
      <c r="J1388" s="26" t="s">
        <v>539</v>
      </c>
      <c r="K1388" s="26" t="s">
        <v>269</v>
      </c>
      <c r="L1388" s="26" t="s">
        <v>95</v>
      </c>
      <c r="M1388" s="26" t="s">
        <v>303</v>
      </c>
      <c r="N1388" s="26">
        <v>90</v>
      </c>
      <c r="O1388" s="26">
        <f>2024-Inventory[[#This Row],[YrBlt]]</f>
        <v>84</v>
      </c>
      <c r="P1388" s="26">
        <f>2024-Inventory[[#This Row],[EffYr]]</f>
        <v>52</v>
      </c>
      <c r="Q1388" s="25">
        <v>1940</v>
      </c>
      <c r="R1388" s="25">
        <v>1972</v>
      </c>
      <c r="S1388" s="25">
        <v>1511</v>
      </c>
      <c r="T1388" s="31"/>
      <c r="U1388" s="32">
        <v>1400</v>
      </c>
      <c r="V1388" s="32">
        <f>Inventory[[#This Row],[Bsmt]]-Inventory[[#This Row],[FnBsmt]]</f>
        <v>738</v>
      </c>
      <c r="W1388" s="32">
        <v>662</v>
      </c>
      <c r="X1388" s="27"/>
      <c r="Y1388" s="27">
        <f>Inventory[[#This Row],[MainFn]]+Inventory[[#This Row],[UpprFn]]+Inventory[[#This Row],[FnBsmt]]+Inventory[[#This Row],[AddFn]]</f>
        <v>2173</v>
      </c>
      <c r="Z1388" s="27">
        <v>2500</v>
      </c>
      <c r="AA1388" s="25">
        <v>7</v>
      </c>
      <c r="AB1388" s="27"/>
      <c r="AC1388" s="27"/>
      <c r="AD1388" s="27"/>
      <c r="AE1388" s="27"/>
      <c r="AF1388" s="27"/>
      <c r="AG1388" s="27"/>
      <c r="AH1388" s="27"/>
      <c r="AI1388" s="25">
        <v>488085</v>
      </c>
      <c r="AJ1388" s="25">
        <v>346540</v>
      </c>
      <c r="AK1388" s="25">
        <v>3347</v>
      </c>
      <c r="AL1388" s="25">
        <v>447300</v>
      </c>
      <c r="AM1388" s="25">
        <v>64800</v>
      </c>
      <c r="AN1388" s="25">
        <v>382500</v>
      </c>
      <c r="AO1388" s="25">
        <v>0</v>
      </c>
      <c r="AP1388" s="25">
        <f>Lookups!$B$56*0</f>
        <v>0</v>
      </c>
      <c r="AQ1388" s="25">
        <f>Lookups!$B$56*1</f>
        <v>89850.625589999996</v>
      </c>
      <c r="AR1388" s="25">
        <f>Lookups!$B$57*Inventory[[#This Row],[LnAcres]]</f>
        <v>-45174.819855485119</v>
      </c>
      <c r="AS1388" s="25">
        <f>VLOOKUP(Inventory[[#This Row],[Qlty]],Lookups!$A$62:$E$75,2,FALSE)</f>
        <v>74268.409664999999</v>
      </c>
      <c r="AT1388" s="25">
        <f>VLOOKUP(Inventory[[#This Row],[Cnd]],Lookups!$A$76:$E$84,2,FALSE)</f>
        <v>197752.34721000001</v>
      </c>
      <c r="AU1388" s="25">
        <f>Inventory[[#This Row],[EffAge]]*Lookups!$B$85</f>
        <v>-11598.371226000001</v>
      </c>
      <c r="AV1388" s="25">
        <f>Inventory[[#This Row],[MainFn]]*Lookups!$B$86</f>
        <v>74656.500184147008</v>
      </c>
      <c r="AW1388" s="25">
        <f>Inventory[[#This Row],[UpprFn]]*Lookups!$B$87</f>
        <v>0</v>
      </c>
      <c r="AX1388" s="25">
        <f>Inventory[[#This Row],[AddFn]]*Lookups!$B$88</f>
        <v>0</v>
      </c>
      <c r="AY1388" s="25">
        <f>Inventory[[#This Row],[Bsmt]]*Lookups!$B$89</f>
        <v>40714.653345799998</v>
      </c>
      <c r="AZ1388" s="25">
        <f>Inventory[[#This Row],[Fixtures]]*Lookups!$B$90</f>
        <v>26544.1547364</v>
      </c>
      <c r="BA1388" s="25">
        <f>Inventory[[#This Row],[WdDeck]]*Lookups!$B$91</f>
        <v>0</v>
      </c>
      <c r="BB1388" s="25">
        <f>ROUND(Inventory[[#This Row],[25Det]],-2)</f>
        <v>3300</v>
      </c>
      <c r="BC1388" s="25">
        <f>ROUND(SUM(Inventory[[#This Row],[Mdl Qlty]:[Mdl WdDeck]])+Inventory[[#This Row],[Mdl Res Intercept]],-2)</f>
        <v>402300</v>
      </c>
      <c r="BD1388" s="25">
        <f>ROUND(Inventory[[#This Row],[Mdl Land Intercept]]+Inventory[[#This Row],[Mdl LnAcres]],-2)</f>
        <v>44700</v>
      </c>
      <c r="BE1388" s="25">
        <f>Inventory[[#This Row],[Unadj Res Value]]+Inventory[[#This Row],[Unadj Det Value]]+Inventory[[#This Row],[Unadj Land Value]]</f>
        <v>450300</v>
      </c>
      <c r="BF1388" s="36">
        <f>(Inventory[[#This Row],[Unadj Total Value]]-Inventory[[#This Row],[24Final]])/Inventory[[#This Row],[24Final]]</f>
        <v>6.7069081153588199E-3</v>
      </c>
      <c r="BG1388" s="25">
        <f>VLOOKUP(Inventory[[#This Row],[Nbhd]],Lookups!$Q$2:$T$4,4,FALSE)</f>
        <v>0.99970000000000003</v>
      </c>
      <c r="BH1388" s="25">
        <f>VLOOKUP(Inventory[[#This Row],[Qlty]],Lookups!$O$7:$R$21,4,FALSE)</f>
        <v>0.98380000000000001</v>
      </c>
      <c r="BI1388" s="25">
        <f>VLOOKUP(Inventory[[#This Row],[Cnd]],Lookups!$T$7:$W$16,4,FALSE)</f>
        <v>0.99650000000000005</v>
      </c>
      <c r="BJ1388" s="25">
        <f>VLOOKUP(Inventory[[#This Row],[LivArea Range]],Lookups!$T$25:$W$37,4,FALSE)</f>
        <v>0.98919999999999997</v>
      </c>
      <c r="BK1388" s="25">
        <f>VLOOKUP(Inventory[[#This Row],[Decade]],Lookups!$O$25:$R$42,4,FALSE)</f>
        <v>0.98909999999999998</v>
      </c>
      <c r="BL1388" s="25">
        <f>Inventory[[#This Row],[Nbhd Adj]]*0.95</f>
        <v>0.94971499999999998</v>
      </c>
      <c r="BM1388" s="25">
        <f>Inventory[[#This Row],[Nbhd Adj]]*Inventory[[#This Row],[Quality Adj]]*Inventory[[#This Row],[Condition Adj]]*Inventory[[#This Row],[Living Area Adj]]*Inventory[[#This Row],[Decade Adj]]*0.95</f>
        <v>0.9109650773060356</v>
      </c>
      <c r="BN1388" s="25">
        <f>ROUND(SUM(Inventory[[#This Row],[Mdl Qlty]:[Mdl WdDeck]])+Inventory[[#This Row],[Mdl Res Intercept]]*Inventory[[#This Row],[Res Adj ]],-2)</f>
        <v>402300</v>
      </c>
      <c r="BO1388" s="25">
        <f>ROUND(Inventory[[#This Row],[25Det]]*Inventory[[#This Row],[Det/Nbhd Adj]],-2)</f>
        <v>3200</v>
      </c>
      <c r="BP1388" s="25">
        <f>Inventory[[#This Row],[Adjusted Res]]+Inventory[[#This Row],[Adj Det ]]</f>
        <v>405500</v>
      </c>
      <c r="BQ1388" s="25">
        <f>ROUND((Inventory[[#This Row],[Mdl Land Intercept]]+Inventory[[#This Row],[Mdl LnAcres]])*Inventory[[#This Row],[Det/Nbhd Adj]],-2)</f>
        <v>42400</v>
      </c>
      <c r="BR1388" s="25">
        <f>Inventory[[#This Row],[Adjusted Impr Total]]+Inventory[[#This Row],[Adjusted Land Total]]</f>
        <v>447900</v>
      </c>
      <c r="BS1388" s="36">
        <f>IFERROR((Inventory[[#This Row],[Adjusted Impr Total]]-Inventory[[#This Row],[24Bldg]])/Inventory[[#This Row],[24Bldg]],0)</f>
        <v>6.0130718954248367E-2</v>
      </c>
      <c r="BT1388" s="36">
        <f>(Inventory[[#This Row],[Adjusted Land Total]]-Inventory[[#This Row],[24Lnd]])/Inventory[[#This Row],[24Lnd]]</f>
        <v>-0.34567901234567899</v>
      </c>
      <c r="BU1388" s="36">
        <f>(Inventory[[#This Row],[Adjusted Total]]-Inventory[[#This Row],[24Final]])/Inventory[[#This Row],[24Final]]</f>
        <v>1.3413816230717639E-3</v>
      </c>
    </row>
    <row r="1389" spans="1:73" x14ac:dyDescent="0.3">
      <c r="A1389" s="25">
        <v>2025</v>
      </c>
      <c r="B1389" s="26" t="s">
        <v>1725</v>
      </c>
      <c r="C1389" s="26">
        <f>LN(Inventory[[#This Row],[Acres]])</f>
        <v>-1.5141277326297755</v>
      </c>
      <c r="D1389" s="25">
        <v>0.22</v>
      </c>
      <c r="E1389" s="25">
        <v>9549</v>
      </c>
      <c r="F1389" s="26" t="s">
        <v>537</v>
      </c>
      <c r="G1389" s="26" t="s">
        <v>126</v>
      </c>
      <c r="H1389" s="26" t="s">
        <v>349</v>
      </c>
      <c r="I1389" s="26" t="s">
        <v>538</v>
      </c>
      <c r="J1389" s="26" t="s">
        <v>539</v>
      </c>
      <c r="K1389" s="26" t="s">
        <v>269</v>
      </c>
      <c r="L1389" s="26" t="s">
        <v>148</v>
      </c>
      <c r="M1389" s="26" t="s">
        <v>323</v>
      </c>
      <c r="N1389" s="26">
        <v>90</v>
      </c>
      <c r="O1389" s="26">
        <f>2024-Inventory[[#This Row],[YrBlt]]</f>
        <v>84</v>
      </c>
      <c r="P1389" s="26">
        <f>2024-Inventory[[#This Row],[EffYr]]</f>
        <v>52</v>
      </c>
      <c r="Q1389" s="25">
        <v>1940</v>
      </c>
      <c r="R1389" s="25">
        <v>1972</v>
      </c>
      <c r="S1389" s="25">
        <v>1223</v>
      </c>
      <c r="T1389" s="27"/>
      <c r="U1389" s="25">
        <v>1223</v>
      </c>
      <c r="V1389" s="25">
        <f>Inventory[[#This Row],[Bsmt]]-Inventory[[#This Row],[FnBsmt]]</f>
        <v>0</v>
      </c>
      <c r="W1389" s="25">
        <v>1223</v>
      </c>
      <c r="X1389" s="27"/>
      <c r="Y1389" s="27">
        <f>Inventory[[#This Row],[MainFn]]+Inventory[[#This Row],[UpprFn]]+Inventory[[#This Row],[FnBsmt]]+Inventory[[#This Row],[AddFn]]</f>
        <v>2446</v>
      </c>
      <c r="Z1389" s="27">
        <v>2500</v>
      </c>
      <c r="AA1389" s="25">
        <v>8</v>
      </c>
      <c r="AB1389" s="32">
        <v>399</v>
      </c>
      <c r="AC1389" s="27"/>
      <c r="AD1389" s="27"/>
      <c r="AE1389" s="27"/>
      <c r="AF1389" s="27"/>
      <c r="AG1389" s="27"/>
      <c r="AH1389" s="27"/>
      <c r="AI1389" s="25">
        <v>456943</v>
      </c>
      <c r="AJ1389" s="25">
        <v>310721</v>
      </c>
      <c r="AK1389" s="25">
        <v>0</v>
      </c>
      <c r="AL1389" s="25">
        <v>358700</v>
      </c>
      <c r="AM1389" s="25">
        <v>61700</v>
      </c>
      <c r="AN1389" s="25">
        <v>297000</v>
      </c>
      <c r="AO1389" s="25">
        <v>0</v>
      </c>
      <c r="AP1389" s="25">
        <f>Lookups!$B$56*0</f>
        <v>0</v>
      </c>
      <c r="AQ1389" s="25">
        <f>Lookups!$B$56*1</f>
        <v>89850.625589999996</v>
      </c>
      <c r="AR1389" s="25">
        <f>Lookups!$B$57*Inventory[[#This Row],[LnAcres]]</f>
        <v>-47929.131559187132</v>
      </c>
      <c r="AS1389" s="25">
        <f>VLOOKUP(Inventory[[#This Row],[Qlty]],Lookups!$A$62:$E$75,2,FALSE)</f>
        <v>44121.038090000002</v>
      </c>
      <c r="AT1389" s="25">
        <f>VLOOKUP(Inventory[[#This Row],[Cnd]],Lookups!$A$76:$E$84,2,FALSE)</f>
        <v>160472.20319</v>
      </c>
      <c r="AU1389" s="25">
        <f>Inventory[[#This Row],[EffAge]]*Lookups!$B$85</f>
        <v>-11598.371226000001</v>
      </c>
      <c r="AV1389" s="25">
        <f>Inventory[[#This Row],[MainFn]]*Lookups!$B$86</f>
        <v>60426.803259571003</v>
      </c>
      <c r="AW1389" s="25">
        <f>Inventory[[#This Row],[UpprFn]]*Lookups!$B$87</f>
        <v>0</v>
      </c>
      <c r="AX1389" s="25">
        <f>Inventory[[#This Row],[AddFn]]*Lookups!$B$88</f>
        <v>0</v>
      </c>
      <c r="AY1389" s="25">
        <f>Inventory[[#This Row],[Bsmt]]*Lookups!$B$89</f>
        <v>35567.157887080997</v>
      </c>
      <c r="AZ1389" s="25">
        <f>Inventory[[#This Row],[Fixtures]]*Lookups!$B$90</f>
        <v>30336.176841600001</v>
      </c>
      <c r="BA1389" s="25">
        <f>Inventory[[#This Row],[WdDeck]]*Lookups!$B$91</f>
        <v>0</v>
      </c>
      <c r="BB1389" s="25">
        <f>ROUND(Inventory[[#This Row],[25Det]],-2)</f>
        <v>0</v>
      </c>
      <c r="BC1389" s="25">
        <f>ROUND(SUM(Inventory[[#This Row],[Mdl Qlty]:[Mdl WdDeck]])+Inventory[[#This Row],[Mdl Res Intercept]],-2)</f>
        <v>319300</v>
      </c>
      <c r="BD1389" s="25">
        <f>ROUND(Inventory[[#This Row],[Mdl Land Intercept]]+Inventory[[#This Row],[Mdl LnAcres]],-2)</f>
        <v>41900</v>
      </c>
      <c r="BE1389" s="25">
        <f>Inventory[[#This Row],[Unadj Res Value]]+Inventory[[#This Row],[Unadj Det Value]]+Inventory[[#This Row],[Unadj Land Value]]</f>
        <v>361200</v>
      </c>
      <c r="BF1389" s="36">
        <f>(Inventory[[#This Row],[Unadj Total Value]]-Inventory[[#This Row],[24Final]])/Inventory[[#This Row],[24Final]]</f>
        <v>6.9696124895455812E-3</v>
      </c>
      <c r="BG1389" s="25">
        <f>VLOOKUP(Inventory[[#This Row],[Nbhd]],Lookups!$Q$2:$T$4,4,FALSE)</f>
        <v>0.99970000000000003</v>
      </c>
      <c r="BH1389" s="25">
        <f>VLOOKUP(Inventory[[#This Row],[Qlty]],Lookups!$O$7:$R$21,4,FALSE)</f>
        <v>0.98050000000000004</v>
      </c>
      <c r="BI1389" s="25">
        <f>VLOOKUP(Inventory[[#This Row],[Cnd]],Lookups!$T$7:$W$16,4,FALSE)</f>
        <v>0.99729999999999996</v>
      </c>
      <c r="BJ1389" s="25">
        <f>VLOOKUP(Inventory[[#This Row],[LivArea Range]],Lookups!$T$25:$W$37,4,FALSE)</f>
        <v>0.98919999999999997</v>
      </c>
      <c r="BK1389" s="25">
        <f>VLOOKUP(Inventory[[#This Row],[Decade]],Lookups!$O$25:$R$42,4,FALSE)</f>
        <v>0.98909999999999998</v>
      </c>
      <c r="BL1389" s="25">
        <f>Inventory[[#This Row],[Nbhd Adj]]*0.95</f>
        <v>0.94971499999999998</v>
      </c>
      <c r="BM1389" s="25">
        <f>Inventory[[#This Row],[Nbhd Adj]]*Inventory[[#This Row],[Quality Adj]]*Inventory[[#This Row],[Condition Adj]]*Inventory[[#This Row],[Living Area Adj]]*Inventory[[#This Row],[Decade Adj]]*0.95</f>
        <v>0.9086382690108219</v>
      </c>
      <c r="BN1389" s="25">
        <f>ROUND(SUM(Inventory[[#This Row],[Mdl Qlty]:[Mdl WdDeck]])+Inventory[[#This Row],[Mdl Res Intercept]]*Inventory[[#This Row],[Res Adj ]],-2)</f>
        <v>319300</v>
      </c>
      <c r="BO1389" s="25">
        <f>ROUND(Inventory[[#This Row],[25Det]]*Inventory[[#This Row],[Det/Nbhd Adj]],-2)</f>
        <v>0</v>
      </c>
      <c r="BP1389" s="25">
        <f>Inventory[[#This Row],[Adjusted Res]]+Inventory[[#This Row],[Adj Det ]]</f>
        <v>319300</v>
      </c>
      <c r="BQ1389" s="25">
        <f>ROUND((Inventory[[#This Row],[Mdl Land Intercept]]+Inventory[[#This Row],[Mdl LnAcres]])*Inventory[[#This Row],[Det/Nbhd Adj]],-2)</f>
        <v>39800</v>
      </c>
      <c r="BR1389" s="25">
        <f>Inventory[[#This Row],[Adjusted Impr Total]]+Inventory[[#This Row],[Adjusted Land Total]]</f>
        <v>359100</v>
      </c>
      <c r="BS1389" s="36">
        <f>IFERROR((Inventory[[#This Row],[Adjusted Impr Total]]-Inventory[[#This Row],[24Bldg]])/Inventory[[#This Row],[24Bldg]],0)</f>
        <v>7.5084175084175087E-2</v>
      </c>
      <c r="BT1389" s="36">
        <f>(Inventory[[#This Row],[Adjusted Land Total]]-Inventory[[#This Row],[24Lnd]])/Inventory[[#This Row],[24Lnd]]</f>
        <v>-0.35494327390599678</v>
      </c>
      <c r="BU1389" s="36">
        <f>(Inventory[[#This Row],[Adjusted Total]]-Inventory[[#This Row],[24Final]])/Inventory[[#This Row],[24Final]]</f>
        <v>1.115137998327293E-3</v>
      </c>
    </row>
    <row r="1390" spans="1:73" x14ac:dyDescent="0.3">
      <c r="A1390" s="25">
        <v>2025</v>
      </c>
      <c r="B1390" s="26" t="s">
        <v>2903</v>
      </c>
      <c r="C1390" s="26">
        <f>LN(Inventory[[#This Row],[Acres]])</f>
        <v>-1.1394342831883648</v>
      </c>
      <c r="D1390" s="25">
        <v>0.32</v>
      </c>
      <c r="E1390" s="25">
        <v>13900</v>
      </c>
      <c r="F1390" s="26" t="s">
        <v>537</v>
      </c>
      <c r="G1390" s="26" t="s">
        <v>126</v>
      </c>
      <c r="H1390" s="26" t="s">
        <v>349</v>
      </c>
      <c r="I1390" s="26" t="s">
        <v>538</v>
      </c>
      <c r="J1390" s="26" t="s">
        <v>539</v>
      </c>
      <c r="K1390" s="26" t="s">
        <v>241</v>
      </c>
      <c r="L1390" s="26" t="s">
        <v>95</v>
      </c>
      <c r="M1390" s="26" t="s">
        <v>303</v>
      </c>
      <c r="N1390" s="26">
        <v>90</v>
      </c>
      <c r="O1390" s="26">
        <f>2024-Inventory[[#This Row],[YrBlt]]</f>
        <v>84</v>
      </c>
      <c r="P1390" s="26">
        <f>2024-Inventory[[#This Row],[EffYr]]</f>
        <v>52</v>
      </c>
      <c r="Q1390" s="25">
        <v>1940</v>
      </c>
      <c r="R1390" s="25">
        <v>1972</v>
      </c>
      <c r="S1390" s="25">
        <v>1710</v>
      </c>
      <c r="T1390" s="27"/>
      <c r="U1390" s="27"/>
      <c r="V1390" s="27">
        <f>Inventory[[#This Row],[Bsmt]]-Inventory[[#This Row],[FnBsmt]]</f>
        <v>0</v>
      </c>
      <c r="W1390" s="27"/>
      <c r="X1390" s="27"/>
      <c r="Y1390" s="27">
        <f>Inventory[[#This Row],[MainFn]]+Inventory[[#This Row],[UpprFn]]+Inventory[[#This Row],[FnBsmt]]+Inventory[[#This Row],[AddFn]]</f>
        <v>1710</v>
      </c>
      <c r="Z1390" s="27">
        <v>2000</v>
      </c>
      <c r="AA1390" s="25">
        <v>8</v>
      </c>
      <c r="AB1390" s="32">
        <v>441</v>
      </c>
      <c r="AC1390" s="27"/>
      <c r="AD1390" s="27"/>
      <c r="AE1390" s="27"/>
      <c r="AF1390" s="27"/>
      <c r="AG1390" s="27"/>
      <c r="AH1390" s="27"/>
      <c r="AI1390" s="25">
        <v>432552</v>
      </c>
      <c r="AJ1390" s="25">
        <v>307112</v>
      </c>
      <c r="AK1390" s="25">
        <v>0</v>
      </c>
      <c r="AL1390" s="25">
        <v>426500</v>
      </c>
      <c r="AM1390" s="25">
        <v>74800</v>
      </c>
      <c r="AN1390" s="25">
        <v>351700</v>
      </c>
      <c r="AO1390" s="25">
        <v>0</v>
      </c>
      <c r="AP1390" s="25">
        <f>Lookups!$B$56*0</f>
        <v>0</v>
      </c>
      <c r="AQ1390" s="25">
        <f>Lookups!$B$56*1</f>
        <v>89850.625589999996</v>
      </c>
      <c r="AR1390" s="25">
        <f>Lookups!$B$57*Inventory[[#This Row],[LnAcres]]</f>
        <v>-36068.354396449467</v>
      </c>
      <c r="AS1390" s="25">
        <f>VLOOKUP(Inventory[[#This Row],[Qlty]],Lookups!$A$62:$E$75,2,FALSE)</f>
        <v>74268.409664999999</v>
      </c>
      <c r="AT1390" s="25">
        <f>VLOOKUP(Inventory[[#This Row],[Cnd]],Lookups!$A$76:$E$84,2,FALSE)</f>
        <v>197752.34721000001</v>
      </c>
      <c r="AU1390" s="25">
        <f>Inventory[[#This Row],[EffAge]]*Lookups!$B$85</f>
        <v>-11598.371226000001</v>
      </c>
      <c r="AV1390" s="25">
        <f>Inventory[[#This Row],[MainFn]]*Lookups!$B$86</f>
        <v>84488.825489670009</v>
      </c>
      <c r="AW1390" s="25">
        <f>Inventory[[#This Row],[UpprFn]]*Lookups!$B$87</f>
        <v>0</v>
      </c>
      <c r="AX1390" s="25">
        <f>Inventory[[#This Row],[AddFn]]*Lookups!$B$88</f>
        <v>0</v>
      </c>
      <c r="AY1390" s="25">
        <f>Inventory[[#This Row],[Bsmt]]*Lookups!$B$89</f>
        <v>0</v>
      </c>
      <c r="AZ1390" s="25">
        <f>Inventory[[#This Row],[Fixtures]]*Lookups!$B$90</f>
        <v>30336.176841600001</v>
      </c>
      <c r="BA1390" s="25">
        <f>Inventory[[#This Row],[WdDeck]]*Lookups!$B$91</f>
        <v>0</v>
      </c>
      <c r="BB1390" s="25">
        <f>ROUND(Inventory[[#This Row],[25Det]],-2)</f>
        <v>0</v>
      </c>
      <c r="BC1390" s="25">
        <f>ROUND(SUM(Inventory[[#This Row],[Mdl Qlty]:[Mdl WdDeck]])+Inventory[[#This Row],[Mdl Res Intercept]],-2)</f>
        <v>375200</v>
      </c>
      <c r="BD1390" s="25">
        <f>ROUND(Inventory[[#This Row],[Mdl Land Intercept]]+Inventory[[#This Row],[Mdl LnAcres]],-2)</f>
        <v>53800</v>
      </c>
      <c r="BE1390" s="25">
        <f>Inventory[[#This Row],[Unadj Res Value]]+Inventory[[#This Row],[Unadj Det Value]]+Inventory[[#This Row],[Unadj Land Value]]</f>
        <v>429000</v>
      </c>
      <c r="BF1390" s="36">
        <f>(Inventory[[#This Row],[Unadj Total Value]]-Inventory[[#This Row],[24Final]])/Inventory[[#This Row],[24Final]]</f>
        <v>5.8616647127784291E-3</v>
      </c>
      <c r="BG1390" s="25">
        <f>VLOOKUP(Inventory[[#This Row],[Nbhd]],Lookups!$Q$2:$T$4,4,FALSE)</f>
        <v>0.99970000000000003</v>
      </c>
      <c r="BH1390" s="25">
        <f>VLOOKUP(Inventory[[#This Row],[Qlty]],Lookups!$O$7:$R$21,4,FALSE)</f>
        <v>0.98380000000000001</v>
      </c>
      <c r="BI1390" s="25">
        <f>VLOOKUP(Inventory[[#This Row],[Cnd]],Lookups!$T$7:$W$16,4,FALSE)</f>
        <v>0.99650000000000005</v>
      </c>
      <c r="BJ1390" s="25">
        <f>VLOOKUP(Inventory[[#This Row],[LivArea Range]],Lookups!$T$25:$W$37,4,FALSE)</f>
        <v>1.0093000000000001</v>
      </c>
      <c r="BK1390" s="25">
        <f>VLOOKUP(Inventory[[#This Row],[Decade]],Lookups!$O$25:$R$42,4,FALSE)</f>
        <v>0.98909999999999998</v>
      </c>
      <c r="BL1390" s="25">
        <f>Inventory[[#This Row],[Nbhd Adj]]*0.95</f>
        <v>0.94971499999999998</v>
      </c>
      <c r="BM1390" s="25">
        <f>Inventory[[#This Row],[Nbhd Adj]]*Inventory[[#This Row],[Quality Adj]]*Inventory[[#This Row],[Condition Adj]]*Inventory[[#This Row],[Living Area Adj]]*Inventory[[#This Row],[Decade Adj]]*0.95</f>
        <v>0.92947538670135654</v>
      </c>
      <c r="BN1390" s="25">
        <f>ROUND(SUM(Inventory[[#This Row],[Mdl Qlty]:[Mdl WdDeck]])+Inventory[[#This Row],[Mdl Res Intercept]]*Inventory[[#This Row],[Res Adj ]],-2)</f>
        <v>375200</v>
      </c>
      <c r="BO1390" s="25">
        <f>ROUND(Inventory[[#This Row],[25Det]]*Inventory[[#This Row],[Det/Nbhd Adj]],-2)</f>
        <v>0</v>
      </c>
      <c r="BP1390" s="25">
        <f>Inventory[[#This Row],[Adjusted Res]]+Inventory[[#This Row],[Adj Det ]]</f>
        <v>375200</v>
      </c>
      <c r="BQ1390" s="25">
        <f>ROUND((Inventory[[#This Row],[Mdl Land Intercept]]+Inventory[[#This Row],[Mdl LnAcres]])*Inventory[[#This Row],[Det/Nbhd Adj]],-2)</f>
        <v>51100</v>
      </c>
      <c r="BR1390" s="25">
        <f>Inventory[[#This Row],[Adjusted Impr Total]]+Inventory[[#This Row],[Adjusted Land Total]]</f>
        <v>426300</v>
      </c>
      <c r="BS1390" s="36">
        <f>IFERROR((Inventory[[#This Row],[Adjusted Impr Total]]-Inventory[[#This Row],[24Bldg]])/Inventory[[#This Row],[24Bldg]],0)</f>
        <v>6.6818311060562977E-2</v>
      </c>
      <c r="BT1390" s="36">
        <f>(Inventory[[#This Row],[Adjusted Land Total]]-Inventory[[#This Row],[24Lnd]])/Inventory[[#This Row],[24Lnd]]</f>
        <v>-0.31684491978609625</v>
      </c>
      <c r="BU1390" s="36">
        <f>(Inventory[[#This Row],[Adjusted Total]]-Inventory[[#This Row],[24Final]])/Inventory[[#This Row],[24Final]]</f>
        <v>-4.6893317702227433E-4</v>
      </c>
    </row>
    <row r="1391" spans="1:73" x14ac:dyDescent="0.3">
      <c r="A1391" s="25">
        <v>2025</v>
      </c>
      <c r="B1391" s="26" t="s">
        <v>2140</v>
      </c>
      <c r="C1391" s="26">
        <f>LN(Inventory[[#This Row],[Acres]])</f>
        <v>-0.916290731874155</v>
      </c>
      <c r="D1391" s="25">
        <v>0.4</v>
      </c>
      <c r="E1391" s="25">
        <v>17319</v>
      </c>
      <c r="F1391" s="26" t="s">
        <v>537</v>
      </c>
      <c r="G1391" s="26" t="s">
        <v>126</v>
      </c>
      <c r="H1391" s="26" t="s">
        <v>349</v>
      </c>
      <c r="I1391" s="26" t="s">
        <v>538</v>
      </c>
      <c r="J1391" s="26" t="s">
        <v>539</v>
      </c>
      <c r="K1391" s="26" t="s">
        <v>173</v>
      </c>
      <c r="L1391" s="26" t="s">
        <v>351</v>
      </c>
      <c r="M1391" s="26" t="s">
        <v>323</v>
      </c>
      <c r="N1391" s="26">
        <v>90</v>
      </c>
      <c r="O1391" s="26">
        <f>2024-Inventory[[#This Row],[YrBlt]]</f>
        <v>84</v>
      </c>
      <c r="P1391" s="26">
        <f>2024-Inventory[[#This Row],[EffYr]]</f>
        <v>52</v>
      </c>
      <c r="Q1391" s="25">
        <v>1940</v>
      </c>
      <c r="R1391" s="25">
        <v>1972</v>
      </c>
      <c r="S1391" s="25">
        <v>1512</v>
      </c>
      <c r="T1391" s="32">
        <v>896</v>
      </c>
      <c r="U1391" s="25">
        <v>1512</v>
      </c>
      <c r="V1391" s="32">
        <f>Inventory[[#This Row],[Bsmt]]-Inventory[[#This Row],[FnBsmt]]</f>
        <v>0</v>
      </c>
      <c r="W1391" s="32">
        <v>1512</v>
      </c>
      <c r="X1391" s="27"/>
      <c r="Y1391" s="27">
        <f>Inventory[[#This Row],[MainFn]]+Inventory[[#This Row],[UpprFn]]+Inventory[[#This Row],[FnBsmt]]+Inventory[[#This Row],[AddFn]]</f>
        <v>3920</v>
      </c>
      <c r="Z1391" s="27">
        <v>4000</v>
      </c>
      <c r="AA1391" s="25">
        <v>10</v>
      </c>
      <c r="AB1391" s="27"/>
      <c r="AC1391" s="27"/>
      <c r="AD1391" s="27"/>
      <c r="AE1391" s="27"/>
      <c r="AF1391" s="27"/>
      <c r="AG1391" s="27"/>
      <c r="AH1391" s="27"/>
      <c r="AI1391" s="25">
        <v>455678</v>
      </c>
      <c r="AJ1391" s="25">
        <v>309861</v>
      </c>
      <c r="AK1391" s="25">
        <v>13122</v>
      </c>
      <c r="AL1391" s="25">
        <v>438200</v>
      </c>
      <c r="AM1391" s="25">
        <v>82600</v>
      </c>
      <c r="AN1391" s="25">
        <v>355600</v>
      </c>
      <c r="AO1391" s="25">
        <v>0</v>
      </c>
      <c r="AP1391" s="25">
        <f>Lookups!$B$56*0</f>
        <v>0</v>
      </c>
      <c r="AQ1391" s="25">
        <f>Lookups!$B$56*1</f>
        <v>89850.625589999996</v>
      </c>
      <c r="AR1391" s="25">
        <f>Lookups!$B$57*Inventory[[#This Row],[LnAcres]]</f>
        <v>-29004.831024516039</v>
      </c>
      <c r="AS1391" s="25">
        <f>VLOOKUP(Inventory[[#This Row],[Qlty]],Lookups!$A$62:$E$75,2,FALSE)</f>
        <v>21557.329055999999</v>
      </c>
      <c r="AT1391" s="25">
        <f>VLOOKUP(Inventory[[#This Row],[Cnd]],Lookups!$A$76:$E$84,2,FALSE)</f>
        <v>160472.20319</v>
      </c>
      <c r="AU1391" s="25">
        <f>Inventory[[#This Row],[EffAge]]*Lookups!$B$85</f>
        <v>-11598.371226000001</v>
      </c>
      <c r="AV1391" s="25">
        <f>Inventory[[#This Row],[MainFn]]*Lookups!$B$86</f>
        <v>74705.908854024005</v>
      </c>
      <c r="AW1391" s="25">
        <f>Inventory[[#This Row],[UpprFn]]*Lookups!$B$87</f>
        <v>40128.634883455998</v>
      </c>
      <c r="AX1391" s="25">
        <f>Inventory[[#This Row],[AddFn]]*Lookups!$B$88</f>
        <v>0</v>
      </c>
      <c r="AY1391" s="25">
        <f>Inventory[[#This Row],[Bsmt]]*Lookups!$B$89</f>
        <v>43971.825613463996</v>
      </c>
      <c r="AZ1391" s="25">
        <f>Inventory[[#This Row],[Fixtures]]*Lookups!$B$90</f>
        <v>37920.221052000001</v>
      </c>
      <c r="BA1391" s="25">
        <f>Inventory[[#This Row],[WdDeck]]*Lookups!$B$91</f>
        <v>0</v>
      </c>
      <c r="BB1391" s="25">
        <f>ROUND(Inventory[[#This Row],[25Det]],-2)</f>
        <v>13100</v>
      </c>
      <c r="BC1391" s="25">
        <f>ROUND(SUM(Inventory[[#This Row],[Mdl Qlty]:[Mdl WdDeck]])+Inventory[[#This Row],[Mdl Res Intercept]],-2)</f>
        <v>367200</v>
      </c>
      <c r="BD1391" s="25">
        <f>ROUND(Inventory[[#This Row],[Mdl Land Intercept]]+Inventory[[#This Row],[Mdl LnAcres]],-2)</f>
        <v>60800</v>
      </c>
      <c r="BE1391" s="25">
        <f>Inventory[[#This Row],[Unadj Res Value]]+Inventory[[#This Row],[Unadj Det Value]]+Inventory[[#This Row],[Unadj Land Value]]</f>
        <v>441100</v>
      </c>
      <c r="BF1391" s="36">
        <f>(Inventory[[#This Row],[Unadj Total Value]]-Inventory[[#This Row],[24Final]])/Inventory[[#This Row],[24Final]]</f>
        <v>6.6179826563213147E-3</v>
      </c>
      <c r="BG1391" s="25">
        <f>VLOOKUP(Inventory[[#This Row],[Nbhd]],Lookups!$Q$2:$T$4,4,FALSE)</f>
        <v>0.99970000000000003</v>
      </c>
      <c r="BH1391" s="25">
        <f>VLOOKUP(Inventory[[#This Row],[Qlty]],Lookups!$O$7:$R$21,4,FALSE)</f>
        <v>1.0067999999999999</v>
      </c>
      <c r="BI1391" s="25">
        <f>VLOOKUP(Inventory[[#This Row],[Cnd]],Lookups!$T$7:$W$16,4,FALSE)</f>
        <v>0.99729999999999996</v>
      </c>
      <c r="BJ1391" s="25">
        <f>VLOOKUP(Inventory[[#This Row],[LivArea Range]],Lookups!$T$25:$W$37,4,FALSE)</f>
        <v>0.94579999999999997</v>
      </c>
      <c r="BK1391" s="25">
        <f>VLOOKUP(Inventory[[#This Row],[Decade]],Lookups!$O$25:$R$42,4,FALSE)</f>
        <v>0.98909999999999998</v>
      </c>
      <c r="BL1391" s="25">
        <f>Inventory[[#This Row],[Nbhd Adj]]*0.95</f>
        <v>0.94971499999999998</v>
      </c>
      <c r="BM1391" s="25">
        <f>Inventory[[#This Row],[Nbhd Adj]]*Inventory[[#This Row],[Quality Adj]]*Inventory[[#This Row],[Condition Adj]]*Inventory[[#This Row],[Living Area Adj]]*Inventory[[#This Row],[Decade Adj]]*0.95</f>
        <v>0.89207595765968761</v>
      </c>
      <c r="BN1391" s="25">
        <f>ROUND(SUM(Inventory[[#This Row],[Mdl Qlty]:[Mdl WdDeck]])+Inventory[[#This Row],[Mdl Res Intercept]]*Inventory[[#This Row],[Res Adj ]],-2)</f>
        <v>367200</v>
      </c>
      <c r="BO1391" s="25">
        <f>ROUND(Inventory[[#This Row],[25Det]]*Inventory[[#This Row],[Det/Nbhd Adj]],-2)</f>
        <v>12500</v>
      </c>
      <c r="BP1391" s="25">
        <f>Inventory[[#This Row],[Adjusted Res]]+Inventory[[#This Row],[Adj Det ]]</f>
        <v>379700</v>
      </c>
      <c r="BQ1391" s="25">
        <f>ROUND((Inventory[[#This Row],[Mdl Land Intercept]]+Inventory[[#This Row],[Mdl LnAcres]])*Inventory[[#This Row],[Det/Nbhd Adj]],-2)</f>
        <v>57800</v>
      </c>
      <c r="BR1391" s="25">
        <f>Inventory[[#This Row],[Adjusted Impr Total]]+Inventory[[#This Row],[Adjusted Land Total]]</f>
        <v>437500</v>
      </c>
      <c r="BS1391" s="36">
        <f>IFERROR((Inventory[[#This Row],[Adjusted Impr Total]]-Inventory[[#This Row],[24Bldg]])/Inventory[[#This Row],[24Bldg]],0)</f>
        <v>6.7772778402699657E-2</v>
      </c>
      <c r="BT1391" s="36">
        <f>(Inventory[[#This Row],[Adjusted Land Total]]-Inventory[[#This Row],[24Lnd]])/Inventory[[#This Row],[24Lnd]]</f>
        <v>-0.30024213075060535</v>
      </c>
      <c r="BU1391" s="36">
        <f>(Inventory[[#This Row],[Adjusted Total]]-Inventory[[#This Row],[24Final]])/Inventory[[#This Row],[24Final]]</f>
        <v>-1.5974440894568689E-3</v>
      </c>
    </row>
    <row r="1392" spans="1:73" x14ac:dyDescent="0.3">
      <c r="A1392" s="25">
        <v>2025</v>
      </c>
      <c r="B1392" s="26" t="s">
        <v>1628</v>
      </c>
      <c r="C1392" s="26">
        <f>LN(Inventory[[#This Row],[Acres]])</f>
        <v>-1.5606477482646683</v>
      </c>
      <c r="D1392" s="25">
        <v>0.21</v>
      </c>
      <c r="E1392" s="25">
        <v>9330</v>
      </c>
      <c r="F1392" s="26" t="s">
        <v>537</v>
      </c>
      <c r="G1392" s="26" t="s">
        <v>126</v>
      </c>
      <c r="H1392" s="26" t="s">
        <v>349</v>
      </c>
      <c r="I1392" s="26" t="s">
        <v>538</v>
      </c>
      <c r="J1392" s="26" t="s">
        <v>539</v>
      </c>
      <c r="K1392" s="26" t="s">
        <v>241</v>
      </c>
      <c r="L1392" s="26" t="s">
        <v>302</v>
      </c>
      <c r="M1392" s="26" t="s">
        <v>323</v>
      </c>
      <c r="N1392" s="26">
        <v>90</v>
      </c>
      <c r="O1392" s="26">
        <f>2024-Inventory[[#This Row],[YrBlt]]</f>
        <v>84</v>
      </c>
      <c r="P1392" s="26">
        <f>2024-Inventory[[#This Row],[EffYr]]</f>
        <v>52</v>
      </c>
      <c r="Q1392" s="25">
        <v>1940</v>
      </c>
      <c r="R1392" s="25">
        <v>1972</v>
      </c>
      <c r="S1392" s="25">
        <v>1441</v>
      </c>
      <c r="T1392" s="27"/>
      <c r="U1392" s="25">
        <v>936</v>
      </c>
      <c r="V1392" s="25">
        <f>Inventory[[#This Row],[Bsmt]]-Inventory[[#This Row],[FnBsmt]]</f>
        <v>0</v>
      </c>
      <c r="W1392" s="25">
        <v>936</v>
      </c>
      <c r="X1392" s="27"/>
      <c r="Y1392" s="27">
        <f>Inventory[[#This Row],[MainFn]]+Inventory[[#This Row],[UpprFn]]+Inventory[[#This Row],[FnBsmt]]+Inventory[[#This Row],[AddFn]]</f>
        <v>2377</v>
      </c>
      <c r="Z1392" s="27">
        <v>2500</v>
      </c>
      <c r="AA1392" s="25">
        <v>5</v>
      </c>
      <c r="AB1392" s="27"/>
      <c r="AC1392" s="27"/>
      <c r="AD1392" s="31"/>
      <c r="AE1392" s="27"/>
      <c r="AF1392" s="27"/>
      <c r="AG1392" s="27"/>
      <c r="AH1392" s="27"/>
      <c r="AI1392" s="25">
        <v>355588</v>
      </c>
      <c r="AJ1392" s="25">
        <v>241800</v>
      </c>
      <c r="AK1392" s="25">
        <v>0</v>
      </c>
      <c r="AL1392" s="25">
        <v>336200</v>
      </c>
      <c r="AM1392" s="25">
        <v>60100</v>
      </c>
      <c r="AN1392" s="25">
        <v>276100</v>
      </c>
      <c r="AO1392" s="25">
        <v>0</v>
      </c>
      <c r="AP1392" s="25">
        <f>Lookups!$B$56*0</f>
        <v>0</v>
      </c>
      <c r="AQ1392" s="25">
        <f>Lookups!$B$56*1</f>
        <v>89850.625589999996</v>
      </c>
      <c r="AR1392" s="25">
        <f>Lookups!$B$57*Inventory[[#This Row],[LnAcres]]</f>
        <v>-49401.70477837498</v>
      </c>
      <c r="AS1392" s="25">
        <f>VLOOKUP(Inventory[[#This Row],[Qlty]],Lookups!$A$62:$E$75,2,FALSE)</f>
        <v>29814.093161000001</v>
      </c>
      <c r="AT1392" s="25">
        <f>VLOOKUP(Inventory[[#This Row],[Cnd]],Lookups!$A$76:$E$84,2,FALSE)</f>
        <v>160472.20319</v>
      </c>
      <c r="AU1392" s="25">
        <f>Inventory[[#This Row],[EffAge]]*Lookups!$B$85</f>
        <v>-11598.371226000001</v>
      </c>
      <c r="AV1392" s="25">
        <f>Inventory[[#This Row],[MainFn]]*Lookups!$B$86</f>
        <v>71197.893292756999</v>
      </c>
      <c r="AW1392" s="25">
        <f>Inventory[[#This Row],[UpprFn]]*Lookups!$B$87</f>
        <v>0</v>
      </c>
      <c r="AX1392" s="25">
        <f>Inventory[[#This Row],[AddFn]]*Lookups!$B$88</f>
        <v>0</v>
      </c>
      <c r="AY1392" s="25">
        <f>Inventory[[#This Row],[Bsmt]]*Lookups!$B$89</f>
        <v>27220.653951191998</v>
      </c>
      <c r="AZ1392" s="25">
        <f>Inventory[[#This Row],[Fixtures]]*Lookups!$B$90</f>
        <v>18960.110526</v>
      </c>
      <c r="BA1392" s="25">
        <f>Inventory[[#This Row],[WdDeck]]*Lookups!$B$91</f>
        <v>0</v>
      </c>
      <c r="BB1392" s="25">
        <f>ROUND(Inventory[[#This Row],[25Det]],-2)</f>
        <v>0</v>
      </c>
      <c r="BC1392" s="25">
        <f>ROUND(SUM(Inventory[[#This Row],[Mdl Qlty]:[Mdl WdDeck]])+Inventory[[#This Row],[Mdl Res Intercept]],-2)</f>
        <v>296100</v>
      </c>
      <c r="BD1392" s="25">
        <f>ROUND(Inventory[[#This Row],[Mdl Land Intercept]]+Inventory[[#This Row],[Mdl LnAcres]],-2)</f>
        <v>40400</v>
      </c>
      <c r="BE1392" s="25">
        <f>Inventory[[#This Row],[Unadj Res Value]]+Inventory[[#This Row],[Unadj Det Value]]+Inventory[[#This Row],[Unadj Land Value]]</f>
        <v>336500</v>
      </c>
      <c r="BF1392" s="36">
        <f>(Inventory[[#This Row],[Unadj Total Value]]-Inventory[[#This Row],[24Final]])/Inventory[[#This Row],[24Final]]</f>
        <v>8.92325996430696E-4</v>
      </c>
      <c r="BG1392" s="25">
        <f>VLOOKUP(Inventory[[#This Row],[Nbhd]],Lookups!$Q$2:$T$4,4,FALSE)</f>
        <v>0.99970000000000003</v>
      </c>
      <c r="BH1392" s="25">
        <f>VLOOKUP(Inventory[[#This Row],[Qlty]],Lookups!$O$7:$R$21,4,FALSE)</f>
        <v>1.0088999999999999</v>
      </c>
      <c r="BI1392" s="25">
        <f>VLOOKUP(Inventory[[#This Row],[Cnd]],Lookups!$T$7:$W$16,4,FALSE)</f>
        <v>0.99729999999999996</v>
      </c>
      <c r="BJ1392" s="25">
        <f>VLOOKUP(Inventory[[#This Row],[LivArea Range]],Lookups!$T$25:$W$37,4,FALSE)</f>
        <v>0.98919999999999997</v>
      </c>
      <c r="BK1392" s="25">
        <f>VLOOKUP(Inventory[[#This Row],[Decade]],Lookups!$O$25:$R$42,4,FALSE)</f>
        <v>0.98909999999999998</v>
      </c>
      <c r="BL1392" s="25">
        <f>Inventory[[#This Row],[Nbhd Adj]]*0.95</f>
        <v>0.94971499999999998</v>
      </c>
      <c r="BM1392" s="25">
        <f>Inventory[[#This Row],[Nbhd Adj]]*Inventory[[#This Row],[Quality Adj]]*Inventory[[#This Row],[Condition Adj]]*Inventory[[#This Row],[Living Area Adj]]*Inventory[[#This Row],[Decade Adj]]*0.95</f>
        <v>0.93495680734831033</v>
      </c>
      <c r="BN1392" s="25">
        <f>ROUND(SUM(Inventory[[#This Row],[Mdl Qlty]:[Mdl WdDeck]])+Inventory[[#This Row],[Mdl Res Intercept]]*Inventory[[#This Row],[Res Adj ]],-2)</f>
        <v>296100</v>
      </c>
      <c r="BO1392" s="25">
        <f>ROUND(Inventory[[#This Row],[25Det]]*Inventory[[#This Row],[Det/Nbhd Adj]],-2)</f>
        <v>0</v>
      </c>
      <c r="BP1392" s="25">
        <f>Inventory[[#This Row],[Adjusted Res]]+Inventory[[#This Row],[Adj Det ]]</f>
        <v>296100</v>
      </c>
      <c r="BQ1392" s="25">
        <f>ROUND((Inventory[[#This Row],[Mdl Land Intercept]]+Inventory[[#This Row],[Mdl LnAcres]])*Inventory[[#This Row],[Det/Nbhd Adj]],-2)</f>
        <v>38400</v>
      </c>
      <c r="BR1392" s="25">
        <f>Inventory[[#This Row],[Adjusted Impr Total]]+Inventory[[#This Row],[Adjusted Land Total]]</f>
        <v>334500</v>
      </c>
      <c r="BS1392" s="36">
        <f>IFERROR((Inventory[[#This Row],[Adjusted Impr Total]]-Inventory[[#This Row],[24Bldg]])/Inventory[[#This Row],[24Bldg]],0)</f>
        <v>7.2437522636725829E-2</v>
      </c>
      <c r="BT1392" s="36">
        <f>(Inventory[[#This Row],[Adjusted Land Total]]-Inventory[[#This Row],[24Lnd]])/Inventory[[#This Row],[24Lnd]]</f>
        <v>-0.36106489184692181</v>
      </c>
      <c r="BU1392" s="36">
        <f>(Inventory[[#This Row],[Adjusted Total]]-Inventory[[#This Row],[24Final]])/Inventory[[#This Row],[24Final]]</f>
        <v>-5.0565139797739437E-3</v>
      </c>
    </row>
    <row r="1393" spans="1:73" x14ac:dyDescent="0.3">
      <c r="A1393" s="25">
        <v>2025</v>
      </c>
      <c r="B1393" s="26" t="s">
        <v>1535</v>
      </c>
      <c r="C1393" s="26">
        <f>LN(Inventory[[#This Row],[Acres]])</f>
        <v>-1.7719568419318752</v>
      </c>
      <c r="D1393" s="25">
        <v>0.17</v>
      </c>
      <c r="E1393" s="25">
        <v>7619</v>
      </c>
      <c r="F1393" s="26" t="s">
        <v>537</v>
      </c>
      <c r="G1393" s="26" t="s">
        <v>126</v>
      </c>
      <c r="H1393" s="26" t="s">
        <v>349</v>
      </c>
      <c r="I1393" s="26" t="s">
        <v>538</v>
      </c>
      <c r="J1393" s="26" t="s">
        <v>539</v>
      </c>
      <c r="K1393" s="26" t="s">
        <v>242</v>
      </c>
      <c r="L1393" s="26" t="s">
        <v>205</v>
      </c>
      <c r="M1393" s="26" t="s">
        <v>323</v>
      </c>
      <c r="N1393" s="26">
        <v>90</v>
      </c>
      <c r="O1393" s="26">
        <f>2024-Inventory[[#This Row],[YrBlt]]</f>
        <v>84</v>
      </c>
      <c r="P1393" s="26">
        <f>2024-Inventory[[#This Row],[EffYr]]</f>
        <v>52</v>
      </c>
      <c r="Q1393" s="25">
        <v>1940</v>
      </c>
      <c r="R1393" s="25">
        <v>1972</v>
      </c>
      <c r="S1393" s="25">
        <v>1080</v>
      </c>
      <c r="T1393" s="31"/>
      <c r="U1393" s="25">
        <v>1080</v>
      </c>
      <c r="V1393" s="32">
        <f>Inventory[[#This Row],[Bsmt]]-Inventory[[#This Row],[FnBsmt]]</f>
        <v>180</v>
      </c>
      <c r="W1393" s="32">
        <v>900</v>
      </c>
      <c r="X1393" s="27"/>
      <c r="Y1393" s="27">
        <f>Inventory[[#This Row],[MainFn]]+Inventory[[#This Row],[UpprFn]]+Inventory[[#This Row],[FnBsmt]]+Inventory[[#This Row],[AddFn]]</f>
        <v>1980</v>
      </c>
      <c r="Z1393" s="27">
        <v>2000</v>
      </c>
      <c r="AA1393" s="25">
        <v>5</v>
      </c>
      <c r="AB1393" s="27"/>
      <c r="AC1393" s="27"/>
      <c r="AD1393" s="27"/>
      <c r="AE1393" s="27"/>
      <c r="AF1393" s="27"/>
      <c r="AG1393" s="27"/>
      <c r="AH1393" s="27"/>
      <c r="AI1393" s="25">
        <v>239200</v>
      </c>
      <c r="AJ1393" s="25">
        <v>162656</v>
      </c>
      <c r="AK1393" s="25">
        <v>0</v>
      </c>
      <c r="AL1393" s="25">
        <v>286500</v>
      </c>
      <c r="AM1393" s="25">
        <v>52700</v>
      </c>
      <c r="AN1393" s="25">
        <v>233800</v>
      </c>
      <c r="AO1393" s="25">
        <v>0</v>
      </c>
      <c r="AP1393" s="25">
        <f>Lookups!$B$56*0</f>
        <v>0</v>
      </c>
      <c r="AQ1393" s="25">
        <f>Lookups!$B$56*1</f>
        <v>89850.625589999996</v>
      </c>
      <c r="AR1393" s="25">
        <f>Lookups!$B$57*Inventory[[#This Row],[LnAcres]]</f>
        <v>-56090.612940989391</v>
      </c>
      <c r="AS1393" s="25">
        <f>VLOOKUP(Inventory[[#This Row],[Qlty]],Lookups!$A$62:$E$75,2,FALSE)</f>
        <v>0</v>
      </c>
      <c r="AT1393" s="25">
        <f>VLOOKUP(Inventory[[#This Row],[Cnd]],Lookups!$A$76:$E$84,2,FALSE)</f>
        <v>160472.20319</v>
      </c>
      <c r="AU1393" s="25">
        <f>Inventory[[#This Row],[EffAge]]*Lookups!$B$85</f>
        <v>-11598.371226000001</v>
      </c>
      <c r="AV1393" s="25">
        <f>Inventory[[#This Row],[MainFn]]*Lookups!$B$86</f>
        <v>53361.363467160001</v>
      </c>
      <c r="AW1393" s="25">
        <f>Inventory[[#This Row],[UpprFn]]*Lookups!$B$87</f>
        <v>0</v>
      </c>
      <c r="AX1393" s="25">
        <f>Inventory[[#This Row],[AddFn]]*Lookups!$B$88</f>
        <v>0</v>
      </c>
      <c r="AY1393" s="25">
        <f>Inventory[[#This Row],[Bsmt]]*Lookups!$B$89</f>
        <v>31408.446866759998</v>
      </c>
      <c r="AZ1393" s="25">
        <f>Inventory[[#This Row],[Fixtures]]*Lookups!$B$90</f>
        <v>18960.110526</v>
      </c>
      <c r="BA1393" s="25">
        <f>Inventory[[#This Row],[WdDeck]]*Lookups!$B$91</f>
        <v>0</v>
      </c>
      <c r="BB1393" s="25">
        <f>ROUND(Inventory[[#This Row],[25Det]],-2)</f>
        <v>0</v>
      </c>
      <c r="BC1393" s="25">
        <f>ROUND(SUM(Inventory[[#This Row],[Mdl Qlty]:[Mdl WdDeck]])+Inventory[[#This Row],[Mdl Res Intercept]],-2)</f>
        <v>252600</v>
      </c>
      <c r="BD1393" s="25">
        <f>ROUND(Inventory[[#This Row],[Mdl Land Intercept]]+Inventory[[#This Row],[Mdl LnAcres]],-2)</f>
        <v>33800</v>
      </c>
      <c r="BE1393" s="25">
        <f>Inventory[[#This Row],[Unadj Res Value]]+Inventory[[#This Row],[Unadj Det Value]]+Inventory[[#This Row],[Unadj Land Value]]</f>
        <v>286400</v>
      </c>
      <c r="BF1393" s="36">
        <f>(Inventory[[#This Row],[Unadj Total Value]]-Inventory[[#This Row],[24Final]])/Inventory[[#This Row],[24Final]]</f>
        <v>-3.4904013961605586E-4</v>
      </c>
      <c r="BG1393" s="25">
        <f>VLOOKUP(Inventory[[#This Row],[Nbhd]],Lookups!$Q$2:$T$4,4,FALSE)</f>
        <v>0.99970000000000003</v>
      </c>
      <c r="BH1393" s="25">
        <f>VLOOKUP(Inventory[[#This Row],[Qlty]],Lookups!$O$7:$R$21,4,FALSE)</f>
        <v>0.99180000000000001</v>
      </c>
      <c r="BI1393" s="25">
        <f>VLOOKUP(Inventory[[#This Row],[Cnd]],Lookups!$T$7:$W$16,4,FALSE)</f>
        <v>0.99729999999999996</v>
      </c>
      <c r="BJ1393" s="25">
        <f>VLOOKUP(Inventory[[#This Row],[LivArea Range]],Lookups!$T$25:$W$37,4,FALSE)</f>
        <v>1.0093000000000001</v>
      </c>
      <c r="BK1393" s="25">
        <f>VLOOKUP(Inventory[[#This Row],[Decade]],Lookups!$O$25:$R$42,4,FALSE)</f>
        <v>0.98909999999999998</v>
      </c>
      <c r="BL1393" s="25">
        <f>Inventory[[#This Row],[Nbhd Adj]]*0.95</f>
        <v>0.94971499999999998</v>
      </c>
      <c r="BM1393" s="25">
        <f>Inventory[[#This Row],[Nbhd Adj]]*Inventory[[#This Row],[Quality Adj]]*Inventory[[#This Row],[Condition Adj]]*Inventory[[#This Row],[Living Area Adj]]*Inventory[[#This Row],[Decade Adj]]*0.95</f>
        <v>0.93778589320741457</v>
      </c>
      <c r="BN1393" s="25">
        <f>ROUND(SUM(Inventory[[#This Row],[Mdl Qlty]:[Mdl WdDeck]])+Inventory[[#This Row],[Mdl Res Intercept]]*Inventory[[#This Row],[Res Adj ]],-2)</f>
        <v>252600</v>
      </c>
      <c r="BO1393" s="25">
        <f>ROUND(Inventory[[#This Row],[25Det]]*Inventory[[#This Row],[Det/Nbhd Adj]],-2)</f>
        <v>0</v>
      </c>
      <c r="BP1393" s="25">
        <f>Inventory[[#This Row],[Adjusted Res]]+Inventory[[#This Row],[Adj Det ]]</f>
        <v>252600</v>
      </c>
      <c r="BQ1393" s="25">
        <f>ROUND((Inventory[[#This Row],[Mdl Land Intercept]]+Inventory[[#This Row],[Mdl LnAcres]])*Inventory[[#This Row],[Det/Nbhd Adj]],-2)</f>
        <v>32100</v>
      </c>
      <c r="BR1393" s="25">
        <f>Inventory[[#This Row],[Adjusted Impr Total]]+Inventory[[#This Row],[Adjusted Land Total]]</f>
        <v>284700</v>
      </c>
      <c r="BS1393" s="36">
        <f>IFERROR((Inventory[[#This Row],[Adjusted Impr Total]]-Inventory[[#This Row],[24Bldg]])/Inventory[[#This Row],[24Bldg]],0)</f>
        <v>8.0410607356715139E-2</v>
      </c>
      <c r="BT1393" s="36">
        <f>(Inventory[[#This Row],[Adjusted Land Total]]-Inventory[[#This Row],[24Lnd]])/Inventory[[#This Row],[24Lnd]]</f>
        <v>-0.39089184060721061</v>
      </c>
      <c r="BU1393" s="36">
        <f>(Inventory[[#This Row],[Adjusted Total]]-Inventory[[#This Row],[24Final]])/Inventory[[#This Row],[24Final]]</f>
        <v>-6.2827225130890054E-3</v>
      </c>
    </row>
    <row r="1394" spans="1:73" x14ac:dyDescent="0.3">
      <c r="A1394" s="25">
        <v>2025</v>
      </c>
      <c r="B1394" s="26" t="s">
        <v>976</v>
      </c>
      <c r="C1394" s="26">
        <f>LN(Inventory[[#This Row],[Acres]])</f>
        <v>-1.3470736479666092</v>
      </c>
      <c r="D1394" s="25">
        <v>0.26</v>
      </c>
      <c r="E1394" s="25">
        <v>11162</v>
      </c>
      <c r="F1394" s="26" t="s">
        <v>537</v>
      </c>
      <c r="G1394" s="26" t="s">
        <v>126</v>
      </c>
      <c r="H1394" s="26" t="s">
        <v>349</v>
      </c>
      <c r="I1394" s="26" t="s">
        <v>538</v>
      </c>
      <c r="J1394" s="26" t="s">
        <v>539</v>
      </c>
      <c r="K1394" s="26" t="s">
        <v>242</v>
      </c>
      <c r="L1394" s="26" t="s">
        <v>205</v>
      </c>
      <c r="M1394" s="26" t="s">
        <v>323</v>
      </c>
      <c r="N1394" s="26">
        <v>90</v>
      </c>
      <c r="O1394" s="26">
        <f>2024-Inventory[[#This Row],[YrBlt]]</f>
        <v>84</v>
      </c>
      <c r="P1394" s="26">
        <f>2024-Inventory[[#This Row],[EffYr]]</f>
        <v>52</v>
      </c>
      <c r="Q1394" s="25">
        <v>1940</v>
      </c>
      <c r="R1394" s="25">
        <v>1972</v>
      </c>
      <c r="S1394" s="25">
        <v>1120</v>
      </c>
      <c r="T1394" s="31"/>
      <c r="U1394" s="25">
        <v>1120</v>
      </c>
      <c r="V1394" s="32">
        <f>Inventory[[#This Row],[Bsmt]]-Inventory[[#This Row],[FnBsmt]]</f>
        <v>100</v>
      </c>
      <c r="W1394" s="32">
        <v>1020</v>
      </c>
      <c r="X1394" s="27"/>
      <c r="Y1394" s="27">
        <f>Inventory[[#This Row],[MainFn]]+Inventory[[#This Row],[UpprFn]]+Inventory[[#This Row],[FnBsmt]]+Inventory[[#This Row],[AddFn]]</f>
        <v>2140</v>
      </c>
      <c r="Z1394" s="27">
        <v>2500</v>
      </c>
      <c r="AA1394" s="25">
        <v>8</v>
      </c>
      <c r="AB1394" s="27"/>
      <c r="AC1394" s="27"/>
      <c r="AD1394" s="27"/>
      <c r="AE1394" s="27"/>
      <c r="AF1394" s="27"/>
      <c r="AG1394" s="27"/>
      <c r="AH1394" s="27"/>
      <c r="AI1394" s="25">
        <v>254451</v>
      </c>
      <c r="AJ1394" s="25">
        <v>173027</v>
      </c>
      <c r="AK1394" s="25">
        <v>0</v>
      </c>
      <c r="AL1394" s="25">
        <v>316100</v>
      </c>
      <c r="AM1394" s="25">
        <v>67600</v>
      </c>
      <c r="AN1394" s="25">
        <v>248500</v>
      </c>
      <c r="AO1394" s="25">
        <v>0</v>
      </c>
      <c r="AP1394" s="25">
        <f>Lookups!$B$56*0</f>
        <v>0</v>
      </c>
      <c r="AQ1394" s="25">
        <f>Lookups!$B$56*1</f>
        <v>89850.625589999996</v>
      </c>
      <c r="AR1394" s="25">
        <f>Lookups!$B$57*Inventory[[#This Row],[LnAcres]]</f>
        <v>-42641.098701210125</v>
      </c>
      <c r="AS1394" s="25">
        <f>VLOOKUP(Inventory[[#This Row],[Qlty]],Lookups!$A$62:$E$75,2,FALSE)</f>
        <v>0</v>
      </c>
      <c r="AT1394" s="25">
        <f>VLOOKUP(Inventory[[#This Row],[Cnd]],Lookups!$A$76:$E$84,2,FALSE)</f>
        <v>160472.20319</v>
      </c>
      <c r="AU1394" s="25">
        <f>Inventory[[#This Row],[EffAge]]*Lookups!$B$85</f>
        <v>-11598.371226000001</v>
      </c>
      <c r="AV1394" s="25">
        <f>Inventory[[#This Row],[MainFn]]*Lookups!$B$86</f>
        <v>55337.710262239998</v>
      </c>
      <c r="AW1394" s="25">
        <f>Inventory[[#This Row],[UpprFn]]*Lookups!$B$87</f>
        <v>0</v>
      </c>
      <c r="AX1394" s="25">
        <f>Inventory[[#This Row],[AddFn]]*Lookups!$B$88</f>
        <v>0</v>
      </c>
      <c r="AY1394" s="25">
        <f>Inventory[[#This Row],[Bsmt]]*Lookups!$B$89</f>
        <v>32571.722676639998</v>
      </c>
      <c r="AZ1394" s="25">
        <f>Inventory[[#This Row],[Fixtures]]*Lookups!$B$90</f>
        <v>30336.176841600001</v>
      </c>
      <c r="BA1394" s="25">
        <f>Inventory[[#This Row],[WdDeck]]*Lookups!$B$91</f>
        <v>0</v>
      </c>
      <c r="BB1394" s="25">
        <f>ROUND(Inventory[[#This Row],[25Det]],-2)</f>
        <v>0</v>
      </c>
      <c r="BC1394" s="25">
        <f>ROUND(SUM(Inventory[[#This Row],[Mdl Qlty]:[Mdl WdDeck]])+Inventory[[#This Row],[Mdl Res Intercept]],-2)</f>
        <v>267100</v>
      </c>
      <c r="BD1394" s="25">
        <f>ROUND(Inventory[[#This Row],[Mdl Land Intercept]]+Inventory[[#This Row],[Mdl LnAcres]],-2)</f>
        <v>47200</v>
      </c>
      <c r="BE1394" s="25">
        <f>Inventory[[#This Row],[Unadj Res Value]]+Inventory[[#This Row],[Unadj Det Value]]+Inventory[[#This Row],[Unadj Land Value]]</f>
        <v>314300</v>
      </c>
      <c r="BF1394" s="36">
        <f>(Inventory[[#This Row],[Unadj Total Value]]-Inventory[[#This Row],[24Final]])/Inventory[[#This Row],[24Final]]</f>
        <v>-5.6944005061689337E-3</v>
      </c>
      <c r="BG1394" s="25">
        <f>VLOOKUP(Inventory[[#This Row],[Nbhd]],Lookups!$Q$2:$T$4,4,FALSE)</f>
        <v>0.99970000000000003</v>
      </c>
      <c r="BH1394" s="25">
        <f>VLOOKUP(Inventory[[#This Row],[Qlty]],Lookups!$O$7:$R$21,4,FALSE)</f>
        <v>0.99180000000000001</v>
      </c>
      <c r="BI1394" s="25">
        <f>VLOOKUP(Inventory[[#This Row],[Cnd]],Lookups!$T$7:$W$16,4,FALSE)</f>
        <v>0.99729999999999996</v>
      </c>
      <c r="BJ1394" s="25">
        <f>VLOOKUP(Inventory[[#This Row],[LivArea Range]],Lookups!$T$25:$W$37,4,FALSE)</f>
        <v>0.98919999999999997</v>
      </c>
      <c r="BK1394" s="25">
        <f>VLOOKUP(Inventory[[#This Row],[Decade]],Lookups!$O$25:$R$42,4,FALSE)</f>
        <v>0.98909999999999998</v>
      </c>
      <c r="BL1394" s="25">
        <f>Inventory[[#This Row],[Nbhd Adj]]*0.95</f>
        <v>0.94971499999999998</v>
      </c>
      <c r="BM1394" s="25">
        <f>Inventory[[#This Row],[Nbhd Adj]]*Inventory[[#This Row],[Quality Adj]]*Inventory[[#This Row],[Condition Adj]]*Inventory[[#This Row],[Living Area Adj]]*Inventory[[#This Row],[Decade Adj]]*0.95</f>
        <v>0.91911008180003395</v>
      </c>
      <c r="BN1394" s="25">
        <f>ROUND(SUM(Inventory[[#This Row],[Mdl Qlty]:[Mdl WdDeck]])+Inventory[[#This Row],[Mdl Res Intercept]]*Inventory[[#This Row],[Res Adj ]],-2)</f>
        <v>267100</v>
      </c>
      <c r="BO1394" s="25">
        <f>ROUND(Inventory[[#This Row],[25Det]]*Inventory[[#This Row],[Det/Nbhd Adj]],-2)</f>
        <v>0</v>
      </c>
      <c r="BP1394" s="25">
        <f>Inventory[[#This Row],[Adjusted Res]]+Inventory[[#This Row],[Adj Det ]]</f>
        <v>267100</v>
      </c>
      <c r="BQ1394" s="25">
        <f>ROUND((Inventory[[#This Row],[Mdl Land Intercept]]+Inventory[[#This Row],[Mdl LnAcres]])*Inventory[[#This Row],[Det/Nbhd Adj]],-2)</f>
        <v>44800</v>
      </c>
      <c r="BR1394" s="25">
        <f>Inventory[[#This Row],[Adjusted Impr Total]]+Inventory[[#This Row],[Adjusted Land Total]]</f>
        <v>311900</v>
      </c>
      <c r="BS1394" s="36">
        <f>IFERROR((Inventory[[#This Row],[Adjusted Impr Total]]-Inventory[[#This Row],[24Bldg]])/Inventory[[#This Row],[24Bldg]],0)</f>
        <v>7.484909456740442E-2</v>
      </c>
      <c r="BT1394" s="36">
        <f>(Inventory[[#This Row],[Adjusted Land Total]]-Inventory[[#This Row],[24Lnd]])/Inventory[[#This Row],[24Lnd]]</f>
        <v>-0.33727810650887574</v>
      </c>
      <c r="BU1394" s="36">
        <f>(Inventory[[#This Row],[Adjusted Total]]-Inventory[[#This Row],[24Final]])/Inventory[[#This Row],[24Final]]</f>
        <v>-1.3286934514394179E-2</v>
      </c>
    </row>
    <row r="1395" spans="1:73" x14ac:dyDescent="0.3">
      <c r="A1395" s="25">
        <v>2025</v>
      </c>
      <c r="B1395" s="26" t="s">
        <v>2129</v>
      </c>
      <c r="C1395" s="26">
        <f>LN(Inventory[[#This Row],[Acres]])</f>
        <v>-1.2378743560016174</v>
      </c>
      <c r="D1395" s="25">
        <v>0.28999999999999998</v>
      </c>
      <c r="E1395" s="32">
        <v>12768</v>
      </c>
      <c r="F1395" s="26" t="s">
        <v>537</v>
      </c>
      <c r="G1395" s="26" t="s">
        <v>126</v>
      </c>
      <c r="H1395" s="26" t="s">
        <v>349</v>
      </c>
      <c r="I1395" s="26" t="s">
        <v>538</v>
      </c>
      <c r="J1395" s="26" t="s">
        <v>539</v>
      </c>
      <c r="K1395" s="26" t="s">
        <v>242</v>
      </c>
      <c r="L1395" s="26" t="s">
        <v>31</v>
      </c>
      <c r="M1395" s="26" t="s">
        <v>303</v>
      </c>
      <c r="N1395" s="26">
        <v>90</v>
      </c>
      <c r="O1395" s="26">
        <f>2024-Inventory[[#This Row],[YrBlt]]</f>
        <v>84</v>
      </c>
      <c r="P1395" s="26">
        <f>2024-Inventory[[#This Row],[EffYr]]</f>
        <v>30</v>
      </c>
      <c r="Q1395" s="25">
        <v>1940</v>
      </c>
      <c r="R1395" s="25">
        <v>1994</v>
      </c>
      <c r="S1395" s="25">
        <v>1260</v>
      </c>
      <c r="T1395" s="31"/>
      <c r="U1395" s="25">
        <v>572</v>
      </c>
      <c r="V1395" s="25">
        <f>Inventory[[#This Row],[Bsmt]]-Inventory[[#This Row],[FnBsmt]]</f>
        <v>572</v>
      </c>
      <c r="W1395" s="31"/>
      <c r="X1395" s="27"/>
      <c r="Y1395" s="27">
        <f>Inventory[[#This Row],[MainFn]]+Inventory[[#This Row],[UpprFn]]+Inventory[[#This Row],[FnBsmt]]+Inventory[[#This Row],[AddFn]]</f>
        <v>1260</v>
      </c>
      <c r="Z1395" s="27">
        <v>1500</v>
      </c>
      <c r="AA1395" s="25">
        <v>5</v>
      </c>
      <c r="AB1395" s="27"/>
      <c r="AC1395" s="31"/>
      <c r="AD1395" s="27"/>
      <c r="AE1395" s="27"/>
      <c r="AF1395" s="27"/>
      <c r="AG1395" s="27"/>
      <c r="AH1395" s="31"/>
      <c r="AI1395" s="25">
        <v>186545</v>
      </c>
      <c r="AJ1395" s="25">
        <v>160429</v>
      </c>
      <c r="AK1395" s="25">
        <v>7667</v>
      </c>
      <c r="AL1395" s="25">
        <v>304800</v>
      </c>
      <c r="AM1395" s="25">
        <v>71400</v>
      </c>
      <c r="AN1395" s="25">
        <v>233400</v>
      </c>
      <c r="AO1395" s="25">
        <v>0</v>
      </c>
      <c r="AP1395" s="25">
        <f>Lookups!$B$56*0</f>
        <v>0</v>
      </c>
      <c r="AQ1395" s="25">
        <f>Lookups!$B$56*1</f>
        <v>89850.625589999996</v>
      </c>
      <c r="AR1395" s="25">
        <f>Lookups!$B$57*Inventory[[#This Row],[LnAcres]]</f>
        <v>-39184.437074869042</v>
      </c>
      <c r="AS1395" s="25">
        <f>VLOOKUP(Inventory[[#This Row],[Qlty]],Lookups!$A$62:$E$75,2,FALSE)</f>
        <v>-43578.886190266698</v>
      </c>
      <c r="AT1395" s="25">
        <f>VLOOKUP(Inventory[[#This Row],[Cnd]],Lookups!$A$76:$E$84,2,FALSE)</f>
        <v>197752.34721000001</v>
      </c>
      <c r="AU1395" s="25">
        <f>Inventory[[#This Row],[EffAge]]*Lookups!$B$85</f>
        <v>-6691.368015</v>
      </c>
      <c r="AV1395" s="25">
        <f>Inventory[[#This Row],[MainFn]]*Lookups!$B$86</f>
        <v>62254.924045020001</v>
      </c>
      <c r="AW1395" s="25">
        <f>Inventory[[#This Row],[UpprFn]]*Lookups!$B$87</f>
        <v>0</v>
      </c>
      <c r="AX1395" s="25">
        <f>Inventory[[#This Row],[AddFn]]*Lookups!$B$88</f>
        <v>0</v>
      </c>
      <c r="AY1395" s="25">
        <f>Inventory[[#This Row],[Bsmt]]*Lookups!$B$89</f>
        <v>16634.844081283998</v>
      </c>
      <c r="AZ1395" s="25">
        <f>Inventory[[#This Row],[Fixtures]]*Lookups!$B$90</f>
        <v>18960.110526</v>
      </c>
      <c r="BA1395" s="25">
        <f>Inventory[[#This Row],[WdDeck]]*Lookups!$B$91</f>
        <v>0</v>
      </c>
      <c r="BB1395" s="25">
        <f>ROUND(Inventory[[#This Row],[25Det]],-2)</f>
        <v>7700</v>
      </c>
      <c r="BC1395" s="25">
        <f>ROUND(SUM(Inventory[[#This Row],[Mdl Qlty]:[Mdl WdDeck]])+Inventory[[#This Row],[Mdl Res Intercept]],-2)</f>
        <v>245300</v>
      </c>
      <c r="BD1395" s="25">
        <f>ROUND(Inventory[[#This Row],[Mdl Land Intercept]]+Inventory[[#This Row],[Mdl LnAcres]],-2)</f>
        <v>50700</v>
      </c>
      <c r="BE1395" s="25">
        <f>Inventory[[#This Row],[Unadj Res Value]]+Inventory[[#This Row],[Unadj Det Value]]+Inventory[[#This Row],[Unadj Land Value]]</f>
        <v>303700</v>
      </c>
      <c r="BF1395" s="36">
        <f>(Inventory[[#This Row],[Unadj Total Value]]-Inventory[[#This Row],[24Final]])/Inventory[[#This Row],[24Final]]</f>
        <v>-3.6089238845144356E-3</v>
      </c>
      <c r="BG1395" s="25">
        <f>VLOOKUP(Inventory[[#This Row],[Nbhd]],Lookups!$Q$2:$T$4,4,FALSE)</f>
        <v>0.99970000000000003</v>
      </c>
      <c r="BH1395" s="25">
        <f>VLOOKUP(Inventory[[#This Row],[Qlty]],Lookups!$O$7:$R$21,4,FALSE)</f>
        <v>1</v>
      </c>
      <c r="BI1395" s="25">
        <f>VLOOKUP(Inventory[[#This Row],[Cnd]],Lookups!$T$7:$W$16,4,FALSE)</f>
        <v>0.99650000000000005</v>
      </c>
      <c r="BJ1395" s="25">
        <f>VLOOKUP(Inventory[[#This Row],[LivArea Range]],Lookups!$T$25:$W$37,4,FALSE)</f>
        <v>1.0157</v>
      </c>
      <c r="BK1395" s="25">
        <f>VLOOKUP(Inventory[[#This Row],[Decade]],Lookups!$O$25:$R$42,4,FALSE)</f>
        <v>0.98909999999999998</v>
      </c>
      <c r="BL1395" s="25">
        <f>Inventory[[#This Row],[Nbhd Adj]]*0.95</f>
        <v>0.94971499999999998</v>
      </c>
      <c r="BM1395" s="25">
        <f>Inventory[[#This Row],[Nbhd Adj]]*Inventory[[#This Row],[Quality Adj]]*Inventory[[#This Row],[Condition Adj]]*Inventory[[#This Row],[Living Area Adj]]*Inventory[[#This Row],[Decade Adj]]*0.95</f>
        <v>0.95077171839659791</v>
      </c>
      <c r="BN1395" s="25">
        <f>ROUND(SUM(Inventory[[#This Row],[Mdl Qlty]:[Mdl WdDeck]])+Inventory[[#This Row],[Mdl Res Intercept]]*Inventory[[#This Row],[Res Adj ]],-2)</f>
        <v>245300</v>
      </c>
      <c r="BO1395" s="25">
        <f>ROUND(Inventory[[#This Row],[25Det]]*Inventory[[#This Row],[Det/Nbhd Adj]],-2)</f>
        <v>7300</v>
      </c>
      <c r="BP1395" s="25">
        <f>Inventory[[#This Row],[Adjusted Res]]+Inventory[[#This Row],[Adj Det ]]</f>
        <v>252600</v>
      </c>
      <c r="BQ1395" s="25">
        <f>ROUND((Inventory[[#This Row],[Mdl Land Intercept]]+Inventory[[#This Row],[Mdl LnAcres]])*Inventory[[#This Row],[Det/Nbhd Adj]],-2)</f>
        <v>48100</v>
      </c>
      <c r="BR1395" s="25">
        <f>Inventory[[#This Row],[Adjusted Impr Total]]+Inventory[[#This Row],[Adjusted Land Total]]</f>
        <v>300700</v>
      </c>
      <c r="BS1395" s="36">
        <f>IFERROR((Inventory[[#This Row],[Adjusted Impr Total]]-Inventory[[#This Row],[24Bldg]])/Inventory[[#This Row],[24Bldg]],0)</f>
        <v>8.2262210796915161E-2</v>
      </c>
      <c r="BT1395" s="36">
        <f>(Inventory[[#This Row],[Adjusted Land Total]]-Inventory[[#This Row],[24Lnd]])/Inventory[[#This Row],[24Lnd]]</f>
        <v>-0.32633053221288516</v>
      </c>
      <c r="BU1395" s="36">
        <f>(Inventory[[#This Row],[Adjusted Total]]-Inventory[[#This Row],[24Final]])/Inventory[[#This Row],[24Final]]</f>
        <v>-1.3451443569553806E-2</v>
      </c>
    </row>
    <row r="1396" spans="1:73" x14ac:dyDescent="0.3">
      <c r="A1396" s="25">
        <v>2025</v>
      </c>
      <c r="B1396" s="26" t="s">
        <v>1002</v>
      </c>
      <c r="C1396" s="26">
        <f>LN(Inventory[[#This Row],[Acres]])</f>
        <v>-2.0202707317519466E-2</v>
      </c>
      <c r="D1396" s="25">
        <v>0.98</v>
      </c>
      <c r="E1396" s="25">
        <v>42478</v>
      </c>
      <c r="F1396" s="26" t="s">
        <v>537</v>
      </c>
      <c r="G1396" s="26" t="s">
        <v>126</v>
      </c>
      <c r="H1396" s="26" t="s">
        <v>349</v>
      </c>
      <c r="I1396" s="26" t="s">
        <v>538</v>
      </c>
      <c r="J1396" s="26" t="s">
        <v>539</v>
      </c>
      <c r="K1396" s="26" t="s">
        <v>147</v>
      </c>
      <c r="L1396" s="26" t="s">
        <v>148</v>
      </c>
      <c r="M1396" s="26" t="s">
        <v>323</v>
      </c>
      <c r="N1396" s="26">
        <v>90</v>
      </c>
      <c r="O1396" s="26">
        <f>2024-Inventory[[#This Row],[YrBlt]]</f>
        <v>84</v>
      </c>
      <c r="P1396" s="26">
        <f>2024-Inventory[[#This Row],[EffYr]]</f>
        <v>52</v>
      </c>
      <c r="Q1396" s="25">
        <v>1940</v>
      </c>
      <c r="R1396" s="25">
        <v>1972</v>
      </c>
      <c r="S1396" s="25">
        <v>2412</v>
      </c>
      <c r="T1396" s="25">
        <v>1191</v>
      </c>
      <c r="U1396" s="25">
        <v>2151</v>
      </c>
      <c r="V1396" s="25">
        <f>Inventory[[#This Row],[Bsmt]]-Inventory[[#This Row],[FnBsmt]]</f>
        <v>656</v>
      </c>
      <c r="W1396" s="25">
        <v>1495</v>
      </c>
      <c r="X1396" s="27"/>
      <c r="Y1396" s="27">
        <f>Inventory[[#This Row],[MainFn]]+Inventory[[#This Row],[UpprFn]]+Inventory[[#This Row],[FnBsmt]]+Inventory[[#This Row],[AddFn]]</f>
        <v>5098</v>
      </c>
      <c r="Z1396" s="27">
        <v>5000</v>
      </c>
      <c r="AA1396" s="25">
        <v>15</v>
      </c>
      <c r="AB1396" s="27"/>
      <c r="AC1396" s="27"/>
      <c r="AD1396" s="27"/>
      <c r="AE1396" s="27"/>
      <c r="AF1396" s="27"/>
      <c r="AG1396" s="27"/>
      <c r="AH1396" s="27"/>
      <c r="AI1396" s="25">
        <v>855273</v>
      </c>
      <c r="AJ1396" s="25">
        <v>581586</v>
      </c>
      <c r="AK1396" s="25">
        <v>79211</v>
      </c>
      <c r="AL1396" s="25">
        <v>655800</v>
      </c>
      <c r="AM1396" s="25">
        <v>113800</v>
      </c>
      <c r="AN1396" s="25">
        <v>542000</v>
      </c>
      <c r="AO1396" s="25">
        <v>0</v>
      </c>
      <c r="AP1396" s="25">
        <f>Lookups!$B$56*0</f>
        <v>0</v>
      </c>
      <c r="AQ1396" s="25">
        <f>Lookups!$B$56*1</f>
        <v>89850.625589999996</v>
      </c>
      <c r="AR1396" s="25">
        <f>Lookups!$B$57*Inventory[[#This Row],[LnAcres]]</f>
        <v>-639.50893706396755</v>
      </c>
      <c r="AS1396" s="25">
        <f>VLOOKUP(Inventory[[#This Row],[Qlty]],Lookups!$A$62:$E$75,2,FALSE)</f>
        <v>44121.038090000002</v>
      </c>
      <c r="AT1396" s="25">
        <f>VLOOKUP(Inventory[[#This Row],[Cnd]],Lookups!$A$76:$E$84,2,FALSE)</f>
        <v>160472.20319</v>
      </c>
      <c r="AU1396" s="25">
        <f>Inventory[[#This Row],[EffAge]]*Lookups!$B$85</f>
        <v>-11598.371226000001</v>
      </c>
      <c r="AV1396" s="25">
        <f>Inventory[[#This Row],[MainFn]]*Lookups!$B$86</f>
        <v>119173.71174332401</v>
      </c>
      <c r="AW1396" s="25">
        <f>Inventory[[#This Row],[UpprFn]]*Lookups!$B$87</f>
        <v>53340.629627450995</v>
      </c>
      <c r="AX1396" s="25">
        <f>Inventory[[#This Row],[AddFn]]*Lookups!$B$88</f>
        <v>0</v>
      </c>
      <c r="AY1396" s="25">
        <f>Inventory[[#This Row],[Bsmt]]*Lookups!$B$89</f>
        <v>62555.156676296996</v>
      </c>
      <c r="AZ1396" s="25">
        <f>Inventory[[#This Row],[Fixtures]]*Lookups!$B$90</f>
        <v>56880.331578000005</v>
      </c>
      <c r="BA1396" s="25">
        <f>Inventory[[#This Row],[WdDeck]]*Lookups!$B$91</f>
        <v>0</v>
      </c>
      <c r="BB1396" s="25">
        <f>ROUND(Inventory[[#This Row],[25Det]],-2)</f>
        <v>79200</v>
      </c>
      <c r="BC1396" s="25">
        <f>ROUND(SUM(Inventory[[#This Row],[Mdl Qlty]:[Mdl WdDeck]])+Inventory[[#This Row],[Mdl Res Intercept]],-2)</f>
        <v>484900</v>
      </c>
      <c r="BD1396" s="25">
        <f>ROUND(Inventory[[#This Row],[Mdl Land Intercept]]+Inventory[[#This Row],[Mdl LnAcres]],-2)</f>
        <v>89200</v>
      </c>
      <c r="BE1396" s="25">
        <f>Inventory[[#This Row],[Unadj Res Value]]+Inventory[[#This Row],[Unadj Det Value]]+Inventory[[#This Row],[Unadj Land Value]]</f>
        <v>653300</v>
      </c>
      <c r="BF1396" s="36">
        <f>(Inventory[[#This Row],[Unadj Total Value]]-Inventory[[#This Row],[24Final]])/Inventory[[#This Row],[24Final]]</f>
        <v>-3.8121378469045441E-3</v>
      </c>
      <c r="BG1396" s="25">
        <f>VLOOKUP(Inventory[[#This Row],[Nbhd]],Lookups!$Q$2:$T$4,4,FALSE)</f>
        <v>0.99970000000000003</v>
      </c>
      <c r="BH1396" s="25">
        <f>VLOOKUP(Inventory[[#This Row],[Qlty]],Lookups!$O$7:$R$21,4,FALSE)</f>
        <v>0.98050000000000004</v>
      </c>
      <c r="BI1396" s="25">
        <f>VLOOKUP(Inventory[[#This Row],[Cnd]],Lookups!$T$7:$W$16,4,FALSE)</f>
        <v>0.99729999999999996</v>
      </c>
      <c r="BJ1396" s="25">
        <f>VLOOKUP(Inventory[[#This Row],[LivArea Range]],Lookups!$T$25:$W$37,4,FALSE)</f>
        <v>1</v>
      </c>
      <c r="BK1396" s="25">
        <f>VLOOKUP(Inventory[[#This Row],[Decade]],Lookups!$O$25:$R$42,4,FALSE)</f>
        <v>0.98909999999999998</v>
      </c>
      <c r="BL1396" s="25">
        <f>Inventory[[#This Row],[Nbhd Adj]]*0.95</f>
        <v>0.94971499999999998</v>
      </c>
      <c r="BM1396" s="25">
        <f>Inventory[[#This Row],[Nbhd Adj]]*Inventory[[#This Row],[Quality Adj]]*Inventory[[#This Row],[Condition Adj]]*Inventory[[#This Row],[Living Area Adj]]*Inventory[[#This Row],[Decade Adj]]*0.95</f>
        <v>0.91855870300325715</v>
      </c>
      <c r="BN1396" s="25">
        <f>ROUND(SUM(Inventory[[#This Row],[Mdl Qlty]:[Mdl WdDeck]])+Inventory[[#This Row],[Mdl Res Intercept]]*Inventory[[#This Row],[Res Adj ]],-2)</f>
        <v>484900</v>
      </c>
      <c r="BO1396" s="25">
        <f>ROUND(Inventory[[#This Row],[25Det]]*Inventory[[#This Row],[Det/Nbhd Adj]],-2)</f>
        <v>75200</v>
      </c>
      <c r="BP1396" s="25">
        <f>Inventory[[#This Row],[Adjusted Res]]+Inventory[[#This Row],[Adj Det ]]</f>
        <v>560100</v>
      </c>
      <c r="BQ1396" s="25">
        <f>ROUND((Inventory[[#This Row],[Mdl Land Intercept]]+Inventory[[#This Row],[Mdl LnAcres]])*Inventory[[#This Row],[Det/Nbhd Adj]],-2)</f>
        <v>84700</v>
      </c>
      <c r="BR1396" s="25">
        <f>Inventory[[#This Row],[Adjusted Impr Total]]+Inventory[[#This Row],[Adjusted Land Total]]</f>
        <v>644800</v>
      </c>
      <c r="BS1396" s="36">
        <f>IFERROR((Inventory[[#This Row],[Adjusted Impr Total]]-Inventory[[#This Row],[24Bldg]])/Inventory[[#This Row],[24Bldg]],0)</f>
        <v>3.3394833948339482E-2</v>
      </c>
      <c r="BT1396" s="36">
        <f>(Inventory[[#This Row],[Adjusted Land Total]]-Inventory[[#This Row],[24Lnd]])/Inventory[[#This Row],[24Lnd]]</f>
        <v>-0.25571177504393672</v>
      </c>
      <c r="BU1396" s="36">
        <f>(Inventory[[#This Row],[Adjusted Total]]-Inventory[[#This Row],[24Final]])/Inventory[[#This Row],[24Final]]</f>
        <v>-1.6773406526379993E-2</v>
      </c>
    </row>
    <row r="1397" spans="1:73" x14ac:dyDescent="0.3">
      <c r="A1397" s="25">
        <v>2025</v>
      </c>
      <c r="B1397" s="26" t="s">
        <v>966</v>
      </c>
      <c r="C1397" s="26">
        <f>LN(Inventory[[#This Row],[Acres]])</f>
        <v>-1.5141277326297755</v>
      </c>
      <c r="D1397" s="25">
        <v>0.22</v>
      </c>
      <c r="E1397" s="32">
        <v>9723</v>
      </c>
      <c r="F1397" s="26" t="s">
        <v>537</v>
      </c>
      <c r="G1397" s="26" t="s">
        <v>126</v>
      </c>
      <c r="H1397" s="26" t="s">
        <v>349</v>
      </c>
      <c r="I1397" s="26" t="s">
        <v>538</v>
      </c>
      <c r="J1397" s="26" t="s">
        <v>539</v>
      </c>
      <c r="K1397" s="26" t="s">
        <v>241</v>
      </c>
      <c r="L1397" s="26" t="s">
        <v>95</v>
      </c>
      <c r="M1397" s="26" t="s">
        <v>303</v>
      </c>
      <c r="N1397" s="26">
        <v>90</v>
      </c>
      <c r="O1397" s="26">
        <f>2024-Inventory[[#This Row],[YrBlt]]</f>
        <v>84</v>
      </c>
      <c r="P1397" s="26">
        <f>2024-Inventory[[#This Row],[EffYr]]</f>
        <v>52</v>
      </c>
      <c r="Q1397" s="25">
        <v>1940</v>
      </c>
      <c r="R1397" s="25">
        <v>1972</v>
      </c>
      <c r="S1397" s="25">
        <v>1530</v>
      </c>
      <c r="T1397" s="31"/>
      <c r="U1397" s="25">
        <v>1012</v>
      </c>
      <c r="V1397" s="32">
        <f>Inventory[[#This Row],[Bsmt]]-Inventory[[#This Row],[FnBsmt]]</f>
        <v>0</v>
      </c>
      <c r="W1397" s="32">
        <v>1012</v>
      </c>
      <c r="X1397" s="27"/>
      <c r="Y1397" s="27">
        <f>Inventory[[#This Row],[MainFn]]+Inventory[[#This Row],[UpprFn]]+Inventory[[#This Row],[FnBsmt]]+Inventory[[#This Row],[AddFn]]</f>
        <v>2542</v>
      </c>
      <c r="Z1397" s="27">
        <v>3000</v>
      </c>
      <c r="AA1397" s="25">
        <v>9</v>
      </c>
      <c r="AB1397" s="27"/>
      <c r="AC1397" s="27"/>
      <c r="AD1397" s="31"/>
      <c r="AE1397" s="27"/>
      <c r="AF1397" s="27"/>
      <c r="AG1397" s="27"/>
      <c r="AH1397" s="27"/>
      <c r="AI1397" s="25">
        <v>529831</v>
      </c>
      <c r="AJ1397" s="25">
        <v>376180</v>
      </c>
      <c r="AK1397" s="25">
        <v>8156</v>
      </c>
      <c r="AL1397" s="25">
        <v>454800</v>
      </c>
      <c r="AM1397" s="25">
        <v>61700</v>
      </c>
      <c r="AN1397" s="25">
        <v>393100</v>
      </c>
      <c r="AO1397" s="25">
        <v>0</v>
      </c>
      <c r="AP1397" s="25">
        <f>Lookups!$B$56*0</f>
        <v>0</v>
      </c>
      <c r="AQ1397" s="25">
        <f>Lookups!$B$56*1</f>
        <v>89850.625589999996</v>
      </c>
      <c r="AR1397" s="25">
        <f>Lookups!$B$57*Inventory[[#This Row],[LnAcres]]</f>
        <v>-47929.131559187132</v>
      </c>
      <c r="AS1397" s="25">
        <f>VLOOKUP(Inventory[[#This Row],[Qlty]],Lookups!$A$62:$E$75,2,FALSE)</f>
        <v>74268.409664999999</v>
      </c>
      <c r="AT1397" s="25">
        <f>VLOOKUP(Inventory[[#This Row],[Cnd]],Lookups!$A$76:$E$84,2,FALSE)</f>
        <v>197752.34721000001</v>
      </c>
      <c r="AU1397" s="25">
        <f>Inventory[[#This Row],[EffAge]]*Lookups!$B$85</f>
        <v>-11598.371226000001</v>
      </c>
      <c r="AV1397" s="25">
        <f>Inventory[[#This Row],[MainFn]]*Lookups!$B$86</f>
        <v>75595.264911810009</v>
      </c>
      <c r="AW1397" s="25">
        <f>Inventory[[#This Row],[UpprFn]]*Lookups!$B$87</f>
        <v>0</v>
      </c>
      <c r="AX1397" s="25">
        <f>Inventory[[#This Row],[AddFn]]*Lookups!$B$88</f>
        <v>0</v>
      </c>
      <c r="AY1397" s="25">
        <f>Inventory[[#This Row],[Bsmt]]*Lookups!$B$89</f>
        <v>29430.877989963999</v>
      </c>
      <c r="AZ1397" s="25">
        <f>Inventory[[#This Row],[Fixtures]]*Lookups!$B$90</f>
        <v>34128.198946800003</v>
      </c>
      <c r="BA1397" s="25">
        <f>Inventory[[#This Row],[WdDeck]]*Lookups!$B$91</f>
        <v>0</v>
      </c>
      <c r="BB1397" s="25">
        <f>ROUND(Inventory[[#This Row],[25Det]],-2)</f>
        <v>8200</v>
      </c>
      <c r="BC1397" s="25">
        <f>ROUND(SUM(Inventory[[#This Row],[Mdl Qlty]:[Mdl WdDeck]])+Inventory[[#This Row],[Mdl Res Intercept]],-2)</f>
        <v>399600</v>
      </c>
      <c r="BD1397" s="25">
        <f>ROUND(Inventory[[#This Row],[Mdl Land Intercept]]+Inventory[[#This Row],[Mdl LnAcres]],-2)</f>
        <v>41900</v>
      </c>
      <c r="BE1397" s="25">
        <f>Inventory[[#This Row],[Unadj Res Value]]+Inventory[[#This Row],[Unadj Det Value]]+Inventory[[#This Row],[Unadj Land Value]]</f>
        <v>449700</v>
      </c>
      <c r="BF1397" s="36">
        <f>(Inventory[[#This Row],[Unadj Total Value]]-Inventory[[#This Row],[24Final]])/Inventory[[#This Row],[24Final]]</f>
        <v>-1.1213720316622692E-2</v>
      </c>
      <c r="BG1397" s="25">
        <f>VLOOKUP(Inventory[[#This Row],[Nbhd]],Lookups!$Q$2:$T$4,4,FALSE)</f>
        <v>0.99970000000000003</v>
      </c>
      <c r="BH1397" s="25">
        <f>VLOOKUP(Inventory[[#This Row],[Qlty]],Lookups!$O$7:$R$21,4,FALSE)</f>
        <v>0.98380000000000001</v>
      </c>
      <c r="BI1397" s="25">
        <f>VLOOKUP(Inventory[[#This Row],[Cnd]],Lookups!$T$7:$W$16,4,FALSE)</f>
        <v>0.99650000000000005</v>
      </c>
      <c r="BJ1397" s="25">
        <f>VLOOKUP(Inventory[[#This Row],[LivArea Range]],Lookups!$T$25:$W$37,4,FALSE)</f>
        <v>0.96179999999999999</v>
      </c>
      <c r="BK1397" s="25">
        <f>VLOOKUP(Inventory[[#This Row],[Decade]],Lookups!$O$25:$R$42,4,FALSE)</f>
        <v>0.98909999999999998</v>
      </c>
      <c r="BL1397" s="25">
        <f>Inventory[[#This Row],[Nbhd Adj]]*0.95</f>
        <v>0.94971499999999998</v>
      </c>
      <c r="BM1397" s="25">
        <f>Inventory[[#This Row],[Nbhd Adj]]*Inventory[[#This Row],[Quality Adj]]*Inventory[[#This Row],[Condition Adj]]*Inventory[[#This Row],[Living Area Adj]]*Inventory[[#This Row],[Decade Adj]]*0.95</f>
        <v>0.88573211822982711</v>
      </c>
      <c r="BN1397" s="25">
        <f>ROUND(SUM(Inventory[[#This Row],[Mdl Qlty]:[Mdl WdDeck]])+Inventory[[#This Row],[Mdl Res Intercept]]*Inventory[[#This Row],[Res Adj ]],-2)</f>
        <v>399600</v>
      </c>
      <c r="BO1397" s="25">
        <f>ROUND(Inventory[[#This Row],[25Det]]*Inventory[[#This Row],[Det/Nbhd Adj]],-2)</f>
        <v>7700</v>
      </c>
      <c r="BP1397" s="25">
        <f>Inventory[[#This Row],[Adjusted Res]]+Inventory[[#This Row],[Adj Det ]]</f>
        <v>407300</v>
      </c>
      <c r="BQ1397" s="25">
        <f>ROUND((Inventory[[#This Row],[Mdl Land Intercept]]+Inventory[[#This Row],[Mdl LnAcres]])*Inventory[[#This Row],[Det/Nbhd Adj]],-2)</f>
        <v>39800</v>
      </c>
      <c r="BR1397" s="25">
        <f>Inventory[[#This Row],[Adjusted Impr Total]]+Inventory[[#This Row],[Adjusted Land Total]]</f>
        <v>447100</v>
      </c>
      <c r="BS1397" s="36">
        <f>IFERROR((Inventory[[#This Row],[Adjusted Impr Total]]-Inventory[[#This Row],[24Bldg]])/Inventory[[#This Row],[24Bldg]],0)</f>
        <v>3.6123123887051641E-2</v>
      </c>
      <c r="BT1397" s="36">
        <f>(Inventory[[#This Row],[Adjusted Land Total]]-Inventory[[#This Row],[24Lnd]])/Inventory[[#This Row],[24Lnd]]</f>
        <v>-0.35494327390599678</v>
      </c>
      <c r="BU1397" s="36">
        <f>(Inventory[[#This Row],[Adjusted Total]]-Inventory[[#This Row],[24Final]])/Inventory[[#This Row],[24Final]]</f>
        <v>-1.6930518909410729E-2</v>
      </c>
    </row>
    <row r="1398" spans="1:73" x14ac:dyDescent="0.3">
      <c r="A1398" s="25">
        <v>2025</v>
      </c>
      <c r="B1398" s="26" t="s">
        <v>2852</v>
      </c>
      <c r="C1398" s="26">
        <f>LN(Inventory[[#This Row],[Acres]])</f>
        <v>-1.2039728043259361</v>
      </c>
      <c r="D1398" s="25">
        <v>0.3</v>
      </c>
      <c r="E1398" s="31"/>
      <c r="F1398" s="26" t="s">
        <v>537</v>
      </c>
      <c r="G1398" s="26" t="s">
        <v>126</v>
      </c>
      <c r="H1398" s="26" t="s">
        <v>349</v>
      </c>
      <c r="I1398" s="26" t="s">
        <v>538</v>
      </c>
      <c r="J1398" s="26" t="s">
        <v>539</v>
      </c>
      <c r="K1398" s="26" t="s">
        <v>4</v>
      </c>
      <c r="L1398" s="26" t="s">
        <v>64</v>
      </c>
      <c r="M1398" s="26" t="s">
        <v>323</v>
      </c>
      <c r="N1398" s="26">
        <v>90</v>
      </c>
      <c r="O1398" s="26">
        <f>2024-Inventory[[#This Row],[YrBlt]]</f>
        <v>84</v>
      </c>
      <c r="P1398" s="26">
        <f>2024-Inventory[[#This Row],[EffYr]]</f>
        <v>52</v>
      </c>
      <c r="Q1398" s="25">
        <v>1940</v>
      </c>
      <c r="R1398" s="25">
        <v>1972</v>
      </c>
      <c r="S1398" s="25">
        <v>2547</v>
      </c>
      <c r="T1398" s="27"/>
      <c r="U1398" s="25">
        <v>1557</v>
      </c>
      <c r="V1398" s="25">
        <f>Inventory[[#This Row],[Bsmt]]-Inventory[[#This Row],[FnBsmt]]</f>
        <v>1248</v>
      </c>
      <c r="W1398" s="25">
        <v>309</v>
      </c>
      <c r="X1398" s="27"/>
      <c r="Y1398" s="27">
        <f>Inventory[[#This Row],[MainFn]]+Inventory[[#This Row],[UpprFn]]+Inventory[[#This Row],[FnBsmt]]+Inventory[[#This Row],[AddFn]]</f>
        <v>2856</v>
      </c>
      <c r="Z1398" s="27">
        <v>3000</v>
      </c>
      <c r="AA1398" s="25">
        <v>15</v>
      </c>
      <c r="AB1398" s="32">
        <v>648</v>
      </c>
      <c r="AC1398" s="27"/>
      <c r="AD1398" s="27"/>
      <c r="AE1398" s="27"/>
      <c r="AF1398" s="27"/>
      <c r="AG1398" s="27"/>
      <c r="AH1398" s="27"/>
      <c r="AI1398" s="25">
        <v>800512</v>
      </c>
      <c r="AJ1398" s="25">
        <v>552353</v>
      </c>
      <c r="AK1398" s="25">
        <v>0</v>
      </c>
      <c r="AL1398" s="25">
        <v>600800</v>
      </c>
      <c r="AM1398" s="25">
        <v>72500</v>
      </c>
      <c r="AN1398" s="25">
        <v>528300</v>
      </c>
      <c r="AO1398" s="25">
        <v>0</v>
      </c>
      <c r="AP1398" s="25">
        <f>Lookups!$B$56*0</f>
        <v>0</v>
      </c>
      <c r="AQ1398" s="25">
        <f>Lookups!$B$56*1</f>
        <v>89850.625589999996</v>
      </c>
      <c r="AR1398" s="25">
        <f>Lookups!$B$57*Inventory[[#This Row],[LnAcres]]</f>
        <v>-38111.29648355169</v>
      </c>
      <c r="AS1398" s="25">
        <f>VLOOKUP(Inventory[[#This Row],[Qlty]],Lookups!$A$62:$E$75,2,FALSE)</f>
        <v>163885.03753</v>
      </c>
      <c r="AT1398" s="25">
        <f>VLOOKUP(Inventory[[#This Row],[Cnd]],Lookups!$A$76:$E$84,2,FALSE)</f>
        <v>160472.20319</v>
      </c>
      <c r="AU1398" s="25">
        <f>Inventory[[#This Row],[EffAge]]*Lookups!$B$85</f>
        <v>-11598.371226000001</v>
      </c>
      <c r="AV1398" s="25">
        <f>Inventory[[#This Row],[MainFn]]*Lookups!$B$86</f>
        <v>125843.88217671901</v>
      </c>
      <c r="AW1398" s="25">
        <f>Inventory[[#This Row],[UpprFn]]*Lookups!$B$87</f>
        <v>0</v>
      </c>
      <c r="AX1398" s="25">
        <f>Inventory[[#This Row],[AddFn]]*Lookups!$B$88</f>
        <v>0</v>
      </c>
      <c r="AY1398" s="25">
        <f>Inventory[[#This Row],[Bsmt]]*Lookups!$B$89</f>
        <v>45280.510899579</v>
      </c>
      <c r="AZ1398" s="25">
        <f>Inventory[[#This Row],[Fixtures]]*Lookups!$B$90</f>
        <v>56880.331578000005</v>
      </c>
      <c r="BA1398" s="25">
        <f>Inventory[[#This Row],[WdDeck]]*Lookups!$B$91</f>
        <v>0</v>
      </c>
      <c r="BB1398" s="25">
        <f>ROUND(Inventory[[#This Row],[25Det]],-2)</f>
        <v>0</v>
      </c>
      <c r="BC1398" s="25">
        <f>ROUND(SUM(Inventory[[#This Row],[Mdl Qlty]:[Mdl WdDeck]])+Inventory[[#This Row],[Mdl Res Intercept]],-2)</f>
        <v>540800</v>
      </c>
      <c r="BD1398" s="25">
        <f>ROUND(Inventory[[#This Row],[Mdl Land Intercept]]+Inventory[[#This Row],[Mdl LnAcres]],-2)</f>
        <v>51700</v>
      </c>
      <c r="BE1398" s="25">
        <f>Inventory[[#This Row],[Unadj Res Value]]+Inventory[[#This Row],[Unadj Det Value]]+Inventory[[#This Row],[Unadj Land Value]]</f>
        <v>592500</v>
      </c>
      <c r="BF1398" s="36">
        <f>(Inventory[[#This Row],[Unadj Total Value]]-Inventory[[#This Row],[24Final]])/Inventory[[#This Row],[24Final]]</f>
        <v>-1.3814913448735019E-2</v>
      </c>
      <c r="BG1398" s="25">
        <f>VLOOKUP(Inventory[[#This Row],[Nbhd]],Lookups!$Q$2:$T$4,4,FALSE)</f>
        <v>0.99970000000000003</v>
      </c>
      <c r="BH1398" s="25">
        <f>VLOOKUP(Inventory[[#This Row],[Qlty]],Lookups!$O$7:$R$21,4,FALSE)</f>
        <v>1</v>
      </c>
      <c r="BI1398" s="25">
        <f>VLOOKUP(Inventory[[#This Row],[Cnd]],Lookups!$T$7:$W$16,4,FALSE)</f>
        <v>0.99729999999999996</v>
      </c>
      <c r="BJ1398" s="25">
        <f>VLOOKUP(Inventory[[#This Row],[LivArea Range]],Lookups!$T$25:$W$37,4,FALSE)</f>
        <v>0.96179999999999999</v>
      </c>
      <c r="BK1398" s="25">
        <f>VLOOKUP(Inventory[[#This Row],[Decade]],Lookups!$O$25:$R$42,4,FALSE)</f>
        <v>0.98909999999999998</v>
      </c>
      <c r="BL1398" s="25">
        <f>Inventory[[#This Row],[Nbhd Adj]]*0.95</f>
        <v>0.94971499999999998</v>
      </c>
      <c r="BM1398" s="25">
        <f>Inventory[[#This Row],[Nbhd Adj]]*Inventory[[#This Row],[Quality Adj]]*Inventory[[#This Row],[Condition Adj]]*Inventory[[#This Row],[Living Area Adj]]*Inventory[[#This Row],[Decade Adj]]*0.95</f>
        <v>0.9010400413549543</v>
      </c>
      <c r="BN1398" s="25">
        <f>ROUND(SUM(Inventory[[#This Row],[Mdl Qlty]:[Mdl WdDeck]])+Inventory[[#This Row],[Mdl Res Intercept]]*Inventory[[#This Row],[Res Adj ]],-2)</f>
        <v>540800</v>
      </c>
      <c r="BO1398" s="25">
        <f>ROUND(Inventory[[#This Row],[25Det]]*Inventory[[#This Row],[Det/Nbhd Adj]],-2)</f>
        <v>0</v>
      </c>
      <c r="BP1398" s="25">
        <f>Inventory[[#This Row],[Adjusted Res]]+Inventory[[#This Row],[Adj Det ]]</f>
        <v>540800</v>
      </c>
      <c r="BQ1398" s="25">
        <f>ROUND((Inventory[[#This Row],[Mdl Land Intercept]]+Inventory[[#This Row],[Mdl LnAcres]])*Inventory[[#This Row],[Det/Nbhd Adj]],-2)</f>
        <v>49100</v>
      </c>
      <c r="BR1398" s="25">
        <f>Inventory[[#This Row],[Adjusted Impr Total]]+Inventory[[#This Row],[Adjusted Land Total]]</f>
        <v>589900</v>
      </c>
      <c r="BS1398" s="36">
        <f>IFERROR((Inventory[[#This Row],[Adjusted Impr Total]]-Inventory[[#This Row],[24Bldg]])/Inventory[[#This Row],[24Bldg]],0)</f>
        <v>2.3660798788567101E-2</v>
      </c>
      <c r="BT1398" s="36">
        <f>(Inventory[[#This Row],[Adjusted Land Total]]-Inventory[[#This Row],[24Lnd]])/Inventory[[#This Row],[24Lnd]]</f>
        <v>-0.32275862068965516</v>
      </c>
      <c r="BU1398" s="36">
        <f>(Inventory[[#This Row],[Adjusted Total]]-Inventory[[#This Row],[24Final]])/Inventory[[#This Row],[24Final]]</f>
        <v>-1.8142476697736352E-2</v>
      </c>
    </row>
    <row r="1399" spans="1:73" x14ac:dyDescent="0.3">
      <c r="A1399" s="25">
        <v>2025</v>
      </c>
      <c r="B1399" s="26" t="s">
        <v>1689</v>
      </c>
      <c r="C1399" s="26">
        <f>LN(Inventory[[#This Row],[Acres]])</f>
        <v>-1.1086626245216111</v>
      </c>
      <c r="D1399" s="25">
        <v>0.33</v>
      </c>
      <c r="E1399" s="25">
        <v>14350</v>
      </c>
      <c r="F1399" s="26" t="s">
        <v>537</v>
      </c>
      <c r="G1399" s="26" t="s">
        <v>126</v>
      </c>
      <c r="H1399" s="26" t="s">
        <v>349</v>
      </c>
      <c r="I1399" s="26" t="s">
        <v>538</v>
      </c>
      <c r="J1399" s="26" t="s">
        <v>539</v>
      </c>
      <c r="K1399" s="26" t="s">
        <v>242</v>
      </c>
      <c r="L1399" s="26" t="s">
        <v>95</v>
      </c>
      <c r="M1399" s="26" t="s">
        <v>303</v>
      </c>
      <c r="N1399" s="26">
        <v>90</v>
      </c>
      <c r="O1399" s="26">
        <f>2024-Inventory[[#This Row],[YrBlt]]</f>
        <v>84</v>
      </c>
      <c r="P1399" s="26">
        <f>2024-Inventory[[#This Row],[EffYr]]</f>
        <v>52</v>
      </c>
      <c r="Q1399" s="25">
        <v>1940</v>
      </c>
      <c r="R1399" s="25">
        <v>1972</v>
      </c>
      <c r="S1399" s="25">
        <v>2152</v>
      </c>
      <c r="T1399" s="27"/>
      <c r="U1399" s="32">
        <v>1487</v>
      </c>
      <c r="V1399" s="32">
        <f>Inventory[[#This Row],[Bsmt]]-Inventory[[#This Row],[FnBsmt]]</f>
        <v>0</v>
      </c>
      <c r="W1399" s="32">
        <v>1487</v>
      </c>
      <c r="X1399" s="27"/>
      <c r="Y1399" s="27">
        <f>Inventory[[#This Row],[MainFn]]+Inventory[[#This Row],[UpprFn]]+Inventory[[#This Row],[FnBsmt]]+Inventory[[#This Row],[AddFn]]</f>
        <v>3639</v>
      </c>
      <c r="Z1399" s="27">
        <v>4000</v>
      </c>
      <c r="AA1399" s="25">
        <v>13</v>
      </c>
      <c r="AB1399" s="31"/>
      <c r="AC1399" s="27"/>
      <c r="AD1399" s="27"/>
      <c r="AE1399" s="27"/>
      <c r="AF1399" s="27"/>
      <c r="AG1399" s="27"/>
      <c r="AH1399" s="27"/>
      <c r="AI1399" s="25">
        <v>709568</v>
      </c>
      <c r="AJ1399" s="25">
        <v>503793</v>
      </c>
      <c r="AK1399" s="25">
        <v>0</v>
      </c>
      <c r="AL1399" s="25">
        <v>523700</v>
      </c>
      <c r="AM1399" s="25">
        <v>75900</v>
      </c>
      <c r="AN1399" s="25">
        <v>447800</v>
      </c>
      <c r="AO1399" s="25">
        <v>0</v>
      </c>
      <c r="AP1399" s="25">
        <f>Lookups!$B$56*0</f>
        <v>0</v>
      </c>
      <c r="AQ1399" s="25">
        <f>Lookups!$B$56*1</f>
        <v>89850.625589999996</v>
      </c>
      <c r="AR1399" s="25">
        <f>Lookups!$B$57*Inventory[[#This Row],[LnAcres]]</f>
        <v>-35094.289365640165</v>
      </c>
      <c r="AS1399" s="25">
        <f>VLOOKUP(Inventory[[#This Row],[Qlty]],Lookups!$A$62:$E$75,2,FALSE)</f>
        <v>74268.409664999999</v>
      </c>
      <c r="AT1399" s="25">
        <f>VLOOKUP(Inventory[[#This Row],[Cnd]],Lookups!$A$76:$E$84,2,FALSE)</f>
        <v>197752.34721000001</v>
      </c>
      <c r="AU1399" s="25">
        <f>Inventory[[#This Row],[EffAge]]*Lookups!$B$85</f>
        <v>-11598.371226000001</v>
      </c>
      <c r="AV1399" s="25">
        <f>Inventory[[#This Row],[MainFn]]*Lookups!$B$86</f>
        <v>106327.457575304</v>
      </c>
      <c r="AW1399" s="25">
        <f>Inventory[[#This Row],[UpprFn]]*Lookups!$B$87</f>
        <v>0</v>
      </c>
      <c r="AX1399" s="25">
        <f>Inventory[[#This Row],[AddFn]]*Lookups!$B$88</f>
        <v>0</v>
      </c>
      <c r="AY1399" s="25">
        <f>Inventory[[#This Row],[Bsmt]]*Lookups!$B$89</f>
        <v>43244.778232288998</v>
      </c>
      <c r="AZ1399" s="25">
        <f>Inventory[[#This Row],[Fixtures]]*Lookups!$B$90</f>
        <v>49296.287367600002</v>
      </c>
      <c r="BA1399" s="25">
        <f>Inventory[[#This Row],[WdDeck]]*Lookups!$B$91</f>
        <v>0</v>
      </c>
      <c r="BB1399" s="25">
        <f>ROUND(Inventory[[#This Row],[25Det]],-2)</f>
        <v>0</v>
      </c>
      <c r="BC1399" s="25">
        <f>ROUND(SUM(Inventory[[#This Row],[Mdl Qlty]:[Mdl WdDeck]])+Inventory[[#This Row],[Mdl Res Intercept]],-2)</f>
        <v>459300</v>
      </c>
      <c r="BD1399" s="25">
        <f>ROUND(Inventory[[#This Row],[Mdl Land Intercept]]+Inventory[[#This Row],[Mdl LnAcres]],-2)</f>
        <v>54800</v>
      </c>
      <c r="BE1399" s="25">
        <f>Inventory[[#This Row],[Unadj Res Value]]+Inventory[[#This Row],[Unadj Det Value]]+Inventory[[#This Row],[Unadj Land Value]]</f>
        <v>514100</v>
      </c>
      <c r="BF1399" s="36">
        <f>(Inventory[[#This Row],[Unadj Total Value]]-Inventory[[#This Row],[24Final]])/Inventory[[#This Row],[24Final]]</f>
        <v>-1.8331105594806187E-2</v>
      </c>
      <c r="BG1399" s="25">
        <f>VLOOKUP(Inventory[[#This Row],[Nbhd]],Lookups!$Q$2:$T$4,4,FALSE)</f>
        <v>0.99970000000000003</v>
      </c>
      <c r="BH1399" s="25">
        <f>VLOOKUP(Inventory[[#This Row],[Qlty]],Lookups!$O$7:$R$21,4,FALSE)</f>
        <v>0.98380000000000001</v>
      </c>
      <c r="BI1399" s="25">
        <f>VLOOKUP(Inventory[[#This Row],[Cnd]],Lookups!$T$7:$W$16,4,FALSE)</f>
        <v>0.99650000000000005</v>
      </c>
      <c r="BJ1399" s="25">
        <f>VLOOKUP(Inventory[[#This Row],[LivArea Range]],Lookups!$T$25:$W$37,4,FALSE)</f>
        <v>0.94579999999999997</v>
      </c>
      <c r="BK1399" s="25">
        <f>VLOOKUP(Inventory[[#This Row],[Decade]],Lookups!$O$25:$R$42,4,FALSE)</f>
        <v>0.98909999999999998</v>
      </c>
      <c r="BL1399" s="25">
        <f>Inventory[[#This Row],[Nbhd Adj]]*0.95</f>
        <v>0.94971499999999998</v>
      </c>
      <c r="BM1399" s="25">
        <f>Inventory[[#This Row],[Nbhd Adj]]*Inventory[[#This Row],[Quality Adj]]*Inventory[[#This Row],[Condition Adj]]*Inventory[[#This Row],[Living Area Adj]]*Inventory[[#This Row],[Decade Adj]]*0.95</f>
        <v>0.87099754358678572</v>
      </c>
      <c r="BN1399" s="25">
        <f>ROUND(SUM(Inventory[[#This Row],[Mdl Qlty]:[Mdl WdDeck]])+Inventory[[#This Row],[Mdl Res Intercept]]*Inventory[[#This Row],[Res Adj ]],-2)</f>
        <v>459300</v>
      </c>
      <c r="BO1399" s="25">
        <f>ROUND(Inventory[[#This Row],[25Det]]*Inventory[[#This Row],[Det/Nbhd Adj]],-2)</f>
        <v>0</v>
      </c>
      <c r="BP1399" s="25">
        <f>Inventory[[#This Row],[Adjusted Res]]+Inventory[[#This Row],[Adj Det ]]</f>
        <v>459300</v>
      </c>
      <c r="BQ1399" s="25">
        <f>ROUND((Inventory[[#This Row],[Mdl Land Intercept]]+Inventory[[#This Row],[Mdl LnAcres]])*Inventory[[#This Row],[Det/Nbhd Adj]],-2)</f>
        <v>52000</v>
      </c>
      <c r="BR1399" s="25">
        <f>Inventory[[#This Row],[Adjusted Impr Total]]+Inventory[[#This Row],[Adjusted Land Total]]</f>
        <v>511300</v>
      </c>
      <c r="BS1399" s="36">
        <f>IFERROR((Inventory[[#This Row],[Adjusted Impr Total]]-Inventory[[#This Row],[24Bldg]])/Inventory[[#This Row],[24Bldg]],0)</f>
        <v>2.5681107637338097E-2</v>
      </c>
      <c r="BT1399" s="36">
        <f>(Inventory[[#This Row],[Adjusted Land Total]]-Inventory[[#This Row],[24Lnd]])/Inventory[[#This Row],[24Lnd]]</f>
        <v>-0.31488801054018445</v>
      </c>
      <c r="BU1399" s="36">
        <f>(Inventory[[#This Row],[Adjusted Total]]-Inventory[[#This Row],[24Final]])/Inventory[[#This Row],[24Final]]</f>
        <v>-2.3677678059957991E-2</v>
      </c>
    </row>
    <row r="1400" spans="1:73" x14ac:dyDescent="0.3">
      <c r="A1400" s="25">
        <v>2025</v>
      </c>
      <c r="B1400" s="26" t="s">
        <v>2383</v>
      </c>
      <c r="C1400" s="26">
        <f>LN(Inventory[[#This Row],[Acres]])</f>
        <v>-1.4271163556401458</v>
      </c>
      <c r="D1400" s="25">
        <v>0.24</v>
      </c>
      <c r="E1400" s="31"/>
      <c r="F1400" s="26" t="s">
        <v>537</v>
      </c>
      <c r="G1400" s="26" t="s">
        <v>126</v>
      </c>
      <c r="H1400" s="26" t="s">
        <v>349</v>
      </c>
      <c r="I1400" s="26" t="s">
        <v>538</v>
      </c>
      <c r="J1400" s="26" t="s">
        <v>539</v>
      </c>
      <c r="K1400" s="26" t="s">
        <v>269</v>
      </c>
      <c r="L1400" s="26" t="s">
        <v>64</v>
      </c>
      <c r="M1400" s="26" t="s">
        <v>303</v>
      </c>
      <c r="N1400" s="26">
        <v>90</v>
      </c>
      <c r="O1400" s="26">
        <f>2024-Inventory[[#This Row],[YrBlt]]</f>
        <v>84</v>
      </c>
      <c r="P1400" s="26">
        <f>2024-Inventory[[#This Row],[EffYr]]</f>
        <v>52</v>
      </c>
      <c r="Q1400" s="25">
        <v>1940</v>
      </c>
      <c r="R1400" s="25">
        <v>1972</v>
      </c>
      <c r="S1400" s="25">
        <v>1747</v>
      </c>
      <c r="T1400" s="27"/>
      <c r="U1400" s="25">
        <v>1243</v>
      </c>
      <c r="V1400" s="25">
        <f>Inventory[[#This Row],[Bsmt]]-Inventory[[#This Row],[FnBsmt]]</f>
        <v>0</v>
      </c>
      <c r="W1400" s="25">
        <v>1243</v>
      </c>
      <c r="X1400" s="27"/>
      <c r="Y1400" s="27">
        <f>Inventory[[#This Row],[MainFn]]+Inventory[[#This Row],[UpprFn]]+Inventory[[#This Row],[FnBsmt]]+Inventory[[#This Row],[AddFn]]</f>
        <v>2990</v>
      </c>
      <c r="Z1400" s="27">
        <v>3000</v>
      </c>
      <c r="AA1400" s="25">
        <v>11</v>
      </c>
      <c r="AB1400" s="31"/>
      <c r="AC1400" s="27"/>
      <c r="AD1400" s="27"/>
      <c r="AE1400" s="27"/>
      <c r="AF1400" s="27"/>
      <c r="AG1400" s="27"/>
      <c r="AH1400" s="27"/>
      <c r="AI1400" s="25">
        <v>675715</v>
      </c>
      <c r="AJ1400" s="25">
        <v>479758</v>
      </c>
      <c r="AK1400" s="25">
        <v>0</v>
      </c>
      <c r="AL1400" s="25">
        <v>577200</v>
      </c>
      <c r="AM1400" s="25">
        <v>64800</v>
      </c>
      <c r="AN1400" s="25">
        <v>512400</v>
      </c>
      <c r="AO1400" s="25">
        <v>0</v>
      </c>
      <c r="AP1400" s="25">
        <f>Lookups!$B$56*0</f>
        <v>0</v>
      </c>
      <c r="AQ1400" s="25">
        <f>Lookups!$B$56*1</f>
        <v>89850.625589999996</v>
      </c>
      <c r="AR1400" s="25">
        <f>Lookups!$B$57*Inventory[[#This Row],[LnAcres]]</f>
        <v>-45174.819855485119</v>
      </c>
      <c r="AS1400" s="25">
        <f>VLOOKUP(Inventory[[#This Row],[Qlty]],Lookups!$A$62:$E$75,2,FALSE)</f>
        <v>163885.03753</v>
      </c>
      <c r="AT1400" s="25">
        <f>VLOOKUP(Inventory[[#This Row],[Cnd]],Lookups!$A$76:$E$84,2,FALSE)</f>
        <v>197752.34721000001</v>
      </c>
      <c r="AU1400" s="25">
        <f>Inventory[[#This Row],[EffAge]]*Lookups!$B$85</f>
        <v>-11598.371226000001</v>
      </c>
      <c r="AV1400" s="25">
        <f>Inventory[[#This Row],[MainFn]]*Lookups!$B$86</f>
        <v>86316.946275119</v>
      </c>
      <c r="AW1400" s="25">
        <f>Inventory[[#This Row],[UpprFn]]*Lookups!$B$87</f>
        <v>0</v>
      </c>
      <c r="AX1400" s="25">
        <f>Inventory[[#This Row],[AddFn]]*Lookups!$B$88</f>
        <v>0</v>
      </c>
      <c r="AY1400" s="25">
        <f>Inventory[[#This Row],[Bsmt]]*Lookups!$B$89</f>
        <v>36148.795792020996</v>
      </c>
      <c r="AZ1400" s="25">
        <f>Inventory[[#This Row],[Fixtures]]*Lookups!$B$90</f>
        <v>41712.243157199999</v>
      </c>
      <c r="BA1400" s="25">
        <f>Inventory[[#This Row],[WdDeck]]*Lookups!$B$91</f>
        <v>0</v>
      </c>
      <c r="BB1400" s="25">
        <f>ROUND(Inventory[[#This Row],[25Det]],-2)</f>
        <v>0</v>
      </c>
      <c r="BC1400" s="25">
        <f>ROUND(SUM(Inventory[[#This Row],[Mdl Qlty]:[Mdl WdDeck]])+Inventory[[#This Row],[Mdl Res Intercept]],-2)</f>
        <v>514200</v>
      </c>
      <c r="BD1400" s="25">
        <f>ROUND(Inventory[[#This Row],[Mdl Land Intercept]]+Inventory[[#This Row],[Mdl LnAcres]],-2)</f>
        <v>44700</v>
      </c>
      <c r="BE1400" s="25">
        <f>Inventory[[#This Row],[Unadj Res Value]]+Inventory[[#This Row],[Unadj Det Value]]+Inventory[[#This Row],[Unadj Land Value]]</f>
        <v>558900</v>
      </c>
      <c r="BF1400" s="36">
        <f>(Inventory[[#This Row],[Unadj Total Value]]-Inventory[[#This Row],[24Final]])/Inventory[[#This Row],[24Final]]</f>
        <v>-3.1704781704781707E-2</v>
      </c>
      <c r="BG1400" s="25">
        <f>VLOOKUP(Inventory[[#This Row],[Nbhd]],Lookups!$Q$2:$T$4,4,FALSE)</f>
        <v>0.99970000000000003</v>
      </c>
      <c r="BH1400" s="25">
        <f>VLOOKUP(Inventory[[#This Row],[Qlty]],Lookups!$O$7:$R$21,4,FALSE)</f>
        <v>1</v>
      </c>
      <c r="BI1400" s="25">
        <f>VLOOKUP(Inventory[[#This Row],[Cnd]],Lookups!$T$7:$W$16,4,FALSE)</f>
        <v>0.99650000000000005</v>
      </c>
      <c r="BJ1400" s="25">
        <f>VLOOKUP(Inventory[[#This Row],[LivArea Range]],Lookups!$T$25:$W$37,4,FALSE)</f>
        <v>0.96179999999999999</v>
      </c>
      <c r="BK1400" s="25">
        <f>VLOOKUP(Inventory[[#This Row],[Decade]],Lookups!$O$25:$R$42,4,FALSE)</f>
        <v>0.98909999999999998</v>
      </c>
      <c r="BL1400" s="25">
        <f>Inventory[[#This Row],[Nbhd Adj]]*0.95</f>
        <v>0.94971499999999998</v>
      </c>
      <c r="BM1400" s="25">
        <f>Inventory[[#This Row],[Nbhd Adj]]*Inventory[[#This Row],[Quality Adj]]*Inventory[[#This Row],[Condition Adj]]*Inventory[[#This Row],[Living Area Adj]]*Inventory[[#This Row],[Decade Adj]]*0.95</f>
        <v>0.90031725780628902</v>
      </c>
      <c r="BN1400" s="25">
        <f>ROUND(SUM(Inventory[[#This Row],[Mdl Qlty]:[Mdl WdDeck]])+Inventory[[#This Row],[Mdl Res Intercept]]*Inventory[[#This Row],[Res Adj ]],-2)</f>
        <v>514200</v>
      </c>
      <c r="BO1400" s="25">
        <f>ROUND(Inventory[[#This Row],[25Det]]*Inventory[[#This Row],[Det/Nbhd Adj]],-2)</f>
        <v>0</v>
      </c>
      <c r="BP1400" s="25">
        <f>Inventory[[#This Row],[Adjusted Res]]+Inventory[[#This Row],[Adj Det ]]</f>
        <v>514200</v>
      </c>
      <c r="BQ1400" s="25">
        <f>ROUND((Inventory[[#This Row],[Mdl Land Intercept]]+Inventory[[#This Row],[Mdl LnAcres]])*Inventory[[#This Row],[Det/Nbhd Adj]],-2)</f>
        <v>42400</v>
      </c>
      <c r="BR1400" s="25">
        <f>Inventory[[#This Row],[Adjusted Impr Total]]+Inventory[[#This Row],[Adjusted Land Total]]</f>
        <v>556600</v>
      </c>
      <c r="BS1400" s="36">
        <f>IFERROR((Inventory[[#This Row],[Adjusted Impr Total]]-Inventory[[#This Row],[24Bldg]])/Inventory[[#This Row],[24Bldg]],0)</f>
        <v>3.5128805620608899E-3</v>
      </c>
      <c r="BT1400" s="36">
        <f>(Inventory[[#This Row],[Adjusted Land Total]]-Inventory[[#This Row],[24Lnd]])/Inventory[[#This Row],[24Lnd]]</f>
        <v>-0.34567901234567899</v>
      </c>
      <c r="BU1400" s="36">
        <f>(Inventory[[#This Row],[Adjusted Total]]-Inventory[[#This Row],[24Final]])/Inventory[[#This Row],[24Final]]</f>
        <v>-3.5689535689535687E-2</v>
      </c>
    </row>
    <row r="1401" spans="1:73" x14ac:dyDescent="0.3">
      <c r="A1401" s="25">
        <v>2025</v>
      </c>
      <c r="B1401" s="26" t="s">
        <v>1481</v>
      </c>
      <c r="C1401" s="26">
        <f>LN(Inventory[[#This Row],[Acres]])</f>
        <v>-1.6094379124341003</v>
      </c>
      <c r="D1401" s="25">
        <v>0.2</v>
      </c>
      <c r="E1401" s="25">
        <v>8700</v>
      </c>
      <c r="F1401" s="26" t="s">
        <v>537</v>
      </c>
      <c r="G1401" s="26" t="s">
        <v>126</v>
      </c>
      <c r="H1401" s="26" t="s">
        <v>349</v>
      </c>
      <c r="I1401" s="26" t="s">
        <v>538</v>
      </c>
      <c r="J1401" s="26" t="s">
        <v>539</v>
      </c>
      <c r="K1401" s="26" t="s">
        <v>4</v>
      </c>
      <c r="L1401" s="26" t="s">
        <v>95</v>
      </c>
      <c r="M1401" s="26" t="s">
        <v>323</v>
      </c>
      <c r="N1401" s="26">
        <v>90</v>
      </c>
      <c r="O1401" s="26">
        <f>2024-Inventory[[#This Row],[YrBlt]]</f>
        <v>84</v>
      </c>
      <c r="P1401" s="26">
        <f>2024-Inventory[[#This Row],[EffYr]]</f>
        <v>52</v>
      </c>
      <c r="Q1401" s="25">
        <v>1940</v>
      </c>
      <c r="R1401" s="25">
        <v>1972</v>
      </c>
      <c r="S1401" s="25">
        <v>1162</v>
      </c>
      <c r="T1401" s="27"/>
      <c r="U1401" s="25">
        <v>702</v>
      </c>
      <c r="V1401" s="25">
        <f>Inventory[[#This Row],[Bsmt]]-Inventory[[#This Row],[FnBsmt]]</f>
        <v>0</v>
      </c>
      <c r="W1401" s="25">
        <v>702</v>
      </c>
      <c r="X1401" s="27"/>
      <c r="Y1401" s="27">
        <f>Inventory[[#This Row],[MainFn]]+Inventory[[#This Row],[UpprFn]]+Inventory[[#This Row],[FnBsmt]]+Inventory[[#This Row],[AddFn]]</f>
        <v>1864</v>
      </c>
      <c r="Z1401" s="27">
        <v>2000</v>
      </c>
      <c r="AA1401" s="25">
        <v>8</v>
      </c>
      <c r="AB1401" s="25">
        <v>584</v>
      </c>
      <c r="AC1401" s="27"/>
      <c r="AD1401" s="32">
        <v>96</v>
      </c>
      <c r="AE1401" s="27"/>
      <c r="AF1401" s="27"/>
      <c r="AG1401" s="27"/>
      <c r="AH1401" s="27"/>
      <c r="AI1401" s="25">
        <v>441984</v>
      </c>
      <c r="AJ1401" s="25">
        <v>304969</v>
      </c>
      <c r="AK1401" s="25">
        <v>0</v>
      </c>
      <c r="AL1401" s="25">
        <v>386900</v>
      </c>
      <c r="AM1401" s="25">
        <v>58400</v>
      </c>
      <c r="AN1401" s="25">
        <v>328500</v>
      </c>
      <c r="AO1401" s="25">
        <v>0</v>
      </c>
      <c r="AP1401" s="25">
        <f>Lookups!$B$56*0</f>
        <v>0</v>
      </c>
      <c r="AQ1401" s="25">
        <f>Lookups!$B$56*1</f>
        <v>89850.625589999996</v>
      </c>
      <c r="AR1401" s="25">
        <f>Lookups!$B$57*Inventory[[#This Row],[LnAcres]]</f>
        <v>-50946.13867709865</v>
      </c>
      <c r="AS1401" s="25">
        <f>VLOOKUP(Inventory[[#This Row],[Qlty]],Lookups!$A$62:$E$75,2,FALSE)</f>
        <v>74268.409664999999</v>
      </c>
      <c r="AT1401" s="25">
        <f>VLOOKUP(Inventory[[#This Row],[Cnd]],Lookups!$A$76:$E$84,2,FALSE)</f>
        <v>160472.20319</v>
      </c>
      <c r="AU1401" s="25">
        <f>Inventory[[#This Row],[EffAge]]*Lookups!$B$85</f>
        <v>-11598.371226000001</v>
      </c>
      <c r="AV1401" s="25">
        <f>Inventory[[#This Row],[MainFn]]*Lookups!$B$86</f>
        <v>57412.874397074003</v>
      </c>
      <c r="AW1401" s="25">
        <f>Inventory[[#This Row],[UpprFn]]*Lookups!$B$87</f>
        <v>0</v>
      </c>
      <c r="AX1401" s="25">
        <f>Inventory[[#This Row],[AddFn]]*Lookups!$B$88</f>
        <v>0</v>
      </c>
      <c r="AY1401" s="25">
        <f>Inventory[[#This Row],[Bsmt]]*Lookups!$B$89</f>
        <v>20415.490463393999</v>
      </c>
      <c r="AZ1401" s="25">
        <f>Inventory[[#This Row],[Fixtures]]*Lookups!$B$90</f>
        <v>30336.176841600001</v>
      </c>
      <c r="BA1401" s="25">
        <f>Inventory[[#This Row],[WdDeck]]*Lookups!$B$91</f>
        <v>3196.3694664960003</v>
      </c>
      <c r="BB1401" s="25">
        <f>ROUND(Inventory[[#This Row],[25Det]],-2)</f>
        <v>0</v>
      </c>
      <c r="BC1401" s="25">
        <f>ROUND(SUM(Inventory[[#This Row],[Mdl Qlty]:[Mdl WdDeck]])+Inventory[[#This Row],[Mdl Res Intercept]],-2)</f>
        <v>334500</v>
      </c>
      <c r="BD1401" s="25">
        <f>ROUND(Inventory[[#This Row],[Mdl Land Intercept]]+Inventory[[#This Row],[Mdl LnAcres]],-2)</f>
        <v>38900</v>
      </c>
      <c r="BE1401" s="25">
        <f>Inventory[[#This Row],[Unadj Res Value]]+Inventory[[#This Row],[Unadj Det Value]]+Inventory[[#This Row],[Unadj Land Value]]</f>
        <v>373400</v>
      </c>
      <c r="BF1401" s="36">
        <f>(Inventory[[#This Row],[Unadj Total Value]]-Inventory[[#This Row],[24Final]])/Inventory[[#This Row],[24Final]]</f>
        <v>-3.4892737141380199E-2</v>
      </c>
      <c r="BG1401" s="25">
        <f>VLOOKUP(Inventory[[#This Row],[Nbhd]],Lookups!$Q$2:$T$4,4,FALSE)</f>
        <v>0.99970000000000003</v>
      </c>
      <c r="BH1401" s="25">
        <f>VLOOKUP(Inventory[[#This Row],[Qlty]],Lookups!$O$7:$R$21,4,FALSE)</f>
        <v>0.98380000000000001</v>
      </c>
      <c r="BI1401" s="25">
        <f>VLOOKUP(Inventory[[#This Row],[Cnd]],Lookups!$T$7:$W$16,4,FALSE)</f>
        <v>0.99729999999999996</v>
      </c>
      <c r="BJ1401" s="25">
        <f>VLOOKUP(Inventory[[#This Row],[LivArea Range]],Lookups!$T$25:$W$37,4,FALSE)</f>
        <v>1.0093000000000001</v>
      </c>
      <c r="BK1401" s="25">
        <f>VLOOKUP(Inventory[[#This Row],[Decade]],Lookups!$O$25:$R$42,4,FALSE)</f>
        <v>0.98909999999999998</v>
      </c>
      <c r="BL1401" s="25">
        <f>Inventory[[#This Row],[Nbhd Adj]]*0.95</f>
        <v>0.94971499999999998</v>
      </c>
      <c r="BM1401" s="25">
        <f>Inventory[[#This Row],[Nbhd Adj]]*Inventory[[#This Row],[Quality Adj]]*Inventory[[#This Row],[Condition Adj]]*Inventory[[#This Row],[Living Area Adj]]*Inventory[[#This Row],[Decade Adj]]*0.95</f>
        <v>0.93022157868265209</v>
      </c>
      <c r="BN1401" s="25">
        <f>ROUND(SUM(Inventory[[#This Row],[Mdl Qlty]:[Mdl WdDeck]])+Inventory[[#This Row],[Mdl Res Intercept]]*Inventory[[#This Row],[Res Adj ]],-2)</f>
        <v>334500</v>
      </c>
      <c r="BO1401" s="25">
        <f>ROUND(Inventory[[#This Row],[25Det]]*Inventory[[#This Row],[Det/Nbhd Adj]],-2)</f>
        <v>0</v>
      </c>
      <c r="BP1401" s="25">
        <f>Inventory[[#This Row],[Adjusted Res]]+Inventory[[#This Row],[Adj Det ]]</f>
        <v>334500</v>
      </c>
      <c r="BQ1401" s="25">
        <f>ROUND((Inventory[[#This Row],[Mdl Land Intercept]]+Inventory[[#This Row],[Mdl LnAcres]])*Inventory[[#This Row],[Det/Nbhd Adj]],-2)</f>
        <v>36900</v>
      </c>
      <c r="BR1401" s="25">
        <f>Inventory[[#This Row],[Adjusted Impr Total]]+Inventory[[#This Row],[Adjusted Land Total]]</f>
        <v>371400</v>
      </c>
      <c r="BS1401" s="36">
        <f>IFERROR((Inventory[[#This Row],[Adjusted Impr Total]]-Inventory[[#This Row],[24Bldg]])/Inventory[[#This Row],[24Bldg]],0)</f>
        <v>1.8264840182648401E-2</v>
      </c>
      <c r="BT1401" s="36">
        <f>(Inventory[[#This Row],[Adjusted Land Total]]-Inventory[[#This Row],[24Lnd]])/Inventory[[#This Row],[24Lnd]]</f>
        <v>-0.36815068493150682</v>
      </c>
      <c r="BU1401" s="36">
        <f>(Inventory[[#This Row],[Adjusted Total]]-Inventory[[#This Row],[24Final]])/Inventory[[#This Row],[24Final]]</f>
        <v>-4.0062031532695788E-2</v>
      </c>
    </row>
    <row r="1402" spans="1:73" x14ac:dyDescent="0.3">
      <c r="A1402" s="25">
        <v>2025</v>
      </c>
      <c r="B1402" s="26" t="s">
        <v>2629</v>
      </c>
      <c r="C1402" s="26">
        <f>LN(Inventory[[#This Row],[Acres]])</f>
        <v>-1.5141277326297755</v>
      </c>
      <c r="D1402" s="25">
        <v>0.22</v>
      </c>
      <c r="E1402" s="31"/>
      <c r="F1402" s="26" t="s">
        <v>537</v>
      </c>
      <c r="G1402" s="26" t="s">
        <v>126</v>
      </c>
      <c r="H1402" s="26" t="s">
        <v>349</v>
      </c>
      <c r="I1402" s="26" t="s">
        <v>538</v>
      </c>
      <c r="J1402" s="26" t="s">
        <v>539</v>
      </c>
      <c r="K1402" s="26" t="s">
        <v>242</v>
      </c>
      <c r="L1402" s="26" t="s">
        <v>31</v>
      </c>
      <c r="M1402" s="26" t="s">
        <v>323</v>
      </c>
      <c r="N1402" s="26">
        <v>90</v>
      </c>
      <c r="O1402" s="26">
        <f>2024-Inventory[[#This Row],[YrBlt]]</f>
        <v>84</v>
      </c>
      <c r="P1402" s="26">
        <f>2024-Inventory[[#This Row],[EffYr]]</f>
        <v>52</v>
      </c>
      <c r="Q1402" s="25">
        <v>1940</v>
      </c>
      <c r="R1402" s="25">
        <v>1972</v>
      </c>
      <c r="S1402" s="25">
        <v>1135</v>
      </c>
      <c r="T1402" s="27"/>
      <c r="U1402" s="25">
        <v>1135</v>
      </c>
      <c r="V1402" s="32">
        <f>Inventory[[#This Row],[Bsmt]]-Inventory[[#This Row],[FnBsmt]]</f>
        <v>1135</v>
      </c>
      <c r="W1402" s="27"/>
      <c r="X1402" s="27"/>
      <c r="Y1402" s="27">
        <f>Inventory[[#This Row],[MainFn]]+Inventory[[#This Row],[UpprFn]]+Inventory[[#This Row],[FnBsmt]]+Inventory[[#This Row],[AddFn]]</f>
        <v>1135</v>
      </c>
      <c r="Z1402" s="27">
        <v>1500</v>
      </c>
      <c r="AA1402" s="25">
        <v>5</v>
      </c>
      <c r="AB1402" s="27"/>
      <c r="AC1402" s="27"/>
      <c r="AD1402" s="27"/>
      <c r="AE1402" s="27"/>
      <c r="AF1402" s="27"/>
      <c r="AG1402" s="27"/>
      <c r="AH1402" s="27"/>
      <c r="AI1402" s="25">
        <v>190750</v>
      </c>
      <c r="AJ1402" s="25">
        <v>129710</v>
      </c>
      <c r="AK1402" s="25">
        <v>5857</v>
      </c>
      <c r="AL1402" s="25">
        <v>274100</v>
      </c>
      <c r="AM1402" s="25">
        <v>61700</v>
      </c>
      <c r="AN1402" s="25">
        <v>212400</v>
      </c>
      <c r="AO1402" s="25">
        <v>0</v>
      </c>
      <c r="AP1402" s="25">
        <f>Lookups!$B$56*0</f>
        <v>0</v>
      </c>
      <c r="AQ1402" s="25">
        <f>Lookups!$B$56*1</f>
        <v>89850.625589999996</v>
      </c>
      <c r="AR1402" s="25">
        <f>Lookups!$B$57*Inventory[[#This Row],[LnAcres]]</f>
        <v>-47929.131559187132</v>
      </c>
      <c r="AS1402" s="25">
        <f>VLOOKUP(Inventory[[#This Row],[Qlty]],Lookups!$A$62:$E$75,2,FALSE)</f>
        <v>-43578.886190266698</v>
      </c>
      <c r="AT1402" s="25">
        <f>VLOOKUP(Inventory[[#This Row],[Cnd]],Lookups!$A$76:$E$84,2,FALSE)</f>
        <v>160472.20319</v>
      </c>
      <c r="AU1402" s="25">
        <f>Inventory[[#This Row],[EffAge]]*Lookups!$B$85</f>
        <v>-11598.371226000001</v>
      </c>
      <c r="AV1402" s="25">
        <f>Inventory[[#This Row],[MainFn]]*Lookups!$B$86</f>
        <v>56078.840310395004</v>
      </c>
      <c r="AW1402" s="25">
        <f>Inventory[[#This Row],[UpprFn]]*Lookups!$B$87</f>
        <v>0</v>
      </c>
      <c r="AX1402" s="25">
        <f>Inventory[[#This Row],[AddFn]]*Lookups!$B$88</f>
        <v>0</v>
      </c>
      <c r="AY1402" s="25">
        <f>Inventory[[#This Row],[Bsmt]]*Lookups!$B$89</f>
        <v>33007.951105344997</v>
      </c>
      <c r="AZ1402" s="25">
        <f>Inventory[[#This Row],[Fixtures]]*Lookups!$B$90</f>
        <v>18960.110526</v>
      </c>
      <c r="BA1402" s="25">
        <f>Inventory[[#This Row],[WdDeck]]*Lookups!$B$91</f>
        <v>0</v>
      </c>
      <c r="BB1402" s="25">
        <f>ROUND(Inventory[[#This Row],[25Det]],-2)</f>
        <v>5900</v>
      </c>
      <c r="BC1402" s="25">
        <f>ROUND(SUM(Inventory[[#This Row],[Mdl Qlty]:[Mdl WdDeck]])+Inventory[[#This Row],[Mdl Res Intercept]],-2)</f>
        <v>213300</v>
      </c>
      <c r="BD1402" s="25">
        <f>ROUND(Inventory[[#This Row],[Mdl Land Intercept]]+Inventory[[#This Row],[Mdl LnAcres]],-2)</f>
        <v>41900</v>
      </c>
      <c r="BE1402" s="25">
        <f>Inventory[[#This Row],[Unadj Res Value]]+Inventory[[#This Row],[Unadj Det Value]]+Inventory[[#This Row],[Unadj Land Value]]</f>
        <v>261100</v>
      </c>
      <c r="BF1402" s="36">
        <f>(Inventory[[#This Row],[Unadj Total Value]]-Inventory[[#This Row],[24Final]])/Inventory[[#This Row],[24Final]]</f>
        <v>-4.7427946005107628E-2</v>
      </c>
      <c r="BG1402" s="25">
        <f>VLOOKUP(Inventory[[#This Row],[Nbhd]],Lookups!$Q$2:$T$4,4,FALSE)</f>
        <v>0.99970000000000003</v>
      </c>
      <c r="BH1402" s="25">
        <f>VLOOKUP(Inventory[[#This Row],[Qlty]],Lookups!$O$7:$R$21,4,FALSE)</f>
        <v>1</v>
      </c>
      <c r="BI1402" s="25">
        <f>VLOOKUP(Inventory[[#This Row],[Cnd]],Lookups!$T$7:$W$16,4,FALSE)</f>
        <v>0.99729999999999996</v>
      </c>
      <c r="BJ1402" s="25">
        <f>VLOOKUP(Inventory[[#This Row],[LivArea Range]],Lookups!$T$25:$W$37,4,FALSE)</f>
        <v>1.0157</v>
      </c>
      <c r="BK1402" s="25">
        <f>VLOOKUP(Inventory[[#This Row],[Decade]],Lookups!$O$25:$R$42,4,FALSE)</f>
        <v>0.98909999999999998</v>
      </c>
      <c r="BL1402" s="25">
        <f>Inventory[[#This Row],[Nbhd Adj]]*0.95</f>
        <v>0.94971499999999998</v>
      </c>
      <c r="BM1402" s="25">
        <f>Inventory[[#This Row],[Nbhd Adj]]*Inventory[[#This Row],[Quality Adj]]*Inventory[[#This Row],[Condition Adj]]*Inventory[[#This Row],[Living Area Adj]]*Inventory[[#This Row],[Decade Adj]]*0.95</f>
        <v>0.95153500728241536</v>
      </c>
      <c r="BN1402" s="25">
        <f>ROUND(SUM(Inventory[[#This Row],[Mdl Qlty]:[Mdl WdDeck]])+Inventory[[#This Row],[Mdl Res Intercept]]*Inventory[[#This Row],[Res Adj ]],-2)</f>
        <v>213300</v>
      </c>
      <c r="BO1402" s="25">
        <f>ROUND(Inventory[[#This Row],[25Det]]*Inventory[[#This Row],[Det/Nbhd Adj]],-2)</f>
        <v>5600</v>
      </c>
      <c r="BP1402" s="25">
        <f>Inventory[[#This Row],[Adjusted Res]]+Inventory[[#This Row],[Adj Det ]]</f>
        <v>218900</v>
      </c>
      <c r="BQ1402" s="25">
        <f>ROUND((Inventory[[#This Row],[Mdl Land Intercept]]+Inventory[[#This Row],[Mdl LnAcres]])*Inventory[[#This Row],[Det/Nbhd Adj]],-2)</f>
        <v>39800</v>
      </c>
      <c r="BR1402" s="25">
        <f>Inventory[[#This Row],[Adjusted Impr Total]]+Inventory[[#This Row],[Adjusted Land Total]]</f>
        <v>258700</v>
      </c>
      <c r="BS1402" s="36">
        <f>IFERROR((Inventory[[#This Row],[Adjusted Impr Total]]-Inventory[[#This Row],[24Bldg]])/Inventory[[#This Row],[24Bldg]],0)</f>
        <v>3.0602636534839925E-2</v>
      </c>
      <c r="BT1402" s="36">
        <f>(Inventory[[#This Row],[Adjusted Land Total]]-Inventory[[#This Row],[24Lnd]])/Inventory[[#This Row],[24Lnd]]</f>
        <v>-0.35494327390599678</v>
      </c>
      <c r="BU1402" s="36">
        <f>(Inventory[[#This Row],[Adjusted Total]]-Inventory[[#This Row],[24Final]])/Inventory[[#This Row],[24Final]]</f>
        <v>-5.6183874498358266E-2</v>
      </c>
    </row>
    <row r="1403" spans="1:73" x14ac:dyDescent="0.3">
      <c r="A1403" s="25">
        <v>2025</v>
      </c>
      <c r="B1403" s="26" t="s">
        <v>2624</v>
      </c>
      <c r="C1403" s="26">
        <f>LN(Inventory[[#This Row],[Acres]])</f>
        <v>-1.8325814637483102</v>
      </c>
      <c r="D1403" s="25">
        <v>0.16</v>
      </c>
      <c r="E1403" s="32">
        <v>7006</v>
      </c>
      <c r="F1403" s="26" t="s">
        <v>537</v>
      </c>
      <c r="G1403" s="26" t="s">
        <v>126</v>
      </c>
      <c r="H1403" s="26" t="s">
        <v>349</v>
      </c>
      <c r="I1403" s="26" t="s">
        <v>538</v>
      </c>
      <c r="J1403" s="26" t="s">
        <v>539</v>
      </c>
      <c r="K1403" s="26" t="s">
        <v>242</v>
      </c>
      <c r="L1403" s="26" t="s">
        <v>31</v>
      </c>
      <c r="M1403" s="26" t="s">
        <v>303</v>
      </c>
      <c r="N1403" s="26">
        <v>90</v>
      </c>
      <c r="O1403" s="26">
        <f>2024-Inventory[[#This Row],[YrBlt]]</f>
        <v>84</v>
      </c>
      <c r="P1403" s="26">
        <f>2024-Inventory[[#This Row],[EffYr]]</f>
        <v>52</v>
      </c>
      <c r="Q1403" s="25">
        <v>1940</v>
      </c>
      <c r="R1403" s="25">
        <v>1972</v>
      </c>
      <c r="S1403" s="25">
        <v>1086</v>
      </c>
      <c r="T1403" s="27"/>
      <c r="U1403" s="31"/>
      <c r="V1403" s="31">
        <f>Inventory[[#This Row],[Bsmt]]-Inventory[[#This Row],[FnBsmt]]</f>
        <v>0</v>
      </c>
      <c r="W1403" s="31"/>
      <c r="X1403" s="27"/>
      <c r="Y1403" s="27">
        <f>Inventory[[#This Row],[MainFn]]+Inventory[[#This Row],[UpprFn]]+Inventory[[#This Row],[FnBsmt]]+Inventory[[#This Row],[AddFn]]</f>
        <v>1086</v>
      </c>
      <c r="Z1403" s="27">
        <v>1500</v>
      </c>
      <c r="AA1403" s="25">
        <v>5</v>
      </c>
      <c r="AB1403" s="32">
        <v>280</v>
      </c>
      <c r="AC1403" s="27"/>
      <c r="AD1403" s="27"/>
      <c r="AE1403" s="27"/>
      <c r="AF1403" s="27"/>
      <c r="AG1403" s="27"/>
      <c r="AH1403" s="27"/>
      <c r="AI1403" s="25">
        <v>169095</v>
      </c>
      <c r="AJ1403" s="25">
        <v>118367</v>
      </c>
      <c r="AK1403" s="25">
        <v>0</v>
      </c>
      <c r="AL1403" s="25">
        <v>260100</v>
      </c>
      <c r="AM1403" s="25">
        <v>50600</v>
      </c>
      <c r="AN1403" s="25">
        <v>209500</v>
      </c>
      <c r="AO1403" s="25">
        <v>0</v>
      </c>
      <c r="AP1403" s="25">
        <f>Lookups!$B$56*0</f>
        <v>0</v>
      </c>
      <c r="AQ1403" s="25">
        <f>Lookups!$B$56*1</f>
        <v>89850.625589999996</v>
      </c>
      <c r="AR1403" s="25">
        <f>Lookups!$B$57*Inventory[[#This Row],[LnAcres]]</f>
        <v>-58009.662049032086</v>
      </c>
      <c r="AS1403" s="25">
        <f>VLOOKUP(Inventory[[#This Row],[Qlty]],Lookups!$A$62:$E$75,2,FALSE)</f>
        <v>-43578.886190266698</v>
      </c>
      <c r="AT1403" s="25">
        <f>VLOOKUP(Inventory[[#This Row],[Cnd]],Lookups!$A$76:$E$84,2,FALSE)</f>
        <v>197752.34721000001</v>
      </c>
      <c r="AU1403" s="25">
        <f>Inventory[[#This Row],[EffAge]]*Lookups!$B$85</f>
        <v>-11598.371226000001</v>
      </c>
      <c r="AV1403" s="25">
        <f>Inventory[[#This Row],[MainFn]]*Lookups!$B$86</f>
        <v>53657.815486421998</v>
      </c>
      <c r="AW1403" s="25">
        <f>Inventory[[#This Row],[UpprFn]]*Lookups!$B$87</f>
        <v>0</v>
      </c>
      <c r="AX1403" s="25">
        <f>Inventory[[#This Row],[AddFn]]*Lookups!$B$88</f>
        <v>0</v>
      </c>
      <c r="AY1403" s="25">
        <f>Inventory[[#This Row],[Bsmt]]*Lookups!$B$89</f>
        <v>0</v>
      </c>
      <c r="AZ1403" s="25">
        <f>Inventory[[#This Row],[Fixtures]]*Lookups!$B$90</f>
        <v>18960.110526</v>
      </c>
      <c r="BA1403" s="25">
        <f>Inventory[[#This Row],[WdDeck]]*Lookups!$B$91</f>
        <v>0</v>
      </c>
      <c r="BB1403" s="25">
        <f>ROUND(Inventory[[#This Row],[25Det]],-2)</f>
        <v>0</v>
      </c>
      <c r="BC1403" s="25">
        <f>ROUND(SUM(Inventory[[#This Row],[Mdl Qlty]:[Mdl WdDeck]])+Inventory[[#This Row],[Mdl Res Intercept]],-2)</f>
        <v>215200</v>
      </c>
      <c r="BD1403" s="25">
        <f>ROUND(Inventory[[#This Row],[Mdl Land Intercept]]+Inventory[[#This Row],[Mdl LnAcres]],-2)</f>
        <v>31800</v>
      </c>
      <c r="BE1403" s="25">
        <f>Inventory[[#This Row],[Unadj Res Value]]+Inventory[[#This Row],[Unadj Det Value]]+Inventory[[#This Row],[Unadj Land Value]]</f>
        <v>247000</v>
      </c>
      <c r="BF1403" s="36">
        <f>(Inventory[[#This Row],[Unadj Total Value]]-Inventory[[#This Row],[24Final]])/Inventory[[#This Row],[24Final]]</f>
        <v>-5.0365244136870435E-2</v>
      </c>
      <c r="BG1403" s="25">
        <f>VLOOKUP(Inventory[[#This Row],[Nbhd]],Lookups!$Q$2:$T$4,4,FALSE)</f>
        <v>0.99970000000000003</v>
      </c>
      <c r="BH1403" s="25">
        <f>VLOOKUP(Inventory[[#This Row],[Qlty]],Lookups!$O$7:$R$21,4,FALSE)</f>
        <v>1</v>
      </c>
      <c r="BI1403" s="25">
        <f>VLOOKUP(Inventory[[#This Row],[Cnd]],Lookups!$T$7:$W$16,4,FALSE)</f>
        <v>0.99650000000000005</v>
      </c>
      <c r="BJ1403" s="25">
        <f>VLOOKUP(Inventory[[#This Row],[LivArea Range]],Lookups!$T$25:$W$37,4,FALSE)</f>
        <v>1.0157</v>
      </c>
      <c r="BK1403" s="25">
        <f>VLOOKUP(Inventory[[#This Row],[Decade]],Lookups!$O$25:$R$42,4,FALSE)</f>
        <v>0.98909999999999998</v>
      </c>
      <c r="BL1403" s="25">
        <f>Inventory[[#This Row],[Nbhd Adj]]*0.95</f>
        <v>0.94971499999999998</v>
      </c>
      <c r="BM1403" s="25">
        <f>Inventory[[#This Row],[Nbhd Adj]]*Inventory[[#This Row],[Quality Adj]]*Inventory[[#This Row],[Condition Adj]]*Inventory[[#This Row],[Living Area Adj]]*Inventory[[#This Row],[Decade Adj]]*0.95</f>
        <v>0.95077171839659791</v>
      </c>
      <c r="BN1403" s="25">
        <f>ROUND(SUM(Inventory[[#This Row],[Mdl Qlty]:[Mdl WdDeck]])+Inventory[[#This Row],[Mdl Res Intercept]]*Inventory[[#This Row],[Res Adj ]],-2)</f>
        <v>215200</v>
      </c>
      <c r="BO1403" s="25">
        <f>ROUND(Inventory[[#This Row],[25Det]]*Inventory[[#This Row],[Det/Nbhd Adj]],-2)</f>
        <v>0</v>
      </c>
      <c r="BP1403" s="25">
        <f>Inventory[[#This Row],[Adjusted Res]]+Inventory[[#This Row],[Adj Det ]]</f>
        <v>215200</v>
      </c>
      <c r="BQ1403" s="25">
        <f>ROUND((Inventory[[#This Row],[Mdl Land Intercept]]+Inventory[[#This Row],[Mdl LnAcres]])*Inventory[[#This Row],[Det/Nbhd Adj]],-2)</f>
        <v>30200</v>
      </c>
      <c r="BR1403" s="25">
        <f>Inventory[[#This Row],[Adjusted Impr Total]]+Inventory[[#This Row],[Adjusted Land Total]]</f>
        <v>245400</v>
      </c>
      <c r="BS1403" s="36">
        <f>IFERROR((Inventory[[#This Row],[Adjusted Impr Total]]-Inventory[[#This Row],[24Bldg]])/Inventory[[#This Row],[24Bldg]],0)</f>
        <v>2.720763723150358E-2</v>
      </c>
      <c r="BT1403" s="36">
        <f>(Inventory[[#This Row],[Adjusted Land Total]]-Inventory[[#This Row],[24Lnd]])/Inventory[[#This Row],[24Lnd]]</f>
        <v>-0.40316205533596838</v>
      </c>
      <c r="BU1403" s="36">
        <f>(Inventory[[#This Row],[Adjusted Total]]-Inventory[[#This Row],[24Final]])/Inventory[[#This Row],[24Final]]</f>
        <v>-5.6516724336793542E-2</v>
      </c>
    </row>
    <row r="1404" spans="1:73" x14ac:dyDescent="0.3">
      <c r="A1404" s="25">
        <v>2025</v>
      </c>
      <c r="B1404" s="26" t="s">
        <v>611</v>
      </c>
      <c r="C1404" s="26">
        <f>LN(Inventory[[#This Row],[Acres]])</f>
        <v>-1.4696759700589417</v>
      </c>
      <c r="D1404" s="25">
        <v>0.23</v>
      </c>
      <c r="E1404" s="32">
        <v>9923</v>
      </c>
      <c r="F1404" s="26" t="s">
        <v>537</v>
      </c>
      <c r="G1404" s="26" t="s">
        <v>126</v>
      </c>
      <c r="H1404" s="26" t="s">
        <v>349</v>
      </c>
      <c r="I1404" s="26" t="s">
        <v>538</v>
      </c>
      <c r="J1404" s="26" t="s">
        <v>539</v>
      </c>
      <c r="K1404" s="26" t="s">
        <v>242</v>
      </c>
      <c r="L1404" s="26" t="s">
        <v>31</v>
      </c>
      <c r="M1404" s="26" t="s">
        <v>303</v>
      </c>
      <c r="N1404" s="26">
        <v>90</v>
      </c>
      <c r="O1404" s="26">
        <f>2024-Inventory[[#This Row],[YrBlt]]</f>
        <v>84</v>
      </c>
      <c r="P1404" s="26">
        <f>2024-Inventory[[#This Row],[EffYr]]</f>
        <v>52</v>
      </c>
      <c r="Q1404" s="25">
        <v>1940</v>
      </c>
      <c r="R1404" s="25">
        <v>1972</v>
      </c>
      <c r="S1404" s="25">
        <v>872</v>
      </c>
      <c r="T1404" s="27"/>
      <c r="U1404" s="32">
        <v>661</v>
      </c>
      <c r="V1404" s="32">
        <f>Inventory[[#This Row],[Bsmt]]-Inventory[[#This Row],[FnBsmt]]</f>
        <v>198</v>
      </c>
      <c r="W1404" s="32">
        <v>463</v>
      </c>
      <c r="X1404" s="27"/>
      <c r="Y1404" s="27">
        <f>Inventory[[#This Row],[MainFn]]+Inventory[[#This Row],[UpprFn]]+Inventory[[#This Row],[FnBsmt]]+Inventory[[#This Row],[AddFn]]</f>
        <v>1335</v>
      </c>
      <c r="Z1404" s="27">
        <v>1500</v>
      </c>
      <c r="AA1404" s="25">
        <v>5</v>
      </c>
      <c r="AB1404" s="27"/>
      <c r="AC1404" s="27"/>
      <c r="AD1404" s="31"/>
      <c r="AE1404" s="27"/>
      <c r="AF1404" s="27"/>
      <c r="AG1404" s="27"/>
      <c r="AH1404" s="27"/>
      <c r="AI1404" s="25">
        <v>181263</v>
      </c>
      <c r="AJ1404" s="25">
        <v>126884</v>
      </c>
      <c r="AK1404" s="25">
        <v>6443</v>
      </c>
      <c r="AL1404" s="25">
        <v>288900</v>
      </c>
      <c r="AM1404" s="25">
        <v>63300</v>
      </c>
      <c r="AN1404" s="25">
        <v>225600</v>
      </c>
      <c r="AO1404" s="25">
        <v>0</v>
      </c>
      <c r="AP1404" s="25">
        <f>Lookups!$B$56*0</f>
        <v>0</v>
      </c>
      <c r="AQ1404" s="25">
        <f>Lookups!$B$56*1</f>
        <v>89850.625589999996</v>
      </c>
      <c r="AR1404" s="25">
        <f>Lookups!$B$57*Inventory[[#This Row],[LnAcres]]</f>
        <v>-46522.028095997222</v>
      </c>
      <c r="AS1404" s="25">
        <f>VLOOKUP(Inventory[[#This Row],[Qlty]],Lookups!$A$62:$E$75,2,FALSE)</f>
        <v>-43578.886190266698</v>
      </c>
      <c r="AT1404" s="25">
        <f>VLOOKUP(Inventory[[#This Row],[Cnd]],Lookups!$A$76:$E$84,2,FALSE)</f>
        <v>197752.34721000001</v>
      </c>
      <c r="AU1404" s="25">
        <f>Inventory[[#This Row],[EffAge]]*Lookups!$B$85</f>
        <v>-11598.371226000001</v>
      </c>
      <c r="AV1404" s="25">
        <f>Inventory[[#This Row],[MainFn]]*Lookups!$B$86</f>
        <v>43084.360132744005</v>
      </c>
      <c r="AW1404" s="25">
        <f>Inventory[[#This Row],[UpprFn]]*Lookups!$B$87</f>
        <v>0</v>
      </c>
      <c r="AX1404" s="25">
        <f>Inventory[[#This Row],[AddFn]]*Lookups!$B$88</f>
        <v>0</v>
      </c>
      <c r="AY1404" s="25">
        <f>Inventory[[#This Row],[Bsmt]]*Lookups!$B$89</f>
        <v>19223.132758266998</v>
      </c>
      <c r="AZ1404" s="25">
        <f>Inventory[[#This Row],[Fixtures]]*Lookups!$B$90</f>
        <v>18960.110526</v>
      </c>
      <c r="BA1404" s="25">
        <f>Inventory[[#This Row],[WdDeck]]*Lookups!$B$91</f>
        <v>0</v>
      </c>
      <c r="BB1404" s="25">
        <f>ROUND(Inventory[[#This Row],[25Det]],-2)</f>
        <v>6400</v>
      </c>
      <c r="BC1404" s="25">
        <f>ROUND(SUM(Inventory[[#This Row],[Mdl Qlty]:[Mdl WdDeck]])+Inventory[[#This Row],[Mdl Res Intercept]],-2)</f>
        <v>223800</v>
      </c>
      <c r="BD1404" s="25">
        <f>ROUND(Inventory[[#This Row],[Mdl Land Intercept]]+Inventory[[#This Row],[Mdl LnAcres]],-2)</f>
        <v>43300</v>
      </c>
      <c r="BE1404" s="25">
        <f>Inventory[[#This Row],[Unadj Res Value]]+Inventory[[#This Row],[Unadj Det Value]]+Inventory[[#This Row],[Unadj Land Value]]</f>
        <v>273500</v>
      </c>
      <c r="BF1404" s="36">
        <f>(Inventory[[#This Row],[Unadj Total Value]]-Inventory[[#This Row],[24Final]])/Inventory[[#This Row],[24Final]]</f>
        <v>-5.3305642090688818E-2</v>
      </c>
      <c r="BG1404" s="25">
        <f>VLOOKUP(Inventory[[#This Row],[Nbhd]],Lookups!$Q$2:$T$4,4,FALSE)</f>
        <v>0.99970000000000003</v>
      </c>
      <c r="BH1404" s="25">
        <f>VLOOKUP(Inventory[[#This Row],[Qlty]],Lookups!$O$7:$R$21,4,FALSE)</f>
        <v>1</v>
      </c>
      <c r="BI1404" s="25">
        <f>VLOOKUP(Inventory[[#This Row],[Cnd]],Lookups!$T$7:$W$16,4,FALSE)</f>
        <v>0.99650000000000005</v>
      </c>
      <c r="BJ1404" s="25">
        <f>VLOOKUP(Inventory[[#This Row],[LivArea Range]],Lookups!$T$25:$W$37,4,FALSE)</f>
        <v>1.0157</v>
      </c>
      <c r="BK1404" s="25">
        <f>VLOOKUP(Inventory[[#This Row],[Decade]],Lookups!$O$25:$R$42,4,FALSE)</f>
        <v>0.98909999999999998</v>
      </c>
      <c r="BL1404" s="25">
        <f>Inventory[[#This Row],[Nbhd Adj]]*0.95</f>
        <v>0.94971499999999998</v>
      </c>
      <c r="BM1404" s="25">
        <f>Inventory[[#This Row],[Nbhd Adj]]*Inventory[[#This Row],[Quality Adj]]*Inventory[[#This Row],[Condition Adj]]*Inventory[[#This Row],[Living Area Adj]]*Inventory[[#This Row],[Decade Adj]]*0.95</f>
        <v>0.95077171839659791</v>
      </c>
      <c r="BN1404" s="25">
        <f>ROUND(SUM(Inventory[[#This Row],[Mdl Qlty]:[Mdl WdDeck]])+Inventory[[#This Row],[Mdl Res Intercept]]*Inventory[[#This Row],[Res Adj ]],-2)</f>
        <v>223800</v>
      </c>
      <c r="BO1404" s="25">
        <f>ROUND(Inventory[[#This Row],[25Det]]*Inventory[[#This Row],[Det/Nbhd Adj]],-2)</f>
        <v>6100</v>
      </c>
      <c r="BP1404" s="25">
        <f>Inventory[[#This Row],[Adjusted Res]]+Inventory[[#This Row],[Adj Det ]]</f>
        <v>229900</v>
      </c>
      <c r="BQ1404" s="25">
        <f>ROUND((Inventory[[#This Row],[Mdl Land Intercept]]+Inventory[[#This Row],[Mdl LnAcres]])*Inventory[[#This Row],[Det/Nbhd Adj]],-2)</f>
        <v>41100</v>
      </c>
      <c r="BR1404" s="25">
        <f>Inventory[[#This Row],[Adjusted Impr Total]]+Inventory[[#This Row],[Adjusted Land Total]]</f>
        <v>271000</v>
      </c>
      <c r="BS1404" s="36">
        <f>IFERROR((Inventory[[#This Row],[Adjusted Impr Total]]-Inventory[[#This Row],[24Bldg]])/Inventory[[#This Row],[24Bldg]],0)</f>
        <v>1.9060283687943262E-2</v>
      </c>
      <c r="BT1404" s="36">
        <f>(Inventory[[#This Row],[Adjusted Land Total]]-Inventory[[#This Row],[24Lnd]])/Inventory[[#This Row],[24Lnd]]</f>
        <v>-0.35071090047393366</v>
      </c>
      <c r="BU1404" s="36">
        <f>(Inventory[[#This Row],[Adjusted Total]]-Inventory[[#This Row],[24Final]])/Inventory[[#This Row],[24Final]]</f>
        <v>-6.1959155417099343E-2</v>
      </c>
    </row>
    <row r="1405" spans="1:73" x14ac:dyDescent="0.3">
      <c r="A1405" s="25">
        <v>2025</v>
      </c>
      <c r="B1405" s="26" t="s">
        <v>1488</v>
      </c>
      <c r="C1405" s="26">
        <f>LN(Inventory[[#This Row],[Acres]])</f>
        <v>-1.7719568419318752</v>
      </c>
      <c r="D1405" s="25">
        <v>0.17</v>
      </c>
      <c r="E1405" s="32">
        <v>7245</v>
      </c>
      <c r="F1405" s="26" t="s">
        <v>537</v>
      </c>
      <c r="G1405" s="26" t="s">
        <v>126</v>
      </c>
      <c r="H1405" s="26" t="s">
        <v>349</v>
      </c>
      <c r="I1405" s="26" t="s">
        <v>538</v>
      </c>
      <c r="J1405" s="26" t="s">
        <v>539</v>
      </c>
      <c r="K1405" s="26" t="s">
        <v>242</v>
      </c>
      <c r="L1405" s="26" t="s">
        <v>31</v>
      </c>
      <c r="M1405" s="26" t="s">
        <v>206</v>
      </c>
      <c r="N1405" s="26">
        <v>90</v>
      </c>
      <c r="O1405" s="26">
        <f>2024-Inventory[[#This Row],[YrBlt]]</f>
        <v>84</v>
      </c>
      <c r="P1405" s="26">
        <f>2024-Inventory[[#This Row],[EffYr]]</f>
        <v>52</v>
      </c>
      <c r="Q1405" s="25">
        <v>1940</v>
      </c>
      <c r="R1405" s="25">
        <v>1972</v>
      </c>
      <c r="S1405" s="25">
        <v>699</v>
      </c>
      <c r="T1405" s="31"/>
      <c r="U1405" s="25">
        <v>450</v>
      </c>
      <c r="V1405" s="25">
        <f>Inventory[[#This Row],[Bsmt]]-Inventory[[#This Row],[FnBsmt]]</f>
        <v>450</v>
      </c>
      <c r="W1405" s="31"/>
      <c r="X1405" s="27"/>
      <c r="Y1405" s="27">
        <f>Inventory[[#This Row],[MainFn]]+Inventory[[#This Row],[UpprFn]]+Inventory[[#This Row],[FnBsmt]]+Inventory[[#This Row],[AddFn]]</f>
        <v>699</v>
      </c>
      <c r="Z1405" s="27">
        <v>1000</v>
      </c>
      <c r="AA1405" s="25">
        <v>5</v>
      </c>
      <c r="AB1405" s="27"/>
      <c r="AC1405" s="27"/>
      <c r="AD1405" s="25">
        <v>66</v>
      </c>
      <c r="AE1405" s="27"/>
      <c r="AF1405" s="27"/>
      <c r="AG1405" s="27"/>
      <c r="AH1405" s="27"/>
      <c r="AI1405" s="25">
        <v>127631</v>
      </c>
      <c r="AJ1405" s="25">
        <v>84236</v>
      </c>
      <c r="AK1405" s="25">
        <v>5261</v>
      </c>
      <c r="AL1405" s="25">
        <v>199000</v>
      </c>
      <c r="AM1405" s="25">
        <v>52700</v>
      </c>
      <c r="AN1405" s="25">
        <v>146300</v>
      </c>
      <c r="AO1405" s="25">
        <v>0</v>
      </c>
      <c r="AP1405" s="25">
        <f>Lookups!$B$56*0</f>
        <v>0</v>
      </c>
      <c r="AQ1405" s="25">
        <f>Lookups!$B$56*1</f>
        <v>89850.625589999996</v>
      </c>
      <c r="AR1405" s="25">
        <f>Lookups!$B$57*Inventory[[#This Row],[LnAcres]]</f>
        <v>-56090.612940989391</v>
      </c>
      <c r="AS1405" s="25">
        <f>VLOOKUP(Inventory[[#This Row],[Qlty]],Lookups!$A$62:$E$75,2,FALSE)</f>
        <v>-43578.886190266698</v>
      </c>
      <c r="AT1405" s="25">
        <f>VLOOKUP(Inventory[[#This Row],[Cnd]],Lookups!$A$76:$E$84,2,FALSE)</f>
        <v>133714.53821</v>
      </c>
      <c r="AU1405" s="25">
        <f>Inventory[[#This Row],[EffAge]]*Lookups!$B$85</f>
        <v>-11598.371226000001</v>
      </c>
      <c r="AV1405" s="25">
        <f>Inventory[[#This Row],[MainFn]]*Lookups!$B$86</f>
        <v>34536.660244022998</v>
      </c>
      <c r="AW1405" s="25">
        <f>Inventory[[#This Row],[UpprFn]]*Lookups!$B$87</f>
        <v>0</v>
      </c>
      <c r="AX1405" s="25">
        <f>Inventory[[#This Row],[AddFn]]*Lookups!$B$88</f>
        <v>0</v>
      </c>
      <c r="AY1405" s="25">
        <f>Inventory[[#This Row],[Bsmt]]*Lookups!$B$89</f>
        <v>13086.852861149999</v>
      </c>
      <c r="AZ1405" s="25">
        <f>Inventory[[#This Row],[Fixtures]]*Lookups!$B$90</f>
        <v>18960.110526</v>
      </c>
      <c r="BA1405" s="25">
        <f>Inventory[[#This Row],[WdDeck]]*Lookups!$B$91</f>
        <v>2197.5040082160003</v>
      </c>
      <c r="BB1405" s="25">
        <f>ROUND(Inventory[[#This Row],[25Det]],-2)</f>
        <v>5300</v>
      </c>
      <c r="BC1405" s="25">
        <f>ROUND(SUM(Inventory[[#This Row],[Mdl Qlty]:[Mdl WdDeck]])+Inventory[[#This Row],[Mdl Res Intercept]],-2)</f>
        <v>147300</v>
      </c>
      <c r="BD1405" s="25">
        <f>ROUND(Inventory[[#This Row],[Mdl Land Intercept]]+Inventory[[#This Row],[Mdl LnAcres]],-2)</f>
        <v>33800</v>
      </c>
      <c r="BE1405" s="25">
        <f>Inventory[[#This Row],[Unadj Res Value]]+Inventory[[#This Row],[Unadj Det Value]]+Inventory[[#This Row],[Unadj Land Value]]</f>
        <v>186400</v>
      </c>
      <c r="BF1405" s="36">
        <f>(Inventory[[#This Row],[Unadj Total Value]]-Inventory[[#This Row],[24Final]])/Inventory[[#This Row],[24Final]]</f>
        <v>-6.3316582914572858E-2</v>
      </c>
      <c r="BG1405" s="25">
        <f>VLOOKUP(Inventory[[#This Row],[Nbhd]],Lookups!$Q$2:$T$4,4,FALSE)</f>
        <v>0.99970000000000003</v>
      </c>
      <c r="BH1405" s="25">
        <f>VLOOKUP(Inventory[[#This Row],[Qlty]],Lookups!$O$7:$R$21,4,FALSE)</f>
        <v>1</v>
      </c>
      <c r="BI1405" s="25">
        <f>VLOOKUP(Inventory[[#This Row],[Cnd]],Lookups!$T$7:$W$16,4,FALSE)</f>
        <v>0.99329999999999996</v>
      </c>
      <c r="BJ1405" s="25">
        <f>VLOOKUP(Inventory[[#This Row],[LivArea Range]],Lookups!$T$25:$W$37,4,FALSE)</f>
        <v>1.0148999999999999</v>
      </c>
      <c r="BK1405" s="25">
        <f>VLOOKUP(Inventory[[#This Row],[Decade]],Lookups!$O$25:$R$42,4,FALSE)</f>
        <v>0.98909999999999998</v>
      </c>
      <c r="BL1405" s="25">
        <f>Inventory[[#This Row],[Nbhd Adj]]*0.95</f>
        <v>0.94971499999999998</v>
      </c>
      <c r="BM1405" s="25">
        <f>Inventory[[#This Row],[Nbhd Adj]]*Inventory[[#This Row],[Quality Adj]]*Inventory[[#This Row],[Condition Adj]]*Inventory[[#This Row],[Living Area Adj]]*Inventory[[#This Row],[Decade Adj]]*0.95</f>
        <v>0.94697210735437787</v>
      </c>
      <c r="BN1405" s="25">
        <f>ROUND(SUM(Inventory[[#This Row],[Mdl Qlty]:[Mdl WdDeck]])+Inventory[[#This Row],[Mdl Res Intercept]]*Inventory[[#This Row],[Res Adj ]],-2)</f>
        <v>147300</v>
      </c>
      <c r="BO1405" s="25">
        <f>ROUND(Inventory[[#This Row],[25Det]]*Inventory[[#This Row],[Det/Nbhd Adj]],-2)</f>
        <v>5000</v>
      </c>
      <c r="BP1405" s="25">
        <f>Inventory[[#This Row],[Adjusted Res]]+Inventory[[#This Row],[Adj Det ]]</f>
        <v>152300</v>
      </c>
      <c r="BQ1405" s="25">
        <f>ROUND((Inventory[[#This Row],[Mdl Land Intercept]]+Inventory[[#This Row],[Mdl LnAcres]])*Inventory[[#This Row],[Det/Nbhd Adj]],-2)</f>
        <v>32100</v>
      </c>
      <c r="BR1405" s="25">
        <f>Inventory[[#This Row],[Adjusted Impr Total]]+Inventory[[#This Row],[Adjusted Land Total]]</f>
        <v>184400</v>
      </c>
      <c r="BS1405" s="36">
        <f>IFERROR((Inventory[[#This Row],[Adjusted Impr Total]]-Inventory[[#This Row],[24Bldg]])/Inventory[[#This Row],[24Bldg]],0)</f>
        <v>4.1011619958988381E-2</v>
      </c>
      <c r="BT1405" s="36">
        <f>(Inventory[[#This Row],[Adjusted Land Total]]-Inventory[[#This Row],[24Lnd]])/Inventory[[#This Row],[24Lnd]]</f>
        <v>-0.39089184060721061</v>
      </c>
      <c r="BU1405" s="36">
        <f>(Inventory[[#This Row],[Adjusted Total]]-Inventory[[#This Row],[24Final]])/Inventory[[#This Row],[24Final]]</f>
        <v>-7.3366834170854267E-2</v>
      </c>
    </row>
    <row r="1406" spans="1:73" x14ac:dyDescent="0.3">
      <c r="A1406" s="25">
        <v>2025</v>
      </c>
      <c r="B1406" s="26" t="s">
        <v>2625</v>
      </c>
      <c r="C1406" s="26">
        <f>LN(Inventory[[#This Row],[Acres]])</f>
        <v>-0.9942522733438669</v>
      </c>
      <c r="D1406" s="25">
        <v>0.37</v>
      </c>
      <c r="E1406" s="27"/>
      <c r="F1406" s="26" t="s">
        <v>537</v>
      </c>
      <c r="G1406" s="26" t="s">
        <v>126</v>
      </c>
      <c r="H1406" s="26" t="s">
        <v>349</v>
      </c>
      <c r="I1406" s="26" t="s">
        <v>538</v>
      </c>
      <c r="J1406" s="26" t="s">
        <v>539</v>
      </c>
      <c r="K1406" s="26" t="s">
        <v>4</v>
      </c>
      <c r="L1406" s="26" t="s">
        <v>31</v>
      </c>
      <c r="M1406" s="26" t="s">
        <v>323</v>
      </c>
      <c r="N1406" s="26">
        <v>90</v>
      </c>
      <c r="O1406" s="26">
        <f>2024-Inventory[[#This Row],[YrBlt]]</f>
        <v>84</v>
      </c>
      <c r="P1406" s="26">
        <f>2024-Inventory[[#This Row],[EffYr]]</f>
        <v>52</v>
      </c>
      <c r="Q1406" s="25">
        <v>1940</v>
      </c>
      <c r="R1406" s="25">
        <v>1972</v>
      </c>
      <c r="S1406" s="25">
        <v>646</v>
      </c>
      <c r="T1406" s="31"/>
      <c r="U1406" s="31"/>
      <c r="V1406" s="31">
        <f>Inventory[[#This Row],[Bsmt]]-Inventory[[#This Row],[FnBsmt]]</f>
        <v>0</v>
      </c>
      <c r="W1406" s="31"/>
      <c r="X1406" s="27"/>
      <c r="Y1406" s="27">
        <f>Inventory[[#This Row],[MainFn]]+Inventory[[#This Row],[UpprFn]]+Inventory[[#This Row],[FnBsmt]]+Inventory[[#This Row],[AddFn]]</f>
        <v>646</v>
      </c>
      <c r="Z1406" s="27">
        <v>1000</v>
      </c>
      <c r="AA1406" s="25">
        <v>5</v>
      </c>
      <c r="AB1406" s="27"/>
      <c r="AC1406" s="27"/>
      <c r="AD1406" s="31"/>
      <c r="AE1406" s="27"/>
      <c r="AF1406" s="27"/>
      <c r="AG1406" s="27"/>
      <c r="AH1406" s="27"/>
      <c r="AI1406" s="25">
        <v>96192</v>
      </c>
      <c r="AJ1406" s="25">
        <v>65411</v>
      </c>
      <c r="AK1406" s="25">
        <v>1917</v>
      </c>
      <c r="AL1406" s="25">
        <v>276600</v>
      </c>
      <c r="AM1406" s="25">
        <v>79900</v>
      </c>
      <c r="AN1406" s="25">
        <v>196700</v>
      </c>
      <c r="AO1406" s="25">
        <v>0</v>
      </c>
      <c r="AP1406" s="25">
        <f>Lookups!$B$56*0</f>
        <v>0</v>
      </c>
      <c r="AQ1406" s="25">
        <f>Lookups!$B$56*1</f>
        <v>89850.625589999996</v>
      </c>
      <c r="AR1406" s="25">
        <f>Lookups!$B$57*Inventory[[#This Row],[LnAcres]]</f>
        <v>-31472.673662315807</v>
      </c>
      <c r="AS1406" s="25">
        <f>VLOOKUP(Inventory[[#This Row],[Qlty]],Lookups!$A$62:$E$75,2,FALSE)</f>
        <v>-43578.886190266698</v>
      </c>
      <c r="AT1406" s="25">
        <f>VLOOKUP(Inventory[[#This Row],[Cnd]],Lookups!$A$76:$E$84,2,FALSE)</f>
        <v>160472.20319</v>
      </c>
      <c r="AU1406" s="25">
        <f>Inventory[[#This Row],[EffAge]]*Lookups!$B$85</f>
        <v>-11598.371226000001</v>
      </c>
      <c r="AV1406" s="25">
        <f>Inventory[[#This Row],[MainFn]]*Lookups!$B$86</f>
        <v>31918.000740542</v>
      </c>
      <c r="AW1406" s="25">
        <f>Inventory[[#This Row],[UpprFn]]*Lookups!$B$87</f>
        <v>0</v>
      </c>
      <c r="AX1406" s="25">
        <f>Inventory[[#This Row],[AddFn]]*Lookups!$B$88</f>
        <v>0</v>
      </c>
      <c r="AY1406" s="25">
        <f>Inventory[[#This Row],[Bsmt]]*Lookups!$B$89</f>
        <v>0</v>
      </c>
      <c r="AZ1406" s="25">
        <f>Inventory[[#This Row],[Fixtures]]*Lookups!$B$90</f>
        <v>18960.110526</v>
      </c>
      <c r="BA1406" s="25">
        <f>Inventory[[#This Row],[WdDeck]]*Lookups!$B$91</f>
        <v>0</v>
      </c>
      <c r="BB1406" s="25">
        <f>ROUND(Inventory[[#This Row],[25Det]],-2)</f>
        <v>1900</v>
      </c>
      <c r="BC1406" s="25">
        <f>ROUND(SUM(Inventory[[#This Row],[Mdl Qlty]:[Mdl WdDeck]])+Inventory[[#This Row],[Mdl Res Intercept]],-2)</f>
        <v>156200</v>
      </c>
      <c r="BD1406" s="25">
        <f>ROUND(Inventory[[#This Row],[Mdl Land Intercept]]+Inventory[[#This Row],[Mdl LnAcres]],-2)</f>
        <v>58400</v>
      </c>
      <c r="BE1406" s="25">
        <f>Inventory[[#This Row],[Unadj Res Value]]+Inventory[[#This Row],[Unadj Det Value]]+Inventory[[#This Row],[Unadj Land Value]]</f>
        <v>216500</v>
      </c>
      <c r="BF1406" s="36">
        <f>(Inventory[[#This Row],[Unadj Total Value]]-Inventory[[#This Row],[24Final]])/Inventory[[#This Row],[24Final]]</f>
        <v>-0.21728127259580621</v>
      </c>
      <c r="BG1406" s="25">
        <f>VLOOKUP(Inventory[[#This Row],[Nbhd]],Lookups!$Q$2:$T$4,4,FALSE)</f>
        <v>0.99970000000000003</v>
      </c>
      <c r="BH1406" s="25">
        <f>VLOOKUP(Inventory[[#This Row],[Qlty]],Lookups!$O$7:$R$21,4,FALSE)</f>
        <v>1</v>
      </c>
      <c r="BI1406" s="25">
        <f>VLOOKUP(Inventory[[#This Row],[Cnd]],Lookups!$T$7:$W$16,4,FALSE)</f>
        <v>0.99729999999999996</v>
      </c>
      <c r="BJ1406" s="25">
        <f>VLOOKUP(Inventory[[#This Row],[LivArea Range]],Lookups!$T$25:$W$37,4,FALSE)</f>
        <v>1.0148999999999999</v>
      </c>
      <c r="BK1406" s="25">
        <f>VLOOKUP(Inventory[[#This Row],[Decade]],Lookups!$O$25:$R$42,4,FALSE)</f>
        <v>0.98909999999999998</v>
      </c>
      <c r="BL1406" s="25">
        <f>Inventory[[#This Row],[Nbhd Adj]]*0.95</f>
        <v>0.94971499999999998</v>
      </c>
      <c r="BM1406" s="25">
        <f>Inventory[[#This Row],[Nbhd Adj]]*Inventory[[#This Row],[Quality Adj]]*Inventory[[#This Row],[Condition Adj]]*Inventory[[#This Row],[Living Area Adj]]*Inventory[[#This Row],[Decade Adj]]*0.95</f>
        <v>0.95078554582152541</v>
      </c>
      <c r="BN1406" s="25">
        <f>ROUND(SUM(Inventory[[#This Row],[Mdl Qlty]:[Mdl WdDeck]])+Inventory[[#This Row],[Mdl Res Intercept]]*Inventory[[#This Row],[Res Adj ]],-2)</f>
        <v>156200</v>
      </c>
      <c r="BO1406" s="25">
        <f>ROUND(Inventory[[#This Row],[25Det]]*Inventory[[#This Row],[Det/Nbhd Adj]],-2)</f>
        <v>1800</v>
      </c>
      <c r="BP1406" s="25">
        <f>Inventory[[#This Row],[Adjusted Res]]+Inventory[[#This Row],[Adj Det ]]</f>
        <v>158000</v>
      </c>
      <c r="BQ1406" s="25">
        <f>ROUND((Inventory[[#This Row],[Mdl Land Intercept]]+Inventory[[#This Row],[Mdl LnAcres]])*Inventory[[#This Row],[Det/Nbhd Adj]],-2)</f>
        <v>55400</v>
      </c>
      <c r="BR1406" s="25">
        <f>Inventory[[#This Row],[Adjusted Impr Total]]+Inventory[[#This Row],[Adjusted Land Total]]</f>
        <v>213400</v>
      </c>
      <c r="BS1406" s="36">
        <f>IFERROR((Inventory[[#This Row],[Adjusted Impr Total]]-Inventory[[#This Row],[24Bldg]])/Inventory[[#This Row],[24Bldg]],0)</f>
        <v>-0.1967463141840366</v>
      </c>
      <c r="BT1406" s="36">
        <f>(Inventory[[#This Row],[Adjusted Land Total]]-Inventory[[#This Row],[24Lnd]])/Inventory[[#This Row],[24Lnd]]</f>
        <v>-0.30663329161451813</v>
      </c>
      <c r="BU1406" s="36">
        <f>(Inventory[[#This Row],[Adjusted Total]]-Inventory[[#This Row],[24Final]])/Inventory[[#This Row],[24Final]]</f>
        <v>-0.22848879248011569</v>
      </c>
    </row>
    <row r="1407" spans="1:73" x14ac:dyDescent="0.3">
      <c r="A1407" s="25">
        <v>2025</v>
      </c>
      <c r="B1407" s="26" t="s">
        <v>2004</v>
      </c>
      <c r="C1407" s="26">
        <f>LN(Inventory[[#This Row],[Acres]])</f>
        <v>-1.0788096613719298</v>
      </c>
      <c r="D1407" s="25">
        <v>0.34</v>
      </c>
      <c r="E1407" s="32">
        <v>14977</v>
      </c>
      <c r="F1407" s="26" t="s">
        <v>537</v>
      </c>
      <c r="G1407" s="26" t="s">
        <v>126</v>
      </c>
      <c r="H1407" s="26" t="s">
        <v>349</v>
      </c>
      <c r="I1407" s="26" t="s">
        <v>538</v>
      </c>
      <c r="J1407" s="26" t="s">
        <v>539</v>
      </c>
      <c r="K1407" s="26" t="s">
        <v>242</v>
      </c>
      <c r="L1407" s="26" t="s">
        <v>31</v>
      </c>
      <c r="M1407" s="26" t="s">
        <v>33</v>
      </c>
      <c r="N1407" s="26">
        <v>90</v>
      </c>
      <c r="O1407" s="26">
        <f>2024-Inventory[[#This Row],[YrBlt]]</f>
        <v>84</v>
      </c>
      <c r="P1407" s="26">
        <f>2024-Inventory[[#This Row],[EffYr]]</f>
        <v>52</v>
      </c>
      <c r="Q1407" s="25">
        <v>1940</v>
      </c>
      <c r="R1407" s="25">
        <v>1972</v>
      </c>
      <c r="S1407" s="25">
        <v>825</v>
      </c>
      <c r="T1407" s="27"/>
      <c r="U1407" s="25">
        <v>825</v>
      </c>
      <c r="V1407" s="25">
        <f>Inventory[[#This Row],[Bsmt]]-Inventory[[#This Row],[FnBsmt]]</f>
        <v>825</v>
      </c>
      <c r="W1407" s="31"/>
      <c r="X1407" s="27"/>
      <c r="Y1407" s="27">
        <f>Inventory[[#This Row],[MainFn]]+Inventory[[#This Row],[UpprFn]]+Inventory[[#This Row],[FnBsmt]]+Inventory[[#This Row],[AddFn]]</f>
        <v>825</v>
      </c>
      <c r="Z1407" s="27">
        <v>1000</v>
      </c>
      <c r="AA1407" s="25">
        <v>5</v>
      </c>
      <c r="AB1407" s="27"/>
      <c r="AC1407" s="27"/>
      <c r="AD1407" s="27"/>
      <c r="AE1407" s="27"/>
      <c r="AF1407" s="27"/>
      <c r="AG1407" s="27"/>
      <c r="AH1407" s="27"/>
      <c r="AI1407" s="25">
        <v>147754</v>
      </c>
      <c r="AJ1407" s="25">
        <v>96040</v>
      </c>
      <c r="AK1407" s="25">
        <v>4776</v>
      </c>
      <c r="AL1407" s="25">
        <v>186100</v>
      </c>
      <c r="AM1407" s="25">
        <v>76900</v>
      </c>
      <c r="AN1407" s="25">
        <v>109200</v>
      </c>
      <c r="AO1407" s="25">
        <v>0</v>
      </c>
      <c r="AP1407" s="25">
        <f>Lookups!$B$56*0</f>
        <v>0</v>
      </c>
      <c r="AQ1407" s="25">
        <f>Lookups!$B$56*1</f>
        <v>89850.625589999996</v>
      </c>
      <c r="AR1407" s="25">
        <f>Lookups!$B$57*Inventory[[#This Row],[LnAcres]]</f>
        <v>-34149.305288406773</v>
      </c>
      <c r="AS1407" s="25">
        <f>VLOOKUP(Inventory[[#This Row],[Qlty]],Lookups!$A$62:$E$75,2,FALSE)</f>
        <v>-43578.886190266698</v>
      </c>
      <c r="AT1407" s="25">
        <f>VLOOKUP(Inventory[[#This Row],[Cnd]],Lookups!$A$76:$E$84,2,FALSE)</f>
        <v>39013.223933000001</v>
      </c>
      <c r="AU1407" s="25">
        <f>Inventory[[#This Row],[EffAge]]*Lookups!$B$85</f>
        <v>-11598.371226000001</v>
      </c>
      <c r="AV1407" s="25">
        <f>Inventory[[#This Row],[MainFn]]*Lookups!$B$86</f>
        <v>40762.152648525</v>
      </c>
      <c r="AW1407" s="25">
        <f>Inventory[[#This Row],[UpprFn]]*Lookups!$B$87</f>
        <v>0</v>
      </c>
      <c r="AX1407" s="25">
        <f>Inventory[[#This Row],[AddFn]]*Lookups!$B$88</f>
        <v>0</v>
      </c>
      <c r="AY1407" s="25">
        <f>Inventory[[#This Row],[Bsmt]]*Lookups!$B$89</f>
        <v>23992.563578775</v>
      </c>
      <c r="AZ1407" s="25">
        <f>Inventory[[#This Row],[Fixtures]]*Lookups!$B$90</f>
        <v>18960.110526</v>
      </c>
      <c r="BA1407" s="25">
        <f>Inventory[[#This Row],[WdDeck]]*Lookups!$B$91</f>
        <v>0</v>
      </c>
      <c r="BB1407" s="25">
        <f>ROUND(Inventory[[#This Row],[25Det]],-2)</f>
        <v>4800</v>
      </c>
      <c r="BC1407" s="25">
        <f>ROUND(SUM(Inventory[[#This Row],[Mdl Qlty]:[Mdl WdDeck]])+Inventory[[#This Row],[Mdl Res Intercept]],-2)</f>
        <v>67600</v>
      </c>
      <c r="BD1407" s="25">
        <f>ROUND(Inventory[[#This Row],[Mdl Land Intercept]]+Inventory[[#This Row],[Mdl LnAcres]],-2)</f>
        <v>55700</v>
      </c>
      <c r="BE1407" s="25">
        <f>Inventory[[#This Row],[Unadj Res Value]]+Inventory[[#This Row],[Unadj Det Value]]+Inventory[[#This Row],[Unadj Land Value]]</f>
        <v>128100</v>
      </c>
      <c r="BF1407" s="36">
        <f>(Inventory[[#This Row],[Unadj Total Value]]-Inventory[[#This Row],[24Final]])/Inventory[[#This Row],[24Final]]</f>
        <v>-0.31166039763567976</v>
      </c>
      <c r="BG1407" s="25">
        <f>VLOOKUP(Inventory[[#This Row],[Nbhd]],Lookups!$Q$2:$T$4,4,FALSE)</f>
        <v>0.99970000000000003</v>
      </c>
      <c r="BH1407" s="25">
        <f>VLOOKUP(Inventory[[#This Row],[Qlty]],Lookups!$O$7:$R$21,4,FALSE)</f>
        <v>1</v>
      </c>
      <c r="BI1407" s="25">
        <f>VLOOKUP(Inventory[[#This Row],[Cnd]],Lookups!$T$7:$W$16,4,FALSE)</f>
        <v>1.0021</v>
      </c>
      <c r="BJ1407" s="25">
        <f>VLOOKUP(Inventory[[#This Row],[LivArea Range]],Lookups!$T$25:$W$37,4,FALSE)</f>
        <v>1.0148999999999999</v>
      </c>
      <c r="BK1407" s="25">
        <f>VLOOKUP(Inventory[[#This Row],[Decade]],Lookups!$O$25:$R$42,4,FALSE)</f>
        <v>0.98909999999999998</v>
      </c>
      <c r="BL1407" s="25">
        <f>Inventory[[#This Row],[Nbhd Adj]]*0.95</f>
        <v>0.94971499999999998</v>
      </c>
      <c r="BM1407" s="25">
        <f>Inventory[[#This Row],[Nbhd Adj]]*Inventory[[#This Row],[Quality Adj]]*Inventory[[#This Row],[Condition Adj]]*Inventory[[#This Row],[Living Area Adj]]*Inventory[[#This Row],[Decade Adj]]*0.95</f>
        <v>0.95536167198210231</v>
      </c>
      <c r="BN1407" s="25">
        <f>ROUND(SUM(Inventory[[#This Row],[Mdl Qlty]:[Mdl WdDeck]])+Inventory[[#This Row],[Mdl Res Intercept]]*Inventory[[#This Row],[Res Adj ]],-2)</f>
        <v>67600</v>
      </c>
      <c r="BO1407" s="25">
        <f>ROUND(Inventory[[#This Row],[25Det]]*Inventory[[#This Row],[Det/Nbhd Adj]],-2)</f>
        <v>4500</v>
      </c>
      <c r="BP1407" s="25">
        <f>Inventory[[#This Row],[Adjusted Res]]+Inventory[[#This Row],[Adj Det ]]</f>
        <v>72100</v>
      </c>
      <c r="BQ1407" s="25">
        <f>ROUND((Inventory[[#This Row],[Mdl Land Intercept]]+Inventory[[#This Row],[Mdl LnAcres]])*Inventory[[#This Row],[Det/Nbhd Adj]],-2)</f>
        <v>52900</v>
      </c>
      <c r="BR1407" s="25">
        <f>Inventory[[#This Row],[Adjusted Impr Total]]+Inventory[[#This Row],[Adjusted Land Total]]</f>
        <v>125000</v>
      </c>
      <c r="BS1407" s="36">
        <f>IFERROR((Inventory[[#This Row],[Adjusted Impr Total]]-Inventory[[#This Row],[24Bldg]])/Inventory[[#This Row],[24Bldg]],0)</f>
        <v>-0.33974358974358976</v>
      </c>
      <c r="BT1407" s="36">
        <f>(Inventory[[#This Row],[Adjusted Land Total]]-Inventory[[#This Row],[24Lnd]])/Inventory[[#This Row],[24Lnd]]</f>
        <v>-0.31209362808842656</v>
      </c>
      <c r="BU1407" s="36">
        <f>(Inventory[[#This Row],[Adjusted Total]]-Inventory[[#This Row],[24Final]])/Inventory[[#This Row],[24Final]]</f>
        <v>-0.32831810854379367</v>
      </c>
    </row>
    <row r="1408" spans="1:73" x14ac:dyDescent="0.3">
      <c r="A1408" s="25">
        <v>2025</v>
      </c>
      <c r="B1408" s="26" t="s">
        <v>887</v>
      </c>
      <c r="C1408" s="26">
        <f>LN(Inventory[[#This Row],[Acres]])</f>
        <v>-1.8971199848858813</v>
      </c>
      <c r="D1408" s="25">
        <v>0.15</v>
      </c>
      <c r="E1408" s="25">
        <v>6440</v>
      </c>
      <c r="F1408" s="26" t="s">
        <v>537</v>
      </c>
      <c r="G1408" s="26" t="s">
        <v>126</v>
      </c>
      <c r="H1408" s="26" t="s">
        <v>349</v>
      </c>
      <c r="I1408" s="26" t="s">
        <v>538</v>
      </c>
      <c r="J1408" s="26" t="s">
        <v>539</v>
      </c>
      <c r="K1408" s="26" t="s">
        <v>173</v>
      </c>
      <c r="L1408" s="26" t="s">
        <v>148</v>
      </c>
      <c r="M1408" s="26" t="s">
        <v>303</v>
      </c>
      <c r="N1408" s="26">
        <v>90</v>
      </c>
      <c r="O1408" s="26">
        <f>2024-Inventory[[#This Row],[YrBlt]]</f>
        <v>85</v>
      </c>
      <c r="P1408" s="26">
        <f>2024-Inventory[[#This Row],[EffYr]]</f>
        <v>53</v>
      </c>
      <c r="Q1408" s="25">
        <v>1939</v>
      </c>
      <c r="R1408" s="25">
        <v>1971</v>
      </c>
      <c r="S1408" s="25">
        <v>852</v>
      </c>
      <c r="T1408" s="32">
        <v>660</v>
      </c>
      <c r="U1408" s="32">
        <v>884</v>
      </c>
      <c r="V1408" s="32">
        <f>Inventory[[#This Row],[Bsmt]]-Inventory[[#This Row],[FnBsmt]]</f>
        <v>265</v>
      </c>
      <c r="W1408" s="32">
        <v>619</v>
      </c>
      <c r="X1408" s="27"/>
      <c r="Y1408" s="27">
        <f>Inventory[[#This Row],[MainFn]]+Inventory[[#This Row],[UpprFn]]+Inventory[[#This Row],[FnBsmt]]+Inventory[[#This Row],[AddFn]]</f>
        <v>2131</v>
      </c>
      <c r="Z1408" s="27">
        <v>2500</v>
      </c>
      <c r="AA1408" s="25">
        <v>7</v>
      </c>
      <c r="AB1408" s="27"/>
      <c r="AC1408" s="27"/>
      <c r="AD1408" s="27"/>
      <c r="AE1408" s="27"/>
      <c r="AF1408" s="27"/>
      <c r="AG1408" s="27"/>
      <c r="AH1408" s="27"/>
      <c r="AI1408" s="25">
        <v>373795</v>
      </c>
      <c r="AJ1408" s="25">
        <v>257919</v>
      </c>
      <c r="AK1408" s="25">
        <v>6259</v>
      </c>
      <c r="AL1408" s="25">
        <v>357900</v>
      </c>
      <c r="AM1408" s="25">
        <v>48400</v>
      </c>
      <c r="AN1408" s="25">
        <v>309500</v>
      </c>
      <c r="AO1408" s="25">
        <v>0</v>
      </c>
      <c r="AP1408" s="25">
        <f>Lookups!$B$56*0</f>
        <v>0</v>
      </c>
      <c r="AQ1408" s="25">
        <f>Lookups!$B$56*1</f>
        <v>89850.625589999996</v>
      </c>
      <c r="AR1408" s="25">
        <f>Lookups!$B$57*Inventory[[#This Row],[LnAcres]]</f>
        <v>-60052.604136134301</v>
      </c>
      <c r="AS1408" s="25">
        <f>VLOOKUP(Inventory[[#This Row],[Qlty]],Lookups!$A$62:$E$75,2,FALSE)</f>
        <v>44121.038090000002</v>
      </c>
      <c r="AT1408" s="25">
        <f>VLOOKUP(Inventory[[#This Row],[Cnd]],Lookups!$A$76:$E$84,2,FALSE)</f>
        <v>197752.34721000001</v>
      </c>
      <c r="AU1408" s="25">
        <f>Inventory[[#This Row],[EffAge]]*Lookups!$B$85</f>
        <v>-11821.416826500001</v>
      </c>
      <c r="AV1408" s="25">
        <f>Inventory[[#This Row],[MainFn]]*Lookups!$B$86</f>
        <v>42096.186735203999</v>
      </c>
      <c r="AW1408" s="25">
        <f>Inventory[[#This Row],[UpprFn]]*Lookups!$B$87</f>
        <v>29559.03908826</v>
      </c>
      <c r="AX1408" s="25">
        <f>Inventory[[#This Row],[AddFn]]*Lookups!$B$88</f>
        <v>0</v>
      </c>
      <c r="AY1408" s="25">
        <f>Inventory[[#This Row],[Bsmt]]*Lookups!$B$89</f>
        <v>25708.395398347999</v>
      </c>
      <c r="AZ1408" s="25">
        <f>Inventory[[#This Row],[Fixtures]]*Lookups!$B$90</f>
        <v>26544.1547364</v>
      </c>
      <c r="BA1408" s="25">
        <f>Inventory[[#This Row],[WdDeck]]*Lookups!$B$91</f>
        <v>0</v>
      </c>
      <c r="BB1408" s="25">
        <f>ROUND(Inventory[[#This Row],[25Det]],-2)</f>
        <v>6300</v>
      </c>
      <c r="BC1408" s="25">
        <f>ROUND(SUM(Inventory[[#This Row],[Mdl Qlty]:[Mdl WdDeck]])+Inventory[[#This Row],[Mdl Res Intercept]],-2)</f>
        <v>354000</v>
      </c>
      <c r="BD1408" s="25">
        <f>ROUND(Inventory[[#This Row],[Mdl Land Intercept]]+Inventory[[#This Row],[Mdl LnAcres]],-2)</f>
        <v>29800</v>
      </c>
      <c r="BE1408" s="25">
        <f>Inventory[[#This Row],[Unadj Res Value]]+Inventory[[#This Row],[Unadj Det Value]]+Inventory[[#This Row],[Unadj Land Value]]</f>
        <v>390100</v>
      </c>
      <c r="BF1408" s="36">
        <f>(Inventory[[#This Row],[Unadj Total Value]]-Inventory[[#This Row],[24Final]])/Inventory[[#This Row],[24Final]]</f>
        <v>8.9969265157865325E-2</v>
      </c>
      <c r="BG1408" s="25">
        <f>VLOOKUP(Inventory[[#This Row],[Nbhd]],Lookups!$Q$2:$T$4,4,FALSE)</f>
        <v>0.99970000000000003</v>
      </c>
      <c r="BH1408" s="25">
        <f>VLOOKUP(Inventory[[#This Row],[Qlty]],Lookups!$O$7:$R$21,4,FALSE)</f>
        <v>0.98050000000000004</v>
      </c>
      <c r="BI1408" s="25">
        <f>VLOOKUP(Inventory[[#This Row],[Cnd]],Lookups!$T$7:$W$16,4,FALSE)</f>
        <v>0.99650000000000005</v>
      </c>
      <c r="BJ1408" s="25">
        <f>VLOOKUP(Inventory[[#This Row],[LivArea Range]],Lookups!$T$25:$W$37,4,FALSE)</f>
        <v>0.98919999999999997</v>
      </c>
      <c r="BK1408" s="25">
        <f>VLOOKUP(Inventory[[#This Row],[Decade]],Lookups!$O$25:$R$42,4,FALSE)</f>
        <v>0.98909999999999998</v>
      </c>
      <c r="BL1408" s="25">
        <f>Inventory[[#This Row],[Nbhd Adj]]*0.95</f>
        <v>0.94971499999999998</v>
      </c>
      <c r="BM1408" s="25">
        <f>Inventory[[#This Row],[Nbhd Adj]]*Inventory[[#This Row],[Quality Adj]]*Inventory[[#This Row],[Condition Adj]]*Inventory[[#This Row],[Living Area Adj]]*Inventory[[#This Row],[Decade Adj]]*0.95</f>
        <v>0.90790939042342744</v>
      </c>
      <c r="BN1408" s="25">
        <f>ROUND(SUM(Inventory[[#This Row],[Mdl Qlty]:[Mdl WdDeck]])+Inventory[[#This Row],[Mdl Res Intercept]]*Inventory[[#This Row],[Res Adj ]],-2)</f>
        <v>354000</v>
      </c>
      <c r="BO1408" s="25">
        <f>ROUND(Inventory[[#This Row],[25Det]]*Inventory[[#This Row],[Det/Nbhd Adj]],-2)</f>
        <v>5900</v>
      </c>
      <c r="BP1408" s="25">
        <f>Inventory[[#This Row],[Adjusted Res]]+Inventory[[#This Row],[Adj Det ]]</f>
        <v>359900</v>
      </c>
      <c r="BQ1408" s="25">
        <f>ROUND((Inventory[[#This Row],[Mdl Land Intercept]]+Inventory[[#This Row],[Mdl LnAcres]])*Inventory[[#This Row],[Det/Nbhd Adj]],-2)</f>
        <v>28300</v>
      </c>
      <c r="BR1408" s="25">
        <f>Inventory[[#This Row],[Adjusted Impr Total]]+Inventory[[#This Row],[Adjusted Land Total]]</f>
        <v>388200</v>
      </c>
      <c r="BS1408" s="36">
        <f>IFERROR((Inventory[[#This Row],[Adjusted Impr Total]]-Inventory[[#This Row],[24Bldg]])/Inventory[[#This Row],[24Bldg]],0)</f>
        <v>0.16284329563812602</v>
      </c>
      <c r="BT1408" s="36">
        <f>(Inventory[[#This Row],[Adjusted Land Total]]-Inventory[[#This Row],[24Lnd]])/Inventory[[#This Row],[24Lnd]]</f>
        <v>-0.41528925619834711</v>
      </c>
      <c r="BU1408" s="36">
        <f>(Inventory[[#This Row],[Adjusted Total]]-Inventory[[#This Row],[24Final]])/Inventory[[#This Row],[24Final]]</f>
        <v>8.4660519698239733E-2</v>
      </c>
    </row>
    <row r="1409" spans="1:73" x14ac:dyDescent="0.3">
      <c r="A1409" s="25">
        <v>2025</v>
      </c>
      <c r="B1409" s="26" t="s">
        <v>1387</v>
      </c>
      <c r="C1409" s="26">
        <f>LN(Inventory[[#This Row],[Acres]])</f>
        <v>-2.120263536200091</v>
      </c>
      <c r="D1409" s="25">
        <v>0.12</v>
      </c>
      <c r="E1409" s="32">
        <v>5178</v>
      </c>
      <c r="F1409" s="26" t="s">
        <v>537</v>
      </c>
      <c r="G1409" s="26" t="s">
        <v>126</v>
      </c>
      <c r="H1409" s="26" t="s">
        <v>349</v>
      </c>
      <c r="I1409" s="26" t="s">
        <v>538</v>
      </c>
      <c r="J1409" s="26" t="s">
        <v>539</v>
      </c>
      <c r="K1409" s="26" t="s">
        <v>269</v>
      </c>
      <c r="L1409" s="26" t="s">
        <v>351</v>
      </c>
      <c r="M1409" s="26" t="s">
        <v>323</v>
      </c>
      <c r="N1409" s="26">
        <v>90</v>
      </c>
      <c r="O1409" s="26">
        <f>2024-Inventory[[#This Row],[YrBlt]]</f>
        <v>85</v>
      </c>
      <c r="P1409" s="26">
        <f>2024-Inventory[[#This Row],[EffYr]]</f>
        <v>53</v>
      </c>
      <c r="Q1409" s="25">
        <v>1939</v>
      </c>
      <c r="R1409" s="25">
        <v>1971</v>
      </c>
      <c r="S1409" s="25">
        <v>1101</v>
      </c>
      <c r="T1409" s="27"/>
      <c r="U1409" s="32">
        <v>1101</v>
      </c>
      <c r="V1409" s="32">
        <f>Inventory[[#This Row],[Bsmt]]-Inventory[[#This Row],[FnBsmt]]</f>
        <v>851</v>
      </c>
      <c r="W1409" s="32">
        <v>250</v>
      </c>
      <c r="X1409" s="27"/>
      <c r="Y1409" s="27">
        <f>Inventory[[#This Row],[MainFn]]+Inventory[[#This Row],[UpprFn]]+Inventory[[#This Row],[FnBsmt]]+Inventory[[#This Row],[AddFn]]</f>
        <v>1351</v>
      </c>
      <c r="Z1409" s="27">
        <v>1500</v>
      </c>
      <c r="AA1409" s="25">
        <v>5</v>
      </c>
      <c r="AB1409" s="31"/>
      <c r="AC1409" s="27"/>
      <c r="AD1409" s="27"/>
      <c r="AE1409" s="27"/>
      <c r="AF1409" s="27"/>
      <c r="AG1409" s="27"/>
      <c r="AH1409" s="27"/>
      <c r="AI1409" s="25">
        <v>246788</v>
      </c>
      <c r="AJ1409" s="25">
        <v>165348</v>
      </c>
      <c r="AK1409" s="25">
        <v>9465</v>
      </c>
      <c r="AL1409" s="25">
        <v>282400</v>
      </c>
      <c r="AM1409" s="25">
        <v>40600</v>
      </c>
      <c r="AN1409" s="25">
        <v>241800</v>
      </c>
      <c r="AO1409" s="25">
        <v>0</v>
      </c>
      <c r="AP1409" s="25">
        <f>Lookups!$B$56*0</f>
        <v>0</v>
      </c>
      <c r="AQ1409" s="25">
        <f>Lookups!$B$56*1</f>
        <v>89850.625589999996</v>
      </c>
      <c r="AR1409" s="25">
        <f>Lookups!$B$57*Inventory[[#This Row],[LnAcres]]</f>
        <v>-67116.12750806773</v>
      </c>
      <c r="AS1409" s="25">
        <f>VLOOKUP(Inventory[[#This Row],[Qlty]],Lookups!$A$62:$E$75,2,FALSE)</f>
        <v>21557.329055999999</v>
      </c>
      <c r="AT1409" s="25">
        <f>VLOOKUP(Inventory[[#This Row],[Cnd]],Lookups!$A$76:$E$84,2,FALSE)</f>
        <v>160472.20319</v>
      </c>
      <c r="AU1409" s="25">
        <f>Inventory[[#This Row],[EffAge]]*Lookups!$B$85</f>
        <v>-11821.416826500001</v>
      </c>
      <c r="AV1409" s="25">
        <f>Inventory[[#This Row],[MainFn]]*Lookups!$B$86</f>
        <v>54398.945534577004</v>
      </c>
      <c r="AW1409" s="25">
        <f>Inventory[[#This Row],[UpprFn]]*Lookups!$B$87</f>
        <v>0</v>
      </c>
      <c r="AX1409" s="25">
        <f>Inventory[[#This Row],[AddFn]]*Lookups!$B$88</f>
        <v>0</v>
      </c>
      <c r="AY1409" s="25">
        <f>Inventory[[#This Row],[Bsmt]]*Lookups!$B$89</f>
        <v>32019.166666947</v>
      </c>
      <c r="AZ1409" s="25">
        <f>Inventory[[#This Row],[Fixtures]]*Lookups!$B$90</f>
        <v>18960.110526</v>
      </c>
      <c r="BA1409" s="25">
        <f>Inventory[[#This Row],[WdDeck]]*Lookups!$B$91</f>
        <v>0</v>
      </c>
      <c r="BB1409" s="25">
        <f>ROUND(Inventory[[#This Row],[25Det]],-2)</f>
        <v>9500</v>
      </c>
      <c r="BC1409" s="25">
        <f>ROUND(SUM(Inventory[[#This Row],[Mdl Qlty]:[Mdl WdDeck]])+Inventory[[#This Row],[Mdl Res Intercept]],-2)</f>
        <v>275600</v>
      </c>
      <c r="BD1409" s="25">
        <f>ROUND(Inventory[[#This Row],[Mdl Land Intercept]]+Inventory[[#This Row],[Mdl LnAcres]],-2)</f>
        <v>22700</v>
      </c>
      <c r="BE1409" s="25">
        <f>Inventory[[#This Row],[Unadj Res Value]]+Inventory[[#This Row],[Unadj Det Value]]+Inventory[[#This Row],[Unadj Land Value]]</f>
        <v>307800</v>
      </c>
      <c r="BF1409" s="36">
        <f>(Inventory[[#This Row],[Unadj Total Value]]-Inventory[[#This Row],[24Final]])/Inventory[[#This Row],[24Final]]</f>
        <v>8.9943342776203972E-2</v>
      </c>
      <c r="BG1409" s="25">
        <f>VLOOKUP(Inventory[[#This Row],[Nbhd]],Lookups!$Q$2:$T$4,4,FALSE)</f>
        <v>0.99970000000000003</v>
      </c>
      <c r="BH1409" s="25">
        <f>VLOOKUP(Inventory[[#This Row],[Qlty]],Lookups!$O$7:$R$21,4,FALSE)</f>
        <v>1.0067999999999999</v>
      </c>
      <c r="BI1409" s="25">
        <f>VLOOKUP(Inventory[[#This Row],[Cnd]],Lookups!$T$7:$W$16,4,FALSE)</f>
        <v>0.99729999999999996</v>
      </c>
      <c r="BJ1409" s="25">
        <f>VLOOKUP(Inventory[[#This Row],[LivArea Range]],Lookups!$T$25:$W$37,4,FALSE)</f>
        <v>1.0157</v>
      </c>
      <c r="BK1409" s="25">
        <f>VLOOKUP(Inventory[[#This Row],[Decade]],Lookups!$O$25:$R$42,4,FALSE)</f>
        <v>0.98909999999999998</v>
      </c>
      <c r="BL1409" s="25">
        <f>Inventory[[#This Row],[Nbhd Adj]]*0.95</f>
        <v>0.94971499999999998</v>
      </c>
      <c r="BM1409" s="25">
        <f>Inventory[[#This Row],[Nbhd Adj]]*Inventory[[#This Row],[Quality Adj]]*Inventory[[#This Row],[Condition Adj]]*Inventory[[#This Row],[Living Area Adj]]*Inventory[[#This Row],[Decade Adj]]*0.95</f>
        <v>0.95800544533193577</v>
      </c>
      <c r="BN1409" s="25">
        <f>ROUND(SUM(Inventory[[#This Row],[Mdl Qlty]:[Mdl WdDeck]])+Inventory[[#This Row],[Mdl Res Intercept]]*Inventory[[#This Row],[Res Adj ]],-2)</f>
        <v>275600</v>
      </c>
      <c r="BO1409" s="25">
        <f>ROUND(Inventory[[#This Row],[25Det]]*Inventory[[#This Row],[Det/Nbhd Adj]],-2)</f>
        <v>9000</v>
      </c>
      <c r="BP1409" s="25">
        <f>Inventory[[#This Row],[Adjusted Res]]+Inventory[[#This Row],[Adj Det ]]</f>
        <v>284600</v>
      </c>
      <c r="BQ1409" s="25">
        <f>ROUND((Inventory[[#This Row],[Mdl Land Intercept]]+Inventory[[#This Row],[Mdl LnAcres]])*Inventory[[#This Row],[Det/Nbhd Adj]],-2)</f>
        <v>21600</v>
      </c>
      <c r="BR1409" s="25">
        <f>Inventory[[#This Row],[Adjusted Impr Total]]+Inventory[[#This Row],[Adjusted Land Total]]</f>
        <v>306200</v>
      </c>
      <c r="BS1409" s="36">
        <f>IFERROR((Inventory[[#This Row],[Adjusted Impr Total]]-Inventory[[#This Row],[24Bldg]])/Inventory[[#This Row],[24Bldg]],0)</f>
        <v>0.17700578990901572</v>
      </c>
      <c r="BT1409" s="36">
        <f>(Inventory[[#This Row],[Adjusted Land Total]]-Inventory[[#This Row],[24Lnd]])/Inventory[[#This Row],[24Lnd]]</f>
        <v>-0.46798029556650245</v>
      </c>
      <c r="BU1409" s="36">
        <f>(Inventory[[#This Row],[Adjusted Total]]-Inventory[[#This Row],[24Final]])/Inventory[[#This Row],[24Final]]</f>
        <v>8.4277620396600569E-2</v>
      </c>
    </row>
    <row r="1410" spans="1:73" x14ac:dyDescent="0.3">
      <c r="A1410" s="25">
        <v>2025</v>
      </c>
      <c r="B1410" s="26" t="s">
        <v>1067</v>
      </c>
      <c r="C1410" s="26">
        <f>LN(Inventory[[#This Row],[Acres]])</f>
        <v>-1.1086626245216111</v>
      </c>
      <c r="D1410" s="25">
        <v>0.33</v>
      </c>
      <c r="E1410" s="25">
        <v>14528</v>
      </c>
      <c r="F1410" s="26" t="s">
        <v>537</v>
      </c>
      <c r="G1410" s="26" t="s">
        <v>126</v>
      </c>
      <c r="H1410" s="26" t="s">
        <v>349</v>
      </c>
      <c r="I1410" s="26" t="s">
        <v>538</v>
      </c>
      <c r="J1410" s="26" t="s">
        <v>539</v>
      </c>
      <c r="K1410" s="26" t="s">
        <v>173</v>
      </c>
      <c r="L1410" s="26" t="s">
        <v>148</v>
      </c>
      <c r="M1410" s="26" t="s">
        <v>303</v>
      </c>
      <c r="N1410" s="26">
        <v>90</v>
      </c>
      <c r="O1410" s="26">
        <f>2024-Inventory[[#This Row],[YrBlt]]</f>
        <v>85</v>
      </c>
      <c r="P1410" s="26">
        <f>2024-Inventory[[#This Row],[EffYr]]</f>
        <v>53</v>
      </c>
      <c r="Q1410" s="25">
        <v>1939</v>
      </c>
      <c r="R1410" s="25">
        <v>1971</v>
      </c>
      <c r="S1410" s="25">
        <v>2345</v>
      </c>
      <c r="T1410" s="32">
        <v>546</v>
      </c>
      <c r="U1410" s="25">
        <v>709</v>
      </c>
      <c r="V1410" s="32">
        <f>Inventory[[#This Row],[Bsmt]]-Inventory[[#This Row],[FnBsmt]]</f>
        <v>709</v>
      </c>
      <c r="W1410" s="27"/>
      <c r="X1410" s="27"/>
      <c r="Y1410" s="27">
        <f>Inventory[[#This Row],[MainFn]]+Inventory[[#This Row],[UpprFn]]+Inventory[[#This Row],[FnBsmt]]+Inventory[[#This Row],[AddFn]]</f>
        <v>2891</v>
      </c>
      <c r="Z1410" s="27">
        <v>3000</v>
      </c>
      <c r="AA1410" s="25">
        <v>5</v>
      </c>
      <c r="AB1410" s="27"/>
      <c r="AC1410" s="27"/>
      <c r="AD1410" s="32">
        <v>117</v>
      </c>
      <c r="AE1410" s="27"/>
      <c r="AF1410" s="27"/>
      <c r="AG1410" s="27"/>
      <c r="AH1410" s="27"/>
      <c r="AI1410" s="25">
        <v>606690</v>
      </c>
      <c r="AJ1410" s="25">
        <v>418616</v>
      </c>
      <c r="AK1410" s="25">
        <v>26578</v>
      </c>
      <c r="AL1410" s="25">
        <v>461900</v>
      </c>
      <c r="AM1410" s="25">
        <v>75900</v>
      </c>
      <c r="AN1410" s="25">
        <v>386000</v>
      </c>
      <c r="AO1410" s="25">
        <v>0</v>
      </c>
      <c r="AP1410" s="25">
        <f>Lookups!$B$56*0</f>
        <v>0</v>
      </c>
      <c r="AQ1410" s="25">
        <f>Lookups!$B$56*1</f>
        <v>89850.625589999996</v>
      </c>
      <c r="AR1410" s="25">
        <f>Lookups!$B$57*Inventory[[#This Row],[LnAcres]]</f>
        <v>-35094.289365640165</v>
      </c>
      <c r="AS1410" s="25">
        <f>VLOOKUP(Inventory[[#This Row],[Qlty]],Lookups!$A$62:$E$75,2,FALSE)</f>
        <v>44121.038090000002</v>
      </c>
      <c r="AT1410" s="25">
        <f>VLOOKUP(Inventory[[#This Row],[Cnd]],Lookups!$A$76:$E$84,2,FALSE)</f>
        <v>197752.34721000001</v>
      </c>
      <c r="AU1410" s="25">
        <f>Inventory[[#This Row],[EffAge]]*Lookups!$B$85</f>
        <v>-11821.416826500001</v>
      </c>
      <c r="AV1410" s="25">
        <f>Inventory[[#This Row],[MainFn]]*Lookups!$B$86</f>
        <v>115863.330861565</v>
      </c>
      <c r="AW1410" s="25">
        <f>Inventory[[#This Row],[UpprFn]]*Lookups!$B$87</f>
        <v>24453.386882105999</v>
      </c>
      <c r="AX1410" s="25">
        <f>Inventory[[#This Row],[AddFn]]*Lookups!$B$88</f>
        <v>0</v>
      </c>
      <c r="AY1410" s="25">
        <f>Inventory[[#This Row],[Bsmt]]*Lookups!$B$89</f>
        <v>20619.063730122998</v>
      </c>
      <c r="AZ1410" s="25">
        <f>Inventory[[#This Row],[Fixtures]]*Lookups!$B$90</f>
        <v>18960.110526</v>
      </c>
      <c r="BA1410" s="25">
        <f>Inventory[[#This Row],[WdDeck]]*Lookups!$B$91</f>
        <v>3895.5752872920002</v>
      </c>
      <c r="BB1410" s="25">
        <f>ROUND(Inventory[[#This Row],[25Det]],-2)</f>
        <v>26600</v>
      </c>
      <c r="BC1410" s="25">
        <f>ROUND(SUM(Inventory[[#This Row],[Mdl Qlty]:[Mdl WdDeck]])+Inventory[[#This Row],[Mdl Res Intercept]],-2)</f>
        <v>413800</v>
      </c>
      <c r="BD1410" s="25">
        <f>ROUND(Inventory[[#This Row],[Mdl Land Intercept]]+Inventory[[#This Row],[Mdl LnAcres]],-2)</f>
        <v>54800</v>
      </c>
      <c r="BE1410" s="25">
        <f>Inventory[[#This Row],[Unadj Res Value]]+Inventory[[#This Row],[Unadj Det Value]]+Inventory[[#This Row],[Unadj Land Value]]</f>
        <v>495200</v>
      </c>
      <c r="BF1410" s="36">
        <f>(Inventory[[#This Row],[Unadj Total Value]]-Inventory[[#This Row],[24Final]])/Inventory[[#This Row],[24Final]]</f>
        <v>7.2093526737389044E-2</v>
      </c>
      <c r="BG1410" s="25">
        <f>VLOOKUP(Inventory[[#This Row],[Nbhd]],Lookups!$Q$2:$T$4,4,FALSE)</f>
        <v>0.99970000000000003</v>
      </c>
      <c r="BH1410" s="25">
        <f>VLOOKUP(Inventory[[#This Row],[Qlty]],Lookups!$O$7:$R$21,4,FALSE)</f>
        <v>0.98050000000000004</v>
      </c>
      <c r="BI1410" s="25">
        <f>VLOOKUP(Inventory[[#This Row],[Cnd]],Lookups!$T$7:$W$16,4,FALSE)</f>
        <v>0.99650000000000005</v>
      </c>
      <c r="BJ1410" s="25">
        <f>VLOOKUP(Inventory[[#This Row],[LivArea Range]],Lookups!$T$25:$W$37,4,FALSE)</f>
        <v>0.96179999999999999</v>
      </c>
      <c r="BK1410" s="25">
        <f>VLOOKUP(Inventory[[#This Row],[Decade]],Lookups!$O$25:$R$42,4,FALSE)</f>
        <v>0.98909999999999998</v>
      </c>
      <c r="BL1410" s="25">
        <f>Inventory[[#This Row],[Nbhd Adj]]*0.95</f>
        <v>0.94971499999999998</v>
      </c>
      <c r="BM1410" s="25">
        <f>Inventory[[#This Row],[Nbhd Adj]]*Inventory[[#This Row],[Quality Adj]]*Inventory[[#This Row],[Condition Adj]]*Inventory[[#This Row],[Living Area Adj]]*Inventory[[#This Row],[Decade Adj]]*0.95</f>
        <v>0.88276107127906644</v>
      </c>
      <c r="BN1410" s="25">
        <f>ROUND(SUM(Inventory[[#This Row],[Mdl Qlty]:[Mdl WdDeck]])+Inventory[[#This Row],[Mdl Res Intercept]]*Inventory[[#This Row],[Res Adj ]],-2)</f>
        <v>413800</v>
      </c>
      <c r="BO1410" s="25">
        <f>ROUND(Inventory[[#This Row],[25Det]]*Inventory[[#This Row],[Det/Nbhd Adj]],-2)</f>
        <v>25200</v>
      </c>
      <c r="BP1410" s="25">
        <f>Inventory[[#This Row],[Adjusted Res]]+Inventory[[#This Row],[Adj Det ]]</f>
        <v>439000</v>
      </c>
      <c r="BQ1410" s="25">
        <f>ROUND((Inventory[[#This Row],[Mdl Land Intercept]]+Inventory[[#This Row],[Mdl LnAcres]])*Inventory[[#This Row],[Det/Nbhd Adj]],-2)</f>
        <v>52000</v>
      </c>
      <c r="BR1410" s="25">
        <f>Inventory[[#This Row],[Adjusted Impr Total]]+Inventory[[#This Row],[Adjusted Land Total]]</f>
        <v>491000</v>
      </c>
      <c r="BS1410" s="36">
        <f>IFERROR((Inventory[[#This Row],[Adjusted Impr Total]]-Inventory[[#This Row],[24Bldg]])/Inventory[[#This Row],[24Bldg]],0)</f>
        <v>0.13730569948186527</v>
      </c>
      <c r="BT1410" s="36">
        <f>(Inventory[[#This Row],[Adjusted Land Total]]-Inventory[[#This Row],[24Lnd]])/Inventory[[#This Row],[24Lnd]]</f>
        <v>-0.31488801054018445</v>
      </c>
      <c r="BU1410" s="36">
        <f>(Inventory[[#This Row],[Adjusted Total]]-Inventory[[#This Row],[24Final]])/Inventory[[#This Row],[24Final]]</f>
        <v>6.3000649491231867E-2</v>
      </c>
    </row>
    <row r="1411" spans="1:73" x14ac:dyDescent="0.3">
      <c r="A1411" s="25">
        <v>2025</v>
      </c>
      <c r="B1411" s="26" t="s">
        <v>2766</v>
      </c>
      <c r="C1411" s="26">
        <f>LN(Inventory[[#This Row],[Acres]])</f>
        <v>-1.5141277326297755</v>
      </c>
      <c r="D1411" s="25">
        <v>0.22</v>
      </c>
      <c r="E1411" s="32">
        <v>9766</v>
      </c>
      <c r="F1411" s="26" t="s">
        <v>537</v>
      </c>
      <c r="G1411" s="26" t="s">
        <v>126</v>
      </c>
      <c r="H1411" s="26" t="s">
        <v>349</v>
      </c>
      <c r="I1411" s="26" t="s">
        <v>538</v>
      </c>
      <c r="J1411" s="26" t="s">
        <v>539</v>
      </c>
      <c r="K1411" s="26" t="s">
        <v>242</v>
      </c>
      <c r="L1411" s="26" t="s">
        <v>351</v>
      </c>
      <c r="M1411" s="26" t="s">
        <v>323</v>
      </c>
      <c r="N1411" s="26">
        <v>90</v>
      </c>
      <c r="O1411" s="26">
        <f>2024-Inventory[[#This Row],[YrBlt]]</f>
        <v>85</v>
      </c>
      <c r="P1411" s="26">
        <f>2024-Inventory[[#This Row],[EffYr]]</f>
        <v>53</v>
      </c>
      <c r="Q1411" s="25">
        <v>1939</v>
      </c>
      <c r="R1411" s="25">
        <v>1971</v>
      </c>
      <c r="S1411" s="25">
        <v>648</v>
      </c>
      <c r="T1411" s="27"/>
      <c r="U1411" s="25">
        <v>648</v>
      </c>
      <c r="V1411" s="32">
        <f>Inventory[[#This Row],[Bsmt]]-Inventory[[#This Row],[FnBsmt]]</f>
        <v>130</v>
      </c>
      <c r="W1411" s="32">
        <v>518</v>
      </c>
      <c r="X1411" s="27"/>
      <c r="Y1411" s="27">
        <f>Inventory[[#This Row],[MainFn]]+Inventory[[#This Row],[UpprFn]]+Inventory[[#This Row],[FnBsmt]]+Inventory[[#This Row],[AddFn]]</f>
        <v>1166</v>
      </c>
      <c r="Z1411" s="27">
        <v>1500</v>
      </c>
      <c r="AA1411" s="25">
        <v>5</v>
      </c>
      <c r="AB1411" s="27"/>
      <c r="AC1411" s="27"/>
      <c r="AD1411" s="27"/>
      <c r="AE1411" s="27"/>
      <c r="AF1411" s="27"/>
      <c r="AG1411" s="27"/>
      <c r="AH1411" s="27"/>
      <c r="AI1411" s="25">
        <v>159794</v>
      </c>
      <c r="AJ1411" s="25">
        <v>107062</v>
      </c>
      <c r="AK1411" s="25">
        <v>5289</v>
      </c>
      <c r="AL1411" s="25">
        <v>272100</v>
      </c>
      <c r="AM1411" s="25">
        <v>61700</v>
      </c>
      <c r="AN1411" s="25">
        <v>210400</v>
      </c>
      <c r="AO1411" s="25">
        <v>0</v>
      </c>
      <c r="AP1411" s="25">
        <f>Lookups!$B$56*0</f>
        <v>0</v>
      </c>
      <c r="AQ1411" s="25">
        <f>Lookups!$B$56*1</f>
        <v>89850.625589999996</v>
      </c>
      <c r="AR1411" s="25">
        <f>Lookups!$B$57*Inventory[[#This Row],[LnAcres]]</f>
        <v>-47929.131559187132</v>
      </c>
      <c r="AS1411" s="25">
        <f>VLOOKUP(Inventory[[#This Row],[Qlty]],Lookups!$A$62:$E$75,2,FALSE)</f>
        <v>21557.329055999999</v>
      </c>
      <c r="AT1411" s="25">
        <f>VLOOKUP(Inventory[[#This Row],[Cnd]],Lookups!$A$76:$E$84,2,FALSE)</f>
        <v>160472.20319</v>
      </c>
      <c r="AU1411" s="25">
        <f>Inventory[[#This Row],[EffAge]]*Lookups!$B$85</f>
        <v>-11821.416826500001</v>
      </c>
      <c r="AV1411" s="25">
        <f>Inventory[[#This Row],[MainFn]]*Lookups!$B$86</f>
        <v>32016.818080296001</v>
      </c>
      <c r="AW1411" s="25">
        <f>Inventory[[#This Row],[UpprFn]]*Lookups!$B$87</f>
        <v>0</v>
      </c>
      <c r="AX1411" s="25">
        <f>Inventory[[#This Row],[AddFn]]*Lookups!$B$88</f>
        <v>0</v>
      </c>
      <c r="AY1411" s="25">
        <f>Inventory[[#This Row],[Bsmt]]*Lookups!$B$89</f>
        <v>18845.068120055999</v>
      </c>
      <c r="AZ1411" s="25">
        <f>Inventory[[#This Row],[Fixtures]]*Lookups!$B$90</f>
        <v>18960.110526</v>
      </c>
      <c r="BA1411" s="25">
        <f>Inventory[[#This Row],[WdDeck]]*Lookups!$B$91</f>
        <v>0</v>
      </c>
      <c r="BB1411" s="25">
        <f>ROUND(Inventory[[#This Row],[25Det]],-2)</f>
        <v>5300</v>
      </c>
      <c r="BC1411" s="25">
        <f>ROUND(SUM(Inventory[[#This Row],[Mdl Qlty]:[Mdl WdDeck]])+Inventory[[#This Row],[Mdl Res Intercept]],-2)</f>
        <v>240000</v>
      </c>
      <c r="BD1411" s="25">
        <f>ROUND(Inventory[[#This Row],[Mdl Land Intercept]]+Inventory[[#This Row],[Mdl LnAcres]],-2)</f>
        <v>41900</v>
      </c>
      <c r="BE1411" s="25">
        <f>Inventory[[#This Row],[Unadj Res Value]]+Inventory[[#This Row],[Unadj Det Value]]+Inventory[[#This Row],[Unadj Land Value]]</f>
        <v>287200</v>
      </c>
      <c r="BF1411" s="36">
        <f>(Inventory[[#This Row],[Unadj Total Value]]-Inventory[[#This Row],[24Final]])/Inventory[[#This Row],[24Final]]</f>
        <v>5.5494303564865857E-2</v>
      </c>
      <c r="BG1411" s="25">
        <f>VLOOKUP(Inventory[[#This Row],[Nbhd]],Lookups!$Q$2:$T$4,4,FALSE)</f>
        <v>0.99970000000000003</v>
      </c>
      <c r="BH1411" s="25">
        <f>VLOOKUP(Inventory[[#This Row],[Qlty]],Lookups!$O$7:$R$21,4,FALSE)</f>
        <v>1.0067999999999999</v>
      </c>
      <c r="BI1411" s="25">
        <f>VLOOKUP(Inventory[[#This Row],[Cnd]],Lookups!$T$7:$W$16,4,FALSE)</f>
        <v>0.99729999999999996</v>
      </c>
      <c r="BJ1411" s="25">
        <f>VLOOKUP(Inventory[[#This Row],[LivArea Range]],Lookups!$T$25:$W$37,4,FALSE)</f>
        <v>1.0157</v>
      </c>
      <c r="BK1411" s="25">
        <f>VLOOKUP(Inventory[[#This Row],[Decade]],Lookups!$O$25:$R$42,4,FALSE)</f>
        <v>0.98909999999999998</v>
      </c>
      <c r="BL1411" s="25">
        <f>Inventory[[#This Row],[Nbhd Adj]]*0.95</f>
        <v>0.94971499999999998</v>
      </c>
      <c r="BM1411" s="25">
        <f>Inventory[[#This Row],[Nbhd Adj]]*Inventory[[#This Row],[Quality Adj]]*Inventory[[#This Row],[Condition Adj]]*Inventory[[#This Row],[Living Area Adj]]*Inventory[[#This Row],[Decade Adj]]*0.95</f>
        <v>0.95800544533193577</v>
      </c>
      <c r="BN1411" s="25">
        <f>ROUND(SUM(Inventory[[#This Row],[Mdl Qlty]:[Mdl WdDeck]])+Inventory[[#This Row],[Mdl Res Intercept]]*Inventory[[#This Row],[Res Adj ]],-2)</f>
        <v>240000</v>
      </c>
      <c r="BO1411" s="25">
        <f>ROUND(Inventory[[#This Row],[25Det]]*Inventory[[#This Row],[Det/Nbhd Adj]],-2)</f>
        <v>5000</v>
      </c>
      <c r="BP1411" s="25">
        <f>Inventory[[#This Row],[Adjusted Res]]+Inventory[[#This Row],[Adj Det ]]</f>
        <v>245000</v>
      </c>
      <c r="BQ1411" s="25">
        <f>ROUND((Inventory[[#This Row],[Mdl Land Intercept]]+Inventory[[#This Row],[Mdl LnAcres]])*Inventory[[#This Row],[Det/Nbhd Adj]],-2)</f>
        <v>39800</v>
      </c>
      <c r="BR1411" s="25">
        <f>Inventory[[#This Row],[Adjusted Impr Total]]+Inventory[[#This Row],[Adjusted Land Total]]</f>
        <v>284800</v>
      </c>
      <c r="BS1411" s="36">
        <f>IFERROR((Inventory[[#This Row],[Adjusted Impr Total]]-Inventory[[#This Row],[24Bldg]])/Inventory[[#This Row],[24Bldg]],0)</f>
        <v>0.1644486692015209</v>
      </c>
      <c r="BT1411" s="36">
        <f>(Inventory[[#This Row],[Adjusted Land Total]]-Inventory[[#This Row],[24Lnd]])/Inventory[[#This Row],[24Lnd]]</f>
        <v>-0.35494327390599678</v>
      </c>
      <c r="BU1411" s="36">
        <f>(Inventory[[#This Row],[Adjusted Total]]-Inventory[[#This Row],[24Final]])/Inventory[[#This Row],[24Final]]</f>
        <v>4.6674016905549433E-2</v>
      </c>
    </row>
    <row r="1412" spans="1:73" x14ac:dyDescent="0.3">
      <c r="A1412" s="25">
        <v>2025</v>
      </c>
      <c r="B1412" s="26" t="s">
        <v>853</v>
      </c>
      <c r="C1412" s="26">
        <f>LN(Inventory[[#This Row],[Acres]])</f>
        <v>-1.1711829815029451</v>
      </c>
      <c r="D1412" s="25">
        <v>0.31</v>
      </c>
      <c r="E1412" s="32">
        <v>13585</v>
      </c>
      <c r="F1412" s="26" t="s">
        <v>537</v>
      </c>
      <c r="G1412" s="26" t="s">
        <v>126</v>
      </c>
      <c r="H1412" s="26" t="s">
        <v>349</v>
      </c>
      <c r="I1412" s="26" t="s">
        <v>538</v>
      </c>
      <c r="J1412" s="26" t="s">
        <v>539</v>
      </c>
      <c r="K1412" s="26" t="s">
        <v>242</v>
      </c>
      <c r="L1412" s="26" t="s">
        <v>351</v>
      </c>
      <c r="M1412" s="26" t="s">
        <v>323</v>
      </c>
      <c r="N1412" s="26">
        <v>90</v>
      </c>
      <c r="O1412" s="26">
        <f>2024-Inventory[[#This Row],[YrBlt]]</f>
        <v>85</v>
      </c>
      <c r="P1412" s="26">
        <f>2024-Inventory[[#This Row],[EffYr]]</f>
        <v>53</v>
      </c>
      <c r="Q1412" s="25">
        <v>1939</v>
      </c>
      <c r="R1412" s="25">
        <v>1971</v>
      </c>
      <c r="S1412" s="25">
        <v>2091</v>
      </c>
      <c r="T1412" s="27"/>
      <c r="U1412" s="31"/>
      <c r="V1412" s="31">
        <f>Inventory[[#This Row],[Bsmt]]-Inventory[[#This Row],[FnBsmt]]</f>
        <v>0</v>
      </c>
      <c r="W1412" s="31"/>
      <c r="X1412" s="27"/>
      <c r="Y1412" s="27">
        <f>Inventory[[#This Row],[MainFn]]+Inventory[[#This Row],[UpprFn]]+Inventory[[#This Row],[FnBsmt]]+Inventory[[#This Row],[AddFn]]</f>
        <v>2091</v>
      </c>
      <c r="Z1412" s="27">
        <v>2500</v>
      </c>
      <c r="AA1412" s="25">
        <v>8</v>
      </c>
      <c r="AB1412" s="27"/>
      <c r="AC1412" s="27"/>
      <c r="AD1412" s="32">
        <v>278</v>
      </c>
      <c r="AE1412" s="27"/>
      <c r="AF1412" s="27"/>
      <c r="AG1412" s="27"/>
      <c r="AH1412" s="27"/>
      <c r="AI1412" s="25">
        <v>329127</v>
      </c>
      <c r="AJ1412" s="25">
        <v>220515</v>
      </c>
      <c r="AK1412" s="25">
        <v>10817</v>
      </c>
      <c r="AL1412" s="25">
        <v>357300</v>
      </c>
      <c r="AM1412" s="25">
        <v>73700</v>
      </c>
      <c r="AN1412" s="25">
        <v>283600</v>
      </c>
      <c r="AO1412" s="25">
        <v>0</v>
      </c>
      <c r="AP1412" s="25">
        <f>Lookups!$B$56*0</f>
        <v>0</v>
      </c>
      <c r="AQ1412" s="25">
        <f>Lookups!$B$56*1</f>
        <v>89850.625589999996</v>
      </c>
      <c r="AR1412" s="25">
        <f>Lookups!$B$57*Inventory[[#This Row],[LnAcres]]</f>
        <v>-37073.347241874442</v>
      </c>
      <c r="AS1412" s="25">
        <f>VLOOKUP(Inventory[[#This Row],[Qlty]],Lookups!$A$62:$E$75,2,FALSE)</f>
        <v>21557.329055999999</v>
      </c>
      <c r="AT1412" s="25">
        <f>VLOOKUP(Inventory[[#This Row],[Cnd]],Lookups!$A$76:$E$84,2,FALSE)</f>
        <v>160472.20319</v>
      </c>
      <c r="AU1412" s="25">
        <f>Inventory[[#This Row],[EffAge]]*Lookups!$B$85</f>
        <v>-11821.416826500001</v>
      </c>
      <c r="AV1412" s="25">
        <f>Inventory[[#This Row],[MainFn]]*Lookups!$B$86</f>
        <v>103313.528712807</v>
      </c>
      <c r="AW1412" s="25">
        <f>Inventory[[#This Row],[UpprFn]]*Lookups!$B$87</f>
        <v>0</v>
      </c>
      <c r="AX1412" s="25">
        <f>Inventory[[#This Row],[AddFn]]*Lookups!$B$88</f>
        <v>0</v>
      </c>
      <c r="AY1412" s="25">
        <f>Inventory[[#This Row],[Bsmt]]*Lookups!$B$89</f>
        <v>0</v>
      </c>
      <c r="AZ1412" s="25">
        <f>Inventory[[#This Row],[Fixtures]]*Lookups!$B$90</f>
        <v>30336.176841600001</v>
      </c>
      <c r="BA1412" s="25">
        <f>Inventory[[#This Row],[WdDeck]]*Lookups!$B$91</f>
        <v>9256.1532467280012</v>
      </c>
      <c r="BB1412" s="25">
        <f>ROUND(Inventory[[#This Row],[25Det]],-2)</f>
        <v>10800</v>
      </c>
      <c r="BC1412" s="25">
        <f>ROUND(SUM(Inventory[[#This Row],[Mdl Qlty]:[Mdl WdDeck]])+Inventory[[#This Row],[Mdl Res Intercept]],-2)</f>
        <v>313100</v>
      </c>
      <c r="BD1412" s="25">
        <f>ROUND(Inventory[[#This Row],[Mdl Land Intercept]]+Inventory[[#This Row],[Mdl LnAcres]],-2)</f>
        <v>52800</v>
      </c>
      <c r="BE1412" s="25">
        <f>Inventory[[#This Row],[Unadj Res Value]]+Inventory[[#This Row],[Unadj Det Value]]+Inventory[[#This Row],[Unadj Land Value]]</f>
        <v>376700</v>
      </c>
      <c r="BF1412" s="36">
        <f>(Inventory[[#This Row],[Unadj Total Value]]-Inventory[[#This Row],[24Final]])/Inventory[[#This Row],[24Final]]</f>
        <v>5.4296109711726839E-2</v>
      </c>
      <c r="BG1412" s="25">
        <f>VLOOKUP(Inventory[[#This Row],[Nbhd]],Lookups!$Q$2:$T$4,4,FALSE)</f>
        <v>0.99970000000000003</v>
      </c>
      <c r="BH1412" s="25">
        <f>VLOOKUP(Inventory[[#This Row],[Qlty]],Lookups!$O$7:$R$21,4,FALSE)</f>
        <v>1.0067999999999999</v>
      </c>
      <c r="BI1412" s="25">
        <f>VLOOKUP(Inventory[[#This Row],[Cnd]],Lookups!$T$7:$W$16,4,FALSE)</f>
        <v>0.99729999999999996</v>
      </c>
      <c r="BJ1412" s="25">
        <f>VLOOKUP(Inventory[[#This Row],[LivArea Range]],Lookups!$T$25:$W$37,4,FALSE)</f>
        <v>0.98919999999999997</v>
      </c>
      <c r="BK1412" s="25">
        <f>VLOOKUP(Inventory[[#This Row],[Decade]],Lookups!$O$25:$R$42,4,FALSE)</f>
        <v>0.98909999999999998</v>
      </c>
      <c r="BL1412" s="25">
        <f>Inventory[[#This Row],[Nbhd Adj]]*0.95</f>
        <v>0.94971499999999998</v>
      </c>
      <c r="BM1412" s="25">
        <f>Inventory[[#This Row],[Nbhd Adj]]*Inventory[[#This Row],[Quality Adj]]*Inventory[[#This Row],[Condition Adj]]*Inventory[[#This Row],[Living Area Adj]]*Inventory[[#This Row],[Decade Adj]]*0.95</f>
        <v>0.93301071824589021</v>
      </c>
      <c r="BN1412" s="25">
        <f>ROUND(SUM(Inventory[[#This Row],[Mdl Qlty]:[Mdl WdDeck]])+Inventory[[#This Row],[Mdl Res Intercept]]*Inventory[[#This Row],[Res Adj ]],-2)</f>
        <v>313100</v>
      </c>
      <c r="BO1412" s="25">
        <f>ROUND(Inventory[[#This Row],[25Det]]*Inventory[[#This Row],[Det/Nbhd Adj]],-2)</f>
        <v>10300</v>
      </c>
      <c r="BP1412" s="25">
        <f>Inventory[[#This Row],[Adjusted Res]]+Inventory[[#This Row],[Adj Det ]]</f>
        <v>323400</v>
      </c>
      <c r="BQ1412" s="25">
        <f>ROUND((Inventory[[#This Row],[Mdl Land Intercept]]+Inventory[[#This Row],[Mdl LnAcres]])*Inventory[[#This Row],[Det/Nbhd Adj]],-2)</f>
        <v>50100</v>
      </c>
      <c r="BR1412" s="25">
        <f>Inventory[[#This Row],[Adjusted Impr Total]]+Inventory[[#This Row],[Adjusted Land Total]]</f>
        <v>373500</v>
      </c>
      <c r="BS1412" s="36">
        <f>IFERROR((Inventory[[#This Row],[Adjusted Impr Total]]-Inventory[[#This Row],[24Bldg]])/Inventory[[#This Row],[24Bldg]],0)</f>
        <v>0.14033850493653033</v>
      </c>
      <c r="BT1412" s="36">
        <f>(Inventory[[#This Row],[Adjusted Land Total]]-Inventory[[#This Row],[24Lnd]])/Inventory[[#This Row],[24Lnd]]</f>
        <v>-0.32021709633649931</v>
      </c>
      <c r="BU1412" s="36">
        <f>(Inventory[[#This Row],[Adjusted Total]]-Inventory[[#This Row],[24Final]])/Inventory[[#This Row],[24Final]]</f>
        <v>4.534005037783375E-2</v>
      </c>
    </row>
    <row r="1413" spans="1:73" x14ac:dyDescent="0.3">
      <c r="A1413" s="25">
        <v>2025</v>
      </c>
      <c r="B1413" s="26" t="s">
        <v>2052</v>
      </c>
      <c r="C1413" s="26">
        <f>LN(Inventory[[#This Row],[Acres]])</f>
        <v>-2.0402208285265546</v>
      </c>
      <c r="D1413" s="25">
        <v>0.13</v>
      </c>
      <c r="E1413" s="32">
        <v>5738</v>
      </c>
      <c r="F1413" s="26" t="s">
        <v>537</v>
      </c>
      <c r="G1413" s="26" t="s">
        <v>126</v>
      </c>
      <c r="H1413" s="26" t="s">
        <v>349</v>
      </c>
      <c r="I1413" s="26" t="s">
        <v>538</v>
      </c>
      <c r="J1413" s="26" t="s">
        <v>539</v>
      </c>
      <c r="K1413" s="26" t="s">
        <v>242</v>
      </c>
      <c r="L1413" s="26" t="s">
        <v>205</v>
      </c>
      <c r="M1413" s="26" t="s">
        <v>323</v>
      </c>
      <c r="N1413" s="26">
        <v>90</v>
      </c>
      <c r="O1413" s="26">
        <f>2024-Inventory[[#This Row],[YrBlt]]</f>
        <v>85</v>
      </c>
      <c r="P1413" s="26">
        <f>2024-Inventory[[#This Row],[EffYr]]</f>
        <v>53</v>
      </c>
      <c r="Q1413" s="25">
        <v>1939</v>
      </c>
      <c r="R1413" s="25">
        <v>1971</v>
      </c>
      <c r="S1413" s="25">
        <v>992</v>
      </c>
      <c r="T1413" s="27"/>
      <c r="U1413" s="31"/>
      <c r="V1413" s="31">
        <f>Inventory[[#This Row],[Bsmt]]-Inventory[[#This Row],[FnBsmt]]</f>
        <v>0</v>
      </c>
      <c r="W1413" s="31"/>
      <c r="X1413" s="27"/>
      <c r="Y1413" s="27">
        <f>Inventory[[#This Row],[MainFn]]+Inventory[[#This Row],[UpprFn]]+Inventory[[#This Row],[FnBsmt]]+Inventory[[#This Row],[AddFn]]</f>
        <v>992</v>
      </c>
      <c r="Z1413" s="27">
        <v>1000</v>
      </c>
      <c r="AA1413" s="25">
        <v>5</v>
      </c>
      <c r="AB1413" s="27"/>
      <c r="AC1413" s="31"/>
      <c r="AD1413" s="27"/>
      <c r="AE1413" s="27"/>
      <c r="AF1413" s="27"/>
      <c r="AG1413" s="27"/>
      <c r="AH1413" s="27"/>
      <c r="AI1413" s="25">
        <v>146223</v>
      </c>
      <c r="AJ1413" s="25">
        <v>97969</v>
      </c>
      <c r="AK1413" s="25">
        <v>7519</v>
      </c>
      <c r="AL1413" s="25">
        <v>239600</v>
      </c>
      <c r="AM1413" s="25">
        <v>43400</v>
      </c>
      <c r="AN1413" s="25">
        <v>196200</v>
      </c>
      <c r="AO1413" s="25">
        <v>0</v>
      </c>
      <c r="AP1413" s="25">
        <f>Lookups!$B$56*0</f>
        <v>0</v>
      </c>
      <c r="AQ1413" s="25">
        <f>Lookups!$B$56*1</f>
        <v>89850.625589999996</v>
      </c>
      <c r="AR1413" s="25">
        <f>Lookups!$B$57*Inventory[[#This Row],[LnAcres]]</f>
        <v>-64582.406353792743</v>
      </c>
      <c r="AS1413" s="25">
        <f>VLOOKUP(Inventory[[#This Row],[Qlty]],Lookups!$A$62:$E$75,2,FALSE)</f>
        <v>0</v>
      </c>
      <c r="AT1413" s="25">
        <f>VLOOKUP(Inventory[[#This Row],[Cnd]],Lookups!$A$76:$E$84,2,FALSE)</f>
        <v>160472.20319</v>
      </c>
      <c r="AU1413" s="25">
        <f>Inventory[[#This Row],[EffAge]]*Lookups!$B$85</f>
        <v>-11821.416826500001</v>
      </c>
      <c r="AV1413" s="25">
        <f>Inventory[[#This Row],[MainFn]]*Lookups!$B$86</f>
        <v>49013.400517984002</v>
      </c>
      <c r="AW1413" s="25">
        <f>Inventory[[#This Row],[UpprFn]]*Lookups!$B$87</f>
        <v>0</v>
      </c>
      <c r="AX1413" s="25">
        <f>Inventory[[#This Row],[AddFn]]*Lookups!$B$88</f>
        <v>0</v>
      </c>
      <c r="AY1413" s="25">
        <f>Inventory[[#This Row],[Bsmt]]*Lookups!$B$89</f>
        <v>0</v>
      </c>
      <c r="AZ1413" s="25">
        <f>Inventory[[#This Row],[Fixtures]]*Lookups!$B$90</f>
        <v>18960.110526</v>
      </c>
      <c r="BA1413" s="25">
        <f>Inventory[[#This Row],[WdDeck]]*Lookups!$B$91</f>
        <v>0</v>
      </c>
      <c r="BB1413" s="25">
        <f>ROUND(Inventory[[#This Row],[25Det]],-2)</f>
        <v>7500</v>
      </c>
      <c r="BC1413" s="25">
        <f>ROUND(SUM(Inventory[[#This Row],[Mdl Qlty]:[Mdl WdDeck]])+Inventory[[#This Row],[Mdl Res Intercept]],-2)</f>
        <v>216600</v>
      </c>
      <c r="BD1413" s="25">
        <f>ROUND(Inventory[[#This Row],[Mdl Land Intercept]]+Inventory[[#This Row],[Mdl LnAcres]],-2)</f>
        <v>25300</v>
      </c>
      <c r="BE1413" s="25">
        <f>Inventory[[#This Row],[Unadj Res Value]]+Inventory[[#This Row],[Unadj Det Value]]+Inventory[[#This Row],[Unadj Land Value]]</f>
        <v>249400</v>
      </c>
      <c r="BF1413" s="36">
        <f>(Inventory[[#This Row],[Unadj Total Value]]-Inventory[[#This Row],[24Final]])/Inventory[[#This Row],[24Final]]</f>
        <v>4.0901502504173626E-2</v>
      </c>
      <c r="BG1413" s="25">
        <f>VLOOKUP(Inventory[[#This Row],[Nbhd]],Lookups!$Q$2:$T$4,4,FALSE)</f>
        <v>0.99970000000000003</v>
      </c>
      <c r="BH1413" s="25">
        <f>VLOOKUP(Inventory[[#This Row],[Qlty]],Lookups!$O$7:$R$21,4,FALSE)</f>
        <v>0.99180000000000001</v>
      </c>
      <c r="BI1413" s="25">
        <f>VLOOKUP(Inventory[[#This Row],[Cnd]],Lookups!$T$7:$W$16,4,FALSE)</f>
        <v>0.99729999999999996</v>
      </c>
      <c r="BJ1413" s="25">
        <f>VLOOKUP(Inventory[[#This Row],[LivArea Range]],Lookups!$T$25:$W$37,4,FALSE)</f>
        <v>1.0148999999999999</v>
      </c>
      <c r="BK1413" s="25">
        <f>VLOOKUP(Inventory[[#This Row],[Decade]],Lookups!$O$25:$R$42,4,FALSE)</f>
        <v>0.98909999999999998</v>
      </c>
      <c r="BL1413" s="25">
        <f>Inventory[[#This Row],[Nbhd Adj]]*0.95</f>
        <v>0.94971499999999998</v>
      </c>
      <c r="BM1413" s="25">
        <f>Inventory[[#This Row],[Nbhd Adj]]*Inventory[[#This Row],[Quality Adj]]*Inventory[[#This Row],[Condition Adj]]*Inventory[[#This Row],[Living Area Adj]]*Inventory[[#This Row],[Decade Adj]]*0.95</f>
        <v>0.94298910434578886</v>
      </c>
      <c r="BN1413" s="25">
        <f>ROUND(SUM(Inventory[[#This Row],[Mdl Qlty]:[Mdl WdDeck]])+Inventory[[#This Row],[Mdl Res Intercept]]*Inventory[[#This Row],[Res Adj ]],-2)</f>
        <v>216600</v>
      </c>
      <c r="BO1413" s="25">
        <f>ROUND(Inventory[[#This Row],[25Det]]*Inventory[[#This Row],[Det/Nbhd Adj]],-2)</f>
        <v>7100</v>
      </c>
      <c r="BP1413" s="25">
        <f>Inventory[[#This Row],[Adjusted Res]]+Inventory[[#This Row],[Adj Det ]]</f>
        <v>223700</v>
      </c>
      <c r="BQ1413" s="25">
        <f>ROUND((Inventory[[#This Row],[Mdl Land Intercept]]+Inventory[[#This Row],[Mdl LnAcres]])*Inventory[[#This Row],[Det/Nbhd Adj]],-2)</f>
        <v>24000</v>
      </c>
      <c r="BR1413" s="25">
        <f>Inventory[[#This Row],[Adjusted Impr Total]]+Inventory[[#This Row],[Adjusted Land Total]]</f>
        <v>247700</v>
      </c>
      <c r="BS1413" s="36">
        <f>IFERROR((Inventory[[#This Row],[Adjusted Impr Total]]-Inventory[[#This Row],[24Bldg]])/Inventory[[#This Row],[24Bldg]],0)</f>
        <v>0.14016309887869521</v>
      </c>
      <c r="BT1413" s="36">
        <f>(Inventory[[#This Row],[Adjusted Land Total]]-Inventory[[#This Row],[24Lnd]])/Inventory[[#This Row],[24Lnd]]</f>
        <v>-0.44700460829493088</v>
      </c>
      <c r="BU1413" s="36">
        <f>(Inventory[[#This Row],[Adjusted Total]]-Inventory[[#This Row],[24Final]])/Inventory[[#This Row],[24Final]]</f>
        <v>3.3806343906510848E-2</v>
      </c>
    </row>
    <row r="1414" spans="1:73" x14ac:dyDescent="0.3">
      <c r="A1414" s="25">
        <v>2025</v>
      </c>
      <c r="B1414" s="26" t="s">
        <v>1547</v>
      </c>
      <c r="C1414" s="26">
        <f>LN(Inventory[[#This Row],[Acres]])</f>
        <v>-1.7719568419318752</v>
      </c>
      <c r="D1414" s="25">
        <v>0.17</v>
      </c>
      <c r="E1414" s="32">
        <v>7557</v>
      </c>
      <c r="F1414" s="26" t="s">
        <v>537</v>
      </c>
      <c r="G1414" s="26" t="s">
        <v>126</v>
      </c>
      <c r="H1414" s="26" t="s">
        <v>349</v>
      </c>
      <c r="I1414" s="26" t="s">
        <v>538</v>
      </c>
      <c r="J1414" s="26" t="s">
        <v>539</v>
      </c>
      <c r="K1414" s="26" t="s">
        <v>242</v>
      </c>
      <c r="L1414" s="26" t="s">
        <v>351</v>
      </c>
      <c r="M1414" s="26" t="s">
        <v>323</v>
      </c>
      <c r="N1414" s="26">
        <v>90</v>
      </c>
      <c r="O1414" s="26">
        <f>2024-Inventory[[#This Row],[YrBlt]]</f>
        <v>85</v>
      </c>
      <c r="P1414" s="26">
        <f>2024-Inventory[[#This Row],[EffYr]]</f>
        <v>53</v>
      </c>
      <c r="Q1414" s="25">
        <v>1939</v>
      </c>
      <c r="R1414" s="25">
        <v>1971</v>
      </c>
      <c r="S1414" s="25">
        <v>948</v>
      </c>
      <c r="T1414" s="27"/>
      <c r="U1414" s="25">
        <v>978</v>
      </c>
      <c r="V1414" s="25">
        <f>Inventory[[#This Row],[Bsmt]]-Inventory[[#This Row],[FnBsmt]]</f>
        <v>196</v>
      </c>
      <c r="W1414" s="25">
        <v>782</v>
      </c>
      <c r="X1414" s="27"/>
      <c r="Y1414" s="27">
        <f>Inventory[[#This Row],[MainFn]]+Inventory[[#This Row],[UpprFn]]+Inventory[[#This Row],[FnBsmt]]+Inventory[[#This Row],[AddFn]]</f>
        <v>1730</v>
      </c>
      <c r="Z1414" s="27">
        <v>2000</v>
      </c>
      <c r="AA1414" s="25">
        <v>7</v>
      </c>
      <c r="AB1414" s="32">
        <v>354</v>
      </c>
      <c r="AC1414" s="27"/>
      <c r="AD1414" s="27"/>
      <c r="AE1414" s="27"/>
      <c r="AF1414" s="27"/>
      <c r="AG1414" s="27"/>
      <c r="AH1414" s="27"/>
      <c r="AI1414" s="25">
        <v>256409</v>
      </c>
      <c r="AJ1414" s="25">
        <v>171794</v>
      </c>
      <c r="AK1414" s="25">
        <v>0</v>
      </c>
      <c r="AL1414" s="25">
        <v>296600</v>
      </c>
      <c r="AM1414" s="25">
        <v>52700</v>
      </c>
      <c r="AN1414" s="25">
        <v>243900</v>
      </c>
      <c r="AO1414" s="25">
        <v>0</v>
      </c>
      <c r="AP1414" s="25">
        <f>Lookups!$B$56*0</f>
        <v>0</v>
      </c>
      <c r="AQ1414" s="25">
        <f>Lookups!$B$56*1</f>
        <v>89850.625589999996</v>
      </c>
      <c r="AR1414" s="25">
        <f>Lookups!$B$57*Inventory[[#This Row],[LnAcres]]</f>
        <v>-56090.612940989391</v>
      </c>
      <c r="AS1414" s="25">
        <f>VLOOKUP(Inventory[[#This Row],[Qlty]],Lookups!$A$62:$E$75,2,FALSE)</f>
        <v>21557.329055999999</v>
      </c>
      <c r="AT1414" s="25">
        <f>VLOOKUP(Inventory[[#This Row],[Cnd]],Lookups!$A$76:$E$84,2,FALSE)</f>
        <v>160472.20319</v>
      </c>
      <c r="AU1414" s="25">
        <f>Inventory[[#This Row],[EffAge]]*Lookups!$B$85</f>
        <v>-11821.416826500001</v>
      </c>
      <c r="AV1414" s="25">
        <f>Inventory[[#This Row],[MainFn]]*Lookups!$B$86</f>
        <v>46839.419043396003</v>
      </c>
      <c r="AW1414" s="25">
        <f>Inventory[[#This Row],[UpprFn]]*Lookups!$B$87</f>
        <v>0</v>
      </c>
      <c r="AX1414" s="25">
        <f>Inventory[[#This Row],[AddFn]]*Lookups!$B$88</f>
        <v>0</v>
      </c>
      <c r="AY1414" s="25">
        <f>Inventory[[#This Row],[Bsmt]]*Lookups!$B$89</f>
        <v>28442.093551565998</v>
      </c>
      <c r="AZ1414" s="25">
        <f>Inventory[[#This Row],[Fixtures]]*Lookups!$B$90</f>
        <v>26544.1547364</v>
      </c>
      <c r="BA1414" s="25">
        <f>Inventory[[#This Row],[WdDeck]]*Lookups!$B$91</f>
        <v>0</v>
      </c>
      <c r="BB1414" s="25">
        <f>ROUND(Inventory[[#This Row],[25Det]],-2)</f>
        <v>0</v>
      </c>
      <c r="BC1414" s="25">
        <f>ROUND(SUM(Inventory[[#This Row],[Mdl Qlty]:[Mdl WdDeck]])+Inventory[[#This Row],[Mdl Res Intercept]],-2)</f>
        <v>272000</v>
      </c>
      <c r="BD1414" s="25">
        <f>ROUND(Inventory[[#This Row],[Mdl Land Intercept]]+Inventory[[#This Row],[Mdl LnAcres]],-2)</f>
        <v>33800</v>
      </c>
      <c r="BE1414" s="25">
        <f>Inventory[[#This Row],[Unadj Res Value]]+Inventory[[#This Row],[Unadj Det Value]]+Inventory[[#This Row],[Unadj Land Value]]</f>
        <v>305800</v>
      </c>
      <c r="BF1414" s="36">
        <f>(Inventory[[#This Row],[Unadj Total Value]]-Inventory[[#This Row],[24Final]])/Inventory[[#This Row],[24Final]]</f>
        <v>3.1018206338503034E-2</v>
      </c>
      <c r="BG1414" s="25">
        <f>VLOOKUP(Inventory[[#This Row],[Nbhd]],Lookups!$Q$2:$T$4,4,FALSE)</f>
        <v>0.99970000000000003</v>
      </c>
      <c r="BH1414" s="25">
        <f>VLOOKUP(Inventory[[#This Row],[Qlty]],Lookups!$O$7:$R$21,4,FALSE)</f>
        <v>1.0067999999999999</v>
      </c>
      <c r="BI1414" s="25">
        <f>VLOOKUP(Inventory[[#This Row],[Cnd]],Lookups!$T$7:$W$16,4,FALSE)</f>
        <v>0.99729999999999996</v>
      </c>
      <c r="BJ1414" s="25">
        <f>VLOOKUP(Inventory[[#This Row],[LivArea Range]],Lookups!$T$25:$W$37,4,FALSE)</f>
        <v>1.0093000000000001</v>
      </c>
      <c r="BK1414" s="25">
        <f>VLOOKUP(Inventory[[#This Row],[Decade]],Lookups!$O$25:$R$42,4,FALSE)</f>
        <v>0.98909999999999998</v>
      </c>
      <c r="BL1414" s="25">
        <f>Inventory[[#This Row],[Nbhd Adj]]*0.95</f>
        <v>0.94971499999999998</v>
      </c>
      <c r="BM1414" s="25">
        <f>Inventory[[#This Row],[Nbhd Adj]]*Inventory[[#This Row],[Quality Adj]]*Inventory[[#This Row],[Condition Adj]]*Inventory[[#This Row],[Living Area Adj]]*Inventory[[#This Row],[Decade Adj]]*0.95</f>
        <v>0.95196898294134369</v>
      </c>
      <c r="BN1414" s="25">
        <f>ROUND(SUM(Inventory[[#This Row],[Mdl Qlty]:[Mdl WdDeck]])+Inventory[[#This Row],[Mdl Res Intercept]]*Inventory[[#This Row],[Res Adj ]],-2)</f>
        <v>272000</v>
      </c>
      <c r="BO1414" s="25">
        <f>ROUND(Inventory[[#This Row],[25Det]]*Inventory[[#This Row],[Det/Nbhd Adj]],-2)</f>
        <v>0</v>
      </c>
      <c r="BP1414" s="25">
        <f>Inventory[[#This Row],[Adjusted Res]]+Inventory[[#This Row],[Adj Det ]]</f>
        <v>272000</v>
      </c>
      <c r="BQ1414" s="25">
        <f>ROUND((Inventory[[#This Row],[Mdl Land Intercept]]+Inventory[[#This Row],[Mdl LnAcres]])*Inventory[[#This Row],[Det/Nbhd Adj]],-2)</f>
        <v>32100</v>
      </c>
      <c r="BR1414" s="25">
        <f>Inventory[[#This Row],[Adjusted Impr Total]]+Inventory[[#This Row],[Adjusted Land Total]]</f>
        <v>304100</v>
      </c>
      <c r="BS1414" s="36">
        <f>IFERROR((Inventory[[#This Row],[Adjusted Impr Total]]-Inventory[[#This Row],[24Bldg]])/Inventory[[#This Row],[24Bldg]],0)</f>
        <v>0.11521115211152111</v>
      </c>
      <c r="BT1414" s="36">
        <f>(Inventory[[#This Row],[Adjusted Land Total]]-Inventory[[#This Row],[24Lnd]])/Inventory[[#This Row],[24Lnd]]</f>
        <v>-0.39089184060721061</v>
      </c>
      <c r="BU1414" s="36">
        <f>(Inventory[[#This Row],[Adjusted Total]]-Inventory[[#This Row],[24Final]])/Inventory[[#This Row],[24Final]]</f>
        <v>2.528658125421443E-2</v>
      </c>
    </row>
    <row r="1415" spans="1:73" x14ac:dyDescent="0.3">
      <c r="A1415" s="25">
        <v>2025</v>
      </c>
      <c r="B1415" s="26" t="s">
        <v>2791</v>
      </c>
      <c r="C1415" s="26">
        <f>LN(Inventory[[#This Row],[Acres]])</f>
        <v>-1.5606477482646683</v>
      </c>
      <c r="D1415" s="25">
        <v>0.21</v>
      </c>
      <c r="E1415" s="25">
        <v>9300</v>
      </c>
      <c r="F1415" s="26" t="s">
        <v>537</v>
      </c>
      <c r="G1415" s="26" t="s">
        <v>126</v>
      </c>
      <c r="H1415" s="26" t="s">
        <v>349</v>
      </c>
      <c r="I1415" s="26" t="s">
        <v>538</v>
      </c>
      <c r="J1415" s="26" t="s">
        <v>539</v>
      </c>
      <c r="K1415" s="26" t="s">
        <v>242</v>
      </c>
      <c r="L1415" s="26" t="s">
        <v>351</v>
      </c>
      <c r="M1415" s="26" t="s">
        <v>303</v>
      </c>
      <c r="N1415" s="26">
        <v>90</v>
      </c>
      <c r="O1415" s="26">
        <f>2024-Inventory[[#This Row],[YrBlt]]</f>
        <v>86</v>
      </c>
      <c r="P1415" s="26">
        <f>2024-Inventory[[#This Row],[EffYr]]</f>
        <v>53</v>
      </c>
      <c r="Q1415" s="25">
        <v>1938</v>
      </c>
      <c r="R1415" s="25">
        <v>1971</v>
      </c>
      <c r="S1415" s="25">
        <v>1645</v>
      </c>
      <c r="T1415" s="27"/>
      <c r="U1415" s="27"/>
      <c r="V1415" s="27">
        <f>Inventory[[#This Row],[Bsmt]]-Inventory[[#This Row],[FnBsmt]]</f>
        <v>0</v>
      </c>
      <c r="W1415" s="27"/>
      <c r="X1415" s="27"/>
      <c r="Y1415" s="27">
        <f>Inventory[[#This Row],[MainFn]]+Inventory[[#This Row],[UpprFn]]+Inventory[[#This Row],[FnBsmt]]+Inventory[[#This Row],[AddFn]]</f>
        <v>1645</v>
      </c>
      <c r="Z1415" s="27">
        <v>2000</v>
      </c>
      <c r="AA1415" s="25">
        <v>9</v>
      </c>
      <c r="AB1415" s="31"/>
      <c r="AC1415" s="27"/>
      <c r="AD1415" s="27"/>
      <c r="AE1415" s="27"/>
      <c r="AF1415" s="27"/>
      <c r="AG1415" s="27"/>
      <c r="AH1415" s="32">
        <v>85</v>
      </c>
      <c r="AI1415" s="25">
        <v>216177</v>
      </c>
      <c r="AJ1415" s="25">
        <v>149162</v>
      </c>
      <c r="AK1415" s="25">
        <v>0</v>
      </c>
      <c r="AL1415" s="25">
        <v>205000</v>
      </c>
      <c r="AM1415" s="25">
        <v>60100</v>
      </c>
      <c r="AN1415" s="25">
        <v>144900</v>
      </c>
      <c r="AO1415" s="25">
        <v>0</v>
      </c>
      <c r="AP1415" s="25">
        <f>Lookups!$B$56*0</f>
        <v>0</v>
      </c>
      <c r="AQ1415" s="25">
        <f>Lookups!$B$56*1</f>
        <v>89850.625589999996</v>
      </c>
      <c r="AR1415" s="25">
        <f>Lookups!$B$57*Inventory[[#This Row],[LnAcres]]</f>
        <v>-49401.70477837498</v>
      </c>
      <c r="AS1415" s="25">
        <f>VLOOKUP(Inventory[[#This Row],[Qlty]],Lookups!$A$62:$E$75,2,FALSE)</f>
        <v>21557.329055999999</v>
      </c>
      <c r="AT1415" s="25">
        <f>VLOOKUP(Inventory[[#This Row],[Cnd]],Lookups!$A$76:$E$84,2,FALSE)</f>
        <v>197752.34721000001</v>
      </c>
      <c r="AU1415" s="25">
        <f>Inventory[[#This Row],[EffAge]]*Lookups!$B$85</f>
        <v>-11821.416826500001</v>
      </c>
      <c r="AV1415" s="25">
        <f>Inventory[[#This Row],[MainFn]]*Lookups!$B$86</f>
        <v>81277.261947665</v>
      </c>
      <c r="AW1415" s="25">
        <f>Inventory[[#This Row],[UpprFn]]*Lookups!$B$87</f>
        <v>0</v>
      </c>
      <c r="AX1415" s="25">
        <f>Inventory[[#This Row],[AddFn]]*Lookups!$B$88</f>
        <v>0</v>
      </c>
      <c r="AY1415" s="25">
        <f>Inventory[[#This Row],[Bsmt]]*Lookups!$B$89</f>
        <v>0</v>
      </c>
      <c r="AZ1415" s="25">
        <f>Inventory[[#This Row],[Fixtures]]*Lookups!$B$90</f>
        <v>34128.198946800003</v>
      </c>
      <c r="BA1415" s="25">
        <f>Inventory[[#This Row],[WdDeck]]*Lookups!$B$91</f>
        <v>0</v>
      </c>
      <c r="BB1415" s="25">
        <f>ROUND(Inventory[[#This Row],[25Det]],-2)</f>
        <v>0</v>
      </c>
      <c r="BC1415" s="25">
        <f>ROUND(SUM(Inventory[[#This Row],[Mdl Qlty]:[Mdl WdDeck]])+Inventory[[#This Row],[Mdl Res Intercept]],-2)</f>
        <v>322900</v>
      </c>
      <c r="BD1415" s="25">
        <f>ROUND(Inventory[[#This Row],[Mdl Land Intercept]]+Inventory[[#This Row],[Mdl LnAcres]],-2)</f>
        <v>40400</v>
      </c>
      <c r="BE1415" s="25">
        <f>Inventory[[#This Row],[Unadj Res Value]]+Inventory[[#This Row],[Unadj Det Value]]+Inventory[[#This Row],[Unadj Land Value]]</f>
        <v>363300</v>
      </c>
      <c r="BF1415" s="36">
        <f>(Inventory[[#This Row],[Unadj Total Value]]-Inventory[[#This Row],[24Final]])/Inventory[[#This Row],[24Final]]</f>
        <v>0.77219512195121953</v>
      </c>
      <c r="BG1415" s="25">
        <f>VLOOKUP(Inventory[[#This Row],[Nbhd]],Lookups!$Q$2:$T$4,4,FALSE)</f>
        <v>0.99970000000000003</v>
      </c>
      <c r="BH1415" s="25">
        <f>VLOOKUP(Inventory[[#This Row],[Qlty]],Lookups!$O$7:$R$21,4,FALSE)</f>
        <v>1.0067999999999999</v>
      </c>
      <c r="BI1415" s="25">
        <f>VLOOKUP(Inventory[[#This Row],[Cnd]],Lookups!$T$7:$W$16,4,FALSE)</f>
        <v>0.99650000000000005</v>
      </c>
      <c r="BJ1415" s="25">
        <f>VLOOKUP(Inventory[[#This Row],[LivArea Range]],Lookups!$T$25:$W$37,4,FALSE)</f>
        <v>1.0093000000000001</v>
      </c>
      <c r="BK1415" s="25">
        <f>VLOOKUP(Inventory[[#This Row],[Decade]],Lookups!$O$25:$R$42,4,FALSE)</f>
        <v>0.98909999999999998</v>
      </c>
      <c r="BL1415" s="25">
        <f>Inventory[[#This Row],[Nbhd Adj]]*0.95</f>
        <v>0.94971499999999998</v>
      </c>
      <c r="BM1415" s="25">
        <f>Inventory[[#This Row],[Nbhd Adj]]*Inventory[[#This Row],[Quality Adj]]*Inventory[[#This Row],[Condition Adj]]*Inventory[[#This Row],[Living Area Adj]]*Inventory[[#This Row],[Decade Adj]]*0.95</f>
        <v>0.95120534593507355</v>
      </c>
      <c r="BN1415" s="25">
        <f>ROUND(SUM(Inventory[[#This Row],[Mdl Qlty]:[Mdl WdDeck]])+Inventory[[#This Row],[Mdl Res Intercept]]*Inventory[[#This Row],[Res Adj ]],-2)</f>
        <v>322900</v>
      </c>
      <c r="BO1415" s="25">
        <f>ROUND(Inventory[[#This Row],[25Det]]*Inventory[[#This Row],[Det/Nbhd Adj]],-2)</f>
        <v>0</v>
      </c>
      <c r="BP1415" s="25">
        <f>Inventory[[#This Row],[Adjusted Res]]+Inventory[[#This Row],[Adj Det ]]</f>
        <v>322900</v>
      </c>
      <c r="BQ1415" s="25">
        <f>ROUND((Inventory[[#This Row],[Mdl Land Intercept]]+Inventory[[#This Row],[Mdl LnAcres]])*Inventory[[#This Row],[Det/Nbhd Adj]],-2)</f>
        <v>38400</v>
      </c>
      <c r="BR1415" s="25">
        <f>Inventory[[#This Row],[Adjusted Impr Total]]+Inventory[[#This Row],[Adjusted Land Total]]</f>
        <v>361300</v>
      </c>
      <c r="BS1415" s="36">
        <f>IFERROR((Inventory[[#This Row],[Adjusted Impr Total]]-Inventory[[#This Row],[24Bldg]])/Inventory[[#This Row],[24Bldg]],0)</f>
        <v>1.2284334023464458</v>
      </c>
      <c r="BT1415" s="36">
        <f>(Inventory[[#This Row],[Adjusted Land Total]]-Inventory[[#This Row],[24Lnd]])/Inventory[[#This Row],[24Lnd]]</f>
        <v>-0.36106489184692181</v>
      </c>
      <c r="BU1415" s="36">
        <f>(Inventory[[#This Row],[Adjusted Total]]-Inventory[[#This Row],[24Final]])/Inventory[[#This Row],[24Final]]</f>
        <v>0.76243902439024391</v>
      </c>
    </row>
    <row r="1416" spans="1:73" x14ac:dyDescent="0.3">
      <c r="A1416" s="25">
        <v>2025</v>
      </c>
      <c r="B1416" s="26" t="s">
        <v>2039</v>
      </c>
      <c r="C1416" s="26">
        <f>LN(Inventory[[#This Row],[Acres]])</f>
        <v>-1.7719568419318752</v>
      </c>
      <c r="D1416" s="25">
        <v>0.17</v>
      </c>
      <c r="E1416" s="27"/>
      <c r="F1416" s="26" t="s">
        <v>537</v>
      </c>
      <c r="G1416" s="26" t="s">
        <v>126</v>
      </c>
      <c r="H1416" s="26" t="s">
        <v>349</v>
      </c>
      <c r="I1416" s="26" t="s">
        <v>538</v>
      </c>
      <c r="J1416" s="26" t="s">
        <v>539</v>
      </c>
      <c r="K1416" s="26" t="s">
        <v>173</v>
      </c>
      <c r="L1416" s="26" t="s">
        <v>95</v>
      </c>
      <c r="M1416" s="26" t="s">
        <v>352</v>
      </c>
      <c r="N1416" s="26">
        <v>90</v>
      </c>
      <c r="O1416" s="26">
        <f>2024-Inventory[[#This Row],[YrBlt]]</f>
        <v>86</v>
      </c>
      <c r="P1416" s="26">
        <f>2024-Inventory[[#This Row],[EffYr]]</f>
        <v>28</v>
      </c>
      <c r="Q1416" s="25">
        <v>1938</v>
      </c>
      <c r="R1416" s="25">
        <v>1996</v>
      </c>
      <c r="S1416" s="25">
        <v>1180</v>
      </c>
      <c r="T1416" s="25">
        <v>1624</v>
      </c>
      <c r="U1416" s="25">
        <v>1120</v>
      </c>
      <c r="V1416" s="32">
        <f>Inventory[[#This Row],[Bsmt]]-Inventory[[#This Row],[FnBsmt]]</f>
        <v>1120</v>
      </c>
      <c r="W1416" s="32">
        <v>0</v>
      </c>
      <c r="X1416" s="27"/>
      <c r="Y1416" s="27">
        <f>Inventory[[#This Row],[MainFn]]+Inventory[[#This Row],[UpprFn]]+Inventory[[#This Row],[FnBsmt]]+Inventory[[#This Row],[AddFn]]</f>
        <v>2804</v>
      </c>
      <c r="Z1416" s="27">
        <v>3000</v>
      </c>
      <c r="AA1416" s="25">
        <v>13</v>
      </c>
      <c r="AB1416" s="27"/>
      <c r="AC1416" s="32">
        <v>600</v>
      </c>
      <c r="AD1416" s="27"/>
      <c r="AE1416" s="27"/>
      <c r="AF1416" s="27"/>
      <c r="AG1416" s="27"/>
      <c r="AH1416" s="32">
        <v>70</v>
      </c>
      <c r="AI1416" s="25">
        <v>620156</v>
      </c>
      <c r="AJ1416" s="25">
        <v>558140</v>
      </c>
      <c r="AK1416" s="25">
        <v>0</v>
      </c>
      <c r="AL1416" s="25">
        <v>381800</v>
      </c>
      <c r="AM1416" s="25">
        <v>52700</v>
      </c>
      <c r="AN1416" s="25">
        <v>329100</v>
      </c>
      <c r="AO1416" s="25">
        <v>0</v>
      </c>
      <c r="AP1416" s="25">
        <f>Lookups!$B$56*0</f>
        <v>0</v>
      </c>
      <c r="AQ1416" s="25">
        <f>Lookups!$B$56*1</f>
        <v>89850.625589999996</v>
      </c>
      <c r="AR1416" s="25">
        <f>Lookups!$B$57*Inventory[[#This Row],[LnAcres]]</f>
        <v>-56090.612940989391</v>
      </c>
      <c r="AS1416" s="25">
        <f>VLOOKUP(Inventory[[#This Row],[Qlty]],Lookups!$A$62:$E$75,2,FALSE)</f>
        <v>74268.409664999999</v>
      </c>
      <c r="AT1416" s="25">
        <f>VLOOKUP(Inventory[[#This Row],[Cnd]],Lookups!$A$76:$E$84,2,FALSE)</f>
        <v>284810.60806</v>
      </c>
      <c r="AU1416" s="25">
        <f>Inventory[[#This Row],[EffAge]]*Lookups!$B$85</f>
        <v>-6245.2768139999998</v>
      </c>
      <c r="AV1416" s="25">
        <f>Inventory[[#This Row],[MainFn]]*Lookups!$B$86</f>
        <v>58302.23045486</v>
      </c>
      <c r="AW1416" s="25">
        <f>Inventory[[#This Row],[UpprFn]]*Lookups!$B$87</f>
        <v>72733.150726263993</v>
      </c>
      <c r="AX1416" s="25">
        <f>Inventory[[#This Row],[AddFn]]*Lookups!$B$88</f>
        <v>0</v>
      </c>
      <c r="AY1416" s="25">
        <f>Inventory[[#This Row],[Bsmt]]*Lookups!$B$89</f>
        <v>32571.722676639998</v>
      </c>
      <c r="AZ1416" s="25">
        <f>Inventory[[#This Row],[Fixtures]]*Lookups!$B$90</f>
        <v>49296.287367600002</v>
      </c>
      <c r="BA1416" s="25">
        <f>Inventory[[#This Row],[WdDeck]]*Lookups!$B$91</f>
        <v>0</v>
      </c>
      <c r="BB1416" s="25">
        <f>ROUND(Inventory[[#This Row],[25Det]],-2)</f>
        <v>0</v>
      </c>
      <c r="BC1416" s="25">
        <f>ROUND(SUM(Inventory[[#This Row],[Mdl Qlty]:[Mdl WdDeck]])+Inventory[[#This Row],[Mdl Res Intercept]],-2)</f>
        <v>565700</v>
      </c>
      <c r="BD1416" s="25">
        <f>ROUND(Inventory[[#This Row],[Mdl Land Intercept]]+Inventory[[#This Row],[Mdl LnAcres]],-2)</f>
        <v>33800</v>
      </c>
      <c r="BE1416" s="25">
        <f>Inventory[[#This Row],[Unadj Res Value]]+Inventory[[#This Row],[Unadj Det Value]]+Inventory[[#This Row],[Unadj Land Value]]</f>
        <v>599500</v>
      </c>
      <c r="BF1416" s="36">
        <f>(Inventory[[#This Row],[Unadj Total Value]]-Inventory[[#This Row],[24Final]])/Inventory[[#This Row],[24Final]]</f>
        <v>0.57019381875327402</v>
      </c>
      <c r="BG1416" s="25">
        <f>VLOOKUP(Inventory[[#This Row],[Nbhd]],Lookups!$Q$2:$T$4,4,FALSE)</f>
        <v>0.99970000000000003</v>
      </c>
      <c r="BH1416" s="25">
        <f>VLOOKUP(Inventory[[#This Row],[Qlty]],Lookups!$O$7:$R$21,4,FALSE)</f>
        <v>0.98380000000000001</v>
      </c>
      <c r="BI1416" s="25">
        <f>VLOOKUP(Inventory[[#This Row],[Cnd]],Lookups!$T$7:$W$16,4,FALSE)</f>
        <v>1.0158</v>
      </c>
      <c r="BJ1416" s="25">
        <f>VLOOKUP(Inventory[[#This Row],[LivArea Range]],Lookups!$T$25:$W$37,4,FALSE)</f>
        <v>0.96179999999999999</v>
      </c>
      <c r="BK1416" s="25">
        <f>VLOOKUP(Inventory[[#This Row],[Decade]],Lookups!$O$25:$R$42,4,FALSE)</f>
        <v>0.98909999999999998</v>
      </c>
      <c r="BL1416" s="25">
        <f>Inventory[[#This Row],[Nbhd Adj]]*0.95</f>
        <v>0.94971499999999998</v>
      </c>
      <c r="BM1416" s="25">
        <f>Inventory[[#This Row],[Nbhd Adj]]*Inventory[[#This Row],[Quality Adj]]*Inventory[[#This Row],[Condition Adj]]*Inventory[[#This Row],[Living Area Adj]]*Inventory[[#This Row],[Decade Adj]]*0.95</f>
        <v>0.90288678946097178</v>
      </c>
      <c r="BN1416" s="25">
        <f>ROUND(SUM(Inventory[[#This Row],[Mdl Qlty]:[Mdl WdDeck]])+Inventory[[#This Row],[Mdl Res Intercept]]*Inventory[[#This Row],[Res Adj ]],-2)</f>
        <v>565700</v>
      </c>
      <c r="BO1416" s="25">
        <f>ROUND(Inventory[[#This Row],[25Det]]*Inventory[[#This Row],[Det/Nbhd Adj]],-2)</f>
        <v>0</v>
      </c>
      <c r="BP1416" s="25">
        <f>Inventory[[#This Row],[Adjusted Res]]+Inventory[[#This Row],[Adj Det ]]</f>
        <v>565700</v>
      </c>
      <c r="BQ1416" s="25">
        <f>ROUND((Inventory[[#This Row],[Mdl Land Intercept]]+Inventory[[#This Row],[Mdl LnAcres]])*Inventory[[#This Row],[Det/Nbhd Adj]],-2)</f>
        <v>32100</v>
      </c>
      <c r="BR1416" s="25">
        <f>Inventory[[#This Row],[Adjusted Impr Total]]+Inventory[[#This Row],[Adjusted Land Total]]</f>
        <v>597800</v>
      </c>
      <c r="BS1416" s="36">
        <f>IFERROR((Inventory[[#This Row],[Adjusted Impr Total]]-Inventory[[#This Row],[24Bldg]])/Inventory[[#This Row],[24Bldg]],0)</f>
        <v>0.71893041628684295</v>
      </c>
      <c r="BT1416" s="36">
        <f>(Inventory[[#This Row],[Adjusted Land Total]]-Inventory[[#This Row],[24Lnd]])/Inventory[[#This Row],[24Lnd]]</f>
        <v>-0.39089184060721061</v>
      </c>
      <c r="BU1416" s="36">
        <f>(Inventory[[#This Row],[Adjusted Total]]-Inventory[[#This Row],[24Final]])/Inventory[[#This Row],[24Final]]</f>
        <v>0.56574122577265584</v>
      </c>
    </row>
    <row r="1417" spans="1:73" x14ac:dyDescent="0.3">
      <c r="A1417" s="25">
        <v>2025</v>
      </c>
      <c r="B1417" s="26" t="s">
        <v>2655</v>
      </c>
      <c r="C1417" s="26">
        <f>LN(Inventory[[#This Row],[Acres]])</f>
        <v>-1.3093333199837622</v>
      </c>
      <c r="D1417" s="25">
        <v>0.27</v>
      </c>
      <c r="E1417" s="27"/>
      <c r="F1417" s="26" t="s">
        <v>537</v>
      </c>
      <c r="G1417" s="26" t="s">
        <v>126</v>
      </c>
      <c r="H1417" s="26" t="s">
        <v>349</v>
      </c>
      <c r="I1417" s="26" t="s">
        <v>538</v>
      </c>
      <c r="J1417" s="26" t="s">
        <v>539</v>
      </c>
      <c r="K1417" s="26" t="s">
        <v>242</v>
      </c>
      <c r="L1417" s="26" t="s">
        <v>302</v>
      </c>
      <c r="M1417" s="26" t="s">
        <v>352</v>
      </c>
      <c r="N1417" s="26">
        <v>90</v>
      </c>
      <c r="O1417" s="26">
        <f>2024-Inventory[[#This Row],[YrBlt]]</f>
        <v>86</v>
      </c>
      <c r="P1417" s="26">
        <f>2024-Inventory[[#This Row],[EffYr]]</f>
        <v>53</v>
      </c>
      <c r="Q1417" s="25">
        <v>1938</v>
      </c>
      <c r="R1417" s="25">
        <v>1971</v>
      </c>
      <c r="S1417" s="25">
        <v>1020</v>
      </c>
      <c r="T1417" s="27"/>
      <c r="U1417" s="32">
        <v>796</v>
      </c>
      <c r="V1417" s="32">
        <f>Inventory[[#This Row],[Bsmt]]-Inventory[[#This Row],[FnBsmt]]</f>
        <v>0</v>
      </c>
      <c r="W1417" s="32">
        <v>796</v>
      </c>
      <c r="X1417" s="27"/>
      <c r="Y1417" s="27">
        <f>Inventory[[#This Row],[MainFn]]+Inventory[[#This Row],[UpprFn]]+Inventory[[#This Row],[FnBsmt]]+Inventory[[#This Row],[AddFn]]</f>
        <v>1816</v>
      </c>
      <c r="Z1417" s="27">
        <v>2000</v>
      </c>
      <c r="AA1417" s="25">
        <v>8</v>
      </c>
      <c r="AB1417" s="31"/>
      <c r="AC1417" s="27"/>
      <c r="AD1417" s="27"/>
      <c r="AE1417" s="27"/>
      <c r="AF1417" s="27"/>
      <c r="AG1417" s="27"/>
      <c r="AH1417" s="27"/>
      <c r="AI1417" s="25">
        <v>297377</v>
      </c>
      <c r="AJ1417" s="25">
        <v>208164</v>
      </c>
      <c r="AK1417" s="25">
        <v>8903</v>
      </c>
      <c r="AL1417" s="25">
        <v>388800</v>
      </c>
      <c r="AM1417" s="25">
        <v>68900</v>
      </c>
      <c r="AN1417" s="25">
        <v>319900</v>
      </c>
      <c r="AO1417" s="25">
        <v>0</v>
      </c>
      <c r="AP1417" s="25">
        <f>Lookups!$B$56*0</f>
        <v>0</v>
      </c>
      <c r="AQ1417" s="25">
        <f>Lookups!$B$56*1</f>
        <v>89850.625589999996</v>
      </c>
      <c r="AR1417" s="25">
        <f>Lookups!$B$57*Inventory[[#This Row],[LnAcres]]</f>
        <v>-41446.443120973789</v>
      </c>
      <c r="AS1417" s="25">
        <f>VLOOKUP(Inventory[[#This Row],[Qlty]],Lookups!$A$62:$E$75,2,FALSE)</f>
        <v>29814.093161000001</v>
      </c>
      <c r="AT1417" s="25">
        <f>VLOOKUP(Inventory[[#This Row],[Cnd]],Lookups!$A$76:$E$84,2,FALSE)</f>
        <v>284810.60806</v>
      </c>
      <c r="AU1417" s="25">
        <f>Inventory[[#This Row],[EffAge]]*Lookups!$B$85</f>
        <v>-11821.416826500001</v>
      </c>
      <c r="AV1417" s="25">
        <f>Inventory[[#This Row],[MainFn]]*Lookups!$B$86</f>
        <v>50396.843274539999</v>
      </c>
      <c r="AW1417" s="25">
        <f>Inventory[[#This Row],[UpprFn]]*Lookups!$B$87</f>
        <v>0</v>
      </c>
      <c r="AX1417" s="25">
        <f>Inventory[[#This Row],[AddFn]]*Lookups!$B$88</f>
        <v>0</v>
      </c>
      <c r="AY1417" s="25">
        <f>Inventory[[#This Row],[Bsmt]]*Lookups!$B$89</f>
        <v>23149.188616611998</v>
      </c>
      <c r="AZ1417" s="25">
        <f>Inventory[[#This Row],[Fixtures]]*Lookups!$B$90</f>
        <v>30336.176841600001</v>
      </c>
      <c r="BA1417" s="25">
        <f>Inventory[[#This Row],[WdDeck]]*Lookups!$B$91</f>
        <v>0</v>
      </c>
      <c r="BB1417" s="25">
        <f>ROUND(Inventory[[#This Row],[25Det]],-2)</f>
        <v>8900</v>
      </c>
      <c r="BC1417" s="25">
        <f>ROUND(SUM(Inventory[[#This Row],[Mdl Qlty]:[Mdl WdDeck]])+Inventory[[#This Row],[Mdl Res Intercept]],-2)</f>
        <v>406700</v>
      </c>
      <c r="BD1417" s="25">
        <f>ROUND(Inventory[[#This Row],[Mdl Land Intercept]]+Inventory[[#This Row],[Mdl LnAcres]],-2)</f>
        <v>48400</v>
      </c>
      <c r="BE1417" s="25">
        <f>Inventory[[#This Row],[Unadj Res Value]]+Inventory[[#This Row],[Unadj Det Value]]+Inventory[[#This Row],[Unadj Land Value]]</f>
        <v>464000</v>
      </c>
      <c r="BF1417" s="36">
        <f>(Inventory[[#This Row],[Unadj Total Value]]-Inventory[[#This Row],[24Final]])/Inventory[[#This Row],[24Final]]</f>
        <v>0.19341563786008231</v>
      </c>
      <c r="BG1417" s="25">
        <f>VLOOKUP(Inventory[[#This Row],[Nbhd]],Lookups!$Q$2:$T$4,4,FALSE)</f>
        <v>0.99970000000000003</v>
      </c>
      <c r="BH1417" s="25">
        <f>VLOOKUP(Inventory[[#This Row],[Qlty]],Lookups!$O$7:$R$21,4,FALSE)</f>
        <v>1.0088999999999999</v>
      </c>
      <c r="BI1417" s="25">
        <f>VLOOKUP(Inventory[[#This Row],[Cnd]],Lookups!$T$7:$W$16,4,FALSE)</f>
        <v>1.0158</v>
      </c>
      <c r="BJ1417" s="25">
        <f>VLOOKUP(Inventory[[#This Row],[LivArea Range]],Lookups!$T$25:$W$37,4,FALSE)</f>
        <v>1.0093000000000001</v>
      </c>
      <c r="BK1417" s="25">
        <f>VLOOKUP(Inventory[[#This Row],[Decade]],Lookups!$O$25:$R$42,4,FALSE)</f>
        <v>0.98909999999999998</v>
      </c>
      <c r="BL1417" s="25">
        <f>Inventory[[#This Row],[Nbhd Adj]]*0.95</f>
        <v>0.94971499999999998</v>
      </c>
      <c r="BM1417" s="25">
        <f>Inventory[[#This Row],[Nbhd Adj]]*Inventory[[#This Row],[Quality Adj]]*Inventory[[#This Row],[Condition Adj]]*Inventory[[#This Row],[Living Area Adj]]*Inventory[[#This Row],[Decade Adj]]*0.95</f>
        <v>0.97165055492736241</v>
      </c>
      <c r="BN1417" s="25">
        <f>ROUND(SUM(Inventory[[#This Row],[Mdl Qlty]:[Mdl WdDeck]])+Inventory[[#This Row],[Mdl Res Intercept]]*Inventory[[#This Row],[Res Adj ]],-2)</f>
        <v>406700</v>
      </c>
      <c r="BO1417" s="25">
        <f>ROUND(Inventory[[#This Row],[25Det]]*Inventory[[#This Row],[Det/Nbhd Adj]],-2)</f>
        <v>8500</v>
      </c>
      <c r="BP1417" s="25">
        <f>Inventory[[#This Row],[Adjusted Res]]+Inventory[[#This Row],[Adj Det ]]</f>
        <v>415200</v>
      </c>
      <c r="BQ1417" s="25">
        <f>ROUND((Inventory[[#This Row],[Mdl Land Intercept]]+Inventory[[#This Row],[Mdl LnAcres]])*Inventory[[#This Row],[Det/Nbhd Adj]],-2)</f>
        <v>46000</v>
      </c>
      <c r="BR1417" s="25">
        <f>Inventory[[#This Row],[Adjusted Impr Total]]+Inventory[[#This Row],[Adjusted Land Total]]</f>
        <v>461200</v>
      </c>
      <c r="BS1417" s="36">
        <f>IFERROR((Inventory[[#This Row],[Adjusted Impr Total]]-Inventory[[#This Row],[24Bldg]])/Inventory[[#This Row],[24Bldg]],0)</f>
        <v>0.2979055954985933</v>
      </c>
      <c r="BT1417" s="36">
        <f>(Inventory[[#This Row],[Adjusted Land Total]]-Inventory[[#This Row],[24Lnd]])/Inventory[[#This Row],[24Lnd]]</f>
        <v>-0.33236574746008707</v>
      </c>
      <c r="BU1417" s="36">
        <f>(Inventory[[#This Row],[Adjusted Total]]-Inventory[[#This Row],[24Final]])/Inventory[[#This Row],[24Final]]</f>
        <v>0.18621399176954734</v>
      </c>
    </row>
    <row r="1418" spans="1:73" x14ac:dyDescent="0.3">
      <c r="A1418" s="25">
        <v>2025</v>
      </c>
      <c r="B1418" s="26" t="s">
        <v>1211</v>
      </c>
      <c r="C1418" s="26">
        <f>LN(Inventory[[#This Row],[Acres]])</f>
        <v>-1.4696759700589417</v>
      </c>
      <c r="D1418" s="25">
        <v>0.23</v>
      </c>
      <c r="E1418" s="32">
        <v>9914</v>
      </c>
      <c r="F1418" s="26" t="s">
        <v>537</v>
      </c>
      <c r="G1418" s="26" t="s">
        <v>126</v>
      </c>
      <c r="H1418" s="26" t="s">
        <v>349</v>
      </c>
      <c r="I1418" s="26" t="s">
        <v>538</v>
      </c>
      <c r="J1418" s="26" t="s">
        <v>539</v>
      </c>
      <c r="K1418" s="26" t="s">
        <v>241</v>
      </c>
      <c r="L1418" s="26" t="s">
        <v>148</v>
      </c>
      <c r="M1418" s="26" t="s">
        <v>352</v>
      </c>
      <c r="N1418" s="26">
        <v>90</v>
      </c>
      <c r="O1418" s="26">
        <f>2024-Inventory[[#This Row],[YrBlt]]</f>
        <v>86</v>
      </c>
      <c r="P1418" s="26">
        <f>2024-Inventory[[#This Row],[EffYr]]</f>
        <v>53</v>
      </c>
      <c r="Q1418" s="25">
        <v>1938</v>
      </c>
      <c r="R1418" s="25">
        <v>1971</v>
      </c>
      <c r="S1418" s="25">
        <v>1977</v>
      </c>
      <c r="T1418" s="27"/>
      <c r="U1418" s="25">
        <v>770</v>
      </c>
      <c r="V1418" s="25">
        <f>Inventory[[#This Row],[Bsmt]]-Inventory[[#This Row],[FnBsmt]]</f>
        <v>0</v>
      </c>
      <c r="W1418" s="25">
        <v>770</v>
      </c>
      <c r="X1418" s="27"/>
      <c r="Y1418" s="27">
        <f>Inventory[[#This Row],[MainFn]]+Inventory[[#This Row],[UpprFn]]+Inventory[[#This Row],[FnBsmt]]+Inventory[[#This Row],[AddFn]]</f>
        <v>2747</v>
      </c>
      <c r="Z1418" s="27">
        <v>3000</v>
      </c>
      <c r="AA1418" s="25">
        <v>10</v>
      </c>
      <c r="AB1418" s="27"/>
      <c r="AC1418" s="27"/>
      <c r="AD1418" s="27"/>
      <c r="AE1418" s="27"/>
      <c r="AF1418" s="27"/>
      <c r="AG1418" s="27"/>
      <c r="AH1418" s="27"/>
      <c r="AI1418" s="25">
        <v>498573</v>
      </c>
      <c r="AJ1418" s="25">
        <v>349001</v>
      </c>
      <c r="AK1418" s="25">
        <v>47051</v>
      </c>
      <c r="AL1418" s="25">
        <v>490900</v>
      </c>
      <c r="AM1418" s="25">
        <v>63300</v>
      </c>
      <c r="AN1418" s="25">
        <v>427600</v>
      </c>
      <c r="AO1418" s="25">
        <v>0</v>
      </c>
      <c r="AP1418" s="25">
        <f>Lookups!$B$56*0</f>
        <v>0</v>
      </c>
      <c r="AQ1418" s="25">
        <f>Lookups!$B$56*1</f>
        <v>89850.625589999996</v>
      </c>
      <c r="AR1418" s="25">
        <f>Lookups!$B$57*Inventory[[#This Row],[LnAcres]]</f>
        <v>-46522.028095997222</v>
      </c>
      <c r="AS1418" s="25">
        <f>VLOOKUP(Inventory[[#This Row],[Qlty]],Lookups!$A$62:$E$75,2,FALSE)</f>
        <v>44121.038090000002</v>
      </c>
      <c r="AT1418" s="25">
        <f>VLOOKUP(Inventory[[#This Row],[Cnd]],Lookups!$A$76:$E$84,2,FALSE)</f>
        <v>284810.60806</v>
      </c>
      <c r="AU1418" s="25">
        <f>Inventory[[#This Row],[EffAge]]*Lookups!$B$85</f>
        <v>-11821.416826500001</v>
      </c>
      <c r="AV1418" s="25">
        <f>Inventory[[#This Row],[MainFn]]*Lookups!$B$86</f>
        <v>97680.940346828997</v>
      </c>
      <c r="AW1418" s="25">
        <f>Inventory[[#This Row],[UpprFn]]*Lookups!$B$87</f>
        <v>0</v>
      </c>
      <c r="AX1418" s="25">
        <f>Inventory[[#This Row],[AddFn]]*Lookups!$B$88</f>
        <v>0</v>
      </c>
      <c r="AY1418" s="25">
        <f>Inventory[[#This Row],[Bsmt]]*Lookups!$B$89</f>
        <v>22393.059340190001</v>
      </c>
      <c r="AZ1418" s="25">
        <f>Inventory[[#This Row],[Fixtures]]*Lookups!$B$90</f>
        <v>37920.221052000001</v>
      </c>
      <c r="BA1418" s="25">
        <f>Inventory[[#This Row],[WdDeck]]*Lookups!$B$91</f>
        <v>0</v>
      </c>
      <c r="BB1418" s="25">
        <f>ROUND(Inventory[[#This Row],[25Det]],-2)</f>
        <v>47100</v>
      </c>
      <c r="BC1418" s="25">
        <f>ROUND(SUM(Inventory[[#This Row],[Mdl Qlty]:[Mdl WdDeck]])+Inventory[[#This Row],[Mdl Res Intercept]],-2)</f>
        <v>475100</v>
      </c>
      <c r="BD1418" s="25">
        <f>ROUND(Inventory[[#This Row],[Mdl Land Intercept]]+Inventory[[#This Row],[Mdl LnAcres]],-2)</f>
        <v>43300</v>
      </c>
      <c r="BE1418" s="25">
        <f>Inventory[[#This Row],[Unadj Res Value]]+Inventory[[#This Row],[Unadj Det Value]]+Inventory[[#This Row],[Unadj Land Value]]</f>
        <v>565500</v>
      </c>
      <c r="BF1418" s="36">
        <f>(Inventory[[#This Row],[Unadj Total Value]]-Inventory[[#This Row],[24Final]])/Inventory[[#This Row],[24Final]]</f>
        <v>0.15196577714402118</v>
      </c>
      <c r="BG1418" s="25">
        <f>VLOOKUP(Inventory[[#This Row],[Nbhd]],Lookups!$Q$2:$T$4,4,FALSE)</f>
        <v>0.99970000000000003</v>
      </c>
      <c r="BH1418" s="25">
        <f>VLOOKUP(Inventory[[#This Row],[Qlty]],Lookups!$O$7:$R$21,4,FALSE)</f>
        <v>0.98050000000000004</v>
      </c>
      <c r="BI1418" s="25">
        <f>VLOOKUP(Inventory[[#This Row],[Cnd]],Lookups!$T$7:$W$16,4,FALSE)</f>
        <v>1.0158</v>
      </c>
      <c r="BJ1418" s="25">
        <f>VLOOKUP(Inventory[[#This Row],[LivArea Range]],Lookups!$T$25:$W$37,4,FALSE)</f>
        <v>0.96179999999999999</v>
      </c>
      <c r="BK1418" s="25">
        <f>VLOOKUP(Inventory[[#This Row],[Decade]],Lookups!$O$25:$R$42,4,FALSE)</f>
        <v>0.98909999999999998</v>
      </c>
      <c r="BL1418" s="25">
        <f>Inventory[[#This Row],[Nbhd Adj]]*0.95</f>
        <v>0.94971499999999998</v>
      </c>
      <c r="BM1418" s="25">
        <f>Inventory[[#This Row],[Nbhd Adj]]*Inventory[[#This Row],[Quality Adj]]*Inventory[[#This Row],[Condition Adj]]*Inventory[[#This Row],[Living Area Adj]]*Inventory[[#This Row],[Decade Adj]]*0.95</f>
        <v>0.89985819990494287</v>
      </c>
      <c r="BN1418" s="25">
        <f>ROUND(SUM(Inventory[[#This Row],[Mdl Qlty]:[Mdl WdDeck]])+Inventory[[#This Row],[Mdl Res Intercept]]*Inventory[[#This Row],[Res Adj ]],-2)</f>
        <v>475100</v>
      </c>
      <c r="BO1418" s="25">
        <f>ROUND(Inventory[[#This Row],[25Det]]*Inventory[[#This Row],[Det/Nbhd Adj]],-2)</f>
        <v>44700</v>
      </c>
      <c r="BP1418" s="25">
        <f>Inventory[[#This Row],[Adjusted Res]]+Inventory[[#This Row],[Adj Det ]]</f>
        <v>519800</v>
      </c>
      <c r="BQ1418" s="25">
        <f>ROUND((Inventory[[#This Row],[Mdl Land Intercept]]+Inventory[[#This Row],[Mdl LnAcres]])*Inventory[[#This Row],[Det/Nbhd Adj]],-2)</f>
        <v>41100</v>
      </c>
      <c r="BR1418" s="25">
        <f>Inventory[[#This Row],[Adjusted Impr Total]]+Inventory[[#This Row],[Adjusted Land Total]]</f>
        <v>560900</v>
      </c>
      <c r="BS1418" s="36">
        <f>IFERROR((Inventory[[#This Row],[Adjusted Impr Total]]-Inventory[[#This Row],[24Bldg]])/Inventory[[#This Row],[24Bldg]],0)</f>
        <v>0.21562207670720299</v>
      </c>
      <c r="BT1418" s="36">
        <f>(Inventory[[#This Row],[Adjusted Land Total]]-Inventory[[#This Row],[24Lnd]])/Inventory[[#This Row],[24Lnd]]</f>
        <v>-0.35071090047393366</v>
      </c>
      <c r="BU1418" s="36">
        <f>(Inventory[[#This Row],[Adjusted Total]]-Inventory[[#This Row],[24Final]])/Inventory[[#This Row],[24Final]]</f>
        <v>0.1425952332450601</v>
      </c>
    </row>
    <row r="1419" spans="1:73" x14ac:dyDescent="0.3">
      <c r="A1419" s="25">
        <v>2025</v>
      </c>
      <c r="B1419" s="26" t="s">
        <v>1044</v>
      </c>
      <c r="C1419" s="26">
        <f>LN(Inventory[[#This Row],[Acres]])</f>
        <v>-1.3470736479666092</v>
      </c>
      <c r="D1419" s="25">
        <v>0.26</v>
      </c>
      <c r="E1419" s="31"/>
      <c r="F1419" s="26" t="s">
        <v>537</v>
      </c>
      <c r="G1419" s="26" t="s">
        <v>126</v>
      </c>
      <c r="H1419" s="26" t="s">
        <v>349</v>
      </c>
      <c r="I1419" s="26" t="s">
        <v>538</v>
      </c>
      <c r="J1419" s="26" t="s">
        <v>539</v>
      </c>
      <c r="K1419" s="26" t="s">
        <v>269</v>
      </c>
      <c r="L1419" s="26" t="s">
        <v>302</v>
      </c>
      <c r="M1419" s="26" t="s">
        <v>303</v>
      </c>
      <c r="N1419" s="26">
        <v>90</v>
      </c>
      <c r="O1419" s="26">
        <f>2024-Inventory[[#This Row],[YrBlt]]</f>
        <v>86</v>
      </c>
      <c r="P1419" s="26">
        <f>2024-Inventory[[#This Row],[EffYr]]</f>
        <v>53</v>
      </c>
      <c r="Q1419" s="25">
        <v>1938</v>
      </c>
      <c r="R1419" s="25">
        <v>1971</v>
      </c>
      <c r="S1419" s="25">
        <v>1351</v>
      </c>
      <c r="T1419" s="31"/>
      <c r="U1419" s="25">
        <v>1260</v>
      </c>
      <c r="V1419" s="25">
        <f>Inventory[[#This Row],[Bsmt]]-Inventory[[#This Row],[FnBsmt]]</f>
        <v>525</v>
      </c>
      <c r="W1419" s="25">
        <v>735</v>
      </c>
      <c r="X1419" s="32">
        <v>192</v>
      </c>
      <c r="Y1419" s="32">
        <f>Inventory[[#This Row],[MainFn]]+Inventory[[#This Row],[UpprFn]]+Inventory[[#This Row],[FnBsmt]]+Inventory[[#This Row],[AddFn]]</f>
        <v>2278</v>
      </c>
      <c r="Z1419" s="27">
        <v>2500</v>
      </c>
      <c r="AA1419" s="25">
        <v>9</v>
      </c>
      <c r="AB1419" s="32">
        <v>240</v>
      </c>
      <c r="AC1419" s="27"/>
      <c r="AD1419" s="32">
        <v>596</v>
      </c>
      <c r="AE1419" s="27"/>
      <c r="AF1419" s="27"/>
      <c r="AG1419" s="27"/>
      <c r="AH1419" s="27"/>
      <c r="AI1419" s="25">
        <v>396605</v>
      </c>
      <c r="AJ1419" s="25">
        <v>273657</v>
      </c>
      <c r="AK1419" s="25">
        <v>0</v>
      </c>
      <c r="AL1419" s="25">
        <v>380800</v>
      </c>
      <c r="AM1419" s="25">
        <v>67600</v>
      </c>
      <c r="AN1419" s="25">
        <v>313200</v>
      </c>
      <c r="AO1419" s="25">
        <v>0</v>
      </c>
      <c r="AP1419" s="25">
        <f>Lookups!$B$56*0</f>
        <v>0</v>
      </c>
      <c r="AQ1419" s="25">
        <f>Lookups!$B$56*1</f>
        <v>89850.625589999996</v>
      </c>
      <c r="AR1419" s="25">
        <f>Lookups!$B$57*Inventory[[#This Row],[LnAcres]]</f>
        <v>-42641.098701210125</v>
      </c>
      <c r="AS1419" s="25">
        <f>VLOOKUP(Inventory[[#This Row],[Qlty]],Lookups!$A$62:$E$75,2,FALSE)</f>
        <v>29814.093161000001</v>
      </c>
      <c r="AT1419" s="25">
        <f>VLOOKUP(Inventory[[#This Row],[Cnd]],Lookups!$A$76:$E$84,2,FALSE)</f>
        <v>197752.34721000001</v>
      </c>
      <c r="AU1419" s="25">
        <f>Inventory[[#This Row],[EffAge]]*Lookups!$B$85</f>
        <v>-11821.416826500001</v>
      </c>
      <c r="AV1419" s="25">
        <f>Inventory[[#This Row],[MainFn]]*Lookups!$B$86</f>
        <v>66751.113003827006</v>
      </c>
      <c r="AW1419" s="25">
        <f>Inventory[[#This Row],[UpprFn]]*Lookups!$B$87</f>
        <v>0</v>
      </c>
      <c r="AX1419" s="25">
        <f>Inventory[[#This Row],[AddFn]]*Lookups!$B$88</f>
        <v>12498.176841792001</v>
      </c>
      <c r="AY1419" s="25">
        <f>Inventory[[#This Row],[Bsmt]]*Lookups!$B$89</f>
        <v>36643.188011220001</v>
      </c>
      <c r="AZ1419" s="25">
        <f>Inventory[[#This Row],[Fixtures]]*Lookups!$B$90</f>
        <v>34128.198946800003</v>
      </c>
      <c r="BA1419" s="25">
        <f>Inventory[[#This Row],[WdDeck]]*Lookups!$B$91</f>
        <v>19844.127104496001</v>
      </c>
      <c r="BB1419" s="25">
        <f>ROUND(Inventory[[#This Row],[25Det]],-2)</f>
        <v>0</v>
      </c>
      <c r="BC1419" s="25">
        <f>ROUND(SUM(Inventory[[#This Row],[Mdl Qlty]:[Mdl WdDeck]])+Inventory[[#This Row],[Mdl Res Intercept]],-2)</f>
        <v>385600</v>
      </c>
      <c r="BD1419" s="25">
        <f>ROUND(Inventory[[#This Row],[Mdl Land Intercept]]+Inventory[[#This Row],[Mdl LnAcres]],-2)</f>
        <v>47200</v>
      </c>
      <c r="BE1419" s="25">
        <f>Inventory[[#This Row],[Unadj Res Value]]+Inventory[[#This Row],[Unadj Det Value]]+Inventory[[#This Row],[Unadj Land Value]]</f>
        <v>432800</v>
      </c>
      <c r="BF1419" s="36">
        <f>(Inventory[[#This Row],[Unadj Total Value]]-Inventory[[#This Row],[24Final]])/Inventory[[#This Row],[24Final]]</f>
        <v>0.13655462184873948</v>
      </c>
      <c r="BG1419" s="25">
        <f>VLOOKUP(Inventory[[#This Row],[Nbhd]],Lookups!$Q$2:$T$4,4,FALSE)</f>
        <v>0.99970000000000003</v>
      </c>
      <c r="BH1419" s="25">
        <f>VLOOKUP(Inventory[[#This Row],[Qlty]],Lookups!$O$7:$R$21,4,FALSE)</f>
        <v>1.0088999999999999</v>
      </c>
      <c r="BI1419" s="25">
        <f>VLOOKUP(Inventory[[#This Row],[Cnd]],Lookups!$T$7:$W$16,4,FALSE)</f>
        <v>0.99650000000000005</v>
      </c>
      <c r="BJ1419" s="25">
        <f>VLOOKUP(Inventory[[#This Row],[LivArea Range]],Lookups!$T$25:$W$37,4,FALSE)</f>
        <v>0.98919999999999997</v>
      </c>
      <c r="BK1419" s="25">
        <f>VLOOKUP(Inventory[[#This Row],[Decade]],Lookups!$O$25:$R$42,4,FALSE)</f>
        <v>0.98909999999999998</v>
      </c>
      <c r="BL1419" s="25">
        <f>Inventory[[#This Row],[Nbhd Adj]]*0.95</f>
        <v>0.94971499999999998</v>
      </c>
      <c r="BM1419" s="25">
        <f>Inventory[[#This Row],[Nbhd Adj]]*Inventory[[#This Row],[Quality Adj]]*Inventory[[#This Row],[Condition Adj]]*Inventory[[#This Row],[Living Area Adj]]*Inventory[[#This Row],[Decade Adj]]*0.95</f>
        <v>0.93420681692829766</v>
      </c>
      <c r="BN1419" s="25">
        <f>ROUND(SUM(Inventory[[#This Row],[Mdl Qlty]:[Mdl WdDeck]])+Inventory[[#This Row],[Mdl Res Intercept]]*Inventory[[#This Row],[Res Adj ]],-2)</f>
        <v>385600</v>
      </c>
      <c r="BO1419" s="25">
        <f>ROUND(Inventory[[#This Row],[25Det]]*Inventory[[#This Row],[Det/Nbhd Adj]],-2)</f>
        <v>0</v>
      </c>
      <c r="BP1419" s="25">
        <f>Inventory[[#This Row],[Adjusted Res]]+Inventory[[#This Row],[Adj Det ]]</f>
        <v>385600</v>
      </c>
      <c r="BQ1419" s="25">
        <f>ROUND((Inventory[[#This Row],[Mdl Land Intercept]]+Inventory[[#This Row],[Mdl LnAcres]])*Inventory[[#This Row],[Det/Nbhd Adj]],-2)</f>
        <v>44800</v>
      </c>
      <c r="BR1419" s="25">
        <f>Inventory[[#This Row],[Adjusted Impr Total]]+Inventory[[#This Row],[Adjusted Land Total]]</f>
        <v>430400</v>
      </c>
      <c r="BS1419" s="36">
        <f>IFERROR((Inventory[[#This Row],[Adjusted Impr Total]]-Inventory[[#This Row],[24Bldg]])/Inventory[[#This Row],[24Bldg]],0)</f>
        <v>0.23116219667943805</v>
      </c>
      <c r="BT1419" s="36">
        <f>(Inventory[[#This Row],[Adjusted Land Total]]-Inventory[[#This Row],[24Lnd]])/Inventory[[#This Row],[24Lnd]]</f>
        <v>-0.33727810650887574</v>
      </c>
      <c r="BU1419" s="36">
        <f>(Inventory[[#This Row],[Adjusted Total]]-Inventory[[#This Row],[24Final]])/Inventory[[#This Row],[24Final]]</f>
        <v>0.13025210084033614</v>
      </c>
    </row>
    <row r="1420" spans="1:73" x14ac:dyDescent="0.3">
      <c r="A1420" s="25">
        <v>2025</v>
      </c>
      <c r="B1420" s="26" t="s">
        <v>2696</v>
      </c>
      <c r="C1420" s="26">
        <f>LN(Inventory[[#This Row],[Acres]])</f>
        <v>-1.5141277326297755</v>
      </c>
      <c r="D1420" s="25">
        <v>0.22</v>
      </c>
      <c r="E1420" s="31"/>
      <c r="F1420" s="26" t="s">
        <v>537</v>
      </c>
      <c r="G1420" s="26" t="s">
        <v>126</v>
      </c>
      <c r="H1420" s="26" t="s">
        <v>349</v>
      </c>
      <c r="I1420" s="26" t="s">
        <v>538</v>
      </c>
      <c r="J1420" s="26" t="s">
        <v>539</v>
      </c>
      <c r="K1420" s="26" t="s">
        <v>242</v>
      </c>
      <c r="L1420" s="26" t="s">
        <v>148</v>
      </c>
      <c r="M1420" s="26" t="s">
        <v>303</v>
      </c>
      <c r="N1420" s="26">
        <v>90</v>
      </c>
      <c r="O1420" s="26">
        <f>2024-Inventory[[#This Row],[YrBlt]]</f>
        <v>86</v>
      </c>
      <c r="P1420" s="26">
        <f>2024-Inventory[[#This Row],[EffYr]]</f>
        <v>53</v>
      </c>
      <c r="Q1420" s="25">
        <v>1938</v>
      </c>
      <c r="R1420" s="25">
        <v>1971</v>
      </c>
      <c r="S1420" s="25">
        <v>1446</v>
      </c>
      <c r="T1420" s="31"/>
      <c r="U1420" s="25">
        <v>650</v>
      </c>
      <c r="V1420" s="25">
        <f>Inventory[[#This Row],[Bsmt]]-Inventory[[#This Row],[FnBsmt]]</f>
        <v>650</v>
      </c>
      <c r="W1420" s="31"/>
      <c r="X1420" s="27"/>
      <c r="Y1420" s="27">
        <f>Inventory[[#This Row],[MainFn]]+Inventory[[#This Row],[UpprFn]]+Inventory[[#This Row],[FnBsmt]]+Inventory[[#This Row],[AddFn]]</f>
        <v>1446</v>
      </c>
      <c r="Z1420" s="27">
        <v>1500</v>
      </c>
      <c r="AA1420" s="25">
        <v>8</v>
      </c>
      <c r="AB1420" s="27"/>
      <c r="AC1420" s="31"/>
      <c r="AD1420" s="31"/>
      <c r="AE1420" s="27"/>
      <c r="AF1420" s="27"/>
      <c r="AG1420" s="27"/>
      <c r="AH1420" s="27"/>
      <c r="AI1420" s="25">
        <v>357654</v>
      </c>
      <c r="AJ1420" s="25">
        <v>246781</v>
      </c>
      <c r="AK1420" s="25">
        <v>17459</v>
      </c>
      <c r="AL1420" s="25">
        <v>368100</v>
      </c>
      <c r="AM1420" s="25">
        <v>61700</v>
      </c>
      <c r="AN1420" s="25">
        <v>306400</v>
      </c>
      <c r="AO1420" s="25">
        <v>0</v>
      </c>
      <c r="AP1420" s="25">
        <f>Lookups!$B$56*0</f>
        <v>0</v>
      </c>
      <c r="AQ1420" s="25">
        <f>Lookups!$B$56*1</f>
        <v>89850.625589999996</v>
      </c>
      <c r="AR1420" s="25">
        <f>Lookups!$B$57*Inventory[[#This Row],[LnAcres]]</f>
        <v>-47929.131559187132</v>
      </c>
      <c r="AS1420" s="25">
        <f>VLOOKUP(Inventory[[#This Row],[Qlty]],Lookups!$A$62:$E$75,2,FALSE)</f>
        <v>44121.038090000002</v>
      </c>
      <c r="AT1420" s="25">
        <f>VLOOKUP(Inventory[[#This Row],[Cnd]],Lookups!$A$76:$E$84,2,FALSE)</f>
        <v>197752.34721000001</v>
      </c>
      <c r="AU1420" s="25">
        <f>Inventory[[#This Row],[EffAge]]*Lookups!$B$85</f>
        <v>-11821.416826500001</v>
      </c>
      <c r="AV1420" s="25">
        <f>Inventory[[#This Row],[MainFn]]*Lookups!$B$86</f>
        <v>71444.936642141998</v>
      </c>
      <c r="AW1420" s="25">
        <f>Inventory[[#This Row],[UpprFn]]*Lookups!$B$87</f>
        <v>0</v>
      </c>
      <c r="AX1420" s="25">
        <f>Inventory[[#This Row],[AddFn]]*Lookups!$B$88</f>
        <v>0</v>
      </c>
      <c r="AY1420" s="25">
        <f>Inventory[[#This Row],[Bsmt]]*Lookups!$B$89</f>
        <v>18903.231910549999</v>
      </c>
      <c r="AZ1420" s="25">
        <f>Inventory[[#This Row],[Fixtures]]*Lookups!$B$90</f>
        <v>30336.176841600001</v>
      </c>
      <c r="BA1420" s="25">
        <f>Inventory[[#This Row],[WdDeck]]*Lookups!$B$91</f>
        <v>0</v>
      </c>
      <c r="BB1420" s="25">
        <f>ROUND(Inventory[[#This Row],[25Det]],-2)</f>
        <v>17500</v>
      </c>
      <c r="BC1420" s="25">
        <f>ROUND(SUM(Inventory[[#This Row],[Mdl Qlty]:[Mdl WdDeck]])+Inventory[[#This Row],[Mdl Res Intercept]],-2)</f>
        <v>350700</v>
      </c>
      <c r="BD1420" s="25">
        <f>ROUND(Inventory[[#This Row],[Mdl Land Intercept]]+Inventory[[#This Row],[Mdl LnAcres]],-2)</f>
        <v>41900</v>
      </c>
      <c r="BE1420" s="25">
        <f>Inventory[[#This Row],[Unadj Res Value]]+Inventory[[#This Row],[Unadj Det Value]]+Inventory[[#This Row],[Unadj Land Value]]</f>
        <v>410100</v>
      </c>
      <c r="BF1420" s="36">
        <f>(Inventory[[#This Row],[Unadj Total Value]]-Inventory[[#This Row],[24Final]])/Inventory[[#This Row],[24Final]]</f>
        <v>0.11409942950285248</v>
      </c>
      <c r="BG1420" s="25">
        <f>VLOOKUP(Inventory[[#This Row],[Nbhd]],Lookups!$Q$2:$T$4,4,FALSE)</f>
        <v>0.99970000000000003</v>
      </c>
      <c r="BH1420" s="25">
        <f>VLOOKUP(Inventory[[#This Row],[Qlty]],Lookups!$O$7:$R$21,4,FALSE)</f>
        <v>0.98050000000000004</v>
      </c>
      <c r="BI1420" s="25">
        <f>VLOOKUP(Inventory[[#This Row],[Cnd]],Lookups!$T$7:$W$16,4,FALSE)</f>
        <v>0.99650000000000005</v>
      </c>
      <c r="BJ1420" s="25">
        <f>VLOOKUP(Inventory[[#This Row],[LivArea Range]],Lookups!$T$25:$W$37,4,FALSE)</f>
        <v>1.0157</v>
      </c>
      <c r="BK1420" s="25">
        <f>VLOOKUP(Inventory[[#This Row],[Decade]],Lookups!$O$25:$R$42,4,FALSE)</f>
        <v>0.98909999999999998</v>
      </c>
      <c r="BL1420" s="25">
        <f>Inventory[[#This Row],[Nbhd Adj]]*0.95</f>
        <v>0.94971499999999998</v>
      </c>
      <c r="BM1420" s="25">
        <f>Inventory[[#This Row],[Nbhd Adj]]*Inventory[[#This Row],[Quality Adj]]*Inventory[[#This Row],[Condition Adj]]*Inventory[[#This Row],[Living Area Adj]]*Inventory[[#This Row],[Decade Adj]]*0.95</f>
        <v>0.93223166988786421</v>
      </c>
      <c r="BN1420" s="25">
        <f>ROUND(SUM(Inventory[[#This Row],[Mdl Qlty]:[Mdl WdDeck]])+Inventory[[#This Row],[Mdl Res Intercept]]*Inventory[[#This Row],[Res Adj ]],-2)</f>
        <v>350700</v>
      </c>
      <c r="BO1420" s="25">
        <f>ROUND(Inventory[[#This Row],[25Det]]*Inventory[[#This Row],[Det/Nbhd Adj]],-2)</f>
        <v>16600</v>
      </c>
      <c r="BP1420" s="25">
        <f>Inventory[[#This Row],[Adjusted Res]]+Inventory[[#This Row],[Adj Det ]]</f>
        <v>367300</v>
      </c>
      <c r="BQ1420" s="25">
        <f>ROUND((Inventory[[#This Row],[Mdl Land Intercept]]+Inventory[[#This Row],[Mdl LnAcres]])*Inventory[[#This Row],[Det/Nbhd Adj]],-2)</f>
        <v>39800</v>
      </c>
      <c r="BR1420" s="25">
        <f>Inventory[[#This Row],[Adjusted Impr Total]]+Inventory[[#This Row],[Adjusted Land Total]]</f>
        <v>407100</v>
      </c>
      <c r="BS1420" s="36">
        <f>IFERROR((Inventory[[#This Row],[Adjusted Impr Total]]-Inventory[[#This Row],[24Bldg]])/Inventory[[#This Row],[24Bldg]],0)</f>
        <v>0.19875979112271541</v>
      </c>
      <c r="BT1420" s="36">
        <f>(Inventory[[#This Row],[Adjusted Land Total]]-Inventory[[#This Row],[24Lnd]])/Inventory[[#This Row],[24Lnd]]</f>
        <v>-0.35494327390599678</v>
      </c>
      <c r="BU1420" s="36">
        <f>(Inventory[[#This Row],[Adjusted Total]]-Inventory[[#This Row],[24Final]])/Inventory[[#This Row],[24Final]]</f>
        <v>0.10594947025264874</v>
      </c>
    </row>
    <row r="1421" spans="1:73" x14ac:dyDescent="0.3">
      <c r="A1421" s="25">
        <v>2025</v>
      </c>
      <c r="B1421" s="26" t="s">
        <v>2055</v>
      </c>
      <c r="C1421" s="26">
        <f>LN(Inventory[[#This Row],[Acres]])</f>
        <v>-1.7719568419318752</v>
      </c>
      <c r="D1421" s="25">
        <v>0.17</v>
      </c>
      <c r="E1421" s="31"/>
      <c r="F1421" s="26" t="s">
        <v>537</v>
      </c>
      <c r="G1421" s="26" t="s">
        <v>126</v>
      </c>
      <c r="H1421" s="26" t="s">
        <v>349</v>
      </c>
      <c r="I1421" s="26" t="s">
        <v>538</v>
      </c>
      <c r="J1421" s="26" t="s">
        <v>539</v>
      </c>
      <c r="K1421" s="26" t="s">
        <v>242</v>
      </c>
      <c r="L1421" s="26" t="s">
        <v>205</v>
      </c>
      <c r="M1421" s="26" t="s">
        <v>206</v>
      </c>
      <c r="N1421" s="26">
        <v>90</v>
      </c>
      <c r="O1421" s="26">
        <f>2024-Inventory[[#This Row],[YrBlt]]</f>
        <v>86</v>
      </c>
      <c r="P1421" s="26">
        <f>2024-Inventory[[#This Row],[EffYr]]</f>
        <v>52</v>
      </c>
      <c r="Q1421" s="25">
        <v>1938</v>
      </c>
      <c r="R1421" s="25">
        <v>1972</v>
      </c>
      <c r="S1421" s="25">
        <v>884</v>
      </c>
      <c r="T1421" s="31"/>
      <c r="U1421" s="25">
        <v>884</v>
      </c>
      <c r="V1421" s="32">
        <f>Inventory[[#This Row],[Bsmt]]-Inventory[[#This Row],[FnBsmt]]</f>
        <v>884</v>
      </c>
      <c r="W1421" s="27"/>
      <c r="X1421" s="31"/>
      <c r="Y1421" s="31">
        <f>Inventory[[#This Row],[MainFn]]+Inventory[[#This Row],[UpprFn]]+Inventory[[#This Row],[FnBsmt]]+Inventory[[#This Row],[AddFn]]</f>
        <v>884</v>
      </c>
      <c r="Z1421" s="27">
        <v>1000</v>
      </c>
      <c r="AA1421" s="25">
        <v>5</v>
      </c>
      <c r="AB1421" s="31"/>
      <c r="AC1421" s="27"/>
      <c r="AD1421" s="31"/>
      <c r="AE1421" s="27"/>
      <c r="AF1421" s="27"/>
      <c r="AG1421" s="27"/>
      <c r="AH1421" s="27"/>
      <c r="AI1421" s="25">
        <v>168406</v>
      </c>
      <c r="AJ1421" s="25">
        <v>111148</v>
      </c>
      <c r="AK1421" s="25">
        <v>0</v>
      </c>
      <c r="AL1421" s="25">
        <v>220900</v>
      </c>
      <c r="AM1421" s="25">
        <v>52700</v>
      </c>
      <c r="AN1421" s="25">
        <v>168200</v>
      </c>
      <c r="AO1421" s="25">
        <v>0</v>
      </c>
      <c r="AP1421" s="25">
        <f>Lookups!$B$56*0</f>
        <v>0</v>
      </c>
      <c r="AQ1421" s="25">
        <f>Lookups!$B$56*1</f>
        <v>89850.625589999996</v>
      </c>
      <c r="AR1421" s="25">
        <f>Lookups!$B$57*Inventory[[#This Row],[LnAcres]]</f>
        <v>-56090.612940989391</v>
      </c>
      <c r="AS1421" s="25">
        <f>VLOOKUP(Inventory[[#This Row],[Qlty]],Lookups!$A$62:$E$75,2,FALSE)</f>
        <v>0</v>
      </c>
      <c r="AT1421" s="25">
        <f>VLOOKUP(Inventory[[#This Row],[Cnd]],Lookups!$A$76:$E$84,2,FALSE)</f>
        <v>133714.53821</v>
      </c>
      <c r="AU1421" s="25">
        <f>Inventory[[#This Row],[EffAge]]*Lookups!$B$85</f>
        <v>-11598.371226000001</v>
      </c>
      <c r="AV1421" s="25">
        <f>Inventory[[#This Row],[MainFn]]*Lookups!$B$86</f>
        <v>43677.264171267998</v>
      </c>
      <c r="AW1421" s="25">
        <f>Inventory[[#This Row],[UpprFn]]*Lookups!$B$87</f>
        <v>0</v>
      </c>
      <c r="AX1421" s="25">
        <f>Inventory[[#This Row],[AddFn]]*Lookups!$B$88</f>
        <v>0</v>
      </c>
      <c r="AY1421" s="25">
        <f>Inventory[[#This Row],[Bsmt]]*Lookups!$B$89</f>
        <v>25708.395398347999</v>
      </c>
      <c r="AZ1421" s="25">
        <f>Inventory[[#This Row],[Fixtures]]*Lookups!$B$90</f>
        <v>18960.110526</v>
      </c>
      <c r="BA1421" s="25">
        <f>Inventory[[#This Row],[WdDeck]]*Lookups!$B$91</f>
        <v>0</v>
      </c>
      <c r="BB1421" s="25">
        <f>ROUND(Inventory[[#This Row],[25Det]],-2)</f>
        <v>0</v>
      </c>
      <c r="BC1421" s="25">
        <f>ROUND(SUM(Inventory[[#This Row],[Mdl Qlty]:[Mdl WdDeck]])+Inventory[[#This Row],[Mdl Res Intercept]],-2)</f>
        <v>210500</v>
      </c>
      <c r="BD1421" s="25">
        <f>ROUND(Inventory[[#This Row],[Mdl Land Intercept]]+Inventory[[#This Row],[Mdl LnAcres]],-2)</f>
        <v>33800</v>
      </c>
      <c r="BE1421" s="25">
        <f>Inventory[[#This Row],[Unadj Res Value]]+Inventory[[#This Row],[Unadj Det Value]]+Inventory[[#This Row],[Unadj Land Value]]</f>
        <v>244300</v>
      </c>
      <c r="BF1421" s="36">
        <f>(Inventory[[#This Row],[Unadj Total Value]]-Inventory[[#This Row],[24Final]])/Inventory[[#This Row],[24Final]]</f>
        <v>0.10593028519692169</v>
      </c>
      <c r="BG1421" s="25">
        <f>VLOOKUP(Inventory[[#This Row],[Nbhd]],Lookups!$Q$2:$T$4,4,FALSE)</f>
        <v>0.99970000000000003</v>
      </c>
      <c r="BH1421" s="25">
        <f>VLOOKUP(Inventory[[#This Row],[Qlty]],Lookups!$O$7:$R$21,4,FALSE)</f>
        <v>0.99180000000000001</v>
      </c>
      <c r="BI1421" s="25">
        <f>VLOOKUP(Inventory[[#This Row],[Cnd]],Lookups!$T$7:$W$16,4,FALSE)</f>
        <v>0.99329999999999996</v>
      </c>
      <c r="BJ1421" s="25">
        <f>VLOOKUP(Inventory[[#This Row],[LivArea Range]],Lookups!$T$25:$W$37,4,FALSE)</f>
        <v>1.0148999999999999</v>
      </c>
      <c r="BK1421" s="25">
        <f>VLOOKUP(Inventory[[#This Row],[Decade]],Lookups!$O$25:$R$42,4,FALSE)</f>
        <v>0.98909999999999998</v>
      </c>
      <c r="BL1421" s="25">
        <f>Inventory[[#This Row],[Nbhd Adj]]*0.95</f>
        <v>0.94971499999999998</v>
      </c>
      <c r="BM1421" s="25">
        <f>Inventory[[#This Row],[Nbhd Adj]]*Inventory[[#This Row],[Quality Adj]]*Inventory[[#This Row],[Condition Adj]]*Inventory[[#This Row],[Living Area Adj]]*Inventory[[#This Row],[Decade Adj]]*0.95</f>
        <v>0.93920693607407202</v>
      </c>
      <c r="BN1421" s="25">
        <f>ROUND(SUM(Inventory[[#This Row],[Mdl Qlty]:[Mdl WdDeck]])+Inventory[[#This Row],[Mdl Res Intercept]]*Inventory[[#This Row],[Res Adj ]],-2)</f>
        <v>210500</v>
      </c>
      <c r="BO1421" s="25">
        <f>ROUND(Inventory[[#This Row],[25Det]]*Inventory[[#This Row],[Det/Nbhd Adj]],-2)</f>
        <v>0</v>
      </c>
      <c r="BP1421" s="25">
        <f>Inventory[[#This Row],[Adjusted Res]]+Inventory[[#This Row],[Adj Det ]]</f>
        <v>210500</v>
      </c>
      <c r="BQ1421" s="25">
        <f>ROUND((Inventory[[#This Row],[Mdl Land Intercept]]+Inventory[[#This Row],[Mdl LnAcres]])*Inventory[[#This Row],[Det/Nbhd Adj]],-2)</f>
        <v>32100</v>
      </c>
      <c r="BR1421" s="25">
        <f>Inventory[[#This Row],[Adjusted Impr Total]]+Inventory[[#This Row],[Adjusted Land Total]]</f>
        <v>242600</v>
      </c>
      <c r="BS1421" s="36">
        <f>IFERROR((Inventory[[#This Row],[Adjusted Impr Total]]-Inventory[[#This Row],[24Bldg]])/Inventory[[#This Row],[24Bldg]],0)</f>
        <v>0.25148632580261593</v>
      </c>
      <c r="BT1421" s="36">
        <f>(Inventory[[#This Row],[Adjusted Land Total]]-Inventory[[#This Row],[24Lnd]])/Inventory[[#This Row],[24Lnd]]</f>
        <v>-0.39089184060721061</v>
      </c>
      <c r="BU1421" s="36">
        <f>(Inventory[[#This Row],[Adjusted Total]]-Inventory[[#This Row],[24Final]])/Inventory[[#This Row],[24Final]]</f>
        <v>9.8234495246717971E-2</v>
      </c>
    </row>
    <row r="1422" spans="1:73" x14ac:dyDescent="0.3">
      <c r="A1422" s="25">
        <v>2025</v>
      </c>
      <c r="B1422" s="26" t="s">
        <v>1936</v>
      </c>
      <c r="C1422" s="26">
        <f>LN(Inventory[[#This Row],[Acres]])</f>
        <v>-1.5141277326297755</v>
      </c>
      <c r="D1422" s="25">
        <v>0.22</v>
      </c>
      <c r="E1422" s="31"/>
      <c r="F1422" s="26" t="s">
        <v>537</v>
      </c>
      <c r="G1422" s="26" t="s">
        <v>126</v>
      </c>
      <c r="H1422" s="26" t="s">
        <v>349</v>
      </c>
      <c r="I1422" s="26" t="s">
        <v>538</v>
      </c>
      <c r="J1422" s="26" t="s">
        <v>539</v>
      </c>
      <c r="K1422" s="26" t="s">
        <v>242</v>
      </c>
      <c r="L1422" s="26" t="s">
        <v>148</v>
      </c>
      <c r="M1422" s="26" t="s">
        <v>303</v>
      </c>
      <c r="N1422" s="26">
        <v>90</v>
      </c>
      <c r="O1422" s="26">
        <f>2024-Inventory[[#This Row],[YrBlt]]</f>
        <v>86</v>
      </c>
      <c r="P1422" s="26">
        <f>2024-Inventory[[#This Row],[EffYr]]</f>
        <v>53</v>
      </c>
      <c r="Q1422" s="25">
        <v>1938</v>
      </c>
      <c r="R1422" s="25">
        <v>1971</v>
      </c>
      <c r="S1422" s="25">
        <v>1643</v>
      </c>
      <c r="T1422" s="27"/>
      <c r="U1422" s="25">
        <v>1339</v>
      </c>
      <c r="V1422" s="25">
        <f>Inventory[[#This Row],[Bsmt]]-Inventory[[#This Row],[FnBsmt]]</f>
        <v>402</v>
      </c>
      <c r="W1422" s="25">
        <v>937</v>
      </c>
      <c r="X1422" s="27"/>
      <c r="Y1422" s="27">
        <f>Inventory[[#This Row],[MainFn]]+Inventory[[#This Row],[UpprFn]]+Inventory[[#This Row],[FnBsmt]]+Inventory[[#This Row],[AddFn]]</f>
        <v>2580</v>
      </c>
      <c r="Z1422" s="27">
        <v>3000</v>
      </c>
      <c r="AA1422" s="25">
        <v>8</v>
      </c>
      <c r="AB1422" s="31"/>
      <c r="AC1422" s="27"/>
      <c r="AD1422" s="25">
        <v>366</v>
      </c>
      <c r="AE1422" s="27"/>
      <c r="AF1422" s="27"/>
      <c r="AG1422" s="27"/>
      <c r="AH1422" s="27"/>
      <c r="AI1422" s="25">
        <v>449000</v>
      </c>
      <c r="AJ1422" s="25">
        <v>309810</v>
      </c>
      <c r="AK1422" s="25">
        <v>9708</v>
      </c>
      <c r="AL1422" s="25">
        <v>402700</v>
      </c>
      <c r="AM1422" s="25">
        <v>61700</v>
      </c>
      <c r="AN1422" s="25">
        <v>341000</v>
      </c>
      <c r="AO1422" s="25">
        <v>0</v>
      </c>
      <c r="AP1422" s="25">
        <f>Lookups!$B$56*0</f>
        <v>0</v>
      </c>
      <c r="AQ1422" s="25">
        <f>Lookups!$B$56*1</f>
        <v>89850.625589999996</v>
      </c>
      <c r="AR1422" s="25">
        <f>Lookups!$B$57*Inventory[[#This Row],[LnAcres]]</f>
        <v>-47929.131559187132</v>
      </c>
      <c r="AS1422" s="25">
        <f>VLOOKUP(Inventory[[#This Row],[Qlty]],Lookups!$A$62:$E$75,2,FALSE)</f>
        <v>44121.038090000002</v>
      </c>
      <c r="AT1422" s="25">
        <f>VLOOKUP(Inventory[[#This Row],[Cnd]],Lookups!$A$76:$E$84,2,FALSE)</f>
        <v>197752.34721000001</v>
      </c>
      <c r="AU1422" s="25">
        <f>Inventory[[#This Row],[EffAge]]*Lookups!$B$85</f>
        <v>-11821.416826500001</v>
      </c>
      <c r="AV1422" s="25">
        <f>Inventory[[#This Row],[MainFn]]*Lookups!$B$86</f>
        <v>81178.444607911006</v>
      </c>
      <c r="AW1422" s="25">
        <f>Inventory[[#This Row],[UpprFn]]*Lookups!$B$87</f>
        <v>0</v>
      </c>
      <c r="AX1422" s="25">
        <f>Inventory[[#This Row],[AddFn]]*Lookups!$B$88</f>
        <v>0</v>
      </c>
      <c r="AY1422" s="25">
        <f>Inventory[[#This Row],[Bsmt]]*Lookups!$B$89</f>
        <v>38940.657735732995</v>
      </c>
      <c r="AZ1422" s="25">
        <f>Inventory[[#This Row],[Fixtures]]*Lookups!$B$90</f>
        <v>30336.176841600001</v>
      </c>
      <c r="BA1422" s="25">
        <f>Inventory[[#This Row],[WdDeck]]*Lookups!$B$91</f>
        <v>12186.158591016001</v>
      </c>
      <c r="BB1422" s="25">
        <f>ROUND(Inventory[[#This Row],[25Det]],-2)</f>
        <v>9700</v>
      </c>
      <c r="BC1422" s="25">
        <f>ROUND(SUM(Inventory[[#This Row],[Mdl Qlty]:[Mdl WdDeck]])+Inventory[[#This Row],[Mdl Res Intercept]],-2)</f>
        <v>392700</v>
      </c>
      <c r="BD1422" s="25">
        <f>ROUND(Inventory[[#This Row],[Mdl Land Intercept]]+Inventory[[#This Row],[Mdl LnAcres]],-2)</f>
        <v>41900</v>
      </c>
      <c r="BE1422" s="25">
        <f>Inventory[[#This Row],[Unadj Res Value]]+Inventory[[#This Row],[Unadj Det Value]]+Inventory[[#This Row],[Unadj Land Value]]</f>
        <v>444300</v>
      </c>
      <c r="BF1422" s="36">
        <f>(Inventory[[#This Row],[Unadj Total Value]]-Inventory[[#This Row],[24Final]])/Inventory[[#This Row],[24Final]]</f>
        <v>0.10330270672957537</v>
      </c>
      <c r="BG1422" s="25">
        <f>VLOOKUP(Inventory[[#This Row],[Nbhd]],Lookups!$Q$2:$T$4,4,FALSE)</f>
        <v>0.99970000000000003</v>
      </c>
      <c r="BH1422" s="25">
        <f>VLOOKUP(Inventory[[#This Row],[Qlty]],Lookups!$O$7:$R$21,4,FALSE)</f>
        <v>0.98050000000000004</v>
      </c>
      <c r="BI1422" s="25">
        <f>VLOOKUP(Inventory[[#This Row],[Cnd]],Lookups!$T$7:$W$16,4,FALSE)</f>
        <v>0.99650000000000005</v>
      </c>
      <c r="BJ1422" s="25">
        <f>VLOOKUP(Inventory[[#This Row],[LivArea Range]],Lookups!$T$25:$W$37,4,FALSE)</f>
        <v>0.96179999999999999</v>
      </c>
      <c r="BK1422" s="25">
        <f>VLOOKUP(Inventory[[#This Row],[Decade]],Lookups!$O$25:$R$42,4,FALSE)</f>
        <v>0.98909999999999998</v>
      </c>
      <c r="BL1422" s="25">
        <f>Inventory[[#This Row],[Nbhd Adj]]*0.95</f>
        <v>0.94971499999999998</v>
      </c>
      <c r="BM1422" s="25">
        <f>Inventory[[#This Row],[Nbhd Adj]]*Inventory[[#This Row],[Quality Adj]]*Inventory[[#This Row],[Condition Adj]]*Inventory[[#This Row],[Living Area Adj]]*Inventory[[#This Row],[Decade Adj]]*0.95</f>
        <v>0.88276107127906644</v>
      </c>
      <c r="BN1422" s="25">
        <f>ROUND(SUM(Inventory[[#This Row],[Mdl Qlty]:[Mdl WdDeck]])+Inventory[[#This Row],[Mdl Res Intercept]]*Inventory[[#This Row],[Res Adj ]],-2)</f>
        <v>392700</v>
      </c>
      <c r="BO1422" s="25">
        <f>ROUND(Inventory[[#This Row],[25Det]]*Inventory[[#This Row],[Det/Nbhd Adj]],-2)</f>
        <v>9200</v>
      </c>
      <c r="BP1422" s="25">
        <f>Inventory[[#This Row],[Adjusted Res]]+Inventory[[#This Row],[Adj Det ]]</f>
        <v>401900</v>
      </c>
      <c r="BQ1422" s="25">
        <f>ROUND((Inventory[[#This Row],[Mdl Land Intercept]]+Inventory[[#This Row],[Mdl LnAcres]])*Inventory[[#This Row],[Det/Nbhd Adj]],-2)</f>
        <v>39800</v>
      </c>
      <c r="BR1422" s="25">
        <f>Inventory[[#This Row],[Adjusted Impr Total]]+Inventory[[#This Row],[Adjusted Land Total]]</f>
        <v>441700</v>
      </c>
      <c r="BS1422" s="36">
        <f>IFERROR((Inventory[[#This Row],[Adjusted Impr Total]]-Inventory[[#This Row],[24Bldg]])/Inventory[[#This Row],[24Bldg]],0)</f>
        <v>0.17859237536656891</v>
      </c>
      <c r="BT1422" s="36">
        <f>(Inventory[[#This Row],[Adjusted Land Total]]-Inventory[[#This Row],[24Lnd]])/Inventory[[#This Row],[24Lnd]]</f>
        <v>-0.35494327390599678</v>
      </c>
      <c r="BU1422" s="36">
        <f>(Inventory[[#This Row],[Adjusted Total]]-Inventory[[#This Row],[24Final]])/Inventory[[#This Row],[24Final]]</f>
        <v>9.684628755897691E-2</v>
      </c>
    </row>
    <row r="1423" spans="1:73" x14ac:dyDescent="0.3">
      <c r="A1423" s="25">
        <v>2025</v>
      </c>
      <c r="B1423" s="26" t="s">
        <v>2509</v>
      </c>
      <c r="C1423" s="26">
        <f>LN(Inventory[[#This Row],[Acres]])</f>
        <v>-1.4696759700589417</v>
      </c>
      <c r="D1423" s="25">
        <v>0.23</v>
      </c>
      <c r="E1423" s="25">
        <v>10032</v>
      </c>
      <c r="F1423" s="26" t="s">
        <v>537</v>
      </c>
      <c r="G1423" s="26" t="s">
        <v>126</v>
      </c>
      <c r="H1423" s="26" t="s">
        <v>349</v>
      </c>
      <c r="I1423" s="26" t="s">
        <v>538</v>
      </c>
      <c r="J1423" s="26" t="s">
        <v>539</v>
      </c>
      <c r="K1423" s="26" t="s">
        <v>242</v>
      </c>
      <c r="L1423" s="26" t="s">
        <v>351</v>
      </c>
      <c r="M1423" s="26" t="s">
        <v>206</v>
      </c>
      <c r="N1423" s="26">
        <v>90</v>
      </c>
      <c r="O1423" s="26">
        <f>2024-Inventory[[#This Row],[YrBlt]]</f>
        <v>86</v>
      </c>
      <c r="P1423" s="26">
        <f>2024-Inventory[[#This Row],[EffYr]]</f>
        <v>53</v>
      </c>
      <c r="Q1423" s="25">
        <v>1938</v>
      </c>
      <c r="R1423" s="25">
        <v>1971</v>
      </c>
      <c r="S1423" s="25">
        <v>969</v>
      </c>
      <c r="T1423" s="31"/>
      <c r="U1423" s="31"/>
      <c r="V1423" s="31">
        <f>Inventory[[#This Row],[Bsmt]]-Inventory[[#This Row],[FnBsmt]]</f>
        <v>0</v>
      </c>
      <c r="W1423" s="31"/>
      <c r="X1423" s="27"/>
      <c r="Y1423" s="27">
        <f>Inventory[[#This Row],[MainFn]]+Inventory[[#This Row],[UpprFn]]+Inventory[[#This Row],[FnBsmt]]+Inventory[[#This Row],[AddFn]]</f>
        <v>969</v>
      </c>
      <c r="Z1423" s="27">
        <v>1000</v>
      </c>
      <c r="AA1423" s="25">
        <v>5</v>
      </c>
      <c r="AB1423" s="31"/>
      <c r="AC1423" s="27"/>
      <c r="AD1423" s="32">
        <v>164</v>
      </c>
      <c r="AE1423" s="27"/>
      <c r="AF1423" s="27"/>
      <c r="AG1423" s="27"/>
      <c r="AH1423" s="27"/>
      <c r="AI1423" s="25">
        <v>171497</v>
      </c>
      <c r="AJ1423" s="25">
        <v>111473</v>
      </c>
      <c r="AK1423" s="25">
        <v>0</v>
      </c>
      <c r="AL1423" s="25">
        <v>234500</v>
      </c>
      <c r="AM1423" s="25">
        <v>63300</v>
      </c>
      <c r="AN1423" s="25">
        <v>171200</v>
      </c>
      <c r="AO1423" s="25">
        <v>0</v>
      </c>
      <c r="AP1423" s="25">
        <f>Lookups!$B$56*0</f>
        <v>0</v>
      </c>
      <c r="AQ1423" s="25">
        <f>Lookups!$B$56*1</f>
        <v>89850.625589999996</v>
      </c>
      <c r="AR1423" s="25">
        <f>Lookups!$B$57*Inventory[[#This Row],[LnAcres]]</f>
        <v>-46522.028095997222</v>
      </c>
      <c r="AS1423" s="25">
        <f>VLOOKUP(Inventory[[#This Row],[Qlty]],Lookups!$A$62:$E$75,2,FALSE)</f>
        <v>21557.329055999999</v>
      </c>
      <c r="AT1423" s="25">
        <f>VLOOKUP(Inventory[[#This Row],[Cnd]],Lookups!$A$76:$E$84,2,FALSE)</f>
        <v>133714.53821</v>
      </c>
      <c r="AU1423" s="25">
        <f>Inventory[[#This Row],[EffAge]]*Lookups!$B$85</f>
        <v>-11821.416826500001</v>
      </c>
      <c r="AV1423" s="25">
        <f>Inventory[[#This Row],[MainFn]]*Lookups!$B$86</f>
        <v>47877.001110812998</v>
      </c>
      <c r="AW1423" s="25">
        <f>Inventory[[#This Row],[UpprFn]]*Lookups!$B$87</f>
        <v>0</v>
      </c>
      <c r="AX1423" s="25">
        <f>Inventory[[#This Row],[AddFn]]*Lookups!$B$88</f>
        <v>0</v>
      </c>
      <c r="AY1423" s="25">
        <f>Inventory[[#This Row],[Bsmt]]*Lookups!$B$89</f>
        <v>0</v>
      </c>
      <c r="AZ1423" s="25">
        <f>Inventory[[#This Row],[Fixtures]]*Lookups!$B$90</f>
        <v>18960.110526</v>
      </c>
      <c r="BA1423" s="25">
        <f>Inventory[[#This Row],[WdDeck]]*Lookups!$B$91</f>
        <v>5460.4645052640008</v>
      </c>
      <c r="BB1423" s="25">
        <f>ROUND(Inventory[[#This Row],[25Det]],-2)</f>
        <v>0</v>
      </c>
      <c r="BC1423" s="25">
        <f>ROUND(SUM(Inventory[[#This Row],[Mdl Qlty]:[Mdl WdDeck]])+Inventory[[#This Row],[Mdl Res Intercept]],-2)</f>
        <v>215700</v>
      </c>
      <c r="BD1423" s="25">
        <f>ROUND(Inventory[[#This Row],[Mdl Land Intercept]]+Inventory[[#This Row],[Mdl LnAcres]],-2)</f>
        <v>43300</v>
      </c>
      <c r="BE1423" s="25">
        <f>Inventory[[#This Row],[Unadj Res Value]]+Inventory[[#This Row],[Unadj Det Value]]+Inventory[[#This Row],[Unadj Land Value]]</f>
        <v>259000</v>
      </c>
      <c r="BF1423" s="36">
        <f>(Inventory[[#This Row],[Unadj Total Value]]-Inventory[[#This Row],[24Final]])/Inventory[[#This Row],[24Final]]</f>
        <v>0.1044776119402985</v>
      </c>
      <c r="BG1423" s="25">
        <f>VLOOKUP(Inventory[[#This Row],[Nbhd]],Lookups!$Q$2:$T$4,4,FALSE)</f>
        <v>0.99970000000000003</v>
      </c>
      <c r="BH1423" s="25">
        <f>VLOOKUP(Inventory[[#This Row],[Qlty]],Lookups!$O$7:$R$21,4,FALSE)</f>
        <v>1.0067999999999999</v>
      </c>
      <c r="BI1423" s="25">
        <f>VLOOKUP(Inventory[[#This Row],[Cnd]],Lookups!$T$7:$W$16,4,FALSE)</f>
        <v>0.99329999999999996</v>
      </c>
      <c r="BJ1423" s="25">
        <f>VLOOKUP(Inventory[[#This Row],[LivArea Range]],Lookups!$T$25:$W$37,4,FALSE)</f>
        <v>1.0148999999999999</v>
      </c>
      <c r="BK1423" s="25">
        <f>VLOOKUP(Inventory[[#This Row],[Decade]],Lookups!$O$25:$R$42,4,FALSE)</f>
        <v>0.98909999999999998</v>
      </c>
      <c r="BL1423" s="25">
        <f>Inventory[[#This Row],[Nbhd Adj]]*0.95</f>
        <v>0.94971499999999998</v>
      </c>
      <c r="BM1423" s="25">
        <f>Inventory[[#This Row],[Nbhd Adj]]*Inventory[[#This Row],[Quality Adj]]*Inventory[[#This Row],[Condition Adj]]*Inventory[[#This Row],[Living Area Adj]]*Inventory[[#This Row],[Decade Adj]]*0.95</f>
        <v>0.95341151768438748</v>
      </c>
      <c r="BN1423" s="25">
        <f>ROUND(SUM(Inventory[[#This Row],[Mdl Qlty]:[Mdl WdDeck]])+Inventory[[#This Row],[Mdl Res Intercept]]*Inventory[[#This Row],[Res Adj ]],-2)</f>
        <v>215700</v>
      </c>
      <c r="BO1423" s="25">
        <f>ROUND(Inventory[[#This Row],[25Det]]*Inventory[[#This Row],[Det/Nbhd Adj]],-2)</f>
        <v>0</v>
      </c>
      <c r="BP1423" s="25">
        <f>Inventory[[#This Row],[Adjusted Res]]+Inventory[[#This Row],[Adj Det ]]</f>
        <v>215700</v>
      </c>
      <c r="BQ1423" s="25">
        <f>ROUND((Inventory[[#This Row],[Mdl Land Intercept]]+Inventory[[#This Row],[Mdl LnAcres]])*Inventory[[#This Row],[Det/Nbhd Adj]],-2)</f>
        <v>41100</v>
      </c>
      <c r="BR1423" s="25">
        <f>Inventory[[#This Row],[Adjusted Impr Total]]+Inventory[[#This Row],[Adjusted Land Total]]</f>
        <v>256800</v>
      </c>
      <c r="BS1423" s="36">
        <f>IFERROR((Inventory[[#This Row],[Adjusted Impr Total]]-Inventory[[#This Row],[24Bldg]])/Inventory[[#This Row],[24Bldg]],0)</f>
        <v>0.25992990654205606</v>
      </c>
      <c r="BT1423" s="36">
        <f>(Inventory[[#This Row],[Adjusted Land Total]]-Inventory[[#This Row],[24Lnd]])/Inventory[[#This Row],[24Lnd]]</f>
        <v>-0.35071090047393366</v>
      </c>
      <c r="BU1423" s="36">
        <f>(Inventory[[#This Row],[Adjusted Total]]-Inventory[[#This Row],[24Final]])/Inventory[[#This Row],[24Final]]</f>
        <v>9.5095948827292109E-2</v>
      </c>
    </row>
    <row r="1424" spans="1:73" x14ac:dyDescent="0.3">
      <c r="A1424" s="25">
        <v>2025</v>
      </c>
      <c r="B1424" s="26" t="s">
        <v>2844</v>
      </c>
      <c r="C1424" s="26">
        <f>LN(Inventory[[#This Row],[Acres]])</f>
        <v>-1.8971199848858813</v>
      </c>
      <c r="D1424" s="25">
        <v>0.15</v>
      </c>
      <c r="E1424" s="25">
        <v>6480</v>
      </c>
      <c r="F1424" s="26" t="s">
        <v>537</v>
      </c>
      <c r="G1424" s="26" t="s">
        <v>126</v>
      </c>
      <c r="H1424" s="26" t="s">
        <v>349</v>
      </c>
      <c r="I1424" s="26" t="s">
        <v>538</v>
      </c>
      <c r="J1424" s="26" t="s">
        <v>539</v>
      </c>
      <c r="K1424" s="26" t="s">
        <v>242</v>
      </c>
      <c r="L1424" s="26" t="s">
        <v>351</v>
      </c>
      <c r="M1424" s="26" t="s">
        <v>303</v>
      </c>
      <c r="N1424" s="26">
        <v>90</v>
      </c>
      <c r="O1424" s="26">
        <f>2024-Inventory[[#This Row],[YrBlt]]</f>
        <v>86</v>
      </c>
      <c r="P1424" s="26">
        <f>2024-Inventory[[#This Row],[EffYr]]</f>
        <v>53</v>
      </c>
      <c r="Q1424" s="25">
        <v>1938</v>
      </c>
      <c r="R1424" s="25">
        <v>1971</v>
      </c>
      <c r="S1424" s="25">
        <v>1134</v>
      </c>
      <c r="T1424" s="27"/>
      <c r="U1424" s="31"/>
      <c r="V1424" s="27">
        <f>Inventory[[#This Row],[Bsmt]]-Inventory[[#This Row],[FnBsmt]]</f>
        <v>0</v>
      </c>
      <c r="W1424" s="27"/>
      <c r="X1424" s="27"/>
      <c r="Y1424" s="27">
        <f>Inventory[[#This Row],[MainFn]]+Inventory[[#This Row],[UpprFn]]+Inventory[[#This Row],[FnBsmt]]+Inventory[[#This Row],[AddFn]]</f>
        <v>1134</v>
      </c>
      <c r="Z1424" s="27">
        <v>1500</v>
      </c>
      <c r="AA1424" s="25">
        <v>5</v>
      </c>
      <c r="AB1424" s="31"/>
      <c r="AC1424" s="27"/>
      <c r="AD1424" s="27"/>
      <c r="AE1424" s="27"/>
      <c r="AF1424" s="27"/>
      <c r="AG1424" s="27"/>
      <c r="AH1424" s="27"/>
      <c r="AI1424" s="25">
        <v>197111</v>
      </c>
      <c r="AJ1424" s="25">
        <v>136007</v>
      </c>
      <c r="AK1424" s="25">
        <v>8623</v>
      </c>
      <c r="AL1424" s="25">
        <v>291300</v>
      </c>
      <c r="AM1424" s="25">
        <v>48400</v>
      </c>
      <c r="AN1424" s="25">
        <v>242900</v>
      </c>
      <c r="AO1424" s="25">
        <v>0</v>
      </c>
      <c r="AP1424" s="25">
        <f>Lookups!$B$56*0</f>
        <v>0</v>
      </c>
      <c r="AQ1424" s="25">
        <f>Lookups!$B$56*1</f>
        <v>89850.625589999996</v>
      </c>
      <c r="AR1424" s="25">
        <f>Lookups!$B$57*Inventory[[#This Row],[LnAcres]]</f>
        <v>-60052.604136134301</v>
      </c>
      <c r="AS1424" s="25">
        <f>VLOOKUP(Inventory[[#This Row],[Qlty]],Lookups!$A$62:$E$75,2,FALSE)</f>
        <v>21557.329055999999</v>
      </c>
      <c r="AT1424" s="25">
        <f>VLOOKUP(Inventory[[#This Row],[Cnd]],Lookups!$A$76:$E$84,2,FALSE)</f>
        <v>197752.34721000001</v>
      </c>
      <c r="AU1424" s="25">
        <f>Inventory[[#This Row],[EffAge]]*Lookups!$B$85</f>
        <v>-11821.416826500001</v>
      </c>
      <c r="AV1424" s="25">
        <f>Inventory[[#This Row],[MainFn]]*Lookups!$B$86</f>
        <v>56029.431640518</v>
      </c>
      <c r="AW1424" s="25">
        <f>Inventory[[#This Row],[UpprFn]]*Lookups!$B$87</f>
        <v>0</v>
      </c>
      <c r="AX1424" s="25">
        <f>Inventory[[#This Row],[AddFn]]*Lookups!$B$88</f>
        <v>0</v>
      </c>
      <c r="AY1424" s="25">
        <f>Inventory[[#This Row],[Bsmt]]*Lookups!$B$89</f>
        <v>0</v>
      </c>
      <c r="AZ1424" s="25">
        <f>Inventory[[#This Row],[Fixtures]]*Lookups!$B$90</f>
        <v>18960.110526</v>
      </c>
      <c r="BA1424" s="25">
        <f>Inventory[[#This Row],[WdDeck]]*Lookups!$B$91</f>
        <v>0</v>
      </c>
      <c r="BB1424" s="25">
        <f>ROUND(Inventory[[#This Row],[25Det]],-2)</f>
        <v>8600</v>
      </c>
      <c r="BC1424" s="25">
        <f>ROUND(SUM(Inventory[[#This Row],[Mdl Qlty]:[Mdl WdDeck]])+Inventory[[#This Row],[Mdl Res Intercept]],-2)</f>
        <v>282500</v>
      </c>
      <c r="BD1424" s="25">
        <f>ROUND(Inventory[[#This Row],[Mdl Land Intercept]]+Inventory[[#This Row],[Mdl LnAcres]],-2)</f>
        <v>29800</v>
      </c>
      <c r="BE1424" s="25">
        <f>Inventory[[#This Row],[Unadj Res Value]]+Inventory[[#This Row],[Unadj Det Value]]+Inventory[[#This Row],[Unadj Land Value]]</f>
        <v>320900</v>
      </c>
      <c r="BF1424" s="36">
        <f>(Inventory[[#This Row],[Unadj Total Value]]-Inventory[[#This Row],[24Final]])/Inventory[[#This Row],[24Final]]</f>
        <v>0.10161345691726742</v>
      </c>
      <c r="BG1424" s="25">
        <f>VLOOKUP(Inventory[[#This Row],[Nbhd]],Lookups!$Q$2:$T$4,4,FALSE)</f>
        <v>0.99970000000000003</v>
      </c>
      <c r="BH1424" s="25">
        <f>VLOOKUP(Inventory[[#This Row],[Qlty]],Lookups!$O$7:$R$21,4,FALSE)</f>
        <v>1.0067999999999999</v>
      </c>
      <c r="BI1424" s="25">
        <f>VLOOKUP(Inventory[[#This Row],[Cnd]],Lookups!$T$7:$W$16,4,FALSE)</f>
        <v>0.99650000000000005</v>
      </c>
      <c r="BJ1424" s="25">
        <f>VLOOKUP(Inventory[[#This Row],[LivArea Range]],Lookups!$T$25:$W$37,4,FALSE)</f>
        <v>1.0157</v>
      </c>
      <c r="BK1424" s="25">
        <f>VLOOKUP(Inventory[[#This Row],[Decade]],Lookups!$O$25:$R$42,4,FALSE)</f>
        <v>0.98909999999999998</v>
      </c>
      <c r="BL1424" s="25">
        <f>Inventory[[#This Row],[Nbhd Adj]]*0.95</f>
        <v>0.94971499999999998</v>
      </c>
      <c r="BM1424" s="25">
        <f>Inventory[[#This Row],[Nbhd Adj]]*Inventory[[#This Row],[Quality Adj]]*Inventory[[#This Row],[Condition Adj]]*Inventory[[#This Row],[Living Area Adj]]*Inventory[[#This Row],[Decade Adj]]*0.95</f>
        <v>0.95723696608169473</v>
      </c>
      <c r="BN1424" s="25">
        <f>ROUND(SUM(Inventory[[#This Row],[Mdl Qlty]:[Mdl WdDeck]])+Inventory[[#This Row],[Mdl Res Intercept]]*Inventory[[#This Row],[Res Adj ]],-2)</f>
        <v>282500</v>
      </c>
      <c r="BO1424" s="25">
        <f>ROUND(Inventory[[#This Row],[25Det]]*Inventory[[#This Row],[Det/Nbhd Adj]],-2)</f>
        <v>8200</v>
      </c>
      <c r="BP1424" s="25">
        <f>Inventory[[#This Row],[Adjusted Res]]+Inventory[[#This Row],[Adj Det ]]</f>
        <v>290700</v>
      </c>
      <c r="BQ1424" s="25">
        <f>ROUND((Inventory[[#This Row],[Mdl Land Intercept]]+Inventory[[#This Row],[Mdl LnAcres]])*Inventory[[#This Row],[Det/Nbhd Adj]],-2)</f>
        <v>28300</v>
      </c>
      <c r="BR1424" s="25">
        <f>Inventory[[#This Row],[Adjusted Impr Total]]+Inventory[[#This Row],[Adjusted Land Total]]</f>
        <v>319000</v>
      </c>
      <c r="BS1424" s="36">
        <f>IFERROR((Inventory[[#This Row],[Adjusted Impr Total]]-Inventory[[#This Row],[24Bldg]])/Inventory[[#This Row],[24Bldg]],0)</f>
        <v>0.19678880197612186</v>
      </c>
      <c r="BT1424" s="36">
        <f>(Inventory[[#This Row],[Adjusted Land Total]]-Inventory[[#This Row],[24Lnd]])/Inventory[[#This Row],[24Lnd]]</f>
        <v>-0.41528925619834711</v>
      </c>
      <c r="BU1424" s="36">
        <f>(Inventory[[#This Row],[Adjusted Total]]-Inventory[[#This Row],[24Final]])/Inventory[[#This Row],[24Final]]</f>
        <v>9.5090971507037422E-2</v>
      </c>
    </row>
    <row r="1425" spans="1:73" x14ac:dyDescent="0.3">
      <c r="A1425" s="25">
        <v>2025</v>
      </c>
      <c r="B1425" s="26" t="s">
        <v>2304</v>
      </c>
      <c r="C1425" s="26">
        <f>LN(Inventory[[#This Row],[Acres]])</f>
        <v>-1.6094379124341003</v>
      </c>
      <c r="D1425" s="25">
        <v>0.2</v>
      </c>
      <c r="E1425" s="32">
        <v>8680</v>
      </c>
      <c r="F1425" s="26" t="s">
        <v>537</v>
      </c>
      <c r="G1425" s="26" t="s">
        <v>126</v>
      </c>
      <c r="H1425" s="26" t="s">
        <v>349</v>
      </c>
      <c r="I1425" s="26" t="s">
        <v>538</v>
      </c>
      <c r="J1425" s="26" t="s">
        <v>539</v>
      </c>
      <c r="K1425" s="26" t="s">
        <v>242</v>
      </c>
      <c r="L1425" s="26" t="s">
        <v>351</v>
      </c>
      <c r="M1425" s="26" t="s">
        <v>303</v>
      </c>
      <c r="N1425" s="26">
        <v>90</v>
      </c>
      <c r="O1425" s="26">
        <f>2024-Inventory[[#This Row],[YrBlt]]</f>
        <v>86</v>
      </c>
      <c r="P1425" s="26">
        <f>2024-Inventory[[#This Row],[EffYr]]</f>
        <v>53</v>
      </c>
      <c r="Q1425" s="25">
        <v>1938</v>
      </c>
      <c r="R1425" s="25">
        <v>1971</v>
      </c>
      <c r="S1425" s="25">
        <v>1224</v>
      </c>
      <c r="T1425" s="27"/>
      <c r="U1425" s="25">
        <v>792</v>
      </c>
      <c r="V1425" s="25">
        <f>Inventory[[#This Row],[Bsmt]]-Inventory[[#This Row],[FnBsmt]]</f>
        <v>392</v>
      </c>
      <c r="W1425" s="25">
        <v>400</v>
      </c>
      <c r="X1425" s="27"/>
      <c r="Y1425" s="27">
        <f>Inventory[[#This Row],[MainFn]]+Inventory[[#This Row],[UpprFn]]+Inventory[[#This Row],[FnBsmt]]+Inventory[[#This Row],[AddFn]]</f>
        <v>1624</v>
      </c>
      <c r="Z1425" s="27">
        <v>2000</v>
      </c>
      <c r="AA1425" s="25">
        <v>5</v>
      </c>
      <c r="AB1425" s="27"/>
      <c r="AC1425" s="32">
        <v>432</v>
      </c>
      <c r="AD1425" s="31"/>
      <c r="AE1425" s="27"/>
      <c r="AF1425" s="27"/>
      <c r="AG1425" s="27"/>
      <c r="AH1425" s="27"/>
      <c r="AI1425" s="25">
        <v>271959</v>
      </c>
      <c r="AJ1425" s="25">
        <v>187652</v>
      </c>
      <c r="AK1425" s="25">
        <v>0</v>
      </c>
      <c r="AL1425" s="25">
        <v>318000</v>
      </c>
      <c r="AM1425" s="25">
        <v>58400</v>
      </c>
      <c r="AN1425" s="25">
        <v>259600</v>
      </c>
      <c r="AO1425" s="25">
        <v>0</v>
      </c>
      <c r="AP1425" s="25">
        <f>Lookups!$B$56*0</f>
        <v>0</v>
      </c>
      <c r="AQ1425" s="25">
        <f>Lookups!$B$56*1</f>
        <v>89850.625589999996</v>
      </c>
      <c r="AR1425" s="25">
        <f>Lookups!$B$57*Inventory[[#This Row],[LnAcres]]</f>
        <v>-50946.13867709865</v>
      </c>
      <c r="AS1425" s="25">
        <f>VLOOKUP(Inventory[[#This Row],[Qlty]],Lookups!$A$62:$E$75,2,FALSE)</f>
        <v>21557.329055999999</v>
      </c>
      <c r="AT1425" s="25">
        <f>VLOOKUP(Inventory[[#This Row],[Cnd]],Lookups!$A$76:$E$84,2,FALSE)</f>
        <v>197752.34721000001</v>
      </c>
      <c r="AU1425" s="25">
        <f>Inventory[[#This Row],[EffAge]]*Lookups!$B$85</f>
        <v>-11821.416826500001</v>
      </c>
      <c r="AV1425" s="25">
        <f>Inventory[[#This Row],[MainFn]]*Lookups!$B$86</f>
        <v>60476.211929448</v>
      </c>
      <c r="AW1425" s="25">
        <f>Inventory[[#This Row],[UpprFn]]*Lookups!$B$87</f>
        <v>0</v>
      </c>
      <c r="AX1425" s="25">
        <f>Inventory[[#This Row],[AddFn]]*Lookups!$B$88</f>
        <v>0</v>
      </c>
      <c r="AY1425" s="25">
        <f>Inventory[[#This Row],[Bsmt]]*Lookups!$B$89</f>
        <v>23032.861035623999</v>
      </c>
      <c r="AZ1425" s="25">
        <f>Inventory[[#This Row],[Fixtures]]*Lookups!$B$90</f>
        <v>18960.110526</v>
      </c>
      <c r="BA1425" s="25">
        <f>Inventory[[#This Row],[WdDeck]]*Lookups!$B$91</f>
        <v>0</v>
      </c>
      <c r="BB1425" s="25">
        <f>ROUND(Inventory[[#This Row],[25Det]],-2)</f>
        <v>0</v>
      </c>
      <c r="BC1425" s="25">
        <f>ROUND(SUM(Inventory[[#This Row],[Mdl Qlty]:[Mdl WdDeck]])+Inventory[[#This Row],[Mdl Res Intercept]],-2)</f>
        <v>310000</v>
      </c>
      <c r="BD1425" s="25">
        <f>ROUND(Inventory[[#This Row],[Mdl Land Intercept]]+Inventory[[#This Row],[Mdl LnAcres]],-2)</f>
        <v>38900</v>
      </c>
      <c r="BE1425" s="25">
        <f>Inventory[[#This Row],[Unadj Res Value]]+Inventory[[#This Row],[Unadj Det Value]]+Inventory[[#This Row],[Unadj Land Value]]</f>
        <v>348900</v>
      </c>
      <c r="BF1425" s="36">
        <f>(Inventory[[#This Row],[Unadj Total Value]]-Inventory[[#This Row],[24Final]])/Inventory[[#This Row],[24Final]]</f>
        <v>9.7169811320754723E-2</v>
      </c>
      <c r="BG1425" s="25">
        <f>VLOOKUP(Inventory[[#This Row],[Nbhd]],Lookups!$Q$2:$T$4,4,FALSE)</f>
        <v>0.99970000000000003</v>
      </c>
      <c r="BH1425" s="25">
        <f>VLOOKUP(Inventory[[#This Row],[Qlty]],Lookups!$O$7:$R$21,4,FALSE)</f>
        <v>1.0067999999999999</v>
      </c>
      <c r="BI1425" s="25">
        <f>VLOOKUP(Inventory[[#This Row],[Cnd]],Lookups!$T$7:$W$16,4,FALSE)</f>
        <v>0.99650000000000005</v>
      </c>
      <c r="BJ1425" s="25">
        <f>VLOOKUP(Inventory[[#This Row],[LivArea Range]],Lookups!$T$25:$W$37,4,FALSE)</f>
        <v>1.0093000000000001</v>
      </c>
      <c r="BK1425" s="25">
        <f>VLOOKUP(Inventory[[#This Row],[Decade]],Lookups!$O$25:$R$42,4,FALSE)</f>
        <v>0.98909999999999998</v>
      </c>
      <c r="BL1425" s="25">
        <f>Inventory[[#This Row],[Nbhd Adj]]*0.95</f>
        <v>0.94971499999999998</v>
      </c>
      <c r="BM1425" s="25">
        <f>Inventory[[#This Row],[Nbhd Adj]]*Inventory[[#This Row],[Quality Adj]]*Inventory[[#This Row],[Condition Adj]]*Inventory[[#This Row],[Living Area Adj]]*Inventory[[#This Row],[Decade Adj]]*0.95</f>
        <v>0.95120534593507355</v>
      </c>
      <c r="BN1425" s="25">
        <f>ROUND(SUM(Inventory[[#This Row],[Mdl Qlty]:[Mdl WdDeck]])+Inventory[[#This Row],[Mdl Res Intercept]]*Inventory[[#This Row],[Res Adj ]],-2)</f>
        <v>310000</v>
      </c>
      <c r="BO1425" s="25">
        <f>ROUND(Inventory[[#This Row],[25Det]]*Inventory[[#This Row],[Det/Nbhd Adj]],-2)</f>
        <v>0</v>
      </c>
      <c r="BP1425" s="25">
        <f>Inventory[[#This Row],[Adjusted Res]]+Inventory[[#This Row],[Adj Det ]]</f>
        <v>310000</v>
      </c>
      <c r="BQ1425" s="25">
        <f>ROUND((Inventory[[#This Row],[Mdl Land Intercept]]+Inventory[[#This Row],[Mdl LnAcres]])*Inventory[[#This Row],[Det/Nbhd Adj]],-2)</f>
        <v>36900</v>
      </c>
      <c r="BR1425" s="25">
        <f>Inventory[[#This Row],[Adjusted Impr Total]]+Inventory[[#This Row],[Adjusted Land Total]]</f>
        <v>346900</v>
      </c>
      <c r="BS1425" s="36">
        <f>IFERROR((Inventory[[#This Row],[Adjusted Impr Total]]-Inventory[[#This Row],[24Bldg]])/Inventory[[#This Row],[24Bldg]],0)</f>
        <v>0.19414483821263481</v>
      </c>
      <c r="BT1425" s="36">
        <f>(Inventory[[#This Row],[Adjusted Land Total]]-Inventory[[#This Row],[24Lnd]])/Inventory[[#This Row],[24Lnd]]</f>
        <v>-0.36815068493150682</v>
      </c>
      <c r="BU1425" s="36">
        <f>(Inventory[[#This Row],[Adjusted Total]]-Inventory[[#This Row],[24Final]])/Inventory[[#This Row],[24Final]]</f>
        <v>9.0880503144654082E-2</v>
      </c>
    </row>
    <row r="1426" spans="1:73" x14ac:dyDescent="0.3">
      <c r="A1426" s="25">
        <v>2025</v>
      </c>
      <c r="B1426" s="26" t="s">
        <v>2434</v>
      </c>
      <c r="C1426" s="26">
        <f>LN(Inventory[[#This Row],[Acres]])</f>
        <v>-1.9661128563728327</v>
      </c>
      <c r="D1426" s="25">
        <v>0.14000000000000001</v>
      </c>
      <c r="E1426" s="27"/>
      <c r="F1426" s="26" t="s">
        <v>537</v>
      </c>
      <c r="G1426" s="26" t="s">
        <v>126</v>
      </c>
      <c r="H1426" s="26" t="s">
        <v>349</v>
      </c>
      <c r="I1426" s="26" t="s">
        <v>538</v>
      </c>
      <c r="J1426" s="26" t="s">
        <v>539</v>
      </c>
      <c r="K1426" s="26" t="s">
        <v>173</v>
      </c>
      <c r="L1426" s="26" t="s">
        <v>148</v>
      </c>
      <c r="M1426" s="26" t="s">
        <v>323</v>
      </c>
      <c r="N1426" s="26">
        <v>90</v>
      </c>
      <c r="O1426" s="26">
        <f>2024-Inventory[[#This Row],[YrBlt]]</f>
        <v>86</v>
      </c>
      <c r="P1426" s="26">
        <f>2024-Inventory[[#This Row],[EffYr]]</f>
        <v>53</v>
      </c>
      <c r="Q1426" s="25">
        <v>1938</v>
      </c>
      <c r="R1426" s="25">
        <v>1971</v>
      </c>
      <c r="S1426" s="25">
        <v>1120</v>
      </c>
      <c r="T1426" s="32">
        <v>560</v>
      </c>
      <c r="U1426" s="25">
        <v>1120</v>
      </c>
      <c r="V1426" s="25">
        <f>Inventory[[#This Row],[Bsmt]]-Inventory[[#This Row],[FnBsmt]]</f>
        <v>1120</v>
      </c>
      <c r="W1426" s="25">
        <v>0</v>
      </c>
      <c r="X1426" s="27"/>
      <c r="Y1426" s="27">
        <f>Inventory[[#This Row],[MainFn]]+Inventory[[#This Row],[UpprFn]]+Inventory[[#This Row],[FnBsmt]]+Inventory[[#This Row],[AddFn]]</f>
        <v>1680</v>
      </c>
      <c r="Z1426" s="27">
        <v>2000</v>
      </c>
      <c r="AA1426" s="25">
        <v>12</v>
      </c>
      <c r="AB1426" s="27"/>
      <c r="AC1426" s="27"/>
      <c r="AD1426" s="27"/>
      <c r="AE1426" s="27"/>
      <c r="AF1426" s="27"/>
      <c r="AG1426" s="27"/>
      <c r="AH1426" s="27"/>
      <c r="AI1426" s="25">
        <v>439982</v>
      </c>
      <c r="AJ1426" s="25">
        <v>294788</v>
      </c>
      <c r="AK1426" s="25">
        <v>15104</v>
      </c>
      <c r="AL1426" s="25">
        <v>360700</v>
      </c>
      <c r="AM1426" s="25">
        <v>46000</v>
      </c>
      <c r="AN1426" s="25">
        <v>314700</v>
      </c>
      <c r="AO1426" s="25">
        <v>0</v>
      </c>
      <c r="AP1426" s="25">
        <f>Lookups!$B$56*0</f>
        <v>0</v>
      </c>
      <c r="AQ1426" s="25">
        <f>Lookups!$B$56*1</f>
        <v>89850.625589999996</v>
      </c>
      <c r="AR1426" s="25">
        <f>Lookups!$B$57*Inventory[[#This Row],[LnAcres]]</f>
        <v>-62236.546971921947</v>
      </c>
      <c r="AS1426" s="25">
        <f>VLOOKUP(Inventory[[#This Row],[Qlty]],Lookups!$A$62:$E$75,2,FALSE)</f>
        <v>44121.038090000002</v>
      </c>
      <c r="AT1426" s="25">
        <f>VLOOKUP(Inventory[[#This Row],[Cnd]],Lookups!$A$76:$E$84,2,FALSE)</f>
        <v>160472.20319</v>
      </c>
      <c r="AU1426" s="25">
        <f>Inventory[[#This Row],[EffAge]]*Lookups!$B$85</f>
        <v>-11821.416826500001</v>
      </c>
      <c r="AV1426" s="25">
        <f>Inventory[[#This Row],[MainFn]]*Lookups!$B$86</f>
        <v>55337.710262239998</v>
      </c>
      <c r="AW1426" s="25">
        <f>Inventory[[#This Row],[UpprFn]]*Lookups!$B$87</f>
        <v>25080.396802159998</v>
      </c>
      <c r="AX1426" s="25">
        <f>Inventory[[#This Row],[AddFn]]*Lookups!$B$88</f>
        <v>0</v>
      </c>
      <c r="AY1426" s="25">
        <f>Inventory[[#This Row],[Bsmt]]*Lookups!$B$89</f>
        <v>32571.722676639998</v>
      </c>
      <c r="AZ1426" s="25">
        <f>Inventory[[#This Row],[Fixtures]]*Lookups!$B$90</f>
        <v>45504.265262400004</v>
      </c>
      <c r="BA1426" s="25">
        <f>Inventory[[#This Row],[WdDeck]]*Lookups!$B$91</f>
        <v>0</v>
      </c>
      <c r="BB1426" s="25">
        <f>ROUND(Inventory[[#This Row],[25Det]],-2)</f>
        <v>15100</v>
      </c>
      <c r="BC1426" s="25">
        <f>ROUND(SUM(Inventory[[#This Row],[Mdl Qlty]:[Mdl WdDeck]])+Inventory[[#This Row],[Mdl Res Intercept]],-2)</f>
        <v>351300</v>
      </c>
      <c r="BD1426" s="25">
        <f>ROUND(Inventory[[#This Row],[Mdl Land Intercept]]+Inventory[[#This Row],[Mdl LnAcres]],-2)</f>
        <v>27600</v>
      </c>
      <c r="BE1426" s="25">
        <f>Inventory[[#This Row],[Unadj Res Value]]+Inventory[[#This Row],[Unadj Det Value]]+Inventory[[#This Row],[Unadj Land Value]]</f>
        <v>394000</v>
      </c>
      <c r="BF1426" s="36">
        <f>(Inventory[[#This Row],[Unadj Total Value]]-Inventory[[#This Row],[24Final]])/Inventory[[#This Row],[24Final]]</f>
        <v>9.2320487940116436E-2</v>
      </c>
      <c r="BG1426" s="25">
        <f>VLOOKUP(Inventory[[#This Row],[Nbhd]],Lookups!$Q$2:$T$4,4,FALSE)</f>
        <v>0.99970000000000003</v>
      </c>
      <c r="BH1426" s="25">
        <f>VLOOKUP(Inventory[[#This Row],[Qlty]],Lookups!$O$7:$R$21,4,FALSE)</f>
        <v>0.98050000000000004</v>
      </c>
      <c r="BI1426" s="25">
        <f>VLOOKUP(Inventory[[#This Row],[Cnd]],Lookups!$T$7:$W$16,4,FALSE)</f>
        <v>0.99729999999999996</v>
      </c>
      <c r="BJ1426" s="25">
        <f>VLOOKUP(Inventory[[#This Row],[LivArea Range]],Lookups!$T$25:$W$37,4,FALSE)</f>
        <v>1.0093000000000001</v>
      </c>
      <c r="BK1426" s="25">
        <f>VLOOKUP(Inventory[[#This Row],[Decade]],Lookups!$O$25:$R$42,4,FALSE)</f>
        <v>0.98909999999999998</v>
      </c>
      <c r="BL1426" s="25">
        <f>Inventory[[#This Row],[Nbhd Adj]]*0.95</f>
        <v>0.94971499999999998</v>
      </c>
      <c r="BM1426" s="25">
        <f>Inventory[[#This Row],[Nbhd Adj]]*Inventory[[#This Row],[Quality Adj]]*Inventory[[#This Row],[Condition Adj]]*Inventory[[#This Row],[Living Area Adj]]*Inventory[[#This Row],[Decade Adj]]*0.95</f>
        <v>0.92710129894118753</v>
      </c>
      <c r="BN1426" s="25">
        <f>ROUND(SUM(Inventory[[#This Row],[Mdl Qlty]:[Mdl WdDeck]])+Inventory[[#This Row],[Mdl Res Intercept]]*Inventory[[#This Row],[Res Adj ]],-2)</f>
        <v>351300</v>
      </c>
      <c r="BO1426" s="25">
        <f>ROUND(Inventory[[#This Row],[25Det]]*Inventory[[#This Row],[Det/Nbhd Adj]],-2)</f>
        <v>14300</v>
      </c>
      <c r="BP1426" s="25">
        <f>Inventory[[#This Row],[Adjusted Res]]+Inventory[[#This Row],[Adj Det ]]</f>
        <v>365600</v>
      </c>
      <c r="BQ1426" s="25">
        <f>ROUND((Inventory[[#This Row],[Mdl Land Intercept]]+Inventory[[#This Row],[Mdl LnAcres]])*Inventory[[#This Row],[Det/Nbhd Adj]],-2)</f>
        <v>26200</v>
      </c>
      <c r="BR1426" s="25">
        <f>Inventory[[#This Row],[Adjusted Impr Total]]+Inventory[[#This Row],[Adjusted Land Total]]</f>
        <v>391800</v>
      </c>
      <c r="BS1426" s="36">
        <f>IFERROR((Inventory[[#This Row],[Adjusted Impr Total]]-Inventory[[#This Row],[24Bldg]])/Inventory[[#This Row],[24Bldg]],0)</f>
        <v>0.1617413409596441</v>
      </c>
      <c r="BT1426" s="36">
        <f>(Inventory[[#This Row],[Adjusted Land Total]]-Inventory[[#This Row],[24Lnd]])/Inventory[[#This Row],[24Lnd]]</f>
        <v>-0.43043478260869567</v>
      </c>
      <c r="BU1426" s="36">
        <f>(Inventory[[#This Row],[Adjusted Total]]-Inventory[[#This Row],[24Final]])/Inventory[[#This Row],[24Final]]</f>
        <v>8.6221236484613245E-2</v>
      </c>
    </row>
    <row r="1427" spans="1:73" x14ac:dyDescent="0.3">
      <c r="A1427" s="25">
        <v>2025</v>
      </c>
      <c r="B1427" s="26" t="s">
        <v>738</v>
      </c>
      <c r="C1427" s="26">
        <f>LN(Inventory[[#This Row],[Acres]])</f>
        <v>-1.7147984280919266</v>
      </c>
      <c r="D1427" s="25">
        <v>0.18</v>
      </c>
      <c r="E1427" s="32">
        <v>7750</v>
      </c>
      <c r="F1427" s="26" t="s">
        <v>537</v>
      </c>
      <c r="G1427" s="26" t="s">
        <v>126</v>
      </c>
      <c r="H1427" s="26" t="s">
        <v>349</v>
      </c>
      <c r="I1427" s="26" t="s">
        <v>538</v>
      </c>
      <c r="J1427" s="26" t="s">
        <v>539</v>
      </c>
      <c r="K1427" s="26" t="s">
        <v>242</v>
      </c>
      <c r="L1427" s="26" t="s">
        <v>351</v>
      </c>
      <c r="M1427" s="26" t="s">
        <v>303</v>
      </c>
      <c r="N1427" s="26">
        <v>90</v>
      </c>
      <c r="O1427" s="26">
        <f>2024-Inventory[[#This Row],[YrBlt]]</f>
        <v>86</v>
      </c>
      <c r="P1427" s="26">
        <f>2024-Inventory[[#This Row],[EffYr]]</f>
        <v>43</v>
      </c>
      <c r="Q1427" s="25">
        <v>1938</v>
      </c>
      <c r="R1427" s="25">
        <v>1981</v>
      </c>
      <c r="S1427" s="25">
        <v>929</v>
      </c>
      <c r="T1427" s="27"/>
      <c r="U1427" s="25">
        <v>896</v>
      </c>
      <c r="V1427" s="25">
        <f>Inventory[[#This Row],[Bsmt]]-Inventory[[#This Row],[FnBsmt]]</f>
        <v>150</v>
      </c>
      <c r="W1427" s="25">
        <v>746</v>
      </c>
      <c r="X1427" s="27"/>
      <c r="Y1427" s="27">
        <f>Inventory[[#This Row],[MainFn]]+Inventory[[#This Row],[UpprFn]]+Inventory[[#This Row],[FnBsmt]]+Inventory[[#This Row],[AddFn]]</f>
        <v>1675</v>
      </c>
      <c r="Z1427" s="27">
        <v>2000</v>
      </c>
      <c r="AA1427" s="25">
        <v>8</v>
      </c>
      <c r="AB1427" s="27"/>
      <c r="AC1427" s="27"/>
      <c r="AD1427" s="27"/>
      <c r="AE1427" s="27"/>
      <c r="AF1427" s="27"/>
      <c r="AG1427" s="27"/>
      <c r="AH1427" s="27"/>
      <c r="AI1427" s="25">
        <v>224527</v>
      </c>
      <c r="AJ1427" s="25">
        <v>177376</v>
      </c>
      <c r="AK1427" s="25">
        <v>5261</v>
      </c>
      <c r="AL1427" s="25">
        <v>323700</v>
      </c>
      <c r="AM1427" s="25">
        <v>54700</v>
      </c>
      <c r="AN1427" s="25">
        <v>269000</v>
      </c>
      <c r="AO1427" s="25">
        <v>0</v>
      </c>
      <c r="AP1427" s="25">
        <f>Lookups!$B$56*0</f>
        <v>0</v>
      </c>
      <c r="AQ1427" s="25">
        <f>Lookups!$B$56*1</f>
        <v>89850.625589999996</v>
      </c>
      <c r="AR1427" s="25">
        <f>Lookups!$B$57*Inventory[[#This Row],[LnAcres]]</f>
        <v>-54281.285314520763</v>
      </c>
      <c r="AS1427" s="25">
        <f>VLOOKUP(Inventory[[#This Row],[Qlty]],Lookups!$A$62:$E$75,2,FALSE)</f>
        <v>21557.329055999999</v>
      </c>
      <c r="AT1427" s="25">
        <f>VLOOKUP(Inventory[[#This Row],[Cnd]],Lookups!$A$76:$E$84,2,FALSE)</f>
        <v>197752.34721000001</v>
      </c>
      <c r="AU1427" s="25">
        <f>Inventory[[#This Row],[EffAge]]*Lookups!$B$85</f>
        <v>-9590.9608215000007</v>
      </c>
      <c r="AV1427" s="25">
        <f>Inventory[[#This Row],[MainFn]]*Lookups!$B$86</f>
        <v>45900.654315733002</v>
      </c>
      <c r="AW1427" s="25">
        <f>Inventory[[#This Row],[UpprFn]]*Lookups!$B$87</f>
        <v>0</v>
      </c>
      <c r="AX1427" s="25">
        <f>Inventory[[#This Row],[AddFn]]*Lookups!$B$88</f>
        <v>0</v>
      </c>
      <c r="AY1427" s="25">
        <f>Inventory[[#This Row],[Bsmt]]*Lookups!$B$89</f>
        <v>26057.378141311998</v>
      </c>
      <c r="AZ1427" s="25">
        <f>Inventory[[#This Row],[Fixtures]]*Lookups!$B$90</f>
        <v>30336.176841600001</v>
      </c>
      <c r="BA1427" s="25">
        <f>Inventory[[#This Row],[WdDeck]]*Lookups!$B$91</f>
        <v>0</v>
      </c>
      <c r="BB1427" s="25">
        <f>ROUND(Inventory[[#This Row],[25Det]],-2)</f>
        <v>5300</v>
      </c>
      <c r="BC1427" s="25">
        <f>ROUND(SUM(Inventory[[#This Row],[Mdl Qlty]:[Mdl WdDeck]])+Inventory[[#This Row],[Mdl Res Intercept]],-2)</f>
        <v>312000</v>
      </c>
      <c r="BD1427" s="25">
        <f>ROUND(Inventory[[#This Row],[Mdl Land Intercept]]+Inventory[[#This Row],[Mdl LnAcres]],-2)</f>
        <v>35600</v>
      </c>
      <c r="BE1427" s="25">
        <f>Inventory[[#This Row],[Unadj Res Value]]+Inventory[[#This Row],[Unadj Det Value]]+Inventory[[#This Row],[Unadj Land Value]]</f>
        <v>352900</v>
      </c>
      <c r="BF1427" s="36">
        <f>(Inventory[[#This Row],[Unadj Total Value]]-Inventory[[#This Row],[24Final]])/Inventory[[#This Row],[24Final]]</f>
        <v>9.0206981773246833E-2</v>
      </c>
      <c r="BG1427" s="25">
        <f>VLOOKUP(Inventory[[#This Row],[Nbhd]],Lookups!$Q$2:$T$4,4,FALSE)</f>
        <v>0.99970000000000003</v>
      </c>
      <c r="BH1427" s="25">
        <f>VLOOKUP(Inventory[[#This Row],[Qlty]],Lookups!$O$7:$R$21,4,FALSE)</f>
        <v>1.0067999999999999</v>
      </c>
      <c r="BI1427" s="25">
        <f>VLOOKUP(Inventory[[#This Row],[Cnd]],Lookups!$T$7:$W$16,4,FALSE)</f>
        <v>0.99650000000000005</v>
      </c>
      <c r="BJ1427" s="25">
        <f>VLOOKUP(Inventory[[#This Row],[LivArea Range]],Lookups!$T$25:$W$37,4,FALSE)</f>
        <v>1.0093000000000001</v>
      </c>
      <c r="BK1427" s="25">
        <f>VLOOKUP(Inventory[[#This Row],[Decade]],Lookups!$O$25:$R$42,4,FALSE)</f>
        <v>0.98909999999999998</v>
      </c>
      <c r="BL1427" s="25">
        <f>Inventory[[#This Row],[Nbhd Adj]]*0.95</f>
        <v>0.94971499999999998</v>
      </c>
      <c r="BM1427" s="25">
        <f>Inventory[[#This Row],[Nbhd Adj]]*Inventory[[#This Row],[Quality Adj]]*Inventory[[#This Row],[Condition Adj]]*Inventory[[#This Row],[Living Area Adj]]*Inventory[[#This Row],[Decade Adj]]*0.95</f>
        <v>0.95120534593507355</v>
      </c>
      <c r="BN1427" s="25">
        <f>ROUND(SUM(Inventory[[#This Row],[Mdl Qlty]:[Mdl WdDeck]])+Inventory[[#This Row],[Mdl Res Intercept]]*Inventory[[#This Row],[Res Adj ]],-2)</f>
        <v>312000</v>
      </c>
      <c r="BO1427" s="25">
        <f>ROUND(Inventory[[#This Row],[25Det]]*Inventory[[#This Row],[Det/Nbhd Adj]],-2)</f>
        <v>5000</v>
      </c>
      <c r="BP1427" s="25">
        <f>Inventory[[#This Row],[Adjusted Res]]+Inventory[[#This Row],[Adj Det ]]</f>
        <v>317000</v>
      </c>
      <c r="BQ1427" s="25">
        <f>ROUND((Inventory[[#This Row],[Mdl Land Intercept]]+Inventory[[#This Row],[Mdl LnAcres]])*Inventory[[#This Row],[Det/Nbhd Adj]],-2)</f>
        <v>33800</v>
      </c>
      <c r="BR1427" s="25">
        <f>Inventory[[#This Row],[Adjusted Impr Total]]+Inventory[[#This Row],[Adjusted Land Total]]</f>
        <v>350800</v>
      </c>
      <c r="BS1427" s="36">
        <f>IFERROR((Inventory[[#This Row],[Adjusted Impr Total]]-Inventory[[#This Row],[24Bldg]])/Inventory[[#This Row],[24Bldg]],0)</f>
        <v>0.17843866171003717</v>
      </c>
      <c r="BT1427" s="36">
        <f>(Inventory[[#This Row],[Adjusted Land Total]]-Inventory[[#This Row],[24Lnd]])/Inventory[[#This Row],[24Lnd]]</f>
        <v>-0.38208409506398539</v>
      </c>
      <c r="BU1427" s="36">
        <f>(Inventory[[#This Row],[Adjusted Total]]-Inventory[[#This Row],[24Final]])/Inventory[[#This Row],[24Final]]</f>
        <v>8.371949335804757E-2</v>
      </c>
    </row>
    <row r="1428" spans="1:73" x14ac:dyDescent="0.3">
      <c r="A1428" s="25">
        <v>2025</v>
      </c>
      <c r="B1428" s="26" t="s">
        <v>739</v>
      </c>
      <c r="C1428" s="26">
        <f>LN(Inventory[[#This Row],[Acres]])</f>
        <v>-1.6607312068216509</v>
      </c>
      <c r="D1428" s="25">
        <v>0.19</v>
      </c>
      <c r="E1428" s="32">
        <v>8068</v>
      </c>
      <c r="F1428" s="26" t="s">
        <v>537</v>
      </c>
      <c r="G1428" s="26" t="s">
        <v>126</v>
      </c>
      <c r="H1428" s="26" t="s">
        <v>349</v>
      </c>
      <c r="I1428" s="26" t="s">
        <v>538</v>
      </c>
      <c r="J1428" s="26" t="s">
        <v>539</v>
      </c>
      <c r="K1428" s="26" t="s">
        <v>242</v>
      </c>
      <c r="L1428" s="26" t="s">
        <v>205</v>
      </c>
      <c r="M1428" s="26" t="s">
        <v>303</v>
      </c>
      <c r="N1428" s="26">
        <v>90</v>
      </c>
      <c r="O1428" s="26">
        <f>2024-Inventory[[#This Row],[YrBlt]]</f>
        <v>86</v>
      </c>
      <c r="P1428" s="26">
        <f>2024-Inventory[[#This Row],[EffYr]]</f>
        <v>53</v>
      </c>
      <c r="Q1428" s="25">
        <v>1938</v>
      </c>
      <c r="R1428" s="25">
        <v>1971</v>
      </c>
      <c r="S1428" s="25">
        <v>840</v>
      </c>
      <c r="T1428" s="27"/>
      <c r="U1428" s="25">
        <v>840</v>
      </c>
      <c r="V1428" s="32">
        <f>Inventory[[#This Row],[Bsmt]]-Inventory[[#This Row],[FnBsmt]]</f>
        <v>420</v>
      </c>
      <c r="W1428" s="32">
        <v>420</v>
      </c>
      <c r="X1428" s="27"/>
      <c r="Y1428" s="27">
        <f>Inventory[[#This Row],[MainFn]]+Inventory[[#This Row],[UpprFn]]+Inventory[[#This Row],[FnBsmt]]+Inventory[[#This Row],[AddFn]]</f>
        <v>1260</v>
      </c>
      <c r="Z1428" s="27">
        <v>1500</v>
      </c>
      <c r="AA1428" s="25">
        <v>5</v>
      </c>
      <c r="AB1428" s="27"/>
      <c r="AC1428" s="27"/>
      <c r="AD1428" s="32">
        <v>24</v>
      </c>
      <c r="AE1428" s="27"/>
      <c r="AF1428" s="27"/>
      <c r="AG1428" s="27"/>
      <c r="AH1428" s="27"/>
      <c r="AI1428" s="25">
        <v>192067</v>
      </c>
      <c r="AJ1428" s="25">
        <v>132526</v>
      </c>
      <c r="AK1428" s="25">
        <v>6708</v>
      </c>
      <c r="AL1428" s="25">
        <v>289400</v>
      </c>
      <c r="AM1428" s="25">
        <v>56600</v>
      </c>
      <c r="AN1428" s="25">
        <v>232800</v>
      </c>
      <c r="AO1428" s="25">
        <v>0</v>
      </c>
      <c r="AP1428" s="25">
        <f>Lookups!$B$56*0</f>
        <v>0</v>
      </c>
      <c r="AQ1428" s="25">
        <f>Lookups!$B$56*1</f>
        <v>89850.625589999996</v>
      </c>
      <c r="AR1428" s="25">
        <f>Lookups!$B$57*Inventory[[#This Row],[LnAcres]]</f>
        <v>-52569.808201026557</v>
      </c>
      <c r="AS1428" s="25">
        <f>VLOOKUP(Inventory[[#This Row],[Qlty]],Lookups!$A$62:$E$75,2,FALSE)</f>
        <v>0</v>
      </c>
      <c r="AT1428" s="25">
        <f>VLOOKUP(Inventory[[#This Row],[Cnd]],Lookups!$A$76:$E$84,2,FALSE)</f>
        <v>197752.34721000001</v>
      </c>
      <c r="AU1428" s="25">
        <f>Inventory[[#This Row],[EffAge]]*Lookups!$B$85</f>
        <v>-11821.416826500001</v>
      </c>
      <c r="AV1428" s="25">
        <f>Inventory[[#This Row],[MainFn]]*Lookups!$B$86</f>
        <v>41503.282696679998</v>
      </c>
      <c r="AW1428" s="25">
        <f>Inventory[[#This Row],[UpprFn]]*Lookups!$B$87</f>
        <v>0</v>
      </c>
      <c r="AX1428" s="25">
        <f>Inventory[[#This Row],[AddFn]]*Lookups!$B$88</f>
        <v>0</v>
      </c>
      <c r="AY1428" s="25">
        <f>Inventory[[#This Row],[Bsmt]]*Lookups!$B$89</f>
        <v>24428.792007479999</v>
      </c>
      <c r="AZ1428" s="25">
        <f>Inventory[[#This Row],[Fixtures]]*Lookups!$B$90</f>
        <v>18960.110526</v>
      </c>
      <c r="BA1428" s="25">
        <f>Inventory[[#This Row],[WdDeck]]*Lookups!$B$91</f>
        <v>799.09236662400008</v>
      </c>
      <c r="BB1428" s="25">
        <f>ROUND(Inventory[[#This Row],[25Det]],-2)</f>
        <v>6700</v>
      </c>
      <c r="BC1428" s="25">
        <f>ROUND(SUM(Inventory[[#This Row],[Mdl Qlty]:[Mdl WdDeck]])+Inventory[[#This Row],[Mdl Res Intercept]],-2)</f>
        <v>271600</v>
      </c>
      <c r="BD1428" s="25">
        <f>ROUND(Inventory[[#This Row],[Mdl Land Intercept]]+Inventory[[#This Row],[Mdl LnAcres]],-2)</f>
        <v>37300</v>
      </c>
      <c r="BE1428" s="25">
        <f>Inventory[[#This Row],[Unadj Res Value]]+Inventory[[#This Row],[Unadj Det Value]]+Inventory[[#This Row],[Unadj Land Value]]</f>
        <v>315600</v>
      </c>
      <c r="BF1428" s="36">
        <f>(Inventory[[#This Row],[Unadj Total Value]]-Inventory[[#This Row],[24Final]])/Inventory[[#This Row],[24Final]]</f>
        <v>9.0532135452660673E-2</v>
      </c>
      <c r="BG1428" s="25">
        <f>VLOOKUP(Inventory[[#This Row],[Nbhd]],Lookups!$Q$2:$T$4,4,FALSE)</f>
        <v>0.99970000000000003</v>
      </c>
      <c r="BH1428" s="25">
        <f>VLOOKUP(Inventory[[#This Row],[Qlty]],Lookups!$O$7:$R$21,4,FALSE)</f>
        <v>0.99180000000000001</v>
      </c>
      <c r="BI1428" s="25">
        <f>VLOOKUP(Inventory[[#This Row],[Cnd]],Lookups!$T$7:$W$16,4,FALSE)</f>
        <v>0.99650000000000005</v>
      </c>
      <c r="BJ1428" s="25">
        <f>VLOOKUP(Inventory[[#This Row],[LivArea Range]],Lookups!$T$25:$W$37,4,FALSE)</f>
        <v>1.0157</v>
      </c>
      <c r="BK1428" s="25">
        <f>VLOOKUP(Inventory[[#This Row],[Decade]],Lookups!$O$25:$R$42,4,FALSE)</f>
        <v>0.98909999999999998</v>
      </c>
      <c r="BL1428" s="25">
        <f>Inventory[[#This Row],[Nbhd Adj]]*0.95</f>
        <v>0.94971499999999998</v>
      </c>
      <c r="BM1428" s="25">
        <f>Inventory[[#This Row],[Nbhd Adj]]*Inventory[[#This Row],[Quality Adj]]*Inventory[[#This Row],[Condition Adj]]*Inventory[[#This Row],[Living Area Adj]]*Inventory[[#This Row],[Decade Adj]]*0.95</f>
        <v>0.94297539030574595</v>
      </c>
      <c r="BN1428" s="25">
        <f>ROUND(SUM(Inventory[[#This Row],[Mdl Qlty]:[Mdl WdDeck]])+Inventory[[#This Row],[Mdl Res Intercept]]*Inventory[[#This Row],[Res Adj ]],-2)</f>
        <v>271600</v>
      </c>
      <c r="BO1428" s="25">
        <f>ROUND(Inventory[[#This Row],[25Det]]*Inventory[[#This Row],[Det/Nbhd Adj]],-2)</f>
        <v>6400</v>
      </c>
      <c r="BP1428" s="25">
        <f>Inventory[[#This Row],[Adjusted Res]]+Inventory[[#This Row],[Adj Det ]]</f>
        <v>278000</v>
      </c>
      <c r="BQ1428" s="25">
        <f>ROUND((Inventory[[#This Row],[Mdl Land Intercept]]+Inventory[[#This Row],[Mdl LnAcres]])*Inventory[[#This Row],[Det/Nbhd Adj]],-2)</f>
        <v>35400</v>
      </c>
      <c r="BR1428" s="25">
        <f>Inventory[[#This Row],[Adjusted Impr Total]]+Inventory[[#This Row],[Adjusted Land Total]]</f>
        <v>313400</v>
      </c>
      <c r="BS1428" s="36">
        <f>IFERROR((Inventory[[#This Row],[Adjusted Impr Total]]-Inventory[[#This Row],[24Bldg]])/Inventory[[#This Row],[24Bldg]],0)</f>
        <v>0.19415807560137457</v>
      </c>
      <c r="BT1428" s="36">
        <f>(Inventory[[#This Row],[Adjusted Land Total]]-Inventory[[#This Row],[24Lnd]])/Inventory[[#This Row],[24Lnd]]</f>
        <v>-0.37455830388692579</v>
      </c>
      <c r="BU1428" s="36">
        <f>(Inventory[[#This Row],[Adjusted Total]]-Inventory[[#This Row],[24Final]])/Inventory[[#This Row],[24Final]]</f>
        <v>8.2930200414651004E-2</v>
      </c>
    </row>
    <row r="1429" spans="1:73" x14ac:dyDescent="0.3">
      <c r="A1429" s="25">
        <v>2025</v>
      </c>
      <c r="B1429" s="26" t="s">
        <v>2272</v>
      </c>
      <c r="C1429" s="26">
        <f>LN(Inventory[[#This Row],[Acres]])</f>
        <v>-1.8971199848858813</v>
      </c>
      <c r="D1429" s="25">
        <v>0.15</v>
      </c>
      <c r="E1429" s="27"/>
      <c r="F1429" s="26" t="s">
        <v>537</v>
      </c>
      <c r="G1429" s="26" t="s">
        <v>126</v>
      </c>
      <c r="H1429" s="26" t="s">
        <v>349</v>
      </c>
      <c r="I1429" s="26" t="s">
        <v>538</v>
      </c>
      <c r="J1429" s="26" t="s">
        <v>539</v>
      </c>
      <c r="K1429" s="26" t="s">
        <v>242</v>
      </c>
      <c r="L1429" s="26" t="s">
        <v>351</v>
      </c>
      <c r="M1429" s="26" t="s">
        <v>323</v>
      </c>
      <c r="N1429" s="26">
        <v>90</v>
      </c>
      <c r="O1429" s="26">
        <f>2024-Inventory[[#This Row],[YrBlt]]</f>
        <v>86</v>
      </c>
      <c r="P1429" s="26">
        <f>2024-Inventory[[#This Row],[EffYr]]</f>
        <v>53</v>
      </c>
      <c r="Q1429" s="25">
        <v>1938</v>
      </c>
      <c r="R1429" s="25">
        <v>1971</v>
      </c>
      <c r="S1429" s="25">
        <v>994</v>
      </c>
      <c r="T1429" s="27"/>
      <c r="U1429" s="25">
        <v>624</v>
      </c>
      <c r="V1429" s="32">
        <f>Inventory[[#This Row],[Bsmt]]-Inventory[[#This Row],[FnBsmt]]</f>
        <v>624</v>
      </c>
      <c r="W1429" s="27"/>
      <c r="X1429" s="27"/>
      <c r="Y1429" s="27">
        <f>Inventory[[#This Row],[MainFn]]+Inventory[[#This Row],[UpprFn]]+Inventory[[#This Row],[FnBsmt]]+Inventory[[#This Row],[AddFn]]</f>
        <v>994</v>
      </c>
      <c r="Z1429" s="27">
        <v>1000</v>
      </c>
      <c r="AA1429" s="25">
        <v>5</v>
      </c>
      <c r="AB1429" s="27"/>
      <c r="AC1429" s="27"/>
      <c r="AD1429" s="27"/>
      <c r="AE1429" s="27"/>
      <c r="AF1429" s="27"/>
      <c r="AG1429" s="27"/>
      <c r="AH1429" s="27"/>
      <c r="AI1429" s="25">
        <v>187012</v>
      </c>
      <c r="AJ1429" s="25">
        <v>125298</v>
      </c>
      <c r="AK1429" s="25">
        <v>4877</v>
      </c>
      <c r="AL1429" s="25">
        <v>267300</v>
      </c>
      <c r="AM1429" s="25">
        <v>48400</v>
      </c>
      <c r="AN1429" s="25">
        <v>218900</v>
      </c>
      <c r="AO1429" s="25">
        <v>0</v>
      </c>
      <c r="AP1429" s="25">
        <f>Lookups!$B$56*0</f>
        <v>0</v>
      </c>
      <c r="AQ1429" s="25">
        <f>Lookups!$B$56*1</f>
        <v>89850.625589999996</v>
      </c>
      <c r="AR1429" s="25">
        <f>Lookups!$B$57*Inventory[[#This Row],[LnAcres]]</f>
        <v>-60052.604136134301</v>
      </c>
      <c r="AS1429" s="25">
        <f>VLOOKUP(Inventory[[#This Row],[Qlty]],Lookups!$A$62:$E$75,2,FALSE)</f>
        <v>21557.329055999999</v>
      </c>
      <c r="AT1429" s="25">
        <f>VLOOKUP(Inventory[[#This Row],[Cnd]],Lookups!$A$76:$E$84,2,FALSE)</f>
        <v>160472.20319</v>
      </c>
      <c r="AU1429" s="25">
        <f>Inventory[[#This Row],[EffAge]]*Lookups!$B$85</f>
        <v>-11821.416826500001</v>
      </c>
      <c r="AV1429" s="25">
        <f>Inventory[[#This Row],[MainFn]]*Lookups!$B$86</f>
        <v>49112.217857738004</v>
      </c>
      <c r="AW1429" s="25">
        <f>Inventory[[#This Row],[UpprFn]]*Lookups!$B$87</f>
        <v>0</v>
      </c>
      <c r="AX1429" s="25">
        <f>Inventory[[#This Row],[AddFn]]*Lookups!$B$88</f>
        <v>0</v>
      </c>
      <c r="AY1429" s="25">
        <f>Inventory[[#This Row],[Bsmt]]*Lookups!$B$89</f>
        <v>18147.102634127998</v>
      </c>
      <c r="AZ1429" s="25">
        <f>Inventory[[#This Row],[Fixtures]]*Lookups!$B$90</f>
        <v>18960.110526</v>
      </c>
      <c r="BA1429" s="25">
        <f>Inventory[[#This Row],[WdDeck]]*Lookups!$B$91</f>
        <v>0</v>
      </c>
      <c r="BB1429" s="25">
        <f>ROUND(Inventory[[#This Row],[25Det]],-2)</f>
        <v>4900</v>
      </c>
      <c r="BC1429" s="25">
        <f>ROUND(SUM(Inventory[[#This Row],[Mdl Qlty]:[Mdl WdDeck]])+Inventory[[#This Row],[Mdl Res Intercept]],-2)</f>
        <v>256400</v>
      </c>
      <c r="BD1429" s="25">
        <f>ROUND(Inventory[[#This Row],[Mdl Land Intercept]]+Inventory[[#This Row],[Mdl LnAcres]],-2)</f>
        <v>29800</v>
      </c>
      <c r="BE1429" s="25">
        <f>Inventory[[#This Row],[Unadj Res Value]]+Inventory[[#This Row],[Unadj Det Value]]+Inventory[[#This Row],[Unadj Land Value]]</f>
        <v>291100</v>
      </c>
      <c r="BF1429" s="36">
        <f>(Inventory[[#This Row],[Unadj Total Value]]-Inventory[[#This Row],[24Final]])/Inventory[[#This Row],[24Final]]</f>
        <v>8.9038533482977925E-2</v>
      </c>
      <c r="BG1429" s="25">
        <f>VLOOKUP(Inventory[[#This Row],[Nbhd]],Lookups!$Q$2:$T$4,4,FALSE)</f>
        <v>0.99970000000000003</v>
      </c>
      <c r="BH1429" s="25">
        <f>VLOOKUP(Inventory[[#This Row],[Qlty]],Lookups!$O$7:$R$21,4,FALSE)</f>
        <v>1.0067999999999999</v>
      </c>
      <c r="BI1429" s="25">
        <f>VLOOKUP(Inventory[[#This Row],[Cnd]],Lookups!$T$7:$W$16,4,FALSE)</f>
        <v>0.99729999999999996</v>
      </c>
      <c r="BJ1429" s="25">
        <f>VLOOKUP(Inventory[[#This Row],[LivArea Range]],Lookups!$T$25:$W$37,4,FALSE)</f>
        <v>1.0148999999999999</v>
      </c>
      <c r="BK1429" s="25">
        <f>VLOOKUP(Inventory[[#This Row],[Decade]],Lookups!$O$25:$R$42,4,FALSE)</f>
        <v>0.98909999999999998</v>
      </c>
      <c r="BL1429" s="25">
        <f>Inventory[[#This Row],[Nbhd Adj]]*0.95</f>
        <v>0.94971499999999998</v>
      </c>
      <c r="BM1429" s="25">
        <f>Inventory[[#This Row],[Nbhd Adj]]*Inventory[[#This Row],[Quality Adj]]*Inventory[[#This Row],[Condition Adj]]*Inventory[[#This Row],[Living Area Adj]]*Inventory[[#This Row],[Decade Adj]]*0.95</f>
        <v>0.95725088753311172</v>
      </c>
      <c r="BN1429" s="25">
        <f>ROUND(SUM(Inventory[[#This Row],[Mdl Qlty]:[Mdl WdDeck]])+Inventory[[#This Row],[Mdl Res Intercept]]*Inventory[[#This Row],[Res Adj ]],-2)</f>
        <v>256400</v>
      </c>
      <c r="BO1429" s="25">
        <f>ROUND(Inventory[[#This Row],[25Det]]*Inventory[[#This Row],[Det/Nbhd Adj]],-2)</f>
        <v>4600</v>
      </c>
      <c r="BP1429" s="25">
        <f>Inventory[[#This Row],[Adjusted Res]]+Inventory[[#This Row],[Adj Det ]]</f>
        <v>261000</v>
      </c>
      <c r="BQ1429" s="25">
        <f>ROUND((Inventory[[#This Row],[Mdl Land Intercept]]+Inventory[[#This Row],[Mdl LnAcres]])*Inventory[[#This Row],[Det/Nbhd Adj]],-2)</f>
        <v>28300</v>
      </c>
      <c r="BR1429" s="25">
        <f>Inventory[[#This Row],[Adjusted Impr Total]]+Inventory[[#This Row],[Adjusted Land Total]]</f>
        <v>289300</v>
      </c>
      <c r="BS1429" s="36">
        <f>IFERROR((Inventory[[#This Row],[Adjusted Impr Total]]-Inventory[[#This Row],[24Bldg]])/Inventory[[#This Row],[24Bldg]],0)</f>
        <v>0.19232526267702146</v>
      </c>
      <c r="BT1429" s="36">
        <f>(Inventory[[#This Row],[Adjusted Land Total]]-Inventory[[#This Row],[24Lnd]])/Inventory[[#This Row],[24Lnd]]</f>
        <v>-0.41528925619834711</v>
      </c>
      <c r="BU1429" s="36">
        <f>(Inventory[[#This Row],[Adjusted Total]]-Inventory[[#This Row],[24Final]])/Inventory[[#This Row],[24Final]]</f>
        <v>8.2304526748971193E-2</v>
      </c>
    </row>
    <row r="1430" spans="1:73" x14ac:dyDescent="0.3">
      <c r="A1430" s="25">
        <v>2025</v>
      </c>
      <c r="B1430" s="26" t="s">
        <v>1979</v>
      </c>
      <c r="C1430" s="26">
        <f>LN(Inventory[[#This Row],[Acres]])</f>
        <v>-1.8971199848858813</v>
      </c>
      <c r="D1430" s="25">
        <v>0.15</v>
      </c>
      <c r="E1430" s="27"/>
      <c r="F1430" s="26" t="s">
        <v>537</v>
      </c>
      <c r="G1430" s="26" t="s">
        <v>126</v>
      </c>
      <c r="H1430" s="26" t="s">
        <v>349</v>
      </c>
      <c r="I1430" s="26" t="s">
        <v>538</v>
      </c>
      <c r="J1430" s="26" t="s">
        <v>539</v>
      </c>
      <c r="K1430" s="26" t="s">
        <v>242</v>
      </c>
      <c r="L1430" s="26" t="s">
        <v>351</v>
      </c>
      <c r="M1430" s="26" t="s">
        <v>303</v>
      </c>
      <c r="N1430" s="26">
        <v>90</v>
      </c>
      <c r="O1430" s="26">
        <f>2024-Inventory[[#This Row],[YrBlt]]</f>
        <v>86</v>
      </c>
      <c r="P1430" s="26">
        <f>2024-Inventory[[#This Row],[EffYr]]</f>
        <v>53</v>
      </c>
      <c r="Q1430" s="25">
        <v>1938</v>
      </c>
      <c r="R1430" s="25">
        <v>1971</v>
      </c>
      <c r="S1430" s="25">
        <v>1912</v>
      </c>
      <c r="T1430" s="27"/>
      <c r="U1430" s="31"/>
      <c r="V1430" s="31">
        <f>Inventory[[#This Row],[Bsmt]]-Inventory[[#This Row],[FnBsmt]]</f>
        <v>0</v>
      </c>
      <c r="W1430" s="31"/>
      <c r="X1430" s="27"/>
      <c r="Y1430" s="27">
        <f>Inventory[[#This Row],[MainFn]]+Inventory[[#This Row],[UpprFn]]+Inventory[[#This Row],[FnBsmt]]+Inventory[[#This Row],[AddFn]]</f>
        <v>1912</v>
      </c>
      <c r="Z1430" s="27">
        <v>2000</v>
      </c>
      <c r="AA1430" s="25">
        <v>11</v>
      </c>
      <c r="AB1430" s="27"/>
      <c r="AC1430" s="27"/>
      <c r="AD1430" s="27"/>
      <c r="AE1430" s="27"/>
      <c r="AF1430" s="27"/>
      <c r="AG1430" s="27"/>
      <c r="AH1430" s="27"/>
      <c r="AI1430" s="25">
        <v>309309</v>
      </c>
      <c r="AJ1430" s="25">
        <v>213423</v>
      </c>
      <c r="AK1430" s="25">
        <v>0</v>
      </c>
      <c r="AL1430" s="25">
        <v>344400</v>
      </c>
      <c r="AM1430" s="25">
        <v>48400</v>
      </c>
      <c r="AN1430" s="25">
        <v>296000</v>
      </c>
      <c r="AO1430" s="25">
        <v>0</v>
      </c>
      <c r="AP1430" s="25">
        <f>Lookups!$B$56*0</f>
        <v>0</v>
      </c>
      <c r="AQ1430" s="25">
        <f>Lookups!$B$56*1</f>
        <v>89850.625589999996</v>
      </c>
      <c r="AR1430" s="25">
        <f>Lookups!$B$57*Inventory[[#This Row],[LnAcres]]</f>
        <v>-60052.604136134301</v>
      </c>
      <c r="AS1430" s="25">
        <f>VLOOKUP(Inventory[[#This Row],[Qlty]],Lookups!$A$62:$E$75,2,FALSE)</f>
        <v>21557.329055999999</v>
      </c>
      <c r="AT1430" s="25">
        <f>VLOOKUP(Inventory[[#This Row],[Cnd]],Lookups!$A$76:$E$84,2,FALSE)</f>
        <v>197752.34721000001</v>
      </c>
      <c r="AU1430" s="25">
        <f>Inventory[[#This Row],[EffAge]]*Lookups!$B$85</f>
        <v>-11821.416826500001</v>
      </c>
      <c r="AV1430" s="25">
        <f>Inventory[[#This Row],[MainFn]]*Lookups!$B$86</f>
        <v>94469.376804824002</v>
      </c>
      <c r="AW1430" s="25">
        <f>Inventory[[#This Row],[UpprFn]]*Lookups!$B$87</f>
        <v>0</v>
      </c>
      <c r="AX1430" s="25">
        <f>Inventory[[#This Row],[AddFn]]*Lookups!$B$88</f>
        <v>0</v>
      </c>
      <c r="AY1430" s="25">
        <f>Inventory[[#This Row],[Bsmt]]*Lookups!$B$89</f>
        <v>0</v>
      </c>
      <c r="AZ1430" s="25">
        <f>Inventory[[#This Row],[Fixtures]]*Lookups!$B$90</f>
        <v>41712.243157199999</v>
      </c>
      <c r="BA1430" s="25">
        <f>Inventory[[#This Row],[WdDeck]]*Lookups!$B$91</f>
        <v>0</v>
      </c>
      <c r="BB1430" s="25">
        <f>ROUND(Inventory[[#This Row],[25Det]],-2)</f>
        <v>0</v>
      </c>
      <c r="BC1430" s="25">
        <f>ROUND(SUM(Inventory[[#This Row],[Mdl Qlty]:[Mdl WdDeck]])+Inventory[[#This Row],[Mdl Res Intercept]],-2)</f>
        <v>343700</v>
      </c>
      <c r="BD1430" s="25">
        <f>ROUND(Inventory[[#This Row],[Mdl Land Intercept]]+Inventory[[#This Row],[Mdl LnAcres]],-2)</f>
        <v>29800</v>
      </c>
      <c r="BE1430" s="25">
        <f>Inventory[[#This Row],[Unadj Res Value]]+Inventory[[#This Row],[Unadj Det Value]]+Inventory[[#This Row],[Unadj Land Value]]</f>
        <v>373500</v>
      </c>
      <c r="BF1430" s="36">
        <f>(Inventory[[#This Row],[Unadj Total Value]]-Inventory[[#This Row],[24Final]])/Inventory[[#This Row],[24Final]]</f>
        <v>8.4494773519163763E-2</v>
      </c>
      <c r="BG1430" s="25">
        <f>VLOOKUP(Inventory[[#This Row],[Nbhd]],Lookups!$Q$2:$T$4,4,FALSE)</f>
        <v>0.99970000000000003</v>
      </c>
      <c r="BH1430" s="25">
        <f>VLOOKUP(Inventory[[#This Row],[Qlty]],Lookups!$O$7:$R$21,4,FALSE)</f>
        <v>1.0067999999999999</v>
      </c>
      <c r="BI1430" s="25">
        <f>VLOOKUP(Inventory[[#This Row],[Cnd]],Lookups!$T$7:$W$16,4,FALSE)</f>
        <v>0.99650000000000005</v>
      </c>
      <c r="BJ1430" s="25">
        <f>VLOOKUP(Inventory[[#This Row],[LivArea Range]],Lookups!$T$25:$W$37,4,FALSE)</f>
        <v>1.0093000000000001</v>
      </c>
      <c r="BK1430" s="25">
        <f>VLOOKUP(Inventory[[#This Row],[Decade]],Lookups!$O$25:$R$42,4,FALSE)</f>
        <v>0.98909999999999998</v>
      </c>
      <c r="BL1430" s="25">
        <f>Inventory[[#This Row],[Nbhd Adj]]*0.95</f>
        <v>0.94971499999999998</v>
      </c>
      <c r="BM1430" s="25">
        <f>Inventory[[#This Row],[Nbhd Adj]]*Inventory[[#This Row],[Quality Adj]]*Inventory[[#This Row],[Condition Adj]]*Inventory[[#This Row],[Living Area Adj]]*Inventory[[#This Row],[Decade Adj]]*0.95</f>
        <v>0.95120534593507355</v>
      </c>
      <c r="BN1430" s="25">
        <f>ROUND(SUM(Inventory[[#This Row],[Mdl Qlty]:[Mdl WdDeck]])+Inventory[[#This Row],[Mdl Res Intercept]]*Inventory[[#This Row],[Res Adj ]],-2)</f>
        <v>343700</v>
      </c>
      <c r="BO1430" s="25">
        <f>ROUND(Inventory[[#This Row],[25Det]]*Inventory[[#This Row],[Det/Nbhd Adj]],-2)</f>
        <v>0</v>
      </c>
      <c r="BP1430" s="25">
        <f>Inventory[[#This Row],[Adjusted Res]]+Inventory[[#This Row],[Adj Det ]]</f>
        <v>343700</v>
      </c>
      <c r="BQ1430" s="25">
        <f>ROUND((Inventory[[#This Row],[Mdl Land Intercept]]+Inventory[[#This Row],[Mdl LnAcres]])*Inventory[[#This Row],[Det/Nbhd Adj]],-2)</f>
        <v>28300</v>
      </c>
      <c r="BR1430" s="25">
        <f>Inventory[[#This Row],[Adjusted Impr Total]]+Inventory[[#This Row],[Adjusted Land Total]]</f>
        <v>372000</v>
      </c>
      <c r="BS1430" s="36">
        <f>IFERROR((Inventory[[#This Row],[Adjusted Impr Total]]-Inventory[[#This Row],[24Bldg]])/Inventory[[#This Row],[24Bldg]],0)</f>
        <v>0.16114864864864864</v>
      </c>
      <c r="BT1430" s="36">
        <f>(Inventory[[#This Row],[Adjusted Land Total]]-Inventory[[#This Row],[24Lnd]])/Inventory[[#This Row],[24Lnd]]</f>
        <v>-0.41528925619834711</v>
      </c>
      <c r="BU1430" s="36">
        <f>(Inventory[[#This Row],[Adjusted Total]]-Inventory[[#This Row],[24Final]])/Inventory[[#This Row],[24Final]]</f>
        <v>8.0139372822299645E-2</v>
      </c>
    </row>
    <row r="1431" spans="1:73" x14ac:dyDescent="0.3">
      <c r="A1431" s="25">
        <v>2025</v>
      </c>
      <c r="B1431" s="26" t="s">
        <v>1369</v>
      </c>
      <c r="C1431" s="26">
        <f>LN(Inventory[[#This Row],[Acres]])</f>
        <v>-1.7147984280919266</v>
      </c>
      <c r="D1431" s="25">
        <v>0.18</v>
      </c>
      <c r="E1431" s="32">
        <v>8007</v>
      </c>
      <c r="F1431" s="26" t="s">
        <v>537</v>
      </c>
      <c r="G1431" s="26" t="s">
        <v>126</v>
      </c>
      <c r="H1431" s="26" t="s">
        <v>349</v>
      </c>
      <c r="I1431" s="26" t="s">
        <v>538</v>
      </c>
      <c r="J1431" s="26" t="s">
        <v>539</v>
      </c>
      <c r="K1431" s="26" t="s">
        <v>242</v>
      </c>
      <c r="L1431" s="26" t="s">
        <v>148</v>
      </c>
      <c r="M1431" s="26" t="s">
        <v>323</v>
      </c>
      <c r="N1431" s="26">
        <v>90</v>
      </c>
      <c r="O1431" s="26">
        <f>2024-Inventory[[#This Row],[YrBlt]]</f>
        <v>86</v>
      </c>
      <c r="P1431" s="26">
        <f>2024-Inventory[[#This Row],[EffYr]]</f>
        <v>53</v>
      </c>
      <c r="Q1431" s="25">
        <v>1938</v>
      </c>
      <c r="R1431" s="25">
        <v>1971</v>
      </c>
      <c r="S1431" s="25">
        <v>1252</v>
      </c>
      <c r="T1431" s="27"/>
      <c r="U1431" s="25">
        <v>1252</v>
      </c>
      <c r="V1431" s="32">
        <f>Inventory[[#This Row],[Bsmt]]-Inventory[[#This Row],[FnBsmt]]</f>
        <v>752</v>
      </c>
      <c r="W1431" s="32">
        <v>500</v>
      </c>
      <c r="X1431" s="27"/>
      <c r="Y1431" s="27">
        <f>Inventory[[#This Row],[MainFn]]+Inventory[[#This Row],[UpprFn]]+Inventory[[#This Row],[FnBsmt]]+Inventory[[#This Row],[AddFn]]</f>
        <v>1752</v>
      </c>
      <c r="Z1431" s="27">
        <v>2000</v>
      </c>
      <c r="AA1431" s="25">
        <v>7</v>
      </c>
      <c r="AB1431" s="27"/>
      <c r="AC1431" s="27"/>
      <c r="AD1431" s="32">
        <v>150</v>
      </c>
      <c r="AE1431" s="27"/>
      <c r="AF1431" s="27"/>
      <c r="AG1431" s="27"/>
      <c r="AH1431" s="27"/>
      <c r="AI1431" s="25">
        <v>378990</v>
      </c>
      <c r="AJ1431" s="25">
        <v>253923</v>
      </c>
      <c r="AK1431" s="25">
        <v>0</v>
      </c>
      <c r="AL1431" s="25">
        <v>331400</v>
      </c>
      <c r="AM1431" s="25">
        <v>54700</v>
      </c>
      <c r="AN1431" s="25">
        <v>276700</v>
      </c>
      <c r="AO1431" s="25">
        <v>0</v>
      </c>
      <c r="AP1431" s="25">
        <f>Lookups!$B$56*0</f>
        <v>0</v>
      </c>
      <c r="AQ1431" s="25">
        <f>Lookups!$B$56*1</f>
        <v>89850.625589999996</v>
      </c>
      <c r="AR1431" s="25">
        <f>Lookups!$B$57*Inventory[[#This Row],[LnAcres]]</f>
        <v>-54281.285314520763</v>
      </c>
      <c r="AS1431" s="25">
        <f>VLOOKUP(Inventory[[#This Row],[Qlty]],Lookups!$A$62:$E$75,2,FALSE)</f>
        <v>44121.038090000002</v>
      </c>
      <c r="AT1431" s="25">
        <f>VLOOKUP(Inventory[[#This Row],[Cnd]],Lookups!$A$76:$E$84,2,FALSE)</f>
        <v>160472.20319</v>
      </c>
      <c r="AU1431" s="25">
        <f>Inventory[[#This Row],[EffAge]]*Lookups!$B$85</f>
        <v>-11821.416826500001</v>
      </c>
      <c r="AV1431" s="25">
        <f>Inventory[[#This Row],[MainFn]]*Lookups!$B$86</f>
        <v>61859.654686004003</v>
      </c>
      <c r="AW1431" s="25">
        <f>Inventory[[#This Row],[UpprFn]]*Lookups!$B$87</f>
        <v>0</v>
      </c>
      <c r="AX1431" s="25">
        <f>Inventory[[#This Row],[AddFn]]*Lookups!$B$88</f>
        <v>0</v>
      </c>
      <c r="AY1431" s="25">
        <f>Inventory[[#This Row],[Bsmt]]*Lookups!$B$89</f>
        <v>36410.532849243995</v>
      </c>
      <c r="AZ1431" s="25">
        <f>Inventory[[#This Row],[Fixtures]]*Lookups!$B$90</f>
        <v>26544.1547364</v>
      </c>
      <c r="BA1431" s="25">
        <f>Inventory[[#This Row],[WdDeck]]*Lookups!$B$91</f>
        <v>4994.3272914000008</v>
      </c>
      <c r="BB1431" s="25">
        <f>ROUND(Inventory[[#This Row],[25Det]],-2)</f>
        <v>0</v>
      </c>
      <c r="BC1431" s="25">
        <f>ROUND(SUM(Inventory[[#This Row],[Mdl Qlty]:[Mdl WdDeck]])+Inventory[[#This Row],[Mdl Res Intercept]],-2)</f>
        <v>322600</v>
      </c>
      <c r="BD1431" s="25">
        <f>ROUND(Inventory[[#This Row],[Mdl Land Intercept]]+Inventory[[#This Row],[Mdl LnAcres]],-2)</f>
        <v>35600</v>
      </c>
      <c r="BE1431" s="25">
        <f>Inventory[[#This Row],[Unadj Res Value]]+Inventory[[#This Row],[Unadj Det Value]]+Inventory[[#This Row],[Unadj Land Value]]</f>
        <v>358200</v>
      </c>
      <c r="BF1431" s="36">
        <f>(Inventory[[#This Row],[Unadj Total Value]]-Inventory[[#This Row],[24Final]])/Inventory[[#This Row],[24Final]]</f>
        <v>8.0869040434520215E-2</v>
      </c>
      <c r="BG1431" s="25">
        <f>VLOOKUP(Inventory[[#This Row],[Nbhd]],Lookups!$Q$2:$T$4,4,FALSE)</f>
        <v>0.99970000000000003</v>
      </c>
      <c r="BH1431" s="25">
        <f>VLOOKUP(Inventory[[#This Row],[Qlty]],Lookups!$O$7:$R$21,4,FALSE)</f>
        <v>0.98050000000000004</v>
      </c>
      <c r="BI1431" s="25">
        <f>VLOOKUP(Inventory[[#This Row],[Cnd]],Lookups!$T$7:$W$16,4,FALSE)</f>
        <v>0.99729999999999996</v>
      </c>
      <c r="BJ1431" s="25">
        <f>VLOOKUP(Inventory[[#This Row],[LivArea Range]],Lookups!$T$25:$W$37,4,FALSE)</f>
        <v>1.0093000000000001</v>
      </c>
      <c r="BK1431" s="25">
        <f>VLOOKUP(Inventory[[#This Row],[Decade]],Lookups!$O$25:$R$42,4,FALSE)</f>
        <v>0.98909999999999998</v>
      </c>
      <c r="BL1431" s="25">
        <f>Inventory[[#This Row],[Nbhd Adj]]*0.95</f>
        <v>0.94971499999999998</v>
      </c>
      <c r="BM1431" s="25">
        <f>Inventory[[#This Row],[Nbhd Adj]]*Inventory[[#This Row],[Quality Adj]]*Inventory[[#This Row],[Condition Adj]]*Inventory[[#This Row],[Living Area Adj]]*Inventory[[#This Row],[Decade Adj]]*0.95</f>
        <v>0.92710129894118753</v>
      </c>
      <c r="BN1431" s="25">
        <f>ROUND(SUM(Inventory[[#This Row],[Mdl Qlty]:[Mdl WdDeck]])+Inventory[[#This Row],[Mdl Res Intercept]]*Inventory[[#This Row],[Res Adj ]],-2)</f>
        <v>322600</v>
      </c>
      <c r="BO1431" s="25">
        <f>ROUND(Inventory[[#This Row],[25Det]]*Inventory[[#This Row],[Det/Nbhd Adj]],-2)</f>
        <v>0</v>
      </c>
      <c r="BP1431" s="25">
        <f>Inventory[[#This Row],[Adjusted Res]]+Inventory[[#This Row],[Adj Det ]]</f>
        <v>322600</v>
      </c>
      <c r="BQ1431" s="25">
        <f>ROUND((Inventory[[#This Row],[Mdl Land Intercept]]+Inventory[[#This Row],[Mdl LnAcres]])*Inventory[[#This Row],[Det/Nbhd Adj]],-2)</f>
        <v>33800</v>
      </c>
      <c r="BR1431" s="25">
        <f>Inventory[[#This Row],[Adjusted Impr Total]]+Inventory[[#This Row],[Adjusted Land Total]]</f>
        <v>356400</v>
      </c>
      <c r="BS1431" s="36">
        <f>IFERROR((Inventory[[#This Row],[Adjusted Impr Total]]-Inventory[[#This Row],[24Bldg]])/Inventory[[#This Row],[24Bldg]],0)</f>
        <v>0.16588362847849655</v>
      </c>
      <c r="BT1431" s="36">
        <f>(Inventory[[#This Row],[Adjusted Land Total]]-Inventory[[#This Row],[24Lnd]])/Inventory[[#This Row],[24Lnd]]</f>
        <v>-0.38208409506398539</v>
      </c>
      <c r="BU1431" s="36">
        <f>(Inventory[[#This Row],[Adjusted Total]]-Inventory[[#This Row],[24Final]])/Inventory[[#This Row],[24Final]]</f>
        <v>7.5437537718768863E-2</v>
      </c>
    </row>
    <row r="1432" spans="1:73" x14ac:dyDescent="0.3">
      <c r="A1432" s="25">
        <v>2025</v>
      </c>
      <c r="B1432" s="26" t="s">
        <v>2168</v>
      </c>
      <c r="C1432" s="26">
        <f>LN(Inventory[[#This Row],[Acres]])</f>
        <v>-1.8325814637483102</v>
      </c>
      <c r="D1432" s="25">
        <v>0.16</v>
      </c>
      <c r="E1432" s="27"/>
      <c r="F1432" s="26" t="s">
        <v>537</v>
      </c>
      <c r="G1432" s="26" t="s">
        <v>126</v>
      </c>
      <c r="H1432" s="26" t="s">
        <v>349</v>
      </c>
      <c r="I1432" s="26" t="s">
        <v>538</v>
      </c>
      <c r="J1432" s="26" t="s">
        <v>539</v>
      </c>
      <c r="K1432" s="26" t="s">
        <v>242</v>
      </c>
      <c r="L1432" s="26" t="s">
        <v>351</v>
      </c>
      <c r="M1432" s="26" t="s">
        <v>323</v>
      </c>
      <c r="N1432" s="26">
        <v>90</v>
      </c>
      <c r="O1432" s="26">
        <f>2024-Inventory[[#This Row],[YrBlt]]</f>
        <v>86</v>
      </c>
      <c r="P1432" s="26">
        <f>2024-Inventory[[#This Row],[EffYr]]</f>
        <v>53</v>
      </c>
      <c r="Q1432" s="25">
        <v>1938</v>
      </c>
      <c r="R1432" s="25">
        <v>1971</v>
      </c>
      <c r="S1432" s="25">
        <v>1042</v>
      </c>
      <c r="T1432" s="31"/>
      <c r="U1432" s="25">
        <v>344</v>
      </c>
      <c r="V1432" s="25">
        <f>Inventory[[#This Row],[Bsmt]]-Inventory[[#This Row],[FnBsmt]]</f>
        <v>344</v>
      </c>
      <c r="W1432" s="31"/>
      <c r="X1432" s="31"/>
      <c r="Y1432" s="31">
        <f>Inventory[[#This Row],[MainFn]]+Inventory[[#This Row],[UpprFn]]+Inventory[[#This Row],[FnBsmt]]+Inventory[[#This Row],[AddFn]]</f>
        <v>1042</v>
      </c>
      <c r="Z1432" s="27">
        <v>1500</v>
      </c>
      <c r="AA1432" s="25">
        <v>5</v>
      </c>
      <c r="AB1432" s="31"/>
      <c r="AC1432" s="27"/>
      <c r="AD1432" s="27"/>
      <c r="AE1432" s="27"/>
      <c r="AF1432" s="27"/>
      <c r="AG1432" s="27"/>
      <c r="AH1432" s="27"/>
      <c r="AI1432" s="25">
        <v>185066</v>
      </c>
      <c r="AJ1432" s="25">
        <v>123994</v>
      </c>
      <c r="AK1432" s="25">
        <v>7465</v>
      </c>
      <c r="AL1432" s="25">
        <v>268900</v>
      </c>
      <c r="AM1432" s="25">
        <v>50600</v>
      </c>
      <c r="AN1432" s="25">
        <v>218300</v>
      </c>
      <c r="AO1432" s="25">
        <v>0</v>
      </c>
      <c r="AP1432" s="25">
        <f>Lookups!$B$56*0</f>
        <v>0</v>
      </c>
      <c r="AQ1432" s="25">
        <f>Lookups!$B$56*1</f>
        <v>89850.625589999996</v>
      </c>
      <c r="AR1432" s="25">
        <f>Lookups!$B$57*Inventory[[#This Row],[LnAcres]]</f>
        <v>-58009.662049032086</v>
      </c>
      <c r="AS1432" s="25">
        <f>VLOOKUP(Inventory[[#This Row],[Qlty]],Lookups!$A$62:$E$75,2,FALSE)</f>
        <v>21557.329055999999</v>
      </c>
      <c r="AT1432" s="25">
        <f>VLOOKUP(Inventory[[#This Row],[Cnd]],Lookups!$A$76:$E$84,2,FALSE)</f>
        <v>160472.20319</v>
      </c>
      <c r="AU1432" s="25">
        <f>Inventory[[#This Row],[EffAge]]*Lookups!$B$85</f>
        <v>-11821.416826500001</v>
      </c>
      <c r="AV1432" s="25">
        <f>Inventory[[#This Row],[MainFn]]*Lookups!$B$86</f>
        <v>51483.834011833998</v>
      </c>
      <c r="AW1432" s="25">
        <f>Inventory[[#This Row],[UpprFn]]*Lookups!$B$87</f>
        <v>0</v>
      </c>
      <c r="AX1432" s="25">
        <f>Inventory[[#This Row],[AddFn]]*Lookups!$B$88</f>
        <v>0</v>
      </c>
      <c r="AY1432" s="25">
        <f>Inventory[[#This Row],[Bsmt]]*Lookups!$B$89</f>
        <v>10004.171964968</v>
      </c>
      <c r="AZ1432" s="25">
        <f>Inventory[[#This Row],[Fixtures]]*Lookups!$B$90</f>
        <v>18960.110526</v>
      </c>
      <c r="BA1432" s="25">
        <f>Inventory[[#This Row],[WdDeck]]*Lookups!$B$91</f>
        <v>0</v>
      </c>
      <c r="BB1432" s="25">
        <f>ROUND(Inventory[[#This Row],[25Det]],-2)</f>
        <v>7500</v>
      </c>
      <c r="BC1432" s="25">
        <f>ROUND(SUM(Inventory[[#This Row],[Mdl Qlty]:[Mdl WdDeck]])+Inventory[[#This Row],[Mdl Res Intercept]],-2)</f>
        <v>250700</v>
      </c>
      <c r="BD1432" s="25">
        <f>ROUND(Inventory[[#This Row],[Mdl Land Intercept]]+Inventory[[#This Row],[Mdl LnAcres]],-2)</f>
        <v>31800</v>
      </c>
      <c r="BE1432" s="25">
        <f>Inventory[[#This Row],[Unadj Res Value]]+Inventory[[#This Row],[Unadj Det Value]]+Inventory[[#This Row],[Unadj Land Value]]</f>
        <v>290000</v>
      </c>
      <c r="BF1432" s="36">
        <f>(Inventory[[#This Row],[Unadj Total Value]]-Inventory[[#This Row],[24Final]])/Inventory[[#This Row],[24Final]]</f>
        <v>7.8467831907772401E-2</v>
      </c>
      <c r="BG1432" s="25">
        <f>VLOOKUP(Inventory[[#This Row],[Nbhd]],Lookups!$Q$2:$T$4,4,FALSE)</f>
        <v>0.99970000000000003</v>
      </c>
      <c r="BH1432" s="25">
        <f>VLOOKUP(Inventory[[#This Row],[Qlty]],Lookups!$O$7:$R$21,4,FALSE)</f>
        <v>1.0067999999999999</v>
      </c>
      <c r="BI1432" s="25">
        <f>VLOOKUP(Inventory[[#This Row],[Cnd]],Lookups!$T$7:$W$16,4,FALSE)</f>
        <v>0.99729999999999996</v>
      </c>
      <c r="BJ1432" s="25">
        <f>VLOOKUP(Inventory[[#This Row],[LivArea Range]],Lookups!$T$25:$W$37,4,FALSE)</f>
        <v>1.0157</v>
      </c>
      <c r="BK1432" s="25">
        <f>VLOOKUP(Inventory[[#This Row],[Decade]],Lookups!$O$25:$R$42,4,FALSE)</f>
        <v>0.98909999999999998</v>
      </c>
      <c r="BL1432" s="25">
        <f>Inventory[[#This Row],[Nbhd Adj]]*0.95</f>
        <v>0.94971499999999998</v>
      </c>
      <c r="BM1432" s="25">
        <f>Inventory[[#This Row],[Nbhd Adj]]*Inventory[[#This Row],[Quality Adj]]*Inventory[[#This Row],[Condition Adj]]*Inventory[[#This Row],[Living Area Adj]]*Inventory[[#This Row],[Decade Adj]]*0.95</f>
        <v>0.95800544533193577</v>
      </c>
      <c r="BN1432" s="25">
        <f>ROUND(SUM(Inventory[[#This Row],[Mdl Qlty]:[Mdl WdDeck]])+Inventory[[#This Row],[Mdl Res Intercept]]*Inventory[[#This Row],[Res Adj ]],-2)</f>
        <v>250700</v>
      </c>
      <c r="BO1432" s="25">
        <f>ROUND(Inventory[[#This Row],[25Det]]*Inventory[[#This Row],[Det/Nbhd Adj]],-2)</f>
        <v>7100</v>
      </c>
      <c r="BP1432" s="25">
        <f>Inventory[[#This Row],[Adjusted Res]]+Inventory[[#This Row],[Adj Det ]]</f>
        <v>257800</v>
      </c>
      <c r="BQ1432" s="25">
        <f>ROUND((Inventory[[#This Row],[Mdl Land Intercept]]+Inventory[[#This Row],[Mdl LnAcres]])*Inventory[[#This Row],[Det/Nbhd Adj]],-2)</f>
        <v>30200</v>
      </c>
      <c r="BR1432" s="25">
        <f>Inventory[[#This Row],[Adjusted Impr Total]]+Inventory[[#This Row],[Adjusted Land Total]]</f>
        <v>288000</v>
      </c>
      <c r="BS1432" s="36">
        <f>IFERROR((Inventory[[#This Row],[Adjusted Impr Total]]-Inventory[[#This Row],[24Bldg]])/Inventory[[#This Row],[24Bldg]],0)</f>
        <v>0.18094365551992669</v>
      </c>
      <c r="BT1432" s="36">
        <f>(Inventory[[#This Row],[Adjusted Land Total]]-Inventory[[#This Row],[24Lnd]])/Inventory[[#This Row],[24Lnd]]</f>
        <v>-0.40316205533596838</v>
      </c>
      <c r="BU1432" s="36">
        <f>(Inventory[[#This Row],[Adjusted Total]]-Inventory[[#This Row],[24Final]])/Inventory[[#This Row],[24Final]]</f>
        <v>7.1030122722201564E-2</v>
      </c>
    </row>
    <row r="1433" spans="1:73" x14ac:dyDescent="0.3">
      <c r="A1433" s="25">
        <v>2025</v>
      </c>
      <c r="B1433" s="26" t="s">
        <v>2831</v>
      </c>
      <c r="C1433" s="26">
        <f>LN(Inventory[[#This Row],[Acres]])</f>
        <v>-1.6607312068216509</v>
      </c>
      <c r="D1433" s="25">
        <v>0.19</v>
      </c>
      <c r="E1433" s="27"/>
      <c r="F1433" s="26" t="s">
        <v>537</v>
      </c>
      <c r="G1433" s="26" t="s">
        <v>126</v>
      </c>
      <c r="H1433" s="26" t="s">
        <v>349</v>
      </c>
      <c r="I1433" s="26" t="s">
        <v>538</v>
      </c>
      <c r="J1433" s="26" t="s">
        <v>539</v>
      </c>
      <c r="K1433" s="26" t="s">
        <v>173</v>
      </c>
      <c r="L1433" s="26" t="s">
        <v>351</v>
      </c>
      <c r="M1433" s="26" t="s">
        <v>323</v>
      </c>
      <c r="N1433" s="26">
        <v>90</v>
      </c>
      <c r="O1433" s="26">
        <f>2024-Inventory[[#This Row],[YrBlt]]</f>
        <v>86</v>
      </c>
      <c r="P1433" s="26">
        <f>2024-Inventory[[#This Row],[EffYr]]</f>
        <v>53</v>
      </c>
      <c r="Q1433" s="25">
        <v>1938</v>
      </c>
      <c r="R1433" s="25">
        <v>1971</v>
      </c>
      <c r="S1433" s="25">
        <v>1168</v>
      </c>
      <c r="T1433" s="32">
        <v>1068</v>
      </c>
      <c r="U1433" s="25">
        <v>456</v>
      </c>
      <c r="V1433" s="25">
        <f>Inventory[[#This Row],[Bsmt]]-Inventory[[#This Row],[FnBsmt]]</f>
        <v>456</v>
      </c>
      <c r="W1433" s="31"/>
      <c r="X1433" s="27"/>
      <c r="Y1433" s="27">
        <f>Inventory[[#This Row],[MainFn]]+Inventory[[#This Row],[UpprFn]]+Inventory[[#This Row],[FnBsmt]]+Inventory[[#This Row],[AddFn]]</f>
        <v>2236</v>
      </c>
      <c r="Z1433" s="27">
        <v>2500</v>
      </c>
      <c r="AA1433" s="25">
        <v>7</v>
      </c>
      <c r="AB1433" s="27"/>
      <c r="AC1433" s="32">
        <v>252</v>
      </c>
      <c r="AD1433" s="32">
        <v>168</v>
      </c>
      <c r="AE1433" s="27"/>
      <c r="AF1433" s="27"/>
      <c r="AG1433" s="27"/>
      <c r="AH1433" s="27"/>
      <c r="AI1433" s="25">
        <v>335998</v>
      </c>
      <c r="AJ1433" s="25">
        <v>225119</v>
      </c>
      <c r="AK1433" s="25">
        <v>0</v>
      </c>
      <c r="AL1433" s="25">
        <v>334500</v>
      </c>
      <c r="AM1433" s="25">
        <v>56600</v>
      </c>
      <c r="AN1433" s="25">
        <v>277900</v>
      </c>
      <c r="AO1433" s="25">
        <v>0</v>
      </c>
      <c r="AP1433" s="25">
        <f>Lookups!$B$56*0</f>
        <v>0</v>
      </c>
      <c r="AQ1433" s="25">
        <f>Lookups!$B$56*1</f>
        <v>89850.625589999996</v>
      </c>
      <c r="AR1433" s="25">
        <f>Lookups!$B$57*Inventory[[#This Row],[LnAcres]]</f>
        <v>-52569.808201026557</v>
      </c>
      <c r="AS1433" s="25">
        <f>VLOOKUP(Inventory[[#This Row],[Qlty]],Lookups!$A$62:$E$75,2,FALSE)</f>
        <v>21557.329055999999</v>
      </c>
      <c r="AT1433" s="25">
        <f>VLOOKUP(Inventory[[#This Row],[Cnd]],Lookups!$A$76:$E$84,2,FALSE)</f>
        <v>160472.20319</v>
      </c>
      <c r="AU1433" s="25">
        <f>Inventory[[#This Row],[EffAge]]*Lookups!$B$85</f>
        <v>-11821.416826500001</v>
      </c>
      <c r="AV1433" s="25">
        <f>Inventory[[#This Row],[MainFn]]*Lookups!$B$86</f>
        <v>57709.326416336</v>
      </c>
      <c r="AW1433" s="25">
        <f>Inventory[[#This Row],[UpprFn]]*Lookups!$B$87</f>
        <v>47831.899615547998</v>
      </c>
      <c r="AX1433" s="25">
        <f>Inventory[[#This Row],[AddFn]]*Lookups!$B$88</f>
        <v>0</v>
      </c>
      <c r="AY1433" s="25">
        <f>Inventory[[#This Row],[Bsmt]]*Lookups!$B$89</f>
        <v>13261.344232632</v>
      </c>
      <c r="AZ1433" s="25">
        <f>Inventory[[#This Row],[Fixtures]]*Lookups!$B$90</f>
        <v>26544.1547364</v>
      </c>
      <c r="BA1433" s="25">
        <f>Inventory[[#This Row],[WdDeck]]*Lookups!$B$91</f>
        <v>5593.646566368001</v>
      </c>
      <c r="BB1433" s="25">
        <f>ROUND(Inventory[[#This Row],[25Det]],-2)</f>
        <v>0</v>
      </c>
      <c r="BC1433" s="25">
        <f>ROUND(SUM(Inventory[[#This Row],[Mdl Qlty]:[Mdl WdDeck]])+Inventory[[#This Row],[Mdl Res Intercept]],-2)</f>
        <v>321100</v>
      </c>
      <c r="BD1433" s="25">
        <f>ROUND(Inventory[[#This Row],[Mdl Land Intercept]]+Inventory[[#This Row],[Mdl LnAcres]],-2)</f>
        <v>37300</v>
      </c>
      <c r="BE1433" s="25">
        <f>Inventory[[#This Row],[Unadj Res Value]]+Inventory[[#This Row],[Unadj Det Value]]+Inventory[[#This Row],[Unadj Land Value]]</f>
        <v>358400</v>
      </c>
      <c r="BF1433" s="36">
        <f>(Inventory[[#This Row],[Unadj Total Value]]-Inventory[[#This Row],[24Final]])/Inventory[[#This Row],[24Final]]</f>
        <v>7.144992526158446E-2</v>
      </c>
      <c r="BG1433" s="25">
        <f>VLOOKUP(Inventory[[#This Row],[Nbhd]],Lookups!$Q$2:$T$4,4,FALSE)</f>
        <v>0.99970000000000003</v>
      </c>
      <c r="BH1433" s="25">
        <f>VLOOKUP(Inventory[[#This Row],[Qlty]],Lookups!$O$7:$R$21,4,FALSE)</f>
        <v>1.0067999999999999</v>
      </c>
      <c r="BI1433" s="25">
        <f>VLOOKUP(Inventory[[#This Row],[Cnd]],Lookups!$T$7:$W$16,4,FALSE)</f>
        <v>0.99729999999999996</v>
      </c>
      <c r="BJ1433" s="25">
        <f>VLOOKUP(Inventory[[#This Row],[LivArea Range]],Lookups!$T$25:$W$37,4,FALSE)</f>
        <v>0.98919999999999997</v>
      </c>
      <c r="BK1433" s="25">
        <f>VLOOKUP(Inventory[[#This Row],[Decade]],Lookups!$O$25:$R$42,4,FALSE)</f>
        <v>0.98909999999999998</v>
      </c>
      <c r="BL1433" s="25">
        <f>Inventory[[#This Row],[Nbhd Adj]]*0.95</f>
        <v>0.94971499999999998</v>
      </c>
      <c r="BM1433" s="25">
        <f>Inventory[[#This Row],[Nbhd Adj]]*Inventory[[#This Row],[Quality Adj]]*Inventory[[#This Row],[Condition Adj]]*Inventory[[#This Row],[Living Area Adj]]*Inventory[[#This Row],[Decade Adj]]*0.95</f>
        <v>0.93301071824589021</v>
      </c>
      <c r="BN1433" s="25">
        <f>ROUND(SUM(Inventory[[#This Row],[Mdl Qlty]:[Mdl WdDeck]])+Inventory[[#This Row],[Mdl Res Intercept]]*Inventory[[#This Row],[Res Adj ]],-2)</f>
        <v>321100</v>
      </c>
      <c r="BO1433" s="25">
        <f>ROUND(Inventory[[#This Row],[25Det]]*Inventory[[#This Row],[Det/Nbhd Adj]],-2)</f>
        <v>0</v>
      </c>
      <c r="BP1433" s="25">
        <f>Inventory[[#This Row],[Adjusted Res]]+Inventory[[#This Row],[Adj Det ]]</f>
        <v>321100</v>
      </c>
      <c r="BQ1433" s="25">
        <f>ROUND((Inventory[[#This Row],[Mdl Land Intercept]]+Inventory[[#This Row],[Mdl LnAcres]])*Inventory[[#This Row],[Det/Nbhd Adj]],-2)</f>
        <v>35400</v>
      </c>
      <c r="BR1433" s="25">
        <f>Inventory[[#This Row],[Adjusted Impr Total]]+Inventory[[#This Row],[Adjusted Land Total]]</f>
        <v>356500</v>
      </c>
      <c r="BS1433" s="36">
        <f>IFERROR((Inventory[[#This Row],[Adjusted Impr Total]]-Inventory[[#This Row],[24Bldg]])/Inventory[[#This Row],[24Bldg]],0)</f>
        <v>0.15545160129543001</v>
      </c>
      <c r="BT1433" s="36">
        <f>(Inventory[[#This Row],[Adjusted Land Total]]-Inventory[[#This Row],[24Lnd]])/Inventory[[#This Row],[24Lnd]]</f>
        <v>-0.37455830388692579</v>
      </c>
      <c r="BU1433" s="36">
        <f>(Inventory[[#This Row],[Adjusted Total]]-Inventory[[#This Row],[24Final]])/Inventory[[#This Row],[24Final]]</f>
        <v>6.5769805680119586E-2</v>
      </c>
    </row>
    <row r="1434" spans="1:73" x14ac:dyDescent="0.3">
      <c r="A1434" s="25">
        <v>2025</v>
      </c>
      <c r="B1434" s="26" t="s">
        <v>2572</v>
      </c>
      <c r="C1434" s="26">
        <f>LN(Inventory[[#This Row],[Acres]])</f>
        <v>-1.9661128563728327</v>
      </c>
      <c r="D1434" s="25">
        <v>0.14000000000000001</v>
      </c>
      <c r="E1434" s="27"/>
      <c r="F1434" s="26" t="s">
        <v>537</v>
      </c>
      <c r="G1434" s="26" t="s">
        <v>126</v>
      </c>
      <c r="H1434" s="26" t="s">
        <v>349</v>
      </c>
      <c r="I1434" s="26" t="s">
        <v>538</v>
      </c>
      <c r="J1434" s="26" t="s">
        <v>539</v>
      </c>
      <c r="K1434" s="26" t="s">
        <v>269</v>
      </c>
      <c r="L1434" s="26" t="s">
        <v>351</v>
      </c>
      <c r="M1434" s="26" t="s">
        <v>323</v>
      </c>
      <c r="N1434" s="26">
        <v>90</v>
      </c>
      <c r="O1434" s="26">
        <f>2024-Inventory[[#This Row],[YrBlt]]</f>
        <v>86</v>
      </c>
      <c r="P1434" s="26">
        <f>2024-Inventory[[#This Row],[EffYr]]</f>
        <v>53</v>
      </c>
      <c r="Q1434" s="25">
        <v>1938</v>
      </c>
      <c r="R1434" s="25">
        <v>1971</v>
      </c>
      <c r="S1434" s="25">
        <v>952</v>
      </c>
      <c r="T1434" s="31"/>
      <c r="U1434" s="25">
        <v>952</v>
      </c>
      <c r="V1434" s="32">
        <f>Inventory[[#This Row],[Bsmt]]-Inventory[[#This Row],[FnBsmt]]</f>
        <v>662</v>
      </c>
      <c r="W1434" s="32">
        <v>290</v>
      </c>
      <c r="X1434" s="27"/>
      <c r="Y1434" s="27">
        <f>Inventory[[#This Row],[MainFn]]+Inventory[[#This Row],[UpprFn]]+Inventory[[#This Row],[FnBsmt]]+Inventory[[#This Row],[AddFn]]</f>
        <v>1242</v>
      </c>
      <c r="Z1434" s="27">
        <v>1500</v>
      </c>
      <c r="AA1434" s="25">
        <v>5</v>
      </c>
      <c r="AB1434" s="27"/>
      <c r="AC1434" s="27"/>
      <c r="AD1434" s="27"/>
      <c r="AE1434" s="27"/>
      <c r="AF1434" s="27"/>
      <c r="AG1434" s="27"/>
      <c r="AH1434" s="27"/>
      <c r="AI1434" s="25">
        <v>212339</v>
      </c>
      <c r="AJ1434" s="25">
        <v>142267</v>
      </c>
      <c r="AK1434" s="25">
        <v>0</v>
      </c>
      <c r="AL1434" s="25">
        <v>272900</v>
      </c>
      <c r="AM1434" s="25">
        <v>46000</v>
      </c>
      <c r="AN1434" s="25">
        <v>226900</v>
      </c>
      <c r="AO1434" s="25">
        <v>0</v>
      </c>
      <c r="AP1434" s="25">
        <f>Lookups!$B$56*0</f>
        <v>0</v>
      </c>
      <c r="AQ1434" s="25">
        <f>Lookups!$B$56*1</f>
        <v>89850.625589999996</v>
      </c>
      <c r="AR1434" s="25">
        <f>Lookups!$B$57*Inventory[[#This Row],[LnAcres]]</f>
        <v>-62236.546971921947</v>
      </c>
      <c r="AS1434" s="25">
        <f>VLOOKUP(Inventory[[#This Row],[Qlty]],Lookups!$A$62:$E$75,2,FALSE)</f>
        <v>21557.329055999999</v>
      </c>
      <c r="AT1434" s="25">
        <f>VLOOKUP(Inventory[[#This Row],[Cnd]],Lookups!$A$76:$E$84,2,FALSE)</f>
        <v>160472.20319</v>
      </c>
      <c r="AU1434" s="25">
        <f>Inventory[[#This Row],[EffAge]]*Lookups!$B$85</f>
        <v>-11821.416826500001</v>
      </c>
      <c r="AV1434" s="25">
        <f>Inventory[[#This Row],[MainFn]]*Lookups!$B$86</f>
        <v>47037.053722903998</v>
      </c>
      <c r="AW1434" s="25">
        <f>Inventory[[#This Row],[UpprFn]]*Lookups!$B$87</f>
        <v>0</v>
      </c>
      <c r="AX1434" s="25">
        <f>Inventory[[#This Row],[AddFn]]*Lookups!$B$88</f>
        <v>0</v>
      </c>
      <c r="AY1434" s="25">
        <f>Inventory[[#This Row],[Bsmt]]*Lookups!$B$89</f>
        <v>27685.964275143997</v>
      </c>
      <c r="AZ1434" s="25">
        <f>Inventory[[#This Row],[Fixtures]]*Lookups!$B$90</f>
        <v>18960.110526</v>
      </c>
      <c r="BA1434" s="25">
        <f>Inventory[[#This Row],[WdDeck]]*Lookups!$B$91</f>
        <v>0</v>
      </c>
      <c r="BB1434" s="25">
        <f>ROUND(Inventory[[#This Row],[25Det]],-2)</f>
        <v>0</v>
      </c>
      <c r="BC1434" s="25">
        <f>ROUND(SUM(Inventory[[#This Row],[Mdl Qlty]:[Mdl WdDeck]])+Inventory[[#This Row],[Mdl Res Intercept]],-2)</f>
        <v>263900</v>
      </c>
      <c r="BD1434" s="25">
        <f>ROUND(Inventory[[#This Row],[Mdl Land Intercept]]+Inventory[[#This Row],[Mdl LnAcres]],-2)</f>
        <v>27600</v>
      </c>
      <c r="BE1434" s="25">
        <f>Inventory[[#This Row],[Unadj Res Value]]+Inventory[[#This Row],[Unadj Det Value]]+Inventory[[#This Row],[Unadj Land Value]]</f>
        <v>291500</v>
      </c>
      <c r="BF1434" s="36">
        <f>(Inventory[[#This Row],[Unadj Total Value]]-Inventory[[#This Row],[24Final]])/Inventory[[#This Row],[24Final]]</f>
        <v>6.815683400513009E-2</v>
      </c>
      <c r="BG1434" s="25">
        <f>VLOOKUP(Inventory[[#This Row],[Nbhd]],Lookups!$Q$2:$T$4,4,FALSE)</f>
        <v>0.99970000000000003</v>
      </c>
      <c r="BH1434" s="25">
        <f>VLOOKUP(Inventory[[#This Row],[Qlty]],Lookups!$O$7:$R$21,4,FALSE)</f>
        <v>1.0067999999999999</v>
      </c>
      <c r="BI1434" s="25">
        <f>VLOOKUP(Inventory[[#This Row],[Cnd]],Lookups!$T$7:$W$16,4,FALSE)</f>
        <v>0.99729999999999996</v>
      </c>
      <c r="BJ1434" s="25">
        <f>VLOOKUP(Inventory[[#This Row],[LivArea Range]],Lookups!$T$25:$W$37,4,FALSE)</f>
        <v>1.0157</v>
      </c>
      <c r="BK1434" s="25">
        <f>VLOOKUP(Inventory[[#This Row],[Decade]],Lookups!$O$25:$R$42,4,FALSE)</f>
        <v>0.98909999999999998</v>
      </c>
      <c r="BL1434" s="25">
        <f>Inventory[[#This Row],[Nbhd Adj]]*0.95</f>
        <v>0.94971499999999998</v>
      </c>
      <c r="BM1434" s="25">
        <f>Inventory[[#This Row],[Nbhd Adj]]*Inventory[[#This Row],[Quality Adj]]*Inventory[[#This Row],[Condition Adj]]*Inventory[[#This Row],[Living Area Adj]]*Inventory[[#This Row],[Decade Adj]]*0.95</f>
        <v>0.95800544533193577</v>
      </c>
      <c r="BN1434" s="25">
        <f>ROUND(SUM(Inventory[[#This Row],[Mdl Qlty]:[Mdl WdDeck]])+Inventory[[#This Row],[Mdl Res Intercept]]*Inventory[[#This Row],[Res Adj ]],-2)</f>
        <v>263900</v>
      </c>
      <c r="BO1434" s="25">
        <f>ROUND(Inventory[[#This Row],[25Det]]*Inventory[[#This Row],[Det/Nbhd Adj]],-2)</f>
        <v>0</v>
      </c>
      <c r="BP1434" s="25">
        <f>Inventory[[#This Row],[Adjusted Res]]+Inventory[[#This Row],[Adj Det ]]</f>
        <v>263900</v>
      </c>
      <c r="BQ1434" s="25">
        <f>ROUND((Inventory[[#This Row],[Mdl Land Intercept]]+Inventory[[#This Row],[Mdl LnAcres]])*Inventory[[#This Row],[Det/Nbhd Adj]],-2)</f>
        <v>26200</v>
      </c>
      <c r="BR1434" s="25">
        <f>Inventory[[#This Row],[Adjusted Impr Total]]+Inventory[[#This Row],[Adjusted Land Total]]</f>
        <v>290100</v>
      </c>
      <c r="BS1434" s="36">
        <f>IFERROR((Inventory[[#This Row],[Adjusted Impr Total]]-Inventory[[#This Row],[24Bldg]])/Inventory[[#This Row],[24Bldg]],0)</f>
        <v>0.1630674305861613</v>
      </c>
      <c r="BT1434" s="36">
        <f>(Inventory[[#This Row],[Adjusted Land Total]]-Inventory[[#This Row],[24Lnd]])/Inventory[[#This Row],[24Lnd]]</f>
        <v>-0.43043478260869567</v>
      </c>
      <c r="BU1434" s="36">
        <f>(Inventory[[#This Row],[Adjusted Total]]-Inventory[[#This Row],[24Final]])/Inventory[[#This Row],[24Final]]</f>
        <v>6.3026749725174053E-2</v>
      </c>
    </row>
    <row r="1435" spans="1:73" x14ac:dyDescent="0.3">
      <c r="A1435" s="25">
        <v>2025</v>
      </c>
      <c r="B1435" s="26" t="s">
        <v>2654</v>
      </c>
      <c r="C1435" s="26">
        <f>LN(Inventory[[#This Row],[Acres]])</f>
        <v>-1.4271163556401458</v>
      </c>
      <c r="D1435" s="25">
        <v>0.24</v>
      </c>
      <c r="E1435" s="31"/>
      <c r="F1435" s="26" t="s">
        <v>537</v>
      </c>
      <c r="G1435" s="26" t="s">
        <v>126</v>
      </c>
      <c r="H1435" s="26" t="s">
        <v>349</v>
      </c>
      <c r="I1435" s="26" t="s">
        <v>538</v>
      </c>
      <c r="J1435" s="26" t="s">
        <v>539</v>
      </c>
      <c r="K1435" s="26" t="s">
        <v>173</v>
      </c>
      <c r="L1435" s="26" t="s">
        <v>302</v>
      </c>
      <c r="M1435" s="26" t="s">
        <v>303</v>
      </c>
      <c r="N1435" s="26">
        <v>90</v>
      </c>
      <c r="O1435" s="26">
        <f>2024-Inventory[[#This Row],[YrBlt]]</f>
        <v>86</v>
      </c>
      <c r="P1435" s="26">
        <f>2024-Inventory[[#This Row],[EffYr]]</f>
        <v>53</v>
      </c>
      <c r="Q1435" s="25">
        <v>1938</v>
      </c>
      <c r="R1435" s="25">
        <v>1971</v>
      </c>
      <c r="S1435" s="25">
        <v>1134</v>
      </c>
      <c r="T1435" s="32">
        <v>374</v>
      </c>
      <c r="U1435" s="25">
        <v>768</v>
      </c>
      <c r="V1435" s="25">
        <f>Inventory[[#This Row],[Bsmt]]-Inventory[[#This Row],[FnBsmt]]</f>
        <v>0</v>
      </c>
      <c r="W1435" s="25">
        <v>768</v>
      </c>
      <c r="X1435" s="27"/>
      <c r="Y1435" s="27">
        <f>Inventory[[#This Row],[MainFn]]+Inventory[[#This Row],[UpprFn]]+Inventory[[#This Row],[FnBsmt]]+Inventory[[#This Row],[AddFn]]</f>
        <v>2276</v>
      </c>
      <c r="Z1435" s="27">
        <v>2500</v>
      </c>
      <c r="AA1435" s="25">
        <v>7</v>
      </c>
      <c r="AB1435" s="31"/>
      <c r="AC1435" s="27"/>
      <c r="AD1435" s="31"/>
      <c r="AE1435" s="27"/>
      <c r="AF1435" s="27"/>
      <c r="AG1435" s="27"/>
      <c r="AH1435" s="27"/>
      <c r="AI1435" s="25">
        <v>354560</v>
      </c>
      <c r="AJ1435" s="25">
        <v>244646</v>
      </c>
      <c r="AK1435" s="25">
        <v>9508</v>
      </c>
      <c r="AL1435" s="25">
        <v>369900</v>
      </c>
      <c r="AM1435" s="25">
        <v>64800</v>
      </c>
      <c r="AN1435" s="25">
        <v>305100</v>
      </c>
      <c r="AO1435" s="25">
        <v>0</v>
      </c>
      <c r="AP1435" s="25">
        <f>Lookups!$B$56*0</f>
        <v>0</v>
      </c>
      <c r="AQ1435" s="25">
        <f>Lookups!$B$56*1</f>
        <v>89850.625589999996</v>
      </c>
      <c r="AR1435" s="25">
        <f>Lookups!$B$57*Inventory[[#This Row],[LnAcres]]</f>
        <v>-45174.819855485119</v>
      </c>
      <c r="AS1435" s="25">
        <f>VLOOKUP(Inventory[[#This Row],[Qlty]],Lookups!$A$62:$E$75,2,FALSE)</f>
        <v>29814.093161000001</v>
      </c>
      <c r="AT1435" s="25">
        <f>VLOOKUP(Inventory[[#This Row],[Cnd]],Lookups!$A$76:$E$84,2,FALSE)</f>
        <v>197752.34721000001</v>
      </c>
      <c r="AU1435" s="25">
        <f>Inventory[[#This Row],[EffAge]]*Lookups!$B$85</f>
        <v>-11821.416826500001</v>
      </c>
      <c r="AV1435" s="25">
        <f>Inventory[[#This Row],[MainFn]]*Lookups!$B$86</f>
        <v>56029.431640518</v>
      </c>
      <c r="AW1435" s="25">
        <f>Inventory[[#This Row],[UpprFn]]*Lookups!$B$87</f>
        <v>16750.122150013998</v>
      </c>
      <c r="AX1435" s="25">
        <f>Inventory[[#This Row],[AddFn]]*Lookups!$B$88</f>
        <v>0</v>
      </c>
      <c r="AY1435" s="25">
        <f>Inventory[[#This Row],[Bsmt]]*Lookups!$B$89</f>
        <v>22334.895549695997</v>
      </c>
      <c r="AZ1435" s="25">
        <f>Inventory[[#This Row],[Fixtures]]*Lookups!$B$90</f>
        <v>26544.1547364</v>
      </c>
      <c r="BA1435" s="25">
        <f>Inventory[[#This Row],[WdDeck]]*Lookups!$B$91</f>
        <v>0</v>
      </c>
      <c r="BB1435" s="25">
        <f>ROUND(Inventory[[#This Row],[25Det]],-2)</f>
        <v>9500</v>
      </c>
      <c r="BC1435" s="25">
        <f>ROUND(SUM(Inventory[[#This Row],[Mdl Qlty]:[Mdl WdDeck]])+Inventory[[#This Row],[Mdl Res Intercept]],-2)</f>
        <v>337400</v>
      </c>
      <c r="BD1435" s="25">
        <f>ROUND(Inventory[[#This Row],[Mdl Land Intercept]]+Inventory[[#This Row],[Mdl LnAcres]],-2)</f>
        <v>44700</v>
      </c>
      <c r="BE1435" s="25">
        <f>Inventory[[#This Row],[Unadj Res Value]]+Inventory[[#This Row],[Unadj Det Value]]+Inventory[[#This Row],[Unadj Land Value]]</f>
        <v>391600</v>
      </c>
      <c r="BF1435" s="36">
        <f>(Inventory[[#This Row],[Unadj Total Value]]-Inventory[[#This Row],[24Final]])/Inventory[[#This Row],[24Final]]</f>
        <v>5.8664503919978371E-2</v>
      </c>
      <c r="BG1435" s="25">
        <f>VLOOKUP(Inventory[[#This Row],[Nbhd]],Lookups!$Q$2:$T$4,4,FALSE)</f>
        <v>0.99970000000000003</v>
      </c>
      <c r="BH1435" s="25">
        <f>VLOOKUP(Inventory[[#This Row],[Qlty]],Lookups!$O$7:$R$21,4,FALSE)</f>
        <v>1.0088999999999999</v>
      </c>
      <c r="BI1435" s="25">
        <f>VLOOKUP(Inventory[[#This Row],[Cnd]],Lookups!$T$7:$W$16,4,FALSE)</f>
        <v>0.99650000000000005</v>
      </c>
      <c r="BJ1435" s="25">
        <f>VLOOKUP(Inventory[[#This Row],[LivArea Range]],Lookups!$T$25:$W$37,4,FALSE)</f>
        <v>0.98919999999999997</v>
      </c>
      <c r="BK1435" s="25">
        <f>VLOOKUP(Inventory[[#This Row],[Decade]],Lookups!$O$25:$R$42,4,FALSE)</f>
        <v>0.98909999999999998</v>
      </c>
      <c r="BL1435" s="25">
        <f>Inventory[[#This Row],[Nbhd Adj]]*0.95</f>
        <v>0.94971499999999998</v>
      </c>
      <c r="BM1435" s="25">
        <f>Inventory[[#This Row],[Nbhd Adj]]*Inventory[[#This Row],[Quality Adj]]*Inventory[[#This Row],[Condition Adj]]*Inventory[[#This Row],[Living Area Adj]]*Inventory[[#This Row],[Decade Adj]]*0.95</f>
        <v>0.93420681692829766</v>
      </c>
      <c r="BN1435" s="25">
        <f>ROUND(SUM(Inventory[[#This Row],[Mdl Qlty]:[Mdl WdDeck]])+Inventory[[#This Row],[Mdl Res Intercept]]*Inventory[[#This Row],[Res Adj ]],-2)</f>
        <v>337400</v>
      </c>
      <c r="BO1435" s="25">
        <f>ROUND(Inventory[[#This Row],[25Det]]*Inventory[[#This Row],[Det/Nbhd Adj]],-2)</f>
        <v>9000</v>
      </c>
      <c r="BP1435" s="25">
        <f>Inventory[[#This Row],[Adjusted Res]]+Inventory[[#This Row],[Adj Det ]]</f>
        <v>346400</v>
      </c>
      <c r="BQ1435" s="25">
        <f>ROUND((Inventory[[#This Row],[Mdl Land Intercept]]+Inventory[[#This Row],[Mdl LnAcres]])*Inventory[[#This Row],[Det/Nbhd Adj]],-2)</f>
        <v>42400</v>
      </c>
      <c r="BR1435" s="25">
        <f>Inventory[[#This Row],[Adjusted Impr Total]]+Inventory[[#This Row],[Adjusted Land Total]]</f>
        <v>388800</v>
      </c>
      <c r="BS1435" s="36">
        <f>IFERROR((Inventory[[#This Row],[Adjusted Impr Total]]-Inventory[[#This Row],[24Bldg]])/Inventory[[#This Row],[24Bldg]],0)</f>
        <v>0.13536545394952473</v>
      </c>
      <c r="BT1435" s="36">
        <f>(Inventory[[#This Row],[Adjusted Land Total]]-Inventory[[#This Row],[24Lnd]])/Inventory[[#This Row],[24Lnd]]</f>
        <v>-0.34567901234567899</v>
      </c>
      <c r="BU1435" s="36">
        <f>(Inventory[[#This Row],[Adjusted Total]]-Inventory[[#This Row],[24Final]])/Inventory[[#This Row],[24Final]]</f>
        <v>5.1094890510948905E-2</v>
      </c>
    </row>
    <row r="1436" spans="1:73" x14ac:dyDescent="0.3">
      <c r="A1436" s="25">
        <v>2025</v>
      </c>
      <c r="B1436" s="26" t="s">
        <v>2790</v>
      </c>
      <c r="C1436" s="26">
        <f>LN(Inventory[[#This Row],[Acres]])</f>
        <v>-1.5606477482646683</v>
      </c>
      <c r="D1436" s="25">
        <v>0.21</v>
      </c>
      <c r="E1436" s="31"/>
      <c r="F1436" s="26" t="s">
        <v>537</v>
      </c>
      <c r="G1436" s="26" t="s">
        <v>126</v>
      </c>
      <c r="H1436" s="26" t="s">
        <v>349</v>
      </c>
      <c r="I1436" s="26" t="s">
        <v>538</v>
      </c>
      <c r="J1436" s="26" t="s">
        <v>539</v>
      </c>
      <c r="K1436" s="26" t="s">
        <v>242</v>
      </c>
      <c r="L1436" s="26" t="s">
        <v>351</v>
      </c>
      <c r="M1436" s="26" t="s">
        <v>303</v>
      </c>
      <c r="N1436" s="26">
        <v>90</v>
      </c>
      <c r="O1436" s="26">
        <f>2024-Inventory[[#This Row],[YrBlt]]</f>
        <v>86</v>
      </c>
      <c r="P1436" s="26">
        <f>2024-Inventory[[#This Row],[EffYr]]</f>
        <v>53</v>
      </c>
      <c r="Q1436" s="25">
        <v>1938</v>
      </c>
      <c r="R1436" s="25">
        <v>1971</v>
      </c>
      <c r="S1436" s="25">
        <v>968</v>
      </c>
      <c r="T1436" s="27"/>
      <c r="U1436" s="32">
        <v>968</v>
      </c>
      <c r="V1436" s="32">
        <f>Inventory[[#This Row],[Bsmt]]-Inventory[[#This Row],[FnBsmt]]</f>
        <v>0</v>
      </c>
      <c r="W1436" s="32">
        <v>968</v>
      </c>
      <c r="X1436" s="27"/>
      <c r="Y1436" s="27">
        <f>Inventory[[#This Row],[MainFn]]+Inventory[[#This Row],[UpprFn]]+Inventory[[#This Row],[FnBsmt]]+Inventory[[#This Row],[AddFn]]</f>
        <v>1936</v>
      </c>
      <c r="Z1436" s="27">
        <v>2000</v>
      </c>
      <c r="AA1436" s="25">
        <v>8</v>
      </c>
      <c r="AB1436" s="27"/>
      <c r="AC1436" s="27"/>
      <c r="AD1436" s="27"/>
      <c r="AE1436" s="27"/>
      <c r="AF1436" s="27"/>
      <c r="AG1436" s="27"/>
      <c r="AH1436" s="27"/>
      <c r="AI1436" s="25">
        <v>254903</v>
      </c>
      <c r="AJ1436" s="25">
        <v>175883</v>
      </c>
      <c r="AK1436" s="25">
        <v>0</v>
      </c>
      <c r="AL1436" s="25">
        <v>335700</v>
      </c>
      <c r="AM1436" s="25">
        <v>60100</v>
      </c>
      <c r="AN1436" s="25">
        <v>275600</v>
      </c>
      <c r="AO1436" s="25">
        <v>0</v>
      </c>
      <c r="AP1436" s="25">
        <f>Lookups!$B$56*0</f>
        <v>0</v>
      </c>
      <c r="AQ1436" s="25">
        <f>Lookups!$B$56*1</f>
        <v>89850.625589999996</v>
      </c>
      <c r="AR1436" s="25">
        <f>Lookups!$B$57*Inventory[[#This Row],[LnAcres]]</f>
        <v>-49401.70477837498</v>
      </c>
      <c r="AS1436" s="25">
        <f>VLOOKUP(Inventory[[#This Row],[Qlty]],Lookups!$A$62:$E$75,2,FALSE)</f>
        <v>21557.329055999999</v>
      </c>
      <c r="AT1436" s="25">
        <f>VLOOKUP(Inventory[[#This Row],[Cnd]],Lookups!$A$76:$E$84,2,FALSE)</f>
        <v>197752.34721000001</v>
      </c>
      <c r="AU1436" s="25">
        <f>Inventory[[#This Row],[EffAge]]*Lookups!$B$85</f>
        <v>-11821.416826500001</v>
      </c>
      <c r="AV1436" s="25">
        <f>Inventory[[#This Row],[MainFn]]*Lookups!$B$86</f>
        <v>47827.592440936001</v>
      </c>
      <c r="AW1436" s="25">
        <f>Inventory[[#This Row],[UpprFn]]*Lookups!$B$87</f>
        <v>0</v>
      </c>
      <c r="AX1436" s="25">
        <f>Inventory[[#This Row],[AddFn]]*Lookups!$B$88</f>
        <v>0</v>
      </c>
      <c r="AY1436" s="25">
        <f>Inventory[[#This Row],[Bsmt]]*Lookups!$B$89</f>
        <v>28151.274599095999</v>
      </c>
      <c r="AZ1436" s="25">
        <f>Inventory[[#This Row],[Fixtures]]*Lookups!$B$90</f>
        <v>30336.176841600001</v>
      </c>
      <c r="BA1436" s="25">
        <f>Inventory[[#This Row],[WdDeck]]*Lookups!$B$91</f>
        <v>0</v>
      </c>
      <c r="BB1436" s="25">
        <f>ROUND(Inventory[[#This Row],[25Det]],-2)</f>
        <v>0</v>
      </c>
      <c r="BC1436" s="25">
        <f>ROUND(SUM(Inventory[[#This Row],[Mdl Qlty]:[Mdl WdDeck]])+Inventory[[#This Row],[Mdl Res Intercept]],-2)</f>
        <v>313800</v>
      </c>
      <c r="BD1436" s="25">
        <f>ROUND(Inventory[[#This Row],[Mdl Land Intercept]]+Inventory[[#This Row],[Mdl LnAcres]],-2)</f>
        <v>40400</v>
      </c>
      <c r="BE1436" s="25">
        <f>Inventory[[#This Row],[Unadj Res Value]]+Inventory[[#This Row],[Unadj Det Value]]+Inventory[[#This Row],[Unadj Land Value]]</f>
        <v>354200</v>
      </c>
      <c r="BF1436" s="36">
        <f>(Inventory[[#This Row],[Unadj Total Value]]-Inventory[[#This Row],[24Final]])/Inventory[[#This Row],[24Final]]</f>
        <v>5.5108728030980041E-2</v>
      </c>
      <c r="BG1436" s="25">
        <f>VLOOKUP(Inventory[[#This Row],[Nbhd]],Lookups!$Q$2:$T$4,4,FALSE)</f>
        <v>0.99970000000000003</v>
      </c>
      <c r="BH1436" s="25">
        <f>VLOOKUP(Inventory[[#This Row],[Qlty]],Lookups!$O$7:$R$21,4,FALSE)</f>
        <v>1.0067999999999999</v>
      </c>
      <c r="BI1436" s="25">
        <f>VLOOKUP(Inventory[[#This Row],[Cnd]],Lookups!$T$7:$W$16,4,FALSE)</f>
        <v>0.99650000000000005</v>
      </c>
      <c r="BJ1436" s="25">
        <f>VLOOKUP(Inventory[[#This Row],[LivArea Range]],Lookups!$T$25:$W$37,4,FALSE)</f>
        <v>1.0093000000000001</v>
      </c>
      <c r="BK1436" s="25">
        <f>VLOOKUP(Inventory[[#This Row],[Decade]],Lookups!$O$25:$R$42,4,FALSE)</f>
        <v>0.98909999999999998</v>
      </c>
      <c r="BL1436" s="25">
        <f>Inventory[[#This Row],[Nbhd Adj]]*0.95</f>
        <v>0.94971499999999998</v>
      </c>
      <c r="BM1436" s="25">
        <f>Inventory[[#This Row],[Nbhd Adj]]*Inventory[[#This Row],[Quality Adj]]*Inventory[[#This Row],[Condition Adj]]*Inventory[[#This Row],[Living Area Adj]]*Inventory[[#This Row],[Decade Adj]]*0.95</f>
        <v>0.95120534593507355</v>
      </c>
      <c r="BN1436" s="25">
        <f>ROUND(SUM(Inventory[[#This Row],[Mdl Qlty]:[Mdl WdDeck]])+Inventory[[#This Row],[Mdl Res Intercept]]*Inventory[[#This Row],[Res Adj ]],-2)</f>
        <v>313800</v>
      </c>
      <c r="BO1436" s="25">
        <f>ROUND(Inventory[[#This Row],[25Det]]*Inventory[[#This Row],[Det/Nbhd Adj]],-2)</f>
        <v>0</v>
      </c>
      <c r="BP1436" s="25">
        <f>Inventory[[#This Row],[Adjusted Res]]+Inventory[[#This Row],[Adj Det ]]</f>
        <v>313800</v>
      </c>
      <c r="BQ1436" s="25">
        <f>ROUND((Inventory[[#This Row],[Mdl Land Intercept]]+Inventory[[#This Row],[Mdl LnAcres]])*Inventory[[#This Row],[Det/Nbhd Adj]],-2)</f>
        <v>38400</v>
      </c>
      <c r="BR1436" s="25">
        <f>Inventory[[#This Row],[Adjusted Impr Total]]+Inventory[[#This Row],[Adjusted Land Total]]</f>
        <v>352200</v>
      </c>
      <c r="BS1436" s="36">
        <f>IFERROR((Inventory[[#This Row],[Adjusted Impr Total]]-Inventory[[#This Row],[24Bldg]])/Inventory[[#This Row],[24Bldg]],0)</f>
        <v>0.13860667634252541</v>
      </c>
      <c r="BT1436" s="36">
        <f>(Inventory[[#This Row],[Adjusted Land Total]]-Inventory[[#This Row],[24Lnd]])/Inventory[[#This Row],[24Lnd]]</f>
        <v>-0.36106489184692181</v>
      </c>
      <c r="BU1436" s="36">
        <f>(Inventory[[#This Row],[Adjusted Total]]-Inventory[[#This Row],[24Final]])/Inventory[[#This Row],[24Final]]</f>
        <v>4.9151027703306524E-2</v>
      </c>
    </row>
    <row r="1437" spans="1:73" x14ac:dyDescent="0.3">
      <c r="A1437" s="25">
        <v>2025</v>
      </c>
      <c r="B1437" s="26" t="s">
        <v>2721</v>
      </c>
      <c r="C1437" s="26">
        <f>LN(Inventory[[#This Row],[Acres]])</f>
        <v>-1.8325814637483102</v>
      </c>
      <c r="D1437" s="25">
        <v>0.16</v>
      </c>
      <c r="E1437" s="31"/>
      <c r="F1437" s="26" t="s">
        <v>537</v>
      </c>
      <c r="G1437" s="26" t="s">
        <v>126</v>
      </c>
      <c r="H1437" s="26" t="s">
        <v>349</v>
      </c>
      <c r="I1437" s="26" t="s">
        <v>538</v>
      </c>
      <c r="J1437" s="26" t="s">
        <v>539</v>
      </c>
      <c r="K1437" s="26" t="s">
        <v>269</v>
      </c>
      <c r="L1437" s="26" t="s">
        <v>148</v>
      </c>
      <c r="M1437" s="26" t="s">
        <v>303</v>
      </c>
      <c r="N1437" s="26">
        <v>90</v>
      </c>
      <c r="O1437" s="26">
        <f>2024-Inventory[[#This Row],[YrBlt]]</f>
        <v>86</v>
      </c>
      <c r="P1437" s="26">
        <f>2024-Inventory[[#This Row],[EffYr]]</f>
        <v>53</v>
      </c>
      <c r="Q1437" s="25">
        <v>1938</v>
      </c>
      <c r="R1437" s="25">
        <v>1971</v>
      </c>
      <c r="S1437" s="25">
        <v>1326</v>
      </c>
      <c r="T1437" s="27"/>
      <c r="U1437" s="32">
        <v>1326</v>
      </c>
      <c r="V1437" s="32">
        <f>Inventory[[#This Row],[Bsmt]]-Inventory[[#This Row],[FnBsmt]]</f>
        <v>0</v>
      </c>
      <c r="W1437" s="32">
        <v>1326</v>
      </c>
      <c r="X1437" s="27"/>
      <c r="Y1437" s="27">
        <f>Inventory[[#This Row],[MainFn]]+Inventory[[#This Row],[UpprFn]]+Inventory[[#This Row],[FnBsmt]]+Inventory[[#This Row],[AddFn]]</f>
        <v>2652</v>
      </c>
      <c r="Z1437" s="27">
        <v>3000</v>
      </c>
      <c r="AA1437" s="25">
        <v>10</v>
      </c>
      <c r="AB1437" s="31"/>
      <c r="AC1437" s="27"/>
      <c r="AD1437" s="27"/>
      <c r="AE1437" s="27"/>
      <c r="AF1437" s="27"/>
      <c r="AG1437" s="27"/>
      <c r="AH1437" s="27"/>
      <c r="AI1437" s="25">
        <v>463342</v>
      </c>
      <c r="AJ1437" s="25">
        <v>319706</v>
      </c>
      <c r="AK1437" s="25">
        <v>13177</v>
      </c>
      <c r="AL1437" s="25">
        <v>395700</v>
      </c>
      <c r="AM1437" s="25">
        <v>50600</v>
      </c>
      <c r="AN1437" s="25">
        <v>345100</v>
      </c>
      <c r="AO1437" s="25">
        <v>0</v>
      </c>
      <c r="AP1437" s="25">
        <f>Lookups!$B$56*0</f>
        <v>0</v>
      </c>
      <c r="AQ1437" s="25">
        <f>Lookups!$B$56*1</f>
        <v>89850.625589999996</v>
      </c>
      <c r="AR1437" s="25">
        <f>Lookups!$B$57*Inventory[[#This Row],[LnAcres]]</f>
        <v>-58009.662049032086</v>
      </c>
      <c r="AS1437" s="25">
        <f>VLOOKUP(Inventory[[#This Row],[Qlty]],Lookups!$A$62:$E$75,2,FALSE)</f>
        <v>44121.038090000002</v>
      </c>
      <c r="AT1437" s="25">
        <f>VLOOKUP(Inventory[[#This Row],[Cnd]],Lookups!$A$76:$E$84,2,FALSE)</f>
        <v>197752.34721000001</v>
      </c>
      <c r="AU1437" s="25">
        <f>Inventory[[#This Row],[EffAge]]*Lookups!$B$85</f>
        <v>-11821.416826500001</v>
      </c>
      <c r="AV1437" s="25">
        <f>Inventory[[#This Row],[MainFn]]*Lookups!$B$86</f>
        <v>65515.896256902</v>
      </c>
      <c r="AW1437" s="25">
        <f>Inventory[[#This Row],[UpprFn]]*Lookups!$B$87</f>
        <v>0</v>
      </c>
      <c r="AX1437" s="25">
        <f>Inventory[[#This Row],[AddFn]]*Lookups!$B$88</f>
        <v>0</v>
      </c>
      <c r="AY1437" s="25">
        <f>Inventory[[#This Row],[Bsmt]]*Lookups!$B$89</f>
        <v>38562.593097521996</v>
      </c>
      <c r="AZ1437" s="25">
        <f>Inventory[[#This Row],[Fixtures]]*Lookups!$B$90</f>
        <v>37920.221052000001</v>
      </c>
      <c r="BA1437" s="25">
        <f>Inventory[[#This Row],[WdDeck]]*Lookups!$B$91</f>
        <v>0</v>
      </c>
      <c r="BB1437" s="25">
        <f>ROUND(Inventory[[#This Row],[25Det]],-2)</f>
        <v>13200</v>
      </c>
      <c r="BC1437" s="25">
        <f>ROUND(SUM(Inventory[[#This Row],[Mdl Qlty]:[Mdl WdDeck]])+Inventory[[#This Row],[Mdl Res Intercept]],-2)</f>
        <v>372100</v>
      </c>
      <c r="BD1437" s="25">
        <f>ROUND(Inventory[[#This Row],[Mdl Land Intercept]]+Inventory[[#This Row],[Mdl LnAcres]],-2)</f>
        <v>31800</v>
      </c>
      <c r="BE1437" s="25">
        <f>Inventory[[#This Row],[Unadj Res Value]]+Inventory[[#This Row],[Unadj Det Value]]+Inventory[[#This Row],[Unadj Land Value]]</f>
        <v>417100</v>
      </c>
      <c r="BF1437" s="36">
        <f>(Inventory[[#This Row],[Unadj Total Value]]-Inventory[[#This Row],[24Final]])/Inventory[[#This Row],[24Final]]</f>
        <v>5.4081374778872884E-2</v>
      </c>
      <c r="BG1437" s="25">
        <f>VLOOKUP(Inventory[[#This Row],[Nbhd]],Lookups!$Q$2:$T$4,4,FALSE)</f>
        <v>0.99970000000000003</v>
      </c>
      <c r="BH1437" s="25">
        <f>VLOOKUP(Inventory[[#This Row],[Qlty]],Lookups!$O$7:$R$21,4,FALSE)</f>
        <v>0.98050000000000004</v>
      </c>
      <c r="BI1437" s="25">
        <f>VLOOKUP(Inventory[[#This Row],[Cnd]],Lookups!$T$7:$W$16,4,FALSE)</f>
        <v>0.99650000000000005</v>
      </c>
      <c r="BJ1437" s="25">
        <f>VLOOKUP(Inventory[[#This Row],[LivArea Range]],Lookups!$T$25:$W$37,4,FALSE)</f>
        <v>0.96179999999999999</v>
      </c>
      <c r="BK1437" s="25">
        <f>VLOOKUP(Inventory[[#This Row],[Decade]],Lookups!$O$25:$R$42,4,FALSE)</f>
        <v>0.98909999999999998</v>
      </c>
      <c r="BL1437" s="25">
        <f>Inventory[[#This Row],[Nbhd Adj]]*0.95</f>
        <v>0.94971499999999998</v>
      </c>
      <c r="BM1437" s="25">
        <f>Inventory[[#This Row],[Nbhd Adj]]*Inventory[[#This Row],[Quality Adj]]*Inventory[[#This Row],[Condition Adj]]*Inventory[[#This Row],[Living Area Adj]]*Inventory[[#This Row],[Decade Adj]]*0.95</f>
        <v>0.88276107127906644</v>
      </c>
      <c r="BN1437" s="25">
        <f>ROUND(SUM(Inventory[[#This Row],[Mdl Qlty]:[Mdl WdDeck]])+Inventory[[#This Row],[Mdl Res Intercept]]*Inventory[[#This Row],[Res Adj ]],-2)</f>
        <v>372100</v>
      </c>
      <c r="BO1437" s="25">
        <f>ROUND(Inventory[[#This Row],[25Det]]*Inventory[[#This Row],[Det/Nbhd Adj]],-2)</f>
        <v>12500</v>
      </c>
      <c r="BP1437" s="25">
        <f>Inventory[[#This Row],[Adjusted Res]]+Inventory[[#This Row],[Adj Det ]]</f>
        <v>384600</v>
      </c>
      <c r="BQ1437" s="25">
        <f>ROUND((Inventory[[#This Row],[Mdl Land Intercept]]+Inventory[[#This Row],[Mdl LnAcres]])*Inventory[[#This Row],[Det/Nbhd Adj]],-2)</f>
        <v>30200</v>
      </c>
      <c r="BR1437" s="25">
        <f>Inventory[[#This Row],[Adjusted Impr Total]]+Inventory[[#This Row],[Adjusted Land Total]]</f>
        <v>414800</v>
      </c>
      <c r="BS1437" s="36">
        <f>IFERROR((Inventory[[#This Row],[Adjusted Impr Total]]-Inventory[[#This Row],[24Bldg]])/Inventory[[#This Row],[24Bldg]],0)</f>
        <v>0.11445957693422197</v>
      </c>
      <c r="BT1437" s="36">
        <f>(Inventory[[#This Row],[Adjusted Land Total]]-Inventory[[#This Row],[24Lnd]])/Inventory[[#This Row],[24Lnd]]</f>
        <v>-0.40316205533596838</v>
      </c>
      <c r="BU1437" s="36">
        <f>(Inventory[[#This Row],[Adjusted Total]]-Inventory[[#This Row],[24Final]])/Inventory[[#This Row],[24Final]]</f>
        <v>4.8268890573666921E-2</v>
      </c>
    </row>
    <row r="1438" spans="1:73" x14ac:dyDescent="0.3">
      <c r="A1438" s="25">
        <v>2025</v>
      </c>
      <c r="B1438" s="26" t="s">
        <v>1371</v>
      </c>
      <c r="C1438" s="26">
        <f>LN(Inventory[[#This Row],[Acres]])</f>
        <v>-1.4696759700589417</v>
      </c>
      <c r="D1438" s="25">
        <v>0.23</v>
      </c>
      <c r="E1438" s="25">
        <v>9920</v>
      </c>
      <c r="F1438" s="26" t="s">
        <v>537</v>
      </c>
      <c r="G1438" s="26" t="s">
        <v>126</v>
      </c>
      <c r="H1438" s="26" t="s">
        <v>349</v>
      </c>
      <c r="I1438" s="26" t="s">
        <v>538</v>
      </c>
      <c r="J1438" s="26" t="s">
        <v>539</v>
      </c>
      <c r="K1438" s="26" t="s">
        <v>269</v>
      </c>
      <c r="L1438" s="26" t="s">
        <v>302</v>
      </c>
      <c r="M1438" s="26" t="s">
        <v>303</v>
      </c>
      <c r="N1438" s="26">
        <v>90</v>
      </c>
      <c r="O1438" s="26">
        <f>2024-Inventory[[#This Row],[YrBlt]]</f>
        <v>86</v>
      </c>
      <c r="P1438" s="26">
        <f>2024-Inventory[[#This Row],[EffYr]]</f>
        <v>53</v>
      </c>
      <c r="Q1438" s="25">
        <v>1938</v>
      </c>
      <c r="R1438" s="25">
        <v>1971</v>
      </c>
      <c r="S1438" s="25">
        <v>1110</v>
      </c>
      <c r="T1438" s="27"/>
      <c r="U1438" s="32">
        <v>1110</v>
      </c>
      <c r="V1438" s="32">
        <f>Inventory[[#This Row],[Bsmt]]-Inventory[[#This Row],[FnBsmt]]</f>
        <v>0</v>
      </c>
      <c r="W1438" s="32">
        <v>1110</v>
      </c>
      <c r="X1438" s="27"/>
      <c r="Y1438" s="27">
        <f>Inventory[[#This Row],[MainFn]]+Inventory[[#This Row],[UpprFn]]+Inventory[[#This Row],[FnBsmt]]+Inventory[[#This Row],[AddFn]]</f>
        <v>2220</v>
      </c>
      <c r="Z1438" s="27">
        <v>2500</v>
      </c>
      <c r="AA1438" s="25">
        <v>8</v>
      </c>
      <c r="AB1438" s="25">
        <v>388</v>
      </c>
      <c r="AC1438" s="27"/>
      <c r="AD1438" s="27"/>
      <c r="AE1438" s="27"/>
      <c r="AF1438" s="27"/>
      <c r="AG1438" s="27"/>
      <c r="AH1438" s="27"/>
      <c r="AI1438" s="25">
        <v>339826</v>
      </c>
      <c r="AJ1438" s="25">
        <v>234480</v>
      </c>
      <c r="AK1438" s="25">
        <v>0</v>
      </c>
      <c r="AL1438" s="25">
        <v>357400</v>
      </c>
      <c r="AM1438" s="25">
        <v>63300</v>
      </c>
      <c r="AN1438" s="25">
        <v>294100</v>
      </c>
      <c r="AO1438" s="25">
        <v>0</v>
      </c>
      <c r="AP1438" s="25">
        <f>Lookups!$B$56*0</f>
        <v>0</v>
      </c>
      <c r="AQ1438" s="25">
        <f>Lookups!$B$56*1</f>
        <v>89850.625589999996</v>
      </c>
      <c r="AR1438" s="25">
        <f>Lookups!$B$57*Inventory[[#This Row],[LnAcres]]</f>
        <v>-46522.028095997222</v>
      </c>
      <c r="AS1438" s="25">
        <f>VLOOKUP(Inventory[[#This Row],[Qlty]],Lookups!$A$62:$E$75,2,FALSE)</f>
        <v>29814.093161000001</v>
      </c>
      <c r="AT1438" s="25">
        <f>VLOOKUP(Inventory[[#This Row],[Cnd]],Lookups!$A$76:$E$84,2,FALSE)</f>
        <v>197752.34721000001</v>
      </c>
      <c r="AU1438" s="25">
        <f>Inventory[[#This Row],[EffAge]]*Lookups!$B$85</f>
        <v>-11821.416826500001</v>
      </c>
      <c r="AV1438" s="25">
        <f>Inventory[[#This Row],[MainFn]]*Lookups!$B$86</f>
        <v>54843.623563469999</v>
      </c>
      <c r="AW1438" s="25">
        <f>Inventory[[#This Row],[UpprFn]]*Lookups!$B$87</f>
        <v>0</v>
      </c>
      <c r="AX1438" s="25">
        <f>Inventory[[#This Row],[AddFn]]*Lookups!$B$88</f>
        <v>0</v>
      </c>
      <c r="AY1438" s="25">
        <f>Inventory[[#This Row],[Bsmt]]*Lookups!$B$89</f>
        <v>32280.903724169999</v>
      </c>
      <c r="AZ1438" s="25">
        <f>Inventory[[#This Row],[Fixtures]]*Lookups!$B$90</f>
        <v>30336.176841600001</v>
      </c>
      <c r="BA1438" s="25">
        <f>Inventory[[#This Row],[WdDeck]]*Lookups!$B$91</f>
        <v>0</v>
      </c>
      <c r="BB1438" s="25">
        <f>ROUND(Inventory[[#This Row],[25Det]],-2)</f>
        <v>0</v>
      </c>
      <c r="BC1438" s="25">
        <f>ROUND(SUM(Inventory[[#This Row],[Mdl Qlty]:[Mdl WdDeck]])+Inventory[[#This Row],[Mdl Res Intercept]],-2)</f>
        <v>333200</v>
      </c>
      <c r="BD1438" s="25">
        <f>ROUND(Inventory[[#This Row],[Mdl Land Intercept]]+Inventory[[#This Row],[Mdl LnAcres]],-2)</f>
        <v>43300</v>
      </c>
      <c r="BE1438" s="25">
        <f>Inventory[[#This Row],[Unadj Res Value]]+Inventory[[#This Row],[Unadj Det Value]]+Inventory[[#This Row],[Unadj Land Value]]</f>
        <v>376500</v>
      </c>
      <c r="BF1438" s="36">
        <f>(Inventory[[#This Row],[Unadj Total Value]]-Inventory[[#This Row],[24Final]])/Inventory[[#This Row],[24Final]]</f>
        <v>5.3441522104085058E-2</v>
      </c>
      <c r="BG1438" s="25">
        <f>VLOOKUP(Inventory[[#This Row],[Nbhd]],Lookups!$Q$2:$T$4,4,FALSE)</f>
        <v>0.99970000000000003</v>
      </c>
      <c r="BH1438" s="25">
        <f>VLOOKUP(Inventory[[#This Row],[Qlty]],Lookups!$O$7:$R$21,4,FALSE)</f>
        <v>1.0088999999999999</v>
      </c>
      <c r="BI1438" s="25">
        <f>VLOOKUP(Inventory[[#This Row],[Cnd]],Lookups!$T$7:$W$16,4,FALSE)</f>
        <v>0.99650000000000005</v>
      </c>
      <c r="BJ1438" s="25">
        <f>VLOOKUP(Inventory[[#This Row],[LivArea Range]],Lookups!$T$25:$W$37,4,FALSE)</f>
        <v>0.98919999999999997</v>
      </c>
      <c r="BK1438" s="25">
        <f>VLOOKUP(Inventory[[#This Row],[Decade]],Lookups!$O$25:$R$42,4,FALSE)</f>
        <v>0.98909999999999998</v>
      </c>
      <c r="BL1438" s="25">
        <f>Inventory[[#This Row],[Nbhd Adj]]*0.95</f>
        <v>0.94971499999999998</v>
      </c>
      <c r="BM1438" s="25">
        <f>Inventory[[#This Row],[Nbhd Adj]]*Inventory[[#This Row],[Quality Adj]]*Inventory[[#This Row],[Condition Adj]]*Inventory[[#This Row],[Living Area Adj]]*Inventory[[#This Row],[Decade Adj]]*0.95</f>
        <v>0.93420681692829766</v>
      </c>
      <c r="BN1438" s="25">
        <f>ROUND(SUM(Inventory[[#This Row],[Mdl Qlty]:[Mdl WdDeck]])+Inventory[[#This Row],[Mdl Res Intercept]]*Inventory[[#This Row],[Res Adj ]],-2)</f>
        <v>333200</v>
      </c>
      <c r="BO1438" s="25">
        <f>ROUND(Inventory[[#This Row],[25Det]]*Inventory[[#This Row],[Det/Nbhd Adj]],-2)</f>
        <v>0</v>
      </c>
      <c r="BP1438" s="25">
        <f>Inventory[[#This Row],[Adjusted Res]]+Inventory[[#This Row],[Adj Det ]]</f>
        <v>333200</v>
      </c>
      <c r="BQ1438" s="25">
        <f>ROUND((Inventory[[#This Row],[Mdl Land Intercept]]+Inventory[[#This Row],[Mdl LnAcres]])*Inventory[[#This Row],[Det/Nbhd Adj]],-2)</f>
        <v>41100</v>
      </c>
      <c r="BR1438" s="25">
        <f>Inventory[[#This Row],[Adjusted Impr Total]]+Inventory[[#This Row],[Adjusted Land Total]]</f>
        <v>374300</v>
      </c>
      <c r="BS1438" s="36">
        <f>IFERROR((Inventory[[#This Row],[Adjusted Impr Total]]-Inventory[[#This Row],[24Bldg]])/Inventory[[#This Row],[24Bldg]],0)</f>
        <v>0.13294797687861271</v>
      </c>
      <c r="BT1438" s="36">
        <f>(Inventory[[#This Row],[Adjusted Land Total]]-Inventory[[#This Row],[24Lnd]])/Inventory[[#This Row],[24Lnd]]</f>
        <v>-0.35071090047393366</v>
      </c>
      <c r="BU1438" s="36">
        <f>(Inventory[[#This Row],[Adjusted Total]]-Inventory[[#This Row],[24Final]])/Inventory[[#This Row],[24Final]]</f>
        <v>4.7285954113038611E-2</v>
      </c>
    </row>
    <row r="1439" spans="1:73" x14ac:dyDescent="0.3">
      <c r="A1439" s="25">
        <v>2025</v>
      </c>
      <c r="B1439" s="26" t="s">
        <v>2197</v>
      </c>
      <c r="C1439" s="26">
        <f>LN(Inventory[[#This Row],[Acres]])</f>
        <v>-1.3470736479666092</v>
      </c>
      <c r="D1439" s="25">
        <v>0.26</v>
      </c>
      <c r="E1439" s="25">
        <v>11254</v>
      </c>
      <c r="F1439" s="26" t="s">
        <v>537</v>
      </c>
      <c r="G1439" s="26" t="s">
        <v>126</v>
      </c>
      <c r="H1439" s="26" t="s">
        <v>349</v>
      </c>
      <c r="I1439" s="26" t="s">
        <v>538</v>
      </c>
      <c r="J1439" s="26" t="s">
        <v>539</v>
      </c>
      <c r="K1439" s="26" t="s">
        <v>448</v>
      </c>
      <c r="L1439" s="26" t="s">
        <v>382</v>
      </c>
      <c r="M1439" s="26" t="s">
        <v>303</v>
      </c>
      <c r="N1439" s="26">
        <v>90</v>
      </c>
      <c r="O1439" s="26">
        <f>2024-Inventory[[#This Row],[YrBlt]]</f>
        <v>86</v>
      </c>
      <c r="P1439" s="26">
        <f>2024-Inventory[[#This Row],[EffYr]]</f>
        <v>53</v>
      </c>
      <c r="Q1439" s="25">
        <v>1938</v>
      </c>
      <c r="R1439" s="25">
        <v>1971</v>
      </c>
      <c r="S1439" s="25">
        <v>2054</v>
      </c>
      <c r="T1439" s="32">
        <v>1461</v>
      </c>
      <c r="U1439" s="25">
        <v>700</v>
      </c>
      <c r="V1439" s="25">
        <f>Inventory[[#This Row],[Bsmt]]-Inventory[[#This Row],[FnBsmt]]</f>
        <v>0</v>
      </c>
      <c r="W1439" s="25">
        <v>700</v>
      </c>
      <c r="X1439" s="27"/>
      <c r="Y1439" s="27">
        <f>Inventory[[#This Row],[MainFn]]+Inventory[[#This Row],[UpprFn]]+Inventory[[#This Row],[FnBsmt]]+Inventory[[#This Row],[AddFn]]</f>
        <v>4215</v>
      </c>
      <c r="Z1439" s="27">
        <v>4500</v>
      </c>
      <c r="AA1439" s="25">
        <v>18</v>
      </c>
      <c r="AB1439" s="27"/>
      <c r="AC1439" s="32">
        <v>399</v>
      </c>
      <c r="AD1439" s="27"/>
      <c r="AE1439" s="27"/>
      <c r="AF1439" s="27"/>
      <c r="AG1439" s="27"/>
      <c r="AH1439" s="27"/>
      <c r="AI1439" s="25">
        <v>1230286</v>
      </c>
      <c r="AJ1439" s="25">
        <v>861200</v>
      </c>
      <c r="AK1439" s="25">
        <v>56650</v>
      </c>
      <c r="AL1439" s="25">
        <v>817700</v>
      </c>
      <c r="AM1439" s="25">
        <v>67600</v>
      </c>
      <c r="AN1439" s="25">
        <v>750100</v>
      </c>
      <c r="AO1439" s="25">
        <v>0</v>
      </c>
      <c r="AP1439" s="25">
        <f>Lookups!$B$56*0</f>
        <v>0</v>
      </c>
      <c r="AQ1439" s="25">
        <f>Lookups!$B$56*1</f>
        <v>89850.625589999996</v>
      </c>
      <c r="AR1439" s="25">
        <f>Lookups!$B$57*Inventory[[#This Row],[LnAcres]]</f>
        <v>-42641.098701210125</v>
      </c>
      <c r="AS1439" s="25">
        <f>VLOOKUP(Inventory[[#This Row],[Qlty]],Lookups!$A$62:$E$75,2,FALSE)</f>
        <v>315333.60131</v>
      </c>
      <c r="AT1439" s="25">
        <f>VLOOKUP(Inventory[[#This Row],[Cnd]],Lookups!$A$76:$E$84,2,FALSE)</f>
        <v>197752.34721000001</v>
      </c>
      <c r="AU1439" s="25">
        <f>Inventory[[#This Row],[EffAge]]*Lookups!$B$85</f>
        <v>-11821.416826500001</v>
      </c>
      <c r="AV1439" s="25">
        <f>Inventory[[#This Row],[MainFn]]*Lookups!$B$86</f>
        <v>101485.407927358</v>
      </c>
      <c r="AW1439" s="25">
        <f>Inventory[[#This Row],[UpprFn]]*Lookups!$B$87</f>
        <v>65432.963799920995</v>
      </c>
      <c r="AX1439" s="25">
        <f>Inventory[[#This Row],[AddFn]]*Lookups!$B$88</f>
        <v>0</v>
      </c>
      <c r="AY1439" s="25">
        <f>Inventory[[#This Row],[Bsmt]]*Lookups!$B$89</f>
        <v>20357.326672899999</v>
      </c>
      <c r="AZ1439" s="25">
        <f>Inventory[[#This Row],[Fixtures]]*Lookups!$B$90</f>
        <v>68256.397893600006</v>
      </c>
      <c r="BA1439" s="25">
        <f>Inventory[[#This Row],[WdDeck]]*Lookups!$B$91</f>
        <v>0</v>
      </c>
      <c r="BB1439" s="25">
        <f>ROUND(Inventory[[#This Row],[25Det]],-2)</f>
        <v>56700</v>
      </c>
      <c r="BC1439" s="25">
        <f>ROUND(SUM(Inventory[[#This Row],[Mdl Qlty]:[Mdl WdDeck]])+Inventory[[#This Row],[Mdl Res Intercept]],-2)</f>
        <v>756800</v>
      </c>
      <c r="BD1439" s="25">
        <f>ROUND(Inventory[[#This Row],[Mdl Land Intercept]]+Inventory[[#This Row],[Mdl LnAcres]],-2)</f>
        <v>47200</v>
      </c>
      <c r="BE1439" s="25">
        <f>Inventory[[#This Row],[Unadj Res Value]]+Inventory[[#This Row],[Unadj Det Value]]+Inventory[[#This Row],[Unadj Land Value]]</f>
        <v>860700</v>
      </c>
      <c r="BF1439" s="36">
        <f>(Inventory[[#This Row],[Unadj Total Value]]-Inventory[[#This Row],[24Final]])/Inventory[[#This Row],[24Final]]</f>
        <v>5.2586523174758468E-2</v>
      </c>
      <c r="BG1439" s="25">
        <f>VLOOKUP(Inventory[[#This Row],[Nbhd]],Lookups!$Q$2:$T$4,4,FALSE)</f>
        <v>0.99970000000000003</v>
      </c>
      <c r="BH1439" s="25">
        <f>VLOOKUP(Inventory[[#This Row],[Qlty]],Lookups!$O$7:$R$21,4,FALSE)</f>
        <v>1</v>
      </c>
      <c r="BI1439" s="25">
        <f>VLOOKUP(Inventory[[#This Row],[Cnd]],Lookups!$T$7:$W$16,4,FALSE)</f>
        <v>0.99650000000000005</v>
      </c>
      <c r="BJ1439" s="25">
        <f>VLOOKUP(Inventory[[#This Row],[LivArea Range]],Lookups!$T$25:$W$37,4,FALSE)</f>
        <v>1</v>
      </c>
      <c r="BK1439" s="25">
        <f>VLOOKUP(Inventory[[#This Row],[Decade]],Lookups!$O$25:$R$42,4,FALSE)</f>
        <v>0.98909999999999998</v>
      </c>
      <c r="BL1439" s="25">
        <f>Inventory[[#This Row],[Nbhd Adj]]*0.95</f>
        <v>0.94971499999999998</v>
      </c>
      <c r="BM1439" s="25">
        <f>Inventory[[#This Row],[Nbhd Adj]]*Inventory[[#This Row],[Quality Adj]]*Inventory[[#This Row],[Condition Adj]]*Inventory[[#This Row],[Living Area Adj]]*Inventory[[#This Row],[Decade Adj]]*0.95</f>
        <v>0.93607533562724998</v>
      </c>
      <c r="BN1439" s="25">
        <f>ROUND(SUM(Inventory[[#This Row],[Mdl Qlty]:[Mdl WdDeck]])+Inventory[[#This Row],[Mdl Res Intercept]]*Inventory[[#This Row],[Res Adj ]],-2)</f>
        <v>756800</v>
      </c>
      <c r="BO1439" s="25">
        <f>ROUND(Inventory[[#This Row],[25Det]]*Inventory[[#This Row],[Det/Nbhd Adj]],-2)</f>
        <v>53800</v>
      </c>
      <c r="BP1439" s="25">
        <f>Inventory[[#This Row],[Adjusted Res]]+Inventory[[#This Row],[Adj Det ]]</f>
        <v>810600</v>
      </c>
      <c r="BQ1439" s="25">
        <f>ROUND((Inventory[[#This Row],[Mdl Land Intercept]]+Inventory[[#This Row],[Mdl LnAcres]])*Inventory[[#This Row],[Det/Nbhd Adj]],-2)</f>
        <v>44800</v>
      </c>
      <c r="BR1439" s="25">
        <f>Inventory[[#This Row],[Adjusted Impr Total]]+Inventory[[#This Row],[Adjusted Land Total]]</f>
        <v>855400</v>
      </c>
      <c r="BS1439" s="36">
        <f>IFERROR((Inventory[[#This Row],[Adjusted Impr Total]]-Inventory[[#This Row],[24Bldg]])/Inventory[[#This Row],[24Bldg]],0)</f>
        <v>8.0655912544994005E-2</v>
      </c>
      <c r="BT1439" s="36">
        <f>(Inventory[[#This Row],[Adjusted Land Total]]-Inventory[[#This Row],[24Lnd]])/Inventory[[#This Row],[24Lnd]]</f>
        <v>-0.33727810650887574</v>
      </c>
      <c r="BU1439" s="36">
        <f>(Inventory[[#This Row],[Adjusted Total]]-Inventory[[#This Row],[24Final]])/Inventory[[#This Row],[24Final]]</f>
        <v>4.6104928457869634E-2</v>
      </c>
    </row>
    <row r="1440" spans="1:73" x14ac:dyDescent="0.3">
      <c r="A1440" s="25">
        <v>2025</v>
      </c>
      <c r="B1440" s="26" t="s">
        <v>1575</v>
      </c>
      <c r="C1440" s="26">
        <f>LN(Inventory[[#This Row],[Acres]])</f>
        <v>-1.7147984280919266</v>
      </c>
      <c r="D1440" s="25">
        <v>0.18</v>
      </c>
      <c r="E1440" s="31"/>
      <c r="F1440" s="26" t="s">
        <v>537</v>
      </c>
      <c r="G1440" s="26" t="s">
        <v>126</v>
      </c>
      <c r="H1440" s="26" t="s">
        <v>349</v>
      </c>
      <c r="I1440" s="26" t="s">
        <v>538</v>
      </c>
      <c r="J1440" s="26" t="s">
        <v>539</v>
      </c>
      <c r="K1440" s="26" t="s">
        <v>173</v>
      </c>
      <c r="L1440" s="26" t="s">
        <v>148</v>
      </c>
      <c r="M1440" s="26" t="s">
        <v>323</v>
      </c>
      <c r="N1440" s="26">
        <v>90</v>
      </c>
      <c r="O1440" s="26">
        <f>2024-Inventory[[#This Row],[YrBlt]]</f>
        <v>86</v>
      </c>
      <c r="P1440" s="26">
        <f>2024-Inventory[[#This Row],[EffYr]]</f>
        <v>53</v>
      </c>
      <c r="Q1440" s="25">
        <v>1938</v>
      </c>
      <c r="R1440" s="25">
        <v>1971</v>
      </c>
      <c r="S1440" s="25">
        <v>1326</v>
      </c>
      <c r="T1440" s="32">
        <v>270</v>
      </c>
      <c r="U1440" s="25">
        <v>1018</v>
      </c>
      <c r="V1440" s="25">
        <f>Inventory[[#This Row],[Bsmt]]-Inventory[[#This Row],[FnBsmt]]</f>
        <v>418</v>
      </c>
      <c r="W1440" s="25">
        <v>600</v>
      </c>
      <c r="X1440" s="27"/>
      <c r="Y1440" s="27">
        <f>Inventory[[#This Row],[MainFn]]+Inventory[[#This Row],[UpprFn]]+Inventory[[#This Row],[FnBsmt]]+Inventory[[#This Row],[AddFn]]</f>
        <v>2196</v>
      </c>
      <c r="Z1440" s="27">
        <v>2500</v>
      </c>
      <c r="AA1440" s="25">
        <v>10</v>
      </c>
      <c r="AB1440" s="27"/>
      <c r="AC1440" s="32">
        <v>238</v>
      </c>
      <c r="AD1440" s="27"/>
      <c r="AE1440" s="27"/>
      <c r="AF1440" s="27"/>
      <c r="AG1440" s="27"/>
      <c r="AH1440" s="27"/>
      <c r="AI1440" s="25">
        <v>421584</v>
      </c>
      <c r="AJ1440" s="25">
        <v>282461</v>
      </c>
      <c r="AK1440" s="25">
        <v>23379</v>
      </c>
      <c r="AL1440" s="25">
        <v>376700</v>
      </c>
      <c r="AM1440" s="25">
        <v>54700</v>
      </c>
      <c r="AN1440" s="25">
        <v>322000</v>
      </c>
      <c r="AO1440" s="25">
        <v>0</v>
      </c>
      <c r="AP1440" s="25">
        <f>Lookups!$B$56*0</f>
        <v>0</v>
      </c>
      <c r="AQ1440" s="25">
        <f>Lookups!$B$56*1</f>
        <v>89850.625589999996</v>
      </c>
      <c r="AR1440" s="25">
        <f>Lookups!$B$57*Inventory[[#This Row],[LnAcres]]</f>
        <v>-54281.285314520763</v>
      </c>
      <c r="AS1440" s="25">
        <f>VLOOKUP(Inventory[[#This Row],[Qlty]],Lookups!$A$62:$E$75,2,FALSE)</f>
        <v>44121.038090000002</v>
      </c>
      <c r="AT1440" s="25">
        <f>VLOOKUP(Inventory[[#This Row],[Cnd]],Lookups!$A$76:$E$84,2,FALSE)</f>
        <v>160472.20319</v>
      </c>
      <c r="AU1440" s="25">
        <f>Inventory[[#This Row],[EffAge]]*Lookups!$B$85</f>
        <v>-11821.416826500001</v>
      </c>
      <c r="AV1440" s="25">
        <f>Inventory[[#This Row],[MainFn]]*Lookups!$B$86</f>
        <v>65515.896256902</v>
      </c>
      <c r="AW1440" s="25">
        <f>Inventory[[#This Row],[UpprFn]]*Lookups!$B$87</f>
        <v>12092.33417247</v>
      </c>
      <c r="AX1440" s="25">
        <f>Inventory[[#This Row],[AddFn]]*Lookups!$B$88</f>
        <v>0</v>
      </c>
      <c r="AY1440" s="25">
        <f>Inventory[[#This Row],[Bsmt]]*Lookups!$B$89</f>
        <v>29605.369361445999</v>
      </c>
      <c r="AZ1440" s="25">
        <f>Inventory[[#This Row],[Fixtures]]*Lookups!$B$90</f>
        <v>37920.221052000001</v>
      </c>
      <c r="BA1440" s="25">
        <f>Inventory[[#This Row],[WdDeck]]*Lookups!$B$91</f>
        <v>0</v>
      </c>
      <c r="BB1440" s="25">
        <f>ROUND(Inventory[[#This Row],[25Det]],-2)</f>
        <v>23400</v>
      </c>
      <c r="BC1440" s="25">
        <f>ROUND(SUM(Inventory[[#This Row],[Mdl Qlty]:[Mdl WdDeck]])+Inventory[[#This Row],[Mdl Res Intercept]],-2)</f>
        <v>337900</v>
      </c>
      <c r="BD1440" s="25">
        <f>ROUND(Inventory[[#This Row],[Mdl Land Intercept]]+Inventory[[#This Row],[Mdl LnAcres]],-2)</f>
        <v>35600</v>
      </c>
      <c r="BE1440" s="25">
        <f>Inventory[[#This Row],[Unadj Res Value]]+Inventory[[#This Row],[Unadj Det Value]]+Inventory[[#This Row],[Unadj Land Value]]</f>
        <v>396900</v>
      </c>
      <c r="BF1440" s="36">
        <f>(Inventory[[#This Row],[Unadj Total Value]]-Inventory[[#This Row],[24Final]])/Inventory[[#This Row],[24Final]]</f>
        <v>5.3623573135120783E-2</v>
      </c>
      <c r="BG1440" s="25">
        <f>VLOOKUP(Inventory[[#This Row],[Nbhd]],Lookups!$Q$2:$T$4,4,FALSE)</f>
        <v>0.99970000000000003</v>
      </c>
      <c r="BH1440" s="25">
        <f>VLOOKUP(Inventory[[#This Row],[Qlty]],Lookups!$O$7:$R$21,4,FALSE)</f>
        <v>0.98050000000000004</v>
      </c>
      <c r="BI1440" s="25">
        <f>VLOOKUP(Inventory[[#This Row],[Cnd]],Lookups!$T$7:$W$16,4,FALSE)</f>
        <v>0.99729999999999996</v>
      </c>
      <c r="BJ1440" s="25">
        <f>VLOOKUP(Inventory[[#This Row],[LivArea Range]],Lookups!$T$25:$W$37,4,FALSE)</f>
        <v>0.98919999999999997</v>
      </c>
      <c r="BK1440" s="25">
        <f>VLOOKUP(Inventory[[#This Row],[Decade]],Lookups!$O$25:$R$42,4,FALSE)</f>
        <v>0.98909999999999998</v>
      </c>
      <c r="BL1440" s="25">
        <f>Inventory[[#This Row],[Nbhd Adj]]*0.95</f>
        <v>0.94971499999999998</v>
      </c>
      <c r="BM1440" s="25">
        <f>Inventory[[#This Row],[Nbhd Adj]]*Inventory[[#This Row],[Quality Adj]]*Inventory[[#This Row],[Condition Adj]]*Inventory[[#This Row],[Living Area Adj]]*Inventory[[#This Row],[Decade Adj]]*0.95</f>
        <v>0.9086382690108219</v>
      </c>
      <c r="BN1440" s="25">
        <f>ROUND(SUM(Inventory[[#This Row],[Mdl Qlty]:[Mdl WdDeck]])+Inventory[[#This Row],[Mdl Res Intercept]]*Inventory[[#This Row],[Res Adj ]],-2)</f>
        <v>337900</v>
      </c>
      <c r="BO1440" s="25">
        <f>ROUND(Inventory[[#This Row],[25Det]]*Inventory[[#This Row],[Det/Nbhd Adj]],-2)</f>
        <v>22200</v>
      </c>
      <c r="BP1440" s="25">
        <f>Inventory[[#This Row],[Adjusted Res]]+Inventory[[#This Row],[Adj Det ]]</f>
        <v>360100</v>
      </c>
      <c r="BQ1440" s="25">
        <f>ROUND((Inventory[[#This Row],[Mdl Land Intercept]]+Inventory[[#This Row],[Mdl LnAcres]])*Inventory[[#This Row],[Det/Nbhd Adj]],-2)</f>
        <v>33800</v>
      </c>
      <c r="BR1440" s="25">
        <f>Inventory[[#This Row],[Adjusted Impr Total]]+Inventory[[#This Row],[Adjusted Land Total]]</f>
        <v>393900</v>
      </c>
      <c r="BS1440" s="36">
        <f>IFERROR((Inventory[[#This Row],[Adjusted Impr Total]]-Inventory[[#This Row],[24Bldg]])/Inventory[[#This Row],[24Bldg]],0)</f>
        <v>0.11832298136645963</v>
      </c>
      <c r="BT1440" s="36">
        <f>(Inventory[[#This Row],[Adjusted Land Total]]-Inventory[[#This Row],[24Lnd]])/Inventory[[#This Row],[24Lnd]]</f>
        <v>-0.38208409506398539</v>
      </c>
      <c r="BU1440" s="36">
        <f>(Inventory[[#This Row],[Adjusted Total]]-Inventory[[#This Row],[24Final]])/Inventory[[#This Row],[24Final]]</f>
        <v>4.5659676134855325E-2</v>
      </c>
    </row>
    <row r="1441" spans="1:73" x14ac:dyDescent="0.3">
      <c r="A1441" s="25">
        <v>2025</v>
      </c>
      <c r="B1441" s="26" t="s">
        <v>1210</v>
      </c>
      <c r="C1441" s="26">
        <f>LN(Inventory[[#This Row],[Acres]])</f>
        <v>-1.7719568419318752</v>
      </c>
      <c r="D1441" s="25">
        <v>0.17</v>
      </c>
      <c r="E1441" s="25">
        <v>7334</v>
      </c>
      <c r="F1441" s="26" t="s">
        <v>537</v>
      </c>
      <c r="G1441" s="26" t="s">
        <v>126</v>
      </c>
      <c r="H1441" s="26" t="s">
        <v>349</v>
      </c>
      <c r="I1441" s="26" t="s">
        <v>538</v>
      </c>
      <c r="J1441" s="26" t="s">
        <v>539</v>
      </c>
      <c r="K1441" s="26" t="s">
        <v>269</v>
      </c>
      <c r="L1441" s="26" t="s">
        <v>351</v>
      </c>
      <c r="M1441" s="26" t="s">
        <v>303</v>
      </c>
      <c r="N1441" s="26">
        <v>90</v>
      </c>
      <c r="O1441" s="26">
        <f>2024-Inventory[[#This Row],[YrBlt]]</f>
        <v>86</v>
      </c>
      <c r="P1441" s="26">
        <f>2024-Inventory[[#This Row],[EffYr]]</f>
        <v>53</v>
      </c>
      <c r="Q1441" s="25">
        <v>1938</v>
      </c>
      <c r="R1441" s="25">
        <v>1971</v>
      </c>
      <c r="S1441" s="25">
        <v>1414</v>
      </c>
      <c r="T1441" s="27"/>
      <c r="U1441" s="32">
        <v>1414</v>
      </c>
      <c r="V1441" s="32">
        <f>Inventory[[#This Row],[Bsmt]]-Inventory[[#This Row],[FnBsmt]]</f>
        <v>5</v>
      </c>
      <c r="W1441" s="32">
        <v>1409</v>
      </c>
      <c r="X1441" s="27"/>
      <c r="Y1441" s="27">
        <f>Inventory[[#This Row],[MainFn]]+Inventory[[#This Row],[UpprFn]]+Inventory[[#This Row],[FnBsmt]]+Inventory[[#This Row],[AddFn]]</f>
        <v>2823</v>
      </c>
      <c r="Z1441" s="27">
        <v>3000</v>
      </c>
      <c r="AA1441" s="25">
        <v>8</v>
      </c>
      <c r="AB1441" s="31"/>
      <c r="AC1441" s="27"/>
      <c r="AD1441" s="27"/>
      <c r="AE1441" s="27"/>
      <c r="AF1441" s="27"/>
      <c r="AG1441" s="27"/>
      <c r="AH1441" s="27"/>
      <c r="AI1441" s="25">
        <v>346987</v>
      </c>
      <c r="AJ1441" s="25">
        <v>239421</v>
      </c>
      <c r="AK1441" s="25">
        <v>17806</v>
      </c>
      <c r="AL1441" s="25">
        <v>381200</v>
      </c>
      <c r="AM1441" s="25">
        <v>52700</v>
      </c>
      <c r="AN1441" s="25">
        <v>328500</v>
      </c>
      <c r="AO1441" s="25">
        <v>0</v>
      </c>
      <c r="AP1441" s="25">
        <f>Lookups!$B$56*0</f>
        <v>0</v>
      </c>
      <c r="AQ1441" s="25">
        <f>Lookups!$B$56*1</f>
        <v>89850.625589999996</v>
      </c>
      <c r="AR1441" s="25">
        <f>Lookups!$B$57*Inventory[[#This Row],[LnAcres]]</f>
        <v>-56090.612940989391</v>
      </c>
      <c r="AS1441" s="25">
        <f>VLOOKUP(Inventory[[#This Row],[Qlty]],Lookups!$A$62:$E$75,2,FALSE)</f>
        <v>21557.329055999999</v>
      </c>
      <c r="AT1441" s="25">
        <f>VLOOKUP(Inventory[[#This Row],[Cnd]],Lookups!$A$76:$E$84,2,FALSE)</f>
        <v>197752.34721000001</v>
      </c>
      <c r="AU1441" s="25">
        <f>Inventory[[#This Row],[EffAge]]*Lookups!$B$85</f>
        <v>-11821.416826500001</v>
      </c>
      <c r="AV1441" s="25">
        <f>Inventory[[#This Row],[MainFn]]*Lookups!$B$86</f>
        <v>69863.859206078007</v>
      </c>
      <c r="AW1441" s="25">
        <f>Inventory[[#This Row],[UpprFn]]*Lookups!$B$87</f>
        <v>0</v>
      </c>
      <c r="AX1441" s="25">
        <f>Inventory[[#This Row],[AddFn]]*Lookups!$B$88</f>
        <v>0</v>
      </c>
      <c r="AY1441" s="25">
        <f>Inventory[[#This Row],[Bsmt]]*Lookups!$B$89</f>
        <v>41121.799879257997</v>
      </c>
      <c r="AZ1441" s="25">
        <f>Inventory[[#This Row],[Fixtures]]*Lookups!$B$90</f>
        <v>30336.176841600001</v>
      </c>
      <c r="BA1441" s="25">
        <f>Inventory[[#This Row],[WdDeck]]*Lookups!$B$91</f>
        <v>0</v>
      </c>
      <c r="BB1441" s="25">
        <f>ROUND(Inventory[[#This Row],[25Det]],-2)</f>
        <v>17800</v>
      </c>
      <c r="BC1441" s="25">
        <f>ROUND(SUM(Inventory[[#This Row],[Mdl Qlty]:[Mdl WdDeck]])+Inventory[[#This Row],[Mdl Res Intercept]],-2)</f>
        <v>348800</v>
      </c>
      <c r="BD1441" s="25">
        <f>ROUND(Inventory[[#This Row],[Mdl Land Intercept]]+Inventory[[#This Row],[Mdl LnAcres]],-2)</f>
        <v>33800</v>
      </c>
      <c r="BE1441" s="25">
        <f>Inventory[[#This Row],[Unadj Res Value]]+Inventory[[#This Row],[Unadj Det Value]]+Inventory[[#This Row],[Unadj Land Value]]</f>
        <v>400400</v>
      </c>
      <c r="BF1441" s="36">
        <f>(Inventory[[#This Row],[Unadj Total Value]]-Inventory[[#This Row],[24Final]])/Inventory[[#This Row],[24Final]]</f>
        <v>5.0367261280167892E-2</v>
      </c>
      <c r="BG1441" s="25">
        <f>VLOOKUP(Inventory[[#This Row],[Nbhd]],Lookups!$Q$2:$T$4,4,FALSE)</f>
        <v>0.99970000000000003</v>
      </c>
      <c r="BH1441" s="25">
        <f>VLOOKUP(Inventory[[#This Row],[Qlty]],Lookups!$O$7:$R$21,4,FALSE)</f>
        <v>1.0067999999999999</v>
      </c>
      <c r="BI1441" s="25">
        <f>VLOOKUP(Inventory[[#This Row],[Cnd]],Lookups!$T$7:$W$16,4,FALSE)</f>
        <v>0.99650000000000005</v>
      </c>
      <c r="BJ1441" s="25">
        <f>VLOOKUP(Inventory[[#This Row],[LivArea Range]],Lookups!$T$25:$W$37,4,FALSE)</f>
        <v>0.96179999999999999</v>
      </c>
      <c r="BK1441" s="25">
        <f>VLOOKUP(Inventory[[#This Row],[Decade]],Lookups!$O$25:$R$42,4,FALSE)</f>
        <v>0.98909999999999998</v>
      </c>
      <c r="BL1441" s="25">
        <f>Inventory[[#This Row],[Nbhd Adj]]*0.95</f>
        <v>0.94971499999999998</v>
      </c>
      <c r="BM1441" s="25">
        <f>Inventory[[#This Row],[Nbhd Adj]]*Inventory[[#This Row],[Quality Adj]]*Inventory[[#This Row],[Condition Adj]]*Inventory[[#This Row],[Living Area Adj]]*Inventory[[#This Row],[Decade Adj]]*0.95</f>
        <v>0.90643941515937176</v>
      </c>
      <c r="BN1441" s="25">
        <f>ROUND(SUM(Inventory[[#This Row],[Mdl Qlty]:[Mdl WdDeck]])+Inventory[[#This Row],[Mdl Res Intercept]]*Inventory[[#This Row],[Res Adj ]],-2)</f>
        <v>348800</v>
      </c>
      <c r="BO1441" s="25">
        <f>ROUND(Inventory[[#This Row],[25Det]]*Inventory[[#This Row],[Det/Nbhd Adj]],-2)</f>
        <v>16900</v>
      </c>
      <c r="BP1441" s="25">
        <f>Inventory[[#This Row],[Adjusted Res]]+Inventory[[#This Row],[Adj Det ]]</f>
        <v>365700</v>
      </c>
      <c r="BQ1441" s="25">
        <f>ROUND((Inventory[[#This Row],[Mdl Land Intercept]]+Inventory[[#This Row],[Mdl LnAcres]])*Inventory[[#This Row],[Det/Nbhd Adj]],-2)</f>
        <v>32100</v>
      </c>
      <c r="BR1441" s="25">
        <f>Inventory[[#This Row],[Adjusted Impr Total]]+Inventory[[#This Row],[Adjusted Land Total]]</f>
        <v>397800</v>
      </c>
      <c r="BS1441" s="36">
        <f>IFERROR((Inventory[[#This Row],[Adjusted Impr Total]]-Inventory[[#This Row],[24Bldg]])/Inventory[[#This Row],[24Bldg]],0)</f>
        <v>0.11324200913242009</v>
      </c>
      <c r="BT1441" s="36">
        <f>(Inventory[[#This Row],[Adjusted Land Total]]-Inventory[[#This Row],[24Lnd]])/Inventory[[#This Row],[24Lnd]]</f>
        <v>-0.39089184060721061</v>
      </c>
      <c r="BU1441" s="36">
        <f>(Inventory[[#This Row],[Adjusted Total]]-Inventory[[#This Row],[24Final]])/Inventory[[#This Row],[24Final]]</f>
        <v>4.354669464847849E-2</v>
      </c>
    </row>
    <row r="1442" spans="1:73" x14ac:dyDescent="0.3">
      <c r="A1442" s="25">
        <v>2025</v>
      </c>
      <c r="B1442" s="26" t="s">
        <v>893</v>
      </c>
      <c r="C1442" s="26">
        <f>LN(Inventory[[#This Row],[Acres]])</f>
        <v>-1.3470736479666092</v>
      </c>
      <c r="D1442" s="25">
        <v>0.26</v>
      </c>
      <c r="E1442" s="25">
        <v>11332</v>
      </c>
      <c r="F1442" s="26" t="s">
        <v>537</v>
      </c>
      <c r="G1442" s="26" t="s">
        <v>126</v>
      </c>
      <c r="H1442" s="26" t="s">
        <v>349</v>
      </c>
      <c r="I1442" s="26" t="s">
        <v>538</v>
      </c>
      <c r="J1442" s="26" t="s">
        <v>539</v>
      </c>
      <c r="K1442" s="26" t="s">
        <v>173</v>
      </c>
      <c r="L1442" s="26" t="s">
        <v>351</v>
      </c>
      <c r="M1442" s="26" t="s">
        <v>323</v>
      </c>
      <c r="N1442" s="26">
        <v>90</v>
      </c>
      <c r="O1442" s="26">
        <f>2024-Inventory[[#This Row],[YrBlt]]</f>
        <v>86</v>
      </c>
      <c r="P1442" s="26">
        <f>2024-Inventory[[#This Row],[EffYr]]</f>
        <v>53</v>
      </c>
      <c r="Q1442" s="25">
        <v>1938</v>
      </c>
      <c r="R1442" s="25">
        <v>1971</v>
      </c>
      <c r="S1442" s="25">
        <v>1060</v>
      </c>
      <c r="T1442" s="32">
        <v>200</v>
      </c>
      <c r="U1442" s="25">
        <v>576</v>
      </c>
      <c r="V1442" s="32">
        <f>Inventory[[#This Row],[Bsmt]]-Inventory[[#This Row],[FnBsmt]]</f>
        <v>301</v>
      </c>
      <c r="W1442" s="32">
        <v>275</v>
      </c>
      <c r="X1442" s="27"/>
      <c r="Y1442" s="27">
        <f>Inventory[[#This Row],[MainFn]]+Inventory[[#This Row],[UpprFn]]+Inventory[[#This Row],[FnBsmt]]+Inventory[[#This Row],[AddFn]]</f>
        <v>1535</v>
      </c>
      <c r="Z1442" s="27">
        <v>2000</v>
      </c>
      <c r="AA1442" s="25">
        <v>8</v>
      </c>
      <c r="AB1442" s="31"/>
      <c r="AC1442" s="27"/>
      <c r="AD1442" s="31"/>
      <c r="AE1442" s="27"/>
      <c r="AF1442" s="27"/>
      <c r="AG1442" s="27"/>
      <c r="AH1442" s="27"/>
      <c r="AI1442" s="25">
        <v>245021</v>
      </c>
      <c r="AJ1442" s="25">
        <v>164164</v>
      </c>
      <c r="AK1442" s="25">
        <v>0</v>
      </c>
      <c r="AL1442" s="25">
        <v>311200</v>
      </c>
      <c r="AM1442" s="25">
        <v>67600</v>
      </c>
      <c r="AN1442" s="25">
        <v>243600</v>
      </c>
      <c r="AO1442" s="25">
        <v>0</v>
      </c>
      <c r="AP1442" s="25">
        <f>Lookups!$B$56*0</f>
        <v>0</v>
      </c>
      <c r="AQ1442" s="25">
        <f>Lookups!$B$56*1</f>
        <v>89850.625589999996</v>
      </c>
      <c r="AR1442" s="25">
        <f>Lookups!$B$57*Inventory[[#This Row],[LnAcres]]</f>
        <v>-42641.098701210125</v>
      </c>
      <c r="AS1442" s="25">
        <f>VLOOKUP(Inventory[[#This Row],[Qlty]],Lookups!$A$62:$E$75,2,FALSE)</f>
        <v>21557.329055999999</v>
      </c>
      <c r="AT1442" s="25">
        <f>VLOOKUP(Inventory[[#This Row],[Cnd]],Lookups!$A$76:$E$84,2,FALSE)</f>
        <v>160472.20319</v>
      </c>
      <c r="AU1442" s="25">
        <f>Inventory[[#This Row],[EffAge]]*Lookups!$B$85</f>
        <v>-11821.416826500001</v>
      </c>
      <c r="AV1442" s="25">
        <f>Inventory[[#This Row],[MainFn]]*Lookups!$B$86</f>
        <v>52373.190069620003</v>
      </c>
      <c r="AW1442" s="25">
        <f>Inventory[[#This Row],[UpprFn]]*Lookups!$B$87</f>
        <v>8957.2845722000002</v>
      </c>
      <c r="AX1442" s="25">
        <f>Inventory[[#This Row],[AddFn]]*Lookups!$B$88</f>
        <v>0</v>
      </c>
      <c r="AY1442" s="25">
        <f>Inventory[[#This Row],[Bsmt]]*Lookups!$B$89</f>
        <v>16751.171662271998</v>
      </c>
      <c r="AZ1442" s="25">
        <f>Inventory[[#This Row],[Fixtures]]*Lookups!$B$90</f>
        <v>30336.176841600001</v>
      </c>
      <c r="BA1442" s="25">
        <f>Inventory[[#This Row],[WdDeck]]*Lookups!$B$91</f>
        <v>0</v>
      </c>
      <c r="BB1442" s="25">
        <f>ROUND(Inventory[[#This Row],[25Det]],-2)</f>
        <v>0</v>
      </c>
      <c r="BC1442" s="25">
        <f>ROUND(SUM(Inventory[[#This Row],[Mdl Qlty]:[Mdl WdDeck]])+Inventory[[#This Row],[Mdl Res Intercept]],-2)</f>
        <v>278600</v>
      </c>
      <c r="BD1442" s="25">
        <f>ROUND(Inventory[[#This Row],[Mdl Land Intercept]]+Inventory[[#This Row],[Mdl LnAcres]],-2)</f>
        <v>47200</v>
      </c>
      <c r="BE1442" s="25">
        <f>Inventory[[#This Row],[Unadj Res Value]]+Inventory[[#This Row],[Unadj Det Value]]+Inventory[[#This Row],[Unadj Land Value]]</f>
        <v>325800</v>
      </c>
      <c r="BF1442" s="36">
        <f>(Inventory[[#This Row],[Unadj Total Value]]-Inventory[[#This Row],[24Final]])/Inventory[[#This Row],[24Final]]</f>
        <v>4.691516709511568E-2</v>
      </c>
      <c r="BG1442" s="25">
        <f>VLOOKUP(Inventory[[#This Row],[Nbhd]],Lookups!$Q$2:$T$4,4,FALSE)</f>
        <v>0.99970000000000003</v>
      </c>
      <c r="BH1442" s="25">
        <f>VLOOKUP(Inventory[[#This Row],[Qlty]],Lookups!$O$7:$R$21,4,FALSE)</f>
        <v>1.0067999999999999</v>
      </c>
      <c r="BI1442" s="25">
        <f>VLOOKUP(Inventory[[#This Row],[Cnd]],Lookups!$T$7:$W$16,4,FALSE)</f>
        <v>0.99729999999999996</v>
      </c>
      <c r="BJ1442" s="25">
        <f>VLOOKUP(Inventory[[#This Row],[LivArea Range]],Lookups!$T$25:$W$37,4,FALSE)</f>
        <v>1.0093000000000001</v>
      </c>
      <c r="BK1442" s="25">
        <f>VLOOKUP(Inventory[[#This Row],[Decade]],Lookups!$O$25:$R$42,4,FALSE)</f>
        <v>0.98909999999999998</v>
      </c>
      <c r="BL1442" s="25">
        <f>Inventory[[#This Row],[Nbhd Adj]]*0.95</f>
        <v>0.94971499999999998</v>
      </c>
      <c r="BM1442" s="25">
        <f>Inventory[[#This Row],[Nbhd Adj]]*Inventory[[#This Row],[Quality Adj]]*Inventory[[#This Row],[Condition Adj]]*Inventory[[#This Row],[Living Area Adj]]*Inventory[[#This Row],[Decade Adj]]*0.95</f>
        <v>0.95196898294134369</v>
      </c>
      <c r="BN1442" s="25">
        <f>ROUND(SUM(Inventory[[#This Row],[Mdl Qlty]:[Mdl WdDeck]])+Inventory[[#This Row],[Mdl Res Intercept]]*Inventory[[#This Row],[Res Adj ]],-2)</f>
        <v>278600</v>
      </c>
      <c r="BO1442" s="25">
        <f>ROUND(Inventory[[#This Row],[25Det]]*Inventory[[#This Row],[Det/Nbhd Adj]],-2)</f>
        <v>0</v>
      </c>
      <c r="BP1442" s="25">
        <f>Inventory[[#This Row],[Adjusted Res]]+Inventory[[#This Row],[Adj Det ]]</f>
        <v>278600</v>
      </c>
      <c r="BQ1442" s="25">
        <f>ROUND((Inventory[[#This Row],[Mdl Land Intercept]]+Inventory[[#This Row],[Mdl LnAcres]])*Inventory[[#This Row],[Det/Nbhd Adj]],-2)</f>
        <v>44800</v>
      </c>
      <c r="BR1442" s="25">
        <f>Inventory[[#This Row],[Adjusted Impr Total]]+Inventory[[#This Row],[Adjusted Land Total]]</f>
        <v>323400</v>
      </c>
      <c r="BS1442" s="36">
        <f>IFERROR((Inventory[[#This Row],[Adjusted Impr Total]]-Inventory[[#This Row],[24Bldg]])/Inventory[[#This Row],[24Bldg]],0)</f>
        <v>0.14367816091954022</v>
      </c>
      <c r="BT1442" s="36">
        <f>(Inventory[[#This Row],[Adjusted Land Total]]-Inventory[[#This Row],[24Lnd]])/Inventory[[#This Row],[24Lnd]]</f>
        <v>-0.33727810650887574</v>
      </c>
      <c r="BU1442" s="36">
        <f>(Inventory[[#This Row],[Adjusted Total]]-Inventory[[#This Row],[24Final]])/Inventory[[#This Row],[24Final]]</f>
        <v>3.9203084832904883E-2</v>
      </c>
    </row>
    <row r="1443" spans="1:73" x14ac:dyDescent="0.3">
      <c r="A1443" s="25">
        <v>2025</v>
      </c>
      <c r="B1443" s="26" t="s">
        <v>889</v>
      </c>
      <c r="C1443" s="26">
        <f>LN(Inventory[[#This Row],[Acres]])</f>
        <v>-1.4696759700589417</v>
      </c>
      <c r="D1443" s="25">
        <v>0.23</v>
      </c>
      <c r="E1443" s="32">
        <v>9968</v>
      </c>
      <c r="F1443" s="26" t="s">
        <v>537</v>
      </c>
      <c r="G1443" s="26" t="s">
        <v>126</v>
      </c>
      <c r="H1443" s="26" t="s">
        <v>349</v>
      </c>
      <c r="I1443" s="26" t="s">
        <v>538</v>
      </c>
      <c r="J1443" s="26" t="s">
        <v>539</v>
      </c>
      <c r="K1443" s="26" t="s">
        <v>147</v>
      </c>
      <c r="L1443" s="26" t="s">
        <v>351</v>
      </c>
      <c r="M1443" s="26" t="s">
        <v>303</v>
      </c>
      <c r="N1443" s="26">
        <v>90</v>
      </c>
      <c r="O1443" s="26">
        <f>2024-Inventory[[#This Row],[YrBlt]]</f>
        <v>86</v>
      </c>
      <c r="P1443" s="26">
        <f>2024-Inventory[[#This Row],[EffYr]]</f>
        <v>53</v>
      </c>
      <c r="Q1443" s="25">
        <v>1938</v>
      </c>
      <c r="R1443" s="25">
        <v>1971</v>
      </c>
      <c r="S1443" s="25">
        <v>1003</v>
      </c>
      <c r="T1443" s="32">
        <v>669</v>
      </c>
      <c r="U1443" s="25">
        <v>1003</v>
      </c>
      <c r="V1443" s="25">
        <f>Inventory[[#This Row],[Bsmt]]-Inventory[[#This Row],[FnBsmt]]</f>
        <v>0</v>
      </c>
      <c r="W1443" s="25">
        <v>1003</v>
      </c>
      <c r="X1443" s="27"/>
      <c r="Y1443" s="27">
        <f>Inventory[[#This Row],[MainFn]]+Inventory[[#This Row],[UpprFn]]+Inventory[[#This Row],[FnBsmt]]+Inventory[[#This Row],[AddFn]]</f>
        <v>2675</v>
      </c>
      <c r="Z1443" s="27">
        <v>3000</v>
      </c>
      <c r="AA1443" s="25">
        <v>9</v>
      </c>
      <c r="AB1443" s="31"/>
      <c r="AC1443" s="27"/>
      <c r="AD1443" s="27"/>
      <c r="AE1443" s="27"/>
      <c r="AF1443" s="27"/>
      <c r="AG1443" s="27"/>
      <c r="AH1443" s="27"/>
      <c r="AI1443" s="25">
        <v>353962</v>
      </c>
      <c r="AJ1443" s="25">
        <v>244234</v>
      </c>
      <c r="AK1443" s="25">
        <v>15030</v>
      </c>
      <c r="AL1443" s="25">
        <v>390400</v>
      </c>
      <c r="AM1443" s="25">
        <v>63300</v>
      </c>
      <c r="AN1443" s="25">
        <v>327100</v>
      </c>
      <c r="AO1443" s="25">
        <v>0</v>
      </c>
      <c r="AP1443" s="25">
        <f>Lookups!$B$56*0</f>
        <v>0</v>
      </c>
      <c r="AQ1443" s="25">
        <f>Lookups!$B$56*1</f>
        <v>89850.625589999996</v>
      </c>
      <c r="AR1443" s="25">
        <f>Lookups!$B$57*Inventory[[#This Row],[LnAcres]]</f>
        <v>-46522.028095997222</v>
      </c>
      <c r="AS1443" s="25">
        <f>VLOOKUP(Inventory[[#This Row],[Qlty]],Lookups!$A$62:$E$75,2,FALSE)</f>
        <v>21557.329055999999</v>
      </c>
      <c r="AT1443" s="25">
        <f>VLOOKUP(Inventory[[#This Row],[Cnd]],Lookups!$A$76:$E$84,2,FALSE)</f>
        <v>197752.34721000001</v>
      </c>
      <c r="AU1443" s="25">
        <f>Inventory[[#This Row],[EffAge]]*Lookups!$B$85</f>
        <v>-11821.416826500001</v>
      </c>
      <c r="AV1443" s="25">
        <f>Inventory[[#This Row],[MainFn]]*Lookups!$B$86</f>
        <v>49556.895886630999</v>
      </c>
      <c r="AW1443" s="25">
        <f>Inventory[[#This Row],[UpprFn]]*Lookups!$B$87</f>
        <v>29962.116894008999</v>
      </c>
      <c r="AX1443" s="25">
        <f>Inventory[[#This Row],[AddFn]]*Lookups!$B$88</f>
        <v>0</v>
      </c>
      <c r="AY1443" s="25">
        <f>Inventory[[#This Row],[Bsmt]]*Lookups!$B$89</f>
        <v>29169.140932741</v>
      </c>
      <c r="AZ1443" s="25">
        <f>Inventory[[#This Row],[Fixtures]]*Lookups!$B$90</f>
        <v>34128.198946800003</v>
      </c>
      <c r="BA1443" s="25">
        <f>Inventory[[#This Row],[WdDeck]]*Lookups!$B$91</f>
        <v>0</v>
      </c>
      <c r="BB1443" s="25">
        <f>ROUND(Inventory[[#This Row],[25Det]],-2)</f>
        <v>15000</v>
      </c>
      <c r="BC1443" s="25">
        <f>ROUND(SUM(Inventory[[#This Row],[Mdl Qlty]:[Mdl WdDeck]])+Inventory[[#This Row],[Mdl Res Intercept]],-2)</f>
        <v>350300</v>
      </c>
      <c r="BD1443" s="25">
        <f>ROUND(Inventory[[#This Row],[Mdl Land Intercept]]+Inventory[[#This Row],[Mdl LnAcres]],-2)</f>
        <v>43300</v>
      </c>
      <c r="BE1443" s="25">
        <f>Inventory[[#This Row],[Unadj Res Value]]+Inventory[[#This Row],[Unadj Det Value]]+Inventory[[#This Row],[Unadj Land Value]]</f>
        <v>408600</v>
      </c>
      <c r="BF1443" s="36">
        <f>(Inventory[[#This Row],[Unadj Total Value]]-Inventory[[#This Row],[24Final]])/Inventory[[#This Row],[24Final]]</f>
        <v>4.6618852459016397E-2</v>
      </c>
      <c r="BG1443" s="25">
        <f>VLOOKUP(Inventory[[#This Row],[Nbhd]],Lookups!$Q$2:$T$4,4,FALSE)</f>
        <v>0.99970000000000003</v>
      </c>
      <c r="BH1443" s="25">
        <f>VLOOKUP(Inventory[[#This Row],[Qlty]],Lookups!$O$7:$R$21,4,FALSE)</f>
        <v>1.0067999999999999</v>
      </c>
      <c r="BI1443" s="25">
        <f>VLOOKUP(Inventory[[#This Row],[Cnd]],Lookups!$T$7:$W$16,4,FALSE)</f>
        <v>0.99650000000000005</v>
      </c>
      <c r="BJ1443" s="25">
        <f>VLOOKUP(Inventory[[#This Row],[LivArea Range]],Lookups!$T$25:$W$37,4,FALSE)</f>
        <v>0.96179999999999999</v>
      </c>
      <c r="BK1443" s="25">
        <f>VLOOKUP(Inventory[[#This Row],[Decade]],Lookups!$O$25:$R$42,4,FALSE)</f>
        <v>0.98909999999999998</v>
      </c>
      <c r="BL1443" s="25">
        <f>Inventory[[#This Row],[Nbhd Adj]]*0.95</f>
        <v>0.94971499999999998</v>
      </c>
      <c r="BM1443" s="25">
        <f>Inventory[[#This Row],[Nbhd Adj]]*Inventory[[#This Row],[Quality Adj]]*Inventory[[#This Row],[Condition Adj]]*Inventory[[#This Row],[Living Area Adj]]*Inventory[[#This Row],[Decade Adj]]*0.95</f>
        <v>0.90643941515937176</v>
      </c>
      <c r="BN1443" s="25">
        <f>ROUND(SUM(Inventory[[#This Row],[Mdl Qlty]:[Mdl WdDeck]])+Inventory[[#This Row],[Mdl Res Intercept]]*Inventory[[#This Row],[Res Adj ]],-2)</f>
        <v>350300</v>
      </c>
      <c r="BO1443" s="25">
        <f>ROUND(Inventory[[#This Row],[25Det]]*Inventory[[#This Row],[Det/Nbhd Adj]],-2)</f>
        <v>14300</v>
      </c>
      <c r="BP1443" s="25">
        <f>Inventory[[#This Row],[Adjusted Res]]+Inventory[[#This Row],[Adj Det ]]</f>
        <v>364600</v>
      </c>
      <c r="BQ1443" s="25">
        <f>ROUND((Inventory[[#This Row],[Mdl Land Intercept]]+Inventory[[#This Row],[Mdl LnAcres]])*Inventory[[#This Row],[Det/Nbhd Adj]],-2)</f>
        <v>41100</v>
      </c>
      <c r="BR1443" s="25">
        <f>Inventory[[#This Row],[Adjusted Impr Total]]+Inventory[[#This Row],[Adjusted Land Total]]</f>
        <v>405700</v>
      </c>
      <c r="BS1443" s="36">
        <f>IFERROR((Inventory[[#This Row],[Adjusted Impr Total]]-Inventory[[#This Row],[24Bldg]])/Inventory[[#This Row],[24Bldg]],0)</f>
        <v>0.11464383980434117</v>
      </c>
      <c r="BT1443" s="36">
        <f>(Inventory[[#This Row],[Adjusted Land Total]]-Inventory[[#This Row],[24Lnd]])/Inventory[[#This Row],[24Lnd]]</f>
        <v>-0.35071090047393366</v>
      </c>
      <c r="BU1443" s="36">
        <f>(Inventory[[#This Row],[Adjusted Total]]-Inventory[[#This Row],[24Final]])/Inventory[[#This Row],[24Final]]</f>
        <v>3.9190573770491802E-2</v>
      </c>
    </row>
    <row r="1444" spans="1:73" x14ac:dyDescent="0.3">
      <c r="A1444" s="25">
        <v>2025</v>
      </c>
      <c r="B1444" s="26" t="s">
        <v>2722</v>
      </c>
      <c r="C1444" s="26">
        <f>LN(Inventory[[#This Row],[Acres]])</f>
        <v>-1.3093333199837622</v>
      </c>
      <c r="D1444" s="25">
        <v>0.27</v>
      </c>
      <c r="E1444" s="31"/>
      <c r="F1444" s="26" t="s">
        <v>537</v>
      </c>
      <c r="G1444" s="26" t="s">
        <v>126</v>
      </c>
      <c r="H1444" s="26" t="s">
        <v>349</v>
      </c>
      <c r="I1444" s="26" t="s">
        <v>538</v>
      </c>
      <c r="J1444" s="26" t="s">
        <v>539</v>
      </c>
      <c r="K1444" s="26" t="s">
        <v>147</v>
      </c>
      <c r="L1444" s="26" t="s">
        <v>148</v>
      </c>
      <c r="M1444" s="26" t="s">
        <v>323</v>
      </c>
      <c r="N1444" s="26">
        <v>90</v>
      </c>
      <c r="O1444" s="26">
        <f>2024-Inventory[[#This Row],[YrBlt]]</f>
        <v>86</v>
      </c>
      <c r="P1444" s="26">
        <f>2024-Inventory[[#This Row],[EffYr]]</f>
        <v>53</v>
      </c>
      <c r="Q1444" s="25">
        <v>1938</v>
      </c>
      <c r="R1444" s="25">
        <v>1971</v>
      </c>
      <c r="S1444" s="25">
        <v>1650</v>
      </c>
      <c r="T1444" s="32">
        <v>975</v>
      </c>
      <c r="U1444" s="32">
        <v>1650</v>
      </c>
      <c r="V1444" s="32">
        <f>Inventory[[#This Row],[Bsmt]]-Inventory[[#This Row],[FnBsmt]]</f>
        <v>320</v>
      </c>
      <c r="W1444" s="32">
        <v>1330</v>
      </c>
      <c r="X1444" s="27"/>
      <c r="Y1444" s="27">
        <f>Inventory[[#This Row],[MainFn]]+Inventory[[#This Row],[UpprFn]]+Inventory[[#This Row],[FnBsmt]]+Inventory[[#This Row],[AddFn]]</f>
        <v>3955</v>
      </c>
      <c r="Z1444" s="27">
        <v>4000</v>
      </c>
      <c r="AA1444" s="25">
        <v>11</v>
      </c>
      <c r="AB1444" s="31"/>
      <c r="AC1444" s="27"/>
      <c r="AD1444" s="27"/>
      <c r="AE1444" s="27"/>
      <c r="AF1444" s="27"/>
      <c r="AG1444" s="27"/>
      <c r="AH1444" s="27"/>
      <c r="AI1444" s="25">
        <v>631890</v>
      </c>
      <c r="AJ1444" s="25">
        <v>423366</v>
      </c>
      <c r="AK1444" s="25">
        <v>11232</v>
      </c>
      <c r="AL1444" s="25">
        <v>452800</v>
      </c>
      <c r="AM1444" s="25">
        <v>68900</v>
      </c>
      <c r="AN1444" s="25">
        <v>383900</v>
      </c>
      <c r="AO1444" s="25">
        <v>0</v>
      </c>
      <c r="AP1444" s="25">
        <f>Lookups!$B$56*0</f>
        <v>0</v>
      </c>
      <c r="AQ1444" s="25">
        <f>Lookups!$B$56*1</f>
        <v>89850.625589999996</v>
      </c>
      <c r="AR1444" s="25">
        <f>Lookups!$B$57*Inventory[[#This Row],[LnAcres]]</f>
        <v>-41446.443120973789</v>
      </c>
      <c r="AS1444" s="25">
        <f>VLOOKUP(Inventory[[#This Row],[Qlty]],Lookups!$A$62:$E$75,2,FALSE)</f>
        <v>44121.038090000002</v>
      </c>
      <c r="AT1444" s="25">
        <f>VLOOKUP(Inventory[[#This Row],[Cnd]],Lookups!$A$76:$E$84,2,FALSE)</f>
        <v>160472.20319</v>
      </c>
      <c r="AU1444" s="25">
        <f>Inventory[[#This Row],[EffAge]]*Lookups!$B$85</f>
        <v>-11821.416826500001</v>
      </c>
      <c r="AV1444" s="25">
        <f>Inventory[[#This Row],[MainFn]]*Lookups!$B$86</f>
        <v>81524.305297049999</v>
      </c>
      <c r="AW1444" s="25">
        <f>Inventory[[#This Row],[UpprFn]]*Lookups!$B$87</f>
        <v>43666.762289475002</v>
      </c>
      <c r="AX1444" s="25">
        <f>Inventory[[#This Row],[AddFn]]*Lookups!$B$88</f>
        <v>0</v>
      </c>
      <c r="AY1444" s="25">
        <f>Inventory[[#This Row],[Bsmt]]*Lookups!$B$89</f>
        <v>47985.12715755</v>
      </c>
      <c r="AZ1444" s="25">
        <f>Inventory[[#This Row],[Fixtures]]*Lookups!$B$90</f>
        <v>41712.243157199999</v>
      </c>
      <c r="BA1444" s="25">
        <f>Inventory[[#This Row],[WdDeck]]*Lookups!$B$91</f>
        <v>0</v>
      </c>
      <c r="BB1444" s="25">
        <f>ROUND(Inventory[[#This Row],[25Det]],-2)</f>
        <v>11200</v>
      </c>
      <c r="BC1444" s="25">
        <f>ROUND(SUM(Inventory[[#This Row],[Mdl Qlty]:[Mdl WdDeck]])+Inventory[[#This Row],[Mdl Res Intercept]],-2)</f>
        <v>407700</v>
      </c>
      <c r="BD1444" s="25">
        <f>ROUND(Inventory[[#This Row],[Mdl Land Intercept]]+Inventory[[#This Row],[Mdl LnAcres]],-2)</f>
        <v>48400</v>
      </c>
      <c r="BE1444" s="25">
        <f>Inventory[[#This Row],[Unadj Res Value]]+Inventory[[#This Row],[Unadj Det Value]]+Inventory[[#This Row],[Unadj Land Value]]</f>
        <v>467300</v>
      </c>
      <c r="BF1444" s="36">
        <f>(Inventory[[#This Row],[Unadj Total Value]]-Inventory[[#This Row],[24Final]])/Inventory[[#This Row],[24Final]]</f>
        <v>3.2022968197879857E-2</v>
      </c>
      <c r="BG1444" s="25">
        <f>VLOOKUP(Inventory[[#This Row],[Nbhd]],Lookups!$Q$2:$T$4,4,FALSE)</f>
        <v>0.99970000000000003</v>
      </c>
      <c r="BH1444" s="25">
        <f>VLOOKUP(Inventory[[#This Row],[Qlty]],Lookups!$O$7:$R$21,4,FALSE)</f>
        <v>0.98050000000000004</v>
      </c>
      <c r="BI1444" s="25">
        <f>VLOOKUP(Inventory[[#This Row],[Cnd]],Lookups!$T$7:$W$16,4,FALSE)</f>
        <v>0.99729999999999996</v>
      </c>
      <c r="BJ1444" s="25">
        <f>VLOOKUP(Inventory[[#This Row],[LivArea Range]],Lookups!$T$25:$W$37,4,FALSE)</f>
        <v>0.94579999999999997</v>
      </c>
      <c r="BK1444" s="25">
        <f>VLOOKUP(Inventory[[#This Row],[Decade]],Lookups!$O$25:$R$42,4,FALSE)</f>
        <v>0.98909999999999998</v>
      </c>
      <c r="BL1444" s="25">
        <f>Inventory[[#This Row],[Nbhd Adj]]*0.95</f>
        <v>0.94971499999999998</v>
      </c>
      <c r="BM1444" s="25">
        <f>Inventory[[#This Row],[Nbhd Adj]]*Inventory[[#This Row],[Quality Adj]]*Inventory[[#This Row],[Condition Adj]]*Inventory[[#This Row],[Living Area Adj]]*Inventory[[#This Row],[Decade Adj]]*0.95</f>
        <v>0.86877282130048061</v>
      </c>
      <c r="BN1444" s="25">
        <f>ROUND(SUM(Inventory[[#This Row],[Mdl Qlty]:[Mdl WdDeck]])+Inventory[[#This Row],[Mdl Res Intercept]]*Inventory[[#This Row],[Res Adj ]],-2)</f>
        <v>407700</v>
      </c>
      <c r="BO1444" s="25">
        <f>ROUND(Inventory[[#This Row],[25Det]]*Inventory[[#This Row],[Det/Nbhd Adj]],-2)</f>
        <v>10700</v>
      </c>
      <c r="BP1444" s="25">
        <f>Inventory[[#This Row],[Adjusted Res]]+Inventory[[#This Row],[Adj Det ]]</f>
        <v>418400</v>
      </c>
      <c r="BQ1444" s="25">
        <f>ROUND((Inventory[[#This Row],[Mdl Land Intercept]]+Inventory[[#This Row],[Mdl LnAcres]])*Inventory[[#This Row],[Det/Nbhd Adj]],-2)</f>
        <v>46000</v>
      </c>
      <c r="BR1444" s="25">
        <f>Inventory[[#This Row],[Adjusted Impr Total]]+Inventory[[#This Row],[Adjusted Land Total]]</f>
        <v>464400</v>
      </c>
      <c r="BS1444" s="36">
        <f>IFERROR((Inventory[[#This Row],[Adjusted Impr Total]]-Inventory[[#This Row],[24Bldg]])/Inventory[[#This Row],[24Bldg]],0)</f>
        <v>8.9867152904402184E-2</v>
      </c>
      <c r="BT1444" s="36">
        <f>(Inventory[[#This Row],[Adjusted Land Total]]-Inventory[[#This Row],[24Lnd]])/Inventory[[#This Row],[24Lnd]]</f>
        <v>-0.33236574746008707</v>
      </c>
      <c r="BU1444" s="36">
        <f>(Inventory[[#This Row],[Adjusted Total]]-Inventory[[#This Row],[24Final]])/Inventory[[#This Row],[24Final]]</f>
        <v>2.5618374558303889E-2</v>
      </c>
    </row>
    <row r="1445" spans="1:73" x14ac:dyDescent="0.3">
      <c r="A1445" s="25">
        <v>2025</v>
      </c>
      <c r="B1445" s="26" t="s">
        <v>925</v>
      </c>
      <c r="C1445" s="26">
        <f>LN(Inventory[[#This Row],[Acres]])</f>
        <v>-0.96758402626170559</v>
      </c>
      <c r="D1445" s="25">
        <v>0.38</v>
      </c>
      <c r="E1445" s="25">
        <v>16575</v>
      </c>
      <c r="F1445" s="26" t="s">
        <v>537</v>
      </c>
      <c r="G1445" s="26" t="s">
        <v>126</v>
      </c>
      <c r="H1445" s="26" t="s">
        <v>349</v>
      </c>
      <c r="I1445" s="26" t="s">
        <v>538</v>
      </c>
      <c r="J1445" s="26" t="s">
        <v>539</v>
      </c>
      <c r="K1445" s="26" t="s">
        <v>242</v>
      </c>
      <c r="L1445" s="26" t="s">
        <v>205</v>
      </c>
      <c r="M1445" s="26" t="s">
        <v>323</v>
      </c>
      <c r="N1445" s="26">
        <v>90</v>
      </c>
      <c r="O1445" s="26">
        <f>2024-Inventory[[#This Row],[YrBlt]]</f>
        <v>86</v>
      </c>
      <c r="P1445" s="26">
        <f>2024-Inventory[[#This Row],[EffYr]]</f>
        <v>53</v>
      </c>
      <c r="Q1445" s="25">
        <v>1938</v>
      </c>
      <c r="R1445" s="25">
        <v>1971</v>
      </c>
      <c r="S1445" s="25">
        <v>834</v>
      </c>
      <c r="T1445" s="27"/>
      <c r="U1445" s="32">
        <v>416</v>
      </c>
      <c r="V1445" s="32">
        <f>Inventory[[#This Row],[Bsmt]]-Inventory[[#This Row],[FnBsmt]]</f>
        <v>316</v>
      </c>
      <c r="W1445" s="32">
        <v>100</v>
      </c>
      <c r="X1445" s="27"/>
      <c r="Y1445" s="27">
        <f>Inventory[[#This Row],[MainFn]]+Inventory[[#This Row],[UpprFn]]+Inventory[[#This Row],[FnBsmt]]+Inventory[[#This Row],[AddFn]]</f>
        <v>934</v>
      </c>
      <c r="Z1445" s="27">
        <v>1000</v>
      </c>
      <c r="AA1445" s="25">
        <v>6</v>
      </c>
      <c r="AB1445" s="27"/>
      <c r="AC1445" s="27"/>
      <c r="AD1445" s="31"/>
      <c r="AE1445" s="27"/>
      <c r="AF1445" s="27"/>
      <c r="AG1445" s="27"/>
      <c r="AH1445" s="27"/>
      <c r="AI1445" s="25">
        <v>161437</v>
      </c>
      <c r="AJ1445" s="25">
        <v>108163</v>
      </c>
      <c r="AK1445" s="25">
        <v>6649</v>
      </c>
      <c r="AL1445" s="25">
        <v>280200</v>
      </c>
      <c r="AM1445" s="25">
        <v>80800</v>
      </c>
      <c r="AN1445" s="25">
        <v>199400</v>
      </c>
      <c r="AO1445" s="25">
        <v>0</v>
      </c>
      <c r="AP1445" s="25">
        <f>Lookups!$B$56*0</f>
        <v>0</v>
      </c>
      <c r="AQ1445" s="25">
        <f>Lookups!$B$56*1</f>
        <v>89850.625589999996</v>
      </c>
      <c r="AR1445" s="25">
        <f>Lookups!$B$57*Inventory[[#This Row],[LnAcres]]</f>
        <v>-30628.500548443946</v>
      </c>
      <c r="AS1445" s="25">
        <f>VLOOKUP(Inventory[[#This Row],[Qlty]],Lookups!$A$62:$E$75,2,FALSE)</f>
        <v>0</v>
      </c>
      <c r="AT1445" s="25">
        <f>VLOOKUP(Inventory[[#This Row],[Cnd]],Lookups!$A$76:$E$84,2,FALSE)</f>
        <v>160472.20319</v>
      </c>
      <c r="AU1445" s="25">
        <f>Inventory[[#This Row],[EffAge]]*Lookups!$B$85</f>
        <v>-11821.416826500001</v>
      </c>
      <c r="AV1445" s="25">
        <f>Inventory[[#This Row],[MainFn]]*Lookups!$B$86</f>
        <v>41206.830677418002</v>
      </c>
      <c r="AW1445" s="25">
        <f>Inventory[[#This Row],[UpprFn]]*Lookups!$B$87</f>
        <v>0</v>
      </c>
      <c r="AX1445" s="25">
        <f>Inventory[[#This Row],[AddFn]]*Lookups!$B$88</f>
        <v>0</v>
      </c>
      <c r="AY1445" s="25">
        <f>Inventory[[#This Row],[Bsmt]]*Lookups!$B$89</f>
        <v>12098.068422752</v>
      </c>
      <c r="AZ1445" s="25">
        <f>Inventory[[#This Row],[Fixtures]]*Lookups!$B$90</f>
        <v>22752.132631200002</v>
      </c>
      <c r="BA1445" s="25">
        <f>Inventory[[#This Row],[WdDeck]]*Lookups!$B$91</f>
        <v>0</v>
      </c>
      <c r="BB1445" s="25">
        <f>ROUND(Inventory[[#This Row],[25Det]],-2)</f>
        <v>6600</v>
      </c>
      <c r="BC1445" s="25">
        <f>ROUND(SUM(Inventory[[#This Row],[Mdl Qlty]:[Mdl WdDeck]])+Inventory[[#This Row],[Mdl Res Intercept]],-2)</f>
        <v>224700</v>
      </c>
      <c r="BD1445" s="25">
        <f>ROUND(Inventory[[#This Row],[Mdl Land Intercept]]+Inventory[[#This Row],[Mdl LnAcres]],-2)</f>
        <v>59200</v>
      </c>
      <c r="BE1445" s="25">
        <f>Inventory[[#This Row],[Unadj Res Value]]+Inventory[[#This Row],[Unadj Det Value]]+Inventory[[#This Row],[Unadj Land Value]]</f>
        <v>290500</v>
      </c>
      <c r="BF1445" s="36">
        <f>(Inventory[[#This Row],[Unadj Total Value]]-Inventory[[#This Row],[24Final]])/Inventory[[#This Row],[24Final]]</f>
        <v>3.6759457530335472E-2</v>
      </c>
      <c r="BG1445" s="25">
        <f>VLOOKUP(Inventory[[#This Row],[Nbhd]],Lookups!$Q$2:$T$4,4,FALSE)</f>
        <v>0.99970000000000003</v>
      </c>
      <c r="BH1445" s="25">
        <f>VLOOKUP(Inventory[[#This Row],[Qlty]],Lookups!$O$7:$R$21,4,FALSE)</f>
        <v>0.99180000000000001</v>
      </c>
      <c r="BI1445" s="25">
        <f>VLOOKUP(Inventory[[#This Row],[Cnd]],Lookups!$T$7:$W$16,4,FALSE)</f>
        <v>0.99729999999999996</v>
      </c>
      <c r="BJ1445" s="25">
        <f>VLOOKUP(Inventory[[#This Row],[LivArea Range]],Lookups!$T$25:$W$37,4,FALSE)</f>
        <v>1.0148999999999999</v>
      </c>
      <c r="BK1445" s="25">
        <f>VLOOKUP(Inventory[[#This Row],[Decade]],Lookups!$O$25:$R$42,4,FALSE)</f>
        <v>0.98909999999999998</v>
      </c>
      <c r="BL1445" s="25">
        <f>Inventory[[#This Row],[Nbhd Adj]]*0.95</f>
        <v>0.94971499999999998</v>
      </c>
      <c r="BM1445" s="25">
        <f>Inventory[[#This Row],[Nbhd Adj]]*Inventory[[#This Row],[Quality Adj]]*Inventory[[#This Row],[Condition Adj]]*Inventory[[#This Row],[Living Area Adj]]*Inventory[[#This Row],[Decade Adj]]*0.95</f>
        <v>0.94298910434578886</v>
      </c>
      <c r="BN1445" s="25">
        <f>ROUND(SUM(Inventory[[#This Row],[Mdl Qlty]:[Mdl WdDeck]])+Inventory[[#This Row],[Mdl Res Intercept]]*Inventory[[#This Row],[Res Adj ]],-2)</f>
        <v>224700</v>
      </c>
      <c r="BO1445" s="25">
        <f>ROUND(Inventory[[#This Row],[25Det]]*Inventory[[#This Row],[Det/Nbhd Adj]],-2)</f>
        <v>6300</v>
      </c>
      <c r="BP1445" s="25">
        <f>Inventory[[#This Row],[Adjusted Res]]+Inventory[[#This Row],[Adj Det ]]</f>
        <v>231000</v>
      </c>
      <c r="BQ1445" s="25">
        <f>ROUND((Inventory[[#This Row],[Mdl Land Intercept]]+Inventory[[#This Row],[Mdl LnAcres]])*Inventory[[#This Row],[Det/Nbhd Adj]],-2)</f>
        <v>56200</v>
      </c>
      <c r="BR1445" s="25">
        <f>Inventory[[#This Row],[Adjusted Impr Total]]+Inventory[[#This Row],[Adjusted Land Total]]</f>
        <v>287200</v>
      </c>
      <c r="BS1445" s="36">
        <f>IFERROR((Inventory[[#This Row],[Adjusted Impr Total]]-Inventory[[#This Row],[24Bldg]])/Inventory[[#This Row],[24Bldg]],0)</f>
        <v>0.15847542627883651</v>
      </c>
      <c r="BT1445" s="36">
        <f>(Inventory[[#This Row],[Adjusted Land Total]]-Inventory[[#This Row],[24Lnd]])/Inventory[[#This Row],[24Lnd]]</f>
        <v>-0.30445544554455445</v>
      </c>
      <c r="BU1445" s="36">
        <f>(Inventory[[#This Row],[Adjusted Total]]-Inventory[[#This Row],[24Final]])/Inventory[[#This Row],[24Final]]</f>
        <v>2.4982155603140613E-2</v>
      </c>
    </row>
    <row r="1446" spans="1:73" x14ac:dyDescent="0.3">
      <c r="A1446" s="25">
        <v>2025</v>
      </c>
      <c r="B1446" s="26" t="s">
        <v>1340</v>
      </c>
      <c r="C1446" s="26">
        <f>LN(Inventory[[#This Row],[Acres]])</f>
        <v>-1.4696759700589417</v>
      </c>
      <c r="D1446" s="25">
        <v>0.23</v>
      </c>
      <c r="E1446" s="25">
        <v>9899</v>
      </c>
      <c r="F1446" s="26" t="s">
        <v>537</v>
      </c>
      <c r="G1446" s="26" t="s">
        <v>126</v>
      </c>
      <c r="H1446" s="26" t="s">
        <v>349</v>
      </c>
      <c r="I1446" s="26" t="s">
        <v>538</v>
      </c>
      <c r="J1446" s="26" t="s">
        <v>539</v>
      </c>
      <c r="K1446" s="26" t="s">
        <v>241</v>
      </c>
      <c r="L1446" s="26" t="s">
        <v>205</v>
      </c>
      <c r="M1446" s="26" t="s">
        <v>323</v>
      </c>
      <c r="N1446" s="26">
        <v>90</v>
      </c>
      <c r="O1446" s="26">
        <f>2024-Inventory[[#This Row],[YrBlt]]</f>
        <v>86</v>
      </c>
      <c r="P1446" s="26">
        <f>2024-Inventory[[#This Row],[EffYr]]</f>
        <v>53</v>
      </c>
      <c r="Q1446" s="25">
        <v>1938</v>
      </c>
      <c r="R1446" s="25">
        <v>1971</v>
      </c>
      <c r="S1446" s="25">
        <v>1025</v>
      </c>
      <c r="T1446" s="27"/>
      <c r="U1446" s="31"/>
      <c r="V1446" s="27">
        <f>Inventory[[#This Row],[Bsmt]]-Inventory[[#This Row],[FnBsmt]]</f>
        <v>0</v>
      </c>
      <c r="W1446" s="27"/>
      <c r="X1446" s="27"/>
      <c r="Y1446" s="27">
        <f>Inventory[[#This Row],[MainFn]]+Inventory[[#This Row],[UpprFn]]+Inventory[[#This Row],[FnBsmt]]+Inventory[[#This Row],[AddFn]]</f>
        <v>1025</v>
      </c>
      <c r="Z1446" s="27">
        <v>1500</v>
      </c>
      <c r="AA1446" s="25">
        <v>5</v>
      </c>
      <c r="AB1446" s="25">
        <v>294</v>
      </c>
      <c r="AC1446" s="27"/>
      <c r="AD1446" s="27"/>
      <c r="AE1446" s="27"/>
      <c r="AF1446" s="27"/>
      <c r="AG1446" s="27"/>
      <c r="AH1446" s="27"/>
      <c r="AI1446" s="25">
        <v>170283</v>
      </c>
      <c r="AJ1446" s="25">
        <v>114090</v>
      </c>
      <c r="AK1446" s="25">
        <v>0</v>
      </c>
      <c r="AL1446" s="25">
        <v>254100</v>
      </c>
      <c r="AM1446" s="25">
        <v>63300</v>
      </c>
      <c r="AN1446" s="25">
        <v>190800</v>
      </c>
      <c r="AO1446" s="25">
        <v>0</v>
      </c>
      <c r="AP1446" s="25">
        <f>Lookups!$B$56*0</f>
        <v>0</v>
      </c>
      <c r="AQ1446" s="25">
        <f>Lookups!$B$56*1</f>
        <v>89850.625589999996</v>
      </c>
      <c r="AR1446" s="25">
        <f>Lookups!$B$57*Inventory[[#This Row],[LnAcres]]</f>
        <v>-46522.028095997222</v>
      </c>
      <c r="AS1446" s="25">
        <f>VLOOKUP(Inventory[[#This Row],[Qlty]],Lookups!$A$62:$E$75,2,FALSE)</f>
        <v>0</v>
      </c>
      <c r="AT1446" s="25">
        <f>VLOOKUP(Inventory[[#This Row],[Cnd]],Lookups!$A$76:$E$84,2,FALSE)</f>
        <v>160472.20319</v>
      </c>
      <c r="AU1446" s="25">
        <f>Inventory[[#This Row],[EffAge]]*Lookups!$B$85</f>
        <v>-11821.416826500001</v>
      </c>
      <c r="AV1446" s="25">
        <f>Inventory[[#This Row],[MainFn]]*Lookups!$B$86</f>
        <v>50643.886623924998</v>
      </c>
      <c r="AW1446" s="25">
        <f>Inventory[[#This Row],[UpprFn]]*Lookups!$B$87</f>
        <v>0</v>
      </c>
      <c r="AX1446" s="25">
        <f>Inventory[[#This Row],[AddFn]]*Lookups!$B$88</f>
        <v>0</v>
      </c>
      <c r="AY1446" s="25">
        <f>Inventory[[#This Row],[Bsmt]]*Lookups!$B$89</f>
        <v>0</v>
      </c>
      <c r="AZ1446" s="25">
        <f>Inventory[[#This Row],[Fixtures]]*Lookups!$B$90</f>
        <v>18960.110526</v>
      </c>
      <c r="BA1446" s="25">
        <f>Inventory[[#This Row],[WdDeck]]*Lookups!$B$91</f>
        <v>0</v>
      </c>
      <c r="BB1446" s="25">
        <f>ROUND(Inventory[[#This Row],[25Det]],-2)</f>
        <v>0</v>
      </c>
      <c r="BC1446" s="25">
        <f>ROUND(SUM(Inventory[[#This Row],[Mdl Qlty]:[Mdl WdDeck]])+Inventory[[#This Row],[Mdl Res Intercept]],-2)</f>
        <v>218300</v>
      </c>
      <c r="BD1446" s="25">
        <f>ROUND(Inventory[[#This Row],[Mdl Land Intercept]]+Inventory[[#This Row],[Mdl LnAcres]],-2)</f>
        <v>43300</v>
      </c>
      <c r="BE1446" s="25">
        <f>Inventory[[#This Row],[Unadj Res Value]]+Inventory[[#This Row],[Unadj Det Value]]+Inventory[[#This Row],[Unadj Land Value]]</f>
        <v>261600</v>
      </c>
      <c r="BF1446" s="36">
        <f>(Inventory[[#This Row],[Unadj Total Value]]-Inventory[[#This Row],[24Final]])/Inventory[[#This Row],[24Final]]</f>
        <v>2.9515938606847699E-2</v>
      </c>
      <c r="BG1446" s="25">
        <f>VLOOKUP(Inventory[[#This Row],[Nbhd]],Lookups!$Q$2:$T$4,4,FALSE)</f>
        <v>0.99970000000000003</v>
      </c>
      <c r="BH1446" s="25">
        <f>VLOOKUP(Inventory[[#This Row],[Qlty]],Lookups!$O$7:$R$21,4,FALSE)</f>
        <v>0.99180000000000001</v>
      </c>
      <c r="BI1446" s="25">
        <f>VLOOKUP(Inventory[[#This Row],[Cnd]],Lookups!$T$7:$W$16,4,FALSE)</f>
        <v>0.99729999999999996</v>
      </c>
      <c r="BJ1446" s="25">
        <f>VLOOKUP(Inventory[[#This Row],[LivArea Range]],Lookups!$T$25:$W$37,4,FALSE)</f>
        <v>1.0157</v>
      </c>
      <c r="BK1446" s="25">
        <f>VLOOKUP(Inventory[[#This Row],[Decade]],Lookups!$O$25:$R$42,4,FALSE)</f>
        <v>0.98909999999999998</v>
      </c>
      <c r="BL1446" s="25">
        <f>Inventory[[#This Row],[Nbhd Adj]]*0.95</f>
        <v>0.94971499999999998</v>
      </c>
      <c r="BM1446" s="25">
        <f>Inventory[[#This Row],[Nbhd Adj]]*Inventory[[#This Row],[Quality Adj]]*Inventory[[#This Row],[Condition Adj]]*Inventory[[#This Row],[Living Area Adj]]*Inventory[[#This Row],[Decade Adj]]*0.95</f>
        <v>0.94373242022269987</v>
      </c>
      <c r="BN1446" s="25">
        <f>ROUND(SUM(Inventory[[#This Row],[Mdl Qlty]:[Mdl WdDeck]])+Inventory[[#This Row],[Mdl Res Intercept]]*Inventory[[#This Row],[Res Adj ]],-2)</f>
        <v>218300</v>
      </c>
      <c r="BO1446" s="25">
        <f>ROUND(Inventory[[#This Row],[25Det]]*Inventory[[#This Row],[Det/Nbhd Adj]],-2)</f>
        <v>0</v>
      </c>
      <c r="BP1446" s="25">
        <f>Inventory[[#This Row],[Adjusted Res]]+Inventory[[#This Row],[Adj Det ]]</f>
        <v>218300</v>
      </c>
      <c r="BQ1446" s="25">
        <f>ROUND((Inventory[[#This Row],[Mdl Land Intercept]]+Inventory[[#This Row],[Mdl LnAcres]])*Inventory[[#This Row],[Det/Nbhd Adj]],-2)</f>
        <v>41100</v>
      </c>
      <c r="BR1446" s="25">
        <f>Inventory[[#This Row],[Adjusted Impr Total]]+Inventory[[#This Row],[Adjusted Land Total]]</f>
        <v>259400</v>
      </c>
      <c r="BS1446" s="36">
        <f>IFERROR((Inventory[[#This Row],[Adjusted Impr Total]]-Inventory[[#This Row],[24Bldg]])/Inventory[[#This Row],[24Bldg]],0)</f>
        <v>0.1441299790356394</v>
      </c>
      <c r="BT1446" s="36">
        <f>(Inventory[[#This Row],[Adjusted Land Total]]-Inventory[[#This Row],[24Lnd]])/Inventory[[#This Row],[24Lnd]]</f>
        <v>-0.35071090047393366</v>
      </c>
      <c r="BU1446" s="36">
        <f>(Inventory[[#This Row],[Adjusted Total]]-Inventory[[#This Row],[24Final]])/Inventory[[#This Row],[24Final]]</f>
        <v>2.0857929948839039E-2</v>
      </c>
    </row>
    <row r="1447" spans="1:73" x14ac:dyDescent="0.3">
      <c r="A1447" s="25">
        <v>2025</v>
      </c>
      <c r="B1447" s="26" t="s">
        <v>1226</v>
      </c>
      <c r="C1447" s="26">
        <f>LN(Inventory[[#This Row],[Acres]])</f>
        <v>-0.94160853985844495</v>
      </c>
      <c r="D1447" s="25">
        <v>0.39</v>
      </c>
      <c r="E1447" s="25">
        <v>17112</v>
      </c>
      <c r="F1447" s="26" t="s">
        <v>537</v>
      </c>
      <c r="G1447" s="26" t="s">
        <v>126</v>
      </c>
      <c r="H1447" s="26" t="s">
        <v>349</v>
      </c>
      <c r="I1447" s="26" t="s">
        <v>538</v>
      </c>
      <c r="J1447" s="26" t="s">
        <v>539</v>
      </c>
      <c r="K1447" s="26" t="s">
        <v>301</v>
      </c>
      <c r="L1447" s="26" t="s">
        <v>64</v>
      </c>
      <c r="M1447" s="26" t="s">
        <v>303</v>
      </c>
      <c r="N1447" s="26">
        <v>90</v>
      </c>
      <c r="O1447" s="26">
        <f>2024-Inventory[[#This Row],[YrBlt]]</f>
        <v>86</v>
      </c>
      <c r="P1447" s="26">
        <f>2024-Inventory[[#This Row],[EffYr]]</f>
        <v>53</v>
      </c>
      <c r="Q1447" s="25">
        <v>1938</v>
      </c>
      <c r="R1447" s="25">
        <v>1971</v>
      </c>
      <c r="S1447" s="25">
        <v>1777</v>
      </c>
      <c r="T1447" s="32">
        <v>1414</v>
      </c>
      <c r="U1447" s="32">
        <v>992</v>
      </c>
      <c r="V1447" s="32">
        <f>Inventory[[#This Row],[Bsmt]]-Inventory[[#This Row],[FnBsmt]]</f>
        <v>992</v>
      </c>
      <c r="W1447" s="27"/>
      <c r="X1447" s="27"/>
      <c r="Y1447" s="27">
        <f>Inventory[[#This Row],[MainFn]]+Inventory[[#This Row],[UpprFn]]+Inventory[[#This Row],[FnBsmt]]+Inventory[[#This Row],[AddFn]]</f>
        <v>3191</v>
      </c>
      <c r="Z1447" s="27">
        <v>3500</v>
      </c>
      <c r="AA1447" s="25">
        <v>10</v>
      </c>
      <c r="AB1447" s="31"/>
      <c r="AC1447" s="27"/>
      <c r="AD1447" s="27"/>
      <c r="AE1447" s="27"/>
      <c r="AF1447" s="27"/>
      <c r="AG1447" s="27"/>
      <c r="AH1447" s="27"/>
      <c r="AI1447" s="25">
        <v>770094</v>
      </c>
      <c r="AJ1447" s="25">
        <v>539066</v>
      </c>
      <c r="AK1447" s="25">
        <v>10083</v>
      </c>
      <c r="AL1447" s="25">
        <v>625500</v>
      </c>
      <c r="AM1447" s="25">
        <v>81700</v>
      </c>
      <c r="AN1447" s="25">
        <v>543800</v>
      </c>
      <c r="AO1447" s="25">
        <v>0</v>
      </c>
      <c r="AP1447" s="25">
        <f>Lookups!$B$56*0</f>
        <v>0</v>
      </c>
      <c r="AQ1447" s="25">
        <f>Lookups!$B$56*1</f>
        <v>89850.625589999996</v>
      </c>
      <c r="AR1447" s="25">
        <f>Lookups!$B$57*Inventory[[#This Row],[LnAcres]]</f>
        <v>-29806.256507663158</v>
      </c>
      <c r="AS1447" s="25">
        <f>VLOOKUP(Inventory[[#This Row],[Qlty]],Lookups!$A$62:$E$75,2,FALSE)</f>
        <v>163885.03753</v>
      </c>
      <c r="AT1447" s="25">
        <f>VLOOKUP(Inventory[[#This Row],[Cnd]],Lookups!$A$76:$E$84,2,FALSE)</f>
        <v>197752.34721000001</v>
      </c>
      <c r="AU1447" s="25">
        <f>Inventory[[#This Row],[EffAge]]*Lookups!$B$85</f>
        <v>-11821.416826500001</v>
      </c>
      <c r="AV1447" s="25">
        <f>Inventory[[#This Row],[MainFn]]*Lookups!$B$86</f>
        <v>87799.206371428998</v>
      </c>
      <c r="AW1447" s="25">
        <f>Inventory[[#This Row],[UpprFn]]*Lookups!$B$87</f>
        <v>63328.001925453995</v>
      </c>
      <c r="AX1447" s="25">
        <f>Inventory[[#This Row],[AddFn]]*Lookups!$B$88</f>
        <v>0</v>
      </c>
      <c r="AY1447" s="25">
        <f>Inventory[[#This Row],[Bsmt]]*Lookups!$B$89</f>
        <v>28849.240085023997</v>
      </c>
      <c r="AZ1447" s="25">
        <f>Inventory[[#This Row],[Fixtures]]*Lookups!$B$90</f>
        <v>37920.221052000001</v>
      </c>
      <c r="BA1447" s="25">
        <f>Inventory[[#This Row],[WdDeck]]*Lookups!$B$91</f>
        <v>0</v>
      </c>
      <c r="BB1447" s="25">
        <f>ROUND(Inventory[[#This Row],[25Det]],-2)</f>
        <v>10100</v>
      </c>
      <c r="BC1447" s="25">
        <f>ROUND(SUM(Inventory[[#This Row],[Mdl Qlty]:[Mdl WdDeck]])+Inventory[[#This Row],[Mdl Res Intercept]],-2)</f>
        <v>567700</v>
      </c>
      <c r="BD1447" s="25">
        <f>ROUND(Inventory[[#This Row],[Mdl Land Intercept]]+Inventory[[#This Row],[Mdl LnAcres]],-2)</f>
        <v>60000</v>
      </c>
      <c r="BE1447" s="25">
        <f>Inventory[[#This Row],[Unadj Res Value]]+Inventory[[#This Row],[Unadj Det Value]]+Inventory[[#This Row],[Unadj Land Value]]</f>
        <v>637800</v>
      </c>
      <c r="BF1447" s="36">
        <f>(Inventory[[#This Row],[Unadj Total Value]]-Inventory[[#This Row],[24Final]])/Inventory[[#This Row],[24Final]]</f>
        <v>1.9664268585131893E-2</v>
      </c>
      <c r="BG1447" s="25">
        <f>VLOOKUP(Inventory[[#This Row],[Nbhd]],Lookups!$Q$2:$T$4,4,FALSE)</f>
        <v>0.99970000000000003</v>
      </c>
      <c r="BH1447" s="25">
        <f>VLOOKUP(Inventory[[#This Row],[Qlty]],Lookups!$O$7:$R$21,4,FALSE)</f>
        <v>1</v>
      </c>
      <c r="BI1447" s="25">
        <f>VLOOKUP(Inventory[[#This Row],[Cnd]],Lookups!$T$7:$W$16,4,FALSE)</f>
        <v>0.99650000000000005</v>
      </c>
      <c r="BJ1447" s="25">
        <f>VLOOKUP(Inventory[[#This Row],[LivArea Range]],Lookups!$T$25:$W$37,4,FALSE)</f>
        <v>1.0126999999999999</v>
      </c>
      <c r="BK1447" s="25">
        <f>VLOOKUP(Inventory[[#This Row],[Decade]],Lookups!$O$25:$R$42,4,FALSE)</f>
        <v>0.98909999999999998</v>
      </c>
      <c r="BL1447" s="25">
        <f>Inventory[[#This Row],[Nbhd Adj]]*0.95</f>
        <v>0.94971499999999998</v>
      </c>
      <c r="BM1447" s="25">
        <f>Inventory[[#This Row],[Nbhd Adj]]*Inventory[[#This Row],[Quality Adj]]*Inventory[[#This Row],[Condition Adj]]*Inventory[[#This Row],[Living Area Adj]]*Inventory[[#This Row],[Decade Adj]]*0.95</f>
        <v>0.947963492389716</v>
      </c>
      <c r="BN1447" s="25">
        <f>ROUND(SUM(Inventory[[#This Row],[Mdl Qlty]:[Mdl WdDeck]])+Inventory[[#This Row],[Mdl Res Intercept]]*Inventory[[#This Row],[Res Adj ]],-2)</f>
        <v>567700</v>
      </c>
      <c r="BO1447" s="25">
        <f>ROUND(Inventory[[#This Row],[25Det]]*Inventory[[#This Row],[Det/Nbhd Adj]],-2)</f>
        <v>9600</v>
      </c>
      <c r="BP1447" s="25">
        <f>Inventory[[#This Row],[Adjusted Res]]+Inventory[[#This Row],[Adj Det ]]</f>
        <v>577300</v>
      </c>
      <c r="BQ1447" s="25">
        <f>ROUND((Inventory[[#This Row],[Mdl Land Intercept]]+Inventory[[#This Row],[Mdl LnAcres]])*Inventory[[#This Row],[Det/Nbhd Adj]],-2)</f>
        <v>57000</v>
      </c>
      <c r="BR1447" s="25">
        <f>Inventory[[#This Row],[Adjusted Impr Total]]+Inventory[[#This Row],[Adjusted Land Total]]</f>
        <v>634300</v>
      </c>
      <c r="BS1447" s="36">
        <f>IFERROR((Inventory[[#This Row],[Adjusted Impr Total]]-Inventory[[#This Row],[24Bldg]])/Inventory[[#This Row],[24Bldg]],0)</f>
        <v>6.160353070981979E-2</v>
      </c>
      <c r="BT1447" s="36">
        <f>(Inventory[[#This Row],[Adjusted Land Total]]-Inventory[[#This Row],[24Lnd]])/Inventory[[#This Row],[24Lnd]]</f>
        <v>-0.30232558139534882</v>
      </c>
      <c r="BU1447" s="36">
        <f>(Inventory[[#This Row],[Adjusted Total]]-Inventory[[#This Row],[24Final]])/Inventory[[#This Row],[24Final]]</f>
        <v>1.4068745003996802E-2</v>
      </c>
    </row>
    <row r="1448" spans="1:73" x14ac:dyDescent="0.3">
      <c r="A1448" s="25">
        <v>2025</v>
      </c>
      <c r="B1448" s="26" t="s">
        <v>2510</v>
      </c>
      <c r="C1448" s="26">
        <f>LN(Inventory[[#This Row],[Acres]])</f>
        <v>-1.5606477482646683</v>
      </c>
      <c r="D1448" s="25">
        <v>0.21</v>
      </c>
      <c r="E1448" s="25">
        <v>9115</v>
      </c>
      <c r="F1448" s="26" t="s">
        <v>537</v>
      </c>
      <c r="G1448" s="26" t="s">
        <v>126</v>
      </c>
      <c r="H1448" s="26" t="s">
        <v>349</v>
      </c>
      <c r="I1448" s="26" t="s">
        <v>538</v>
      </c>
      <c r="J1448" s="26" t="s">
        <v>539</v>
      </c>
      <c r="K1448" s="26" t="s">
        <v>242</v>
      </c>
      <c r="L1448" s="26" t="s">
        <v>205</v>
      </c>
      <c r="M1448" s="26" t="s">
        <v>323</v>
      </c>
      <c r="N1448" s="26">
        <v>90</v>
      </c>
      <c r="O1448" s="26">
        <f>2024-Inventory[[#This Row],[YrBlt]]</f>
        <v>86</v>
      </c>
      <c r="P1448" s="26">
        <f>2024-Inventory[[#This Row],[EffYr]]</f>
        <v>53</v>
      </c>
      <c r="Q1448" s="25">
        <v>1938</v>
      </c>
      <c r="R1448" s="25">
        <v>1971</v>
      </c>
      <c r="S1448" s="25">
        <v>1118</v>
      </c>
      <c r="T1448" s="27"/>
      <c r="U1448" s="32">
        <v>165</v>
      </c>
      <c r="V1448" s="32">
        <f>Inventory[[#This Row],[Bsmt]]-Inventory[[#This Row],[FnBsmt]]</f>
        <v>165</v>
      </c>
      <c r="W1448" s="27"/>
      <c r="X1448" s="27"/>
      <c r="Y1448" s="27">
        <f>Inventory[[#This Row],[MainFn]]+Inventory[[#This Row],[UpprFn]]+Inventory[[#This Row],[FnBsmt]]+Inventory[[#This Row],[AddFn]]</f>
        <v>1118</v>
      </c>
      <c r="Z1448" s="27">
        <v>1500</v>
      </c>
      <c r="AA1448" s="25">
        <v>5</v>
      </c>
      <c r="AB1448" s="27"/>
      <c r="AC1448" s="27"/>
      <c r="AD1448" s="27"/>
      <c r="AE1448" s="27"/>
      <c r="AF1448" s="27"/>
      <c r="AG1448" s="27"/>
      <c r="AH1448" s="27"/>
      <c r="AI1448" s="25">
        <v>197910</v>
      </c>
      <c r="AJ1448" s="25">
        <v>132600</v>
      </c>
      <c r="AK1448" s="25">
        <v>0</v>
      </c>
      <c r="AL1448" s="25">
        <v>263000</v>
      </c>
      <c r="AM1448" s="25">
        <v>60100</v>
      </c>
      <c r="AN1448" s="25">
        <v>202900</v>
      </c>
      <c r="AO1448" s="25">
        <v>0</v>
      </c>
      <c r="AP1448" s="25">
        <f>Lookups!$B$56*0</f>
        <v>0</v>
      </c>
      <c r="AQ1448" s="25">
        <f>Lookups!$B$56*1</f>
        <v>89850.625589999996</v>
      </c>
      <c r="AR1448" s="25">
        <f>Lookups!$B$57*Inventory[[#This Row],[LnAcres]]</f>
        <v>-49401.70477837498</v>
      </c>
      <c r="AS1448" s="25">
        <f>VLOOKUP(Inventory[[#This Row],[Qlty]],Lookups!$A$62:$E$75,2,FALSE)</f>
        <v>0</v>
      </c>
      <c r="AT1448" s="25">
        <f>VLOOKUP(Inventory[[#This Row],[Cnd]],Lookups!$A$76:$E$84,2,FALSE)</f>
        <v>160472.20319</v>
      </c>
      <c r="AU1448" s="25">
        <f>Inventory[[#This Row],[EffAge]]*Lookups!$B$85</f>
        <v>-11821.416826500001</v>
      </c>
      <c r="AV1448" s="25">
        <f>Inventory[[#This Row],[MainFn]]*Lookups!$B$86</f>
        <v>55238.892922486004</v>
      </c>
      <c r="AW1448" s="25">
        <f>Inventory[[#This Row],[UpprFn]]*Lookups!$B$87</f>
        <v>0</v>
      </c>
      <c r="AX1448" s="25">
        <f>Inventory[[#This Row],[AddFn]]*Lookups!$B$88</f>
        <v>0</v>
      </c>
      <c r="AY1448" s="25">
        <f>Inventory[[#This Row],[Bsmt]]*Lookups!$B$89</f>
        <v>4798.5127157549996</v>
      </c>
      <c r="AZ1448" s="25">
        <f>Inventory[[#This Row],[Fixtures]]*Lookups!$B$90</f>
        <v>18960.110526</v>
      </c>
      <c r="BA1448" s="25">
        <f>Inventory[[#This Row],[WdDeck]]*Lookups!$B$91</f>
        <v>0</v>
      </c>
      <c r="BB1448" s="25">
        <f>ROUND(Inventory[[#This Row],[25Det]],-2)</f>
        <v>0</v>
      </c>
      <c r="BC1448" s="25">
        <f>ROUND(SUM(Inventory[[#This Row],[Mdl Qlty]:[Mdl WdDeck]])+Inventory[[#This Row],[Mdl Res Intercept]],-2)</f>
        <v>227600</v>
      </c>
      <c r="BD1448" s="25">
        <f>ROUND(Inventory[[#This Row],[Mdl Land Intercept]]+Inventory[[#This Row],[Mdl LnAcres]],-2)</f>
        <v>40400</v>
      </c>
      <c r="BE1448" s="25">
        <f>Inventory[[#This Row],[Unadj Res Value]]+Inventory[[#This Row],[Unadj Det Value]]+Inventory[[#This Row],[Unadj Land Value]]</f>
        <v>268000</v>
      </c>
      <c r="BF1448" s="36">
        <f>(Inventory[[#This Row],[Unadj Total Value]]-Inventory[[#This Row],[24Final]])/Inventory[[#This Row],[24Final]]</f>
        <v>1.9011406844106463E-2</v>
      </c>
      <c r="BG1448" s="25">
        <f>VLOOKUP(Inventory[[#This Row],[Nbhd]],Lookups!$Q$2:$T$4,4,FALSE)</f>
        <v>0.99970000000000003</v>
      </c>
      <c r="BH1448" s="25">
        <f>VLOOKUP(Inventory[[#This Row],[Qlty]],Lookups!$O$7:$R$21,4,FALSE)</f>
        <v>0.99180000000000001</v>
      </c>
      <c r="BI1448" s="25">
        <f>VLOOKUP(Inventory[[#This Row],[Cnd]],Lookups!$T$7:$W$16,4,FALSE)</f>
        <v>0.99729999999999996</v>
      </c>
      <c r="BJ1448" s="25">
        <f>VLOOKUP(Inventory[[#This Row],[LivArea Range]],Lookups!$T$25:$W$37,4,FALSE)</f>
        <v>1.0157</v>
      </c>
      <c r="BK1448" s="25">
        <f>VLOOKUP(Inventory[[#This Row],[Decade]],Lookups!$O$25:$R$42,4,FALSE)</f>
        <v>0.98909999999999998</v>
      </c>
      <c r="BL1448" s="25">
        <f>Inventory[[#This Row],[Nbhd Adj]]*0.95</f>
        <v>0.94971499999999998</v>
      </c>
      <c r="BM1448" s="25">
        <f>Inventory[[#This Row],[Nbhd Adj]]*Inventory[[#This Row],[Quality Adj]]*Inventory[[#This Row],[Condition Adj]]*Inventory[[#This Row],[Living Area Adj]]*Inventory[[#This Row],[Decade Adj]]*0.95</f>
        <v>0.94373242022269987</v>
      </c>
      <c r="BN1448" s="25">
        <f>ROUND(SUM(Inventory[[#This Row],[Mdl Qlty]:[Mdl WdDeck]])+Inventory[[#This Row],[Mdl Res Intercept]]*Inventory[[#This Row],[Res Adj ]],-2)</f>
        <v>227600</v>
      </c>
      <c r="BO1448" s="25">
        <f>ROUND(Inventory[[#This Row],[25Det]]*Inventory[[#This Row],[Det/Nbhd Adj]],-2)</f>
        <v>0</v>
      </c>
      <c r="BP1448" s="25">
        <f>Inventory[[#This Row],[Adjusted Res]]+Inventory[[#This Row],[Adj Det ]]</f>
        <v>227600</v>
      </c>
      <c r="BQ1448" s="25">
        <f>ROUND((Inventory[[#This Row],[Mdl Land Intercept]]+Inventory[[#This Row],[Mdl LnAcres]])*Inventory[[#This Row],[Det/Nbhd Adj]],-2)</f>
        <v>38400</v>
      </c>
      <c r="BR1448" s="25">
        <f>Inventory[[#This Row],[Adjusted Impr Total]]+Inventory[[#This Row],[Adjusted Land Total]]</f>
        <v>266000</v>
      </c>
      <c r="BS1448" s="36">
        <f>IFERROR((Inventory[[#This Row],[Adjusted Impr Total]]-Inventory[[#This Row],[24Bldg]])/Inventory[[#This Row],[24Bldg]],0)</f>
        <v>0.12173484475110892</v>
      </c>
      <c r="BT1448" s="36">
        <f>(Inventory[[#This Row],[Adjusted Land Total]]-Inventory[[#This Row],[24Lnd]])/Inventory[[#This Row],[24Lnd]]</f>
        <v>-0.36106489184692181</v>
      </c>
      <c r="BU1448" s="36">
        <f>(Inventory[[#This Row],[Adjusted Total]]-Inventory[[#This Row],[24Final]])/Inventory[[#This Row],[24Final]]</f>
        <v>1.1406844106463879E-2</v>
      </c>
    </row>
    <row r="1449" spans="1:73" x14ac:dyDescent="0.3">
      <c r="A1449" s="25">
        <v>2025</v>
      </c>
      <c r="B1449" s="26" t="s">
        <v>2062</v>
      </c>
      <c r="C1449" s="26">
        <f>LN(Inventory[[#This Row],[Acres]])</f>
        <v>-1.7719568419318752</v>
      </c>
      <c r="D1449" s="25">
        <v>0.17</v>
      </c>
      <c r="E1449" s="31"/>
      <c r="F1449" s="26" t="s">
        <v>537</v>
      </c>
      <c r="G1449" s="26" t="s">
        <v>126</v>
      </c>
      <c r="H1449" s="26" t="s">
        <v>349</v>
      </c>
      <c r="I1449" s="26" t="s">
        <v>538</v>
      </c>
      <c r="J1449" s="26" t="s">
        <v>539</v>
      </c>
      <c r="K1449" s="26" t="s">
        <v>242</v>
      </c>
      <c r="L1449" s="26" t="s">
        <v>351</v>
      </c>
      <c r="M1449" s="26" t="s">
        <v>323</v>
      </c>
      <c r="N1449" s="26">
        <v>90</v>
      </c>
      <c r="O1449" s="26">
        <f>2024-Inventory[[#This Row],[YrBlt]]</f>
        <v>86</v>
      </c>
      <c r="P1449" s="26">
        <f>2024-Inventory[[#This Row],[EffYr]]</f>
        <v>53</v>
      </c>
      <c r="Q1449" s="25">
        <v>1938</v>
      </c>
      <c r="R1449" s="25">
        <v>1971</v>
      </c>
      <c r="S1449" s="25">
        <v>1335</v>
      </c>
      <c r="T1449" s="27"/>
      <c r="U1449" s="32">
        <v>1335</v>
      </c>
      <c r="V1449" s="32">
        <f>Inventory[[#This Row],[Bsmt]]-Inventory[[#This Row],[FnBsmt]]</f>
        <v>0</v>
      </c>
      <c r="W1449" s="32">
        <v>1335</v>
      </c>
      <c r="X1449" s="27"/>
      <c r="Y1449" s="27">
        <f>Inventory[[#This Row],[MainFn]]+Inventory[[#This Row],[UpprFn]]+Inventory[[#This Row],[FnBsmt]]+Inventory[[#This Row],[AddFn]]</f>
        <v>2670</v>
      </c>
      <c r="Z1449" s="27">
        <v>3000</v>
      </c>
      <c r="AA1449" s="25">
        <v>8</v>
      </c>
      <c r="AB1449" s="27"/>
      <c r="AC1449" s="27"/>
      <c r="AD1449" s="27"/>
      <c r="AE1449" s="27"/>
      <c r="AF1449" s="27"/>
      <c r="AG1449" s="27"/>
      <c r="AH1449" s="27"/>
      <c r="AI1449" s="25">
        <v>328330</v>
      </c>
      <c r="AJ1449" s="25">
        <v>219981</v>
      </c>
      <c r="AK1449" s="25">
        <v>11760</v>
      </c>
      <c r="AL1449" s="25">
        <v>348400</v>
      </c>
      <c r="AM1449" s="25">
        <v>52700</v>
      </c>
      <c r="AN1449" s="25">
        <v>295700</v>
      </c>
      <c r="AO1449" s="25">
        <v>0</v>
      </c>
      <c r="AP1449" s="25">
        <f>Lookups!$B$56*0</f>
        <v>0</v>
      </c>
      <c r="AQ1449" s="25">
        <f>Lookups!$B$56*1</f>
        <v>89850.625589999996</v>
      </c>
      <c r="AR1449" s="25">
        <f>Lookups!$B$57*Inventory[[#This Row],[LnAcres]]</f>
        <v>-56090.612940989391</v>
      </c>
      <c r="AS1449" s="25">
        <f>VLOOKUP(Inventory[[#This Row],[Qlty]],Lookups!$A$62:$E$75,2,FALSE)</f>
        <v>21557.329055999999</v>
      </c>
      <c r="AT1449" s="25">
        <f>VLOOKUP(Inventory[[#This Row],[Cnd]],Lookups!$A$76:$E$84,2,FALSE)</f>
        <v>160472.20319</v>
      </c>
      <c r="AU1449" s="25">
        <f>Inventory[[#This Row],[EffAge]]*Lookups!$B$85</f>
        <v>-11821.416826500001</v>
      </c>
      <c r="AV1449" s="25">
        <f>Inventory[[#This Row],[MainFn]]*Lookups!$B$86</f>
        <v>65960.574285794995</v>
      </c>
      <c r="AW1449" s="25">
        <f>Inventory[[#This Row],[UpprFn]]*Lookups!$B$87</f>
        <v>0</v>
      </c>
      <c r="AX1449" s="25">
        <f>Inventory[[#This Row],[AddFn]]*Lookups!$B$88</f>
        <v>0</v>
      </c>
      <c r="AY1449" s="25">
        <f>Inventory[[#This Row],[Bsmt]]*Lookups!$B$89</f>
        <v>38824.330154744996</v>
      </c>
      <c r="AZ1449" s="25">
        <f>Inventory[[#This Row],[Fixtures]]*Lookups!$B$90</f>
        <v>30336.176841600001</v>
      </c>
      <c r="BA1449" s="25">
        <f>Inventory[[#This Row],[WdDeck]]*Lookups!$B$91</f>
        <v>0</v>
      </c>
      <c r="BB1449" s="25">
        <f>ROUND(Inventory[[#This Row],[25Det]],-2)</f>
        <v>11800</v>
      </c>
      <c r="BC1449" s="25">
        <f>ROUND(SUM(Inventory[[#This Row],[Mdl Qlty]:[Mdl WdDeck]])+Inventory[[#This Row],[Mdl Res Intercept]],-2)</f>
        <v>305300</v>
      </c>
      <c r="BD1449" s="25">
        <f>ROUND(Inventory[[#This Row],[Mdl Land Intercept]]+Inventory[[#This Row],[Mdl LnAcres]],-2)</f>
        <v>33800</v>
      </c>
      <c r="BE1449" s="25">
        <f>Inventory[[#This Row],[Unadj Res Value]]+Inventory[[#This Row],[Unadj Det Value]]+Inventory[[#This Row],[Unadj Land Value]]</f>
        <v>350900</v>
      </c>
      <c r="BF1449" s="36">
        <f>(Inventory[[#This Row],[Unadj Total Value]]-Inventory[[#This Row],[24Final]])/Inventory[[#This Row],[24Final]]</f>
        <v>7.1756601607347878E-3</v>
      </c>
      <c r="BG1449" s="25">
        <f>VLOOKUP(Inventory[[#This Row],[Nbhd]],Lookups!$Q$2:$T$4,4,FALSE)</f>
        <v>0.99970000000000003</v>
      </c>
      <c r="BH1449" s="25">
        <f>VLOOKUP(Inventory[[#This Row],[Qlty]],Lookups!$O$7:$R$21,4,FALSE)</f>
        <v>1.0067999999999999</v>
      </c>
      <c r="BI1449" s="25">
        <f>VLOOKUP(Inventory[[#This Row],[Cnd]],Lookups!$T$7:$W$16,4,FALSE)</f>
        <v>0.99729999999999996</v>
      </c>
      <c r="BJ1449" s="25">
        <f>VLOOKUP(Inventory[[#This Row],[LivArea Range]],Lookups!$T$25:$W$37,4,FALSE)</f>
        <v>0.96179999999999999</v>
      </c>
      <c r="BK1449" s="25">
        <f>VLOOKUP(Inventory[[#This Row],[Decade]],Lookups!$O$25:$R$42,4,FALSE)</f>
        <v>0.98909999999999998</v>
      </c>
      <c r="BL1449" s="25">
        <f>Inventory[[#This Row],[Nbhd Adj]]*0.95</f>
        <v>0.94971499999999998</v>
      </c>
      <c r="BM1449" s="25">
        <f>Inventory[[#This Row],[Nbhd Adj]]*Inventory[[#This Row],[Quality Adj]]*Inventory[[#This Row],[Condition Adj]]*Inventory[[#This Row],[Living Area Adj]]*Inventory[[#This Row],[Decade Adj]]*0.95</f>
        <v>0.90716711363616798</v>
      </c>
      <c r="BN1449" s="25">
        <f>ROUND(SUM(Inventory[[#This Row],[Mdl Qlty]:[Mdl WdDeck]])+Inventory[[#This Row],[Mdl Res Intercept]]*Inventory[[#This Row],[Res Adj ]],-2)</f>
        <v>305300</v>
      </c>
      <c r="BO1449" s="25">
        <f>ROUND(Inventory[[#This Row],[25Det]]*Inventory[[#This Row],[Det/Nbhd Adj]],-2)</f>
        <v>11200</v>
      </c>
      <c r="BP1449" s="25">
        <f>Inventory[[#This Row],[Adjusted Res]]+Inventory[[#This Row],[Adj Det ]]</f>
        <v>316500</v>
      </c>
      <c r="BQ1449" s="25">
        <f>ROUND((Inventory[[#This Row],[Mdl Land Intercept]]+Inventory[[#This Row],[Mdl LnAcres]])*Inventory[[#This Row],[Det/Nbhd Adj]],-2)</f>
        <v>32100</v>
      </c>
      <c r="BR1449" s="25">
        <f>Inventory[[#This Row],[Adjusted Impr Total]]+Inventory[[#This Row],[Adjusted Land Total]]</f>
        <v>348600</v>
      </c>
      <c r="BS1449" s="36">
        <f>IFERROR((Inventory[[#This Row],[Adjusted Impr Total]]-Inventory[[#This Row],[24Bldg]])/Inventory[[#This Row],[24Bldg]],0)</f>
        <v>7.034156239431856E-2</v>
      </c>
      <c r="BT1449" s="36">
        <f>(Inventory[[#This Row],[Adjusted Land Total]]-Inventory[[#This Row],[24Lnd]])/Inventory[[#This Row],[24Lnd]]</f>
        <v>-0.39089184060721061</v>
      </c>
      <c r="BU1449" s="36">
        <f>(Inventory[[#This Row],[Adjusted Total]]-Inventory[[#This Row],[24Final]])/Inventory[[#This Row],[24Final]]</f>
        <v>5.7405281285878302E-4</v>
      </c>
    </row>
    <row r="1450" spans="1:73" x14ac:dyDescent="0.3">
      <c r="A1450" s="25">
        <v>2025</v>
      </c>
      <c r="B1450" s="26" t="s">
        <v>1338</v>
      </c>
      <c r="C1450" s="26">
        <f>LN(Inventory[[#This Row],[Acres]])</f>
        <v>-1.3862943611198906</v>
      </c>
      <c r="D1450" s="25">
        <v>0.25</v>
      </c>
      <c r="E1450" s="25">
        <v>10824</v>
      </c>
      <c r="F1450" s="26" t="s">
        <v>537</v>
      </c>
      <c r="G1450" s="26" t="s">
        <v>126</v>
      </c>
      <c r="H1450" s="26" t="s">
        <v>349</v>
      </c>
      <c r="I1450" s="26" t="s">
        <v>538</v>
      </c>
      <c r="J1450" s="26" t="s">
        <v>539</v>
      </c>
      <c r="K1450" s="26" t="s">
        <v>173</v>
      </c>
      <c r="L1450" s="26" t="s">
        <v>351</v>
      </c>
      <c r="M1450" s="26" t="s">
        <v>206</v>
      </c>
      <c r="N1450" s="26">
        <v>90</v>
      </c>
      <c r="O1450" s="26">
        <f>2024-Inventory[[#This Row],[YrBlt]]</f>
        <v>86</v>
      </c>
      <c r="P1450" s="26">
        <f>2024-Inventory[[#This Row],[EffYr]]</f>
        <v>53</v>
      </c>
      <c r="Q1450" s="25">
        <v>1938</v>
      </c>
      <c r="R1450" s="25">
        <v>1971</v>
      </c>
      <c r="S1450" s="25">
        <v>1105</v>
      </c>
      <c r="T1450" s="32">
        <v>724</v>
      </c>
      <c r="U1450" s="25">
        <v>400</v>
      </c>
      <c r="V1450" s="25">
        <f>Inventory[[#This Row],[Bsmt]]-Inventory[[#This Row],[FnBsmt]]</f>
        <v>200</v>
      </c>
      <c r="W1450" s="25">
        <v>200</v>
      </c>
      <c r="X1450" s="27"/>
      <c r="Y1450" s="27">
        <f>Inventory[[#This Row],[MainFn]]+Inventory[[#This Row],[UpprFn]]+Inventory[[#This Row],[FnBsmt]]+Inventory[[#This Row],[AddFn]]</f>
        <v>2029</v>
      </c>
      <c r="Z1450" s="27">
        <v>2500</v>
      </c>
      <c r="AA1450" s="25">
        <v>8</v>
      </c>
      <c r="AB1450" s="31"/>
      <c r="AC1450" s="27"/>
      <c r="AD1450" s="27"/>
      <c r="AE1450" s="27"/>
      <c r="AF1450" s="27"/>
      <c r="AG1450" s="27"/>
      <c r="AH1450" s="27"/>
      <c r="AI1450" s="25">
        <v>305731</v>
      </c>
      <c r="AJ1450" s="25">
        <v>198725</v>
      </c>
      <c r="AK1450" s="25">
        <v>1423</v>
      </c>
      <c r="AL1450" s="25">
        <v>328700</v>
      </c>
      <c r="AM1450" s="25">
        <v>66200</v>
      </c>
      <c r="AN1450" s="25">
        <v>262500</v>
      </c>
      <c r="AO1450" s="25">
        <v>0</v>
      </c>
      <c r="AP1450" s="25">
        <f>Lookups!$B$56*0</f>
        <v>0</v>
      </c>
      <c r="AQ1450" s="25">
        <f>Lookups!$B$56*1</f>
        <v>89850.625589999996</v>
      </c>
      <c r="AR1450" s="25">
        <f>Lookups!$B$57*Inventory[[#This Row],[LnAcres]]</f>
        <v>-43882.615305165229</v>
      </c>
      <c r="AS1450" s="25">
        <f>VLOOKUP(Inventory[[#This Row],[Qlty]],Lookups!$A$62:$E$75,2,FALSE)</f>
        <v>21557.329055999999</v>
      </c>
      <c r="AT1450" s="25">
        <f>VLOOKUP(Inventory[[#This Row],[Cnd]],Lookups!$A$76:$E$84,2,FALSE)</f>
        <v>133714.53821</v>
      </c>
      <c r="AU1450" s="25">
        <f>Inventory[[#This Row],[EffAge]]*Lookups!$B$85</f>
        <v>-11821.416826500001</v>
      </c>
      <c r="AV1450" s="25">
        <f>Inventory[[#This Row],[MainFn]]*Lookups!$B$86</f>
        <v>54596.580214084999</v>
      </c>
      <c r="AW1450" s="25">
        <f>Inventory[[#This Row],[UpprFn]]*Lookups!$B$87</f>
        <v>32425.370151363997</v>
      </c>
      <c r="AX1450" s="25">
        <f>Inventory[[#This Row],[AddFn]]*Lookups!$B$88</f>
        <v>0</v>
      </c>
      <c r="AY1450" s="25">
        <f>Inventory[[#This Row],[Bsmt]]*Lookups!$B$89</f>
        <v>11632.758098799999</v>
      </c>
      <c r="AZ1450" s="25">
        <f>Inventory[[#This Row],[Fixtures]]*Lookups!$B$90</f>
        <v>30336.176841600001</v>
      </c>
      <c r="BA1450" s="25">
        <f>Inventory[[#This Row],[WdDeck]]*Lookups!$B$91</f>
        <v>0</v>
      </c>
      <c r="BB1450" s="25">
        <f>ROUND(Inventory[[#This Row],[25Det]],-2)</f>
        <v>1400</v>
      </c>
      <c r="BC1450" s="25">
        <f>ROUND(SUM(Inventory[[#This Row],[Mdl Qlty]:[Mdl WdDeck]])+Inventory[[#This Row],[Mdl Res Intercept]],-2)</f>
        <v>272400</v>
      </c>
      <c r="BD1450" s="25">
        <f>ROUND(Inventory[[#This Row],[Mdl Land Intercept]]+Inventory[[#This Row],[Mdl LnAcres]],-2)</f>
        <v>46000</v>
      </c>
      <c r="BE1450" s="25">
        <f>Inventory[[#This Row],[Unadj Res Value]]+Inventory[[#This Row],[Unadj Det Value]]+Inventory[[#This Row],[Unadj Land Value]]</f>
        <v>319800</v>
      </c>
      <c r="BF1450" s="36">
        <f>(Inventory[[#This Row],[Unadj Total Value]]-Inventory[[#This Row],[24Final]])/Inventory[[#This Row],[24Final]]</f>
        <v>-2.707636142379069E-2</v>
      </c>
      <c r="BG1450" s="25">
        <f>VLOOKUP(Inventory[[#This Row],[Nbhd]],Lookups!$Q$2:$T$4,4,FALSE)</f>
        <v>0.99970000000000003</v>
      </c>
      <c r="BH1450" s="25">
        <f>VLOOKUP(Inventory[[#This Row],[Qlty]],Lookups!$O$7:$R$21,4,FALSE)</f>
        <v>1.0067999999999999</v>
      </c>
      <c r="BI1450" s="25">
        <f>VLOOKUP(Inventory[[#This Row],[Cnd]],Lookups!$T$7:$W$16,4,FALSE)</f>
        <v>0.99329999999999996</v>
      </c>
      <c r="BJ1450" s="25">
        <f>VLOOKUP(Inventory[[#This Row],[LivArea Range]],Lookups!$T$25:$W$37,4,FALSE)</f>
        <v>0.98919999999999997</v>
      </c>
      <c r="BK1450" s="25">
        <f>VLOOKUP(Inventory[[#This Row],[Decade]],Lookups!$O$25:$R$42,4,FALSE)</f>
        <v>0.98909999999999998</v>
      </c>
      <c r="BL1450" s="25">
        <f>Inventory[[#This Row],[Nbhd Adj]]*0.95</f>
        <v>0.94971499999999998</v>
      </c>
      <c r="BM1450" s="25">
        <f>Inventory[[#This Row],[Nbhd Adj]]*Inventory[[#This Row],[Quality Adj]]*Inventory[[#This Row],[Condition Adj]]*Inventory[[#This Row],[Living Area Adj]]*Inventory[[#This Row],[Decade Adj]]*0.95</f>
        <v>0.92926857157690035</v>
      </c>
      <c r="BN1450" s="25">
        <f>ROUND(SUM(Inventory[[#This Row],[Mdl Qlty]:[Mdl WdDeck]])+Inventory[[#This Row],[Mdl Res Intercept]]*Inventory[[#This Row],[Res Adj ]],-2)</f>
        <v>272400</v>
      </c>
      <c r="BO1450" s="25">
        <f>ROUND(Inventory[[#This Row],[25Det]]*Inventory[[#This Row],[Det/Nbhd Adj]],-2)</f>
        <v>1400</v>
      </c>
      <c r="BP1450" s="25">
        <f>Inventory[[#This Row],[Adjusted Res]]+Inventory[[#This Row],[Adj Det ]]</f>
        <v>273800</v>
      </c>
      <c r="BQ1450" s="25">
        <f>ROUND((Inventory[[#This Row],[Mdl Land Intercept]]+Inventory[[#This Row],[Mdl LnAcres]])*Inventory[[#This Row],[Det/Nbhd Adj]],-2)</f>
        <v>43700</v>
      </c>
      <c r="BR1450" s="25">
        <f>Inventory[[#This Row],[Adjusted Impr Total]]+Inventory[[#This Row],[Adjusted Land Total]]</f>
        <v>317500</v>
      </c>
      <c r="BS1450" s="36">
        <f>IFERROR((Inventory[[#This Row],[Adjusted Impr Total]]-Inventory[[#This Row],[24Bldg]])/Inventory[[#This Row],[24Bldg]],0)</f>
        <v>4.304761904761905E-2</v>
      </c>
      <c r="BT1450" s="36">
        <f>(Inventory[[#This Row],[Adjusted Land Total]]-Inventory[[#This Row],[24Lnd]])/Inventory[[#This Row],[24Lnd]]</f>
        <v>-0.33987915407854985</v>
      </c>
      <c r="BU1450" s="36">
        <f>(Inventory[[#This Row],[Adjusted Total]]-Inventory[[#This Row],[24Final]])/Inventory[[#This Row],[24Final]]</f>
        <v>-3.4073623364770309E-2</v>
      </c>
    </row>
    <row r="1451" spans="1:73" x14ac:dyDescent="0.3">
      <c r="A1451" s="25">
        <v>2025</v>
      </c>
      <c r="B1451" s="26" t="s">
        <v>979</v>
      </c>
      <c r="C1451" s="26">
        <f>LN(Inventory[[#This Row],[Acres]])</f>
        <v>-1.7719568419318752</v>
      </c>
      <c r="D1451" s="25">
        <v>0.17</v>
      </c>
      <c r="E1451" s="25">
        <v>7347</v>
      </c>
      <c r="F1451" s="26" t="s">
        <v>537</v>
      </c>
      <c r="G1451" s="26" t="s">
        <v>126</v>
      </c>
      <c r="H1451" s="26" t="s">
        <v>349</v>
      </c>
      <c r="I1451" s="26" t="s">
        <v>538</v>
      </c>
      <c r="J1451" s="26" t="s">
        <v>638</v>
      </c>
      <c r="K1451" s="26" t="s">
        <v>242</v>
      </c>
      <c r="L1451" s="26" t="s">
        <v>31</v>
      </c>
      <c r="M1451" s="26" t="s">
        <v>323</v>
      </c>
      <c r="N1451" s="26">
        <v>90</v>
      </c>
      <c r="O1451" s="26">
        <f>2024-Inventory[[#This Row],[YrBlt]]</f>
        <v>86</v>
      </c>
      <c r="P1451" s="26">
        <f>2024-Inventory[[#This Row],[EffYr]]</f>
        <v>53</v>
      </c>
      <c r="Q1451" s="25">
        <v>1938</v>
      </c>
      <c r="R1451" s="25">
        <v>1971</v>
      </c>
      <c r="S1451" s="25">
        <v>644</v>
      </c>
      <c r="T1451" s="32">
        <v>315</v>
      </c>
      <c r="U1451" s="25">
        <v>630</v>
      </c>
      <c r="V1451" s="25">
        <f>Inventory[[#This Row],[Bsmt]]-Inventory[[#This Row],[FnBsmt]]</f>
        <v>420</v>
      </c>
      <c r="W1451" s="25">
        <v>210</v>
      </c>
      <c r="X1451" s="27"/>
      <c r="Y1451" s="27">
        <f>Inventory[[#This Row],[MainFn]]+Inventory[[#This Row],[UpprFn]]+Inventory[[#This Row],[FnBsmt]]+Inventory[[#This Row],[AddFn]]</f>
        <v>1169</v>
      </c>
      <c r="Z1451" s="27">
        <v>1500</v>
      </c>
      <c r="AA1451" s="25">
        <v>5</v>
      </c>
      <c r="AB1451" s="27"/>
      <c r="AC1451" s="31"/>
      <c r="AD1451" s="27"/>
      <c r="AE1451" s="27"/>
      <c r="AF1451" s="27"/>
      <c r="AG1451" s="27"/>
      <c r="AH1451" s="27"/>
      <c r="AI1451" s="25">
        <v>161849</v>
      </c>
      <c r="AJ1451" s="25">
        <v>108439</v>
      </c>
      <c r="AK1451" s="25">
        <v>0</v>
      </c>
      <c r="AL1451" s="25">
        <v>243800</v>
      </c>
      <c r="AM1451" s="25">
        <v>52700</v>
      </c>
      <c r="AN1451" s="25">
        <v>191100</v>
      </c>
      <c r="AO1451" s="25">
        <v>0</v>
      </c>
      <c r="AP1451" s="25">
        <f>Lookups!$B$56*0</f>
        <v>0</v>
      </c>
      <c r="AQ1451" s="25">
        <f>Lookups!$B$56*1</f>
        <v>89850.625589999996</v>
      </c>
      <c r="AR1451" s="25">
        <f>Lookups!$B$57*Inventory[[#This Row],[LnAcres]]</f>
        <v>-56090.612940989391</v>
      </c>
      <c r="AS1451" s="25">
        <f>VLOOKUP(Inventory[[#This Row],[Qlty]],Lookups!$A$62:$E$75,2,FALSE)</f>
        <v>-43578.886190266698</v>
      </c>
      <c r="AT1451" s="25">
        <f>VLOOKUP(Inventory[[#This Row],[Cnd]],Lookups!$A$76:$E$84,2,FALSE)</f>
        <v>160472.20319</v>
      </c>
      <c r="AU1451" s="25">
        <f>Inventory[[#This Row],[EffAge]]*Lookups!$B$85</f>
        <v>-11821.416826500001</v>
      </c>
      <c r="AV1451" s="25">
        <f>Inventory[[#This Row],[MainFn]]*Lookups!$B$86</f>
        <v>31819.183400788002</v>
      </c>
      <c r="AW1451" s="25">
        <f>Inventory[[#This Row],[UpprFn]]*Lookups!$B$87</f>
        <v>14107.723201215</v>
      </c>
      <c r="AX1451" s="25">
        <f>Inventory[[#This Row],[AddFn]]*Lookups!$B$88</f>
        <v>0</v>
      </c>
      <c r="AY1451" s="25">
        <f>Inventory[[#This Row],[Bsmt]]*Lookups!$B$89</f>
        <v>18321.594005610001</v>
      </c>
      <c r="AZ1451" s="25">
        <f>Inventory[[#This Row],[Fixtures]]*Lookups!$B$90</f>
        <v>18960.110526</v>
      </c>
      <c r="BA1451" s="25">
        <f>Inventory[[#This Row],[WdDeck]]*Lookups!$B$91</f>
        <v>0</v>
      </c>
      <c r="BB1451" s="25">
        <f>ROUND(Inventory[[#This Row],[25Det]],-2)</f>
        <v>0</v>
      </c>
      <c r="BC1451" s="25">
        <f>ROUND(SUM(Inventory[[#This Row],[Mdl Qlty]:[Mdl WdDeck]])+Inventory[[#This Row],[Mdl Res Intercept]],-2)</f>
        <v>188300</v>
      </c>
      <c r="BD1451" s="25">
        <f>ROUND(Inventory[[#This Row],[Mdl Land Intercept]]+Inventory[[#This Row],[Mdl LnAcres]],-2)</f>
        <v>33800</v>
      </c>
      <c r="BE1451" s="25">
        <f>Inventory[[#This Row],[Unadj Res Value]]+Inventory[[#This Row],[Unadj Det Value]]+Inventory[[#This Row],[Unadj Land Value]]</f>
        <v>222100</v>
      </c>
      <c r="BF1451" s="36">
        <f>(Inventory[[#This Row],[Unadj Total Value]]-Inventory[[#This Row],[24Final]])/Inventory[[#This Row],[24Final]]</f>
        <v>-8.9007383100902379E-2</v>
      </c>
      <c r="BG1451" s="25">
        <f>VLOOKUP(Inventory[[#This Row],[Nbhd]],Lookups!$Q$2:$T$4,4,FALSE)</f>
        <v>0.99970000000000003</v>
      </c>
      <c r="BH1451" s="25">
        <f>VLOOKUP(Inventory[[#This Row],[Qlty]],Lookups!$O$7:$R$21,4,FALSE)</f>
        <v>1</v>
      </c>
      <c r="BI1451" s="25">
        <f>VLOOKUP(Inventory[[#This Row],[Cnd]],Lookups!$T$7:$W$16,4,FALSE)</f>
        <v>0.99729999999999996</v>
      </c>
      <c r="BJ1451" s="25">
        <f>VLOOKUP(Inventory[[#This Row],[LivArea Range]],Lookups!$T$25:$W$37,4,FALSE)</f>
        <v>1.0157</v>
      </c>
      <c r="BK1451" s="25">
        <f>VLOOKUP(Inventory[[#This Row],[Decade]],Lookups!$O$25:$R$42,4,FALSE)</f>
        <v>0.98909999999999998</v>
      </c>
      <c r="BL1451" s="25">
        <f>Inventory[[#This Row],[Nbhd Adj]]*0.95</f>
        <v>0.94971499999999998</v>
      </c>
      <c r="BM1451" s="25">
        <f>Inventory[[#This Row],[Nbhd Adj]]*Inventory[[#This Row],[Quality Adj]]*Inventory[[#This Row],[Condition Adj]]*Inventory[[#This Row],[Living Area Adj]]*Inventory[[#This Row],[Decade Adj]]*0.95</f>
        <v>0.95153500728241536</v>
      </c>
      <c r="BN1451" s="25">
        <f>ROUND(SUM(Inventory[[#This Row],[Mdl Qlty]:[Mdl WdDeck]])+Inventory[[#This Row],[Mdl Res Intercept]]*Inventory[[#This Row],[Res Adj ]],-2)</f>
        <v>188300</v>
      </c>
      <c r="BO1451" s="25">
        <f>ROUND(Inventory[[#This Row],[25Det]]*Inventory[[#This Row],[Det/Nbhd Adj]],-2)</f>
        <v>0</v>
      </c>
      <c r="BP1451" s="25">
        <f>Inventory[[#This Row],[Adjusted Res]]+Inventory[[#This Row],[Adj Det ]]</f>
        <v>188300</v>
      </c>
      <c r="BQ1451" s="25">
        <f>ROUND((Inventory[[#This Row],[Mdl Land Intercept]]+Inventory[[#This Row],[Mdl LnAcres]])*Inventory[[#This Row],[Det/Nbhd Adj]],-2)</f>
        <v>32100</v>
      </c>
      <c r="BR1451" s="25">
        <f>Inventory[[#This Row],[Adjusted Impr Total]]+Inventory[[#This Row],[Adjusted Land Total]]</f>
        <v>220400</v>
      </c>
      <c r="BS1451" s="36">
        <f>IFERROR((Inventory[[#This Row],[Adjusted Impr Total]]-Inventory[[#This Row],[24Bldg]])/Inventory[[#This Row],[24Bldg]],0)</f>
        <v>-1.4652014652014652E-2</v>
      </c>
      <c r="BT1451" s="36">
        <f>(Inventory[[#This Row],[Adjusted Land Total]]-Inventory[[#This Row],[24Lnd]])/Inventory[[#This Row],[24Lnd]]</f>
        <v>-0.39089184060721061</v>
      </c>
      <c r="BU1451" s="36">
        <f>(Inventory[[#This Row],[Adjusted Total]]-Inventory[[#This Row],[24Final]])/Inventory[[#This Row],[24Final]]</f>
        <v>-9.5980311730926984E-2</v>
      </c>
    </row>
    <row r="1452" spans="1:73" x14ac:dyDescent="0.3">
      <c r="A1452" s="25">
        <v>2025</v>
      </c>
      <c r="B1452" s="26" t="s">
        <v>2764</v>
      </c>
      <c r="C1452" s="26">
        <f>LN(Inventory[[#This Row],[Acres]])</f>
        <v>-1.7719568419318752</v>
      </c>
      <c r="D1452" s="25">
        <v>0.17</v>
      </c>
      <c r="E1452" s="31"/>
      <c r="F1452" s="26" t="s">
        <v>537</v>
      </c>
      <c r="G1452" s="26" t="s">
        <v>126</v>
      </c>
      <c r="H1452" s="26" t="s">
        <v>349</v>
      </c>
      <c r="I1452" s="26" t="s">
        <v>538</v>
      </c>
      <c r="J1452" s="26" t="s">
        <v>539</v>
      </c>
      <c r="K1452" s="26" t="s">
        <v>242</v>
      </c>
      <c r="L1452" s="26" t="s">
        <v>31</v>
      </c>
      <c r="M1452" s="26" t="s">
        <v>323</v>
      </c>
      <c r="N1452" s="26">
        <v>90</v>
      </c>
      <c r="O1452" s="26">
        <f>2024-Inventory[[#This Row],[YrBlt]]</f>
        <v>86</v>
      </c>
      <c r="P1452" s="26">
        <f>2024-Inventory[[#This Row],[EffYr]]</f>
        <v>53</v>
      </c>
      <c r="Q1452" s="25">
        <v>1938</v>
      </c>
      <c r="R1452" s="25">
        <v>1971</v>
      </c>
      <c r="S1452" s="25">
        <v>825</v>
      </c>
      <c r="T1452" s="27"/>
      <c r="U1452" s="31"/>
      <c r="V1452" s="31">
        <f>Inventory[[#This Row],[Bsmt]]-Inventory[[#This Row],[FnBsmt]]</f>
        <v>0</v>
      </c>
      <c r="W1452" s="31"/>
      <c r="X1452" s="27"/>
      <c r="Y1452" s="27">
        <f>Inventory[[#This Row],[MainFn]]+Inventory[[#This Row],[UpprFn]]+Inventory[[#This Row],[FnBsmt]]+Inventory[[#This Row],[AddFn]]</f>
        <v>825</v>
      </c>
      <c r="Z1452" s="27">
        <v>1000</v>
      </c>
      <c r="AA1452" s="25">
        <v>5</v>
      </c>
      <c r="AB1452" s="27"/>
      <c r="AC1452" s="27"/>
      <c r="AD1452" s="31"/>
      <c r="AE1452" s="27"/>
      <c r="AF1452" s="27"/>
      <c r="AG1452" s="27"/>
      <c r="AH1452" s="27"/>
      <c r="AI1452" s="25">
        <v>120387</v>
      </c>
      <c r="AJ1452" s="25">
        <v>80659</v>
      </c>
      <c r="AK1452" s="25">
        <v>0</v>
      </c>
      <c r="AL1452" s="25">
        <v>223100</v>
      </c>
      <c r="AM1452" s="25">
        <v>52700</v>
      </c>
      <c r="AN1452" s="25">
        <v>170400</v>
      </c>
      <c r="AO1452" s="25">
        <v>0</v>
      </c>
      <c r="AP1452" s="25">
        <f>Lookups!$B$56*0</f>
        <v>0</v>
      </c>
      <c r="AQ1452" s="25">
        <f>Lookups!$B$56*1</f>
        <v>89850.625589999996</v>
      </c>
      <c r="AR1452" s="25">
        <f>Lookups!$B$57*Inventory[[#This Row],[LnAcres]]</f>
        <v>-56090.612940989391</v>
      </c>
      <c r="AS1452" s="25">
        <f>VLOOKUP(Inventory[[#This Row],[Qlty]],Lookups!$A$62:$E$75,2,FALSE)</f>
        <v>-43578.886190266698</v>
      </c>
      <c r="AT1452" s="25">
        <f>VLOOKUP(Inventory[[#This Row],[Cnd]],Lookups!$A$76:$E$84,2,FALSE)</f>
        <v>160472.20319</v>
      </c>
      <c r="AU1452" s="25">
        <f>Inventory[[#This Row],[EffAge]]*Lookups!$B$85</f>
        <v>-11821.416826500001</v>
      </c>
      <c r="AV1452" s="25">
        <f>Inventory[[#This Row],[MainFn]]*Lookups!$B$86</f>
        <v>40762.152648525</v>
      </c>
      <c r="AW1452" s="25">
        <f>Inventory[[#This Row],[UpprFn]]*Lookups!$B$87</f>
        <v>0</v>
      </c>
      <c r="AX1452" s="25">
        <f>Inventory[[#This Row],[AddFn]]*Lookups!$B$88</f>
        <v>0</v>
      </c>
      <c r="AY1452" s="25">
        <f>Inventory[[#This Row],[Bsmt]]*Lookups!$B$89</f>
        <v>0</v>
      </c>
      <c r="AZ1452" s="25">
        <f>Inventory[[#This Row],[Fixtures]]*Lookups!$B$90</f>
        <v>18960.110526</v>
      </c>
      <c r="BA1452" s="25">
        <f>Inventory[[#This Row],[WdDeck]]*Lookups!$B$91</f>
        <v>0</v>
      </c>
      <c r="BB1452" s="25">
        <f>ROUND(Inventory[[#This Row],[25Det]],-2)</f>
        <v>0</v>
      </c>
      <c r="BC1452" s="25">
        <f>ROUND(SUM(Inventory[[#This Row],[Mdl Qlty]:[Mdl WdDeck]])+Inventory[[#This Row],[Mdl Res Intercept]],-2)</f>
        <v>164800</v>
      </c>
      <c r="BD1452" s="25">
        <f>ROUND(Inventory[[#This Row],[Mdl Land Intercept]]+Inventory[[#This Row],[Mdl LnAcres]],-2)</f>
        <v>33800</v>
      </c>
      <c r="BE1452" s="25">
        <f>Inventory[[#This Row],[Unadj Res Value]]+Inventory[[#This Row],[Unadj Det Value]]+Inventory[[#This Row],[Unadj Land Value]]</f>
        <v>198600</v>
      </c>
      <c r="BF1452" s="36">
        <f>(Inventory[[#This Row],[Unadj Total Value]]-Inventory[[#This Row],[24Final]])/Inventory[[#This Row],[24Final]]</f>
        <v>-0.10981622590766472</v>
      </c>
      <c r="BG1452" s="25">
        <f>VLOOKUP(Inventory[[#This Row],[Nbhd]],Lookups!$Q$2:$T$4,4,FALSE)</f>
        <v>0.99970000000000003</v>
      </c>
      <c r="BH1452" s="25">
        <f>VLOOKUP(Inventory[[#This Row],[Qlty]],Lookups!$O$7:$R$21,4,FALSE)</f>
        <v>1</v>
      </c>
      <c r="BI1452" s="25">
        <f>VLOOKUP(Inventory[[#This Row],[Cnd]],Lookups!$T$7:$W$16,4,FALSE)</f>
        <v>0.99729999999999996</v>
      </c>
      <c r="BJ1452" s="25">
        <f>VLOOKUP(Inventory[[#This Row],[LivArea Range]],Lookups!$T$25:$W$37,4,FALSE)</f>
        <v>1.0148999999999999</v>
      </c>
      <c r="BK1452" s="25">
        <f>VLOOKUP(Inventory[[#This Row],[Decade]],Lookups!$O$25:$R$42,4,FALSE)</f>
        <v>0.98909999999999998</v>
      </c>
      <c r="BL1452" s="25">
        <f>Inventory[[#This Row],[Nbhd Adj]]*0.95</f>
        <v>0.94971499999999998</v>
      </c>
      <c r="BM1452" s="25">
        <f>Inventory[[#This Row],[Nbhd Adj]]*Inventory[[#This Row],[Quality Adj]]*Inventory[[#This Row],[Condition Adj]]*Inventory[[#This Row],[Living Area Adj]]*Inventory[[#This Row],[Decade Adj]]*0.95</f>
        <v>0.95078554582152541</v>
      </c>
      <c r="BN1452" s="25">
        <f>ROUND(SUM(Inventory[[#This Row],[Mdl Qlty]:[Mdl WdDeck]])+Inventory[[#This Row],[Mdl Res Intercept]]*Inventory[[#This Row],[Res Adj ]],-2)</f>
        <v>164800</v>
      </c>
      <c r="BO1452" s="25">
        <f>ROUND(Inventory[[#This Row],[25Det]]*Inventory[[#This Row],[Det/Nbhd Adj]],-2)</f>
        <v>0</v>
      </c>
      <c r="BP1452" s="25">
        <f>Inventory[[#This Row],[Adjusted Res]]+Inventory[[#This Row],[Adj Det ]]</f>
        <v>164800</v>
      </c>
      <c r="BQ1452" s="25">
        <f>ROUND((Inventory[[#This Row],[Mdl Land Intercept]]+Inventory[[#This Row],[Mdl LnAcres]])*Inventory[[#This Row],[Det/Nbhd Adj]],-2)</f>
        <v>32100</v>
      </c>
      <c r="BR1452" s="25">
        <f>Inventory[[#This Row],[Adjusted Impr Total]]+Inventory[[#This Row],[Adjusted Land Total]]</f>
        <v>196900</v>
      </c>
      <c r="BS1452" s="36">
        <f>IFERROR((Inventory[[#This Row],[Adjusted Impr Total]]-Inventory[[#This Row],[24Bldg]])/Inventory[[#This Row],[24Bldg]],0)</f>
        <v>-3.2863849765258218E-2</v>
      </c>
      <c r="BT1452" s="36">
        <f>(Inventory[[#This Row],[Adjusted Land Total]]-Inventory[[#This Row],[24Lnd]])/Inventory[[#This Row],[24Lnd]]</f>
        <v>-0.39089184060721061</v>
      </c>
      <c r="BU1452" s="36">
        <f>(Inventory[[#This Row],[Adjusted Total]]-Inventory[[#This Row],[24Final]])/Inventory[[#This Row],[24Final]]</f>
        <v>-0.11743612729717616</v>
      </c>
    </row>
    <row r="1453" spans="1:73" x14ac:dyDescent="0.3">
      <c r="A1453" s="25">
        <v>2025</v>
      </c>
      <c r="B1453" s="26" t="s">
        <v>1368</v>
      </c>
      <c r="C1453" s="26">
        <f>LN(Inventory[[#This Row],[Acres]])</f>
        <v>-1.4696759700589417</v>
      </c>
      <c r="D1453" s="25">
        <v>0.23</v>
      </c>
      <c r="E1453" s="25">
        <v>10230</v>
      </c>
      <c r="F1453" s="26" t="s">
        <v>537</v>
      </c>
      <c r="G1453" s="26" t="s">
        <v>126</v>
      </c>
      <c r="H1453" s="26" t="s">
        <v>349</v>
      </c>
      <c r="I1453" s="26" t="s">
        <v>538</v>
      </c>
      <c r="J1453" s="26" t="s">
        <v>539</v>
      </c>
      <c r="K1453" s="26" t="s">
        <v>242</v>
      </c>
      <c r="L1453" s="26" t="s">
        <v>31</v>
      </c>
      <c r="M1453" s="26" t="s">
        <v>323</v>
      </c>
      <c r="N1453" s="26">
        <v>90</v>
      </c>
      <c r="O1453" s="26">
        <f>2024-Inventory[[#This Row],[YrBlt]]</f>
        <v>86</v>
      </c>
      <c r="P1453" s="26">
        <f>2024-Inventory[[#This Row],[EffYr]]</f>
        <v>53</v>
      </c>
      <c r="Q1453" s="25">
        <v>1938</v>
      </c>
      <c r="R1453" s="25">
        <v>1971</v>
      </c>
      <c r="S1453" s="25">
        <v>880</v>
      </c>
      <c r="T1453" s="27"/>
      <c r="U1453" s="25">
        <v>720</v>
      </c>
      <c r="V1453" s="25">
        <f>Inventory[[#This Row],[Bsmt]]-Inventory[[#This Row],[FnBsmt]]</f>
        <v>720</v>
      </c>
      <c r="W1453" s="31"/>
      <c r="X1453" s="27"/>
      <c r="Y1453" s="27">
        <f>Inventory[[#This Row],[MainFn]]+Inventory[[#This Row],[UpprFn]]+Inventory[[#This Row],[FnBsmt]]+Inventory[[#This Row],[AddFn]]</f>
        <v>880</v>
      </c>
      <c r="Z1453" s="27">
        <v>1000</v>
      </c>
      <c r="AA1453" s="25">
        <v>5</v>
      </c>
      <c r="AB1453" s="27"/>
      <c r="AC1453" s="27"/>
      <c r="AD1453" s="31"/>
      <c r="AE1453" s="27"/>
      <c r="AF1453" s="27"/>
      <c r="AG1453" s="27"/>
      <c r="AH1453" s="27"/>
      <c r="AI1453" s="25">
        <v>148010</v>
      </c>
      <c r="AJ1453" s="25">
        <v>99167</v>
      </c>
      <c r="AK1453" s="25">
        <v>14038</v>
      </c>
      <c r="AL1453" s="25">
        <v>278400</v>
      </c>
      <c r="AM1453" s="25">
        <v>63300</v>
      </c>
      <c r="AN1453" s="25">
        <v>215100</v>
      </c>
      <c r="AO1453" s="25">
        <v>0</v>
      </c>
      <c r="AP1453" s="25">
        <f>Lookups!$B$56*0</f>
        <v>0</v>
      </c>
      <c r="AQ1453" s="25">
        <f>Lookups!$B$56*1</f>
        <v>89850.625589999996</v>
      </c>
      <c r="AR1453" s="25">
        <f>Lookups!$B$57*Inventory[[#This Row],[LnAcres]]</f>
        <v>-46522.028095997222</v>
      </c>
      <c r="AS1453" s="25">
        <f>VLOOKUP(Inventory[[#This Row],[Qlty]],Lookups!$A$62:$E$75,2,FALSE)</f>
        <v>-43578.886190266698</v>
      </c>
      <c r="AT1453" s="25">
        <f>VLOOKUP(Inventory[[#This Row],[Cnd]],Lookups!$A$76:$E$84,2,FALSE)</f>
        <v>160472.20319</v>
      </c>
      <c r="AU1453" s="25">
        <f>Inventory[[#This Row],[EffAge]]*Lookups!$B$85</f>
        <v>-11821.416826500001</v>
      </c>
      <c r="AV1453" s="25">
        <f>Inventory[[#This Row],[MainFn]]*Lookups!$B$86</f>
        <v>43479.629491760003</v>
      </c>
      <c r="AW1453" s="25">
        <f>Inventory[[#This Row],[UpprFn]]*Lookups!$B$87</f>
        <v>0</v>
      </c>
      <c r="AX1453" s="25">
        <f>Inventory[[#This Row],[AddFn]]*Lookups!$B$88</f>
        <v>0</v>
      </c>
      <c r="AY1453" s="25">
        <f>Inventory[[#This Row],[Bsmt]]*Lookups!$B$89</f>
        <v>20938.964577839997</v>
      </c>
      <c r="AZ1453" s="25">
        <f>Inventory[[#This Row],[Fixtures]]*Lookups!$B$90</f>
        <v>18960.110526</v>
      </c>
      <c r="BA1453" s="25">
        <f>Inventory[[#This Row],[WdDeck]]*Lookups!$B$91</f>
        <v>0</v>
      </c>
      <c r="BB1453" s="25">
        <f>ROUND(Inventory[[#This Row],[25Det]],-2)</f>
        <v>14000</v>
      </c>
      <c r="BC1453" s="25">
        <f>ROUND(SUM(Inventory[[#This Row],[Mdl Qlty]:[Mdl WdDeck]])+Inventory[[#This Row],[Mdl Res Intercept]],-2)</f>
        <v>188500</v>
      </c>
      <c r="BD1453" s="25">
        <f>ROUND(Inventory[[#This Row],[Mdl Land Intercept]]+Inventory[[#This Row],[Mdl LnAcres]],-2)</f>
        <v>43300</v>
      </c>
      <c r="BE1453" s="25">
        <f>Inventory[[#This Row],[Unadj Res Value]]+Inventory[[#This Row],[Unadj Det Value]]+Inventory[[#This Row],[Unadj Land Value]]</f>
        <v>245800</v>
      </c>
      <c r="BF1453" s="36">
        <f>(Inventory[[#This Row],[Unadj Total Value]]-Inventory[[#This Row],[24Final]])/Inventory[[#This Row],[24Final]]</f>
        <v>-0.11709770114942529</v>
      </c>
      <c r="BG1453" s="25">
        <f>VLOOKUP(Inventory[[#This Row],[Nbhd]],Lookups!$Q$2:$T$4,4,FALSE)</f>
        <v>0.99970000000000003</v>
      </c>
      <c r="BH1453" s="25">
        <f>VLOOKUP(Inventory[[#This Row],[Qlty]],Lookups!$O$7:$R$21,4,FALSE)</f>
        <v>1</v>
      </c>
      <c r="BI1453" s="25">
        <f>VLOOKUP(Inventory[[#This Row],[Cnd]],Lookups!$T$7:$W$16,4,FALSE)</f>
        <v>0.99729999999999996</v>
      </c>
      <c r="BJ1453" s="25">
        <f>VLOOKUP(Inventory[[#This Row],[LivArea Range]],Lookups!$T$25:$W$37,4,FALSE)</f>
        <v>1.0148999999999999</v>
      </c>
      <c r="BK1453" s="25">
        <f>VLOOKUP(Inventory[[#This Row],[Decade]],Lookups!$O$25:$R$42,4,FALSE)</f>
        <v>0.98909999999999998</v>
      </c>
      <c r="BL1453" s="25">
        <f>Inventory[[#This Row],[Nbhd Adj]]*0.95</f>
        <v>0.94971499999999998</v>
      </c>
      <c r="BM1453" s="25">
        <f>Inventory[[#This Row],[Nbhd Adj]]*Inventory[[#This Row],[Quality Adj]]*Inventory[[#This Row],[Condition Adj]]*Inventory[[#This Row],[Living Area Adj]]*Inventory[[#This Row],[Decade Adj]]*0.95</f>
        <v>0.95078554582152541</v>
      </c>
      <c r="BN1453" s="25">
        <f>ROUND(SUM(Inventory[[#This Row],[Mdl Qlty]:[Mdl WdDeck]])+Inventory[[#This Row],[Mdl Res Intercept]]*Inventory[[#This Row],[Res Adj ]],-2)</f>
        <v>188500</v>
      </c>
      <c r="BO1453" s="25">
        <f>ROUND(Inventory[[#This Row],[25Det]]*Inventory[[#This Row],[Det/Nbhd Adj]],-2)</f>
        <v>13300</v>
      </c>
      <c r="BP1453" s="25">
        <f>Inventory[[#This Row],[Adjusted Res]]+Inventory[[#This Row],[Adj Det ]]</f>
        <v>201800</v>
      </c>
      <c r="BQ1453" s="25">
        <f>ROUND((Inventory[[#This Row],[Mdl Land Intercept]]+Inventory[[#This Row],[Mdl LnAcres]])*Inventory[[#This Row],[Det/Nbhd Adj]],-2)</f>
        <v>41100</v>
      </c>
      <c r="BR1453" s="25">
        <f>Inventory[[#This Row],[Adjusted Impr Total]]+Inventory[[#This Row],[Adjusted Land Total]]</f>
        <v>242900</v>
      </c>
      <c r="BS1453" s="36">
        <f>IFERROR((Inventory[[#This Row],[Adjusted Impr Total]]-Inventory[[#This Row],[24Bldg]])/Inventory[[#This Row],[24Bldg]],0)</f>
        <v>-6.1831706183170618E-2</v>
      </c>
      <c r="BT1453" s="36">
        <f>(Inventory[[#This Row],[Adjusted Land Total]]-Inventory[[#This Row],[24Lnd]])/Inventory[[#This Row],[24Lnd]]</f>
        <v>-0.35071090047393366</v>
      </c>
      <c r="BU1453" s="36">
        <f>(Inventory[[#This Row],[Adjusted Total]]-Inventory[[#This Row],[24Final]])/Inventory[[#This Row],[24Final]]</f>
        <v>-0.12751436781609196</v>
      </c>
    </row>
    <row r="1454" spans="1:73" x14ac:dyDescent="0.3">
      <c r="A1454" s="25">
        <v>2025</v>
      </c>
      <c r="B1454" s="26" t="s">
        <v>2301</v>
      </c>
      <c r="C1454" s="26">
        <f>LN(Inventory[[#This Row],[Acres]])</f>
        <v>-1.1086626245216111</v>
      </c>
      <c r="D1454" s="25">
        <v>0.33</v>
      </c>
      <c r="E1454" s="25">
        <v>14579</v>
      </c>
      <c r="F1454" s="26" t="s">
        <v>537</v>
      </c>
      <c r="G1454" s="26" t="s">
        <v>126</v>
      </c>
      <c r="H1454" s="26" t="s">
        <v>349</v>
      </c>
      <c r="I1454" s="26" t="s">
        <v>538</v>
      </c>
      <c r="J1454" s="26" t="s">
        <v>539</v>
      </c>
      <c r="K1454" s="26" t="s">
        <v>173</v>
      </c>
      <c r="L1454" s="26" t="s">
        <v>351</v>
      </c>
      <c r="M1454" s="26" t="s">
        <v>352</v>
      </c>
      <c r="N1454" s="26">
        <v>90</v>
      </c>
      <c r="O1454" s="26">
        <f>2024-Inventory[[#This Row],[YrBlt]]</f>
        <v>87</v>
      </c>
      <c r="P1454" s="26">
        <f>2024-Inventory[[#This Row],[EffYr]]</f>
        <v>29</v>
      </c>
      <c r="Q1454" s="25">
        <v>1937</v>
      </c>
      <c r="R1454" s="25">
        <v>1995</v>
      </c>
      <c r="S1454" s="25">
        <v>1205</v>
      </c>
      <c r="T1454" s="25">
        <v>432</v>
      </c>
      <c r="U1454" s="25">
        <v>882</v>
      </c>
      <c r="V1454" s="25">
        <f>Inventory[[#This Row],[Bsmt]]-Inventory[[#This Row],[FnBsmt]]</f>
        <v>882</v>
      </c>
      <c r="W1454" s="31"/>
      <c r="X1454" s="27"/>
      <c r="Y1454" s="27">
        <f>Inventory[[#This Row],[MainFn]]+Inventory[[#This Row],[UpprFn]]+Inventory[[#This Row],[FnBsmt]]+Inventory[[#This Row],[AddFn]]</f>
        <v>1637</v>
      </c>
      <c r="Z1454" s="27">
        <v>2000</v>
      </c>
      <c r="AA1454" s="25">
        <v>8</v>
      </c>
      <c r="AB1454" s="27"/>
      <c r="AC1454" s="27"/>
      <c r="AD1454" s="31"/>
      <c r="AE1454" s="27"/>
      <c r="AF1454" s="27"/>
      <c r="AG1454" s="27"/>
      <c r="AH1454" s="27"/>
      <c r="AI1454" s="25">
        <v>278379</v>
      </c>
      <c r="AJ1454" s="25">
        <v>242190</v>
      </c>
      <c r="AK1454" s="25">
        <v>0</v>
      </c>
      <c r="AL1454" s="25">
        <v>392400</v>
      </c>
      <c r="AM1454" s="25">
        <v>75900</v>
      </c>
      <c r="AN1454" s="25">
        <v>316500</v>
      </c>
      <c r="AO1454" s="25">
        <v>0</v>
      </c>
      <c r="AP1454" s="25">
        <f>Lookups!$B$56*0</f>
        <v>0</v>
      </c>
      <c r="AQ1454" s="25">
        <f>Lookups!$B$56*1</f>
        <v>89850.625589999996</v>
      </c>
      <c r="AR1454" s="25">
        <f>Lookups!$B$57*Inventory[[#This Row],[LnAcres]]</f>
        <v>-35094.289365640165</v>
      </c>
      <c r="AS1454" s="25">
        <f>VLOOKUP(Inventory[[#This Row],[Qlty]],Lookups!$A$62:$E$75,2,FALSE)</f>
        <v>21557.329055999999</v>
      </c>
      <c r="AT1454" s="25">
        <f>VLOOKUP(Inventory[[#This Row],[Cnd]],Lookups!$A$76:$E$84,2,FALSE)</f>
        <v>284810.60806</v>
      </c>
      <c r="AU1454" s="25">
        <f>Inventory[[#This Row],[EffAge]]*Lookups!$B$85</f>
        <v>-6468.3224145000004</v>
      </c>
      <c r="AV1454" s="25">
        <f>Inventory[[#This Row],[MainFn]]*Lookups!$B$86</f>
        <v>59537.447201784998</v>
      </c>
      <c r="AW1454" s="25">
        <f>Inventory[[#This Row],[UpprFn]]*Lookups!$B$87</f>
        <v>19347.734675952001</v>
      </c>
      <c r="AX1454" s="25">
        <f>Inventory[[#This Row],[AddFn]]*Lookups!$B$88</f>
        <v>0</v>
      </c>
      <c r="AY1454" s="25">
        <f>Inventory[[#This Row],[Bsmt]]*Lookups!$B$89</f>
        <v>25650.231607853999</v>
      </c>
      <c r="AZ1454" s="25">
        <f>Inventory[[#This Row],[Fixtures]]*Lookups!$B$90</f>
        <v>30336.176841600001</v>
      </c>
      <c r="BA1454" s="25">
        <f>Inventory[[#This Row],[WdDeck]]*Lookups!$B$91</f>
        <v>0</v>
      </c>
      <c r="BB1454" s="25">
        <f>ROUND(Inventory[[#This Row],[25Det]],-2)</f>
        <v>0</v>
      </c>
      <c r="BC1454" s="25">
        <f>ROUND(SUM(Inventory[[#This Row],[Mdl Qlty]:[Mdl WdDeck]])+Inventory[[#This Row],[Mdl Res Intercept]],-2)</f>
        <v>434800</v>
      </c>
      <c r="BD1454" s="25">
        <f>ROUND(Inventory[[#This Row],[Mdl Land Intercept]]+Inventory[[#This Row],[Mdl LnAcres]],-2)</f>
        <v>54800</v>
      </c>
      <c r="BE1454" s="25">
        <f>Inventory[[#This Row],[Unadj Res Value]]+Inventory[[#This Row],[Unadj Det Value]]+Inventory[[#This Row],[Unadj Land Value]]</f>
        <v>489600</v>
      </c>
      <c r="BF1454" s="36">
        <f>(Inventory[[#This Row],[Unadj Total Value]]-Inventory[[#This Row],[24Final]])/Inventory[[#This Row],[24Final]]</f>
        <v>0.24770642201834864</v>
      </c>
      <c r="BG1454" s="25">
        <f>VLOOKUP(Inventory[[#This Row],[Nbhd]],Lookups!$Q$2:$T$4,4,FALSE)</f>
        <v>0.99970000000000003</v>
      </c>
      <c r="BH1454" s="25">
        <f>VLOOKUP(Inventory[[#This Row],[Qlty]],Lookups!$O$7:$R$21,4,FALSE)</f>
        <v>1.0067999999999999</v>
      </c>
      <c r="BI1454" s="25">
        <f>VLOOKUP(Inventory[[#This Row],[Cnd]],Lookups!$T$7:$W$16,4,FALSE)</f>
        <v>1.0158</v>
      </c>
      <c r="BJ1454" s="25">
        <f>VLOOKUP(Inventory[[#This Row],[LivArea Range]],Lookups!$T$25:$W$37,4,FALSE)</f>
        <v>1.0093000000000001</v>
      </c>
      <c r="BK1454" s="25">
        <f>VLOOKUP(Inventory[[#This Row],[Decade]],Lookups!$O$25:$R$42,4,FALSE)</f>
        <v>0.98909999999999998</v>
      </c>
      <c r="BL1454" s="25">
        <f>Inventory[[#This Row],[Nbhd Adj]]*0.95</f>
        <v>0.94971499999999998</v>
      </c>
      <c r="BM1454" s="25">
        <f>Inventory[[#This Row],[Nbhd Adj]]*Inventory[[#This Row],[Quality Adj]]*Inventory[[#This Row],[Condition Adj]]*Inventory[[#This Row],[Living Area Adj]]*Inventory[[#This Row],[Decade Adj]]*0.95</f>
        <v>0.96962808871133754</v>
      </c>
      <c r="BN1454" s="25">
        <f>ROUND(SUM(Inventory[[#This Row],[Mdl Qlty]:[Mdl WdDeck]])+Inventory[[#This Row],[Mdl Res Intercept]]*Inventory[[#This Row],[Res Adj ]],-2)</f>
        <v>434800</v>
      </c>
      <c r="BO1454" s="25">
        <f>ROUND(Inventory[[#This Row],[25Det]]*Inventory[[#This Row],[Det/Nbhd Adj]],-2)</f>
        <v>0</v>
      </c>
      <c r="BP1454" s="25">
        <f>Inventory[[#This Row],[Adjusted Res]]+Inventory[[#This Row],[Adj Det ]]</f>
        <v>434800</v>
      </c>
      <c r="BQ1454" s="25">
        <f>ROUND((Inventory[[#This Row],[Mdl Land Intercept]]+Inventory[[#This Row],[Mdl LnAcres]])*Inventory[[#This Row],[Det/Nbhd Adj]],-2)</f>
        <v>52000</v>
      </c>
      <c r="BR1454" s="25">
        <f>Inventory[[#This Row],[Adjusted Impr Total]]+Inventory[[#This Row],[Adjusted Land Total]]</f>
        <v>486800</v>
      </c>
      <c r="BS1454" s="36">
        <f>IFERROR((Inventory[[#This Row],[Adjusted Impr Total]]-Inventory[[#This Row],[24Bldg]])/Inventory[[#This Row],[24Bldg]],0)</f>
        <v>0.37377567140600315</v>
      </c>
      <c r="BT1454" s="36">
        <f>(Inventory[[#This Row],[Adjusted Land Total]]-Inventory[[#This Row],[24Lnd]])/Inventory[[#This Row],[24Lnd]]</f>
        <v>-0.31488801054018445</v>
      </c>
      <c r="BU1454" s="36">
        <f>(Inventory[[#This Row],[Adjusted Total]]-Inventory[[#This Row],[24Final]])/Inventory[[#This Row],[24Final]]</f>
        <v>0.24057084607543322</v>
      </c>
    </row>
    <row r="1455" spans="1:73" x14ac:dyDescent="0.3">
      <c r="A1455" s="25">
        <v>2025</v>
      </c>
      <c r="B1455" s="26" t="s">
        <v>2054</v>
      </c>
      <c r="C1455" s="26">
        <f>LN(Inventory[[#This Row],[Acres]])</f>
        <v>-1.6607312068216509</v>
      </c>
      <c r="D1455" s="25">
        <v>0.19</v>
      </c>
      <c r="E1455" s="25">
        <v>8340</v>
      </c>
      <c r="F1455" s="26" t="s">
        <v>537</v>
      </c>
      <c r="G1455" s="26" t="s">
        <v>126</v>
      </c>
      <c r="H1455" s="26" t="s">
        <v>349</v>
      </c>
      <c r="I1455" s="26" t="s">
        <v>538</v>
      </c>
      <c r="J1455" s="26" t="s">
        <v>539</v>
      </c>
      <c r="K1455" s="26" t="s">
        <v>242</v>
      </c>
      <c r="L1455" s="26" t="s">
        <v>351</v>
      </c>
      <c r="M1455" s="26" t="s">
        <v>303</v>
      </c>
      <c r="N1455" s="26">
        <v>90</v>
      </c>
      <c r="O1455" s="26">
        <f>2024-Inventory[[#This Row],[YrBlt]]</f>
        <v>87</v>
      </c>
      <c r="P1455" s="26">
        <f>2024-Inventory[[#This Row],[EffYr]]</f>
        <v>53</v>
      </c>
      <c r="Q1455" s="25">
        <v>1937</v>
      </c>
      <c r="R1455" s="25">
        <v>1971</v>
      </c>
      <c r="S1455" s="25">
        <v>1240</v>
      </c>
      <c r="T1455" s="27"/>
      <c r="U1455" s="32">
        <v>1280</v>
      </c>
      <c r="V1455" s="32">
        <f>Inventory[[#This Row],[Bsmt]]-Inventory[[#This Row],[FnBsmt]]</f>
        <v>1280</v>
      </c>
      <c r="W1455" s="27"/>
      <c r="X1455" s="27"/>
      <c r="Y1455" s="27">
        <f>Inventory[[#This Row],[MainFn]]+Inventory[[#This Row],[UpprFn]]+Inventory[[#This Row],[FnBsmt]]+Inventory[[#This Row],[AddFn]]</f>
        <v>1240</v>
      </c>
      <c r="Z1455" s="27">
        <v>1500</v>
      </c>
      <c r="AA1455" s="25">
        <v>5</v>
      </c>
      <c r="AB1455" s="27"/>
      <c r="AC1455" s="27"/>
      <c r="AD1455" s="27"/>
      <c r="AE1455" s="27"/>
      <c r="AF1455" s="27"/>
      <c r="AG1455" s="27"/>
      <c r="AH1455" s="27"/>
      <c r="AI1455" s="25">
        <v>254609</v>
      </c>
      <c r="AJ1455" s="25">
        <v>175680</v>
      </c>
      <c r="AK1455" s="25">
        <v>13625</v>
      </c>
      <c r="AL1455" s="25">
        <v>333900</v>
      </c>
      <c r="AM1455" s="25">
        <v>56600</v>
      </c>
      <c r="AN1455" s="25">
        <v>277300</v>
      </c>
      <c r="AO1455" s="25">
        <v>0</v>
      </c>
      <c r="AP1455" s="25">
        <f>Lookups!$B$56*0</f>
        <v>0</v>
      </c>
      <c r="AQ1455" s="25">
        <f>Lookups!$B$56*1</f>
        <v>89850.625589999996</v>
      </c>
      <c r="AR1455" s="25">
        <f>Lookups!$B$57*Inventory[[#This Row],[LnAcres]]</f>
        <v>-52569.808201026557</v>
      </c>
      <c r="AS1455" s="25">
        <f>VLOOKUP(Inventory[[#This Row],[Qlty]],Lookups!$A$62:$E$75,2,FALSE)</f>
        <v>21557.329055999999</v>
      </c>
      <c r="AT1455" s="25">
        <f>VLOOKUP(Inventory[[#This Row],[Cnd]],Lookups!$A$76:$E$84,2,FALSE)</f>
        <v>197752.34721000001</v>
      </c>
      <c r="AU1455" s="25">
        <f>Inventory[[#This Row],[EffAge]]*Lookups!$B$85</f>
        <v>-11821.416826500001</v>
      </c>
      <c r="AV1455" s="25">
        <f>Inventory[[#This Row],[MainFn]]*Lookups!$B$86</f>
        <v>61266.750647480003</v>
      </c>
      <c r="AW1455" s="25">
        <f>Inventory[[#This Row],[UpprFn]]*Lookups!$B$87</f>
        <v>0</v>
      </c>
      <c r="AX1455" s="25">
        <f>Inventory[[#This Row],[AddFn]]*Lookups!$B$88</f>
        <v>0</v>
      </c>
      <c r="AY1455" s="25">
        <f>Inventory[[#This Row],[Bsmt]]*Lookups!$B$89</f>
        <v>37224.82591616</v>
      </c>
      <c r="AZ1455" s="25">
        <f>Inventory[[#This Row],[Fixtures]]*Lookups!$B$90</f>
        <v>18960.110526</v>
      </c>
      <c r="BA1455" s="25">
        <f>Inventory[[#This Row],[WdDeck]]*Lookups!$B$91</f>
        <v>0</v>
      </c>
      <c r="BB1455" s="25">
        <f>ROUND(Inventory[[#This Row],[25Det]],-2)</f>
        <v>13600</v>
      </c>
      <c r="BC1455" s="25">
        <f>ROUND(SUM(Inventory[[#This Row],[Mdl Qlty]:[Mdl WdDeck]])+Inventory[[#This Row],[Mdl Res Intercept]],-2)</f>
        <v>324900</v>
      </c>
      <c r="BD1455" s="25">
        <f>ROUND(Inventory[[#This Row],[Mdl Land Intercept]]+Inventory[[#This Row],[Mdl LnAcres]],-2)</f>
        <v>37300</v>
      </c>
      <c r="BE1455" s="25">
        <f>Inventory[[#This Row],[Unadj Res Value]]+Inventory[[#This Row],[Unadj Det Value]]+Inventory[[#This Row],[Unadj Land Value]]</f>
        <v>375800</v>
      </c>
      <c r="BF1455" s="36">
        <f>(Inventory[[#This Row],[Unadj Total Value]]-Inventory[[#This Row],[24Final]])/Inventory[[#This Row],[24Final]]</f>
        <v>0.12548667265648397</v>
      </c>
      <c r="BG1455" s="25">
        <f>VLOOKUP(Inventory[[#This Row],[Nbhd]],Lookups!$Q$2:$T$4,4,FALSE)</f>
        <v>0.99970000000000003</v>
      </c>
      <c r="BH1455" s="25">
        <f>VLOOKUP(Inventory[[#This Row],[Qlty]],Lookups!$O$7:$R$21,4,FALSE)</f>
        <v>1.0067999999999999</v>
      </c>
      <c r="BI1455" s="25">
        <f>VLOOKUP(Inventory[[#This Row],[Cnd]],Lookups!$T$7:$W$16,4,FALSE)</f>
        <v>0.99650000000000005</v>
      </c>
      <c r="BJ1455" s="25">
        <f>VLOOKUP(Inventory[[#This Row],[LivArea Range]],Lookups!$T$25:$W$37,4,FALSE)</f>
        <v>1.0157</v>
      </c>
      <c r="BK1455" s="25">
        <f>VLOOKUP(Inventory[[#This Row],[Decade]],Lookups!$O$25:$R$42,4,FALSE)</f>
        <v>0.98909999999999998</v>
      </c>
      <c r="BL1455" s="25">
        <f>Inventory[[#This Row],[Nbhd Adj]]*0.95</f>
        <v>0.94971499999999998</v>
      </c>
      <c r="BM1455" s="25">
        <f>Inventory[[#This Row],[Nbhd Adj]]*Inventory[[#This Row],[Quality Adj]]*Inventory[[#This Row],[Condition Adj]]*Inventory[[#This Row],[Living Area Adj]]*Inventory[[#This Row],[Decade Adj]]*0.95</f>
        <v>0.95723696608169473</v>
      </c>
      <c r="BN1455" s="25">
        <f>ROUND(SUM(Inventory[[#This Row],[Mdl Qlty]:[Mdl WdDeck]])+Inventory[[#This Row],[Mdl Res Intercept]]*Inventory[[#This Row],[Res Adj ]],-2)</f>
        <v>324900</v>
      </c>
      <c r="BO1455" s="25">
        <f>ROUND(Inventory[[#This Row],[25Det]]*Inventory[[#This Row],[Det/Nbhd Adj]],-2)</f>
        <v>12900</v>
      </c>
      <c r="BP1455" s="25">
        <f>Inventory[[#This Row],[Adjusted Res]]+Inventory[[#This Row],[Adj Det ]]</f>
        <v>337800</v>
      </c>
      <c r="BQ1455" s="25">
        <f>ROUND((Inventory[[#This Row],[Mdl Land Intercept]]+Inventory[[#This Row],[Mdl LnAcres]])*Inventory[[#This Row],[Det/Nbhd Adj]],-2)</f>
        <v>35400</v>
      </c>
      <c r="BR1455" s="25">
        <f>Inventory[[#This Row],[Adjusted Impr Total]]+Inventory[[#This Row],[Adjusted Land Total]]</f>
        <v>373200</v>
      </c>
      <c r="BS1455" s="36">
        <f>IFERROR((Inventory[[#This Row],[Adjusted Impr Total]]-Inventory[[#This Row],[24Bldg]])/Inventory[[#This Row],[24Bldg]],0)</f>
        <v>0.21817526144969349</v>
      </c>
      <c r="BT1455" s="36">
        <f>(Inventory[[#This Row],[Adjusted Land Total]]-Inventory[[#This Row],[24Lnd]])/Inventory[[#This Row],[24Lnd]]</f>
        <v>-0.37455830388692579</v>
      </c>
      <c r="BU1455" s="36">
        <f>(Inventory[[#This Row],[Adjusted Total]]-Inventory[[#This Row],[24Final]])/Inventory[[#This Row],[24Final]]</f>
        <v>0.11769991015274034</v>
      </c>
    </row>
    <row r="1456" spans="1:73" x14ac:dyDescent="0.3">
      <c r="A1456" s="25">
        <v>2025</v>
      </c>
      <c r="B1456" s="26" t="s">
        <v>1024</v>
      </c>
      <c r="C1456" s="26">
        <f>LN(Inventory[[#This Row],[Acres]])</f>
        <v>-1.7719568419318752</v>
      </c>
      <c r="D1456" s="25">
        <v>0.17</v>
      </c>
      <c r="E1456" s="25">
        <v>7350</v>
      </c>
      <c r="F1456" s="26" t="s">
        <v>537</v>
      </c>
      <c r="G1456" s="26" t="s">
        <v>126</v>
      </c>
      <c r="H1456" s="26" t="s">
        <v>349</v>
      </c>
      <c r="I1456" s="26" t="s">
        <v>538</v>
      </c>
      <c r="J1456" s="26" t="s">
        <v>539</v>
      </c>
      <c r="K1456" s="26" t="s">
        <v>242</v>
      </c>
      <c r="L1456" s="26" t="s">
        <v>351</v>
      </c>
      <c r="M1456" s="26" t="s">
        <v>303</v>
      </c>
      <c r="N1456" s="26">
        <v>90</v>
      </c>
      <c r="O1456" s="26">
        <f>2024-Inventory[[#This Row],[YrBlt]]</f>
        <v>87</v>
      </c>
      <c r="P1456" s="26">
        <f>2024-Inventory[[#This Row],[EffYr]]</f>
        <v>53</v>
      </c>
      <c r="Q1456" s="25">
        <v>1937</v>
      </c>
      <c r="R1456" s="25">
        <v>1971</v>
      </c>
      <c r="S1456" s="25">
        <v>1213</v>
      </c>
      <c r="T1456" s="27"/>
      <c r="U1456" s="25">
        <v>1213</v>
      </c>
      <c r="V1456" s="32">
        <f>Inventory[[#This Row],[Bsmt]]-Inventory[[#This Row],[FnBsmt]]</f>
        <v>970</v>
      </c>
      <c r="W1456" s="32">
        <v>243</v>
      </c>
      <c r="X1456" s="27"/>
      <c r="Y1456" s="27">
        <f>Inventory[[#This Row],[MainFn]]+Inventory[[#This Row],[UpprFn]]+Inventory[[#This Row],[FnBsmt]]+Inventory[[#This Row],[AddFn]]</f>
        <v>1456</v>
      </c>
      <c r="Z1456" s="27">
        <v>1500</v>
      </c>
      <c r="AA1456" s="25">
        <v>5</v>
      </c>
      <c r="AB1456" s="31"/>
      <c r="AC1456" s="27"/>
      <c r="AD1456" s="27"/>
      <c r="AE1456" s="27"/>
      <c r="AF1456" s="27"/>
      <c r="AG1456" s="27"/>
      <c r="AH1456" s="27"/>
      <c r="AI1456" s="25">
        <v>263938</v>
      </c>
      <c r="AJ1456" s="25">
        <v>182117</v>
      </c>
      <c r="AK1456" s="25">
        <v>4877</v>
      </c>
      <c r="AL1456" s="25">
        <v>322500</v>
      </c>
      <c r="AM1456" s="25">
        <v>52700</v>
      </c>
      <c r="AN1456" s="25">
        <v>269800</v>
      </c>
      <c r="AO1456" s="25">
        <v>0</v>
      </c>
      <c r="AP1456" s="25">
        <f>Lookups!$B$56*0</f>
        <v>0</v>
      </c>
      <c r="AQ1456" s="25">
        <f>Lookups!$B$56*1</f>
        <v>89850.625589999996</v>
      </c>
      <c r="AR1456" s="25">
        <f>Lookups!$B$57*Inventory[[#This Row],[LnAcres]]</f>
        <v>-56090.612940989391</v>
      </c>
      <c r="AS1456" s="25">
        <f>VLOOKUP(Inventory[[#This Row],[Qlty]],Lookups!$A$62:$E$75,2,FALSE)</f>
        <v>21557.329055999999</v>
      </c>
      <c r="AT1456" s="25">
        <f>VLOOKUP(Inventory[[#This Row],[Cnd]],Lookups!$A$76:$E$84,2,FALSE)</f>
        <v>197752.34721000001</v>
      </c>
      <c r="AU1456" s="25">
        <f>Inventory[[#This Row],[EffAge]]*Lookups!$B$85</f>
        <v>-11821.416826500001</v>
      </c>
      <c r="AV1456" s="25">
        <f>Inventory[[#This Row],[MainFn]]*Lookups!$B$86</f>
        <v>59932.716560801004</v>
      </c>
      <c r="AW1456" s="25">
        <f>Inventory[[#This Row],[UpprFn]]*Lookups!$B$87</f>
        <v>0</v>
      </c>
      <c r="AX1456" s="25">
        <f>Inventory[[#This Row],[AddFn]]*Lookups!$B$88</f>
        <v>0</v>
      </c>
      <c r="AY1456" s="25">
        <f>Inventory[[#This Row],[Bsmt]]*Lookups!$B$89</f>
        <v>35276.338934610998</v>
      </c>
      <c r="AZ1456" s="25">
        <f>Inventory[[#This Row],[Fixtures]]*Lookups!$B$90</f>
        <v>18960.110526</v>
      </c>
      <c r="BA1456" s="25">
        <f>Inventory[[#This Row],[WdDeck]]*Lookups!$B$91</f>
        <v>0</v>
      </c>
      <c r="BB1456" s="25">
        <f>ROUND(Inventory[[#This Row],[25Det]],-2)</f>
        <v>4900</v>
      </c>
      <c r="BC1456" s="25">
        <f>ROUND(SUM(Inventory[[#This Row],[Mdl Qlty]:[Mdl WdDeck]])+Inventory[[#This Row],[Mdl Res Intercept]],-2)</f>
        <v>321700</v>
      </c>
      <c r="BD1456" s="25">
        <f>ROUND(Inventory[[#This Row],[Mdl Land Intercept]]+Inventory[[#This Row],[Mdl LnAcres]],-2)</f>
        <v>33800</v>
      </c>
      <c r="BE1456" s="25">
        <f>Inventory[[#This Row],[Unadj Res Value]]+Inventory[[#This Row],[Unadj Det Value]]+Inventory[[#This Row],[Unadj Land Value]]</f>
        <v>360400</v>
      </c>
      <c r="BF1456" s="36">
        <f>(Inventory[[#This Row],[Unadj Total Value]]-Inventory[[#This Row],[24Final]])/Inventory[[#This Row],[24Final]]</f>
        <v>0.11751937984496125</v>
      </c>
      <c r="BG1456" s="25">
        <f>VLOOKUP(Inventory[[#This Row],[Nbhd]],Lookups!$Q$2:$T$4,4,FALSE)</f>
        <v>0.99970000000000003</v>
      </c>
      <c r="BH1456" s="25">
        <f>VLOOKUP(Inventory[[#This Row],[Qlty]],Lookups!$O$7:$R$21,4,FALSE)</f>
        <v>1.0067999999999999</v>
      </c>
      <c r="BI1456" s="25">
        <f>VLOOKUP(Inventory[[#This Row],[Cnd]],Lookups!$T$7:$W$16,4,FALSE)</f>
        <v>0.99650000000000005</v>
      </c>
      <c r="BJ1456" s="25">
        <f>VLOOKUP(Inventory[[#This Row],[LivArea Range]],Lookups!$T$25:$W$37,4,FALSE)</f>
        <v>1.0157</v>
      </c>
      <c r="BK1456" s="25">
        <f>VLOOKUP(Inventory[[#This Row],[Decade]],Lookups!$O$25:$R$42,4,FALSE)</f>
        <v>0.98909999999999998</v>
      </c>
      <c r="BL1456" s="25">
        <f>Inventory[[#This Row],[Nbhd Adj]]*0.95</f>
        <v>0.94971499999999998</v>
      </c>
      <c r="BM1456" s="25">
        <f>Inventory[[#This Row],[Nbhd Adj]]*Inventory[[#This Row],[Quality Adj]]*Inventory[[#This Row],[Condition Adj]]*Inventory[[#This Row],[Living Area Adj]]*Inventory[[#This Row],[Decade Adj]]*0.95</f>
        <v>0.95723696608169473</v>
      </c>
      <c r="BN1456" s="25">
        <f>ROUND(SUM(Inventory[[#This Row],[Mdl Qlty]:[Mdl WdDeck]])+Inventory[[#This Row],[Mdl Res Intercept]]*Inventory[[#This Row],[Res Adj ]],-2)</f>
        <v>321700</v>
      </c>
      <c r="BO1456" s="25">
        <f>ROUND(Inventory[[#This Row],[25Det]]*Inventory[[#This Row],[Det/Nbhd Adj]],-2)</f>
        <v>4600</v>
      </c>
      <c r="BP1456" s="25">
        <f>Inventory[[#This Row],[Adjusted Res]]+Inventory[[#This Row],[Adj Det ]]</f>
        <v>326300</v>
      </c>
      <c r="BQ1456" s="25">
        <f>ROUND((Inventory[[#This Row],[Mdl Land Intercept]]+Inventory[[#This Row],[Mdl LnAcres]])*Inventory[[#This Row],[Det/Nbhd Adj]],-2)</f>
        <v>32100</v>
      </c>
      <c r="BR1456" s="25">
        <f>Inventory[[#This Row],[Adjusted Impr Total]]+Inventory[[#This Row],[Adjusted Land Total]]</f>
        <v>358400</v>
      </c>
      <c r="BS1456" s="36">
        <f>IFERROR((Inventory[[#This Row],[Adjusted Impr Total]]-Inventory[[#This Row],[24Bldg]])/Inventory[[#This Row],[24Bldg]],0)</f>
        <v>0.20941438102297999</v>
      </c>
      <c r="BT1456" s="36">
        <f>(Inventory[[#This Row],[Adjusted Land Total]]-Inventory[[#This Row],[24Lnd]])/Inventory[[#This Row],[24Lnd]]</f>
        <v>-0.39089184060721061</v>
      </c>
      <c r="BU1456" s="36">
        <f>(Inventory[[#This Row],[Adjusted Total]]-Inventory[[#This Row],[24Final]])/Inventory[[#This Row],[24Final]]</f>
        <v>0.11131782945736435</v>
      </c>
    </row>
    <row r="1457" spans="1:73" x14ac:dyDescent="0.3">
      <c r="A1457" s="25">
        <v>2025</v>
      </c>
      <c r="B1457" s="26" t="s">
        <v>2792</v>
      </c>
      <c r="C1457" s="26">
        <f>LN(Inventory[[#This Row],[Acres]])</f>
        <v>-1.5141277326297755</v>
      </c>
      <c r="D1457" s="25">
        <v>0.22</v>
      </c>
      <c r="E1457" s="31"/>
      <c r="F1457" s="26" t="s">
        <v>537</v>
      </c>
      <c r="G1457" s="26" t="s">
        <v>126</v>
      </c>
      <c r="H1457" s="26" t="s">
        <v>349</v>
      </c>
      <c r="I1457" s="26" t="s">
        <v>538</v>
      </c>
      <c r="J1457" s="26" t="s">
        <v>539</v>
      </c>
      <c r="K1457" s="26" t="s">
        <v>147</v>
      </c>
      <c r="L1457" s="26" t="s">
        <v>302</v>
      </c>
      <c r="M1457" s="26" t="s">
        <v>303</v>
      </c>
      <c r="N1457" s="26">
        <v>90</v>
      </c>
      <c r="O1457" s="26">
        <f>2024-Inventory[[#This Row],[YrBlt]]</f>
        <v>87</v>
      </c>
      <c r="P1457" s="26">
        <f>2024-Inventory[[#This Row],[EffYr]]</f>
        <v>53</v>
      </c>
      <c r="Q1457" s="25">
        <v>1937</v>
      </c>
      <c r="R1457" s="25">
        <v>1971</v>
      </c>
      <c r="S1457" s="25">
        <v>1161</v>
      </c>
      <c r="T1457" s="32">
        <v>690</v>
      </c>
      <c r="U1457" s="32">
        <v>1140</v>
      </c>
      <c r="V1457" s="32">
        <f>Inventory[[#This Row],[Bsmt]]-Inventory[[#This Row],[FnBsmt]]</f>
        <v>640</v>
      </c>
      <c r="W1457" s="32">
        <v>500</v>
      </c>
      <c r="X1457" s="27"/>
      <c r="Y1457" s="27">
        <f>Inventory[[#This Row],[MainFn]]+Inventory[[#This Row],[UpprFn]]+Inventory[[#This Row],[FnBsmt]]+Inventory[[#This Row],[AddFn]]</f>
        <v>2351</v>
      </c>
      <c r="Z1457" s="27">
        <v>2500</v>
      </c>
      <c r="AA1457" s="25">
        <v>8</v>
      </c>
      <c r="AB1457" s="27"/>
      <c r="AC1457" s="27"/>
      <c r="AD1457" s="32">
        <v>192</v>
      </c>
      <c r="AE1457" s="27"/>
      <c r="AF1457" s="27"/>
      <c r="AG1457" s="27"/>
      <c r="AH1457" s="27"/>
      <c r="AI1457" s="25">
        <v>385124</v>
      </c>
      <c r="AJ1457" s="25">
        <v>265736</v>
      </c>
      <c r="AK1457" s="25">
        <v>9030</v>
      </c>
      <c r="AL1457" s="25">
        <v>384400</v>
      </c>
      <c r="AM1457" s="25">
        <v>61700</v>
      </c>
      <c r="AN1457" s="25">
        <v>322700</v>
      </c>
      <c r="AO1457" s="25">
        <v>0</v>
      </c>
      <c r="AP1457" s="25">
        <f>Lookups!$B$56*0</f>
        <v>0</v>
      </c>
      <c r="AQ1457" s="25">
        <f>Lookups!$B$56*1</f>
        <v>89850.625589999996</v>
      </c>
      <c r="AR1457" s="25">
        <f>Lookups!$B$57*Inventory[[#This Row],[LnAcres]]</f>
        <v>-47929.131559187132</v>
      </c>
      <c r="AS1457" s="25">
        <f>VLOOKUP(Inventory[[#This Row],[Qlty]],Lookups!$A$62:$E$75,2,FALSE)</f>
        <v>29814.093161000001</v>
      </c>
      <c r="AT1457" s="25">
        <f>VLOOKUP(Inventory[[#This Row],[Cnd]],Lookups!$A$76:$E$84,2,FALSE)</f>
        <v>197752.34721000001</v>
      </c>
      <c r="AU1457" s="25">
        <f>Inventory[[#This Row],[EffAge]]*Lookups!$B$85</f>
        <v>-11821.416826500001</v>
      </c>
      <c r="AV1457" s="25">
        <f>Inventory[[#This Row],[MainFn]]*Lookups!$B$86</f>
        <v>57363.465727196999</v>
      </c>
      <c r="AW1457" s="25">
        <f>Inventory[[#This Row],[UpprFn]]*Lookups!$B$87</f>
        <v>30902.631774089998</v>
      </c>
      <c r="AX1457" s="25">
        <f>Inventory[[#This Row],[AddFn]]*Lookups!$B$88</f>
        <v>0</v>
      </c>
      <c r="AY1457" s="25">
        <f>Inventory[[#This Row],[Bsmt]]*Lookups!$B$89</f>
        <v>33153.360581579997</v>
      </c>
      <c r="AZ1457" s="25">
        <f>Inventory[[#This Row],[Fixtures]]*Lookups!$B$90</f>
        <v>30336.176841600001</v>
      </c>
      <c r="BA1457" s="25">
        <f>Inventory[[#This Row],[WdDeck]]*Lookups!$B$91</f>
        <v>6392.7389329920006</v>
      </c>
      <c r="BB1457" s="25">
        <f>ROUND(Inventory[[#This Row],[25Det]],-2)</f>
        <v>9000</v>
      </c>
      <c r="BC1457" s="25">
        <f>ROUND(SUM(Inventory[[#This Row],[Mdl Qlty]:[Mdl WdDeck]])+Inventory[[#This Row],[Mdl Res Intercept]],-2)</f>
        <v>373900</v>
      </c>
      <c r="BD1457" s="25">
        <f>ROUND(Inventory[[#This Row],[Mdl Land Intercept]]+Inventory[[#This Row],[Mdl LnAcres]],-2)</f>
        <v>41900</v>
      </c>
      <c r="BE1457" s="25">
        <f>Inventory[[#This Row],[Unadj Res Value]]+Inventory[[#This Row],[Unadj Det Value]]+Inventory[[#This Row],[Unadj Land Value]]</f>
        <v>424800</v>
      </c>
      <c r="BF1457" s="36">
        <f>(Inventory[[#This Row],[Unadj Total Value]]-Inventory[[#This Row],[24Final]])/Inventory[[#This Row],[24Final]]</f>
        <v>0.10509885535900104</v>
      </c>
      <c r="BG1457" s="25">
        <f>VLOOKUP(Inventory[[#This Row],[Nbhd]],Lookups!$Q$2:$T$4,4,FALSE)</f>
        <v>0.99970000000000003</v>
      </c>
      <c r="BH1457" s="25">
        <f>VLOOKUP(Inventory[[#This Row],[Qlty]],Lookups!$O$7:$R$21,4,FALSE)</f>
        <v>1.0088999999999999</v>
      </c>
      <c r="BI1457" s="25">
        <f>VLOOKUP(Inventory[[#This Row],[Cnd]],Lookups!$T$7:$W$16,4,FALSE)</f>
        <v>0.99650000000000005</v>
      </c>
      <c r="BJ1457" s="25">
        <f>VLOOKUP(Inventory[[#This Row],[LivArea Range]],Lookups!$T$25:$W$37,4,FALSE)</f>
        <v>0.98919999999999997</v>
      </c>
      <c r="BK1457" s="25">
        <f>VLOOKUP(Inventory[[#This Row],[Decade]],Lookups!$O$25:$R$42,4,FALSE)</f>
        <v>0.98909999999999998</v>
      </c>
      <c r="BL1457" s="25">
        <f>Inventory[[#This Row],[Nbhd Adj]]*0.95</f>
        <v>0.94971499999999998</v>
      </c>
      <c r="BM1457" s="25">
        <f>Inventory[[#This Row],[Nbhd Adj]]*Inventory[[#This Row],[Quality Adj]]*Inventory[[#This Row],[Condition Adj]]*Inventory[[#This Row],[Living Area Adj]]*Inventory[[#This Row],[Decade Adj]]*0.95</f>
        <v>0.93420681692829766</v>
      </c>
      <c r="BN1457" s="25">
        <f>ROUND(SUM(Inventory[[#This Row],[Mdl Qlty]:[Mdl WdDeck]])+Inventory[[#This Row],[Mdl Res Intercept]]*Inventory[[#This Row],[Res Adj ]],-2)</f>
        <v>373900</v>
      </c>
      <c r="BO1457" s="25">
        <f>ROUND(Inventory[[#This Row],[25Det]]*Inventory[[#This Row],[Det/Nbhd Adj]],-2)</f>
        <v>8600</v>
      </c>
      <c r="BP1457" s="25">
        <f>Inventory[[#This Row],[Adjusted Res]]+Inventory[[#This Row],[Adj Det ]]</f>
        <v>382500</v>
      </c>
      <c r="BQ1457" s="25">
        <f>ROUND((Inventory[[#This Row],[Mdl Land Intercept]]+Inventory[[#This Row],[Mdl LnAcres]])*Inventory[[#This Row],[Det/Nbhd Adj]],-2)</f>
        <v>39800</v>
      </c>
      <c r="BR1457" s="25">
        <f>Inventory[[#This Row],[Adjusted Impr Total]]+Inventory[[#This Row],[Adjusted Land Total]]</f>
        <v>422300</v>
      </c>
      <c r="BS1457" s="36">
        <f>IFERROR((Inventory[[#This Row],[Adjusted Impr Total]]-Inventory[[#This Row],[24Bldg]])/Inventory[[#This Row],[24Bldg]],0)</f>
        <v>0.18531143476913542</v>
      </c>
      <c r="BT1457" s="36">
        <f>(Inventory[[#This Row],[Adjusted Land Total]]-Inventory[[#This Row],[24Lnd]])/Inventory[[#This Row],[24Lnd]]</f>
        <v>-0.35494327390599678</v>
      </c>
      <c r="BU1457" s="36">
        <f>(Inventory[[#This Row],[Adjusted Total]]-Inventory[[#This Row],[24Final]])/Inventory[[#This Row],[24Final]]</f>
        <v>9.8595213319458891E-2</v>
      </c>
    </row>
    <row r="1458" spans="1:73" x14ac:dyDescent="0.3">
      <c r="A1458" s="25">
        <v>2025</v>
      </c>
      <c r="B1458" s="26" t="s">
        <v>1021</v>
      </c>
      <c r="C1458" s="26">
        <f>LN(Inventory[[#This Row],[Acres]])</f>
        <v>-0.84397007029452897</v>
      </c>
      <c r="D1458" s="25">
        <v>0.43</v>
      </c>
      <c r="E1458" s="32">
        <v>18691</v>
      </c>
      <c r="F1458" s="26" t="s">
        <v>537</v>
      </c>
      <c r="G1458" s="26" t="s">
        <v>126</v>
      </c>
      <c r="H1458" s="26" t="s">
        <v>349</v>
      </c>
      <c r="I1458" s="26" t="s">
        <v>538</v>
      </c>
      <c r="J1458" s="26" t="s">
        <v>539</v>
      </c>
      <c r="K1458" s="26" t="s">
        <v>242</v>
      </c>
      <c r="L1458" s="26" t="s">
        <v>302</v>
      </c>
      <c r="M1458" s="26" t="s">
        <v>303</v>
      </c>
      <c r="N1458" s="26">
        <v>90</v>
      </c>
      <c r="O1458" s="26">
        <f>2024-Inventory[[#This Row],[YrBlt]]</f>
        <v>87</v>
      </c>
      <c r="P1458" s="26">
        <f>2024-Inventory[[#This Row],[EffYr]]</f>
        <v>53</v>
      </c>
      <c r="Q1458" s="25">
        <v>1937</v>
      </c>
      <c r="R1458" s="25">
        <v>1971</v>
      </c>
      <c r="S1458" s="25">
        <v>1348</v>
      </c>
      <c r="T1458" s="31"/>
      <c r="U1458" s="25">
        <v>650</v>
      </c>
      <c r="V1458" s="32">
        <f>Inventory[[#This Row],[Bsmt]]-Inventory[[#This Row],[FnBsmt]]</f>
        <v>328</v>
      </c>
      <c r="W1458" s="32">
        <v>322</v>
      </c>
      <c r="X1458" s="27"/>
      <c r="Y1458" s="27">
        <f>Inventory[[#This Row],[MainFn]]+Inventory[[#This Row],[UpprFn]]+Inventory[[#This Row],[FnBsmt]]+Inventory[[#This Row],[AddFn]]</f>
        <v>1670</v>
      </c>
      <c r="Z1458" s="27">
        <v>2000</v>
      </c>
      <c r="AA1458" s="25">
        <v>8</v>
      </c>
      <c r="AB1458" s="27"/>
      <c r="AC1458" s="27"/>
      <c r="AD1458" s="25">
        <v>288</v>
      </c>
      <c r="AE1458" s="27"/>
      <c r="AF1458" s="27"/>
      <c r="AG1458" s="27"/>
      <c r="AH1458" s="27"/>
      <c r="AI1458" s="25">
        <v>308199</v>
      </c>
      <c r="AJ1458" s="25">
        <v>212657</v>
      </c>
      <c r="AK1458" s="25">
        <v>11660</v>
      </c>
      <c r="AL1458" s="25">
        <v>375300</v>
      </c>
      <c r="AM1458" s="25">
        <v>85100</v>
      </c>
      <c r="AN1458" s="25">
        <v>290200</v>
      </c>
      <c r="AO1458" s="25">
        <v>0</v>
      </c>
      <c r="AP1458" s="25">
        <f>Lookups!$B$56*0</f>
        <v>0</v>
      </c>
      <c r="AQ1458" s="25">
        <f>Lookups!$B$56*1</f>
        <v>89850.625589999996</v>
      </c>
      <c r="AR1458" s="25">
        <f>Lookups!$B$57*Inventory[[#This Row],[LnAcres]]</f>
        <v>-26715.548272078075</v>
      </c>
      <c r="AS1458" s="25">
        <f>VLOOKUP(Inventory[[#This Row],[Qlty]],Lookups!$A$62:$E$75,2,FALSE)</f>
        <v>29814.093161000001</v>
      </c>
      <c r="AT1458" s="25">
        <f>VLOOKUP(Inventory[[#This Row],[Cnd]],Lookups!$A$76:$E$84,2,FALSE)</f>
        <v>197752.34721000001</v>
      </c>
      <c r="AU1458" s="25">
        <f>Inventory[[#This Row],[EffAge]]*Lookups!$B$85</f>
        <v>-11821.416826500001</v>
      </c>
      <c r="AV1458" s="25">
        <f>Inventory[[#This Row],[MainFn]]*Lookups!$B$86</f>
        <v>66602.886994196</v>
      </c>
      <c r="AW1458" s="25">
        <f>Inventory[[#This Row],[UpprFn]]*Lookups!$B$87</f>
        <v>0</v>
      </c>
      <c r="AX1458" s="25">
        <f>Inventory[[#This Row],[AddFn]]*Lookups!$B$88</f>
        <v>0</v>
      </c>
      <c r="AY1458" s="25">
        <f>Inventory[[#This Row],[Bsmt]]*Lookups!$B$89</f>
        <v>18903.231910549999</v>
      </c>
      <c r="AZ1458" s="25">
        <f>Inventory[[#This Row],[Fixtures]]*Lookups!$B$90</f>
        <v>30336.176841600001</v>
      </c>
      <c r="BA1458" s="25">
        <f>Inventory[[#This Row],[WdDeck]]*Lookups!$B$91</f>
        <v>9589.1083994880009</v>
      </c>
      <c r="BB1458" s="25">
        <f>ROUND(Inventory[[#This Row],[25Det]],-2)</f>
        <v>11700</v>
      </c>
      <c r="BC1458" s="25">
        <f>ROUND(SUM(Inventory[[#This Row],[Mdl Qlty]:[Mdl WdDeck]])+Inventory[[#This Row],[Mdl Res Intercept]],-2)</f>
        <v>341200</v>
      </c>
      <c r="BD1458" s="25">
        <f>ROUND(Inventory[[#This Row],[Mdl Land Intercept]]+Inventory[[#This Row],[Mdl LnAcres]],-2)</f>
        <v>63100</v>
      </c>
      <c r="BE1458" s="25">
        <f>Inventory[[#This Row],[Unadj Res Value]]+Inventory[[#This Row],[Unadj Det Value]]+Inventory[[#This Row],[Unadj Land Value]]</f>
        <v>416000</v>
      </c>
      <c r="BF1458" s="36">
        <f>(Inventory[[#This Row],[Unadj Total Value]]-Inventory[[#This Row],[24Final]])/Inventory[[#This Row],[24Final]]</f>
        <v>0.10844657607247535</v>
      </c>
      <c r="BG1458" s="25">
        <f>VLOOKUP(Inventory[[#This Row],[Nbhd]],Lookups!$Q$2:$T$4,4,FALSE)</f>
        <v>0.99970000000000003</v>
      </c>
      <c r="BH1458" s="25">
        <f>VLOOKUP(Inventory[[#This Row],[Qlty]],Lookups!$O$7:$R$21,4,FALSE)</f>
        <v>1.0088999999999999</v>
      </c>
      <c r="BI1458" s="25">
        <f>VLOOKUP(Inventory[[#This Row],[Cnd]],Lookups!$T$7:$W$16,4,FALSE)</f>
        <v>0.99650000000000005</v>
      </c>
      <c r="BJ1458" s="25">
        <f>VLOOKUP(Inventory[[#This Row],[LivArea Range]],Lookups!$T$25:$W$37,4,FALSE)</f>
        <v>1.0093000000000001</v>
      </c>
      <c r="BK1458" s="25">
        <f>VLOOKUP(Inventory[[#This Row],[Decade]],Lookups!$O$25:$R$42,4,FALSE)</f>
        <v>0.98909999999999998</v>
      </c>
      <c r="BL1458" s="25">
        <f>Inventory[[#This Row],[Nbhd Adj]]*0.95</f>
        <v>0.94971499999999998</v>
      </c>
      <c r="BM1458" s="25">
        <f>Inventory[[#This Row],[Nbhd Adj]]*Inventory[[#This Row],[Quality Adj]]*Inventory[[#This Row],[Condition Adj]]*Inventory[[#This Row],[Living Area Adj]]*Inventory[[#This Row],[Decade Adj]]*0.95</f>
        <v>0.95318938569119571</v>
      </c>
      <c r="BN1458" s="25">
        <f>ROUND(SUM(Inventory[[#This Row],[Mdl Qlty]:[Mdl WdDeck]])+Inventory[[#This Row],[Mdl Res Intercept]]*Inventory[[#This Row],[Res Adj ]],-2)</f>
        <v>341200</v>
      </c>
      <c r="BO1458" s="25">
        <f>ROUND(Inventory[[#This Row],[25Det]]*Inventory[[#This Row],[Det/Nbhd Adj]],-2)</f>
        <v>11100</v>
      </c>
      <c r="BP1458" s="25">
        <f>Inventory[[#This Row],[Adjusted Res]]+Inventory[[#This Row],[Adj Det ]]</f>
        <v>352300</v>
      </c>
      <c r="BQ1458" s="25">
        <f>ROUND((Inventory[[#This Row],[Mdl Land Intercept]]+Inventory[[#This Row],[Mdl LnAcres]])*Inventory[[#This Row],[Det/Nbhd Adj]],-2)</f>
        <v>60000</v>
      </c>
      <c r="BR1458" s="25">
        <f>Inventory[[#This Row],[Adjusted Impr Total]]+Inventory[[#This Row],[Adjusted Land Total]]</f>
        <v>412300</v>
      </c>
      <c r="BS1458" s="36">
        <f>IFERROR((Inventory[[#This Row],[Adjusted Impr Total]]-Inventory[[#This Row],[24Bldg]])/Inventory[[#This Row],[24Bldg]],0)</f>
        <v>0.21399035148173673</v>
      </c>
      <c r="BT1458" s="36">
        <f>(Inventory[[#This Row],[Adjusted Land Total]]-Inventory[[#This Row],[24Lnd]])/Inventory[[#This Row],[24Lnd]]</f>
        <v>-0.29494712103407755</v>
      </c>
      <c r="BU1458" s="36">
        <f>(Inventory[[#This Row],[Adjusted Total]]-Inventory[[#This Row],[24Final]])/Inventory[[#This Row],[24Final]]</f>
        <v>9.8587796429523047E-2</v>
      </c>
    </row>
    <row r="1459" spans="1:73" x14ac:dyDescent="0.3">
      <c r="A1459" s="25">
        <v>2025</v>
      </c>
      <c r="B1459" s="26" t="s">
        <v>1236</v>
      </c>
      <c r="C1459" s="26">
        <f>LN(Inventory[[#This Row],[Acres]])</f>
        <v>-1.7147984280919266</v>
      </c>
      <c r="D1459" s="25">
        <v>0.18</v>
      </c>
      <c r="E1459" s="32">
        <v>7800</v>
      </c>
      <c r="F1459" s="26" t="s">
        <v>537</v>
      </c>
      <c r="G1459" s="26" t="s">
        <v>126</v>
      </c>
      <c r="H1459" s="26" t="s">
        <v>349</v>
      </c>
      <c r="I1459" s="26" t="s">
        <v>538</v>
      </c>
      <c r="J1459" s="26" t="s">
        <v>539</v>
      </c>
      <c r="K1459" s="26" t="s">
        <v>173</v>
      </c>
      <c r="L1459" s="26" t="s">
        <v>302</v>
      </c>
      <c r="M1459" s="26" t="s">
        <v>303</v>
      </c>
      <c r="N1459" s="26">
        <v>90</v>
      </c>
      <c r="O1459" s="26">
        <f>2024-Inventory[[#This Row],[YrBlt]]</f>
        <v>87</v>
      </c>
      <c r="P1459" s="26">
        <f>2024-Inventory[[#This Row],[EffYr]]</f>
        <v>53</v>
      </c>
      <c r="Q1459" s="25">
        <v>1937</v>
      </c>
      <c r="R1459" s="25">
        <v>1971</v>
      </c>
      <c r="S1459" s="25">
        <v>1642</v>
      </c>
      <c r="T1459" s="25">
        <v>360</v>
      </c>
      <c r="U1459" s="25">
        <v>1128</v>
      </c>
      <c r="V1459" s="25">
        <f>Inventory[[#This Row],[Bsmt]]-Inventory[[#This Row],[FnBsmt]]</f>
        <v>878</v>
      </c>
      <c r="W1459" s="25">
        <v>250</v>
      </c>
      <c r="X1459" s="27"/>
      <c r="Y1459" s="27">
        <f>Inventory[[#This Row],[MainFn]]+Inventory[[#This Row],[UpprFn]]+Inventory[[#This Row],[FnBsmt]]+Inventory[[#This Row],[AddFn]]</f>
        <v>2252</v>
      </c>
      <c r="Z1459" s="27">
        <v>2500</v>
      </c>
      <c r="AA1459" s="25">
        <v>9</v>
      </c>
      <c r="AB1459" s="27"/>
      <c r="AC1459" s="27"/>
      <c r="AD1459" s="31"/>
      <c r="AE1459" s="27"/>
      <c r="AF1459" s="27"/>
      <c r="AG1459" s="27"/>
      <c r="AH1459" s="27"/>
      <c r="AI1459" s="25">
        <v>397526</v>
      </c>
      <c r="AJ1459" s="25">
        <v>274293</v>
      </c>
      <c r="AK1459" s="25">
        <v>5580</v>
      </c>
      <c r="AL1459" s="25">
        <v>385900</v>
      </c>
      <c r="AM1459" s="25">
        <v>54700</v>
      </c>
      <c r="AN1459" s="25">
        <v>331200</v>
      </c>
      <c r="AO1459" s="25">
        <v>0</v>
      </c>
      <c r="AP1459" s="25">
        <f>Lookups!$B$56*0</f>
        <v>0</v>
      </c>
      <c r="AQ1459" s="25">
        <f>Lookups!$B$56*1</f>
        <v>89850.625589999996</v>
      </c>
      <c r="AR1459" s="25">
        <f>Lookups!$B$57*Inventory[[#This Row],[LnAcres]]</f>
        <v>-54281.285314520763</v>
      </c>
      <c r="AS1459" s="25">
        <f>VLOOKUP(Inventory[[#This Row],[Qlty]],Lookups!$A$62:$E$75,2,FALSE)</f>
        <v>29814.093161000001</v>
      </c>
      <c r="AT1459" s="25">
        <f>VLOOKUP(Inventory[[#This Row],[Cnd]],Lookups!$A$76:$E$84,2,FALSE)</f>
        <v>197752.34721000001</v>
      </c>
      <c r="AU1459" s="25">
        <f>Inventory[[#This Row],[EffAge]]*Lookups!$B$85</f>
        <v>-11821.416826500001</v>
      </c>
      <c r="AV1459" s="25">
        <f>Inventory[[#This Row],[MainFn]]*Lookups!$B$86</f>
        <v>81129.035938034009</v>
      </c>
      <c r="AW1459" s="25">
        <f>Inventory[[#This Row],[UpprFn]]*Lookups!$B$87</f>
        <v>16123.112229959999</v>
      </c>
      <c r="AX1459" s="25">
        <f>Inventory[[#This Row],[AddFn]]*Lookups!$B$88</f>
        <v>0</v>
      </c>
      <c r="AY1459" s="25">
        <f>Inventory[[#This Row],[Bsmt]]*Lookups!$B$89</f>
        <v>32804.377838615997</v>
      </c>
      <c r="AZ1459" s="25">
        <f>Inventory[[#This Row],[Fixtures]]*Lookups!$B$90</f>
        <v>34128.198946800003</v>
      </c>
      <c r="BA1459" s="25">
        <f>Inventory[[#This Row],[WdDeck]]*Lookups!$B$91</f>
        <v>0</v>
      </c>
      <c r="BB1459" s="25">
        <f>ROUND(Inventory[[#This Row],[25Det]],-2)</f>
        <v>5600</v>
      </c>
      <c r="BC1459" s="25">
        <f>ROUND(SUM(Inventory[[#This Row],[Mdl Qlty]:[Mdl WdDeck]])+Inventory[[#This Row],[Mdl Res Intercept]],-2)</f>
        <v>379900</v>
      </c>
      <c r="BD1459" s="25">
        <f>ROUND(Inventory[[#This Row],[Mdl Land Intercept]]+Inventory[[#This Row],[Mdl LnAcres]],-2)</f>
        <v>35600</v>
      </c>
      <c r="BE1459" s="25">
        <f>Inventory[[#This Row],[Unadj Res Value]]+Inventory[[#This Row],[Unadj Det Value]]+Inventory[[#This Row],[Unadj Land Value]]</f>
        <v>421100</v>
      </c>
      <c r="BF1459" s="36">
        <f>(Inventory[[#This Row],[Unadj Total Value]]-Inventory[[#This Row],[24Final]])/Inventory[[#This Row],[24Final]]</f>
        <v>9.1215340761855404E-2</v>
      </c>
      <c r="BG1459" s="25">
        <f>VLOOKUP(Inventory[[#This Row],[Nbhd]],Lookups!$Q$2:$T$4,4,FALSE)</f>
        <v>0.99970000000000003</v>
      </c>
      <c r="BH1459" s="25">
        <f>VLOOKUP(Inventory[[#This Row],[Qlty]],Lookups!$O$7:$R$21,4,FALSE)</f>
        <v>1.0088999999999999</v>
      </c>
      <c r="BI1459" s="25">
        <f>VLOOKUP(Inventory[[#This Row],[Cnd]],Lookups!$T$7:$W$16,4,FALSE)</f>
        <v>0.99650000000000005</v>
      </c>
      <c r="BJ1459" s="25">
        <f>VLOOKUP(Inventory[[#This Row],[LivArea Range]],Lookups!$T$25:$W$37,4,FALSE)</f>
        <v>0.98919999999999997</v>
      </c>
      <c r="BK1459" s="25">
        <f>VLOOKUP(Inventory[[#This Row],[Decade]],Lookups!$O$25:$R$42,4,FALSE)</f>
        <v>0.98909999999999998</v>
      </c>
      <c r="BL1459" s="25">
        <f>Inventory[[#This Row],[Nbhd Adj]]*0.95</f>
        <v>0.94971499999999998</v>
      </c>
      <c r="BM1459" s="25">
        <f>Inventory[[#This Row],[Nbhd Adj]]*Inventory[[#This Row],[Quality Adj]]*Inventory[[#This Row],[Condition Adj]]*Inventory[[#This Row],[Living Area Adj]]*Inventory[[#This Row],[Decade Adj]]*0.95</f>
        <v>0.93420681692829766</v>
      </c>
      <c r="BN1459" s="25">
        <f>ROUND(SUM(Inventory[[#This Row],[Mdl Qlty]:[Mdl WdDeck]])+Inventory[[#This Row],[Mdl Res Intercept]]*Inventory[[#This Row],[Res Adj ]],-2)</f>
        <v>379900</v>
      </c>
      <c r="BO1459" s="25">
        <f>ROUND(Inventory[[#This Row],[25Det]]*Inventory[[#This Row],[Det/Nbhd Adj]],-2)</f>
        <v>5300</v>
      </c>
      <c r="BP1459" s="25">
        <f>Inventory[[#This Row],[Adjusted Res]]+Inventory[[#This Row],[Adj Det ]]</f>
        <v>385200</v>
      </c>
      <c r="BQ1459" s="25">
        <f>ROUND((Inventory[[#This Row],[Mdl Land Intercept]]+Inventory[[#This Row],[Mdl LnAcres]])*Inventory[[#This Row],[Det/Nbhd Adj]],-2)</f>
        <v>33800</v>
      </c>
      <c r="BR1459" s="25">
        <f>Inventory[[#This Row],[Adjusted Impr Total]]+Inventory[[#This Row],[Adjusted Land Total]]</f>
        <v>419000</v>
      </c>
      <c r="BS1459" s="36">
        <f>IFERROR((Inventory[[#This Row],[Adjusted Impr Total]]-Inventory[[#This Row],[24Bldg]])/Inventory[[#This Row],[24Bldg]],0)</f>
        <v>0.16304347826086957</v>
      </c>
      <c r="BT1459" s="36">
        <f>(Inventory[[#This Row],[Adjusted Land Total]]-Inventory[[#This Row],[24Lnd]])/Inventory[[#This Row],[24Lnd]]</f>
        <v>-0.38208409506398539</v>
      </c>
      <c r="BU1459" s="36">
        <f>(Inventory[[#This Row],[Adjusted Total]]-Inventory[[#This Row],[24Final]])/Inventory[[#This Row],[24Final]]</f>
        <v>8.5773516455040166E-2</v>
      </c>
    </row>
    <row r="1460" spans="1:73" x14ac:dyDescent="0.3">
      <c r="A1460" s="25">
        <v>2025</v>
      </c>
      <c r="B1460" s="26" t="s">
        <v>1036</v>
      </c>
      <c r="C1460" s="26">
        <f>LN(Inventory[[#This Row],[Acres]])</f>
        <v>-1.7147984280919266</v>
      </c>
      <c r="D1460" s="25">
        <v>0.18</v>
      </c>
      <c r="E1460" s="27"/>
      <c r="F1460" s="26" t="s">
        <v>537</v>
      </c>
      <c r="G1460" s="26" t="s">
        <v>126</v>
      </c>
      <c r="H1460" s="26" t="s">
        <v>349</v>
      </c>
      <c r="I1460" s="26" t="s">
        <v>538</v>
      </c>
      <c r="J1460" s="26" t="s">
        <v>539</v>
      </c>
      <c r="K1460" s="26" t="s">
        <v>4</v>
      </c>
      <c r="L1460" s="26" t="s">
        <v>302</v>
      </c>
      <c r="M1460" s="26" t="s">
        <v>303</v>
      </c>
      <c r="N1460" s="26">
        <v>90</v>
      </c>
      <c r="O1460" s="26">
        <f>2024-Inventory[[#This Row],[YrBlt]]</f>
        <v>87</v>
      </c>
      <c r="P1460" s="26">
        <f>2024-Inventory[[#This Row],[EffYr]]</f>
        <v>53</v>
      </c>
      <c r="Q1460" s="25">
        <v>1937</v>
      </c>
      <c r="R1460" s="25">
        <v>1971</v>
      </c>
      <c r="S1460" s="25">
        <v>1541</v>
      </c>
      <c r="T1460" s="32">
        <v>391</v>
      </c>
      <c r="U1460" s="25">
        <v>1187</v>
      </c>
      <c r="V1460" s="25">
        <f>Inventory[[#This Row],[Bsmt]]-Inventory[[#This Row],[FnBsmt]]</f>
        <v>0</v>
      </c>
      <c r="W1460" s="25">
        <v>1187</v>
      </c>
      <c r="X1460" s="27"/>
      <c r="Y1460" s="27">
        <f>Inventory[[#This Row],[MainFn]]+Inventory[[#This Row],[UpprFn]]+Inventory[[#This Row],[FnBsmt]]+Inventory[[#This Row],[AddFn]]</f>
        <v>3119</v>
      </c>
      <c r="Z1460" s="27">
        <v>3500</v>
      </c>
      <c r="AA1460" s="25">
        <v>12</v>
      </c>
      <c r="AB1460" s="31"/>
      <c r="AC1460" s="27"/>
      <c r="AD1460" s="25">
        <v>468</v>
      </c>
      <c r="AE1460" s="27"/>
      <c r="AF1460" s="27"/>
      <c r="AG1460" s="27"/>
      <c r="AH1460" s="27"/>
      <c r="AI1460" s="25">
        <v>455975</v>
      </c>
      <c r="AJ1460" s="25">
        <v>314623</v>
      </c>
      <c r="AK1460" s="25">
        <v>8845</v>
      </c>
      <c r="AL1460" s="25">
        <v>412700</v>
      </c>
      <c r="AM1460" s="25">
        <v>54700</v>
      </c>
      <c r="AN1460" s="25">
        <v>358000</v>
      </c>
      <c r="AO1460" s="25">
        <v>0</v>
      </c>
      <c r="AP1460" s="25">
        <f>Lookups!$B$56*0</f>
        <v>0</v>
      </c>
      <c r="AQ1460" s="25">
        <f>Lookups!$B$56*1</f>
        <v>89850.625589999996</v>
      </c>
      <c r="AR1460" s="25">
        <f>Lookups!$B$57*Inventory[[#This Row],[LnAcres]]</f>
        <v>-54281.285314520763</v>
      </c>
      <c r="AS1460" s="25">
        <f>VLOOKUP(Inventory[[#This Row],[Qlty]],Lookups!$A$62:$E$75,2,FALSE)</f>
        <v>29814.093161000001</v>
      </c>
      <c r="AT1460" s="25">
        <f>VLOOKUP(Inventory[[#This Row],[Cnd]],Lookups!$A$76:$E$84,2,FALSE)</f>
        <v>197752.34721000001</v>
      </c>
      <c r="AU1460" s="25">
        <f>Inventory[[#This Row],[EffAge]]*Lookups!$B$85</f>
        <v>-11821.416826500001</v>
      </c>
      <c r="AV1460" s="25">
        <f>Inventory[[#This Row],[MainFn]]*Lookups!$B$86</f>
        <v>76138.760280457005</v>
      </c>
      <c r="AW1460" s="25">
        <f>Inventory[[#This Row],[UpprFn]]*Lookups!$B$87</f>
        <v>17511.491338650998</v>
      </c>
      <c r="AX1460" s="25">
        <f>Inventory[[#This Row],[AddFn]]*Lookups!$B$88</f>
        <v>0</v>
      </c>
      <c r="AY1460" s="25">
        <f>Inventory[[#This Row],[Bsmt]]*Lookups!$B$89</f>
        <v>34520.209658189</v>
      </c>
      <c r="AZ1460" s="25">
        <f>Inventory[[#This Row],[Fixtures]]*Lookups!$B$90</f>
        <v>45504.265262400004</v>
      </c>
      <c r="BA1460" s="25">
        <f>Inventory[[#This Row],[WdDeck]]*Lookups!$B$91</f>
        <v>15582.301149168001</v>
      </c>
      <c r="BB1460" s="25">
        <f>ROUND(Inventory[[#This Row],[25Det]],-2)</f>
        <v>8800</v>
      </c>
      <c r="BC1460" s="25">
        <f>ROUND(SUM(Inventory[[#This Row],[Mdl Qlty]:[Mdl WdDeck]])+Inventory[[#This Row],[Mdl Res Intercept]],-2)</f>
        <v>405000</v>
      </c>
      <c r="BD1460" s="25">
        <f>ROUND(Inventory[[#This Row],[Mdl Land Intercept]]+Inventory[[#This Row],[Mdl LnAcres]],-2)</f>
        <v>35600</v>
      </c>
      <c r="BE1460" s="25">
        <f>Inventory[[#This Row],[Unadj Res Value]]+Inventory[[#This Row],[Unadj Det Value]]+Inventory[[#This Row],[Unadj Land Value]]</f>
        <v>449400</v>
      </c>
      <c r="BF1460" s="36">
        <f>(Inventory[[#This Row],[Unadj Total Value]]-Inventory[[#This Row],[24Final]])/Inventory[[#This Row],[24Final]]</f>
        <v>8.8926581051611345E-2</v>
      </c>
      <c r="BG1460" s="25">
        <f>VLOOKUP(Inventory[[#This Row],[Nbhd]],Lookups!$Q$2:$T$4,4,FALSE)</f>
        <v>0.99970000000000003</v>
      </c>
      <c r="BH1460" s="25">
        <f>VLOOKUP(Inventory[[#This Row],[Qlty]],Lookups!$O$7:$R$21,4,FALSE)</f>
        <v>1.0088999999999999</v>
      </c>
      <c r="BI1460" s="25">
        <f>VLOOKUP(Inventory[[#This Row],[Cnd]],Lookups!$T$7:$W$16,4,FALSE)</f>
        <v>0.99650000000000005</v>
      </c>
      <c r="BJ1460" s="25">
        <f>VLOOKUP(Inventory[[#This Row],[LivArea Range]],Lookups!$T$25:$W$37,4,FALSE)</f>
        <v>1.0126999999999999</v>
      </c>
      <c r="BK1460" s="25">
        <f>VLOOKUP(Inventory[[#This Row],[Decade]],Lookups!$O$25:$R$42,4,FALSE)</f>
        <v>0.98909999999999998</v>
      </c>
      <c r="BL1460" s="25">
        <f>Inventory[[#This Row],[Nbhd Adj]]*0.95</f>
        <v>0.94971499999999998</v>
      </c>
      <c r="BM1460" s="25">
        <f>Inventory[[#This Row],[Nbhd Adj]]*Inventory[[#This Row],[Quality Adj]]*Inventory[[#This Row],[Condition Adj]]*Inventory[[#This Row],[Living Area Adj]]*Inventory[[#This Row],[Decade Adj]]*0.95</f>
        <v>0.9564003674719842</v>
      </c>
      <c r="BN1460" s="25">
        <f>ROUND(SUM(Inventory[[#This Row],[Mdl Qlty]:[Mdl WdDeck]])+Inventory[[#This Row],[Mdl Res Intercept]]*Inventory[[#This Row],[Res Adj ]],-2)</f>
        <v>405000</v>
      </c>
      <c r="BO1460" s="25">
        <f>ROUND(Inventory[[#This Row],[25Det]]*Inventory[[#This Row],[Det/Nbhd Adj]],-2)</f>
        <v>8400</v>
      </c>
      <c r="BP1460" s="25">
        <f>Inventory[[#This Row],[Adjusted Res]]+Inventory[[#This Row],[Adj Det ]]</f>
        <v>413400</v>
      </c>
      <c r="BQ1460" s="25">
        <f>ROUND((Inventory[[#This Row],[Mdl Land Intercept]]+Inventory[[#This Row],[Mdl LnAcres]])*Inventory[[#This Row],[Det/Nbhd Adj]],-2)</f>
        <v>33800</v>
      </c>
      <c r="BR1460" s="25">
        <f>Inventory[[#This Row],[Adjusted Impr Total]]+Inventory[[#This Row],[Adjusted Land Total]]</f>
        <v>447200</v>
      </c>
      <c r="BS1460" s="36">
        <f>IFERROR((Inventory[[#This Row],[Adjusted Impr Total]]-Inventory[[#This Row],[24Bldg]])/Inventory[[#This Row],[24Bldg]],0)</f>
        <v>0.15474860335195531</v>
      </c>
      <c r="BT1460" s="36">
        <f>(Inventory[[#This Row],[Adjusted Land Total]]-Inventory[[#This Row],[24Lnd]])/Inventory[[#This Row],[24Lnd]]</f>
        <v>-0.38208409506398539</v>
      </c>
      <c r="BU1460" s="36">
        <f>(Inventory[[#This Row],[Adjusted Total]]-Inventory[[#This Row],[24Final]])/Inventory[[#This Row],[24Final]]</f>
        <v>8.3595832323721836E-2</v>
      </c>
    </row>
    <row r="1461" spans="1:73" x14ac:dyDescent="0.3">
      <c r="A1461" s="25">
        <v>2025</v>
      </c>
      <c r="B1461" s="26" t="s">
        <v>2379</v>
      </c>
      <c r="C1461" s="26">
        <f>LN(Inventory[[#This Row],[Acres]])</f>
        <v>-1.8325814637483102</v>
      </c>
      <c r="D1461" s="25">
        <v>0.16</v>
      </c>
      <c r="E1461" s="27"/>
      <c r="F1461" s="26" t="s">
        <v>537</v>
      </c>
      <c r="G1461" s="26" t="s">
        <v>126</v>
      </c>
      <c r="H1461" s="26" t="s">
        <v>349</v>
      </c>
      <c r="I1461" s="26" t="s">
        <v>538</v>
      </c>
      <c r="J1461" s="26" t="s">
        <v>539</v>
      </c>
      <c r="K1461" s="26" t="s">
        <v>269</v>
      </c>
      <c r="L1461" s="26" t="s">
        <v>351</v>
      </c>
      <c r="M1461" s="26" t="s">
        <v>303</v>
      </c>
      <c r="N1461" s="26">
        <v>90</v>
      </c>
      <c r="O1461" s="26">
        <f>2024-Inventory[[#This Row],[YrBlt]]</f>
        <v>87</v>
      </c>
      <c r="P1461" s="26">
        <f>2024-Inventory[[#This Row],[EffYr]]</f>
        <v>53</v>
      </c>
      <c r="Q1461" s="25">
        <v>1937</v>
      </c>
      <c r="R1461" s="25">
        <v>1971</v>
      </c>
      <c r="S1461" s="25">
        <v>820</v>
      </c>
      <c r="T1461" s="27"/>
      <c r="U1461" s="25">
        <v>820</v>
      </c>
      <c r="V1461" s="25">
        <f>Inventory[[#This Row],[Bsmt]]-Inventory[[#This Row],[FnBsmt]]</f>
        <v>0</v>
      </c>
      <c r="W1461" s="25">
        <v>820</v>
      </c>
      <c r="X1461" s="27"/>
      <c r="Y1461" s="27">
        <f>Inventory[[#This Row],[MainFn]]+Inventory[[#This Row],[UpprFn]]+Inventory[[#This Row],[FnBsmt]]+Inventory[[#This Row],[AddFn]]</f>
        <v>1640</v>
      </c>
      <c r="Z1461" s="27">
        <v>2000</v>
      </c>
      <c r="AA1461" s="25">
        <v>7</v>
      </c>
      <c r="AB1461" s="27"/>
      <c r="AC1461" s="27"/>
      <c r="AD1461" s="27"/>
      <c r="AE1461" s="27"/>
      <c r="AF1461" s="27"/>
      <c r="AG1461" s="27"/>
      <c r="AH1461" s="27"/>
      <c r="AI1461" s="25">
        <v>208800</v>
      </c>
      <c r="AJ1461" s="25">
        <v>144072</v>
      </c>
      <c r="AK1461" s="25">
        <v>5024</v>
      </c>
      <c r="AL1461" s="25">
        <v>311000</v>
      </c>
      <c r="AM1461" s="25">
        <v>50600</v>
      </c>
      <c r="AN1461" s="25">
        <v>260400</v>
      </c>
      <c r="AO1461" s="25">
        <v>0</v>
      </c>
      <c r="AP1461" s="25">
        <f>Lookups!$B$56*0</f>
        <v>0</v>
      </c>
      <c r="AQ1461" s="25">
        <f>Lookups!$B$56*1</f>
        <v>89850.625589999996</v>
      </c>
      <c r="AR1461" s="25">
        <f>Lookups!$B$57*Inventory[[#This Row],[LnAcres]]</f>
        <v>-58009.662049032086</v>
      </c>
      <c r="AS1461" s="25">
        <f>VLOOKUP(Inventory[[#This Row],[Qlty]],Lookups!$A$62:$E$75,2,FALSE)</f>
        <v>21557.329055999999</v>
      </c>
      <c r="AT1461" s="25">
        <f>VLOOKUP(Inventory[[#This Row],[Cnd]],Lookups!$A$76:$E$84,2,FALSE)</f>
        <v>197752.34721000001</v>
      </c>
      <c r="AU1461" s="25">
        <f>Inventory[[#This Row],[EffAge]]*Lookups!$B$85</f>
        <v>-11821.416826500001</v>
      </c>
      <c r="AV1461" s="25">
        <f>Inventory[[#This Row],[MainFn]]*Lookups!$B$86</f>
        <v>40515.10929914</v>
      </c>
      <c r="AW1461" s="25">
        <f>Inventory[[#This Row],[UpprFn]]*Lookups!$B$87</f>
        <v>0</v>
      </c>
      <c r="AX1461" s="25">
        <f>Inventory[[#This Row],[AddFn]]*Lookups!$B$88</f>
        <v>0</v>
      </c>
      <c r="AY1461" s="25">
        <f>Inventory[[#This Row],[Bsmt]]*Lookups!$B$89</f>
        <v>23847.15410254</v>
      </c>
      <c r="AZ1461" s="25">
        <f>Inventory[[#This Row],[Fixtures]]*Lookups!$B$90</f>
        <v>26544.1547364</v>
      </c>
      <c r="BA1461" s="25">
        <f>Inventory[[#This Row],[WdDeck]]*Lookups!$B$91</f>
        <v>0</v>
      </c>
      <c r="BB1461" s="25">
        <f>ROUND(Inventory[[#This Row],[25Det]],-2)</f>
        <v>5000</v>
      </c>
      <c r="BC1461" s="25">
        <f>ROUND(SUM(Inventory[[#This Row],[Mdl Qlty]:[Mdl WdDeck]])+Inventory[[#This Row],[Mdl Res Intercept]],-2)</f>
        <v>298400</v>
      </c>
      <c r="BD1461" s="25">
        <f>ROUND(Inventory[[#This Row],[Mdl Land Intercept]]+Inventory[[#This Row],[Mdl LnAcres]],-2)</f>
        <v>31800</v>
      </c>
      <c r="BE1461" s="25">
        <f>Inventory[[#This Row],[Unadj Res Value]]+Inventory[[#This Row],[Unadj Det Value]]+Inventory[[#This Row],[Unadj Land Value]]</f>
        <v>335200</v>
      </c>
      <c r="BF1461" s="36">
        <f>(Inventory[[#This Row],[Unadj Total Value]]-Inventory[[#This Row],[24Final]])/Inventory[[#This Row],[24Final]]</f>
        <v>7.7813504823151122E-2</v>
      </c>
      <c r="BG1461" s="25">
        <f>VLOOKUP(Inventory[[#This Row],[Nbhd]],Lookups!$Q$2:$T$4,4,FALSE)</f>
        <v>0.99970000000000003</v>
      </c>
      <c r="BH1461" s="25">
        <f>VLOOKUP(Inventory[[#This Row],[Qlty]],Lookups!$O$7:$R$21,4,FALSE)</f>
        <v>1.0067999999999999</v>
      </c>
      <c r="BI1461" s="25">
        <f>VLOOKUP(Inventory[[#This Row],[Cnd]],Lookups!$T$7:$W$16,4,FALSE)</f>
        <v>0.99650000000000005</v>
      </c>
      <c r="BJ1461" s="25">
        <f>VLOOKUP(Inventory[[#This Row],[LivArea Range]],Lookups!$T$25:$W$37,4,FALSE)</f>
        <v>1.0093000000000001</v>
      </c>
      <c r="BK1461" s="25">
        <f>VLOOKUP(Inventory[[#This Row],[Decade]],Lookups!$O$25:$R$42,4,FALSE)</f>
        <v>0.98909999999999998</v>
      </c>
      <c r="BL1461" s="25">
        <f>Inventory[[#This Row],[Nbhd Adj]]*0.95</f>
        <v>0.94971499999999998</v>
      </c>
      <c r="BM1461" s="25">
        <f>Inventory[[#This Row],[Nbhd Adj]]*Inventory[[#This Row],[Quality Adj]]*Inventory[[#This Row],[Condition Adj]]*Inventory[[#This Row],[Living Area Adj]]*Inventory[[#This Row],[Decade Adj]]*0.95</f>
        <v>0.95120534593507355</v>
      </c>
      <c r="BN1461" s="25">
        <f>ROUND(SUM(Inventory[[#This Row],[Mdl Qlty]:[Mdl WdDeck]])+Inventory[[#This Row],[Mdl Res Intercept]]*Inventory[[#This Row],[Res Adj ]],-2)</f>
        <v>298400</v>
      </c>
      <c r="BO1461" s="25">
        <f>ROUND(Inventory[[#This Row],[25Det]]*Inventory[[#This Row],[Det/Nbhd Adj]],-2)</f>
        <v>4800</v>
      </c>
      <c r="BP1461" s="25">
        <f>Inventory[[#This Row],[Adjusted Res]]+Inventory[[#This Row],[Adj Det ]]</f>
        <v>303200</v>
      </c>
      <c r="BQ1461" s="25">
        <f>ROUND((Inventory[[#This Row],[Mdl Land Intercept]]+Inventory[[#This Row],[Mdl LnAcres]])*Inventory[[#This Row],[Det/Nbhd Adj]],-2)</f>
        <v>30200</v>
      </c>
      <c r="BR1461" s="25">
        <f>Inventory[[#This Row],[Adjusted Impr Total]]+Inventory[[#This Row],[Adjusted Land Total]]</f>
        <v>333400</v>
      </c>
      <c r="BS1461" s="36">
        <f>IFERROR((Inventory[[#This Row],[Adjusted Impr Total]]-Inventory[[#This Row],[24Bldg]])/Inventory[[#This Row],[24Bldg]],0)</f>
        <v>0.16436251920122888</v>
      </c>
      <c r="BT1461" s="36">
        <f>(Inventory[[#This Row],[Adjusted Land Total]]-Inventory[[#This Row],[24Lnd]])/Inventory[[#This Row],[24Lnd]]</f>
        <v>-0.40316205533596838</v>
      </c>
      <c r="BU1461" s="36">
        <f>(Inventory[[#This Row],[Adjusted Total]]-Inventory[[#This Row],[24Final]])/Inventory[[#This Row],[24Final]]</f>
        <v>7.2025723472668807E-2</v>
      </c>
    </row>
    <row r="1462" spans="1:73" x14ac:dyDescent="0.3">
      <c r="A1462" s="25">
        <v>2025</v>
      </c>
      <c r="B1462" s="26" t="s">
        <v>915</v>
      </c>
      <c r="C1462" s="26">
        <f>LN(Inventory[[#This Row],[Acres]])</f>
        <v>-1.2039728043259361</v>
      </c>
      <c r="D1462" s="25">
        <v>0.3</v>
      </c>
      <c r="E1462" s="25">
        <v>12997</v>
      </c>
      <c r="F1462" s="26" t="s">
        <v>537</v>
      </c>
      <c r="G1462" s="26" t="s">
        <v>126</v>
      </c>
      <c r="H1462" s="26" t="s">
        <v>349</v>
      </c>
      <c r="I1462" s="26" t="s">
        <v>538</v>
      </c>
      <c r="J1462" s="26" t="s">
        <v>539</v>
      </c>
      <c r="K1462" s="26" t="s">
        <v>269</v>
      </c>
      <c r="L1462" s="26" t="s">
        <v>148</v>
      </c>
      <c r="M1462" s="26" t="s">
        <v>323</v>
      </c>
      <c r="N1462" s="26">
        <v>90</v>
      </c>
      <c r="O1462" s="26">
        <f>2024-Inventory[[#This Row],[YrBlt]]</f>
        <v>87</v>
      </c>
      <c r="P1462" s="26">
        <f>2024-Inventory[[#This Row],[EffYr]]</f>
        <v>53</v>
      </c>
      <c r="Q1462" s="25">
        <v>1937</v>
      </c>
      <c r="R1462" s="25">
        <v>1971</v>
      </c>
      <c r="S1462" s="25">
        <v>1904</v>
      </c>
      <c r="T1462" s="31"/>
      <c r="U1462" s="25">
        <v>1904</v>
      </c>
      <c r="V1462" s="25">
        <f>Inventory[[#This Row],[Bsmt]]-Inventory[[#This Row],[FnBsmt]]</f>
        <v>563</v>
      </c>
      <c r="W1462" s="25">
        <v>1341</v>
      </c>
      <c r="X1462" s="27"/>
      <c r="Y1462" s="27">
        <f>Inventory[[#This Row],[MainFn]]+Inventory[[#This Row],[UpprFn]]+Inventory[[#This Row],[FnBsmt]]+Inventory[[#This Row],[AddFn]]</f>
        <v>3245</v>
      </c>
      <c r="Z1462" s="27">
        <v>3500</v>
      </c>
      <c r="AA1462" s="25">
        <v>11</v>
      </c>
      <c r="AB1462" s="27"/>
      <c r="AC1462" s="27"/>
      <c r="AD1462" s="32">
        <v>785</v>
      </c>
      <c r="AE1462" s="27"/>
      <c r="AF1462" s="27"/>
      <c r="AG1462" s="27"/>
      <c r="AH1462" s="27"/>
      <c r="AI1462" s="25">
        <v>609473</v>
      </c>
      <c r="AJ1462" s="25">
        <v>408347</v>
      </c>
      <c r="AK1462" s="25">
        <v>12848</v>
      </c>
      <c r="AL1462" s="25">
        <v>441200</v>
      </c>
      <c r="AM1462" s="25">
        <v>72500</v>
      </c>
      <c r="AN1462" s="25">
        <v>368700</v>
      </c>
      <c r="AO1462" s="25">
        <v>0</v>
      </c>
      <c r="AP1462" s="25">
        <f>Lookups!$B$56*0</f>
        <v>0</v>
      </c>
      <c r="AQ1462" s="25">
        <f>Lookups!$B$56*1</f>
        <v>89850.625589999996</v>
      </c>
      <c r="AR1462" s="25">
        <f>Lookups!$B$57*Inventory[[#This Row],[LnAcres]]</f>
        <v>-38111.29648355169</v>
      </c>
      <c r="AS1462" s="25">
        <f>VLOOKUP(Inventory[[#This Row],[Qlty]],Lookups!$A$62:$E$75,2,FALSE)</f>
        <v>44121.038090000002</v>
      </c>
      <c r="AT1462" s="25">
        <f>VLOOKUP(Inventory[[#This Row],[Cnd]],Lookups!$A$76:$E$84,2,FALSE)</f>
        <v>160472.20319</v>
      </c>
      <c r="AU1462" s="25">
        <f>Inventory[[#This Row],[EffAge]]*Lookups!$B$85</f>
        <v>-11821.416826500001</v>
      </c>
      <c r="AV1462" s="25">
        <f>Inventory[[#This Row],[MainFn]]*Lookups!$B$86</f>
        <v>94074.107445807997</v>
      </c>
      <c r="AW1462" s="25">
        <f>Inventory[[#This Row],[UpprFn]]*Lookups!$B$87</f>
        <v>0</v>
      </c>
      <c r="AX1462" s="25">
        <f>Inventory[[#This Row],[AddFn]]*Lookups!$B$88</f>
        <v>0</v>
      </c>
      <c r="AY1462" s="25">
        <f>Inventory[[#This Row],[Bsmt]]*Lookups!$B$89</f>
        <v>55371.928550287994</v>
      </c>
      <c r="AZ1462" s="25">
        <f>Inventory[[#This Row],[Fixtures]]*Lookups!$B$90</f>
        <v>41712.243157199999</v>
      </c>
      <c r="BA1462" s="25">
        <f>Inventory[[#This Row],[WdDeck]]*Lookups!$B$91</f>
        <v>26136.979491660004</v>
      </c>
      <c r="BB1462" s="25">
        <f>ROUND(Inventory[[#This Row],[25Det]],-2)</f>
        <v>12800</v>
      </c>
      <c r="BC1462" s="25">
        <f>ROUND(SUM(Inventory[[#This Row],[Mdl Qlty]:[Mdl WdDeck]])+Inventory[[#This Row],[Mdl Res Intercept]],-2)</f>
        <v>410100</v>
      </c>
      <c r="BD1462" s="25">
        <f>ROUND(Inventory[[#This Row],[Mdl Land Intercept]]+Inventory[[#This Row],[Mdl LnAcres]],-2)</f>
        <v>51700</v>
      </c>
      <c r="BE1462" s="25">
        <f>Inventory[[#This Row],[Unadj Res Value]]+Inventory[[#This Row],[Unadj Det Value]]+Inventory[[#This Row],[Unadj Land Value]]</f>
        <v>474600</v>
      </c>
      <c r="BF1462" s="36">
        <f>(Inventory[[#This Row],[Unadj Total Value]]-Inventory[[#This Row],[24Final]])/Inventory[[#This Row],[24Final]]</f>
        <v>7.5702629193109702E-2</v>
      </c>
      <c r="BG1462" s="25">
        <f>VLOOKUP(Inventory[[#This Row],[Nbhd]],Lookups!$Q$2:$T$4,4,FALSE)</f>
        <v>0.99970000000000003</v>
      </c>
      <c r="BH1462" s="25">
        <f>VLOOKUP(Inventory[[#This Row],[Qlty]],Lookups!$O$7:$R$21,4,FALSE)</f>
        <v>0.98050000000000004</v>
      </c>
      <c r="BI1462" s="25">
        <f>VLOOKUP(Inventory[[#This Row],[Cnd]],Lookups!$T$7:$W$16,4,FALSE)</f>
        <v>0.99729999999999996</v>
      </c>
      <c r="BJ1462" s="25">
        <f>VLOOKUP(Inventory[[#This Row],[LivArea Range]],Lookups!$T$25:$W$37,4,FALSE)</f>
        <v>1.0126999999999999</v>
      </c>
      <c r="BK1462" s="25">
        <f>VLOOKUP(Inventory[[#This Row],[Decade]],Lookups!$O$25:$R$42,4,FALSE)</f>
        <v>0.98909999999999998</v>
      </c>
      <c r="BL1462" s="25">
        <f>Inventory[[#This Row],[Nbhd Adj]]*0.95</f>
        <v>0.94971499999999998</v>
      </c>
      <c r="BM1462" s="25">
        <f>Inventory[[#This Row],[Nbhd Adj]]*Inventory[[#This Row],[Quality Adj]]*Inventory[[#This Row],[Condition Adj]]*Inventory[[#This Row],[Living Area Adj]]*Inventory[[#This Row],[Decade Adj]]*0.95</f>
        <v>0.93022439853139849</v>
      </c>
      <c r="BN1462" s="25">
        <f>ROUND(SUM(Inventory[[#This Row],[Mdl Qlty]:[Mdl WdDeck]])+Inventory[[#This Row],[Mdl Res Intercept]]*Inventory[[#This Row],[Res Adj ]],-2)</f>
        <v>410100</v>
      </c>
      <c r="BO1462" s="25">
        <f>ROUND(Inventory[[#This Row],[25Det]]*Inventory[[#This Row],[Det/Nbhd Adj]],-2)</f>
        <v>12200</v>
      </c>
      <c r="BP1462" s="25">
        <f>Inventory[[#This Row],[Adjusted Res]]+Inventory[[#This Row],[Adj Det ]]</f>
        <v>422300</v>
      </c>
      <c r="BQ1462" s="25">
        <f>ROUND((Inventory[[#This Row],[Mdl Land Intercept]]+Inventory[[#This Row],[Mdl LnAcres]])*Inventory[[#This Row],[Det/Nbhd Adj]],-2)</f>
        <v>49100</v>
      </c>
      <c r="BR1462" s="25">
        <f>Inventory[[#This Row],[Adjusted Impr Total]]+Inventory[[#This Row],[Adjusted Land Total]]</f>
        <v>471400</v>
      </c>
      <c r="BS1462" s="36">
        <f>IFERROR((Inventory[[#This Row],[Adjusted Impr Total]]-Inventory[[#This Row],[24Bldg]])/Inventory[[#This Row],[24Bldg]],0)</f>
        <v>0.14537564415513968</v>
      </c>
      <c r="BT1462" s="36">
        <f>(Inventory[[#This Row],[Adjusted Land Total]]-Inventory[[#This Row],[24Lnd]])/Inventory[[#This Row],[24Lnd]]</f>
        <v>-0.32275862068965516</v>
      </c>
      <c r="BU1462" s="36">
        <f>(Inventory[[#This Row],[Adjusted Total]]-Inventory[[#This Row],[24Final]])/Inventory[[#This Row],[24Final]]</f>
        <v>6.844968268359021E-2</v>
      </c>
    </row>
    <row r="1463" spans="1:73" x14ac:dyDescent="0.3">
      <c r="A1463" s="25">
        <v>2025</v>
      </c>
      <c r="B1463" s="26" t="s">
        <v>1378</v>
      </c>
      <c r="C1463" s="26">
        <f>LN(Inventory[[#This Row],[Acres]])</f>
        <v>-1.7719568419318752</v>
      </c>
      <c r="D1463" s="25">
        <v>0.17</v>
      </c>
      <c r="E1463" s="32">
        <v>7521</v>
      </c>
      <c r="F1463" s="26" t="s">
        <v>537</v>
      </c>
      <c r="G1463" s="26" t="s">
        <v>126</v>
      </c>
      <c r="H1463" s="26" t="s">
        <v>349</v>
      </c>
      <c r="I1463" s="26" t="s">
        <v>538</v>
      </c>
      <c r="J1463" s="26" t="s">
        <v>539</v>
      </c>
      <c r="K1463" s="26" t="s">
        <v>241</v>
      </c>
      <c r="L1463" s="26" t="s">
        <v>302</v>
      </c>
      <c r="M1463" s="26" t="s">
        <v>323</v>
      </c>
      <c r="N1463" s="26">
        <v>90</v>
      </c>
      <c r="O1463" s="26">
        <f>2024-Inventory[[#This Row],[YrBlt]]</f>
        <v>87</v>
      </c>
      <c r="P1463" s="26">
        <f>2024-Inventory[[#This Row],[EffYr]]</f>
        <v>53</v>
      </c>
      <c r="Q1463" s="25">
        <v>1937</v>
      </c>
      <c r="R1463" s="25">
        <v>1971</v>
      </c>
      <c r="S1463" s="25">
        <v>1068</v>
      </c>
      <c r="T1463" s="31"/>
      <c r="U1463" s="25">
        <v>1056</v>
      </c>
      <c r="V1463" s="25">
        <f>Inventory[[#This Row],[Bsmt]]-Inventory[[#This Row],[FnBsmt]]</f>
        <v>511</v>
      </c>
      <c r="W1463" s="25">
        <v>545</v>
      </c>
      <c r="X1463" s="27"/>
      <c r="Y1463" s="27">
        <f>Inventory[[#This Row],[MainFn]]+Inventory[[#This Row],[UpprFn]]+Inventory[[#This Row],[FnBsmt]]+Inventory[[#This Row],[AddFn]]</f>
        <v>1613</v>
      </c>
      <c r="Z1463" s="27">
        <v>2000</v>
      </c>
      <c r="AA1463" s="25">
        <v>8</v>
      </c>
      <c r="AB1463" s="27"/>
      <c r="AC1463" s="27"/>
      <c r="AD1463" s="32">
        <v>504</v>
      </c>
      <c r="AE1463" s="27"/>
      <c r="AF1463" s="27"/>
      <c r="AG1463" s="27"/>
      <c r="AH1463" s="27"/>
      <c r="AI1463" s="25">
        <v>310922</v>
      </c>
      <c r="AJ1463" s="25">
        <v>208318</v>
      </c>
      <c r="AK1463" s="25">
        <v>0</v>
      </c>
      <c r="AL1463" s="25">
        <v>320800</v>
      </c>
      <c r="AM1463" s="25">
        <v>52700</v>
      </c>
      <c r="AN1463" s="25">
        <v>268100</v>
      </c>
      <c r="AO1463" s="25">
        <v>0</v>
      </c>
      <c r="AP1463" s="25">
        <f>Lookups!$B$56*0</f>
        <v>0</v>
      </c>
      <c r="AQ1463" s="25">
        <f>Lookups!$B$56*1</f>
        <v>89850.625589999996</v>
      </c>
      <c r="AR1463" s="25">
        <f>Lookups!$B$57*Inventory[[#This Row],[LnAcres]]</f>
        <v>-56090.612940989391</v>
      </c>
      <c r="AS1463" s="25">
        <f>VLOOKUP(Inventory[[#This Row],[Qlty]],Lookups!$A$62:$E$75,2,FALSE)</f>
        <v>29814.093161000001</v>
      </c>
      <c r="AT1463" s="25">
        <f>VLOOKUP(Inventory[[#This Row],[Cnd]],Lookups!$A$76:$E$84,2,FALSE)</f>
        <v>160472.20319</v>
      </c>
      <c r="AU1463" s="25">
        <f>Inventory[[#This Row],[EffAge]]*Lookups!$B$85</f>
        <v>-11821.416826500001</v>
      </c>
      <c r="AV1463" s="25">
        <f>Inventory[[#This Row],[MainFn]]*Lookups!$B$86</f>
        <v>52768.459428636001</v>
      </c>
      <c r="AW1463" s="25">
        <f>Inventory[[#This Row],[UpprFn]]*Lookups!$B$87</f>
        <v>0</v>
      </c>
      <c r="AX1463" s="25">
        <f>Inventory[[#This Row],[AddFn]]*Lookups!$B$88</f>
        <v>0</v>
      </c>
      <c r="AY1463" s="25">
        <f>Inventory[[#This Row],[Bsmt]]*Lookups!$B$89</f>
        <v>30710.481380832</v>
      </c>
      <c r="AZ1463" s="25">
        <f>Inventory[[#This Row],[Fixtures]]*Lookups!$B$90</f>
        <v>30336.176841600001</v>
      </c>
      <c r="BA1463" s="25">
        <f>Inventory[[#This Row],[WdDeck]]*Lookups!$B$91</f>
        <v>16780.939699104001</v>
      </c>
      <c r="BB1463" s="25">
        <f>ROUND(Inventory[[#This Row],[25Det]],-2)</f>
        <v>0</v>
      </c>
      <c r="BC1463" s="25">
        <f>ROUND(SUM(Inventory[[#This Row],[Mdl Qlty]:[Mdl WdDeck]])+Inventory[[#This Row],[Mdl Res Intercept]],-2)</f>
        <v>309100</v>
      </c>
      <c r="BD1463" s="25">
        <f>ROUND(Inventory[[#This Row],[Mdl Land Intercept]]+Inventory[[#This Row],[Mdl LnAcres]],-2)</f>
        <v>33800</v>
      </c>
      <c r="BE1463" s="25">
        <f>Inventory[[#This Row],[Unadj Res Value]]+Inventory[[#This Row],[Unadj Det Value]]+Inventory[[#This Row],[Unadj Land Value]]</f>
        <v>342900</v>
      </c>
      <c r="BF1463" s="36">
        <f>(Inventory[[#This Row],[Unadj Total Value]]-Inventory[[#This Row],[24Final]])/Inventory[[#This Row],[24Final]]</f>
        <v>6.8890274314214461E-2</v>
      </c>
      <c r="BG1463" s="25">
        <f>VLOOKUP(Inventory[[#This Row],[Nbhd]],Lookups!$Q$2:$T$4,4,FALSE)</f>
        <v>0.99970000000000003</v>
      </c>
      <c r="BH1463" s="25">
        <f>VLOOKUP(Inventory[[#This Row],[Qlty]],Lookups!$O$7:$R$21,4,FALSE)</f>
        <v>1.0088999999999999</v>
      </c>
      <c r="BI1463" s="25">
        <f>VLOOKUP(Inventory[[#This Row],[Cnd]],Lookups!$T$7:$W$16,4,FALSE)</f>
        <v>0.99729999999999996</v>
      </c>
      <c r="BJ1463" s="25">
        <f>VLOOKUP(Inventory[[#This Row],[LivArea Range]],Lookups!$T$25:$W$37,4,FALSE)</f>
        <v>1.0093000000000001</v>
      </c>
      <c r="BK1463" s="25">
        <f>VLOOKUP(Inventory[[#This Row],[Decade]],Lookups!$O$25:$R$42,4,FALSE)</f>
        <v>0.98909999999999998</v>
      </c>
      <c r="BL1463" s="25">
        <f>Inventory[[#This Row],[Nbhd Adj]]*0.95</f>
        <v>0.94971499999999998</v>
      </c>
      <c r="BM1463" s="25">
        <f>Inventory[[#This Row],[Nbhd Adj]]*Inventory[[#This Row],[Quality Adj]]*Inventory[[#This Row],[Condition Adj]]*Inventory[[#This Row],[Living Area Adj]]*Inventory[[#This Row],[Decade Adj]]*0.95</f>
        <v>0.95395461550409388</v>
      </c>
      <c r="BN1463" s="25">
        <f>ROUND(SUM(Inventory[[#This Row],[Mdl Qlty]:[Mdl WdDeck]])+Inventory[[#This Row],[Mdl Res Intercept]]*Inventory[[#This Row],[Res Adj ]],-2)</f>
        <v>309100</v>
      </c>
      <c r="BO1463" s="25">
        <f>ROUND(Inventory[[#This Row],[25Det]]*Inventory[[#This Row],[Det/Nbhd Adj]],-2)</f>
        <v>0</v>
      </c>
      <c r="BP1463" s="25">
        <f>Inventory[[#This Row],[Adjusted Res]]+Inventory[[#This Row],[Adj Det ]]</f>
        <v>309100</v>
      </c>
      <c r="BQ1463" s="25">
        <f>ROUND((Inventory[[#This Row],[Mdl Land Intercept]]+Inventory[[#This Row],[Mdl LnAcres]])*Inventory[[#This Row],[Det/Nbhd Adj]],-2)</f>
        <v>32100</v>
      </c>
      <c r="BR1463" s="25">
        <f>Inventory[[#This Row],[Adjusted Impr Total]]+Inventory[[#This Row],[Adjusted Land Total]]</f>
        <v>341200</v>
      </c>
      <c r="BS1463" s="36">
        <f>IFERROR((Inventory[[#This Row],[Adjusted Impr Total]]-Inventory[[#This Row],[24Bldg]])/Inventory[[#This Row],[24Bldg]],0)</f>
        <v>0.15292801193584482</v>
      </c>
      <c r="BT1463" s="36">
        <f>(Inventory[[#This Row],[Adjusted Land Total]]-Inventory[[#This Row],[24Lnd]])/Inventory[[#This Row],[24Lnd]]</f>
        <v>-0.39089184060721061</v>
      </c>
      <c r="BU1463" s="36">
        <f>(Inventory[[#This Row],[Adjusted Total]]-Inventory[[#This Row],[24Final]])/Inventory[[#This Row],[24Final]]</f>
        <v>6.3591022443890269E-2</v>
      </c>
    </row>
    <row r="1464" spans="1:73" x14ac:dyDescent="0.3">
      <c r="A1464" s="25">
        <v>2025</v>
      </c>
      <c r="B1464" s="26" t="s">
        <v>630</v>
      </c>
      <c r="C1464" s="26">
        <f>LN(Inventory[[#This Row],[Acres]])</f>
        <v>-0.96758402626170559</v>
      </c>
      <c r="D1464" s="25">
        <v>0.38</v>
      </c>
      <c r="E1464" s="25">
        <v>16721</v>
      </c>
      <c r="F1464" s="26" t="s">
        <v>537</v>
      </c>
      <c r="G1464" s="26" t="s">
        <v>126</v>
      </c>
      <c r="H1464" s="26" t="s">
        <v>349</v>
      </c>
      <c r="I1464" s="26" t="s">
        <v>538</v>
      </c>
      <c r="J1464" s="26" t="s">
        <v>539</v>
      </c>
      <c r="K1464" s="26" t="s">
        <v>242</v>
      </c>
      <c r="L1464" s="26" t="s">
        <v>148</v>
      </c>
      <c r="M1464" s="26" t="s">
        <v>323</v>
      </c>
      <c r="N1464" s="26">
        <v>90</v>
      </c>
      <c r="O1464" s="26">
        <f>2024-Inventory[[#This Row],[YrBlt]]</f>
        <v>87</v>
      </c>
      <c r="P1464" s="26">
        <f>2024-Inventory[[#This Row],[EffYr]]</f>
        <v>53</v>
      </c>
      <c r="Q1464" s="25">
        <v>1937</v>
      </c>
      <c r="R1464" s="25">
        <v>1971</v>
      </c>
      <c r="S1464" s="25">
        <v>1384</v>
      </c>
      <c r="T1464" s="27"/>
      <c r="U1464" s="32">
        <v>1251</v>
      </c>
      <c r="V1464" s="32">
        <f>Inventory[[#This Row],[Bsmt]]-Inventory[[#This Row],[FnBsmt]]</f>
        <v>939</v>
      </c>
      <c r="W1464" s="32">
        <v>312</v>
      </c>
      <c r="X1464" s="27"/>
      <c r="Y1464" s="27">
        <f>Inventory[[#This Row],[MainFn]]+Inventory[[#This Row],[UpprFn]]+Inventory[[#This Row],[FnBsmt]]+Inventory[[#This Row],[AddFn]]</f>
        <v>1696</v>
      </c>
      <c r="Z1464" s="27">
        <v>2000</v>
      </c>
      <c r="AA1464" s="25">
        <v>8</v>
      </c>
      <c r="AB1464" s="31"/>
      <c r="AC1464" s="27"/>
      <c r="AD1464" s="32">
        <v>72</v>
      </c>
      <c r="AE1464" s="27"/>
      <c r="AF1464" s="27"/>
      <c r="AG1464" s="27"/>
      <c r="AH1464" s="27"/>
      <c r="AI1464" s="25">
        <v>394768</v>
      </c>
      <c r="AJ1464" s="25">
        <v>264495</v>
      </c>
      <c r="AK1464" s="25">
        <v>9004</v>
      </c>
      <c r="AL1464" s="25">
        <v>372700</v>
      </c>
      <c r="AM1464" s="25">
        <v>80800</v>
      </c>
      <c r="AN1464" s="25">
        <v>291900</v>
      </c>
      <c r="AO1464" s="25">
        <v>0</v>
      </c>
      <c r="AP1464" s="25">
        <f>Lookups!$B$56*0</f>
        <v>0</v>
      </c>
      <c r="AQ1464" s="25">
        <f>Lookups!$B$56*1</f>
        <v>89850.625589999996</v>
      </c>
      <c r="AR1464" s="25">
        <f>Lookups!$B$57*Inventory[[#This Row],[LnAcres]]</f>
        <v>-30628.500548443946</v>
      </c>
      <c r="AS1464" s="25">
        <f>VLOOKUP(Inventory[[#This Row],[Qlty]],Lookups!$A$62:$E$75,2,FALSE)</f>
        <v>44121.038090000002</v>
      </c>
      <c r="AT1464" s="25">
        <f>VLOOKUP(Inventory[[#This Row],[Cnd]],Lookups!$A$76:$E$84,2,FALSE)</f>
        <v>160472.20319</v>
      </c>
      <c r="AU1464" s="25">
        <f>Inventory[[#This Row],[EffAge]]*Lookups!$B$85</f>
        <v>-11821.416826500001</v>
      </c>
      <c r="AV1464" s="25">
        <f>Inventory[[#This Row],[MainFn]]*Lookups!$B$86</f>
        <v>68381.599109768009</v>
      </c>
      <c r="AW1464" s="25">
        <f>Inventory[[#This Row],[UpprFn]]*Lookups!$B$87</f>
        <v>0</v>
      </c>
      <c r="AX1464" s="25">
        <f>Inventory[[#This Row],[AddFn]]*Lookups!$B$88</f>
        <v>0</v>
      </c>
      <c r="AY1464" s="25">
        <f>Inventory[[#This Row],[Bsmt]]*Lookups!$B$89</f>
        <v>36381.450953996995</v>
      </c>
      <c r="AZ1464" s="25">
        <f>Inventory[[#This Row],[Fixtures]]*Lookups!$B$90</f>
        <v>30336.176841600001</v>
      </c>
      <c r="BA1464" s="25">
        <f>Inventory[[#This Row],[WdDeck]]*Lookups!$B$91</f>
        <v>2397.2770998720002</v>
      </c>
      <c r="BB1464" s="25">
        <f>ROUND(Inventory[[#This Row],[25Det]],-2)</f>
        <v>9000</v>
      </c>
      <c r="BC1464" s="25">
        <f>ROUND(SUM(Inventory[[#This Row],[Mdl Qlty]:[Mdl WdDeck]])+Inventory[[#This Row],[Mdl Res Intercept]],-2)</f>
        <v>330300</v>
      </c>
      <c r="BD1464" s="25">
        <f>ROUND(Inventory[[#This Row],[Mdl Land Intercept]]+Inventory[[#This Row],[Mdl LnAcres]],-2)</f>
        <v>59200</v>
      </c>
      <c r="BE1464" s="25">
        <f>Inventory[[#This Row],[Unadj Res Value]]+Inventory[[#This Row],[Unadj Det Value]]+Inventory[[#This Row],[Unadj Land Value]]</f>
        <v>398500</v>
      </c>
      <c r="BF1464" s="36">
        <f>(Inventory[[#This Row],[Unadj Total Value]]-Inventory[[#This Row],[24Final]])/Inventory[[#This Row],[24Final]]</f>
        <v>6.9224577408103033E-2</v>
      </c>
      <c r="BG1464" s="25">
        <f>VLOOKUP(Inventory[[#This Row],[Nbhd]],Lookups!$Q$2:$T$4,4,FALSE)</f>
        <v>0.99970000000000003</v>
      </c>
      <c r="BH1464" s="25">
        <f>VLOOKUP(Inventory[[#This Row],[Qlty]],Lookups!$O$7:$R$21,4,FALSE)</f>
        <v>0.98050000000000004</v>
      </c>
      <c r="BI1464" s="25">
        <f>VLOOKUP(Inventory[[#This Row],[Cnd]],Lookups!$T$7:$W$16,4,FALSE)</f>
        <v>0.99729999999999996</v>
      </c>
      <c r="BJ1464" s="25">
        <f>VLOOKUP(Inventory[[#This Row],[LivArea Range]],Lookups!$T$25:$W$37,4,FALSE)</f>
        <v>1.0093000000000001</v>
      </c>
      <c r="BK1464" s="25">
        <f>VLOOKUP(Inventory[[#This Row],[Decade]],Lookups!$O$25:$R$42,4,FALSE)</f>
        <v>0.98909999999999998</v>
      </c>
      <c r="BL1464" s="25">
        <f>Inventory[[#This Row],[Nbhd Adj]]*0.95</f>
        <v>0.94971499999999998</v>
      </c>
      <c r="BM1464" s="25">
        <f>Inventory[[#This Row],[Nbhd Adj]]*Inventory[[#This Row],[Quality Adj]]*Inventory[[#This Row],[Condition Adj]]*Inventory[[#This Row],[Living Area Adj]]*Inventory[[#This Row],[Decade Adj]]*0.95</f>
        <v>0.92710129894118753</v>
      </c>
      <c r="BN1464" s="25">
        <f>ROUND(SUM(Inventory[[#This Row],[Mdl Qlty]:[Mdl WdDeck]])+Inventory[[#This Row],[Mdl Res Intercept]]*Inventory[[#This Row],[Res Adj ]],-2)</f>
        <v>330300</v>
      </c>
      <c r="BO1464" s="25">
        <f>ROUND(Inventory[[#This Row],[25Det]]*Inventory[[#This Row],[Det/Nbhd Adj]],-2)</f>
        <v>8600</v>
      </c>
      <c r="BP1464" s="25">
        <f>Inventory[[#This Row],[Adjusted Res]]+Inventory[[#This Row],[Adj Det ]]</f>
        <v>338900</v>
      </c>
      <c r="BQ1464" s="25">
        <f>ROUND((Inventory[[#This Row],[Mdl Land Intercept]]+Inventory[[#This Row],[Mdl LnAcres]])*Inventory[[#This Row],[Det/Nbhd Adj]],-2)</f>
        <v>56200</v>
      </c>
      <c r="BR1464" s="25">
        <f>Inventory[[#This Row],[Adjusted Impr Total]]+Inventory[[#This Row],[Adjusted Land Total]]</f>
        <v>395100</v>
      </c>
      <c r="BS1464" s="36">
        <f>IFERROR((Inventory[[#This Row],[Adjusted Impr Total]]-Inventory[[#This Row],[24Bldg]])/Inventory[[#This Row],[24Bldg]],0)</f>
        <v>0.16101404590613225</v>
      </c>
      <c r="BT1464" s="36">
        <f>(Inventory[[#This Row],[Adjusted Land Total]]-Inventory[[#This Row],[24Lnd]])/Inventory[[#This Row],[24Lnd]]</f>
        <v>-0.30445544554455445</v>
      </c>
      <c r="BU1464" s="36">
        <f>(Inventory[[#This Row],[Adjusted Total]]-Inventory[[#This Row],[24Final]])/Inventory[[#This Row],[24Final]]</f>
        <v>6.0101958679903408E-2</v>
      </c>
    </row>
    <row r="1465" spans="1:73" x14ac:dyDescent="0.3">
      <c r="A1465" s="25">
        <v>2025</v>
      </c>
      <c r="B1465" s="26" t="s">
        <v>2303</v>
      </c>
      <c r="C1465" s="26">
        <f>LN(Inventory[[#This Row],[Acres]])</f>
        <v>-1.6094379124341003</v>
      </c>
      <c r="D1465" s="25">
        <v>0.2</v>
      </c>
      <c r="E1465" s="32">
        <v>8680</v>
      </c>
      <c r="F1465" s="26" t="s">
        <v>537</v>
      </c>
      <c r="G1465" s="26" t="s">
        <v>126</v>
      </c>
      <c r="H1465" s="26" t="s">
        <v>349</v>
      </c>
      <c r="I1465" s="26" t="s">
        <v>538</v>
      </c>
      <c r="J1465" s="26" t="s">
        <v>539</v>
      </c>
      <c r="K1465" s="26" t="s">
        <v>242</v>
      </c>
      <c r="L1465" s="26" t="s">
        <v>148</v>
      </c>
      <c r="M1465" s="26" t="s">
        <v>303</v>
      </c>
      <c r="N1465" s="26">
        <v>90</v>
      </c>
      <c r="O1465" s="26">
        <f>2024-Inventory[[#This Row],[YrBlt]]</f>
        <v>87</v>
      </c>
      <c r="P1465" s="26">
        <f>2024-Inventory[[#This Row],[EffYr]]</f>
        <v>53</v>
      </c>
      <c r="Q1465" s="25">
        <v>1937</v>
      </c>
      <c r="R1465" s="25">
        <v>1971</v>
      </c>
      <c r="S1465" s="25">
        <v>1277</v>
      </c>
      <c r="T1465" s="27"/>
      <c r="U1465" s="25">
        <v>1277</v>
      </c>
      <c r="V1465" s="25">
        <f>Inventory[[#This Row],[Bsmt]]-Inventory[[#This Row],[FnBsmt]]</f>
        <v>0</v>
      </c>
      <c r="W1465" s="25">
        <v>1277</v>
      </c>
      <c r="X1465" s="27"/>
      <c r="Y1465" s="27">
        <f>Inventory[[#This Row],[MainFn]]+Inventory[[#This Row],[UpprFn]]+Inventory[[#This Row],[FnBsmt]]+Inventory[[#This Row],[AddFn]]</f>
        <v>2554</v>
      </c>
      <c r="Z1465" s="27">
        <v>3000</v>
      </c>
      <c r="AA1465" s="25">
        <v>10</v>
      </c>
      <c r="AB1465" s="27"/>
      <c r="AC1465" s="32">
        <v>228</v>
      </c>
      <c r="AD1465" s="32">
        <v>144</v>
      </c>
      <c r="AE1465" s="27"/>
      <c r="AF1465" s="27"/>
      <c r="AG1465" s="27"/>
      <c r="AH1465" s="27"/>
      <c r="AI1465" s="25">
        <v>451277</v>
      </c>
      <c r="AJ1465" s="25">
        <v>311381</v>
      </c>
      <c r="AK1465" s="25">
        <v>0</v>
      </c>
      <c r="AL1465" s="25">
        <v>387000</v>
      </c>
      <c r="AM1465" s="25">
        <v>58400</v>
      </c>
      <c r="AN1465" s="25">
        <v>328600</v>
      </c>
      <c r="AO1465" s="25">
        <v>0</v>
      </c>
      <c r="AP1465" s="25">
        <f>Lookups!$B$56*0</f>
        <v>0</v>
      </c>
      <c r="AQ1465" s="25">
        <f>Lookups!$B$56*1</f>
        <v>89850.625589999996</v>
      </c>
      <c r="AR1465" s="25">
        <f>Lookups!$B$57*Inventory[[#This Row],[LnAcres]]</f>
        <v>-50946.13867709865</v>
      </c>
      <c r="AS1465" s="25">
        <f>VLOOKUP(Inventory[[#This Row],[Qlty]],Lookups!$A$62:$E$75,2,FALSE)</f>
        <v>44121.038090000002</v>
      </c>
      <c r="AT1465" s="25">
        <f>VLOOKUP(Inventory[[#This Row],[Cnd]],Lookups!$A$76:$E$84,2,FALSE)</f>
        <v>197752.34721000001</v>
      </c>
      <c r="AU1465" s="25">
        <f>Inventory[[#This Row],[EffAge]]*Lookups!$B$85</f>
        <v>-11821.416826500001</v>
      </c>
      <c r="AV1465" s="25">
        <f>Inventory[[#This Row],[MainFn]]*Lookups!$B$86</f>
        <v>63094.871432929001</v>
      </c>
      <c r="AW1465" s="25">
        <f>Inventory[[#This Row],[UpprFn]]*Lookups!$B$87</f>
        <v>0</v>
      </c>
      <c r="AX1465" s="25">
        <f>Inventory[[#This Row],[AddFn]]*Lookups!$B$88</f>
        <v>0</v>
      </c>
      <c r="AY1465" s="25">
        <f>Inventory[[#This Row],[Bsmt]]*Lookups!$B$89</f>
        <v>37137.580230419</v>
      </c>
      <c r="AZ1465" s="25">
        <f>Inventory[[#This Row],[Fixtures]]*Lookups!$B$90</f>
        <v>37920.221052000001</v>
      </c>
      <c r="BA1465" s="25">
        <f>Inventory[[#This Row],[WdDeck]]*Lookups!$B$91</f>
        <v>4794.5541997440005</v>
      </c>
      <c r="BB1465" s="25">
        <f>ROUND(Inventory[[#This Row],[25Det]],-2)</f>
        <v>0</v>
      </c>
      <c r="BC1465" s="25">
        <f>ROUND(SUM(Inventory[[#This Row],[Mdl Qlty]:[Mdl WdDeck]])+Inventory[[#This Row],[Mdl Res Intercept]],-2)</f>
        <v>373000</v>
      </c>
      <c r="BD1465" s="25">
        <f>ROUND(Inventory[[#This Row],[Mdl Land Intercept]]+Inventory[[#This Row],[Mdl LnAcres]],-2)</f>
        <v>38900</v>
      </c>
      <c r="BE1465" s="25">
        <f>Inventory[[#This Row],[Unadj Res Value]]+Inventory[[#This Row],[Unadj Det Value]]+Inventory[[#This Row],[Unadj Land Value]]</f>
        <v>411900</v>
      </c>
      <c r="BF1465" s="36">
        <f>(Inventory[[#This Row],[Unadj Total Value]]-Inventory[[#This Row],[24Final]])/Inventory[[#This Row],[24Final]]</f>
        <v>6.4341085271317836E-2</v>
      </c>
      <c r="BG1465" s="25">
        <f>VLOOKUP(Inventory[[#This Row],[Nbhd]],Lookups!$Q$2:$T$4,4,FALSE)</f>
        <v>0.99970000000000003</v>
      </c>
      <c r="BH1465" s="25">
        <f>VLOOKUP(Inventory[[#This Row],[Qlty]],Lookups!$O$7:$R$21,4,FALSE)</f>
        <v>0.98050000000000004</v>
      </c>
      <c r="BI1465" s="25">
        <f>VLOOKUP(Inventory[[#This Row],[Cnd]],Lookups!$T$7:$W$16,4,FALSE)</f>
        <v>0.99650000000000005</v>
      </c>
      <c r="BJ1465" s="25">
        <f>VLOOKUP(Inventory[[#This Row],[LivArea Range]],Lookups!$T$25:$W$37,4,FALSE)</f>
        <v>0.96179999999999999</v>
      </c>
      <c r="BK1465" s="25">
        <f>VLOOKUP(Inventory[[#This Row],[Decade]],Lookups!$O$25:$R$42,4,FALSE)</f>
        <v>0.98909999999999998</v>
      </c>
      <c r="BL1465" s="25">
        <f>Inventory[[#This Row],[Nbhd Adj]]*0.95</f>
        <v>0.94971499999999998</v>
      </c>
      <c r="BM1465" s="25">
        <f>Inventory[[#This Row],[Nbhd Adj]]*Inventory[[#This Row],[Quality Adj]]*Inventory[[#This Row],[Condition Adj]]*Inventory[[#This Row],[Living Area Adj]]*Inventory[[#This Row],[Decade Adj]]*0.95</f>
        <v>0.88276107127906644</v>
      </c>
      <c r="BN1465" s="25">
        <f>ROUND(SUM(Inventory[[#This Row],[Mdl Qlty]:[Mdl WdDeck]])+Inventory[[#This Row],[Mdl Res Intercept]]*Inventory[[#This Row],[Res Adj ]],-2)</f>
        <v>373000</v>
      </c>
      <c r="BO1465" s="25">
        <f>ROUND(Inventory[[#This Row],[25Det]]*Inventory[[#This Row],[Det/Nbhd Adj]],-2)</f>
        <v>0</v>
      </c>
      <c r="BP1465" s="25">
        <f>Inventory[[#This Row],[Adjusted Res]]+Inventory[[#This Row],[Adj Det ]]</f>
        <v>373000</v>
      </c>
      <c r="BQ1465" s="25">
        <f>ROUND((Inventory[[#This Row],[Mdl Land Intercept]]+Inventory[[#This Row],[Mdl LnAcres]])*Inventory[[#This Row],[Det/Nbhd Adj]],-2)</f>
        <v>36900</v>
      </c>
      <c r="BR1465" s="25">
        <f>Inventory[[#This Row],[Adjusted Impr Total]]+Inventory[[#This Row],[Adjusted Land Total]]</f>
        <v>409900</v>
      </c>
      <c r="BS1465" s="36">
        <f>IFERROR((Inventory[[#This Row],[Adjusted Impr Total]]-Inventory[[#This Row],[24Bldg]])/Inventory[[#This Row],[24Bldg]],0)</f>
        <v>0.13511868533171029</v>
      </c>
      <c r="BT1465" s="36">
        <f>(Inventory[[#This Row],[Adjusted Land Total]]-Inventory[[#This Row],[24Lnd]])/Inventory[[#This Row],[24Lnd]]</f>
        <v>-0.36815068493150682</v>
      </c>
      <c r="BU1465" s="36">
        <f>(Inventory[[#This Row],[Adjusted Total]]-Inventory[[#This Row],[24Final]])/Inventory[[#This Row],[24Final]]</f>
        <v>5.9173126614987082E-2</v>
      </c>
    </row>
    <row r="1466" spans="1:73" x14ac:dyDescent="0.3">
      <c r="A1466" s="25">
        <v>2025</v>
      </c>
      <c r="B1466" s="26" t="s">
        <v>2228</v>
      </c>
      <c r="C1466" s="26">
        <f>LN(Inventory[[#This Row],[Acres]])</f>
        <v>-1.7147984280919266</v>
      </c>
      <c r="D1466" s="25">
        <v>0.18</v>
      </c>
      <c r="E1466" s="31"/>
      <c r="F1466" s="26" t="s">
        <v>537</v>
      </c>
      <c r="G1466" s="26" t="s">
        <v>126</v>
      </c>
      <c r="H1466" s="26" t="s">
        <v>349</v>
      </c>
      <c r="I1466" s="26" t="s">
        <v>538</v>
      </c>
      <c r="J1466" s="26" t="s">
        <v>539</v>
      </c>
      <c r="K1466" s="26" t="s">
        <v>242</v>
      </c>
      <c r="L1466" s="26" t="s">
        <v>351</v>
      </c>
      <c r="M1466" s="26" t="s">
        <v>323</v>
      </c>
      <c r="N1466" s="26">
        <v>90</v>
      </c>
      <c r="O1466" s="26">
        <f>2024-Inventory[[#This Row],[YrBlt]]</f>
        <v>87</v>
      </c>
      <c r="P1466" s="26">
        <f>2024-Inventory[[#This Row],[EffYr]]</f>
        <v>53</v>
      </c>
      <c r="Q1466" s="25">
        <v>1937</v>
      </c>
      <c r="R1466" s="25">
        <v>1971</v>
      </c>
      <c r="S1466" s="25">
        <v>923</v>
      </c>
      <c r="T1466" s="31"/>
      <c r="U1466" s="25">
        <v>923</v>
      </c>
      <c r="V1466" s="32">
        <f>Inventory[[#This Row],[Bsmt]]-Inventory[[#This Row],[FnBsmt]]</f>
        <v>93</v>
      </c>
      <c r="W1466" s="32">
        <v>830</v>
      </c>
      <c r="X1466" s="27"/>
      <c r="Y1466" s="27">
        <f>Inventory[[#This Row],[MainFn]]+Inventory[[#This Row],[UpprFn]]+Inventory[[#This Row],[FnBsmt]]+Inventory[[#This Row],[AddFn]]</f>
        <v>1753</v>
      </c>
      <c r="Z1466" s="27">
        <v>2000</v>
      </c>
      <c r="AA1466" s="25">
        <v>5</v>
      </c>
      <c r="AB1466" s="32">
        <v>198</v>
      </c>
      <c r="AC1466" s="27"/>
      <c r="AD1466" s="27"/>
      <c r="AE1466" s="27"/>
      <c r="AF1466" s="27"/>
      <c r="AG1466" s="27"/>
      <c r="AH1466" s="27"/>
      <c r="AI1466" s="25">
        <v>234434</v>
      </c>
      <c r="AJ1466" s="25">
        <v>157071</v>
      </c>
      <c r="AK1466" s="25">
        <v>0</v>
      </c>
      <c r="AL1466" s="25">
        <v>286000</v>
      </c>
      <c r="AM1466" s="25">
        <v>54700</v>
      </c>
      <c r="AN1466" s="25">
        <v>231300</v>
      </c>
      <c r="AO1466" s="25">
        <v>0</v>
      </c>
      <c r="AP1466" s="25">
        <f>Lookups!$B$56*0</f>
        <v>0</v>
      </c>
      <c r="AQ1466" s="25">
        <f>Lookups!$B$56*1</f>
        <v>89850.625589999996</v>
      </c>
      <c r="AR1466" s="25">
        <f>Lookups!$B$57*Inventory[[#This Row],[LnAcres]]</f>
        <v>-54281.285314520763</v>
      </c>
      <c r="AS1466" s="25">
        <f>VLOOKUP(Inventory[[#This Row],[Qlty]],Lookups!$A$62:$E$75,2,FALSE)</f>
        <v>21557.329055999999</v>
      </c>
      <c r="AT1466" s="25">
        <f>VLOOKUP(Inventory[[#This Row],[Cnd]],Lookups!$A$76:$E$84,2,FALSE)</f>
        <v>160472.20319</v>
      </c>
      <c r="AU1466" s="25">
        <f>Inventory[[#This Row],[EffAge]]*Lookups!$B$85</f>
        <v>-11821.416826500001</v>
      </c>
      <c r="AV1466" s="25">
        <f>Inventory[[#This Row],[MainFn]]*Lookups!$B$86</f>
        <v>45604.202296470998</v>
      </c>
      <c r="AW1466" s="25">
        <f>Inventory[[#This Row],[UpprFn]]*Lookups!$B$87</f>
        <v>0</v>
      </c>
      <c r="AX1466" s="25">
        <f>Inventory[[#This Row],[AddFn]]*Lookups!$B$88</f>
        <v>0</v>
      </c>
      <c r="AY1466" s="25">
        <f>Inventory[[#This Row],[Bsmt]]*Lookups!$B$89</f>
        <v>26842.589312980999</v>
      </c>
      <c r="AZ1466" s="25">
        <f>Inventory[[#This Row],[Fixtures]]*Lookups!$B$90</f>
        <v>18960.110526</v>
      </c>
      <c r="BA1466" s="25">
        <f>Inventory[[#This Row],[WdDeck]]*Lookups!$B$91</f>
        <v>0</v>
      </c>
      <c r="BB1466" s="25">
        <f>ROUND(Inventory[[#This Row],[25Det]],-2)</f>
        <v>0</v>
      </c>
      <c r="BC1466" s="25">
        <f>ROUND(SUM(Inventory[[#This Row],[Mdl Qlty]:[Mdl WdDeck]])+Inventory[[#This Row],[Mdl Res Intercept]],-2)</f>
        <v>261600</v>
      </c>
      <c r="BD1466" s="25">
        <f>ROUND(Inventory[[#This Row],[Mdl Land Intercept]]+Inventory[[#This Row],[Mdl LnAcres]],-2)</f>
        <v>35600</v>
      </c>
      <c r="BE1466" s="25">
        <f>Inventory[[#This Row],[Unadj Res Value]]+Inventory[[#This Row],[Unadj Det Value]]+Inventory[[#This Row],[Unadj Land Value]]</f>
        <v>297200</v>
      </c>
      <c r="BF1466" s="36">
        <f>(Inventory[[#This Row],[Unadj Total Value]]-Inventory[[#This Row],[24Final]])/Inventory[[#This Row],[24Final]]</f>
        <v>3.9160839160839164E-2</v>
      </c>
      <c r="BG1466" s="25">
        <f>VLOOKUP(Inventory[[#This Row],[Nbhd]],Lookups!$Q$2:$T$4,4,FALSE)</f>
        <v>0.99970000000000003</v>
      </c>
      <c r="BH1466" s="25">
        <f>VLOOKUP(Inventory[[#This Row],[Qlty]],Lookups!$O$7:$R$21,4,FALSE)</f>
        <v>1.0067999999999999</v>
      </c>
      <c r="BI1466" s="25">
        <f>VLOOKUP(Inventory[[#This Row],[Cnd]],Lookups!$T$7:$W$16,4,FALSE)</f>
        <v>0.99729999999999996</v>
      </c>
      <c r="BJ1466" s="25">
        <f>VLOOKUP(Inventory[[#This Row],[LivArea Range]],Lookups!$T$25:$W$37,4,FALSE)</f>
        <v>1.0093000000000001</v>
      </c>
      <c r="BK1466" s="25">
        <f>VLOOKUP(Inventory[[#This Row],[Decade]],Lookups!$O$25:$R$42,4,FALSE)</f>
        <v>0.98909999999999998</v>
      </c>
      <c r="BL1466" s="25">
        <f>Inventory[[#This Row],[Nbhd Adj]]*0.95</f>
        <v>0.94971499999999998</v>
      </c>
      <c r="BM1466" s="25">
        <f>Inventory[[#This Row],[Nbhd Adj]]*Inventory[[#This Row],[Quality Adj]]*Inventory[[#This Row],[Condition Adj]]*Inventory[[#This Row],[Living Area Adj]]*Inventory[[#This Row],[Decade Adj]]*0.95</f>
        <v>0.95196898294134369</v>
      </c>
      <c r="BN1466" s="25">
        <f>ROUND(SUM(Inventory[[#This Row],[Mdl Qlty]:[Mdl WdDeck]])+Inventory[[#This Row],[Mdl Res Intercept]]*Inventory[[#This Row],[Res Adj ]],-2)</f>
        <v>261600</v>
      </c>
      <c r="BO1466" s="25">
        <f>ROUND(Inventory[[#This Row],[25Det]]*Inventory[[#This Row],[Det/Nbhd Adj]],-2)</f>
        <v>0</v>
      </c>
      <c r="BP1466" s="25">
        <f>Inventory[[#This Row],[Adjusted Res]]+Inventory[[#This Row],[Adj Det ]]</f>
        <v>261600</v>
      </c>
      <c r="BQ1466" s="25">
        <f>ROUND((Inventory[[#This Row],[Mdl Land Intercept]]+Inventory[[#This Row],[Mdl LnAcres]])*Inventory[[#This Row],[Det/Nbhd Adj]],-2)</f>
        <v>33800</v>
      </c>
      <c r="BR1466" s="25">
        <f>Inventory[[#This Row],[Adjusted Impr Total]]+Inventory[[#This Row],[Adjusted Land Total]]</f>
        <v>295400</v>
      </c>
      <c r="BS1466" s="36">
        <f>IFERROR((Inventory[[#This Row],[Adjusted Impr Total]]-Inventory[[#This Row],[24Bldg]])/Inventory[[#This Row],[24Bldg]],0)</f>
        <v>0.13099870298313879</v>
      </c>
      <c r="BT1466" s="36">
        <f>(Inventory[[#This Row],[Adjusted Land Total]]-Inventory[[#This Row],[24Lnd]])/Inventory[[#This Row],[24Lnd]]</f>
        <v>-0.38208409506398539</v>
      </c>
      <c r="BU1466" s="36">
        <f>(Inventory[[#This Row],[Adjusted Total]]-Inventory[[#This Row],[24Final]])/Inventory[[#This Row],[24Final]]</f>
        <v>3.2867132867132866E-2</v>
      </c>
    </row>
    <row r="1467" spans="1:73" x14ac:dyDescent="0.3">
      <c r="A1467" s="25">
        <v>2025</v>
      </c>
      <c r="B1467" s="26" t="s">
        <v>1682</v>
      </c>
      <c r="C1467" s="26">
        <f>LN(Inventory[[#This Row],[Acres]])</f>
        <v>-1.0216512475319814</v>
      </c>
      <c r="D1467" s="25">
        <v>0.36</v>
      </c>
      <c r="E1467" s="31"/>
      <c r="F1467" s="26" t="s">
        <v>537</v>
      </c>
      <c r="G1467" s="26" t="s">
        <v>126</v>
      </c>
      <c r="H1467" s="26" t="s">
        <v>349</v>
      </c>
      <c r="I1467" s="26" t="s">
        <v>538</v>
      </c>
      <c r="J1467" s="26" t="s">
        <v>539</v>
      </c>
      <c r="K1467" s="26" t="s">
        <v>269</v>
      </c>
      <c r="L1467" s="26" t="s">
        <v>64</v>
      </c>
      <c r="M1467" s="26" t="s">
        <v>303</v>
      </c>
      <c r="N1467" s="26">
        <v>90</v>
      </c>
      <c r="O1467" s="26">
        <f>2024-Inventory[[#This Row],[YrBlt]]</f>
        <v>87</v>
      </c>
      <c r="P1467" s="26">
        <f>2024-Inventory[[#This Row],[EffYr]]</f>
        <v>53</v>
      </c>
      <c r="Q1467" s="25">
        <v>1937</v>
      </c>
      <c r="R1467" s="25">
        <v>1971</v>
      </c>
      <c r="S1467" s="25">
        <v>2554</v>
      </c>
      <c r="T1467" s="27"/>
      <c r="U1467" s="32">
        <v>1216</v>
      </c>
      <c r="V1467" s="32">
        <f>Inventory[[#This Row],[Bsmt]]-Inventory[[#This Row],[FnBsmt]]</f>
        <v>816</v>
      </c>
      <c r="W1467" s="32">
        <v>400</v>
      </c>
      <c r="X1467" s="27"/>
      <c r="Y1467" s="27">
        <f>Inventory[[#This Row],[MainFn]]+Inventory[[#This Row],[UpprFn]]+Inventory[[#This Row],[FnBsmt]]+Inventory[[#This Row],[AddFn]]</f>
        <v>2954</v>
      </c>
      <c r="Z1467" s="27">
        <v>3000</v>
      </c>
      <c r="AA1467" s="25">
        <v>13</v>
      </c>
      <c r="AB1467" s="25">
        <v>462</v>
      </c>
      <c r="AC1467" s="27"/>
      <c r="AD1467" s="27"/>
      <c r="AE1467" s="27"/>
      <c r="AF1467" s="27"/>
      <c r="AG1467" s="27"/>
      <c r="AH1467" s="27"/>
      <c r="AI1467" s="25">
        <v>795952</v>
      </c>
      <c r="AJ1467" s="25">
        <v>557166</v>
      </c>
      <c r="AK1467" s="25">
        <v>0</v>
      </c>
      <c r="AL1467" s="25">
        <v>621000</v>
      </c>
      <c r="AM1467" s="25">
        <v>78900</v>
      </c>
      <c r="AN1467" s="25">
        <v>542100</v>
      </c>
      <c r="AO1467" s="25">
        <v>0</v>
      </c>
      <c r="AP1467" s="25">
        <f>Lookups!$B$56*0</f>
        <v>0</v>
      </c>
      <c r="AQ1467" s="25">
        <f>Lookups!$B$56*1</f>
        <v>89850.625589999996</v>
      </c>
      <c r="AR1467" s="25">
        <f>Lookups!$B$57*Inventory[[#This Row],[LnAcres]]</f>
        <v>-32339.977661938148</v>
      </c>
      <c r="AS1467" s="25">
        <f>VLOOKUP(Inventory[[#This Row],[Qlty]],Lookups!$A$62:$E$75,2,FALSE)</f>
        <v>163885.03753</v>
      </c>
      <c r="AT1467" s="25">
        <f>VLOOKUP(Inventory[[#This Row],[Cnd]],Lookups!$A$76:$E$84,2,FALSE)</f>
        <v>197752.34721000001</v>
      </c>
      <c r="AU1467" s="25">
        <f>Inventory[[#This Row],[EffAge]]*Lookups!$B$85</f>
        <v>-11821.416826500001</v>
      </c>
      <c r="AV1467" s="25">
        <f>Inventory[[#This Row],[MainFn]]*Lookups!$B$86</f>
        <v>126189.742865858</v>
      </c>
      <c r="AW1467" s="25">
        <f>Inventory[[#This Row],[UpprFn]]*Lookups!$B$87</f>
        <v>0</v>
      </c>
      <c r="AX1467" s="25">
        <f>Inventory[[#This Row],[AddFn]]*Lookups!$B$88</f>
        <v>0</v>
      </c>
      <c r="AY1467" s="25">
        <f>Inventory[[#This Row],[Bsmt]]*Lookups!$B$89</f>
        <v>35363.584620351998</v>
      </c>
      <c r="AZ1467" s="25">
        <f>Inventory[[#This Row],[Fixtures]]*Lookups!$B$90</f>
        <v>49296.287367600002</v>
      </c>
      <c r="BA1467" s="25">
        <f>Inventory[[#This Row],[WdDeck]]*Lookups!$B$91</f>
        <v>0</v>
      </c>
      <c r="BB1467" s="25">
        <f>ROUND(Inventory[[#This Row],[25Det]],-2)</f>
        <v>0</v>
      </c>
      <c r="BC1467" s="25">
        <f>ROUND(SUM(Inventory[[#This Row],[Mdl Qlty]:[Mdl WdDeck]])+Inventory[[#This Row],[Mdl Res Intercept]],-2)</f>
        <v>560700</v>
      </c>
      <c r="BD1467" s="25">
        <f>ROUND(Inventory[[#This Row],[Mdl Land Intercept]]+Inventory[[#This Row],[Mdl LnAcres]],-2)</f>
        <v>57500</v>
      </c>
      <c r="BE1467" s="25">
        <f>Inventory[[#This Row],[Unadj Res Value]]+Inventory[[#This Row],[Unadj Det Value]]+Inventory[[#This Row],[Unadj Land Value]]</f>
        <v>618200</v>
      </c>
      <c r="BF1467" s="36">
        <f>(Inventory[[#This Row],[Unadj Total Value]]-Inventory[[#This Row],[24Final]])/Inventory[[#This Row],[24Final]]</f>
        <v>-4.5088566827697265E-3</v>
      </c>
      <c r="BG1467" s="25">
        <f>VLOOKUP(Inventory[[#This Row],[Nbhd]],Lookups!$Q$2:$T$4,4,FALSE)</f>
        <v>0.99970000000000003</v>
      </c>
      <c r="BH1467" s="25">
        <f>VLOOKUP(Inventory[[#This Row],[Qlty]],Lookups!$O$7:$R$21,4,FALSE)</f>
        <v>1</v>
      </c>
      <c r="BI1467" s="25">
        <f>VLOOKUP(Inventory[[#This Row],[Cnd]],Lookups!$T$7:$W$16,4,FALSE)</f>
        <v>0.99650000000000005</v>
      </c>
      <c r="BJ1467" s="25">
        <f>VLOOKUP(Inventory[[#This Row],[LivArea Range]],Lookups!$T$25:$W$37,4,FALSE)</f>
        <v>0.96179999999999999</v>
      </c>
      <c r="BK1467" s="25">
        <f>VLOOKUP(Inventory[[#This Row],[Decade]],Lookups!$O$25:$R$42,4,FALSE)</f>
        <v>0.98909999999999998</v>
      </c>
      <c r="BL1467" s="25">
        <f>Inventory[[#This Row],[Nbhd Adj]]*0.95</f>
        <v>0.94971499999999998</v>
      </c>
      <c r="BM1467" s="25">
        <f>Inventory[[#This Row],[Nbhd Adj]]*Inventory[[#This Row],[Quality Adj]]*Inventory[[#This Row],[Condition Adj]]*Inventory[[#This Row],[Living Area Adj]]*Inventory[[#This Row],[Decade Adj]]*0.95</f>
        <v>0.90031725780628902</v>
      </c>
      <c r="BN1467" s="25">
        <f>ROUND(SUM(Inventory[[#This Row],[Mdl Qlty]:[Mdl WdDeck]])+Inventory[[#This Row],[Mdl Res Intercept]]*Inventory[[#This Row],[Res Adj ]],-2)</f>
        <v>560700</v>
      </c>
      <c r="BO1467" s="25">
        <f>ROUND(Inventory[[#This Row],[25Det]]*Inventory[[#This Row],[Det/Nbhd Adj]],-2)</f>
        <v>0</v>
      </c>
      <c r="BP1467" s="25">
        <f>Inventory[[#This Row],[Adjusted Res]]+Inventory[[#This Row],[Adj Det ]]</f>
        <v>560700</v>
      </c>
      <c r="BQ1467" s="25">
        <f>ROUND((Inventory[[#This Row],[Mdl Land Intercept]]+Inventory[[#This Row],[Mdl LnAcres]])*Inventory[[#This Row],[Det/Nbhd Adj]],-2)</f>
        <v>54600</v>
      </c>
      <c r="BR1467" s="25">
        <f>Inventory[[#This Row],[Adjusted Impr Total]]+Inventory[[#This Row],[Adjusted Land Total]]</f>
        <v>615300</v>
      </c>
      <c r="BS1467" s="36">
        <f>IFERROR((Inventory[[#This Row],[Adjusted Impr Total]]-Inventory[[#This Row],[24Bldg]])/Inventory[[#This Row],[24Bldg]],0)</f>
        <v>3.4311012728278918E-2</v>
      </c>
      <c r="BT1467" s="36">
        <f>(Inventory[[#This Row],[Adjusted Land Total]]-Inventory[[#This Row],[24Lnd]])/Inventory[[#This Row],[24Lnd]]</f>
        <v>-0.30798479087452474</v>
      </c>
      <c r="BU1467" s="36">
        <f>(Inventory[[#This Row],[Adjusted Total]]-Inventory[[#This Row],[24Final]])/Inventory[[#This Row],[24Final]]</f>
        <v>-9.1787439613526568E-3</v>
      </c>
    </row>
    <row r="1468" spans="1:73" x14ac:dyDescent="0.3">
      <c r="A1468" s="25">
        <v>2025</v>
      </c>
      <c r="B1468" s="26" t="s">
        <v>2351</v>
      </c>
      <c r="C1468" s="26">
        <f>LN(Inventory[[#This Row],[Acres]])</f>
        <v>-2.0402208285265546</v>
      </c>
      <c r="D1468" s="25">
        <v>0.13</v>
      </c>
      <c r="E1468" s="25">
        <v>5507</v>
      </c>
      <c r="F1468" s="26" t="s">
        <v>537</v>
      </c>
      <c r="G1468" s="26" t="s">
        <v>126</v>
      </c>
      <c r="H1468" s="26" t="s">
        <v>349</v>
      </c>
      <c r="I1468" s="26" t="s">
        <v>538</v>
      </c>
      <c r="J1468" s="26" t="s">
        <v>539</v>
      </c>
      <c r="K1468" s="26" t="s">
        <v>173</v>
      </c>
      <c r="L1468" s="26" t="s">
        <v>31</v>
      </c>
      <c r="M1468" s="26" t="s">
        <v>323</v>
      </c>
      <c r="N1468" s="26">
        <v>90</v>
      </c>
      <c r="O1468" s="26">
        <f>2024-Inventory[[#This Row],[YrBlt]]</f>
        <v>87</v>
      </c>
      <c r="P1468" s="26">
        <f>2024-Inventory[[#This Row],[EffYr]]</f>
        <v>53</v>
      </c>
      <c r="Q1468" s="25">
        <v>1937</v>
      </c>
      <c r="R1468" s="25">
        <v>1971</v>
      </c>
      <c r="S1468" s="25">
        <v>988</v>
      </c>
      <c r="T1468" s="32">
        <v>280</v>
      </c>
      <c r="U1468" s="31"/>
      <c r="V1468" s="27">
        <f>Inventory[[#This Row],[Bsmt]]-Inventory[[#This Row],[FnBsmt]]</f>
        <v>0</v>
      </c>
      <c r="W1468" s="27"/>
      <c r="X1468" s="27"/>
      <c r="Y1468" s="27">
        <f>Inventory[[#This Row],[MainFn]]+Inventory[[#This Row],[UpprFn]]+Inventory[[#This Row],[FnBsmt]]+Inventory[[#This Row],[AddFn]]</f>
        <v>1268</v>
      </c>
      <c r="Z1468" s="27">
        <v>1500</v>
      </c>
      <c r="AA1468" s="25">
        <v>5</v>
      </c>
      <c r="AB1468" s="27"/>
      <c r="AC1468" s="31"/>
      <c r="AD1468" s="27"/>
      <c r="AE1468" s="27"/>
      <c r="AF1468" s="27"/>
      <c r="AG1468" s="27"/>
      <c r="AH1468" s="27"/>
      <c r="AI1468" s="25">
        <v>159910</v>
      </c>
      <c r="AJ1468" s="25">
        <v>107140</v>
      </c>
      <c r="AK1468" s="25">
        <v>7641</v>
      </c>
      <c r="AL1468" s="25">
        <v>241500</v>
      </c>
      <c r="AM1468" s="25">
        <v>43400</v>
      </c>
      <c r="AN1468" s="25">
        <v>198100</v>
      </c>
      <c r="AO1468" s="25">
        <v>0</v>
      </c>
      <c r="AP1468" s="25">
        <f>Lookups!$B$56*0</f>
        <v>0</v>
      </c>
      <c r="AQ1468" s="25">
        <f>Lookups!$B$56*1</f>
        <v>89850.625589999996</v>
      </c>
      <c r="AR1468" s="25">
        <f>Lookups!$B$57*Inventory[[#This Row],[LnAcres]]</f>
        <v>-64582.406353792743</v>
      </c>
      <c r="AS1468" s="25">
        <f>VLOOKUP(Inventory[[#This Row],[Qlty]],Lookups!$A$62:$E$75,2,FALSE)</f>
        <v>-43578.886190266698</v>
      </c>
      <c r="AT1468" s="25">
        <f>VLOOKUP(Inventory[[#This Row],[Cnd]],Lookups!$A$76:$E$84,2,FALSE)</f>
        <v>160472.20319</v>
      </c>
      <c r="AU1468" s="25">
        <f>Inventory[[#This Row],[EffAge]]*Lookups!$B$85</f>
        <v>-11821.416826500001</v>
      </c>
      <c r="AV1468" s="25">
        <f>Inventory[[#This Row],[MainFn]]*Lookups!$B$86</f>
        <v>48815.765838476</v>
      </c>
      <c r="AW1468" s="25">
        <f>Inventory[[#This Row],[UpprFn]]*Lookups!$B$87</f>
        <v>12540.198401079999</v>
      </c>
      <c r="AX1468" s="25">
        <f>Inventory[[#This Row],[AddFn]]*Lookups!$B$88</f>
        <v>0</v>
      </c>
      <c r="AY1468" s="25">
        <f>Inventory[[#This Row],[Bsmt]]*Lookups!$B$89</f>
        <v>0</v>
      </c>
      <c r="AZ1468" s="25">
        <f>Inventory[[#This Row],[Fixtures]]*Lookups!$B$90</f>
        <v>18960.110526</v>
      </c>
      <c r="BA1468" s="25">
        <f>Inventory[[#This Row],[WdDeck]]*Lookups!$B$91</f>
        <v>0</v>
      </c>
      <c r="BB1468" s="25">
        <f>ROUND(Inventory[[#This Row],[25Det]],-2)</f>
        <v>7600</v>
      </c>
      <c r="BC1468" s="25">
        <f>ROUND(SUM(Inventory[[#This Row],[Mdl Qlty]:[Mdl WdDeck]])+Inventory[[#This Row],[Mdl Res Intercept]],-2)</f>
        <v>185400</v>
      </c>
      <c r="BD1468" s="25">
        <f>ROUND(Inventory[[#This Row],[Mdl Land Intercept]]+Inventory[[#This Row],[Mdl LnAcres]],-2)</f>
        <v>25300</v>
      </c>
      <c r="BE1468" s="25">
        <f>Inventory[[#This Row],[Unadj Res Value]]+Inventory[[#This Row],[Unadj Det Value]]+Inventory[[#This Row],[Unadj Land Value]]</f>
        <v>218300</v>
      </c>
      <c r="BF1468" s="36">
        <f>(Inventory[[#This Row],[Unadj Total Value]]-Inventory[[#This Row],[24Final]])/Inventory[[#This Row],[24Final]]</f>
        <v>-9.6066252587991716E-2</v>
      </c>
      <c r="BG1468" s="25">
        <f>VLOOKUP(Inventory[[#This Row],[Nbhd]],Lookups!$Q$2:$T$4,4,FALSE)</f>
        <v>0.99970000000000003</v>
      </c>
      <c r="BH1468" s="25">
        <f>VLOOKUP(Inventory[[#This Row],[Qlty]],Lookups!$O$7:$R$21,4,FALSE)</f>
        <v>1</v>
      </c>
      <c r="BI1468" s="25">
        <f>VLOOKUP(Inventory[[#This Row],[Cnd]],Lookups!$T$7:$W$16,4,FALSE)</f>
        <v>0.99729999999999996</v>
      </c>
      <c r="BJ1468" s="25">
        <f>VLOOKUP(Inventory[[#This Row],[LivArea Range]],Lookups!$T$25:$W$37,4,FALSE)</f>
        <v>1.0157</v>
      </c>
      <c r="BK1468" s="25">
        <f>VLOOKUP(Inventory[[#This Row],[Decade]],Lookups!$O$25:$R$42,4,FALSE)</f>
        <v>0.98909999999999998</v>
      </c>
      <c r="BL1468" s="25">
        <f>Inventory[[#This Row],[Nbhd Adj]]*0.95</f>
        <v>0.94971499999999998</v>
      </c>
      <c r="BM1468" s="25">
        <f>Inventory[[#This Row],[Nbhd Adj]]*Inventory[[#This Row],[Quality Adj]]*Inventory[[#This Row],[Condition Adj]]*Inventory[[#This Row],[Living Area Adj]]*Inventory[[#This Row],[Decade Adj]]*0.95</f>
        <v>0.95153500728241536</v>
      </c>
      <c r="BN1468" s="25">
        <f>ROUND(SUM(Inventory[[#This Row],[Mdl Qlty]:[Mdl WdDeck]])+Inventory[[#This Row],[Mdl Res Intercept]]*Inventory[[#This Row],[Res Adj ]],-2)</f>
        <v>185400</v>
      </c>
      <c r="BO1468" s="25">
        <f>ROUND(Inventory[[#This Row],[25Det]]*Inventory[[#This Row],[Det/Nbhd Adj]],-2)</f>
        <v>7300</v>
      </c>
      <c r="BP1468" s="25">
        <f>Inventory[[#This Row],[Adjusted Res]]+Inventory[[#This Row],[Adj Det ]]</f>
        <v>192700</v>
      </c>
      <c r="BQ1468" s="25">
        <f>ROUND((Inventory[[#This Row],[Mdl Land Intercept]]+Inventory[[#This Row],[Mdl LnAcres]])*Inventory[[#This Row],[Det/Nbhd Adj]],-2)</f>
        <v>24000</v>
      </c>
      <c r="BR1468" s="25">
        <f>Inventory[[#This Row],[Adjusted Impr Total]]+Inventory[[#This Row],[Adjusted Land Total]]</f>
        <v>216700</v>
      </c>
      <c r="BS1468" s="36">
        <f>IFERROR((Inventory[[#This Row],[Adjusted Impr Total]]-Inventory[[#This Row],[24Bldg]])/Inventory[[#This Row],[24Bldg]],0)</f>
        <v>-2.7258960121150935E-2</v>
      </c>
      <c r="BT1468" s="36">
        <f>(Inventory[[#This Row],[Adjusted Land Total]]-Inventory[[#This Row],[24Lnd]])/Inventory[[#This Row],[24Lnd]]</f>
        <v>-0.44700460829493088</v>
      </c>
      <c r="BU1468" s="36">
        <f>(Inventory[[#This Row],[Adjusted Total]]-Inventory[[#This Row],[24Final]])/Inventory[[#This Row],[24Final]]</f>
        <v>-0.10269151138716356</v>
      </c>
    </row>
    <row r="1469" spans="1:73" x14ac:dyDescent="0.3">
      <c r="A1469" s="25">
        <v>2025</v>
      </c>
      <c r="B1469" s="26" t="s">
        <v>1913</v>
      </c>
      <c r="C1469" s="26">
        <f>LN(Inventory[[#This Row],[Acres]])</f>
        <v>-1.5141277326297755</v>
      </c>
      <c r="D1469" s="25">
        <v>0.22</v>
      </c>
      <c r="E1469" s="31"/>
      <c r="F1469" s="26" t="s">
        <v>537</v>
      </c>
      <c r="G1469" s="26" t="s">
        <v>126</v>
      </c>
      <c r="H1469" s="26" t="s">
        <v>349</v>
      </c>
      <c r="I1469" s="26" t="s">
        <v>538</v>
      </c>
      <c r="J1469" s="26" t="s">
        <v>539</v>
      </c>
      <c r="K1469" s="26" t="s">
        <v>173</v>
      </c>
      <c r="L1469" s="26" t="s">
        <v>148</v>
      </c>
      <c r="M1469" s="26" t="s">
        <v>303</v>
      </c>
      <c r="N1469" s="26">
        <v>90</v>
      </c>
      <c r="O1469" s="26">
        <f>2024-Inventory[[#This Row],[YrBlt]]</f>
        <v>88</v>
      </c>
      <c r="P1469" s="26">
        <f>2024-Inventory[[#This Row],[EffYr]]</f>
        <v>53</v>
      </c>
      <c r="Q1469" s="25">
        <v>1936</v>
      </c>
      <c r="R1469" s="25">
        <v>1971</v>
      </c>
      <c r="S1469" s="25">
        <v>1423</v>
      </c>
      <c r="T1469" s="32">
        <v>713</v>
      </c>
      <c r="U1469" s="25">
        <v>1080</v>
      </c>
      <c r="V1469" s="25">
        <f>Inventory[[#This Row],[Bsmt]]-Inventory[[#This Row],[FnBsmt]]</f>
        <v>1080</v>
      </c>
      <c r="W1469" s="31"/>
      <c r="X1469" s="27"/>
      <c r="Y1469" s="27">
        <f>Inventory[[#This Row],[MainFn]]+Inventory[[#This Row],[UpprFn]]+Inventory[[#This Row],[FnBsmt]]+Inventory[[#This Row],[AddFn]]</f>
        <v>2136</v>
      </c>
      <c r="Z1469" s="27">
        <v>2500</v>
      </c>
      <c r="AA1469" s="25">
        <v>8</v>
      </c>
      <c r="AB1469" s="31"/>
      <c r="AC1469" s="27"/>
      <c r="AD1469" s="32">
        <v>864</v>
      </c>
      <c r="AE1469" s="27"/>
      <c r="AF1469" s="27"/>
      <c r="AG1469" s="27"/>
      <c r="AH1469" s="27"/>
      <c r="AI1469" s="25">
        <v>456935</v>
      </c>
      <c r="AJ1469" s="25">
        <v>315285</v>
      </c>
      <c r="AK1469" s="25">
        <v>13781</v>
      </c>
      <c r="AL1469" s="25">
        <v>403700</v>
      </c>
      <c r="AM1469" s="25">
        <v>61700</v>
      </c>
      <c r="AN1469" s="25">
        <v>342000</v>
      </c>
      <c r="AO1469" s="25">
        <v>0</v>
      </c>
      <c r="AP1469" s="25">
        <f>Lookups!$B$56*0</f>
        <v>0</v>
      </c>
      <c r="AQ1469" s="25">
        <f>Lookups!$B$56*1</f>
        <v>89850.625589999996</v>
      </c>
      <c r="AR1469" s="25">
        <f>Lookups!$B$57*Inventory[[#This Row],[LnAcres]]</f>
        <v>-47929.131559187132</v>
      </c>
      <c r="AS1469" s="25">
        <f>VLOOKUP(Inventory[[#This Row],[Qlty]],Lookups!$A$62:$E$75,2,FALSE)</f>
        <v>44121.038090000002</v>
      </c>
      <c r="AT1469" s="25">
        <f>VLOOKUP(Inventory[[#This Row],[Cnd]],Lookups!$A$76:$E$84,2,FALSE)</f>
        <v>197752.34721000001</v>
      </c>
      <c r="AU1469" s="25">
        <f>Inventory[[#This Row],[EffAge]]*Lookups!$B$85</f>
        <v>-11821.416826500001</v>
      </c>
      <c r="AV1469" s="25">
        <f>Inventory[[#This Row],[MainFn]]*Lookups!$B$86</f>
        <v>70308.537234971009</v>
      </c>
      <c r="AW1469" s="25">
        <f>Inventory[[#This Row],[UpprFn]]*Lookups!$B$87</f>
        <v>31932.719499892999</v>
      </c>
      <c r="AX1469" s="25">
        <f>Inventory[[#This Row],[AddFn]]*Lookups!$B$88</f>
        <v>0</v>
      </c>
      <c r="AY1469" s="25">
        <f>Inventory[[#This Row],[Bsmt]]*Lookups!$B$89</f>
        <v>31408.446866759998</v>
      </c>
      <c r="AZ1469" s="25">
        <f>Inventory[[#This Row],[Fixtures]]*Lookups!$B$90</f>
        <v>30336.176841600001</v>
      </c>
      <c r="BA1469" s="25">
        <f>Inventory[[#This Row],[WdDeck]]*Lookups!$B$91</f>
        <v>28767.325198464001</v>
      </c>
      <c r="BB1469" s="25">
        <f>ROUND(Inventory[[#This Row],[25Det]],-2)</f>
        <v>13800</v>
      </c>
      <c r="BC1469" s="25">
        <f>ROUND(SUM(Inventory[[#This Row],[Mdl Qlty]:[Mdl WdDeck]])+Inventory[[#This Row],[Mdl Res Intercept]],-2)</f>
        <v>422800</v>
      </c>
      <c r="BD1469" s="25">
        <f>ROUND(Inventory[[#This Row],[Mdl Land Intercept]]+Inventory[[#This Row],[Mdl LnAcres]],-2)</f>
        <v>41900</v>
      </c>
      <c r="BE1469" s="25">
        <f>Inventory[[#This Row],[Unadj Res Value]]+Inventory[[#This Row],[Unadj Det Value]]+Inventory[[#This Row],[Unadj Land Value]]</f>
        <v>478500</v>
      </c>
      <c r="BF1469" s="36">
        <f>(Inventory[[#This Row],[Unadj Total Value]]-Inventory[[#This Row],[24Final]])/Inventory[[#This Row],[24Final]]</f>
        <v>0.18528610354223432</v>
      </c>
      <c r="BG1469" s="25">
        <f>VLOOKUP(Inventory[[#This Row],[Nbhd]],Lookups!$Q$2:$T$4,4,FALSE)</f>
        <v>0.99970000000000003</v>
      </c>
      <c r="BH1469" s="25">
        <f>VLOOKUP(Inventory[[#This Row],[Qlty]],Lookups!$O$7:$R$21,4,FALSE)</f>
        <v>0.98050000000000004</v>
      </c>
      <c r="BI1469" s="25">
        <f>VLOOKUP(Inventory[[#This Row],[Cnd]],Lookups!$T$7:$W$16,4,FALSE)</f>
        <v>0.99650000000000005</v>
      </c>
      <c r="BJ1469" s="25">
        <f>VLOOKUP(Inventory[[#This Row],[LivArea Range]],Lookups!$T$25:$W$37,4,FALSE)</f>
        <v>0.98919999999999997</v>
      </c>
      <c r="BK1469" s="25">
        <f>VLOOKUP(Inventory[[#This Row],[Decade]],Lookups!$O$25:$R$42,4,FALSE)</f>
        <v>0.98909999999999998</v>
      </c>
      <c r="BL1469" s="25">
        <f>Inventory[[#This Row],[Nbhd Adj]]*0.95</f>
        <v>0.94971499999999998</v>
      </c>
      <c r="BM1469" s="25">
        <f>Inventory[[#This Row],[Nbhd Adj]]*Inventory[[#This Row],[Quality Adj]]*Inventory[[#This Row],[Condition Adj]]*Inventory[[#This Row],[Living Area Adj]]*Inventory[[#This Row],[Decade Adj]]*0.95</f>
        <v>0.90790939042342744</v>
      </c>
      <c r="BN1469" s="25">
        <f>ROUND(SUM(Inventory[[#This Row],[Mdl Qlty]:[Mdl WdDeck]])+Inventory[[#This Row],[Mdl Res Intercept]]*Inventory[[#This Row],[Res Adj ]],-2)</f>
        <v>422800</v>
      </c>
      <c r="BO1469" s="25">
        <f>ROUND(Inventory[[#This Row],[25Det]]*Inventory[[#This Row],[Det/Nbhd Adj]],-2)</f>
        <v>13100</v>
      </c>
      <c r="BP1469" s="25">
        <f>Inventory[[#This Row],[Adjusted Res]]+Inventory[[#This Row],[Adj Det ]]</f>
        <v>435900</v>
      </c>
      <c r="BQ1469" s="25">
        <f>ROUND((Inventory[[#This Row],[Mdl Land Intercept]]+Inventory[[#This Row],[Mdl LnAcres]])*Inventory[[#This Row],[Det/Nbhd Adj]],-2)</f>
        <v>39800</v>
      </c>
      <c r="BR1469" s="25">
        <f>Inventory[[#This Row],[Adjusted Impr Total]]+Inventory[[#This Row],[Adjusted Land Total]]</f>
        <v>475700</v>
      </c>
      <c r="BS1469" s="36">
        <f>IFERROR((Inventory[[#This Row],[Adjusted Impr Total]]-Inventory[[#This Row],[24Bldg]])/Inventory[[#This Row],[24Bldg]],0)</f>
        <v>0.27456140350877195</v>
      </c>
      <c r="BT1469" s="36">
        <f>(Inventory[[#This Row],[Adjusted Land Total]]-Inventory[[#This Row],[24Lnd]])/Inventory[[#This Row],[24Lnd]]</f>
        <v>-0.35494327390599678</v>
      </c>
      <c r="BU1469" s="36">
        <f>(Inventory[[#This Row],[Adjusted Total]]-Inventory[[#This Row],[24Final]])/Inventory[[#This Row],[24Final]]</f>
        <v>0.1783502600941293</v>
      </c>
    </row>
    <row r="1470" spans="1:73" x14ac:dyDescent="0.3">
      <c r="A1470" s="25">
        <v>2025</v>
      </c>
      <c r="B1470" s="26" t="s">
        <v>1259</v>
      </c>
      <c r="C1470" s="26">
        <f>LN(Inventory[[#This Row],[Acres]])</f>
        <v>-1.7147984280919266</v>
      </c>
      <c r="D1470" s="25">
        <v>0.18</v>
      </c>
      <c r="E1470" s="31"/>
      <c r="F1470" s="26" t="s">
        <v>537</v>
      </c>
      <c r="G1470" s="26" t="s">
        <v>126</v>
      </c>
      <c r="H1470" s="26" t="s">
        <v>349</v>
      </c>
      <c r="I1470" s="26" t="s">
        <v>538</v>
      </c>
      <c r="J1470" s="26" t="s">
        <v>539</v>
      </c>
      <c r="K1470" s="26" t="s">
        <v>269</v>
      </c>
      <c r="L1470" s="26" t="s">
        <v>148</v>
      </c>
      <c r="M1470" s="26" t="s">
        <v>303</v>
      </c>
      <c r="N1470" s="26">
        <v>90</v>
      </c>
      <c r="O1470" s="26">
        <f>2024-Inventory[[#This Row],[YrBlt]]</f>
        <v>88</v>
      </c>
      <c r="P1470" s="26">
        <f>2024-Inventory[[#This Row],[EffYr]]</f>
        <v>53</v>
      </c>
      <c r="Q1470" s="25">
        <v>1936</v>
      </c>
      <c r="R1470" s="25">
        <v>1971</v>
      </c>
      <c r="S1470" s="25">
        <v>1881</v>
      </c>
      <c r="T1470" s="27"/>
      <c r="U1470" s="32">
        <v>957</v>
      </c>
      <c r="V1470" s="32">
        <f>Inventory[[#This Row],[Bsmt]]-Inventory[[#This Row],[FnBsmt]]</f>
        <v>957</v>
      </c>
      <c r="W1470" s="27"/>
      <c r="X1470" s="27"/>
      <c r="Y1470" s="27">
        <f>Inventory[[#This Row],[MainFn]]+Inventory[[#This Row],[UpprFn]]+Inventory[[#This Row],[FnBsmt]]+Inventory[[#This Row],[AddFn]]</f>
        <v>1881</v>
      </c>
      <c r="Z1470" s="27">
        <v>2000</v>
      </c>
      <c r="AA1470" s="25">
        <v>9</v>
      </c>
      <c r="AB1470" s="31"/>
      <c r="AC1470" s="27"/>
      <c r="AD1470" s="27"/>
      <c r="AE1470" s="27"/>
      <c r="AF1470" s="27"/>
      <c r="AG1470" s="27"/>
      <c r="AH1470" s="27"/>
      <c r="AI1470" s="25">
        <v>469452</v>
      </c>
      <c r="AJ1470" s="25">
        <v>323922</v>
      </c>
      <c r="AK1470" s="25">
        <v>13177</v>
      </c>
      <c r="AL1470" s="25">
        <v>388800</v>
      </c>
      <c r="AM1470" s="25">
        <v>54700</v>
      </c>
      <c r="AN1470" s="25">
        <v>334100</v>
      </c>
      <c r="AO1470" s="25">
        <v>0</v>
      </c>
      <c r="AP1470" s="25">
        <f>Lookups!$B$56*0</f>
        <v>0</v>
      </c>
      <c r="AQ1470" s="25">
        <f>Lookups!$B$56*1</f>
        <v>89850.625589999996</v>
      </c>
      <c r="AR1470" s="25">
        <f>Lookups!$B$57*Inventory[[#This Row],[LnAcres]]</f>
        <v>-54281.285314520763</v>
      </c>
      <c r="AS1470" s="25">
        <f>VLOOKUP(Inventory[[#This Row],[Qlty]],Lookups!$A$62:$E$75,2,FALSE)</f>
        <v>44121.038090000002</v>
      </c>
      <c r="AT1470" s="25">
        <f>VLOOKUP(Inventory[[#This Row],[Cnd]],Lookups!$A$76:$E$84,2,FALSE)</f>
        <v>197752.34721000001</v>
      </c>
      <c r="AU1470" s="25">
        <f>Inventory[[#This Row],[EffAge]]*Lookups!$B$85</f>
        <v>-11821.416826500001</v>
      </c>
      <c r="AV1470" s="25">
        <f>Inventory[[#This Row],[MainFn]]*Lookups!$B$86</f>
        <v>92937.708038637007</v>
      </c>
      <c r="AW1470" s="25">
        <f>Inventory[[#This Row],[UpprFn]]*Lookups!$B$87</f>
        <v>0</v>
      </c>
      <c r="AX1470" s="25">
        <f>Inventory[[#This Row],[AddFn]]*Lookups!$B$88</f>
        <v>0</v>
      </c>
      <c r="AY1470" s="25">
        <f>Inventory[[#This Row],[Bsmt]]*Lookups!$B$89</f>
        <v>27831.373751379</v>
      </c>
      <c r="AZ1470" s="25">
        <f>Inventory[[#This Row],[Fixtures]]*Lookups!$B$90</f>
        <v>34128.198946800003</v>
      </c>
      <c r="BA1470" s="25">
        <f>Inventory[[#This Row],[WdDeck]]*Lookups!$B$91</f>
        <v>0</v>
      </c>
      <c r="BB1470" s="25">
        <f>ROUND(Inventory[[#This Row],[25Det]],-2)</f>
        <v>13200</v>
      </c>
      <c r="BC1470" s="25">
        <f>ROUND(SUM(Inventory[[#This Row],[Mdl Qlty]:[Mdl WdDeck]])+Inventory[[#This Row],[Mdl Res Intercept]],-2)</f>
        <v>384900</v>
      </c>
      <c r="BD1470" s="25">
        <f>ROUND(Inventory[[#This Row],[Mdl Land Intercept]]+Inventory[[#This Row],[Mdl LnAcres]],-2)</f>
        <v>35600</v>
      </c>
      <c r="BE1470" s="25">
        <f>Inventory[[#This Row],[Unadj Res Value]]+Inventory[[#This Row],[Unadj Det Value]]+Inventory[[#This Row],[Unadj Land Value]]</f>
        <v>433700</v>
      </c>
      <c r="BF1470" s="36">
        <f>(Inventory[[#This Row],[Unadj Total Value]]-Inventory[[#This Row],[24Final]])/Inventory[[#This Row],[24Final]]</f>
        <v>0.1154835390946502</v>
      </c>
      <c r="BG1470" s="25">
        <f>VLOOKUP(Inventory[[#This Row],[Nbhd]],Lookups!$Q$2:$T$4,4,FALSE)</f>
        <v>0.99970000000000003</v>
      </c>
      <c r="BH1470" s="25">
        <f>VLOOKUP(Inventory[[#This Row],[Qlty]],Lookups!$O$7:$R$21,4,FALSE)</f>
        <v>0.98050000000000004</v>
      </c>
      <c r="BI1470" s="25">
        <f>VLOOKUP(Inventory[[#This Row],[Cnd]],Lookups!$T$7:$W$16,4,FALSE)</f>
        <v>0.99650000000000005</v>
      </c>
      <c r="BJ1470" s="25">
        <f>VLOOKUP(Inventory[[#This Row],[LivArea Range]],Lookups!$T$25:$W$37,4,FALSE)</f>
        <v>1.0093000000000001</v>
      </c>
      <c r="BK1470" s="25">
        <f>VLOOKUP(Inventory[[#This Row],[Decade]],Lookups!$O$25:$R$42,4,FALSE)</f>
        <v>0.98909999999999998</v>
      </c>
      <c r="BL1470" s="25">
        <f>Inventory[[#This Row],[Nbhd Adj]]*0.95</f>
        <v>0.94971499999999998</v>
      </c>
      <c r="BM1470" s="25">
        <f>Inventory[[#This Row],[Nbhd Adj]]*Inventory[[#This Row],[Quality Adj]]*Inventory[[#This Row],[Condition Adj]]*Inventory[[#This Row],[Living Area Adj]]*Inventory[[#This Row],[Decade Adj]]*0.95</f>
        <v>0.92635760994173622</v>
      </c>
      <c r="BN1470" s="25">
        <f>ROUND(SUM(Inventory[[#This Row],[Mdl Qlty]:[Mdl WdDeck]])+Inventory[[#This Row],[Mdl Res Intercept]]*Inventory[[#This Row],[Res Adj ]],-2)</f>
        <v>384900</v>
      </c>
      <c r="BO1470" s="25">
        <f>ROUND(Inventory[[#This Row],[25Det]]*Inventory[[#This Row],[Det/Nbhd Adj]],-2)</f>
        <v>12500</v>
      </c>
      <c r="BP1470" s="25">
        <f>Inventory[[#This Row],[Adjusted Res]]+Inventory[[#This Row],[Adj Det ]]</f>
        <v>397400</v>
      </c>
      <c r="BQ1470" s="25">
        <f>ROUND((Inventory[[#This Row],[Mdl Land Intercept]]+Inventory[[#This Row],[Mdl LnAcres]])*Inventory[[#This Row],[Det/Nbhd Adj]],-2)</f>
        <v>33800</v>
      </c>
      <c r="BR1470" s="25">
        <f>Inventory[[#This Row],[Adjusted Impr Total]]+Inventory[[#This Row],[Adjusted Land Total]]</f>
        <v>431200</v>
      </c>
      <c r="BS1470" s="36">
        <f>IFERROR((Inventory[[#This Row],[Adjusted Impr Total]]-Inventory[[#This Row],[24Bldg]])/Inventory[[#This Row],[24Bldg]],0)</f>
        <v>0.18946423226578868</v>
      </c>
      <c r="BT1470" s="36">
        <f>(Inventory[[#This Row],[Adjusted Land Total]]-Inventory[[#This Row],[24Lnd]])/Inventory[[#This Row],[24Lnd]]</f>
        <v>-0.38208409506398539</v>
      </c>
      <c r="BU1470" s="36">
        <f>(Inventory[[#This Row],[Adjusted Total]]-Inventory[[#This Row],[24Final]])/Inventory[[#This Row],[24Final]]</f>
        <v>0.10905349794238683</v>
      </c>
    </row>
    <row r="1471" spans="1:73" x14ac:dyDescent="0.3">
      <c r="A1471" s="25">
        <v>2025</v>
      </c>
      <c r="B1471" s="26" t="s">
        <v>2339</v>
      </c>
      <c r="C1471" s="26">
        <f>LN(Inventory[[#This Row],[Acres]])</f>
        <v>-1.6094379124341003</v>
      </c>
      <c r="D1471" s="25">
        <v>0.2</v>
      </c>
      <c r="E1471" s="25">
        <v>8580</v>
      </c>
      <c r="F1471" s="26" t="s">
        <v>537</v>
      </c>
      <c r="G1471" s="26" t="s">
        <v>126</v>
      </c>
      <c r="H1471" s="26" t="s">
        <v>349</v>
      </c>
      <c r="I1471" s="26" t="s">
        <v>538</v>
      </c>
      <c r="J1471" s="26" t="s">
        <v>539</v>
      </c>
      <c r="K1471" s="26" t="s">
        <v>173</v>
      </c>
      <c r="L1471" s="26" t="s">
        <v>351</v>
      </c>
      <c r="M1471" s="26" t="s">
        <v>303</v>
      </c>
      <c r="N1471" s="26">
        <v>90</v>
      </c>
      <c r="O1471" s="26">
        <f>2024-Inventory[[#This Row],[YrBlt]]</f>
        <v>88</v>
      </c>
      <c r="P1471" s="26">
        <f>2024-Inventory[[#This Row],[EffYr]]</f>
        <v>53</v>
      </c>
      <c r="Q1471" s="25">
        <v>1936</v>
      </c>
      <c r="R1471" s="25">
        <v>1971</v>
      </c>
      <c r="S1471" s="25">
        <v>1007</v>
      </c>
      <c r="T1471" s="25">
        <v>493</v>
      </c>
      <c r="U1471" s="25">
        <v>1007</v>
      </c>
      <c r="V1471" s="32">
        <f>Inventory[[#This Row],[Bsmt]]-Inventory[[#This Row],[FnBsmt]]</f>
        <v>507</v>
      </c>
      <c r="W1471" s="32">
        <v>500</v>
      </c>
      <c r="X1471" s="27"/>
      <c r="Y1471" s="27">
        <f>Inventory[[#This Row],[MainFn]]+Inventory[[#This Row],[UpprFn]]+Inventory[[#This Row],[FnBsmt]]+Inventory[[#This Row],[AddFn]]</f>
        <v>2000</v>
      </c>
      <c r="Z1471" s="27">
        <v>2500</v>
      </c>
      <c r="AA1471" s="25">
        <v>9</v>
      </c>
      <c r="AB1471" s="27"/>
      <c r="AC1471" s="27"/>
      <c r="AD1471" s="32">
        <v>126</v>
      </c>
      <c r="AE1471" s="27"/>
      <c r="AF1471" s="27"/>
      <c r="AG1471" s="27"/>
      <c r="AH1471" s="27"/>
      <c r="AI1471" s="25">
        <v>295418</v>
      </c>
      <c r="AJ1471" s="25">
        <v>203838</v>
      </c>
      <c r="AK1471" s="25">
        <v>6724</v>
      </c>
      <c r="AL1471" s="25">
        <v>356100</v>
      </c>
      <c r="AM1471" s="25">
        <v>58400</v>
      </c>
      <c r="AN1471" s="25">
        <v>297700</v>
      </c>
      <c r="AO1471" s="25">
        <v>0</v>
      </c>
      <c r="AP1471" s="25">
        <f>Lookups!$B$56*0</f>
        <v>0</v>
      </c>
      <c r="AQ1471" s="25">
        <f>Lookups!$B$56*1</f>
        <v>89850.625589999996</v>
      </c>
      <c r="AR1471" s="25">
        <f>Lookups!$B$57*Inventory[[#This Row],[LnAcres]]</f>
        <v>-50946.13867709865</v>
      </c>
      <c r="AS1471" s="25">
        <f>VLOOKUP(Inventory[[#This Row],[Qlty]],Lookups!$A$62:$E$75,2,FALSE)</f>
        <v>21557.329055999999</v>
      </c>
      <c r="AT1471" s="25">
        <f>VLOOKUP(Inventory[[#This Row],[Cnd]],Lookups!$A$76:$E$84,2,FALSE)</f>
        <v>197752.34721000001</v>
      </c>
      <c r="AU1471" s="25">
        <f>Inventory[[#This Row],[EffAge]]*Lookups!$B$85</f>
        <v>-11821.416826500001</v>
      </c>
      <c r="AV1471" s="25">
        <f>Inventory[[#This Row],[MainFn]]*Lookups!$B$86</f>
        <v>49754.530566139001</v>
      </c>
      <c r="AW1471" s="25">
        <f>Inventory[[#This Row],[UpprFn]]*Lookups!$B$87</f>
        <v>22079.706470473</v>
      </c>
      <c r="AX1471" s="25">
        <f>Inventory[[#This Row],[AddFn]]*Lookups!$B$88</f>
        <v>0</v>
      </c>
      <c r="AY1471" s="25">
        <f>Inventory[[#This Row],[Bsmt]]*Lookups!$B$89</f>
        <v>29285.468513729</v>
      </c>
      <c r="AZ1471" s="25">
        <f>Inventory[[#This Row],[Fixtures]]*Lookups!$B$90</f>
        <v>34128.198946800003</v>
      </c>
      <c r="BA1471" s="25">
        <f>Inventory[[#This Row],[WdDeck]]*Lookups!$B$91</f>
        <v>4195.2349247760003</v>
      </c>
      <c r="BB1471" s="25">
        <f>ROUND(Inventory[[#This Row],[25Det]],-2)</f>
        <v>6700</v>
      </c>
      <c r="BC1471" s="25">
        <f>ROUND(SUM(Inventory[[#This Row],[Mdl Qlty]:[Mdl WdDeck]])+Inventory[[#This Row],[Mdl Res Intercept]],-2)</f>
        <v>346900</v>
      </c>
      <c r="BD1471" s="25">
        <f>ROUND(Inventory[[#This Row],[Mdl Land Intercept]]+Inventory[[#This Row],[Mdl LnAcres]],-2)</f>
        <v>38900</v>
      </c>
      <c r="BE1471" s="25">
        <f>Inventory[[#This Row],[Unadj Res Value]]+Inventory[[#This Row],[Unadj Det Value]]+Inventory[[#This Row],[Unadj Land Value]]</f>
        <v>392500</v>
      </c>
      <c r="BF1471" s="36">
        <f>(Inventory[[#This Row],[Unadj Total Value]]-Inventory[[#This Row],[24Final]])/Inventory[[#This Row],[24Final]]</f>
        <v>0.10221847795563044</v>
      </c>
      <c r="BG1471" s="25">
        <f>VLOOKUP(Inventory[[#This Row],[Nbhd]],Lookups!$Q$2:$T$4,4,FALSE)</f>
        <v>0.99970000000000003</v>
      </c>
      <c r="BH1471" s="25">
        <f>VLOOKUP(Inventory[[#This Row],[Qlty]],Lookups!$O$7:$R$21,4,FALSE)</f>
        <v>1.0067999999999999</v>
      </c>
      <c r="BI1471" s="25">
        <f>VLOOKUP(Inventory[[#This Row],[Cnd]],Lookups!$T$7:$W$16,4,FALSE)</f>
        <v>0.99650000000000005</v>
      </c>
      <c r="BJ1471" s="25">
        <f>VLOOKUP(Inventory[[#This Row],[LivArea Range]],Lookups!$T$25:$W$37,4,FALSE)</f>
        <v>0.98919999999999997</v>
      </c>
      <c r="BK1471" s="25">
        <f>VLOOKUP(Inventory[[#This Row],[Decade]],Lookups!$O$25:$R$42,4,FALSE)</f>
        <v>0.98909999999999998</v>
      </c>
      <c r="BL1471" s="25">
        <f>Inventory[[#This Row],[Nbhd Adj]]*0.95</f>
        <v>0.94971499999999998</v>
      </c>
      <c r="BM1471" s="25">
        <f>Inventory[[#This Row],[Nbhd Adj]]*Inventory[[#This Row],[Quality Adj]]*Inventory[[#This Row],[Condition Adj]]*Inventory[[#This Row],[Living Area Adj]]*Inventory[[#This Row],[Decade Adj]]*0.95</f>
        <v>0.9322622889120924</v>
      </c>
      <c r="BN1471" s="25">
        <f>ROUND(SUM(Inventory[[#This Row],[Mdl Qlty]:[Mdl WdDeck]])+Inventory[[#This Row],[Mdl Res Intercept]]*Inventory[[#This Row],[Res Adj ]],-2)</f>
        <v>346900</v>
      </c>
      <c r="BO1471" s="25">
        <f>ROUND(Inventory[[#This Row],[25Det]]*Inventory[[#This Row],[Det/Nbhd Adj]],-2)</f>
        <v>6400</v>
      </c>
      <c r="BP1471" s="25">
        <f>Inventory[[#This Row],[Adjusted Res]]+Inventory[[#This Row],[Adj Det ]]</f>
        <v>353300</v>
      </c>
      <c r="BQ1471" s="25">
        <f>ROUND((Inventory[[#This Row],[Mdl Land Intercept]]+Inventory[[#This Row],[Mdl LnAcres]])*Inventory[[#This Row],[Det/Nbhd Adj]],-2)</f>
        <v>36900</v>
      </c>
      <c r="BR1471" s="25">
        <f>Inventory[[#This Row],[Adjusted Impr Total]]+Inventory[[#This Row],[Adjusted Land Total]]</f>
        <v>390200</v>
      </c>
      <c r="BS1471" s="36">
        <f>IFERROR((Inventory[[#This Row],[Adjusted Impr Total]]-Inventory[[#This Row],[24Bldg]])/Inventory[[#This Row],[24Bldg]],0)</f>
        <v>0.18676519986563656</v>
      </c>
      <c r="BT1471" s="36">
        <f>(Inventory[[#This Row],[Adjusted Land Total]]-Inventory[[#This Row],[24Lnd]])/Inventory[[#This Row],[24Lnd]]</f>
        <v>-0.36815068493150682</v>
      </c>
      <c r="BU1471" s="36">
        <f>(Inventory[[#This Row],[Adjusted Total]]-Inventory[[#This Row],[24Final]])/Inventory[[#This Row],[24Final]]</f>
        <v>9.5759618084807638E-2</v>
      </c>
    </row>
    <row r="1472" spans="1:73" x14ac:dyDescent="0.3">
      <c r="A1472" s="25">
        <v>2025</v>
      </c>
      <c r="B1472" s="26" t="s">
        <v>836</v>
      </c>
      <c r="C1472" s="26">
        <f>LN(Inventory[[#This Row],[Acres]])</f>
        <v>-1.6094379124341003</v>
      </c>
      <c r="D1472" s="25">
        <v>0.2</v>
      </c>
      <c r="E1472" s="25">
        <v>8618</v>
      </c>
      <c r="F1472" s="26" t="s">
        <v>537</v>
      </c>
      <c r="G1472" s="26" t="s">
        <v>126</v>
      </c>
      <c r="H1472" s="26" t="s">
        <v>349</v>
      </c>
      <c r="I1472" s="26" t="s">
        <v>538</v>
      </c>
      <c r="J1472" s="26" t="s">
        <v>539</v>
      </c>
      <c r="K1472" s="26" t="s">
        <v>173</v>
      </c>
      <c r="L1472" s="26" t="s">
        <v>148</v>
      </c>
      <c r="M1472" s="26" t="s">
        <v>303</v>
      </c>
      <c r="N1472" s="26">
        <v>90</v>
      </c>
      <c r="O1472" s="26">
        <f>2024-Inventory[[#This Row],[YrBlt]]</f>
        <v>88</v>
      </c>
      <c r="P1472" s="26">
        <f>2024-Inventory[[#This Row],[EffYr]]</f>
        <v>52</v>
      </c>
      <c r="Q1472" s="25">
        <v>1936</v>
      </c>
      <c r="R1472" s="25">
        <v>1972</v>
      </c>
      <c r="S1472" s="25">
        <v>1469</v>
      </c>
      <c r="T1472" s="27"/>
      <c r="U1472" s="32">
        <v>1348</v>
      </c>
      <c r="V1472" s="32">
        <f>Inventory[[#This Row],[Bsmt]]-Inventory[[#This Row],[FnBsmt]]</f>
        <v>648</v>
      </c>
      <c r="W1472" s="32">
        <v>700</v>
      </c>
      <c r="X1472" s="27"/>
      <c r="Y1472" s="27">
        <f>Inventory[[#This Row],[MainFn]]+Inventory[[#This Row],[UpprFn]]+Inventory[[#This Row],[FnBsmt]]+Inventory[[#This Row],[AddFn]]</f>
        <v>2169</v>
      </c>
      <c r="Z1472" s="27">
        <v>2500</v>
      </c>
      <c r="AA1472" s="25">
        <v>9</v>
      </c>
      <c r="AB1472" s="31"/>
      <c r="AC1472" s="27"/>
      <c r="AD1472" s="27"/>
      <c r="AE1472" s="27"/>
      <c r="AF1472" s="27"/>
      <c r="AG1472" s="27"/>
      <c r="AH1472" s="27"/>
      <c r="AI1472" s="25">
        <v>451247</v>
      </c>
      <c r="AJ1472" s="25">
        <v>315873</v>
      </c>
      <c r="AK1472" s="25">
        <v>46061</v>
      </c>
      <c r="AL1472" s="25">
        <v>420900</v>
      </c>
      <c r="AM1472" s="25">
        <v>58400</v>
      </c>
      <c r="AN1472" s="25">
        <v>362500</v>
      </c>
      <c r="AO1472" s="25">
        <v>0</v>
      </c>
      <c r="AP1472" s="25">
        <f>Lookups!$B$56*0</f>
        <v>0</v>
      </c>
      <c r="AQ1472" s="25">
        <f>Lookups!$B$56*1</f>
        <v>89850.625589999996</v>
      </c>
      <c r="AR1472" s="25">
        <f>Lookups!$B$57*Inventory[[#This Row],[LnAcres]]</f>
        <v>-50946.13867709865</v>
      </c>
      <c r="AS1472" s="25">
        <f>VLOOKUP(Inventory[[#This Row],[Qlty]],Lookups!$A$62:$E$75,2,FALSE)</f>
        <v>44121.038090000002</v>
      </c>
      <c r="AT1472" s="25">
        <f>VLOOKUP(Inventory[[#This Row],[Cnd]],Lookups!$A$76:$E$84,2,FALSE)</f>
        <v>197752.34721000001</v>
      </c>
      <c r="AU1472" s="25">
        <f>Inventory[[#This Row],[EffAge]]*Lookups!$B$85</f>
        <v>-11598.371226000001</v>
      </c>
      <c r="AV1472" s="25">
        <f>Inventory[[#This Row],[MainFn]]*Lookups!$B$86</f>
        <v>72581.336049313002</v>
      </c>
      <c r="AW1472" s="25">
        <f>Inventory[[#This Row],[UpprFn]]*Lookups!$B$87</f>
        <v>0</v>
      </c>
      <c r="AX1472" s="25">
        <f>Inventory[[#This Row],[AddFn]]*Lookups!$B$88</f>
        <v>0</v>
      </c>
      <c r="AY1472" s="25">
        <f>Inventory[[#This Row],[Bsmt]]*Lookups!$B$89</f>
        <v>39202.394792955994</v>
      </c>
      <c r="AZ1472" s="25">
        <f>Inventory[[#This Row],[Fixtures]]*Lookups!$B$90</f>
        <v>34128.198946800003</v>
      </c>
      <c r="BA1472" s="25">
        <f>Inventory[[#This Row],[WdDeck]]*Lookups!$B$91</f>
        <v>0</v>
      </c>
      <c r="BB1472" s="25">
        <f>ROUND(Inventory[[#This Row],[25Det]],-2)</f>
        <v>46100</v>
      </c>
      <c r="BC1472" s="25">
        <f>ROUND(SUM(Inventory[[#This Row],[Mdl Qlty]:[Mdl WdDeck]])+Inventory[[#This Row],[Mdl Res Intercept]],-2)</f>
        <v>376200</v>
      </c>
      <c r="BD1472" s="25">
        <f>ROUND(Inventory[[#This Row],[Mdl Land Intercept]]+Inventory[[#This Row],[Mdl LnAcres]],-2)</f>
        <v>38900</v>
      </c>
      <c r="BE1472" s="25">
        <f>Inventory[[#This Row],[Unadj Res Value]]+Inventory[[#This Row],[Unadj Det Value]]+Inventory[[#This Row],[Unadj Land Value]]</f>
        <v>461200</v>
      </c>
      <c r="BF1472" s="36">
        <f>(Inventory[[#This Row],[Unadj Total Value]]-Inventory[[#This Row],[24Final]])/Inventory[[#This Row],[24Final]]</f>
        <v>9.5747208363031605E-2</v>
      </c>
      <c r="BG1472" s="25">
        <f>VLOOKUP(Inventory[[#This Row],[Nbhd]],Lookups!$Q$2:$T$4,4,FALSE)</f>
        <v>0.99970000000000003</v>
      </c>
      <c r="BH1472" s="25">
        <f>VLOOKUP(Inventory[[#This Row],[Qlty]],Lookups!$O$7:$R$21,4,FALSE)</f>
        <v>0.98050000000000004</v>
      </c>
      <c r="BI1472" s="25">
        <f>VLOOKUP(Inventory[[#This Row],[Cnd]],Lookups!$T$7:$W$16,4,FALSE)</f>
        <v>0.99650000000000005</v>
      </c>
      <c r="BJ1472" s="25">
        <f>VLOOKUP(Inventory[[#This Row],[LivArea Range]],Lookups!$T$25:$W$37,4,FALSE)</f>
        <v>0.98919999999999997</v>
      </c>
      <c r="BK1472" s="25">
        <f>VLOOKUP(Inventory[[#This Row],[Decade]],Lookups!$O$25:$R$42,4,FALSE)</f>
        <v>0.98909999999999998</v>
      </c>
      <c r="BL1472" s="25">
        <f>Inventory[[#This Row],[Nbhd Adj]]*0.95</f>
        <v>0.94971499999999998</v>
      </c>
      <c r="BM1472" s="25">
        <f>Inventory[[#This Row],[Nbhd Adj]]*Inventory[[#This Row],[Quality Adj]]*Inventory[[#This Row],[Condition Adj]]*Inventory[[#This Row],[Living Area Adj]]*Inventory[[#This Row],[Decade Adj]]*0.95</f>
        <v>0.90790939042342744</v>
      </c>
      <c r="BN1472" s="25">
        <f>ROUND(SUM(Inventory[[#This Row],[Mdl Qlty]:[Mdl WdDeck]])+Inventory[[#This Row],[Mdl Res Intercept]]*Inventory[[#This Row],[Res Adj ]],-2)</f>
        <v>376200</v>
      </c>
      <c r="BO1472" s="25">
        <f>ROUND(Inventory[[#This Row],[25Det]]*Inventory[[#This Row],[Det/Nbhd Adj]],-2)</f>
        <v>43700</v>
      </c>
      <c r="BP1472" s="25">
        <f>Inventory[[#This Row],[Adjusted Res]]+Inventory[[#This Row],[Adj Det ]]</f>
        <v>419900</v>
      </c>
      <c r="BQ1472" s="25">
        <f>ROUND((Inventory[[#This Row],[Mdl Land Intercept]]+Inventory[[#This Row],[Mdl LnAcres]])*Inventory[[#This Row],[Det/Nbhd Adj]],-2)</f>
        <v>36900</v>
      </c>
      <c r="BR1472" s="25">
        <f>Inventory[[#This Row],[Adjusted Impr Total]]+Inventory[[#This Row],[Adjusted Land Total]]</f>
        <v>456800</v>
      </c>
      <c r="BS1472" s="36">
        <f>IFERROR((Inventory[[#This Row],[Adjusted Impr Total]]-Inventory[[#This Row],[24Bldg]])/Inventory[[#This Row],[24Bldg]],0)</f>
        <v>0.15834482758620691</v>
      </c>
      <c r="BT1472" s="36">
        <f>(Inventory[[#This Row],[Adjusted Land Total]]-Inventory[[#This Row],[24Lnd]])/Inventory[[#This Row],[24Lnd]]</f>
        <v>-0.36815068493150682</v>
      </c>
      <c r="BU1472" s="36">
        <f>(Inventory[[#This Row],[Adjusted Total]]-Inventory[[#This Row],[24Final]])/Inventory[[#This Row],[24Final]]</f>
        <v>8.5293418864338319E-2</v>
      </c>
    </row>
    <row r="1473" spans="1:73" x14ac:dyDescent="0.3">
      <c r="A1473" s="25">
        <v>2025</v>
      </c>
      <c r="B1473" s="26" t="s">
        <v>1308</v>
      </c>
      <c r="C1473" s="26">
        <f>LN(Inventory[[#This Row],[Acres]])</f>
        <v>-1.8971199848858813</v>
      </c>
      <c r="D1473" s="25">
        <v>0.15</v>
      </c>
      <c r="E1473" s="31"/>
      <c r="F1473" s="26" t="s">
        <v>537</v>
      </c>
      <c r="G1473" s="26" t="s">
        <v>126</v>
      </c>
      <c r="H1473" s="26" t="s">
        <v>349</v>
      </c>
      <c r="I1473" s="26" t="s">
        <v>538</v>
      </c>
      <c r="J1473" s="26" t="s">
        <v>539</v>
      </c>
      <c r="K1473" s="26" t="s">
        <v>269</v>
      </c>
      <c r="L1473" s="26" t="s">
        <v>351</v>
      </c>
      <c r="M1473" s="26" t="s">
        <v>303</v>
      </c>
      <c r="N1473" s="26">
        <v>90</v>
      </c>
      <c r="O1473" s="26">
        <f>2024-Inventory[[#This Row],[YrBlt]]</f>
        <v>88</v>
      </c>
      <c r="P1473" s="26">
        <f>2024-Inventory[[#This Row],[EffYr]]</f>
        <v>53</v>
      </c>
      <c r="Q1473" s="25">
        <v>1936</v>
      </c>
      <c r="R1473" s="25">
        <v>1971</v>
      </c>
      <c r="S1473" s="25">
        <v>1208</v>
      </c>
      <c r="T1473" s="27"/>
      <c r="U1473" s="32">
        <v>1208</v>
      </c>
      <c r="V1473" s="32">
        <f>Inventory[[#This Row],[Bsmt]]-Inventory[[#This Row],[FnBsmt]]</f>
        <v>445</v>
      </c>
      <c r="W1473" s="32">
        <v>763</v>
      </c>
      <c r="X1473" s="27"/>
      <c r="Y1473" s="27">
        <f>Inventory[[#This Row],[MainFn]]+Inventory[[#This Row],[UpprFn]]+Inventory[[#This Row],[FnBsmt]]+Inventory[[#This Row],[AddFn]]</f>
        <v>1971</v>
      </c>
      <c r="Z1473" s="27">
        <v>2000</v>
      </c>
      <c r="AA1473" s="25">
        <v>9</v>
      </c>
      <c r="AB1473" s="31"/>
      <c r="AC1473" s="27"/>
      <c r="AD1473" s="27"/>
      <c r="AE1473" s="27"/>
      <c r="AF1473" s="27"/>
      <c r="AG1473" s="27"/>
      <c r="AH1473" s="27"/>
      <c r="AI1473" s="25">
        <v>284219</v>
      </c>
      <c r="AJ1473" s="25">
        <v>196111</v>
      </c>
      <c r="AK1473" s="25">
        <v>46174</v>
      </c>
      <c r="AL1473" s="25">
        <v>378600</v>
      </c>
      <c r="AM1473" s="25">
        <v>48400</v>
      </c>
      <c r="AN1473" s="25">
        <v>330200</v>
      </c>
      <c r="AO1473" s="25">
        <v>0</v>
      </c>
      <c r="AP1473" s="25">
        <f>Lookups!$B$56*0</f>
        <v>0</v>
      </c>
      <c r="AQ1473" s="25">
        <f>Lookups!$B$56*1</f>
        <v>89850.625589999996</v>
      </c>
      <c r="AR1473" s="25">
        <f>Lookups!$B$57*Inventory[[#This Row],[LnAcres]]</f>
        <v>-60052.604136134301</v>
      </c>
      <c r="AS1473" s="25">
        <f>VLOOKUP(Inventory[[#This Row],[Qlty]],Lookups!$A$62:$E$75,2,FALSE)</f>
        <v>21557.329055999999</v>
      </c>
      <c r="AT1473" s="25">
        <f>VLOOKUP(Inventory[[#This Row],[Cnd]],Lookups!$A$76:$E$84,2,FALSE)</f>
        <v>197752.34721000001</v>
      </c>
      <c r="AU1473" s="25">
        <f>Inventory[[#This Row],[EffAge]]*Lookups!$B$85</f>
        <v>-11821.416826500001</v>
      </c>
      <c r="AV1473" s="25">
        <f>Inventory[[#This Row],[MainFn]]*Lookups!$B$86</f>
        <v>59685.673211416004</v>
      </c>
      <c r="AW1473" s="25">
        <f>Inventory[[#This Row],[UpprFn]]*Lookups!$B$87</f>
        <v>0</v>
      </c>
      <c r="AX1473" s="25">
        <f>Inventory[[#This Row],[AddFn]]*Lookups!$B$88</f>
        <v>0</v>
      </c>
      <c r="AY1473" s="25">
        <f>Inventory[[#This Row],[Bsmt]]*Lookups!$B$89</f>
        <v>35130.929458375998</v>
      </c>
      <c r="AZ1473" s="25">
        <f>Inventory[[#This Row],[Fixtures]]*Lookups!$B$90</f>
        <v>34128.198946800003</v>
      </c>
      <c r="BA1473" s="25">
        <f>Inventory[[#This Row],[WdDeck]]*Lookups!$B$91</f>
        <v>0</v>
      </c>
      <c r="BB1473" s="25">
        <f>ROUND(Inventory[[#This Row],[25Det]],-2)</f>
        <v>46200</v>
      </c>
      <c r="BC1473" s="25">
        <f>ROUND(SUM(Inventory[[#This Row],[Mdl Qlty]:[Mdl WdDeck]])+Inventory[[#This Row],[Mdl Res Intercept]],-2)</f>
        <v>336400</v>
      </c>
      <c r="BD1473" s="25">
        <f>ROUND(Inventory[[#This Row],[Mdl Land Intercept]]+Inventory[[#This Row],[Mdl LnAcres]],-2)</f>
        <v>29800</v>
      </c>
      <c r="BE1473" s="25">
        <f>Inventory[[#This Row],[Unadj Res Value]]+Inventory[[#This Row],[Unadj Det Value]]+Inventory[[#This Row],[Unadj Land Value]]</f>
        <v>412400</v>
      </c>
      <c r="BF1473" s="36">
        <f>(Inventory[[#This Row],[Unadj Total Value]]-Inventory[[#This Row],[24Final]])/Inventory[[#This Row],[24Final]]</f>
        <v>8.9276281035393562E-2</v>
      </c>
      <c r="BG1473" s="25">
        <f>VLOOKUP(Inventory[[#This Row],[Nbhd]],Lookups!$Q$2:$T$4,4,FALSE)</f>
        <v>0.99970000000000003</v>
      </c>
      <c r="BH1473" s="25">
        <f>VLOOKUP(Inventory[[#This Row],[Qlty]],Lookups!$O$7:$R$21,4,FALSE)</f>
        <v>1.0067999999999999</v>
      </c>
      <c r="BI1473" s="25">
        <f>VLOOKUP(Inventory[[#This Row],[Cnd]],Lookups!$T$7:$W$16,4,FALSE)</f>
        <v>0.99650000000000005</v>
      </c>
      <c r="BJ1473" s="25">
        <f>VLOOKUP(Inventory[[#This Row],[LivArea Range]],Lookups!$T$25:$W$37,4,FALSE)</f>
        <v>1.0093000000000001</v>
      </c>
      <c r="BK1473" s="25">
        <f>VLOOKUP(Inventory[[#This Row],[Decade]],Lookups!$O$25:$R$42,4,FALSE)</f>
        <v>0.98909999999999998</v>
      </c>
      <c r="BL1473" s="25">
        <f>Inventory[[#This Row],[Nbhd Adj]]*0.95</f>
        <v>0.94971499999999998</v>
      </c>
      <c r="BM1473" s="25">
        <f>Inventory[[#This Row],[Nbhd Adj]]*Inventory[[#This Row],[Quality Adj]]*Inventory[[#This Row],[Condition Adj]]*Inventory[[#This Row],[Living Area Adj]]*Inventory[[#This Row],[Decade Adj]]*0.95</f>
        <v>0.95120534593507355</v>
      </c>
      <c r="BN1473" s="25">
        <f>ROUND(SUM(Inventory[[#This Row],[Mdl Qlty]:[Mdl WdDeck]])+Inventory[[#This Row],[Mdl Res Intercept]]*Inventory[[#This Row],[Res Adj ]],-2)</f>
        <v>336400</v>
      </c>
      <c r="BO1473" s="25">
        <f>ROUND(Inventory[[#This Row],[25Det]]*Inventory[[#This Row],[Det/Nbhd Adj]],-2)</f>
        <v>43900</v>
      </c>
      <c r="BP1473" s="25">
        <f>Inventory[[#This Row],[Adjusted Res]]+Inventory[[#This Row],[Adj Det ]]</f>
        <v>380300</v>
      </c>
      <c r="BQ1473" s="25">
        <f>ROUND((Inventory[[#This Row],[Mdl Land Intercept]]+Inventory[[#This Row],[Mdl LnAcres]])*Inventory[[#This Row],[Det/Nbhd Adj]],-2)</f>
        <v>28300</v>
      </c>
      <c r="BR1473" s="25">
        <f>Inventory[[#This Row],[Adjusted Impr Total]]+Inventory[[#This Row],[Adjusted Land Total]]</f>
        <v>408600</v>
      </c>
      <c r="BS1473" s="36">
        <f>IFERROR((Inventory[[#This Row],[Adjusted Impr Total]]-Inventory[[#This Row],[24Bldg]])/Inventory[[#This Row],[24Bldg]],0)</f>
        <v>0.15172622652937615</v>
      </c>
      <c r="BT1473" s="36">
        <f>(Inventory[[#This Row],[Adjusted Land Total]]-Inventory[[#This Row],[24Lnd]])/Inventory[[#This Row],[24Lnd]]</f>
        <v>-0.41528925619834711</v>
      </c>
      <c r="BU1473" s="36">
        <f>(Inventory[[#This Row],[Adjusted Total]]-Inventory[[#This Row],[24Final]])/Inventory[[#This Row],[24Final]]</f>
        <v>7.9239302694136288E-2</v>
      </c>
    </row>
    <row r="1474" spans="1:73" x14ac:dyDescent="0.3">
      <c r="A1474" s="25">
        <v>2025</v>
      </c>
      <c r="B1474" s="26" t="s">
        <v>1908</v>
      </c>
      <c r="C1474" s="26">
        <f>LN(Inventory[[#This Row],[Acres]])</f>
        <v>-1.5606477482646683</v>
      </c>
      <c r="D1474" s="25">
        <v>0.21</v>
      </c>
      <c r="E1474" s="25">
        <v>9064</v>
      </c>
      <c r="F1474" s="26" t="s">
        <v>537</v>
      </c>
      <c r="G1474" s="26" t="s">
        <v>126</v>
      </c>
      <c r="H1474" s="26" t="s">
        <v>349</v>
      </c>
      <c r="I1474" s="26" t="s">
        <v>538</v>
      </c>
      <c r="J1474" s="26" t="s">
        <v>539</v>
      </c>
      <c r="K1474" s="26" t="s">
        <v>4</v>
      </c>
      <c r="L1474" s="26" t="s">
        <v>148</v>
      </c>
      <c r="M1474" s="26" t="s">
        <v>303</v>
      </c>
      <c r="N1474" s="26">
        <v>90</v>
      </c>
      <c r="O1474" s="26">
        <f>2024-Inventory[[#This Row],[YrBlt]]</f>
        <v>88</v>
      </c>
      <c r="P1474" s="26">
        <f>2024-Inventory[[#This Row],[EffYr]]</f>
        <v>53</v>
      </c>
      <c r="Q1474" s="25">
        <v>1936</v>
      </c>
      <c r="R1474" s="25">
        <v>1971</v>
      </c>
      <c r="S1474" s="25">
        <v>1221</v>
      </c>
      <c r="T1474" s="25">
        <v>880</v>
      </c>
      <c r="U1474" s="25">
        <v>840</v>
      </c>
      <c r="V1474" s="32">
        <f>Inventory[[#This Row],[Bsmt]]-Inventory[[#This Row],[FnBsmt]]</f>
        <v>420</v>
      </c>
      <c r="W1474" s="32">
        <v>420</v>
      </c>
      <c r="X1474" s="27"/>
      <c r="Y1474" s="27">
        <f>Inventory[[#This Row],[MainFn]]+Inventory[[#This Row],[UpprFn]]+Inventory[[#This Row],[FnBsmt]]+Inventory[[#This Row],[AddFn]]</f>
        <v>2521</v>
      </c>
      <c r="Z1474" s="27">
        <v>3000</v>
      </c>
      <c r="AA1474" s="25">
        <v>7</v>
      </c>
      <c r="AB1474" s="27"/>
      <c r="AC1474" s="27"/>
      <c r="AD1474" s="27"/>
      <c r="AE1474" s="27"/>
      <c r="AF1474" s="27"/>
      <c r="AG1474" s="27"/>
      <c r="AH1474" s="27"/>
      <c r="AI1474" s="25">
        <v>477765</v>
      </c>
      <c r="AJ1474" s="25">
        <v>329658</v>
      </c>
      <c r="AK1474" s="25">
        <v>17476</v>
      </c>
      <c r="AL1474" s="25">
        <v>405100</v>
      </c>
      <c r="AM1474" s="25">
        <v>60100</v>
      </c>
      <c r="AN1474" s="25">
        <v>345000</v>
      </c>
      <c r="AO1474" s="25">
        <v>0</v>
      </c>
      <c r="AP1474" s="25">
        <f>Lookups!$B$56*0</f>
        <v>0</v>
      </c>
      <c r="AQ1474" s="25">
        <f>Lookups!$B$56*1</f>
        <v>89850.625589999996</v>
      </c>
      <c r="AR1474" s="25">
        <f>Lookups!$B$57*Inventory[[#This Row],[LnAcres]]</f>
        <v>-49401.70477837498</v>
      </c>
      <c r="AS1474" s="25">
        <f>VLOOKUP(Inventory[[#This Row],[Qlty]],Lookups!$A$62:$E$75,2,FALSE)</f>
        <v>44121.038090000002</v>
      </c>
      <c r="AT1474" s="25">
        <f>VLOOKUP(Inventory[[#This Row],[Cnd]],Lookups!$A$76:$E$84,2,FALSE)</f>
        <v>197752.34721000001</v>
      </c>
      <c r="AU1474" s="25">
        <f>Inventory[[#This Row],[EffAge]]*Lookups!$B$85</f>
        <v>-11821.416826500001</v>
      </c>
      <c r="AV1474" s="25">
        <f>Inventory[[#This Row],[MainFn]]*Lookups!$B$86</f>
        <v>60327.985919817002</v>
      </c>
      <c r="AW1474" s="25">
        <f>Inventory[[#This Row],[UpprFn]]*Lookups!$B$87</f>
        <v>39412.052117679996</v>
      </c>
      <c r="AX1474" s="25">
        <f>Inventory[[#This Row],[AddFn]]*Lookups!$B$88</f>
        <v>0</v>
      </c>
      <c r="AY1474" s="25">
        <f>Inventory[[#This Row],[Bsmt]]*Lookups!$B$89</f>
        <v>24428.792007479999</v>
      </c>
      <c r="AZ1474" s="25">
        <f>Inventory[[#This Row],[Fixtures]]*Lookups!$B$90</f>
        <v>26544.1547364</v>
      </c>
      <c r="BA1474" s="25">
        <f>Inventory[[#This Row],[WdDeck]]*Lookups!$B$91</f>
        <v>0</v>
      </c>
      <c r="BB1474" s="25">
        <f>ROUND(Inventory[[#This Row],[25Det]],-2)</f>
        <v>17500</v>
      </c>
      <c r="BC1474" s="25">
        <f>ROUND(SUM(Inventory[[#This Row],[Mdl Qlty]:[Mdl WdDeck]])+Inventory[[#This Row],[Mdl Res Intercept]],-2)</f>
        <v>380800</v>
      </c>
      <c r="BD1474" s="25">
        <f>ROUND(Inventory[[#This Row],[Mdl Land Intercept]]+Inventory[[#This Row],[Mdl LnAcres]],-2)</f>
        <v>40400</v>
      </c>
      <c r="BE1474" s="25">
        <f>Inventory[[#This Row],[Unadj Res Value]]+Inventory[[#This Row],[Unadj Det Value]]+Inventory[[#This Row],[Unadj Land Value]]</f>
        <v>438700</v>
      </c>
      <c r="BF1474" s="36">
        <f>(Inventory[[#This Row],[Unadj Total Value]]-Inventory[[#This Row],[24Final]])/Inventory[[#This Row],[24Final]]</f>
        <v>8.294248333744754E-2</v>
      </c>
      <c r="BG1474" s="25">
        <f>VLOOKUP(Inventory[[#This Row],[Nbhd]],Lookups!$Q$2:$T$4,4,FALSE)</f>
        <v>0.99970000000000003</v>
      </c>
      <c r="BH1474" s="25">
        <f>VLOOKUP(Inventory[[#This Row],[Qlty]],Lookups!$O$7:$R$21,4,FALSE)</f>
        <v>0.98050000000000004</v>
      </c>
      <c r="BI1474" s="25">
        <f>VLOOKUP(Inventory[[#This Row],[Cnd]],Lookups!$T$7:$W$16,4,FALSE)</f>
        <v>0.99650000000000005</v>
      </c>
      <c r="BJ1474" s="25">
        <f>VLOOKUP(Inventory[[#This Row],[LivArea Range]],Lookups!$T$25:$W$37,4,FALSE)</f>
        <v>0.96179999999999999</v>
      </c>
      <c r="BK1474" s="25">
        <f>VLOOKUP(Inventory[[#This Row],[Decade]],Lookups!$O$25:$R$42,4,FALSE)</f>
        <v>0.98909999999999998</v>
      </c>
      <c r="BL1474" s="25">
        <f>Inventory[[#This Row],[Nbhd Adj]]*0.95</f>
        <v>0.94971499999999998</v>
      </c>
      <c r="BM1474" s="25">
        <f>Inventory[[#This Row],[Nbhd Adj]]*Inventory[[#This Row],[Quality Adj]]*Inventory[[#This Row],[Condition Adj]]*Inventory[[#This Row],[Living Area Adj]]*Inventory[[#This Row],[Decade Adj]]*0.95</f>
        <v>0.88276107127906644</v>
      </c>
      <c r="BN1474" s="25">
        <f>ROUND(SUM(Inventory[[#This Row],[Mdl Qlty]:[Mdl WdDeck]])+Inventory[[#This Row],[Mdl Res Intercept]]*Inventory[[#This Row],[Res Adj ]],-2)</f>
        <v>380800</v>
      </c>
      <c r="BO1474" s="25">
        <f>ROUND(Inventory[[#This Row],[25Det]]*Inventory[[#This Row],[Det/Nbhd Adj]],-2)</f>
        <v>16600</v>
      </c>
      <c r="BP1474" s="25">
        <f>Inventory[[#This Row],[Adjusted Res]]+Inventory[[#This Row],[Adj Det ]]</f>
        <v>397400</v>
      </c>
      <c r="BQ1474" s="25">
        <f>ROUND((Inventory[[#This Row],[Mdl Land Intercept]]+Inventory[[#This Row],[Mdl LnAcres]])*Inventory[[#This Row],[Det/Nbhd Adj]],-2)</f>
        <v>38400</v>
      </c>
      <c r="BR1474" s="25">
        <f>Inventory[[#This Row],[Adjusted Impr Total]]+Inventory[[#This Row],[Adjusted Land Total]]</f>
        <v>435800</v>
      </c>
      <c r="BS1474" s="36">
        <f>IFERROR((Inventory[[#This Row],[Adjusted Impr Total]]-Inventory[[#This Row],[24Bldg]])/Inventory[[#This Row],[24Bldg]],0)</f>
        <v>0.15188405797101448</v>
      </c>
      <c r="BT1474" s="36">
        <f>(Inventory[[#This Row],[Adjusted Land Total]]-Inventory[[#This Row],[24Lnd]])/Inventory[[#This Row],[24Lnd]]</f>
        <v>-0.36106489184692181</v>
      </c>
      <c r="BU1474" s="36">
        <f>(Inventory[[#This Row],[Adjusted Total]]-Inventory[[#This Row],[24Final]])/Inventory[[#This Row],[24Final]]</f>
        <v>7.5783757097013085E-2</v>
      </c>
    </row>
    <row r="1475" spans="1:73" x14ac:dyDescent="0.3">
      <c r="A1475" s="25">
        <v>2025</v>
      </c>
      <c r="B1475" s="26" t="s">
        <v>1250</v>
      </c>
      <c r="C1475" s="26">
        <f>LN(Inventory[[#This Row],[Acres]])</f>
        <v>-1.3093333199837622</v>
      </c>
      <c r="D1475" s="25">
        <v>0.27</v>
      </c>
      <c r="E1475" s="25">
        <v>11742</v>
      </c>
      <c r="F1475" s="26" t="s">
        <v>537</v>
      </c>
      <c r="G1475" s="26" t="s">
        <v>126</v>
      </c>
      <c r="H1475" s="26" t="s">
        <v>349</v>
      </c>
      <c r="I1475" s="26" t="s">
        <v>538</v>
      </c>
      <c r="J1475" s="26" t="s">
        <v>539</v>
      </c>
      <c r="K1475" s="26" t="s">
        <v>147</v>
      </c>
      <c r="L1475" s="26" t="s">
        <v>95</v>
      </c>
      <c r="M1475" s="26" t="s">
        <v>303</v>
      </c>
      <c r="N1475" s="26">
        <v>90</v>
      </c>
      <c r="O1475" s="26">
        <f>2024-Inventory[[#This Row],[YrBlt]]</f>
        <v>88</v>
      </c>
      <c r="P1475" s="26">
        <f>2024-Inventory[[#This Row],[EffYr]]</f>
        <v>53</v>
      </c>
      <c r="Q1475" s="25">
        <v>1936</v>
      </c>
      <c r="R1475" s="25">
        <v>1971</v>
      </c>
      <c r="S1475" s="25">
        <v>1841</v>
      </c>
      <c r="T1475" s="25">
        <v>1715</v>
      </c>
      <c r="U1475" s="25">
        <v>450</v>
      </c>
      <c r="V1475" s="25">
        <f>Inventory[[#This Row],[Bsmt]]-Inventory[[#This Row],[FnBsmt]]</f>
        <v>450</v>
      </c>
      <c r="W1475" s="25">
        <v>0</v>
      </c>
      <c r="X1475" s="27"/>
      <c r="Y1475" s="27">
        <f>Inventory[[#This Row],[MainFn]]+Inventory[[#This Row],[UpprFn]]+Inventory[[#This Row],[FnBsmt]]+Inventory[[#This Row],[AddFn]]</f>
        <v>3556</v>
      </c>
      <c r="Z1475" s="27">
        <v>4000</v>
      </c>
      <c r="AA1475" s="25">
        <v>13</v>
      </c>
      <c r="AB1475" s="32">
        <v>475</v>
      </c>
      <c r="AC1475" s="27"/>
      <c r="AD1475" s="32">
        <v>1063</v>
      </c>
      <c r="AE1475" s="27"/>
      <c r="AF1475" s="27"/>
      <c r="AG1475" s="27"/>
      <c r="AH1475" s="27"/>
      <c r="AI1475" s="25">
        <v>1005275</v>
      </c>
      <c r="AJ1475" s="25">
        <v>703693</v>
      </c>
      <c r="AK1475" s="25">
        <v>13075</v>
      </c>
      <c r="AL1475" s="25">
        <v>544300</v>
      </c>
      <c r="AM1475" s="25">
        <v>68900</v>
      </c>
      <c r="AN1475" s="25">
        <v>475400</v>
      </c>
      <c r="AO1475" s="25">
        <v>0</v>
      </c>
      <c r="AP1475" s="25">
        <f>Lookups!$B$56*0</f>
        <v>0</v>
      </c>
      <c r="AQ1475" s="25">
        <f>Lookups!$B$56*1</f>
        <v>89850.625589999996</v>
      </c>
      <c r="AR1475" s="25">
        <f>Lookups!$B$57*Inventory[[#This Row],[LnAcres]]</f>
        <v>-41446.443120973789</v>
      </c>
      <c r="AS1475" s="25">
        <f>VLOOKUP(Inventory[[#This Row],[Qlty]],Lookups!$A$62:$E$75,2,FALSE)</f>
        <v>74268.409664999999</v>
      </c>
      <c r="AT1475" s="25">
        <f>VLOOKUP(Inventory[[#This Row],[Cnd]],Lookups!$A$76:$E$84,2,FALSE)</f>
        <v>197752.34721000001</v>
      </c>
      <c r="AU1475" s="25">
        <f>Inventory[[#This Row],[EffAge]]*Lookups!$B$85</f>
        <v>-11821.416826500001</v>
      </c>
      <c r="AV1475" s="25">
        <f>Inventory[[#This Row],[MainFn]]*Lookups!$B$86</f>
        <v>90961.361243556996</v>
      </c>
      <c r="AW1475" s="25">
        <f>Inventory[[#This Row],[UpprFn]]*Lookups!$B$87</f>
        <v>76808.715206615001</v>
      </c>
      <c r="AX1475" s="25">
        <f>Inventory[[#This Row],[AddFn]]*Lookups!$B$88</f>
        <v>0</v>
      </c>
      <c r="AY1475" s="25">
        <f>Inventory[[#This Row],[Bsmt]]*Lookups!$B$89</f>
        <v>13086.852861149999</v>
      </c>
      <c r="AZ1475" s="25">
        <f>Inventory[[#This Row],[Fixtures]]*Lookups!$B$90</f>
        <v>49296.287367600002</v>
      </c>
      <c r="BA1475" s="25">
        <f>Inventory[[#This Row],[WdDeck]]*Lookups!$B$91</f>
        <v>35393.132738388005</v>
      </c>
      <c r="BB1475" s="25">
        <f>ROUND(Inventory[[#This Row],[25Det]],-2)</f>
        <v>13100</v>
      </c>
      <c r="BC1475" s="25">
        <f>ROUND(SUM(Inventory[[#This Row],[Mdl Qlty]:[Mdl WdDeck]])+Inventory[[#This Row],[Mdl Res Intercept]],-2)</f>
        <v>525700</v>
      </c>
      <c r="BD1475" s="25">
        <f>ROUND(Inventory[[#This Row],[Mdl Land Intercept]]+Inventory[[#This Row],[Mdl LnAcres]],-2)</f>
        <v>48400</v>
      </c>
      <c r="BE1475" s="25">
        <f>Inventory[[#This Row],[Unadj Res Value]]+Inventory[[#This Row],[Unadj Det Value]]+Inventory[[#This Row],[Unadj Land Value]]</f>
        <v>587200</v>
      </c>
      <c r="BF1475" s="36">
        <f>(Inventory[[#This Row],[Unadj Total Value]]-Inventory[[#This Row],[24Final]])/Inventory[[#This Row],[24Final]]</f>
        <v>7.881682895462061E-2</v>
      </c>
      <c r="BG1475" s="25">
        <f>VLOOKUP(Inventory[[#This Row],[Nbhd]],Lookups!$Q$2:$T$4,4,FALSE)</f>
        <v>0.99970000000000003</v>
      </c>
      <c r="BH1475" s="25">
        <f>VLOOKUP(Inventory[[#This Row],[Qlty]],Lookups!$O$7:$R$21,4,FALSE)</f>
        <v>0.98380000000000001</v>
      </c>
      <c r="BI1475" s="25">
        <f>VLOOKUP(Inventory[[#This Row],[Cnd]],Lookups!$T$7:$W$16,4,FALSE)</f>
        <v>0.99650000000000005</v>
      </c>
      <c r="BJ1475" s="25">
        <f>VLOOKUP(Inventory[[#This Row],[LivArea Range]],Lookups!$T$25:$W$37,4,FALSE)</f>
        <v>0.94579999999999997</v>
      </c>
      <c r="BK1475" s="25">
        <f>VLOOKUP(Inventory[[#This Row],[Decade]],Lookups!$O$25:$R$42,4,FALSE)</f>
        <v>0.98909999999999998</v>
      </c>
      <c r="BL1475" s="25">
        <f>Inventory[[#This Row],[Nbhd Adj]]*0.95</f>
        <v>0.94971499999999998</v>
      </c>
      <c r="BM1475" s="25">
        <f>Inventory[[#This Row],[Nbhd Adj]]*Inventory[[#This Row],[Quality Adj]]*Inventory[[#This Row],[Condition Adj]]*Inventory[[#This Row],[Living Area Adj]]*Inventory[[#This Row],[Decade Adj]]*0.95</f>
        <v>0.87099754358678572</v>
      </c>
      <c r="BN1475" s="25">
        <f>ROUND(SUM(Inventory[[#This Row],[Mdl Qlty]:[Mdl WdDeck]])+Inventory[[#This Row],[Mdl Res Intercept]]*Inventory[[#This Row],[Res Adj ]],-2)</f>
        <v>525700</v>
      </c>
      <c r="BO1475" s="25">
        <f>ROUND(Inventory[[#This Row],[25Det]]*Inventory[[#This Row],[Det/Nbhd Adj]],-2)</f>
        <v>12400</v>
      </c>
      <c r="BP1475" s="25">
        <f>Inventory[[#This Row],[Adjusted Res]]+Inventory[[#This Row],[Adj Det ]]</f>
        <v>538100</v>
      </c>
      <c r="BQ1475" s="25">
        <f>ROUND((Inventory[[#This Row],[Mdl Land Intercept]]+Inventory[[#This Row],[Mdl LnAcres]])*Inventory[[#This Row],[Det/Nbhd Adj]],-2)</f>
        <v>46000</v>
      </c>
      <c r="BR1475" s="25">
        <f>Inventory[[#This Row],[Adjusted Impr Total]]+Inventory[[#This Row],[Adjusted Land Total]]</f>
        <v>584100</v>
      </c>
      <c r="BS1475" s="36">
        <f>IFERROR((Inventory[[#This Row],[Adjusted Impr Total]]-Inventory[[#This Row],[24Bldg]])/Inventory[[#This Row],[24Bldg]],0)</f>
        <v>0.13188893563315104</v>
      </c>
      <c r="BT1475" s="36">
        <f>(Inventory[[#This Row],[Adjusted Land Total]]-Inventory[[#This Row],[24Lnd]])/Inventory[[#This Row],[24Lnd]]</f>
        <v>-0.33236574746008707</v>
      </c>
      <c r="BU1475" s="36">
        <f>(Inventory[[#This Row],[Adjusted Total]]-Inventory[[#This Row],[24Final]])/Inventory[[#This Row],[24Final]]</f>
        <v>7.3121440382142203E-2</v>
      </c>
    </row>
    <row r="1476" spans="1:73" x14ac:dyDescent="0.3">
      <c r="A1476" s="25">
        <v>2025</v>
      </c>
      <c r="B1476" s="26" t="s">
        <v>1233</v>
      </c>
      <c r="C1476" s="26">
        <f>LN(Inventory[[#This Row],[Acres]])</f>
        <v>-1.7147984280919266</v>
      </c>
      <c r="D1476" s="25">
        <v>0.18</v>
      </c>
      <c r="E1476" s="25">
        <v>7800</v>
      </c>
      <c r="F1476" s="26" t="s">
        <v>537</v>
      </c>
      <c r="G1476" s="26" t="s">
        <v>126</v>
      </c>
      <c r="H1476" s="26" t="s">
        <v>349</v>
      </c>
      <c r="I1476" s="26" t="s">
        <v>538</v>
      </c>
      <c r="J1476" s="26" t="s">
        <v>539</v>
      </c>
      <c r="K1476" s="26" t="s">
        <v>147</v>
      </c>
      <c r="L1476" s="26" t="s">
        <v>148</v>
      </c>
      <c r="M1476" s="26" t="s">
        <v>303</v>
      </c>
      <c r="N1476" s="26">
        <v>90</v>
      </c>
      <c r="O1476" s="26">
        <f>2024-Inventory[[#This Row],[YrBlt]]</f>
        <v>88</v>
      </c>
      <c r="P1476" s="26">
        <f>2024-Inventory[[#This Row],[EffYr]]</f>
        <v>53</v>
      </c>
      <c r="Q1476" s="25">
        <v>1936</v>
      </c>
      <c r="R1476" s="25">
        <v>1971</v>
      </c>
      <c r="S1476" s="25">
        <v>1216</v>
      </c>
      <c r="T1476" s="32">
        <v>840</v>
      </c>
      <c r="U1476" s="32">
        <v>1216</v>
      </c>
      <c r="V1476" s="32">
        <f>Inventory[[#This Row],[Bsmt]]-Inventory[[#This Row],[FnBsmt]]</f>
        <v>608</v>
      </c>
      <c r="W1476" s="32">
        <v>608</v>
      </c>
      <c r="X1476" s="27"/>
      <c r="Y1476" s="27">
        <f>Inventory[[#This Row],[MainFn]]+Inventory[[#This Row],[UpprFn]]+Inventory[[#This Row],[FnBsmt]]+Inventory[[#This Row],[AddFn]]</f>
        <v>2664</v>
      </c>
      <c r="Z1476" s="27">
        <v>3000</v>
      </c>
      <c r="AA1476" s="25">
        <v>8</v>
      </c>
      <c r="AB1476" s="31"/>
      <c r="AC1476" s="27"/>
      <c r="AD1476" s="31"/>
      <c r="AE1476" s="27"/>
      <c r="AF1476" s="27"/>
      <c r="AG1476" s="27"/>
      <c r="AH1476" s="27"/>
      <c r="AI1476" s="25">
        <v>526588</v>
      </c>
      <c r="AJ1476" s="25">
        <v>363346</v>
      </c>
      <c r="AK1476" s="25">
        <v>7465</v>
      </c>
      <c r="AL1476" s="25">
        <v>405500</v>
      </c>
      <c r="AM1476" s="25">
        <v>54700</v>
      </c>
      <c r="AN1476" s="25">
        <v>350800</v>
      </c>
      <c r="AO1476" s="25">
        <v>0</v>
      </c>
      <c r="AP1476" s="25">
        <f>Lookups!$B$56*0</f>
        <v>0</v>
      </c>
      <c r="AQ1476" s="25">
        <f>Lookups!$B$56*1</f>
        <v>89850.625589999996</v>
      </c>
      <c r="AR1476" s="25">
        <f>Lookups!$B$57*Inventory[[#This Row],[LnAcres]]</f>
        <v>-54281.285314520763</v>
      </c>
      <c r="AS1476" s="25">
        <f>VLOOKUP(Inventory[[#This Row],[Qlty]],Lookups!$A$62:$E$75,2,FALSE)</f>
        <v>44121.038090000002</v>
      </c>
      <c r="AT1476" s="25">
        <f>VLOOKUP(Inventory[[#This Row],[Cnd]],Lookups!$A$76:$E$84,2,FALSE)</f>
        <v>197752.34721000001</v>
      </c>
      <c r="AU1476" s="25">
        <f>Inventory[[#This Row],[EffAge]]*Lookups!$B$85</f>
        <v>-11821.416826500001</v>
      </c>
      <c r="AV1476" s="25">
        <f>Inventory[[#This Row],[MainFn]]*Lookups!$B$86</f>
        <v>60080.942570432002</v>
      </c>
      <c r="AW1476" s="25">
        <f>Inventory[[#This Row],[UpprFn]]*Lookups!$B$87</f>
        <v>37620.595203240002</v>
      </c>
      <c r="AX1476" s="25">
        <f>Inventory[[#This Row],[AddFn]]*Lookups!$B$88</f>
        <v>0</v>
      </c>
      <c r="AY1476" s="25">
        <f>Inventory[[#This Row],[Bsmt]]*Lookups!$B$89</f>
        <v>35363.584620351998</v>
      </c>
      <c r="AZ1476" s="25">
        <f>Inventory[[#This Row],[Fixtures]]*Lookups!$B$90</f>
        <v>30336.176841600001</v>
      </c>
      <c r="BA1476" s="25">
        <f>Inventory[[#This Row],[WdDeck]]*Lookups!$B$91</f>
        <v>0</v>
      </c>
      <c r="BB1476" s="25">
        <f>ROUND(Inventory[[#This Row],[25Det]],-2)</f>
        <v>7500</v>
      </c>
      <c r="BC1476" s="25">
        <f>ROUND(SUM(Inventory[[#This Row],[Mdl Qlty]:[Mdl WdDeck]])+Inventory[[#This Row],[Mdl Res Intercept]],-2)</f>
        <v>393500</v>
      </c>
      <c r="BD1476" s="25">
        <f>ROUND(Inventory[[#This Row],[Mdl Land Intercept]]+Inventory[[#This Row],[Mdl LnAcres]],-2)</f>
        <v>35600</v>
      </c>
      <c r="BE1476" s="25">
        <f>Inventory[[#This Row],[Unadj Res Value]]+Inventory[[#This Row],[Unadj Det Value]]+Inventory[[#This Row],[Unadj Land Value]]</f>
        <v>436600</v>
      </c>
      <c r="BF1476" s="36">
        <f>(Inventory[[#This Row],[Unadj Total Value]]-Inventory[[#This Row],[24Final]])/Inventory[[#This Row],[24Final]]</f>
        <v>7.6695437731196053E-2</v>
      </c>
      <c r="BG1476" s="25">
        <f>VLOOKUP(Inventory[[#This Row],[Nbhd]],Lookups!$Q$2:$T$4,4,FALSE)</f>
        <v>0.99970000000000003</v>
      </c>
      <c r="BH1476" s="25">
        <f>VLOOKUP(Inventory[[#This Row],[Qlty]],Lookups!$O$7:$R$21,4,FALSE)</f>
        <v>0.98050000000000004</v>
      </c>
      <c r="BI1476" s="25">
        <f>VLOOKUP(Inventory[[#This Row],[Cnd]],Lookups!$T$7:$W$16,4,FALSE)</f>
        <v>0.99650000000000005</v>
      </c>
      <c r="BJ1476" s="25">
        <f>VLOOKUP(Inventory[[#This Row],[LivArea Range]],Lookups!$T$25:$W$37,4,FALSE)</f>
        <v>0.96179999999999999</v>
      </c>
      <c r="BK1476" s="25">
        <f>VLOOKUP(Inventory[[#This Row],[Decade]],Lookups!$O$25:$R$42,4,FALSE)</f>
        <v>0.98909999999999998</v>
      </c>
      <c r="BL1476" s="25">
        <f>Inventory[[#This Row],[Nbhd Adj]]*0.95</f>
        <v>0.94971499999999998</v>
      </c>
      <c r="BM1476" s="25">
        <f>Inventory[[#This Row],[Nbhd Adj]]*Inventory[[#This Row],[Quality Adj]]*Inventory[[#This Row],[Condition Adj]]*Inventory[[#This Row],[Living Area Adj]]*Inventory[[#This Row],[Decade Adj]]*0.95</f>
        <v>0.88276107127906644</v>
      </c>
      <c r="BN1476" s="25">
        <f>ROUND(SUM(Inventory[[#This Row],[Mdl Qlty]:[Mdl WdDeck]])+Inventory[[#This Row],[Mdl Res Intercept]]*Inventory[[#This Row],[Res Adj ]],-2)</f>
        <v>393500</v>
      </c>
      <c r="BO1476" s="25">
        <f>ROUND(Inventory[[#This Row],[25Det]]*Inventory[[#This Row],[Det/Nbhd Adj]],-2)</f>
        <v>7100</v>
      </c>
      <c r="BP1476" s="25">
        <f>Inventory[[#This Row],[Adjusted Res]]+Inventory[[#This Row],[Adj Det ]]</f>
        <v>400600</v>
      </c>
      <c r="BQ1476" s="25">
        <f>ROUND((Inventory[[#This Row],[Mdl Land Intercept]]+Inventory[[#This Row],[Mdl LnAcres]])*Inventory[[#This Row],[Det/Nbhd Adj]],-2)</f>
        <v>33800</v>
      </c>
      <c r="BR1476" s="25">
        <f>Inventory[[#This Row],[Adjusted Impr Total]]+Inventory[[#This Row],[Adjusted Land Total]]</f>
        <v>434400</v>
      </c>
      <c r="BS1476" s="36">
        <f>IFERROR((Inventory[[#This Row],[Adjusted Impr Total]]-Inventory[[#This Row],[24Bldg]])/Inventory[[#This Row],[24Bldg]],0)</f>
        <v>0.1419612314709236</v>
      </c>
      <c r="BT1476" s="36">
        <f>(Inventory[[#This Row],[Adjusted Land Total]]-Inventory[[#This Row],[24Lnd]])/Inventory[[#This Row],[24Lnd]]</f>
        <v>-0.38208409506398539</v>
      </c>
      <c r="BU1476" s="36">
        <f>(Inventory[[#This Row],[Adjusted Total]]-Inventory[[#This Row],[24Final]])/Inventory[[#This Row],[24Final]]</f>
        <v>7.1270036991368677E-2</v>
      </c>
    </row>
    <row r="1477" spans="1:73" x14ac:dyDescent="0.3">
      <c r="A1477" s="25">
        <v>2025</v>
      </c>
      <c r="B1477" s="26" t="s">
        <v>2746</v>
      </c>
      <c r="C1477" s="26">
        <f>LN(Inventory[[#This Row],[Acres]])</f>
        <v>-1.7719568419318752</v>
      </c>
      <c r="D1477" s="25">
        <v>0.17</v>
      </c>
      <c r="E1477" s="31"/>
      <c r="F1477" s="26" t="s">
        <v>537</v>
      </c>
      <c r="G1477" s="26" t="s">
        <v>126</v>
      </c>
      <c r="H1477" s="26" t="s">
        <v>349</v>
      </c>
      <c r="I1477" s="26" t="s">
        <v>538</v>
      </c>
      <c r="J1477" s="26" t="s">
        <v>539</v>
      </c>
      <c r="K1477" s="26" t="s">
        <v>242</v>
      </c>
      <c r="L1477" s="26" t="s">
        <v>351</v>
      </c>
      <c r="M1477" s="26" t="s">
        <v>303</v>
      </c>
      <c r="N1477" s="26">
        <v>90</v>
      </c>
      <c r="O1477" s="26">
        <f>2024-Inventory[[#This Row],[YrBlt]]</f>
        <v>88</v>
      </c>
      <c r="P1477" s="26">
        <f>2024-Inventory[[#This Row],[EffYr]]</f>
        <v>53</v>
      </c>
      <c r="Q1477" s="25">
        <v>1936</v>
      </c>
      <c r="R1477" s="25">
        <v>1971</v>
      </c>
      <c r="S1477" s="25">
        <v>980</v>
      </c>
      <c r="T1477" s="27"/>
      <c r="U1477" s="25">
        <v>980</v>
      </c>
      <c r="V1477" s="25">
        <f>Inventory[[#This Row],[Bsmt]]-Inventory[[#This Row],[FnBsmt]]</f>
        <v>98</v>
      </c>
      <c r="W1477" s="25">
        <v>882</v>
      </c>
      <c r="X1477" s="27"/>
      <c r="Y1477" s="27">
        <f>Inventory[[#This Row],[MainFn]]+Inventory[[#This Row],[UpprFn]]+Inventory[[#This Row],[FnBsmt]]+Inventory[[#This Row],[AddFn]]</f>
        <v>1862</v>
      </c>
      <c r="Z1477" s="27">
        <v>2000</v>
      </c>
      <c r="AA1477" s="25">
        <v>9</v>
      </c>
      <c r="AB1477" s="27"/>
      <c r="AC1477" s="27"/>
      <c r="AD1477" s="27"/>
      <c r="AE1477" s="27"/>
      <c r="AF1477" s="27"/>
      <c r="AG1477" s="27"/>
      <c r="AH1477" s="27"/>
      <c r="AI1477" s="25">
        <v>244870</v>
      </c>
      <c r="AJ1477" s="25">
        <v>168960</v>
      </c>
      <c r="AK1477" s="25">
        <v>4143</v>
      </c>
      <c r="AL1477" s="25">
        <v>331800</v>
      </c>
      <c r="AM1477" s="25">
        <v>52700</v>
      </c>
      <c r="AN1477" s="25">
        <v>279100</v>
      </c>
      <c r="AO1477" s="25">
        <v>0</v>
      </c>
      <c r="AP1477" s="25">
        <f>Lookups!$B$56*0</f>
        <v>0</v>
      </c>
      <c r="AQ1477" s="25">
        <f>Lookups!$B$56*1</f>
        <v>89850.625589999996</v>
      </c>
      <c r="AR1477" s="25">
        <f>Lookups!$B$57*Inventory[[#This Row],[LnAcres]]</f>
        <v>-56090.612940989391</v>
      </c>
      <c r="AS1477" s="25">
        <f>VLOOKUP(Inventory[[#This Row],[Qlty]],Lookups!$A$62:$E$75,2,FALSE)</f>
        <v>21557.329055999999</v>
      </c>
      <c r="AT1477" s="25">
        <f>VLOOKUP(Inventory[[#This Row],[Cnd]],Lookups!$A$76:$E$84,2,FALSE)</f>
        <v>197752.34721000001</v>
      </c>
      <c r="AU1477" s="25">
        <f>Inventory[[#This Row],[EffAge]]*Lookups!$B$85</f>
        <v>-11821.416826500001</v>
      </c>
      <c r="AV1477" s="25">
        <f>Inventory[[#This Row],[MainFn]]*Lookups!$B$86</f>
        <v>48420.496479460002</v>
      </c>
      <c r="AW1477" s="25">
        <f>Inventory[[#This Row],[UpprFn]]*Lookups!$B$87</f>
        <v>0</v>
      </c>
      <c r="AX1477" s="25">
        <f>Inventory[[#This Row],[AddFn]]*Lookups!$B$88</f>
        <v>0</v>
      </c>
      <c r="AY1477" s="25">
        <f>Inventory[[#This Row],[Bsmt]]*Lookups!$B$89</f>
        <v>28500.257342059998</v>
      </c>
      <c r="AZ1477" s="25">
        <f>Inventory[[#This Row],[Fixtures]]*Lookups!$B$90</f>
        <v>34128.198946800003</v>
      </c>
      <c r="BA1477" s="25">
        <f>Inventory[[#This Row],[WdDeck]]*Lookups!$B$91</f>
        <v>0</v>
      </c>
      <c r="BB1477" s="25">
        <f>ROUND(Inventory[[#This Row],[25Det]],-2)</f>
        <v>4100</v>
      </c>
      <c r="BC1477" s="25">
        <f>ROUND(SUM(Inventory[[#This Row],[Mdl Qlty]:[Mdl WdDeck]])+Inventory[[#This Row],[Mdl Res Intercept]],-2)</f>
        <v>318500</v>
      </c>
      <c r="BD1477" s="25">
        <f>ROUND(Inventory[[#This Row],[Mdl Land Intercept]]+Inventory[[#This Row],[Mdl LnAcres]],-2)</f>
        <v>33800</v>
      </c>
      <c r="BE1477" s="25">
        <f>Inventory[[#This Row],[Unadj Res Value]]+Inventory[[#This Row],[Unadj Det Value]]+Inventory[[#This Row],[Unadj Land Value]]</f>
        <v>356400</v>
      </c>
      <c r="BF1477" s="36">
        <f>(Inventory[[#This Row],[Unadj Total Value]]-Inventory[[#This Row],[24Final]])/Inventory[[#This Row],[24Final]]</f>
        <v>7.4141048824593131E-2</v>
      </c>
      <c r="BG1477" s="25">
        <f>VLOOKUP(Inventory[[#This Row],[Nbhd]],Lookups!$Q$2:$T$4,4,FALSE)</f>
        <v>0.99970000000000003</v>
      </c>
      <c r="BH1477" s="25">
        <f>VLOOKUP(Inventory[[#This Row],[Qlty]],Lookups!$O$7:$R$21,4,FALSE)</f>
        <v>1.0067999999999999</v>
      </c>
      <c r="BI1477" s="25">
        <f>VLOOKUP(Inventory[[#This Row],[Cnd]],Lookups!$T$7:$W$16,4,FALSE)</f>
        <v>0.99650000000000005</v>
      </c>
      <c r="BJ1477" s="25">
        <f>VLOOKUP(Inventory[[#This Row],[LivArea Range]],Lookups!$T$25:$W$37,4,FALSE)</f>
        <v>1.0093000000000001</v>
      </c>
      <c r="BK1477" s="25">
        <f>VLOOKUP(Inventory[[#This Row],[Decade]],Lookups!$O$25:$R$42,4,FALSE)</f>
        <v>0.98909999999999998</v>
      </c>
      <c r="BL1477" s="25">
        <f>Inventory[[#This Row],[Nbhd Adj]]*0.95</f>
        <v>0.94971499999999998</v>
      </c>
      <c r="BM1477" s="25">
        <f>Inventory[[#This Row],[Nbhd Adj]]*Inventory[[#This Row],[Quality Adj]]*Inventory[[#This Row],[Condition Adj]]*Inventory[[#This Row],[Living Area Adj]]*Inventory[[#This Row],[Decade Adj]]*0.95</f>
        <v>0.95120534593507355</v>
      </c>
      <c r="BN1477" s="25">
        <f>ROUND(SUM(Inventory[[#This Row],[Mdl Qlty]:[Mdl WdDeck]])+Inventory[[#This Row],[Mdl Res Intercept]]*Inventory[[#This Row],[Res Adj ]],-2)</f>
        <v>318500</v>
      </c>
      <c r="BO1477" s="25">
        <f>ROUND(Inventory[[#This Row],[25Det]]*Inventory[[#This Row],[Det/Nbhd Adj]],-2)</f>
        <v>3900</v>
      </c>
      <c r="BP1477" s="25">
        <f>Inventory[[#This Row],[Adjusted Res]]+Inventory[[#This Row],[Adj Det ]]</f>
        <v>322400</v>
      </c>
      <c r="BQ1477" s="25">
        <f>ROUND((Inventory[[#This Row],[Mdl Land Intercept]]+Inventory[[#This Row],[Mdl LnAcres]])*Inventory[[#This Row],[Det/Nbhd Adj]],-2)</f>
        <v>32100</v>
      </c>
      <c r="BR1477" s="25">
        <f>Inventory[[#This Row],[Adjusted Impr Total]]+Inventory[[#This Row],[Adjusted Land Total]]</f>
        <v>354500</v>
      </c>
      <c r="BS1477" s="36">
        <f>IFERROR((Inventory[[#This Row],[Adjusted Impr Total]]-Inventory[[#This Row],[24Bldg]])/Inventory[[#This Row],[24Bldg]],0)</f>
        <v>0.15514152633464709</v>
      </c>
      <c r="BT1477" s="36">
        <f>(Inventory[[#This Row],[Adjusted Land Total]]-Inventory[[#This Row],[24Lnd]])/Inventory[[#This Row],[24Lnd]]</f>
        <v>-0.39089184060721061</v>
      </c>
      <c r="BU1477" s="36">
        <f>(Inventory[[#This Row],[Adjusted Total]]-Inventory[[#This Row],[24Final]])/Inventory[[#This Row],[24Final]]</f>
        <v>6.8414707655213985E-2</v>
      </c>
    </row>
    <row r="1478" spans="1:73" x14ac:dyDescent="0.3">
      <c r="A1478" s="25">
        <v>2025</v>
      </c>
      <c r="B1478" s="26" t="s">
        <v>2268</v>
      </c>
      <c r="C1478" s="26">
        <f>LN(Inventory[[#This Row],[Acres]])</f>
        <v>-1.9661128563728327</v>
      </c>
      <c r="D1478" s="25">
        <v>0.14000000000000001</v>
      </c>
      <c r="E1478" s="27"/>
      <c r="F1478" s="26" t="s">
        <v>537</v>
      </c>
      <c r="G1478" s="26" t="s">
        <v>126</v>
      </c>
      <c r="H1478" s="26" t="s">
        <v>349</v>
      </c>
      <c r="I1478" s="26" t="s">
        <v>538</v>
      </c>
      <c r="J1478" s="26" t="s">
        <v>539</v>
      </c>
      <c r="K1478" s="26" t="s">
        <v>269</v>
      </c>
      <c r="L1478" s="26" t="s">
        <v>351</v>
      </c>
      <c r="M1478" s="26" t="s">
        <v>206</v>
      </c>
      <c r="N1478" s="26">
        <v>90</v>
      </c>
      <c r="O1478" s="26">
        <f>2024-Inventory[[#This Row],[YrBlt]]</f>
        <v>88</v>
      </c>
      <c r="P1478" s="26">
        <f>2024-Inventory[[#This Row],[EffYr]]</f>
        <v>53</v>
      </c>
      <c r="Q1478" s="25">
        <v>1936</v>
      </c>
      <c r="R1478" s="25">
        <v>1971</v>
      </c>
      <c r="S1478" s="25">
        <v>910</v>
      </c>
      <c r="T1478" s="31"/>
      <c r="U1478" s="25">
        <v>910</v>
      </c>
      <c r="V1478" s="25">
        <f>Inventory[[#This Row],[Bsmt]]-Inventory[[#This Row],[FnBsmt]]</f>
        <v>264</v>
      </c>
      <c r="W1478" s="25">
        <v>646</v>
      </c>
      <c r="X1478" s="27"/>
      <c r="Y1478" s="27">
        <f>Inventory[[#This Row],[MainFn]]+Inventory[[#This Row],[UpprFn]]+Inventory[[#This Row],[FnBsmt]]+Inventory[[#This Row],[AddFn]]</f>
        <v>1556</v>
      </c>
      <c r="Z1478" s="27">
        <v>2000</v>
      </c>
      <c r="AA1478" s="25">
        <v>5</v>
      </c>
      <c r="AB1478" s="31"/>
      <c r="AC1478" s="27"/>
      <c r="AD1478" s="27"/>
      <c r="AE1478" s="27"/>
      <c r="AF1478" s="27"/>
      <c r="AG1478" s="27"/>
      <c r="AH1478" s="27"/>
      <c r="AI1478" s="25">
        <v>235596</v>
      </c>
      <c r="AJ1478" s="25">
        <v>153137</v>
      </c>
      <c r="AK1478" s="25">
        <v>0</v>
      </c>
      <c r="AL1478" s="25">
        <v>251700</v>
      </c>
      <c r="AM1478" s="25">
        <v>46000</v>
      </c>
      <c r="AN1478" s="25">
        <v>205700</v>
      </c>
      <c r="AO1478" s="25">
        <v>0</v>
      </c>
      <c r="AP1478" s="25">
        <f>Lookups!$B$56*0</f>
        <v>0</v>
      </c>
      <c r="AQ1478" s="25">
        <f>Lookups!$B$56*1</f>
        <v>89850.625589999996</v>
      </c>
      <c r="AR1478" s="25">
        <f>Lookups!$B$57*Inventory[[#This Row],[LnAcres]]</f>
        <v>-62236.546971921947</v>
      </c>
      <c r="AS1478" s="25">
        <f>VLOOKUP(Inventory[[#This Row],[Qlty]],Lookups!$A$62:$E$75,2,FALSE)</f>
        <v>21557.329055999999</v>
      </c>
      <c r="AT1478" s="25">
        <f>VLOOKUP(Inventory[[#This Row],[Cnd]],Lookups!$A$76:$E$84,2,FALSE)</f>
        <v>133714.53821</v>
      </c>
      <c r="AU1478" s="25">
        <f>Inventory[[#This Row],[EffAge]]*Lookups!$B$85</f>
        <v>-11821.416826500001</v>
      </c>
      <c r="AV1478" s="25">
        <f>Inventory[[#This Row],[MainFn]]*Lookups!$B$86</f>
        <v>44961.88958807</v>
      </c>
      <c r="AW1478" s="25">
        <f>Inventory[[#This Row],[UpprFn]]*Lookups!$B$87</f>
        <v>0</v>
      </c>
      <c r="AX1478" s="25">
        <f>Inventory[[#This Row],[AddFn]]*Lookups!$B$88</f>
        <v>0</v>
      </c>
      <c r="AY1478" s="25">
        <f>Inventory[[#This Row],[Bsmt]]*Lookups!$B$89</f>
        <v>26464.52467477</v>
      </c>
      <c r="AZ1478" s="25">
        <f>Inventory[[#This Row],[Fixtures]]*Lookups!$B$90</f>
        <v>18960.110526</v>
      </c>
      <c r="BA1478" s="25">
        <f>Inventory[[#This Row],[WdDeck]]*Lookups!$B$91</f>
        <v>0</v>
      </c>
      <c r="BB1478" s="25">
        <f>ROUND(Inventory[[#This Row],[25Det]],-2)</f>
        <v>0</v>
      </c>
      <c r="BC1478" s="25">
        <f>ROUND(SUM(Inventory[[#This Row],[Mdl Qlty]:[Mdl WdDeck]])+Inventory[[#This Row],[Mdl Res Intercept]],-2)</f>
        <v>233800</v>
      </c>
      <c r="BD1478" s="25">
        <f>ROUND(Inventory[[#This Row],[Mdl Land Intercept]]+Inventory[[#This Row],[Mdl LnAcres]],-2)</f>
        <v>27600</v>
      </c>
      <c r="BE1478" s="25">
        <f>Inventory[[#This Row],[Unadj Res Value]]+Inventory[[#This Row],[Unadj Det Value]]+Inventory[[#This Row],[Unadj Land Value]]</f>
        <v>261400</v>
      </c>
      <c r="BF1478" s="36">
        <f>(Inventory[[#This Row],[Unadj Total Value]]-Inventory[[#This Row],[24Final]])/Inventory[[#This Row],[24Final]]</f>
        <v>3.8537941994437823E-2</v>
      </c>
      <c r="BG1478" s="25">
        <f>VLOOKUP(Inventory[[#This Row],[Nbhd]],Lookups!$Q$2:$T$4,4,FALSE)</f>
        <v>0.99970000000000003</v>
      </c>
      <c r="BH1478" s="25">
        <f>VLOOKUP(Inventory[[#This Row],[Qlty]],Lookups!$O$7:$R$21,4,FALSE)</f>
        <v>1.0067999999999999</v>
      </c>
      <c r="BI1478" s="25">
        <f>VLOOKUP(Inventory[[#This Row],[Cnd]],Lookups!$T$7:$W$16,4,FALSE)</f>
        <v>0.99329999999999996</v>
      </c>
      <c r="BJ1478" s="25">
        <f>VLOOKUP(Inventory[[#This Row],[LivArea Range]],Lookups!$T$25:$W$37,4,FALSE)</f>
        <v>1.0093000000000001</v>
      </c>
      <c r="BK1478" s="25">
        <f>VLOOKUP(Inventory[[#This Row],[Decade]],Lookups!$O$25:$R$42,4,FALSE)</f>
        <v>0.98909999999999998</v>
      </c>
      <c r="BL1478" s="25">
        <f>Inventory[[#This Row],[Nbhd Adj]]*0.95</f>
        <v>0.94971499999999998</v>
      </c>
      <c r="BM1478" s="25">
        <f>Inventory[[#This Row],[Nbhd Adj]]*Inventory[[#This Row],[Quality Adj]]*Inventory[[#This Row],[Condition Adj]]*Inventory[[#This Row],[Living Area Adj]]*Inventory[[#This Row],[Decade Adj]]*0.95</f>
        <v>0.94815079790999368</v>
      </c>
      <c r="BN1478" s="25">
        <f>ROUND(SUM(Inventory[[#This Row],[Mdl Qlty]:[Mdl WdDeck]])+Inventory[[#This Row],[Mdl Res Intercept]]*Inventory[[#This Row],[Res Adj ]],-2)</f>
        <v>233800</v>
      </c>
      <c r="BO1478" s="25">
        <f>ROUND(Inventory[[#This Row],[25Det]]*Inventory[[#This Row],[Det/Nbhd Adj]],-2)</f>
        <v>0</v>
      </c>
      <c r="BP1478" s="25">
        <f>Inventory[[#This Row],[Adjusted Res]]+Inventory[[#This Row],[Adj Det ]]</f>
        <v>233800</v>
      </c>
      <c r="BQ1478" s="25">
        <f>ROUND((Inventory[[#This Row],[Mdl Land Intercept]]+Inventory[[#This Row],[Mdl LnAcres]])*Inventory[[#This Row],[Det/Nbhd Adj]],-2)</f>
        <v>26200</v>
      </c>
      <c r="BR1478" s="25">
        <f>Inventory[[#This Row],[Adjusted Impr Total]]+Inventory[[#This Row],[Adjusted Land Total]]</f>
        <v>260000</v>
      </c>
      <c r="BS1478" s="36">
        <f>IFERROR((Inventory[[#This Row],[Adjusted Impr Total]]-Inventory[[#This Row],[24Bldg]])/Inventory[[#This Row],[24Bldg]],0)</f>
        <v>0.13660670879922218</v>
      </c>
      <c r="BT1478" s="36">
        <f>(Inventory[[#This Row],[Adjusted Land Total]]-Inventory[[#This Row],[24Lnd]])/Inventory[[#This Row],[24Lnd]]</f>
        <v>-0.43043478260869567</v>
      </c>
      <c r="BU1478" s="36">
        <f>(Inventory[[#This Row],[Adjusted Total]]-Inventory[[#This Row],[24Final]])/Inventory[[#This Row],[24Final]]</f>
        <v>3.2975764799364322E-2</v>
      </c>
    </row>
    <row r="1479" spans="1:73" x14ac:dyDescent="0.3">
      <c r="A1479" s="25">
        <v>2025</v>
      </c>
      <c r="B1479" s="26" t="s">
        <v>2853</v>
      </c>
      <c r="C1479" s="26">
        <f>LN(Inventory[[#This Row],[Acres]])</f>
        <v>-1.1394342831883648</v>
      </c>
      <c r="D1479" s="25">
        <v>0.32</v>
      </c>
      <c r="E1479" s="25">
        <v>14153</v>
      </c>
      <c r="F1479" s="26" t="s">
        <v>537</v>
      </c>
      <c r="G1479" s="26" t="s">
        <v>126</v>
      </c>
      <c r="H1479" s="26" t="s">
        <v>349</v>
      </c>
      <c r="I1479" s="26" t="s">
        <v>538</v>
      </c>
      <c r="J1479" s="26" t="s">
        <v>539</v>
      </c>
      <c r="K1479" s="26" t="s">
        <v>301</v>
      </c>
      <c r="L1479" s="26" t="s">
        <v>64</v>
      </c>
      <c r="M1479" s="26" t="s">
        <v>303</v>
      </c>
      <c r="N1479" s="26">
        <v>90</v>
      </c>
      <c r="O1479" s="26">
        <f>2024-Inventory[[#This Row],[YrBlt]]</f>
        <v>88</v>
      </c>
      <c r="P1479" s="26">
        <f>2024-Inventory[[#This Row],[EffYr]]</f>
        <v>53</v>
      </c>
      <c r="Q1479" s="25">
        <v>1936</v>
      </c>
      <c r="R1479" s="25">
        <v>1971</v>
      </c>
      <c r="S1479" s="25">
        <v>1362</v>
      </c>
      <c r="T1479" s="25">
        <v>1158</v>
      </c>
      <c r="U1479" s="25">
        <v>704</v>
      </c>
      <c r="V1479" s="32">
        <f>Inventory[[#This Row],[Bsmt]]-Inventory[[#This Row],[FnBsmt]]</f>
        <v>704</v>
      </c>
      <c r="W1479" s="27"/>
      <c r="X1479" s="27"/>
      <c r="Y1479" s="27">
        <f>Inventory[[#This Row],[MainFn]]+Inventory[[#This Row],[UpprFn]]+Inventory[[#This Row],[FnBsmt]]+Inventory[[#This Row],[AddFn]]</f>
        <v>2520</v>
      </c>
      <c r="Z1479" s="27">
        <v>3000</v>
      </c>
      <c r="AA1479" s="25">
        <v>12</v>
      </c>
      <c r="AB1479" s="32">
        <v>480</v>
      </c>
      <c r="AC1479" s="27"/>
      <c r="AD1479" s="32">
        <v>150</v>
      </c>
      <c r="AE1479" s="27"/>
      <c r="AF1479" s="27"/>
      <c r="AG1479" s="27"/>
      <c r="AH1479" s="27"/>
      <c r="AI1479" s="25">
        <v>743954</v>
      </c>
      <c r="AJ1479" s="25">
        <v>520768</v>
      </c>
      <c r="AK1479" s="25">
        <v>0</v>
      </c>
      <c r="AL1479" s="25">
        <v>580300</v>
      </c>
      <c r="AM1479" s="25">
        <v>74800</v>
      </c>
      <c r="AN1479" s="25">
        <v>505500</v>
      </c>
      <c r="AO1479" s="25">
        <v>0</v>
      </c>
      <c r="AP1479" s="25">
        <f>Lookups!$B$56*0</f>
        <v>0</v>
      </c>
      <c r="AQ1479" s="25">
        <f>Lookups!$B$56*1</f>
        <v>89850.625589999996</v>
      </c>
      <c r="AR1479" s="25">
        <f>Lookups!$B$57*Inventory[[#This Row],[LnAcres]]</f>
        <v>-36068.354396449467</v>
      </c>
      <c r="AS1479" s="25">
        <f>VLOOKUP(Inventory[[#This Row],[Qlty]],Lookups!$A$62:$E$75,2,FALSE)</f>
        <v>163885.03753</v>
      </c>
      <c r="AT1479" s="25">
        <f>VLOOKUP(Inventory[[#This Row],[Cnd]],Lookups!$A$76:$E$84,2,FALSE)</f>
        <v>197752.34721000001</v>
      </c>
      <c r="AU1479" s="25">
        <f>Inventory[[#This Row],[EffAge]]*Lookups!$B$85</f>
        <v>-11821.416826500001</v>
      </c>
      <c r="AV1479" s="25">
        <f>Inventory[[#This Row],[MainFn]]*Lookups!$B$86</f>
        <v>67294.608372474002</v>
      </c>
      <c r="AW1479" s="25">
        <f>Inventory[[#This Row],[UpprFn]]*Lookups!$B$87</f>
        <v>51862.677673038001</v>
      </c>
      <c r="AX1479" s="25">
        <f>Inventory[[#This Row],[AddFn]]*Lookups!$B$88</f>
        <v>0</v>
      </c>
      <c r="AY1479" s="25">
        <f>Inventory[[#This Row],[Bsmt]]*Lookups!$B$89</f>
        <v>20473.654253887998</v>
      </c>
      <c r="AZ1479" s="25">
        <f>Inventory[[#This Row],[Fixtures]]*Lookups!$B$90</f>
        <v>45504.265262400004</v>
      </c>
      <c r="BA1479" s="25">
        <f>Inventory[[#This Row],[WdDeck]]*Lookups!$B$91</f>
        <v>4994.3272914000008</v>
      </c>
      <c r="BB1479" s="25">
        <f>ROUND(Inventory[[#This Row],[25Det]],-2)</f>
        <v>0</v>
      </c>
      <c r="BC1479" s="25">
        <f>ROUND(SUM(Inventory[[#This Row],[Mdl Qlty]:[Mdl WdDeck]])+Inventory[[#This Row],[Mdl Res Intercept]],-2)</f>
        <v>539900</v>
      </c>
      <c r="BD1479" s="25">
        <f>ROUND(Inventory[[#This Row],[Mdl Land Intercept]]+Inventory[[#This Row],[Mdl LnAcres]],-2)</f>
        <v>53800</v>
      </c>
      <c r="BE1479" s="25">
        <f>Inventory[[#This Row],[Unadj Res Value]]+Inventory[[#This Row],[Unadj Det Value]]+Inventory[[#This Row],[Unadj Land Value]]</f>
        <v>593700</v>
      </c>
      <c r="BF1479" s="36">
        <f>(Inventory[[#This Row],[Unadj Total Value]]-Inventory[[#This Row],[24Final]])/Inventory[[#This Row],[24Final]]</f>
        <v>2.309150439427882E-2</v>
      </c>
      <c r="BG1479" s="25">
        <f>VLOOKUP(Inventory[[#This Row],[Nbhd]],Lookups!$Q$2:$T$4,4,FALSE)</f>
        <v>0.99970000000000003</v>
      </c>
      <c r="BH1479" s="25">
        <f>VLOOKUP(Inventory[[#This Row],[Qlty]],Lookups!$O$7:$R$21,4,FALSE)</f>
        <v>1</v>
      </c>
      <c r="BI1479" s="25">
        <f>VLOOKUP(Inventory[[#This Row],[Cnd]],Lookups!$T$7:$W$16,4,FALSE)</f>
        <v>0.99650000000000005</v>
      </c>
      <c r="BJ1479" s="25">
        <f>VLOOKUP(Inventory[[#This Row],[LivArea Range]],Lookups!$T$25:$W$37,4,FALSE)</f>
        <v>0.96179999999999999</v>
      </c>
      <c r="BK1479" s="25">
        <f>VLOOKUP(Inventory[[#This Row],[Decade]],Lookups!$O$25:$R$42,4,FALSE)</f>
        <v>0.98909999999999998</v>
      </c>
      <c r="BL1479" s="25">
        <f>Inventory[[#This Row],[Nbhd Adj]]*0.95</f>
        <v>0.94971499999999998</v>
      </c>
      <c r="BM1479" s="25">
        <f>Inventory[[#This Row],[Nbhd Adj]]*Inventory[[#This Row],[Quality Adj]]*Inventory[[#This Row],[Condition Adj]]*Inventory[[#This Row],[Living Area Adj]]*Inventory[[#This Row],[Decade Adj]]*0.95</f>
        <v>0.90031725780628902</v>
      </c>
      <c r="BN1479" s="25">
        <f>ROUND(SUM(Inventory[[#This Row],[Mdl Qlty]:[Mdl WdDeck]])+Inventory[[#This Row],[Mdl Res Intercept]]*Inventory[[#This Row],[Res Adj ]],-2)</f>
        <v>539900</v>
      </c>
      <c r="BO1479" s="25">
        <f>ROUND(Inventory[[#This Row],[25Det]]*Inventory[[#This Row],[Det/Nbhd Adj]],-2)</f>
        <v>0</v>
      </c>
      <c r="BP1479" s="25">
        <f>Inventory[[#This Row],[Adjusted Res]]+Inventory[[#This Row],[Adj Det ]]</f>
        <v>539900</v>
      </c>
      <c r="BQ1479" s="25">
        <f>ROUND((Inventory[[#This Row],[Mdl Land Intercept]]+Inventory[[#This Row],[Mdl LnAcres]])*Inventory[[#This Row],[Det/Nbhd Adj]],-2)</f>
        <v>51100</v>
      </c>
      <c r="BR1479" s="25">
        <f>Inventory[[#This Row],[Adjusted Impr Total]]+Inventory[[#This Row],[Adjusted Land Total]]</f>
        <v>591000</v>
      </c>
      <c r="BS1479" s="36">
        <f>IFERROR((Inventory[[#This Row],[Adjusted Impr Total]]-Inventory[[#This Row],[24Bldg]])/Inventory[[#This Row],[24Bldg]],0)</f>
        <v>6.8051434223541055E-2</v>
      </c>
      <c r="BT1479" s="36">
        <f>(Inventory[[#This Row],[Adjusted Land Total]]-Inventory[[#This Row],[24Lnd]])/Inventory[[#This Row],[24Lnd]]</f>
        <v>-0.31684491978609625</v>
      </c>
      <c r="BU1479" s="36">
        <f>(Inventory[[#This Row],[Adjusted Total]]-Inventory[[#This Row],[24Final]])/Inventory[[#This Row],[24Final]]</f>
        <v>1.8438738583491297E-2</v>
      </c>
    </row>
    <row r="1480" spans="1:73" x14ac:dyDescent="0.3">
      <c r="A1480" s="25">
        <v>2025</v>
      </c>
      <c r="B1480" s="26" t="s">
        <v>1242</v>
      </c>
      <c r="C1480" s="26">
        <f>LN(Inventory[[#This Row],[Acres]])</f>
        <v>-1.7719568419318752</v>
      </c>
      <c r="D1480" s="25">
        <v>0.17</v>
      </c>
      <c r="E1480" s="32">
        <v>7560</v>
      </c>
      <c r="F1480" s="26" t="s">
        <v>537</v>
      </c>
      <c r="G1480" s="26" t="s">
        <v>126</v>
      </c>
      <c r="H1480" s="26" t="s">
        <v>349</v>
      </c>
      <c r="I1480" s="26" t="s">
        <v>538</v>
      </c>
      <c r="J1480" s="26" t="s">
        <v>539</v>
      </c>
      <c r="K1480" s="26" t="s">
        <v>301</v>
      </c>
      <c r="L1480" s="26" t="s">
        <v>64</v>
      </c>
      <c r="M1480" s="26" t="s">
        <v>303</v>
      </c>
      <c r="N1480" s="26">
        <v>90</v>
      </c>
      <c r="O1480" s="26">
        <f>2024-Inventory[[#This Row],[YrBlt]]</f>
        <v>88</v>
      </c>
      <c r="P1480" s="26">
        <f>2024-Inventory[[#This Row],[EffYr]]</f>
        <v>53</v>
      </c>
      <c r="Q1480" s="25">
        <v>1936</v>
      </c>
      <c r="R1480" s="25">
        <v>1971</v>
      </c>
      <c r="S1480" s="25">
        <v>2049</v>
      </c>
      <c r="T1480" s="32">
        <v>1072</v>
      </c>
      <c r="U1480" s="25">
        <v>1139</v>
      </c>
      <c r="V1480" s="25">
        <f>Inventory[[#This Row],[Bsmt]]-Inventory[[#This Row],[FnBsmt]]</f>
        <v>1139</v>
      </c>
      <c r="W1480" s="31"/>
      <c r="X1480" s="27"/>
      <c r="Y1480" s="27">
        <f>Inventory[[#This Row],[MainFn]]+Inventory[[#This Row],[UpprFn]]+Inventory[[#This Row],[FnBsmt]]+Inventory[[#This Row],[AddFn]]</f>
        <v>3121</v>
      </c>
      <c r="Z1480" s="27">
        <v>3500</v>
      </c>
      <c r="AA1480" s="25">
        <v>11</v>
      </c>
      <c r="AB1480" s="31"/>
      <c r="AC1480" s="27"/>
      <c r="AD1480" s="31"/>
      <c r="AE1480" s="27"/>
      <c r="AF1480" s="27"/>
      <c r="AG1480" s="27"/>
      <c r="AH1480" s="27"/>
      <c r="AI1480" s="25">
        <v>827163</v>
      </c>
      <c r="AJ1480" s="25">
        <v>579014</v>
      </c>
      <c r="AK1480" s="25">
        <v>0</v>
      </c>
      <c r="AL1480" s="25">
        <v>599500</v>
      </c>
      <c r="AM1480" s="25">
        <v>52700</v>
      </c>
      <c r="AN1480" s="25">
        <v>546800</v>
      </c>
      <c r="AO1480" s="25">
        <v>0</v>
      </c>
      <c r="AP1480" s="25">
        <f>Lookups!$B$56*0</f>
        <v>0</v>
      </c>
      <c r="AQ1480" s="25">
        <f>Lookups!$B$56*1</f>
        <v>89850.625589999996</v>
      </c>
      <c r="AR1480" s="25">
        <f>Lookups!$B$57*Inventory[[#This Row],[LnAcres]]</f>
        <v>-56090.612940989391</v>
      </c>
      <c r="AS1480" s="25">
        <f>VLOOKUP(Inventory[[#This Row],[Qlty]],Lookups!$A$62:$E$75,2,FALSE)</f>
        <v>163885.03753</v>
      </c>
      <c r="AT1480" s="25">
        <f>VLOOKUP(Inventory[[#This Row],[Cnd]],Lookups!$A$76:$E$84,2,FALSE)</f>
        <v>197752.34721000001</v>
      </c>
      <c r="AU1480" s="25">
        <f>Inventory[[#This Row],[EffAge]]*Lookups!$B$85</f>
        <v>-11821.416826500001</v>
      </c>
      <c r="AV1480" s="25">
        <f>Inventory[[#This Row],[MainFn]]*Lookups!$B$86</f>
        <v>101238.364577973</v>
      </c>
      <c r="AW1480" s="25">
        <f>Inventory[[#This Row],[UpprFn]]*Lookups!$B$87</f>
        <v>48011.045306991997</v>
      </c>
      <c r="AX1480" s="25">
        <f>Inventory[[#This Row],[AddFn]]*Lookups!$B$88</f>
        <v>0</v>
      </c>
      <c r="AY1480" s="25">
        <f>Inventory[[#This Row],[Bsmt]]*Lookups!$B$89</f>
        <v>33124.278686332997</v>
      </c>
      <c r="AZ1480" s="25">
        <f>Inventory[[#This Row],[Fixtures]]*Lookups!$B$90</f>
        <v>41712.243157199999</v>
      </c>
      <c r="BA1480" s="25">
        <f>Inventory[[#This Row],[WdDeck]]*Lookups!$B$91</f>
        <v>0</v>
      </c>
      <c r="BB1480" s="25">
        <f>ROUND(Inventory[[#This Row],[25Det]],-2)</f>
        <v>0</v>
      </c>
      <c r="BC1480" s="25">
        <f>ROUND(SUM(Inventory[[#This Row],[Mdl Qlty]:[Mdl WdDeck]])+Inventory[[#This Row],[Mdl Res Intercept]],-2)</f>
        <v>573900</v>
      </c>
      <c r="BD1480" s="25">
        <f>ROUND(Inventory[[#This Row],[Mdl Land Intercept]]+Inventory[[#This Row],[Mdl LnAcres]],-2)</f>
        <v>33800</v>
      </c>
      <c r="BE1480" s="25">
        <f>Inventory[[#This Row],[Unadj Res Value]]+Inventory[[#This Row],[Unadj Det Value]]+Inventory[[#This Row],[Unadj Land Value]]</f>
        <v>607700</v>
      </c>
      <c r="BF1480" s="36">
        <f>(Inventory[[#This Row],[Unadj Total Value]]-Inventory[[#This Row],[24Final]])/Inventory[[#This Row],[24Final]]</f>
        <v>1.3678065054211843E-2</v>
      </c>
      <c r="BG1480" s="25">
        <f>VLOOKUP(Inventory[[#This Row],[Nbhd]],Lookups!$Q$2:$T$4,4,FALSE)</f>
        <v>0.99970000000000003</v>
      </c>
      <c r="BH1480" s="25">
        <f>VLOOKUP(Inventory[[#This Row],[Qlty]],Lookups!$O$7:$R$21,4,FALSE)</f>
        <v>1</v>
      </c>
      <c r="BI1480" s="25">
        <f>VLOOKUP(Inventory[[#This Row],[Cnd]],Lookups!$T$7:$W$16,4,FALSE)</f>
        <v>0.99650000000000005</v>
      </c>
      <c r="BJ1480" s="25">
        <f>VLOOKUP(Inventory[[#This Row],[LivArea Range]],Lookups!$T$25:$W$37,4,FALSE)</f>
        <v>1.0126999999999999</v>
      </c>
      <c r="BK1480" s="25">
        <f>VLOOKUP(Inventory[[#This Row],[Decade]],Lookups!$O$25:$R$42,4,FALSE)</f>
        <v>0.98909999999999998</v>
      </c>
      <c r="BL1480" s="25">
        <f>Inventory[[#This Row],[Nbhd Adj]]*0.95</f>
        <v>0.94971499999999998</v>
      </c>
      <c r="BM1480" s="25">
        <f>Inventory[[#This Row],[Nbhd Adj]]*Inventory[[#This Row],[Quality Adj]]*Inventory[[#This Row],[Condition Adj]]*Inventory[[#This Row],[Living Area Adj]]*Inventory[[#This Row],[Decade Adj]]*0.95</f>
        <v>0.947963492389716</v>
      </c>
      <c r="BN1480" s="25">
        <f>ROUND(SUM(Inventory[[#This Row],[Mdl Qlty]:[Mdl WdDeck]])+Inventory[[#This Row],[Mdl Res Intercept]]*Inventory[[#This Row],[Res Adj ]],-2)</f>
        <v>573900</v>
      </c>
      <c r="BO1480" s="25">
        <f>ROUND(Inventory[[#This Row],[25Det]]*Inventory[[#This Row],[Det/Nbhd Adj]],-2)</f>
        <v>0</v>
      </c>
      <c r="BP1480" s="25">
        <f>Inventory[[#This Row],[Adjusted Res]]+Inventory[[#This Row],[Adj Det ]]</f>
        <v>573900</v>
      </c>
      <c r="BQ1480" s="25">
        <f>ROUND((Inventory[[#This Row],[Mdl Land Intercept]]+Inventory[[#This Row],[Mdl LnAcres]])*Inventory[[#This Row],[Det/Nbhd Adj]],-2)</f>
        <v>32100</v>
      </c>
      <c r="BR1480" s="25">
        <f>Inventory[[#This Row],[Adjusted Impr Total]]+Inventory[[#This Row],[Adjusted Land Total]]</f>
        <v>606000</v>
      </c>
      <c r="BS1480" s="36">
        <f>IFERROR((Inventory[[#This Row],[Adjusted Impr Total]]-Inventory[[#This Row],[24Bldg]])/Inventory[[#This Row],[24Bldg]],0)</f>
        <v>4.9561082662765182E-2</v>
      </c>
      <c r="BT1480" s="36">
        <f>(Inventory[[#This Row],[Adjusted Land Total]]-Inventory[[#This Row],[24Lnd]])/Inventory[[#This Row],[24Lnd]]</f>
        <v>-0.39089184060721061</v>
      </c>
      <c r="BU1480" s="36">
        <f>(Inventory[[#This Row],[Adjusted Total]]-Inventory[[#This Row],[24Final]])/Inventory[[#This Row],[24Final]]</f>
        <v>1.0842368640533779E-2</v>
      </c>
    </row>
    <row r="1481" spans="1:73" x14ac:dyDescent="0.3">
      <c r="A1481" s="25">
        <v>2025</v>
      </c>
      <c r="B1481" s="26" t="s">
        <v>2666</v>
      </c>
      <c r="C1481" s="26">
        <f>LN(Inventory[[#This Row],[Acres]])</f>
        <v>-1.7719568419318752</v>
      </c>
      <c r="D1481" s="25">
        <v>0.17</v>
      </c>
      <c r="E1481" s="32">
        <v>7499</v>
      </c>
      <c r="F1481" s="26" t="s">
        <v>537</v>
      </c>
      <c r="G1481" s="26" t="s">
        <v>126</v>
      </c>
      <c r="H1481" s="26" t="s">
        <v>349</v>
      </c>
      <c r="I1481" s="26" t="s">
        <v>538</v>
      </c>
      <c r="J1481" s="26" t="s">
        <v>539</v>
      </c>
      <c r="K1481" s="26" t="s">
        <v>242</v>
      </c>
      <c r="L1481" s="26" t="s">
        <v>302</v>
      </c>
      <c r="M1481" s="26" t="s">
        <v>323</v>
      </c>
      <c r="N1481" s="26">
        <v>90</v>
      </c>
      <c r="O1481" s="26">
        <f>2024-Inventory[[#This Row],[YrBlt]]</f>
        <v>88</v>
      </c>
      <c r="P1481" s="26">
        <f>2024-Inventory[[#This Row],[EffYr]]</f>
        <v>53</v>
      </c>
      <c r="Q1481" s="25">
        <v>1936</v>
      </c>
      <c r="R1481" s="25">
        <v>1971</v>
      </c>
      <c r="S1481" s="25">
        <v>1277</v>
      </c>
      <c r="T1481" s="27"/>
      <c r="U1481" s="25">
        <v>494</v>
      </c>
      <c r="V1481" s="25">
        <f>Inventory[[#This Row],[Bsmt]]-Inventory[[#This Row],[FnBsmt]]</f>
        <v>0</v>
      </c>
      <c r="W1481" s="25">
        <v>494</v>
      </c>
      <c r="X1481" s="27"/>
      <c r="Y1481" s="27">
        <f>Inventory[[#This Row],[MainFn]]+Inventory[[#This Row],[UpprFn]]+Inventory[[#This Row],[FnBsmt]]+Inventory[[#This Row],[AddFn]]</f>
        <v>1771</v>
      </c>
      <c r="Z1481" s="27">
        <v>2000</v>
      </c>
      <c r="AA1481" s="25">
        <v>9</v>
      </c>
      <c r="AB1481" s="25">
        <v>304</v>
      </c>
      <c r="AC1481" s="27"/>
      <c r="AD1481" s="31"/>
      <c r="AE1481" s="27"/>
      <c r="AF1481" s="27"/>
      <c r="AG1481" s="27"/>
      <c r="AH1481" s="27"/>
      <c r="AI1481" s="25">
        <v>317875</v>
      </c>
      <c r="AJ1481" s="25">
        <v>212976</v>
      </c>
      <c r="AK1481" s="25">
        <v>0</v>
      </c>
      <c r="AL1481" s="25">
        <v>334600</v>
      </c>
      <c r="AM1481" s="25">
        <v>52700</v>
      </c>
      <c r="AN1481" s="25">
        <v>281900</v>
      </c>
      <c r="AO1481" s="25">
        <v>0</v>
      </c>
      <c r="AP1481" s="25">
        <f>Lookups!$B$56*0</f>
        <v>0</v>
      </c>
      <c r="AQ1481" s="25">
        <f>Lookups!$B$56*1</f>
        <v>89850.625589999996</v>
      </c>
      <c r="AR1481" s="25">
        <f>Lookups!$B$57*Inventory[[#This Row],[LnAcres]]</f>
        <v>-56090.612940989391</v>
      </c>
      <c r="AS1481" s="25">
        <f>VLOOKUP(Inventory[[#This Row],[Qlty]],Lookups!$A$62:$E$75,2,FALSE)</f>
        <v>29814.093161000001</v>
      </c>
      <c r="AT1481" s="25">
        <f>VLOOKUP(Inventory[[#This Row],[Cnd]],Lookups!$A$76:$E$84,2,FALSE)</f>
        <v>160472.20319</v>
      </c>
      <c r="AU1481" s="25">
        <f>Inventory[[#This Row],[EffAge]]*Lookups!$B$85</f>
        <v>-11821.416826500001</v>
      </c>
      <c r="AV1481" s="25">
        <f>Inventory[[#This Row],[MainFn]]*Lookups!$B$86</f>
        <v>63094.871432929001</v>
      </c>
      <c r="AW1481" s="25">
        <f>Inventory[[#This Row],[UpprFn]]*Lookups!$B$87</f>
        <v>0</v>
      </c>
      <c r="AX1481" s="25">
        <f>Inventory[[#This Row],[AddFn]]*Lookups!$B$88</f>
        <v>0</v>
      </c>
      <c r="AY1481" s="25">
        <f>Inventory[[#This Row],[Bsmt]]*Lookups!$B$89</f>
        <v>14366.456252017999</v>
      </c>
      <c r="AZ1481" s="25">
        <f>Inventory[[#This Row],[Fixtures]]*Lookups!$B$90</f>
        <v>34128.198946800003</v>
      </c>
      <c r="BA1481" s="25">
        <f>Inventory[[#This Row],[WdDeck]]*Lookups!$B$91</f>
        <v>0</v>
      </c>
      <c r="BB1481" s="25">
        <f>ROUND(Inventory[[#This Row],[25Det]],-2)</f>
        <v>0</v>
      </c>
      <c r="BC1481" s="25">
        <f>ROUND(SUM(Inventory[[#This Row],[Mdl Qlty]:[Mdl WdDeck]])+Inventory[[#This Row],[Mdl Res Intercept]],-2)</f>
        <v>290100</v>
      </c>
      <c r="BD1481" s="25">
        <f>ROUND(Inventory[[#This Row],[Mdl Land Intercept]]+Inventory[[#This Row],[Mdl LnAcres]],-2)</f>
        <v>33800</v>
      </c>
      <c r="BE1481" s="25">
        <f>Inventory[[#This Row],[Unadj Res Value]]+Inventory[[#This Row],[Unadj Det Value]]+Inventory[[#This Row],[Unadj Land Value]]</f>
        <v>323900</v>
      </c>
      <c r="BF1481" s="36">
        <f>(Inventory[[#This Row],[Unadj Total Value]]-Inventory[[#This Row],[24Final]])/Inventory[[#This Row],[24Final]]</f>
        <v>-3.197848176927675E-2</v>
      </c>
      <c r="BG1481" s="25">
        <f>VLOOKUP(Inventory[[#This Row],[Nbhd]],Lookups!$Q$2:$T$4,4,FALSE)</f>
        <v>0.99970000000000003</v>
      </c>
      <c r="BH1481" s="25">
        <f>VLOOKUP(Inventory[[#This Row],[Qlty]],Lookups!$O$7:$R$21,4,FALSE)</f>
        <v>1.0088999999999999</v>
      </c>
      <c r="BI1481" s="25">
        <f>VLOOKUP(Inventory[[#This Row],[Cnd]],Lookups!$T$7:$W$16,4,FALSE)</f>
        <v>0.99729999999999996</v>
      </c>
      <c r="BJ1481" s="25">
        <f>VLOOKUP(Inventory[[#This Row],[LivArea Range]],Lookups!$T$25:$W$37,4,FALSE)</f>
        <v>1.0093000000000001</v>
      </c>
      <c r="BK1481" s="25">
        <f>VLOOKUP(Inventory[[#This Row],[Decade]],Lookups!$O$25:$R$42,4,FALSE)</f>
        <v>0.98909999999999998</v>
      </c>
      <c r="BL1481" s="25">
        <f>Inventory[[#This Row],[Nbhd Adj]]*0.95</f>
        <v>0.94971499999999998</v>
      </c>
      <c r="BM1481" s="25">
        <f>Inventory[[#This Row],[Nbhd Adj]]*Inventory[[#This Row],[Quality Adj]]*Inventory[[#This Row],[Condition Adj]]*Inventory[[#This Row],[Living Area Adj]]*Inventory[[#This Row],[Decade Adj]]*0.95</f>
        <v>0.95395461550409388</v>
      </c>
      <c r="BN1481" s="25">
        <f>ROUND(SUM(Inventory[[#This Row],[Mdl Qlty]:[Mdl WdDeck]])+Inventory[[#This Row],[Mdl Res Intercept]]*Inventory[[#This Row],[Res Adj ]],-2)</f>
        <v>290100</v>
      </c>
      <c r="BO1481" s="25">
        <f>ROUND(Inventory[[#This Row],[25Det]]*Inventory[[#This Row],[Det/Nbhd Adj]],-2)</f>
        <v>0</v>
      </c>
      <c r="BP1481" s="25">
        <f>Inventory[[#This Row],[Adjusted Res]]+Inventory[[#This Row],[Adj Det ]]</f>
        <v>290100</v>
      </c>
      <c r="BQ1481" s="25">
        <f>ROUND((Inventory[[#This Row],[Mdl Land Intercept]]+Inventory[[#This Row],[Mdl LnAcres]])*Inventory[[#This Row],[Det/Nbhd Adj]],-2)</f>
        <v>32100</v>
      </c>
      <c r="BR1481" s="25">
        <f>Inventory[[#This Row],[Adjusted Impr Total]]+Inventory[[#This Row],[Adjusted Land Total]]</f>
        <v>322200</v>
      </c>
      <c r="BS1481" s="36">
        <f>IFERROR((Inventory[[#This Row],[Adjusted Impr Total]]-Inventory[[#This Row],[24Bldg]])/Inventory[[#This Row],[24Bldg]],0)</f>
        <v>2.908832919474991E-2</v>
      </c>
      <c r="BT1481" s="36">
        <f>(Inventory[[#This Row],[Adjusted Land Total]]-Inventory[[#This Row],[24Lnd]])/Inventory[[#This Row],[24Lnd]]</f>
        <v>-0.39089184060721061</v>
      </c>
      <c r="BU1481" s="36">
        <f>(Inventory[[#This Row],[Adjusted Total]]-Inventory[[#This Row],[24Final]])/Inventory[[#This Row],[24Final]]</f>
        <v>-3.7059175134488941E-2</v>
      </c>
    </row>
    <row r="1482" spans="1:73" x14ac:dyDescent="0.3">
      <c r="A1482" s="25">
        <v>2025</v>
      </c>
      <c r="B1482" s="26" t="s">
        <v>2633</v>
      </c>
      <c r="C1482" s="26">
        <f>LN(Inventory[[#This Row],[Acres]])</f>
        <v>-2.6592600369327779</v>
      </c>
      <c r="D1482" s="25">
        <v>7.0000000000000007E-2</v>
      </c>
      <c r="E1482" s="25">
        <v>2850</v>
      </c>
      <c r="F1482" s="26" t="s">
        <v>537</v>
      </c>
      <c r="G1482" s="26" t="s">
        <v>126</v>
      </c>
      <c r="H1482" s="26" t="s">
        <v>349</v>
      </c>
      <c r="I1482" s="26" t="s">
        <v>538</v>
      </c>
      <c r="J1482" s="26" t="s">
        <v>539</v>
      </c>
      <c r="K1482" s="26" t="s">
        <v>242</v>
      </c>
      <c r="L1482" s="26" t="s">
        <v>31</v>
      </c>
      <c r="M1482" s="26" t="s">
        <v>323</v>
      </c>
      <c r="N1482" s="26">
        <v>90</v>
      </c>
      <c r="O1482" s="26">
        <f>2024-Inventory[[#This Row],[YrBlt]]</f>
        <v>89</v>
      </c>
      <c r="P1482" s="26">
        <f>2024-Inventory[[#This Row],[EffYr]]</f>
        <v>38</v>
      </c>
      <c r="Q1482" s="25">
        <v>1935</v>
      </c>
      <c r="R1482" s="25">
        <v>1986</v>
      </c>
      <c r="S1482" s="25">
        <v>920</v>
      </c>
      <c r="T1482" s="27"/>
      <c r="U1482" s="31"/>
      <c r="V1482" s="31">
        <f>Inventory[[#This Row],[Bsmt]]-Inventory[[#This Row],[FnBsmt]]</f>
        <v>0</v>
      </c>
      <c r="W1482" s="31"/>
      <c r="X1482" s="27"/>
      <c r="Y1482" s="27">
        <f>Inventory[[#This Row],[MainFn]]+Inventory[[#This Row],[UpprFn]]+Inventory[[#This Row],[FnBsmt]]+Inventory[[#This Row],[AddFn]]</f>
        <v>920</v>
      </c>
      <c r="Z1482" s="27">
        <v>1000</v>
      </c>
      <c r="AA1482" s="25">
        <v>11</v>
      </c>
      <c r="AB1482" s="31"/>
      <c r="AC1482" s="27"/>
      <c r="AD1482" s="31"/>
      <c r="AE1482" s="27"/>
      <c r="AF1482" s="27"/>
      <c r="AG1482" s="27"/>
      <c r="AH1482" s="32">
        <v>83</v>
      </c>
      <c r="AI1482" s="25">
        <v>95137</v>
      </c>
      <c r="AJ1482" s="25">
        <v>60888</v>
      </c>
      <c r="AK1482" s="25">
        <v>2414</v>
      </c>
      <c r="AL1482" s="25">
        <v>102400</v>
      </c>
      <c r="AM1482" s="25">
        <v>21800</v>
      </c>
      <c r="AN1482" s="25">
        <v>80600</v>
      </c>
      <c r="AO1482" s="25">
        <v>0</v>
      </c>
      <c r="AP1482" s="25">
        <f>Lookups!$B$56*0</f>
        <v>0</v>
      </c>
      <c r="AQ1482" s="25">
        <f>Lookups!$B$56*1</f>
        <v>89850.625589999996</v>
      </c>
      <c r="AR1482" s="25">
        <f>Lookups!$B$57*Inventory[[#This Row],[LnAcres]]</f>
        <v>-84177.854624504558</v>
      </c>
      <c r="AS1482" s="25">
        <f>VLOOKUP(Inventory[[#This Row],[Qlty]],Lookups!$A$62:$E$75,2,FALSE)</f>
        <v>-43578.886190266698</v>
      </c>
      <c r="AT1482" s="25">
        <f>VLOOKUP(Inventory[[#This Row],[Cnd]],Lookups!$A$76:$E$84,2,FALSE)</f>
        <v>160472.20319</v>
      </c>
      <c r="AU1482" s="25">
        <f>Inventory[[#This Row],[EffAge]]*Lookups!$B$85</f>
        <v>-8475.7328190000007</v>
      </c>
      <c r="AV1482" s="25">
        <f>Inventory[[#This Row],[MainFn]]*Lookups!$B$86</f>
        <v>45455.976286839999</v>
      </c>
      <c r="AW1482" s="25">
        <f>Inventory[[#This Row],[UpprFn]]*Lookups!$B$87</f>
        <v>0</v>
      </c>
      <c r="AX1482" s="25">
        <f>Inventory[[#This Row],[AddFn]]*Lookups!$B$88</f>
        <v>0</v>
      </c>
      <c r="AY1482" s="25">
        <f>Inventory[[#This Row],[Bsmt]]*Lookups!$B$89</f>
        <v>0</v>
      </c>
      <c r="AZ1482" s="25">
        <f>Inventory[[#This Row],[Fixtures]]*Lookups!$B$90</f>
        <v>41712.243157199999</v>
      </c>
      <c r="BA1482" s="25">
        <f>Inventory[[#This Row],[WdDeck]]*Lookups!$B$91</f>
        <v>0</v>
      </c>
      <c r="BB1482" s="25">
        <f>ROUND(Inventory[[#This Row],[25Det]],-2)</f>
        <v>2400</v>
      </c>
      <c r="BC1482" s="25">
        <f>ROUND(SUM(Inventory[[#This Row],[Mdl Qlty]:[Mdl WdDeck]])+Inventory[[#This Row],[Mdl Res Intercept]],-2)</f>
        <v>195600</v>
      </c>
      <c r="BD1482" s="25">
        <f>ROUND(Inventory[[#This Row],[Mdl Land Intercept]]+Inventory[[#This Row],[Mdl LnAcres]],-2)</f>
        <v>5700</v>
      </c>
      <c r="BE1482" s="25">
        <f>Inventory[[#This Row],[Unadj Res Value]]+Inventory[[#This Row],[Unadj Det Value]]+Inventory[[#This Row],[Unadj Land Value]]</f>
        <v>203700</v>
      </c>
      <c r="BF1482" s="36">
        <f>(Inventory[[#This Row],[Unadj Total Value]]-Inventory[[#This Row],[24Final]])/Inventory[[#This Row],[24Final]]</f>
        <v>0.9892578125</v>
      </c>
      <c r="BG1482" s="25">
        <f>VLOOKUP(Inventory[[#This Row],[Nbhd]],Lookups!$Q$2:$T$4,4,FALSE)</f>
        <v>0.99970000000000003</v>
      </c>
      <c r="BH1482" s="25">
        <f>VLOOKUP(Inventory[[#This Row],[Qlty]],Lookups!$O$7:$R$21,4,FALSE)</f>
        <v>1</v>
      </c>
      <c r="BI1482" s="25">
        <f>VLOOKUP(Inventory[[#This Row],[Cnd]],Lookups!$T$7:$W$16,4,FALSE)</f>
        <v>0.99729999999999996</v>
      </c>
      <c r="BJ1482" s="25">
        <f>VLOOKUP(Inventory[[#This Row],[LivArea Range]],Lookups!$T$25:$W$37,4,FALSE)</f>
        <v>1.0148999999999999</v>
      </c>
      <c r="BK1482" s="25">
        <f>VLOOKUP(Inventory[[#This Row],[Decade]],Lookups!$O$25:$R$42,4,FALSE)</f>
        <v>0.98909999999999998</v>
      </c>
      <c r="BL1482" s="25">
        <f>Inventory[[#This Row],[Nbhd Adj]]*0.95</f>
        <v>0.94971499999999998</v>
      </c>
      <c r="BM1482" s="25">
        <f>Inventory[[#This Row],[Nbhd Adj]]*Inventory[[#This Row],[Quality Adj]]*Inventory[[#This Row],[Condition Adj]]*Inventory[[#This Row],[Living Area Adj]]*Inventory[[#This Row],[Decade Adj]]*0.95</f>
        <v>0.95078554582152541</v>
      </c>
      <c r="BN1482" s="25">
        <f>ROUND(SUM(Inventory[[#This Row],[Mdl Qlty]:[Mdl WdDeck]])+Inventory[[#This Row],[Mdl Res Intercept]]*Inventory[[#This Row],[Res Adj ]],-2)</f>
        <v>195600</v>
      </c>
      <c r="BO1482" s="25">
        <f>ROUND(Inventory[[#This Row],[25Det]]*Inventory[[#This Row],[Det/Nbhd Adj]],-2)</f>
        <v>2300</v>
      </c>
      <c r="BP1482" s="25">
        <f>Inventory[[#This Row],[Adjusted Res]]+Inventory[[#This Row],[Adj Det ]]</f>
        <v>197900</v>
      </c>
      <c r="BQ1482" s="25">
        <f>ROUND((Inventory[[#This Row],[Mdl Land Intercept]]+Inventory[[#This Row],[Mdl LnAcres]])*Inventory[[#This Row],[Det/Nbhd Adj]],-2)</f>
        <v>5400</v>
      </c>
      <c r="BR1482" s="25">
        <f>Inventory[[#This Row],[Adjusted Impr Total]]+Inventory[[#This Row],[Adjusted Land Total]]</f>
        <v>203300</v>
      </c>
      <c r="BS1482" s="36">
        <f>IFERROR((Inventory[[#This Row],[Adjusted Impr Total]]-Inventory[[#This Row],[24Bldg]])/Inventory[[#This Row],[24Bldg]],0)</f>
        <v>1.4553349875930521</v>
      </c>
      <c r="BT1482" s="36">
        <f>(Inventory[[#This Row],[Adjusted Land Total]]-Inventory[[#This Row],[24Lnd]])/Inventory[[#This Row],[24Lnd]]</f>
        <v>-0.75229357798165142</v>
      </c>
      <c r="BU1482" s="36">
        <f>(Inventory[[#This Row],[Adjusted Total]]-Inventory[[#This Row],[24Final]])/Inventory[[#This Row],[24Final]]</f>
        <v>0.9853515625</v>
      </c>
    </row>
    <row r="1483" spans="1:73" x14ac:dyDescent="0.3">
      <c r="A1483" s="25">
        <v>2025</v>
      </c>
      <c r="B1483" s="26" t="s">
        <v>2352</v>
      </c>
      <c r="C1483" s="26">
        <f>LN(Inventory[[#This Row],[Acres]])</f>
        <v>-2.0402208285265546</v>
      </c>
      <c r="D1483" s="25">
        <v>0.13</v>
      </c>
      <c r="E1483" s="25">
        <v>5504</v>
      </c>
      <c r="F1483" s="26" t="s">
        <v>537</v>
      </c>
      <c r="G1483" s="26" t="s">
        <v>126</v>
      </c>
      <c r="H1483" s="26" t="s">
        <v>349</v>
      </c>
      <c r="I1483" s="26" t="s">
        <v>538</v>
      </c>
      <c r="J1483" s="26" t="s">
        <v>539</v>
      </c>
      <c r="K1483" s="26" t="s">
        <v>242</v>
      </c>
      <c r="L1483" s="26" t="s">
        <v>351</v>
      </c>
      <c r="M1483" s="26" t="s">
        <v>352</v>
      </c>
      <c r="N1483" s="26">
        <v>90</v>
      </c>
      <c r="O1483" s="26">
        <f>2024-Inventory[[#This Row],[YrBlt]]</f>
        <v>89</v>
      </c>
      <c r="P1483" s="26">
        <f>2024-Inventory[[#This Row],[EffYr]]</f>
        <v>39</v>
      </c>
      <c r="Q1483" s="25">
        <v>1935</v>
      </c>
      <c r="R1483" s="25">
        <v>1985</v>
      </c>
      <c r="S1483" s="25">
        <v>1155</v>
      </c>
      <c r="T1483" s="27"/>
      <c r="U1483" s="25">
        <v>480</v>
      </c>
      <c r="V1483" s="25">
        <f>Inventory[[#This Row],[Bsmt]]-Inventory[[#This Row],[FnBsmt]]</f>
        <v>0</v>
      </c>
      <c r="W1483" s="25">
        <v>480</v>
      </c>
      <c r="X1483" s="27"/>
      <c r="Y1483" s="27">
        <f>Inventory[[#This Row],[MainFn]]+Inventory[[#This Row],[UpprFn]]+Inventory[[#This Row],[FnBsmt]]+Inventory[[#This Row],[AddFn]]</f>
        <v>1635</v>
      </c>
      <c r="Z1483" s="27">
        <v>2000</v>
      </c>
      <c r="AA1483" s="25">
        <v>12</v>
      </c>
      <c r="AB1483" s="31"/>
      <c r="AC1483" s="27"/>
      <c r="AD1483" s="25">
        <v>96</v>
      </c>
      <c r="AE1483" s="27"/>
      <c r="AF1483" s="27"/>
      <c r="AG1483" s="27"/>
      <c r="AH1483" s="27"/>
      <c r="AI1483" s="25">
        <v>249068</v>
      </c>
      <c r="AJ1483" s="25">
        <v>204236</v>
      </c>
      <c r="AK1483" s="25">
        <v>0</v>
      </c>
      <c r="AL1483" s="25">
        <v>355800</v>
      </c>
      <c r="AM1483" s="25">
        <v>43400</v>
      </c>
      <c r="AN1483" s="25">
        <v>312400</v>
      </c>
      <c r="AO1483" s="25">
        <v>0</v>
      </c>
      <c r="AP1483" s="25">
        <f>Lookups!$B$56*0</f>
        <v>0</v>
      </c>
      <c r="AQ1483" s="25">
        <f>Lookups!$B$56*1</f>
        <v>89850.625589999996</v>
      </c>
      <c r="AR1483" s="25">
        <f>Lookups!$B$57*Inventory[[#This Row],[LnAcres]]</f>
        <v>-64582.406353792743</v>
      </c>
      <c r="AS1483" s="25">
        <f>VLOOKUP(Inventory[[#This Row],[Qlty]],Lookups!$A$62:$E$75,2,FALSE)</f>
        <v>21557.329055999999</v>
      </c>
      <c r="AT1483" s="25">
        <f>VLOOKUP(Inventory[[#This Row],[Cnd]],Lookups!$A$76:$E$84,2,FALSE)</f>
        <v>284810.60806</v>
      </c>
      <c r="AU1483" s="25">
        <f>Inventory[[#This Row],[EffAge]]*Lookups!$B$85</f>
        <v>-8698.7784195000004</v>
      </c>
      <c r="AV1483" s="25">
        <f>Inventory[[#This Row],[MainFn]]*Lookups!$B$86</f>
        <v>57067.013707935002</v>
      </c>
      <c r="AW1483" s="25">
        <f>Inventory[[#This Row],[UpprFn]]*Lookups!$B$87</f>
        <v>0</v>
      </c>
      <c r="AX1483" s="25">
        <f>Inventory[[#This Row],[AddFn]]*Lookups!$B$88</f>
        <v>0</v>
      </c>
      <c r="AY1483" s="25">
        <f>Inventory[[#This Row],[Bsmt]]*Lookups!$B$89</f>
        <v>13959.30971856</v>
      </c>
      <c r="AZ1483" s="25">
        <f>Inventory[[#This Row],[Fixtures]]*Lookups!$B$90</f>
        <v>45504.265262400004</v>
      </c>
      <c r="BA1483" s="25">
        <f>Inventory[[#This Row],[WdDeck]]*Lookups!$B$91</f>
        <v>3196.3694664960003</v>
      </c>
      <c r="BB1483" s="25">
        <f>ROUND(Inventory[[#This Row],[25Det]],-2)</f>
        <v>0</v>
      </c>
      <c r="BC1483" s="25">
        <f>ROUND(SUM(Inventory[[#This Row],[Mdl Qlty]:[Mdl WdDeck]])+Inventory[[#This Row],[Mdl Res Intercept]],-2)</f>
        <v>417400</v>
      </c>
      <c r="BD1483" s="25">
        <f>ROUND(Inventory[[#This Row],[Mdl Land Intercept]]+Inventory[[#This Row],[Mdl LnAcres]],-2)</f>
        <v>25300</v>
      </c>
      <c r="BE1483" s="25">
        <f>Inventory[[#This Row],[Unadj Res Value]]+Inventory[[#This Row],[Unadj Det Value]]+Inventory[[#This Row],[Unadj Land Value]]</f>
        <v>442700</v>
      </c>
      <c r="BF1483" s="36">
        <f>(Inventory[[#This Row],[Unadj Total Value]]-Inventory[[#This Row],[24Final]])/Inventory[[#This Row],[24Final]]</f>
        <v>0.24423833614390106</v>
      </c>
      <c r="BG1483" s="25">
        <f>VLOOKUP(Inventory[[#This Row],[Nbhd]],Lookups!$Q$2:$T$4,4,FALSE)</f>
        <v>0.99970000000000003</v>
      </c>
      <c r="BH1483" s="25">
        <f>VLOOKUP(Inventory[[#This Row],[Qlty]],Lookups!$O$7:$R$21,4,FALSE)</f>
        <v>1.0067999999999999</v>
      </c>
      <c r="BI1483" s="25">
        <f>VLOOKUP(Inventory[[#This Row],[Cnd]],Lookups!$T$7:$W$16,4,FALSE)</f>
        <v>1.0158</v>
      </c>
      <c r="BJ1483" s="25">
        <f>VLOOKUP(Inventory[[#This Row],[LivArea Range]],Lookups!$T$25:$W$37,4,FALSE)</f>
        <v>1.0093000000000001</v>
      </c>
      <c r="BK1483" s="25">
        <f>VLOOKUP(Inventory[[#This Row],[Decade]],Lookups!$O$25:$R$42,4,FALSE)</f>
        <v>0.98909999999999998</v>
      </c>
      <c r="BL1483" s="25">
        <f>Inventory[[#This Row],[Nbhd Adj]]*0.95</f>
        <v>0.94971499999999998</v>
      </c>
      <c r="BM1483" s="25">
        <f>Inventory[[#This Row],[Nbhd Adj]]*Inventory[[#This Row],[Quality Adj]]*Inventory[[#This Row],[Condition Adj]]*Inventory[[#This Row],[Living Area Adj]]*Inventory[[#This Row],[Decade Adj]]*0.95</f>
        <v>0.96962808871133754</v>
      </c>
      <c r="BN1483" s="25">
        <f>ROUND(SUM(Inventory[[#This Row],[Mdl Qlty]:[Mdl WdDeck]])+Inventory[[#This Row],[Mdl Res Intercept]]*Inventory[[#This Row],[Res Adj ]],-2)</f>
        <v>417400</v>
      </c>
      <c r="BO1483" s="25">
        <f>ROUND(Inventory[[#This Row],[25Det]]*Inventory[[#This Row],[Det/Nbhd Adj]],-2)</f>
        <v>0</v>
      </c>
      <c r="BP1483" s="25">
        <f>Inventory[[#This Row],[Adjusted Res]]+Inventory[[#This Row],[Adj Det ]]</f>
        <v>417400</v>
      </c>
      <c r="BQ1483" s="25">
        <f>ROUND((Inventory[[#This Row],[Mdl Land Intercept]]+Inventory[[#This Row],[Mdl LnAcres]])*Inventory[[#This Row],[Det/Nbhd Adj]],-2)</f>
        <v>24000</v>
      </c>
      <c r="BR1483" s="25">
        <f>Inventory[[#This Row],[Adjusted Impr Total]]+Inventory[[#This Row],[Adjusted Land Total]]</f>
        <v>441400</v>
      </c>
      <c r="BS1483" s="36">
        <f>IFERROR((Inventory[[#This Row],[Adjusted Impr Total]]-Inventory[[#This Row],[24Bldg]])/Inventory[[#This Row],[24Bldg]],0)</f>
        <v>0.33610755441741358</v>
      </c>
      <c r="BT1483" s="36">
        <f>(Inventory[[#This Row],[Adjusted Land Total]]-Inventory[[#This Row],[24Lnd]])/Inventory[[#This Row],[24Lnd]]</f>
        <v>-0.44700460829493088</v>
      </c>
      <c r="BU1483" s="36">
        <f>(Inventory[[#This Row],[Adjusted Total]]-Inventory[[#This Row],[24Final]])/Inventory[[#This Row],[24Final]]</f>
        <v>0.24058459808881394</v>
      </c>
    </row>
    <row r="1484" spans="1:73" x14ac:dyDescent="0.3">
      <c r="A1484" s="25">
        <v>2025</v>
      </c>
      <c r="B1484" s="26" t="s">
        <v>2177</v>
      </c>
      <c r="C1484" s="26">
        <f>LN(Inventory[[#This Row],[Acres]])</f>
        <v>-1.8325814637483102</v>
      </c>
      <c r="D1484" s="25">
        <v>0.16</v>
      </c>
      <c r="E1484" s="25">
        <v>6999</v>
      </c>
      <c r="F1484" s="26" t="s">
        <v>537</v>
      </c>
      <c r="G1484" s="26" t="s">
        <v>126</v>
      </c>
      <c r="H1484" s="26" t="s">
        <v>349</v>
      </c>
      <c r="I1484" s="26" t="s">
        <v>538</v>
      </c>
      <c r="J1484" s="26" t="s">
        <v>539</v>
      </c>
      <c r="K1484" s="26" t="s">
        <v>147</v>
      </c>
      <c r="L1484" s="26" t="s">
        <v>351</v>
      </c>
      <c r="M1484" s="26" t="s">
        <v>352</v>
      </c>
      <c r="N1484" s="26">
        <v>90</v>
      </c>
      <c r="O1484" s="26">
        <f>2024-Inventory[[#This Row],[YrBlt]]</f>
        <v>89</v>
      </c>
      <c r="P1484" s="26">
        <f>2024-Inventory[[#This Row],[EffYr]]</f>
        <v>53</v>
      </c>
      <c r="Q1484" s="25">
        <v>1935</v>
      </c>
      <c r="R1484" s="25">
        <v>1971</v>
      </c>
      <c r="S1484" s="25">
        <v>737</v>
      </c>
      <c r="T1484" s="32">
        <v>600</v>
      </c>
      <c r="U1484" s="25">
        <v>737</v>
      </c>
      <c r="V1484" s="25">
        <f>Inventory[[#This Row],[Bsmt]]-Inventory[[#This Row],[FnBsmt]]</f>
        <v>499</v>
      </c>
      <c r="W1484" s="25">
        <v>238</v>
      </c>
      <c r="X1484" s="27"/>
      <c r="Y1484" s="27">
        <f>Inventory[[#This Row],[MainFn]]+Inventory[[#This Row],[UpprFn]]+Inventory[[#This Row],[FnBsmt]]+Inventory[[#This Row],[AddFn]]</f>
        <v>1575</v>
      </c>
      <c r="Z1484" s="27">
        <v>2000</v>
      </c>
      <c r="AA1484" s="25">
        <v>5</v>
      </c>
      <c r="AB1484" s="31"/>
      <c r="AC1484" s="27"/>
      <c r="AD1484" s="27"/>
      <c r="AE1484" s="27"/>
      <c r="AF1484" s="27"/>
      <c r="AG1484" s="27"/>
      <c r="AH1484" s="27"/>
      <c r="AI1484" s="25">
        <v>245622</v>
      </c>
      <c r="AJ1484" s="25">
        <v>171935</v>
      </c>
      <c r="AK1484" s="25">
        <v>14201</v>
      </c>
      <c r="AL1484" s="25">
        <v>356800</v>
      </c>
      <c r="AM1484" s="25">
        <v>50600</v>
      </c>
      <c r="AN1484" s="25">
        <v>306200</v>
      </c>
      <c r="AO1484" s="25">
        <v>0</v>
      </c>
      <c r="AP1484" s="25">
        <f>Lookups!$B$56*0</f>
        <v>0</v>
      </c>
      <c r="AQ1484" s="25">
        <f>Lookups!$B$56*1</f>
        <v>89850.625589999996</v>
      </c>
      <c r="AR1484" s="25">
        <f>Lookups!$B$57*Inventory[[#This Row],[LnAcres]]</f>
        <v>-58009.662049032086</v>
      </c>
      <c r="AS1484" s="25">
        <f>VLOOKUP(Inventory[[#This Row],[Qlty]],Lookups!$A$62:$E$75,2,FALSE)</f>
        <v>21557.329055999999</v>
      </c>
      <c r="AT1484" s="25">
        <f>VLOOKUP(Inventory[[#This Row],[Cnd]],Lookups!$A$76:$E$84,2,FALSE)</f>
        <v>284810.60806</v>
      </c>
      <c r="AU1484" s="25">
        <f>Inventory[[#This Row],[EffAge]]*Lookups!$B$85</f>
        <v>-11821.416826500001</v>
      </c>
      <c r="AV1484" s="25">
        <f>Inventory[[#This Row],[MainFn]]*Lookups!$B$86</f>
        <v>36414.189699349001</v>
      </c>
      <c r="AW1484" s="25">
        <f>Inventory[[#This Row],[UpprFn]]*Lookups!$B$87</f>
        <v>26871.853716599999</v>
      </c>
      <c r="AX1484" s="25">
        <f>Inventory[[#This Row],[AddFn]]*Lookups!$B$88</f>
        <v>0</v>
      </c>
      <c r="AY1484" s="25">
        <f>Inventory[[#This Row],[Bsmt]]*Lookups!$B$89</f>
        <v>21433.356797039</v>
      </c>
      <c r="AZ1484" s="25">
        <f>Inventory[[#This Row],[Fixtures]]*Lookups!$B$90</f>
        <v>18960.110526</v>
      </c>
      <c r="BA1484" s="25">
        <f>Inventory[[#This Row],[WdDeck]]*Lookups!$B$91</f>
        <v>0</v>
      </c>
      <c r="BB1484" s="25">
        <f>ROUND(Inventory[[#This Row],[25Det]],-2)</f>
        <v>14200</v>
      </c>
      <c r="BC1484" s="25">
        <f>ROUND(SUM(Inventory[[#This Row],[Mdl Qlty]:[Mdl WdDeck]])+Inventory[[#This Row],[Mdl Res Intercept]],-2)</f>
        <v>398200</v>
      </c>
      <c r="BD1484" s="25">
        <f>ROUND(Inventory[[#This Row],[Mdl Land Intercept]]+Inventory[[#This Row],[Mdl LnAcres]],-2)</f>
        <v>31800</v>
      </c>
      <c r="BE1484" s="25">
        <f>Inventory[[#This Row],[Unadj Res Value]]+Inventory[[#This Row],[Unadj Det Value]]+Inventory[[#This Row],[Unadj Land Value]]</f>
        <v>444200</v>
      </c>
      <c r="BF1484" s="36">
        <f>(Inventory[[#This Row],[Unadj Total Value]]-Inventory[[#This Row],[24Final]])/Inventory[[#This Row],[24Final]]</f>
        <v>0.24495515695067266</v>
      </c>
      <c r="BG1484" s="25">
        <f>VLOOKUP(Inventory[[#This Row],[Nbhd]],Lookups!$Q$2:$T$4,4,FALSE)</f>
        <v>0.99970000000000003</v>
      </c>
      <c r="BH1484" s="25">
        <f>VLOOKUP(Inventory[[#This Row],[Qlty]],Lookups!$O$7:$R$21,4,FALSE)</f>
        <v>1.0067999999999999</v>
      </c>
      <c r="BI1484" s="25">
        <f>VLOOKUP(Inventory[[#This Row],[Cnd]],Lookups!$T$7:$W$16,4,FALSE)</f>
        <v>1.0158</v>
      </c>
      <c r="BJ1484" s="25">
        <f>VLOOKUP(Inventory[[#This Row],[LivArea Range]],Lookups!$T$25:$W$37,4,FALSE)</f>
        <v>1.0093000000000001</v>
      </c>
      <c r="BK1484" s="25">
        <f>VLOOKUP(Inventory[[#This Row],[Decade]],Lookups!$O$25:$R$42,4,FALSE)</f>
        <v>0.98909999999999998</v>
      </c>
      <c r="BL1484" s="25">
        <f>Inventory[[#This Row],[Nbhd Adj]]*0.95</f>
        <v>0.94971499999999998</v>
      </c>
      <c r="BM1484" s="25">
        <f>Inventory[[#This Row],[Nbhd Adj]]*Inventory[[#This Row],[Quality Adj]]*Inventory[[#This Row],[Condition Adj]]*Inventory[[#This Row],[Living Area Adj]]*Inventory[[#This Row],[Decade Adj]]*0.95</f>
        <v>0.96962808871133754</v>
      </c>
      <c r="BN1484" s="25">
        <f>ROUND(SUM(Inventory[[#This Row],[Mdl Qlty]:[Mdl WdDeck]])+Inventory[[#This Row],[Mdl Res Intercept]]*Inventory[[#This Row],[Res Adj ]],-2)</f>
        <v>398200</v>
      </c>
      <c r="BO1484" s="25">
        <f>ROUND(Inventory[[#This Row],[25Det]]*Inventory[[#This Row],[Det/Nbhd Adj]],-2)</f>
        <v>13500</v>
      </c>
      <c r="BP1484" s="25">
        <f>Inventory[[#This Row],[Adjusted Res]]+Inventory[[#This Row],[Adj Det ]]</f>
        <v>411700</v>
      </c>
      <c r="BQ1484" s="25">
        <f>ROUND((Inventory[[#This Row],[Mdl Land Intercept]]+Inventory[[#This Row],[Mdl LnAcres]])*Inventory[[#This Row],[Det/Nbhd Adj]],-2)</f>
        <v>30200</v>
      </c>
      <c r="BR1484" s="25">
        <f>Inventory[[#This Row],[Adjusted Impr Total]]+Inventory[[#This Row],[Adjusted Land Total]]</f>
        <v>441900</v>
      </c>
      <c r="BS1484" s="36">
        <f>IFERROR((Inventory[[#This Row],[Adjusted Impr Total]]-Inventory[[#This Row],[24Bldg]])/Inventory[[#This Row],[24Bldg]],0)</f>
        <v>0.34454604833442193</v>
      </c>
      <c r="BT1484" s="36">
        <f>(Inventory[[#This Row],[Adjusted Land Total]]-Inventory[[#This Row],[24Lnd]])/Inventory[[#This Row],[24Lnd]]</f>
        <v>-0.40316205533596838</v>
      </c>
      <c r="BU1484" s="36">
        <f>(Inventory[[#This Row],[Adjusted Total]]-Inventory[[#This Row],[24Final]])/Inventory[[#This Row],[24Final]]</f>
        <v>0.23850896860986548</v>
      </c>
    </row>
    <row r="1485" spans="1:73" x14ac:dyDescent="0.3">
      <c r="A1485" s="25">
        <v>2025</v>
      </c>
      <c r="B1485" s="26" t="s">
        <v>1214</v>
      </c>
      <c r="C1485" s="26">
        <f>LN(Inventory[[#This Row],[Acres]])</f>
        <v>-1.8325814637483102</v>
      </c>
      <c r="D1485" s="25">
        <v>0.16</v>
      </c>
      <c r="E1485" s="31"/>
      <c r="F1485" s="26" t="s">
        <v>537</v>
      </c>
      <c r="G1485" s="26" t="s">
        <v>126</v>
      </c>
      <c r="H1485" s="26" t="s">
        <v>349</v>
      </c>
      <c r="I1485" s="26" t="s">
        <v>538</v>
      </c>
      <c r="J1485" s="26" t="s">
        <v>539</v>
      </c>
      <c r="K1485" s="26" t="s">
        <v>242</v>
      </c>
      <c r="L1485" s="26" t="s">
        <v>148</v>
      </c>
      <c r="M1485" s="26" t="s">
        <v>352</v>
      </c>
      <c r="N1485" s="26">
        <v>90</v>
      </c>
      <c r="O1485" s="26">
        <f>2024-Inventory[[#This Row],[YrBlt]]</f>
        <v>89</v>
      </c>
      <c r="P1485" s="26">
        <f>2024-Inventory[[#This Row],[EffYr]]</f>
        <v>53</v>
      </c>
      <c r="Q1485" s="25">
        <v>1935</v>
      </c>
      <c r="R1485" s="25">
        <v>1971</v>
      </c>
      <c r="S1485" s="25">
        <v>1351</v>
      </c>
      <c r="T1485" s="27"/>
      <c r="U1485" s="32">
        <v>672</v>
      </c>
      <c r="V1485" s="32">
        <f>Inventory[[#This Row],[Bsmt]]-Inventory[[#This Row],[FnBsmt]]</f>
        <v>0</v>
      </c>
      <c r="W1485" s="32">
        <v>672</v>
      </c>
      <c r="X1485" s="27"/>
      <c r="Y1485" s="27">
        <f>Inventory[[#This Row],[MainFn]]+Inventory[[#This Row],[UpprFn]]+Inventory[[#This Row],[FnBsmt]]+Inventory[[#This Row],[AddFn]]</f>
        <v>2023</v>
      </c>
      <c r="Z1485" s="27">
        <v>2500</v>
      </c>
      <c r="AA1485" s="25">
        <v>13</v>
      </c>
      <c r="AB1485" s="31"/>
      <c r="AC1485" s="27"/>
      <c r="AD1485" s="27"/>
      <c r="AE1485" s="27"/>
      <c r="AF1485" s="27"/>
      <c r="AG1485" s="27"/>
      <c r="AH1485" s="27"/>
      <c r="AI1485" s="25">
        <v>419609</v>
      </c>
      <c r="AJ1485" s="25">
        <v>293726</v>
      </c>
      <c r="AK1485" s="25">
        <v>8923</v>
      </c>
      <c r="AL1485" s="25">
        <v>399000</v>
      </c>
      <c r="AM1485" s="25">
        <v>50600</v>
      </c>
      <c r="AN1485" s="25">
        <v>348400</v>
      </c>
      <c r="AO1485" s="25">
        <v>0</v>
      </c>
      <c r="AP1485" s="25">
        <f>Lookups!$B$56*0</f>
        <v>0</v>
      </c>
      <c r="AQ1485" s="25">
        <f>Lookups!$B$56*1</f>
        <v>89850.625589999996</v>
      </c>
      <c r="AR1485" s="25">
        <f>Lookups!$B$57*Inventory[[#This Row],[LnAcres]]</f>
        <v>-58009.662049032086</v>
      </c>
      <c r="AS1485" s="25">
        <f>VLOOKUP(Inventory[[#This Row],[Qlty]],Lookups!$A$62:$E$75,2,FALSE)</f>
        <v>44121.038090000002</v>
      </c>
      <c r="AT1485" s="25">
        <f>VLOOKUP(Inventory[[#This Row],[Cnd]],Lookups!$A$76:$E$84,2,FALSE)</f>
        <v>284810.60806</v>
      </c>
      <c r="AU1485" s="25">
        <f>Inventory[[#This Row],[EffAge]]*Lookups!$B$85</f>
        <v>-11821.416826500001</v>
      </c>
      <c r="AV1485" s="25">
        <f>Inventory[[#This Row],[MainFn]]*Lookups!$B$86</f>
        <v>66751.113003827006</v>
      </c>
      <c r="AW1485" s="25">
        <f>Inventory[[#This Row],[UpprFn]]*Lookups!$B$87</f>
        <v>0</v>
      </c>
      <c r="AX1485" s="25">
        <f>Inventory[[#This Row],[AddFn]]*Lookups!$B$88</f>
        <v>0</v>
      </c>
      <c r="AY1485" s="25">
        <f>Inventory[[#This Row],[Bsmt]]*Lookups!$B$89</f>
        <v>19543.033605983997</v>
      </c>
      <c r="AZ1485" s="25">
        <f>Inventory[[#This Row],[Fixtures]]*Lookups!$B$90</f>
        <v>49296.287367600002</v>
      </c>
      <c r="BA1485" s="25">
        <f>Inventory[[#This Row],[WdDeck]]*Lookups!$B$91</f>
        <v>0</v>
      </c>
      <c r="BB1485" s="25">
        <f>ROUND(Inventory[[#This Row],[25Det]],-2)</f>
        <v>8900</v>
      </c>
      <c r="BC1485" s="25">
        <f>ROUND(SUM(Inventory[[#This Row],[Mdl Qlty]:[Mdl WdDeck]])+Inventory[[#This Row],[Mdl Res Intercept]],-2)</f>
        <v>452700</v>
      </c>
      <c r="BD1485" s="25">
        <f>ROUND(Inventory[[#This Row],[Mdl Land Intercept]]+Inventory[[#This Row],[Mdl LnAcres]],-2)</f>
        <v>31800</v>
      </c>
      <c r="BE1485" s="25">
        <f>Inventory[[#This Row],[Unadj Res Value]]+Inventory[[#This Row],[Unadj Det Value]]+Inventory[[#This Row],[Unadj Land Value]]</f>
        <v>493400</v>
      </c>
      <c r="BF1485" s="36">
        <f>(Inventory[[#This Row],[Unadj Total Value]]-Inventory[[#This Row],[24Final]])/Inventory[[#This Row],[24Final]]</f>
        <v>0.23659147869674185</v>
      </c>
      <c r="BG1485" s="25">
        <f>VLOOKUP(Inventory[[#This Row],[Nbhd]],Lookups!$Q$2:$T$4,4,FALSE)</f>
        <v>0.99970000000000003</v>
      </c>
      <c r="BH1485" s="25">
        <f>VLOOKUP(Inventory[[#This Row],[Qlty]],Lookups!$O$7:$R$21,4,FALSE)</f>
        <v>0.98050000000000004</v>
      </c>
      <c r="BI1485" s="25">
        <f>VLOOKUP(Inventory[[#This Row],[Cnd]],Lookups!$T$7:$W$16,4,FALSE)</f>
        <v>1.0158</v>
      </c>
      <c r="BJ1485" s="25">
        <f>VLOOKUP(Inventory[[#This Row],[LivArea Range]],Lookups!$T$25:$W$37,4,FALSE)</f>
        <v>0.98919999999999997</v>
      </c>
      <c r="BK1485" s="25">
        <f>VLOOKUP(Inventory[[#This Row],[Decade]],Lookups!$O$25:$R$42,4,FALSE)</f>
        <v>0.98909999999999998</v>
      </c>
      <c r="BL1485" s="25">
        <f>Inventory[[#This Row],[Nbhd Adj]]*0.95</f>
        <v>0.94971499999999998</v>
      </c>
      <c r="BM1485" s="25">
        <f>Inventory[[#This Row],[Nbhd Adj]]*Inventory[[#This Row],[Quality Adj]]*Inventory[[#This Row],[Condition Adj]]*Inventory[[#This Row],[Living Area Adj]]*Inventory[[#This Row],[Decade Adj]]*0.95</f>
        <v>0.92549358634432277</v>
      </c>
      <c r="BN1485" s="25">
        <f>ROUND(SUM(Inventory[[#This Row],[Mdl Qlty]:[Mdl WdDeck]])+Inventory[[#This Row],[Mdl Res Intercept]]*Inventory[[#This Row],[Res Adj ]],-2)</f>
        <v>452700</v>
      </c>
      <c r="BO1485" s="25">
        <f>ROUND(Inventory[[#This Row],[25Det]]*Inventory[[#This Row],[Det/Nbhd Adj]],-2)</f>
        <v>8500</v>
      </c>
      <c r="BP1485" s="25">
        <f>Inventory[[#This Row],[Adjusted Res]]+Inventory[[#This Row],[Adj Det ]]</f>
        <v>461200</v>
      </c>
      <c r="BQ1485" s="25">
        <f>ROUND((Inventory[[#This Row],[Mdl Land Intercept]]+Inventory[[#This Row],[Mdl LnAcres]])*Inventory[[#This Row],[Det/Nbhd Adj]],-2)</f>
        <v>30200</v>
      </c>
      <c r="BR1485" s="25">
        <f>Inventory[[#This Row],[Adjusted Impr Total]]+Inventory[[#This Row],[Adjusted Land Total]]</f>
        <v>491400</v>
      </c>
      <c r="BS1485" s="36">
        <f>IFERROR((Inventory[[#This Row],[Adjusted Impr Total]]-Inventory[[#This Row],[24Bldg]])/Inventory[[#This Row],[24Bldg]],0)</f>
        <v>0.3237657864523536</v>
      </c>
      <c r="BT1485" s="36">
        <f>(Inventory[[#This Row],[Adjusted Land Total]]-Inventory[[#This Row],[24Lnd]])/Inventory[[#This Row],[24Lnd]]</f>
        <v>-0.40316205533596838</v>
      </c>
      <c r="BU1485" s="36">
        <f>(Inventory[[#This Row],[Adjusted Total]]-Inventory[[#This Row],[24Final]])/Inventory[[#This Row],[24Final]]</f>
        <v>0.23157894736842105</v>
      </c>
    </row>
    <row r="1486" spans="1:73" x14ac:dyDescent="0.3">
      <c r="A1486" s="25">
        <v>2025</v>
      </c>
      <c r="B1486" s="26" t="s">
        <v>2011</v>
      </c>
      <c r="C1486" s="26">
        <f>LN(Inventory[[#This Row],[Acres]])</f>
        <v>-2.0402208285265546</v>
      </c>
      <c r="D1486" s="25">
        <v>0.13</v>
      </c>
      <c r="E1486" s="25">
        <v>5701</v>
      </c>
      <c r="F1486" s="26" t="s">
        <v>537</v>
      </c>
      <c r="G1486" s="26" t="s">
        <v>126</v>
      </c>
      <c r="H1486" s="26" t="s">
        <v>349</v>
      </c>
      <c r="I1486" s="26" t="s">
        <v>538</v>
      </c>
      <c r="J1486" s="26" t="s">
        <v>539</v>
      </c>
      <c r="K1486" s="26" t="s">
        <v>269</v>
      </c>
      <c r="L1486" s="26" t="s">
        <v>351</v>
      </c>
      <c r="M1486" s="26" t="s">
        <v>303</v>
      </c>
      <c r="N1486" s="26">
        <v>90</v>
      </c>
      <c r="O1486" s="26">
        <f>2024-Inventory[[#This Row],[YrBlt]]</f>
        <v>89</v>
      </c>
      <c r="P1486" s="26">
        <f>2024-Inventory[[#This Row],[EffYr]]</f>
        <v>53</v>
      </c>
      <c r="Q1486" s="25">
        <v>1935</v>
      </c>
      <c r="R1486" s="25">
        <v>1971</v>
      </c>
      <c r="S1486" s="25">
        <v>921</v>
      </c>
      <c r="T1486" s="32">
        <v>217</v>
      </c>
      <c r="U1486" s="25">
        <v>921</v>
      </c>
      <c r="V1486" s="32">
        <f>Inventory[[#This Row],[Bsmt]]-Inventory[[#This Row],[FnBsmt]]</f>
        <v>640</v>
      </c>
      <c r="W1486" s="32">
        <v>281</v>
      </c>
      <c r="X1486" s="27"/>
      <c r="Y1486" s="27">
        <f>Inventory[[#This Row],[MainFn]]+Inventory[[#This Row],[UpprFn]]+Inventory[[#This Row],[FnBsmt]]+Inventory[[#This Row],[AddFn]]</f>
        <v>1419</v>
      </c>
      <c r="Z1486" s="27">
        <v>1500</v>
      </c>
      <c r="AA1486" s="25">
        <v>8</v>
      </c>
      <c r="AB1486" s="27"/>
      <c r="AC1486" s="27"/>
      <c r="AD1486" s="32">
        <v>636</v>
      </c>
      <c r="AE1486" s="27"/>
      <c r="AF1486" s="27"/>
      <c r="AG1486" s="27"/>
      <c r="AH1486" s="27"/>
      <c r="AI1486" s="25">
        <v>244814</v>
      </c>
      <c r="AJ1486" s="25">
        <v>168922</v>
      </c>
      <c r="AK1486" s="25">
        <v>0</v>
      </c>
      <c r="AL1486" s="25">
        <v>309000</v>
      </c>
      <c r="AM1486" s="25">
        <v>43400</v>
      </c>
      <c r="AN1486" s="25">
        <v>265600</v>
      </c>
      <c r="AO1486" s="25">
        <v>0</v>
      </c>
      <c r="AP1486" s="25">
        <f>Lookups!$B$56*0</f>
        <v>0</v>
      </c>
      <c r="AQ1486" s="25">
        <f>Lookups!$B$56*1</f>
        <v>89850.625589999996</v>
      </c>
      <c r="AR1486" s="25">
        <f>Lookups!$B$57*Inventory[[#This Row],[LnAcres]]</f>
        <v>-64582.406353792743</v>
      </c>
      <c r="AS1486" s="25">
        <f>VLOOKUP(Inventory[[#This Row],[Qlty]],Lookups!$A$62:$E$75,2,FALSE)</f>
        <v>21557.329055999999</v>
      </c>
      <c r="AT1486" s="25">
        <f>VLOOKUP(Inventory[[#This Row],[Cnd]],Lookups!$A$76:$E$84,2,FALSE)</f>
        <v>197752.34721000001</v>
      </c>
      <c r="AU1486" s="25">
        <f>Inventory[[#This Row],[EffAge]]*Lookups!$B$85</f>
        <v>-11821.416826500001</v>
      </c>
      <c r="AV1486" s="25">
        <f>Inventory[[#This Row],[MainFn]]*Lookups!$B$86</f>
        <v>45505.384956717004</v>
      </c>
      <c r="AW1486" s="25">
        <f>Inventory[[#This Row],[UpprFn]]*Lookups!$B$87</f>
        <v>9718.6537608369999</v>
      </c>
      <c r="AX1486" s="25">
        <f>Inventory[[#This Row],[AddFn]]*Lookups!$B$88</f>
        <v>0</v>
      </c>
      <c r="AY1486" s="25">
        <f>Inventory[[#This Row],[Bsmt]]*Lookups!$B$89</f>
        <v>26784.425522486999</v>
      </c>
      <c r="AZ1486" s="25">
        <f>Inventory[[#This Row],[Fixtures]]*Lookups!$B$90</f>
        <v>30336.176841600001</v>
      </c>
      <c r="BA1486" s="25">
        <f>Inventory[[#This Row],[WdDeck]]*Lookups!$B$91</f>
        <v>21175.947715536004</v>
      </c>
      <c r="BB1486" s="25">
        <f>ROUND(Inventory[[#This Row],[25Det]],-2)</f>
        <v>0</v>
      </c>
      <c r="BC1486" s="25">
        <f>ROUND(SUM(Inventory[[#This Row],[Mdl Qlty]:[Mdl WdDeck]])+Inventory[[#This Row],[Mdl Res Intercept]],-2)</f>
        <v>341000</v>
      </c>
      <c r="BD1486" s="25">
        <f>ROUND(Inventory[[#This Row],[Mdl Land Intercept]]+Inventory[[#This Row],[Mdl LnAcres]],-2)</f>
        <v>25300</v>
      </c>
      <c r="BE1486" s="25">
        <f>Inventory[[#This Row],[Unadj Res Value]]+Inventory[[#This Row],[Unadj Det Value]]+Inventory[[#This Row],[Unadj Land Value]]</f>
        <v>366300</v>
      </c>
      <c r="BF1486" s="36">
        <f>(Inventory[[#This Row],[Unadj Total Value]]-Inventory[[#This Row],[24Final]])/Inventory[[#This Row],[24Final]]</f>
        <v>0.18543689320388348</v>
      </c>
      <c r="BG1486" s="25">
        <f>VLOOKUP(Inventory[[#This Row],[Nbhd]],Lookups!$Q$2:$T$4,4,FALSE)</f>
        <v>0.99970000000000003</v>
      </c>
      <c r="BH1486" s="25">
        <f>VLOOKUP(Inventory[[#This Row],[Qlty]],Lookups!$O$7:$R$21,4,FALSE)</f>
        <v>1.0067999999999999</v>
      </c>
      <c r="BI1486" s="25">
        <f>VLOOKUP(Inventory[[#This Row],[Cnd]],Lookups!$T$7:$W$16,4,FALSE)</f>
        <v>0.99650000000000005</v>
      </c>
      <c r="BJ1486" s="25">
        <f>VLOOKUP(Inventory[[#This Row],[LivArea Range]],Lookups!$T$25:$W$37,4,FALSE)</f>
        <v>1.0157</v>
      </c>
      <c r="BK1486" s="25">
        <f>VLOOKUP(Inventory[[#This Row],[Decade]],Lookups!$O$25:$R$42,4,FALSE)</f>
        <v>0.98909999999999998</v>
      </c>
      <c r="BL1486" s="25">
        <f>Inventory[[#This Row],[Nbhd Adj]]*0.95</f>
        <v>0.94971499999999998</v>
      </c>
      <c r="BM1486" s="25">
        <f>Inventory[[#This Row],[Nbhd Adj]]*Inventory[[#This Row],[Quality Adj]]*Inventory[[#This Row],[Condition Adj]]*Inventory[[#This Row],[Living Area Adj]]*Inventory[[#This Row],[Decade Adj]]*0.95</f>
        <v>0.95723696608169473</v>
      </c>
      <c r="BN1486" s="25">
        <f>ROUND(SUM(Inventory[[#This Row],[Mdl Qlty]:[Mdl WdDeck]])+Inventory[[#This Row],[Mdl Res Intercept]]*Inventory[[#This Row],[Res Adj ]],-2)</f>
        <v>341000</v>
      </c>
      <c r="BO1486" s="25">
        <f>ROUND(Inventory[[#This Row],[25Det]]*Inventory[[#This Row],[Det/Nbhd Adj]],-2)</f>
        <v>0</v>
      </c>
      <c r="BP1486" s="25">
        <f>Inventory[[#This Row],[Adjusted Res]]+Inventory[[#This Row],[Adj Det ]]</f>
        <v>341000</v>
      </c>
      <c r="BQ1486" s="25">
        <f>ROUND((Inventory[[#This Row],[Mdl Land Intercept]]+Inventory[[#This Row],[Mdl LnAcres]])*Inventory[[#This Row],[Det/Nbhd Adj]],-2)</f>
        <v>24000</v>
      </c>
      <c r="BR1486" s="25">
        <f>Inventory[[#This Row],[Adjusted Impr Total]]+Inventory[[#This Row],[Adjusted Land Total]]</f>
        <v>365000</v>
      </c>
      <c r="BS1486" s="36">
        <f>IFERROR((Inventory[[#This Row],[Adjusted Impr Total]]-Inventory[[#This Row],[24Bldg]])/Inventory[[#This Row],[24Bldg]],0)</f>
        <v>0.28388554216867468</v>
      </c>
      <c r="BT1486" s="36">
        <f>(Inventory[[#This Row],[Adjusted Land Total]]-Inventory[[#This Row],[24Lnd]])/Inventory[[#This Row],[24Lnd]]</f>
        <v>-0.44700460829493088</v>
      </c>
      <c r="BU1486" s="36">
        <f>(Inventory[[#This Row],[Adjusted Total]]-Inventory[[#This Row],[24Final]])/Inventory[[#This Row],[24Final]]</f>
        <v>0.18122977346278318</v>
      </c>
    </row>
    <row r="1487" spans="1:73" x14ac:dyDescent="0.3">
      <c r="A1487" s="25">
        <v>2025</v>
      </c>
      <c r="B1487" s="26" t="s">
        <v>1213</v>
      </c>
      <c r="C1487" s="26">
        <f>LN(Inventory[[#This Row],[Acres]])</f>
        <v>-1.8325814637483102</v>
      </c>
      <c r="D1487" s="25">
        <v>0.16</v>
      </c>
      <c r="E1487" s="31"/>
      <c r="F1487" s="26" t="s">
        <v>537</v>
      </c>
      <c r="G1487" s="26" t="s">
        <v>126</v>
      </c>
      <c r="H1487" s="26" t="s">
        <v>349</v>
      </c>
      <c r="I1487" s="26" t="s">
        <v>538</v>
      </c>
      <c r="J1487" s="26" t="s">
        <v>539</v>
      </c>
      <c r="K1487" s="26" t="s">
        <v>147</v>
      </c>
      <c r="L1487" s="26" t="s">
        <v>148</v>
      </c>
      <c r="M1487" s="26" t="s">
        <v>352</v>
      </c>
      <c r="N1487" s="26">
        <v>90</v>
      </c>
      <c r="O1487" s="26">
        <f>2024-Inventory[[#This Row],[YrBlt]]</f>
        <v>89</v>
      </c>
      <c r="P1487" s="26">
        <f>2024-Inventory[[#This Row],[EffYr]]</f>
        <v>53</v>
      </c>
      <c r="Q1487" s="25">
        <v>1935</v>
      </c>
      <c r="R1487" s="25">
        <v>1971</v>
      </c>
      <c r="S1487" s="25">
        <v>1011</v>
      </c>
      <c r="T1487" s="32">
        <v>851</v>
      </c>
      <c r="U1487" s="25">
        <v>828</v>
      </c>
      <c r="V1487" s="25">
        <f>Inventory[[#This Row],[Bsmt]]-Inventory[[#This Row],[FnBsmt]]</f>
        <v>0</v>
      </c>
      <c r="W1487" s="25">
        <v>828</v>
      </c>
      <c r="X1487" s="27"/>
      <c r="Y1487" s="27">
        <f>Inventory[[#This Row],[MainFn]]+Inventory[[#This Row],[UpprFn]]+Inventory[[#This Row],[FnBsmt]]+Inventory[[#This Row],[AddFn]]</f>
        <v>2690</v>
      </c>
      <c r="Z1487" s="27">
        <v>3000</v>
      </c>
      <c r="AA1487" s="25">
        <v>16</v>
      </c>
      <c r="AB1487" s="27"/>
      <c r="AC1487" s="31"/>
      <c r="AD1487" s="32">
        <v>30</v>
      </c>
      <c r="AE1487" s="27"/>
      <c r="AF1487" s="27"/>
      <c r="AG1487" s="27"/>
      <c r="AH1487" s="27"/>
      <c r="AI1487" s="25">
        <v>482292</v>
      </c>
      <c r="AJ1487" s="25">
        <v>337604</v>
      </c>
      <c r="AK1487" s="25">
        <v>52832</v>
      </c>
      <c r="AL1487" s="25">
        <v>488100</v>
      </c>
      <c r="AM1487" s="25">
        <v>50600</v>
      </c>
      <c r="AN1487" s="25">
        <v>437500</v>
      </c>
      <c r="AO1487" s="25">
        <v>0</v>
      </c>
      <c r="AP1487" s="25">
        <f>Lookups!$B$56*0</f>
        <v>0</v>
      </c>
      <c r="AQ1487" s="25">
        <f>Lookups!$B$56*1</f>
        <v>89850.625589999996</v>
      </c>
      <c r="AR1487" s="25">
        <f>Lookups!$B$57*Inventory[[#This Row],[LnAcres]]</f>
        <v>-58009.662049032086</v>
      </c>
      <c r="AS1487" s="25">
        <f>VLOOKUP(Inventory[[#This Row],[Qlty]],Lookups!$A$62:$E$75,2,FALSE)</f>
        <v>44121.038090000002</v>
      </c>
      <c r="AT1487" s="25">
        <f>VLOOKUP(Inventory[[#This Row],[Cnd]],Lookups!$A$76:$E$84,2,FALSE)</f>
        <v>284810.60806</v>
      </c>
      <c r="AU1487" s="25">
        <f>Inventory[[#This Row],[EffAge]]*Lookups!$B$85</f>
        <v>-11821.416826500001</v>
      </c>
      <c r="AV1487" s="25">
        <f>Inventory[[#This Row],[MainFn]]*Lookups!$B$86</f>
        <v>49952.165245647004</v>
      </c>
      <c r="AW1487" s="25">
        <f>Inventory[[#This Row],[UpprFn]]*Lookups!$B$87</f>
        <v>38113.245854711</v>
      </c>
      <c r="AX1487" s="25">
        <f>Inventory[[#This Row],[AddFn]]*Lookups!$B$88</f>
        <v>0</v>
      </c>
      <c r="AY1487" s="25">
        <f>Inventory[[#This Row],[Bsmt]]*Lookups!$B$89</f>
        <v>24079.809264516</v>
      </c>
      <c r="AZ1487" s="25">
        <f>Inventory[[#This Row],[Fixtures]]*Lookups!$B$90</f>
        <v>60672.353683200003</v>
      </c>
      <c r="BA1487" s="25">
        <f>Inventory[[#This Row],[WdDeck]]*Lookups!$B$91</f>
        <v>998.8654582800001</v>
      </c>
      <c r="BB1487" s="25">
        <f>ROUND(Inventory[[#This Row],[25Det]],-2)</f>
        <v>52800</v>
      </c>
      <c r="BC1487" s="25">
        <f>ROUND(SUM(Inventory[[#This Row],[Mdl Qlty]:[Mdl WdDeck]])+Inventory[[#This Row],[Mdl Res Intercept]],-2)</f>
        <v>490900</v>
      </c>
      <c r="BD1487" s="25">
        <f>ROUND(Inventory[[#This Row],[Mdl Land Intercept]]+Inventory[[#This Row],[Mdl LnAcres]],-2)</f>
        <v>31800</v>
      </c>
      <c r="BE1487" s="25">
        <f>Inventory[[#This Row],[Unadj Res Value]]+Inventory[[#This Row],[Unadj Det Value]]+Inventory[[#This Row],[Unadj Land Value]]</f>
        <v>575500</v>
      </c>
      <c r="BF1487" s="36">
        <f>(Inventory[[#This Row],[Unadj Total Value]]-Inventory[[#This Row],[24Final]])/Inventory[[#This Row],[24Final]]</f>
        <v>0.17906166769104692</v>
      </c>
      <c r="BG1487" s="25">
        <f>VLOOKUP(Inventory[[#This Row],[Nbhd]],Lookups!$Q$2:$T$4,4,FALSE)</f>
        <v>0.99970000000000003</v>
      </c>
      <c r="BH1487" s="25">
        <f>VLOOKUP(Inventory[[#This Row],[Qlty]],Lookups!$O$7:$R$21,4,FALSE)</f>
        <v>0.98050000000000004</v>
      </c>
      <c r="BI1487" s="25">
        <f>VLOOKUP(Inventory[[#This Row],[Cnd]],Lookups!$T$7:$W$16,4,FALSE)</f>
        <v>1.0158</v>
      </c>
      <c r="BJ1487" s="25">
        <f>VLOOKUP(Inventory[[#This Row],[LivArea Range]],Lookups!$T$25:$W$37,4,FALSE)</f>
        <v>0.96179999999999999</v>
      </c>
      <c r="BK1487" s="25">
        <f>VLOOKUP(Inventory[[#This Row],[Decade]],Lookups!$O$25:$R$42,4,FALSE)</f>
        <v>0.98909999999999998</v>
      </c>
      <c r="BL1487" s="25">
        <f>Inventory[[#This Row],[Nbhd Adj]]*0.95</f>
        <v>0.94971499999999998</v>
      </c>
      <c r="BM1487" s="25">
        <f>Inventory[[#This Row],[Nbhd Adj]]*Inventory[[#This Row],[Quality Adj]]*Inventory[[#This Row],[Condition Adj]]*Inventory[[#This Row],[Living Area Adj]]*Inventory[[#This Row],[Decade Adj]]*0.95</f>
        <v>0.89985819990494287</v>
      </c>
      <c r="BN1487" s="25">
        <f>ROUND(SUM(Inventory[[#This Row],[Mdl Qlty]:[Mdl WdDeck]])+Inventory[[#This Row],[Mdl Res Intercept]]*Inventory[[#This Row],[Res Adj ]],-2)</f>
        <v>490900</v>
      </c>
      <c r="BO1487" s="25">
        <f>ROUND(Inventory[[#This Row],[25Det]]*Inventory[[#This Row],[Det/Nbhd Adj]],-2)</f>
        <v>50200</v>
      </c>
      <c r="BP1487" s="25">
        <f>Inventory[[#This Row],[Adjusted Res]]+Inventory[[#This Row],[Adj Det ]]</f>
        <v>541100</v>
      </c>
      <c r="BQ1487" s="25">
        <f>ROUND((Inventory[[#This Row],[Mdl Land Intercept]]+Inventory[[#This Row],[Mdl LnAcres]])*Inventory[[#This Row],[Det/Nbhd Adj]],-2)</f>
        <v>30200</v>
      </c>
      <c r="BR1487" s="25">
        <f>Inventory[[#This Row],[Adjusted Impr Total]]+Inventory[[#This Row],[Adjusted Land Total]]</f>
        <v>571300</v>
      </c>
      <c r="BS1487" s="36">
        <f>IFERROR((Inventory[[#This Row],[Adjusted Impr Total]]-Inventory[[#This Row],[24Bldg]])/Inventory[[#This Row],[24Bldg]],0)</f>
        <v>0.23680000000000001</v>
      </c>
      <c r="BT1487" s="36">
        <f>(Inventory[[#This Row],[Adjusted Land Total]]-Inventory[[#This Row],[24Lnd]])/Inventory[[#This Row],[24Lnd]]</f>
        <v>-0.40316205533596838</v>
      </c>
      <c r="BU1487" s="36">
        <f>(Inventory[[#This Row],[Adjusted Total]]-Inventory[[#This Row],[24Final]])/Inventory[[#This Row],[24Final]]</f>
        <v>0.17045687359147715</v>
      </c>
    </row>
    <row r="1488" spans="1:73" x14ac:dyDescent="0.3">
      <c r="A1488" s="25">
        <v>2025</v>
      </c>
      <c r="B1488" s="26" t="s">
        <v>2671</v>
      </c>
      <c r="C1488" s="26">
        <f>LN(Inventory[[#This Row],[Acres]])</f>
        <v>-1.6094379124341003</v>
      </c>
      <c r="D1488" s="25">
        <v>0.2</v>
      </c>
      <c r="E1488" s="27"/>
      <c r="F1488" s="26" t="s">
        <v>537</v>
      </c>
      <c r="G1488" s="26" t="s">
        <v>126</v>
      </c>
      <c r="H1488" s="26" t="s">
        <v>349</v>
      </c>
      <c r="I1488" s="26" t="s">
        <v>538</v>
      </c>
      <c r="J1488" s="26" t="s">
        <v>539</v>
      </c>
      <c r="K1488" s="26" t="s">
        <v>147</v>
      </c>
      <c r="L1488" s="26" t="s">
        <v>302</v>
      </c>
      <c r="M1488" s="26" t="s">
        <v>352</v>
      </c>
      <c r="N1488" s="26">
        <v>90</v>
      </c>
      <c r="O1488" s="26">
        <f>2024-Inventory[[#This Row],[YrBlt]]</f>
        <v>89</v>
      </c>
      <c r="P1488" s="26">
        <f>2024-Inventory[[#This Row],[EffYr]]</f>
        <v>53</v>
      </c>
      <c r="Q1488" s="25">
        <v>1935</v>
      </c>
      <c r="R1488" s="25">
        <v>1971</v>
      </c>
      <c r="S1488" s="25">
        <v>1230</v>
      </c>
      <c r="T1488" s="32">
        <v>500</v>
      </c>
      <c r="U1488" s="25">
        <v>1230</v>
      </c>
      <c r="V1488" s="25">
        <f>Inventory[[#This Row],[Bsmt]]-Inventory[[#This Row],[FnBsmt]]</f>
        <v>0</v>
      </c>
      <c r="W1488" s="25">
        <v>1230</v>
      </c>
      <c r="X1488" s="27"/>
      <c r="Y1488" s="27">
        <f>Inventory[[#This Row],[MainFn]]+Inventory[[#This Row],[UpprFn]]+Inventory[[#This Row],[FnBsmt]]+Inventory[[#This Row],[AddFn]]</f>
        <v>2960</v>
      </c>
      <c r="Z1488" s="27">
        <v>3000</v>
      </c>
      <c r="AA1488" s="25">
        <v>10</v>
      </c>
      <c r="AB1488" s="31"/>
      <c r="AC1488" s="27"/>
      <c r="AD1488" s="31"/>
      <c r="AE1488" s="27"/>
      <c r="AF1488" s="27"/>
      <c r="AG1488" s="27"/>
      <c r="AH1488" s="27"/>
      <c r="AI1488" s="25">
        <v>425661</v>
      </c>
      <c r="AJ1488" s="25">
        <v>297963</v>
      </c>
      <c r="AK1488" s="25">
        <v>0</v>
      </c>
      <c r="AL1488" s="25">
        <v>425900</v>
      </c>
      <c r="AM1488" s="25">
        <v>58400</v>
      </c>
      <c r="AN1488" s="25">
        <v>367500</v>
      </c>
      <c r="AO1488" s="25">
        <v>0</v>
      </c>
      <c r="AP1488" s="25">
        <f>Lookups!$B$56*0</f>
        <v>0</v>
      </c>
      <c r="AQ1488" s="25">
        <f>Lookups!$B$56*1</f>
        <v>89850.625589999996</v>
      </c>
      <c r="AR1488" s="25">
        <f>Lookups!$B$57*Inventory[[#This Row],[LnAcres]]</f>
        <v>-50946.13867709865</v>
      </c>
      <c r="AS1488" s="25">
        <f>VLOOKUP(Inventory[[#This Row],[Qlty]],Lookups!$A$62:$E$75,2,FALSE)</f>
        <v>29814.093161000001</v>
      </c>
      <c r="AT1488" s="25">
        <f>VLOOKUP(Inventory[[#This Row],[Cnd]],Lookups!$A$76:$E$84,2,FALSE)</f>
        <v>284810.60806</v>
      </c>
      <c r="AU1488" s="25">
        <f>Inventory[[#This Row],[EffAge]]*Lookups!$B$85</f>
        <v>-11821.416826500001</v>
      </c>
      <c r="AV1488" s="25">
        <f>Inventory[[#This Row],[MainFn]]*Lookups!$B$86</f>
        <v>60772.663948710004</v>
      </c>
      <c r="AW1488" s="25">
        <f>Inventory[[#This Row],[UpprFn]]*Lookups!$B$87</f>
        <v>22393.2114305</v>
      </c>
      <c r="AX1488" s="25">
        <f>Inventory[[#This Row],[AddFn]]*Lookups!$B$88</f>
        <v>0</v>
      </c>
      <c r="AY1488" s="25">
        <f>Inventory[[#This Row],[Bsmt]]*Lookups!$B$89</f>
        <v>35770.731153809997</v>
      </c>
      <c r="AZ1488" s="25">
        <f>Inventory[[#This Row],[Fixtures]]*Lookups!$B$90</f>
        <v>37920.221052000001</v>
      </c>
      <c r="BA1488" s="25">
        <f>Inventory[[#This Row],[WdDeck]]*Lookups!$B$91</f>
        <v>0</v>
      </c>
      <c r="BB1488" s="25">
        <f>ROUND(Inventory[[#This Row],[25Det]],-2)</f>
        <v>0</v>
      </c>
      <c r="BC1488" s="25">
        <f>ROUND(SUM(Inventory[[#This Row],[Mdl Qlty]:[Mdl WdDeck]])+Inventory[[#This Row],[Mdl Res Intercept]],-2)</f>
        <v>459700</v>
      </c>
      <c r="BD1488" s="25">
        <f>ROUND(Inventory[[#This Row],[Mdl Land Intercept]]+Inventory[[#This Row],[Mdl LnAcres]],-2)</f>
        <v>38900</v>
      </c>
      <c r="BE1488" s="25">
        <f>Inventory[[#This Row],[Unadj Res Value]]+Inventory[[#This Row],[Unadj Det Value]]+Inventory[[#This Row],[Unadj Land Value]]</f>
        <v>498600</v>
      </c>
      <c r="BF1488" s="36">
        <f>(Inventory[[#This Row],[Unadj Total Value]]-Inventory[[#This Row],[24Final]])/Inventory[[#This Row],[24Final]]</f>
        <v>0.1706973467950223</v>
      </c>
      <c r="BG1488" s="25">
        <f>VLOOKUP(Inventory[[#This Row],[Nbhd]],Lookups!$Q$2:$T$4,4,FALSE)</f>
        <v>0.99970000000000003</v>
      </c>
      <c r="BH1488" s="25">
        <f>VLOOKUP(Inventory[[#This Row],[Qlty]],Lookups!$O$7:$R$21,4,FALSE)</f>
        <v>1.0088999999999999</v>
      </c>
      <c r="BI1488" s="25">
        <f>VLOOKUP(Inventory[[#This Row],[Cnd]],Lookups!$T$7:$W$16,4,FALSE)</f>
        <v>1.0158</v>
      </c>
      <c r="BJ1488" s="25">
        <f>VLOOKUP(Inventory[[#This Row],[LivArea Range]],Lookups!$T$25:$W$37,4,FALSE)</f>
        <v>0.96179999999999999</v>
      </c>
      <c r="BK1488" s="25">
        <f>VLOOKUP(Inventory[[#This Row],[Decade]],Lookups!$O$25:$R$42,4,FALSE)</f>
        <v>0.98909999999999998</v>
      </c>
      <c r="BL1488" s="25">
        <f>Inventory[[#This Row],[Nbhd Adj]]*0.95</f>
        <v>0.94971499999999998</v>
      </c>
      <c r="BM1488" s="25">
        <f>Inventory[[#This Row],[Nbhd Adj]]*Inventory[[#This Row],[Quality Adj]]*Inventory[[#This Row],[Condition Adj]]*Inventory[[#This Row],[Living Area Adj]]*Inventory[[#This Row],[Decade Adj]]*0.95</f>
        <v>0.92592242517500944</v>
      </c>
      <c r="BN1488" s="25">
        <f>ROUND(SUM(Inventory[[#This Row],[Mdl Qlty]:[Mdl WdDeck]])+Inventory[[#This Row],[Mdl Res Intercept]]*Inventory[[#This Row],[Res Adj ]],-2)</f>
        <v>459700</v>
      </c>
      <c r="BO1488" s="25">
        <f>ROUND(Inventory[[#This Row],[25Det]]*Inventory[[#This Row],[Det/Nbhd Adj]],-2)</f>
        <v>0</v>
      </c>
      <c r="BP1488" s="25">
        <f>Inventory[[#This Row],[Adjusted Res]]+Inventory[[#This Row],[Adj Det ]]</f>
        <v>459700</v>
      </c>
      <c r="BQ1488" s="25">
        <f>ROUND((Inventory[[#This Row],[Mdl Land Intercept]]+Inventory[[#This Row],[Mdl LnAcres]])*Inventory[[#This Row],[Det/Nbhd Adj]],-2)</f>
        <v>36900</v>
      </c>
      <c r="BR1488" s="25">
        <f>Inventory[[#This Row],[Adjusted Impr Total]]+Inventory[[#This Row],[Adjusted Land Total]]</f>
        <v>496600</v>
      </c>
      <c r="BS1488" s="36">
        <f>IFERROR((Inventory[[#This Row],[Adjusted Impr Total]]-Inventory[[#This Row],[24Bldg]])/Inventory[[#This Row],[24Bldg]],0)</f>
        <v>0.25088435374149659</v>
      </c>
      <c r="BT1488" s="36">
        <f>(Inventory[[#This Row],[Adjusted Land Total]]-Inventory[[#This Row],[24Lnd]])/Inventory[[#This Row],[24Lnd]]</f>
        <v>-0.36815068493150682</v>
      </c>
      <c r="BU1488" s="36">
        <f>(Inventory[[#This Row],[Adjusted Total]]-Inventory[[#This Row],[24Final]])/Inventory[[#This Row],[24Final]]</f>
        <v>0.1660014087814041</v>
      </c>
    </row>
    <row r="1489" spans="1:73" x14ac:dyDescent="0.3">
      <c r="A1489" s="25">
        <v>2025</v>
      </c>
      <c r="B1489" s="26" t="s">
        <v>2235</v>
      </c>
      <c r="C1489" s="26">
        <f>LN(Inventory[[#This Row],[Acres]])</f>
        <v>-1.6607312068216509</v>
      </c>
      <c r="D1489" s="25">
        <v>0.19</v>
      </c>
      <c r="E1489" s="32">
        <v>8124</v>
      </c>
      <c r="F1489" s="26" t="s">
        <v>537</v>
      </c>
      <c r="G1489" s="26" t="s">
        <v>126</v>
      </c>
      <c r="H1489" s="26" t="s">
        <v>349</v>
      </c>
      <c r="I1489" s="26" t="s">
        <v>538</v>
      </c>
      <c r="J1489" s="26" t="s">
        <v>539</v>
      </c>
      <c r="K1489" s="26" t="s">
        <v>147</v>
      </c>
      <c r="L1489" s="26" t="s">
        <v>351</v>
      </c>
      <c r="M1489" s="26" t="s">
        <v>303</v>
      </c>
      <c r="N1489" s="26">
        <v>90</v>
      </c>
      <c r="O1489" s="26">
        <f>2024-Inventory[[#This Row],[YrBlt]]</f>
        <v>89</v>
      </c>
      <c r="P1489" s="26">
        <f>2024-Inventory[[#This Row],[EffYr]]</f>
        <v>43</v>
      </c>
      <c r="Q1489" s="25">
        <v>1935</v>
      </c>
      <c r="R1489" s="25">
        <v>1981</v>
      </c>
      <c r="S1489" s="25">
        <v>633</v>
      </c>
      <c r="T1489" s="32">
        <v>416</v>
      </c>
      <c r="U1489" s="25">
        <v>633</v>
      </c>
      <c r="V1489" s="25">
        <f>Inventory[[#This Row],[Bsmt]]-Inventory[[#This Row],[FnBsmt]]</f>
        <v>0</v>
      </c>
      <c r="W1489" s="25">
        <v>633</v>
      </c>
      <c r="X1489" s="27"/>
      <c r="Y1489" s="27">
        <f>Inventory[[#This Row],[MainFn]]+Inventory[[#This Row],[UpprFn]]+Inventory[[#This Row],[FnBsmt]]+Inventory[[#This Row],[AddFn]]</f>
        <v>1682</v>
      </c>
      <c r="Z1489" s="27">
        <v>2000</v>
      </c>
      <c r="AA1489" s="25">
        <v>9</v>
      </c>
      <c r="AB1489" s="31"/>
      <c r="AC1489" s="27"/>
      <c r="AD1489" s="32">
        <v>570</v>
      </c>
      <c r="AE1489" s="27"/>
      <c r="AF1489" s="27"/>
      <c r="AG1489" s="27"/>
      <c r="AH1489" s="27"/>
      <c r="AI1489" s="25">
        <v>245300</v>
      </c>
      <c r="AJ1489" s="25">
        <v>193787</v>
      </c>
      <c r="AK1489" s="25">
        <v>6227</v>
      </c>
      <c r="AL1489" s="25">
        <v>326600</v>
      </c>
      <c r="AM1489" s="25">
        <v>56600</v>
      </c>
      <c r="AN1489" s="25">
        <v>270000</v>
      </c>
      <c r="AO1489" s="25">
        <v>0</v>
      </c>
      <c r="AP1489" s="25">
        <f>Lookups!$B$56*0</f>
        <v>0</v>
      </c>
      <c r="AQ1489" s="25">
        <f>Lookups!$B$56*1</f>
        <v>89850.625589999996</v>
      </c>
      <c r="AR1489" s="25">
        <f>Lookups!$B$57*Inventory[[#This Row],[LnAcres]]</f>
        <v>-52569.808201026557</v>
      </c>
      <c r="AS1489" s="25">
        <f>VLOOKUP(Inventory[[#This Row],[Qlty]],Lookups!$A$62:$E$75,2,FALSE)</f>
        <v>21557.329055999999</v>
      </c>
      <c r="AT1489" s="25">
        <f>VLOOKUP(Inventory[[#This Row],[Cnd]],Lookups!$A$76:$E$84,2,FALSE)</f>
        <v>197752.34721000001</v>
      </c>
      <c r="AU1489" s="25">
        <f>Inventory[[#This Row],[EffAge]]*Lookups!$B$85</f>
        <v>-9590.9608215000007</v>
      </c>
      <c r="AV1489" s="25">
        <f>Inventory[[#This Row],[MainFn]]*Lookups!$B$86</f>
        <v>31275.688032140999</v>
      </c>
      <c r="AW1489" s="25">
        <f>Inventory[[#This Row],[UpprFn]]*Lookups!$B$87</f>
        <v>18631.151910175999</v>
      </c>
      <c r="AX1489" s="25">
        <f>Inventory[[#This Row],[AddFn]]*Lookups!$B$88</f>
        <v>0</v>
      </c>
      <c r="AY1489" s="25">
        <f>Inventory[[#This Row],[Bsmt]]*Lookups!$B$89</f>
        <v>18408.839691351001</v>
      </c>
      <c r="AZ1489" s="25">
        <f>Inventory[[#This Row],[Fixtures]]*Lookups!$B$90</f>
        <v>34128.198946800003</v>
      </c>
      <c r="BA1489" s="25">
        <f>Inventory[[#This Row],[WdDeck]]*Lookups!$B$91</f>
        <v>18978.443707320002</v>
      </c>
      <c r="BB1489" s="25">
        <f>ROUND(Inventory[[#This Row],[25Det]],-2)</f>
        <v>6200</v>
      </c>
      <c r="BC1489" s="25">
        <f>ROUND(SUM(Inventory[[#This Row],[Mdl Qlty]:[Mdl WdDeck]])+Inventory[[#This Row],[Mdl Res Intercept]],-2)</f>
        <v>331100</v>
      </c>
      <c r="BD1489" s="25">
        <f>ROUND(Inventory[[#This Row],[Mdl Land Intercept]]+Inventory[[#This Row],[Mdl LnAcres]],-2)</f>
        <v>37300</v>
      </c>
      <c r="BE1489" s="25">
        <f>Inventory[[#This Row],[Unadj Res Value]]+Inventory[[#This Row],[Unadj Det Value]]+Inventory[[#This Row],[Unadj Land Value]]</f>
        <v>374600</v>
      </c>
      <c r="BF1489" s="36">
        <f>(Inventory[[#This Row],[Unadj Total Value]]-Inventory[[#This Row],[24Final]])/Inventory[[#This Row],[24Final]]</f>
        <v>0.14696876913655849</v>
      </c>
      <c r="BG1489" s="25">
        <f>VLOOKUP(Inventory[[#This Row],[Nbhd]],Lookups!$Q$2:$T$4,4,FALSE)</f>
        <v>0.99970000000000003</v>
      </c>
      <c r="BH1489" s="25">
        <f>VLOOKUP(Inventory[[#This Row],[Qlty]],Lookups!$O$7:$R$21,4,FALSE)</f>
        <v>1.0067999999999999</v>
      </c>
      <c r="BI1489" s="25">
        <f>VLOOKUP(Inventory[[#This Row],[Cnd]],Lookups!$T$7:$W$16,4,FALSE)</f>
        <v>0.99650000000000005</v>
      </c>
      <c r="BJ1489" s="25">
        <f>VLOOKUP(Inventory[[#This Row],[LivArea Range]],Lookups!$T$25:$W$37,4,FALSE)</f>
        <v>1.0093000000000001</v>
      </c>
      <c r="BK1489" s="25">
        <f>VLOOKUP(Inventory[[#This Row],[Decade]],Lookups!$O$25:$R$42,4,FALSE)</f>
        <v>0.98909999999999998</v>
      </c>
      <c r="BL1489" s="25">
        <f>Inventory[[#This Row],[Nbhd Adj]]*0.95</f>
        <v>0.94971499999999998</v>
      </c>
      <c r="BM1489" s="25">
        <f>Inventory[[#This Row],[Nbhd Adj]]*Inventory[[#This Row],[Quality Adj]]*Inventory[[#This Row],[Condition Adj]]*Inventory[[#This Row],[Living Area Adj]]*Inventory[[#This Row],[Decade Adj]]*0.95</f>
        <v>0.95120534593507355</v>
      </c>
      <c r="BN1489" s="25">
        <f>ROUND(SUM(Inventory[[#This Row],[Mdl Qlty]:[Mdl WdDeck]])+Inventory[[#This Row],[Mdl Res Intercept]]*Inventory[[#This Row],[Res Adj ]],-2)</f>
        <v>331100</v>
      </c>
      <c r="BO1489" s="25">
        <f>ROUND(Inventory[[#This Row],[25Det]]*Inventory[[#This Row],[Det/Nbhd Adj]],-2)</f>
        <v>5900</v>
      </c>
      <c r="BP1489" s="25">
        <f>Inventory[[#This Row],[Adjusted Res]]+Inventory[[#This Row],[Adj Det ]]</f>
        <v>337000</v>
      </c>
      <c r="BQ1489" s="25">
        <f>ROUND((Inventory[[#This Row],[Mdl Land Intercept]]+Inventory[[#This Row],[Mdl LnAcres]])*Inventory[[#This Row],[Det/Nbhd Adj]],-2)</f>
        <v>35400</v>
      </c>
      <c r="BR1489" s="25">
        <f>Inventory[[#This Row],[Adjusted Impr Total]]+Inventory[[#This Row],[Adjusted Land Total]]</f>
        <v>372400</v>
      </c>
      <c r="BS1489" s="36">
        <f>IFERROR((Inventory[[#This Row],[Adjusted Impr Total]]-Inventory[[#This Row],[24Bldg]])/Inventory[[#This Row],[24Bldg]],0)</f>
        <v>0.24814814814814815</v>
      </c>
      <c r="BT1489" s="36">
        <f>(Inventory[[#This Row],[Adjusted Land Total]]-Inventory[[#This Row],[24Lnd]])/Inventory[[#This Row],[24Lnd]]</f>
        <v>-0.37455830388692579</v>
      </c>
      <c r="BU1489" s="36">
        <f>(Inventory[[#This Row],[Adjusted Total]]-Inventory[[#This Row],[24Final]])/Inventory[[#This Row],[24Final]]</f>
        <v>0.14023270055113288</v>
      </c>
    </row>
    <row r="1490" spans="1:73" x14ac:dyDescent="0.3">
      <c r="A1490" s="25">
        <v>2025</v>
      </c>
      <c r="B1490" s="26" t="s">
        <v>881</v>
      </c>
      <c r="C1490" s="26">
        <f>LN(Inventory[[#This Row],[Acres]])</f>
        <v>-1.0216512475319814</v>
      </c>
      <c r="D1490" s="25">
        <v>0.36</v>
      </c>
      <c r="E1490" s="25">
        <v>15754</v>
      </c>
      <c r="F1490" s="26" t="s">
        <v>537</v>
      </c>
      <c r="G1490" s="26" t="s">
        <v>126</v>
      </c>
      <c r="H1490" s="26" t="s">
        <v>349</v>
      </c>
      <c r="I1490" s="26" t="s">
        <v>538</v>
      </c>
      <c r="J1490" s="26" t="s">
        <v>539</v>
      </c>
      <c r="K1490" s="26" t="s">
        <v>173</v>
      </c>
      <c r="L1490" s="26" t="s">
        <v>148</v>
      </c>
      <c r="M1490" s="26" t="s">
        <v>352</v>
      </c>
      <c r="N1490" s="26">
        <v>90</v>
      </c>
      <c r="O1490" s="26">
        <f>2024-Inventory[[#This Row],[YrBlt]]</f>
        <v>89</v>
      </c>
      <c r="P1490" s="26">
        <f>2024-Inventory[[#This Row],[EffYr]]</f>
        <v>53</v>
      </c>
      <c r="Q1490" s="25">
        <v>1935</v>
      </c>
      <c r="R1490" s="25">
        <v>1971</v>
      </c>
      <c r="S1490" s="25">
        <v>1338</v>
      </c>
      <c r="T1490" s="32">
        <v>1144</v>
      </c>
      <c r="U1490" s="25">
        <v>634</v>
      </c>
      <c r="V1490" s="25">
        <f>Inventory[[#This Row],[Bsmt]]-Inventory[[#This Row],[FnBsmt]]</f>
        <v>0</v>
      </c>
      <c r="W1490" s="25">
        <v>634</v>
      </c>
      <c r="X1490" s="27"/>
      <c r="Y1490" s="27">
        <f>Inventory[[#This Row],[MainFn]]+Inventory[[#This Row],[UpprFn]]+Inventory[[#This Row],[FnBsmt]]+Inventory[[#This Row],[AddFn]]</f>
        <v>3116</v>
      </c>
      <c r="Z1490" s="27">
        <v>3500</v>
      </c>
      <c r="AA1490" s="25">
        <v>13</v>
      </c>
      <c r="AB1490" s="27"/>
      <c r="AC1490" s="31"/>
      <c r="AD1490" s="27"/>
      <c r="AE1490" s="27"/>
      <c r="AF1490" s="27"/>
      <c r="AG1490" s="27"/>
      <c r="AH1490" s="27"/>
      <c r="AI1490" s="25">
        <v>564267</v>
      </c>
      <c r="AJ1490" s="25">
        <v>394987</v>
      </c>
      <c r="AK1490" s="25">
        <v>36436</v>
      </c>
      <c r="AL1490" s="25">
        <v>519500</v>
      </c>
      <c r="AM1490" s="25">
        <v>78900</v>
      </c>
      <c r="AN1490" s="25">
        <v>440600</v>
      </c>
      <c r="AO1490" s="25">
        <v>0</v>
      </c>
      <c r="AP1490" s="25">
        <f>Lookups!$B$56*0</f>
        <v>0</v>
      </c>
      <c r="AQ1490" s="25">
        <f>Lookups!$B$56*1</f>
        <v>89850.625589999996</v>
      </c>
      <c r="AR1490" s="25">
        <f>Lookups!$B$57*Inventory[[#This Row],[LnAcres]]</f>
        <v>-32339.977661938148</v>
      </c>
      <c r="AS1490" s="25">
        <f>VLOOKUP(Inventory[[#This Row],[Qlty]],Lookups!$A$62:$E$75,2,FALSE)</f>
        <v>44121.038090000002</v>
      </c>
      <c r="AT1490" s="25">
        <f>VLOOKUP(Inventory[[#This Row],[Cnd]],Lookups!$A$76:$E$84,2,FALSE)</f>
        <v>284810.60806</v>
      </c>
      <c r="AU1490" s="25">
        <f>Inventory[[#This Row],[EffAge]]*Lookups!$B$85</f>
        <v>-11821.416826500001</v>
      </c>
      <c r="AV1490" s="25">
        <f>Inventory[[#This Row],[MainFn]]*Lookups!$B$86</f>
        <v>66108.800295426001</v>
      </c>
      <c r="AW1490" s="25">
        <f>Inventory[[#This Row],[UpprFn]]*Lookups!$B$87</f>
        <v>51235.667752984002</v>
      </c>
      <c r="AX1490" s="25">
        <f>Inventory[[#This Row],[AddFn]]*Lookups!$B$88</f>
        <v>0</v>
      </c>
      <c r="AY1490" s="25">
        <f>Inventory[[#This Row],[Bsmt]]*Lookups!$B$89</f>
        <v>18437.921586598</v>
      </c>
      <c r="AZ1490" s="25">
        <f>Inventory[[#This Row],[Fixtures]]*Lookups!$B$90</f>
        <v>49296.287367600002</v>
      </c>
      <c r="BA1490" s="25">
        <f>Inventory[[#This Row],[WdDeck]]*Lookups!$B$91</f>
        <v>0</v>
      </c>
      <c r="BB1490" s="25">
        <f>ROUND(Inventory[[#This Row],[25Det]],-2)</f>
        <v>36400</v>
      </c>
      <c r="BC1490" s="25">
        <f>ROUND(SUM(Inventory[[#This Row],[Mdl Qlty]:[Mdl WdDeck]])+Inventory[[#This Row],[Mdl Res Intercept]],-2)</f>
        <v>502200</v>
      </c>
      <c r="BD1490" s="25">
        <f>ROUND(Inventory[[#This Row],[Mdl Land Intercept]]+Inventory[[#This Row],[Mdl LnAcres]],-2)</f>
        <v>57500</v>
      </c>
      <c r="BE1490" s="25">
        <f>Inventory[[#This Row],[Unadj Res Value]]+Inventory[[#This Row],[Unadj Det Value]]+Inventory[[#This Row],[Unadj Land Value]]</f>
        <v>596100</v>
      </c>
      <c r="BF1490" s="36">
        <f>(Inventory[[#This Row],[Unadj Total Value]]-Inventory[[#This Row],[24Final]])/Inventory[[#This Row],[24Final]]</f>
        <v>0.14744947064485081</v>
      </c>
      <c r="BG1490" s="25">
        <f>VLOOKUP(Inventory[[#This Row],[Nbhd]],Lookups!$Q$2:$T$4,4,FALSE)</f>
        <v>0.99970000000000003</v>
      </c>
      <c r="BH1490" s="25">
        <f>VLOOKUP(Inventory[[#This Row],[Qlty]],Lookups!$O$7:$R$21,4,FALSE)</f>
        <v>0.98050000000000004</v>
      </c>
      <c r="BI1490" s="25">
        <f>VLOOKUP(Inventory[[#This Row],[Cnd]],Lookups!$T$7:$W$16,4,FALSE)</f>
        <v>1.0158</v>
      </c>
      <c r="BJ1490" s="25">
        <f>VLOOKUP(Inventory[[#This Row],[LivArea Range]],Lookups!$T$25:$W$37,4,FALSE)</f>
        <v>1.0126999999999999</v>
      </c>
      <c r="BK1490" s="25">
        <f>VLOOKUP(Inventory[[#This Row],[Decade]],Lookups!$O$25:$R$42,4,FALSE)</f>
        <v>0.98909999999999998</v>
      </c>
      <c r="BL1490" s="25">
        <f>Inventory[[#This Row],[Nbhd Adj]]*0.95</f>
        <v>0.94971499999999998</v>
      </c>
      <c r="BM1490" s="25">
        <f>Inventory[[#This Row],[Nbhd Adj]]*Inventory[[#This Row],[Quality Adj]]*Inventory[[#This Row],[Condition Adj]]*Inventory[[#This Row],[Living Area Adj]]*Inventory[[#This Row],[Decade Adj]]*0.95</f>
        <v>0.94748014040729434</v>
      </c>
      <c r="BN1490" s="25">
        <f>ROUND(SUM(Inventory[[#This Row],[Mdl Qlty]:[Mdl WdDeck]])+Inventory[[#This Row],[Mdl Res Intercept]]*Inventory[[#This Row],[Res Adj ]],-2)</f>
        <v>502200</v>
      </c>
      <c r="BO1490" s="25">
        <f>ROUND(Inventory[[#This Row],[25Det]]*Inventory[[#This Row],[Det/Nbhd Adj]],-2)</f>
        <v>34600</v>
      </c>
      <c r="BP1490" s="25">
        <f>Inventory[[#This Row],[Adjusted Res]]+Inventory[[#This Row],[Adj Det ]]</f>
        <v>536800</v>
      </c>
      <c r="BQ1490" s="25">
        <f>ROUND((Inventory[[#This Row],[Mdl Land Intercept]]+Inventory[[#This Row],[Mdl LnAcres]])*Inventory[[#This Row],[Det/Nbhd Adj]],-2)</f>
        <v>54600</v>
      </c>
      <c r="BR1490" s="25">
        <f>Inventory[[#This Row],[Adjusted Impr Total]]+Inventory[[#This Row],[Adjusted Land Total]]</f>
        <v>591400</v>
      </c>
      <c r="BS1490" s="36">
        <f>IFERROR((Inventory[[#This Row],[Adjusted Impr Total]]-Inventory[[#This Row],[24Bldg]])/Inventory[[#This Row],[24Bldg]],0)</f>
        <v>0.21833862914207899</v>
      </c>
      <c r="BT1490" s="36">
        <f>(Inventory[[#This Row],[Adjusted Land Total]]-Inventory[[#This Row],[24Lnd]])/Inventory[[#This Row],[24Lnd]]</f>
        <v>-0.30798479087452474</v>
      </c>
      <c r="BU1490" s="36">
        <f>(Inventory[[#This Row],[Adjusted Total]]-Inventory[[#This Row],[24Final]])/Inventory[[#This Row],[24Final]]</f>
        <v>0.13840230991337824</v>
      </c>
    </row>
    <row r="1491" spans="1:73" x14ac:dyDescent="0.3">
      <c r="A1491" s="25">
        <v>2025</v>
      </c>
      <c r="B1491" s="26" t="s">
        <v>1889</v>
      </c>
      <c r="C1491" s="26">
        <f>LN(Inventory[[#This Row],[Acres]])</f>
        <v>-1.8325814637483102</v>
      </c>
      <c r="D1491" s="25">
        <v>0.16</v>
      </c>
      <c r="E1491" s="31"/>
      <c r="F1491" s="26" t="s">
        <v>537</v>
      </c>
      <c r="G1491" s="26" t="s">
        <v>126</v>
      </c>
      <c r="H1491" s="26" t="s">
        <v>349</v>
      </c>
      <c r="I1491" s="26" t="s">
        <v>538</v>
      </c>
      <c r="J1491" s="26" t="s">
        <v>539</v>
      </c>
      <c r="K1491" s="26" t="s">
        <v>242</v>
      </c>
      <c r="L1491" s="26" t="s">
        <v>351</v>
      </c>
      <c r="M1491" s="26" t="s">
        <v>303</v>
      </c>
      <c r="N1491" s="26">
        <v>90</v>
      </c>
      <c r="O1491" s="26">
        <f>2024-Inventory[[#This Row],[YrBlt]]</f>
        <v>89</v>
      </c>
      <c r="P1491" s="26">
        <f>2024-Inventory[[#This Row],[EffYr]]</f>
        <v>53</v>
      </c>
      <c r="Q1491" s="25">
        <v>1935</v>
      </c>
      <c r="R1491" s="25">
        <v>1971</v>
      </c>
      <c r="S1491" s="25">
        <v>1069</v>
      </c>
      <c r="T1491" s="27"/>
      <c r="U1491" s="32">
        <v>1069</v>
      </c>
      <c r="V1491" s="32">
        <f>Inventory[[#This Row],[Bsmt]]-Inventory[[#This Row],[FnBsmt]]</f>
        <v>1069</v>
      </c>
      <c r="W1491" s="27"/>
      <c r="X1491" s="27"/>
      <c r="Y1491" s="27">
        <f>Inventory[[#This Row],[MainFn]]+Inventory[[#This Row],[UpprFn]]+Inventory[[#This Row],[FnBsmt]]+Inventory[[#This Row],[AddFn]]</f>
        <v>1069</v>
      </c>
      <c r="Z1491" s="27">
        <v>1500</v>
      </c>
      <c r="AA1491" s="25">
        <v>5</v>
      </c>
      <c r="AB1491" s="31"/>
      <c r="AC1491" s="27"/>
      <c r="AD1491" s="27"/>
      <c r="AE1491" s="27"/>
      <c r="AF1491" s="27"/>
      <c r="AG1491" s="27"/>
      <c r="AH1491" s="27"/>
      <c r="AI1491" s="25">
        <v>227382</v>
      </c>
      <c r="AJ1491" s="25">
        <v>156894</v>
      </c>
      <c r="AK1491" s="25">
        <v>6602</v>
      </c>
      <c r="AL1491" s="25">
        <v>306000</v>
      </c>
      <c r="AM1491" s="25">
        <v>50600</v>
      </c>
      <c r="AN1491" s="25">
        <v>255400</v>
      </c>
      <c r="AO1491" s="25">
        <v>0</v>
      </c>
      <c r="AP1491" s="25">
        <f>Lookups!$B$56*0</f>
        <v>0</v>
      </c>
      <c r="AQ1491" s="25">
        <f>Lookups!$B$56*1</f>
        <v>89850.625589999996</v>
      </c>
      <c r="AR1491" s="25">
        <f>Lookups!$B$57*Inventory[[#This Row],[LnAcres]]</f>
        <v>-58009.662049032086</v>
      </c>
      <c r="AS1491" s="25">
        <f>VLOOKUP(Inventory[[#This Row],[Qlty]],Lookups!$A$62:$E$75,2,FALSE)</f>
        <v>21557.329055999999</v>
      </c>
      <c r="AT1491" s="25">
        <f>VLOOKUP(Inventory[[#This Row],[Cnd]],Lookups!$A$76:$E$84,2,FALSE)</f>
        <v>197752.34721000001</v>
      </c>
      <c r="AU1491" s="25">
        <f>Inventory[[#This Row],[EffAge]]*Lookups!$B$85</f>
        <v>-11821.416826500001</v>
      </c>
      <c r="AV1491" s="25">
        <f>Inventory[[#This Row],[MainFn]]*Lookups!$B$86</f>
        <v>52817.868098513005</v>
      </c>
      <c r="AW1491" s="25">
        <f>Inventory[[#This Row],[UpprFn]]*Lookups!$B$87</f>
        <v>0</v>
      </c>
      <c r="AX1491" s="25">
        <f>Inventory[[#This Row],[AddFn]]*Lookups!$B$88</f>
        <v>0</v>
      </c>
      <c r="AY1491" s="25">
        <f>Inventory[[#This Row],[Bsmt]]*Lookups!$B$89</f>
        <v>31088.546019042999</v>
      </c>
      <c r="AZ1491" s="25">
        <f>Inventory[[#This Row],[Fixtures]]*Lookups!$B$90</f>
        <v>18960.110526</v>
      </c>
      <c r="BA1491" s="25">
        <f>Inventory[[#This Row],[WdDeck]]*Lookups!$B$91</f>
        <v>0</v>
      </c>
      <c r="BB1491" s="25">
        <f>ROUND(Inventory[[#This Row],[25Det]],-2)</f>
        <v>6600</v>
      </c>
      <c r="BC1491" s="25">
        <f>ROUND(SUM(Inventory[[#This Row],[Mdl Qlty]:[Mdl WdDeck]])+Inventory[[#This Row],[Mdl Res Intercept]],-2)</f>
        <v>310400</v>
      </c>
      <c r="BD1491" s="25">
        <f>ROUND(Inventory[[#This Row],[Mdl Land Intercept]]+Inventory[[#This Row],[Mdl LnAcres]],-2)</f>
        <v>31800</v>
      </c>
      <c r="BE1491" s="25">
        <f>Inventory[[#This Row],[Unadj Res Value]]+Inventory[[#This Row],[Unadj Det Value]]+Inventory[[#This Row],[Unadj Land Value]]</f>
        <v>348800</v>
      </c>
      <c r="BF1491" s="36">
        <f>(Inventory[[#This Row],[Unadj Total Value]]-Inventory[[#This Row],[24Final]])/Inventory[[#This Row],[24Final]]</f>
        <v>0.13986928104575164</v>
      </c>
      <c r="BG1491" s="25">
        <f>VLOOKUP(Inventory[[#This Row],[Nbhd]],Lookups!$Q$2:$T$4,4,FALSE)</f>
        <v>0.99970000000000003</v>
      </c>
      <c r="BH1491" s="25">
        <f>VLOOKUP(Inventory[[#This Row],[Qlty]],Lookups!$O$7:$R$21,4,FALSE)</f>
        <v>1.0067999999999999</v>
      </c>
      <c r="BI1491" s="25">
        <f>VLOOKUP(Inventory[[#This Row],[Cnd]],Lookups!$T$7:$W$16,4,FALSE)</f>
        <v>0.99650000000000005</v>
      </c>
      <c r="BJ1491" s="25">
        <f>VLOOKUP(Inventory[[#This Row],[LivArea Range]],Lookups!$T$25:$W$37,4,FALSE)</f>
        <v>1.0157</v>
      </c>
      <c r="BK1491" s="25">
        <f>VLOOKUP(Inventory[[#This Row],[Decade]],Lookups!$O$25:$R$42,4,FALSE)</f>
        <v>0.98909999999999998</v>
      </c>
      <c r="BL1491" s="25">
        <f>Inventory[[#This Row],[Nbhd Adj]]*0.95</f>
        <v>0.94971499999999998</v>
      </c>
      <c r="BM1491" s="25">
        <f>Inventory[[#This Row],[Nbhd Adj]]*Inventory[[#This Row],[Quality Adj]]*Inventory[[#This Row],[Condition Adj]]*Inventory[[#This Row],[Living Area Adj]]*Inventory[[#This Row],[Decade Adj]]*0.95</f>
        <v>0.95723696608169473</v>
      </c>
      <c r="BN1491" s="25">
        <f>ROUND(SUM(Inventory[[#This Row],[Mdl Qlty]:[Mdl WdDeck]])+Inventory[[#This Row],[Mdl Res Intercept]]*Inventory[[#This Row],[Res Adj ]],-2)</f>
        <v>310400</v>
      </c>
      <c r="BO1491" s="25">
        <f>ROUND(Inventory[[#This Row],[25Det]]*Inventory[[#This Row],[Det/Nbhd Adj]],-2)</f>
        <v>6300</v>
      </c>
      <c r="BP1491" s="25">
        <f>Inventory[[#This Row],[Adjusted Res]]+Inventory[[#This Row],[Adj Det ]]</f>
        <v>316700</v>
      </c>
      <c r="BQ1491" s="25">
        <f>ROUND((Inventory[[#This Row],[Mdl Land Intercept]]+Inventory[[#This Row],[Mdl LnAcres]])*Inventory[[#This Row],[Det/Nbhd Adj]],-2)</f>
        <v>30200</v>
      </c>
      <c r="BR1491" s="25">
        <f>Inventory[[#This Row],[Adjusted Impr Total]]+Inventory[[#This Row],[Adjusted Land Total]]</f>
        <v>346900</v>
      </c>
      <c r="BS1491" s="36">
        <f>IFERROR((Inventory[[#This Row],[Adjusted Impr Total]]-Inventory[[#This Row],[24Bldg]])/Inventory[[#This Row],[24Bldg]],0)</f>
        <v>0.24001566170712607</v>
      </c>
      <c r="BT1491" s="36">
        <f>(Inventory[[#This Row],[Adjusted Land Total]]-Inventory[[#This Row],[24Lnd]])/Inventory[[#This Row],[24Lnd]]</f>
        <v>-0.40316205533596838</v>
      </c>
      <c r="BU1491" s="36">
        <f>(Inventory[[#This Row],[Adjusted Total]]-Inventory[[#This Row],[24Final]])/Inventory[[#This Row],[24Final]]</f>
        <v>0.13366013071895425</v>
      </c>
    </row>
    <row r="1492" spans="1:73" x14ac:dyDescent="0.3">
      <c r="A1492" s="25">
        <v>2025</v>
      </c>
      <c r="B1492" s="26" t="s">
        <v>2647</v>
      </c>
      <c r="C1492" s="26">
        <f>LN(Inventory[[#This Row],[Acres]])</f>
        <v>-1.8325814637483102</v>
      </c>
      <c r="D1492" s="25">
        <v>0.16</v>
      </c>
      <c r="E1492" s="31"/>
      <c r="F1492" s="26" t="s">
        <v>537</v>
      </c>
      <c r="G1492" s="26" t="s">
        <v>126</v>
      </c>
      <c r="H1492" s="26" t="s">
        <v>349</v>
      </c>
      <c r="I1492" s="26" t="s">
        <v>538</v>
      </c>
      <c r="J1492" s="26" t="s">
        <v>539</v>
      </c>
      <c r="K1492" s="26" t="s">
        <v>173</v>
      </c>
      <c r="L1492" s="26" t="s">
        <v>351</v>
      </c>
      <c r="M1492" s="26" t="s">
        <v>303</v>
      </c>
      <c r="N1492" s="26">
        <v>90</v>
      </c>
      <c r="O1492" s="26">
        <f>2024-Inventory[[#This Row],[YrBlt]]</f>
        <v>89</v>
      </c>
      <c r="P1492" s="26">
        <f>2024-Inventory[[#This Row],[EffYr]]</f>
        <v>53</v>
      </c>
      <c r="Q1492" s="25">
        <v>1935</v>
      </c>
      <c r="R1492" s="25">
        <v>1971</v>
      </c>
      <c r="S1492" s="25">
        <v>1176</v>
      </c>
      <c r="T1492" s="25">
        <v>450</v>
      </c>
      <c r="U1492" s="32">
        <v>1176</v>
      </c>
      <c r="V1492" s="32">
        <f>Inventory[[#This Row],[Bsmt]]-Inventory[[#This Row],[FnBsmt]]</f>
        <v>1176</v>
      </c>
      <c r="W1492" s="27"/>
      <c r="X1492" s="27"/>
      <c r="Y1492" s="27">
        <f>Inventory[[#This Row],[MainFn]]+Inventory[[#This Row],[UpprFn]]+Inventory[[#This Row],[FnBsmt]]+Inventory[[#This Row],[AddFn]]</f>
        <v>1626</v>
      </c>
      <c r="Z1492" s="27">
        <v>2000</v>
      </c>
      <c r="AA1492" s="25">
        <v>5</v>
      </c>
      <c r="AB1492" s="27"/>
      <c r="AC1492" s="27"/>
      <c r="AD1492" s="27"/>
      <c r="AE1492" s="27"/>
      <c r="AF1492" s="27"/>
      <c r="AG1492" s="27"/>
      <c r="AH1492" s="27"/>
      <c r="AI1492" s="25">
        <v>275103</v>
      </c>
      <c r="AJ1492" s="25">
        <v>189821</v>
      </c>
      <c r="AK1492" s="25">
        <v>0</v>
      </c>
      <c r="AL1492" s="25">
        <v>326000</v>
      </c>
      <c r="AM1492" s="25">
        <v>50600</v>
      </c>
      <c r="AN1492" s="25">
        <v>275400</v>
      </c>
      <c r="AO1492" s="25">
        <v>0</v>
      </c>
      <c r="AP1492" s="25">
        <f>Lookups!$B$56*0</f>
        <v>0</v>
      </c>
      <c r="AQ1492" s="25">
        <f>Lookups!$B$56*1</f>
        <v>89850.625589999996</v>
      </c>
      <c r="AR1492" s="25">
        <f>Lookups!$B$57*Inventory[[#This Row],[LnAcres]]</f>
        <v>-58009.662049032086</v>
      </c>
      <c r="AS1492" s="25">
        <f>VLOOKUP(Inventory[[#This Row],[Qlty]],Lookups!$A$62:$E$75,2,FALSE)</f>
        <v>21557.329055999999</v>
      </c>
      <c r="AT1492" s="25">
        <f>VLOOKUP(Inventory[[#This Row],[Cnd]],Lookups!$A$76:$E$84,2,FALSE)</f>
        <v>197752.34721000001</v>
      </c>
      <c r="AU1492" s="25">
        <f>Inventory[[#This Row],[EffAge]]*Lookups!$B$85</f>
        <v>-11821.416826500001</v>
      </c>
      <c r="AV1492" s="25">
        <f>Inventory[[#This Row],[MainFn]]*Lookups!$B$86</f>
        <v>58104.595775351998</v>
      </c>
      <c r="AW1492" s="25">
        <f>Inventory[[#This Row],[UpprFn]]*Lookups!$B$87</f>
        <v>20153.890287449998</v>
      </c>
      <c r="AX1492" s="25">
        <f>Inventory[[#This Row],[AddFn]]*Lookups!$B$88</f>
        <v>0</v>
      </c>
      <c r="AY1492" s="25">
        <f>Inventory[[#This Row],[Bsmt]]*Lookups!$B$89</f>
        <v>34200.308810472001</v>
      </c>
      <c r="AZ1492" s="25">
        <f>Inventory[[#This Row],[Fixtures]]*Lookups!$B$90</f>
        <v>18960.110526</v>
      </c>
      <c r="BA1492" s="25">
        <f>Inventory[[#This Row],[WdDeck]]*Lookups!$B$91</f>
        <v>0</v>
      </c>
      <c r="BB1492" s="25">
        <f>ROUND(Inventory[[#This Row],[25Det]],-2)</f>
        <v>0</v>
      </c>
      <c r="BC1492" s="25">
        <f>ROUND(SUM(Inventory[[#This Row],[Mdl Qlty]:[Mdl WdDeck]])+Inventory[[#This Row],[Mdl Res Intercept]],-2)</f>
        <v>338900</v>
      </c>
      <c r="BD1492" s="25">
        <f>ROUND(Inventory[[#This Row],[Mdl Land Intercept]]+Inventory[[#This Row],[Mdl LnAcres]],-2)</f>
        <v>31800</v>
      </c>
      <c r="BE1492" s="25">
        <f>Inventory[[#This Row],[Unadj Res Value]]+Inventory[[#This Row],[Unadj Det Value]]+Inventory[[#This Row],[Unadj Land Value]]</f>
        <v>370700</v>
      </c>
      <c r="BF1492" s="36">
        <f>(Inventory[[#This Row],[Unadj Total Value]]-Inventory[[#This Row],[24Final]])/Inventory[[#This Row],[24Final]]</f>
        <v>0.13711656441717793</v>
      </c>
      <c r="BG1492" s="25">
        <f>VLOOKUP(Inventory[[#This Row],[Nbhd]],Lookups!$Q$2:$T$4,4,FALSE)</f>
        <v>0.99970000000000003</v>
      </c>
      <c r="BH1492" s="25">
        <f>VLOOKUP(Inventory[[#This Row],[Qlty]],Lookups!$O$7:$R$21,4,FALSE)</f>
        <v>1.0067999999999999</v>
      </c>
      <c r="BI1492" s="25">
        <f>VLOOKUP(Inventory[[#This Row],[Cnd]],Lookups!$T$7:$W$16,4,FALSE)</f>
        <v>0.99650000000000005</v>
      </c>
      <c r="BJ1492" s="25">
        <f>VLOOKUP(Inventory[[#This Row],[LivArea Range]],Lookups!$T$25:$W$37,4,FALSE)</f>
        <v>1.0093000000000001</v>
      </c>
      <c r="BK1492" s="25">
        <f>VLOOKUP(Inventory[[#This Row],[Decade]],Lookups!$O$25:$R$42,4,FALSE)</f>
        <v>0.98909999999999998</v>
      </c>
      <c r="BL1492" s="25">
        <f>Inventory[[#This Row],[Nbhd Adj]]*0.95</f>
        <v>0.94971499999999998</v>
      </c>
      <c r="BM1492" s="25">
        <f>Inventory[[#This Row],[Nbhd Adj]]*Inventory[[#This Row],[Quality Adj]]*Inventory[[#This Row],[Condition Adj]]*Inventory[[#This Row],[Living Area Adj]]*Inventory[[#This Row],[Decade Adj]]*0.95</f>
        <v>0.95120534593507355</v>
      </c>
      <c r="BN1492" s="25">
        <f>ROUND(SUM(Inventory[[#This Row],[Mdl Qlty]:[Mdl WdDeck]])+Inventory[[#This Row],[Mdl Res Intercept]]*Inventory[[#This Row],[Res Adj ]],-2)</f>
        <v>338900</v>
      </c>
      <c r="BO1492" s="25">
        <f>ROUND(Inventory[[#This Row],[25Det]]*Inventory[[#This Row],[Det/Nbhd Adj]],-2)</f>
        <v>0</v>
      </c>
      <c r="BP1492" s="25">
        <f>Inventory[[#This Row],[Adjusted Res]]+Inventory[[#This Row],[Adj Det ]]</f>
        <v>338900</v>
      </c>
      <c r="BQ1492" s="25">
        <f>ROUND((Inventory[[#This Row],[Mdl Land Intercept]]+Inventory[[#This Row],[Mdl LnAcres]])*Inventory[[#This Row],[Det/Nbhd Adj]],-2)</f>
        <v>30200</v>
      </c>
      <c r="BR1492" s="25">
        <f>Inventory[[#This Row],[Adjusted Impr Total]]+Inventory[[#This Row],[Adjusted Land Total]]</f>
        <v>369100</v>
      </c>
      <c r="BS1492" s="36">
        <f>IFERROR((Inventory[[#This Row],[Adjusted Impr Total]]-Inventory[[#This Row],[24Bldg]])/Inventory[[#This Row],[24Bldg]],0)</f>
        <v>0.23057371096586782</v>
      </c>
      <c r="BT1492" s="36">
        <f>(Inventory[[#This Row],[Adjusted Land Total]]-Inventory[[#This Row],[24Lnd]])/Inventory[[#This Row],[24Lnd]]</f>
        <v>-0.40316205533596838</v>
      </c>
      <c r="BU1492" s="36">
        <f>(Inventory[[#This Row],[Adjusted Total]]-Inventory[[#This Row],[24Final]])/Inventory[[#This Row],[24Final]]</f>
        <v>0.1322085889570552</v>
      </c>
    </row>
    <row r="1493" spans="1:73" x14ac:dyDescent="0.3">
      <c r="A1493" s="25">
        <v>2025</v>
      </c>
      <c r="B1493" s="26" t="s">
        <v>2159</v>
      </c>
      <c r="C1493" s="26">
        <f>LN(Inventory[[#This Row],[Acres]])</f>
        <v>-1.8971199848858813</v>
      </c>
      <c r="D1493" s="25">
        <v>0.15</v>
      </c>
      <c r="E1493" s="31"/>
      <c r="F1493" s="26" t="s">
        <v>537</v>
      </c>
      <c r="G1493" s="26" t="s">
        <v>126</v>
      </c>
      <c r="H1493" s="26" t="s">
        <v>349</v>
      </c>
      <c r="I1493" s="26" t="s">
        <v>538</v>
      </c>
      <c r="J1493" s="26" t="s">
        <v>539</v>
      </c>
      <c r="K1493" s="26" t="s">
        <v>147</v>
      </c>
      <c r="L1493" s="26" t="s">
        <v>351</v>
      </c>
      <c r="M1493" s="26" t="s">
        <v>303</v>
      </c>
      <c r="N1493" s="26">
        <v>90</v>
      </c>
      <c r="O1493" s="26">
        <f>2024-Inventory[[#This Row],[YrBlt]]</f>
        <v>89</v>
      </c>
      <c r="P1493" s="26">
        <f>2024-Inventory[[#This Row],[EffYr]]</f>
        <v>53</v>
      </c>
      <c r="Q1493" s="25">
        <v>1935</v>
      </c>
      <c r="R1493" s="25">
        <v>1971</v>
      </c>
      <c r="S1493" s="25">
        <v>983</v>
      </c>
      <c r="T1493" s="25">
        <v>384</v>
      </c>
      <c r="U1493" s="25">
        <v>832</v>
      </c>
      <c r="V1493" s="25">
        <f>Inventory[[#This Row],[Bsmt]]-Inventory[[#This Row],[FnBsmt]]</f>
        <v>832</v>
      </c>
      <c r="W1493" s="31"/>
      <c r="X1493" s="27"/>
      <c r="Y1493" s="27">
        <f>Inventory[[#This Row],[MainFn]]+Inventory[[#This Row],[UpprFn]]+Inventory[[#This Row],[FnBsmt]]+Inventory[[#This Row],[AddFn]]</f>
        <v>1367</v>
      </c>
      <c r="Z1493" s="27">
        <v>1500</v>
      </c>
      <c r="AA1493" s="25">
        <v>5</v>
      </c>
      <c r="AB1493" s="27"/>
      <c r="AC1493" s="27"/>
      <c r="AD1493" s="31"/>
      <c r="AE1493" s="27"/>
      <c r="AF1493" s="27"/>
      <c r="AG1493" s="27"/>
      <c r="AH1493" s="27"/>
      <c r="AI1493" s="25">
        <v>233217</v>
      </c>
      <c r="AJ1493" s="25">
        <v>160920</v>
      </c>
      <c r="AK1493" s="25">
        <v>6724</v>
      </c>
      <c r="AL1493" s="25">
        <v>310700</v>
      </c>
      <c r="AM1493" s="25">
        <v>48400</v>
      </c>
      <c r="AN1493" s="25">
        <v>262300</v>
      </c>
      <c r="AO1493" s="25">
        <v>0</v>
      </c>
      <c r="AP1493" s="25">
        <f>Lookups!$B$56*0</f>
        <v>0</v>
      </c>
      <c r="AQ1493" s="25">
        <f>Lookups!$B$56*1</f>
        <v>89850.625589999996</v>
      </c>
      <c r="AR1493" s="25">
        <f>Lookups!$B$57*Inventory[[#This Row],[LnAcres]]</f>
        <v>-60052.604136134301</v>
      </c>
      <c r="AS1493" s="25">
        <f>VLOOKUP(Inventory[[#This Row],[Qlty]],Lookups!$A$62:$E$75,2,FALSE)</f>
        <v>21557.329055999999</v>
      </c>
      <c r="AT1493" s="25">
        <f>VLOOKUP(Inventory[[#This Row],[Cnd]],Lookups!$A$76:$E$84,2,FALSE)</f>
        <v>197752.34721000001</v>
      </c>
      <c r="AU1493" s="25">
        <f>Inventory[[#This Row],[EffAge]]*Lookups!$B$85</f>
        <v>-11821.416826500001</v>
      </c>
      <c r="AV1493" s="25">
        <f>Inventory[[#This Row],[MainFn]]*Lookups!$B$86</f>
        <v>48568.722489091</v>
      </c>
      <c r="AW1493" s="25">
        <f>Inventory[[#This Row],[UpprFn]]*Lookups!$B$87</f>
        <v>17197.986378623998</v>
      </c>
      <c r="AX1493" s="25">
        <f>Inventory[[#This Row],[AddFn]]*Lookups!$B$88</f>
        <v>0</v>
      </c>
      <c r="AY1493" s="25">
        <f>Inventory[[#This Row],[Bsmt]]*Lookups!$B$89</f>
        <v>24196.136845503999</v>
      </c>
      <c r="AZ1493" s="25">
        <f>Inventory[[#This Row],[Fixtures]]*Lookups!$B$90</f>
        <v>18960.110526</v>
      </c>
      <c r="BA1493" s="25">
        <f>Inventory[[#This Row],[WdDeck]]*Lookups!$B$91</f>
        <v>0</v>
      </c>
      <c r="BB1493" s="25">
        <f>ROUND(Inventory[[#This Row],[25Det]],-2)</f>
        <v>6700</v>
      </c>
      <c r="BC1493" s="25">
        <f>ROUND(SUM(Inventory[[#This Row],[Mdl Qlty]:[Mdl WdDeck]])+Inventory[[#This Row],[Mdl Res Intercept]],-2)</f>
        <v>316400</v>
      </c>
      <c r="BD1493" s="25">
        <f>ROUND(Inventory[[#This Row],[Mdl Land Intercept]]+Inventory[[#This Row],[Mdl LnAcres]],-2)</f>
        <v>29800</v>
      </c>
      <c r="BE1493" s="25">
        <f>Inventory[[#This Row],[Unadj Res Value]]+Inventory[[#This Row],[Unadj Det Value]]+Inventory[[#This Row],[Unadj Land Value]]</f>
        <v>352900</v>
      </c>
      <c r="BF1493" s="36">
        <f>(Inventory[[#This Row],[Unadj Total Value]]-Inventory[[#This Row],[24Final]])/Inventory[[#This Row],[24Final]]</f>
        <v>0.13582233665915674</v>
      </c>
      <c r="BG1493" s="25">
        <f>VLOOKUP(Inventory[[#This Row],[Nbhd]],Lookups!$Q$2:$T$4,4,FALSE)</f>
        <v>0.99970000000000003</v>
      </c>
      <c r="BH1493" s="25">
        <f>VLOOKUP(Inventory[[#This Row],[Qlty]],Lookups!$O$7:$R$21,4,FALSE)</f>
        <v>1.0067999999999999</v>
      </c>
      <c r="BI1493" s="25">
        <f>VLOOKUP(Inventory[[#This Row],[Cnd]],Lookups!$T$7:$W$16,4,FALSE)</f>
        <v>0.99650000000000005</v>
      </c>
      <c r="BJ1493" s="25">
        <f>VLOOKUP(Inventory[[#This Row],[LivArea Range]],Lookups!$T$25:$W$37,4,FALSE)</f>
        <v>1.0157</v>
      </c>
      <c r="BK1493" s="25">
        <f>VLOOKUP(Inventory[[#This Row],[Decade]],Lookups!$O$25:$R$42,4,FALSE)</f>
        <v>0.98909999999999998</v>
      </c>
      <c r="BL1493" s="25">
        <f>Inventory[[#This Row],[Nbhd Adj]]*0.95</f>
        <v>0.94971499999999998</v>
      </c>
      <c r="BM1493" s="25">
        <f>Inventory[[#This Row],[Nbhd Adj]]*Inventory[[#This Row],[Quality Adj]]*Inventory[[#This Row],[Condition Adj]]*Inventory[[#This Row],[Living Area Adj]]*Inventory[[#This Row],[Decade Adj]]*0.95</f>
        <v>0.95723696608169473</v>
      </c>
      <c r="BN1493" s="25">
        <f>ROUND(SUM(Inventory[[#This Row],[Mdl Qlty]:[Mdl WdDeck]])+Inventory[[#This Row],[Mdl Res Intercept]]*Inventory[[#This Row],[Res Adj ]],-2)</f>
        <v>316400</v>
      </c>
      <c r="BO1493" s="25">
        <f>ROUND(Inventory[[#This Row],[25Det]]*Inventory[[#This Row],[Det/Nbhd Adj]],-2)</f>
        <v>6400</v>
      </c>
      <c r="BP1493" s="25">
        <f>Inventory[[#This Row],[Adjusted Res]]+Inventory[[#This Row],[Adj Det ]]</f>
        <v>322800</v>
      </c>
      <c r="BQ1493" s="25">
        <f>ROUND((Inventory[[#This Row],[Mdl Land Intercept]]+Inventory[[#This Row],[Mdl LnAcres]])*Inventory[[#This Row],[Det/Nbhd Adj]],-2)</f>
        <v>28300</v>
      </c>
      <c r="BR1493" s="25">
        <f>Inventory[[#This Row],[Adjusted Impr Total]]+Inventory[[#This Row],[Adjusted Land Total]]</f>
        <v>351100</v>
      </c>
      <c r="BS1493" s="36">
        <f>IFERROR((Inventory[[#This Row],[Adjusted Impr Total]]-Inventory[[#This Row],[24Bldg]])/Inventory[[#This Row],[24Bldg]],0)</f>
        <v>0.23065192527640108</v>
      </c>
      <c r="BT1493" s="36">
        <f>(Inventory[[#This Row],[Adjusted Land Total]]-Inventory[[#This Row],[24Lnd]])/Inventory[[#This Row],[24Lnd]]</f>
        <v>-0.41528925619834711</v>
      </c>
      <c r="BU1493" s="36">
        <f>(Inventory[[#This Row],[Adjusted Total]]-Inventory[[#This Row],[24Final]])/Inventory[[#This Row],[24Final]]</f>
        <v>0.13002896684905052</v>
      </c>
    </row>
    <row r="1494" spans="1:73" x14ac:dyDescent="0.3">
      <c r="A1494" s="25">
        <v>2025</v>
      </c>
      <c r="B1494" s="26" t="s">
        <v>1887</v>
      </c>
      <c r="C1494" s="26">
        <f>LN(Inventory[[#This Row],[Acres]])</f>
        <v>-1.7719568419318752</v>
      </c>
      <c r="D1494" s="25">
        <v>0.17</v>
      </c>
      <c r="E1494" s="31"/>
      <c r="F1494" s="26" t="s">
        <v>537</v>
      </c>
      <c r="G1494" s="26" t="s">
        <v>126</v>
      </c>
      <c r="H1494" s="26" t="s">
        <v>349</v>
      </c>
      <c r="I1494" s="26" t="s">
        <v>538</v>
      </c>
      <c r="J1494" s="26" t="s">
        <v>539</v>
      </c>
      <c r="K1494" s="26" t="s">
        <v>242</v>
      </c>
      <c r="L1494" s="26" t="s">
        <v>351</v>
      </c>
      <c r="M1494" s="26" t="s">
        <v>303</v>
      </c>
      <c r="N1494" s="26">
        <v>90</v>
      </c>
      <c r="O1494" s="26">
        <f>2024-Inventory[[#This Row],[YrBlt]]</f>
        <v>89</v>
      </c>
      <c r="P1494" s="26">
        <f>2024-Inventory[[#This Row],[EffYr]]</f>
        <v>53</v>
      </c>
      <c r="Q1494" s="25">
        <v>1935</v>
      </c>
      <c r="R1494" s="25">
        <v>1971</v>
      </c>
      <c r="S1494" s="25">
        <v>1194</v>
      </c>
      <c r="T1494" s="31"/>
      <c r="U1494" s="32">
        <v>638</v>
      </c>
      <c r="V1494" s="32">
        <f>Inventory[[#This Row],[Bsmt]]-Inventory[[#This Row],[FnBsmt]]</f>
        <v>638</v>
      </c>
      <c r="W1494" s="27"/>
      <c r="X1494" s="27"/>
      <c r="Y1494" s="27">
        <f>Inventory[[#This Row],[MainFn]]+Inventory[[#This Row],[UpprFn]]+Inventory[[#This Row],[FnBsmt]]+Inventory[[#This Row],[AddFn]]</f>
        <v>1194</v>
      </c>
      <c r="Z1494" s="27">
        <v>1500</v>
      </c>
      <c r="AA1494" s="25">
        <v>5</v>
      </c>
      <c r="AB1494" s="27"/>
      <c r="AC1494" s="27"/>
      <c r="AD1494" s="32">
        <v>96</v>
      </c>
      <c r="AE1494" s="27"/>
      <c r="AF1494" s="27"/>
      <c r="AG1494" s="27"/>
      <c r="AH1494" s="27"/>
      <c r="AI1494" s="25">
        <v>248044</v>
      </c>
      <c r="AJ1494" s="25">
        <v>171150</v>
      </c>
      <c r="AK1494" s="25">
        <v>6388</v>
      </c>
      <c r="AL1494" s="25">
        <v>306000</v>
      </c>
      <c r="AM1494" s="25">
        <v>52700</v>
      </c>
      <c r="AN1494" s="25">
        <v>253300</v>
      </c>
      <c r="AO1494" s="25">
        <v>0</v>
      </c>
      <c r="AP1494" s="25">
        <f>Lookups!$B$56*0</f>
        <v>0</v>
      </c>
      <c r="AQ1494" s="25">
        <f>Lookups!$B$56*1</f>
        <v>89850.625589999996</v>
      </c>
      <c r="AR1494" s="25">
        <f>Lookups!$B$57*Inventory[[#This Row],[LnAcres]]</f>
        <v>-56090.612940989391</v>
      </c>
      <c r="AS1494" s="25">
        <f>VLOOKUP(Inventory[[#This Row],[Qlty]],Lookups!$A$62:$E$75,2,FALSE)</f>
        <v>21557.329055999999</v>
      </c>
      <c r="AT1494" s="25">
        <f>VLOOKUP(Inventory[[#This Row],[Cnd]],Lookups!$A$76:$E$84,2,FALSE)</f>
        <v>197752.34721000001</v>
      </c>
      <c r="AU1494" s="25">
        <f>Inventory[[#This Row],[EffAge]]*Lookups!$B$85</f>
        <v>-11821.416826500001</v>
      </c>
      <c r="AV1494" s="25">
        <f>Inventory[[#This Row],[MainFn]]*Lookups!$B$86</f>
        <v>58993.951833138002</v>
      </c>
      <c r="AW1494" s="25">
        <f>Inventory[[#This Row],[UpprFn]]*Lookups!$B$87</f>
        <v>0</v>
      </c>
      <c r="AX1494" s="25">
        <f>Inventory[[#This Row],[AddFn]]*Lookups!$B$88</f>
        <v>0</v>
      </c>
      <c r="AY1494" s="25">
        <f>Inventory[[#This Row],[Bsmt]]*Lookups!$B$89</f>
        <v>18554.249167586</v>
      </c>
      <c r="AZ1494" s="25">
        <f>Inventory[[#This Row],[Fixtures]]*Lookups!$B$90</f>
        <v>18960.110526</v>
      </c>
      <c r="BA1494" s="25">
        <f>Inventory[[#This Row],[WdDeck]]*Lookups!$B$91</f>
        <v>3196.3694664960003</v>
      </c>
      <c r="BB1494" s="25">
        <f>ROUND(Inventory[[#This Row],[25Det]],-2)</f>
        <v>6400</v>
      </c>
      <c r="BC1494" s="25">
        <f>ROUND(SUM(Inventory[[#This Row],[Mdl Qlty]:[Mdl WdDeck]])+Inventory[[#This Row],[Mdl Res Intercept]],-2)</f>
        <v>307200</v>
      </c>
      <c r="BD1494" s="25">
        <f>ROUND(Inventory[[#This Row],[Mdl Land Intercept]]+Inventory[[#This Row],[Mdl LnAcres]],-2)</f>
        <v>33800</v>
      </c>
      <c r="BE1494" s="25">
        <f>Inventory[[#This Row],[Unadj Res Value]]+Inventory[[#This Row],[Unadj Det Value]]+Inventory[[#This Row],[Unadj Land Value]]</f>
        <v>347400</v>
      </c>
      <c r="BF1494" s="36">
        <f>(Inventory[[#This Row],[Unadj Total Value]]-Inventory[[#This Row],[24Final]])/Inventory[[#This Row],[24Final]]</f>
        <v>0.13529411764705881</v>
      </c>
      <c r="BG1494" s="25">
        <f>VLOOKUP(Inventory[[#This Row],[Nbhd]],Lookups!$Q$2:$T$4,4,FALSE)</f>
        <v>0.99970000000000003</v>
      </c>
      <c r="BH1494" s="25">
        <f>VLOOKUP(Inventory[[#This Row],[Qlty]],Lookups!$O$7:$R$21,4,FALSE)</f>
        <v>1.0067999999999999</v>
      </c>
      <c r="BI1494" s="25">
        <f>VLOOKUP(Inventory[[#This Row],[Cnd]],Lookups!$T$7:$W$16,4,FALSE)</f>
        <v>0.99650000000000005</v>
      </c>
      <c r="BJ1494" s="25">
        <f>VLOOKUP(Inventory[[#This Row],[LivArea Range]],Lookups!$T$25:$W$37,4,FALSE)</f>
        <v>1.0157</v>
      </c>
      <c r="BK1494" s="25">
        <f>VLOOKUP(Inventory[[#This Row],[Decade]],Lookups!$O$25:$R$42,4,FALSE)</f>
        <v>0.98909999999999998</v>
      </c>
      <c r="BL1494" s="25">
        <f>Inventory[[#This Row],[Nbhd Adj]]*0.95</f>
        <v>0.94971499999999998</v>
      </c>
      <c r="BM1494" s="25">
        <f>Inventory[[#This Row],[Nbhd Adj]]*Inventory[[#This Row],[Quality Adj]]*Inventory[[#This Row],[Condition Adj]]*Inventory[[#This Row],[Living Area Adj]]*Inventory[[#This Row],[Decade Adj]]*0.95</f>
        <v>0.95723696608169473</v>
      </c>
      <c r="BN1494" s="25">
        <f>ROUND(SUM(Inventory[[#This Row],[Mdl Qlty]:[Mdl WdDeck]])+Inventory[[#This Row],[Mdl Res Intercept]]*Inventory[[#This Row],[Res Adj ]],-2)</f>
        <v>307200</v>
      </c>
      <c r="BO1494" s="25">
        <f>ROUND(Inventory[[#This Row],[25Det]]*Inventory[[#This Row],[Det/Nbhd Adj]],-2)</f>
        <v>6100</v>
      </c>
      <c r="BP1494" s="25">
        <f>Inventory[[#This Row],[Adjusted Res]]+Inventory[[#This Row],[Adj Det ]]</f>
        <v>313300</v>
      </c>
      <c r="BQ1494" s="25">
        <f>ROUND((Inventory[[#This Row],[Mdl Land Intercept]]+Inventory[[#This Row],[Mdl LnAcres]])*Inventory[[#This Row],[Det/Nbhd Adj]],-2)</f>
        <v>32100</v>
      </c>
      <c r="BR1494" s="25">
        <f>Inventory[[#This Row],[Adjusted Impr Total]]+Inventory[[#This Row],[Adjusted Land Total]]</f>
        <v>345400</v>
      </c>
      <c r="BS1494" s="36">
        <f>IFERROR((Inventory[[#This Row],[Adjusted Impr Total]]-Inventory[[#This Row],[24Bldg]])/Inventory[[#This Row],[24Bldg]],0)</f>
        <v>0.23687327279905251</v>
      </c>
      <c r="BT1494" s="36">
        <f>(Inventory[[#This Row],[Adjusted Land Total]]-Inventory[[#This Row],[24Lnd]])/Inventory[[#This Row],[24Lnd]]</f>
        <v>-0.39089184060721061</v>
      </c>
      <c r="BU1494" s="36">
        <f>(Inventory[[#This Row],[Adjusted Total]]-Inventory[[#This Row],[24Final]])/Inventory[[#This Row],[24Final]]</f>
        <v>0.12875816993464051</v>
      </c>
    </row>
    <row r="1495" spans="1:73" x14ac:dyDescent="0.3">
      <c r="A1495" s="25">
        <v>2025</v>
      </c>
      <c r="B1495" s="26" t="s">
        <v>2923</v>
      </c>
      <c r="C1495" s="26">
        <f>LN(Inventory[[#This Row],[Acres]])</f>
        <v>-1.1086626245216111</v>
      </c>
      <c r="D1495" s="25">
        <v>0.33</v>
      </c>
      <c r="E1495" s="25">
        <v>14565</v>
      </c>
      <c r="F1495" s="26" t="s">
        <v>537</v>
      </c>
      <c r="G1495" s="26" t="s">
        <v>126</v>
      </c>
      <c r="H1495" s="26" t="s">
        <v>349</v>
      </c>
      <c r="I1495" s="26" t="s">
        <v>538</v>
      </c>
      <c r="J1495" s="26" t="s">
        <v>539</v>
      </c>
      <c r="K1495" s="26" t="s">
        <v>269</v>
      </c>
      <c r="L1495" s="26" t="s">
        <v>95</v>
      </c>
      <c r="M1495" s="26" t="s">
        <v>352</v>
      </c>
      <c r="N1495" s="26">
        <v>90</v>
      </c>
      <c r="O1495" s="26">
        <f>2024-Inventory[[#This Row],[YrBlt]]</f>
        <v>89</v>
      </c>
      <c r="P1495" s="26">
        <f>2024-Inventory[[#This Row],[EffYr]]</f>
        <v>53</v>
      </c>
      <c r="Q1495" s="25">
        <v>1935</v>
      </c>
      <c r="R1495" s="25">
        <v>1971</v>
      </c>
      <c r="S1495" s="25">
        <v>2445</v>
      </c>
      <c r="T1495" s="27"/>
      <c r="U1495" s="32">
        <v>768</v>
      </c>
      <c r="V1495" s="32">
        <f>Inventory[[#This Row],[Bsmt]]-Inventory[[#This Row],[FnBsmt]]</f>
        <v>0</v>
      </c>
      <c r="W1495" s="32">
        <v>768</v>
      </c>
      <c r="X1495" s="32">
        <v>969</v>
      </c>
      <c r="Y1495" s="32">
        <f>Inventory[[#This Row],[MainFn]]+Inventory[[#This Row],[UpprFn]]+Inventory[[#This Row],[FnBsmt]]+Inventory[[#This Row],[AddFn]]</f>
        <v>4182</v>
      </c>
      <c r="Z1495" s="27">
        <v>4500</v>
      </c>
      <c r="AA1495" s="25">
        <v>12</v>
      </c>
      <c r="AB1495" s="25">
        <v>476</v>
      </c>
      <c r="AC1495" s="27"/>
      <c r="AD1495" s="27"/>
      <c r="AE1495" s="27"/>
      <c r="AF1495" s="27"/>
      <c r="AG1495" s="27"/>
      <c r="AH1495" s="27"/>
      <c r="AI1495" s="25">
        <v>817521</v>
      </c>
      <c r="AJ1495" s="25">
        <v>580440</v>
      </c>
      <c r="AK1495" s="25">
        <v>8718</v>
      </c>
      <c r="AL1495" s="25">
        <v>584600</v>
      </c>
      <c r="AM1495" s="25">
        <v>75900</v>
      </c>
      <c r="AN1495" s="25">
        <v>508700</v>
      </c>
      <c r="AO1495" s="25">
        <v>0</v>
      </c>
      <c r="AP1495" s="25">
        <f>Lookups!$B$56*0</f>
        <v>0</v>
      </c>
      <c r="AQ1495" s="25">
        <f>Lookups!$B$56*1</f>
        <v>89850.625589999996</v>
      </c>
      <c r="AR1495" s="25">
        <f>Lookups!$B$57*Inventory[[#This Row],[LnAcres]]</f>
        <v>-35094.289365640165</v>
      </c>
      <c r="AS1495" s="25">
        <f>VLOOKUP(Inventory[[#This Row],[Qlty]],Lookups!$A$62:$E$75,2,FALSE)</f>
        <v>74268.409664999999</v>
      </c>
      <c r="AT1495" s="25">
        <f>VLOOKUP(Inventory[[#This Row],[Cnd]],Lookups!$A$76:$E$84,2,FALSE)</f>
        <v>284810.60806</v>
      </c>
      <c r="AU1495" s="25">
        <f>Inventory[[#This Row],[EffAge]]*Lookups!$B$85</f>
        <v>-11821.416826500001</v>
      </c>
      <c r="AV1495" s="25">
        <f>Inventory[[#This Row],[MainFn]]*Lookups!$B$86</f>
        <v>120804.19784926501</v>
      </c>
      <c r="AW1495" s="25">
        <f>Inventory[[#This Row],[UpprFn]]*Lookups!$B$87</f>
        <v>0</v>
      </c>
      <c r="AX1495" s="25">
        <f>Inventory[[#This Row],[AddFn]]*Lookups!$B$88</f>
        <v>63076.736248419009</v>
      </c>
      <c r="AY1495" s="25">
        <f>Inventory[[#This Row],[Bsmt]]*Lookups!$B$89</f>
        <v>22334.895549695997</v>
      </c>
      <c r="AZ1495" s="25">
        <f>Inventory[[#This Row],[Fixtures]]*Lookups!$B$90</f>
        <v>45504.265262400004</v>
      </c>
      <c r="BA1495" s="25">
        <f>Inventory[[#This Row],[WdDeck]]*Lookups!$B$91</f>
        <v>0</v>
      </c>
      <c r="BB1495" s="25">
        <f>ROUND(Inventory[[#This Row],[25Det]],-2)</f>
        <v>8700</v>
      </c>
      <c r="BC1495" s="25">
        <f>ROUND(SUM(Inventory[[#This Row],[Mdl Qlty]:[Mdl WdDeck]])+Inventory[[#This Row],[Mdl Res Intercept]],-2)</f>
        <v>599000</v>
      </c>
      <c r="BD1495" s="25">
        <f>ROUND(Inventory[[#This Row],[Mdl Land Intercept]]+Inventory[[#This Row],[Mdl LnAcres]],-2)</f>
        <v>54800</v>
      </c>
      <c r="BE1495" s="25">
        <f>Inventory[[#This Row],[Unadj Res Value]]+Inventory[[#This Row],[Unadj Det Value]]+Inventory[[#This Row],[Unadj Land Value]]</f>
        <v>662500</v>
      </c>
      <c r="BF1495" s="36">
        <f>(Inventory[[#This Row],[Unadj Total Value]]-Inventory[[#This Row],[24Final]])/Inventory[[#This Row],[24Final]]</f>
        <v>0.13325350667122818</v>
      </c>
      <c r="BG1495" s="25">
        <f>VLOOKUP(Inventory[[#This Row],[Nbhd]],Lookups!$Q$2:$T$4,4,FALSE)</f>
        <v>0.99970000000000003</v>
      </c>
      <c r="BH1495" s="25">
        <f>VLOOKUP(Inventory[[#This Row],[Qlty]],Lookups!$O$7:$R$21,4,FALSE)</f>
        <v>0.98380000000000001</v>
      </c>
      <c r="BI1495" s="25">
        <f>VLOOKUP(Inventory[[#This Row],[Cnd]],Lookups!$T$7:$W$16,4,FALSE)</f>
        <v>1.0158</v>
      </c>
      <c r="BJ1495" s="25">
        <f>VLOOKUP(Inventory[[#This Row],[LivArea Range]],Lookups!$T$25:$W$37,4,FALSE)</f>
        <v>1</v>
      </c>
      <c r="BK1495" s="25">
        <f>VLOOKUP(Inventory[[#This Row],[Decade]],Lookups!$O$25:$R$42,4,FALSE)</f>
        <v>0.98909999999999998</v>
      </c>
      <c r="BL1495" s="25">
        <f>Inventory[[#This Row],[Nbhd Adj]]*0.95</f>
        <v>0.94971499999999998</v>
      </c>
      <c r="BM1495" s="25">
        <f>Inventory[[#This Row],[Nbhd Adj]]*Inventory[[#This Row],[Quality Adj]]*Inventory[[#This Row],[Condition Adj]]*Inventory[[#This Row],[Living Area Adj]]*Inventory[[#This Row],[Decade Adj]]*0.95</f>
        <v>0.9387469218766602</v>
      </c>
      <c r="BN1495" s="25">
        <f>ROUND(SUM(Inventory[[#This Row],[Mdl Qlty]:[Mdl WdDeck]])+Inventory[[#This Row],[Mdl Res Intercept]]*Inventory[[#This Row],[Res Adj ]],-2)</f>
        <v>599000</v>
      </c>
      <c r="BO1495" s="25">
        <f>ROUND(Inventory[[#This Row],[25Det]]*Inventory[[#This Row],[Det/Nbhd Adj]],-2)</f>
        <v>8300</v>
      </c>
      <c r="BP1495" s="25">
        <f>Inventory[[#This Row],[Adjusted Res]]+Inventory[[#This Row],[Adj Det ]]</f>
        <v>607300</v>
      </c>
      <c r="BQ1495" s="25">
        <f>ROUND((Inventory[[#This Row],[Mdl Land Intercept]]+Inventory[[#This Row],[Mdl LnAcres]])*Inventory[[#This Row],[Det/Nbhd Adj]],-2)</f>
        <v>52000</v>
      </c>
      <c r="BR1495" s="25">
        <f>Inventory[[#This Row],[Adjusted Impr Total]]+Inventory[[#This Row],[Adjusted Land Total]]</f>
        <v>659300</v>
      </c>
      <c r="BS1495" s="36">
        <f>IFERROR((Inventory[[#This Row],[Adjusted Impr Total]]-Inventory[[#This Row],[24Bldg]])/Inventory[[#This Row],[24Bldg]],0)</f>
        <v>0.19382740318458816</v>
      </c>
      <c r="BT1495" s="36">
        <f>(Inventory[[#This Row],[Adjusted Land Total]]-Inventory[[#This Row],[24Lnd]])/Inventory[[#This Row],[24Lnd]]</f>
        <v>-0.31488801054018445</v>
      </c>
      <c r="BU1495" s="36">
        <f>(Inventory[[#This Row],[Adjusted Total]]-Inventory[[#This Row],[24Final]])/Inventory[[#This Row],[24Final]]</f>
        <v>0.1277796784125898</v>
      </c>
    </row>
    <row r="1496" spans="1:73" x14ac:dyDescent="0.3">
      <c r="A1496" s="25">
        <v>2025</v>
      </c>
      <c r="B1496" s="26" t="s">
        <v>1149</v>
      </c>
      <c r="C1496" s="26">
        <f>LN(Inventory[[#This Row],[Acres]])</f>
        <v>-1.8971199848858813</v>
      </c>
      <c r="D1496" s="25">
        <v>0.15</v>
      </c>
      <c r="E1496" s="25">
        <v>6500</v>
      </c>
      <c r="F1496" s="26" t="s">
        <v>537</v>
      </c>
      <c r="G1496" s="26" t="s">
        <v>126</v>
      </c>
      <c r="H1496" s="26" t="s">
        <v>349</v>
      </c>
      <c r="I1496" s="26" t="s">
        <v>538</v>
      </c>
      <c r="J1496" s="26" t="s">
        <v>539</v>
      </c>
      <c r="K1496" s="26" t="s">
        <v>269</v>
      </c>
      <c r="L1496" s="26" t="s">
        <v>351</v>
      </c>
      <c r="M1496" s="26" t="s">
        <v>303</v>
      </c>
      <c r="N1496" s="26">
        <v>90</v>
      </c>
      <c r="O1496" s="26">
        <f>2024-Inventory[[#This Row],[YrBlt]]</f>
        <v>89</v>
      </c>
      <c r="P1496" s="26">
        <f>2024-Inventory[[#This Row],[EffYr]]</f>
        <v>53</v>
      </c>
      <c r="Q1496" s="25">
        <v>1935</v>
      </c>
      <c r="R1496" s="25">
        <v>1971</v>
      </c>
      <c r="S1496" s="25">
        <v>1014</v>
      </c>
      <c r="T1496" s="27"/>
      <c r="U1496" s="32">
        <v>507</v>
      </c>
      <c r="V1496" s="32">
        <f>Inventory[[#This Row],[Bsmt]]-Inventory[[#This Row],[FnBsmt]]</f>
        <v>507</v>
      </c>
      <c r="W1496" s="27"/>
      <c r="X1496" s="27"/>
      <c r="Y1496" s="27">
        <f>Inventory[[#This Row],[MainFn]]+Inventory[[#This Row],[UpprFn]]+Inventory[[#This Row],[FnBsmt]]+Inventory[[#This Row],[AddFn]]</f>
        <v>1014</v>
      </c>
      <c r="Z1496" s="27">
        <v>1500</v>
      </c>
      <c r="AA1496" s="25">
        <v>6</v>
      </c>
      <c r="AB1496" s="31"/>
      <c r="AC1496" s="27"/>
      <c r="AD1496" s="27"/>
      <c r="AE1496" s="27"/>
      <c r="AF1496" s="27"/>
      <c r="AG1496" s="27"/>
      <c r="AH1496" s="27"/>
      <c r="AI1496" s="25">
        <v>195025</v>
      </c>
      <c r="AJ1496" s="25">
        <v>134567</v>
      </c>
      <c r="AK1496" s="25">
        <v>6227</v>
      </c>
      <c r="AL1496" s="25">
        <v>293100</v>
      </c>
      <c r="AM1496" s="25">
        <v>48400</v>
      </c>
      <c r="AN1496" s="25">
        <v>244700</v>
      </c>
      <c r="AO1496" s="25">
        <v>0</v>
      </c>
      <c r="AP1496" s="25">
        <f>Lookups!$B$56*0</f>
        <v>0</v>
      </c>
      <c r="AQ1496" s="25">
        <f>Lookups!$B$56*1</f>
        <v>89850.625589999996</v>
      </c>
      <c r="AR1496" s="25">
        <f>Lookups!$B$57*Inventory[[#This Row],[LnAcres]]</f>
        <v>-60052.604136134301</v>
      </c>
      <c r="AS1496" s="25">
        <f>VLOOKUP(Inventory[[#This Row],[Qlty]],Lookups!$A$62:$E$75,2,FALSE)</f>
        <v>21557.329055999999</v>
      </c>
      <c r="AT1496" s="25">
        <f>VLOOKUP(Inventory[[#This Row],[Cnd]],Lookups!$A$76:$E$84,2,FALSE)</f>
        <v>197752.34721000001</v>
      </c>
      <c r="AU1496" s="25">
        <f>Inventory[[#This Row],[EffAge]]*Lookups!$B$85</f>
        <v>-11821.416826500001</v>
      </c>
      <c r="AV1496" s="25">
        <f>Inventory[[#This Row],[MainFn]]*Lookups!$B$86</f>
        <v>50100.391255278002</v>
      </c>
      <c r="AW1496" s="25">
        <f>Inventory[[#This Row],[UpprFn]]*Lookups!$B$87</f>
        <v>0</v>
      </c>
      <c r="AX1496" s="25">
        <f>Inventory[[#This Row],[AddFn]]*Lookups!$B$88</f>
        <v>0</v>
      </c>
      <c r="AY1496" s="25">
        <f>Inventory[[#This Row],[Bsmt]]*Lookups!$B$89</f>
        <v>14744.520890229</v>
      </c>
      <c r="AZ1496" s="25">
        <f>Inventory[[#This Row],[Fixtures]]*Lookups!$B$90</f>
        <v>22752.132631200002</v>
      </c>
      <c r="BA1496" s="25">
        <f>Inventory[[#This Row],[WdDeck]]*Lookups!$B$91</f>
        <v>0</v>
      </c>
      <c r="BB1496" s="25">
        <f>ROUND(Inventory[[#This Row],[25Det]],-2)</f>
        <v>6200</v>
      </c>
      <c r="BC1496" s="25">
        <f>ROUND(SUM(Inventory[[#This Row],[Mdl Qlty]:[Mdl WdDeck]])+Inventory[[#This Row],[Mdl Res Intercept]],-2)</f>
        <v>295100</v>
      </c>
      <c r="BD1496" s="25">
        <f>ROUND(Inventory[[#This Row],[Mdl Land Intercept]]+Inventory[[#This Row],[Mdl LnAcres]],-2)</f>
        <v>29800</v>
      </c>
      <c r="BE1496" s="25">
        <f>Inventory[[#This Row],[Unadj Res Value]]+Inventory[[#This Row],[Unadj Det Value]]+Inventory[[#This Row],[Unadj Land Value]]</f>
        <v>331100</v>
      </c>
      <c r="BF1496" s="36">
        <f>(Inventory[[#This Row],[Unadj Total Value]]-Inventory[[#This Row],[24Final]])/Inventory[[#This Row],[24Final]]</f>
        <v>0.12964858410098942</v>
      </c>
      <c r="BG1496" s="25">
        <f>VLOOKUP(Inventory[[#This Row],[Nbhd]],Lookups!$Q$2:$T$4,4,FALSE)</f>
        <v>0.99970000000000003</v>
      </c>
      <c r="BH1496" s="25">
        <f>VLOOKUP(Inventory[[#This Row],[Qlty]],Lookups!$O$7:$R$21,4,FALSE)</f>
        <v>1.0067999999999999</v>
      </c>
      <c r="BI1496" s="25">
        <f>VLOOKUP(Inventory[[#This Row],[Cnd]],Lookups!$T$7:$W$16,4,FALSE)</f>
        <v>0.99650000000000005</v>
      </c>
      <c r="BJ1496" s="25">
        <f>VLOOKUP(Inventory[[#This Row],[LivArea Range]],Lookups!$T$25:$W$37,4,FALSE)</f>
        <v>1.0157</v>
      </c>
      <c r="BK1496" s="25">
        <f>VLOOKUP(Inventory[[#This Row],[Decade]],Lookups!$O$25:$R$42,4,FALSE)</f>
        <v>0.98909999999999998</v>
      </c>
      <c r="BL1496" s="25">
        <f>Inventory[[#This Row],[Nbhd Adj]]*0.95</f>
        <v>0.94971499999999998</v>
      </c>
      <c r="BM1496" s="25">
        <f>Inventory[[#This Row],[Nbhd Adj]]*Inventory[[#This Row],[Quality Adj]]*Inventory[[#This Row],[Condition Adj]]*Inventory[[#This Row],[Living Area Adj]]*Inventory[[#This Row],[Decade Adj]]*0.95</f>
        <v>0.95723696608169473</v>
      </c>
      <c r="BN1496" s="25">
        <f>ROUND(SUM(Inventory[[#This Row],[Mdl Qlty]:[Mdl WdDeck]])+Inventory[[#This Row],[Mdl Res Intercept]]*Inventory[[#This Row],[Res Adj ]],-2)</f>
        <v>295100</v>
      </c>
      <c r="BO1496" s="25">
        <f>ROUND(Inventory[[#This Row],[25Det]]*Inventory[[#This Row],[Det/Nbhd Adj]],-2)</f>
        <v>5900</v>
      </c>
      <c r="BP1496" s="25">
        <f>Inventory[[#This Row],[Adjusted Res]]+Inventory[[#This Row],[Adj Det ]]</f>
        <v>301000</v>
      </c>
      <c r="BQ1496" s="25">
        <f>ROUND((Inventory[[#This Row],[Mdl Land Intercept]]+Inventory[[#This Row],[Mdl LnAcres]])*Inventory[[#This Row],[Det/Nbhd Adj]],-2)</f>
        <v>28300</v>
      </c>
      <c r="BR1496" s="25">
        <f>Inventory[[#This Row],[Adjusted Impr Total]]+Inventory[[#This Row],[Adjusted Land Total]]</f>
        <v>329300</v>
      </c>
      <c r="BS1496" s="36">
        <f>IFERROR((Inventory[[#This Row],[Adjusted Impr Total]]-Inventory[[#This Row],[24Bldg]])/Inventory[[#This Row],[24Bldg]],0)</f>
        <v>0.23007764609726195</v>
      </c>
      <c r="BT1496" s="36">
        <f>(Inventory[[#This Row],[Adjusted Land Total]]-Inventory[[#This Row],[24Lnd]])/Inventory[[#This Row],[24Lnd]]</f>
        <v>-0.41528925619834711</v>
      </c>
      <c r="BU1496" s="36">
        <f>(Inventory[[#This Row],[Adjusted Total]]-Inventory[[#This Row],[24Final]])/Inventory[[#This Row],[24Final]]</f>
        <v>0.12350733538041624</v>
      </c>
    </row>
    <row r="1497" spans="1:73" x14ac:dyDescent="0.3">
      <c r="A1497" s="25">
        <v>2025</v>
      </c>
      <c r="B1497" s="26" t="s">
        <v>2258</v>
      </c>
      <c r="C1497" s="26">
        <f>LN(Inventory[[#This Row],[Acres]])</f>
        <v>-1.7147984280919266</v>
      </c>
      <c r="D1497" s="25">
        <v>0.18</v>
      </c>
      <c r="E1497" s="31"/>
      <c r="F1497" s="26" t="s">
        <v>537</v>
      </c>
      <c r="G1497" s="26" t="s">
        <v>126</v>
      </c>
      <c r="H1497" s="26" t="s">
        <v>349</v>
      </c>
      <c r="I1497" s="26" t="s">
        <v>538</v>
      </c>
      <c r="J1497" s="26" t="s">
        <v>539</v>
      </c>
      <c r="K1497" s="26" t="s">
        <v>269</v>
      </c>
      <c r="L1497" s="26" t="s">
        <v>302</v>
      </c>
      <c r="M1497" s="26" t="s">
        <v>303</v>
      </c>
      <c r="N1497" s="26">
        <v>90</v>
      </c>
      <c r="O1497" s="26">
        <f>2024-Inventory[[#This Row],[YrBlt]]</f>
        <v>89</v>
      </c>
      <c r="P1497" s="26">
        <f>2024-Inventory[[#This Row],[EffYr]]</f>
        <v>53</v>
      </c>
      <c r="Q1497" s="25">
        <v>1935</v>
      </c>
      <c r="R1497" s="25">
        <v>1971</v>
      </c>
      <c r="S1497" s="25">
        <v>1155</v>
      </c>
      <c r="T1497" s="31"/>
      <c r="U1497" s="25">
        <v>1155</v>
      </c>
      <c r="V1497" s="25">
        <f>Inventory[[#This Row],[Bsmt]]-Inventory[[#This Row],[FnBsmt]]</f>
        <v>1155</v>
      </c>
      <c r="W1497" s="31"/>
      <c r="X1497" s="27"/>
      <c r="Y1497" s="27">
        <f>Inventory[[#This Row],[MainFn]]+Inventory[[#This Row],[UpprFn]]+Inventory[[#This Row],[FnBsmt]]+Inventory[[#This Row],[AddFn]]</f>
        <v>1155</v>
      </c>
      <c r="Z1497" s="27">
        <v>1500</v>
      </c>
      <c r="AA1497" s="25">
        <v>5</v>
      </c>
      <c r="AB1497" s="27"/>
      <c r="AC1497" s="27"/>
      <c r="AD1497" s="27"/>
      <c r="AE1497" s="27"/>
      <c r="AF1497" s="27"/>
      <c r="AG1497" s="27"/>
      <c r="AH1497" s="27"/>
      <c r="AI1497" s="25">
        <v>281660</v>
      </c>
      <c r="AJ1497" s="25">
        <v>194345</v>
      </c>
      <c r="AK1497" s="25">
        <v>5175</v>
      </c>
      <c r="AL1497" s="25">
        <v>324300</v>
      </c>
      <c r="AM1497" s="25">
        <v>54700</v>
      </c>
      <c r="AN1497" s="25">
        <v>269600</v>
      </c>
      <c r="AO1497" s="25">
        <v>0</v>
      </c>
      <c r="AP1497" s="25">
        <f>Lookups!$B$56*0</f>
        <v>0</v>
      </c>
      <c r="AQ1497" s="25">
        <f>Lookups!$B$56*1</f>
        <v>89850.625589999996</v>
      </c>
      <c r="AR1497" s="25">
        <f>Lookups!$B$57*Inventory[[#This Row],[LnAcres]]</f>
        <v>-54281.285314520763</v>
      </c>
      <c r="AS1497" s="25">
        <f>VLOOKUP(Inventory[[#This Row],[Qlty]],Lookups!$A$62:$E$75,2,FALSE)</f>
        <v>29814.093161000001</v>
      </c>
      <c r="AT1497" s="25">
        <f>VLOOKUP(Inventory[[#This Row],[Cnd]],Lookups!$A$76:$E$84,2,FALSE)</f>
        <v>197752.34721000001</v>
      </c>
      <c r="AU1497" s="25">
        <f>Inventory[[#This Row],[EffAge]]*Lookups!$B$85</f>
        <v>-11821.416826500001</v>
      </c>
      <c r="AV1497" s="25">
        <f>Inventory[[#This Row],[MainFn]]*Lookups!$B$86</f>
        <v>57067.013707935002</v>
      </c>
      <c r="AW1497" s="25">
        <f>Inventory[[#This Row],[UpprFn]]*Lookups!$B$87</f>
        <v>0</v>
      </c>
      <c r="AX1497" s="25">
        <f>Inventory[[#This Row],[AddFn]]*Lookups!$B$88</f>
        <v>0</v>
      </c>
      <c r="AY1497" s="25">
        <f>Inventory[[#This Row],[Bsmt]]*Lookups!$B$89</f>
        <v>33589.589010284995</v>
      </c>
      <c r="AZ1497" s="25">
        <f>Inventory[[#This Row],[Fixtures]]*Lookups!$B$90</f>
        <v>18960.110526</v>
      </c>
      <c r="BA1497" s="25">
        <f>Inventory[[#This Row],[WdDeck]]*Lookups!$B$91</f>
        <v>0</v>
      </c>
      <c r="BB1497" s="25">
        <f>ROUND(Inventory[[#This Row],[25Det]],-2)</f>
        <v>5200</v>
      </c>
      <c r="BC1497" s="25">
        <f>ROUND(SUM(Inventory[[#This Row],[Mdl Qlty]:[Mdl WdDeck]])+Inventory[[#This Row],[Mdl Res Intercept]],-2)</f>
        <v>325400</v>
      </c>
      <c r="BD1497" s="25">
        <f>ROUND(Inventory[[#This Row],[Mdl Land Intercept]]+Inventory[[#This Row],[Mdl LnAcres]],-2)</f>
        <v>35600</v>
      </c>
      <c r="BE1497" s="25">
        <f>Inventory[[#This Row],[Unadj Res Value]]+Inventory[[#This Row],[Unadj Det Value]]+Inventory[[#This Row],[Unadj Land Value]]</f>
        <v>366200</v>
      </c>
      <c r="BF1497" s="36">
        <f>(Inventory[[#This Row],[Unadj Total Value]]-Inventory[[#This Row],[24Final]])/Inventory[[#This Row],[24Final]]</f>
        <v>0.12920135676842429</v>
      </c>
      <c r="BG1497" s="25">
        <f>VLOOKUP(Inventory[[#This Row],[Nbhd]],Lookups!$Q$2:$T$4,4,FALSE)</f>
        <v>0.99970000000000003</v>
      </c>
      <c r="BH1497" s="25">
        <f>VLOOKUP(Inventory[[#This Row],[Qlty]],Lookups!$O$7:$R$21,4,FALSE)</f>
        <v>1.0088999999999999</v>
      </c>
      <c r="BI1497" s="25">
        <f>VLOOKUP(Inventory[[#This Row],[Cnd]],Lookups!$T$7:$W$16,4,FALSE)</f>
        <v>0.99650000000000005</v>
      </c>
      <c r="BJ1497" s="25">
        <f>VLOOKUP(Inventory[[#This Row],[LivArea Range]],Lookups!$T$25:$W$37,4,FALSE)</f>
        <v>1.0157</v>
      </c>
      <c r="BK1497" s="25">
        <f>VLOOKUP(Inventory[[#This Row],[Decade]],Lookups!$O$25:$R$42,4,FALSE)</f>
        <v>0.98909999999999998</v>
      </c>
      <c r="BL1497" s="25">
        <f>Inventory[[#This Row],[Nbhd Adj]]*0.95</f>
        <v>0.94971499999999998</v>
      </c>
      <c r="BM1497" s="25">
        <f>Inventory[[#This Row],[Nbhd Adj]]*Inventory[[#This Row],[Quality Adj]]*Inventory[[#This Row],[Condition Adj]]*Inventory[[#This Row],[Living Area Adj]]*Inventory[[#This Row],[Decade Adj]]*0.95</f>
        <v>0.95923358669032743</v>
      </c>
      <c r="BN1497" s="25">
        <f>ROUND(SUM(Inventory[[#This Row],[Mdl Qlty]:[Mdl WdDeck]])+Inventory[[#This Row],[Mdl Res Intercept]]*Inventory[[#This Row],[Res Adj ]],-2)</f>
        <v>325400</v>
      </c>
      <c r="BO1497" s="25">
        <f>ROUND(Inventory[[#This Row],[25Det]]*Inventory[[#This Row],[Det/Nbhd Adj]],-2)</f>
        <v>4900</v>
      </c>
      <c r="BP1497" s="25">
        <f>Inventory[[#This Row],[Adjusted Res]]+Inventory[[#This Row],[Adj Det ]]</f>
        <v>330300</v>
      </c>
      <c r="BQ1497" s="25">
        <f>ROUND((Inventory[[#This Row],[Mdl Land Intercept]]+Inventory[[#This Row],[Mdl LnAcres]])*Inventory[[#This Row],[Det/Nbhd Adj]],-2)</f>
        <v>33800</v>
      </c>
      <c r="BR1497" s="25">
        <f>Inventory[[#This Row],[Adjusted Impr Total]]+Inventory[[#This Row],[Adjusted Land Total]]</f>
        <v>364100</v>
      </c>
      <c r="BS1497" s="36">
        <f>IFERROR((Inventory[[#This Row],[Adjusted Impr Total]]-Inventory[[#This Row],[24Bldg]])/Inventory[[#This Row],[24Bldg]],0)</f>
        <v>0.22514836795252224</v>
      </c>
      <c r="BT1497" s="36">
        <f>(Inventory[[#This Row],[Adjusted Land Total]]-Inventory[[#This Row],[24Lnd]])/Inventory[[#This Row],[24Lnd]]</f>
        <v>-0.38208409506398539</v>
      </c>
      <c r="BU1497" s="36">
        <f>(Inventory[[#This Row],[Adjusted Total]]-Inventory[[#This Row],[24Final]])/Inventory[[#This Row],[24Final]]</f>
        <v>0.12272587110699969</v>
      </c>
    </row>
    <row r="1498" spans="1:73" x14ac:dyDescent="0.3">
      <c r="A1498" s="25">
        <v>2025</v>
      </c>
      <c r="B1498" s="26" t="s">
        <v>2669</v>
      </c>
      <c r="C1498" s="26">
        <f>LN(Inventory[[#This Row],[Acres]])</f>
        <v>-1.7719568419318752</v>
      </c>
      <c r="D1498" s="25">
        <v>0.17</v>
      </c>
      <c r="E1498" s="31"/>
      <c r="F1498" s="26" t="s">
        <v>537</v>
      </c>
      <c r="G1498" s="26" t="s">
        <v>126</v>
      </c>
      <c r="H1498" s="26" t="s">
        <v>349</v>
      </c>
      <c r="I1498" s="26" t="s">
        <v>538</v>
      </c>
      <c r="J1498" s="26" t="s">
        <v>539</v>
      </c>
      <c r="K1498" s="26" t="s">
        <v>242</v>
      </c>
      <c r="L1498" s="26" t="s">
        <v>351</v>
      </c>
      <c r="M1498" s="26" t="s">
        <v>303</v>
      </c>
      <c r="N1498" s="26">
        <v>90</v>
      </c>
      <c r="O1498" s="26">
        <f>2024-Inventory[[#This Row],[YrBlt]]</f>
        <v>89</v>
      </c>
      <c r="P1498" s="26">
        <f>2024-Inventory[[#This Row],[EffYr]]</f>
        <v>26</v>
      </c>
      <c r="Q1498" s="25">
        <v>1935</v>
      </c>
      <c r="R1498" s="25">
        <v>1998</v>
      </c>
      <c r="S1498" s="25">
        <v>1088</v>
      </c>
      <c r="T1498" s="31"/>
      <c r="U1498" s="31"/>
      <c r="V1498" s="27">
        <f>Inventory[[#This Row],[Bsmt]]-Inventory[[#This Row],[FnBsmt]]</f>
        <v>0</v>
      </c>
      <c r="W1498" s="27"/>
      <c r="X1498" s="27"/>
      <c r="Y1498" s="27">
        <f>Inventory[[#This Row],[MainFn]]+Inventory[[#This Row],[UpprFn]]+Inventory[[#This Row],[FnBsmt]]+Inventory[[#This Row],[AddFn]]</f>
        <v>1088</v>
      </c>
      <c r="Z1498" s="27">
        <v>1500</v>
      </c>
      <c r="AA1498" s="25">
        <v>5</v>
      </c>
      <c r="AB1498" s="27"/>
      <c r="AC1498" s="27"/>
      <c r="AD1498" s="27"/>
      <c r="AE1498" s="27"/>
      <c r="AF1498" s="27"/>
      <c r="AG1498" s="27"/>
      <c r="AH1498" s="27"/>
      <c r="AI1498" s="25">
        <v>173662</v>
      </c>
      <c r="AJ1498" s="25">
        <v>154559</v>
      </c>
      <c r="AK1498" s="25">
        <v>6957</v>
      </c>
      <c r="AL1498" s="25">
        <v>289400</v>
      </c>
      <c r="AM1498" s="25">
        <v>52700</v>
      </c>
      <c r="AN1498" s="25">
        <v>236700</v>
      </c>
      <c r="AO1498" s="25">
        <v>0</v>
      </c>
      <c r="AP1498" s="25">
        <f>Lookups!$B$56*0</f>
        <v>0</v>
      </c>
      <c r="AQ1498" s="25">
        <f>Lookups!$B$56*1</f>
        <v>89850.625589999996</v>
      </c>
      <c r="AR1498" s="25">
        <f>Lookups!$B$57*Inventory[[#This Row],[LnAcres]]</f>
        <v>-56090.612940989391</v>
      </c>
      <c r="AS1498" s="25">
        <f>VLOOKUP(Inventory[[#This Row],[Qlty]],Lookups!$A$62:$E$75,2,FALSE)</f>
        <v>21557.329055999999</v>
      </c>
      <c r="AT1498" s="25">
        <f>VLOOKUP(Inventory[[#This Row],[Cnd]],Lookups!$A$76:$E$84,2,FALSE)</f>
        <v>197752.34721000001</v>
      </c>
      <c r="AU1498" s="25">
        <f>Inventory[[#This Row],[EffAge]]*Lookups!$B$85</f>
        <v>-5799.1856130000006</v>
      </c>
      <c r="AV1498" s="25">
        <f>Inventory[[#This Row],[MainFn]]*Lookups!$B$86</f>
        <v>53756.632826175999</v>
      </c>
      <c r="AW1498" s="25">
        <f>Inventory[[#This Row],[UpprFn]]*Lookups!$B$87</f>
        <v>0</v>
      </c>
      <c r="AX1498" s="25">
        <f>Inventory[[#This Row],[AddFn]]*Lookups!$B$88</f>
        <v>0</v>
      </c>
      <c r="AY1498" s="25">
        <f>Inventory[[#This Row],[Bsmt]]*Lookups!$B$89</f>
        <v>0</v>
      </c>
      <c r="AZ1498" s="25">
        <f>Inventory[[#This Row],[Fixtures]]*Lookups!$B$90</f>
        <v>18960.110526</v>
      </c>
      <c r="BA1498" s="25">
        <f>Inventory[[#This Row],[WdDeck]]*Lookups!$B$91</f>
        <v>0</v>
      </c>
      <c r="BB1498" s="25">
        <f>ROUND(Inventory[[#This Row],[25Det]],-2)</f>
        <v>7000</v>
      </c>
      <c r="BC1498" s="25">
        <f>ROUND(SUM(Inventory[[#This Row],[Mdl Qlty]:[Mdl WdDeck]])+Inventory[[#This Row],[Mdl Res Intercept]],-2)</f>
        <v>286200</v>
      </c>
      <c r="BD1498" s="25">
        <f>ROUND(Inventory[[#This Row],[Mdl Land Intercept]]+Inventory[[#This Row],[Mdl LnAcres]],-2)</f>
        <v>33800</v>
      </c>
      <c r="BE1498" s="25">
        <f>Inventory[[#This Row],[Unadj Res Value]]+Inventory[[#This Row],[Unadj Det Value]]+Inventory[[#This Row],[Unadj Land Value]]</f>
        <v>327000</v>
      </c>
      <c r="BF1498" s="36">
        <f>(Inventory[[#This Row],[Unadj Total Value]]-Inventory[[#This Row],[24Final]])/Inventory[[#This Row],[24Final]]</f>
        <v>0.12992398064961991</v>
      </c>
      <c r="BG1498" s="25">
        <f>VLOOKUP(Inventory[[#This Row],[Nbhd]],Lookups!$Q$2:$T$4,4,FALSE)</f>
        <v>0.99970000000000003</v>
      </c>
      <c r="BH1498" s="25">
        <f>VLOOKUP(Inventory[[#This Row],[Qlty]],Lookups!$O$7:$R$21,4,FALSE)</f>
        <v>1.0067999999999999</v>
      </c>
      <c r="BI1498" s="25">
        <f>VLOOKUP(Inventory[[#This Row],[Cnd]],Lookups!$T$7:$W$16,4,FALSE)</f>
        <v>0.99650000000000005</v>
      </c>
      <c r="BJ1498" s="25">
        <f>VLOOKUP(Inventory[[#This Row],[LivArea Range]],Lookups!$T$25:$W$37,4,FALSE)</f>
        <v>1.0157</v>
      </c>
      <c r="BK1498" s="25">
        <f>VLOOKUP(Inventory[[#This Row],[Decade]],Lookups!$O$25:$R$42,4,FALSE)</f>
        <v>0.98909999999999998</v>
      </c>
      <c r="BL1498" s="25">
        <f>Inventory[[#This Row],[Nbhd Adj]]*0.95</f>
        <v>0.94971499999999998</v>
      </c>
      <c r="BM1498" s="25">
        <f>Inventory[[#This Row],[Nbhd Adj]]*Inventory[[#This Row],[Quality Adj]]*Inventory[[#This Row],[Condition Adj]]*Inventory[[#This Row],[Living Area Adj]]*Inventory[[#This Row],[Decade Adj]]*0.95</f>
        <v>0.95723696608169473</v>
      </c>
      <c r="BN1498" s="25">
        <f>ROUND(SUM(Inventory[[#This Row],[Mdl Qlty]:[Mdl WdDeck]])+Inventory[[#This Row],[Mdl Res Intercept]]*Inventory[[#This Row],[Res Adj ]],-2)</f>
        <v>286200</v>
      </c>
      <c r="BO1498" s="25">
        <f>ROUND(Inventory[[#This Row],[25Det]]*Inventory[[#This Row],[Det/Nbhd Adj]],-2)</f>
        <v>6600</v>
      </c>
      <c r="BP1498" s="25">
        <f>Inventory[[#This Row],[Adjusted Res]]+Inventory[[#This Row],[Adj Det ]]</f>
        <v>292800</v>
      </c>
      <c r="BQ1498" s="25">
        <f>ROUND((Inventory[[#This Row],[Mdl Land Intercept]]+Inventory[[#This Row],[Mdl LnAcres]])*Inventory[[#This Row],[Det/Nbhd Adj]],-2)</f>
        <v>32100</v>
      </c>
      <c r="BR1498" s="25">
        <f>Inventory[[#This Row],[Adjusted Impr Total]]+Inventory[[#This Row],[Adjusted Land Total]]</f>
        <v>324900</v>
      </c>
      <c r="BS1498" s="36">
        <f>IFERROR((Inventory[[#This Row],[Adjusted Impr Total]]-Inventory[[#This Row],[24Bldg]])/Inventory[[#This Row],[24Bldg]],0)</f>
        <v>0.23700887198986059</v>
      </c>
      <c r="BT1498" s="36">
        <f>(Inventory[[#This Row],[Adjusted Land Total]]-Inventory[[#This Row],[24Lnd]])/Inventory[[#This Row],[24Lnd]]</f>
        <v>-0.39089184060721061</v>
      </c>
      <c r="BU1498" s="36">
        <f>(Inventory[[#This Row],[Adjusted Total]]-Inventory[[#This Row],[24Final]])/Inventory[[#This Row],[24Final]]</f>
        <v>0.12266758811333794</v>
      </c>
    </row>
    <row r="1499" spans="1:73" x14ac:dyDescent="0.3">
      <c r="A1499" s="25">
        <v>2025</v>
      </c>
      <c r="B1499" s="26" t="s">
        <v>2332</v>
      </c>
      <c r="C1499" s="26">
        <f>LN(Inventory[[#This Row],[Acres]])</f>
        <v>-1.8325814637483102</v>
      </c>
      <c r="D1499" s="25">
        <v>0.16</v>
      </c>
      <c r="E1499" s="31"/>
      <c r="F1499" s="26" t="s">
        <v>537</v>
      </c>
      <c r="G1499" s="26" t="s">
        <v>126</v>
      </c>
      <c r="H1499" s="26" t="s">
        <v>349</v>
      </c>
      <c r="I1499" s="26" t="s">
        <v>538</v>
      </c>
      <c r="J1499" s="26" t="s">
        <v>539</v>
      </c>
      <c r="K1499" s="26" t="s">
        <v>242</v>
      </c>
      <c r="L1499" s="26" t="s">
        <v>351</v>
      </c>
      <c r="M1499" s="26" t="s">
        <v>303</v>
      </c>
      <c r="N1499" s="26">
        <v>90</v>
      </c>
      <c r="O1499" s="26">
        <f>2024-Inventory[[#This Row],[YrBlt]]</f>
        <v>89</v>
      </c>
      <c r="P1499" s="26">
        <f>2024-Inventory[[#This Row],[EffYr]]</f>
        <v>53</v>
      </c>
      <c r="Q1499" s="25">
        <v>1935</v>
      </c>
      <c r="R1499" s="25">
        <v>1971</v>
      </c>
      <c r="S1499" s="25">
        <v>992</v>
      </c>
      <c r="T1499" s="27"/>
      <c r="U1499" s="25">
        <v>862</v>
      </c>
      <c r="V1499" s="32">
        <f>Inventory[[#This Row],[Bsmt]]-Inventory[[#This Row],[FnBsmt]]</f>
        <v>862</v>
      </c>
      <c r="W1499" s="27"/>
      <c r="X1499" s="27"/>
      <c r="Y1499" s="27">
        <f>Inventory[[#This Row],[MainFn]]+Inventory[[#This Row],[UpprFn]]+Inventory[[#This Row],[FnBsmt]]+Inventory[[#This Row],[AddFn]]</f>
        <v>992</v>
      </c>
      <c r="Z1499" s="27">
        <v>1000</v>
      </c>
      <c r="AA1499" s="25">
        <v>5</v>
      </c>
      <c r="AB1499" s="31"/>
      <c r="AC1499" s="27"/>
      <c r="AD1499" s="27"/>
      <c r="AE1499" s="27"/>
      <c r="AF1499" s="27"/>
      <c r="AG1499" s="27"/>
      <c r="AH1499" s="27"/>
      <c r="AI1499" s="25">
        <v>202688</v>
      </c>
      <c r="AJ1499" s="25">
        <v>139855</v>
      </c>
      <c r="AK1499" s="25">
        <v>13228</v>
      </c>
      <c r="AL1499" s="25">
        <v>306000</v>
      </c>
      <c r="AM1499" s="25">
        <v>50600</v>
      </c>
      <c r="AN1499" s="25">
        <v>255400</v>
      </c>
      <c r="AO1499" s="25">
        <v>0</v>
      </c>
      <c r="AP1499" s="25">
        <f>Lookups!$B$56*0</f>
        <v>0</v>
      </c>
      <c r="AQ1499" s="25">
        <f>Lookups!$B$56*1</f>
        <v>89850.625589999996</v>
      </c>
      <c r="AR1499" s="25">
        <f>Lookups!$B$57*Inventory[[#This Row],[LnAcres]]</f>
        <v>-58009.662049032086</v>
      </c>
      <c r="AS1499" s="25">
        <f>VLOOKUP(Inventory[[#This Row],[Qlty]],Lookups!$A$62:$E$75,2,FALSE)</f>
        <v>21557.329055999999</v>
      </c>
      <c r="AT1499" s="25">
        <f>VLOOKUP(Inventory[[#This Row],[Cnd]],Lookups!$A$76:$E$84,2,FALSE)</f>
        <v>197752.34721000001</v>
      </c>
      <c r="AU1499" s="25">
        <f>Inventory[[#This Row],[EffAge]]*Lookups!$B$85</f>
        <v>-11821.416826500001</v>
      </c>
      <c r="AV1499" s="25">
        <f>Inventory[[#This Row],[MainFn]]*Lookups!$B$86</f>
        <v>49013.400517984002</v>
      </c>
      <c r="AW1499" s="25">
        <f>Inventory[[#This Row],[UpprFn]]*Lookups!$B$87</f>
        <v>0</v>
      </c>
      <c r="AX1499" s="25">
        <f>Inventory[[#This Row],[AddFn]]*Lookups!$B$88</f>
        <v>0</v>
      </c>
      <c r="AY1499" s="25">
        <f>Inventory[[#This Row],[Bsmt]]*Lookups!$B$89</f>
        <v>25068.593702914</v>
      </c>
      <c r="AZ1499" s="25">
        <f>Inventory[[#This Row],[Fixtures]]*Lookups!$B$90</f>
        <v>18960.110526</v>
      </c>
      <c r="BA1499" s="25">
        <f>Inventory[[#This Row],[WdDeck]]*Lookups!$B$91</f>
        <v>0</v>
      </c>
      <c r="BB1499" s="25">
        <f>ROUND(Inventory[[#This Row],[25Det]],-2)</f>
        <v>13200</v>
      </c>
      <c r="BC1499" s="25">
        <f>ROUND(SUM(Inventory[[#This Row],[Mdl Qlty]:[Mdl WdDeck]])+Inventory[[#This Row],[Mdl Res Intercept]],-2)</f>
        <v>300500</v>
      </c>
      <c r="BD1499" s="25">
        <f>ROUND(Inventory[[#This Row],[Mdl Land Intercept]]+Inventory[[#This Row],[Mdl LnAcres]],-2)</f>
        <v>31800</v>
      </c>
      <c r="BE1499" s="25">
        <f>Inventory[[#This Row],[Unadj Res Value]]+Inventory[[#This Row],[Unadj Det Value]]+Inventory[[#This Row],[Unadj Land Value]]</f>
        <v>345500</v>
      </c>
      <c r="BF1499" s="36">
        <f>(Inventory[[#This Row],[Unadj Total Value]]-Inventory[[#This Row],[24Final]])/Inventory[[#This Row],[24Final]]</f>
        <v>0.12908496732026145</v>
      </c>
      <c r="BG1499" s="25">
        <f>VLOOKUP(Inventory[[#This Row],[Nbhd]],Lookups!$Q$2:$T$4,4,FALSE)</f>
        <v>0.99970000000000003</v>
      </c>
      <c r="BH1499" s="25">
        <f>VLOOKUP(Inventory[[#This Row],[Qlty]],Lookups!$O$7:$R$21,4,FALSE)</f>
        <v>1.0067999999999999</v>
      </c>
      <c r="BI1499" s="25">
        <f>VLOOKUP(Inventory[[#This Row],[Cnd]],Lookups!$T$7:$W$16,4,FALSE)</f>
        <v>0.99650000000000005</v>
      </c>
      <c r="BJ1499" s="25">
        <f>VLOOKUP(Inventory[[#This Row],[LivArea Range]],Lookups!$T$25:$W$37,4,FALSE)</f>
        <v>1.0148999999999999</v>
      </c>
      <c r="BK1499" s="25">
        <f>VLOOKUP(Inventory[[#This Row],[Decade]],Lookups!$O$25:$R$42,4,FALSE)</f>
        <v>0.98909999999999998</v>
      </c>
      <c r="BL1499" s="25">
        <f>Inventory[[#This Row],[Nbhd Adj]]*0.95</f>
        <v>0.94971499999999998</v>
      </c>
      <c r="BM1499" s="25">
        <f>Inventory[[#This Row],[Nbhd Adj]]*Inventory[[#This Row],[Quality Adj]]*Inventory[[#This Row],[Condition Adj]]*Inventory[[#This Row],[Living Area Adj]]*Inventory[[#This Row],[Decade Adj]]*0.95</f>
        <v>0.95648301356336674</v>
      </c>
      <c r="BN1499" s="25">
        <f>ROUND(SUM(Inventory[[#This Row],[Mdl Qlty]:[Mdl WdDeck]])+Inventory[[#This Row],[Mdl Res Intercept]]*Inventory[[#This Row],[Res Adj ]],-2)</f>
        <v>300500</v>
      </c>
      <c r="BO1499" s="25">
        <f>ROUND(Inventory[[#This Row],[25Det]]*Inventory[[#This Row],[Det/Nbhd Adj]],-2)</f>
        <v>12600</v>
      </c>
      <c r="BP1499" s="25">
        <f>Inventory[[#This Row],[Adjusted Res]]+Inventory[[#This Row],[Adj Det ]]</f>
        <v>313100</v>
      </c>
      <c r="BQ1499" s="25">
        <f>ROUND((Inventory[[#This Row],[Mdl Land Intercept]]+Inventory[[#This Row],[Mdl LnAcres]])*Inventory[[#This Row],[Det/Nbhd Adj]],-2)</f>
        <v>30200</v>
      </c>
      <c r="BR1499" s="25">
        <f>Inventory[[#This Row],[Adjusted Impr Total]]+Inventory[[#This Row],[Adjusted Land Total]]</f>
        <v>343300</v>
      </c>
      <c r="BS1499" s="36">
        <f>IFERROR((Inventory[[#This Row],[Adjusted Impr Total]]-Inventory[[#This Row],[24Bldg]])/Inventory[[#This Row],[24Bldg]],0)</f>
        <v>0.22592012529365701</v>
      </c>
      <c r="BT1499" s="36">
        <f>(Inventory[[#This Row],[Adjusted Land Total]]-Inventory[[#This Row],[24Lnd]])/Inventory[[#This Row],[24Lnd]]</f>
        <v>-0.40316205533596838</v>
      </c>
      <c r="BU1499" s="36">
        <f>(Inventory[[#This Row],[Adjusted Total]]-Inventory[[#This Row],[24Final]])/Inventory[[#This Row],[24Final]]</f>
        <v>0.1218954248366013</v>
      </c>
    </row>
    <row r="1500" spans="1:73" x14ac:dyDescent="0.3">
      <c r="A1500" s="25">
        <v>2025</v>
      </c>
      <c r="B1500" s="26" t="s">
        <v>736</v>
      </c>
      <c r="C1500" s="26">
        <f>LN(Inventory[[#This Row],[Acres]])</f>
        <v>-1.6607312068216509</v>
      </c>
      <c r="D1500" s="25">
        <v>0.19</v>
      </c>
      <c r="E1500" s="25">
        <v>8373</v>
      </c>
      <c r="F1500" s="26" t="s">
        <v>537</v>
      </c>
      <c r="G1500" s="26" t="s">
        <v>126</v>
      </c>
      <c r="H1500" s="26" t="s">
        <v>349</v>
      </c>
      <c r="I1500" s="26" t="s">
        <v>538</v>
      </c>
      <c r="J1500" s="26" t="s">
        <v>539</v>
      </c>
      <c r="K1500" s="26" t="s">
        <v>242</v>
      </c>
      <c r="L1500" s="26" t="s">
        <v>302</v>
      </c>
      <c r="M1500" s="26" t="s">
        <v>323</v>
      </c>
      <c r="N1500" s="26">
        <v>90</v>
      </c>
      <c r="O1500" s="26">
        <f>2024-Inventory[[#This Row],[YrBlt]]</f>
        <v>89</v>
      </c>
      <c r="P1500" s="26">
        <f>2024-Inventory[[#This Row],[EffYr]]</f>
        <v>53</v>
      </c>
      <c r="Q1500" s="25">
        <v>1935</v>
      </c>
      <c r="R1500" s="25">
        <v>1971</v>
      </c>
      <c r="S1500" s="25">
        <v>1548</v>
      </c>
      <c r="T1500" s="27"/>
      <c r="U1500" s="25">
        <v>828</v>
      </c>
      <c r="V1500" s="25">
        <f>Inventory[[#This Row],[Bsmt]]-Inventory[[#This Row],[FnBsmt]]</f>
        <v>684</v>
      </c>
      <c r="W1500" s="25">
        <v>144</v>
      </c>
      <c r="X1500" s="27"/>
      <c r="Y1500" s="27">
        <f>Inventory[[#This Row],[MainFn]]+Inventory[[#This Row],[UpprFn]]+Inventory[[#This Row],[FnBsmt]]+Inventory[[#This Row],[AddFn]]</f>
        <v>1692</v>
      </c>
      <c r="Z1500" s="27">
        <v>2000</v>
      </c>
      <c r="AA1500" s="25">
        <v>7</v>
      </c>
      <c r="AB1500" s="27"/>
      <c r="AC1500" s="27"/>
      <c r="AD1500" s="27"/>
      <c r="AE1500" s="27"/>
      <c r="AF1500" s="27"/>
      <c r="AG1500" s="27"/>
      <c r="AH1500" s="27"/>
      <c r="AI1500" s="25">
        <v>272129</v>
      </c>
      <c r="AJ1500" s="25">
        <v>182326</v>
      </c>
      <c r="AK1500" s="25">
        <v>12305</v>
      </c>
      <c r="AL1500" s="25">
        <v>316000</v>
      </c>
      <c r="AM1500" s="25">
        <v>56600</v>
      </c>
      <c r="AN1500" s="25">
        <v>259400</v>
      </c>
      <c r="AO1500" s="25">
        <v>0</v>
      </c>
      <c r="AP1500" s="25">
        <f>Lookups!$B$56*0</f>
        <v>0</v>
      </c>
      <c r="AQ1500" s="25">
        <f>Lookups!$B$56*1</f>
        <v>89850.625589999996</v>
      </c>
      <c r="AR1500" s="25">
        <f>Lookups!$B$57*Inventory[[#This Row],[LnAcres]]</f>
        <v>-52569.808201026557</v>
      </c>
      <c r="AS1500" s="25">
        <f>VLOOKUP(Inventory[[#This Row],[Qlty]],Lookups!$A$62:$E$75,2,FALSE)</f>
        <v>29814.093161000001</v>
      </c>
      <c r="AT1500" s="25">
        <f>VLOOKUP(Inventory[[#This Row],[Cnd]],Lookups!$A$76:$E$84,2,FALSE)</f>
        <v>160472.20319</v>
      </c>
      <c r="AU1500" s="25">
        <f>Inventory[[#This Row],[EffAge]]*Lookups!$B$85</f>
        <v>-11821.416826500001</v>
      </c>
      <c r="AV1500" s="25">
        <f>Inventory[[#This Row],[MainFn]]*Lookups!$B$86</f>
        <v>76484.620969595999</v>
      </c>
      <c r="AW1500" s="25">
        <f>Inventory[[#This Row],[UpprFn]]*Lookups!$B$87</f>
        <v>0</v>
      </c>
      <c r="AX1500" s="25">
        <f>Inventory[[#This Row],[AddFn]]*Lookups!$B$88</f>
        <v>0</v>
      </c>
      <c r="AY1500" s="25">
        <f>Inventory[[#This Row],[Bsmt]]*Lookups!$B$89</f>
        <v>24079.809264516</v>
      </c>
      <c r="AZ1500" s="25">
        <f>Inventory[[#This Row],[Fixtures]]*Lookups!$B$90</f>
        <v>26544.1547364</v>
      </c>
      <c r="BA1500" s="25">
        <f>Inventory[[#This Row],[WdDeck]]*Lookups!$B$91</f>
        <v>0</v>
      </c>
      <c r="BB1500" s="25">
        <f>ROUND(Inventory[[#This Row],[25Det]],-2)</f>
        <v>12300</v>
      </c>
      <c r="BC1500" s="25">
        <f>ROUND(SUM(Inventory[[#This Row],[Mdl Qlty]:[Mdl WdDeck]])+Inventory[[#This Row],[Mdl Res Intercept]],-2)</f>
        <v>305600</v>
      </c>
      <c r="BD1500" s="25">
        <f>ROUND(Inventory[[#This Row],[Mdl Land Intercept]]+Inventory[[#This Row],[Mdl LnAcres]],-2)</f>
        <v>37300</v>
      </c>
      <c r="BE1500" s="25">
        <f>Inventory[[#This Row],[Unadj Res Value]]+Inventory[[#This Row],[Unadj Det Value]]+Inventory[[#This Row],[Unadj Land Value]]</f>
        <v>355200</v>
      </c>
      <c r="BF1500" s="36">
        <f>(Inventory[[#This Row],[Unadj Total Value]]-Inventory[[#This Row],[24Final]])/Inventory[[#This Row],[24Final]]</f>
        <v>0.1240506329113924</v>
      </c>
      <c r="BG1500" s="25">
        <f>VLOOKUP(Inventory[[#This Row],[Nbhd]],Lookups!$Q$2:$T$4,4,FALSE)</f>
        <v>0.99970000000000003</v>
      </c>
      <c r="BH1500" s="25">
        <f>VLOOKUP(Inventory[[#This Row],[Qlty]],Lookups!$O$7:$R$21,4,FALSE)</f>
        <v>1.0088999999999999</v>
      </c>
      <c r="BI1500" s="25">
        <f>VLOOKUP(Inventory[[#This Row],[Cnd]],Lookups!$T$7:$W$16,4,FALSE)</f>
        <v>0.99729999999999996</v>
      </c>
      <c r="BJ1500" s="25">
        <f>VLOOKUP(Inventory[[#This Row],[LivArea Range]],Lookups!$T$25:$W$37,4,FALSE)</f>
        <v>1.0093000000000001</v>
      </c>
      <c r="BK1500" s="25">
        <f>VLOOKUP(Inventory[[#This Row],[Decade]],Lookups!$O$25:$R$42,4,FALSE)</f>
        <v>0.98909999999999998</v>
      </c>
      <c r="BL1500" s="25">
        <f>Inventory[[#This Row],[Nbhd Adj]]*0.95</f>
        <v>0.94971499999999998</v>
      </c>
      <c r="BM1500" s="25">
        <f>Inventory[[#This Row],[Nbhd Adj]]*Inventory[[#This Row],[Quality Adj]]*Inventory[[#This Row],[Condition Adj]]*Inventory[[#This Row],[Living Area Adj]]*Inventory[[#This Row],[Decade Adj]]*0.95</f>
        <v>0.95395461550409388</v>
      </c>
      <c r="BN1500" s="25">
        <f>ROUND(SUM(Inventory[[#This Row],[Mdl Qlty]:[Mdl WdDeck]])+Inventory[[#This Row],[Mdl Res Intercept]]*Inventory[[#This Row],[Res Adj ]],-2)</f>
        <v>305600</v>
      </c>
      <c r="BO1500" s="25">
        <f>ROUND(Inventory[[#This Row],[25Det]]*Inventory[[#This Row],[Det/Nbhd Adj]],-2)</f>
        <v>11700</v>
      </c>
      <c r="BP1500" s="25">
        <f>Inventory[[#This Row],[Adjusted Res]]+Inventory[[#This Row],[Adj Det ]]</f>
        <v>317300</v>
      </c>
      <c r="BQ1500" s="25">
        <f>ROUND((Inventory[[#This Row],[Mdl Land Intercept]]+Inventory[[#This Row],[Mdl LnAcres]])*Inventory[[#This Row],[Det/Nbhd Adj]],-2)</f>
        <v>35400</v>
      </c>
      <c r="BR1500" s="25">
        <f>Inventory[[#This Row],[Adjusted Impr Total]]+Inventory[[#This Row],[Adjusted Land Total]]</f>
        <v>352700</v>
      </c>
      <c r="BS1500" s="36">
        <f>IFERROR((Inventory[[#This Row],[Adjusted Impr Total]]-Inventory[[#This Row],[24Bldg]])/Inventory[[#This Row],[24Bldg]],0)</f>
        <v>0.22320740169622205</v>
      </c>
      <c r="BT1500" s="36">
        <f>(Inventory[[#This Row],[Adjusted Land Total]]-Inventory[[#This Row],[24Lnd]])/Inventory[[#This Row],[24Lnd]]</f>
        <v>-0.37455830388692579</v>
      </c>
      <c r="BU1500" s="36">
        <f>(Inventory[[#This Row],[Adjusted Total]]-Inventory[[#This Row],[24Final]])/Inventory[[#This Row],[24Final]]</f>
        <v>0.11613924050632911</v>
      </c>
    </row>
    <row r="1501" spans="1:73" x14ac:dyDescent="0.3">
      <c r="A1501" s="25">
        <v>2025</v>
      </c>
      <c r="B1501" s="26" t="s">
        <v>2341</v>
      </c>
      <c r="C1501" s="26">
        <f>LN(Inventory[[#This Row],[Acres]])</f>
        <v>-1.8971199848858813</v>
      </c>
      <c r="D1501" s="25">
        <v>0.15</v>
      </c>
      <c r="E1501" s="31"/>
      <c r="F1501" s="26" t="s">
        <v>537</v>
      </c>
      <c r="G1501" s="26" t="s">
        <v>126</v>
      </c>
      <c r="H1501" s="26" t="s">
        <v>349</v>
      </c>
      <c r="I1501" s="26" t="s">
        <v>538</v>
      </c>
      <c r="J1501" s="26" t="s">
        <v>539</v>
      </c>
      <c r="K1501" s="26" t="s">
        <v>242</v>
      </c>
      <c r="L1501" s="26" t="s">
        <v>351</v>
      </c>
      <c r="M1501" s="26" t="s">
        <v>303</v>
      </c>
      <c r="N1501" s="26">
        <v>90</v>
      </c>
      <c r="O1501" s="26">
        <f>2024-Inventory[[#This Row],[YrBlt]]</f>
        <v>89</v>
      </c>
      <c r="P1501" s="26">
        <f>2024-Inventory[[#This Row],[EffYr]]</f>
        <v>53</v>
      </c>
      <c r="Q1501" s="25">
        <v>1935</v>
      </c>
      <c r="R1501" s="25">
        <v>1971</v>
      </c>
      <c r="S1501" s="25">
        <v>930</v>
      </c>
      <c r="T1501" s="27"/>
      <c r="U1501" s="31"/>
      <c r="V1501" s="27">
        <f>Inventory[[#This Row],[Bsmt]]-Inventory[[#This Row],[FnBsmt]]</f>
        <v>0</v>
      </c>
      <c r="W1501" s="27"/>
      <c r="X1501" s="27"/>
      <c r="Y1501" s="27">
        <f>Inventory[[#This Row],[MainFn]]+Inventory[[#This Row],[UpprFn]]+Inventory[[#This Row],[FnBsmt]]+Inventory[[#This Row],[AddFn]]</f>
        <v>930</v>
      </c>
      <c r="Z1501" s="27">
        <v>1000</v>
      </c>
      <c r="AA1501" s="25">
        <v>5</v>
      </c>
      <c r="AB1501" s="27"/>
      <c r="AC1501" s="27"/>
      <c r="AD1501" s="27"/>
      <c r="AE1501" s="27"/>
      <c r="AF1501" s="27"/>
      <c r="AG1501" s="27"/>
      <c r="AH1501" s="27"/>
      <c r="AI1501" s="25">
        <v>152165</v>
      </c>
      <c r="AJ1501" s="25">
        <v>104994</v>
      </c>
      <c r="AK1501" s="25">
        <v>8804</v>
      </c>
      <c r="AL1501" s="25">
        <v>277000</v>
      </c>
      <c r="AM1501" s="25">
        <v>48400</v>
      </c>
      <c r="AN1501" s="25">
        <v>228600</v>
      </c>
      <c r="AO1501" s="25">
        <v>0</v>
      </c>
      <c r="AP1501" s="25">
        <f>Lookups!$B$56*0</f>
        <v>0</v>
      </c>
      <c r="AQ1501" s="25">
        <f>Lookups!$B$56*1</f>
        <v>89850.625589999996</v>
      </c>
      <c r="AR1501" s="25">
        <f>Lookups!$B$57*Inventory[[#This Row],[LnAcres]]</f>
        <v>-60052.604136134301</v>
      </c>
      <c r="AS1501" s="25">
        <f>VLOOKUP(Inventory[[#This Row],[Qlty]],Lookups!$A$62:$E$75,2,FALSE)</f>
        <v>21557.329055999999</v>
      </c>
      <c r="AT1501" s="25">
        <f>VLOOKUP(Inventory[[#This Row],[Cnd]],Lookups!$A$76:$E$84,2,FALSE)</f>
        <v>197752.34721000001</v>
      </c>
      <c r="AU1501" s="25">
        <f>Inventory[[#This Row],[EffAge]]*Lookups!$B$85</f>
        <v>-11821.416826500001</v>
      </c>
      <c r="AV1501" s="25">
        <f>Inventory[[#This Row],[MainFn]]*Lookups!$B$86</f>
        <v>45950.062985609999</v>
      </c>
      <c r="AW1501" s="25">
        <f>Inventory[[#This Row],[UpprFn]]*Lookups!$B$87</f>
        <v>0</v>
      </c>
      <c r="AX1501" s="25">
        <f>Inventory[[#This Row],[AddFn]]*Lookups!$B$88</f>
        <v>0</v>
      </c>
      <c r="AY1501" s="25">
        <f>Inventory[[#This Row],[Bsmt]]*Lookups!$B$89</f>
        <v>0</v>
      </c>
      <c r="AZ1501" s="25">
        <f>Inventory[[#This Row],[Fixtures]]*Lookups!$B$90</f>
        <v>18960.110526</v>
      </c>
      <c r="BA1501" s="25">
        <f>Inventory[[#This Row],[WdDeck]]*Lookups!$B$91</f>
        <v>0</v>
      </c>
      <c r="BB1501" s="25">
        <f>ROUND(Inventory[[#This Row],[25Det]],-2)</f>
        <v>8800</v>
      </c>
      <c r="BC1501" s="25">
        <f>ROUND(SUM(Inventory[[#This Row],[Mdl Qlty]:[Mdl WdDeck]])+Inventory[[#This Row],[Mdl Res Intercept]],-2)</f>
        <v>272400</v>
      </c>
      <c r="BD1501" s="25">
        <f>ROUND(Inventory[[#This Row],[Mdl Land Intercept]]+Inventory[[#This Row],[Mdl LnAcres]],-2)</f>
        <v>29800</v>
      </c>
      <c r="BE1501" s="25">
        <f>Inventory[[#This Row],[Unadj Res Value]]+Inventory[[#This Row],[Unadj Det Value]]+Inventory[[#This Row],[Unadj Land Value]]</f>
        <v>311000</v>
      </c>
      <c r="BF1501" s="36">
        <f>(Inventory[[#This Row],[Unadj Total Value]]-Inventory[[#This Row],[24Final]])/Inventory[[#This Row],[24Final]]</f>
        <v>0.12274368231046931</v>
      </c>
      <c r="BG1501" s="25">
        <f>VLOOKUP(Inventory[[#This Row],[Nbhd]],Lookups!$Q$2:$T$4,4,FALSE)</f>
        <v>0.99970000000000003</v>
      </c>
      <c r="BH1501" s="25">
        <f>VLOOKUP(Inventory[[#This Row],[Qlty]],Lookups!$O$7:$R$21,4,FALSE)</f>
        <v>1.0067999999999999</v>
      </c>
      <c r="BI1501" s="25">
        <f>VLOOKUP(Inventory[[#This Row],[Cnd]],Lookups!$T$7:$W$16,4,FALSE)</f>
        <v>0.99650000000000005</v>
      </c>
      <c r="BJ1501" s="25">
        <f>VLOOKUP(Inventory[[#This Row],[LivArea Range]],Lookups!$T$25:$W$37,4,FALSE)</f>
        <v>1.0148999999999999</v>
      </c>
      <c r="BK1501" s="25">
        <f>VLOOKUP(Inventory[[#This Row],[Decade]],Lookups!$O$25:$R$42,4,FALSE)</f>
        <v>0.98909999999999998</v>
      </c>
      <c r="BL1501" s="25">
        <f>Inventory[[#This Row],[Nbhd Adj]]*0.95</f>
        <v>0.94971499999999998</v>
      </c>
      <c r="BM1501" s="25">
        <f>Inventory[[#This Row],[Nbhd Adj]]*Inventory[[#This Row],[Quality Adj]]*Inventory[[#This Row],[Condition Adj]]*Inventory[[#This Row],[Living Area Adj]]*Inventory[[#This Row],[Decade Adj]]*0.95</f>
        <v>0.95648301356336674</v>
      </c>
      <c r="BN1501" s="25">
        <f>ROUND(SUM(Inventory[[#This Row],[Mdl Qlty]:[Mdl WdDeck]])+Inventory[[#This Row],[Mdl Res Intercept]]*Inventory[[#This Row],[Res Adj ]],-2)</f>
        <v>272400</v>
      </c>
      <c r="BO1501" s="25">
        <f>ROUND(Inventory[[#This Row],[25Det]]*Inventory[[#This Row],[Det/Nbhd Adj]],-2)</f>
        <v>8400</v>
      </c>
      <c r="BP1501" s="25">
        <f>Inventory[[#This Row],[Adjusted Res]]+Inventory[[#This Row],[Adj Det ]]</f>
        <v>280800</v>
      </c>
      <c r="BQ1501" s="25">
        <f>ROUND((Inventory[[#This Row],[Mdl Land Intercept]]+Inventory[[#This Row],[Mdl LnAcres]])*Inventory[[#This Row],[Det/Nbhd Adj]],-2)</f>
        <v>28300</v>
      </c>
      <c r="BR1501" s="25">
        <f>Inventory[[#This Row],[Adjusted Impr Total]]+Inventory[[#This Row],[Adjusted Land Total]]</f>
        <v>309100</v>
      </c>
      <c r="BS1501" s="36">
        <f>IFERROR((Inventory[[#This Row],[Adjusted Impr Total]]-Inventory[[#This Row],[24Bldg]])/Inventory[[#This Row],[24Bldg]],0)</f>
        <v>0.2283464566929134</v>
      </c>
      <c r="BT1501" s="36">
        <f>(Inventory[[#This Row],[Adjusted Land Total]]-Inventory[[#This Row],[24Lnd]])/Inventory[[#This Row],[24Lnd]]</f>
        <v>-0.41528925619834711</v>
      </c>
      <c r="BU1501" s="36">
        <f>(Inventory[[#This Row],[Adjusted Total]]-Inventory[[#This Row],[24Final]])/Inventory[[#This Row],[24Final]]</f>
        <v>0.11588447653429602</v>
      </c>
    </row>
    <row r="1502" spans="1:73" x14ac:dyDescent="0.3">
      <c r="A1502" s="25">
        <v>2025</v>
      </c>
      <c r="B1502" s="26" t="s">
        <v>1800</v>
      </c>
      <c r="C1502" s="26">
        <f>LN(Inventory[[#This Row],[Acres]])</f>
        <v>-2.120263536200091</v>
      </c>
      <c r="D1502" s="25">
        <v>0.12</v>
      </c>
      <c r="E1502" s="31"/>
      <c r="F1502" s="26" t="s">
        <v>537</v>
      </c>
      <c r="G1502" s="26" t="s">
        <v>126</v>
      </c>
      <c r="H1502" s="26" t="s">
        <v>349</v>
      </c>
      <c r="I1502" s="26" t="s">
        <v>538</v>
      </c>
      <c r="J1502" s="26" t="s">
        <v>638</v>
      </c>
      <c r="K1502" s="26" t="s">
        <v>269</v>
      </c>
      <c r="L1502" s="26" t="s">
        <v>302</v>
      </c>
      <c r="M1502" s="26" t="s">
        <v>206</v>
      </c>
      <c r="N1502" s="26">
        <v>90</v>
      </c>
      <c r="O1502" s="26">
        <f>2024-Inventory[[#This Row],[YrBlt]]</f>
        <v>89</v>
      </c>
      <c r="P1502" s="26">
        <f>2024-Inventory[[#This Row],[EffYr]]</f>
        <v>53</v>
      </c>
      <c r="Q1502" s="25">
        <v>1935</v>
      </c>
      <c r="R1502" s="25">
        <v>1971</v>
      </c>
      <c r="S1502" s="25">
        <v>740</v>
      </c>
      <c r="T1502" s="32">
        <v>360</v>
      </c>
      <c r="U1502" s="25">
        <v>520</v>
      </c>
      <c r="V1502" s="32">
        <f>Inventory[[#This Row],[Bsmt]]-Inventory[[#This Row],[FnBsmt]]</f>
        <v>520</v>
      </c>
      <c r="W1502" s="27"/>
      <c r="X1502" s="27"/>
      <c r="Y1502" s="27">
        <f>Inventory[[#This Row],[MainFn]]+Inventory[[#This Row],[UpprFn]]+Inventory[[#This Row],[FnBsmt]]+Inventory[[#This Row],[AddFn]]</f>
        <v>1100</v>
      </c>
      <c r="Z1502" s="27">
        <v>1500</v>
      </c>
      <c r="AA1502" s="25">
        <v>7</v>
      </c>
      <c r="AB1502" s="27"/>
      <c r="AC1502" s="32">
        <v>220</v>
      </c>
      <c r="AD1502" s="27"/>
      <c r="AE1502" s="27"/>
      <c r="AF1502" s="27"/>
      <c r="AG1502" s="27"/>
      <c r="AH1502" s="27"/>
      <c r="AI1502" s="25">
        <v>243433</v>
      </c>
      <c r="AJ1502" s="25">
        <v>158231</v>
      </c>
      <c r="AK1502" s="25">
        <v>0</v>
      </c>
      <c r="AL1502" s="25">
        <v>240900</v>
      </c>
      <c r="AM1502" s="25">
        <v>40600</v>
      </c>
      <c r="AN1502" s="25">
        <v>200300</v>
      </c>
      <c r="AO1502" s="25">
        <v>0</v>
      </c>
      <c r="AP1502" s="25">
        <f>Lookups!$B$56*0</f>
        <v>0</v>
      </c>
      <c r="AQ1502" s="25">
        <f>Lookups!$B$56*1</f>
        <v>89850.625589999996</v>
      </c>
      <c r="AR1502" s="25">
        <f>Lookups!$B$57*Inventory[[#This Row],[LnAcres]]</f>
        <v>-67116.12750806773</v>
      </c>
      <c r="AS1502" s="25">
        <f>VLOOKUP(Inventory[[#This Row],[Qlty]],Lookups!$A$62:$E$75,2,FALSE)</f>
        <v>29814.093161000001</v>
      </c>
      <c r="AT1502" s="25">
        <f>VLOOKUP(Inventory[[#This Row],[Cnd]],Lookups!$A$76:$E$84,2,FALSE)</f>
        <v>133714.53821</v>
      </c>
      <c r="AU1502" s="25">
        <f>Inventory[[#This Row],[EffAge]]*Lookups!$B$85</f>
        <v>-11821.416826500001</v>
      </c>
      <c r="AV1502" s="25">
        <f>Inventory[[#This Row],[MainFn]]*Lookups!$B$86</f>
        <v>36562.415708979999</v>
      </c>
      <c r="AW1502" s="25">
        <f>Inventory[[#This Row],[UpprFn]]*Lookups!$B$87</f>
        <v>16123.112229959999</v>
      </c>
      <c r="AX1502" s="25">
        <f>Inventory[[#This Row],[AddFn]]*Lookups!$B$88</f>
        <v>0</v>
      </c>
      <c r="AY1502" s="25">
        <f>Inventory[[#This Row],[Bsmt]]*Lookups!$B$89</f>
        <v>15122.585528439999</v>
      </c>
      <c r="AZ1502" s="25">
        <f>Inventory[[#This Row],[Fixtures]]*Lookups!$B$90</f>
        <v>26544.1547364</v>
      </c>
      <c r="BA1502" s="25">
        <f>Inventory[[#This Row],[WdDeck]]*Lookups!$B$91</f>
        <v>0</v>
      </c>
      <c r="BB1502" s="25">
        <f>ROUND(Inventory[[#This Row],[25Det]],-2)</f>
        <v>0</v>
      </c>
      <c r="BC1502" s="25">
        <f>ROUND(SUM(Inventory[[#This Row],[Mdl Qlty]:[Mdl WdDeck]])+Inventory[[#This Row],[Mdl Res Intercept]],-2)</f>
        <v>246100</v>
      </c>
      <c r="BD1502" s="25">
        <f>ROUND(Inventory[[#This Row],[Mdl Land Intercept]]+Inventory[[#This Row],[Mdl LnAcres]],-2)</f>
        <v>22700</v>
      </c>
      <c r="BE1502" s="25">
        <f>Inventory[[#This Row],[Unadj Res Value]]+Inventory[[#This Row],[Unadj Det Value]]+Inventory[[#This Row],[Unadj Land Value]]</f>
        <v>268800</v>
      </c>
      <c r="BF1502" s="36">
        <f>(Inventory[[#This Row],[Unadj Total Value]]-Inventory[[#This Row],[24Final]])/Inventory[[#This Row],[24Final]]</f>
        <v>0.11581569115815692</v>
      </c>
      <c r="BG1502" s="25">
        <f>VLOOKUP(Inventory[[#This Row],[Nbhd]],Lookups!$Q$2:$T$4,4,FALSE)</f>
        <v>0.99970000000000003</v>
      </c>
      <c r="BH1502" s="25">
        <f>VLOOKUP(Inventory[[#This Row],[Qlty]],Lookups!$O$7:$R$21,4,FALSE)</f>
        <v>1.0088999999999999</v>
      </c>
      <c r="BI1502" s="25">
        <f>VLOOKUP(Inventory[[#This Row],[Cnd]],Lookups!$T$7:$W$16,4,FALSE)</f>
        <v>0.99329999999999996</v>
      </c>
      <c r="BJ1502" s="25">
        <f>VLOOKUP(Inventory[[#This Row],[LivArea Range]],Lookups!$T$25:$W$37,4,FALSE)</f>
        <v>1.0157</v>
      </c>
      <c r="BK1502" s="25">
        <f>VLOOKUP(Inventory[[#This Row],[Decade]],Lookups!$O$25:$R$42,4,FALSE)</f>
        <v>0.98909999999999998</v>
      </c>
      <c r="BL1502" s="25">
        <f>Inventory[[#This Row],[Nbhd Adj]]*0.95</f>
        <v>0.94971499999999998</v>
      </c>
      <c r="BM1502" s="25">
        <f>Inventory[[#This Row],[Nbhd Adj]]*Inventory[[#This Row],[Quality Adj]]*Inventory[[#This Row],[Condition Adj]]*Inventory[[#This Row],[Living Area Adj]]*Inventory[[#This Row],[Decade Adj]]*0.95</f>
        <v>0.95615325806272178</v>
      </c>
      <c r="BN1502" s="25">
        <f>ROUND(SUM(Inventory[[#This Row],[Mdl Qlty]:[Mdl WdDeck]])+Inventory[[#This Row],[Mdl Res Intercept]]*Inventory[[#This Row],[Res Adj ]],-2)</f>
        <v>246100</v>
      </c>
      <c r="BO1502" s="25">
        <f>ROUND(Inventory[[#This Row],[25Det]]*Inventory[[#This Row],[Det/Nbhd Adj]],-2)</f>
        <v>0</v>
      </c>
      <c r="BP1502" s="25">
        <f>Inventory[[#This Row],[Adjusted Res]]+Inventory[[#This Row],[Adj Det ]]</f>
        <v>246100</v>
      </c>
      <c r="BQ1502" s="25">
        <f>ROUND((Inventory[[#This Row],[Mdl Land Intercept]]+Inventory[[#This Row],[Mdl LnAcres]])*Inventory[[#This Row],[Det/Nbhd Adj]],-2)</f>
        <v>21600</v>
      </c>
      <c r="BR1502" s="25">
        <f>Inventory[[#This Row],[Adjusted Impr Total]]+Inventory[[#This Row],[Adjusted Land Total]]</f>
        <v>267700</v>
      </c>
      <c r="BS1502" s="36">
        <f>IFERROR((Inventory[[#This Row],[Adjusted Impr Total]]-Inventory[[#This Row],[24Bldg]])/Inventory[[#This Row],[24Bldg]],0)</f>
        <v>0.22865701447828257</v>
      </c>
      <c r="BT1502" s="36">
        <f>(Inventory[[#This Row],[Adjusted Land Total]]-Inventory[[#This Row],[24Lnd]])/Inventory[[#This Row],[24Lnd]]</f>
        <v>-0.46798029556650245</v>
      </c>
      <c r="BU1502" s="36">
        <f>(Inventory[[#This Row],[Adjusted Total]]-Inventory[[#This Row],[24Final]])/Inventory[[#This Row],[24Final]]</f>
        <v>0.11124948111249482</v>
      </c>
    </row>
    <row r="1503" spans="1:73" x14ac:dyDescent="0.3">
      <c r="A1503" s="25">
        <v>2025</v>
      </c>
      <c r="B1503" s="26" t="s">
        <v>1082</v>
      </c>
      <c r="C1503" s="26">
        <f>LN(Inventory[[#This Row],[Acres]])</f>
        <v>-1.7719568419318752</v>
      </c>
      <c r="D1503" s="25">
        <v>0.17</v>
      </c>
      <c r="E1503" s="25">
        <v>7439</v>
      </c>
      <c r="F1503" s="26" t="s">
        <v>537</v>
      </c>
      <c r="G1503" s="26" t="s">
        <v>126</v>
      </c>
      <c r="H1503" s="26" t="s">
        <v>349</v>
      </c>
      <c r="I1503" s="26" t="s">
        <v>538</v>
      </c>
      <c r="J1503" s="26" t="s">
        <v>539</v>
      </c>
      <c r="K1503" s="26" t="s">
        <v>242</v>
      </c>
      <c r="L1503" s="26" t="s">
        <v>351</v>
      </c>
      <c r="M1503" s="26" t="s">
        <v>323</v>
      </c>
      <c r="N1503" s="26">
        <v>90</v>
      </c>
      <c r="O1503" s="26">
        <f>2024-Inventory[[#This Row],[YrBlt]]</f>
        <v>89</v>
      </c>
      <c r="P1503" s="26">
        <f>2024-Inventory[[#This Row],[EffYr]]</f>
        <v>53</v>
      </c>
      <c r="Q1503" s="25">
        <v>1935</v>
      </c>
      <c r="R1503" s="25">
        <v>1971</v>
      </c>
      <c r="S1503" s="25">
        <v>1140</v>
      </c>
      <c r="T1503" s="27"/>
      <c r="U1503" s="25">
        <v>1140</v>
      </c>
      <c r="V1503" s="25">
        <f>Inventory[[#This Row],[Bsmt]]-Inventory[[#This Row],[FnBsmt]]</f>
        <v>114</v>
      </c>
      <c r="W1503" s="25">
        <v>1026</v>
      </c>
      <c r="X1503" s="27"/>
      <c r="Y1503" s="27">
        <f>Inventory[[#This Row],[MainFn]]+Inventory[[#This Row],[UpprFn]]+Inventory[[#This Row],[FnBsmt]]+Inventory[[#This Row],[AddFn]]</f>
        <v>2166</v>
      </c>
      <c r="Z1503" s="27">
        <v>2500</v>
      </c>
      <c r="AA1503" s="25">
        <v>10</v>
      </c>
      <c r="AB1503" s="27"/>
      <c r="AC1503" s="27"/>
      <c r="AD1503" s="32">
        <v>885</v>
      </c>
      <c r="AE1503" s="27"/>
      <c r="AF1503" s="27"/>
      <c r="AG1503" s="27"/>
      <c r="AH1503" s="27"/>
      <c r="AI1503" s="25">
        <v>308516</v>
      </c>
      <c r="AJ1503" s="25">
        <v>206706</v>
      </c>
      <c r="AK1503" s="25">
        <v>0</v>
      </c>
      <c r="AL1503" s="25">
        <v>323500</v>
      </c>
      <c r="AM1503" s="25">
        <v>52700</v>
      </c>
      <c r="AN1503" s="25">
        <v>270800</v>
      </c>
      <c r="AO1503" s="25">
        <v>0</v>
      </c>
      <c r="AP1503" s="25">
        <f>Lookups!$B$56*0</f>
        <v>0</v>
      </c>
      <c r="AQ1503" s="25">
        <f>Lookups!$B$56*1</f>
        <v>89850.625589999996</v>
      </c>
      <c r="AR1503" s="25">
        <f>Lookups!$B$57*Inventory[[#This Row],[LnAcres]]</f>
        <v>-56090.612940989391</v>
      </c>
      <c r="AS1503" s="25">
        <f>VLOOKUP(Inventory[[#This Row],[Qlty]],Lookups!$A$62:$E$75,2,FALSE)</f>
        <v>21557.329055999999</v>
      </c>
      <c r="AT1503" s="25">
        <f>VLOOKUP(Inventory[[#This Row],[Cnd]],Lookups!$A$76:$E$84,2,FALSE)</f>
        <v>160472.20319</v>
      </c>
      <c r="AU1503" s="25">
        <f>Inventory[[#This Row],[EffAge]]*Lookups!$B$85</f>
        <v>-11821.416826500001</v>
      </c>
      <c r="AV1503" s="25">
        <f>Inventory[[#This Row],[MainFn]]*Lookups!$B$86</f>
        <v>56325.883659780004</v>
      </c>
      <c r="AW1503" s="25">
        <f>Inventory[[#This Row],[UpprFn]]*Lookups!$B$87</f>
        <v>0</v>
      </c>
      <c r="AX1503" s="25">
        <f>Inventory[[#This Row],[AddFn]]*Lookups!$B$88</f>
        <v>0</v>
      </c>
      <c r="AY1503" s="25">
        <f>Inventory[[#This Row],[Bsmt]]*Lookups!$B$89</f>
        <v>33153.360581579997</v>
      </c>
      <c r="AZ1503" s="25">
        <f>Inventory[[#This Row],[Fixtures]]*Lookups!$B$90</f>
        <v>37920.221052000001</v>
      </c>
      <c r="BA1503" s="25">
        <f>Inventory[[#This Row],[WdDeck]]*Lookups!$B$91</f>
        <v>29466.531019260005</v>
      </c>
      <c r="BB1503" s="25">
        <f>ROUND(Inventory[[#This Row],[25Det]],-2)</f>
        <v>0</v>
      </c>
      <c r="BC1503" s="25">
        <f>ROUND(SUM(Inventory[[#This Row],[Mdl Qlty]:[Mdl WdDeck]])+Inventory[[#This Row],[Mdl Res Intercept]],-2)</f>
        <v>327100</v>
      </c>
      <c r="BD1503" s="25">
        <f>ROUND(Inventory[[#This Row],[Mdl Land Intercept]]+Inventory[[#This Row],[Mdl LnAcres]],-2)</f>
        <v>33800</v>
      </c>
      <c r="BE1503" s="25">
        <f>Inventory[[#This Row],[Unadj Res Value]]+Inventory[[#This Row],[Unadj Det Value]]+Inventory[[#This Row],[Unadj Land Value]]</f>
        <v>360900</v>
      </c>
      <c r="BF1503" s="36">
        <f>(Inventory[[#This Row],[Unadj Total Value]]-Inventory[[#This Row],[24Final]])/Inventory[[#This Row],[24Final]]</f>
        <v>0.11561051004636785</v>
      </c>
      <c r="BG1503" s="25">
        <f>VLOOKUP(Inventory[[#This Row],[Nbhd]],Lookups!$Q$2:$T$4,4,FALSE)</f>
        <v>0.99970000000000003</v>
      </c>
      <c r="BH1503" s="25">
        <f>VLOOKUP(Inventory[[#This Row],[Qlty]],Lookups!$O$7:$R$21,4,FALSE)</f>
        <v>1.0067999999999999</v>
      </c>
      <c r="BI1503" s="25">
        <f>VLOOKUP(Inventory[[#This Row],[Cnd]],Lookups!$T$7:$W$16,4,FALSE)</f>
        <v>0.99729999999999996</v>
      </c>
      <c r="BJ1503" s="25">
        <f>VLOOKUP(Inventory[[#This Row],[LivArea Range]],Lookups!$T$25:$W$37,4,FALSE)</f>
        <v>0.98919999999999997</v>
      </c>
      <c r="BK1503" s="25">
        <f>VLOOKUP(Inventory[[#This Row],[Decade]],Lookups!$O$25:$R$42,4,FALSE)</f>
        <v>0.98909999999999998</v>
      </c>
      <c r="BL1503" s="25">
        <f>Inventory[[#This Row],[Nbhd Adj]]*0.95</f>
        <v>0.94971499999999998</v>
      </c>
      <c r="BM1503" s="25">
        <f>Inventory[[#This Row],[Nbhd Adj]]*Inventory[[#This Row],[Quality Adj]]*Inventory[[#This Row],[Condition Adj]]*Inventory[[#This Row],[Living Area Adj]]*Inventory[[#This Row],[Decade Adj]]*0.95</f>
        <v>0.93301071824589021</v>
      </c>
      <c r="BN1503" s="25">
        <f>ROUND(SUM(Inventory[[#This Row],[Mdl Qlty]:[Mdl WdDeck]])+Inventory[[#This Row],[Mdl Res Intercept]]*Inventory[[#This Row],[Res Adj ]],-2)</f>
        <v>327100</v>
      </c>
      <c r="BO1503" s="25">
        <f>ROUND(Inventory[[#This Row],[25Det]]*Inventory[[#This Row],[Det/Nbhd Adj]],-2)</f>
        <v>0</v>
      </c>
      <c r="BP1503" s="25">
        <f>Inventory[[#This Row],[Adjusted Res]]+Inventory[[#This Row],[Adj Det ]]</f>
        <v>327100</v>
      </c>
      <c r="BQ1503" s="25">
        <f>ROUND((Inventory[[#This Row],[Mdl Land Intercept]]+Inventory[[#This Row],[Mdl LnAcres]])*Inventory[[#This Row],[Det/Nbhd Adj]],-2)</f>
        <v>32100</v>
      </c>
      <c r="BR1503" s="25">
        <f>Inventory[[#This Row],[Adjusted Impr Total]]+Inventory[[#This Row],[Adjusted Land Total]]</f>
        <v>359200</v>
      </c>
      <c r="BS1503" s="36">
        <f>IFERROR((Inventory[[#This Row],[Adjusted Impr Total]]-Inventory[[#This Row],[24Bldg]])/Inventory[[#This Row],[24Bldg]],0)</f>
        <v>0.20790251107828656</v>
      </c>
      <c r="BT1503" s="36">
        <f>(Inventory[[#This Row],[Adjusted Land Total]]-Inventory[[#This Row],[24Lnd]])/Inventory[[#This Row],[24Lnd]]</f>
        <v>-0.39089184060721061</v>
      </c>
      <c r="BU1503" s="36">
        <f>(Inventory[[#This Row],[Adjusted Total]]-Inventory[[#This Row],[24Final]])/Inventory[[#This Row],[24Final]]</f>
        <v>0.11035548686244204</v>
      </c>
    </row>
    <row r="1504" spans="1:73" x14ac:dyDescent="0.3">
      <c r="A1504" s="25">
        <v>2025</v>
      </c>
      <c r="B1504" s="26" t="s">
        <v>844</v>
      </c>
      <c r="C1504" s="26">
        <f>LN(Inventory[[#This Row],[Acres]])</f>
        <v>-1.6607312068216509</v>
      </c>
      <c r="D1504" s="25">
        <v>0.19</v>
      </c>
      <c r="E1504" s="25">
        <v>8202</v>
      </c>
      <c r="F1504" s="26" t="s">
        <v>537</v>
      </c>
      <c r="G1504" s="26" t="s">
        <v>126</v>
      </c>
      <c r="H1504" s="26" t="s">
        <v>349</v>
      </c>
      <c r="I1504" s="26" t="s">
        <v>538</v>
      </c>
      <c r="J1504" s="26" t="s">
        <v>539</v>
      </c>
      <c r="K1504" s="26" t="s">
        <v>269</v>
      </c>
      <c r="L1504" s="26" t="s">
        <v>351</v>
      </c>
      <c r="M1504" s="26" t="s">
        <v>303</v>
      </c>
      <c r="N1504" s="26">
        <v>90</v>
      </c>
      <c r="O1504" s="26">
        <f>2024-Inventory[[#This Row],[YrBlt]]</f>
        <v>89</v>
      </c>
      <c r="P1504" s="26">
        <f>2024-Inventory[[#This Row],[EffYr]]</f>
        <v>33</v>
      </c>
      <c r="Q1504" s="25">
        <v>1935</v>
      </c>
      <c r="R1504" s="25">
        <v>1991</v>
      </c>
      <c r="S1504" s="25">
        <v>898</v>
      </c>
      <c r="T1504" s="27"/>
      <c r="U1504" s="25">
        <v>888</v>
      </c>
      <c r="V1504" s="32">
        <f>Inventory[[#This Row],[Bsmt]]-Inventory[[#This Row],[FnBsmt]]</f>
        <v>0</v>
      </c>
      <c r="W1504" s="32">
        <v>888</v>
      </c>
      <c r="X1504" s="27"/>
      <c r="Y1504" s="27">
        <f>Inventory[[#This Row],[MainFn]]+Inventory[[#This Row],[UpprFn]]+Inventory[[#This Row],[FnBsmt]]+Inventory[[#This Row],[AddFn]]</f>
        <v>1786</v>
      </c>
      <c r="Z1504" s="27">
        <v>2000</v>
      </c>
      <c r="AA1504" s="25">
        <v>9</v>
      </c>
      <c r="AB1504" s="27"/>
      <c r="AC1504" s="27"/>
      <c r="AD1504" s="32">
        <v>346</v>
      </c>
      <c r="AE1504" s="27"/>
      <c r="AF1504" s="27"/>
      <c r="AG1504" s="27"/>
      <c r="AH1504" s="27"/>
      <c r="AI1504" s="25">
        <v>243496</v>
      </c>
      <c r="AJ1504" s="25">
        <v>206972</v>
      </c>
      <c r="AK1504" s="25">
        <v>23025</v>
      </c>
      <c r="AL1504" s="25">
        <v>347200</v>
      </c>
      <c r="AM1504" s="25">
        <v>56600</v>
      </c>
      <c r="AN1504" s="25">
        <v>290600</v>
      </c>
      <c r="AO1504" s="25">
        <v>0</v>
      </c>
      <c r="AP1504" s="25">
        <f>Lookups!$B$56*0</f>
        <v>0</v>
      </c>
      <c r="AQ1504" s="25">
        <f>Lookups!$B$56*1</f>
        <v>89850.625589999996</v>
      </c>
      <c r="AR1504" s="25">
        <f>Lookups!$B$57*Inventory[[#This Row],[LnAcres]]</f>
        <v>-52569.808201026557</v>
      </c>
      <c r="AS1504" s="25">
        <f>VLOOKUP(Inventory[[#This Row],[Qlty]],Lookups!$A$62:$E$75,2,FALSE)</f>
        <v>21557.329055999999</v>
      </c>
      <c r="AT1504" s="25">
        <f>VLOOKUP(Inventory[[#This Row],[Cnd]],Lookups!$A$76:$E$84,2,FALSE)</f>
        <v>197752.34721000001</v>
      </c>
      <c r="AU1504" s="25">
        <f>Inventory[[#This Row],[EffAge]]*Lookups!$B$85</f>
        <v>-7360.5048164999998</v>
      </c>
      <c r="AV1504" s="25">
        <f>Inventory[[#This Row],[MainFn]]*Lookups!$B$86</f>
        <v>44368.985549546</v>
      </c>
      <c r="AW1504" s="25">
        <f>Inventory[[#This Row],[UpprFn]]*Lookups!$B$87</f>
        <v>0</v>
      </c>
      <c r="AX1504" s="25">
        <f>Inventory[[#This Row],[AddFn]]*Lookups!$B$88</f>
        <v>0</v>
      </c>
      <c r="AY1504" s="25">
        <f>Inventory[[#This Row],[Bsmt]]*Lookups!$B$89</f>
        <v>25824.722979335998</v>
      </c>
      <c r="AZ1504" s="25">
        <f>Inventory[[#This Row],[Fixtures]]*Lookups!$B$90</f>
        <v>34128.198946800003</v>
      </c>
      <c r="BA1504" s="25">
        <f>Inventory[[#This Row],[WdDeck]]*Lookups!$B$91</f>
        <v>11520.248285496002</v>
      </c>
      <c r="BB1504" s="25">
        <f>ROUND(Inventory[[#This Row],[25Det]],-2)</f>
        <v>23000</v>
      </c>
      <c r="BC1504" s="25">
        <f>ROUND(SUM(Inventory[[#This Row],[Mdl Qlty]:[Mdl WdDeck]])+Inventory[[#This Row],[Mdl Res Intercept]],-2)</f>
        <v>327800</v>
      </c>
      <c r="BD1504" s="25">
        <f>ROUND(Inventory[[#This Row],[Mdl Land Intercept]]+Inventory[[#This Row],[Mdl LnAcres]],-2)</f>
        <v>37300</v>
      </c>
      <c r="BE1504" s="25">
        <f>Inventory[[#This Row],[Unadj Res Value]]+Inventory[[#This Row],[Unadj Det Value]]+Inventory[[#This Row],[Unadj Land Value]]</f>
        <v>388100</v>
      </c>
      <c r="BF1504" s="36">
        <f>(Inventory[[#This Row],[Unadj Total Value]]-Inventory[[#This Row],[24Final]])/Inventory[[#This Row],[24Final]]</f>
        <v>0.11779953917050691</v>
      </c>
      <c r="BG1504" s="25">
        <f>VLOOKUP(Inventory[[#This Row],[Nbhd]],Lookups!$Q$2:$T$4,4,FALSE)</f>
        <v>0.99970000000000003</v>
      </c>
      <c r="BH1504" s="25">
        <f>VLOOKUP(Inventory[[#This Row],[Qlty]],Lookups!$O$7:$R$21,4,FALSE)</f>
        <v>1.0067999999999999</v>
      </c>
      <c r="BI1504" s="25">
        <f>VLOOKUP(Inventory[[#This Row],[Cnd]],Lookups!$T$7:$W$16,4,FALSE)</f>
        <v>0.99650000000000005</v>
      </c>
      <c r="BJ1504" s="25">
        <f>VLOOKUP(Inventory[[#This Row],[LivArea Range]],Lookups!$T$25:$W$37,4,FALSE)</f>
        <v>1.0093000000000001</v>
      </c>
      <c r="BK1504" s="25">
        <f>VLOOKUP(Inventory[[#This Row],[Decade]],Lookups!$O$25:$R$42,4,FALSE)</f>
        <v>0.98909999999999998</v>
      </c>
      <c r="BL1504" s="25">
        <f>Inventory[[#This Row],[Nbhd Adj]]*0.95</f>
        <v>0.94971499999999998</v>
      </c>
      <c r="BM1504" s="25">
        <f>Inventory[[#This Row],[Nbhd Adj]]*Inventory[[#This Row],[Quality Adj]]*Inventory[[#This Row],[Condition Adj]]*Inventory[[#This Row],[Living Area Adj]]*Inventory[[#This Row],[Decade Adj]]*0.95</f>
        <v>0.95120534593507355</v>
      </c>
      <c r="BN1504" s="25">
        <f>ROUND(SUM(Inventory[[#This Row],[Mdl Qlty]:[Mdl WdDeck]])+Inventory[[#This Row],[Mdl Res Intercept]]*Inventory[[#This Row],[Res Adj ]],-2)</f>
        <v>327800</v>
      </c>
      <c r="BO1504" s="25">
        <f>ROUND(Inventory[[#This Row],[25Det]]*Inventory[[#This Row],[Det/Nbhd Adj]],-2)</f>
        <v>21900</v>
      </c>
      <c r="BP1504" s="25">
        <f>Inventory[[#This Row],[Adjusted Res]]+Inventory[[#This Row],[Adj Det ]]</f>
        <v>349700</v>
      </c>
      <c r="BQ1504" s="25">
        <f>ROUND((Inventory[[#This Row],[Mdl Land Intercept]]+Inventory[[#This Row],[Mdl LnAcres]])*Inventory[[#This Row],[Det/Nbhd Adj]],-2)</f>
        <v>35400</v>
      </c>
      <c r="BR1504" s="25">
        <f>Inventory[[#This Row],[Adjusted Impr Total]]+Inventory[[#This Row],[Adjusted Land Total]]</f>
        <v>385100</v>
      </c>
      <c r="BS1504" s="36">
        <f>IFERROR((Inventory[[#This Row],[Adjusted Impr Total]]-Inventory[[#This Row],[24Bldg]])/Inventory[[#This Row],[24Bldg]],0)</f>
        <v>0.20337233310392291</v>
      </c>
      <c r="BT1504" s="36">
        <f>(Inventory[[#This Row],[Adjusted Land Total]]-Inventory[[#This Row],[24Lnd]])/Inventory[[#This Row],[24Lnd]]</f>
        <v>-0.37455830388692579</v>
      </c>
      <c r="BU1504" s="36">
        <f>(Inventory[[#This Row],[Adjusted Total]]-Inventory[[#This Row],[24Final]])/Inventory[[#This Row],[24Final]]</f>
        <v>0.10915898617511521</v>
      </c>
    </row>
    <row r="1505" spans="1:73" x14ac:dyDescent="0.3">
      <c r="A1505" s="25">
        <v>2025</v>
      </c>
      <c r="B1505" s="26" t="s">
        <v>1194</v>
      </c>
      <c r="C1505" s="26">
        <f>LN(Inventory[[#This Row],[Acres]])</f>
        <v>-1.1086626245216111</v>
      </c>
      <c r="D1505" s="25">
        <v>0.33</v>
      </c>
      <c r="E1505" s="25">
        <v>14171</v>
      </c>
      <c r="F1505" s="26" t="s">
        <v>537</v>
      </c>
      <c r="G1505" s="26" t="s">
        <v>126</v>
      </c>
      <c r="H1505" s="26" t="s">
        <v>349</v>
      </c>
      <c r="I1505" s="26" t="s">
        <v>538</v>
      </c>
      <c r="J1505" s="26" t="s">
        <v>539</v>
      </c>
      <c r="K1505" s="26" t="s">
        <v>301</v>
      </c>
      <c r="L1505" s="26" t="s">
        <v>95</v>
      </c>
      <c r="M1505" s="26" t="s">
        <v>352</v>
      </c>
      <c r="N1505" s="26">
        <v>90</v>
      </c>
      <c r="O1505" s="26">
        <f>2024-Inventory[[#This Row],[YrBlt]]</f>
        <v>89</v>
      </c>
      <c r="P1505" s="26">
        <f>2024-Inventory[[#This Row],[EffYr]]</f>
        <v>53</v>
      </c>
      <c r="Q1505" s="25">
        <v>1935</v>
      </c>
      <c r="R1505" s="25">
        <v>1971</v>
      </c>
      <c r="S1505" s="25">
        <v>1299</v>
      </c>
      <c r="T1505" s="32">
        <v>984</v>
      </c>
      <c r="U1505" s="25">
        <v>1038</v>
      </c>
      <c r="V1505" s="25">
        <f>Inventory[[#This Row],[Bsmt]]-Inventory[[#This Row],[FnBsmt]]</f>
        <v>726</v>
      </c>
      <c r="W1505" s="25">
        <v>312</v>
      </c>
      <c r="X1505" s="27"/>
      <c r="Y1505" s="27">
        <f>Inventory[[#This Row],[MainFn]]+Inventory[[#This Row],[UpprFn]]+Inventory[[#This Row],[FnBsmt]]+Inventory[[#This Row],[AddFn]]</f>
        <v>2595</v>
      </c>
      <c r="Z1505" s="27">
        <v>3000</v>
      </c>
      <c r="AA1505" s="25">
        <v>16</v>
      </c>
      <c r="AB1505" s="27"/>
      <c r="AC1505" s="27"/>
      <c r="AD1505" s="27"/>
      <c r="AE1505" s="27"/>
      <c r="AF1505" s="27"/>
      <c r="AG1505" s="27"/>
      <c r="AH1505" s="27"/>
      <c r="AI1505" s="25">
        <v>583909</v>
      </c>
      <c r="AJ1505" s="25">
        <v>414575</v>
      </c>
      <c r="AK1505" s="25">
        <v>8578</v>
      </c>
      <c r="AL1505" s="25">
        <v>546900</v>
      </c>
      <c r="AM1505" s="25">
        <v>75900</v>
      </c>
      <c r="AN1505" s="25">
        <v>471000</v>
      </c>
      <c r="AO1505" s="25">
        <v>0</v>
      </c>
      <c r="AP1505" s="25">
        <f>Lookups!$B$56*0</f>
        <v>0</v>
      </c>
      <c r="AQ1505" s="25">
        <f>Lookups!$B$56*1</f>
        <v>89850.625589999996</v>
      </c>
      <c r="AR1505" s="25">
        <f>Lookups!$B$57*Inventory[[#This Row],[LnAcres]]</f>
        <v>-35094.289365640165</v>
      </c>
      <c r="AS1505" s="25">
        <f>VLOOKUP(Inventory[[#This Row],[Qlty]],Lookups!$A$62:$E$75,2,FALSE)</f>
        <v>74268.409664999999</v>
      </c>
      <c r="AT1505" s="25">
        <f>VLOOKUP(Inventory[[#This Row],[Cnd]],Lookups!$A$76:$E$84,2,FALSE)</f>
        <v>284810.60806</v>
      </c>
      <c r="AU1505" s="25">
        <f>Inventory[[#This Row],[EffAge]]*Lookups!$B$85</f>
        <v>-11821.416826500001</v>
      </c>
      <c r="AV1505" s="25">
        <f>Inventory[[#This Row],[MainFn]]*Lookups!$B$86</f>
        <v>64181.862170223001</v>
      </c>
      <c r="AW1505" s="25">
        <f>Inventory[[#This Row],[UpprFn]]*Lookups!$B$87</f>
        <v>44069.840095223997</v>
      </c>
      <c r="AX1505" s="25">
        <f>Inventory[[#This Row],[AddFn]]*Lookups!$B$88</f>
        <v>0</v>
      </c>
      <c r="AY1505" s="25">
        <f>Inventory[[#This Row],[Bsmt]]*Lookups!$B$89</f>
        <v>30187.007266385997</v>
      </c>
      <c r="AZ1505" s="25">
        <f>Inventory[[#This Row],[Fixtures]]*Lookups!$B$90</f>
        <v>60672.353683200003</v>
      </c>
      <c r="BA1505" s="25">
        <f>Inventory[[#This Row],[WdDeck]]*Lookups!$B$91</f>
        <v>0</v>
      </c>
      <c r="BB1505" s="25">
        <f>ROUND(Inventory[[#This Row],[25Det]],-2)</f>
        <v>8600</v>
      </c>
      <c r="BC1505" s="25">
        <f>ROUND(SUM(Inventory[[#This Row],[Mdl Qlty]:[Mdl WdDeck]])+Inventory[[#This Row],[Mdl Res Intercept]],-2)</f>
        <v>546400</v>
      </c>
      <c r="BD1505" s="25">
        <f>ROUND(Inventory[[#This Row],[Mdl Land Intercept]]+Inventory[[#This Row],[Mdl LnAcres]],-2)</f>
        <v>54800</v>
      </c>
      <c r="BE1505" s="25">
        <f>Inventory[[#This Row],[Unadj Res Value]]+Inventory[[#This Row],[Unadj Det Value]]+Inventory[[#This Row],[Unadj Land Value]]</f>
        <v>609800</v>
      </c>
      <c r="BF1505" s="36">
        <f>(Inventory[[#This Row],[Unadj Total Value]]-Inventory[[#This Row],[24Final]])/Inventory[[#This Row],[24Final]]</f>
        <v>0.11501188517096361</v>
      </c>
      <c r="BG1505" s="25">
        <f>VLOOKUP(Inventory[[#This Row],[Nbhd]],Lookups!$Q$2:$T$4,4,FALSE)</f>
        <v>0.99970000000000003</v>
      </c>
      <c r="BH1505" s="25">
        <f>VLOOKUP(Inventory[[#This Row],[Qlty]],Lookups!$O$7:$R$21,4,FALSE)</f>
        <v>0.98380000000000001</v>
      </c>
      <c r="BI1505" s="25">
        <f>VLOOKUP(Inventory[[#This Row],[Cnd]],Lookups!$T$7:$W$16,4,FALSE)</f>
        <v>1.0158</v>
      </c>
      <c r="BJ1505" s="25">
        <f>VLOOKUP(Inventory[[#This Row],[LivArea Range]],Lookups!$T$25:$W$37,4,FALSE)</f>
        <v>0.96179999999999999</v>
      </c>
      <c r="BK1505" s="25">
        <f>VLOOKUP(Inventory[[#This Row],[Decade]],Lookups!$O$25:$R$42,4,FALSE)</f>
        <v>0.98909999999999998</v>
      </c>
      <c r="BL1505" s="25">
        <f>Inventory[[#This Row],[Nbhd Adj]]*0.95</f>
        <v>0.94971499999999998</v>
      </c>
      <c r="BM1505" s="25">
        <f>Inventory[[#This Row],[Nbhd Adj]]*Inventory[[#This Row],[Quality Adj]]*Inventory[[#This Row],[Condition Adj]]*Inventory[[#This Row],[Living Area Adj]]*Inventory[[#This Row],[Decade Adj]]*0.95</f>
        <v>0.90288678946097178</v>
      </c>
      <c r="BN1505" s="25">
        <f>ROUND(SUM(Inventory[[#This Row],[Mdl Qlty]:[Mdl WdDeck]])+Inventory[[#This Row],[Mdl Res Intercept]]*Inventory[[#This Row],[Res Adj ]],-2)</f>
        <v>546400</v>
      </c>
      <c r="BO1505" s="25">
        <f>ROUND(Inventory[[#This Row],[25Det]]*Inventory[[#This Row],[Det/Nbhd Adj]],-2)</f>
        <v>8100</v>
      </c>
      <c r="BP1505" s="25">
        <f>Inventory[[#This Row],[Adjusted Res]]+Inventory[[#This Row],[Adj Det ]]</f>
        <v>554500</v>
      </c>
      <c r="BQ1505" s="25">
        <f>ROUND((Inventory[[#This Row],[Mdl Land Intercept]]+Inventory[[#This Row],[Mdl LnAcres]])*Inventory[[#This Row],[Det/Nbhd Adj]],-2)</f>
        <v>52000</v>
      </c>
      <c r="BR1505" s="25">
        <f>Inventory[[#This Row],[Adjusted Impr Total]]+Inventory[[#This Row],[Adjusted Land Total]]</f>
        <v>606500</v>
      </c>
      <c r="BS1505" s="36">
        <f>IFERROR((Inventory[[#This Row],[Adjusted Impr Total]]-Inventory[[#This Row],[24Bldg]])/Inventory[[#This Row],[24Bldg]],0)</f>
        <v>0.17728237791932058</v>
      </c>
      <c r="BT1505" s="36">
        <f>(Inventory[[#This Row],[Adjusted Land Total]]-Inventory[[#This Row],[24Lnd]])/Inventory[[#This Row],[24Lnd]]</f>
        <v>-0.31488801054018445</v>
      </c>
      <c r="BU1505" s="36">
        <f>(Inventory[[#This Row],[Adjusted Total]]-Inventory[[#This Row],[24Final]])/Inventory[[#This Row],[24Final]]</f>
        <v>0.10897787529712927</v>
      </c>
    </row>
    <row r="1506" spans="1:73" x14ac:dyDescent="0.3">
      <c r="A1506" s="25">
        <v>2025</v>
      </c>
      <c r="B1506" s="26" t="s">
        <v>1799</v>
      </c>
      <c r="C1506" s="26">
        <f>LN(Inventory[[#This Row],[Acres]])</f>
        <v>-1.6607312068216509</v>
      </c>
      <c r="D1506" s="25">
        <v>0.19</v>
      </c>
      <c r="E1506" s="32">
        <v>8166</v>
      </c>
      <c r="F1506" s="26" t="s">
        <v>537</v>
      </c>
      <c r="G1506" s="26" t="s">
        <v>126</v>
      </c>
      <c r="H1506" s="26" t="s">
        <v>349</v>
      </c>
      <c r="I1506" s="26" t="s">
        <v>538</v>
      </c>
      <c r="J1506" s="26" t="s">
        <v>539</v>
      </c>
      <c r="K1506" s="26" t="s">
        <v>269</v>
      </c>
      <c r="L1506" s="26" t="s">
        <v>148</v>
      </c>
      <c r="M1506" s="26" t="s">
        <v>303</v>
      </c>
      <c r="N1506" s="26">
        <v>90</v>
      </c>
      <c r="O1506" s="26">
        <f>2024-Inventory[[#This Row],[YrBlt]]</f>
        <v>89</v>
      </c>
      <c r="P1506" s="26">
        <f>2024-Inventory[[#This Row],[EffYr]]</f>
        <v>53</v>
      </c>
      <c r="Q1506" s="25">
        <v>1935</v>
      </c>
      <c r="R1506" s="25">
        <v>1971</v>
      </c>
      <c r="S1506" s="25">
        <v>1193</v>
      </c>
      <c r="T1506" s="25">
        <v>490</v>
      </c>
      <c r="U1506" s="25">
        <v>539</v>
      </c>
      <c r="V1506" s="25">
        <f>Inventory[[#This Row],[Bsmt]]-Inventory[[#This Row],[FnBsmt]]</f>
        <v>539</v>
      </c>
      <c r="W1506" s="31"/>
      <c r="X1506" s="27"/>
      <c r="Y1506" s="27">
        <f>Inventory[[#This Row],[MainFn]]+Inventory[[#This Row],[UpprFn]]+Inventory[[#This Row],[FnBsmt]]+Inventory[[#This Row],[AddFn]]</f>
        <v>1683</v>
      </c>
      <c r="Z1506" s="27">
        <v>2000</v>
      </c>
      <c r="AA1506" s="25">
        <v>8</v>
      </c>
      <c r="AB1506" s="27"/>
      <c r="AC1506" s="32">
        <v>502</v>
      </c>
      <c r="AD1506" s="27"/>
      <c r="AE1506" s="27"/>
      <c r="AF1506" s="27"/>
      <c r="AG1506" s="27"/>
      <c r="AH1506" s="27"/>
      <c r="AI1506" s="25">
        <v>409863</v>
      </c>
      <c r="AJ1506" s="25">
        <v>282805</v>
      </c>
      <c r="AK1506" s="25">
        <v>0</v>
      </c>
      <c r="AL1506" s="25">
        <v>354100</v>
      </c>
      <c r="AM1506" s="25">
        <v>56600</v>
      </c>
      <c r="AN1506" s="25">
        <v>297500</v>
      </c>
      <c r="AO1506" s="25">
        <v>0</v>
      </c>
      <c r="AP1506" s="25">
        <f>Lookups!$B$56*0</f>
        <v>0</v>
      </c>
      <c r="AQ1506" s="25">
        <f>Lookups!$B$56*1</f>
        <v>89850.625589999996</v>
      </c>
      <c r="AR1506" s="25">
        <f>Lookups!$B$57*Inventory[[#This Row],[LnAcres]]</f>
        <v>-52569.808201026557</v>
      </c>
      <c r="AS1506" s="25">
        <f>VLOOKUP(Inventory[[#This Row],[Qlty]],Lookups!$A$62:$E$75,2,FALSE)</f>
        <v>44121.038090000002</v>
      </c>
      <c r="AT1506" s="25">
        <f>VLOOKUP(Inventory[[#This Row],[Cnd]],Lookups!$A$76:$E$84,2,FALSE)</f>
        <v>197752.34721000001</v>
      </c>
      <c r="AU1506" s="25">
        <f>Inventory[[#This Row],[EffAge]]*Lookups!$B$85</f>
        <v>-11821.416826500001</v>
      </c>
      <c r="AV1506" s="25">
        <f>Inventory[[#This Row],[MainFn]]*Lookups!$B$86</f>
        <v>58944.543163260998</v>
      </c>
      <c r="AW1506" s="25">
        <f>Inventory[[#This Row],[UpprFn]]*Lookups!$B$87</f>
        <v>21945.347201889999</v>
      </c>
      <c r="AX1506" s="25">
        <f>Inventory[[#This Row],[AddFn]]*Lookups!$B$88</f>
        <v>0</v>
      </c>
      <c r="AY1506" s="25">
        <f>Inventory[[#This Row],[Bsmt]]*Lookups!$B$89</f>
        <v>15675.141538132999</v>
      </c>
      <c r="AZ1506" s="25">
        <f>Inventory[[#This Row],[Fixtures]]*Lookups!$B$90</f>
        <v>30336.176841600001</v>
      </c>
      <c r="BA1506" s="25">
        <f>Inventory[[#This Row],[WdDeck]]*Lookups!$B$91</f>
        <v>0</v>
      </c>
      <c r="BB1506" s="25">
        <f>ROUND(Inventory[[#This Row],[25Det]],-2)</f>
        <v>0</v>
      </c>
      <c r="BC1506" s="25">
        <f>ROUND(SUM(Inventory[[#This Row],[Mdl Qlty]:[Mdl WdDeck]])+Inventory[[#This Row],[Mdl Res Intercept]],-2)</f>
        <v>357000</v>
      </c>
      <c r="BD1506" s="25">
        <f>ROUND(Inventory[[#This Row],[Mdl Land Intercept]]+Inventory[[#This Row],[Mdl LnAcres]],-2)</f>
        <v>37300</v>
      </c>
      <c r="BE1506" s="25">
        <f>Inventory[[#This Row],[Unadj Res Value]]+Inventory[[#This Row],[Unadj Det Value]]+Inventory[[#This Row],[Unadj Land Value]]</f>
        <v>394300</v>
      </c>
      <c r="BF1506" s="36">
        <f>(Inventory[[#This Row],[Unadj Total Value]]-Inventory[[#This Row],[24Final]])/Inventory[[#This Row],[24Final]]</f>
        <v>0.11352725218864727</v>
      </c>
      <c r="BG1506" s="25">
        <f>VLOOKUP(Inventory[[#This Row],[Nbhd]],Lookups!$Q$2:$T$4,4,FALSE)</f>
        <v>0.99970000000000003</v>
      </c>
      <c r="BH1506" s="25">
        <f>VLOOKUP(Inventory[[#This Row],[Qlty]],Lookups!$O$7:$R$21,4,FALSE)</f>
        <v>0.98050000000000004</v>
      </c>
      <c r="BI1506" s="25">
        <f>VLOOKUP(Inventory[[#This Row],[Cnd]],Lookups!$T$7:$W$16,4,FALSE)</f>
        <v>0.99650000000000005</v>
      </c>
      <c r="BJ1506" s="25">
        <f>VLOOKUP(Inventory[[#This Row],[LivArea Range]],Lookups!$T$25:$W$37,4,FALSE)</f>
        <v>1.0093000000000001</v>
      </c>
      <c r="BK1506" s="25">
        <f>VLOOKUP(Inventory[[#This Row],[Decade]],Lookups!$O$25:$R$42,4,FALSE)</f>
        <v>0.98909999999999998</v>
      </c>
      <c r="BL1506" s="25">
        <f>Inventory[[#This Row],[Nbhd Adj]]*0.95</f>
        <v>0.94971499999999998</v>
      </c>
      <c r="BM1506" s="25">
        <f>Inventory[[#This Row],[Nbhd Adj]]*Inventory[[#This Row],[Quality Adj]]*Inventory[[#This Row],[Condition Adj]]*Inventory[[#This Row],[Living Area Adj]]*Inventory[[#This Row],[Decade Adj]]*0.95</f>
        <v>0.92635760994173622</v>
      </c>
      <c r="BN1506" s="25">
        <f>ROUND(SUM(Inventory[[#This Row],[Mdl Qlty]:[Mdl WdDeck]])+Inventory[[#This Row],[Mdl Res Intercept]]*Inventory[[#This Row],[Res Adj ]],-2)</f>
        <v>357000</v>
      </c>
      <c r="BO1506" s="25">
        <f>ROUND(Inventory[[#This Row],[25Det]]*Inventory[[#This Row],[Det/Nbhd Adj]],-2)</f>
        <v>0</v>
      </c>
      <c r="BP1506" s="25">
        <f>Inventory[[#This Row],[Adjusted Res]]+Inventory[[#This Row],[Adj Det ]]</f>
        <v>357000</v>
      </c>
      <c r="BQ1506" s="25">
        <f>ROUND((Inventory[[#This Row],[Mdl Land Intercept]]+Inventory[[#This Row],[Mdl LnAcres]])*Inventory[[#This Row],[Det/Nbhd Adj]],-2)</f>
        <v>35400</v>
      </c>
      <c r="BR1506" s="25">
        <f>Inventory[[#This Row],[Adjusted Impr Total]]+Inventory[[#This Row],[Adjusted Land Total]]</f>
        <v>392400</v>
      </c>
      <c r="BS1506" s="36">
        <f>IFERROR((Inventory[[#This Row],[Adjusted Impr Total]]-Inventory[[#This Row],[24Bldg]])/Inventory[[#This Row],[24Bldg]],0)</f>
        <v>0.2</v>
      </c>
      <c r="BT1506" s="36">
        <f>(Inventory[[#This Row],[Adjusted Land Total]]-Inventory[[#This Row],[24Lnd]])/Inventory[[#This Row],[24Lnd]]</f>
        <v>-0.37455830388692579</v>
      </c>
      <c r="BU1506" s="36">
        <f>(Inventory[[#This Row],[Adjusted Total]]-Inventory[[#This Row],[24Final]])/Inventory[[#This Row],[24Final]]</f>
        <v>0.10816153628918385</v>
      </c>
    </row>
    <row r="1507" spans="1:73" x14ac:dyDescent="0.3">
      <c r="A1507" s="25">
        <v>2025</v>
      </c>
      <c r="B1507" s="26" t="s">
        <v>2742</v>
      </c>
      <c r="C1507" s="26">
        <f>LN(Inventory[[#This Row],[Acres]])</f>
        <v>-1.6094379124341003</v>
      </c>
      <c r="D1507" s="25">
        <v>0.2</v>
      </c>
      <c r="E1507" s="27"/>
      <c r="F1507" s="26" t="s">
        <v>537</v>
      </c>
      <c r="G1507" s="26" t="s">
        <v>126</v>
      </c>
      <c r="H1507" s="26" t="s">
        <v>349</v>
      </c>
      <c r="I1507" s="26" t="s">
        <v>538</v>
      </c>
      <c r="J1507" s="26" t="s">
        <v>539</v>
      </c>
      <c r="K1507" s="26" t="s">
        <v>147</v>
      </c>
      <c r="L1507" s="26" t="s">
        <v>148</v>
      </c>
      <c r="M1507" s="26" t="s">
        <v>303</v>
      </c>
      <c r="N1507" s="26">
        <v>90</v>
      </c>
      <c r="O1507" s="26">
        <f>2024-Inventory[[#This Row],[YrBlt]]</f>
        <v>89</v>
      </c>
      <c r="P1507" s="26">
        <f>2024-Inventory[[#This Row],[EffYr]]</f>
        <v>53</v>
      </c>
      <c r="Q1507" s="25">
        <v>1935</v>
      </c>
      <c r="R1507" s="25">
        <v>1971</v>
      </c>
      <c r="S1507" s="25">
        <v>1080</v>
      </c>
      <c r="T1507" s="32">
        <v>432</v>
      </c>
      <c r="U1507" s="27"/>
      <c r="V1507" s="27">
        <f>Inventory[[#This Row],[Bsmt]]-Inventory[[#This Row],[FnBsmt]]</f>
        <v>0</v>
      </c>
      <c r="W1507" s="27"/>
      <c r="X1507" s="27"/>
      <c r="Y1507" s="27">
        <f>Inventory[[#This Row],[MainFn]]+Inventory[[#This Row],[UpprFn]]+Inventory[[#This Row],[FnBsmt]]+Inventory[[#This Row],[AddFn]]</f>
        <v>1512</v>
      </c>
      <c r="Z1507" s="27">
        <v>2000</v>
      </c>
      <c r="AA1507" s="25">
        <v>8</v>
      </c>
      <c r="AB1507" s="27"/>
      <c r="AC1507" s="27"/>
      <c r="AD1507" s="32">
        <v>171</v>
      </c>
      <c r="AE1507" s="27"/>
      <c r="AF1507" s="27"/>
      <c r="AG1507" s="27"/>
      <c r="AH1507" s="27"/>
      <c r="AI1507" s="25">
        <v>329657</v>
      </c>
      <c r="AJ1507" s="25">
        <v>227463</v>
      </c>
      <c r="AK1507" s="25">
        <v>9040</v>
      </c>
      <c r="AL1507" s="25">
        <v>347100</v>
      </c>
      <c r="AM1507" s="25">
        <v>58400</v>
      </c>
      <c r="AN1507" s="25">
        <v>288700</v>
      </c>
      <c r="AO1507" s="25">
        <v>0</v>
      </c>
      <c r="AP1507" s="25">
        <f>Lookups!$B$56*0</f>
        <v>0</v>
      </c>
      <c r="AQ1507" s="25">
        <f>Lookups!$B$56*1</f>
        <v>89850.625589999996</v>
      </c>
      <c r="AR1507" s="25">
        <f>Lookups!$B$57*Inventory[[#This Row],[LnAcres]]</f>
        <v>-50946.13867709865</v>
      </c>
      <c r="AS1507" s="25">
        <f>VLOOKUP(Inventory[[#This Row],[Qlty]],Lookups!$A$62:$E$75,2,FALSE)</f>
        <v>44121.038090000002</v>
      </c>
      <c r="AT1507" s="25">
        <f>VLOOKUP(Inventory[[#This Row],[Cnd]],Lookups!$A$76:$E$84,2,FALSE)</f>
        <v>197752.34721000001</v>
      </c>
      <c r="AU1507" s="25">
        <f>Inventory[[#This Row],[EffAge]]*Lookups!$B$85</f>
        <v>-11821.416826500001</v>
      </c>
      <c r="AV1507" s="25">
        <f>Inventory[[#This Row],[MainFn]]*Lookups!$B$86</f>
        <v>53361.363467160001</v>
      </c>
      <c r="AW1507" s="25">
        <f>Inventory[[#This Row],[UpprFn]]*Lookups!$B$87</f>
        <v>19347.734675952001</v>
      </c>
      <c r="AX1507" s="25">
        <f>Inventory[[#This Row],[AddFn]]*Lookups!$B$88</f>
        <v>0</v>
      </c>
      <c r="AY1507" s="25">
        <f>Inventory[[#This Row],[Bsmt]]*Lookups!$B$89</f>
        <v>0</v>
      </c>
      <c r="AZ1507" s="25">
        <f>Inventory[[#This Row],[Fixtures]]*Lookups!$B$90</f>
        <v>30336.176841600001</v>
      </c>
      <c r="BA1507" s="25">
        <f>Inventory[[#This Row],[WdDeck]]*Lookups!$B$91</f>
        <v>5693.5331121960007</v>
      </c>
      <c r="BB1507" s="25">
        <f>ROUND(Inventory[[#This Row],[25Det]],-2)</f>
        <v>9000</v>
      </c>
      <c r="BC1507" s="25">
        <f>ROUND(SUM(Inventory[[#This Row],[Mdl Qlty]:[Mdl WdDeck]])+Inventory[[#This Row],[Mdl Res Intercept]],-2)</f>
        <v>338800</v>
      </c>
      <c r="BD1507" s="25">
        <f>ROUND(Inventory[[#This Row],[Mdl Land Intercept]]+Inventory[[#This Row],[Mdl LnAcres]],-2)</f>
        <v>38900</v>
      </c>
      <c r="BE1507" s="25">
        <f>Inventory[[#This Row],[Unadj Res Value]]+Inventory[[#This Row],[Unadj Det Value]]+Inventory[[#This Row],[Unadj Land Value]]</f>
        <v>386700</v>
      </c>
      <c r="BF1507" s="36">
        <f>(Inventory[[#This Row],[Unadj Total Value]]-Inventory[[#This Row],[24Final]])/Inventory[[#This Row],[24Final]]</f>
        <v>0.11408815903197926</v>
      </c>
      <c r="BG1507" s="25">
        <f>VLOOKUP(Inventory[[#This Row],[Nbhd]],Lookups!$Q$2:$T$4,4,FALSE)</f>
        <v>0.99970000000000003</v>
      </c>
      <c r="BH1507" s="25">
        <f>VLOOKUP(Inventory[[#This Row],[Qlty]],Lookups!$O$7:$R$21,4,FALSE)</f>
        <v>0.98050000000000004</v>
      </c>
      <c r="BI1507" s="25">
        <f>VLOOKUP(Inventory[[#This Row],[Cnd]],Lookups!$T$7:$W$16,4,FALSE)</f>
        <v>0.99650000000000005</v>
      </c>
      <c r="BJ1507" s="25">
        <f>VLOOKUP(Inventory[[#This Row],[LivArea Range]],Lookups!$T$25:$W$37,4,FALSE)</f>
        <v>1.0093000000000001</v>
      </c>
      <c r="BK1507" s="25">
        <f>VLOOKUP(Inventory[[#This Row],[Decade]],Lookups!$O$25:$R$42,4,FALSE)</f>
        <v>0.98909999999999998</v>
      </c>
      <c r="BL1507" s="25">
        <f>Inventory[[#This Row],[Nbhd Adj]]*0.95</f>
        <v>0.94971499999999998</v>
      </c>
      <c r="BM1507" s="25">
        <f>Inventory[[#This Row],[Nbhd Adj]]*Inventory[[#This Row],[Quality Adj]]*Inventory[[#This Row],[Condition Adj]]*Inventory[[#This Row],[Living Area Adj]]*Inventory[[#This Row],[Decade Adj]]*0.95</f>
        <v>0.92635760994173622</v>
      </c>
      <c r="BN1507" s="25">
        <f>ROUND(SUM(Inventory[[#This Row],[Mdl Qlty]:[Mdl WdDeck]])+Inventory[[#This Row],[Mdl Res Intercept]]*Inventory[[#This Row],[Res Adj ]],-2)</f>
        <v>338800</v>
      </c>
      <c r="BO1507" s="25">
        <f>ROUND(Inventory[[#This Row],[25Det]]*Inventory[[#This Row],[Det/Nbhd Adj]],-2)</f>
        <v>8600</v>
      </c>
      <c r="BP1507" s="25">
        <f>Inventory[[#This Row],[Adjusted Res]]+Inventory[[#This Row],[Adj Det ]]</f>
        <v>347400</v>
      </c>
      <c r="BQ1507" s="25">
        <f>ROUND((Inventory[[#This Row],[Mdl Land Intercept]]+Inventory[[#This Row],[Mdl LnAcres]])*Inventory[[#This Row],[Det/Nbhd Adj]],-2)</f>
        <v>36900</v>
      </c>
      <c r="BR1507" s="25">
        <f>Inventory[[#This Row],[Adjusted Impr Total]]+Inventory[[#This Row],[Adjusted Land Total]]</f>
        <v>384300</v>
      </c>
      <c r="BS1507" s="36">
        <f>IFERROR((Inventory[[#This Row],[Adjusted Impr Total]]-Inventory[[#This Row],[24Bldg]])/Inventory[[#This Row],[24Bldg]],0)</f>
        <v>0.20332525112573605</v>
      </c>
      <c r="BT1507" s="36">
        <f>(Inventory[[#This Row],[Adjusted Land Total]]-Inventory[[#This Row],[24Lnd]])/Inventory[[#This Row],[24Lnd]]</f>
        <v>-0.36815068493150682</v>
      </c>
      <c r="BU1507" s="36">
        <f>(Inventory[[#This Row],[Adjusted Total]]-Inventory[[#This Row],[24Final]])/Inventory[[#This Row],[24Final]]</f>
        <v>0.10717372515125324</v>
      </c>
    </row>
    <row r="1508" spans="1:73" x14ac:dyDescent="0.3">
      <c r="A1508" s="25">
        <v>2025</v>
      </c>
      <c r="B1508" s="26" t="s">
        <v>2513</v>
      </c>
      <c r="C1508" s="26">
        <f>LN(Inventory[[#This Row],[Acres]])</f>
        <v>-1.6607312068216509</v>
      </c>
      <c r="D1508" s="25">
        <v>0.19</v>
      </c>
      <c r="E1508" s="32">
        <v>8335</v>
      </c>
      <c r="F1508" s="26" t="s">
        <v>537</v>
      </c>
      <c r="G1508" s="26" t="s">
        <v>126</v>
      </c>
      <c r="H1508" s="26" t="s">
        <v>349</v>
      </c>
      <c r="I1508" s="26" t="s">
        <v>538</v>
      </c>
      <c r="J1508" s="26" t="s">
        <v>539</v>
      </c>
      <c r="K1508" s="26" t="s">
        <v>242</v>
      </c>
      <c r="L1508" s="26" t="s">
        <v>351</v>
      </c>
      <c r="M1508" s="26" t="s">
        <v>323</v>
      </c>
      <c r="N1508" s="26">
        <v>90</v>
      </c>
      <c r="O1508" s="26">
        <f>2024-Inventory[[#This Row],[YrBlt]]</f>
        <v>89</v>
      </c>
      <c r="P1508" s="26">
        <f>2024-Inventory[[#This Row],[EffYr]]</f>
        <v>53</v>
      </c>
      <c r="Q1508" s="25">
        <v>1935</v>
      </c>
      <c r="R1508" s="25">
        <v>1971</v>
      </c>
      <c r="S1508" s="25">
        <v>1176</v>
      </c>
      <c r="T1508" s="27"/>
      <c r="U1508" s="25">
        <v>951</v>
      </c>
      <c r="V1508" s="25">
        <f>Inventory[[#This Row],[Bsmt]]-Inventory[[#This Row],[FnBsmt]]</f>
        <v>951</v>
      </c>
      <c r="W1508" s="31"/>
      <c r="X1508" s="27"/>
      <c r="Y1508" s="27">
        <f>Inventory[[#This Row],[MainFn]]+Inventory[[#This Row],[UpprFn]]+Inventory[[#This Row],[FnBsmt]]+Inventory[[#This Row],[AddFn]]</f>
        <v>1176</v>
      </c>
      <c r="Z1508" s="27">
        <v>1500</v>
      </c>
      <c r="AA1508" s="25">
        <v>5</v>
      </c>
      <c r="AB1508" s="27"/>
      <c r="AC1508" s="27"/>
      <c r="AD1508" s="31"/>
      <c r="AE1508" s="27"/>
      <c r="AF1508" s="27"/>
      <c r="AG1508" s="27"/>
      <c r="AH1508" s="27"/>
      <c r="AI1508" s="25">
        <v>248030</v>
      </c>
      <c r="AJ1508" s="25">
        <v>166180</v>
      </c>
      <c r="AK1508" s="25">
        <v>10334</v>
      </c>
      <c r="AL1508" s="25">
        <v>289200</v>
      </c>
      <c r="AM1508" s="25">
        <v>56600</v>
      </c>
      <c r="AN1508" s="25">
        <v>232600</v>
      </c>
      <c r="AO1508" s="25">
        <v>0</v>
      </c>
      <c r="AP1508" s="25">
        <f>Lookups!$B$56*0</f>
        <v>0</v>
      </c>
      <c r="AQ1508" s="25">
        <f>Lookups!$B$56*1</f>
        <v>89850.625589999996</v>
      </c>
      <c r="AR1508" s="25">
        <f>Lookups!$B$57*Inventory[[#This Row],[LnAcres]]</f>
        <v>-52569.808201026557</v>
      </c>
      <c r="AS1508" s="25">
        <f>VLOOKUP(Inventory[[#This Row],[Qlty]],Lookups!$A$62:$E$75,2,FALSE)</f>
        <v>21557.329055999999</v>
      </c>
      <c r="AT1508" s="25">
        <f>VLOOKUP(Inventory[[#This Row],[Cnd]],Lookups!$A$76:$E$84,2,FALSE)</f>
        <v>160472.20319</v>
      </c>
      <c r="AU1508" s="25">
        <f>Inventory[[#This Row],[EffAge]]*Lookups!$B$85</f>
        <v>-11821.416826500001</v>
      </c>
      <c r="AV1508" s="25">
        <f>Inventory[[#This Row],[MainFn]]*Lookups!$B$86</f>
        <v>58104.595775351998</v>
      </c>
      <c r="AW1508" s="25">
        <f>Inventory[[#This Row],[UpprFn]]*Lookups!$B$87</f>
        <v>0</v>
      </c>
      <c r="AX1508" s="25">
        <f>Inventory[[#This Row],[AddFn]]*Lookups!$B$88</f>
        <v>0</v>
      </c>
      <c r="AY1508" s="25">
        <f>Inventory[[#This Row],[Bsmt]]*Lookups!$B$89</f>
        <v>27656.882379896997</v>
      </c>
      <c r="AZ1508" s="25">
        <f>Inventory[[#This Row],[Fixtures]]*Lookups!$B$90</f>
        <v>18960.110526</v>
      </c>
      <c r="BA1508" s="25">
        <f>Inventory[[#This Row],[WdDeck]]*Lookups!$B$91</f>
        <v>0</v>
      </c>
      <c r="BB1508" s="25">
        <f>ROUND(Inventory[[#This Row],[25Det]],-2)</f>
        <v>10300</v>
      </c>
      <c r="BC1508" s="25">
        <f>ROUND(SUM(Inventory[[#This Row],[Mdl Qlty]:[Mdl WdDeck]])+Inventory[[#This Row],[Mdl Res Intercept]],-2)</f>
        <v>274900</v>
      </c>
      <c r="BD1508" s="25">
        <f>ROUND(Inventory[[#This Row],[Mdl Land Intercept]]+Inventory[[#This Row],[Mdl LnAcres]],-2)</f>
        <v>37300</v>
      </c>
      <c r="BE1508" s="25">
        <f>Inventory[[#This Row],[Unadj Res Value]]+Inventory[[#This Row],[Unadj Det Value]]+Inventory[[#This Row],[Unadj Land Value]]</f>
        <v>322500</v>
      </c>
      <c r="BF1508" s="36">
        <f>(Inventory[[#This Row],[Unadj Total Value]]-Inventory[[#This Row],[24Final]])/Inventory[[#This Row],[24Final]]</f>
        <v>0.11514522821576763</v>
      </c>
      <c r="BG1508" s="25">
        <f>VLOOKUP(Inventory[[#This Row],[Nbhd]],Lookups!$Q$2:$T$4,4,FALSE)</f>
        <v>0.99970000000000003</v>
      </c>
      <c r="BH1508" s="25">
        <f>VLOOKUP(Inventory[[#This Row],[Qlty]],Lookups!$O$7:$R$21,4,FALSE)</f>
        <v>1.0067999999999999</v>
      </c>
      <c r="BI1508" s="25">
        <f>VLOOKUP(Inventory[[#This Row],[Cnd]],Lookups!$T$7:$W$16,4,FALSE)</f>
        <v>0.99729999999999996</v>
      </c>
      <c r="BJ1508" s="25">
        <f>VLOOKUP(Inventory[[#This Row],[LivArea Range]],Lookups!$T$25:$W$37,4,FALSE)</f>
        <v>1.0157</v>
      </c>
      <c r="BK1508" s="25">
        <f>VLOOKUP(Inventory[[#This Row],[Decade]],Lookups!$O$25:$R$42,4,FALSE)</f>
        <v>0.98909999999999998</v>
      </c>
      <c r="BL1508" s="25">
        <f>Inventory[[#This Row],[Nbhd Adj]]*0.95</f>
        <v>0.94971499999999998</v>
      </c>
      <c r="BM1508" s="25">
        <f>Inventory[[#This Row],[Nbhd Adj]]*Inventory[[#This Row],[Quality Adj]]*Inventory[[#This Row],[Condition Adj]]*Inventory[[#This Row],[Living Area Adj]]*Inventory[[#This Row],[Decade Adj]]*0.95</f>
        <v>0.95800544533193577</v>
      </c>
      <c r="BN1508" s="25">
        <f>ROUND(SUM(Inventory[[#This Row],[Mdl Qlty]:[Mdl WdDeck]])+Inventory[[#This Row],[Mdl Res Intercept]]*Inventory[[#This Row],[Res Adj ]],-2)</f>
        <v>274900</v>
      </c>
      <c r="BO1508" s="25">
        <f>ROUND(Inventory[[#This Row],[25Det]]*Inventory[[#This Row],[Det/Nbhd Adj]],-2)</f>
        <v>9800</v>
      </c>
      <c r="BP1508" s="25">
        <f>Inventory[[#This Row],[Adjusted Res]]+Inventory[[#This Row],[Adj Det ]]</f>
        <v>284700</v>
      </c>
      <c r="BQ1508" s="25">
        <f>ROUND((Inventory[[#This Row],[Mdl Land Intercept]]+Inventory[[#This Row],[Mdl LnAcres]])*Inventory[[#This Row],[Det/Nbhd Adj]],-2)</f>
        <v>35400</v>
      </c>
      <c r="BR1508" s="25">
        <f>Inventory[[#This Row],[Adjusted Impr Total]]+Inventory[[#This Row],[Adjusted Land Total]]</f>
        <v>320100</v>
      </c>
      <c r="BS1508" s="36">
        <f>IFERROR((Inventory[[#This Row],[Adjusted Impr Total]]-Inventory[[#This Row],[24Bldg]])/Inventory[[#This Row],[24Bldg]],0)</f>
        <v>0.2239896818572657</v>
      </c>
      <c r="BT1508" s="36">
        <f>(Inventory[[#This Row],[Adjusted Land Total]]-Inventory[[#This Row],[24Lnd]])/Inventory[[#This Row],[24Lnd]]</f>
        <v>-0.37455830388692579</v>
      </c>
      <c r="BU1508" s="36">
        <f>(Inventory[[#This Row],[Adjusted Total]]-Inventory[[#This Row],[24Final]])/Inventory[[#This Row],[24Final]]</f>
        <v>0.10684647302904564</v>
      </c>
    </row>
    <row r="1509" spans="1:73" x14ac:dyDescent="0.3">
      <c r="A1509" s="25">
        <v>2025</v>
      </c>
      <c r="B1509" s="26" t="s">
        <v>2204</v>
      </c>
      <c r="C1509" s="26">
        <f>LN(Inventory[[#This Row],[Acres]])</f>
        <v>-1.7719568419318752</v>
      </c>
      <c r="D1509" s="25">
        <v>0.17</v>
      </c>
      <c r="E1509" s="32">
        <v>7447</v>
      </c>
      <c r="F1509" s="26" t="s">
        <v>537</v>
      </c>
      <c r="G1509" s="26" t="s">
        <v>126</v>
      </c>
      <c r="H1509" s="26" t="s">
        <v>349</v>
      </c>
      <c r="I1509" s="26" t="s">
        <v>538</v>
      </c>
      <c r="J1509" s="26" t="s">
        <v>539</v>
      </c>
      <c r="K1509" s="26" t="s">
        <v>147</v>
      </c>
      <c r="L1509" s="26" t="s">
        <v>351</v>
      </c>
      <c r="M1509" s="26" t="s">
        <v>303</v>
      </c>
      <c r="N1509" s="26">
        <v>90</v>
      </c>
      <c r="O1509" s="26">
        <f>2024-Inventory[[#This Row],[YrBlt]]</f>
        <v>89</v>
      </c>
      <c r="P1509" s="26">
        <f>2024-Inventory[[#This Row],[EffYr]]</f>
        <v>53</v>
      </c>
      <c r="Q1509" s="25">
        <v>1935</v>
      </c>
      <c r="R1509" s="25">
        <v>1971</v>
      </c>
      <c r="S1509" s="25">
        <v>1024</v>
      </c>
      <c r="T1509" s="25">
        <v>672</v>
      </c>
      <c r="U1509" s="25">
        <v>1024</v>
      </c>
      <c r="V1509" s="32">
        <f>Inventory[[#This Row],[Bsmt]]-Inventory[[#This Row],[FnBsmt]]</f>
        <v>874</v>
      </c>
      <c r="W1509" s="32">
        <v>150</v>
      </c>
      <c r="X1509" s="27"/>
      <c r="Y1509" s="27">
        <f>Inventory[[#This Row],[MainFn]]+Inventory[[#This Row],[UpprFn]]+Inventory[[#This Row],[FnBsmt]]+Inventory[[#This Row],[AddFn]]</f>
        <v>1846</v>
      </c>
      <c r="Z1509" s="27">
        <v>2000</v>
      </c>
      <c r="AA1509" s="25">
        <v>9</v>
      </c>
      <c r="AB1509" s="27"/>
      <c r="AC1509" s="27"/>
      <c r="AD1509" s="32">
        <v>64</v>
      </c>
      <c r="AE1509" s="27"/>
      <c r="AF1509" s="27"/>
      <c r="AG1509" s="27"/>
      <c r="AH1509" s="27"/>
      <c r="AI1509" s="25">
        <v>301197</v>
      </c>
      <c r="AJ1509" s="25">
        <v>207826</v>
      </c>
      <c r="AK1509" s="25">
        <v>32575</v>
      </c>
      <c r="AL1509" s="25">
        <v>377100</v>
      </c>
      <c r="AM1509" s="25">
        <v>52700</v>
      </c>
      <c r="AN1509" s="25">
        <v>324400</v>
      </c>
      <c r="AO1509" s="25">
        <v>0</v>
      </c>
      <c r="AP1509" s="25">
        <f>Lookups!$B$56*0</f>
        <v>0</v>
      </c>
      <c r="AQ1509" s="25">
        <f>Lookups!$B$56*1</f>
        <v>89850.625589999996</v>
      </c>
      <c r="AR1509" s="25">
        <f>Lookups!$B$57*Inventory[[#This Row],[LnAcres]]</f>
        <v>-56090.612940989391</v>
      </c>
      <c r="AS1509" s="25">
        <f>VLOOKUP(Inventory[[#This Row],[Qlty]],Lookups!$A$62:$E$75,2,FALSE)</f>
        <v>21557.329055999999</v>
      </c>
      <c r="AT1509" s="25">
        <f>VLOOKUP(Inventory[[#This Row],[Cnd]],Lookups!$A$76:$E$84,2,FALSE)</f>
        <v>197752.34721000001</v>
      </c>
      <c r="AU1509" s="25">
        <f>Inventory[[#This Row],[EffAge]]*Lookups!$B$85</f>
        <v>-11821.416826500001</v>
      </c>
      <c r="AV1509" s="25">
        <f>Inventory[[#This Row],[MainFn]]*Lookups!$B$86</f>
        <v>50594.477954048001</v>
      </c>
      <c r="AW1509" s="25">
        <f>Inventory[[#This Row],[UpprFn]]*Lookups!$B$87</f>
        <v>30096.476162592</v>
      </c>
      <c r="AX1509" s="25">
        <f>Inventory[[#This Row],[AddFn]]*Lookups!$B$88</f>
        <v>0</v>
      </c>
      <c r="AY1509" s="25">
        <f>Inventory[[#This Row],[Bsmt]]*Lookups!$B$89</f>
        <v>29779.860732927998</v>
      </c>
      <c r="AZ1509" s="25">
        <f>Inventory[[#This Row],[Fixtures]]*Lookups!$B$90</f>
        <v>34128.198946800003</v>
      </c>
      <c r="BA1509" s="25">
        <f>Inventory[[#This Row],[WdDeck]]*Lookups!$B$91</f>
        <v>2130.9129776640002</v>
      </c>
      <c r="BB1509" s="25">
        <f>ROUND(Inventory[[#This Row],[25Det]],-2)</f>
        <v>32600</v>
      </c>
      <c r="BC1509" s="25">
        <f>ROUND(SUM(Inventory[[#This Row],[Mdl Qlty]:[Mdl WdDeck]])+Inventory[[#This Row],[Mdl Res Intercept]],-2)</f>
        <v>354200</v>
      </c>
      <c r="BD1509" s="25">
        <f>ROUND(Inventory[[#This Row],[Mdl Land Intercept]]+Inventory[[#This Row],[Mdl LnAcres]],-2)</f>
        <v>33800</v>
      </c>
      <c r="BE1509" s="25">
        <f>Inventory[[#This Row],[Unadj Res Value]]+Inventory[[#This Row],[Unadj Det Value]]+Inventory[[#This Row],[Unadj Land Value]]</f>
        <v>420600</v>
      </c>
      <c r="BF1509" s="36">
        <f>(Inventory[[#This Row],[Unadj Total Value]]-Inventory[[#This Row],[24Final]])/Inventory[[#This Row],[24Final]]</f>
        <v>0.11535401750198886</v>
      </c>
      <c r="BG1509" s="25">
        <f>VLOOKUP(Inventory[[#This Row],[Nbhd]],Lookups!$Q$2:$T$4,4,FALSE)</f>
        <v>0.99970000000000003</v>
      </c>
      <c r="BH1509" s="25">
        <f>VLOOKUP(Inventory[[#This Row],[Qlty]],Lookups!$O$7:$R$21,4,FALSE)</f>
        <v>1.0067999999999999</v>
      </c>
      <c r="BI1509" s="25">
        <f>VLOOKUP(Inventory[[#This Row],[Cnd]],Lookups!$T$7:$W$16,4,FALSE)</f>
        <v>0.99650000000000005</v>
      </c>
      <c r="BJ1509" s="25">
        <f>VLOOKUP(Inventory[[#This Row],[LivArea Range]],Lookups!$T$25:$W$37,4,FALSE)</f>
        <v>1.0093000000000001</v>
      </c>
      <c r="BK1509" s="25">
        <f>VLOOKUP(Inventory[[#This Row],[Decade]],Lookups!$O$25:$R$42,4,FALSE)</f>
        <v>0.98909999999999998</v>
      </c>
      <c r="BL1509" s="25">
        <f>Inventory[[#This Row],[Nbhd Adj]]*0.95</f>
        <v>0.94971499999999998</v>
      </c>
      <c r="BM1509" s="25">
        <f>Inventory[[#This Row],[Nbhd Adj]]*Inventory[[#This Row],[Quality Adj]]*Inventory[[#This Row],[Condition Adj]]*Inventory[[#This Row],[Living Area Adj]]*Inventory[[#This Row],[Decade Adj]]*0.95</f>
        <v>0.95120534593507355</v>
      </c>
      <c r="BN1509" s="25">
        <f>ROUND(SUM(Inventory[[#This Row],[Mdl Qlty]:[Mdl WdDeck]])+Inventory[[#This Row],[Mdl Res Intercept]]*Inventory[[#This Row],[Res Adj ]],-2)</f>
        <v>354200</v>
      </c>
      <c r="BO1509" s="25">
        <f>ROUND(Inventory[[#This Row],[25Det]]*Inventory[[#This Row],[Det/Nbhd Adj]],-2)</f>
        <v>30900</v>
      </c>
      <c r="BP1509" s="25">
        <f>Inventory[[#This Row],[Adjusted Res]]+Inventory[[#This Row],[Adj Det ]]</f>
        <v>385100</v>
      </c>
      <c r="BQ1509" s="25">
        <f>ROUND((Inventory[[#This Row],[Mdl Land Intercept]]+Inventory[[#This Row],[Mdl LnAcres]])*Inventory[[#This Row],[Det/Nbhd Adj]],-2)</f>
        <v>32100</v>
      </c>
      <c r="BR1509" s="25">
        <f>Inventory[[#This Row],[Adjusted Impr Total]]+Inventory[[#This Row],[Adjusted Land Total]]</f>
        <v>417200</v>
      </c>
      <c r="BS1509" s="36">
        <f>IFERROR((Inventory[[#This Row],[Adjusted Impr Total]]-Inventory[[#This Row],[24Bldg]])/Inventory[[#This Row],[24Bldg]],0)</f>
        <v>0.18711467324290998</v>
      </c>
      <c r="BT1509" s="36">
        <f>(Inventory[[#This Row],[Adjusted Land Total]]-Inventory[[#This Row],[24Lnd]])/Inventory[[#This Row],[24Lnd]]</f>
        <v>-0.39089184060721061</v>
      </c>
      <c r="BU1509" s="36">
        <f>(Inventory[[#This Row],[Adjusted Total]]-Inventory[[#This Row],[24Final]])/Inventory[[#This Row],[24Final]]</f>
        <v>0.10633784142137365</v>
      </c>
    </row>
    <row r="1510" spans="1:73" x14ac:dyDescent="0.3">
      <c r="A1510" s="25">
        <v>2025</v>
      </c>
      <c r="B1510" s="26" t="s">
        <v>2174</v>
      </c>
      <c r="C1510" s="26">
        <f>LN(Inventory[[#This Row],[Acres]])</f>
        <v>-1.8971199848858813</v>
      </c>
      <c r="D1510" s="25">
        <v>0.15</v>
      </c>
      <c r="E1510" s="25">
        <v>6738</v>
      </c>
      <c r="F1510" s="26" t="s">
        <v>537</v>
      </c>
      <c r="G1510" s="26" t="s">
        <v>126</v>
      </c>
      <c r="H1510" s="26" t="s">
        <v>349</v>
      </c>
      <c r="I1510" s="26" t="s">
        <v>538</v>
      </c>
      <c r="J1510" s="26" t="s">
        <v>539</v>
      </c>
      <c r="K1510" s="26" t="s">
        <v>242</v>
      </c>
      <c r="L1510" s="26" t="s">
        <v>351</v>
      </c>
      <c r="M1510" s="26" t="s">
        <v>303</v>
      </c>
      <c r="N1510" s="26">
        <v>90</v>
      </c>
      <c r="O1510" s="26">
        <f>2024-Inventory[[#This Row],[YrBlt]]</f>
        <v>89</v>
      </c>
      <c r="P1510" s="26">
        <f>2024-Inventory[[#This Row],[EffYr]]</f>
        <v>53</v>
      </c>
      <c r="Q1510" s="25">
        <v>1935</v>
      </c>
      <c r="R1510" s="25">
        <v>1971</v>
      </c>
      <c r="S1510" s="25">
        <v>963</v>
      </c>
      <c r="T1510" s="27"/>
      <c r="U1510" s="25">
        <v>483</v>
      </c>
      <c r="V1510" s="32">
        <f>Inventory[[#This Row],[Bsmt]]-Inventory[[#This Row],[FnBsmt]]</f>
        <v>241</v>
      </c>
      <c r="W1510" s="32">
        <v>242</v>
      </c>
      <c r="X1510" s="27"/>
      <c r="Y1510" s="27">
        <f>Inventory[[#This Row],[MainFn]]+Inventory[[#This Row],[UpprFn]]+Inventory[[#This Row],[FnBsmt]]+Inventory[[#This Row],[AddFn]]</f>
        <v>1205</v>
      </c>
      <c r="Z1510" s="27">
        <v>1500</v>
      </c>
      <c r="AA1510" s="25">
        <v>8</v>
      </c>
      <c r="AB1510" s="27"/>
      <c r="AC1510" s="27"/>
      <c r="AD1510" s="27"/>
      <c r="AE1510" s="27"/>
      <c r="AF1510" s="27"/>
      <c r="AG1510" s="27"/>
      <c r="AH1510" s="27"/>
      <c r="AI1510" s="25">
        <v>203160</v>
      </c>
      <c r="AJ1510" s="25">
        <v>140180</v>
      </c>
      <c r="AK1510" s="25">
        <v>5412</v>
      </c>
      <c r="AL1510" s="25">
        <v>301200</v>
      </c>
      <c r="AM1510" s="25">
        <v>48400</v>
      </c>
      <c r="AN1510" s="25">
        <v>252800</v>
      </c>
      <c r="AO1510" s="25">
        <v>0</v>
      </c>
      <c r="AP1510" s="25">
        <f>Lookups!$B$56*0</f>
        <v>0</v>
      </c>
      <c r="AQ1510" s="25">
        <f>Lookups!$B$56*1</f>
        <v>89850.625589999996</v>
      </c>
      <c r="AR1510" s="25">
        <f>Lookups!$B$57*Inventory[[#This Row],[LnAcres]]</f>
        <v>-60052.604136134301</v>
      </c>
      <c r="AS1510" s="25">
        <f>VLOOKUP(Inventory[[#This Row],[Qlty]],Lookups!$A$62:$E$75,2,FALSE)</f>
        <v>21557.329055999999</v>
      </c>
      <c r="AT1510" s="25">
        <f>VLOOKUP(Inventory[[#This Row],[Cnd]],Lookups!$A$76:$E$84,2,FALSE)</f>
        <v>197752.34721000001</v>
      </c>
      <c r="AU1510" s="25">
        <f>Inventory[[#This Row],[EffAge]]*Lookups!$B$85</f>
        <v>-11821.416826500001</v>
      </c>
      <c r="AV1510" s="25">
        <f>Inventory[[#This Row],[MainFn]]*Lookups!$B$86</f>
        <v>47580.549091551002</v>
      </c>
      <c r="AW1510" s="25">
        <f>Inventory[[#This Row],[UpprFn]]*Lookups!$B$87</f>
        <v>0</v>
      </c>
      <c r="AX1510" s="25">
        <f>Inventory[[#This Row],[AddFn]]*Lookups!$B$88</f>
        <v>0</v>
      </c>
      <c r="AY1510" s="25">
        <f>Inventory[[#This Row],[Bsmt]]*Lookups!$B$89</f>
        <v>14046.555404301</v>
      </c>
      <c r="AZ1510" s="25">
        <f>Inventory[[#This Row],[Fixtures]]*Lookups!$B$90</f>
        <v>30336.176841600001</v>
      </c>
      <c r="BA1510" s="25">
        <f>Inventory[[#This Row],[WdDeck]]*Lookups!$B$91</f>
        <v>0</v>
      </c>
      <c r="BB1510" s="25">
        <f>ROUND(Inventory[[#This Row],[25Det]],-2)</f>
        <v>5400</v>
      </c>
      <c r="BC1510" s="25">
        <f>ROUND(SUM(Inventory[[#This Row],[Mdl Qlty]:[Mdl WdDeck]])+Inventory[[#This Row],[Mdl Res Intercept]],-2)</f>
        <v>299500</v>
      </c>
      <c r="BD1510" s="25">
        <f>ROUND(Inventory[[#This Row],[Mdl Land Intercept]]+Inventory[[#This Row],[Mdl LnAcres]],-2)</f>
        <v>29800</v>
      </c>
      <c r="BE1510" s="25">
        <f>Inventory[[#This Row],[Unadj Res Value]]+Inventory[[#This Row],[Unadj Det Value]]+Inventory[[#This Row],[Unadj Land Value]]</f>
        <v>334700</v>
      </c>
      <c r="BF1510" s="36">
        <f>(Inventory[[#This Row],[Unadj Total Value]]-Inventory[[#This Row],[24Final]])/Inventory[[#This Row],[24Final]]</f>
        <v>0.11122177954847277</v>
      </c>
      <c r="BG1510" s="25">
        <f>VLOOKUP(Inventory[[#This Row],[Nbhd]],Lookups!$Q$2:$T$4,4,FALSE)</f>
        <v>0.99970000000000003</v>
      </c>
      <c r="BH1510" s="25">
        <f>VLOOKUP(Inventory[[#This Row],[Qlty]],Lookups!$O$7:$R$21,4,FALSE)</f>
        <v>1.0067999999999999</v>
      </c>
      <c r="BI1510" s="25">
        <f>VLOOKUP(Inventory[[#This Row],[Cnd]],Lookups!$T$7:$W$16,4,FALSE)</f>
        <v>0.99650000000000005</v>
      </c>
      <c r="BJ1510" s="25">
        <f>VLOOKUP(Inventory[[#This Row],[LivArea Range]],Lookups!$T$25:$W$37,4,FALSE)</f>
        <v>1.0157</v>
      </c>
      <c r="BK1510" s="25">
        <f>VLOOKUP(Inventory[[#This Row],[Decade]],Lookups!$O$25:$R$42,4,FALSE)</f>
        <v>0.98909999999999998</v>
      </c>
      <c r="BL1510" s="25">
        <f>Inventory[[#This Row],[Nbhd Adj]]*0.95</f>
        <v>0.94971499999999998</v>
      </c>
      <c r="BM1510" s="25">
        <f>Inventory[[#This Row],[Nbhd Adj]]*Inventory[[#This Row],[Quality Adj]]*Inventory[[#This Row],[Condition Adj]]*Inventory[[#This Row],[Living Area Adj]]*Inventory[[#This Row],[Decade Adj]]*0.95</f>
        <v>0.95723696608169473</v>
      </c>
      <c r="BN1510" s="25">
        <f>ROUND(SUM(Inventory[[#This Row],[Mdl Qlty]:[Mdl WdDeck]])+Inventory[[#This Row],[Mdl Res Intercept]]*Inventory[[#This Row],[Res Adj ]],-2)</f>
        <v>299500</v>
      </c>
      <c r="BO1510" s="25">
        <f>ROUND(Inventory[[#This Row],[25Det]]*Inventory[[#This Row],[Det/Nbhd Adj]],-2)</f>
        <v>5100</v>
      </c>
      <c r="BP1510" s="25">
        <f>Inventory[[#This Row],[Adjusted Res]]+Inventory[[#This Row],[Adj Det ]]</f>
        <v>304600</v>
      </c>
      <c r="BQ1510" s="25">
        <f>ROUND((Inventory[[#This Row],[Mdl Land Intercept]]+Inventory[[#This Row],[Mdl LnAcres]])*Inventory[[#This Row],[Det/Nbhd Adj]],-2)</f>
        <v>28300</v>
      </c>
      <c r="BR1510" s="25">
        <f>Inventory[[#This Row],[Adjusted Impr Total]]+Inventory[[#This Row],[Adjusted Land Total]]</f>
        <v>332900</v>
      </c>
      <c r="BS1510" s="36">
        <f>IFERROR((Inventory[[#This Row],[Adjusted Impr Total]]-Inventory[[#This Row],[24Bldg]])/Inventory[[#This Row],[24Bldg]],0)</f>
        <v>0.20490506329113925</v>
      </c>
      <c r="BT1510" s="36">
        <f>(Inventory[[#This Row],[Adjusted Land Total]]-Inventory[[#This Row],[24Lnd]])/Inventory[[#This Row],[24Lnd]]</f>
        <v>-0.41528925619834711</v>
      </c>
      <c r="BU1510" s="36">
        <f>(Inventory[[#This Row],[Adjusted Total]]-Inventory[[#This Row],[24Final]])/Inventory[[#This Row],[24Final]]</f>
        <v>0.1052456839309429</v>
      </c>
    </row>
    <row r="1511" spans="1:73" x14ac:dyDescent="0.3">
      <c r="A1511" s="25">
        <v>2025</v>
      </c>
      <c r="B1511" s="26" t="s">
        <v>1215</v>
      </c>
      <c r="C1511" s="26">
        <f>LN(Inventory[[#This Row],[Acres]])</f>
        <v>-1.8325814637483102</v>
      </c>
      <c r="D1511" s="25">
        <v>0.16</v>
      </c>
      <c r="E1511" s="31"/>
      <c r="F1511" s="26" t="s">
        <v>537</v>
      </c>
      <c r="G1511" s="26" t="s">
        <v>126</v>
      </c>
      <c r="H1511" s="26" t="s">
        <v>349</v>
      </c>
      <c r="I1511" s="26" t="s">
        <v>538</v>
      </c>
      <c r="J1511" s="26" t="s">
        <v>539</v>
      </c>
      <c r="K1511" s="26" t="s">
        <v>147</v>
      </c>
      <c r="L1511" s="26" t="s">
        <v>302</v>
      </c>
      <c r="M1511" s="26" t="s">
        <v>323</v>
      </c>
      <c r="N1511" s="26">
        <v>90</v>
      </c>
      <c r="O1511" s="26">
        <f>2024-Inventory[[#This Row],[YrBlt]]</f>
        <v>89</v>
      </c>
      <c r="P1511" s="26">
        <f>2024-Inventory[[#This Row],[EffYr]]</f>
        <v>53</v>
      </c>
      <c r="Q1511" s="25">
        <v>1935</v>
      </c>
      <c r="R1511" s="25">
        <v>1971</v>
      </c>
      <c r="S1511" s="25">
        <v>818</v>
      </c>
      <c r="T1511" s="25">
        <v>368</v>
      </c>
      <c r="U1511" s="25">
        <v>818</v>
      </c>
      <c r="V1511" s="25">
        <f>Inventory[[#This Row],[Bsmt]]-Inventory[[#This Row],[FnBsmt]]</f>
        <v>518</v>
      </c>
      <c r="W1511" s="25">
        <v>300</v>
      </c>
      <c r="X1511" s="27"/>
      <c r="Y1511" s="27">
        <f>Inventory[[#This Row],[MainFn]]+Inventory[[#This Row],[UpprFn]]+Inventory[[#This Row],[FnBsmt]]+Inventory[[#This Row],[AddFn]]</f>
        <v>1486</v>
      </c>
      <c r="Z1511" s="27">
        <v>1500</v>
      </c>
      <c r="AA1511" s="25">
        <v>6</v>
      </c>
      <c r="AB1511" s="31"/>
      <c r="AC1511" s="27"/>
      <c r="AD1511" s="25">
        <v>288</v>
      </c>
      <c r="AE1511" s="27"/>
      <c r="AF1511" s="27"/>
      <c r="AG1511" s="27"/>
      <c r="AH1511" s="27"/>
      <c r="AI1511" s="25">
        <v>275156</v>
      </c>
      <c r="AJ1511" s="25">
        <v>184355</v>
      </c>
      <c r="AK1511" s="25">
        <v>6227</v>
      </c>
      <c r="AL1511" s="25">
        <v>297000</v>
      </c>
      <c r="AM1511" s="25">
        <v>50600</v>
      </c>
      <c r="AN1511" s="25">
        <v>246400</v>
      </c>
      <c r="AO1511" s="25">
        <v>0</v>
      </c>
      <c r="AP1511" s="25">
        <f>Lookups!$B$56*0</f>
        <v>0</v>
      </c>
      <c r="AQ1511" s="25">
        <f>Lookups!$B$56*1</f>
        <v>89850.625589999996</v>
      </c>
      <c r="AR1511" s="25">
        <f>Lookups!$B$57*Inventory[[#This Row],[LnAcres]]</f>
        <v>-58009.662049032086</v>
      </c>
      <c r="AS1511" s="25">
        <f>VLOOKUP(Inventory[[#This Row],[Qlty]],Lookups!$A$62:$E$75,2,FALSE)</f>
        <v>29814.093161000001</v>
      </c>
      <c r="AT1511" s="25">
        <f>VLOOKUP(Inventory[[#This Row],[Cnd]],Lookups!$A$76:$E$84,2,FALSE)</f>
        <v>160472.20319</v>
      </c>
      <c r="AU1511" s="25">
        <f>Inventory[[#This Row],[EffAge]]*Lookups!$B$85</f>
        <v>-11821.416826500001</v>
      </c>
      <c r="AV1511" s="25">
        <f>Inventory[[#This Row],[MainFn]]*Lookups!$B$86</f>
        <v>40416.291959385999</v>
      </c>
      <c r="AW1511" s="25">
        <f>Inventory[[#This Row],[UpprFn]]*Lookups!$B$87</f>
        <v>16481.403612848</v>
      </c>
      <c r="AX1511" s="25">
        <f>Inventory[[#This Row],[AddFn]]*Lookups!$B$88</f>
        <v>0</v>
      </c>
      <c r="AY1511" s="25">
        <f>Inventory[[#This Row],[Bsmt]]*Lookups!$B$89</f>
        <v>23788.990312046</v>
      </c>
      <c r="AZ1511" s="25">
        <f>Inventory[[#This Row],[Fixtures]]*Lookups!$B$90</f>
        <v>22752.132631200002</v>
      </c>
      <c r="BA1511" s="25">
        <f>Inventory[[#This Row],[WdDeck]]*Lookups!$B$91</f>
        <v>9589.1083994880009</v>
      </c>
      <c r="BB1511" s="25">
        <f>ROUND(Inventory[[#This Row],[25Det]],-2)</f>
        <v>6200</v>
      </c>
      <c r="BC1511" s="25">
        <f>ROUND(SUM(Inventory[[#This Row],[Mdl Qlty]:[Mdl WdDeck]])+Inventory[[#This Row],[Mdl Res Intercept]],-2)</f>
        <v>291500</v>
      </c>
      <c r="BD1511" s="25">
        <f>ROUND(Inventory[[#This Row],[Mdl Land Intercept]]+Inventory[[#This Row],[Mdl LnAcres]],-2)</f>
        <v>31800</v>
      </c>
      <c r="BE1511" s="25">
        <f>Inventory[[#This Row],[Unadj Res Value]]+Inventory[[#This Row],[Unadj Det Value]]+Inventory[[#This Row],[Unadj Land Value]]</f>
        <v>329500</v>
      </c>
      <c r="BF1511" s="36">
        <f>(Inventory[[#This Row],[Unadj Total Value]]-Inventory[[#This Row],[24Final]])/Inventory[[#This Row],[24Final]]</f>
        <v>0.10942760942760943</v>
      </c>
      <c r="BG1511" s="25">
        <f>VLOOKUP(Inventory[[#This Row],[Nbhd]],Lookups!$Q$2:$T$4,4,FALSE)</f>
        <v>0.99970000000000003</v>
      </c>
      <c r="BH1511" s="25">
        <f>VLOOKUP(Inventory[[#This Row],[Qlty]],Lookups!$O$7:$R$21,4,FALSE)</f>
        <v>1.0088999999999999</v>
      </c>
      <c r="BI1511" s="25">
        <f>VLOOKUP(Inventory[[#This Row],[Cnd]],Lookups!$T$7:$W$16,4,FALSE)</f>
        <v>0.99729999999999996</v>
      </c>
      <c r="BJ1511" s="25">
        <f>VLOOKUP(Inventory[[#This Row],[LivArea Range]],Lookups!$T$25:$W$37,4,FALSE)</f>
        <v>1.0157</v>
      </c>
      <c r="BK1511" s="25">
        <f>VLOOKUP(Inventory[[#This Row],[Decade]],Lookups!$O$25:$R$42,4,FALSE)</f>
        <v>0.98909999999999998</v>
      </c>
      <c r="BL1511" s="25">
        <f>Inventory[[#This Row],[Nbhd Adj]]*0.95</f>
        <v>0.94971499999999998</v>
      </c>
      <c r="BM1511" s="25">
        <f>Inventory[[#This Row],[Nbhd Adj]]*Inventory[[#This Row],[Quality Adj]]*Inventory[[#This Row],[Condition Adj]]*Inventory[[#This Row],[Living Area Adj]]*Inventory[[#This Row],[Decade Adj]]*0.95</f>
        <v>0.96000366884722899</v>
      </c>
      <c r="BN1511" s="25">
        <f>ROUND(SUM(Inventory[[#This Row],[Mdl Qlty]:[Mdl WdDeck]])+Inventory[[#This Row],[Mdl Res Intercept]]*Inventory[[#This Row],[Res Adj ]],-2)</f>
        <v>291500</v>
      </c>
      <c r="BO1511" s="25">
        <f>ROUND(Inventory[[#This Row],[25Det]]*Inventory[[#This Row],[Det/Nbhd Adj]],-2)</f>
        <v>5900</v>
      </c>
      <c r="BP1511" s="25">
        <f>Inventory[[#This Row],[Adjusted Res]]+Inventory[[#This Row],[Adj Det ]]</f>
        <v>297400</v>
      </c>
      <c r="BQ1511" s="25">
        <f>ROUND((Inventory[[#This Row],[Mdl Land Intercept]]+Inventory[[#This Row],[Mdl LnAcres]])*Inventory[[#This Row],[Det/Nbhd Adj]],-2)</f>
        <v>30200</v>
      </c>
      <c r="BR1511" s="25">
        <f>Inventory[[#This Row],[Adjusted Impr Total]]+Inventory[[#This Row],[Adjusted Land Total]]</f>
        <v>327600</v>
      </c>
      <c r="BS1511" s="36">
        <f>IFERROR((Inventory[[#This Row],[Adjusted Impr Total]]-Inventory[[#This Row],[24Bldg]])/Inventory[[#This Row],[24Bldg]],0)</f>
        <v>0.20698051948051949</v>
      </c>
      <c r="BT1511" s="36">
        <f>(Inventory[[#This Row],[Adjusted Land Total]]-Inventory[[#This Row],[24Lnd]])/Inventory[[#This Row],[24Lnd]]</f>
        <v>-0.40316205533596838</v>
      </c>
      <c r="BU1511" s="36">
        <f>(Inventory[[#This Row],[Adjusted Total]]-Inventory[[#This Row],[24Final]])/Inventory[[#This Row],[24Final]]</f>
        <v>0.10303030303030303</v>
      </c>
    </row>
    <row r="1512" spans="1:73" x14ac:dyDescent="0.3">
      <c r="A1512" s="25">
        <v>2025</v>
      </c>
      <c r="B1512" s="26" t="s">
        <v>2165</v>
      </c>
      <c r="C1512" s="26">
        <f>LN(Inventory[[#This Row],[Acres]])</f>
        <v>-1.4271163556401458</v>
      </c>
      <c r="D1512" s="25">
        <v>0.24</v>
      </c>
      <c r="E1512" s="32">
        <v>10462</v>
      </c>
      <c r="F1512" s="26" t="s">
        <v>537</v>
      </c>
      <c r="G1512" s="26" t="s">
        <v>126</v>
      </c>
      <c r="H1512" s="26" t="s">
        <v>349</v>
      </c>
      <c r="I1512" s="26" t="s">
        <v>538</v>
      </c>
      <c r="J1512" s="26" t="s">
        <v>539</v>
      </c>
      <c r="K1512" s="26" t="s">
        <v>173</v>
      </c>
      <c r="L1512" s="26" t="s">
        <v>148</v>
      </c>
      <c r="M1512" s="26" t="s">
        <v>303</v>
      </c>
      <c r="N1512" s="26">
        <v>90</v>
      </c>
      <c r="O1512" s="26">
        <f>2024-Inventory[[#This Row],[YrBlt]]</f>
        <v>89</v>
      </c>
      <c r="P1512" s="26">
        <f>2024-Inventory[[#This Row],[EffYr]]</f>
        <v>53</v>
      </c>
      <c r="Q1512" s="25">
        <v>1935</v>
      </c>
      <c r="R1512" s="25">
        <v>1971</v>
      </c>
      <c r="S1512" s="25">
        <v>1289</v>
      </c>
      <c r="T1512" s="25">
        <v>420</v>
      </c>
      <c r="U1512" s="31"/>
      <c r="V1512" s="27">
        <f>Inventory[[#This Row],[Bsmt]]-Inventory[[#This Row],[FnBsmt]]</f>
        <v>0</v>
      </c>
      <c r="W1512" s="27"/>
      <c r="X1512" s="27"/>
      <c r="Y1512" s="27">
        <f>Inventory[[#This Row],[MainFn]]+Inventory[[#This Row],[UpprFn]]+Inventory[[#This Row],[FnBsmt]]+Inventory[[#This Row],[AddFn]]</f>
        <v>1709</v>
      </c>
      <c r="Z1512" s="27">
        <v>2000</v>
      </c>
      <c r="AA1512" s="25">
        <v>8</v>
      </c>
      <c r="AB1512" s="31"/>
      <c r="AC1512" s="27"/>
      <c r="AD1512" s="32">
        <v>210</v>
      </c>
      <c r="AE1512" s="27"/>
      <c r="AF1512" s="27"/>
      <c r="AG1512" s="27"/>
      <c r="AH1512" s="27"/>
      <c r="AI1512" s="25">
        <v>389649</v>
      </c>
      <c r="AJ1512" s="25">
        <v>268858</v>
      </c>
      <c r="AK1512" s="25">
        <v>0</v>
      </c>
      <c r="AL1512" s="25">
        <v>355800</v>
      </c>
      <c r="AM1512" s="25">
        <v>64800</v>
      </c>
      <c r="AN1512" s="25">
        <v>291000</v>
      </c>
      <c r="AO1512" s="25">
        <v>0</v>
      </c>
      <c r="AP1512" s="25">
        <f>Lookups!$B$56*0</f>
        <v>0</v>
      </c>
      <c r="AQ1512" s="25">
        <f>Lookups!$B$56*1</f>
        <v>89850.625589999996</v>
      </c>
      <c r="AR1512" s="25">
        <f>Lookups!$B$57*Inventory[[#This Row],[LnAcres]]</f>
        <v>-45174.819855485119</v>
      </c>
      <c r="AS1512" s="25">
        <f>VLOOKUP(Inventory[[#This Row],[Qlty]],Lookups!$A$62:$E$75,2,FALSE)</f>
        <v>44121.038090000002</v>
      </c>
      <c r="AT1512" s="25">
        <f>VLOOKUP(Inventory[[#This Row],[Cnd]],Lookups!$A$76:$E$84,2,FALSE)</f>
        <v>197752.34721000001</v>
      </c>
      <c r="AU1512" s="25">
        <f>Inventory[[#This Row],[EffAge]]*Lookups!$B$85</f>
        <v>-11821.416826500001</v>
      </c>
      <c r="AV1512" s="25">
        <f>Inventory[[#This Row],[MainFn]]*Lookups!$B$86</f>
        <v>63687.775471453002</v>
      </c>
      <c r="AW1512" s="25">
        <f>Inventory[[#This Row],[UpprFn]]*Lookups!$B$87</f>
        <v>18810.297601620001</v>
      </c>
      <c r="AX1512" s="25">
        <f>Inventory[[#This Row],[AddFn]]*Lookups!$B$88</f>
        <v>0</v>
      </c>
      <c r="AY1512" s="25">
        <f>Inventory[[#This Row],[Bsmt]]*Lookups!$B$89</f>
        <v>0</v>
      </c>
      <c r="AZ1512" s="25">
        <f>Inventory[[#This Row],[Fixtures]]*Lookups!$B$90</f>
        <v>30336.176841600001</v>
      </c>
      <c r="BA1512" s="25">
        <f>Inventory[[#This Row],[WdDeck]]*Lookups!$B$91</f>
        <v>6992.0582079600008</v>
      </c>
      <c r="BB1512" s="25">
        <f>ROUND(Inventory[[#This Row],[25Det]],-2)</f>
        <v>0</v>
      </c>
      <c r="BC1512" s="25">
        <f>ROUND(SUM(Inventory[[#This Row],[Mdl Qlty]:[Mdl WdDeck]])+Inventory[[#This Row],[Mdl Res Intercept]],-2)</f>
        <v>349900</v>
      </c>
      <c r="BD1512" s="25">
        <f>ROUND(Inventory[[#This Row],[Mdl Land Intercept]]+Inventory[[#This Row],[Mdl LnAcres]],-2)</f>
        <v>44700</v>
      </c>
      <c r="BE1512" s="25">
        <f>Inventory[[#This Row],[Unadj Res Value]]+Inventory[[#This Row],[Unadj Det Value]]+Inventory[[#This Row],[Unadj Land Value]]</f>
        <v>394600</v>
      </c>
      <c r="BF1512" s="36">
        <f>(Inventory[[#This Row],[Unadj Total Value]]-Inventory[[#This Row],[24Final]])/Inventory[[#This Row],[24Final]]</f>
        <v>0.10905002810567735</v>
      </c>
      <c r="BG1512" s="25">
        <f>VLOOKUP(Inventory[[#This Row],[Nbhd]],Lookups!$Q$2:$T$4,4,FALSE)</f>
        <v>0.99970000000000003</v>
      </c>
      <c r="BH1512" s="25">
        <f>VLOOKUP(Inventory[[#This Row],[Qlty]],Lookups!$O$7:$R$21,4,FALSE)</f>
        <v>0.98050000000000004</v>
      </c>
      <c r="BI1512" s="25">
        <f>VLOOKUP(Inventory[[#This Row],[Cnd]],Lookups!$T$7:$W$16,4,FALSE)</f>
        <v>0.99650000000000005</v>
      </c>
      <c r="BJ1512" s="25">
        <f>VLOOKUP(Inventory[[#This Row],[LivArea Range]],Lookups!$T$25:$W$37,4,FALSE)</f>
        <v>1.0093000000000001</v>
      </c>
      <c r="BK1512" s="25">
        <f>VLOOKUP(Inventory[[#This Row],[Decade]],Lookups!$O$25:$R$42,4,FALSE)</f>
        <v>0.98909999999999998</v>
      </c>
      <c r="BL1512" s="25">
        <f>Inventory[[#This Row],[Nbhd Adj]]*0.95</f>
        <v>0.94971499999999998</v>
      </c>
      <c r="BM1512" s="25">
        <f>Inventory[[#This Row],[Nbhd Adj]]*Inventory[[#This Row],[Quality Adj]]*Inventory[[#This Row],[Condition Adj]]*Inventory[[#This Row],[Living Area Adj]]*Inventory[[#This Row],[Decade Adj]]*0.95</f>
        <v>0.92635760994173622</v>
      </c>
      <c r="BN1512" s="25">
        <f>ROUND(SUM(Inventory[[#This Row],[Mdl Qlty]:[Mdl WdDeck]])+Inventory[[#This Row],[Mdl Res Intercept]]*Inventory[[#This Row],[Res Adj ]],-2)</f>
        <v>349900</v>
      </c>
      <c r="BO1512" s="25">
        <f>ROUND(Inventory[[#This Row],[25Det]]*Inventory[[#This Row],[Det/Nbhd Adj]],-2)</f>
        <v>0</v>
      </c>
      <c r="BP1512" s="25">
        <f>Inventory[[#This Row],[Adjusted Res]]+Inventory[[#This Row],[Adj Det ]]</f>
        <v>349900</v>
      </c>
      <c r="BQ1512" s="25">
        <f>ROUND((Inventory[[#This Row],[Mdl Land Intercept]]+Inventory[[#This Row],[Mdl LnAcres]])*Inventory[[#This Row],[Det/Nbhd Adj]],-2)</f>
        <v>42400</v>
      </c>
      <c r="BR1512" s="25">
        <f>Inventory[[#This Row],[Adjusted Impr Total]]+Inventory[[#This Row],[Adjusted Land Total]]</f>
        <v>392300</v>
      </c>
      <c r="BS1512" s="36">
        <f>IFERROR((Inventory[[#This Row],[Adjusted Impr Total]]-Inventory[[#This Row],[24Bldg]])/Inventory[[#This Row],[24Bldg]],0)</f>
        <v>0.20240549828178694</v>
      </c>
      <c r="BT1512" s="36">
        <f>(Inventory[[#This Row],[Adjusted Land Total]]-Inventory[[#This Row],[24Lnd]])/Inventory[[#This Row],[24Lnd]]</f>
        <v>-0.34567901234567899</v>
      </c>
      <c r="BU1512" s="36">
        <f>(Inventory[[#This Row],[Adjusted Total]]-Inventory[[#This Row],[24Final]])/Inventory[[#This Row],[24Final]]</f>
        <v>0.10258572231590782</v>
      </c>
    </row>
    <row r="1513" spans="1:73" x14ac:dyDescent="0.3">
      <c r="A1513" s="25">
        <v>2025</v>
      </c>
      <c r="B1513" s="26" t="s">
        <v>1189</v>
      </c>
      <c r="C1513" s="26">
        <f>LN(Inventory[[#This Row],[Acres]])</f>
        <v>-1.4696759700589417</v>
      </c>
      <c r="D1513" s="25">
        <v>0.23</v>
      </c>
      <c r="E1513" s="27"/>
      <c r="F1513" s="26" t="s">
        <v>537</v>
      </c>
      <c r="G1513" s="26" t="s">
        <v>126</v>
      </c>
      <c r="H1513" s="26" t="s">
        <v>349</v>
      </c>
      <c r="I1513" s="26" t="s">
        <v>538</v>
      </c>
      <c r="J1513" s="26" t="s">
        <v>539</v>
      </c>
      <c r="K1513" s="26" t="s">
        <v>242</v>
      </c>
      <c r="L1513" s="26" t="s">
        <v>148</v>
      </c>
      <c r="M1513" s="26" t="s">
        <v>303</v>
      </c>
      <c r="N1513" s="26">
        <v>90</v>
      </c>
      <c r="O1513" s="26">
        <f>2024-Inventory[[#This Row],[YrBlt]]</f>
        <v>89</v>
      </c>
      <c r="P1513" s="26">
        <f>2024-Inventory[[#This Row],[EffYr]]</f>
        <v>53</v>
      </c>
      <c r="Q1513" s="25">
        <v>1935</v>
      </c>
      <c r="R1513" s="25">
        <v>1971</v>
      </c>
      <c r="S1513" s="25">
        <v>1380</v>
      </c>
      <c r="T1513" s="27"/>
      <c r="U1513" s="32">
        <v>1358</v>
      </c>
      <c r="V1513" s="32">
        <f>Inventory[[#This Row],[Bsmt]]-Inventory[[#This Row],[FnBsmt]]</f>
        <v>1358</v>
      </c>
      <c r="W1513" s="32">
        <v>0</v>
      </c>
      <c r="X1513" s="27"/>
      <c r="Y1513" s="27">
        <f>Inventory[[#This Row],[MainFn]]+Inventory[[#This Row],[UpprFn]]+Inventory[[#This Row],[FnBsmt]]+Inventory[[#This Row],[AddFn]]</f>
        <v>1380</v>
      </c>
      <c r="Z1513" s="27">
        <v>1500</v>
      </c>
      <c r="AA1513" s="25">
        <v>9</v>
      </c>
      <c r="AB1513" s="27"/>
      <c r="AC1513" s="27"/>
      <c r="AD1513" s="27"/>
      <c r="AE1513" s="27"/>
      <c r="AF1513" s="27"/>
      <c r="AG1513" s="27"/>
      <c r="AH1513" s="27"/>
      <c r="AI1513" s="25">
        <v>404652</v>
      </c>
      <c r="AJ1513" s="25">
        <v>279210</v>
      </c>
      <c r="AK1513" s="25">
        <v>14106</v>
      </c>
      <c r="AL1513" s="25">
        <v>387200</v>
      </c>
      <c r="AM1513" s="25">
        <v>63300</v>
      </c>
      <c r="AN1513" s="25">
        <v>323900</v>
      </c>
      <c r="AO1513" s="25">
        <v>0</v>
      </c>
      <c r="AP1513" s="25">
        <f>Lookups!$B$56*0</f>
        <v>0</v>
      </c>
      <c r="AQ1513" s="25">
        <f>Lookups!$B$56*1</f>
        <v>89850.625589999996</v>
      </c>
      <c r="AR1513" s="25">
        <f>Lookups!$B$57*Inventory[[#This Row],[LnAcres]]</f>
        <v>-46522.028095997222</v>
      </c>
      <c r="AS1513" s="25">
        <f>VLOOKUP(Inventory[[#This Row],[Qlty]],Lookups!$A$62:$E$75,2,FALSE)</f>
        <v>44121.038090000002</v>
      </c>
      <c r="AT1513" s="25">
        <f>VLOOKUP(Inventory[[#This Row],[Cnd]],Lookups!$A$76:$E$84,2,FALSE)</f>
        <v>197752.34721000001</v>
      </c>
      <c r="AU1513" s="25">
        <f>Inventory[[#This Row],[EffAge]]*Lookups!$B$85</f>
        <v>-11821.416826500001</v>
      </c>
      <c r="AV1513" s="25">
        <f>Inventory[[#This Row],[MainFn]]*Lookups!$B$86</f>
        <v>68183.964430260006</v>
      </c>
      <c r="AW1513" s="25">
        <f>Inventory[[#This Row],[UpprFn]]*Lookups!$B$87</f>
        <v>0</v>
      </c>
      <c r="AX1513" s="25">
        <f>Inventory[[#This Row],[AddFn]]*Lookups!$B$88</f>
        <v>0</v>
      </c>
      <c r="AY1513" s="25">
        <f>Inventory[[#This Row],[Bsmt]]*Lookups!$B$89</f>
        <v>39493.213745426001</v>
      </c>
      <c r="AZ1513" s="25">
        <f>Inventory[[#This Row],[Fixtures]]*Lookups!$B$90</f>
        <v>34128.198946800003</v>
      </c>
      <c r="BA1513" s="25">
        <f>Inventory[[#This Row],[WdDeck]]*Lookups!$B$91</f>
        <v>0</v>
      </c>
      <c r="BB1513" s="25">
        <f>ROUND(Inventory[[#This Row],[25Det]],-2)</f>
        <v>14100</v>
      </c>
      <c r="BC1513" s="25">
        <f>ROUND(SUM(Inventory[[#This Row],[Mdl Qlty]:[Mdl WdDeck]])+Inventory[[#This Row],[Mdl Res Intercept]],-2)</f>
        <v>371900</v>
      </c>
      <c r="BD1513" s="25">
        <f>ROUND(Inventory[[#This Row],[Mdl Land Intercept]]+Inventory[[#This Row],[Mdl LnAcres]],-2)</f>
        <v>43300</v>
      </c>
      <c r="BE1513" s="25">
        <f>Inventory[[#This Row],[Unadj Res Value]]+Inventory[[#This Row],[Unadj Det Value]]+Inventory[[#This Row],[Unadj Land Value]]</f>
        <v>429300</v>
      </c>
      <c r="BF1513" s="36">
        <f>(Inventory[[#This Row],[Unadj Total Value]]-Inventory[[#This Row],[24Final]])/Inventory[[#This Row],[24Final]]</f>
        <v>0.10872933884297521</v>
      </c>
      <c r="BG1513" s="25">
        <f>VLOOKUP(Inventory[[#This Row],[Nbhd]],Lookups!$Q$2:$T$4,4,FALSE)</f>
        <v>0.99970000000000003</v>
      </c>
      <c r="BH1513" s="25">
        <f>VLOOKUP(Inventory[[#This Row],[Qlty]],Lookups!$O$7:$R$21,4,FALSE)</f>
        <v>0.98050000000000004</v>
      </c>
      <c r="BI1513" s="25">
        <f>VLOOKUP(Inventory[[#This Row],[Cnd]],Lookups!$T$7:$W$16,4,FALSE)</f>
        <v>0.99650000000000005</v>
      </c>
      <c r="BJ1513" s="25">
        <f>VLOOKUP(Inventory[[#This Row],[LivArea Range]],Lookups!$T$25:$W$37,4,FALSE)</f>
        <v>1.0157</v>
      </c>
      <c r="BK1513" s="25">
        <f>VLOOKUP(Inventory[[#This Row],[Decade]],Lookups!$O$25:$R$42,4,FALSE)</f>
        <v>0.98909999999999998</v>
      </c>
      <c r="BL1513" s="25">
        <f>Inventory[[#This Row],[Nbhd Adj]]*0.95</f>
        <v>0.94971499999999998</v>
      </c>
      <c r="BM1513" s="25">
        <f>Inventory[[#This Row],[Nbhd Adj]]*Inventory[[#This Row],[Quality Adj]]*Inventory[[#This Row],[Condition Adj]]*Inventory[[#This Row],[Living Area Adj]]*Inventory[[#This Row],[Decade Adj]]*0.95</f>
        <v>0.93223166988786421</v>
      </c>
      <c r="BN1513" s="25">
        <f>ROUND(SUM(Inventory[[#This Row],[Mdl Qlty]:[Mdl WdDeck]])+Inventory[[#This Row],[Mdl Res Intercept]]*Inventory[[#This Row],[Res Adj ]],-2)</f>
        <v>371900</v>
      </c>
      <c r="BO1513" s="25">
        <f>ROUND(Inventory[[#This Row],[25Det]]*Inventory[[#This Row],[Det/Nbhd Adj]],-2)</f>
        <v>13400</v>
      </c>
      <c r="BP1513" s="25">
        <f>Inventory[[#This Row],[Adjusted Res]]+Inventory[[#This Row],[Adj Det ]]</f>
        <v>385300</v>
      </c>
      <c r="BQ1513" s="25">
        <f>ROUND((Inventory[[#This Row],[Mdl Land Intercept]]+Inventory[[#This Row],[Mdl LnAcres]])*Inventory[[#This Row],[Det/Nbhd Adj]],-2)</f>
        <v>41100</v>
      </c>
      <c r="BR1513" s="25">
        <f>Inventory[[#This Row],[Adjusted Impr Total]]+Inventory[[#This Row],[Adjusted Land Total]]</f>
        <v>426400</v>
      </c>
      <c r="BS1513" s="36">
        <f>IFERROR((Inventory[[#This Row],[Adjusted Impr Total]]-Inventory[[#This Row],[24Bldg]])/Inventory[[#This Row],[24Bldg]],0)</f>
        <v>0.18956468045693114</v>
      </c>
      <c r="BT1513" s="36">
        <f>(Inventory[[#This Row],[Adjusted Land Total]]-Inventory[[#This Row],[24Lnd]])/Inventory[[#This Row],[24Lnd]]</f>
        <v>-0.35071090047393366</v>
      </c>
      <c r="BU1513" s="36">
        <f>(Inventory[[#This Row],[Adjusted Total]]-Inventory[[#This Row],[24Final]])/Inventory[[#This Row],[24Final]]</f>
        <v>0.1012396694214876</v>
      </c>
    </row>
    <row r="1514" spans="1:73" x14ac:dyDescent="0.3">
      <c r="A1514" s="25">
        <v>2025</v>
      </c>
      <c r="B1514" s="26" t="s">
        <v>640</v>
      </c>
      <c r="C1514" s="26">
        <f>LN(Inventory[[#This Row],[Acres]])</f>
        <v>-1.5606477482646683</v>
      </c>
      <c r="D1514" s="25">
        <v>0.21</v>
      </c>
      <c r="E1514" s="32">
        <v>9286</v>
      </c>
      <c r="F1514" s="26" t="s">
        <v>537</v>
      </c>
      <c r="G1514" s="26" t="s">
        <v>126</v>
      </c>
      <c r="H1514" s="26" t="s">
        <v>349</v>
      </c>
      <c r="I1514" s="26" t="s">
        <v>538</v>
      </c>
      <c r="J1514" s="26" t="s">
        <v>539</v>
      </c>
      <c r="K1514" s="26" t="s">
        <v>242</v>
      </c>
      <c r="L1514" s="26" t="s">
        <v>205</v>
      </c>
      <c r="M1514" s="26" t="s">
        <v>303</v>
      </c>
      <c r="N1514" s="26">
        <v>90</v>
      </c>
      <c r="O1514" s="26">
        <f>2024-Inventory[[#This Row],[YrBlt]]</f>
        <v>89</v>
      </c>
      <c r="P1514" s="26">
        <f>2024-Inventory[[#This Row],[EffYr]]</f>
        <v>14</v>
      </c>
      <c r="Q1514" s="25">
        <v>1935</v>
      </c>
      <c r="R1514" s="25">
        <v>2010</v>
      </c>
      <c r="S1514" s="25">
        <v>702</v>
      </c>
      <c r="T1514" s="31"/>
      <c r="U1514" s="25">
        <v>351</v>
      </c>
      <c r="V1514" s="32">
        <f>Inventory[[#This Row],[Bsmt]]-Inventory[[#This Row],[FnBsmt]]</f>
        <v>0</v>
      </c>
      <c r="W1514" s="32">
        <v>351</v>
      </c>
      <c r="X1514" s="27"/>
      <c r="Y1514" s="27">
        <f>Inventory[[#This Row],[MainFn]]+Inventory[[#This Row],[UpprFn]]+Inventory[[#This Row],[FnBsmt]]+Inventory[[#This Row],[AddFn]]</f>
        <v>1053</v>
      </c>
      <c r="Z1514" s="27">
        <v>1500</v>
      </c>
      <c r="AA1514" s="25">
        <v>5</v>
      </c>
      <c r="AB1514" s="27"/>
      <c r="AC1514" s="27"/>
      <c r="AD1514" s="27"/>
      <c r="AE1514" s="27"/>
      <c r="AF1514" s="27"/>
      <c r="AG1514" s="27"/>
      <c r="AH1514" s="27"/>
      <c r="AI1514" s="25">
        <v>147051</v>
      </c>
      <c r="AJ1514" s="25">
        <v>136757</v>
      </c>
      <c r="AK1514" s="25">
        <v>0</v>
      </c>
      <c r="AL1514" s="25">
        <v>269800</v>
      </c>
      <c r="AM1514" s="25">
        <v>60100</v>
      </c>
      <c r="AN1514" s="25">
        <v>209700</v>
      </c>
      <c r="AO1514" s="25">
        <v>0</v>
      </c>
      <c r="AP1514" s="25">
        <f>Lookups!$B$56*0</f>
        <v>0</v>
      </c>
      <c r="AQ1514" s="25">
        <f>Lookups!$B$56*1</f>
        <v>89850.625589999996</v>
      </c>
      <c r="AR1514" s="25">
        <f>Lookups!$B$57*Inventory[[#This Row],[LnAcres]]</f>
        <v>-49401.70477837498</v>
      </c>
      <c r="AS1514" s="25">
        <f>VLOOKUP(Inventory[[#This Row],[Qlty]],Lookups!$A$62:$E$75,2,FALSE)</f>
        <v>0</v>
      </c>
      <c r="AT1514" s="25">
        <f>VLOOKUP(Inventory[[#This Row],[Cnd]],Lookups!$A$76:$E$84,2,FALSE)</f>
        <v>197752.34721000001</v>
      </c>
      <c r="AU1514" s="25">
        <f>Inventory[[#This Row],[EffAge]]*Lookups!$B$85</f>
        <v>-3122.6384069999999</v>
      </c>
      <c r="AV1514" s="25">
        <f>Inventory[[#This Row],[MainFn]]*Lookups!$B$86</f>
        <v>34684.886253654004</v>
      </c>
      <c r="AW1514" s="25">
        <f>Inventory[[#This Row],[UpprFn]]*Lookups!$B$87</f>
        <v>0</v>
      </c>
      <c r="AX1514" s="25">
        <f>Inventory[[#This Row],[AddFn]]*Lookups!$B$88</f>
        <v>0</v>
      </c>
      <c r="AY1514" s="25">
        <f>Inventory[[#This Row],[Bsmt]]*Lookups!$B$89</f>
        <v>10207.745231696999</v>
      </c>
      <c r="AZ1514" s="25">
        <f>Inventory[[#This Row],[Fixtures]]*Lookups!$B$90</f>
        <v>18960.110526</v>
      </c>
      <c r="BA1514" s="25">
        <f>Inventory[[#This Row],[WdDeck]]*Lookups!$B$91</f>
        <v>0</v>
      </c>
      <c r="BB1514" s="25">
        <f>ROUND(Inventory[[#This Row],[25Det]],-2)</f>
        <v>0</v>
      </c>
      <c r="BC1514" s="25">
        <f>ROUND(SUM(Inventory[[#This Row],[Mdl Qlty]:[Mdl WdDeck]])+Inventory[[#This Row],[Mdl Res Intercept]],-2)</f>
        <v>258500</v>
      </c>
      <c r="BD1514" s="25">
        <f>ROUND(Inventory[[#This Row],[Mdl Land Intercept]]+Inventory[[#This Row],[Mdl LnAcres]],-2)</f>
        <v>40400</v>
      </c>
      <c r="BE1514" s="25">
        <f>Inventory[[#This Row],[Unadj Res Value]]+Inventory[[#This Row],[Unadj Det Value]]+Inventory[[#This Row],[Unadj Land Value]]</f>
        <v>298900</v>
      </c>
      <c r="BF1514" s="36">
        <f>(Inventory[[#This Row],[Unadj Total Value]]-Inventory[[#This Row],[24Final]])/Inventory[[#This Row],[24Final]]</f>
        <v>0.1078576723498888</v>
      </c>
      <c r="BG1514" s="25">
        <f>VLOOKUP(Inventory[[#This Row],[Nbhd]],Lookups!$Q$2:$T$4,4,FALSE)</f>
        <v>0.99970000000000003</v>
      </c>
      <c r="BH1514" s="25">
        <f>VLOOKUP(Inventory[[#This Row],[Qlty]],Lookups!$O$7:$R$21,4,FALSE)</f>
        <v>0.99180000000000001</v>
      </c>
      <c r="BI1514" s="25">
        <f>VLOOKUP(Inventory[[#This Row],[Cnd]],Lookups!$T$7:$W$16,4,FALSE)</f>
        <v>0.99650000000000005</v>
      </c>
      <c r="BJ1514" s="25">
        <f>VLOOKUP(Inventory[[#This Row],[LivArea Range]],Lookups!$T$25:$W$37,4,FALSE)</f>
        <v>1.0157</v>
      </c>
      <c r="BK1514" s="25">
        <f>VLOOKUP(Inventory[[#This Row],[Decade]],Lookups!$O$25:$R$42,4,FALSE)</f>
        <v>0.98909999999999998</v>
      </c>
      <c r="BL1514" s="25">
        <f>Inventory[[#This Row],[Nbhd Adj]]*0.95</f>
        <v>0.94971499999999998</v>
      </c>
      <c r="BM1514" s="25">
        <f>Inventory[[#This Row],[Nbhd Adj]]*Inventory[[#This Row],[Quality Adj]]*Inventory[[#This Row],[Condition Adj]]*Inventory[[#This Row],[Living Area Adj]]*Inventory[[#This Row],[Decade Adj]]*0.95</f>
        <v>0.94297539030574595</v>
      </c>
      <c r="BN1514" s="25">
        <f>ROUND(SUM(Inventory[[#This Row],[Mdl Qlty]:[Mdl WdDeck]])+Inventory[[#This Row],[Mdl Res Intercept]]*Inventory[[#This Row],[Res Adj ]],-2)</f>
        <v>258500</v>
      </c>
      <c r="BO1514" s="25">
        <f>ROUND(Inventory[[#This Row],[25Det]]*Inventory[[#This Row],[Det/Nbhd Adj]],-2)</f>
        <v>0</v>
      </c>
      <c r="BP1514" s="25">
        <f>Inventory[[#This Row],[Adjusted Res]]+Inventory[[#This Row],[Adj Det ]]</f>
        <v>258500</v>
      </c>
      <c r="BQ1514" s="25">
        <f>ROUND((Inventory[[#This Row],[Mdl Land Intercept]]+Inventory[[#This Row],[Mdl LnAcres]])*Inventory[[#This Row],[Det/Nbhd Adj]],-2)</f>
        <v>38400</v>
      </c>
      <c r="BR1514" s="25">
        <f>Inventory[[#This Row],[Adjusted Impr Total]]+Inventory[[#This Row],[Adjusted Land Total]]</f>
        <v>296900</v>
      </c>
      <c r="BS1514" s="36">
        <f>IFERROR((Inventory[[#This Row],[Adjusted Impr Total]]-Inventory[[#This Row],[24Bldg]])/Inventory[[#This Row],[24Bldg]],0)</f>
        <v>0.23271340009537433</v>
      </c>
      <c r="BT1514" s="36">
        <f>(Inventory[[#This Row],[Adjusted Land Total]]-Inventory[[#This Row],[24Lnd]])/Inventory[[#This Row],[24Lnd]]</f>
        <v>-0.36106489184692181</v>
      </c>
      <c r="BU1514" s="36">
        <f>(Inventory[[#This Row],[Adjusted Total]]-Inventory[[#This Row],[24Final]])/Inventory[[#This Row],[24Final]]</f>
        <v>0.10044477390659748</v>
      </c>
    </row>
    <row r="1515" spans="1:73" x14ac:dyDescent="0.3">
      <c r="A1515" s="25">
        <v>2025</v>
      </c>
      <c r="B1515" s="26" t="s">
        <v>2107</v>
      </c>
      <c r="C1515" s="26">
        <f>LN(Inventory[[#This Row],[Acres]])</f>
        <v>-1.6094379124341003</v>
      </c>
      <c r="D1515" s="25">
        <v>0.2</v>
      </c>
      <c r="E1515" s="32">
        <v>8624</v>
      </c>
      <c r="F1515" s="26" t="s">
        <v>537</v>
      </c>
      <c r="G1515" s="26" t="s">
        <v>126</v>
      </c>
      <c r="H1515" s="26" t="s">
        <v>349</v>
      </c>
      <c r="I1515" s="26" t="s">
        <v>538</v>
      </c>
      <c r="J1515" s="26" t="s">
        <v>539</v>
      </c>
      <c r="K1515" s="26" t="s">
        <v>241</v>
      </c>
      <c r="L1515" s="26" t="s">
        <v>351</v>
      </c>
      <c r="M1515" s="26" t="s">
        <v>303</v>
      </c>
      <c r="N1515" s="26">
        <v>90</v>
      </c>
      <c r="O1515" s="26">
        <f>2024-Inventory[[#This Row],[YrBlt]]</f>
        <v>89</v>
      </c>
      <c r="P1515" s="26">
        <f>2024-Inventory[[#This Row],[EffYr]]</f>
        <v>53</v>
      </c>
      <c r="Q1515" s="25">
        <v>1935</v>
      </c>
      <c r="R1515" s="25">
        <v>1971</v>
      </c>
      <c r="S1515" s="25">
        <v>1107</v>
      </c>
      <c r="T1515" s="27"/>
      <c r="U1515" s="31"/>
      <c r="V1515" s="31">
        <f>Inventory[[#This Row],[Bsmt]]-Inventory[[#This Row],[FnBsmt]]</f>
        <v>0</v>
      </c>
      <c r="W1515" s="31"/>
      <c r="X1515" s="27"/>
      <c r="Y1515" s="27">
        <f>Inventory[[#This Row],[MainFn]]+Inventory[[#This Row],[UpprFn]]+Inventory[[#This Row],[FnBsmt]]+Inventory[[#This Row],[AddFn]]</f>
        <v>1107</v>
      </c>
      <c r="Z1515" s="27">
        <v>1500</v>
      </c>
      <c r="AA1515" s="25">
        <v>5</v>
      </c>
      <c r="AB1515" s="32">
        <v>252</v>
      </c>
      <c r="AC1515" s="27"/>
      <c r="AD1515" s="31"/>
      <c r="AE1515" s="27"/>
      <c r="AF1515" s="27"/>
      <c r="AG1515" s="27"/>
      <c r="AH1515" s="27"/>
      <c r="AI1515" s="25">
        <v>184757</v>
      </c>
      <c r="AJ1515" s="25">
        <v>127482</v>
      </c>
      <c r="AK1515" s="25">
        <v>0</v>
      </c>
      <c r="AL1515" s="25">
        <v>289600</v>
      </c>
      <c r="AM1515" s="25">
        <v>58400</v>
      </c>
      <c r="AN1515" s="25">
        <v>231200</v>
      </c>
      <c r="AO1515" s="25">
        <v>0</v>
      </c>
      <c r="AP1515" s="25">
        <f>Lookups!$B$56*0</f>
        <v>0</v>
      </c>
      <c r="AQ1515" s="25">
        <f>Lookups!$B$56*1</f>
        <v>89850.625589999996</v>
      </c>
      <c r="AR1515" s="25">
        <f>Lookups!$B$57*Inventory[[#This Row],[LnAcres]]</f>
        <v>-50946.13867709865</v>
      </c>
      <c r="AS1515" s="25">
        <f>VLOOKUP(Inventory[[#This Row],[Qlty]],Lookups!$A$62:$E$75,2,FALSE)</f>
        <v>21557.329055999999</v>
      </c>
      <c r="AT1515" s="25">
        <f>VLOOKUP(Inventory[[#This Row],[Cnd]],Lookups!$A$76:$E$84,2,FALSE)</f>
        <v>197752.34721000001</v>
      </c>
      <c r="AU1515" s="25">
        <f>Inventory[[#This Row],[EffAge]]*Lookups!$B$85</f>
        <v>-11821.416826500001</v>
      </c>
      <c r="AV1515" s="25">
        <f>Inventory[[#This Row],[MainFn]]*Lookups!$B$86</f>
        <v>54695.397553839</v>
      </c>
      <c r="AW1515" s="25">
        <f>Inventory[[#This Row],[UpprFn]]*Lookups!$B$87</f>
        <v>0</v>
      </c>
      <c r="AX1515" s="25">
        <f>Inventory[[#This Row],[AddFn]]*Lookups!$B$88</f>
        <v>0</v>
      </c>
      <c r="AY1515" s="25">
        <f>Inventory[[#This Row],[Bsmt]]*Lookups!$B$89</f>
        <v>0</v>
      </c>
      <c r="AZ1515" s="25">
        <f>Inventory[[#This Row],[Fixtures]]*Lookups!$B$90</f>
        <v>18960.110526</v>
      </c>
      <c r="BA1515" s="25">
        <f>Inventory[[#This Row],[WdDeck]]*Lookups!$B$91</f>
        <v>0</v>
      </c>
      <c r="BB1515" s="25">
        <f>ROUND(Inventory[[#This Row],[25Det]],-2)</f>
        <v>0</v>
      </c>
      <c r="BC1515" s="25">
        <f>ROUND(SUM(Inventory[[#This Row],[Mdl Qlty]:[Mdl WdDeck]])+Inventory[[#This Row],[Mdl Res Intercept]],-2)</f>
        <v>281100</v>
      </c>
      <c r="BD1515" s="25">
        <f>ROUND(Inventory[[#This Row],[Mdl Land Intercept]]+Inventory[[#This Row],[Mdl LnAcres]],-2)</f>
        <v>38900</v>
      </c>
      <c r="BE1515" s="25">
        <f>Inventory[[#This Row],[Unadj Res Value]]+Inventory[[#This Row],[Unadj Det Value]]+Inventory[[#This Row],[Unadj Land Value]]</f>
        <v>320000</v>
      </c>
      <c r="BF1515" s="36">
        <f>(Inventory[[#This Row],[Unadj Total Value]]-Inventory[[#This Row],[24Final]])/Inventory[[#This Row],[24Final]]</f>
        <v>0.10497237569060773</v>
      </c>
      <c r="BG1515" s="25">
        <f>VLOOKUP(Inventory[[#This Row],[Nbhd]],Lookups!$Q$2:$T$4,4,FALSE)</f>
        <v>0.99970000000000003</v>
      </c>
      <c r="BH1515" s="25">
        <f>VLOOKUP(Inventory[[#This Row],[Qlty]],Lookups!$O$7:$R$21,4,FALSE)</f>
        <v>1.0067999999999999</v>
      </c>
      <c r="BI1515" s="25">
        <f>VLOOKUP(Inventory[[#This Row],[Cnd]],Lookups!$T$7:$W$16,4,FALSE)</f>
        <v>0.99650000000000005</v>
      </c>
      <c r="BJ1515" s="25">
        <f>VLOOKUP(Inventory[[#This Row],[LivArea Range]],Lookups!$T$25:$W$37,4,FALSE)</f>
        <v>1.0157</v>
      </c>
      <c r="BK1515" s="25">
        <f>VLOOKUP(Inventory[[#This Row],[Decade]],Lookups!$O$25:$R$42,4,FALSE)</f>
        <v>0.98909999999999998</v>
      </c>
      <c r="BL1515" s="25">
        <f>Inventory[[#This Row],[Nbhd Adj]]*0.95</f>
        <v>0.94971499999999998</v>
      </c>
      <c r="BM1515" s="25">
        <f>Inventory[[#This Row],[Nbhd Adj]]*Inventory[[#This Row],[Quality Adj]]*Inventory[[#This Row],[Condition Adj]]*Inventory[[#This Row],[Living Area Adj]]*Inventory[[#This Row],[Decade Adj]]*0.95</f>
        <v>0.95723696608169473</v>
      </c>
      <c r="BN1515" s="25">
        <f>ROUND(SUM(Inventory[[#This Row],[Mdl Qlty]:[Mdl WdDeck]])+Inventory[[#This Row],[Mdl Res Intercept]]*Inventory[[#This Row],[Res Adj ]],-2)</f>
        <v>281100</v>
      </c>
      <c r="BO1515" s="25">
        <f>ROUND(Inventory[[#This Row],[25Det]]*Inventory[[#This Row],[Det/Nbhd Adj]],-2)</f>
        <v>0</v>
      </c>
      <c r="BP1515" s="25">
        <f>Inventory[[#This Row],[Adjusted Res]]+Inventory[[#This Row],[Adj Det ]]</f>
        <v>281100</v>
      </c>
      <c r="BQ1515" s="25">
        <f>ROUND((Inventory[[#This Row],[Mdl Land Intercept]]+Inventory[[#This Row],[Mdl LnAcres]])*Inventory[[#This Row],[Det/Nbhd Adj]],-2)</f>
        <v>36900</v>
      </c>
      <c r="BR1515" s="25">
        <f>Inventory[[#This Row],[Adjusted Impr Total]]+Inventory[[#This Row],[Adjusted Land Total]]</f>
        <v>318000</v>
      </c>
      <c r="BS1515" s="36">
        <f>IFERROR((Inventory[[#This Row],[Adjusted Impr Total]]-Inventory[[#This Row],[24Bldg]])/Inventory[[#This Row],[24Bldg]],0)</f>
        <v>0.21583044982698962</v>
      </c>
      <c r="BT1515" s="36">
        <f>(Inventory[[#This Row],[Adjusted Land Total]]-Inventory[[#This Row],[24Lnd]])/Inventory[[#This Row],[24Lnd]]</f>
        <v>-0.36815068493150682</v>
      </c>
      <c r="BU1515" s="36">
        <f>(Inventory[[#This Row],[Adjusted Total]]-Inventory[[#This Row],[24Final]])/Inventory[[#This Row],[24Final]]</f>
        <v>9.8066298342541436E-2</v>
      </c>
    </row>
    <row r="1516" spans="1:73" x14ac:dyDescent="0.3">
      <c r="A1516" s="25">
        <v>2025</v>
      </c>
      <c r="B1516" s="26" t="s">
        <v>1315</v>
      </c>
      <c r="C1516" s="26">
        <f>LN(Inventory[[#This Row],[Acres]])</f>
        <v>-1.8971199848858813</v>
      </c>
      <c r="D1516" s="25">
        <v>0.15</v>
      </c>
      <c r="E1516" s="27"/>
      <c r="F1516" s="26" t="s">
        <v>537</v>
      </c>
      <c r="G1516" s="26" t="s">
        <v>126</v>
      </c>
      <c r="H1516" s="26" t="s">
        <v>349</v>
      </c>
      <c r="I1516" s="26" t="s">
        <v>538</v>
      </c>
      <c r="J1516" s="26" t="s">
        <v>539</v>
      </c>
      <c r="K1516" s="26" t="s">
        <v>242</v>
      </c>
      <c r="L1516" s="26" t="s">
        <v>351</v>
      </c>
      <c r="M1516" s="26" t="s">
        <v>323</v>
      </c>
      <c r="N1516" s="26">
        <v>90</v>
      </c>
      <c r="O1516" s="26">
        <f>2024-Inventory[[#This Row],[YrBlt]]</f>
        <v>89</v>
      </c>
      <c r="P1516" s="26">
        <f>2024-Inventory[[#This Row],[EffYr]]</f>
        <v>53</v>
      </c>
      <c r="Q1516" s="25">
        <v>1935</v>
      </c>
      <c r="R1516" s="25">
        <v>1971</v>
      </c>
      <c r="S1516" s="25">
        <v>1106</v>
      </c>
      <c r="T1516" s="31"/>
      <c r="U1516" s="25">
        <v>1106</v>
      </c>
      <c r="V1516" s="25">
        <f>Inventory[[#This Row],[Bsmt]]-Inventory[[#This Row],[FnBsmt]]</f>
        <v>1106</v>
      </c>
      <c r="W1516" s="31"/>
      <c r="X1516" s="27"/>
      <c r="Y1516" s="27">
        <f>Inventory[[#This Row],[MainFn]]+Inventory[[#This Row],[UpprFn]]+Inventory[[#This Row],[FnBsmt]]+Inventory[[#This Row],[AddFn]]</f>
        <v>1106</v>
      </c>
      <c r="Z1516" s="27">
        <v>1500</v>
      </c>
      <c r="AA1516" s="25">
        <v>5</v>
      </c>
      <c r="AB1516" s="27"/>
      <c r="AC1516" s="27"/>
      <c r="AD1516" s="27"/>
      <c r="AE1516" s="27"/>
      <c r="AF1516" s="27"/>
      <c r="AG1516" s="27"/>
      <c r="AH1516" s="27"/>
      <c r="AI1516" s="25">
        <v>233754</v>
      </c>
      <c r="AJ1516" s="25">
        <v>156615</v>
      </c>
      <c r="AK1516" s="25">
        <v>8240</v>
      </c>
      <c r="AL1516" s="25">
        <v>284400</v>
      </c>
      <c r="AM1516" s="25">
        <v>48400</v>
      </c>
      <c r="AN1516" s="25">
        <v>236000</v>
      </c>
      <c r="AO1516" s="25">
        <v>0</v>
      </c>
      <c r="AP1516" s="25">
        <f>Lookups!$B$56*0</f>
        <v>0</v>
      </c>
      <c r="AQ1516" s="25">
        <f>Lookups!$B$56*1</f>
        <v>89850.625589999996</v>
      </c>
      <c r="AR1516" s="25">
        <f>Lookups!$B$57*Inventory[[#This Row],[LnAcres]]</f>
        <v>-60052.604136134301</v>
      </c>
      <c r="AS1516" s="25">
        <f>VLOOKUP(Inventory[[#This Row],[Qlty]],Lookups!$A$62:$E$75,2,FALSE)</f>
        <v>21557.329055999999</v>
      </c>
      <c r="AT1516" s="25">
        <f>VLOOKUP(Inventory[[#This Row],[Cnd]],Lookups!$A$76:$E$84,2,FALSE)</f>
        <v>160472.20319</v>
      </c>
      <c r="AU1516" s="25">
        <f>Inventory[[#This Row],[EffAge]]*Lookups!$B$85</f>
        <v>-11821.416826500001</v>
      </c>
      <c r="AV1516" s="25">
        <f>Inventory[[#This Row],[MainFn]]*Lookups!$B$86</f>
        <v>54645.988883962003</v>
      </c>
      <c r="AW1516" s="25">
        <f>Inventory[[#This Row],[UpprFn]]*Lookups!$B$87</f>
        <v>0</v>
      </c>
      <c r="AX1516" s="25">
        <f>Inventory[[#This Row],[AddFn]]*Lookups!$B$88</f>
        <v>0</v>
      </c>
      <c r="AY1516" s="25">
        <f>Inventory[[#This Row],[Bsmt]]*Lookups!$B$89</f>
        <v>32164.576143181999</v>
      </c>
      <c r="AZ1516" s="25">
        <f>Inventory[[#This Row],[Fixtures]]*Lookups!$B$90</f>
        <v>18960.110526</v>
      </c>
      <c r="BA1516" s="25">
        <f>Inventory[[#This Row],[WdDeck]]*Lookups!$B$91</f>
        <v>0</v>
      </c>
      <c r="BB1516" s="25">
        <f>ROUND(Inventory[[#This Row],[25Det]],-2)</f>
        <v>8200</v>
      </c>
      <c r="BC1516" s="25">
        <f>ROUND(SUM(Inventory[[#This Row],[Mdl Qlty]:[Mdl WdDeck]])+Inventory[[#This Row],[Mdl Res Intercept]],-2)</f>
        <v>276000</v>
      </c>
      <c r="BD1516" s="25">
        <f>ROUND(Inventory[[#This Row],[Mdl Land Intercept]]+Inventory[[#This Row],[Mdl LnAcres]],-2)</f>
        <v>29800</v>
      </c>
      <c r="BE1516" s="25">
        <f>Inventory[[#This Row],[Unadj Res Value]]+Inventory[[#This Row],[Unadj Det Value]]+Inventory[[#This Row],[Unadj Land Value]]</f>
        <v>314000</v>
      </c>
      <c r="BF1516" s="36">
        <f>(Inventory[[#This Row],[Unadj Total Value]]-Inventory[[#This Row],[24Final]])/Inventory[[#This Row],[24Final]]</f>
        <v>0.10407876230661041</v>
      </c>
      <c r="BG1516" s="25">
        <f>VLOOKUP(Inventory[[#This Row],[Nbhd]],Lookups!$Q$2:$T$4,4,FALSE)</f>
        <v>0.99970000000000003</v>
      </c>
      <c r="BH1516" s="25">
        <f>VLOOKUP(Inventory[[#This Row],[Qlty]],Lookups!$O$7:$R$21,4,FALSE)</f>
        <v>1.0067999999999999</v>
      </c>
      <c r="BI1516" s="25">
        <f>VLOOKUP(Inventory[[#This Row],[Cnd]],Lookups!$T$7:$W$16,4,FALSE)</f>
        <v>0.99729999999999996</v>
      </c>
      <c r="BJ1516" s="25">
        <f>VLOOKUP(Inventory[[#This Row],[LivArea Range]],Lookups!$T$25:$W$37,4,FALSE)</f>
        <v>1.0157</v>
      </c>
      <c r="BK1516" s="25">
        <f>VLOOKUP(Inventory[[#This Row],[Decade]],Lookups!$O$25:$R$42,4,FALSE)</f>
        <v>0.98909999999999998</v>
      </c>
      <c r="BL1516" s="25">
        <f>Inventory[[#This Row],[Nbhd Adj]]*0.95</f>
        <v>0.94971499999999998</v>
      </c>
      <c r="BM1516" s="25">
        <f>Inventory[[#This Row],[Nbhd Adj]]*Inventory[[#This Row],[Quality Adj]]*Inventory[[#This Row],[Condition Adj]]*Inventory[[#This Row],[Living Area Adj]]*Inventory[[#This Row],[Decade Adj]]*0.95</f>
        <v>0.95800544533193577</v>
      </c>
      <c r="BN1516" s="25">
        <f>ROUND(SUM(Inventory[[#This Row],[Mdl Qlty]:[Mdl WdDeck]])+Inventory[[#This Row],[Mdl Res Intercept]]*Inventory[[#This Row],[Res Adj ]],-2)</f>
        <v>276000</v>
      </c>
      <c r="BO1516" s="25">
        <f>ROUND(Inventory[[#This Row],[25Det]]*Inventory[[#This Row],[Det/Nbhd Adj]],-2)</f>
        <v>7800</v>
      </c>
      <c r="BP1516" s="25">
        <f>Inventory[[#This Row],[Adjusted Res]]+Inventory[[#This Row],[Adj Det ]]</f>
        <v>283800</v>
      </c>
      <c r="BQ1516" s="25">
        <f>ROUND((Inventory[[#This Row],[Mdl Land Intercept]]+Inventory[[#This Row],[Mdl LnAcres]])*Inventory[[#This Row],[Det/Nbhd Adj]],-2)</f>
        <v>28300</v>
      </c>
      <c r="BR1516" s="25">
        <f>Inventory[[#This Row],[Adjusted Impr Total]]+Inventory[[#This Row],[Adjusted Land Total]]</f>
        <v>312100</v>
      </c>
      <c r="BS1516" s="36">
        <f>IFERROR((Inventory[[#This Row],[Adjusted Impr Total]]-Inventory[[#This Row],[24Bldg]])/Inventory[[#This Row],[24Bldg]],0)</f>
        <v>0.20254237288135593</v>
      </c>
      <c r="BT1516" s="36">
        <f>(Inventory[[#This Row],[Adjusted Land Total]]-Inventory[[#This Row],[24Lnd]])/Inventory[[#This Row],[24Lnd]]</f>
        <v>-0.41528925619834711</v>
      </c>
      <c r="BU1516" s="36">
        <f>(Inventory[[#This Row],[Adjusted Total]]-Inventory[[#This Row],[24Final]])/Inventory[[#This Row],[24Final]]</f>
        <v>9.7398030942334735E-2</v>
      </c>
    </row>
    <row r="1517" spans="1:73" x14ac:dyDescent="0.3">
      <c r="A1517" s="25">
        <v>2025</v>
      </c>
      <c r="B1517" s="26" t="s">
        <v>1714</v>
      </c>
      <c r="C1517" s="26">
        <f>LN(Inventory[[#This Row],[Acres]])</f>
        <v>-1.6094379124341003</v>
      </c>
      <c r="D1517" s="25">
        <v>0.2</v>
      </c>
      <c r="E1517" s="32">
        <v>8623</v>
      </c>
      <c r="F1517" s="26" t="s">
        <v>537</v>
      </c>
      <c r="G1517" s="26" t="s">
        <v>126</v>
      </c>
      <c r="H1517" s="26" t="s">
        <v>349</v>
      </c>
      <c r="I1517" s="26" t="s">
        <v>538</v>
      </c>
      <c r="J1517" s="26" t="s">
        <v>539</v>
      </c>
      <c r="K1517" s="26" t="s">
        <v>173</v>
      </c>
      <c r="L1517" s="26" t="s">
        <v>351</v>
      </c>
      <c r="M1517" s="26" t="s">
        <v>303</v>
      </c>
      <c r="N1517" s="26">
        <v>90</v>
      </c>
      <c r="O1517" s="26">
        <f>2024-Inventory[[#This Row],[YrBlt]]</f>
        <v>89</v>
      </c>
      <c r="P1517" s="26">
        <f>2024-Inventory[[#This Row],[EffYr]]</f>
        <v>53</v>
      </c>
      <c r="Q1517" s="25">
        <v>1935</v>
      </c>
      <c r="R1517" s="25">
        <v>1971</v>
      </c>
      <c r="S1517" s="25">
        <v>2014</v>
      </c>
      <c r="T1517" s="25">
        <v>410</v>
      </c>
      <c r="U1517" s="25">
        <v>1230</v>
      </c>
      <c r="V1517" s="32">
        <f>Inventory[[#This Row],[Bsmt]]-Inventory[[#This Row],[FnBsmt]]</f>
        <v>1230</v>
      </c>
      <c r="W1517" s="27"/>
      <c r="X1517" s="27"/>
      <c r="Y1517" s="27">
        <f>Inventory[[#This Row],[MainFn]]+Inventory[[#This Row],[UpprFn]]+Inventory[[#This Row],[FnBsmt]]+Inventory[[#This Row],[AddFn]]</f>
        <v>2424</v>
      </c>
      <c r="Z1517" s="27">
        <v>2500</v>
      </c>
      <c r="AA1517" s="25">
        <v>7</v>
      </c>
      <c r="AB1517" s="27"/>
      <c r="AC1517" s="27"/>
      <c r="AD1517" s="27"/>
      <c r="AE1517" s="27"/>
      <c r="AF1517" s="27"/>
      <c r="AG1517" s="27"/>
      <c r="AH1517" s="27"/>
      <c r="AI1517" s="25">
        <v>377582</v>
      </c>
      <c r="AJ1517" s="25">
        <v>260532</v>
      </c>
      <c r="AK1517" s="25">
        <v>0</v>
      </c>
      <c r="AL1517" s="25">
        <v>387400</v>
      </c>
      <c r="AM1517" s="25">
        <v>58400</v>
      </c>
      <c r="AN1517" s="25">
        <v>329000</v>
      </c>
      <c r="AO1517" s="25">
        <v>0</v>
      </c>
      <c r="AP1517" s="25">
        <f>Lookups!$B$56*0</f>
        <v>0</v>
      </c>
      <c r="AQ1517" s="25">
        <f>Lookups!$B$56*1</f>
        <v>89850.625589999996</v>
      </c>
      <c r="AR1517" s="25">
        <f>Lookups!$B$57*Inventory[[#This Row],[LnAcres]]</f>
        <v>-50946.13867709865</v>
      </c>
      <c r="AS1517" s="25">
        <f>VLOOKUP(Inventory[[#This Row],[Qlty]],Lookups!$A$62:$E$75,2,FALSE)</f>
        <v>21557.329055999999</v>
      </c>
      <c r="AT1517" s="25">
        <f>VLOOKUP(Inventory[[#This Row],[Cnd]],Lookups!$A$76:$E$84,2,FALSE)</f>
        <v>197752.34721000001</v>
      </c>
      <c r="AU1517" s="25">
        <f>Inventory[[#This Row],[EffAge]]*Lookups!$B$85</f>
        <v>-11821.416826500001</v>
      </c>
      <c r="AV1517" s="25">
        <f>Inventory[[#This Row],[MainFn]]*Lookups!$B$86</f>
        <v>99509.061132278002</v>
      </c>
      <c r="AW1517" s="25">
        <f>Inventory[[#This Row],[UpprFn]]*Lookups!$B$87</f>
        <v>18362.433373010001</v>
      </c>
      <c r="AX1517" s="25">
        <f>Inventory[[#This Row],[AddFn]]*Lookups!$B$88</f>
        <v>0</v>
      </c>
      <c r="AY1517" s="25">
        <f>Inventory[[#This Row],[Bsmt]]*Lookups!$B$89</f>
        <v>35770.731153809997</v>
      </c>
      <c r="AZ1517" s="25">
        <f>Inventory[[#This Row],[Fixtures]]*Lookups!$B$90</f>
        <v>26544.1547364</v>
      </c>
      <c r="BA1517" s="25">
        <f>Inventory[[#This Row],[WdDeck]]*Lookups!$B$91</f>
        <v>0</v>
      </c>
      <c r="BB1517" s="25">
        <f>ROUND(Inventory[[#This Row],[25Det]],-2)</f>
        <v>0</v>
      </c>
      <c r="BC1517" s="25">
        <f>ROUND(SUM(Inventory[[#This Row],[Mdl Qlty]:[Mdl WdDeck]])+Inventory[[#This Row],[Mdl Res Intercept]],-2)</f>
        <v>387700</v>
      </c>
      <c r="BD1517" s="25">
        <f>ROUND(Inventory[[#This Row],[Mdl Land Intercept]]+Inventory[[#This Row],[Mdl LnAcres]],-2)</f>
        <v>38900</v>
      </c>
      <c r="BE1517" s="25">
        <f>Inventory[[#This Row],[Unadj Res Value]]+Inventory[[#This Row],[Unadj Det Value]]+Inventory[[#This Row],[Unadj Land Value]]</f>
        <v>426600</v>
      </c>
      <c r="BF1517" s="36">
        <f>(Inventory[[#This Row],[Unadj Total Value]]-Inventory[[#This Row],[24Final]])/Inventory[[#This Row],[24Final]]</f>
        <v>0.10118740320082602</v>
      </c>
      <c r="BG1517" s="25">
        <f>VLOOKUP(Inventory[[#This Row],[Nbhd]],Lookups!$Q$2:$T$4,4,FALSE)</f>
        <v>0.99970000000000003</v>
      </c>
      <c r="BH1517" s="25">
        <f>VLOOKUP(Inventory[[#This Row],[Qlty]],Lookups!$O$7:$R$21,4,FALSE)</f>
        <v>1.0067999999999999</v>
      </c>
      <c r="BI1517" s="25">
        <f>VLOOKUP(Inventory[[#This Row],[Cnd]],Lookups!$T$7:$W$16,4,FALSE)</f>
        <v>0.99650000000000005</v>
      </c>
      <c r="BJ1517" s="25">
        <f>VLOOKUP(Inventory[[#This Row],[LivArea Range]],Lookups!$T$25:$W$37,4,FALSE)</f>
        <v>0.98919999999999997</v>
      </c>
      <c r="BK1517" s="25">
        <f>VLOOKUP(Inventory[[#This Row],[Decade]],Lookups!$O$25:$R$42,4,FALSE)</f>
        <v>0.98909999999999998</v>
      </c>
      <c r="BL1517" s="25">
        <f>Inventory[[#This Row],[Nbhd Adj]]*0.95</f>
        <v>0.94971499999999998</v>
      </c>
      <c r="BM1517" s="25">
        <f>Inventory[[#This Row],[Nbhd Adj]]*Inventory[[#This Row],[Quality Adj]]*Inventory[[#This Row],[Condition Adj]]*Inventory[[#This Row],[Living Area Adj]]*Inventory[[#This Row],[Decade Adj]]*0.95</f>
        <v>0.9322622889120924</v>
      </c>
      <c r="BN1517" s="25">
        <f>ROUND(SUM(Inventory[[#This Row],[Mdl Qlty]:[Mdl WdDeck]])+Inventory[[#This Row],[Mdl Res Intercept]]*Inventory[[#This Row],[Res Adj ]],-2)</f>
        <v>387700</v>
      </c>
      <c r="BO1517" s="25">
        <f>ROUND(Inventory[[#This Row],[25Det]]*Inventory[[#This Row],[Det/Nbhd Adj]],-2)</f>
        <v>0</v>
      </c>
      <c r="BP1517" s="25">
        <f>Inventory[[#This Row],[Adjusted Res]]+Inventory[[#This Row],[Adj Det ]]</f>
        <v>387700</v>
      </c>
      <c r="BQ1517" s="25">
        <f>ROUND((Inventory[[#This Row],[Mdl Land Intercept]]+Inventory[[#This Row],[Mdl LnAcres]])*Inventory[[#This Row],[Det/Nbhd Adj]],-2)</f>
        <v>36900</v>
      </c>
      <c r="BR1517" s="25">
        <f>Inventory[[#This Row],[Adjusted Impr Total]]+Inventory[[#This Row],[Adjusted Land Total]]</f>
        <v>424600</v>
      </c>
      <c r="BS1517" s="36">
        <f>IFERROR((Inventory[[#This Row],[Adjusted Impr Total]]-Inventory[[#This Row],[24Bldg]])/Inventory[[#This Row],[24Bldg]],0)</f>
        <v>0.17841945288753799</v>
      </c>
      <c r="BT1517" s="36">
        <f>(Inventory[[#This Row],[Adjusted Land Total]]-Inventory[[#This Row],[24Lnd]])/Inventory[[#This Row],[24Lnd]]</f>
        <v>-0.36815068493150682</v>
      </c>
      <c r="BU1517" s="36">
        <f>(Inventory[[#This Row],[Adjusted Total]]-Inventory[[#This Row],[24Final]])/Inventory[[#This Row],[24Final]]</f>
        <v>9.6024780588538972E-2</v>
      </c>
    </row>
    <row r="1518" spans="1:73" x14ac:dyDescent="0.3">
      <c r="A1518" s="25">
        <v>2025</v>
      </c>
      <c r="B1518" s="26" t="s">
        <v>2662</v>
      </c>
      <c r="C1518" s="26">
        <f>LN(Inventory[[#This Row],[Acres]])</f>
        <v>-1.8325814637483102</v>
      </c>
      <c r="D1518" s="25">
        <v>0.16</v>
      </c>
      <c r="E1518" s="27"/>
      <c r="F1518" s="26" t="s">
        <v>537</v>
      </c>
      <c r="G1518" s="26" t="s">
        <v>126</v>
      </c>
      <c r="H1518" s="26" t="s">
        <v>349</v>
      </c>
      <c r="I1518" s="26" t="s">
        <v>538</v>
      </c>
      <c r="J1518" s="26" t="s">
        <v>539</v>
      </c>
      <c r="K1518" s="26" t="s">
        <v>147</v>
      </c>
      <c r="L1518" s="26" t="s">
        <v>148</v>
      </c>
      <c r="M1518" s="26" t="s">
        <v>303</v>
      </c>
      <c r="N1518" s="26">
        <v>90</v>
      </c>
      <c r="O1518" s="26">
        <f>2024-Inventory[[#This Row],[YrBlt]]</f>
        <v>89</v>
      </c>
      <c r="P1518" s="26">
        <f>2024-Inventory[[#This Row],[EffYr]]</f>
        <v>53</v>
      </c>
      <c r="Q1518" s="25">
        <v>1935</v>
      </c>
      <c r="R1518" s="25">
        <v>1971</v>
      </c>
      <c r="S1518" s="25">
        <v>1194</v>
      </c>
      <c r="T1518" s="25">
        <v>799</v>
      </c>
      <c r="U1518" s="25">
        <v>952</v>
      </c>
      <c r="V1518" s="32">
        <f>Inventory[[#This Row],[Bsmt]]-Inventory[[#This Row],[FnBsmt]]</f>
        <v>60</v>
      </c>
      <c r="W1518" s="32">
        <v>892</v>
      </c>
      <c r="X1518" s="27"/>
      <c r="Y1518" s="27">
        <f>Inventory[[#This Row],[MainFn]]+Inventory[[#This Row],[UpprFn]]+Inventory[[#This Row],[FnBsmt]]+Inventory[[#This Row],[AddFn]]</f>
        <v>2885</v>
      </c>
      <c r="Z1518" s="27">
        <v>3000</v>
      </c>
      <c r="AA1518" s="25">
        <v>7</v>
      </c>
      <c r="AB1518" s="27"/>
      <c r="AC1518" s="27"/>
      <c r="AD1518" s="32">
        <v>336</v>
      </c>
      <c r="AE1518" s="27"/>
      <c r="AF1518" s="27"/>
      <c r="AG1518" s="27"/>
      <c r="AH1518" s="27"/>
      <c r="AI1518" s="25">
        <v>469469</v>
      </c>
      <c r="AJ1518" s="25">
        <v>323934</v>
      </c>
      <c r="AK1518" s="25">
        <v>36042</v>
      </c>
      <c r="AL1518" s="25">
        <v>415400</v>
      </c>
      <c r="AM1518" s="25">
        <v>50600</v>
      </c>
      <c r="AN1518" s="25">
        <v>364800</v>
      </c>
      <c r="AO1518" s="25">
        <v>0</v>
      </c>
      <c r="AP1518" s="25">
        <f>Lookups!$B$56*0</f>
        <v>0</v>
      </c>
      <c r="AQ1518" s="25">
        <f>Lookups!$B$56*1</f>
        <v>89850.625589999996</v>
      </c>
      <c r="AR1518" s="25">
        <f>Lookups!$B$57*Inventory[[#This Row],[LnAcres]]</f>
        <v>-58009.662049032086</v>
      </c>
      <c r="AS1518" s="25">
        <f>VLOOKUP(Inventory[[#This Row],[Qlty]],Lookups!$A$62:$E$75,2,FALSE)</f>
        <v>44121.038090000002</v>
      </c>
      <c r="AT1518" s="25">
        <f>VLOOKUP(Inventory[[#This Row],[Cnd]],Lookups!$A$76:$E$84,2,FALSE)</f>
        <v>197752.34721000001</v>
      </c>
      <c r="AU1518" s="25">
        <f>Inventory[[#This Row],[EffAge]]*Lookups!$B$85</f>
        <v>-11821.416826500001</v>
      </c>
      <c r="AV1518" s="25">
        <f>Inventory[[#This Row],[MainFn]]*Lookups!$B$86</f>
        <v>58993.951833138002</v>
      </c>
      <c r="AW1518" s="25">
        <f>Inventory[[#This Row],[UpprFn]]*Lookups!$B$87</f>
        <v>35784.351865938996</v>
      </c>
      <c r="AX1518" s="25">
        <f>Inventory[[#This Row],[AddFn]]*Lookups!$B$88</f>
        <v>0</v>
      </c>
      <c r="AY1518" s="25">
        <f>Inventory[[#This Row],[Bsmt]]*Lookups!$B$89</f>
        <v>27685.964275143997</v>
      </c>
      <c r="AZ1518" s="25">
        <f>Inventory[[#This Row],[Fixtures]]*Lookups!$B$90</f>
        <v>26544.1547364</v>
      </c>
      <c r="BA1518" s="25">
        <f>Inventory[[#This Row],[WdDeck]]*Lookups!$B$91</f>
        <v>11187.293132736002</v>
      </c>
      <c r="BB1518" s="25">
        <f>ROUND(Inventory[[#This Row],[25Det]],-2)</f>
        <v>36000</v>
      </c>
      <c r="BC1518" s="25">
        <f>ROUND(SUM(Inventory[[#This Row],[Mdl Qlty]:[Mdl WdDeck]])+Inventory[[#This Row],[Mdl Res Intercept]],-2)</f>
        <v>390200</v>
      </c>
      <c r="BD1518" s="25">
        <f>ROUND(Inventory[[#This Row],[Mdl Land Intercept]]+Inventory[[#This Row],[Mdl LnAcres]],-2)</f>
        <v>31800</v>
      </c>
      <c r="BE1518" s="25">
        <f>Inventory[[#This Row],[Unadj Res Value]]+Inventory[[#This Row],[Unadj Det Value]]+Inventory[[#This Row],[Unadj Land Value]]</f>
        <v>458000</v>
      </c>
      <c r="BF1518" s="36">
        <f>(Inventory[[#This Row],[Unadj Total Value]]-Inventory[[#This Row],[24Final]])/Inventory[[#This Row],[24Final]]</f>
        <v>0.10255175734232065</v>
      </c>
      <c r="BG1518" s="25">
        <f>VLOOKUP(Inventory[[#This Row],[Nbhd]],Lookups!$Q$2:$T$4,4,FALSE)</f>
        <v>0.99970000000000003</v>
      </c>
      <c r="BH1518" s="25">
        <f>VLOOKUP(Inventory[[#This Row],[Qlty]],Lookups!$O$7:$R$21,4,FALSE)</f>
        <v>0.98050000000000004</v>
      </c>
      <c r="BI1518" s="25">
        <f>VLOOKUP(Inventory[[#This Row],[Cnd]],Lookups!$T$7:$W$16,4,FALSE)</f>
        <v>0.99650000000000005</v>
      </c>
      <c r="BJ1518" s="25">
        <f>VLOOKUP(Inventory[[#This Row],[LivArea Range]],Lookups!$T$25:$W$37,4,FALSE)</f>
        <v>0.96179999999999999</v>
      </c>
      <c r="BK1518" s="25">
        <f>VLOOKUP(Inventory[[#This Row],[Decade]],Lookups!$O$25:$R$42,4,FALSE)</f>
        <v>0.98909999999999998</v>
      </c>
      <c r="BL1518" s="25">
        <f>Inventory[[#This Row],[Nbhd Adj]]*0.95</f>
        <v>0.94971499999999998</v>
      </c>
      <c r="BM1518" s="25">
        <f>Inventory[[#This Row],[Nbhd Adj]]*Inventory[[#This Row],[Quality Adj]]*Inventory[[#This Row],[Condition Adj]]*Inventory[[#This Row],[Living Area Adj]]*Inventory[[#This Row],[Decade Adj]]*0.95</f>
        <v>0.88276107127906644</v>
      </c>
      <c r="BN1518" s="25">
        <f>ROUND(SUM(Inventory[[#This Row],[Mdl Qlty]:[Mdl WdDeck]])+Inventory[[#This Row],[Mdl Res Intercept]]*Inventory[[#This Row],[Res Adj ]],-2)</f>
        <v>390200</v>
      </c>
      <c r="BO1518" s="25">
        <f>ROUND(Inventory[[#This Row],[25Det]]*Inventory[[#This Row],[Det/Nbhd Adj]],-2)</f>
        <v>34200</v>
      </c>
      <c r="BP1518" s="25">
        <f>Inventory[[#This Row],[Adjusted Res]]+Inventory[[#This Row],[Adj Det ]]</f>
        <v>424400</v>
      </c>
      <c r="BQ1518" s="25">
        <f>ROUND((Inventory[[#This Row],[Mdl Land Intercept]]+Inventory[[#This Row],[Mdl LnAcres]])*Inventory[[#This Row],[Det/Nbhd Adj]],-2)</f>
        <v>30200</v>
      </c>
      <c r="BR1518" s="25">
        <f>Inventory[[#This Row],[Adjusted Impr Total]]+Inventory[[#This Row],[Adjusted Land Total]]</f>
        <v>454600</v>
      </c>
      <c r="BS1518" s="36">
        <f>IFERROR((Inventory[[#This Row],[Adjusted Impr Total]]-Inventory[[#This Row],[24Bldg]])/Inventory[[#This Row],[24Bldg]],0)</f>
        <v>0.16337719298245615</v>
      </c>
      <c r="BT1518" s="36">
        <f>(Inventory[[#This Row],[Adjusted Land Total]]-Inventory[[#This Row],[24Lnd]])/Inventory[[#This Row],[24Lnd]]</f>
        <v>-0.40316205533596838</v>
      </c>
      <c r="BU1518" s="36">
        <f>(Inventory[[#This Row],[Adjusted Total]]-Inventory[[#This Row],[24Final]])/Inventory[[#This Row],[24Final]]</f>
        <v>9.4366875300914782E-2</v>
      </c>
    </row>
    <row r="1519" spans="1:73" x14ac:dyDescent="0.3">
      <c r="A1519" s="25">
        <v>2025</v>
      </c>
      <c r="B1519" s="26" t="s">
        <v>1839</v>
      </c>
      <c r="C1519" s="26">
        <f>LN(Inventory[[#This Row],[Acres]])</f>
        <v>-1.3470736479666092</v>
      </c>
      <c r="D1519" s="25">
        <v>0.26</v>
      </c>
      <c r="E1519" s="32">
        <v>11327</v>
      </c>
      <c r="F1519" s="26" t="s">
        <v>537</v>
      </c>
      <c r="G1519" s="26" t="s">
        <v>126</v>
      </c>
      <c r="H1519" s="26" t="s">
        <v>349</v>
      </c>
      <c r="I1519" s="26" t="s">
        <v>538</v>
      </c>
      <c r="J1519" s="26" t="s">
        <v>539</v>
      </c>
      <c r="K1519" s="26" t="s">
        <v>242</v>
      </c>
      <c r="L1519" s="26" t="s">
        <v>351</v>
      </c>
      <c r="M1519" s="26" t="s">
        <v>303</v>
      </c>
      <c r="N1519" s="26">
        <v>90</v>
      </c>
      <c r="O1519" s="26">
        <f>2024-Inventory[[#This Row],[YrBlt]]</f>
        <v>89</v>
      </c>
      <c r="P1519" s="26">
        <f>2024-Inventory[[#This Row],[EffYr]]</f>
        <v>53</v>
      </c>
      <c r="Q1519" s="25">
        <v>1935</v>
      </c>
      <c r="R1519" s="25">
        <v>1971</v>
      </c>
      <c r="S1519" s="25">
        <v>1476</v>
      </c>
      <c r="T1519" s="31"/>
      <c r="U1519" s="25">
        <v>972</v>
      </c>
      <c r="V1519" s="32">
        <f>Inventory[[#This Row],[Bsmt]]-Inventory[[#This Row],[FnBsmt]]</f>
        <v>972</v>
      </c>
      <c r="W1519" s="27"/>
      <c r="X1519" s="27"/>
      <c r="Y1519" s="27">
        <f>Inventory[[#This Row],[MainFn]]+Inventory[[#This Row],[UpprFn]]+Inventory[[#This Row],[FnBsmt]]+Inventory[[#This Row],[AddFn]]</f>
        <v>1476</v>
      </c>
      <c r="Z1519" s="27">
        <v>1500</v>
      </c>
      <c r="AA1519" s="25">
        <v>5</v>
      </c>
      <c r="AB1519" s="27"/>
      <c r="AC1519" s="27"/>
      <c r="AD1519" s="31"/>
      <c r="AE1519" s="27"/>
      <c r="AF1519" s="27"/>
      <c r="AG1519" s="27"/>
      <c r="AH1519" s="27"/>
      <c r="AI1519" s="25">
        <v>274682</v>
      </c>
      <c r="AJ1519" s="25">
        <v>189531</v>
      </c>
      <c r="AK1519" s="25">
        <v>0</v>
      </c>
      <c r="AL1519" s="25">
        <v>340300</v>
      </c>
      <c r="AM1519" s="25">
        <v>67600</v>
      </c>
      <c r="AN1519" s="25">
        <v>272700</v>
      </c>
      <c r="AO1519" s="25">
        <v>0</v>
      </c>
      <c r="AP1519" s="25">
        <f>Lookups!$B$56*0</f>
        <v>0</v>
      </c>
      <c r="AQ1519" s="25">
        <f>Lookups!$B$56*1</f>
        <v>89850.625589999996</v>
      </c>
      <c r="AR1519" s="25">
        <f>Lookups!$B$57*Inventory[[#This Row],[LnAcres]]</f>
        <v>-42641.098701210125</v>
      </c>
      <c r="AS1519" s="25">
        <f>VLOOKUP(Inventory[[#This Row],[Qlty]],Lookups!$A$62:$E$75,2,FALSE)</f>
        <v>21557.329055999999</v>
      </c>
      <c r="AT1519" s="25">
        <f>VLOOKUP(Inventory[[#This Row],[Cnd]],Lookups!$A$76:$E$84,2,FALSE)</f>
        <v>197752.34721000001</v>
      </c>
      <c r="AU1519" s="25">
        <f>Inventory[[#This Row],[EffAge]]*Lookups!$B$85</f>
        <v>-11821.416826500001</v>
      </c>
      <c r="AV1519" s="25">
        <f>Inventory[[#This Row],[MainFn]]*Lookups!$B$86</f>
        <v>72927.196738451996</v>
      </c>
      <c r="AW1519" s="25">
        <f>Inventory[[#This Row],[UpprFn]]*Lookups!$B$87</f>
        <v>0</v>
      </c>
      <c r="AX1519" s="25">
        <f>Inventory[[#This Row],[AddFn]]*Lookups!$B$88</f>
        <v>0</v>
      </c>
      <c r="AY1519" s="25">
        <f>Inventory[[#This Row],[Bsmt]]*Lookups!$B$89</f>
        <v>28267.602180083999</v>
      </c>
      <c r="AZ1519" s="25">
        <f>Inventory[[#This Row],[Fixtures]]*Lookups!$B$90</f>
        <v>18960.110526</v>
      </c>
      <c r="BA1519" s="25">
        <f>Inventory[[#This Row],[WdDeck]]*Lookups!$B$91</f>
        <v>0</v>
      </c>
      <c r="BB1519" s="25">
        <f>ROUND(Inventory[[#This Row],[25Det]],-2)</f>
        <v>0</v>
      </c>
      <c r="BC1519" s="25">
        <f>ROUND(SUM(Inventory[[#This Row],[Mdl Qlty]:[Mdl WdDeck]])+Inventory[[#This Row],[Mdl Res Intercept]],-2)</f>
        <v>327600</v>
      </c>
      <c r="BD1519" s="25">
        <f>ROUND(Inventory[[#This Row],[Mdl Land Intercept]]+Inventory[[#This Row],[Mdl LnAcres]],-2)</f>
        <v>47200</v>
      </c>
      <c r="BE1519" s="25">
        <f>Inventory[[#This Row],[Unadj Res Value]]+Inventory[[#This Row],[Unadj Det Value]]+Inventory[[#This Row],[Unadj Land Value]]</f>
        <v>374800</v>
      </c>
      <c r="BF1519" s="36">
        <f>(Inventory[[#This Row],[Unadj Total Value]]-Inventory[[#This Row],[24Final]])/Inventory[[#This Row],[24Final]]</f>
        <v>0.10138113429327064</v>
      </c>
      <c r="BG1519" s="25">
        <f>VLOOKUP(Inventory[[#This Row],[Nbhd]],Lookups!$Q$2:$T$4,4,FALSE)</f>
        <v>0.99970000000000003</v>
      </c>
      <c r="BH1519" s="25">
        <f>VLOOKUP(Inventory[[#This Row],[Qlty]],Lookups!$O$7:$R$21,4,FALSE)</f>
        <v>1.0067999999999999</v>
      </c>
      <c r="BI1519" s="25">
        <f>VLOOKUP(Inventory[[#This Row],[Cnd]],Lookups!$T$7:$W$16,4,FALSE)</f>
        <v>0.99650000000000005</v>
      </c>
      <c r="BJ1519" s="25">
        <f>VLOOKUP(Inventory[[#This Row],[LivArea Range]],Lookups!$T$25:$W$37,4,FALSE)</f>
        <v>1.0157</v>
      </c>
      <c r="BK1519" s="25">
        <f>VLOOKUP(Inventory[[#This Row],[Decade]],Lookups!$O$25:$R$42,4,FALSE)</f>
        <v>0.98909999999999998</v>
      </c>
      <c r="BL1519" s="25">
        <f>Inventory[[#This Row],[Nbhd Adj]]*0.95</f>
        <v>0.94971499999999998</v>
      </c>
      <c r="BM1519" s="25">
        <f>Inventory[[#This Row],[Nbhd Adj]]*Inventory[[#This Row],[Quality Adj]]*Inventory[[#This Row],[Condition Adj]]*Inventory[[#This Row],[Living Area Adj]]*Inventory[[#This Row],[Decade Adj]]*0.95</f>
        <v>0.95723696608169473</v>
      </c>
      <c r="BN1519" s="25">
        <f>ROUND(SUM(Inventory[[#This Row],[Mdl Qlty]:[Mdl WdDeck]])+Inventory[[#This Row],[Mdl Res Intercept]]*Inventory[[#This Row],[Res Adj ]],-2)</f>
        <v>327600</v>
      </c>
      <c r="BO1519" s="25">
        <f>ROUND(Inventory[[#This Row],[25Det]]*Inventory[[#This Row],[Det/Nbhd Adj]],-2)</f>
        <v>0</v>
      </c>
      <c r="BP1519" s="25">
        <f>Inventory[[#This Row],[Adjusted Res]]+Inventory[[#This Row],[Adj Det ]]</f>
        <v>327600</v>
      </c>
      <c r="BQ1519" s="25">
        <f>ROUND((Inventory[[#This Row],[Mdl Land Intercept]]+Inventory[[#This Row],[Mdl LnAcres]])*Inventory[[#This Row],[Det/Nbhd Adj]],-2)</f>
        <v>44800</v>
      </c>
      <c r="BR1519" s="25">
        <f>Inventory[[#This Row],[Adjusted Impr Total]]+Inventory[[#This Row],[Adjusted Land Total]]</f>
        <v>372400</v>
      </c>
      <c r="BS1519" s="36">
        <f>IFERROR((Inventory[[#This Row],[Adjusted Impr Total]]-Inventory[[#This Row],[24Bldg]])/Inventory[[#This Row],[24Bldg]],0)</f>
        <v>0.20132013201320131</v>
      </c>
      <c r="BT1519" s="36">
        <f>(Inventory[[#This Row],[Adjusted Land Total]]-Inventory[[#This Row],[24Lnd]])/Inventory[[#This Row],[24Lnd]]</f>
        <v>-0.33727810650887574</v>
      </c>
      <c r="BU1519" s="36">
        <f>(Inventory[[#This Row],[Adjusted Total]]-Inventory[[#This Row],[24Final]])/Inventory[[#This Row],[24Final]]</f>
        <v>9.4328533646782245E-2</v>
      </c>
    </row>
    <row r="1520" spans="1:73" x14ac:dyDescent="0.3">
      <c r="A1520" s="25">
        <v>2025</v>
      </c>
      <c r="B1520" s="26" t="s">
        <v>1886</v>
      </c>
      <c r="C1520" s="26">
        <f>LN(Inventory[[#This Row],[Acres]])</f>
        <v>-1.7719568419318752</v>
      </c>
      <c r="D1520" s="25">
        <v>0.17</v>
      </c>
      <c r="E1520" s="27"/>
      <c r="F1520" s="26" t="s">
        <v>537</v>
      </c>
      <c r="G1520" s="26" t="s">
        <v>126</v>
      </c>
      <c r="H1520" s="26" t="s">
        <v>349</v>
      </c>
      <c r="I1520" s="26" t="s">
        <v>538</v>
      </c>
      <c r="J1520" s="26" t="s">
        <v>539</v>
      </c>
      <c r="K1520" s="26" t="s">
        <v>242</v>
      </c>
      <c r="L1520" s="26" t="s">
        <v>351</v>
      </c>
      <c r="M1520" s="26" t="s">
        <v>303</v>
      </c>
      <c r="N1520" s="26">
        <v>90</v>
      </c>
      <c r="O1520" s="26">
        <f>2024-Inventory[[#This Row],[YrBlt]]</f>
        <v>89</v>
      </c>
      <c r="P1520" s="26">
        <f>2024-Inventory[[#This Row],[EffYr]]</f>
        <v>53</v>
      </c>
      <c r="Q1520" s="25">
        <v>1935</v>
      </c>
      <c r="R1520" s="25">
        <v>1971</v>
      </c>
      <c r="S1520" s="25">
        <v>868</v>
      </c>
      <c r="T1520" s="27"/>
      <c r="U1520" s="25">
        <v>868</v>
      </c>
      <c r="V1520" s="25">
        <f>Inventory[[#This Row],[Bsmt]]-Inventory[[#This Row],[FnBsmt]]</f>
        <v>0</v>
      </c>
      <c r="W1520" s="25">
        <v>868</v>
      </c>
      <c r="X1520" s="27"/>
      <c r="Y1520" s="27">
        <f>Inventory[[#This Row],[MainFn]]+Inventory[[#This Row],[UpprFn]]+Inventory[[#This Row],[FnBsmt]]+Inventory[[#This Row],[AddFn]]</f>
        <v>1736</v>
      </c>
      <c r="Z1520" s="27">
        <v>2000</v>
      </c>
      <c r="AA1520" s="25">
        <v>8</v>
      </c>
      <c r="AB1520" s="27"/>
      <c r="AC1520" s="27"/>
      <c r="AD1520" s="32">
        <v>220</v>
      </c>
      <c r="AE1520" s="27"/>
      <c r="AF1520" s="27"/>
      <c r="AG1520" s="27"/>
      <c r="AH1520" s="27"/>
      <c r="AI1520" s="25">
        <v>228992</v>
      </c>
      <c r="AJ1520" s="25">
        <v>158004</v>
      </c>
      <c r="AK1520" s="25">
        <v>6724</v>
      </c>
      <c r="AL1520" s="25">
        <v>321500</v>
      </c>
      <c r="AM1520" s="25">
        <v>52700</v>
      </c>
      <c r="AN1520" s="25">
        <v>268800</v>
      </c>
      <c r="AO1520" s="25">
        <v>0</v>
      </c>
      <c r="AP1520" s="25">
        <f>Lookups!$B$56*0</f>
        <v>0</v>
      </c>
      <c r="AQ1520" s="25">
        <f>Lookups!$B$56*1</f>
        <v>89850.625589999996</v>
      </c>
      <c r="AR1520" s="25">
        <f>Lookups!$B$57*Inventory[[#This Row],[LnAcres]]</f>
        <v>-56090.612940989391</v>
      </c>
      <c r="AS1520" s="25">
        <f>VLOOKUP(Inventory[[#This Row],[Qlty]],Lookups!$A$62:$E$75,2,FALSE)</f>
        <v>21557.329055999999</v>
      </c>
      <c r="AT1520" s="25">
        <f>VLOOKUP(Inventory[[#This Row],[Cnd]],Lookups!$A$76:$E$84,2,FALSE)</f>
        <v>197752.34721000001</v>
      </c>
      <c r="AU1520" s="25">
        <f>Inventory[[#This Row],[EffAge]]*Lookups!$B$85</f>
        <v>-11821.416826500001</v>
      </c>
      <c r="AV1520" s="25">
        <f>Inventory[[#This Row],[MainFn]]*Lookups!$B$86</f>
        <v>42886.725453236002</v>
      </c>
      <c r="AW1520" s="25">
        <f>Inventory[[#This Row],[UpprFn]]*Lookups!$B$87</f>
        <v>0</v>
      </c>
      <c r="AX1520" s="25">
        <f>Inventory[[#This Row],[AddFn]]*Lookups!$B$88</f>
        <v>0</v>
      </c>
      <c r="AY1520" s="25">
        <f>Inventory[[#This Row],[Bsmt]]*Lookups!$B$89</f>
        <v>25243.085074396</v>
      </c>
      <c r="AZ1520" s="25">
        <f>Inventory[[#This Row],[Fixtures]]*Lookups!$B$90</f>
        <v>30336.176841600001</v>
      </c>
      <c r="BA1520" s="25">
        <f>Inventory[[#This Row],[WdDeck]]*Lookups!$B$91</f>
        <v>7325.0133607200005</v>
      </c>
      <c r="BB1520" s="25">
        <f>ROUND(Inventory[[#This Row],[25Det]],-2)</f>
        <v>6700</v>
      </c>
      <c r="BC1520" s="25">
        <f>ROUND(SUM(Inventory[[#This Row],[Mdl Qlty]:[Mdl WdDeck]])+Inventory[[#This Row],[Mdl Res Intercept]],-2)</f>
        <v>313300</v>
      </c>
      <c r="BD1520" s="25">
        <f>ROUND(Inventory[[#This Row],[Mdl Land Intercept]]+Inventory[[#This Row],[Mdl LnAcres]],-2)</f>
        <v>33800</v>
      </c>
      <c r="BE1520" s="25">
        <f>Inventory[[#This Row],[Unadj Res Value]]+Inventory[[#This Row],[Unadj Det Value]]+Inventory[[#This Row],[Unadj Land Value]]</f>
        <v>353800</v>
      </c>
      <c r="BF1520" s="36">
        <f>(Inventory[[#This Row],[Unadj Total Value]]-Inventory[[#This Row],[24Final]])/Inventory[[#This Row],[24Final]]</f>
        <v>0.10046656298600311</v>
      </c>
      <c r="BG1520" s="25">
        <f>VLOOKUP(Inventory[[#This Row],[Nbhd]],Lookups!$Q$2:$T$4,4,FALSE)</f>
        <v>0.99970000000000003</v>
      </c>
      <c r="BH1520" s="25">
        <f>VLOOKUP(Inventory[[#This Row],[Qlty]],Lookups!$O$7:$R$21,4,FALSE)</f>
        <v>1.0067999999999999</v>
      </c>
      <c r="BI1520" s="25">
        <f>VLOOKUP(Inventory[[#This Row],[Cnd]],Lookups!$T$7:$W$16,4,FALSE)</f>
        <v>0.99650000000000005</v>
      </c>
      <c r="BJ1520" s="25">
        <f>VLOOKUP(Inventory[[#This Row],[LivArea Range]],Lookups!$T$25:$W$37,4,FALSE)</f>
        <v>1.0093000000000001</v>
      </c>
      <c r="BK1520" s="25">
        <f>VLOOKUP(Inventory[[#This Row],[Decade]],Lookups!$O$25:$R$42,4,FALSE)</f>
        <v>0.98909999999999998</v>
      </c>
      <c r="BL1520" s="25">
        <f>Inventory[[#This Row],[Nbhd Adj]]*0.95</f>
        <v>0.94971499999999998</v>
      </c>
      <c r="BM1520" s="25">
        <f>Inventory[[#This Row],[Nbhd Adj]]*Inventory[[#This Row],[Quality Adj]]*Inventory[[#This Row],[Condition Adj]]*Inventory[[#This Row],[Living Area Adj]]*Inventory[[#This Row],[Decade Adj]]*0.95</f>
        <v>0.95120534593507355</v>
      </c>
      <c r="BN1520" s="25">
        <f>ROUND(SUM(Inventory[[#This Row],[Mdl Qlty]:[Mdl WdDeck]])+Inventory[[#This Row],[Mdl Res Intercept]]*Inventory[[#This Row],[Res Adj ]],-2)</f>
        <v>313300</v>
      </c>
      <c r="BO1520" s="25">
        <f>ROUND(Inventory[[#This Row],[25Det]]*Inventory[[#This Row],[Det/Nbhd Adj]],-2)</f>
        <v>6400</v>
      </c>
      <c r="BP1520" s="25">
        <f>Inventory[[#This Row],[Adjusted Res]]+Inventory[[#This Row],[Adj Det ]]</f>
        <v>319700</v>
      </c>
      <c r="BQ1520" s="25">
        <f>ROUND((Inventory[[#This Row],[Mdl Land Intercept]]+Inventory[[#This Row],[Mdl LnAcres]])*Inventory[[#This Row],[Det/Nbhd Adj]],-2)</f>
        <v>32100</v>
      </c>
      <c r="BR1520" s="25">
        <f>Inventory[[#This Row],[Adjusted Impr Total]]+Inventory[[#This Row],[Adjusted Land Total]]</f>
        <v>351800</v>
      </c>
      <c r="BS1520" s="36">
        <f>IFERROR((Inventory[[#This Row],[Adjusted Impr Total]]-Inventory[[#This Row],[24Bldg]])/Inventory[[#This Row],[24Bldg]],0)</f>
        <v>0.18936011904761904</v>
      </c>
      <c r="BT1520" s="36">
        <f>(Inventory[[#This Row],[Adjusted Land Total]]-Inventory[[#This Row],[24Lnd]])/Inventory[[#This Row],[24Lnd]]</f>
        <v>-0.39089184060721061</v>
      </c>
      <c r="BU1520" s="36">
        <f>(Inventory[[#This Row],[Adjusted Total]]-Inventory[[#This Row],[24Final]])/Inventory[[#This Row],[24Final]]</f>
        <v>9.4245723172628304E-2</v>
      </c>
    </row>
    <row r="1521" spans="1:73" x14ac:dyDescent="0.3">
      <c r="A1521" s="25">
        <v>2025</v>
      </c>
      <c r="B1521" s="26" t="s">
        <v>1868</v>
      </c>
      <c r="C1521" s="26">
        <f>LN(Inventory[[#This Row],[Acres]])</f>
        <v>-1.4696759700589417</v>
      </c>
      <c r="D1521" s="25">
        <v>0.23</v>
      </c>
      <c r="E1521" s="27"/>
      <c r="F1521" s="26" t="s">
        <v>537</v>
      </c>
      <c r="G1521" s="26" t="s">
        <v>126</v>
      </c>
      <c r="H1521" s="26" t="s">
        <v>349</v>
      </c>
      <c r="I1521" s="26" t="s">
        <v>538</v>
      </c>
      <c r="J1521" s="26" t="s">
        <v>539</v>
      </c>
      <c r="K1521" s="26" t="s">
        <v>242</v>
      </c>
      <c r="L1521" s="26" t="s">
        <v>351</v>
      </c>
      <c r="M1521" s="26" t="s">
        <v>323</v>
      </c>
      <c r="N1521" s="26">
        <v>90</v>
      </c>
      <c r="O1521" s="26">
        <f>2024-Inventory[[#This Row],[YrBlt]]</f>
        <v>89</v>
      </c>
      <c r="P1521" s="26">
        <f>2024-Inventory[[#This Row],[EffYr]]</f>
        <v>53</v>
      </c>
      <c r="Q1521" s="25">
        <v>1935</v>
      </c>
      <c r="R1521" s="25">
        <v>1971</v>
      </c>
      <c r="S1521" s="25">
        <v>1421</v>
      </c>
      <c r="T1521" s="27"/>
      <c r="U1521" s="25">
        <v>456</v>
      </c>
      <c r="V1521" s="32">
        <f>Inventory[[#This Row],[Bsmt]]-Inventory[[#This Row],[FnBsmt]]</f>
        <v>456</v>
      </c>
      <c r="W1521" s="27"/>
      <c r="X1521" s="27"/>
      <c r="Y1521" s="27">
        <f>Inventory[[#This Row],[MainFn]]+Inventory[[#This Row],[UpprFn]]+Inventory[[#This Row],[FnBsmt]]+Inventory[[#This Row],[AddFn]]</f>
        <v>1421</v>
      </c>
      <c r="Z1521" s="27">
        <v>1500</v>
      </c>
      <c r="AA1521" s="25">
        <v>7</v>
      </c>
      <c r="AB1521" s="27"/>
      <c r="AC1521" s="27"/>
      <c r="AD1521" s="32">
        <v>360</v>
      </c>
      <c r="AE1521" s="27"/>
      <c r="AF1521" s="27"/>
      <c r="AG1521" s="27"/>
      <c r="AH1521" s="27"/>
      <c r="AI1521" s="25">
        <v>261228</v>
      </c>
      <c r="AJ1521" s="25">
        <v>175023</v>
      </c>
      <c r="AK1521" s="25">
        <v>8623</v>
      </c>
      <c r="AL1521" s="25">
        <v>312100</v>
      </c>
      <c r="AM1521" s="25">
        <v>63300</v>
      </c>
      <c r="AN1521" s="25">
        <v>248800</v>
      </c>
      <c r="AO1521" s="25">
        <v>0</v>
      </c>
      <c r="AP1521" s="25">
        <f>Lookups!$B$56*0</f>
        <v>0</v>
      </c>
      <c r="AQ1521" s="25">
        <f>Lookups!$B$56*1</f>
        <v>89850.625589999996</v>
      </c>
      <c r="AR1521" s="25">
        <f>Lookups!$B$57*Inventory[[#This Row],[LnAcres]]</f>
        <v>-46522.028095997222</v>
      </c>
      <c r="AS1521" s="25">
        <f>VLOOKUP(Inventory[[#This Row],[Qlty]],Lookups!$A$62:$E$75,2,FALSE)</f>
        <v>21557.329055999999</v>
      </c>
      <c r="AT1521" s="25">
        <f>VLOOKUP(Inventory[[#This Row],[Cnd]],Lookups!$A$76:$E$84,2,FALSE)</f>
        <v>160472.20319</v>
      </c>
      <c r="AU1521" s="25">
        <f>Inventory[[#This Row],[EffAge]]*Lookups!$B$85</f>
        <v>-11821.416826500001</v>
      </c>
      <c r="AV1521" s="25">
        <f>Inventory[[#This Row],[MainFn]]*Lookups!$B$86</f>
        <v>70209.719895217</v>
      </c>
      <c r="AW1521" s="25">
        <f>Inventory[[#This Row],[UpprFn]]*Lookups!$B$87</f>
        <v>0</v>
      </c>
      <c r="AX1521" s="25">
        <f>Inventory[[#This Row],[AddFn]]*Lookups!$B$88</f>
        <v>0</v>
      </c>
      <c r="AY1521" s="25">
        <f>Inventory[[#This Row],[Bsmt]]*Lookups!$B$89</f>
        <v>13261.344232632</v>
      </c>
      <c r="AZ1521" s="25">
        <f>Inventory[[#This Row],[Fixtures]]*Lookups!$B$90</f>
        <v>26544.1547364</v>
      </c>
      <c r="BA1521" s="25">
        <f>Inventory[[#This Row],[WdDeck]]*Lookups!$B$91</f>
        <v>11986.385499360002</v>
      </c>
      <c r="BB1521" s="25">
        <f>ROUND(Inventory[[#This Row],[25Det]],-2)</f>
        <v>8600</v>
      </c>
      <c r="BC1521" s="25">
        <f>ROUND(SUM(Inventory[[#This Row],[Mdl Qlty]:[Mdl WdDeck]])+Inventory[[#This Row],[Mdl Res Intercept]],-2)</f>
        <v>292200</v>
      </c>
      <c r="BD1521" s="25">
        <f>ROUND(Inventory[[#This Row],[Mdl Land Intercept]]+Inventory[[#This Row],[Mdl LnAcres]],-2)</f>
        <v>43300</v>
      </c>
      <c r="BE1521" s="25">
        <f>Inventory[[#This Row],[Unadj Res Value]]+Inventory[[#This Row],[Unadj Det Value]]+Inventory[[#This Row],[Unadj Land Value]]</f>
        <v>344100</v>
      </c>
      <c r="BF1521" s="36">
        <f>(Inventory[[#This Row],[Unadj Total Value]]-Inventory[[#This Row],[24Final]])/Inventory[[#This Row],[24Final]]</f>
        <v>0.10253123998718359</v>
      </c>
      <c r="BG1521" s="25">
        <f>VLOOKUP(Inventory[[#This Row],[Nbhd]],Lookups!$Q$2:$T$4,4,FALSE)</f>
        <v>0.99970000000000003</v>
      </c>
      <c r="BH1521" s="25">
        <f>VLOOKUP(Inventory[[#This Row],[Qlty]],Lookups!$O$7:$R$21,4,FALSE)</f>
        <v>1.0067999999999999</v>
      </c>
      <c r="BI1521" s="25">
        <f>VLOOKUP(Inventory[[#This Row],[Cnd]],Lookups!$T$7:$W$16,4,FALSE)</f>
        <v>0.99729999999999996</v>
      </c>
      <c r="BJ1521" s="25">
        <f>VLOOKUP(Inventory[[#This Row],[LivArea Range]],Lookups!$T$25:$W$37,4,FALSE)</f>
        <v>1.0157</v>
      </c>
      <c r="BK1521" s="25">
        <f>VLOOKUP(Inventory[[#This Row],[Decade]],Lookups!$O$25:$R$42,4,FALSE)</f>
        <v>0.98909999999999998</v>
      </c>
      <c r="BL1521" s="25">
        <f>Inventory[[#This Row],[Nbhd Adj]]*0.95</f>
        <v>0.94971499999999998</v>
      </c>
      <c r="BM1521" s="25">
        <f>Inventory[[#This Row],[Nbhd Adj]]*Inventory[[#This Row],[Quality Adj]]*Inventory[[#This Row],[Condition Adj]]*Inventory[[#This Row],[Living Area Adj]]*Inventory[[#This Row],[Decade Adj]]*0.95</f>
        <v>0.95800544533193577</v>
      </c>
      <c r="BN1521" s="25">
        <f>ROUND(SUM(Inventory[[#This Row],[Mdl Qlty]:[Mdl WdDeck]])+Inventory[[#This Row],[Mdl Res Intercept]]*Inventory[[#This Row],[Res Adj ]],-2)</f>
        <v>292200</v>
      </c>
      <c r="BO1521" s="25">
        <f>ROUND(Inventory[[#This Row],[25Det]]*Inventory[[#This Row],[Det/Nbhd Adj]],-2)</f>
        <v>8200</v>
      </c>
      <c r="BP1521" s="25">
        <f>Inventory[[#This Row],[Adjusted Res]]+Inventory[[#This Row],[Adj Det ]]</f>
        <v>300400</v>
      </c>
      <c r="BQ1521" s="25">
        <f>ROUND((Inventory[[#This Row],[Mdl Land Intercept]]+Inventory[[#This Row],[Mdl LnAcres]])*Inventory[[#This Row],[Det/Nbhd Adj]],-2)</f>
        <v>41100</v>
      </c>
      <c r="BR1521" s="25">
        <f>Inventory[[#This Row],[Adjusted Impr Total]]+Inventory[[#This Row],[Adjusted Land Total]]</f>
        <v>341500</v>
      </c>
      <c r="BS1521" s="36">
        <f>IFERROR((Inventory[[#This Row],[Adjusted Impr Total]]-Inventory[[#This Row],[24Bldg]])/Inventory[[#This Row],[24Bldg]],0)</f>
        <v>0.20739549839228297</v>
      </c>
      <c r="BT1521" s="36">
        <f>(Inventory[[#This Row],[Adjusted Land Total]]-Inventory[[#This Row],[24Lnd]])/Inventory[[#This Row],[24Lnd]]</f>
        <v>-0.35071090047393366</v>
      </c>
      <c r="BU1521" s="36">
        <f>(Inventory[[#This Row],[Adjusted Total]]-Inventory[[#This Row],[24Final]])/Inventory[[#This Row],[24Final]]</f>
        <v>9.4200576738224934E-2</v>
      </c>
    </row>
    <row r="1522" spans="1:73" x14ac:dyDescent="0.3">
      <c r="A1522" s="25">
        <v>2025</v>
      </c>
      <c r="B1522" s="26" t="s">
        <v>2169</v>
      </c>
      <c r="C1522" s="26">
        <f>LN(Inventory[[#This Row],[Acres]])</f>
        <v>-1.8325814637483102</v>
      </c>
      <c r="D1522" s="25">
        <v>0.16</v>
      </c>
      <c r="E1522" s="32">
        <v>6975</v>
      </c>
      <c r="F1522" s="26" t="s">
        <v>537</v>
      </c>
      <c r="G1522" s="26" t="s">
        <v>126</v>
      </c>
      <c r="H1522" s="26" t="s">
        <v>349</v>
      </c>
      <c r="I1522" s="26" t="s">
        <v>538</v>
      </c>
      <c r="J1522" s="26" t="s">
        <v>539</v>
      </c>
      <c r="K1522" s="26" t="s">
        <v>147</v>
      </c>
      <c r="L1522" s="26" t="s">
        <v>351</v>
      </c>
      <c r="M1522" s="26" t="s">
        <v>323</v>
      </c>
      <c r="N1522" s="26">
        <v>90</v>
      </c>
      <c r="O1522" s="26">
        <f>2024-Inventory[[#This Row],[YrBlt]]</f>
        <v>89</v>
      </c>
      <c r="P1522" s="26">
        <f>2024-Inventory[[#This Row],[EffYr]]</f>
        <v>53</v>
      </c>
      <c r="Q1522" s="25">
        <v>1935</v>
      </c>
      <c r="R1522" s="25">
        <v>1971</v>
      </c>
      <c r="S1522" s="25">
        <v>974</v>
      </c>
      <c r="T1522" s="32">
        <v>252</v>
      </c>
      <c r="U1522" s="25">
        <v>974</v>
      </c>
      <c r="V1522" s="25">
        <f>Inventory[[#This Row],[Bsmt]]-Inventory[[#This Row],[FnBsmt]]</f>
        <v>974</v>
      </c>
      <c r="W1522" s="31"/>
      <c r="X1522" s="27"/>
      <c r="Y1522" s="27">
        <f>Inventory[[#This Row],[MainFn]]+Inventory[[#This Row],[UpprFn]]+Inventory[[#This Row],[FnBsmt]]+Inventory[[#This Row],[AddFn]]</f>
        <v>1226</v>
      </c>
      <c r="Z1522" s="27">
        <v>1500</v>
      </c>
      <c r="AA1522" s="25">
        <v>5</v>
      </c>
      <c r="AB1522" s="27"/>
      <c r="AC1522" s="27"/>
      <c r="AD1522" s="31"/>
      <c r="AE1522" s="27"/>
      <c r="AF1522" s="27"/>
      <c r="AG1522" s="27"/>
      <c r="AH1522" s="27"/>
      <c r="AI1522" s="25">
        <v>221649</v>
      </c>
      <c r="AJ1522" s="25">
        <v>148505</v>
      </c>
      <c r="AK1522" s="25">
        <v>4992</v>
      </c>
      <c r="AL1522" s="25">
        <v>285000</v>
      </c>
      <c r="AM1522" s="25">
        <v>50600</v>
      </c>
      <c r="AN1522" s="25">
        <v>234400</v>
      </c>
      <c r="AO1522" s="25">
        <v>0</v>
      </c>
      <c r="AP1522" s="25">
        <f>Lookups!$B$56*0</f>
        <v>0</v>
      </c>
      <c r="AQ1522" s="25">
        <f>Lookups!$B$56*1</f>
        <v>89850.625589999996</v>
      </c>
      <c r="AR1522" s="25">
        <f>Lookups!$B$57*Inventory[[#This Row],[LnAcres]]</f>
        <v>-58009.662049032086</v>
      </c>
      <c r="AS1522" s="25">
        <f>VLOOKUP(Inventory[[#This Row],[Qlty]],Lookups!$A$62:$E$75,2,FALSE)</f>
        <v>21557.329055999999</v>
      </c>
      <c r="AT1522" s="25">
        <f>VLOOKUP(Inventory[[#This Row],[Cnd]],Lookups!$A$76:$E$84,2,FALSE)</f>
        <v>160472.20319</v>
      </c>
      <c r="AU1522" s="25">
        <f>Inventory[[#This Row],[EffAge]]*Lookups!$B$85</f>
        <v>-11821.416826500001</v>
      </c>
      <c r="AV1522" s="25">
        <f>Inventory[[#This Row],[MainFn]]*Lookups!$B$86</f>
        <v>48124.044460197998</v>
      </c>
      <c r="AW1522" s="25">
        <f>Inventory[[#This Row],[UpprFn]]*Lookups!$B$87</f>
        <v>11286.178560971999</v>
      </c>
      <c r="AX1522" s="25">
        <f>Inventory[[#This Row],[AddFn]]*Lookups!$B$88</f>
        <v>0</v>
      </c>
      <c r="AY1522" s="25">
        <f>Inventory[[#This Row],[Bsmt]]*Lookups!$B$89</f>
        <v>28325.765970577999</v>
      </c>
      <c r="AZ1522" s="25">
        <f>Inventory[[#This Row],[Fixtures]]*Lookups!$B$90</f>
        <v>18960.110526</v>
      </c>
      <c r="BA1522" s="25">
        <f>Inventory[[#This Row],[WdDeck]]*Lookups!$B$91</f>
        <v>0</v>
      </c>
      <c r="BB1522" s="25">
        <f>ROUND(Inventory[[#This Row],[25Det]],-2)</f>
        <v>5000</v>
      </c>
      <c r="BC1522" s="25">
        <f>ROUND(SUM(Inventory[[#This Row],[Mdl Qlty]:[Mdl WdDeck]])+Inventory[[#This Row],[Mdl Res Intercept]],-2)</f>
        <v>276900</v>
      </c>
      <c r="BD1522" s="25">
        <f>ROUND(Inventory[[#This Row],[Mdl Land Intercept]]+Inventory[[#This Row],[Mdl LnAcres]],-2)</f>
        <v>31800</v>
      </c>
      <c r="BE1522" s="25">
        <f>Inventory[[#This Row],[Unadj Res Value]]+Inventory[[#This Row],[Unadj Det Value]]+Inventory[[#This Row],[Unadj Land Value]]</f>
        <v>313700</v>
      </c>
      <c r="BF1522" s="36">
        <f>(Inventory[[#This Row],[Unadj Total Value]]-Inventory[[#This Row],[24Final]])/Inventory[[#This Row],[24Final]]</f>
        <v>0.10070175438596492</v>
      </c>
      <c r="BG1522" s="25">
        <f>VLOOKUP(Inventory[[#This Row],[Nbhd]],Lookups!$Q$2:$T$4,4,FALSE)</f>
        <v>0.99970000000000003</v>
      </c>
      <c r="BH1522" s="25">
        <f>VLOOKUP(Inventory[[#This Row],[Qlty]],Lookups!$O$7:$R$21,4,FALSE)</f>
        <v>1.0067999999999999</v>
      </c>
      <c r="BI1522" s="25">
        <f>VLOOKUP(Inventory[[#This Row],[Cnd]],Lookups!$T$7:$W$16,4,FALSE)</f>
        <v>0.99729999999999996</v>
      </c>
      <c r="BJ1522" s="25">
        <f>VLOOKUP(Inventory[[#This Row],[LivArea Range]],Lookups!$T$25:$W$37,4,FALSE)</f>
        <v>1.0157</v>
      </c>
      <c r="BK1522" s="25">
        <f>VLOOKUP(Inventory[[#This Row],[Decade]],Lookups!$O$25:$R$42,4,FALSE)</f>
        <v>0.98909999999999998</v>
      </c>
      <c r="BL1522" s="25">
        <f>Inventory[[#This Row],[Nbhd Adj]]*0.95</f>
        <v>0.94971499999999998</v>
      </c>
      <c r="BM1522" s="25">
        <f>Inventory[[#This Row],[Nbhd Adj]]*Inventory[[#This Row],[Quality Adj]]*Inventory[[#This Row],[Condition Adj]]*Inventory[[#This Row],[Living Area Adj]]*Inventory[[#This Row],[Decade Adj]]*0.95</f>
        <v>0.95800544533193577</v>
      </c>
      <c r="BN1522" s="25">
        <f>ROUND(SUM(Inventory[[#This Row],[Mdl Qlty]:[Mdl WdDeck]])+Inventory[[#This Row],[Mdl Res Intercept]]*Inventory[[#This Row],[Res Adj ]],-2)</f>
        <v>276900</v>
      </c>
      <c r="BO1522" s="25">
        <f>ROUND(Inventory[[#This Row],[25Det]]*Inventory[[#This Row],[Det/Nbhd Adj]],-2)</f>
        <v>4700</v>
      </c>
      <c r="BP1522" s="25">
        <f>Inventory[[#This Row],[Adjusted Res]]+Inventory[[#This Row],[Adj Det ]]</f>
        <v>281600</v>
      </c>
      <c r="BQ1522" s="25">
        <f>ROUND((Inventory[[#This Row],[Mdl Land Intercept]]+Inventory[[#This Row],[Mdl LnAcres]])*Inventory[[#This Row],[Det/Nbhd Adj]],-2)</f>
        <v>30200</v>
      </c>
      <c r="BR1522" s="25">
        <f>Inventory[[#This Row],[Adjusted Impr Total]]+Inventory[[#This Row],[Adjusted Land Total]]</f>
        <v>311800</v>
      </c>
      <c r="BS1522" s="36">
        <f>IFERROR((Inventory[[#This Row],[Adjusted Impr Total]]-Inventory[[#This Row],[24Bldg]])/Inventory[[#This Row],[24Bldg]],0)</f>
        <v>0.20136518771331058</v>
      </c>
      <c r="BT1522" s="36">
        <f>(Inventory[[#This Row],[Adjusted Land Total]]-Inventory[[#This Row],[24Lnd]])/Inventory[[#This Row],[24Lnd]]</f>
        <v>-0.40316205533596838</v>
      </c>
      <c r="BU1522" s="36">
        <f>(Inventory[[#This Row],[Adjusted Total]]-Inventory[[#This Row],[24Final]])/Inventory[[#This Row],[24Final]]</f>
        <v>9.4035087719298249E-2</v>
      </c>
    </row>
    <row r="1523" spans="1:73" x14ac:dyDescent="0.3">
      <c r="A1523" s="25">
        <v>2025</v>
      </c>
      <c r="B1523" s="26" t="s">
        <v>1552</v>
      </c>
      <c r="C1523" s="26">
        <f>LN(Inventory[[#This Row],[Acres]])</f>
        <v>-1.6094379124341003</v>
      </c>
      <c r="D1523" s="25">
        <v>0.2</v>
      </c>
      <c r="E1523" s="32">
        <v>8680</v>
      </c>
      <c r="F1523" s="26" t="s">
        <v>537</v>
      </c>
      <c r="G1523" s="26" t="s">
        <v>126</v>
      </c>
      <c r="H1523" s="26" t="s">
        <v>349</v>
      </c>
      <c r="I1523" s="26" t="s">
        <v>538</v>
      </c>
      <c r="J1523" s="26" t="s">
        <v>539</v>
      </c>
      <c r="K1523" s="26" t="s">
        <v>147</v>
      </c>
      <c r="L1523" s="26" t="s">
        <v>302</v>
      </c>
      <c r="M1523" s="26" t="s">
        <v>303</v>
      </c>
      <c r="N1523" s="26">
        <v>90</v>
      </c>
      <c r="O1523" s="26">
        <f>2024-Inventory[[#This Row],[YrBlt]]</f>
        <v>89</v>
      </c>
      <c r="P1523" s="26">
        <f>2024-Inventory[[#This Row],[EffYr]]</f>
        <v>53</v>
      </c>
      <c r="Q1523" s="25">
        <v>1935</v>
      </c>
      <c r="R1523" s="25">
        <v>1971</v>
      </c>
      <c r="S1523" s="25">
        <v>975</v>
      </c>
      <c r="T1523" s="32">
        <v>721</v>
      </c>
      <c r="U1523" s="25">
        <v>961</v>
      </c>
      <c r="V1523" s="25">
        <f>Inventory[[#This Row],[Bsmt]]-Inventory[[#This Row],[FnBsmt]]</f>
        <v>769</v>
      </c>
      <c r="W1523" s="25">
        <v>192</v>
      </c>
      <c r="X1523" s="27"/>
      <c r="Y1523" s="27">
        <f>Inventory[[#This Row],[MainFn]]+Inventory[[#This Row],[UpprFn]]+Inventory[[#This Row],[FnBsmt]]+Inventory[[#This Row],[AddFn]]</f>
        <v>1888</v>
      </c>
      <c r="Z1523" s="27">
        <v>2000</v>
      </c>
      <c r="AA1523" s="25">
        <v>8</v>
      </c>
      <c r="AB1523" s="27"/>
      <c r="AC1523" s="27"/>
      <c r="AD1523" s="27"/>
      <c r="AE1523" s="27"/>
      <c r="AF1523" s="27"/>
      <c r="AG1523" s="27"/>
      <c r="AH1523" s="27"/>
      <c r="AI1523" s="25">
        <v>351855</v>
      </c>
      <c r="AJ1523" s="25">
        <v>242780</v>
      </c>
      <c r="AK1523" s="25">
        <v>9486</v>
      </c>
      <c r="AL1523" s="25">
        <v>366000</v>
      </c>
      <c r="AM1523" s="25">
        <v>58400</v>
      </c>
      <c r="AN1523" s="25">
        <v>307600</v>
      </c>
      <c r="AO1523" s="25">
        <v>0</v>
      </c>
      <c r="AP1523" s="25">
        <f>Lookups!$B$56*0</f>
        <v>0</v>
      </c>
      <c r="AQ1523" s="25">
        <f>Lookups!$B$56*1</f>
        <v>89850.625589999996</v>
      </c>
      <c r="AR1523" s="25">
        <f>Lookups!$B$57*Inventory[[#This Row],[LnAcres]]</f>
        <v>-50946.13867709865</v>
      </c>
      <c r="AS1523" s="25">
        <f>VLOOKUP(Inventory[[#This Row],[Qlty]],Lookups!$A$62:$E$75,2,FALSE)</f>
        <v>29814.093161000001</v>
      </c>
      <c r="AT1523" s="25">
        <f>VLOOKUP(Inventory[[#This Row],[Cnd]],Lookups!$A$76:$E$84,2,FALSE)</f>
        <v>197752.34721000001</v>
      </c>
      <c r="AU1523" s="25">
        <f>Inventory[[#This Row],[EffAge]]*Lookups!$B$85</f>
        <v>-11821.416826500001</v>
      </c>
      <c r="AV1523" s="25">
        <f>Inventory[[#This Row],[MainFn]]*Lookups!$B$86</f>
        <v>48173.453130075002</v>
      </c>
      <c r="AW1523" s="25">
        <f>Inventory[[#This Row],[UpprFn]]*Lookups!$B$87</f>
        <v>32291.010882781</v>
      </c>
      <c r="AX1523" s="25">
        <f>Inventory[[#This Row],[AddFn]]*Lookups!$B$88</f>
        <v>0</v>
      </c>
      <c r="AY1523" s="25">
        <f>Inventory[[#This Row],[Bsmt]]*Lookups!$B$89</f>
        <v>27947.701332367</v>
      </c>
      <c r="AZ1523" s="25">
        <f>Inventory[[#This Row],[Fixtures]]*Lookups!$B$90</f>
        <v>30336.176841600001</v>
      </c>
      <c r="BA1523" s="25">
        <f>Inventory[[#This Row],[WdDeck]]*Lookups!$B$91</f>
        <v>0</v>
      </c>
      <c r="BB1523" s="25">
        <f>ROUND(Inventory[[#This Row],[25Det]],-2)</f>
        <v>9500</v>
      </c>
      <c r="BC1523" s="25">
        <f>ROUND(SUM(Inventory[[#This Row],[Mdl Qlty]:[Mdl WdDeck]])+Inventory[[#This Row],[Mdl Res Intercept]],-2)</f>
        <v>354500</v>
      </c>
      <c r="BD1523" s="25">
        <f>ROUND(Inventory[[#This Row],[Mdl Land Intercept]]+Inventory[[#This Row],[Mdl LnAcres]],-2)</f>
        <v>38900</v>
      </c>
      <c r="BE1523" s="25">
        <f>Inventory[[#This Row],[Unadj Res Value]]+Inventory[[#This Row],[Unadj Det Value]]+Inventory[[#This Row],[Unadj Land Value]]</f>
        <v>402900</v>
      </c>
      <c r="BF1523" s="36">
        <f>(Inventory[[#This Row],[Unadj Total Value]]-Inventory[[#This Row],[24Final]])/Inventory[[#This Row],[24Final]]</f>
        <v>0.10081967213114754</v>
      </c>
      <c r="BG1523" s="25">
        <f>VLOOKUP(Inventory[[#This Row],[Nbhd]],Lookups!$Q$2:$T$4,4,FALSE)</f>
        <v>0.99970000000000003</v>
      </c>
      <c r="BH1523" s="25">
        <f>VLOOKUP(Inventory[[#This Row],[Qlty]],Lookups!$O$7:$R$21,4,FALSE)</f>
        <v>1.0088999999999999</v>
      </c>
      <c r="BI1523" s="25">
        <f>VLOOKUP(Inventory[[#This Row],[Cnd]],Lookups!$T$7:$W$16,4,FALSE)</f>
        <v>0.99650000000000005</v>
      </c>
      <c r="BJ1523" s="25">
        <f>VLOOKUP(Inventory[[#This Row],[LivArea Range]],Lookups!$T$25:$W$37,4,FALSE)</f>
        <v>1.0093000000000001</v>
      </c>
      <c r="BK1523" s="25">
        <f>VLOOKUP(Inventory[[#This Row],[Decade]],Lookups!$O$25:$R$42,4,FALSE)</f>
        <v>0.98909999999999998</v>
      </c>
      <c r="BL1523" s="25">
        <f>Inventory[[#This Row],[Nbhd Adj]]*0.95</f>
        <v>0.94971499999999998</v>
      </c>
      <c r="BM1523" s="25">
        <f>Inventory[[#This Row],[Nbhd Adj]]*Inventory[[#This Row],[Quality Adj]]*Inventory[[#This Row],[Condition Adj]]*Inventory[[#This Row],[Living Area Adj]]*Inventory[[#This Row],[Decade Adj]]*0.95</f>
        <v>0.95318938569119571</v>
      </c>
      <c r="BN1523" s="25">
        <f>ROUND(SUM(Inventory[[#This Row],[Mdl Qlty]:[Mdl WdDeck]])+Inventory[[#This Row],[Mdl Res Intercept]]*Inventory[[#This Row],[Res Adj ]],-2)</f>
        <v>354500</v>
      </c>
      <c r="BO1523" s="25">
        <f>ROUND(Inventory[[#This Row],[25Det]]*Inventory[[#This Row],[Det/Nbhd Adj]],-2)</f>
        <v>9000</v>
      </c>
      <c r="BP1523" s="25">
        <f>Inventory[[#This Row],[Adjusted Res]]+Inventory[[#This Row],[Adj Det ]]</f>
        <v>363500</v>
      </c>
      <c r="BQ1523" s="25">
        <f>ROUND((Inventory[[#This Row],[Mdl Land Intercept]]+Inventory[[#This Row],[Mdl LnAcres]])*Inventory[[#This Row],[Det/Nbhd Adj]],-2)</f>
        <v>36900</v>
      </c>
      <c r="BR1523" s="25">
        <f>Inventory[[#This Row],[Adjusted Impr Total]]+Inventory[[#This Row],[Adjusted Land Total]]</f>
        <v>400400</v>
      </c>
      <c r="BS1523" s="36">
        <f>IFERROR((Inventory[[#This Row],[Adjusted Impr Total]]-Inventory[[#This Row],[24Bldg]])/Inventory[[#This Row],[24Bldg]],0)</f>
        <v>0.18172951885565669</v>
      </c>
      <c r="BT1523" s="36">
        <f>(Inventory[[#This Row],[Adjusted Land Total]]-Inventory[[#This Row],[24Lnd]])/Inventory[[#This Row],[24Lnd]]</f>
        <v>-0.36815068493150682</v>
      </c>
      <c r="BU1523" s="36">
        <f>(Inventory[[#This Row],[Adjusted Total]]-Inventory[[#This Row],[24Final]])/Inventory[[#This Row],[24Final]]</f>
        <v>9.3989071038251368E-2</v>
      </c>
    </row>
    <row r="1524" spans="1:73" x14ac:dyDescent="0.3">
      <c r="A1524" s="25">
        <v>2025</v>
      </c>
      <c r="B1524" s="26" t="s">
        <v>2281</v>
      </c>
      <c r="C1524" s="26">
        <f>LN(Inventory[[#This Row],[Acres]])</f>
        <v>-1.5141277326297755</v>
      </c>
      <c r="D1524" s="25">
        <v>0.22</v>
      </c>
      <c r="E1524" s="25">
        <v>9382</v>
      </c>
      <c r="F1524" s="26" t="s">
        <v>537</v>
      </c>
      <c r="G1524" s="26" t="s">
        <v>126</v>
      </c>
      <c r="H1524" s="26" t="s">
        <v>349</v>
      </c>
      <c r="I1524" s="26" t="s">
        <v>538</v>
      </c>
      <c r="J1524" s="26" t="s">
        <v>539</v>
      </c>
      <c r="K1524" s="26" t="s">
        <v>147</v>
      </c>
      <c r="L1524" s="26" t="s">
        <v>351</v>
      </c>
      <c r="M1524" s="26" t="s">
        <v>303</v>
      </c>
      <c r="N1524" s="26">
        <v>90</v>
      </c>
      <c r="O1524" s="26">
        <f>2024-Inventory[[#This Row],[YrBlt]]</f>
        <v>89</v>
      </c>
      <c r="P1524" s="26">
        <f>2024-Inventory[[#This Row],[EffYr]]</f>
        <v>53</v>
      </c>
      <c r="Q1524" s="25">
        <v>1935</v>
      </c>
      <c r="R1524" s="25">
        <v>1971</v>
      </c>
      <c r="S1524" s="25">
        <v>770</v>
      </c>
      <c r="T1524" s="25">
        <v>1070</v>
      </c>
      <c r="U1524" s="32">
        <v>770</v>
      </c>
      <c r="V1524" s="32">
        <f>Inventory[[#This Row],[Bsmt]]-Inventory[[#This Row],[FnBsmt]]</f>
        <v>0</v>
      </c>
      <c r="W1524" s="32">
        <v>770</v>
      </c>
      <c r="X1524" s="27"/>
      <c r="Y1524" s="27">
        <f>Inventory[[#This Row],[MainFn]]+Inventory[[#This Row],[UpprFn]]+Inventory[[#This Row],[FnBsmt]]+Inventory[[#This Row],[AddFn]]</f>
        <v>2610</v>
      </c>
      <c r="Z1524" s="27">
        <v>3000</v>
      </c>
      <c r="AA1524" s="25">
        <v>11</v>
      </c>
      <c r="AB1524" s="27"/>
      <c r="AC1524" s="32">
        <v>660</v>
      </c>
      <c r="AD1524" s="25">
        <v>443</v>
      </c>
      <c r="AE1524" s="27"/>
      <c r="AF1524" s="27"/>
      <c r="AG1524" s="27"/>
      <c r="AH1524" s="27"/>
      <c r="AI1524" s="25">
        <v>365547</v>
      </c>
      <c r="AJ1524" s="25">
        <v>252227</v>
      </c>
      <c r="AK1524" s="25">
        <v>0</v>
      </c>
      <c r="AL1524" s="25">
        <v>376700</v>
      </c>
      <c r="AM1524" s="25">
        <v>61700</v>
      </c>
      <c r="AN1524" s="25">
        <v>315000</v>
      </c>
      <c r="AO1524" s="25">
        <v>0</v>
      </c>
      <c r="AP1524" s="25">
        <f>Lookups!$B$56*0</f>
        <v>0</v>
      </c>
      <c r="AQ1524" s="25">
        <f>Lookups!$B$56*1</f>
        <v>89850.625589999996</v>
      </c>
      <c r="AR1524" s="25">
        <f>Lookups!$B$57*Inventory[[#This Row],[LnAcres]]</f>
        <v>-47929.131559187132</v>
      </c>
      <c r="AS1524" s="25">
        <f>VLOOKUP(Inventory[[#This Row],[Qlty]],Lookups!$A$62:$E$75,2,FALSE)</f>
        <v>21557.329055999999</v>
      </c>
      <c r="AT1524" s="25">
        <f>VLOOKUP(Inventory[[#This Row],[Cnd]],Lookups!$A$76:$E$84,2,FALSE)</f>
        <v>197752.34721000001</v>
      </c>
      <c r="AU1524" s="25">
        <f>Inventory[[#This Row],[EffAge]]*Lookups!$B$85</f>
        <v>-11821.416826500001</v>
      </c>
      <c r="AV1524" s="25">
        <f>Inventory[[#This Row],[MainFn]]*Lookups!$B$86</f>
        <v>38044.675805290004</v>
      </c>
      <c r="AW1524" s="25">
        <f>Inventory[[#This Row],[UpprFn]]*Lookups!$B$87</f>
        <v>47921.472461270001</v>
      </c>
      <c r="AX1524" s="25">
        <f>Inventory[[#This Row],[AddFn]]*Lookups!$B$88</f>
        <v>0</v>
      </c>
      <c r="AY1524" s="25">
        <f>Inventory[[#This Row],[Bsmt]]*Lookups!$B$89</f>
        <v>22393.059340190001</v>
      </c>
      <c r="AZ1524" s="25">
        <f>Inventory[[#This Row],[Fixtures]]*Lookups!$B$90</f>
        <v>41712.243157199999</v>
      </c>
      <c r="BA1524" s="25">
        <f>Inventory[[#This Row],[WdDeck]]*Lookups!$B$91</f>
        <v>14749.913267268001</v>
      </c>
      <c r="BB1524" s="25">
        <f>ROUND(Inventory[[#This Row],[25Det]],-2)</f>
        <v>0</v>
      </c>
      <c r="BC1524" s="25">
        <f>ROUND(SUM(Inventory[[#This Row],[Mdl Qlty]:[Mdl WdDeck]])+Inventory[[#This Row],[Mdl Res Intercept]],-2)</f>
        <v>372300</v>
      </c>
      <c r="BD1524" s="25">
        <f>ROUND(Inventory[[#This Row],[Mdl Land Intercept]]+Inventory[[#This Row],[Mdl LnAcres]],-2)</f>
        <v>41900</v>
      </c>
      <c r="BE1524" s="25">
        <f>Inventory[[#This Row],[Unadj Res Value]]+Inventory[[#This Row],[Unadj Det Value]]+Inventory[[#This Row],[Unadj Land Value]]</f>
        <v>414200</v>
      </c>
      <c r="BF1524" s="36">
        <f>(Inventory[[#This Row],[Unadj Total Value]]-Inventory[[#This Row],[24Final]])/Inventory[[#This Row],[24Final]]</f>
        <v>9.9548712503318287E-2</v>
      </c>
      <c r="BG1524" s="25">
        <f>VLOOKUP(Inventory[[#This Row],[Nbhd]],Lookups!$Q$2:$T$4,4,FALSE)</f>
        <v>0.99970000000000003</v>
      </c>
      <c r="BH1524" s="25">
        <f>VLOOKUP(Inventory[[#This Row],[Qlty]],Lookups!$O$7:$R$21,4,FALSE)</f>
        <v>1.0067999999999999</v>
      </c>
      <c r="BI1524" s="25">
        <f>VLOOKUP(Inventory[[#This Row],[Cnd]],Lookups!$T$7:$W$16,4,FALSE)</f>
        <v>0.99650000000000005</v>
      </c>
      <c r="BJ1524" s="25">
        <f>VLOOKUP(Inventory[[#This Row],[LivArea Range]],Lookups!$T$25:$W$37,4,FALSE)</f>
        <v>0.96179999999999999</v>
      </c>
      <c r="BK1524" s="25">
        <f>VLOOKUP(Inventory[[#This Row],[Decade]],Lookups!$O$25:$R$42,4,FALSE)</f>
        <v>0.98909999999999998</v>
      </c>
      <c r="BL1524" s="25">
        <f>Inventory[[#This Row],[Nbhd Adj]]*0.95</f>
        <v>0.94971499999999998</v>
      </c>
      <c r="BM1524" s="25">
        <f>Inventory[[#This Row],[Nbhd Adj]]*Inventory[[#This Row],[Quality Adj]]*Inventory[[#This Row],[Condition Adj]]*Inventory[[#This Row],[Living Area Adj]]*Inventory[[#This Row],[Decade Adj]]*0.95</f>
        <v>0.90643941515937176</v>
      </c>
      <c r="BN1524" s="25">
        <f>ROUND(SUM(Inventory[[#This Row],[Mdl Qlty]:[Mdl WdDeck]])+Inventory[[#This Row],[Mdl Res Intercept]]*Inventory[[#This Row],[Res Adj ]],-2)</f>
        <v>372300</v>
      </c>
      <c r="BO1524" s="25">
        <f>ROUND(Inventory[[#This Row],[25Det]]*Inventory[[#This Row],[Det/Nbhd Adj]],-2)</f>
        <v>0</v>
      </c>
      <c r="BP1524" s="25">
        <f>Inventory[[#This Row],[Adjusted Res]]+Inventory[[#This Row],[Adj Det ]]</f>
        <v>372300</v>
      </c>
      <c r="BQ1524" s="25">
        <f>ROUND((Inventory[[#This Row],[Mdl Land Intercept]]+Inventory[[#This Row],[Mdl LnAcres]])*Inventory[[#This Row],[Det/Nbhd Adj]],-2)</f>
        <v>39800</v>
      </c>
      <c r="BR1524" s="25">
        <f>Inventory[[#This Row],[Adjusted Impr Total]]+Inventory[[#This Row],[Adjusted Land Total]]</f>
        <v>412100</v>
      </c>
      <c r="BS1524" s="36">
        <f>IFERROR((Inventory[[#This Row],[Adjusted Impr Total]]-Inventory[[#This Row],[24Bldg]])/Inventory[[#This Row],[24Bldg]],0)</f>
        <v>0.1819047619047619</v>
      </c>
      <c r="BT1524" s="36">
        <f>(Inventory[[#This Row],[Adjusted Land Total]]-Inventory[[#This Row],[24Lnd]])/Inventory[[#This Row],[24Lnd]]</f>
        <v>-0.35494327390599678</v>
      </c>
      <c r="BU1524" s="36">
        <f>(Inventory[[#This Row],[Adjusted Total]]-Inventory[[#This Row],[24Final]])/Inventory[[#This Row],[24Final]]</f>
        <v>9.3973984603132471E-2</v>
      </c>
    </row>
    <row r="1525" spans="1:73" x14ac:dyDescent="0.3">
      <c r="A1525" s="25">
        <v>2025</v>
      </c>
      <c r="B1525" s="26" t="s">
        <v>1234</v>
      </c>
      <c r="C1525" s="26">
        <f>LN(Inventory[[#This Row],[Acres]])</f>
        <v>-1.7147984280919266</v>
      </c>
      <c r="D1525" s="25">
        <v>0.18</v>
      </c>
      <c r="E1525" s="25">
        <v>7800</v>
      </c>
      <c r="F1525" s="26" t="s">
        <v>537</v>
      </c>
      <c r="G1525" s="26" t="s">
        <v>126</v>
      </c>
      <c r="H1525" s="26" t="s">
        <v>349</v>
      </c>
      <c r="I1525" s="26" t="s">
        <v>538</v>
      </c>
      <c r="J1525" s="26" t="s">
        <v>539</v>
      </c>
      <c r="K1525" s="26" t="s">
        <v>269</v>
      </c>
      <c r="L1525" s="26" t="s">
        <v>351</v>
      </c>
      <c r="M1525" s="26" t="s">
        <v>303</v>
      </c>
      <c r="N1525" s="26">
        <v>90</v>
      </c>
      <c r="O1525" s="26">
        <f>2024-Inventory[[#This Row],[YrBlt]]</f>
        <v>89</v>
      </c>
      <c r="P1525" s="26">
        <f>2024-Inventory[[#This Row],[EffYr]]</f>
        <v>53</v>
      </c>
      <c r="Q1525" s="25">
        <v>1935</v>
      </c>
      <c r="R1525" s="25">
        <v>1971</v>
      </c>
      <c r="S1525" s="25">
        <v>1015</v>
      </c>
      <c r="T1525" s="27"/>
      <c r="U1525" s="25">
        <v>1015</v>
      </c>
      <c r="V1525" s="25">
        <f>Inventory[[#This Row],[Bsmt]]-Inventory[[#This Row],[FnBsmt]]</f>
        <v>507</v>
      </c>
      <c r="W1525" s="25">
        <v>508</v>
      </c>
      <c r="X1525" s="27"/>
      <c r="Y1525" s="27">
        <f>Inventory[[#This Row],[MainFn]]+Inventory[[#This Row],[UpprFn]]+Inventory[[#This Row],[FnBsmt]]+Inventory[[#This Row],[AddFn]]</f>
        <v>1523</v>
      </c>
      <c r="Z1525" s="27">
        <v>2000</v>
      </c>
      <c r="AA1525" s="25">
        <v>8</v>
      </c>
      <c r="AB1525" s="27"/>
      <c r="AC1525" s="27"/>
      <c r="AD1525" s="27"/>
      <c r="AE1525" s="27"/>
      <c r="AF1525" s="27"/>
      <c r="AG1525" s="27"/>
      <c r="AH1525" s="27"/>
      <c r="AI1525" s="25">
        <v>237894</v>
      </c>
      <c r="AJ1525" s="25">
        <v>164147</v>
      </c>
      <c r="AK1525" s="25">
        <v>0</v>
      </c>
      <c r="AL1525" s="25">
        <v>321200</v>
      </c>
      <c r="AM1525" s="25">
        <v>54700</v>
      </c>
      <c r="AN1525" s="25">
        <v>266500</v>
      </c>
      <c r="AO1525" s="25">
        <v>0</v>
      </c>
      <c r="AP1525" s="25">
        <f>Lookups!$B$56*0</f>
        <v>0</v>
      </c>
      <c r="AQ1525" s="25">
        <f>Lookups!$B$56*1</f>
        <v>89850.625589999996</v>
      </c>
      <c r="AR1525" s="25">
        <f>Lookups!$B$57*Inventory[[#This Row],[LnAcres]]</f>
        <v>-54281.285314520763</v>
      </c>
      <c r="AS1525" s="25">
        <f>VLOOKUP(Inventory[[#This Row],[Qlty]],Lookups!$A$62:$E$75,2,FALSE)</f>
        <v>21557.329055999999</v>
      </c>
      <c r="AT1525" s="25">
        <f>VLOOKUP(Inventory[[#This Row],[Cnd]],Lookups!$A$76:$E$84,2,FALSE)</f>
        <v>197752.34721000001</v>
      </c>
      <c r="AU1525" s="25">
        <f>Inventory[[#This Row],[EffAge]]*Lookups!$B$85</f>
        <v>-11821.416826500001</v>
      </c>
      <c r="AV1525" s="25">
        <f>Inventory[[#This Row],[MainFn]]*Lookups!$B$86</f>
        <v>50149.799925154999</v>
      </c>
      <c r="AW1525" s="25">
        <f>Inventory[[#This Row],[UpprFn]]*Lookups!$B$87</f>
        <v>0</v>
      </c>
      <c r="AX1525" s="25">
        <f>Inventory[[#This Row],[AddFn]]*Lookups!$B$88</f>
        <v>0</v>
      </c>
      <c r="AY1525" s="25">
        <f>Inventory[[#This Row],[Bsmt]]*Lookups!$B$89</f>
        <v>29518.123675704999</v>
      </c>
      <c r="AZ1525" s="25">
        <f>Inventory[[#This Row],[Fixtures]]*Lookups!$B$90</f>
        <v>30336.176841600001</v>
      </c>
      <c r="BA1525" s="25">
        <f>Inventory[[#This Row],[WdDeck]]*Lookups!$B$91</f>
        <v>0</v>
      </c>
      <c r="BB1525" s="25">
        <f>ROUND(Inventory[[#This Row],[25Det]],-2)</f>
        <v>0</v>
      </c>
      <c r="BC1525" s="25">
        <f>ROUND(SUM(Inventory[[#This Row],[Mdl Qlty]:[Mdl WdDeck]])+Inventory[[#This Row],[Mdl Res Intercept]],-2)</f>
        <v>317500</v>
      </c>
      <c r="BD1525" s="25">
        <f>ROUND(Inventory[[#This Row],[Mdl Land Intercept]]+Inventory[[#This Row],[Mdl LnAcres]],-2)</f>
        <v>35600</v>
      </c>
      <c r="BE1525" s="25">
        <f>Inventory[[#This Row],[Unadj Res Value]]+Inventory[[#This Row],[Unadj Det Value]]+Inventory[[#This Row],[Unadj Land Value]]</f>
        <v>353100</v>
      </c>
      <c r="BF1525" s="36">
        <f>(Inventory[[#This Row],[Unadj Total Value]]-Inventory[[#This Row],[24Final]])/Inventory[[#This Row],[24Final]]</f>
        <v>9.9315068493150679E-2</v>
      </c>
      <c r="BG1525" s="25">
        <f>VLOOKUP(Inventory[[#This Row],[Nbhd]],Lookups!$Q$2:$T$4,4,FALSE)</f>
        <v>0.99970000000000003</v>
      </c>
      <c r="BH1525" s="25">
        <f>VLOOKUP(Inventory[[#This Row],[Qlty]],Lookups!$O$7:$R$21,4,FALSE)</f>
        <v>1.0067999999999999</v>
      </c>
      <c r="BI1525" s="25">
        <f>VLOOKUP(Inventory[[#This Row],[Cnd]],Lookups!$T$7:$W$16,4,FALSE)</f>
        <v>0.99650000000000005</v>
      </c>
      <c r="BJ1525" s="25">
        <f>VLOOKUP(Inventory[[#This Row],[LivArea Range]],Lookups!$T$25:$W$37,4,FALSE)</f>
        <v>1.0093000000000001</v>
      </c>
      <c r="BK1525" s="25">
        <f>VLOOKUP(Inventory[[#This Row],[Decade]],Lookups!$O$25:$R$42,4,FALSE)</f>
        <v>0.98909999999999998</v>
      </c>
      <c r="BL1525" s="25">
        <f>Inventory[[#This Row],[Nbhd Adj]]*0.95</f>
        <v>0.94971499999999998</v>
      </c>
      <c r="BM1525" s="25">
        <f>Inventory[[#This Row],[Nbhd Adj]]*Inventory[[#This Row],[Quality Adj]]*Inventory[[#This Row],[Condition Adj]]*Inventory[[#This Row],[Living Area Adj]]*Inventory[[#This Row],[Decade Adj]]*0.95</f>
        <v>0.95120534593507355</v>
      </c>
      <c r="BN1525" s="25">
        <f>ROUND(SUM(Inventory[[#This Row],[Mdl Qlty]:[Mdl WdDeck]])+Inventory[[#This Row],[Mdl Res Intercept]]*Inventory[[#This Row],[Res Adj ]],-2)</f>
        <v>317500</v>
      </c>
      <c r="BO1525" s="25">
        <f>ROUND(Inventory[[#This Row],[25Det]]*Inventory[[#This Row],[Det/Nbhd Adj]],-2)</f>
        <v>0</v>
      </c>
      <c r="BP1525" s="25">
        <f>Inventory[[#This Row],[Adjusted Res]]+Inventory[[#This Row],[Adj Det ]]</f>
        <v>317500</v>
      </c>
      <c r="BQ1525" s="25">
        <f>ROUND((Inventory[[#This Row],[Mdl Land Intercept]]+Inventory[[#This Row],[Mdl LnAcres]])*Inventory[[#This Row],[Det/Nbhd Adj]],-2)</f>
        <v>33800</v>
      </c>
      <c r="BR1525" s="25">
        <f>Inventory[[#This Row],[Adjusted Impr Total]]+Inventory[[#This Row],[Adjusted Land Total]]</f>
        <v>351300</v>
      </c>
      <c r="BS1525" s="36">
        <f>IFERROR((Inventory[[#This Row],[Adjusted Impr Total]]-Inventory[[#This Row],[24Bldg]])/Inventory[[#This Row],[24Bldg]],0)</f>
        <v>0.19136960600375236</v>
      </c>
      <c r="BT1525" s="36">
        <f>(Inventory[[#This Row],[Adjusted Land Total]]-Inventory[[#This Row],[24Lnd]])/Inventory[[#This Row],[24Lnd]]</f>
        <v>-0.38208409506398539</v>
      </c>
      <c r="BU1525" s="36">
        <f>(Inventory[[#This Row],[Adjusted Total]]-Inventory[[#This Row],[24Final]])/Inventory[[#This Row],[24Final]]</f>
        <v>9.3711083437110834E-2</v>
      </c>
    </row>
    <row r="1526" spans="1:73" x14ac:dyDescent="0.3">
      <c r="A1526" s="25">
        <v>2025</v>
      </c>
      <c r="B1526" s="26" t="s">
        <v>677</v>
      </c>
      <c r="C1526" s="26">
        <f>LN(Inventory[[#This Row],[Acres]])</f>
        <v>-1.5606477482646683</v>
      </c>
      <c r="D1526" s="25">
        <v>0.21</v>
      </c>
      <c r="E1526" s="32">
        <v>9197</v>
      </c>
      <c r="F1526" s="26" t="s">
        <v>537</v>
      </c>
      <c r="G1526" s="26" t="s">
        <v>126</v>
      </c>
      <c r="H1526" s="26" t="s">
        <v>349</v>
      </c>
      <c r="I1526" s="26" t="s">
        <v>538</v>
      </c>
      <c r="J1526" s="26" t="s">
        <v>539</v>
      </c>
      <c r="K1526" s="26" t="s">
        <v>242</v>
      </c>
      <c r="L1526" s="26" t="s">
        <v>205</v>
      </c>
      <c r="M1526" s="26" t="s">
        <v>303</v>
      </c>
      <c r="N1526" s="26">
        <v>90</v>
      </c>
      <c r="O1526" s="26">
        <f>2024-Inventory[[#This Row],[YrBlt]]</f>
        <v>89</v>
      </c>
      <c r="P1526" s="26">
        <f>2024-Inventory[[#This Row],[EffYr]]</f>
        <v>53</v>
      </c>
      <c r="Q1526" s="25">
        <v>1935</v>
      </c>
      <c r="R1526" s="25">
        <v>1971</v>
      </c>
      <c r="S1526" s="25">
        <v>1033</v>
      </c>
      <c r="T1526" s="31"/>
      <c r="U1526" s="25">
        <v>1033</v>
      </c>
      <c r="V1526" s="32">
        <f>Inventory[[#This Row],[Bsmt]]-Inventory[[#This Row],[FnBsmt]]</f>
        <v>351</v>
      </c>
      <c r="W1526" s="32">
        <v>682</v>
      </c>
      <c r="X1526" s="27"/>
      <c r="Y1526" s="27">
        <f>Inventory[[#This Row],[MainFn]]+Inventory[[#This Row],[UpprFn]]+Inventory[[#This Row],[FnBsmt]]+Inventory[[#This Row],[AddFn]]</f>
        <v>1715</v>
      </c>
      <c r="Z1526" s="27">
        <v>2000</v>
      </c>
      <c r="AA1526" s="25">
        <v>7</v>
      </c>
      <c r="AB1526" s="27"/>
      <c r="AC1526" s="27"/>
      <c r="AD1526" s="25">
        <v>331</v>
      </c>
      <c r="AE1526" s="27"/>
      <c r="AF1526" s="27"/>
      <c r="AG1526" s="27"/>
      <c r="AH1526" s="27"/>
      <c r="AI1526" s="25">
        <v>239912</v>
      </c>
      <c r="AJ1526" s="25">
        <v>165539</v>
      </c>
      <c r="AK1526" s="25">
        <v>5261</v>
      </c>
      <c r="AL1526" s="25">
        <v>318300</v>
      </c>
      <c r="AM1526" s="25">
        <v>60100</v>
      </c>
      <c r="AN1526" s="25">
        <v>258200</v>
      </c>
      <c r="AO1526" s="25">
        <v>0</v>
      </c>
      <c r="AP1526" s="25">
        <f>Lookups!$B$56*0</f>
        <v>0</v>
      </c>
      <c r="AQ1526" s="25">
        <f>Lookups!$B$56*1</f>
        <v>89850.625589999996</v>
      </c>
      <c r="AR1526" s="25">
        <f>Lookups!$B$57*Inventory[[#This Row],[LnAcres]]</f>
        <v>-49401.70477837498</v>
      </c>
      <c r="AS1526" s="25">
        <f>VLOOKUP(Inventory[[#This Row],[Qlty]],Lookups!$A$62:$E$75,2,FALSE)</f>
        <v>0</v>
      </c>
      <c r="AT1526" s="25">
        <f>VLOOKUP(Inventory[[#This Row],[Cnd]],Lookups!$A$76:$E$84,2,FALSE)</f>
        <v>197752.34721000001</v>
      </c>
      <c r="AU1526" s="25">
        <f>Inventory[[#This Row],[EffAge]]*Lookups!$B$85</f>
        <v>-11821.416826500001</v>
      </c>
      <c r="AV1526" s="25">
        <f>Inventory[[#This Row],[MainFn]]*Lookups!$B$86</f>
        <v>51039.155982941003</v>
      </c>
      <c r="AW1526" s="25">
        <f>Inventory[[#This Row],[UpprFn]]*Lookups!$B$87</f>
        <v>0</v>
      </c>
      <c r="AX1526" s="25">
        <f>Inventory[[#This Row],[AddFn]]*Lookups!$B$88</f>
        <v>0</v>
      </c>
      <c r="AY1526" s="25">
        <f>Inventory[[#This Row],[Bsmt]]*Lookups!$B$89</f>
        <v>30041.597790150998</v>
      </c>
      <c r="AZ1526" s="25">
        <f>Inventory[[#This Row],[Fixtures]]*Lookups!$B$90</f>
        <v>26544.1547364</v>
      </c>
      <c r="BA1526" s="25">
        <f>Inventory[[#This Row],[WdDeck]]*Lookups!$B$91</f>
        <v>11020.815556356001</v>
      </c>
      <c r="BB1526" s="25">
        <f>ROUND(Inventory[[#This Row],[25Det]],-2)</f>
        <v>5300</v>
      </c>
      <c r="BC1526" s="25">
        <f>ROUND(SUM(Inventory[[#This Row],[Mdl Qlty]:[Mdl WdDeck]])+Inventory[[#This Row],[Mdl Res Intercept]],-2)</f>
        <v>304600</v>
      </c>
      <c r="BD1526" s="25">
        <f>ROUND(Inventory[[#This Row],[Mdl Land Intercept]]+Inventory[[#This Row],[Mdl LnAcres]],-2)</f>
        <v>40400</v>
      </c>
      <c r="BE1526" s="25">
        <f>Inventory[[#This Row],[Unadj Res Value]]+Inventory[[#This Row],[Unadj Det Value]]+Inventory[[#This Row],[Unadj Land Value]]</f>
        <v>350300</v>
      </c>
      <c r="BF1526" s="36">
        <f>(Inventory[[#This Row],[Unadj Total Value]]-Inventory[[#This Row],[24Final]])/Inventory[[#This Row],[24Final]]</f>
        <v>0.10053408733898837</v>
      </c>
      <c r="BG1526" s="25">
        <f>VLOOKUP(Inventory[[#This Row],[Nbhd]],Lookups!$Q$2:$T$4,4,FALSE)</f>
        <v>0.99970000000000003</v>
      </c>
      <c r="BH1526" s="25">
        <f>VLOOKUP(Inventory[[#This Row],[Qlty]],Lookups!$O$7:$R$21,4,FALSE)</f>
        <v>0.99180000000000001</v>
      </c>
      <c r="BI1526" s="25">
        <f>VLOOKUP(Inventory[[#This Row],[Cnd]],Lookups!$T$7:$W$16,4,FALSE)</f>
        <v>0.99650000000000005</v>
      </c>
      <c r="BJ1526" s="25">
        <f>VLOOKUP(Inventory[[#This Row],[LivArea Range]],Lookups!$T$25:$W$37,4,FALSE)</f>
        <v>1.0093000000000001</v>
      </c>
      <c r="BK1526" s="25">
        <f>VLOOKUP(Inventory[[#This Row],[Decade]],Lookups!$O$25:$R$42,4,FALSE)</f>
        <v>0.98909999999999998</v>
      </c>
      <c r="BL1526" s="25">
        <f>Inventory[[#This Row],[Nbhd Adj]]*0.95</f>
        <v>0.94971499999999998</v>
      </c>
      <c r="BM1526" s="25">
        <f>Inventory[[#This Row],[Nbhd Adj]]*Inventory[[#This Row],[Quality Adj]]*Inventory[[#This Row],[Condition Adj]]*Inventory[[#This Row],[Living Area Adj]]*Inventory[[#This Row],[Decade Adj]]*0.95</f>
        <v>0.93703363339134527</v>
      </c>
      <c r="BN1526" s="25">
        <f>ROUND(SUM(Inventory[[#This Row],[Mdl Qlty]:[Mdl WdDeck]])+Inventory[[#This Row],[Mdl Res Intercept]]*Inventory[[#This Row],[Res Adj ]],-2)</f>
        <v>304600</v>
      </c>
      <c r="BO1526" s="25">
        <f>ROUND(Inventory[[#This Row],[25Det]]*Inventory[[#This Row],[Det/Nbhd Adj]],-2)</f>
        <v>5000</v>
      </c>
      <c r="BP1526" s="25">
        <f>Inventory[[#This Row],[Adjusted Res]]+Inventory[[#This Row],[Adj Det ]]</f>
        <v>309600</v>
      </c>
      <c r="BQ1526" s="25">
        <f>ROUND((Inventory[[#This Row],[Mdl Land Intercept]]+Inventory[[#This Row],[Mdl LnAcres]])*Inventory[[#This Row],[Det/Nbhd Adj]],-2)</f>
        <v>38400</v>
      </c>
      <c r="BR1526" s="25">
        <f>Inventory[[#This Row],[Adjusted Impr Total]]+Inventory[[#This Row],[Adjusted Land Total]]</f>
        <v>348000</v>
      </c>
      <c r="BS1526" s="36">
        <f>IFERROR((Inventory[[#This Row],[Adjusted Impr Total]]-Inventory[[#This Row],[24Bldg]])/Inventory[[#This Row],[24Bldg]],0)</f>
        <v>0.19907048799380325</v>
      </c>
      <c r="BT1526" s="36">
        <f>(Inventory[[#This Row],[Adjusted Land Total]]-Inventory[[#This Row],[24Lnd]])/Inventory[[#This Row],[24Lnd]]</f>
        <v>-0.36106489184692181</v>
      </c>
      <c r="BU1526" s="36">
        <f>(Inventory[[#This Row],[Adjusted Total]]-Inventory[[#This Row],[24Final]])/Inventory[[#This Row],[24Final]]</f>
        <v>9.3308199811498585E-2</v>
      </c>
    </row>
    <row r="1527" spans="1:73" x14ac:dyDescent="0.3">
      <c r="A1527" s="25">
        <v>2025</v>
      </c>
      <c r="B1527" s="26" t="s">
        <v>1033</v>
      </c>
      <c r="C1527" s="26">
        <f>LN(Inventory[[#This Row],[Acres]])</f>
        <v>-1.6607312068216509</v>
      </c>
      <c r="D1527" s="25">
        <v>0.19</v>
      </c>
      <c r="E1527" s="32">
        <v>8370</v>
      </c>
      <c r="F1527" s="26" t="s">
        <v>537</v>
      </c>
      <c r="G1527" s="26" t="s">
        <v>126</v>
      </c>
      <c r="H1527" s="26" t="s">
        <v>349</v>
      </c>
      <c r="I1527" s="26" t="s">
        <v>538</v>
      </c>
      <c r="J1527" s="26" t="s">
        <v>539</v>
      </c>
      <c r="K1527" s="26" t="s">
        <v>147</v>
      </c>
      <c r="L1527" s="26" t="s">
        <v>95</v>
      </c>
      <c r="M1527" s="26" t="s">
        <v>352</v>
      </c>
      <c r="N1527" s="26">
        <v>90</v>
      </c>
      <c r="O1527" s="26">
        <f>2024-Inventory[[#This Row],[YrBlt]]</f>
        <v>89</v>
      </c>
      <c r="P1527" s="26">
        <f>2024-Inventory[[#This Row],[EffYr]]</f>
        <v>53</v>
      </c>
      <c r="Q1527" s="25">
        <v>1935</v>
      </c>
      <c r="R1527" s="25">
        <v>1971</v>
      </c>
      <c r="S1527" s="25">
        <v>1180</v>
      </c>
      <c r="T1527" s="32">
        <v>900</v>
      </c>
      <c r="U1527" s="25">
        <v>900</v>
      </c>
      <c r="V1527" s="32">
        <f>Inventory[[#This Row],[Bsmt]]-Inventory[[#This Row],[FnBsmt]]</f>
        <v>0</v>
      </c>
      <c r="W1527" s="32">
        <v>900</v>
      </c>
      <c r="X1527" s="27"/>
      <c r="Y1527" s="27">
        <f>Inventory[[#This Row],[MainFn]]+Inventory[[#This Row],[UpprFn]]+Inventory[[#This Row],[FnBsmt]]+Inventory[[#This Row],[AddFn]]</f>
        <v>2980</v>
      </c>
      <c r="Z1527" s="27">
        <v>3000</v>
      </c>
      <c r="AA1527" s="25">
        <v>13</v>
      </c>
      <c r="AB1527" s="32">
        <v>209</v>
      </c>
      <c r="AC1527" s="27"/>
      <c r="AD1527" s="27"/>
      <c r="AE1527" s="27"/>
      <c r="AF1527" s="27"/>
      <c r="AG1527" s="27"/>
      <c r="AH1527" s="27"/>
      <c r="AI1527" s="25">
        <v>578227</v>
      </c>
      <c r="AJ1527" s="25">
        <v>410541</v>
      </c>
      <c r="AK1527" s="25">
        <v>0</v>
      </c>
      <c r="AL1527" s="25">
        <v>509600</v>
      </c>
      <c r="AM1527" s="25">
        <v>56600</v>
      </c>
      <c r="AN1527" s="25">
        <v>453000</v>
      </c>
      <c r="AO1527" s="25">
        <v>0</v>
      </c>
      <c r="AP1527" s="25">
        <f>Lookups!$B$56*0</f>
        <v>0</v>
      </c>
      <c r="AQ1527" s="25">
        <f>Lookups!$B$56*1</f>
        <v>89850.625589999996</v>
      </c>
      <c r="AR1527" s="25">
        <f>Lookups!$B$57*Inventory[[#This Row],[LnAcres]]</f>
        <v>-52569.808201026557</v>
      </c>
      <c r="AS1527" s="25">
        <f>VLOOKUP(Inventory[[#This Row],[Qlty]],Lookups!$A$62:$E$75,2,FALSE)</f>
        <v>74268.409664999999</v>
      </c>
      <c r="AT1527" s="25">
        <f>VLOOKUP(Inventory[[#This Row],[Cnd]],Lookups!$A$76:$E$84,2,FALSE)</f>
        <v>284810.60806</v>
      </c>
      <c r="AU1527" s="25">
        <f>Inventory[[#This Row],[EffAge]]*Lookups!$B$85</f>
        <v>-11821.416826500001</v>
      </c>
      <c r="AV1527" s="25">
        <f>Inventory[[#This Row],[MainFn]]*Lookups!$B$86</f>
        <v>58302.23045486</v>
      </c>
      <c r="AW1527" s="25">
        <f>Inventory[[#This Row],[UpprFn]]*Lookups!$B$87</f>
        <v>40307.780574899996</v>
      </c>
      <c r="AX1527" s="25">
        <f>Inventory[[#This Row],[AddFn]]*Lookups!$B$88</f>
        <v>0</v>
      </c>
      <c r="AY1527" s="25">
        <f>Inventory[[#This Row],[Bsmt]]*Lookups!$B$89</f>
        <v>26173.705722299997</v>
      </c>
      <c r="AZ1527" s="25">
        <f>Inventory[[#This Row],[Fixtures]]*Lookups!$B$90</f>
        <v>49296.287367600002</v>
      </c>
      <c r="BA1527" s="25">
        <f>Inventory[[#This Row],[WdDeck]]*Lookups!$B$91</f>
        <v>0</v>
      </c>
      <c r="BB1527" s="25">
        <f>ROUND(Inventory[[#This Row],[25Det]],-2)</f>
        <v>0</v>
      </c>
      <c r="BC1527" s="25">
        <f>ROUND(SUM(Inventory[[#This Row],[Mdl Qlty]:[Mdl WdDeck]])+Inventory[[#This Row],[Mdl Res Intercept]],-2)</f>
        <v>521300</v>
      </c>
      <c r="BD1527" s="25">
        <f>ROUND(Inventory[[#This Row],[Mdl Land Intercept]]+Inventory[[#This Row],[Mdl LnAcres]],-2)</f>
        <v>37300</v>
      </c>
      <c r="BE1527" s="25">
        <f>Inventory[[#This Row],[Unadj Res Value]]+Inventory[[#This Row],[Unadj Det Value]]+Inventory[[#This Row],[Unadj Land Value]]</f>
        <v>558600</v>
      </c>
      <c r="BF1527" s="36">
        <f>(Inventory[[#This Row],[Unadj Total Value]]-Inventory[[#This Row],[24Final]])/Inventory[[#This Row],[24Final]]</f>
        <v>9.6153846153846159E-2</v>
      </c>
      <c r="BG1527" s="25">
        <f>VLOOKUP(Inventory[[#This Row],[Nbhd]],Lookups!$Q$2:$T$4,4,FALSE)</f>
        <v>0.99970000000000003</v>
      </c>
      <c r="BH1527" s="25">
        <f>VLOOKUP(Inventory[[#This Row],[Qlty]],Lookups!$O$7:$R$21,4,FALSE)</f>
        <v>0.98380000000000001</v>
      </c>
      <c r="BI1527" s="25">
        <f>VLOOKUP(Inventory[[#This Row],[Cnd]],Lookups!$T$7:$W$16,4,FALSE)</f>
        <v>1.0158</v>
      </c>
      <c r="BJ1527" s="25">
        <f>VLOOKUP(Inventory[[#This Row],[LivArea Range]],Lookups!$T$25:$W$37,4,FALSE)</f>
        <v>0.96179999999999999</v>
      </c>
      <c r="BK1527" s="25">
        <f>VLOOKUP(Inventory[[#This Row],[Decade]],Lookups!$O$25:$R$42,4,FALSE)</f>
        <v>0.98909999999999998</v>
      </c>
      <c r="BL1527" s="25">
        <f>Inventory[[#This Row],[Nbhd Adj]]*0.95</f>
        <v>0.94971499999999998</v>
      </c>
      <c r="BM1527" s="25">
        <f>Inventory[[#This Row],[Nbhd Adj]]*Inventory[[#This Row],[Quality Adj]]*Inventory[[#This Row],[Condition Adj]]*Inventory[[#This Row],[Living Area Adj]]*Inventory[[#This Row],[Decade Adj]]*0.95</f>
        <v>0.90288678946097178</v>
      </c>
      <c r="BN1527" s="25">
        <f>ROUND(SUM(Inventory[[#This Row],[Mdl Qlty]:[Mdl WdDeck]])+Inventory[[#This Row],[Mdl Res Intercept]]*Inventory[[#This Row],[Res Adj ]],-2)</f>
        <v>521300</v>
      </c>
      <c r="BO1527" s="25">
        <f>ROUND(Inventory[[#This Row],[25Det]]*Inventory[[#This Row],[Det/Nbhd Adj]],-2)</f>
        <v>0</v>
      </c>
      <c r="BP1527" s="25">
        <f>Inventory[[#This Row],[Adjusted Res]]+Inventory[[#This Row],[Adj Det ]]</f>
        <v>521300</v>
      </c>
      <c r="BQ1527" s="25">
        <f>ROUND((Inventory[[#This Row],[Mdl Land Intercept]]+Inventory[[#This Row],[Mdl LnAcres]])*Inventory[[#This Row],[Det/Nbhd Adj]],-2)</f>
        <v>35400</v>
      </c>
      <c r="BR1527" s="25">
        <f>Inventory[[#This Row],[Adjusted Impr Total]]+Inventory[[#This Row],[Adjusted Land Total]]</f>
        <v>556700</v>
      </c>
      <c r="BS1527" s="36">
        <f>IFERROR((Inventory[[#This Row],[Adjusted Impr Total]]-Inventory[[#This Row],[24Bldg]])/Inventory[[#This Row],[24Bldg]],0)</f>
        <v>0.15077262693156732</v>
      </c>
      <c r="BT1527" s="36">
        <f>(Inventory[[#This Row],[Adjusted Land Total]]-Inventory[[#This Row],[24Lnd]])/Inventory[[#This Row],[24Lnd]]</f>
        <v>-0.37455830388692579</v>
      </c>
      <c r="BU1527" s="36">
        <f>(Inventory[[#This Row],[Adjusted Total]]-Inventory[[#This Row],[24Final]])/Inventory[[#This Row],[24Final]]</f>
        <v>9.2425431711145992E-2</v>
      </c>
    </row>
    <row r="1528" spans="1:73" x14ac:dyDescent="0.3">
      <c r="A1528" s="25">
        <v>2025</v>
      </c>
      <c r="B1528" s="26" t="s">
        <v>2464</v>
      </c>
      <c r="C1528" s="26">
        <f>LN(Inventory[[#This Row],[Acres]])</f>
        <v>-1.5141277326297755</v>
      </c>
      <c r="D1528" s="25">
        <v>0.22</v>
      </c>
      <c r="E1528" s="31"/>
      <c r="F1528" s="26" t="s">
        <v>537</v>
      </c>
      <c r="G1528" s="26" t="s">
        <v>126</v>
      </c>
      <c r="H1528" s="26" t="s">
        <v>349</v>
      </c>
      <c r="I1528" s="26" t="s">
        <v>538</v>
      </c>
      <c r="J1528" s="26" t="s">
        <v>539</v>
      </c>
      <c r="K1528" s="26" t="s">
        <v>301</v>
      </c>
      <c r="L1528" s="26" t="s">
        <v>148</v>
      </c>
      <c r="M1528" s="26" t="s">
        <v>303</v>
      </c>
      <c r="N1528" s="26">
        <v>90</v>
      </c>
      <c r="O1528" s="26">
        <f>2024-Inventory[[#This Row],[YrBlt]]</f>
        <v>89</v>
      </c>
      <c r="P1528" s="26">
        <f>2024-Inventory[[#This Row],[EffYr]]</f>
        <v>53</v>
      </c>
      <c r="Q1528" s="25">
        <v>1935</v>
      </c>
      <c r="R1528" s="25">
        <v>1971</v>
      </c>
      <c r="S1528" s="25">
        <v>1138</v>
      </c>
      <c r="T1528" s="25">
        <v>840</v>
      </c>
      <c r="U1528" s="25">
        <v>840</v>
      </c>
      <c r="V1528" s="32">
        <f>Inventory[[#This Row],[Bsmt]]-Inventory[[#This Row],[FnBsmt]]</f>
        <v>584</v>
      </c>
      <c r="W1528" s="32">
        <v>256</v>
      </c>
      <c r="X1528" s="27"/>
      <c r="Y1528" s="27">
        <f>Inventory[[#This Row],[MainFn]]+Inventory[[#This Row],[UpprFn]]+Inventory[[#This Row],[FnBsmt]]+Inventory[[#This Row],[AddFn]]</f>
        <v>2234</v>
      </c>
      <c r="Z1528" s="27">
        <v>2500</v>
      </c>
      <c r="AA1528" s="25">
        <v>7</v>
      </c>
      <c r="AB1528" s="27"/>
      <c r="AC1528" s="27"/>
      <c r="AD1528" s="27"/>
      <c r="AE1528" s="27"/>
      <c r="AF1528" s="27"/>
      <c r="AG1528" s="27"/>
      <c r="AH1528" s="27"/>
      <c r="AI1528" s="25">
        <v>448482</v>
      </c>
      <c r="AJ1528" s="25">
        <v>309453</v>
      </c>
      <c r="AK1528" s="25">
        <v>18425</v>
      </c>
      <c r="AL1528" s="25">
        <v>395700</v>
      </c>
      <c r="AM1528" s="25">
        <v>61700</v>
      </c>
      <c r="AN1528" s="25">
        <v>334000</v>
      </c>
      <c r="AO1528" s="25">
        <v>0</v>
      </c>
      <c r="AP1528" s="25">
        <f>Lookups!$B$56*0</f>
        <v>0</v>
      </c>
      <c r="AQ1528" s="25">
        <f>Lookups!$B$56*1</f>
        <v>89850.625589999996</v>
      </c>
      <c r="AR1528" s="25">
        <f>Lookups!$B$57*Inventory[[#This Row],[LnAcres]]</f>
        <v>-47929.131559187132</v>
      </c>
      <c r="AS1528" s="25">
        <f>VLOOKUP(Inventory[[#This Row],[Qlty]],Lookups!$A$62:$E$75,2,FALSE)</f>
        <v>44121.038090000002</v>
      </c>
      <c r="AT1528" s="25">
        <f>VLOOKUP(Inventory[[#This Row],[Cnd]],Lookups!$A$76:$E$84,2,FALSE)</f>
        <v>197752.34721000001</v>
      </c>
      <c r="AU1528" s="25">
        <f>Inventory[[#This Row],[EffAge]]*Lookups!$B$85</f>
        <v>-11821.416826500001</v>
      </c>
      <c r="AV1528" s="25">
        <f>Inventory[[#This Row],[MainFn]]*Lookups!$B$86</f>
        <v>56227.066320026002</v>
      </c>
      <c r="AW1528" s="25">
        <f>Inventory[[#This Row],[UpprFn]]*Lookups!$B$87</f>
        <v>37620.595203240002</v>
      </c>
      <c r="AX1528" s="25">
        <f>Inventory[[#This Row],[AddFn]]*Lookups!$B$88</f>
        <v>0</v>
      </c>
      <c r="AY1528" s="25">
        <f>Inventory[[#This Row],[Bsmt]]*Lookups!$B$89</f>
        <v>24428.792007479999</v>
      </c>
      <c r="AZ1528" s="25">
        <f>Inventory[[#This Row],[Fixtures]]*Lookups!$B$90</f>
        <v>26544.1547364</v>
      </c>
      <c r="BA1528" s="25">
        <f>Inventory[[#This Row],[WdDeck]]*Lookups!$B$91</f>
        <v>0</v>
      </c>
      <c r="BB1528" s="25">
        <f>ROUND(Inventory[[#This Row],[25Det]],-2)</f>
        <v>18400</v>
      </c>
      <c r="BC1528" s="25">
        <f>ROUND(SUM(Inventory[[#This Row],[Mdl Qlty]:[Mdl WdDeck]])+Inventory[[#This Row],[Mdl Res Intercept]],-2)</f>
        <v>374900</v>
      </c>
      <c r="BD1528" s="25">
        <f>ROUND(Inventory[[#This Row],[Mdl Land Intercept]]+Inventory[[#This Row],[Mdl LnAcres]],-2)</f>
        <v>41900</v>
      </c>
      <c r="BE1528" s="25">
        <f>Inventory[[#This Row],[Unadj Res Value]]+Inventory[[#This Row],[Unadj Det Value]]+Inventory[[#This Row],[Unadj Land Value]]</f>
        <v>435200</v>
      </c>
      <c r="BF1528" s="36">
        <f>(Inventory[[#This Row],[Unadj Total Value]]-Inventory[[#This Row],[24Final]])/Inventory[[#This Row],[24Final]]</f>
        <v>9.9823098306798086E-2</v>
      </c>
      <c r="BG1528" s="25">
        <f>VLOOKUP(Inventory[[#This Row],[Nbhd]],Lookups!$Q$2:$T$4,4,FALSE)</f>
        <v>0.99970000000000003</v>
      </c>
      <c r="BH1528" s="25">
        <f>VLOOKUP(Inventory[[#This Row],[Qlty]],Lookups!$O$7:$R$21,4,FALSE)</f>
        <v>0.98050000000000004</v>
      </c>
      <c r="BI1528" s="25">
        <f>VLOOKUP(Inventory[[#This Row],[Cnd]],Lookups!$T$7:$W$16,4,FALSE)</f>
        <v>0.99650000000000005</v>
      </c>
      <c r="BJ1528" s="25">
        <f>VLOOKUP(Inventory[[#This Row],[LivArea Range]],Lookups!$T$25:$W$37,4,FALSE)</f>
        <v>0.98919999999999997</v>
      </c>
      <c r="BK1528" s="25">
        <f>VLOOKUP(Inventory[[#This Row],[Decade]],Lookups!$O$25:$R$42,4,FALSE)</f>
        <v>0.98909999999999998</v>
      </c>
      <c r="BL1528" s="25">
        <f>Inventory[[#This Row],[Nbhd Adj]]*0.95</f>
        <v>0.94971499999999998</v>
      </c>
      <c r="BM1528" s="25">
        <f>Inventory[[#This Row],[Nbhd Adj]]*Inventory[[#This Row],[Quality Adj]]*Inventory[[#This Row],[Condition Adj]]*Inventory[[#This Row],[Living Area Adj]]*Inventory[[#This Row],[Decade Adj]]*0.95</f>
        <v>0.90790939042342744</v>
      </c>
      <c r="BN1528" s="25">
        <f>ROUND(SUM(Inventory[[#This Row],[Mdl Qlty]:[Mdl WdDeck]])+Inventory[[#This Row],[Mdl Res Intercept]]*Inventory[[#This Row],[Res Adj ]],-2)</f>
        <v>374900</v>
      </c>
      <c r="BO1528" s="25">
        <f>ROUND(Inventory[[#This Row],[25Det]]*Inventory[[#This Row],[Det/Nbhd Adj]],-2)</f>
        <v>17500</v>
      </c>
      <c r="BP1528" s="25">
        <f>Inventory[[#This Row],[Adjusted Res]]+Inventory[[#This Row],[Adj Det ]]</f>
        <v>392400</v>
      </c>
      <c r="BQ1528" s="25">
        <f>ROUND((Inventory[[#This Row],[Mdl Land Intercept]]+Inventory[[#This Row],[Mdl LnAcres]])*Inventory[[#This Row],[Det/Nbhd Adj]],-2)</f>
        <v>39800</v>
      </c>
      <c r="BR1528" s="25">
        <f>Inventory[[#This Row],[Adjusted Impr Total]]+Inventory[[#This Row],[Adjusted Land Total]]</f>
        <v>432200</v>
      </c>
      <c r="BS1528" s="36">
        <f>IFERROR((Inventory[[#This Row],[Adjusted Impr Total]]-Inventory[[#This Row],[24Bldg]])/Inventory[[#This Row],[24Bldg]],0)</f>
        <v>0.17485029940119762</v>
      </c>
      <c r="BT1528" s="36">
        <f>(Inventory[[#This Row],[Adjusted Land Total]]-Inventory[[#This Row],[24Lnd]])/Inventory[[#This Row],[24Lnd]]</f>
        <v>-0.35494327390599678</v>
      </c>
      <c r="BU1528" s="36">
        <f>(Inventory[[#This Row],[Adjusted Total]]-Inventory[[#This Row],[24Final]])/Inventory[[#This Row],[24Final]]</f>
        <v>9.2241597169572906E-2</v>
      </c>
    </row>
    <row r="1529" spans="1:73" x14ac:dyDescent="0.3">
      <c r="A1529" s="25">
        <v>2025</v>
      </c>
      <c r="B1529" s="26" t="s">
        <v>1385</v>
      </c>
      <c r="C1529" s="26">
        <f>LN(Inventory[[#This Row],[Acres]])</f>
        <v>-2.0402208285265546</v>
      </c>
      <c r="D1529" s="25">
        <v>0.13</v>
      </c>
      <c r="E1529" s="25">
        <v>5565</v>
      </c>
      <c r="F1529" s="26" t="s">
        <v>537</v>
      </c>
      <c r="G1529" s="26" t="s">
        <v>126</v>
      </c>
      <c r="H1529" s="26" t="s">
        <v>349</v>
      </c>
      <c r="I1529" s="26" t="s">
        <v>538</v>
      </c>
      <c r="J1529" s="26" t="s">
        <v>539</v>
      </c>
      <c r="K1529" s="26" t="s">
        <v>269</v>
      </c>
      <c r="L1529" s="26" t="s">
        <v>351</v>
      </c>
      <c r="M1529" s="26" t="s">
        <v>303</v>
      </c>
      <c r="N1529" s="26">
        <v>90</v>
      </c>
      <c r="O1529" s="26">
        <f>2024-Inventory[[#This Row],[YrBlt]]</f>
        <v>89</v>
      </c>
      <c r="P1529" s="26">
        <f>2024-Inventory[[#This Row],[EffYr]]</f>
        <v>53</v>
      </c>
      <c r="Q1529" s="25">
        <v>1935</v>
      </c>
      <c r="R1529" s="25">
        <v>1971</v>
      </c>
      <c r="S1529" s="25">
        <v>1206</v>
      </c>
      <c r="T1529" s="27"/>
      <c r="U1529" s="25">
        <v>1206</v>
      </c>
      <c r="V1529" s="25">
        <f>Inventory[[#This Row],[Bsmt]]-Inventory[[#This Row],[FnBsmt]]</f>
        <v>0</v>
      </c>
      <c r="W1529" s="25">
        <v>1206</v>
      </c>
      <c r="X1529" s="27"/>
      <c r="Y1529" s="27">
        <f>Inventory[[#This Row],[MainFn]]+Inventory[[#This Row],[UpprFn]]+Inventory[[#This Row],[FnBsmt]]+Inventory[[#This Row],[AddFn]]</f>
        <v>2412</v>
      </c>
      <c r="Z1529" s="27">
        <v>2500</v>
      </c>
      <c r="AA1529" s="25">
        <v>7</v>
      </c>
      <c r="AB1529" s="31"/>
      <c r="AC1529" s="27"/>
      <c r="AD1529" s="32">
        <v>372</v>
      </c>
      <c r="AE1529" s="27"/>
      <c r="AF1529" s="27"/>
      <c r="AG1529" s="27"/>
      <c r="AH1529" s="27"/>
      <c r="AI1529" s="25">
        <v>307547</v>
      </c>
      <c r="AJ1529" s="25">
        <v>212207</v>
      </c>
      <c r="AK1529" s="25">
        <v>6724</v>
      </c>
      <c r="AL1529" s="25">
        <v>340200</v>
      </c>
      <c r="AM1529" s="25">
        <v>43400</v>
      </c>
      <c r="AN1529" s="25">
        <v>296800</v>
      </c>
      <c r="AO1529" s="25">
        <v>0</v>
      </c>
      <c r="AP1529" s="25">
        <f>Lookups!$B$56*0</f>
        <v>0</v>
      </c>
      <c r="AQ1529" s="25">
        <f>Lookups!$B$56*1</f>
        <v>89850.625589999996</v>
      </c>
      <c r="AR1529" s="25">
        <f>Lookups!$B$57*Inventory[[#This Row],[LnAcres]]</f>
        <v>-64582.406353792743</v>
      </c>
      <c r="AS1529" s="25">
        <f>VLOOKUP(Inventory[[#This Row],[Qlty]],Lookups!$A$62:$E$75,2,FALSE)</f>
        <v>21557.329055999999</v>
      </c>
      <c r="AT1529" s="25">
        <f>VLOOKUP(Inventory[[#This Row],[Cnd]],Lookups!$A$76:$E$84,2,FALSE)</f>
        <v>197752.34721000001</v>
      </c>
      <c r="AU1529" s="25">
        <f>Inventory[[#This Row],[EffAge]]*Lookups!$B$85</f>
        <v>-11821.416826500001</v>
      </c>
      <c r="AV1529" s="25">
        <f>Inventory[[#This Row],[MainFn]]*Lookups!$B$86</f>
        <v>59586.855871662003</v>
      </c>
      <c r="AW1529" s="25">
        <f>Inventory[[#This Row],[UpprFn]]*Lookups!$B$87</f>
        <v>0</v>
      </c>
      <c r="AX1529" s="25">
        <f>Inventory[[#This Row],[AddFn]]*Lookups!$B$88</f>
        <v>0</v>
      </c>
      <c r="AY1529" s="25">
        <f>Inventory[[#This Row],[Bsmt]]*Lookups!$B$89</f>
        <v>35072.765667881999</v>
      </c>
      <c r="AZ1529" s="25">
        <f>Inventory[[#This Row],[Fixtures]]*Lookups!$B$90</f>
        <v>26544.1547364</v>
      </c>
      <c r="BA1529" s="25">
        <f>Inventory[[#This Row],[WdDeck]]*Lookups!$B$91</f>
        <v>12385.931682672001</v>
      </c>
      <c r="BB1529" s="25">
        <f>ROUND(Inventory[[#This Row],[25Det]],-2)</f>
        <v>6700</v>
      </c>
      <c r="BC1529" s="25">
        <f>ROUND(SUM(Inventory[[#This Row],[Mdl Qlty]:[Mdl WdDeck]])+Inventory[[#This Row],[Mdl Res Intercept]],-2)</f>
        <v>341100</v>
      </c>
      <c r="BD1529" s="25">
        <f>ROUND(Inventory[[#This Row],[Mdl Land Intercept]]+Inventory[[#This Row],[Mdl LnAcres]],-2)</f>
        <v>25300</v>
      </c>
      <c r="BE1529" s="25">
        <f>Inventory[[#This Row],[Unadj Res Value]]+Inventory[[#This Row],[Unadj Det Value]]+Inventory[[#This Row],[Unadj Land Value]]</f>
        <v>373100</v>
      </c>
      <c r="BF1529" s="36">
        <f>(Inventory[[#This Row],[Unadj Total Value]]-Inventory[[#This Row],[24Final]])/Inventory[[#This Row],[24Final]]</f>
        <v>9.6707818930041156E-2</v>
      </c>
      <c r="BG1529" s="25">
        <f>VLOOKUP(Inventory[[#This Row],[Nbhd]],Lookups!$Q$2:$T$4,4,FALSE)</f>
        <v>0.99970000000000003</v>
      </c>
      <c r="BH1529" s="25">
        <f>VLOOKUP(Inventory[[#This Row],[Qlty]],Lookups!$O$7:$R$21,4,FALSE)</f>
        <v>1.0067999999999999</v>
      </c>
      <c r="BI1529" s="25">
        <f>VLOOKUP(Inventory[[#This Row],[Cnd]],Lookups!$T$7:$W$16,4,FALSE)</f>
        <v>0.99650000000000005</v>
      </c>
      <c r="BJ1529" s="25">
        <f>VLOOKUP(Inventory[[#This Row],[LivArea Range]],Lookups!$T$25:$W$37,4,FALSE)</f>
        <v>0.98919999999999997</v>
      </c>
      <c r="BK1529" s="25">
        <f>VLOOKUP(Inventory[[#This Row],[Decade]],Lookups!$O$25:$R$42,4,FALSE)</f>
        <v>0.98909999999999998</v>
      </c>
      <c r="BL1529" s="25">
        <f>Inventory[[#This Row],[Nbhd Adj]]*0.95</f>
        <v>0.94971499999999998</v>
      </c>
      <c r="BM1529" s="25">
        <f>Inventory[[#This Row],[Nbhd Adj]]*Inventory[[#This Row],[Quality Adj]]*Inventory[[#This Row],[Condition Adj]]*Inventory[[#This Row],[Living Area Adj]]*Inventory[[#This Row],[Decade Adj]]*0.95</f>
        <v>0.9322622889120924</v>
      </c>
      <c r="BN1529" s="25">
        <f>ROUND(SUM(Inventory[[#This Row],[Mdl Qlty]:[Mdl WdDeck]])+Inventory[[#This Row],[Mdl Res Intercept]]*Inventory[[#This Row],[Res Adj ]],-2)</f>
        <v>341100</v>
      </c>
      <c r="BO1529" s="25">
        <f>ROUND(Inventory[[#This Row],[25Det]]*Inventory[[#This Row],[Det/Nbhd Adj]],-2)</f>
        <v>6400</v>
      </c>
      <c r="BP1529" s="25">
        <f>Inventory[[#This Row],[Adjusted Res]]+Inventory[[#This Row],[Adj Det ]]</f>
        <v>347500</v>
      </c>
      <c r="BQ1529" s="25">
        <f>ROUND((Inventory[[#This Row],[Mdl Land Intercept]]+Inventory[[#This Row],[Mdl LnAcres]])*Inventory[[#This Row],[Det/Nbhd Adj]],-2)</f>
        <v>24000</v>
      </c>
      <c r="BR1529" s="25">
        <f>Inventory[[#This Row],[Adjusted Impr Total]]+Inventory[[#This Row],[Adjusted Land Total]]</f>
        <v>371500</v>
      </c>
      <c r="BS1529" s="36">
        <f>IFERROR((Inventory[[#This Row],[Adjusted Impr Total]]-Inventory[[#This Row],[24Bldg]])/Inventory[[#This Row],[24Bldg]],0)</f>
        <v>0.170822102425876</v>
      </c>
      <c r="BT1529" s="36">
        <f>(Inventory[[#This Row],[Adjusted Land Total]]-Inventory[[#This Row],[24Lnd]])/Inventory[[#This Row],[24Lnd]]</f>
        <v>-0.44700460829493088</v>
      </c>
      <c r="BU1529" s="36">
        <f>(Inventory[[#This Row],[Adjusted Total]]-Inventory[[#This Row],[24Final]])/Inventory[[#This Row],[24Final]]</f>
        <v>9.2004703115814226E-2</v>
      </c>
    </row>
    <row r="1530" spans="1:73" x14ac:dyDescent="0.3">
      <c r="A1530" s="25">
        <v>2025</v>
      </c>
      <c r="B1530" s="26" t="s">
        <v>1792</v>
      </c>
      <c r="C1530" s="26">
        <f>LN(Inventory[[#This Row],[Acres]])</f>
        <v>-1.7147984280919266</v>
      </c>
      <c r="D1530" s="25">
        <v>0.18</v>
      </c>
      <c r="E1530" s="32">
        <v>7953</v>
      </c>
      <c r="F1530" s="26" t="s">
        <v>537</v>
      </c>
      <c r="G1530" s="26" t="s">
        <v>126</v>
      </c>
      <c r="H1530" s="26" t="s">
        <v>349</v>
      </c>
      <c r="I1530" s="26" t="s">
        <v>538</v>
      </c>
      <c r="J1530" s="26" t="s">
        <v>539</v>
      </c>
      <c r="K1530" s="26" t="s">
        <v>242</v>
      </c>
      <c r="L1530" s="26" t="s">
        <v>148</v>
      </c>
      <c r="M1530" s="26" t="s">
        <v>303</v>
      </c>
      <c r="N1530" s="26">
        <v>90</v>
      </c>
      <c r="O1530" s="26">
        <f>2024-Inventory[[#This Row],[YrBlt]]</f>
        <v>89</v>
      </c>
      <c r="P1530" s="26">
        <f>2024-Inventory[[#This Row],[EffYr]]</f>
        <v>53</v>
      </c>
      <c r="Q1530" s="25">
        <v>1935</v>
      </c>
      <c r="R1530" s="25">
        <v>1971</v>
      </c>
      <c r="S1530" s="25">
        <v>1134</v>
      </c>
      <c r="T1530" s="27"/>
      <c r="U1530" s="25">
        <v>1134</v>
      </c>
      <c r="V1530" s="25">
        <f>Inventory[[#This Row],[Bsmt]]-Inventory[[#This Row],[FnBsmt]]</f>
        <v>567</v>
      </c>
      <c r="W1530" s="25">
        <v>567</v>
      </c>
      <c r="X1530" s="27"/>
      <c r="Y1530" s="27">
        <f>Inventory[[#This Row],[MainFn]]+Inventory[[#This Row],[UpprFn]]+Inventory[[#This Row],[FnBsmt]]+Inventory[[#This Row],[AddFn]]</f>
        <v>1701</v>
      </c>
      <c r="Z1530" s="27">
        <v>2000</v>
      </c>
      <c r="AA1530" s="25">
        <v>8</v>
      </c>
      <c r="AB1530" s="27"/>
      <c r="AC1530" s="27"/>
      <c r="AD1530" s="27"/>
      <c r="AE1530" s="27"/>
      <c r="AF1530" s="27"/>
      <c r="AG1530" s="27"/>
      <c r="AH1530" s="27"/>
      <c r="AI1530" s="25">
        <v>357143</v>
      </c>
      <c r="AJ1530" s="25">
        <v>246429</v>
      </c>
      <c r="AK1530" s="25">
        <v>9246</v>
      </c>
      <c r="AL1530" s="25">
        <v>359300</v>
      </c>
      <c r="AM1530" s="25">
        <v>54700</v>
      </c>
      <c r="AN1530" s="25">
        <v>304600</v>
      </c>
      <c r="AO1530" s="25">
        <v>0</v>
      </c>
      <c r="AP1530" s="25">
        <f>Lookups!$B$56*0</f>
        <v>0</v>
      </c>
      <c r="AQ1530" s="25">
        <f>Lookups!$B$56*1</f>
        <v>89850.625589999996</v>
      </c>
      <c r="AR1530" s="25">
        <f>Lookups!$B$57*Inventory[[#This Row],[LnAcres]]</f>
        <v>-54281.285314520763</v>
      </c>
      <c r="AS1530" s="25">
        <f>VLOOKUP(Inventory[[#This Row],[Qlty]],Lookups!$A$62:$E$75,2,FALSE)</f>
        <v>44121.038090000002</v>
      </c>
      <c r="AT1530" s="25">
        <f>VLOOKUP(Inventory[[#This Row],[Cnd]],Lookups!$A$76:$E$84,2,FALSE)</f>
        <v>197752.34721000001</v>
      </c>
      <c r="AU1530" s="25">
        <f>Inventory[[#This Row],[EffAge]]*Lookups!$B$85</f>
        <v>-11821.416826500001</v>
      </c>
      <c r="AV1530" s="25">
        <f>Inventory[[#This Row],[MainFn]]*Lookups!$B$86</f>
        <v>56029.431640518</v>
      </c>
      <c r="AW1530" s="25">
        <f>Inventory[[#This Row],[UpprFn]]*Lookups!$B$87</f>
        <v>0</v>
      </c>
      <c r="AX1530" s="25">
        <f>Inventory[[#This Row],[AddFn]]*Lookups!$B$88</f>
        <v>0</v>
      </c>
      <c r="AY1530" s="25">
        <f>Inventory[[#This Row],[Bsmt]]*Lookups!$B$89</f>
        <v>32978.869210097997</v>
      </c>
      <c r="AZ1530" s="25">
        <f>Inventory[[#This Row],[Fixtures]]*Lookups!$B$90</f>
        <v>30336.176841600001</v>
      </c>
      <c r="BA1530" s="25">
        <f>Inventory[[#This Row],[WdDeck]]*Lookups!$B$91</f>
        <v>0</v>
      </c>
      <c r="BB1530" s="25">
        <f>ROUND(Inventory[[#This Row],[25Det]],-2)</f>
        <v>9200</v>
      </c>
      <c r="BC1530" s="25">
        <f>ROUND(SUM(Inventory[[#This Row],[Mdl Qlty]:[Mdl WdDeck]])+Inventory[[#This Row],[Mdl Res Intercept]],-2)</f>
        <v>349400</v>
      </c>
      <c r="BD1530" s="25">
        <f>ROUND(Inventory[[#This Row],[Mdl Land Intercept]]+Inventory[[#This Row],[Mdl LnAcres]],-2)</f>
        <v>35600</v>
      </c>
      <c r="BE1530" s="25">
        <f>Inventory[[#This Row],[Unadj Res Value]]+Inventory[[#This Row],[Unadj Det Value]]+Inventory[[#This Row],[Unadj Land Value]]</f>
        <v>394200</v>
      </c>
      <c r="BF1530" s="36">
        <f>(Inventory[[#This Row],[Unadj Total Value]]-Inventory[[#This Row],[24Final]])/Inventory[[#This Row],[24Final]]</f>
        <v>9.7133314778736435E-2</v>
      </c>
      <c r="BG1530" s="25">
        <f>VLOOKUP(Inventory[[#This Row],[Nbhd]],Lookups!$Q$2:$T$4,4,FALSE)</f>
        <v>0.99970000000000003</v>
      </c>
      <c r="BH1530" s="25">
        <f>VLOOKUP(Inventory[[#This Row],[Qlty]],Lookups!$O$7:$R$21,4,FALSE)</f>
        <v>0.98050000000000004</v>
      </c>
      <c r="BI1530" s="25">
        <f>VLOOKUP(Inventory[[#This Row],[Cnd]],Lookups!$T$7:$W$16,4,FALSE)</f>
        <v>0.99650000000000005</v>
      </c>
      <c r="BJ1530" s="25">
        <f>VLOOKUP(Inventory[[#This Row],[LivArea Range]],Lookups!$T$25:$W$37,4,FALSE)</f>
        <v>1.0093000000000001</v>
      </c>
      <c r="BK1530" s="25">
        <f>VLOOKUP(Inventory[[#This Row],[Decade]],Lookups!$O$25:$R$42,4,FALSE)</f>
        <v>0.98909999999999998</v>
      </c>
      <c r="BL1530" s="25">
        <f>Inventory[[#This Row],[Nbhd Adj]]*0.95</f>
        <v>0.94971499999999998</v>
      </c>
      <c r="BM1530" s="25">
        <f>Inventory[[#This Row],[Nbhd Adj]]*Inventory[[#This Row],[Quality Adj]]*Inventory[[#This Row],[Condition Adj]]*Inventory[[#This Row],[Living Area Adj]]*Inventory[[#This Row],[Decade Adj]]*0.95</f>
        <v>0.92635760994173622</v>
      </c>
      <c r="BN1530" s="25">
        <f>ROUND(SUM(Inventory[[#This Row],[Mdl Qlty]:[Mdl WdDeck]])+Inventory[[#This Row],[Mdl Res Intercept]]*Inventory[[#This Row],[Res Adj ]],-2)</f>
        <v>349400</v>
      </c>
      <c r="BO1530" s="25">
        <f>ROUND(Inventory[[#This Row],[25Det]]*Inventory[[#This Row],[Det/Nbhd Adj]],-2)</f>
        <v>8800</v>
      </c>
      <c r="BP1530" s="25">
        <f>Inventory[[#This Row],[Adjusted Res]]+Inventory[[#This Row],[Adj Det ]]</f>
        <v>358200</v>
      </c>
      <c r="BQ1530" s="25">
        <f>ROUND((Inventory[[#This Row],[Mdl Land Intercept]]+Inventory[[#This Row],[Mdl LnAcres]])*Inventory[[#This Row],[Det/Nbhd Adj]],-2)</f>
        <v>33800</v>
      </c>
      <c r="BR1530" s="25">
        <f>Inventory[[#This Row],[Adjusted Impr Total]]+Inventory[[#This Row],[Adjusted Land Total]]</f>
        <v>392000</v>
      </c>
      <c r="BS1530" s="36">
        <f>IFERROR((Inventory[[#This Row],[Adjusted Impr Total]]-Inventory[[#This Row],[24Bldg]])/Inventory[[#This Row],[24Bldg]],0)</f>
        <v>0.17596848325673015</v>
      </c>
      <c r="BT1530" s="36">
        <f>(Inventory[[#This Row],[Adjusted Land Total]]-Inventory[[#This Row],[24Lnd]])/Inventory[[#This Row],[24Lnd]]</f>
        <v>-0.38208409506398539</v>
      </c>
      <c r="BU1530" s="36">
        <f>(Inventory[[#This Row],[Adjusted Total]]-Inventory[[#This Row],[24Final]])/Inventory[[#This Row],[24Final]]</f>
        <v>9.1010297801280268E-2</v>
      </c>
    </row>
    <row r="1531" spans="1:73" x14ac:dyDescent="0.3">
      <c r="A1531" s="25">
        <v>2025</v>
      </c>
      <c r="B1531" s="26" t="s">
        <v>2575</v>
      </c>
      <c r="C1531" s="26">
        <f>LN(Inventory[[#This Row],[Acres]])</f>
        <v>-1.9661128563728327</v>
      </c>
      <c r="D1531" s="25">
        <v>0.14000000000000001</v>
      </c>
      <c r="E1531" s="31"/>
      <c r="F1531" s="26" t="s">
        <v>537</v>
      </c>
      <c r="G1531" s="26" t="s">
        <v>126</v>
      </c>
      <c r="H1531" s="26" t="s">
        <v>349</v>
      </c>
      <c r="I1531" s="26" t="s">
        <v>538</v>
      </c>
      <c r="J1531" s="26" t="s">
        <v>539</v>
      </c>
      <c r="K1531" s="26" t="s">
        <v>269</v>
      </c>
      <c r="L1531" s="26" t="s">
        <v>351</v>
      </c>
      <c r="M1531" s="26" t="s">
        <v>323</v>
      </c>
      <c r="N1531" s="26">
        <v>90</v>
      </c>
      <c r="O1531" s="26">
        <f>2024-Inventory[[#This Row],[YrBlt]]</f>
        <v>89</v>
      </c>
      <c r="P1531" s="26">
        <f>2024-Inventory[[#This Row],[EffYr]]</f>
        <v>53</v>
      </c>
      <c r="Q1531" s="25">
        <v>1935</v>
      </c>
      <c r="R1531" s="25">
        <v>1971</v>
      </c>
      <c r="S1531" s="25">
        <v>938</v>
      </c>
      <c r="T1531" s="25">
        <v>459</v>
      </c>
      <c r="U1531" s="25">
        <v>938</v>
      </c>
      <c r="V1531" s="25">
        <f>Inventory[[#This Row],[Bsmt]]-Inventory[[#This Row],[FnBsmt]]</f>
        <v>938</v>
      </c>
      <c r="W1531" s="31"/>
      <c r="X1531" s="27"/>
      <c r="Y1531" s="27">
        <f>Inventory[[#This Row],[MainFn]]+Inventory[[#This Row],[UpprFn]]+Inventory[[#This Row],[FnBsmt]]+Inventory[[#This Row],[AddFn]]</f>
        <v>1397</v>
      </c>
      <c r="Z1531" s="27">
        <v>1500</v>
      </c>
      <c r="AA1531" s="25">
        <v>8</v>
      </c>
      <c r="AB1531" s="27"/>
      <c r="AC1531" s="27"/>
      <c r="AD1531" s="31"/>
      <c r="AE1531" s="27"/>
      <c r="AF1531" s="27"/>
      <c r="AG1531" s="27"/>
      <c r="AH1531" s="27"/>
      <c r="AI1531" s="25">
        <v>248413</v>
      </c>
      <c r="AJ1531" s="25">
        <v>166437</v>
      </c>
      <c r="AK1531" s="25">
        <v>5261</v>
      </c>
      <c r="AL1531" s="25">
        <v>299000</v>
      </c>
      <c r="AM1531" s="25">
        <v>46000</v>
      </c>
      <c r="AN1531" s="25">
        <v>253000</v>
      </c>
      <c r="AO1531" s="25">
        <v>0</v>
      </c>
      <c r="AP1531" s="25">
        <f>Lookups!$B$56*0</f>
        <v>0</v>
      </c>
      <c r="AQ1531" s="25">
        <f>Lookups!$B$56*1</f>
        <v>89850.625589999996</v>
      </c>
      <c r="AR1531" s="25">
        <f>Lookups!$B$57*Inventory[[#This Row],[LnAcres]]</f>
        <v>-62236.546971921947</v>
      </c>
      <c r="AS1531" s="25">
        <f>VLOOKUP(Inventory[[#This Row],[Qlty]],Lookups!$A$62:$E$75,2,FALSE)</f>
        <v>21557.329055999999</v>
      </c>
      <c r="AT1531" s="25">
        <f>VLOOKUP(Inventory[[#This Row],[Cnd]],Lookups!$A$76:$E$84,2,FALSE)</f>
        <v>160472.20319</v>
      </c>
      <c r="AU1531" s="25">
        <f>Inventory[[#This Row],[EffAge]]*Lookups!$B$85</f>
        <v>-11821.416826500001</v>
      </c>
      <c r="AV1531" s="25">
        <f>Inventory[[#This Row],[MainFn]]*Lookups!$B$86</f>
        <v>46345.332344626004</v>
      </c>
      <c r="AW1531" s="25">
        <f>Inventory[[#This Row],[UpprFn]]*Lookups!$B$87</f>
        <v>20556.968093199001</v>
      </c>
      <c r="AX1531" s="25">
        <f>Inventory[[#This Row],[AddFn]]*Lookups!$B$88</f>
        <v>0</v>
      </c>
      <c r="AY1531" s="25">
        <f>Inventory[[#This Row],[Bsmt]]*Lookups!$B$89</f>
        <v>27278.817741685998</v>
      </c>
      <c r="AZ1531" s="25">
        <f>Inventory[[#This Row],[Fixtures]]*Lookups!$B$90</f>
        <v>30336.176841600001</v>
      </c>
      <c r="BA1531" s="25">
        <f>Inventory[[#This Row],[WdDeck]]*Lookups!$B$91</f>
        <v>0</v>
      </c>
      <c r="BB1531" s="25">
        <f>ROUND(Inventory[[#This Row],[25Det]],-2)</f>
        <v>5300</v>
      </c>
      <c r="BC1531" s="25">
        <f>ROUND(SUM(Inventory[[#This Row],[Mdl Qlty]:[Mdl WdDeck]])+Inventory[[#This Row],[Mdl Res Intercept]],-2)</f>
        <v>294700</v>
      </c>
      <c r="BD1531" s="25">
        <f>ROUND(Inventory[[#This Row],[Mdl Land Intercept]]+Inventory[[#This Row],[Mdl LnAcres]],-2)</f>
        <v>27600</v>
      </c>
      <c r="BE1531" s="25">
        <f>Inventory[[#This Row],[Unadj Res Value]]+Inventory[[#This Row],[Unadj Det Value]]+Inventory[[#This Row],[Unadj Land Value]]</f>
        <v>327600</v>
      </c>
      <c r="BF1531" s="36">
        <f>(Inventory[[#This Row],[Unadj Total Value]]-Inventory[[#This Row],[24Final]])/Inventory[[#This Row],[24Final]]</f>
        <v>9.5652173913043481E-2</v>
      </c>
      <c r="BG1531" s="25">
        <f>VLOOKUP(Inventory[[#This Row],[Nbhd]],Lookups!$Q$2:$T$4,4,FALSE)</f>
        <v>0.99970000000000003</v>
      </c>
      <c r="BH1531" s="25">
        <f>VLOOKUP(Inventory[[#This Row],[Qlty]],Lookups!$O$7:$R$21,4,FALSE)</f>
        <v>1.0067999999999999</v>
      </c>
      <c r="BI1531" s="25">
        <f>VLOOKUP(Inventory[[#This Row],[Cnd]],Lookups!$T$7:$W$16,4,FALSE)</f>
        <v>0.99729999999999996</v>
      </c>
      <c r="BJ1531" s="25">
        <f>VLOOKUP(Inventory[[#This Row],[LivArea Range]],Lookups!$T$25:$W$37,4,FALSE)</f>
        <v>1.0157</v>
      </c>
      <c r="BK1531" s="25">
        <f>VLOOKUP(Inventory[[#This Row],[Decade]],Lookups!$O$25:$R$42,4,FALSE)</f>
        <v>0.98909999999999998</v>
      </c>
      <c r="BL1531" s="25">
        <f>Inventory[[#This Row],[Nbhd Adj]]*0.95</f>
        <v>0.94971499999999998</v>
      </c>
      <c r="BM1531" s="25">
        <f>Inventory[[#This Row],[Nbhd Adj]]*Inventory[[#This Row],[Quality Adj]]*Inventory[[#This Row],[Condition Adj]]*Inventory[[#This Row],[Living Area Adj]]*Inventory[[#This Row],[Decade Adj]]*0.95</f>
        <v>0.95800544533193577</v>
      </c>
      <c r="BN1531" s="25">
        <f>ROUND(SUM(Inventory[[#This Row],[Mdl Qlty]:[Mdl WdDeck]])+Inventory[[#This Row],[Mdl Res Intercept]]*Inventory[[#This Row],[Res Adj ]],-2)</f>
        <v>294700</v>
      </c>
      <c r="BO1531" s="25">
        <f>ROUND(Inventory[[#This Row],[25Det]]*Inventory[[#This Row],[Det/Nbhd Adj]],-2)</f>
        <v>5000</v>
      </c>
      <c r="BP1531" s="25">
        <f>Inventory[[#This Row],[Adjusted Res]]+Inventory[[#This Row],[Adj Det ]]</f>
        <v>299700</v>
      </c>
      <c r="BQ1531" s="25">
        <f>ROUND((Inventory[[#This Row],[Mdl Land Intercept]]+Inventory[[#This Row],[Mdl LnAcres]])*Inventory[[#This Row],[Det/Nbhd Adj]],-2)</f>
        <v>26200</v>
      </c>
      <c r="BR1531" s="25">
        <f>Inventory[[#This Row],[Adjusted Impr Total]]+Inventory[[#This Row],[Adjusted Land Total]]</f>
        <v>325900</v>
      </c>
      <c r="BS1531" s="36">
        <f>IFERROR((Inventory[[#This Row],[Adjusted Impr Total]]-Inventory[[#This Row],[24Bldg]])/Inventory[[#This Row],[24Bldg]],0)</f>
        <v>0.18458498023715414</v>
      </c>
      <c r="BT1531" s="36">
        <f>(Inventory[[#This Row],[Adjusted Land Total]]-Inventory[[#This Row],[24Lnd]])/Inventory[[#This Row],[24Lnd]]</f>
        <v>-0.43043478260869567</v>
      </c>
      <c r="BU1531" s="36">
        <f>(Inventory[[#This Row],[Adjusted Total]]-Inventory[[#This Row],[24Final]])/Inventory[[#This Row],[24Final]]</f>
        <v>8.9966555183946487E-2</v>
      </c>
    </row>
    <row r="1532" spans="1:73" x14ac:dyDescent="0.3">
      <c r="A1532" s="25">
        <v>2025</v>
      </c>
      <c r="B1532" s="26" t="s">
        <v>2227</v>
      </c>
      <c r="C1532" s="26">
        <f>LN(Inventory[[#This Row],[Acres]])</f>
        <v>-1.9661128563728327</v>
      </c>
      <c r="D1532" s="25">
        <v>0.14000000000000001</v>
      </c>
      <c r="E1532" s="31"/>
      <c r="F1532" s="26" t="s">
        <v>537</v>
      </c>
      <c r="G1532" s="26" t="s">
        <v>126</v>
      </c>
      <c r="H1532" s="26" t="s">
        <v>349</v>
      </c>
      <c r="I1532" s="26" t="s">
        <v>538</v>
      </c>
      <c r="J1532" s="26" t="s">
        <v>539</v>
      </c>
      <c r="K1532" s="26" t="s">
        <v>242</v>
      </c>
      <c r="L1532" s="26" t="s">
        <v>351</v>
      </c>
      <c r="M1532" s="26" t="s">
        <v>303</v>
      </c>
      <c r="N1532" s="26">
        <v>90</v>
      </c>
      <c r="O1532" s="26">
        <f>2024-Inventory[[#This Row],[YrBlt]]</f>
        <v>89</v>
      </c>
      <c r="P1532" s="26">
        <f>2024-Inventory[[#This Row],[EffYr]]</f>
        <v>53</v>
      </c>
      <c r="Q1532" s="25">
        <v>1935</v>
      </c>
      <c r="R1532" s="25">
        <v>1971</v>
      </c>
      <c r="S1532" s="25">
        <v>892</v>
      </c>
      <c r="T1532" s="31"/>
      <c r="U1532" s="25">
        <v>640</v>
      </c>
      <c r="V1532" s="25">
        <f>Inventory[[#This Row],[Bsmt]]-Inventory[[#This Row],[FnBsmt]]</f>
        <v>0</v>
      </c>
      <c r="W1532" s="25">
        <v>640</v>
      </c>
      <c r="X1532" s="27"/>
      <c r="Y1532" s="27">
        <f>Inventory[[#This Row],[MainFn]]+Inventory[[#This Row],[UpprFn]]+Inventory[[#This Row],[FnBsmt]]+Inventory[[#This Row],[AddFn]]</f>
        <v>1532</v>
      </c>
      <c r="Z1532" s="27">
        <v>2000</v>
      </c>
      <c r="AA1532" s="25">
        <v>5</v>
      </c>
      <c r="AB1532" s="27"/>
      <c r="AC1532" s="32">
        <v>240</v>
      </c>
      <c r="AD1532" s="27"/>
      <c r="AE1532" s="27"/>
      <c r="AF1532" s="27"/>
      <c r="AG1532" s="27"/>
      <c r="AH1532" s="27"/>
      <c r="AI1532" s="25">
        <v>223861</v>
      </c>
      <c r="AJ1532" s="25">
        <v>154464</v>
      </c>
      <c r="AK1532" s="25">
        <v>0</v>
      </c>
      <c r="AL1532" s="25">
        <v>289400</v>
      </c>
      <c r="AM1532" s="25">
        <v>46000</v>
      </c>
      <c r="AN1532" s="25">
        <v>243400</v>
      </c>
      <c r="AO1532" s="25">
        <v>0</v>
      </c>
      <c r="AP1532" s="25">
        <f>Lookups!$B$56*0</f>
        <v>0</v>
      </c>
      <c r="AQ1532" s="25">
        <f>Lookups!$B$56*1</f>
        <v>89850.625589999996</v>
      </c>
      <c r="AR1532" s="25">
        <f>Lookups!$B$57*Inventory[[#This Row],[LnAcres]]</f>
        <v>-62236.546971921947</v>
      </c>
      <c r="AS1532" s="25">
        <f>VLOOKUP(Inventory[[#This Row],[Qlty]],Lookups!$A$62:$E$75,2,FALSE)</f>
        <v>21557.329055999999</v>
      </c>
      <c r="AT1532" s="25">
        <f>VLOOKUP(Inventory[[#This Row],[Cnd]],Lookups!$A$76:$E$84,2,FALSE)</f>
        <v>197752.34721000001</v>
      </c>
      <c r="AU1532" s="25">
        <f>Inventory[[#This Row],[EffAge]]*Lookups!$B$85</f>
        <v>-11821.416826500001</v>
      </c>
      <c r="AV1532" s="25">
        <f>Inventory[[#This Row],[MainFn]]*Lookups!$B$86</f>
        <v>44072.533530284003</v>
      </c>
      <c r="AW1532" s="25">
        <f>Inventory[[#This Row],[UpprFn]]*Lookups!$B$87</f>
        <v>0</v>
      </c>
      <c r="AX1532" s="25">
        <f>Inventory[[#This Row],[AddFn]]*Lookups!$B$88</f>
        <v>0</v>
      </c>
      <c r="AY1532" s="25">
        <f>Inventory[[#This Row],[Bsmt]]*Lookups!$B$89</f>
        <v>18612.41295808</v>
      </c>
      <c r="AZ1532" s="25">
        <f>Inventory[[#This Row],[Fixtures]]*Lookups!$B$90</f>
        <v>18960.110526</v>
      </c>
      <c r="BA1532" s="25">
        <f>Inventory[[#This Row],[WdDeck]]*Lookups!$B$91</f>
        <v>0</v>
      </c>
      <c r="BB1532" s="25">
        <f>ROUND(Inventory[[#This Row],[25Det]],-2)</f>
        <v>0</v>
      </c>
      <c r="BC1532" s="25">
        <f>ROUND(SUM(Inventory[[#This Row],[Mdl Qlty]:[Mdl WdDeck]])+Inventory[[#This Row],[Mdl Res Intercept]],-2)</f>
        <v>289100</v>
      </c>
      <c r="BD1532" s="25">
        <f>ROUND(Inventory[[#This Row],[Mdl Land Intercept]]+Inventory[[#This Row],[Mdl LnAcres]],-2)</f>
        <v>27600</v>
      </c>
      <c r="BE1532" s="25">
        <f>Inventory[[#This Row],[Unadj Res Value]]+Inventory[[#This Row],[Unadj Det Value]]+Inventory[[#This Row],[Unadj Land Value]]</f>
        <v>316700</v>
      </c>
      <c r="BF1532" s="36">
        <f>(Inventory[[#This Row],[Unadj Total Value]]-Inventory[[#This Row],[24Final]])/Inventory[[#This Row],[24Final]]</f>
        <v>9.4333102971665514E-2</v>
      </c>
      <c r="BG1532" s="25">
        <f>VLOOKUP(Inventory[[#This Row],[Nbhd]],Lookups!$Q$2:$T$4,4,FALSE)</f>
        <v>0.99970000000000003</v>
      </c>
      <c r="BH1532" s="25">
        <f>VLOOKUP(Inventory[[#This Row],[Qlty]],Lookups!$O$7:$R$21,4,FALSE)</f>
        <v>1.0067999999999999</v>
      </c>
      <c r="BI1532" s="25">
        <f>VLOOKUP(Inventory[[#This Row],[Cnd]],Lookups!$T$7:$W$16,4,FALSE)</f>
        <v>0.99650000000000005</v>
      </c>
      <c r="BJ1532" s="25">
        <f>VLOOKUP(Inventory[[#This Row],[LivArea Range]],Lookups!$T$25:$W$37,4,FALSE)</f>
        <v>1.0093000000000001</v>
      </c>
      <c r="BK1532" s="25">
        <f>VLOOKUP(Inventory[[#This Row],[Decade]],Lookups!$O$25:$R$42,4,FALSE)</f>
        <v>0.98909999999999998</v>
      </c>
      <c r="BL1532" s="25">
        <f>Inventory[[#This Row],[Nbhd Adj]]*0.95</f>
        <v>0.94971499999999998</v>
      </c>
      <c r="BM1532" s="25">
        <f>Inventory[[#This Row],[Nbhd Adj]]*Inventory[[#This Row],[Quality Adj]]*Inventory[[#This Row],[Condition Adj]]*Inventory[[#This Row],[Living Area Adj]]*Inventory[[#This Row],[Decade Adj]]*0.95</f>
        <v>0.95120534593507355</v>
      </c>
      <c r="BN1532" s="25">
        <f>ROUND(SUM(Inventory[[#This Row],[Mdl Qlty]:[Mdl WdDeck]])+Inventory[[#This Row],[Mdl Res Intercept]]*Inventory[[#This Row],[Res Adj ]],-2)</f>
        <v>289100</v>
      </c>
      <c r="BO1532" s="25">
        <f>ROUND(Inventory[[#This Row],[25Det]]*Inventory[[#This Row],[Det/Nbhd Adj]],-2)</f>
        <v>0</v>
      </c>
      <c r="BP1532" s="25">
        <f>Inventory[[#This Row],[Adjusted Res]]+Inventory[[#This Row],[Adj Det ]]</f>
        <v>289100</v>
      </c>
      <c r="BQ1532" s="25">
        <f>ROUND((Inventory[[#This Row],[Mdl Land Intercept]]+Inventory[[#This Row],[Mdl LnAcres]])*Inventory[[#This Row],[Det/Nbhd Adj]],-2)</f>
        <v>26200</v>
      </c>
      <c r="BR1532" s="25">
        <f>Inventory[[#This Row],[Adjusted Impr Total]]+Inventory[[#This Row],[Adjusted Land Total]]</f>
        <v>315300</v>
      </c>
      <c r="BS1532" s="36">
        <f>IFERROR((Inventory[[#This Row],[Adjusted Impr Total]]-Inventory[[#This Row],[24Bldg]])/Inventory[[#This Row],[24Bldg]],0)</f>
        <v>0.18775677896466722</v>
      </c>
      <c r="BT1532" s="36">
        <f>(Inventory[[#This Row],[Adjusted Land Total]]-Inventory[[#This Row],[24Lnd]])/Inventory[[#This Row],[24Lnd]]</f>
        <v>-0.43043478260869567</v>
      </c>
      <c r="BU1532" s="36">
        <f>(Inventory[[#This Row],[Adjusted Total]]-Inventory[[#This Row],[24Final]])/Inventory[[#This Row],[24Final]]</f>
        <v>8.9495507947477543E-2</v>
      </c>
    </row>
    <row r="1533" spans="1:73" x14ac:dyDescent="0.3">
      <c r="A1533" s="25">
        <v>2025</v>
      </c>
      <c r="B1533" s="26" t="s">
        <v>2161</v>
      </c>
      <c r="C1533" s="26">
        <f>LN(Inventory[[#This Row],[Acres]])</f>
        <v>-1.8325814637483102</v>
      </c>
      <c r="D1533" s="25">
        <v>0.16</v>
      </c>
      <c r="E1533" s="31"/>
      <c r="F1533" s="26" t="s">
        <v>537</v>
      </c>
      <c r="G1533" s="26" t="s">
        <v>126</v>
      </c>
      <c r="H1533" s="26" t="s">
        <v>349</v>
      </c>
      <c r="I1533" s="26" t="s">
        <v>538</v>
      </c>
      <c r="J1533" s="26" t="s">
        <v>539</v>
      </c>
      <c r="K1533" s="26" t="s">
        <v>269</v>
      </c>
      <c r="L1533" s="26" t="s">
        <v>148</v>
      </c>
      <c r="M1533" s="26" t="s">
        <v>303</v>
      </c>
      <c r="N1533" s="26">
        <v>90</v>
      </c>
      <c r="O1533" s="26">
        <f>2024-Inventory[[#This Row],[YrBlt]]</f>
        <v>89</v>
      </c>
      <c r="P1533" s="26">
        <f>2024-Inventory[[#This Row],[EffYr]]</f>
        <v>53</v>
      </c>
      <c r="Q1533" s="25">
        <v>1935</v>
      </c>
      <c r="R1533" s="25">
        <v>1971</v>
      </c>
      <c r="S1533" s="25">
        <v>963</v>
      </c>
      <c r="T1533" s="27"/>
      <c r="U1533" s="25">
        <v>963</v>
      </c>
      <c r="V1533" s="25">
        <f>Inventory[[#This Row],[Bsmt]]-Inventory[[#This Row],[FnBsmt]]</f>
        <v>473</v>
      </c>
      <c r="W1533" s="25">
        <v>490</v>
      </c>
      <c r="X1533" s="27"/>
      <c r="Y1533" s="27">
        <f>Inventory[[#This Row],[MainFn]]+Inventory[[#This Row],[UpprFn]]+Inventory[[#This Row],[FnBsmt]]+Inventory[[#This Row],[AddFn]]</f>
        <v>1453</v>
      </c>
      <c r="Z1533" s="27">
        <v>1500</v>
      </c>
      <c r="AA1533" s="25">
        <v>7</v>
      </c>
      <c r="AB1533" s="27"/>
      <c r="AC1533" s="27"/>
      <c r="AD1533" s="27"/>
      <c r="AE1533" s="27"/>
      <c r="AF1533" s="27"/>
      <c r="AG1533" s="27"/>
      <c r="AH1533" s="27"/>
      <c r="AI1533" s="25">
        <v>339335</v>
      </c>
      <c r="AJ1533" s="25">
        <v>234141</v>
      </c>
      <c r="AK1533" s="25">
        <v>10854</v>
      </c>
      <c r="AL1533" s="25">
        <v>342200</v>
      </c>
      <c r="AM1533" s="25">
        <v>50600</v>
      </c>
      <c r="AN1533" s="25">
        <v>291600</v>
      </c>
      <c r="AO1533" s="25">
        <v>0</v>
      </c>
      <c r="AP1533" s="25">
        <f>Lookups!$B$56*0</f>
        <v>0</v>
      </c>
      <c r="AQ1533" s="25">
        <f>Lookups!$B$56*1</f>
        <v>89850.625589999996</v>
      </c>
      <c r="AR1533" s="25">
        <f>Lookups!$B$57*Inventory[[#This Row],[LnAcres]]</f>
        <v>-58009.662049032086</v>
      </c>
      <c r="AS1533" s="25">
        <f>VLOOKUP(Inventory[[#This Row],[Qlty]],Lookups!$A$62:$E$75,2,FALSE)</f>
        <v>44121.038090000002</v>
      </c>
      <c r="AT1533" s="25">
        <f>VLOOKUP(Inventory[[#This Row],[Cnd]],Lookups!$A$76:$E$84,2,FALSE)</f>
        <v>197752.34721000001</v>
      </c>
      <c r="AU1533" s="25">
        <f>Inventory[[#This Row],[EffAge]]*Lookups!$B$85</f>
        <v>-11821.416826500001</v>
      </c>
      <c r="AV1533" s="25">
        <f>Inventory[[#This Row],[MainFn]]*Lookups!$B$86</f>
        <v>47580.549091551002</v>
      </c>
      <c r="AW1533" s="25">
        <f>Inventory[[#This Row],[UpprFn]]*Lookups!$B$87</f>
        <v>0</v>
      </c>
      <c r="AX1533" s="25">
        <f>Inventory[[#This Row],[AddFn]]*Lookups!$B$88</f>
        <v>0</v>
      </c>
      <c r="AY1533" s="25">
        <f>Inventory[[#This Row],[Bsmt]]*Lookups!$B$89</f>
        <v>28005.865122861</v>
      </c>
      <c r="AZ1533" s="25">
        <f>Inventory[[#This Row],[Fixtures]]*Lookups!$B$90</f>
        <v>26544.1547364</v>
      </c>
      <c r="BA1533" s="25">
        <f>Inventory[[#This Row],[WdDeck]]*Lookups!$B$91</f>
        <v>0</v>
      </c>
      <c r="BB1533" s="25">
        <f>ROUND(Inventory[[#This Row],[25Det]],-2)</f>
        <v>10900</v>
      </c>
      <c r="BC1533" s="25">
        <f>ROUND(SUM(Inventory[[#This Row],[Mdl Qlty]:[Mdl WdDeck]])+Inventory[[#This Row],[Mdl Res Intercept]],-2)</f>
        <v>332200</v>
      </c>
      <c r="BD1533" s="25">
        <f>ROUND(Inventory[[#This Row],[Mdl Land Intercept]]+Inventory[[#This Row],[Mdl LnAcres]],-2)</f>
        <v>31800</v>
      </c>
      <c r="BE1533" s="25">
        <f>Inventory[[#This Row],[Unadj Res Value]]+Inventory[[#This Row],[Unadj Det Value]]+Inventory[[#This Row],[Unadj Land Value]]</f>
        <v>374900</v>
      </c>
      <c r="BF1533" s="36">
        <f>(Inventory[[#This Row],[Unadj Total Value]]-Inventory[[#This Row],[24Final]])/Inventory[[#This Row],[24Final]]</f>
        <v>9.5558153126826417E-2</v>
      </c>
      <c r="BG1533" s="25">
        <f>VLOOKUP(Inventory[[#This Row],[Nbhd]],Lookups!$Q$2:$T$4,4,FALSE)</f>
        <v>0.99970000000000003</v>
      </c>
      <c r="BH1533" s="25">
        <f>VLOOKUP(Inventory[[#This Row],[Qlty]],Lookups!$O$7:$R$21,4,FALSE)</f>
        <v>0.98050000000000004</v>
      </c>
      <c r="BI1533" s="25">
        <f>VLOOKUP(Inventory[[#This Row],[Cnd]],Lookups!$T$7:$W$16,4,FALSE)</f>
        <v>0.99650000000000005</v>
      </c>
      <c r="BJ1533" s="25">
        <f>VLOOKUP(Inventory[[#This Row],[LivArea Range]],Lookups!$T$25:$W$37,4,FALSE)</f>
        <v>1.0157</v>
      </c>
      <c r="BK1533" s="25">
        <f>VLOOKUP(Inventory[[#This Row],[Decade]],Lookups!$O$25:$R$42,4,FALSE)</f>
        <v>0.98909999999999998</v>
      </c>
      <c r="BL1533" s="25">
        <f>Inventory[[#This Row],[Nbhd Adj]]*0.95</f>
        <v>0.94971499999999998</v>
      </c>
      <c r="BM1533" s="25">
        <f>Inventory[[#This Row],[Nbhd Adj]]*Inventory[[#This Row],[Quality Adj]]*Inventory[[#This Row],[Condition Adj]]*Inventory[[#This Row],[Living Area Adj]]*Inventory[[#This Row],[Decade Adj]]*0.95</f>
        <v>0.93223166988786421</v>
      </c>
      <c r="BN1533" s="25">
        <f>ROUND(SUM(Inventory[[#This Row],[Mdl Qlty]:[Mdl WdDeck]])+Inventory[[#This Row],[Mdl Res Intercept]]*Inventory[[#This Row],[Res Adj ]],-2)</f>
        <v>332200</v>
      </c>
      <c r="BO1533" s="25">
        <f>ROUND(Inventory[[#This Row],[25Det]]*Inventory[[#This Row],[Det/Nbhd Adj]],-2)</f>
        <v>10300</v>
      </c>
      <c r="BP1533" s="25">
        <f>Inventory[[#This Row],[Adjusted Res]]+Inventory[[#This Row],[Adj Det ]]</f>
        <v>342500</v>
      </c>
      <c r="BQ1533" s="25">
        <f>ROUND((Inventory[[#This Row],[Mdl Land Intercept]]+Inventory[[#This Row],[Mdl LnAcres]])*Inventory[[#This Row],[Det/Nbhd Adj]],-2)</f>
        <v>30200</v>
      </c>
      <c r="BR1533" s="25">
        <f>Inventory[[#This Row],[Adjusted Impr Total]]+Inventory[[#This Row],[Adjusted Land Total]]</f>
        <v>372700</v>
      </c>
      <c r="BS1533" s="36">
        <f>IFERROR((Inventory[[#This Row],[Adjusted Impr Total]]-Inventory[[#This Row],[24Bldg]])/Inventory[[#This Row],[24Bldg]],0)</f>
        <v>0.17455418381344306</v>
      </c>
      <c r="BT1533" s="36">
        <f>(Inventory[[#This Row],[Adjusted Land Total]]-Inventory[[#This Row],[24Lnd]])/Inventory[[#This Row],[24Lnd]]</f>
        <v>-0.40316205533596838</v>
      </c>
      <c r="BU1533" s="36">
        <f>(Inventory[[#This Row],[Adjusted Total]]-Inventory[[#This Row],[24Final]])/Inventory[[#This Row],[24Final]]</f>
        <v>8.9129164231443597E-2</v>
      </c>
    </row>
    <row r="1534" spans="1:73" x14ac:dyDescent="0.3">
      <c r="A1534" s="25">
        <v>2025</v>
      </c>
      <c r="B1534" s="26" t="s">
        <v>2739</v>
      </c>
      <c r="C1534" s="26">
        <f>LN(Inventory[[#This Row],[Acres]])</f>
        <v>-1.5141277326297755</v>
      </c>
      <c r="D1534" s="25">
        <v>0.22</v>
      </c>
      <c r="E1534" s="27"/>
      <c r="F1534" s="26" t="s">
        <v>537</v>
      </c>
      <c r="G1534" s="26" t="s">
        <v>126</v>
      </c>
      <c r="H1534" s="26" t="s">
        <v>349</v>
      </c>
      <c r="I1534" s="26" t="s">
        <v>538</v>
      </c>
      <c r="J1534" s="26" t="s">
        <v>539</v>
      </c>
      <c r="K1534" s="26" t="s">
        <v>147</v>
      </c>
      <c r="L1534" s="26" t="s">
        <v>302</v>
      </c>
      <c r="M1534" s="26" t="s">
        <v>303</v>
      </c>
      <c r="N1534" s="26">
        <v>90</v>
      </c>
      <c r="O1534" s="26">
        <f>2024-Inventory[[#This Row],[YrBlt]]</f>
        <v>89</v>
      </c>
      <c r="P1534" s="26">
        <f>2024-Inventory[[#This Row],[EffYr]]</f>
        <v>53</v>
      </c>
      <c r="Q1534" s="25">
        <v>1935</v>
      </c>
      <c r="R1534" s="25">
        <v>1971</v>
      </c>
      <c r="S1534" s="25">
        <v>828</v>
      </c>
      <c r="T1534" s="25">
        <v>486</v>
      </c>
      <c r="U1534" s="25">
        <v>828</v>
      </c>
      <c r="V1534" s="32">
        <f>Inventory[[#This Row],[Bsmt]]-Inventory[[#This Row],[FnBsmt]]</f>
        <v>0</v>
      </c>
      <c r="W1534" s="32">
        <v>828</v>
      </c>
      <c r="X1534" s="27"/>
      <c r="Y1534" s="27">
        <f>Inventory[[#This Row],[MainFn]]+Inventory[[#This Row],[UpprFn]]+Inventory[[#This Row],[FnBsmt]]+Inventory[[#This Row],[AddFn]]</f>
        <v>2142</v>
      </c>
      <c r="Z1534" s="27">
        <v>2500</v>
      </c>
      <c r="AA1534" s="25">
        <v>7</v>
      </c>
      <c r="AB1534" s="27"/>
      <c r="AC1534" s="27"/>
      <c r="AD1534" s="25">
        <v>260</v>
      </c>
      <c r="AE1534" s="27"/>
      <c r="AF1534" s="27"/>
      <c r="AG1534" s="27"/>
      <c r="AH1534" s="27"/>
      <c r="AI1534" s="25">
        <v>327606</v>
      </c>
      <c r="AJ1534" s="25">
        <v>226048</v>
      </c>
      <c r="AK1534" s="25">
        <v>8156</v>
      </c>
      <c r="AL1534" s="25">
        <v>353800</v>
      </c>
      <c r="AM1534" s="25">
        <v>61700</v>
      </c>
      <c r="AN1534" s="25">
        <v>292100</v>
      </c>
      <c r="AO1534" s="25">
        <v>0</v>
      </c>
      <c r="AP1534" s="25">
        <f>Lookups!$B$56*0</f>
        <v>0</v>
      </c>
      <c r="AQ1534" s="25">
        <f>Lookups!$B$56*1</f>
        <v>89850.625589999996</v>
      </c>
      <c r="AR1534" s="25">
        <f>Lookups!$B$57*Inventory[[#This Row],[LnAcres]]</f>
        <v>-47929.131559187132</v>
      </c>
      <c r="AS1534" s="25">
        <f>VLOOKUP(Inventory[[#This Row],[Qlty]],Lookups!$A$62:$E$75,2,FALSE)</f>
        <v>29814.093161000001</v>
      </c>
      <c r="AT1534" s="25">
        <f>VLOOKUP(Inventory[[#This Row],[Cnd]],Lookups!$A$76:$E$84,2,FALSE)</f>
        <v>197752.34721000001</v>
      </c>
      <c r="AU1534" s="25">
        <f>Inventory[[#This Row],[EffAge]]*Lookups!$B$85</f>
        <v>-11821.416826500001</v>
      </c>
      <c r="AV1534" s="25">
        <f>Inventory[[#This Row],[MainFn]]*Lookups!$B$86</f>
        <v>40910.378658155998</v>
      </c>
      <c r="AW1534" s="25">
        <f>Inventory[[#This Row],[UpprFn]]*Lookups!$B$87</f>
        <v>21766.201510446001</v>
      </c>
      <c r="AX1534" s="25">
        <f>Inventory[[#This Row],[AddFn]]*Lookups!$B$88</f>
        <v>0</v>
      </c>
      <c r="AY1534" s="25">
        <f>Inventory[[#This Row],[Bsmt]]*Lookups!$B$89</f>
        <v>24079.809264516</v>
      </c>
      <c r="AZ1534" s="25">
        <f>Inventory[[#This Row],[Fixtures]]*Lookups!$B$90</f>
        <v>26544.1547364</v>
      </c>
      <c r="BA1534" s="25">
        <f>Inventory[[#This Row],[WdDeck]]*Lookups!$B$91</f>
        <v>8656.8339717600011</v>
      </c>
      <c r="BB1534" s="25">
        <f>ROUND(Inventory[[#This Row],[25Det]],-2)</f>
        <v>8200</v>
      </c>
      <c r="BC1534" s="25">
        <f>ROUND(SUM(Inventory[[#This Row],[Mdl Qlty]:[Mdl WdDeck]])+Inventory[[#This Row],[Mdl Res Intercept]],-2)</f>
        <v>337700</v>
      </c>
      <c r="BD1534" s="25">
        <f>ROUND(Inventory[[#This Row],[Mdl Land Intercept]]+Inventory[[#This Row],[Mdl LnAcres]],-2)</f>
        <v>41900</v>
      </c>
      <c r="BE1534" s="25">
        <f>Inventory[[#This Row],[Unadj Res Value]]+Inventory[[#This Row],[Unadj Det Value]]+Inventory[[#This Row],[Unadj Land Value]]</f>
        <v>387800</v>
      </c>
      <c r="BF1534" s="36">
        <f>(Inventory[[#This Row],[Unadj Total Value]]-Inventory[[#This Row],[24Final]])/Inventory[[#This Row],[24Final]]</f>
        <v>9.6099491237987569E-2</v>
      </c>
      <c r="BG1534" s="25">
        <f>VLOOKUP(Inventory[[#This Row],[Nbhd]],Lookups!$Q$2:$T$4,4,FALSE)</f>
        <v>0.99970000000000003</v>
      </c>
      <c r="BH1534" s="25">
        <f>VLOOKUP(Inventory[[#This Row],[Qlty]],Lookups!$O$7:$R$21,4,FALSE)</f>
        <v>1.0088999999999999</v>
      </c>
      <c r="BI1534" s="25">
        <f>VLOOKUP(Inventory[[#This Row],[Cnd]],Lookups!$T$7:$W$16,4,FALSE)</f>
        <v>0.99650000000000005</v>
      </c>
      <c r="BJ1534" s="25">
        <f>VLOOKUP(Inventory[[#This Row],[LivArea Range]],Lookups!$T$25:$W$37,4,FALSE)</f>
        <v>0.98919999999999997</v>
      </c>
      <c r="BK1534" s="25">
        <f>VLOOKUP(Inventory[[#This Row],[Decade]],Lookups!$O$25:$R$42,4,FALSE)</f>
        <v>0.98909999999999998</v>
      </c>
      <c r="BL1534" s="25">
        <f>Inventory[[#This Row],[Nbhd Adj]]*0.95</f>
        <v>0.94971499999999998</v>
      </c>
      <c r="BM1534" s="25">
        <f>Inventory[[#This Row],[Nbhd Adj]]*Inventory[[#This Row],[Quality Adj]]*Inventory[[#This Row],[Condition Adj]]*Inventory[[#This Row],[Living Area Adj]]*Inventory[[#This Row],[Decade Adj]]*0.95</f>
        <v>0.93420681692829766</v>
      </c>
      <c r="BN1534" s="25">
        <f>ROUND(SUM(Inventory[[#This Row],[Mdl Qlty]:[Mdl WdDeck]])+Inventory[[#This Row],[Mdl Res Intercept]]*Inventory[[#This Row],[Res Adj ]],-2)</f>
        <v>337700</v>
      </c>
      <c r="BO1534" s="25">
        <f>ROUND(Inventory[[#This Row],[25Det]]*Inventory[[#This Row],[Det/Nbhd Adj]],-2)</f>
        <v>7700</v>
      </c>
      <c r="BP1534" s="25">
        <f>Inventory[[#This Row],[Adjusted Res]]+Inventory[[#This Row],[Adj Det ]]</f>
        <v>345400</v>
      </c>
      <c r="BQ1534" s="25">
        <f>ROUND((Inventory[[#This Row],[Mdl Land Intercept]]+Inventory[[#This Row],[Mdl LnAcres]])*Inventory[[#This Row],[Det/Nbhd Adj]],-2)</f>
        <v>39800</v>
      </c>
      <c r="BR1534" s="25">
        <f>Inventory[[#This Row],[Adjusted Impr Total]]+Inventory[[#This Row],[Adjusted Land Total]]</f>
        <v>385200</v>
      </c>
      <c r="BS1534" s="36">
        <f>IFERROR((Inventory[[#This Row],[Adjusted Impr Total]]-Inventory[[#This Row],[24Bldg]])/Inventory[[#This Row],[24Bldg]],0)</f>
        <v>0.18247175624786033</v>
      </c>
      <c r="BT1534" s="36">
        <f>(Inventory[[#This Row],[Adjusted Land Total]]-Inventory[[#This Row],[24Lnd]])/Inventory[[#This Row],[24Lnd]]</f>
        <v>-0.35494327390599678</v>
      </c>
      <c r="BU1534" s="36">
        <f>(Inventory[[#This Row],[Adjusted Total]]-Inventory[[#This Row],[24Final]])/Inventory[[#This Row],[24Final]]</f>
        <v>8.8750706613906161E-2</v>
      </c>
    </row>
    <row r="1535" spans="1:73" x14ac:dyDescent="0.3">
      <c r="A1535" s="25">
        <v>2025</v>
      </c>
      <c r="B1535" s="26" t="s">
        <v>2191</v>
      </c>
      <c r="C1535" s="26">
        <f>LN(Inventory[[#This Row],[Acres]])</f>
        <v>-1.2378743560016174</v>
      </c>
      <c r="D1535" s="25">
        <v>0.28999999999999998</v>
      </c>
      <c r="E1535" s="25">
        <v>12522</v>
      </c>
      <c r="F1535" s="26" t="s">
        <v>537</v>
      </c>
      <c r="G1535" s="26" t="s">
        <v>126</v>
      </c>
      <c r="H1535" s="26" t="s">
        <v>349</v>
      </c>
      <c r="I1535" s="26" t="s">
        <v>538</v>
      </c>
      <c r="J1535" s="26" t="s">
        <v>539</v>
      </c>
      <c r="K1535" s="26" t="s">
        <v>269</v>
      </c>
      <c r="L1535" s="26" t="s">
        <v>351</v>
      </c>
      <c r="M1535" s="26" t="s">
        <v>303</v>
      </c>
      <c r="N1535" s="26">
        <v>90</v>
      </c>
      <c r="O1535" s="26">
        <f>2024-Inventory[[#This Row],[YrBlt]]</f>
        <v>89</v>
      </c>
      <c r="P1535" s="26">
        <f>2024-Inventory[[#This Row],[EffYr]]</f>
        <v>53</v>
      </c>
      <c r="Q1535" s="25">
        <v>1935</v>
      </c>
      <c r="R1535" s="25">
        <v>1971</v>
      </c>
      <c r="S1535" s="25">
        <v>1034</v>
      </c>
      <c r="T1535" s="31"/>
      <c r="U1535" s="25">
        <v>608</v>
      </c>
      <c r="V1535" s="32">
        <f>Inventory[[#This Row],[Bsmt]]-Inventory[[#This Row],[FnBsmt]]</f>
        <v>0</v>
      </c>
      <c r="W1535" s="32">
        <v>608</v>
      </c>
      <c r="X1535" s="27"/>
      <c r="Y1535" s="27">
        <f>Inventory[[#This Row],[MainFn]]+Inventory[[#This Row],[UpprFn]]+Inventory[[#This Row],[FnBsmt]]+Inventory[[#This Row],[AddFn]]</f>
        <v>1642</v>
      </c>
      <c r="Z1535" s="27">
        <v>2000</v>
      </c>
      <c r="AA1535" s="25">
        <v>5</v>
      </c>
      <c r="AB1535" s="32">
        <v>357</v>
      </c>
      <c r="AC1535" s="27"/>
      <c r="AD1535" s="32">
        <v>220</v>
      </c>
      <c r="AE1535" s="27"/>
      <c r="AF1535" s="27"/>
      <c r="AG1535" s="27"/>
      <c r="AH1535" s="27"/>
      <c r="AI1535" s="25">
        <v>248596</v>
      </c>
      <c r="AJ1535" s="25">
        <v>171531</v>
      </c>
      <c r="AK1535" s="25">
        <v>0</v>
      </c>
      <c r="AL1535" s="25">
        <v>322700</v>
      </c>
      <c r="AM1535" s="25">
        <v>71400</v>
      </c>
      <c r="AN1535" s="25">
        <v>251300</v>
      </c>
      <c r="AO1535" s="25">
        <v>0</v>
      </c>
      <c r="AP1535" s="25">
        <f>Lookups!$B$56*0</f>
        <v>0</v>
      </c>
      <c r="AQ1535" s="25">
        <f>Lookups!$B$56*1</f>
        <v>89850.625589999996</v>
      </c>
      <c r="AR1535" s="25">
        <f>Lookups!$B$57*Inventory[[#This Row],[LnAcres]]</f>
        <v>-39184.437074869042</v>
      </c>
      <c r="AS1535" s="25">
        <f>VLOOKUP(Inventory[[#This Row],[Qlty]],Lookups!$A$62:$E$75,2,FALSE)</f>
        <v>21557.329055999999</v>
      </c>
      <c r="AT1535" s="25">
        <f>VLOOKUP(Inventory[[#This Row],[Cnd]],Lookups!$A$76:$E$84,2,FALSE)</f>
        <v>197752.34721000001</v>
      </c>
      <c r="AU1535" s="25">
        <f>Inventory[[#This Row],[EffAge]]*Lookups!$B$85</f>
        <v>-11821.416826500001</v>
      </c>
      <c r="AV1535" s="25">
        <f>Inventory[[#This Row],[MainFn]]*Lookups!$B$86</f>
        <v>51088.564652818</v>
      </c>
      <c r="AW1535" s="25">
        <f>Inventory[[#This Row],[UpprFn]]*Lookups!$B$87</f>
        <v>0</v>
      </c>
      <c r="AX1535" s="25">
        <f>Inventory[[#This Row],[AddFn]]*Lookups!$B$88</f>
        <v>0</v>
      </c>
      <c r="AY1535" s="25">
        <f>Inventory[[#This Row],[Bsmt]]*Lookups!$B$89</f>
        <v>17681.792310175999</v>
      </c>
      <c r="AZ1535" s="25">
        <f>Inventory[[#This Row],[Fixtures]]*Lookups!$B$90</f>
        <v>18960.110526</v>
      </c>
      <c r="BA1535" s="25">
        <f>Inventory[[#This Row],[WdDeck]]*Lookups!$B$91</f>
        <v>7325.0133607200005</v>
      </c>
      <c r="BB1535" s="25">
        <f>ROUND(Inventory[[#This Row],[25Det]],-2)</f>
        <v>0</v>
      </c>
      <c r="BC1535" s="25">
        <f>ROUND(SUM(Inventory[[#This Row],[Mdl Qlty]:[Mdl WdDeck]])+Inventory[[#This Row],[Mdl Res Intercept]],-2)</f>
        <v>302500</v>
      </c>
      <c r="BD1535" s="25">
        <f>ROUND(Inventory[[#This Row],[Mdl Land Intercept]]+Inventory[[#This Row],[Mdl LnAcres]],-2)</f>
        <v>50700</v>
      </c>
      <c r="BE1535" s="25">
        <f>Inventory[[#This Row],[Unadj Res Value]]+Inventory[[#This Row],[Unadj Det Value]]+Inventory[[#This Row],[Unadj Land Value]]</f>
        <v>353200</v>
      </c>
      <c r="BF1535" s="36">
        <f>(Inventory[[#This Row],[Unadj Total Value]]-Inventory[[#This Row],[24Final]])/Inventory[[#This Row],[24Final]]</f>
        <v>9.4515029439107529E-2</v>
      </c>
      <c r="BG1535" s="25">
        <f>VLOOKUP(Inventory[[#This Row],[Nbhd]],Lookups!$Q$2:$T$4,4,FALSE)</f>
        <v>0.99970000000000003</v>
      </c>
      <c r="BH1535" s="25">
        <f>VLOOKUP(Inventory[[#This Row],[Qlty]],Lookups!$O$7:$R$21,4,FALSE)</f>
        <v>1.0067999999999999</v>
      </c>
      <c r="BI1535" s="25">
        <f>VLOOKUP(Inventory[[#This Row],[Cnd]],Lookups!$T$7:$W$16,4,FALSE)</f>
        <v>0.99650000000000005</v>
      </c>
      <c r="BJ1535" s="25">
        <f>VLOOKUP(Inventory[[#This Row],[LivArea Range]],Lookups!$T$25:$W$37,4,FALSE)</f>
        <v>1.0093000000000001</v>
      </c>
      <c r="BK1535" s="25">
        <f>VLOOKUP(Inventory[[#This Row],[Decade]],Lookups!$O$25:$R$42,4,FALSE)</f>
        <v>0.98909999999999998</v>
      </c>
      <c r="BL1535" s="25">
        <f>Inventory[[#This Row],[Nbhd Adj]]*0.95</f>
        <v>0.94971499999999998</v>
      </c>
      <c r="BM1535" s="25">
        <f>Inventory[[#This Row],[Nbhd Adj]]*Inventory[[#This Row],[Quality Adj]]*Inventory[[#This Row],[Condition Adj]]*Inventory[[#This Row],[Living Area Adj]]*Inventory[[#This Row],[Decade Adj]]*0.95</f>
        <v>0.95120534593507355</v>
      </c>
      <c r="BN1535" s="25">
        <f>ROUND(SUM(Inventory[[#This Row],[Mdl Qlty]:[Mdl WdDeck]])+Inventory[[#This Row],[Mdl Res Intercept]]*Inventory[[#This Row],[Res Adj ]],-2)</f>
        <v>302500</v>
      </c>
      <c r="BO1535" s="25">
        <f>ROUND(Inventory[[#This Row],[25Det]]*Inventory[[#This Row],[Det/Nbhd Adj]],-2)</f>
        <v>0</v>
      </c>
      <c r="BP1535" s="25">
        <f>Inventory[[#This Row],[Adjusted Res]]+Inventory[[#This Row],[Adj Det ]]</f>
        <v>302500</v>
      </c>
      <c r="BQ1535" s="25">
        <f>ROUND((Inventory[[#This Row],[Mdl Land Intercept]]+Inventory[[#This Row],[Mdl LnAcres]])*Inventory[[#This Row],[Det/Nbhd Adj]],-2)</f>
        <v>48100</v>
      </c>
      <c r="BR1535" s="25">
        <f>Inventory[[#This Row],[Adjusted Impr Total]]+Inventory[[#This Row],[Adjusted Land Total]]</f>
        <v>350600</v>
      </c>
      <c r="BS1535" s="36">
        <f>IFERROR((Inventory[[#This Row],[Adjusted Impr Total]]-Inventory[[#This Row],[24Bldg]])/Inventory[[#This Row],[24Bldg]],0)</f>
        <v>0.20374054914444886</v>
      </c>
      <c r="BT1535" s="36">
        <f>(Inventory[[#This Row],[Adjusted Land Total]]-Inventory[[#This Row],[24Lnd]])/Inventory[[#This Row],[24Lnd]]</f>
        <v>-0.32633053221288516</v>
      </c>
      <c r="BU1535" s="36">
        <f>(Inventory[[#This Row],[Adjusted Total]]-Inventory[[#This Row],[24Final]])/Inventory[[#This Row],[24Final]]</f>
        <v>8.6458010536101637E-2</v>
      </c>
    </row>
    <row r="1536" spans="1:73" x14ac:dyDescent="0.3">
      <c r="A1536" s="25">
        <v>2025</v>
      </c>
      <c r="B1536" s="26" t="s">
        <v>2278</v>
      </c>
      <c r="C1536" s="26">
        <f>LN(Inventory[[#This Row],[Acres]])</f>
        <v>-1.8325814637483102</v>
      </c>
      <c r="D1536" s="25">
        <v>0.16</v>
      </c>
      <c r="E1536" s="31"/>
      <c r="F1536" s="26" t="s">
        <v>537</v>
      </c>
      <c r="G1536" s="26" t="s">
        <v>126</v>
      </c>
      <c r="H1536" s="26" t="s">
        <v>349</v>
      </c>
      <c r="I1536" s="26" t="s">
        <v>538</v>
      </c>
      <c r="J1536" s="26" t="s">
        <v>539</v>
      </c>
      <c r="K1536" s="26" t="s">
        <v>242</v>
      </c>
      <c r="L1536" s="26" t="s">
        <v>351</v>
      </c>
      <c r="M1536" s="26" t="s">
        <v>323</v>
      </c>
      <c r="N1536" s="26">
        <v>90</v>
      </c>
      <c r="O1536" s="26">
        <f>2024-Inventory[[#This Row],[YrBlt]]</f>
        <v>89</v>
      </c>
      <c r="P1536" s="26">
        <f>2024-Inventory[[#This Row],[EffYr]]</f>
        <v>53</v>
      </c>
      <c r="Q1536" s="25">
        <v>1935</v>
      </c>
      <c r="R1536" s="25">
        <v>1971</v>
      </c>
      <c r="S1536" s="25">
        <v>1299</v>
      </c>
      <c r="T1536" s="31"/>
      <c r="U1536" s="31"/>
      <c r="V1536" s="31">
        <f>Inventory[[#This Row],[Bsmt]]-Inventory[[#This Row],[FnBsmt]]</f>
        <v>0</v>
      </c>
      <c r="W1536" s="31"/>
      <c r="X1536" s="27"/>
      <c r="Y1536" s="27">
        <f>Inventory[[#This Row],[MainFn]]+Inventory[[#This Row],[UpprFn]]+Inventory[[#This Row],[FnBsmt]]+Inventory[[#This Row],[AddFn]]</f>
        <v>1299</v>
      </c>
      <c r="Z1536" s="27">
        <v>1500</v>
      </c>
      <c r="AA1536" s="25">
        <v>5</v>
      </c>
      <c r="AB1536" s="27"/>
      <c r="AC1536" s="27"/>
      <c r="AD1536" s="32">
        <v>240</v>
      </c>
      <c r="AE1536" s="27"/>
      <c r="AF1536" s="27"/>
      <c r="AG1536" s="27"/>
      <c r="AH1536" s="27"/>
      <c r="AI1536" s="25">
        <v>208341</v>
      </c>
      <c r="AJ1536" s="25">
        <v>139588</v>
      </c>
      <c r="AK1536" s="25">
        <v>7981</v>
      </c>
      <c r="AL1536" s="25">
        <v>275600</v>
      </c>
      <c r="AM1536" s="25">
        <v>50600</v>
      </c>
      <c r="AN1536" s="25">
        <v>225000</v>
      </c>
      <c r="AO1536" s="25">
        <v>0</v>
      </c>
      <c r="AP1536" s="25">
        <f>Lookups!$B$56*0</f>
        <v>0</v>
      </c>
      <c r="AQ1536" s="25">
        <f>Lookups!$B$56*1</f>
        <v>89850.625589999996</v>
      </c>
      <c r="AR1536" s="25">
        <f>Lookups!$B$57*Inventory[[#This Row],[LnAcres]]</f>
        <v>-58009.662049032086</v>
      </c>
      <c r="AS1536" s="25">
        <f>VLOOKUP(Inventory[[#This Row],[Qlty]],Lookups!$A$62:$E$75,2,FALSE)</f>
        <v>21557.329055999999</v>
      </c>
      <c r="AT1536" s="25">
        <f>VLOOKUP(Inventory[[#This Row],[Cnd]],Lookups!$A$76:$E$84,2,FALSE)</f>
        <v>160472.20319</v>
      </c>
      <c r="AU1536" s="25">
        <f>Inventory[[#This Row],[EffAge]]*Lookups!$B$85</f>
        <v>-11821.416826500001</v>
      </c>
      <c r="AV1536" s="25">
        <f>Inventory[[#This Row],[MainFn]]*Lookups!$B$86</f>
        <v>64181.862170223001</v>
      </c>
      <c r="AW1536" s="25">
        <f>Inventory[[#This Row],[UpprFn]]*Lookups!$B$87</f>
        <v>0</v>
      </c>
      <c r="AX1536" s="25">
        <f>Inventory[[#This Row],[AddFn]]*Lookups!$B$88</f>
        <v>0</v>
      </c>
      <c r="AY1536" s="25">
        <f>Inventory[[#This Row],[Bsmt]]*Lookups!$B$89</f>
        <v>0</v>
      </c>
      <c r="AZ1536" s="25">
        <f>Inventory[[#This Row],[Fixtures]]*Lookups!$B$90</f>
        <v>18960.110526</v>
      </c>
      <c r="BA1536" s="25">
        <f>Inventory[[#This Row],[WdDeck]]*Lookups!$B$91</f>
        <v>7990.9236662400008</v>
      </c>
      <c r="BB1536" s="25">
        <f>ROUND(Inventory[[#This Row],[25Det]],-2)</f>
        <v>8000</v>
      </c>
      <c r="BC1536" s="25">
        <f>ROUND(SUM(Inventory[[#This Row],[Mdl Qlty]:[Mdl WdDeck]])+Inventory[[#This Row],[Mdl Res Intercept]],-2)</f>
        <v>261300</v>
      </c>
      <c r="BD1536" s="25">
        <f>ROUND(Inventory[[#This Row],[Mdl Land Intercept]]+Inventory[[#This Row],[Mdl LnAcres]],-2)</f>
        <v>31800</v>
      </c>
      <c r="BE1536" s="25">
        <f>Inventory[[#This Row],[Unadj Res Value]]+Inventory[[#This Row],[Unadj Det Value]]+Inventory[[#This Row],[Unadj Land Value]]</f>
        <v>301100</v>
      </c>
      <c r="BF1536" s="36">
        <f>(Inventory[[#This Row],[Unadj Total Value]]-Inventory[[#This Row],[24Final]])/Inventory[[#This Row],[24Final]]</f>
        <v>9.2525399129172708E-2</v>
      </c>
      <c r="BG1536" s="25">
        <f>VLOOKUP(Inventory[[#This Row],[Nbhd]],Lookups!$Q$2:$T$4,4,FALSE)</f>
        <v>0.99970000000000003</v>
      </c>
      <c r="BH1536" s="25">
        <f>VLOOKUP(Inventory[[#This Row],[Qlty]],Lookups!$O$7:$R$21,4,FALSE)</f>
        <v>1.0067999999999999</v>
      </c>
      <c r="BI1536" s="25">
        <f>VLOOKUP(Inventory[[#This Row],[Cnd]],Lookups!$T$7:$W$16,4,FALSE)</f>
        <v>0.99729999999999996</v>
      </c>
      <c r="BJ1536" s="25">
        <f>VLOOKUP(Inventory[[#This Row],[LivArea Range]],Lookups!$T$25:$W$37,4,FALSE)</f>
        <v>1.0157</v>
      </c>
      <c r="BK1536" s="25">
        <f>VLOOKUP(Inventory[[#This Row],[Decade]],Lookups!$O$25:$R$42,4,FALSE)</f>
        <v>0.98909999999999998</v>
      </c>
      <c r="BL1536" s="25">
        <f>Inventory[[#This Row],[Nbhd Adj]]*0.95</f>
        <v>0.94971499999999998</v>
      </c>
      <c r="BM1536" s="25">
        <f>Inventory[[#This Row],[Nbhd Adj]]*Inventory[[#This Row],[Quality Adj]]*Inventory[[#This Row],[Condition Adj]]*Inventory[[#This Row],[Living Area Adj]]*Inventory[[#This Row],[Decade Adj]]*0.95</f>
        <v>0.95800544533193577</v>
      </c>
      <c r="BN1536" s="25">
        <f>ROUND(SUM(Inventory[[#This Row],[Mdl Qlty]:[Mdl WdDeck]])+Inventory[[#This Row],[Mdl Res Intercept]]*Inventory[[#This Row],[Res Adj ]],-2)</f>
        <v>261300</v>
      </c>
      <c r="BO1536" s="25">
        <f>ROUND(Inventory[[#This Row],[25Det]]*Inventory[[#This Row],[Det/Nbhd Adj]],-2)</f>
        <v>7600</v>
      </c>
      <c r="BP1536" s="25">
        <f>Inventory[[#This Row],[Adjusted Res]]+Inventory[[#This Row],[Adj Det ]]</f>
        <v>268900</v>
      </c>
      <c r="BQ1536" s="25">
        <f>ROUND((Inventory[[#This Row],[Mdl Land Intercept]]+Inventory[[#This Row],[Mdl LnAcres]])*Inventory[[#This Row],[Det/Nbhd Adj]],-2)</f>
        <v>30200</v>
      </c>
      <c r="BR1536" s="25">
        <f>Inventory[[#This Row],[Adjusted Impr Total]]+Inventory[[#This Row],[Adjusted Land Total]]</f>
        <v>299100</v>
      </c>
      <c r="BS1536" s="36">
        <f>IFERROR((Inventory[[#This Row],[Adjusted Impr Total]]-Inventory[[#This Row],[24Bldg]])/Inventory[[#This Row],[24Bldg]],0)</f>
        <v>0.19511111111111112</v>
      </c>
      <c r="BT1536" s="36">
        <f>(Inventory[[#This Row],[Adjusted Land Total]]-Inventory[[#This Row],[24Lnd]])/Inventory[[#This Row],[24Lnd]]</f>
        <v>-0.40316205533596838</v>
      </c>
      <c r="BU1536" s="36">
        <f>(Inventory[[#This Row],[Adjusted Total]]-Inventory[[#This Row],[24Final]])/Inventory[[#This Row],[24Final]]</f>
        <v>8.5268505079825835E-2</v>
      </c>
    </row>
    <row r="1537" spans="1:73" x14ac:dyDescent="0.3">
      <c r="A1537" s="25">
        <v>2025</v>
      </c>
      <c r="B1537" s="26" t="s">
        <v>2338</v>
      </c>
      <c r="C1537" s="26">
        <f>LN(Inventory[[#This Row],[Acres]])</f>
        <v>-1.7147984280919266</v>
      </c>
      <c r="D1537" s="25">
        <v>0.18</v>
      </c>
      <c r="E1537" s="31"/>
      <c r="F1537" s="26" t="s">
        <v>537</v>
      </c>
      <c r="G1537" s="26" t="s">
        <v>126</v>
      </c>
      <c r="H1537" s="26" t="s">
        <v>349</v>
      </c>
      <c r="I1537" s="26" t="s">
        <v>538</v>
      </c>
      <c r="J1537" s="26" t="s">
        <v>539</v>
      </c>
      <c r="K1537" s="26" t="s">
        <v>242</v>
      </c>
      <c r="L1537" s="26" t="s">
        <v>148</v>
      </c>
      <c r="M1537" s="26" t="s">
        <v>303</v>
      </c>
      <c r="N1537" s="26">
        <v>90</v>
      </c>
      <c r="O1537" s="26">
        <f>2024-Inventory[[#This Row],[YrBlt]]</f>
        <v>89</v>
      </c>
      <c r="P1537" s="26">
        <f>2024-Inventory[[#This Row],[EffYr]]</f>
        <v>53</v>
      </c>
      <c r="Q1537" s="25">
        <v>1935</v>
      </c>
      <c r="R1537" s="25">
        <v>1971</v>
      </c>
      <c r="S1537" s="25">
        <v>1291</v>
      </c>
      <c r="T1537" s="31"/>
      <c r="U1537" s="25">
        <v>400</v>
      </c>
      <c r="V1537" s="25">
        <f>Inventory[[#This Row],[Bsmt]]-Inventory[[#This Row],[FnBsmt]]</f>
        <v>0</v>
      </c>
      <c r="W1537" s="25">
        <v>400</v>
      </c>
      <c r="X1537" s="27"/>
      <c r="Y1537" s="27">
        <f>Inventory[[#This Row],[MainFn]]+Inventory[[#This Row],[UpprFn]]+Inventory[[#This Row],[FnBsmt]]+Inventory[[#This Row],[AddFn]]</f>
        <v>1691</v>
      </c>
      <c r="Z1537" s="27">
        <v>2000</v>
      </c>
      <c r="AA1537" s="25">
        <v>8</v>
      </c>
      <c r="AB1537" s="32">
        <v>240</v>
      </c>
      <c r="AC1537" s="27"/>
      <c r="AD1537" s="31"/>
      <c r="AE1537" s="27"/>
      <c r="AF1537" s="27"/>
      <c r="AG1537" s="27"/>
      <c r="AH1537" s="27"/>
      <c r="AI1537" s="25">
        <v>365298</v>
      </c>
      <c r="AJ1537" s="25">
        <v>252056</v>
      </c>
      <c r="AK1537" s="25">
        <v>17232</v>
      </c>
      <c r="AL1537" s="25">
        <v>355800</v>
      </c>
      <c r="AM1537" s="25">
        <v>54700</v>
      </c>
      <c r="AN1537" s="25">
        <v>301100</v>
      </c>
      <c r="AO1537" s="25">
        <v>0</v>
      </c>
      <c r="AP1537" s="25">
        <f>Lookups!$B$56*0</f>
        <v>0</v>
      </c>
      <c r="AQ1537" s="25">
        <f>Lookups!$B$56*1</f>
        <v>89850.625589999996</v>
      </c>
      <c r="AR1537" s="25">
        <f>Lookups!$B$57*Inventory[[#This Row],[LnAcres]]</f>
        <v>-54281.285314520763</v>
      </c>
      <c r="AS1537" s="25">
        <f>VLOOKUP(Inventory[[#This Row],[Qlty]],Lookups!$A$62:$E$75,2,FALSE)</f>
        <v>44121.038090000002</v>
      </c>
      <c r="AT1537" s="25">
        <f>VLOOKUP(Inventory[[#This Row],[Cnd]],Lookups!$A$76:$E$84,2,FALSE)</f>
        <v>197752.34721000001</v>
      </c>
      <c r="AU1537" s="25">
        <f>Inventory[[#This Row],[EffAge]]*Lookups!$B$85</f>
        <v>-11821.416826500001</v>
      </c>
      <c r="AV1537" s="25">
        <f>Inventory[[#This Row],[MainFn]]*Lookups!$B$86</f>
        <v>63786.592811207003</v>
      </c>
      <c r="AW1537" s="25">
        <f>Inventory[[#This Row],[UpprFn]]*Lookups!$B$87</f>
        <v>0</v>
      </c>
      <c r="AX1537" s="25">
        <f>Inventory[[#This Row],[AddFn]]*Lookups!$B$88</f>
        <v>0</v>
      </c>
      <c r="AY1537" s="25">
        <f>Inventory[[#This Row],[Bsmt]]*Lookups!$B$89</f>
        <v>11632.758098799999</v>
      </c>
      <c r="AZ1537" s="25">
        <f>Inventory[[#This Row],[Fixtures]]*Lookups!$B$90</f>
        <v>30336.176841600001</v>
      </c>
      <c r="BA1537" s="25">
        <f>Inventory[[#This Row],[WdDeck]]*Lookups!$B$91</f>
        <v>0</v>
      </c>
      <c r="BB1537" s="25">
        <f>ROUND(Inventory[[#This Row],[25Det]],-2)</f>
        <v>17200</v>
      </c>
      <c r="BC1537" s="25">
        <f>ROUND(SUM(Inventory[[#This Row],[Mdl Qlty]:[Mdl WdDeck]])+Inventory[[#This Row],[Mdl Res Intercept]],-2)</f>
        <v>335800</v>
      </c>
      <c r="BD1537" s="25">
        <f>ROUND(Inventory[[#This Row],[Mdl Land Intercept]]+Inventory[[#This Row],[Mdl LnAcres]],-2)</f>
        <v>35600</v>
      </c>
      <c r="BE1537" s="25">
        <f>Inventory[[#This Row],[Unadj Res Value]]+Inventory[[#This Row],[Unadj Det Value]]+Inventory[[#This Row],[Unadj Land Value]]</f>
        <v>388600</v>
      </c>
      <c r="BF1537" s="36">
        <f>(Inventory[[#This Row],[Unadj Total Value]]-Inventory[[#This Row],[24Final]])/Inventory[[#This Row],[24Final]]</f>
        <v>9.2186621697582918E-2</v>
      </c>
      <c r="BG1537" s="25">
        <f>VLOOKUP(Inventory[[#This Row],[Nbhd]],Lookups!$Q$2:$T$4,4,FALSE)</f>
        <v>0.99970000000000003</v>
      </c>
      <c r="BH1537" s="25">
        <f>VLOOKUP(Inventory[[#This Row],[Qlty]],Lookups!$O$7:$R$21,4,FALSE)</f>
        <v>0.98050000000000004</v>
      </c>
      <c r="BI1537" s="25">
        <f>VLOOKUP(Inventory[[#This Row],[Cnd]],Lookups!$T$7:$W$16,4,FALSE)</f>
        <v>0.99650000000000005</v>
      </c>
      <c r="BJ1537" s="25">
        <f>VLOOKUP(Inventory[[#This Row],[LivArea Range]],Lookups!$T$25:$W$37,4,FALSE)</f>
        <v>1.0093000000000001</v>
      </c>
      <c r="BK1537" s="25">
        <f>VLOOKUP(Inventory[[#This Row],[Decade]],Lookups!$O$25:$R$42,4,FALSE)</f>
        <v>0.98909999999999998</v>
      </c>
      <c r="BL1537" s="25">
        <f>Inventory[[#This Row],[Nbhd Adj]]*0.95</f>
        <v>0.94971499999999998</v>
      </c>
      <c r="BM1537" s="25">
        <f>Inventory[[#This Row],[Nbhd Adj]]*Inventory[[#This Row],[Quality Adj]]*Inventory[[#This Row],[Condition Adj]]*Inventory[[#This Row],[Living Area Adj]]*Inventory[[#This Row],[Decade Adj]]*0.95</f>
        <v>0.92635760994173622</v>
      </c>
      <c r="BN1537" s="25">
        <f>ROUND(SUM(Inventory[[#This Row],[Mdl Qlty]:[Mdl WdDeck]])+Inventory[[#This Row],[Mdl Res Intercept]]*Inventory[[#This Row],[Res Adj ]],-2)</f>
        <v>335800</v>
      </c>
      <c r="BO1537" s="25">
        <f>ROUND(Inventory[[#This Row],[25Det]]*Inventory[[#This Row],[Det/Nbhd Adj]],-2)</f>
        <v>16400</v>
      </c>
      <c r="BP1537" s="25">
        <f>Inventory[[#This Row],[Adjusted Res]]+Inventory[[#This Row],[Adj Det ]]</f>
        <v>352200</v>
      </c>
      <c r="BQ1537" s="25">
        <f>ROUND((Inventory[[#This Row],[Mdl Land Intercept]]+Inventory[[#This Row],[Mdl LnAcres]])*Inventory[[#This Row],[Det/Nbhd Adj]],-2)</f>
        <v>33800</v>
      </c>
      <c r="BR1537" s="25">
        <f>Inventory[[#This Row],[Adjusted Impr Total]]+Inventory[[#This Row],[Adjusted Land Total]]</f>
        <v>386000</v>
      </c>
      <c r="BS1537" s="36">
        <f>IFERROR((Inventory[[#This Row],[Adjusted Impr Total]]-Inventory[[#This Row],[24Bldg]])/Inventory[[#This Row],[24Bldg]],0)</f>
        <v>0.16971105944868814</v>
      </c>
      <c r="BT1537" s="36">
        <f>(Inventory[[#This Row],[Adjusted Land Total]]-Inventory[[#This Row],[24Lnd]])/Inventory[[#This Row],[24Lnd]]</f>
        <v>-0.38208409506398539</v>
      </c>
      <c r="BU1537" s="36">
        <f>(Inventory[[#This Row],[Adjusted Total]]-Inventory[[#This Row],[24Final]])/Inventory[[#This Row],[24Final]]</f>
        <v>8.4879145587408653E-2</v>
      </c>
    </row>
    <row r="1538" spans="1:73" x14ac:dyDescent="0.3">
      <c r="A1538" s="25">
        <v>2025</v>
      </c>
      <c r="B1538" s="26" t="s">
        <v>1687</v>
      </c>
      <c r="C1538" s="26">
        <f>LN(Inventory[[#This Row],[Acres]])</f>
        <v>-0.89159811928378363</v>
      </c>
      <c r="D1538" s="25">
        <v>0.41</v>
      </c>
      <c r="E1538" s="25">
        <v>17937</v>
      </c>
      <c r="F1538" s="26" t="s">
        <v>537</v>
      </c>
      <c r="G1538" s="26" t="s">
        <v>126</v>
      </c>
      <c r="H1538" s="26" t="s">
        <v>349</v>
      </c>
      <c r="I1538" s="26" t="s">
        <v>538</v>
      </c>
      <c r="J1538" s="26" t="s">
        <v>539</v>
      </c>
      <c r="K1538" s="26" t="s">
        <v>417</v>
      </c>
      <c r="L1538" s="26" t="s">
        <v>95</v>
      </c>
      <c r="M1538" s="26" t="s">
        <v>352</v>
      </c>
      <c r="N1538" s="26">
        <v>90</v>
      </c>
      <c r="O1538" s="26">
        <f>2024-Inventory[[#This Row],[YrBlt]]</f>
        <v>89</v>
      </c>
      <c r="P1538" s="26">
        <f>2024-Inventory[[#This Row],[EffYr]]</f>
        <v>39</v>
      </c>
      <c r="Q1538" s="25">
        <v>1935</v>
      </c>
      <c r="R1538" s="25">
        <v>1985</v>
      </c>
      <c r="S1538" s="25">
        <v>2026</v>
      </c>
      <c r="T1538" s="32">
        <v>1499</v>
      </c>
      <c r="U1538" s="25">
        <v>1075</v>
      </c>
      <c r="V1538" s="25">
        <f>Inventory[[#This Row],[Bsmt]]-Inventory[[#This Row],[FnBsmt]]</f>
        <v>0</v>
      </c>
      <c r="W1538" s="25">
        <v>1075</v>
      </c>
      <c r="X1538" s="27"/>
      <c r="Y1538" s="27">
        <f>Inventory[[#This Row],[MainFn]]+Inventory[[#This Row],[UpprFn]]+Inventory[[#This Row],[FnBsmt]]+Inventory[[#This Row],[AddFn]]</f>
        <v>4600</v>
      </c>
      <c r="Z1538" s="27">
        <v>4500</v>
      </c>
      <c r="AA1538" s="25">
        <v>12</v>
      </c>
      <c r="AB1538" s="27"/>
      <c r="AC1538" s="27"/>
      <c r="AD1538" s="31"/>
      <c r="AE1538" s="27"/>
      <c r="AF1538" s="27"/>
      <c r="AG1538" s="27"/>
      <c r="AH1538" s="27"/>
      <c r="AI1538" s="25">
        <v>838169</v>
      </c>
      <c r="AJ1538" s="25">
        <v>704062</v>
      </c>
      <c r="AK1538" s="25">
        <v>52427</v>
      </c>
      <c r="AL1538" s="25">
        <v>647900</v>
      </c>
      <c r="AM1538" s="25">
        <v>83400</v>
      </c>
      <c r="AN1538" s="25">
        <v>564500</v>
      </c>
      <c r="AO1538" s="25">
        <v>0</v>
      </c>
      <c r="AP1538" s="25">
        <f>Lookups!$B$56*0</f>
        <v>0</v>
      </c>
      <c r="AQ1538" s="25">
        <f>Lookups!$B$56*1</f>
        <v>89850.625589999996</v>
      </c>
      <c r="AR1538" s="25">
        <f>Lookups!$B$57*Inventory[[#This Row],[LnAcres]]</f>
        <v>-28223.195861326454</v>
      </c>
      <c r="AS1538" s="25">
        <f>VLOOKUP(Inventory[[#This Row],[Qlty]],Lookups!$A$62:$E$75,2,FALSE)</f>
        <v>74268.409664999999</v>
      </c>
      <c r="AT1538" s="25">
        <f>VLOOKUP(Inventory[[#This Row],[Cnd]],Lookups!$A$76:$E$84,2,FALSE)</f>
        <v>284810.60806</v>
      </c>
      <c r="AU1538" s="25">
        <f>Inventory[[#This Row],[EffAge]]*Lookups!$B$85</f>
        <v>-8698.7784195000004</v>
      </c>
      <c r="AV1538" s="25">
        <f>Inventory[[#This Row],[MainFn]]*Lookups!$B$86</f>
        <v>100101.965170802</v>
      </c>
      <c r="AW1538" s="25">
        <f>Inventory[[#This Row],[UpprFn]]*Lookups!$B$87</f>
        <v>67134.847868639001</v>
      </c>
      <c r="AX1538" s="25">
        <f>Inventory[[#This Row],[AddFn]]*Lookups!$B$88</f>
        <v>0</v>
      </c>
      <c r="AY1538" s="25">
        <f>Inventory[[#This Row],[Bsmt]]*Lookups!$B$89</f>
        <v>31263.037390524998</v>
      </c>
      <c r="AZ1538" s="25">
        <f>Inventory[[#This Row],[Fixtures]]*Lookups!$B$90</f>
        <v>45504.265262400004</v>
      </c>
      <c r="BA1538" s="25">
        <f>Inventory[[#This Row],[WdDeck]]*Lookups!$B$91</f>
        <v>0</v>
      </c>
      <c r="BB1538" s="25">
        <f>ROUND(Inventory[[#This Row],[25Det]],-2)</f>
        <v>52400</v>
      </c>
      <c r="BC1538" s="25">
        <f>ROUND(SUM(Inventory[[#This Row],[Mdl Qlty]:[Mdl WdDeck]])+Inventory[[#This Row],[Mdl Res Intercept]],-2)</f>
        <v>594400</v>
      </c>
      <c r="BD1538" s="25">
        <f>ROUND(Inventory[[#This Row],[Mdl Land Intercept]]+Inventory[[#This Row],[Mdl LnAcres]],-2)</f>
        <v>61600</v>
      </c>
      <c r="BE1538" s="25">
        <f>Inventory[[#This Row],[Unadj Res Value]]+Inventory[[#This Row],[Unadj Det Value]]+Inventory[[#This Row],[Unadj Land Value]]</f>
        <v>708400</v>
      </c>
      <c r="BF1538" s="36">
        <f>(Inventory[[#This Row],[Unadj Total Value]]-Inventory[[#This Row],[24Final]])/Inventory[[#This Row],[24Final]]</f>
        <v>9.3378607809847206E-2</v>
      </c>
      <c r="BG1538" s="25">
        <f>VLOOKUP(Inventory[[#This Row],[Nbhd]],Lookups!$Q$2:$T$4,4,FALSE)</f>
        <v>0.99970000000000003</v>
      </c>
      <c r="BH1538" s="25">
        <f>VLOOKUP(Inventory[[#This Row],[Qlty]],Lookups!$O$7:$R$21,4,FALSE)</f>
        <v>0.98380000000000001</v>
      </c>
      <c r="BI1538" s="25">
        <f>VLOOKUP(Inventory[[#This Row],[Cnd]],Lookups!$T$7:$W$16,4,FALSE)</f>
        <v>1.0158</v>
      </c>
      <c r="BJ1538" s="25">
        <f>VLOOKUP(Inventory[[#This Row],[LivArea Range]],Lookups!$T$25:$W$37,4,FALSE)</f>
        <v>1</v>
      </c>
      <c r="BK1538" s="25">
        <f>VLOOKUP(Inventory[[#This Row],[Decade]],Lookups!$O$25:$R$42,4,FALSE)</f>
        <v>0.98909999999999998</v>
      </c>
      <c r="BL1538" s="25">
        <f>Inventory[[#This Row],[Nbhd Adj]]*0.95</f>
        <v>0.94971499999999998</v>
      </c>
      <c r="BM1538" s="25">
        <f>Inventory[[#This Row],[Nbhd Adj]]*Inventory[[#This Row],[Quality Adj]]*Inventory[[#This Row],[Condition Adj]]*Inventory[[#This Row],[Living Area Adj]]*Inventory[[#This Row],[Decade Adj]]*0.95</f>
        <v>0.9387469218766602</v>
      </c>
      <c r="BN1538" s="25">
        <f>ROUND(SUM(Inventory[[#This Row],[Mdl Qlty]:[Mdl WdDeck]])+Inventory[[#This Row],[Mdl Res Intercept]]*Inventory[[#This Row],[Res Adj ]],-2)</f>
        <v>594400</v>
      </c>
      <c r="BO1538" s="25">
        <f>ROUND(Inventory[[#This Row],[25Det]]*Inventory[[#This Row],[Det/Nbhd Adj]],-2)</f>
        <v>49800</v>
      </c>
      <c r="BP1538" s="25">
        <f>Inventory[[#This Row],[Adjusted Res]]+Inventory[[#This Row],[Adj Det ]]</f>
        <v>644200</v>
      </c>
      <c r="BQ1538" s="25">
        <f>ROUND((Inventory[[#This Row],[Mdl Land Intercept]]+Inventory[[#This Row],[Mdl LnAcres]])*Inventory[[#This Row],[Det/Nbhd Adj]],-2)</f>
        <v>58500</v>
      </c>
      <c r="BR1538" s="25">
        <f>Inventory[[#This Row],[Adjusted Impr Total]]+Inventory[[#This Row],[Adjusted Land Total]]</f>
        <v>702700</v>
      </c>
      <c r="BS1538" s="36">
        <f>IFERROR((Inventory[[#This Row],[Adjusted Impr Total]]-Inventory[[#This Row],[24Bldg]])/Inventory[[#This Row],[24Bldg]],0)</f>
        <v>0.14118689105403012</v>
      </c>
      <c r="BT1538" s="36">
        <f>(Inventory[[#This Row],[Adjusted Land Total]]-Inventory[[#This Row],[24Lnd]])/Inventory[[#This Row],[24Lnd]]</f>
        <v>-0.29856115107913667</v>
      </c>
      <c r="BU1538" s="36">
        <f>(Inventory[[#This Row],[Adjusted Total]]-Inventory[[#This Row],[24Final]])/Inventory[[#This Row],[24Final]]</f>
        <v>8.4580953850902918E-2</v>
      </c>
    </row>
    <row r="1539" spans="1:73" x14ac:dyDescent="0.3">
      <c r="A1539" s="25">
        <v>2025</v>
      </c>
      <c r="B1539" s="26" t="s">
        <v>2718</v>
      </c>
      <c r="C1539" s="26">
        <f>LN(Inventory[[#This Row],[Acres]])</f>
        <v>-2.0402208285265546</v>
      </c>
      <c r="D1539" s="25">
        <v>0.13</v>
      </c>
      <c r="E1539" s="31"/>
      <c r="F1539" s="26" t="s">
        <v>537</v>
      </c>
      <c r="G1539" s="26" t="s">
        <v>126</v>
      </c>
      <c r="H1539" s="26" t="s">
        <v>349</v>
      </c>
      <c r="I1539" s="26" t="s">
        <v>538</v>
      </c>
      <c r="J1539" s="26" t="s">
        <v>539</v>
      </c>
      <c r="K1539" s="26" t="s">
        <v>269</v>
      </c>
      <c r="L1539" s="26" t="s">
        <v>148</v>
      </c>
      <c r="M1539" s="26" t="s">
        <v>303</v>
      </c>
      <c r="N1539" s="26">
        <v>90</v>
      </c>
      <c r="O1539" s="26">
        <f>2024-Inventory[[#This Row],[YrBlt]]</f>
        <v>89</v>
      </c>
      <c r="P1539" s="26">
        <f>2024-Inventory[[#This Row],[EffYr]]</f>
        <v>53</v>
      </c>
      <c r="Q1539" s="25">
        <v>1935</v>
      </c>
      <c r="R1539" s="25">
        <v>1971</v>
      </c>
      <c r="S1539" s="25">
        <v>1230</v>
      </c>
      <c r="T1539" s="25">
        <v>810</v>
      </c>
      <c r="U1539" s="25">
        <v>1230</v>
      </c>
      <c r="V1539" s="25">
        <f>Inventory[[#This Row],[Bsmt]]-Inventory[[#This Row],[FnBsmt]]</f>
        <v>615</v>
      </c>
      <c r="W1539" s="25">
        <v>615</v>
      </c>
      <c r="X1539" s="27"/>
      <c r="Y1539" s="27">
        <f>Inventory[[#This Row],[MainFn]]+Inventory[[#This Row],[UpprFn]]+Inventory[[#This Row],[FnBsmt]]+Inventory[[#This Row],[AddFn]]</f>
        <v>2655</v>
      </c>
      <c r="Z1539" s="27">
        <v>3000</v>
      </c>
      <c r="AA1539" s="25">
        <v>8</v>
      </c>
      <c r="AB1539" s="27"/>
      <c r="AC1539" s="27"/>
      <c r="AD1539" s="27"/>
      <c r="AE1539" s="27"/>
      <c r="AF1539" s="27"/>
      <c r="AG1539" s="27"/>
      <c r="AH1539" s="27"/>
      <c r="AI1539" s="25">
        <v>533428</v>
      </c>
      <c r="AJ1539" s="25">
        <v>368065</v>
      </c>
      <c r="AK1539" s="25">
        <v>7601</v>
      </c>
      <c r="AL1539" s="25">
        <v>391500</v>
      </c>
      <c r="AM1539" s="25">
        <v>43400</v>
      </c>
      <c r="AN1539" s="25">
        <v>348100</v>
      </c>
      <c r="AO1539" s="25">
        <v>0</v>
      </c>
      <c r="AP1539" s="25">
        <f>Lookups!$B$56*0</f>
        <v>0</v>
      </c>
      <c r="AQ1539" s="25">
        <f>Lookups!$B$56*1</f>
        <v>89850.625589999996</v>
      </c>
      <c r="AR1539" s="25">
        <f>Lookups!$B$57*Inventory[[#This Row],[LnAcres]]</f>
        <v>-64582.406353792743</v>
      </c>
      <c r="AS1539" s="25">
        <f>VLOOKUP(Inventory[[#This Row],[Qlty]],Lookups!$A$62:$E$75,2,FALSE)</f>
        <v>44121.038090000002</v>
      </c>
      <c r="AT1539" s="25">
        <f>VLOOKUP(Inventory[[#This Row],[Cnd]],Lookups!$A$76:$E$84,2,FALSE)</f>
        <v>197752.34721000001</v>
      </c>
      <c r="AU1539" s="25">
        <f>Inventory[[#This Row],[EffAge]]*Lookups!$B$85</f>
        <v>-11821.416826500001</v>
      </c>
      <c r="AV1539" s="25">
        <f>Inventory[[#This Row],[MainFn]]*Lookups!$B$86</f>
        <v>60772.663948710004</v>
      </c>
      <c r="AW1539" s="25">
        <f>Inventory[[#This Row],[UpprFn]]*Lookups!$B$87</f>
        <v>36277.002517410001</v>
      </c>
      <c r="AX1539" s="25">
        <f>Inventory[[#This Row],[AddFn]]*Lookups!$B$88</f>
        <v>0</v>
      </c>
      <c r="AY1539" s="25">
        <f>Inventory[[#This Row],[Bsmt]]*Lookups!$B$89</f>
        <v>35770.731153809997</v>
      </c>
      <c r="AZ1539" s="25">
        <f>Inventory[[#This Row],[Fixtures]]*Lookups!$B$90</f>
        <v>30336.176841600001</v>
      </c>
      <c r="BA1539" s="25">
        <f>Inventory[[#This Row],[WdDeck]]*Lookups!$B$91</f>
        <v>0</v>
      </c>
      <c r="BB1539" s="25">
        <f>ROUND(Inventory[[#This Row],[25Det]],-2)</f>
        <v>7600</v>
      </c>
      <c r="BC1539" s="25">
        <f>ROUND(SUM(Inventory[[#This Row],[Mdl Qlty]:[Mdl WdDeck]])+Inventory[[#This Row],[Mdl Res Intercept]],-2)</f>
        <v>393200</v>
      </c>
      <c r="BD1539" s="25">
        <f>ROUND(Inventory[[#This Row],[Mdl Land Intercept]]+Inventory[[#This Row],[Mdl LnAcres]],-2)</f>
        <v>25300</v>
      </c>
      <c r="BE1539" s="25">
        <f>Inventory[[#This Row],[Unadj Res Value]]+Inventory[[#This Row],[Unadj Det Value]]+Inventory[[#This Row],[Unadj Land Value]]</f>
        <v>426100</v>
      </c>
      <c r="BF1539" s="36">
        <f>(Inventory[[#This Row],[Unadj Total Value]]-Inventory[[#This Row],[24Final]])/Inventory[[#This Row],[24Final]]</f>
        <v>8.8378033205619419E-2</v>
      </c>
      <c r="BG1539" s="25">
        <f>VLOOKUP(Inventory[[#This Row],[Nbhd]],Lookups!$Q$2:$T$4,4,FALSE)</f>
        <v>0.99970000000000003</v>
      </c>
      <c r="BH1539" s="25">
        <f>VLOOKUP(Inventory[[#This Row],[Qlty]],Lookups!$O$7:$R$21,4,FALSE)</f>
        <v>0.98050000000000004</v>
      </c>
      <c r="BI1539" s="25">
        <f>VLOOKUP(Inventory[[#This Row],[Cnd]],Lookups!$T$7:$W$16,4,FALSE)</f>
        <v>0.99650000000000005</v>
      </c>
      <c r="BJ1539" s="25">
        <f>VLOOKUP(Inventory[[#This Row],[LivArea Range]],Lookups!$T$25:$W$37,4,FALSE)</f>
        <v>0.96179999999999999</v>
      </c>
      <c r="BK1539" s="25">
        <f>VLOOKUP(Inventory[[#This Row],[Decade]],Lookups!$O$25:$R$42,4,FALSE)</f>
        <v>0.98909999999999998</v>
      </c>
      <c r="BL1539" s="25">
        <f>Inventory[[#This Row],[Nbhd Adj]]*0.95</f>
        <v>0.94971499999999998</v>
      </c>
      <c r="BM1539" s="25">
        <f>Inventory[[#This Row],[Nbhd Adj]]*Inventory[[#This Row],[Quality Adj]]*Inventory[[#This Row],[Condition Adj]]*Inventory[[#This Row],[Living Area Adj]]*Inventory[[#This Row],[Decade Adj]]*0.95</f>
        <v>0.88276107127906644</v>
      </c>
      <c r="BN1539" s="25">
        <f>ROUND(SUM(Inventory[[#This Row],[Mdl Qlty]:[Mdl WdDeck]])+Inventory[[#This Row],[Mdl Res Intercept]]*Inventory[[#This Row],[Res Adj ]],-2)</f>
        <v>393200</v>
      </c>
      <c r="BO1539" s="25">
        <f>ROUND(Inventory[[#This Row],[25Det]]*Inventory[[#This Row],[Det/Nbhd Adj]],-2)</f>
        <v>7200</v>
      </c>
      <c r="BP1539" s="25">
        <f>Inventory[[#This Row],[Adjusted Res]]+Inventory[[#This Row],[Adj Det ]]</f>
        <v>400400</v>
      </c>
      <c r="BQ1539" s="25">
        <f>ROUND((Inventory[[#This Row],[Mdl Land Intercept]]+Inventory[[#This Row],[Mdl LnAcres]])*Inventory[[#This Row],[Det/Nbhd Adj]],-2)</f>
        <v>24000</v>
      </c>
      <c r="BR1539" s="25">
        <f>Inventory[[#This Row],[Adjusted Impr Total]]+Inventory[[#This Row],[Adjusted Land Total]]</f>
        <v>424400</v>
      </c>
      <c r="BS1539" s="36">
        <f>IFERROR((Inventory[[#This Row],[Adjusted Impr Total]]-Inventory[[#This Row],[24Bldg]])/Inventory[[#This Row],[24Bldg]],0)</f>
        <v>0.15024418270611894</v>
      </c>
      <c r="BT1539" s="36">
        <f>(Inventory[[#This Row],[Adjusted Land Total]]-Inventory[[#This Row],[24Lnd]])/Inventory[[#This Row],[24Lnd]]</f>
        <v>-0.44700460829493088</v>
      </c>
      <c r="BU1539" s="36">
        <f>(Inventory[[#This Row],[Adjusted Total]]-Inventory[[#This Row],[24Final]])/Inventory[[#This Row],[24Final]]</f>
        <v>8.4035759897828868E-2</v>
      </c>
    </row>
    <row r="1540" spans="1:73" x14ac:dyDescent="0.3">
      <c r="A1540" s="25">
        <v>2025</v>
      </c>
      <c r="B1540" s="26" t="s">
        <v>1317</v>
      </c>
      <c r="C1540" s="26">
        <f>LN(Inventory[[#This Row],[Acres]])</f>
        <v>-1.8971199848858813</v>
      </c>
      <c r="D1540" s="25">
        <v>0.15</v>
      </c>
      <c r="E1540" s="31"/>
      <c r="F1540" s="26" t="s">
        <v>537</v>
      </c>
      <c r="G1540" s="26" t="s">
        <v>126</v>
      </c>
      <c r="H1540" s="26" t="s">
        <v>349</v>
      </c>
      <c r="I1540" s="26" t="s">
        <v>538</v>
      </c>
      <c r="J1540" s="26" t="s">
        <v>539</v>
      </c>
      <c r="K1540" s="26" t="s">
        <v>242</v>
      </c>
      <c r="L1540" s="26" t="s">
        <v>351</v>
      </c>
      <c r="M1540" s="26" t="s">
        <v>303</v>
      </c>
      <c r="N1540" s="26">
        <v>90</v>
      </c>
      <c r="O1540" s="26">
        <f>2024-Inventory[[#This Row],[YrBlt]]</f>
        <v>89</v>
      </c>
      <c r="P1540" s="26">
        <f>2024-Inventory[[#This Row],[EffYr]]</f>
        <v>53</v>
      </c>
      <c r="Q1540" s="25">
        <v>1935</v>
      </c>
      <c r="R1540" s="25">
        <v>1971</v>
      </c>
      <c r="S1540" s="25">
        <v>910</v>
      </c>
      <c r="T1540" s="27"/>
      <c r="U1540" s="25">
        <v>910</v>
      </c>
      <c r="V1540" s="25">
        <f>Inventory[[#This Row],[Bsmt]]-Inventory[[#This Row],[FnBsmt]]</f>
        <v>219</v>
      </c>
      <c r="W1540" s="25">
        <v>691</v>
      </c>
      <c r="X1540" s="27"/>
      <c r="Y1540" s="27">
        <f>Inventory[[#This Row],[MainFn]]+Inventory[[#This Row],[UpprFn]]+Inventory[[#This Row],[FnBsmt]]+Inventory[[#This Row],[AddFn]]</f>
        <v>1601</v>
      </c>
      <c r="Z1540" s="27">
        <v>2000</v>
      </c>
      <c r="AA1540" s="25">
        <v>8</v>
      </c>
      <c r="AB1540" s="32">
        <v>144</v>
      </c>
      <c r="AC1540" s="27"/>
      <c r="AD1540" s="27"/>
      <c r="AE1540" s="27"/>
      <c r="AF1540" s="27"/>
      <c r="AG1540" s="27"/>
      <c r="AH1540" s="27"/>
      <c r="AI1540" s="25">
        <v>238176</v>
      </c>
      <c r="AJ1540" s="25">
        <v>164341</v>
      </c>
      <c r="AK1540" s="25">
        <v>0</v>
      </c>
      <c r="AL1540" s="25">
        <v>311600</v>
      </c>
      <c r="AM1540" s="25">
        <v>48400</v>
      </c>
      <c r="AN1540" s="25">
        <v>263200</v>
      </c>
      <c r="AO1540" s="25">
        <v>0</v>
      </c>
      <c r="AP1540" s="25">
        <f>Lookups!$B$56*0</f>
        <v>0</v>
      </c>
      <c r="AQ1540" s="25">
        <f>Lookups!$B$56*1</f>
        <v>89850.625589999996</v>
      </c>
      <c r="AR1540" s="25">
        <f>Lookups!$B$57*Inventory[[#This Row],[LnAcres]]</f>
        <v>-60052.604136134301</v>
      </c>
      <c r="AS1540" s="25">
        <f>VLOOKUP(Inventory[[#This Row],[Qlty]],Lookups!$A$62:$E$75,2,FALSE)</f>
        <v>21557.329055999999</v>
      </c>
      <c r="AT1540" s="25">
        <f>VLOOKUP(Inventory[[#This Row],[Cnd]],Lookups!$A$76:$E$84,2,FALSE)</f>
        <v>197752.34721000001</v>
      </c>
      <c r="AU1540" s="25">
        <f>Inventory[[#This Row],[EffAge]]*Lookups!$B$85</f>
        <v>-11821.416826500001</v>
      </c>
      <c r="AV1540" s="25">
        <f>Inventory[[#This Row],[MainFn]]*Lookups!$B$86</f>
        <v>44961.88958807</v>
      </c>
      <c r="AW1540" s="25">
        <f>Inventory[[#This Row],[UpprFn]]*Lookups!$B$87</f>
        <v>0</v>
      </c>
      <c r="AX1540" s="25">
        <f>Inventory[[#This Row],[AddFn]]*Lookups!$B$88</f>
        <v>0</v>
      </c>
      <c r="AY1540" s="25">
        <f>Inventory[[#This Row],[Bsmt]]*Lookups!$B$89</f>
        <v>26464.52467477</v>
      </c>
      <c r="AZ1540" s="25">
        <f>Inventory[[#This Row],[Fixtures]]*Lookups!$B$90</f>
        <v>30336.176841600001</v>
      </c>
      <c r="BA1540" s="25">
        <f>Inventory[[#This Row],[WdDeck]]*Lookups!$B$91</f>
        <v>0</v>
      </c>
      <c r="BB1540" s="25">
        <f>ROUND(Inventory[[#This Row],[25Det]],-2)</f>
        <v>0</v>
      </c>
      <c r="BC1540" s="25">
        <f>ROUND(SUM(Inventory[[#This Row],[Mdl Qlty]:[Mdl WdDeck]])+Inventory[[#This Row],[Mdl Res Intercept]],-2)</f>
        <v>309300</v>
      </c>
      <c r="BD1540" s="25">
        <f>ROUND(Inventory[[#This Row],[Mdl Land Intercept]]+Inventory[[#This Row],[Mdl LnAcres]],-2)</f>
        <v>29800</v>
      </c>
      <c r="BE1540" s="25">
        <f>Inventory[[#This Row],[Unadj Res Value]]+Inventory[[#This Row],[Unadj Det Value]]+Inventory[[#This Row],[Unadj Land Value]]</f>
        <v>339100</v>
      </c>
      <c r="BF1540" s="36">
        <f>(Inventory[[#This Row],[Unadj Total Value]]-Inventory[[#This Row],[24Final]])/Inventory[[#This Row],[24Final]]</f>
        <v>8.8254172015404364E-2</v>
      </c>
      <c r="BG1540" s="25">
        <f>VLOOKUP(Inventory[[#This Row],[Nbhd]],Lookups!$Q$2:$T$4,4,FALSE)</f>
        <v>0.99970000000000003</v>
      </c>
      <c r="BH1540" s="25">
        <f>VLOOKUP(Inventory[[#This Row],[Qlty]],Lookups!$O$7:$R$21,4,FALSE)</f>
        <v>1.0067999999999999</v>
      </c>
      <c r="BI1540" s="25">
        <f>VLOOKUP(Inventory[[#This Row],[Cnd]],Lookups!$T$7:$W$16,4,FALSE)</f>
        <v>0.99650000000000005</v>
      </c>
      <c r="BJ1540" s="25">
        <f>VLOOKUP(Inventory[[#This Row],[LivArea Range]],Lookups!$T$25:$W$37,4,FALSE)</f>
        <v>1.0093000000000001</v>
      </c>
      <c r="BK1540" s="25">
        <f>VLOOKUP(Inventory[[#This Row],[Decade]],Lookups!$O$25:$R$42,4,FALSE)</f>
        <v>0.98909999999999998</v>
      </c>
      <c r="BL1540" s="25">
        <f>Inventory[[#This Row],[Nbhd Adj]]*0.95</f>
        <v>0.94971499999999998</v>
      </c>
      <c r="BM1540" s="25">
        <f>Inventory[[#This Row],[Nbhd Adj]]*Inventory[[#This Row],[Quality Adj]]*Inventory[[#This Row],[Condition Adj]]*Inventory[[#This Row],[Living Area Adj]]*Inventory[[#This Row],[Decade Adj]]*0.95</f>
        <v>0.95120534593507355</v>
      </c>
      <c r="BN1540" s="25">
        <f>ROUND(SUM(Inventory[[#This Row],[Mdl Qlty]:[Mdl WdDeck]])+Inventory[[#This Row],[Mdl Res Intercept]]*Inventory[[#This Row],[Res Adj ]],-2)</f>
        <v>309300</v>
      </c>
      <c r="BO1540" s="25">
        <f>ROUND(Inventory[[#This Row],[25Det]]*Inventory[[#This Row],[Det/Nbhd Adj]],-2)</f>
        <v>0</v>
      </c>
      <c r="BP1540" s="25">
        <f>Inventory[[#This Row],[Adjusted Res]]+Inventory[[#This Row],[Adj Det ]]</f>
        <v>309300</v>
      </c>
      <c r="BQ1540" s="25">
        <f>ROUND((Inventory[[#This Row],[Mdl Land Intercept]]+Inventory[[#This Row],[Mdl LnAcres]])*Inventory[[#This Row],[Det/Nbhd Adj]],-2)</f>
        <v>28300</v>
      </c>
      <c r="BR1540" s="25">
        <f>Inventory[[#This Row],[Adjusted Impr Total]]+Inventory[[#This Row],[Adjusted Land Total]]</f>
        <v>337600</v>
      </c>
      <c r="BS1540" s="36">
        <f>IFERROR((Inventory[[#This Row],[Adjusted Impr Total]]-Inventory[[#This Row],[24Bldg]])/Inventory[[#This Row],[24Bldg]],0)</f>
        <v>0.17515197568389057</v>
      </c>
      <c r="BT1540" s="36">
        <f>(Inventory[[#This Row],[Adjusted Land Total]]-Inventory[[#This Row],[24Lnd]])/Inventory[[#This Row],[24Lnd]]</f>
        <v>-0.41528925619834711</v>
      </c>
      <c r="BU1540" s="36">
        <f>(Inventory[[#This Row],[Adjusted Total]]-Inventory[[#This Row],[24Final]])/Inventory[[#This Row],[24Final]]</f>
        <v>8.3440308087291401E-2</v>
      </c>
    </row>
    <row r="1541" spans="1:73" x14ac:dyDescent="0.3">
      <c r="A1541" s="25">
        <v>2025</v>
      </c>
      <c r="B1541" s="26" t="s">
        <v>1444</v>
      </c>
      <c r="C1541" s="26">
        <f>LN(Inventory[[#This Row],[Acres]])</f>
        <v>-1.3862943611198906</v>
      </c>
      <c r="D1541" s="25">
        <v>0.25</v>
      </c>
      <c r="E1541" s="31"/>
      <c r="F1541" s="26" t="s">
        <v>537</v>
      </c>
      <c r="G1541" s="26" t="s">
        <v>126</v>
      </c>
      <c r="H1541" s="26" t="s">
        <v>349</v>
      </c>
      <c r="I1541" s="26" t="s">
        <v>538</v>
      </c>
      <c r="J1541" s="26" t="s">
        <v>539</v>
      </c>
      <c r="K1541" s="26" t="s">
        <v>173</v>
      </c>
      <c r="L1541" s="26" t="s">
        <v>302</v>
      </c>
      <c r="M1541" s="26" t="s">
        <v>303</v>
      </c>
      <c r="N1541" s="26">
        <v>90</v>
      </c>
      <c r="O1541" s="26">
        <f>2024-Inventory[[#This Row],[YrBlt]]</f>
        <v>89</v>
      </c>
      <c r="P1541" s="26">
        <f>2024-Inventory[[#This Row],[EffYr]]</f>
        <v>53</v>
      </c>
      <c r="Q1541" s="25">
        <v>1935</v>
      </c>
      <c r="R1541" s="25">
        <v>1971</v>
      </c>
      <c r="S1541" s="25">
        <v>915</v>
      </c>
      <c r="T1541" s="32">
        <v>360</v>
      </c>
      <c r="U1541" s="25">
        <v>915</v>
      </c>
      <c r="V1541" s="25">
        <f>Inventory[[#This Row],[Bsmt]]-Inventory[[#This Row],[FnBsmt]]</f>
        <v>450</v>
      </c>
      <c r="W1541" s="25">
        <v>465</v>
      </c>
      <c r="X1541" s="27"/>
      <c r="Y1541" s="27">
        <f>Inventory[[#This Row],[MainFn]]+Inventory[[#This Row],[UpprFn]]+Inventory[[#This Row],[FnBsmt]]+Inventory[[#This Row],[AddFn]]</f>
        <v>1740</v>
      </c>
      <c r="Z1541" s="27">
        <v>2000</v>
      </c>
      <c r="AA1541" s="25">
        <v>9</v>
      </c>
      <c r="AB1541" s="27"/>
      <c r="AC1541" s="27"/>
      <c r="AD1541" s="27"/>
      <c r="AE1541" s="27"/>
      <c r="AF1541" s="27"/>
      <c r="AG1541" s="27"/>
      <c r="AH1541" s="27"/>
      <c r="AI1541" s="25">
        <v>300239</v>
      </c>
      <c r="AJ1541" s="25">
        <v>207165</v>
      </c>
      <c r="AK1541" s="25">
        <v>10424</v>
      </c>
      <c r="AL1541" s="25">
        <v>361300</v>
      </c>
      <c r="AM1541" s="25">
        <v>66200</v>
      </c>
      <c r="AN1541" s="25">
        <v>295100</v>
      </c>
      <c r="AO1541" s="25">
        <v>0</v>
      </c>
      <c r="AP1541" s="25">
        <f>Lookups!$B$56*0</f>
        <v>0</v>
      </c>
      <c r="AQ1541" s="25">
        <f>Lookups!$B$56*1</f>
        <v>89850.625589999996</v>
      </c>
      <c r="AR1541" s="25">
        <f>Lookups!$B$57*Inventory[[#This Row],[LnAcres]]</f>
        <v>-43882.615305165229</v>
      </c>
      <c r="AS1541" s="25">
        <f>VLOOKUP(Inventory[[#This Row],[Qlty]],Lookups!$A$62:$E$75,2,FALSE)</f>
        <v>29814.093161000001</v>
      </c>
      <c r="AT1541" s="25">
        <f>VLOOKUP(Inventory[[#This Row],[Cnd]],Lookups!$A$76:$E$84,2,FALSE)</f>
        <v>197752.34721000001</v>
      </c>
      <c r="AU1541" s="25">
        <f>Inventory[[#This Row],[EffAge]]*Lookups!$B$85</f>
        <v>-11821.416826500001</v>
      </c>
      <c r="AV1541" s="25">
        <f>Inventory[[#This Row],[MainFn]]*Lookups!$B$86</f>
        <v>45208.932937455</v>
      </c>
      <c r="AW1541" s="25">
        <f>Inventory[[#This Row],[UpprFn]]*Lookups!$B$87</f>
        <v>16123.112229959999</v>
      </c>
      <c r="AX1541" s="25">
        <f>Inventory[[#This Row],[AddFn]]*Lookups!$B$88</f>
        <v>0</v>
      </c>
      <c r="AY1541" s="25">
        <f>Inventory[[#This Row],[Bsmt]]*Lookups!$B$89</f>
        <v>26609.934151005</v>
      </c>
      <c r="AZ1541" s="25">
        <f>Inventory[[#This Row],[Fixtures]]*Lookups!$B$90</f>
        <v>34128.198946800003</v>
      </c>
      <c r="BA1541" s="25">
        <f>Inventory[[#This Row],[WdDeck]]*Lookups!$B$91</f>
        <v>0</v>
      </c>
      <c r="BB1541" s="25">
        <f>ROUND(Inventory[[#This Row],[25Det]],-2)</f>
        <v>10400</v>
      </c>
      <c r="BC1541" s="25">
        <f>ROUND(SUM(Inventory[[#This Row],[Mdl Qlty]:[Mdl WdDeck]])+Inventory[[#This Row],[Mdl Res Intercept]],-2)</f>
        <v>337800</v>
      </c>
      <c r="BD1541" s="25">
        <f>ROUND(Inventory[[#This Row],[Mdl Land Intercept]]+Inventory[[#This Row],[Mdl LnAcres]],-2)</f>
        <v>46000</v>
      </c>
      <c r="BE1541" s="25">
        <f>Inventory[[#This Row],[Unadj Res Value]]+Inventory[[#This Row],[Unadj Det Value]]+Inventory[[#This Row],[Unadj Land Value]]</f>
        <v>394200</v>
      </c>
      <c r="BF1541" s="36">
        <f>(Inventory[[#This Row],[Unadj Total Value]]-Inventory[[#This Row],[24Final]])/Inventory[[#This Row],[24Final]]</f>
        <v>9.1060060891226133E-2</v>
      </c>
      <c r="BG1541" s="25">
        <f>VLOOKUP(Inventory[[#This Row],[Nbhd]],Lookups!$Q$2:$T$4,4,FALSE)</f>
        <v>0.99970000000000003</v>
      </c>
      <c r="BH1541" s="25">
        <f>VLOOKUP(Inventory[[#This Row],[Qlty]],Lookups!$O$7:$R$21,4,FALSE)</f>
        <v>1.0088999999999999</v>
      </c>
      <c r="BI1541" s="25">
        <f>VLOOKUP(Inventory[[#This Row],[Cnd]],Lookups!$T$7:$W$16,4,FALSE)</f>
        <v>0.99650000000000005</v>
      </c>
      <c r="BJ1541" s="25">
        <f>VLOOKUP(Inventory[[#This Row],[LivArea Range]],Lookups!$T$25:$W$37,4,FALSE)</f>
        <v>1.0093000000000001</v>
      </c>
      <c r="BK1541" s="25">
        <f>VLOOKUP(Inventory[[#This Row],[Decade]],Lookups!$O$25:$R$42,4,FALSE)</f>
        <v>0.98909999999999998</v>
      </c>
      <c r="BL1541" s="25">
        <f>Inventory[[#This Row],[Nbhd Adj]]*0.95</f>
        <v>0.94971499999999998</v>
      </c>
      <c r="BM1541" s="25">
        <f>Inventory[[#This Row],[Nbhd Adj]]*Inventory[[#This Row],[Quality Adj]]*Inventory[[#This Row],[Condition Adj]]*Inventory[[#This Row],[Living Area Adj]]*Inventory[[#This Row],[Decade Adj]]*0.95</f>
        <v>0.95318938569119571</v>
      </c>
      <c r="BN1541" s="25">
        <f>ROUND(SUM(Inventory[[#This Row],[Mdl Qlty]:[Mdl WdDeck]])+Inventory[[#This Row],[Mdl Res Intercept]]*Inventory[[#This Row],[Res Adj ]],-2)</f>
        <v>337800</v>
      </c>
      <c r="BO1541" s="25">
        <f>ROUND(Inventory[[#This Row],[25Det]]*Inventory[[#This Row],[Det/Nbhd Adj]],-2)</f>
        <v>9900</v>
      </c>
      <c r="BP1541" s="25">
        <f>Inventory[[#This Row],[Adjusted Res]]+Inventory[[#This Row],[Adj Det ]]</f>
        <v>347700</v>
      </c>
      <c r="BQ1541" s="25">
        <f>ROUND((Inventory[[#This Row],[Mdl Land Intercept]]+Inventory[[#This Row],[Mdl LnAcres]])*Inventory[[#This Row],[Det/Nbhd Adj]],-2)</f>
        <v>43700</v>
      </c>
      <c r="BR1541" s="25">
        <f>Inventory[[#This Row],[Adjusted Impr Total]]+Inventory[[#This Row],[Adjusted Land Total]]</f>
        <v>391400</v>
      </c>
      <c r="BS1541" s="36">
        <f>IFERROR((Inventory[[#This Row],[Adjusted Impr Total]]-Inventory[[#This Row],[24Bldg]])/Inventory[[#This Row],[24Bldg]],0)</f>
        <v>0.17824466282616061</v>
      </c>
      <c r="BT1541" s="36">
        <f>(Inventory[[#This Row],[Adjusted Land Total]]-Inventory[[#This Row],[24Lnd]])/Inventory[[#This Row],[24Lnd]]</f>
        <v>-0.33987915407854985</v>
      </c>
      <c r="BU1541" s="36">
        <f>(Inventory[[#This Row],[Adjusted Total]]-Inventory[[#This Row],[24Final]])/Inventory[[#This Row],[24Final]]</f>
        <v>8.3310268474951557E-2</v>
      </c>
    </row>
    <row r="1542" spans="1:73" x14ac:dyDescent="0.3">
      <c r="A1542" s="25">
        <v>2025</v>
      </c>
      <c r="B1542" s="26" t="s">
        <v>1042</v>
      </c>
      <c r="C1542" s="26">
        <f>LN(Inventory[[#This Row],[Acres]])</f>
        <v>-1.7147984280919266</v>
      </c>
      <c r="D1542" s="25">
        <v>0.18</v>
      </c>
      <c r="E1542" s="31"/>
      <c r="F1542" s="26" t="s">
        <v>537</v>
      </c>
      <c r="G1542" s="26" t="s">
        <v>126</v>
      </c>
      <c r="H1542" s="26" t="s">
        <v>349</v>
      </c>
      <c r="I1542" s="26" t="s">
        <v>538</v>
      </c>
      <c r="J1542" s="26" t="s">
        <v>539</v>
      </c>
      <c r="K1542" s="26" t="s">
        <v>269</v>
      </c>
      <c r="L1542" s="26" t="s">
        <v>302</v>
      </c>
      <c r="M1542" s="26" t="s">
        <v>303</v>
      </c>
      <c r="N1542" s="26">
        <v>90</v>
      </c>
      <c r="O1542" s="26">
        <f>2024-Inventory[[#This Row],[YrBlt]]</f>
        <v>89</v>
      </c>
      <c r="P1542" s="26">
        <f>2024-Inventory[[#This Row],[EffYr]]</f>
        <v>53</v>
      </c>
      <c r="Q1542" s="25">
        <v>1935</v>
      </c>
      <c r="R1542" s="25">
        <v>1971</v>
      </c>
      <c r="S1542" s="25">
        <v>1163</v>
      </c>
      <c r="T1542" s="27"/>
      <c r="U1542" s="25">
        <v>589</v>
      </c>
      <c r="V1542" s="25">
        <f>Inventory[[#This Row],[Bsmt]]-Inventory[[#This Row],[FnBsmt]]</f>
        <v>299</v>
      </c>
      <c r="W1542" s="25">
        <v>290</v>
      </c>
      <c r="X1542" s="27"/>
      <c r="Y1542" s="27">
        <f>Inventory[[#This Row],[MainFn]]+Inventory[[#This Row],[UpprFn]]+Inventory[[#This Row],[FnBsmt]]+Inventory[[#This Row],[AddFn]]</f>
        <v>1453</v>
      </c>
      <c r="Z1542" s="27">
        <v>1500</v>
      </c>
      <c r="AA1542" s="25">
        <v>8</v>
      </c>
      <c r="AB1542" s="27"/>
      <c r="AC1542" s="27"/>
      <c r="AD1542" s="31"/>
      <c r="AE1542" s="27"/>
      <c r="AF1542" s="27"/>
      <c r="AG1542" s="27"/>
      <c r="AH1542" s="27"/>
      <c r="AI1542" s="25">
        <v>294463</v>
      </c>
      <c r="AJ1542" s="25">
        <v>203179</v>
      </c>
      <c r="AK1542" s="25">
        <v>8623</v>
      </c>
      <c r="AL1542" s="25">
        <v>334900</v>
      </c>
      <c r="AM1542" s="25">
        <v>54700</v>
      </c>
      <c r="AN1542" s="25">
        <v>280200</v>
      </c>
      <c r="AO1542" s="25">
        <v>0</v>
      </c>
      <c r="AP1542" s="25">
        <f>Lookups!$B$56*0</f>
        <v>0</v>
      </c>
      <c r="AQ1542" s="25">
        <f>Lookups!$B$56*1</f>
        <v>89850.625589999996</v>
      </c>
      <c r="AR1542" s="25">
        <f>Lookups!$B$57*Inventory[[#This Row],[LnAcres]]</f>
        <v>-54281.285314520763</v>
      </c>
      <c r="AS1542" s="25">
        <f>VLOOKUP(Inventory[[#This Row],[Qlty]],Lookups!$A$62:$E$75,2,FALSE)</f>
        <v>29814.093161000001</v>
      </c>
      <c r="AT1542" s="25">
        <f>VLOOKUP(Inventory[[#This Row],[Cnd]],Lookups!$A$76:$E$84,2,FALSE)</f>
        <v>197752.34721000001</v>
      </c>
      <c r="AU1542" s="25">
        <f>Inventory[[#This Row],[EffAge]]*Lookups!$B$85</f>
        <v>-11821.416826500001</v>
      </c>
      <c r="AV1542" s="25">
        <f>Inventory[[#This Row],[MainFn]]*Lookups!$B$86</f>
        <v>57462.283066951</v>
      </c>
      <c r="AW1542" s="25">
        <f>Inventory[[#This Row],[UpprFn]]*Lookups!$B$87</f>
        <v>0</v>
      </c>
      <c r="AX1542" s="25">
        <f>Inventory[[#This Row],[AddFn]]*Lookups!$B$88</f>
        <v>0</v>
      </c>
      <c r="AY1542" s="25">
        <f>Inventory[[#This Row],[Bsmt]]*Lookups!$B$89</f>
        <v>17129.236300483</v>
      </c>
      <c r="AZ1542" s="25">
        <f>Inventory[[#This Row],[Fixtures]]*Lookups!$B$90</f>
        <v>30336.176841600001</v>
      </c>
      <c r="BA1542" s="25">
        <f>Inventory[[#This Row],[WdDeck]]*Lookups!$B$91</f>
        <v>0</v>
      </c>
      <c r="BB1542" s="25">
        <f>ROUND(Inventory[[#This Row],[25Det]],-2)</f>
        <v>8600</v>
      </c>
      <c r="BC1542" s="25">
        <f>ROUND(SUM(Inventory[[#This Row],[Mdl Qlty]:[Mdl WdDeck]])+Inventory[[#This Row],[Mdl Res Intercept]],-2)</f>
        <v>320700</v>
      </c>
      <c r="BD1542" s="25">
        <f>ROUND(Inventory[[#This Row],[Mdl Land Intercept]]+Inventory[[#This Row],[Mdl LnAcres]],-2)</f>
        <v>35600</v>
      </c>
      <c r="BE1542" s="25">
        <f>Inventory[[#This Row],[Unadj Res Value]]+Inventory[[#This Row],[Unadj Det Value]]+Inventory[[#This Row],[Unadj Land Value]]</f>
        <v>364900</v>
      </c>
      <c r="BF1542" s="36">
        <f>(Inventory[[#This Row],[Unadj Total Value]]-Inventory[[#This Row],[24Final]])/Inventory[[#This Row],[24Final]]</f>
        <v>8.957897879964169E-2</v>
      </c>
      <c r="BG1542" s="25">
        <f>VLOOKUP(Inventory[[#This Row],[Nbhd]],Lookups!$Q$2:$T$4,4,FALSE)</f>
        <v>0.99970000000000003</v>
      </c>
      <c r="BH1542" s="25">
        <f>VLOOKUP(Inventory[[#This Row],[Qlty]],Lookups!$O$7:$R$21,4,FALSE)</f>
        <v>1.0088999999999999</v>
      </c>
      <c r="BI1542" s="25">
        <f>VLOOKUP(Inventory[[#This Row],[Cnd]],Lookups!$T$7:$W$16,4,FALSE)</f>
        <v>0.99650000000000005</v>
      </c>
      <c r="BJ1542" s="25">
        <f>VLOOKUP(Inventory[[#This Row],[LivArea Range]],Lookups!$T$25:$W$37,4,FALSE)</f>
        <v>1.0157</v>
      </c>
      <c r="BK1542" s="25">
        <f>VLOOKUP(Inventory[[#This Row],[Decade]],Lookups!$O$25:$R$42,4,FALSE)</f>
        <v>0.98909999999999998</v>
      </c>
      <c r="BL1542" s="25">
        <f>Inventory[[#This Row],[Nbhd Adj]]*0.95</f>
        <v>0.94971499999999998</v>
      </c>
      <c r="BM1542" s="25">
        <f>Inventory[[#This Row],[Nbhd Adj]]*Inventory[[#This Row],[Quality Adj]]*Inventory[[#This Row],[Condition Adj]]*Inventory[[#This Row],[Living Area Adj]]*Inventory[[#This Row],[Decade Adj]]*0.95</f>
        <v>0.95923358669032743</v>
      </c>
      <c r="BN1542" s="25">
        <f>ROUND(SUM(Inventory[[#This Row],[Mdl Qlty]:[Mdl WdDeck]])+Inventory[[#This Row],[Mdl Res Intercept]]*Inventory[[#This Row],[Res Adj ]],-2)</f>
        <v>320700</v>
      </c>
      <c r="BO1542" s="25">
        <f>ROUND(Inventory[[#This Row],[25Det]]*Inventory[[#This Row],[Det/Nbhd Adj]],-2)</f>
        <v>8200</v>
      </c>
      <c r="BP1542" s="25">
        <f>Inventory[[#This Row],[Adjusted Res]]+Inventory[[#This Row],[Adj Det ]]</f>
        <v>328900</v>
      </c>
      <c r="BQ1542" s="25">
        <f>ROUND((Inventory[[#This Row],[Mdl Land Intercept]]+Inventory[[#This Row],[Mdl LnAcres]])*Inventory[[#This Row],[Det/Nbhd Adj]],-2)</f>
        <v>33800</v>
      </c>
      <c r="BR1542" s="25">
        <f>Inventory[[#This Row],[Adjusted Impr Total]]+Inventory[[#This Row],[Adjusted Land Total]]</f>
        <v>362700</v>
      </c>
      <c r="BS1542" s="36">
        <f>IFERROR((Inventory[[#This Row],[Adjusted Impr Total]]-Inventory[[#This Row],[24Bldg]])/Inventory[[#This Row],[24Bldg]],0)</f>
        <v>0.17380442541042113</v>
      </c>
      <c r="BT1542" s="36">
        <f>(Inventory[[#This Row],[Adjusted Land Total]]-Inventory[[#This Row],[24Lnd]])/Inventory[[#This Row],[24Lnd]]</f>
        <v>-0.38208409506398539</v>
      </c>
      <c r="BU1542" s="36">
        <f>(Inventory[[#This Row],[Adjusted Total]]-Inventory[[#This Row],[24Final]])/Inventory[[#This Row],[24Final]]</f>
        <v>8.3009853687667959E-2</v>
      </c>
    </row>
    <row r="1543" spans="1:73" x14ac:dyDescent="0.3">
      <c r="A1543" s="25">
        <v>2025</v>
      </c>
      <c r="B1543" s="26" t="s">
        <v>1756</v>
      </c>
      <c r="C1543" s="26">
        <f>LN(Inventory[[#This Row],[Acres]])</f>
        <v>-1.4271163556401458</v>
      </c>
      <c r="D1543" s="25">
        <v>0.24</v>
      </c>
      <c r="E1543" s="31"/>
      <c r="F1543" s="26" t="s">
        <v>537</v>
      </c>
      <c r="G1543" s="26" t="s">
        <v>126</v>
      </c>
      <c r="H1543" s="26" t="s">
        <v>349</v>
      </c>
      <c r="I1543" s="26" t="s">
        <v>538</v>
      </c>
      <c r="J1543" s="26" t="s">
        <v>539</v>
      </c>
      <c r="K1543" s="26" t="s">
        <v>416</v>
      </c>
      <c r="L1543" s="26" t="s">
        <v>351</v>
      </c>
      <c r="M1543" s="26" t="s">
        <v>303</v>
      </c>
      <c r="N1543" s="26">
        <v>90</v>
      </c>
      <c r="O1543" s="26">
        <f>2024-Inventory[[#This Row],[YrBlt]]</f>
        <v>89</v>
      </c>
      <c r="P1543" s="26">
        <f>2024-Inventory[[#This Row],[EffYr]]</f>
        <v>53</v>
      </c>
      <c r="Q1543" s="25">
        <v>1935</v>
      </c>
      <c r="R1543" s="25">
        <v>1971</v>
      </c>
      <c r="S1543" s="25">
        <v>956</v>
      </c>
      <c r="T1543" s="32">
        <v>902</v>
      </c>
      <c r="U1543" s="25">
        <v>936</v>
      </c>
      <c r="V1543" s="32">
        <f>Inventory[[#This Row],[Bsmt]]-Inventory[[#This Row],[FnBsmt]]</f>
        <v>468</v>
      </c>
      <c r="W1543" s="32">
        <v>468</v>
      </c>
      <c r="X1543" s="27"/>
      <c r="Y1543" s="27">
        <f>Inventory[[#This Row],[MainFn]]+Inventory[[#This Row],[UpprFn]]+Inventory[[#This Row],[FnBsmt]]+Inventory[[#This Row],[AddFn]]</f>
        <v>2326</v>
      </c>
      <c r="Z1543" s="27">
        <v>2500</v>
      </c>
      <c r="AA1543" s="25">
        <v>10</v>
      </c>
      <c r="AB1543" s="27"/>
      <c r="AC1543" s="27"/>
      <c r="AD1543" s="32">
        <v>156</v>
      </c>
      <c r="AE1543" s="27"/>
      <c r="AF1543" s="27"/>
      <c r="AG1543" s="27"/>
      <c r="AH1543" s="27"/>
      <c r="AI1543" s="25">
        <v>342893</v>
      </c>
      <c r="AJ1543" s="25">
        <v>236596</v>
      </c>
      <c r="AK1543" s="25">
        <v>0</v>
      </c>
      <c r="AL1543" s="25">
        <v>376700</v>
      </c>
      <c r="AM1543" s="25">
        <v>64800</v>
      </c>
      <c r="AN1543" s="25">
        <v>311900</v>
      </c>
      <c r="AO1543" s="25">
        <v>0</v>
      </c>
      <c r="AP1543" s="25">
        <f>Lookups!$B$56*0</f>
        <v>0</v>
      </c>
      <c r="AQ1543" s="25">
        <f>Lookups!$B$56*1</f>
        <v>89850.625589999996</v>
      </c>
      <c r="AR1543" s="25">
        <f>Lookups!$B$57*Inventory[[#This Row],[LnAcres]]</f>
        <v>-45174.819855485119</v>
      </c>
      <c r="AS1543" s="25">
        <f>VLOOKUP(Inventory[[#This Row],[Qlty]],Lookups!$A$62:$E$75,2,FALSE)</f>
        <v>21557.329055999999</v>
      </c>
      <c r="AT1543" s="25">
        <f>VLOOKUP(Inventory[[#This Row],[Cnd]],Lookups!$A$76:$E$84,2,FALSE)</f>
        <v>197752.34721000001</v>
      </c>
      <c r="AU1543" s="25">
        <f>Inventory[[#This Row],[EffAge]]*Lookups!$B$85</f>
        <v>-11821.416826500001</v>
      </c>
      <c r="AV1543" s="25">
        <f>Inventory[[#This Row],[MainFn]]*Lookups!$B$86</f>
        <v>47234.688402412001</v>
      </c>
      <c r="AW1543" s="25">
        <f>Inventory[[#This Row],[UpprFn]]*Lookups!$B$87</f>
        <v>40397.353420621999</v>
      </c>
      <c r="AX1543" s="25">
        <f>Inventory[[#This Row],[AddFn]]*Lookups!$B$88</f>
        <v>0</v>
      </c>
      <c r="AY1543" s="25">
        <f>Inventory[[#This Row],[Bsmt]]*Lookups!$B$89</f>
        <v>27220.653951191998</v>
      </c>
      <c r="AZ1543" s="25">
        <f>Inventory[[#This Row],[Fixtures]]*Lookups!$B$90</f>
        <v>37920.221052000001</v>
      </c>
      <c r="BA1543" s="25">
        <f>Inventory[[#This Row],[WdDeck]]*Lookups!$B$91</f>
        <v>5194.1003830560003</v>
      </c>
      <c r="BB1543" s="25">
        <f>ROUND(Inventory[[#This Row],[25Det]],-2)</f>
        <v>0</v>
      </c>
      <c r="BC1543" s="25">
        <f>ROUND(SUM(Inventory[[#This Row],[Mdl Qlty]:[Mdl WdDeck]])+Inventory[[#This Row],[Mdl Res Intercept]],-2)</f>
        <v>365500</v>
      </c>
      <c r="BD1543" s="25">
        <f>ROUND(Inventory[[#This Row],[Mdl Land Intercept]]+Inventory[[#This Row],[Mdl LnAcres]],-2)</f>
        <v>44700</v>
      </c>
      <c r="BE1543" s="25">
        <f>Inventory[[#This Row],[Unadj Res Value]]+Inventory[[#This Row],[Unadj Det Value]]+Inventory[[#This Row],[Unadj Land Value]]</f>
        <v>410200</v>
      </c>
      <c r="BF1543" s="36">
        <f>(Inventory[[#This Row],[Unadj Total Value]]-Inventory[[#This Row],[24Final]])/Inventory[[#This Row],[24Final]]</f>
        <v>8.8930183169631E-2</v>
      </c>
      <c r="BG1543" s="25">
        <f>VLOOKUP(Inventory[[#This Row],[Nbhd]],Lookups!$Q$2:$T$4,4,FALSE)</f>
        <v>0.99970000000000003</v>
      </c>
      <c r="BH1543" s="25">
        <f>VLOOKUP(Inventory[[#This Row],[Qlty]],Lookups!$O$7:$R$21,4,FALSE)</f>
        <v>1.0067999999999999</v>
      </c>
      <c r="BI1543" s="25">
        <f>VLOOKUP(Inventory[[#This Row],[Cnd]],Lookups!$T$7:$W$16,4,FALSE)</f>
        <v>0.99650000000000005</v>
      </c>
      <c r="BJ1543" s="25">
        <f>VLOOKUP(Inventory[[#This Row],[LivArea Range]],Lookups!$T$25:$W$37,4,FALSE)</f>
        <v>0.98919999999999997</v>
      </c>
      <c r="BK1543" s="25">
        <f>VLOOKUP(Inventory[[#This Row],[Decade]],Lookups!$O$25:$R$42,4,FALSE)</f>
        <v>0.98909999999999998</v>
      </c>
      <c r="BL1543" s="25">
        <f>Inventory[[#This Row],[Nbhd Adj]]*0.95</f>
        <v>0.94971499999999998</v>
      </c>
      <c r="BM1543" s="25">
        <f>Inventory[[#This Row],[Nbhd Adj]]*Inventory[[#This Row],[Quality Adj]]*Inventory[[#This Row],[Condition Adj]]*Inventory[[#This Row],[Living Area Adj]]*Inventory[[#This Row],[Decade Adj]]*0.95</f>
        <v>0.9322622889120924</v>
      </c>
      <c r="BN1543" s="25">
        <f>ROUND(SUM(Inventory[[#This Row],[Mdl Qlty]:[Mdl WdDeck]])+Inventory[[#This Row],[Mdl Res Intercept]]*Inventory[[#This Row],[Res Adj ]],-2)</f>
        <v>365500</v>
      </c>
      <c r="BO1543" s="25">
        <f>ROUND(Inventory[[#This Row],[25Det]]*Inventory[[#This Row],[Det/Nbhd Adj]],-2)</f>
        <v>0</v>
      </c>
      <c r="BP1543" s="25">
        <f>Inventory[[#This Row],[Adjusted Res]]+Inventory[[#This Row],[Adj Det ]]</f>
        <v>365500</v>
      </c>
      <c r="BQ1543" s="25">
        <f>ROUND((Inventory[[#This Row],[Mdl Land Intercept]]+Inventory[[#This Row],[Mdl LnAcres]])*Inventory[[#This Row],[Det/Nbhd Adj]],-2)</f>
        <v>42400</v>
      </c>
      <c r="BR1543" s="25">
        <f>Inventory[[#This Row],[Adjusted Impr Total]]+Inventory[[#This Row],[Adjusted Land Total]]</f>
        <v>407900</v>
      </c>
      <c r="BS1543" s="36">
        <f>IFERROR((Inventory[[#This Row],[Adjusted Impr Total]]-Inventory[[#This Row],[24Bldg]])/Inventory[[#This Row],[24Bldg]],0)</f>
        <v>0.17184995190766272</v>
      </c>
      <c r="BT1543" s="36">
        <f>(Inventory[[#This Row],[Adjusted Land Total]]-Inventory[[#This Row],[24Lnd]])/Inventory[[#This Row],[24Lnd]]</f>
        <v>-0.34567901234567899</v>
      </c>
      <c r="BU1543" s="36">
        <f>(Inventory[[#This Row],[Adjusted Total]]-Inventory[[#This Row],[24Final]])/Inventory[[#This Row],[24Final]]</f>
        <v>8.2824528802760825E-2</v>
      </c>
    </row>
    <row r="1544" spans="1:73" x14ac:dyDescent="0.3">
      <c r="A1544" s="25">
        <v>2025</v>
      </c>
      <c r="B1544" s="26" t="s">
        <v>2789</v>
      </c>
      <c r="C1544" s="26">
        <f>LN(Inventory[[#This Row],[Acres]])</f>
        <v>-1.5606477482646683</v>
      </c>
      <c r="D1544" s="25">
        <v>0.21</v>
      </c>
      <c r="E1544" s="25">
        <v>9300</v>
      </c>
      <c r="F1544" s="26" t="s">
        <v>537</v>
      </c>
      <c r="G1544" s="26" t="s">
        <v>126</v>
      </c>
      <c r="H1544" s="26" t="s">
        <v>349</v>
      </c>
      <c r="I1544" s="26" t="s">
        <v>538</v>
      </c>
      <c r="J1544" s="26" t="s">
        <v>539</v>
      </c>
      <c r="K1544" s="26" t="s">
        <v>242</v>
      </c>
      <c r="L1544" s="26" t="s">
        <v>351</v>
      </c>
      <c r="M1544" s="26" t="s">
        <v>303</v>
      </c>
      <c r="N1544" s="26">
        <v>90</v>
      </c>
      <c r="O1544" s="26">
        <f>2024-Inventory[[#This Row],[YrBlt]]</f>
        <v>89</v>
      </c>
      <c r="P1544" s="26">
        <f>2024-Inventory[[#This Row],[EffYr]]</f>
        <v>53</v>
      </c>
      <c r="Q1544" s="25">
        <v>1935</v>
      </c>
      <c r="R1544" s="25">
        <v>1971</v>
      </c>
      <c r="S1544" s="25">
        <v>932</v>
      </c>
      <c r="T1544" s="27"/>
      <c r="U1544" s="25">
        <v>920</v>
      </c>
      <c r="V1544" s="25">
        <f>Inventory[[#This Row],[Bsmt]]-Inventory[[#This Row],[FnBsmt]]</f>
        <v>276</v>
      </c>
      <c r="W1544" s="25">
        <v>644</v>
      </c>
      <c r="X1544" s="27"/>
      <c r="Y1544" s="27">
        <f>Inventory[[#This Row],[MainFn]]+Inventory[[#This Row],[UpprFn]]+Inventory[[#This Row],[FnBsmt]]+Inventory[[#This Row],[AddFn]]</f>
        <v>1576</v>
      </c>
      <c r="Z1544" s="27">
        <v>2000</v>
      </c>
      <c r="AA1544" s="25">
        <v>5</v>
      </c>
      <c r="AB1544" s="27"/>
      <c r="AC1544" s="27"/>
      <c r="AD1544" s="31"/>
      <c r="AE1544" s="27"/>
      <c r="AF1544" s="27"/>
      <c r="AG1544" s="27"/>
      <c r="AH1544" s="27"/>
      <c r="AI1544" s="25">
        <v>225669</v>
      </c>
      <c r="AJ1544" s="25">
        <v>155712</v>
      </c>
      <c r="AK1544" s="25">
        <v>11952</v>
      </c>
      <c r="AL1544" s="25">
        <v>322500</v>
      </c>
      <c r="AM1544" s="25">
        <v>60100</v>
      </c>
      <c r="AN1544" s="25">
        <v>262400</v>
      </c>
      <c r="AO1544" s="25">
        <v>0</v>
      </c>
      <c r="AP1544" s="25">
        <f>Lookups!$B$56*0</f>
        <v>0</v>
      </c>
      <c r="AQ1544" s="25">
        <f>Lookups!$B$56*1</f>
        <v>89850.625589999996</v>
      </c>
      <c r="AR1544" s="25">
        <f>Lookups!$B$57*Inventory[[#This Row],[LnAcres]]</f>
        <v>-49401.70477837498</v>
      </c>
      <c r="AS1544" s="25">
        <f>VLOOKUP(Inventory[[#This Row],[Qlty]],Lookups!$A$62:$E$75,2,FALSE)</f>
        <v>21557.329055999999</v>
      </c>
      <c r="AT1544" s="25">
        <f>VLOOKUP(Inventory[[#This Row],[Cnd]],Lookups!$A$76:$E$84,2,FALSE)</f>
        <v>197752.34721000001</v>
      </c>
      <c r="AU1544" s="25">
        <f>Inventory[[#This Row],[EffAge]]*Lookups!$B$85</f>
        <v>-11821.416826500001</v>
      </c>
      <c r="AV1544" s="25">
        <f>Inventory[[#This Row],[MainFn]]*Lookups!$B$86</f>
        <v>46048.880325364</v>
      </c>
      <c r="AW1544" s="25">
        <f>Inventory[[#This Row],[UpprFn]]*Lookups!$B$87</f>
        <v>0</v>
      </c>
      <c r="AX1544" s="25">
        <f>Inventory[[#This Row],[AddFn]]*Lookups!$B$88</f>
        <v>0</v>
      </c>
      <c r="AY1544" s="25">
        <f>Inventory[[#This Row],[Bsmt]]*Lookups!$B$89</f>
        <v>26755.343627239999</v>
      </c>
      <c r="AZ1544" s="25">
        <f>Inventory[[#This Row],[Fixtures]]*Lookups!$B$90</f>
        <v>18960.110526</v>
      </c>
      <c r="BA1544" s="25">
        <f>Inventory[[#This Row],[WdDeck]]*Lookups!$B$91</f>
        <v>0</v>
      </c>
      <c r="BB1544" s="25">
        <f>ROUND(Inventory[[#This Row],[25Det]],-2)</f>
        <v>12000</v>
      </c>
      <c r="BC1544" s="25">
        <f>ROUND(SUM(Inventory[[#This Row],[Mdl Qlty]:[Mdl WdDeck]])+Inventory[[#This Row],[Mdl Res Intercept]],-2)</f>
        <v>299300</v>
      </c>
      <c r="BD1544" s="25">
        <f>ROUND(Inventory[[#This Row],[Mdl Land Intercept]]+Inventory[[#This Row],[Mdl LnAcres]],-2)</f>
        <v>40400</v>
      </c>
      <c r="BE1544" s="25">
        <f>Inventory[[#This Row],[Unadj Res Value]]+Inventory[[#This Row],[Unadj Det Value]]+Inventory[[#This Row],[Unadj Land Value]]</f>
        <v>351700</v>
      </c>
      <c r="BF1544" s="36">
        <f>(Inventory[[#This Row],[Unadj Total Value]]-Inventory[[#This Row],[24Final]])/Inventory[[#This Row],[24Final]]</f>
        <v>9.0542635658914725E-2</v>
      </c>
      <c r="BG1544" s="25">
        <f>VLOOKUP(Inventory[[#This Row],[Nbhd]],Lookups!$Q$2:$T$4,4,FALSE)</f>
        <v>0.99970000000000003</v>
      </c>
      <c r="BH1544" s="25">
        <f>VLOOKUP(Inventory[[#This Row],[Qlty]],Lookups!$O$7:$R$21,4,FALSE)</f>
        <v>1.0067999999999999</v>
      </c>
      <c r="BI1544" s="25">
        <f>VLOOKUP(Inventory[[#This Row],[Cnd]],Lookups!$T$7:$W$16,4,FALSE)</f>
        <v>0.99650000000000005</v>
      </c>
      <c r="BJ1544" s="25">
        <f>VLOOKUP(Inventory[[#This Row],[LivArea Range]],Lookups!$T$25:$W$37,4,FALSE)</f>
        <v>1.0093000000000001</v>
      </c>
      <c r="BK1544" s="25">
        <f>VLOOKUP(Inventory[[#This Row],[Decade]],Lookups!$O$25:$R$42,4,FALSE)</f>
        <v>0.98909999999999998</v>
      </c>
      <c r="BL1544" s="25">
        <f>Inventory[[#This Row],[Nbhd Adj]]*0.95</f>
        <v>0.94971499999999998</v>
      </c>
      <c r="BM1544" s="25">
        <f>Inventory[[#This Row],[Nbhd Adj]]*Inventory[[#This Row],[Quality Adj]]*Inventory[[#This Row],[Condition Adj]]*Inventory[[#This Row],[Living Area Adj]]*Inventory[[#This Row],[Decade Adj]]*0.95</f>
        <v>0.95120534593507355</v>
      </c>
      <c r="BN1544" s="25">
        <f>ROUND(SUM(Inventory[[#This Row],[Mdl Qlty]:[Mdl WdDeck]])+Inventory[[#This Row],[Mdl Res Intercept]]*Inventory[[#This Row],[Res Adj ]],-2)</f>
        <v>299300</v>
      </c>
      <c r="BO1544" s="25">
        <f>ROUND(Inventory[[#This Row],[25Det]]*Inventory[[#This Row],[Det/Nbhd Adj]],-2)</f>
        <v>11400</v>
      </c>
      <c r="BP1544" s="25">
        <f>Inventory[[#This Row],[Adjusted Res]]+Inventory[[#This Row],[Adj Det ]]</f>
        <v>310700</v>
      </c>
      <c r="BQ1544" s="25">
        <f>ROUND((Inventory[[#This Row],[Mdl Land Intercept]]+Inventory[[#This Row],[Mdl LnAcres]])*Inventory[[#This Row],[Det/Nbhd Adj]],-2)</f>
        <v>38400</v>
      </c>
      <c r="BR1544" s="25">
        <f>Inventory[[#This Row],[Adjusted Impr Total]]+Inventory[[#This Row],[Adjusted Land Total]]</f>
        <v>349100</v>
      </c>
      <c r="BS1544" s="36">
        <f>IFERROR((Inventory[[#This Row],[Adjusted Impr Total]]-Inventory[[#This Row],[24Bldg]])/Inventory[[#This Row],[24Bldg]],0)</f>
        <v>0.18407012195121952</v>
      </c>
      <c r="BT1544" s="36">
        <f>(Inventory[[#This Row],[Adjusted Land Total]]-Inventory[[#This Row],[24Lnd]])/Inventory[[#This Row],[24Lnd]]</f>
        <v>-0.36106489184692181</v>
      </c>
      <c r="BU1544" s="36">
        <f>(Inventory[[#This Row],[Adjusted Total]]-Inventory[[#This Row],[24Final]])/Inventory[[#This Row],[24Final]]</f>
        <v>8.2480620155038764E-2</v>
      </c>
    </row>
    <row r="1545" spans="1:73" x14ac:dyDescent="0.3">
      <c r="A1545" s="25">
        <v>2025</v>
      </c>
      <c r="B1545" s="26" t="s">
        <v>2663</v>
      </c>
      <c r="C1545" s="26">
        <f>LN(Inventory[[#This Row],[Acres]])</f>
        <v>-1.5606477482646683</v>
      </c>
      <c r="D1545" s="25">
        <v>0.21</v>
      </c>
      <c r="E1545" s="31"/>
      <c r="F1545" s="26" t="s">
        <v>537</v>
      </c>
      <c r="G1545" s="26" t="s">
        <v>126</v>
      </c>
      <c r="H1545" s="26" t="s">
        <v>349</v>
      </c>
      <c r="I1545" s="26" t="s">
        <v>538</v>
      </c>
      <c r="J1545" s="26" t="s">
        <v>539</v>
      </c>
      <c r="K1545" s="26" t="s">
        <v>301</v>
      </c>
      <c r="L1545" s="26" t="s">
        <v>148</v>
      </c>
      <c r="M1545" s="26" t="s">
        <v>303</v>
      </c>
      <c r="N1545" s="26">
        <v>90</v>
      </c>
      <c r="O1545" s="26">
        <f>2024-Inventory[[#This Row],[YrBlt]]</f>
        <v>89</v>
      </c>
      <c r="P1545" s="26">
        <f>2024-Inventory[[#This Row],[EffYr]]</f>
        <v>53</v>
      </c>
      <c r="Q1545" s="25">
        <v>1935</v>
      </c>
      <c r="R1545" s="25">
        <v>1971</v>
      </c>
      <c r="S1545" s="25">
        <v>1854</v>
      </c>
      <c r="T1545" s="32">
        <v>910</v>
      </c>
      <c r="U1545" s="25">
        <v>1014</v>
      </c>
      <c r="V1545" s="25">
        <f>Inventory[[#This Row],[Bsmt]]-Inventory[[#This Row],[FnBsmt]]</f>
        <v>1014</v>
      </c>
      <c r="W1545" s="31"/>
      <c r="X1545" s="27"/>
      <c r="Y1545" s="27">
        <f>Inventory[[#This Row],[MainFn]]+Inventory[[#This Row],[UpprFn]]+Inventory[[#This Row],[FnBsmt]]+Inventory[[#This Row],[AddFn]]</f>
        <v>2764</v>
      </c>
      <c r="Z1545" s="27">
        <v>3000</v>
      </c>
      <c r="AA1545" s="25">
        <v>10</v>
      </c>
      <c r="AB1545" s="27"/>
      <c r="AC1545" s="27"/>
      <c r="AD1545" s="27"/>
      <c r="AE1545" s="27"/>
      <c r="AF1545" s="27"/>
      <c r="AG1545" s="27"/>
      <c r="AH1545" s="27"/>
      <c r="AI1545" s="25">
        <v>538577</v>
      </c>
      <c r="AJ1545" s="25">
        <v>371618</v>
      </c>
      <c r="AK1545" s="25">
        <v>15079</v>
      </c>
      <c r="AL1545" s="25">
        <v>446000</v>
      </c>
      <c r="AM1545" s="25">
        <v>60100</v>
      </c>
      <c r="AN1545" s="25">
        <v>385900</v>
      </c>
      <c r="AO1545" s="25">
        <v>0</v>
      </c>
      <c r="AP1545" s="25">
        <f>Lookups!$B$56*0</f>
        <v>0</v>
      </c>
      <c r="AQ1545" s="25">
        <f>Lookups!$B$56*1</f>
        <v>89850.625589999996</v>
      </c>
      <c r="AR1545" s="25">
        <f>Lookups!$B$57*Inventory[[#This Row],[LnAcres]]</f>
        <v>-49401.70477837498</v>
      </c>
      <c r="AS1545" s="25">
        <f>VLOOKUP(Inventory[[#This Row],[Qlty]],Lookups!$A$62:$E$75,2,FALSE)</f>
        <v>44121.038090000002</v>
      </c>
      <c r="AT1545" s="25">
        <f>VLOOKUP(Inventory[[#This Row],[Cnd]],Lookups!$A$76:$E$84,2,FALSE)</f>
        <v>197752.34721000001</v>
      </c>
      <c r="AU1545" s="25">
        <f>Inventory[[#This Row],[EffAge]]*Lookups!$B$85</f>
        <v>-11821.416826500001</v>
      </c>
      <c r="AV1545" s="25">
        <f>Inventory[[#This Row],[MainFn]]*Lookups!$B$86</f>
        <v>91603.673951958001</v>
      </c>
      <c r="AW1545" s="25">
        <f>Inventory[[#This Row],[UpprFn]]*Lookups!$B$87</f>
        <v>40755.644803509997</v>
      </c>
      <c r="AX1545" s="25">
        <f>Inventory[[#This Row],[AddFn]]*Lookups!$B$88</f>
        <v>0</v>
      </c>
      <c r="AY1545" s="25">
        <f>Inventory[[#This Row],[Bsmt]]*Lookups!$B$89</f>
        <v>29489.041780457999</v>
      </c>
      <c r="AZ1545" s="25">
        <f>Inventory[[#This Row],[Fixtures]]*Lookups!$B$90</f>
        <v>37920.221052000001</v>
      </c>
      <c r="BA1545" s="25">
        <f>Inventory[[#This Row],[WdDeck]]*Lookups!$B$91</f>
        <v>0</v>
      </c>
      <c r="BB1545" s="25">
        <f>ROUND(Inventory[[#This Row],[25Det]],-2)</f>
        <v>15100</v>
      </c>
      <c r="BC1545" s="25">
        <f>ROUND(SUM(Inventory[[#This Row],[Mdl Qlty]:[Mdl WdDeck]])+Inventory[[#This Row],[Mdl Res Intercept]],-2)</f>
        <v>429800</v>
      </c>
      <c r="BD1545" s="25">
        <f>ROUND(Inventory[[#This Row],[Mdl Land Intercept]]+Inventory[[#This Row],[Mdl LnAcres]],-2)</f>
        <v>40400</v>
      </c>
      <c r="BE1545" s="25">
        <f>Inventory[[#This Row],[Unadj Res Value]]+Inventory[[#This Row],[Unadj Det Value]]+Inventory[[#This Row],[Unadj Land Value]]</f>
        <v>485300</v>
      </c>
      <c r="BF1545" s="36">
        <f>(Inventory[[#This Row],[Unadj Total Value]]-Inventory[[#This Row],[24Final]])/Inventory[[#This Row],[24Final]]</f>
        <v>8.8116591928251123E-2</v>
      </c>
      <c r="BG1545" s="25">
        <f>VLOOKUP(Inventory[[#This Row],[Nbhd]],Lookups!$Q$2:$T$4,4,FALSE)</f>
        <v>0.99970000000000003</v>
      </c>
      <c r="BH1545" s="25">
        <f>VLOOKUP(Inventory[[#This Row],[Qlty]],Lookups!$O$7:$R$21,4,FALSE)</f>
        <v>0.98050000000000004</v>
      </c>
      <c r="BI1545" s="25">
        <f>VLOOKUP(Inventory[[#This Row],[Cnd]],Lookups!$T$7:$W$16,4,FALSE)</f>
        <v>0.99650000000000005</v>
      </c>
      <c r="BJ1545" s="25">
        <f>VLOOKUP(Inventory[[#This Row],[LivArea Range]],Lookups!$T$25:$W$37,4,FALSE)</f>
        <v>0.96179999999999999</v>
      </c>
      <c r="BK1545" s="25">
        <f>VLOOKUP(Inventory[[#This Row],[Decade]],Lookups!$O$25:$R$42,4,FALSE)</f>
        <v>0.98909999999999998</v>
      </c>
      <c r="BL1545" s="25">
        <f>Inventory[[#This Row],[Nbhd Adj]]*0.95</f>
        <v>0.94971499999999998</v>
      </c>
      <c r="BM1545" s="25">
        <f>Inventory[[#This Row],[Nbhd Adj]]*Inventory[[#This Row],[Quality Adj]]*Inventory[[#This Row],[Condition Adj]]*Inventory[[#This Row],[Living Area Adj]]*Inventory[[#This Row],[Decade Adj]]*0.95</f>
        <v>0.88276107127906644</v>
      </c>
      <c r="BN1545" s="25">
        <f>ROUND(SUM(Inventory[[#This Row],[Mdl Qlty]:[Mdl WdDeck]])+Inventory[[#This Row],[Mdl Res Intercept]]*Inventory[[#This Row],[Res Adj ]],-2)</f>
        <v>429800</v>
      </c>
      <c r="BO1545" s="25">
        <f>ROUND(Inventory[[#This Row],[25Det]]*Inventory[[#This Row],[Det/Nbhd Adj]],-2)</f>
        <v>14300</v>
      </c>
      <c r="BP1545" s="25">
        <f>Inventory[[#This Row],[Adjusted Res]]+Inventory[[#This Row],[Adj Det ]]</f>
        <v>444100</v>
      </c>
      <c r="BQ1545" s="25">
        <f>ROUND((Inventory[[#This Row],[Mdl Land Intercept]]+Inventory[[#This Row],[Mdl LnAcres]])*Inventory[[#This Row],[Det/Nbhd Adj]],-2)</f>
        <v>38400</v>
      </c>
      <c r="BR1545" s="25">
        <f>Inventory[[#This Row],[Adjusted Impr Total]]+Inventory[[#This Row],[Adjusted Land Total]]</f>
        <v>482500</v>
      </c>
      <c r="BS1545" s="36">
        <f>IFERROR((Inventory[[#This Row],[Adjusted Impr Total]]-Inventory[[#This Row],[24Bldg]])/Inventory[[#This Row],[24Bldg]],0)</f>
        <v>0.15081627364602229</v>
      </c>
      <c r="BT1545" s="36">
        <f>(Inventory[[#This Row],[Adjusted Land Total]]-Inventory[[#This Row],[24Lnd]])/Inventory[[#This Row],[24Lnd]]</f>
        <v>-0.36106489184692181</v>
      </c>
      <c r="BU1545" s="36">
        <f>(Inventory[[#This Row],[Adjusted Total]]-Inventory[[#This Row],[24Final]])/Inventory[[#This Row],[24Final]]</f>
        <v>8.1838565022421525E-2</v>
      </c>
    </row>
    <row r="1546" spans="1:73" x14ac:dyDescent="0.3">
      <c r="A1546" s="25">
        <v>2025</v>
      </c>
      <c r="B1546" s="26" t="s">
        <v>2787</v>
      </c>
      <c r="C1546" s="26">
        <f>LN(Inventory[[#This Row],[Acres]])</f>
        <v>-1.6607312068216509</v>
      </c>
      <c r="D1546" s="25">
        <v>0.19</v>
      </c>
      <c r="E1546" s="25">
        <v>8409</v>
      </c>
      <c r="F1546" s="26" t="s">
        <v>537</v>
      </c>
      <c r="G1546" s="26" t="s">
        <v>126</v>
      </c>
      <c r="H1546" s="26" t="s">
        <v>349</v>
      </c>
      <c r="I1546" s="26" t="s">
        <v>538</v>
      </c>
      <c r="J1546" s="26" t="s">
        <v>539</v>
      </c>
      <c r="K1546" s="26" t="s">
        <v>269</v>
      </c>
      <c r="L1546" s="26" t="s">
        <v>351</v>
      </c>
      <c r="M1546" s="26" t="s">
        <v>323</v>
      </c>
      <c r="N1546" s="26">
        <v>90</v>
      </c>
      <c r="O1546" s="26">
        <f>2024-Inventory[[#This Row],[YrBlt]]</f>
        <v>89</v>
      </c>
      <c r="P1546" s="26">
        <f>2024-Inventory[[#This Row],[EffYr]]</f>
        <v>53</v>
      </c>
      <c r="Q1546" s="25">
        <v>1935</v>
      </c>
      <c r="R1546" s="25">
        <v>1971</v>
      </c>
      <c r="S1546" s="25">
        <v>884</v>
      </c>
      <c r="T1546" s="31"/>
      <c r="U1546" s="25">
        <v>868</v>
      </c>
      <c r="V1546" s="25">
        <f>Inventory[[#This Row],[Bsmt]]-Inventory[[#This Row],[FnBsmt]]</f>
        <v>781</v>
      </c>
      <c r="W1546" s="25">
        <v>87</v>
      </c>
      <c r="X1546" s="27"/>
      <c r="Y1546" s="27">
        <f>Inventory[[#This Row],[MainFn]]+Inventory[[#This Row],[UpprFn]]+Inventory[[#This Row],[FnBsmt]]+Inventory[[#This Row],[AddFn]]</f>
        <v>971</v>
      </c>
      <c r="Z1546" s="27">
        <v>1000</v>
      </c>
      <c r="AA1546" s="25">
        <v>5</v>
      </c>
      <c r="AB1546" s="27"/>
      <c r="AC1546" s="27"/>
      <c r="AD1546" s="31"/>
      <c r="AE1546" s="27"/>
      <c r="AF1546" s="27"/>
      <c r="AG1546" s="27"/>
      <c r="AH1546" s="27"/>
      <c r="AI1546" s="25">
        <v>189692</v>
      </c>
      <c r="AJ1546" s="25">
        <v>127094</v>
      </c>
      <c r="AK1546" s="25">
        <v>5130</v>
      </c>
      <c r="AL1546" s="25">
        <v>276000</v>
      </c>
      <c r="AM1546" s="25">
        <v>56600</v>
      </c>
      <c r="AN1546" s="25">
        <v>219400</v>
      </c>
      <c r="AO1546" s="25">
        <v>0</v>
      </c>
      <c r="AP1546" s="25">
        <f>Lookups!$B$56*0</f>
        <v>0</v>
      </c>
      <c r="AQ1546" s="25">
        <f>Lookups!$B$56*1</f>
        <v>89850.625589999996</v>
      </c>
      <c r="AR1546" s="25">
        <f>Lookups!$B$57*Inventory[[#This Row],[LnAcres]]</f>
        <v>-52569.808201026557</v>
      </c>
      <c r="AS1546" s="25">
        <f>VLOOKUP(Inventory[[#This Row],[Qlty]],Lookups!$A$62:$E$75,2,FALSE)</f>
        <v>21557.329055999999</v>
      </c>
      <c r="AT1546" s="25">
        <f>VLOOKUP(Inventory[[#This Row],[Cnd]],Lookups!$A$76:$E$84,2,FALSE)</f>
        <v>160472.20319</v>
      </c>
      <c r="AU1546" s="25">
        <f>Inventory[[#This Row],[EffAge]]*Lookups!$B$85</f>
        <v>-11821.416826500001</v>
      </c>
      <c r="AV1546" s="25">
        <f>Inventory[[#This Row],[MainFn]]*Lookups!$B$86</f>
        <v>43677.264171267998</v>
      </c>
      <c r="AW1546" s="25">
        <f>Inventory[[#This Row],[UpprFn]]*Lookups!$B$87</f>
        <v>0</v>
      </c>
      <c r="AX1546" s="25">
        <f>Inventory[[#This Row],[AddFn]]*Lookups!$B$88</f>
        <v>0</v>
      </c>
      <c r="AY1546" s="25">
        <f>Inventory[[#This Row],[Bsmt]]*Lookups!$B$89</f>
        <v>25243.085074396</v>
      </c>
      <c r="AZ1546" s="25">
        <f>Inventory[[#This Row],[Fixtures]]*Lookups!$B$90</f>
        <v>18960.110526</v>
      </c>
      <c r="BA1546" s="25">
        <f>Inventory[[#This Row],[WdDeck]]*Lookups!$B$91</f>
        <v>0</v>
      </c>
      <c r="BB1546" s="25">
        <f>ROUND(Inventory[[#This Row],[25Det]],-2)</f>
        <v>5100</v>
      </c>
      <c r="BC1546" s="25">
        <f>ROUND(SUM(Inventory[[#This Row],[Mdl Qlty]:[Mdl WdDeck]])+Inventory[[#This Row],[Mdl Res Intercept]],-2)</f>
        <v>258100</v>
      </c>
      <c r="BD1546" s="25">
        <f>ROUND(Inventory[[#This Row],[Mdl Land Intercept]]+Inventory[[#This Row],[Mdl LnAcres]],-2)</f>
        <v>37300</v>
      </c>
      <c r="BE1546" s="25">
        <f>Inventory[[#This Row],[Unadj Res Value]]+Inventory[[#This Row],[Unadj Det Value]]+Inventory[[#This Row],[Unadj Land Value]]</f>
        <v>300500</v>
      </c>
      <c r="BF1546" s="36">
        <f>(Inventory[[#This Row],[Unadj Total Value]]-Inventory[[#This Row],[24Final]])/Inventory[[#This Row],[24Final]]</f>
        <v>8.8768115942028991E-2</v>
      </c>
      <c r="BG1546" s="25">
        <f>VLOOKUP(Inventory[[#This Row],[Nbhd]],Lookups!$Q$2:$T$4,4,FALSE)</f>
        <v>0.99970000000000003</v>
      </c>
      <c r="BH1546" s="25">
        <f>VLOOKUP(Inventory[[#This Row],[Qlty]],Lookups!$O$7:$R$21,4,FALSE)</f>
        <v>1.0067999999999999</v>
      </c>
      <c r="BI1546" s="25">
        <f>VLOOKUP(Inventory[[#This Row],[Cnd]],Lookups!$T$7:$W$16,4,FALSE)</f>
        <v>0.99729999999999996</v>
      </c>
      <c r="BJ1546" s="25">
        <f>VLOOKUP(Inventory[[#This Row],[LivArea Range]],Lookups!$T$25:$W$37,4,FALSE)</f>
        <v>1.0148999999999999</v>
      </c>
      <c r="BK1546" s="25">
        <f>VLOOKUP(Inventory[[#This Row],[Decade]],Lookups!$O$25:$R$42,4,FALSE)</f>
        <v>0.98909999999999998</v>
      </c>
      <c r="BL1546" s="25">
        <f>Inventory[[#This Row],[Nbhd Adj]]*0.95</f>
        <v>0.94971499999999998</v>
      </c>
      <c r="BM1546" s="25">
        <f>Inventory[[#This Row],[Nbhd Adj]]*Inventory[[#This Row],[Quality Adj]]*Inventory[[#This Row],[Condition Adj]]*Inventory[[#This Row],[Living Area Adj]]*Inventory[[#This Row],[Decade Adj]]*0.95</f>
        <v>0.95725088753311172</v>
      </c>
      <c r="BN1546" s="25">
        <f>ROUND(SUM(Inventory[[#This Row],[Mdl Qlty]:[Mdl WdDeck]])+Inventory[[#This Row],[Mdl Res Intercept]]*Inventory[[#This Row],[Res Adj ]],-2)</f>
        <v>258100</v>
      </c>
      <c r="BO1546" s="25">
        <f>ROUND(Inventory[[#This Row],[25Det]]*Inventory[[#This Row],[Det/Nbhd Adj]],-2)</f>
        <v>4900</v>
      </c>
      <c r="BP1546" s="25">
        <f>Inventory[[#This Row],[Adjusted Res]]+Inventory[[#This Row],[Adj Det ]]</f>
        <v>263000</v>
      </c>
      <c r="BQ1546" s="25">
        <f>ROUND((Inventory[[#This Row],[Mdl Land Intercept]]+Inventory[[#This Row],[Mdl LnAcres]])*Inventory[[#This Row],[Det/Nbhd Adj]],-2)</f>
        <v>35400</v>
      </c>
      <c r="BR1546" s="25">
        <f>Inventory[[#This Row],[Adjusted Impr Total]]+Inventory[[#This Row],[Adjusted Land Total]]</f>
        <v>298400</v>
      </c>
      <c r="BS1546" s="36">
        <f>IFERROR((Inventory[[#This Row],[Adjusted Impr Total]]-Inventory[[#This Row],[24Bldg]])/Inventory[[#This Row],[24Bldg]],0)</f>
        <v>0.19872379216043756</v>
      </c>
      <c r="BT1546" s="36">
        <f>(Inventory[[#This Row],[Adjusted Land Total]]-Inventory[[#This Row],[24Lnd]])/Inventory[[#This Row],[24Lnd]]</f>
        <v>-0.37455830388692579</v>
      </c>
      <c r="BU1546" s="36">
        <f>(Inventory[[#This Row],[Adjusted Total]]-Inventory[[#This Row],[24Final]])/Inventory[[#This Row],[24Final]]</f>
        <v>8.1159420289855067E-2</v>
      </c>
    </row>
    <row r="1547" spans="1:73" x14ac:dyDescent="0.3">
      <c r="A1547" s="25">
        <v>2025</v>
      </c>
      <c r="B1547" s="26" t="s">
        <v>1891</v>
      </c>
      <c r="C1547" s="26">
        <f>LN(Inventory[[#This Row],[Acres]])</f>
        <v>-1.8325814637483102</v>
      </c>
      <c r="D1547" s="25">
        <v>0.16</v>
      </c>
      <c r="E1547" s="31"/>
      <c r="F1547" s="26" t="s">
        <v>537</v>
      </c>
      <c r="G1547" s="26" t="s">
        <v>126</v>
      </c>
      <c r="H1547" s="26" t="s">
        <v>349</v>
      </c>
      <c r="I1547" s="26" t="s">
        <v>538</v>
      </c>
      <c r="J1547" s="26" t="s">
        <v>539</v>
      </c>
      <c r="K1547" s="26" t="s">
        <v>242</v>
      </c>
      <c r="L1547" s="26" t="s">
        <v>351</v>
      </c>
      <c r="M1547" s="26" t="s">
        <v>323</v>
      </c>
      <c r="N1547" s="26">
        <v>90</v>
      </c>
      <c r="O1547" s="26">
        <f>2024-Inventory[[#This Row],[YrBlt]]</f>
        <v>89</v>
      </c>
      <c r="P1547" s="26">
        <f>2024-Inventory[[#This Row],[EffYr]]</f>
        <v>53</v>
      </c>
      <c r="Q1547" s="25">
        <v>1935</v>
      </c>
      <c r="R1547" s="25">
        <v>1971</v>
      </c>
      <c r="S1547" s="25">
        <v>780</v>
      </c>
      <c r="T1547" s="27"/>
      <c r="U1547" s="25">
        <v>780</v>
      </c>
      <c r="V1547" s="25">
        <f>Inventory[[#This Row],[Bsmt]]-Inventory[[#This Row],[FnBsmt]]</f>
        <v>390</v>
      </c>
      <c r="W1547" s="25">
        <v>390</v>
      </c>
      <c r="X1547" s="27"/>
      <c r="Y1547" s="27">
        <f>Inventory[[#This Row],[MainFn]]+Inventory[[#This Row],[UpprFn]]+Inventory[[#This Row],[FnBsmt]]+Inventory[[#This Row],[AddFn]]</f>
        <v>1170</v>
      </c>
      <c r="Z1547" s="27">
        <v>1500</v>
      </c>
      <c r="AA1547" s="25">
        <v>5</v>
      </c>
      <c r="AB1547" s="27"/>
      <c r="AC1547" s="27"/>
      <c r="AD1547" s="32">
        <v>136</v>
      </c>
      <c r="AE1547" s="27"/>
      <c r="AF1547" s="27"/>
      <c r="AG1547" s="27"/>
      <c r="AH1547" s="27"/>
      <c r="AI1547" s="25">
        <v>186370</v>
      </c>
      <c r="AJ1547" s="25">
        <v>124868</v>
      </c>
      <c r="AK1547" s="25">
        <v>7465</v>
      </c>
      <c r="AL1547" s="25">
        <v>270400</v>
      </c>
      <c r="AM1547" s="25">
        <v>50600</v>
      </c>
      <c r="AN1547" s="25">
        <v>219800</v>
      </c>
      <c r="AO1547" s="25">
        <v>0</v>
      </c>
      <c r="AP1547" s="25">
        <f>Lookups!$B$56*0</f>
        <v>0</v>
      </c>
      <c r="AQ1547" s="25">
        <f>Lookups!$B$56*1</f>
        <v>89850.625589999996</v>
      </c>
      <c r="AR1547" s="25">
        <f>Lookups!$B$57*Inventory[[#This Row],[LnAcres]]</f>
        <v>-58009.662049032086</v>
      </c>
      <c r="AS1547" s="25">
        <f>VLOOKUP(Inventory[[#This Row],[Qlty]],Lookups!$A$62:$E$75,2,FALSE)</f>
        <v>21557.329055999999</v>
      </c>
      <c r="AT1547" s="25">
        <f>VLOOKUP(Inventory[[#This Row],[Cnd]],Lookups!$A$76:$E$84,2,FALSE)</f>
        <v>160472.20319</v>
      </c>
      <c r="AU1547" s="25">
        <f>Inventory[[#This Row],[EffAge]]*Lookups!$B$85</f>
        <v>-11821.416826500001</v>
      </c>
      <c r="AV1547" s="25">
        <f>Inventory[[#This Row],[MainFn]]*Lookups!$B$86</f>
        <v>38538.762504060003</v>
      </c>
      <c r="AW1547" s="25">
        <f>Inventory[[#This Row],[UpprFn]]*Lookups!$B$87</f>
        <v>0</v>
      </c>
      <c r="AX1547" s="25">
        <f>Inventory[[#This Row],[AddFn]]*Lookups!$B$88</f>
        <v>0</v>
      </c>
      <c r="AY1547" s="25">
        <f>Inventory[[#This Row],[Bsmt]]*Lookups!$B$89</f>
        <v>22683.87829266</v>
      </c>
      <c r="AZ1547" s="25">
        <f>Inventory[[#This Row],[Fixtures]]*Lookups!$B$90</f>
        <v>18960.110526</v>
      </c>
      <c r="BA1547" s="25">
        <f>Inventory[[#This Row],[WdDeck]]*Lookups!$B$91</f>
        <v>4528.1900775360009</v>
      </c>
      <c r="BB1547" s="25">
        <f>ROUND(Inventory[[#This Row],[25Det]],-2)</f>
        <v>7500</v>
      </c>
      <c r="BC1547" s="25">
        <f>ROUND(SUM(Inventory[[#This Row],[Mdl Qlty]:[Mdl WdDeck]])+Inventory[[#This Row],[Mdl Res Intercept]],-2)</f>
        <v>254900</v>
      </c>
      <c r="BD1547" s="25">
        <f>ROUND(Inventory[[#This Row],[Mdl Land Intercept]]+Inventory[[#This Row],[Mdl LnAcres]],-2)</f>
        <v>31800</v>
      </c>
      <c r="BE1547" s="25">
        <f>Inventory[[#This Row],[Unadj Res Value]]+Inventory[[#This Row],[Unadj Det Value]]+Inventory[[#This Row],[Unadj Land Value]]</f>
        <v>294200</v>
      </c>
      <c r="BF1547" s="36">
        <f>(Inventory[[#This Row],[Unadj Total Value]]-Inventory[[#This Row],[24Final]])/Inventory[[#This Row],[24Final]]</f>
        <v>8.8017751479289946E-2</v>
      </c>
      <c r="BG1547" s="25">
        <f>VLOOKUP(Inventory[[#This Row],[Nbhd]],Lookups!$Q$2:$T$4,4,FALSE)</f>
        <v>0.99970000000000003</v>
      </c>
      <c r="BH1547" s="25">
        <f>VLOOKUP(Inventory[[#This Row],[Qlty]],Lookups!$O$7:$R$21,4,FALSE)</f>
        <v>1.0067999999999999</v>
      </c>
      <c r="BI1547" s="25">
        <f>VLOOKUP(Inventory[[#This Row],[Cnd]],Lookups!$T$7:$W$16,4,FALSE)</f>
        <v>0.99729999999999996</v>
      </c>
      <c r="BJ1547" s="25">
        <f>VLOOKUP(Inventory[[#This Row],[LivArea Range]],Lookups!$T$25:$W$37,4,FALSE)</f>
        <v>1.0157</v>
      </c>
      <c r="BK1547" s="25">
        <f>VLOOKUP(Inventory[[#This Row],[Decade]],Lookups!$O$25:$R$42,4,FALSE)</f>
        <v>0.98909999999999998</v>
      </c>
      <c r="BL1547" s="25">
        <f>Inventory[[#This Row],[Nbhd Adj]]*0.95</f>
        <v>0.94971499999999998</v>
      </c>
      <c r="BM1547" s="25">
        <f>Inventory[[#This Row],[Nbhd Adj]]*Inventory[[#This Row],[Quality Adj]]*Inventory[[#This Row],[Condition Adj]]*Inventory[[#This Row],[Living Area Adj]]*Inventory[[#This Row],[Decade Adj]]*0.95</f>
        <v>0.95800544533193577</v>
      </c>
      <c r="BN1547" s="25">
        <f>ROUND(SUM(Inventory[[#This Row],[Mdl Qlty]:[Mdl WdDeck]])+Inventory[[#This Row],[Mdl Res Intercept]]*Inventory[[#This Row],[Res Adj ]],-2)</f>
        <v>254900</v>
      </c>
      <c r="BO1547" s="25">
        <f>ROUND(Inventory[[#This Row],[25Det]]*Inventory[[#This Row],[Det/Nbhd Adj]],-2)</f>
        <v>7100</v>
      </c>
      <c r="BP1547" s="25">
        <f>Inventory[[#This Row],[Adjusted Res]]+Inventory[[#This Row],[Adj Det ]]</f>
        <v>262000</v>
      </c>
      <c r="BQ1547" s="25">
        <f>ROUND((Inventory[[#This Row],[Mdl Land Intercept]]+Inventory[[#This Row],[Mdl LnAcres]])*Inventory[[#This Row],[Det/Nbhd Adj]],-2)</f>
        <v>30200</v>
      </c>
      <c r="BR1547" s="25">
        <f>Inventory[[#This Row],[Adjusted Impr Total]]+Inventory[[#This Row],[Adjusted Land Total]]</f>
        <v>292200</v>
      </c>
      <c r="BS1547" s="36">
        <f>IFERROR((Inventory[[#This Row],[Adjusted Impr Total]]-Inventory[[#This Row],[24Bldg]])/Inventory[[#This Row],[24Bldg]],0)</f>
        <v>0.19199272065514103</v>
      </c>
      <c r="BT1547" s="36">
        <f>(Inventory[[#This Row],[Adjusted Land Total]]-Inventory[[#This Row],[24Lnd]])/Inventory[[#This Row],[24Lnd]]</f>
        <v>-0.40316205533596838</v>
      </c>
      <c r="BU1547" s="36">
        <f>(Inventory[[#This Row],[Adjusted Total]]-Inventory[[#This Row],[24Final]])/Inventory[[#This Row],[24Final]]</f>
        <v>8.0621301775147924E-2</v>
      </c>
    </row>
    <row r="1548" spans="1:73" x14ac:dyDescent="0.3">
      <c r="A1548" s="25">
        <v>2025</v>
      </c>
      <c r="B1548" s="26" t="s">
        <v>1397</v>
      </c>
      <c r="C1548" s="26">
        <f>LN(Inventory[[#This Row],[Acres]])</f>
        <v>-1.6094379124341003</v>
      </c>
      <c r="D1548" s="25">
        <v>0.2</v>
      </c>
      <c r="E1548" s="25">
        <v>8534</v>
      </c>
      <c r="F1548" s="26" t="s">
        <v>537</v>
      </c>
      <c r="G1548" s="26" t="s">
        <v>126</v>
      </c>
      <c r="H1548" s="26" t="s">
        <v>349</v>
      </c>
      <c r="I1548" s="26" t="s">
        <v>538</v>
      </c>
      <c r="J1548" s="26" t="s">
        <v>539</v>
      </c>
      <c r="K1548" s="26" t="s">
        <v>147</v>
      </c>
      <c r="L1548" s="26" t="s">
        <v>351</v>
      </c>
      <c r="M1548" s="26" t="s">
        <v>303</v>
      </c>
      <c r="N1548" s="26">
        <v>90</v>
      </c>
      <c r="O1548" s="26">
        <f>2024-Inventory[[#This Row],[YrBlt]]</f>
        <v>89</v>
      </c>
      <c r="P1548" s="26">
        <f>2024-Inventory[[#This Row],[EffYr]]</f>
        <v>53</v>
      </c>
      <c r="Q1548" s="25">
        <v>1935</v>
      </c>
      <c r="R1548" s="25">
        <v>1971</v>
      </c>
      <c r="S1548" s="25">
        <v>975</v>
      </c>
      <c r="T1548" s="25">
        <v>510</v>
      </c>
      <c r="U1548" s="25">
        <v>978</v>
      </c>
      <c r="V1548" s="25">
        <f>Inventory[[#This Row],[Bsmt]]-Inventory[[#This Row],[FnBsmt]]</f>
        <v>489</v>
      </c>
      <c r="W1548" s="25">
        <v>489</v>
      </c>
      <c r="X1548" s="27"/>
      <c r="Y1548" s="27">
        <f>Inventory[[#This Row],[MainFn]]+Inventory[[#This Row],[UpprFn]]+Inventory[[#This Row],[FnBsmt]]+Inventory[[#This Row],[AddFn]]</f>
        <v>1974</v>
      </c>
      <c r="Z1548" s="27">
        <v>2000</v>
      </c>
      <c r="AA1548" s="25">
        <v>8</v>
      </c>
      <c r="AB1548" s="27"/>
      <c r="AC1548" s="27"/>
      <c r="AD1548" s="27"/>
      <c r="AE1548" s="27"/>
      <c r="AF1548" s="27"/>
      <c r="AG1548" s="27"/>
      <c r="AH1548" s="27"/>
      <c r="AI1548" s="25">
        <v>284728</v>
      </c>
      <c r="AJ1548" s="25">
        <v>196462</v>
      </c>
      <c r="AK1548" s="25">
        <v>9040</v>
      </c>
      <c r="AL1548" s="25">
        <v>354400</v>
      </c>
      <c r="AM1548" s="25">
        <v>58400</v>
      </c>
      <c r="AN1548" s="25">
        <v>296000</v>
      </c>
      <c r="AO1548" s="25">
        <v>0</v>
      </c>
      <c r="AP1548" s="25">
        <f>Lookups!$B$56*0</f>
        <v>0</v>
      </c>
      <c r="AQ1548" s="25">
        <f>Lookups!$B$56*1</f>
        <v>89850.625589999996</v>
      </c>
      <c r="AR1548" s="25">
        <f>Lookups!$B$57*Inventory[[#This Row],[LnAcres]]</f>
        <v>-50946.13867709865</v>
      </c>
      <c r="AS1548" s="25">
        <f>VLOOKUP(Inventory[[#This Row],[Qlty]],Lookups!$A$62:$E$75,2,FALSE)</f>
        <v>21557.329055999999</v>
      </c>
      <c r="AT1548" s="25">
        <f>VLOOKUP(Inventory[[#This Row],[Cnd]],Lookups!$A$76:$E$84,2,FALSE)</f>
        <v>197752.34721000001</v>
      </c>
      <c r="AU1548" s="25">
        <f>Inventory[[#This Row],[EffAge]]*Lookups!$B$85</f>
        <v>-11821.416826500001</v>
      </c>
      <c r="AV1548" s="25">
        <f>Inventory[[#This Row],[MainFn]]*Lookups!$B$86</f>
        <v>48173.453130075002</v>
      </c>
      <c r="AW1548" s="25">
        <f>Inventory[[#This Row],[UpprFn]]*Lookups!$B$87</f>
        <v>22841.07565911</v>
      </c>
      <c r="AX1548" s="25">
        <f>Inventory[[#This Row],[AddFn]]*Lookups!$B$88</f>
        <v>0</v>
      </c>
      <c r="AY1548" s="25">
        <f>Inventory[[#This Row],[Bsmt]]*Lookups!$B$89</f>
        <v>28442.093551565998</v>
      </c>
      <c r="AZ1548" s="25">
        <f>Inventory[[#This Row],[Fixtures]]*Lookups!$B$90</f>
        <v>30336.176841600001</v>
      </c>
      <c r="BA1548" s="25">
        <f>Inventory[[#This Row],[WdDeck]]*Lookups!$B$91</f>
        <v>0</v>
      </c>
      <c r="BB1548" s="25">
        <f>ROUND(Inventory[[#This Row],[25Det]],-2)</f>
        <v>9000</v>
      </c>
      <c r="BC1548" s="25">
        <f>ROUND(SUM(Inventory[[#This Row],[Mdl Qlty]:[Mdl WdDeck]])+Inventory[[#This Row],[Mdl Res Intercept]],-2)</f>
        <v>337300</v>
      </c>
      <c r="BD1548" s="25">
        <f>ROUND(Inventory[[#This Row],[Mdl Land Intercept]]+Inventory[[#This Row],[Mdl LnAcres]],-2)</f>
        <v>38900</v>
      </c>
      <c r="BE1548" s="25">
        <f>Inventory[[#This Row],[Unadj Res Value]]+Inventory[[#This Row],[Unadj Det Value]]+Inventory[[#This Row],[Unadj Land Value]]</f>
        <v>385200</v>
      </c>
      <c r="BF1548" s="36">
        <f>(Inventory[[#This Row],[Unadj Total Value]]-Inventory[[#This Row],[24Final]])/Inventory[[#This Row],[24Final]]</f>
        <v>8.6907449209932278E-2</v>
      </c>
      <c r="BG1548" s="25">
        <f>VLOOKUP(Inventory[[#This Row],[Nbhd]],Lookups!$Q$2:$T$4,4,FALSE)</f>
        <v>0.99970000000000003</v>
      </c>
      <c r="BH1548" s="25">
        <f>VLOOKUP(Inventory[[#This Row],[Qlty]],Lookups!$O$7:$R$21,4,FALSE)</f>
        <v>1.0067999999999999</v>
      </c>
      <c r="BI1548" s="25">
        <f>VLOOKUP(Inventory[[#This Row],[Cnd]],Lookups!$T$7:$W$16,4,FALSE)</f>
        <v>0.99650000000000005</v>
      </c>
      <c r="BJ1548" s="25">
        <f>VLOOKUP(Inventory[[#This Row],[LivArea Range]],Lookups!$T$25:$W$37,4,FALSE)</f>
        <v>1.0093000000000001</v>
      </c>
      <c r="BK1548" s="25">
        <f>VLOOKUP(Inventory[[#This Row],[Decade]],Lookups!$O$25:$R$42,4,FALSE)</f>
        <v>0.98909999999999998</v>
      </c>
      <c r="BL1548" s="25">
        <f>Inventory[[#This Row],[Nbhd Adj]]*0.95</f>
        <v>0.94971499999999998</v>
      </c>
      <c r="BM1548" s="25">
        <f>Inventory[[#This Row],[Nbhd Adj]]*Inventory[[#This Row],[Quality Adj]]*Inventory[[#This Row],[Condition Adj]]*Inventory[[#This Row],[Living Area Adj]]*Inventory[[#This Row],[Decade Adj]]*0.95</f>
        <v>0.95120534593507355</v>
      </c>
      <c r="BN1548" s="25">
        <f>ROUND(SUM(Inventory[[#This Row],[Mdl Qlty]:[Mdl WdDeck]])+Inventory[[#This Row],[Mdl Res Intercept]]*Inventory[[#This Row],[Res Adj ]],-2)</f>
        <v>337300</v>
      </c>
      <c r="BO1548" s="25">
        <f>ROUND(Inventory[[#This Row],[25Det]]*Inventory[[#This Row],[Det/Nbhd Adj]],-2)</f>
        <v>8600</v>
      </c>
      <c r="BP1548" s="25">
        <f>Inventory[[#This Row],[Adjusted Res]]+Inventory[[#This Row],[Adj Det ]]</f>
        <v>345900</v>
      </c>
      <c r="BQ1548" s="25">
        <f>ROUND((Inventory[[#This Row],[Mdl Land Intercept]]+Inventory[[#This Row],[Mdl LnAcres]])*Inventory[[#This Row],[Det/Nbhd Adj]],-2)</f>
        <v>36900</v>
      </c>
      <c r="BR1548" s="25">
        <f>Inventory[[#This Row],[Adjusted Impr Total]]+Inventory[[#This Row],[Adjusted Land Total]]</f>
        <v>382800</v>
      </c>
      <c r="BS1548" s="36">
        <f>IFERROR((Inventory[[#This Row],[Adjusted Impr Total]]-Inventory[[#This Row],[24Bldg]])/Inventory[[#This Row],[24Bldg]],0)</f>
        <v>0.16858108108108108</v>
      </c>
      <c r="BT1548" s="36">
        <f>(Inventory[[#This Row],[Adjusted Land Total]]-Inventory[[#This Row],[24Lnd]])/Inventory[[#This Row],[24Lnd]]</f>
        <v>-0.36815068493150682</v>
      </c>
      <c r="BU1548" s="36">
        <f>(Inventory[[#This Row],[Adjusted Total]]-Inventory[[#This Row],[24Final]])/Inventory[[#This Row],[24Final]]</f>
        <v>8.0135440180586909E-2</v>
      </c>
    </row>
    <row r="1549" spans="1:73" x14ac:dyDescent="0.3">
      <c r="A1549" s="25">
        <v>2025</v>
      </c>
      <c r="B1549" s="26" t="s">
        <v>1870</v>
      </c>
      <c r="C1549" s="26">
        <f>LN(Inventory[[#This Row],[Acres]])</f>
        <v>-1.7719568419318752</v>
      </c>
      <c r="D1549" s="25">
        <v>0.17</v>
      </c>
      <c r="E1549" s="31"/>
      <c r="F1549" s="26" t="s">
        <v>537</v>
      </c>
      <c r="G1549" s="26" t="s">
        <v>126</v>
      </c>
      <c r="H1549" s="26" t="s">
        <v>349</v>
      </c>
      <c r="I1549" s="26" t="s">
        <v>538</v>
      </c>
      <c r="J1549" s="26" t="s">
        <v>539</v>
      </c>
      <c r="K1549" s="26" t="s">
        <v>242</v>
      </c>
      <c r="L1549" s="26" t="s">
        <v>351</v>
      </c>
      <c r="M1549" s="26" t="s">
        <v>323</v>
      </c>
      <c r="N1549" s="26">
        <v>90</v>
      </c>
      <c r="O1549" s="26">
        <f>2024-Inventory[[#This Row],[YrBlt]]</f>
        <v>89</v>
      </c>
      <c r="P1549" s="26">
        <f>2024-Inventory[[#This Row],[EffYr]]</f>
        <v>53</v>
      </c>
      <c r="Q1549" s="25">
        <v>1935</v>
      </c>
      <c r="R1549" s="25">
        <v>1971</v>
      </c>
      <c r="S1549" s="25">
        <v>760</v>
      </c>
      <c r="T1549" s="31"/>
      <c r="U1549" s="25">
        <v>200</v>
      </c>
      <c r="V1549" s="25">
        <f>Inventory[[#This Row],[Bsmt]]-Inventory[[#This Row],[FnBsmt]]</f>
        <v>200</v>
      </c>
      <c r="W1549" s="25">
        <v>0</v>
      </c>
      <c r="X1549" s="27"/>
      <c r="Y1549" s="27">
        <f>Inventory[[#This Row],[MainFn]]+Inventory[[#This Row],[UpprFn]]+Inventory[[#This Row],[FnBsmt]]+Inventory[[#This Row],[AddFn]]</f>
        <v>760</v>
      </c>
      <c r="Z1549" s="27">
        <v>1000</v>
      </c>
      <c r="AA1549" s="25">
        <v>5</v>
      </c>
      <c r="AB1549" s="32">
        <v>420</v>
      </c>
      <c r="AC1549" s="27"/>
      <c r="AD1549" s="27"/>
      <c r="AE1549" s="27"/>
      <c r="AF1549" s="27"/>
      <c r="AG1549" s="27"/>
      <c r="AH1549" s="27"/>
      <c r="AI1549" s="25">
        <v>161177</v>
      </c>
      <c r="AJ1549" s="25">
        <v>107989</v>
      </c>
      <c r="AK1549" s="25">
        <v>33755</v>
      </c>
      <c r="AL1549" s="25">
        <v>275200</v>
      </c>
      <c r="AM1549" s="25">
        <v>52700</v>
      </c>
      <c r="AN1549" s="25">
        <v>222500</v>
      </c>
      <c r="AO1549" s="25">
        <v>0</v>
      </c>
      <c r="AP1549" s="25">
        <f>Lookups!$B$56*0</f>
        <v>0</v>
      </c>
      <c r="AQ1549" s="25">
        <f>Lookups!$B$56*1</f>
        <v>89850.625589999996</v>
      </c>
      <c r="AR1549" s="25">
        <f>Lookups!$B$57*Inventory[[#This Row],[LnAcres]]</f>
        <v>-56090.612940989391</v>
      </c>
      <c r="AS1549" s="25">
        <f>VLOOKUP(Inventory[[#This Row],[Qlty]],Lookups!$A$62:$E$75,2,FALSE)</f>
        <v>21557.329055999999</v>
      </c>
      <c r="AT1549" s="25">
        <f>VLOOKUP(Inventory[[#This Row],[Cnd]],Lookups!$A$76:$E$84,2,FALSE)</f>
        <v>160472.20319</v>
      </c>
      <c r="AU1549" s="25">
        <f>Inventory[[#This Row],[EffAge]]*Lookups!$B$85</f>
        <v>-11821.416826500001</v>
      </c>
      <c r="AV1549" s="25">
        <f>Inventory[[#This Row],[MainFn]]*Lookups!$B$86</f>
        <v>37550.589106519998</v>
      </c>
      <c r="AW1549" s="25">
        <f>Inventory[[#This Row],[UpprFn]]*Lookups!$B$87</f>
        <v>0</v>
      </c>
      <c r="AX1549" s="25">
        <f>Inventory[[#This Row],[AddFn]]*Lookups!$B$88</f>
        <v>0</v>
      </c>
      <c r="AY1549" s="25">
        <f>Inventory[[#This Row],[Bsmt]]*Lookups!$B$89</f>
        <v>5816.3790493999995</v>
      </c>
      <c r="AZ1549" s="25">
        <f>Inventory[[#This Row],[Fixtures]]*Lookups!$B$90</f>
        <v>18960.110526</v>
      </c>
      <c r="BA1549" s="25">
        <f>Inventory[[#This Row],[WdDeck]]*Lookups!$B$91</f>
        <v>0</v>
      </c>
      <c r="BB1549" s="25">
        <f>ROUND(Inventory[[#This Row],[25Det]],-2)</f>
        <v>33800</v>
      </c>
      <c r="BC1549" s="25">
        <f>ROUND(SUM(Inventory[[#This Row],[Mdl Qlty]:[Mdl WdDeck]])+Inventory[[#This Row],[Mdl Res Intercept]],-2)</f>
        <v>232500</v>
      </c>
      <c r="BD1549" s="25">
        <f>ROUND(Inventory[[#This Row],[Mdl Land Intercept]]+Inventory[[#This Row],[Mdl LnAcres]],-2)</f>
        <v>33800</v>
      </c>
      <c r="BE1549" s="25">
        <f>Inventory[[#This Row],[Unadj Res Value]]+Inventory[[#This Row],[Unadj Det Value]]+Inventory[[#This Row],[Unadj Land Value]]</f>
        <v>300100</v>
      </c>
      <c r="BF1549" s="36">
        <f>(Inventory[[#This Row],[Unadj Total Value]]-Inventory[[#This Row],[24Final]])/Inventory[[#This Row],[24Final]]</f>
        <v>9.0479651162790692E-2</v>
      </c>
      <c r="BG1549" s="25">
        <f>VLOOKUP(Inventory[[#This Row],[Nbhd]],Lookups!$Q$2:$T$4,4,FALSE)</f>
        <v>0.99970000000000003</v>
      </c>
      <c r="BH1549" s="25">
        <f>VLOOKUP(Inventory[[#This Row],[Qlty]],Lookups!$O$7:$R$21,4,FALSE)</f>
        <v>1.0067999999999999</v>
      </c>
      <c r="BI1549" s="25">
        <f>VLOOKUP(Inventory[[#This Row],[Cnd]],Lookups!$T$7:$W$16,4,FALSE)</f>
        <v>0.99729999999999996</v>
      </c>
      <c r="BJ1549" s="25">
        <f>VLOOKUP(Inventory[[#This Row],[LivArea Range]],Lookups!$T$25:$W$37,4,FALSE)</f>
        <v>1.0148999999999999</v>
      </c>
      <c r="BK1549" s="25">
        <f>VLOOKUP(Inventory[[#This Row],[Decade]],Lookups!$O$25:$R$42,4,FALSE)</f>
        <v>0.98909999999999998</v>
      </c>
      <c r="BL1549" s="25">
        <f>Inventory[[#This Row],[Nbhd Adj]]*0.95</f>
        <v>0.94971499999999998</v>
      </c>
      <c r="BM1549" s="25">
        <f>Inventory[[#This Row],[Nbhd Adj]]*Inventory[[#This Row],[Quality Adj]]*Inventory[[#This Row],[Condition Adj]]*Inventory[[#This Row],[Living Area Adj]]*Inventory[[#This Row],[Decade Adj]]*0.95</f>
        <v>0.95725088753311172</v>
      </c>
      <c r="BN1549" s="25">
        <f>ROUND(SUM(Inventory[[#This Row],[Mdl Qlty]:[Mdl WdDeck]])+Inventory[[#This Row],[Mdl Res Intercept]]*Inventory[[#This Row],[Res Adj ]],-2)</f>
        <v>232500</v>
      </c>
      <c r="BO1549" s="25">
        <f>ROUND(Inventory[[#This Row],[25Det]]*Inventory[[#This Row],[Det/Nbhd Adj]],-2)</f>
        <v>32100</v>
      </c>
      <c r="BP1549" s="25">
        <f>Inventory[[#This Row],[Adjusted Res]]+Inventory[[#This Row],[Adj Det ]]</f>
        <v>264600</v>
      </c>
      <c r="BQ1549" s="25">
        <f>ROUND((Inventory[[#This Row],[Mdl Land Intercept]]+Inventory[[#This Row],[Mdl LnAcres]])*Inventory[[#This Row],[Det/Nbhd Adj]],-2)</f>
        <v>32100</v>
      </c>
      <c r="BR1549" s="25">
        <f>Inventory[[#This Row],[Adjusted Impr Total]]+Inventory[[#This Row],[Adjusted Land Total]]</f>
        <v>296700</v>
      </c>
      <c r="BS1549" s="36">
        <f>IFERROR((Inventory[[#This Row],[Adjusted Impr Total]]-Inventory[[#This Row],[24Bldg]])/Inventory[[#This Row],[24Bldg]],0)</f>
        <v>0.18921348314606742</v>
      </c>
      <c r="BT1549" s="36">
        <f>(Inventory[[#This Row],[Adjusted Land Total]]-Inventory[[#This Row],[24Lnd]])/Inventory[[#This Row],[24Lnd]]</f>
        <v>-0.39089184060721061</v>
      </c>
      <c r="BU1549" s="36">
        <f>(Inventory[[#This Row],[Adjusted Total]]-Inventory[[#This Row],[24Final]])/Inventory[[#This Row],[24Final]]</f>
        <v>7.8125E-2</v>
      </c>
    </row>
    <row r="1550" spans="1:73" x14ac:dyDescent="0.3">
      <c r="A1550" s="25">
        <v>2025</v>
      </c>
      <c r="B1550" s="26" t="s">
        <v>1309</v>
      </c>
      <c r="C1550" s="26">
        <f>LN(Inventory[[#This Row],[Acres]])</f>
        <v>-1.8971199848858813</v>
      </c>
      <c r="D1550" s="25">
        <v>0.15</v>
      </c>
      <c r="E1550" s="31"/>
      <c r="F1550" s="26" t="s">
        <v>537</v>
      </c>
      <c r="G1550" s="26" t="s">
        <v>126</v>
      </c>
      <c r="H1550" s="26" t="s">
        <v>349</v>
      </c>
      <c r="I1550" s="26" t="s">
        <v>538</v>
      </c>
      <c r="J1550" s="26" t="s">
        <v>539</v>
      </c>
      <c r="K1550" s="26" t="s">
        <v>242</v>
      </c>
      <c r="L1550" s="26" t="s">
        <v>351</v>
      </c>
      <c r="M1550" s="26" t="s">
        <v>303</v>
      </c>
      <c r="N1550" s="26">
        <v>90</v>
      </c>
      <c r="O1550" s="26">
        <f>2024-Inventory[[#This Row],[YrBlt]]</f>
        <v>89</v>
      </c>
      <c r="P1550" s="26">
        <f>2024-Inventory[[#This Row],[EffYr]]</f>
        <v>53</v>
      </c>
      <c r="Q1550" s="25">
        <v>1935</v>
      </c>
      <c r="R1550" s="25">
        <v>1971</v>
      </c>
      <c r="S1550" s="25">
        <v>996</v>
      </c>
      <c r="T1550" s="27"/>
      <c r="U1550" s="25">
        <v>528</v>
      </c>
      <c r="V1550" s="25">
        <f>Inventory[[#This Row],[Bsmt]]-Inventory[[#This Row],[FnBsmt]]</f>
        <v>0</v>
      </c>
      <c r="W1550" s="25">
        <v>528</v>
      </c>
      <c r="X1550" s="27"/>
      <c r="Y1550" s="27">
        <f>Inventory[[#This Row],[MainFn]]+Inventory[[#This Row],[UpprFn]]+Inventory[[#This Row],[FnBsmt]]+Inventory[[#This Row],[AddFn]]</f>
        <v>1524</v>
      </c>
      <c r="Z1550" s="27">
        <v>2000</v>
      </c>
      <c r="AA1550" s="25">
        <v>7</v>
      </c>
      <c r="AB1550" s="25">
        <v>252</v>
      </c>
      <c r="AC1550" s="27"/>
      <c r="AD1550" s="31"/>
      <c r="AE1550" s="27"/>
      <c r="AF1550" s="27"/>
      <c r="AG1550" s="27"/>
      <c r="AH1550" s="27"/>
      <c r="AI1550" s="25">
        <v>238909</v>
      </c>
      <c r="AJ1550" s="25">
        <v>164847</v>
      </c>
      <c r="AK1550" s="25">
        <v>0</v>
      </c>
      <c r="AL1550" s="25">
        <v>303500</v>
      </c>
      <c r="AM1550" s="25">
        <v>48400</v>
      </c>
      <c r="AN1550" s="25">
        <v>255100</v>
      </c>
      <c r="AO1550" s="25">
        <v>0</v>
      </c>
      <c r="AP1550" s="25">
        <f>Lookups!$B$56*0</f>
        <v>0</v>
      </c>
      <c r="AQ1550" s="25">
        <f>Lookups!$B$56*1</f>
        <v>89850.625589999996</v>
      </c>
      <c r="AR1550" s="25">
        <f>Lookups!$B$57*Inventory[[#This Row],[LnAcres]]</f>
        <v>-60052.604136134301</v>
      </c>
      <c r="AS1550" s="25">
        <f>VLOOKUP(Inventory[[#This Row],[Qlty]],Lookups!$A$62:$E$75,2,FALSE)</f>
        <v>21557.329055999999</v>
      </c>
      <c r="AT1550" s="25">
        <f>VLOOKUP(Inventory[[#This Row],[Cnd]],Lookups!$A$76:$E$84,2,FALSE)</f>
        <v>197752.34721000001</v>
      </c>
      <c r="AU1550" s="25">
        <f>Inventory[[#This Row],[EffAge]]*Lookups!$B$85</f>
        <v>-11821.416826500001</v>
      </c>
      <c r="AV1550" s="25">
        <f>Inventory[[#This Row],[MainFn]]*Lookups!$B$86</f>
        <v>49211.035197491998</v>
      </c>
      <c r="AW1550" s="25">
        <f>Inventory[[#This Row],[UpprFn]]*Lookups!$B$87</f>
        <v>0</v>
      </c>
      <c r="AX1550" s="25">
        <f>Inventory[[#This Row],[AddFn]]*Lookups!$B$88</f>
        <v>0</v>
      </c>
      <c r="AY1550" s="25">
        <f>Inventory[[#This Row],[Bsmt]]*Lookups!$B$89</f>
        <v>15355.240690416</v>
      </c>
      <c r="AZ1550" s="25">
        <f>Inventory[[#This Row],[Fixtures]]*Lookups!$B$90</f>
        <v>26544.1547364</v>
      </c>
      <c r="BA1550" s="25">
        <f>Inventory[[#This Row],[WdDeck]]*Lookups!$B$91</f>
        <v>0</v>
      </c>
      <c r="BB1550" s="25">
        <f>ROUND(Inventory[[#This Row],[25Det]],-2)</f>
        <v>0</v>
      </c>
      <c r="BC1550" s="25">
        <f>ROUND(SUM(Inventory[[#This Row],[Mdl Qlty]:[Mdl WdDeck]])+Inventory[[#This Row],[Mdl Res Intercept]],-2)</f>
        <v>298600</v>
      </c>
      <c r="BD1550" s="25">
        <f>ROUND(Inventory[[#This Row],[Mdl Land Intercept]]+Inventory[[#This Row],[Mdl LnAcres]],-2)</f>
        <v>29800</v>
      </c>
      <c r="BE1550" s="25">
        <f>Inventory[[#This Row],[Unadj Res Value]]+Inventory[[#This Row],[Unadj Det Value]]+Inventory[[#This Row],[Unadj Land Value]]</f>
        <v>328400</v>
      </c>
      <c r="BF1550" s="36">
        <f>(Inventory[[#This Row],[Unadj Total Value]]-Inventory[[#This Row],[24Final]])/Inventory[[#This Row],[24Final]]</f>
        <v>8.2042833607907747E-2</v>
      </c>
      <c r="BG1550" s="25">
        <f>VLOOKUP(Inventory[[#This Row],[Nbhd]],Lookups!$Q$2:$T$4,4,FALSE)</f>
        <v>0.99970000000000003</v>
      </c>
      <c r="BH1550" s="25">
        <f>VLOOKUP(Inventory[[#This Row],[Qlty]],Lookups!$O$7:$R$21,4,FALSE)</f>
        <v>1.0067999999999999</v>
      </c>
      <c r="BI1550" s="25">
        <f>VLOOKUP(Inventory[[#This Row],[Cnd]],Lookups!$T$7:$W$16,4,FALSE)</f>
        <v>0.99650000000000005</v>
      </c>
      <c r="BJ1550" s="25">
        <f>VLOOKUP(Inventory[[#This Row],[LivArea Range]],Lookups!$T$25:$W$37,4,FALSE)</f>
        <v>1.0093000000000001</v>
      </c>
      <c r="BK1550" s="25">
        <f>VLOOKUP(Inventory[[#This Row],[Decade]],Lookups!$O$25:$R$42,4,FALSE)</f>
        <v>0.98909999999999998</v>
      </c>
      <c r="BL1550" s="25">
        <f>Inventory[[#This Row],[Nbhd Adj]]*0.95</f>
        <v>0.94971499999999998</v>
      </c>
      <c r="BM1550" s="25">
        <f>Inventory[[#This Row],[Nbhd Adj]]*Inventory[[#This Row],[Quality Adj]]*Inventory[[#This Row],[Condition Adj]]*Inventory[[#This Row],[Living Area Adj]]*Inventory[[#This Row],[Decade Adj]]*0.95</f>
        <v>0.95120534593507355</v>
      </c>
      <c r="BN1550" s="25">
        <f>ROUND(SUM(Inventory[[#This Row],[Mdl Qlty]:[Mdl WdDeck]])+Inventory[[#This Row],[Mdl Res Intercept]]*Inventory[[#This Row],[Res Adj ]],-2)</f>
        <v>298600</v>
      </c>
      <c r="BO1550" s="25">
        <f>ROUND(Inventory[[#This Row],[25Det]]*Inventory[[#This Row],[Det/Nbhd Adj]],-2)</f>
        <v>0</v>
      </c>
      <c r="BP1550" s="25">
        <f>Inventory[[#This Row],[Adjusted Res]]+Inventory[[#This Row],[Adj Det ]]</f>
        <v>298600</v>
      </c>
      <c r="BQ1550" s="25">
        <f>ROUND((Inventory[[#This Row],[Mdl Land Intercept]]+Inventory[[#This Row],[Mdl LnAcres]])*Inventory[[#This Row],[Det/Nbhd Adj]],-2)</f>
        <v>28300</v>
      </c>
      <c r="BR1550" s="25">
        <f>Inventory[[#This Row],[Adjusted Impr Total]]+Inventory[[#This Row],[Adjusted Land Total]]</f>
        <v>326900</v>
      </c>
      <c r="BS1550" s="36">
        <f>IFERROR((Inventory[[#This Row],[Adjusted Impr Total]]-Inventory[[#This Row],[24Bldg]])/Inventory[[#This Row],[24Bldg]],0)</f>
        <v>0.17052136417091338</v>
      </c>
      <c r="BT1550" s="36">
        <f>(Inventory[[#This Row],[Adjusted Land Total]]-Inventory[[#This Row],[24Lnd]])/Inventory[[#This Row],[24Lnd]]</f>
        <v>-0.41528925619834711</v>
      </c>
      <c r="BU1550" s="36">
        <f>(Inventory[[#This Row],[Adjusted Total]]-Inventory[[#This Row],[24Final]])/Inventory[[#This Row],[24Final]]</f>
        <v>7.7100494233937403E-2</v>
      </c>
    </row>
    <row r="1551" spans="1:73" x14ac:dyDescent="0.3">
      <c r="A1551" s="25">
        <v>2025</v>
      </c>
      <c r="B1551" s="26" t="s">
        <v>2205</v>
      </c>
      <c r="C1551" s="26">
        <f>LN(Inventory[[#This Row],[Acres]])</f>
        <v>-1.6094379124341003</v>
      </c>
      <c r="D1551" s="25">
        <v>0.2</v>
      </c>
      <c r="E1551" s="25">
        <v>8651</v>
      </c>
      <c r="F1551" s="26" t="s">
        <v>537</v>
      </c>
      <c r="G1551" s="26" t="s">
        <v>126</v>
      </c>
      <c r="H1551" s="26" t="s">
        <v>349</v>
      </c>
      <c r="I1551" s="26" t="s">
        <v>538</v>
      </c>
      <c r="J1551" s="26" t="s">
        <v>539</v>
      </c>
      <c r="K1551" s="26" t="s">
        <v>269</v>
      </c>
      <c r="L1551" s="26" t="s">
        <v>351</v>
      </c>
      <c r="M1551" s="26" t="s">
        <v>303</v>
      </c>
      <c r="N1551" s="26">
        <v>90</v>
      </c>
      <c r="O1551" s="26">
        <f>2024-Inventory[[#This Row],[YrBlt]]</f>
        <v>89</v>
      </c>
      <c r="P1551" s="26">
        <f>2024-Inventory[[#This Row],[EffYr]]</f>
        <v>53</v>
      </c>
      <c r="Q1551" s="25">
        <v>1935</v>
      </c>
      <c r="R1551" s="25">
        <v>1971</v>
      </c>
      <c r="S1551" s="25">
        <v>1152</v>
      </c>
      <c r="T1551" s="31"/>
      <c r="U1551" s="25">
        <v>456</v>
      </c>
      <c r="V1551" s="25">
        <f>Inventory[[#This Row],[Bsmt]]-Inventory[[#This Row],[FnBsmt]]</f>
        <v>0</v>
      </c>
      <c r="W1551" s="25">
        <v>456</v>
      </c>
      <c r="X1551" s="27"/>
      <c r="Y1551" s="27">
        <f>Inventory[[#This Row],[MainFn]]+Inventory[[#This Row],[UpprFn]]+Inventory[[#This Row],[FnBsmt]]+Inventory[[#This Row],[AddFn]]</f>
        <v>1608</v>
      </c>
      <c r="Z1551" s="27">
        <v>2000</v>
      </c>
      <c r="AA1551" s="25">
        <v>5</v>
      </c>
      <c r="AB1551" s="27"/>
      <c r="AC1551" s="27"/>
      <c r="AD1551" s="27"/>
      <c r="AE1551" s="27"/>
      <c r="AF1551" s="27"/>
      <c r="AG1551" s="27"/>
      <c r="AH1551" s="27"/>
      <c r="AI1551" s="25">
        <v>234114</v>
      </c>
      <c r="AJ1551" s="25">
        <v>161539</v>
      </c>
      <c r="AK1551" s="25">
        <v>5261</v>
      </c>
      <c r="AL1551" s="25">
        <v>314700</v>
      </c>
      <c r="AM1551" s="25">
        <v>58400</v>
      </c>
      <c r="AN1551" s="25">
        <v>256300</v>
      </c>
      <c r="AO1551" s="25">
        <v>0</v>
      </c>
      <c r="AP1551" s="25">
        <f>Lookups!$B$56*0</f>
        <v>0</v>
      </c>
      <c r="AQ1551" s="25">
        <f>Lookups!$B$56*1</f>
        <v>89850.625589999996</v>
      </c>
      <c r="AR1551" s="25">
        <f>Lookups!$B$57*Inventory[[#This Row],[LnAcres]]</f>
        <v>-50946.13867709865</v>
      </c>
      <c r="AS1551" s="25">
        <f>VLOOKUP(Inventory[[#This Row],[Qlty]],Lookups!$A$62:$E$75,2,FALSE)</f>
        <v>21557.329055999999</v>
      </c>
      <c r="AT1551" s="25">
        <f>VLOOKUP(Inventory[[#This Row],[Cnd]],Lookups!$A$76:$E$84,2,FALSE)</f>
        <v>197752.34721000001</v>
      </c>
      <c r="AU1551" s="25">
        <f>Inventory[[#This Row],[EffAge]]*Lookups!$B$85</f>
        <v>-11821.416826500001</v>
      </c>
      <c r="AV1551" s="25">
        <f>Inventory[[#This Row],[MainFn]]*Lookups!$B$86</f>
        <v>56918.787698304004</v>
      </c>
      <c r="AW1551" s="25">
        <f>Inventory[[#This Row],[UpprFn]]*Lookups!$B$87</f>
        <v>0</v>
      </c>
      <c r="AX1551" s="25">
        <f>Inventory[[#This Row],[AddFn]]*Lookups!$B$88</f>
        <v>0</v>
      </c>
      <c r="AY1551" s="25">
        <f>Inventory[[#This Row],[Bsmt]]*Lookups!$B$89</f>
        <v>13261.344232632</v>
      </c>
      <c r="AZ1551" s="25">
        <f>Inventory[[#This Row],[Fixtures]]*Lookups!$B$90</f>
        <v>18960.110526</v>
      </c>
      <c r="BA1551" s="25">
        <f>Inventory[[#This Row],[WdDeck]]*Lookups!$B$91</f>
        <v>0</v>
      </c>
      <c r="BB1551" s="25">
        <f>ROUND(Inventory[[#This Row],[25Det]],-2)</f>
        <v>5300</v>
      </c>
      <c r="BC1551" s="25">
        <f>ROUND(SUM(Inventory[[#This Row],[Mdl Qlty]:[Mdl WdDeck]])+Inventory[[#This Row],[Mdl Res Intercept]],-2)</f>
        <v>296600</v>
      </c>
      <c r="BD1551" s="25">
        <f>ROUND(Inventory[[#This Row],[Mdl Land Intercept]]+Inventory[[#This Row],[Mdl LnAcres]],-2)</f>
        <v>38900</v>
      </c>
      <c r="BE1551" s="25">
        <f>Inventory[[#This Row],[Unadj Res Value]]+Inventory[[#This Row],[Unadj Det Value]]+Inventory[[#This Row],[Unadj Land Value]]</f>
        <v>340800</v>
      </c>
      <c r="BF1551" s="36">
        <f>(Inventory[[#This Row],[Unadj Total Value]]-Inventory[[#This Row],[24Final]])/Inventory[[#This Row],[24Final]]</f>
        <v>8.2936129647283127E-2</v>
      </c>
      <c r="BG1551" s="25">
        <f>VLOOKUP(Inventory[[#This Row],[Nbhd]],Lookups!$Q$2:$T$4,4,FALSE)</f>
        <v>0.99970000000000003</v>
      </c>
      <c r="BH1551" s="25">
        <f>VLOOKUP(Inventory[[#This Row],[Qlty]],Lookups!$O$7:$R$21,4,FALSE)</f>
        <v>1.0067999999999999</v>
      </c>
      <c r="BI1551" s="25">
        <f>VLOOKUP(Inventory[[#This Row],[Cnd]],Lookups!$T$7:$W$16,4,FALSE)</f>
        <v>0.99650000000000005</v>
      </c>
      <c r="BJ1551" s="25">
        <f>VLOOKUP(Inventory[[#This Row],[LivArea Range]],Lookups!$T$25:$W$37,4,FALSE)</f>
        <v>1.0093000000000001</v>
      </c>
      <c r="BK1551" s="25">
        <f>VLOOKUP(Inventory[[#This Row],[Decade]],Lookups!$O$25:$R$42,4,FALSE)</f>
        <v>0.98909999999999998</v>
      </c>
      <c r="BL1551" s="25">
        <f>Inventory[[#This Row],[Nbhd Adj]]*0.95</f>
        <v>0.94971499999999998</v>
      </c>
      <c r="BM1551" s="25">
        <f>Inventory[[#This Row],[Nbhd Adj]]*Inventory[[#This Row],[Quality Adj]]*Inventory[[#This Row],[Condition Adj]]*Inventory[[#This Row],[Living Area Adj]]*Inventory[[#This Row],[Decade Adj]]*0.95</f>
        <v>0.95120534593507355</v>
      </c>
      <c r="BN1551" s="25">
        <f>ROUND(SUM(Inventory[[#This Row],[Mdl Qlty]:[Mdl WdDeck]])+Inventory[[#This Row],[Mdl Res Intercept]]*Inventory[[#This Row],[Res Adj ]],-2)</f>
        <v>296600</v>
      </c>
      <c r="BO1551" s="25">
        <f>ROUND(Inventory[[#This Row],[25Det]]*Inventory[[#This Row],[Det/Nbhd Adj]],-2)</f>
        <v>5000</v>
      </c>
      <c r="BP1551" s="25">
        <f>Inventory[[#This Row],[Adjusted Res]]+Inventory[[#This Row],[Adj Det ]]</f>
        <v>301600</v>
      </c>
      <c r="BQ1551" s="25">
        <f>ROUND((Inventory[[#This Row],[Mdl Land Intercept]]+Inventory[[#This Row],[Mdl LnAcres]])*Inventory[[#This Row],[Det/Nbhd Adj]],-2)</f>
        <v>36900</v>
      </c>
      <c r="BR1551" s="25">
        <f>Inventory[[#This Row],[Adjusted Impr Total]]+Inventory[[#This Row],[Adjusted Land Total]]</f>
        <v>338500</v>
      </c>
      <c r="BS1551" s="36">
        <f>IFERROR((Inventory[[#This Row],[Adjusted Impr Total]]-Inventory[[#This Row],[24Bldg]])/Inventory[[#This Row],[24Bldg]],0)</f>
        <v>0.17674600078033553</v>
      </c>
      <c r="BT1551" s="36">
        <f>(Inventory[[#This Row],[Adjusted Land Total]]-Inventory[[#This Row],[24Lnd]])/Inventory[[#This Row],[24Lnd]]</f>
        <v>-0.36815068493150682</v>
      </c>
      <c r="BU1551" s="36">
        <f>(Inventory[[#This Row],[Adjusted Total]]-Inventory[[#This Row],[24Final]])/Inventory[[#This Row],[24Final]]</f>
        <v>7.5627581823959331E-2</v>
      </c>
    </row>
    <row r="1552" spans="1:73" x14ac:dyDescent="0.3">
      <c r="A1552" s="25">
        <v>2025</v>
      </c>
      <c r="B1552" s="26" t="s">
        <v>1088</v>
      </c>
      <c r="C1552" s="26">
        <f>LN(Inventory[[#This Row],[Acres]])</f>
        <v>-1.6607312068216509</v>
      </c>
      <c r="D1552" s="25">
        <v>0.19</v>
      </c>
      <c r="E1552" s="31"/>
      <c r="F1552" s="26" t="s">
        <v>537</v>
      </c>
      <c r="G1552" s="26" t="s">
        <v>126</v>
      </c>
      <c r="H1552" s="26" t="s">
        <v>349</v>
      </c>
      <c r="I1552" s="26" t="s">
        <v>538</v>
      </c>
      <c r="J1552" s="26" t="s">
        <v>638</v>
      </c>
      <c r="K1552" s="26" t="s">
        <v>242</v>
      </c>
      <c r="L1552" s="26" t="s">
        <v>351</v>
      </c>
      <c r="M1552" s="26" t="s">
        <v>323</v>
      </c>
      <c r="N1552" s="26">
        <v>90</v>
      </c>
      <c r="O1552" s="26">
        <f>2024-Inventory[[#This Row],[YrBlt]]</f>
        <v>89</v>
      </c>
      <c r="P1552" s="26">
        <f>2024-Inventory[[#This Row],[EffYr]]</f>
        <v>53</v>
      </c>
      <c r="Q1552" s="25">
        <v>1935</v>
      </c>
      <c r="R1552" s="25">
        <v>1971</v>
      </c>
      <c r="S1552" s="25">
        <v>840</v>
      </c>
      <c r="T1552" s="31"/>
      <c r="U1552" s="25">
        <v>840</v>
      </c>
      <c r="V1552" s="25">
        <f>Inventory[[#This Row],[Bsmt]]-Inventory[[#This Row],[FnBsmt]]</f>
        <v>0</v>
      </c>
      <c r="W1552" s="25">
        <v>840</v>
      </c>
      <c r="X1552" s="27"/>
      <c r="Y1552" s="27">
        <f>Inventory[[#This Row],[MainFn]]+Inventory[[#This Row],[UpprFn]]+Inventory[[#This Row],[FnBsmt]]+Inventory[[#This Row],[AddFn]]</f>
        <v>1680</v>
      </c>
      <c r="Z1552" s="27">
        <v>2000</v>
      </c>
      <c r="AA1552" s="25">
        <v>7</v>
      </c>
      <c r="AB1552" s="27"/>
      <c r="AC1552" s="27"/>
      <c r="AD1552" s="32">
        <v>416</v>
      </c>
      <c r="AE1552" s="27"/>
      <c r="AF1552" s="27"/>
      <c r="AG1552" s="27"/>
      <c r="AH1552" s="27"/>
      <c r="AI1552" s="25">
        <v>226517</v>
      </c>
      <c r="AJ1552" s="25">
        <v>151766</v>
      </c>
      <c r="AK1552" s="25">
        <v>10334</v>
      </c>
      <c r="AL1552" s="25">
        <v>299100</v>
      </c>
      <c r="AM1552" s="25">
        <v>56600</v>
      </c>
      <c r="AN1552" s="25">
        <v>242500</v>
      </c>
      <c r="AO1552" s="25">
        <v>0</v>
      </c>
      <c r="AP1552" s="25">
        <f>Lookups!$B$56*0</f>
        <v>0</v>
      </c>
      <c r="AQ1552" s="25">
        <f>Lookups!$B$56*1</f>
        <v>89850.625589999996</v>
      </c>
      <c r="AR1552" s="25">
        <f>Lookups!$B$57*Inventory[[#This Row],[LnAcres]]</f>
        <v>-52569.808201026557</v>
      </c>
      <c r="AS1552" s="25">
        <f>VLOOKUP(Inventory[[#This Row],[Qlty]],Lookups!$A$62:$E$75,2,FALSE)</f>
        <v>21557.329055999999</v>
      </c>
      <c r="AT1552" s="25">
        <f>VLOOKUP(Inventory[[#This Row],[Cnd]],Lookups!$A$76:$E$84,2,FALSE)</f>
        <v>160472.20319</v>
      </c>
      <c r="AU1552" s="25">
        <f>Inventory[[#This Row],[EffAge]]*Lookups!$B$85</f>
        <v>-11821.416826500001</v>
      </c>
      <c r="AV1552" s="25">
        <f>Inventory[[#This Row],[MainFn]]*Lookups!$B$86</f>
        <v>41503.282696679998</v>
      </c>
      <c r="AW1552" s="25">
        <f>Inventory[[#This Row],[UpprFn]]*Lookups!$B$87</f>
        <v>0</v>
      </c>
      <c r="AX1552" s="25">
        <f>Inventory[[#This Row],[AddFn]]*Lookups!$B$88</f>
        <v>0</v>
      </c>
      <c r="AY1552" s="25">
        <f>Inventory[[#This Row],[Bsmt]]*Lookups!$B$89</f>
        <v>24428.792007479999</v>
      </c>
      <c r="AZ1552" s="25">
        <f>Inventory[[#This Row],[Fixtures]]*Lookups!$B$90</f>
        <v>26544.1547364</v>
      </c>
      <c r="BA1552" s="25">
        <f>Inventory[[#This Row],[WdDeck]]*Lookups!$B$91</f>
        <v>13850.934354816001</v>
      </c>
      <c r="BB1552" s="25">
        <f>ROUND(Inventory[[#This Row],[25Det]],-2)</f>
        <v>10300</v>
      </c>
      <c r="BC1552" s="25">
        <f>ROUND(SUM(Inventory[[#This Row],[Mdl Qlty]:[Mdl WdDeck]])+Inventory[[#This Row],[Mdl Res Intercept]],-2)</f>
        <v>276500</v>
      </c>
      <c r="BD1552" s="25">
        <f>ROUND(Inventory[[#This Row],[Mdl Land Intercept]]+Inventory[[#This Row],[Mdl LnAcres]],-2)</f>
        <v>37300</v>
      </c>
      <c r="BE1552" s="25">
        <f>Inventory[[#This Row],[Unadj Res Value]]+Inventory[[#This Row],[Unadj Det Value]]+Inventory[[#This Row],[Unadj Land Value]]</f>
        <v>324100</v>
      </c>
      <c r="BF1552" s="36">
        <f>(Inventory[[#This Row],[Unadj Total Value]]-Inventory[[#This Row],[24Final]])/Inventory[[#This Row],[24Final]]</f>
        <v>8.3584085590103649E-2</v>
      </c>
      <c r="BG1552" s="25">
        <f>VLOOKUP(Inventory[[#This Row],[Nbhd]],Lookups!$Q$2:$T$4,4,FALSE)</f>
        <v>0.99970000000000003</v>
      </c>
      <c r="BH1552" s="25">
        <f>VLOOKUP(Inventory[[#This Row],[Qlty]],Lookups!$O$7:$R$21,4,FALSE)</f>
        <v>1.0067999999999999</v>
      </c>
      <c r="BI1552" s="25">
        <f>VLOOKUP(Inventory[[#This Row],[Cnd]],Lookups!$T$7:$W$16,4,FALSE)</f>
        <v>0.99729999999999996</v>
      </c>
      <c r="BJ1552" s="25">
        <f>VLOOKUP(Inventory[[#This Row],[LivArea Range]],Lookups!$T$25:$W$37,4,FALSE)</f>
        <v>1.0093000000000001</v>
      </c>
      <c r="BK1552" s="25">
        <f>VLOOKUP(Inventory[[#This Row],[Decade]],Lookups!$O$25:$R$42,4,FALSE)</f>
        <v>0.98909999999999998</v>
      </c>
      <c r="BL1552" s="25">
        <f>Inventory[[#This Row],[Nbhd Adj]]*0.95</f>
        <v>0.94971499999999998</v>
      </c>
      <c r="BM1552" s="25">
        <f>Inventory[[#This Row],[Nbhd Adj]]*Inventory[[#This Row],[Quality Adj]]*Inventory[[#This Row],[Condition Adj]]*Inventory[[#This Row],[Living Area Adj]]*Inventory[[#This Row],[Decade Adj]]*0.95</f>
        <v>0.95196898294134369</v>
      </c>
      <c r="BN1552" s="25">
        <f>ROUND(SUM(Inventory[[#This Row],[Mdl Qlty]:[Mdl WdDeck]])+Inventory[[#This Row],[Mdl Res Intercept]]*Inventory[[#This Row],[Res Adj ]],-2)</f>
        <v>276500</v>
      </c>
      <c r="BO1552" s="25">
        <f>ROUND(Inventory[[#This Row],[25Det]]*Inventory[[#This Row],[Det/Nbhd Adj]],-2)</f>
        <v>9800</v>
      </c>
      <c r="BP1552" s="25">
        <f>Inventory[[#This Row],[Adjusted Res]]+Inventory[[#This Row],[Adj Det ]]</f>
        <v>286300</v>
      </c>
      <c r="BQ1552" s="25">
        <f>ROUND((Inventory[[#This Row],[Mdl Land Intercept]]+Inventory[[#This Row],[Mdl LnAcres]])*Inventory[[#This Row],[Det/Nbhd Adj]],-2)</f>
        <v>35400</v>
      </c>
      <c r="BR1552" s="25">
        <f>Inventory[[#This Row],[Adjusted Impr Total]]+Inventory[[#This Row],[Adjusted Land Total]]</f>
        <v>321700</v>
      </c>
      <c r="BS1552" s="36">
        <f>IFERROR((Inventory[[#This Row],[Adjusted Impr Total]]-Inventory[[#This Row],[24Bldg]])/Inventory[[#This Row],[24Bldg]],0)</f>
        <v>0.18061855670103094</v>
      </c>
      <c r="BT1552" s="36">
        <f>(Inventory[[#This Row],[Adjusted Land Total]]-Inventory[[#This Row],[24Lnd]])/Inventory[[#This Row],[24Lnd]]</f>
        <v>-0.37455830388692579</v>
      </c>
      <c r="BU1552" s="36">
        <f>(Inventory[[#This Row],[Adjusted Total]]-Inventory[[#This Row],[24Final]])/Inventory[[#This Row],[24Final]]</f>
        <v>7.5560013373453694E-2</v>
      </c>
    </row>
    <row r="1553" spans="1:73" x14ac:dyDescent="0.3">
      <c r="A1553" s="25">
        <v>2025</v>
      </c>
      <c r="B1553" s="26" t="s">
        <v>1139</v>
      </c>
      <c r="C1553" s="26">
        <f>LN(Inventory[[#This Row],[Acres]])</f>
        <v>-1.8971199848858813</v>
      </c>
      <c r="D1553" s="25">
        <v>0.15</v>
      </c>
      <c r="E1553" s="31"/>
      <c r="F1553" s="26" t="s">
        <v>537</v>
      </c>
      <c r="G1553" s="26" t="s">
        <v>126</v>
      </c>
      <c r="H1553" s="26" t="s">
        <v>349</v>
      </c>
      <c r="I1553" s="26" t="s">
        <v>538</v>
      </c>
      <c r="J1553" s="26" t="s">
        <v>539</v>
      </c>
      <c r="K1553" s="26" t="s">
        <v>301</v>
      </c>
      <c r="L1553" s="26" t="s">
        <v>302</v>
      </c>
      <c r="M1553" s="26" t="s">
        <v>303</v>
      </c>
      <c r="N1553" s="26">
        <v>90</v>
      </c>
      <c r="O1553" s="26">
        <f>2024-Inventory[[#This Row],[YrBlt]]</f>
        <v>89</v>
      </c>
      <c r="P1553" s="26">
        <f>2024-Inventory[[#This Row],[EffYr]]</f>
        <v>56</v>
      </c>
      <c r="Q1553" s="25">
        <v>1935</v>
      </c>
      <c r="R1553" s="25">
        <v>1968</v>
      </c>
      <c r="S1553" s="25">
        <v>907</v>
      </c>
      <c r="T1553" s="32">
        <v>790</v>
      </c>
      <c r="U1553" s="25">
        <v>480</v>
      </c>
      <c r="V1553" s="25">
        <f>Inventory[[#This Row],[Bsmt]]-Inventory[[#This Row],[FnBsmt]]</f>
        <v>30</v>
      </c>
      <c r="W1553" s="25">
        <v>450</v>
      </c>
      <c r="X1553" s="27"/>
      <c r="Y1553" s="27">
        <f>Inventory[[#This Row],[MainFn]]+Inventory[[#This Row],[UpprFn]]+Inventory[[#This Row],[FnBsmt]]+Inventory[[#This Row],[AddFn]]</f>
        <v>2147</v>
      </c>
      <c r="Z1553" s="27">
        <v>2500</v>
      </c>
      <c r="AA1553" s="25">
        <v>8</v>
      </c>
      <c r="AB1553" s="27"/>
      <c r="AC1553" s="27"/>
      <c r="AD1553" s="27"/>
      <c r="AE1553" s="27"/>
      <c r="AF1553" s="27"/>
      <c r="AG1553" s="27"/>
      <c r="AH1553" s="27"/>
      <c r="AI1553" s="25">
        <v>337303</v>
      </c>
      <c r="AJ1553" s="25">
        <v>222620</v>
      </c>
      <c r="AK1553" s="25">
        <v>10811</v>
      </c>
      <c r="AL1553" s="25">
        <v>351700</v>
      </c>
      <c r="AM1553" s="25">
        <v>48400</v>
      </c>
      <c r="AN1553" s="25">
        <v>303300</v>
      </c>
      <c r="AO1553" s="25">
        <v>0</v>
      </c>
      <c r="AP1553" s="25">
        <f>Lookups!$B$56*0</f>
        <v>0</v>
      </c>
      <c r="AQ1553" s="25">
        <f>Lookups!$B$56*1</f>
        <v>89850.625589999996</v>
      </c>
      <c r="AR1553" s="25">
        <f>Lookups!$B$57*Inventory[[#This Row],[LnAcres]]</f>
        <v>-60052.604136134301</v>
      </c>
      <c r="AS1553" s="25">
        <f>VLOOKUP(Inventory[[#This Row],[Qlty]],Lookups!$A$62:$E$75,2,FALSE)</f>
        <v>29814.093161000001</v>
      </c>
      <c r="AT1553" s="25">
        <f>VLOOKUP(Inventory[[#This Row],[Cnd]],Lookups!$A$76:$E$84,2,FALSE)</f>
        <v>197752.34721000001</v>
      </c>
      <c r="AU1553" s="25">
        <f>Inventory[[#This Row],[EffAge]]*Lookups!$B$85</f>
        <v>-12490.553628</v>
      </c>
      <c r="AV1553" s="25">
        <f>Inventory[[#This Row],[MainFn]]*Lookups!$B$86</f>
        <v>44813.663578439002</v>
      </c>
      <c r="AW1553" s="25">
        <f>Inventory[[#This Row],[UpprFn]]*Lookups!$B$87</f>
        <v>35381.27406019</v>
      </c>
      <c r="AX1553" s="25">
        <f>Inventory[[#This Row],[AddFn]]*Lookups!$B$88</f>
        <v>0</v>
      </c>
      <c r="AY1553" s="25">
        <f>Inventory[[#This Row],[Bsmt]]*Lookups!$B$89</f>
        <v>13959.30971856</v>
      </c>
      <c r="AZ1553" s="25">
        <f>Inventory[[#This Row],[Fixtures]]*Lookups!$B$90</f>
        <v>30336.176841600001</v>
      </c>
      <c r="BA1553" s="25">
        <f>Inventory[[#This Row],[WdDeck]]*Lookups!$B$91</f>
        <v>0</v>
      </c>
      <c r="BB1553" s="25">
        <f>ROUND(Inventory[[#This Row],[25Det]],-2)</f>
        <v>10800</v>
      </c>
      <c r="BC1553" s="25">
        <f>ROUND(SUM(Inventory[[#This Row],[Mdl Qlty]:[Mdl WdDeck]])+Inventory[[#This Row],[Mdl Res Intercept]],-2)</f>
        <v>339600</v>
      </c>
      <c r="BD1553" s="25">
        <f>ROUND(Inventory[[#This Row],[Mdl Land Intercept]]+Inventory[[#This Row],[Mdl LnAcres]],-2)</f>
        <v>29800</v>
      </c>
      <c r="BE1553" s="25">
        <f>Inventory[[#This Row],[Unadj Res Value]]+Inventory[[#This Row],[Unadj Det Value]]+Inventory[[#This Row],[Unadj Land Value]]</f>
        <v>380200</v>
      </c>
      <c r="BF1553" s="36">
        <f>(Inventory[[#This Row],[Unadj Total Value]]-Inventory[[#This Row],[24Final]])/Inventory[[#This Row],[24Final]]</f>
        <v>8.1034972988342335E-2</v>
      </c>
      <c r="BG1553" s="25">
        <f>VLOOKUP(Inventory[[#This Row],[Nbhd]],Lookups!$Q$2:$T$4,4,FALSE)</f>
        <v>0.99970000000000003</v>
      </c>
      <c r="BH1553" s="25">
        <f>VLOOKUP(Inventory[[#This Row],[Qlty]],Lookups!$O$7:$R$21,4,FALSE)</f>
        <v>1.0088999999999999</v>
      </c>
      <c r="BI1553" s="25">
        <f>VLOOKUP(Inventory[[#This Row],[Cnd]],Lookups!$T$7:$W$16,4,FALSE)</f>
        <v>0.99650000000000005</v>
      </c>
      <c r="BJ1553" s="25">
        <f>VLOOKUP(Inventory[[#This Row],[LivArea Range]],Lookups!$T$25:$W$37,4,FALSE)</f>
        <v>0.98919999999999997</v>
      </c>
      <c r="BK1553" s="25">
        <f>VLOOKUP(Inventory[[#This Row],[Decade]],Lookups!$O$25:$R$42,4,FALSE)</f>
        <v>0.98909999999999998</v>
      </c>
      <c r="BL1553" s="25">
        <f>Inventory[[#This Row],[Nbhd Adj]]*0.95</f>
        <v>0.94971499999999998</v>
      </c>
      <c r="BM1553" s="25">
        <f>Inventory[[#This Row],[Nbhd Adj]]*Inventory[[#This Row],[Quality Adj]]*Inventory[[#This Row],[Condition Adj]]*Inventory[[#This Row],[Living Area Adj]]*Inventory[[#This Row],[Decade Adj]]*0.95</f>
        <v>0.93420681692829766</v>
      </c>
      <c r="BN1553" s="25">
        <f>ROUND(SUM(Inventory[[#This Row],[Mdl Qlty]:[Mdl WdDeck]])+Inventory[[#This Row],[Mdl Res Intercept]]*Inventory[[#This Row],[Res Adj ]],-2)</f>
        <v>339600</v>
      </c>
      <c r="BO1553" s="25">
        <f>ROUND(Inventory[[#This Row],[25Det]]*Inventory[[#This Row],[Det/Nbhd Adj]],-2)</f>
        <v>10300</v>
      </c>
      <c r="BP1553" s="25">
        <f>Inventory[[#This Row],[Adjusted Res]]+Inventory[[#This Row],[Adj Det ]]</f>
        <v>349900</v>
      </c>
      <c r="BQ1553" s="25">
        <f>ROUND((Inventory[[#This Row],[Mdl Land Intercept]]+Inventory[[#This Row],[Mdl LnAcres]])*Inventory[[#This Row],[Det/Nbhd Adj]],-2)</f>
        <v>28300</v>
      </c>
      <c r="BR1553" s="25">
        <f>Inventory[[#This Row],[Adjusted Impr Total]]+Inventory[[#This Row],[Adjusted Land Total]]</f>
        <v>378200</v>
      </c>
      <c r="BS1553" s="36">
        <f>IFERROR((Inventory[[#This Row],[Adjusted Impr Total]]-Inventory[[#This Row],[24Bldg]])/Inventory[[#This Row],[24Bldg]],0)</f>
        <v>0.15364325750082428</v>
      </c>
      <c r="BT1553" s="36">
        <f>(Inventory[[#This Row],[Adjusted Land Total]]-Inventory[[#This Row],[24Lnd]])/Inventory[[#This Row],[24Lnd]]</f>
        <v>-0.41528925619834711</v>
      </c>
      <c r="BU1553" s="36">
        <f>(Inventory[[#This Row],[Adjusted Total]]-Inventory[[#This Row],[24Final]])/Inventory[[#This Row],[24Final]]</f>
        <v>7.5348308217230597E-2</v>
      </c>
    </row>
    <row r="1554" spans="1:73" x14ac:dyDescent="0.3">
      <c r="A1554" s="25">
        <v>2025</v>
      </c>
      <c r="B1554" s="26" t="s">
        <v>1332</v>
      </c>
      <c r="C1554" s="26">
        <f>LN(Inventory[[#This Row],[Acres]])</f>
        <v>-1.3093333199837622</v>
      </c>
      <c r="D1554" s="25">
        <v>0.27</v>
      </c>
      <c r="E1554" s="25">
        <v>11819</v>
      </c>
      <c r="F1554" s="26" t="s">
        <v>537</v>
      </c>
      <c r="G1554" s="26" t="s">
        <v>126</v>
      </c>
      <c r="H1554" s="26" t="s">
        <v>349</v>
      </c>
      <c r="I1554" s="26" t="s">
        <v>538</v>
      </c>
      <c r="J1554" s="26" t="s">
        <v>539</v>
      </c>
      <c r="K1554" s="26" t="s">
        <v>173</v>
      </c>
      <c r="L1554" s="26" t="s">
        <v>302</v>
      </c>
      <c r="M1554" s="26" t="s">
        <v>303</v>
      </c>
      <c r="N1554" s="26">
        <v>90</v>
      </c>
      <c r="O1554" s="26">
        <f>2024-Inventory[[#This Row],[YrBlt]]</f>
        <v>89</v>
      </c>
      <c r="P1554" s="26">
        <f>2024-Inventory[[#This Row],[EffYr]]</f>
        <v>53</v>
      </c>
      <c r="Q1554" s="25">
        <v>1935</v>
      </c>
      <c r="R1554" s="25">
        <v>1971</v>
      </c>
      <c r="S1554" s="25">
        <v>780</v>
      </c>
      <c r="T1554" s="25">
        <v>595</v>
      </c>
      <c r="U1554" s="25">
        <v>780</v>
      </c>
      <c r="V1554" s="25">
        <f>Inventory[[#This Row],[Bsmt]]-Inventory[[#This Row],[FnBsmt]]</f>
        <v>252</v>
      </c>
      <c r="W1554" s="25">
        <v>528</v>
      </c>
      <c r="X1554" s="27"/>
      <c r="Y1554" s="27">
        <f>Inventory[[#This Row],[MainFn]]+Inventory[[#This Row],[UpprFn]]+Inventory[[#This Row],[FnBsmt]]+Inventory[[#This Row],[AddFn]]</f>
        <v>1903</v>
      </c>
      <c r="Z1554" s="27">
        <v>2000</v>
      </c>
      <c r="AA1554" s="25">
        <v>9</v>
      </c>
      <c r="AB1554" s="31"/>
      <c r="AC1554" s="27"/>
      <c r="AD1554" s="27"/>
      <c r="AE1554" s="27"/>
      <c r="AF1554" s="27"/>
      <c r="AG1554" s="27"/>
      <c r="AH1554" s="27"/>
      <c r="AI1554" s="25">
        <v>339430</v>
      </c>
      <c r="AJ1554" s="25">
        <v>234207</v>
      </c>
      <c r="AK1554" s="25">
        <v>10683</v>
      </c>
      <c r="AL1554" s="25">
        <v>366300</v>
      </c>
      <c r="AM1554" s="25">
        <v>68900</v>
      </c>
      <c r="AN1554" s="25">
        <v>297400</v>
      </c>
      <c r="AO1554" s="25">
        <v>0</v>
      </c>
      <c r="AP1554" s="25">
        <f>Lookups!$B$56*0</f>
        <v>0</v>
      </c>
      <c r="AQ1554" s="25">
        <f>Lookups!$B$56*1</f>
        <v>89850.625589999996</v>
      </c>
      <c r="AR1554" s="25">
        <f>Lookups!$B$57*Inventory[[#This Row],[LnAcres]]</f>
        <v>-41446.443120973789</v>
      </c>
      <c r="AS1554" s="25">
        <f>VLOOKUP(Inventory[[#This Row],[Qlty]],Lookups!$A$62:$E$75,2,FALSE)</f>
        <v>29814.093161000001</v>
      </c>
      <c r="AT1554" s="25">
        <f>VLOOKUP(Inventory[[#This Row],[Cnd]],Lookups!$A$76:$E$84,2,FALSE)</f>
        <v>197752.34721000001</v>
      </c>
      <c r="AU1554" s="25">
        <f>Inventory[[#This Row],[EffAge]]*Lookups!$B$85</f>
        <v>-11821.416826500001</v>
      </c>
      <c r="AV1554" s="25">
        <f>Inventory[[#This Row],[MainFn]]*Lookups!$B$86</f>
        <v>38538.762504060003</v>
      </c>
      <c r="AW1554" s="25">
        <f>Inventory[[#This Row],[UpprFn]]*Lookups!$B$87</f>
        <v>26647.921602294999</v>
      </c>
      <c r="AX1554" s="25">
        <f>Inventory[[#This Row],[AddFn]]*Lookups!$B$88</f>
        <v>0</v>
      </c>
      <c r="AY1554" s="25">
        <f>Inventory[[#This Row],[Bsmt]]*Lookups!$B$89</f>
        <v>22683.87829266</v>
      </c>
      <c r="AZ1554" s="25">
        <f>Inventory[[#This Row],[Fixtures]]*Lookups!$B$90</f>
        <v>34128.198946800003</v>
      </c>
      <c r="BA1554" s="25">
        <f>Inventory[[#This Row],[WdDeck]]*Lookups!$B$91</f>
        <v>0</v>
      </c>
      <c r="BB1554" s="25">
        <f>ROUND(Inventory[[#This Row],[25Det]],-2)</f>
        <v>10700</v>
      </c>
      <c r="BC1554" s="25">
        <f>ROUND(SUM(Inventory[[#This Row],[Mdl Qlty]:[Mdl WdDeck]])+Inventory[[#This Row],[Mdl Res Intercept]],-2)</f>
        <v>337700</v>
      </c>
      <c r="BD1554" s="25">
        <f>ROUND(Inventory[[#This Row],[Mdl Land Intercept]]+Inventory[[#This Row],[Mdl LnAcres]],-2)</f>
        <v>48400</v>
      </c>
      <c r="BE1554" s="25">
        <f>Inventory[[#This Row],[Unadj Res Value]]+Inventory[[#This Row],[Unadj Det Value]]+Inventory[[#This Row],[Unadj Land Value]]</f>
        <v>396800</v>
      </c>
      <c r="BF1554" s="36">
        <f>(Inventory[[#This Row],[Unadj Total Value]]-Inventory[[#This Row],[24Final]])/Inventory[[#This Row],[24Final]]</f>
        <v>8.3265083265083265E-2</v>
      </c>
      <c r="BG1554" s="25">
        <f>VLOOKUP(Inventory[[#This Row],[Nbhd]],Lookups!$Q$2:$T$4,4,FALSE)</f>
        <v>0.99970000000000003</v>
      </c>
      <c r="BH1554" s="25">
        <f>VLOOKUP(Inventory[[#This Row],[Qlty]],Lookups!$O$7:$R$21,4,FALSE)</f>
        <v>1.0088999999999999</v>
      </c>
      <c r="BI1554" s="25">
        <f>VLOOKUP(Inventory[[#This Row],[Cnd]],Lookups!$T$7:$W$16,4,FALSE)</f>
        <v>0.99650000000000005</v>
      </c>
      <c r="BJ1554" s="25">
        <f>VLOOKUP(Inventory[[#This Row],[LivArea Range]],Lookups!$T$25:$W$37,4,FALSE)</f>
        <v>1.0093000000000001</v>
      </c>
      <c r="BK1554" s="25">
        <f>VLOOKUP(Inventory[[#This Row],[Decade]],Lookups!$O$25:$R$42,4,FALSE)</f>
        <v>0.98909999999999998</v>
      </c>
      <c r="BL1554" s="25">
        <f>Inventory[[#This Row],[Nbhd Adj]]*0.95</f>
        <v>0.94971499999999998</v>
      </c>
      <c r="BM1554" s="25">
        <f>Inventory[[#This Row],[Nbhd Adj]]*Inventory[[#This Row],[Quality Adj]]*Inventory[[#This Row],[Condition Adj]]*Inventory[[#This Row],[Living Area Adj]]*Inventory[[#This Row],[Decade Adj]]*0.95</f>
        <v>0.95318938569119571</v>
      </c>
      <c r="BN1554" s="25">
        <f>ROUND(SUM(Inventory[[#This Row],[Mdl Qlty]:[Mdl WdDeck]])+Inventory[[#This Row],[Mdl Res Intercept]]*Inventory[[#This Row],[Res Adj ]],-2)</f>
        <v>337700</v>
      </c>
      <c r="BO1554" s="25">
        <f>ROUND(Inventory[[#This Row],[25Det]]*Inventory[[#This Row],[Det/Nbhd Adj]],-2)</f>
        <v>10100</v>
      </c>
      <c r="BP1554" s="25">
        <f>Inventory[[#This Row],[Adjusted Res]]+Inventory[[#This Row],[Adj Det ]]</f>
        <v>347800</v>
      </c>
      <c r="BQ1554" s="25">
        <f>ROUND((Inventory[[#This Row],[Mdl Land Intercept]]+Inventory[[#This Row],[Mdl LnAcres]])*Inventory[[#This Row],[Det/Nbhd Adj]],-2)</f>
        <v>46000</v>
      </c>
      <c r="BR1554" s="25">
        <f>Inventory[[#This Row],[Adjusted Impr Total]]+Inventory[[#This Row],[Adjusted Land Total]]</f>
        <v>393800</v>
      </c>
      <c r="BS1554" s="36">
        <f>IFERROR((Inventory[[#This Row],[Adjusted Impr Total]]-Inventory[[#This Row],[24Bldg]])/Inventory[[#This Row],[24Bldg]],0)</f>
        <v>0.16946872898453261</v>
      </c>
      <c r="BT1554" s="36">
        <f>(Inventory[[#This Row],[Adjusted Land Total]]-Inventory[[#This Row],[24Lnd]])/Inventory[[#This Row],[24Lnd]]</f>
        <v>-0.33236574746008707</v>
      </c>
      <c r="BU1554" s="36">
        <f>(Inventory[[#This Row],[Adjusted Total]]-Inventory[[#This Row],[24Final]])/Inventory[[#This Row],[24Final]]</f>
        <v>7.5075075075075076E-2</v>
      </c>
    </row>
    <row r="1555" spans="1:73" x14ac:dyDescent="0.3">
      <c r="A1555" s="25">
        <v>2025</v>
      </c>
      <c r="B1555" s="26" t="s">
        <v>1803</v>
      </c>
      <c r="C1555" s="26">
        <f>LN(Inventory[[#This Row],[Acres]])</f>
        <v>-1.4696759700589417</v>
      </c>
      <c r="D1555" s="25">
        <v>0.23</v>
      </c>
      <c r="E1555" s="25">
        <v>10163</v>
      </c>
      <c r="F1555" s="26" t="s">
        <v>537</v>
      </c>
      <c r="G1555" s="26" t="s">
        <v>126</v>
      </c>
      <c r="H1555" s="26" t="s">
        <v>349</v>
      </c>
      <c r="I1555" s="26" t="s">
        <v>538</v>
      </c>
      <c r="J1555" s="26" t="s">
        <v>638</v>
      </c>
      <c r="K1555" s="26" t="s">
        <v>173</v>
      </c>
      <c r="L1555" s="26" t="s">
        <v>148</v>
      </c>
      <c r="M1555" s="26" t="s">
        <v>303</v>
      </c>
      <c r="N1555" s="26">
        <v>90</v>
      </c>
      <c r="O1555" s="26">
        <f>2024-Inventory[[#This Row],[YrBlt]]</f>
        <v>89</v>
      </c>
      <c r="P1555" s="26">
        <f>2024-Inventory[[#This Row],[EffYr]]</f>
        <v>53</v>
      </c>
      <c r="Q1555" s="25">
        <v>1935</v>
      </c>
      <c r="R1555" s="25">
        <v>1971</v>
      </c>
      <c r="S1555" s="25">
        <v>1382</v>
      </c>
      <c r="T1555" s="25">
        <v>500</v>
      </c>
      <c r="U1555" s="25">
        <v>728</v>
      </c>
      <c r="V1555" s="25">
        <f>Inventory[[#This Row],[Bsmt]]-Inventory[[#This Row],[FnBsmt]]</f>
        <v>0</v>
      </c>
      <c r="W1555" s="25">
        <v>728</v>
      </c>
      <c r="X1555" s="27"/>
      <c r="Y1555" s="27">
        <f>Inventory[[#This Row],[MainFn]]+Inventory[[#This Row],[UpprFn]]+Inventory[[#This Row],[FnBsmt]]+Inventory[[#This Row],[AddFn]]</f>
        <v>2610</v>
      </c>
      <c r="Z1555" s="27">
        <v>3000</v>
      </c>
      <c r="AA1555" s="25">
        <v>10</v>
      </c>
      <c r="AB1555" s="27"/>
      <c r="AC1555" s="32">
        <v>396</v>
      </c>
      <c r="AD1555" s="32">
        <v>180</v>
      </c>
      <c r="AE1555" s="27"/>
      <c r="AF1555" s="27"/>
      <c r="AG1555" s="27"/>
      <c r="AH1555" s="27"/>
      <c r="AI1555" s="25">
        <v>463929</v>
      </c>
      <c r="AJ1555" s="25">
        <v>320111</v>
      </c>
      <c r="AK1555" s="25">
        <v>0</v>
      </c>
      <c r="AL1555" s="25">
        <v>397400</v>
      </c>
      <c r="AM1555" s="25">
        <v>63300</v>
      </c>
      <c r="AN1555" s="25">
        <v>334100</v>
      </c>
      <c r="AO1555" s="25">
        <v>0</v>
      </c>
      <c r="AP1555" s="25">
        <f>Lookups!$B$56*0</f>
        <v>0</v>
      </c>
      <c r="AQ1555" s="25">
        <f>Lookups!$B$56*1</f>
        <v>89850.625589999996</v>
      </c>
      <c r="AR1555" s="25">
        <f>Lookups!$B$57*Inventory[[#This Row],[LnAcres]]</f>
        <v>-46522.028095997222</v>
      </c>
      <c r="AS1555" s="25">
        <f>VLOOKUP(Inventory[[#This Row],[Qlty]],Lookups!$A$62:$E$75,2,FALSE)</f>
        <v>44121.038090000002</v>
      </c>
      <c r="AT1555" s="25">
        <f>VLOOKUP(Inventory[[#This Row],[Cnd]],Lookups!$A$76:$E$84,2,FALSE)</f>
        <v>197752.34721000001</v>
      </c>
      <c r="AU1555" s="25">
        <f>Inventory[[#This Row],[EffAge]]*Lookups!$B$85</f>
        <v>-11821.416826500001</v>
      </c>
      <c r="AV1555" s="25">
        <f>Inventory[[#This Row],[MainFn]]*Lookups!$B$86</f>
        <v>68282.781770014</v>
      </c>
      <c r="AW1555" s="25">
        <f>Inventory[[#This Row],[UpprFn]]*Lookups!$B$87</f>
        <v>22393.2114305</v>
      </c>
      <c r="AX1555" s="25">
        <f>Inventory[[#This Row],[AddFn]]*Lookups!$B$88</f>
        <v>0</v>
      </c>
      <c r="AY1555" s="25">
        <f>Inventory[[#This Row],[Bsmt]]*Lookups!$B$89</f>
        <v>21171.619739816</v>
      </c>
      <c r="AZ1555" s="25">
        <f>Inventory[[#This Row],[Fixtures]]*Lookups!$B$90</f>
        <v>37920.221052000001</v>
      </c>
      <c r="BA1555" s="25">
        <f>Inventory[[#This Row],[WdDeck]]*Lookups!$B$91</f>
        <v>5993.1927496800008</v>
      </c>
      <c r="BB1555" s="25">
        <f>ROUND(Inventory[[#This Row],[25Det]],-2)</f>
        <v>0</v>
      </c>
      <c r="BC1555" s="25">
        <f>ROUND(SUM(Inventory[[#This Row],[Mdl Qlty]:[Mdl WdDeck]])+Inventory[[#This Row],[Mdl Res Intercept]],-2)</f>
        <v>385800</v>
      </c>
      <c r="BD1555" s="25">
        <f>ROUND(Inventory[[#This Row],[Mdl Land Intercept]]+Inventory[[#This Row],[Mdl LnAcres]],-2)</f>
        <v>43300</v>
      </c>
      <c r="BE1555" s="25">
        <f>Inventory[[#This Row],[Unadj Res Value]]+Inventory[[#This Row],[Unadj Det Value]]+Inventory[[#This Row],[Unadj Land Value]]</f>
        <v>429100</v>
      </c>
      <c r="BF1555" s="36">
        <f>(Inventory[[#This Row],[Unadj Total Value]]-Inventory[[#This Row],[24Final]])/Inventory[[#This Row],[24Final]]</f>
        <v>7.9768495218923E-2</v>
      </c>
      <c r="BG1555" s="25">
        <f>VLOOKUP(Inventory[[#This Row],[Nbhd]],Lookups!$Q$2:$T$4,4,FALSE)</f>
        <v>0.99970000000000003</v>
      </c>
      <c r="BH1555" s="25">
        <f>VLOOKUP(Inventory[[#This Row],[Qlty]],Lookups!$O$7:$R$21,4,FALSE)</f>
        <v>0.98050000000000004</v>
      </c>
      <c r="BI1555" s="25">
        <f>VLOOKUP(Inventory[[#This Row],[Cnd]],Lookups!$T$7:$W$16,4,FALSE)</f>
        <v>0.99650000000000005</v>
      </c>
      <c r="BJ1555" s="25">
        <f>VLOOKUP(Inventory[[#This Row],[LivArea Range]],Lookups!$T$25:$W$37,4,FALSE)</f>
        <v>0.96179999999999999</v>
      </c>
      <c r="BK1555" s="25">
        <f>VLOOKUP(Inventory[[#This Row],[Decade]],Lookups!$O$25:$R$42,4,FALSE)</f>
        <v>0.98909999999999998</v>
      </c>
      <c r="BL1555" s="25">
        <f>Inventory[[#This Row],[Nbhd Adj]]*0.95</f>
        <v>0.94971499999999998</v>
      </c>
      <c r="BM1555" s="25">
        <f>Inventory[[#This Row],[Nbhd Adj]]*Inventory[[#This Row],[Quality Adj]]*Inventory[[#This Row],[Condition Adj]]*Inventory[[#This Row],[Living Area Adj]]*Inventory[[#This Row],[Decade Adj]]*0.95</f>
        <v>0.88276107127906644</v>
      </c>
      <c r="BN1555" s="25">
        <f>ROUND(SUM(Inventory[[#This Row],[Mdl Qlty]:[Mdl WdDeck]])+Inventory[[#This Row],[Mdl Res Intercept]]*Inventory[[#This Row],[Res Adj ]],-2)</f>
        <v>385800</v>
      </c>
      <c r="BO1555" s="25">
        <f>ROUND(Inventory[[#This Row],[25Det]]*Inventory[[#This Row],[Det/Nbhd Adj]],-2)</f>
        <v>0</v>
      </c>
      <c r="BP1555" s="25">
        <f>Inventory[[#This Row],[Adjusted Res]]+Inventory[[#This Row],[Adj Det ]]</f>
        <v>385800</v>
      </c>
      <c r="BQ1555" s="25">
        <f>ROUND((Inventory[[#This Row],[Mdl Land Intercept]]+Inventory[[#This Row],[Mdl LnAcres]])*Inventory[[#This Row],[Det/Nbhd Adj]],-2)</f>
        <v>41100</v>
      </c>
      <c r="BR1555" s="25">
        <f>Inventory[[#This Row],[Adjusted Impr Total]]+Inventory[[#This Row],[Adjusted Land Total]]</f>
        <v>426900</v>
      </c>
      <c r="BS1555" s="36">
        <f>IFERROR((Inventory[[#This Row],[Adjusted Impr Total]]-Inventory[[#This Row],[24Bldg]])/Inventory[[#This Row],[24Bldg]],0)</f>
        <v>0.15474408859622868</v>
      </c>
      <c r="BT1555" s="36">
        <f>(Inventory[[#This Row],[Adjusted Land Total]]-Inventory[[#This Row],[24Lnd]])/Inventory[[#This Row],[24Lnd]]</f>
        <v>-0.35071090047393366</v>
      </c>
      <c r="BU1555" s="36">
        <f>(Inventory[[#This Row],[Adjusted Total]]-Inventory[[#This Row],[24Final]])/Inventory[[#This Row],[24Final]]</f>
        <v>7.4232511323603423E-2</v>
      </c>
    </row>
    <row r="1556" spans="1:73" x14ac:dyDescent="0.3">
      <c r="A1556" s="25">
        <v>2025</v>
      </c>
      <c r="B1556" s="26" t="s">
        <v>2186</v>
      </c>
      <c r="C1556" s="26">
        <f>LN(Inventory[[#This Row],[Acres]])</f>
        <v>-1.8971199848858813</v>
      </c>
      <c r="D1556" s="25">
        <v>0.15</v>
      </c>
      <c r="E1556" s="25">
        <v>3342</v>
      </c>
      <c r="F1556" s="26" t="s">
        <v>537</v>
      </c>
      <c r="G1556" s="26" t="s">
        <v>126</v>
      </c>
      <c r="H1556" s="26" t="s">
        <v>349</v>
      </c>
      <c r="I1556" s="26" t="s">
        <v>538</v>
      </c>
      <c r="J1556" s="26" t="s">
        <v>539</v>
      </c>
      <c r="K1556" s="26" t="s">
        <v>242</v>
      </c>
      <c r="L1556" s="26" t="s">
        <v>351</v>
      </c>
      <c r="M1556" s="26" t="s">
        <v>303</v>
      </c>
      <c r="N1556" s="26">
        <v>90</v>
      </c>
      <c r="O1556" s="26">
        <f>2024-Inventory[[#This Row],[YrBlt]]</f>
        <v>89</v>
      </c>
      <c r="P1556" s="26">
        <f>2024-Inventory[[#This Row],[EffYr]]</f>
        <v>53</v>
      </c>
      <c r="Q1556" s="25">
        <v>1935</v>
      </c>
      <c r="R1556" s="25">
        <v>1971</v>
      </c>
      <c r="S1556" s="25">
        <v>1064</v>
      </c>
      <c r="T1556" s="31"/>
      <c r="U1556" s="25">
        <v>1064</v>
      </c>
      <c r="V1556" s="25">
        <f>Inventory[[#This Row],[Bsmt]]-Inventory[[#This Row],[FnBsmt]]</f>
        <v>266</v>
      </c>
      <c r="W1556" s="25">
        <v>798</v>
      </c>
      <c r="X1556" s="27"/>
      <c r="Y1556" s="27">
        <f>Inventory[[#This Row],[MainFn]]+Inventory[[#This Row],[UpprFn]]+Inventory[[#This Row],[FnBsmt]]+Inventory[[#This Row],[AddFn]]</f>
        <v>1862</v>
      </c>
      <c r="Z1556" s="27">
        <v>2000</v>
      </c>
      <c r="AA1556" s="25">
        <v>8</v>
      </c>
      <c r="AB1556" s="27"/>
      <c r="AC1556" s="31"/>
      <c r="AD1556" s="27"/>
      <c r="AE1556" s="27"/>
      <c r="AF1556" s="27"/>
      <c r="AG1556" s="27"/>
      <c r="AH1556" s="27"/>
      <c r="AI1556" s="25">
        <v>258355</v>
      </c>
      <c r="AJ1556" s="25">
        <v>178265</v>
      </c>
      <c r="AK1556" s="25">
        <v>5915</v>
      </c>
      <c r="AL1556" s="25">
        <v>330700</v>
      </c>
      <c r="AM1556" s="25">
        <v>48400</v>
      </c>
      <c r="AN1556" s="25">
        <v>282300</v>
      </c>
      <c r="AO1556" s="25">
        <v>0</v>
      </c>
      <c r="AP1556" s="25">
        <f>Lookups!$B$56*0</f>
        <v>0</v>
      </c>
      <c r="AQ1556" s="25">
        <f>Lookups!$B$56*1</f>
        <v>89850.625589999996</v>
      </c>
      <c r="AR1556" s="25">
        <f>Lookups!$B$57*Inventory[[#This Row],[LnAcres]]</f>
        <v>-60052.604136134301</v>
      </c>
      <c r="AS1556" s="25">
        <f>VLOOKUP(Inventory[[#This Row],[Qlty]],Lookups!$A$62:$E$75,2,FALSE)</f>
        <v>21557.329055999999</v>
      </c>
      <c r="AT1556" s="25">
        <f>VLOOKUP(Inventory[[#This Row],[Cnd]],Lookups!$A$76:$E$84,2,FALSE)</f>
        <v>197752.34721000001</v>
      </c>
      <c r="AU1556" s="25">
        <f>Inventory[[#This Row],[EffAge]]*Lookups!$B$85</f>
        <v>-11821.416826500001</v>
      </c>
      <c r="AV1556" s="25">
        <f>Inventory[[#This Row],[MainFn]]*Lookups!$B$86</f>
        <v>52570.824749127998</v>
      </c>
      <c r="AW1556" s="25">
        <f>Inventory[[#This Row],[UpprFn]]*Lookups!$B$87</f>
        <v>0</v>
      </c>
      <c r="AX1556" s="25">
        <f>Inventory[[#This Row],[AddFn]]*Lookups!$B$88</f>
        <v>0</v>
      </c>
      <c r="AY1556" s="25">
        <f>Inventory[[#This Row],[Bsmt]]*Lookups!$B$89</f>
        <v>30943.136542807999</v>
      </c>
      <c r="AZ1556" s="25">
        <f>Inventory[[#This Row],[Fixtures]]*Lookups!$B$90</f>
        <v>30336.176841600001</v>
      </c>
      <c r="BA1556" s="25">
        <f>Inventory[[#This Row],[WdDeck]]*Lookups!$B$91</f>
        <v>0</v>
      </c>
      <c r="BB1556" s="25">
        <f>ROUND(Inventory[[#This Row],[25Det]],-2)</f>
        <v>5900</v>
      </c>
      <c r="BC1556" s="25">
        <f>ROUND(SUM(Inventory[[#This Row],[Mdl Qlty]:[Mdl WdDeck]])+Inventory[[#This Row],[Mdl Res Intercept]],-2)</f>
        <v>321300</v>
      </c>
      <c r="BD1556" s="25">
        <f>ROUND(Inventory[[#This Row],[Mdl Land Intercept]]+Inventory[[#This Row],[Mdl LnAcres]],-2)</f>
        <v>29800</v>
      </c>
      <c r="BE1556" s="25">
        <f>Inventory[[#This Row],[Unadj Res Value]]+Inventory[[#This Row],[Unadj Det Value]]+Inventory[[#This Row],[Unadj Land Value]]</f>
        <v>357000</v>
      </c>
      <c r="BF1556" s="36">
        <f>(Inventory[[#This Row],[Unadj Total Value]]-Inventory[[#This Row],[24Final]])/Inventory[[#This Row],[24Final]]</f>
        <v>7.9528273359540366E-2</v>
      </c>
      <c r="BG1556" s="25">
        <f>VLOOKUP(Inventory[[#This Row],[Nbhd]],Lookups!$Q$2:$T$4,4,FALSE)</f>
        <v>0.99970000000000003</v>
      </c>
      <c r="BH1556" s="25">
        <f>VLOOKUP(Inventory[[#This Row],[Qlty]],Lookups!$O$7:$R$21,4,FALSE)</f>
        <v>1.0067999999999999</v>
      </c>
      <c r="BI1556" s="25">
        <f>VLOOKUP(Inventory[[#This Row],[Cnd]],Lookups!$T$7:$W$16,4,FALSE)</f>
        <v>0.99650000000000005</v>
      </c>
      <c r="BJ1556" s="25">
        <f>VLOOKUP(Inventory[[#This Row],[LivArea Range]],Lookups!$T$25:$W$37,4,FALSE)</f>
        <v>1.0093000000000001</v>
      </c>
      <c r="BK1556" s="25">
        <f>VLOOKUP(Inventory[[#This Row],[Decade]],Lookups!$O$25:$R$42,4,FALSE)</f>
        <v>0.98909999999999998</v>
      </c>
      <c r="BL1556" s="25">
        <f>Inventory[[#This Row],[Nbhd Adj]]*0.95</f>
        <v>0.94971499999999998</v>
      </c>
      <c r="BM1556" s="25">
        <f>Inventory[[#This Row],[Nbhd Adj]]*Inventory[[#This Row],[Quality Adj]]*Inventory[[#This Row],[Condition Adj]]*Inventory[[#This Row],[Living Area Adj]]*Inventory[[#This Row],[Decade Adj]]*0.95</f>
        <v>0.95120534593507355</v>
      </c>
      <c r="BN1556" s="25">
        <f>ROUND(SUM(Inventory[[#This Row],[Mdl Qlty]:[Mdl WdDeck]])+Inventory[[#This Row],[Mdl Res Intercept]]*Inventory[[#This Row],[Res Adj ]],-2)</f>
        <v>321300</v>
      </c>
      <c r="BO1556" s="25">
        <f>ROUND(Inventory[[#This Row],[25Det]]*Inventory[[#This Row],[Det/Nbhd Adj]],-2)</f>
        <v>5600</v>
      </c>
      <c r="BP1556" s="25">
        <f>Inventory[[#This Row],[Adjusted Res]]+Inventory[[#This Row],[Adj Det ]]</f>
        <v>326900</v>
      </c>
      <c r="BQ1556" s="25">
        <f>ROUND((Inventory[[#This Row],[Mdl Land Intercept]]+Inventory[[#This Row],[Mdl LnAcres]])*Inventory[[#This Row],[Det/Nbhd Adj]],-2)</f>
        <v>28300</v>
      </c>
      <c r="BR1556" s="25">
        <f>Inventory[[#This Row],[Adjusted Impr Total]]+Inventory[[#This Row],[Adjusted Land Total]]</f>
        <v>355200</v>
      </c>
      <c r="BS1556" s="36">
        <f>IFERROR((Inventory[[#This Row],[Adjusted Impr Total]]-Inventory[[#This Row],[24Bldg]])/Inventory[[#This Row],[24Bldg]],0)</f>
        <v>0.15798795607509741</v>
      </c>
      <c r="BT1556" s="36">
        <f>(Inventory[[#This Row],[Adjusted Land Total]]-Inventory[[#This Row],[24Lnd]])/Inventory[[#This Row],[24Lnd]]</f>
        <v>-0.41528925619834711</v>
      </c>
      <c r="BU1556" s="36">
        <f>(Inventory[[#This Row],[Adjusted Total]]-Inventory[[#This Row],[24Final]])/Inventory[[#This Row],[24Final]]</f>
        <v>7.4085273661929241E-2</v>
      </c>
    </row>
    <row r="1557" spans="1:73" x14ac:dyDescent="0.3">
      <c r="A1557" s="25">
        <v>2025</v>
      </c>
      <c r="B1557" s="26" t="s">
        <v>1888</v>
      </c>
      <c r="C1557" s="26">
        <f>LN(Inventory[[#This Row],[Acres]])</f>
        <v>-1.8325814637483102</v>
      </c>
      <c r="D1557" s="25">
        <v>0.16</v>
      </c>
      <c r="E1557" s="31"/>
      <c r="F1557" s="26" t="s">
        <v>537</v>
      </c>
      <c r="G1557" s="26" t="s">
        <v>126</v>
      </c>
      <c r="H1557" s="26" t="s">
        <v>349</v>
      </c>
      <c r="I1557" s="26" t="s">
        <v>538</v>
      </c>
      <c r="J1557" s="26" t="s">
        <v>539</v>
      </c>
      <c r="K1557" s="26" t="s">
        <v>173</v>
      </c>
      <c r="L1557" s="26" t="s">
        <v>351</v>
      </c>
      <c r="M1557" s="26" t="s">
        <v>323</v>
      </c>
      <c r="N1557" s="26">
        <v>90</v>
      </c>
      <c r="O1557" s="26">
        <f>2024-Inventory[[#This Row],[YrBlt]]</f>
        <v>89</v>
      </c>
      <c r="P1557" s="26">
        <f>2024-Inventory[[#This Row],[EffYr]]</f>
        <v>53</v>
      </c>
      <c r="Q1557" s="25">
        <v>1935</v>
      </c>
      <c r="R1557" s="25">
        <v>1971</v>
      </c>
      <c r="S1557" s="25">
        <v>1086</v>
      </c>
      <c r="T1557" s="32">
        <v>396</v>
      </c>
      <c r="U1557" s="25">
        <v>736</v>
      </c>
      <c r="V1557" s="25">
        <f>Inventory[[#This Row],[Bsmt]]-Inventory[[#This Row],[FnBsmt]]</f>
        <v>736</v>
      </c>
      <c r="W1557" s="31"/>
      <c r="X1557" s="27"/>
      <c r="Y1557" s="27">
        <f>Inventory[[#This Row],[MainFn]]+Inventory[[#This Row],[UpprFn]]+Inventory[[#This Row],[FnBsmt]]+Inventory[[#This Row],[AddFn]]</f>
        <v>1482</v>
      </c>
      <c r="Z1557" s="27">
        <v>1500</v>
      </c>
      <c r="AA1557" s="25">
        <v>7</v>
      </c>
      <c r="AB1557" s="27"/>
      <c r="AC1557" s="32">
        <v>190</v>
      </c>
      <c r="AD1557" s="27"/>
      <c r="AE1557" s="27"/>
      <c r="AF1557" s="27"/>
      <c r="AG1557" s="27"/>
      <c r="AH1557" s="27"/>
      <c r="AI1557" s="25">
        <v>262753</v>
      </c>
      <c r="AJ1557" s="25">
        <v>176045</v>
      </c>
      <c r="AK1557" s="25">
        <v>0</v>
      </c>
      <c r="AL1557" s="25">
        <v>297900</v>
      </c>
      <c r="AM1557" s="25">
        <v>50600</v>
      </c>
      <c r="AN1557" s="25">
        <v>247300</v>
      </c>
      <c r="AO1557" s="25">
        <v>0</v>
      </c>
      <c r="AP1557" s="25">
        <f>Lookups!$B$56*0</f>
        <v>0</v>
      </c>
      <c r="AQ1557" s="25">
        <f>Lookups!$B$56*1</f>
        <v>89850.625589999996</v>
      </c>
      <c r="AR1557" s="25">
        <f>Lookups!$B$57*Inventory[[#This Row],[LnAcres]]</f>
        <v>-58009.662049032086</v>
      </c>
      <c r="AS1557" s="25">
        <f>VLOOKUP(Inventory[[#This Row],[Qlty]],Lookups!$A$62:$E$75,2,FALSE)</f>
        <v>21557.329055999999</v>
      </c>
      <c r="AT1557" s="25">
        <f>VLOOKUP(Inventory[[#This Row],[Cnd]],Lookups!$A$76:$E$84,2,FALSE)</f>
        <v>160472.20319</v>
      </c>
      <c r="AU1557" s="25">
        <f>Inventory[[#This Row],[EffAge]]*Lookups!$B$85</f>
        <v>-11821.416826500001</v>
      </c>
      <c r="AV1557" s="25">
        <f>Inventory[[#This Row],[MainFn]]*Lookups!$B$86</f>
        <v>53657.815486421998</v>
      </c>
      <c r="AW1557" s="25">
        <f>Inventory[[#This Row],[UpprFn]]*Lookups!$B$87</f>
        <v>17735.423452955998</v>
      </c>
      <c r="AX1557" s="25">
        <f>Inventory[[#This Row],[AddFn]]*Lookups!$B$88</f>
        <v>0</v>
      </c>
      <c r="AY1557" s="25">
        <f>Inventory[[#This Row],[Bsmt]]*Lookups!$B$89</f>
        <v>21404.274901792</v>
      </c>
      <c r="AZ1557" s="25">
        <f>Inventory[[#This Row],[Fixtures]]*Lookups!$B$90</f>
        <v>26544.1547364</v>
      </c>
      <c r="BA1557" s="25">
        <f>Inventory[[#This Row],[WdDeck]]*Lookups!$B$91</f>
        <v>0</v>
      </c>
      <c r="BB1557" s="25">
        <f>ROUND(Inventory[[#This Row],[25Det]],-2)</f>
        <v>0</v>
      </c>
      <c r="BC1557" s="25">
        <f>ROUND(SUM(Inventory[[#This Row],[Mdl Qlty]:[Mdl WdDeck]])+Inventory[[#This Row],[Mdl Res Intercept]],-2)</f>
        <v>289500</v>
      </c>
      <c r="BD1557" s="25">
        <f>ROUND(Inventory[[#This Row],[Mdl Land Intercept]]+Inventory[[#This Row],[Mdl LnAcres]],-2)</f>
        <v>31800</v>
      </c>
      <c r="BE1557" s="25">
        <f>Inventory[[#This Row],[Unadj Res Value]]+Inventory[[#This Row],[Unadj Det Value]]+Inventory[[#This Row],[Unadj Land Value]]</f>
        <v>321300</v>
      </c>
      <c r="BF1557" s="36">
        <f>(Inventory[[#This Row],[Unadj Total Value]]-Inventory[[#This Row],[24Final]])/Inventory[[#This Row],[24Final]]</f>
        <v>7.8549848942598186E-2</v>
      </c>
      <c r="BG1557" s="25">
        <f>VLOOKUP(Inventory[[#This Row],[Nbhd]],Lookups!$Q$2:$T$4,4,FALSE)</f>
        <v>0.99970000000000003</v>
      </c>
      <c r="BH1557" s="25">
        <f>VLOOKUP(Inventory[[#This Row],[Qlty]],Lookups!$O$7:$R$21,4,FALSE)</f>
        <v>1.0067999999999999</v>
      </c>
      <c r="BI1557" s="25">
        <f>VLOOKUP(Inventory[[#This Row],[Cnd]],Lookups!$T$7:$W$16,4,FALSE)</f>
        <v>0.99729999999999996</v>
      </c>
      <c r="BJ1557" s="25">
        <f>VLOOKUP(Inventory[[#This Row],[LivArea Range]],Lookups!$T$25:$W$37,4,FALSE)</f>
        <v>1.0157</v>
      </c>
      <c r="BK1557" s="25">
        <f>VLOOKUP(Inventory[[#This Row],[Decade]],Lookups!$O$25:$R$42,4,FALSE)</f>
        <v>0.98909999999999998</v>
      </c>
      <c r="BL1557" s="25">
        <f>Inventory[[#This Row],[Nbhd Adj]]*0.95</f>
        <v>0.94971499999999998</v>
      </c>
      <c r="BM1557" s="25">
        <f>Inventory[[#This Row],[Nbhd Adj]]*Inventory[[#This Row],[Quality Adj]]*Inventory[[#This Row],[Condition Adj]]*Inventory[[#This Row],[Living Area Adj]]*Inventory[[#This Row],[Decade Adj]]*0.95</f>
        <v>0.95800544533193577</v>
      </c>
      <c r="BN1557" s="25">
        <f>ROUND(SUM(Inventory[[#This Row],[Mdl Qlty]:[Mdl WdDeck]])+Inventory[[#This Row],[Mdl Res Intercept]]*Inventory[[#This Row],[Res Adj ]],-2)</f>
        <v>289500</v>
      </c>
      <c r="BO1557" s="25">
        <f>ROUND(Inventory[[#This Row],[25Det]]*Inventory[[#This Row],[Det/Nbhd Adj]],-2)</f>
        <v>0</v>
      </c>
      <c r="BP1557" s="25">
        <f>Inventory[[#This Row],[Adjusted Res]]+Inventory[[#This Row],[Adj Det ]]</f>
        <v>289500</v>
      </c>
      <c r="BQ1557" s="25">
        <f>ROUND((Inventory[[#This Row],[Mdl Land Intercept]]+Inventory[[#This Row],[Mdl LnAcres]])*Inventory[[#This Row],[Det/Nbhd Adj]],-2)</f>
        <v>30200</v>
      </c>
      <c r="BR1557" s="25">
        <f>Inventory[[#This Row],[Adjusted Impr Total]]+Inventory[[#This Row],[Adjusted Land Total]]</f>
        <v>319700</v>
      </c>
      <c r="BS1557" s="36">
        <f>IFERROR((Inventory[[#This Row],[Adjusted Impr Total]]-Inventory[[#This Row],[24Bldg]])/Inventory[[#This Row],[24Bldg]],0)</f>
        <v>0.17064294379296402</v>
      </c>
      <c r="BT1557" s="36">
        <f>(Inventory[[#This Row],[Adjusted Land Total]]-Inventory[[#This Row],[24Lnd]])/Inventory[[#This Row],[24Lnd]]</f>
        <v>-0.40316205533596838</v>
      </c>
      <c r="BU1557" s="36">
        <f>(Inventory[[#This Row],[Adjusted Total]]-Inventory[[#This Row],[24Final]])/Inventory[[#This Row],[24Final]]</f>
        <v>7.317891910036925E-2</v>
      </c>
    </row>
    <row r="1558" spans="1:73" x14ac:dyDescent="0.3">
      <c r="A1558" s="25">
        <v>2025</v>
      </c>
      <c r="B1558" s="26" t="s">
        <v>2854</v>
      </c>
      <c r="C1558" s="26">
        <f>LN(Inventory[[#This Row],[Acres]])</f>
        <v>-1.0498221244986778</v>
      </c>
      <c r="D1558" s="25">
        <v>0.35</v>
      </c>
      <c r="E1558" s="25">
        <v>15197</v>
      </c>
      <c r="F1558" s="26" t="s">
        <v>537</v>
      </c>
      <c r="G1558" s="26" t="s">
        <v>126</v>
      </c>
      <c r="H1558" s="26" t="s">
        <v>349</v>
      </c>
      <c r="I1558" s="26" t="s">
        <v>538</v>
      </c>
      <c r="J1558" s="26" t="s">
        <v>539</v>
      </c>
      <c r="K1558" s="26" t="s">
        <v>147</v>
      </c>
      <c r="L1558" s="26" t="s">
        <v>148</v>
      </c>
      <c r="M1558" s="26" t="s">
        <v>303</v>
      </c>
      <c r="N1558" s="26">
        <v>90</v>
      </c>
      <c r="O1558" s="26">
        <f>2024-Inventory[[#This Row],[YrBlt]]</f>
        <v>89</v>
      </c>
      <c r="P1558" s="26">
        <f>2024-Inventory[[#This Row],[EffYr]]</f>
        <v>53</v>
      </c>
      <c r="Q1558" s="25">
        <v>1935</v>
      </c>
      <c r="R1558" s="25">
        <v>1971</v>
      </c>
      <c r="S1558" s="25">
        <v>1756</v>
      </c>
      <c r="T1558" s="25">
        <v>1024</v>
      </c>
      <c r="U1558" s="25">
        <v>935</v>
      </c>
      <c r="V1558" s="25">
        <f>Inventory[[#This Row],[Bsmt]]-Inventory[[#This Row],[FnBsmt]]</f>
        <v>657</v>
      </c>
      <c r="W1558" s="25">
        <v>278</v>
      </c>
      <c r="X1558" s="27"/>
      <c r="Y1558" s="27">
        <f>Inventory[[#This Row],[MainFn]]+Inventory[[#This Row],[UpprFn]]+Inventory[[#This Row],[FnBsmt]]+Inventory[[#This Row],[AddFn]]</f>
        <v>3058</v>
      </c>
      <c r="Z1558" s="27">
        <v>3500</v>
      </c>
      <c r="AA1558" s="25">
        <v>14</v>
      </c>
      <c r="AB1558" s="25">
        <v>483</v>
      </c>
      <c r="AC1558" s="27"/>
      <c r="AD1558" s="32">
        <v>177</v>
      </c>
      <c r="AE1558" s="27"/>
      <c r="AF1558" s="27"/>
      <c r="AG1558" s="27"/>
      <c r="AH1558" s="27"/>
      <c r="AI1558" s="25">
        <v>638533</v>
      </c>
      <c r="AJ1558" s="25">
        <v>440588</v>
      </c>
      <c r="AK1558" s="25">
        <v>0</v>
      </c>
      <c r="AL1558" s="25">
        <v>469100</v>
      </c>
      <c r="AM1558" s="25">
        <v>77900</v>
      </c>
      <c r="AN1558" s="25">
        <v>391200</v>
      </c>
      <c r="AO1558" s="25">
        <v>0</v>
      </c>
      <c r="AP1558" s="25">
        <f>Lookups!$B$56*0</f>
        <v>0</v>
      </c>
      <c r="AQ1558" s="25">
        <f>Lookups!$B$56*1</f>
        <v>89850.625589999996</v>
      </c>
      <c r="AR1558" s="25">
        <f>Lookups!$B$57*Inventory[[#This Row],[LnAcres]]</f>
        <v>-33231.715947405908</v>
      </c>
      <c r="AS1558" s="25">
        <f>VLOOKUP(Inventory[[#This Row],[Qlty]],Lookups!$A$62:$E$75,2,FALSE)</f>
        <v>44121.038090000002</v>
      </c>
      <c r="AT1558" s="25">
        <f>VLOOKUP(Inventory[[#This Row],[Cnd]],Lookups!$A$76:$E$84,2,FALSE)</f>
        <v>197752.34721000001</v>
      </c>
      <c r="AU1558" s="25">
        <f>Inventory[[#This Row],[EffAge]]*Lookups!$B$85</f>
        <v>-11821.416826500001</v>
      </c>
      <c r="AV1558" s="25">
        <f>Inventory[[#This Row],[MainFn]]*Lookups!$B$86</f>
        <v>86761.624304012003</v>
      </c>
      <c r="AW1558" s="25">
        <f>Inventory[[#This Row],[UpprFn]]*Lookups!$B$87</f>
        <v>45861.297009663998</v>
      </c>
      <c r="AX1558" s="25">
        <f>Inventory[[#This Row],[AddFn]]*Lookups!$B$88</f>
        <v>0</v>
      </c>
      <c r="AY1558" s="25">
        <f>Inventory[[#This Row],[Bsmt]]*Lookups!$B$89</f>
        <v>27191.572055944998</v>
      </c>
      <c r="AZ1558" s="25">
        <f>Inventory[[#This Row],[Fixtures]]*Lookups!$B$90</f>
        <v>53088.3094728</v>
      </c>
      <c r="BA1558" s="25">
        <f>Inventory[[#This Row],[WdDeck]]*Lookups!$B$91</f>
        <v>5893.3062038520002</v>
      </c>
      <c r="BB1558" s="25">
        <f>ROUND(Inventory[[#This Row],[25Det]],-2)</f>
        <v>0</v>
      </c>
      <c r="BC1558" s="25">
        <f>ROUND(SUM(Inventory[[#This Row],[Mdl Qlty]:[Mdl WdDeck]])+Inventory[[#This Row],[Mdl Res Intercept]],-2)</f>
        <v>448800</v>
      </c>
      <c r="BD1558" s="25">
        <f>ROUND(Inventory[[#This Row],[Mdl Land Intercept]]+Inventory[[#This Row],[Mdl LnAcres]],-2)</f>
        <v>56600</v>
      </c>
      <c r="BE1558" s="25">
        <f>Inventory[[#This Row],[Unadj Res Value]]+Inventory[[#This Row],[Unadj Det Value]]+Inventory[[#This Row],[Unadj Land Value]]</f>
        <v>505400</v>
      </c>
      <c r="BF1558" s="36">
        <f>(Inventory[[#This Row],[Unadj Total Value]]-Inventory[[#This Row],[24Final]])/Inventory[[#This Row],[24Final]]</f>
        <v>7.738222127478149E-2</v>
      </c>
      <c r="BG1558" s="25">
        <f>VLOOKUP(Inventory[[#This Row],[Nbhd]],Lookups!$Q$2:$T$4,4,FALSE)</f>
        <v>0.99970000000000003</v>
      </c>
      <c r="BH1558" s="25">
        <f>VLOOKUP(Inventory[[#This Row],[Qlty]],Lookups!$O$7:$R$21,4,FALSE)</f>
        <v>0.98050000000000004</v>
      </c>
      <c r="BI1558" s="25">
        <f>VLOOKUP(Inventory[[#This Row],[Cnd]],Lookups!$T$7:$W$16,4,FALSE)</f>
        <v>0.99650000000000005</v>
      </c>
      <c r="BJ1558" s="25">
        <f>VLOOKUP(Inventory[[#This Row],[LivArea Range]],Lookups!$T$25:$W$37,4,FALSE)</f>
        <v>1.0126999999999999</v>
      </c>
      <c r="BK1558" s="25">
        <f>VLOOKUP(Inventory[[#This Row],[Decade]],Lookups!$O$25:$R$42,4,FALSE)</f>
        <v>0.98909999999999998</v>
      </c>
      <c r="BL1558" s="25">
        <f>Inventory[[#This Row],[Nbhd Adj]]*0.95</f>
        <v>0.94971499999999998</v>
      </c>
      <c r="BM1558" s="25">
        <f>Inventory[[#This Row],[Nbhd Adj]]*Inventory[[#This Row],[Quality Adj]]*Inventory[[#This Row],[Condition Adj]]*Inventory[[#This Row],[Living Area Adj]]*Inventory[[#This Row],[Decade Adj]]*0.95</f>
        <v>0.92947820428811667</v>
      </c>
      <c r="BN1558" s="25">
        <f>ROUND(SUM(Inventory[[#This Row],[Mdl Qlty]:[Mdl WdDeck]])+Inventory[[#This Row],[Mdl Res Intercept]]*Inventory[[#This Row],[Res Adj ]],-2)</f>
        <v>448800</v>
      </c>
      <c r="BO1558" s="25">
        <f>ROUND(Inventory[[#This Row],[25Det]]*Inventory[[#This Row],[Det/Nbhd Adj]],-2)</f>
        <v>0</v>
      </c>
      <c r="BP1558" s="25">
        <f>Inventory[[#This Row],[Adjusted Res]]+Inventory[[#This Row],[Adj Det ]]</f>
        <v>448800</v>
      </c>
      <c r="BQ1558" s="25">
        <f>ROUND((Inventory[[#This Row],[Mdl Land Intercept]]+Inventory[[#This Row],[Mdl LnAcres]])*Inventory[[#This Row],[Det/Nbhd Adj]],-2)</f>
        <v>53800</v>
      </c>
      <c r="BR1558" s="25">
        <f>Inventory[[#This Row],[Adjusted Impr Total]]+Inventory[[#This Row],[Adjusted Land Total]]</f>
        <v>502600</v>
      </c>
      <c r="BS1558" s="36">
        <f>IFERROR((Inventory[[#This Row],[Adjusted Impr Total]]-Inventory[[#This Row],[24Bldg]])/Inventory[[#This Row],[24Bldg]],0)</f>
        <v>0.14723926380368099</v>
      </c>
      <c r="BT1558" s="36">
        <f>(Inventory[[#This Row],[Adjusted Land Total]]-Inventory[[#This Row],[24Lnd]])/Inventory[[#This Row],[24Lnd]]</f>
        <v>-0.30937098844672656</v>
      </c>
      <c r="BU1558" s="36">
        <f>(Inventory[[#This Row],[Adjusted Total]]-Inventory[[#This Row],[24Final]])/Inventory[[#This Row],[24Final]]</f>
        <v>7.1413344702622047E-2</v>
      </c>
    </row>
    <row r="1559" spans="1:73" x14ac:dyDescent="0.3">
      <c r="A1559" s="25">
        <v>2025</v>
      </c>
      <c r="B1559" s="26" t="s">
        <v>1446</v>
      </c>
      <c r="C1559" s="26">
        <f>LN(Inventory[[#This Row],[Acres]])</f>
        <v>-1.8325814637483102</v>
      </c>
      <c r="D1559" s="25">
        <v>0.16</v>
      </c>
      <c r="E1559" s="25">
        <v>7166</v>
      </c>
      <c r="F1559" s="26" t="s">
        <v>537</v>
      </c>
      <c r="G1559" s="26" t="s">
        <v>126</v>
      </c>
      <c r="H1559" s="26" t="s">
        <v>349</v>
      </c>
      <c r="I1559" s="26" t="s">
        <v>538</v>
      </c>
      <c r="J1559" s="26" t="s">
        <v>539</v>
      </c>
      <c r="K1559" s="26" t="s">
        <v>242</v>
      </c>
      <c r="L1559" s="26" t="s">
        <v>351</v>
      </c>
      <c r="M1559" s="26" t="s">
        <v>323</v>
      </c>
      <c r="N1559" s="26">
        <v>90</v>
      </c>
      <c r="O1559" s="26">
        <f>2024-Inventory[[#This Row],[YrBlt]]</f>
        <v>89</v>
      </c>
      <c r="P1559" s="26">
        <f>2024-Inventory[[#This Row],[EffYr]]</f>
        <v>53</v>
      </c>
      <c r="Q1559" s="25">
        <v>1935</v>
      </c>
      <c r="R1559" s="25">
        <v>1971</v>
      </c>
      <c r="S1559" s="25">
        <v>1046</v>
      </c>
      <c r="T1559" s="31"/>
      <c r="U1559" s="25">
        <v>1046</v>
      </c>
      <c r="V1559" s="25">
        <f>Inventory[[#This Row],[Bsmt]]-Inventory[[#This Row],[FnBsmt]]</f>
        <v>902</v>
      </c>
      <c r="W1559" s="25">
        <v>144</v>
      </c>
      <c r="X1559" s="27"/>
      <c r="Y1559" s="27">
        <f>Inventory[[#This Row],[MainFn]]+Inventory[[#This Row],[UpprFn]]+Inventory[[#This Row],[FnBsmt]]+Inventory[[#This Row],[AddFn]]</f>
        <v>1190</v>
      </c>
      <c r="Z1559" s="27">
        <v>1500</v>
      </c>
      <c r="AA1559" s="25">
        <v>5</v>
      </c>
      <c r="AB1559" s="31"/>
      <c r="AC1559" s="27"/>
      <c r="AD1559" s="27"/>
      <c r="AE1559" s="27"/>
      <c r="AF1559" s="27"/>
      <c r="AG1559" s="27"/>
      <c r="AH1559" s="27"/>
      <c r="AI1559" s="25">
        <v>243324</v>
      </c>
      <c r="AJ1559" s="25">
        <v>163027</v>
      </c>
      <c r="AK1559" s="25">
        <v>8537</v>
      </c>
      <c r="AL1559" s="25">
        <v>289000</v>
      </c>
      <c r="AM1559" s="25">
        <v>50600</v>
      </c>
      <c r="AN1559" s="25">
        <v>238400</v>
      </c>
      <c r="AO1559" s="25">
        <v>0</v>
      </c>
      <c r="AP1559" s="25">
        <f>Lookups!$B$56*0</f>
        <v>0</v>
      </c>
      <c r="AQ1559" s="25">
        <f>Lookups!$B$56*1</f>
        <v>89850.625589999996</v>
      </c>
      <c r="AR1559" s="25">
        <f>Lookups!$B$57*Inventory[[#This Row],[LnAcres]]</f>
        <v>-58009.662049032086</v>
      </c>
      <c r="AS1559" s="25">
        <f>VLOOKUP(Inventory[[#This Row],[Qlty]],Lookups!$A$62:$E$75,2,FALSE)</f>
        <v>21557.329055999999</v>
      </c>
      <c r="AT1559" s="25">
        <f>VLOOKUP(Inventory[[#This Row],[Cnd]],Lookups!$A$76:$E$84,2,FALSE)</f>
        <v>160472.20319</v>
      </c>
      <c r="AU1559" s="25">
        <f>Inventory[[#This Row],[EffAge]]*Lookups!$B$85</f>
        <v>-11821.416826500001</v>
      </c>
      <c r="AV1559" s="25">
        <f>Inventory[[#This Row],[MainFn]]*Lookups!$B$86</f>
        <v>51681.468691342001</v>
      </c>
      <c r="AW1559" s="25">
        <f>Inventory[[#This Row],[UpprFn]]*Lookups!$B$87</f>
        <v>0</v>
      </c>
      <c r="AX1559" s="25">
        <f>Inventory[[#This Row],[AddFn]]*Lookups!$B$88</f>
        <v>0</v>
      </c>
      <c r="AY1559" s="25">
        <f>Inventory[[#This Row],[Bsmt]]*Lookups!$B$89</f>
        <v>30419.662428361997</v>
      </c>
      <c r="AZ1559" s="25">
        <f>Inventory[[#This Row],[Fixtures]]*Lookups!$B$90</f>
        <v>18960.110526</v>
      </c>
      <c r="BA1559" s="25">
        <f>Inventory[[#This Row],[WdDeck]]*Lookups!$B$91</f>
        <v>0</v>
      </c>
      <c r="BB1559" s="25">
        <f>ROUND(Inventory[[#This Row],[25Det]],-2)</f>
        <v>8500</v>
      </c>
      <c r="BC1559" s="25">
        <f>ROUND(SUM(Inventory[[#This Row],[Mdl Qlty]:[Mdl WdDeck]])+Inventory[[#This Row],[Mdl Res Intercept]],-2)</f>
        <v>271300</v>
      </c>
      <c r="BD1559" s="25">
        <f>ROUND(Inventory[[#This Row],[Mdl Land Intercept]]+Inventory[[#This Row],[Mdl LnAcres]],-2)</f>
        <v>31800</v>
      </c>
      <c r="BE1559" s="25">
        <f>Inventory[[#This Row],[Unadj Res Value]]+Inventory[[#This Row],[Unadj Det Value]]+Inventory[[#This Row],[Unadj Land Value]]</f>
        <v>311600</v>
      </c>
      <c r="BF1559" s="36">
        <f>(Inventory[[#This Row],[Unadj Total Value]]-Inventory[[#This Row],[24Final]])/Inventory[[#This Row],[24Final]]</f>
        <v>7.8200692041522496E-2</v>
      </c>
      <c r="BG1559" s="25">
        <f>VLOOKUP(Inventory[[#This Row],[Nbhd]],Lookups!$Q$2:$T$4,4,FALSE)</f>
        <v>0.99970000000000003</v>
      </c>
      <c r="BH1559" s="25">
        <f>VLOOKUP(Inventory[[#This Row],[Qlty]],Lookups!$O$7:$R$21,4,FALSE)</f>
        <v>1.0067999999999999</v>
      </c>
      <c r="BI1559" s="25">
        <f>VLOOKUP(Inventory[[#This Row],[Cnd]],Lookups!$T$7:$W$16,4,FALSE)</f>
        <v>0.99729999999999996</v>
      </c>
      <c r="BJ1559" s="25">
        <f>VLOOKUP(Inventory[[#This Row],[LivArea Range]],Lookups!$T$25:$W$37,4,FALSE)</f>
        <v>1.0157</v>
      </c>
      <c r="BK1559" s="25">
        <f>VLOOKUP(Inventory[[#This Row],[Decade]],Lookups!$O$25:$R$42,4,FALSE)</f>
        <v>0.98909999999999998</v>
      </c>
      <c r="BL1559" s="25">
        <f>Inventory[[#This Row],[Nbhd Adj]]*0.95</f>
        <v>0.94971499999999998</v>
      </c>
      <c r="BM1559" s="25">
        <f>Inventory[[#This Row],[Nbhd Adj]]*Inventory[[#This Row],[Quality Adj]]*Inventory[[#This Row],[Condition Adj]]*Inventory[[#This Row],[Living Area Adj]]*Inventory[[#This Row],[Decade Adj]]*0.95</f>
        <v>0.95800544533193577</v>
      </c>
      <c r="BN1559" s="25">
        <f>ROUND(SUM(Inventory[[#This Row],[Mdl Qlty]:[Mdl WdDeck]])+Inventory[[#This Row],[Mdl Res Intercept]]*Inventory[[#This Row],[Res Adj ]],-2)</f>
        <v>271300</v>
      </c>
      <c r="BO1559" s="25">
        <f>ROUND(Inventory[[#This Row],[25Det]]*Inventory[[#This Row],[Det/Nbhd Adj]],-2)</f>
        <v>8100</v>
      </c>
      <c r="BP1559" s="25">
        <f>Inventory[[#This Row],[Adjusted Res]]+Inventory[[#This Row],[Adj Det ]]</f>
        <v>279400</v>
      </c>
      <c r="BQ1559" s="25">
        <f>ROUND((Inventory[[#This Row],[Mdl Land Intercept]]+Inventory[[#This Row],[Mdl LnAcres]])*Inventory[[#This Row],[Det/Nbhd Adj]],-2)</f>
        <v>30200</v>
      </c>
      <c r="BR1559" s="25">
        <f>Inventory[[#This Row],[Adjusted Impr Total]]+Inventory[[#This Row],[Adjusted Land Total]]</f>
        <v>309600</v>
      </c>
      <c r="BS1559" s="36">
        <f>IFERROR((Inventory[[#This Row],[Adjusted Impr Total]]-Inventory[[#This Row],[24Bldg]])/Inventory[[#This Row],[24Bldg]],0)</f>
        <v>0.17197986577181207</v>
      </c>
      <c r="BT1559" s="36">
        <f>(Inventory[[#This Row],[Adjusted Land Total]]-Inventory[[#This Row],[24Lnd]])/Inventory[[#This Row],[24Lnd]]</f>
        <v>-0.40316205533596838</v>
      </c>
      <c r="BU1559" s="36">
        <f>(Inventory[[#This Row],[Adjusted Total]]-Inventory[[#This Row],[24Final]])/Inventory[[#This Row],[24Final]]</f>
        <v>7.1280276816608992E-2</v>
      </c>
    </row>
    <row r="1560" spans="1:73" x14ac:dyDescent="0.3">
      <c r="A1560" s="25">
        <v>2025</v>
      </c>
      <c r="B1560" s="26" t="s">
        <v>837</v>
      </c>
      <c r="C1560" s="26">
        <f>LN(Inventory[[#This Row],[Acres]])</f>
        <v>-1.6094379124341003</v>
      </c>
      <c r="D1560" s="25">
        <v>0.2</v>
      </c>
      <c r="E1560" s="25">
        <v>8618</v>
      </c>
      <c r="F1560" s="26" t="s">
        <v>537</v>
      </c>
      <c r="G1560" s="26" t="s">
        <v>126</v>
      </c>
      <c r="H1560" s="26" t="s">
        <v>349</v>
      </c>
      <c r="I1560" s="26" t="s">
        <v>538</v>
      </c>
      <c r="J1560" s="26" t="s">
        <v>539</v>
      </c>
      <c r="K1560" s="26" t="s">
        <v>242</v>
      </c>
      <c r="L1560" s="26" t="s">
        <v>351</v>
      </c>
      <c r="M1560" s="26" t="s">
        <v>323</v>
      </c>
      <c r="N1560" s="26">
        <v>90</v>
      </c>
      <c r="O1560" s="26">
        <f>2024-Inventory[[#This Row],[YrBlt]]</f>
        <v>89</v>
      </c>
      <c r="P1560" s="26">
        <f>2024-Inventory[[#This Row],[EffYr]]</f>
        <v>53</v>
      </c>
      <c r="Q1560" s="25">
        <v>1935</v>
      </c>
      <c r="R1560" s="25">
        <v>1971</v>
      </c>
      <c r="S1560" s="25">
        <v>1297</v>
      </c>
      <c r="T1560" s="27"/>
      <c r="U1560" s="25">
        <v>815</v>
      </c>
      <c r="V1560" s="32">
        <f>Inventory[[#This Row],[Bsmt]]-Inventory[[#This Row],[FnBsmt]]</f>
        <v>815</v>
      </c>
      <c r="W1560" s="27"/>
      <c r="X1560" s="27"/>
      <c r="Y1560" s="27">
        <f>Inventory[[#This Row],[MainFn]]+Inventory[[#This Row],[UpprFn]]+Inventory[[#This Row],[FnBsmt]]+Inventory[[#This Row],[AddFn]]</f>
        <v>1297</v>
      </c>
      <c r="Z1560" s="27">
        <v>1500</v>
      </c>
      <c r="AA1560" s="25">
        <v>8</v>
      </c>
      <c r="AB1560" s="27"/>
      <c r="AC1560" s="27"/>
      <c r="AD1560" s="27"/>
      <c r="AE1560" s="27"/>
      <c r="AF1560" s="27"/>
      <c r="AG1560" s="27"/>
      <c r="AH1560" s="27"/>
      <c r="AI1560" s="25">
        <v>248912</v>
      </c>
      <c r="AJ1560" s="25">
        <v>166771</v>
      </c>
      <c r="AK1560" s="25">
        <v>10697</v>
      </c>
      <c r="AL1560" s="25">
        <v>313100</v>
      </c>
      <c r="AM1560" s="25">
        <v>58400</v>
      </c>
      <c r="AN1560" s="25">
        <v>254700</v>
      </c>
      <c r="AO1560" s="25">
        <v>0</v>
      </c>
      <c r="AP1560" s="25">
        <f>Lookups!$B$56*0</f>
        <v>0</v>
      </c>
      <c r="AQ1560" s="25">
        <f>Lookups!$B$56*1</f>
        <v>89850.625589999996</v>
      </c>
      <c r="AR1560" s="25">
        <f>Lookups!$B$57*Inventory[[#This Row],[LnAcres]]</f>
        <v>-50946.13867709865</v>
      </c>
      <c r="AS1560" s="25">
        <f>VLOOKUP(Inventory[[#This Row],[Qlty]],Lookups!$A$62:$E$75,2,FALSE)</f>
        <v>21557.329055999999</v>
      </c>
      <c r="AT1560" s="25">
        <f>VLOOKUP(Inventory[[#This Row],[Cnd]],Lookups!$A$76:$E$84,2,FALSE)</f>
        <v>160472.20319</v>
      </c>
      <c r="AU1560" s="25">
        <f>Inventory[[#This Row],[EffAge]]*Lookups!$B$85</f>
        <v>-11821.416826500001</v>
      </c>
      <c r="AV1560" s="25">
        <f>Inventory[[#This Row],[MainFn]]*Lookups!$B$86</f>
        <v>64083.044830469</v>
      </c>
      <c r="AW1560" s="25">
        <f>Inventory[[#This Row],[UpprFn]]*Lookups!$B$87</f>
        <v>0</v>
      </c>
      <c r="AX1560" s="25">
        <f>Inventory[[#This Row],[AddFn]]*Lookups!$B$88</f>
        <v>0</v>
      </c>
      <c r="AY1560" s="25">
        <f>Inventory[[#This Row],[Bsmt]]*Lookups!$B$89</f>
        <v>23701.744626305001</v>
      </c>
      <c r="AZ1560" s="25">
        <f>Inventory[[#This Row],[Fixtures]]*Lookups!$B$90</f>
        <v>30336.176841600001</v>
      </c>
      <c r="BA1560" s="25">
        <f>Inventory[[#This Row],[WdDeck]]*Lookups!$B$91</f>
        <v>0</v>
      </c>
      <c r="BB1560" s="25">
        <f>ROUND(Inventory[[#This Row],[25Det]],-2)</f>
        <v>10700</v>
      </c>
      <c r="BC1560" s="25">
        <f>ROUND(SUM(Inventory[[#This Row],[Mdl Qlty]:[Mdl WdDeck]])+Inventory[[#This Row],[Mdl Res Intercept]],-2)</f>
        <v>288300</v>
      </c>
      <c r="BD1560" s="25">
        <f>ROUND(Inventory[[#This Row],[Mdl Land Intercept]]+Inventory[[#This Row],[Mdl LnAcres]],-2)</f>
        <v>38900</v>
      </c>
      <c r="BE1560" s="25">
        <f>Inventory[[#This Row],[Unadj Res Value]]+Inventory[[#This Row],[Unadj Det Value]]+Inventory[[#This Row],[Unadj Land Value]]</f>
        <v>337900</v>
      </c>
      <c r="BF1560" s="36">
        <f>(Inventory[[#This Row],[Unadj Total Value]]-Inventory[[#This Row],[24Final]])/Inventory[[#This Row],[24Final]]</f>
        <v>7.9207920792079209E-2</v>
      </c>
      <c r="BG1560" s="25">
        <f>VLOOKUP(Inventory[[#This Row],[Nbhd]],Lookups!$Q$2:$T$4,4,FALSE)</f>
        <v>0.99970000000000003</v>
      </c>
      <c r="BH1560" s="25">
        <f>VLOOKUP(Inventory[[#This Row],[Qlty]],Lookups!$O$7:$R$21,4,FALSE)</f>
        <v>1.0067999999999999</v>
      </c>
      <c r="BI1560" s="25">
        <f>VLOOKUP(Inventory[[#This Row],[Cnd]],Lookups!$T$7:$W$16,4,FALSE)</f>
        <v>0.99729999999999996</v>
      </c>
      <c r="BJ1560" s="25">
        <f>VLOOKUP(Inventory[[#This Row],[LivArea Range]],Lookups!$T$25:$W$37,4,FALSE)</f>
        <v>1.0157</v>
      </c>
      <c r="BK1560" s="25">
        <f>VLOOKUP(Inventory[[#This Row],[Decade]],Lookups!$O$25:$R$42,4,FALSE)</f>
        <v>0.98909999999999998</v>
      </c>
      <c r="BL1560" s="25">
        <f>Inventory[[#This Row],[Nbhd Adj]]*0.95</f>
        <v>0.94971499999999998</v>
      </c>
      <c r="BM1560" s="25">
        <f>Inventory[[#This Row],[Nbhd Adj]]*Inventory[[#This Row],[Quality Adj]]*Inventory[[#This Row],[Condition Adj]]*Inventory[[#This Row],[Living Area Adj]]*Inventory[[#This Row],[Decade Adj]]*0.95</f>
        <v>0.95800544533193577</v>
      </c>
      <c r="BN1560" s="25">
        <f>ROUND(SUM(Inventory[[#This Row],[Mdl Qlty]:[Mdl WdDeck]])+Inventory[[#This Row],[Mdl Res Intercept]]*Inventory[[#This Row],[Res Adj ]],-2)</f>
        <v>288300</v>
      </c>
      <c r="BO1560" s="25">
        <f>ROUND(Inventory[[#This Row],[25Det]]*Inventory[[#This Row],[Det/Nbhd Adj]],-2)</f>
        <v>10200</v>
      </c>
      <c r="BP1560" s="25">
        <f>Inventory[[#This Row],[Adjusted Res]]+Inventory[[#This Row],[Adj Det ]]</f>
        <v>298500</v>
      </c>
      <c r="BQ1560" s="25">
        <f>ROUND((Inventory[[#This Row],[Mdl Land Intercept]]+Inventory[[#This Row],[Mdl LnAcres]])*Inventory[[#This Row],[Det/Nbhd Adj]],-2)</f>
        <v>36900</v>
      </c>
      <c r="BR1560" s="25">
        <f>Inventory[[#This Row],[Adjusted Impr Total]]+Inventory[[#This Row],[Adjusted Land Total]]</f>
        <v>335400</v>
      </c>
      <c r="BS1560" s="36">
        <f>IFERROR((Inventory[[#This Row],[Adjusted Impr Total]]-Inventory[[#This Row],[24Bldg]])/Inventory[[#This Row],[24Bldg]],0)</f>
        <v>0.17196702002355713</v>
      </c>
      <c r="BT1560" s="36">
        <f>(Inventory[[#This Row],[Adjusted Land Total]]-Inventory[[#This Row],[24Lnd]])/Inventory[[#This Row],[24Lnd]]</f>
        <v>-0.36815068493150682</v>
      </c>
      <c r="BU1560" s="36">
        <f>(Inventory[[#This Row],[Adjusted Total]]-Inventory[[#This Row],[24Final]])/Inventory[[#This Row],[24Final]]</f>
        <v>7.122325135739381E-2</v>
      </c>
    </row>
    <row r="1561" spans="1:73" x14ac:dyDescent="0.3">
      <c r="A1561" s="25">
        <v>2025</v>
      </c>
      <c r="B1561" s="26" t="s">
        <v>978</v>
      </c>
      <c r="C1561" s="26">
        <f>LN(Inventory[[#This Row],[Acres]])</f>
        <v>-2.0402208285265546</v>
      </c>
      <c r="D1561" s="25">
        <v>0.13</v>
      </c>
      <c r="E1561" s="25">
        <v>5603</v>
      </c>
      <c r="F1561" s="26" t="s">
        <v>537</v>
      </c>
      <c r="G1561" s="26" t="s">
        <v>126</v>
      </c>
      <c r="H1561" s="26" t="s">
        <v>349</v>
      </c>
      <c r="I1561" s="26" t="s">
        <v>538</v>
      </c>
      <c r="J1561" s="26" t="s">
        <v>638</v>
      </c>
      <c r="K1561" s="26" t="s">
        <v>173</v>
      </c>
      <c r="L1561" s="26" t="s">
        <v>205</v>
      </c>
      <c r="M1561" s="26" t="s">
        <v>323</v>
      </c>
      <c r="N1561" s="26">
        <v>90</v>
      </c>
      <c r="O1561" s="26">
        <f>2024-Inventory[[#This Row],[YrBlt]]</f>
        <v>89</v>
      </c>
      <c r="P1561" s="26">
        <f>2024-Inventory[[#This Row],[EffYr]]</f>
        <v>53</v>
      </c>
      <c r="Q1561" s="25">
        <v>1935</v>
      </c>
      <c r="R1561" s="25">
        <v>1971</v>
      </c>
      <c r="S1561" s="25">
        <v>1030</v>
      </c>
      <c r="T1561" s="25">
        <v>810</v>
      </c>
      <c r="U1561" s="32">
        <v>1080</v>
      </c>
      <c r="V1561" s="32">
        <f>Inventory[[#This Row],[Bsmt]]-Inventory[[#This Row],[FnBsmt]]</f>
        <v>1080</v>
      </c>
      <c r="W1561" s="27"/>
      <c r="X1561" s="27"/>
      <c r="Y1561" s="27">
        <f>Inventory[[#This Row],[MainFn]]+Inventory[[#This Row],[UpprFn]]+Inventory[[#This Row],[FnBsmt]]+Inventory[[#This Row],[AddFn]]</f>
        <v>1840</v>
      </c>
      <c r="Z1561" s="27">
        <v>2000</v>
      </c>
      <c r="AA1561" s="25">
        <v>5</v>
      </c>
      <c r="AB1561" s="31"/>
      <c r="AC1561" s="27"/>
      <c r="AD1561" s="27"/>
      <c r="AE1561" s="27"/>
      <c r="AF1561" s="27"/>
      <c r="AG1561" s="27"/>
      <c r="AH1561" s="27"/>
      <c r="AI1561" s="25">
        <v>267411</v>
      </c>
      <c r="AJ1561" s="25">
        <v>179165</v>
      </c>
      <c r="AK1561" s="25">
        <v>5591</v>
      </c>
      <c r="AL1561" s="25">
        <v>294600</v>
      </c>
      <c r="AM1561" s="25">
        <v>43400</v>
      </c>
      <c r="AN1561" s="25">
        <v>251200</v>
      </c>
      <c r="AO1561" s="25">
        <v>0</v>
      </c>
      <c r="AP1561" s="25">
        <f>Lookups!$B$56*0</f>
        <v>0</v>
      </c>
      <c r="AQ1561" s="25">
        <f>Lookups!$B$56*1</f>
        <v>89850.625589999996</v>
      </c>
      <c r="AR1561" s="25">
        <f>Lookups!$B$57*Inventory[[#This Row],[LnAcres]]</f>
        <v>-64582.406353792743</v>
      </c>
      <c r="AS1561" s="25">
        <f>VLOOKUP(Inventory[[#This Row],[Qlty]],Lookups!$A$62:$E$75,2,FALSE)</f>
        <v>0</v>
      </c>
      <c r="AT1561" s="25">
        <f>VLOOKUP(Inventory[[#This Row],[Cnd]],Lookups!$A$76:$E$84,2,FALSE)</f>
        <v>160472.20319</v>
      </c>
      <c r="AU1561" s="25">
        <f>Inventory[[#This Row],[EffAge]]*Lookups!$B$85</f>
        <v>-11821.416826500001</v>
      </c>
      <c r="AV1561" s="25">
        <f>Inventory[[#This Row],[MainFn]]*Lookups!$B$86</f>
        <v>50890.929973309998</v>
      </c>
      <c r="AW1561" s="25">
        <f>Inventory[[#This Row],[UpprFn]]*Lookups!$B$87</f>
        <v>36277.002517410001</v>
      </c>
      <c r="AX1561" s="25">
        <f>Inventory[[#This Row],[AddFn]]*Lookups!$B$88</f>
        <v>0</v>
      </c>
      <c r="AY1561" s="25">
        <f>Inventory[[#This Row],[Bsmt]]*Lookups!$B$89</f>
        <v>31408.446866759998</v>
      </c>
      <c r="AZ1561" s="25">
        <f>Inventory[[#This Row],[Fixtures]]*Lookups!$B$90</f>
        <v>18960.110526</v>
      </c>
      <c r="BA1561" s="25">
        <f>Inventory[[#This Row],[WdDeck]]*Lookups!$B$91</f>
        <v>0</v>
      </c>
      <c r="BB1561" s="25">
        <f>ROUND(Inventory[[#This Row],[25Det]],-2)</f>
        <v>5600</v>
      </c>
      <c r="BC1561" s="25">
        <f>ROUND(SUM(Inventory[[#This Row],[Mdl Qlty]:[Mdl WdDeck]])+Inventory[[#This Row],[Mdl Res Intercept]],-2)</f>
        <v>286200</v>
      </c>
      <c r="BD1561" s="25">
        <f>ROUND(Inventory[[#This Row],[Mdl Land Intercept]]+Inventory[[#This Row],[Mdl LnAcres]],-2)</f>
        <v>25300</v>
      </c>
      <c r="BE1561" s="25">
        <f>Inventory[[#This Row],[Unadj Res Value]]+Inventory[[#This Row],[Unadj Det Value]]+Inventory[[#This Row],[Unadj Land Value]]</f>
        <v>317100</v>
      </c>
      <c r="BF1561" s="36">
        <f>(Inventory[[#This Row],[Unadj Total Value]]-Inventory[[#This Row],[24Final]])/Inventory[[#This Row],[24Final]]</f>
        <v>7.637474541751528E-2</v>
      </c>
      <c r="BG1561" s="25">
        <f>VLOOKUP(Inventory[[#This Row],[Nbhd]],Lookups!$Q$2:$T$4,4,FALSE)</f>
        <v>0.99970000000000003</v>
      </c>
      <c r="BH1561" s="25">
        <f>VLOOKUP(Inventory[[#This Row],[Qlty]],Lookups!$O$7:$R$21,4,FALSE)</f>
        <v>0.99180000000000001</v>
      </c>
      <c r="BI1561" s="25">
        <f>VLOOKUP(Inventory[[#This Row],[Cnd]],Lookups!$T$7:$W$16,4,FALSE)</f>
        <v>0.99729999999999996</v>
      </c>
      <c r="BJ1561" s="25">
        <f>VLOOKUP(Inventory[[#This Row],[LivArea Range]],Lookups!$T$25:$W$37,4,FALSE)</f>
        <v>1.0093000000000001</v>
      </c>
      <c r="BK1561" s="25">
        <f>VLOOKUP(Inventory[[#This Row],[Decade]],Lookups!$O$25:$R$42,4,FALSE)</f>
        <v>0.98909999999999998</v>
      </c>
      <c r="BL1561" s="25">
        <f>Inventory[[#This Row],[Nbhd Adj]]*0.95</f>
        <v>0.94971499999999998</v>
      </c>
      <c r="BM1561" s="25">
        <f>Inventory[[#This Row],[Nbhd Adj]]*Inventory[[#This Row],[Quality Adj]]*Inventory[[#This Row],[Condition Adj]]*Inventory[[#This Row],[Living Area Adj]]*Inventory[[#This Row],[Decade Adj]]*0.95</f>
        <v>0.93778589320741457</v>
      </c>
      <c r="BN1561" s="25">
        <f>ROUND(SUM(Inventory[[#This Row],[Mdl Qlty]:[Mdl WdDeck]])+Inventory[[#This Row],[Mdl Res Intercept]]*Inventory[[#This Row],[Res Adj ]],-2)</f>
        <v>286200</v>
      </c>
      <c r="BO1561" s="25">
        <f>ROUND(Inventory[[#This Row],[25Det]]*Inventory[[#This Row],[Det/Nbhd Adj]],-2)</f>
        <v>5300</v>
      </c>
      <c r="BP1561" s="25">
        <f>Inventory[[#This Row],[Adjusted Res]]+Inventory[[#This Row],[Adj Det ]]</f>
        <v>291500</v>
      </c>
      <c r="BQ1561" s="25">
        <f>ROUND((Inventory[[#This Row],[Mdl Land Intercept]]+Inventory[[#This Row],[Mdl LnAcres]])*Inventory[[#This Row],[Det/Nbhd Adj]],-2)</f>
        <v>24000</v>
      </c>
      <c r="BR1561" s="25">
        <f>Inventory[[#This Row],[Adjusted Impr Total]]+Inventory[[#This Row],[Adjusted Land Total]]</f>
        <v>315500</v>
      </c>
      <c r="BS1561" s="36">
        <f>IFERROR((Inventory[[#This Row],[Adjusted Impr Total]]-Inventory[[#This Row],[24Bldg]])/Inventory[[#This Row],[24Bldg]],0)</f>
        <v>0.16042993630573249</v>
      </c>
      <c r="BT1561" s="36">
        <f>(Inventory[[#This Row],[Adjusted Land Total]]-Inventory[[#This Row],[24Lnd]])/Inventory[[#This Row],[24Lnd]]</f>
        <v>-0.44700460829493088</v>
      </c>
      <c r="BU1561" s="36">
        <f>(Inventory[[#This Row],[Adjusted Total]]-Inventory[[#This Row],[24Final]])/Inventory[[#This Row],[24Final]]</f>
        <v>7.094365241004752E-2</v>
      </c>
    </row>
    <row r="1562" spans="1:73" x14ac:dyDescent="0.3">
      <c r="A1562" s="25">
        <v>2025</v>
      </c>
      <c r="B1562" s="26" t="s">
        <v>1112</v>
      </c>
      <c r="C1562" s="26">
        <f>LN(Inventory[[#This Row],[Acres]])</f>
        <v>-1.9661128563728327</v>
      </c>
      <c r="D1562" s="25">
        <v>0.14000000000000001</v>
      </c>
      <c r="E1562" s="32">
        <v>6030</v>
      </c>
      <c r="F1562" s="26" t="s">
        <v>537</v>
      </c>
      <c r="G1562" s="26" t="s">
        <v>126</v>
      </c>
      <c r="H1562" s="26" t="s">
        <v>349</v>
      </c>
      <c r="I1562" s="26" t="s">
        <v>538</v>
      </c>
      <c r="J1562" s="26" t="s">
        <v>539</v>
      </c>
      <c r="K1562" s="26" t="s">
        <v>147</v>
      </c>
      <c r="L1562" s="26" t="s">
        <v>351</v>
      </c>
      <c r="M1562" s="26" t="s">
        <v>323</v>
      </c>
      <c r="N1562" s="26">
        <v>90</v>
      </c>
      <c r="O1562" s="26">
        <f>2024-Inventory[[#This Row],[YrBlt]]</f>
        <v>89</v>
      </c>
      <c r="P1562" s="26">
        <f>2024-Inventory[[#This Row],[EffYr]]</f>
        <v>53</v>
      </c>
      <c r="Q1562" s="25">
        <v>1935</v>
      </c>
      <c r="R1562" s="25">
        <v>1971</v>
      </c>
      <c r="S1562" s="25">
        <v>1554</v>
      </c>
      <c r="T1562" s="27"/>
      <c r="U1562" s="32">
        <v>1184</v>
      </c>
      <c r="V1562" s="32">
        <f>Inventory[[#This Row],[Bsmt]]-Inventory[[#This Row],[FnBsmt]]</f>
        <v>0</v>
      </c>
      <c r="W1562" s="32">
        <v>1184</v>
      </c>
      <c r="X1562" s="27"/>
      <c r="Y1562" s="27">
        <f>Inventory[[#This Row],[MainFn]]+Inventory[[#This Row],[UpprFn]]+Inventory[[#This Row],[FnBsmt]]+Inventory[[#This Row],[AddFn]]</f>
        <v>2738</v>
      </c>
      <c r="Z1562" s="27">
        <v>3000</v>
      </c>
      <c r="AA1562" s="25">
        <v>11</v>
      </c>
      <c r="AB1562" s="27"/>
      <c r="AC1562" s="27"/>
      <c r="AD1562" s="27"/>
      <c r="AE1562" s="27"/>
      <c r="AF1562" s="27"/>
      <c r="AG1562" s="27"/>
      <c r="AH1562" s="27"/>
      <c r="AI1562" s="25">
        <v>358887</v>
      </c>
      <c r="AJ1562" s="25">
        <v>240454</v>
      </c>
      <c r="AK1562" s="25">
        <v>0</v>
      </c>
      <c r="AL1562" s="25">
        <v>326300</v>
      </c>
      <c r="AM1562" s="25">
        <v>46000</v>
      </c>
      <c r="AN1562" s="25">
        <v>280300</v>
      </c>
      <c r="AO1562" s="25">
        <v>0</v>
      </c>
      <c r="AP1562" s="25">
        <f>Lookups!$B$56*0</f>
        <v>0</v>
      </c>
      <c r="AQ1562" s="25">
        <f>Lookups!$B$56*1</f>
        <v>89850.625589999996</v>
      </c>
      <c r="AR1562" s="25">
        <f>Lookups!$B$57*Inventory[[#This Row],[LnAcres]]</f>
        <v>-62236.546971921947</v>
      </c>
      <c r="AS1562" s="25">
        <f>VLOOKUP(Inventory[[#This Row],[Qlty]],Lookups!$A$62:$E$75,2,FALSE)</f>
        <v>21557.329055999999</v>
      </c>
      <c r="AT1562" s="25">
        <f>VLOOKUP(Inventory[[#This Row],[Cnd]],Lookups!$A$76:$E$84,2,FALSE)</f>
        <v>160472.20319</v>
      </c>
      <c r="AU1562" s="25">
        <f>Inventory[[#This Row],[EffAge]]*Lookups!$B$85</f>
        <v>-11821.416826500001</v>
      </c>
      <c r="AV1562" s="25">
        <f>Inventory[[#This Row],[MainFn]]*Lookups!$B$86</f>
        <v>76781.072988857995</v>
      </c>
      <c r="AW1562" s="25">
        <f>Inventory[[#This Row],[UpprFn]]*Lookups!$B$87</f>
        <v>0</v>
      </c>
      <c r="AX1562" s="25">
        <f>Inventory[[#This Row],[AddFn]]*Lookups!$B$88</f>
        <v>0</v>
      </c>
      <c r="AY1562" s="25">
        <f>Inventory[[#This Row],[Bsmt]]*Lookups!$B$89</f>
        <v>34432.963972448</v>
      </c>
      <c r="AZ1562" s="25">
        <f>Inventory[[#This Row],[Fixtures]]*Lookups!$B$90</f>
        <v>41712.243157199999</v>
      </c>
      <c r="BA1562" s="25">
        <f>Inventory[[#This Row],[WdDeck]]*Lookups!$B$91</f>
        <v>0</v>
      </c>
      <c r="BB1562" s="25">
        <f>ROUND(Inventory[[#This Row],[25Det]],-2)</f>
        <v>0</v>
      </c>
      <c r="BC1562" s="25">
        <f>ROUND(SUM(Inventory[[#This Row],[Mdl Qlty]:[Mdl WdDeck]])+Inventory[[#This Row],[Mdl Res Intercept]],-2)</f>
        <v>323100</v>
      </c>
      <c r="BD1562" s="25">
        <f>ROUND(Inventory[[#This Row],[Mdl Land Intercept]]+Inventory[[#This Row],[Mdl LnAcres]],-2)</f>
        <v>27600</v>
      </c>
      <c r="BE1562" s="25">
        <f>Inventory[[#This Row],[Unadj Res Value]]+Inventory[[#This Row],[Unadj Det Value]]+Inventory[[#This Row],[Unadj Land Value]]</f>
        <v>350700</v>
      </c>
      <c r="BF1562" s="36">
        <f>(Inventory[[#This Row],[Unadj Total Value]]-Inventory[[#This Row],[24Final]])/Inventory[[#This Row],[24Final]]</f>
        <v>7.4777811829604662E-2</v>
      </c>
      <c r="BG1562" s="25">
        <f>VLOOKUP(Inventory[[#This Row],[Nbhd]],Lookups!$Q$2:$T$4,4,FALSE)</f>
        <v>0.99970000000000003</v>
      </c>
      <c r="BH1562" s="25">
        <f>VLOOKUP(Inventory[[#This Row],[Qlty]],Lookups!$O$7:$R$21,4,FALSE)</f>
        <v>1.0067999999999999</v>
      </c>
      <c r="BI1562" s="25">
        <f>VLOOKUP(Inventory[[#This Row],[Cnd]],Lookups!$T$7:$W$16,4,FALSE)</f>
        <v>0.99729999999999996</v>
      </c>
      <c r="BJ1562" s="25">
        <f>VLOOKUP(Inventory[[#This Row],[LivArea Range]],Lookups!$T$25:$W$37,4,FALSE)</f>
        <v>0.96179999999999999</v>
      </c>
      <c r="BK1562" s="25">
        <f>VLOOKUP(Inventory[[#This Row],[Decade]],Lookups!$O$25:$R$42,4,FALSE)</f>
        <v>0.98909999999999998</v>
      </c>
      <c r="BL1562" s="25">
        <f>Inventory[[#This Row],[Nbhd Adj]]*0.95</f>
        <v>0.94971499999999998</v>
      </c>
      <c r="BM1562" s="25">
        <f>Inventory[[#This Row],[Nbhd Adj]]*Inventory[[#This Row],[Quality Adj]]*Inventory[[#This Row],[Condition Adj]]*Inventory[[#This Row],[Living Area Adj]]*Inventory[[#This Row],[Decade Adj]]*0.95</f>
        <v>0.90716711363616798</v>
      </c>
      <c r="BN1562" s="25">
        <f>ROUND(SUM(Inventory[[#This Row],[Mdl Qlty]:[Mdl WdDeck]])+Inventory[[#This Row],[Mdl Res Intercept]]*Inventory[[#This Row],[Res Adj ]],-2)</f>
        <v>323100</v>
      </c>
      <c r="BO1562" s="25">
        <f>ROUND(Inventory[[#This Row],[25Det]]*Inventory[[#This Row],[Det/Nbhd Adj]],-2)</f>
        <v>0</v>
      </c>
      <c r="BP1562" s="25">
        <f>Inventory[[#This Row],[Adjusted Res]]+Inventory[[#This Row],[Adj Det ]]</f>
        <v>323100</v>
      </c>
      <c r="BQ1562" s="25">
        <f>ROUND((Inventory[[#This Row],[Mdl Land Intercept]]+Inventory[[#This Row],[Mdl LnAcres]])*Inventory[[#This Row],[Det/Nbhd Adj]],-2)</f>
        <v>26200</v>
      </c>
      <c r="BR1562" s="25">
        <f>Inventory[[#This Row],[Adjusted Impr Total]]+Inventory[[#This Row],[Adjusted Land Total]]</f>
        <v>349300</v>
      </c>
      <c r="BS1562" s="36">
        <f>IFERROR((Inventory[[#This Row],[Adjusted Impr Total]]-Inventory[[#This Row],[24Bldg]])/Inventory[[#This Row],[24Bldg]],0)</f>
        <v>0.15269354263289334</v>
      </c>
      <c r="BT1562" s="36">
        <f>(Inventory[[#This Row],[Adjusted Land Total]]-Inventory[[#This Row],[24Lnd]])/Inventory[[#This Row],[24Lnd]]</f>
        <v>-0.43043478260869567</v>
      </c>
      <c r="BU1562" s="36">
        <f>(Inventory[[#This Row],[Adjusted Total]]-Inventory[[#This Row],[24Final]])/Inventory[[#This Row],[24Final]]</f>
        <v>7.0487281642660132E-2</v>
      </c>
    </row>
    <row r="1563" spans="1:73" x14ac:dyDescent="0.3">
      <c r="A1563" s="25">
        <v>2025</v>
      </c>
      <c r="B1563" s="26" t="s">
        <v>2694</v>
      </c>
      <c r="C1563" s="26">
        <f>LN(Inventory[[#This Row],[Acres]])</f>
        <v>-0.9942522733438669</v>
      </c>
      <c r="D1563" s="25">
        <v>0.37</v>
      </c>
      <c r="E1563" s="25">
        <v>16317</v>
      </c>
      <c r="F1563" s="26" t="s">
        <v>537</v>
      </c>
      <c r="G1563" s="26" t="s">
        <v>126</v>
      </c>
      <c r="H1563" s="26" t="s">
        <v>349</v>
      </c>
      <c r="I1563" s="26" t="s">
        <v>538</v>
      </c>
      <c r="J1563" s="26" t="s">
        <v>539</v>
      </c>
      <c r="K1563" s="26" t="s">
        <v>173</v>
      </c>
      <c r="L1563" s="26" t="s">
        <v>148</v>
      </c>
      <c r="M1563" s="26" t="s">
        <v>303</v>
      </c>
      <c r="N1563" s="26">
        <v>90</v>
      </c>
      <c r="O1563" s="26">
        <f>2024-Inventory[[#This Row],[YrBlt]]</f>
        <v>89</v>
      </c>
      <c r="P1563" s="26">
        <f>2024-Inventory[[#This Row],[EffYr]]</f>
        <v>53</v>
      </c>
      <c r="Q1563" s="25">
        <v>1935</v>
      </c>
      <c r="R1563" s="25">
        <v>1971</v>
      </c>
      <c r="S1563" s="25">
        <v>1266</v>
      </c>
      <c r="T1563" s="25">
        <v>575</v>
      </c>
      <c r="U1563" s="25">
        <v>921</v>
      </c>
      <c r="V1563" s="25">
        <f>Inventory[[#This Row],[Bsmt]]-Inventory[[#This Row],[FnBsmt]]</f>
        <v>161</v>
      </c>
      <c r="W1563" s="25">
        <v>760</v>
      </c>
      <c r="X1563" s="27"/>
      <c r="Y1563" s="27">
        <f>Inventory[[#This Row],[MainFn]]+Inventory[[#This Row],[UpprFn]]+Inventory[[#This Row],[FnBsmt]]+Inventory[[#This Row],[AddFn]]</f>
        <v>2601</v>
      </c>
      <c r="Z1563" s="27">
        <v>3000</v>
      </c>
      <c r="AA1563" s="25">
        <v>8</v>
      </c>
      <c r="AB1563" s="27"/>
      <c r="AC1563" s="32">
        <v>506</v>
      </c>
      <c r="AD1563" s="25">
        <v>161</v>
      </c>
      <c r="AE1563" s="27"/>
      <c r="AF1563" s="27"/>
      <c r="AG1563" s="27"/>
      <c r="AH1563" s="27"/>
      <c r="AI1563" s="25">
        <v>473382</v>
      </c>
      <c r="AJ1563" s="25">
        <v>326634</v>
      </c>
      <c r="AK1563" s="25">
        <v>0</v>
      </c>
      <c r="AL1563" s="25">
        <v>407600</v>
      </c>
      <c r="AM1563" s="25">
        <v>79900</v>
      </c>
      <c r="AN1563" s="25">
        <v>327700</v>
      </c>
      <c r="AO1563" s="25">
        <v>0</v>
      </c>
      <c r="AP1563" s="25">
        <f>Lookups!$B$56*0</f>
        <v>0</v>
      </c>
      <c r="AQ1563" s="25">
        <f>Lookups!$B$56*1</f>
        <v>89850.625589999996</v>
      </c>
      <c r="AR1563" s="25">
        <f>Lookups!$B$57*Inventory[[#This Row],[LnAcres]]</f>
        <v>-31472.673662315807</v>
      </c>
      <c r="AS1563" s="25">
        <f>VLOOKUP(Inventory[[#This Row],[Qlty]],Lookups!$A$62:$E$75,2,FALSE)</f>
        <v>44121.038090000002</v>
      </c>
      <c r="AT1563" s="25">
        <f>VLOOKUP(Inventory[[#This Row],[Cnd]],Lookups!$A$76:$E$84,2,FALSE)</f>
        <v>197752.34721000001</v>
      </c>
      <c r="AU1563" s="25">
        <f>Inventory[[#This Row],[EffAge]]*Lookups!$B$85</f>
        <v>-11821.416826500001</v>
      </c>
      <c r="AV1563" s="25">
        <f>Inventory[[#This Row],[MainFn]]*Lookups!$B$86</f>
        <v>62551.376064281998</v>
      </c>
      <c r="AW1563" s="25">
        <f>Inventory[[#This Row],[UpprFn]]*Lookups!$B$87</f>
        <v>25752.193145074998</v>
      </c>
      <c r="AX1563" s="25">
        <f>Inventory[[#This Row],[AddFn]]*Lookups!$B$88</f>
        <v>0</v>
      </c>
      <c r="AY1563" s="25">
        <f>Inventory[[#This Row],[Bsmt]]*Lookups!$B$89</f>
        <v>26784.425522486999</v>
      </c>
      <c r="AZ1563" s="25">
        <f>Inventory[[#This Row],[Fixtures]]*Lookups!$B$90</f>
        <v>30336.176841600001</v>
      </c>
      <c r="BA1563" s="25">
        <f>Inventory[[#This Row],[WdDeck]]*Lookups!$B$91</f>
        <v>5360.5779594360001</v>
      </c>
      <c r="BB1563" s="25">
        <f>ROUND(Inventory[[#This Row],[25Det]],-2)</f>
        <v>0</v>
      </c>
      <c r="BC1563" s="25">
        <f>ROUND(SUM(Inventory[[#This Row],[Mdl Qlty]:[Mdl WdDeck]])+Inventory[[#This Row],[Mdl Res Intercept]],-2)</f>
        <v>380800</v>
      </c>
      <c r="BD1563" s="25">
        <f>ROUND(Inventory[[#This Row],[Mdl Land Intercept]]+Inventory[[#This Row],[Mdl LnAcres]],-2)</f>
        <v>58400</v>
      </c>
      <c r="BE1563" s="25">
        <f>Inventory[[#This Row],[Unadj Res Value]]+Inventory[[#This Row],[Unadj Det Value]]+Inventory[[#This Row],[Unadj Land Value]]</f>
        <v>439200</v>
      </c>
      <c r="BF1563" s="36">
        <f>(Inventory[[#This Row],[Unadj Total Value]]-Inventory[[#This Row],[24Final]])/Inventory[[#This Row],[24Final]]</f>
        <v>7.7526987242394499E-2</v>
      </c>
      <c r="BG1563" s="25">
        <f>VLOOKUP(Inventory[[#This Row],[Nbhd]],Lookups!$Q$2:$T$4,4,FALSE)</f>
        <v>0.99970000000000003</v>
      </c>
      <c r="BH1563" s="25">
        <f>VLOOKUP(Inventory[[#This Row],[Qlty]],Lookups!$O$7:$R$21,4,FALSE)</f>
        <v>0.98050000000000004</v>
      </c>
      <c r="BI1563" s="25">
        <f>VLOOKUP(Inventory[[#This Row],[Cnd]],Lookups!$T$7:$W$16,4,FALSE)</f>
        <v>0.99650000000000005</v>
      </c>
      <c r="BJ1563" s="25">
        <f>VLOOKUP(Inventory[[#This Row],[LivArea Range]],Lookups!$T$25:$W$37,4,FALSE)</f>
        <v>0.96179999999999999</v>
      </c>
      <c r="BK1563" s="25">
        <f>VLOOKUP(Inventory[[#This Row],[Decade]],Lookups!$O$25:$R$42,4,FALSE)</f>
        <v>0.98909999999999998</v>
      </c>
      <c r="BL1563" s="25">
        <f>Inventory[[#This Row],[Nbhd Adj]]*0.95</f>
        <v>0.94971499999999998</v>
      </c>
      <c r="BM1563" s="25">
        <f>Inventory[[#This Row],[Nbhd Adj]]*Inventory[[#This Row],[Quality Adj]]*Inventory[[#This Row],[Condition Adj]]*Inventory[[#This Row],[Living Area Adj]]*Inventory[[#This Row],[Decade Adj]]*0.95</f>
        <v>0.88276107127906644</v>
      </c>
      <c r="BN1563" s="25">
        <f>ROUND(SUM(Inventory[[#This Row],[Mdl Qlty]:[Mdl WdDeck]])+Inventory[[#This Row],[Mdl Res Intercept]]*Inventory[[#This Row],[Res Adj ]],-2)</f>
        <v>380800</v>
      </c>
      <c r="BO1563" s="25">
        <f>ROUND(Inventory[[#This Row],[25Det]]*Inventory[[#This Row],[Det/Nbhd Adj]],-2)</f>
        <v>0</v>
      </c>
      <c r="BP1563" s="25">
        <f>Inventory[[#This Row],[Adjusted Res]]+Inventory[[#This Row],[Adj Det ]]</f>
        <v>380800</v>
      </c>
      <c r="BQ1563" s="25">
        <f>ROUND((Inventory[[#This Row],[Mdl Land Intercept]]+Inventory[[#This Row],[Mdl LnAcres]])*Inventory[[#This Row],[Det/Nbhd Adj]],-2)</f>
        <v>55400</v>
      </c>
      <c r="BR1563" s="25">
        <f>Inventory[[#This Row],[Adjusted Impr Total]]+Inventory[[#This Row],[Adjusted Land Total]]</f>
        <v>436200</v>
      </c>
      <c r="BS1563" s="36">
        <f>IFERROR((Inventory[[#This Row],[Adjusted Impr Total]]-Inventory[[#This Row],[24Bldg]])/Inventory[[#This Row],[24Bldg]],0)</f>
        <v>0.16203844980164786</v>
      </c>
      <c r="BT1563" s="36">
        <f>(Inventory[[#This Row],[Adjusted Land Total]]-Inventory[[#This Row],[24Lnd]])/Inventory[[#This Row],[24Lnd]]</f>
        <v>-0.30663329161451813</v>
      </c>
      <c r="BU1563" s="36">
        <f>(Inventory[[#This Row],[Adjusted Total]]-Inventory[[#This Row],[24Final]])/Inventory[[#This Row],[24Final]]</f>
        <v>7.0166830225711477E-2</v>
      </c>
    </row>
    <row r="1564" spans="1:73" x14ac:dyDescent="0.3">
      <c r="A1564" s="25">
        <v>2025</v>
      </c>
      <c r="B1564" s="26" t="s">
        <v>2618</v>
      </c>
      <c r="C1564" s="26">
        <f>LN(Inventory[[#This Row],[Acres]])</f>
        <v>-1.4696759700589417</v>
      </c>
      <c r="D1564" s="25">
        <v>0.23</v>
      </c>
      <c r="E1564" s="25">
        <v>10140</v>
      </c>
      <c r="F1564" s="26" t="s">
        <v>537</v>
      </c>
      <c r="G1564" s="26" t="s">
        <v>126</v>
      </c>
      <c r="H1564" s="26" t="s">
        <v>349</v>
      </c>
      <c r="I1564" s="26" t="s">
        <v>538</v>
      </c>
      <c r="J1564" s="26" t="s">
        <v>539</v>
      </c>
      <c r="K1564" s="26" t="s">
        <v>269</v>
      </c>
      <c r="L1564" s="26" t="s">
        <v>148</v>
      </c>
      <c r="M1564" s="26" t="s">
        <v>303</v>
      </c>
      <c r="N1564" s="26">
        <v>90</v>
      </c>
      <c r="O1564" s="26">
        <f>2024-Inventory[[#This Row],[YrBlt]]</f>
        <v>89</v>
      </c>
      <c r="P1564" s="26">
        <f>2024-Inventory[[#This Row],[EffYr]]</f>
        <v>53</v>
      </c>
      <c r="Q1564" s="25">
        <v>1935</v>
      </c>
      <c r="R1564" s="25">
        <v>1971</v>
      </c>
      <c r="S1564" s="25">
        <v>1597</v>
      </c>
      <c r="T1564" s="27"/>
      <c r="U1564" s="25">
        <v>1380</v>
      </c>
      <c r="V1564" s="25">
        <f>Inventory[[#This Row],[Bsmt]]-Inventory[[#This Row],[FnBsmt]]</f>
        <v>690</v>
      </c>
      <c r="W1564" s="25">
        <v>690</v>
      </c>
      <c r="X1564" s="27"/>
      <c r="Y1564" s="27">
        <f>Inventory[[#This Row],[MainFn]]+Inventory[[#This Row],[UpprFn]]+Inventory[[#This Row],[FnBsmt]]+Inventory[[#This Row],[AddFn]]</f>
        <v>2287</v>
      </c>
      <c r="Z1564" s="27">
        <v>2500</v>
      </c>
      <c r="AA1564" s="25">
        <v>8</v>
      </c>
      <c r="AB1564" s="27"/>
      <c r="AC1564" s="27"/>
      <c r="AD1564" s="27"/>
      <c r="AE1564" s="27"/>
      <c r="AF1564" s="27"/>
      <c r="AG1564" s="27"/>
      <c r="AH1564" s="27"/>
      <c r="AI1564" s="25">
        <v>449756</v>
      </c>
      <c r="AJ1564" s="25">
        <v>310332</v>
      </c>
      <c r="AK1564" s="25">
        <v>7601</v>
      </c>
      <c r="AL1564" s="25">
        <v>399800</v>
      </c>
      <c r="AM1564" s="25">
        <v>63300</v>
      </c>
      <c r="AN1564" s="25">
        <v>336500</v>
      </c>
      <c r="AO1564" s="25">
        <v>0</v>
      </c>
      <c r="AP1564" s="25">
        <f>Lookups!$B$56*0</f>
        <v>0</v>
      </c>
      <c r="AQ1564" s="25">
        <f>Lookups!$B$56*1</f>
        <v>89850.625589999996</v>
      </c>
      <c r="AR1564" s="25">
        <f>Lookups!$B$57*Inventory[[#This Row],[LnAcres]]</f>
        <v>-46522.028095997222</v>
      </c>
      <c r="AS1564" s="25">
        <f>VLOOKUP(Inventory[[#This Row],[Qlty]],Lookups!$A$62:$E$75,2,FALSE)</f>
        <v>44121.038090000002</v>
      </c>
      <c r="AT1564" s="25">
        <f>VLOOKUP(Inventory[[#This Row],[Cnd]],Lookups!$A$76:$E$84,2,FALSE)</f>
        <v>197752.34721000001</v>
      </c>
      <c r="AU1564" s="25">
        <f>Inventory[[#This Row],[EffAge]]*Lookups!$B$85</f>
        <v>-11821.416826500001</v>
      </c>
      <c r="AV1564" s="25">
        <f>Inventory[[#This Row],[MainFn]]*Lookups!$B$86</f>
        <v>78905.645793568998</v>
      </c>
      <c r="AW1564" s="25">
        <f>Inventory[[#This Row],[UpprFn]]*Lookups!$B$87</f>
        <v>0</v>
      </c>
      <c r="AX1564" s="25">
        <f>Inventory[[#This Row],[AddFn]]*Lookups!$B$88</f>
        <v>0</v>
      </c>
      <c r="AY1564" s="25">
        <f>Inventory[[#This Row],[Bsmt]]*Lookups!$B$89</f>
        <v>40133.015440859999</v>
      </c>
      <c r="AZ1564" s="25">
        <f>Inventory[[#This Row],[Fixtures]]*Lookups!$B$90</f>
        <v>30336.176841600001</v>
      </c>
      <c r="BA1564" s="25">
        <f>Inventory[[#This Row],[WdDeck]]*Lookups!$B$91</f>
        <v>0</v>
      </c>
      <c r="BB1564" s="25">
        <f>ROUND(Inventory[[#This Row],[25Det]],-2)</f>
        <v>7600</v>
      </c>
      <c r="BC1564" s="25">
        <f>ROUND(SUM(Inventory[[#This Row],[Mdl Qlty]:[Mdl WdDeck]])+Inventory[[#This Row],[Mdl Res Intercept]],-2)</f>
        <v>379400</v>
      </c>
      <c r="BD1564" s="25">
        <f>ROUND(Inventory[[#This Row],[Mdl Land Intercept]]+Inventory[[#This Row],[Mdl LnAcres]],-2)</f>
        <v>43300</v>
      </c>
      <c r="BE1564" s="25">
        <f>Inventory[[#This Row],[Unadj Res Value]]+Inventory[[#This Row],[Unadj Det Value]]+Inventory[[#This Row],[Unadj Land Value]]</f>
        <v>430300</v>
      </c>
      <c r="BF1564" s="36">
        <f>(Inventory[[#This Row],[Unadj Total Value]]-Inventory[[#This Row],[24Final]])/Inventory[[#This Row],[24Final]]</f>
        <v>7.6288144072036018E-2</v>
      </c>
      <c r="BG1564" s="25">
        <f>VLOOKUP(Inventory[[#This Row],[Nbhd]],Lookups!$Q$2:$T$4,4,FALSE)</f>
        <v>0.99970000000000003</v>
      </c>
      <c r="BH1564" s="25">
        <f>VLOOKUP(Inventory[[#This Row],[Qlty]],Lookups!$O$7:$R$21,4,FALSE)</f>
        <v>0.98050000000000004</v>
      </c>
      <c r="BI1564" s="25">
        <f>VLOOKUP(Inventory[[#This Row],[Cnd]],Lookups!$T$7:$W$16,4,FALSE)</f>
        <v>0.99650000000000005</v>
      </c>
      <c r="BJ1564" s="25">
        <f>VLOOKUP(Inventory[[#This Row],[LivArea Range]],Lookups!$T$25:$W$37,4,FALSE)</f>
        <v>0.98919999999999997</v>
      </c>
      <c r="BK1564" s="25">
        <f>VLOOKUP(Inventory[[#This Row],[Decade]],Lookups!$O$25:$R$42,4,FALSE)</f>
        <v>0.98909999999999998</v>
      </c>
      <c r="BL1564" s="25">
        <f>Inventory[[#This Row],[Nbhd Adj]]*0.95</f>
        <v>0.94971499999999998</v>
      </c>
      <c r="BM1564" s="25">
        <f>Inventory[[#This Row],[Nbhd Adj]]*Inventory[[#This Row],[Quality Adj]]*Inventory[[#This Row],[Condition Adj]]*Inventory[[#This Row],[Living Area Adj]]*Inventory[[#This Row],[Decade Adj]]*0.95</f>
        <v>0.90790939042342744</v>
      </c>
      <c r="BN1564" s="25">
        <f>ROUND(SUM(Inventory[[#This Row],[Mdl Qlty]:[Mdl WdDeck]])+Inventory[[#This Row],[Mdl Res Intercept]]*Inventory[[#This Row],[Res Adj ]],-2)</f>
        <v>379400</v>
      </c>
      <c r="BO1564" s="25">
        <f>ROUND(Inventory[[#This Row],[25Det]]*Inventory[[#This Row],[Det/Nbhd Adj]],-2)</f>
        <v>7200</v>
      </c>
      <c r="BP1564" s="25">
        <f>Inventory[[#This Row],[Adjusted Res]]+Inventory[[#This Row],[Adj Det ]]</f>
        <v>386600</v>
      </c>
      <c r="BQ1564" s="25">
        <f>ROUND((Inventory[[#This Row],[Mdl Land Intercept]]+Inventory[[#This Row],[Mdl LnAcres]])*Inventory[[#This Row],[Det/Nbhd Adj]],-2)</f>
        <v>41100</v>
      </c>
      <c r="BR1564" s="25">
        <f>Inventory[[#This Row],[Adjusted Impr Total]]+Inventory[[#This Row],[Adjusted Land Total]]</f>
        <v>427700</v>
      </c>
      <c r="BS1564" s="36">
        <f>IFERROR((Inventory[[#This Row],[Adjusted Impr Total]]-Inventory[[#This Row],[24Bldg]])/Inventory[[#This Row],[24Bldg]],0)</f>
        <v>0.14888558692421991</v>
      </c>
      <c r="BT1564" s="36">
        <f>(Inventory[[#This Row],[Adjusted Land Total]]-Inventory[[#This Row],[24Lnd]])/Inventory[[#This Row],[24Lnd]]</f>
        <v>-0.35071090047393366</v>
      </c>
      <c r="BU1564" s="36">
        <f>(Inventory[[#This Row],[Adjusted Total]]-Inventory[[#This Row],[24Final]])/Inventory[[#This Row],[24Final]]</f>
        <v>6.9784892446223115E-2</v>
      </c>
    </row>
    <row r="1565" spans="1:73" x14ac:dyDescent="0.3">
      <c r="A1565" s="25">
        <v>2025</v>
      </c>
      <c r="B1565" s="26" t="s">
        <v>737</v>
      </c>
      <c r="C1565" s="26">
        <f>LN(Inventory[[#This Row],[Acres]])</f>
        <v>-1.6094379124341003</v>
      </c>
      <c r="D1565" s="25">
        <v>0.2</v>
      </c>
      <c r="E1565" s="25">
        <v>8533</v>
      </c>
      <c r="F1565" s="26" t="s">
        <v>537</v>
      </c>
      <c r="G1565" s="26" t="s">
        <v>126</v>
      </c>
      <c r="H1565" s="26" t="s">
        <v>349</v>
      </c>
      <c r="I1565" s="26" t="s">
        <v>538</v>
      </c>
      <c r="J1565" s="26" t="s">
        <v>539</v>
      </c>
      <c r="K1565" s="26" t="s">
        <v>242</v>
      </c>
      <c r="L1565" s="26" t="s">
        <v>351</v>
      </c>
      <c r="M1565" s="26" t="s">
        <v>303</v>
      </c>
      <c r="N1565" s="26">
        <v>90</v>
      </c>
      <c r="O1565" s="26">
        <f>2024-Inventory[[#This Row],[YrBlt]]</f>
        <v>89</v>
      </c>
      <c r="P1565" s="26">
        <f>2024-Inventory[[#This Row],[EffYr]]</f>
        <v>53</v>
      </c>
      <c r="Q1565" s="25">
        <v>1935</v>
      </c>
      <c r="R1565" s="25">
        <v>1971</v>
      </c>
      <c r="S1565" s="25">
        <v>920</v>
      </c>
      <c r="T1565" s="27"/>
      <c r="U1565" s="25">
        <v>920</v>
      </c>
      <c r="V1565" s="25">
        <f>Inventory[[#This Row],[Bsmt]]-Inventory[[#This Row],[FnBsmt]]</f>
        <v>48</v>
      </c>
      <c r="W1565" s="25">
        <v>872</v>
      </c>
      <c r="X1565" s="27"/>
      <c r="Y1565" s="27">
        <f>Inventory[[#This Row],[MainFn]]+Inventory[[#This Row],[UpprFn]]+Inventory[[#This Row],[FnBsmt]]+Inventory[[#This Row],[AddFn]]</f>
        <v>1792</v>
      </c>
      <c r="Z1565" s="27">
        <v>2000</v>
      </c>
      <c r="AA1565" s="25">
        <v>7</v>
      </c>
      <c r="AB1565" s="27"/>
      <c r="AC1565" s="27"/>
      <c r="AD1565" s="27"/>
      <c r="AE1565" s="27"/>
      <c r="AF1565" s="27"/>
      <c r="AG1565" s="27"/>
      <c r="AH1565" s="27"/>
      <c r="AI1565" s="25">
        <v>233598</v>
      </c>
      <c r="AJ1565" s="25">
        <v>161183</v>
      </c>
      <c r="AK1565" s="25">
        <v>9751</v>
      </c>
      <c r="AL1565" s="25">
        <v>329500</v>
      </c>
      <c r="AM1565" s="25">
        <v>58400</v>
      </c>
      <c r="AN1565" s="25">
        <v>271100</v>
      </c>
      <c r="AO1565" s="25">
        <v>0</v>
      </c>
      <c r="AP1565" s="25">
        <f>Lookups!$B$56*0</f>
        <v>0</v>
      </c>
      <c r="AQ1565" s="25">
        <f>Lookups!$B$56*1</f>
        <v>89850.625589999996</v>
      </c>
      <c r="AR1565" s="25">
        <f>Lookups!$B$57*Inventory[[#This Row],[LnAcres]]</f>
        <v>-50946.13867709865</v>
      </c>
      <c r="AS1565" s="25">
        <f>VLOOKUP(Inventory[[#This Row],[Qlty]],Lookups!$A$62:$E$75,2,FALSE)</f>
        <v>21557.329055999999</v>
      </c>
      <c r="AT1565" s="25">
        <f>VLOOKUP(Inventory[[#This Row],[Cnd]],Lookups!$A$76:$E$84,2,FALSE)</f>
        <v>197752.34721000001</v>
      </c>
      <c r="AU1565" s="25">
        <f>Inventory[[#This Row],[EffAge]]*Lookups!$B$85</f>
        <v>-11821.416826500001</v>
      </c>
      <c r="AV1565" s="25">
        <f>Inventory[[#This Row],[MainFn]]*Lookups!$B$86</f>
        <v>45455.976286839999</v>
      </c>
      <c r="AW1565" s="25">
        <f>Inventory[[#This Row],[UpprFn]]*Lookups!$B$87</f>
        <v>0</v>
      </c>
      <c r="AX1565" s="25">
        <f>Inventory[[#This Row],[AddFn]]*Lookups!$B$88</f>
        <v>0</v>
      </c>
      <c r="AY1565" s="25">
        <f>Inventory[[#This Row],[Bsmt]]*Lookups!$B$89</f>
        <v>26755.343627239999</v>
      </c>
      <c r="AZ1565" s="25">
        <f>Inventory[[#This Row],[Fixtures]]*Lookups!$B$90</f>
        <v>26544.1547364</v>
      </c>
      <c r="BA1565" s="25">
        <f>Inventory[[#This Row],[WdDeck]]*Lookups!$B$91</f>
        <v>0</v>
      </c>
      <c r="BB1565" s="25">
        <f>ROUND(Inventory[[#This Row],[25Det]],-2)</f>
        <v>9800</v>
      </c>
      <c r="BC1565" s="25">
        <f>ROUND(SUM(Inventory[[#This Row],[Mdl Qlty]:[Mdl WdDeck]])+Inventory[[#This Row],[Mdl Res Intercept]],-2)</f>
        <v>306200</v>
      </c>
      <c r="BD1565" s="25">
        <f>ROUND(Inventory[[#This Row],[Mdl Land Intercept]]+Inventory[[#This Row],[Mdl LnAcres]],-2)</f>
        <v>38900</v>
      </c>
      <c r="BE1565" s="25">
        <f>Inventory[[#This Row],[Unadj Res Value]]+Inventory[[#This Row],[Unadj Det Value]]+Inventory[[#This Row],[Unadj Land Value]]</f>
        <v>354900</v>
      </c>
      <c r="BF1565" s="36">
        <f>(Inventory[[#This Row],[Unadj Total Value]]-Inventory[[#This Row],[24Final]])/Inventory[[#This Row],[24Final]]</f>
        <v>7.7086494688922605E-2</v>
      </c>
      <c r="BG1565" s="25">
        <f>VLOOKUP(Inventory[[#This Row],[Nbhd]],Lookups!$Q$2:$T$4,4,FALSE)</f>
        <v>0.99970000000000003</v>
      </c>
      <c r="BH1565" s="25">
        <f>VLOOKUP(Inventory[[#This Row],[Qlty]],Lookups!$O$7:$R$21,4,FALSE)</f>
        <v>1.0067999999999999</v>
      </c>
      <c r="BI1565" s="25">
        <f>VLOOKUP(Inventory[[#This Row],[Cnd]],Lookups!$T$7:$W$16,4,FALSE)</f>
        <v>0.99650000000000005</v>
      </c>
      <c r="BJ1565" s="25">
        <f>VLOOKUP(Inventory[[#This Row],[LivArea Range]],Lookups!$T$25:$W$37,4,FALSE)</f>
        <v>1.0093000000000001</v>
      </c>
      <c r="BK1565" s="25">
        <f>VLOOKUP(Inventory[[#This Row],[Decade]],Lookups!$O$25:$R$42,4,FALSE)</f>
        <v>0.98909999999999998</v>
      </c>
      <c r="BL1565" s="25">
        <f>Inventory[[#This Row],[Nbhd Adj]]*0.95</f>
        <v>0.94971499999999998</v>
      </c>
      <c r="BM1565" s="25">
        <f>Inventory[[#This Row],[Nbhd Adj]]*Inventory[[#This Row],[Quality Adj]]*Inventory[[#This Row],[Condition Adj]]*Inventory[[#This Row],[Living Area Adj]]*Inventory[[#This Row],[Decade Adj]]*0.95</f>
        <v>0.95120534593507355</v>
      </c>
      <c r="BN1565" s="25">
        <f>ROUND(SUM(Inventory[[#This Row],[Mdl Qlty]:[Mdl WdDeck]])+Inventory[[#This Row],[Mdl Res Intercept]]*Inventory[[#This Row],[Res Adj ]],-2)</f>
        <v>306200</v>
      </c>
      <c r="BO1565" s="25">
        <f>ROUND(Inventory[[#This Row],[25Det]]*Inventory[[#This Row],[Det/Nbhd Adj]],-2)</f>
        <v>9300</v>
      </c>
      <c r="BP1565" s="25">
        <f>Inventory[[#This Row],[Adjusted Res]]+Inventory[[#This Row],[Adj Det ]]</f>
        <v>315500</v>
      </c>
      <c r="BQ1565" s="25">
        <f>ROUND((Inventory[[#This Row],[Mdl Land Intercept]]+Inventory[[#This Row],[Mdl LnAcres]])*Inventory[[#This Row],[Det/Nbhd Adj]],-2)</f>
        <v>36900</v>
      </c>
      <c r="BR1565" s="25">
        <f>Inventory[[#This Row],[Adjusted Impr Total]]+Inventory[[#This Row],[Adjusted Land Total]]</f>
        <v>352400</v>
      </c>
      <c r="BS1565" s="36">
        <f>IFERROR((Inventory[[#This Row],[Adjusted Impr Total]]-Inventory[[#This Row],[24Bldg]])/Inventory[[#This Row],[24Bldg]],0)</f>
        <v>0.16377720398376983</v>
      </c>
      <c r="BT1565" s="36">
        <f>(Inventory[[#This Row],[Adjusted Land Total]]-Inventory[[#This Row],[24Lnd]])/Inventory[[#This Row],[24Lnd]]</f>
        <v>-0.36815068493150682</v>
      </c>
      <c r="BU1565" s="36">
        <f>(Inventory[[#This Row],[Adjusted Total]]-Inventory[[#This Row],[24Final]])/Inventory[[#This Row],[24Final]]</f>
        <v>6.9499241274658577E-2</v>
      </c>
    </row>
    <row r="1566" spans="1:73" x14ac:dyDescent="0.3">
      <c r="A1566" s="25">
        <v>2025</v>
      </c>
      <c r="B1566" s="26" t="s">
        <v>1216</v>
      </c>
      <c r="C1566" s="26">
        <f>LN(Inventory[[#This Row],[Acres]])</f>
        <v>-1.7147984280919266</v>
      </c>
      <c r="D1566" s="25">
        <v>0.18</v>
      </c>
      <c r="E1566" s="31"/>
      <c r="F1566" s="26" t="s">
        <v>537</v>
      </c>
      <c r="G1566" s="26" t="s">
        <v>126</v>
      </c>
      <c r="H1566" s="26" t="s">
        <v>349</v>
      </c>
      <c r="I1566" s="26" t="s">
        <v>538</v>
      </c>
      <c r="J1566" s="26" t="s">
        <v>539</v>
      </c>
      <c r="K1566" s="26" t="s">
        <v>147</v>
      </c>
      <c r="L1566" s="26" t="s">
        <v>302</v>
      </c>
      <c r="M1566" s="26" t="s">
        <v>303</v>
      </c>
      <c r="N1566" s="26">
        <v>90</v>
      </c>
      <c r="O1566" s="26">
        <f>2024-Inventory[[#This Row],[YrBlt]]</f>
        <v>89</v>
      </c>
      <c r="P1566" s="26">
        <f>2024-Inventory[[#This Row],[EffYr]]</f>
        <v>53</v>
      </c>
      <c r="Q1566" s="25">
        <v>1935</v>
      </c>
      <c r="R1566" s="25">
        <v>1971</v>
      </c>
      <c r="S1566" s="25">
        <v>1172</v>
      </c>
      <c r="T1566" s="32">
        <v>309</v>
      </c>
      <c r="U1566" s="25">
        <v>420</v>
      </c>
      <c r="V1566" s="32">
        <f>Inventory[[#This Row],[Bsmt]]-Inventory[[#This Row],[FnBsmt]]</f>
        <v>0</v>
      </c>
      <c r="W1566" s="32">
        <v>420</v>
      </c>
      <c r="X1566" s="27"/>
      <c r="Y1566" s="27">
        <f>Inventory[[#This Row],[MainFn]]+Inventory[[#This Row],[UpprFn]]+Inventory[[#This Row],[FnBsmt]]+Inventory[[#This Row],[AddFn]]</f>
        <v>1901</v>
      </c>
      <c r="Z1566" s="27">
        <v>2000</v>
      </c>
      <c r="AA1566" s="25">
        <v>8</v>
      </c>
      <c r="AB1566" s="27"/>
      <c r="AC1566" s="27"/>
      <c r="AD1566" s="27"/>
      <c r="AE1566" s="27"/>
      <c r="AF1566" s="27"/>
      <c r="AG1566" s="27"/>
      <c r="AH1566" s="27"/>
      <c r="AI1566" s="25">
        <v>313431</v>
      </c>
      <c r="AJ1566" s="25">
        <v>216267</v>
      </c>
      <c r="AK1566" s="25">
        <v>9031</v>
      </c>
      <c r="AL1566" s="25">
        <v>348400</v>
      </c>
      <c r="AM1566" s="25">
        <v>54700</v>
      </c>
      <c r="AN1566" s="25">
        <v>293700</v>
      </c>
      <c r="AO1566" s="25">
        <v>0</v>
      </c>
      <c r="AP1566" s="25">
        <f>Lookups!$B$56*0</f>
        <v>0</v>
      </c>
      <c r="AQ1566" s="25">
        <f>Lookups!$B$56*1</f>
        <v>89850.625589999996</v>
      </c>
      <c r="AR1566" s="25">
        <f>Lookups!$B$57*Inventory[[#This Row],[LnAcres]]</f>
        <v>-54281.285314520763</v>
      </c>
      <c r="AS1566" s="25">
        <f>VLOOKUP(Inventory[[#This Row],[Qlty]],Lookups!$A$62:$E$75,2,FALSE)</f>
        <v>29814.093161000001</v>
      </c>
      <c r="AT1566" s="25">
        <f>VLOOKUP(Inventory[[#This Row],[Cnd]],Lookups!$A$76:$E$84,2,FALSE)</f>
        <v>197752.34721000001</v>
      </c>
      <c r="AU1566" s="25">
        <f>Inventory[[#This Row],[EffAge]]*Lookups!$B$85</f>
        <v>-11821.416826500001</v>
      </c>
      <c r="AV1566" s="25">
        <f>Inventory[[#This Row],[MainFn]]*Lookups!$B$86</f>
        <v>57906.961095844003</v>
      </c>
      <c r="AW1566" s="25">
        <f>Inventory[[#This Row],[UpprFn]]*Lookups!$B$87</f>
        <v>13839.004664049</v>
      </c>
      <c r="AX1566" s="25">
        <f>Inventory[[#This Row],[AddFn]]*Lookups!$B$88</f>
        <v>0</v>
      </c>
      <c r="AY1566" s="25">
        <f>Inventory[[#This Row],[Bsmt]]*Lookups!$B$89</f>
        <v>12214.396003739999</v>
      </c>
      <c r="AZ1566" s="25">
        <f>Inventory[[#This Row],[Fixtures]]*Lookups!$B$90</f>
        <v>30336.176841600001</v>
      </c>
      <c r="BA1566" s="25">
        <f>Inventory[[#This Row],[WdDeck]]*Lookups!$B$91</f>
        <v>0</v>
      </c>
      <c r="BB1566" s="25">
        <f>ROUND(Inventory[[#This Row],[25Det]],-2)</f>
        <v>9000</v>
      </c>
      <c r="BC1566" s="25">
        <f>ROUND(SUM(Inventory[[#This Row],[Mdl Qlty]:[Mdl WdDeck]])+Inventory[[#This Row],[Mdl Res Intercept]],-2)</f>
        <v>330000</v>
      </c>
      <c r="BD1566" s="25">
        <f>ROUND(Inventory[[#This Row],[Mdl Land Intercept]]+Inventory[[#This Row],[Mdl LnAcres]],-2)</f>
        <v>35600</v>
      </c>
      <c r="BE1566" s="25">
        <f>Inventory[[#This Row],[Unadj Res Value]]+Inventory[[#This Row],[Unadj Det Value]]+Inventory[[#This Row],[Unadj Land Value]]</f>
        <v>374600</v>
      </c>
      <c r="BF1566" s="36">
        <f>(Inventory[[#This Row],[Unadj Total Value]]-Inventory[[#This Row],[24Final]])/Inventory[[#This Row],[24Final]]</f>
        <v>7.520091848450057E-2</v>
      </c>
      <c r="BG1566" s="25">
        <f>VLOOKUP(Inventory[[#This Row],[Nbhd]],Lookups!$Q$2:$T$4,4,FALSE)</f>
        <v>0.99970000000000003</v>
      </c>
      <c r="BH1566" s="25">
        <f>VLOOKUP(Inventory[[#This Row],[Qlty]],Lookups!$O$7:$R$21,4,FALSE)</f>
        <v>1.0088999999999999</v>
      </c>
      <c r="BI1566" s="25">
        <f>VLOOKUP(Inventory[[#This Row],[Cnd]],Lookups!$T$7:$W$16,4,FALSE)</f>
        <v>0.99650000000000005</v>
      </c>
      <c r="BJ1566" s="25">
        <f>VLOOKUP(Inventory[[#This Row],[LivArea Range]],Lookups!$T$25:$W$37,4,FALSE)</f>
        <v>1.0093000000000001</v>
      </c>
      <c r="BK1566" s="25">
        <f>VLOOKUP(Inventory[[#This Row],[Decade]],Lookups!$O$25:$R$42,4,FALSE)</f>
        <v>0.98909999999999998</v>
      </c>
      <c r="BL1566" s="25">
        <f>Inventory[[#This Row],[Nbhd Adj]]*0.95</f>
        <v>0.94971499999999998</v>
      </c>
      <c r="BM1566" s="25">
        <f>Inventory[[#This Row],[Nbhd Adj]]*Inventory[[#This Row],[Quality Adj]]*Inventory[[#This Row],[Condition Adj]]*Inventory[[#This Row],[Living Area Adj]]*Inventory[[#This Row],[Decade Adj]]*0.95</f>
        <v>0.95318938569119571</v>
      </c>
      <c r="BN1566" s="25">
        <f>ROUND(SUM(Inventory[[#This Row],[Mdl Qlty]:[Mdl WdDeck]])+Inventory[[#This Row],[Mdl Res Intercept]]*Inventory[[#This Row],[Res Adj ]],-2)</f>
        <v>330000</v>
      </c>
      <c r="BO1566" s="25">
        <f>ROUND(Inventory[[#This Row],[25Det]]*Inventory[[#This Row],[Det/Nbhd Adj]],-2)</f>
        <v>8600</v>
      </c>
      <c r="BP1566" s="25">
        <f>Inventory[[#This Row],[Adjusted Res]]+Inventory[[#This Row],[Adj Det ]]</f>
        <v>338600</v>
      </c>
      <c r="BQ1566" s="25">
        <f>ROUND((Inventory[[#This Row],[Mdl Land Intercept]]+Inventory[[#This Row],[Mdl LnAcres]])*Inventory[[#This Row],[Det/Nbhd Adj]],-2)</f>
        <v>33800</v>
      </c>
      <c r="BR1566" s="25">
        <f>Inventory[[#This Row],[Adjusted Impr Total]]+Inventory[[#This Row],[Adjusted Land Total]]</f>
        <v>372400</v>
      </c>
      <c r="BS1566" s="36">
        <f>IFERROR((Inventory[[#This Row],[Adjusted Impr Total]]-Inventory[[#This Row],[24Bldg]])/Inventory[[#This Row],[24Bldg]],0)</f>
        <v>0.15287708546135512</v>
      </c>
      <c r="BT1566" s="36">
        <f>(Inventory[[#This Row],[Adjusted Land Total]]-Inventory[[#This Row],[24Lnd]])/Inventory[[#This Row],[24Lnd]]</f>
        <v>-0.38208409506398539</v>
      </c>
      <c r="BU1566" s="36">
        <f>(Inventory[[#This Row],[Adjusted Total]]-Inventory[[#This Row],[24Final]])/Inventory[[#This Row],[24Final]]</f>
        <v>6.8886337543053955E-2</v>
      </c>
    </row>
    <row r="1567" spans="1:73" x14ac:dyDescent="0.3">
      <c r="A1567" s="25">
        <v>2025</v>
      </c>
      <c r="B1567" s="26" t="s">
        <v>2760</v>
      </c>
      <c r="C1567" s="26">
        <f>LN(Inventory[[#This Row],[Acres]])</f>
        <v>-1.9661128563728327</v>
      </c>
      <c r="D1567" s="25">
        <v>0.14000000000000001</v>
      </c>
      <c r="E1567" s="25">
        <v>6128</v>
      </c>
      <c r="F1567" s="26" t="s">
        <v>537</v>
      </c>
      <c r="G1567" s="26" t="s">
        <v>126</v>
      </c>
      <c r="H1567" s="26" t="s">
        <v>349</v>
      </c>
      <c r="I1567" s="26" t="s">
        <v>538</v>
      </c>
      <c r="J1567" s="26" t="s">
        <v>539</v>
      </c>
      <c r="K1567" s="26" t="s">
        <v>147</v>
      </c>
      <c r="L1567" s="26" t="s">
        <v>148</v>
      </c>
      <c r="M1567" s="26" t="s">
        <v>303</v>
      </c>
      <c r="N1567" s="26">
        <v>90</v>
      </c>
      <c r="O1567" s="26">
        <f>2024-Inventory[[#This Row],[YrBlt]]</f>
        <v>89</v>
      </c>
      <c r="P1567" s="26">
        <f>2024-Inventory[[#This Row],[EffYr]]</f>
        <v>53</v>
      </c>
      <c r="Q1567" s="25">
        <v>1935</v>
      </c>
      <c r="R1567" s="25">
        <v>1971</v>
      </c>
      <c r="S1567" s="25">
        <v>853</v>
      </c>
      <c r="T1567" s="32">
        <v>700</v>
      </c>
      <c r="U1567" s="25">
        <v>853</v>
      </c>
      <c r="V1567" s="25">
        <f>Inventory[[#This Row],[Bsmt]]-Inventory[[#This Row],[FnBsmt]]</f>
        <v>0</v>
      </c>
      <c r="W1567" s="25">
        <v>853</v>
      </c>
      <c r="X1567" s="27"/>
      <c r="Y1567" s="27">
        <f>Inventory[[#This Row],[MainFn]]+Inventory[[#This Row],[UpprFn]]+Inventory[[#This Row],[FnBsmt]]+Inventory[[#This Row],[AddFn]]</f>
        <v>2406</v>
      </c>
      <c r="Z1567" s="27">
        <v>2500</v>
      </c>
      <c r="AA1567" s="25">
        <v>11</v>
      </c>
      <c r="AB1567" s="27"/>
      <c r="AC1567" s="27"/>
      <c r="AD1567" s="32">
        <v>80</v>
      </c>
      <c r="AE1567" s="27"/>
      <c r="AF1567" s="27"/>
      <c r="AG1567" s="27"/>
      <c r="AH1567" s="27"/>
      <c r="AI1567" s="25">
        <v>459686</v>
      </c>
      <c r="AJ1567" s="25">
        <v>317183</v>
      </c>
      <c r="AK1567" s="25">
        <v>10397</v>
      </c>
      <c r="AL1567" s="25">
        <v>382800</v>
      </c>
      <c r="AM1567" s="25">
        <v>46000</v>
      </c>
      <c r="AN1567" s="25">
        <v>336800</v>
      </c>
      <c r="AO1567" s="25">
        <v>0</v>
      </c>
      <c r="AP1567" s="25">
        <f>Lookups!$B$56*0</f>
        <v>0</v>
      </c>
      <c r="AQ1567" s="25">
        <f>Lookups!$B$56*1</f>
        <v>89850.625589999996</v>
      </c>
      <c r="AR1567" s="25">
        <f>Lookups!$B$57*Inventory[[#This Row],[LnAcres]]</f>
        <v>-62236.546971921947</v>
      </c>
      <c r="AS1567" s="25">
        <f>VLOOKUP(Inventory[[#This Row],[Qlty]],Lookups!$A$62:$E$75,2,FALSE)</f>
        <v>44121.038090000002</v>
      </c>
      <c r="AT1567" s="25">
        <f>VLOOKUP(Inventory[[#This Row],[Cnd]],Lookups!$A$76:$E$84,2,FALSE)</f>
        <v>197752.34721000001</v>
      </c>
      <c r="AU1567" s="25">
        <f>Inventory[[#This Row],[EffAge]]*Lookups!$B$85</f>
        <v>-11821.416826500001</v>
      </c>
      <c r="AV1567" s="25">
        <f>Inventory[[#This Row],[MainFn]]*Lookups!$B$86</f>
        <v>42145.595405081003</v>
      </c>
      <c r="AW1567" s="25">
        <f>Inventory[[#This Row],[UpprFn]]*Lookups!$B$87</f>
        <v>31350.496002699998</v>
      </c>
      <c r="AX1567" s="25">
        <f>Inventory[[#This Row],[AddFn]]*Lookups!$B$88</f>
        <v>0</v>
      </c>
      <c r="AY1567" s="25">
        <f>Inventory[[#This Row],[Bsmt]]*Lookups!$B$89</f>
        <v>24806.856645690998</v>
      </c>
      <c r="AZ1567" s="25">
        <f>Inventory[[#This Row],[Fixtures]]*Lookups!$B$90</f>
        <v>41712.243157199999</v>
      </c>
      <c r="BA1567" s="25">
        <f>Inventory[[#This Row],[WdDeck]]*Lookups!$B$91</f>
        <v>2663.6412220800003</v>
      </c>
      <c r="BB1567" s="25">
        <f>ROUND(Inventory[[#This Row],[25Det]],-2)</f>
        <v>10400</v>
      </c>
      <c r="BC1567" s="25">
        <f>ROUND(SUM(Inventory[[#This Row],[Mdl Qlty]:[Mdl WdDeck]])+Inventory[[#This Row],[Mdl Res Intercept]],-2)</f>
        <v>372700</v>
      </c>
      <c r="BD1567" s="25">
        <f>ROUND(Inventory[[#This Row],[Mdl Land Intercept]]+Inventory[[#This Row],[Mdl LnAcres]],-2)</f>
        <v>27600</v>
      </c>
      <c r="BE1567" s="25">
        <f>Inventory[[#This Row],[Unadj Res Value]]+Inventory[[#This Row],[Unadj Det Value]]+Inventory[[#This Row],[Unadj Land Value]]</f>
        <v>410700</v>
      </c>
      <c r="BF1567" s="36">
        <f>(Inventory[[#This Row],[Unadj Total Value]]-Inventory[[#This Row],[24Final]])/Inventory[[#This Row],[24Final]]</f>
        <v>7.2884012539184959E-2</v>
      </c>
      <c r="BG1567" s="25">
        <f>VLOOKUP(Inventory[[#This Row],[Nbhd]],Lookups!$Q$2:$T$4,4,FALSE)</f>
        <v>0.99970000000000003</v>
      </c>
      <c r="BH1567" s="25">
        <f>VLOOKUP(Inventory[[#This Row],[Qlty]],Lookups!$O$7:$R$21,4,FALSE)</f>
        <v>0.98050000000000004</v>
      </c>
      <c r="BI1567" s="25">
        <f>VLOOKUP(Inventory[[#This Row],[Cnd]],Lookups!$T$7:$W$16,4,FALSE)</f>
        <v>0.99650000000000005</v>
      </c>
      <c r="BJ1567" s="25">
        <f>VLOOKUP(Inventory[[#This Row],[LivArea Range]],Lookups!$T$25:$W$37,4,FALSE)</f>
        <v>0.98919999999999997</v>
      </c>
      <c r="BK1567" s="25">
        <f>VLOOKUP(Inventory[[#This Row],[Decade]],Lookups!$O$25:$R$42,4,FALSE)</f>
        <v>0.98909999999999998</v>
      </c>
      <c r="BL1567" s="25">
        <f>Inventory[[#This Row],[Nbhd Adj]]*0.95</f>
        <v>0.94971499999999998</v>
      </c>
      <c r="BM1567" s="25">
        <f>Inventory[[#This Row],[Nbhd Adj]]*Inventory[[#This Row],[Quality Adj]]*Inventory[[#This Row],[Condition Adj]]*Inventory[[#This Row],[Living Area Adj]]*Inventory[[#This Row],[Decade Adj]]*0.95</f>
        <v>0.90790939042342744</v>
      </c>
      <c r="BN1567" s="25">
        <f>ROUND(SUM(Inventory[[#This Row],[Mdl Qlty]:[Mdl WdDeck]])+Inventory[[#This Row],[Mdl Res Intercept]]*Inventory[[#This Row],[Res Adj ]],-2)</f>
        <v>372700</v>
      </c>
      <c r="BO1567" s="25">
        <f>ROUND(Inventory[[#This Row],[25Det]]*Inventory[[#This Row],[Det/Nbhd Adj]],-2)</f>
        <v>9900</v>
      </c>
      <c r="BP1567" s="25">
        <f>Inventory[[#This Row],[Adjusted Res]]+Inventory[[#This Row],[Adj Det ]]</f>
        <v>382600</v>
      </c>
      <c r="BQ1567" s="25">
        <f>ROUND((Inventory[[#This Row],[Mdl Land Intercept]]+Inventory[[#This Row],[Mdl LnAcres]])*Inventory[[#This Row],[Det/Nbhd Adj]],-2)</f>
        <v>26200</v>
      </c>
      <c r="BR1567" s="25">
        <f>Inventory[[#This Row],[Adjusted Impr Total]]+Inventory[[#This Row],[Adjusted Land Total]]</f>
        <v>408800</v>
      </c>
      <c r="BS1567" s="36">
        <f>IFERROR((Inventory[[#This Row],[Adjusted Impr Total]]-Inventory[[#This Row],[24Bldg]])/Inventory[[#This Row],[24Bldg]],0)</f>
        <v>0.13598574821852732</v>
      </c>
      <c r="BT1567" s="36">
        <f>(Inventory[[#This Row],[Adjusted Land Total]]-Inventory[[#This Row],[24Lnd]])/Inventory[[#This Row],[24Lnd]]</f>
        <v>-0.43043478260869567</v>
      </c>
      <c r="BU1567" s="36">
        <f>(Inventory[[#This Row],[Adjusted Total]]-Inventory[[#This Row],[24Final]])/Inventory[[#This Row],[24Final]]</f>
        <v>6.7920585161964475E-2</v>
      </c>
    </row>
    <row r="1568" spans="1:73" x14ac:dyDescent="0.3">
      <c r="A1568" s="25">
        <v>2025</v>
      </c>
      <c r="B1568" s="26" t="s">
        <v>2188</v>
      </c>
      <c r="C1568" s="26">
        <f>LN(Inventory[[#This Row],[Acres]])</f>
        <v>-1.8971199848858813</v>
      </c>
      <c r="D1568" s="25">
        <v>0.15</v>
      </c>
      <c r="E1568" s="25">
        <v>6737</v>
      </c>
      <c r="F1568" s="26" t="s">
        <v>537</v>
      </c>
      <c r="G1568" s="26" t="s">
        <v>126</v>
      </c>
      <c r="H1568" s="26" t="s">
        <v>349</v>
      </c>
      <c r="I1568" s="26" t="s">
        <v>538</v>
      </c>
      <c r="J1568" s="26" t="s">
        <v>539</v>
      </c>
      <c r="K1568" s="26" t="s">
        <v>269</v>
      </c>
      <c r="L1568" s="26" t="s">
        <v>351</v>
      </c>
      <c r="M1568" s="26" t="s">
        <v>303</v>
      </c>
      <c r="N1568" s="26">
        <v>90</v>
      </c>
      <c r="O1568" s="26">
        <f>2024-Inventory[[#This Row],[YrBlt]]</f>
        <v>89</v>
      </c>
      <c r="P1568" s="26">
        <f>2024-Inventory[[#This Row],[EffYr]]</f>
        <v>38</v>
      </c>
      <c r="Q1568" s="25">
        <v>1935</v>
      </c>
      <c r="R1568" s="25">
        <v>1986</v>
      </c>
      <c r="S1568" s="25">
        <v>1072</v>
      </c>
      <c r="T1568" s="27"/>
      <c r="U1568" s="25">
        <v>1072</v>
      </c>
      <c r="V1568" s="32">
        <f>Inventory[[#This Row],[Bsmt]]-Inventory[[#This Row],[FnBsmt]]</f>
        <v>0</v>
      </c>
      <c r="W1568" s="32">
        <v>1072</v>
      </c>
      <c r="X1568" s="27"/>
      <c r="Y1568" s="27">
        <f>Inventory[[#This Row],[MainFn]]+Inventory[[#This Row],[UpprFn]]+Inventory[[#This Row],[FnBsmt]]+Inventory[[#This Row],[AddFn]]</f>
        <v>2144</v>
      </c>
      <c r="Z1568" s="27">
        <v>2500</v>
      </c>
      <c r="AA1568" s="25">
        <v>9</v>
      </c>
      <c r="AB1568" s="27"/>
      <c r="AC1568" s="27"/>
      <c r="AD1568" s="27"/>
      <c r="AE1568" s="27"/>
      <c r="AF1568" s="27"/>
      <c r="AG1568" s="27"/>
      <c r="AH1568" s="27"/>
      <c r="AI1568" s="25">
        <v>277732</v>
      </c>
      <c r="AJ1568" s="25">
        <v>233295</v>
      </c>
      <c r="AK1568" s="25">
        <v>6227</v>
      </c>
      <c r="AL1568" s="25">
        <v>340300</v>
      </c>
      <c r="AM1568" s="25">
        <v>48400</v>
      </c>
      <c r="AN1568" s="25">
        <v>291900</v>
      </c>
      <c r="AO1568" s="25">
        <v>0</v>
      </c>
      <c r="AP1568" s="25">
        <f>Lookups!$B$56*0</f>
        <v>0</v>
      </c>
      <c r="AQ1568" s="25">
        <f>Lookups!$B$56*1</f>
        <v>89850.625589999996</v>
      </c>
      <c r="AR1568" s="25">
        <f>Lookups!$B$57*Inventory[[#This Row],[LnAcres]]</f>
        <v>-60052.604136134301</v>
      </c>
      <c r="AS1568" s="25">
        <f>VLOOKUP(Inventory[[#This Row],[Qlty]],Lookups!$A$62:$E$75,2,FALSE)</f>
        <v>21557.329055999999</v>
      </c>
      <c r="AT1568" s="25">
        <f>VLOOKUP(Inventory[[#This Row],[Cnd]],Lookups!$A$76:$E$84,2,FALSE)</f>
        <v>197752.34721000001</v>
      </c>
      <c r="AU1568" s="25">
        <f>Inventory[[#This Row],[EffAge]]*Lookups!$B$85</f>
        <v>-8475.7328190000007</v>
      </c>
      <c r="AV1568" s="25">
        <f>Inventory[[#This Row],[MainFn]]*Lookups!$B$86</f>
        <v>52966.094108144003</v>
      </c>
      <c r="AW1568" s="25">
        <f>Inventory[[#This Row],[UpprFn]]*Lookups!$B$87</f>
        <v>0</v>
      </c>
      <c r="AX1568" s="25">
        <f>Inventory[[#This Row],[AddFn]]*Lookups!$B$88</f>
        <v>0</v>
      </c>
      <c r="AY1568" s="25">
        <f>Inventory[[#This Row],[Bsmt]]*Lookups!$B$89</f>
        <v>31175.791704783998</v>
      </c>
      <c r="AZ1568" s="25">
        <f>Inventory[[#This Row],[Fixtures]]*Lookups!$B$90</f>
        <v>34128.198946800003</v>
      </c>
      <c r="BA1568" s="25">
        <f>Inventory[[#This Row],[WdDeck]]*Lookups!$B$91</f>
        <v>0</v>
      </c>
      <c r="BB1568" s="25">
        <f>ROUND(Inventory[[#This Row],[25Det]],-2)</f>
        <v>6200</v>
      </c>
      <c r="BC1568" s="25">
        <f>ROUND(SUM(Inventory[[#This Row],[Mdl Qlty]:[Mdl WdDeck]])+Inventory[[#This Row],[Mdl Res Intercept]],-2)</f>
        <v>329100</v>
      </c>
      <c r="BD1568" s="25">
        <f>ROUND(Inventory[[#This Row],[Mdl Land Intercept]]+Inventory[[#This Row],[Mdl LnAcres]],-2)</f>
        <v>29800</v>
      </c>
      <c r="BE1568" s="25">
        <f>Inventory[[#This Row],[Unadj Res Value]]+Inventory[[#This Row],[Unadj Det Value]]+Inventory[[#This Row],[Unadj Land Value]]</f>
        <v>365100</v>
      </c>
      <c r="BF1568" s="36">
        <f>(Inventory[[#This Row],[Unadj Total Value]]-Inventory[[#This Row],[24Final]])/Inventory[[#This Row],[24Final]]</f>
        <v>7.2876873347046719E-2</v>
      </c>
      <c r="BG1568" s="25">
        <f>VLOOKUP(Inventory[[#This Row],[Nbhd]],Lookups!$Q$2:$T$4,4,FALSE)</f>
        <v>0.99970000000000003</v>
      </c>
      <c r="BH1568" s="25">
        <f>VLOOKUP(Inventory[[#This Row],[Qlty]],Lookups!$O$7:$R$21,4,FALSE)</f>
        <v>1.0067999999999999</v>
      </c>
      <c r="BI1568" s="25">
        <f>VLOOKUP(Inventory[[#This Row],[Cnd]],Lookups!$T$7:$W$16,4,FALSE)</f>
        <v>0.99650000000000005</v>
      </c>
      <c r="BJ1568" s="25">
        <f>VLOOKUP(Inventory[[#This Row],[LivArea Range]],Lookups!$T$25:$W$37,4,FALSE)</f>
        <v>0.98919999999999997</v>
      </c>
      <c r="BK1568" s="25">
        <f>VLOOKUP(Inventory[[#This Row],[Decade]],Lookups!$O$25:$R$42,4,FALSE)</f>
        <v>0.98909999999999998</v>
      </c>
      <c r="BL1568" s="25">
        <f>Inventory[[#This Row],[Nbhd Adj]]*0.95</f>
        <v>0.94971499999999998</v>
      </c>
      <c r="BM1568" s="25">
        <f>Inventory[[#This Row],[Nbhd Adj]]*Inventory[[#This Row],[Quality Adj]]*Inventory[[#This Row],[Condition Adj]]*Inventory[[#This Row],[Living Area Adj]]*Inventory[[#This Row],[Decade Adj]]*0.95</f>
        <v>0.9322622889120924</v>
      </c>
      <c r="BN1568" s="25">
        <f>ROUND(SUM(Inventory[[#This Row],[Mdl Qlty]:[Mdl WdDeck]])+Inventory[[#This Row],[Mdl Res Intercept]]*Inventory[[#This Row],[Res Adj ]],-2)</f>
        <v>329100</v>
      </c>
      <c r="BO1568" s="25">
        <f>ROUND(Inventory[[#This Row],[25Det]]*Inventory[[#This Row],[Det/Nbhd Adj]],-2)</f>
        <v>5900</v>
      </c>
      <c r="BP1568" s="25">
        <f>Inventory[[#This Row],[Adjusted Res]]+Inventory[[#This Row],[Adj Det ]]</f>
        <v>335000</v>
      </c>
      <c r="BQ1568" s="25">
        <f>ROUND((Inventory[[#This Row],[Mdl Land Intercept]]+Inventory[[#This Row],[Mdl LnAcres]])*Inventory[[#This Row],[Det/Nbhd Adj]],-2)</f>
        <v>28300</v>
      </c>
      <c r="BR1568" s="25">
        <f>Inventory[[#This Row],[Adjusted Impr Total]]+Inventory[[#This Row],[Adjusted Land Total]]</f>
        <v>363300</v>
      </c>
      <c r="BS1568" s="36">
        <f>IFERROR((Inventory[[#This Row],[Adjusted Impr Total]]-Inventory[[#This Row],[24Bldg]])/Inventory[[#This Row],[24Bldg]],0)</f>
        <v>0.14765330592668721</v>
      </c>
      <c r="BT1568" s="36">
        <f>(Inventory[[#This Row],[Adjusted Land Total]]-Inventory[[#This Row],[24Lnd]])/Inventory[[#This Row],[24Lnd]]</f>
        <v>-0.41528925619834711</v>
      </c>
      <c r="BU1568" s="36">
        <f>(Inventory[[#This Row],[Adjusted Total]]-Inventory[[#This Row],[24Final]])/Inventory[[#This Row],[24Final]]</f>
        <v>6.7587422862180432E-2</v>
      </c>
    </row>
    <row r="1569" spans="1:73" x14ac:dyDescent="0.3">
      <c r="A1569" s="25">
        <v>2025</v>
      </c>
      <c r="B1569" s="26" t="s">
        <v>2576</v>
      </c>
      <c r="C1569" s="26">
        <f>LN(Inventory[[#This Row],[Acres]])</f>
        <v>-1.9661128563728327</v>
      </c>
      <c r="D1569" s="25">
        <v>0.14000000000000001</v>
      </c>
      <c r="E1569" s="31"/>
      <c r="F1569" s="26" t="s">
        <v>537</v>
      </c>
      <c r="G1569" s="26" t="s">
        <v>126</v>
      </c>
      <c r="H1569" s="26" t="s">
        <v>349</v>
      </c>
      <c r="I1569" s="26" t="s">
        <v>538</v>
      </c>
      <c r="J1569" s="26" t="s">
        <v>539</v>
      </c>
      <c r="K1569" s="26" t="s">
        <v>242</v>
      </c>
      <c r="L1569" s="26" t="s">
        <v>302</v>
      </c>
      <c r="M1569" s="26" t="s">
        <v>303</v>
      </c>
      <c r="N1569" s="26">
        <v>90</v>
      </c>
      <c r="O1569" s="26">
        <f>2024-Inventory[[#This Row],[YrBlt]]</f>
        <v>89</v>
      </c>
      <c r="P1569" s="26">
        <f>2024-Inventory[[#This Row],[EffYr]]</f>
        <v>53</v>
      </c>
      <c r="Q1569" s="25">
        <v>1935</v>
      </c>
      <c r="R1569" s="25">
        <v>1971</v>
      </c>
      <c r="S1569" s="25">
        <v>1115</v>
      </c>
      <c r="T1569" s="31"/>
      <c r="U1569" s="25">
        <v>672</v>
      </c>
      <c r="V1569" s="25">
        <f>Inventory[[#This Row],[Bsmt]]-Inventory[[#This Row],[FnBsmt]]</f>
        <v>0</v>
      </c>
      <c r="W1569" s="25">
        <v>672</v>
      </c>
      <c r="X1569" s="27"/>
      <c r="Y1569" s="27">
        <f>Inventory[[#This Row],[MainFn]]+Inventory[[#This Row],[UpprFn]]+Inventory[[#This Row],[FnBsmt]]+Inventory[[#This Row],[AddFn]]</f>
        <v>1787</v>
      </c>
      <c r="Z1569" s="27">
        <v>2000</v>
      </c>
      <c r="AA1569" s="25">
        <v>8</v>
      </c>
      <c r="AB1569" s="27"/>
      <c r="AC1569" s="32">
        <v>347</v>
      </c>
      <c r="AD1569" s="31"/>
      <c r="AE1569" s="27"/>
      <c r="AF1569" s="27"/>
      <c r="AG1569" s="27"/>
      <c r="AH1569" s="27"/>
      <c r="AI1569" s="25">
        <v>312646</v>
      </c>
      <c r="AJ1569" s="25">
        <v>215726</v>
      </c>
      <c r="AK1569" s="25">
        <v>9708</v>
      </c>
      <c r="AL1569" s="25">
        <v>333600</v>
      </c>
      <c r="AM1569" s="25">
        <v>46000</v>
      </c>
      <c r="AN1569" s="25">
        <v>287600</v>
      </c>
      <c r="AO1569" s="25">
        <v>0</v>
      </c>
      <c r="AP1569" s="25">
        <f>Lookups!$B$56*0</f>
        <v>0</v>
      </c>
      <c r="AQ1569" s="25">
        <f>Lookups!$B$56*1</f>
        <v>89850.625589999996</v>
      </c>
      <c r="AR1569" s="25">
        <f>Lookups!$B$57*Inventory[[#This Row],[LnAcres]]</f>
        <v>-62236.546971921947</v>
      </c>
      <c r="AS1569" s="25">
        <f>VLOOKUP(Inventory[[#This Row],[Qlty]],Lookups!$A$62:$E$75,2,FALSE)</f>
        <v>29814.093161000001</v>
      </c>
      <c r="AT1569" s="25">
        <f>VLOOKUP(Inventory[[#This Row],[Cnd]],Lookups!$A$76:$E$84,2,FALSE)</f>
        <v>197752.34721000001</v>
      </c>
      <c r="AU1569" s="25">
        <f>Inventory[[#This Row],[EffAge]]*Lookups!$B$85</f>
        <v>-11821.416826500001</v>
      </c>
      <c r="AV1569" s="25">
        <f>Inventory[[#This Row],[MainFn]]*Lookups!$B$86</f>
        <v>55090.666912854998</v>
      </c>
      <c r="AW1569" s="25">
        <f>Inventory[[#This Row],[UpprFn]]*Lookups!$B$87</f>
        <v>0</v>
      </c>
      <c r="AX1569" s="25">
        <f>Inventory[[#This Row],[AddFn]]*Lookups!$B$88</f>
        <v>0</v>
      </c>
      <c r="AY1569" s="25">
        <f>Inventory[[#This Row],[Bsmt]]*Lookups!$B$89</f>
        <v>19543.033605983997</v>
      </c>
      <c r="AZ1569" s="25">
        <f>Inventory[[#This Row],[Fixtures]]*Lookups!$B$90</f>
        <v>30336.176841600001</v>
      </c>
      <c r="BA1569" s="25">
        <f>Inventory[[#This Row],[WdDeck]]*Lookups!$B$91</f>
        <v>0</v>
      </c>
      <c r="BB1569" s="25">
        <f>ROUND(Inventory[[#This Row],[25Det]],-2)</f>
        <v>9700</v>
      </c>
      <c r="BC1569" s="25">
        <f>ROUND(SUM(Inventory[[#This Row],[Mdl Qlty]:[Mdl WdDeck]])+Inventory[[#This Row],[Mdl Res Intercept]],-2)</f>
        <v>320700</v>
      </c>
      <c r="BD1569" s="25">
        <f>ROUND(Inventory[[#This Row],[Mdl Land Intercept]]+Inventory[[#This Row],[Mdl LnAcres]],-2)</f>
        <v>27600</v>
      </c>
      <c r="BE1569" s="25">
        <f>Inventory[[#This Row],[Unadj Res Value]]+Inventory[[#This Row],[Unadj Det Value]]+Inventory[[#This Row],[Unadj Land Value]]</f>
        <v>358000</v>
      </c>
      <c r="BF1569" s="36">
        <f>(Inventory[[#This Row],[Unadj Total Value]]-Inventory[[#This Row],[24Final]])/Inventory[[#This Row],[24Final]]</f>
        <v>7.3141486810551562E-2</v>
      </c>
      <c r="BG1569" s="25">
        <f>VLOOKUP(Inventory[[#This Row],[Nbhd]],Lookups!$Q$2:$T$4,4,FALSE)</f>
        <v>0.99970000000000003</v>
      </c>
      <c r="BH1569" s="25">
        <f>VLOOKUP(Inventory[[#This Row],[Qlty]],Lookups!$O$7:$R$21,4,FALSE)</f>
        <v>1.0088999999999999</v>
      </c>
      <c r="BI1569" s="25">
        <f>VLOOKUP(Inventory[[#This Row],[Cnd]],Lookups!$T$7:$W$16,4,FALSE)</f>
        <v>0.99650000000000005</v>
      </c>
      <c r="BJ1569" s="25">
        <f>VLOOKUP(Inventory[[#This Row],[LivArea Range]],Lookups!$T$25:$W$37,4,FALSE)</f>
        <v>1.0093000000000001</v>
      </c>
      <c r="BK1569" s="25">
        <f>VLOOKUP(Inventory[[#This Row],[Decade]],Lookups!$O$25:$R$42,4,FALSE)</f>
        <v>0.98909999999999998</v>
      </c>
      <c r="BL1569" s="25">
        <f>Inventory[[#This Row],[Nbhd Adj]]*0.95</f>
        <v>0.94971499999999998</v>
      </c>
      <c r="BM1569" s="25">
        <f>Inventory[[#This Row],[Nbhd Adj]]*Inventory[[#This Row],[Quality Adj]]*Inventory[[#This Row],[Condition Adj]]*Inventory[[#This Row],[Living Area Adj]]*Inventory[[#This Row],[Decade Adj]]*0.95</f>
        <v>0.95318938569119571</v>
      </c>
      <c r="BN1569" s="25">
        <f>ROUND(SUM(Inventory[[#This Row],[Mdl Qlty]:[Mdl WdDeck]])+Inventory[[#This Row],[Mdl Res Intercept]]*Inventory[[#This Row],[Res Adj ]],-2)</f>
        <v>320700</v>
      </c>
      <c r="BO1569" s="25">
        <f>ROUND(Inventory[[#This Row],[25Det]]*Inventory[[#This Row],[Det/Nbhd Adj]],-2)</f>
        <v>9200</v>
      </c>
      <c r="BP1569" s="25">
        <f>Inventory[[#This Row],[Adjusted Res]]+Inventory[[#This Row],[Adj Det ]]</f>
        <v>329900</v>
      </c>
      <c r="BQ1569" s="25">
        <f>ROUND((Inventory[[#This Row],[Mdl Land Intercept]]+Inventory[[#This Row],[Mdl LnAcres]])*Inventory[[#This Row],[Det/Nbhd Adj]],-2)</f>
        <v>26200</v>
      </c>
      <c r="BR1569" s="25">
        <f>Inventory[[#This Row],[Adjusted Impr Total]]+Inventory[[#This Row],[Adjusted Land Total]]</f>
        <v>356100</v>
      </c>
      <c r="BS1569" s="36">
        <f>IFERROR((Inventory[[#This Row],[Adjusted Impr Total]]-Inventory[[#This Row],[24Bldg]])/Inventory[[#This Row],[24Bldg]],0)</f>
        <v>0.14707927677329624</v>
      </c>
      <c r="BT1569" s="36">
        <f>(Inventory[[#This Row],[Adjusted Land Total]]-Inventory[[#This Row],[24Lnd]])/Inventory[[#This Row],[24Lnd]]</f>
        <v>-0.43043478260869567</v>
      </c>
      <c r="BU1569" s="36">
        <f>(Inventory[[#This Row],[Adjusted Total]]-Inventory[[#This Row],[24Final]])/Inventory[[#This Row],[24Final]]</f>
        <v>6.7446043165467623E-2</v>
      </c>
    </row>
    <row r="1570" spans="1:73" x14ac:dyDescent="0.3">
      <c r="A1570" s="25">
        <v>2025</v>
      </c>
      <c r="B1570" s="26" t="s">
        <v>2166</v>
      </c>
      <c r="C1570" s="26">
        <f>LN(Inventory[[#This Row],[Acres]])</f>
        <v>-1.4271163556401458</v>
      </c>
      <c r="D1570" s="25">
        <v>0.24</v>
      </c>
      <c r="E1570" s="32">
        <v>10462</v>
      </c>
      <c r="F1570" s="26" t="s">
        <v>537</v>
      </c>
      <c r="G1570" s="26" t="s">
        <v>126</v>
      </c>
      <c r="H1570" s="26" t="s">
        <v>349</v>
      </c>
      <c r="I1570" s="26" t="s">
        <v>538</v>
      </c>
      <c r="J1570" s="26" t="s">
        <v>539</v>
      </c>
      <c r="K1570" s="26" t="s">
        <v>241</v>
      </c>
      <c r="L1570" s="26" t="s">
        <v>148</v>
      </c>
      <c r="M1570" s="26" t="s">
        <v>303</v>
      </c>
      <c r="N1570" s="26">
        <v>90</v>
      </c>
      <c r="O1570" s="26">
        <f>2024-Inventory[[#This Row],[YrBlt]]</f>
        <v>89</v>
      </c>
      <c r="P1570" s="26">
        <f>2024-Inventory[[#This Row],[EffYr]]</f>
        <v>53</v>
      </c>
      <c r="Q1570" s="25">
        <v>1935</v>
      </c>
      <c r="R1570" s="25">
        <v>1971</v>
      </c>
      <c r="S1570" s="25">
        <v>1478</v>
      </c>
      <c r="T1570" s="27"/>
      <c r="U1570" s="25">
        <v>1478</v>
      </c>
      <c r="V1570" s="25">
        <f>Inventory[[#This Row],[Bsmt]]-Inventory[[#This Row],[FnBsmt]]</f>
        <v>725</v>
      </c>
      <c r="W1570" s="25">
        <v>753</v>
      </c>
      <c r="X1570" s="27"/>
      <c r="Y1570" s="27">
        <f>Inventory[[#This Row],[MainFn]]+Inventory[[#This Row],[UpprFn]]+Inventory[[#This Row],[FnBsmt]]+Inventory[[#This Row],[AddFn]]</f>
        <v>2231</v>
      </c>
      <c r="Z1570" s="27">
        <v>2500</v>
      </c>
      <c r="AA1570" s="25">
        <v>7</v>
      </c>
      <c r="AB1570" s="27"/>
      <c r="AC1570" s="27"/>
      <c r="AD1570" s="27"/>
      <c r="AE1570" s="27"/>
      <c r="AF1570" s="27"/>
      <c r="AG1570" s="27"/>
      <c r="AH1570" s="27"/>
      <c r="AI1570" s="25">
        <v>435858</v>
      </c>
      <c r="AJ1570" s="25">
        <v>300742</v>
      </c>
      <c r="AK1570" s="25">
        <v>14181</v>
      </c>
      <c r="AL1570" s="25">
        <v>402200</v>
      </c>
      <c r="AM1570" s="25">
        <v>64800</v>
      </c>
      <c r="AN1570" s="25">
        <v>337400</v>
      </c>
      <c r="AO1570" s="25">
        <v>0</v>
      </c>
      <c r="AP1570" s="25">
        <f>Lookups!$B$56*0</f>
        <v>0</v>
      </c>
      <c r="AQ1570" s="25">
        <f>Lookups!$B$56*1</f>
        <v>89850.625589999996</v>
      </c>
      <c r="AR1570" s="25">
        <f>Lookups!$B$57*Inventory[[#This Row],[LnAcres]]</f>
        <v>-45174.819855485119</v>
      </c>
      <c r="AS1570" s="25">
        <f>VLOOKUP(Inventory[[#This Row],[Qlty]],Lookups!$A$62:$E$75,2,FALSE)</f>
        <v>44121.038090000002</v>
      </c>
      <c r="AT1570" s="25">
        <f>VLOOKUP(Inventory[[#This Row],[Cnd]],Lookups!$A$76:$E$84,2,FALSE)</f>
        <v>197752.34721000001</v>
      </c>
      <c r="AU1570" s="25">
        <f>Inventory[[#This Row],[EffAge]]*Lookups!$B$85</f>
        <v>-11821.416826500001</v>
      </c>
      <c r="AV1570" s="25">
        <f>Inventory[[#This Row],[MainFn]]*Lookups!$B$86</f>
        <v>73026.014078206004</v>
      </c>
      <c r="AW1570" s="25">
        <f>Inventory[[#This Row],[UpprFn]]*Lookups!$B$87</f>
        <v>0</v>
      </c>
      <c r="AX1570" s="25">
        <f>Inventory[[#This Row],[AddFn]]*Lookups!$B$88</f>
        <v>0</v>
      </c>
      <c r="AY1570" s="25">
        <f>Inventory[[#This Row],[Bsmt]]*Lookups!$B$89</f>
        <v>42983.041175065999</v>
      </c>
      <c r="AZ1570" s="25">
        <f>Inventory[[#This Row],[Fixtures]]*Lookups!$B$90</f>
        <v>26544.1547364</v>
      </c>
      <c r="BA1570" s="25">
        <f>Inventory[[#This Row],[WdDeck]]*Lookups!$B$91</f>
        <v>0</v>
      </c>
      <c r="BB1570" s="25">
        <f>ROUND(Inventory[[#This Row],[25Det]],-2)</f>
        <v>14200</v>
      </c>
      <c r="BC1570" s="25">
        <f>ROUND(SUM(Inventory[[#This Row],[Mdl Qlty]:[Mdl WdDeck]])+Inventory[[#This Row],[Mdl Res Intercept]],-2)</f>
        <v>372600</v>
      </c>
      <c r="BD1570" s="25">
        <f>ROUND(Inventory[[#This Row],[Mdl Land Intercept]]+Inventory[[#This Row],[Mdl LnAcres]],-2)</f>
        <v>44700</v>
      </c>
      <c r="BE1570" s="25">
        <f>Inventory[[#This Row],[Unadj Res Value]]+Inventory[[#This Row],[Unadj Det Value]]+Inventory[[#This Row],[Unadj Land Value]]</f>
        <v>431500</v>
      </c>
      <c r="BF1570" s="36">
        <f>(Inventory[[#This Row],[Unadj Total Value]]-Inventory[[#This Row],[24Final]])/Inventory[[#This Row],[24Final]]</f>
        <v>7.2849328692192933E-2</v>
      </c>
      <c r="BG1570" s="25">
        <f>VLOOKUP(Inventory[[#This Row],[Nbhd]],Lookups!$Q$2:$T$4,4,FALSE)</f>
        <v>0.99970000000000003</v>
      </c>
      <c r="BH1570" s="25">
        <f>VLOOKUP(Inventory[[#This Row],[Qlty]],Lookups!$O$7:$R$21,4,FALSE)</f>
        <v>0.98050000000000004</v>
      </c>
      <c r="BI1570" s="25">
        <f>VLOOKUP(Inventory[[#This Row],[Cnd]],Lookups!$T$7:$W$16,4,FALSE)</f>
        <v>0.99650000000000005</v>
      </c>
      <c r="BJ1570" s="25">
        <f>VLOOKUP(Inventory[[#This Row],[LivArea Range]],Lookups!$T$25:$W$37,4,FALSE)</f>
        <v>0.98919999999999997</v>
      </c>
      <c r="BK1570" s="25">
        <f>VLOOKUP(Inventory[[#This Row],[Decade]],Lookups!$O$25:$R$42,4,FALSE)</f>
        <v>0.98909999999999998</v>
      </c>
      <c r="BL1570" s="25">
        <f>Inventory[[#This Row],[Nbhd Adj]]*0.95</f>
        <v>0.94971499999999998</v>
      </c>
      <c r="BM1570" s="25">
        <f>Inventory[[#This Row],[Nbhd Adj]]*Inventory[[#This Row],[Quality Adj]]*Inventory[[#This Row],[Condition Adj]]*Inventory[[#This Row],[Living Area Adj]]*Inventory[[#This Row],[Decade Adj]]*0.95</f>
        <v>0.90790939042342744</v>
      </c>
      <c r="BN1570" s="25">
        <f>ROUND(SUM(Inventory[[#This Row],[Mdl Qlty]:[Mdl WdDeck]])+Inventory[[#This Row],[Mdl Res Intercept]]*Inventory[[#This Row],[Res Adj ]],-2)</f>
        <v>372600</v>
      </c>
      <c r="BO1570" s="25">
        <f>ROUND(Inventory[[#This Row],[25Det]]*Inventory[[#This Row],[Det/Nbhd Adj]],-2)</f>
        <v>13500</v>
      </c>
      <c r="BP1570" s="25">
        <f>Inventory[[#This Row],[Adjusted Res]]+Inventory[[#This Row],[Adj Det ]]</f>
        <v>386100</v>
      </c>
      <c r="BQ1570" s="25">
        <f>ROUND((Inventory[[#This Row],[Mdl Land Intercept]]+Inventory[[#This Row],[Mdl LnAcres]])*Inventory[[#This Row],[Det/Nbhd Adj]],-2)</f>
        <v>42400</v>
      </c>
      <c r="BR1570" s="25">
        <f>Inventory[[#This Row],[Adjusted Impr Total]]+Inventory[[#This Row],[Adjusted Land Total]]</f>
        <v>428500</v>
      </c>
      <c r="BS1570" s="36">
        <f>IFERROR((Inventory[[#This Row],[Adjusted Impr Total]]-Inventory[[#This Row],[24Bldg]])/Inventory[[#This Row],[24Bldg]],0)</f>
        <v>0.14433906342620034</v>
      </c>
      <c r="BT1570" s="36">
        <f>(Inventory[[#This Row],[Adjusted Land Total]]-Inventory[[#This Row],[24Lnd]])/Inventory[[#This Row],[24Lnd]]</f>
        <v>-0.34567901234567899</v>
      </c>
      <c r="BU1570" s="36">
        <f>(Inventory[[#This Row],[Adjusted Total]]-Inventory[[#This Row],[24Final]])/Inventory[[#This Row],[24Final]]</f>
        <v>6.5390353058180015E-2</v>
      </c>
    </row>
    <row r="1571" spans="1:73" x14ac:dyDescent="0.3">
      <c r="A1571" s="25">
        <v>2025</v>
      </c>
      <c r="B1571" s="26" t="s">
        <v>2275</v>
      </c>
      <c r="C1571" s="26">
        <f>LN(Inventory[[#This Row],[Acres]])</f>
        <v>-1.8971199848858813</v>
      </c>
      <c r="D1571" s="25">
        <v>0.15</v>
      </c>
      <c r="E1571" s="31"/>
      <c r="F1571" s="26" t="s">
        <v>537</v>
      </c>
      <c r="G1571" s="26" t="s">
        <v>126</v>
      </c>
      <c r="H1571" s="26" t="s">
        <v>349</v>
      </c>
      <c r="I1571" s="26" t="s">
        <v>538</v>
      </c>
      <c r="J1571" s="26" t="s">
        <v>539</v>
      </c>
      <c r="K1571" s="26" t="s">
        <v>242</v>
      </c>
      <c r="L1571" s="26" t="s">
        <v>351</v>
      </c>
      <c r="M1571" s="26" t="s">
        <v>303</v>
      </c>
      <c r="N1571" s="26">
        <v>90</v>
      </c>
      <c r="O1571" s="26">
        <f>2024-Inventory[[#This Row],[YrBlt]]</f>
        <v>89</v>
      </c>
      <c r="P1571" s="26">
        <f>2024-Inventory[[#This Row],[EffYr]]</f>
        <v>53</v>
      </c>
      <c r="Q1571" s="25">
        <v>1935</v>
      </c>
      <c r="R1571" s="25">
        <v>1971</v>
      </c>
      <c r="S1571" s="25">
        <v>900</v>
      </c>
      <c r="T1571" s="27"/>
      <c r="U1571" s="25">
        <v>900</v>
      </c>
      <c r="V1571" s="25">
        <f>Inventory[[#This Row],[Bsmt]]-Inventory[[#This Row],[FnBsmt]]</f>
        <v>0</v>
      </c>
      <c r="W1571" s="25">
        <v>900</v>
      </c>
      <c r="X1571" s="27"/>
      <c r="Y1571" s="27">
        <f>Inventory[[#This Row],[MainFn]]+Inventory[[#This Row],[UpprFn]]+Inventory[[#This Row],[FnBsmt]]+Inventory[[#This Row],[AddFn]]</f>
        <v>1800</v>
      </c>
      <c r="Z1571" s="27">
        <v>2000</v>
      </c>
      <c r="AA1571" s="25">
        <v>8</v>
      </c>
      <c r="AB1571" s="27"/>
      <c r="AC1571" s="27"/>
      <c r="AD1571" s="27"/>
      <c r="AE1571" s="27"/>
      <c r="AF1571" s="27"/>
      <c r="AG1571" s="27"/>
      <c r="AH1571" s="27"/>
      <c r="AI1571" s="25">
        <v>239566</v>
      </c>
      <c r="AJ1571" s="25">
        <v>165301</v>
      </c>
      <c r="AK1571" s="25">
        <v>6724</v>
      </c>
      <c r="AL1571" s="25">
        <v>322200</v>
      </c>
      <c r="AM1571" s="25">
        <v>48400</v>
      </c>
      <c r="AN1571" s="25">
        <v>273800</v>
      </c>
      <c r="AO1571" s="25">
        <v>0</v>
      </c>
      <c r="AP1571" s="25">
        <f>Lookups!$B$56*0</f>
        <v>0</v>
      </c>
      <c r="AQ1571" s="25">
        <f>Lookups!$B$56*1</f>
        <v>89850.625589999996</v>
      </c>
      <c r="AR1571" s="25">
        <f>Lookups!$B$57*Inventory[[#This Row],[LnAcres]]</f>
        <v>-60052.604136134301</v>
      </c>
      <c r="AS1571" s="25">
        <f>VLOOKUP(Inventory[[#This Row],[Qlty]],Lookups!$A$62:$E$75,2,FALSE)</f>
        <v>21557.329055999999</v>
      </c>
      <c r="AT1571" s="25">
        <f>VLOOKUP(Inventory[[#This Row],[Cnd]],Lookups!$A$76:$E$84,2,FALSE)</f>
        <v>197752.34721000001</v>
      </c>
      <c r="AU1571" s="25">
        <f>Inventory[[#This Row],[EffAge]]*Lookups!$B$85</f>
        <v>-11821.416826500001</v>
      </c>
      <c r="AV1571" s="25">
        <f>Inventory[[#This Row],[MainFn]]*Lookups!$B$86</f>
        <v>44467.802889300001</v>
      </c>
      <c r="AW1571" s="25">
        <f>Inventory[[#This Row],[UpprFn]]*Lookups!$B$87</f>
        <v>0</v>
      </c>
      <c r="AX1571" s="25">
        <f>Inventory[[#This Row],[AddFn]]*Lookups!$B$88</f>
        <v>0</v>
      </c>
      <c r="AY1571" s="25">
        <f>Inventory[[#This Row],[Bsmt]]*Lookups!$B$89</f>
        <v>26173.705722299997</v>
      </c>
      <c r="AZ1571" s="25">
        <f>Inventory[[#This Row],[Fixtures]]*Lookups!$B$90</f>
        <v>30336.176841600001</v>
      </c>
      <c r="BA1571" s="25">
        <f>Inventory[[#This Row],[WdDeck]]*Lookups!$B$91</f>
        <v>0</v>
      </c>
      <c r="BB1571" s="25">
        <f>ROUND(Inventory[[#This Row],[25Det]],-2)</f>
        <v>6700</v>
      </c>
      <c r="BC1571" s="25">
        <f>ROUND(SUM(Inventory[[#This Row],[Mdl Qlty]:[Mdl WdDeck]])+Inventory[[#This Row],[Mdl Res Intercept]],-2)</f>
        <v>308500</v>
      </c>
      <c r="BD1571" s="25">
        <f>ROUND(Inventory[[#This Row],[Mdl Land Intercept]]+Inventory[[#This Row],[Mdl LnAcres]],-2)</f>
        <v>29800</v>
      </c>
      <c r="BE1571" s="25">
        <f>Inventory[[#This Row],[Unadj Res Value]]+Inventory[[#This Row],[Unadj Det Value]]+Inventory[[#This Row],[Unadj Land Value]]</f>
        <v>345000</v>
      </c>
      <c r="BF1571" s="36">
        <f>(Inventory[[#This Row],[Unadj Total Value]]-Inventory[[#This Row],[24Final]])/Inventory[[#This Row],[24Final]]</f>
        <v>7.0763500931098691E-2</v>
      </c>
      <c r="BG1571" s="25">
        <f>VLOOKUP(Inventory[[#This Row],[Nbhd]],Lookups!$Q$2:$T$4,4,FALSE)</f>
        <v>0.99970000000000003</v>
      </c>
      <c r="BH1571" s="25">
        <f>VLOOKUP(Inventory[[#This Row],[Qlty]],Lookups!$O$7:$R$21,4,FALSE)</f>
        <v>1.0067999999999999</v>
      </c>
      <c r="BI1571" s="25">
        <f>VLOOKUP(Inventory[[#This Row],[Cnd]],Lookups!$T$7:$W$16,4,FALSE)</f>
        <v>0.99650000000000005</v>
      </c>
      <c r="BJ1571" s="25">
        <f>VLOOKUP(Inventory[[#This Row],[LivArea Range]],Lookups!$T$25:$W$37,4,FALSE)</f>
        <v>1.0093000000000001</v>
      </c>
      <c r="BK1571" s="25">
        <f>VLOOKUP(Inventory[[#This Row],[Decade]],Lookups!$O$25:$R$42,4,FALSE)</f>
        <v>0.98909999999999998</v>
      </c>
      <c r="BL1571" s="25">
        <f>Inventory[[#This Row],[Nbhd Adj]]*0.95</f>
        <v>0.94971499999999998</v>
      </c>
      <c r="BM1571" s="25">
        <f>Inventory[[#This Row],[Nbhd Adj]]*Inventory[[#This Row],[Quality Adj]]*Inventory[[#This Row],[Condition Adj]]*Inventory[[#This Row],[Living Area Adj]]*Inventory[[#This Row],[Decade Adj]]*0.95</f>
        <v>0.95120534593507355</v>
      </c>
      <c r="BN1571" s="25">
        <f>ROUND(SUM(Inventory[[#This Row],[Mdl Qlty]:[Mdl WdDeck]])+Inventory[[#This Row],[Mdl Res Intercept]]*Inventory[[#This Row],[Res Adj ]],-2)</f>
        <v>308500</v>
      </c>
      <c r="BO1571" s="25">
        <f>ROUND(Inventory[[#This Row],[25Det]]*Inventory[[#This Row],[Det/Nbhd Adj]],-2)</f>
        <v>6400</v>
      </c>
      <c r="BP1571" s="25">
        <f>Inventory[[#This Row],[Adjusted Res]]+Inventory[[#This Row],[Adj Det ]]</f>
        <v>314900</v>
      </c>
      <c r="BQ1571" s="25">
        <f>ROUND((Inventory[[#This Row],[Mdl Land Intercept]]+Inventory[[#This Row],[Mdl LnAcres]])*Inventory[[#This Row],[Det/Nbhd Adj]],-2)</f>
        <v>28300</v>
      </c>
      <c r="BR1571" s="25">
        <f>Inventory[[#This Row],[Adjusted Impr Total]]+Inventory[[#This Row],[Adjusted Land Total]]</f>
        <v>343200</v>
      </c>
      <c r="BS1571" s="36">
        <f>IFERROR((Inventory[[#This Row],[Adjusted Impr Total]]-Inventory[[#This Row],[24Bldg]])/Inventory[[#This Row],[24Bldg]],0)</f>
        <v>0.15010956902848796</v>
      </c>
      <c r="BT1571" s="36">
        <f>(Inventory[[#This Row],[Adjusted Land Total]]-Inventory[[#This Row],[24Lnd]])/Inventory[[#This Row],[24Lnd]]</f>
        <v>-0.41528925619834711</v>
      </c>
      <c r="BU1571" s="36">
        <f>(Inventory[[#This Row],[Adjusted Total]]-Inventory[[#This Row],[24Final]])/Inventory[[#This Row],[24Final]]</f>
        <v>6.5176908752327747E-2</v>
      </c>
    </row>
    <row r="1572" spans="1:73" x14ac:dyDescent="0.3">
      <c r="A1572" s="25">
        <v>2025</v>
      </c>
      <c r="B1572" s="26" t="s">
        <v>1477</v>
      </c>
      <c r="C1572" s="26">
        <f>LN(Inventory[[#This Row],[Acres]])</f>
        <v>-1.8325814637483102</v>
      </c>
      <c r="D1572" s="25">
        <v>0.16</v>
      </c>
      <c r="E1572" s="25">
        <v>7183</v>
      </c>
      <c r="F1572" s="26" t="s">
        <v>537</v>
      </c>
      <c r="G1572" s="26" t="s">
        <v>126</v>
      </c>
      <c r="H1572" s="26" t="s">
        <v>349</v>
      </c>
      <c r="I1572" s="26" t="s">
        <v>538</v>
      </c>
      <c r="J1572" s="26" t="s">
        <v>539</v>
      </c>
      <c r="K1572" s="26" t="s">
        <v>242</v>
      </c>
      <c r="L1572" s="26" t="s">
        <v>205</v>
      </c>
      <c r="M1572" s="26" t="s">
        <v>323</v>
      </c>
      <c r="N1572" s="26">
        <v>90</v>
      </c>
      <c r="O1572" s="26">
        <f>2024-Inventory[[#This Row],[YrBlt]]</f>
        <v>89</v>
      </c>
      <c r="P1572" s="26">
        <f>2024-Inventory[[#This Row],[EffYr]]</f>
        <v>53</v>
      </c>
      <c r="Q1572" s="25">
        <v>1935</v>
      </c>
      <c r="R1572" s="25">
        <v>1971</v>
      </c>
      <c r="S1572" s="25">
        <v>798</v>
      </c>
      <c r="T1572" s="27"/>
      <c r="U1572" s="25">
        <v>599</v>
      </c>
      <c r="V1572" s="25">
        <f>Inventory[[#This Row],[Bsmt]]-Inventory[[#This Row],[FnBsmt]]</f>
        <v>599</v>
      </c>
      <c r="W1572" s="31"/>
      <c r="X1572" s="27"/>
      <c r="Y1572" s="27">
        <f>Inventory[[#This Row],[MainFn]]+Inventory[[#This Row],[UpprFn]]+Inventory[[#This Row],[FnBsmt]]+Inventory[[#This Row],[AddFn]]</f>
        <v>798</v>
      </c>
      <c r="Z1572" s="27">
        <v>1000</v>
      </c>
      <c r="AA1572" s="25">
        <v>5</v>
      </c>
      <c r="AB1572" s="27"/>
      <c r="AC1572" s="27"/>
      <c r="AD1572" s="27"/>
      <c r="AE1572" s="27"/>
      <c r="AF1572" s="27"/>
      <c r="AG1572" s="27"/>
      <c r="AH1572" s="27"/>
      <c r="AI1572" s="25">
        <v>144862</v>
      </c>
      <c r="AJ1572" s="25">
        <v>97058</v>
      </c>
      <c r="AK1572" s="25">
        <v>4598</v>
      </c>
      <c r="AL1572" s="25">
        <v>243300</v>
      </c>
      <c r="AM1572" s="25">
        <v>50600</v>
      </c>
      <c r="AN1572" s="25">
        <v>192700</v>
      </c>
      <c r="AO1572" s="25">
        <v>0</v>
      </c>
      <c r="AP1572" s="25">
        <f>Lookups!$B$56*0</f>
        <v>0</v>
      </c>
      <c r="AQ1572" s="25">
        <f>Lookups!$B$56*1</f>
        <v>89850.625589999996</v>
      </c>
      <c r="AR1572" s="25">
        <f>Lookups!$B$57*Inventory[[#This Row],[LnAcres]]</f>
        <v>-58009.662049032086</v>
      </c>
      <c r="AS1572" s="25">
        <f>VLOOKUP(Inventory[[#This Row],[Qlty]],Lookups!$A$62:$E$75,2,FALSE)</f>
        <v>0</v>
      </c>
      <c r="AT1572" s="25">
        <f>VLOOKUP(Inventory[[#This Row],[Cnd]],Lookups!$A$76:$E$84,2,FALSE)</f>
        <v>160472.20319</v>
      </c>
      <c r="AU1572" s="25">
        <f>Inventory[[#This Row],[EffAge]]*Lookups!$B$85</f>
        <v>-11821.416826500001</v>
      </c>
      <c r="AV1572" s="25">
        <f>Inventory[[#This Row],[MainFn]]*Lookups!$B$86</f>
        <v>39428.118561846</v>
      </c>
      <c r="AW1572" s="25">
        <f>Inventory[[#This Row],[UpprFn]]*Lookups!$B$87</f>
        <v>0</v>
      </c>
      <c r="AX1572" s="25">
        <f>Inventory[[#This Row],[AddFn]]*Lookups!$B$88</f>
        <v>0</v>
      </c>
      <c r="AY1572" s="25">
        <f>Inventory[[#This Row],[Bsmt]]*Lookups!$B$89</f>
        <v>17420.055252953</v>
      </c>
      <c r="AZ1572" s="25">
        <f>Inventory[[#This Row],[Fixtures]]*Lookups!$B$90</f>
        <v>18960.110526</v>
      </c>
      <c r="BA1572" s="25">
        <f>Inventory[[#This Row],[WdDeck]]*Lookups!$B$91</f>
        <v>0</v>
      </c>
      <c r="BB1572" s="25">
        <f>ROUND(Inventory[[#This Row],[25Det]],-2)</f>
        <v>4600</v>
      </c>
      <c r="BC1572" s="25">
        <f>ROUND(SUM(Inventory[[#This Row],[Mdl Qlty]:[Mdl WdDeck]])+Inventory[[#This Row],[Mdl Res Intercept]],-2)</f>
        <v>224500</v>
      </c>
      <c r="BD1572" s="25">
        <f>ROUND(Inventory[[#This Row],[Mdl Land Intercept]]+Inventory[[#This Row],[Mdl LnAcres]],-2)</f>
        <v>31800</v>
      </c>
      <c r="BE1572" s="25">
        <f>Inventory[[#This Row],[Unadj Res Value]]+Inventory[[#This Row],[Unadj Det Value]]+Inventory[[#This Row],[Unadj Land Value]]</f>
        <v>260900</v>
      </c>
      <c r="BF1572" s="36">
        <f>(Inventory[[#This Row],[Unadj Total Value]]-Inventory[[#This Row],[24Final]])/Inventory[[#This Row],[24Final]]</f>
        <v>7.2338676531031654E-2</v>
      </c>
      <c r="BG1572" s="25">
        <f>VLOOKUP(Inventory[[#This Row],[Nbhd]],Lookups!$Q$2:$T$4,4,FALSE)</f>
        <v>0.99970000000000003</v>
      </c>
      <c r="BH1572" s="25">
        <f>VLOOKUP(Inventory[[#This Row],[Qlty]],Lookups!$O$7:$R$21,4,FALSE)</f>
        <v>0.99180000000000001</v>
      </c>
      <c r="BI1572" s="25">
        <f>VLOOKUP(Inventory[[#This Row],[Cnd]],Lookups!$T$7:$W$16,4,FALSE)</f>
        <v>0.99729999999999996</v>
      </c>
      <c r="BJ1572" s="25">
        <f>VLOOKUP(Inventory[[#This Row],[LivArea Range]],Lookups!$T$25:$W$37,4,FALSE)</f>
        <v>1.0148999999999999</v>
      </c>
      <c r="BK1572" s="25">
        <f>VLOOKUP(Inventory[[#This Row],[Decade]],Lookups!$O$25:$R$42,4,FALSE)</f>
        <v>0.98909999999999998</v>
      </c>
      <c r="BL1572" s="25">
        <f>Inventory[[#This Row],[Nbhd Adj]]*0.95</f>
        <v>0.94971499999999998</v>
      </c>
      <c r="BM1572" s="25">
        <f>Inventory[[#This Row],[Nbhd Adj]]*Inventory[[#This Row],[Quality Adj]]*Inventory[[#This Row],[Condition Adj]]*Inventory[[#This Row],[Living Area Adj]]*Inventory[[#This Row],[Decade Adj]]*0.95</f>
        <v>0.94298910434578886</v>
      </c>
      <c r="BN1572" s="25">
        <f>ROUND(SUM(Inventory[[#This Row],[Mdl Qlty]:[Mdl WdDeck]])+Inventory[[#This Row],[Mdl Res Intercept]]*Inventory[[#This Row],[Res Adj ]],-2)</f>
        <v>224500</v>
      </c>
      <c r="BO1572" s="25">
        <f>ROUND(Inventory[[#This Row],[25Det]]*Inventory[[#This Row],[Det/Nbhd Adj]],-2)</f>
        <v>4400</v>
      </c>
      <c r="BP1572" s="25">
        <f>Inventory[[#This Row],[Adjusted Res]]+Inventory[[#This Row],[Adj Det ]]</f>
        <v>228900</v>
      </c>
      <c r="BQ1572" s="25">
        <f>ROUND((Inventory[[#This Row],[Mdl Land Intercept]]+Inventory[[#This Row],[Mdl LnAcres]])*Inventory[[#This Row],[Det/Nbhd Adj]],-2)</f>
        <v>30200</v>
      </c>
      <c r="BR1572" s="25">
        <f>Inventory[[#This Row],[Adjusted Impr Total]]+Inventory[[#This Row],[Adjusted Land Total]]</f>
        <v>259100</v>
      </c>
      <c r="BS1572" s="36">
        <f>IFERROR((Inventory[[#This Row],[Adjusted Impr Total]]-Inventory[[#This Row],[24Bldg]])/Inventory[[#This Row],[24Bldg]],0)</f>
        <v>0.18785677218474311</v>
      </c>
      <c r="BT1572" s="36">
        <f>(Inventory[[#This Row],[Adjusted Land Total]]-Inventory[[#This Row],[24Lnd]])/Inventory[[#This Row],[24Lnd]]</f>
        <v>-0.40316205533596838</v>
      </c>
      <c r="BU1572" s="36">
        <f>(Inventory[[#This Row],[Adjusted Total]]-Inventory[[#This Row],[24Final]])/Inventory[[#This Row],[24Final]]</f>
        <v>6.4940402794903415E-2</v>
      </c>
    </row>
    <row r="1573" spans="1:73" x14ac:dyDescent="0.3">
      <c r="A1573" s="25">
        <v>2025</v>
      </c>
      <c r="B1573" s="26" t="s">
        <v>1319</v>
      </c>
      <c r="C1573" s="26">
        <f>LN(Inventory[[#This Row],[Acres]])</f>
        <v>-1.8971199848858813</v>
      </c>
      <c r="D1573" s="25">
        <v>0.15</v>
      </c>
      <c r="E1573" s="31"/>
      <c r="F1573" s="26" t="s">
        <v>537</v>
      </c>
      <c r="G1573" s="26" t="s">
        <v>126</v>
      </c>
      <c r="H1573" s="26" t="s">
        <v>349</v>
      </c>
      <c r="I1573" s="26" t="s">
        <v>538</v>
      </c>
      <c r="J1573" s="26" t="s">
        <v>539</v>
      </c>
      <c r="K1573" s="26" t="s">
        <v>242</v>
      </c>
      <c r="L1573" s="26" t="s">
        <v>351</v>
      </c>
      <c r="M1573" s="26" t="s">
        <v>303</v>
      </c>
      <c r="N1573" s="26">
        <v>90</v>
      </c>
      <c r="O1573" s="26">
        <f>2024-Inventory[[#This Row],[YrBlt]]</f>
        <v>89</v>
      </c>
      <c r="P1573" s="26">
        <f>2024-Inventory[[#This Row],[EffYr]]</f>
        <v>53</v>
      </c>
      <c r="Q1573" s="25">
        <v>1935</v>
      </c>
      <c r="R1573" s="25">
        <v>1971</v>
      </c>
      <c r="S1573" s="25">
        <v>1380</v>
      </c>
      <c r="T1573" s="27"/>
      <c r="U1573" s="25">
        <v>672</v>
      </c>
      <c r="V1573" s="25">
        <f>Inventory[[#This Row],[Bsmt]]-Inventory[[#This Row],[FnBsmt]]</f>
        <v>0</v>
      </c>
      <c r="W1573" s="25">
        <v>672</v>
      </c>
      <c r="X1573" s="27"/>
      <c r="Y1573" s="27">
        <f>Inventory[[#This Row],[MainFn]]+Inventory[[#This Row],[UpprFn]]+Inventory[[#This Row],[FnBsmt]]+Inventory[[#This Row],[AddFn]]</f>
        <v>2052</v>
      </c>
      <c r="Z1573" s="27">
        <v>2500</v>
      </c>
      <c r="AA1573" s="25">
        <v>9</v>
      </c>
      <c r="AB1573" s="32">
        <v>276</v>
      </c>
      <c r="AC1573" s="27"/>
      <c r="AD1573" s="27"/>
      <c r="AE1573" s="27"/>
      <c r="AF1573" s="27"/>
      <c r="AG1573" s="27"/>
      <c r="AH1573" s="27"/>
      <c r="AI1573" s="25">
        <v>303716</v>
      </c>
      <c r="AJ1573" s="25">
        <v>209564</v>
      </c>
      <c r="AK1573" s="25">
        <v>0</v>
      </c>
      <c r="AL1573" s="25">
        <v>335800</v>
      </c>
      <c r="AM1573" s="25">
        <v>48400</v>
      </c>
      <c r="AN1573" s="25">
        <v>287400</v>
      </c>
      <c r="AO1573" s="25">
        <v>0</v>
      </c>
      <c r="AP1573" s="25">
        <f>Lookups!$B$56*0</f>
        <v>0</v>
      </c>
      <c r="AQ1573" s="25">
        <f>Lookups!$B$56*1</f>
        <v>89850.625589999996</v>
      </c>
      <c r="AR1573" s="25">
        <f>Lookups!$B$57*Inventory[[#This Row],[LnAcres]]</f>
        <v>-60052.604136134301</v>
      </c>
      <c r="AS1573" s="25">
        <f>VLOOKUP(Inventory[[#This Row],[Qlty]],Lookups!$A$62:$E$75,2,FALSE)</f>
        <v>21557.329055999999</v>
      </c>
      <c r="AT1573" s="25">
        <f>VLOOKUP(Inventory[[#This Row],[Cnd]],Lookups!$A$76:$E$84,2,FALSE)</f>
        <v>197752.34721000001</v>
      </c>
      <c r="AU1573" s="25">
        <f>Inventory[[#This Row],[EffAge]]*Lookups!$B$85</f>
        <v>-11821.416826500001</v>
      </c>
      <c r="AV1573" s="25">
        <f>Inventory[[#This Row],[MainFn]]*Lookups!$B$86</f>
        <v>68183.964430260006</v>
      </c>
      <c r="AW1573" s="25">
        <f>Inventory[[#This Row],[UpprFn]]*Lookups!$B$87</f>
        <v>0</v>
      </c>
      <c r="AX1573" s="25">
        <f>Inventory[[#This Row],[AddFn]]*Lookups!$B$88</f>
        <v>0</v>
      </c>
      <c r="AY1573" s="25">
        <f>Inventory[[#This Row],[Bsmt]]*Lookups!$B$89</f>
        <v>19543.033605983997</v>
      </c>
      <c r="AZ1573" s="25">
        <f>Inventory[[#This Row],[Fixtures]]*Lookups!$B$90</f>
        <v>34128.198946800003</v>
      </c>
      <c r="BA1573" s="25">
        <f>Inventory[[#This Row],[WdDeck]]*Lookups!$B$91</f>
        <v>0</v>
      </c>
      <c r="BB1573" s="25">
        <f>ROUND(Inventory[[#This Row],[25Det]],-2)</f>
        <v>0</v>
      </c>
      <c r="BC1573" s="25">
        <f>ROUND(SUM(Inventory[[#This Row],[Mdl Qlty]:[Mdl WdDeck]])+Inventory[[#This Row],[Mdl Res Intercept]],-2)</f>
        <v>329300</v>
      </c>
      <c r="BD1573" s="25">
        <f>ROUND(Inventory[[#This Row],[Mdl Land Intercept]]+Inventory[[#This Row],[Mdl LnAcres]],-2)</f>
        <v>29800</v>
      </c>
      <c r="BE1573" s="25">
        <f>Inventory[[#This Row],[Unadj Res Value]]+Inventory[[#This Row],[Unadj Det Value]]+Inventory[[#This Row],[Unadj Land Value]]</f>
        <v>359100</v>
      </c>
      <c r="BF1573" s="36">
        <f>(Inventory[[#This Row],[Unadj Total Value]]-Inventory[[#This Row],[24Final]])/Inventory[[#This Row],[24Final]]</f>
        <v>6.9386539606908867E-2</v>
      </c>
      <c r="BG1573" s="25">
        <f>VLOOKUP(Inventory[[#This Row],[Nbhd]],Lookups!$Q$2:$T$4,4,FALSE)</f>
        <v>0.99970000000000003</v>
      </c>
      <c r="BH1573" s="25">
        <f>VLOOKUP(Inventory[[#This Row],[Qlty]],Lookups!$O$7:$R$21,4,FALSE)</f>
        <v>1.0067999999999999</v>
      </c>
      <c r="BI1573" s="25">
        <f>VLOOKUP(Inventory[[#This Row],[Cnd]],Lookups!$T$7:$W$16,4,FALSE)</f>
        <v>0.99650000000000005</v>
      </c>
      <c r="BJ1573" s="25">
        <f>VLOOKUP(Inventory[[#This Row],[LivArea Range]],Lookups!$T$25:$W$37,4,FALSE)</f>
        <v>0.98919999999999997</v>
      </c>
      <c r="BK1573" s="25">
        <f>VLOOKUP(Inventory[[#This Row],[Decade]],Lookups!$O$25:$R$42,4,FALSE)</f>
        <v>0.98909999999999998</v>
      </c>
      <c r="BL1573" s="25">
        <f>Inventory[[#This Row],[Nbhd Adj]]*0.95</f>
        <v>0.94971499999999998</v>
      </c>
      <c r="BM1573" s="25">
        <f>Inventory[[#This Row],[Nbhd Adj]]*Inventory[[#This Row],[Quality Adj]]*Inventory[[#This Row],[Condition Adj]]*Inventory[[#This Row],[Living Area Adj]]*Inventory[[#This Row],[Decade Adj]]*0.95</f>
        <v>0.9322622889120924</v>
      </c>
      <c r="BN1573" s="25">
        <f>ROUND(SUM(Inventory[[#This Row],[Mdl Qlty]:[Mdl WdDeck]])+Inventory[[#This Row],[Mdl Res Intercept]]*Inventory[[#This Row],[Res Adj ]],-2)</f>
        <v>329300</v>
      </c>
      <c r="BO1573" s="25">
        <f>ROUND(Inventory[[#This Row],[25Det]]*Inventory[[#This Row],[Det/Nbhd Adj]],-2)</f>
        <v>0</v>
      </c>
      <c r="BP1573" s="25">
        <f>Inventory[[#This Row],[Adjusted Res]]+Inventory[[#This Row],[Adj Det ]]</f>
        <v>329300</v>
      </c>
      <c r="BQ1573" s="25">
        <f>ROUND((Inventory[[#This Row],[Mdl Land Intercept]]+Inventory[[#This Row],[Mdl LnAcres]])*Inventory[[#This Row],[Det/Nbhd Adj]],-2)</f>
        <v>28300</v>
      </c>
      <c r="BR1573" s="25">
        <f>Inventory[[#This Row],[Adjusted Impr Total]]+Inventory[[#This Row],[Adjusted Land Total]]</f>
        <v>357600</v>
      </c>
      <c r="BS1573" s="36">
        <f>IFERROR((Inventory[[#This Row],[Adjusted Impr Total]]-Inventory[[#This Row],[24Bldg]])/Inventory[[#This Row],[24Bldg]],0)</f>
        <v>0.14578983994432845</v>
      </c>
      <c r="BT1573" s="36">
        <f>(Inventory[[#This Row],[Adjusted Land Total]]-Inventory[[#This Row],[24Lnd]])/Inventory[[#This Row],[24Lnd]]</f>
        <v>-0.41528925619834711</v>
      </c>
      <c r="BU1573" s="36">
        <f>(Inventory[[#This Row],[Adjusted Total]]-Inventory[[#This Row],[24Final]])/Inventory[[#This Row],[24Final]]</f>
        <v>6.4919594997022032E-2</v>
      </c>
    </row>
    <row r="1574" spans="1:73" x14ac:dyDescent="0.3">
      <c r="A1574" s="25">
        <v>2025</v>
      </c>
      <c r="B1574" s="26" t="s">
        <v>1320</v>
      </c>
      <c r="C1574" s="26">
        <f>LN(Inventory[[#This Row],[Acres]])</f>
        <v>-1.8971199848858813</v>
      </c>
      <c r="D1574" s="25">
        <v>0.15</v>
      </c>
      <c r="E1574" s="31"/>
      <c r="F1574" s="26" t="s">
        <v>537</v>
      </c>
      <c r="G1574" s="26" t="s">
        <v>126</v>
      </c>
      <c r="H1574" s="26" t="s">
        <v>349</v>
      </c>
      <c r="I1574" s="26" t="s">
        <v>538</v>
      </c>
      <c r="J1574" s="26" t="s">
        <v>539</v>
      </c>
      <c r="K1574" s="26" t="s">
        <v>269</v>
      </c>
      <c r="L1574" s="26" t="s">
        <v>351</v>
      </c>
      <c r="M1574" s="26" t="s">
        <v>303</v>
      </c>
      <c r="N1574" s="26">
        <v>90</v>
      </c>
      <c r="O1574" s="26">
        <f>2024-Inventory[[#This Row],[YrBlt]]</f>
        <v>89</v>
      </c>
      <c r="P1574" s="26">
        <f>2024-Inventory[[#This Row],[EffYr]]</f>
        <v>29</v>
      </c>
      <c r="Q1574" s="25">
        <v>1935</v>
      </c>
      <c r="R1574" s="25">
        <v>1995</v>
      </c>
      <c r="S1574" s="25">
        <v>951</v>
      </c>
      <c r="T1574" s="32">
        <v>300</v>
      </c>
      <c r="U1574" s="25">
        <v>951</v>
      </c>
      <c r="V1574" s="25">
        <f>Inventory[[#This Row],[Bsmt]]-Inventory[[#This Row],[FnBsmt]]</f>
        <v>0</v>
      </c>
      <c r="W1574" s="25">
        <v>951</v>
      </c>
      <c r="X1574" s="27"/>
      <c r="Y1574" s="27">
        <f>Inventory[[#This Row],[MainFn]]+Inventory[[#This Row],[UpprFn]]+Inventory[[#This Row],[FnBsmt]]+Inventory[[#This Row],[AddFn]]</f>
        <v>2202</v>
      </c>
      <c r="Z1574" s="27">
        <v>2500</v>
      </c>
      <c r="AA1574" s="25">
        <v>12</v>
      </c>
      <c r="AB1574" s="27"/>
      <c r="AC1574" s="27"/>
      <c r="AD1574" s="31"/>
      <c r="AE1574" s="27"/>
      <c r="AF1574" s="27"/>
      <c r="AG1574" s="27"/>
      <c r="AH1574" s="27"/>
      <c r="AI1574" s="25">
        <v>284301</v>
      </c>
      <c r="AJ1574" s="25">
        <v>247342</v>
      </c>
      <c r="AK1574" s="25">
        <v>0</v>
      </c>
      <c r="AL1574" s="25">
        <v>352000</v>
      </c>
      <c r="AM1574" s="25">
        <v>48400</v>
      </c>
      <c r="AN1574" s="25">
        <v>303600</v>
      </c>
      <c r="AO1574" s="25">
        <v>0</v>
      </c>
      <c r="AP1574" s="25">
        <f>Lookups!$B$56*0</f>
        <v>0</v>
      </c>
      <c r="AQ1574" s="25">
        <f>Lookups!$B$56*1</f>
        <v>89850.625589999996</v>
      </c>
      <c r="AR1574" s="25">
        <f>Lookups!$B$57*Inventory[[#This Row],[LnAcres]]</f>
        <v>-60052.604136134301</v>
      </c>
      <c r="AS1574" s="25">
        <f>VLOOKUP(Inventory[[#This Row],[Qlty]],Lookups!$A$62:$E$75,2,FALSE)</f>
        <v>21557.329055999999</v>
      </c>
      <c r="AT1574" s="25">
        <f>VLOOKUP(Inventory[[#This Row],[Cnd]],Lookups!$A$76:$E$84,2,FALSE)</f>
        <v>197752.34721000001</v>
      </c>
      <c r="AU1574" s="25">
        <f>Inventory[[#This Row],[EffAge]]*Lookups!$B$85</f>
        <v>-6468.3224145000004</v>
      </c>
      <c r="AV1574" s="25">
        <f>Inventory[[#This Row],[MainFn]]*Lookups!$B$86</f>
        <v>46987.645053027001</v>
      </c>
      <c r="AW1574" s="25">
        <f>Inventory[[#This Row],[UpprFn]]*Lookups!$B$87</f>
        <v>13435.926858299999</v>
      </c>
      <c r="AX1574" s="25">
        <f>Inventory[[#This Row],[AddFn]]*Lookups!$B$88</f>
        <v>0</v>
      </c>
      <c r="AY1574" s="25">
        <f>Inventory[[#This Row],[Bsmt]]*Lookups!$B$89</f>
        <v>27656.882379896997</v>
      </c>
      <c r="AZ1574" s="25">
        <f>Inventory[[#This Row],[Fixtures]]*Lookups!$B$90</f>
        <v>45504.265262400004</v>
      </c>
      <c r="BA1574" s="25">
        <f>Inventory[[#This Row],[WdDeck]]*Lookups!$B$91</f>
        <v>0</v>
      </c>
      <c r="BB1574" s="25">
        <f>ROUND(Inventory[[#This Row],[25Det]],-2)</f>
        <v>0</v>
      </c>
      <c r="BC1574" s="25">
        <f>ROUND(SUM(Inventory[[#This Row],[Mdl Qlty]:[Mdl WdDeck]])+Inventory[[#This Row],[Mdl Res Intercept]],-2)</f>
        <v>346400</v>
      </c>
      <c r="BD1574" s="25">
        <f>ROUND(Inventory[[#This Row],[Mdl Land Intercept]]+Inventory[[#This Row],[Mdl LnAcres]],-2)</f>
        <v>29800</v>
      </c>
      <c r="BE1574" s="25">
        <f>Inventory[[#This Row],[Unadj Res Value]]+Inventory[[#This Row],[Unadj Det Value]]+Inventory[[#This Row],[Unadj Land Value]]</f>
        <v>376200</v>
      </c>
      <c r="BF1574" s="36">
        <f>(Inventory[[#This Row],[Unadj Total Value]]-Inventory[[#This Row],[24Final]])/Inventory[[#This Row],[24Final]]</f>
        <v>6.8750000000000006E-2</v>
      </c>
      <c r="BG1574" s="25">
        <f>VLOOKUP(Inventory[[#This Row],[Nbhd]],Lookups!$Q$2:$T$4,4,FALSE)</f>
        <v>0.99970000000000003</v>
      </c>
      <c r="BH1574" s="25">
        <f>VLOOKUP(Inventory[[#This Row],[Qlty]],Lookups!$O$7:$R$21,4,FALSE)</f>
        <v>1.0067999999999999</v>
      </c>
      <c r="BI1574" s="25">
        <f>VLOOKUP(Inventory[[#This Row],[Cnd]],Lookups!$T$7:$W$16,4,FALSE)</f>
        <v>0.99650000000000005</v>
      </c>
      <c r="BJ1574" s="25">
        <f>VLOOKUP(Inventory[[#This Row],[LivArea Range]],Lookups!$T$25:$W$37,4,FALSE)</f>
        <v>0.98919999999999997</v>
      </c>
      <c r="BK1574" s="25">
        <f>VLOOKUP(Inventory[[#This Row],[Decade]],Lookups!$O$25:$R$42,4,FALSE)</f>
        <v>0.98909999999999998</v>
      </c>
      <c r="BL1574" s="25">
        <f>Inventory[[#This Row],[Nbhd Adj]]*0.95</f>
        <v>0.94971499999999998</v>
      </c>
      <c r="BM1574" s="25">
        <f>Inventory[[#This Row],[Nbhd Adj]]*Inventory[[#This Row],[Quality Adj]]*Inventory[[#This Row],[Condition Adj]]*Inventory[[#This Row],[Living Area Adj]]*Inventory[[#This Row],[Decade Adj]]*0.95</f>
        <v>0.9322622889120924</v>
      </c>
      <c r="BN1574" s="25">
        <f>ROUND(SUM(Inventory[[#This Row],[Mdl Qlty]:[Mdl WdDeck]])+Inventory[[#This Row],[Mdl Res Intercept]]*Inventory[[#This Row],[Res Adj ]],-2)</f>
        <v>346400</v>
      </c>
      <c r="BO1574" s="25">
        <f>ROUND(Inventory[[#This Row],[25Det]]*Inventory[[#This Row],[Det/Nbhd Adj]],-2)</f>
        <v>0</v>
      </c>
      <c r="BP1574" s="25">
        <f>Inventory[[#This Row],[Adjusted Res]]+Inventory[[#This Row],[Adj Det ]]</f>
        <v>346400</v>
      </c>
      <c r="BQ1574" s="25">
        <f>ROUND((Inventory[[#This Row],[Mdl Land Intercept]]+Inventory[[#This Row],[Mdl LnAcres]])*Inventory[[#This Row],[Det/Nbhd Adj]],-2)</f>
        <v>28300</v>
      </c>
      <c r="BR1574" s="25">
        <f>Inventory[[#This Row],[Adjusted Impr Total]]+Inventory[[#This Row],[Adjusted Land Total]]</f>
        <v>374700</v>
      </c>
      <c r="BS1574" s="36">
        <f>IFERROR((Inventory[[#This Row],[Adjusted Impr Total]]-Inventory[[#This Row],[24Bldg]])/Inventory[[#This Row],[24Bldg]],0)</f>
        <v>0.14097496706192358</v>
      </c>
      <c r="BT1574" s="36">
        <f>(Inventory[[#This Row],[Adjusted Land Total]]-Inventory[[#This Row],[24Lnd]])/Inventory[[#This Row],[24Lnd]]</f>
        <v>-0.41528925619834711</v>
      </c>
      <c r="BU1574" s="36">
        <f>(Inventory[[#This Row],[Adjusted Total]]-Inventory[[#This Row],[24Final]])/Inventory[[#This Row],[24Final]]</f>
        <v>6.4488636363636359E-2</v>
      </c>
    </row>
    <row r="1575" spans="1:73" x14ac:dyDescent="0.3">
      <c r="A1575" s="25">
        <v>2025</v>
      </c>
      <c r="B1575" s="26" t="s">
        <v>1719</v>
      </c>
      <c r="C1575" s="26">
        <f>LN(Inventory[[#This Row],[Acres]])</f>
        <v>-1.5141277326297755</v>
      </c>
      <c r="D1575" s="25">
        <v>0.22</v>
      </c>
      <c r="E1575" s="25">
        <v>9535</v>
      </c>
      <c r="F1575" s="26" t="s">
        <v>537</v>
      </c>
      <c r="G1575" s="26" t="s">
        <v>126</v>
      </c>
      <c r="H1575" s="26" t="s">
        <v>349</v>
      </c>
      <c r="I1575" s="26" t="s">
        <v>538</v>
      </c>
      <c r="J1575" s="26" t="s">
        <v>539</v>
      </c>
      <c r="K1575" s="26" t="s">
        <v>242</v>
      </c>
      <c r="L1575" s="26" t="s">
        <v>351</v>
      </c>
      <c r="M1575" s="26" t="s">
        <v>303</v>
      </c>
      <c r="N1575" s="26">
        <v>90</v>
      </c>
      <c r="O1575" s="26">
        <f>2024-Inventory[[#This Row],[YrBlt]]</f>
        <v>89</v>
      </c>
      <c r="P1575" s="26">
        <f>2024-Inventory[[#This Row],[EffYr]]</f>
        <v>53</v>
      </c>
      <c r="Q1575" s="25">
        <v>1935</v>
      </c>
      <c r="R1575" s="25">
        <v>1971</v>
      </c>
      <c r="S1575" s="25">
        <v>849</v>
      </c>
      <c r="T1575" s="27"/>
      <c r="U1575" s="25">
        <v>849</v>
      </c>
      <c r="V1575" s="32">
        <f>Inventory[[#This Row],[Bsmt]]-Inventory[[#This Row],[FnBsmt]]</f>
        <v>0</v>
      </c>
      <c r="W1575" s="32">
        <v>849</v>
      </c>
      <c r="X1575" s="27"/>
      <c r="Y1575" s="27">
        <f>Inventory[[#This Row],[MainFn]]+Inventory[[#This Row],[UpprFn]]+Inventory[[#This Row],[FnBsmt]]+Inventory[[#This Row],[AddFn]]</f>
        <v>1698</v>
      </c>
      <c r="Z1575" s="27">
        <v>2000</v>
      </c>
      <c r="AA1575" s="25">
        <v>7</v>
      </c>
      <c r="AB1575" s="27"/>
      <c r="AC1575" s="27"/>
      <c r="AD1575" s="27"/>
      <c r="AE1575" s="27"/>
      <c r="AF1575" s="27"/>
      <c r="AG1575" s="27"/>
      <c r="AH1575" s="27"/>
      <c r="AI1575" s="25">
        <v>222887</v>
      </c>
      <c r="AJ1575" s="25">
        <v>153792</v>
      </c>
      <c r="AK1575" s="25">
        <v>5024</v>
      </c>
      <c r="AL1575" s="25">
        <v>324700</v>
      </c>
      <c r="AM1575" s="25">
        <v>61700</v>
      </c>
      <c r="AN1575" s="25">
        <v>263000</v>
      </c>
      <c r="AO1575" s="25">
        <v>0</v>
      </c>
      <c r="AP1575" s="25">
        <f>Lookups!$B$56*0</f>
        <v>0</v>
      </c>
      <c r="AQ1575" s="25">
        <f>Lookups!$B$56*1</f>
        <v>89850.625589999996</v>
      </c>
      <c r="AR1575" s="25">
        <f>Lookups!$B$57*Inventory[[#This Row],[LnAcres]]</f>
        <v>-47929.131559187132</v>
      </c>
      <c r="AS1575" s="25">
        <f>VLOOKUP(Inventory[[#This Row],[Qlty]],Lookups!$A$62:$E$75,2,FALSE)</f>
        <v>21557.329055999999</v>
      </c>
      <c r="AT1575" s="25">
        <f>VLOOKUP(Inventory[[#This Row],[Cnd]],Lookups!$A$76:$E$84,2,FALSE)</f>
        <v>197752.34721000001</v>
      </c>
      <c r="AU1575" s="25">
        <f>Inventory[[#This Row],[EffAge]]*Lookups!$B$85</f>
        <v>-11821.416826500001</v>
      </c>
      <c r="AV1575" s="25">
        <f>Inventory[[#This Row],[MainFn]]*Lookups!$B$86</f>
        <v>41947.960725573001</v>
      </c>
      <c r="AW1575" s="25">
        <f>Inventory[[#This Row],[UpprFn]]*Lookups!$B$87</f>
        <v>0</v>
      </c>
      <c r="AX1575" s="25">
        <f>Inventory[[#This Row],[AddFn]]*Lookups!$B$88</f>
        <v>0</v>
      </c>
      <c r="AY1575" s="25">
        <f>Inventory[[#This Row],[Bsmt]]*Lookups!$B$89</f>
        <v>24690.529064702998</v>
      </c>
      <c r="AZ1575" s="25">
        <f>Inventory[[#This Row],[Fixtures]]*Lookups!$B$90</f>
        <v>26544.1547364</v>
      </c>
      <c r="BA1575" s="25">
        <f>Inventory[[#This Row],[WdDeck]]*Lookups!$B$91</f>
        <v>0</v>
      </c>
      <c r="BB1575" s="25">
        <f>ROUND(Inventory[[#This Row],[25Det]],-2)</f>
        <v>5000</v>
      </c>
      <c r="BC1575" s="25">
        <f>ROUND(SUM(Inventory[[#This Row],[Mdl Qlty]:[Mdl WdDeck]])+Inventory[[#This Row],[Mdl Res Intercept]],-2)</f>
        <v>300700</v>
      </c>
      <c r="BD1575" s="25">
        <f>ROUND(Inventory[[#This Row],[Mdl Land Intercept]]+Inventory[[#This Row],[Mdl LnAcres]],-2)</f>
        <v>41900</v>
      </c>
      <c r="BE1575" s="25">
        <f>Inventory[[#This Row],[Unadj Res Value]]+Inventory[[#This Row],[Unadj Det Value]]+Inventory[[#This Row],[Unadj Land Value]]</f>
        <v>347600</v>
      </c>
      <c r="BF1575" s="36">
        <f>(Inventory[[#This Row],[Unadj Total Value]]-Inventory[[#This Row],[24Final]])/Inventory[[#This Row],[24Final]]</f>
        <v>7.0526639975361877E-2</v>
      </c>
      <c r="BG1575" s="25">
        <f>VLOOKUP(Inventory[[#This Row],[Nbhd]],Lookups!$Q$2:$T$4,4,FALSE)</f>
        <v>0.99970000000000003</v>
      </c>
      <c r="BH1575" s="25">
        <f>VLOOKUP(Inventory[[#This Row],[Qlty]],Lookups!$O$7:$R$21,4,FALSE)</f>
        <v>1.0067999999999999</v>
      </c>
      <c r="BI1575" s="25">
        <f>VLOOKUP(Inventory[[#This Row],[Cnd]],Lookups!$T$7:$W$16,4,FALSE)</f>
        <v>0.99650000000000005</v>
      </c>
      <c r="BJ1575" s="25">
        <f>VLOOKUP(Inventory[[#This Row],[LivArea Range]],Lookups!$T$25:$W$37,4,FALSE)</f>
        <v>1.0093000000000001</v>
      </c>
      <c r="BK1575" s="25">
        <f>VLOOKUP(Inventory[[#This Row],[Decade]],Lookups!$O$25:$R$42,4,FALSE)</f>
        <v>0.98909999999999998</v>
      </c>
      <c r="BL1575" s="25">
        <f>Inventory[[#This Row],[Nbhd Adj]]*0.95</f>
        <v>0.94971499999999998</v>
      </c>
      <c r="BM1575" s="25">
        <f>Inventory[[#This Row],[Nbhd Adj]]*Inventory[[#This Row],[Quality Adj]]*Inventory[[#This Row],[Condition Adj]]*Inventory[[#This Row],[Living Area Adj]]*Inventory[[#This Row],[Decade Adj]]*0.95</f>
        <v>0.95120534593507355</v>
      </c>
      <c r="BN1575" s="25">
        <f>ROUND(SUM(Inventory[[#This Row],[Mdl Qlty]:[Mdl WdDeck]])+Inventory[[#This Row],[Mdl Res Intercept]]*Inventory[[#This Row],[Res Adj ]],-2)</f>
        <v>300700</v>
      </c>
      <c r="BO1575" s="25">
        <f>ROUND(Inventory[[#This Row],[25Det]]*Inventory[[#This Row],[Det/Nbhd Adj]],-2)</f>
        <v>4800</v>
      </c>
      <c r="BP1575" s="25">
        <f>Inventory[[#This Row],[Adjusted Res]]+Inventory[[#This Row],[Adj Det ]]</f>
        <v>305500</v>
      </c>
      <c r="BQ1575" s="25">
        <f>ROUND((Inventory[[#This Row],[Mdl Land Intercept]]+Inventory[[#This Row],[Mdl LnAcres]])*Inventory[[#This Row],[Det/Nbhd Adj]],-2)</f>
        <v>39800</v>
      </c>
      <c r="BR1575" s="25">
        <f>Inventory[[#This Row],[Adjusted Impr Total]]+Inventory[[#This Row],[Adjusted Land Total]]</f>
        <v>345300</v>
      </c>
      <c r="BS1575" s="36">
        <f>IFERROR((Inventory[[#This Row],[Adjusted Impr Total]]-Inventory[[#This Row],[24Bldg]])/Inventory[[#This Row],[24Bldg]],0)</f>
        <v>0.16159695817490494</v>
      </c>
      <c r="BT1575" s="36">
        <f>(Inventory[[#This Row],[Adjusted Land Total]]-Inventory[[#This Row],[24Lnd]])/Inventory[[#This Row],[24Lnd]]</f>
        <v>-0.35494327390599678</v>
      </c>
      <c r="BU1575" s="36">
        <f>(Inventory[[#This Row],[Adjusted Total]]-Inventory[[#This Row],[24Final]])/Inventory[[#This Row],[24Final]]</f>
        <v>6.3443178318447799E-2</v>
      </c>
    </row>
    <row r="1576" spans="1:73" x14ac:dyDescent="0.3">
      <c r="A1576" s="25">
        <v>2025</v>
      </c>
      <c r="B1576" s="26" t="s">
        <v>1853</v>
      </c>
      <c r="C1576" s="26">
        <f>LN(Inventory[[#This Row],[Acres]])</f>
        <v>-1.8971199848858813</v>
      </c>
      <c r="D1576" s="25">
        <v>0.15</v>
      </c>
      <c r="E1576" s="32">
        <v>6500</v>
      </c>
      <c r="F1576" s="26" t="s">
        <v>537</v>
      </c>
      <c r="G1576" s="26" t="s">
        <v>126</v>
      </c>
      <c r="H1576" s="26" t="s">
        <v>349</v>
      </c>
      <c r="I1576" s="26" t="s">
        <v>538</v>
      </c>
      <c r="J1576" s="26" t="s">
        <v>539</v>
      </c>
      <c r="K1576" s="26" t="s">
        <v>269</v>
      </c>
      <c r="L1576" s="26" t="s">
        <v>351</v>
      </c>
      <c r="M1576" s="26" t="s">
        <v>303</v>
      </c>
      <c r="N1576" s="26">
        <v>90</v>
      </c>
      <c r="O1576" s="26">
        <f>2024-Inventory[[#This Row],[YrBlt]]</f>
        <v>89</v>
      </c>
      <c r="P1576" s="26">
        <f>2024-Inventory[[#This Row],[EffYr]]</f>
        <v>53</v>
      </c>
      <c r="Q1576" s="25">
        <v>1935</v>
      </c>
      <c r="R1576" s="25">
        <v>1971</v>
      </c>
      <c r="S1576" s="25">
        <v>980</v>
      </c>
      <c r="T1576" s="27"/>
      <c r="U1576" s="25">
        <v>980</v>
      </c>
      <c r="V1576" s="25">
        <f>Inventory[[#This Row],[Bsmt]]-Inventory[[#This Row],[FnBsmt]]</f>
        <v>0</v>
      </c>
      <c r="W1576" s="25">
        <v>980</v>
      </c>
      <c r="X1576" s="27"/>
      <c r="Y1576" s="27">
        <f>Inventory[[#This Row],[MainFn]]+Inventory[[#This Row],[UpprFn]]+Inventory[[#This Row],[FnBsmt]]+Inventory[[#This Row],[AddFn]]</f>
        <v>1960</v>
      </c>
      <c r="Z1576" s="27">
        <v>2000</v>
      </c>
      <c r="AA1576" s="25">
        <v>8</v>
      </c>
      <c r="AB1576" s="27"/>
      <c r="AC1576" s="27"/>
      <c r="AD1576" s="32">
        <v>111</v>
      </c>
      <c r="AE1576" s="27"/>
      <c r="AF1576" s="27"/>
      <c r="AG1576" s="27"/>
      <c r="AH1576" s="27"/>
      <c r="AI1576" s="25">
        <v>256357</v>
      </c>
      <c r="AJ1576" s="25">
        <v>176886</v>
      </c>
      <c r="AK1576" s="25">
        <v>5605</v>
      </c>
      <c r="AL1576" s="25">
        <v>331200</v>
      </c>
      <c r="AM1576" s="25">
        <v>48400</v>
      </c>
      <c r="AN1576" s="25">
        <v>282800</v>
      </c>
      <c r="AO1576" s="25">
        <v>0</v>
      </c>
      <c r="AP1576" s="25">
        <f>Lookups!$B$56*0</f>
        <v>0</v>
      </c>
      <c r="AQ1576" s="25">
        <f>Lookups!$B$56*1</f>
        <v>89850.625589999996</v>
      </c>
      <c r="AR1576" s="25">
        <f>Lookups!$B$57*Inventory[[#This Row],[LnAcres]]</f>
        <v>-60052.604136134301</v>
      </c>
      <c r="AS1576" s="25">
        <f>VLOOKUP(Inventory[[#This Row],[Qlty]],Lookups!$A$62:$E$75,2,FALSE)</f>
        <v>21557.329055999999</v>
      </c>
      <c r="AT1576" s="25">
        <f>VLOOKUP(Inventory[[#This Row],[Cnd]],Lookups!$A$76:$E$84,2,FALSE)</f>
        <v>197752.34721000001</v>
      </c>
      <c r="AU1576" s="25">
        <f>Inventory[[#This Row],[EffAge]]*Lookups!$B$85</f>
        <v>-11821.416826500001</v>
      </c>
      <c r="AV1576" s="25">
        <f>Inventory[[#This Row],[MainFn]]*Lookups!$B$86</f>
        <v>48420.496479460002</v>
      </c>
      <c r="AW1576" s="25">
        <f>Inventory[[#This Row],[UpprFn]]*Lookups!$B$87</f>
        <v>0</v>
      </c>
      <c r="AX1576" s="25">
        <f>Inventory[[#This Row],[AddFn]]*Lookups!$B$88</f>
        <v>0</v>
      </c>
      <c r="AY1576" s="25">
        <f>Inventory[[#This Row],[Bsmt]]*Lookups!$B$89</f>
        <v>28500.257342059998</v>
      </c>
      <c r="AZ1576" s="25">
        <f>Inventory[[#This Row],[Fixtures]]*Lookups!$B$90</f>
        <v>30336.176841600001</v>
      </c>
      <c r="BA1576" s="25">
        <f>Inventory[[#This Row],[WdDeck]]*Lookups!$B$91</f>
        <v>3695.8021956360003</v>
      </c>
      <c r="BB1576" s="25">
        <f>ROUND(Inventory[[#This Row],[25Det]],-2)</f>
        <v>5600</v>
      </c>
      <c r="BC1576" s="25">
        <f>ROUND(SUM(Inventory[[#This Row],[Mdl Qlty]:[Mdl WdDeck]])+Inventory[[#This Row],[Mdl Res Intercept]],-2)</f>
        <v>318400</v>
      </c>
      <c r="BD1576" s="25">
        <f>ROUND(Inventory[[#This Row],[Mdl Land Intercept]]+Inventory[[#This Row],[Mdl LnAcres]],-2)</f>
        <v>29800</v>
      </c>
      <c r="BE1576" s="25">
        <f>Inventory[[#This Row],[Unadj Res Value]]+Inventory[[#This Row],[Unadj Det Value]]+Inventory[[#This Row],[Unadj Land Value]]</f>
        <v>353800</v>
      </c>
      <c r="BF1576" s="36">
        <f>(Inventory[[#This Row],[Unadj Total Value]]-Inventory[[#This Row],[24Final]])/Inventory[[#This Row],[24Final]]</f>
        <v>6.8236714975845408E-2</v>
      </c>
      <c r="BG1576" s="25">
        <f>VLOOKUP(Inventory[[#This Row],[Nbhd]],Lookups!$Q$2:$T$4,4,FALSE)</f>
        <v>0.99970000000000003</v>
      </c>
      <c r="BH1576" s="25">
        <f>VLOOKUP(Inventory[[#This Row],[Qlty]],Lookups!$O$7:$R$21,4,FALSE)</f>
        <v>1.0067999999999999</v>
      </c>
      <c r="BI1576" s="25">
        <f>VLOOKUP(Inventory[[#This Row],[Cnd]],Lookups!$T$7:$W$16,4,FALSE)</f>
        <v>0.99650000000000005</v>
      </c>
      <c r="BJ1576" s="25">
        <f>VLOOKUP(Inventory[[#This Row],[LivArea Range]],Lookups!$T$25:$W$37,4,FALSE)</f>
        <v>1.0093000000000001</v>
      </c>
      <c r="BK1576" s="25">
        <f>VLOOKUP(Inventory[[#This Row],[Decade]],Lookups!$O$25:$R$42,4,FALSE)</f>
        <v>0.98909999999999998</v>
      </c>
      <c r="BL1576" s="25">
        <f>Inventory[[#This Row],[Nbhd Adj]]*0.95</f>
        <v>0.94971499999999998</v>
      </c>
      <c r="BM1576" s="25">
        <f>Inventory[[#This Row],[Nbhd Adj]]*Inventory[[#This Row],[Quality Adj]]*Inventory[[#This Row],[Condition Adj]]*Inventory[[#This Row],[Living Area Adj]]*Inventory[[#This Row],[Decade Adj]]*0.95</f>
        <v>0.95120534593507355</v>
      </c>
      <c r="BN1576" s="25">
        <f>ROUND(SUM(Inventory[[#This Row],[Mdl Qlty]:[Mdl WdDeck]])+Inventory[[#This Row],[Mdl Res Intercept]]*Inventory[[#This Row],[Res Adj ]],-2)</f>
        <v>318400</v>
      </c>
      <c r="BO1576" s="25">
        <f>ROUND(Inventory[[#This Row],[25Det]]*Inventory[[#This Row],[Det/Nbhd Adj]],-2)</f>
        <v>5300</v>
      </c>
      <c r="BP1576" s="25">
        <f>Inventory[[#This Row],[Adjusted Res]]+Inventory[[#This Row],[Adj Det ]]</f>
        <v>323700</v>
      </c>
      <c r="BQ1576" s="25">
        <f>ROUND((Inventory[[#This Row],[Mdl Land Intercept]]+Inventory[[#This Row],[Mdl LnAcres]])*Inventory[[#This Row],[Det/Nbhd Adj]],-2)</f>
        <v>28300</v>
      </c>
      <c r="BR1576" s="25">
        <f>Inventory[[#This Row],[Adjusted Impr Total]]+Inventory[[#This Row],[Adjusted Land Total]]</f>
        <v>352000</v>
      </c>
      <c r="BS1576" s="36">
        <f>IFERROR((Inventory[[#This Row],[Adjusted Impr Total]]-Inventory[[#This Row],[24Bldg]])/Inventory[[#This Row],[24Bldg]],0)</f>
        <v>0.14462517680339462</v>
      </c>
      <c r="BT1576" s="36">
        <f>(Inventory[[#This Row],[Adjusted Land Total]]-Inventory[[#This Row],[24Lnd]])/Inventory[[#This Row],[24Lnd]]</f>
        <v>-0.41528925619834711</v>
      </c>
      <c r="BU1576" s="36">
        <f>(Inventory[[#This Row],[Adjusted Total]]-Inventory[[#This Row],[24Final]])/Inventory[[#This Row],[24Final]]</f>
        <v>6.280193236714976E-2</v>
      </c>
    </row>
    <row r="1577" spans="1:73" x14ac:dyDescent="0.3">
      <c r="A1577" s="25">
        <v>2025</v>
      </c>
      <c r="B1577" s="26" t="s">
        <v>1945</v>
      </c>
      <c r="C1577" s="26">
        <f>LN(Inventory[[#This Row],[Acres]])</f>
        <v>-1.6607312068216509</v>
      </c>
      <c r="D1577" s="25">
        <v>0.19</v>
      </c>
      <c r="E1577" s="25">
        <v>8284</v>
      </c>
      <c r="F1577" s="26" t="s">
        <v>537</v>
      </c>
      <c r="G1577" s="26" t="s">
        <v>126</v>
      </c>
      <c r="H1577" s="26" t="s">
        <v>349</v>
      </c>
      <c r="I1577" s="26" t="s">
        <v>538</v>
      </c>
      <c r="J1577" s="26" t="s">
        <v>539</v>
      </c>
      <c r="K1577" s="26" t="s">
        <v>173</v>
      </c>
      <c r="L1577" s="26" t="s">
        <v>302</v>
      </c>
      <c r="M1577" s="26" t="s">
        <v>206</v>
      </c>
      <c r="N1577" s="26">
        <v>90</v>
      </c>
      <c r="O1577" s="26">
        <f>2024-Inventory[[#This Row],[YrBlt]]</f>
        <v>89</v>
      </c>
      <c r="P1577" s="26">
        <f>2024-Inventory[[#This Row],[EffYr]]</f>
        <v>53</v>
      </c>
      <c r="Q1577" s="25">
        <v>1935</v>
      </c>
      <c r="R1577" s="25">
        <v>1971</v>
      </c>
      <c r="S1577" s="25">
        <v>1230</v>
      </c>
      <c r="T1577" s="32">
        <v>406</v>
      </c>
      <c r="U1577" s="25">
        <v>976</v>
      </c>
      <c r="V1577" s="32">
        <f>Inventory[[#This Row],[Bsmt]]-Inventory[[#This Row],[FnBsmt]]</f>
        <v>476</v>
      </c>
      <c r="W1577" s="32">
        <v>500</v>
      </c>
      <c r="X1577" s="27"/>
      <c r="Y1577" s="27">
        <f>Inventory[[#This Row],[MainFn]]+Inventory[[#This Row],[UpprFn]]+Inventory[[#This Row],[FnBsmt]]+Inventory[[#This Row],[AddFn]]</f>
        <v>2136</v>
      </c>
      <c r="Z1577" s="27">
        <v>2500</v>
      </c>
      <c r="AA1577" s="25">
        <v>9</v>
      </c>
      <c r="AB1577" s="31"/>
      <c r="AC1577" s="27"/>
      <c r="AD1577" s="27"/>
      <c r="AE1577" s="27"/>
      <c r="AF1577" s="27"/>
      <c r="AG1577" s="27"/>
      <c r="AH1577" s="27"/>
      <c r="AI1577" s="25">
        <v>344612</v>
      </c>
      <c r="AJ1577" s="25">
        <v>223998</v>
      </c>
      <c r="AK1577" s="25">
        <v>10916</v>
      </c>
      <c r="AL1577" s="25">
        <v>319100</v>
      </c>
      <c r="AM1577" s="25">
        <v>56600</v>
      </c>
      <c r="AN1577" s="25">
        <v>262500</v>
      </c>
      <c r="AO1577" s="25">
        <v>0</v>
      </c>
      <c r="AP1577" s="25">
        <f>Lookups!$B$56*0</f>
        <v>0</v>
      </c>
      <c r="AQ1577" s="25">
        <f>Lookups!$B$56*1</f>
        <v>89850.625589999996</v>
      </c>
      <c r="AR1577" s="25">
        <f>Lookups!$B$57*Inventory[[#This Row],[LnAcres]]</f>
        <v>-52569.808201026557</v>
      </c>
      <c r="AS1577" s="25">
        <f>VLOOKUP(Inventory[[#This Row],[Qlty]],Lookups!$A$62:$E$75,2,FALSE)</f>
        <v>29814.093161000001</v>
      </c>
      <c r="AT1577" s="25">
        <f>VLOOKUP(Inventory[[#This Row],[Cnd]],Lookups!$A$76:$E$84,2,FALSE)</f>
        <v>133714.53821</v>
      </c>
      <c r="AU1577" s="25">
        <f>Inventory[[#This Row],[EffAge]]*Lookups!$B$85</f>
        <v>-11821.416826500001</v>
      </c>
      <c r="AV1577" s="25">
        <f>Inventory[[#This Row],[MainFn]]*Lookups!$B$86</f>
        <v>60772.663948710004</v>
      </c>
      <c r="AW1577" s="25">
        <f>Inventory[[#This Row],[UpprFn]]*Lookups!$B$87</f>
        <v>18183.287681565998</v>
      </c>
      <c r="AX1577" s="25">
        <f>Inventory[[#This Row],[AddFn]]*Lookups!$B$88</f>
        <v>0</v>
      </c>
      <c r="AY1577" s="25">
        <f>Inventory[[#This Row],[Bsmt]]*Lookups!$B$89</f>
        <v>28383.929761071999</v>
      </c>
      <c r="AZ1577" s="25">
        <f>Inventory[[#This Row],[Fixtures]]*Lookups!$B$90</f>
        <v>34128.198946800003</v>
      </c>
      <c r="BA1577" s="25">
        <f>Inventory[[#This Row],[WdDeck]]*Lookups!$B$91</f>
        <v>0</v>
      </c>
      <c r="BB1577" s="25">
        <f>ROUND(Inventory[[#This Row],[25Det]],-2)</f>
        <v>10900</v>
      </c>
      <c r="BC1577" s="25">
        <f>ROUND(SUM(Inventory[[#This Row],[Mdl Qlty]:[Mdl WdDeck]])+Inventory[[#This Row],[Mdl Res Intercept]],-2)</f>
        <v>293200</v>
      </c>
      <c r="BD1577" s="25">
        <f>ROUND(Inventory[[#This Row],[Mdl Land Intercept]]+Inventory[[#This Row],[Mdl LnAcres]],-2)</f>
        <v>37300</v>
      </c>
      <c r="BE1577" s="25">
        <f>Inventory[[#This Row],[Unadj Res Value]]+Inventory[[#This Row],[Unadj Det Value]]+Inventory[[#This Row],[Unadj Land Value]]</f>
        <v>341400</v>
      </c>
      <c r="BF1577" s="36">
        <f>(Inventory[[#This Row],[Unadj Total Value]]-Inventory[[#This Row],[24Final]])/Inventory[[#This Row],[24Final]]</f>
        <v>6.9884048887496081E-2</v>
      </c>
      <c r="BG1577" s="25">
        <f>VLOOKUP(Inventory[[#This Row],[Nbhd]],Lookups!$Q$2:$T$4,4,FALSE)</f>
        <v>0.99970000000000003</v>
      </c>
      <c r="BH1577" s="25">
        <f>VLOOKUP(Inventory[[#This Row],[Qlty]],Lookups!$O$7:$R$21,4,FALSE)</f>
        <v>1.0088999999999999</v>
      </c>
      <c r="BI1577" s="25">
        <f>VLOOKUP(Inventory[[#This Row],[Cnd]],Lookups!$T$7:$W$16,4,FALSE)</f>
        <v>0.99329999999999996</v>
      </c>
      <c r="BJ1577" s="25">
        <f>VLOOKUP(Inventory[[#This Row],[LivArea Range]],Lookups!$T$25:$W$37,4,FALSE)</f>
        <v>0.98919999999999997</v>
      </c>
      <c r="BK1577" s="25">
        <f>VLOOKUP(Inventory[[#This Row],[Decade]],Lookups!$O$25:$R$42,4,FALSE)</f>
        <v>0.98909999999999998</v>
      </c>
      <c r="BL1577" s="25">
        <f>Inventory[[#This Row],[Nbhd Adj]]*0.95</f>
        <v>0.94971499999999998</v>
      </c>
      <c r="BM1577" s="25">
        <f>Inventory[[#This Row],[Nbhd Adj]]*Inventory[[#This Row],[Quality Adj]]*Inventory[[#This Row],[Condition Adj]]*Inventory[[#This Row],[Living Area Adj]]*Inventory[[#This Row],[Decade Adj]]*0.95</f>
        <v>0.93120685524824687</v>
      </c>
      <c r="BN1577" s="25">
        <f>ROUND(SUM(Inventory[[#This Row],[Mdl Qlty]:[Mdl WdDeck]])+Inventory[[#This Row],[Mdl Res Intercept]]*Inventory[[#This Row],[Res Adj ]],-2)</f>
        <v>293200</v>
      </c>
      <c r="BO1577" s="25">
        <f>ROUND(Inventory[[#This Row],[25Det]]*Inventory[[#This Row],[Det/Nbhd Adj]],-2)</f>
        <v>10400</v>
      </c>
      <c r="BP1577" s="25">
        <f>Inventory[[#This Row],[Adjusted Res]]+Inventory[[#This Row],[Adj Det ]]</f>
        <v>303600</v>
      </c>
      <c r="BQ1577" s="25">
        <f>ROUND((Inventory[[#This Row],[Mdl Land Intercept]]+Inventory[[#This Row],[Mdl LnAcres]])*Inventory[[#This Row],[Det/Nbhd Adj]],-2)</f>
        <v>35400</v>
      </c>
      <c r="BR1577" s="25">
        <f>Inventory[[#This Row],[Adjusted Impr Total]]+Inventory[[#This Row],[Adjusted Land Total]]</f>
        <v>339000</v>
      </c>
      <c r="BS1577" s="36">
        <f>IFERROR((Inventory[[#This Row],[Adjusted Impr Total]]-Inventory[[#This Row],[24Bldg]])/Inventory[[#This Row],[24Bldg]],0)</f>
        <v>0.15657142857142858</v>
      </c>
      <c r="BT1577" s="36">
        <f>(Inventory[[#This Row],[Adjusted Land Total]]-Inventory[[#This Row],[24Lnd]])/Inventory[[#This Row],[24Lnd]]</f>
        <v>-0.37455830388692579</v>
      </c>
      <c r="BU1577" s="36">
        <f>(Inventory[[#This Row],[Adjusted Total]]-Inventory[[#This Row],[24Final]])/Inventory[[#This Row],[24Final]]</f>
        <v>6.2362895643998745E-2</v>
      </c>
    </row>
    <row r="1578" spans="1:73" x14ac:dyDescent="0.3">
      <c r="A1578" s="25">
        <v>2025</v>
      </c>
      <c r="B1578" s="26" t="s">
        <v>1316</v>
      </c>
      <c r="C1578" s="26">
        <f>LN(Inventory[[#This Row],[Acres]])</f>
        <v>-1.8971199848858813</v>
      </c>
      <c r="D1578" s="25">
        <v>0.15</v>
      </c>
      <c r="E1578" s="27"/>
      <c r="F1578" s="26" t="s">
        <v>537</v>
      </c>
      <c r="G1578" s="26" t="s">
        <v>126</v>
      </c>
      <c r="H1578" s="26" t="s">
        <v>349</v>
      </c>
      <c r="I1578" s="26" t="s">
        <v>538</v>
      </c>
      <c r="J1578" s="26" t="s">
        <v>539</v>
      </c>
      <c r="K1578" s="26" t="s">
        <v>242</v>
      </c>
      <c r="L1578" s="26" t="s">
        <v>351</v>
      </c>
      <c r="M1578" s="26" t="s">
        <v>323</v>
      </c>
      <c r="N1578" s="26">
        <v>90</v>
      </c>
      <c r="O1578" s="26">
        <f>2024-Inventory[[#This Row],[YrBlt]]</f>
        <v>89</v>
      </c>
      <c r="P1578" s="26">
        <f>2024-Inventory[[#This Row],[EffYr]]</f>
        <v>53</v>
      </c>
      <c r="Q1578" s="25">
        <v>1935</v>
      </c>
      <c r="R1578" s="25">
        <v>1971</v>
      </c>
      <c r="S1578" s="25">
        <v>1016</v>
      </c>
      <c r="T1578" s="27"/>
      <c r="U1578" s="31"/>
      <c r="V1578" s="31">
        <f>Inventory[[#This Row],[Bsmt]]-Inventory[[#This Row],[FnBsmt]]</f>
        <v>0</v>
      </c>
      <c r="W1578" s="31"/>
      <c r="X1578" s="27"/>
      <c r="Y1578" s="27">
        <f>Inventory[[#This Row],[MainFn]]+Inventory[[#This Row],[UpprFn]]+Inventory[[#This Row],[FnBsmt]]+Inventory[[#This Row],[AddFn]]</f>
        <v>1016</v>
      </c>
      <c r="Z1578" s="27">
        <v>1500</v>
      </c>
      <c r="AA1578" s="25">
        <v>5</v>
      </c>
      <c r="AB1578" s="27"/>
      <c r="AC1578" s="31"/>
      <c r="AD1578" s="27"/>
      <c r="AE1578" s="27"/>
      <c r="AF1578" s="27"/>
      <c r="AG1578" s="27"/>
      <c r="AH1578" s="27"/>
      <c r="AI1578" s="25">
        <v>171657</v>
      </c>
      <c r="AJ1578" s="25">
        <v>115010</v>
      </c>
      <c r="AK1578" s="25">
        <v>4943</v>
      </c>
      <c r="AL1578" s="25">
        <v>256800</v>
      </c>
      <c r="AM1578" s="25">
        <v>48400</v>
      </c>
      <c r="AN1578" s="25">
        <v>208400</v>
      </c>
      <c r="AO1578" s="25">
        <v>0</v>
      </c>
      <c r="AP1578" s="25">
        <f>Lookups!$B$56*0</f>
        <v>0</v>
      </c>
      <c r="AQ1578" s="25">
        <f>Lookups!$B$56*1</f>
        <v>89850.625589999996</v>
      </c>
      <c r="AR1578" s="25">
        <f>Lookups!$B$57*Inventory[[#This Row],[LnAcres]]</f>
        <v>-60052.604136134301</v>
      </c>
      <c r="AS1578" s="25">
        <f>VLOOKUP(Inventory[[#This Row],[Qlty]],Lookups!$A$62:$E$75,2,FALSE)</f>
        <v>21557.329055999999</v>
      </c>
      <c r="AT1578" s="25">
        <f>VLOOKUP(Inventory[[#This Row],[Cnd]],Lookups!$A$76:$E$84,2,FALSE)</f>
        <v>160472.20319</v>
      </c>
      <c r="AU1578" s="25">
        <f>Inventory[[#This Row],[EffAge]]*Lookups!$B$85</f>
        <v>-11821.416826500001</v>
      </c>
      <c r="AV1578" s="25">
        <f>Inventory[[#This Row],[MainFn]]*Lookups!$B$86</f>
        <v>50199.208595032003</v>
      </c>
      <c r="AW1578" s="25">
        <f>Inventory[[#This Row],[UpprFn]]*Lookups!$B$87</f>
        <v>0</v>
      </c>
      <c r="AX1578" s="25">
        <f>Inventory[[#This Row],[AddFn]]*Lookups!$B$88</f>
        <v>0</v>
      </c>
      <c r="AY1578" s="25">
        <f>Inventory[[#This Row],[Bsmt]]*Lookups!$B$89</f>
        <v>0</v>
      </c>
      <c r="AZ1578" s="25">
        <f>Inventory[[#This Row],[Fixtures]]*Lookups!$B$90</f>
        <v>18960.110526</v>
      </c>
      <c r="BA1578" s="25">
        <f>Inventory[[#This Row],[WdDeck]]*Lookups!$B$91</f>
        <v>0</v>
      </c>
      <c r="BB1578" s="25">
        <f>ROUND(Inventory[[#This Row],[25Det]],-2)</f>
        <v>4900</v>
      </c>
      <c r="BC1578" s="25">
        <f>ROUND(SUM(Inventory[[#This Row],[Mdl Qlty]:[Mdl WdDeck]])+Inventory[[#This Row],[Mdl Res Intercept]],-2)</f>
        <v>239400</v>
      </c>
      <c r="BD1578" s="25">
        <f>ROUND(Inventory[[#This Row],[Mdl Land Intercept]]+Inventory[[#This Row],[Mdl LnAcres]],-2)</f>
        <v>29800</v>
      </c>
      <c r="BE1578" s="25">
        <f>Inventory[[#This Row],[Unadj Res Value]]+Inventory[[#This Row],[Unadj Det Value]]+Inventory[[#This Row],[Unadj Land Value]]</f>
        <v>274100</v>
      </c>
      <c r="BF1578" s="36">
        <f>(Inventory[[#This Row],[Unadj Total Value]]-Inventory[[#This Row],[24Final]])/Inventory[[#This Row],[24Final]]</f>
        <v>6.7367601246105913E-2</v>
      </c>
      <c r="BG1578" s="25">
        <f>VLOOKUP(Inventory[[#This Row],[Nbhd]],Lookups!$Q$2:$T$4,4,FALSE)</f>
        <v>0.99970000000000003</v>
      </c>
      <c r="BH1578" s="25">
        <f>VLOOKUP(Inventory[[#This Row],[Qlty]],Lookups!$O$7:$R$21,4,FALSE)</f>
        <v>1.0067999999999999</v>
      </c>
      <c r="BI1578" s="25">
        <f>VLOOKUP(Inventory[[#This Row],[Cnd]],Lookups!$T$7:$W$16,4,FALSE)</f>
        <v>0.99729999999999996</v>
      </c>
      <c r="BJ1578" s="25">
        <f>VLOOKUP(Inventory[[#This Row],[LivArea Range]],Lookups!$T$25:$W$37,4,FALSE)</f>
        <v>1.0157</v>
      </c>
      <c r="BK1578" s="25">
        <f>VLOOKUP(Inventory[[#This Row],[Decade]],Lookups!$O$25:$R$42,4,FALSE)</f>
        <v>0.98909999999999998</v>
      </c>
      <c r="BL1578" s="25">
        <f>Inventory[[#This Row],[Nbhd Adj]]*0.95</f>
        <v>0.94971499999999998</v>
      </c>
      <c r="BM1578" s="25">
        <f>Inventory[[#This Row],[Nbhd Adj]]*Inventory[[#This Row],[Quality Adj]]*Inventory[[#This Row],[Condition Adj]]*Inventory[[#This Row],[Living Area Adj]]*Inventory[[#This Row],[Decade Adj]]*0.95</f>
        <v>0.95800544533193577</v>
      </c>
      <c r="BN1578" s="25">
        <f>ROUND(SUM(Inventory[[#This Row],[Mdl Qlty]:[Mdl WdDeck]])+Inventory[[#This Row],[Mdl Res Intercept]]*Inventory[[#This Row],[Res Adj ]],-2)</f>
        <v>239400</v>
      </c>
      <c r="BO1578" s="25">
        <f>ROUND(Inventory[[#This Row],[25Det]]*Inventory[[#This Row],[Det/Nbhd Adj]],-2)</f>
        <v>4700</v>
      </c>
      <c r="BP1578" s="25">
        <f>Inventory[[#This Row],[Adjusted Res]]+Inventory[[#This Row],[Adj Det ]]</f>
        <v>244100</v>
      </c>
      <c r="BQ1578" s="25">
        <f>ROUND((Inventory[[#This Row],[Mdl Land Intercept]]+Inventory[[#This Row],[Mdl LnAcres]])*Inventory[[#This Row],[Det/Nbhd Adj]],-2)</f>
        <v>28300</v>
      </c>
      <c r="BR1578" s="25">
        <f>Inventory[[#This Row],[Adjusted Impr Total]]+Inventory[[#This Row],[Adjusted Land Total]]</f>
        <v>272400</v>
      </c>
      <c r="BS1578" s="36">
        <f>IFERROR((Inventory[[#This Row],[Adjusted Impr Total]]-Inventory[[#This Row],[24Bldg]])/Inventory[[#This Row],[24Bldg]],0)</f>
        <v>0.17130518234165068</v>
      </c>
      <c r="BT1578" s="36">
        <f>(Inventory[[#This Row],[Adjusted Land Total]]-Inventory[[#This Row],[24Lnd]])/Inventory[[#This Row],[24Lnd]]</f>
        <v>-0.41528925619834711</v>
      </c>
      <c r="BU1578" s="36">
        <f>(Inventory[[#This Row],[Adjusted Total]]-Inventory[[#This Row],[24Final]])/Inventory[[#This Row],[24Final]]</f>
        <v>6.0747663551401869E-2</v>
      </c>
    </row>
    <row r="1579" spans="1:73" x14ac:dyDescent="0.3">
      <c r="A1579" s="25">
        <v>2025</v>
      </c>
      <c r="B1579" s="26" t="s">
        <v>2108</v>
      </c>
      <c r="C1579" s="26">
        <f>LN(Inventory[[#This Row],[Acres]])</f>
        <v>-1.7719568419318752</v>
      </c>
      <c r="D1579" s="25">
        <v>0.17</v>
      </c>
      <c r="E1579" s="27"/>
      <c r="F1579" s="26" t="s">
        <v>537</v>
      </c>
      <c r="G1579" s="26" t="s">
        <v>126</v>
      </c>
      <c r="H1579" s="26" t="s">
        <v>349</v>
      </c>
      <c r="I1579" s="26" t="s">
        <v>538</v>
      </c>
      <c r="J1579" s="26" t="s">
        <v>539</v>
      </c>
      <c r="K1579" s="26" t="s">
        <v>242</v>
      </c>
      <c r="L1579" s="26" t="s">
        <v>351</v>
      </c>
      <c r="M1579" s="26" t="s">
        <v>303</v>
      </c>
      <c r="N1579" s="26">
        <v>90</v>
      </c>
      <c r="O1579" s="26">
        <f>2024-Inventory[[#This Row],[YrBlt]]</f>
        <v>89</v>
      </c>
      <c r="P1579" s="26">
        <f>2024-Inventory[[#This Row],[EffYr]]</f>
        <v>53</v>
      </c>
      <c r="Q1579" s="25">
        <v>1935</v>
      </c>
      <c r="R1579" s="25">
        <v>1971</v>
      </c>
      <c r="S1579" s="25">
        <v>1047</v>
      </c>
      <c r="T1579" s="27"/>
      <c r="U1579" s="25">
        <v>1047</v>
      </c>
      <c r="V1579" s="25">
        <f>Inventory[[#This Row],[Bsmt]]-Inventory[[#This Row],[FnBsmt]]</f>
        <v>0</v>
      </c>
      <c r="W1579" s="25">
        <v>1047</v>
      </c>
      <c r="X1579" s="27"/>
      <c r="Y1579" s="27">
        <f>Inventory[[#This Row],[MainFn]]+Inventory[[#This Row],[UpprFn]]+Inventory[[#This Row],[FnBsmt]]+Inventory[[#This Row],[AddFn]]</f>
        <v>2094</v>
      </c>
      <c r="Z1579" s="27">
        <v>2500</v>
      </c>
      <c r="AA1579" s="25">
        <v>8</v>
      </c>
      <c r="AB1579" s="27"/>
      <c r="AC1579" s="31"/>
      <c r="AD1579" s="27"/>
      <c r="AE1579" s="27"/>
      <c r="AF1579" s="27"/>
      <c r="AG1579" s="27"/>
      <c r="AH1579" s="27"/>
      <c r="AI1579" s="25">
        <v>266827</v>
      </c>
      <c r="AJ1579" s="25">
        <v>184111</v>
      </c>
      <c r="AK1579" s="25">
        <v>6312</v>
      </c>
      <c r="AL1579" s="25">
        <v>337800</v>
      </c>
      <c r="AM1579" s="25">
        <v>52700</v>
      </c>
      <c r="AN1579" s="25">
        <v>285100</v>
      </c>
      <c r="AO1579" s="25">
        <v>0</v>
      </c>
      <c r="AP1579" s="25">
        <f>Lookups!$B$56*0</f>
        <v>0</v>
      </c>
      <c r="AQ1579" s="25">
        <f>Lookups!$B$56*1</f>
        <v>89850.625589999996</v>
      </c>
      <c r="AR1579" s="25">
        <f>Lookups!$B$57*Inventory[[#This Row],[LnAcres]]</f>
        <v>-56090.612940989391</v>
      </c>
      <c r="AS1579" s="25">
        <f>VLOOKUP(Inventory[[#This Row],[Qlty]],Lookups!$A$62:$E$75,2,FALSE)</f>
        <v>21557.329055999999</v>
      </c>
      <c r="AT1579" s="25">
        <f>VLOOKUP(Inventory[[#This Row],[Cnd]],Lookups!$A$76:$E$84,2,FALSE)</f>
        <v>197752.34721000001</v>
      </c>
      <c r="AU1579" s="25">
        <f>Inventory[[#This Row],[EffAge]]*Lookups!$B$85</f>
        <v>-11821.416826500001</v>
      </c>
      <c r="AV1579" s="25">
        <f>Inventory[[#This Row],[MainFn]]*Lookups!$B$86</f>
        <v>51730.877361218998</v>
      </c>
      <c r="AW1579" s="25">
        <f>Inventory[[#This Row],[UpprFn]]*Lookups!$B$87</f>
        <v>0</v>
      </c>
      <c r="AX1579" s="25">
        <f>Inventory[[#This Row],[AddFn]]*Lookups!$B$88</f>
        <v>0</v>
      </c>
      <c r="AY1579" s="25">
        <f>Inventory[[#This Row],[Bsmt]]*Lookups!$B$89</f>
        <v>30448.744323608997</v>
      </c>
      <c r="AZ1579" s="25">
        <f>Inventory[[#This Row],[Fixtures]]*Lookups!$B$90</f>
        <v>30336.176841600001</v>
      </c>
      <c r="BA1579" s="25">
        <f>Inventory[[#This Row],[WdDeck]]*Lookups!$B$91</f>
        <v>0</v>
      </c>
      <c r="BB1579" s="25">
        <f>ROUND(Inventory[[#This Row],[25Det]],-2)</f>
        <v>6300</v>
      </c>
      <c r="BC1579" s="25">
        <f>ROUND(SUM(Inventory[[#This Row],[Mdl Qlty]:[Mdl WdDeck]])+Inventory[[#This Row],[Mdl Res Intercept]],-2)</f>
        <v>320000</v>
      </c>
      <c r="BD1579" s="25">
        <f>ROUND(Inventory[[#This Row],[Mdl Land Intercept]]+Inventory[[#This Row],[Mdl LnAcres]],-2)</f>
        <v>33800</v>
      </c>
      <c r="BE1579" s="25">
        <f>Inventory[[#This Row],[Unadj Res Value]]+Inventory[[#This Row],[Unadj Det Value]]+Inventory[[#This Row],[Unadj Land Value]]</f>
        <v>360100</v>
      </c>
      <c r="BF1579" s="36">
        <f>(Inventory[[#This Row],[Unadj Total Value]]-Inventory[[#This Row],[24Final]])/Inventory[[#This Row],[24Final]]</f>
        <v>6.6015393724097093E-2</v>
      </c>
      <c r="BG1579" s="25">
        <f>VLOOKUP(Inventory[[#This Row],[Nbhd]],Lookups!$Q$2:$T$4,4,FALSE)</f>
        <v>0.99970000000000003</v>
      </c>
      <c r="BH1579" s="25">
        <f>VLOOKUP(Inventory[[#This Row],[Qlty]],Lookups!$O$7:$R$21,4,FALSE)</f>
        <v>1.0067999999999999</v>
      </c>
      <c r="BI1579" s="25">
        <f>VLOOKUP(Inventory[[#This Row],[Cnd]],Lookups!$T$7:$W$16,4,FALSE)</f>
        <v>0.99650000000000005</v>
      </c>
      <c r="BJ1579" s="25">
        <f>VLOOKUP(Inventory[[#This Row],[LivArea Range]],Lookups!$T$25:$W$37,4,FALSE)</f>
        <v>0.98919999999999997</v>
      </c>
      <c r="BK1579" s="25">
        <f>VLOOKUP(Inventory[[#This Row],[Decade]],Lookups!$O$25:$R$42,4,FALSE)</f>
        <v>0.98909999999999998</v>
      </c>
      <c r="BL1579" s="25">
        <f>Inventory[[#This Row],[Nbhd Adj]]*0.95</f>
        <v>0.94971499999999998</v>
      </c>
      <c r="BM1579" s="25">
        <f>Inventory[[#This Row],[Nbhd Adj]]*Inventory[[#This Row],[Quality Adj]]*Inventory[[#This Row],[Condition Adj]]*Inventory[[#This Row],[Living Area Adj]]*Inventory[[#This Row],[Decade Adj]]*0.95</f>
        <v>0.9322622889120924</v>
      </c>
      <c r="BN1579" s="25">
        <f>ROUND(SUM(Inventory[[#This Row],[Mdl Qlty]:[Mdl WdDeck]])+Inventory[[#This Row],[Mdl Res Intercept]]*Inventory[[#This Row],[Res Adj ]],-2)</f>
        <v>320000</v>
      </c>
      <c r="BO1579" s="25">
        <f>ROUND(Inventory[[#This Row],[25Det]]*Inventory[[#This Row],[Det/Nbhd Adj]],-2)</f>
        <v>6000</v>
      </c>
      <c r="BP1579" s="25">
        <f>Inventory[[#This Row],[Adjusted Res]]+Inventory[[#This Row],[Adj Det ]]</f>
        <v>326000</v>
      </c>
      <c r="BQ1579" s="25">
        <f>ROUND((Inventory[[#This Row],[Mdl Land Intercept]]+Inventory[[#This Row],[Mdl LnAcres]])*Inventory[[#This Row],[Det/Nbhd Adj]],-2)</f>
        <v>32100</v>
      </c>
      <c r="BR1579" s="25">
        <f>Inventory[[#This Row],[Adjusted Impr Total]]+Inventory[[#This Row],[Adjusted Land Total]]</f>
        <v>358100</v>
      </c>
      <c r="BS1579" s="36">
        <f>IFERROR((Inventory[[#This Row],[Adjusted Impr Total]]-Inventory[[#This Row],[24Bldg]])/Inventory[[#This Row],[24Bldg]],0)</f>
        <v>0.14345843563661873</v>
      </c>
      <c r="BT1579" s="36">
        <f>(Inventory[[#This Row],[Adjusted Land Total]]-Inventory[[#This Row],[24Lnd]])/Inventory[[#This Row],[24Lnd]]</f>
        <v>-0.39089184060721061</v>
      </c>
      <c r="BU1579" s="36">
        <f>(Inventory[[#This Row],[Adjusted Total]]-Inventory[[#This Row],[24Final]])/Inventory[[#This Row],[24Final]]</f>
        <v>6.0094730609828298E-2</v>
      </c>
    </row>
    <row r="1580" spans="1:73" x14ac:dyDescent="0.3">
      <c r="A1580" s="25">
        <v>2025</v>
      </c>
      <c r="B1580" s="26" t="s">
        <v>2384</v>
      </c>
      <c r="C1580" s="26">
        <f>LN(Inventory[[#This Row],[Acres]])</f>
        <v>-1.4271163556401458</v>
      </c>
      <c r="D1580" s="25">
        <v>0.24</v>
      </c>
      <c r="E1580" s="31"/>
      <c r="F1580" s="26" t="s">
        <v>537</v>
      </c>
      <c r="G1580" s="26" t="s">
        <v>126</v>
      </c>
      <c r="H1580" s="26" t="s">
        <v>349</v>
      </c>
      <c r="I1580" s="26" t="s">
        <v>538</v>
      </c>
      <c r="J1580" s="26" t="s">
        <v>539</v>
      </c>
      <c r="K1580" s="26" t="s">
        <v>417</v>
      </c>
      <c r="L1580" s="26" t="s">
        <v>148</v>
      </c>
      <c r="M1580" s="26" t="s">
        <v>303</v>
      </c>
      <c r="N1580" s="26">
        <v>90</v>
      </c>
      <c r="O1580" s="26">
        <f>2024-Inventory[[#This Row],[YrBlt]]</f>
        <v>89</v>
      </c>
      <c r="P1580" s="26">
        <f>2024-Inventory[[#This Row],[EffYr]]</f>
        <v>53</v>
      </c>
      <c r="Q1580" s="25">
        <v>1935</v>
      </c>
      <c r="R1580" s="25">
        <v>1971</v>
      </c>
      <c r="S1580" s="25">
        <v>1301</v>
      </c>
      <c r="T1580" s="27"/>
      <c r="U1580" s="25">
        <v>1226</v>
      </c>
      <c r="V1580" s="25">
        <f>Inventory[[#This Row],[Bsmt]]-Inventory[[#This Row],[FnBsmt]]</f>
        <v>309</v>
      </c>
      <c r="W1580" s="25">
        <v>917</v>
      </c>
      <c r="X1580" s="27"/>
      <c r="Y1580" s="27">
        <f>Inventory[[#This Row],[MainFn]]+Inventory[[#This Row],[UpprFn]]+Inventory[[#This Row],[FnBsmt]]+Inventory[[#This Row],[AddFn]]</f>
        <v>2218</v>
      </c>
      <c r="Z1580" s="27">
        <v>2500</v>
      </c>
      <c r="AA1580" s="25">
        <v>8</v>
      </c>
      <c r="AB1580" s="27"/>
      <c r="AC1580" s="31"/>
      <c r="AD1580" s="27"/>
      <c r="AE1580" s="27"/>
      <c r="AF1580" s="27"/>
      <c r="AG1580" s="27"/>
      <c r="AH1580" s="27"/>
      <c r="AI1580" s="25">
        <v>445997</v>
      </c>
      <c r="AJ1580" s="25">
        <v>307738</v>
      </c>
      <c r="AK1580" s="25">
        <v>9455</v>
      </c>
      <c r="AL1580" s="25">
        <v>388800</v>
      </c>
      <c r="AM1580" s="25">
        <v>64800</v>
      </c>
      <c r="AN1580" s="25">
        <v>324000</v>
      </c>
      <c r="AO1580" s="25">
        <v>0</v>
      </c>
      <c r="AP1580" s="25">
        <f>Lookups!$B$56*0</f>
        <v>0</v>
      </c>
      <c r="AQ1580" s="25">
        <f>Lookups!$B$56*1</f>
        <v>89850.625589999996</v>
      </c>
      <c r="AR1580" s="25">
        <f>Lookups!$B$57*Inventory[[#This Row],[LnAcres]]</f>
        <v>-45174.819855485119</v>
      </c>
      <c r="AS1580" s="25">
        <f>VLOOKUP(Inventory[[#This Row],[Qlty]],Lookups!$A$62:$E$75,2,FALSE)</f>
        <v>44121.038090000002</v>
      </c>
      <c r="AT1580" s="25">
        <f>VLOOKUP(Inventory[[#This Row],[Cnd]],Lookups!$A$76:$E$84,2,FALSE)</f>
        <v>197752.34721000001</v>
      </c>
      <c r="AU1580" s="25">
        <f>Inventory[[#This Row],[EffAge]]*Lookups!$B$85</f>
        <v>-11821.416826500001</v>
      </c>
      <c r="AV1580" s="25">
        <f>Inventory[[#This Row],[MainFn]]*Lookups!$B$86</f>
        <v>64280.679509977002</v>
      </c>
      <c r="AW1580" s="25">
        <f>Inventory[[#This Row],[UpprFn]]*Lookups!$B$87</f>
        <v>0</v>
      </c>
      <c r="AX1580" s="25">
        <f>Inventory[[#This Row],[AddFn]]*Lookups!$B$88</f>
        <v>0</v>
      </c>
      <c r="AY1580" s="25">
        <f>Inventory[[#This Row],[Bsmt]]*Lookups!$B$89</f>
        <v>35654.403572821997</v>
      </c>
      <c r="AZ1580" s="25">
        <f>Inventory[[#This Row],[Fixtures]]*Lookups!$B$90</f>
        <v>30336.176841600001</v>
      </c>
      <c r="BA1580" s="25">
        <f>Inventory[[#This Row],[WdDeck]]*Lookups!$B$91</f>
        <v>0</v>
      </c>
      <c r="BB1580" s="25">
        <f>ROUND(Inventory[[#This Row],[25Det]],-2)</f>
        <v>9500</v>
      </c>
      <c r="BC1580" s="25">
        <f>ROUND(SUM(Inventory[[#This Row],[Mdl Qlty]:[Mdl WdDeck]])+Inventory[[#This Row],[Mdl Res Intercept]],-2)</f>
        <v>360300</v>
      </c>
      <c r="BD1580" s="25">
        <f>ROUND(Inventory[[#This Row],[Mdl Land Intercept]]+Inventory[[#This Row],[Mdl LnAcres]],-2)</f>
        <v>44700</v>
      </c>
      <c r="BE1580" s="25">
        <f>Inventory[[#This Row],[Unadj Res Value]]+Inventory[[#This Row],[Unadj Det Value]]+Inventory[[#This Row],[Unadj Land Value]]</f>
        <v>414500</v>
      </c>
      <c r="BF1580" s="36">
        <f>(Inventory[[#This Row],[Unadj Total Value]]-Inventory[[#This Row],[24Final]])/Inventory[[#This Row],[24Final]]</f>
        <v>6.6100823045267487E-2</v>
      </c>
      <c r="BG1580" s="25">
        <f>VLOOKUP(Inventory[[#This Row],[Nbhd]],Lookups!$Q$2:$T$4,4,FALSE)</f>
        <v>0.99970000000000003</v>
      </c>
      <c r="BH1580" s="25">
        <f>VLOOKUP(Inventory[[#This Row],[Qlty]],Lookups!$O$7:$R$21,4,FALSE)</f>
        <v>0.98050000000000004</v>
      </c>
      <c r="BI1580" s="25">
        <f>VLOOKUP(Inventory[[#This Row],[Cnd]],Lookups!$T$7:$W$16,4,FALSE)</f>
        <v>0.99650000000000005</v>
      </c>
      <c r="BJ1580" s="25">
        <f>VLOOKUP(Inventory[[#This Row],[LivArea Range]],Lookups!$T$25:$W$37,4,FALSE)</f>
        <v>0.98919999999999997</v>
      </c>
      <c r="BK1580" s="25">
        <f>VLOOKUP(Inventory[[#This Row],[Decade]],Lookups!$O$25:$R$42,4,FALSE)</f>
        <v>0.98909999999999998</v>
      </c>
      <c r="BL1580" s="25">
        <f>Inventory[[#This Row],[Nbhd Adj]]*0.95</f>
        <v>0.94971499999999998</v>
      </c>
      <c r="BM1580" s="25">
        <f>Inventory[[#This Row],[Nbhd Adj]]*Inventory[[#This Row],[Quality Adj]]*Inventory[[#This Row],[Condition Adj]]*Inventory[[#This Row],[Living Area Adj]]*Inventory[[#This Row],[Decade Adj]]*0.95</f>
        <v>0.90790939042342744</v>
      </c>
      <c r="BN1580" s="25">
        <f>ROUND(SUM(Inventory[[#This Row],[Mdl Qlty]:[Mdl WdDeck]])+Inventory[[#This Row],[Mdl Res Intercept]]*Inventory[[#This Row],[Res Adj ]],-2)</f>
        <v>360300</v>
      </c>
      <c r="BO1580" s="25">
        <f>ROUND(Inventory[[#This Row],[25Det]]*Inventory[[#This Row],[Det/Nbhd Adj]],-2)</f>
        <v>9000</v>
      </c>
      <c r="BP1580" s="25">
        <f>Inventory[[#This Row],[Adjusted Res]]+Inventory[[#This Row],[Adj Det ]]</f>
        <v>369300</v>
      </c>
      <c r="BQ1580" s="25">
        <f>ROUND((Inventory[[#This Row],[Mdl Land Intercept]]+Inventory[[#This Row],[Mdl LnAcres]])*Inventory[[#This Row],[Det/Nbhd Adj]],-2)</f>
        <v>42400</v>
      </c>
      <c r="BR1580" s="25">
        <f>Inventory[[#This Row],[Adjusted Impr Total]]+Inventory[[#This Row],[Adjusted Land Total]]</f>
        <v>411700</v>
      </c>
      <c r="BS1580" s="36">
        <f>IFERROR((Inventory[[#This Row],[Adjusted Impr Total]]-Inventory[[#This Row],[24Bldg]])/Inventory[[#This Row],[24Bldg]],0)</f>
        <v>0.13981481481481481</v>
      </c>
      <c r="BT1580" s="36">
        <f>(Inventory[[#This Row],[Adjusted Land Total]]-Inventory[[#This Row],[24Lnd]])/Inventory[[#This Row],[24Lnd]]</f>
        <v>-0.34567901234567899</v>
      </c>
      <c r="BU1580" s="36">
        <f>(Inventory[[#This Row],[Adjusted Total]]-Inventory[[#This Row],[24Final]])/Inventory[[#This Row],[24Final]]</f>
        <v>5.8899176954732513E-2</v>
      </c>
    </row>
    <row r="1581" spans="1:73" x14ac:dyDescent="0.3">
      <c r="A1581" s="25">
        <v>2025</v>
      </c>
      <c r="B1581" s="26" t="s">
        <v>2649</v>
      </c>
      <c r="C1581" s="26">
        <f>LN(Inventory[[#This Row],[Acres]])</f>
        <v>-1.8971199848858813</v>
      </c>
      <c r="D1581" s="25">
        <v>0.15</v>
      </c>
      <c r="E1581" s="27"/>
      <c r="F1581" s="26" t="s">
        <v>537</v>
      </c>
      <c r="G1581" s="26" t="s">
        <v>126</v>
      </c>
      <c r="H1581" s="26" t="s">
        <v>349</v>
      </c>
      <c r="I1581" s="26" t="s">
        <v>538</v>
      </c>
      <c r="J1581" s="26" t="s">
        <v>539</v>
      </c>
      <c r="K1581" s="26" t="s">
        <v>173</v>
      </c>
      <c r="L1581" s="26" t="s">
        <v>302</v>
      </c>
      <c r="M1581" s="26" t="s">
        <v>323</v>
      </c>
      <c r="N1581" s="26">
        <v>90</v>
      </c>
      <c r="O1581" s="26">
        <f>2024-Inventory[[#This Row],[YrBlt]]</f>
        <v>89</v>
      </c>
      <c r="P1581" s="26">
        <f>2024-Inventory[[#This Row],[EffYr]]</f>
        <v>53</v>
      </c>
      <c r="Q1581" s="25">
        <v>1935</v>
      </c>
      <c r="R1581" s="25">
        <v>1971</v>
      </c>
      <c r="S1581" s="25">
        <v>1575</v>
      </c>
      <c r="T1581" s="25">
        <v>806</v>
      </c>
      <c r="U1581" s="25">
        <v>900</v>
      </c>
      <c r="V1581" s="25">
        <f>Inventory[[#This Row],[Bsmt]]-Inventory[[#This Row],[FnBsmt]]</f>
        <v>780</v>
      </c>
      <c r="W1581" s="25">
        <v>120</v>
      </c>
      <c r="X1581" s="27"/>
      <c r="Y1581" s="27">
        <f>Inventory[[#This Row],[MainFn]]+Inventory[[#This Row],[UpprFn]]+Inventory[[#This Row],[FnBsmt]]+Inventory[[#This Row],[AddFn]]</f>
        <v>2501</v>
      </c>
      <c r="Z1581" s="27">
        <v>3000</v>
      </c>
      <c r="AA1581" s="25">
        <v>8</v>
      </c>
      <c r="AB1581" s="27"/>
      <c r="AC1581" s="27"/>
      <c r="AD1581" s="31"/>
      <c r="AE1581" s="27"/>
      <c r="AF1581" s="27"/>
      <c r="AG1581" s="27"/>
      <c r="AH1581" s="27"/>
      <c r="AI1581" s="25">
        <v>422710</v>
      </c>
      <c r="AJ1581" s="25">
        <v>283216</v>
      </c>
      <c r="AK1581" s="25">
        <v>0</v>
      </c>
      <c r="AL1581" s="25">
        <v>356300</v>
      </c>
      <c r="AM1581" s="25">
        <v>48400</v>
      </c>
      <c r="AN1581" s="25">
        <v>307900</v>
      </c>
      <c r="AO1581" s="25">
        <v>0</v>
      </c>
      <c r="AP1581" s="25">
        <f>Lookups!$B$56*0</f>
        <v>0</v>
      </c>
      <c r="AQ1581" s="25">
        <f>Lookups!$B$56*1</f>
        <v>89850.625589999996</v>
      </c>
      <c r="AR1581" s="25">
        <f>Lookups!$B$57*Inventory[[#This Row],[LnAcres]]</f>
        <v>-60052.604136134301</v>
      </c>
      <c r="AS1581" s="25">
        <f>VLOOKUP(Inventory[[#This Row],[Qlty]],Lookups!$A$62:$E$75,2,FALSE)</f>
        <v>29814.093161000001</v>
      </c>
      <c r="AT1581" s="25">
        <f>VLOOKUP(Inventory[[#This Row],[Cnd]],Lookups!$A$76:$E$84,2,FALSE)</f>
        <v>160472.20319</v>
      </c>
      <c r="AU1581" s="25">
        <f>Inventory[[#This Row],[EffAge]]*Lookups!$B$85</f>
        <v>-11821.416826500001</v>
      </c>
      <c r="AV1581" s="25">
        <f>Inventory[[#This Row],[MainFn]]*Lookups!$B$86</f>
        <v>77818.655056275005</v>
      </c>
      <c r="AW1581" s="25">
        <f>Inventory[[#This Row],[UpprFn]]*Lookups!$B$87</f>
        <v>36097.856825965995</v>
      </c>
      <c r="AX1581" s="25">
        <f>Inventory[[#This Row],[AddFn]]*Lookups!$B$88</f>
        <v>0</v>
      </c>
      <c r="AY1581" s="25">
        <f>Inventory[[#This Row],[Bsmt]]*Lookups!$B$89</f>
        <v>26173.705722299997</v>
      </c>
      <c r="AZ1581" s="25">
        <f>Inventory[[#This Row],[Fixtures]]*Lookups!$B$90</f>
        <v>30336.176841600001</v>
      </c>
      <c r="BA1581" s="25">
        <f>Inventory[[#This Row],[WdDeck]]*Lookups!$B$91</f>
        <v>0</v>
      </c>
      <c r="BB1581" s="25">
        <f>ROUND(Inventory[[#This Row],[25Det]],-2)</f>
        <v>0</v>
      </c>
      <c r="BC1581" s="25">
        <f>ROUND(SUM(Inventory[[#This Row],[Mdl Qlty]:[Mdl WdDeck]])+Inventory[[#This Row],[Mdl Res Intercept]],-2)</f>
        <v>348900</v>
      </c>
      <c r="BD1581" s="25">
        <f>ROUND(Inventory[[#This Row],[Mdl Land Intercept]]+Inventory[[#This Row],[Mdl LnAcres]],-2)</f>
        <v>29800</v>
      </c>
      <c r="BE1581" s="25">
        <f>Inventory[[#This Row],[Unadj Res Value]]+Inventory[[#This Row],[Unadj Det Value]]+Inventory[[#This Row],[Unadj Land Value]]</f>
        <v>378700</v>
      </c>
      <c r="BF1581" s="36">
        <f>(Inventory[[#This Row],[Unadj Total Value]]-Inventory[[#This Row],[24Final]])/Inventory[[#This Row],[24Final]]</f>
        <v>6.2868369351669937E-2</v>
      </c>
      <c r="BG1581" s="25">
        <f>VLOOKUP(Inventory[[#This Row],[Nbhd]],Lookups!$Q$2:$T$4,4,FALSE)</f>
        <v>0.99970000000000003</v>
      </c>
      <c r="BH1581" s="25">
        <f>VLOOKUP(Inventory[[#This Row],[Qlty]],Lookups!$O$7:$R$21,4,FALSE)</f>
        <v>1.0088999999999999</v>
      </c>
      <c r="BI1581" s="25">
        <f>VLOOKUP(Inventory[[#This Row],[Cnd]],Lookups!$T$7:$W$16,4,FALSE)</f>
        <v>0.99729999999999996</v>
      </c>
      <c r="BJ1581" s="25">
        <f>VLOOKUP(Inventory[[#This Row],[LivArea Range]],Lookups!$T$25:$W$37,4,FALSE)</f>
        <v>0.96179999999999999</v>
      </c>
      <c r="BK1581" s="25">
        <f>VLOOKUP(Inventory[[#This Row],[Decade]],Lookups!$O$25:$R$42,4,FALSE)</f>
        <v>0.98909999999999998</v>
      </c>
      <c r="BL1581" s="25">
        <f>Inventory[[#This Row],[Nbhd Adj]]*0.95</f>
        <v>0.94971499999999998</v>
      </c>
      <c r="BM1581" s="25">
        <f>Inventory[[#This Row],[Nbhd Adj]]*Inventory[[#This Row],[Quality Adj]]*Inventory[[#This Row],[Condition Adj]]*Inventory[[#This Row],[Living Area Adj]]*Inventory[[#This Row],[Decade Adj]]*0.95</f>
        <v>0.90905929772301342</v>
      </c>
      <c r="BN1581" s="25">
        <f>ROUND(SUM(Inventory[[#This Row],[Mdl Qlty]:[Mdl WdDeck]])+Inventory[[#This Row],[Mdl Res Intercept]]*Inventory[[#This Row],[Res Adj ]],-2)</f>
        <v>348900</v>
      </c>
      <c r="BO1581" s="25">
        <f>ROUND(Inventory[[#This Row],[25Det]]*Inventory[[#This Row],[Det/Nbhd Adj]],-2)</f>
        <v>0</v>
      </c>
      <c r="BP1581" s="25">
        <f>Inventory[[#This Row],[Adjusted Res]]+Inventory[[#This Row],[Adj Det ]]</f>
        <v>348900</v>
      </c>
      <c r="BQ1581" s="25">
        <f>ROUND((Inventory[[#This Row],[Mdl Land Intercept]]+Inventory[[#This Row],[Mdl LnAcres]])*Inventory[[#This Row],[Det/Nbhd Adj]],-2)</f>
        <v>28300</v>
      </c>
      <c r="BR1581" s="25">
        <f>Inventory[[#This Row],[Adjusted Impr Total]]+Inventory[[#This Row],[Adjusted Land Total]]</f>
        <v>377200</v>
      </c>
      <c r="BS1581" s="36">
        <f>IFERROR((Inventory[[#This Row],[Adjusted Impr Total]]-Inventory[[#This Row],[24Bldg]])/Inventory[[#This Row],[24Bldg]],0)</f>
        <v>0.13316011692107826</v>
      </c>
      <c r="BT1581" s="36">
        <f>(Inventory[[#This Row],[Adjusted Land Total]]-Inventory[[#This Row],[24Lnd]])/Inventory[[#This Row],[24Lnd]]</f>
        <v>-0.41528925619834711</v>
      </c>
      <c r="BU1581" s="36">
        <f>(Inventory[[#This Row],[Adjusted Total]]-Inventory[[#This Row],[24Final]])/Inventory[[#This Row],[24Final]]</f>
        <v>5.8658433904013471E-2</v>
      </c>
    </row>
    <row r="1582" spans="1:73" x14ac:dyDescent="0.3">
      <c r="A1582" s="25">
        <v>2025</v>
      </c>
      <c r="B1582" s="26" t="s">
        <v>1974</v>
      </c>
      <c r="C1582" s="26">
        <f>LN(Inventory[[#This Row],[Acres]])</f>
        <v>-1.4271163556401458</v>
      </c>
      <c r="D1582" s="25">
        <v>0.24</v>
      </c>
      <c r="E1582" s="27"/>
      <c r="F1582" s="26" t="s">
        <v>537</v>
      </c>
      <c r="G1582" s="26" t="s">
        <v>126</v>
      </c>
      <c r="H1582" s="26" t="s">
        <v>349</v>
      </c>
      <c r="I1582" s="26" t="s">
        <v>538</v>
      </c>
      <c r="J1582" s="26" t="s">
        <v>539</v>
      </c>
      <c r="K1582" s="26" t="s">
        <v>242</v>
      </c>
      <c r="L1582" s="26" t="s">
        <v>351</v>
      </c>
      <c r="M1582" s="26" t="s">
        <v>323</v>
      </c>
      <c r="N1582" s="26">
        <v>90</v>
      </c>
      <c r="O1582" s="26">
        <f>2024-Inventory[[#This Row],[YrBlt]]</f>
        <v>89</v>
      </c>
      <c r="P1582" s="26">
        <f>2024-Inventory[[#This Row],[EffYr]]</f>
        <v>53</v>
      </c>
      <c r="Q1582" s="25">
        <v>1935</v>
      </c>
      <c r="R1582" s="25">
        <v>1971</v>
      </c>
      <c r="S1582" s="25">
        <v>1252</v>
      </c>
      <c r="T1582" s="27"/>
      <c r="U1582" s="31"/>
      <c r="V1582" s="31">
        <f>Inventory[[#This Row],[Bsmt]]-Inventory[[#This Row],[FnBsmt]]</f>
        <v>0</v>
      </c>
      <c r="W1582" s="31"/>
      <c r="X1582" s="27"/>
      <c r="Y1582" s="27">
        <f>Inventory[[#This Row],[MainFn]]+Inventory[[#This Row],[UpprFn]]+Inventory[[#This Row],[FnBsmt]]+Inventory[[#This Row],[AddFn]]</f>
        <v>1252</v>
      </c>
      <c r="Z1582" s="27">
        <v>1500</v>
      </c>
      <c r="AA1582" s="25">
        <v>5</v>
      </c>
      <c r="AB1582" s="32">
        <v>240</v>
      </c>
      <c r="AC1582" s="27"/>
      <c r="AD1582" s="25">
        <v>120</v>
      </c>
      <c r="AE1582" s="27"/>
      <c r="AF1582" s="27"/>
      <c r="AG1582" s="27"/>
      <c r="AH1582" s="27"/>
      <c r="AI1582" s="25">
        <v>227981</v>
      </c>
      <c r="AJ1582" s="25">
        <v>152747</v>
      </c>
      <c r="AK1582" s="25">
        <v>0</v>
      </c>
      <c r="AL1582" s="25">
        <v>281000</v>
      </c>
      <c r="AM1582" s="25">
        <v>64800</v>
      </c>
      <c r="AN1582" s="25">
        <v>216200</v>
      </c>
      <c r="AO1582" s="25">
        <v>0</v>
      </c>
      <c r="AP1582" s="25">
        <f>Lookups!$B$56*0</f>
        <v>0</v>
      </c>
      <c r="AQ1582" s="25">
        <f>Lookups!$B$56*1</f>
        <v>89850.625589999996</v>
      </c>
      <c r="AR1582" s="25">
        <f>Lookups!$B$57*Inventory[[#This Row],[LnAcres]]</f>
        <v>-45174.819855485119</v>
      </c>
      <c r="AS1582" s="25">
        <f>VLOOKUP(Inventory[[#This Row],[Qlty]],Lookups!$A$62:$E$75,2,FALSE)</f>
        <v>21557.329055999999</v>
      </c>
      <c r="AT1582" s="25">
        <f>VLOOKUP(Inventory[[#This Row],[Cnd]],Lookups!$A$76:$E$84,2,FALSE)</f>
        <v>160472.20319</v>
      </c>
      <c r="AU1582" s="25">
        <f>Inventory[[#This Row],[EffAge]]*Lookups!$B$85</f>
        <v>-11821.416826500001</v>
      </c>
      <c r="AV1582" s="25">
        <f>Inventory[[#This Row],[MainFn]]*Lookups!$B$86</f>
        <v>61859.654686004003</v>
      </c>
      <c r="AW1582" s="25">
        <f>Inventory[[#This Row],[UpprFn]]*Lookups!$B$87</f>
        <v>0</v>
      </c>
      <c r="AX1582" s="25">
        <f>Inventory[[#This Row],[AddFn]]*Lookups!$B$88</f>
        <v>0</v>
      </c>
      <c r="AY1582" s="25">
        <f>Inventory[[#This Row],[Bsmt]]*Lookups!$B$89</f>
        <v>0</v>
      </c>
      <c r="AZ1582" s="25">
        <f>Inventory[[#This Row],[Fixtures]]*Lookups!$B$90</f>
        <v>18960.110526</v>
      </c>
      <c r="BA1582" s="25">
        <f>Inventory[[#This Row],[WdDeck]]*Lookups!$B$91</f>
        <v>3995.4618331200004</v>
      </c>
      <c r="BB1582" s="25">
        <f>ROUND(Inventory[[#This Row],[25Det]],-2)</f>
        <v>0</v>
      </c>
      <c r="BC1582" s="25">
        <f>ROUND(SUM(Inventory[[#This Row],[Mdl Qlty]:[Mdl WdDeck]])+Inventory[[#This Row],[Mdl Res Intercept]],-2)</f>
        <v>255000</v>
      </c>
      <c r="BD1582" s="25">
        <f>ROUND(Inventory[[#This Row],[Mdl Land Intercept]]+Inventory[[#This Row],[Mdl LnAcres]],-2)</f>
        <v>44700</v>
      </c>
      <c r="BE1582" s="25">
        <f>Inventory[[#This Row],[Unadj Res Value]]+Inventory[[#This Row],[Unadj Det Value]]+Inventory[[#This Row],[Unadj Land Value]]</f>
        <v>299700</v>
      </c>
      <c r="BF1582" s="36">
        <f>(Inventory[[#This Row],[Unadj Total Value]]-Inventory[[#This Row],[24Final]])/Inventory[[#This Row],[24Final]]</f>
        <v>6.6548042704626331E-2</v>
      </c>
      <c r="BG1582" s="25">
        <f>VLOOKUP(Inventory[[#This Row],[Nbhd]],Lookups!$Q$2:$T$4,4,FALSE)</f>
        <v>0.99970000000000003</v>
      </c>
      <c r="BH1582" s="25">
        <f>VLOOKUP(Inventory[[#This Row],[Qlty]],Lookups!$O$7:$R$21,4,FALSE)</f>
        <v>1.0067999999999999</v>
      </c>
      <c r="BI1582" s="25">
        <f>VLOOKUP(Inventory[[#This Row],[Cnd]],Lookups!$T$7:$W$16,4,FALSE)</f>
        <v>0.99729999999999996</v>
      </c>
      <c r="BJ1582" s="25">
        <f>VLOOKUP(Inventory[[#This Row],[LivArea Range]],Lookups!$T$25:$W$37,4,FALSE)</f>
        <v>1.0157</v>
      </c>
      <c r="BK1582" s="25">
        <f>VLOOKUP(Inventory[[#This Row],[Decade]],Lookups!$O$25:$R$42,4,FALSE)</f>
        <v>0.98909999999999998</v>
      </c>
      <c r="BL1582" s="25">
        <f>Inventory[[#This Row],[Nbhd Adj]]*0.95</f>
        <v>0.94971499999999998</v>
      </c>
      <c r="BM1582" s="25">
        <f>Inventory[[#This Row],[Nbhd Adj]]*Inventory[[#This Row],[Quality Adj]]*Inventory[[#This Row],[Condition Adj]]*Inventory[[#This Row],[Living Area Adj]]*Inventory[[#This Row],[Decade Adj]]*0.95</f>
        <v>0.95800544533193577</v>
      </c>
      <c r="BN1582" s="25">
        <f>ROUND(SUM(Inventory[[#This Row],[Mdl Qlty]:[Mdl WdDeck]])+Inventory[[#This Row],[Mdl Res Intercept]]*Inventory[[#This Row],[Res Adj ]],-2)</f>
        <v>255000</v>
      </c>
      <c r="BO1582" s="25">
        <f>ROUND(Inventory[[#This Row],[25Det]]*Inventory[[#This Row],[Det/Nbhd Adj]],-2)</f>
        <v>0</v>
      </c>
      <c r="BP1582" s="25">
        <f>Inventory[[#This Row],[Adjusted Res]]+Inventory[[#This Row],[Adj Det ]]</f>
        <v>255000</v>
      </c>
      <c r="BQ1582" s="25">
        <f>ROUND((Inventory[[#This Row],[Mdl Land Intercept]]+Inventory[[#This Row],[Mdl LnAcres]])*Inventory[[#This Row],[Det/Nbhd Adj]],-2)</f>
        <v>42400</v>
      </c>
      <c r="BR1582" s="25">
        <f>Inventory[[#This Row],[Adjusted Impr Total]]+Inventory[[#This Row],[Adjusted Land Total]]</f>
        <v>297400</v>
      </c>
      <c r="BS1582" s="36">
        <f>IFERROR((Inventory[[#This Row],[Adjusted Impr Total]]-Inventory[[#This Row],[24Bldg]])/Inventory[[#This Row],[24Bldg]],0)</f>
        <v>0.17946345975948197</v>
      </c>
      <c r="BT1582" s="36">
        <f>(Inventory[[#This Row],[Adjusted Land Total]]-Inventory[[#This Row],[24Lnd]])/Inventory[[#This Row],[24Lnd]]</f>
        <v>-0.34567901234567899</v>
      </c>
      <c r="BU1582" s="36">
        <f>(Inventory[[#This Row],[Adjusted Total]]-Inventory[[#This Row],[24Final]])/Inventory[[#This Row],[24Final]]</f>
        <v>5.8362989323843414E-2</v>
      </c>
    </row>
    <row r="1583" spans="1:73" x14ac:dyDescent="0.3">
      <c r="A1583" s="25">
        <v>2025</v>
      </c>
      <c r="B1583" s="26" t="s">
        <v>1219</v>
      </c>
      <c r="C1583" s="26">
        <f>LN(Inventory[[#This Row],[Acres]])</f>
        <v>-1.7719568419318752</v>
      </c>
      <c r="D1583" s="25">
        <v>0.17</v>
      </c>
      <c r="E1583" s="25">
        <v>7508</v>
      </c>
      <c r="F1583" s="26" t="s">
        <v>537</v>
      </c>
      <c r="G1583" s="26" t="s">
        <v>126</v>
      </c>
      <c r="H1583" s="26" t="s">
        <v>349</v>
      </c>
      <c r="I1583" s="26" t="s">
        <v>538</v>
      </c>
      <c r="J1583" s="26" t="s">
        <v>539</v>
      </c>
      <c r="K1583" s="26" t="s">
        <v>147</v>
      </c>
      <c r="L1583" s="26" t="s">
        <v>351</v>
      </c>
      <c r="M1583" s="26" t="s">
        <v>303</v>
      </c>
      <c r="N1583" s="26">
        <v>90</v>
      </c>
      <c r="O1583" s="26">
        <f>2024-Inventory[[#This Row],[YrBlt]]</f>
        <v>89</v>
      </c>
      <c r="P1583" s="26">
        <f>2024-Inventory[[#This Row],[EffYr]]</f>
        <v>53</v>
      </c>
      <c r="Q1583" s="25">
        <v>1935</v>
      </c>
      <c r="R1583" s="25">
        <v>1971</v>
      </c>
      <c r="S1583" s="25">
        <v>1170</v>
      </c>
      <c r="T1583" s="25">
        <v>320</v>
      </c>
      <c r="U1583" s="25">
        <v>918</v>
      </c>
      <c r="V1583" s="25">
        <f>Inventory[[#This Row],[Bsmt]]-Inventory[[#This Row],[FnBsmt]]</f>
        <v>0</v>
      </c>
      <c r="W1583" s="25">
        <v>918</v>
      </c>
      <c r="X1583" s="27"/>
      <c r="Y1583" s="27">
        <f>Inventory[[#This Row],[MainFn]]+Inventory[[#This Row],[UpprFn]]+Inventory[[#This Row],[FnBsmt]]+Inventory[[#This Row],[AddFn]]</f>
        <v>2408</v>
      </c>
      <c r="Z1583" s="27">
        <v>2500</v>
      </c>
      <c r="AA1583" s="25">
        <v>9</v>
      </c>
      <c r="AB1583" s="27"/>
      <c r="AC1583" s="27"/>
      <c r="AD1583" s="27"/>
      <c r="AE1583" s="27"/>
      <c r="AF1583" s="27"/>
      <c r="AG1583" s="27"/>
      <c r="AH1583" s="27"/>
      <c r="AI1583" s="25">
        <v>304918</v>
      </c>
      <c r="AJ1583" s="25">
        <v>210393</v>
      </c>
      <c r="AK1583" s="25">
        <v>6724</v>
      </c>
      <c r="AL1583" s="25">
        <v>358200</v>
      </c>
      <c r="AM1583" s="25">
        <v>52700</v>
      </c>
      <c r="AN1583" s="25">
        <v>305500</v>
      </c>
      <c r="AO1583" s="25">
        <v>0</v>
      </c>
      <c r="AP1583" s="25">
        <f>Lookups!$B$56*0</f>
        <v>0</v>
      </c>
      <c r="AQ1583" s="25">
        <f>Lookups!$B$56*1</f>
        <v>89850.625589999996</v>
      </c>
      <c r="AR1583" s="25">
        <f>Lookups!$B$57*Inventory[[#This Row],[LnAcres]]</f>
        <v>-56090.612940989391</v>
      </c>
      <c r="AS1583" s="25">
        <f>VLOOKUP(Inventory[[#This Row],[Qlty]],Lookups!$A$62:$E$75,2,FALSE)</f>
        <v>21557.329055999999</v>
      </c>
      <c r="AT1583" s="25">
        <f>VLOOKUP(Inventory[[#This Row],[Cnd]],Lookups!$A$76:$E$84,2,FALSE)</f>
        <v>197752.34721000001</v>
      </c>
      <c r="AU1583" s="25">
        <f>Inventory[[#This Row],[EffAge]]*Lookups!$B$85</f>
        <v>-11821.416826500001</v>
      </c>
      <c r="AV1583" s="25">
        <f>Inventory[[#This Row],[MainFn]]*Lookups!$B$86</f>
        <v>57808.143756090001</v>
      </c>
      <c r="AW1583" s="25">
        <f>Inventory[[#This Row],[UpprFn]]*Lookups!$B$87</f>
        <v>14331.65531552</v>
      </c>
      <c r="AX1583" s="25">
        <f>Inventory[[#This Row],[AddFn]]*Lookups!$B$88</f>
        <v>0</v>
      </c>
      <c r="AY1583" s="25">
        <f>Inventory[[#This Row],[Bsmt]]*Lookups!$B$89</f>
        <v>26697.179836746</v>
      </c>
      <c r="AZ1583" s="25">
        <f>Inventory[[#This Row],[Fixtures]]*Lookups!$B$90</f>
        <v>34128.198946800003</v>
      </c>
      <c r="BA1583" s="25">
        <f>Inventory[[#This Row],[WdDeck]]*Lookups!$B$91</f>
        <v>0</v>
      </c>
      <c r="BB1583" s="25">
        <f>ROUND(Inventory[[#This Row],[25Det]],-2)</f>
        <v>6700</v>
      </c>
      <c r="BC1583" s="25">
        <f>ROUND(SUM(Inventory[[#This Row],[Mdl Qlty]:[Mdl WdDeck]])+Inventory[[#This Row],[Mdl Res Intercept]],-2)</f>
        <v>340500</v>
      </c>
      <c r="BD1583" s="25">
        <f>ROUND(Inventory[[#This Row],[Mdl Land Intercept]]+Inventory[[#This Row],[Mdl LnAcres]],-2)</f>
        <v>33800</v>
      </c>
      <c r="BE1583" s="25">
        <f>Inventory[[#This Row],[Unadj Res Value]]+Inventory[[#This Row],[Unadj Det Value]]+Inventory[[#This Row],[Unadj Land Value]]</f>
        <v>381000</v>
      </c>
      <c r="BF1583" s="36">
        <f>(Inventory[[#This Row],[Unadj Total Value]]-Inventory[[#This Row],[24Final]])/Inventory[[#This Row],[24Final]]</f>
        <v>6.3651591289782247E-2</v>
      </c>
      <c r="BG1583" s="25">
        <f>VLOOKUP(Inventory[[#This Row],[Nbhd]],Lookups!$Q$2:$T$4,4,FALSE)</f>
        <v>0.99970000000000003</v>
      </c>
      <c r="BH1583" s="25">
        <f>VLOOKUP(Inventory[[#This Row],[Qlty]],Lookups!$O$7:$R$21,4,FALSE)</f>
        <v>1.0067999999999999</v>
      </c>
      <c r="BI1583" s="25">
        <f>VLOOKUP(Inventory[[#This Row],[Cnd]],Lookups!$T$7:$W$16,4,FALSE)</f>
        <v>0.99650000000000005</v>
      </c>
      <c r="BJ1583" s="25">
        <f>VLOOKUP(Inventory[[#This Row],[LivArea Range]],Lookups!$T$25:$W$37,4,FALSE)</f>
        <v>0.98919999999999997</v>
      </c>
      <c r="BK1583" s="25">
        <f>VLOOKUP(Inventory[[#This Row],[Decade]],Lookups!$O$25:$R$42,4,FALSE)</f>
        <v>0.98909999999999998</v>
      </c>
      <c r="BL1583" s="25">
        <f>Inventory[[#This Row],[Nbhd Adj]]*0.95</f>
        <v>0.94971499999999998</v>
      </c>
      <c r="BM1583" s="25">
        <f>Inventory[[#This Row],[Nbhd Adj]]*Inventory[[#This Row],[Quality Adj]]*Inventory[[#This Row],[Condition Adj]]*Inventory[[#This Row],[Living Area Adj]]*Inventory[[#This Row],[Decade Adj]]*0.95</f>
        <v>0.9322622889120924</v>
      </c>
      <c r="BN1583" s="25">
        <f>ROUND(SUM(Inventory[[#This Row],[Mdl Qlty]:[Mdl WdDeck]])+Inventory[[#This Row],[Mdl Res Intercept]]*Inventory[[#This Row],[Res Adj ]],-2)</f>
        <v>340500</v>
      </c>
      <c r="BO1583" s="25">
        <f>ROUND(Inventory[[#This Row],[25Det]]*Inventory[[#This Row],[Det/Nbhd Adj]],-2)</f>
        <v>6400</v>
      </c>
      <c r="BP1583" s="25">
        <f>Inventory[[#This Row],[Adjusted Res]]+Inventory[[#This Row],[Adj Det ]]</f>
        <v>346900</v>
      </c>
      <c r="BQ1583" s="25">
        <f>ROUND((Inventory[[#This Row],[Mdl Land Intercept]]+Inventory[[#This Row],[Mdl LnAcres]])*Inventory[[#This Row],[Det/Nbhd Adj]],-2)</f>
        <v>32100</v>
      </c>
      <c r="BR1583" s="25">
        <f>Inventory[[#This Row],[Adjusted Impr Total]]+Inventory[[#This Row],[Adjusted Land Total]]</f>
        <v>379000</v>
      </c>
      <c r="BS1583" s="36">
        <f>IFERROR((Inventory[[#This Row],[Adjusted Impr Total]]-Inventory[[#This Row],[24Bldg]])/Inventory[[#This Row],[24Bldg]],0)</f>
        <v>0.13551554828150572</v>
      </c>
      <c r="BT1583" s="36">
        <f>(Inventory[[#This Row],[Adjusted Land Total]]-Inventory[[#This Row],[24Lnd]])/Inventory[[#This Row],[24Lnd]]</f>
        <v>-0.39089184060721061</v>
      </c>
      <c r="BU1583" s="36">
        <f>(Inventory[[#This Row],[Adjusted Total]]-Inventory[[#This Row],[24Final]])/Inventory[[#This Row],[24Final]]</f>
        <v>5.8068118369625908E-2</v>
      </c>
    </row>
    <row r="1584" spans="1:73" x14ac:dyDescent="0.3">
      <c r="A1584" s="25">
        <v>2025</v>
      </c>
      <c r="B1584" s="26" t="s">
        <v>1386</v>
      </c>
      <c r="C1584" s="26">
        <f>LN(Inventory[[#This Row],[Acres]])</f>
        <v>-2.0402208285265546</v>
      </c>
      <c r="D1584" s="25">
        <v>0.13</v>
      </c>
      <c r="E1584" s="32">
        <v>5704</v>
      </c>
      <c r="F1584" s="26" t="s">
        <v>537</v>
      </c>
      <c r="G1584" s="26" t="s">
        <v>126</v>
      </c>
      <c r="H1584" s="26" t="s">
        <v>349</v>
      </c>
      <c r="I1584" s="26" t="s">
        <v>538</v>
      </c>
      <c r="J1584" s="26" t="s">
        <v>539</v>
      </c>
      <c r="K1584" s="26" t="s">
        <v>173</v>
      </c>
      <c r="L1584" s="26" t="s">
        <v>302</v>
      </c>
      <c r="M1584" s="26" t="s">
        <v>303</v>
      </c>
      <c r="N1584" s="26">
        <v>90</v>
      </c>
      <c r="O1584" s="26">
        <f>2024-Inventory[[#This Row],[YrBlt]]</f>
        <v>89</v>
      </c>
      <c r="P1584" s="26">
        <f>2024-Inventory[[#This Row],[EffYr]]</f>
        <v>53</v>
      </c>
      <c r="Q1584" s="25">
        <v>1935</v>
      </c>
      <c r="R1584" s="25">
        <v>1971</v>
      </c>
      <c r="S1584" s="25">
        <v>1207</v>
      </c>
      <c r="T1584" s="32">
        <v>652</v>
      </c>
      <c r="U1584" s="25">
        <v>1207</v>
      </c>
      <c r="V1584" s="32">
        <f>Inventory[[#This Row],[Bsmt]]-Inventory[[#This Row],[FnBsmt]]</f>
        <v>100</v>
      </c>
      <c r="W1584" s="32">
        <v>1107</v>
      </c>
      <c r="X1584" s="27"/>
      <c r="Y1584" s="27">
        <f>Inventory[[#This Row],[MainFn]]+Inventory[[#This Row],[UpprFn]]+Inventory[[#This Row],[FnBsmt]]+Inventory[[#This Row],[AddFn]]</f>
        <v>2966</v>
      </c>
      <c r="Z1584" s="27">
        <v>3000</v>
      </c>
      <c r="AA1584" s="25">
        <v>11</v>
      </c>
      <c r="AB1584" s="31"/>
      <c r="AC1584" s="27"/>
      <c r="AD1584" s="27"/>
      <c r="AE1584" s="27"/>
      <c r="AF1584" s="27"/>
      <c r="AG1584" s="27"/>
      <c r="AH1584" s="27"/>
      <c r="AI1584" s="25">
        <v>422706</v>
      </c>
      <c r="AJ1584" s="25">
        <v>291667</v>
      </c>
      <c r="AK1584" s="25">
        <v>7128</v>
      </c>
      <c r="AL1584" s="25">
        <v>390400</v>
      </c>
      <c r="AM1584" s="25">
        <v>43400</v>
      </c>
      <c r="AN1584" s="25">
        <v>347000</v>
      </c>
      <c r="AO1584" s="25">
        <v>0</v>
      </c>
      <c r="AP1584" s="25">
        <f>Lookups!$B$56*0</f>
        <v>0</v>
      </c>
      <c r="AQ1584" s="25">
        <f>Lookups!$B$56*1</f>
        <v>89850.625589999996</v>
      </c>
      <c r="AR1584" s="25">
        <f>Lookups!$B$57*Inventory[[#This Row],[LnAcres]]</f>
        <v>-64582.406353792743</v>
      </c>
      <c r="AS1584" s="25">
        <f>VLOOKUP(Inventory[[#This Row],[Qlty]],Lookups!$A$62:$E$75,2,FALSE)</f>
        <v>29814.093161000001</v>
      </c>
      <c r="AT1584" s="25">
        <f>VLOOKUP(Inventory[[#This Row],[Cnd]],Lookups!$A$76:$E$84,2,FALSE)</f>
        <v>197752.34721000001</v>
      </c>
      <c r="AU1584" s="25">
        <f>Inventory[[#This Row],[EffAge]]*Lookups!$B$85</f>
        <v>-11821.416826500001</v>
      </c>
      <c r="AV1584" s="25">
        <f>Inventory[[#This Row],[MainFn]]*Lookups!$B$86</f>
        <v>59636.264541539</v>
      </c>
      <c r="AW1584" s="25">
        <f>Inventory[[#This Row],[UpprFn]]*Lookups!$B$87</f>
        <v>29200.747705371999</v>
      </c>
      <c r="AX1584" s="25">
        <f>Inventory[[#This Row],[AddFn]]*Lookups!$B$88</f>
        <v>0</v>
      </c>
      <c r="AY1584" s="25">
        <f>Inventory[[#This Row],[Bsmt]]*Lookups!$B$89</f>
        <v>35101.847563128998</v>
      </c>
      <c r="AZ1584" s="25">
        <f>Inventory[[#This Row],[Fixtures]]*Lookups!$B$90</f>
        <v>41712.243157199999</v>
      </c>
      <c r="BA1584" s="25">
        <f>Inventory[[#This Row],[WdDeck]]*Lookups!$B$91</f>
        <v>0</v>
      </c>
      <c r="BB1584" s="25">
        <f>ROUND(Inventory[[#This Row],[25Det]],-2)</f>
        <v>7100</v>
      </c>
      <c r="BC1584" s="25">
        <f>ROUND(SUM(Inventory[[#This Row],[Mdl Qlty]:[Mdl WdDeck]])+Inventory[[#This Row],[Mdl Res Intercept]],-2)</f>
        <v>381400</v>
      </c>
      <c r="BD1584" s="25">
        <f>ROUND(Inventory[[#This Row],[Mdl Land Intercept]]+Inventory[[#This Row],[Mdl LnAcres]],-2)</f>
        <v>25300</v>
      </c>
      <c r="BE1584" s="25">
        <f>Inventory[[#This Row],[Unadj Res Value]]+Inventory[[#This Row],[Unadj Det Value]]+Inventory[[#This Row],[Unadj Land Value]]</f>
        <v>413800</v>
      </c>
      <c r="BF1584" s="36">
        <f>(Inventory[[#This Row],[Unadj Total Value]]-Inventory[[#This Row],[24Final]])/Inventory[[#This Row],[24Final]]</f>
        <v>5.9938524590163932E-2</v>
      </c>
      <c r="BG1584" s="25">
        <f>VLOOKUP(Inventory[[#This Row],[Nbhd]],Lookups!$Q$2:$T$4,4,FALSE)</f>
        <v>0.99970000000000003</v>
      </c>
      <c r="BH1584" s="25">
        <f>VLOOKUP(Inventory[[#This Row],[Qlty]],Lookups!$O$7:$R$21,4,FALSE)</f>
        <v>1.0088999999999999</v>
      </c>
      <c r="BI1584" s="25">
        <f>VLOOKUP(Inventory[[#This Row],[Cnd]],Lookups!$T$7:$W$16,4,FALSE)</f>
        <v>0.99650000000000005</v>
      </c>
      <c r="BJ1584" s="25">
        <f>VLOOKUP(Inventory[[#This Row],[LivArea Range]],Lookups!$T$25:$W$37,4,FALSE)</f>
        <v>0.96179999999999999</v>
      </c>
      <c r="BK1584" s="25">
        <f>VLOOKUP(Inventory[[#This Row],[Decade]],Lookups!$O$25:$R$42,4,FALSE)</f>
        <v>0.98909999999999998</v>
      </c>
      <c r="BL1584" s="25">
        <f>Inventory[[#This Row],[Nbhd Adj]]*0.95</f>
        <v>0.94971499999999998</v>
      </c>
      <c r="BM1584" s="25">
        <f>Inventory[[#This Row],[Nbhd Adj]]*Inventory[[#This Row],[Quality Adj]]*Inventory[[#This Row],[Condition Adj]]*Inventory[[#This Row],[Living Area Adj]]*Inventory[[#This Row],[Decade Adj]]*0.95</f>
        <v>0.90833008140076499</v>
      </c>
      <c r="BN1584" s="25">
        <f>ROUND(SUM(Inventory[[#This Row],[Mdl Qlty]:[Mdl WdDeck]])+Inventory[[#This Row],[Mdl Res Intercept]]*Inventory[[#This Row],[Res Adj ]],-2)</f>
        <v>381400</v>
      </c>
      <c r="BO1584" s="25">
        <f>ROUND(Inventory[[#This Row],[25Det]]*Inventory[[#This Row],[Det/Nbhd Adj]],-2)</f>
        <v>6800</v>
      </c>
      <c r="BP1584" s="25">
        <f>Inventory[[#This Row],[Adjusted Res]]+Inventory[[#This Row],[Adj Det ]]</f>
        <v>388200</v>
      </c>
      <c r="BQ1584" s="25">
        <f>ROUND((Inventory[[#This Row],[Mdl Land Intercept]]+Inventory[[#This Row],[Mdl LnAcres]])*Inventory[[#This Row],[Det/Nbhd Adj]],-2)</f>
        <v>24000</v>
      </c>
      <c r="BR1584" s="25">
        <f>Inventory[[#This Row],[Adjusted Impr Total]]+Inventory[[#This Row],[Adjusted Land Total]]</f>
        <v>412200</v>
      </c>
      <c r="BS1584" s="36">
        <f>IFERROR((Inventory[[#This Row],[Adjusted Impr Total]]-Inventory[[#This Row],[24Bldg]])/Inventory[[#This Row],[24Bldg]],0)</f>
        <v>0.11873198847262248</v>
      </c>
      <c r="BT1584" s="36">
        <f>(Inventory[[#This Row],[Adjusted Land Total]]-Inventory[[#This Row],[24Lnd]])/Inventory[[#This Row],[24Lnd]]</f>
        <v>-0.44700460829493088</v>
      </c>
      <c r="BU1584" s="36">
        <f>(Inventory[[#This Row],[Adjusted Total]]-Inventory[[#This Row],[24Final]])/Inventory[[#This Row],[24Final]]</f>
        <v>5.5840163934426229E-2</v>
      </c>
    </row>
    <row r="1585" spans="1:73" x14ac:dyDescent="0.3">
      <c r="A1585" s="25">
        <v>2025</v>
      </c>
      <c r="B1585" s="26" t="s">
        <v>1964</v>
      </c>
      <c r="C1585" s="26">
        <f>LN(Inventory[[#This Row],[Acres]])</f>
        <v>-1.5606477482646683</v>
      </c>
      <c r="D1585" s="25">
        <v>0.21</v>
      </c>
      <c r="E1585" s="25">
        <v>9204</v>
      </c>
      <c r="F1585" s="26" t="s">
        <v>537</v>
      </c>
      <c r="G1585" s="26" t="s">
        <v>126</v>
      </c>
      <c r="H1585" s="26" t="s">
        <v>349</v>
      </c>
      <c r="I1585" s="26" t="s">
        <v>538</v>
      </c>
      <c r="J1585" s="26" t="s">
        <v>539</v>
      </c>
      <c r="K1585" s="26" t="s">
        <v>269</v>
      </c>
      <c r="L1585" s="26" t="s">
        <v>351</v>
      </c>
      <c r="M1585" s="26" t="s">
        <v>303</v>
      </c>
      <c r="N1585" s="26">
        <v>90</v>
      </c>
      <c r="O1585" s="26">
        <f>2024-Inventory[[#This Row],[YrBlt]]</f>
        <v>89</v>
      </c>
      <c r="P1585" s="26">
        <f>2024-Inventory[[#This Row],[EffYr]]</f>
        <v>53</v>
      </c>
      <c r="Q1585" s="25">
        <v>1935</v>
      </c>
      <c r="R1585" s="25">
        <v>1971</v>
      </c>
      <c r="S1585" s="25">
        <v>1624</v>
      </c>
      <c r="T1585" s="25">
        <v>360</v>
      </c>
      <c r="U1585" s="25">
        <v>300</v>
      </c>
      <c r="V1585" s="25">
        <f>Inventory[[#This Row],[Bsmt]]-Inventory[[#This Row],[FnBsmt]]</f>
        <v>0</v>
      </c>
      <c r="W1585" s="25">
        <v>300</v>
      </c>
      <c r="X1585" s="27"/>
      <c r="Y1585" s="27">
        <f>Inventory[[#This Row],[MainFn]]+Inventory[[#This Row],[UpprFn]]+Inventory[[#This Row],[FnBsmt]]+Inventory[[#This Row],[AddFn]]</f>
        <v>2284</v>
      </c>
      <c r="Z1585" s="27">
        <v>2500</v>
      </c>
      <c r="AA1585" s="25">
        <v>10</v>
      </c>
      <c r="AB1585" s="27"/>
      <c r="AC1585" s="27"/>
      <c r="AD1585" s="27"/>
      <c r="AE1585" s="27"/>
      <c r="AF1585" s="27"/>
      <c r="AG1585" s="27"/>
      <c r="AH1585" s="27"/>
      <c r="AI1585" s="25">
        <v>324987</v>
      </c>
      <c r="AJ1585" s="25">
        <v>224241</v>
      </c>
      <c r="AK1585" s="25">
        <v>8025</v>
      </c>
      <c r="AL1585" s="25">
        <v>375600</v>
      </c>
      <c r="AM1585" s="25">
        <v>60100</v>
      </c>
      <c r="AN1585" s="25">
        <v>315500</v>
      </c>
      <c r="AO1585" s="25">
        <v>0</v>
      </c>
      <c r="AP1585" s="25">
        <f>Lookups!$B$56*0</f>
        <v>0</v>
      </c>
      <c r="AQ1585" s="25">
        <f>Lookups!$B$56*1</f>
        <v>89850.625589999996</v>
      </c>
      <c r="AR1585" s="25">
        <f>Lookups!$B$57*Inventory[[#This Row],[LnAcres]]</f>
        <v>-49401.70477837498</v>
      </c>
      <c r="AS1585" s="25">
        <f>VLOOKUP(Inventory[[#This Row],[Qlty]],Lookups!$A$62:$E$75,2,FALSE)</f>
        <v>21557.329055999999</v>
      </c>
      <c r="AT1585" s="25">
        <f>VLOOKUP(Inventory[[#This Row],[Cnd]],Lookups!$A$76:$E$84,2,FALSE)</f>
        <v>197752.34721000001</v>
      </c>
      <c r="AU1585" s="25">
        <f>Inventory[[#This Row],[EffAge]]*Lookups!$B$85</f>
        <v>-11821.416826500001</v>
      </c>
      <c r="AV1585" s="25">
        <f>Inventory[[#This Row],[MainFn]]*Lookups!$B$86</f>
        <v>80239.679880248004</v>
      </c>
      <c r="AW1585" s="25">
        <f>Inventory[[#This Row],[UpprFn]]*Lookups!$B$87</f>
        <v>16123.112229959999</v>
      </c>
      <c r="AX1585" s="25">
        <f>Inventory[[#This Row],[AddFn]]*Lookups!$B$88</f>
        <v>0</v>
      </c>
      <c r="AY1585" s="25">
        <f>Inventory[[#This Row],[Bsmt]]*Lookups!$B$89</f>
        <v>8724.5685740999998</v>
      </c>
      <c r="AZ1585" s="25">
        <f>Inventory[[#This Row],[Fixtures]]*Lookups!$B$90</f>
        <v>37920.221052000001</v>
      </c>
      <c r="BA1585" s="25">
        <f>Inventory[[#This Row],[WdDeck]]*Lookups!$B$91</f>
        <v>0</v>
      </c>
      <c r="BB1585" s="25">
        <f>ROUND(Inventory[[#This Row],[25Det]],-2)</f>
        <v>8000</v>
      </c>
      <c r="BC1585" s="25">
        <f>ROUND(SUM(Inventory[[#This Row],[Mdl Qlty]:[Mdl WdDeck]])+Inventory[[#This Row],[Mdl Res Intercept]],-2)</f>
        <v>350500</v>
      </c>
      <c r="BD1585" s="25">
        <f>ROUND(Inventory[[#This Row],[Mdl Land Intercept]]+Inventory[[#This Row],[Mdl LnAcres]],-2)</f>
        <v>40400</v>
      </c>
      <c r="BE1585" s="25">
        <f>Inventory[[#This Row],[Unadj Res Value]]+Inventory[[#This Row],[Unadj Det Value]]+Inventory[[#This Row],[Unadj Land Value]]</f>
        <v>398900</v>
      </c>
      <c r="BF1585" s="36">
        <f>(Inventory[[#This Row],[Unadj Total Value]]-Inventory[[#This Row],[24Final]])/Inventory[[#This Row],[24Final]]</f>
        <v>6.2034078807241745E-2</v>
      </c>
      <c r="BG1585" s="25">
        <f>VLOOKUP(Inventory[[#This Row],[Nbhd]],Lookups!$Q$2:$T$4,4,FALSE)</f>
        <v>0.99970000000000003</v>
      </c>
      <c r="BH1585" s="25">
        <f>VLOOKUP(Inventory[[#This Row],[Qlty]],Lookups!$O$7:$R$21,4,FALSE)</f>
        <v>1.0067999999999999</v>
      </c>
      <c r="BI1585" s="25">
        <f>VLOOKUP(Inventory[[#This Row],[Cnd]],Lookups!$T$7:$W$16,4,FALSE)</f>
        <v>0.99650000000000005</v>
      </c>
      <c r="BJ1585" s="25">
        <f>VLOOKUP(Inventory[[#This Row],[LivArea Range]],Lookups!$T$25:$W$37,4,FALSE)</f>
        <v>0.98919999999999997</v>
      </c>
      <c r="BK1585" s="25">
        <f>VLOOKUP(Inventory[[#This Row],[Decade]],Lookups!$O$25:$R$42,4,FALSE)</f>
        <v>0.98909999999999998</v>
      </c>
      <c r="BL1585" s="25">
        <f>Inventory[[#This Row],[Nbhd Adj]]*0.95</f>
        <v>0.94971499999999998</v>
      </c>
      <c r="BM1585" s="25">
        <f>Inventory[[#This Row],[Nbhd Adj]]*Inventory[[#This Row],[Quality Adj]]*Inventory[[#This Row],[Condition Adj]]*Inventory[[#This Row],[Living Area Adj]]*Inventory[[#This Row],[Decade Adj]]*0.95</f>
        <v>0.9322622889120924</v>
      </c>
      <c r="BN1585" s="25">
        <f>ROUND(SUM(Inventory[[#This Row],[Mdl Qlty]:[Mdl WdDeck]])+Inventory[[#This Row],[Mdl Res Intercept]]*Inventory[[#This Row],[Res Adj ]],-2)</f>
        <v>350500</v>
      </c>
      <c r="BO1585" s="25">
        <f>ROUND(Inventory[[#This Row],[25Det]]*Inventory[[#This Row],[Det/Nbhd Adj]],-2)</f>
        <v>7600</v>
      </c>
      <c r="BP1585" s="25">
        <f>Inventory[[#This Row],[Adjusted Res]]+Inventory[[#This Row],[Adj Det ]]</f>
        <v>358100</v>
      </c>
      <c r="BQ1585" s="25">
        <f>ROUND((Inventory[[#This Row],[Mdl Land Intercept]]+Inventory[[#This Row],[Mdl LnAcres]])*Inventory[[#This Row],[Det/Nbhd Adj]],-2)</f>
        <v>38400</v>
      </c>
      <c r="BR1585" s="25">
        <f>Inventory[[#This Row],[Adjusted Impr Total]]+Inventory[[#This Row],[Adjusted Land Total]]</f>
        <v>396500</v>
      </c>
      <c r="BS1585" s="36">
        <f>IFERROR((Inventory[[#This Row],[Adjusted Impr Total]]-Inventory[[#This Row],[24Bldg]])/Inventory[[#This Row],[24Bldg]],0)</f>
        <v>0.13502377179080824</v>
      </c>
      <c r="BT1585" s="36">
        <f>(Inventory[[#This Row],[Adjusted Land Total]]-Inventory[[#This Row],[24Lnd]])/Inventory[[#This Row],[24Lnd]]</f>
        <v>-0.36106489184692181</v>
      </c>
      <c r="BU1585" s="36">
        <f>(Inventory[[#This Row],[Adjusted Total]]-Inventory[[#This Row],[24Final]])/Inventory[[#This Row],[24Final]]</f>
        <v>5.5644302449414269E-2</v>
      </c>
    </row>
    <row r="1586" spans="1:73" x14ac:dyDescent="0.3">
      <c r="A1586" s="25">
        <v>2025</v>
      </c>
      <c r="B1586" s="26" t="s">
        <v>1882</v>
      </c>
      <c r="C1586" s="26">
        <f>LN(Inventory[[#This Row],[Acres]])</f>
        <v>-1.4271163556401458</v>
      </c>
      <c r="D1586" s="25">
        <v>0.24</v>
      </c>
      <c r="E1586" s="27"/>
      <c r="F1586" s="26" t="s">
        <v>537</v>
      </c>
      <c r="G1586" s="26" t="s">
        <v>126</v>
      </c>
      <c r="H1586" s="26" t="s">
        <v>349</v>
      </c>
      <c r="I1586" s="26" t="s">
        <v>538</v>
      </c>
      <c r="J1586" s="26" t="s">
        <v>539</v>
      </c>
      <c r="K1586" s="26" t="s">
        <v>242</v>
      </c>
      <c r="L1586" s="26" t="s">
        <v>148</v>
      </c>
      <c r="M1586" s="26" t="s">
        <v>303</v>
      </c>
      <c r="N1586" s="26">
        <v>90</v>
      </c>
      <c r="O1586" s="26">
        <f>2024-Inventory[[#This Row],[YrBlt]]</f>
        <v>89</v>
      </c>
      <c r="P1586" s="26">
        <f>2024-Inventory[[#This Row],[EffYr]]</f>
        <v>53</v>
      </c>
      <c r="Q1586" s="25">
        <v>1935</v>
      </c>
      <c r="R1586" s="25">
        <v>1971</v>
      </c>
      <c r="S1586" s="25">
        <v>1123</v>
      </c>
      <c r="T1586" s="27"/>
      <c r="U1586" s="25">
        <v>1123</v>
      </c>
      <c r="V1586" s="25">
        <f>Inventory[[#This Row],[Bsmt]]-Inventory[[#This Row],[FnBsmt]]</f>
        <v>0</v>
      </c>
      <c r="W1586" s="25">
        <v>1123</v>
      </c>
      <c r="X1586" s="27"/>
      <c r="Y1586" s="27">
        <f>Inventory[[#This Row],[MainFn]]+Inventory[[#This Row],[UpprFn]]+Inventory[[#This Row],[FnBsmt]]+Inventory[[#This Row],[AddFn]]</f>
        <v>2246</v>
      </c>
      <c r="Z1586" s="27">
        <v>2500</v>
      </c>
      <c r="AA1586" s="25">
        <v>8</v>
      </c>
      <c r="AB1586" s="32">
        <v>843</v>
      </c>
      <c r="AC1586" s="31"/>
      <c r="AD1586" s="27"/>
      <c r="AE1586" s="27"/>
      <c r="AF1586" s="27"/>
      <c r="AG1586" s="27"/>
      <c r="AH1586" s="27"/>
      <c r="AI1586" s="25">
        <v>427602</v>
      </c>
      <c r="AJ1586" s="25">
        <v>295045</v>
      </c>
      <c r="AK1586" s="25">
        <v>0</v>
      </c>
      <c r="AL1586" s="25">
        <v>370400</v>
      </c>
      <c r="AM1586" s="25">
        <v>64800</v>
      </c>
      <c r="AN1586" s="25">
        <v>305600</v>
      </c>
      <c r="AO1586" s="25">
        <v>0</v>
      </c>
      <c r="AP1586" s="25">
        <f>Lookups!$B$56*0</f>
        <v>0</v>
      </c>
      <c r="AQ1586" s="25">
        <f>Lookups!$B$56*1</f>
        <v>89850.625589999996</v>
      </c>
      <c r="AR1586" s="25">
        <f>Lookups!$B$57*Inventory[[#This Row],[LnAcres]]</f>
        <v>-45174.819855485119</v>
      </c>
      <c r="AS1586" s="25">
        <f>VLOOKUP(Inventory[[#This Row],[Qlty]],Lookups!$A$62:$E$75,2,FALSE)</f>
        <v>44121.038090000002</v>
      </c>
      <c r="AT1586" s="25">
        <f>VLOOKUP(Inventory[[#This Row],[Cnd]],Lookups!$A$76:$E$84,2,FALSE)</f>
        <v>197752.34721000001</v>
      </c>
      <c r="AU1586" s="25">
        <f>Inventory[[#This Row],[EffAge]]*Lookups!$B$85</f>
        <v>-11821.416826500001</v>
      </c>
      <c r="AV1586" s="25">
        <f>Inventory[[#This Row],[MainFn]]*Lookups!$B$86</f>
        <v>55485.936271871004</v>
      </c>
      <c r="AW1586" s="25">
        <f>Inventory[[#This Row],[UpprFn]]*Lookups!$B$87</f>
        <v>0</v>
      </c>
      <c r="AX1586" s="25">
        <f>Inventory[[#This Row],[AddFn]]*Lookups!$B$88</f>
        <v>0</v>
      </c>
      <c r="AY1586" s="25">
        <f>Inventory[[#This Row],[Bsmt]]*Lookups!$B$89</f>
        <v>32658.968362380998</v>
      </c>
      <c r="AZ1586" s="25">
        <f>Inventory[[#This Row],[Fixtures]]*Lookups!$B$90</f>
        <v>30336.176841600001</v>
      </c>
      <c r="BA1586" s="25">
        <f>Inventory[[#This Row],[WdDeck]]*Lookups!$B$91</f>
        <v>0</v>
      </c>
      <c r="BB1586" s="25">
        <f>ROUND(Inventory[[#This Row],[25Det]],-2)</f>
        <v>0</v>
      </c>
      <c r="BC1586" s="25">
        <f>ROUND(SUM(Inventory[[#This Row],[Mdl Qlty]:[Mdl WdDeck]])+Inventory[[#This Row],[Mdl Res Intercept]],-2)</f>
        <v>348500</v>
      </c>
      <c r="BD1586" s="25">
        <f>ROUND(Inventory[[#This Row],[Mdl Land Intercept]]+Inventory[[#This Row],[Mdl LnAcres]],-2)</f>
        <v>44700</v>
      </c>
      <c r="BE1586" s="25">
        <f>Inventory[[#This Row],[Unadj Res Value]]+Inventory[[#This Row],[Unadj Det Value]]+Inventory[[#This Row],[Unadj Land Value]]</f>
        <v>393200</v>
      </c>
      <c r="BF1586" s="36">
        <f>(Inventory[[#This Row],[Unadj Total Value]]-Inventory[[#This Row],[24Final]])/Inventory[[#This Row],[24Final]]</f>
        <v>6.1555075593952485E-2</v>
      </c>
      <c r="BG1586" s="25">
        <f>VLOOKUP(Inventory[[#This Row],[Nbhd]],Lookups!$Q$2:$T$4,4,FALSE)</f>
        <v>0.99970000000000003</v>
      </c>
      <c r="BH1586" s="25">
        <f>VLOOKUP(Inventory[[#This Row],[Qlty]],Lookups!$O$7:$R$21,4,FALSE)</f>
        <v>0.98050000000000004</v>
      </c>
      <c r="BI1586" s="25">
        <f>VLOOKUP(Inventory[[#This Row],[Cnd]],Lookups!$T$7:$W$16,4,FALSE)</f>
        <v>0.99650000000000005</v>
      </c>
      <c r="BJ1586" s="25">
        <f>VLOOKUP(Inventory[[#This Row],[LivArea Range]],Lookups!$T$25:$W$37,4,FALSE)</f>
        <v>0.98919999999999997</v>
      </c>
      <c r="BK1586" s="25">
        <f>VLOOKUP(Inventory[[#This Row],[Decade]],Lookups!$O$25:$R$42,4,FALSE)</f>
        <v>0.98909999999999998</v>
      </c>
      <c r="BL1586" s="25">
        <f>Inventory[[#This Row],[Nbhd Adj]]*0.95</f>
        <v>0.94971499999999998</v>
      </c>
      <c r="BM1586" s="25">
        <f>Inventory[[#This Row],[Nbhd Adj]]*Inventory[[#This Row],[Quality Adj]]*Inventory[[#This Row],[Condition Adj]]*Inventory[[#This Row],[Living Area Adj]]*Inventory[[#This Row],[Decade Adj]]*0.95</f>
        <v>0.90790939042342744</v>
      </c>
      <c r="BN1586" s="25">
        <f>ROUND(SUM(Inventory[[#This Row],[Mdl Qlty]:[Mdl WdDeck]])+Inventory[[#This Row],[Mdl Res Intercept]]*Inventory[[#This Row],[Res Adj ]],-2)</f>
        <v>348500</v>
      </c>
      <c r="BO1586" s="25">
        <f>ROUND(Inventory[[#This Row],[25Det]]*Inventory[[#This Row],[Det/Nbhd Adj]],-2)</f>
        <v>0</v>
      </c>
      <c r="BP1586" s="25">
        <f>Inventory[[#This Row],[Adjusted Res]]+Inventory[[#This Row],[Adj Det ]]</f>
        <v>348500</v>
      </c>
      <c r="BQ1586" s="25">
        <f>ROUND((Inventory[[#This Row],[Mdl Land Intercept]]+Inventory[[#This Row],[Mdl LnAcres]])*Inventory[[#This Row],[Det/Nbhd Adj]],-2)</f>
        <v>42400</v>
      </c>
      <c r="BR1586" s="25">
        <f>Inventory[[#This Row],[Adjusted Impr Total]]+Inventory[[#This Row],[Adjusted Land Total]]</f>
        <v>390900</v>
      </c>
      <c r="BS1586" s="36">
        <f>IFERROR((Inventory[[#This Row],[Adjusted Impr Total]]-Inventory[[#This Row],[24Bldg]])/Inventory[[#This Row],[24Bldg]],0)</f>
        <v>0.14037958115183247</v>
      </c>
      <c r="BT1586" s="36">
        <f>(Inventory[[#This Row],[Adjusted Land Total]]-Inventory[[#This Row],[24Lnd]])/Inventory[[#This Row],[24Lnd]]</f>
        <v>-0.34567901234567899</v>
      </c>
      <c r="BU1586" s="36">
        <f>(Inventory[[#This Row],[Adjusted Total]]-Inventory[[#This Row],[24Final]])/Inventory[[#This Row],[24Final]]</f>
        <v>5.5345572354211663E-2</v>
      </c>
    </row>
    <row r="1587" spans="1:73" x14ac:dyDescent="0.3">
      <c r="A1587" s="25">
        <v>2025</v>
      </c>
      <c r="B1587" s="26" t="s">
        <v>920</v>
      </c>
      <c r="C1587" s="26">
        <f>LN(Inventory[[#This Row],[Acres]])</f>
        <v>-0.49429632181478012</v>
      </c>
      <c r="D1587" s="25">
        <v>0.61</v>
      </c>
      <c r="E1587" s="32">
        <v>26525</v>
      </c>
      <c r="F1587" s="26" t="s">
        <v>537</v>
      </c>
      <c r="G1587" s="26" t="s">
        <v>126</v>
      </c>
      <c r="H1587" s="26" t="s">
        <v>349</v>
      </c>
      <c r="I1587" s="26" t="s">
        <v>538</v>
      </c>
      <c r="J1587" s="26" t="s">
        <v>539</v>
      </c>
      <c r="K1587" s="26" t="s">
        <v>242</v>
      </c>
      <c r="L1587" s="26" t="s">
        <v>205</v>
      </c>
      <c r="M1587" s="26" t="s">
        <v>303</v>
      </c>
      <c r="N1587" s="26">
        <v>90</v>
      </c>
      <c r="O1587" s="26">
        <f>2024-Inventory[[#This Row],[YrBlt]]</f>
        <v>89</v>
      </c>
      <c r="P1587" s="26">
        <f>2024-Inventory[[#This Row],[EffYr]]</f>
        <v>53</v>
      </c>
      <c r="Q1587" s="25">
        <v>1935</v>
      </c>
      <c r="R1587" s="25">
        <v>1971</v>
      </c>
      <c r="S1587" s="25">
        <v>1347</v>
      </c>
      <c r="T1587" s="27"/>
      <c r="U1587" s="25">
        <v>646</v>
      </c>
      <c r="V1587" s="25">
        <f>Inventory[[#This Row],[Bsmt]]-Inventory[[#This Row],[FnBsmt]]</f>
        <v>546</v>
      </c>
      <c r="W1587" s="25">
        <v>100</v>
      </c>
      <c r="X1587" s="27"/>
      <c r="Y1587" s="27">
        <f>Inventory[[#This Row],[MainFn]]+Inventory[[#This Row],[UpprFn]]+Inventory[[#This Row],[FnBsmt]]+Inventory[[#This Row],[AddFn]]</f>
        <v>1447</v>
      </c>
      <c r="Z1587" s="27">
        <v>1500</v>
      </c>
      <c r="AA1587" s="25">
        <v>5</v>
      </c>
      <c r="AB1587" s="31"/>
      <c r="AC1587" s="27"/>
      <c r="AD1587" s="27"/>
      <c r="AE1587" s="27"/>
      <c r="AF1587" s="27"/>
      <c r="AG1587" s="27"/>
      <c r="AH1587" s="27"/>
      <c r="AI1587" s="25">
        <v>228803</v>
      </c>
      <c r="AJ1587" s="25">
        <v>157874</v>
      </c>
      <c r="AK1587" s="25">
        <v>7738</v>
      </c>
      <c r="AL1587" s="25">
        <v>349200</v>
      </c>
      <c r="AM1587" s="25">
        <v>97300</v>
      </c>
      <c r="AN1587" s="25">
        <v>251900</v>
      </c>
      <c r="AO1587" s="25">
        <v>0</v>
      </c>
      <c r="AP1587" s="25">
        <f>Lookups!$B$56*0</f>
        <v>0</v>
      </c>
      <c r="AQ1587" s="25">
        <f>Lookups!$B$56*1</f>
        <v>89850.625589999996</v>
      </c>
      <c r="AR1587" s="25">
        <f>Lookups!$B$57*Inventory[[#This Row],[LnAcres]]</f>
        <v>-15646.760129236542</v>
      </c>
      <c r="AS1587" s="25">
        <f>VLOOKUP(Inventory[[#This Row],[Qlty]],Lookups!$A$62:$E$75,2,FALSE)</f>
        <v>0</v>
      </c>
      <c r="AT1587" s="25">
        <f>VLOOKUP(Inventory[[#This Row],[Cnd]],Lookups!$A$76:$E$84,2,FALSE)</f>
        <v>197752.34721000001</v>
      </c>
      <c r="AU1587" s="25">
        <f>Inventory[[#This Row],[EffAge]]*Lookups!$B$85</f>
        <v>-11821.416826500001</v>
      </c>
      <c r="AV1587" s="25">
        <f>Inventory[[#This Row],[MainFn]]*Lookups!$B$86</f>
        <v>66553.478324319003</v>
      </c>
      <c r="AW1587" s="25">
        <f>Inventory[[#This Row],[UpprFn]]*Lookups!$B$87</f>
        <v>0</v>
      </c>
      <c r="AX1587" s="25">
        <f>Inventory[[#This Row],[AddFn]]*Lookups!$B$88</f>
        <v>0</v>
      </c>
      <c r="AY1587" s="25">
        <f>Inventory[[#This Row],[Bsmt]]*Lookups!$B$89</f>
        <v>18786.904329561999</v>
      </c>
      <c r="AZ1587" s="25">
        <f>Inventory[[#This Row],[Fixtures]]*Lookups!$B$90</f>
        <v>18960.110526</v>
      </c>
      <c r="BA1587" s="25">
        <f>Inventory[[#This Row],[WdDeck]]*Lookups!$B$91</f>
        <v>0</v>
      </c>
      <c r="BB1587" s="25">
        <f>ROUND(Inventory[[#This Row],[25Det]],-2)</f>
        <v>7700</v>
      </c>
      <c r="BC1587" s="25">
        <f>ROUND(SUM(Inventory[[#This Row],[Mdl Qlty]:[Mdl WdDeck]])+Inventory[[#This Row],[Mdl Res Intercept]],-2)</f>
        <v>290200</v>
      </c>
      <c r="BD1587" s="25">
        <f>ROUND(Inventory[[#This Row],[Mdl Land Intercept]]+Inventory[[#This Row],[Mdl LnAcres]],-2)</f>
        <v>74200</v>
      </c>
      <c r="BE1587" s="25">
        <f>Inventory[[#This Row],[Unadj Res Value]]+Inventory[[#This Row],[Unadj Det Value]]+Inventory[[#This Row],[Unadj Land Value]]</f>
        <v>372100</v>
      </c>
      <c r="BF1587" s="36">
        <f>(Inventory[[#This Row],[Unadj Total Value]]-Inventory[[#This Row],[24Final]])/Inventory[[#This Row],[24Final]]</f>
        <v>6.5578465063001148E-2</v>
      </c>
      <c r="BG1587" s="25">
        <f>VLOOKUP(Inventory[[#This Row],[Nbhd]],Lookups!$Q$2:$T$4,4,FALSE)</f>
        <v>0.99970000000000003</v>
      </c>
      <c r="BH1587" s="25">
        <f>VLOOKUP(Inventory[[#This Row],[Qlty]],Lookups!$O$7:$R$21,4,FALSE)</f>
        <v>0.99180000000000001</v>
      </c>
      <c r="BI1587" s="25">
        <f>VLOOKUP(Inventory[[#This Row],[Cnd]],Lookups!$T$7:$W$16,4,FALSE)</f>
        <v>0.99650000000000005</v>
      </c>
      <c r="BJ1587" s="25">
        <f>VLOOKUP(Inventory[[#This Row],[LivArea Range]],Lookups!$T$25:$W$37,4,FALSE)</f>
        <v>1.0157</v>
      </c>
      <c r="BK1587" s="25">
        <f>VLOOKUP(Inventory[[#This Row],[Decade]],Lookups!$O$25:$R$42,4,FALSE)</f>
        <v>0.98909999999999998</v>
      </c>
      <c r="BL1587" s="25">
        <f>Inventory[[#This Row],[Nbhd Adj]]*0.95</f>
        <v>0.94971499999999998</v>
      </c>
      <c r="BM1587" s="25">
        <f>Inventory[[#This Row],[Nbhd Adj]]*Inventory[[#This Row],[Quality Adj]]*Inventory[[#This Row],[Condition Adj]]*Inventory[[#This Row],[Living Area Adj]]*Inventory[[#This Row],[Decade Adj]]*0.95</f>
        <v>0.94297539030574595</v>
      </c>
      <c r="BN1587" s="25">
        <f>ROUND(SUM(Inventory[[#This Row],[Mdl Qlty]:[Mdl WdDeck]])+Inventory[[#This Row],[Mdl Res Intercept]]*Inventory[[#This Row],[Res Adj ]],-2)</f>
        <v>290200</v>
      </c>
      <c r="BO1587" s="25">
        <f>ROUND(Inventory[[#This Row],[25Det]]*Inventory[[#This Row],[Det/Nbhd Adj]],-2)</f>
        <v>7300</v>
      </c>
      <c r="BP1587" s="25">
        <f>Inventory[[#This Row],[Adjusted Res]]+Inventory[[#This Row],[Adj Det ]]</f>
        <v>297500</v>
      </c>
      <c r="BQ1587" s="25">
        <f>ROUND((Inventory[[#This Row],[Mdl Land Intercept]]+Inventory[[#This Row],[Mdl LnAcres]])*Inventory[[#This Row],[Det/Nbhd Adj]],-2)</f>
        <v>70500</v>
      </c>
      <c r="BR1587" s="25">
        <f>Inventory[[#This Row],[Adjusted Impr Total]]+Inventory[[#This Row],[Adjusted Land Total]]</f>
        <v>368000</v>
      </c>
      <c r="BS1587" s="36">
        <f>IFERROR((Inventory[[#This Row],[Adjusted Impr Total]]-Inventory[[#This Row],[24Bldg]])/Inventory[[#This Row],[24Bldg]],0)</f>
        <v>0.18102421595871376</v>
      </c>
      <c r="BT1587" s="36">
        <f>(Inventory[[#This Row],[Adjusted Land Total]]-Inventory[[#This Row],[24Lnd]])/Inventory[[#This Row],[24Lnd]]</f>
        <v>-0.27543679342240496</v>
      </c>
      <c r="BU1587" s="36">
        <f>(Inventory[[#This Row],[Adjusted Total]]-Inventory[[#This Row],[24Final]])/Inventory[[#This Row],[24Final]]</f>
        <v>5.3837342497136315E-2</v>
      </c>
    </row>
    <row r="1588" spans="1:73" x14ac:dyDescent="0.3">
      <c r="A1588" s="25">
        <v>2025</v>
      </c>
      <c r="B1588" s="26" t="s">
        <v>824</v>
      </c>
      <c r="C1588" s="26">
        <f>LN(Inventory[[#This Row],[Acres]])</f>
        <v>-1.9661128563728327</v>
      </c>
      <c r="D1588" s="25">
        <v>0.14000000000000001</v>
      </c>
      <c r="E1588" s="25">
        <v>6298</v>
      </c>
      <c r="F1588" s="26" t="s">
        <v>537</v>
      </c>
      <c r="G1588" s="26" t="s">
        <v>126</v>
      </c>
      <c r="H1588" s="26" t="s">
        <v>349</v>
      </c>
      <c r="I1588" s="26" t="s">
        <v>538</v>
      </c>
      <c r="J1588" s="26" t="s">
        <v>539</v>
      </c>
      <c r="K1588" s="26" t="s">
        <v>242</v>
      </c>
      <c r="L1588" s="26" t="s">
        <v>302</v>
      </c>
      <c r="M1588" s="26" t="s">
        <v>303</v>
      </c>
      <c r="N1588" s="26">
        <v>90</v>
      </c>
      <c r="O1588" s="26">
        <f>2024-Inventory[[#This Row],[YrBlt]]</f>
        <v>89</v>
      </c>
      <c r="P1588" s="26">
        <f>2024-Inventory[[#This Row],[EffYr]]</f>
        <v>53</v>
      </c>
      <c r="Q1588" s="25">
        <v>1935</v>
      </c>
      <c r="R1588" s="25">
        <v>1971</v>
      </c>
      <c r="S1588" s="25">
        <v>1357</v>
      </c>
      <c r="T1588" s="27"/>
      <c r="U1588" s="25">
        <v>1097</v>
      </c>
      <c r="V1588" s="25">
        <f>Inventory[[#This Row],[Bsmt]]-Inventory[[#This Row],[FnBsmt]]</f>
        <v>0</v>
      </c>
      <c r="W1588" s="25">
        <v>1097</v>
      </c>
      <c r="X1588" s="27"/>
      <c r="Y1588" s="27">
        <f>Inventory[[#This Row],[MainFn]]+Inventory[[#This Row],[UpprFn]]+Inventory[[#This Row],[FnBsmt]]+Inventory[[#This Row],[AddFn]]</f>
        <v>2454</v>
      </c>
      <c r="Z1588" s="27">
        <v>2500</v>
      </c>
      <c r="AA1588" s="25">
        <v>10</v>
      </c>
      <c r="AB1588" s="27"/>
      <c r="AC1588" s="27"/>
      <c r="AD1588" s="31"/>
      <c r="AE1588" s="27"/>
      <c r="AF1588" s="27"/>
      <c r="AG1588" s="27"/>
      <c r="AH1588" s="27"/>
      <c r="AI1588" s="25">
        <v>361980</v>
      </c>
      <c r="AJ1588" s="25">
        <v>249766</v>
      </c>
      <c r="AK1588" s="25">
        <v>784</v>
      </c>
      <c r="AL1588" s="25">
        <v>360400</v>
      </c>
      <c r="AM1588" s="25">
        <v>46000</v>
      </c>
      <c r="AN1588" s="25">
        <v>314400</v>
      </c>
      <c r="AO1588" s="25">
        <v>0</v>
      </c>
      <c r="AP1588" s="25">
        <f>Lookups!$B$56*0</f>
        <v>0</v>
      </c>
      <c r="AQ1588" s="25">
        <f>Lookups!$B$56*1</f>
        <v>89850.625589999996</v>
      </c>
      <c r="AR1588" s="25">
        <f>Lookups!$B$57*Inventory[[#This Row],[LnAcres]]</f>
        <v>-62236.546971921947</v>
      </c>
      <c r="AS1588" s="25">
        <f>VLOOKUP(Inventory[[#This Row],[Qlty]],Lookups!$A$62:$E$75,2,FALSE)</f>
        <v>29814.093161000001</v>
      </c>
      <c r="AT1588" s="25">
        <f>VLOOKUP(Inventory[[#This Row],[Cnd]],Lookups!$A$76:$E$84,2,FALSE)</f>
        <v>197752.34721000001</v>
      </c>
      <c r="AU1588" s="25">
        <f>Inventory[[#This Row],[EffAge]]*Lookups!$B$85</f>
        <v>-11821.416826500001</v>
      </c>
      <c r="AV1588" s="25">
        <f>Inventory[[#This Row],[MainFn]]*Lookups!$B$86</f>
        <v>67047.565023089002</v>
      </c>
      <c r="AW1588" s="25">
        <f>Inventory[[#This Row],[UpprFn]]*Lookups!$B$87</f>
        <v>0</v>
      </c>
      <c r="AX1588" s="25">
        <f>Inventory[[#This Row],[AddFn]]*Lookups!$B$88</f>
        <v>0</v>
      </c>
      <c r="AY1588" s="25">
        <f>Inventory[[#This Row],[Bsmt]]*Lookups!$B$89</f>
        <v>31902.839085959</v>
      </c>
      <c r="AZ1588" s="25">
        <f>Inventory[[#This Row],[Fixtures]]*Lookups!$B$90</f>
        <v>37920.221052000001</v>
      </c>
      <c r="BA1588" s="25">
        <f>Inventory[[#This Row],[WdDeck]]*Lookups!$B$91</f>
        <v>0</v>
      </c>
      <c r="BB1588" s="25">
        <f>ROUND(Inventory[[#This Row],[25Det]],-2)</f>
        <v>800</v>
      </c>
      <c r="BC1588" s="25">
        <f>ROUND(SUM(Inventory[[#This Row],[Mdl Qlty]:[Mdl WdDeck]])+Inventory[[#This Row],[Mdl Res Intercept]],-2)</f>
        <v>352600</v>
      </c>
      <c r="BD1588" s="25">
        <f>ROUND(Inventory[[#This Row],[Mdl Land Intercept]]+Inventory[[#This Row],[Mdl LnAcres]],-2)</f>
        <v>27600</v>
      </c>
      <c r="BE1588" s="25">
        <f>Inventory[[#This Row],[Unadj Res Value]]+Inventory[[#This Row],[Unadj Det Value]]+Inventory[[#This Row],[Unadj Land Value]]</f>
        <v>381000</v>
      </c>
      <c r="BF1588" s="36">
        <f>(Inventory[[#This Row],[Unadj Total Value]]-Inventory[[#This Row],[24Final]])/Inventory[[#This Row],[24Final]]</f>
        <v>5.7158712541620423E-2</v>
      </c>
      <c r="BG1588" s="25">
        <f>VLOOKUP(Inventory[[#This Row],[Nbhd]],Lookups!$Q$2:$T$4,4,FALSE)</f>
        <v>0.99970000000000003</v>
      </c>
      <c r="BH1588" s="25">
        <f>VLOOKUP(Inventory[[#This Row],[Qlty]],Lookups!$O$7:$R$21,4,FALSE)</f>
        <v>1.0088999999999999</v>
      </c>
      <c r="BI1588" s="25">
        <f>VLOOKUP(Inventory[[#This Row],[Cnd]],Lookups!$T$7:$W$16,4,FALSE)</f>
        <v>0.99650000000000005</v>
      </c>
      <c r="BJ1588" s="25">
        <f>VLOOKUP(Inventory[[#This Row],[LivArea Range]],Lookups!$T$25:$W$37,4,FALSE)</f>
        <v>0.98919999999999997</v>
      </c>
      <c r="BK1588" s="25">
        <f>VLOOKUP(Inventory[[#This Row],[Decade]],Lookups!$O$25:$R$42,4,FALSE)</f>
        <v>0.98909999999999998</v>
      </c>
      <c r="BL1588" s="25">
        <f>Inventory[[#This Row],[Nbhd Adj]]*0.95</f>
        <v>0.94971499999999998</v>
      </c>
      <c r="BM1588" s="25">
        <f>Inventory[[#This Row],[Nbhd Adj]]*Inventory[[#This Row],[Quality Adj]]*Inventory[[#This Row],[Condition Adj]]*Inventory[[#This Row],[Living Area Adj]]*Inventory[[#This Row],[Decade Adj]]*0.95</f>
        <v>0.93420681692829766</v>
      </c>
      <c r="BN1588" s="25">
        <f>ROUND(SUM(Inventory[[#This Row],[Mdl Qlty]:[Mdl WdDeck]])+Inventory[[#This Row],[Mdl Res Intercept]]*Inventory[[#This Row],[Res Adj ]],-2)</f>
        <v>352600</v>
      </c>
      <c r="BO1588" s="25">
        <f>ROUND(Inventory[[#This Row],[25Det]]*Inventory[[#This Row],[Det/Nbhd Adj]],-2)</f>
        <v>700</v>
      </c>
      <c r="BP1588" s="25">
        <f>Inventory[[#This Row],[Adjusted Res]]+Inventory[[#This Row],[Adj Det ]]</f>
        <v>353300</v>
      </c>
      <c r="BQ1588" s="25">
        <f>ROUND((Inventory[[#This Row],[Mdl Land Intercept]]+Inventory[[#This Row],[Mdl LnAcres]])*Inventory[[#This Row],[Det/Nbhd Adj]],-2)</f>
        <v>26200</v>
      </c>
      <c r="BR1588" s="25">
        <f>Inventory[[#This Row],[Adjusted Impr Total]]+Inventory[[#This Row],[Adjusted Land Total]]</f>
        <v>379500</v>
      </c>
      <c r="BS1588" s="36">
        <f>IFERROR((Inventory[[#This Row],[Adjusted Impr Total]]-Inventory[[#This Row],[24Bldg]])/Inventory[[#This Row],[24Bldg]],0)</f>
        <v>0.12372773536895675</v>
      </c>
      <c r="BT1588" s="36">
        <f>(Inventory[[#This Row],[Adjusted Land Total]]-Inventory[[#This Row],[24Lnd]])/Inventory[[#This Row],[24Lnd]]</f>
        <v>-0.43043478260869567</v>
      </c>
      <c r="BU1588" s="36">
        <f>(Inventory[[#This Row],[Adjusted Total]]-Inventory[[#This Row],[24Final]])/Inventory[[#This Row],[24Final]]</f>
        <v>5.2996670366259713E-2</v>
      </c>
    </row>
    <row r="1589" spans="1:73" x14ac:dyDescent="0.3">
      <c r="A1589" s="25">
        <v>2025</v>
      </c>
      <c r="B1589" s="26" t="s">
        <v>2673</v>
      </c>
      <c r="C1589" s="26">
        <f>LN(Inventory[[#This Row],[Acres]])</f>
        <v>-1.4271163556401458</v>
      </c>
      <c r="D1589" s="25">
        <v>0.24</v>
      </c>
      <c r="E1589" s="27"/>
      <c r="F1589" s="26" t="s">
        <v>537</v>
      </c>
      <c r="G1589" s="26" t="s">
        <v>126</v>
      </c>
      <c r="H1589" s="26" t="s">
        <v>349</v>
      </c>
      <c r="I1589" s="26" t="s">
        <v>538</v>
      </c>
      <c r="J1589" s="26" t="s">
        <v>539</v>
      </c>
      <c r="K1589" s="26" t="s">
        <v>417</v>
      </c>
      <c r="L1589" s="26" t="s">
        <v>148</v>
      </c>
      <c r="M1589" s="26" t="s">
        <v>303</v>
      </c>
      <c r="N1589" s="26">
        <v>90</v>
      </c>
      <c r="O1589" s="26">
        <f>2024-Inventory[[#This Row],[YrBlt]]</f>
        <v>89</v>
      </c>
      <c r="P1589" s="26">
        <f>2024-Inventory[[#This Row],[EffYr]]</f>
        <v>53</v>
      </c>
      <c r="Q1589" s="25">
        <v>1935</v>
      </c>
      <c r="R1589" s="25">
        <v>1971</v>
      </c>
      <c r="S1589" s="25">
        <v>1178</v>
      </c>
      <c r="T1589" s="25">
        <v>600</v>
      </c>
      <c r="U1589" s="25">
        <v>1000</v>
      </c>
      <c r="V1589" s="25">
        <f>Inventory[[#This Row],[Bsmt]]-Inventory[[#This Row],[FnBsmt]]</f>
        <v>0</v>
      </c>
      <c r="W1589" s="25">
        <v>1000</v>
      </c>
      <c r="X1589" s="27"/>
      <c r="Y1589" s="27">
        <f>Inventory[[#This Row],[MainFn]]+Inventory[[#This Row],[UpprFn]]+Inventory[[#This Row],[FnBsmt]]+Inventory[[#This Row],[AddFn]]</f>
        <v>2778</v>
      </c>
      <c r="Z1589" s="27">
        <v>3000</v>
      </c>
      <c r="AA1589" s="25">
        <v>10</v>
      </c>
      <c r="AB1589" s="27"/>
      <c r="AC1589" s="25">
        <v>178</v>
      </c>
      <c r="AD1589" s="31"/>
      <c r="AE1589" s="27"/>
      <c r="AF1589" s="27"/>
      <c r="AG1589" s="27"/>
      <c r="AH1589" s="27"/>
      <c r="AI1589" s="25">
        <v>500365</v>
      </c>
      <c r="AJ1589" s="25">
        <v>345252</v>
      </c>
      <c r="AK1589" s="25">
        <v>0</v>
      </c>
      <c r="AL1589" s="25">
        <v>403400</v>
      </c>
      <c r="AM1589" s="25">
        <v>64800</v>
      </c>
      <c r="AN1589" s="25">
        <v>338600</v>
      </c>
      <c r="AO1589" s="25">
        <v>0</v>
      </c>
      <c r="AP1589" s="25">
        <f>Lookups!$B$56*0</f>
        <v>0</v>
      </c>
      <c r="AQ1589" s="25">
        <f>Lookups!$B$56*1</f>
        <v>89850.625589999996</v>
      </c>
      <c r="AR1589" s="25">
        <f>Lookups!$B$57*Inventory[[#This Row],[LnAcres]]</f>
        <v>-45174.819855485119</v>
      </c>
      <c r="AS1589" s="25">
        <f>VLOOKUP(Inventory[[#This Row],[Qlty]],Lookups!$A$62:$E$75,2,FALSE)</f>
        <v>44121.038090000002</v>
      </c>
      <c r="AT1589" s="25">
        <f>VLOOKUP(Inventory[[#This Row],[Cnd]],Lookups!$A$76:$E$84,2,FALSE)</f>
        <v>197752.34721000001</v>
      </c>
      <c r="AU1589" s="25">
        <f>Inventory[[#This Row],[EffAge]]*Lookups!$B$85</f>
        <v>-11821.416826500001</v>
      </c>
      <c r="AV1589" s="25">
        <f>Inventory[[#This Row],[MainFn]]*Lookups!$B$86</f>
        <v>58203.413115105999</v>
      </c>
      <c r="AW1589" s="25">
        <f>Inventory[[#This Row],[UpprFn]]*Lookups!$B$87</f>
        <v>26871.853716599999</v>
      </c>
      <c r="AX1589" s="25">
        <f>Inventory[[#This Row],[AddFn]]*Lookups!$B$88</f>
        <v>0</v>
      </c>
      <c r="AY1589" s="25">
        <f>Inventory[[#This Row],[Bsmt]]*Lookups!$B$89</f>
        <v>29081.895246999997</v>
      </c>
      <c r="AZ1589" s="25">
        <f>Inventory[[#This Row],[Fixtures]]*Lookups!$B$90</f>
        <v>37920.221052000001</v>
      </c>
      <c r="BA1589" s="25">
        <f>Inventory[[#This Row],[WdDeck]]*Lookups!$B$91</f>
        <v>0</v>
      </c>
      <c r="BB1589" s="25">
        <f>ROUND(Inventory[[#This Row],[25Det]],-2)</f>
        <v>0</v>
      </c>
      <c r="BC1589" s="25">
        <f>ROUND(SUM(Inventory[[#This Row],[Mdl Qlty]:[Mdl WdDeck]])+Inventory[[#This Row],[Mdl Res Intercept]],-2)</f>
        <v>382100</v>
      </c>
      <c r="BD1589" s="25">
        <f>ROUND(Inventory[[#This Row],[Mdl Land Intercept]]+Inventory[[#This Row],[Mdl LnAcres]],-2)</f>
        <v>44700</v>
      </c>
      <c r="BE1589" s="25">
        <f>Inventory[[#This Row],[Unadj Res Value]]+Inventory[[#This Row],[Unadj Det Value]]+Inventory[[#This Row],[Unadj Land Value]]</f>
        <v>426800</v>
      </c>
      <c r="BF1589" s="36">
        <f>(Inventory[[#This Row],[Unadj Total Value]]-Inventory[[#This Row],[24Final]])/Inventory[[#This Row],[24Final]]</f>
        <v>5.8006941001487358E-2</v>
      </c>
      <c r="BG1589" s="25">
        <f>VLOOKUP(Inventory[[#This Row],[Nbhd]],Lookups!$Q$2:$T$4,4,FALSE)</f>
        <v>0.99970000000000003</v>
      </c>
      <c r="BH1589" s="25">
        <f>VLOOKUP(Inventory[[#This Row],[Qlty]],Lookups!$O$7:$R$21,4,FALSE)</f>
        <v>0.98050000000000004</v>
      </c>
      <c r="BI1589" s="25">
        <f>VLOOKUP(Inventory[[#This Row],[Cnd]],Lookups!$T$7:$W$16,4,FALSE)</f>
        <v>0.99650000000000005</v>
      </c>
      <c r="BJ1589" s="25">
        <f>VLOOKUP(Inventory[[#This Row],[LivArea Range]],Lookups!$T$25:$W$37,4,FALSE)</f>
        <v>0.96179999999999999</v>
      </c>
      <c r="BK1589" s="25">
        <f>VLOOKUP(Inventory[[#This Row],[Decade]],Lookups!$O$25:$R$42,4,FALSE)</f>
        <v>0.98909999999999998</v>
      </c>
      <c r="BL1589" s="25">
        <f>Inventory[[#This Row],[Nbhd Adj]]*0.95</f>
        <v>0.94971499999999998</v>
      </c>
      <c r="BM1589" s="25">
        <f>Inventory[[#This Row],[Nbhd Adj]]*Inventory[[#This Row],[Quality Adj]]*Inventory[[#This Row],[Condition Adj]]*Inventory[[#This Row],[Living Area Adj]]*Inventory[[#This Row],[Decade Adj]]*0.95</f>
        <v>0.88276107127906644</v>
      </c>
      <c r="BN1589" s="25">
        <f>ROUND(SUM(Inventory[[#This Row],[Mdl Qlty]:[Mdl WdDeck]])+Inventory[[#This Row],[Mdl Res Intercept]]*Inventory[[#This Row],[Res Adj ]],-2)</f>
        <v>382100</v>
      </c>
      <c r="BO1589" s="25">
        <f>ROUND(Inventory[[#This Row],[25Det]]*Inventory[[#This Row],[Det/Nbhd Adj]],-2)</f>
        <v>0</v>
      </c>
      <c r="BP1589" s="25">
        <f>Inventory[[#This Row],[Adjusted Res]]+Inventory[[#This Row],[Adj Det ]]</f>
        <v>382100</v>
      </c>
      <c r="BQ1589" s="25">
        <f>ROUND((Inventory[[#This Row],[Mdl Land Intercept]]+Inventory[[#This Row],[Mdl LnAcres]])*Inventory[[#This Row],[Det/Nbhd Adj]],-2)</f>
        <v>42400</v>
      </c>
      <c r="BR1589" s="25">
        <f>Inventory[[#This Row],[Adjusted Impr Total]]+Inventory[[#This Row],[Adjusted Land Total]]</f>
        <v>424500</v>
      </c>
      <c r="BS1589" s="36">
        <f>IFERROR((Inventory[[#This Row],[Adjusted Impr Total]]-Inventory[[#This Row],[24Bldg]])/Inventory[[#This Row],[24Bldg]],0)</f>
        <v>0.12847017129356172</v>
      </c>
      <c r="BT1589" s="36">
        <f>(Inventory[[#This Row],[Adjusted Land Total]]-Inventory[[#This Row],[24Lnd]])/Inventory[[#This Row],[24Lnd]]</f>
        <v>-0.34567901234567899</v>
      </c>
      <c r="BU1589" s="36">
        <f>(Inventory[[#This Row],[Adjusted Total]]-Inventory[[#This Row],[24Final]])/Inventory[[#This Row],[24Final]]</f>
        <v>5.2305404065443727E-2</v>
      </c>
    </row>
    <row r="1590" spans="1:73" x14ac:dyDescent="0.3">
      <c r="A1590" s="25">
        <v>2025</v>
      </c>
      <c r="B1590" s="26" t="s">
        <v>2418</v>
      </c>
      <c r="C1590" s="26">
        <f>LN(Inventory[[#This Row],[Acres]])</f>
        <v>-1.5606477482646683</v>
      </c>
      <c r="D1590" s="25">
        <v>0.21</v>
      </c>
      <c r="E1590" s="31"/>
      <c r="F1590" s="26" t="s">
        <v>537</v>
      </c>
      <c r="G1590" s="26" t="s">
        <v>126</v>
      </c>
      <c r="H1590" s="26" t="s">
        <v>349</v>
      </c>
      <c r="I1590" s="26" t="s">
        <v>538</v>
      </c>
      <c r="J1590" s="26" t="s">
        <v>539</v>
      </c>
      <c r="K1590" s="26" t="s">
        <v>242</v>
      </c>
      <c r="L1590" s="26" t="s">
        <v>302</v>
      </c>
      <c r="M1590" s="26" t="s">
        <v>206</v>
      </c>
      <c r="N1590" s="26">
        <v>90</v>
      </c>
      <c r="O1590" s="26">
        <f>2024-Inventory[[#This Row],[YrBlt]]</f>
        <v>89</v>
      </c>
      <c r="P1590" s="26">
        <f>2024-Inventory[[#This Row],[EffYr]]</f>
        <v>53</v>
      </c>
      <c r="Q1590" s="25">
        <v>1935</v>
      </c>
      <c r="R1590" s="25">
        <v>1971</v>
      </c>
      <c r="S1590" s="25">
        <v>1308</v>
      </c>
      <c r="T1590" s="31"/>
      <c r="U1590" s="25">
        <v>428</v>
      </c>
      <c r="V1590" s="25">
        <f>Inventory[[#This Row],[Bsmt]]-Inventory[[#This Row],[FnBsmt]]</f>
        <v>0</v>
      </c>
      <c r="W1590" s="25">
        <v>428</v>
      </c>
      <c r="X1590" s="27"/>
      <c r="Y1590" s="27">
        <f>Inventory[[#This Row],[MainFn]]+Inventory[[#This Row],[UpprFn]]+Inventory[[#This Row],[FnBsmt]]+Inventory[[#This Row],[AddFn]]</f>
        <v>1736</v>
      </c>
      <c r="Z1590" s="27">
        <v>2000</v>
      </c>
      <c r="AA1590" s="25">
        <v>8</v>
      </c>
      <c r="AB1590" s="27"/>
      <c r="AC1590" s="27"/>
      <c r="AD1590" s="31"/>
      <c r="AE1590" s="27"/>
      <c r="AF1590" s="27"/>
      <c r="AG1590" s="27"/>
      <c r="AH1590" s="27"/>
      <c r="AI1590" s="25">
        <v>301470</v>
      </c>
      <c r="AJ1590" s="25">
        <v>195956</v>
      </c>
      <c r="AK1590" s="25">
        <v>0</v>
      </c>
      <c r="AL1590" s="25">
        <v>282800</v>
      </c>
      <c r="AM1590" s="25">
        <v>60100</v>
      </c>
      <c r="AN1590" s="25">
        <v>222700</v>
      </c>
      <c r="AO1590" s="25">
        <v>0</v>
      </c>
      <c r="AP1590" s="25">
        <f>Lookups!$B$56*0</f>
        <v>0</v>
      </c>
      <c r="AQ1590" s="25">
        <f>Lookups!$B$56*1</f>
        <v>89850.625589999996</v>
      </c>
      <c r="AR1590" s="25">
        <f>Lookups!$B$57*Inventory[[#This Row],[LnAcres]]</f>
        <v>-49401.70477837498</v>
      </c>
      <c r="AS1590" s="25">
        <f>VLOOKUP(Inventory[[#This Row],[Qlty]],Lookups!$A$62:$E$75,2,FALSE)</f>
        <v>29814.093161000001</v>
      </c>
      <c r="AT1590" s="25">
        <f>VLOOKUP(Inventory[[#This Row],[Cnd]],Lookups!$A$76:$E$84,2,FALSE)</f>
        <v>133714.53821</v>
      </c>
      <c r="AU1590" s="25">
        <f>Inventory[[#This Row],[EffAge]]*Lookups!$B$85</f>
        <v>-11821.416826500001</v>
      </c>
      <c r="AV1590" s="25">
        <f>Inventory[[#This Row],[MainFn]]*Lookups!$B$86</f>
        <v>64626.540199116003</v>
      </c>
      <c r="AW1590" s="25">
        <f>Inventory[[#This Row],[UpprFn]]*Lookups!$B$87</f>
        <v>0</v>
      </c>
      <c r="AX1590" s="25">
        <f>Inventory[[#This Row],[AddFn]]*Lookups!$B$88</f>
        <v>0</v>
      </c>
      <c r="AY1590" s="25">
        <f>Inventory[[#This Row],[Bsmt]]*Lookups!$B$89</f>
        <v>12447.051165715999</v>
      </c>
      <c r="AZ1590" s="25">
        <f>Inventory[[#This Row],[Fixtures]]*Lookups!$B$90</f>
        <v>30336.176841600001</v>
      </c>
      <c r="BA1590" s="25">
        <f>Inventory[[#This Row],[WdDeck]]*Lookups!$B$91</f>
        <v>0</v>
      </c>
      <c r="BB1590" s="25">
        <f>ROUND(Inventory[[#This Row],[25Det]],-2)</f>
        <v>0</v>
      </c>
      <c r="BC1590" s="25">
        <f>ROUND(SUM(Inventory[[#This Row],[Mdl Qlty]:[Mdl WdDeck]])+Inventory[[#This Row],[Mdl Res Intercept]],-2)</f>
        <v>259100</v>
      </c>
      <c r="BD1590" s="25">
        <f>ROUND(Inventory[[#This Row],[Mdl Land Intercept]]+Inventory[[#This Row],[Mdl LnAcres]],-2)</f>
        <v>40400</v>
      </c>
      <c r="BE1590" s="25">
        <f>Inventory[[#This Row],[Unadj Res Value]]+Inventory[[#This Row],[Unadj Det Value]]+Inventory[[#This Row],[Unadj Land Value]]</f>
        <v>299500</v>
      </c>
      <c r="BF1590" s="36">
        <f>(Inventory[[#This Row],[Unadj Total Value]]-Inventory[[#This Row],[24Final]])/Inventory[[#This Row],[24Final]]</f>
        <v>5.9052333804809051E-2</v>
      </c>
      <c r="BG1590" s="25">
        <f>VLOOKUP(Inventory[[#This Row],[Nbhd]],Lookups!$Q$2:$T$4,4,FALSE)</f>
        <v>0.99970000000000003</v>
      </c>
      <c r="BH1590" s="25">
        <f>VLOOKUP(Inventory[[#This Row],[Qlty]],Lookups!$O$7:$R$21,4,FALSE)</f>
        <v>1.0088999999999999</v>
      </c>
      <c r="BI1590" s="25">
        <f>VLOOKUP(Inventory[[#This Row],[Cnd]],Lookups!$T$7:$W$16,4,FALSE)</f>
        <v>0.99329999999999996</v>
      </c>
      <c r="BJ1590" s="25">
        <f>VLOOKUP(Inventory[[#This Row],[LivArea Range]],Lookups!$T$25:$W$37,4,FALSE)</f>
        <v>1.0093000000000001</v>
      </c>
      <c r="BK1590" s="25">
        <f>VLOOKUP(Inventory[[#This Row],[Decade]],Lookups!$O$25:$R$42,4,FALSE)</f>
        <v>0.98909999999999998</v>
      </c>
      <c r="BL1590" s="25">
        <f>Inventory[[#This Row],[Nbhd Adj]]*0.95</f>
        <v>0.94971499999999998</v>
      </c>
      <c r="BM1590" s="25">
        <f>Inventory[[#This Row],[Nbhd Adj]]*Inventory[[#This Row],[Quality Adj]]*Inventory[[#This Row],[Condition Adj]]*Inventory[[#This Row],[Living Area Adj]]*Inventory[[#This Row],[Decade Adj]]*0.95</f>
        <v>0.95012846643960336</v>
      </c>
      <c r="BN1590" s="25">
        <f>ROUND(SUM(Inventory[[#This Row],[Mdl Qlty]:[Mdl WdDeck]])+Inventory[[#This Row],[Mdl Res Intercept]]*Inventory[[#This Row],[Res Adj ]],-2)</f>
        <v>259100</v>
      </c>
      <c r="BO1590" s="25">
        <f>ROUND(Inventory[[#This Row],[25Det]]*Inventory[[#This Row],[Det/Nbhd Adj]],-2)</f>
        <v>0</v>
      </c>
      <c r="BP1590" s="25">
        <f>Inventory[[#This Row],[Adjusted Res]]+Inventory[[#This Row],[Adj Det ]]</f>
        <v>259100</v>
      </c>
      <c r="BQ1590" s="25">
        <f>ROUND((Inventory[[#This Row],[Mdl Land Intercept]]+Inventory[[#This Row],[Mdl LnAcres]])*Inventory[[#This Row],[Det/Nbhd Adj]],-2)</f>
        <v>38400</v>
      </c>
      <c r="BR1590" s="25">
        <f>Inventory[[#This Row],[Adjusted Impr Total]]+Inventory[[#This Row],[Adjusted Land Total]]</f>
        <v>297500</v>
      </c>
      <c r="BS1590" s="36">
        <f>IFERROR((Inventory[[#This Row],[Adjusted Impr Total]]-Inventory[[#This Row],[24Bldg]])/Inventory[[#This Row],[24Bldg]],0)</f>
        <v>0.16344858554108666</v>
      </c>
      <c r="BT1590" s="36">
        <f>(Inventory[[#This Row],[Adjusted Land Total]]-Inventory[[#This Row],[24Lnd]])/Inventory[[#This Row],[24Lnd]]</f>
        <v>-0.36106489184692181</v>
      </c>
      <c r="BU1590" s="36">
        <f>(Inventory[[#This Row],[Adjusted Total]]-Inventory[[#This Row],[24Final]])/Inventory[[#This Row],[24Final]]</f>
        <v>5.1980198019801978E-2</v>
      </c>
    </row>
    <row r="1591" spans="1:73" x14ac:dyDescent="0.3">
      <c r="A1591" s="25">
        <v>2025</v>
      </c>
      <c r="B1591" s="26" t="s">
        <v>1050</v>
      </c>
      <c r="C1591" s="26">
        <f>LN(Inventory[[#This Row],[Acres]])</f>
        <v>-1.8325814637483102</v>
      </c>
      <c r="D1591" s="25">
        <v>0.16</v>
      </c>
      <c r="E1591" s="31"/>
      <c r="F1591" s="26" t="s">
        <v>537</v>
      </c>
      <c r="G1591" s="26" t="s">
        <v>126</v>
      </c>
      <c r="H1591" s="26" t="s">
        <v>349</v>
      </c>
      <c r="I1591" s="26" t="s">
        <v>538</v>
      </c>
      <c r="J1591" s="26" t="s">
        <v>539</v>
      </c>
      <c r="K1591" s="26" t="s">
        <v>269</v>
      </c>
      <c r="L1591" s="26" t="s">
        <v>148</v>
      </c>
      <c r="M1591" s="26" t="s">
        <v>323</v>
      </c>
      <c r="N1591" s="26">
        <v>90</v>
      </c>
      <c r="O1591" s="26">
        <f>2024-Inventory[[#This Row],[YrBlt]]</f>
        <v>89</v>
      </c>
      <c r="P1591" s="26">
        <f>2024-Inventory[[#This Row],[EffYr]]</f>
        <v>53</v>
      </c>
      <c r="Q1591" s="25">
        <v>1935</v>
      </c>
      <c r="R1591" s="25">
        <v>1971</v>
      </c>
      <c r="S1591" s="25">
        <v>1162</v>
      </c>
      <c r="T1591" s="32">
        <v>830</v>
      </c>
      <c r="U1591" s="25">
        <v>778</v>
      </c>
      <c r="V1591" s="25">
        <f>Inventory[[#This Row],[Bsmt]]-Inventory[[#This Row],[FnBsmt]]</f>
        <v>518</v>
      </c>
      <c r="W1591" s="25">
        <v>260</v>
      </c>
      <c r="X1591" s="27"/>
      <c r="Y1591" s="27">
        <f>Inventory[[#This Row],[MainFn]]+Inventory[[#This Row],[UpprFn]]+Inventory[[#This Row],[FnBsmt]]+Inventory[[#This Row],[AddFn]]</f>
        <v>2252</v>
      </c>
      <c r="Z1591" s="27">
        <v>2500</v>
      </c>
      <c r="AA1591" s="25">
        <v>8</v>
      </c>
      <c r="AB1591" s="27"/>
      <c r="AC1591" s="27"/>
      <c r="AD1591" s="31"/>
      <c r="AE1591" s="27"/>
      <c r="AF1591" s="27"/>
      <c r="AG1591" s="27"/>
      <c r="AH1591" s="27"/>
      <c r="AI1591" s="25">
        <v>430693</v>
      </c>
      <c r="AJ1591" s="25">
        <v>288564</v>
      </c>
      <c r="AK1591" s="25">
        <v>4877</v>
      </c>
      <c r="AL1591" s="25">
        <v>356600</v>
      </c>
      <c r="AM1591" s="25">
        <v>50600</v>
      </c>
      <c r="AN1591" s="25">
        <v>306000</v>
      </c>
      <c r="AO1591" s="25">
        <v>0</v>
      </c>
      <c r="AP1591" s="25">
        <f>Lookups!$B$56*0</f>
        <v>0</v>
      </c>
      <c r="AQ1591" s="25">
        <f>Lookups!$B$56*1</f>
        <v>89850.625589999996</v>
      </c>
      <c r="AR1591" s="25">
        <f>Lookups!$B$57*Inventory[[#This Row],[LnAcres]]</f>
        <v>-58009.662049032086</v>
      </c>
      <c r="AS1591" s="25">
        <f>VLOOKUP(Inventory[[#This Row],[Qlty]],Lookups!$A$62:$E$75,2,FALSE)</f>
        <v>44121.038090000002</v>
      </c>
      <c r="AT1591" s="25">
        <f>VLOOKUP(Inventory[[#This Row],[Cnd]],Lookups!$A$76:$E$84,2,FALSE)</f>
        <v>160472.20319</v>
      </c>
      <c r="AU1591" s="25">
        <f>Inventory[[#This Row],[EffAge]]*Lookups!$B$85</f>
        <v>-11821.416826500001</v>
      </c>
      <c r="AV1591" s="25">
        <f>Inventory[[#This Row],[MainFn]]*Lookups!$B$86</f>
        <v>57412.874397074003</v>
      </c>
      <c r="AW1591" s="25">
        <f>Inventory[[#This Row],[UpprFn]]*Lookups!$B$87</f>
        <v>37172.730974630002</v>
      </c>
      <c r="AX1591" s="25">
        <f>Inventory[[#This Row],[AddFn]]*Lookups!$B$88</f>
        <v>0</v>
      </c>
      <c r="AY1591" s="25">
        <f>Inventory[[#This Row],[Bsmt]]*Lookups!$B$89</f>
        <v>22625.714502166</v>
      </c>
      <c r="AZ1591" s="25">
        <f>Inventory[[#This Row],[Fixtures]]*Lookups!$B$90</f>
        <v>30336.176841600001</v>
      </c>
      <c r="BA1591" s="25">
        <f>Inventory[[#This Row],[WdDeck]]*Lookups!$B$91</f>
        <v>0</v>
      </c>
      <c r="BB1591" s="25">
        <f>ROUND(Inventory[[#This Row],[25Det]],-2)</f>
        <v>4900</v>
      </c>
      <c r="BC1591" s="25">
        <f>ROUND(SUM(Inventory[[#This Row],[Mdl Qlty]:[Mdl WdDeck]])+Inventory[[#This Row],[Mdl Res Intercept]],-2)</f>
        <v>340300</v>
      </c>
      <c r="BD1591" s="25">
        <f>ROUND(Inventory[[#This Row],[Mdl Land Intercept]]+Inventory[[#This Row],[Mdl LnAcres]],-2)</f>
        <v>31800</v>
      </c>
      <c r="BE1591" s="25">
        <f>Inventory[[#This Row],[Unadj Res Value]]+Inventory[[#This Row],[Unadj Det Value]]+Inventory[[#This Row],[Unadj Land Value]]</f>
        <v>377000</v>
      </c>
      <c r="BF1591" s="36">
        <f>(Inventory[[#This Row],[Unadj Total Value]]-Inventory[[#This Row],[24Final]])/Inventory[[#This Row],[24Final]]</f>
        <v>5.7206954570947842E-2</v>
      </c>
      <c r="BG1591" s="25">
        <f>VLOOKUP(Inventory[[#This Row],[Nbhd]],Lookups!$Q$2:$T$4,4,FALSE)</f>
        <v>0.99970000000000003</v>
      </c>
      <c r="BH1591" s="25">
        <f>VLOOKUP(Inventory[[#This Row],[Qlty]],Lookups!$O$7:$R$21,4,FALSE)</f>
        <v>0.98050000000000004</v>
      </c>
      <c r="BI1591" s="25">
        <f>VLOOKUP(Inventory[[#This Row],[Cnd]],Lookups!$T$7:$W$16,4,FALSE)</f>
        <v>0.99729999999999996</v>
      </c>
      <c r="BJ1591" s="25">
        <f>VLOOKUP(Inventory[[#This Row],[LivArea Range]],Lookups!$T$25:$W$37,4,FALSE)</f>
        <v>0.98919999999999997</v>
      </c>
      <c r="BK1591" s="25">
        <f>VLOOKUP(Inventory[[#This Row],[Decade]],Lookups!$O$25:$R$42,4,FALSE)</f>
        <v>0.98909999999999998</v>
      </c>
      <c r="BL1591" s="25">
        <f>Inventory[[#This Row],[Nbhd Adj]]*0.95</f>
        <v>0.94971499999999998</v>
      </c>
      <c r="BM1591" s="25">
        <f>Inventory[[#This Row],[Nbhd Adj]]*Inventory[[#This Row],[Quality Adj]]*Inventory[[#This Row],[Condition Adj]]*Inventory[[#This Row],[Living Area Adj]]*Inventory[[#This Row],[Decade Adj]]*0.95</f>
        <v>0.9086382690108219</v>
      </c>
      <c r="BN1591" s="25">
        <f>ROUND(SUM(Inventory[[#This Row],[Mdl Qlty]:[Mdl WdDeck]])+Inventory[[#This Row],[Mdl Res Intercept]]*Inventory[[#This Row],[Res Adj ]],-2)</f>
        <v>340300</v>
      </c>
      <c r="BO1591" s="25">
        <f>ROUND(Inventory[[#This Row],[25Det]]*Inventory[[#This Row],[Det/Nbhd Adj]],-2)</f>
        <v>4600</v>
      </c>
      <c r="BP1591" s="25">
        <f>Inventory[[#This Row],[Adjusted Res]]+Inventory[[#This Row],[Adj Det ]]</f>
        <v>344900</v>
      </c>
      <c r="BQ1591" s="25">
        <f>ROUND((Inventory[[#This Row],[Mdl Land Intercept]]+Inventory[[#This Row],[Mdl LnAcres]])*Inventory[[#This Row],[Det/Nbhd Adj]],-2)</f>
        <v>30200</v>
      </c>
      <c r="BR1591" s="25">
        <f>Inventory[[#This Row],[Adjusted Impr Total]]+Inventory[[#This Row],[Adjusted Land Total]]</f>
        <v>375100</v>
      </c>
      <c r="BS1591" s="36">
        <f>IFERROR((Inventory[[#This Row],[Adjusted Impr Total]]-Inventory[[#This Row],[24Bldg]])/Inventory[[#This Row],[24Bldg]],0)</f>
        <v>0.12712418300653594</v>
      </c>
      <c r="BT1591" s="36">
        <f>(Inventory[[#This Row],[Adjusted Land Total]]-Inventory[[#This Row],[24Lnd]])/Inventory[[#This Row],[24Lnd]]</f>
        <v>-0.40316205533596838</v>
      </c>
      <c r="BU1591" s="36">
        <f>(Inventory[[#This Row],[Adjusted Total]]-Inventory[[#This Row],[24Final]])/Inventory[[#This Row],[24Final]]</f>
        <v>5.1878855860908582E-2</v>
      </c>
    </row>
    <row r="1592" spans="1:73" x14ac:dyDescent="0.3">
      <c r="A1592" s="25">
        <v>2025</v>
      </c>
      <c r="B1592" s="26" t="s">
        <v>975</v>
      </c>
      <c r="C1592" s="26">
        <f>LN(Inventory[[#This Row],[Acres]])</f>
        <v>-1.0216512475319814</v>
      </c>
      <c r="D1592" s="25">
        <v>0.36</v>
      </c>
      <c r="E1592" s="25">
        <v>15531</v>
      </c>
      <c r="F1592" s="26" t="s">
        <v>537</v>
      </c>
      <c r="G1592" s="26" t="s">
        <v>126</v>
      </c>
      <c r="H1592" s="26" t="s">
        <v>349</v>
      </c>
      <c r="I1592" s="26" t="s">
        <v>538</v>
      </c>
      <c r="J1592" s="26" t="s">
        <v>539</v>
      </c>
      <c r="K1592" s="26" t="s">
        <v>242</v>
      </c>
      <c r="L1592" s="26" t="s">
        <v>205</v>
      </c>
      <c r="M1592" s="26" t="s">
        <v>303</v>
      </c>
      <c r="N1592" s="26">
        <v>90</v>
      </c>
      <c r="O1592" s="26">
        <f>2024-Inventory[[#This Row],[YrBlt]]</f>
        <v>89</v>
      </c>
      <c r="P1592" s="26">
        <f>2024-Inventory[[#This Row],[EffYr]]</f>
        <v>43</v>
      </c>
      <c r="Q1592" s="25">
        <v>1935</v>
      </c>
      <c r="R1592" s="25">
        <v>1981</v>
      </c>
      <c r="S1592" s="25">
        <v>1056</v>
      </c>
      <c r="T1592" s="27"/>
      <c r="U1592" s="32">
        <v>1056</v>
      </c>
      <c r="V1592" s="32">
        <f>Inventory[[#This Row],[Bsmt]]-Inventory[[#This Row],[FnBsmt]]</f>
        <v>533</v>
      </c>
      <c r="W1592" s="32">
        <v>523</v>
      </c>
      <c r="X1592" s="27"/>
      <c r="Y1592" s="27">
        <f>Inventory[[#This Row],[MainFn]]+Inventory[[#This Row],[UpprFn]]+Inventory[[#This Row],[FnBsmt]]+Inventory[[#This Row],[AddFn]]</f>
        <v>1579</v>
      </c>
      <c r="Z1592" s="27">
        <v>2000</v>
      </c>
      <c r="AA1592" s="25">
        <v>5</v>
      </c>
      <c r="AB1592" s="31"/>
      <c r="AC1592" s="27"/>
      <c r="AD1592" s="27"/>
      <c r="AE1592" s="27"/>
      <c r="AF1592" s="27"/>
      <c r="AG1592" s="27"/>
      <c r="AH1592" s="27"/>
      <c r="AI1592" s="25">
        <v>224959</v>
      </c>
      <c r="AJ1592" s="25">
        <v>177718</v>
      </c>
      <c r="AK1592" s="25">
        <v>13982</v>
      </c>
      <c r="AL1592" s="25">
        <v>340600</v>
      </c>
      <c r="AM1592" s="25">
        <v>78900</v>
      </c>
      <c r="AN1592" s="25">
        <v>261700</v>
      </c>
      <c r="AO1592" s="25">
        <v>0</v>
      </c>
      <c r="AP1592" s="25">
        <f>Lookups!$B$56*0</f>
        <v>0</v>
      </c>
      <c r="AQ1592" s="25">
        <f>Lookups!$B$56*1</f>
        <v>89850.625589999996</v>
      </c>
      <c r="AR1592" s="25">
        <f>Lookups!$B$57*Inventory[[#This Row],[LnAcres]]</f>
        <v>-32339.977661938148</v>
      </c>
      <c r="AS1592" s="25">
        <f>VLOOKUP(Inventory[[#This Row],[Qlty]],Lookups!$A$62:$E$75,2,FALSE)</f>
        <v>0</v>
      </c>
      <c r="AT1592" s="25">
        <f>VLOOKUP(Inventory[[#This Row],[Cnd]],Lookups!$A$76:$E$84,2,FALSE)</f>
        <v>197752.34721000001</v>
      </c>
      <c r="AU1592" s="25">
        <f>Inventory[[#This Row],[EffAge]]*Lookups!$B$85</f>
        <v>-9590.9608215000007</v>
      </c>
      <c r="AV1592" s="25">
        <f>Inventory[[#This Row],[MainFn]]*Lookups!$B$86</f>
        <v>52175.555390112</v>
      </c>
      <c r="AW1592" s="25">
        <f>Inventory[[#This Row],[UpprFn]]*Lookups!$B$87</f>
        <v>0</v>
      </c>
      <c r="AX1592" s="25">
        <f>Inventory[[#This Row],[AddFn]]*Lookups!$B$88</f>
        <v>0</v>
      </c>
      <c r="AY1592" s="25">
        <f>Inventory[[#This Row],[Bsmt]]*Lookups!$B$89</f>
        <v>30710.481380832</v>
      </c>
      <c r="AZ1592" s="25">
        <f>Inventory[[#This Row],[Fixtures]]*Lookups!$B$90</f>
        <v>18960.110526</v>
      </c>
      <c r="BA1592" s="25">
        <f>Inventory[[#This Row],[WdDeck]]*Lookups!$B$91</f>
        <v>0</v>
      </c>
      <c r="BB1592" s="25">
        <f>ROUND(Inventory[[#This Row],[25Det]],-2)</f>
        <v>14000</v>
      </c>
      <c r="BC1592" s="25">
        <f>ROUND(SUM(Inventory[[#This Row],[Mdl Qlty]:[Mdl WdDeck]])+Inventory[[#This Row],[Mdl Res Intercept]],-2)</f>
        <v>290000</v>
      </c>
      <c r="BD1592" s="25">
        <f>ROUND(Inventory[[#This Row],[Mdl Land Intercept]]+Inventory[[#This Row],[Mdl LnAcres]],-2)</f>
        <v>57500</v>
      </c>
      <c r="BE1592" s="25">
        <f>Inventory[[#This Row],[Unadj Res Value]]+Inventory[[#This Row],[Unadj Det Value]]+Inventory[[#This Row],[Unadj Land Value]]</f>
        <v>361500</v>
      </c>
      <c r="BF1592" s="36">
        <f>(Inventory[[#This Row],[Unadj Total Value]]-Inventory[[#This Row],[24Final]])/Inventory[[#This Row],[24Final]]</f>
        <v>6.1362301820317086E-2</v>
      </c>
      <c r="BG1592" s="25">
        <f>VLOOKUP(Inventory[[#This Row],[Nbhd]],Lookups!$Q$2:$T$4,4,FALSE)</f>
        <v>0.99970000000000003</v>
      </c>
      <c r="BH1592" s="25">
        <f>VLOOKUP(Inventory[[#This Row],[Qlty]],Lookups!$O$7:$R$21,4,FALSE)</f>
        <v>0.99180000000000001</v>
      </c>
      <c r="BI1592" s="25">
        <f>VLOOKUP(Inventory[[#This Row],[Cnd]],Lookups!$T$7:$W$16,4,FALSE)</f>
        <v>0.99650000000000005</v>
      </c>
      <c r="BJ1592" s="25">
        <f>VLOOKUP(Inventory[[#This Row],[LivArea Range]],Lookups!$T$25:$W$37,4,FALSE)</f>
        <v>1.0093000000000001</v>
      </c>
      <c r="BK1592" s="25">
        <f>VLOOKUP(Inventory[[#This Row],[Decade]],Lookups!$O$25:$R$42,4,FALSE)</f>
        <v>0.98909999999999998</v>
      </c>
      <c r="BL1592" s="25">
        <f>Inventory[[#This Row],[Nbhd Adj]]*0.95</f>
        <v>0.94971499999999998</v>
      </c>
      <c r="BM1592" s="25">
        <f>Inventory[[#This Row],[Nbhd Adj]]*Inventory[[#This Row],[Quality Adj]]*Inventory[[#This Row],[Condition Adj]]*Inventory[[#This Row],[Living Area Adj]]*Inventory[[#This Row],[Decade Adj]]*0.95</f>
        <v>0.93703363339134527</v>
      </c>
      <c r="BN1592" s="25">
        <f>ROUND(SUM(Inventory[[#This Row],[Mdl Qlty]:[Mdl WdDeck]])+Inventory[[#This Row],[Mdl Res Intercept]]*Inventory[[#This Row],[Res Adj ]],-2)</f>
        <v>290000</v>
      </c>
      <c r="BO1592" s="25">
        <f>ROUND(Inventory[[#This Row],[25Det]]*Inventory[[#This Row],[Det/Nbhd Adj]],-2)</f>
        <v>13300</v>
      </c>
      <c r="BP1592" s="25">
        <f>Inventory[[#This Row],[Adjusted Res]]+Inventory[[#This Row],[Adj Det ]]</f>
        <v>303300</v>
      </c>
      <c r="BQ1592" s="25">
        <f>ROUND((Inventory[[#This Row],[Mdl Land Intercept]]+Inventory[[#This Row],[Mdl LnAcres]])*Inventory[[#This Row],[Det/Nbhd Adj]],-2)</f>
        <v>54600</v>
      </c>
      <c r="BR1592" s="25">
        <f>Inventory[[#This Row],[Adjusted Impr Total]]+Inventory[[#This Row],[Adjusted Land Total]]</f>
        <v>357900</v>
      </c>
      <c r="BS1592" s="36">
        <f>IFERROR((Inventory[[#This Row],[Adjusted Impr Total]]-Inventory[[#This Row],[24Bldg]])/Inventory[[#This Row],[24Bldg]],0)</f>
        <v>0.15896064195643866</v>
      </c>
      <c r="BT1592" s="36">
        <f>(Inventory[[#This Row],[Adjusted Land Total]]-Inventory[[#This Row],[24Lnd]])/Inventory[[#This Row],[24Lnd]]</f>
        <v>-0.30798479087452474</v>
      </c>
      <c r="BU1592" s="36">
        <f>(Inventory[[#This Row],[Adjusted Total]]-Inventory[[#This Row],[24Final]])/Inventory[[#This Row],[24Final]]</f>
        <v>5.0792718731650033E-2</v>
      </c>
    </row>
    <row r="1593" spans="1:73" x14ac:dyDescent="0.3">
      <c r="A1593" s="25">
        <v>2025</v>
      </c>
      <c r="B1593" s="26" t="s">
        <v>1318</v>
      </c>
      <c r="C1593" s="26">
        <f>LN(Inventory[[#This Row],[Acres]])</f>
        <v>-1.8971199848858813</v>
      </c>
      <c r="D1593" s="25">
        <v>0.15</v>
      </c>
      <c r="E1593" s="31"/>
      <c r="F1593" s="26" t="s">
        <v>537</v>
      </c>
      <c r="G1593" s="26" t="s">
        <v>126</v>
      </c>
      <c r="H1593" s="26" t="s">
        <v>349</v>
      </c>
      <c r="I1593" s="26" t="s">
        <v>538</v>
      </c>
      <c r="J1593" s="26" t="s">
        <v>539</v>
      </c>
      <c r="K1593" s="26" t="s">
        <v>269</v>
      </c>
      <c r="L1593" s="26" t="s">
        <v>351</v>
      </c>
      <c r="M1593" s="26" t="s">
        <v>303</v>
      </c>
      <c r="N1593" s="26">
        <v>90</v>
      </c>
      <c r="O1593" s="26">
        <f>2024-Inventory[[#This Row],[YrBlt]]</f>
        <v>89</v>
      </c>
      <c r="P1593" s="26">
        <f>2024-Inventory[[#This Row],[EffYr]]</f>
        <v>53</v>
      </c>
      <c r="Q1593" s="25">
        <v>1935</v>
      </c>
      <c r="R1593" s="25">
        <v>1971</v>
      </c>
      <c r="S1593" s="25">
        <v>1064</v>
      </c>
      <c r="T1593" s="32">
        <v>476</v>
      </c>
      <c r="U1593" s="25">
        <v>1064</v>
      </c>
      <c r="V1593" s="32">
        <f>Inventory[[#This Row],[Bsmt]]-Inventory[[#This Row],[FnBsmt]]</f>
        <v>0</v>
      </c>
      <c r="W1593" s="32">
        <v>1064</v>
      </c>
      <c r="X1593" s="27"/>
      <c r="Y1593" s="27">
        <f>Inventory[[#This Row],[MainFn]]+Inventory[[#This Row],[UpprFn]]+Inventory[[#This Row],[FnBsmt]]+Inventory[[#This Row],[AddFn]]</f>
        <v>2604</v>
      </c>
      <c r="Z1593" s="27">
        <v>3000</v>
      </c>
      <c r="AA1593" s="25">
        <v>8</v>
      </c>
      <c r="AB1593" s="27"/>
      <c r="AC1593" s="27"/>
      <c r="AD1593" s="31"/>
      <c r="AE1593" s="27"/>
      <c r="AF1593" s="27"/>
      <c r="AG1593" s="27"/>
      <c r="AH1593" s="27"/>
      <c r="AI1593" s="25">
        <v>329470</v>
      </c>
      <c r="AJ1593" s="25">
        <v>227334</v>
      </c>
      <c r="AK1593" s="25">
        <v>0</v>
      </c>
      <c r="AL1593" s="25">
        <v>353200</v>
      </c>
      <c r="AM1593" s="25">
        <v>48400</v>
      </c>
      <c r="AN1593" s="25">
        <v>304800</v>
      </c>
      <c r="AO1593" s="25">
        <v>0</v>
      </c>
      <c r="AP1593" s="25">
        <f>Lookups!$B$56*0</f>
        <v>0</v>
      </c>
      <c r="AQ1593" s="25">
        <f>Lookups!$B$56*1</f>
        <v>89850.625589999996</v>
      </c>
      <c r="AR1593" s="25">
        <f>Lookups!$B$57*Inventory[[#This Row],[LnAcres]]</f>
        <v>-60052.604136134301</v>
      </c>
      <c r="AS1593" s="25">
        <f>VLOOKUP(Inventory[[#This Row],[Qlty]],Lookups!$A$62:$E$75,2,FALSE)</f>
        <v>21557.329055999999</v>
      </c>
      <c r="AT1593" s="25">
        <f>VLOOKUP(Inventory[[#This Row],[Cnd]],Lookups!$A$76:$E$84,2,FALSE)</f>
        <v>197752.34721000001</v>
      </c>
      <c r="AU1593" s="25">
        <f>Inventory[[#This Row],[EffAge]]*Lookups!$B$85</f>
        <v>-11821.416826500001</v>
      </c>
      <c r="AV1593" s="25">
        <f>Inventory[[#This Row],[MainFn]]*Lookups!$B$86</f>
        <v>52570.824749127998</v>
      </c>
      <c r="AW1593" s="25">
        <f>Inventory[[#This Row],[UpprFn]]*Lookups!$B$87</f>
        <v>21318.337281836</v>
      </c>
      <c r="AX1593" s="25">
        <f>Inventory[[#This Row],[AddFn]]*Lookups!$B$88</f>
        <v>0</v>
      </c>
      <c r="AY1593" s="25">
        <f>Inventory[[#This Row],[Bsmt]]*Lookups!$B$89</f>
        <v>30943.136542807999</v>
      </c>
      <c r="AZ1593" s="25">
        <f>Inventory[[#This Row],[Fixtures]]*Lookups!$B$90</f>
        <v>30336.176841600001</v>
      </c>
      <c r="BA1593" s="25">
        <f>Inventory[[#This Row],[WdDeck]]*Lookups!$B$91</f>
        <v>0</v>
      </c>
      <c r="BB1593" s="25">
        <f>ROUND(Inventory[[#This Row],[25Det]],-2)</f>
        <v>0</v>
      </c>
      <c r="BC1593" s="25">
        <f>ROUND(SUM(Inventory[[#This Row],[Mdl Qlty]:[Mdl WdDeck]])+Inventory[[#This Row],[Mdl Res Intercept]],-2)</f>
        <v>342700</v>
      </c>
      <c r="BD1593" s="25">
        <f>ROUND(Inventory[[#This Row],[Mdl Land Intercept]]+Inventory[[#This Row],[Mdl LnAcres]],-2)</f>
        <v>29800</v>
      </c>
      <c r="BE1593" s="25">
        <f>Inventory[[#This Row],[Unadj Res Value]]+Inventory[[#This Row],[Unadj Det Value]]+Inventory[[#This Row],[Unadj Land Value]]</f>
        <v>372500</v>
      </c>
      <c r="BF1593" s="36">
        <f>(Inventory[[#This Row],[Unadj Total Value]]-Inventory[[#This Row],[24Final]])/Inventory[[#This Row],[24Final]]</f>
        <v>5.4643261608154019E-2</v>
      </c>
      <c r="BG1593" s="25">
        <f>VLOOKUP(Inventory[[#This Row],[Nbhd]],Lookups!$Q$2:$T$4,4,FALSE)</f>
        <v>0.99970000000000003</v>
      </c>
      <c r="BH1593" s="25">
        <f>VLOOKUP(Inventory[[#This Row],[Qlty]],Lookups!$O$7:$R$21,4,FALSE)</f>
        <v>1.0067999999999999</v>
      </c>
      <c r="BI1593" s="25">
        <f>VLOOKUP(Inventory[[#This Row],[Cnd]],Lookups!$T$7:$W$16,4,FALSE)</f>
        <v>0.99650000000000005</v>
      </c>
      <c r="BJ1593" s="25">
        <f>VLOOKUP(Inventory[[#This Row],[LivArea Range]],Lookups!$T$25:$W$37,4,FALSE)</f>
        <v>0.96179999999999999</v>
      </c>
      <c r="BK1593" s="25">
        <f>VLOOKUP(Inventory[[#This Row],[Decade]],Lookups!$O$25:$R$42,4,FALSE)</f>
        <v>0.98909999999999998</v>
      </c>
      <c r="BL1593" s="25">
        <f>Inventory[[#This Row],[Nbhd Adj]]*0.95</f>
        <v>0.94971499999999998</v>
      </c>
      <c r="BM1593" s="25">
        <f>Inventory[[#This Row],[Nbhd Adj]]*Inventory[[#This Row],[Quality Adj]]*Inventory[[#This Row],[Condition Adj]]*Inventory[[#This Row],[Living Area Adj]]*Inventory[[#This Row],[Decade Adj]]*0.95</f>
        <v>0.90643941515937176</v>
      </c>
      <c r="BN1593" s="25">
        <f>ROUND(SUM(Inventory[[#This Row],[Mdl Qlty]:[Mdl WdDeck]])+Inventory[[#This Row],[Mdl Res Intercept]]*Inventory[[#This Row],[Res Adj ]],-2)</f>
        <v>342700</v>
      </c>
      <c r="BO1593" s="25">
        <f>ROUND(Inventory[[#This Row],[25Det]]*Inventory[[#This Row],[Det/Nbhd Adj]],-2)</f>
        <v>0</v>
      </c>
      <c r="BP1593" s="25">
        <f>Inventory[[#This Row],[Adjusted Res]]+Inventory[[#This Row],[Adj Det ]]</f>
        <v>342700</v>
      </c>
      <c r="BQ1593" s="25">
        <f>ROUND((Inventory[[#This Row],[Mdl Land Intercept]]+Inventory[[#This Row],[Mdl LnAcres]])*Inventory[[#This Row],[Det/Nbhd Adj]],-2)</f>
        <v>28300</v>
      </c>
      <c r="BR1593" s="25">
        <f>Inventory[[#This Row],[Adjusted Impr Total]]+Inventory[[#This Row],[Adjusted Land Total]]</f>
        <v>371000</v>
      </c>
      <c r="BS1593" s="36">
        <f>IFERROR((Inventory[[#This Row],[Adjusted Impr Total]]-Inventory[[#This Row],[24Bldg]])/Inventory[[#This Row],[24Bldg]],0)</f>
        <v>0.12434383202099737</v>
      </c>
      <c r="BT1593" s="36">
        <f>(Inventory[[#This Row],[Adjusted Land Total]]-Inventory[[#This Row],[24Lnd]])/Inventory[[#This Row],[24Lnd]]</f>
        <v>-0.41528925619834711</v>
      </c>
      <c r="BU1593" s="36">
        <f>(Inventory[[#This Row],[Adjusted Total]]-Inventory[[#This Row],[24Final]])/Inventory[[#This Row],[24Final]]</f>
        <v>5.0396375990939976E-2</v>
      </c>
    </row>
    <row r="1594" spans="1:73" x14ac:dyDescent="0.3">
      <c r="A1594" s="25">
        <v>2025</v>
      </c>
      <c r="B1594" s="26" t="s">
        <v>2056</v>
      </c>
      <c r="C1594" s="26">
        <f>LN(Inventory[[#This Row],[Acres]])</f>
        <v>-1.7719568419318752</v>
      </c>
      <c r="D1594" s="25">
        <v>0.17</v>
      </c>
      <c r="E1594" s="31"/>
      <c r="F1594" s="26" t="s">
        <v>537</v>
      </c>
      <c r="G1594" s="26" t="s">
        <v>126</v>
      </c>
      <c r="H1594" s="26" t="s">
        <v>349</v>
      </c>
      <c r="I1594" s="26" t="s">
        <v>538</v>
      </c>
      <c r="J1594" s="26" t="s">
        <v>539</v>
      </c>
      <c r="K1594" s="26" t="s">
        <v>242</v>
      </c>
      <c r="L1594" s="26" t="s">
        <v>351</v>
      </c>
      <c r="M1594" s="26" t="s">
        <v>303</v>
      </c>
      <c r="N1594" s="26">
        <v>90</v>
      </c>
      <c r="O1594" s="26">
        <f>2024-Inventory[[#This Row],[YrBlt]]</f>
        <v>89</v>
      </c>
      <c r="P1594" s="26">
        <f>2024-Inventory[[#This Row],[EffYr]]</f>
        <v>53</v>
      </c>
      <c r="Q1594" s="25">
        <v>1935</v>
      </c>
      <c r="R1594" s="25">
        <v>1971</v>
      </c>
      <c r="S1594" s="25">
        <v>1066</v>
      </c>
      <c r="T1594" s="31"/>
      <c r="U1594" s="25">
        <v>1066</v>
      </c>
      <c r="V1594" s="25">
        <f>Inventory[[#This Row],[Bsmt]]-Inventory[[#This Row],[FnBsmt]]</f>
        <v>0</v>
      </c>
      <c r="W1594" s="25">
        <v>1066</v>
      </c>
      <c r="X1594" s="27"/>
      <c r="Y1594" s="27">
        <f>Inventory[[#This Row],[MainFn]]+Inventory[[#This Row],[UpprFn]]+Inventory[[#This Row],[FnBsmt]]+Inventory[[#This Row],[AddFn]]</f>
        <v>2132</v>
      </c>
      <c r="Z1594" s="27">
        <v>2500</v>
      </c>
      <c r="AA1594" s="25">
        <v>9</v>
      </c>
      <c r="AB1594" s="27"/>
      <c r="AC1594" s="27"/>
      <c r="AD1594" s="31"/>
      <c r="AE1594" s="27"/>
      <c r="AF1594" s="27"/>
      <c r="AG1594" s="27"/>
      <c r="AH1594" s="27"/>
      <c r="AI1594" s="25">
        <v>277284</v>
      </c>
      <c r="AJ1594" s="25">
        <v>191326</v>
      </c>
      <c r="AK1594" s="25">
        <v>0</v>
      </c>
      <c r="AL1594" s="25">
        <v>340300</v>
      </c>
      <c r="AM1594" s="25">
        <v>52700</v>
      </c>
      <c r="AN1594" s="25">
        <v>287600</v>
      </c>
      <c r="AO1594" s="25">
        <v>0</v>
      </c>
      <c r="AP1594" s="25">
        <f>Lookups!$B$56*0</f>
        <v>0</v>
      </c>
      <c r="AQ1594" s="25">
        <f>Lookups!$B$56*1</f>
        <v>89850.625589999996</v>
      </c>
      <c r="AR1594" s="25">
        <f>Lookups!$B$57*Inventory[[#This Row],[LnAcres]]</f>
        <v>-56090.612940989391</v>
      </c>
      <c r="AS1594" s="25">
        <f>VLOOKUP(Inventory[[#This Row],[Qlty]],Lookups!$A$62:$E$75,2,FALSE)</f>
        <v>21557.329055999999</v>
      </c>
      <c r="AT1594" s="25">
        <f>VLOOKUP(Inventory[[#This Row],[Cnd]],Lookups!$A$76:$E$84,2,FALSE)</f>
        <v>197752.34721000001</v>
      </c>
      <c r="AU1594" s="25">
        <f>Inventory[[#This Row],[EffAge]]*Lookups!$B$85</f>
        <v>-11821.416826500001</v>
      </c>
      <c r="AV1594" s="25">
        <f>Inventory[[#This Row],[MainFn]]*Lookups!$B$86</f>
        <v>52669.642088881999</v>
      </c>
      <c r="AW1594" s="25">
        <f>Inventory[[#This Row],[UpprFn]]*Lookups!$B$87</f>
        <v>0</v>
      </c>
      <c r="AX1594" s="25">
        <f>Inventory[[#This Row],[AddFn]]*Lookups!$B$88</f>
        <v>0</v>
      </c>
      <c r="AY1594" s="25">
        <f>Inventory[[#This Row],[Bsmt]]*Lookups!$B$89</f>
        <v>31001.300333301999</v>
      </c>
      <c r="AZ1594" s="25">
        <f>Inventory[[#This Row],[Fixtures]]*Lookups!$B$90</f>
        <v>34128.198946800003</v>
      </c>
      <c r="BA1594" s="25">
        <f>Inventory[[#This Row],[WdDeck]]*Lookups!$B$91</f>
        <v>0</v>
      </c>
      <c r="BB1594" s="25">
        <f>ROUND(Inventory[[#This Row],[25Det]],-2)</f>
        <v>0</v>
      </c>
      <c r="BC1594" s="25">
        <f>ROUND(SUM(Inventory[[#This Row],[Mdl Qlty]:[Mdl WdDeck]])+Inventory[[#This Row],[Mdl Res Intercept]],-2)</f>
        <v>325300</v>
      </c>
      <c r="BD1594" s="25">
        <f>ROUND(Inventory[[#This Row],[Mdl Land Intercept]]+Inventory[[#This Row],[Mdl LnAcres]],-2)</f>
        <v>33800</v>
      </c>
      <c r="BE1594" s="25">
        <f>Inventory[[#This Row],[Unadj Res Value]]+Inventory[[#This Row],[Unadj Det Value]]+Inventory[[#This Row],[Unadj Land Value]]</f>
        <v>359100</v>
      </c>
      <c r="BF1594" s="36">
        <f>(Inventory[[#This Row],[Unadj Total Value]]-Inventory[[#This Row],[24Final]])/Inventory[[#This Row],[24Final]]</f>
        <v>5.5245371730825742E-2</v>
      </c>
      <c r="BG1594" s="25">
        <f>VLOOKUP(Inventory[[#This Row],[Nbhd]],Lookups!$Q$2:$T$4,4,FALSE)</f>
        <v>0.99970000000000003</v>
      </c>
      <c r="BH1594" s="25">
        <f>VLOOKUP(Inventory[[#This Row],[Qlty]],Lookups!$O$7:$R$21,4,FALSE)</f>
        <v>1.0067999999999999</v>
      </c>
      <c r="BI1594" s="25">
        <f>VLOOKUP(Inventory[[#This Row],[Cnd]],Lookups!$T$7:$W$16,4,FALSE)</f>
        <v>0.99650000000000005</v>
      </c>
      <c r="BJ1594" s="25">
        <f>VLOOKUP(Inventory[[#This Row],[LivArea Range]],Lookups!$T$25:$W$37,4,FALSE)</f>
        <v>0.98919999999999997</v>
      </c>
      <c r="BK1594" s="25">
        <f>VLOOKUP(Inventory[[#This Row],[Decade]],Lookups!$O$25:$R$42,4,FALSE)</f>
        <v>0.98909999999999998</v>
      </c>
      <c r="BL1594" s="25">
        <f>Inventory[[#This Row],[Nbhd Adj]]*0.95</f>
        <v>0.94971499999999998</v>
      </c>
      <c r="BM1594" s="25">
        <f>Inventory[[#This Row],[Nbhd Adj]]*Inventory[[#This Row],[Quality Adj]]*Inventory[[#This Row],[Condition Adj]]*Inventory[[#This Row],[Living Area Adj]]*Inventory[[#This Row],[Decade Adj]]*0.95</f>
        <v>0.9322622889120924</v>
      </c>
      <c r="BN1594" s="25">
        <f>ROUND(SUM(Inventory[[#This Row],[Mdl Qlty]:[Mdl WdDeck]])+Inventory[[#This Row],[Mdl Res Intercept]]*Inventory[[#This Row],[Res Adj ]],-2)</f>
        <v>325300</v>
      </c>
      <c r="BO1594" s="25">
        <f>ROUND(Inventory[[#This Row],[25Det]]*Inventory[[#This Row],[Det/Nbhd Adj]],-2)</f>
        <v>0</v>
      </c>
      <c r="BP1594" s="25">
        <f>Inventory[[#This Row],[Adjusted Res]]+Inventory[[#This Row],[Adj Det ]]</f>
        <v>325300</v>
      </c>
      <c r="BQ1594" s="25">
        <f>ROUND((Inventory[[#This Row],[Mdl Land Intercept]]+Inventory[[#This Row],[Mdl LnAcres]])*Inventory[[#This Row],[Det/Nbhd Adj]],-2)</f>
        <v>32100</v>
      </c>
      <c r="BR1594" s="25">
        <f>Inventory[[#This Row],[Adjusted Impr Total]]+Inventory[[#This Row],[Adjusted Land Total]]</f>
        <v>357400</v>
      </c>
      <c r="BS1594" s="36">
        <f>IFERROR((Inventory[[#This Row],[Adjusted Impr Total]]-Inventory[[#This Row],[24Bldg]])/Inventory[[#This Row],[24Bldg]],0)</f>
        <v>0.13108484005563281</v>
      </c>
      <c r="BT1594" s="36">
        <f>(Inventory[[#This Row],[Adjusted Land Total]]-Inventory[[#This Row],[24Lnd]])/Inventory[[#This Row],[24Lnd]]</f>
        <v>-0.39089184060721061</v>
      </c>
      <c r="BU1594" s="36">
        <f>(Inventory[[#This Row],[Adjusted Total]]-Inventory[[#This Row],[24Final]])/Inventory[[#This Row],[24Final]]</f>
        <v>5.0249779606229797E-2</v>
      </c>
    </row>
    <row r="1595" spans="1:73" x14ac:dyDescent="0.3">
      <c r="A1595" s="25">
        <v>2025</v>
      </c>
      <c r="B1595" s="26" t="s">
        <v>1484</v>
      </c>
      <c r="C1595" s="26">
        <f>LN(Inventory[[#This Row],[Acres]])</f>
        <v>-1.8325814637483102</v>
      </c>
      <c r="D1595" s="25">
        <v>0.16</v>
      </c>
      <c r="E1595" s="32">
        <v>6848</v>
      </c>
      <c r="F1595" s="26" t="s">
        <v>537</v>
      </c>
      <c r="G1595" s="26" t="s">
        <v>126</v>
      </c>
      <c r="H1595" s="26" t="s">
        <v>349</v>
      </c>
      <c r="I1595" s="26" t="s">
        <v>538</v>
      </c>
      <c r="J1595" s="26" t="s">
        <v>539</v>
      </c>
      <c r="K1595" s="26" t="s">
        <v>242</v>
      </c>
      <c r="L1595" s="26" t="s">
        <v>205</v>
      </c>
      <c r="M1595" s="26" t="s">
        <v>323</v>
      </c>
      <c r="N1595" s="26">
        <v>90</v>
      </c>
      <c r="O1595" s="26">
        <f>2024-Inventory[[#This Row],[YrBlt]]</f>
        <v>89</v>
      </c>
      <c r="P1595" s="26">
        <f>2024-Inventory[[#This Row],[EffYr]]</f>
        <v>53</v>
      </c>
      <c r="Q1595" s="25">
        <v>1935</v>
      </c>
      <c r="R1595" s="25">
        <v>1971</v>
      </c>
      <c r="S1595" s="25">
        <v>806</v>
      </c>
      <c r="T1595" s="27"/>
      <c r="U1595" s="25">
        <v>806</v>
      </c>
      <c r="V1595" s="25">
        <f>Inventory[[#This Row],[Bsmt]]-Inventory[[#This Row],[FnBsmt]]</f>
        <v>403</v>
      </c>
      <c r="W1595" s="25">
        <v>403</v>
      </c>
      <c r="X1595" s="27"/>
      <c r="Y1595" s="27">
        <f>Inventory[[#This Row],[MainFn]]+Inventory[[#This Row],[UpprFn]]+Inventory[[#This Row],[FnBsmt]]+Inventory[[#This Row],[AddFn]]</f>
        <v>1209</v>
      </c>
      <c r="Z1595" s="27">
        <v>1500</v>
      </c>
      <c r="AA1595" s="25">
        <v>5</v>
      </c>
      <c r="AB1595" s="27"/>
      <c r="AC1595" s="27"/>
      <c r="AD1595" s="32">
        <v>234</v>
      </c>
      <c r="AE1595" s="27"/>
      <c r="AF1595" s="27"/>
      <c r="AG1595" s="27"/>
      <c r="AH1595" s="27"/>
      <c r="AI1595" s="25">
        <v>185381</v>
      </c>
      <c r="AJ1595" s="25">
        <v>124205</v>
      </c>
      <c r="AK1595" s="25">
        <v>6724</v>
      </c>
      <c r="AL1595" s="25">
        <v>262200</v>
      </c>
      <c r="AM1595" s="25">
        <v>50600</v>
      </c>
      <c r="AN1595" s="25">
        <v>211600</v>
      </c>
      <c r="AO1595" s="25">
        <v>0</v>
      </c>
      <c r="AP1595" s="25">
        <f>Lookups!$B$56*0</f>
        <v>0</v>
      </c>
      <c r="AQ1595" s="25">
        <f>Lookups!$B$56*1</f>
        <v>89850.625589999996</v>
      </c>
      <c r="AR1595" s="25">
        <f>Lookups!$B$57*Inventory[[#This Row],[LnAcres]]</f>
        <v>-58009.662049032086</v>
      </c>
      <c r="AS1595" s="25">
        <f>VLOOKUP(Inventory[[#This Row],[Qlty]],Lookups!$A$62:$E$75,2,FALSE)</f>
        <v>0</v>
      </c>
      <c r="AT1595" s="25">
        <f>VLOOKUP(Inventory[[#This Row],[Cnd]],Lookups!$A$76:$E$84,2,FALSE)</f>
        <v>160472.20319</v>
      </c>
      <c r="AU1595" s="25">
        <f>Inventory[[#This Row],[EffAge]]*Lookups!$B$85</f>
        <v>-11821.416826500001</v>
      </c>
      <c r="AV1595" s="25">
        <f>Inventory[[#This Row],[MainFn]]*Lookups!$B$86</f>
        <v>39823.387920861998</v>
      </c>
      <c r="AW1595" s="25">
        <f>Inventory[[#This Row],[UpprFn]]*Lookups!$B$87</f>
        <v>0</v>
      </c>
      <c r="AX1595" s="25">
        <f>Inventory[[#This Row],[AddFn]]*Lookups!$B$88</f>
        <v>0</v>
      </c>
      <c r="AY1595" s="25">
        <f>Inventory[[#This Row],[Bsmt]]*Lookups!$B$89</f>
        <v>23440.007569081998</v>
      </c>
      <c r="AZ1595" s="25">
        <f>Inventory[[#This Row],[Fixtures]]*Lookups!$B$90</f>
        <v>18960.110526</v>
      </c>
      <c r="BA1595" s="25">
        <f>Inventory[[#This Row],[WdDeck]]*Lookups!$B$91</f>
        <v>7791.1505745840004</v>
      </c>
      <c r="BB1595" s="25">
        <f>ROUND(Inventory[[#This Row],[25Det]],-2)</f>
        <v>6700</v>
      </c>
      <c r="BC1595" s="25">
        <f>ROUND(SUM(Inventory[[#This Row],[Mdl Qlty]:[Mdl WdDeck]])+Inventory[[#This Row],[Mdl Res Intercept]],-2)</f>
        <v>238700</v>
      </c>
      <c r="BD1595" s="25">
        <f>ROUND(Inventory[[#This Row],[Mdl Land Intercept]]+Inventory[[#This Row],[Mdl LnAcres]],-2)</f>
        <v>31800</v>
      </c>
      <c r="BE1595" s="25">
        <f>Inventory[[#This Row],[Unadj Res Value]]+Inventory[[#This Row],[Unadj Det Value]]+Inventory[[#This Row],[Unadj Land Value]]</f>
        <v>277200</v>
      </c>
      <c r="BF1595" s="36">
        <f>(Inventory[[#This Row],[Unadj Total Value]]-Inventory[[#This Row],[24Final]])/Inventory[[#This Row],[24Final]]</f>
        <v>5.7208237986270026E-2</v>
      </c>
      <c r="BG1595" s="25">
        <f>VLOOKUP(Inventory[[#This Row],[Nbhd]],Lookups!$Q$2:$T$4,4,FALSE)</f>
        <v>0.99970000000000003</v>
      </c>
      <c r="BH1595" s="25">
        <f>VLOOKUP(Inventory[[#This Row],[Qlty]],Lookups!$O$7:$R$21,4,FALSE)</f>
        <v>0.99180000000000001</v>
      </c>
      <c r="BI1595" s="25">
        <f>VLOOKUP(Inventory[[#This Row],[Cnd]],Lookups!$T$7:$W$16,4,FALSE)</f>
        <v>0.99729999999999996</v>
      </c>
      <c r="BJ1595" s="25">
        <f>VLOOKUP(Inventory[[#This Row],[LivArea Range]],Lookups!$T$25:$W$37,4,FALSE)</f>
        <v>1.0157</v>
      </c>
      <c r="BK1595" s="25">
        <f>VLOOKUP(Inventory[[#This Row],[Decade]],Lookups!$O$25:$R$42,4,FALSE)</f>
        <v>0.98909999999999998</v>
      </c>
      <c r="BL1595" s="25">
        <f>Inventory[[#This Row],[Nbhd Adj]]*0.95</f>
        <v>0.94971499999999998</v>
      </c>
      <c r="BM1595" s="25">
        <f>Inventory[[#This Row],[Nbhd Adj]]*Inventory[[#This Row],[Quality Adj]]*Inventory[[#This Row],[Condition Adj]]*Inventory[[#This Row],[Living Area Adj]]*Inventory[[#This Row],[Decade Adj]]*0.95</f>
        <v>0.94373242022269987</v>
      </c>
      <c r="BN1595" s="25">
        <f>ROUND(SUM(Inventory[[#This Row],[Mdl Qlty]:[Mdl WdDeck]])+Inventory[[#This Row],[Mdl Res Intercept]]*Inventory[[#This Row],[Res Adj ]],-2)</f>
        <v>238700</v>
      </c>
      <c r="BO1595" s="25">
        <f>ROUND(Inventory[[#This Row],[25Det]]*Inventory[[#This Row],[Det/Nbhd Adj]],-2)</f>
        <v>6400</v>
      </c>
      <c r="BP1595" s="25">
        <f>Inventory[[#This Row],[Adjusted Res]]+Inventory[[#This Row],[Adj Det ]]</f>
        <v>245100</v>
      </c>
      <c r="BQ1595" s="25">
        <f>ROUND((Inventory[[#This Row],[Mdl Land Intercept]]+Inventory[[#This Row],[Mdl LnAcres]])*Inventory[[#This Row],[Det/Nbhd Adj]],-2)</f>
        <v>30200</v>
      </c>
      <c r="BR1595" s="25">
        <f>Inventory[[#This Row],[Adjusted Impr Total]]+Inventory[[#This Row],[Adjusted Land Total]]</f>
        <v>275300</v>
      </c>
      <c r="BS1595" s="36">
        <f>IFERROR((Inventory[[#This Row],[Adjusted Impr Total]]-Inventory[[#This Row],[24Bldg]])/Inventory[[#This Row],[24Bldg]],0)</f>
        <v>0.15831758034026466</v>
      </c>
      <c r="BT1595" s="36">
        <f>(Inventory[[#This Row],[Adjusted Land Total]]-Inventory[[#This Row],[24Lnd]])/Inventory[[#This Row],[24Lnd]]</f>
        <v>-0.40316205533596838</v>
      </c>
      <c r="BU1595" s="36">
        <f>(Inventory[[#This Row],[Adjusted Total]]-Inventory[[#This Row],[24Final]])/Inventory[[#This Row],[24Final]]</f>
        <v>4.9961861174675819E-2</v>
      </c>
    </row>
    <row r="1596" spans="1:73" x14ac:dyDescent="0.3">
      <c r="A1596" s="25">
        <v>2025</v>
      </c>
      <c r="B1596" s="26" t="s">
        <v>2524</v>
      </c>
      <c r="C1596" s="26">
        <f>LN(Inventory[[#This Row],[Acres]])</f>
        <v>-1.7719568419318752</v>
      </c>
      <c r="D1596" s="25">
        <v>0.17</v>
      </c>
      <c r="E1596" s="27"/>
      <c r="F1596" s="26" t="s">
        <v>537</v>
      </c>
      <c r="G1596" s="26" t="s">
        <v>126</v>
      </c>
      <c r="H1596" s="26" t="s">
        <v>349</v>
      </c>
      <c r="I1596" s="26" t="s">
        <v>538</v>
      </c>
      <c r="J1596" s="26" t="s">
        <v>539</v>
      </c>
      <c r="K1596" s="26" t="s">
        <v>241</v>
      </c>
      <c r="L1596" s="26" t="s">
        <v>351</v>
      </c>
      <c r="M1596" s="26" t="s">
        <v>323</v>
      </c>
      <c r="N1596" s="26">
        <v>90</v>
      </c>
      <c r="O1596" s="26">
        <f>2024-Inventory[[#This Row],[YrBlt]]</f>
        <v>89</v>
      </c>
      <c r="P1596" s="26">
        <f>2024-Inventory[[#This Row],[EffYr]]</f>
        <v>53</v>
      </c>
      <c r="Q1596" s="25">
        <v>1935</v>
      </c>
      <c r="R1596" s="25">
        <v>1971</v>
      </c>
      <c r="S1596" s="25">
        <v>1260</v>
      </c>
      <c r="T1596" s="31"/>
      <c r="U1596" s="31"/>
      <c r="V1596" s="27">
        <f>Inventory[[#This Row],[Bsmt]]-Inventory[[#This Row],[FnBsmt]]</f>
        <v>0</v>
      </c>
      <c r="W1596" s="27"/>
      <c r="X1596" s="27"/>
      <c r="Y1596" s="27">
        <f>Inventory[[#This Row],[MainFn]]+Inventory[[#This Row],[UpprFn]]+Inventory[[#This Row],[FnBsmt]]+Inventory[[#This Row],[AddFn]]</f>
        <v>1260</v>
      </c>
      <c r="Z1596" s="27">
        <v>1500</v>
      </c>
      <c r="AA1596" s="25">
        <v>7</v>
      </c>
      <c r="AB1596" s="32">
        <v>336</v>
      </c>
      <c r="AC1596" s="27"/>
      <c r="AD1596" s="31"/>
      <c r="AE1596" s="27"/>
      <c r="AF1596" s="27"/>
      <c r="AG1596" s="27"/>
      <c r="AH1596" s="27"/>
      <c r="AI1596" s="25">
        <v>227765</v>
      </c>
      <c r="AJ1596" s="25">
        <v>152603</v>
      </c>
      <c r="AK1596" s="25">
        <v>0</v>
      </c>
      <c r="AL1596" s="25">
        <v>277400</v>
      </c>
      <c r="AM1596" s="25">
        <v>52700</v>
      </c>
      <c r="AN1596" s="25">
        <v>224700</v>
      </c>
      <c r="AO1596" s="25">
        <v>0</v>
      </c>
      <c r="AP1596" s="25">
        <f>Lookups!$B$56*0</f>
        <v>0</v>
      </c>
      <c r="AQ1596" s="25">
        <f>Lookups!$B$56*1</f>
        <v>89850.625589999996</v>
      </c>
      <c r="AR1596" s="25">
        <f>Lookups!$B$57*Inventory[[#This Row],[LnAcres]]</f>
        <v>-56090.612940989391</v>
      </c>
      <c r="AS1596" s="25">
        <f>VLOOKUP(Inventory[[#This Row],[Qlty]],Lookups!$A$62:$E$75,2,FALSE)</f>
        <v>21557.329055999999</v>
      </c>
      <c r="AT1596" s="25">
        <f>VLOOKUP(Inventory[[#This Row],[Cnd]],Lookups!$A$76:$E$84,2,FALSE)</f>
        <v>160472.20319</v>
      </c>
      <c r="AU1596" s="25">
        <f>Inventory[[#This Row],[EffAge]]*Lookups!$B$85</f>
        <v>-11821.416826500001</v>
      </c>
      <c r="AV1596" s="25">
        <f>Inventory[[#This Row],[MainFn]]*Lookups!$B$86</f>
        <v>62254.924045020001</v>
      </c>
      <c r="AW1596" s="25">
        <f>Inventory[[#This Row],[UpprFn]]*Lookups!$B$87</f>
        <v>0</v>
      </c>
      <c r="AX1596" s="25">
        <f>Inventory[[#This Row],[AddFn]]*Lookups!$B$88</f>
        <v>0</v>
      </c>
      <c r="AY1596" s="25">
        <f>Inventory[[#This Row],[Bsmt]]*Lookups!$B$89</f>
        <v>0</v>
      </c>
      <c r="AZ1596" s="25">
        <f>Inventory[[#This Row],[Fixtures]]*Lookups!$B$90</f>
        <v>26544.1547364</v>
      </c>
      <c r="BA1596" s="25">
        <f>Inventory[[#This Row],[WdDeck]]*Lookups!$B$91</f>
        <v>0</v>
      </c>
      <c r="BB1596" s="25">
        <f>ROUND(Inventory[[#This Row],[25Det]],-2)</f>
        <v>0</v>
      </c>
      <c r="BC1596" s="25">
        <f>ROUND(SUM(Inventory[[#This Row],[Mdl Qlty]:[Mdl WdDeck]])+Inventory[[#This Row],[Mdl Res Intercept]],-2)</f>
        <v>259000</v>
      </c>
      <c r="BD1596" s="25">
        <f>ROUND(Inventory[[#This Row],[Mdl Land Intercept]]+Inventory[[#This Row],[Mdl LnAcres]],-2)</f>
        <v>33800</v>
      </c>
      <c r="BE1596" s="25">
        <f>Inventory[[#This Row],[Unadj Res Value]]+Inventory[[#This Row],[Unadj Det Value]]+Inventory[[#This Row],[Unadj Land Value]]</f>
        <v>292800</v>
      </c>
      <c r="BF1596" s="36">
        <f>(Inventory[[#This Row],[Unadj Total Value]]-Inventory[[#This Row],[24Final]])/Inventory[[#This Row],[24Final]]</f>
        <v>5.5515501081470797E-2</v>
      </c>
      <c r="BG1596" s="25">
        <f>VLOOKUP(Inventory[[#This Row],[Nbhd]],Lookups!$Q$2:$T$4,4,FALSE)</f>
        <v>0.99970000000000003</v>
      </c>
      <c r="BH1596" s="25">
        <f>VLOOKUP(Inventory[[#This Row],[Qlty]],Lookups!$O$7:$R$21,4,FALSE)</f>
        <v>1.0067999999999999</v>
      </c>
      <c r="BI1596" s="25">
        <f>VLOOKUP(Inventory[[#This Row],[Cnd]],Lookups!$T$7:$W$16,4,FALSE)</f>
        <v>0.99729999999999996</v>
      </c>
      <c r="BJ1596" s="25">
        <f>VLOOKUP(Inventory[[#This Row],[LivArea Range]],Lookups!$T$25:$W$37,4,FALSE)</f>
        <v>1.0157</v>
      </c>
      <c r="BK1596" s="25">
        <f>VLOOKUP(Inventory[[#This Row],[Decade]],Lookups!$O$25:$R$42,4,FALSE)</f>
        <v>0.98909999999999998</v>
      </c>
      <c r="BL1596" s="25">
        <f>Inventory[[#This Row],[Nbhd Adj]]*0.95</f>
        <v>0.94971499999999998</v>
      </c>
      <c r="BM1596" s="25">
        <f>Inventory[[#This Row],[Nbhd Adj]]*Inventory[[#This Row],[Quality Adj]]*Inventory[[#This Row],[Condition Adj]]*Inventory[[#This Row],[Living Area Adj]]*Inventory[[#This Row],[Decade Adj]]*0.95</f>
        <v>0.95800544533193577</v>
      </c>
      <c r="BN1596" s="25">
        <f>ROUND(SUM(Inventory[[#This Row],[Mdl Qlty]:[Mdl WdDeck]])+Inventory[[#This Row],[Mdl Res Intercept]]*Inventory[[#This Row],[Res Adj ]],-2)</f>
        <v>259000</v>
      </c>
      <c r="BO1596" s="25">
        <f>ROUND(Inventory[[#This Row],[25Det]]*Inventory[[#This Row],[Det/Nbhd Adj]],-2)</f>
        <v>0</v>
      </c>
      <c r="BP1596" s="25">
        <f>Inventory[[#This Row],[Adjusted Res]]+Inventory[[#This Row],[Adj Det ]]</f>
        <v>259000</v>
      </c>
      <c r="BQ1596" s="25">
        <f>ROUND((Inventory[[#This Row],[Mdl Land Intercept]]+Inventory[[#This Row],[Mdl LnAcres]])*Inventory[[#This Row],[Det/Nbhd Adj]],-2)</f>
        <v>32100</v>
      </c>
      <c r="BR1596" s="25">
        <f>Inventory[[#This Row],[Adjusted Impr Total]]+Inventory[[#This Row],[Adjusted Land Total]]</f>
        <v>291100</v>
      </c>
      <c r="BS1596" s="36">
        <f>IFERROR((Inventory[[#This Row],[Adjusted Impr Total]]-Inventory[[#This Row],[24Bldg]])/Inventory[[#This Row],[24Bldg]],0)</f>
        <v>0.15264797507788161</v>
      </c>
      <c r="BT1596" s="36">
        <f>(Inventory[[#This Row],[Adjusted Land Total]]-Inventory[[#This Row],[24Lnd]])/Inventory[[#This Row],[24Lnd]]</f>
        <v>-0.39089184060721061</v>
      </c>
      <c r="BU1596" s="36">
        <f>(Inventory[[#This Row],[Adjusted Total]]-Inventory[[#This Row],[24Final]])/Inventory[[#This Row],[24Final]]</f>
        <v>4.9387166546503242E-2</v>
      </c>
    </row>
    <row r="1597" spans="1:73" x14ac:dyDescent="0.3">
      <c r="A1597" s="25">
        <v>2025</v>
      </c>
      <c r="B1597" s="26" t="s">
        <v>2648</v>
      </c>
      <c r="C1597" s="26">
        <f>LN(Inventory[[#This Row],[Acres]])</f>
        <v>-1.8325814637483102</v>
      </c>
      <c r="D1597" s="25">
        <v>0.16</v>
      </c>
      <c r="E1597" s="27"/>
      <c r="F1597" s="26" t="s">
        <v>537</v>
      </c>
      <c r="G1597" s="26" t="s">
        <v>126</v>
      </c>
      <c r="H1597" s="26" t="s">
        <v>349</v>
      </c>
      <c r="I1597" s="26" t="s">
        <v>538</v>
      </c>
      <c r="J1597" s="26" t="s">
        <v>539</v>
      </c>
      <c r="K1597" s="26" t="s">
        <v>147</v>
      </c>
      <c r="L1597" s="26" t="s">
        <v>351</v>
      </c>
      <c r="M1597" s="26" t="s">
        <v>323</v>
      </c>
      <c r="N1597" s="26">
        <v>90</v>
      </c>
      <c r="O1597" s="26">
        <f>2024-Inventory[[#This Row],[YrBlt]]</f>
        <v>89</v>
      </c>
      <c r="P1597" s="26">
        <f>2024-Inventory[[#This Row],[EffYr]]</f>
        <v>53</v>
      </c>
      <c r="Q1597" s="25">
        <v>1935</v>
      </c>
      <c r="R1597" s="25">
        <v>1971</v>
      </c>
      <c r="S1597" s="25">
        <v>906</v>
      </c>
      <c r="T1597" s="32">
        <v>384</v>
      </c>
      <c r="U1597" s="25">
        <v>906</v>
      </c>
      <c r="V1597" s="25">
        <f>Inventory[[#This Row],[Bsmt]]-Inventory[[#This Row],[FnBsmt]]</f>
        <v>453</v>
      </c>
      <c r="W1597" s="25">
        <v>453</v>
      </c>
      <c r="X1597" s="27"/>
      <c r="Y1597" s="27">
        <f>Inventory[[#This Row],[MainFn]]+Inventory[[#This Row],[UpprFn]]+Inventory[[#This Row],[FnBsmt]]+Inventory[[#This Row],[AddFn]]</f>
        <v>1743</v>
      </c>
      <c r="Z1597" s="27">
        <v>2000</v>
      </c>
      <c r="AA1597" s="25">
        <v>7</v>
      </c>
      <c r="AB1597" s="31"/>
      <c r="AC1597" s="27"/>
      <c r="AD1597" s="27"/>
      <c r="AE1597" s="27"/>
      <c r="AF1597" s="27"/>
      <c r="AG1597" s="27"/>
      <c r="AH1597" s="27"/>
      <c r="AI1597" s="25">
        <v>259556</v>
      </c>
      <c r="AJ1597" s="25">
        <v>173903</v>
      </c>
      <c r="AK1597" s="25">
        <v>6926</v>
      </c>
      <c r="AL1597" s="25">
        <v>306800</v>
      </c>
      <c r="AM1597" s="25">
        <v>50600</v>
      </c>
      <c r="AN1597" s="25">
        <v>256200</v>
      </c>
      <c r="AO1597" s="25">
        <v>0</v>
      </c>
      <c r="AP1597" s="25">
        <f>Lookups!$B$56*0</f>
        <v>0</v>
      </c>
      <c r="AQ1597" s="25">
        <f>Lookups!$B$56*1</f>
        <v>89850.625589999996</v>
      </c>
      <c r="AR1597" s="25">
        <f>Lookups!$B$57*Inventory[[#This Row],[LnAcres]]</f>
        <v>-58009.662049032086</v>
      </c>
      <c r="AS1597" s="25">
        <f>VLOOKUP(Inventory[[#This Row],[Qlty]],Lookups!$A$62:$E$75,2,FALSE)</f>
        <v>21557.329055999999</v>
      </c>
      <c r="AT1597" s="25">
        <f>VLOOKUP(Inventory[[#This Row],[Cnd]],Lookups!$A$76:$E$84,2,FALSE)</f>
        <v>160472.20319</v>
      </c>
      <c r="AU1597" s="25">
        <f>Inventory[[#This Row],[EffAge]]*Lookups!$B$85</f>
        <v>-11821.416826500001</v>
      </c>
      <c r="AV1597" s="25">
        <f>Inventory[[#This Row],[MainFn]]*Lookups!$B$86</f>
        <v>44764.254908561998</v>
      </c>
      <c r="AW1597" s="25">
        <f>Inventory[[#This Row],[UpprFn]]*Lookups!$B$87</f>
        <v>17197.986378623998</v>
      </c>
      <c r="AX1597" s="25">
        <f>Inventory[[#This Row],[AddFn]]*Lookups!$B$88</f>
        <v>0</v>
      </c>
      <c r="AY1597" s="25">
        <f>Inventory[[#This Row],[Bsmt]]*Lookups!$B$89</f>
        <v>26348.197093781997</v>
      </c>
      <c r="AZ1597" s="25">
        <f>Inventory[[#This Row],[Fixtures]]*Lookups!$B$90</f>
        <v>26544.1547364</v>
      </c>
      <c r="BA1597" s="25">
        <f>Inventory[[#This Row],[WdDeck]]*Lookups!$B$91</f>
        <v>0</v>
      </c>
      <c r="BB1597" s="25">
        <f>ROUND(Inventory[[#This Row],[25Det]],-2)</f>
        <v>6900</v>
      </c>
      <c r="BC1597" s="25">
        <f>ROUND(SUM(Inventory[[#This Row],[Mdl Qlty]:[Mdl WdDeck]])+Inventory[[#This Row],[Mdl Res Intercept]],-2)</f>
        <v>285100</v>
      </c>
      <c r="BD1597" s="25">
        <f>ROUND(Inventory[[#This Row],[Mdl Land Intercept]]+Inventory[[#This Row],[Mdl LnAcres]],-2)</f>
        <v>31800</v>
      </c>
      <c r="BE1597" s="25">
        <f>Inventory[[#This Row],[Unadj Res Value]]+Inventory[[#This Row],[Unadj Det Value]]+Inventory[[#This Row],[Unadj Land Value]]</f>
        <v>323800</v>
      </c>
      <c r="BF1597" s="36">
        <f>(Inventory[[#This Row],[Unadj Total Value]]-Inventory[[#This Row],[24Final]])/Inventory[[#This Row],[24Final]]</f>
        <v>5.5410691003911342E-2</v>
      </c>
      <c r="BG1597" s="25">
        <f>VLOOKUP(Inventory[[#This Row],[Nbhd]],Lookups!$Q$2:$T$4,4,FALSE)</f>
        <v>0.99970000000000003</v>
      </c>
      <c r="BH1597" s="25">
        <f>VLOOKUP(Inventory[[#This Row],[Qlty]],Lookups!$O$7:$R$21,4,FALSE)</f>
        <v>1.0067999999999999</v>
      </c>
      <c r="BI1597" s="25">
        <f>VLOOKUP(Inventory[[#This Row],[Cnd]],Lookups!$T$7:$W$16,4,FALSE)</f>
        <v>0.99729999999999996</v>
      </c>
      <c r="BJ1597" s="25">
        <f>VLOOKUP(Inventory[[#This Row],[LivArea Range]],Lookups!$T$25:$W$37,4,FALSE)</f>
        <v>1.0093000000000001</v>
      </c>
      <c r="BK1597" s="25">
        <f>VLOOKUP(Inventory[[#This Row],[Decade]],Lookups!$O$25:$R$42,4,FALSE)</f>
        <v>0.98909999999999998</v>
      </c>
      <c r="BL1597" s="25">
        <f>Inventory[[#This Row],[Nbhd Adj]]*0.95</f>
        <v>0.94971499999999998</v>
      </c>
      <c r="BM1597" s="25">
        <f>Inventory[[#This Row],[Nbhd Adj]]*Inventory[[#This Row],[Quality Adj]]*Inventory[[#This Row],[Condition Adj]]*Inventory[[#This Row],[Living Area Adj]]*Inventory[[#This Row],[Decade Adj]]*0.95</f>
        <v>0.95196898294134369</v>
      </c>
      <c r="BN1597" s="25">
        <f>ROUND(SUM(Inventory[[#This Row],[Mdl Qlty]:[Mdl WdDeck]])+Inventory[[#This Row],[Mdl Res Intercept]]*Inventory[[#This Row],[Res Adj ]],-2)</f>
        <v>285100</v>
      </c>
      <c r="BO1597" s="25">
        <f>ROUND(Inventory[[#This Row],[25Det]]*Inventory[[#This Row],[Det/Nbhd Adj]],-2)</f>
        <v>6600</v>
      </c>
      <c r="BP1597" s="25">
        <f>Inventory[[#This Row],[Adjusted Res]]+Inventory[[#This Row],[Adj Det ]]</f>
        <v>291700</v>
      </c>
      <c r="BQ1597" s="25">
        <f>ROUND((Inventory[[#This Row],[Mdl Land Intercept]]+Inventory[[#This Row],[Mdl LnAcres]])*Inventory[[#This Row],[Det/Nbhd Adj]],-2)</f>
        <v>30200</v>
      </c>
      <c r="BR1597" s="25">
        <f>Inventory[[#This Row],[Adjusted Impr Total]]+Inventory[[#This Row],[Adjusted Land Total]]</f>
        <v>321900</v>
      </c>
      <c r="BS1597" s="36">
        <f>IFERROR((Inventory[[#This Row],[Adjusted Impr Total]]-Inventory[[#This Row],[24Bldg]])/Inventory[[#This Row],[24Bldg]],0)</f>
        <v>0.13856362217017953</v>
      </c>
      <c r="BT1597" s="36">
        <f>(Inventory[[#This Row],[Adjusted Land Total]]-Inventory[[#This Row],[24Lnd]])/Inventory[[#This Row],[24Lnd]]</f>
        <v>-0.40316205533596838</v>
      </c>
      <c r="BU1597" s="36">
        <f>(Inventory[[#This Row],[Adjusted Total]]-Inventory[[#This Row],[24Final]])/Inventory[[#This Row],[24Final]]</f>
        <v>4.921773142112125E-2</v>
      </c>
    </row>
    <row r="1598" spans="1:73" x14ac:dyDescent="0.3">
      <c r="A1598" s="25">
        <v>2025</v>
      </c>
      <c r="B1598" s="26" t="s">
        <v>2728</v>
      </c>
      <c r="C1598" s="26">
        <f>LN(Inventory[[#This Row],[Acres]])</f>
        <v>-1.4696759700589417</v>
      </c>
      <c r="D1598" s="25">
        <v>0.23</v>
      </c>
      <c r="E1598" s="27"/>
      <c r="F1598" s="26" t="s">
        <v>537</v>
      </c>
      <c r="G1598" s="26" t="s">
        <v>126</v>
      </c>
      <c r="H1598" s="26" t="s">
        <v>349</v>
      </c>
      <c r="I1598" s="26" t="s">
        <v>538</v>
      </c>
      <c r="J1598" s="26" t="s">
        <v>539</v>
      </c>
      <c r="K1598" s="26" t="s">
        <v>147</v>
      </c>
      <c r="L1598" s="26" t="s">
        <v>351</v>
      </c>
      <c r="M1598" s="26" t="s">
        <v>303</v>
      </c>
      <c r="N1598" s="26">
        <v>90</v>
      </c>
      <c r="O1598" s="26">
        <f>2024-Inventory[[#This Row],[YrBlt]]</f>
        <v>89</v>
      </c>
      <c r="P1598" s="26">
        <f>2024-Inventory[[#This Row],[EffYr]]</f>
        <v>53</v>
      </c>
      <c r="Q1598" s="25">
        <v>1935</v>
      </c>
      <c r="R1598" s="25">
        <v>1971</v>
      </c>
      <c r="S1598" s="25">
        <v>768</v>
      </c>
      <c r="T1598" s="32">
        <v>384</v>
      </c>
      <c r="U1598" s="25">
        <v>768</v>
      </c>
      <c r="V1598" s="25">
        <f>Inventory[[#This Row],[Bsmt]]-Inventory[[#This Row],[FnBsmt]]</f>
        <v>0</v>
      </c>
      <c r="W1598" s="25">
        <v>768</v>
      </c>
      <c r="X1598" s="27"/>
      <c r="Y1598" s="27">
        <f>Inventory[[#This Row],[MainFn]]+Inventory[[#This Row],[UpprFn]]+Inventory[[#This Row],[FnBsmt]]+Inventory[[#This Row],[AddFn]]</f>
        <v>1920</v>
      </c>
      <c r="Z1598" s="27">
        <v>2000</v>
      </c>
      <c r="AA1598" s="25">
        <v>9</v>
      </c>
      <c r="AB1598" s="27"/>
      <c r="AC1598" s="27"/>
      <c r="AD1598" s="27"/>
      <c r="AE1598" s="27"/>
      <c r="AF1598" s="27"/>
      <c r="AG1598" s="27"/>
      <c r="AH1598" s="27"/>
      <c r="AI1598" s="25">
        <v>262568</v>
      </c>
      <c r="AJ1598" s="25">
        <v>181172</v>
      </c>
      <c r="AK1598" s="25">
        <v>7919</v>
      </c>
      <c r="AL1598" s="25">
        <v>350500</v>
      </c>
      <c r="AM1598" s="25">
        <v>63300</v>
      </c>
      <c r="AN1598" s="25">
        <v>287200</v>
      </c>
      <c r="AO1598" s="25">
        <v>0</v>
      </c>
      <c r="AP1598" s="25">
        <f>Lookups!$B$56*0</f>
        <v>0</v>
      </c>
      <c r="AQ1598" s="25">
        <f>Lookups!$B$56*1</f>
        <v>89850.625589999996</v>
      </c>
      <c r="AR1598" s="25">
        <f>Lookups!$B$57*Inventory[[#This Row],[LnAcres]]</f>
        <v>-46522.028095997222</v>
      </c>
      <c r="AS1598" s="25">
        <f>VLOOKUP(Inventory[[#This Row],[Qlty]],Lookups!$A$62:$E$75,2,FALSE)</f>
        <v>21557.329055999999</v>
      </c>
      <c r="AT1598" s="25">
        <f>VLOOKUP(Inventory[[#This Row],[Cnd]],Lookups!$A$76:$E$84,2,FALSE)</f>
        <v>197752.34721000001</v>
      </c>
      <c r="AU1598" s="25">
        <f>Inventory[[#This Row],[EffAge]]*Lookups!$B$85</f>
        <v>-11821.416826500001</v>
      </c>
      <c r="AV1598" s="25">
        <f>Inventory[[#This Row],[MainFn]]*Lookups!$B$86</f>
        <v>37945.858465536003</v>
      </c>
      <c r="AW1598" s="25">
        <f>Inventory[[#This Row],[UpprFn]]*Lookups!$B$87</f>
        <v>17197.986378623998</v>
      </c>
      <c r="AX1598" s="25">
        <f>Inventory[[#This Row],[AddFn]]*Lookups!$B$88</f>
        <v>0</v>
      </c>
      <c r="AY1598" s="25">
        <f>Inventory[[#This Row],[Bsmt]]*Lookups!$B$89</f>
        <v>22334.895549695997</v>
      </c>
      <c r="AZ1598" s="25">
        <f>Inventory[[#This Row],[Fixtures]]*Lookups!$B$90</f>
        <v>34128.198946800003</v>
      </c>
      <c r="BA1598" s="25">
        <f>Inventory[[#This Row],[WdDeck]]*Lookups!$B$91</f>
        <v>0</v>
      </c>
      <c r="BB1598" s="25">
        <f>ROUND(Inventory[[#This Row],[25Det]],-2)</f>
        <v>7900</v>
      </c>
      <c r="BC1598" s="25">
        <f>ROUND(SUM(Inventory[[#This Row],[Mdl Qlty]:[Mdl WdDeck]])+Inventory[[#This Row],[Mdl Res Intercept]],-2)</f>
        <v>319100</v>
      </c>
      <c r="BD1598" s="25">
        <f>ROUND(Inventory[[#This Row],[Mdl Land Intercept]]+Inventory[[#This Row],[Mdl LnAcres]],-2)</f>
        <v>43300</v>
      </c>
      <c r="BE1598" s="25">
        <f>Inventory[[#This Row],[Unadj Res Value]]+Inventory[[#This Row],[Unadj Det Value]]+Inventory[[#This Row],[Unadj Land Value]]</f>
        <v>370300</v>
      </c>
      <c r="BF1598" s="36">
        <f>(Inventory[[#This Row],[Unadj Total Value]]-Inventory[[#This Row],[24Final]])/Inventory[[#This Row],[24Final]]</f>
        <v>5.6490727532097003E-2</v>
      </c>
      <c r="BG1598" s="25">
        <f>VLOOKUP(Inventory[[#This Row],[Nbhd]],Lookups!$Q$2:$T$4,4,FALSE)</f>
        <v>0.99970000000000003</v>
      </c>
      <c r="BH1598" s="25">
        <f>VLOOKUP(Inventory[[#This Row],[Qlty]],Lookups!$O$7:$R$21,4,FALSE)</f>
        <v>1.0067999999999999</v>
      </c>
      <c r="BI1598" s="25">
        <f>VLOOKUP(Inventory[[#This Row],[Cnd]],Lookups!$T$7:$W$16,4,FALSE)</f>
        <v>0.99650000000000005</v>
      </c>
      <c r="BJ1598" s="25">
        <f>VLOOKUP(Inventory[[#This Row],[LivArea Range]],Lookups!$T$25:$W$37,4,FALSE)</f>
        <v>1.0093000000000001</v>
      </c>
      <c r="BK1598" s="25">
        <f>VLOOKUP(Inventory[[#This Row],[Decade]],Lookups!$O$25:$R$42,4,FALSE)</f>
        <v>0.98909999999999998</v>
      </c>
      <c r="BL1598" s="25">
        <f>Inventory[[#This Row],[Nbhd Adj]]*0.95</f>
        <v>0.94971499999999998</v>
      </c>
      <c r="BM1598" s="25">
        <f>Inventory[[#This Row],[Nbhd Adj]]*Inventory[[#This Row],[Quality Adj]]*Inventory[[#This Row],[Condition Adj]]*Inventory[[#This Row],[Living Area Adj]]*Inventory[[#This Row],[Decade Adj]]*0.95</f>
        <v>0.95120534593507355</v>
      </c>
      <c r="BN1598" s="25">
        <f>ROUND(SUM(Inventory[[#This Row],[Mdl Qlty]:[Mdl WdDeck]])+Inventory[[#This Row],[Mdl Res Intercept]]*Inventory[[#This Row],[Res Adj ]],-2)</f>
        <v>319100</v>
      </c>
      <c r="BO1598" s="25">
        <f>ROUND(Inventory[[#This Row],[25Det]]*Inventory[[#This Row],[Det/Nbhd Adj]],-2)</f>
        <v>7500</v>
      </c>
      <c r="BP1598" s="25">
        <f>Inventory[[#This Row],[Adjusted Res]]+Inventory[[#This Row],[Adj Det ]]</f>
        <v>326600</v>
      </c>
      <c r="BQ1598" s="25">
        <f>ROUND((Inventory[[#This Row],[Mdl Land Intercept]]+Inventory[[#This Row],[Mdl LnAcres]])*Inventory[[#This Row],[Det/Nbhd Adj]],-2)</f>
        <v>41100</v>
      </c>
      <c r="BR1598" s="25">
        <f>Inventory[[#This Row],[Adjusted Impr Total]]+Inventory[[#This Row],[Adjusted Land Total]]</f>
        <v>367700</v>
      </c>
      <c r="BS1598" s="36">
        <f>IFERROR((Inventory[[#This Row],[Adjusted Impr Total]]-Inventory[[#This Row],[24Bldg]])/Inventory[[#This Row],[24Bldg]],0)</f>
        <v>0.13718662952646241</v>
      </c>
      <c r="BT1598" s="36">
        <f>(Inventory[[#This Row],[Adjusted Land Total]]-Inventory[[#This Row],[24Lnd]])/Inventory[[#This Row],[24Lnd]]</f>
        <v>-0.35071090047393366</v>
      </c>
      <c r="BU1598" s="36">
        <f>(Inventory[[#This Row],[Adjusted Total]]-Inventory[[#This Row],[24Final]])/Inventory[[#This Row],[24Final]]</f>
        <v>4.9072753209700427E-2</v>
      </c>
    </row>
    <row r="1599" spans="1:73" x14ac:dyDescent="0.3">
      <c r="A1599" s="25">
        <v>2025</v>
      </c>
      <c r="B1599" s="26" t="s">
        <v>1073</v>
      </c>
      <c r="C1599" s="26">
        <f>LN(Inventory[[#This Row],[Acres]])</f>
        <v>-1.3470736479666092</v>
      </c>
      <c r="D1599" s="25">
        <v>0.26</v>
      </c>
      <c r="E1599" s="25">
        <v>11234</v>
      </c>
      <c r="F1599" s="26" t="s">
        <v>537</v>
      </c>
      <c r="G1599" s="26" t="s">
        <v>126</v>
      </c>
      <c r="H1599" s="26" t="s">
        <v>349</v>
      </c>
      <c r="I1599" s="26" t="s">
        <v>538</v>
      </c>
      <c r="J1599" s="26" t="s">
        <v>539</v>
      </c>
      <c r="K1599" s="26" t="s">
        <v>242</v>
      </c>
      <c r="L1599" s="26" t="s">
        <v>148</v>
      </c>
      <c r="M1599" s="26" t="s">
        <v>303</v>
      </c>
      <c r="N1599" s="26">
        <v>90</v>
      </c>
      <c r="O1599" s="26">
        <f>2024-Inventory[[#This Row],[YrBlt]]</f>
        <v>89</v>
      </c>
      <c r="P1599" s="26">
        <f>2024-Inventory[[#This Row],[EffYr]]</f>
        <v>53</v>
      </c>
      <c r="Q1599" s="25">
        <v>1935</v>
      </c>
      <c r="R1599" s="25">
        <v>1971</v>
      </c>
      <c r="S1599" s="25">
        <v>1869</v>
      </c>
      <c r="T1599" s="27"/>
      <c r="U1599" s="25">
        <v>1441</v>
      </c>
      <c r="V1599" s="32">
        <f>Inventory[[#This Row],[Bsmt]]-Inventory[[#This Row],[FnBsmt]]</f>
        <v>341</v>
      </c>
      <c r="W1599" s="32">
        <v>1100</v>
      </c>
      <c r="X1599" s="27"/>
      <c r="Y1599" s="27">
        <f>Inventory[[#This Row],[MainFn]]+Inventory[[#This Row],[UpprFn]]+Inventory[[#This Row],[FnBsmt]]+Inventory[[#This Row],[AddFn]]</f>
        <v>2969</v>
      </c>
      <c r="Z1599" s="27">
        <v>3000</v>
      </c>
      <c r="AA1599" s="25">
        <v>10</v>
      </c>
      <c r="AB1599" s="27"/>
      <c r="AC1599" s="27"/>
      <c r="AD1599" s="31"/>
      <c r="AE1599" s="27"/>
      <c r="AF1599" s="27"/>
      <c r="AG1599" s="27"/>
      <c r="AH1599" s="27"/>
      <c r="AI1599" s="25">
        <v>552234</v>
      </c>
      <c r="AJ1599" s="25">
        <v>381041</v>
      </c>
      <c r="AK1599" s="25">
        <v>13177</v>
      </c>
      <c r="AL1599" s="25">
        <v>438800</v>
      </c>
      <c r="AM1599" s="25">
        <v>67600</v>
      </c>
      <c r="AN1599" s="25">
        <v>371200</v>
      </c>
      <c r="AO1599" s="25">
        <v>0</v>
      </c>
      <c r="AP1599" s="25">
        <f>Lookups!$B$56*0</f>
        <v>0</v>
      </c>
      <c r="AQ1599" s="25">
        <f>Lookups!$B$56*1</f>
        <v>89850.625589999996</v>
      </c>
      <c r="AR1599" s="25">
        <f>Lookups!$B$57*Inventory[[#This Row],[LnAcres]]</f>
        <v>-42641.098701210125</v>
      </c>
      <c r="AS1599" s="25">
        <f>VLOOKUP(Inventory[[#This Row],[Qlty]],Lookups!$A$62:$E$75,2,FALSE)</f>
        <v>44121.038090000002</v>
      </c>
      <c r="AT1599" s="25">
        <f>VLOOKUP(Inventory[[#This Row],[Cnd]],Lookups!$A$76:$E$84,2,FALSE)</f>
        <v>197752.34721000001</v>
      </c>
      <c r="AU1599" s="25">
        <f>Inventory[[#This Row],[EffAge]]*Lookups!$B$85</f>
        <v>-11821.416826500001</v>
      </c>
      <c r="AV1599" s="25">
        <f>Inventory[[#This Row],[MainFn]]*Lookups!$B$86</f>
        <v>92344.804000112999</v>
      </c>
      <c r="AW1599" s="25">
        <f>Inventory[[#This Row],[UpprFn]]*Lookups!$B$87</f>
        <v>0</v>
      </c>
      <c r="AX1599" s="25">
        <f>Inventory[[#This Row],[AddFn]]*Lookups!$B$88</f>
        <v>0</v>
      </c>
      <c r="AY1599" s="25">
        <f>Inventory[[#This Row],[Bsmt]]*Lookups!$B$89</f>
        <v>41907.011050926994</v>
      </c>
      <c r="AZ1599" s="25">
        <f>Inventory[[#This Row],[Fixtures]]*Lookups!$B$90</f>
        <v>37920.221052000001</v>
      </c>
      <c r="BA1599" s="25">
        <f>Inventory[[#This Row],[WdDeck]]*Lookups!$B$91</f>
        <v>0</v>
      </c>
      <c r="BB1599" s="25">
        <f>ROUND(Inventory[[#This Row],[25Det]],-2)</f>
        <v>13200</v>
      </c>
      <c r="BC1599" s="25">
        <f>ROUND(SUM(Inventory[[#This Row],[Mdl Qlty]:[Mdl WdDeck]])+Inventory[[#This Row],[Mdl Res Intercept]],-2)</f>
        <v>402200</v>
      </c>
      <c r="BD1599" s="25">
        <f>ROUND(Inventory[[#This Row],[Mdl Land Intercept]]+Inventory[[#This Row],[Mdl LnAcres]],-2)</f>
        <v>47200</v>
      </c>
      <c r="BE1599" s="25">
        <f>Inventory[[#This Row],[Unadj Res Value]]+Inventory[[#This Row],[Unadj Det Value]]+Inventory[[#This Row],[Unadj Land Value]]</f>
        <v>462600</v>
      </c>
      <c r="BF1599" s="36">
        <f>(Inventory[[#This Row],[Unadj Total Value]]-Inventory[[#This Row],[24Final]])/Inventory[[#This Row],[24Final]]</f>
        <v>5.423883318140383E-2</v>
      </c>
      <c r="BG1599" s="25">
        <f>VLOOKUP(Inventory[[#This Row],[Nbhd]],Lookups!$Q$2:$T$4,4,FALSE)</f>
        <v>0.99970000000000003</v>
      </c>
      <c r="BH1599" s="25">
        <f>VLOOKUP(Inventory[[#This Row],[Qlty]],Lookups!$O$7:$R$21,4,FALSE)</f>
        <v>0.98050000000000004</v>
      </c>
      <c r="BI1599" s="25">
        <f>VLOOKUP(Inventory[[#This Row],[Cnd]],Lookups!$T$7:$W$16,4,FALSE)</f>
        <v>0.99650000000000005</v>
      </c>
      <c r="BJ1599" s="25">
        <f>VLOOKUP(Inventory[[#This Row],[LivArea Range]],Lookups!$T$25:$W$37,4,FALSE)</f>
        <v>0.96179999999999999</v>
      </c>
      <c r="BK1599" s="25">
        <f>VLOOKUP(Inventory[[#This Row],[Decade]],Lookups!$O$25:$R$42,4,FALSE)</f>
        <v>0.98909999999999998</v>
      </c>
      <c r="BL1599" s="25">
        <f>Inventory[[#This Row],[Nbhd Adj]]*0.95</f>
        <v>0.94971499999999998</v>
      </c>
      <c r="BM1599" s="25">
        <f>Inventory[[#This Row],[Nbhd Adj]]*Inventory[[#This Row],[Quality Adj]]*Inventory[[#This Row],[Condition Adj]]*Inventory[[#This Row],[Living Area Adj]]*Inventory[[#This Row],[Decade Adj]]*0.95</f>
        <v>0.88276107127906644</v>
      </c>
      <c r="BN1599" s="25">
        <f>ROUND(SUM(Inventory[[#This Row],[Mdl Qlty]:[Mdl WdDeck]])+Inventory[[#This Row],[Mdl Res Intercept]]*Inventory[[#This Row],[Res Adj ]],-2)</f>
        <v>402200</v>
      </c>
      <c r="BO1599" s="25">
        <f>ROUND(Inventory[[#This Row],[25Det]]*Inventory[[#This Row],[Det/Nbhd Adj]],-2)</f>
        <v>12500</v>
      </c>
      <c r="BP1599" s="25">
        <f>Inventory[[#This Row],[Adjusted Res]]+Inventory[[#This Row],[Adj Det ]]</f>
        <v>414700</v>
      </c>
      <c r="BQ1599" s="25">
        <f>ROUND((Inventory[[#This Row],[Mdl Land Intercept]]+Inventory[[#This Row],[Mdl LnAcres]])*Inventory[[#This Row],[Det/Nbhd Adj]],-2)</f>
        <v>44800</v>
      </c>
      <c r="BR1599" s="25">
        <f>Inventory[[#This Row],[Adjusted Impr Total]]+Inventory[[#This Row],[Adjusted Land Total]]</f>
        <v>459500</v>
      </c>
      <c r="BS1599" s="36">
        <f>IFERROR((Inventory[[#This Row],[Adjusted Impr Total]]-Inventory[[#This Row],[24Bldg]])/Inventory[[#This Row],[24Bldg]],0)</f>
        <v>0.1171875</v>
      </c>
      <c r="BT1599" s="36">
        <f>(Inventory[[#This Row],[Adjusted Land Total]]-Inventory[[#This Row],[24Lnd]])/Inventory[[#This Row],[24Lnd]]</f>
        <v>-0.33727810650887574</v>
      </c>
      <c r="BU1599" s="36">
        <f>(Inventory[[#This Row],[Adjusted Total]]-Inventory[[#This Row],[24Final]])/Inventory[[#This Row],[24Final]]</f>
        <v>4.7174111212397445E-2</v>
      </c>
    </row>
    <row r="1600" spans="1:73" x14ac:dyDescent="0.3">
      <c r="A1600" s="25">
        <v>2025</v>
      </c>
      <c r="B1600" s="26" t="s">
        <v>1094</v>
      </c>
      <c r="C1600" s="26">
        <f>LN(Inventory[[#This Row],[Acres]])</f>
        <v>-1.4271163556401458</v>
      </c>
      <c r="D1600" s="25">
        <v>0.24</v>
      </c>
      <c r="E1600" s="32">
        <v>10273</v>
      </c>
      <c r="F1600" s="26" t="s">
        <v>537</v>
      </c>
      <c r="G1600" s="26" t="s">
        <v>126</v>
      </c>
      <c r="H1600" s="26" t="s">
        <v>349</v>
      </c>
      <c r="I1600" s="26" t="s">
        <v>538</v>
      </c>
      <c r="J1600" s="26" t="s">
        <v>539</v>
      </c>
      <c r="K1600" s="26" t="s">
        <v>241</v>
      </c>
      <c r="L1600" s="26" t="s">
        <v>148</v>
      </c>
      <c r="M1600" s="26" t="s">
        <v>303</v>
      </c>
      <c r="N1600" s="26">
        <v>90</v>
      </c>
      <c r="O1600" s="26">
        <f>2024-Inventory[[#This Row],[YrBlt]]</f>
        <v>89</v>
      </c>
      <c r="P1600" s="26">
        <f>2024-Inventory[[#This Row],[EffYr]]</f>
        <v>53</v>
      </c>
      <c r="Q1600" s="25">
        <v>1935</v>
      </c>
      <c r="R1600" s="25">
        <v>1971</v>
      </c>
      <c r="S1600" s="25">
        <v>1627</v>
      </c>
      <c r="T1600" s="27"/>
      <c r="U1600" s="32">
        <v>910</v>
      </c>
      <c r="V1600" s="32">
        <f>Inventory[[#This Row],[Bsmt]]-Inventory[[#This Row],[FnBsmt]]</f>
        <v>0</v>
      </c>
      <c r="W1600" s="32">
        <v>910</v>
      </c>
      <c r="X1600" s="27"/>
      <c r="Y1600" s="27">
        <f>Inventory[[#This Row],[MainFn]]+Inventory[[#This Row],[UpprFn]]+Inventory[[#This Row],[FnBsmt]]+Inventory[[#This Row],[AddFn]]</f>
        <v>2537</v>
      </c>
      <c r="Z1600" s="27">
        <v>3000</v>
      </c>
      <c r="AA1600" s="25">
        <v>8</v>
      </c>
      <c r="AB1600" s="27"/>
      <c r="AC1600" s="27"/>
      <c r="AD1600" s="27"/>
      <c r="AE1600" s="27"/>
      <c r="AF1600" s="27"/>
      <c r="AG1600" s="27"/>
      <c r="AH1600" s="27"/>
      <c r="AI1600" s="25">
        <v>463389</v>
      </c>
      <c r="AJ1600" s="25">
        <v>319738</v>
      </c>
      <c r="AK1600" s="25">
        <v>12721</v>
      </c>
      <c r="AL1600" s="25">
        <v>403000</v>
      </c>
      <c r="AM1600" s="25">
        <v>64800</v>
      </c>
      <c r="AN1600" s="25">
        <v>338200</v>
      </c>
      <c r="AO1600" s="25">
        <v>0</v>
      </c>
      <c r="AP1600" s="25">
        <f>Lookups!$B$56*0</f>
        <v>0</v>
      </c>
      <c r="AQ1600" s="25">
        <f>Lookups!$B$56*1</f>
        <v>89850.625589999996</v>
      </c>
      <c r="AR1600" s="25">
        <f>Lookups!$B$57*Inventory[[#This Row],[LnAcres]]</f>
        <v>-45174.819855485119</v>
      </c>
      <c r="AS1600" s="25">
        <f>VLOOKUP(Inventory[[#This Row],[Qlty]],Lookups!$A$62:$E$75,2,FALSE)</f>
        <v>44121.038090000002</v>
      </c>
      <c r="AT1600" s="25">
        <f>VLOOKUP(Inventory[[#This Row],[Cnd]],Lookups!$A$76:$E$84,2,FALSE)</f>
        <v>197752.34721000001</v>
      </c>
      <c r="AU1600" s="25">
        <f>Inventory[[#This Row],[EffAge]]*Lookups!$B$85</f>
        <v>-11821.416826500001</v>
      </c>
      <c r="AV1600" s="25">
        <f>Inventory[[#This Row],[MainFn]]*Lookups!$B$86</f>
        <v>80387.905889878995</v>
      </c>
      <c r="AW1600" s="25">
        <f>Inventory[[#This Row],[UpprFn]]*Lookups!$B$87</f>
        <v>0</v>
      </c>
      <c r="AX1600" s="25">
        <f>Inventory[[#This Row],[AddFn]]*Lookups!$B$88</f>
        <v>0</v>
      </c>
      <c r="AY1600" s="25">
        <f>Inventory[[#This Row],[Bsmt]]*Lookups!$B$89</f>
        <v>26464.52467477</v>
      </c>
      <c r="AZ1600" s="25">
        <f>Inventory[[#This Row],[Fixtures]]*Lookups!$B$90</f>
        <v>30336.176841600001</v>
      </c>
      <c r="BA1600" s="25">
        <f>Inventory[[#This Row],[WdDeck]]*Lookups!$B$91</f>
        <v>0</v>
      </c>
      <c r="BB1600" s="25">
        <f>ROUND(Inventory[[#This Row],[25Det]],-2)</f>
        <v>12700</v>
      </c>
      <c r="BC1600" s="25">
        <f>ROUND(SUM(Inventory[[#This Row],[Mdl Qlty]:[Mdl WdDeck]])+Inventory[[#This Row],[Mdl Res Intercept]],-2)</f>
        <v>367200</v>
      </c>
      <c r="BD1600" s="25">
        <f>ROUND(Inventory[[#This Row],[Mdl Land Intercept]]+Inventory[[#This Row],[Mdl LnAcres]],-2)</f>
        <v>44700</v>
      </c>
      <c r="BE1600" s="25">
        <f>Inventory[[#This Row],[Unadj Res Value]]+Inventory[[#This Row],[Unadj Det Value]]+Inventory[[#This Row],[Unadj Land Value]]</f>
        <v>424600</v>
      </c>
      <c r="BF1600" s="36">
        <f>(Inventory[[#This Row],[Unadj Total Value]]-Inventory[[#This Row],[24Final]])/Inventory[[#This Row],[24Final]]</f>
        <v>5.3598014888337472E-2</v>
      </c>
      <c r="BG1600" s="25">
        <f>VLOOKUP(Inventory[[#This Row],[Nbhd]],Lookups!$Q$2:$T$4,4,FALSE)</f>
        <v>0.99970000000000003</v>
      </c>
      <c r="BH1600" s="25">
        <f>VLOOKUP(Inventory[[#This Row],[Qlty]],Lookups!$O$7:$R$21,4,FALSE)</f>
        <v>0.98050000000000004</v>
      </c>
      <c r="BI1600" s="25">
        <f>VLOOKUP(Inventory[[#This Row],[Cnd]],Lookups!$T$7:$W$16,4,FALSE)</f>
        <v>0.99650000000000005</v>
      </c>
      <c r="BJ1600" s="25">
        <f>VLOOKUP(Inventory[[#This Row],[LivArea Range]],Lookups!$T$25:$W$37,4,FALSE)</f>
        <v>0.96179999999999999</v>
      </c>
      <c r="BK1600" s="25">
        <f>VLOOKUP(Inventory[[#This Row],[Decade]],Lookups!$O$25:$R$42,4,FALSE)</f>
        <v>0.98909999999999998</v>
      </c>
      <c r="BL1600" s="25">
        <f>Inventory[[#This Row],[Nbhd Adj]]*0.95</f>
        <v>0.94971499999999998</v>
      </c>
      <c r="BM1600" s="25">
        <f>Inventory[[#This Row],[Nbhd Adj]]*Inventory[[#This Row],[Quality Adj]]*Inventory[[#This Row],[Condition Adj]]*Inventory[[#This Row],[Living Area Adj]]*Inventory[[#This Row],[Decade Adj]]*0.95</f>
        <v>0.88276107127906644</v>
      </c>
      <c r="BN1600" s="25">
        <f>ROUND(SUM(Inventory[[#This Row],[Mdl Qlty]:[Mdl WdDeck]])+Inventory[[#This Row],[Mdl Res Intercept]]*Inventory[[#This Row],[Res Adj ]],-2)</f>
        <v>367200</v>
      </c>
      <c r="BO1600" s="25">
        <f>ROUND(Inventory[[#This Row],[25Det]]*Inventory[[#This Row],[Det/Nbhd Adj]],-2)</f>
        <v>12100</v>
      </c>
      <c r="BP1600" s="25">
        <f>Inventory[[#This Row],[Adjusted Res]]+Inventory[[#This Row],[Adj Det ]]</f>
        <v>379300</v>
      </c>
      <c r="BQ1600" s="25">
        <f>ROUND((Inventory[[#This Row],[Mdl Land Intercept]]+Inventory[[#This Row],[Mdl LnAcres]])*Inventory[[#This Row],[Det/Nbhd Adj]],-2)</f>
        <v>42400</v>
      </c>
      <c r="BR1600" s="25">
        <f>Inventory[[#This Row],[Adjusted Impr Total]]+Inventory[[#This Row],[Adjusted Land Total]]</f>
        <v>421700</v>
      </c>
      <c r="BS1600" s="36">
        <f>IFERROR((Inventory[[#This Row],[Adjusted Impr Total]]-Inventory[[#This Row],[24Bldg]])/Inventory[[#This Row],[24Bldg]],0)</f>
        <v>0.12152572442341809</v>
      </c>
      <c r="BT1600" s="36">
        <f>(Inventory[[#This Row],[Adjusted Land Total]]-Inventory[[#This Row],[24Lnd]])/Inventory[[#This Row],[24Lnd]]</f>
        <v>-0.34567901234567899</v>
      </c>
      <c r="BU1600" s="36">
        <f>(Inventory[[#This Row],[Adjusted Total]]-Inventory[[#This Row],[24Final]])/Inventory[[#This Row],[24Final]]</f>
        <v>4.6401985111662533E-2</v>
      </c>
    </row>
    <row r="1601" spans="1:73" x14ac:dyDescent="0.3">
      <c r="A1601" s="25">
        <v>2025</v>
      </c>
      <c r="B1601" s="26" t="s">
        <v>1546</v>
      </c>
      <c r="C1601" s="26">
        <f>LN(Inventory[[#This Row],[Acres]])</f>
        <v>-1.6094379124341003</v>
      </c>
      <c r="D1601" s="25">
        <v>0.2</v>
      </c>
      <c r="E1601" s="25">
        <v>8519</v>
      </c>
      <c r="F1601" s="26" t="s">
        <v>537</v>
      </c>
      <c r="G1601" s="26" t="s">
        <v>126</v>
      </c>
      <c r="H1601" s="26" t="s">
        <v>349</v>
      </c>
      <c r="I1601" s="26" t="s">
        <v>538</v>
      </c>
      <c r="J1601" s="26" t="s">
        <v>539</v>
      </c>
      <c r="K1601" s="26" t="s">
        <v>173</v>
      </c>
      <c r="L1601" s="26" t="s">
        <v>351</v>
      </c>
      <c r="M1601" s="26" t="s">
        <v>303</v>
      </c>
      <c r="N1601" s="26">
        <v>90</v>
      </c>
      <c r="O1601" s="26">
        <f>2024-Inventory[[#This Row],[YrBlt]]</f>
        <v>89</v>
      </c>
      <c r="P1601" s="26">
        <f>2024-Inventory[[#This Row],[EffYr]]</f>
        <v>53</v>
      </c>
      <c r="Q1601" s="25">
        <v>1935</v>
      </c>
      <c r="R1601" s="25">
        <v>1971</v>
      </c>
      <c r="S1601" s="25">
        <v>1162</v>
      </c>
      <c r="T1601" s="32">
        <v>582</v>
      </c>
      <c r="U1601" s="25">
        <v>840</v>
      </c>
      <c r="V1601" s="25">
        <f>Inventory[[#This Row],[Bsmt]]-Inventory[[#This Row],[FnBsmt]]</f>
        <v>0</v>
      </c>
      <c r="W1601" s="25">
        <v>840</v>
      </c>
      <c r="X1601" s="27"/>
      <c r="Y1601" s="27">
        <f>Inventory[[#This Row],[MainFn]]+Inventory[[#This Row],[UpprFn]]+Inventory[[#This Row],[FnBsmt]]+Inventory[[#This Row],[AddFn]]</f>
        <v>2584</v>
      </c>
      <c r="Z1601" s="27">
        <v>3000</v>
      </c>
      <c r="AA1601" s="25">
        <v>8</v>
      </c>
      <c r="AB1601" s="31"/>
      <c r="AC1601" s="27"/>
      <c r="AD1601" s="31"/>
      <c r="AE1601" s="27"/>
      <c r="AF1601" s="27"/>
      <c r="AG1601" s="27"/>
      <c r="AH1601" s="27"/>
      <c r="AI1601" s="25">
        <v>339389</v>
      </c>
      <c r="AJ1601" s="25">
        <v>234178</v>
      </c>
      <c r="AK1601" s="25">
        <v>10972</v>
      </c>
      <c r="AL1601" s="25">
        <v>376200</v>
      </c>
      <c r="AM1601" s="25">
        <v>58400</v>
      </c>
      <c r="AN1601" s="25">
        <v>317800</v>
      </c>
      <c r="AO1601" s="25">
        <v>0</v>
      </c>
      <c r="AP1601" s="25">
        <f>Lookups!$B$56*0</f>
        <v>0</v>
      </c>
      <c r="AQ1601" s="25">
        <f>Lookups!$B$56*1</f>
        <v>89850.625589999996</v>
      </c>
      <c r="AR1601" s="25">
        <f>Lookups!$B$57*Inventory[[#This Row],[LnAcres]]</f>
        <v>-50946.13867709865</v>
      </c>
      <c r="AS1601" s="25">
        <f>VLOOKUP(Inventory[[#This Row],[Qlty]],Lookups!$A$62:$E$75,2,FALSE)</f>
        <v>21557.329055999999</v>
      </c>
      <c r="AT1601" s="25">
        <f>VLOOKUP(Inventory[[#This Row],[Cnd]],Lookups!$A$76:$E$84,2,FALSE)</f>
        <v>197752.34721000001</v>
      </c>
      <c r="AU1601" s="25">
        <f>Inventory[[#This Row],[EffAge]]*Lookups!$B$85</f>
        <v>-11821.416826500001</v>
      </c>
      <c r="AV1601" s="25">
        <f>Inventory[[#This Row],[MainFn]]*Lookups!$B$86</f>
        <v>57412.874397074003</v>
      </c>
      <c r="AW1601" s="25">
        <f>Inventory[[#This Row],[UpprFn]]*Lookups!$B$87</f>
        <v>26065.698105101997</v>
      </c>
      <c r="AX1601" s="25">
        <f>Inventory[[#This Row],[AddFn]]*Lookups!$B$88</f>
        <v>0</v>
      </c>
      <c r="AY1601" s="25">
        <f>Inventory[[#This Row],[Bsmt]]*Lookups!$B$89</f>
        <v>24428.792007479999</v>
      </c>
      <c r="AZ1601" s="25">
        <f>Inventory[[#This Row],[Fixtures]]*Lookups!$B$90</f>
        <v>30336.176841600001</v>
      </c>
      <c r="BA1601" s="25">
        <f>Inventory[[#This Row],[WdDeck]]*Lookups!$B$91</f>
        <v>0</v>
      </c>
      <c r="BB1601" s="25">
        <f>ROUND(Inventory[[#This Row],[25Det]],-2)</f>
        <v>11000</v>
      </c>
      <c r="BC1601" s="25">
        <f>ROUND(SUM(Inventory[[#This Row],[Mdl Qlty]:[Mdl WdDeck]])+Inventory[[#This Row],[Mdl Res Intercept]],-2)</f>
        <v>345700</v>
      </c>
      <c r="BD1601" s="25">
        <f>ROUND(Inventory[[#This Row],[Mdl Land Intercept]]+Inventory[[#This Row],[Mdl LnAcres]],-2)</f>
        <v>38900</v>
      </c>
      <c r="BE1601" s="25">
        <f>Inventory[[#This Row],[Unadj Res Value]]+Inventory[[#This Row],[Unadj Det Value]]+Inventory[[#This Row],[Unadj Land Value]]</f>
        <v>395600</v>
      </c>
      <c r="BF1601" s="36">
        <f>(Inventory[[#This Row],[Unadj Total Value]]-Inventory[[#This Row],[24Final]])/Inventory[[#This Row],[24Final]]</f>
        <v>5.1568314726209465E-2</v>
      </c>
      <c r="BG1601" s="25">
        <f>VLOOKUP(Inventory[[#This Row],[Nbhd]],Lookups!$Q$2:$T$4,4,FALSE)</f>
        <v>0.99970000000000003</v>
      </c>
      <c r="BH1601" s="25">
        <f>VLOOKUP(Inventory[[#This Row],[Qlty]],Lookups!$O$7:$R$21,4,FALSE)</f>
        <v>1.0067999999999999</v>
      </c>
      <c r="BI1601" s="25">
        <f>VLOOKUP(Inventory[[#This Row],[Cnd]],Lookups!$T$7:$W$16,4,FALSE)</f>
        <v>0.99650000000000005</v>
      </c>
      <c r="BJ1601" s="25">
        <f>VLOOKUP(Inventory[[#This Row],[LivArea Range]],Lookups!$T$25:$W$37,4,FALSE)</f>
        <v>0.96179999999999999</v>
      </c>
      <c r="BK1601" s="25">
        <f>VLOOKUP(Inventory[[#This Row],[Decade]],Lookups!$O$25:$R$42,4,FALSE)</f>
        <v>0.98909999999999998</v>
      </c>
      <c r="BL1601" s="25">
        <f>Inventory[[#This Row],[Nbhd Adj]]*0.95</f>
        <v>0.94971499999999998</v>
      </c>
      <c r="BM1601" s="25">
        <f>Inventory[[#This Row],[Nbhd Adj]]*Inventory[[#This Row],[Quality Adj]]*Inventory[[#This Row],[Condition Adj]]*Inventory[[#This Row],[Living Area Adj]]*Inventory[[#This Row],[Decade Adj]]*0.95</f>
        <v>0.90643941515937176</v>
      </c>
      <c r="BN1601" s="25">
        <f>ROUND(SUM(Inventory[[#This Row],[Mdl Qlty]:[Mdl WdDeck]])+Inventory[[#This Row],[Mdl Res Intercept]]*Inventory[[#This Row],[Res Adj ]],-2)</f>
        <v>345700</v>
      </c>
      <c r="BO1601" s="25">
        <f>ROUND(Inventory[[#This Row],[25Det]]*Inventory[[#This Row],[Det/Nbhd Adj]],-2)</f>
        <v>10400</v>
      </c>
      <c r="BP1601" s="25">
        <f>Inventory[[#This Row],[Adjusted Res]]+Inventory[[#This Row],[Adj Det ]]</f>
        <v>356100</v>
      </c>
      <c r="BQ1601" s="25">
        <f>ROUND((Inventory[[#This Row],[Mdl Land Intercept]]+Inventory[[#This Row],[Mdl LnAcres]])*Inventory[[#This Row],[Det/Nbhd Adj]],-2)</f>
        <v>36900</v>
      </c>
      <c r="BR1601" s="25">
        <f>Inventory[[#This Row],[Adjusted Impr Total]]+Inventory[[#This Row],[Adjusted Land Total]]</f>
        <v>393000</v>
      </c>
      <c r="BS1601" s="36">
        <f>IFERROR((Inventory[[#This Row],[Adjusted Impr Total]]-Inventory[[#This Row],[24Bldg]])/Inventory[[#This Row],[24Bldg]],0)</f>
        <v>0.12051604782882316</v>
      </c>
      <c r="BT1601" s="36">
        <f>(Inventory[[#This Row],[Adjusted Land Total]]-Inventory[[#This Row],[24Lnd]])/Inventory[[#This Row],[24Lnd]]</f>
        <v>-0.36815068493150682</v>
      </c>
      <c r="BU1601" s="36">
        <f>(Inventory[[#This Row],[Adjusted Total]]-Inventory[[#This Row],[24Final]])/Inventory[[#This Row],[24Final]]</f>
        <v>4.4657097288676235E-2</v>
      </c>
    </row>
    <row r="1602" spans="1:73" x14ac:dyDescent="0.3">
      <c r="A1602" s="25">
        <v>2025</v>
      </c>
      <c r="B1602" s="26" t="s">
        <v>1313</v>
      </c>
      <c r="C1602" s="26">
        <f>LN(Inventory[[#This Row],[Acres]])</f>
        <v>-1.8971199848858813</v>
      </c>
      <c r="D1602" s="25">
        <v>0.15</v>
      </c>
      <c r="E1602" s="27"/>
      <c r="F1602" s="26" t="s">
        <v>537</v>
      </c>
      <c r="G1602" s="26" t="s">
        <v>126</v>
      </c>
      <c r="H1602" s="26" t="s">
        <v>349</v>
      </c>
      <c r="I1602" s="26" t="s">
        <v>538</v>
      </c>
      <c r="J1602" s="26" t="s">
        <v>539</v>
      </c>
      <c r="K1602" s="26" t="s">
        <v>242</v>
      </c>
      <c r="L1602" s="26" t="s">
        <v>351</v>
      </c>
      <c r="M1602" s="26" t="s">
        <v>303</v>
      </c>
      <c r="N1602" s="26">
        <v>90</v>
      </c>
      <c r="O1602" s="26">
        <f>2024-Inventory[[#This Row],[YrBlt]]</f>
        <v>89</v>
      </c>
      <c r="P1602" s="26">
        <f>2024-Inventory[[#This Row],[EffYr]]</f>
        <v>53</v>
      </c>
      <c r="Q1602" s="25">
        <v>1935</v>
      </c>
      <c r="R1602" s="25">
        <v>1971</v>
      </c>
      <c r="S1602" s="25">
        <v>1059</v>
      </c>
      <c r="T1602" s="27"/>
      <c r="U1602" s="25">
        <v>1059</v>
      </c>
      <c r="V1602" s="25">
        <f>Inventory[[#This Row],[Bsmt]]-Inventory[[#This Row],[FnBsmt]]</f>
        <v>159</v>
      </c>
      <c r="W1602" s="25">
        <v>900</v>
      </c>
      <c r="X1602" s="27"/>
      <c r="Y1602" s="27">
        <f>Inventory[[#This Row],[MainFn]]+Inventory[[#This Row],[UpprFn]]+Inventory[[#This Row],[FnBsmt]]+Inventory[[#This Row],[AddFn]]</f>
        <v>1959</v>
      </c>
      <c r="Z1602" s="27">
        <v>2000</v>
      </c>
      <c r="AA1602" s="25">
        <v>8</v>
      </c>
      <c r="AB1602" s="27"/>
      <c r="AC1602" s="27"/>
      <c r="AD1602" s="27"/>
      <c r="AE1602" s="27"/>
      <c r="AF1602" s="27"/>
      <c r="AG1602" s="27"/>
      <c r="AH1602" s="27"/>
      <c r="AI1602" s="25">
        <v>272660</v>
      </c>
      <c r="AJ1602" s="25">
        <v>188135</v>
      </c>
      <c r="AK1602" s="25">
        <v>14415</v>
      </c>
      <c r="AL1602" s="25">
        <v>347500</v>
      </c>
      <c r="AM1602" s="25">
        <v>48400</v>
      </c>
      <c r="AN1602" s="25">
        <v>299100</v>
      </c>
      <c r="AO1602" s="25">
        <v>0</v>
      </c>
      <c r="AP1602" s="25">
        <f>Lookups!$B$56*0</f>
        <v>0</v>
      </c>
      <c r="AQ1602" s="25">
        <f>Lookups!$B$56*1</f>
        <v>89850.625589999996</v>
      </c>
      <c r="AR1602" s="25">
        <f>Lookups!$B$57*Inventory[[#This Row],[LnAcres]]</f>
        <v>-60052.604136134301</v>
      </c>
      <c r="AS1602" s="25">
        <f>VLOOKUP(Inventory[[#This Row],[Qlty]],Lookups!$A$62:$E$75,2,FALSE)</f>
        <v>21557.329055999999</v>
      </c>
      <c r="AT1602" s="25">
        <f>VLOOKUP(Inventory[[#This Row],[Cnd]],Lookups!$A$76:$E$84,2,FALSE)</f>
        <v>197752.34721000001</v>
      </c>
      <c r="AU1602" s="25">
        <f>Inventory[[#This Row],[EffAge]]*Lookups!$B$85</f>
        <v>-11821.416826500001</v>
      </c>
      <c r="AV1602" s="25">
        <f>Inventory[[#This Row],[MainFn]]*Lookups!$B$86</f>
        <v>52323.781399742998</v>
      </c>
      <c r="AW1602" s="25">
        <f>Inventory[[#This Row],[UpprFn]]*Lookups!$B$87</f>
        <v>0</v>
      </c>
      <c r="AX1602" s="25">
        <f>Inventory[[#This Row],[AddFn]]*Lookups!$B$88</f>
        <v>0</v>
      </c>
      <c r="AY1602" s="25">
        <f>Inventory[[#This Row],[Bsmt]]*Lookups!$B$89</f>
        <v>30797.727066572999</v>
      </c>
      <c r="AZ1602" s="25">
        <f>Inventory[[#This Row],[Fixtures]]*Lookups!$B$90</f>
        <v>30336.176841600001</v>
      </c>
      <c r="BA1602" s="25">
        <f>Inventory[[#This Row],[WdDeck]]*Lookups!$B$91</f>
        <v>0</v>
      </c>
      <c r="BB1602" s="25">
        <f>ROUND(Inventory[[#This Row],[25Det]],-2)</f>
        <v>14400</v>
      </c>
      <c r="BC1602" s="25">
        <f>ROUND(SUM(Inventory[[#This Row],[Mdl Qlty]:[Mdl WdDeck]])+Inventory[[#This Row],[Mdl Res Intercept]],-2)</f>
        <v>320900</v>
      </c>
      <c r="BD1602" s="25">
        <f>ROUND(Inventory[[#This Row],[Mdl Land Intercept]]+Inventory[[#This Row],[Mdl LnAcres]],-2)</f>
        <v>29800</v>
      </c>
      <c r="BE1602" s="25">
        <f>Inventory[[#This Row],[Unadj Res Value]]+Inventory[[#This Row],[Unadj Det Value]]+Inventory[[#This Row],[Unadj Land Value]]</f>
        <v>365100</v>
      </c>
      <c r="BF1602" s="36">
        <f>(Inventory[[#This Row],[Unadj Total Value]]-Inventory[[#This Row],[24Final]])/Inventory[[#This Row],[24Final]]</f>
        <v>5.0647482014388491E-2</v>
      </c>
      <c r="BG1602" s="25">
        <f>VLOOKUP(Inventory[[#This Row],[Nbhd]],Lookups!$Q$2:$T$4,4,FALSE)</f>
        <v>0.99970000000000003</v>
      </c>
      <c r="BH1602" s="25">
        <f>VLOOKUP(Inventory[[#This Row],[Qlty]],Lookups!$O$7:$R$21,4,FALSE)</f>
        <v>1.0067999999999999</v>
      </c>
      <c r="BI1602" s="25">
        <f>VLOOKUP(Inventory[[#This Row],[Cnd]],Lookups!$T$7:$W$16,4,FALSE)</f>
        <v>0.99650000000000005</v>
      </c>
      <c r="BJ1602" s="25">
        <f>VLOOKUP(Inventory[[#This Row],[LivArea Range]],Lookups!$T$25:$W$37,4,FALSE)</f>
        <v>1.0093000000000001</v>
      </c>
      <c r="BK1602" s="25">
        <f>VLOOKUP(Inventory[[#This Row],[Decade]],Lookups!$O$25:$R$42,4,FALSE)</f>
        <v>0.98909999999999998</v>
      </c>
      <c r="BL1602" s="25">
        <f>Inventory[[#This Row],[Nbhd Adj]]*0.95</f>
        <v>0.94971499999999998</v>
      </c>
      <c r="BM1602" s="25">
        <f>Inventory[[#This Row],[Nbhd Adj]]*Inventory[[#This Row],[Quality Adj]]*Inventory[[#This Row],[Condition Adj]]*Inventory[[#This Row],[Living Area Adj]]*Inventory[[#This Row],[Decade Adj]]*0.95</f>
        <v>0.95120534593507355</v>
      </c>
      <c r="BN1602" s="25">
        <f>ROUND(SUM(Inventory[[#This Row],[Mdl Qlty]:[Mdl WdDeck]])+Inventory[[#This Row],[Mdl Res Intercept]]*Inventory[[#This Row],[Res Adj ]],-2)</f>
        <v>320900</v>
      </c>
      <c r="BO1602" s="25">
        <f>ROUND(Inventory[[#This Row],[25Det]]*Inventory[[#This Row],[Det/Nbhd Adj]],-2)</f>
        <v>13700</v>
      </c>
      <c r="BP1602" s="25">
        <f>Inventory[[#This Row],[Adjusted Res]]+Inventory[[#This Row],[Adj Det ]]</f>
        <v>334600</v>
      </c>
      <c r="BQ1602" s="25">
        <f>ROUND((Inventory[[#This Row],[Mdl Land Intercept]]+Inventory[[#This Row],[Mdl LnAcres]])*Inventory[[#This Row],[Det/Nbhd Adj]],-2)</f>
        <v>28300</v>
      </c>
      <c r="BR1602" s="25">
        <f>Inventory[[#This Row],[Adjusted Impr Total]]+Inventory[[#This Row],[Adjusted Land Total]]</f>
        <v>362900</v>
      </c>
      <c r="BS1602" s="36">
        <f>IFERROR((Inventory[[#This Row],[Adjusted Impr Total]]-Inventory[[#This Row],[24Bldg]])/Inventory[[#This Row],[24Bldg]],0)</f>
        <v>0.11868940153794717</v>
      </c>
      <c r="BT1602" s="36">
        <f>(Inventory[[#This Row],[Adjusted Land Total]]-Inventory[[#This Row],[24Lnd]])/Inventory[[#This Row],[24Lnd]]</f>
        <v>-0.41528925619834711</v>
      </c>
      <c r="BU1602" s="36">
        <f>(Inventory[[#This Row],[Adjusted Total]]-Inventory[[#This Row],[24Final]])/Inventory[[#This Row],[24Final]]</f>
        <v>4.4316546762589927E-2</v>
      </c>
    </row>
    <row r="1603" spans="1:73" x14ac:dyDescent="0.3">
      <c r="A1603" s="25">
        <v>2025</v>
      </c>
      <c r="B1603" s="26" t="s">
        <v>1420</v>
      </c>
      <c r="C1603" s="26">
        <f>LN(Inventory[[#This Row],[Acres]])</f>
        <v>-1.5141277326297755</v>
      </c>
      <c r="D1603" s="25">
        <v>0.22</v>
      </c>
      <c r="E1603" s="25">
        <v>9418</v>
      </c>
      <c r="F1603" s="26" t="s">
        <v>537</v>
      </c>
      <c r="G1603" s="26" t="s">
        <v>126</v>
      </c>
      <c r="H1603" s="26" t="s">
        <v>349</v>
      </c>
      <c r="I1603" s="26" t="s">
        <v>538</v>
      </c>
      <c r="J1603" s="26" t="s">
        <v>539</v>
      </c>
      <c r="K1603" s="26" t="s">
        <v>173</v>
      </c>
      <c r="L1603" s="26" t="s">
        <v>351</v>
      </c>
      <c r="M1603" s="26" t="s">
        <v>323</v>
      </c>
      <c r="N1603" s="26">
        <v>90</v>
      </c>
      <c r="O1603" s="26">
        <f>2024-Inventory[[#This Row],[YrBlt]]</f>
        <v>89</v>
      </c>
      <c r="P1603" s="26">
        <f>2024-Inventory[[#This Row],[EffYr]]</f>
        <v>53</v>
      </c>
      <c r="Q1603" s="25">
        <v>1935</v>
      </c>
      <c r="R1603" s="25">
        <v>1971</v>
      </c>
      <c r="S1603" s="25">
        <v>1485</v>
      </c>
      <c r="T1603" s="32">
        <v>510</v>
      </c>
      <c r="U1603" s="31"/>
      <c r="V1603" s="31">
        <f>Inventory[[#This Row],[Bsmt]]-Inventory[[#This Row],[FnBsmt]]</f>
        <v>0</v>
      </c>
      <c r="W1603" s="31"/>
      <c r="X1603" s="27"/>
      <c r="Y1603" s="27">
        <f>Inventory[[#This Row],[MainFn]]+Inventory[[#This Row],[UpprFn]]+Inventory[[#This Row],[FnBsmt]]+Inventory[[#This Row],[AddFn]]</f>
        <v>1995</v>
      </c>
      <c r="Z1603" s="27">
        <v>2000</v>
      </c>
      <c r="AA1603" s="25">
        <v>5</v>
      </c>
      <c r="AB1603" s="27"/>
      <c r="AC1603" s="27"/>
      <c r="AD1603" s="27"/>
      <c r="AE1603" s="27"/>
      <c r="AF1603" s="27"/>
      <c r="AG1603" s="27"/>
      <c r="AH1603" s="27"/>
      <c r="AI1603" s="25">
        <v>270337</v>
      </c>
      <c r="AJ1603" s="25">
        <v>181126</v>
      </c>
      <c r="AK1603" s="25">
        <v>0</v>
      </c>
      <c r="AL1603" s="25">
        <v>311600</v>
      </c>
      <c r="AM1603" s="25">
        <v>61700</v>
      </c>
      <c r="AN1603" s="25">
        <v>249900</v>
      </c>
      <c r="AO1603" s="25">
        <v>0</v>
      </c>
      <c r="AP1603" s="25">
        <f>Lookups!$B$56*0</f>
        <v>0</v>
      </c>
      <c r="AQ1603" s="25">
        <f>Lookups!$B$56*1</f>
        <v>89850.625589999996</v>
      </c>
      <c r="AR1603" s="25">
        <f>Lookups!$B$57*Inventory[[#This Row],[LnAcres]]</f>
        <v>-47929.131559187132</v>
      </c>
      <c r="AS1603" s="25">
        <f>VLOOKUP(Inventory[[#This Row],[Qlty]],Lookups!$A$62:$E$75,2,FALSE)</f>
        <v>21557.329055999999</v>
      </c>
      <c r="AT1603" s="25">
        <f>VLOOKUP(Inventory[[#This Row],[Cnd]],Lookups!$A$76:$E$84,2,FALSE)</f>
        <v>160472.20319</v>
      </c>
      <c r="AU1603" s="25">
        <f>Inventory[[#This Row],[EffAge]]*Lookups!$B$85</f>
        <v>-11821.416826500001</v>
      </c>
      <c r="AV1603" s="25">
        <f>Inventory[[#This Row],[MainFn]]*Lookups!$B$86</f>
        <v>73371.874767344998</v>
      </c>
      <c r="AW1603" s="25">
        <f>Inventory[[#This Row],[UpprFn]]*Lookups!$B$87</f>
        <v>22841.07565911</v>
      </c>
      <c r="AX1603" s="25">
        <f>Inventory[[#This Row],[AddFn]]*Lookups!$B$88</f>
        <v>0</v>
      </c>
      <c r="AY1603" s="25">
        <f>Inventory[[#This Row],[Bsmt]]*Lookups!$B$89</f>
        <v>0</v>
      </c>
      <c r="AZ1603" s="25">
        <f>Inventory[[#This Row],[Fixtures]]*Lookups!$B$90</f>
        <v>18960.110526</v>
      </c>
      <c r="BA1603" s="25">
        <f>Inventory[[#This Row],[WdDeck]]*Lookups!$B$91</f>
        <v>0</v>
      </c>
      <c r="BB1603" s="25">
        <f>ROUND(Inventory[[#This Row],[25Det]],-2)</f>
        <v>0</v>
      </c>
      <c r="BC1603" s="25">
        <f>ROUND(SUM(Inventory[[#This Row],[Mdl Qlty]:[Mdl WdDeck]])+Inventory[[#This Row],[Mdl Res Intercept]],-2)</f>
        <v>285400</v>
      </c>
      <c r="BD1603" s="25">
        <f>ROUND(Inventory[[#This Row],[Mdl Land Intercept]]+Inventory[[#This Row],[Mdl LnAcres]],-2)</f>
        <v>41900</v>
      </c>
      <c r="BE1603" s="25">
        <f>Inventory[[#This Row],[Unadj Res Value]]+Inventory[[#This Row],[Unadj Det Value]]+Inventory[[#This Row],[Unadj Land Value]]</f>
        <v>327300</v>
      </c>
      <c r="BF1603" s="36">
        <f>(Inventory[[#This Row],[Unadj Total Value]]-Inventory[[#This Row],[24Final]])/Inventory[[#This Row],[24Final]]</f>
        <v>5.0385109114249038E-2</v>
      </c>
      <c r="BG1603" s="25">
        <f>VLOOKUP(Inventory[[#This Row],[Nbhd]],Lookups!$Q$2:$T$4,4,FALSE)</f>
        <v>0.99970000000000003</v>
      </c>
      <c r="BH1603" s="25">
        <f>VLOOKUP(Inventory[[#This Row],[Qlty]],Lookups!$O$7:$R$21,4,FALSE)</f>
        <v>1.0067999999999999</v>
      </c>
      <c r="BI1603" s="25">
        <f>VLOOKUP(Inventory[[#This Row],[Cnd]],Lookups!$T$7:$W$16,4,FALSE)</f>
        <v>0.99729999999999996</v>
      </c>
      <c r="BJ1603" s="25">
        <f>VLOOKUP(Inventory[[#This Row],[LivArea Range]],Lookups!$T$25:$W$37,4,FALSE)</f>
        <v>1.0093000000000001</v>
      </c>
      <c r="BK1603" s="25">
        <f>VLOOKUP(Inventory[[#This Row],[Decade]],Lookups!$O$25:$R$42,4,FALSE)</f>
        <v>0.98909999999999998</v>
      </c>
      <c r="BL1603" s="25">
        <f>Inventory[[#This Row],[Nbhd Adj]]*0.95</f>
        <v>0.94971499999999998</v>
      </c>
      <c r="BM1603" s="25">
        <f>Inventory[[#This Row],[Nbhd Adj]]*Inventory[[#This Row],[Quality Adj]]*Inventory[[#This Row],[Condition Adj]]*Inventory[[#This Row],[Living Area Adj]]*Inventory[[#This Row],[Decade Adj]]*0.95</f>
        <v>0.95196898294134369</v>
      </c>
      <c r="BN1603" s="25">
        <f>ROUND(SUM(Inventory[[#This Row],[Mdl Qlty]:[Mdl WdDeck]])+Inventory[[#This Row],[Mdl Res Intercept]]*Inventory[[#This Row],[Res Adj ]],-2)</f>
        <v>285400</v>
      </c>
      <c r="BO1603" s="25">
        <f>ROUND(Inventory[[#This Row],[25Det]]*Inventory[[#This Row],[Det/Nbhd Adj]],-2)</f>
        <v>0</v>
      </c>
      <c r="BP1603" s="25">
        <f>Inventory[[#This Row],[Adjusted Res]]+Inventory[[#This Row],[Adj Det ]]</f>
        <v>285400</v>
      </c>
      <c r="BQ1603" s="25">
        <f>ROUND((Inventory[[#This Row],[Mdl Land Intercept]]+Inventory[[#This Row],[Mdl LnAcres]])*Inventory[[#This Row],[Det/Nbhd Adj]],-2)</f>
        <v>39800</v>
      </c>
      <c r="BR1603" s="25">
        <f>Inventory[[#This Row],[Adjusted Impr Total]]+Inventory[[#This Row],[Adjusted Land Total]]</f>
        <v>325200</v>
      </c>
      <c r="BS1603" s="36">
        <f>IFERROR((Inventory[[#This Row],[Adjusted Impr Total]]-Inventory[[#This Row],[24Bldg]])/Inventory[[#This Row],[24Bldg]],0)</f>
        <v>0.14205682272909165</v>
      </c>
      <c r="BT1603" s="36">
        <f>(Inventory[[#This Row],[Adjusted Land Total]]-Inventory[[#This Row],[24Lnd]])/Inventory[[#This Row],[24Lnd]]</f>
        <v>-0.35494327390599678</v>
      </c>
      <c r="BU1603" s="36">
        <f>(Inventory[[#This Row],[Adjusted Total]]-Inventory[[#This Row],[24Final]])/Inventory[[#This Row],[24Final]]</f>
        <v>4.3645699614890884E-2</v>
      </c>
    </row>
    <row r="1604" spans="1:73" x14ac:dyDescent="0.3">
      <c r="A1604" s="25">
        <v>2025</v>
      </c>
      <c r="B1604" s="26" t="s">
        <v>1349</v>
      </c>
      <c r="C1604" s="26">
        <f>LN(Inventory[[#This Row],[Acres]])</f>
        <v>-1.3093333199837622</v>
      </c>
      <c r="D1604" s="25">
        <v>0.27</v>
      </c>
      <c r="E1604" s="25">
        <v>11798</v>
      </c>
      <c r="F1604" s="26" t="s">
        <v>537</v>
      </c>
      <c r="G1604" s="26" t="s">
        <v>126</v>
      </c>
      <c r="H1604" s="26" t="s">
        <v>349</v>
      </c>
      <c r="I1604" s="26" t="s">
        <v>538</v>
      </c>
      <c r="J1604" s="26" t="s">
        <v>539</v>
      </c>
      <c r="K1604" s="26" t="s">
        <v>173</v>
      </c>
      <c r="L1604" s="26" t="s">
        <v>351</v>
      </c>
      <c r="M1604" s="26" t="s">
        <v>323</v>
      </c>
      <c r="N1604" s="26">
        <v>90</v>
      </c>
      <c r="O1604" s="26">
        <f>2024-Inventory[[#This Row],[YrBlt]]</f>
        <v>89</v>
      </c>
      <c r="P1604" s="26">
        <f>2024-Inventory[[#This Row],[EffYr]]</f>
        <v>53</v>
      </c>
      <c r="Q1604" s="25">
        <v>1935</v>
      </c>
      <c r="R1604" s="25">
        <v>1971</v>
      </c>
      <c r="S1604" s="25">
        <v>1040</v>
      </c>
      <c r="T1604" s="25">
        <v>358</v>
      </c>
      <c r="U1604" s="32">
        <v>805</v>
      </c>
      <c r="V1604" s="32">
        <f>Inventory[[#This Row],[Bsmt]]-Inventory[[#This Row],[FnBsmt]]</f>
        <v>403</v>
      </c>
      <c r="W1604" s="32">
        <v>402</v>
      </c>
      <c r="X1604" s="27"/>
      <c r="Y1604" s="27">
        <f>Inventory[[#This Row],[MainFn]]+Inventory[[#This Row],[UpprFn]]+Inventory[[#This Row],[FnBsmt]]+Inventory[[#This Row],[AddFn]]</f>
        <v>1800</v>
      </c>
      <c r="Z1604" s="27">
        <v>2000</v>
      </c>
      <c r="AA1604" s="25">
        <v>8</v>
      </c>
      <c r="AB1604" s="27"/>
      <c r="AC1604" s="27"/>
      <c r="AD1604" s="27"/>
      <c r="AE1604" s="27"/>
      <c r="AF1604" s="27"/>
      <c r="AG1604" s="27"/>
      <c r="AH1604" s="27"/>
      <c r="AI1604" s="25">
        <v>266228</v>
      </c>
      <c r="AJ1604" s="25">
        <v>178373</v>
      </c>
      <c r="AK1604" s="25">
        <v>7472</v>
      </c>
      <c r="AL1604" s="25">
        <v>330100</v>
      </c>
      <c r="AM1604" s="25">
        <v>68900</v>
      </c>
      <c r="AN1604" s="25">
        <v>261200</v>
      </c>
      <c r="AO1604" s="25">
        <v>0</v>
      </c>
      <c r="AP1604" s="25">
        <f>Lookups!$B$56*0</f>
        <v>0</v>
      </c>
      <c r="AQ1604" s="25">
        <f>Lookups!$B$56*1</f>
        <v>89850.625589999996</v>
      </c>
      <c r="AR1604" s="25">
        <f>Lookups!$B$57*Inventory[[#This Row],[LnAcres]]</f>
        <v>-41446.443120973789</v>
      </c>
      <c r="AS1604" s="25">
        <f>VLOOKUP(Inventory[[#This Row],[Qlty]],Lookups!$A$62:$E$75,2,FALSE)</f>
        <v>21557.329055999999</v>
      </c>
      <c r="AT1604" s="25">
        <f>VLOOKUP(Inventory[[#This Row],[Cnd]],Lookups!$A$76:$E$84,2,FALSE)</f>
        <v>160472.20319</v>
      </c>
      <c r="AU1604" s="25">
        <f>Inventory[[#This Row],[EffAge]]*Lookups!$B$85</f>
        <v>-11821.416826500001</v>
      </c>
      <c r="AV1604" s="25">
        <f>Inventory[[#This Row],[MainFn]]*Lookups!$B$86</f>
        <v>51385.016672080004</v>
      </c>
      <c r="AW1604" s="25">
        <f>Inventory[[#This Row],[UpprFn]]*Lookups!$B$87</f>
        <v>16033.539384238</v>
      </c>
      <c r="AX1604" s="25">
        <f>Inventory[[#This Row],[AddFn]]*Lookups!$B$88</f>
        <v>0</v>
      </c>
      <c r="AY1604" s="25">
        <f>Inventory[[#This Row],[Bsmt]]*Lookups!$B$89</f>
        <v>23410.925673834998</v>
      </c>
      <c r="AZ1604" s="25">
        <f>Inventory[[#This Row],[Fixtures]]*Lookups!$B$90</f>
        <v>30336.176841600001</v>
      </c>
      <c r="BA1604" s="25">
        <f>Inventory[[#This Row],[WdDeck]]*Lookups!$B$91</f>
        <v>0</v>
      </c>
      <c r="BB1604" s="25">
        <f>ROUND(Inventory[[#This Row],[25Det]],-2)</f>
        <v>7500</v>
      </c>
      <c r="BC1604" s="25">
        <f>ROUND(SUM(Inventory[[#This Row],[Mdl Qlty]:[Mdl WdDeck]])+Inventory[[#This Row],[Mdl Res Intercept]],-2)</f>
        <v>291400</v>
      </c>
      <c r="BD1604" s="25">
        <f>ROUND(Inventory[[#This Row],[Mdl Land Intercept]]+Inventory[[#This Row],[Mdl LnAcres]],-2)</f>
        <v>48400</v>
      </c>
      <c r="BE1604" s="25">
        <f>Inventory[[#This Row],[Unadj Res Value]]+Inventory[[#This Row],[Unadj Det Value]]+Inventory[[#This Row],[Unadj Land Value]]</f>
        <v>347300</v>
      </c>
      <c r="BF1604" s="36">
        <f>(Inventory[[#This Row],[Unadj Total Value]]-Inventory[[#This Row],[24Final]])/Inventory[[#This Row],[24Final]]</f>
        <v>5.2105422599212359E-2</v>
      </c>
      <c r="BG1604" s="25">
        <f>VLOOKUP(Inventory[[#This Row],[Nbhd]],Lookups!$Q$2:$T$4,4,FALSE)</f>
        <v>0.99970000000000003</v>
      </c>
      <c r="BH1604" s="25">
        <f>VLOOKUP(Inventory[[#This Row],[Qlty]],Lookups!$O$7:$R$21,4,FALSE)</f>
        <v>1.0067999999999999</v>
      </c>
      <c r="BI1604" s="25">
        <f>VLOOKUP(Inventory[[#This Row],[Cnd]],Lookups!$T$7:$W$16,4,FALSE)</f>
        <v>0.99729999999999996</v>
      </c>
      <c r="BJ1604" s="25">
        <f>VLOOKUP(Inventory[[#This Row],[LivArea Range]],Lookups!$T$25:$W$37,4,FALSE)</f>
        <v>1.0093000000000001</v>
      </c>
      <c r="BK1604" s="25">
        <f>VLOOKUP(Inventory[[#This Row],[Decade]],Lookups!$O$25:$R$42,4,FALSE)</f>
        <v>0.98909999999999998</v>
      </c>
      <c r="BL1604" s="25">
        <f>Inventory[[#This Row],[Nbhd Adj]]*0.95</f>
        <v>0.94971499999999998</v>
      </c>
      <c r="BM1604" s="25">
        <f>Inventory[[#This Row],[Nbhd Adj]]*Inventory[[#This Row],[Quality Adj]]*Inventory[[#This Row],[Condition Adj]]*Inventory[[#This Row],[Living Area Adj]]*Inventory[[#This Row],[Decade Adj]]*0.95</f>
        <v>0.95196898294134369</v>
      </c>
      <c r="BN1604" s="25">
        <f>ROUND(SUM(Inventory[[#This Row],[Mdl Qlty]:[Mdl WdDeck]])+Inventory[[#This Row],[Mdl Res Intercept]]*Inventory[[#This Row],[Res Adj ]],-2)</f>
        <v>291400</v>
      </c>
      <c r="BO1604" s="25">
        <f>ROUND(Inventory[[#This Row],[25Det]]*Inventory[[#This Row],[Det/Nbhd Adj]],-2)</f>
        <v>7100</v>
      </c>
      <c r="BP1604" s="25">
        <f>Inventory[[#This Row],[Adjusted Res]]+Inventory[[#This Row],[Adj Det ]]</f>
        <v>298500</v>
      </c>
      <c r="BQ1604" s="25">
        <f>ROUND((Inventory[[#This Row],[Mdl Land Intercept]]+Inventory[[#This Row],[Mdl LnAcres]])*Inventory[[#This Row],[Det/Nbhd Adj]],-2)</f>
        <v>46000</v>
      </c>
      <c r="BR1604" s="25">
        <f>Inventory[[#This Row],[Adjusted Impr Total]]+Inventory[[#This Row],[Adjusted Land Total]]</f>
        <v>344500</v>
      </c>
      <c r="BS1604" s="36">
        <f>IFERROR((Inventory[[#This Row],[Adjusted Impr Total]]-Inventory[[#This Row],[24Bldg]])/Inventory[[#This Row],[24Bldg]],0)</f>
        <v>0.14280245022970903</v>
      </c>
      <c r="BT1604" s="36">
        <f>(Inventory[[#This Row],[Adjusted Land Total]]-Inventory[[#This Row],[24Lnd]])/Inventory[[#This Row],[24Lnd]]</f>
        <v>-0.33236574746008707</v>
      </c>
      <c r="BU1604" s="36">
        <f>(Inventory[[#This Row],[Adjusted Total]]-Inventory[[#This Row],[24Final]])/Inventory[[#This Row],[24Final]]</f>
        <v>4.3623144501666163E-2</v>
      </c>
    </row>
    <row r="1605" spans="1:73" x14ac:dyDescent="0.3">
      <c r="A1605" s="25">
        <v>2025</v>
      </c>
      <c r="B1605" s="26" t="s">
        <v>735</v>
      </c>
      <c r="C1605" s="26">
        <f>LN(Inventory[[#This Row],[Acres]])</f>
        <v>-1.6607312068216509</v>
      </c>
      <c r="D1605" s="25">
        <v>0.19</v>
      </c>
      <c r="E1605" s="25">
        <v>8200</v>
      </c>
      <c r="F1605" s="26" t="s">
        <v>537</v>
      </c>
      <c r="G1605" s="26" t="s">
        <v>126</v>
      </c>
      <c r="H1605" s="26" t="s">
        <v>349</v>
      </c>
      <c r="I1605" s="26" t="s">
        <v>538</v>
      </c>
      <c r="J1605" s="26" t="s">
        <v>539</v>
      </c>
      <c r="K1605" s="26" t="s">
        <v>242</v>
      </c>
      <c r="L1605" s="26" t="s">
        <v>351</v>
      </c>
      <c r="M1605" s="26" t="s">
        <v>323</v>
      </c>
      <c r="N1605" s="26">
        <v>90</v>
      </c>
      <c r="O1605" s="26">
        <f>2024-Inventory[[#This Row],[YrBlt]]</f>
        <v>89</v>
      </c>
      <c r="P1605" s="26">
        <f>2024-Inventory[[#This Row],[EffYr]]</f>
        <v>53</v>
      </c>
      <c r="Q1605" s="25">
        <v>1935</v>
      </c>
      <c r="R1605" s="25">
        <v>1971</v>
      </c>
      <c r="S1605" s="25">
        <v>900</v>
      </c>
      <c r="T1605" s="27"/>
      <c r="U1605" s="25">
        <v>810</v>
      </c>
      <c r="V1605" s="32">
        <f>Inventory[[#This Row],[Bsmt]]-Inventory[[#This Row],[FnBsmt]]</f>
        <v>0</v>
      </c>
      <c r="W1605" s="32">
        <v>810</v>
      </c>
      <c r="X1605" s="27"/>
      <c r="Y1605" s="27">
        <f>Inventory[[#This Row],[MainFn]]+Inventory[[#This Row],[UpprFn]]+Inventory[[#This Row],[FnBsmt]]+Inventory[[#This Row],[AddFn]]</f>
        <v>1710</v>
      </c>
      <c r="Z1605" s="27">
        <v>2000</v>
      </c>
      <c r="AA1605" s="25">
        <v>6</v>
      </c>
      <c r="AB1605" s="27"/>
      <c r="AC1605" s="27"/>
      <c r="AD1605" s="25">
        <v>459</v>
      </c>
      <c r="AE1605" s="27"/>
      <c r="AF1605" s="27"/>
      <c r="AG1605" s="27"/>
      <c r="AH1605" s="27"/>
      <c r="AI1605" s="25">
        <v>231385</v>
      </c>
      <c r="AJ1605" s="25">
        <v>155028</v>
      </c>
      <c r="AK1605" s="25">
        <v>4603</v>
      </c>
      <c r="AL1605" s="25">
        <v>302900</v>
      </c>
      <c r="AM1605" s="25">
        <v>56600</v>
      </c>
      <c r="AN1605" s="25">
        <v>246300</v>
      </c>
      <c r="AO1605" s="25">
        <v>0</v>
      </c>
      <c r="AP1605" s="25">
        <f>Lookups!$B$56*0</f>
        <v>0</v>
      </c>
      <c r="AQ1605" s="25">
        <f>Lookups!$B$56*1</f>
        <v>89850.625589999996</v>
      </c>
      <c r="AR1605" s="25">
        <f>Lookups!$B$57*Inventory[[#This Row],[LnAcres]]</f>
        <v>-52569.808201026557</v>
      </c>
      <c r="AS1605" s="25">
        <f>VLOOKUP(Inventory[[#This Row],[Qlty]],Lookups!$A$62:$E$75,2,FALSE)</f>
        <v>21557.329055999999</v>
      </c>
      <c r="AT1605" s="25">
        <f>VLOOKUP(Inventory[[#This Row],[Cnd]],Lookups!$A$76:$E$84,2,FALSE)</f>
        <v>160472.20319</v>
      </c>
      <c r="AU1605" s="25">
        <f>Inventory[[#This Row],[EffAge]]*Lookups!$B$85</f>
        <v>-11821.416826500001</v>
      </c>
      <c r="AV1605" s="25">
        <f>Inventory[[#This Row],[MainFn]]*Lookups!$B$86</f>
        <v>44467.802889300001</v>
      </c>
      <c r="AW1605" s="25">
        <f>Inventory[[#This Row],[UpprFn]]*Lookups!$B$87</f>
        <v>0</v>
      </c>
      <c r="AX1605" s="25">
        <f>Inventory[[#This Row],[AddFn]]*Lookups!$B$88</f>
        <v>0</v>
      </c>
      <c r="AY1605" s="25">
        <f>Inventory[[#This Row],[Bsmt]]*Lookups!$B$89</f>
        <v>23556.335150069997</v>
      </c>
      <c r="AZ1605" s="25">
        <f>Inventory[[#This Row],[Fixtures]]*Lookups!$B$90</f>
        <v>22752.132631200002</v>
      </c>
      <c r="BA1605" s="25">
        <f>Inventory[[#This Row],[WdDeck]]*Lookups!$B$91</f>
        <v>15282.641511684002</v>
      </c>
      <c r="BB1605" s="25">
        <f>ROUND(Inventory[[#This Row],[25Det]],-2)</f>
        <v>4600</v>
      </c>
      <c r="BC1605" s="25">
        <f>ROUND(SUM(Inventory[[#This Row],[Mdl Qlty]:[Mdl WdDeck]])+Inventory[[#This Row],[Mdl Res Intercept]],-2)</f>
        <v>276300</v>
      </c>
      <c r="BD1605" s="25">
        <f>ROUND(Inventory[[#This Row],[Mdl Land Intercept]]+Inventory[[#This Row],[Mdl LnAcres]],-2)</f>
        <v>37300</v>
      </c>
      <c r="BE1605" s="25">
        <f>Inventory[[#This Row],[Unadj Res Value]]+Inventory[[#This Row],[Unadj Det Value]]+Inventory[[#This Row],[Unadj Land Value]]</f>
        <v>318200</v>
      </c>
      <c r="BF1605" s="36">
        <f>(Inventory[[#This Row],[Unadj Total Value]]-Inventory[[#This Row],[24Final]])/Inventory[[#This Row],[24Final]]</f>
        <v>5.0511720039617035E-2</v>
      </c>
      <c r="BG1605" s="25">
        <f>VLOOKUP(Inventory[[#This Row],[Nbhd]],Lookups!$Q$2:$T$4,4,FALSE)</f>
        <v>0.99970000000000003</v>
      </c>
      <c r="BH1605" s="25">
        <f>VLOOKUP(Inventory[[#This Row],[Qlty]],Lookups!$O$7:$R$21,4,FALSE)</f>
        <v>1.0067999999999999</v>
      </c>
      <c r="BI1605" s="25">
        <f>VLOOKUP(Inventory[[#This Row],[Cnd]],Lookups!$T$7:$W$16,4,FALSE)</f>
        <v>0.99729999999999996</v>
      </c>
      <c r="BJ1605" s="25">
        <f>VLOOKUP(Inventory[[#This Row],[LivArea Range]],Lookups!$T$25:$W$37,4,FALSE)</f>
        <v>1.0093000000000001</v>
      </c>
      <c r="BK1605" s="25">
        <f>VLOOKUP(Inventory[[#This Row],[Decade]],Lookups!$O$25:$R$42,4,FALSE)</f>
        <v>0.98909999999999998</v>
      </c>
      <c r="BL1605" s="25">
        <f>Inventory[[#This Row],[Nbhd Adj]]*0.95</f>
        <v>0.94971499999999998</v>
      </c>
      <c r="BM1605" s="25">
        <f>Inventory[[#This Row],[Nbhd Adj]]*Inventory[[#This Row],[Quality Adj]]*Inventory[[#This Row],[Condition Adj]]*Inventory[[#This Row],[Living Area Adj]]*Inventory[[#This Row],[Decade Adj]]*0.95</f>
        <v>0.95196898294134369</v>
      </c>
      <c r="BN1605" s="25">
        <f>ROUND(SUM(Inventory[[#This Row],[Mdl Qlty]:[Mdl WdDeck]])+Inventory[[#This Row],[Mdl Res Intercept]]*Inventory[[#This Row],[Res Adj ]],-2)</f>
        <v>276300</v>
      </c>
      <c r="BO1605" s="25">
        <f>ROUND(Inventory[[#This Row],[25Det]]*Inventory[[#This Row],[Det/Nbhd Adj]],-2)</f>
        <v>4400</v>
      </c>
      <c r="BP1605" s="25">
        <f>Inventory[[#This Row],[Adjusted Res]]+Inventory[[#This Row],[Adj Det ]]</f>
        <v>280700</v>
      </c>
      <c r="BQ1605" s="25">
        <f>ROUND((Inventory[[#This Row],[Mdl Land Intercept]]+Inventory[[#This Row],[Mdl LnAcres]])*Inventory[[#This Row],[Det/Nbhd Adj]],-2)</f>
        <v>35400</v>
      </c>
      <c r="BR1605" s="25">
        <f>Inventory[[#This Row],[Adjusted Impr Total]]+Inventory[[#This Row],[Adjusted Land Total]]</f>
        <v>316100</v>
      </c>
      <c r="BS1605" s="36">
        <f>IFERROR((Inventory[[#This Row],[Adjusted Impr Total]]-Inventory[[#This Row],[24Bldg]])/Inventory[[#This Row],[24Bldg]],0)</f>
        <v>0.13966707267559886</v>
      </c>
      <c r="BT1605" s="36">
        <f>(Inventory[[#This Row],[Adjusted Land Total]]-Inventory[[#This Row],[24Lnd]])/Inventory[[#This Row],[24Lnd]]</f>
        <v>-0.37455830388692579</v>
      </c>
      <c r="BU1605" s="36">
        <f>(Inventory[[#This Row],[Adjusted Total]]-Inventory[[#This Row],[24Final]])/Inventory[[#This Row],[24Final]]</f>
        <v>4.3578738857708813E-2</v>
      </c>
    </row>
    <row r="1606" spans="1:73" x14ac:dyDescent="0.3">
      <c r="A1606" s="25">
        <v>2025</v>
      </c>
      <c r="B1606" s="26" t="s">
        <v>1396</v>
      </c>
      <c r="C1606" s="26">
        <f>LN(Inventory[[#This Row],[Acres]])</f>
        <v>-1.7147984280919266</v>
      </c>
      <c r="D1606" s="25">
        <v>0.18</v>
      </c>
      <c r="E1606" s="32">
        <v>7720</v>
      </c>
      <c r="F1606" s="26" t="s">
        <v>537</v>
      </c>
      <c r="G1606" s="26" t="s">
        <v>126</v>
      </c>
      <c r="H1606" s="26" t="s">
        <v>349</v>
      </c>
      <c r="I1606" s="26" t="s">
        <v>538</v>
      </c>
      <c r="J1606" s="26" t="s">
        <v>539</v>
      </c>
      <c r="K1606" s="26" t="s">
        <v>173</v>
      </c>
      <c r="L1606" s="26" t="s">
        <v>148</v>
      </c>
      <c r="M1606" s="26" t="s">
        <v>323</v>
      </c>
      <c r="N1606" s="26">
        <v>90</v>
      </c>
      <c r="O1606" s="26">
        <f>2024-Inventory[[#This Row],[YrBlt]]</f>
        <v>89</v>
      </c>
      <c r="P1606" s="26">
        <f>2024-Inventory[[#This Row],[EffYr]]</f>
        <v>53</v>
      </c>
      <c r="Q1606" s="25">
        <v>1935</v>
      </c>
      <c r="R1606" s="25">
        <v>1971</v>
      </c>
      <c r="S1606" s="25">
        <v>1488</v>
      </c>
      <c r="T1606" s="25">
        <v>564</v>
      </c>
      <c r="U1606" s="25">
        <v>1063</v>
      </c>
      <c r="V1606" s="25">
        <f>Inventory[[#This Row],[Bsmt]]-Inventory[[#This Row],[FnBsmt]]</f>
        <v>671</v>
      </c>
      <c r="W1606" s="25">
        <v>392</v>
      </c>
      <c r="X1606" s="27"/>
      <c r="Y1606" s="27">
        <f>Inventory[[#This Row],[MainFn]]+Inventory[[#This Row],[UpprFn]]+Inventory[[#This Row],[FnBsmt]]+Inventory[[#This Row],[AddFn]]</f>
        <v>2444</v>
      </c>
      <c r="Z1606" s="27">
        <v>2500</v>
      </c>
      <c r="AA1606" s="25">
        <v>10</v>
      </c>
      <c r="AB1606" s="27"/>
      <c r="AC1606" s="32">
        <v>425</v>
      </c>
      <c r="AD1606" s="27"/>
      <c r="AE1606" s="27"/>
      <c r="AF1606" s="27"/>
      <c r="AG1606" s="27"/>
      <c r="AH1606" s="27"/>
      <c r="AI1606" s="25">
        <v>507274</v>
      </c>
      <c r="AJ1606" s="25">
        <v>339874</v>
      </c>
      <c r="AK1606" s="25">
        <v>0</v>
      </c>
      <c r="AL1606" s="25">
        <v>377800</v>
      </c>
      <c r="AM1606" s="25">
        <v>54700</v>
      </c>
      <c r="AN1606" s="25">
        <v>323100</v>
      </c>
      <c r="AO1606" s="25">
        <v>0</v>
      </c>
      <c r="AP1606" s="25">
        <f>Lookups!$B$56*0</f>
        <v>0</v>
      </c>
      <c r="AQ1606" s="25">
        <f>Lookups!$B$56*1</f>
        <v>89850.625589999996</v>
      </c>
      <c r="AR1606" s="25">
        <f>Lookups!$B$57*Inventory[[#This Row],[LnAcres]]</f>
        <v>-54281.285314520763</v>
      </c>
      <c r="AS1606" s="25">
        <f>VLOOKUP(Inventory[[#This Row],[Qlty]],Lookups!$A$62:$E$75,2,FALSE)</f>
        <v>44121.038090000002</v>
      </c>
      <c r="AT1606" s="25">
        <f>VLOOKUP(Inventory[[#This Row],[Cnd]],Lookups!$A$76:$E$84,2,FALSE)</f>
        <v>160472.20319</v>
      </c>
      <c r="AU1606" s="25">
        <f>Inventory[[#This Row],[EffAge]]*Lookups!$B$85</f>
        <v>-11821.416826500001</v>
      </c>
      <c r="AV1606" s="25">
        <f>Inventory[[#This Row],[MainFn]]*Lookups!$B$86</f>
        <v>73520.100776976004</v>
      </c>
      <c r="AW1606" s="25">
        <f>Inventory[[#This Row],[UpprFn]]*Lookups!$B$87</f>
        <v>25259.542493604</v>
      </c>
      <c r="AX1606" s="25">
        <f>Inventory[[#This Row],[AddFn]]*Lookups!$B$88</f>
        <v>0</v>
      </c>
      <c r="AY1606" s="25">
        <f>Inventory[[#This Row],[Bsmt]]*Lookups!$B$89</f>
        <v>30914.054647560999</v>
      </c>
      <c r="AZ1606" s="25">
        <f>Inventory[[#This Row],[Fixtures]]*Lookups!$B$90</f>
        <v>37920.221052000001</v>
      </c>
      <c r="BA1606" s="25">
        <f>Inventory[[#This Row],[WdDeck]]*Lookups!$B$91</f>
        <v>0</v>
      </c>
      <c r="BB1606" s="25">
        <f>ROUND(Inventory[[#This Row],[25Det]],-2)</f>
        <v>0</v>
      </c>
      <c r="BC1606" s="25">
        <f>ROUND(SUM(Inventory[[#This Row],[Mdl Qlty]:[Mdl WdDeck]])+Inventory[[#This Row],[Mdl Res Intercept]],-2)</f>
        <v>360400</v>
      </c>
      <c r="BD1606" s="25">
        <f>ROUND(Inventory[[#This Row],[Mdl Land Intercept]]+Inventory[[#This Row],[Mdl LnAcres]],-2)</f>
        <v>35600</v>
      </c>
      <c r="BE1606" s="25">
        <f>Inventory[[#This Row],[Unadj Res Value]]+Inventory[[#This Row],[Unadj Det Value]]+Inventory[[#This Row],[Unadj Land Value]]</f>
        <v>396000</v>
      </c>
      <c r="BF1606" s="36">
        <f>(Inventory[[#This Row],[Unadj Total Value]]-Inventory[[#This Row],[24Final]])/Inventory[[#This Row],[24Final]]</f>
        <v>4.8173636844891475E-2</v>
      </c>
      <c r="BG1606" s="25">
        <f>VLOOKUP(Inventory[[#This Row],[Nbhd]],Lookups!$Q$2:$T$4,4,FALSE)</f>
        <v>0.99970000000000003</v>
      </c>
      <c r="BH1606" s="25">
        <f>VLOOKUP(Inventory[[#This Row],[Qlty]],Lookups!$O$7:$R$21,4,FALSE)</f>
        <v>0.98050000000000004</v>
      </c>
      <c r="BI1606" s="25">
        <f>VLOOKUP(Inventory[[#This Row],[Cnd]],Lookups!$T$7:$W$16,4,FALSE)</f>
        <v>0.99729999999999996</v>
      </c>
      <c r="BJ1606" s="25">
        <f>VLOOKUP(Inventory[[#This Row],[LivArea Range]],Lookups!$T$25:$W$37,4,FALSE)</f>
        <v>0.98919999999999997</v>
      </c>
      <c r="BK1606" s="25">
        <f>VLOOKUP(Inventory[[#This Row],[Decade]],Lookups!$O$25:$R$42,4,FALSE)</f>
        <v>0.98909999999999998</v>
      </c>
      <c r="BL1606" s="25">
        <f>Inventory[[#This Row],[Nbhd Adj]]*0.95</f>
        <v>0.94971499999999998</v>
      </c>
      <c r="BM1606" s="25">
        <f>Inventory[[#This Row],[Nbhd Adj]]*Inventory[[#This Row],[Quality Adj]]*Inventory[[#This Row],[Condition Adj]]*Inventory[[#This Row],[Living Area Adj]]*Inventory[[#This Row],[Decade Adj]]*0.95</f>
        <v>0.9086382690108219</v>
      </c>
      <c r="BN1606" s="25">
        <f>ROUND(SUM(Inventory[[#This Row],[Mdl Qlty]:[Mdl WdDeck]])+Inventory[[#This Row],[Mdl Res Intercept]]*Inventory[[#This Row],[Res Adj ]],-2)</f>
        <v>360400</v>
      </c>
      <c r="BO1606" s="25">
        <f>ROUND(Inventory[[#This Row],[25Det]]*Inventory[[#This Row],[Det/Nbhd Adj]],-2)</f>
        <v>0</v>
      </c>
      <c r="BP1606" s="25">
        <f>Inventory[[#This Row],[Adjusted Res]]+Inventory[[#This Row],[Adj Det ]]</f>
        <v>360400</v>
      </c>
      <c r="BQ1606" s="25">
        <f>ROUND((Inventory[[#This Row],[Mdl Land Intercept]]+Inventory[[#This Row],[Mdl LnAcres]])*Inventory[[#This Row],[Det/Nbhd Adj]],-2)</f>
        <v>33800</v>
      </c>
      <c r="BR1606" s="25">
        <f>Inventory[[#This Row],[Adjusted Impr Total]]+Inventory[[#This Row],[Adjusted Land Total]]</f>
        <v>394200</v>
      </c>
      <c r="BS1606" s="36">
        <f>IFERROR((Inventory[[#This Row],[Adjusted Impr Total]]-Inventory[[#This Row],[24Bldg]])/Inventory[[#This Row],[24Bldg]],0)</f>
        <v>0.11544413494274218</v>
      </c>
      <c r="BT1606" s="36">
        <f>(Inventory[[#This Row],[Adjusted Land Total]]-Inventory[[#This Row],[24Lnd]])/Inventory[[#This Row],[24Lnd]]</f>
        <v>-0.38208409506398539</v>
      </c>
      <c r="BU1606" s="36">
        <f>(Inventory[[#This Row],[Adjusted Total]]-Inventory[[#This Row],[24Final]])/Inventory[[#This Row],[24Final]]</f>
        <v>4.340921122286924E-2</v>
      </c>
    </row>
    <row r="1607" spans="1:73" x14ac:dyDescent="0.3">
      <c r="A1607" s="25">
        <v>2025</v>
      </c>
      <c r="B1607" s="26" t="s">
        <v>2554</v>
      </c>
      <c r="C1607" s="26">
        <f>LN(Inventory[[#This Row],[Acres]])</f>
        <v>-1.8971199848858813</v>
      </c>
      <c r="D1607" s="25">
        <v>0.15</v>
      </c>
      <c r="E1607" s="32">
        <v>6500</v>
      </c>
      <c r="F1607" s="26" t="s">
        <v>537</v>
      </c>
      <c r="G1607" s="26" t="s">
        <v>126</v>
      </c>
      <c r="H1607" s="26" t="s">
        <v>349</v>
      </c>
      <c r="I1607" s="26" t="s">
        <v>538</v>
      </c>
      <c r="J1607" s="26" t="s">
        <v>539</v>
      </c>
      <c r="K1607" s="26" t="s">
        <v>242</v>
      </c>
      <c r="L1607" s="26" t="s">
        <v>205</v>
      </c>
      <c r="M1607" s="26" t="s">
        <v>323</v>
      </c>
      <c r="N1607" s="26">
        <v>90</v>
      </c>
      <c r="O1607" s="26">
        <f>2024-Inventory[[#This Row],[YrBlt]]</f>
        <v>89</v>
      </c>
      <c r="P1607" s="26">
        <f>2024-Inventory[[#This Row],[EffYr]]</f>
        <v>53</v>
      </c>
      <c r="Q1607" s="25">
        <v>1935</v>
      </c>
      <c r="R1607" s="25">
        <v>1971</v>
      </c>
      <c r="S1607" s="25">
        <v>1080</v>
      </c>
      <c r="T1607" s="27"/>
      <c r="U1607" s="25">
        <v>400</v>
      </c>
      <c r="V1607" s="25">
        <f>Inventory[[#This Row],[Bsmt]]-Inventory[[#This Row],[FnBsmt]]</f>
        <v>400</v>
      </c>
      <c r="W1607" s="31"/>
      <c r="X1607" s="27"/>
      <c r="Y1607" s="27">
        <f>Inventory[[#This Row],[MainFn]]+Inventory[[#This Row],[UpprFn]]+Inventory[[#This Row],[FnBsmt]]+Inventory[[#This Row],[AddFn]]</f>
        <v>1080</v>
      </c>
      <c r="Z1607" s="27">
        <v>1500</v>
      </c>
      <c r="AA1607" s="25">
        <v>8</v>
      </c>
      <c r="AB1607" s="27"/>
      <c r="AC1607" s="27"/>
      <c r="AD1607" s="31"/>
      <c r="AE1607" s="27"/>
      <c r="AF1607" s="27"/>
      <c r="AG1607" s="27"/>
      <c r="AH1607" s="27"/>
      <c r="AI1607" s="25">
        <v>182776</v>
      </c>
      <c r="AJ1607" s="25">
        <v>122460</v>
      </c>
      <c r="AK1607" s="25">
        <v>7601</v>
      </c>
      <c r="AL1607" s="25">
        <v>268300</v>
      </c>
      <c r="AM1607" s="25">
        <v>48400</v>
      </c>
      <c r="AN1607" s="25">
        <v>219900</v>
      </c>
      <c r="AO1607" s="25">
        <v>0</v>
      </c>
      <c r="AP1607" s="25">
        <f>Lookups!$B$56*0</f>
        <v>0</v>
      </c>
      <c r="AQ1607" s="25">
        <f>Lookups!$B$56*1</f>
        <v>89850.625589999996</v>
      </c>
      <c r="AR1607" s="25">
        <f>Lookups!$B$57*Inventory[[#This Row],[LnAcres]]</f>
        <v>-60052.604136134301</v>
      </c>
      <c r="AS1607" s="25">
        <f>VLOOKUP(Inventory[[#This Row],[Qlty]],Lookups!$A$62:$E$75,2,FALSE)</f>
        <v>0</v>
      </c>
      <c r="AT1607" s="25">
        <f>VLOOKUP(Inventory[[#This Row],[Cnd]],Lookups!$A$76:$E$84,2,FALSE)</f>
        <v>160472.20319</v>
      </c>
      <c r="AU1607" s="25">
        <f>Inventory[[#This Row],[EffAge]]*Lookups!$B$85</f>
        <v>-11821.416826500001</v>
      </c>
      <c r="AV1607" s="25">
        <f>Inventory[[#This Row],[MainFn]]*Lookups!$B$86</f>
        <v>53361.363467160001</v>
      </c>
      <c r="AW1607" s="25">
        <f>Inventory[[#This Row],[UpprFn]]*Lookups!$B$87</f>
        <v>0</v>
      </c>
      <c r="AX1607" s="25">
        <f>Inventory[[#This Row],[AddFn]]*Lookups!$B$88</f>
        <v>0</v>
      </c>
      <c r="AY1607" s="25">
        <f>Inventory[[#This Row],[Bsmt]]*Lookups!$B$89</f>
        <v>11632.758098799999</v>
      </c>
      <c r="AZ1607" s="25">
        <f>Inventory[[#This Row],[Fixtures]]*Lookups!$B$90</f>
        <v>30336.176841600001</v>
      </c>
      <c r="BA1607" s="25">
        <f>Inventory[[#This Row],[WdDeck]]*Lookups!$B$91</f>
        <v>0</v>
      </c>
      <c r="BB1607" s="25">
        <f>ROUND(Inventory[[#This Row],[25Det]],-2)</f>
        <v>7600</v>
      </c>
      <c r="BC1607" s="25">
        <f>ROUND(SUM(Inventory[[#This Row],[Mdl Qlty]:[Mdl WdDeck]])+Inventory[[#This Row],[Mdl Res Intercept]],-2)</f>
        <v>244000</v>
      </c>
      <c r="BD1607" s="25">
        <f>ROUND(Inventory[[#This Row],[Mdl Land Intercept]]+Inventory[[#This Row],[Mdl LnAcres]],-2)</f>
        <v>29800</v>
      </c>
      <c r="BE1607" s="25">
        <f>Inventory[[#This Row],[Unadj Res Value]]+Inventory[[#This Row],[Unadj Det Value]]+Inventory[[#This Row],[Unadj Land Value]]</f>
        <v>281400</v>
      </c>
      <c r="BF1607" s="36">
        <f>(Inventory[[#This Row],[Unadj Total Value]]-Inventory[[#This Row],[24Final]])/Inventory[[#This Row],[24Final]]</f>
        <v>4.8825941110696984E-2</v>
      </c>
      <c r="BG1607" s="25">
        <f>VLOOKUP(Inventory[[#This Row],[Nbhd]],Lookups!$Q$2:$T$4,4,FALSE)</f>
        <v>0.99970000000000003</v>
      </c>
      <c r="BH1607" s="25">
        <f>VLOOKUP(Inventory[[#This Row],[Qlty]],Lookups!$O$7:$R$21,4,FALSE)</f>
        <v>0.99180000000000001</v>
      </c>
      <c r="BI1607" s="25">
        <f>VLOOKUP(Inventory[[#This Row],[Cnd]],Lookups!$T$7:$W$16,4,FALSE)</f>
        <v>0.99729999999999996</v>
      </c>
      <c r="BJ1607" s="25">
        <f>VLOOKUP(Inventory[[#This Row],[LivArea Range]],Lookups!$T$25:$W$37,4,FALSE)</f>
        <v>1.0157</v>
      </c>
      <c r="BK1607" s="25">
        <f>VLOOKUP(Inventory[[#This Row],[Decade]],Lookups!$O$25:$R$42,4,FALSE)</f>
        <v>0.98909999999999998</v>
      </c>
      <c r="BL1607" s="25">
        <f>Inventory[[#This Row],[Nbhd Adj]]*0.95</f>
        <v>0.94971499999999998</v>
      </c>
      <c r="BM1607" s="25">
        <f>Inventory[[#This Row],[Nbhd Adj]]*Inventory[[#This Row],[Quality Adj]]*Inventory[[#This Row],[Condition Adj]]*Inventory[[#This Row],[Living Area Adj]]*Inventory[[#This Row],[Decade Adj]]*0.95</f>
        <v>0.94373242022269987</v>
      </c>
      <c r="BN1607" s="25">
        <f>ROUND(SUM(Inventory[[#This Row],[Mdl Qlty]:[Mdl WdDeck]])+Inventory[[#This Row],[Mdl Res Intercept]]*Inventory[[#This Row],[Res Adj ]],-2)</f>
        <v>244000</v>
      </c>
      <c r="BO1607" s="25">
        <f>ROUND(Inventory[[#This Row],[25Det]]*Inventory[[#This Row],[Det/Nbhd Adj]],-2)</f>
        <v>7200</v>
      </c>
      <c r="BP1607" s="25">
        <f>Inventory[[#This Row],[Adjusted Res]]+Inventory[[#This Row],[Adj Det ]]</f>
        <v>251200</v>
      </c>
      <c r="BQ1607" s="25">
        <f>ROUND((Inventory[[#This Row],[Mdl Land Intercept]]+Inventory[[#This Row],[Mdl LnAcres]])*Inventory[[#This Row],[Det/Nbhd Adj]],-2)</f>
        <v>28300</v>
      </c>
      <c r="BR1607" s="25">
        <f>Inventory[[#This Row],[Adjusted Impr Total]]+Inventory[[#This Row],[Adjusted Land Total]]</f>
        <v>279500</v>
      </c>
      <c r="BS1607" s="36">
        <f>IFERROR((Inventory[[#This Row],[Adjusted Impr Total]]-Inventory[[#This Row],[24Bldg]])/Inventory[[#This Row],[24Bldg]],0)</f>
        <v>0.142337426102774</v>
      </c>
      <c r="BT1607" s="36">
        <f>(Inventory[[#This Row],[Adjusted Land Total]]-Inventory[[#This Row],[24Lnd]])/Inventory[[#This Row],[24Lnd]]</f>
        <v>-0.41528925619834711</v>
      </c>
      <c r="BU1607" s="36">
        <f>(Inventory[[#This Row],[Adjusted Total]]-Inventory[[#This Row],[24Final]])/Inventory[[#This Row],[24Final]]</f>
        <v>4.1744316064107341E-2</v>
      </c>
    </row>
    <row r="1608" spans="1:73" x14ac:dyDescent="0.3">
      <c r="A1608" s="25">
        <v>2025</v>
      </c>
      <c r="B1608" s="26" t="s">
        <v>1312</v>
      </c>
      <c r="C1608" s="26">
        <f>LN(Inventory[[#This Row],[Acres]])</f>
        <v>-1.8971199848858813</v>
      </c>
      <c r="D1608" s="25">
        <v>0.15</v>
      </c>
      <c r="E1608" s="27"/>
      <c r="F1608" s="26" t="s">
        <v>537</v>
      </c>
      <c r="G1608" s="26" t="s">
        <v>126</v>
      </c>
      <c r="H1608" s="26" t="s">
        <v>349</v>
      </c>
      <c r="I1608" s="26" t="s">
        <v>538</v>
      </c>
      <c r="J1608" s="26" t="s">
        <v>539</v>
      </c>
      <c r="K1608" s="26" t="s">
        <v>242</v>
      </c>
      <c r="L1608" s="26" t="s">
        <v>302</v>
      </c>
      <c r="M1608" s="26" t="s">
        <v>303</v>
      </c>
      <c r="N1608" s="26">
        <v>90</v>
      </c>
      <c r="O1608" s="26">
        <f>2024-Inventory[[#This Row],[YrBlt]]</f>
        <v>89</v>
      </c>
      <c r="P1608" s="26">
        <f>2024-Inventory[[#This Row],[EffYr]]</f>
        <v>53</v>
      </c>
      <c r="Q1608" s="25">
        <v>1935</v>
      </c>
      <c r="R1608" s="25">
        <v>1971</v>
      </c>
      <c r="S1608" s="25">
        <v>1395</v>
      </c>
      <c r="T1608" s="31"/>
      <c r="U1608" s="25">
        <v>1395</v>
      </c>
      <c r="V1608" s="25">
        <f>Inventory[[#This Row],[Bsmt]]-Inventory[[#This Row],[FnBsmt]]</f>
        <v>0</v>
      </c>
      <c r="W1608" s="25">
        <v>1395</v>
      </c>
      <c r="X1608" s="27"/>
      <c r="Y1608" s="27">
        <f>Inventory[[#This Row],[MainFn]]+Inventory[[#This Row],[UpprFn]]+Inventory[[#This Row],[FnBsmt]]+Inventory[[#This Row],[AddFn]]</f>
        <v>2790</v>
      </c>
      <c r="Z1608" s="27">
        <v>3000</v>
      </c>
      <c r="AA1608" s="25">
        <v>8</v>
      </c>
      <c r="AB1608" s="27"/>
      <c r="AC1608" s="27"/>
      <c r="AD1608" s="31"/>
      <c r="AE1608" s="27"/>
      <c r="AF1608" s="27"/>
      <c r="AG1608" s="27"/>
      <c r="AH1608" s="27"/>
      <c r="AI1608" s="25">
        <v>419647</v>
      </c>
      <c r="AJ1608" s="25">
        <v>289556</v>
      </c>
      <c r="AK1608" s="25">
        <v>13168</v>
      </c>
      <c r="AL1608" s="25">
        <v>380600</v>
      </c>
      <c r="AM1608" s="25">
        <v>48400</v>
      </c>
      <c r="AN1608" s="25">
        <v>332200</v>
      </c>
      <c r="AO1608" s="25">
        <v>0</v>
      </c>
      <c r="AP1608" s="25">
        <f>Lookups!$B$56*0</f>
        <v>0</v>
      </c>
      <c r="AQ1608" s="25">
        <f>Lookups!$B$56*1</f>
        <v>89850.625589999996</v>
      </c>
      <c r="AR1608" s="25">
        <f>Lookups!$B$57*Inventory[[#This Row],[LnAcres]]</f>
        <v>-60052.604136134301</v>
      </c>
      <c r="AS1608" s="25">
        <f>VLOOKUP(Inventory[[#This Row],[Qlty]],Lookups!$A$62:$E$75,2,FALSE)</f>
        <v>29814.093161000001</v>
      </c>
      <c r="AT1608" s="25">
        <f>VLOOKUP(Inventory[[#This Row],[Cnd]],Lookups!$A$76:$E$84,2,FALSE)</f>
        <v>197752.34721000001</v>
      </c>
      <c r="AU1608" s="25">
        <f>Inventory[[#This Row],[EffAge]]*Lookups!$B$85</f>
        <v>-11821.416826500001</v>
      </c>
      <c r="AV1608" s="25">
        <f>Inventory[[#This Row],[MainFn]]*Lookups!$B$86</f>
        <v>68925.094478415005</v>
      </c>
      <c r="AW1608" s="25">
        <f>Inventory[[#This Row],[UpprFn]]*Lookups!$B$87</f>
        <v>0</v>
      </c>
      <c r="AX1608" s="25">
        <f>Inventory[[#This Row],[AddFn]]*Lookups!$B$88</f>
        <v>0</v>
      </c>
      <c r="AY1608" s="25">
        <f>Inventory[[#This Row],[Bsmt]]*Lookups!$B$89</f>
        <v>40569.243869564998</v>
      </c>
      <c r="AZ1608" s="25">
        <f>Inventory[[#This Row],[Fixtures]]*Lookups!$B$90</f>
        <v>30336.176841600001</v>
      </c>
      <c r="BA1608" s="25">
        <f>Inventory[[#This Row],[WdDeck]]*Lookups!$B$91</f>
        <v>0</v>
      </c>
      <c r="BB1608" s="25">
        <f>ROUND(Inventory[[#This Row],[25Det]],-2)</f>
        <v>13200</v>
      </c>
      <c r="BC1608" s="25">
        <f>ROUND(SUM(Inventory[[#This Row],[Mdl Qlty]:[Mdl WdDeck]])+Inventory[[#This Row],[Mdl Res Intercept]],-2)</f>
        <v>355600</v>
      </c>
      <c r="BD1608" s="25">
        <f>ROUND(Inventory[[#This Row],[Mdl Land Intercept]]+Inventory[[#This Row],[Mdl LnAcres]],-2)</f>
        <v>29800</v>
      </c>
      <c r="BE1608" s="25">
        <f>Inventory[[#This Row],[Unadj Res Value]]+Inventory[[#This Row],[Unadj Det Value]]+Inventory[[#This Row],[Unadj Land Value]]</f>
        <v>398600</v>
      </c>
      <c r="BF1608" s="36">
        <f>(Inventory[[#This Row],[Unadj Total Value]]-Inventory[[#This Row],[24Final]])/Inventory[[#This Row],[24Final]]</f>
        <v>4.7293746715712036E-2</v>
      </c>
      <c r="BG1608" s="25">
        <f>VLOOKUP(Inventory[[#This Row],[Nbhd]],Lookups!$Q$2:$T$4,4,FALSE)</f>
        <v>0.99970000000000003</v>
      </c>
      <c r="BH1608" s="25">
        <f>VLOOKUP(Inventory[[#This Row],[Qlty]],Lookups!$O$7:$R$21,4,FALSE)</f>
        <v>1.0088999999999999</v>
      </c>
      <c r="BI1608" s="25">
        <f>VLOOKUP(Inventory[[#This Row],[Cnd]],Lookups!$T$7:$W$16,4,FALSE)</f>
        <v>0.99650000000000005</v>
      </c>
      <c r="BJ1608" s="25">
        <f>VLOOKUP(Inventory[[#This Row],[LivArea Range]],Lookups!$T$25:$W$37,4,FALSE)</f>
        <v>0.96179999999999999</v>
      </c>
      <c r="BK1608" s="25">
        <f>VLOOKUP(Inventory[[#This Row],[Decade]],Lookups!$O$25:$R$42,4,FALSE)</f>
        <v>0.98909999999999998</v>
      </c>
      <c r="BL1608" s="25">
        <f>Inventory[[#This Row],[Nbhd Adj]]*0.95</f>
        <v>0.94971499999999998</v>
      </c>
      <c r="BM1608" s="25">
        <f>Inventory[[#This Row],[Nbhd Adj]]*Inventory[[#This Row],[Quality Adj]]*Inventory[[#This Row],[Condition Adj]]*Inventory[[#This Row],[Living Area Adj]]*Inventory[[#This Row],[Decade Adj]]*0.95</f>
        <v>0.90833008140076499</v>
      </c>
      <c r="BN1608" s="25">
        <f>ROUND(SUM(Inventory[[#This Row],[Mdl Qlty]:[Mdl WdDeck]])+Inventory[[#This Row],[Mdl Res Intercept]]*Inventory[[#This Row],[Res Adj ]],-2)</f>
        <v>355600</v>
      </c>
      <c r="BO1608" s="25">
        <f>ROUND(Inventory[[#This Row],[25Det]]*Inventory[[#This Row],[Det/Nbhd Adj]],-2)</f>
        <v>12500</v>
      </c>
      <c r="BP1608" s="25">
        <f>Inventory[[#This Row],[Adjusted Res]]+Inventory[[#This Row],[Adj Det ]]</f>
        <v>368100</v>
      </c>
      <c r="BQ1608" s="25">
        <f>ROUND((Inventory[[#This Row],[Mdl Land Intercept]]+Inventory[[#This Row],[Mdl LnAcres]])*Inventory[[#This Row],[Det/Nbhd Adj]],-2)</f>
        <v>28300</v>
      </c>
      <c r="BR1608" s="25">
        <f>Inventory[[#This Row],[Adjusted Impr Total]]+Inventory[[#This Row],[Adjusted Land Total]]</f>
        <v>396400</v>
      </c>
      <c r="BS1608" s="36">
        <f>IFERROR((Inventory[[#This Row],[Adjusted Impr Total]]-Inventory[[#This Row],[24Bldg]])/Inventory[[#This Row],[24Bldg]],0)</f>
        <v>0.10806742925948223</v>
      </c>
      <c r="BT1608" s="36">
        <f>(Inventory[[#This Row],[Adjusted Land Total]]-Inventory[[#This Row],[24Lnd]])/Inventory[[#This Row],[24Lnd]]</f>
        <v>-0.41528925619834711</v>
      </c>
      <c r="BU1608" s="36">
        <f>(Inventory[[#This Row],[Adjusted Total]]-Inventory[[#This Row],[24Final]])/Inventory[[#This Row],[24Final]]</f>
        <v>4.1513399894902783E-2</v>
      </c>
    </row>
    <row r="1609" spans="1:73" x14ac:dyDescent="0.3">
      <c r="A1609" s="25">
        <v>2025</v>
      </c>
      <c r="B1609" s="26" t="s">
        <v>2631</v>
      </c>
      <c r="C1609" s="26">
        <f>LN(Inventory[[#This Row],[Acres]])</f>
        <v>-1.9661128563728327</v>
      </c>
      <c r="D1609" s="25">
        <v>0.14000000000000001</v>
      </c>
      <c r="E1609" s="27"/>
      <c r="F1609" s="26" t="s">
        <v>537</v>
      </c>
      <c r="G1609" s="26" t="s">
        <v>126</v>
      </c>
      <c r="H1609" s="26" t="s">
        <v>349</v>
      </c>
      <c r="I1609" s="26" t="s">
        <v>538</v>
      </c>
      <c r="J1609" s="26" t="s">
        <v>539</v>
      </c>
      <c r="K1609" s="26" t="s">
        <v>269</v>
      </c>
      <c r="L1609" s="26" t="s">
        <v>205</v>
      </c>
      <c r="M1609" s="26" t="s">
        <v>323</v>
      </c>
      <c r="N1609" s="26">
        <v>90</v>
      </c>
      <c r="O1609" s="26">
        <f>2024-Inventory[[#This Row],[YrBlt]]</f>
        <v>89</v>
      </c>
      <c r="P1609" s="26">
        <f>2024-Inventory[[#This Row],[EffYr]]</f>
        <v>53</v>
      </c>
      <c r="Q1609" s="25">
        <v>1935</v>
      </c>
      <c r="R1609" s="25">
        <v>1971</v>
      </c>
      <c r="S1609" s="25">
        <v>990</v>
      </c>
      <c r="T1609" s="27"/>
      <c r="U1609" s="25">
        <v>990</v>
      </c>
      <c r="V1609" s="25">
        <f>Inventory[[#This Row],[Bsmt]]-Inventory[[#This Row],[FnBsmt]]</f>
        <v>740</v>
      </c>
      <c r="W1609" s="25">
        <v>250</v>
      </c>
      <c r="X1609" s="27"/>
      <c r="Y1609" s="27">
        <f>Inventory[[#This Row],[MainFn]]+Inventory[[#This Row],[UpprFn]]+Inventory[[#This Row],[FnBsmt]]+Inventory[[#This Row],[AddFn]]</f>
        <v>1240</v>
      </c>
      <c r="Z1609" s="27">
        <v>1500</v>
      </c>
      <c r="AA1609" s="25">
        <v>5</v>
      </c>
      <c r="AB1609" s="27"/>
      <c r="AC1609" s="27"/>
      <c r="AD1609" s="27"/>
      <c r="AE1609" s="27"/>
      <c r="AF1609" s="27"/>
      <c r="AG1609" s="27"/>
      <c r="AH1609" s="27"/>
      <c r="AI1609" s="25">
        <v>202133</v>
      </c>
      <c r="AJ1609" s="25">
        <v>135429</v>
      </c>
      <c r="AK1609" s="25">
        <v>4350</v>
      </c>
      <c r="AL1609" s="25">
        <v>265200</v>
      </c>
      <c r="AM1609" s="25">
        <v>46000</v>
      </c>
      <c r="AN1609" s="25">
        <v>219200</v>
      </c>
      <c r="AO1609" s="25">
        <v>0</v>
      </c>
      <c r="AP1609" s="25">
        <f>Lookups!$B$56*0</f>
        <v>0</v>
      </c>
      <c r="AQ1609" s="25">
        <f>Lookups!$B$56*1</f>
        <v>89850.625589999996</v>
      </c>
      <c r="AR1609" s="25">
        <f>Lookups!$B$57*Inventory[[#This Row],[LnAcres]]</f>
        <v>-62236.546971921947</v>
      </c>
      <c r="AS1609" s="25">
        <f>VLOOKUP(Inventory[[#This Row],[Qlty]],Lookups!$A$62:$E$75,2,FALSE)</f>
        <v>0</v>
      </c>
      <c r="AT1609" s="25">
        <f>VLOOKUP(Inventory[[#This Row],[Cnd]],Lookups!$A$76:$E$84,2,FALSE)</f>
        <v>160472.20319</v>
      </c>
      <c r="AU1609" s="25">
        <f>Inventory[[#This Row],[EffAge]]*Lookups!$B$85</f>
        <v>-11821.416826500001</v>
      </c>
      <c r="AV1609" s="25">
        <f>Inventory[[#This Row],[MainFn]]*Lookups!$B$86</f>
        <v>48914.583178230001</v>
      </c>
      <c r="AW1609" s="25">
        <f>Inventory[[#This Row],[UpprFn]]*Lookups!$B$87</f>
        <v>0</v>
      </c>
      <c r="AX1609" s="25">
        <f>Inventory[[#This Row],[AddFn]]*Lookups!$B$88</f>
        <v>0</v>
      </c>
      <c r="AY1609" s="25">
        <f>Inventory[[#This Row],[Bsmt]]*Lookups!$B$89</f>
        <v>28791.076294529998</v>
      </c>
      <c r="AZ1609" s="25">
        <f>Inventory[[#This Row],[Fixtures]]*Lookups!$B$90</f>
        <v>18960.110526</v>
      </c>
      <c r="BA1609" s="25">
        <f>Inventory[[#This Row],[WdDeck]]*Lookups!$B$91</f>
        <v>0</v>
      </c>
      <c r="BB1609" s="25">
        <f>ROUND(Inventory[[#This Row],[25Det]],-2)</f>
        <v>4400</v>
      </c>
      <c r="BC1609" s="25">
        <f>ROUND(SUM(Inventory[[#This Row],[Mdl Qlty]:[Mdl WdDeck]])+Inventory[[#This Row],[Mdl Res Intercept]],-2)</f>
        <v>245300</v>
      </c>
      <c r="BD1609" s="25">
        <f>ROUND(Inventory[[#This Row],[Mdl Land Intercept]]+Inventory[[#This Row],[Mdl LnAcres]],-2)</f>
        <v>27600</v>
      </c>
      <c r="BE1609" s="25">
        <f>Inventory[[#This Row],[Unadj Res Value]]+Inventory[[#This Row],[Unadj Det Value]]+Inventory[[#This Row],[Unadj Land Value]]</f>
        <v>277300</v>
      </c>
      <c r="BF1609" s="36">
        <f>(Inventory[[#This Row],[Unadj Total Value]]-Inventory[[#This Row],[24Final]])/Inventory[[#This Row],[24Final]]</f>
        <v>4.5625942684766212E-2</v>
      </c>
      <c r="BG1609" s="25">
        <f>VLOOKUP(Inventory[[#This Row],[Nbhd]],Lookups!$Q$2:$T$4,4,FALSE)</f>
        <v>0.99970000000000003</v>
      </c>
      <c r="BH1609" s="25">
        <f>VLOOKUP(Inventory[[#This Row],[Qlty]],Lookups!$O$7:$R$21,4,FALSE)</f>
        <v>0.99180000000000001</v>
      </c>
      <c r="BI1609" s="25">
        <f>VLOOKUP(Inventory[[#This Row],[Cnd]],Lookups!$T$7:$W$16,4,FALSE)</f>
        <v>0.99729999999999996</v>
      </c>
      <c r="BJ1609" s="25">
        <f>VLOOKUP(Inventory[[#This Row],[LivArea Range]],Lookups!$T$25:$W$37,4,FALSE)</f>
        <v>1.0157</v>
      </c>
      <c r="BK1609" s="25">
        <f>VLOOKUP(Inventory[[#This Row],[Decade]],Lookups!$O$25:$R$42,4,FALSE)</f>
        <v>0.98909999999999998</v>
      </c>
      <c r="BL1609" s="25">
        <f>Inventory[[#This Row],[Nbhd Adj]]*0.95</f>
        <v>0.94971499999999998</v>
      </c>
      <c r="BM1609" s="25">
        <f>Inventory[[#This Row],[Nbhd Adj]]*Inventory[[#This Row],[Quality Adj]]*Inventory[[#This Row],[Condition Adj]]*Inventory[[#This Row],[Living Area Adj]]*Inventory[[#This Row],[Decade Adj]]*0.95</f>
        <v>0.94373242022269987</v>
      </c>
      <c r="BN1609" s="25">
        <f>ROUND(SUM(Inventory[[#This Row],[Mdl Qlty]:[Mdl WdDeck]])+Inventory[[#This Row],[Mdl Res Intercept]]*Inventory[[#This Row],[Res Adj ]],-2)</f>
        <v>245300</v>
      </c>
      <c r="BO1609" s="25">
        <f>ROUND(Inventory[[#This Row],[25Det]]*Inventory[[#This Row],[Det/Nbhd Adj]],-2)</f>
        <v>4100</v>
      </c>
      <c r="BP1609" s="25">
        <f>Inventory[[#This Row],[Adjusted Res]]+Inventory[[#This Row],[Adj Det ]]</f>
        <v>249400</v>
      </c>
      <c r="BQ1609" s="25">
        <f>ROUND((Inventory[[#This Row],[Mdl Land Intercept]]+Inventory[[#This Row],[Mdl LnAcres]])*Inventory[[#This Row],[Det/Nbhd Adj]],-2)</f>
        <v>26200</v>
      </c>
      <c r="BR1609" s="25">
        <f>Inventory[[#This Row],[Adjusted Impr Total]]+Inventory[[#This Row],[Adjusted Land Total]]</f>
        <v>275600</v>
      </c>
      <c r="BS1609" s="36">
        <f>IFERROR((Inventory[[#This Row],[Adjusted Impr Total]]-Inventory[[#This Row],[24Bldg]])/Inventory[[#This Row],[24Bldg]],0)</f>
        <v>0.13777372262773724</v>
      </c>
      <c r="BT1609" s="36">
        <f>(Inventory[[#This Row],[Adjusted Land Total]]-Inventory[[#This Row],[24Lnd]])/Inventory[[#This Row],[24Lnd]]</f>
        <v>-0.43043478260869567</v>
      </c>
      <c r="BU1609" s="36">
        <f>(Inventory[[#This Row],[Adjusted Total]]-Inventory[[#This Row],[24Final]])/Inventory[[#This Row],[24Final]]</f>
        <v>3.9215686274509803E-2</v>
      </c>
    </row>
    <row r="1610" spans="1:73" x14ac:dyDescent="0.3">
      <c r="A1610" s="25">
        <v>2025</v>
      </c>
      <c r="B1610" s="26" t="s">
        <v>2349</v>
      </c>
      <c r="C1610" s="26">
        <f>LN(Inventory[[#This Row],[Acres]])</f>
        <v>-1.6094379124341003</v>
      </c>
      <c r="D1610" s="25">
        <v>0.2</v>
      </c>
      <c r="E1610" s="25">
        <v>8748</v>
      </c>
      <c r="F1610" s="26" t="s">
        <v>537</v>
      </c>
      <c r="G1610" s="26" t="s">
        <v>126</v>
      </c>
      <c r="H1610" s="26" t="s">
        <v>349</v>
      </c>
      <c r="I1610" s="26" t="s">
        <v>538</v>
      </c>
      <c r="J1610" s="26" t="s">
        <v>539</v>
      </c>
      <c r="K1610" s="26" t="s">
        <v>242</v>
      </c>
      <c r="L1610" s="26" t="s">
        <v>351</v>
      </c>
      <c r="M1610" s="26" t="s">
        <v>323</v>
      </c>
      <c r="N1610" s="26">
        <v>90</v>
      </c>
      <c r="O1610" s="26">
        <f>2024-Inventory[[#This Row],[YrBlt]]</f>
        <v>89</v>
      </c>
      <c r="P1610" s="26">
        <f>2024-Inventory[[#This Row],[EffYr]]</f>
        <v>53</v>
      </c>
      <c r="Q1610" s="25">
        <v>1935</v>
      </c>
      <c r="R1610" s="25">
        <v>1971</v>
      </c>
      <c r="S1610" s="25">
        <v>1074</v>
      </c>
      <c r="T1610" s="27"/>
      <c r="U1610" s="25">
        <v>537</v>
      </c>
      <c r="V1610" s="25">
        <f>Inventory[[#This Row],[Bsmt]]-Inventory[[#This Row],[FnBsmt]]</f>
        <v>5</v>
      </c>
      <c r="W1610" s="25">
        <v>532</v>
      </c>
      <c r="X1610" s="27"/>
      <c r="Y1610" s="27">
        <f>Inventory[[#This Row],[MainFn]]+Inventory[[#This Row],[UpprFn]]+Inventory[[#This Row],[FnBsmt]]+Inventory[[#This Row],[AddFn]]</f>
        <v>1606</v>
      </c>
      <c r="Z1610" s="27">
        <v>2000</v>
      </c>
      <c r="AA1610" s="25">
        <v>5</v>
      </c>
      <c r="AB1610" s="27"/>
      <c r="AC1610" s="27"/>
      <c r="AD1610" s="27"/>
      <c r="AE1610" s="27"/>
      <c r="AF1610" s="27"/>
      <c r="AG1610" s="27"/>
      <c r="AH1610" s="27"/>
      <c r="AI1610" s="25">
        <v>232536</v>
      </c>
      <c r="AJ1610" s="25">
        <v>155799</v>
      </c>
      <c r="AK1610" s="25">
        <v>7345</v>
      </c>
      <c r="AL1610" s="25">
        <v>290600</v>
      </c>
      <c r="AM1610" s="25">
        <v>58400</v>
      </c>
      <c r="AN1610" s="25">
        <v>232200</v>
      </c>
      <c r="AO1610" s="25">
        <v>0</v>
      </c>
      <c r="AP1610" s="25">
        <f>Lookups!$B$56*0</f>
        <v>0</v>
      </c>
      <c r="AQ1610" s="25">
        <f>Lookups!$B$56*1</f>
        <v>89850.625589999996</v>
      </c>
      <c r="AR1610" s="25">
        <f>Lookups!$B$57*Inventory[[#This Row],[LnAcres]]</f>
        <v>-50946.13867709865</v>
      </c>
      <c r="AS1610" s="25">
        <f>VLOOKUP(Inventory[[#This Row],[Qlty]],Lookups!$A$62:$E$75,2,FALSE)</f>
        <v>21557.329055999999</v>
      </c>
      <c r="AT1610" s="25">
        <f>VLOOKUP(Inventory[[#This Row],[Cnd]],Lookups!$A$76:$E$84,2,FALSE)</f>
        <v>160472.20319</v>
      </c>
      <c r="AU1610" s="25">
        <f>Inventory[[#This Row],[EffAge]]*Lookups!$B$85</f>
        <v>-11821.416826500001</v>
      </c>
      <c r="AV1610" s="25">
        <f>Inventory[[#This Row],[MainFn]]*Lookups!$B$86</f>
        <v>53064.911447898005</v>
      </c>
      <c r="AW1610" s="25">
        <f>Inventory[[#This Row],[UpprFn]]*Lookups!$B$87</f>
        <v>0</v>
      </c>
      <c r="AX1610" s="25">
        <f>Inventory[[#This Row],[AddFn]]*Lookups!$B$88</f>
        <v>0</v>
      </c>
      <c r="AY1610" s="25">
        <f>Inventory[[#This Row],[Bsmt]]*Lookups!$B$89</f>
        <v>15616.977747638999</v>
      </c>
      <c r="AZ1610" s="25">
        <f>Inventory[[#This Row],[Fixtures]]*Lookups!$B$90</f>
        <v>18960.110526</v>
      </c>
      <c r="BA1610" s="25">
        <f>Inventory[[#This Row],[WdDeck]]*Lookups!$B$91</f>
        <v>0</v>
      </c>
      <c r="BB1610" s="25">
        <f>ROUND(Inventory[[#This Row],[25Det]],-2)</f>
        <v>7300</v>
      </c>
      <c r="BC1610" s="25">
        <f>ROUND(SUM(Inventory[[#This Row],[Mdl Qlty]:[Mdl WdDeck]])+Inventory[[#This Row],[Mdl Res Intercept]],-2)</f>
        <v>257900</v>
      </c>
      <c r="BD1610" s="25">
        <f>ROUND(Inventory[[#This Row],[Mdl Land Intercept]]+Inventory[[#This Row],[Mdl LnAcres]],-2)</f>
        <v>38900</v>
      </c>
      <c r="BE1610" s="25">
        <f>Inventory[[#This Row],[Unadj Res Value]]+Inventory[[#This Row],[Unadj Det Value]]+Inventory[[#This Row],[Unadj Land Value]]</f>
        <v>304100</v>
      </c>
      <c r="BF1610" s="36">
        <f>(Inventory[[#This Row],[Unadj Total Value]]-Inventory[[#This Row],[24Final]])/Inventory[[#This Row],[24Final]]</f>
        <v>4.6455609084652447E-2</v>
      </c>
      <c r="BG1610" s="25">
        <f>VLOOKUP(Inventory[[#This Row],[Nbhd]],Lookups!$Q$2:$T$4,4,FALSE)</f>
        <v>0.99970000000000003</v>
      </c>
      <c r="BH1610" s="25">
        <f>VLOOKUP(Inventory[[#This Row],[Qlty]],Lookups!$O$7:$R$21,4,FALSE)</f>
        <v>1.0067999999999999</v>
      </c>
      <c r="BI1610" s="25">
        <f>VLOOKUP(Inventory[[#This Row],[Cnd]],Lookups!$T$7:$W$16,4,FALSE)</f>
        <v>0.99729999999999996</v>
      </c>
      <c r="BJ1610" s="25">
        <f>VLOOKUP(Inventory[[#This Row],[LivArea Range]],Lookups!$T$25:$W$37,4,FALSE)</f>
        <v>1.0093000000000001</v>
      </c>
      <c r="BK1610" s="25">
        <f>VLOOKUP(Inventory[[#This Row],[Decade]],Lookups!$O$25:$R$42,4,FALSE)</f>
        <v>0.98909999999999998</v>
      </c>
      <c r="BL1610" s="25">
        <f>Inventory[[#This Row],[Nbhd Adj]]*0.95</f>
        <v>0.94971499999999998</v>
      </c>
      <c r="BM1610" s="25">
        <f>Inventory[[#This Row],[Nbhd Adj]]*Inventory[[#This Row],[Quality Adj]]*Inventory[[#This Row],[Condition Adj]]*Inventory[[#This Row],[Living Area Adj]]*Inventory[[#This Row],[Decade Adj]]*0.95</f>
        <v>0.95196898294134369</v>
      </c>
      <c r="BN1610" s="25">
        <f>ROUND(SUM(Inventory[[#This Row],[Mdl Qlty]:[Mdl WdDeck]])+Inventory[[#This Row],[Mdl Res Intercept]]*Inventory[[#This Row],[Res Adj ]],-2)</f>
        <v>257900</v>
      </c>
      <c r="BO1610" s="25">
        <f>ROUND(Inventory[[#This Row],[25Det]]*Inventory[[#This Row],[Det/Nbhd Adj]],-2)</f>
        <v>7000</v>
      </c>
      <c r="BP1610" s="25">
        <f>Inventory[[#This Row],[Adjusted Res]]+Inventory[[#This Row],[Adj Det ]]</f>
        <v>264900</v>
      </c>
      <c r="BQ1610" s="25">
        <f>ROUND((Inventory[[#This Row],[Mdl Land Intercept]]+Inventory[[#This Row],[Mdl LnAcres]])*Inventory[[#This Row],[Det/Nbhd Adj]],-2)</f>
        <v>36900</v>
      </c>
      <c r="BR1610" s="25">
        <f>Inventory[[#This Row],[Adjusted Impr Total]]+Inventory[[#This Row],[Adjusted Land Total]]</f>
        <v>301800</v>
      </c>
      <c r="BS1610" s="36">
        <f>IFERROR((Inventory[[#This Row],[Adjusted Impr Total]]-Inventory[[#This Row],[24Bldg]])/Inventory[[#This Row],[24Bldg]],0)</f>
        <v>0.14082687338501293</v>
      </c>
      <c r="BT1610" s="36">
        <f>(Inventory[[#This Row],[Adjusted Land Total]]-Inventory[[#This Row],[24Lnd]])/Inventory[[#This Row],[24Lnd]]</f>
        <v>-0.36815068493150682</v>
      </c>
      <c r="BU1610" s="36">
        <f>(Inventory[[#This Row],[Adjusted Total]]-Inventory[[#This Row],[24Final]])/Inventory[[#This Row],[24Final]]</f>
        <v>3.8540949759119064E-2</v>
      </c>
    </row>
    <row r="1611" spans="1:73" x14ac:dyDescent="0.3">
      <c r="A1611" s="25">
        <v>2025</v>
      </c>
      <c r="B1611" s="26" t="s">
        <v>675</v>
      </c>
      <c r="C1611" s="26">
        <f>LN(Inventory[[#This Row],[Acres]])</f>
        <v>-1.5606477482646683</v>
      </c>
      <c r="D1611" s="25">
        <v>0.21</v>
      </c>
      <c r="E1611" s="25">
        <v>8950</v>
      </c>
      <c r="F1611" s="26" t="s">
        <v>537</v>
      </c>
      <c r="G1611" s="26" t="s">
        <v>126</v>
      </c>
      <c r="H1611" s="26" t="s">
        <v>349</v>
      </c>
      <c r="I1611" s="26" t="s">
        <v>538</v>
      </c>
      <c r="J1611" s="26" t="s">
        <v>539</v>
      </c>
      <c r="K1611" s="26" t="s">
        <v>269</v>
      </c>
      <c r="L1611" s="26" t="s">
        <v>351</v>
      </c>
      <c r="M1611" s="26" t="s">
        <v>323</v>
      </c>
      <c r="N1611" s="26">
        <v>90</v>
      </c>
      <c r="O1611" s="26">
        <f>2024-Inventory[[#This Row],[YrBlt]]</f>
        <v>89</v>
      </c>
      <c r="P1611" s="26">
        <f>2024-Inventory[[#This Row],[EffYr]]</f>
        <v>53</v>
      </c>
      <c r="Q1611" s="25">
        <v>1935</v>
      </c>
      <c r="R1611" s="25">
        <v>1971</v>
      </c>
      <c r="S1611" s="25">
        <v>622</v>
      </c>
      <c r="T1611" s="27"/>
      <c r="U1611" s="25">
        <v>494</v>
      </c>
      <c r="V1611" s="25">
        <f>Inventory[[#This Row],[Bsmt]]-Inventory[[#This Row],[FnBsmt]]</f>
        <v>0</v>
      </c>
      <c r="W1611" s="25">
        <v>494</v>
      </c>
      <c r="X1611" s="27"/>
      <c r="Y1611" s="27">
        <f>Inventory[[#This Row],[MainFn]]+Inventory[[#This Row],[UpprFn]]+Inventory[[#This Row],[FnBsmt]]+Inventory[[#This Row],[AddFn]]</f>
        <v>1116</v>
      </c>
      <c r="Z1611" s="27">
        <v>1500</v>
      </c>
      <c r="AA1611" s="25">
        <v>5</v>
      </c>
      <c r="AB1611" s="27"/>
      <c r="AC1611" s="31"/>
      <c r="AD1611" s="31"/>
      <c r="AE1611" s="27"/>
      <c r="AF1611" s="27"/>
      <c r="AG1611" s="27"/>
      <c r="AH1611" s="27"/>
      <c r="AI1611" s="25">
        <v>152619</v>
      </c>
      <c r="AJ1611" s="25">
        <v>102255</v>
      </c>
      <c r="AK1611" s="25">
        <v>3906</v>
      </c>
      <c r="AL1611" s="25">
        <v>266200</v>
      </c>
      <c r="AM1611" s="25">
        <v>60100</v>
      </c>
      <c r="AN1611" s="25">
        <v>206100</v>
      </c>
      <c r="AO1611" s="25">
        <v>0</v>
      </c>
      <c r="AP1611" s="25">
        <f>Lookups!$B$56*0</f>
        <v>0</v>
      </c>
      <c r="AQ1611" s="25">
        <f>Lookups!$B$56*1</f>
        <v>89850.625589999996</v>
      </c>
      <c r="AR1611" s="25">
        <f>Lookups!$B$57*Inventory[[#This Row],[LnAcres]]</f>
        <v>-49401.70477837498</v>
      </c>
      <c r="AS1611" s="25">
        <f>VLOOKUP(Inventory[[#This Row],[Qlty]],Lookups!$A$62:$E$75,2,FALSE)</f>
        <v>21557.329055999999</v>
      </c>
      <c r="AT1611" s="25">
        <f>VLOOKUP(Inventory[[#This Row],[Cnd]],Lookups!$A$76:$E$84,2,FALSE)</f>
        <v>160472.20319</v>
      </c>
      <c r="AU1611" s="25">
        <f>Inventory[[#This Row],[EffAge]]*Lookups!$B$85</f>
        <v>-11821.416826500001</v>
      </c>
      <c r="AV1611" s="25">
        <f>Inventory[[#This Row],[MainFn]]*Lookups!$B$86</f>
        <v>30732.192663493999</v>
      </c>
      <c r="AW1611" s="25">
        <f>Inventory[[#This Row],[UpprFn]]*Lookups!$B$87</f>
        <v>0</v>
      </c>
      <c r="AX1611" s="25">
        <f>Inventory[[#This Row],[AddFn]]*Lookups!$B$88</f>
        <v>0</v>
      </c>
      <c r="AY1611" s="25">
        <f>Inventory[[#This Row],[Bsmt]]*Lookups!$B$89</f>
        <v>14366.456252017999</v>
      </c>
      <c r="AZ1611" s="25">
        <f>Inventory[[#This Row],[Fixtures]]*Lookups!$B$90</f>
        <v>18960.110526</v>
      </c>
      <c r="BA1611" s="25">
        <f>Inventory[[#This Row],[WdDeck]]*Lookups!$B$91</f>
        <v>0</v>
      </c>
      <c r="BB1611" s="25">
        <f>ROUND(Inventory[[#This Row],[25Det]],-2)</f>
        <v>3900</v>
      </c>
      <c r="BC1611" s="25">
        <f>ROUND(SUM(Inventory[[#This Row],[Mdl Qlty]:[Mdl WdDeck]])+Inventory[[#This Row],[Mdl Res Intercept]],-2)</f>
        <v>234300</v>
      </c>
      <c r="BD1611" s="25">
        <f>ROUND(Inventory[[#This Row],[Mdl Land Intercept]]+Inventory[[#This Row],[Mdl LnAcres]],-2)</f>
        <v>40400</v>
      </c>
      <c r="BE1611" s="25">
        <f>Inventory[[#This Row],[Unadj Res Value]]+Inventory[[#This Row],[Unadj Det Value]]+Inventory[[#This Row],[Unadj Land Value]]</f>
        <v>278600</v>
      </c>
      <c r="BF1611" s="36">
        <f>(Inventory[[#This Row],[Unadj Total Value]]-Inventory[[#This Row],[24Final]])/Inventory[[#This Row],[24Final]]</f>
        <v>4.6581517655897818E-2</v>
      </c>
      <c r="BG1611" s="25">
        <f>VLOOKUP(Inventory[[#This Row],[Nbhd]],Lookups!$Q$2:$T$4,4,FALSE)</f>
        <v>0.99970000000000003</v>
      </c>
      <c r="BH1611" s="25">
        <f>VLOOKUP(Inventory[[#This Row],[Qlty]],Lookups!$O$7:$R$21,4,FALSE)</f>
        <v>1.0067999999999999</v>
      </c>
      <c r="BI1611" s="25">
        <f>VLOOKUP(Inventory[[#This Row],[Cnd]],Lookups!$T$7:$W$16,4,FALSE)</f>
        <v>0.99729999999999996</v>
      </c>
      <c r="BJ1611" s="25">
        <f>VLOOKUP(Inventory[[#This Row],[LivArea Range]],Lookups!$T$25:$W$37,4,FALSE)</f>
        <v>1.0157</v>
      </c>
      <c r="BK1611" s="25">
        <f>VLOOKUP(Inventory[[#This Row],[Decade]],Lookups!$O$25:$R$42,4,FALSE)</f>
        <v>0.98909999999999998</v>
      </c>
      <c r="BL1611" s="25">
        <f>Inventory[[#This Row],[Nbhd Adj]]*0.95</f>
        <v>0.94971499999999998</v>
      </c>
      <c r="BM1611" s="25">
        <f>Inventory[[#This Row],[Nbhd Adj]]*Inventory[[#This Row],[Quality Adj]]*Inventory[[#This Row],[Condition Adj]]*Inventory[[#This Row],[Living Area Adj]]*Inventory[[#This Row],[Decade Adj]]*0.95</f>
        <v>0.95800544533193577</v>
      </c>
      <c r="BN1611" s="25">
        <f>ROUND(SUM(Inventory[[#This Row],[Mdl Qlty]:[Mdl WdDeck]])+Inventory[[#This Row],[Mdl Res Intercept]]*Inventory[[#This Row],[Res Adj ]],-2)</f>
        <v>234300</v>
      </c>
      <c r="BO1611" s="25">
        <f>ROUND(Inventory[[#This Row],[25Det]]*Inventory[[#This Row],[Det/Nbhd Adj]],-2)</f>
        <v>3700</v>
      </c>
      <c r="BP1611" s="25">
        <f>Inventory[[#This Row],[Adjusted Res]]+Inventory[[#This Row],[Adj Det ]]</f>
        <v>238000</v>
      </c>
      <c r="BQ1611" s="25">
        <f>ROUND((Inventory[[#This Row],[Mdl Land Intercept]]+Inventory[[#This Row],[Mdl LnAcres]])*Inventory[[#This Row],[Det/Nbhd Adj]],-2)</f>
        <v>38400</v>
      </c>
      <c r="BR1611" s="25">
        <f>Inventory[[#This Row],[Adjusted Impr Total]]+Inventory[[#This Row],[Adjusted Land Total]]</f>
        <v>276400</v>
      </c>
      <c r="BS1611" s="36">
        <f>IFERROR((Inventory[[#This Row],[Adjusted Impr Total]]-Inventory[[#This Row],[24Bldg]])/Inventory[[#This Row],[24Bldg]],0)</f>
        <v>0.15477923338185348</v>
      </c>
      <c r="BT1611" s="36">
        <f>(Inventory[[#This Row],[Adjusted Land Total]]-Inventory[[#This Row],[24Lnd]])/Inventory[[#This Row],[24Lnd]]</f>
        <v>-0.36106489184692181</v>
      </c>
      <c r="BU1611" s="36">
        <f>(Inventory[[#This Row],[Adjusted Total]]-Inventory[[#This Row],[24Final]])/Inventory[[#This Row],[24Final]]</f>
        <v>3.8317054845980462E-2</v>
      </c>
    </row>
    <row r="1612" spans="1:73" x14ac:dyDescent="0.3">
      <c r="A1612" s="25">
        <v>2025</v>
      </c>
      <c r="B1612" s="26" t="s">
        <v>1314</v>
      </c>
      <c r="C1612" s="26">
        <f>LN(Inventory[[#This Row],[Acres]])</f>
        <v>-1.8971199848858813</v>
      </c>
      <c r="D1612" s="25">
        <v>0.15</v>
      </c>
      <c r="E1612" s="31"/>
      <c r="F1612" s="26" t="s">
        <v>537</v>
      </c>
      <c r="G1612" s="26" t="s">
        <v>126</v>
      </c>
      <c r="H1612" s="26" t="s">
        <v>349</v>
      </c>
      <c r="I1612" s="26" t="s">
        <v>538</v>
      </c>
      <c r="J1612" s="26" t="s">
        <v>638</v>
      </c>
      <c r="K1612" s="26" t="s">
        <v>242</v>
      </c>
      <c r="L1612" s="26" t="s">
        <v>205</v>
      </c>
      <c r="M1612" s="26" t="s">
        <v>323</v>
      </c>
      <c r="N1612" s="26">
        <v>90</v>
      </c>
      <c r="O1612" s="26">
        <f>2024-Inventory[[#This Row],[YrBlt]]</f>
        <v>89</v>
      </c>
      <c r="P1612" s="26">
        <f>2024-Inventory[[#This Row],[EffYr]]</f>
        <v>53</v>
      </c>
      <c r="Q1612" s="25">
        <v>1935</v>
      </c>
      <c r="R1612" s="25">
        <v>1971</v>
      </c>
      <c r="S1612" s="25">
        <v>1080</v>
      </c>
      <c r="T1612" s="31"/>
      <c r="U1612" s="31"/>
      <c r="V1612" s="31">
        <f>Inventory[[#This Row],[Bsmt]]-Inventory[[#This Row],[FnBsmt]]</f>
        <v>0</v>
      </c>
      <c r="W1612" s="31"/>
      <c r="X1612" s="27"/>
      <c r="Y1612" s="27">
        <f>Inventory[[#This Row],[MainFn]]+Inventory[[#This Row],[UpprFn]]+Inventory[[#This Row],[FnBsmt]]+Inventory[[#This Row],[AddFn]]</f>
        <v>1080</v>
      </c>
      <c r="Z1612" s="27">
        <v>1500</v>
      </c>
      <c r="AA1612" s="25">
        <v>5</v>
      </c>
      <c r="AB1612" s="27"/>
      <c r="AC1612" s="27"/>
      <c r="AD1612" s="27"/>
      <c r="AE1612" s="27"/>
      <c r="AF1612" s="27"/>
      <c r="AG1612" s="27"/>
      <c r="AH1612" s="27"/>
      <c r="AI1612" s="25">
        <v>155197</v>
      </c>
      <c r="AJ1612" s="25">
        <v>103982</v>
      </c>
      <c r="AK1612" s="25">
        <v>5498</v>
      </c>
      <c r="AL1612" s="25">
        <v>245300</v>
      </c>
      <c r="AM1612" s="25">
        <v>48400</v>
      </c>
      <c r="AN1612" s="25">
        <v>196900</v>
      </c>
      <c r="AO1612" s="25">
        <v>0</v>
      </c>
      <c r="AP1612" s="25">
        <f>Lookups!$B$56*0</f>
        <v>0</v>
      </c>
      <c r="AQ1612" s="25">
        <f>Lookups!$B$56*1</f>
        <v>89850.625589999996</v>
      </c>
      <c r="AR1612" s="25">
        <f>Lookups!$B$57*Inventory[[#This Row],[LnAcres]]</f>
        <v>-60052.604136134301</v>
      </c>
      <c r="AS1612" s="25">
        <f>VLOOKUP(Inventory[[#This Row],[Qlty]],Lookups!$A$62:$E$75,2,FALSE)</f>
        <v>0</v>
      </c>
      <c r="AT1612" s="25">
        <f>VLOOKUP(Inventory[[#This Row],[Cnd]],Lookups!$A$76:$E$84,2,FALSE)</f>
        <v>160472.20319</v>
      </c>
      <c r="AU1612" s="25">
        <f>Inventory[[#This Row],[EffAge]]*Lookups!$B$85</f>
        <v>-11821.416826500001</v>
      </c>
      <c r="AV1612" s="25">
        <f>Inventory[[#This Row],[MainFn]]*Lookups!$B$86</f>
        <v>53361.363467160001</v>
      </c>
      <c r="AW1612" s="25">
        <f>Inventory[[#This Row],[UpprFn]]*Lookups!$B$87</f>
        <v>0</v>
      </c>
      <c r="AX1612" s="25">
        <f>Inventory[[#This Row],[AddFn]]*Lookups!$B$88</f>
        <v>0</v>
      </c>
      <c r="AY1612" s="25">
        <f>Inventory[[#This Row],[Bsmt]]*Lookups!$B$89</f>
        <v>0</v>
      </c>
      <c r="AZ1612" s="25">
        <f>Inventory[[#This Row],[Fixtures]]*Lookups!$B$90</f>
        <v>18960.110526</v>
      </c>
      <c r="BA1612" s="25">
        <f>Inventory[[#This Row],[WdDeck]]*Lookups!$B$91</f>
        <v>0</v>
      </c>
      <c r="BB1612" s="25">
        <f>ROUND(Inventory[[#This Row],[25Det]],-2)</f>
        <v>5500</v>
      </c>
      <c r="BC1612" s="25">
        <f>ROUND(SUM(Inventory[[#This Row],[Mdl Qlty]:[Mdl WdDeck]])+Inventory[[#This Row],[Mdl Res Intercept]],-2)</f>
        <v>221000</v>
      </c>
      <c r="BD1612" s="25">
        <f>ROUND(Inventory[[#This Row],[Mdl Land Intercept]]+Inventory[[#This Row],[Mdl LnAcres]],-2)</f>
        <v>29800</v>
      </c>
      <c r="BE1612" s="25">
        <f>Inventory[[#This Row],[Unadj Res Value]]+Inventory[[#This Row],[Unadj Det Value]]+Inventory[[#This Row],[Unadj Land Value]]</f>
        <v>256300</v>
      </c>
      <c r="BF1612" s="36">
        <f>(Inventory[[#This Row],[Unadj Total Value]]-Inventory[[#This Row],[24Final]])/Inventory[[#This Row],[24Final]]</f>
        <v>4.4843049327354258E-2</v>
      </c>
      <c r="BG1612" s="25">
        <f>VLOOKUP(Inventory[[#This Row],[Nbhd]],Lookups!$Q$2:$T$4,4,FALSE)</f>
        <v>0.99970000000000003</v>
      </c>
      <c r="BH1612" s="25">
        <f>VLOOKUP(Inventory[[#This Row],[Qlty]],Lookups!$O$7:$R$21,4,FALSE)</f>
        <v>0.99180000000000001</v>
      </c>
      <c r="BI1612" s="25">
        <f>VLOOKUP(Inventory[[#This Row],[Cnd]],Lookups!$T$7:$W$16,4,FALSE)</f>
        <v>0.99729999999999996</v>
      </c>
      <c r="BJ1612" s="25">
        <f>VLOOKUP(Inventory[[#This Row],[LivArea Range]],Lookups!$T$25:$W$37,4,FALSE)</f>
        <v>1.0157</v>
      </c>
      <c r="BK1612" s="25">
        <f>VLOOKUP(Inventory[[#This Row],[Decade]],Lookups!$O$25:$R$42,4,FALSE)</f>
        <v>0.98909999999999998</v>
      </c>
      <c r="BL1612" s="25">
        <f>Inventory[[#This Row],[Nbhd Adj]]*0.95</f>
        <v>0.94971499999999998</v>
      </c>
      <c r="BM1612" s="25">
        <f>Inventory[[#This Row],[Nbhd Adj]]*Inventory[[#This Row],[Quality Adj]]*Inventory[[#This Row],[Condition Adj]]*Inventory[[#This Row],[Living Area Adj]]*Inventory[[#This Row],[Decade Adj]]*0.95</f>
        <v>0.94373242022269987</v>
      </c>
      <c r="BN1612" s="25">
        <f>ROUND(SUM(Inventory[[#This Row],[Mdl Qlty]:[Mdl WdDeck]])+Inventory[[#This Row],[Mdl Res Intercept]]*Inventory[[#This Row],[Res Adj ]],-2)</f>
        <v>221000</v>
      </c>
      <c r="BO1612" s="25">
        <f>ROUND(Inventory[[#This Row],[25Det]]*Inventory[[#This Row],[Det/Nbhd Adj]],-2)</f>
        <v>5200</v>
      </c>
      <c r="BP1612" s="25">
        <f>Inventory[[#This Row],[Adjusted Res]]+Inventory[[#This Row],[Adj Det ]]</f>
        <v>226200</v>
      </c>
      <c r="BQ1612" s="25">
        <f>ROUND((Inventory[[#This Row],[Mdl Land Intercept]]+Inventory[[#This Row],[Mdl LnAcres]])*Inventory[[#This Row],[Det/Nbhd Adj]],-2)</f>
        <v>28300</v>
      </c>
      <c r="BR1612" s="25">
        <f>Inventory[[#This Row],[Adjusted Impr Total]]+Inventory[[#This Row],[Adjusted Land Total]]</f>
        <v>254500</v>
      </c>
      <c r="BS1612" s="36">
        <f>IFERROR((Inventory[[#This Row],[Adjusted Impr Total]]-Inventory[[#This Row],[24Bldg]])/Inventory[[#This Row],[24Bldg]],0)</f>
        <v>0.14880650076180801</v>
      </c>
      <c r="BT1612" s="36">
        <f>(Inventory[[#This Row],[Adjusted Land Total]]-Inventory[[#This Row],[24Lnd]])/Inventory[[#This Row],[24Lnd]]</f>
        <v>-0.41528925619834711</v>
      </c>
      <c r="BU1612" s="36">
        <f>(Inventory[[#This Row],[Adjusted Total]]-Inventory[[#This Row],[24Final]])/Inventory[[#This Row],[24Final]]</f>
        <v>3.7505095801059929E-2</v>
      </c>
    </row>
    <row r="1613" spans="1:73" x14ac:dyDescent="0.3">
      <c r="A1613" s="25">
        <v>2025</v>
      </c>
      <c r="B1613" s="26" t="s">
        <v>2160</v>
      </c>
      <c r="C1613" s="26">
        <f>LN(Inventory[[#This Row],[Acres]])</f>
        <v>-1.8325814637483102</v>
      </c>
      <c r="D1613" s="25">
        <v>0.16</v>
      </c>
      <c r="E1613" s="27"/>
      <c r="F1613" s="26" t="s">
        <v>537</v>
      </c>
      <c r="G1613" s="26" t="s">
        <v>126</v>
      </c>
      <c r="H1613" s="26" t="s">
        <v>349</v>
      </c>
      <c r="I1613" s="26" t="s">
        <v>538</v>
      </c>
      <c r="J1613" s="26" t="s">
        <v>539</v>
      </c>
      <c r="K1613" s="26" t="s">
        <v>300</v>
      </c>
      <c r="L1613" s="26" t="s">
        <v>95</v>
      </c>
      <c r="M1613" s="26" t="s">
        <v>303</v>
      </c>
      <c r="N1613" s="26">
        <v>90</v>
      </c>
      <c r="O1613" s="26">
        <f>2024-Inventory[[#This Row],[YrBlt]]</f>
        <v>89</v>
      </c>
      <c r="P1613" s="26">
        <f>2024-Inventory[[#This Row],[EffYr]]</f>
        <v>53</v>
      </c>
      <c r="Q1613" s="25">
        <v>1935</v>
      </c>
      <c r="R1613" s="25">
        <v>1971</v>
      </c>
      <c r="S1613" s="25">
        <v>1909</v>
      </c>
      <c r="T1613" s="25">
        <v>746</v>
      </c>
      <c r="U1613" s="25">
        <v>798</v>
      </c>
      <c r="V1613" s="25">
        <f>Inventory[[#This Row],[Bsmt]]-Inventory[[#This Row],[FnBsmt]]</f>
        <v>798</v>
      </c>
      <c r="W1613" s="31"/>
      <c r="X1613" s="27"/>
      <c r="Y1613" s="27">
        <f>Inventory[[#This Row],[MainFn]]+Inventory[[#This Row],[UpprFn]]+Inventory[[#This Row],[FnBsmt]]+Inventory[[#This Row],[AddFn]]</f>
        <v>2655</v>
      </c>
      <c r="Z1613" s="27">
        <v>3000</v>
      </c>
      <c r="AA1613" s="25">
        <v>10</v>
      </c>
      <c r="AB1613" s="27"/>
      <c r="AC1613" s="27"/>
      <c r="AD1613" s="25">
        <v>135</v>
      </c>
      <c r="AE1613" s="27"/>
      <c r="AF1613" s="27"/>
      <c r="AG1613" s="27"/>
      <c r="AH1613" s="27"/>
      <c r="AI1613" s="25">
        <v>626391</v>
      </c>
      <c r="AJ1613" s="25">
        <v>438474</v>
      </c>
      <c r="AK1613" s="25">
        <v>27569</v>
      </c>
      <c r="AL1613" s="25">
        <v>491700</v>
      </c>
      <c r="AM1613" s="25">
        <v>50600</v>
      </c>
      <c r="AN1613" s="25">
        <v>441100</v>
      </c>
      <c r="AO1613" s="25">
        <v>0</v>
      </c>
      <c r="AP1613" s="25">
        <f>Lookups!$B$56*0</f>
        <v>0</v>
      </c>
      <c r="AQ1613" s="25">
        <f>Lookups!$B$56*1</f>
        <v>89850.625589999996</v>
      </c>
      <c r="AR1613" s="25">
        <f>Lookups!$B$57*Inventory[[#This Row],[LnAcres]]</f>
        <v>-58009.662049032086</v>
      </c>
      <c r="AS1613" s="25">
        <f>VLOOKUP(Inventory[[#This Row],[Qlty]],Lookups!$A$62:$E$75,2,FALSE)</f>
        <v>74268.409664999999</v>
      </c>
      <c r="AT1613" s="25">
        <f>VLOOKUP(Inventory[[#This Row],[Cnd]],Lookups!$A$76:$E$84,2,FALSE)</f>
        <v>197752.34721000001</v>
      </c>
      <c r="AU1613" s="25">
        <f>Inventory[[#This Row],[EffAge]]*Lookups!$B$85</f>
        <v>-11821.416826500001</v>
      </c>
      <c r="AV1613" s="25">
        <f>Inventory[[#This Row],[MainFn]]*Lookups!$B$86</f>
        <v>94321.150795192996</v>
      </c>
      <c r="AW1613" s="25">
        <f>Inventory[[#This Row],[UpprFn]]*Lookups!$B$87</f>
        <v>33410.671454306001</v>
      </c>
      <c r="AX1613" s="25">
        <f>Inventory[[#This Row],[AddFn]]*Lookups!$B$88</f>
        <v>0</v>
      </c>
      <c r="AY1613" s="25">
        <f>Inventory[[#This Row],[Bsmt]]*Lookups!$B$89</f>
        <v>23207.352407105998</v>
      </c>
      <c r="AZ1613" s="25">
        <f>Inventory[[#This Row],[Fixtures]]*Lookups!$B$90</f>
        <v>37920.221052000001</v>
      </c>
      <c r="BA1613" s="25">
        <f>Inventory[[#This Row],[WdDeck]]*Lookups!$B$91</f>
        <v>4494.8945622600004</v>
      </c>
      <c r="BB1613" s="25">
        <f>ROUND(Inventory[[#This Row],[25Det]],-2)</f>
        <v>27600</v>
      </c>
      <c r="BC1613" s="25">
        <f>ROUND(SUM(Inventory[[#This Row],[Mdl Qlty]:[Mdl WdDeck]])+Inventory[[#This Row],[Mdl Res Intercept]],-2)</f>
        <v>453600</v>
      </c>
      <c r="BD1613" s="25">
        <f>ROUND(Inventory[[#This Row],[Mdl Land Intercept]]+Inventory[[#This Row],[Mdl LnAcres]],-2)</f>
        <v>31800</v>
      </c>
      <c r="BE1613" s="25">
        <f>Inventory[[#This Row],[Unadj Res Value]]+Inventory[[#This Row],[Unadj Det Value]]+Inventory[[#This Row],[Unadj Land Value]]</f>
        <v>513000</v>
      </c>
      <c r="BF1613" s="36">
        <f>(Inventory[[#This Row],[Unadj Total Value]]-Inventory[[#This Row],[24Final]])/Inventory[[#This Row],[24Final]]</f>
        <v>4.3319097010372176E-2</v>
      </c>
      <c r="BG1613" s="25">
        <f>VLOOKUP(Inventory[[#This Row],[Nbhd]],Lookups!$Q$2:$T$4,4,FALSE)</f>
        <v>0.99970000000000003</v>
      </c>
      <c r="BH1613" s="25">
        <f>VLOOKUP(Inventory[[#This Row],[Qlty]],Lookups!$O$7:$R$21,4,FALSE)</f>
        <v>0.98380000000000001</v>
      </c>
      <c r="BI1613" s="25">
        <f>VLOOKUP(Inventory[[#This Row],[Cnd]],Lookups!$T$7:$W$16,4,FALSE)</f>
        <v>0.99650000000000005</v>
      </c>
      <c r="BJ1613" s="25">
        <f>VLOOKUP(Inventory[[#This Row],[LivArea Range]],Lookups!$T$25:$W$37,4,FALSE)</f>
        <v>0.96179999999999999</v>
      </c>
      <c r="BK1613" s="25">
        <f>VLOOKUP(Inventory[[#This Row],[Decade]],Lookups!$O$25:$R$42,4,FALSE)</f>
        <v>0.98909999999999998</v>
      </c>
      <c r="BL1613" s="25">
        <f>Inventory[[#This Row],[Nbhd Adj]]*0.95</f>
        <v>0.94971499999999998</v>
      </c>
      <c r="BM1613" s="25">
        <f>Inventory[[#This Row],[Nbhd Adj]]*Inventory[[#This Row],[Quality Adj]]*Inventory[[#This Row],[Condition Adj]]*Inventory[[#This Row],[Living Area Adj]]*Inventory[[#This Row],[Decade Adj]]*0.95</f>
        <v>0.88573211822982711</v>
      </c>
      <c r="BN1613" s="25">
        <f>ROUND(SUM(Inventory[[#This Row],[Mdl Qlty]:[Mdl WdDeck]])+Inventory[[#This Row],[Mdl Res Intercept]]*Inventory[[#This Row],[Res Adj ]],-2)</f>
        <v>453600</v>
      </c>
      <c r="BO1613" s="25">
        <f>ROUND(Inventory[[#This Row],[25Det]]*Inventory[[#This Row],[Det/Nbhd Adj]],-2)</f>
        <v>26200</v>
      </c>
      <c r="BP1613" s="25">
        <f>Inventory[[#This Row],[Adjusted Res]]+Inventory[[#This Row],[Adj Det ]]</f>
        <v>479800</v>
      </c>
      <c r="BQ1613" s="25">
        <f>ROUND((Inventory[[#This Row],[Mdl Land Intercept]]+Inventory[[#This Row],[Mdl LnAcres]])*Inventory[[#This Row],[Det/Nbhd Adj]],-2)</f>
        <v>30200</v>
      </c>
      <c r="BR1613" s="25">
        <f>Inventory[[#This Row],[Adjusted Impr Total]]+Inventory[[#This Row],[Adjusted Land Total]]</f>
        <v>510000</v>
      </c>
      <c r="BS1613" s="36">
        <f>IFERROR((Inventory[[#This Row],[Adjusted Impr Total]]-Inventory[[#This Row],[24Bldg]])/Inventory[[#This Row],[24Bldg]],0)</f>
        <v>8.7735207435955559E-2</v>
      </c>
      <c r="BT1613" s="36">
        <f>(Inventory[[#This Row],[Adjusted Land Total]]-Inventory[[#This Row],[24Lnd]])/Inventory[[#This Row],[24Lnd]]</f>
        <v>-0.40316205533596838</v>
      </c>
      <c r="BU1613" s="36">
        <f>(Inventory[[#This Row],[Adjusted Total]]-Inventory[[#This Row],[24Final]])/Inventory[[#This Row],[24Final]]</f>
        <v>3.7217815741305671E-2</v>
      </c>
    </row>
    <row r="1614" spans="1:73" x14ac:dyDescent="0.3">
      <c r="A1614" s="25">
        <v>2025</v>
      </c>
      <c r="B1614" s="26" t="s">
        <v>2361</v>
      </c>
      <c r="C1614" s="26">
        <f>LN(Inventory[[#This Row],[Acres]])</f>
        <v>-1.6094379124341003</v>
      </c>
      <c r="D1614" s="25">
        <v>0.2</v>
      </c>
      <c r="E1614" s="32">
        <v>8597</v>
      </c>
      <c r="F1614" s="26" t="s">
        <v>537</v>
      </c>
      <c r="G1614" s="26" t="s">
        <v>126</v>
      </c>
      <c r="H1614" s="26" t="s">
        <v>349</v>
      </c>
      <c r="I1614" s="26" t="s">
        <v>538</v>
      </c>
      <c r="J1614" s="26" t="s">
        <v>539</v>
      </c>
      <c r="K1614" s="26" t="s">
        <v>147</v>
      </c>
      <c r="L1614" s="26" t="s">
        <v>351</v>
      </c>
      <c r="M1614" s="26" t="s">
        <v>303</v>
      </c>
      <c r="N1614" s="26">
        <v>90</v>
      </c>
      <c r="O1614" s="26">
        <f>2024-Inventory[[#This Row],[YrBlt]]</f>
        <v>89</v>
      </c>
      <c r="P1614" s="26">
        <f>2024-Inventory[[#This Row],[EffYr]]</f>
        <v>51</v>
      </c>
      <c r="Q1614" s="25">
        <v>1935</v>
      </c>
      <c r="R1614" s="25">
        <v>1973</v>
      </c>
      <c r="S1614" s="25">
        <v>1124</v>
      </c>
      <c r="T1614" s="32">
        <v>384</v>
      </c>
      <c r="U1614" s="25">
        <v>928</v>
      </c>
      <c r="V1614" s="25">
        <f>Inventory[[#This Row],[Bsmt]]-Inventory[[#This Row],[FnBsmt]]</f>
        <v>0</v>
      </c>
      <c r="W1614" s="25">
        <v>928</v>
      </c>
      <c r="X1614" s="27"/>
      <c r="Y1614" s="27">
        <f>Inventory[[#This Row],[MainFn]]+Inventory[[#This Row],[UpprFn]]+Inventory[[#This Row],[FnBsmt]]+Inventory[[#This Row],[AddFn]]</f>
        <v>2436</v>
      </c>
      <c r="Z1614" s="27">
        <v>2500</v>
      </c>
      <c r="AA1614" s="25">
        <v>11</v>
      </c>
      <c r="AB1614" s="32">
        <v>448</v>
      </c>
      <c r="AC1614" s="31"/>
      <c r="AD1614" s="27"/>
      <c r="AE1614" s="27"/>
      <c r="AF1614" s="27"/>
      <c r="AG1614" s="27"/>
      <c r="AH1614" s="27"/>
      <c r="AI1614" s="25">
        <v>346960</v>
      </c>
      <c r="AJ1614" s="25">
        <v>246342</v>
      </c>
      <c r="AK1614" s="25">
        <v>6758</v>
      </c>
      <c r="AL1614" s="25">
        <v>379600</v>
      </c>
      <c r="AM1614" s="25">
        <v>58400</v>
      </c>
      <c r="AN1614" s="25">
        <v>321200</v>
      </c>
      <c r="AO1614" s="25">
        <v>0</v>
      </c>
      <c r="AP1614" s="25">
        <f>Lookups!$B$56*0</f>
        <v>0</v>
      </c>
      <c r="AQ1614" s="25">
        <f>Lookups!$B$56*1</f>
        <v>89850.625589999996</v>
      </c>
      <c r="AR1614" s="25">
        <f>Lookups!$B$57*Inventory[[#This Row],[LnAcres]]</f>
        <v>-50946.13867709865</v>
      </c>
      <c r="AS1614" s="25">
        <f>VLOOKUP(Inventory[[#This Row],[Qlty]],Lookups!$A$62:$E$75,2,FALSE)</f>
        <v>21557.329055999999</v>
      </c>
      <c r="AT1614" s="25">
        <f>VLOOKUP(Inventory[[#This Row],[Cnd]],Lookups!$A$76:$E$84,2,FALSE)</f>
        <v>197752.34721000001</v>
      </c>
      <c r="AU1614" s="25">
        <f>Inventory[[#This Row],[EffAge]]*Lookups!$B$85</f>
        <v>-11375.3256255</v>
      </c>
      <c r="AV1614" s="25">
        <f>Inventory[[#This Row],[MainFn]]*Lookups!$B$86</f>
        <v>55535.344941748001</v>
      </c>
      <c r="AW1614" s="25">
        <f>Inventory[[#This Row],[UpprFn]]*Lookups!$B$87</f>
        <v>17197.986378623998</v>
      </c>
      <c r="AX1614" s="25">
        <f>Inventory[[#This Row],[AddFn]]*Lookups!$B$88</f>
        <v>0</v>
      </c>
      <c r="AY1614" s="25">
        <f>Inventory[[#This Row],[Bsmt]]*Lookups!$B$89</f>
        <v>26987.998789215999</v>
      </c>
      <c r="AZ1614" s="25">
        <f>Inventory[[#This Row],[Fixtures]]*Lookups!$B$90</f>
        <v>41712.243157199999</v>
      </c>
      <c r="BA1614" s="25">
        <f>Inventory[[#This Row],[WdDeck]]*Lookups!$B$91</f>
        <v>0</v>
      </c>
      <c r="BB1614" s="25">
        <f>ROUND(Inventory[[#This Row],[25Det]],-2)</f>
        <v>6800</v>
      </c>
      <c r="BC1614" s="25">
        <f>ROUND(SUM(Inventory[[#This Row],[Mdl Qlty]:[Mdl WdDeck]])+Inventory[[#This Row],[Mdl Res Intercept]],-2)</f>
        <v>349400</v>
      </c>
      <c r="BD1614" s="25">
        <f>ROUND(Inventory[[#This Row],[Mdl Land Intercept]]+Inventory[[#This Row],[Mdl LnAcres]],-2)</f>
        <v>38900</v>
      </c>
      <c r="BE1614" s="25">
        <f>Inventory[[#This Row],[Unadj Res Value]]+Inventory[[#This Row],[Unadj Det Value]]+Inventory[[#This Row],[Unadj Land Value]]</f>
        <v>395100</v>
      </c>
      <c r="BF1614" s="36">
        <f>(Inventory[[#This Row],[Unadj Total Value]]-Inventory[[#This Row],[24Final]])/Inventory[[#This Row],[24Final]]</f>
        <v>4.0832455216016861E-2</v>
      </c>
      <c r="BG1614" s="25">
        <f>VLOOKUP(Inventory[[#This Row],[Nbhd]],Lookups!$Q$2:$T$4,4,FALSE)</f>
        <v>0.99970000000000003</v>
      </c>
      <c r="BH1614" s="25">
        <f>VLOOKUP(Inventory[[#This Row],[Qlty]],Lookups!$O$7:$R$21,4,FALSE)</f>
        <v>1.0067999999999999</v>
      </c>
      <c r="BI1614" s="25">
        <f>VLOOKUP(Inventory[[#This Row],[Cnd]],Lookups!$T$7:$W$16,4,FALSE)</f>
        <v>0.99650000000000005</v>
      </c>
      <c r="BJ1614" s="25">
        <f>VLOOKUP(Inventory[[#This Row],[LivArea Range]],Lookups!$T$25:$W$37,4,FALSE)</f>
        <v>0.98919999999999997</v>
      </c>
      <c r="BK1614" s="25">
        <f>VLOOKUP(Inventory[[#This Row],[Decade]],Lookups!$O$25:$R$42,4,FALSE)</f>
        <v>0.98909999999999998</v>
      </c>
      <c r="BL1614" s="25">
        <f>Inventory[[#This Row],[Nbhd Adj]]*0.95</f>
        <v>0.94971499999999998</v>
      </c>
      <c r="BM1614" s="25">
        <f>Inventory[[#This Row],[Nbhd Adj]]*Inventory[[#This Row],[Quality Adj]]*Inventory[[#This Row],[Condition Adj]]*Inventory[[#This Row],[Living Area Adj]]*Inventory[[#This Row],[Decade Adj]]*0.95</f>
        <v>0.9322622889120924</v>
      </c>
      <c r="BN1614" s="25">
        <f>ROUND(SUM(Inventory[[#This Row],[Mdl Qlty]:[Mdl WdDeck]])+Inventory[[#This Row],[Mdl Res Intercept]]*Inventory[[#This Row],[Res Adj ]],-2)</f>
        <v>349400</v>
      </c>
      <c r="BO1614" s="25">
        <f>ROUND(Inventory[[#This Row],[25Det]]*Inventory[[#This Row],[Det/Nbhd Adj]],-2)</f>
        <v>6400</v>
      </c>
      <c r="BP1614" s="25">
        <f>Inventory[[#This Row],[Adjusted Res]]+Inventory[[#This Row],[Adj Det ]]</f>
        <v>355800</v>
      </c>
      <c r="BQ1614" s="25">
        <f>ROUND((Inventory[[#This Row],[Mdl Land Intercept]]+Inventory[[#This Row],[Mdl LnAcres]])*Inventory[[#This Row],[Det/Nbhd Adj]],-2)</f>
        <v>36900</v>
      </c>
      <c r="BR1614" s="25">
        <f>Inventory[[#This Row],[Adjusted Impr Total]]+Inventory[[#This Row],[Adjusted Land Total]]</f>
        <v>392700</v>
      </c>
      <c r="BS1614" s="36">
        <f>IFERROR((Inventory[[#This Row],[Adjusted Impr Total]]-Inventory[[#This Row],[24Bldg]])/Inventory[[#This Row],[24Bldg]],0)</f>
        <v>0.10772104607721046</v>
      </c>
      <c r="BT1614" s="36">
        <f>(Inventory[[#This Row],[Adjusted Land Total]]-Inventory[[#This Row],[24Lnd]])/Inventory[[#This Row],[24Lnd]]</f>
        <v>-0.36815068493150682</v>
      </c>
      <c r="BU1614" s="36">
        <f>(Inventory[[#This Row],[Adjusted Total]]-Inventory[[#This Row],[24Final]])/Inventory[[#This Row],[24Final]]</f>
        <v>3.45100105374078E-2</v>
      </c>
    </row>
    <row r="1615" spans="1:73" x14ac:dyDescent="0.3">
      <c r="A1615" s="25">
        <v>2025</v>
      </c>
      <c r="B1615" s="26" t="s">
        <v>1944</v>
      </c>
      <c r="C1615" s="26">
        <f>LN(Inventory[[#This Row],[Acres]])</f>
        <v>-1.5606477482646683</v>
      </c>
      <c r="D1615" s="25">
        <v>0.21</v>
      </c>
      <c r="E1615" s="25">
        <v>9236</v>
      </c>
      <c r="F1615" s="26" t="s">
        <v>537</v>
      </c>
      <c r="G1615" s="26" t="s">
        <v>126</v>
      </c>
      <c r="H1615" s="26" t="s">
        <v>349</v>
      </c>
      <c r="I1615" s="26" t="s">
        <v>538</v>
      </c>
      <c r="J1615" s="26" t="s">
        <v>539</v>
      </c>
      <c r="K1615" s="26" t="s">
        <v>173</v>
      </c>
      <c r="L1615" s="26" t="s">
        <v>351</v>
      </c>
      <c r="M1615" s="26" t="s">
        <v>323</v>
      </c>
      <c r="N1615" s="26">
        <v>90</v>
      </c>
      <c r="O1615" s="26">
        <f>2024-Inventory[[#This Row],[YrBlt]]</f>
        <v>89</v>
      </c>
      <c r="P1615" s="26">
        <f>2024-Inventory[[#This Row],[EffYr]]</f>
        <v>53</v>
      </c>
      <c r="Q1615" s="25">
        <v>1935</v>
      </c>
      <c r="R1615" s="25">
        <v>1971</v>
      </c>
      <c r="S1615" s="25">
        <v>1426</v>
      </c>
      <c r="T1615" s="32">
        <v>700</v>
      </c>
      <c r="U1615" s="25">
        <v>1426</v>
      </c>
      <c r="V1615" s="25">
        <f>Inventory[[#This Row],[Bsmt]]-Inventory[[#This Row],[FnBsmt]]</f>
        <v>926</v>
      </c>
      <c r="W1615" s="25">
        <v>500</v>
      </c>
      <c r="X1615" s="27"/>
      <c r="Y1615" s="27">
        <f>Inventory[[#This Row],[MainFn]]+Inventory[[#This Row],[UpprFn]]+Inventory[[#This Row],[FnBsmt]]+Inventory[[#This Row],[AddFn]]</f>
        <v>2626</v>
      </c>
      <c r="Z1615" s="27">
        <v>3000</v>
      </c>
      <c r="AA1615" s="25">
        <v>8</v>
      </c>
      <c r="AB1615" s="31"/>
      <c r="AC1615" s="27"/>
      <c r="AD1615" s="31"/>
      <c r="AE1615" s="27"/>
      <c r="AF1615" s="27"/>
      <c r="AG1615" s="27"/>
      <c r="AH1615" s="27"/>
      <c r="AI1615" s="25">
        <v>387506</v>
      </c>
      <c r="AJ1615" s="25">
        <v>259629</v>
      </c>
      <c r="AK1615" s="25">
        <v>0</v>
      </c>
      <c r="AL1615" s="25">
        <v>369600</v>
      </c>
      <c r="AM1615" s="25">
        <v>60100</v>
      </c>
      <c r="AN1615" s="25">
        <v>309500</v>
      </c>
      <c r="AO1615" s="25">
        <v>0</v>
      </c>
      <c r="AP1615" s="25">
        <f>Lookups!$B$56*0</f>
        <v>0</v>
      </c>
      <c r="AQ1615" s="25">
        <f>Lookups!$B$56*1</f>
        <v>89850.625589999996</v>
      </c>
      <c r="AR1615" s="25">
        <f>Lookups!$B$57*Inventory[[#This Row],[LnAcres]]</f>
        <v>-49401.70477837498</v>
      </c>
      <c r="AS1615" s="25">
        <f>VLOOKUP(Inventory[[#This Row],[Qlty]],Lookups!$A$62:$E$75,2,FALSE)</f>
        <v>21557.329055999999</v>
      </c>
      <c r="AT1615" s="25">
        <f>VLOOKUP(Inventory[[#This Row],[Cnd]],Lookups!$A$76:$E$84,2,FALSE)</f>
        <v>160472.20319</v>
      </c>
      <c r="AU1615" s="25">
        <f>Inventory[[#This Row],[EffAge]]*Lookups!$B$85</f>
        <v>-11821.416826500001</v>
      </c>
      <c r="AV1615" s="25">
        <f>Inventory[[#This Row],[MainFn]]*Lookups!$B$86</f>
        <v>70456.763244602</v>
      </c>
      <c r="AW1615" s="25">
        <f>Inventory[[#This Row],[UpprFn]]*Lookups!$B$87</f>
        <v>31350.496002699998</v>
      </c>
      <c r="AX1615" s="25">
        <f>Inventory[[#This Row],[AddFn]]*Lookups!$B$88</f>
        <v>0</v>
      </c>
      <c r="AY1615" s="25">
        <f>Inventory[[#This Row],[Bsmt]]*Lookups!$B$89</f>
        <v>41470.782622221996</v>
      </c>
      <c r="AZ1615" s="25">
        <f>Inventory[[#This Row],[Fixtures]]*Lookups!$B$90</f>
        <v>30336.176841600001</v>
      </c>
      <c r="BA1615" s="25">
        <f>Inventory[[#This Row],[WdDeck]]*Lookups!$B$91</f>
        <v>0</v>
      </c>
      <c r="BB1615" s="25">
        <f>ROUND(Inventory[[#This Row],[25Det]],-2)</f>
        <v>0</v>
      </c>
      <c r="BC1615" s="25">
        <f>ROUND(SUM(Inventory[[#This Row],[Mdl Qlty]:[Mdl WdDeck]])+Inventory[[#This Row],[Mdl Res Intercept]],-2)</f>
        <v>343800</v>
      </c>
      <c r="BD1615" s="25">
        <f>ROUND(Inventory[[#This Row],[Mdl Land Intercept]]+Inventory[[#This Row],[Mdl LnAcres]],-2)</f>
        <v>40400</v>
      </c>
      <c r="BE1615" s="25">
        <f>Inventory[[#This Row],[Unadj Res Value]]+Inventory[[#This Row],[Unadj Det Value]]+Inventory[[#This Row],[Unadj Land Value]]</f>
        <v>384200</v>
      </c>
      <c r="BF1615" s="36">
        <f>(Inventory[[#This Row],[Unadj Total Value]]-Inventory[[#This Row],[24Final]])/Inventory[[#This Row],[24Final]]</f>
        <v>3.9502164502164504E-2</v>
      </c>
      <c r="BG1615" s="25">
        <f>VLOOKUP(Inventory[[#This Row],[Nbhd]],Lookups!$Q$2:$T$4,4,FALSE)</f>
        <v>0.99970000000000003</v>
      </c>
      <c r="BH1615" s="25">
        <f>VLOOKUP(Inventory[[#This Row],[Qlty]],Lookups!$O$7:$R$21,4,FALSE)</f>
        <v>1.0067999999999999</v>
      </c>
      <c r="BI1615" s="25">
        <f>VLOOKUP(Inventory[[#This Row],[Cnd]],Lookups!$T$7:$W$16,4,FALSE)</f>
        <v>0.99729999999999996</v>
      </c>
      <c r="BJ1615" s="25">
        <f>VLOOKUP(Inventory[[#This Row],[LivArea Range]],Lookups!$T$25:$W$37,4,FALSE)</f>
        <v>0.96179999999999999</v>
      </c>
      <c r="BK1615" s="25">
        <f>VLOOKUP(Inventory[[#This Row],[Decade]],Lookups!$O$25:$R$42,4,FALSE)</f>
        <v>0.98909999999999998</v>
      </c>
      <c r="BL1615" s="25">
        <f>Inventory[[#This Row],[Nbhd Adj]]*0.95</f>
        <v>0.94971499999999998</v>
      </c>
      <c r="BM1615" s="25">
        <f>Inventory[[#This Row],[Nbhd Adj]]*Inventory[[#This Row],[Quality Adj]]*Inventory[[#This Row],[Condition Adj]]*Inventory[[#This Row],[Living Area Adj]]*Inventory[[#This Row],[Decade Adj]]*0.95</f>
        <v>0.90716711363616798</v>
      </c>
      <c r="BN1615" s="25">
        <f>ROUND(SUM(Inventory[[#This Row],[Mdl Qlty]:[Mdl WdDeck]])+Inventory[[#This Row],[Mdl Res Intercept]]*Inventory[[#This Row],[Res Adj ]],-2)</f>
        <v>343800</v>
      </c>
      <c r="BO1615" s="25">
        <f>ROUND(Inventory[[#This Row],[25Det]]*Inventory[[#This Row],[Det/Nbhd Adj]],-2)</f>
        <v>0</v>
      </c>
      <c r="BP1615" s="25">
        <f>Inventory[[#This Row],[Adjusted Res]]+Inventory[[#This Row],[Adj Det ]]</f>
        <v>343800</v>
      </c>
      <c r="BQ1615" s="25">
        <f>ROUND((Inventory[[#This Row],[Mdl Land Intercept]]+Inventory[[#This Row],[Mdl LnAcres]])*Inventory[[#This Row],[Det/Nbhd Adj]],-2)</f>
        <v>38400</v>
      </c>
      <c r="BR1615" s="25">
        <f>Inventory[[#This Row],[Adjusted Impr Total]]+Inventory[[#This Row],[Adjusted Land Total]]</f>
        <v>382200</v>
      </c>
      <c r="BS1615" s="36">
        <f>IFERROR((Inventory[[#This Row],[Adjusted Impr Total]]-Inventory[[#This Row],[24Bldg]])/Inventory[[#This Row],[24Bldg]],0)</f>
        <v>0.11082390953150242</v>
      </c>
      <c r="BT1615" s="36">
        <f>(Inventory[[#This Row],[Adjusted Land Total]]-Inventory[[#This Row],[24Lnd]])/Inventory[[#This Row],[24Lnd]]</f>
        <v>-0.36106489184692181</v>
      </c>
      <c r="BU1615" s="36">
        <f>(Inventory[[#This Row],[Adjusted Total]]-Inventory[[#This Row],[24Final]])/Inventory[[#This Row],[24Final]]</f>
        <v>3.4090909090909088E-2</v>
      </c>
    </row>
    <row r="1616" spans="1:73" x14ac:dyDescent="0.3">
      <c r="A1616" s="25">
        <v>2025</v>
      </c>
      <c r="B1616" s="26" t="s">
        <v>885</v>
      </c>
      <c r="C1616" s="26">
        <f>LN(Inventory[[#This Row],[Acres]])</f>
        <v>-1.0788096613719298</v>
      </c>
      <c r="D1616" s="25">
        <v>0.34</v>
      </c>
      <c r="E1616" s="25">
        <v>14817</v>
      </c>
      <c r="F1616" s="26" t="s">
        <v>537</v>
      </c>
      <c r="G1616" s="26" t="s">
        <v>126</v>
      </c>
      <c r="H1616" s="26" t="s">
        <v>349</v>
      </c>
      <c r="I1616" s="26" t="s">
        <v>538</v>
      </c>
      <c r="J1616" s="26" t="s">
        <v>539</v>
      </c>
      <c r="K1616" s="26" t="s">
        <v>173</v>
      </c>
      <c r="L1616" s="26" t="s">
        <v>351</v>
      </c>
      <c r="M1616" s="26" t="s">
        <v>323</v>
      </c>
      <c r="N1616" s="26">
        <v>90</v>
      </c>
      <c r="O1616" s="26">
        <f>2024-Inventory[[#This Row],[YrBlt]]</f>
        <v>89</v>
      </c>
      <c r="P1616" s="26">
        <f>2024-Inventory[[#This Row],[EffYr]]</f>
        <v>53</v>
      </c>
      <c r="Q1616" s="25">
        <v>1935</v>
      </c>
      <c r="R1616" s="25">
        <v>1971</v>
      </c>
      <c r="S1616" s="25">
        <v>1296</v>
      </c>
      <c r="T1616" s="32">
        <v>660</v>
      </c>
      <c r="U1616" s="25">
        <v>420</v>
      </c>
      <c r="V1616" s="32">
        <f>Inventory[[#This Row],[Bsmt]]-Inventory[[#This Row],[FnBsmt]]</f>
        <v>420</v>
      </c>
      <c r="W1616" s="27"/>
      <c r="X1616" s="27"/>
      <c r="Y1616" s="27">
        <f>Inventory[[#This Row],[MainFn]]+Inventory[[#This Row],[UpprFn]]+Inventory[[#This Row],[FnBsmt]]+Inventory[[#This Row],[AddFn]]</f>
        <v>1956</v>
      </c>
      <c r="Z1616" s="27">
        <v>2000</v>
      </c>
      <c r="AA1616" s="25">
        <v>8</v>
      </c>
      <c r="AB1616" s="27"/>
      <c r="AC1616" s="27"/>
      <c r="AD1616" s="31"/>
      <c r="AE1616" s="27"/>
      <c r="AF1616" s="27"/>
      <c r="AG1616" s="27"/>
      <c r="AH1616" s="27"/>
      <c r="AI1616" s="25">
        <v>298136</v>
      </c>
      <c r="AJ1616" s="25">
        <v>199751</v>
      </c>
      <c r="AK1616" s="25">
        <v>18672</v>
      </c>
      <c r="AL1616" s="25">
        <v>364800</v>
      </c>
      <c r="AM1616" s="25">
        <v>76900</v>
      </c>
      <c r="AN1616" s="25">
        <v>287900</v>
      </c>
      <c r="AO1616" s="25">
        <v>0</v>
      </c>
      <c r="AP1616" s="25">
        <f>Lookups!$B$56*0</f>
        <v>0</v>
      </c>
      <c r="AQ1616" s="25">
        <f>Lookups!$B$56*1</f>
        <v>89850.625589999996</v>
      </c>
      <c r="AR1616" s="25">
        <f>Lookups!$B$57*Inventory[[#This Row],[LnAcres]]</f>
        <v>-34149.305288406773</v>
      </c>
      <c r="AS1616" s="25">
        <f>VLOOKUP(Inventory[[#This Row],[Qlty]],Lookups!$A$62:$E$75,2,FALSE)</f>
        <v>21557.329055999999</v>
      </c>
      <c r="AT1616" s="25">
        <f>VLOOKUP(Inventory[[#This Row],[Cnd]],Lookups!$A$76:$E$84,2,FALSE)</f>
        <v>160472.20319</v>
      </c>
      <c r="AU1616" s="25">
        <f>Inventory[[#This Row],[EffAge]]*Lookups!$B$85</f>
        <v>-11821.416826500001</v>
      </c>
      <c r="AV1616" s="25">
        <f>Inventory[[#This Row],[MainFn]]*Lookups!$B$86</f>
        <v>64033.636160592003</v>
      </c>
      <c r="AW1616" s="25">
        <f>Inventory[[#This Row],[UpprFn]]*Lookups!$B$87</f>
        <v>29559.03908826</v>
      </c>
      <c r="AX1616" s="25">
        <f>Inventory[[#This Row],[AddFn]]*Lookups!$B$88</f>
        <v>0</v>
      </c>
      <c r="AY1616" s="25">
        <f>Inventory[[#This Row],[Bsmt]]*Lookups!$B$89</f>
        <v>12214.396003739999</v>
      </c>
      <c r="AZ1616" s="25">
        <f>Inventory[[#This Row],[Fixtures]]*Lookups!$B$90</f>
        <v>30336.176841600001</v>
      </c>
      <c r="BA1616" s="25">
        <f>Inventory[[#This Row],[WdDeck]]*Lookups!$B$91</f>
        <v>0</v>
      </c>
      <c r="BB1616" s="25">
        <f>ROUND(Inventory[[#This Row],[25Det]],-2)</f>
        <v>18700</v>
      </c>
      <c r="BC1616" s="25">
        <f>ROUND(SUM(Inventory[[#This Row],[Mdl Qlty]:[Mdl WdDeck]])+Inventory[[#This Row],[Mdl Res Intercept]],-2)</f>
        <v>306400</v>
      </c>
      <c r="BD1616" s="25">
        <f>ROUND(Inventory[[#This Row],[Mdl Land Intercept]]+Inventory[[#This Row],[Mdl LnAcres]],-2)</f>
        <v>55700</v>
      </c>
      <c r="BE1616" s="25">
        <f>Inventory[[#This Row],[Unadj Res Value]]+Inventory[[#This Row],[Unadj Det Value]]+Inventory[[#This Row],[Unadj Land Value]]</f>
        <v>380800</v>
      </c>
      <c r="BF1616" s="36">
        <f>(Inventory[[#This Row],[Unadj Total Value]]-Inventory[[#This Row],[24Final]])/Inventory[[#This Row],[24Final]]</f>
        <v>4.3859649122807015E-2</v>
      </c>
      <c r="BG1616" s="25">
        <f>VLOOKUP(Inventory[[#This Row],[Nbhd]],Lookups!$Q$2:$T$4,4,FALSE)</f>
        <v>0.99970000000000003</v>
      </c>
      <c r="BH1616" s="25">
        <f>VLOOKUP(Inventory[[#This Row],[Qlty]],Lookups!$O$7:$R$21,4,FALSE)</f>
        <v>1.0067999999999999</v>
      </c>
      <c r="BI1616" s="25">
        <f>VLOOKUP(Inventory[[#This Row],[Cnd]],Lookups!$T$7:$W$16,4,FALSE)</f>
        <v>0.99729999999999996</v>
      </c>
      <c r="BJ1616" s="25">
        <f>VLOOKUP(Inventory[[#This Row],[LivArea Range]],Lookups!$T$25:$W$37,4,FALSE)</f>
        <v>1.0093000000000001</v>
      </c>
      <c r="BK1616" s="25">
        <f>VLOOKUP(Inventory[[#This Row],[Decade]],Lookups!$O$25:$R$42,4,FALSE)</f>
        <v>0.98909999999999998</v>
      </c>
      <c r="BL1616" s="25">
        <f>Inventory[[#This Row],[Nbhd Adj]]*0.95</f>
        <v>0.94971499999999998</v>
      </c>
      <c r="BM1616" s="25">
        <f>Inventory[[#This Row],[Nbhd Adj]]*Inventory[[#This Row],[Quality Adj]]*Inventory[[#This Row],[Condition Adj]]*Inventory[[#This Row],[Living Area Adj]]*Inventory[[#This Row],[Decade Adj]]*0.95</f>
        <v>0.95196898294134369</v>
      </c>
      <c r="BN1616" s="25">
        <f>ROUND(SUM(Inventory[[#This Row],[Mdl Qlty]:[Mdl WdDeck]])+Inventory[[#This Row],[Mdl Res Intercept]]*Inventory[[#This Row],[Res Adj ]],-2)</f>
        <v>306400</v>
      </c>
      <c r="BO1616" s="25">
        <f>ROUND(Inventory[[#This Row],[25Det]]*Inventory[[#This Row],[Det/Nbhd Adj]],-2)</f>
        <v>17700</v>
      </c>
      <c r="BP1616" s="25">
        <f>Inventory[[#This Row],[Adjusted Res]]+Inventory[[#This Row],[Adj Det ]]</f>
        <v>324100</v>
      </c>
      <c r="BQ1616" s="25">
        <f>ROUND((Inventory[[#This Row],[Mdl Land Intercept]]+Inventory[[#This Row],[Mdl LnAcres]])*Inventory[[#This Row],[Det/Nbhd Adj]],-2)</f>
        <v>52900</v>
      </c>
      <c r="BR1616" s="25">
        <f>Inventory[[#This Row],[Adjusted Impr Total]]+Inventory[[#This Row],[Adjusted Land Total]]</f>
        <v>377000</v>
      </c>
      <c r="BS1616" s="36">
        <f>IFERROR((Inventory[[#This Row],[Adjusted Impr Total]]-Inventory[[#This Row],[24Bldg]])/Inventory[[#This Row],[24Bldg]],0)</f>
        <v>0.12573810350816256</v>
      </c>
      <c r="BT1616" s="36">
        <f>(Inventory[[#This Row],[Adjusted Land Total]]-Inventory[[#This Row],[24Lnd]])/Inventory[[#This Row],[24Lnd]]</f>
        <v>-0.31209362808842656</v>
      </c>
      <c r="BU1616" s="36">
        <f>(Inventory[[#This Row],[Adjusted Total]]-Inventory[[#This Row],[24Final]])/Inventory[[#This Row],[24Final]]</f>
        <v>3.3442982456140351E-2</v>
      </c>
    </row>
    <row r="1617" spans="1:73" x14ac:dyDescent="0.3">
      <c r="A1617" s="25">
        <v>2025</v>
      </c>
      <c r="B1617" s="26" t="s">
        <v>1482</v>
      </c>
      <c r="C1617" s="26">
        <f>LN(Inventory[[#This Row],[Acres]])</f>
        <v>-1.8971199848858813</v>
      </c>
      <c r="D1617" s="25">
        <v>0.15</v>
      </c>
      <c r="E1617" s="32">
        <v>6477</v>
      </c>
      <c r="F1617" s="26" t="s">
        <v>537</v>
      </c>
      <c r="G1617" s="26" t="s">
        <v>126</v>
      </c>
      <c r="H1617" s="26" t="s">
        <v>349</v>
      </c>
      <c r="I1617" s="26" t="s">
        <v>538</v>
      </c>
      <c r="J1617" s="26" t="s">
        <v>539</v>
      </c>
      <c r="K1617" s="26" t="s">
        <v>242</v>
      </c>
      <c r="L1617" s="26" t="s">
        <v>148</v>
      </c>
      <c r="M1617" s="26" t="s">
        <v>323</v>
      </c>
      <c r="N1617" s="26">
        <v>90</v>
      </c>
      <c r="O1617" s="26">
        <f>2024-Inventory[[#This Row],[YrBlt]]</f>
        <v>89</v>
      </c>
      <c r="P1617" s="26">
        <f>2024-Inventory[[#This Row],[EffYr]]</f>
        <v>53</v>
      </c>
      <c r="Q1617" s="25">
        <v>1935</v>
      </c>
      <c r="R1617" s="25">
        <v>1971</v>
      </c>
      <c r="S1617" s="25">
        <v>1274</v>
      </c>
      <c r="T1617" s="27"/>
      <c r="U1617" s="25">
        <v>1274</v>
      </c>
      <c r="V1617" s="32">
        <f>Inventory[[#This Row],[Bsmt]]-Inventory[[#This Row],[FnBsmt]]</f>
        <v>433</v>
      </c>
      <c r="W1617" s="32">
        <v>841</v>
      </c>
      <c r="X1617" s="27"/>
      <c r="Y1617" s="27">
        <f>Inventory[[#This Row],[MainFn]]+Inventory[[#This Row],[UpprFn]]+Inventory[[#This Row],[FnBsmt]]+Inventory[[#This Row],[AddFn]]</f>
        <v>2115</v>
      </c>
      <c r="Z1617" s="27">
        <v>2500</v>
      </c>
      <c r="AA1617" s="25">
        <v>8</v>
      </c>
      <c r="AB1617" s="27"/>
      <c r="AC1617" s="27"/>
      <c r="AD1617" s="27"/>
      <c r="AE1617" s="27"/>
      <c r="AF1617" s="27"/>
      <c r="AG1617" s="27"/>
      <c r="AH1617" s="27"/>
      <c r="AI1617" s="25">
        <v>383892</v>
      </c>
      <c r="AJ1617" s="25">
        <v>257208</v>
      </c>
      <c r="AK1617" s="25">
        <v>4877</v>
      </c>
      <c r="AL1617" s="25">
        <v>344700</v>
      </c>
      <c r="AM1617" s="25">
        <v>48400</v>
      </c>
      <c r="AN1617" s="25">
        <v>296300</v>
      </c>
      <c r="AO1617" s="25">
        <v>0</v>
      </c>
      <c r="AP1617" s="25">
        <f>Lookups!$B$56*0</f>
        <v>0</v>
      </c>
      <c r="AQ1617" s="25">
        <f>Lookups!$B$56*1</f>
        <v>89850.625589999996</v>
      </c>
      <c r="AR1617" s="25">
        <f>Lookups!$B$57*Inventory[[#This Row],[LnAcres]]</f>
        <v>-60052.604136134301</v>
      </c>
      <c r="AS1617" s="25">
        <f>VLOOKUP(Inventory[[#This Row],[Qlty]],Lookups!$A$62:$E$75,2,FALSE)</f>
        <v>44121.038090000002</v>
      </c>
      <c r="AT1617" s="25">
        <f>VLOOKUP(Inventory[[#This Row],[Cnd]],Lookups!$A$76:$E$84,2,FALSE)</f>
        <v>160472.20319</v>
      </c>
      <c r="AU1617" s="25">
        <f>Inventory[[#This Row],[EffAge]]*Lookups!$B$85</f>
        <v>-11821.416826500001</v>
      </c>
      <c r="AV1617" s="25">
        <f>Inventory[[#This Row],[MainFn]]*Lookups!$B$86</f>
        <v>62946.645423298003</v>
      </c>
      <c r="AW1617" s="25">
        <f>Inventory[[#This Row],[UpprFn]]*Lookups!$B$87</f>
        <v>0</v>
      </c>
      <c r="AX1617" s="25">
        <f>Inventory[[#This Row],[AddFn]]*Lookups!$B$88</f>
        <v>0</v>
      </c>
      <c r="AY1617" s="25">
        <f>Inventory[[#This Row],[Bsmt]]*Lookups!$B$89</f>
        <v>37050.334544678</v>
      </c>
      <c r="AZ1617" s="25">
        <f>Inventory[[#This Row],[Fixtures]]*Lookups!$B$90</f>
        <v>30336.176841600001</v>
      </c>
      <c r="BA1617" s="25">
        <f>Inventory[[#This Row],[WdDeck]]*Lookups!$B$91</f>
        <v>0</v>
      </c>
      <c r="BB1617" s="25">
        <f>ROUND(Inventory[[#This Row],[25Det]],-2)</f>
        <v>4900</v>
      </c>
      <c r="BC1617" s="25">
        <f>ROUND(SUM(Inventory[[#This Row],[Mdl Qlty]:[Mdl WdDeck]])+Inventory[[#This Row],[Mdl Res Intercept]],-2)</f>
        <v>323100</v>
      </c>
      <c r="BD1617" s="25">
        <f>ROUND(Inventory[[#This Row],[Mdl Land Intercept]]+Inventory[[#This Row],[Mdl LnAcres]],-2)</f>
        <v>29800</v>
      </c>
      <c r="BE1617" s="25">
        <f>Inventory[[#This Row],[Unadj Res Value]]+Inventory[[#This Row],[Unadj Det Value]]+Inventory[[#This Row],[Unadj Land Value]]</f>
        <v>357800</v>
      </c>
      <c r="BF1617" s="36">
        <f>(Inventory[[#This Row],[Unadj Total Value]]-Inventory[[#This Row],[24Final]])/Inventory[[#This Row],[24Final]]</f>
        <v>3.8004061502756023E-2</v>
      </c>
      <c r="BG1617" s="25">
        <f>VLOOKUP(Inventory[[#This Row],[Nbhd]],Lookups!$Q$2:$T$4,4,FALSE)</f>
        <v>0.99970000000000003</v>
      </c>
      <c r="BH1617" s="25">
        <f>VLOOKUP(Inventory[[#This Row],[Qlty]],Lookups!$O$7:$R$21,4,FALSE)</f>
        <v>0.98050000000000004</v>
      </c>
      <c r="BI1617" s="25">
        <f>VLOOKUP(Inventory[[#This Row],[Cnd]],Lookups!$T$7:$W$16,4,FALSE)</f>
        <v>0.99729999999999996</v>
      </c>
      <c r="BJ1617" s="25">
        <f>VLOOKUP(Inventory[[#This Row],[LivArea Range]],Lookups!$T$25:$W$37,4,FALSE)</f>
        <v>0.98919999999999997</v>
      </c>
      <c r="BK1617" s="25">
        <f>VLOOKUP(Inventory[[#This Row],[Decade]],Lookups!$O$25:$R$42,4,FALSE)</f>
        <v>0.98909999999999998</v>
      </c>
      <c r="BL1617" s="25">
        <f>Inventory[[#This Row],[Nbhd Adj]]*0.95</f>
        <v>0.94971499999999998</v>
      </c>
      <c r="BM1617" s="25">
        <f>Inventory[[#This Row],[Nbhd Adj]]*Inventory[[#This Row],[Quality Adj]]*Inventory[[#This Row],[Condition Adj]]*Inventory[[#This Row],[Living Area Adj]]*Inventory[[#This Row],[Decade Adj]]*0.95</f>
        <v>0.9086382690108219</v>
      </c>
      <c r="BN1617" s="25">
        <f>ROUND(SUM(Inventory[[#This Row],[Mdl Qlty]:[Mdl WdDeck]])+Inventory[[#This Row],[Mdl Res Intercept]]*Inventory[[#This Row],[Res Adj ]],-2)</f>
        <v>323100</v>
      </c>
      <c r="BO1617" s="25">
        <f>ROUND(Inventory[[#This Row],[25Det]]*Inventory[[#This Row],[Det/Nbhd Adj]],-2)</f>
        <v>4600</v>
      </c>
      <c r="BP1617" s="25">
        <f>Inventory[[#This Row],[Adjusted Res]]+Inventory[[#This Row],[Adj Det ]]</f>
        <v>327700</v>
      </c>
      <c r="BQ1617" s="25">
        <f>ROUND((Inventory[[#This Row],[Mdl Land Intercept]]+Inventory[[#This Row],[Mdl LnAcres]])*Inventory[[#This Row],[Det/Nbhd Adj]],-2)</f>
        <v>28300</v>
      </c>
      <c r="BR1617" s="25">
        <f>Inventory[[#This Row],[Adjusted Impr Total]]+Inventory[[#This Row],[Adjusted Land Total]]</f>
        <v>356000</v>
      </c>
      <c r="BS1617" s="36">
        <f>IFERROR((Inventory[[#This Row],[Adjusted Impr Total]]-Inventory[[#This Row],[24Bldg]])/Inventory[[#This Row],[24Bldg]],0)</f>
        <v>0.10597367532905838</v>
      </c>
      <c r="BT1617" s="36">
        <f>(Inventory[[#This Row],[Adjusted Land Total]]-Inventory[[#This Row],[24Lnd]])/Inventory[[#This Row],[24Lnd]]</f>
        <v>-0.41528925619834711</v>
      </c>
      <c r="BU1617" s="36">
        <f>(Inventory[[#This Row],[Adjusted Total]]-Inventory[[#This Row],[24Final]])/Inventory[[#This Row],[24Final]]</f>
        <v>3.2782129387873511E-2</v>
      </c>
    </row>
    <row r="1618" spans="1:73" x14ac:dyDescent="0.3">
      <c r="A1618" s="25">
        <v>2025</v>
      </c>
      <c r="B1618" s="26" t="s">
        <v>2274</v>
      </c>
      <c r="C1618" s="26">
        <f>LN(Inventory[[#This Row],[Acres]])</f>
        <v>-1.8971199848858813</v>
      </c>
      <c r="D1618" s="25">
        <v>0.15</v>
      </c>
      <c r="E1618" s="27"/>
      <c r="F1618" s="26" t="s">
        <v>537</v>
      </c>
      <c r="G1618" s="26" t="s">
        <v>126</v>
      </c>
      <c r="H1618" s="26" t="s">
        <v>349</v>
      </c>
      <c r="I1618" s="26" t="s">
        <v>538</v>
      </c>
      <c r="J1618" s="26" t="s">
        <v>539</v>
      </c>
      <c r="K1618" s="26" t="s">
        <v>242</v>
      </c>
      <c r="L1618" s="26" t="s">
        <v>351</v>
      </c>
      <c r="M1618" s="26" t="s">
        <v>303</v>
      </c>
      <c r="N1618" s="26">
        <v>90</v>
      </c>
      <c r="O1618" s="26">
        <f>2024-Inventory[[#This Row],[YrBlt]]</f>
        <v>89</v>
      </c>
      <c r="P1618" s="26">
        <f>2024-Inventory[[#This Row],[EffYr]]</f>
        <v>53</v>
      </c>
      <c r="Q1618" s="25">
        <v>1935</v>
      </c>
      <c r="R1618" s="25">
        <v>1971</v>
      </c>
      <c r="S1618" s="25">
        <v>1108</v>
      </c>
      <c r="T1618" s="27"/>
      <c r="U1618" s="25">
        <v>1108</v>
      </c>
      <c r="V1618" s="25">
        <f>Inventory[[#This Row],[Bsmt]]-Inventory[[#This Row],[FnBsmt]]</f>
        <v>0</v>
      </c>
      <c r="W1618" s="25">
        <v>1108</v>
      </c>
      <c r="X1618" s="27"/>
      <c r="Y1618" s="27">
        <f>Inventory[[#This Row],[MainFn]]+Inventory[[#This Row],[UpprFn]]+Inventory[[#This Row],[FnBsmt]]+Inventory[[#This Row],[AddFn]]</f>
        <v>2216</v>
      </c>
      <c r="Z1618" s="27">
        <v>2500</v>
      </c>
      <c r="AA1618" s="25">
        <v>5</v>
      </c>
      <c r="AB1618" s="27"/>
      <c r="AC1618" s="27"/>
      <c r="AD1618" s="31"/>
      <c r="AE1618" s="27"/>
      <c r="AF1618" s="27"/>
      <c r="AG1618" s="27"/>
      <c r="AH1618" s="27"/>
      <c r="AI1618" s="25">
        <v>280066</v>
      </c>
      <c r="AJ1618" s="25">
        <v>193246</v>
      </c>
      <c r="AK1618" s="25">
        <v>5286</v>
      </c>
      <c r="AL1618" s="25">
        <v>335900</v>
      </c>
      <c r="AM1618" s="25">
        <v>48400</v>
      </c>
      <c r="AN1618" s="25">
        <v>287500</v>
      </c>
      <c r="AO1618" s="25">
        <v>0</v>
      </c>
      <c r="AP1618" s="25">
        <f>Lookups!$B$56*0</f>
        <v>0</v>
      </c>
      <c r="AQ1618" s="25">
        <f>Lookups!$B$56*1</f>
        <v>89850.625589999996</v>
      </c>
      <c r="AR1618" s="25">
        <f>Lookups!$B$57*Inventory[[#This Row],[LnAcres]]</f>
        <v>-60052.604136134301</v>
      </c>
      <c r="AS1618" s="25">
        <f>VLOOKUP(Inventory[[#This Row],[Qlty]],Lookups!$A$62:$E$75,2,FALSE)</f>
        <v>21557.329055999999</v>
      </c>
      <c r="AT1618" s="25">
        <f>VLOOKUP(Inventory[[#This Row],[Cnd]],Lookups!$A$76:$E$84,2,FALSE)</f>
        <v>197752.34721000001</v>
      </c>
      <c r="AU1618" s="25">
        <f>Inventory[[#This Row],[EffAge]]*Lookups!$B$85</f>
        <v>-11821.416826500001</v>
      </c>
      <c r="AV1618" s="25">
        <f>Inventory[[#This Row],[MainFn]]*Lookups!$B$86</f>
        <v>54744.806223716005</v>
      </c>
      <c r="AW1618" s="25">
        <f>Inventory[[#This Row],[UpprFn]]*Lookups!$B$87</f>
        <v>0</v>
      </c>
      <c r="AX1618" s="25">
        <f>Inventory[[#This Row],[AddFn]]*Lookups!$B$88</f>
        <v>0</v>
      </c>
      <c r="AY1618" s="25">
        <f>Inventory[[#This Row],[Bsmt]]*Lookups!$B$89</f>
        <v>32222.739933675999</v>
      </c>
      <c r="AZ1618" s="25">
        <f>Inventory[[#This Row],[Fixtures]]*Lookups!$B$90</f>
        <v>18960.110526</v>
      </c>
      <c r="BA1618" s="25">
        <f>Inventory[[#This Row],[WdDeck]]*Lookups!$B$91</f>
        <v>0</v>
      </c>
      <c r="BB1618" s="25">
        <f>ROUND(Inventory[[#This Row],[25Det]],-2)</f>
        <v>5300</v>
      </c>
      <c r="BC1618" s="25">
        <f>ROUND(SUM(Inventory[[#This Row],[Mdl Qlty]:[Mdl WdDeck]])+Inventory[[#This Row],[Mdl Res Intercept]],-2)</f>
        <v>313400</v>
      </c>
      <c r="BD1618" s="25">
        <f>ROUND(Inventory[[#This Row],[Mdl Land Intercept]]+Inventory[[#This Row],[Mdl LnAcres]],-2)</f>
        <v>29800</v>
      </c>
      <c r="BE1618" s="25">
        <f>Inventory[[#This Row],[Unadj Res Value]]+Inventory[[#This Row],[Unadj Det Value]]+Inventory[[#This Row],[Unadj Land Value]]</f>
        <v>348500</v>
      </c>
      <c r="BF1618" s="36">
        <f>(Inventory[[#This Row],[Unadj Total Value]]-Inventory[[#This Row],[24Final]])/Inventory[[#This Row],[24Final]]</f>
        <v>3.7511164036915748E-2</v>
      </c>
      <c r="BG1618" s="25">
        <f>VLOOKUP(Inventory[[#This Row],[Nbhd]],Lookups!$Q$2:$T$4,4,FALSE)</f>
        <v>0.99970000000000003</v>
      </c>
      <c r="BH1618" s="25">
        <f>VLOOKUP(Inventory[[#This Row],[Qlty]],Lookups!$O$7:$R$21,4,FALSE)</f>
        <v>1.0067999999999999</v>
      </c>
      <c r="BI1618" s="25">
        <f>VLOOKUP(Inventory[[#This Row],[Cnd]],Lookups!$T$7:$W$16,4,FALSE)</f>
        <v>0.99650000000000005</v>
      </c>
      <c r="BJ1618" s="25">
        <f>VLOOKUP(Inventory[[#This Row],[LivArea Range]],Lookups!$T$25:$W$37,4,FALSE)</f>
        <v>0.98919999999999997</v>
      </c>
      <c r="BK1618" s="25">
        <f>VLOOKUP(Inventory[[#This Row],[Decade]],Lookups!$O$25:$R$42,4,FALSE)</f>
        <v>0.98909999999999998</v>
      </c>
      <c r="BL1618" s="25">
        <f>Inventory[[#This Row],[Nbhd Adj]]*0.95</f>
        <v>0.94971499999999998</v>
      </c>
      <c r="BM1618" s="25">
        <f>Inventory[[#This Row],[Nbhd Adj]]*Inventory[[#This Row],[Quality Adj]]*Inventory[[#This Row],[Condition Adj]]*Inventory[[#This Row],[Living Area Adj]]*Inventory[[#This Row],[Decade Adj]]*0.95</f>
        <v>0.9322622889120924</v>
      </c>
      <c r="BN1618" s="25">
        <f>ROUND(SUM(Inventory[[#This Row],[Mdl Qlty]:[Mdl WdDeck]])+Inventory[[#This Row],[Mdl Res Intercept]]*Inventory[[#This Row],[Res Adj ]],-2)</f>
        <v>313400</v>
      </c>
      <c r="BO1618" s="25">
        <f>ROUND(Inventory[[#This Row],[25Det]]*Inventory[[#This Row],[Det/Nbhd Adj]],-2)</f>
        <v>5000</v>
      </c>
      <c r="BP1618" s="25">
        <f>Inventory[[#This Row],[Adjusted Res]]+Inventory[[#This Row],[Adj Det ]]</f>
        <v>318400</v>
      </c>
      <c r="BQ1618" s="25">
        <f>ROUND((Inventory[[#This Row],[Mdl Land Intercept]]+Inventory[[#This Row],[Mdl LnAcres]])*Inventory[[#This Row],[Det/Nbhd Adj]],-2)</f>
        <v>28300</v>
      </c>
      <c r="BR1618" s="25">
        <f>Inventory[[#This Row],[Adjusted Impr Total]]+Inventory[[#This Row],[Adjusted Land Total]]</f>
        <v>346700</v>
      </c>
      <c r="BS1618" s="36">
        <f>IFERROR((Inventory[[#This Row],[Adjusted Impr Total]]-Inventory[[#This Row],[24Bldg]])/Inventory[[#This Row],[24Bldg]],0)</f>
        <v>0.10747826086956522</v>
      </c>
      <c r="BT1618" s="36">
        <f>(Inventory[[#This Row],[Adjusted Land Total]]-Inventory[[#This Row],[24Lnd]])/Inventory[[#This Row],[24Lnd]]</f>
        <v>-0.41528925619834711</v>
      </c>
      <c r="BU1618" s="36">
        <f>(Inventory[[#This Row],[Adjusted Total]]-Inventory[[#This Row],[24Final]])/Inventory[[#This Row],[24Final]]</f>
        <v>3.2152426317356354E-2</v>
      </c>
    </row>
    <row r="1619" spans="1:73" x14ac:dyDescent="0.3">
      <c r="A1619" s="25">
        <v>2025</v>
      </c>
      <c r="B1619" s="26" t="s">
        <v>2889</v>
      </c>
      <c r="C1619" s="26">
        <f>LN(Inventory[[#This Row],[Acres]])</f>
        <v>-1.8971199848858813</v>
      </c>
      <c r="D1619" s="25">
        <v>0.15</v>
      </c>
      <c r="E1619" s="32">
        <v>6406</v>
      </c>
      <c r="F1619" s="26" t="s">
        <v>537</v>
      </c>
      <c r="G1619" s="26" t="s">
        <v>126</v>
      </c>
      <c r="H1619" s="26" t="s">
        <v>349</v>
      </c>
      <c r="I1619" s="26" t="s">
        <v>538</v>
      </c>
      <c r="J1619" s="26" t="s">
        <v>539</v>
      </c>
      <c r="K1619" s="26" t="s">
        <v>269</v>
      </c>
      <c r="L1619" s="26" t="s">
        <v>351</v>
      </c>
      <c r="M1619" s="26" t="s">
        <v>323</v>
      </c>
      <c r="N1619" s="26">
        <v>90</v>
      </c>
      <c r="O1619" s="26">
        <f>2024-Inventory[[#This Row],[YrBlt]]</f>
        <v>89</v>
      </c>
      <c r="P1619" s="26">
        <f>2024-Inventory[[#This Row],[EffYr]]</f>
        <v>53</v>
      </c>
      <c r="Q1619" s="25">
        <v>1935</v>
      </c>
      <c r="R1619" s="25">
        <v>1971</v>
      </c>
      <c r="S1619" s="25">
        <v>935</v>
      </c>
      <c r="T1619" s="27"/>
      <c r="U1619" s="25">
        <v>468</v>
      </c>
      <c r="V1619" s="25">
        <f>Inventory[[#This Row],[Bsmt]]-Inventory[[#This Row],[FnBsmt]]</f>
        <v>0</v>
      </c>
      <c r="W1619" s="25">
        <v>468</v>
      </c>
      <c r="X1619" s="27"/>
      <c r="Y1619" s="27">
        <f>Inventory[[#This Row],[MainFn]]+Inventory[[#This Row],[UpprFn]]+Inventory[[#This Row],[FnBsmt]]+Inventory[[#This Row],[AddFn]]</f>
        <v>1403</v>
      </c>
      <c r="Z1619" s="27">
        <v>1500</v>
      </c>
      <c r="AA1619" s="25">
        <v>8</v>
      </c>
      <c r="AB1619" s="27"/>
      <c r="AC1619" s="27"/>
      <c r="AD1619" s="27"/>
      <c r="AE1619" s="27"/>
      <c r="AF1619" s="27"/>
      <c r="AG1619" s="27"/>
      <c r="AH1619" s="27"/>
      <c r="AI1619" s="25">
        <v>216275</v>
      </c>
      <c r="AJ1619" s="25">
        <v>144904</v>
      </c>
      <c r="AK1619" s="25">
        <v>0</v>
      </c>
      <c r="AL1619" s="25">
        <v>279800</v>
      </c>
      <c r="AM1619" s="25">
        <v>48400</v>
      </c>
      <c r="AN1619" s="25">
        <v>231400</v>
      </c>
      <c r="AO1619" s="25">
        <v>0</v>
      </c>
      <c r="AP1619" s="25">
        <f>Lookups!$B$56*0</f>
        <v>0</v>
      </c>
      <c r="AQ1619" s="25">
        <f>Lookups!$B$56*1</f>
        <v>89850.625589999996</v>
      </c>
      <c r="AR1619" s="25">
        <f>Lookups!$B$57*Inventory[[#This Row],[LnAcres]]</f>
        <v>-60052.604136134301</v>
      </c>
      <c r="AS1619" s="25">
        <f>VLOOKUP(Inventory[[#This Row],[Qlty]],Lookups!$A$62:$E$75,2,FALSE)</f>
        <v>21557.329055999999</v>
      </c>
      <c r="AT1619" s="25">
        <f>VLOOKUP(Inventory[[#This Row],[Cnd]],Lookups!$A$76:$E$84,2,FALSE)</f>
        <v>160472.20319</v>
      </c>
      <c r="AU1619" s="25">
        <f>Inventory[[#This Row],[EffAge]]*Lookups!$B$85</f>
        <v>-11821.416826500001</v>
      </c>
      <c r="AV1619" s="25">
        <f>Inventory[[#This Row],[MainFn]]*Lookups!$B$86</f>
        <v>46197.106334994998</v>
      </c>
      <c r="AW1619" s="25">
        <f>Inventory[[#This Row],[UpprFn]]*Lookups!$B$87</f>
        <v>0</v>
      </c>
      <c r="AX1619" s="25">
        <f>Inventory[[#This Row],[AddFn]]*Lookups!$B$88</f>
        <v>0</v>
      </c>
      <c r="AY1619" s="25">
        <f>Inventory[[#This Row],[Bsmt]]*Lookups!$B$89</f>
        <v>13610.326975595999</v>
      </c>
      <c r="AZ1619" s="25">
        <f>Inventory[[#This Row],[Fixtures]]*Lookups!$B$90</f>
        <v>30336.176841600001</v>
      </c>
      <c r="BA1619" s="25">
        <f>Inventory[[#This Row],[WdDeck]]*Lookups!$B$91</f>
        <v>0</v>
      </c>
      <c r="BB1619" s="25">
        <f>ROUND(Inventory[[#This Row],[25Det]],-2)</f>
        <v>0</v>
      </c>
      <c r="BC1619" s="25">
        <f>ROUND(SUM(Inventory[[#This Row],[Mdl Qlty]:[Mdl WdDeck]])+Inventory[[#This Row],[Mdl Res Intercept]],-2)</f>
        <v>260400</v>
      </c>
      <c r="BD1619" s="25">
        <f>ROUND(Inventory[[#This Row],[Mdl Land Intercept]]+Inventory[[#This Row],[Mdl LnAcres]],-2)</f>
        <v>29800</v>
      </c>
      <c r="BE1619" s="25">
        <f>Inventory[[#This Row],[Unadj Res Value]]+Inventory[[#This Row],[Unadj Det Value]]+Inventory[[#This Row],[Unadj Land Value]]</f>
        <v>290200</v>
      </c>
      <c r="BF1619" s="36">
        <f>(Inventory[[#This Row],[Unadj Total Value]]-Inventory[[#This Row],[24Final]])/Inventory[[#This Row],[24Final]]</f>
        <v>3.7169406719085057E-2</v>
      </c>
      <c r="BG1619" s="25">
        <f>VLOOKUP(Inventory[[#This Row],[Nbhd]],Lookups!$Q$2:$T$4,4,FALSE)</f>
        <v>0.99970000000000003</v>
      </c>
      <c r="BH1619" s="25">
        <f>VLOOKUP(Inventory[[#This Row],[Qlty]],Lookups!$O$7:$R$21,4,FALSE)</f>
        <v>1.0067999999999999</v>
      </c>
      <c r="BI1619" s="25">
        <f>VLOOKUP(Inventory[[#This Row],[Cnd]],Lookups!$T$7:$W$16,4,FALSE)</f>
        <v>0.99729999999999996</v>
      </c>
      <c r="BJ1619" s="25">
        <f>VLOOKUP(Inventory[[#This Row],[LivArea Range]],Lookups!$T$25:$W$37,4,FALSE)</f>
        <v>1.0157</v>
      </c>
      <c r="BK1619" s="25">
        <f>VLOOKUP(Inventory[[#This Row],[Decade]],Lookups!$O$25:$R$42,4,FALSE)</f>
        <v>0.98909999999999998</v>
      </c>
      <c r="BL1619" s="25">
        <f>Inventory[[#This Row],[Nbhd Adj]]*0.95</f>
        <v>0.94971499999999998</v>
      </c>
      <c r="BM1619" s="25">
        <f>Inventory[[#This Row],[Nbhd Adj]]*Inventory[[#This Row],[Quality Adj]]*Inventory[[#This Row],[Condition Adj]]*Inventory[[#This Row],[Living Area Adj]]*Inventory[[#This Row],[Decade Adj]]*0.95</f>
        <v>0.95800544533193577</v>
      </c>
      <c r="BN1619" s="25">
        <f>ROUND(SUM(Inventory[[#This Row],[Mdl Qlty]:[Mdl WdDeck]])+Inventory[[#This Row],[Mdl Res Intercept]]*Inventory[[#This Row],[Res Adj ]],-2)</f>
        <v>260400</v>
      </c>
      <c r="BO1619" s="25">
        <f>ROUND(Inventory[[#This Row],[25Det]]*Inventory[[#This Row],[Det/Nbhd Adj]],-2)</f>
        <v>0</v>
      </c>
      <c r="BP1619" s="25">
        <f>Inventory[[#This Row],[Adjusted Res]]+Inventory[[#This Row],[Adj Det ]]</f>
        <v>260400</v>
      </c>
      <c r="BQ1619" s="25">
        <f>ROUND((Inventory[[#This Row],[Mdl Land Intercept]]+Inventory[[#This Row],[Mdl LnAcres]])*Inventory[[#This Row],[Det/Nbhd Adj]],-2)</f>
        <v>28300</v>
      </c>
      <c r="BR1619" s="25">
        <f>Inventory[[#This Row],[Adjusted Impr Total]]+Inventory[[#This Row],[Adjusted Land Total]]</f>
        <v>288700</v>
      </c>
      <c r="BS1619" s="36">
        <f>IFERROR((Inventory[[#This Row],[Adjusted Impr Total]]-Inventory[[#This Row],[24Bldg]])/Inventory[[#This Row],[24Bldg]],0)</f>
        <v>0.12532411408815902</v>
      </c>
      <c r="BT1619" s="36">
        <f>(Inventory[[#This Row],[Adjusted Land Total]]-Inventory[[#This Row],[24Lnd]])/Inventory[[#This Row],[24Lnd]]</f>
        <v>-0.41528925619834711</v>
      </c>
      <c r="BU1619" s="36">
        <f>(Inventory[[#This Row],[Adjusted Total]]-Inventory[[#This Row],[24Final]])/Inventory[[#This Row],[24Final]]</f>
        <v>3.1808434596140099E-2</v>
      </c>
    </row>
    <row r="1620" spans="1:73" x14ac:dyDescent="0.3">
      <c r="A1620" s="25">
        <v>2025</v>
      </c>
      <c r="B1620" s="26" t="s">
        <v>2424</v>
      </c>
      <c r="C1620" s="26">
        <f>LN(Inventory[[#This Row],[Acres]])</f>
        <v>-2.8134107167600364</v>
      </c>
      <c r="D1620" s="25">
        <v>0.06</v>
      </c>
      <c r="E1620" s="27"/>
      <c r="F1620" s="26" t="s">
        <v>537</v>
      </c>
      <c r="G1620" s="26" t="s">
        <v>126</v>
      </c>
      <c r="H1620" s="26" t="s">
        <v>349</v>
      </c>
      <c r="I1620" s="26" t="s">
        <v>538</v>
      </c>
      <c r="J1620" s="26" t="s">
        <v>539</v>
      </c>
      <c r="K1620" s="26" t="s">
        <v>242</v>
      </c>
      <c r="L1620" s="26" t="s">
        <v>205</v>
      </c>
      <c r="M1620" s="26" t="s">
        <v>323</v>
      </c>
      <c r="N1620" s="26">
        <v>90</v>
      </c>
      <c r="O1620" s="26">
        <f>2024-Inventory[[#This Row],[YrBlt]]</f>
        <v>89</v>
      </c>
      <c r="P1620" s="26">
        <f>2024-Inventory[[#This Row],[EffYr]]</f>
        <v>53</v>
      </c>
      <c r="Q1620" s="25">
        <v>1935</v>
      </c>
      <c r="R1620" s="25">
        <v>1971</v>
      </c>
      <c r="S1620" s="25">
        <v>616</v>
      </c>
      <c r="T1620" s="27"/>
      <c r="U1620" s="25">
        <v>370</v>
      </c>
      <c r="V1620" s="25">
        <f>Inventory[[#This Row],[Bsmt]]-Inventory[[#This Row],[FnBsmt]]</f>
        <v>0</v>
      </c>
      <c r="W1620" s="25">
        <v>370</v>
      </c>
      <c r="X1620" s="27"/>
      <c r="Y1620" s="27">
        <f>Inventory[[#This Row],[MainFn]]+Inventory[[#This Row],[UpprFn]]+Inventory[[#This Row],[FnBsmt]]+Inventory[[#This Row],[AddFn]]</f>
        <v>986</v>
      </c>
      <c r="Z1620" s="27">
        <v>1000</v>
      </c>
      <c r="AA1620" s="25">
        <v>5</v>
      </c>
      <c r="AB1620" s="27"/>
      <c r="AC1620" s="27"/>
      <c r="AD1620" s="27"/>
      <c r="AE1620" s="27"/>
      <c r="AF1620" s="27"/>
      <c r="AG1620" s="27"/>
      <c r="AH1620" s="27"/>
      <c r="AI1620" s="25">
        <v>146010</v>
      </c>
      <c r="AJ1620" s="25">
        <v>97827</v>
      </c>
      <c r="AK1620" s="25">
        <v>0</v>
      </c>
      <c r="AL1620" s="25">
        <v>203200</v>
      </c>
      <c r="AM1620" s="25">
        <v>16400</v>
      </c>
      <c r="AN1620" s="25">
        <v>186800</v>
      </c>
      <c r="AO1620" s="25">
        <v>0</v>
      </c>
      <c r="AP1620" s="25">
        <f>Lookups!$B$56*0</f>
        <v>0</v>
      </c>
      <c r="AQ1620" s="25">
        <f>Lookups!$B$56*1</f>
        <v>89850.625589999996</v>
      </c>
      <c r="AR1620" s="25">
        <f>Lookups!$B$57*Inventory[[#This Row],[LnAcres]]</f>
        <v>-89057.435160650348</v>
      </c>
      <c r="AS1620" s="25">
        <f>VLOOKUP(Inventory[[#This Row],[Qlty]],Lookups!$A$62:$E$75,2,FALSE)</f>
        <v>0</v>
      </c>
      <c r="AT1620" s="25">
        <f>VLOOKUP(Inventory[[#This Row],[Cnd]],Lookups!$A$76:$E$84,2,FALSE)</f>
        <v>160472.20319</v>
      </c>
      <c r="AU1620" s="25">
        <f>Inventory[[#This Row],[EffAge]]*Lookups!$B$85</f>
        <v>-11821.416826500001</v>
      </c>
      <c r="AV1620" s="25">
        <f>Inventory[[#This Row],[MainFn]]*Lookups!$B$86</f>
        <v>30435.740644232003</v>
      </c>
      <c r="AW1620" s="25">
        <f>Inventory[[#This Row],[UpprFn]]*Lookups!$B$87</f>
        <v>0</v>
      </c>
      <c r="AX1620" s="25">
        <f>Inventory[[#This Row],[AddFn]]*Lookups!$B$88</f>
        <v>0</v>
      </c>
      <c r="AY1620" s="25">
        <f>Inventory[[#This Row],[Bsmt]]*Lookups!$B$89</f>
        <v>10760.30124139</v>
      </c>
      <c r="AZ1620" s="25">
        <f>Inventory[[#This Row],[Fixtures]]*Lookups!$B$90</f>
        <v>18960.110526</v>
      </c>
      <c r="BA1620" s="25">
        <f>Inventory[[#This Row],[WdDeck]]*Lookups!$B$91</f>
        <v>0</v>
      </c>
      <c r="BB1620" s="25">
        <f>ROUND(Inventory[[#This Row],[25Det]],-2)</f>
        <v>0</v>
      </c>
      <c r="BC1620" s="25">
        <f>ROUND(SUM(Inventory[[#This Row],[Mdl Qlty]:[Mdl WdDeck]])+Inventory[[#This Row],[Mdl Res Intercept]],-2)</f>
        <v>208800</v>
      </c>
      <c r="BD1620" s="25">
        <f>ROUND(Inventory[[#This Row],[Mdl Land Intercept]]+Inventory[[#This Row],[Mdl LnAcres]],-2)</f>
        <v>800</v>
      </c>
      <c r="BE1620" s="25">
        <f>Inventory[[#This Row],[Unadj Res Value]]+Inventory[[#This Row],[Unadj Det Value]]+Inventory[[#This Row],[Unadj Land Value]]</f>
        <v>209600</v>
      </c>
      <c r="BF1620" s="36">
        <f>(Inventory[[#This Row],[Unadj Total Value]]-Inventory[[#This Row],[24Final]])/Inventory[[#This Row],[24Final]]</f>
        <v>3.1496062992125984E-2</v>
      </c>
      <c r="BG1620" s="25">
        <f>VLOOKUP(Inventory[[#This Row],[Nbhd]],Lookups!$Q$2:$T$4,4,FALSE)</f>
        <v>0.99970000000000003</v>
      </c>
      <c r="BH1620" s="25">
        <f>VLOOKUP(Inventory[[#This Row],[Qlty]],Lookups!$O$7:$R$21,4,FALSE)</f>
        <v>0.99180000000000001</v>
      </c>
      <c r="BI1620" s="25">
        <f>VLOOKUP(Inventory[[#This Row],[Cnd]],Lookups!$T$7:$W$16,4,FALSE)</f>
        <v>0.99729999999999996</v>
      </c>
      <c r="BJ1620" s="25">
        <f>VLOOKUP(Inventory[[#This Row],[LivArea Range]],Lookups!$T$25:$W$37,4,FALSE)</f>
        <v>1.0148999999999999</v>
      </c>
      <c r="BK1620" s="25">
        <f>VLOOKUP(Inventory[[#This Row],[Decade]],Lookups!$O$25:$R$42,4,FALSE)</f>
        <v>0.98909999999999998</v>
      </c>
      <c r="BL1620" s="25">
        <f>Inventory[[#This Row],[Nbhd Adj]]*0.95</f>
        <v>0.94971499999999998</v>
      </c>
      <c r="BM1620" s="25">
        <f>Inventory[[#This Row],[Nbhd Adj]]*Inventory[[#This Row],[Quality Adj]]*Inventory[[#This Row],[Condition Adj]]*Inventory[[#This Row],[Living Area Adj]]*Inventory[[#This Row],[Decade Adj]]*0.95</f>
        <v>0.94298910434578886</v>
      </c>
      <c r="BN1620" s="25">
        <f>ROUND(SUM(Inventory[[#This Row],[Mdl Qlty]:[Mdl WdDeck]])+Inventory[[#This Row],[Mdl Res Intercept]]*Inventory[[#This Row],[Res Adj ]],-2)</f>
        <v>208800</v>
      </c>
      <c r="BO1620" s="25">
        <f>ROUND(Inventory[[#This Row],[25Det]]*Inventory[[#This Row],[Det/Nbhd Adj]],-2)</f>
        <v>0</v>
      </c>
      <c r="BP1620" s="25">
        <f>Inventory[[#This Row],[Adjusted Res]]+Inventory[[#This Row],[Adj Det ]]</f>
        <v>208800</v>
      </c>
      <c r="BQ1620" s="25">
        <f>ROUND((Inventory[[#This Row],[Mdl Land Intercept]]+Inventory[[#This Row],[Mdl LnAcres]])*Inventory[[#This Row],[Det/Nbhd Adj]],-2)</f>
        <v>800</v>
      </c>
      <c r="BR1620" s="25">
        <f>Inventory[[#This Row],[Adjusted Impr Total]]+Inventory[[#This Row],[Adjusted Land Total]]</f>
        <v>209600</v>
      </c>
      <c r="BS1620" s="36">
        <f>IFERROR((Inventory[[#This Row],[Adjusted Impr Total]]-Inventory[[#This Row],[24Bldg]])/Inventory[[#This Row],[24Bldg]],0)</f>
        <v>0.11777301927194861</v>
      </c>
      <c r="BT1620" s="36">
        <f>(Inventory[[#This Row],[Adjusted Land Total]]-Inventory[[#This Row],[24Lnd]])/Inventory[[#This Row],[24Lnd]]</f>
        <v>-0.95121951219512191</v>
      </c>
      <c r="BU1620" s="36">
        <f>(Inventory[[#This Row],[Adjusted Total]]-Inventory[[#This Row],[24Final]])/Inventory[[#This Row],[24Final]]</f>
        <v>3.1496062992125984E-2</v>
      </c>
    </row>
    <row r="1621" spans="1:73" x14ac:dyDescent="0.3">
      <c r="A1621" s="25">
        <v>2025</v>
      </c>
      <c r="B1621" s="26" t="s">
        <v>2630</v>
      </c>
      <c r="C1621" s="26">
        <f>LN(Inventory[[#This Row],[Acres]])</f>
        <v>-1.9661128563728327</v>
      </c>
      <c r="D1621" s="25">
        <v>0.14000000000000001</v>
      </c>
      <c r="E1621" s="31"/>
      <c r="F1621" s="26" t="s">
        <v>537</v>
      </c>
      <c r="G1621" s="26" t="s">
        <v>126</v>
      </c>
      <c r="H1621" s="26" t="s">
        <v>349</v>
      </c>
      <c r="I1621" s="26" t="s">
        <v>538</v>
      </c>
      <c r="J1621" s="26" t="s">
        <v>539</v>
      </c>
      <c r="K1621" s="26" t="s">
        <v>242</v>
      </c>
      <c r="L1621" s="26" t="s">
        <v>205</v>
      </c>
      <c r="M1621" s="26" t="s">
        <v>323</v>
      </c>
      <c r="N1621" s="26">
        <v>90</v>
      </c>
      <c r="O1621" s="26">
        <f>2024-Inventory[[#This Row],[YrBlt]]</f>
        <v>89</v>
      </c>
      <c r="P1621" s="26">
        <f>2024-Inventory[[#This Row],[EffYr]]</f>
        <v>53</v>
      </c>
      <c r="Q1621" s="25">
        <v>1935</v>
      </c>
      <c r="R1621" s="25">
        <v>1971</v>
      </c>
      <c r="S1621" s="25">
        <v>984</v>
      </c>
      <c r="T1621" s="27"/>
      <c r="U1621" s="31"/>
      <c r="V1621" s="31">
        <f>Inventory[[#This Row],[Bsmt]]-Inventory[[#This Row],[FnBsmt]]</f>
        <v>0</v>
      </c>
      <c r="W1621" s="31"/>
      <c r="X1621" s="27"/>
      <c r="Y1621" s="27">
        <f>Inventory[[#This Row],[MainFn]]+Inventory[[#This Row],[UpprFn]]+Inventory[[#This Row],[FnBsmt]]+Inventory[[#This Row],[AddFn]]</f>
        <v>984</v>
      </c>
      <c r="Z1621" s="27">
        <v>1000</v>
      </c>
      <c r="AA1621" s="25">
        <v>5</v>
      </c>
      <c r="AB1621" s="27"/>
      <c r="AC1621" s="27"/>
      <c r="AD1621" s="27"/>
      <c r="AE1621" s="27"/>
      <c r="AF1621" s="27"/>
      <c r="AG1621" s="27"/>
      <c r="AH1621" s="27"/>
      <c r="AI1621" s="25">
        <v>157698</v>
      </c>
      <c r="AJ1621" s="25">
        <v>105658</v>
      </c>
      <c r="AK1621" s="25">
        <v>0</v>
      </c>
      <c r="AL1621" s="25">
        <v>235100</v>
      </c>
      <c r="AM1621" s="25">
        <v>46000</v>
      </c>
      <c r="AN1621" s="25">
        <v>189100</v>
      </c>
      <c r="AO1621" s="25">
        <v>0</v>
      </c>
      <c r="AP1621" s="25">
        <f>Lookups!$B$56*0</f>
        <v>0</v>
      </c>
      <c r="AQ1621" s="25">
        <f>Lookups!$B$56*1</f>
        <v>89850.625589999996</v>
      </c>
      <c r="AR1621" s="25">
        <f>Lookups!$B$57*Inventory[[#This Row],[LnAcres]]</f>
        <v>-62236.546971921947</v>
      </c>
      <c r="AS1621" s="25">
        <f>VLOOKUP(Inventory[[#This Row],[Qlty]],Lookups!$A$62:$E$75,2,FALSE)</f>
        <v>0</v>
      </c>
      <c r="AT1621" s="25">
        <f>VLOOKUP(Inventory[[#This Row],[Cnd]],Lookups!$A$76:$E$84,2,FALSE)</f>
        <v>160472.20319</v>
      </c>
      <c r="AU1621" s="25">
        <f>Inventory[[#This Row],[EffAge]]*Lookups!$B$85</f>
        <v>-11821.416826500001</v>
      </c>
      <c r="AV1621" s="25">
        <f>Inventory[[#This Row],[MainFn]]*Lookups!$B$86</f>
        <v>48618.131158968004</v>
      </c>
      <c r="AW1621" s="25">
        <f>Inventory[[#This Row],[UpprFn]]*Lookups!$B$87</f>
        <v>0</v>
      </c>
      <c r="AX1621" s="25">
        <f>Inventory[[#This Row],[AddFn]]*Lookups!$B$88</f>
        <v>0</v>
      </c>
      <c r="AY1621" s="25">
        <f>Inventory[[#This Row],[Bsmt]]*Lookups!$B$89</f>
        <v>0</v>
      </c>
      <c r="AZ1621" s="25">
        <f>Inventory[[#This Row],[Fixtures]]*Lookups!$B$90</f>
        <v>18960.110526</v>
      </c>
      <c r="BA1621" s="25">
        <f>Inventory[[#This Row],[WdDeck]]*Lookups!$B$91</f>
        <v>0</v>
      </c>
      <c r="BB1621" s="25">
        <f>ROUND(Inventory[[#This Row],[25Det]],-2)</f>
        <v>0</v>
      </c>
      <c r="BC1621" s="25">
        <f>ROUND(SUM(Inventory[[#This Row],[Mdl Qlty]:[Mdl WdDeck]])+Inventory[[#This Row],[Mdl Res Intercept]],-2)</f>
        <v>216200</v>
      </c>
      <c r="BD1621" s="25">
        <f>ROUND(Inventory[[#This Row],[Mdl Land Intercept]]+Inventory[[#This Row],[Mdl LnAcres]],-2)</f>
        <v>27600</v>
      </c>
      <c r="BE1621" s="25">
        <f>Inventory[[#This Row],[Unadj Res Value]]+Inventory[[#This Row],[Unadj Det Value]]+Inventory[[#This Row],[Unadj Land Value]]</f>
        <v>243800</v>
      </c>
      <c r="BF1621" s="36">
        <f>(Inventory[[#This Row],[Unadj Total Value]]-Inventory[[#This Row],[24Final]])/Inventory[[#This Row],[24Final]]</f>
        <v>3.7005529561888559E-2</v>
      </c>
      <c r="BG1621" s="25">
        <f>VLOOKUP(Inventory[[#This Row],[Nbhd]],Lookups!$Q$2:$T$4,4,FALSE)</f>
        <v>0.99970000000000003</v>
      </c>
      <c r="BH1621" s="25">
        <f>VLOOKUP(Inventory[[#This Row],[Qlty]],Lookups!$O$7:$R$21,4,FALSE)</f>
        <v>0.99180000000000001</v>
      </c>
      <c r="BI1621" s="25">
        <f>VLOOKUP(Inventory[[#This Row],[Cnd]],Lookups!$T$7:$W$16,4,FALSE)</f>
        <v>0.99729999999999996</v>
      </c>
      <c r="BJ1621" s="25">
        <f>VLOOKUP(Inventory[[#This Row],[LivArea Range]],Lookups!$T$25:$W$37,4,FALSE)</f>
        <v>1.0148999999999999</v>
      </c>
      <c r="BK1621" s="25">
        <f>VLOOKUP(Inventory[[#This Row],[Decade]],Lookups!$O$25:$R$42,4,FALSE)</f>
        <v>0.98909999999999998</v>
      </c>
      <c r="BL1621" s="25">
        <f>Inventory[[#This Row],[Nbhd Adj]]*0.95</f>
        <v>0.94971499999999998</v>
      </c>
      <c r="BM1621" s="25">
        <f>Inventory[[#This Row],[Nbhd Adj]]*Inventory[[#This Row],[Quality Adj]]*Inventory[[#This Row],[Condition Adj]]*Inventory[[#This Row],[Living Area Adj]]*Inventory[[#This Row],[Decade Adj]]*0.95</f>
        <v>0.94298910434578886</v>
      </c>
      <c r="BN1621" s="25">
        <f>ROUND(SUM(Inventory[[#This Row],[Mdl Qlty]:[Mdl WdDeck]])+Inventory[[#This Row],[Mdl Res Intercept]]*Inventory[[#This Row],[Res Adj ]],-2)</f>
        <v>216200</v>
      </c>
      <c r="BO1621" s="25">
        <f>ROUND(Inventory[[#This Row],[25Det]]*Inventory[[#This Row],[Det/Nbhd Adj]],-2)</f>
        <v>0</v>
      </c>
      <c r="BP1621" s="25">
        <f>Inventory[[#This Row],[Adjusted Res]]+Inventory[[#This Row],[Adj Det ]]</f>
        <v>216200</v>
      </c>
      <c r="BQ1621" s="25">
        <f>ROUND((Inventory[[#This Row],[Mdl Land Intercept]]+Inventory[[#This Row],[Mdl LnAcres]])*Inventory[[#This Row],[Det/Nbhd Adj]],-2)</f>
        <v>26200</v>
      </c>
      <c r="BR1621" s="25">
        <f>Inventory[[#This Row],[Adjusted Impr Total]]+Inventory[[#This Row],[Adjusted Land Total]]</f>
        <v>242400</v>
      </c>
      <c r="BS1621" s="36">
        <f>IFERROR((Inventory[[#This Row],[Adjusted Impr Total]]-Inventory[[#This Row],[24Bldg]])/Inventory[[#This Row],[24Bldg]],0)</f>
        <v>0.14331041776837652</v>
      </c>
      <c r="BT1621" s="36">
        <f>(Inventory[[#This Row],[Adjusted Land Total]]-Inventory[[#This Row],[24Lnd]])/Inventory[[#This Row],[24Lnd]]</f>
        <v>-0.43043478260869567</v>
      </c>
      <c r="BU1621" s="36">
        <f>(Inventory[[#This Row],[Adjusted Total]]-Inventory[[#This Row],[24Final]])/Inventory[[#This Row],[24Final]]</f>
        <v>3.1050616758826033E-2</v>
      </c>
    </row>
    <row r="1622" spans="1:73" x14ac:dyDescent="0.3">
      <c r="A1622" s="25">
        <v>2025</v>
      </c>
      <c r="B1622" s="26" t="s">
        <v>1795</v>
      </c>
      <c r="C1622" s="26">
        <f>LN(Inventory[[#This Row],[Acres]])</f>
        <v>-1.6094379124341003</v>
      </c>
      <c r="D1622" s="25">
        <v>0.2</v>
      </c>
      <c r="E1622" s="25">
        <v>8788</v>
      </c>
      <c r="F1622" s="26" t="s">
        <v>537</v>
      </c>
      <c r="G1622" s="26" t="s">
        <v>126</v>
      </c>
      <c r="H1622" s="26" t="s">
        <v>349</v>
      </c>
      <c r="I1622" s="26" t="s">
        <v>538</v>
      </c>
      <c r="J1622" s="26" t="s">
        <v>539</v>
      </c>
      <c r="K1622" s="26" t="s">
        <v>242</v>
      </c>
      <c r="L1622" s="26" t="s">
        <v>148</v>
      </c>
      <c r="M1622" s="26" t="s">
        <v>323</v>
      </c>
      <c r="N1622" s="26">
        <v>90</v>
      </c>
      <c r="O1622" s="26">
        <f>2024-Inventory[[#This Row],[YrBlt]]</f>
        <v>89</v>
      </c>
      <c r="P1622" s="26">
        <f>2024-Inventory[[#This Row],[EffYr]]</f>
        <v>53</v>
      </c>
      <c r="Q1622" s="25">
        <v>1935</v>
      </c>
      <c r="R1622" s="25">
        <v>1971</v>
      </c>
      <c r="S1622" s="25">
        <v>1449</v>
      </c>
      <c r="T1622" s="27"/>
      <c r="U1622" s="32">
        <v>723</v>
      </c>
      <c r="V1622" s="32">
        <f>Inventory[[#This Row],[Bsmt]]-Inventory[[#This Row],[FnBsmt]]</f>
        <v>0</v>
      </c>
      <c r="W1622" s="32">
        <v>723</v>
      </c>
      <c r="X1622" s="27"/>
      <c r="Y1622" s="27">
        <f>Inventory[[#This Row],[MainFn]]+Inventory[[#This Row],[UpprFn]]+Inventory[[#This Row],[FnBsmt]]+Inventory[[#This Row],[AddFn]]</f>
        <v>2172</v>
      </c>
      <c r="Z1622" s="27">
        <v>2500</v>
      </c>
      <c r="AA1622" s="25">
        <v>5</v>
      </c>
      <c r="AB1622" s="31"/>
      <c r="AC1622" s="27"/>
      <c r="AD1622" s="31"/>
      <c r="AE1622" s="27"/>
      <c r="AF1622" s="27"/>
      <c r="AG1622" s="27"/>
      <c r="AH1622" s="27"/>
      <c r="AI1622" s="25">
        <v>423755</v>
      </c>
      <c r="AJ1622" s="25">
        <v>283916</v>
      </c>
      <c r="AK1622" s="25">
        <v>8589</v>
      </c>
      <c r="AL1622" s="25">
        <v>339900</v>
      </c>
      <c r="AM1622" s="25">
        <v>58400</v>
      </c>
      <c r="AN1622" s="25">
        <v>281500</v>
      </c>
      <c r="AO1622" s="25">
        <v>0</v>
      </c>
      <c r="AP1622" s="25">
        <f>Lookups!$B$56*0</f>
        <v>0</v>
      </c>
      <c r="AQ1622" s="25">
        <f>Lookups!$B$56*1</f>
        <v>89850.625589999996</v>
      </c>
      <c r="AR1622" s="25">
        <f>Lookups!$B$57*Inventory[[#This Row],[LnAcres]]</f>
        <v>-50946.13867709865</v>
      </c>
      <c r="AS1622" s="25">
        <f>VLOOKUP(Inventory[[#This Row],[Qlty]],Lookups!$A$62:$E$75,2,FALSE)</f>
        <v>44121.038090000002</v>
      </c>
      <c r="AT1622" s="25">
        <f>VLOOKUP(Inventory[[#This Row],[Cnd]],Lookups!$A$76:$E$84,2,FALSE)</f>
        <v>160472.20319</v>
      </c>
      <c r="AU1622" s="25">
        <f>Inventory[[#This Row],[EffAge]]*Lookups!$B$85</f>
        <v>-11821.416826500001</v>
      </c>
      <c r="AV1622" s="25">
        <f>Inventory[[#This Row],[MainFn]]*Lookups!$B$86</f>
        <v>71593.162651773004</v>
      </c>
      <c r="AW1622" s="25">
        <f>Inventory[[#This Row],[UpprFn]]*Lookups!$B$87</f>
        <v>0</v>
      </c>
      <c r="AX1622" s="25">
        <f>Inventory[[#This Row],[AddFn]]*Lookups!$B$88</f>
        <v>0</v>
      </c>
      <c r="AY1622" s="25">
        <f>Inventory[[#This Row],[Bsmt]]*Lookups!$B$89</f>
        <v>21026.210263581001</v>
      </c>
      <c r="AZ1622" s="25">
        <f>Inventory[[#This Row],[Fixtures]]*Lookups!$B$90</f>
        <v>18960.110526</v>
      </c>
      <c r="BA1622" s="25">
        <f>Inventory[[#This Row],[WdDeck]]*Lookups!$B$91</f>
        <v>0</v>
      </c>
      <c r="BB1622" s="25">
        <f>ROUND(Inventory[[#This Row],[25Det]],-2)</f>
        <v>8600</v>
      </c>
      <c r="BC1622" s="25">
        <f>ROUND(SUM(Inventory[[#This Row],[Mdl Qlty]:[Mdl WdDeck]])+Inventory[[#This Row],[Mdl Res Intercept]],-2)</f>
        <v>304400</v>
      </c>
      <c r="BD1622" s="25">
        <f>ROUND(Inventory[[#This Row],[Mdl Land Intercept]]+Inventory[[#This Row],[Mdl LnAcres]],-2)</f>
        <v>38900</v>
      </c>
      <c r="BE1622" s="25">
        <f>Inventory[[#This Row],[Unadj Res Value]]+Inventory[[#This Row],[Unadj Det Value]]+Inventory[[#This Row],[Unadj Land Value]]</f>
        <v>351900</v>
      </c>
      <c r="BF1622" s="36">
        <f>(Inventory[[#This Row],[Unadj Total Value]]-Inventory[[#This Row],[24Final]])/Inventory[[#This Row],[24Final]]</f>
        <v>3.5304501323918797E-2</v>
      </c>
      <c r="BG1622" s="25">
        <f>VLOOKUP(Inventory[[#This Row],[Nbhd]],Lookups!$Q$2:$T$4,4,FALSE)</f>
        <v>0.99970000000000003</v>
      </c>
      <c r="BH1622" s="25">
        <f>VLOOKUP(Inventory[[#This Row],[Qlty]],Lookups!$O$7:$R$21,4,FALSE)</f>
        <v>0.98050000000000004</v>
      </c>
      <c r="BI1622" s="25">
        <f>VLOOKUP(Inventory[[#This Row],[Cnd]],Lookups!$T$7:$W$16,4,FALSE)</f>
        <v>0.99729999999999996</v>
      </c>
      <c r="BJ1622" s="25">
        <f>VLOOKUP(Inventory[[#This Row],[LivArea Range]],Lookups!$T$25:$W$37,4,FALSE)</f>
        <v>0.98919999999999997</v>
      </c>
      <c r="BK1622" s="25">
        <f>VLOOKUP(Inventory[[#This Row],[Decade]],Lookups!$O$25:$R$42,4,FALSE)</f>
        <v>0.98909999999999998</v>
      </c>
      <c r="BL1622" s="25">
        <f>Inventory[[#This Row],[Nbhd Adj]]*0.95</f>
        <v>0.94971499999999998</v>
      </c>
      <c r="BM1622" s="25">
        <f>Inventory[[#This Row],[Nbhd Adj]]*Inventory[[#This Row],[Quality Adj]]*Inventory[[#This Row],[Condition Adj]]*Inventory[[#This Row],[Living Area Adj]]*Inventory[[#This Row],[Decade Adj]]*0.95</f>
        <v>0.9086382690108219</v>
      </c>
      <c r="BN1622" s="25">
        <f>ROUND(SUM(Inventory[[#This Row],[Mdl Qlty]:[Mdl WdDeck]])+Inventory[[#This Row],[Mdl Res Intercept]]*Inventory[[#This Row],[Res Adj ]],-2)</f>
        <v>304400</v>
      </c>
      <c r="BO1622" s="25">
        <f>ROUND(Inventory[[#This Row],[25Det]]*Inventory[[#This Row],[Det/Nbhd Adj]],-2)</f>
        <v>8200</v>
      </c>
      <c r="BP1622" s="25">
        <f>Inventory[[#This Row],[Adjusted Res]]+Inventory[[#This Row],[Adj Det ]]</f>
        <v>312600</v>
      </c>
      <c r="BQ1622" s="25">
        <f>ROUND((Inventory[[#This Row],[Mdl Land Intercept]]+Inventory[[#This Row],[Mdl LnAcres]])*Inventory[[#This Row],[Det/Nbhd Adj]],-2)</f>
        <v>36900</v>
      </c>
      <c r="BR1622" s="25">
        <f>Inventory[[#This Row],[Adjusted Impr Total]]+Inventory[[#This Row],[Adjusted Land Total]]</f>
        <v>349500</v>
      </c>
      <c r="BS1622" s="36">
        <f>IFERROR((Inventory[[#This Row],[Adjusted Impr Total]]-Inventory[[#This Row],[24Bldg]])/Inventory[[#This Row],[24Bldg]],0)</f>
        <v>0.11047957371225577</v>
      </c>
      <c r="BT1622" s="36">
        <f>(Inventory[[#This Row],[Adjusted Land Total]]-Inventory[[#This Row],[24Lnd]])/Inventory[[#This Row],[24Lnd]]</f>
        <v>-0.36815068493150682</v>
      </c>
      <c r="BU1622" s="36">
        <f>(Inventory[[#This Row],[Adjusted Total]]-Inventory[[#This Row],[24Final]])/Inventory[[#This Row],[24Final]]</f>
        <v>2.8243601059135041E-2</v>
      </c>
    </row>
    <row r="1623" spans="1:73" x14ac:dyDescent="0.3">
      <c r="A1623" s="25">
        <v>2025</v>
      </c>
      <c r="B1623" s="26" t="s">
        <v>1649</v>
      </c>
      <c r="C1623" s="26">
        <f>LN(Inventory[[#This Row],[Acres]])</f>
        <v>-1.0788096613719298</v>
      </c>
      <c r="D1623" s="25">
        <v>0.34</v>
      </c>
      <c r="E1623" s="27"/>
      <c r="F1623" s="26" t="s">
        <v>537</v>
      </c>
      <c r="G1623" s="26" t="s">
        <v>126</v>
      </c>
      <c r="H1623" s="26" t="s">
        <v>349</v>
      </c>
      <c r="I1623" s="26" t="s">
        <v>538</v>
      </c>
      <c r="J1623" s="26" t="s">
        <v>539</v>
      </c>
      <c r="K1623" s="26" t="s">
        <v>269</v>
      </c>
      <c r="L1623" s="26" t="s">
        <v>148</v>
      </c>
      <c r="M1623" s="26" t="s">
        <v>303</v>
      </c>
      <c r="N1623" s="26">
        <v>90</v>
      </c>
      <c r="O1623" s="26">
        <f>2024-Inventory[[#This Row],[YrBlt]]</f>
        <v>89</v>
      </c>
      <c r="P1623" s="26">
        <f>2024-Inventory[[#This Row],[EffYr]]</f>
        <v>53</v>
      </c>
      <c r="Q1623" s="25">
        <v>1935</v>
      </c>
      <c r="R1623" s="25">
        <v>1971</v>
      </c>
      <c r="S1623" s="25">
        <v>2358</v>
      </c>
      <c r="T1623" s="27"/>
      <c r="U1623" s="25">
        <v>1323</v>
      </c>
      <c r="V1623" s="25">
        <f>Inventory[[#This Row],[Bsmt]]-Inventory[[#This Row],[FnBsmt]]</f>
        <v>0</v>
      </c>
      <c r="W1623" s="25">
        <v>1323</v>
      </c>
      <c r="X1623" s="27"/>
      <c r="Y1623" s="27">
        <f>Inventory[[#This Row],[MainFn]]+Inventory[[#This Row],[UpprFn]]+Inventory[[#This Row],[FnBsmt]]+Inventory[[#This Row],[AddFn]]</f>
        <v>3681</v>
      </c>
      <c r="Z1623" s="27">
        <v>4000</v>
      </c>
      <c r="AA1623" s="25">
        <v>13</v>
      </c>
      <c r="AB1623" s="27"/>
      <c r="AC1623" s="32">
        <v>462</v>
      </c>
      <c r="AD1623" s="27"/>
      <c r="AE1623" s="27"/>
      <c r="AF1623" s="27"/>
      <c r="AG1623" s="27"/>
      <c r="AH1623" s="27"/>
      <c r="AI1623" s="25">
        <v>698435</v>
      </c>
      <c r="AJ1623" s="25">
        <v>481920</v>
      </c>
      <c r="AK1623" s="25">
        <v>0</v>
      </c>
      <c r="AL1623" s="25">
        <v>473900</v>
      </c>
      <c r="AM1623" s="25">
        <v>76900</v>
      </c>
      <c r="AN1623" s="25">
        <v>397000</v>
      </c>
      <c r="AO1623" s="25">
        <v>0</v>
      </c>
      <c r="AP1623" s="25">
        <f>Lookups!$B$56*0</f>
        <v>0</v>
      </c>
      <c r="AQ1623" s="25">
        <f>Lookups!$B$56*1</f>
        <v>89850.625589999996</v>
      </c>
      <c r="AR1623" s="25">
        <f>Lookups!$B$57*Inventory[[#This Row],[LnAcres]]</f>
        <v>-34149.305288406773</v>
      </c>
      <c r="AS1623" s="25">
        <f>VLOOKUP(Inventory[[#This Row],[Qlty]],Lookups!$A$62:$E$75,2,FALSE)</f>
        <v>44121.038090000002</v>
      </c>
      <c r="AT1623" s="25">
        <f>VLOOKUP(Inventory[[#This Row],[Cnd]],Lookups!$A$76:$E$84,2,FALSE)</f>
        <v>197752.34721000001</v>
      </c>
      <c r="AU1623" s="25">
        <f>Inventory[[#This Row],[EffAge]]*Lookups!$B$85</f>
        <v>-11821.416826500001</v>
      </c>
      <c r="AV1623" s="25">
        <f>Inventory[[#This Row],[MainFn]]*Lookups!$B$86</f>
        <v>116505.64356996601</v>
      </c>
      <c r="AW1623" s="25">
        <f>Inventory[[#This Row],[UpprFn]]*Lookups!$B$87</f>
        <v>0</v>
      </c>
      <c r="AX1623" s="25">
        <f>Inventory[[#This Row],[AddFn]]*Lookups!$B$88</f>
        <v>0</v>
      </c>
      <c r="AY1623" s="25">
        <f>Inventory[[#This Row],[Bsmt]]*Lookups!$B$89</f>
        <v>38475.347411780996</v>
      </c>
      <c r="AZ1623" s="25">
        <f>Inventory[[#This Row],[Fixtures]]*Lookups!$B$90</f>
        <v>49296.287367600002</v>
      </c>
      <c r="BA1623" s="25">
        <f>Inventory[[#This Row],[WdDeck]]*Lookups!$B$91</f>
        <v>0</v>
      </c>
      <c r="BB1623" s="25">
        <f>ROUND(Inventory[[#This Row],[25Det]],-2)</f>
        <v>0</v>
      </c>
      <c r="BC1623" s="25">
        <f>ROUND(SUM(Inventory[[#This Row],[Mdl Qlty]:[Mdl WdDeck]])+Inventory[[#This Row],[Mdl Res Intercept]],-2)</f>
        <v>434300</v>
      </c>
      <c r="BD1623" s="25">
        <f>ROUND(Inventory[[#This Row],[Mdl Land Intercept]]+Inventory[[#This Row],[Mdl LnAcres]],-2)</f>
        <v>55700</v>
      </c>
      <c r="BE1623" s="25">
        <f>Inventory[[#This Row],[Unadj Res Value]]+Inventory[[#This Row],[Unadj Det Value]]+Inventory[[#This Row],[Unadj Land Value]]</f>
        <v>490000</v>
      </c>
      <c r="BF1623" s="36">
        <f>(Inventory[[#This Row],[Unadj Total Value]]-Inventory[[#This Row],[24Final]])/Inventory[[#This Row],[24Final]]</f>
        <v>3.3973412112259974E-2</v>
      </c>
      <c r="BG1623" s="25">
        <f>VLOOKUP(Inventory[[#This Row],[Nbhd]],Lookups!$Q$2:$T$4,4,FALSE)</f>
        <v>0.99970000000000003</v>
      </c>
      <c r="BH1623" s="25">
        <f>VLOOKUP(Inventory[[#This Row],[Qlty]],Lookups!$O$7:$R$21,4,FALSE)</f>
        <v>0.98050000000000004</v>
      </c>
      <c r="BI1623" s="25">
        <f>VLOOKUP(Inventory[[#This Row],[Cnd]],Lookups!$T$7:$W$16,4,FALSE)</f>
        <v>0.99650000000000005</v>
      </c>
      <c r="BJ1623" s="25">
        <f>VLOOKUP(Inventory[[#This Row],[LivArea Range]],Lookups!$T$25:$W$37,4,FALSE)</f>
        <v>0.94579999999999997</v>
      </c>
      <c r="BK1623" s="25">
        <f>VLOOKUP(Inventory[[#This Row],[Decade]],Lookups!$O$25:$R$42,4,FALSE)</f>
        <v>0.98909999999999998</v>
      </c>
      <c r="BL1623" s="25">
        <f>Inventory[[#This Row],[Nbhd Adj]]*0.95</f>
        <v>0.94971499999999998</v>
      </c>
      <c r="BM1623" s="25">
        <f>Inventory[[#This Row],[Nbhd Adj]]*Inventory[[#This Row],[Quality Adj]]*Inventory[[#This Row],[Condition Adj]]*Inventory[[#This Row],[Living Area Adj]]*Inventory[[#This Row],[Decade Adj]]*0.95</f>
        <v>0.86807592141374612</v>
      </c>
      <c r="BN1623" s="25">
        <f>ROUND(SUM(Inventory[[#This Row],[Mdl Qlty]:[Mdl WdDeck]])+Inventory[[#This Row],[Mdl Res Intercept]]*Inventory[[#This Row],[Res Adj ]],-2)</f>
        <v>434300</v>
      </c>
      <c r="BO1623" s="25">
        <f>ROUND(Inventory[[#This Row],[25Det]]*Inventory[[#This Row],[Det/Nbhd Adj]],-2)</f>
        <v>0</v>
      </c>
      <c r="BP1623" s="25">
        <f>Inventory[[#This Row],[Adjusted Res]]+Inventory[[#This Row],[Adj Det ]]</f>
        <v>434300</v>
      </c>
      <c r="BQ1623" s="25">
        <f>ROUND((Inventory[[#This Row],[Mdl Land Intercept]]+Inventory[[#This Row],[Mdl LnAcres]])*Inventory[[#This Row],[Det/Nbhd Adj]],-2)</f>
        <v>52900</v>
      </c>
      <c r="BR1623" s="25">
        <f>Inventory[[#This Row],[Adjusted Impr Total]]+Inventory[[#This Row],[Adjusted Land Total]]</f>
        <v>487200</v>
      </c>
      <c r="BS1623" s="36">
        <f>IFERROR((Inventory[[#This Row],[Adjusted Impr Total]]-Inventory[[#This Row],[24Bldg]])/Inventory[[#This Row],[24Bldg]],0)</f>
        <v>9.3954659949622168E-2</v>
      </c>
      <c r="BT1623" s="36">
        <f>(Inventory[[#This Row],[Adjusted Land Total]]-Inventory[[#This Row],[24Lnd]])/Inventory[[#This Row],[24Lnd]]</f>
        <v>-0.31209362808842656</v>
      </c>
      <c r="BU1623" s="36">
        <f>(Inventory[[#This Row],[Adjusted Total]]-Inventory[[#This Row],[24Final]])/Inventory[[#This Row],[24Final]]</f>
        <v>2.8064992614475627E-2</v>
      </c>
    </row>
    <row r="1624" spans="1:73" x14ac:dyDescent="0.3">
      <c r="A1624" s="25">
        <v>2025</v>
      </c>
      <c r="B1624" s="26" t="s">
        <v>1995</v>
      </c>
      <c r="C1624" s="26">
        <f>LN(Inventory[[#This Row],[Acres]])</f>
        <v>-1.1394342831883648</v>
      </c>
      <c r="D1624" s="25">
        <v>0.32</v>
      </c>
      <c r="E1624" s="27"/>
      <c r="F1624" s="26" t="s">
        <v>537</v>
      </c>
      <c r="G1624" s="26" t="s">
        <v>126</v>
      </c>
      <c r="H1624" s="26" t="s">
        <v>349</v>
      </c>
      <c r="I1624" s="26" t="s">
        <v>538</v>
      </c>
      <c r="J1624" s="26" t="s">
        <v>974</v>
      </c>
      <c r="K1624" s="26" t="s">
        <v>448</v>
      </c>
      <c r="L1624" s="26" t="s">
        <v>485</v>
      </c>
      <c r="M1624" s="26" t="s">
        <v>352</v>
      </c>
      <c r="N1624" s="26">
        <v>90</v>
      </c>
      <c r="O1624" s="26">
        <f>2024-Inventory[[#This Row],[YrBlt]]</f>
        <v>89</v>
      </c>
      <c r="P1624" s="26">
        <f>2024-Inventory[[#This Row],[EffYr]]</f>
        <v>53</v>
      </c>
      <c r="Q1624" s="25">
        <v>1935</v>
      </c>
      <c r="R1624" s="25">
        <v>1971</v>
      </c>
      <c r="S1624" s="25">
        <v>1948</v>
      </c>
      <c r="T1624" s="32">
        <v>1766</v>
      </c>
      <c r="U1624" s="32">
        <v>1310</v>
      </c>
      <c r="V1624" s="32">
        <f>Inventory[[#This Row],[Bsmt]]-Inventory[[#This Row],[FnBsmt]]</f>
        <v>0</v>
      </c>
      <c r="W1624" s="32">
        <v>1310</v>
      </c>
      <c r="X1624" s="27"/>
      <c r="Y1624" s="27">
        <f>Inventory[[#This Row],[MainFn]]+Inventory[[#This Row],[UpprFn]]+Inventory[[#This Row],[FnBsmt]]+Inventory[[#This Row],[AddFn]]</f>
        <v>5024</v>
      </c>
      <c r="Z1624" s="27">
        <v>5000</v>
      </c>
      <c r="AA1624" s="25">
        <v>16</v>
      </c>
      <c r="AB1624" s="32">
        <v>816</v>
      </c>
      <c r="AC1624" s="27"/>
      <c r="AD1624" s="32">
        <v>555</v>
      </c>
      <c r="AE1624" s="27"/>
      <c r="AF1624" s="27"/>
      <c r="AG1624" s="27"/>
      <c r="AH1624" s="27"/>
      <c r="AI1624" s="25">
        <v>1405469</v>
      </c>
      <c r="AJ1624" s="25">
        <v>997883</v>
      </c>
      <c r="AK1624" s="25">
        <v>0</v>
      </c>
      <c r="AL1624" s="25">
        <v>848900</v>
      </c>
      <c r="AM1624" s="25">
        <v>74800</v>
      </c>
      <c r="AN1624" s="25">
        <v>774100</v>
      </c>
      <c r="AO1624" s="25">
        <v>0</v>
      </c>
      <c r="AP1624" s="25">
        <f>Lookups!$B$56*0</f>
        <v>0</v>
      </c>
      <c r="AQ1624" s="25">
        <f>Lookups!$B$56*1</f>
        <v>89850.625589999996</v>
      </c>
      <c r="AR1624" s="25">
        <f>Lookups!$B$57*Inventory[[#This Row],[LnAcres]]</f>
        <v>-36068.354396449467</v>
      </c>
      <c r="AS1624" s="25">
        <f>VLOOKUP(Inventory[[#This Row],[Qlty]],Lookups!$A$62:$E$75,2,FALSE)</f>
        <v>253501.66539499999</v>
      </c>
      <c r="AT1624" s="25">
        <f>VLOOKUP(Inventory[[#This Row],[Cnd]],Lookups!$A$76:$E$84,2,FALSE)</f>
        <v>284810.60806</v>
      </c>
      <c r="AU1624" s="25">
        <f>Inventory[[#This Row],[EffAge]]*Lookups!$B$85</f>
        <v>-11821.416826500001</v>
      </c>
      <c r="AV1624" s="25">
        <f>Inventory[[#This Row],[MainFn]]*Lookups!$B$86</f>
        <v>96248.088920395996</v>
      </c>
      <c r="AW1624" s="25">
        <f>Inventory[[#This Row],[UpprFn]]*Lookups!$B$87</f>
        <v>79092.822772525993</v>
      </c>
      <c r="AX1624" s="25">
        <f>Inventory[[#This Row],[AddFn]]*Lookups!$B$88</f>
        <v>0</v>
      </c>
      <c r="AY1624" s="25">
        <f>Inventory[[#This Row],[Bsmt]]*Lookups!$B$89</f>
        <v>38097.282773569998</v>
      </c>
      <c r="AZ1624" s="25">
        <f>Inventory[[#This Row],[Fixtures]]*Lookups!$B$90</f>
        <v>60672.353683200003</v>
      </c>
      <c r="BA1624" s="25">
        <f>Inventory[[#This Row],[WdDeck]]*Lookups!$B$91</f>
        <v>18479.010978180002</v>
      </c>
      <c r="BB1624" s="25">
        <f>ROUND(Inventory[[#This Row],[25Det]],-2)</f>
        <v>0</v>
      </c>
      <c r="BC1624" s="25">
        <f>ROUND(SUM(Inventory[[#This Row],[Mdl Qlty]:[Mdl WdDeck]])+Inventory[[#This Row],[Mdl Res Intercept]],-2)</f>
        <v>819100</v>
      </c>
      <c r="BD1624" s="25">
        <f>ROUND(Inventory[[#This Row],[Mdl Land Intercept]]+Inventory[[#This Row],[Mdl LnAcres]],-2)</f>
        <v>53800</v>
      </c>
      <c r="BE1624" s="25">
        <f>Inventory[[#This Row],[Unadj Res Value]]+Inventory[[#This Row],[Unadj Det Value]]+Inventory[[#This Row],[Unadj Land Value]]</f>
        <v>872900</v>
      </c>
      <c r="BF1624" s="36">
        <f>(Inventory[[#This Row],[Unadj Total Value]]-Inventory[[#This Row],[24Final]])/Inventory[[#This Row],[24Final]]</f>
        <v>2.8271881258098715E-2</v>
      </c>
      <c r="BG1624" s="25">
        <f>VLOOKUP(Inventory[[#This Row],[Nbhd]],Lookups!$Q$2:$T$4,4,FALSE)</f>
        <v>0.99970000000000003</v>
      </c>
      <c r="BH1624" s="25">
        <f>VLOOKUP(Inventory[[#This Row],[Qlty]],Lookups!$O$7:$R$21,4,FALSE)</f>
        <v>1</v>
      </c>
      <c r="BI1624" s="25">
        <f>VLOOKUP(Inventory[[#This Row],[Cnd]],Lookups!$T$7:$W$16,4,FALSE)</f>
        <v>1.0158</v>
      </c>
      <c r="BJ1624" s="25">
        <f>VLOOKUP(Inventory[[#This Row],[LivArea Range]],Lookups!$T$25:$W$37,4,FALSE)</f>
        <v>1</v>
      </c>
      <c r="BK1624" s="25">
        <f>VLOOKUP(Inventory[[#This Row],[Decade]],Lookups!$O$25:$R$42,4,FALSE)</f>
        <v>0.98909999999999998</v>
      </c>
      <c r="BL1624" s="25">
        <f>Inventory[[#This Row],[Nbhd Adj]]*0.95</f>
        <v>0.94971499999999998</v>
      </c>
      <c r="BM1624" s="25">
        <f>Inventory[[#This Row],[Nbhd Adj]]*Inventory[[#This Row],[Quality Adj]]*Inventory[[#This Row],[Condition Adj]]*Inventory[[#This Row],[Living Area Adj]]*Inventory[[#This Row],[Decade Adj]]*0.95</f>
        <v>0.95420504358269997</v>
      </c>
      <c r="BN1624" s="25">
        <f>ROUND(SUM(Inventory[[#This Row],[Mdl Qlty]:[Mdl WdDeck]])+Inventory[[#This Row],[Mdl Res Intercept]]*Inventory[[#This Row],[Res Adj ]],-2)</f>
        <v>819100</v>
      </c>
      <c r="BO1624" s="25">
        <f>ROUND(Inventory[[#This Row],[25Det]]*Inventory[[#This Row],[Det/Nbhd Adj]],-2)</f>
        <v>0</v>
      </c>
      <c r="BP1624" s="25">
        <f>Inventory[[#This Row],[Adjusted Res]]+Inventory[[#This Row],[Adj Det ]]</f>
        <v>819100</v>
      </c>
      <c r="BQ1624" s="25">
        <f>ROUND((Inventory[[#This Row],[Mdl Land Intercept]]+Inventory[[#This Row],[Mdl LnAcres]])*Inventory[[#This Row],[Det/Nbhd Adj]],-2)</f>
        <v>51100</v>
      </c>
      <c r="BR1624" s="25">
        <f>Inventory[[#This Row],[Adjusted Impr Total]]+Inventory[[#This Row],[Adjusted Land Total]]</f>
        <v>870200</v>
      </c>
      <c r="BS1624" s="36">
        <f>IFERROR((Inventory[[#This Row],[Adjusted Impr Total]]-Inventory[[#This Row],[24Bldg]])/Inventory[[#This Row],[24Bldg]],0)</f>
        <v>5.8132024286267923E-2</v>
      </c>
      <c r="BT1624" s="36">
        <f>(Inventory[[#This Row],[Adjusted Land Total]]-Inventory[[#This Row],[24Lnd]])/Inventory[[#This Row],[24Lnd]]</f>
        <v>-0.31684491978609625</v>
      </c>
      <c r="BU1624" s="36">
        <f>(Inventory[[#This Row],[Adjusted Total]]-Inventory[[#This Row],[24Final]])/Inventory[[#This Row],[24Final]]</f>
        <v>2.509129461656261E-2</v>
      </c>
    </row>
    <row r="1625" spans="1:73" x14ac:dyDescent="0.3">
      <c r="A1625" s="25">
        <v>2025</v>
      </c>
      <c r="B1625" s="26" t="s">
        <v>2264</v>
      </c>
      <c r="C1625" s="26">
        <f>LN(Inventory[[#This Row],[Acres]])</f>
        <v>-1.6094379124341003</v>
      </c>
      <c r="D1625" s="25">
        <v>0.2</v>
      </c>
      <c r="E1625" s="31"/>
      <c r="F1625" s="26" t="s">
        <v>537</v>
      </c>
      <c r="G1625" s="26" t="s">
        <v>126</v>
      </c>
      <c r="H1625" s="26" t="s">
        <v>349</v>
      </c>
      <c r="I1625" s="26" t="s">
        <v>538</v>
      </c>
      <c r="J1625" s="26" t="s">
        <v>539</v>
      </c>
      <c r="K1625" s="26" t="s">
        <v>242</v>
      </c>
      <c r="L1625" s="26" t="s">
        <v>205</v>
      </c>
      <c r="M1625" s="26" t="s">
        <v>206</v>
      </c>
      <c r="N1625" s="26">
        <v>90</v>
      </c>
      <c r="O1625" s="26">
        <f>2024-Inventory[[#This Row],[YrBlt]]</f>
        <v>89</v>
      </c>
      <c r="P1625" s="26">
        <f>2024-Inventory[[#This Row],[EffYr]]</f>
        <v>53</v>
      </c>
      <c r="Q1625" s="25">
        <v>1935</v>
      </c>
      <c r="R1625" s="25">
        <v>1971</v>
      </c>
      <c r="S1625" s="25">
        <v>1002</v>
      </c>
      <c r="T1625" s="27"/>
      <c r="U1625" s="32">
        <v>408</v>
      </c>
      <c r="V1625" s="32">
        <f>Inventory[[#This Row],[Bsmt]]-Inventory[[#This Row],[FnBsmt]]</f>
        <v>0</v>
      </c>
      <c r="W1625" s="32">
        <v>408</v>
      </c>
      <c r="X1625" s="27"/>
      <c r="Y1625" s="27">
        <f>Inventory[[#This Row],[MainFn]]+Inventory[[#This Row],[UpprFn]]+Inventory[[#This Row],[FnBsmt]]+Inventory[[#This Row],[AddFn]]</f>
        <v>1410</v>
      </c>
      <c r="Z1625" s="27">
        <v>1500</v>
      </c>
      <c r="AA1625" s="25">
        <v>5</v>
      </c>
      <c r="AB1625" s="27"/>
      <c r="AC1625" s="27"/>
      <c r="AD1625" s="27"/>
      <c r="AE1625" s="27"/>
      <c r="AF1625" s="27"/>
      <c r="AG1625" s="27"/>
      <c r="AH1625" s="27"/>
      <c r="AI1625" s="25">
        <v>192536</v>
      </c>
      <c r="AJ1625" s="25">
        <v>125148</v>
      </c>
      <c r="AK1625" s="25">
        <v>4877</v>
      </c>
      <c r="AL1625" s="25">
        <v>237900</v>
      </c>
      <c r="AM1625" s="25">
        <v>58400</v>
      </c>
      <c r="AN1625" s="25">
        <v>179500</v>
      </c>
      <c r="AO1625" s="25">
        <v>0</v>
      </c>
      <c r="AP1625" s="25">
        <f>Lookups!$B$56*0</f>
        <v>0</v>
      </c>
      <c r="AQ1625" s="25">
        <f>Lookups!$B$56*1</f>
        <v>89850.625589999996</v>
      </c>
      <c r="AR1625" s="25">
        <f>Lookups!$B$57*Inventory[[#This Row],[LnAcres]]</f>
        <v>-50946.13867709865</v>
      </c>
      <c r="AS1625" s="25">
        <f>VLOOKUP(Inventory[[#This Row],[Qlty]],Lookups!$A$62:$E$75,2,FALSE)</f>
        <v>0</v>
      </c>
      <c r="AT1625" s="25">
        <f>VLOOKUP(Inventory[[#This Row],[Cnd]],Lookups!$A$76:$E$84,2,FALSE)</f>
        <v>133714.53821</v>
      </c>
      <c r="AU1625" s="25">
        <f>Inventory[[#This Row],[EffAge]]*Lookups!$B$85</f>
        <v>-11821.416826500001</v>
      </c>
      <c r="AV1625" s="25">
        <f>Inventory[[#This Row],[MainFn]]*Lookups!$B$86</f>
        <v>49507.487216754002</v>
      </c>
      <c r="AW1625" s="25">
        <f>Inventory[[#This Row],[UpprFn]]*Lookups!$B$87</f>
        <v>0</v>
      </c>
      <c r="AX1625" s="25">
        <f>Inventory[[#This Row],[AddFn]]*Lookups!$B$88</f>
        <v>0</v>
      </c>
      <c r="AY1625" s="25">
        <f>Inventory[[#This Row],[Bsmt]]*Lookups!$B$89</f>
        <v>11865.413260776</v>
      </c>
      <c r="AZ1625" s="25">
        <f>Inventory[[#This Row],[Fixtures]]*Lookups!$B$90</f>
        <v>18960.110526</v>
      </c>
      <c r="BA1625" s="25">
        <f>Inventory[[#This Row],[WdDeck]]*Lookups!$B$91</f>
        <v>0</v>
      </c>
      <c r="BB1625" s="25">
        <f>ROUND(Inventory[[#This Row],[25Det]],-2)</f>
        <v>4900</v>
      </c>
      <c r="BC1625" s="25">
        <f>ROUND(SUM(Inventory[[#This Row],[Mdl Qlty]:[Mdl WdDeck]])+Inventory[[#This Row],[Mdl Res Intercept]],-2)</f>
        <v>202200</v>
      </c>
      <c r="BD1625" s="25">
        <f>ROUND(Inventory[[#This Row],[Mdl Land Intercept]]+Inventory[[#This Row],[Mdl LnAcres]],-2)</f>
        <v>38900</v>
      </c>
      <c r="BE1625" s="25">
        <f>Inventory[[#This Row],[Unadj Res Value]]+Inventory[[#This Row],[Unadj Det Value]]+Inventory[[#This Row],[Unadj Land Value]]</f>
        <v>246000</v>
      </c>
      <c r="BF1625" s="36">
        <f>(Inventory[[#This Row],[Unadj Total Value]]-Inventory[[#This Row],[24Final]])/Inventory[[#This Row],[24Final]]</f>
        <v>3.4047919293820936E-2</v>
      </c>
      <c r="BG1625" s="25">
        <f>VLOOKUP(Inventory[[#This Row],[Nbhd]],Lookups!$Q$2:$T$4,4,FALSE)</f>
        <v>0.99970000000000003</v>
      </c>
      <c r="BH1625" s="25">
        <f>VLOOKUP(Inventory[[#This Row],[Qlty]],Lookups!$O$7:$R$21,4,FALSE)</f>
        <v>0.99180000000000001</v>
      </c>
      <c r="BI1625" s="25">
        <f>VLOOKUP(Inventory[[#This Row],[Cnd]],Lookups!$T$7:$W$16,4,FALSE)</f>
        <v>0.99329999999999996</v>
      </c>
      <c r="BJ1625" s="25">
        <f>VLOOKUP(Inventory[[#This Row],[LivArea Range]],Lookups!$T$25:$W$37,4,FALSE)</f>
        <v>1.0157</v>
      </c>
      <c r="BK1625" s="25">
        <f>VLOOKUP(Inventory[[#This Row],[Decade]],Lookups!$O$25:$R$42,4,FALSE)</f>
        <v>0.98909999999999998</v>
      </c>
      <c r="BL1625" s="25">
        <f>Inventory[[#This Row],[Nbhd Adj]]*0.95</f>
        <v>0.94971499999999998</v>
      </c>
      <c r="BM1625" s="25">
        <f>Inventory[[#This Row],[Nbhd Adj]]*Inventory[[#This Row],[Quality Adj]]*Inventory[[#This Row],[Condition Adj]]*Inventory[[#This Row],[Living Area Adj]]*Inventory[[#This Row],[Decade Adj]]*0.95</f>
        <v>0.93994727063793004</v>
      </c>
      <c r="BN1625" s="25">
        <f>ROUND(SUM(Inventory[[#This Row],[Mdl Qlty]:[Mdl WdDeck]])+Inventory[[#This Row],[Mdl Res Intercept]]*Inventory[[#This Row],[Res Adj ]],-2)</f>
        <v>202200</v>
      </c>
      <c r="BO1625" s="25">
        <f>ROUND(Inventory[[#This Row],[25Det]]*Inventory[[#This Row],[Det/Nbhd Adj]],-2)</f>
        <v>4600</v>
      </c>
      <c r="BP1625" s="25">
        <f>Inventory[[#This Row],[Adjusted Res]]+Inventory[[#This Row],[Adj Det ]]</f>
        <v>206800</v>
      </c>
      <c r="BQ1625" s="25">
        <f>ROUND((Inventory[[#This Row],[Mdl Land Intercept]]+Inventory[[#This Row],[Mdl LnAcres]])*Inventory[[#This Row],[Det/Nbhd Adj]],-2)</f>
        <v>36900</v>
      </c>
      <c r="BR1625" s="25">
        <f>Inventory[[#This Row],[Adjusted Impr Total]]+Inventory[[#This Row],[Adjusted Land Total]]</f>
        <v>243700</v>
      </c>
      <c r="BS1625" s="36">
        <f>IFERROR((Inventory[[#This Row],[Adjusted Impr Total]]-Inventory[[#This Row],[24Bldg]])/Inventory[[#This Row],[24Bldg]],0)</f>
        <v>0.15208913649025069</v>
      </c>
      <c r="BT1625" s="36">
        <f>(Inventory[[#This Row],[Adjusted Land Total]]-Inventory[[#This Row],[24Lnd]])/Inventory[[#This Row],[24Lnd]]</f>
        <v>-0.36815068493150682</v>
      </c>
      <c r="BU1625" s="36">
        <f>(Inventory[[#This Row],[Adjusted Total]]-Inventory[[#This Row],[24Final]])/Inventory[[#This Row],[24Final]]</f>
        <v>2.4379991593106349E-2</v>
      </c>
    </row>
    <row r="1626" spans="1:73" x14ac:dyDescent="0.3">
      <c r="A1626" s="25">
        <v>2025</v>
      </c>
      <c r="B1626" s="26" t="s">
        <v>2757</v>
      </c>
      <c r="C1626" s="26">
        <f>LN(Inventory[[#This Row],[Acres]])</f>
        <v>-1.5606477482646683</v>
      </c>
      <c r="D1626" s="25">
        <v>0.21</v>
      </c>
      <c r="E1626" s="25">
        <v>9268</v>
      </c>
      <c r="F1626" s="26" t="s">
        <v>537</v>
      </c>
      <c r="G1626" s="26" t="s">
        <v>126</v>
      </c>
      <c r="H1626" s="26" t="s">
        <v>349</v>
      </c>
      <c r="I1626" s="26" t="s">
        <v>538</v>
      </c>
      <c r="J1626" s="26" t="s">
        <v>539</v>
      </c>
      <c r="K1626" s="26" t="s">
        <v>242</v>
      </c>
      <c r="L1626" s="26" t="s">
        <v>351</v>
      </c>
      <c r="M1626" s="26" t="s">
        <v>323</v>
      </c>
      <c r="N1626" s="26">
        <v>90</v>
      </c>
      <c r="O1626" s="26">
        <f>2024-Inventory[[#This Row],[YrBlt]]</f>
        <v>89</v>
      </c>
      <c r="P1626" s="26">
        <f>2024-Inventory[[#This Row],[EffYr]]</f>
        <v>53</v>
      </c>
      <c r="Q1626" s="25">
        <v>1935</v>
      </c>
      <c r="R1626" s="25">
        <v>1971</v>
      </c>
      <c r="S1626" s="25">
        <v>1526</v>
      </c>
      <c r="T1626" s="27"/>
      <c r="U1626" s="25">
        <v>678</v>
      </c>
      <c r="V1626" s="25">
        <f>Inventory[[#This Row],[Bsmt]]-Inventory[[#This Row],[FnBsmt]]</f>
        <v>6</v>
      </c>
      <c r="W1626" s="25">
        <v>672</v>
      </c>
      <c r="X1626" s="27"/>
      <c r="Y1626" s="27">
        <f>Inventory[[#This Row],[MainFn]]+Inventory[[#This Row],[UpprFn]]+Inventory[[#This Row],[FnBsmt]]+Inventory[[#This Row],[AddFn]]</f>
        <v>2198</v>
      </c>
      <c r="Z1626" s="27">
        <v>2500</v>
      </c>
      <c r="AA1626" s="25">
        <v>7</v>
      </c>
      <c r="AB1626" s="27"/>
      <c r="AC1626" s="27"/>
      <c r="AD1626" s="31"/>
      <c r="AE1626" s="27"/>
      <c r="AF1626" s="27"/>
      <c r="AG1626" s="27"/>
      <c r="AH1626" s="27"/>
      <c r="AI1626" s="25">
        <v>299993</v>
      </c>
      <c r="AJ1626" s="25">
        <v>200995</v>
      </c>
      <c r="AK1626" s="25">
        <v>10334</v>
      </c>
      <c r="AL1626" s="25">
        <v>332300</v>
      </c>
      <c r="AM1626" s="25">
        <v>60100</v>
      </c>
      <c r="AN1626" s="25">
        <v>272200</v>
      </c>
      <c r="AO1626" s="25">
        <v>0</v>
      </c>
      <c r="AP1626" s="25">
        <f>Lookups!$B$56*0</f>
        <v>0</v>
      </c>
      <c r="AQ1626" s="25">
        <f>Lookups!$B$56*1</f>
        <v>89850.625589999996</v>
      </c>
      <c r="AR1626" s="25">
        <f>Lookups!$B$57*Inventory[[#This Row],[LnAcres]]</f>
        <v>-49401.70477837498</v>
      </c>
      <c r="AS1626" s="25">
        <f>VLOOKUP(Inventory[[#This Row],[Qlty]],Lookups!$A$62:$E$75,2,FALSE)</f>
        <v>21557.329055999999</v>
      </c>
      <c r="AT1626" s="25">
        <f>VLOOKUP(Inventory[[#This Row],[Cnd]],Lookups!$A$76:$E$84,2,FALSE)</f>
        <v>160472.20319</v>
      </c>
      <c r="AU1626" s="25">
        <f>Inventory[[#This Row],[EffAge]]*Lookups!$B$85</f>
        <v>-11821.416826500001</v>
      </c>
      <c r="AV1626" s="25">
        <f>Inventory[[#This Row],[MainFn]]*Lookups!$B$86</f>
        <v>75397.630232302006</v>
      </c>
      <c r="AW1626" s="25">
        <f>Inventory[[#This Row],[UpprFn]]*Lookups!$B$87</f>
        <v>0</v>
      </c>
      <c r="AX1626" s="25">
        <f>Inventory[[#This Row],[AddFn]]*Lookups!$B$88</f>
        <v>0</v>
      </c>
      <c r="AY1626" s="25">
        <f>Inventory[[#This Row],[Bsmt]]*Lookups!$B$89</f>
        <v>19717.524977466001</v>
      </c>
      <c r="AZ1626" s="25">
        <f>Inventory[[#This Row],[Fixtures]]*Lookups!$B$90</f>
        <v>26544.1547364</v>
      </c>
      <c r="BA1626" s="25">
        <f>Inventory[[#This Row],[WdDeck]]*Lookups!$B$91</f>
        <v>0</v>
      </c>
      <c r="BB1626" s="25">
        <f>ROUND(Inventory[[#This Row],[25Det]],-2)</f>
        <v>10300</v>
      </c>
      <c r="BC1626" s="25">
        <f>ROUND(SUM(Inventory[[#This Row],[Mdl Qlty]:[Mdl WdDeck]])+Inventory[[#This Row],[Mdl Res Intercept]],-2)</f>
        <v>291900</v>
      </c>
      <c r="BD1626" s="25">
        <f>ROUND(Inventory[[#This Row],[Mdl Land Intercept]]+Inventory[[#This Row],[Mdl LnAcres]],-2)</f>
        <v>40400</v>
      </c>
      <c r="BE1626" s="25">
        <f>Inventory[[#This Row],[Unadj Res Value]]+Inventory[[#This Row],[Unadj Det Value]]+Inventory[[#This Row],[Unadj Land Value]]</f>
        <v>342600</v>
      </c>
      <c r="BF1626" s="36">
        <f>(Inventory[[#This Row],[Unadj Total Value]]-Inventory[[#This Row],[24Final]])/Inventory[[#This Row],[24Final]]</f>
        <v>3.0996087872404453E-2</v>
      </c>
      <c r="BG1626" s="25">
        <f>VLOOKUP(Inventory[[#This Row],[Nbhd]],Lookups!$Q$2:$T$4,4,FALSE)</f>
        <v>0.99970000000000003</v>
      </c>
      <c r="BH1626" s="25">
        <f>VLOOKUP(Inventory[[#This Row],[Qlty]],Lookups!$O$7:$R$21,4,FALSE)</f>
        <v>1.0067999999999999</v>
      </c>
      <c r="BI1626" s="25">
        <f>VLOOKUP(Inventory[[#This Row],[Cnd]],Lookups!$T$7:$W$16,4,FALSE)</f>
        <v>0.99729999999999996</v>
      </c>
      <c r="BJ1626" s="25">
        <f>VLOOKUP(Inventory[[#This Row],[LivArea Range]],Lookups!$T$25:$W$37,4,FALSE)</f>
        <v>0.98919999999999997</v>
      </c>
      <c r="BK1626" s="25">
        <f>VLOOKUP(Inventory[[#This Row],[Decade]],Lookups!$O$25:$R$42,4,FALSE)</f>
        <v>0.98909999999999998</v>
      </c>
      <c r="BL1626" s="25">
        <f>Inventory[[#This Row],[Nbhd Adj]]*0.95</f>
        <v>0.94971499999999998</v>
      </c>
      <c r="BM1626" s="25">
        <f>Inventory[[#This Row],[Nbhd Adj]]*Inventory[[#This Row],[Quality Adj]]*Inventory[[#This Row],[Condition Adj]]*Inventory[[#This Row],[Living Area Adj]]*Inventory[[#This Row],[Decade Adj]]*0.95</f>
        <v>0.93301071824589021</v>
      </c>
      <c r="BN1626" s="25">
        <f>ROUND(SUM(Inventory[[#This Row],[Mdl Qlty]:[Mdl WdDeck]])+Inventory[[#This Row],[Mdl Res Intercept]]*Inventory[[#This Row],[Res Adj ]],-2)</f>
        <v>291900</v>
      </c>
      <c r="BO1626" s="25">
        <f>ROUND(Inventory[[#This Row],[25Det]]*Inventory[[#This Row],[Det/Nbhd Adj]],-2)</f>
        <v>9800</v>
      </c>
      <c r="BP1626" s="25">
        <f>Inventory[[#This Row],[Adjusted Res]]+Inventory[[#This Row],[Adj Det ]]</f>
        <v>301700</v>
      </c>
      <c r="BQ1626" s="25">
        <f>ROUND((Inventory[[#This Row],[Mdl Land Intercept]]+Inventory[[#This Row],[Mdl LnAcres]])*Inventory[[#This Row],[Det/Nbhd Adj]],-2)</f>
        <v>38400</v>
      </c>
      <c r="BR1626" s="25">
        <f>Inventory[[#This Row],[Adjusted Impr Total]]+Inventory[[#This Row],[Adjusted Land Total]]</f>
        <v>340100</v>
      </c>
      <c r="BS1626" s="36">
        <f>IFERROR((Inventory[[#This Row],[Adjusted Impr Total]]-Inventory[[#This Row],[24Bldg]])/Inventory[[#This Row],[24Bldg]],0)</f>
        <v>0.10837619397501837</v>
      </c>
      <c r="BT1626" s="36">
        <f>(Inventory[[#This Row],[Adjusted Land Total]]-Inventory[[#This Row],[24Lnd]])/Inventory[[#This Row],[24Lnd]]</f>
        <v>-0.36106489184692181</v>
      </c>
      <c r="BU1626" s="36">
        <f>(Inventory[[#This Row],[Adjusted Total]]-Inventory[[#This Row],[24Final]])/Inventory[[#This Row],[24Final]]</f>
        <v>2.3472765573277158E-2</v>
      </c>
    </row>
    <row r="1627" spans="1:73" x14ac:dyDescent="0.3">
      <c r="A1627" s="25">
        <v>2025</v>
      </c>
      <c r="B1627" s="26" t="s">
        <v>2001</v>
      </c>
      <c r="C1627" s="26">
        <f>LN(Inventory[[#This Row],[Acres]])</f>
        <v>-1.2378743560016174</v>
      </c>
      <c r="D1627" s="25">
        <v>0.28999999999999998</v>
      </c>
      <c r="E1627" s="32">
        <v>12632</v>
      </c>
      <c r="F1627" s="26" t="s">
        <v>537</v>
      </c>
      <c r="G1627" s="26" t="s">
        <v>126</v>
      </c>
      <c r="H1627" s="26" t="s">
        <v>349</v>
      </c>
      <c r="I1627" s="26" t="s">
        <v>538</v>
      </c>
      <c r="J1627" s="26" t="s">
        <v>638</v>
      </c>
      <c r="K1627" s="26" t="s">
        <v>242</v>
      </c>
      <c r="L1627" s="26" t="s">
        <v>205</v>
      </c>
      <c r="M1627" s="26" t="s">
        <v>323</v>
      </c>
      <c r="N1627" s="26">
        <v>90</v>
      </c>
      <c r="O1627" s="26">
        <f>2024-Inventory[[#This Row],[YrBlt]]</f>
        <v>89</v>
      </c>
      <c r="P1627" s="26">
        <f>2024-Inventory[[#This Row],[EffYr]]</f>
        <v>53</v>
      </c>
      <c r="Q1627" s="25">
        <v>1935</v>
      </c>
      <c r="R1627" s="25">
        <v>1971</v>
      </c>
      <c r="S1627" s="25">
        <v>990</v>
      </c>
      <c r="T1627" s="27"/>
      <c r="U1627" s="25">
        <v>924</v>
      </c>
      <c r="V1627" s="25">
        <f>Inventory[[#This Row],[Bsmt]]-Inventory[[#This Row],[FnBsmt]]</f>
        <v>372</v>
      </c>
      <c r="W1627" s="25">
        <v>552</v>
      </c>
      <c r="X1627" s="27"/>
      <c r="Y1627" s="27">
        <f>Inventory[[#This Row],[MainFn]]+Inventory[[#This Row],[UpprFn]]+Inventory[[#This Row],[FnBsmt]]+Inventory[[#This Row],[AddFn]]</f>
        <v>1542</v>
      </c>
      <c r="Z1627" s="27">
        <v>2000</v>
      </c>
      <c r="AA1627" s="25">
        <v>5</v>
      </c>
      <c r="AB1627" s="27"/>
      <c r="AC1627" s="27"/>
      <c r="AD1627" s="27"/>
      <c r="AE1627" s="27"/>
      <c r="AF1627" s="27"/>
      <c r="AG1627" s="27"/>
      <c r="AH1627" s="27"/>
      <c r="AI1627" s="25">
        <v>209059</v>
      </c>
      <c r="AJ1627" s="25">
        <v>140070</v>
      </c>
      <c r="AK1627" s="25">
        <v>22349</v>
      </c>
      <c r="AL1627" s="25">
        <v>305600</v>
      </c>
      <c r="AM1627" s="25">
        <v>71400</v>
      </c>
      <c r="AN1627" s="25">
        <v>234200</v>
      </c>
      <c r="AO1627" s="25">
        <v>0</v>
      </c>
      <c r="AP1627" s="25">
        <f>Lookups!$B$56*0</f>
        <v>0</v>
      </c>
      <c r="AQ1627" s="25">
        <f>Lookups!$B$56*1</f>
        <v>89850.625589999996</v>
      </c>
      <c r="AR1627" s="25">
        <f>Lookups!$B$57*Inventory[[#This Row],[LnAcres]]</f>
        <v>-39184.437074869042</v>
      </c>
      <c r="AS1627" s="25">
        <f>VLOOKUP(Inventory[[#This Row],[Qlty]],Lookups!$A$62:$E$75,2,FALSE)</f>
        <v>0</v>
      </c>
      <c r="AT1627" s="25">
        <f>VLOOKUP(Inventory[[#This Row],[Cnd]],Lookups!$A$76:$E$84,2,FALSE)</f>
        <v>160472.20319</v>
      </c>
      <c r="AU1627" s="25">
        <f>Inventory[[#This Row],[EffAge]]*Lookups!$B$85</f>
        <v>-11821.416826500001</v>
      </c>
      <c r="AV1627" s="25">
        <f>Inventory[[#This Row],[MainFn]]*Lookups!$B$86</f>
        <v>48914.583178230001</v>
      </c>
      <c r="AW1627" s="25">
        <f>Inventory[[#This Row],[UpprFn]]*Lookups!$B$87</f>
        <v>0</v>
      </c>
      <c r="AX1627" s="25">
        <f>Inventory[[#This Row],[AddFn]]*Lookups!$B$88</f>
        <v>0</v>
      </c>
      <c r="AY1627" s="25">
        <f>Inventory[[#This Row],[Bsmt]]*Lookups!$B$89</f>
        <v>26871.671208227999</v>
      </c>
      <c r="AZ1627" s="25">
        <f>Inventory[[#This Row],[Fixtures]]*Lookups!$B$90</f>
        <v>18960.110526</v>
      </c>
      <c r="BA1627" s="25">
        <f>Inventory[[#This Row],[WdDeck]]*Lookups!$B$91</f>
        <v>0</v>
      </c>
      <c r="BB1627" s="25">
        <f>ROUND(Inventory[[#This Row],[25Det]],-2)</f>
        <v>22300</v>
      </c>
      <c r="BC1627" s="25">
        <f>ROUND(SUM(Inventory[[#This Row],[Mdl Qlty]:[Mdl WdDeck]])+Inventory[[#This Row],[Mdl Res Intercept]],-2)</f>
        <v>243400</v>
      </c>
      <c r="BD1627" s="25">
        <f>ROUND(Inventory[[#This Row],[Mdl Land Intercept]]+Inventory[[#This Row],[Mdl LnAcres]],-2)</f>
        <v>50700</v>
      </c>
      <c r="BE1627" s="25">
        <f>Inventory[[#This Row],[Unadj Res Value]]+Inventory[[#This Row],[Unadj Det Value]]+Inventory[[#This Row],[Unadj Land Value]]</f>
        <v>316400</v>
      </c>
      <c r="BF1627" s="36">
        <f>(Inventory[[#This Row],[Unadj Total Value]]-Inventory[[#This Row],[24Final]])/Inventory[[#This Row],[24Final]]</f>
        <v>3.5340314136125657E-2</v>
      </c>
      <c r="BG1627" s="25">
        <f>VLOOKUP(Inventory[[#This Row],[Nbhd]],Lookups!$Q$2:$T$4,4,FALSE)</f>
        <v>0.99970000000000003</v>
      </c>
      <c r="BH1627" s="25">
        <f>VLOOKUP(Inventory[[#This Row],[Qlty]],Lookups!$O$7:$R$21,4,FALSE)</f>
        <v>0.99180000000000001</v>
      </c>
      <c r="BI1627" s="25">
        <f>VLOOKUP(Inventory[[#This Row],[Cnd]],Lookups!$T$7:$W$16,4,FALSE)</f>
        <v>0.99729999999999996</v>
      </c>
      <c r="BJ1627" s="25">
        <f>VLOOKUP(Inventory[[#This Row],[LivArea Range]],Lookups!$T$25:$W$37,4,FALSE)</f>
        <v>1.0093000000000001</v>
      </c>
      <c r="BK1627" s="25">
        <f>VLOOKUP(Inventory[[#This Row],[Decade]],Lookups!$O$25:$R$42,4,FALSE)</f>
        <v>0.98909999999999998</v>
      </c>
      <c r="BL1627" s="25">
        <f>Inventory[[#This Row],[Nbhd Adj]]*0.95</f>
        <v>0.94971499999999998</v>
      </c>
      <c r="BM1627" s="25">
        <f>Inventory[[#This Row],[Nbhd Adj]]*Inventory[[#This Row],[Quality Adj]]*Inventory[[#This Row],[Condition Adj]]*Inventory[[#This Row],[Living Area Adj]]*Inventory[[#This Row],[Decade Adj]]*0.95</f>
        <v>0.93778589320741457</v>
      </c>
      <c r="BN1627" s="25">
        <f>ROUND(SUM(Inventory[[#This Row],[Mdl Qlty]:[Mdl WdDeck]])+Inventory[[#This Row],[Mdl Res Intercept]]*Inventory[[#This Row],[Res Adj ]],-2)</f>
        <v>243400</v>
      </c>
      <c r="BO1627" s="25">
        <f>ROUND(Inventory[[#This Row],[25Det]]*Inventory[[#This Row],[Det/Nbhd Adj]],-2)</f>
        <v>21200</v>
      </c>
      <c r="BP1627" s="25">
        <f>Inventory[[#This Row],[Adjusted Res]]+Inventory[[#This Row],[Adj Det ]]</f>
        <v>264600</v>
      </c>
      <c r="BQ1627" s="25">
        <f>ROUND((Inventory[[#This Row],[Mdl Land Intercept]]+Inventory[[#This Row],[Mdl LnAcres]])*Inventory[[#This Row],[Det/Nbhd Adj]],-2)</f>
        <v>48100</v>
      </c>
      <c r="BR1627" s="25">
        <f>Inventory[[#This Row],[Adjusted Impr Total]]+Inventory[[#This Row],[Adjusted Land Total]]</f>
        <v>312700</v>
      </c>
      <c r="BS1627" s="36">
        <f>IFERROR((Inventory[[#This Row],[Adjusted Impr Total]]-Inventory[[#This Row],[24Bldg]])/Inventory[[#This Row],[24Bldg]],0)</f>
        <v>0.12980358667805295</v>
      </c>
      <c r="BT1627" s="36">
        <f>(Inventory[[#This Row],[Adjusted Land Total]]-Inventory[[#This Row],[24Lnd]])/Inventory[[#This Row],[24Lnd]]</f>
        <v>-0.32633053221288516</v>
      </c>
      <c r="BU1627" s="36">
        <f>(Inventory[[#This Row],[Adjusted Total]]-Inventory[[#This Row],[24Final]])/Inventory[[#This Row],[24Final]]</f>
        <v>2.3232984293193717E-2</v>
      </c>
    </row>
    <row r="1628" spans="1:73" x14ac:dyDescent="0.3">
      <c r="A1628" s="25">
        <v>2025</v>
      </c>
      <c r="B1628" s="26" t="s">
        <v>641</v>
      </c>
      <c r="C1628" s="26">
        <f>LN(Inventory[[#This Row],[Acres]])</f>
        <v>-1.5606477482646683</v>
      </c>
      <c r="D1628" s="25">
        <v>0.21</v>
      </c>
      <c r="E1628" s="25">
        <v>9047</v>
      </c>
      <c r="F1628" s="26" t="s">
        <v>537</v>
      </c>
      <c r="G1628" s="26" t="s">
        <v>126</v>
      </c>
      <c r="H1628" s="26" t="s">
        <v>349</v>
      </c>
      <c r="I1628" s="26" t="s">
        <v>538</v>
      </c>
      <c r="J1628" s="26" t="s">
        <v>539</v>
      </c>
      <c r="K1628" s="26" t="s">
        <v>242</v>
      </c>
      <c r="L1628" s="26" t="s">
        <v>148</v>
      </c>
      <c r="M1628" s="26" t="s">
        <v>323</v>
      </c>
      <c r="N1628" s="26">
        <v>90</v>
      </c>
      <c r="O1628" s="26">
        <f>2024-Inventory[[#This Row],[YrBlt]]</f>
        <v>89</v>
      </c>
      <c r="P1628" s="26">
        <f>2024-Inventory[[#This Row],[EffYr]]</f>
        <v>53</v>
      </c>
      <c r="Q1628" s="25">
        <v>1935</v>
      </c>
      <c r="R1628" s="25">
        <v>1971</v>
      </c>
      <c r="S1628" s="25">
        <v>1112</v>
      </c>
      <c r="T1628" s="31"/>
      <c r="U1628" s="25">
        <v>1112</v>
      </c>
      <c r="V1628" s="32">
        <f>Inventory[[#This Row],[Bsmt]]-Inventory[[#This Row],[FnBsmt]]</f>
        <v>0</v>
      </c>
      <c r="W1628" s="32">
        <v>1112</v>
      </c>
      <c r="X1628" s="27"/>
      <c r="Y1628" s="27">
        <f>Inventory[[#This Row],[MainFn]]+Inventory[[#This Row],[UpprFn]]+Inventory[[#This Row],[FnBsmt]]+Inventory[[#This Row],[AddFn]]</f>
        <v>2224</v>
      </c>
      <c r="Z1628" s="27">
        <v>2500</v>
      </c>
      <c r="AA1628" s="25">
        <v>8</v>
      </c>
      <c r="AB1628" s="27"/>
      <c r="AC1628" s="27"/>
      <c r="AD1628" s="27"/>
      <c r="AE1628" s="27"/>
      <c r="AF1628" s="27"/>
      <c r="AG1628" s="27"/>
      <c r="AH1628" s="27"/>
      <c r="AI1628" s="25">
        <v>382977</v>
      </c>
      <c r="AJ1628" s="25">
        <v>256595</v>
      </c>
      <c r="AK1628" s="25">
        <v>11051</v>
      </c>
      <c r="AL1628" s="25">
        <v>351400</v>
      </c>
      <c r="AM1628" s="25">
        <v>60100</v>
      </c>
      <c r="AN1628" s="25">
        <v>291300</v>
      </c>
      <c r="AO1628" s="25">
        <v>0</v>
      </c>
      <c r="AP1628" s="25">
        <f>Lookups!$B$56*0</f>
        <v>0</v>
      </c>
      <c r="AQ1628" s="25">
        <f>Lookups!$B$56*1</f>
        <v>89850.625589999996</v>
      </c>
      <c r="AR1628" s="25">
        <f>Lookups!$B$57*Inventory[[#This Row],[LnAcres]]</f>
        <v>-49401.70477837498</v>
      </c>
      <c r="AS1628" s="25">
        <f>VLOOKUP(Inventory[[#This Row],[Qlty]],Lookups!$A$62:$E$75,2,FALSE)</f>
        <v>44121.038090000002</v>
      </c>
      <c r="AT1628" s="25">
        <f>VLOOKUP(Inventory[[#This Row],[Cnd]],Lookups!$A$76:$E$84,2,FALSE)</f>
        <v>160472.20319</v>
      </c>
      <c r="AU1628" s="25">
        <f>Inventory[[#This Row],[EffAge]]*Lookups!$B$85</f>
        <v>-11821.416826500001</v>
      </c>
      <c r="AV1628" s="25">
        <f>Inventory[[#This Row],[MainFn]]*Lookups!$B$86</f>
        <v>54942.440903224</v>
      </c>
      <c r="AW1628" s="25">
        <f>Inventory[[#This Row],[UpprFn]]*Lookups!$B$87</f>
        <v>0</v>
      </c>
      <c r="AX1628" s="25">
        <f>Inventory[[#This Row],[AddFn]]*Lookups!$B$88</f>
        <v>0</v>
      </c>
      <c r="AY1628" s="25">
        <f>Inventory[[#This Row],[Bsmt]]*Lookups!$B$89</f>
        <v>32339.067514663999</v>
      </c>
      <c r="AZ1628" s="25">
        <f>Inventory[[#This Row],[Fixtures]]*Lookups!$B$90</f>
        <v>30336.176841600001</v>
      </c>
      <c r="BA1628" s="25">
        <f>Inventory[[#This Row],[WdDeck]]*Lookups!$B$91</f>
        <v>0</v>
      </c>
      <c r="BB1628" s="25">
        <f>ROUND(Inventory[[#This Row],[25Det]],-2)</f>
        <v>11100</v>
      </c>
      <c r="BC1628" s="25">
        <f>ROUND(SUM(Inventory[[#This Row],[Mdl Qlty]:[Mdl WdDeck]])+Inventory[[#This Row],[Mdl Res Intercept]],-2)</f>
        <v>310400</v>
      </c>
      <c r="BD1628" s="25">
        <f>ROUND(Inventory[[#This Row],[Mdl Land Intercept]]+Inventory[[#This Row],[Mdl LnAcres]],-2)</f>
        <v>40400</v>
      </c>
      <c r="BE1628" s="25">
        <f>Inventory[[#This Row],[Unadj Res Value]]+Inventory[[#This Row],[Unadj Det Value]]+Inventory[[#This Row],[Unadj Land Value]]</f>
        <v>361900</v>
      </c>
      <c r="BF1628" s="36">
        <f>(Inventory[[#This Row],[Unadj Total Value]]-Inventory[[#This Row],[24Final]])/Inventory[[#This Row],[24Final]]</f>
        <v>2.9880478087649404E-2</v>
      </c>
      <c r="BG1628" s="25">
        <f>VLOOKUP(Inventory[[#This Row],[Nbhd]],Lookups!$Q$2:$T$4,4,FALSE)</f>
        <v>0.99970000000000003</v>
      </c>
      <c r="BH1628" s="25">
        <f>VLOOKUP(Inventory[[#This Row],[Qlty]],Lookups!$O$7:$R$21,4,FALSE)</f>
        <v>0.98050000000000004</v>
      </c>
      <c r="BI1628" s="25">
        <f>VLOOKUP(Inventory[[#This Row],[Cnd]],Lookups!$T$7:$W$16,4,FALSE)</f>
        <v>0.99729999999999996</v>
      </c>
      <c r="BJ1628" s="25">
        <f>VLOOKUP(Inventory[[#This Row],[LivArea Range]],Lookups!$T$25:$W$37,4,FALSE)</f>
        <v>0.98919999999999997</v>
      </c>
      <c r="BK1628" s="25">
        <f>VLOOKUP(Inventory[[#This Row],[Decade]],Lookups!$O$25:$R$42,4,FALSE)</f>
        <v>0.98909999999999998</v>
      </c>
      <c r="BL1628" s="25">
        <f>Inventory[[#This Row],[Nbhd Adj]]*0.95</f>
        <v>0.94971499999999998</v>
      </c>
      <c r="BM1628" s="25">
        <f>Inventory[[#This Row],[Nbhd Adj]]*Inventory[[#This Row],[Quality Adj]]*Inventory[[#This Row],[Condition Adj]]*Inventory[[#This Row],[Living Area Adj]]*Inventory[[#This Row],[Decade Adj]]*0.95</f>
        <v>0.9086382690108219</v>
      </c>
      <c r="BN1628" s="25">
        <f>ROUND(SUM(Inventory[[#This Row],[Mdl Qlty]:[Mdl WdDeck]])+Inventory[[#This Row],[Mdl Res Intercept]]*Inventory[[#This Row],[Res Adj ]],-2)</f>
        <v>310400</v>
      </c>
      <c r="BO1628" s="25">
        <f>ROUND(Inventory[[#This Row],[25Det]]*Inventory[[#This Row],[Det/Nbhd Adj]],-2)</f>
        <v>10500</v>
      </c>
      <c r="BP1628" s="25">
        <f>Inventory[[#This Row],[Adjusted Res]]+Inventory[[#This Row],[Adj Det ]]</f>
        <v>320900</v>
      </c>
      <c r="BQ1628" s="25">
        <f>ROUND((Inventory[[#This Row],[Mdl Land Intercept]]+Inventory[[#This Row],[Mdl LnAcres]])*Inventory[[#This Row],[Det/Nbhd Adj]],-2)</f>
        <v>38400</v>
      </c>
      <c r="BR1628" s="25">
        <f>Inventory[[#This Row],[Adjusted Impr Total]]+Inventory[[#This Row],[Adjusted Land Total]]</f>
        <v>359300</v>
      </c>
      <c r="BS1628" s="36">
        <f>IFERROR((Inventory[[#This Row],[Adjusted Impr Total]]-Inventory[[#This Row],[24Bldg]])/Inventory[[#This Row],[24Bldg]],0)</f>
        <v>0.10161345691726742</v>
      </c>
      <c r="BT1628" s="36">
        <f>(Inventory[[#This Row],[Adjusted Land Total]]-Inventory[[#This Row],[24Lnd]])/Inventory[[#This Row],[24Lnd]]</f>
        <v>-0.36106489184692181</v>
      </c>
      <c r="BU1628" s="36">
        <f>(Inventory[[#This Row],[Adjusted Total]]-Inventory[[#This Row],[24Final]])/Inventory[[#This Row],[24Final]]</f>
        <v>2.2481502561183836E-2</v>
      </c>
    </row>
    <row r="1629" spans="1:73" x14ac:dyDescent="0.3">
      <c r="A1629" s="25">
        <v>2025</v>
      </c>
      <c r="B1629" s="26" t="s">
        <v>965</v>
      </c>
      <c r="C1629" s="26">
        <f>LN(Inventory[[#This Row],[Acres]])</f>
        <v>-1.3470736479666092</v>
      </c>
      <c r="D1629" s="25">
        <v>0.26</v>
      </c>
      <c r="E1629" s="25">
        <v>11112</v>
      </c>
      <c r="F1629" s="26" t="s">
        <v>537</v>
      </c>
      <c r="G1629" s="26" t="s">
        <v>126</v>
      </c>
      <c r="H1629" s="26" t="s">
        <v>349</v>
      </c>
      <c r="I1629" s="26" t="s">
        <v>538</v>
      </c>
      <c r="J1629" s="26" t="s">
        <v>539</v>
      </c>
      <c r="K1629" s="26" t="s">
        <v>242</v>
      </c>
      <c r="L1629" s="26" t="s">
        <v>302</v>
      </c>
      <c r="M1629" s="26" t="s">
        <v>323</v>
      </c>
      <c r="N1629" s="26">
        <v>90</v>
      </c>
      <c r="O1629" s="26">
        <f>2024-Inventory[[#This Row],[YrBlt]]</f>
        <v>89</v>
      </c>
      <c r="P1629" s="26">
        <f>2024-Inventory[[#This Row],[EffYr]]</f>
        <v>53</v>
      </c>
      <c r="Q1629" s="25">
        <v>1935</v>
      </c>
      <c r="R1629" s="25">
        <v>1971</v>
      </c>
      <c r="S1629" s="25">
        <v>1932</v>
      </c>
      <c r="T1629" s="27"/>
      <c r="U1629" s="31"/>
      <c r="V1629" s="31">
        <f>Inventory[[#This Row],[Bsmt]]-Inventory[[#This Row],[FnBsmt]]</f>
        <v>0</v>
      </c>
      <c r="W1629" s="31"/>
      <c r="X1629" s="27"/>
      <c r="Y1629" s="27">
        <f>Inventory[[#This Row],[MainFn]]+Inventory[[#This Row],[UpprFn]]+Inventory[[#This Row],[FnBsmt]]+Inventory[[#This Row],[AddFn]]</f>
        <v>1932</v>
      </c>
      <c r="Z1629" s="27">
        <v>2000</v>
      </c>
      <c r="AA1629" s="25">
        <v>8</v>
      </c>
      <c r="AB1629" s="27"/>
      <c r="AC1629" s="27"/>
      <c r="AD1629" s="27"/>
      <c r="AE1629" s="27"/>
      <c r="AF1629" s="27"/>
      <c r="AG1629" s="27"/>
      <c r="AH1629" s="27"/>
      <c r="AI1629" s="25">
        <v>372967</v>
      </c>
      <c r="AJ1629" s="25">
        <v>249888</v>
      </c>
      <c r="AK1629" s="25">
        <v>10334</v>
      </c>
      <c r="AL1629" s="25">
        <v>351700</v>
      </c>
      <c r="AM1629" s="25">
        <v>67600</v>
      </c>
      <c r="AN1629" s="25">
        <v>284100</v>
      </c>
      <c r="AO1629" s="25">
        <v>0</v>
      </c>
      <c r="AP1629" s="25">
        <f>Lookups!$B$56*0</f>
        <v>0</v>
      </c>
      <c r="AQ1629" s="25">
        <f>Lookups!$B$56*1</f>
        <v>89850.625589999996</v>
      </c>
      <c r="AR1629" s="25">
        <f>Lookups!$B$57*Inventory[[#This Row],[LnAcres]]</f>
        <v>-42641.098701210125</v>
      </c>
      <c r="AS1629" s="25">
        <f>VLOOKUP(Inventory[[#This Row],[Qlty]],Lookups!$A$62:$E$75,2,FALSE)</f>
        <v>29814.093161000001</v>
      </c>
      <c r="AT1629" s="25">
        <f>VLOOKUP(Inventory[[#This Row],[Cnd]],Lookups!$A$76:$E$84,2,FALSE)</f>
        <v>160472.20319</v>
      </c>
      <c r="AU1629" s="25">
        <f>Inventory[[#This Row],[EffAge]]*Lookups!$B$85</f>
        <v>-11821.416826500001</v>
      </c>
      <c r="AV1629" s="25">
        <f>Inventory[[#This Row],[MainFn]]*Lookups!$B$86</f>
        <v>95457.550202364</v>
      </c>
      <c r="AW1629" s="25">
        <f>Inventory[[#This Row],[UpprFn]]*Lookups!$B$87</f>
        <v>0</v>
      </c>
      <c r="AX1629" s="25">
        <f>Inventory[[#This Row],[AddFn]]*Lookups!$B$88</f>
        <v>0</v>
      </c>
      <c r="AY1629" s="25">
        <f>Inventory[[#This Row],[Bsmt]]*Lookups!$B$89</f>
        <v>0</v>
      </c>
      <c r="AZ1629" s="25">
        <f>Inventory[[#This Row],[Fixtures]]*Lookups!$B$90</f>
        <v>30336.176841600001</v>
      </c>
      <c r="BA1629" s="25">
        <f>Inventory[[#This Row],[WdDeck]]*Lookups!$B$91</f>
        <v>0</v>
      </c>
      <c r="BB1629" s="25">
        <f>ROUND(Inventory[[#This Row],[25Det]],-2)</f>
        <v>10300</v>
      </c>
      <c r="BC1629" s="25">
        <f>ROUND(SUM(Inventory[[#This Row],[Mdl Qlty]:[Mdl WdDeck]])+Inventory[[#This Row],[Mdl Res Intercept]],-2)</f>
        <v>304300</v>
      </c>
      <c r="BD1629" s="25">
        <f>ROUND(Inventory[[#This Row],[Mdl Land Intercept]]+Inventory[[#This Row],[Mdl LnAcres]],-2)</f>
        <v>47200</v>
      </c>
      <c r="BE1629" s="25">
        <f>Inventory[[#This Row],[Unadj Res Value]]+Inventory[[#This Row],[Unadj Det Value]]+Inventory[[#This Row],[Unadj Land Value]]</f>
        <v>361800</v>
      </c>
      <c r="BF1629" s="36">
        <f>(Inventory[[#This Row],[Unadj Total Value]]-Inventory[[#This Row],[24Final]])/Inventory[[#This Row],[24Final]]</f>
        <v>2.87176570941143E-2</v>
      </c>
      <c r="BG1629" s="25">
        <f>VLOOKUP(Inventory[[#This Row],[Nbhd]],Lookups!$Q$2:$T$4,4,FALSE)</f>
        <v>0.99970000000000003</v>
      </c>
      <c r="BH1629" s="25">
        <f>VLOOKUP(Inventory[[#This Row],[Qlty]],Lookups!$O$7:$R$21,4,FALSE)</f>
        <v>1.0088999999999999</v>
      </c>
      <c r="BI1629" s="25">
        <f>VLOOKUP(Inventory[[#This Row],[Cnd]],Lookups!$T$7:$W$16,4,FALSE)</f>
        <v>0.99729999999999996</v>
      </c>
      <c r="BJ1629" s="25">
        <f>VLOOKUP(Inventory[[#This Row],[LivArea Range]],Lookups!$T$25:$W$37,4,FALSE)</f>
        <v>1.0093000000000001</v>
      </c>
      <c r="BK1629" s="25">
        <f>VLOOKUP(Inventory[[#This Row],[Decade]],Lookups!$O$25:$R$42,4,FALSE)</f>
        <v>0.98909999999999998</v>
      </c>
      <c r="BL1629" s="25">
        <f>Inventory[[#This Row],[Nbhd Adj]]*0.95</f>
        <v>0.94971499999999998</v>
      </c>
      <c r="BM1629" s="25">
        <f>Inventory[[#This Row],[Nbhd Adj]]*Inventory[[#This Row],[Quality Adj]]*Inventory[[#This Row],[Condition Adj]]*Inventory[[#This Row],[Living Area Adj]]*Inventory[[#This Row],[Decade Adj]]*0.95</f>
        <v>0.95395461550409388</v>
      </c>
      <c r="BN1629" s="25">
        <f>ROUND(SUM(Inventory[[#This Row],[Mdl Qlty]:[Mdl WdDeck]])+Inventory[[#This Row],[Mdl Res Intercept]]*Inventory[[#This Row],[Res Adj ]],-2)</f>
        <v>304300</v>
      </c>
      <c r="BO1629" s="25">
        <f>ROUND(Inventory[[#This Row],[25Det]]*Inventory[[#This Row],[Det/Nbhd Adj]],-2)</f>
        <v>9800</v>
      </c>
      <c r="BP1629" s="25">
        <f>Inventory[[#This Row],[Adjusted Res]]+Inventory[[#This Row],[Adj Det ]]</f>
        <v>314100</v>
      </c>
      <c r="BQ1629" s="25">
        <f>ROUND((Inventory[[#This Row],[Mdl Land Intercept]]+Inventory[[#This Row],[Mdl LnAcres]])*Inventory[[#This Row],[Det/Nbhd Adj]],-2)</f>
        <v>44800</v>
      </c>
      <c r="BR1629" s="25">
        <f>Inventory[[#This Row],[Adjusted Impr Total]]+Inventory[[#This Row],[Adjusted Land Total]]</f>
        <v>358900</v>
      </c>
      <c r="BS1629" s="36">
        <f>IFERROR((Inventory[[#This Row],[Adjusted Impr Total]]-Inventory[[#This Row],[24Bldg]])/Inventory[[#This Row],[24Bldg]],0)</f>
        <v>0.10559662090813093</v>
      </c>
      <c r="BT1629" s="36">
        <f>(Inventory[[#This Row],[Adjusted Land Total]]-Inventory[[#This Row],[24Lnd]])/Inventory[[#This Row],[24Lnd]]</f>
        <v>-0.33727810650887574</v>
      </c>
      <c r="BU1629" s="36">
        <f>(Inventory[[#This Row],[Adjusted Total]]-Inventory[[#This Row],[24Final]])/Inventory[[#This Row],[24Final]]</f>
        <v>2.0471993176002276E-2</v>
      </c>
    </row>
    <row r="1630" spans="1:73" x14ac:dyDescent="0.3">
      <c r="A1630" s="25">
        <v>2025</v>
      </c>
      <c r="B1630" s="26" t="s">
        <v>877</v>
      </c>
      <c r="C1630" s="26">
        <f>LN(Inventory[[#This Row],[Acres]])</f>
        <v>-1.9661128563728327</v>
      </c>
      <c r="D1630" s="25">
        <v>0.14000000000000001</v>
      </c>
      <c r="E1630" s="32">
        <v>6194</v>
      </c>
      <c r="F1630" s="26" t="s">
        <v>537</v>
      </c>
      <c r="G1630" s="26" t="s">
        <v>126</v>
      </c>
      <c r="H1630" s="26" t="s">
        <v>349</v>
      </c>
      <c r="I1630" s="26" t="s">
        <v>538</v>
      </c>
      <c r="J1630" s="26" t="s">
        <v>539</v>
      </c>
      <c r="K1630" s="26" t="s">
        <v>242</v>
      </c>
      <c r="L1630" s="26" t="s">
        <v>205</v>
      </c>
      <c r="M1630" s="26" t="s">
        <v>323</v>
      </c>
      <c r="N1630" s="26">
        <v>90</v>
      </c>
      <c r="O1630" s="26">
        <f>2024-Inventory[[#This Row],[YrBlt]]</f>
        <v>89</v>
      </c>
      <c r="P1630" s="26">
        <f>2024-Inventory[[#This Row],[EffYr]]</f>
        <v>53</v>
      </c>
      <c r="Q1630" s="25">
        <v>1935</v>
      </c>
      <c r="R1630" s="25">
        <v>1971</v>
      </c>
      <c r="S1630" s="25">
        <v>1070</v>
      </c>
      <c r="T1630" s="27"/>
      <c r="U1630" s="31"/>
      <c r="V1630" s="31">
        <f>Inventory[[#This Row],[Bsmt]]-Inventory[[#This Row],[FnBsmt]]</f>
        <v>0</v>
      </c>
      <c r="W1630" s="31"/>
      <c r="X1630" s="27"/>
      <c r="Y1630" s="27">
        <f>Inventory[[#This Row],[MainFn]]+Inventory[[#This Row],[UpprFn]]+Inventory[[#This Row],[FnBsmt]]+Inventory[[#This Row],[AddFn]]</f>
        <v>1070</v>
      </c>
      <c r="Z1630" s="27">
        <v>1500</v>
      </c>
      <c r="AA1630" s="25">
        <v>5</v>
      </c>
      <c r="AB1630" s="32">
        <v>276</v>
      </c>
      <c r="AC1630" s="27"/>
      <c r="AD1630" s="27"/>
      <c r="AE1630" s="27"/>
      <c r="AF1630" s="27"/>
      <c r="AG1630" s="27"/>
      <c r="AH1630" s="27"/>
      <c r="AI1630" s="25">
        <v>184576</v>
      </c>
      <c r="AJ1630" s="25">
        <v>123666</v>
      </c>
      <c r="AK1630" s="25">
        <v>0</v>
      </c>
      <c r="AL1630" s="25">
        <v>242300</v>
      </c>
      <c r="AM1630" s="25">
        <v>46000</v>
      </c>
      <c r="AN1630" s="25">
        <v>196300</v>
      </c>
      <c r="AO1630" s="25">
        <v>0</v>
      </c>
      <c r="AP1630" s="25">
        <f>Lookups!$B$56*0</f>
        <v>0</v>
      </c>
      <c r="AQ1630" s="25">
        <f>Lookups!$B$56*1</f>
        <v>89850.625589999996</v>
      </c>
      <c r="AR1630" s="25">
        <f>Lookups!$B$57*Inventory[[#This Row],[LnAcres]]</f>
        <v>-62236.546971921947</v>
      </c>
      <c r="AS1630" s="25">
        <f>VLOOKUP(Inventory[[#This Row],[Qlty]],Lookups!$A$62:$E$75,2,FALSE)</f>
        <v>0</v>
      </c>
      <c r="AT1630" s="25">
        <f>VLOOKUP(Inventory[[#This Row],[Cnd]],Lookups!$A$76:$E$84,2,FALSE)</f>
        <v>160472.20319</v>
      </c>
      <c r="AU1630" s="25">
        <f>Inventory[[#This Row],[EffAge]]*Lookups!$B$85</f>
        <v>-11821.416826500001</v>
      </c>
      <c r="AV1630" s="25">
        <f>Inventory[[#This Row],[MainFn]]*Lookups!$B$86</f>
        <v>52867.276768390002</v>
      </c>
      <c r="AW1630" s="25">
        <f>Inventory[[#This Row],[UpprFn]]*Lookups!$B$87</f>
        <v>0</v>
      </c>
      <c r="AX1630" s="25">
        <f>Inventory[[#This Row],[AddFn]]*Lookups!$B$88</f>
        <v>0</v>
      </c>
      <c r="AY1630" s="25">
        <f>Inventory[[#This Row],[Bsmt]]*Lookups!$B$89</f>
        <v>0</v>
      </c>
      <c r="AZ1630" s="25">
        <f>Inventory[[#This Row],[Fixtures]]*Lookups!$B$90</f>
        <v>18960.110526</v>
      </c>
      <c r="BA1630" s="25">
        <f>Inventory[[#This Row],[WdDeck]]*Lookups!$B$91</f>
        <v>0</v>
      </c>
      <c r="BB1630" s="25">
        <f>ROUND(Inventory[[#This Row],[25Det]],-2)</f>
        <v>0</v>
      </c>
      <c r="BC1630" s="25">
        <f>ROUND(SUM(Inventory[[#This Row],[Mdl Qlty]:[Mdl WdDeck]])+Inventory[[#This Row],[Mdl Res Intercept]],-2)</f>
        <v>220500</v>
      </c>
      <c r="BD1630" s="25">
        <f>ROUND(Inventory[[#This Row],[Mdl Land Intercept]]+Inventory[[#This Row],[Mdl LnAcres]],-2)</f>
        <v>27600</v>
      </c>
      <c r="BE1630" s="25">
        <f>Inventory[[#This Row],[Unadj Res Value]]+Inventory[[#This Row],[Unadj Det Value]]+Inventory[[#This Row],[Unadj Land Value]]</f>
        <v>248100</v>
      </c>
      <c r="BF1630" s="36">
        <f>(Inventory[[#This Row],[Unadj Total Value]]-Inventory[[#This Row],[24Final]])/Inventory[[#This Row],[24Final]]</f>
        <v>2.3937267849773007E-2</v>
      </c>
      <c r="BG1630" s="25">
        <f>VLOOKUP(Inventory[[#This Row],[Nbhd]],Lookups!$Q$2:$T$4,4,FALSE)</f>
        <v>0.99970000000000003</v>
      </c>
      <c r="BH1630" s="25">
        <f>VLOOKUP(Inventory[[#This Row],[Qlty]],Lookups!$O$7:$R$21,4,FALSE)</f>
        <v>0.99180000000000001</v>
      </c>
      <c r="BI1630" s="25">
        <f>VLOOKUP(Inventory[[#This Row],[Cnd]],Lookups!$T$7:$W$16,4,FALSE)</f>
        <v>0.99729999999999996</v>
      </c>
      <c r="BJ1630" s="25">
        <f>VLOOKUP(Inventory[[#This Row],[LivArea Range]],Lookups!$T$25:$W$37,4,FALSE)</f>
        <v>1.0157</v>
      </c>
      <c r="BK1630" s="25">
        <f>VLOOKUP(Inventory[[#This Row],[Decade]],Lookups!$O$25:$R$42,4,FALSE)</f>
        <v>0.98909999999999998</v>
      </c>
      <c r="BL1630" s="25">
        <f>Inventory[[#This Row],[Nbhd Adj]]*0.95</f>
        <v>0.94971499999999998</v>
      </c>
      <c r="BM1630" s="25">
        <f>Inventory[[#This Row],[Nbhd Adj]]*Inventory[[#This Row],[Quality Adj]]*Inventory[[#This Row],[Condition Adj]]*Inventory[[#This Row],[Living Area Adj]]*Inventory[[#This Row],[Decade Adj]]*0.95</f>
        <v>0.94373242022269987</v>
      </c>
      <c r="BN1630" s="25">
        <f>ROUND(SUM(Inventory[[#This Row],[Mdl Qlty]:[Mdl WdDeck]])+Inventory[[#This Row],[Mdl Res Intercept]]*Inventory[[#This Row],[Res Adj ]],-2)</f>
        <v>220500</v>
      </c>
      <c r="BO1630" s="25">
        <f>ROUND(Inventory[[#This Row],[25Det]]*Inventory[[#This Row],[Det/Nbhd Adj]],-2)</f>
        <v>0</v>
      </c>
      <c r="BP1630" s="25">
        <f>Inventory[[#This Row],[Adjusted Res]]+Inventory[[#This Row],[Adj Det ]]</f>
        <v>220500</v>
      </c>
      <c r="BQ1630" s="25">
        <f>ROUND((Inventory[[#This Row],[Mdl Land Intercept]]+Inventory[[#This Row],[Mdl LnAcres]])*Inventory[[#This Row],[Det/Nbhd Adj]],-2)</f>
        <v>26200</v>
      </c>
      <c r="BR1630" s="25">
        <f>Inventory[[#This Row],[Adjusted Impr Total]]+Inventory[[#This Row],[Adjusted Land Total]]</f>
        <v>246700</v>
      </c>
      <c r="BS1630" s="36">
        <f>IFERROR((Inventory[[#This Row],[Adjusted Impr Total]]-Inventory[[#This Row],[24Bldg]])/Inventory[[#This Row],[24Bldg]],0)</f>
        <v>0.12328069281711666</v>
      </c>
      <c r="BT1630" s="36">
        <f>(Inventory[[#This Row],[Adjusted Land Total]]-Inventory[[#This Row],[24Lnd]])/Inventory[[#This Row],[24Lnd]]</f>
        <v>-0.43043478260869567</v>
      </c>
      <c r="BU1630" s="36">
        <f>(Inventory[[#This Row],[Adjusted Total]]-Inventory[[#This Row],[24Final]])/Inventory[[#This Row],[24Final]]</f>
        <v>1.8159306644655385E-2</v>
      </c>
    </row>
    <row r="1631" spans="1:73" x14ac:dyDescent="0.3">
      <c r="A1631" s="25">
        <v>2025</v>
      </c>
      <c r="B1631" s="26" t="s">
        <v>1976</v>
      </c>
      <c r="C1631" s="26">
        <f>LN(Inventory[[#This Row],[Acres]])</f>
        <v>-0.86750056770472306</v>
      </c>
      <c r="D1631" s="25">
        <v>0.42</v>
      </c>
      <c r="E1631" s="32">
        <v>18173</v>
      </c>
      <c r="F1631" s="26" t="s">
        <v>537</v>
      </c>
      <c r="G1631" s="26" t="s">
        <v>126</v>
      </c>
      <c r="H1631" s="26" t="s">
        <v>349</v>
      </c>
      <c r="I1631" s="26" t="s">
        <v>538</v>
      </c>
      <c r="J1631" s="26" t="s">
        <v>539</v>
      </c>
      <c r="K1631" s="26" t="s">
        <v>301</v>
      </c>
      <c r="L1631" s="26" t="s">
        <v>148</v>
      </c>
      <c r="M1631" s="26" t="s">
        <v>323</v>
      </c>
      <c r="N1631" s="26">
        <v>90</v>
      </c>
      <c r="O1631" s="26">
        <f>2024-Inventory[[#This Row],[YrBlt]]</f>
        <v>89</v>
      </c>
      <c r="P1631" s="26">
        <f>2024-Inventory[[#This Row],[EffYr]]</f>
        <v>53</v>
      </c>
      <c r="Q1631" s="25">
        <v>1935</v>
      </c>
      <c r="R1631" s="25">
        <v>1971</v>
      </c>
      <c r="S1631" s="25">
        <v>1704</v>
      </c>
      <c r="T1631" s="32">
        <v>1724</v>
      </c>
      <c r="U1631" s="25">
        <v>1274</v>
      </c>
      <c r="V1631" s="32">
        <f>Inventory[[#This Row],[Bsmt]]-Inventory[[#This Row],[FnBsmt]]</f>
        <v>0</v>
      </c>
      <c r="W1631" s="32">
        <v>1274</v>
      </c>
      <c r="X1631" s="27"/>
      <c r="Y1631" s="27">
        <f>Inventory[[#This Row],[MainFn]]+Inventory[[#This Row],[UpprFn]]+Inventory[[#This Row],[FnBsmt]]+Inventory[[#This Row],[AddFn]]</f>
        <v>4702</v>
      </c>
      <c r="Z1631" s="27">
        <v>4500</v>
      </c>
      <c r="AA1631" s="25">
        <v>11</v>
      </c>
      <c r="AB1631" s="27"/>
      <c r="AC1631" s="27"/>
      <c r="AD1631" s="27"/>
      <c r="AE1631" s="27"/>
      <c r="AF1631" s="27"/>
      <c r="AG1631" s="27"/>
      <c r="AH1631" s="27"/>
      <c r="AI1631" s="25">
        <v>751333</v>
      </c>
      <c r="AJ1631" s="25">
        <v>503393</v>
      </c>
      <c r="AK1631" s="25">
        <v>28838</v>
      </c>
      <c r="AL1631" s="25">
        <v>510500</v>
      </c>
      <c r="AM1631" s="25">
        <v>84300</v>
      </c>
      <c r="AN1631" s="25">
        <v>426200</v>
      </c>
      <c r="AO1631" s="25">
        <v>0</v>
      </c>
      <c r="AP1631" s="25">
        <f>Lookups!$B$56*0</f>
        <v>0</v>
      </c>
      <c r="AQ1631" s="25">
        <f>Lookups!$B$56*1</f>
        <v>89850.625589999996</v>
      </c>
      <c r="AR1631" s="25">
        <f>Lookups!$B$57*Inventory[[#This Row],[LnAcres]]</f>
        <v>-27460.397125792362</v>
      </c>
      <c r="AS1631" s="25">
        <f>VLOOKUP(Inventory[[#This Row],[Qlty]],Lookups!$A$62:$E$75,2,FALSE)</f>
        <v>44121.038090000002</v>
      </c>
      <c r="AT1631" s="25">
        <f>VLOOKUP(Inventory[[#This Row],[Cnd]],Lookups!$A$76:$E$84,2,FALSE)</f>
        <v>160472.20319</v>
      </c>
      <c r="AU1631" s="25">
        <f>Inventory[[#This Row],[EffAge]]*Lookups!$B$85</f>
        <v>-11821.416826500001</v>
      </c>
      <c r="AV1631" s="25">
        <f>Inventory[[#This Row],[MainFn]]*Lookups!$B$86</f>
        <v>84192.373470407998</v>
      </c>
      <c r="AW1631" s="25">
        <f>Inventory[[#This Row],[UpprFn]]*Lookups!$B$87</f>
        <v>77211.793012363996</v>
      </c>
      <c r="AX1631" s="25">
        <f>Inventory[[#This Row],[AddFn]]*Lookups!$B$88</f>
        <v>0</v>
      </c>
      <c r="AY1631" s="25">
        <f>Inventory[[#This Row],[Bsmt]]*Lookups!$B$89</f>
        <v>37050.334544678</v>
      </c>
      <c r="AZ1631" s="25">
        <f>Inventory[[#This Row],[Fixtures]]*Lookups!$B$90</f>
        <v>41712.243157199999</v>
      </c>
      <c r="BA1631" s="25">
        <f>Inventory[[#This Row],[WdDeck]]*Lookups!$B$91</f>
        <v>0</v>
      </c>
      <c r="BB1631" s="25">
        <f>ROUND(Inventory[[#This Row],[25Det]],-2)</f>
        <v>28800</v>
      </c>
      <c r="BC1631" s="25">
        <f>ROUND(SUM(Inventory[[#This Row],[Mdl Qlty]:[Mdl WdDeck]])+Inventory[[#This Row],[Mdl Res Intercept]],-2)</f>
        <v>432900</v>
      </c>
      <c r="BD1631" s="25">
        <f>ROUND(Inventory[[#This Row],[Mdl Land Intercept]]+Inventory[[#This Row],[Mdl LnAcres]],-2)</f>
        <v>62400</v>
      </c>
      <c r="BE1631" s="25">
        <f>Inventory[[#This Row],[Unadj Res Value]]+Inventory[[#This Row],[Unadj Det Value]]+Inventory[[#This Row],[Unadj Land Value]]</f>
        <v>524100</v>
      </c>
      <c r="BF1631" s="36">
        <f>(Inventory[[#This Row],[Unadj Total Value]]-Inventory[[#This Row],[24Final]])/Inventory[[#This Row],[24Final]]</f>
        <v>2.6640548481880508E-2</v>
      </c>
      <c r="BG1631" s="25">
        <f>VLOOKUP(Inventory[[#This Row],[Nbhd]],Lookups!$Q$2:$T$4,4,FALSE)</f>
        <v>0.99970000000000003</v>
      </c>
      <c r="BH1631" s="25">
        <f>VLOOKUP(Inventory[[#This Row],[Qlty]],Lookups!$O$7:$R$21,4,FALSE)</f>
        <v>0.98050000000000004</v>
      </c>
      <c r="BI1631" s="25">
        <f>VLOOKUP(Inventory[[#This Row],[Cnd]],Lookups!$T$7:$W$16,4,FALSE)</f>
        <v>0.99729999999999996</v>
      </c>
      <c r="BJ1631" s="25">
        <f>VLOOKUP(Inventory[[#This Row],[LivArea Range]],Lookups!$T$25:$W$37,4,FALSE)</f>
        <v>1</v>
      </c>
      <c r="BK1631" s="25">
        <f>VLOOKUP(Inventory[[#This Row],[Decade]],Lookups!$O$25:$R$42,4,FALSE)</f>
        <v>0.98909999999999998</v>
      </c>
      <c r="BL1631" s="25">
        <f>Inventory[[#This Row],[Nbhd Adj]]*0.95</f>
        <v>0.94971499999999998</v>
      </c>
      <c r="BM1631" s="25">
        <f>Inventory[[#This Row],[Nbhd Adj]]*Inventory[[#This Row],[Quality Adj]]*Inventory[[#This Row],[Condition Adj]]*Inventory[[#This Row],[Living Area Adj]]*Inventory[[#This Row],[Decade Adj]]*0.95</f>
        <v>0.91855870300325715</v>
      </c>
      <c r="BN1631" s="25">
        <f>ROUND(SUM(Inventory[[#This Row],[Mdl Qlty]:[Mdl WdDeck]])+Inventory[[#This Row],[Mdl Res Intercept]]*Inventory[[#This Row],[Res Adj ]],-2)</f>
        <v>432900</v>
      </c>
      <c r="BO1631" s="25">
        <f>ROUND(Inventory[[#This Row],[25Det]]*Inventory[[#This Row],[Det/Nbhd Adj]],-2)</f>
        <v>27400</v>
      </c>
      <c r="BP1631" s="25">
        <f>Inventory[[#This Row],[Adjusted Res]]+Inventory[[#This Row],[Adj Det ]]</f>
        <v>460300</v>
      </c>
      <c r="BQ1631" s="25">
        <f>ROUND((Inventory[[#This Row],[Mdl Land Intercept]]+Inventory[[#This Row],[Mdl LnAcres]])*Inventory[[#This Row],[Det/Nbhd Adj]],-2)</f>
        <v>59300</v>
      </c>
      <c r="BR1631" s="25">
        <f>Inventory[[#This Row],[Adjusted Impr Total]]+Inventory[[#This Row],[Adjusted Land Total]]</f>
        <v>519600</v>
      </c>
      <c r="BS1631" s="36">
        <f>IFERROR((Inventory[[#This Row],[Adjusted Impr Total]]-Inventory[[#This Row],[24Bldg]])/Inventory[[#This Row],[24Bldg]],0)</f>
        <v>8.0009385265133737E-2</v>
      </c>
      <c r="BT1631" s="36">
        <f>(Inventory[[#This Row],[Adjusted Land Total]]-Inventory[[#This Row],[24Lnd]])/Inventory[[#This Row],[24Lnd]]</f>
        <v>-0.29655990510083036</v>
      </c>
      <c r="BU1631" s="36">
        <f>(Inventory[[#This Row],[Adjusted Total]]-Inventory[[#This Row],[24Final]])/Inventory[[#This Row],[24Final]]</f>
        <v>1.7825661116552399E-2</v>
      </c>
    </row>
    <row r="1632" spans="1:73" x14ac:dyDescent="0.3">
      <c r="A1632" s="25">
        <v>2025</v>
      </c>
      <c r="B1632" s="26" t="s">
        <v>2745</v>
      </c>
      <c r="C1632" s="26">
        <f>LN(Inventory[[#This Row],[Acres]])</f>
        <v>-1.7719568419318752</v>
      </c>
      <c r="D1632" s="25">
        <v>0.17</v>
      </c>
      <c r="E1632" s="27"/>
      <c r="F1632" s="26" t="s">
        <v>537</v>
      </c>
      <c r="G1632" s="26" t="s">
        <v>126</v>
      </c>
      <c r="H1632" s="26" t="s">
        <v>349</v>
      </c>
      <c r="I1632" s="26" t="s">
        <v>538</v>
      </c>
      <c r="J1632" s="26" t="s">
        <v>539</v>
      </c>
      <c r="K1632" s="26" t="s">
        <v>269</v>
      </c>
      <c r="L1632" s="26" t="s">
        <v>148</v>
      </c>
      <c r="M1632" s="26" t="s">
        <v>323</v>
      </c>
      <c r="N1632" s="26">
        <v>90</v>
      </c>
      <c r="O1632" s="26">
        <f>2024-Inventory[[#This Row],[YrBlt]]</f>
        <v>89</v>
      </c>
      <c r="P1632" s="26">
        <f>2024-Inventory[[#This Row],[EffYr]]</f>
        <v>53</v>
      </c>
      <c r="Q1632" s="25">
        <v>1935</v>
      </c>
      <c r="R1632" s="25">
        <v>1971</v>
      </c>
      <c r="S1632" s="25">
        <v>1580</v>
      </c>
      <c r="T1632" s="27"/>
      <c r="U1632" s="25">
        <v>1023</v>
      </c>
      <c r="V1632" s="25">
        <f>Inventory[[#This Row],[Bsmt]]-Inventory[[#This Row],[FnBsmt]]</f>
        <v>0</v>
      </c>
      <c r="W1632" s="25">
        <v>1023</v>
      </c>
      <c r="X1632" s="27"/>
      <c r="Y1632" s="27">
        <f>Inventory[[#This Row],[MainFn]]+Inventory[[#This Row],[UpprFn]]+Inventory[[#This Row],[FnBsmt]]+Inventory[[#This Row],[AddFn]]</f>
        <v>2603</v>
      </c>
      <c r="Z1632" s="27">
        <v>3000</v>
      </c>
      <c r="AA1632" s="25">
        <v>11</v>
      </c>
      <c r="AB1632" s="27"/>
      <c r="AC1632" s="27"/>
      <c r="AD1632" s="27"/>
      <c r="AE1632" s="27"/>
      <c r="AF1632" s="27"/>
      <c r="AG1632" s="27"/>
      <c r="AH1632" s="27"/>
      <c r="AI1632" s="25">
        <v>464447</v>
      </c>
      <c r="AJ1632" s="25">
        <v>311179</v>
      </c>
      <c r="AK1632" s="25">
        <v>25390</v>
      </c>
      <c r="AL1632" s="25">
        <v>392000</v>
      </c>
      <c r="AM1632" s="25">
        <v>52700</v>
      </c>
      <c r="AN1632" s="25">
        <v>339300</v>
      </c>
      <c r="AO1632" s="25">
        <v>0</v>
      </c>
      <c r="AP1632" s="25">
        <f>Lookups!$B$56*0</f>
        <v>0</v>
      </c>
      <c r="AQ1632" s="25">
        <f>Lookups!$B$56*1</f>
        <v>89850.625589999996</v>
      </c>
      <c r="AR1632" s="25">
        <f>Lookups!$B$57*Inventory[[#This Row],[LnAcres]]</f>
        <v>-56090.612940989391</v>
      </c>
      <c r="AS1632" s="25">
        <f>VLOOKUP(Inventory[[#This Row],[Qlty]],Lookups!$A$62:$E$75,2,FALSE)</f>
        <v>44121.038090000002</v>
      </c>
      <c r="AT1632" s="25">
        <f>VLOOKUP(Inventory[[#This Row],[Cnd]],Lookups!$A$76:$E$84,2,FALSE)</f>
        <v>160472.20319</v>
      </c>
      <c r="AU1632" s="25">
        <f>Inventory[[#This Row],[EffAge]]*Lookups!$B$85</f>
        <v>-11821.416826500001</v>
      </c>
      <c r="AV1632" s="25">
        <f>Inventory[[#This Row],[MainFn]]*Lookups!$B$86</f>
        <v>78065.698405660005</v>
      </c>
      <c r="AW1632" s="25">
        <f>Inventory[[#This Row],[UpprFn]]*Lookups!$B$87</f>
        <v>0</v>
      </c>
      <c r="AX1632" s="25">
        <f>Inventory[[#This Row],[AddFn]]*Lookups!$B$88</f>
        <v>0</v>
      </c>
      <c r="AY1632" s="25">
        <f>Inventory[[#This Row],[Bsmt]]*Lookups!$B$89</f>
        <v>29750.778837680999</v>
      </c>
      <c r="AZ1632" s="25">
        <f>Inventory[[#This Row],[Fixtures]]*Lookups!$B$90</f>
        <v>41712.243157199999</v>
      </c>
      <c r="BA1632" s="25">
        <f>Inventory[[#This Row],[WdDeck]]*Lookups!$B$91</f>
        <v>0</v>
      </c>
      <c r="BB1632" s="25">
        <f>ROUND(Inventory[[#This Row],[25Det]],-2)</f>
        <v>25400</v>
      </c>
      <c r="BC1632" s="25">
        <f>ROUND(SUM(Inventory[[#This Row],[Mdl Qlty]:[Mdl WdDeck]])+Inventory[[#This Row],[Mdl Res Intercept]],-2)</f>
        <v>342300</v>
      </c>
      <c r="BD1632" s="25">
        <f>ROUND(Inventory[[#This Row],[Mdl Land Intercept]]+Inventory[[#This Row],[Mdl LnAcres]],-2)</f>
        <v>33800</v>
      </c>
      <c r="BE1632" s="25">
        <f>Inventory[[#This Row],[Unadj Res Value]]+Inventory[[#This Row],[Unadj Det Value]]+Inventory[[#This Row],[Unadj Land Value]]</f>
        <v>401500</v>
      </c>
      <c r="BF1632" s="36">
        <f>(Inventory[[#This Row],[Unadj Total Value]]-Inventory[[#This Row],[24Final]])/Inventory[[#This Row],[24Final]]</f>
        <v>2.423469387755102E-2</v>
      </c>
      <c r="BG1632" s="25">
        <f>VLOOKUP(Inventory[[#This Row],[Nbhd]],Lookups!$Q$2:$T$4,4,FALSE)</f>
        <v>0.99970000000000003</v>
      </c>
      <c r="BH1632" s="25">
        <f>VLOOKUP(Inventory[[#This Row],[Qlty]],Lookups!$O$7:$R$21,4,FALSE)</f>
        <v>0.98050000000000004</v>
      </c>
      <c r="BI1632" s="25">
        <f>VLOOKUP(Inventory[[#This Row],[Cnd]],Lookups!$T$7:$W$16,4,FALSE)</f>
        <v>0.99729999999999996</v>
      </c>
      <c r="BJ1632" s="25">
        <f>VLOOKUP(Inventory[[#This Row],[LivArea Range]],Lookups!$T$25:$W$37,4,FALSE)</f>
        <v>0.96179999999999999</v>
      </c>
      <c r="BK1632" s="25">
        <f>VLOOKUP(Inventory[[#This Row],[Decade]],Lookups!$O$25:$R$42,4,FALSE)</f>
        <v>0.98909999999999998</v>
      </c>
      <c r="BL1632" s="25">
        <f>Inventory[[#This Row],[Nbhd Adj]]*0.95</f>
        <v>0.94971499999999998</v>
      </c>
      <c r="BM1632" s="25">
        <f>Inventory[[#This Row],[Nbhd Adj]]*Inventory[[#This Row],[Quality Adj]]*Inventory[[#This Row],[Condition Adj]]*Inventory[[#This Row],[Living Area Adj]]*Inventory[[#This Row],[Decade Adj]]*0.95</f>
        <v>0.88346976054853277</v>
      </c>
      <c r="BN1632" s="25">
        <f>ROUND(SUM(Inventory[[#This Row],[Mdl Qlty]:[Mdl WdDeck]])+Inventory[[#This Row],[Mdl Res Intercept]]*Inventory[[#This Row],[Res Adj ]],-2)</f>
        <v>342300</v>
      </c>
      <c r="BO1632" s="25">
        <f>ROUND(Inventory[[#This Row],[25Det]]*Inventory[[#This Row],[Det/Nbhd Adj]],-2)</f>
        <v>24100</v>
      </c>
      <c r="BP1632" s="25">
        <f>Inventory[[#This Row],[Adjusted Res]]+Inventory[[#This Row],[Adj Det ]]</f>
        <v>366400</v>
      </c>
      <c r="BQ1632" s="25">
        <f>ROUND((Inventory[[#This Row],[Mdl Land Intercept]]+Inventory[[#This Row],[Mdl LnAcres]])*Inventory[[#This Row],[Det/Nbhd Adj]],-2)</f>
        <v>32100</v>
      </c>
      <c r="BR1632" s="25">
        <f>Inventory[[#This Row],[Adjusted Impr Total]]+Inventory[[#This Row],[Adjusted Land Total]]</f>
        <v>398500</v>
      </c>
      <c r="BS1632" s="36">
        <f>IFERROR((Inventory[[#This Row],[Adjusted Impr Total]]-Inventory[[#This Row],[24Bldg]])/Inventory[[#This Row],[24Bldg]],0)</f>
        <v>7.9870321249631601E-2</v>
      </c>
      <c r="BT1632" s="36">
        <f>(Inventory[[#This Row],[Adjusted Land Total]]-Inventory[[#This Row],[24Lnd]])/Inventory[[#This Row],[24Lnd]]</f>
        <v>-0.39089184060721061</v>
      </c>
      <c r="BU1632" s="36">
        <f>(Inventory[[#This Row],[Adjusted Total]]-Inventory[[#This Row],[24Final]])/Inventory[[#This Row],[24Final]]</f>
        <v>1.6581632653061226E-2</v>
      </c>
    </row>
    <row r="1633" spans="1:73" x14ac:dyDescent="0.3">
      <c r="A1633" s="25">
        <v>2025</v>
      </c>
      <c r="B1633" s="26" t="s">
        <v>1906</v>
      </c>
      <c r="C1633" s="26">
        <f>LN(Inventory[[#This Row],[Acres]])</f>
        <v>-1.2039728043259361</v>
      </c>
      <c r="D1633" s="25">
        <v>0.3</v>
      </c>
      <c r="E1633" s="32">
        <v>13229</v>
      </c>
      <c r="F1633" s="26" t="s">
        <v>537</v>
      </c>
      <c r="G1633" s="26" t="s">
        <v>126</v>
      </c>
      <c r="H1633" s="26" t="s">
        <v>349</v>
      </c>
      <c r="I1633" s="26" t="s">
        <v>538</v>
      </c>
      <c r="J1633" s="26" t="s">
        <v>539</v>
      </c>
      <c r="K1633" s="26" t="s">
        <v>301</v>
      </c>
      <c r="L1633" s="26" t="s">
        <v>148</v>
      </c>
      <c r="M1633" s="26" t="s">
        <v>303</v>
      </c>
      <c r="N1633" s="26">
        <v>90</v>
      </c>
      <c r="O1633" s="26">
        <f>2024-Inventory[[#This Row],[YrBlt]]</f>
        <v>89</v>
      </c>
      <c r="P1633" s="26">
        <f>2024-Inventory[[#This Row],[EffYr]]</f>
        <v>53</v>
      </c>
      <c r="Q1633" s="25">
        <v>1935</v>
      </c>
      <c r="R1633" s="25">
        <v>1971</v>
      </c>
      <c r="S1633" s="25">
        <v>1884</v>
      </c>
      <c r="T1633" s="32">
        <v>1596</v>
      </c>
      <c r="U1633" s="25">
        <v>1596</v>
      </c>
      <c r="V1633" s="25">
        <f>Inventory[[#This Row],[Bsmt]]-Inventory[[#This Row],[FnBsmt]]</f>
        <v>0</v>
      </c>
      <c r="W1633" s="25">
        <v>1596</v>
      </c>
      <c r="X1633" s="27"/>
      <c r="Y1633" s="27">
        <f>Inventory[[#This Row],[MainFn]]+Inventory[[#This Row],[UpprFn]]+Inventory[[#This Row],[FnBsmt]]+Inventory[[#This Row],[AddFn]]</f>
        <v>5076</v>
      </c>
      <c r="Z1633" s="27">
        <v>5000</v>
      </c>
      <c r="AA1633" s="25">
        <v>13</v>
      </c>
      <c r="AB1633" s="27"/>
      <c r="AC1633" s="27"/>
      <c r="AD1633" s="27"/>
      <c r="AE1633" s="27"/>
      <c r="AF1633" s="27"/>
      <c r="AG1633" s="27"/>
      <c r="AH1633" s="27"/>
      <c r="AI1633" s="25">
        <v>828982</v>
      </c>
      <c r="AJ1633" s="25">
        <v>571998</v>
      </c>
      <c r="AK1633" s="25">
        <v>31790</v>
      </c>
      <c r="AL1633" s="25">
        <v>560400</v>
      </c>
      <c r="AM1633" s="25">
        <v>72500</v>
      </c>
      <c r="AN1633" s="25">
        <v>487900</v>
      </c>
      <c r="AO1633" s="25">
        <v>0</v>
      </c>
      <c r="AP1633" s="25">
        <f>Lookups!$B$56*0</f>
        <v>0</v>
      </c>
      <c r="AQ1633" s="25">
        <f>Lookups!$B$56*1</f>
        <v>89850.625589999996</v>
      </c>
      <c r="AR1633" s="25">
        <f>Lookups!$B$57*Inventory[[#This Row],[LnAcres]]</f>
        <v>-38111.29648355169</v>
      </c>
      <c r="AS1633" s="25">
        <f>VLOOKUP(Inventory[[#This Row],[Qlty]],Lookups!$A$62:$E$75,2,FALSE)</f>
        <v>44121.038090000002</v>
      </c>
      <c r="AT1633" s="25">
        <f>VLOOKUP(Inventory[[#This Row],[Cnd]],Lookups!$A$76:$E$84,2,FALSE)</f>
        <v>197752.34721000001</v>
      </c>
      <c r="AU1633" s="25">
        <f>Inventory[[#This Row],[EffAge]]*Lookups!$B$85</f>
        <v>-11821.416826500001</v>
      </c>
      <c r="AV1633" s="25">
        <f>Inventory[[#This Row],[MainFn]]*Lookups!$B$86</f>
        <v>93085.934048267998</v>
      </c>
      <c r="AW1633" s="25">
        <f>Inventory[[#This Row],[UpprFn]]*Lookups!$B$87</f>
        <v>71479.130886155996</v>
      </c>
      <c r="AX1633" s="25">
        <f>Inventory[[#This Row],[AddFn]]*Lookups!$B$88</f>
        <v>0</v>
      </c>
      <c r="AY1633" s="25">
        <f>Inventory[[#This Row],[Bsmt]]*Lookups!$B$89</f>
        <v>46414.704814211997</v>
      </c>
      <c r="AZ1633" s="25">
        <f>Inventory[[#This Row],[Fixtures]]*Lookups!$B$90</f>
        <v>49296.287367600002</v>
      </c>
      <c r="BA1633" s="25">
        <f>Inventory[[#This Row],[WdDeck]]*Lookups!$B$91</f>
        <v>0</v>
      </c>
      <c r="BB1633" s="25">
        <f>ROUND(Inventory[[#This Row],[25Det]],-2)</f>
        <v>31800</v>
      </c>
      <c r="BC1633" s="25">
        <f>ROUND(SUM(Inventory[[#This Row],[Mdl Qlty]:[Mdl WdDeck]])+Inventory[[#This Row],[Mdl Res Intercept]],-2)</f>
        <v>490300</v>
      </c>
      <c r="BD1633" s="25">
        <f>ROUND(Inventory[[#This Row],[Mdl Land Intercept]]+Inventory[[#This Row],[Mdl LnAcres]],-2)</f>
        <v>51700</v>
      </c>
      <c r="BE1633" s="25">
        <f>Inventory[[#This Row],[Unadj Res Value]]+Inventory[[#This Row],[Unadj Det Value]]+Inventory[[#This Row],[Unadj Land Value]]</f>
        <v>573800</v>
      </c>
      <c r="BF1633" s="36">
        <f>(Inventory[[#This Row],[Unadj Total Value]]-Inventory[[#This Row],[24Final]])/Inventory[[#This Row],[24Final]]</f>
        <v>2.3911491791577446E-2</v>
      </c>
      <c r="BG1633" s="25">
        <f>VLOOKUP(Inventory[[#This Row],[Nbhd]],Lookups!$Q$2:$T$4,4,FALSE)</f>
        <v>0.99970000000000003</v>
      </c>
      <c r="BH1633" s="25">
        <f>VLOOKUP(Inventory[[#This Row],[Qlty]],Lookups!$O$7:$R$21,4,FALSE)</f>
        <v>0.98050000000000004</v>
      </c>
      <c r="BI1633" s="25">
        <f>VLOOKUP(Inventory[[#This Row],[Cnd]],Lookups!$T$7:$W$16,4,FALSE)</f>
        <v>0.99650000000000005</v>
      </c>
      <c r="BJ1633" s="25">
        <f>VLOOKUP(Inventory[[#This Row],[LivArea Range]],Lookups!$T$25:$W$37,4,FALSE)</f>
        <v>1</v>
      </c>
      <c r="BK1633" s="25">
        <f>VLOOKUP(Inventory[[#This Row],[Decade]],Lookups!$O$25:$R$42,4,FALSE)</f>
        <v>0.98909999999999998</v>
      </c>
      <c r="BL1633" s="25">
        <f>Inventory[[#This Row],[Nbhd Adj]]*0.95</f>
        <v>0.94971499999999998</v>
      </c>
      <c r="BM1633" s="25">
        <f>Inventory[[#This Row],[Nbhd Adj]]*Inventory[[#This Row],[Quality Adj]]*Inventory[[#This Row],[Condition Adj]]*Inventory[[#This Row],[Living Area Adj]]*Inventory[[#This Row],[Decade Adj]]*0.95</f>
        <v>0.91782186658251863</v>
      </c>
      <c r="BN1633" s="25">
        <f>ROUND(SUM(Inventory[[#This Row],[Mdl Qlty]:[Mdl WdDeck]])+Inventory[[#This Row],[Mdl Res Intercept]]*Inventory[[#This Row],[Res Adj ]],-2)</f>
        <v>490300</v>
      </c>
      <c r="BO1633" s="25">
        <f>ROUND(Inventory[[#This Row],[25Det]]*Inventory[[#This Row],[Det/Nbhd Adj]],-2)</f>
        <v>30200</v>
      </c>
      <c r="BP1633" s="25">
        <f>Inventory[[#This Row],[Adjusted Res]]+Inventory[[#This Row],[Adj Det ]]</f>
        <v>520500</v>
      </c>
      <c r="BQ1633" s="25">
        <f>ROUND((Inventory[[#This Row],[Mdl Land Intercept]]+Inventory[[#This Row],[Mdl LnAcres]])*Inventory[[#This Row],[Det/Nbhd Adj]],-2)</f>
        <v>49100</v>
      </c>
      <c r="BR1633" s="25">
        <f>Inventory[[#This Row],[Adjusted Impr Total]]+Inventory[[#This Row],[Adjusted Land Total]]</f>
        <v>569600</v>
      </c>
      <c r="BS1633" s="36">
        <f>IFERROR((Inventory[[#This Row],[Adjusted Impr Total]]-Inventory[[#This Row],[24Bldg]])/Inventory[[#This Row],[24Bldg]],0)</f>
        <v>6.6816970690715308E-2</v>
      </c>
      <c r="BT1633" s="36">
        <f>(Inventory[[#This Row],[Adjusted Land Total]]-Inventory[[#This Row],[24Lnd]])/Inventory[[#This Row],[24Lnd]]</f>
        <v>-0.32275862068965516</v>
      </c>
      <c r="BU1633" s="36">
        <f>(Inventory[[#This Row],[Adjusted Total]]-Inventory[[#This Row],[24Final]])/Inventory[[#This Row],[24Final]]</f>
        <v>1.6416845110635261E-2</v>
      </c>
    </row>
    <row r="1634" spans="1:73" x14ac:dyDescent="0.3">
      <c r="A1634" s="25">
        <v>2025</v>
      </c>
      <c r="B1634" s="26" t="s">
        <v>1147</v>
      </c>
      <c r="C1634" s="26">
        <f>LN(Inventory[[#This Row],[Acres]])</f>
        <v>-1.8971199848858813</v>
      </c>
      <c r="D1634" s="25">
        <v>0.15</v>
      </c>
      <c r="E1634" s="27"/>
      <c r="F1634" s="26" t="s">
        <v>537</v>
      </c>
      <c r="G1634" s="26" t="s">
        <v>126</v>
      </c>
      <c r="H1634" s="26" t="s">
        <v>349</v>
      </c>
      <c r="I1634" s="26" t="s">
        <v>538</v>
      </c>
      <c r="J1634" s="26" t="s">
        <v>539</v>
      </c>
      <c r="K1634" s="26" t="s">
        <v>269</v>
      </c>
      <c r="L1634" s="26" t="s">
        <v>351</v>
      </c>
      <c r="M1634" s="26" t="s">
        <v>323</v>
      </c>
      <c r="N1634" s="26">
        <v>90</v>
      </c>
      <c r="O1634" s="26">
        <f>2024-Inventory[[#This Row],[YrBlt]]</f>
        <v>89</v>
      </c>
      <c r="P1634" s="26">
        <f>2024-Inventory[[#This Row],[EffYr]]</f>
        <v>53</v>
      </c>
      <c r="Q1634" s="25">
        <v>1935</v>
      </c>
      <c r="R1634" s="25">
        <v>1971</v>
      </c>
      <c r="S1634" s="25">
        <v>1306</v>
      </c>
      <c r="T1634" s="27"/>
      <c r="U1634" s="25">
        <v>976</v>
      </c>
      <c r="V1634" s="25">
        <f>Inventory[[#This Row],[Bsmt]]-Inventory[[#This Row],[FnBsmt]]</f>
        <v>0</v>
      </c>
      <c r="W1634" s="25">
        <v>976</v>
      </c>
      <c r="X1634" s="27"/>
      <c r="Y1634" s="27">
        <f>Inventory[[#This Row],[MainFn]]+Inventory[[#This Row],[UpprFn]]+Inventory[[#This Row],[FnBsmt]]+Inventory[[#This Row],[AddFn]]</f>
        <v>2282</v>
      </c>
      <c r="Z1634" s="27">
        <v>2500</v>
      </c>
      <c r="AA1634" s="25">
        <v>5</v>
      </c>
      <c r="AB1634" s="27"/>
      <c r="AC1634" s="27"/>
      <c r="AD1634" s="27"/>
      <c r="AE1634" s="27"/>
      <c r="AF1634" s="27"/>
      <c r="AG1634" s="27"/>
      <c r="AH1634" s="27"/>
      <c r="AI1634" s="25">
        <v>299515</v>
      </c>
      <c r="AJ1634" s="25">
        <v>200675</v>
      </c>
      <c r="AK1634" s="25">
        <v>9121</v>
      </c>
      <c r="AL1634" s="25">
        <v>314000</v>
      </c>
      <c r="AM1634" s="25">
        <v>48400</v>
      </c>
      <c r="AN1634" s="25">
        <v>265600</v>
      </c>
      <c r="AO1634" s="25">
        <v>0</v>
      </c>
      <c r="AP1634" s="25">
        <f>Lookups!$B$56*0</f>
        <v>0</v>
      </c>
      <c r="AQ1634" s="25">
        <f>Lookups!$B$56*1</f>
        <v>89850.625589999996</v>
      </c>
      <c r="AR1634" s="25">
        <f>Lookups!$B$57*Inventory[[#This Row],[LnAcres]]</f>
        <v>-60052.604136134301</v>
      </c>
      <c r="AS1634" s="25">
        <f>VLOOKUP(Inventory[[#This Row],[Qlty]],Lookups!$A$62:$E$75,2,FALSE)</f>
        <v>21557.329055999999</v>
      </c>
      <c r="AT1634" s="25">
        <f>VLOOKUP(Inventory[[#This Row],[Cnd]],Lookups!$A$76:$E$84,2,FALSE)</f>
        <v>160472.20319</v>
      </c>
      <c r="AU1634" s="25">
        <f>Inventory[[#This Row],[EffAge]]*Lookups!$B$85</f>
        <v>-11821.416826500001</v>
      </c>
      <c r="AV1634" s="25">
        <f>Inventory[[#This Row],[MainFn]]*Lookups!$B$86</f>
        <v>64527.722859362002</v>
      </c>
      <c r="AW1634" s="25">
        <f>Inventory[[#This Row],[UpprFn]]*Lookups!$B$87</f>
        <v>0</v>
      </c>
      <c r="AX1634" s="25">
        <f>Inventory[[#This Row],[AddFn]]*Lookups!$B$88</f>
        <v>0</v>
      </c>
      <c r="AY1634" s="25">
        <f>Inventory[[#This Row],[Bsmt]]*Lookups!$B$89</f>
        <v>28383.929761071999</v>
      </c>
      <c r="AZ1634" s="25">
        <f>Inventory[[#This Row],[Fixtures]]*Lookups!$B$90</f>
        <v>18960.110526</v>
      </c>
      <c r="BA1634" s="25">
        <f>Inventory[[#This Row],[WdDeck]]*Lookups!$B$91</f>
        <v>0</v>
      </c>
      <c r="BB1634" s="25">
        <f>ROUND(Inventory[[#This Row],[25Det]],-2)</f>
        <v>9100</v>
      </c>
      <c r="BC1634" s="25">
        <f>ROUND(SUM(Inventory[[#This Row],[Mdl Qlty]:[Mdl WdDeck]])+Inventory[[#This Row],[Mdl Res Intercept]],-2)</f>
        <v>282100</v>
      </c>
      <c r="BD1634" s="25">
        <f>ROUND(Inventory[[#This Row],[Mdl Land Intercept]]+Inventory[[#This Row],[Mdl LnAcres]],-2)</f>
        <v>29800</v>
      </c>
      <c r="BE1634" s="25">
        <f>Inventory[[#This Row],[Unadj Res Value]]+Inventory[[#This Row],[Unadj Det Value]]+Inventory[[#This Row],[Unadj Land Value]]</f>
        <v>321000</v>
      </c>
      <c r="BF1634" s="36">
        <f>(Inventory[[#This Row],[Unadj Total Value]]-Inventory[[#This Row],[24Final]])/Inventory[[#This Row],[24Final]]</f>
        <v>2.2292993630573247E-2</v>
      </c>
      <c r="BG1634" s="25">
        <f>VLOOKUP(Inventory[[#This Row],[Nbhd]],Lookups!$Q$2:$T$4,4,FALSE)</f>
        <v>0.99970000000000003</v>
      </c>
      <c r="BH1634" s="25">
        <f>VLOOKUP(Inventory[[#This Row],[Qlty]],Lookups!$O$7:$R$21,4,FALSE)</f>
        <v>1.0067999999999999</v>
      </c>
      <c r="BI1634" s="25">
        <f>VLOOKUP(Inventory[[#This Row],[Cnd]],Lookups!$T$7:$W$16,4,FALSE)</f>
        <v>0.99729999999999996</v>
      </c>
      <c r="BJ1634" s="25">
        <f>VLOOKUP(Inventory[[#This Row],[LivArea Range]],Lookups!$T$25:$W$37,4,FALSE)</f>
        <v>0.98919999999999997</v>
      </c>
      <c r="BK1634" s="25">
        <f>VLOOKUP(Inventory[[#This Row],[Decade]],Lookups!$O$25:$R$42,4,FALSE)</f>
        <v>0.98909999999999998</v>
      </c>
      <c r="BL1634" s="25">
        <f>Inventory[[#This Row],[Nbhd Adj]]*0.95</f>
        <v>0.94971499999999998</v>
      </c>
      <c r="BM1634" s="25">
        <f>Inventory[[#This Row],[Nbhd Adj]]*Inventory[[#This Row],[Quality Adj]]*Inventory[[#This Row],[Condition Adj]]*Inventory[[#This Row],[Living Area Adj]]*Inventory[[#This Row],[Decade Adj]]*0.95</f>
        <v>0.93301071824589021</v>
      </c>
      <c r="BN1634" s="25">
        <f>ROUND(SUM(Inventory[[#This Row],[Mdl Qlty]:[Mdl WdDeck]])+Inventory[[#This Row],[Mdl Res Intercept]]*Inventory[[#This Row],[Res Adj ]],-2)</f>
        <v>282100</v>
      </c>
      <c r="BO1634" s="25">
        <f>ROUND(Inventory[[#This Row],[25Det]]*Inventory[[#This Row],[Det/Nbhd Adj]],-2)</f>
        <v>8700</v>
      </c>
      <c r="BP1634" s="25">
        <f>Inventory[[#This Row],[Adjusted Res]]+Inventory[[#This Row],[Adj Det ]]</f>
        <v>290800</v>
      </c>
      <c r="BQ1634" s="25">
        <f>ROUND((Inventory[[#This Row],[Mdl Land Intercept]]+Inventory[[#This Row],[Mdl LnAcres]])*Inventory[[#This Row],[Det/Nbhd Adj]],-2)</f>
        <v>28300</v>
      </c>
      <c r="BR1634" s="25">
        <f>Inventory[[#This Row],[Adjusted Impr Total]]+Inventory[[#This Row],[Adjusted Land Total]]</f>
        <v>319100</v>
      </c>
      <c r="BS1634" s="36">
        <f>IFERROR((Inventory[[#This Row],[Adjusted Impr Total]]-Inventory[[#This Row],[24Bldg]])/Inventory[[#This Row],[24Bldg]],0)</f>
        <v>9.4879518072289157E-2</v>
      </c>
      <c r="BT1634" s="36">
        <f>(Inventory[[#This Row],[Adjusted Land Total]]-Inventory[[#This Row],[24Lnd]])/Inventory[[#This Row],[24Lnd]]</f>
        <v>-0.41528925619834711</v>
      </c>
      <c r="BU1634" s="36">
        <f>(Inventory[[#This Row],[Adjusted Total]]-Inventory[[#This Row],[24Final]])/Inventory[[#This Row],[24Final]]</f>
        <v>1.6242038216560509E-2</v>
      </c>
    </row>
    <row r="1635" spans="1:73" x14ac:dyDescent="0.3">
      <c r="A1635" s="25">
        <v>2025</v>
      </c>
      <c r="B1635" s="26" t="s">
        <v>2397</v>
      </c>
      <c r="C1635" s="26">
        <f>LN(Inventory[[#This Row],[Acres]])</f>
        <v>-0.75502258427803282</v>
      </c>
      <c r="D1635" s="25">
        <v>0.47</v>
      </c>
      <c r="E1635" s="27"/>
      <c r="F1635" s="26" t="s">
        <v>537</v>
      </c>
      <c r="G1635" s="26" t="s">
        <v>126</v>
      </c>
      <c r="H1635" s="26" t="s">
        <v>349</v>
      </c>
      <c r="I1635" s="26" t="s">
        <v>538</v>
      </c>
      <c r="J1635" s="26" t="s">
        <v>539</v>
      </c>
      <c r="K1635" s="26" t="s">
        <v>147</v>
      </c>
      <c r="L1635" s="26" t="s">
        <v>302</v>
      </c>
      <c r="M1635" s="26" t="s">
        <v>323</v>
      </c>
      <c r="N1635" s="26">
        <v>90</v>
      </c>
      <c r="O1635" s="26">
        <f>2024-Inventory[[#This Row],[YrBlt]]</f>
        <v>89</v>
      </c>
      <c r="P1635" s="26">
        <f>2024-Inventory[[#This Row],[EffYr]]</f>
        <v>49</v>
      </c>
      <c r="Q1635" s="25">
        <v>1935</v>
      </c>
      <c r="R1635" s="25">
        <v>1975</v>
      </c>
      <c r="S1635" s="25">
        <v>1341</v>
      </c>
      <c r="T1635" s="32">
        <v>421</v>
      </c>
      <c r="U1635" s="25">
        <v>845</v>
      </c>
      <c r="V1635" s="25">
        <f>Inventory[[#This Row],[Bsmt]]-Inventory[[#This Row],[FnBsmt]]</f>
        <v>13</v>
      </c>
      <c r="W1635" s="25">
        <v>832</v>
      </c>
      <c r="X1635" s="27"/>
      <c r="Y1635" s="27">
        <f>Inventory[[#This Row],[MainFn]]+Inventory[[#This Row],[UpprFn]]+Inventory[[#This Row],[FnBsmt]]+Inventory[[#This Row],[AddFn]]</f>
        <v>2594</v>
      </c>
      <c r="Z1635" s="27">
        <v>3000</v>
      </c>
      <c r="AA1635" s="25">
        <v>10</v>
      </c>
      <c r="AB1635" s="27"/>
      <c r="AC1635" s="27"/>
      <c r="AD1635" s="32">
        <v>84</v>
      </c>
      <c r="AE1635" s="27"/>
      <c r="AF1635" s="27"/>
      <c r="AG1635" s="27"/>
      <c r="AH1635" s="27"/>
      <c r="AI1635" s="25">
        <v>389122</v>
      </c>
      <c r="AJ1635" s="25">
        <v>276277</v>
      </c>
      <c r="AK1635" s="25">
        <v>11351</v>
      </c>
      <c r="AL1635" s="25">
        <v>398000</v>
      </c>
      <c r="AM1635" s="25">
        <v>88200</v>
      </c>
      <c r="AN1635" s="25">
        <v>309800</v>
      </c>
      <c r="AO1635" s="25">
        <v>0</v>
      </c>
      <c r="AP1635" s="25">
        <f>Lookups!$B$56*0</f>
        <v>0</v>
      </c>
      <c r="AQ1635" s="25">
        <f>Lookups!$B$56*1</f>
        <v>89850.625589999996</v>
      </c>
      <c r="AR1635" s="25">
        <f>Lookups!$B$57*Inventory[[#This Row],[LnAcres]]</f>
        <v>-23899.949781097919</v>
      </c>
      <c r="AS1635" s="25">
        <f>VLOOKUP(Inventory[[#This Row],[Qlty]],Lookups!$A$62:$E$75,2,FALSE)</f>
        <v>29814.093161000001</v>
      </c>
      <c r="AT1635" s="25">
        <f>VLOOKUP(Inventory[[#This Row],[Cnd]],Lookups!$A$76:$E$84,2,FALSE)</f>
        <v>160472.20319</v>
      </c>
      <c r="AU1635" s="25">
        <f>Inventory[[#This Row],[EffAge]]*Lookups!$B$85</f>
        <v>-10929.2344245</v>
      </c>
      <c r="AV1635" s="25">
        <f>Inventory[[#This Row],[MainFn]]*Lookups!$B$86</f>
        <v>66257.026305057007</v>
      </c>
      <c r="AW1635" s="25">
        <f>Inventory[[#This Row],[UpprFn]]*Lookups!$B$87</f>
        <v>18855.084024480999</v>
      </c>
      <c r="AX1635" s="25">
        <f>Inventory[[#This Row],[AddFn]]*Lookups!$B$88</f>
        <v>0</v>
      </c>
      <c r="AY1635" s="25">
        <f>Inventory[[#This Row],[Bsmt]]*Lookups!$B$89</f>
        <v>24574.201483714998</v>
      </c>
      <c r="AZ1635" s="25">
        <f>Inventory[[#This Row],[Fixtures]]*Lookups!$B$90</f>
        <v>37920.221052000001</v>
      </c>
      <c r="BA1635" s="25">
        <f>Inventory[[#This Row],[WdDeck]]*Lookups!$B$91</f>
        <v>2796.8232831840005</v>
      </c>
      <c r="BB1635" s="25">
        <f>ROUND(Inventory[[#This Row],[25Det]],-2)</f>
        <v>11400</v>
      </c>
      <c r="BC1635" s="25">
        <f>ROUND(SUM(Inventory[[#This Row],[Mdl Qlty]:[Mdl WdDeck]])+Inventory[[#This Row],[Mdl Res Intercept]],-2)</f>
        <v>329800</v>
      </c>
      <c r="BD1635" s="25">
        <f>ROUND(Inventory[[#This Row],[Mdl Land Intercept]]+Inventory[[#This Row],[Mdl LnAcres]],-2)</f>
        <v>66000</v>
      </c>
      <c r="BE1635" s="25">
        <f>Inventory[[#This Row],[Unadj Res Value]]+Inventory[[#This Row],[Unadj Det Value]]+Inventory[[#This Row],[Unadj Land Value]]</f>
        <v>407200</v>
      </c>
      <c r="BF1635" s="36">
        <f>(Inventory[[#This Row],[Unadj Total Value]]-Inventory[[#This Row],[24Final]])/Inventory[[#This Row],[24Final]]</f>
        <v>2.3115577889447236E-2</v>
      </c>
      <c r="BG1635" s="25">
        <f>VLOOKUP(Inventory[[#This Row],[Nbhd]],Lookups!$Q$2:$T$4,4,FALSE)</f>
        <v>0.99970000000000003</v>
      </c>
      <c r="BH1635" s="25">
        <f>VLOOKUP(Inventory[[#This Row],[Qlty]],Lookups!$O$7:$R$21,4,FALSE)</f>
        <v>1.0088999999999999</v>
      </c>
      <c r="BI1635" s="25">
        <f>VLOOKUP(Inventory[[#This Row],[Cnd]],Lookups!$T$7:$W$16,4,FALSE)</f>
        <v>0.99729999999999996</v>
      </c>
      <c r="BJ1635" s="25">
        <f>VLOOKUP(Inventory[[#This Row],[LivArea Range]],Lookups!$T$25:$W$37,4,FALSE)</f>
        <v>0.96179999999999999</v>
      </c>
      <c r="BK1635" s="25">
        <f>VLOOKUP(Inventory[[#This Row],[Decade]],Lookups!$O$25:$R$42,4,FALSE)</f>
        <v>0.98909999999999998</v>
      </c>
      <c r="BL1635" s="25">
        <f>Inventory[[#This Row],[Nbhd Adj]]*0.95</f>
        <v>0.94971499999999998</v>
      </c>
      <c r="BM1635" s="25">
        <f>Inventory[[#This Row],[Nbhd Adj]]*Inventory[[#This Row],[Quality Adj]]*Inventory[[#This Row],[Condition Adj]]*Inventory[[#This Row],[Living Area Adj]]*Inventory[[#This Row],[Decade Adj]]*0.95</f>
        <v>0.90905929772301342</v>
      </c>
      <c r="BN1635" s="25">
        <f>ROUND(SUM(Inventory[[#This Row],[Mdl Qlty]:[Mdl WdDeck]])+Inventory[[#This Row],[Mdl Res Intercept]]*Inventory[[#This Row],[Res Adj ]],-2)</f>
        <v>329800</v>
      </c>
      <c r="BO1635" s="25">
        <f>ROUND(Inventory[[#This Row],[25Det]]*Inventory[[#This Row],[Det/Nbhd Adj]],-2)</f>
        <v>10800</v>
      </c>
      <c r="BP1635" s="25">
        <f>Inventory[[#This Row],[Adjusted Res]]+Inventory[[#This Row],[Adj Det ]]</f>
        <v>340600</v>
      </c>
      <c r="BQ1635" s="25">
        <f>ROUND((Inventory[[#This Row],[Mdl Land Intercept]]+Inventory[[#This Row],[Mdl LnAcres]])*Inventory[[#This Row],[Det/Nbhd Adj]],-2)</f>
        <v>62600</v>
      </c>
      <c r="BR1635" s="25">
        <f>Inventory[[#This Row],[Adjusted Impr Total]]+Inventory[[#This Row],[Adjusted Land Total]]</f>
        <v>403200</v>
      </c>
      <c r="BS1635" s="36">
        <f>IFERROR((Inventory[[#This Row],[Adjusted Impr Total]]-Inventory[[#This Row],[24Bldg]])/Inventory[[#This Row],[24Bldg]],0)</f>
        <v>9.9418979987088443E-2</v>
      </c>
      <c r="BT1635" s="36">
        <f>(Inventory[[#This Row],[Adjusted Land Total]]-Inventory[[#This Row],[24Lnd]])/Inventory[[#This Row],[24Lnd]]</f>
        <v>-0.29024943310657597</v>
      </c>
      <c r="BU1635" s="36">
        <f>(Inventory[[#This Row],[Adjusted Total]]-Inventory[[#This Row],[24Final]])/Inventory[[#This Row],[24Final]]</f>
        <v>1.3065326633165829E-2</v>
      </c>
    </row>
    <row r="1636" spans="1:73" x14ac:dyDescent="0.3">
      <c r="A1636" s="25">
        <v>2025</v>
      </c>
      <c r="B1636" s="26" t="s">
        <v>1026</v>
      </c>
      <c r="C1636" s="26">
        <f>LN(Inventory[[#This Row],[Acres]])</f>
        <v>-1.8971199848858813</v>
      </c>
      <c r="D1636" s="25">
        <v>0.15</v>
      </c>
      <c r="E1636" s="27"/>
      <c r="F1636" s="26" t="s">
        <v>537</v>
      </c>
      <c r="G1636" s="26" t="s">
        <v>126</v>
      </c>
      <c r="H1636" s="26" t="s">
        <v>349</v>
      </c>
      <c r="I1636" s="26" t="s">
        <v>538</v>
      </c>
      <c r="J1636" s="26" t="s">
        <v>539</v>
      </c>
      <c r="K1636" s="26" t="s">
        <v>242</v>
      </c>
      <c r="L1636" s="26" t="s">
        <v>302</v>
      </c>
      <c r="M1636" s="26" t="s">
        <v>323</v>
      </c>
      <c r="N1636" s="26">
        <v>90</v>
      </c>
      <c r="O1636" s="26">
        <f>2024-Inventory[[#This Row],[YrBlt]]</f>
        <v>89</v>
      </c>
      <c r="P1636" s="26">
        <f>2024-Inventory[[#This Row],[EffYr]]</f>
        <v>53</v>
      </c>
      <c r="Q1636" s="25">
        <v>1935</v>
      </c>
      <c r="R1636" s="25">
        <v>1971</v>
      </c>
      <c r="S1636" s="25">
        <v>1443</v>
      </c>
      <c r="T1636" s="27"/>
      <c r="U1636" s="25">
        <v>859</v>
      </c>
      <c r="V1636" s="32">
        <f>Inventory[[#This Row],[Bsmt]]-Inventory[[#This Row],[FnBsmt]]</f>
        <v>0</v>
      </c>
      <c r="W1636" s="32">
        <v>859</v>
      </c>
      <c r="X1636" s="27"/>
      <c r="Y1636" s="27">
        <f>Inventory[[#This Row],[MainFn]]+Inventory[[#This Row],[UpprFn]]+Inventory[[#This Row],[FnBsmt]]+Inventory[[#This Row],[AddFn]]</f>
        <v>2302</v>
      </c>
      <c r="Z1636" s="27">
        <v>2500</v>
      </c>
      <c r="AA1636" s="25">
        <v>10</v>
      </c>
      <c r="AB1636" s="27"/>
      <c r="AC1636" s="27"/>
      <c r="AD1636" s="27"/>
      <c r="AE1636" s="27"/>
      <c r="AF1636" s="27"/>
      <c r="AG1636" s="27"/>
      <c r="AH1636" s="27"/>
      <c r="AI1636" s="25">
        <v>347902</v>
      </c>
      <c r="AJ1636" s="25">
        <v>233094</v>
      </c>
      <c r="AK1636" s="25">
        <v>5909</v>
      </c>
      <c r="AL1636" s="25">
        <v>342900</v>
      </c>
      <c r="AM1636" s="25">
        <v>48400</v>
      </c>
      <c r="AN1636" s="25">
        <v>294500</v>
      </c>
      <c r="AO1636" s="25">
        <v>0</v>
      </c>
      <c r="AP1636" s="25">
        <f>Lookups!$B$56*0</f>
        <v>0</v>
      </c>
      <c r="AQ1636" s="25">
        <f>Lookups!$B$56*1</f>
        <v>89850.625589999996</v>
      </c>
      <c r="AR1636" s="25">
        <f>Lookups!$B$57*Inventory[[#This Row],[LnAcres]]</f>
        <v>-60052.604136134301</v>
      </c>
      <c r="AS1636" s="25">
        <f>VLOOKUP(Inventory[[#This Row],[Qlty]],Lookups!$A$62:$E$75,2,FALSE)</f>
        <v>29814.093161000001</v>
      </c>
      <c r="AT1636" s="25">
        <f>VLOOKUP(Inventory[[#This Row],[Cnd]],Lookups!$A$76:$E$84,2,FALSE)</f>
        <v>160472.20319</v>
      </c>
      <c r="AU1636" s="25">
        <f>Inventory[[#This Row],[EffAge]]*Lookups!$B$85</f>
        <v>-11821.416826500001</v>
      </c>
      <c r="AV1636" s="25">
        <f>Inventory[[#This Row],[MainFn]]*Lookups!$B$86</f>
        <v>71296.710632511007</v>
      </c>
      <c r="AW1636" s="25">
        <f>Inventory[[#This Row],[UpprFn]]*Lookups!$B$87</f>
        <v>0</v>
      </c>
      <c r="AX1636" s="25">
        <f>Inventory[[#This Row],[AddFn]]*Lookups!$B$88</f>
        <v>0</v>
      </c>
      <c r="AY1636" s="25">
        <f>Inventory[[#This Row],[Bsmt]]*Lookups!$B$89</f>
        <v>24981.348017172997</v>
      </c>
      <c r="AZ1636" s="25">
        <f>Inventory[[#This Row],[Fixtures]]*Lookups!$B$90</f>
        <v>37920.221052000001</v>
      </c>
      <c r="BA1636" s="25">
        <f>Inventory[[#This Row],[WdDeck]]*Lookups!$B$91</f>
        <v>0</v>
      </c>
      <c r="BB1636" s="25">
        <f>ROUND(Inventory[[#This Row],[25Det]],-2)</f>
        <v>5900</v>
      </c>
      <c r="BC1636" s="25">
        <f>ROUND(SUM(Inventory[[#This Row],[Mdl Qlty]:[Mdl WdDeck]])+Inventory[[#This Row],[Mdl Res Intercept]],-2)</f>
        <v>312700</v>
      </c>
      <c r="BD1636" s="25">
        <f>ROUND(Inventory[[#This Row],[Mdl Land Intercept]]+Inventory[[#This Row],[Mdl LnAcres]],-2)</f>
        <v>29800</v>
      </c>
      <c r="BE1636" s="25">
        <f>Inventory[[#This Row],[Unadj Res Value]]+Inventory[[#This Row],[Unadj Det Value]]+Inventory[[#This Row],[Unadj Land Value]]</f>
        <v>348400</v>
      </c>
      <c r="BF1636" s="36">
        <f>(Inventory[[#This Row],[Unadj Total Value]]-Inventory[[#This Row],[24Final]])/Inventory[[#This Row],[24Final]]</f>
        <v>1.6039661708953049E-2</v>
      </c>
      <c r="BG1636" s="25">
        <f>VLOOKUP(Inventory[[#This Row],[Nbhd]],Lookups!$Q$2:$T$4,4,FALSE)</f>
        <v>0.99970000000000003</v>
      </c>
      <c r="BH1636" s="25">
        <f>VLOOKUP(Inventory[[#This Row],[Qlty]],Lookups!$O$7:$R$21,4,FALSE)</f>
        <v>1.0088999999999999</v>
      </c>
      <c r="BI1636" s="25">
        <f>VLOOKUP(Inventory[[#This Row],[Cnd]],Lookups!$T$7:$W$16,4,FALSE)</f>
        <v>0.99729999999999996</v>
      </c>
      <c r="BJ1636" s="25">
        <f>VLOOKUP(Inventory[[#This Row],[LivArea Range]],Lookups!$T$25:$W$37,4,FALSE)</f>
        <v>0.98919999999999997</v>
      </c>
      <c r="BK1636" s="25">
        <f>VLOOKUP(Inventory[[#This Row],[Decade]],Lookups!$O$25:$R$42,4,FALSE)</f>
        <v>0.98909999999999998</v>
      </c>
      <c r="BL1636" s="25">
        <f>Inventory[[#This Row],[Nbhd Adj]]*0.95</f>
        <v>0.94971499999999998</v>
      </c>
      <c r="BM1636" s="25">
        <f>Inventory[[#This Row],[Nbhd Adj]]*Inventory[[#This Row],[Quality Adj]]*Inventory[[#This Row],[Condition Adj]]*Inventory[[#This Row],[Living Area Adj]]*Inventory[[#This Row],[Decade Adj]]*0.95</f>
        <v>0.93495680734831033</v>
      </c>
      <c r="BN1636" s="25">
        <f>ROUND(SUM(Inventory[[#This Row],[Mdl Qlty]:[Mdl WdDeck]])+Inventory[[#This Row],[Mdl Res Intercept]]*Inventory[[#This Row],[Res Adj ]],-2)</f>
        <v>312700</v>
      </c>
      <c r="BO1636" s="25">
        <f>ROUND(Inventory[[#This Row],[25Det]]*Inventory[[#This Row],[Det/Nbhd Adj]],-2)</f>
        <v>5600</v>
      </c>
      <c r="BP1636" s="25">
        <f>Inventory[[#This Row],[Adjusted Res]]+Inventory[[#This Row],[Adj Det ]]</f>
        <v>318300</v>
      </c>
      <c r="BQ1636" s="25">
        <f>ROUND((Inventory[[#This Row],[Mdl Land Intercept]]+Inventory[[#This Row],[Mdl LnAcres]])*Inventory[[#This Row],[Det/Nbhd Adj]],-2)</f>
        <v>28300</v>
      </c>
      <c r="BR1636" s="25">
        <f>Inventory[[#This Row],[Adjusted Impr Total]]+Inventory[[#This Row],[Adjusted Land Total]]</f>
        <v>346600</v>
      </c>
      <c r="BS1636" s="36">
        <f>IFERROR((Inventory[[#This Row],[Adjusted Impr Total]]-Inventory[[#This Row],[24Bldg]])/Inventory[[#This Row],[24Bldg]],0)</f>
        <v>8.0814940577249569E-2</v>
      </c>
      <c r="BT1636" s="36">
        <f>(Inventory[[#This Row],[Adjusted Land Total]]-Inventory[[#This Row],[24Lnd]])/Inventory[[#This Row],[24Lnd]]</f>
        <v>-0.41528925619834711</v>
      </c>
      <c r="BU1636" s="36">
        <f>(Inventory[[#This Row],[Adjusted Total]]-Inventory[[#This Row],[24Final]])/Inventory[[#This Row],[24Final]]</f>
        <v>1.079031787693205E-2</v>
      </c>
    </row>
    <row r="1637" spans="1:73" x14ac:dyDescent="0.3">
      <c r="A1637" s="25">
        <v>2025</v>
      </c>
      <c r="B1637" s="26" t="s">
        <v>2459</v>
      </c>
      <c r="C1637" s="26">
        <f>LN(Inventory[[#This Row],[Acres]])</f>
        <v>-1.5606477482646683</v>
      </c>
      <c r="D1637" s="25">
        <v>0.21</v>
      </c>
      <c r="E1637" s="27"/>
      <c r="F1637" s="26" t="s">
        <v>537</v>
      </c>
      <c r="G1637" s="26" t="s">
        <v>126</v>
      </c>
      <c r="H1637" s="26" t="s">
        <v>349</v>
      </c>
      <c r="I1637" s="26" t="s">
        <v>538</v>
      </c>
      <c r="J1637" s="26" t="s">
        <v>539</v>
      </c>
      <c r="K1637" s="26" t="s">
        <v>242</v>
      </c>
      <c r="L1637" s="26" t="s">
        <v>351</v>
      </c>
      <c r="M1637" s="26" t="s">
        <v>323</v>
      </c>
      <c r="N1637" s="26">
        <v>90</v>
      </c>
      <c r="O1637" s="26">
        <f>2024-Inventory[[#This Row],[YrBlt]]</f>
        <v>89</v>
      </c>
      <c r="P1637" s="26">
        <f>2024-Inventory[[#This Row],[EffYr]]</f>
        <v>53</v>
      </c>
      <c r="Q1637" s="25">
        <v>1935</v>
      </c>
      <c r="R1637" s="25">
        <v>1971</v>
      </c>
      <c r="S1637" s="25">
        <v>1550</v>
      </c>
      <c r="T1637" s="27"/>
      <c r="U1637" s="32">
        <v>1020</v>
      </c>
      <c r="V1637" s="32">
        <f>Inventory[[#This Row],[Bsmt]]-Inventory[[#This Row],[FnBsmt]]</f>
        <v>0</v>
      </c>
      <c r="W1637" s="32">
        <v>1020</v>
      </c>
      <c r="X1637" s="27"/>
      <c r="Y1637" s="27">
        <f>Inventory[[#This Row],[MainFn]]+Inventory[[#This Row],[UpprFn]]+Inventory[[#This Row],[FnBsmt]]+Inventory[[#This Row],[AddFn]]</f>
        <v>2570</v>
      </c>
      <c r="Z1637" s="27">
        <v>3000</v>
      </c>
      <c r="AA1637" s="25">
        <v>8</v>
      </c>
      <c r="AB1637" s="27"/>
      <c r="AC1637" s="27"/>
      <c r="AD1637" s="31"/>
      <c r="AE1637" s="27"/>
      <c r="AF1637" s="27"/>
      <c r="AG1637" s="27"/>
      <c r="AH1637" s="27"/>
      <c r="AI1637" s="25">
        <v>344722</v>
      </c>
      <c r="AJ1637" s="25">
        <v>230964</v>
      </c>
      <c r="AK1637" s="25">
        <v>4877</v>
      </c>
      <c r="AL1637" s="25">
        <v>347700</v>
      </c>
      <c r="AM1637" s="25">
        <v>60100</v>
      </c>
      <c r="AN1637" s="25">
        <v>287600</v>
      </c>
      <c r="AO1637" s="25">
        <v>0</v>
      </c>
      <c r="AP1637" s="25">
        <f>Lookups!$B$56*0</f>
        <v>0</v>
      </c>
      <c r="AQ1637" s="25">
        <f>Lookups!$B$56*1</f>
        <v>89850.625589999996</v>
      </c>
      <c r="AR1637" s="25">
        <f>Lookups!$B$57*Inventory[[#This Row],[LnAcres]]</f>
        <v>-49401.70477837498</v>
      </c>
      <c r="AS1637" s="25">
        <f>VLOOKUP(Inventory[[#This Row],[Qlty]],Lookups!$A$62:$E$75,2,FALSE)</f>
        <v>21557.329055999999</v>
      </c>
      <c r="AT1637" s="25">
        <f>VLOOKUP(Inventory[[#This Row],[Cnd]],Lookups!$A$76:$E$84,2,FALSE)</f>
        <v>160472.20319</v>
      </c>
      <c r="AU1637" s="25">
        <f>Inventory[[#This Row],[EffAge]]*Lookups!$B$85</f>
        <v>-11821.416826500001</v>
      </c>
      <c r="AV1637" s="25">
        <f>Inventory[[#This Row],[MainFn]]*Lookups!$B$86</f>
        <v>76583.438309350007</v>
      </c>
      <c r="AW1637" s="25">
        <f>Inventory[[#This Row],[UpprFn]]*Lookups!$B$87</f>
        <v>0</v>
      </c>
      <c r="AX1637" s="25">
        <f>Inventory[[#This Row],[AddFn]]*Lookups!$B$88</f>
        <v>0</v>
      </c>
      <c r="AY1637" s="25">
        <f>Inventory[[#This Row],[Bsmt]]*Lookups!$B$89</f>
        <v>29663.533151939999</v>
      </c>
      <c r="AZ1637" s="25">
        <f>Inventory[[#This Row],[Fixtures]]*Lookups!$B$90</f>
        <v>30336.176841600001</v>
      </c>
      <c r="BA1637" s="25">
        <f>Inventory[[#This Row],[WdDeck]]*Lookups!$B$91</f>
        <v>0</v>
      </c>
      <c r="BB1637" s="25">
        <f>ROUND(Inventory[[#This Row],[25Det]],-2)</f>
        <v>4900</v>
      </c>
      <c r="BC1637" s="25">
        <f>ROUND(SUM(Inventory[[#This Row],[Mdl Qlty]:[Mdl WdDeck]])+Inventory[[#This Row],[Mdl Res Intercept]],-2)</f>
        <v>306800</v>
      </c>
      <c r="BD1637" s="25">
        <f>ROUND(Inventory[[#This Row],[Mdl Land Intercept]]+Inventory[[#This Row],[Mdl LnAcres]],-2)</f>
        <v>40400</v>
      </c>
      <c r="BE1637" s="25">
        <f>Inventory[[#This Row],[Unadj Res Value]]+Inventory[[#This Row],[Unadj Det Value]]+Inventory[[#This Row],[Unadj Land Value]]</f>
        <v>352100</v>
      </c>
      <c r="BF1637" s="36">
        <f>(Inventory[[#This Row],[Unadj Total Value]]-Inventory[[#This Row],[24Final]])/Inventory[[#This Row],[24Final]]</f>
        <v>1.2654587287891862E-2</v>
      </c>
      <c r="BG1637" s="25">
        <f>VLOOKUP(Inventory[[#This Row],[Nbhd]],Lookups!$Q$2:$T$4,4,FALSE)</f>
        <v>0.99970000000000003</v>
      </c>
      <c r="BH1637" s="25">
        <f>VLOOKUP(Inventory[[#This Row],[Qlty]],Lookups!$O$7:$R$21,4,FALSE)</f>
        <v>1.0067999999999999</v>
      </c>
      <c r="BI1637" s="25">
        <f>VLOOKUP(Inventory[[#This Row],[Cnd]],Lookups!$T$7:$W$16,4,FALSE)</f>
        <v>0.99729999999999996</v>
      </c>
      <c r="BJ1637" s="25">
        <f>VLOOKUP(Inventory[[#This Row],[LivArea Range]],Lookups!$T$25:$W$37,4,FALSE)</f>
        <v>0.96179999999999999</v>
      </c>
      <c r="BK1637" s="25">
        <f>VLOOKUP(Inventory[[#This Row],[Decade]],Lookups!$O$25:$R$42,4,FALSE)</f>
        <v>0.98909999999999998</v>
      </c>
      <c r="BL1637" s="25">
        <f>Inventory[[#This Row],[Nbhd Adj]]*0.95</f>
        <v>0.94971499999999998</v>
      </c>
      <c r="BM1637" s="25">
        <f>Inventory[[#This Row],[Nbhd Adj]]*Inventory[[#This Row],[Quality Adj]]*Inventory[[#This Row],[Condition Adj]]*Inventory[[#This Row],[Living Area Adj]]*Inventory[[#This Row],[Decade Adj]]*0.95</f>
        <v>0.90716711363616798</v>
      </c>
      <c r="BN1637" s="25">
        <f>ROUND(SUM(Inventory[[#This Row],[Mdl Qlty]:[Mdl WdDeck]])+Inventory[[#This Row],[Mdl Res Intercept]]*Inventory[[#This Row],[Res Adj ]],-2)</f>
        <v>306800</v>
      </c>
      <c r="BO1637" s="25">
        <f>ROUND(Inventory[[#This Row],[25Det]]*Inventory[[#This Row],[Det/Nbhd Adj]],-2)</f>
        <v>4600</v>
      </c>
      <c r="BP1637" s="25">
        <f>Inventory[[#This Row],[Adjusted Res]]+Inventory[[#This Row],[Adj Det ]]</f>
        <v>311400</v>
      </c>
      <c r="BQ1637" s="25">
        <f>ROUND((Inventory[[#This Row],[Mdl Land Intercept]]+Inventory[[#This Row],[Mdl LnAcres]])*Inventory[[#This Row],[Det/Nbhd Adj]],-2)</f>
        <v>38400</v>
      </c>
      <c r="BR1637" s="25">
        <f>Inventory[[#This Row],[Adjusted Impr Total]]+Inventory[[#This Row],[Adjusted Land Total]]</f>
        <v>349800</v>
      </c>
      <c r="BS1637" s="36">
        <f>IFERROR((Inventory[[#This Row],[Adjusted Impr Total]]-Inventory[[#This Row],[24Bldg]])/Inventory[[#This Row],[24Bldg]],0)</f>
        <v>8.2753824756606392E-2</v>
      </c>
      <c r="BT1637" s="36">
        <f>(Inventory[[#This Row],[Adjusted Land Total]]-Inventory[[#This Row],[24Lnd]])/Inventory[[#This Row],[24Lnd]]</f>
        <v>-0.36106489184692181</v>
      </c>
      <c r="BU1637" s="36">
        <f>(Inventory[[#This Row],[Adjusted Total]]-Inventory[[#This Row],[24Final]])/Inventory[[#This Row],[24Final]]</f>
        <v>6.0396893874029335E-3</v>
      </c>
    </row>
    <row r="1638" spans="1:73" x14ac:dyDescent="0.3">
      <c r="A1638" s="25">
        <v>2025</v>
      </c>
      <c r="B1638" s="26" t="s">
        <v>2623</v>
      </c>
      <c r="C1638" s="26">
        <f>LN(Inventory[[#This Row],[Acres]])</f>
        <v>-1.0788096613719298</v>
      </c>
      <c r="D1638" s="25">
        <v>0.34</v>
      </c>
      <c r="E1638" s="25">
        <v>15008</v>
      </c>
      <c r="F1638" s="26" t="s">
        <v>537</v>
      </c>
      <c r="G1638" s="26" t="s">
        <v>126</v>
      </c>
      <c r="H1638" s="26" t="s">
        <v>349</v>
      </c>
      <c r="I1638" s="26" t="s">
        <v>538</v>
      </c>
      <c r="J1638" s="26" t="s">
        <v>974</v>
      </c>
      <c r="K1638" s="26" t="s">
        <v>448</v>
      </c>
      <c r="L1638" s="26" t="s">
        <v>64</v>
      </c>
      <c r="M1638" s="26" t="s">
        <v>303</v>
      </c>
      <c r="N1638" s="26">
        <v>90</v>
      </c>
      <c r="O1638" s="26">
        <f>2024-Inventory[[#This Row],[YrBlt]]</f>
        <v>89</v>
      </c>
      <c r="P1638" s="26">
        <f>2024-Inventory[[#This Row],[EffYr]]</f>
        <v>49</v>
      </c>
      <c r="Q1638" s="25">
        <v>1935</v>
      </c>
      <c r="R1638" s="25">
        <v>1975</v>
      </c>
      <c r="S1638" s="25">
        <v>1463</v>
      </c>
      <c r="T1638" s="32">
        <v>1041</v>
      </c>
      <c r="U1638" s="25">
        <v>1144</v>
      </c>
      <c r="V1638" s="32">
        <f>Inventory[[#This Row],[Bsmt]]-Inventory[[#This Row],[FnBsmt]]</f>
        <v>384</v>
      </c>
      <c r="W1638" s="32">
        <v>760</v>
      </c>
      <c r="X1638" s="27"/>
      <c r="Y1638" s="27">
        <f>Inventory[[#This Row],[MainFn]]+Inventory[[#This Row],[UpprFn]]+Inventory[[#This Row],[FnBsmt]]+Inventory[[#This Row],[AddFn]]</f>
        <v>3264</v>
      </c>
      <c r="Z1638" s="27">
        <v>3500</v>
      </c>
      <c r="AA1638" s="25">
        <v>11</v>
      </c>
      <c r="AB1638" s="31"/>
      <c r="AC1638" s="32">
        <v>320</v>
      </c>
      <c r="AD1638" s="27"/>
      <c r="AE1638" s="27"/>
      <c r="AF1638" s="27"/>
      <c r="AG1638" s="27"/>
      <c r="AH1638" s="27"/>
      <c r="AI1638" s="25">
        <v>740233</v>
      </c>
      <c r="AJ1638" s="25">
        <v>555175</v>
      </c>
      <c r="AK1638" s="25">
        <v>38507</v>
      </c>
      <c r="AL1638" s="25">
        <v>630500</v>
      </c>
      <c r="AM1638" s="25">
        <v>76900</v>
      </c>
      <c r="AN1638" s="25">
        <v>553600</v>
      </c>
      <c r="AO1638" s="25">
        <v>0</v>
      </c>
      <c r="AP1638" s="25">
        <f>Lookups!$B$56*0</f>
        <v>0</v>
      </c>
      <c r="AQ1638" s="25">
        <f>Lookups!$B$56*1</f>
        <v>89850.625589999996</v>
      </c>
      <c r="AR1638" s="25">
        <f>Lookups!$B$57*Inventory[[#This Row],[LnAcres]]</f>
        <v>-34149.305288406773</v>
      </c>
      <c r="AS1638" s="25">
        <f>VLOOKUP(Inventory[[#This Row],[Qlty]],Lookups!$A$62:$E$75,2,FALSE)</f>
        <v>163885.03753</v>
      </c>
      <c r="AT1638" s="25">
        <f>VLOOKUP(Inventory[[#This Row],[Cnd]],Lookups!$A$76:$E$84,2,FALSE)</f>
        <v>197752.34721000001</v>
      </c>
      <c r="AU1638" s="25">
        <f>Inventory[[#This Row],[EffAge]]*Lookups!$B$85</f>
        <v>-10929.2344245</v>
      </c>
      <c r="AV1638" s="25">
        <f>Inventory[[#This Row],[MainFn]]*Lookups!$B$86</f>
        <v>72284.884030051006</v>
      </c>
      <c r="AW1638" s="25">
        <f>Inventory[[#This Row],[UpprFn]]*Lookups!$B$87</f>
        <v>46622.666198300998</v>
      </c>
      <c r="AX1638" s="25">
        <f>Inventory[[#This Row],[AddFn]]*Lookups!$B$88</f>
        <v>0</v>
      </c>
      <c r="AY1638" s="25">
        <f>Inventory[[#This Row],[Bsmt]]*Lookups!$B$89</f>
        <v>33269.688162567996</v>
      </c>
      <c r="AZ1638" s="25">
        <f>Inventory[[#This Row],[Fixtures]]*Lookups!$B$90</f>
        <v>41712.243157199999</v>
      </c>
      <c r="BA1638" s="25">
        <f>Inventory[[#This Row],[WdDeck]]*Lookups!$B$91</f>
        <v>0</v>
      </c>
      <c r="BB1638" s="25">
        <f>ROUND(Inventory[[#This Row],[25Det]],-2)</f>
        <v>38500</v>
      </c>
      <c r="BC1638" s="25">
        <f>ROUND(SUM(Inventory[[#This Row],[Mdl Qlty]:[Mdl WdDeck]])+Inventory[[#This Row],[Mdl Res Intercept]],-2)</f>
        <v>544600</v>
      </c>
      <c r="BD1638" s="25">
        <f>ROUND(Inventory[[#This Row],[Mdl Land Intercept]]+Inventory[[#This Row],[Mdl LnAcres]],-2)</f>
        <v>55700</v>
      </c>
      <c r="BE1638" s="25">
        <f>Inventory[[#This Row],[Unadj Res Value]]+Inventory[[#This Row],[Unadj Det Value]]+Inventory[[#This Row],[Unadj Land Value]]</f>
        <v>638800</v>
      </c>
      <c r="BF1638" s="36">
        <f>(Inventory[[#This Row],[Unadj Total Value]]-Inventory[[#This Row],[24Final]])/Inventory[[#This Row],[24Final]]</f>
        <v>1.3164155432196669E-2</v>
      </c>
      <c r="BG1638" s="25">
        <f>VLOOKUP(Inventory[[#This Row],[Nbhd]],Lookups!$Q$2:$T$4,4,FALSE)</f>
        <v>0.99970000000000003</v>
      </c>
      <c r="BH1638" s="25">
        <f>VLOOKUP(Inventory[[#This Row],[Qlty]],Lookups!$O$7:$R$21,4,FALSE)</f>
        <v>1</v>
      </c>
      <c r="BI1638" s="25">
        <f>VLOOKUP(Inventory[[#This Row],[Cnd]],Lookups!$T$7:$W$16,4,FALSE)</f>
        <v>0.99650000000000005</v>
      </c>
      <c r="BJ1638" s="25">
        <f>VLOOKUP(Inventory[[#This Row],[LivArea Range]],Lookups!$T$25:$W$37,4,FALSE)</f>
        <v>1.0126999999999999</v>
      </c>
      <c r="BK1638" s="25">
        <f>VLOOKUP(Inventory[[#This Row],[Decade]],Lookups!$O$25:$R$42,4,FALSE)</f>
        <v>0.98909999999999998</v>
      </c>
      <c r="BL1638" s="25">
        <f>Inventory[[#This Row],[Nbhd Adj]]*0.95</f>
        <v>0.94971499999999998</v>
      </c>
      <c r="BM1638" s="25">
        <f>Inventory[[#This Row],[Nbhd Adj]]*Inventory[[#This Row],[Quality Adj]]*Inventory[[#This Row],[Condition Adj]]*Inventory[[#This Row],[Living Area Adj]]*Inventory[[#This Row],[Decade Adj]]*0.95</f>
        <v>0.947963492389716</v>
      </c>
      <c r="BN1638" s="25">
        <f>ROUND(SUM(Inventory[[#This Row],[Mdl Qlty]:[Mdl WdDeck]])+Inventory[[#This Row],[Mdl Res Intercept]]*Inventory[[#This Row],[Res Adj ]],-2)</f>
        <v>544600</v>
      </c>
      <c r="BO1638" s="25">
        <f>ROUND(Inventory[[#This Row],[25Det]]*Inventory[[#This Row],[Det/Nbhd Adj]],-2)</f>
        <v>36600</v>
      </c>
      <c r="BP1638" s="25">
        <f>Inventory[[#This Row],[Adjusted Res]]+Inventory[[#This Row],[Adj Det ]]</f>
        <v>581200</v>
      </c>
      <c r="BQ1638" s="25">
        <f>ROUND((Inventory[[#This Row],[Mdl Land Intercept]]+Inventory[[#This Row],[Mdl LnAcres]])*Inventory[[#This Row],[Det/Nbhd Adj]],-2)</f>
        <v>52900</v>
      </c>
      <c r="BR1638" s="25">
        <f>Inventory[[#This Row],[Adjusted Impr Total]]+Inventory[[#This Row],[Adjusted Land Total]]</f>
        <v>634100</v>
      </c>
      <c r="BS1638" s="36">
        <f>IFERROR((Inventory[[#This Row],[Adjusted Impr Total]]-Inventory[[#This Row],[24Bldg]])/Inventory[[#This Row],[24Bldg]],0)</f>
        <v>4.9855491329479772E-2</v>
      </c>
      <c r="BT1638" s="36">
        <f>(Inventory[[#This Row],[Adjusted Land Total]]-Inventory[[#This Row],[24Lnd]])/Inventory[[#This Row],[24Lnd]]</f>
        <v>-0.31209362808842656</v>
      </c>
      <c r="BU1638" s="36">
        <f>(Inventory[[#This Row],[Adjusted Total]]-Inventory[[#This Row],[24Final]])/Inventory[[#This Row],[24Final]]</f>
        <v>5.7097541633624104E-3</v>
      </c>
    </row>
    <row r="1639" spans="1:73" x14ac:dyDescent="0.3">
      <c r="A1639" s="25">
        <v>2025</v>
      </c>
      <c r="B1639" s="26" t="s">
        <v>2077</v>
      </c>
      <c r="C1639" s="26">
        <f>LN(Inventory[[#This Row],[Acres]])</f>
        <v>-1.8971199848858813</v>
      </c>
      <c r="D1639" s="25">
        <v>0.15</v>
      </c>
      <c r="E1639" s="27"/>
      <c r="F1639" s="26" t="s">
        <v>537</v>
      </c>
      <c r="G1639" s="26" t="s">
        <v>126</v>
      </c>
      <c r="H1639" s="26" t="s">
        <v>349</v>
      </c>
      <c r="I1639" s="26" t="s">
        <v>538</v>
      </c>
      <c r="J1639" s="26" t="s">
        <v>539</v>
      </c>
      <c r="K1639" s="26" t="s">
        <v>269</v>
      </c>
      <c r="L1639" s="26" t="s">
        <v>302</v>
      </c>
      <c r="M1639" s="26" t="s">
        <v>323</v>
      </c>
      <c r="N1639" s="26">
        <v>90</v>
      </c>
      <c r="O1639" s="26">
        <f>2024-Inventory[[#This Row],[YrBlt]]</f>
        <v>89</v>
      </c>
      <c r="P1639" s="26">
        <f>2024-Inventory[[#This Row],[EffYr]]</f>
        <v>53</v>
      </c>
      <c r="Q1639" s="25">
        <v>1935</v>
      </c>
      <c r="R1639" s="25">
        <v>1971</v>
      </c>
      <c r="S1639" s="25">
        <v>1260</v>
      </c>
      <c r="T1639" s="27"/>
      <c r="U1639" s="25">
        <v>1140</v>
      </c>
      <c r="V1639" s="25">
        <f>Inventory[[#This Row],[Bsmt]]-Inventory[[#This Row],[FnBsmt]]</f>
        <v>0</v>
      </c>
      <c r="W1639" s="25">
        <v>1140</v>
      </c>
      <c r="X1639" s="27"/>
      <c r="Y1639" s="27">
        <f>Inventory[[#This Row],[MainFn]]+Inventory[[#This Row],[UpprFn]]+Inventory[[#This Row],[FnBsmt]]+Inventory[[#This Row],[AddFn]]</f>
        <v>2400</v>
      </c>
      <c r="Z1639" s="27">
        <v>2500</v>
      </c>
      <c r="AA1639" s="25">
        <v>5</v>
      </c>
      <c r="AB1639" s="27"/>
      <c r="AC1639" s="27"/>
      <c r="AD1639" s="31"/>
      <c r="AE1639" s="27"/>
      <c r="AF1639" s="27"/>
      <c r="AG1639" s="27"/>
      <c r="AH1639" s="27"/>
      <c r="AI1639" s="25">
        <v>353721</v>
      </c>
      <c r="AJ1639" s="25">
        <v>236993</v>
      </c>
      <c r="AK1639" s="25">
        <v>14152</v>
      </c>
      <c r="AL1639" s="25">
        <v>332800</v>
      </c>
      <c r="AM1639" s="25">
        <v>48400</v>
      </c>
      <c r="AN1639" s="25">
        <v>284400</v>
      </c>
      <c r="AO1639" s="25">
        <v>0</v>
      </c>
      <c r="AP1639" s="25">
        <f>Lookups!$B$56*0</f>
        <v>0</v>
      </c>
      <c r="AQ1639" s="25">
        <f>Lookups!$B$56*1</f>
        <v>89850.625589999996</v>
      </c>
      <c r="AR1639" s="25">
        <f>Lookups!$B$57*Inventory[[#This Row],[LnAcres]]</f>
        <v>-60052.604136134301</v>
      </c>
      <c r="AS1639" s="25">
        <f>VLOOKUP(Inventory[[#This Row],[Qlty]],Lookups!$A$62:$E$75,2,FALSE)</f>
        <v>29814.093161000001</v>
      </c>
      <c r="AT1639" s="25">
        <f>VLOOKUP(Inventory[[#This Row],[Cnd]],Lookups!$A$76:$E$84,2,FALSE)</f>
        <v>160472.20319</v>
      </c>
      <c r="AU1639" s="25">
        <f>Inventory[[#This Row],[EffAge]]*Lookups!$B$85</f>
        <v>-11821.416826500001</v>
      </c>
      <c r="AV1639" s="25">
        <f>Inventory[[#This Row],[MainFn]]*Lookups!$B$86</f>
        <v>62254.924045020001</v>
      </c>
      <c r="AW1639" s="25">
        <f>Inventory[[#This Row],[UpprFn]]*Lookups!$B$87</f>
        <v>0</v>
      </c>
      <c r="AX1639" s="25">
        <f>Inventory[[#This Row],[AddFn]]*Lookups!$B$88</f>
        <v>0</v>
      </c>
      <c r="AY1639" s="25">
        <f>Inventory[[#This Row],[Bsmt]]*Lookups!$B$89</f>
        <v>33153.360581579997</v>
      </c>
      <c r="AZ1639" s="25">
        <f>Inventory[[#This Row],[Fixtures]]*Lookups!$B$90</f>
        <v>18960.110526</v>
      </c>
      <c r="BA1639" s="25">
        <f>Inventory[[#This Row],[WdDeck]]*Lookups!$B$91</f>
        <v>0</v>
      </c>
      <c r="BB1639" s="25">
        <f>ROUND(Inventory[[#This Row],[25Det]],-2)</f>
        <v>14200</v>
      </c>
      <c r="BC1639" s="25">
        <f>ROUND(SUM(Inventory[[#This Row],[Mdl Qlty]:[Mdl WdDeck]])+Inventory[[#This Row],[Mdl Res Intercept]],-2)</f>
        <v>292800</v>
      </c>
      <c r="BD1639" s="25">
        <f>ROUND(Inventory[[#This Row],[Mdl Land Intercept]]+Inventory[[#This Row],[Mdl LnAcres]],-2)</f>
        <v>29800</v>
      </c>
      <c r="BE1639" s="25">
        <f>Inventory[[#This Row],[Unadj Res Value]]+Inventory[[#This Row],[Unadj Det Value]]+Inventory[[#This Row],[Unadj Land Value]]</f>
        <v>336800</v>
      </c>
      <c r="BF1639" s="36">
        <f>(Inventory[[#This Row],[Unadj Total Value]]-Inventory[[#This Row],[24Final]])/Inventory[[#This Row],[24Final]]</f>
        <v>1.201923076923077E-2</v>
      </c>
      <c r="BG1639" s="25">
        <f>VLOOKUP(Inventory[[#This Row],[Nbhd]],Lookups!$Q$2:$T$4,4,FALSE)</f>
        <v>0.99970000000000003</v>
      </c>
      <c r="BH1639" s="25">
        <f>VLOOKUP(Inventory[[#This Row],[Qlty]],Lookups!$O$7:$R$21,4,FALSE)</f>
        <v>1.0088999999999999</v>
      </c>
      <c r="BI1639" s="25">
        <f>VLOOKUP(Inventory[[#This Row],[Cnd]],Lookups!$T$7:$W$16,4,FALSE)</f>
        <v>0.99729999999999996</v>
      </c>
      <c r="BJ1639" s="25">
        <f>VLOOKUP(Inventory[[#This Row],[LivArea Range]],Lookups!$T$25:$W$37,4,FALSE)</f>
        <v>0.98919999999999997</v>
      </c>
      <c r="BK1639" s="25">
        <f>VLOOKUP(Inventory[[#This Row],[Decade]],Lookups!$O$25:$R$42,4,FALSE)</f>
        <v>0.98909999999999998</v>
      </c>
      <c r="BL1639" s="25">
        <f>Inventory[[#This Row],[Nbhd Adj]]*0.95</f>
        <v>0.94971499999999998</v>
      </c>
      <c r="BM1639" s="25">
        <f>Inventory[[#This Row],[Nbhd Adj]]*Inventory[[#This Row],[Quality Adj]]*Inventory[[#This Row],[Condition Adj]]*Inventory[[#This Row],[Living Area Adj]]*Inventory[[#This Row],[Decade Adj]]*0.95</f>
        <v>0.93495680734831033</v>
      </c>
      <c r="BN1639" s="25">
        <f>ROUND(SUM(Inventory[[#This Row],[Mdl Qlty]:[Mdl WdDeck]])+Inventory[[#This Row],[Mdl Res Intercept]]*Inventory[[#This Row],[Res Adj ]],-2)</f>
        <v>292800</v>
      </c>
      <c r="BO1639" s="25">
        <f>ROUND(Inventory[[#This Row],[25Det]]*Inventory[[#This Row],[Det/Nbhd Adj]],-2)</f>
        <v>13400</v>
      </c>
      <c r="BP1639" s="25">
        <f>Inventory[[#This Row],[Adjusted Res]]+Inventory[[#This Row],[Adj Det ]]</f>
        <v>306200</v>
      </c>
      <c r="BQ1639" s="25">
        <f>ROUND((Inventory[[#This Row],[Mdl Land Intercept]]+Inventory[[#This Row],[Mdl LnAcres]])*Inventory[[#This Row],[Det/Nbhd Adj]],-2)</f>
        <v>28300</v>
      </c>
      <c r="BR1639" s="25">
        <f>Inventory[[#This Row],[Adjusted Impr Total]]+Inventory[[#This Row],[Adjusted Land Total]]</f>
        <v>334500</v>
      </c>
      <c r="BS1639" s="36">
        <f>IFERROR((Inventory[[#This Row],[Adjusted Impr Total]]-Inventory[[#This Row],[24Bldg]])/Inventory[[#This Row],[24Bldg]],0)</f>
        <v>7.6652601969057668E-2</v>
      </c>
      <c r="BT1639" s="36">
        <f>(Inventory[[#This Row],[Adjusted Land Total]]-Inventory[[#This Row],[24Lnd]])/Inventory[[#This Row],[24Lnd]]</f>
        <v>-0.41528925619834711</v>
      </c>
      <c r="BU1639" s="36">
        <f>(Inventory[[#This Row],[Adjusted Total]]-Inventory[[#This Row],[24Final]])/Inventory[[#This Row],[24Final]]</f>
        <v>5.108173076923077E-3</v>
      </c>
    </row>
    <row r="1640" spans="1:73" x14ac:dyDescent="0.3">
      <c r="A1640" s="25">
        <v>2025</v>
      </c>
      <c r="B1640" s="26" t="s">
        <v>787</v>
      </c>
      <c r="C1640" s="26">
        <f>LN(Inventory[[#This Row],[Acres]])</f>
        <v>-1.7147984280919266</v>
      </c>
      <c r="D1640" s="25">
        <v>0.18</v>
      </c>
      <c r="E1640" s="25">
        <v>8040</v>
      </c>
      <c r="F1640" s="26" t="s">
        <v>537</v>
      </c>
      <c r="G1640" s="26" t="s">
        <v>126</v>
      </c>
      <c r="H1640" s="26" t="s">
        <v>349</v>
      </c>
      <c r="I1640" s="26" t="s">
        <v>538</v>
      </c>
      <c r="J1640" s="26" t="s">
        <v>539</v>
      </c>
      <c r="K1640" s="26" t="s">
        <v>242</v>
      </c>
      <c r="L1640" s="26" t="s">
        <v>351</v>
      </c>
      <c r="M1640" s="26" t="s">
        <v>323</v>
      </c>
      <c r="N1640" s="26">
        <v>90</v>
      </c>
      <c r="O1640" s="26">
        <f>2024-Inventory[[#This Row],[YrBlt]]</f>
        <v>89</v>
      </c>
      <c r="P1640" s="26">
        <f>2024-Inventory[[#This Row],[EffYr]]</f>
        <v>53</v>
      </c>
      <c r="Q1640" s="25">
        <v>1935</v>
      </c>
      <c r="R1640" s="25">
        <v>1971</v>
      </c>
      <c r="S1640" s="25">
        <v>1282</v>
      </c>
      <c r="T1640" s="31"/>
      <c r="U1640" s="25">
        <v>1280</v>
      </c>
      <c r="V1640" s="25">
        <f>Inventory[[#This Row],[Bsmt]]-Inventory[[#This Row],[FnBsmt]]</f>
        <v>0</v>
      </c>
      <c r="W1640" s="25">
        <v>1280</v>
      </c>
      <c r="X1640" s="27"/>
      <c r="Y1640" s="27">
        <f>Inventory[[#This Row],[MainFn]]+Inventory[[#This Row],[UpprFn]]+Inventory[[#This Row],[FnBsmt]]+Inventory[[#This Row],[AddFn]]</f>
        <v>2562</v>
      </c>
      <c r="Z1640" s="27">
        <v>3000</v>
      </c>
      <c r="AA1640" s="25">
        <v>5</v>
      </c>
      <c r="AB1640" s="32">
        <v>260</v>
      </c>
      <c r="AC1640" s="31"/>
      <c r="AD1640" s="31"/>
      <c r="AE1640" s="27"/>
      <c r="AF1640" s="27"/>
      <c r="AG1640" s="27"/>
      <c r="AH1640" s="27"/>
      <c r="AI1640" s="25">
        <v>319679</v>
      </c>
      <c r="AJ1640" s="25">
        <v>214185</v>
      </c>
      <c r="AK1640" s="25">
        <v>0</v>
      </c>
      <c r="AL1640" s="25">
        <v>321900</v>
      </c>
      <c r="AM1640" s="25">
        <v>54700</v>
      </c>
      <c r="AN1640" s="25">
        <v>267200</v>
      </c>
      <c r="AO1640" s="25">
        <v>0</v>
      </c>
      <c r="AP1640" s="25">
        <f>Lookups!$B$56*0</f>
        <v>0</v>
      </c>
      <c r="AQ1640" s="25">
        <f>Lookups!$B$56*1</f>
        <v>89850.625589999996</v>
      </c>
      <c r="AR1640" s="25">
        <f>Lookups!$B$57*Inventory[[#This Row],[LnAcres]]</f>
        <v>-54281.285314520763</v>
      </c>
      <c r="AS1640" s="25">
        <f>VLOOKUP(Inventory[[#This Row],[Qlty]],Lookups!$A$62:$E$75,2,FALSE)</f>
        <v>21557.329055999999</v>
      </c>
      <c r="AT1640" s="25">
        <f>VLOOKUP(Inventory[[#This Row],[Cnd]],Lookups!$A$76:$E$84,2,FALSE)</f>
        <v>160472.20319</v>
      </c>
      <c r="AU1640" s="25">
        <f>Inventory[[#This Row],[EffAge]]*Lookups!$B$85</f>
        <v>-11821.416826500001</v>
      </c>
      <c r="AV1640" s="25">
        <f>Inventory[[#This Row],[MainFn]]*Lookups!$B$86</f>
        <v>63341.914782314001</v>
      </c>
      <c r="AW1640" s="25">
        <f>Inventory[[#This Row],[UpprFn]]*Lookups!$B$87</f>
        <v>0</v>
      </c>
      <c r="AX1640" s="25">
        <f>Inventory[[#This Row],[AddFn]]*Lookups!$B$88</f>
        <v>0</v>
      </c>
      <c r="AY1640" s="25">
        <f>Inventory[[#This Row],[Bsmt]]*Lookups!$B$89</f>
        <v>37224.82591616</v>
      </c>
      <c r="AZ1640" s="25">
        <f>Inventory[[#This Row],[Fixtures]]*Lookups!$B$90</f>
        <v>18960.110526</v>
      </c>
      <c r="BA1640" s="25">
        <f>Inventory[[#This Row],[WdDeck]]*Lookups!$B$91</f>
        <v>0</v>
      </c>
      <c r="BB1640" s="25">
        <f>ROUND(Inventory[[#This Row],[25Det]],-2)</f>
        <v>0</v>
      </c>
      <c r="BC1640" s="25">
        <f>ROUND(SUM(Inventory[[#This Row],[Mdl Qlty]:[Mdl WdDeck]])+Inventory[[#This Row],[Mdl Res Intercept]],-2)</f>
        <v>289700</v>
      </c>
      <c r="BD1640" s="25">
        <f>ROUND(Inventory[[#This Row],[Mdl Land Intercept]]+Inventory[[#This Row],[Mdl LnAcres]],-2)</f>
        <v>35600</v>
      </c>
      <c r="BE1640" s="25">
        <f>Inventory[[#This Row],[Unadj Res Value]]+Inventory[[#This Row],[Unadj Det Value]]+Inventory[[#This Row],[Unadj Land Value]]</f>
        <v>325300</v>
      </c>
      <c r="BF1640" s="36">
        <f>(Inventory[[#This Row],[Unadj Total Value]]-Inventory[[#This Row],[24Final]])/Inventory[[#This Row],[24Final]]</f>
        <v>1.056228642435539E-2</v>
      </c>
      <c r="BG1640" s="25">
        <f>VLOOKUP(Inventory[[#This Row],[Nbhd]],Lookups!$Q$2:$T$4,4,FALSE)</f>
        <v>0.99970000000000003</v>
      </c>
      <c r="BH1640" s="25">
        <f>VLOOKUP(Inventory[[#This Row],[Qlty]],Lookups!$O$7:$R$21,4,FALSE)</f>
        <v>1.0067999999999999</v>
      </c>
      <c r="BI1640" s="25">
        <f>VLOOKUP(Inventory[[#This Row],[Cnd]],Lookups!$T$7:$W$16,4,FALSE)</f>
        <v>0.99729999999999996</v>
      </c>
      <c r="BJ1640" s="25">
        <f>VLOOKUP(Inventory[[#This Row],[LivArea Range]],Lookups!$T$25:$W$37,4,FALSE)</f>
        <v>0.96179999999999999</v>
      </c>
      <c r="BK1640" s="25">
        <f>VLOOKUP(Inventory[[#This Row],[Decade]],Lookups!$O$25:$R$42,4,FALSE)</f>
        <v>0.98909999999999998</v>
      </c>
      <c r="BL1640" s="25">
        <f>Inventory[[#This Row],[Nbhd Adj]]*0.95</f>
        <v>0.94971499999999998</v>
      </c>
      <c r="BM1640" s="25">
        <f>Inventory[[#This Row],[Nbhd Adj]]*Inventory[[#This Row],[Quality Adj]]*Inventory[[#This Row],[Condition Adj]]*Inventory[[#This Row],[Living Area Adj]]*Inventory[[#This Row],[Decade Adj]]*0.95</f>
        <v>0.90716711363616798</v>
      </c>
      <c r="BN1640" s="25">
        <f>ROUND(SUM(Inventory[[#This Row],[Mdl Qlty]:[Mdl WdDeck]])+Inventory[[#This Row],[Mdl Res Intercept]]*Inventory[[#This Row],[Res Adj ]],-2)</f>
        <v>289700</v>
      </c>
      <c r="BO1640" s="25">
        <f>ROUND(Inventory[[#This Row],[25Det]]*Inventory[[#This Row],[Det/Nbhd Adj]],-2)</f>
        <v>0</v>
      </c>
      <c r="BP1640" s="25">
        <f>Inventory[[#This Row],[Adjusted Res]]+Inventory[[#This Row],[Adj Det ]]</f>
        <v>289700</v>
      </c>
      <c r="BQ1640" s="25">
        <f>ROUND((Inventory[[#This Row],[Mdl Land Intercept]]+Inventory[[#This Row],[Mdl LnAcres]])*Inventory[[#This Row],[Det/Nbhd Adj]],-2)</f>
        <v>33800</v>
      </c>
      <c r="BR1640" s="25">
        <f>Inventory[[#This Row],[Adjusted Impr Total]]+Inventory[[#This Row],[Adjusted Land Total]]</f>
        <v>323500</v>
      </c>
      <c r="BS1640" s="36">
        <f>IFERROR((Inventory[[#This Row],[Adjusted Impr Total]]-Inventory[[#This Row],[24Bldg]])/Inventory[[#This Row],[24Bldg]],0)</f>
        <v>8.420658682634731E-2</v>
      </c>
      <c r="BT1640" s="36">
        <f>(Inventory[[#This Row],[Adjusted Land Total]]-Inventory[[#This Row],[24Lnd]])/Inventory[[#This Row],[24Lnd]]</f>
        <v>-0.38208409506398539</v>
      </c>
      <c r="BU1640" s="36">
        <f>(Inventory[[#This Row],[Adjusted Total]]-Inventory[[#This Row],[24Final]])/Inventory[[#This Row],[24Final]]</f>
        <v>4.9704877291084186E-3</v>
      </c>
    </row>
    <row r="1641" spans="1:73" x14ac:dyDescent="0.3">
      <c r="A1641" s="25">
        <v>2025</v>
      </c>
      <c r="B1641" s="26" t="s">
        <v>981</v>
      </c>
      <c r="C1641" s="26">
        <f>LN(Inventory[[#This Row],[Acres]])</f>
        <v>-0.82098055206983023</v>
      </c>
      <c r="D1641" s="25">
        <v>0.44</v>
      </c>
      <c r="E1641" s="32">
        <v>19372</v>
      </c>
      <c r="F1641" s="26" t="s">
        <v>537</v>
      </c>
      <c r="G1641" s="26" t="s">
        <v>126</v>
      </c>
      <c r="H1641" s="26" t="s">
        <v>349</v>
      </c>
      <c r="I1641" s="26" t="s">
        <v>538</v>
      </c>
      <c r="J1641" s="26" t="s">
        <v>638</v>
      </c>
      <c r="K1641" s="26" t="s">
        <v>147</v>
      </c>
      <c r="L1641" s="26" t="s">
        <v>351</v>
      </c>
      <c r="M1641" s="26" t="s">
        <v>323</v>
      </c>
      <c r="N1641" s="26">
        <v>90</v>
      </c>
      <c r="O1641" s="26">
        <f>2024-Inventory[[#This Row],[YrBlt]]</f>
        <v>89</v>
      </c>
      <c r="P1641" s="26">
        <f>2024-Inventory[[#This Row],[EffYr]]</f>
        <v>53</v>
      </c>
      <c r="Q1641" s="25">
        <v>1935</v>
      </c>
      <c r="R1641" s="25">
        <v>1971</v>
      </c>
      <c r="S1641" s="25">
        <v>1572</v>
      </c>
      <c r="T1641" s="32">
        <v>816</v>
      </c>
      <c r="U1641" s="25">
        <v>743</v>
      </c>
      <c r="V1641" s="25">
        <f>Inventory[[#This Row],[Bsmt]]-Inventory[[#This Row],[FnBsmt]]</f>
        <v>0</v>
      </c>
      <c r="W1641" s="25">
        <v>743</v>
      </c>
      <c r="X1641" s="27"/>
      <c r="Y1641" s="27">
        <f>Inventory[[#This Row],[MainFn]]+Inventory[[#This Row],[UpprFn]]+Inventory[[#This Row],[FnBsmt]]+Inventory[[#This Row],[AddFn]]</f>
        <v>3131</v>
      </c>
      <c r="Z1641" s="27">
        <v>3500</v>
      </c>
      <c r="AA1641" s="25">
        <v>11</v>
      </c>
      <c r="AB1641" s="27"/>
      <c r="AC1641" s="27"/>
      <c r="AD1641" s="27"/>
      <c r="AE1641" s="27"/>
      <c r="AF1641" s="27"/>
      <c r="AG1641" s="27"/>
      <c r="AH1641" s="27"/>
      <c r="AI1641" s="25">
        <v>393599</v>
      </c>
      <c r="AJ1641" s="25">
        <v>263711</v>
      </c>
      <c r="AK1641" s="25">
        <v>9708</v>
      </c>
      <c r="AL1641" s="25">
        <v>416800</v>
      </c>
      <c r="AM1641" s="25">
        <v>85900</v>
      </c>
      <c r="AN1641" s="25">
        <v>330900</v>
      </c>
      <c r="AO1641" s="25">
        <v>0</v>
      </c>
      <c r="AP1641" s="25">
        <f>Lookups!$B$56*0</f>
        <v>0</v>
      </c>
      <c r="AQ1641" s="25">
        <f>Lookups!$B$56*1</f>
        <v>89850.625589999996</v>
      </c>
      <c r="AR1641" s="25">
        <f>Lookups!$B$57*Inventory[[#This Row],[LnAcres]]</f>
        <v>-25987.823906604521</v>
      </c>
      <c r="AS1641" s="25">
        <f>VLOOKUP(Inventory[[#This Row],[Qlty]],Lookups!$A$62:$E$75,2,FALSE)</f>
        <v>21557.329055999999</v>
      </c>
      <c r="AT1641" s="25">
        <f>VLOOKUP(Inventory[[#This Row],[Cnd]],Lookups!$A$76:$E$84,2,FALSE)</f>
        <v>160472.20319</v>
      </c>
      <c r="AU1641" s="25">
        <f>Inventory[[#This Row],[EffAge]]*Lookups!$B$85</f>
        <v>-11821.416826500001</v>
      </c>
      <c r="AV1641" s="25">
        <f>Inventory[[#This Row],[MainFn]]*Lookups!$B$86</f>
        <v>77670.429046644</v>
      </c>
      <c r="AW1641" s="25">
        <f>Inventory[[#This Row],[UpprFn]]*Lookups!$B$87</f>
        <v>36545.721054575995</v>
      </c>
      <c r="AX1641" s="25">
        <f>Inventory[[#This Row],[AddFn]]*Lookups!$B$88</f>
        <v>0</v>
      </c>
      <c r="AY1641" s="25">
        <f>Inventory[[#This Row],[Bsmt]]*Lookups!$B$89</f>
        <v>21607.848168520999</v>
      </c>
      <c r="AZ1641" s="25">
        <f>Inventory[[#This Row],[Fixtures]]*Lookups!$B$90</f>
        <v>41712.243157199999</v>
      </c>
      <c r="BA1641" s="25">
        <f>Inventory[[#This Row],[WdDeck]]*Lookups!$B$91</f>
        <v>0</v>
      </c>
      <c r="BB1641" s="25">
        <f>ROUND(Inventory[[#This Row],[25Det]],-2)</f>
        <v>9700</v>
      </c>
      <c r="BC1641" s="25">
        <f>ROUND(SUM(Inventory[[#This Row],[Mdl Qlty]:[Mdl WdDeck]])+Inventory[[#This Row],[Mdl Res Intercept]],-2)</f>
        <v>347700</v>
      </c>
      <c r="BD1641" s="25">
        <f>ROUND(Inventory[[#This Row],[Mdl Land Intercept]]+Inventory[[#This Row],[Mdl LnAcres]],-2)</f>
        <v>63900</v>
      </c>
      <c r="BE1641" s="25">
        <f>Inventory[[#This Row],[Unadj Res Value]]+Inventory[[#This Row],[Unadj Det Value]]+Inventory[[#This Row],[Unadj Land Value]]</f>
        <v>421300</v>
      </c>
      <c r="BF1641" s="36">
        <f>(Inventory[[#This Row],[Unadj Total Value]]-Inventory[[#This Row],[24Final]])/Inventory[[#This Row],[24Final]]</f>
        <v>1.0796545105566218E-2</v>
      </c>
      <c r="BG1641" s="25">
        <f>VLOOKUP(Inventory[[#This Row],[Nbhd]],Lookups!$Q$2:$T$4,4,FALSE)</f>
        <v>0.99970000000000003</v>
      </c>
      <c r="BH1641" s="25">
        <f>VLOOKUP(Inventory[[#This Row],[Qlty]],Lookups!$O$7:$R$21,4,FALSE)</f>
        <v>1.0067999999999999</v>
      </c>
      <c r="BI1641" s="25">
        <f>VLOOKUP(Inventory[[#This Row],[Cnd]],Lookups!$T$7:$W$16,4,FALSE)</f>
        <v>0.99729999999999996</v>
      </c>
      <c r="BJ1641" s="25">
        <f>VLOOKUP(Inventory[[#This Row],[LivArea Range]],Lookups!$T$25:$W$37,4,FALSE)</f>
        <v>1.0126999999999999</v>
      </c>
      <c r="BK1641" s="25">
        <f>VLOOKUP(Inventory[[#This Row],[Decade]],Lookups!$O$25:$R$42,4,FALSE)</f>
        <v>0.98909999999999998</v>
      </c>
      <c r="BL1641" s="25">
        <f>Inventory[[#This Row],[Nbhd Adj]]*0.95</f>
        <v>0.94971499999999998</v>
      </c>
      <c r="BM1641" s="25">
        <f>Inventory[[#This Row],[Nbhd Adj]]*Inventory[[#This Row],[Quality Adj]]*Inventory[[#This Row],[Condition Adj]]*Inventory[[#This Row],[Living Area Adj]]*Inventory[[#This Row],[Decade Adj]]*0.95</f>
        <v>0.9551758535863456</v>
      </c>
      <c r="BN1641" s="25">
        <f>ROUND(SUM(Inventory[[#This Row],[Mdl Qlty]:[Mdl WdDeck]])+Inventory[[#This Row],[Mdl Res Intercept]]*Inventory[[#This Row],[Res Adj ]],-2)</f>
        <v>347700</v>
      </c>
      <c r="BO1641" s="25">
        <f>ROUND(Inventory[[#This Row],[25Det]]*Inventory[[#This Row],[Det/Nbhd Adj]],-2)</f>
        <v>9200</v>
      </c>
      <c r="BP1641" s="25">
        <f>Inventory[[#This Row],[Adjusted Res]]+Inventory[[#This Row],[Adj Det ]]</f>
        <v>356900</v>
      </c>
      <c r="BQ1641" s="25">
        <f>ROUND((Inventory[[#This Row],[Mdl Land Intercept]]+Inventory[[#This Row],[Mdl LnAcres]])*Inventory[[#This Row],[Det/Nbhd Adj]],-2)</f>
        <v>60700</v>
      </c>
      <c r="BR1641" s="25">
        <f>Inventory[[#This Row],[Adjusted Impr Total]]+Inventory[[#This Row],[Adjusted Land Total]]</f>
        <v>417600</v>
      </c>
      <c r="BS1641" s="36">
        <f>IFERROR((Inventory[[#This Row],[Adjusted Impr Total]]-Inventory[[#This Row],[24Bldg]])/Inventory[[#This Row],[24Bldg]],0)</f>
        <v>7.8573587186461166E-2</v>
      </c>
      <c r="BT1641" s="36">
        <f>(Inventory[[#This Row],[Adjusted Land Total]]-Inventory[[#This Row],[24Lnd]])/Inventory[[#This Row],[24Lnd]]</f>
        <v>-0.29336437718277064</v>
      </c>
      <c r="BU1641" s="36">
        <f>(Inventory[[#This Row],[Adjusted Total]]-Inventory[[#This Row],[24Final]])/Inventory[[#This Row],[24Final]]</f>
        <v>1.9193857965451055E-3</v>
      </c>
    </row>
    <row r="1642" spans="1:73" x14ac:dyDescent="0.3">
      <c r="A1642" s="25">
        <v>2025</v>
      </c>
      <c r="B1642" s="26" t="s">
        <v>2736</v>
      </c>
      <c r="C1642" s="26">
        <f>LN(Inventory[[#This Row],[Acres]])</f>
        <v>-1.6607312068216509</v>
      </c>
      <c r="D1642" s="25">
        <v>0.19</v>
      </c>
      <c r="E1642" s="25">
        <v>8435</v>
      </c>
      <c r="F1642" s="26" t="s">
        <v>537</v>
      </c>
      <c r="G1642" s="26" t="s">
        <v>126</v>
      </c>
      <c r="H1642" s="26" t="s">
        <v>349</v>
      </c>
      <c r="I1642" s="26" t="s">
        <v>538</v>
      </c>
      <c r="J1642" s="26" t="s">
        <v>539</v>
      </c>
      <c r="K1642" s="26" t="s">
        <v>242</v>
      </c>
      <c r="L1642" s="26" t="s">
        <v>302</v>
      </c>
      <c r="M1642" s="26" t="s">
        <v>323</v>
      </c>
      <c r="N1642" s="26">
        <v>90</v>
      </c>
      <c r="O1642" s="26">
        <f>2024-Inventory[[#This Row],[YrBlt]]</f>
        <v>89</v>
      </c>
      <c r="P1642" s="26">
        <f>2024-Inventory[[#This Row],[EffYr]]</f>
        <v>53</v>
      </c>
      <c r="Q1642" s="25">
        <v>1935</v>
      </c>
      <c r="R1642" s="25">
        <v>1971</v>
      </c>
      <c r="S1642" s="25">
        <v>1425</v>
      </c>
      <c r="T1642" s="27"/>
      <c r="U1642" s="25">
        <v>1425</v>
      </c>
      <c r="V1642" s="25">
        <f>Inventory[[#This Row],[Bsmt]]-Inventory[[#This Row],[FnBsmt]]</f>
        <v>0</v>
      </c>
      <c r="W1642" s="25">
        <v>1425</v>
      </c>
      <c r="X1642" s="27"/>
      <c r="Y1642" s="27">
        <f>Inventory[[#This Row],[MainFn]]+Inventory[[#This Row],[UpprFn]]+Inventory[[#This Row],[FnBsmt]]+Inventory[[#This Row],[AddFn]]</f>
        <v>2850</v>
      </c>
      <c r="Z1642" s="27">
        <v>3000</v>
      </c>
      <c r="AA1642" s="25">
        <v>6</v>
      </c>
      <c r="AB1642" s="31"/>
      <c r="AC1642" s="31"/>
      <c r="AD1642" s="32">
        <v>135</v>
      </c>
      <c r="AE1642" s="27"/>
      <c r="AF1642" s="27"/>
      <c r="AG1642" s="27"/>
      <c r="AH1642" s="27"/>
      <c r="AI1642" s="25">
        <v>398991</v>
      </c>
      <c r="AJ1642" s="25">
        <v>267324</v>
      </c>
      <c r="AK1642" s="25">
        <v>12480</v>
      </c>
      <c r="AL1642" s="25">
        <v>365200</v>
      </c>
      <c r="AM1642" s="25">
        <v>56600</v>
      </c>
      <c r="AN1642" s="25">
        <v>308600</v>
      </c>
      <c r="AO1642" s="25">
        <v>0</v>
      </c>
      <c r="AP1642" s="25">
        <f>Lookups!$B$56*0</f>
        <v>0</v>
      </c>
      <c r="AQ1642" s="25">
        <f>Lookups!$B$56*1</f>
        <v>89850.625589999996</v>
      </c>
      <c r="AR1642" s="25">
        <f>Lookups!$B$57*Inventory[[#This Row],[LnAcres]]</f>
        <v>-52569.808201026557</v>
      </c>
      <c r="AS1642" s="25">
        <f>VLOOKUP(Inventory[[#This Row],[Qlty]],Lookups!$A$62:$E$75,2,FALSE)</f>
        <v>29814.093161000001</v>
      </c>
      <c r="AT1642" s="25">
        <f>VLOOKUP(Inventory[[#This Row],[Cnd]],Lookups!$A$76:$E$84,2,FALSE)</f>
        <v>160472.20319</v>
      </c>
      <c r="AU1642" s="25">
        <f>Inventory[[#This Row],[EffAge]]*Lookups!$B$85</f>
        <v>-11821.416826500001</v>
      </c>
      <c r="AV1642" s="25">
        <f>Inventory[[#This Row],[MainFn]]*Lookups!$B$86</f>
        <v>70407.354574725003</v>
      </c>
      <c r="AW1642" s="25">
        <f>Inventory[[#This Row],[UpprFn]]*Lookups!$B$87</f>
        <v>0</v>
      </c>
      <c r="AX1642" s="25">
        <f>Inventory[[#This Row],[AddFn]]*Lookups!$B$88</f>
        <v>0</v>
      </c>
      <c r="AY1642" s="25">
        <f>Inventory[[#This Row],[Bsmt]]*Lookups!$B$89</f>
        <v>41441.700726974996</v>
      </c>
      <c r="AZ1642" s="25">
        <f>Inventory[[#This Row],[Fixtures]]*Lookups!$B$90</f>
        <v>22752.132631200002</v>
      </c>
      <c r="BA1642" s="25">
        <f>Inventory[[#This Row],[WdDeck]]*Lookups!$B$91</f>
        <v>4494.8945622600004</v>
      </c>
      <c r="BB1642" s="25">
        <f>ROUND(Inventory[[#This Row],[25Det]],-2)</f>
        <v>12500</v>
      </c>
      <c r="BC1642" s="25">
        <f>ROUND(SUM(Inventory[[#This Row],[Mdl Qlty]:[Mdl WdDeck]])+Inventory[[#This Row],[Mdl Res Intercept]],-2)</f>
        <v>317600</v>
      </c>
      <c r="BD1642" s="25">
        <f>ROUND(Inventory[[#This Row],[Mdl Land Intercept]]+Inventory[[#This Row],[Mdl LnAcres]],-2)</f>
        <v>37300</v>
      </c>
      <c r="BE1642" s="25">
        <f>Inventory[[#This Row],[Unadj Res Value]]+Inventory[[#This Row],[Unadj Det Value]]+Inventory[[#This Row],[Unadj Land Value]]</f>
        <v>367400</v>
      </c>
      <c r="BF1642" s="36">
        <f>(Inventory[[#This Row],[Unadj Total Value]]-Inventory[[#This Row],[24Final]])/Inventory[[#This Row],[24Final]]</f>
        <v>6.024096385542169E-3</v>
      </c>
      <c r="BG1642" s="25">
        <f>VLOOKUP(Inventory[[#This Row],[Nbhd]],Lookups!$Q$2:$T$4,4,FALSE)</f>
        <v>0.99970000000000003</v>
      </c>
      <c r="BH1642" s="25">
        <f>VLOOKUP(Inventory[[#This Row],[Qlty]],Lookups!$O$7:$R$21,4,FALSE)</f>
        <v>1.0088999999999999</v>
      </c>
      <c r="BI1642" s="25">
        <f>VLOOKUP(Inventory[[#This Row],[Cnd]],Lookups!$T$7:$W$16,4,FALSE)</f>
        <v>0.99729999999999996</v>
      </c>
      <c r="BJ1642" s="25">
        <f>VLOOKUP(Inventory[[#This Row],[LivArea Range]],Lookups!$T$25:$W$37,4,FALSE)</f>
        <v>0.96179999999999999</v>
      </c>
      <c r="BK1642" s="25">
        <f>VLOOKUP(Inventory[[#This Row],[Decade]],Lookups!$O$25:$R$42,4,FALSE)</f>
        <v>0.98909999999999998</v>
      </c>
      <c r="BL1642" s="25">
        <f>Inventory[[#This Row],[Nbhd Adj]]*0.95</f>
        <v>0.94971499999999998</v>
      </c>
      <c r="BM1642" s="25">
        <f>Inventory[[#This Row],[Nbhd Adj]]*Inventory[[#This Row],[Quality Adj]]*Inventory[[#This Row],[Condition Adj]]*Inventory[[#This Row],[Living Area Adj]]*Inventory[[#This Row],[Decade Adj]]*0.95</f>
        <v>0.90905929772301342</v>
      </c>
      <c r="BN1642" s="25">
        <f>ROUND(SUM(Inventory[[#This Row],[Mdl Qlty]:[Mdl WdDeck]])+Inventory[[#This Row],[Mdl Res Intercept]]*Inventory[[#This Row],[Res Adj ]],-2)</f>
        <v>317600</v>
      </c>
      <c r="BO1642" s="25">
        <f>ROUND(Inventory[[#This Row],[25Det]]*Inventory[[#This Row],[Det/Nbhd Adj]],-2)</f>
        <v>11900</v>
      </c>
      <c r="BP1642" s="25">
        <f>Inventory[[#This Row],[Adjusted Res]]+Inventory[[#This Row],[Adj Det ]]</f>
        <v>329500</v>
      </c>
      <c r="BQ1642" s="25">
        <f>ROUND((Inventory[[#This Row],[Mdl Land Intercept]]+Inventory[[#This Row],[Mdl LnAcres]])*Inventory[[#This Row],[Det/Nbhd Adj]],-2)</f>
        <v>35400</v>
      </c>
      <c r="BR1642" s="25">
        <f>Inventory[[#This Row],[Adjusted Impr Total]]+Inventory[[#This Row],[Adjusted Land Total]]</f>
        <v>364900</v>
      </c>
      <c r="BS1642" s="36">
        <f>IFERROR((Inventory[[#This Row],[Adjusted Impr Total]]-Inventory[[#This Row],[24Bldg]])/Inventory[[#This Row],[24Bldg]],0)</f>
        <v>6.7725210628645491E-2</v>
      </c>
      <c r="BT1642" s="36">
        <f>(Inventory[[#This Row],[Adjusted Land Total]]-Inventory[[#This Row],[24Lnd]])/Inventory[[#This Row],[24Lnd]]</f>
        <v>-0.37455830388692579</v>
      </c>
      <c r="BU1642" s="36">
        <f>(Inventory[[#This Row],[Adjusted Total]]-Inventory[[#This Row],[24Final]])/Inventory[[#This Row],[24Final]]</f>
        <v>-8.2146768893756844E-4</v>
      </c>
    </row>
    <row r="1643" spans="1:73" x14ac:dyDescent="0.3">
      <c r="A1643" s="25">
        <v>2025</v>
      </c>
      <c r="B1643" s="26" t="s">
        <v>2254</v>
      </c>
      <c r="C1643" s="26">
        <f>LN(Inventory[[#This Row],[Acres]])</f>
        <v>-1.4271163556401458</v>
      </c>
      <c r="D1643" s="25">
        <v>0.24</v>
      </c>
      <c r="E1643" s="27"/>
      <c r="F1643" s="26" t="s">
        <v>537</v>
      </c>
      <c r="G1643" s="26" t="s">
        <v>126</v>
      </c>
      <c r="H1643" s="26" t="s">
        <v>349</v>
      </c>
      <c r="I1643" s="26" t="s">
        <v>538</v>
      </c>
      <c r="J1643" s="26" t="s">
        <v>539</v>
      </c>
      <c r="K1643" s="26" t="s">
        <v>269</v>
      </c>
      <c r="L1643" s="26" t="s">
        <v>205</v>
      </c>
      <c r="M1643" s="26" t="s">
        <v>323</v>
      </c>
      <c r="N1643" s="26">
        <v>90</v>
      </c>
      <c r="O1643" s="26">
        <f>2024-Inventory[[#This Row],[YrBlt]]</f>
        <v>89</v>
      </c>
      <c r="P1643" s="26">
        <f>2024-Inventory[[#This Row],[EffYr]]</f>
        <v>53</v>
      </c>
      <c r="Q1643" s="25">
        <v>1935</v>
      </c>
      <c r="R1643" s="25">
        <v>1971</v>
      </c>
      <c r="S1643" s="25">
        <v>1110</v>
      </c>
      <c r="T1643" s="32">
        <v>750</v>
      </c>
      <c r="U1643" s="25">
        <v>660</v>
      </c>
      <c r="V1643" s="25">
        <f>Inventory[[#This Row],[Bsmt]]-Inventory[[#This Row],[FnBsmt]]</f>
        <v>0</v>
      </c>
      <c r="W1643" s="25">
        <v>660</v>
      </c>
      <c r="X1643" s="27"/>
      <c r="Y1643" s="27">
        <f>Inventory[[#This Row],[MainFn]]+Inventory[[#This Row],[UpprFn]]+Inventory[[#This Row],[FnBsmt]]+Inventory[[#This Row],[AddFn]]</f>
        <v>2520</v>
      </c>
      <c r="Z1643" s="27">
        <v>3000</v>
      </c>
      <c r="AA1643" s="25">
        <v>7</v>
      </c>
      <c r="AB1643" s="27"/>
      <c r="AC1643" s="27"/>
      <c r="AD1643" s="32">
        <v>60</v>
      </c>
      <c r="AE1643" s="27"/>
      <c r="AF1643" s="27"/>
      <c r="AG1643" s="27"/>
      <c r="AH1643" s="27"/>
      <c r="AI1643" s="25">
        <v>310379</v>
      </c>
      <c r="AJ1643" s="25">
        <v>207954</v>
      </c>
      <c r="AK1643" s="25">
        <v>0</v>
      </c>
      <c r="AL1643" s="25">
        <v>332600</v>
      </c>
      <c r="AM1643" s="25">
        <v>64800</v>
      </c>
      <c r="AN1643" s="25">
        <v>267800</v>
      </c>
      <c r="AO1643" s="25">
        <v>0</v>
      </c>
      <c r="AP1643" s="25">
        <f>Lookups!$B$56*0</f>
        <v>0</v>
      </c>
      <c r="AQ1643" s="25">
        <f>Lookups!$B$56*1</f>
        <v>89850.625589999996</v>
      </c>
      <c r="AR1643" s="25">
        <f>Lookups!$B$57*Inventory[[#This Row],[LnAcres]]</f>
        <v>-45174.819855485119</v>
      </c>
      <c r="AS1643" s="25">
        <f>VLOOKUP(Inventory[[#This Row],[Qlty]],Lookups!$A$62:$E$75,2,FALSE)</f>
        <v>0</v>
      </c>
      <c r="AT1643" s="25">
        <f>VLOOKUP(Inventory[[#This Row],[Cnd]],Lookups!$A$76:$E$84,2,FALSE)</f>
        <v>160472.20319</v>
      </c>
      <c r="AU1643" s="25">
        <f>Inventory[[#This Row],[EffAge]]*Lookups!$B$85</f>
        <v>-11821.416826500001</v>
      </c>
      <c r="AV1643" s="25">
        <f>Inventory[[#This Row],[MainFn]]*Lookups!$B$86</f>
        <v>54843.623563469999</v>
      </c>
      <c r="AW1643" s="25">
        <f>Inventory[[#This Row],[UpprFn]]*Lookups!$B$87</f>
        <v>33589.817145749999</v>
      </c>
      <c r="AX1643" s="25">
        <f>Inventory[[#This Row],[AddFn]]*Lookups!$B$88</f>
        <v>0</v>
      </c>
      <c r="AY1643" s="25">
        <f>Inventory[[#This Row],[Bsmt]]*Lookups!$B$89</f>
        <v>19194.050863019998</v>
      </c>
      <c r="AZ1643" s="25">
        <f>Inventory[[#This Row],[Fixtures]]*Lookups!$B$90</f>
        <v>26544.1547364</v>
      </c>
      <c r="BA1643" s="25">
        <f>Inventory[[#This Row],[WdDeck]]*Lookups!$B$91</f>
        <v>1997.7309165600002</v>
      </c>
      <c r="BB1643" s="25">
        <f>ROUND(Inventory[[#This Row],[25Det]],-2)</f>
        <v>0</v>
      </c>
      <c r="BC1643" s="25">
        <f>ROUND(SUM(Inventory[[#This Row],[Mdl Qlty]:[Mdl WdDeck]])+Inventory[[#This Row],[Mdl Res Intercept]],-2)</f>
        <v>284800</v>
      </c>
      <c r="BD1643" s="25">
        <f>ROUND(Inventory[[#This Row],[Mdl Land Intercept]]+Inventory[[#This Row],[Mdl LnAcres]],-2)</f>
        <v>44700</v>
      </c>
      <c r="BE1643" s="25">
        <f>Inventory[[#This Row],[Unadj Res Value]]+Inventory[[#This Row],[Unadj Det Value]]+Inventory[[#This Row],[Unadj Land Value]]</f>
        <v>329500</v>
      </c>
      <c r="BF1643" s="36">
        <f>(Inventory[[#This Row],[Unadj Total Value]]-Inventory[[#This Row],[24Final]])/Inventory[[#This Row],[24Final]]</f>
        <v>-9.3205051112447389E-3</v>
      </c>
      <c r="BG1643" s="25">
        <f>VLOOKUP(Inventory[[#This Row],[Nbhd]],Lookups!$Q$2:$T$4,4,FALSE)</f>
        <v>0.99970000000000003</v>
      </c>
      <c r="BH1643" s="25">
        <f>VLOOKUP(Inventory[[#This Row],[Qlty]],Lookups!$O$7:$R$21,4,FALSE)</f>
        <v>0.99180000000000001</v>
      </c>
      <c r="BI1643" s="25">
        <f>VLOOKUP(Inventory[[#This Row],[Cnd]],Lookups!$T$7:$W$16,4,FALSE)</f>
        <v>0.99729999999999996</v>
      </c>
      <c r="BJ1643" s="25">
        <f>VLOOKUP(Inventory[[#This Row],[LivArea Range]],Lookups!$T$25:$W$37,4,FALSE)</f>
        <v>0.96179999999999999</v>
      </c>
      <c r="BK1643" s="25">
        <f>VLOOKUP(Inventory[[#This Row],[Decade]],Lookups!$O$25:$R$42,4,FALSE)</f>
        <v>0.98909999999999998</v>
      </c>
      <c r="BL1643" s="25">
        <f>Inventory[[#This Row],[Nbhd Adj]]*0.95</f>
        <v>0.94971499999999998</v>
      </c>
      <c r="BM1643" s="25">
        <f>Inventory[[#This Row],[Nbhd Adj]]*Inventory[[#This Row],[Quality Adj]]*Inventory[[#This Row],[Condition Adj]]*Inventory[[#This Row],[Living Area Adj]]*Inventory[[#This Row],[Decade Adj]]*0.95</f>
        <v>0.89365151301584389</v>
      </c>
      <c r="BN1643" s="25">
        <f>ROUND(SUM(Inventory[[#This Row],[Mdl Qlty]:[Mdl WdDeck]])+Inventory[[#This Row],[Mdl Res Intercept]]*Inventory[[#This Row],[Res Adj ]],-2)</f>
        <v>284800</v>
      </c>
      <c r="BO1643" s="25">
        <f>ROUND(Inventory[[#This Row],[25Det]]*Inventory[[#This Row],[Det/Nbhd Adj]],-2)</f>
        <v>0</v>
      </c>
      <c r="BP1643" s="25">
        <f>Inventory[[#This Row],[Adjusted Res]]+Inventory[[#This Row],[Adj Det ]]</f>
        <v>284800</v>
      </c>
      <c r="BQ1643" s="25">
        <f>ROUND((Inventory[[#This Row],[Mdl Land Intercept]]+Inventory[[#This Row],[Mdl LnAcres]])*Inventory[[#This Row],[Det/Nbhd Adj]],-2)</f>
        <v>42400</v>
      </c>
      <c r="BR1643" s="25">
        <f>Inventory[[#This Row],[Adjusted Impr Total]]+Inventory[[#This Row],[Adjusted Land Total]]</f>
        <v>327200</v>
      </c>
      <c r="BS1643" s="36">
        <f>IFERROR((Inventory[[#This Row],[Adjusted Impr Total]]-Inventory[[#This Row],[24Bldg]])/Inventory[[#This Row],[24Bldg]],0)</f>
        <v>6.3480209111277067E-2</v>
      </c>
      <c r="BT1643" s="36">
        <f>(Inventory[[#This Row],[Adjusted Land Total]]-Inventory[[#This Row],[24Lnd]])/Inventory[[#This Row],[24Lnd]]</f>
        <v>-0.34567901234567899</v>
      </c>
      <c r="BU1643" s="36">
        <f>(Inventory[[#This Row],[Adjusted Total]]-Inventory[[#This Row],[24Final]])/Inventory[[#This Row],[24Final]]</f>
        <v>-1.6235718580877932E-2</v>
      </c>
    </row>
    <row r="1644" spans="1:73" x14ac:dyDescent="0.3">
      <c r="A1644" s="25">
        <v>2025</v>
      </c>
      <c r="B1644" s="26" t="s">
        <v>2253</v>
      </c>
      <c r="C1644" s="26">
        <f>LN(Inventory[[#This Row],[Acres]])</f>
        <v>-1.2039728043259361</v>
      </c>
      <c r="D1644" s="25">
        <v>0.3</v>
      </c>
      <c r="E1644" s="32">
        <v>12975</v>
      </c>
      <c r="F1644" s="26" t="s">
        <v>537</v>
      </c>
      <c r="G1644" s="26" t="s">
        <v>126</v>
      </c>
      <c r="H1644" s="26" t="s">
        <v>349</v>
      </c>
      <c r="I1644" s="26" t="s">
        <v>538</v>
      </c>
      <c r="J1644" s="26" t="s">
        <v>539</v>
      </c>
      <c r="K1644" s="26" t="s">
        <v>173</v>
      </c>
      <c r="L1644" s="26" t="s">
        <v>205</v>
      </c>
      <c r="M1644" s="26" t="s">
        <v>323</v>
      </c>
      <c r="N1644" s="26">
        <v>90</v>
      </c>
      <c r="O1644" s="26">
        <f>2024-Inventory[[#This Row],[YrBlt]]</f>
        <v>89</v>
      </c>
      <c r="P1644" s="26">
        <f>2024-Inventory[[#This Row],[EffYr]]</f>
        <v>53</v>
      </c>
      <c r="Q1644" s="25">
        <v>1935</v>
      </c>
      <c r="R1644" s="25">
        <v>1971</v>
      </c>
      <c r="S1644" s="25">
        <v>1223</v>
      </c>
      <c r="T1644" s="32">
        <v>444</v>
      </c>
      <c r="U1644" s="25">
        <v>625</v>
      </c>
      <c r="V1644" s="25">
        <f>Inventory[[#This Row],[Bsmt]]-Inventory[[#This Row],[FnBsmt]]</f>
        <v>5</v>
      </c>
      <c r="W1644" s="25">
        <v>620</v>
      </c>
      <c r="X1644" s="27"/>
      <c r="Y1644" s="27">
        <f>Inventory[[#This Row],[MainFn]]+Inventory[[#This Row],[UpprFn]]+Inventory[[#This Row],[FnBsmt]]+Inventory[[#This Row],[AddFn]]</f>
        <v>2287</v>
      </c>
      <c r="Z1644" s="27">
        <v>2500</v>
      </c>
      <c r="AA1644" s="25">
        <v>8</v>
      </c>
      <c r="AB1644" s="27"/>
      <c r="AC1644" s="27"/>
      <c r="AD1644" s="27"/>
      <c r="AE1644" s="27"/>
      <c r="AF1644" s="27"/>
      <c r="AG1644" s="27"/>
      <c r="AH1644" s="27"/>
      <c r="AI1644" s="25">
        <v>323027</v>
      </c>
      <c r="AJ1644" s="25">
        <v>216428</v>
      </c>
      <c r="AK1644" s="25">
        <v>0</v>
      </c>
      <c r="AL1644" s="25">
        <v>336000</v>
      </c>
      <c r="AM1644" s="25">
        <v>72500</v>
      </c>
      <c r="AN1644" s="25">
        <v>263500</v>
      </c>
      <c r="AO1644" s="25">
        <v>0</v>
      </c>
      <c r="AP1644" s="25">
        <f>Lookups!$B$56*0</f>
        <v>0</v>
      </c>
      <c r="AQ1644" s="25">
        <f>Lookups!$B$56*1</f>
        <v>89850.625589999996</v>
      </c>
      <c r="AR1644" s="25">
        <f>Lookups!$B$57*Inventory[[#This Row],[LnAcres]]</f>
        <v>-38111.29648355169</v>
      </c>
      <c r="AS1644" s="25">
        <f>VLOOKUP(Inventory[[#This Row],[Qlty]],Lookups!$A$62:$E$75,2,FALSE)</f>
        <v>0</v>
      </c>
      <c r="AT1644" s="25">
        <f>VLOOKUP(Inventory[[#This Row],[Cnd]],Lookups!$A$76:$E$84,2,FALSE)</f>
        <v>160472.20319</v>
      </c>
      <c r="AU1644" s="25">
        <f>Inventory[[#This Row],[EffAge]]*Lookups!$B$85</f>
        <v>-11821.416826500001</v>
      </c>
      <c r="AV1644" s="25">
        <f>Inventory[[#This Row],[MainFn]]*Lookups!$B$86</f>
        <v>60426.803259571003</v>
      </c>
      <c r="AW1644" s="25">
        <f>Inventory[[#This Row],[UpprFn]]*Lookups!$B$87</f>
        <v>19885.171750284</v>
      </c>
      <c r="AX1644" s="25">
        <f>Inventory[[#This Row],[AddFn]]*Lookups!$B$88</f>
        <v>0</v>
      </c>
      <c r="AY1644" s="25">
        <f>Inventory[[#This Row],[Bsmt]]*Lookups!$B$89</f>
        <v>18176.184529374998</v>
      </c>
      <c r="AZ1644" s="25">
        <f>Inventory[[#This Row],[Fixtures]]*Lookups!$B$90</f>
        <v>30336.176841600001</v>
      </c>
      <c r="BA1644" s="25">
        <f>Inventory[[#This Row],[WdDeck]]*Lookups!$B$91</f>
        <v>0</v>
      </c>
      <c r="BB1644" s="25">
        <f>ROUND(Inventory[[#This Row],[25Det]],-2)</f>
        <v>0</v>
      </c>
      <c r="BC1644" s="25">
        <f>ROUND(SUM(Inventory[[#This Row],[Mdl Qlty]:[Mdl WdDeck]])+Inventory[[#This Row],[Mdl Res Intercept]],-2)</f>
        <v>277500</v>
      </c>
      <c r="BD1644" s="25">
        <f>ROUND(Inventory[[#This Row],[Mdl Land Intercept]]+Inventory[[#This Row],[Mdl LnAcres]],-2)</f>
        <v>51700</v>
      </c>
      <c r="BE1644" s="25">
        <f>Inventory[[#This Row],[Unadj Res Value]]+Inventory[[#This Row],[Unadj Det Value]]+Inventory[[#This Row],[Unadj Land Value]]</f>
        <v>329200</v>
      </c>
      <c r="BF1644" s="36">
        <f>(Inventory[[#This Row],[Unadj Total Value]]-Inventory[[#This Row],[24Final]])/Inventory[[#This Row],[24Final]]</f>
        <v>-2.0238095238095239E-2</v>
      </c>
      <c r="BG1644" s="25">
        <f>VLOOKUP(Inventory[[#This Row],[Nbhd]],Lookups!$Q$2:$T$4,4,FALSE)</f>
        <v>0.99970000000000003</v>
      </c>
      <c r="BH1644" s="25">
        <f>VLOOKUP(Inventory[[#This Row],[Qlty]],Lookups!$O$7:$R$21,4,FALSE)</f>
        <v>0.99180000000000001</v>
      </c>
      <c r="BI1644" s="25">
        <f>VLOOKUP(Inventory[[#This Row],[Cnd]],Lookups!$T$7:$W$16,4,FALSE)</f>
        <v>0.99729999999999996</v>
      </c>
      <c r="BJ1644" s="25">
        <f>VLOOKUP(Inventory[[#This Row],[LivArea Range]],Lookups!$T$25:$W$37,4,FALSE)</f>
        <v>0.98919999999999997</v>
      </c>
      <c r="BK1644" s="25">
        <f>VLOOKUP(Inventory[[#This Row],[Decade]],Lookups!$O$25:$R$42,4,FALSE)</f>
        <v>0.98909999999999998</v>
      </c>
      <c r="BL1644" s="25">
        <f>Inventory[[#This Row],[Nbhd Adj]]*0.95</f>
        <v>0.94971499999999998</v>
      </c>
      <c r="BM1644" s="25">
        <f>Inventory[[#This Row],[Nbhd Adj]]*Inventory[[#This Row],[Quality Adj]]*Inventory[[#This Row],[Condition Adj]]*Inventory[[#This Row],[Living Area Adj]]*Inventory[[#This Row],[Decade Adj]]*0.95</f>
        <v>0.91911008180003395</v>
      </c>
      <c r="BN1644" s="25">
        <f>ROUND(SUM(Inventory[[#This Row],[Mdl Qlty]:[Mdl WdDeck]])+Inventory[[#This Row],[Mdl Res Intercept]]*Inventory[[#This Row],[Res Adj ]],-2)</f>
        <v>277500</v>
      </c>
      <c r="BO1644" s="25">
        <f>ROUND(Inventory[[#This Row],[25Det]]*Inventory[[#This Row],[Det/Nbhd Adj]],-2)</f>
        <v>0</v>
      </c>
      <c r="BP1644" s="25">
        <f>Inventory[[#This Row],[Adjusted Res]]+Inventory[[#This Row],[Adj Det ]]</f>
        <v>277500</v>
      </c>
      <c r="BQ1644" s="25">
        <f>ROUND((Inventory[[#This Row],[Mdl Land Intercept]]+Inventory[[#This Row],[Mdl LnAcres]])*Inventory[[#This Row],[Det/Nbhd Adj]],-2)</f>
        <v>49100</v>
      </c>
      <c r="BR1644" s="25">
        <f>Inventory[[#This Row],[Adjusted Impr Total]]+Inventory[[#This Row],[Adjusted Land Total]]</f>
        <v>326600</v>
      </c>
      <c r="BS1644" s="36">
        <f>IFERROR((Inventory[[#This Row],[Adjusted Impr Total]]-Inventory[[#This Row],[24Bldg]])/Inventory[[#This Row],[24Bldg]],0)</f>
        <v>5.3130929791271347E-2</v>
      </c>
      <c r="BT1644" s="36">
        <f>(Inventory[[#This Row],[Adjusted Land Total]]-Inventory[[#This Row],[24Lnd]])/Inventory[[#This Row],[24Lnd]]</f>
        <v>-0.32275862068965516</v>
      </c>
      <c r="BU1644" s="36">
        <f>(Inventory[[#This Row],[Adjusted Total]]-Inventory[[#This Row],[24Final]])/Inventory[[#This Row],[24Final]]</f>
        <v>-2.7976190476190477E-2</v>
      </c>
    </row>
    <row r="1645" spans="1:73" x14ac:dyDescent="0.3">
      <c r="A1645" s="25">
        <v>2025</v>
      </c>
      <c r="B1645" s="26" t="s">
        <v>1302</v>
      </c>
      <c r="C1645" s="26">
        <f>LN(Inventory[[#This Row],[Acres]])</f>
        <v>-1.7147984280919266</v>
      </c>
      <c r="D1645" s="25">
        <v>0.18</v>
      </c>
      <c r="E1645" s="27"/>
      <c r="F1645" s="26" t="s">
        <v>537</v>
      </c>
      <c r="G1645" s="26" t="s">
        <v>126</v>
      </c>
      <c r="H1645" s="26" t="s">
        <v>349</v>
      </c>
      <c r="I1645" s="26" t="s">
        <v>538</v>
      </c>
      <c r="J1645" s="26" t="s">
        <v>539</v>
      </c>
      <c r="K1645" s="26" t="s">
        <v>147</v>
      </c>
      <c r="L1645" s="26" t="s">
        <v>351</v>
      </c>
      <c r="M1645" s="26" t="s">
        <v>323</v>
      </c>
      <c r="N1645" s="26">
        <v>90</v>
      </c>
      <c r="O1645" s="26">
        <f>2024-Inventory[[#This Row],[YrBlt]]</f>
        <v>89</v>
      </c>
      <c r="P1645" s="26">
        <f>2024-Inventory[[#This Row],[EffYr]]</f>
        <v>53</v>
      </c>
      <c r="Q1645" s="25">
        <v>1935</v>
      </c>
      <c r="R1645" s="25">
        <v>1971</v>
      </c>
      <c r="S1645" s="25">
        <v>932</v>
      </c>
      <c r="T1645" s="32">
        <v>752</v>
      </c>
      <c r="U1645" s="25">
        <v>624</v>
      </c>
      <c r="V1645" s="25">
        <f>Inventory[[#This Row],[Bsmt]]-Inventory[[#This Row],[FnBsmt]]</f>
        <v>0</v>
      </c>
      <c r="W1645" s="25">
        <v>624</v>
      </c>
      <c r="X1645" s="27"/>
      <c r="Y1645" s="27">
        <f>Inventory[[#This Row],[MainFn]]+Inventory[[#This Row],[UpprFn]]+Inventory[[#This Row],[FnBsmt]]+Inventory[[#This Row],[AddFn]]</f>
        <v>2308</v>
      </c>
      <c r="Z1645" s="27">
        <v>2500</v>
      </c>
      <c r="AA1645" s="25">
        <v>9</v>
      </c>
      <c r="AB1645" s="31"/>
      <c r="AC1645" s="27"/>
      <c r="AD1645" s="32">
        <v>176</v>
      </c>
      <c r="AE1645" s="27"/>
      <c r="AF1645" s="27"/>
      <c r="AG1645" s="27"/>
      <c r="AH1645" s="27"/>
      <c r="AI1645" s="25">
        <v>371859</v>
      </c>
      <c r="AJ1645" s="25">
        <v>249146</v>
      </c>
      <c r="AK1645" s="25">
        <v>6050</v>
      </c>
      <c r="AL1645" s="25">
        <v>362600</v>
      </c>
      <c r="AM1645" s="25">
        <v>54700</v>
      </c>
      <c r="AN1645" s="25">
        <v>307900</v>
      </c>
      <c r="AO1645" s="25">
        <v>0</v>
      </c>
      <c r="AP1645" s="25">
        <f>Lookups!$B$56*0</f>
        <v>0</v>
      </c>
      <c r="AQ1645" s="25">
        <f>Lookups!$B$56*1</f>
        <v>89850.625589999996</v>
      </c>
      <c r="AR1645" s="25">
        <f>Lookups!$B$57*Inventory[[#This Row],[LnAcres]]</f>
        <v>-54281.285314520763</v>
      </c>
      <c r="AS1645" s="25">
        <f>VLOOKUP(Inventory[[#This Row],[Qlty]],Lookups!$A$62:$E$75,2,FALSE)</f>
        <v>21557.329055999999</v>
      </c>
      <c r="AT1645" s="25">
        <f>VLOOKUP(Inventory[[#This Row],[Cnd]],Lookups!$A$76:$E$84,2,FALSE)</f>
        <v>160472.20319</v>
      </c>
      <c r="AU1645" s="25">
        <f>Inventory[[#This Row],[EffAge]]*Lookups!$B$85</f>
        <v>-11821.416826500001</v>
      </c>
      <c r="AV1645" s="25">
        <f>Inventory[[#This Row],[MainFn]]*Lookups!$B$86</f>
        <v>46048.880325364</v>
      </c>
      <c r="AW1645" s="25">
        <f>Inventory[[#This Row],[UpprFn]]*Lookups!$B$87</f>
        <v>33679.389991472002</v>
      </c>
      <c r="AX1645" s="25">
        <f>Inventory[[#This Row],[AddFn]]*Lookups!$B$88</f>
        <v>0</v>
      </c>
      <c r="AY1645" s="25">
        <f>Inventory[[#This Row],[Bsmt]]*Lookups!$B$89</f>
        <v>18147.102634127998</v>
      </c>
      <c r="AZ1645" s="25">
        <f>Inventory[[#This Row],[Fixtures]]*Lookups!$B$90</f>
        <v>34128.198946800003</v>
      </c>
      <c r="BA1645" s="25">
        <f>Inventory[[#This Row],[WdDeck]]*Lookups!$B$91</f>
        <v>5860.0106885760006</v>
      </c>
      <c r="BB1645" s="25">
        <f>ROUND(Inventory[[#This Row],[25Det]],-2)</f>
        <v>6100</v>
      </c>
      <c r="BC1645" s="25">
        <f>ROUND(SUM(Inventory[[#This Row],[Mdl Qlty]:[Mdl WdDeck]])+Inventory[[#This Row],[Mdl Res Intercept]],-2)</f>
        <v>308100</v>
      </c>
      <c r="BD1645" s="25">
        <f>ROUND(Inventory[[#This Row],[Mdl Land Intercept]]+Inventory[[#This Row],[Mdl LnAcres]],-2)</f>
        <v>35600</v>
      </c>
      <c r="BE1645" s="25">
        <f>Inventory[[#This Row],[Unadj Res Value]]+Inventory[[#This Row],[Unadj Det Value]]+Inventory[[#This Row],[Unadj Land Value]]</f>
        <v>349800</v>
      </c>
      <c r="BF1645" s="36">
        <f>(Inventory[[#This Row],[Unadj Total Value]]-Inventory[[#This Row],[24Final]])/Inventory[[#This Row],[24Final]]</f>
        <v>-3.5300606729178161E-2</v>
      </c>
      <c r="BG1645" s="25">
        <f>VLOOKUP(Inventory[[#This Row],[Nbhd]],Lookups!$Q$2:$T$4,4,FALSE)</f>
        <v>0.99970000000000003</v>
      </c>
      <c r="BH1645" s="25">
        <f>VLOOKUP(Inventory[[#This Row],[Qlty]],Lookups!$O$7:$R$21,4,FALSE)</f>
        <v>1.0067999999999999</v>
      </c>
      <c r="BI1645" s="25">
        <f>VLOOKUP(Inventory[[#This Row],[Cnd]],Lookups!$T$7:$W$16,4,FALSE)</f>
        <v>0.99729999999999996</v>
      </c>
      <c r="BJ1645" s="25">
        <f>VLOOKUP(Inventory[[#This Row],[LivArea Range]],Lookups!$T$25:$W$37,4,FALSE)</f>
        <v>0.98919999999999997</v>
      </c>
      <c r="BK1645" s="25">
        <f>VLOOKUP(Inventory[[#This Row],[Decade]],Lookups!$O$25:$R$42,4,FALSE)</f>
        <v>0.98909999999999998</v>
      </c>
      <c r="BL1645" s="25">
        <f>Inventory[[#This Row],[Nbhd Adj]]*0.95</f>
        <v>0.94971499999999998</v>
      </c>
      <c r="BM1645" s="25">
        <f>Inventory[[#This Row],[Nbhd Adj]]*Inventory[[#This Row],[Quality Adj]]*Inventory[[#This Row],[Condition Adj]]*Inventory[[#This Row],[Living Area Adj]]*Inventory[[#This Row],[Decade Adj]]*0.95</f>
        <v>0.93301071824589021</v>
      </c>
      <c r="BN1645" s="25">
        <f>ROUND(SUM(Inventory[[#This Row],[Mdl Qlty]:[Mdl WdDeck]])+Inventory[[#This Row],[Mdl Res Intercept]]*Inventory[[#This Row],[Res Adj ]],-2)</f>
        <v>308100</v>
      </c>
      <c r="BO1645" s="25">
        <f>ROUND(Inventory[[#This Row],[25Det]]*Inventory[[#This Row],[Det/Nbhd Adj]],-2)</f>
        <v>5700</v>
      </c>
      <c r="BP1645" s="25">
        <f>Inventory[[#This Row],[Adjusted Res]]+Inventory[[#This Row],[Adj Det ]]</f>
        <v>313800</v>
      </c>
      <c r="BQ1645" s="25">
        <f>ROUND((Inventory[[#This Row],[Mdl Land Intercept]]+Inventory[[#This Row],[Mdl LnAcres]])*Inventory[[#This Row],[Det/Nbhd Adj]],-2)</f>
        <v>33800</v>
      </c>
      <c r="BR1645" s="25">
        <f>Inventory[[#This Row],[Adjusted Impr Total]]+Inventory[[#This Row],[Adjusted Land Total]]</f>
        <v>347600</v>
      </c>
      <c r="BS1645" s="36">
        <f>IFERROR((Inventory[[#This Row],[Adjusted Impr Total]]-Inventory[[#This Row],[24Bldg]])/Inventory[[#This Row],[24Bldg]],0)</f>
        <v>1.9162065605716143E-2</v>
      </c>
      <c r="BT1645" s="36">
        <f>(Inventory[[#This Row],[Adjusted Land Total]]-Inventory[[#This Row],[24Lnd]])/Inventory[[#This Row],[24Lnd]]</f>
        <v>-0.38208409506398539</v>
      </c>
      <c r="BU1645" s="36">
        <f>(Inventory[[#This Row],[Adjusted Total]]-Inventory[[#This Row],[24Final]])/Inventory[[#This Row],[24Final]]</f>
        <v>-4.1367898510755653E-2</v>
      </c>
    </row>
    <row r="1646" spans="1:73" x14ac:dyDescent="0.3">
      <c r="A1646" s="25">
        <v>2025</v>
      </c>
      <c r="B1646" s="26" t="s">
        <v>967</v>
      </c>
      <c r="C1646" s="26">
        <f>LN(Inventory[[#This Row],[Acres]])</f>
        <v>-1.6607312068216509</v>
      </c>
      <c r="D1646" s="25">
        <v>0.19</v>
      </c>
      <c r="E1646" s="25">
        <v>8292</v>
      </c>
      <c r="F1646" s="26" t="s">
        <v>537</v>
      </c>
      <c r="G1646" s="26" t="s">
        <v>126</v>
      </c>
      <c r="H1646" s="26" t="s">
        <v>349</v>
      </c>
      <c r="I1646" s="26" t="s">
        <v>538</v>
      </c>
      <c r="J1646" s="26" t="s">
        <v>539</v>
      </c>
      <c r="K1646" s="26" t="s">
        <v>300</v>
      </c>
      <c r="L1646" s="26" t="s">
        <v>148</v>
      </c>
      <c r="M1646" s="26" t="s">
        <v>323</v>
      </c>
      <c r="N1646" s="26">
        <v>90</v>
      </c>
      <c r="O1646" s="26">
        <f>2024-Inventory[[#This Row],[YrBlt]]</f>
        <v>89</v>
      </c>
      <c r="P1646" s="26">
        <f>2024-Inventory[[#This Row],[EffYr]]</f>
        <v>53</v>
      </c>
      <c r="Q1646" s="25">
        <v>1935</v>
      </c>
      <c r="R1646" s="25">
        <v>1971</v>
      </c>
      <c r="S1646" s="25">
        <v>1636</v>
      </c>
      <c r="T1646" s="27"/>
      <c r="U1646" s="32">
        <v>1647</v>
      </c>
      <c r="V1646" s="32">
        <f>Inventory[[#This Row],[Bsmt]]-Inventory[[#This Row],[FnBsmt]]</f>
        <v>165</v>
      </c>
      <c r="W1646" s="32">
        <v>1482</v>
      </c>
      <c r="X1646" s="27"/>
      <c r="Y1646" s="27">
        <f>Inventory[[#This Row],[MainFn]]+Inventory[[#This Row],[UpprFn]]+Inventory[[#This Row],[FnBsmt]]+Inventory[[#This Row],[AddFn]]</f>
        <v>3118</v>
      </c>
      <c r="Z1646" s="27">
        <v>3500</v>
      </c>
      <c r="AA1646" s="25">
        <v>8</v>
      </c>
      <c r="AB1646" s="31"/>
      <c r="AC1646" s="27"/>
      <c r="AD1646" s="27"/>
      <c r="AE1646" s="27"/>
      <c r="AF1646" s="27"/>
      <c r="AG1646" s="27"/>
      <c r="AH1646" s="27"/>
      <c r="AI1646" s="25">
        <v>543785</v>
      </c>
      <c r="AJ1646" s="25">
        <v>364336</v>
      </c>
      <c r="AK1646" s="25">
        <v>13235</v>
      </c>
      <c r="AL1646" s="25">
        <v>422400</v>
      </c>
      <c r="AM1646" s="25">
        <v>56600</v>
      </c>
      <c r="AN1646" s="25">
        <v>365800</v>
      </c>
      <c r="AO1646" s="25">
        <v>0</v>
      </c>
      <c r="AP1646" s="25">
        <f>Lookups!$B$56*0</f>
        <v>0</v>
      </c>
      <c r="AQ1646" s="25">
        <f>Lookups!$B$56*1</f>
        <v>89850.625589999996</v>
      </c>
      <c r="AR1646" s="25">
        <f>Lookups!$B$57*Inventory[[#This Row],[LnAcres]]</f>
        <v>-52569.808201026557</v>
      </c>
      <c r="AS1646" s="25">
        <f>VLOOKUP(Inventory[[#This Row],[Qlty]],Lookups!$A$62:$E$75,2,FALSE)</f>
        <v>44121.038090000002</v>
      </c>
      <c r="AT1646" s="25">
        <f>VLOOKUP(Inventory[[#This Row],[Cnd]],Lookups!$A$76:$E$84,2,FALSE)</f>
        <v>160472.20319</v>
      </c>
      <c r="AU1646" s="25">
        <f>Inventory[[#This Row],[EffAge]]*Lookups!$B$85</f>
        <v>-11821.416826500001</v>
      </c>
      <c r="AV1646" s="25">
        <f>Inventory[[#This Row],[MainFn]]*Lookups!$B$86</f>
        <v>80832.583918771998</v>
      </c>
      <c r="AW1646" s="25">
        <f>Inventory[[#This Row],[UpprFn]]*Lookups!$B$87</f>
        <v>0</v>
      </c>
      <c r="AX1646" s="25">
        <f>Inventory[[#This Row],[AddFn]]*Lookups!$B$88</f>
        <v>0</v>
      </c>
      <c r="AY1646" s="25">
        <f>Inventory[[#This Row],[Bsmt]]*Lookups!$B$89</f>
        <v>47897.881471809</v>
      </c>
      <c r="AZ1646" s="25">
        <f>Inventory[[#This Row],[Fixtures]]*Lookups!$B$90</f>
        <v>30336.176841600001</v>
      </c>
      <c r="BA1646" s="25">
        <f>Inventory[[#This Row],[WdDeck]]*Lookups!$B$91</f>
        <v>0</v>
      </c>
      <c r="BB1646" s="25">
        <f>ROUND(Inventory[[#This Row],[25Det]],-2)</f>
        <v>13200</v>
      </c>
      <c r="BC1646" s="25">
        <f>ROUND(SUM(Inventory[[#This Row],[Mdl Qlty]:[Mdl WdDeck]])+Inventory[[#This Row],[Mdl Res Intercept]],-2)</f>
        <v>351800</v>
      </c>
      <c r="BD1646" s="25">
        <f>ROUND(Inventory[[#This Row],[Mdl Land Intercept]]+Inventory[[#This Row],[Mdl LnAcres]],-2)</f>
        <v>37300</v>
      </c>
      <c r="BE1646" s="25">
        <f>Inventory[[#This Row],[Unadj Res Value]]+Inventory[[#This Row],[Unadj Det Value]]+Inventory[[#This Row],[Unadj Land Value]]</f>
        <v>402300</v>
      </c>
      <c r="BF1646" s="36">
        <f>(Inventory[[#This Row],[Unadj Total Value]]-Inventory[[#This Row],[24Final]])/Inventory[[#This Row],[24Final]]</f>
        <v>-4.7585227272727272E-2</v>
      </c>
      <c r="BG1646" s="25">
        <f>VLOOKUP(Inventory[[#This Row],[Nbhd]],Lookups!$Q$2:$T$4,4,FALSE)</f>
        <v>0.99970000000000003</v>
      </c>
      <c r="BH1646" s="25">
        <f>VLOOKUP(Inventory[[#This Row],[Qlty]],Lookups!$O$7:$R$21,4,FALSE)</f>
        <v>0.98050000000000004</v>
      </c>
      <c r="BI1646" s="25">
        <f>VLOOKUP(Inventory[[#This Row],[Cnd]],Lookups!$T$7:$W$16,4,FALSE)</f>
        <v>0.99729999999999996</v>
      </c>
      <c r="BJ1646" s="25">
        <f>VLOOKUP(Inventory[[#This Row],[LivArea Range]],Lookups!$T$25:$W$37,4,FALSE)</f>
        <v>1.0126999999999999</v>
      </c>
      <c r="BK1646" s="25">
        <f>VLOOKUP(Inventory[[#This Row],[Decade]],Lookups!$O$25:$R$42,4,FALSE)</f>
        <v>0.98909999999999998</v>
      </c>
      <c r="BL1646" s="25">
        <f>Inventory[[#This Row],[Nbhd Adj]]*0.95</f>
        <v>0.94971499999999998</v>
      </c>
      <c r="BM1646" s="25">
        <f>Inventory[[#This Row],[Nbhd Adj]]*Inventory[[#This Row],[Quality Adj]]*Inventory[[#This Row],[Condition Adj]]*Inventory[[#This Row],[Living Area Adj]]*Inventory[[#This Row],[Decade Adj]]*0.95</f>
        <v>0.93022439853139849</v>
      </c>
      <c r="BN1646" s="25">
        <f>ROUND(SUM(Inventory[[#This Row],[Mdl Qlty]:[Mdl WdDeck]])+Inventory[[#This Row],[Mdl Res Intercept]]*Inventory[[#This Row],[Res Adj ]],-2)</f>
        <v>351800</v>
      </c>
      <c r="BO1646" s="25">
        <f>ROUND(Inventory[[#This Row],[25Det]]*Inventory[[#This Row],[Det/Nbhd Adj]],-2)</f>
        <v>12600</v>
      </c>
      <c r="BP1646" s="25">
        <f>Inventory[[#This Row],[Adjusted Res]]+Inventory[[#This Row],[Adj Det ]]</f>
        <v>364400</v>
      </c>
      <c r="BQ1646" s="25">
        <f>ROUND((Inventory[[#This Row],[Mdl Land Intercept]]+Inventory[[#This Row],[Mdl LnAcres]])*Inventory[[#This Row],[Det/Nbhd Adj]],-2)</f>
        <v>35400</v>
      </c>
      <c r="BR1646" s="25">
        <f>Inventory[[#This Row],[Adjusted Impr Total]]+Inventory[[#This Row],[Adjusted Land Total]]</f>
        <v>399800</v>
      </c>
      <c r="BS1646" s="36">
        <f>IFERROR((Inventory[[#This Row],[Adjusted Impr Total]]-Inventory[[#This Row],[24Bldg]])/Inventory[[#This Row],[24Bldg]],0)</f>
        <v>-3.8272279934390375E-3</v>
      </c>
      <c r="BT1646" s="36">
        <f>(Inventory[[#This Row],[Adjusted Land Total]]-Inventory[[#This Row],[24Lnd]])/Inventory[[#This Row],[24Lnd]]</f>
        <v>-0.37455830388692579</v>
      </c>
      <c r="BU1646" s="36">
        <f>(Inventory[[#This Row],[Adjusted Total]]-Inventory[[#This Row],[24Final]])/Inventory[[#This Row],[24Final]]</f>
        <v>-5.350378787878788E-2</v>
      </c>
    </row>
    <row r="1647" spans="1:73" x14ac:dyDescent="0.3">
      <c r="A1647" s="25">
        <v>2025</v>
      </c>
      <c r="B1647" s="26" t="s">
        <v>2870</v>
      </c>
      <c r="C1647" s="26">
        <f>LN(Inventory[[#This Row],[Acres]])</f>
        <v>-1.8971199848858813</v>
      </c>
      <c r="D1647" s="25">
        <v>0.15</v>
      </c>
      <c r="E1647" s="27"/>
      <c r="F1647" s="26" t="s">
        <v>537</v>
      </c>
      <c r="G1647" s="26" t="s">
        <v>126</v>
      </c>
      <c r="H1647" s="26" t="s">
        <v>349</v>
      </c>
      <c r="I1647" s="26" t="s">
        <v>538</v>
      </c>
      <c r="J1647" s="26" t="s">
        <v>539</v>
      </c>
      <c r="K1647" s="26" t="s">
        <v>242</v>
      </c>
      <c r="L1647" s="26" t="s">
        <v>31</v>
      </c>
      <c r="M1647" s="26" t="s">
        <v>206</v>
      </c>
      <c r="N1647" s="26">
        <v>90</v>
      </c>
      <c r="O1647" s="26">
        <f>2024-Inventory[[#This Row],[YrBlt]]</f>
        <v>89</v>
      </c>
      <c r="P1647" s="26">
        <f>2024-Inventory[[#This Row],[EffYr]]</f>
        <v>53</v>
      </c>
      <c r="Q1647" s="25">
        <v>1935</v>
      </c>
      <c r="R1647" s="25">
        <v>1971</v>
      </c>
      <c r="S1647" s="25">
        <v>866</v>
      </c>
      <c r="T1647" s="31"/>
      <c r="U1647" s="25">
        <v>866</v>
      </c>
      <c r="V1647" s="32">
        <f>Inventory[[#This Row],[Bsmt]]-Inventory[[#This Row],[FnBsmt]]</f>
        <v>866</v>
      </c>
      <c r="W1647" s="27"/>
      <c r="X1647" s="27"/>
      <c r="Y1647" s="27">
        <f>Inventory[[#This Row],[MainFn]]+Inventory[[#This Row],[UpprFn]]+Inventory[[#This Row],[FnBsmt]]+Inventory[[#This Row],[AddFn]]</f>
        <v>866</v>
      </c>
      <c r="Z1647" s="27">
        <v>1000</v>
      </c>
      <c r="AA1647" s="25">
        <v>5</v>
      </c>
      <c r="AB1647" s="31"/>
      <c r="AC1647" s="27"/>
      <c r="AD1647" s="31"/>
      <c r="AE1647" s="27"/>
      <c r="AF1647" s="27"/>
      <c r="AG1647" s="27"/>
      <c r="AH1647" s="27"/>
      <c r="AI1647" s="25">
        <v>153307</v>
      </c>
      <c r="AJ1647" s="25">
        <v>99650</v>
      </c>
      <c r="AK1647" s="25">
        <v>4960</v>
      </c>
      <c r="AL1647" s="25">
        <v>210400</v>
      </c>
      <c r="AM1647" s="25">
        <v>48400</v>
      </c>
      <c r="AN1647" s="25">
        <v>162000</v>
      </c>
      <c r="AO1647" s="25">
        <v>0</v>
      </c>
      <c r="AP1647" s="25">
        <f>Lookups!$B$56*0</f>
        <v>0</v>
      </c>
      <c r="AQ1647" s="25">
        <f>Lookups!$B$56*1</f>
        <v>89850.625589999996</v>
      </c>
      <c r="AR1647" s="25">
        <f>Lookups!$B$57*Inventory[[#This Row],[LnAcres]]</f>
        <v>-60052.604136134301</v>
      </c>
      <c r="AS1647" s="25">
        <f>VLOOKUP(Inventory[[#This Row],[Qlty]],Lookups!$A$62:$E$75,2,FALSE)</f>
        <v>-43578.886190266698</v>
      </c>
      <c r="AT1647" s="25">
        <f>VLOOKUP(Inventory[[#This Row],[Cnd]],Lookups!$A$76:$E$84,2,FALSE)</f>
        <v>133714.53821</v>
      </c>
      <c r="AU1647" s="25">
        <f>Inventory[[#This Row],[EffAge]]*Lookups!$B$85</f>
        <v>-11821.416826500001</v>
      </c>
      <c r="AV1647" s="25">
        <f>Inventory[[#This Row],[MainFn]]*Lookups!$B$86</f>
        <v>42787.908113482001</v>
      </c>
      <c r="AW1647" s="25">
        <f>Inventory[[#This Row],[UpprFn]]*Lookups!$B$87</f>
        <v>0</v>
      </c>
      <c r="AX1647" s="25">
        <f>Inventory[[#This Row],[AddFn]]*Lookups!$B$88</f>
        <v>0</v>
      </c>
      <c r="AY1647" s="25">
        <f>Inventory[[#This Row],[Bsmt]]*Lookups!$B$89</f>
        <v>25184.921283902</v>
      </c>
      <c r="AZ1647" s="25">
        <f>Inventory[[#This Row],[Fixtures]]*Lookups!$B$90</f>
        <v>18960.110526</v>
      </c>
      <c r="BA1647" s="25">
        <f>Inventory[[#This Row],[WdDeck]]*Lookups!$B$91</f>
        <v>0</v>
      </c>
      <c r="BB1647" s="25">
        <f>ROUND(Inventory[[#This Row],[25Det]],-2)</f>
        <v>5000</v>
      </c>
      <c r="BC1647" s="25">
        <f>ROUND(SUM(Inventory[[#This Row],[Mdl Qlty]:[Mdl WdDeck]])+Inventory[[#This Row],[Mdl Res Intercept]],-2)</f>
        <v>165200</v>
      </c>
      <c r="BD1647" s="25">
        <f>ROUND(Inventory[[#This Row],[Mdl Land Intercept]]+Inventory[[#This Row],[Mdl LnAcres]],-2)</f>
        <v>29800</v>
      </c>
      <c r="BE1647" s="25">
        <f>Inventory[[#This Row],[Unadj Res Value]]+Inventory[[#This Row],[Unadj Det Value]]+Inventory[[#This Row],[Unadj Land Value]]</f>
        <v>200000</v>
      </c>
      <c r="BF1647" s="36">
        <f>(Inventory[[#This Row],[Unadj Total Value]]-Inventory[[#This Row],[24Final]])/Inventory[[#This Row],[24Final]]</f>
        <v>-4.9429657794676805E-2</v>
      </c>
      <c r="BG1647" s="25">
        <f>VLOOKUP(Inventory[[#This Row],[Nbhd]],Lookups!$Q$2:$T$4,4,FALSE)</f>
        <v>0.99970000000000003</v>
      </c>
      <c r="BH1647" s="25">
        <f>VLOOKUP(Inventory[[#This Row],[Qlty]],Lookups!$O$7:$R$21,4,FALSE)</f>
        <v>1</v>
      </c>
      <c r="BI1647" s="25">
        <f>VLOOKUP(Inventory[[#This Row],[Cnd]],Lookups!$T$7:$W$16,4,FALSE)</f>
        <v>0.99329999999999996</v>
      </c>
      <c r="BJ1647" s="25">
        <f>VLOOKUP(Inventory[[#This Row],[LivArea Range]],Lookups!$T$25:$W$37,4,FALSE)</f>
        <v>1.0148999999999999</v>
      </c>
      <c r="BK1647" s="25">
        <f>VLOOKUP(Inventory[[#This Row],[Decade]],Lookups!$O$25:$R$42,4,FALSE)</f>
        <v>0.98909999999999998</v>
      </c>
      <c r="BL1647" s="25">
        <f>Inventory[[#This Row],[Nbhd Adj]]*0.95</f>
        <v>0.94971499999999998</v>
      </c>
      <c r="BM1647" s="25">
        <f>Inventory[[#This Row],[Nbhd Adj]]*Inventory[[#This Row],[Quality Adj]]*Inventory[[#This Row],[Condition Adj]]*Inventory[[#This Row],[Living Area Adj]]*Inventory[[#This Row],[Decade Adj]]*0.95</f>
        <v>0.94697210735437787</v>
      </c>
      <c r="BN1647" s="25">
        <f>ROUND(SUM(Inventory[[#This Row],[Mdl Qlty]:[Mdl WdDeck]])+Inventory[[#This Row],[Mdl Res Intercept]]*Inventory[[#This Row],[Res Adj ]],-2)</f>
        <v>165200</v>
      </c>
      <c r="BO1647" s="25">
        <f>ROUND(Inventory[[#This Row],[25Det]]*Inventory[[#This Row],[Det/Nbhd Adj]],-2)</f>
        <v>4700</v>
      </c>
      <c r="BP1647" s="25">
        <f>Inventory[[#This Row],[Adjusted Res]]+Inventory[[#This Row],[Adj Det ]]</f>
        <v>169900</v>
      </c>
      <c r="BQ1647" s="25">
        <f>ROUND((Inventory[[#This Row],[Mdl Land Intercept]]+Inventory[[#This Row],[Mdl LnAcres]])*Inventory[[#This Row],[Det/Nbhd Adj]],-2)</f>
        <v>28300</v>
      </c>
      <c r="BR1647" s="25">
        <f>Inventory[[#This Row],[Adjusted Impr Total]]+Inventory[[#This Row],[Adjusted Land Total]]</f>
        <v>198200</v>
      </c>
      <c r="BS1647" s="36">
        <f>IFERROR((Inventory[[#This Row],[Adjusted Impr Total]]-Inventory[[#This Row],[24Bldg]])/Inventory[[#This Row],[24Bldg]],0)</f>
        <v>4.8765432098765431E-2</v>
      </c>
      <c r="BT1647" s="36">
        <f>(Inventory[[#This Row],[Adjusted Land Total]]-Inventory[[#This Row],[24Lnd]])/Inventory[[#This Row],[24Lnd]]</f>
        <v>-0.41528925619834711</v>
      </c>
      <c r="BU1647" s="36">
        <f>(Inventory[[#This Row],[Adjusted Total]]-Inventory[[#This Row],[24Final]])/Inventory[[#This Row],[24Final]]</f>
        <v>-5.7984790874524718E-2</v>
      </c>
    </row>
    <row r="1648" spans="1:73" x14ac:dyDescent="0.3">
      <c r="A1648" s="25">
        <v>2025</v>
      </c>
      <c r="B1648" s="26" t="s">
        <v>2836</v>
      </c>
      <c r="C1648" s="26">
        <f>LN(Inventory[[#This Row],[Acres]])</f>
        <v>-2.5257286443082556</v>
      </c>
      <c r="D1648" s="25">
        <v>0.08</v>
      </c>
      <c r="E1648" s="31"/>
      <c r="F1648" s="26" t="s">
        <v>537</v>
      </c>
      <c r="G1648" s="26" t="s">
        <v>126</v>
      </c>
      <c r="H1648" s="26" t="s">
        <v>349</v>
      </c>
      <c r="I1648" s="26" t="s">
        <v>538</v>
      </c>
      <c r="J1648" s="26" t="s">
        <v>539</v>
      </c>
      <c r="K1648" s="26" t="s">
        <v>242</v>
      </c>
      <c r="L1648" s="26" t="s">
        <v>31</v>
      </c>
      <c r="M1648" s="26" t="s">
        <v>323</v>
      </c>
      <c r="N1648" s="26">
        <v>90</v>
      </c>
      <c r="O1648" s="26">
        <f>2024-Inventory[[#This Row],[YrBlt]]</f>
        <v>89</v>
      </c>
      <c r="P1648" s="26">
        <f>2024-Inventory[[#This Row],[EffYr]]</f>
        <v>53</v>
      </c>
      <c r="Q1648" s="25">
        <v>1935</v>
      </c>
      <c r="R1648" s="25">
        <v>1971</v>
      </c>
      <c r="S1648" s="25">
        <v>1103</v>
      </c>
      <c r="T1648" s="31"/>
      <c r="U1648" s="31"/>
      <c r="V1648" s="31">
        <f>Inventory[[#This Row],[Bsmt]]-Inventory[[#This Row],[FnBsmt]]</f>
        <v>0</v>
      </c>
      <c r="W1648" s="31"/>
      <c r="X1648" s="27"/>
      <c r="Y1648" s="27">
        <f>Inventory[[#This Row],[MainFn]]+Inventory[[#This Row],[UpprFn]]+Inventory[[#This Row],[FnBsmt]]+Inventory[[#This Row],[AddFn]]</f>
        <v>1103</v>
      </c>
      <c r="Z1648" s="27">
        <v>1500</v>
      </c>
      <c r="AA1648" s="25">
        <v>5</v>
      </c>
      <c r="AB1648" s="27"/>
      <c r="AC1648" s="27"/>
      <c r="AD1648" s="27"/>
      <c r="AE1648" s="27"/>
      <c r="AF1648" s="27"/>
      <c r="AG1648" s="27"/>
      <c r="AH1648" s="27"/>
      <c r="AI1648" s="25">
        <v>143660</v>
      </c>
      <c r="AJ1648" s="25">
        <v>96252</v>
      </c>
      <c r="AK1648" s="25">
        <v>0</v>
      </c>
      <c r="AL1648" s="25">
        <v>211000</v>
      </c>
      <c r="AM1648" s="25">
        <v>26500</v>
      </c>
      <c r="AN1648" s="25">
        <v>184500</v>
      </c>
      <c r="AO1648" s="25">
        <v>0</v>
      </c>
      <c r="AP1648" s="25">
        <f>Lookups!$B$56*0</f>
        <v>0</v>
      </c>
      <c r="AQ1648" s="25">
        <f>Lookups!$B$56*1</f>
        <v>89850.625589999996</v>
      </c>
      <c r="AR1648" s="25">
        <f>Lookups!$B$57*Inventory[[#This Row],[LnAcres]]</f>
        <v>-79950.969701614697</v>
      </c>
      <c r="AS1648" s="25">
        <f>VLOOKUP(Inventory[[#This Row],[Qlty]],Lookups!$A$62:$E$75,2,FALSE)</f>
        <v>-43578.886190266698</v>
      </c>
      <c r="AT1648" s="25">
        <f>VLOOKUP(Inventory[[#This Row],[Cnd]],Lookups!$A$76:$E$84,2,FALSE)</f>
        <v>160472.20319</v>
      </c>
      <c r="AU1648" s="25">
        <f>Inventory[[#This Row],[EffAge]]*Lookups!$B$85</f>
        <v>-11821.416826500001</v>
      </c>
      <c r="AV1648" s="25">
        <f>Inventory[[#This Row],[MainFn]]*Lookups!$B$86</f>
        <v>54497.762874330998</v>
      </c>
      <c r="AW1648" s="25">
        <f>Inventory[[#This Row],[UpprFn]]*Lookups!$B$87</f>
        <v>0</v>
      </c>
      <c r="AX1648" s="25">
        <f>Inventory[[#This Row],[AddFn]]*Lookups!$B$88</f>
        <v>0</v>
      </c>
      <c r="AY1648" s="25">
        <f>Inventory[[#This Row],[Bsmt]]*Lookups!$B$89</f>
        <v>0</v>
      </c>
      <c r="AZ1648" s="25">
        <f>Inventory[[#This Row],[Fixtures]]*Lookups!$B$90</f>
        <v>18960.110526</v>
      </c>
      <c r="BA1648" s="25">
        <f>Inventory[[#This Row],[WdDeck]]*Lookups!$B$91</f>
        <v>0</v>
      </c>
      <c r="BB1648" s="25">
        <f>ROUND(Inventory[[#This Row],[25Det]],-2)</f>
        <v>0</v>
      </c>
      <c r="BC1648" s="25">
        <f>ROUND(SUM(Inventory[[#This Row],[Mdl Qlty]:[Mdl WdDeck]])+Inventory[[#This Row],[Mdl Res Intercept]],-2)</f>
        <v>178500</v>
      </c>
      <c r="BD1648" s="25">
        <f>ROUND(Inventory[[#This Row],[Mdl Land Intercept]]+Inventory[[#This Row],[Mdl LnAcres]],-2)</f>
        <v>9900</v>
      </c>
      <c r="BE1648" s="25">
        <f>Inventory[[#This Row],[Unadj Res Value]]+Inventory[[#This Row],[Unadj Det Value]]+Inventory[[#This Row],[Unadj Land Value]]</f>
        <v>188400</v>
      </c>
      <c r="BF1648" s="36">
        <f>(Inventory[[#This Row],[Unadj Total Value]]-Inventory[[#This Row],[24Final]])/Inventory[[#This Row],[24Final]]</f>
        <v>-0.10710900473933649</v>
      </c>
      <c r="BG1648" s="25">
        <f>VLOOKUP(Inventory[[#This Row],[Nbhd]],Lookups!$Q$2:$T$4,4,FALSE)</f>
        <v>0.99970000000000003</v>
      </c>
      <c r="BH1648" s="25">
        <f>VLOOKUP(Inventory[[#This Row],[Qlty]],Lookups!$O$7:$R$21,4,FALSE)</f>
        <v>1</v>
      </c>
      <c r="BI1648" s="25">
        <f>VLOOKUP(Inventory[[#This Row],[Cnd]],Lookups!$T$7:$W$16,4,FALSE)</f>
        <v>0.99729999999999996</v>
      </c>
      <c r="BJ1648" s="25">
        <f>VLOOKUP(Inventory[[#This Row],[LivArea Range]],Lookups!$T$25:$W$37,4,FALSE)</f>
        <v>1.0157</v>
      </c>
      <c r="BK1648" s="25">
        <f>VLOOKUP(Inventory[[#This Row],[Decade]],Lookups!$O$25:$R$42,4,FALSE)</f>
        <v>0.98909999999999998</v>
      </c>
      <c r="BL1648" s="25">
        <f>Inventory[[#This Row],[Nbhd Adj]]*0.95</f>
        <v>0.94971499999999998</v>
      </c>
      <c r="BM1648" s="25">
        <f>Inventory[[#This Row],[Nbhd Adj]]*Inventory[[#This Row],[Quality Adj]]*Inventory[[#This Row],[Condition Adj]]*Inventory[[#This Row],[Living Area Adj]]*Inventory[[#This Row],[Decade Adj]]*0.95</f>
        <v>0.95153500728241536</v>
      </c>
      <c r="BN1648" s="25">
        <f>ROUND(SUM(Inventory[[#This Row],[Mdl Qlty]:[Mdl WdDeck]])+Inventory[[#This Row],[Mdl Res Intercept]]*Inventory[[#This Row],[Res Adj ]],-2)</f>
        <v>178500</v>
      </c>
      <c r="BO1648" s="25">
        <f>ROUND(Inventory[[#This Row],[25Det]]*Inventory[[#This Row],[Det/Nbhd Adj]],-2)</f>
        <v>0</v>
      </c>
      <c r="BP1648" s="25">
        <f>Inventory[[#This Row],[Adjusted Res]]+Inventory[[#This Row],[Adj Det ]]</f>
        <v>178500</v>
      </c>
      <c r="BQ1648" s="25">
        <f>ROUND((Inventory[[#This Row],[Mdl Land Intercept]]+Inventory[[#This Row],[Mdl LnAcres]])*Inventory[[#This Row],[Det/Nbhd Adj]],-2)</f>
        <v>9400</v>
      </c>
      <c r="BR1648" s="25">
        <f>Inventory[[#This Row],[Adjusted Impr Total]]+Inventory[[#This Row],[Adjusted Land Total]]</f>
        <v>187900</v>
      </c>
      <c r="BS1648" s="36">
        <f>IFERROR((Inventory[[#This Row],[Adjusted Impr Total]]-Inventory[[#This Row],[24Bldg]])/Inventory[[#This Row],[24Bldg]],0)</f>
        <v>-3.2520325203252036E-2</v>
      </c>
      <c r="BT1648" s="36">
        <f>(Inventory[[#This Row],[Adjusted Land Total]]-Inventory[[#This Row],[24Lnd]])/Inventory[[#This Row],[24Lnd]]</f>
        <v>-0.6452830188679245</v>
      </c>
      <c r="BU1648" s="36">
        <f>(Inventory[[#This Row],[Adjusted Total]]-Inventory[[#This Row],[24Final]])/Inventory[[#This Row],[24Final]]</f>
        <v>-0.109478672985782</v>
      </c>
    </row>
    <row r="1649" spans="1:73" x14ac:dyDescent="0.3">
      <c r="A1649" s="25">
        <v>2025</v>
      </c>
      <c r="B1649" s="26" t="s">
        <v>1342</v>
      </c>
      <c r="C1649" s="26">
        <f>LN(Inventory[[#This Row],[Acres]])</f>
        <v>-1.9661128563728327</v>
      </c>
      <c r="D1649" s="25">
        <v>0.14000000000000001</v>
      </c>
      <c r="E1649" s="25">
        <v>5897</v>
      </c>
      <c r="F1649" s="26" t="s">
        <v>537</v>
      </c>
      <c r="G1649" s="26" t="s">
        <v>126</v>
      </c>
      <c r="H1649" s="26" t="s">
        <v>349</v>
      </c>
      <c r="I1649" s="26" t="s">
        <v>538</v>
      </c>
      <c r="J1649" s="26" t="s">
        <v>539</v>
      </c>
      <c r="K1649" s="26" t="s">
        <v>242</v>
      </c>
      <c r="L1649" s="26" t="s">
        <v>31</v>
      </c>
      <c r="M1649" s="26" t="s">
        <v>323</v>
      </c>
      <c r="N1649" s="26">
        <v>90</v>
      </c>
      <c r="O1649" s="26">
        <f>2024-Inventory[[#This Row],[YrBlt]]</f>
        <v>89</v>
      </c>
      <c r="P1649" s="26">
        <f>2024-Inventory[[#This Row],[EffYr]]</f>
        <v>53</v>
      </c>
      <c r="Q1649" s="25">
        <v>1935</v>
      </c>
      <c r="R1649" s="25">
        <v>1971</v>
      </c>
      <c r="S1649" s="25">
        <v>805</v>
      </c>
      <c r="T1649" s="27"/>
      <c r="U1649" s="32">
        <v>641</v>
      </c>
      <c r="V1649" s="32">
        <f>Inventory[[#This Row],[Bsmt]]-Inventory[[#This Row],[FnBsmt]]</f>
        <v>106</v>
      </c>
      <c r="W1649" s="32">
        <v>535</v>
      </c>
      <c r="X1649" s="27"/>
      <c r="Y1649" s="27">
        <f>Inventory[[#This Row],[MainFn]]+Inventory[[#This Row],[UpprFn]]+Inventory[[#This Row],[FnBsmt]]+Inventory[[#This Row],[AddFn]]</f>
        <v>1340</v>
      </c>
      <c r="Z1649" s="27">
        <v>1500</v>
      </c>
      <c r="AA1649" s="25">
        <v>5</v>
      </c>
      <c r="AB1649" s="31"/>
      <c r="AC1649" s="27"/>
      <c r="AD1649" s="27"/>
      <c r="AE1649" s="27"/>
      <c r="AF1649" s="27"/>
      <c r="AG1649" s="27"/>
      <c r="AH1649" s="27"/>
      <c r="AI1649" s="25">
        <v>182463</v>
      </c>
      <c r="AJ1649" s="25">
        <v>122250</v>
      </c>
      <c r="AK1649" s="25">
        <v>2375</v>
      </c>
      <c r="AL1649" s="25">
        <v>240600</v>
      </c>
      <c r="AM1649" s="25">
        <v>46000</v>
      </c>
      <c r="AN1649" s="25">
        <v>194600</v>
      </c>
      <c r="AO1649" s="25">
        <v>0</v>
      </c>
      <c r="AP1649" s="25">
        <f>Lookups!$B$56*0</f>
        <v>0</v>
      </c>
      <c r="AQ1649" s="25">
        <f>Lookups!$B$56*1</f>
        <v>89850.625589999996</v>
      </c>
      <c r="AR1649" s="25">
        <f>Lookups!$B$57*Inventory[[#This Row],[LnAcres]]</f>
        <v>-62236.546971921947</v>
      </c>
      <c r="AS1649" s="25">
        <f>VLOOKUP(Inventory[[#This Row],[Qlty]],Lookups!$A$62:$E$75,2,FALSE)</f>
        <v>-43578.886190266698</v>
      </c>
      <c r="AT1649" s="25">
        <f>VLOOKUP(Inventory[[#This Row],[Cnd]],Lookups!$A$76:$E$84,2,FALSE)</f>
        <v>160472.20319</v>
      </c>
      <c r="AU1649" s="25">
        <f>Inventory[[#This Row],[EffAge]]*Lookups!$B$85</f>
        <v>-11821.416826500001</v>
      </c>
      <c r="AV1649" s="25">
        <f>Inventory[[#This Row],[MainFn]]*Lookups!$B$86</f>
        <v>39773.979250985001</v>
      </c>
      <c r="AW1649" s="25">
        <f>Inventory[[#This Row],[UpprFn]]*Lookups!$B$87</f>
        <v>0</v>
      </c>
      <c r="AX1649" s="25">
        <f>Inventory[[#This Row],[AddFn]]*Lookups!$B$88</f>
        <v>0</v>
      </c>
      <c r="AY1649" s="25">
        <f>Inventory[[#This Row],[Bsmt]]*Lookups!$B$89</f>
        <v>18641.494853327</v>
      </c>
      <c r="AZ1649" s="25">
        <f>Inventory[[#This Row],[Fixtures]]*Lookups!$B$90</f>
        <v>18960.110526</v>
      </c>
      <c r="BA1649" s="25">
        <f>Inventory[[#This Row],[WdDeck]]*Lookups!$B$91</f>
        <v>0</v>
      </c>
      <c r="BB1649" s="25">
        <f>ROUND(Inventory[[#This Row],[25Det]],-2)</f>
        <v>2400</v>
      </c>
      <c r="BC1649" s="25">
        <f>ROUND(SUM(Inventory[[#This Row],[Mdl Qlty]:[Mdl WdDeck]])+Inventory[[#This Row],[Mdl Res Intercept]],-2)</f>
        <v>182400</v>
      </c>
      <c r="BD1649" s="25">
        <f>ROUND(Inventory[[#This Row],[Mdl Land Intercept]]+Inventory[[#This Row],[Mdl LnAcres]],-2)</f>
        <v>27600</v>
      </c>
      <c r="BE1649" s="25">
        <f>Inventory[[#This Row],[Unadj Res Value]]+Inventory[[#This Row],[Unadj Det Value]]+Inventory[[#This Row],[Unadj Land Value]]</f>
        <v>212400</v>
      </c>
      <c r="BF1649" s="36">
        <f>(Inventory[[#This Row],[Unadj Total Value]]-Inventory[[#This Row],[24Final]])/Inventory[[#This Row],[24Final]]</f>
        <v>-0.1172069825436409</v>
      </c>
      <c r="BG1649" s="25">
        <f>VLOOKUP(Inventory[[#This Row],[Nbhd]],Lookups!$Q$2:$T$4,4,FALSE)</f>
        <v>0.99970000000000003</v>
      </c>
      <c r="BH1649" s="25">
        <f>VLOOKUP(Inventory[[#This Row],[Qlty]],Lookups!$O$7:$R$21,4,FALSE)</f>
        <v>1</v>
      </c>
      <c r="BI1649" s="25">
        <f>VLOOKUP(Inventory[[#This Row],[Cnd]],Lookups!$T$7:$W$16,4,FALSE)</f>
        <v>0.99729999999999996</v>
      </c>
      <c r="BJ1649" s="25">
        <f>VLOOKUP(Inventory[[#This Row],[LivArea Range]],Lookups!$T$25:$W$37,4,FALSE)</f>
        <v>1.0157</v>
      </c>
      <c r="BK1649" s="25">
        <f>VLOOKUP(Inventory[[#This Row],[Decade]],Lookups!$O$25:$R$42,4,FALSE)</f>
        <v>0.98909999999999998</v>
      </c>
      <c r="BL1649" s="25">
        <f>Inventory[[#This Row],[Nbhd Adj]]*0.95</f>
        <v>0.94971499999999998</v>
      </c>
      <c r="BM1649" s="25">
        <f>Inventory[[#This Row],[Nbhd Adj]]*Inventory[[#This Row],[Quality Adj]]*Inventory[[#This Row],[Condition Adj]]*Inventory[[#This Row],[Living Area Adj]]*Inventory[[#This Row],[Decade Adj]]*0.95</f>
        <v>0.95153500728241536</v>
      </c>
      <c r="BN1649" s="25">
        <f>ROUND(SUM(Inventory[[#This Row],[Mdl Qlty]:[Mdl WdDeck]])+Inventory[[#This Row],[Mdl Res Intercept]]*Inventory[[#This Row],[Res Adj ]],-2)</f>
        <v>182400</v>
      </c>
      <c r="BO1649" s="25">
        <f>ROUND(Inventory[[#This Row],[25Det]]*Inventory[[#This Row],[Det/Nbhd Adj]],-2)</f>
        <v>2300</v>
      </c>
      <c r="BP1649" s="25">
        <f>Inventory[[#This Row],[Adjusted Res]]+Inventory[[#This Row],[Adj Det ]]</f>
        <v>184700</v>
      </c>
      <c r="BQ1649" s="25">
        <f>ROUND((Inventory[[#This Row],[Mdl Land Intercept]]+Inventory[[#This Row],[Mdl LnAcres]])*Inventory[[#This Row],[Det/Nbhd Adj]],-2)</f>
        <v>26200</v>
      </c>
      <c r="BR1649" s="25">
        <f>Inventory[[#This Row],[Adjusted Impr Total]]+Inventory[[#This Row],[Adjusted Land Total]]</f>
        <v>210900</v>
      </c>
      <c r="BS1649" s="36">
        <f>IFERROR((Inventory[[#This Row],[Adjusted Impr Total]]-Inventory[[#This Row],[24Bldg]])/Inventory[[#This Row],[24Bldg]],0)</f>
        <v>-5.0873586844809866E-2</v>
      </c>
      <c r="BT1649" s="36">
        <f>(Inventory[[#This Row],[Adjusted Land Total]]-Inventory[[#This Row],[24Lnd]])/Inventory[[#This Row],[24Lnd]]</f>
        <v>-0.43043478260869567</v>
      </c>
      <c r="BU1649" s="36">
        <f>(Inventory[[#This Row],[Adjusted Total]]-Inventory[[#This Row],[24Final]])/Inventory[[#This Row],[24Final]]</f>
        <v>-0.12344139650872818</v>
      </c>
    </row>
    <row r="1650" spans="1:73" x14ac:dyDescent="0.3">
      <c r="A1650" s="25">
        <v>2025</v>
      </c>
      <c r="B1650" s="26" t="s">
        <v>2192</v>
      </c>
      <c r="C1650" s="26">
        <f>LN(Inventory[[#This Row],[Acres]])</f>
        <v>-1.3093333199837622</v>
      </c>
      <c r="D1650" s="25">
        <v>0.27</v>
      </c>
      <c r="E1650" s="25">
        <v>11570</v>
      </c>
      <c r="F1650" s="26" t="s">
        <v>537</v>
      </c>
      <c r="G1650" s="26" t="s">
        <v>126</v>
      </c>
      <c r="H1650" s="26" t="s">
        <v>349</v>
      </c>
      <c r="I1650" s="26" t="s">
        <v>538</v>
      </c>
      <c r="J1650" s="26" t="s">
        <v>539</v>
      </c>
      <c r="K1650" s="26" t="s">
        <v>173</v>
      </c>
      <c r="L1650" s="26" t="s">
        <v>95</v>
      </c>
      <c r="M1650" s="26" t="s">
        <v>303</v>
      </c>
      <c r="N1650" s="26">
        <v>90</v>
      </c>
      <c r="O1650" s="26">
        <f>2024-Inventory[[#This Row],[YrBlt]]</f>
        <v>89</v>
      </c>
      <c r="P1650" s="26">
        <f>2024-Inventory[[#This Row],[EffYr]]</f>
        <v>53</v>
      </c>
      <c r="Q1650" s="25">
        <v>1935</v>
      </c>
      <c r="R1650" s="25">
        <v>1971</v>
      </c>
      <c r="S1650" s="25">
        <v>1930</v>
      </c>
      <c r="T1650" s="32">
        <v>560</v>
      </c>
      <c r="U1650" s="25">
        <v>783</v>
      </c>
      <c r="V1650" s="25">
        <f>Inventory[[#This Row],[Bsmt]]-Inventory[[#This Row],[FnBsmt]]</f>
        <v>783</v>
      </c>
      <c r="W1650" s="25">
        <v>0</v>
      </c>
      <c r="X1650" s="27"/>
      <c r="Y1650" s="27">
        <f>Inventory[[#This Row],[MainFn]]+Inventory[[#This Row],[UpprFn]]+Inventory[[#This Row],[FnBsmt]]+Inventory[[#This Row],[AddFn]]</f>
        <v>2490</v>
      </c>
      <c r="Z1650" s="27">
        <v>2500</v>
      </c>
      <c r="AA1650" s="25">
        <v>12</v>
      </c>
      <c r="AB1650" s="31"/>
      <c r="AC1650" s="27"/>
      <c r="AD1650" s="27"/>
      <c r="AE1650" s="27"/>
      <c r="AF1650" s="27"/>
      <c r="AG1650" s="27"/>
      <c r="AH1650" s="27"/>
      <c r="AI1650" s="25">
        <v>652637</v>
      </c>
      <c r="AJ1650" s="25">
        <v>456846</v>
      </c>
      <c r="AK1650" s="25">
        <v>0</v>
      </c>
      <c r="AL1650" s="25">
        <v>591100</v>
      </c>
      <c r="AM1650" s="25">
        <v>68900</v>
      </c>
      <c r="AN1650" s="25">
        <v>522200</v>
      </c>
      <c r="AO1650" s="25">
        <v>0</v>
      </c>
      <c r="AP1650" s="25">
        <f>Lookups!$B$56*0</f>
        <v>0</v>
      </c>
      <c r="AQ1650" s="25">
        <f>Lookups!$B$56*1</f>
        <v>89850.625589999996</v>
      </c>
      <c r="AR1650" s="25">
        <f>Lookups!$B$57*Inventory[[#This Row],[LnAcres]]</f>
        <v>-41446.443120973789</v>
      </c>
      <c r="AS1650" s="25">
        <f>VLOOKUP(Inventory[[#This Row],[Qlty]],Lookups!$A$62:$E$75,2,FALSE)</f>
        <v>74268.409664999999</v>
      </c>
      <c r="AT1650" s="25">
        <f>VLOOKUP(Inventory[[#This Row],[Cnd]],Lookups!$A$76:$E$84,2,FALSE)</f>
        <v>197752.34721000001</v>
      </c>
      <c r="AU1650" s="25">
        <f>Inventory[[#This Row],[EffAge]]*Lookups!$B$85</f>
        <v>-11821.416826500001</v>
      </c>
      <c r="AV1650" s="25">
        <f>Inventory[[#This Row],[MainFn]]*Lookups!$B$86</f>
        <v>95358.732862610006</v>
      </c>
      <c r="AW1650" s="25">
        <f>Inventory[[#This Row],[UpprFn]]*Lookups!$B$87</f>
        <v>25080.396802159998</v>
      </c>
      <c r="AX1650" s="25">
        <f>Inventory[[#This Row],[AddFn]]*Lookups!$B$88</f>
        <v>0</v>
      </c>
      <c r="AY1650" s="25">
        <f>Inventory[[#This Row],[Bsmt]]*Lookups!$B$89</f>
        <v>22771.123978400999</v>
      </c>
      <c r="AZ1650" s="25">
        <f>Inventory[[#This Row],[Fixtures]]*Lookups!$B$90</f>
        <v>45504.265262400004</v>
      </c>
      <c r="BA1650" s="25">
        <f>Inventory[[#This Row],[WdDeck]]*Lookups!$B$91</f>
        <v>0</v>
      </c>
      <c r="BB1650" s="25">
        <f>ROUND(Inventory[[#This Row],[25Det]],-2)</f>
        <v>0</v>
      </c>
      <c r="BC1650" s="25">
        <f>ROUND(SUM(Inventory[[#This Row],[Mdl Qlty]:[Mdl WdDeck]])+Inventory[[#This Row],[Mdl Res Intercept]],-2)</f>
        <v>448900</v>
      </c>
      <c r="BD1650" s="25">
        <f>ROUND(Inventory[[#This Row],[Mdl Land Intercept]]+Inventory[[#This Row],[Mdl LnAcres]],-2)</f>
        <v>48400</v>
      </c>
      <c r="BE1650" s="25">
        <f>Inventory[[#This Row],[Unadj Res Value]]+Inventory[[#This Row],[Unadj Det Value]]+Inventory[[#This Row],[Unadj Land Value]]</f>
        <v>497300</v>
      </c>
      <c r="BF1650" s="36">
        <f>(Inventory[[#This Row],[Unadj Total Value]]-Inventory[[#This Row],[24Final]])/Inventory[[#This Row],[24Final]]</f>
        <v>-0.1586871933682964</v>
      </c>
      <c r="BG1650" s="25">
        <f>VLOOKUP(Inventory[[#This Row],[Nbhd]],Lookups!$Q$2:$T$4,4,FALSE)</f>
        <v>0.99970000000000003</v>
      </c>
      <c r="BH1650" s="25">
        <f>VLOOKUP(Inventory[[#This Row],[Qlty]],Lookups!$O$7:$R$21,4,FALSE)</f>
        <v>0.98380000000000001</v>
      </c>
      <c r="BI1650" s="25">
        <f>VLOOKUP(Inventory[[#This Row],[Cnd]],Lookups!$T$7:$W$16,4,FALSE)</f>
        <v>0.99650000000000005</v>
      </c>
      <c r="BJ1650" s="25">
        <f>VLOOKUP(Inventory[[#This Row],[LivArea Range]],Lookups!$T$25:$W$37,4,FALSE)</f>
        <v>0.98919999999999997</v>
      </c>
      <c r="BK1650" s="25">
        <f>VLOOKUP(Inventory[[#This Row],[Decade]],Lookups!$O$25:$R$42,4,FALSE)</f>
        <v>0.98909999999999998</v>
      </c>
      <c r="BL1650" s="25">
        <f>Inventory[[#This Row],[Nbhd Adj]]*0.95</f>
        <v>0.94971499999999998</v>
      </c>
      <c r="BM1650" s="25">
        <f>Inventory[[#This Row],[Nbhd Adj]]*Inventory[[#This Row],[Quality Adj]]*Inventory[[#This Row],[Condition Adj]]*Inventory[[#This Row],[Living Area Adj]]*Inventory[[#This Row],[Decade Adj]]*0.95</f>
        <v>0.9109650773060356</v>
      </c>
      <c r="BN1650" s="25">
        <f>ROUND(SUM(Inventory[[#This Row],[Mdl Qlty]:[Mdl WdDeck]])+Inventory[[#This Row],[Mdl Res Intercept]]*Inventory[[#This Row],[Res Adj ]],-2)</f>
        <v>448900</v>
      </c>
      <c r="BO1650" s="25">
        <f>ROUND(Inventory[[#This Row],[25Det]]*Inventory[[#This Row],[Det/Nbhd Adj]],-2)</f>
        <v>0</v>
      </c>
      <c r="BP1650" s="25">
        <f>Inventory[[#This Row],[Adjusted Res]]+Inventory[[#This Row],[Adj Det ]]</f>
        <v>448900</v>
      </c>
      <c r="BQ1650" s="25">
        <f>ROUND((Inventory[[#This Row],[Mdl Land Intercept]]+Inventory[[#This Row],[Mdl LnAcres]])*Inventory[[#This Row],[Det/Nbhd Adj]],-2)</f>
        <v>46000</v>
      </c>
      <c r="BR1650" s="25">
        <f>Inventory[[#This Row],[Adjusted Impr Total]]+Inventory[[#This Row],[Adjusted Land Total]]</f>
        <v>494900</v>
      </c>
      <c r="BS1650" s="36">
        <f>IFERROR((Inventory[[#This Row],[Adjusted Impr Total]]-Inventory[[#This Row],[24Bldg]])/Inventory[[#This Row],[24Bldg]],0)</f>
        <v>-0.14036767522022214</v>
      </c>
      <c r="BT1650" s="36">
        <f>(Inventory[[#This Row],[Adjusted Land Total]]-Inventory[[#This Row],[24Lnd]])/Inventory[[#This Row],[24Lnd]]</f>
        <v>-0.33236574746008707</v>
      </c>
      <c r="BU1650" s="36">
        <f>(Inventory[[#This Row],[Adjusted Total]]-Inventory[[#This Row],[24Final]])/Inventory[[#This Row],[24Final]]</f>
        <v>-0.16274742006428691</v>
      </c>
    </row>
    <row r="1651" spans="1:73" x14ac:dyDescent="0.3">
      <c r="A1651" s="25">
        <v>2025</v>
      </c>
      <c r="B1651" s="26" t="s">
        <v>1724</v>
      </c>
      <c r="C1651" s="26">
        <f>LN(Inventory[[#This Row],[Acres]])</f>
        <v>-2.5257286443082556</v>
      </c>
      <c r="D1651" s="25">
        <v>0.08</v>
      </c>
      <c r="E1651" s="25">
        <v>3601</v>
      </c>
      <c r="F1651" s="26" t="s">
        <v>537</v>
      </c>
      <c r="G1651" s="26" t="s">
        <v>126</v>
      </c>
      <c r="H1651" s="26" t="s">
        <v>349</v>
      </c>
      <c r="I1651" s="26" t="s">
        <v>538</v>
      </c>
      <c r="J1651" s="26" t="s">
        <v>539</v>
      </c>
      <c r="K1651" s="26" t="s">
        <v>613</v>
      </c>
      <c r="L1651" s="26" t="s">
        <v>449</v>
      </c>
      <c r="M1651" s="26" t="s">
        <v>206</v>
      </c>
      <c r="N1651" s="26">
        <v>90</v>
      </c>
      <c r="O1651" s="26">
        <f>2024-Inventory[[#This Row],[YrBlt]]</f>
        <v>89</v>
      </c>
      <c r="P1651" s="26">
        <f>2024-Inventory[[#This Row],[EffYr]]</f>
        <v>64</v>
      </c>
      <c r="Q1651" s="25">
        <v>1935</v>
      </c>
      <c r="R1651" s="25">
        <v>1960</v>
      </c>
      <c r="S1651" s="25">
        <v>658</v>
      </c>
      <c r="T1651" s="27"/>
      <c r="U1651" s="27"/>
      <c r="V1651" s="27">
        <f>Inventory[[#This Row],[Bsmt]]-Inventory[[#This Row],[FnBsmt]]</f>
        <v>0</v>
      </c>
      <c r="W1651" s="27"/>
      <c r="X1651" s="27"/>
      <c r="Y1651" s="27">
        <f>Inventory[[#This Row],[MainFn]]+Inventory[[#This Row],[UpprFn]]+Inventory[[#This Row],[FnBsmt]]+Inventory[[#This Row],[AddFn]]</f>
        <v>658</v>
      </c>
      <c r="Z1651" s="27">
        <v>1000</v>
      </c>
      <c r="AA1651" s="25">
        <v>6</v>
      </c>
      <c r="AB1651" s="27"/>
      <c r="AC1651" s="27"/>
      <c r="AD1651" s="27"/>
      <c r="AE1651" s="27"/>
      <c r="AF1651" s="27"/>
      <c r="AG1651" s="27"/>
      <c r="AH1651" s="27"/>
      <c r="AI1651" s="25">
        <v>78559</v>
      </c>
      <c r="AJ1651" s="25">
        <v>42422</v>
      </c>
      <c r="AK1651" s="25">
        <v>0</v>
      </c>
      <c r="AL1651" s="25">
        <v>153600</v>
      </c>
      <c r="AM1651" s="25">
        <v>26500</v>
      </c>
      <c r="AN1651" s="25">
        <v>127100</v>
      </c>
      <c r="AO1651" s="25">
        <v>0</v>
      </c>
      <c r="AP1651" s="25">
        <f>Lookups!$B$56*0</f>
        <v>0</v>
      </c>
      <c r="AQ1651" s="25">
        <f>Lookups!$B$56*1</f>
        <v>89850.625589999996</v>
      </c>
      <c r="AR1651" s="25">
        <f>Lookups!$B$57*Inventory[[#This Row],[LnAcres]]</f>
        <v>-79950.969701614697</v>
      </c>
      <c r="AS1651" s="25">
        <f>VLOOKUP(Inventory[[#This Row],[Qlty]],Lookups!$A$62:$E$75,2,FALSE)</f>
        <v>-71917.896887580995</v>
      </c>
      <c r="AT1651" s="25">
        <f>VLOOKUP(Inventory[[#This Row],[Cnd]],Lookups!$A$76:$E$84,2,FALSE)</f>
        <v>133714.53821</v>
      </c>
      <c r="AU1651" s="25">
        <f>Inventory[[#This Row],[EffAge]]*Lookups!$B$85</f>
        <v>-14274.918432</v>
      </c>
      <c r="AV1651" s="25">
        <f>Inventory[[#This Row],[MainFn]]*Lookups!$B$86</f>
        <v>32510.904779066001</v>
      </c>
      <c r="AW1651" s="25">
        <f>Inventory[[#This Row],[UpprFn]]*Lookups!$B$87</f>
        <v>0</v>
      </c>
      <c r="AX1651" s="25">
        <f>Inventory[[#This Row],[AddFn]]*Lookups!$B$88</f>
        <v>0</v>
      </c>
      <c r="AY1651" s="25">
        <f>Inventory[[#This Row],[Bsmt]]*Lookups!$B$89</f>
        <v>0</v>
      </c>
      <c r="AZ1651" s="25">
        <f>Inventory[[#This Row],[Fixtures]]*Lookups!$B$90</f>
        <v>22752.132631200002</v>
      </c>
      <c r="BA1651" s="25">
        <f>Inventory[[#This Row],[WdDeck]]*Lookups!$B$91</f>
        <v>0</v>
      </c>
      <c r="BB1651" s="25">
        <f>ROUND(Inventory[[#This Row],[25Det]],-2)</f>
        <v>0</v>
      </c>
      <c r="BC1651" s="25">
        <f>ROUND(SUM(Inventory[[#This Row],[Mdl Qlty]:[Mdl WdDeck]])+Inventory[[#This Row],[Mdl Res Intercept]],-2)</f>
        <v>102800</v>
      </c>
      <c r="BD1651" s="25">
        <f>ROUND(Inventory[[#This Row],[Mdl Land Intercept]]+Inventory[[#This Row],[Mdl LnAcres]],-2)</f>
        <v>9900</v>
      </c>
      <c r="BE1651" s="25">
        <f>Inventory[[#This Row],[Unadj Res Value]]+Inventory[[#This Row],[Unadj Det Value]]+Inventory[[#This Row],[Unadj Land Value]]</f>
        <v>112700</v>
      </c>
      <c r="BF1651" s="36">
        <f>(Inventory[[#This Row],[Unadj Total Value]]-Inventory[[#This Row],[24Final]])/Inventory[[#This Row],[24Final]]</f>
        <v>-0.26627604166666669</v>
      </c>
      <c r="BG1651" s="25">
        <f>VLOOKUP(Inventory[[#This Row],[Nbhd]],Lookups!$Q$2:$T$4,4,FALSE)</f>
        <v>0.99970000000000003</v>
      </c>
      <c r="BH1651" s="25">
        <f>VLOOKUP(Inventory[[#This Row],[Qlty]],Lookups!$O$7:$R$21,4,FALSE)</f>
        <v>1</v>
      </c>
      <c r="BI1651" s="25">
        <f>VLOOKUP(Inventory[[#This Row],[Cnd]],Lookups!$T$7:$W$16,4,FALSE)</f>
        <v>0.99329999999999996</v>
      </c>
      <c r="BJ1651" s="25">
        <f>VLOOKUP(Inventory[[#This Row],[LivArea Range]],Lookups!$T$25:$W$37,4,FALSE)</f>
        <v>1.0148999999999999</v>
      </c>
      <c r="BK1651" s="25">
        <f>VLOOKUP(Inventory[[#This Row],[Decade]],Lookups!$O$25:$R$42,4,FALSE)</f>
        <v>0.98909999999999998</v>
      </c>
      <c r="BL1651" s="25">
        <f>Inventory[[#This Row],[Nbhd Adj]]*0.95</f>
        <v>0.94971499999999998</v>
      </c>
      <c r="BM1651" s="25">
        <f>Inventory[[#This Row],[Nbhd Adj]]*Inventory[[#This Row],[Quality Adj]]*Inventory[[#This Row],[Condition Adj]]*Inventory[[#This Row],[Living Area Adj]]*Inventory[[#This Row],[Decade Adj]]*0.95</f>
        <v>0.94697210735437787</v>
      </c>
      <c r="BN1651" s="25">
        <f>ROUND(SUM(Inventory[[#This Row],[Mdl Qlty]:[Mdl WdDeck]])+Inventory[[#This Row],[Mdl Res Intercept]]*Inventory[[#This Row],[Res Adj ]],-2)</f>
        <v>102800</v>
      </c>
      <c r="BO1651" s="25">
        <f>ROUND(Inventory[[#This Row],[25Det]]*Inventory[[#This Row],[Det/Nbhd Adj]],-2)</f>
        <v>0</v>
      </c>
      <c r="BP1651" s="25">
        <f>Inventory[[#This Row],[Adjusted Res]]+Inventory[[#This Row],[Adj Det ]]</f>
        <v>102800</v>
      </c>
      <c r="BQ1651" s="25">
        <f>ROUND((Inventory[[#This Row],[Mdl Land Intercept]]+Inventory[[#This Row],[Mdl LnAcres]])*Inventory[[#This Row],[Det/Nbhd Adj]],-2)</f>
        <v>9400</v>
      </c>
      <c r="BR1651" s="25">
        <f>Inventory[[#This Row],[Adjusted Impr Total]]+Inventory[[#This Row],[Adjusted Land Total]]</f>
        <v>112200</v>
      </c>
      <c r="BS1651" s="36">
        <f>IFERROR((Inventory[[#This Row],[Adjusted Impr Total]]-Inventory[[#This Row],[24Bldg]])/Inventory[[#This Row],[24Bldg]],0)</f>
        <v>-0.1911880409126672</v>
      </c>
      <c r="BT1651" s="36">
        <f>(Inventory[[#This Row],[Adjusted Land Total]]-Inventory[[#This Row],[24Lnd]])/Inventory[[#This Row],[24Lnd]]</f>
        <v>-0.6452830188679245</v>
      </c>
      <c r="BU1651" s="36">
        <f>(Inventory[[#This Row],[Adjusted Total]]-Inventory[[#This Row],[24Final]])/Inventory[[#This Row],[24Final]]</f>
        <v>-0.26953125</v>
      </c>
    </row>
    <row r="1652" spans="1:73" x14ac:dyDescent="0.3">
      <c r="A1652" s="25">
        <v>2025</v>
      </c>
      <c r="B1652" s="26" t="s">
        <v>2437</v>
      </c>
      <c r="C1652" s="26">
        <f>LN(Inventory[[#This Row],[Acres]])</f>
        <v>-1.6607312068216509</v>
      </c>
      <c r="D1652" s="25">
        <v>0.19</v>
      </c>
      <c r="E1652" s="25">
        <v>8362</v>
      </c>
      <c r="F1652" s="26" t="s">
        <v>537</v>
      </c>
      <c r="G1652" s="26" t="s">
        <v>126</v>
      </c>
      <c r="H1652" s="26" t="s">
        <v>349</v>
      </c>
      <c r="I1652" s="26" t="s">
        <v>538</v>
      </c>
      <c r="J1652" s="26" t="s">
        <v>539</v>
      </c>
      <c r="K1652" s="26" t="s">
        <v>448</v>
      </c>
      <c r="L1652" s="26" t="s">
        <v>64</v>
      </c>
      <c r="M1652" s="26" t="s">
        <v>352</v>
      </c>
      <c r="N1652" s="26">
        <v>90</v>
      </c>
      <c r="O1652" s="26">
        <f>2024-Inventory[[#This Row],[YrBlt]]</f>
        <v>90</v>
      </c>
      <c r="P1652" s="26">
        <f>2024-Inventory[[#This Row],[EffYr]]</f>
        <v>53</v>
      </c>
      <c r="Q1652" s="25">
        <v>1934</v>
      </c>
      <c r="R1652" s="25">
        <v>1971</v>
      </c>
      <c r="S1652" s="25">
        <v>1728</v>
      </c>
      <c r="T1652" s="32">
        <v>1260</v>
      </c>
      <c r="U1652" s="32">
        <v>1332</v>
      </c>
      <c r="V1652" s="32">
        <f>Inventory[[#This Row],[Bsmt]]-Inventory[[#This Row],[FnBsmt]]</f>
        <v>446</v>
      </c>
      <c r="W1652" s="32">
        <v>886</v>
      </c>
      <c r="X1652" s="27"/>
      <c r="Y1652" s="27">
        <f>Inventory[[#This Row],[MainFn]]+Inventory[[#This Row],[UpprFn]]+Inventory[[#This Row],[FnBsmt]]+Inventory[[#This Row],[AddFn]]</f>
        <v>3874</v>
      </c>
      <c r="Z1652" s="27">
        <v>4000</v>
      </c>
      <c r="AA1652" s="25">
        <v>15</v>
      </c>
      <c r="AB1652" s="31"/>
      <c r="AC1652" s="32">
        <v>616</v>
      </c>
      <c r="AD1652" s="32">
        <v>220</v>
      </c>
      <c r="AE1652" s="27"/>
      <c r="AF1652" s="27"/>
      <c r="AG1652" s="27"/>
      <c r="AH1652" s="27"/>
      <c r="AI1652" s="25">
        <v>912404</v>
      </c>
      <c r="AJ1652" s="25">
        <v>647807</v>
      </c>
      <c r="AK1652" s="25">
        <v>0</v>
      </c>
      <c r="AL1652" s="25">
        <v>647800</v>
      </c>
      <c r="AM1652" s="25">
        <v>56600</v>
      </c>
      <c r="AN1652" s="25">
        <v>591200</v>
      </c>
      <c r="AO1652" s="25">
        <v>0</v>
      </c>
      <c r="AP1652" s="25">
        <f>Lookups!$B$56*0</f>
        <v>0</v>
      </c>
      <c r="AQ1652" s="25">
        <f>Lookups!$B$56*1</f>
        <v>89850.625589999996</v>
      </c>
      <c r="AR1652" s="25">
        <f>Lookups!$B$57*Inventory[[#This Row],[LnAcres]]</f>
        <v>-52569.808201026557</v>
      </c>
      <c r="AS1652" s="25">
        <f>VLOOKUP(Inventory[[#This Row],[Qlty]],Lookups!$A$62:$E$75,2,FALSE)</f>
        <v>163885.03753</v>
      </c>
      <c r="AT1652" s="25">
        <f>VLOOKUP(Inventory[[#This Row],[Cnd]],Lookups!$A$76:$E$84,2,FALSE)</f>
        <v>284810.60806</v>
      </c>
      <c r="AU1652" s="25">
        <f>Inventory[[#This Row],[EffAge]]*Lookups!$B$85</f>
        <v>-11821.416826500001</v>
      </c>
      <c r="AV1652" s="25">
        <f>Inventory[[#This Row],[MainFn]]*Lookups!$B$86</f>
        <v>85378.181547455999</v>
      </c>
      <c r="AW1652" s="25">
        <f>Inventory[[#This Row],[UpprFn]]*Lookups!$B$87</f>
        <v>56430.892804859999</v>
      </c>
      <c r="AX1652" s="25">
        <f>Inventory[[#This Row],[AddFn]]*Lookups!$B$88</f>
        <v>0</v>
      </c>
      <c r="AY1652" s="25">
        <f>Inventory[[#This Row],[Bsmt]]*Lookups!$B$89</f>
        <v>38737.084469003996</v>
      </c>
      <c r="AZ1652" s="25">
        <f>Inventory[[#This Row],[Fixtures]]*Lookups!$B$90</f>
        <v>56880.331578000005</v>
      </c>
      <c r="BA1652" s="25">
        <f>Inventory[[#This Row],[WdDeck]]*Lookups!$B$91</f>
        <v>7325.0133607200005</v>
      </c>
      <c r="BB1652" s="25">
        <f>ROUND(Inventory[[#This Row],[25Det]],-2)</f>
        <v>0</v>
      </c>
      <c r="BC1652" s="25">
        <f>ROUND(SUM(Inventory[[#This Row],[Mdl Qlty]:[Mdl WdDeck]])+Inventory[[#This Row],[Mdl Res Intercept]],-2)</f>
        <v>681600</v>
      </c>
      <c r="BD1652" s="25">
        <f>ROUND(Inventory[[#This Row],[Mdl Land Intercept]]+Inventory[[#This Row],[Mdl LnAcres]],-2)</f>
        <v>37300</v>
      </c>
      <c r="BE1652" s="25">
        <f>Inventory[[#This Row],[Unadj Res Value]]+Inventory[[#This Row],[Unadj Det Value]]+Inventory[[#This Row],[Unadj Land Value]]</f>
        <v>718900</v>
      </c>
      <c r="BF1652" s="36">
        <f>(Inventory[[#This Row],[Unadj Total Value]]-Inventory[[#This Row],[24Final]])/Inventory[[#This Row],[24Final]]</f>
        <v>0.10975609756097561</v>
      </c>
      <c r="BG1652" s="25">
        <f>VLOOKUP(Inventory[[#This Row],[Nbhd]],Lookups!$Q$2:$T$4,4,FALSE)</f>
        <v>0.99970000000000003</v>
      </c>
      <c r="BH1652" s="25">
        <f>VLOOKUP(Inventory[[#This Row],[Qlty]],Lookups!$O$7:$R$21,4,FALSE)</f>
        <v>1</v>
      </c>
      <c r="BI1652" s="25">
        <f>VLOOKUP(Inventory[[#This Row],[Cnd]],Lookups!$T$7:$W$16,4,FALSE)</f>
        <v>1.0158</v>
      </c>
      <c r="BJ1652" s="25">
        <f>VLOOKUP(Inventory[[#This Row],[LivArea Range]],Lookups!$T$25:$W$37,4,FALSE)</f>
        <v>0.94579999999999997</v>
      </c>
      <c r="BK1652" s="25">
        <f>VLOOKUP(Inventory[[#This Row],[Decade]],Lookups!$O$25:$R$42,4,FALSE)</f>
        <v>0.98909999999999998</v>
      </c>
      <c r="BL1652" s="25">
        <f>Inventory[[#This Row],[Nbhd Adj]]*0.95</f>
        <v>0.94971499999999998</v>
      </c>
      <c r="BM1652" s="25">
        <f>Inventory[[#This Row],[Nbhd Adj]]*Inventory[[#This Row],[Quality Adj]]*Inventory[[#This Row],[Condition Adj]]*Inventory[[#This Row],[Living Area Adj]]*Inventory[[#This Row],[Decade Adj]]*0.95</f>
        <v>0.90248713022051763</v>
      </c>
      <c r="BN1652" s="25">
        <f>ROUND(SUM(Inventory[[#This Row],[Mdl Qlty]:[Mdl WdDeck]])+Inventory[[#This Row],[Mdl Res Intercept]]*Inventory[[#This Row],[Res Adj ]],-2)</f>
        <v>681600</v>
      </c>
      <c r="BO1652" s="25">
        <f>ROUND(Inventory[[#This Row],[25Det]]*Inventory[[#This Row],[Det/Nbhd Adj]],-2)</f>
        <v>0</v>
      </c>
      <c r="BP1652" s="25">
        <f>Inventory[[#This Row],[Adjusted Res]]+Inventory[[#This Row],[Adj Det ]]</f>
        <v>681600</v>
      </c>
      <c r="BQ1652" s="25">
        <f>ROUND((Inventory[[#This Row],[Mdl Land Intercept]]+Inventory[[#This Row],[Mdl LnAcres]])*Inventory[[#This Row],[Det/Nbhd Adj]],-2)</f>
        <v>35400</v>
      </c>
      <c r="BR1652" s="25">
        <f>Inventory[[#This Row],[Adjusted Impr Total]]+Inventory[[#This Row],[Adjusted Land Total]]</f>
        <v>717000</v>
      </c>
      <c r="BS1652" s="36">
        <f>IFERROR((Inventory[[#This Row],[Adjusted Impr Total]]-Inventory[[#This Row],[24Bldg]])/Inventory[[#This Row],[24Bldg]],0)</f>
        <v>0.15290933694181327</v>
      </c>
      <c r="BT1652" s="36">
        <f>(Inventory[[#This Row],[Adjusted Land Total]]-Inventory[[#This Row],[24Lnd]])/Inventory[[#This Row],[24Lnd]]</f>
        <v>-0.37455830388692579</v>
      </c>
      <c r="BU1652" s="36">
        <f>(Inventory[[#This Row],[Adjusted Total]]-Inventory[[#This Row],[24Final]])/Inventory[[#This Row],[24Final]]</f>
        <v>0.10682309354739117</v>
      </c>
    </row>
    <row r="1653" spans="1:73" x14ac:dyDescent="0.3">
      <c r="A1653" s="25">
        <v>2025</v>
      </c>
      <c r="B1653" s="26" t="s">
        <v>2750</v>
      </c>
      <c r="C1653" s="26">
        <f>LN(Inventory[[#This Row],[Acres]])</f>
        <v>-1.5606477482646683</v>
      </c>
      <c r="D1653" s="25">
        <v>0.21</v>
      </c>
      <c r="E1653" s="25">
        <v>8930</v>
      </c>
      <c r="F1653" s="26" t="s">
        <v>537</v>
      </c>
      <c r="G1653" s="26" t="s">
        <v>126</v>
      </c>
      <c r="H1653" s="26" t="s">
        <v>349</v>
      </c>
      <c r="I1653" s="26" t="s">
        <v>538</v>
      </c>
      <c r="J1653" s="26" t="s">
        <v>539</v>
      </c>
      <c r="K1653" s="26" t="s">
        <v>242</v>
      </c>
      <c r="L1653" s="26" t="s">
        <v>351</v>
      </c>
      <c r="M1653" s="26" t="s">
        <v>303</v>
      </c>
      <c r="N1653" s="26">
        <v>100</v>
      </c>
      <c r="O1653" s="26">
        <f>2024-Inventory[[#This Row],[YrBlt]]</f>
        <v>91</v>
      </c>
      <c r="P1653" s="26">
        <f>2024-Inventory[[#This Row],[EffYr]]</f>
        <v>54</v>
      </c>
      <c r="Q1653" s="25">
        <v>1933</v>
      </c>
      <c r="R1653" s="25">
        <v>1970</v>
      </c>
      <c r="S1653" s="25">
        <v>1260</v>
      </c>
      <c r="T1653" s="27"/>
      <c r="U1653" s="32">
        <v>1260</v>
      </c>
      <c r="V1653" s="32">
        <f>Inventory[[#This Row],[Bsmt]]-Inventory[[#This Row],[FnBsmt]]</f>
        <v>1260</v>
      </c>
      <c r="W1653" s="27"/>
      <c r="X1653" s="27"/>
      <c r="Y1653" s="27">
        <f>Inventory[[#This Row],[MainFn]]+Inventory[[#This Row],[UpprFn]]+Inventory[[#This Row],[FnBsmt]]+Inventory[[#This Row],[AddFn]]</f>
        <v>1260</v>
      </c>
      <c r="Z1653" s="27">
        <v>1500</v>
      </c>
      <c r="AA1653" s="25">
        <v>5</v>
      </c>
      <c r="AB1653" s="27"/>
      <c r="AC1653" s="27"/>
      <c r="AD1653" s="27"/>
      <c r="AE1653" s="27"/>
      <c r="AF1653" s="27"/>
      <c r="AG1653" s="27"/>
      <c r="AH1653" s="27"/>
      <c r="AI1653" s="25">
        <v>243944</v>
      </c>
      <c r="AJ1653" s="25">
        <v>165882</v>
      </c>
      <c r="AK1653" s="25">
        <v>23882</v>
      </c>
      <c r="AL1653" s="25">
        <v>344800</v>
      </c>
      <c r="AM1653" s="25">
        <v>60100</v>
      </c>
      <c r="AN1653" s="25">
        <v>284700</v>
      </c>
      <c r="AO1653" s="25">
        <v>0</v>
      </c>
      <c r="AP1653" s="25">
        <f>Lookups!$B$56*0</f>
        <v>0</v>
      </c>
      <c r="AQ1653" s="25">
        <f>Lookups!$B$56*1</f>
        <v>89850.625589999996</v>
      </c>
      <c r="AR1653" s="25">
        <f>Lookups!$B$57*Inventory[[#This Row],[LnAcres]]</f>
        <v>-49401.70477837498</v>
      </c>
      <c r="AS1653" s="25">
        <f>VLOOKUP(Inventory[[#This Row],[Qlty]],Lookups!$A$62:$E$75,2,FALSE)</f>
        <v>21557.329055999999</v>
      </c>
      <c r="AT1653" s="25">
        <f>VLOOKUP(Inventory[[#This Row],[Cnd]],Lookups!$A$76:$E$84,2,FALSE)</f>
        <v>197752.34721000001</v>
      </c>
      <c r="AU1653" s="25">
        <f>Inventory[[#This Row],[EffAge]]*Lookups!$B$85</f>
        <v>-12044.462427</v>
      </c>
      <c r="AV1653" s="25">
        <f>Inventory[[#This Row],[MainFn]]*Lookups!$B$86</f>
        <v>62254.924045020001</v>
      </c>
      <c r="AW1653" s="25">
        <f>Inventory[[#This Row],[UpprFn]]*Lookups!$B$87</f>
        <v>0</v>
      </c>
      <c r="AX1653" s="25">
        <f>Inventory[[#This Row],[AddFn]]*Lookups!$B$88</f>
        <v>0</v>
      </c>
      <c r="AY1653" s="25">
        <f>Inventory[[#This Row],[Bsmt]]*Lookups!$B$89</f>
        <v>36643.188011220001</v>
      </c>
      <c r="AZ1653" s="25">
        <f>Inventory[[#This Row],[Fixtures]]*Lookups!$B$90</f>
        <v>18960.110526</v>
      </c>
      <c r="BA1653" s="25">
        <f>Inventory[[#This Row],[WdDeck]]*Lookups!$B$91</f>
        <v>0</v>
      </c>
      <c r="BB1653" s="25">
        <f>ROUND(Inventory[[#This Row],[25Det]],-2)</f>
        <v>23900</v>
      </c>
      <c r="BC1653" s="25">
        <f>ROUND(SUM(Inventory[[#This Row],[Mdl Qlty]:[Mdl WdDeck]])+Inventory[[#This Row],[Mdl Res Intercept]],-2)</f>
        <v>325100</v>
      </c>
      <c r="BD1653" s="25">
        <f>ROUND(Inventory[[#This Row],[Mdl Land Intercept]]+Inventory[[#This Row],[Mdl LnAcres]],-2)</f>
        <v>40400</v>
      </c>
      <c r="BE1653" s="25">
        <f>Inventory[[#This Row],[Unadj Res Value]]+Inventory[[#This Row],[Unadj Det Value]]+Inventory[[#This Row],[Unadj Land Value]]</f>
        <v>389400</v>
      </c>
      <c r="BF1653" s="36">
        <f>(Inventory[[#This Row],[Unadj Total Value]]-Inventory[[#This Row],[24Final]])/Inventory[[#This Row],[24Final]]</f>
        <v>0.12935034802784223</v>
      </c>
      <c r="BG1653" s="25">
        <f>VLOOKUP(Inventory[[#This Row],[Nbhd]],Lookups!$Q$2:$T$4,4,FALSE)</f>
        <v>0.99970000000000003</v>
      </c>
      <c r="BH1653" s="25">
        <f>VLOOKUP(Inventory[[#This Row],[Qlty]],Lookups!$O$7:$R$21,4,FALSE)</f>
        <v>1.0067999999999999</v>
      </c>
      <c r="BI1653" s="25">
        <f>VLOOKUP(Inventory[[#This Row],[Cnd]],Lookups!$T$7:$W$16,4,FALSE)</f>
        <v>0.99650000000000005</v>
      </c>
      <c r="BJ1653" s="25">
        <f>VLOOKUP(Inventory[[#This Row],[LivArea Range]],Lookups!$T$25:$W$37,4,FALSE)</f>
        <v>1.0157</v>
      </c>
      <c r="BK1653" s="25">
        <f>VLOOKUP(Inventory[[#This Row],[Decade]],Lookups!$O$25:$R$42,4,FALSE)</f>
        <v>1.0074000000000001</v>
      </c>
      <c r="BL1653" s="25">
        <f>Inventory[[#This Row],[Nbhd Adj]]*0.95</f>
        <v>0.94971499999999998</v>
      </c>
      <c r="BM1653" s="25">
        <f>Inventory[[#This Row],[Nbhd Adj]]*Inventory[[#This Row],[Quality Adj]]*Inventory[[#This Row],[Condition Adj]]*Inventory[[#This Row],[Living Area Adj]]*Inventory[[#This Row],[Decade Adj]]*0.95</f>
        <v>0.97494744680082823</v>
      </c>
      <c r="BN1653" s="25">
        <f>ROUND(SUM(Inventory[[#This Row],[Mdl Qlty]:[Mdl WdDeck]])+Inventory[[#This Row],[Mdl Res Intercept]]*Inventory[[#This Row],[Res Adj ]],-2)</f>
        <v>325100</v>
      </c>
      <c r="BO1653" s="25">
        <f>ROUND(Inventory[[#This Row],[25Det]]*Inventory[[#This Row],[Det/Nbhd Adj]],-2)</f>
        <v>22700</v>
      </c>
      <c r="BP1653" s="25">
        <f>Inventory[[#This Row],[Adjusted Res]]+Inventory[[#This Row],[Adj Det ]]</f>
        <v>347800</v>
      </c>
      <c r="BQ1653" s="25">
        <f>ROUND((Inventory[[#This Row],[Mdl Land Intercept]]+Inventory[[#This Row],[Mdl LnAcres]])*Inventory[[#This Row],[Det/Nbhd Adj]],-2)</f>
        <v>38400</v>
      </c>
      <c r="BR1653" s="25">
        <f>Inventory[[#This Row],[Adjusted Impr Total]]+Inventory[[#This Row],[Adjusted Land Total]]</f>
        <v>386200</v>
      </c>
      <c r="BS1653" s="36">
        <f>IFERROR((Inventory[[#This Row],[Adjusted Impr Total]]-Inventory[[#This Row],[24Bldg]])/Inventory[[#This Row],[24Bldg]],0)</f>
        <v>0.22163681067790658</v>
      </c>
      <c r="BT1653" s="36">
        <f>(Inventory[[#This Row],[Adjusted Land Total]]-Inventory[[#This Row],[24Lnd]])/Inventory[[#This Row],[24Lnd]]</f>
        <v>-0.36106489184692181</v>
      </c>
      <c r="BU1653" s="36">
        <f>(Inventory[[#This Row],[Adjusted Total]]-Inventory[[#This Row],[24Final]])/Inventory[[#This Row],[24Final]]</f>
        <v>0.12006960556844548</v>
      </c>
    </row>
    <row r="1654" spans="1:73" x14ac:dyDescent="0.3">
      <c r="A1654" s="25">
        <v>2025</v>
      </c>
      <c r="B1654" s="26" t="s">
        <v>676</v>
      </c>
      <c r="C1654" s="26">
        <f>LN(Inventory[[#This Row],[Acres]])</f>
        <v>-1.5606477482646683</v>
      </c>
      <c r="D1654" s="25">
        <v>0.21</v>
      </c>
      <c r="E1654" s="25">
        <v>9103</v>
      </c>
      <c r="F1654" s="26" t="s">
        <v>537</v>
      </c>
      <c r="G1654" s="26" t="s">
        <v>126</v>
      </c>
      <c r="H1654" s="26" t="s">
        <v>349</v>
      </c>
      <c r="I1654" s="26" t="s">
        <v>538</v>
      </c>
      <c r="J1654" s="26" t="s">
        <v>539</v>
      </c>
      <c r="K1654" s="26" t="s">
        <v>242</v>
      </c>
      <c r="L1654" s="26" t="s">
        <v>351</v>
      </c>
      <c r="M1654" s="26" t="s">
        <v>323</v>
      </c>
      <c r="N1654" s="26">
        <v>100</v>
      </c>
      <c r="O1654" s="26">
        <f>2024-Inventory[[#This Row],[YrBlt]]</f>
        <v>91</v>
      </c>
      <c r="P1654" s="26">
        <f>2024-Inventory[[#This Row],[EffYr]]</f>
        <v>54</v>
      </c>
      <c r="Q1654" s="25">
        <v>1933</v>
      </c>
      <c r="R1654" s="25">
        <v>1970</v>
      </c>
      <c r="S1654" s="25">
        <v>796</v>
      </c>
      <c r="T1654" s="27"/>
      <c r="U1654" s="32">
        <v>796</v>
      </c>
      <c r="V1654" s="32">
        <f>Inventory[[#This Row],[Bsmt]]-Inventory[[#This Row],[FnBsmt]]</f>
        <v>398</v>
      </c>
      <c r="W1654" s="32">
        <v>398</v>
      </c>
      <c r="X1654" s="27"/>
      <c r="Y1654" s="27">
        <f>Inventory[[#This Row],[MainFn]]+Inventory[[#This Row],[UpprFn]]+Inventory[[#This Row],[FnBsmt]]+Inventory[[#This Row],[AddFn]]</f>
        <v>1194</v>
      </c>
      <c r="Z1654" s="27">
        <v>1500</v>
      </c>
      <c r="AA1654" s="25">
        <v>5</v>
      </c>
      <c r="AB1654" s="31"/>
      <c r="AC1654" s="27"/>
      <c r="AD1654" s="27"/>
      <c r="AE1654" s="27"/>
      <c r="AF1654" s="27"/>
      <c r="AG1654" s="27"/>
      <c r="AH1654" s="27"/>
      <c r="AI1654" s="25">
        <v>182705</v>
      </c>
      <c r="AJ1654" s="25">
        <v>120585</v>
      </c>
      <c r="AK1654" s="25">
        <v>11658</v>
      </c>
      <c r="AL1654" s="25">
        <v>283500</v>
      </c>
      <c r="AM1654" s="25">
        <v>60100</v>
      </c>
      <c r="AN1654" s="25">
        <v>223400</v>
      </c>
      <c r="AO1654" s="25">
        <v>0</v>
      </c>
      <c r="AP1654" s="25">
        <f>Lookups!$B$56*0</f>
        <v>0</v>
      </c>
      <c r="AQ1654" s="25">
        <f>Lookups!$B$56*1</f>
        <v>89850.625589999996</v>
      </c>
      <c r="AR1654" s="25">
        <f>Lookups!$B$57*Inventory[[#This Row],[LnAcres]]</f>
        <v>-49401.70477837498</v>
      </c>
      <c r="AS1654" s="25">
        <f>VLOOKUP(Inventory[[#This Row],[Qlty]],Lookups!$A$62:$E$75,2,FALSE)</f>
        <v>21557.329055999999</v>
      </c>
      <c r="AT1654" s="25">
        <f>VLOOKUP(Inventory[[#This Row],[Cnd]],Lookups!$A$76:$E$84,2,FALSE)</f>
        <v>160472.20319</v>
      </c>
      <c r="AU1654" s="25">
        <f>Inventory[[#This Row],[EffAge]]*Lookups!$B$85</f>
        <v>-12044.462427</v>
      </c>
      <c r="AV1654" s="25">
        <f>Inventory[[#This Row],[MainFn]]*Lookups!$B$86</f>
        <v>39329.301222091999</v>
      </c>
      <c r="AW1654" s="25">
        <f>Inventory[[#This Row],[UpprFn]]*Lookups!$B$87</f>
        <v>0</v>
      </c>
      <c r="AX1654" s="25">
        <f>Inventory[[#This Row],[AddFn]]*Lookups!$B$88</f>
        <v>0</v>
      </c>
      <c r="AY1654" s="25">
        <f>Inventory[[#This Row],[Bsmt]]*Lookups!$B$89</f>
        <v>23149.188616611998</v>
      </c>
      <c r="AZ1654" s="25">
        <f>Inventory[[#This Row],[Fixtures]]*Lookups!$B$90</f>
        <v>18960.110526</v>
      </c>
      <c r="BA1654" s="25">
        <f>Inventory[[#This Row],[WdDeck]]*Lookups!$B$91</f>
        <v>0</v>
      </c>
      <c r="BB1654" s="25">
        <f>ROUND(Inventory[[#This Row],[25Det]],-2)</f>
        <v>11700</v>
      </c>
      <c r="BC1654" s="25">
        <f>ROUND(SUM(Inventory[[#This Row],[Mdl Qlty]:[Mdl WdDeck]])+Inventory[[#This Row],[Mdl Res Intercept]],-2)</f>
        <v>251400</v>
      </c>
      <c r="BD1654" s="25">
        <f>ROUND(Inventory[[#This Row],[Mdl Land Intercept]]+Inventory[[#This Row],[Mdl LnAcres]],-2)</f>
        <v>40400</v>
      </c>
      <c r="BE1654" s="25">
        <f>Inventory[[#This Row],[Unadj Res Value]]+Inventory[[#This Row],[Unadj Det Value]]+Inventory[[#This Row],[Unadj Land Value]]</f>
        <v>303500</v>
      </c>
      <c r="BF1654" s="36">
        <f>(Inventory[[#This Row],[Unadj Total Value]]-Inventory[[#This Row],[24Final]])/Inventory[[#This Row],[24Final]]</f>
        <v>7.0546737213403876E-2</v>
      </c>
      <c r="BG1654" s="25">
        <f>VLOOKUP(Inventory[[#This Row],[Nbhd]],Lookups!$Q$2:$T$4,4,FALSE)</f>
        <v>0.99970000000000003</v>
      </c>
      <c r="BH1654" s="25">
        <f>VLOOKUP(Inventory[[#This Row],[Qlty]],Lookups!$O$7:$R$21,4,FALSE)</f>
        <v>1.0067999999999999</v>
      </c>
      <c r="BI1654" s="25">
        <f>VLOOKUP(Inventory[[#This Row],[Cnd]],Lookups!$T$7:$W$16,4,FALSE)</f>
        <v>0.99729999999999996</v>
      </c>
      <c r="BJ1654" s="25">
        <f>VLOOKUP(Inventory[[#This Row],[LivArea Range]],Lookups!$T$25:$W$37,4,FALSE)</f>
        <v>1.0157</v>
      </c>
      <c r="BK1654" s="25">
        <f>VLOOKUP(Inventory[[#This Row],[Decade]],Lookups!$O$25:$R$42,4,FALSE)</f>
        <v>1.0074000000000001</v>
      </c>
      <c r="BL1654" s="25">
        <f>Inventory[[#This Row],[Nbhd Adj]]*0.95</f>
        <v>0.94971499999999998</v>
      </c>
      <c r="BM1654" s="25">
        <f>Inventory[[#This Row],[Nbhd Adj]]*Inventory[[#This Row],[Quality Adj]]*Inventory[[#This Row],[Condition Adj]]*Inventory[[#This Row],[Living Area Adj]]*Inventory[[#This Row],[Decade Adj]]*0.95</f>
        <v>0.97573014419916293</v>
      </c>
      <c r="BN1654" s="25">
        <f>ROUND(SUM(Inventory[[#This Row],[Mdl Qlty]:[Mdl WdDeck]])+Inventory[[#This Row],[Mdl Res Intercept]]*Inventory[[#This Row],[Res Adj ]],-2)</f>
        <v>251400</v>
      </c>
      <c r="BO1654" s="25">
        <f>ROUND(Inventory[[#This Row],[25Det]]*Inventory[[#This Row],[Det/Nbhd Adj]],-2)</f>
        <v>11100</v>
      </c>
      <c r="BP1654" s="25">
        <f>Inventory[[#This Row],[Adjusted Res]]+Inventory[[#This Row],[Adj Det ]]</f>
        <v>262500</v>
      </c>
      <c r="BQ1654" s="25">
        <f>ROUND((Inventory[[#This Row],[Mdl Land Intercept]]+Inventory[[#This Row],[Mdl LnAcres]])*Inventory[[#This Row],[Det/Nbhd Adj]],-2)</f>
        <v>38400</v>
      </c>
      <c r="BR1654" s="25">
        <f>Inventory[[#This Row],[Adjusted Impr Total]]+Inventory[[#This Row],[Adjusted Land Total]]</f>
        <v>300900</v>
      </c>
      <c r="BS1654" s="36">
        <f>IFERROR((Inventory[[#This Row],[Adjusted Impr Total]]-Inventory[[#This Row],[24Bldg]])/Inventory[[#This Row],[24Bldg]],0)</f>
        <v>0.17502238137869292</v>
      </c>
      <c r="BT1654" s="36">
        <f>(Inventory[[#This Row],[Adjusted Land Total]]-Inventory[[#This Row],[24Lnd]])/Inventory[[#This Row],[24Lnd]]</f>
        <v>-0.36106489184692181</v>
      </c>
      <c r="BU1654" s="36">
        <f>(Inventory[[#This Row],[Adjusted Total]]-Inventory[[#This Row],[24Final]])/Inventory[[#This Row],[24Final]]</f>
        <v>6.1375661375661375E-2</v>
      </c>
    </row>
    <row r="1655" spans="1:73" x14ac:dyDescent="0.3">
      <c r="A1655" s="25">
        <v>2025</v>
      </c>
      <c r="B1655" s="26" t="s">
        <v>2440</v>
      </c>
      <c r="C1655" s="26">
        <f>LN(Inventory[[#This Row],[Acres]])</f>
        <v>-1.4696759700589417</v>
      </c>
      <c r="D1655" s="25">
        <v>0.23</v>
      </c>
      <c r="E1655" s="25">
        <v>9807</v>
      </c>
      <c r="F1655" s="26" t="s">
        <v>537</v>
      </c>
      <c r="G1655" s="26" t="s">
        <v>126</v>
      </c>
      <c r="H1655" s="26" t="s">
        <v>349</v>
      </c>
      <c r="I1655" s="26" t="s">
        <v>538</v>
      </c>
      <c r="J1655" s="26" t="s">
        <v>539</v>
      </c>
      <c r="K1655" s="26" t="s">
        <v>269</v>
      </c>
      <c r="L1655" s="26" t="s">
        <v>148</v>
      </c>
      <c r="M1655" s="26" t="s">
        <v>323</v>
      </c>
      <c r="N1655" s="26">
        <v>100</v>
      </c>
      <c r="O1655" s="26">
        <f>2024-Inventory[[#This Row],[YrBlt]]</f>
        <v>91</v>
      </c>
      <c r="P1655" s="26">
        <f>2024-Inventory[[#This Row],[EffYr]]</f>
        <v>54</v>
      </c>
      <c r="Q1655" s="25">
        <v>1933</v>
      </c>
      <c r="R1655" s="25">
        <v>1970</v>
      </c>
      <c r="S1655" s="25">
        <v>1090</v>
      </c>
      <c r="T1655" s="27"/>
      <c r="U1655" s="25">
        <v>766</v>
      </c>
      <c r="V1655" s="25">
        <f>Inventory[[#This Row],[Bsmt]]-Inventory[[#This Row],[FnBsmt]]</f>
        <v>153</v>
      </c>
      <c r="W1655" s="25">
        <v>613</v>
      </c>
      <c r="X1655" s="27"/>
      <c r="Y1655" s="27">
        <f>Inventory[[#This Row],[MainFn]]+Inventory[[#This Row],[UpprFn]]+Inventory[[#This Row],[FnBsmt]]+Inventory[[#This Row],[AddFn]]</f>
        <v>1703</v>
      </c>
      <c r="Z1655" s="27">
        <v>2000</v>
      </c>
      <c r="AA1655" s="25">
        <v>8</v>
      </c>
      <c r="AB1655" s="27"/>
      <c r="AC1655" s="32">
        <v>324</v>
      </c>
      <c r="AD1655" s="32">
        <v>96</v>
      </c>
      <c r="AE1655" s="27"/>
      <c r="AF1655" s="27"/>
      <c r="AG1655" s="27"/>
      <c r="AH1655" s="27"/>
      <c r="AI1655" s="25">
        <v>340125</v>
      </c>
      <c r="AJ1655" s="25">
        <v>224483</v>
      </c>
      <c r="AK1655" s="25">
        <v>0</v>
      </c>
      <c r="AL1655" s="25">
        <v>326800</v>
      </c>
      <c r="AM1655" s="25">
        <v>63300</v>
      </c>
      <c r="AN1655" s="25">
        <v>263500</v>
      </c>
      <c r="AO1655" s="25">
        <v>0</v>
      </c>
      <c r="AP1655" s="25">
        <f>Lookups!$B$56*0</f>
        <v>0</v>
      </c>
      <c r="AQ1655" s="25">
        <f>Lookups!$B$56*1</f>
        <v>89850.625589999996</v>
      </c>
      <c r="AR1655" s="25">
        <f>Lookups!$B$57*Inventory[[#This Row],[LnAcres]]</f>
        <v>-46522.028095997222</v>
      </c>
      <c r="AS1655" s="25">
        <f>VLOOKUP(Inventory[[#This Row],[Qlty]],Lookups!$A$62:$E$75,2,FALSE)</f>
        <v>44121.038090000002</v>
      </c>
      <c r="AT1655" s="25">
        <f>VLOOKUP(Inventory[[#This Row],[Cnd]],Lookups!$A$76:$E$84,2,FALSE)</f>
        <v>160472.20319</v>
      </c>
      <c r="AU1655" s="25">
        <f>Inventory[[#This Row],[EffAge]]*Lookups!$B$85</f>
        <v>-12044.462427</v>
      </c>
      <c r="AV1655" s="25">
        <f>Inventory[[#This Row],[MainFn]]*Lookups!$B$86</f>
        <v>53855.45016593</v>
      </c>
      <c r="AW1655" s="25">
        <f>Inventory[[#This Row],[UpprFn]]*Lookups!$B$87</f>
        <v>0</v>
      </c>
      <c r="AX1655" s="25">
        <f>Inventory[[#This Row],[AddFn]]*Lookups!$B$88</f>
        <v>0</v>
      </c>
      <c r="AY1655" s="25">
        <f>Inventory[[#This Row],[Bsmt]]*Lookups!$B$89</f>
        <v>22276.731759201997</v>
      </c>
      <c r="AZ1655" s="25">
        <f>Inventory[[#This Row],[Fixtures]]*Lookups!$B$90</f>
        <v>30336.176841600001</v>
      </c>
      <c r="BA1655" s="25">
        <f>Inventory[[#This Row],[WdDeck]]*Lookups!$B$91</f>
        <v>3196.3694664960003</v>
      </c>
      <c r="BB1655" s="25">
        <f>ROUND(Inventory[[#This Row],[25Det]],-2)</f>
        <v>0</v>
      </c>
      <c r="BC1655" s="25">
        <f>ROUND(SUM(Inventory[[#This Row],[Mdl Qlty]:[Mdl WdDeck]])+Inventory[[#This Row],[Mdl Res Intercept]],-2)</f>
        <v>302200</v>
      </c>
      <c r="BD1655" s="25">
        <f>ROUND(Inventory[[#This Row],[Mdl Land Intercept]]+Inventory[[#This Row],[Mdl LnAcres]],-2)</f>
        <v>43300</v>
      </c>
      <c r="BE1655" s="25">
        <f>Inventory[[#This Row],[Unadj Res Value]]+Inventory[[#This Row],[Unadj Det Value]]+Inventory[[#This Row],[Unadj Land Value]]</f>
        <v>345500</v>
      </c>
      <c r="BF1655" s="36">
        <f>(Inventory[[#This Row],[Unadj Total Value]]-Inventory[[#This Row],[24Final]])/Inventory[[#This Row],[24Final]]</f>
        <v>5.7221542227662181E-2</v>
      </c>
      <c r="BG1655" s="25">
        <f>VLOOKUP(Inventory[[#This Row],[Nbhd]],Lookups!$Q$2:$T$4,4,FALSE)</f>
        <v>0.99970000000000003</v>
      </c>
      <c r="BH1655" s="25">
        <f>VLOOKUP(Inventory[[#This Row],[Qlty]],Lookups!$O$7:$R$21,4,FALSE)</f>
        <v>0.98050000000000004</v>
      </c>
      <c r="BI1655" s="25">
        <f>VLOOKUP(Inventory[[#This Row],[Cnd]],Lookups!$T$7:$W$16,4,FALSE)</f>
        <v>0.99729999999999996</v>
      </c>
      <c r="BJ1655" s="25">
        <f>VLOOKUP(Inventory[[#This Row],[LivArea Range]],Lookups!$T$25:$W$37,4,FALSE)</f>
        <v>1.0093000000000001</v>
      </c>
      <c r="BK1655" s="25">
        <f>VLOOKUP(Inventory[[#This Row],[Decade]],Lookups!$O$25:$R$42,4,FALSE)</f>
        <v>1.0074000000000001</v>
      </c>
      <c r="BL1655" s="25">
        <f>Inventory[[#This Row],[Nbhd Adj]]*0.95</f>
        <v>0.94971499999999998</v>
      </c>
      <c r="BM1655" s="25">
        <f>Inventory[[#This Row],[Nbhd Adj]]*Inventory[[#This Row],[Quality Adj]]*Inventory[[#This Row],[Condition Adj]]*Inventory[[#This Row],[Living Area Adj]]*Inventory[[#This Row],[Decade Adj]]*0.95</f>
        <v>0.9442542195464082</v>
      </c>
      <c r="BN1655" s="25">
        <f>ROUND(SUM(Inventory[[#This Row],[Mdl Qlty]:[Mdl WdDeck]])+Inventory[[#This Row],[Mdl Res Intercept]]*Inventory[[#This Row],[Res Adj ]],-2)</f>
        <v>302200</v>
      </c>
      <c r="BO1655" s="25">
        <f>ROUND(Inventory[[#This Row],[25Det]]*Inventory[[#This Row],[Det/Nbhd Adj]],-2)</f>
        <v>0</v>
      </c>
      <c r="BP1655" s="25">
        <f>Inventory[[#This Row],[Adjusted Res]]+Inventory[[#This Row],[Adj Det ]]</f>
        <v>302200</v>
      </c>
      <c r="BQ1655" s="25">
        <f>ROUND((Inventory[[#This Row],[Mdl Land Intercept]]+Inventory[[#This Row],[Mdl LnAcres]])*Inventory[[#This Row],[Det/Nbhd Adj]],-2)</f>
        <v>41100</v>
      </c>
      <c r="BR1655" s="25">
        <f>Inventory[[#This Row],[Adjusted Impr Total]]+Inventory[[#This Row],[Adjusted Land Total]]</f>
        <v>343300</v>
      </c>
      <c r="BS1655" s="36">
        <f>IFERROR((Inventory[[#This Row],[Adjusted Impr Total]]-Inventory[[#This Row],[24Bldg]])/Inventory[[#This Row],[24Bldg]],0)</f>
        <v>0.14686907020872866</v>
      </c>
      <c r="BT1655" s="36">
        <f>(Inventory[[#This Row],[Adjusted Land Total]]-Inventory[[#This Row],[24Lnd]])/Inventory[[#This Row],[24Lnd]]</f>
        <v>-0.35071090047393366</v>
      </c>
      <c r="BU1655" s="36">
        <f>(Inventory[[#This Row],[Adjusted Total]]-Inventory[[#This Row],[24Final]])/Inventory[[#This Row],[24Final]]</f>
        <v>5.0489596083231336E-2</v>
      </c>
    </row>
    <row r="1656" spans="1:73" x14ac:dyDescent="0.3">
      <c r="A1656" s="25">
        <v>2025</v>
      </c>
      <c r="B1656" s="26" t="s">
        <v>2342</v>
      </c>
      <c r="C1656" s="26">
        <f>LN(Inventory[[#This Row],[Acres]])</f>
        <v>-1.8325814637483102</v>
      </c>
      <c r="D1656" s="25">
        <v>0.16</v>
      </c>
      <c r="E1656" s="31"/>
      <c r="F1656" s="26" t="s">
        <v>537</v>
      </c>
      <c r="G1656" s="26" t="s">
        <v>126</v>
      </c>
      <c r="H1656" s="26" t="s">
        <v>349</v>
      </c>
      <c r="I1656" s="26" t="s">
        <v>538</v>
      </c>
      <c r="J1656" s="26" t="s">
        <v>539</v>
      </c>
      <c r="K1656" s="26" t="s">
        <v>242</v>
      </c>
      <c r="L1656" s="26" t="s">
        <v>351</v>
      </c>
      <c r="M1656" s="26" t="s">
        <v>323</v>
      </c>
      <c r="N1656" s="26">
        <v>100</v>
      </c>
      <c r="O1656" s="26">
        <f>2024-Inventory[[#This Row],[YrBlt]]</f>
        <v>91</v>
      </c>
      <c r="P1656" s="26">
        <f>2024-Inventory[[#This Row],[EffYr]]</f>
        <v>54</v>
      </c>
      <c r="Q1656" s="25">
        <v>1933</v>
      </c>
      <c r="R1656" s="25">
        <v>1970</v>
      </c>
      <c r="S1656" s="25">
        <v>1036</v>
      </c>
      <c r="T1656" s="27"/>
      <c r="U1656" s="25">
        <v>532</v>
      </c>
      <c r="V1656" s="25">
        <f>Inventory[[#This Row],[Bsmt]]-Inventory[[#This Row],[FnBsmt]]</f>
        <v>0</v>
      </c>
      <c r="W1656" s="25">
        <v>532</v>
      </c>
      <c r="X1656" s="27"/>
      <c r="Y1656" s="27">
        <f>Inventory[[#This Row],[MainFn]]+Inventory[[#This Row],[UpprFn]]+Inventory[[#This Row],[FnBsmt]]+Inventory[[#This Row],[AddFn]]</f>
        <v>1568</v>
      </c>
      <c r="Z1656" s="27">
        <v>2000</v>
      </c>
      <c r="AA1656" s="25">
        <v>6</v>
      </c>
      <c r="AB1656" s="31"/>
      <c r="AC1656" s="27"/>
      <c r="AD1656" s="31"/>
      <c r="AE1656" s="27"/>
      <c r="AF1656" s="27"/>
      <c r="AG1656" s="27"/>
      <c r="AH1656" s="27"/>
      <c r="AI1656" s="25">
        <v>229764</v>
      </c>
      <c r="AJ1656" s="25">
        <v>151644</v>
      </c>
      <c r="AK1656" s="25">
        <v>18071</v>
      </c>
      <c r="AL1656" s="25">
        <v>297800</v>
      </c>
      <c r="AM1656" s="25">
        <v>50600</v>
      </c>
      <c r="AN1656" s="25">
        <v>247200</v>
      </c>
      <c r="AO1656" s="25">
        <v>0</v>
      </c>
      <c r="AP1656" s="25">
        <f>Lookups!$B$56*0</f>
        <v>0</v>
      </c>
      <c r="AQ1656" s="25">
        <f>Lookups!$B$56*1</f>
        <v>89850.625589999996</v>
      </c>
      <c r="AR1656" s="25">
        <f>Lookups!$B$57*Inventory[[#This Row],[LnAcres]]</f>
        <v>-58009.662049032086</v>
      </c>
      <c r="AS1656" s="25">
        <f>VLOOKUP(Inventory[[#This Row],[Qlty]],Lookups!$A$62:$E$75,2,FALSE)</f>
        <v>21557.329055999999</v>
      </c>
      <c r="AT1656" s="25">
        <f>VLOOKUP(Inventory[[#This Row],[Cnd]],Lookups!$A$76:$E$84,2,FALSE)</f>
        <v>160472.20319</v>
      </c>
      <c r="AU1656" s="25">
        <f>Inventory[[#This Row],[EffAge]]*Lookups!$B$85</f>
        <v>-12044.462427</v>
      </c>
      <c r="AV1656" s="25">
        <f>Inventory[[#This Row],[MainFn]]*Lookups!$B$86</f>
        <v>51187.381992572002</v>
      </c>
      <c r="AW1656" s="25">
        <f>Inventory[[#This Row],[UpprFn]]*Lookups!$B$87</f>
        <v>0</v>
      </c>
      <c r="AX1656" s="25">
        <f>Inventory[[#This Row],[AddFn]]*Lookups!$B$88</f>
        <v>0</v>
      </c>
      <c r="AY1656" s="25">
        <f>Inventory[[#This Row],[Bsmt]]*Lookups!$B$89</f>
        <v>15471.568271403999</v>
      </c>
      <c r="AZ1656" s="25">
        <f>Inventory[[#This Row],[Fixtures]]*Lookups!$B$90</f>
        <v>22752.132631200002</v>
      </c>
      <c r="BA1656" s="25">
        <f>Inventory[[#This Row],[WdDeck]]*Lookups!$B$91</f>
        <v>0</v>
      </c>
      <c r="BB1656" s="25">
        <f>ROUND(Inventory[[#This Row],[25Det]],-2)</f>
        <v>18100</v>
      </c>
      <c r="BC1656" s="25">
        <f>ROUND(SUM(Inventory[[#This Row],[Mdl Qlty]:[Mdl WdDeck]])+Inventory[[#This Row],[Mdl Res Intercept]],-2)</f>
        <v>259400</v>
      </c>
      <c r="BD1656" s="25">
        <f>ROUND(Inventory[[#This Row],[Mdl Land Intercept]]+Inventory[[#This Row],[Mdl LnAcres]],-2)</f>
        <v>31800</v>
      </c>
      <c r="BE1656" s="25">
        <f>Inventory[[#This Row],[Unadj Res Value]]+Inventory[[#This Row],[Unadj Det Value]]+Inventory[[#This Row],[Unadj Land Value]]</f>
        <v>309300</v>
      </c>
      <c r="BF1656" s="36">
        <f>(Inventory[[#This Row],[Unadj Total Value]]-Inventory[[#This Row],[24Final]])/Inventory[[#This Row],[24Final]]</f>
        <v>3.8616521155137674E-2</v>
      </c>
      <c r="BG1656" s="25">
        <f>VLOOKUP(Inventory[[#This Row],[Nbhd]],Lookups!$Q$2:$T$4,4,FALSE)</f>
        <v>0.99970000000000003</v>
      </c>
      <c r="BH1656" s="25">
        <f>VLOOKUP(Inventory[[#This Row],[Qlty]],Lookups!$O$7:$R$21,4,FALSE)</f>
        <v>1.0067999999999999</v>
      </c>
      <c r="BI1656" s="25">
        <f>VLOOKUP(Inventory[[#This Row],[Cnd]],Lookups!$T$7:$W$16,4,FALSE)</f>
        <v>0.99729999999999996</v>
      </c>
      <c r="BJ1656" s="25">
        <f>VLOOKUP(Inventory[[#This Row],[LivArea Range]],Lookups!$T$25:$W$37,4,FALSE)</f>
        <v>1.0093000000000001</v>
      </c>
      <c r="BK1656" s="25">
        <f>VLOOKUP(Inventory[[#This Row],[Decade]],Lookups!$O$25:$R$42,4,FALSE)</f>
        <v>1.0074000000000001</v>
      </c>
      <c r="BL1656" s="25">
        <f>Inventory[[#This Row],[Nbhd Adj]]*0.95</f>
        <v>0.94971499999999998</v>
      </c>
      <c r="BM1656" s="25">
        <f>Inventory[[#This Row],[Nbhd Adj]]*Inventory[[#This Row],[Quality Adj]]*Inventory[[#This Row],[Condition Adj]]*Inventory[[#This Row],[Living Area Adj]]*Inventory[[#This Row],[Decade Adj]]*0.95</f>
        <v>0.96958199718441984</v>
      </c>
      <c r="BN1656" s="25">
        <f>ROUND(SUM(Inventory[[#This Row],[Mdl Qlty]:[Mdl WdDeck]])+Inventory[[#This Row],[Mdl Res Intercept]]*Inventory[[#This Row],[Res Adj ]],-2)</f>
        <v>259400</v>
      </c>
      <c r="BO1656" s="25">
        <f>ROUND(Inventory[[#This Row],[25Det]]*Inventory[[#This Row],[Det/Nbhd Adj]],-2)</f>
        <v>17200</v>
      </c>
      <c r="BP1656" s="25">
        <f>Inventory[[#This Row],[Adjusted Res]]+Inventory[[#This Row],[Adj Det ]]</f>
        <v>276600</v>
      </c>
      <c r="BQ1656" s="25">
        <f>ROUND((Inventory[[#This Row],[Mdl Land Intercept]]+Inventory[[#This Row],[Mdl LnAcres]])*Inventory[[#This Row],[Det/Nbhd Adj]],-2)</f>
        <v>30200</v>
      </c>
      <c r="BR1656" s="25">
        <f>Inventory[[#This Row],[Adjusted Impr Total]]+Inventory[[#This Row],[Adjusted Land Total]]</f>
        <v>306800</v>
      </c>
      <c r="BS1656" s="36">
        <f>IFERROR((Inventory[[#This Row],[Adjusted Impr Total]]-Inventory[[#This Row],[24Bldg]])/Inventory[[#This Row],[24Bldg]],0)</f>
        <v>0.11893203883495146</v>
      </c>
      <c r="BT1656" s="36">
        <f>(Inventory[[#This Row],[Adjusted Land Total]]-Inventory[[#This Row],[24Lnd]])/Inventory[[#This Row],[24Lnd]]</f>
        <v>-0.40316205533596838</v>
      </c>
      <c r="BU1656" s="36">
        <f>(Inventory[[#This Row],[Adjusted Total]]-Inventory[[#This Row],[24Final]])/Inventory[[#This Row],[24Final]]</f>
        <v>3.0221625251846879E-2</v>
      </c>
    </row>
    <row r="1657" spans="1:73" x14ac:dyDescent="0.3">
      <c r="A1657" s="25">
        <v>2025</v>
      </c>
      <c r="B1657" s="26" t="s">
        <v>2196</v>
      </c>
      <c r="C1657" s="26">
        <f>LN(Inventory[[#This Row],[Acres]])</f>
        <v>-1.2729656758128873</v>
      </c>
      <c r="D1657" s="25">
        <v>0.28000000000000003</v>
      </c>
      <c r="E1657" s="25">
        <v>12204</v>
      </c>
      <c r="F1657" s="26" t="s">
        <v>537</v>
      </c>
      <c r="G1657" s="26" t="s">
        <v>126</v>
      </c>
      <c r="H1657" s="26" t="s">
        <v>349</v>
      </c>
      <c r="I1657" s="26" t="s">
        <v>538</v>
      </c>
      <c r="J1657" s="26" t="s">
        <v>539</v>
      </c>
      <c r="K1657" s="26" t="s">
        <v>448</v>
      </c>
      <c r="L1657" s="26" t="s">
        <v>64</v>
      </c>
      <c r="M1657" s="26" t="s">
        <v>303</v>
      </c>
      <c r="N1657" s="26">
        <v>100</v>
      </c>
      <c r="O1657" s="26">
        <f>2024-Inventory[[#This Row],[YrBlt]]</f>
        <v>91</v>
      </c>
      <c r="P1657" s="26">
        <f>2024-Inventory[[#This Row],[EffYr]]</f>
        <v>54</v>
      </c>
      <c r="Q1657" s="25">
        <v>1933</v>
      </c>
      <c r="R1657" s="25">
        <v>1970</v>
      </c>
      <c r="S1657" s="25">
        <v>2513</v>
      </c>
      <c r="T1657" s="32">
        <v>1064</v>
      </c>
      <c r="U1657" s="25">
        <v>1333</v>
      </c>
      <c r="V1657" s="25">
        <f>Inventory[[#This Row],[Bsmt]]-Inventory[[#This Row],[FnBsmt]]</f>
        <v>0</v>
      </c>
      <c r="W1657" s="25">
        <v>1333</v>
      </c>
      <c r="X1657" s="27"/>
      <c r="Y1657" s="27">
        <f>Inventory[[#This Row],[MainFn]]+Inventory[[#This Row],[UpprFn]]+Inventory[[#This Row],[FnBsmt]]+Inventory[[#This Row],[AddFn]]</f>
        <v>4910</v>
      </c>
      <c r="Z1657" s="27">
        <v>4500</v>
      </c>
      <c r="AA1657" s="25">
        <v>11</v>
      </c>
      <c r="AB1657" s="31"/>
      <c r="AC1657" s="27"/>
      <c r="AD1657" s="31"/>
      <c r="AE1657" s="27"/>
      <c r="AF1657" s="27"/>
      <c r="AG1657" s="27"/>
      <c r="AH1657" s="27"/>
      <c r="AI1657" s="25">
        <v>1040868</v>
      </c>
      <c r="AJ1657" s="25">
        <v>718199</v>
      </c>
      <c r="AK1657" s="25">
        <v>46509</v>
      </c>
      <c r="AL1657" s="25">
        <v>704000</v>
      </c>
      <c r="AM1657" s="25">
        <v>70100</v>
      </c>
      <c r="AN1657" s="25">
        <v>633900</v>
      </c>
      <c r="AO1657" s="25">
        <v>0</v>
      </c>
      <c r="AP1657" s="25">
        <f>Lookups!$B$56*0</f>
        <v>0</v>
      </c>
      <c r="AQ1657" s="25">
        <f>Lookups!$B$56*1</f>
        <v>89850.625589999996</v>
      </c>
      <c r="AR1657" s="25">
        <f>Lookups!$B$57*Inventory[[#This Row],[LnAcres]]</f>
        <v>-40295.239319339329</v>
      </c>
      <c r="AS1657" s="25">
        <f>VLOOKUP(Inventory[[#This Row],[Qlty]],Lookups!$A$62:$E$75,2,FALSE)</f>
        <v>163885.03753</v>
      </c>
      <c r="AT1657" s="25">
        <f>VLOOKUP(Inventory[[#This Row],[Cnd]],Lookups!$A$76:$E$84,2,FALSE)</f>
        <v>197752.34721000001</v>
      </c>
      <c r="AU1657" s="25">
        <f>Inventory[[#This Row],[EffAge]]*Lookups!$B$85</f>
        <v>-12044.462427</v>
      </c>
      <c r="AV1657" s="25">
        <f>Inventory[[#This Row],[MainFn]]*Lookups!$B$86</f>
        <v>124163.98740090101</v>
      </c>
      <c r="AW1657" s="25">
        <f>Inventory[[#This Row],[UpprFn]]*Lookups!$B$87</f>
        <v>47652.753924103999</v>
      </c>
      <c r="AX1657" s="25">
        <f>Inventory[[#This Row],[AddFn]]*Lookups!$B$88</f>
        <v>0</v>
      </c>
      <c r="AY1657" s="25">
        <f>Inventory[[#This Row],[Bsmt]]*Lookups!$B$89</f>
        <v>38766.166364250996</v>
      </c>
      <c r="AZ1657" s="25">
        <f>Inventory[[#This Row],[Fixtures]]*Lookups!$B$90</f>
        <v>41712.243157199999</v>
      </c>
      <c r="BA1657" s="25">
        <f>Inventory[[#This Row],[WdDeck]]*Lookups!$B$91</f>
        <v>0</v>
      </c>
      <c r="BB1657" s="25">
        <f>ROUND(Inventory[[#This Row],[25Det]],-2)</f>
        <v>46500</v>
      </c>
      <c r="BC1657" s="25">
        <f>ROUND(SUM(Inventory[[#This Row],[Mdl Qlty]:[Mdl WdDeck]])+Inventory[[#This Row],[Mdl Res Intercept]],-2)</f>
        <v>601900</v>
      </c>
      <c r="BD1657" s="25">
        <f>ROUND(Inventory[[#This Row],[Mdl Land Intercept]]+Inventory[[#This Row],[Mdl LnAcres]],-2)</f>
        <v>49600</v>
      </c>
      <c r="BE1657" s="25">
        <f>Inventory[[#This Row],[Unadj Res Value]]+Inventory[[#This Row],[Unadj Det Value]]+Inventory[[#This Row],[Unadj Land Value]]</f>
        <v>698000</v>
      </c>
      <c r="BF1657" s="36">
        <f>(Inventory[[#This Row],[Unadj Total Value]]-Inventory[[#This Row],[24Final]])/Inventory[[#This Row],[24Final]]</f>
        <v>-8.5227272727272721E-3</v>
      </c>
      <c r="BG1657" s="25">
        <f>VLOOKUP(Inventory[[#This Row],[Nbhd]],Lookups!$Q$2:$T$4,4,FALSE)</f>
        <v>0.99970000000000003</v>
      </c>
      <c r="BH1657" s="25">
        <f>VLOOKUP(Inventory[[#This Row],[Qlty]],Lookups!$O$7:$R$21,4,FALSE)</f>
        <v>1</v>
      </c>
      <c r="BI1657" s="25">
        <f>VLOOKUP(Inventory[[#This Row],[Cnd]],Lookups!$T$7:$W$16,4,FALSE)</f>
        <v>0.99650000000000005</v>
      </c>
      <c r="BJ1657" s="25">
        <f>VLOOKUP(Inventory[[#This Row],[LivArea Range]],Lookups!$T$25:$W$37,4,FALSE)</f>
        <v>1</v>
      </c>
      <c r="BK1657" s="25">
        <f>VLOOKUP(Inventory[[#This Row],[Decade]],Lookups!$O$25:$R$42,4,FALSE)</f>
        <v>1.0074000000000001</v>
      </c>
      <c r="BL1657" s="25">
        <f>Inventory[[#This Row],[Nbhd Adj]]*0.95</f>
        <v>0.94971499999999998</v>
      </c>
      <c r="BM1657" s="25">
        <f>Inventory[[#This Row],[Nbhd Adj]]*Inventory[[#This Row],[Quality Adj]]*Inventory[[#This Row],[Condition Adj]]*Inventory[[#This Row],[Living Area Adj]]*Inventory[[#This Row],[Decade Adj]]*0.95</f>
        <v>0.95339429088149996</v>
      </c>
      <c r="BN1657" s="25">
        <f>ROUND(SUM(Inventory[[#This Row],[Mdl Qlty]:[Mdl WdDeck]])+Inventory[[#This Row],[Mdl Res Intercept]]*Inventory[[#This Row],[Res Adj ]],-2)</f>
        <v>601900</v>
      </c>
      <c r="BO1657" s="25">
        <f>ROUND(Inventory[[#This Row],[25Det]]*Inventory[[#This Row],[Det/Nbhd Adj]],-2)</f>
        <v>44200</v>
      </c>
      <c r="BP1657" s="25">
        <f>Inventory[[#This Row],[Adjusted Res]]+Inventory[[#This Row],[Adj Det ]]</f>
        <v>646100</v>
      </c>
      <c r="BQ1657" s="25">
        <f>ROUND((Inventory[[#This Row],[Mdl Land Intercept]]+Inventory[[#This Row],[Mdl LnAcres]])*Inventory[[#This Row],[Det/Nbhd Adj]],-2)</f>
        <v>47100</v>
      </c>
      <c r="BR1657" s="25">
        <f>Inventory[[#This Row],[Adjusted Impr Total]]+Inventory[[#This Row],[Adjusted Land Total]]</f>
        <v>693200</v>
      </c>
      <c r="BS1657" s="36">
        <f>IFERROR((Inventory[[#This Row],[Adjusted Impr Total]]-Inventory[[#This Row],[24Bldg]])/Inventory[[#This Row],[24Bldg]],0)</f>
        <v>1.9245937845085975E-2</v>
      </c>
      <c r="BT1657" s="36">
        <f>(Inventory[[#This Row],[Adjusted Land Total]]-Inventory[[#This Row],[24Lnd]])/Inventory[[#This Row],[24Lnd]]</f>
        <v>-0.32810271041369471</v>
      </c>
      <c r="BU1657" s="36">
        <f>(Inventory[[#This Row],[Adjusted Total]]-Inventory[[#This Row],[24Final]])/Inventory[[#This Row],[24Final]]</f>
        <v>-1.5340909090909091E-2</v>
      </c>
    </row>
    <row r="1658" spans="1:73" x14ac:dyDescent="0.3">
      <c r="A1658" s="25">
        <v>2025</v>
      </c>
      <c r="B1658" s="26" t="s">
        <v>1292</v>
      </c>
      <c r="C1658" s="26">
        <f>LN(Inventory[[#This Row],[Acres]])</f>
        <v>-1.2039728043259361</v>
      </c>
      <c r="D1658" s="25">
        <v>0.3</v>
      </c>
      <c r="E1658" s="25">
        <v>12965</v>
      </c>
      <c r="F1658" s="26" t="s">
        <v>537</v>
      </c>
      <c r="G1658" s="26" t="s">
        <v>126</v>
      </c>
      <c r="H1658" s="26" t="s">
        <v>349</v>
      </c>
      <c r="I1658" s="26" t="s">
        <v>538</v>
      </c>
      <c r="J1658" s="26" t="s">
        <v>539</v>
      </c>
      <c r="K1658" s="26" t="s">
        <v>147</v>
      </c>
      <c r="L1658" s="26" t="s">
        <v>148</v>
      </c>
      <c r="M1658" s="26" t="s">
        <v>352</v>
      </c>
      <c r="N1658" s="26">
        <v>100</v>
      </c>
      <c r="O1658" s="26">
        <f>2024-Inventory[[#This Row],[YrBlt]]</f>
        <v>92</v>
      </c>
      <c r="P1658" s="26">
        <f>2024-Inventory[[#This Row],[EffYr]]</f>
        <v>54</v>
      </c>
      <c r="Q1658" s="25">
        <v>1932</v>
      </c>
      <c r="R1658" s="25">
        <v>1970</v>
      </c>
      <c r="S1658" s="25">
        <v>1578</v>
      </c>
      <c r="T1658" s="32">
        <v>1118</v>
      </c>
      <c r="U1658" s="25">
        <v>1488</v>
      </c>
      <c r="V1658" s="25">
        <f>Inventory[[#This Row],[Bsmt]]-Inventory[[#This Row],[FnBsmt]]</f>
        <v>1488</v>
      </c>
      <c r="W1658" s="31"/>
      <c r="X1658" s="27"/>
      <c r="Y1658" s="27">
        <f>Inventory[[#This Row],[MainFn]]+Inventory[[#This Row],[UpprFn]]+Inventory[[#This Row],[FnBsmt]]+Inventory[[#This Row],[AddFn]]</f>
        <v>2696</v>
      </c>
      <c r="Z1658" s="27">
        <v>3000</v>
      </c>
      <c r="AA1658" s="25">
        <v>8</v>
      </c>
      <c r="AB1658" s="27"/>
      <c r="AC1658" s="27"/>
      <c r="AD1658" s="25">
        <v>75</v>
      </c>
      <c r="AE1658" s="27"/>
      <c r="AF1658" s="27"/>
      <c r="AG1658" s="27"/>
      <c r="AH1658" s="27"/>
      <c r="AI1658" s="25">
        <v>625515</v>
      </c>
      <c r="AJ1658" s="25">
        <v>431605</v>
      </c>
      <c r="AK1658" s="25">
        <v>18810</v>
      </c>
      <c r="AL1658" s="25">
        <v>487600</v>
      </c>
      <c r="AM1658" s="25">
        <v>72500</v>
      </c>
      <c r="AN1658" s="25">
        <v>415100</v>
      </c>
      <c r="AO1658" s="25">
        <v>0</v>
      </c>
      <c r="AP1658" s="25">
        <f>Lookups!$B$56*0</f>
        <v>0</v>
      </c>
      <c r="AQ1658" s="25">
        <f>Lookups!$B$56*1</f>
        <v>89850.625589999996</v>
      </c>
      <c r="AR1658" s="25">
        <f>Lookups!$B$57*Inventory[[#This Row],[LnAcres]]</f>
        <v>-38111.29648355169</v>
      </c>
      <c r="AS1658" s="25">
        <f>VLOOKUP(Inventory[[#This Row],[Qlty]],Lookups!$A$62:$E$75,2,FALSE)</f>
        <v>44121.038090000002</v>
      </c>
      <c r="AT1658" s="25">
        <f>VLOOKUP(Inventory[[#This Row],[Cnd]],Lookups!$A$76:$E$84,2,FALSE)</f>
        <v>284810.60806</v>
      </c>
      <c r="AU1658" s="25">
        <f>Inventory[[#This Row],[EffAge]]*Lookups!$B$85</f>
        <v>-12044.462427</v>
      </c>
      <c r="AV1658" s="25">
        <f>Inventory[[#This Row],[MainFn]]*Lookups!$B$86</f>
        <v>77966.881065905996</v>
      </c>
      <c r="AW1658" s="25">
        <f>Inventory[[#This Row],[UpprFn]]*Lookups!$B$87</f>
        <v>50071.220758598</v>
      </c>
      <c r="AX1658" s="25">
        <f>Inventory[[#This Row],[AddFn]]*Lookups!$B$88</f>
        <v>0</v>
      </c>
      <c r="AY1658" s="25">
        <f>Inventory[[#This Row],[Bsmt]]*Lookups!$B$89</f>
        <v>43273.860127535998</v>
      </c>
      <c r="AZ1658" s="25">
        <f>Inventory[[#This Row],[Fixtures]]*Lookups!$B$90</f>
        <v>30336.176841600001</v>
      </c>
      <c r="BA1658" s="25">
        <f>Inventory[[#This Row],[WdDeck]]*Lookups!$B$91</f>
        <v>2497.1636457000004</v>
      </c>
      <c r="BB1658" s="25">
        <f>ROUND(Inventory[[#This Row],[25Det]],-2)</f>
        <v>18800</v>
      </c>
      <c r="BC1658" s="25">
        <f>ROUND(SUM(Inventory[[#This Row],[Mdl Qlty]:[Mdl WdDeck]])+Inventory[[#This Row],[Mdl Res Intercept]],-2)</f>
        <v>521000</v>
      </c>
      <c r="BD1658" s="25">
        <f>ROUND(Inventory[[#This Row],[Mdl Land Intercept]]+Inventory[[#This Row],[Mdl LnAcres]],-2)</f>
        <v>51700</v>
      </c>
      <c r="BE1658" s="25">
        <f>Inventory[[#This Row],[Unadj Res Value]]+Inventory[[#This Row],[Unadj Det Value]]+Inventory[[#This Row],[Unadj Land Value]]</f>
        <v>591500</v>
      </c>
      <c r="BF1658" s="36">
        <f>(Inventory[[#This Row],[Unadj Total Value]]-Inventory[[#This Row],[24Final]])/Inventory[[#This Row],[24Final]]</f>
        <v>0.21308449548810501</v>
      </c>
      <c r="BG1658" s="25">
        <f>VLOOKUP(Inventory[[#This Row],[Nbhd]],Lookups!$Q$2:$T$4,4,FALSE)</f>
        <v>0.99970000000000003</v>
      </c>
      <c r="BH1658" s="25">
        <f>VLOOKUP(Inventory[[#This Row],[Qlty]],Lookups!$O$7:$R$21,4,FALSE)</f>
        <v>0.98050000000000004</v>
      </c>
      <c r="BI1658" s="25">
        <f>VLOOKUP(Inventory[[#This Row],[Cnd]],Lookups!$T$7:$W$16,4,FALSE)</f>
        <v>1.0158</v>
      </c>
      <c r="BJ1658" s="25">
        <f>VLOOKUP(Inventory[[#This Row],[LivArea Range]],Lookups!$T$25:$W$37,4,FALSE)</f>
        <v>0.96179999999999999</v>
      </c>
      <c r="BK1658" s="25">
        <f>VLOOKUP(Inventory[[#This Row],[Decade]],Lookups!$O$25:$R$42,4,FALSE)</f>
        <v>1.0074000000000001</v>
      </c>
      <c r="BL1658" s="25">
        <f>Inventory[[#This Row],[Nbhd Adj]]*0.95</f>
        <v>0.94971499999999998</v>
      </c>
      <c r="BM1658" s="25">
        <f>Inventory[[#This Row],[Nbhd Adj]]*Inventory[[#This Row],[Quality Adj]]*Inventory[[#This Row],[Condition Adj]]*Inventory[[#This Row],[Living Area Adj]]*Inventory[[#This Row],[Decade Adj]]*0.95</f>
        <v>0.91650707773151308</v>
      </c>
      <c r="BN1658" s="25">
        <f>ROUND(SUM(Inventory[[#This Row],[Mdl Qlty]:[Mdl WdDeck]])+Inventory[[#This Row],[Mdl Res Intercept]]*Inventory[[#This Row],[Res Adj ]],-2)</f>
        <v>521000</v>
      </c>
      <c r="BO1658" s="25">
        <f>ROUND(Inventory[[#This Row],[25Det]]*Inventory[[#This Row],[Det/Nbhd Adj]],-2)</f>
        <v>17900</v>
      </c>
      <c r="BP1658" s="25">
        <f>Inventory[[#This Row],[Adjusted Res]]+Inventory[[#This Row],[Adj Det ]]</f>
        <v>538900</v>
      </c>
      <c r="BQ1658" s="25">
        <f>ROUND((Inventory[[#This Row],[Mdl Land Intercept]]+Inventory[[#This Row],[Mdl LnAcres]])*Inventory[[#This Row],[Det/Nbhd Adj]],-2)</f>
        <v>49100</v>
      </c>
      <c r="BR1658" s="25">
        <f>Inventory[[#This Row],[Adjusted Impr Total]]+Inventory[[#This Row],[Adjusted Land Total]]</f>
        <v>588000</v>
      </c>
      <c r="BS1658" s="36">
        <f>IFERROR((Inventory[[#This Row],[Adjusted Impr Total]]-Inventory[[#This Row],[24Bldg]])/Inventory[[#This Row],[24Bldg]],0)</f>
        <v>0.29824138761744157</v>
      </c>
      <c r="BT1658" s="36">
        <f>(Inventory[[#This Row],[Adjusted Land Total]]-Inventory[[#This Row],[24Lnd]])/Inventory[[#This Row],[24Lnd]]</f>
        <v>-0.32275862068965516</v>
      </c>
      <c r="BU1658" s="36">
        <f>(Inventory[[#This Row],[Adjusted Total]]-Inventory[[#This Row],[24Final]])/Inventory[[#This Row],[24Final]]</f>
        <v>0.20590648072190321</v>
      </c>
    </row>
    <row r="1659" spans="1:73" x14ac:dyDescent="0.3">
      <c r="A1659" s="25">
        <v>2025</v>
      </c>
      <c r="B1659" s="26" t="s">
        <v>1810</v>
      </c>
      <c r="C1659" s="26">
        <f>LN(Inventory[[#This Row],[Acres]])</f>
        <v>-1.7719568419318752</v>
      </c>
      <c r="D1659" s="25">
        <v>0.17</v>
      </c>
      <c r="E1659" s="25">
        <v>7560</v>
      </c>
      <c r="F1659" s="26" t="s">
        <v>537</v>
      </c>
      <c r="G1659" s="26" t="s">
        <v>126</v>
      </c>
      <c r="H1659" s="26" t="s">
        <v>349</v>
      </c>
      <c r="I1659" s="26" t="s">
        <v>538</v>
      </c>
      <c r="J1659" s="26" t="s">
        <v>539</v>
      </c>
      <c r="K1659" s="26" t="s">
        <v>147</v>
      </c>
      <c r="L1659" s="26" t="s">
        <v>302</v>
      </c>
      <c r="M1659" s="26" t="s">
        <v>352</v>
      </c>
      <c r="N1659" s="26">
        <v>100</v>
      </c>
      <c r="O1659" s="26">
        <f>2024-Inventory[[#This Row],[YrBlt]]</f>
        <v>92</v>
      </c>
      <c r="P1659" s="26">
        <f>2024-Inventory[[#This Row],[EffYr]]</f>
        <v>54</v>
      </c>
      <c r="Q1659" s="25">
        <v>1932</v>
      </c>
      <c r="R1659" s="25">
        <v>1970</v>
      </c>
      <c r="S1659" s="25">
        <v>1440</v>
      </c>
      <c r="T1659" s="32">
        <v>786</v>
      </c>
      <c r="U1659" s="25">
        <v>895</v>
      </c>
      <c r="V1659" s="25">
        <f>Inventory[[#This Row],[Bsmt]]-Inventory[[#This Row],[FnBsmt]]</f>
        <v>0</v>
      </c>
      <c r="W1659" s="25">
        <v>895</v>
      </c>
      <c r="X1659" s="27"/>
      <c r="Y1659" s="27">
        <f>Inventory[[#This Row],[MainFn]]+Inventory[[#This Row],[UpprFn]]+Inventory[[#This Row],[FnBsmt]]+Inventory[[#This Row],[AddFn]]</f>
        <v>3121</v>
      </c>
      <c r="Z1659" s="27">
        <v>3500</v>
      </c>
      <c r="AA1659" s="25">
        <v>9</v>
      </c>
      <c r="AB1659" s="31"/>
      <c r="AC1659" s="27"/>
      <c r="AD1659" s="32">
        <v>248</v>
      </c>
      <c r="AE1659" s="27"/>
      <c r="AF1659" s="27"/>
      <c r="AG1659" s="27"/>
      <c r="AH1659" s="27"/>
      <c r="AI1659" s="25">
        <v>453551</v>
      </c>
      <c r="AJ1659" s="25">
        <v>312950</v>
      </c>
      <c r="AK1659" s="25">
        <v>9380</v>
      </c>
      <c r="AL1659" s="25">
        <v>433700</v>
      </c>
      <c r="AM1659" s="25">
        <v>52700</v>
      </c>
      <c r="AN1659" s="25">
        <v>381000</v>
      </c>
      <c r="AO1659" s="25">
        <v>0</v>
      </c>
      <c r="AP1659" s="25">
        <f>Lookups!$B$56*0</f>
        <v>0</v>
      </c>
      <c r="AQ1659" s="25">
        <f>Lookups!$B$56*1</f>
        <v>89850.625589999996</v>
      </c>
      <c r="AR1659" s="25">
        <f>Lookups!$B$57*Inventory[[#This Row],[LnAcres]]</f>
        <v>-56090.612940989391</v>
      </c>
      <c r="AS1659" s="25">
        <f>VLOOKUP(Inventory[[#This Row],[Qlty]],Lookups!$A$62:$E$75,2,FALSE)</f>
        <v>29814.093161000001</v>
      </c>
      <c r="AT1659" s="25">
        <f>VLOOKUP(Inventory[[#This Row],[Cnd]],Lookups!$A$76:$E$84,2,FALSE)</f>
        <v>284810.60806</v>
      </c>
      <c r="AU1659" s="25">
        <f>Inventory[[#This Row],[EffAge]]*Lookups!$B$85</f>
        <v>-12044.462427</v>
      </c>
      <c r="AV1659" s="25">
        <f>Inventory[[#This Row],[MainFn]]*Lookups!$B$86</f>
        <v>71148.484622880002</v>
      </c>
      <c r="AW1659" s="25">
        <f>Inventory[[#This Row],[UpprFn]]*Lookups!$B$87</f>
        <v>35202.128368746002</v>
      </c>
      <c r="AX1659" s="25">
        <f>Inventory[[#This Row],[AddFn]]*Lookups!$B$88</f>
        <v>0</v>
      </c>
      <c r="AY1659" s="25">
        <f>Inventory[[#This Row],[Bsmt]]*Lookups!$B$89</f>
        <v>26028.296246064998</v>
      </c>
      <c r="AZ1659" s="25">
        <f>Inventory[[#This Row],[Fixtures]]*Lookups!$B$90</f>
        <v>34128.198946800003</v>
      </c>
      <c r="BA1659" s="25">
        <f>Inventory[[#This Row],[WdDeck]]*Lookups!$B$91</f>
        <v>8257.2877884480004</v>
      </c>
      <c r="BB1659" s="25">
        <f>ROUND(Inventory[[#This Row],[25Det]],-2)</f>
        <v>9400</v>
      </c>
      <c r="BC1659" s="25">
        <f>ROUND(SUM(Inventory[[#This Row],[Mdl Qlty]:[Mdl WdDeck]])+Inventory[[#This Row],[Mdl Res Intercept]],-2)</f>
        <v>477300</v>
      </c>
      <c r="BD1659" s="25">
        <f>ROUND(Inventory[[#This Row],[Mdl Land Intercept]]+Inventory[[#This Row],[Mdl LnAcres]],-2)</f>
        <v>33800</v>
      </c>
      <c r="BE1659" s="25">
        <f>Inventory[[#This Row],[Unadj Res Value]]+Inventory[[#This Row],[Unadj Det Value]]+Inventory[[#This Row],[Unadj Land Value]]</f>
        <v>520500</v>
      </c>
      <c r="BF1659" s="36">
        <f>(Inventory[[#This Row],[Unadj Total Value]]-Inventory[[#This Row],[24Final]])/Inventory[[#This Row],[24Final]]</f>
        <v>0.20013834447774959</v>
      </c>
      <c r="BG1659" s="25">
        <f>VLOOKUP(Inventory[[#This Row],[Nbhd]],Lookups!$Q$2:$T$4,4,FALSE)</f>
        <v>0.99970000000000003</v>
      </c>
      <c r="BH1659" s="25">
        <f>VLOOKUP(Inventory[[#This Row],[Qlty]],Lookups!$O$7:$R$21,4,FALSE)</f>
        <v>1.0088999999999999</v>
      </c>
      <c r="BI1659" s="25">
        <f>VLOOKUP(Inventory[[#This Row],[Cnd]],Lookups!$T$7:$W$16,4,FALSE)</f>
        <v>1.0158</v>
      </c>
      <c r="BJ1659" s="25">
        <f>VLOOKUP(Inventory[[#This Row],[LivArea Range]],Lookups!$T$25:$W$37,4,FALSE)</f>
        <v>1.0126999999999999</v>
      </c>
      <c r="BK1659" s="25">
        <f>VLOOKUP(Inventory[[#This Row],[Decade]],Lookups!$O$25:$R$42,4,FALSE)</f>
        <v>1.0074000000000001</v>
      </c>
      <c r="BL1659" s="25">
        <f>Inventory[[#This Row],[Nbhd Adj]]*0.95</f>
        <v>0.94971499999999998</v>
      </c>
      <c r="BM1659" s="25">
        <f>Inventory[[#This Row],[Nbhd Adj]]*Inventory[[#This Row],[Quality Adj]]*Inventory[[#This Row],[Condition Adj]]*Inventory[[#This Row],[Living Area Adj]]*Inventory[[#This Row],[Decade Adj]]*0.95</f>
        <v>0.992961441608464</v>
      </c>
      <c r="BN1659" s="25">
        <f>ROUND(SUM(Inventory[[#This Row],[Mdl Qlty]:[Mdl WdDeck]])+Inventory[[#This Row],[Mdl Res Intercept]]*Inventory[[#This Row],[Res Adj ]],-2)</f>
        <v>477300</v>
      </c>
      <c r="BO1659" s="25">
        <f>ROUND(Inventory[[#This Row],[25Det]]*Inventory[[#This Row],[Det/Nbhd Adj]],-2)</f>
        <v>8900</v>
      </c>
      <c r="BP1659" s="25">
        <f>Inventory[[#This Row],[Adjusted Res]]+Inventory[[#This Row],[Adj Det ]]</f>
        <v>486200</v>
      </c>
      <c r="BQ1659" s="25">
        <f>ROUND((Inventory[[#This Row],[Mdl Land Intercept]]+Inventory[[#This Row],[Mdl LnAcres]])*Inventory[[#This Row],[Det/Nbhd Adj]],-2)</f>
        <v>32100</v>
      </c>
      <c r="BR1659" s="25">
        <f>Inventory[[#This Row],[Adjusted Impr Total]]+Inventory[[#This Row],[Adjusted Land Total]]</f>
        <v>518300</v>
      </c>
      <c r="BS1659" s="36">
        <f>IFERROR((Inventory[[#This Row],[Adjusted Impr Total]]-Inventory[[#This Row],[24Bldg]])/Inventory[[#This Row],[24Bldg]],0)</f>
        <v>0.27611548556430449</v>
      </c>
      <c r="BT1659" s="36">
        <f>(Inventory[[#This Row],[Adjusted Land Total]]-Inventory[[#This Row],[24Lnd]])/Inventory[[#This Row],[24Lnd]]</f>
        <v>-0.39089184060721061</v>
      </c>
      <c r="BU1659" s="36">
        <f>(Inventory[[#This Row],[Adjusted Total]]-Inventory[[#This Row],[24Final]])/Inventory[[#This Row],[24Final]]</f>
        <v>0.19506571362693106</v>
      </c>
    </row>
    <row r="1660" spans="1:73" x14ac:dyDescent="0.3">
      <c r="A1660" s="25">
        <v>2025</v>
      </c>
      <c r="B1660" s="26" t="s">
        <v>1390</v>
      </c>
      <c r="C1660" s="26">
        <f>LN(Inventory[[#This Row],[Acres]])</f>
        <v>-2.0402208285265546</v>
      </c>
      <c r="D1660" s="25">
        <v>0.13</v>
      </c>
      <c r="E1660" s="25">
        <v>5662</v>
      </c>
      <c r="F1660" s="26" t="s">
        <v>537</v>
      </c>
      <c r="G1660" s="26" t="s">
        <v>126</v>
      </c>
      <c r="H1660" s="26" t="s">
        <v>349</v>
      </c>
      <c r="I1660" s="26" t="s">
        <v>538</v>
      </c>
      <c r="J1660" s="26" t="s">
        <v>539</v>
      </c>
      <c r="K1660" s="26" t="s">
        <v>173</v>
      </c>
      <c r="L1660" s="26" t="s">
        <v>302</v>
      </c>
      <c r="M1660" s="26" t="s">
        <v>352</v>
      </c>
      <c r="N1660" s="26">
        <v>100</v>
      </c>
      <c r="O1660" s="26">
        <f>2024-Inventory[[#This Row],[YrBlt]]</f>
        <v>92</v>
      </c>
      <c r="P1660" s="26">
        <f>2024-Inventory[[#This Row],[EffYr]]</f>
        <v>54</v>
      </c>
      <c r="Q1660" s="25">
        <v>1932</v>
      </c>
      <c r="R1660" s="25">
        <v>1970</v>
      </c>
      <c r="S1660" s="25">
        <v>1038</v>
      </c>
      <c r="T1660" s="25">
        <v>708</v>
      </c>
      <c r="U1660" s="25">
        <v>1062</v>
      </c>
      <c r="V1660" s="32">
        <f>Inventory[[#This Row],[Bsmt]]-Inventory[[#This Row],[FnBsmt]]</f>
        <v>162</v>
      </c>
      <c r="W1660" s="32">
        <v>900</v>
      </c>
      <c r="X1660" s="27"/>
      <c r="Y1660" s="27">
        <f>Inventory[[#This Row],[MainFn]]+Inventory[[#This Row],[UpprFn]]+Inventory[[#This Row],[FnBsmt]]+Inventory[[#This Row],[AddFn]]</f>
        <v>2646</v>
      </c>
      <c r="Z1660" s="27">
        <v>3000</v>
      </c>
      <c r="AA1660" s="25">
        <v>8</v>
      </c>
      <c r="AB1660" s="27"/>
      <c r="AC1660" s="27"/>
      <c r="AD1660" s="27"/>
      <c r="AE1660" s="27"/>
      <c r="AF1660" s="27"/>
      <c r="AG1660" s="27"/>
      <c r="AH1660" s="27"/>
      <c r="AI1660" s="25">
        <v>402484</v>
      </c>
      <c r="AJ1660" s="25">
        <v>277714</v>
      </c>
      <c r="AK1660" s="25">
        <v>6724</v>
      </c>
      <c r="AL1660" s="25">
        <v>400400</v>
      </c>
      <c r="AM1660" s="25">
        <v>43400</v>
      </c>
      <c r="AN1660" s="25">
        <v>357000</v>
      </c>
      <c r="AO1660" s="25">
        <v>0</v>
      </c>
      <c r="AP1660" s="25">
        <f>Lookups!$B$56*0</f>
        <v>0</v>
      </c>
      <c r="AQ1660" s="25">
        <f>Lookups!$B$56*1</f>
        <v>89850.625589999996</v>
      </c>
      <c r="AR1660" s="25">
        <f>Lookups!$B$57*Inventory[[#This Row],[LnAcres]]</f>
        <v>-64582.406353792743</v>
      </c>
      <c r="AS1660" s="25">
        <f>VLOOKUP(Inventory[[#This Row],[Qlty]],Lookups!$A$62:$E$75,2,FALSE)</f>
        <v>29814.093161000001</v>
      </c>
      <c r="AT1660" s="25">
        <f>VLOOKUP(Inventory[[#This Row],[Cnd]],Lookups!$A$76:$E$84,2,FALSE)</f>
        <v>284810.60806</v>
      </c>
      <c r="AU1660" s="25">
        <f>Inventory[[#This Row],[EffAge]]*Lookups!$B$85</f>
        <v>-12044.462427</v>
      </c>
      <c r="AV1660" s="25">
        <f>Inventory[[#This Row],[MainFn]]*Lookups!$B$86</f>
        <v>51286.199332326003</v>
      </c>
      <c r="AW1660" s="25">
        <f>Inventory[[#This Row],[UpprFn]]*Lookups!$B$87</f>
        <v>31708.787385587999</v>
      </c>
      <c r="AX1660" s="25">
        <f>Inventory[[#This Row],[AddFn]]*Lookups!$B$88</f>
        <v>0</v>
      </c>
      <c r="AY1660" s="25">
        <f>Inventory[[#This Row],[Bsmt]]*Lookups!$B$89</f>
        <v>30884.972752313999</v>
      </c>
      <c r="AZ1660" s="25">
        <f>Inventory[[#This Row],[Fixtures]]*Lookups!$B$90</f>
        <v>30336.176841600001</v>
      </c>
      <c r="BA1660" s="25">
        <f>Inventory[[#This Row],[WdDeck]]*Lookups!$B$91</f>
        <v>0</v>
      </c>
      <c r="BB1660" s="25">
        <f>ROUND(Inventory[[#This Row],[25Det]],-2)</f>
        <v>6700</v>
      </c>
      <c r="BC1660" s="25">
        <f>ROUND(SUM(Inventory[[#This Row],[Mdl Qlty]:[Mdl WdDeck]])+Inventory[[#This Row],[Mdl Res Intercept]],-2)</f>
        <v>446800</v>
      </c>
      <c r="BD1660" s="25">
        <f>ROUND(Inventory[[#This Row],[Mdl Land Intercept]]+Inventory[[#This Row],[Mdl LnAcres]],-2)</f>
        <v>25300</v>
      </c>
      <c r="BE1660" s="25">
        <f>Inventory[[#This Row],[Unadj Res Value]]+Inventory[[#This Row],[Unadj Det Value]]+Inventory[[#This Row],[Unadj Land Value]]</f>
        <v>478800</v>
      </c>
      <c r="BF1660" s="36">
        <f>(Inventory[[#This Row],[Unadj Total Value]]-Inventory[[#This Row],[24Final]])/Inventory[[#This Row],[24Final]]</f>
        <v>0.19580419580419581</v>
      </c>
      <c r="BG1660" s="25">
        <f>VLOOKUP(Inventory[[#This Row],[Nbhd]],Lookups!$Q$2:$T$4,4,FALSE)</f>
        <v>0.99970000000000003</v>
      </c>
      <c r="BH1660" s="25">
        <f>VLOOKUP(Inventory[[#This Row],[Qlty]],Lookups!$O$7:$R$21,4,FALSE)</f>
        <v>1.0088999999999999</v>
      </c>
      <c r="BI1660" s="25">
        <f>VLOOKUP(Inventory[[#This Row],[Cnd]],Lookups!$T$7:$W$16,4,FALSE)</f>
        <v>1.0158</v>
      </c>
      <c r="BJ1660" s="25">
        <f>VLOOKUP(Inventory[[#This Row],[LivArea Range]],Lookups!$T$25:$W$37,4,FALSE)</f>
        <v>0.96179999999999999</v>
      </c>
      <c r="BK1660" s="25">
        <f>VLOOKUP(Inventory[[#This Row],[Decade]],Lookups!$O$25:$R$42,4,FALSE)</f>
        <v>1.0074000000000001</v>
      </c>
      <c r="BL1660" s="25">
        <f>Inventory[[#This Row],[Nbhd Adj]]*0.95</f>
        <v>0.94971499999999998</v>
      </c>
      <c r="BM1660" s="25">
        <f>Inventory[[#This Row],[Nbhd Adj]]*Inventory[[#This Row],[Quality Adj]]*Inventory[[#This Row],[Condition Adj]]*Inventory[[#This Row],[Living Area Adj]]*Inventory[[#This Row],[Decade Adj]]*0.95</f>
        <v>0.94305353464897845</v>
      </c>
      <c r="BN1660" s="25">
        <f>ROUND(SUM(Inventory[[#This Row],[Mdl Qlty]:[Mdl WdDeck]])+Inventory[[#This Row],[Mdl Res Intercept]]*Inventory[[#This Row],[Res Adj ]],-2)</f>
        <v>446800</v>
      </c>
      <c r="BO1660" s="25">
        <f>ROUND(Inventory[[#This Row],[25Det]]*Inventory[[#This Row],[Det/Nbhd Adj]],-2)</f>
        <v>6400</v>
      </c>
      <c r="BP1660" s="25">
        <f>Inventory[[#This Row],[Adjusted Res]]+Inventory[[#This Row],[Adj Det ]]</f>
        <v>453200</v>
      </c>
      <c r="BQ1660" s="25">
        <f>ROUND((Inventory[[#This Row],[Mdl Land Intercept]]+Inventory[[#This Row],[Mdl LnAcres]])*Inventory[[#This Row],[Det/Nbhd Adj]],-2)</f>
        <v>24000</v>
      </c>
      <c r="BR1660" s="25">
        <f>Inventory[[#This Row],[Adjusted Impr Total]]+Inventory[[#This Row],[Adjusted Land Total]]</f>
        <v>477200</v>
      </c>
      <c r="BS1660" s="36">
        <f>IFERROR((Inventory[[#This Row],[Adjusted Impr Total]]-Inventory[[#This Row],[24Bldg]])/Inventory[[#This Row],[24Bldg]],0)</f>
        <v>0.26946778711484592</v>
      </c>
      <c r="BT1660" s="36">
        <f>(Inventory[[#This Row],[Adjusted Land Total]]-Inventory[[#This Row],[24Lnd]])/Inventory[[#This Row],[24Lnd]]</f>
        <v>-0.44700460829493088</v>
      </c>
      <c r="BU1660" s="36">
        <f>(Inventory[[#This Row],[Adjusted Total]]-Inventory[[#This Row],[24Final]])/Inventory[[#This Row],[24Final]]</f>
        <v>0.19180819180819181</v>
      </c>
    </row>
    <row r="1661" spans="1:73" x14ac:dyDescent="0.3">
      <c r="A1661" s="25">
        <v>2025</v>
      </c>
      <c r="B1661" s="26" t="s">
        <v>1978</v>
      </c>
      <c r="C1661" s="26">
        <f>LN(Inventory[[#This Row],[Acres]])</f>
        <v>-1.8971199848858813</v>
      </c>
      <c r="D1661" s="25">
        <v>0.15</v>
      </c>
      <c r="E1661" s="31"/>
      <c r="F1661" s="26" t="s">
        <v>537</v>
      </c>
      <c r="G1661" s="26" t="s">
        <v>126</v>
      </c>
      <c r="H1661" s="26" t="s">
        <v>349</v>
      </c>
      <c r="I1661" s="26" t="s">
        <v>538</v>
      </c>
      <c r="J1661" s="26" t="s">
        <v>539</v>
      </c>
      <c r="K1661" s="26" t="s">
        <v>173</v>
      </c>
      <c r="L1661" s="26" t="s">
        <v>148</v>
      </c>
      <c r="M1661" s="26" t="s">
        <v>303</v>
      </c>
      <c r="N1661" s="26">
        <v>100</v>
      </c>
      <c r="O1661" s="26">
        <f>2024-Inventory[[#This Row],[YrBlt]]</f>
        <v>92</v>
      </c>
      <c r="P1661" s="26">
        <f>2024-Inventory[[#This Row],[EffYr]]</f>
        <v>54</v>
      </c>
      <c r="Q1661" s="25">
        <v>1932</v>
      </c>
      <c r="R1661" s="25">
        <v>1970</v>
      </c>
      <c r="S1661" s="25">
        <v>1482</v>
      </c>
      <c r="T1661" s="25">
        <v>574</v>
      </c>
      <c r="U1661" s="25">
        <v>738</v>
      </c>
      <c r="V1661" s="25">
        <f>Inventory[[#This Row],[Bsmt]]-Inventory[[#This Row],[FnBsmt]]</f>
        <v>367</v>
      </c>
      <c r="W1661" s="25">
        <v>371</v>
      </c>
      <c r="X1661" s="27"/>
      <c r="Y1661" s="27">
        <f>Inventory[[#This Row],[MainFn]]+Inventory[[#This Row],[UpprFn]]+Inventory[[#This Row],[FnBsmt]]+Inventory[[#This Row],[AddFn]]</f>
        <v>2427</v>
      </c>
      <c r="Z1661" s="27">
        <v>2500</v>
      </c>
      <c r="AA1661" s="25">
        <v>10</v>
      </c>
      <c r="AB1661" s="27"/>
      <c r="AC1661" s="27"/>
      <c r="AD1661" s="32">
        <v>270</v>
      </c>
      <c r="AE1661" s="27"/>
      <c r="AF1661" s="27"/>
      <c r="AG1661" s="27"/>
      <c r="AH1661" s="27"/>
      <c r="AI1661" s="25">
        <v>463191</v>
      </c>
      <c r="AJ1661" s="25">
        <v>314970</v>
      </c>
      <c r="AK1661" s="25">
        <v>8945</v>
      </c>
      <c r="AL1661" s="25">
        <v>392700</v>
      </c>
      <c r="AM1661" s="25">
        <v>48400</v>
      </c>
      <c r="AN1661" s="25">
        <v>344300</v>
      </c>
      <c r="AO1661" s="25">
        <v>0</v>
      </c>
      <c r="AP1661" s="25">
        <f>Lookups!$B$56*0</f>
        <v>0</v>
      </c>
      <c r="AQ1661" s="25">
        <f>Lookups!$B$56*1</f>
        <v>89850.625589999996</v>
      </c>
      <c r="AR1661" s="25">
        <f>Lookups!$B$57*Inventory[[#This Row],[LnAcres]]</f>
        <v>-60052.604136134301</v>
      </c>
      <c r="AS1661" s="25">
        <f>VLOOKUP(Inventory[[#This Row],[Qlty]],Lookups!$A$62:$E$75,2,FALSE)</f>
        <v>44121.038090000002</v>
      </c>
      <c r="AT1661" s="25">
        <f>VLOOKUP(Inventory[[#This Row],[Cnd]],Lookups!$A$76:$E$84,2,FALSE)</f>
        <v>197752.34721000001</v>
      </c>
      <c r="AU1661" s="25">
        <f>Inventory[[#This Row],[EffAge]]*Lookups!$B$85</f>
        <v>-12044.462427</v>
      </c>
      <c r="AV1661" s="25">
        <f>Inventory[[#This Row],[MainFn]]*Lookups!$B$86</f>
        <v>73223.648757714007</v>
      </c>
      <c r="AW1661" s="25">
        <f>Inventory[[#This Row],[UpprFn]]*Lookups!$B$87</f>
        <v>25707.406722214</v>
      </c>
      <c r="AX1661" s="25">
        <f>Inventory[[#This Row],[AddFn]]*Lookups!$B$88</f>
        <v>0</v>
      </c>
      <c r="AY1661" s="25">
        <f>Inventory[[#This Row],[Bsmt]]*Lookups!$B$89</f>
        <v>21462.438692285999</v>
      </c>
      <c r="AZ1661" s="25">
        <f>Inventory[[#This Row],[Fixtures]]*Lookups!$B$90</f>
        <v>37920.221052000001</v>
      </c>
      <c r="BA1661" s="25">
        <f>Inventory[[#This Row],[WdDeck]]*Lookups!$B$91</f>
        <v>8989.7891245200008</v>
      </c>
      <c r="BB1661" s="25">
        <f>ROUND(Inventory[[#This Row],[25Det]],-2)</f>
        <v>8900</v>
      </c>
      <c r="BC1661" s="25">
        <f>ROUND(SUM(Inventory[[#This Row],[Mdl Qlty]:[Mdl WdDeck]])+Inventory[[#This Row],[Mdl Res Intercept]],-2)</f>
        <v>397100</v>
      </c>
      <c r="BD1661" s="25">
        <f>ROUND(Inventory[[#This Row],[Mdl Land Intercept]]+Inventory[[#This Row],[Mdl LnAcres]],-2)</f>
        <v>29800</v>
      </c>
      <c r="BE1661" s="25">
        <f>Inventory[[#This Row],[Unadj Res Value]]+Inventory[[#This Row],[Unadj Det Value]]+Inventory[[#This Row],[Unadj Land Value]]</f>
        <v>435800</v>
      </c>
      <c r="BF1661" s="36">
        <f>(Inventory[[#This Row],[Unadj Total Value]]-Inventory[[#This Row],[24Final]])/Inventory[[#This Row],[24Final]]</f>
        <v>0.10975299210593328</v>
      </c>
      <c r="BG1661" s="25">
        <f>VLOOKUP(Inventory[[#This Row],[Nbhd]],Lookups!$Q$2:$T$4,4,FALSE)</f>
        <v>0.99970000000000003</v>
      </c>
      <c r="BH1661" s="25">
        <f>VLOOKUP(Inventory[[#This Row],[Qlty]],Lookups!$O$7:$R$21,4,FALSE)</f>
        <v>0.98050000000000004</v>
      </c>
      <c r="BI1661" s="25">
        <f>VLOOKUP(Inventory[[#This Row],[Cnd]],Lookups!$T$7:$W$16,4,FALSE)</f>
        <v>0.99650000000000005</v>
      </c>
      <c r="BJ1661" s="25">
        <f>VLOOKUP(Inventory[[#This Row],[LivArea Range]],Lookups!$T$25:$W$37,4,FALSE)</f>
        <v>0.98919999999999997</v>
      </c>
      <c r="BK1661" s="25">
        <f>VLOOKUP(Inventory[[#This Row],[Decade]],Lookups!$O$25:$R$42,4,FALSE)</f>
        <v>1.0074000000000001</v>
      </c>
      <c r="BL1661" s="25">
        <f>Inventory[[#This Row],[Nbhd Adj]]*0.95</f>
        <v>0.94971499999999998</v>
      </c>
      <c r="BM1661" s="25">
        <f>Inventory[[#This Row],[Nbhd Adj]]*Inventory[[#This Row],[Quality Adj]]*Inventory[[#This Row],[Condition Adj]]*Inventory[[#This Row],[Living Area Adj]]*Inventory[[#This Row],[Decade Adj]]*0.95</f>
        <v>0.9247072287054503</v>
      </c>
      <c r="BN1661" s="25">
        <f>ROUND(SUM(Inventory[[#This Row],[Mdl Qlty]:[Mdl WdDeck]])+Inventory[[#This Row],[Mdl Res Intercept]]*Inventory[[#This Row],[Res Adj ]],-2)</f>
        <v>397100</v>
      </c>
      <c r="BO1661" s="25">
        <f>ROUND(Inventory[[#This Row],[25Det]]*Inventory[[#This Row],[Det/Nbhd Adj]],-2)</f>
        <v>8500</v>
      </c>
      <c r="BP1661" s="25">
        <f>Inventory[[#This Row],[Adjusted Res]]+Inventory[[#This Row],[Adj Det ]]</f>
        <v>405600</v>
      </c>
      <c r="BQ1661" s="25">
        <f>ROUND((Inventory[[#This Row],[Mdl Land Intercept]]+Inventory[[#This Row],[Mdl LnAcres]])*Inventory[[#This Row],[Det/Nbhd Adj]],-2)</f>
        <v>28300</v>
      </c>
      <c r="BR1661" s="25">
        <f>Inventory[[#This Row],[Adjusted Impr Total]]+Inventory[[#This Row],[Adjusted Land Total]]</f>
        <v>433900</v>
      </c>
      <c r="BS1661" s="36">
        <f>IFERROR((Inventory[[#This Row],[Adjusted Impr Total]]-Inventory[[#This Row],[24Bldg]])/Inventory[[#This Row],[24Bldg]],0)</f>
        <v>0.17804240487946557</v>
      </c>
      <c r="BT1661" s="36">
        <f>(Inventory[[#This Row],[Adjusted Land Total]]-Inventory[[#This Row],[24Lnd]])/Inventory[[#This Row],[24Lnd]]</f>
        <v>-0.41528925619834711</v>
      </c>
      <c r="BU1661" s="36">
        <f>(Inventory[[#This Row],[Adjusted Total]]-Inventory[[#This Row],[24Final]])/Inventory[[#This Row],[24Final]]</f>
        <v>0.10491469314998726</v>
      </c>
    </row>
    <row r="1662" spans="1:73" x14ac:dyDescent="0.3">
      <c r="A1662" s="25">
        <v>2025</v>
      </c>
      <c r="B1662" s="26" t="s">
        <v>845</v>
      </c>
      <c r="C1662" s="26">
        <f>LN(Inventory[[#This Row],[Acres]])</f>
        <v>-1.5141277326297755</v>
      </c>
      <c r="D1662" s="25">
        <v>0.22</v>
      </c>
      <c r="E1662" s="25">
        <v>9400</v>
      </c>
      <c r="F1662" s="26" t="s">
        <v>537</v>
      </c>
      <c r="G1662" s="26" t="s">
        <v>126</v>
      </c>
      <c r="H1662" s="26" t="s">
        <v>349</v>
      </c>
      <c r="I1662" s="26" t="s">
        <v>538</v>
      </c>
      <c r="J1662" s="26" t="s">
        <v>539</v>
      </c>
      <c r="K1662" s="26" t="s">
        <v>242</v>
      </c>
      <c r="L1662" s="26" t="s">
        <v>351</v>
      </c>
      <c r="M1662" s="26" t="s">
        <v>323</v>
      </c>
      <c r="N1662" s="26">
        <v>100</v>
      </c>
      <c r="O1662" s="26">
        <f>2024-Inventory[[#This Row],[YrBlt]]</f>
        <v>92</v>
      </c>
      <c r="P1662" s="26">
        <f>2024-Inventory[[#This Row],[EffYr]]</f>
        <v>54</v>
      </c>
      <c r="Q1662" s="25">
        <v>1932</v>
      </c>
      <c r="R1662" s="25">
        <v>1970</v>
      </c>
      <c r="S1662" s="25">
        <v>1267</v>
      </c>
      <c r="T1662" s="32">
        <v>616</v>
      </c>
      <c r="U1662" s="25">
        <v>882</v>
      </c>
      <c r="V1662" s="25">
        <f>Inventory[[#This Row],[Bsmt]]-Inventory[[#This Row],[FnBsmt]]</f>
        <v>882</v>
      </c>
      <c r="W1662" s="31"/>
      <c r="X1662" s="27"/>
      <c r="Y1662" s="27">
        <f>Inventory[[#This Row],[MainFn]]+Inventory[[#This Row],[UpprFn]]+Inventory[[#This Row],[FnBsmt]]+Inventory[[#This Row],[AddFn]]</f>
        <v>1883</v>
      </c>
      <c r="Z1662" s="27">
        <v>2000</v>
      </c>
      <c r="AA1662" s="25">
        <v>10</v>
      </c>
      <c r="AB1662" s="27"/>
      <c r="AC1662" s="31"/>
      <c r="AD1662" s="31"/>
      <c r="AE1662" s="27"/>
      <c r="AF1662" s="27"/>
      <c r="AG1662" s="27"/>
      <c r="AH1662" s="27"/>
      <c r="AI1662" s="25">
        <v>305646</v>
      </c>
      <c r="AJ1662" s="25">
        <v>201726</v>
      </c>
      <c r="AK1662" s="25">
        <v>10237</v>
      </c>
      <c r="AL1662" s="25">
        <v>342100</v>
      </c>
      <c r="AM1662" s="25">
        <v>61700</v>
      </c>
      <c r="AN1662" s="25">
        <v>280400</v>
      </c>
      <c r="AO1662" s="25">
        <v>0</v>
      </c>
      <c r="AP1662" s="25">
        <f>Lookups!$B$56*0</f>
        <v>0</v>
      </c>
      <c r="AQ1662" s="25">
        <f>Lookups!$B$56*1</f>
        <v>89850.625589999996</v>
      </c>
      <c r="AR1662" s="25">
        <f>Lookups!$B$57*Inventory[[#This Row],[LnAcres]]</f>
        <v>-47929.131559187132</v>
      </c>
      <c r="AS1662" s="25">
        <f>VLOOKUP(Inventory[[#This Row],[Qlty]],Lookups!$A$62:$E$75,2,FALSE)</f>
        <v>21557.329055999999</v>
      </c>
      <c r="AT1662" s="25">
        <f>VLOOKUP(Inventory[[#This Row],[Cnd]],Lookups!$A$76:$E$84,2,FALSE)</f>
        <v>160472.20319</v>
      </c>
      <c r="AU1662" s="25">
        <f>Inventory[[#This Row],[EffAge]]*Lookups!$B$85</f>
        <v>-12044.462427</v>
      </c>
      <c r="AV1662" s="25">
        <f>Inventory[[#This Row],[MainFn]]*Lookups!$B$86</f>
        <v>62600.784734159002</v>
      </c>
      <c r="AW1662" s="25">
        <f>Inventory[[#This Row],[UpprFn]]*Lookups!$B$87</f>
        <v>27588.436482376001</v>
      </c>
      <c r="AX1662" s="25">
        <f>Inventory[[#This Row],[AddFn]]*Lookups!$B$88</f>
        <v>0</v>
      </c>
      <c r="AY1662" s="25">
        <f>Inventory[[#This Row],[Bsmt]]*Lookups!$B$89</f>
        <v>25650.231607853999</v>
      </c>
      <c r="AZ1662" s="25">
        <f>Inventory[[#This Row],[Fixtures]]*Lookups!$B$90</f>
        <v>37920.221052000001</v>
      </c>
      <c r="BA1662" s="25">
        <f>Inventory[[#This Row],[WdDeck]]*Lookups!$B$91</f>
        <v>0</v>
      </c>
      <c r="BB1662" s="25">
        <f>ROUND(Inventory[[#This Row],[25Det]],-2)</f>
        <v>10200</v>
      </c>
      <c r="BC1662" s="25">
        <f>ROUND(SUM(Inventory[[#This Row],[Mdl Qlty]:[Mdl WdDeck]])+Inventory[[#This Row],[Mdl Res Intercept]],-2)</f>
        <v>323700</v>
      </c>
      <c r="BD1662" s="25">
        <f>ROUND(Inventory[[#This Row],[Mdl Land Intercept]]+Inventory[[#This Row],[Mdl LnAcres]],-2)</f>
        <v>41900</v>
      </c>
      <c r="BE1662" s="25">
        <f>Inventory[[#This Row],[Unadj Res Value]]+Inventory[[#This Row],[Unadj Det Value]]+Inventory[[#This Row],[Unadj Land Value]]</f>
        <v>375800</v>
      </c>
      <c r="BF1662" s="36">
        <f>(Inventory[[#This Row],[Unadj Total Value]]-Inventory[[#This Row],[24Final]])/Inventory[[#This Row],[24Final]]</f>
        <v>9.8509207833966675E-2</v>
      </c>
      <c r="BG1662" s="25">
        <f>VLOOKUP(Inventory[[#This Row],[Nbhd]],Lookups!$Q$2:$T$4,4,FALSE)</f>
        <v>0.99970000000000003</v>
      </c>
      <c r="BH1662" s="25">
        <f>VLOOKUP(Inventory[[#This Row],[Qlty]],Lookups!$O$7:$R$21,4,FALSE)</f>
        <v>1.0067999999999999</v>
      </c>
      <c r="BI1662" s="25">
        <f>VLOOKUP(Inventory[[#This Row],[Cnd]],Lookups!$T$7:$W$16,4,FALSE)</f>
        <v>0.99729999999999996</v>
      </c>
      <c r="BJ1662" s="25">
        <f>VLOOKUP(Inventory[[#This Row],[LivArea Range]],Lookups!$T$25:$W$37,4,FALSE)</f>
        <v>1.0093000000000001</v>
      </c>
      <c r="BK1662" s="25">
        <f>VLOOKUP(Inventory[[#This Row],[Decade]],Lookups!$O$25:$R$42,4,FALSE)</f>
        <v>1.0074000000000001</v>
      </c>
      <c r="BL1662" s="25">
        <f>Inventory[[#This Row],[Nbhd Adj]]*0.95</f>
        <v>0.94971499999999998</v>
      </c>
      <c r="BM1662" s="25">
        <f>Inventory[[#This Row],[Nbhd Adj]]*Inventory[[#This Row],[Quality Adj]]*Inventory[[#This Row],[Condition Adj]]*Inventory[[#This Row],[Living Area Adj]]*Inventory[[#This Row],[Decade Adj]]*0.95</f>
        <v>0.96958199718441984</v>
      </c>
      <c r="BN1662" s="25">
        <f>ROUND(SUM(Inventory[[#This Row],[Mdl Qlty]:[Mdl WdDeck]])+Inventory[[#This Row],[Mdl Res Intercept]]*Inventory[[#This Row],[Res Adj ]],-2)</f>
        <v>323700</v>
      </c>
      <c r="BO1662" s="25">
        <f>ROUND(Inventory[[#This Row],[25Det]]*Inventory[[#This Row],[Det/Nbhd Adj]],-2)</f>
        <v>9700</v>
      </c>
      <c r="BP1662" s="25">
        <f>Inventory[[#This Row],[Adjusted Res]]+Inventory[[#This Row],[Adj Det ]]</f>
        <v>333400</v>
      </c>
      <c r="BQ1662" s="25">
        <f>ROUND((Inventory[[#This Row],[Mdl Land Intercept]]+Inventory[[#This Row],[Mdl LnAcres]])*Inventory[[#This Row],[Det/Nbhd Adj]],-2)</f>
        <v>39800</v>
      </c>
      <c r="BR1662" s="25">
        <f>Inventory[[#This Row],[Adjusted Impr Total]]+Inventory[[#This Row],[Adjusted Land Total]]</f>
        <v>373200</v>
      </c>
      <c r="BS1662" s="36">
        <f>IFERROR((Inventory[[#This Row],[Adjusted Impr Total]]-Inventory[[#This Row],[24Bldg]])/Inventory[[#This Row],[24Bldg]],0)</f>
        <v>0.18901569186875891</v>
      </c>
      <c r="BT1662" s="36">
        <f>(Inventory[[#This Row],[Adjusted Land Total]]-Inventory[[#This Row],[24Lnd]])/Inventory[[#This Row],[24Lnd]]</f>
        <v>-0.35494327390599678</v>
      </c>
      <c r="BU1662" s="36">
        <f>(Inventory[[#This Row],[Adjusted Total]]-Inventory[[#This Row],[24Final]])/Inventory[[#This Row],[24Final]]</f>
        <v>9.0909090909090912E-2</v>
      </c>
    </row>
    <row r="1663" spans="1:73" x14ac:dyDescent="0.3">
      <c r="A1663" s="25">
        <v>2025</v>
      </c>
      <c r="B1663" s="26" t="s">
        <v>1235</v>
      </c>
      <c r="C1663" s="26">
        <f>LN(Inventory[[#This Row],[Acres]])</f>
        <v>-1.7147984280919266</v>
      </c>
      <c r="D1663" s="25">
        <v>0.18</v>
      </c>
      <c r="E1663" s="25">
        <v>7800</v>
      </c>
      <c r="F1663" s="26" t="s">
        <v>537</v>
      </c>
      <c r="G1663" s="26" t="s">
        <v>126</v>
      </c>
      <c r="H1663" s="26" t="s">
        <v>349</v>
      </c>
      <c r="I1663" s="26" t="s">
        <v>538</v>
      </c>
      <c r="J1663" s="26" t="s">
        <v>539</v>
      </c>
      <c r="K1663" s="26" t="s">
        <v>147</v>
      </c>
      <c r="L1663" s="26" t="s">
        <v>148</v>
      </c>
      <c r="M1663" s="26" t="s">
        <v>303</v>
      </c>
      <c r="N1663" s="26">
        <v>100</v>
      </c>
      <c r="O1663" s="26">
        <f>2024-Inventory[[#This Row],[YrBlt]]</f>
        <v>92</v>
      </c>
      <c r="P1663" s="26">
        <f>2024-Inventory[[#This Row],[EffYr]]</f>
        <v>54</v>
      </c>
      <c r="Q1663" s="25">
        <v>1932</v>
      </c>
      <c r="R1663" s="25">
        <v>1970</v>
      </c>
      <c r="S1663" s="25">
        <v>1309</v>
      </c>
      <c r="T1663" s="32">
        <v>683</v>
      </c>
      <c r="U1663" s="25">
        <v>768</v>
      </c>
      <c r="V1663" s="25">
        <f>Inventory[[#This Row],[Bsmt]]-Inventory[[#This Row],[FnBsmt]]</f>
        <v>538</v>
      </c>
      <c r="W1663" s="25">
        <v>230</v>
      </c>
      <c r="X1663" s="27"/>
      <c r="Y1663" s="27">
        <f>Inventory[[#This Row],[MainFn]]+Inventory[[#This Row],[UpprFn]]+Inventory[[#This Row],[FnBsmt]]+Inventory[[#This Row],[AddFn]]</f>
        <v>2222</v>
      </c>
      <c r="Z1663" s="27">
        <v>2500</v>
      </c>
      <c r="AA1663" s="25">
        <v>8</v>
      </c>
      <c r="AB1663" s="27"/>
      <c r="AC1663" s="31"/>
      <c r="AD1663" s="27"/>
      <c r="AE1663" s="27"/>
      <c r="AF1663" s="27"/>
      <c r="AG1663" s="27"/>
      <c r="AH1663" s="27"/>
      <c r="AI1663" s="25">
        <v>445930</v>
      </c>
      <c r="AJ1663" s="25">
        <v>303232</v>
      </c>
      <c r="AK1663" s="25">
        <v>9496</v>
      </c>
      <c r="AL1663" s="25">
        <v>386100</v>
      </c>
      <c r="AM1663" s="25">
        <v>54700</v>
      </c>
      <c r="AN1663" s="25">
        <v>331400</v>
      </c>
      <c r="AO1663" s="25">
        <v>0</v>
      </c>
      <c r="AP1663" s="25">
        <f>Lookups!$B$56*0</f>
        <v>0</v>
      </c>
      <c r="AQ1663" s="25">
        <f>Lookups!$B$56*1</f>
        <v>89850.625589999996</v>
      </c>
      <c r="AR1663" s="25">
        <f>Lookups!$B$57*Inventory[[#This Row],[LnAcres]]</f>
        <v>-54281.285314520763</v>
      </c>
      <c r="AS1663" s="25">
        <f>VLOOKUP(Inventory[[#This Row],[Qlty]],Lookups!$A$62:$E$75,2,FALSE)</f>
        <v>44121.038090000002</v>
      </c>
      <c r="AT1663" s="25">
        <f>VLOOKUP(Inventory[[#This Row],[Cnd]],Lookups!$A$76:$E$84,2,FALSE)</f>
        <v>197752.34721000001</v>
      </c>
      <c r="AU1663" s="25">
        <f>Inventory[[#This Row],[EffAge]]*Lookups!$B$85</f>
        <v>-12044.462427</v>
      </c>
      <c r="AV1663" s="25">
        <f>Inventory[[#This Row],[MainFn]]*Lookups!$B$86</f>
        <v>64675.948868993</v>
      </c>
      <c r="AW1663" s="25">
        <f>Inventory[[#This Row],[UpprFn]]*Lookups!$B$87</f>
        <v>30589.126814062998</v>
      </c>
      <c r="AX1663" s="25">
        <f>Inventory[[#This Row],[AddFn]]*Lookups!$B$88</f>
        <v>0</v>
      </c>
      <c r="AY1663" s="25">
        <f>Inventory[[#This Row],[Bsmt]]*Lookups!$B$89</f>
        <v>22334.895549695997</v>
      </c>
      <c r="AZ1663" s="25">
        <f>Inventory[[#This Row],[Fixtures]]*Lookups!$B$90</f>
        <v>30336.176841600001</v>
      </c>
      <c r="BA1663" s="25">
        <f>Inventory[[#This Row],[WdDeck]]*Lookups!$B$91</f>
        <v>0</v>
      </c>
      <c r="BB1663" s="25">
        <f>ROUND(Inventory[[#This Row],[25Det]],-2)</f>
        <v>9500</v>
      </c>
      <c r="BC1663" s="25">
        <f>ROUND(SUM(Inventory[[#This Row],[Mdl Qlty]:[Mdl WdDeck]])+Inventory[[#This Row],[Mdl Res Intercept]],-2)</f>
        <v>377800</v>
      </c>
      <c r="BD1663" s="25">
        <f>ROUND(Inventory[[#This Row],[Mdl Land Intercept]]+Inventory[[#This Row],[Mdl LnAcres]],-2)</f>
        <v>35600</v>
      </c>
      <c r="BE1663" s="25">
        <f>Inventory[[#This Row],[Unadj Res Value]]+Inventory[[#This Row],[Unadj Det Value]]+Inventory[[#This Row],[Unadj Land Value]]</f>
        <v>422900</v>
      </c>
      <c r="BF1663" s="36">
        <f>(Inventory[[#This Row],[Unadj Total Value]]-Inventory[[#This Row],[24Final]])/Inventory[[#This Row],[24Final]]</f>
        <v>9.5312095312095307E-2</v>
      </c>
      <c r="BG1663" s="25">
        <f>VLOOKUP(Inventory[[#This Row],[Nbhd]],Lookups!$Q$2:$T$4,4,FALSE)</f>
        <v>0.99970000000000003</v>
      </c>
      <c r="BH1663" s="25">
        <f>VLOOKUP(Inventory[[#This Row],[Qlty]],Lookups!$O$7:$R$21,4,FALSE)</f>
        <v>0.98050000000000004</v>
      </c>
      <c r="BI1663" s="25">
        <f>VLOOKUP(Inventory[[#This Row],[Cnd]],Lookups!$T$7:$W$16,4,FALSE)</f>
        <v>0.99650000000000005</v>
      </c>
      <c r="BJ1663" s="25">
        <f>VLOOKUP(Inventory[[#This Row],[LivArea Range]],Lookups!$T$25:$W$37,4,FALSE)</f>
        <v>0.98919999999999997</v>
      </c>
      <c r="BK1663" s="25">
        <f>VLOOKUP(Inventory[[#This Row],[Decade]],Lookups!$O$25:$R$42,4,FALSE)</f>
        <v>1.0074000000000001</v>
      </c>
      <c r="BL1663" s="25">
        <f>Inventory[[#This Row],[Nbhd Adj]]*0.95</f>
        <v>0.94971499999999998</v>
      </c>
      <c r="BM1663" s="25">
        <f>Inventory[[#This Row],[Nbhd Adj]]*Inventory[[#This Row],[Quality Adj]]*Inventory[[#This Row],[Condition Adj]]*Inventory[[#This Row],[Living Area Adj]]*Inventory[[#This Row],[Decade Adj]]*0.95</f>
        <v>0.9247072287054503</v>
      </c>
      <c r="BN1663" s="25">
        <f>ROUND(SUM(Inventory[[#This Row],[Mdl Qlty]:[Mdl WdDeck]])+Inventory[[#This Row],[Mdl Res Intercept]]*Inventory[[#This Row],[Res Adj ]],-2)</f>
        <v>377800</v>
      </c>
      <c r="BO1663" s="25">
        <f>ROUND(Inventory[[#This Row],[25Det]]*Inventory[[#This Row],[Det/Nbhd Adj]],-2)</f>
        <v>9000</v>
      </c>
      <c r="BP1663" s="25">
        <f>Inventory[[#This Row],[Adjusted Res]]+Inventory[[#This Row],[Adj Det ]]</f>
        <v>386800</v>
      </c>
      <c r="BQ1663" s="25">
        <f>ROUND((Inventory[[#This Row],[Mdl Land Intercept]]+Inventory[[#This Row],[Mdl LnAcres]])*Inventory[[#This Row],[Det/Nbhd Adj]],-2)</f>
        <v>33800</v>
      </c>
      <c r="BR1663" s="25">
        <f>Inventory[[#This Row],[Adjusted Impr Total]]+Inventory[[#This Row],[Adjusted Land Total]]</f>
        <v>420600</v>
      </c>
      <c r="BS1663" s="36">
        <f>IFERROR((Inventory[[#This Row],[Adjusted Impr Total]]-Inventory[[#This Row],[24Bldg]])/Inventory[[#This Row],[24Bldg]],0)</f>
        <v>0.16716958358479178</v>
      </c>
      <c r="BT1663" s="36">
        <f>(Inventory[[#This Row],[Adjusted Land Total]]-Inventory[[#This Row],[24Lnd]])/Inventory[[#This Row],[24Lnd]]</f>
        <v>-0.38208409506398539</v>
      </c>
      <c r="BU1663" s="36">
        <f>(Inventory[[#This Row],[Adjusted Total]]-Inventory[[#This Row],[24Final]])/Inventory[[#This Row],[24Final]]</f>
        <v>8.9355089355089359E-2</v>
      </c>
    </row>
    <row r="1664" spans="1:73" x14ac:dyDescent="0.3">
      <c r="A1664" s="25">
        <v>2025</v>
      </c>
      <c r="B1664" s="26" t="s">
        <v>873</v>
      </c>
      <c r="C1664" s="26">
        <f>LN(Inventory[[#This Row],[Acres]])</f>
        <v>-1.4696759700589417</v>
      </c>
      <c r="D1664" s="25">
        <v>0.23</v>
      </c>
      <c r="E1664" s="25">
        <v>10081</v>
      </c>
      <c r="F1664" s="26" t="s">
        <v>537</v>
      </c>
      <c r="G1664" s="26" t="s">
        <v>126</v>
      </c>
      <c r="H1664" s="26" t="s">
        <v>349</v>
      </c>
      <c r="I1664" s="26" t="s">
        <v>538</v>
      </c>
      <c r="J1664" s="26" t="s">
        <v>539</v>
      </c>
      <c r="K1664" s="26" t="s">
        <v>242</v>
      </c>
      <c r="L1664" s="26" t="s">
        <v>351</v>
      </c>
      <c r="M1664" s="26" t="s">
        <v>323</v>
      </c>
      <c r="N1664" s="26">
        <v>100</v>
      </c>
      <c r="O1664" s="26">
        <f>2024-Inventory[[#This Row],[YrBlt]]</f>
        <v>92</v>
      </c>
      <c r="P1664" s="26">
        <f>2024-Inventory[[#This Row],[EffYr]]</f>
        <v>54</v>
      </c>
      <c r="Q1664" s="25">
        <v>1932</v>
      </c>
      <c r="R1664" s="25">
        <v>1970</v>
      </c>
      <c r="S1664" s="25">
        <v>924</v>
      </c>
      <c r="T1664" s="27"/>
      <c r="U1664" s="25">
        <v>920</v>
      </c>
      <c r="V1664" s="25">
        <f>Inventory[[#This Row],[Bsmt]]-Inventory[[#This Row],[FnBsmt]]</f>
        <v>200</v>
      </c>
      <c r="W1664" s="25">
        <v>720</v>
      </c>
      <c r="X1664" s="27"/>
      <c r="Y1664" s="27">
        <f>Inventory[[#This Row],[MainFn]]+Inventory[[#This Row],[UpprFn]]+Inventory[[#This Row],[FnBsmt]]+Inventory[[#This Row],[AddFn]]</f>
        <v>1644</v>
      </c>
      <c r="Z1664" s="27">
        <v>2000</v>
      </c>
      <c r="AA1664" s="25">
        <v>8</v>
      </c>
      <c r="AB1664" s="27"/>
      <c r="AC1664" s="31"/>
      <c r="AD1664" s="32">
        <v>112</v>
      </c>
      <c r="AE1664" s="27"/>
      <c r="AF1664" s="27"/>
      <c r="AG1664" s="27"/>
      <c r="AH1664" s="27"/>
      <c r="AI1664" s="25">
        <v>231216</v>
      </c>
      <c r="AJ1664" s="25">
        <v>152603</v>
      </c>
      <c r="AK1664" s="25">
        <v>27980</v>
      </c>
      <c r="AL1664" s="25">
        <v>329600</v>
      </c>
      <c r="AM1664" s="25">
        <v>63300</v>
      </c>
      <c r="AN1664" s="25">
        <v>266300</v>
      </c>
      <c r="AO1664" s="25">
        <v>0</v>
      </c>
      <c r="AP1664" s="25">
        <f>Lookups!$B$56*0</f>
        <v>0</v>
      </c>
      <c r="AQ1664" s="25">
        <f>Lookups!$B$56*1</f>
        <v>89850.625589999996</v>
      </c>
      <c r="AR1664" s="25">
        <f>Lookups!$B$57*Inventory[[#This Row],[LnAcres]]</f>
        <v>-46522.028095997222</v>
      </c>
      <c r="AS1664" s="25">
        <f>VLOOKUP(Inventory[[#This Row],[Qlty]],Lookups!$A$62:$E$75,2,FALSE)</f>
        <v>21557.329055999999</v>
      </c>
      <c r="AT1664" s="25">
        <f>VLOOKUP(Inventory[[#This Row],[Cnd]],Lookups!$A$76:$E$84,2,FALSE)</f>
        <v>160472.20319</v>
      </c>
      <c r="AU1664" s="25">
        <f>Inventory[[#This Row],[EffAge]]*Lookups!$B$85</f>
        <v>-12044.462427</v>
      </c>
      <c r="AV1664" s="25">
        <f>Inventory[[#This Row],[MainFn]]*Lookups!$B$86</f>
        <v>45653.610966348002</v>
      </c>
      <c r="AW1664" s="25">
        <f>Inventory[[#This Row],[UpprFn]]*Lookups!$B$87</f>
        <v>0</v>
      </c>
      <c r="AX1664" s="25">
        <f>Inventory[[#This Row],[AddFn]]*Lookups!$B$88</f>
        <v>0</v>
      </c>
      <c r="AY1664" s="25">
        <f>Inventory[[#This Row],[Bsmt]]*Lookups!$B$89</f>
        <v>26755.343627239999</v>
      </c>
      <c r="AZ1664" s="25">
        <f>Inventory[[#This Row],[Fixtures]]*Lookups!$B$90</f>
        <v>30336.176841600001</v>
      </c>
      <c r="BA1664" s="25">
        <f>Inventory[[#This Row],[WdDeck]]*Lookups!$B$91</f>
        <v>3729.0977109120004</v>
      </c>
      <c r="BB1664" s="25">
        <f>ROUND(Inventory[[#This Row],[25Det]],-2)</f>
        <v>28000</v>
      </c>
      <c r="BC1664" s="25">
        <f>ROUND(SUM(Inventory[[#This Row],[Mdl Qlty]:[Mdl WdDeck]])+Inventory[[#This Row],[Mdl Res Intercept]],-2)</f>
        <v>276500</v>
      </c>
      <c r="BD1664" s="25">
        <f>ROUND(Inventory[[#This Row],[Mdl Land Intercept]]+Inventory[[#This Row],[Mdl LnAcres]],-2)</f>
        <v>43300</v>
      </c>
      <c r="BE1664" s="25">
        <f>Inventory[[#This Row],[Unadj Res Value]]+Inventory[[#This Row],[Unadj Det Value]]+Inventory[[#This Row],[Unadj Land Value]]</f>
        <v>347800</v>
      </c>
      <c r="BF1664" s="36">
        <f>(Inventory[[#This Row],[Unadj Total Value]]-Inventory[[#This Row],[24Final]])/Inventory[[#This Row],[24Final]]</f>
        <v>5.5218446601941751E-2</v>
      </c>
      <c r="BG1664" s="25">
        <f>VLOOKUP(Inventory[[#This Row],[Nbhd]],Lookups!$Q$2:$T$4,4,FALSE)</f>
        <v>0.99970000000000003</v>
      </c>
      <c r="BH1664" s="25">
        <f>VLOOKUP(Inventory[[#This Row],[Qlty]],Lookups!$O$7:$R$21,4,FALSE)</f>
        <v>1.0067999999999999</v>
      </c>
      <c r="BI1664" s="25">
        <f>VLOOKUP(Inventory[[#This Row],[Cnd]],Lookups!$T$7:$W$16,4,FALSE)</f>
        <v>0.99729999999999996</v>
      </c>
      <c r="BJ1664" s="25">
        <f>VLOOKUP(Inventory[[#This Row],[LivArea Range]],Lookups!$T$25:$W$37,4,FALSE)</f>
        <v>1.0093000000000001</v>
      </c>
      <c r="BK1664" s="25">
        <f>VLOOKUP(Inventory[[#This Row],[Decade]],Lookups!$O$25:$R$42,4,FALSE)</f>
        <v>1.0074000000000001</v>
      </c>
      <c r="BL1664" s="25">
        <f>Inventory[[#This Row],[Nbhd Adj]]*0.95</f>
        <v>0.94971499999999998</v>
      </c>
      <c r="BM1664" s="25">
        <f>Inventory[[#This Row],[Nbhd Adj]]*Inventory[[#This Row],[Quality Adj]]*Inventory[[#This Row],[Condition Adj]]*Inventory[[#This Row],[Living Area Adj]]*Inventory[[#This Row],[Decade Adj]]*0.95</f>
        <v>0.96958199718441984</v>
      </c>
      <c r="BN1664" s="25">
        <f>ROUND(SUM(Inventory[[#This Row],[Mdl Qlty]:[Mdl WdDeck]])+Inventory[[#This Row],[Mdl Res Intercept]]*Inventory[[#This Row],[Res Adj ]],-2)</f>
        <v>276500</v>
      </c>
      <c r="BO1664" s="25">
        <f>ROUND(Inventory[[#This Row],[25Det]]*Inventory[[#This Row],[Det/Nbhd Adj]],-2)</f>
        <v>26600</v>
      </c>
      <c r="BP1664" s="25">
        <f>Inventory[[#This Row],[Adjusted Res]]+Inventory[[#This Row],[Adj Det ]]</f>
        <v>303100</v>
      </c>
      <c r="BQ1664" s="25">
        <f>ROUND((Inventory[[#This Row],[Mdl Land Intercept]]+Inventory[[#This Row],[Mdl LnAcres]])*Inventory[[#This Row],[Det/Nbhd Adj]],-2)</f>
        <v>41100</v>
      </c>
      <c r="BR1664" s="25">
        <f>Inventory[[#This Row],[Adjusted Impr Total]]+Inventory[[#This Row],[Adjusted Land Total]]</f>
        <v>344200</v>
      </c>
      <c r="BS1664" s="36">
        <f>IFERROR((Inventory[[#This Row],[Adjusted Impr Total]]-Inventory[[#This Row],[24Bldg]])/Inventory[[#This Row],[24Bldg]],0)</f>
        <v>0.13819001126549005</v>
      </c>
      <c r="BT1664" s="36">
        <f>(Inventory[[#This Row],[Adjusted Land Total]]-Inventory[[#This Row],[24Lnd]])/Inventory[[#This Row],[24Lnd]]</f>
        <v>-0.35071090047393366</v>
      </c>
      <c r="BU1664" s="36">
        <f>(Inventory[[#This Row],[Adjusted Total]]-Inventory[[#This Row],[24Final]])/Inventory[[#This Row],[24Final]]</f>
        <v>4.429611650485437E-2</v>
      </c>
    </row>
    <row r="1665" spans="1:73" x14ac:dyDescent="0.3">
      <c r="A1665" s="25">
        <v>2025</v>
      </c>
      <c r="B1665" s="26" t="s">
        <v>2231</v>
      </c>
      <c r="C1665" s="26">
        <f>LN(Inventory[[#This Row],[Acres]])</f>
        <v>-1.7719568419318752</v>
      </c>
      <c r="D1665" s="25">
        <v>0.17</v>
      </c>
      <c r="E1665" s="25">
        <v>7280</v>
      </c>
      <c r="F1665" s="26" t="s">
        <v>537</v>
      </c>
      <c r="G1665" s="26" t="s">
        <v>126</v>
      </c>
      <c r="H1665" s="26" t="s">
        <v>349</v>
      </c>
      <c r="I1665" s="26" t="s">
        <v>538</v>
      </c>
      <c r="J1665" s="26" t="s">
        <v>539</v>
      </c>
      <c r="K1665" s="26" t="s">
        <v>269</v>
      </c>
      <c r="L1665" s="26" t="s">
        <v>148</v>
      </c>
      <c r="M1665" s="26" t="s">
        <v>323</v>
      </c>
      <c r="N1665" s="26">
        <v>100</v>
      </c>
      <c r="O1665" s="26">
        <f>2024-Inventory[[#This Row],[YrBlt]]</f>
        <v>92</v>
      </c>
      <c r="P1665" s="26">
        <f>2024-Inventory[[#This Row],[EffYr]]</f>
        <v>54</v>
      </c>
      <c r="Q1665" s="25">
        <v>1932</v>
      </c>
      <c r="R1665" s="25">
        <v>1970</v>
      </c>
      <c r="S1665" s="25">
        <v>1125</v>
      </c>
      <c r="T1665" s="25">
        <v>378</v>
      </c>
      <c r="U1665" s="25">
        <v>486</v>
      </c>
      <c r="V1665" s="25">
        <f>Inventory[[#This Row],[Bsmt]]-Inventory[[#This Row],[FnBsmt]]</f>
        <v>3</v>
      </c>
      <c r="W1665" s="25">
        <v>483</v>
      </c>
      <c r="X1665" s="27"/>
      <c r="Y1665" s="27">
        <f>Inventory[[#This Row],[MainFn]]+Inventory[[#This Row],[UpprFn]]+Inventory[[#This Row],[FnBsmt]]+Inventory[[#This Row],[AddFn]]</f>
        <v>1986</v>
      </c>
      <c r="Z1665" s="27">
        <v>2000</v>
      </c>
      <c r="AA1665" s="25">
        <v>11</v>
      </c>
      <c r="AB1665" s="31"/>
      <c r="AC1665" s="27"/>
      <c r="AD1665" s="25">
        <v>160</v>
      </c>
      <c r="AE1665" s="27"/>
      <c r="AF1665" s="27"/>
      <c r="AG1665" s="27"/>
      <c r="AH1665" s="27"/>
      <c r="AI1665" s="25">
        <v>427844</v>
      </c>
      <c r="AJ1665" s="25">
        <v>282377</v>
      </c>
      <c r="AK1665" s="25">
        <v>16557</v>
      </c>
      <c r="AL1665" s="25">
        <v>360200</v>
      </c>
      <c r="AM1665" s="25">
        <v>52700</v>
      </c>
      <c r="AN1665" s="25">
        <v>307500</v>
      </c>
      <c r="AO1665" s="25">
        <v>0</v>
      </c>
      <c r="AP1665" s="25">
        <f>Lookups!$B$56*0</f>
        <v>0</v>
      </c>
      <c r="AQ1665" s="25">
        <f>Lookups!$B$56*1</f>
        <v>89850.625589999996</v>
      </c>
      <c r="AR1665" s="25">
        <f>Lookups!$B$57*Inventory[[#This Row],[LnAcres]]</f>
        <v>-56090.612940989391</v>
      </c>
      <c r="AS1665" s="25">
        <f>VLOOKUP(Inventory[[#This Row],[Qlty]],Lookups!$A$62:$E$75,2,FALSE)</f>
        <v>44121.038090000002</v>
      </c>
      <c r="AT1665" s="25">
        <f>VLOOKUP(Inventory[[#This Row],[Cnd]],Lookups!$A$76:$E$84,2,FALSE)</f>
        <v>160472.20319</v>
      </c>
      <c r="AU1665" s="25">
        <f>Inventory[[#This Row],[EffAge]]*Lookups!$B$85</f>
        <v>-12044.462427</v>
      </c>
      <c r="AV1665" s="25">
        <f>Inventory[[#This Row],[MainFn]]*Lookups!$B$86</f>
        <v>55584.753611625005</v>
      </c>
      <c r="AW1665" s="25">
        <f>Inventory[[#This Row],[UpprFn]]*Lookups!$B$87</f>
        <v>16929.267841458</v>
      </c>
      <c r="AX1665" s="25">
        <f>Inventory[[#This Row],[AddFn]]*Lookups!$B$88</f>
        <v>0</v>
      </c>
      <c r="AY1665" s="25">
        <f>Inventory[[#This Row],[Bsmt]]*Lookups!$B$89</f>
        <v>14133.801090041999</v>
      </c>
      <c r="AZ1665" s="25">
        <f>Inventory[[#This Row],[Fixtures]]*Lookups!$B$90</f>
        <v>41712.243157199999</v>
      </c>
      <c r="BA1665" s="25">
        <f>Inventory[[#This Row],[WdDeck]]*Lookups!$B$91</f>
        <v>5327.2824441600005</v>
      </c>
      <c r="BB1665" s="25">
        <f>ROUND(Inventory[[#This Row],[25Det]],-2)</f>
        <v>16600</v>
      </c>
      <c r="BC1665" s="25">
        <f>ROUND(SUM(Inventory[[#This Row],[Mdl Qlty]:[Mdl WdDeck]])+Inventory[[#This Row],[Mdl Res Intercept]],-2)</f>
        <v>326200</v>
      </c>
      <c r="BD1665" s="25">
        <f>ROUND(Inventory[[#This Row],[Mdl Land Intercept]]+Inventory[[#This Row],[Mdl LnAcres]],-2)</f>
        <v>33800</v>
      </c>
      <c r="BE1665" s="25">
        <f>Inventory[[#This Row],[Unadj Res Value]]+Inventory[[#This Row],[Unadj Det Value]]+Inventory[[#This Row],[Unadj Land Value]]</f>
        <v>376600</v>
      </c>
      <c r="BF1665" s="36">
        <f>(Inventory[[#This Row],[Unadj Total Value]]-Inventory[[#This Row],[24Final]])/Inventory[[#This Row],[24Final]]</f>
        <v>4.5530260966129929E-2</v>
      </c>
      <c r="BG1665" s="25">
        <f>VLOOKUP(Inventory[[#This Row],[Nbhd]],Lookups!$Q$2:$T$4,4,FALSE)</f>
        <v>0.99970000000000003</v>
      </c>
      <c r="BH1665" s="25">
        <f>VLOOKUP(Inventory[[#This Row],[Qlty]],Lookups!$O$7:$R$21,4,FALSE)</f>
        <v>0.98050000000000004</v>
      </c>
      <c r="BI1665" s="25">
        <f>VLOOKUP(Inventory[[#This Row],[Cnd]],Lookups!$T$7:$W$16,4,FALSE)</f>
        <v>0.99729999999999996</v>
      </c>
      <c r="BJ1665" s="25">
        <f>VLOOKUP(Inventory[[#This Row],[LivArea Range]],Lookups!$T$25:$W$37,4,FALSE)</f>
        <v>1.0093000000000001</v>
      </c>
      <c r="BK1665" s="25">
        <f>VLOOKUP(Inventory[[#This Row],[Decade]],Lookups!$O$25:$R$42,4,FALSE)</f>
        <v>1.0074000000000001</v>
      </c>
      <c r="BL1665" s="25">
        <f>Inventory[[#This Row],[Nbhd Adj]]*0.95</f>
        <v>0.94971499999999998</v>
      </c>
      <c r="BM1665" s="25">
        <f>Inventory[[#This Row],[Nbhd Adj]]*Inventory[[#This Row],[Quality Adj]]*Inventory[[#This Row],[Condition Adj]]*Inventory[[#This Row],[Living Area Adj]]*Inventory[[#This Row],[Decade Adj]]*0.95</f>
        <v>0.9442542195464082</v>
      </c>
      <c r="BN1665" s="25">
        <f>ROUND(SUM(Inventory[[#This Row],[Mdl Qlty]:[Mdl WdDeck]])+Inventory[[#This Row],[Mdl Res Intercept]]*Inventory[[#This Row],[Res Adj ]],-2)</f>
        <v>326200</v>
      </c>
      <c r="BO1665" s="25">
        <f>ROUND(Inventory[[#This Row],[25Det]]*Inventory[[#This Row],[Det/Nbhd Adj]],-2)</f>
        <v>15700</v>
      </c>
      <c r="BP1665" s="25">
        <f>Inventory[[#This Row],[Adjusted Res]]+Inventory[[#This Row],[Adj Det ]]</f>
        <v>341900</v>
      </c>
      <c r="BQ1665" s="25">
        <f>ROUND((Inventory[[#This Row],[Mdl Land Intercept]]+Inventory[[#This Row],[Mdl LnAcres]])*Inventory[[#This Row],[Det/Nbhd Adj]],-2)</f>
        <v>32100</v>
      </c>
      <c r="BR1665" s="25">
        <f>Inventory[[#This Row],[Adjusted Impr Total]]+Inventory[[#This Row],[Adjusted Land Total]]</f>
        <v>374000</v>
      </c>
      <c r="BS1665" s="36">
        <f>IFERROR((Inventory[[#This Row],[Adjusted Impr Total]]-Inventory[[#This Row],[24Bldg]])/Inventory[[#This Row],[24Bldg]],0)</f>
        <v>0.111869918699187</v>
      </c>
      <c r="BT1665" s="36">
        <f>(Inventory[[#This Row],[Adjusted Land Total]]-Inventory[[#This Row],[24Lnd]])/Inventory[[#This Row],[24Lnd]]</f>
        <v>-0.39089184060721061</v>
      </c>
      <c r="BU1665" s="36">
        <f>(Inventory[[#This Row],[Adjusted Total]]-Inventory[[#This Row],[24Final]])/Inventory[[#This Row],[24Final]]</f>
        <v>3.8312048861743477E-2</v>
      </c>
    </row>
    <row r="1666" spans="1:73" x14ac:dyDescent="0.3">
      <c r="A1666" s="25">
        <v>2025</v>
      </c>
      <c r="B1666" s="26" t="s">
        <v>1812</v>
      </c>
      <c r="C1666" s="26">
        <f>LN(Inventory[[#This Row],[Acres]])</f>
        <v>-1.7719568419318752</v>
      </c>
      <c r="D1666" s="25">
        <v>0.17</v>
      </c>
      <c r="E1666" s="25">
        <v>7560</v>
      </c>
      <c r="F1666" s="26" t="s">
        <v>537</v>
      </c>
      <c r="G1666" s="26" t="s">
        <v>126</v>
      </c>
      <c r="H1666" s="26" t="s">
        <v>349</v>
      </c>
      <c r="I1666" s="26" t="s">
        <v>538</v>
      </c>
      <c r="J1666" s="26" t="s">
        <v>539</v>
      </c>
      <c r="K1666" s="26" t="s">
        <v>4</v>
      </c>
      <c r="L1666" s="26" t="s">
        <v>148</v>
      </c>
      <c r="M1666" s="26" t="s">
        <v>323</v>
      </c>
      <c r="N1666" s="26">
        <v>100</v>
      </c>
      <c r="O1666" s="26">
        <f>2024-Inventory[[#This Row],[YrBlt]]</f>
        <v>92</v>
      </c>
      <c r="P1666" s="26">
        <f>2024-Inventory[[#This Row],[EffYr]]</f>
        <v>54</v>
      </c>
      <c r="Q1666" s="25">
        <v>1932</v>
      </c>
      <c r="R1666" s="25">
        <v>1970</v>
      </c>
      <c r="S1666" s="25">
        <v>1654</v>
      </c>
      <c r="T1666" s="25">
        <v>1145</v>
      </c>
      <c r="U1666" s="25">
        <v>1146</v>
      </c>
      <c r="V1666" s="25">
        <f>Inventory[[#This Row],[Bsmt]]-Inventory[[#This Row],[FnBsmt]]</f>
        <v>573</v>
      </c>
      <c r="W1666" s="25">
        <v>573</v>
      </c>
      <c r="X1666" s="27"/>
      <c r="Y1666" s="27">
        <f>Inventory[[#This Row],[MainFn]]+Inventory[[#This Row],[UpprFn]]+Inventory[[#This Row],[FnBsmt]]+Inventory[[#This Row],[AddFn]]</f>
        <v>3372</v>
      </c>
      <c r="Z1666" s="27">
        <v>3500</v>
      </c>
      <c r="AA1666" s="25">
        <v>12</v>
      </c>
      <c r="AB1666" s="27"/>
      <c r="AC1666" s="27"/>
      <c r="AD1666" s="31"/>
      <c r="AE1666" s="27"/>
      <c r="AF1666" s="27"/>
      <c r="AG1666" s="27"/>
      <c r="AH1666" s="27"/>
      <c r="AI1666" s="25">
        <v>640150</v>
      </c>
      <c r="AJ1666" s="25">
        <v>422499</v>
      </c>
      <c r="AK1666" s="25">
        <v>38795</v>
      </c>
      <c r="AL1666" s="25">
        <v>457300</v>
      </c>
      <c r="AM1666" s="25">
        <v>52700</v>
      </c>
      <c r="AN1666" s="25">
        <v>404600</v>
      </c>
      <c r="AO1666" s="25">
        <v>0</v>
      </c>
      <c r="AP1666" s="25">
        <f>Lookups!$B$56*0</f>
        <v>0</v>
      </c>
      <c r="AQ1666" s="25">
        <f>Lookups!$B$56*1</f>
        <v>89850.625589999996</v>
      </c>
      <c r="AR1666" s="25">
        <f>Lookups!$B$57*Inventory[[#This Row],[LnAcres]]</f>
        <v>-56090.612940989391</v>
      </c>
      <c r="AS1666" s="25">
        <f>VLOOKUP(Inventory[[#This Row],[Qlty]],Lookups!$A$62:$E$75,2,FALSE)</f>
        <v>44121.038090000002</v>
      </c>
      <c r="AT1666" s="25">
        <f>VLOOKUP(Inventory[[#This Row],[Cnd]],Lookups!$A$76:$E$84,2,FALSE)</f>
        <v>160472.20319</v>
      </c>
      <c r="AU1666" s="25">
        <f>Inventory[[#This Row],[EffAge]]*Lookups!$B$85</f>
        <v>-12044.462427</v>
      </c>
      <c r="AV1666" s="25">
        <f>Inventory[[#This Row],[MainFn]]*Lookups!$B$86</f>
        <v>81721.939976558002</v>
      </c>
      <c r="AW1666" s="25">
        <f>Inventory[[#This Row],[UpprFn]]*Lookups!$B$87</f>
        <v>51280.454175845</v>
      </c>
      <c r="AX1666" s="25">
        <f>Inventory[[#This Row],[AddFn]]*Lookups!$B$88</f>
        <v>0</v>
      </c>
      <c r="AY1666" s="25">
        <f>Inventory[[#This Row],[Bsmt]]*Lookups!$B$89</f>
        <v>33327.851953061996</v>
      </c>
      <c r="AZ1666" s="25">
        <f>Inventory[[#This Row],[Fixtures]]*Lookups!$B$90</f>
        <v>45504.265262400004</v>
      </c>
      <c r="BA1666" s="25">
        <f>Inventory[[#This Row],[WdDeck]]*Lookups!$B$91</f>
        <v>0</v>
      </c>
      <c r="BB1666" s="25">
        <f>ROUND(Inventory[[#This Row],[25Det]],-2)</f>
        <v>38800</v>
      </c>
      <c r="BC1666" s="25">
        <f>ROUND(SUM(Inventory[[#This Row],[Mdl Qlty]:[Mdl WdDeck]])+Inventory[[#This Row],[Mdl Res Intercept]],-2)</f>
        <v>404400</v>
      </c>
      <c r="BD1666" s="25">
        <f>ROUND(Inventory[[#This Row],[Mdl Land Intercept]]+Inventory[[#This Row],[Mdl LnAcres]],-2)</f>
        <v>33800</v>
      </c>
      <c r="BE1666" s="25">
        <f>Inventory[[#This Row],[Unadj Res Value]]+Inventory[[#This Row],[Unadj Det Value]]+Inventory[[#This Row],[Unadj Land Value]]</f>
        <v>477000</v>
      </c>
      <c r="BF1666" s="36">
        <f>(Inventory[[#This Row],[Unadj Total Value]]-Inventory[[#This Row],[24Final]])/Inventory[[#This Row],[24Final]]</f>
        <v>4.3078941613820247E-2</v>
      </c>
      <c r="BG1666" s="25">
        <f>VLOOKUP(Inventory[[#This Row],[Nbhd]],Lookups!$Q$2:$T$4,4,FALSE)</f>
        <v>0.99970000000000003</v>
      </c>
      <c r="BH1666" s="25">
        <f>VLOOKUP(Inventory[[#This Row],[Qlty]],Lookups!$O$7:$R$21,4,FALSE)</f>
        <v>0.98050000000000004</v>
      </c>
      <c r="BI1666" s="25">
        <f>VLOOKUP(Inventory[[#This Row],[Cnd]],Lookups!$T$7:$W$16,4,FALSE)</f>
        <v>0.99729999999999996</v>
      </c>
      <c r="BJ1666" s="25">
        <f>VLOOKUP(Inventory[[#This Row],[LivArea Range]],Lookups!$T$25:$W$37,4,FALSE)</f>
        <v>1.0126999999999999</v>
      </c>
      <c r="BK1666" s="25">
        <f>VLOOKUP(Inventory[[#This Row],[Decade]],Lookups!$O$25:$R$42,4,FALSE)</f>
        <v>1.0074000000000001</v>
      </c>
      <c r="BL1666" s="25">
        <f>Inventory[[#This Row],[Nbhd Adj]]*0.95</f>
        <v>0.94971499999999998</v>
      </c>
      <c r="BM1666" s="25">
        <f>Inventory[[#This Row],[Nbhd Adj]]*Inventory[[#This Row],[Quality Adj]]*Inventory[[#This Row],[Condition Adj]]*Inventory[[#This Row],[Living Area Adj]]*Inventory[[#This Row],[Decade Adj]]*0.95</f>
        <v>0.9474351016889403</v>
      </c>
      <c r="BN1666" s="25">
        <f>ROUND(SUM(Inventory[[#This Row],[Mdl Qlty]:[Mdl WdDeck]])+Inventory[[#This Row],[Mdl Res Intercept]]*Inventory[[#This Row],[Res Adj ]],-2)</f>
        <v>404400</v>
      </c>
      <c r="BO1666" s="25">
        <f>ROUND(Inventory[[#This Row],[25Det]]*Inventory[[#This Row],[Det/Nbhd Adj]],-2)</f>
        <v>36800</v>
      </c>
      <c r="BP1666" s="25">
        <f>Inventory[[#This Row],[Adjusted Res]]+Inventory[[#This Row],[Adj Det ]]</f>
        <v>441200</v>
      </c>
      <c r="BQ1666" s="25">
        <f>ROUND((Inventory[[#This Row],[Mdl Land Intercept]]+Inventory[[#This Row],[Mdl LnAcres]])*Inventory[[#This Row],[Det/Nbhd Adj]],-2)</f>
        <v>32100</v>
      </c>
      <c r="BR1666" s="25">
        <f>Inventory[[#This Row],[Adjusted Impr Total]]+Inventory[[#This Row],[Adjusted Land Total]]</f>
        <v>473300</v>
      </c>
      <c r="BS1666" s="36">
        <f>IFERROR((Inventory[[#This Row],[Adjusted Impr Total]]-Inventory[[#This Row],[24Bldg]])/Inventory[[#This Row],[24Bldg]],0)</f>
        <v>9.0459713297083535E-2</v>
      </c>
      <c r="BT1666" s="36">
        <f>(Inventory[[#This Row],[Adjusted Land Total]]-Inventory[[#This Row],[24Lnd]])/Inventory[[#This Row],[24Lnd]]</f>
        <v>-0.39089184060721061</v>
      </c>
      <c r="BU1666" s="36">
        <f>(Inventory[[#This Row],[Adjusted Total]]-Inventory[[#This Row],[24Final]])/Inventory[[#This Row],[24Final]]</f>
        <v>3.4987972884321011E-2</v>
      </c>
    </row>
    <row r="1667" spans="1:73" x14ac:dyDescent="0.3">
      <c r="A1667" s="25">
        <v>2025</v>
      </c>
      <c r="B1667" s="26" t="s">
        <v>1329</v>
      </c>
      <c r="C1667" s="26">
        <f>LN(Inventory[[#This Row],[Acres]])</f>
        <v>-1.4271163556401458</v>
      </c>
      <c r="D1667" s="25">
        <v>0.24</v>
      </c>
      <c r="E1667" s="25">
        <v>10546</v>
      </c>
      <c r="F1667" s="26" t="s">
        <v>537</v>
      </c>
      <c r="G1667" s="26" t="s">
        <v>126</v>
      </c>
      <c r="H1667" s="26" t="s">
        <v>349</v>
      </c>
      <c r="I1667" s="26" t="s">
        <v>538</v>
      </c>
      <c r="J1667" s="26" t="s">
        <v>539</v>
      </c>
      <c r="K1667" s="26" t="s">
        <v>173</v>
      </c>
      <c r="L1667" s="26" t="s">
        <v>205</v>
      </c>
      <c r="M1667" s="26" t="s">
        <v>323</v>
      </c>
      <c r="N1667" s="26">
        <v>100</v>
      </c>
      <c r="O1667" s="26">
        <f>2024-Inventory[[#This Row],[YrBlt]]</f>
        <v>92</v>
      </c>
      <c r="P1667" s="26">
        <f>2024-Inventory[[#This Row],[EffYr]]</f>
        <v>54</v>
      </c>
      <c r="Q1667" s="25">
        <v>1932</v>
      </c>
      <c r="R1667" s="25">
        <v>1970</v>
      </c>
      <c r="S1667" s="25">
        <v>792</v>
      </c>
      <c r="T1667" s="32">
        <v>606</v>
      </c>
      <c r="U1667" s="32">
        <v>808</v>
      </c>
      <c r="V1667" s="32">
        <f>Inventory[[#This Row],[Bsmt]]-Inventory[[#This Row],[FnBsmt]]</f>
        <v>162</v>
      </c>
      <c r="W1667" s="32">
        <v>646</v>
      </c>
      <c r="X1667" s="27"/>
      <c r="Y1667" s="27">
        <f>Inventory[[#This Row],[MainFn]]+Inventory[[#This Row],[UpprFn]]+Inventory[[#This Row],[FnBsmt]]+Inventory[[#This Row],[AddFn]]</f>
        <v>2044</v>
      </c>
      <c r="Z1667" s="27">
        <v>2500</v>
      </c>
      <c r="AA1667" s="25">
        <v>8</v>
      </c>
      <c r="AB1667" s="25">
        <v>228</v>
      </c>
      <c r="AC1667" s="27"/>
      <c r="AD1667" s="31"/>
      <c r="AE1667" s="27"/>
      <c r="AF1667" s="27"/>
      <c r="AG1667" s="27"/>
      <c r="AH1667" s="27"/>
      <c r="AI1667" s="25">
        <v>276543</v>
      </c>
      <c r="AJ1667" s="25">
        <v>182518</v>
      </c>
      <c r="AK1667" s="25">
        <v>0</v>
      </c>
      <c r="AL1667" s="25">
        <v>310400</v>
      </c>
      <c r="AM1667" s="25">
        <v>64800</v>
      </c>
      <c r="AN1667" s="25">
        <v>245600</v>
      </c>
      <c r="AO1667" s="25">
        <v>0</v>
      </c>
      <c r="AP1667" s="25">
        <f>Lookups!$B$56*0</f>
        <v>0</v>
      </c>
      <c r="AQ1667" s="25">
        <f>Lookups!$B$56*1</f>
        <v>89850.625589999996</v>
      </c>
      <c r="AR1667" s="25">
        <f>Lookups!$B$57*Inventory[[#This Row],[LnAcres]]</f>
        <v>-45174.819855485119</v>
      </c>
      <c r="AS1667" s="25">
        <f>VLOOKUP(Inventory[[#This Row],[Qlty]],Lookups!$A$62:$E$75,2,FALSE)</f>
        <v>0</v>
      </c>
      <c r="AT1667" s="25">
        <f>VLOOKUP(Inventory[[#This Row],[Cnd]],Lookups!$A$76:$E$84,2,FALSE)</f>
        <v>160472.20319</v>
      </c>
      <c r="AU1667" s="25">
        <f>Inventory[[#This Row],[EffAge]]*Lookups!$B$85</f>
        <v>-12044.462427</v>
      </c>
      <c r="AV1667" s="25">
        <f>Inventory[[#This Row],[MainFn]]*Lookups!$B$86</f>
        <v>39131.666542584004</v>
      </c>
      <c r="AW1667" s="25">
        <f>Inventory[[#This Row],[UpprFn]]*Lookups!$B$87</f>
        <v>27140.572253766</v>
      </c>
      <c r="AX1667" s="25">
        <f>Inventory[[#This Row],[AddFn]]*Lookups!$B$88</f>
        <v>0</v>
      </c>
      <c r="AY1667" s="25">
        <f>Inventory[[#This Row],[Bsmt]]*Lookups!$B$89</f>
        <v>23498.171359575997</v>
      </c>
      <c r="AZ1667" s="25">
        <f>Inventory[[#This Row],[Fixtures]]*Lookups!$B$90</f>
        <v>30336.176841600001</v>
      </c>
      <c r="BA1667" s="25">
        <f>Inventory[[#This Row],[WdDeck]]*Lookups!$B$91</f>
        <v>0</v>
      </c>
      <c r="BB1667" s="25">
        <f>ROUND(Inventory[[#This Row],[25Det]],-2)</f>
        <v>0</v>
      </c>
      <c r="BC1667" s="25">
        <f>ROUND(SUM(Inventory[[#This Row],[Mdl Qlty]:[Mdl WdDeck]])+Inventory[[#This Row],[Mdl Res Intercept]],-2)</f>
        <v>268500</v>
      </c>
      <c r="BD1667" s="25">
        <f>ROUND(Inventory[[#This Row],[Mdl Land Intercept]]+Inventory[[#This Row],[Mdl LnAcres]],-2)</f>
        <v>44700</v>
      </c>
      <c r="BE1667" s="25">
        <f>Inventory[[#This Row],[Unadj Res Value]]+Inventory[[#This Row],[Unadj Det Value]]+Inventory[[#This Row],[Unadj Land Value]]</f>
        <v>313200</v>
      </c>
      <c r="BF1667" s="36">
        <f>(Inventory[[#This Row],[Unadj Total Value]]-Inventory[[#This Row],[24Final]])/Inventory[[#This Row],[24Final]]</f>
        <v>9.0206185567010301E-3</v>
      </c>
      <c r="BG1667" s="25">
        <f>VLOOKUP(Inventory[[#This Row],[Nbhd]],Lookups!$Q$2:$T$4,4,FALSE)</f>
        <v>0.99970000000000003</v>
      </c>
      <c r="BH1667" s="25">
        <f>VLOOKUP(Inventory[[#This Row],[Qlty]],Lookups!$O$7:$R$21,4,FALSE)</f>
        <v>0.99180000000000001</v>
      </c>
      <c r="BI1667" s="25">
        <f>VLOOKUP(Inventory[[#This Row],[Cnd]],Lookups!$T$7:$W$16,4,FALSE)</f>
        <v>0.99729999999999996</v>
      </c>
      <c r="BJ1667" s="25">
        <f>VLOOKUP(Inventory[[#This Row],[LivArea Range]],Lookups!$T$25:$W$37,4,FALSE)</f>
        <v>0.98919999999999997</v>
      </c>
      <c r="BK1667" s="25">
        <f>VLOOKUP(Inventory[[#This Row],[Decade]],Lookups!$O$25:$R$42,4,FALSE)</f>
        <v>1.0074000000000001</v>
      </c>
      <c r="BL1667" s="25">
        <f>Inventory[[#This Row],[Nbhd Adj]]*0.95</f>
        <v>0.94971499999999998</v>
      </c>
      <c r="BM1667" s="25">
        <f>Inventory[[#This Row],[Nbhd Adj]]*Inventory[[#This Row],[Quality Adj]]*Inventory[[#This Row],[Condition Adj]]*Inventory[[#This Row],[Living Area Adj]]*Inventory[[#This Row],[Decade Adj]]*0.95</f>
        <v>0.93611515155732916</v>
      </c>
      <c r="BN1667" s="25">
        <f>ROUND(SUM(Inventory[[#This Row],[Mdl Qlty]:[Mdl WdDeck]])+Inventory[[#This Row],[Mdl Res Intercept]]*Inventory[[#This Row],[Res Adj ]],-2)</f>
        <v>268500</v>
      </c>
      <c r="BO1667" s="25">
        <f>ROUND(Inventory[[#This Row],[25Det]]*Inventory[[#This Row],[Det/Nbhd Adj]],-2)</f>
        <v>0</v>
      </c>
      <c r="BP1667" s="25">
        <f>Inventory[[#This Row],[Adjusted Res]]+Inventory[[#This Row],[Adj Det ]]</f>
        <v>268500</v>
      </c>
      <c r="BQ1667" s="25">
        <f>ROUND((Inventory[[#This Row],[Mdl Land Intercept]]+Inventory[[#This Row],[Mdl LnAcres]])*Inventory[[#This Row],[Det/Nbhd Adj]],-2)</f>
        <v>42400</v>
      </c>
      <c r="BR1667" s="25">
        <f>Inventory[[#This Row],[Adjusted Impr Total]]+Inventory[[#This Row],[Adjusted Land Total]]</f>
        <v>310900</v>
      </c>
      <c r="BS1667" s="36">
        <f>IFERROR((Inventory[[#This Row],[Adjusted Impr Total]]-Inventory[[#This Row],[24Bldg]])/Inventory[[#This Row],[24Bldg]],0)</f>
        <v>9.3241042345276873E-2</v>
      </c>
      <c r="BT1667" s="36">
        <f>(Inventory[[#This Row],[Adjusted Land Total]]-Inventory[[#This Row],[24Lnd]])/Inventory[[#This Row],[24Lnd]]</f>
        <v>-0.34567901234567899</v>
      </c>
      <c r="BU1667" s="36">
        <f>(Inventory[[#This Row],[Adjusted Total]]-Inventory[[#This Row],[24Final]])/Inventory[[#This Row],[24Final]]</f>
        <v>1.6108247422680412E-3</v>
      </c>
    </row>
    <row r="1668" spans="1:73" x14ac:dyDescent="0.3">
      <c r="A1668" s="25">
        <v>2025</v>
      </c>
      <c r="B1668" s="26" t="s">
        <v>1022</v>
      </c>
      <c r="C1668" s="26">
        <f>LN(Inventory[[#This Row],[Acres]])</f>
        <v>-1.6094379124341003</v>
      </c>
      <c r="D1668" s="25">
        <v>0.2</v>
      </c>
      <c r="E1668" s="31"/>
      <c r="F1668" s="26" t="s">
        <v>537</v>
      </c>
      <c r="G1668" s="26" t="s">
        <v>126</v>
      </c>
      <c r="H1668" s="26" t="s">
        <v>349</v>
      </c>
      <c r="I1668" s="26" t="s">
        <v>538</v>
      </c>
      <c r="J1668" s="26" t="s">
        <v>539</v>
      </c>
      <c r="K1668" s="26" t="s">
        <v>417</v>
      </c>
      <c r="L1668" s="26" t="s">
        <v>95</v>
      </c>
      <c r="M1668" s="26" t="s">
        <v>303</v>
      </c>
      <c r="N1668" s="26">
        <v>100</v>
      </c>
      <c r="O1668" s="26">
        <f>2024-Inventory[[#This Row],[YrBlt]]</f>
        <v>92</v>
      </c>
      <c r="P1668" s="26">
        <f>2024-Inventory[[#This Row],[EffYr]]</f>
        <v>54</v>
      </c>
      <c r="Q1668" s="25">
        <v>1932</v>
      </c>
      <c r="R1668" s="25">
        <v>1970</v>
      </c>
      <c r="S1668" s="25">
        <v>1393</v>
      </c>
      <c r="T1668" s="32">
        <v>910</v>
      </c>
      <c r="U1668" s="25">
        <v>792</v>
      </c>
      <c r="V1668" s="25">
        <f>Inventory[[#This Row],[Bsmt]]-Inventory[[#This Row],[FnBsmt]]</f>
        <v>0</v>
      </c>
      <c r="W1668" s="25">
        <v>792</v>
      </c>
      <c r="X1668" s="27"/>
      <c r="Y1668" s="27">
        <f>Inventory[[#This Row],[MainFn]]+Inventory[[#This Row],[UpprFn]]+Inventory[[#This Row],[FnBsmt]]+Inventory[[#This Row],[AddFn]]</f>
        <v>3095</v>
      </c>
      <c r="Z1668" s="27">
        <v>3500</v>
      </c>
      <c r="AA1668" s="25">
        <v>13</v>
      </c>
      <c r="AB1668" s="25">
        <v>462</v>
      </c>
      <c r="AC1668" s="27"/>
      <c r="AD1668" s="31"/>
      <c r="AE1668" s="27"/>
      <c r="AF1668" s="27"/>
      <c r="AG1668" s="27"/>
      <c r="AH1668" s="27"/>
      <c r="AI1668" s="25">
        <v>687161</v>
      </c>
      <c r="AJ1668" s="25">
        <v>474141</v>
      </c>
      <c r="AK1668" s="25">
        <v>0</v>
      </c>
      <c r="AL1668" s="25">
        <v>485900</v>
      </c>
      <c r="AM1668" s="25">
        <v>58400</v>
      </c>
      <c r="AN1668" s="25">
        <v>427500</v>
      </c>
      <c r="AO1668" s="25">
        <v>0</v>
      </c>
      <c r="AP1668" s="25">
        <f>Lookups!$B$56*0</f>
        <v>0</v>
      </c>
      <c r="AQ1668" s="25">
        <f>Lookups!$B$56*1</f>
        <v>89850.625589999996</v>
      </c>
      <c r="AR1668" s="25">
        <f>Lookups!$B$57*Inventory[[#This Row],[LnAcres]]</f>
        <v>-50946.13867709865</v>
      </c>
      <c r="AS1668" s="25">
        <f>VLOOKUP(Inventory[[#This Row],[Qlty]],Lookups!$A$62:$E$75,2,FALSE)</f>
        <v>74268.409664999999</v>
      </c>
      <c r="AT1668" s="25">
        <f>VLOOKUP(Inventory[[#This Row],[Cnd]],Lookups!$A$76:$E$84,2,FALSE)</f>
        <v>197752.34721000001</v>
      </c>
      <c r="AU1668" s="25">
        <f>Inventory[[#This Row],[EffAge]]*Lookups!$B$85</f>
        <v>-12044.462427</v>
      </c>
      <c r="AV1668" s="25">
        <f>Inventory[[#This Row],[MainFn]]*Lookups!$B$86</f>
        <v>68826.277138660997</v>
      </c>
      <c r="AW1668" s="25">
        <f>Inventory[[#This Row],[UpprFn]]*Lookups!$B$87</f>
        <v>40755.644803509997</v>
      </c>
      <c r="AX1668" s="25">
        <f>Inventory[[#This Row],[AddFn]]*Lookups!$B$88</f>
        <v>0</v>
      </c>
      <c r="AY1668" s="25">
        <f>Inventory[[#This Row],[Bsmt]]*Lookups!$B$89</f>
        <v>23032.861035623999</v>
      </c>
      <c r="AZ1668" s="25">
        <f>Inventory[[#This Row],[Fixtures]]*Lookups!$B$90</f>
        <v>49296.287367600002</v>
      </c>
      <c r="BA1668" s="25">
        <f>Inventory[[#This Row],[WdDeck]]*Lookups!$B$91</f>
        <v>0</v>
      </c>
      <c r="BB1668" s="25">
        <f>ROUND(Inventory[[#This Row],[25Det]],-2)</f>
        <v>0</v>
      </c>
      <c r="BC1668" s="25">
        <f>ROUND(SUM(Inventory[[#This Row],[Mdl Qlty]:[Mdl WdDeck]])+Inventory[[#This Row],[Mdl Res Intercept]],-2)</f>
        <v>441900</v>
      </c>
      <c r="BD1668" s="25">
        <f>ROUND(Inventory[[#This Row],[Mdl Land Intercept]]+Inventory[[#This Row],[Mdl LnAcres]],-2)</f>
        <v>38900</v>
      </c>
      <c r="BE1668" s="25">
        <f>Inventory[[#This Row],[Unadj Res Value]]+Inventory[[#This Row],[Unadj Det Value]]+Inventory[[#This Row],[Unadj Land Value]]</f>
        <v>480800</v>
      </c>
      <c r="BF1668" s="36">
        <f>(Inventory[[#This Row],[Unadj Total Value]]-Inventory[[#This Row],[24Final]])/Inventory[[#This Row],[24Final]]</f>
        <v>-1.0495986828565548E-2</v>
      </c>
      <c r="BG1668" s="25">
        <f>VLOOKUP(Inventory[[#This Row],[Nbhd]],Lookups!$Q$2:$T$4,4,FALSE)</f>
        <v>0.99970000000000003</v>
      </c>
      <c r="BH1668" s="25">
        <f>VLOOKUP(Inventory[[#This Row],[Qlty]],Lookups!$O$7:$R$21,4,FALSE)</f>
        <v>0.98380000000000001</v>
      </c>
      <c r="BI1668" s="25">
        <f>VLOOKUP(Inventory[[#This Row],[Cnd]],Lookups!$T$7:$W$16,4,FALSE)</f>
        <v>0.99650000000000005</v>
      </c>
      <c r="BJ1668" s="25">
        <f>VLOOKUP(Inventory[[#This Row],[LivArea Range]],Lookups!$T$25:$W$37,4,FALSE)</f>
        <v>1.0126999999999999</v>
      </c>
      <c r="BK1668" s="25">
        <f>VLOOKUP(Inventory[[#This Row],[Decade]],Lookups!$O$25:$R$42,4,FALSE)</f>
        <v>1.0074000000000001</v>
      </c>
      <c r="BL1668" s="25">
        <f>Inventory[[#This Row],[Nbhd Adj]]*0.95</f>
        <v>0.94971499999999998</v>
      </c>
      <c r="BM1668" s="25">
        <f>Inventory[[#This Row],[Nbhd Adj]]*Inventory[[#This Row],[Quality Adj]]*Inventory[[#This Row],[Condition Adj]]*Inventory[[#This Row],[Living Area Adj]]*Inventory[[#This Row],[Decade Adj]]*0.95</f>
        <v>0.94986125952200873</v>
      </c>
      <c r="BN1668" s="25">
        <f>ROUND(SUM(Inventory[[#This Row],[Mdl Qlty]:[Mdl WdDeck]])+Inventory[[#This Row],[Mdl Res Intercept]]*Inventory[[#This Row],[Res Adj ]],-2)</f>
        <v>441900</v>
      </c>
      <c r="BO1668" s="25">
        <f>ROUND(Inventory[[#This Row],[25Det]]*Inventory[[#This Row],[Det/Nbhd Adj]],-2)</f>
        <v>0</v>
      </c>
      <c r="BP1668" s="25">
        <f>Inventory[[#This Row],[Adjusted Res]]+Inventory[[#This Row],[Adj Det ]]</f>
        <v>441900</v>
      </c>
      <c r="BQ1668" s="25">
        <f>ROUND((Inventory[[#This Row],[Mdl Land Intercept]]+Inventory[[#This Row],[Mdl LnAcres]])*Inventory[[#This Row],[Det/Nbhd Adj]],-2)</f>
        <v>36900</v>
      </c>
      <c r="BR1668" s="25">
        <f>Inventory[[#This Row],[Adjusted Impr Total]]+Inventory[[#This Row],[Adjusted Land Total]]</f>
        <v>478800</v>
      </c>
      <c r="BS1668" s="36">
        <f>IFERROR((Inventory[[#This Row],[Adjusted Impr Total]]-Inventory[[#This Row],[24Bldg]])/Inventory[[#This Row],[24Bldg]],0)</f>
        <v>3.3684210526315789E-2</v>
      </c>
      <c r="BT1668" s="36">
        <f>(Inventory[[#This Row],[Adjusted Land Total]]-Inventory[[#This Row],[24Lnd]])/Inventory[[#This Row],[24Lnd]]</f>
        <v>-0.36815068493150682</v>
      </c>
      <c r="BU1668" s="36">
        <f>(Inventory[[#This Row],[Adjusted Total]]-Inventory[[#This Row],[24Final]])/Inventory[[#This Row],[24Final]]</f>
        <v>-1.4612060094669685E-2</v>
      </c>
    </row>
    <row r="1669" spans="1:73" x14ac:dyDescent="0.3">
      <c r="A1669" s="25">
        <v>2025</v>
      </c>
      <c r="B1669" s="26" t="s">
        <v>2899</v>
      </c>
      <c r="C1669" s="26">
        <f>LN(Inventory[[#This Row],[Acres]])</f>
        <v>-1.9661128563728327</v>
      </c>
      <c r="D1669" s="25">
        <v>0.14000000000000001</v>
      </c>
      <c r="E1669" s="25">
        <v>6175</v>
      </c>
      <c r="F1669" s="26" t="s">
        <v>537</v>
      </c>
      <c r="G1669" s="26" t="s">
        <v>126</v>
      </c>
      <c r="H1669" s="26" t="s">
        <v>349</v>
      </c>
      <c r="I1669" s="26" t="s">
        <v>538</v>
      </c>
      <c r="J1669" s="26" t="s">
        <v>539</v>
      </c>
      <c r="K1669" s="26" t="s">
        <v>242</v>
      </c>
      <c r="L1669" s="26" t="s">
        <v>351</v>
      </c>
      <c r="M1669" s="26" t="s">
        <v>323</v>
      </c>
      <c r="N1669" s="26">
        <v>100</v>
      </c>
      <c r="O1669" s="26">
        <f>2024-Inventory[[#This Row],[YrBlt]]</f>
        <v>92</v>
      </c>
      <c r="P1669" s="26">
        <f>2024-Inventory[[#This Row],[EffYr]]</f>
        <v>54</v>
      </c>
      <c r="Q1669" s="25">
        <v>1932</v>
      </c>
      <c r="R1669" s="25">
        <v>1970</v>
      </c>
      <c r="S1669" s="25">
        <v>1004</v>
      </c>
      <c r="T1669" s="27"/>
      <c r="U1669" s="25">
        <v>500</v>
      </c>
      <c r="V1669" s="25">
        <f>Inventory[[#This Row],[Bsmt]]-Inventory[[#This Row],[FnBsmt]]</f>
        <v>0</v>
      </c>
      <c r="W1669" s="25">
        <v>500</v>
      </c>
      <c r="X1669" s="27"/>
      <c r="Y1669" s="27">
        <f>Inventory[[#This Row],[MainFn]]+Inventory[[#This Row],[UpprFn]]+Inventory[[#This Row],[FnBsmt]]+Inventory[[#This Row],[AddFn]]</f>
        <v>1504</v>
      </c>
      <c r="Z1669" s="27">
        <v>2000</v>
      </c>
      <c r="AA1669" s="25">
        <v>5</v>
      </c>
      <c r="AB1669" s="27"/>
      <c r="AC1669" s="31"/>
      <c r="AD1669" s="31"/>
      <c r="AE1669" s="27"/>
      <c r="AF1669" s="27"/>
      <c r="AG1669" s="27"/>
      <c r="AH1669" s="27"/>
      <c r="AI1669" s="25">
        <v>213752</v>
      </c>
      <c r="AJ1669" s="25">
        <v>141076</v>
      </c>
      <c r="AK1669" s="25">
        <v>43512</v>
      </c>
      <c r="AL1669" s="25">
        <v>327700</v>
      </c>
      <c r="AM1669" s="25">
        <v>46000</v>
      </c>
      <c r="AN1669" s="25">
        <v>281700</v>
      </c>
      <c r="AO1669" s="25">
        <v>0</v>
      </c>
      <c r="AP1669" s="25">
        <f>Lookups!$B$56*0</f>
        <v>0</v>
      </c>
      <c r="AQ1669" s="25">
        <f>Lookups!$B$56*1</f>
        <v>89850.625589999996</v>
      </c>
      <c r="AR1669" s="25">
        <f>Lookups!$B$57*Inventory[[#This Row],[LnAcres]]</f>
        <v>-62236.546971921947</v>
      </c>
      <c r="AS1669" s="25">
        <f>VLOOKUP(Inventory[[#This Row],[Qlty]],Lookups!$A$62:$E$75,2,FALSE)</f>
        <v>21557.329055999999</v>
      </c>
      <c r="AT1669" s="25">
        <f>VLOOKUP(Inventory[[#This Row],[Cnd]],Lookups!$A$76:$E$84,2,FALSE)</f>
        <v>160472.20319</v>
      </c>
      <c r="AU1669" s="25">
        <f>Inventory[[#This Row],[EffAge]]*Lookups!$B$85</f>
        <v>-12044.462427</v>
      </c>
      <c r="AV1669" s="25">
        <f>Inventory[[#This Row],[MainFn]]*Lookups!$B$86</f>
        <v>49606.304556508003</v>
      </c>
      <c r="AW1669" s="25">
        <f>Inventory[[#This Row],[UpprFn]]*Lookups!$B$87</f>
        <v>0</v>
      </c>
      <c r="AX1669" s="25">
        <f>Inventory[[#This Row],[AddFn]]*Lookups!$B$88</f>
        <v>0</v>
      </c>
      <c r="AY1669" s="25">
        <f>Inventory[[#This Row],[Bsmt]]*Lookups!$B$89</f>
        <v>14540.947623499998</v>
      </c>
      <c r="AZ1669" s="25">
        <f>Inventory[[#This Row],[Fixtures]]*Lookups!$B$90</f>
        <v>18960.110526</v>
      </c>
      <c r="BA1669" s="25">
        <f>Inventory[[#This Row],[WdDeck]]*Lookups!$B$91</f>
        <v>0</v>
      </c>
      <c r="BB1669" s="25">
        <f>ROUND(Inventory[[#This Row],[25Det]],-2)</f>
        <v>43500</v>
      </c>
      <c r="BC1669" s="25">
        <f>ROUND(SUM(Inventory[[#This Row],[Mdl Qlty]:[Mdl WdDeck]])+Inventory[[#This Row],[Mdl Res Intercept]],-2)</f>
        <v>253100</v>
      </c>
      <c r="BD1669" s="25">
        <f>ROUND(Inventory[[#This Row],[Mdl Land Intercept]]+Inventory[[#This Row],[Mdl LnAcres]],-2)</f>
        <v>27600</v>
      </c>
      <c r="BE1669" s="25">
        <f>Inventory[[#This Row],[Unadj Res Value]]+Inventory[[#This Row],[Unadj Det Value]]+Inventory[[#This Row],[Unadj Land Value]]</f>
        <v>324200</v>
      </c>
      <c r="BF1669" s="36">
        <f>(Inventory[[#This Row],[Unadj Total Value]]-Inventory[[#This Row],[24Final]])/Inventory[[#This Row],[24Final]]</f>
        <v>-1.0680500457735734E-2</v>
      </c>
      <c r="BG1669" s="25">
        <f>VLOOKUP(Inventory[[#This Row],[Nbhd]],Lookups!$Q$2:$T$4,4,FALSE)</f>
        <v>0.99970000000000003</v>
      </c>
      <c r="BH1669" s="25">
        <f>VLOOKUP(Inventory[[#This Row],[Qlty]],Lookups!$O$7:$R$21,4,FALSE)</f>
        <v>1.0067999999999999</v>
      </c>
      <c r="BI1669" s="25">
        <f>VLOOKUP(Inventory[[#This Row],[Cnd]],Lookups!$T$7:$W$16,4,FALSE)</f>
        <v>0.99729999999999996</v>
      </c>
      <c r="BJ1669" s="25">
        <f>VLOOKUP(Inventory[[#This Row],[LivArea Range]],Lookups!$T$25:$W$37,4,FALSE)</f>
        <v>1.0093000000000001</v>
      </c>
      <c r="BK1669" s="25">
        <f>VLOOKUP(Inventory[[#This Row],[Decade]],Lookups!$O$25:$R$42,4,FALSE)</f>
        <v>1.0074000000000001</v>
      </c>
      <c r="BL1669" s="25">
        <f>Inventory[[#This Row],[Nbhd Adj]]*0.95</f>
        <v>0.94971499999999998</v>
      </c>
      <c r="BM1669" s="25">
        <f>Inventory[[#This Row],[Nbhd Adj]]*Inventory[[#This Row],[Quality Adj]]*Inventory[[#This Row],[Condition Adj]]*Inventory[[#This Row],[Living Area Adj]]*Inventory[[#This Row],[Decade Adj]]*0.95</f>
        <v>0.96958199718441984</v>
      </c>
      <c r="BN1669" s="25">
        <f>ROUND(SUM(Inventory[[#This Row],[Mdl Qlty]:[Mdl WdDeck]])+Inventory[[#This Row],[Mdl Res Intercept]]*Inventory[[#This Row],[Res Adj ]],-2)</f>
        <v>253100</v>
      </c>
      <c r="BO1669" s="25">
        <f>ROUND(Inventory[[#This Row],[25Det]]*Inventory[[#This Row],[Det/Nbhd Adj]],-2)</f>
        <v>41300</v>
      </c>
      <c r="BP1669" s="25">
        <f>Inventory[[#This Row],[Adjusted Res]]+Inventory[[#This Row],[Adj Det ]]</f>
        <v>294400</v>
      </c>
      <c r="BQ1669" s="25">
        <f>ROUND((Inventory[[#This Row],[Mdl Land Intercept]]+Inventory[[#This Row],[Mdl LnAcres]])*Inventory[[#This Row],[Det/Nbhd Adj]],-2)</f>
        <v>26200</v>
      </c>
      <c r="BR1669" s="25">
        <f>Inventory[[#This Row],[Adjusted Impr Total]]+Inventory[[#This Row],[Adjusted Land Total]]</f>
        <v>320600</v>
      </c>
      <c r="BS1669" s="36">
        <f>IFERROR((Inventory[[#This Row],[Adjusted Impr Total]]-Inventory[[#This Row],[24Bldg]])/Inventory[[#This Row],[24Bldg]],0)</f>
        <v>4.5083422080227191E-2</v>
      </c>
      <c r="BT1669" s="36">
        <f>(Inventory[[#This Row],[Adjusted Land Total]]-Inventory[[#This Row],[24Lnd]])/Inventory[[#This Row],[24Lnd]]</f>
        <v>-0.43043478260869567</v>
      </c>
      <c r="BU1669" s="36">
        <f>(Inventory[[#This Row],[Adjusted Total]]-Inventory[[#This Row],[24Final]])/Inventory[[#This Row],[24Final]]</f>
        <v>-2.1666158071406774E-2</v>
      </c>
    </row>
    <row r="1670" spans="1:73" x14ac:dyDescent="0.3">
      <c r="A1670" s="25">
        <v>2025</v>
      </c>
      <c r="B1670" s="26" t="s">
        <v>1681</v>
      </c>
      <c r="C1670" s="26">
        <f>LN(Inventory[[#This Row],[Acres]])</f>
        <v>-1.1394342831883648</v>
      </c>
      <c r="D1670" s="25">
        <v>0.32</v>
      </c>
      <c r="E1670" s="25">
        <v>13966</v>
      </c>
      <c r="F1670" s="26" t="s">
        <v>537</v>
      </c>
      <c r="G1670" s="26" t="s">
        <v>126</v>
      </c>
      <c r="H1670" s="26" t="s">
        <v>349</v>
      </c>
      <c r="I1670" s="26" t="s">
        <v>538</v>
      </c>
      <c r="J1670" s="26" t="s">
        <v>539</v>
      </c>
      <c r="K1670" s="26" t="s">
        <v>448</v>
      </c>
      <c r="L1670" s="26" t="s">
        <v>485</v>
      </c>
      <c r="M1670" s="26" t="s">
        <v>303</v>
      </c>
      <c r="N1670" s="26">
        <v>100</v>
      </c>
      <c r="O1670" s="26">
        <f>2024-Inventory[[#This Row],[YrBlt]]</f>
        <v>93</v>
      </c>
      <c r="P1670" s="26">
        <f>2024-Inventory[[#This Row],[EffYr]]</f>
        <v>54</v>
      </c>
      <c r="Q1670" s="25">
        <v>1931</v>
      </c>
      <c r="R1670" s="25">
        <v>1970</v>
      </c>
      <c r="S1670" s="25">
        <v>1747</v>
      </c>
      <c r="T1670" s="32">
        <v>1310</v>
      </c>
      <c r="U1670" s="25">
        <v>1316</v>
      </c>
      <c r="V1670" s="25">
        <f>Inventory[[#This Row],[Bsmt]]-Inventory[[#This Row],[FnBsmt]]</f>
        <v>916</v>
      </c>
      <c r="W1670" s="25">
        <v>400</v>
      </c>
      <c r="X1670" s="27"/>
      <c r="Y1670" s="27">
        <f>Inventory[[#This Row],[MainFn]]+Inventory[[#This Row],[UpprFn]]+Inventory[[#This Row],[FnBsmt]]+Inventory[[#This Row],[AddFn]]</f>
        <v>3457</v>
      </c>
      <c r="Z1670" s="27">
        <v>3500</v>
      </c>
      <c r="AA1670" s="25">
        <v>11</v>
      </c>
      <c r="AB1670" s="32">
        <v>552</v>
      </c>
      <c r="AC1670" s="31"/>
      <c r="AD1670" s="31"/>
      <c r="AE1670" s="27"/>
      <c r="AF1670" s="27"/>
      <c r="AG1670" s="27"/>
      <c r="AH1670" s="27"/>
      <c r="AI1670" s="25">
        <v>1018319</v>
      </c>
      <c r="AJ1670" s="25">
        <v>702640</v>
      </c>
      <c r="AK1670" s="25">
        <v>19607</v>
      </c>
      <c r="AL1670" s="25">
        <v>689300</v>
      </c>
      <c r="AM1670" s="25">
        <v>74800</v>
      </c>
      <c r="AN1670" s="25">
        <v>614500</v>
      </c>
      <c r="AO1670" s="25">
        <v>0</v>
      </c>
      <c r="AP1670" s="25">
        <f>Lookups!$B$56*0</f>
        <v>0</v>
      </c>
      <c r="AQ1670" s="25">
        <f>Lookups!$B$56*1</f>
        <v>89850.625589999996</v>
      </c>
      <c r="AR1670" s="25">
        <f>Lookups!$B$57*Inventory[[#This Row],[LnAcres]]</f>
        <v>-36068.354396449467</v>
      </c>
      <c r="AS1670" s="25">
        <f>VLOOKUP(Inventory[[#This Row],[Qlty]],Lookups!$A$62:$E$75,2,FALSE)</f>
        <v>253501.66539499999</v>
      </c>
      <c r="AT1670" s="25">
        <f>VLOOKUP(Inventory[[#This Row],[Cnd]],Lookups!$A$76:$E$84,2,FALSE)</f>
        <v>197752.34721000001</v>
      </c>
      <c r="AU1670" s="25">
        <f>Inventory[[#This Row],[EffAge]]*Lookups!$B$85</f>
        <v>-12044.462427</v>
      </c>
      <c r="AV1670" s="25">
        <f>Inventory[[#This Row],[MainFn]]*Lookups!$B$86</f>
        <v>86316.946275119</v>
      </c>
      <c r="AW1670" s="25">
        <f>Inventory[[#This Row],[UpprFn]]*Lookups!$B$87</f>
        <v>58670.213947910001</v>
      </c>
      <c r="AX1670" s="25">
        <f>Inventory[[#This Row],[AddFn]]*Lookups!$B$88</f>
        <v>0</v>
      </c>
      <c r="AY1670" s="25">
        <f>Inventory[[#This Row],[Bsmt]]*Lookups!$B$89</f>
        <v>38271.774145051997</v>
      </c>
      <c r="AZ1670" s="25">
        <f>Inventory[[#This Row],[Fixtures]]*Lookups!$B$90</f>
        <v>41712.243157199999</v>
      </c>
      <c r="BA1670" s="25">
        <f>Inventory[[#This Row],[WdDeck]]*Lookups!$B$91</f>
        <v>0</v>
      </c>
      <c r="BB1670" s="25">
        <f>ROUND(Inventory[[#This Row],[25Det]],-2)</f>
        <v>19600</v>
      </c>
      <c r="BC1670" s="25">
        <f>ROUND(SUM(Inventory[[#This Row],[Mdl Qlty]:[Mdl WdDeck]])+Inventory[[#This Row],[Mdl Res Intercept]],-2)</f>
        <v>664200</v>
      </c>
      <c r="BD1670" s="25">
        <f>ROUND(Inventory[[#This Row],[Mdl Land Intercept]]+Inventory[[#This Row],[Mdl LnAcres]],-2)</f>
        <v>53800</v>
      </c>
      <c r="BE1670" s="25">
        <f>Inventory[[#This Row],[Unadj Res Value]]+Inventory[[#This Row],[Unadj Det Value]]+Inventory[[#This Row],[Unadj Land Value]]</f>
        <v>737600</v>
      </c>
      <c r="BF1670" s="36">
        <f>(Inventory[[#This Row],[Unadj Total Value]]-Inventory[[#This Row],[24Final]])/Inventory[[#This Row],[24Final]]</f>
        <v>7.0071086609603941E-2</v>
      </c>
      <c r="BG1670" s="25">
        <f>VLOOKUP(Inventory[[#This Row],[Nbhd]],Lookups!$Q$2:$T$4,4,FALSE)</f>
        <v>0.99970000000000003</v>
      </c>
      <c r="BH1670" s="25">
        <f>VLOOKUP(Inventory[[#This Row],[Qlty]],Lookups!$O$7:$R$21,4,FALSE)</f>
        <v>1</v>
      </c>
      <c r="BI1670" s="25">
        <f>VLOOKUP(Inventory[[#This Row],[Cnd]],Lookups!$T$7:$W$16,4,FALSE)</f>
        <v>0.99650000000000005</v>
      </c>
      <c r="BJ1670" s="25">
        <f>VLOOKUP(Inventory[[#This Row],[LivArea Range]],Lookups!$T$25:$W$37,4,FALSE)</f>
        <v>1.0126999999999999</v>
      </c>
      <c r="BK1670" s="25">
        <f>VLOOKUP(Inventory[[#This Row],[Decade]],Lookups!$O$25:$R$42,4,FALSE)</f>
        <v>1.0074000000000001</v>
      </c>
      <c r="BL1670" s="25">
        <f>Inventory[[#This Row],[Nbhd Adj]]*0.95</f>
        <v>0.94971499999999998</v>
      </c>
      <c r="BM1670" s="25">
        <f>Inventory[[#This Row],[Nbhd Adj]]*Inventory[[#This Row],[Quality Adj]]*Inventory[[#This Row],[Condition Adj]]*Inventory[[#This Row],[Living Area Adj]]*Inventory[[#This Row],[Decade Adj]]*0.95</f>
        <v>0.96550239837569496</v>
      </c>
      <c r="BN1670" s="25">
        <f>ROUND(SUM(Inventory[[#This Row],[Mdl Qlty]:[Mdl WdDeck]])+Inventory[[#This Row],[Mdl Res Intercept]]*Inventory[[#This Row],[Res Adj ]],-2)</f>
        <v>664200</v>
      </c>
      <c r="BO1670" s="25">
        <f>ROUND(Inventory[[#This Row],[25Det]]*Inventory[[#This Row],[Det/Nbhd Adj]],-2)</f>
        <v>18600</v>
      </c>
      <c r="BP1670" s="25">
        <f>Inventory[[#This Row],[Adjusted Res]]+Inventory[[#This Row],[Adj Det ]]</f>
        <v>682800</v>
      </c>
      <c r="BQ1670" s="25">
        <f>ROUND((Inventory[[#This Row],[Mdl Land Intercept]]+Inventory[[#This Row],[Mdl LnAcres]])*Inventory[[#This Row],[Det/Nbhd Adj]],-2)</f>
        <v>51100</v>
      </c>
      <c r="BR1670" s="25">
        <f>Inventory[[#This Row],[Adjusted Impr Total]]+Inventory[[#This Row],[Adjusted Land Total]]</f>
        <v>733900</v>
      </c>
      <c r="BS1670" s="36">
        <f>IFERROR((Inventory[[#This Row],[Adjusted Impr Total]]-Inventory[[#This Row],[24Bldg]])/Inventory[[#This Row],[24Bldg]],0)</f>
        <v>0.11114727420667209</v>
      </c>
      <c r="BT1670" s="36">
        <f>(Inventory[[#This Row],[Adjusted Land Total]]-Inventory[[#This Row],[24Lnd]])/Inventory[[#This Row],[24Lnd]]</f>
        <v>-0.31684491978609625</v>
      </c>
      <c r="BU1670" s="36">
        <f>(Inventory[[#This Row],[Adjusted Total]]-Inventory[[#This Row],[24Final]])/Inventory[[#This Row],[24Final]]</f>
        <v>6.4703322210938635E-2</v>
      </c>
    </row>
    <row r="1671" spans="1:73" x14ac:dyDescent="0.3">
      <c r="A1671" s="25">
        <v>2025</v>
      </c>
      <c r="B1671" s="26" t="s">
        <v>980</v>
      </c>
      <c r="C1671" s="26">
        <f>LN(Inventory[[#This Row],[Acres]])</f>
        <v>-1.3470736479666092</v>
      </c>
      <c r="D1671" s="25">
        <v>0.26</v>
      </c>
      <c r="E1671" s="25">
        <v>11462</v>
      </c>
      <c r="F1671" s="26" t="s">
        <v>537</v>
      </c>
      <c r="G1671" s="26" t="s">
        <v>126</v>
      </c>
      <c r="H1671" s="26" t="s">
        <v>349</v>
      </c>
      <c r="I1671" s="26" t="s">
        <v>538</v>
      </c>
      <c r="J1671" s="26" t="s">
        <v>539</v>
      </c>
      <c r="K1671" s="26" t="s">
        <v>242</v>
      </c>
      <c r="L1671" s="26" t="s">
        <v>351</v>
      </c>
      <c r="M1671" s="26" t="s">
        <v>96</v>
      </c>
      <c r="N1671" s="26">
        <v>100</v>
      </c>
      <c r="O1671" s="26">
        <f>2024-Inventory[[#This Row],[YrBlt]]</f>
        <v>94</v>
      </c>
      <c r="P1671" s="26">
        <f>2024-Inventory[[#This Row],[EffYr]]</f>
        <v>14</v>
      </c>
      <c r="Q1671" s="25">
        <v>1930</v>
      </c>
      <c r="R1671" s="25">
        <v>2010</v>
      </c>
      <c r="S1671" s="25">
        <v>1401</v>
      </c>
      <c r="T1671" s="27"/>
      <c r="U1671" s="32">
        <v>1373</v>
      </c>
      <c r="V1671" s="32">
        <f>Inventory[[#This Row],[Bsmt]]-Inventory[[#This Row],[FnBsmt]]</f>
        <v>1373</v>
      </c>
      <c r="W1671" s="27"/>
      <c r="X1671" s="27"/>
      <c r="Y1671" s="27">
        <f>Inventory[[#This Row],[MainFn]]+Inventory[[#This Row],[UpprFn]]+Inventory[[#This Row],[FnBsmt]]+Inventory[[#This Row],[AddFn]]</f>
        <v>1401</v>
      </c>
      <c r="Z1671" s="27">
        <v>1500</v>
      </c>
      <c r="AA1671" s="25">
        <v>9</v>
      </c>
      <c r="AB1671" s="31"/>
      <c r="AC1671" s="27"/>
      <c r="AD1671" s="27"/>
      <c r="AE1671" s="27"/>
      <c r="AF1671" s="27"/>
      <c r="AG1671" s="27"/>
      <c r="AH1671" s="27"/>
      <c r="AI1671" s="25">
        <v>290605</v>
      </c>
      <c r="AJ1671" s="25">
        <v>273169</v>
      </c>
      <c r="AK1671" s="25">
        <v>0</v>
      </c>
      <c r="AL1671" s="25">
        <v>398100</v>
      </c>
      <c r="AM1671" s="25">
        <v>67600</v>
      </c>
      <c r="AN1671" s="25">
        <v>330500</v>
      </c>
      <c r="AO1671" s="25">
        <v>0</v>
      </c>
      <c r="AP1671" s="25">
        <f>Lookups!$B$56*0</f>
        <v>0</v>
      </c>
      <c r="AQ1671" s="25">
        <f>Lookups!$B$56*1</f>
        <v>89850.625589999996</v>
      </c>
      <c r="AR1671" s="25">
        <f>Lookups!$B$57*Inventory[[#This Row],[LnAcres]]</f>
        <v>-42641.098701210125</v>
      </c>
      <c r="AS1671" s="25">
        <f>VLOOKUP(Inventory[[#This Row],[Qlty]],Lookups!$A$62:$E$75,2,FALSE)</f>
        <v>21557.329055999999</v>
      </c>
      <c r="AT1671" s="25">
        <f>VLOOKUP(Inventory[[#This Row],[Cnd]],Lookups!$A$76:$E$84,2,FALSE)</f>
        <v>354070.39217000001</v>
      </c>
      <c r="AU1671" s="25">
        <f>Inventory[[#This Row],[EffAge]]*Lookups!$B$85</f>
        <v>-3122.6384069999999</v>
      </c>
      <c r="AV1671" s="25">
        <f>Inventory[[#This Row],[MainFn]]*Lookups!$B$86</f>
        <v>69221.546497677002</v>
      </c>
      <c r="AW1671" s="25">
        <f>Inventory[[#This Row],[UpprFn]]*Lookups!$B$87</f>
        <v>0</v>
      </c>
      <c r="AX1671" s="25">
        <f>Inventory[[#This Row],[AddFn]]*Lookups!$B$88</f>
        <v>0</v>
      </c>
      <c r="AY1671" s="25">
        <f>Inventory[[#This Row],[Bsmt]]*Lookups!$B$89</f>
        <v>39929.442174131</v>
      </c>
      <c r="AZ1671" s="25">
        <f>Inventory[[#This Row],[Fixtures]]*Lookups!$B$90</f>
        <v>34128.198946800003</v>
      </c>
      <c r="BA1671" s="25">
        <f>Inventory[[#This Row],[WdDeck]]*Lookups!$B$91</f>
        <v>0</v>
      </c>
      <c r="BB1671" s="25">
        <f>ROUND(Inventory[[#This Row],[25Det]],-2)</f>
        <v>0</v>
      </c>
      <c r="BC1671" s="25">
        <f>ROUND(SUM(Inventory[[#This Row],[Mdl Qlty]:[Mdl WdDeck]])+Inventory[[#This Row],[Mdl Res Intercept]],-2)</f>
        <v>515800</v>
      </c>
      <c r="BD1671" s="25">
        <f>ROUND(Inventory[[#This Row],[Mdl Land Intercept]]+Inventory[[#This Row],[Mdl LnAcres]],-2)</f>
        <v>47200</v>
      </c>
      <c r="BE1671" s="25">
        <f>Inventory[[#This Row],[Unadj Res Value]]+Inventory[[#This Row],[Unadj Det Value]]+Inventory[[#This Row],[Unadj Land Value]]</f>
        <v>563000</v>
      </c>
      <c r="BF1671" s="36">
        <f>(Inventory[[#This Row],[Unadj Total Value]]-Inventory[[#This Row],[24Final]])/Inventory[[#This Row],[24Final]]</f>
        <v>0.41421753328309469</v>
      </c>
      <c r="BG1671" s="25">
        <f>VLOOKUP(Inventory[[#This Row],[Nbhd]],Lookups!$Q$2:$T$4,4,FALSE)</f>
        <v>0.99970000000000003</v>
      </c>
      <c r="BH1671" s="25">
        <f>VLOOKUP(Inventory[[#This Row],[Qlty]],Lookups!$O$7:$R$21,4,FALSE)</f>
        <v>1.0067999999999999</v>
      </c>
      <c r="BI1671" s="25">
        <f>VLOOKUP(Inventory[[#This Row],[Cnd]],Lookups!$T$7:$W$16,4,FALSE)</f>
        <v>1.1303000000000001</v>
      </c>
      <c r="BJ1671" s="25">
        <f>VLOOKUP(Inventory[[#This Row],[LivArea Range]],Lookups!$T$25:$W$37,4,FALSE)</f>
        <v>1.0157</v>
      </c>
      <c r="BK1671" s="25">
        <f>VLOOKUP(Inventory[[#This Row],[Decade]],Lookups!$O$25:$R$42,4,FALSE)</f>
        <v>1.0074000000000001</v>
      </c>
      <c r="BL1671" s="25">
        <f>Inventory[[#This Row],[Nbhd Adj]]*0.95</f>
        <v>0.94971499999999998</v>
      </c>
      <c r="BM1671" s="25">
        <f>Inventory[[#This Row],[Nbhd Adj]]*Inventory[[#This Row],[Quality Adj]]*Inventory[[#This Row],[Condition Adj]]*Inventory[[#This Row],[Living Area Adj]]*Inventory[[#This Row],[Decade Adj]]*0.95</f>
        <v>1.1058535866723294</v>
      </c>
      <c r="BN1671" s="25">
        <f>ROUND(SUM(Inventory[[#This Row],[Mdl Qlty]:[Mdl WdDeck]])+Inventory[[#This Row],[Mdl Res Intercept]]*Inventory[[#This Row],[Res Adj ]],-2)</f>
        <v>515800</v>
      </c>
      <c r="BO1671" s="25">
        <f>ROUND(Inventory[[#This Row],[25Det]]*Inventory[[#This Row],[Det/Nbhd Adj]],-2)</f>
        <v>0</v>
      </c>
      <c r="BP1671" s="25">
        <f>Inventory[[#This Row],[Adjusted Res]]+Inventory[[#This Row],[Adj Det ]]</f>
        <v>515800</v>
      </c>
      <c r="BQ1671" s="25">
        <f>ROUND((Inventory[[#This Row],[Mdl Land Intercept]]+Inventory[[#This Row],[Mdl LnAcres]])*Inventory[[#This Row],[Det/Nbhd Adj]],-2)</f>
        <v>44800</v>
      </c>
      <c r="BR1671" s="25">
        <f>Inventory[[#This Row],[Adjusted Impr Total]]+Inventory[[#This Row],[Adjusted Land Total]]</f>
        <v>560600</v>
      </c>
      <c r="BS1671" s="36">
        <f>IFERROR((Inventory[[#This Row],[Adjusted Impr Total]]-Inventory[[#This Row],[24Bldg]])/Inventory[[#This Row],[24Bldg]],0)</f>
        <v>0.56066565809379731</v>
      </c>
      <c r="BT1671" s="36">
        <f>(Inventory[[#This Row],[Adjusted Land Total]]-Inventory[[#This Row],[24Lnd]])/Inventory[[#This Row],[24Lnd]]</f>
        <v>-0.33727810650887574</v>
      </c>
      <c r="BU1671" s="36">
        <f>(Inventory[[#This Row],[Adjusted Total]]-Inventory[[#This Row],[24Final]])/Inventory[[#This Row],[24Final]]</f>
        <v>0.40818889726199448</v>
      </c>
    </row>
    <row r="1672" spans="1:73" x14ac:dyDescent="0.3">
      <c r="A1672" s="25">
        <v>2025</v>
      </c>
      <c r="B1672" s="26" t="s">
        <v>913</v>
      </c>
      <c r="C1672" s="26">
        <f>LN(Inventory[[#This Row],[Acres]])</f>
        <v>-0.82098055206983023</v>
      </c>
      <c r="D1672" s="25">
        <v>0.44</v>
      </c>
      <c r="E1672" s="25">
        <v>18993</v>
      </c>
      <c r="F1672" s="26" t="s">
        <v>537</v>
      </c>
      <c r="G1672" s="26" t="s">
        <v>126</v>
      </c>
      <c r="H1672" s="26" t="s">
        <v>349</v>
      </c>
      <c r="I1672" s="26" t="s">
        <v>538</v>
      </c>
      <c r="J1672" s="26" t="s">
        <v>539</v>
      </c>
      <c r="K1672" s="26" t="s">
        <v>173</v>
      </c>
      <c r="L1672" s="26" t="s">
        <v>148</v>
      </c>
      <c r="M1672" s="26" t="s">
        <v>96</v>
      </c>
      <c r="N1672" s="26">
        <v>100</v>
      </c>
      <c r="O1672" s="26">
        <f>2024-Inventory[[#This Row],[YrBlt]]</f>
        <v>94</v>
      </c>
      <c r="P1672" s="26">
        <f>2024-Inventory[[#This Row],[EffYr]]</f>
        <v>54</v>
      </c>
      <c r="Q1672" s="25">
        <v>1930</v>
      </c>
      <c r="R1672" s="25">
        <v>1970</v>
      </c>
      <c r="S1672" s="25">
        <v>1326</v>
      </c>
      <c r="T1672" s="32">
        <v>1614</v>
      </c>
      <c r="U1672" s="31"/>
      <c r="V1672" s="31">
        <f>Inventory[[#This Row],[Bsmt]]-Inventory[[#This Row],[FnBsmt]]</f>
        <v>0</v>
      </c>
      <c r="W1672" s="31"/>
      <c r="X1672" s="27"/>
      <c r="Y1672" s="27">
        <f>Inventory[[#This Row],[MainFn]]+Inventory[[#This Row],[UpprFn]]+Inventory[[#This Row],[FnBsmt]]+Inventory[[#This Row],[AddFn]]</f>
        <v>2940</v>
      </c>
      <c r="Z1672" s="27">
        <v>3000</v>
      </c>
      <c r="AA1672" s="25">
        <v>14</v>
      </c>
      <c r="AB1672" s="27"/>
      <c r="AC1672" s="27"/>
      <c r="AD1672" s="32">
        <v>160</v>
      </c>
      <c r="AE1672" s="27"/>
      <c r="AF1672" s="27"/>
      <c r="AG1672" s="27"/>
      <c r="AH1672" s="27"/>
      <c r="AI1672" s="25">
        <v>595899</v>
      </c>
      <c r="AJ1672" s="25">
        <v>423088</v>
      </c>
      <c r="AK1672" s="25">
        <v>48468</v>
      </c>
      <c r="AL1672" s="25">
        <v>494400</v>
      </c>
      <c r="AM1672" s="25">
        <v>85900</v>
      </c>
      <c r="AN1672" s="25">
        <v>408500</v>
      </c>
      <c r="AO1672" s="25">
        <v>0</v>
      </c>
      <c r="AP1672" s="25">
        <f>Lookups!$B$56*0</f>
        <v>0</v>
      </c>
      <c r="AQ1672" s="25">
        <f>Lookups!$B$56*1</f>
        <v>89850.625589999996</v>
      </c>
      <c r="AR1672" s="25">
        <f>Lookups!$B$57*Inventory[[#This Row],[LnAcres]]</f>
        <v>-25987.823906604521</v>
      </c>
      <c r="AS1672" s="25">
        <f>VLOOKUP(Inventory[[#This Row],[Qlty]],Lookups!$A$62:$E$75,2,FALSE)</f>
        <v>44121.038090000002</v>
      </c>
      <c r="AT1672" s="25">
        <f>VLOOKUP(Inventory[[#This Row],[Cnd]],Lookups!$A$76:$E$84,2,FALSE)</f>
        <v>354070.39217000001</v>
      </c>
      <c r="AU1672" s="25">
        <f>Inventory[[#This Row],[EffAge]]*Lookups!$B$85</f>
        <v>-12044.462427</v>
      </c>
      <c r="AV1672" s="25">
        <f>Inventory[[#This Row],[MainFn]]*Lookups!$B$86</f>
        <v>65515.896256902</v>
      </c>
      <c r="AW1672" s="25">
        <f>Inventory[[#This Row],[UpprFn]]*Lookups!$B$87</f>
        <v>72285.286497654</v>
      </c>
      <c r="AX1672" s="25">
        <f>Inventory[[#This Row],[AddFn]]*Lookups!$B$88</f>
        <v>0</v>
      </c>
      <c r="AY1672" s="25">
        <f>Inventory[[#This Row],[Bsmt]]*Lookups!$B$89</f>
        <v>0</v>
      </c>
      <c r="AZ1672" s="25">
        <f>Inventory[[#This Row],[Fixtures]]*Lookups!$B$90</f>
        <v>53088.3094728</v>
      </c>
      <c r="BA1672" s="25">
        <f>Inventory[[#This Row],[WdDeck]]*Lookups!$B$91</f>
        <v>5327.2824441600005</v>
      </c>
      <c r="BB1672" s="25">
        <f>ROUND(Inventory[[#This Row],[25Det]],-2)</f>
        <v>48500</v>
      </c>
      <c r="BC1672" s="25">
        <f>ROUND(SUM(Inventory[[#This Row],[Mdl Qlty]:[Mdl WdDeck]])+Inventory[[#This Row],[Mdl Res Intercept]],-2)</f>
        <v>582400</v>
      </c>
      <c r="BD1672" s="25">
        <f>ROUND(Inventory[[#This Row],[Mdl Land Intercept]]+Inventory[[#This Row],[Mdl LnAcres]],-2)</f>
        <v>63900</v>
      </c>
      <c r="BE1672" s="25">
        <f>Inventory[[#This Row],[Unadj Res Value]]+Inventory[[#This Row],[Unadj Det Value]]+Inventory[[#This Row],[Unadj Land Value]]</f>
        <v>694800</v>
      </c>
      <c r="BF1672" s="36">
        <f>(Inventory[[#This Row],[Unadj Total Value]]-Inventory[[#This Row],[24Final]])/Inventory[[#This Row],[24Final]]</f>
        <v>0.4053398058252427</v>
      </c>
      <c r="BG1672" s="25">
        <f>VLOOKUP(Inventory[[#This Row],[Nbhd]],Lookups!$Q$2:$T$4,4,FALSE)</f>
        <v>0.99970000000000003</v>
      </c>
      <c r="BH1672" s="25">
        <f>VLOOKUP(Inventory[[#This Row],[Qlty]],Lookups!$O$7:$R$21,4,FALSE)</f>
        <v>0.98050000000000004</v>
      </c>
      <c r="BI1672" s="25">
        <f>VLOOKUP(Inventory[[#This Row],[Cnd]],Lookups!$T$7:$W$16,4,FALSE)</f>
        <v>1.1303000000000001</v>
      </c>
      <c r="BJ1672" s="25">
        <f>VLOOKUP(Inventory[[#This Row],[LivArea Range]],Lookups!$T$25:$W$37,4,FALSE)</f>
        <v>0.96179999999999999</v>
      </c>
      <c r="BK1672" s="25">
        <f>VLOOKUP(Inventory[[#This Row],[Decade]],Lookups!$O$25:$R$42,4,FALSE)</f>
        <v>1.0074000000000001</v>
      </c>
      <c r="BL1672" s="25">
        <f>Inventory[[#This Row],[Nbhd Adj]]*0.95</f>
        <v>0.94971499999999998</v>
      </c>
      <c r="BM1672" s="25">
        <f>Inventory[[#This Row],[Nbhd Adj]]*Inventory[[#This Row],[Quality Adj]]*Inventory[[#This Row],[Condition Adj]]*Inventory[[#This Row],[Living Area Adj]]*Inventory[[#This Row],[Decade Adj]]*0.95</f>
        <v>1.0198148749359415</v>
      </c>
      <c r="BN1672" s="25">
        <f>ROUND(SUM(Inventory[[#This Row],[Mdl Qlty]:[Mdl WdDeck]])+Inventory[[#This Row],[Mdl Res Intercept]]*Inventory[[#This Row],[Res Adj ]],-2)</f>
        <v>582400</v>
      </c>
      <c r="BO1672" s="25">
        <f>ROUND(Inventory[[#This Row],[25Det]]*Inventory[[#This Row],[Det/Nbhd Adj]],-2)</f>
        <v>46000</v>
      </c>
      <c r="BP1672" s="25">
        <f>Inventory[[#This Row],[Adjusted Res]]+Inventory[[#This Row],[Adj Det ]]</f>
        <v>628400</v>
      </c>
      <c r="BQ1672" s="25">
        <f>ROUND((Inventory[[#This Row],[Mdl Land Intercept]]+Inventory[[#This Row],[Mdl LnAcres]])*Inventory[[#This Row],[Det/Nbhd Adj]],-2)</f>
        <v>60700</v>
      </c>
      <c r="BR1672" s="25">
        <f>Inventory[[#This Row],[Adjusted Impr Total]]+Inventory[[#This Row],[Adjusted Land Total]]</f>
        <v>689100</v>
      </c>
      <c r="BS1672" s="36">
        <f>IFERROR((Inventory[[#This Row],[Adjusted Impr Total]]-Inventory[[#This Row],[24Bldg]])/Inventory[[#This Row],[24Bldg]],0)</f>
        <v>0.53831089351285188</v>
      </c>
      <c r="BT1672" s="36">
        <f>(Inventory[[#This Row],[Adjusted Land Total]]-Inventory[[#This Row],[24Lnd]])/Inventory[[#This Row],[24Lnd]]</f>
        <v>-0.29336437718277064</v>
      </c>
      <c r="BU1672" s="36">
        <f>(Inventory[[#This Row],[Adjusted Total]]-Inventory[[#This Row],[24Final]])/Inventory[[#This Row],[24Final]]</f>
        <v>0.3938106796116505</v>
      </c>
    </row>
    <row r="1673" spans="1:73" x14ac:dyDescent="0.3">
      <c r="A1673" s="25">
        <v>2025</v>
      </c>
      <c r="B1673" s="26" t="s">
        <v>2514</v>
      </c>
      <c r="C1673" s="26">
        <f>LN(Inventory[[#This Row],[Acres]])</f>
        <v>-1.5606477482646683</v>
      </c>
      <c r="D1673" s="25">
        <v>0.21</v>
      </c>
      <c r="E1673" s="25">
        <v>9297</v>
      </c>
      <c r="F1673" s="26" t="s">
        <v>537</v>
      </c>
      <c r="G1673" s="26" t="s">
        <v>126</v>
      </c>
      <c r="H1673" s="26" t="s">
        <v>349</v>
      </c>
      <c r="I1673" s="26" t="s">
        <v>538</v>
      </c>
      <c r="J1673" s="26" t="s">
        <v>539</v>
      </c>
      <c r="K1673" s="26" t="s">
        <v>173</v>
      </c>
      <c r="L1673" s="26" t="s">
        <v>351</v>
      </c>
      <c r="M1673" s="26" t="s">
        <v>352</v>
      </c>
      <c r="N1673" s="26">
        <v>100</v>
      </c>
      <c r="O1673" s="26">
        <f>2024-Inventory[[#This Row],[YrBlt]]</f>
        <v>94</v>
      </c>
      <c r="P1673" s="26">
        <f>2024-Inventory[[#This Row],[EffYr]]</f>
        <v>34</v>
      </c>
      <c r="Q1673" s="25">
        <v>1930</v>
      </c>
      <c r="R1673" s="25">
        <v>1990</v>
      </c>
      <c r="S1673" s="25">
        <v>827</v>
      </c>
      <c r="T1673" s="32">
        <v>349</v>
      </c>
      <c r="U1673" s="25">
        <v>402</v>
      </c>
      <c r="V1673" s="25">
        <f>Inventory[[#This Row],[Bsmt]]-Inventory[[#This Row],[FnBsmt]]</f>
        <v>402</v>
      </c>
      <c r="W1673" s="31"/>
      <c r="X1673" s="27"/>
      <c r="Y1673" s="27">
        <f>Inventory[[#This Row],[MainFn]]+Inventory[[#This Row],[UpprFn]]+Inventory[[#This Row],[FnBsmt]]+Inventory[[#This Row],[AddFn]]</f>
        <v>1176</v>
      </c>
      <c r="Z1673" s="27">
        <v>1500</v>
      </c>
      <c r="AA1673" s="25">
        <v>8</v>
      </c>
      <c r="AB1673" s="31"/>
      <c r="AC1673" s="27"/>
      <c r="AD1673" s="32">
        <v>359</v>
      </c>
      <c r="AE1673" s="27"/>
      <c r="AF1673" s="27"/>
      <c r="AG1673" s="27"/>
      <c r="AH1673" s="27"/>
      <c r="AI1673" s="25">
        <v>207371</v>
      </c>
      <c r="AJ1673" s="25">
        <v>178339</v>
      </c>
      <c r="AK1673" s="25">
        <v>20114</v>
      </c>
      <c r="AL1673" s="25">
        <v>362000</v>
      </c>
      <c r="AM1673" s="25">
        <v>60100</v>
      </c>
      <c r="AN1673" s="25">
        <v>301900</v>
      </c>
      <c r="AO1673" s="25">
        <v>0</v>
      </c>
      <c r="AP1673" s="25">
        <f>Lookups!$B$56*0</f>
        <v>0</v>
      </c>
      <c r="AQ1673" s="25">
        <f>Lookups!$B$56*1</f>
        <v>89850.625589999996</v>
      </c>
      <c r="AR1673" s="25">
        <f>Lookups!$B$57*Inventory[[#This Row],[LnAcres]]</f>
        <v>-49401.70477837498</v>
      </c>
      <c r="AS1673" s="25">
        <f>VLOOKUP(Inventory[[#This Row],[Qlty]],Lookups!$A$62:$E$75,2,FALSE)</f>
        <v>21557.329055999999</v>
      </c>
      <c r="AT1673" s="25">
        <f>VLOOKUP(Inventory[[#This Row],[Cnd]],Lookups!$A$76:$E$84,2,FALSE)</f>
        <v>284810.60806</v>
      </c>
      <c r="AU1673" s="25">
        <f>Inventory[[#This Row],[EffAge]]*Lookups!$B$85</f>
        <v>-7583.5504170000004</v>
      </c>
      <c r="AV1673" s="25">
        <f>Inventory[[#This Row],[MainFn]]*Lookups!$B$86</f>
        <v>40860.969988279001</v>
      </c>
      <c r="AW1673" s="25">
        <f>Inventory[[#This Row],[UpprFn]]*Lookups!$B$87</f>
        <v>15630.461578488999</v>
      </c>
      <c r="AX1673" s="25">
        <f>Inventory[[#This Row],[AddFn]]*Lookups!$B$88</f>
        <v>0</v>
      </c>
      <c r="AY1673" s="25">
        <f>Inventory[[#This Row],[Bsmt]]*Lookups!$B$89</f>
        <v>11690.921889293999</v>
      </c>
      <c r="AZ1673" s="25">
        <f>Inventory[[#This Row],[Fixtures]]*Lookups!$B$90</f>
        <v>30336.176841600001</v>
      </c>
      <c r="BA1673" s="25">
        <f>Inventory[[#This Row],[WdDeck]]*Lookups!$B$91</f>
        <v>11953.089984084001</v>
      </c>
      <c r="BB1673" s="25">
        <f>ROUND(Inventory[[#This Row],[25Det]],-2)</f>
        <v>20100</v>
      </c>
      <c r="BC1673" s="25">
        <f>ROUND(SUM(Inventory[[#This Row],[Mdl Qlty]:[Mdl WdDeck]])+Inventory[[#This Row],[Mdl Res Intercept]],-2)</f>
        <v>409300</v>
      </c>
      <c r="BD1673" s="25">
        <f>ROUND(Inventory[[#This Row],[Mdl Land Intercept]]+Inventory[[#This Row],[Mdl LnAcres]],-2)</f>
        <v>40400</v>
      </c>
      <c r="BE1673" s="25">
        <f>Inventory[[#This Row],[Unadj Res Value]]+Inventory[[#This Row],[Unadj Det Value]]+Inventory[[#This Row],[Unadj Land Value]]</f>
        <v>469800</v>
      </c>
      <c r="BF1673" s="36">
        <f>(Inventory[[#This Row],[Unadj Total Value]]-Inventory[[#This Row],[24Final]])/Inventory[[#This Row],[24Final]]</f>
        <v>0.29779005524861879</v>
      </c>
      <c r="BG1673" s="25">
        <f>VLOOKUP(Inventory[[#This Row],[Nbhd]],Lookups!$Q$2:$T$4,4,FALSE)</f>
        <v>0.99970000000000003</v>
      </c>
      <c r="BH1673" s="25">
        <f>VLOOKUP(Inventory[[#This Row],[Qlty]],Lookups!$O$7:$R$21,4,FALSE)</f>
        <v>1.0067999999999999</v>
      </c>
      <c r="BI1673" s="25">
        <f>VLOOKUP(Inventory[[#This Row],[Cnd]],Lookups!$T$7:$W$16,4,FALSE)</f>
        <v>1.0158</v>
      </c>
      <c r="BJ1673" s="25">
        <f>VLOOKUP(Inventory[[#This Row],[LivArea Range]],Lookups!$T$25:$W$37,4,FALSE)</f>
        <v>1.0157</v>
      </c>
      <c r="BK1673" s="25">
        <f>VLOOKUP(Inventory[[#This Row],[Decade]],Lookups!$O$25:$R$42,4,FALSE)</f>
        <v>1.0074000000000001</v>
      </c>
      <c r="BL1673" s="25">
        <f>Inventory[[#This Row],[Nbhd Adj]]*0.95</f>
        <v>0.94971499999999998</v>
      </c>
      <c r="BM1673" s="25">
        <f>Inventory[[#This Row],[Nbhd Adj]]*Inventory[[#This Row],[Quality Adj]]*Inventory[[#This Row],[Condition Adj]]*Inventory[[#This Row],[Living Area Adj]]*Inventory[[#This Row],[Decade Adj]]*0.95</f>
        <v>0.99383002153565636</v>
      </c>
      <c r="BN1673" s="25">
        <f>ROUND(SUM(Inventory[[#This Row],[Mdl Qlty]:[Mdl WdDeck]])+Inventory[[#This Row],[Mdl Res Intercept]]*Inventory[[#This Row],[Res Adj ]],-2)</f>
        <v>409300</v>
      </c>
      <c r="BO1673" s="25">
        <f>ROUND(Inventory[[#This Row],[25Det]]*Inventory[[#This Row],[Det/Nbhd Adj]],-2)</f>
        <v>19100</v>
      </c>
      <c r="BP1673" s="25">
        <f>Inventory[[#This Row],[Adjusted Res]]+Inventory[[#This Row],[Adj Det ]]</f>
        <v>428400</v>
      </c>
      <c r="BQ1673" s="25">
        <f>ROUND((Inventory[[#This Row],[Mdl Land Intercept]]+Inventory[[#This Row],[Mdl LnAcres]])*Inventory[[#This Row],[Det/Nbhd Adj]],-2)</f>
        <v>38400</v>
      </c>
      <c r="BR1673" s="25">
        <f>Inventory[[#This Row],[Adjusted Impr Total]]+Inventory[[#This Row],[Adjusted Land Total]]</f>
        <v>466800</v>
      </c>
      <c r="BS1673" s="36">
        <f>IFERROR((Inventory[[#This Row],[Adjusted Impr Total]]-Inventory[[#This Row],[24Bldg]])/Inventory[[#This Row],[24Bldg]],0)</f>
        <v>0.41901291818482939</v>
      </c>
      <c r="BT1673" s="36">
        <f>(Inventory[[#This Row],[Adjusted Land Total]]-Inventory[[#This Row],[24Lnd]])/Inventory[[#This Row],[24Lnd]]</f>
        <v>-0.36106489184692181</v>
      </c>
      <c r="BU1673" s="36">
        <f>(Inventory[[#This Row],[Adjusted Total]]-Inventory[[#This Row],[24Final]])/Inventory[[#This Row],[24Final]]</f>
        <v>0.28950276243093925</v>
      </c>
    </row>
    <row r="1674" spans="1:73" x14ac:dyDescent="0.3">
      <c r="A1674" s="25">
        <v>2025</v>
      </c>
      <c r="B1674" s="26" t="s">
        <v>2392</v>
      </c>
      <c r="C1674" s="26">
        <f>LN(Inventory[[#This Row],[Acres]])</f>
        <v>-1.8325814637483102</v>
      </c>
      <c r="D1674" s="25">
        <v>0.16</v>
      </c>
      <c r="E1674" s="25">
        <v>7150</v>
      </c>
      <c r="F1674" s="26" t="s">
        <v>537</v>
      </c>
      <c r="G1674" s="26" t="s">
        <v>126</v>
      </c>
      <c r="H1674" s="26" t="s">
        <v>349</v>
      </c>
      <c r="I1674" s="26" t="s">
        <v>538</v>
      </c>
      <c r="J1674" s="26" t="s">
        <v>539</v>
      </c>
      <c r="K1674" s="26" t="s">
        <v>269</v>
      </c>
      <c r="L1674" s="26" t="s">
        <v>148</v>
      </c>
      <c r="M1674" s="26" t="s">
        <v>352</v>
      </c>
      <c r="N1674" s="26">
        <v>100</v>
      </c>
      <c r="O1674" s="26">
        <f>2024-Inventory[[#This Row],[YrBlt]]</f>
        <v>94</v>
      </c>
      <c r="P1674" s="26">
        <f>2024-Inventory[[#This Row],[EffYr]]</f>
        <v>54</v>
      </c>
      <c r="Q1674" s="25">
        <v>1930</v>
      </c>
      <c r="R1674" s="25">
        <v>1970</v>
      </c>
      <c r="S1674" s="25">
        <v>983</v>
      </c>
      <c r="T1674" s="27"/>
      <c r="U1674" s="32">
        <v>983</v>
      </c>
      <c r="V1674" s="32">
        <f>Inventory[[#This Row],[Bsmt]]-Inventory[[#This Row],[FnBsmt]]</f>
        <v>658</v>
      </c>
      <c r="W1674" s="32">
        <v>325</v>
      </c>
      <c r="X1674" s="31"/>
      <c r="Y1674" s="31">
        <f>Inventory[[#This Row],[MainFn]]+Inventory[[#This Row],[UpprFn]]+Inventory[[#This Row],[FnBsmt]]+Inventory[[#This Row],[AddFn]]</f>
        <v>1308</v>
      </c>
      <c r="Z1674" s="27">
        <v>1500</v>
      </c>
      <c r="AA1674" s="25">
        <v>8</v>
      </c>
      <c r="AB1674" s="31"/>
      <c r="AC1674" s="27"/>
      <c r="AD1674" s="32">
        <v>276</v>
      </c>
      <c r="AE1674" s="27"/>
      <c r="AF1674" s="27"/>
      <c r="AG1674" s="27"/>
      <c r="AH1674" s="27"/>
      <c r="AI1674" s="25">
        <v>293385</v>
      </c>
      <c r="AJ1674" s="25">
        <v>202436</v>
      </c>
      <c r="AK1674" s="25">
        <v>6227</v>
      </c>
      <c r="AL1674" s="25">
        <v>369100</v>
      </c>
      <c r="AM1674" s="25">
        <v>50600</v>
      </c>
      <c r="AN1674" s="25">
        <v>318500</v>
      </c>
      <c r="AO1674" s="25">
        <v>0</v>
      </c>
      <c r="AP1674" s="25">
        <f>Lookups!$B$56*0</f>
        <v>0</v>
      </c>
      <c r="AQ1674" s="25">
        <f>Lookups!$B$56*1</f>
        <v>89850.625589999996</v>
      </c>
      <c r="AR1674" s="25">
        <f>Lookups!$B$57*Inventory[[#This Row],[LnAcres]]</f>
        <v>-58009.662049032086</v>
      </c>
      <c r="AS1674" s="25">
        <f>VLOOKUP(Inventory[[#This Row],[Qlty]],Lookups!$A$62:$E$75,2,FALSE)</f>
        <v>44121.038090000002</v>
      </c>
      <c r="AT1674" s="25">
        <f>VLOOKUP(Inventory[[#This Row],[Cnd]],Lookups!$A$76:$E$84,2,FALSE)</f>
        <v>284810.60806</v>
      </c>
      <c r="AU1674" s="25">
        <f>Inventory[[#This Row],[EffAge]]*Lookups!$B$85</f>
        <v>-12044.462427</v>
      </c>
      <c r="AV1674" s="25">
        <f>Inventory[[#This Row],[MainFn]]*Lookups!$B$86</f>
        <v>48568.722489091</v>
      </c>
      <c r="AW1674" s="25">
        <f>Inventory[[#This Row],[UpprFn]]*Lookups!$B$87</f>
        <v>0</v>
      </c>
      <c r="AX1674" s="25">
        <f>Inventory[[#This Row],[AddFn]]*Lookups!$B$88</f>
        <v>0</v>
      </c>
      <c r="AY1674" s="25">
        <f>Inventory[[#This Row],[Bsmt]]*Lookups!$B$89</f>
        <v>28587.503027800998</v>
      </c>
      <c r="AZ1674" s="25">
        <f>Inventory[[#This Row],[Fixtures]]*Lookups!$B$90</f>
        <v>30336.176841600001</v>
      </c>
      <c r="BA1674" s="25">
        <f>Inventory[[#This Row],[WdDeck]]*Lookups!$B$91</f>
        <v>9189.5622161760002</v>
      </c>
      <c r="BB1674" s="25">
        <f>ROUND(Inventory[[#This Row],[25Det]],-2)</f>
        <v>6200</v>
      </c>
      <c r="BC1674" s="25">
        <f>ROUND(SUM(Inventory[[#This Row],[Mdl Qlty]:[Mdl WdDeck]])+Inventory[[#This Row],[Mdl Res Intercept]],-2)</f>
        <v>433600</v>
      </c>
      <c r="BD1674" s="25">
        <f>ROUND(Inventory[[#This Row],[Mdl Land Intercept]]+Inventory[[#This Row],[Mdl LnAcres]],-2)</f>
        <v>31800</v>
      </c>
      <c r="BE1674" s="25">
        <f>Inventory[[#This Row],[Unadj Res Value]]+Inventory[[#This Row],[Unadj Det Value]]+Inventory[[#This Row],[Unadj Land Value]]</f>
        <v>471600</v>
      </c>
      <c r="BF1674" s="36">
        <f>(Inventory[[#This Row],[Unadj Total Value]]-Inventory[[#This Row],[24Final]])/Inventory[[#This Row],[24Final]]</f>
        <v>0.27770251964237336</v>
      </c>
      <c r="BG1674" s="25">
        <f>VLOOKUP(Inventory[[#This Row],[Nbhd]],Lookups!$Q$2:$T$4,4,FALSE)</f>
        <v>0.99970000000000003</v>
      </c>
      <c r="BH1674" s="25">
        <f>VLOOKUP(Inventory[[#This Row],[Qlty]],Lookups!$O$7:$R$21,4,FALSE)</f>
        <v>0.98050000000000004</v>
      </c>
      <c r="BI1674" s="25">
        <f>VLOOKUP(Inventory[[#This Row],[Cnd]],Lookups!$T$7:$W$16,4,FALSE)</f>
        <v>1.0158</v>
      </c>
      <c r="BJ1674" s="25">
        <f>VLOOKUP(Inventory[[#This Row],[LivArea Range]],Lookups!$T$25:$W$37,4,FALSE)</f>
        <v>1.0157</v>
      </c>
      <c r="BK1674" s="25">
        <f>VLOOKUP(Inventory[[#This Row],[Decade]],Lookups!$O$25:$R$42,4,FALSE)</f>
        <v>1.0074000000000001</v>
      </c>
      <c r="BL1674" s="25">
        <f>Inventory[[#This Row],[Nbhd Adj]]*0.95</f>
        <v>0.94971499999999998</v>
      </c>
      <c r="BM1674" s="25">
        <f>Inventory[[#This Row],[Nbhd Adj]]*Inventory[[#This Row],[Quality Adj]]*Inventory[[#This Row],[Condition Adj]]*Inventory[[#This Row],[Living Area Adj]]*Inventory[[#This Row],[Decade Adj]]*0.95</f>
        <v>0.96786882808473473</v>
      </c>
      <c r="BN1674" s="25">
        <f>ROUND(SUM(Inventory[[#This Row],[Mdl Qlty]:[Mdl WdDeck]])+Inventory[[#This Row],[Mdl Res Intercept]]*Inventory[[#This Row],[Res Adj ]],-2)</f>
        <v>433600</v>
      </c>
      <c r="BO1674" s="25">
        <f>ROUND(Inventory[[#This Row],[25Det]]*Inventory[[#This Row],[Det/Nbhd Adj]],-2)</f>
        <v>5900</v>
      </c>
      <c r="BP1674" s="25">
        <f>Inventory[[#This Row],[Adjusted Res]]+Inventory[[#This Row],[Adj Det ]]</f>
        <v>439500</v>
      </c>
      <c r="BQ1674" s="25">
        <f>ROUND((Inventory[[#This Row],[Mdl Land Intercept]]+Inventory[[#This Row],[Mdl LnAcres]])*Inventory[[#This Row],[Det/Nbhd Adj]],-2)</f>
        <v>30200</v>
      </c>
      <c r="BR1674" s="25">
        <f>Inventory[[#This Row],[Adjusted Impr Total]]+Inventory[[#This Row],[Adjusted Land Total]]</f>
        <v>469700</v>
      </c>
      <c r="BS1674" s="36">
        <f>IFERROR((Inventory[[#This Row],[Adjusted Impr Total]]-Inventory[[#This Row],[24Bldg]])/Inventory[[#This Row],[24Bldg]],0)</f>
        <v>0.37990580847723704</v>
      </c>
      <c r="BT1674" s="36">
        <f>(Inventory[[#This Row],[Adjusted Land Total]]-Inventory[[#This Row],[24Lnd]])/Inventory[[#This Row],[24Lnd]]</f>
        <v>-0.40316205533596838</v>
      </c>
      <c r="BU1674" s="36">
        <f>(Inventory[[#This Row],[Adjusted Total]]-Inventory[[#This Row],[24Final]])/Inventory[[#This Row],[24Final]]</f>
        <v>0.27255486318070982</v>
      </c>
    </row>
    <row r="1675" spans="1:73" x14ac:dyDescent="0.3">
      <c r="A1675" s="25">
        <v>2025</v>
      </c>
      <c r="B1675" s="26" t="s">
        <v>2608</v>
      </c>
      <c r="C1675" s="26">
        <f>LN(Inventory[[#This Row],[Acres]])</f>
        <v>-1.7719568419318752</v>
      </c>
      <c r="D1675" s="25">
        <v>0.17</v>
      </c>
      <c r="E1675" s="25">
        <v>7348</v>
      </c>
      <c r="F1675" s="26" t="s">
        <v>537</v>
      </c>
      <c r="G1675" s="26" t="s">
        <v>126</v>
      </c>
      <c r="H1675" s="26" t="s">
        <v>349</v>
      </c>
      <c r="I1675" s="26" t="s">
        <v>538</v>
      </c>
      <c r="J1675" s="26" t="s">
        <v>539</v>
      </c>
      <c r="K1675" s="26" t="s">
        <v>269</v>
      </c>
      <c r="L1675" s="26" t="s">
        <v>351</v>
      </c>
      <c r="M1675" s="26" t="s">
        <v>352</v>
      </c>
      <c r="N1675" s="26">
        <v>100</v>
      </c>
      <c r="O1675" s="26">
        <f>2024-Inventory[[#This Row],[YrBlt]]</f>
        <v>94</v>
      </c>
      <c r="P1675" s="26">
        <f>2024-Inventory[[#This Row],[EffYr]]</f>
        <v>54</v>
      </c>
      <c r="Q1675" s="25">
        <v>1930</v>
      </c>
      <c r="R1675" s="25">
        <v>1970</v>
      </c>
      <c r="S1675" s="25">
        <v>1610</v>
      </c>
      <c r="T1675" s="27"/>
      <c r="U1675" s="31"/>
      <c r="V1675" s="31">
        <f>Inventory[[#This Row],[Bsmt]]-Inventory[[#This Row],[FnBsmt]]</f>
        <v>0</v>
      </c>
      <c r="W1675" s="31"/>
      <c r="X1675" s="27"/>
      <c r="Y1675" s="27">
        <f>Inventory[[#This Row],[MainFn]]+Inventory[[#This Row],[UpprFn]]+Inventory[[#This Row],[FnBsmt]]+Inventory[[#This Row],[AddFn]]</f>
        <v>1610</v>
      </c>
      <c r="Z1675" s="27">
        <v>2000</v>
      </c>
      <c r="AA1675" s="25">
        <v>9</v>
      </c>
      <c r="AB1675" s="27"/>
      <c r="AC1675" s="27"/>
      <c r="AD1675" s="32">
        <v>244</v>
      </c>
      <c r="AE1675" s="27"/>
      <c r="AF1675" s="27"/>
      <c r="AG1675" s="27"/>
      <c r="AH1675" s="27"/>
      <c r="AI1675" s="25">
        <v>264347</v>
      </c>
      <c r="AJ1675" s="25">
        <v>182399</v>
      </c>
      <c r="AK1675" s="25">
        <v>5261</v>
      </c>
      <c r="AL1675" s="25">
        <v>363100</v>
      </c>
      <c r="AM1675" s="25">
        <v>52700</v>
      </c>
      <c r="AN1675" s="25">
        <v>310400</v>
      </c>
      <c r="AO1675" s="25">
        <v>0</v>
      </c>
      <c r="AP1675" s="25">
        <f>Lookups!$B$56*0</f>
        <v>0</v>
      </c>
      <c r="AQ1675" s="25">
        <f>Lookups!$B$56*1</f>
        <v>89850.625589999996</v>
      </c>
      <c r="AR1675" s="25">
        <f>Lookups!$B$57*Inventory[[#This Row],[LnAcres]]</f>
        <v>-56090.612940989391</v>
      </c>
      <c r="AS1675" s="25">
        <f>VLOOKUP(Inventory[[#This Row],[Qlty]],Lookups!$A$62:$E$75,2,FALSE)</f>
        <v>21557.329055999999</v>
      </c>
      <c r="AT1675" s="25">
        <f>VLOOKUP(Inventory[[#This Row],[Cnd]],Lookups!$A$76:$E$84,2,FALSE)</f>
        <v>284810.60806</v>
      </c>
      <c r="AU1675" s="25">
        <f>Inventory[[#This Row],[EffAge]]*Lookups!$B$85</f>
        <v>-12044.462427</v>
      </c>
      <c r="AV1675" s="25">
        <f>Inventory[[#This Row],[MainFn]]*Lookups!$B$86</f>
        <v>79547.958501970003</v>
      </c>
      <c r="AW1675" s="25">
        <f>Inventory[[#This Row],[UpprFn]]*Lookups!$B$87</f>
        <v>0</v>
      </c>
      <c r="AX1675" s="25">
        <f>Inventory[[#This Row],[AddFn]]*Lookups!$B$88</f>
        <v>0</v>
      </c>
      <c r="AY1675" s="25">
        <f>Inventory[[#This Row],[Bsmt]]*Lookups!$B$89</f>
        <v>0</v>
      </c>
      <c r="AZ1675" s="25">
        <f>Inventory[[#This Row],[Fixtures]]*Lookups!$B$90</f>
        <v>34128.198946800003</v>
      </c>
      <c r="BA1675" s="25">
        <f>Inventory[[#This Row],[WdDeck]]*Lookups!$B$91</f>
        <v>8124.105727344001</v>
      </c>
      <c r="BB1675" s="25">
        <f>ROUND(Inventory[[#This Row],[25Det]],-2)</f>
        <v>5300</v>
      </c>
      <c r="BC1675" s="25">
        <f>ROUND(SUM(Inventory[[#This Row],[Mdl Qlty]:[Mdl WdDeck]])+Inventory[[#This Row],[Mdl Res Intercept]],-2)</f>
        <v>416100</v>
      </c>
      <c r="BD1675" s="25">
        <f>ROUND(Inventory[[#This Row],[Mdl Land Intercept]]+Inventory[[#This Row],[Mdl LnAcres]],-2)</f>
        <v>33800</v>
      </c>
      <c r="BE1675" s="25">
        <f>Inventory[[#This Row],[Unadj Res Value]]+Inventory[[#This Row],[Unadj Det Value]]+Inventory[[#This Row],[Unadj Land Value]]</f>
        <v>455200</v>
      </c>
      <c r="BF1675" s="36">
        <f>(Inventory[[#This Row],[Unadj Total Value]]-Inventory[[#This Row],[24Final]])/Inventory[[#This Row],[24Final]]</f>
        <v>0.25364913247039383</v>
      </c>
      <c r="BG1675" s="25">
        <f>VLOOKUP(Inventory[[#This Row],[Nbhd]],Lookups!$Q$2:$T$4,4,FALSE)</f>
        <v>0.99970000000000003</v>
      </c>
      <c r="BH1675" s="25">
        <f>VLOOKUP(Inventory[[#This Row],[Qlty]],Lookups!$O$7:$R$21,4,FALSE)</f>
        <v>1.0067999999999999</v>
      </c>
      <c r="BI1675" s="25">
        <f>VLOOKUP(Inventory[[#This Row],[Cnd]],Lookups!$T$7:$W$16,4,FALSE)</f>
        <v>1.0158</v>
      </c>
      <c r="BJ1675" s="25">
        <f>VLOOKUP(Inventory[[#This Row],[LivArea Range]],Lookups!$T$25:$W$37,4,FALSE)</f>
        <v>1.0093000000000001</v>
      </c>
      <c r="BK1675" s="25">
        <f>VLOOKUP(Inventory[[#This Row],[Decade]],Lookups!$O$25:$R$42,4,FALSE)</f>
        <v>1.0074000000000001</v>
      </c>
      <c r="BL1675" s="25">
        <f>Inventory[[#This Row],[Nbhd Adj]]*0.95</f>
        <v>0.94971499999999998</v>
      </c>
      <c r="BM1675" s="25">
        <f>Inventory[[#This Row],[Nbhd Adj]]*Inventory[[#This Row],[Quality Adj]]*Inventory[[#This Row],[Condition Adj]]*Inventory[[#This Row],[Living Area Adj]]*Inventory[[#This Row],[Decade Adj]]*0.95</f>
        <v>0.9875678258697822</v>
      </c>
      <c r="BN1675" s="25">
        <f>ROUND(SUM(Inventory[[#This Row],[Mdl Qlty]:[Mdl WdDeck]])+Inventory[[#This Row],[Mdl Res Intercept]]*Inventory[[#This Row],[Res Adj ]],-2)</f>
        <v>416100</v>
      </c>
      <c r="BO1675" s="25">
        <f>ROUND(Inventory[[#This Row],[25Det]]*Inventory[[#This Row],[Det/Nbhd Adj]],-2)</f>
        <v>5000</v>
      </c>
      <c r="BP1675" s="25">
        <f>Inventory[[#This Row],[Adjusted Res]]+Inventory[[#This Row],[Adj Det ]]</f>
        <v>421100</v>
      </c>
      <c r="BQ1675" s="25">
        <f>ROUND((Inventory[[#This Row],[Mdl Land Intercept]]+Inventory[[#This Row],[Mdl LnAcres]])*Inventory[[#This Row],[Det/Nbhd Adj]],-2)</f>
        <v>32100</v>
      </c>
      <c r="BR1675" s="25">
        <f>Inventory[[#This Row],[Adjusted Impr Total]]+Inventory[[#This Row],[Adjusted Land Total]]</f>
        <v>453200</v>
      </c>
      <c r="BS1675" s="36">
        <f>IFERROR((Inventory[[#This Row],[Adjusted Impr Total]]-Inventory[[#This Row],[24Bldg]])/Inventory[[#This Row],[24Bldg]],0)</f>
        <v>0.35663659793814434</v>
      </c>
      <c r="BT1675" s="36">
        <f>(Inventory[[#This Row],[Adjusted Land Total]]-Inventory[[#This Row],[24Lnd]])/Inventory[[#This Row],[24Lnd]]</f>
        <v>-0.39089184060721061</v>
      </c>
      <c r="BU1675" s="36">
        <f>(Inventory[[#This Row],[Adjusted Total]]-Inventory[[#This Row],[24Final]])/Inventory[[#This Row],[24Final]]</f>
        <v>0.24814100798678049</v>
      </c>
    </row>
    <row r="1676" spans="1:73" x14ac:dyDescent="0.3">
      <c r="A1676" s="25">
        <v>2025</v>
      </c>
      <c r="B1676" s="26" t="s">
        <v>2421</v>
      </c>
      <c r="C1676" s="26">
        <f>LN(Inventory[[#This Row],[Acres]])</f>
        <v>-1.8971199848858813</v>
      </c>
      <c r="D1676" s="25">
        <v>0.15</v>
      </c>
      <c r="E1676" s="25">
        <v>6500</v>
      </c>
      <c r="F1676" s="26" t="s">
        <v>537</v>
      </c>
      <c r="G1676" s="26" t="s">
        <v>126</v>
      </c>
      <c r="H1676" s="26" t="s">
        <v>349</v>
      </c>
      <c r="I1676" s="26" t="s">
        <v>538</v>
      </c>
      <c r="J1676" s="26" t="s">
        <v>539</v>
      </c>
      <c r="K1676" s="26" t="s">
        <v>269</v>
      </c>
      <c r="L1676" s="26" t="s">
        <v>351</v>
      </c>
      <c r="M1676" s="26" t="s">
        <v>352</v>
      </c>
      <c r="N1676" s="26">
        <v>100</v>
      </c>
      <c r="O1676" s="26">
        <f>2024-Inventory[[#This Row],[YrBlt]]</f>
        <v>94</v>
      </c>
      <c r="P1676" s="26">
        <f>2024-Inventory[[#This Row],[EffYr]]</f>
        <v>54</v>
      </c>
      <c r="Q1676" s="25">
        <v>1930</v>
      </c>
      <c r="R1676" s="25">
        <v>1970</v>
      </c>
      <c r="S1676" s="25">
        <v>1032</v>
      </c>
      <c r="T1676" s="32">
        <v>360</v>
      </c>
      <c r="U1676" s="25">
        <v>900</v>
      </c>
      <c r="V1676" s="25">
        <f>Inventory[[#This Row],[Bsmt]]-Inventory[[#This Row],[FnBsmt]]</f>
        <v>450</v>
      </c>
      <c r="W1676" s="25">
        <v>450</v>
      </c>
      <c r="X1676" s="27"/>
      <c r="Y1676" s="27">
        <f>Inventory[[#This Row],[MainFn]]+Inventory[[#This Row],[UpprFn]]+Inventory[[#This Row],[FnBsmt]]+Inventory[[#This Row],[AddFn]]</f>
        <v>1842</v>
      </c>
      <c r="Z1676" s="27">
        <v>2000</v>
      </c>
      <c r="AA1676" s="25">
        <v>9</v>
      </c>
      <c r="AB1676" s="27"/>
      <c r="AC1676" s="27"/>
      <c r="AD1676" s="31"/>
      <c r="AE1676" s="27"/>
      <c r="AF1676" s="27"/>
      <c r="AG1676" s="27"/>
      <c r="AH1676" s="27"/>
      <c r="AI1676" s="25">
        <v>274627</v>
      </c>
      <c r="AJ1676" s="25">
        <v>189493</v>
      </c>
      <c r="AK1676" s="25">
        <v>1058</v>
      </c>
      <c r="AL1676" s="25">
        <v>367800</v>
      </c>
      <c r="AM1676" s="25">
        <v>48400</v>
      </c>
      <c r="AN1676" s="25">
        <v>319400</v>
      </c>
      <c r="AO1676" s="25">
        <v>0</v>
      </c>
      <c r="AP1676" s="25">
        <f>Lookups!$B$56*0</f>
        <v>0</v>
      </c>
      <c r="AQ1676" s="25">
        <f>Lookups!$B$56*1</f>
        <v>89850.625589999996</v>
      </c>
      <c r="AR1676" s="25">
        <f>Lookups!$B$57*Inventory[[#This Row],[LnAcres]]</f>
        <v>-60052.604136134301</v>
      </c>
      <c r="AS1676" s="25">
        <f>VLOOKUP(Inventory[[#This Row],[Qlty]],Lookups!$A$62:$E$75,2,FALSE)</f>
        <v>21557.329055999999</v>
      </c>
      <c r="AT1676" s="25">
        <f>VLOOKUP(Inventory[[#This Row],[Cnd]],Lookups!$A$76:$E$84,2,FALSE)</f>
        <v>284810.60806</v>
      </c>
      <c r="AU1676" s="25">
        <f>Inventory[[#This Row],[EffAge]]*Lookups!$B$85</f>
        <v>-12044.462427</v>
      </c>
      <c r="AV1676" s="25">
        <f>Inventory[[#This Row],[MainFn]]*Lookups!$B$86</f>
        <v>50989.747313063999</v>
      </c>
      <c r="AW1676" s="25">
        <f>Inventory[[#This Row],[UpprFn]]*Lookups!$B$87</f>
        <v>16123.112229959999</v>
      </c>
      <c r="AX1676" s="25">
        <f>Inventory[[#This Row],[AddFn]]*Lookups!$B$88</f>
        <v>0</v>
      </c>
      <c r="AY1676" s="25">
        <f>Inventory[[#This Row],[Bsmt]]*Lookups!$B$89</f>
        <v>26173.705722299997</v>
      </c>
      <c r="AZ1676" s="25">
        <f>Inventory[[#This Row],[Fixtures]]*Lookups!$B$90</f>
        <v>34128.198946800003</v>
      </c>
      <c r="BA1676" s="25">
        <f>Inventory[[#This Row],[WdDeck]]*Lookups!$B$91</f>
        <v>0</v>
      </c>
      <c r="BB1676" s="25">
        <f>ROUND(Inventory[[#This Row],[25Det]],-2)</f>
        <v>1100</v>
      </c>
      <c r="BC1676" s="25">
        <f>ROUND(SUM(Inventory[[#This Row],[Mdl Qlty]:[Mdl WdDeck]])+Inventory[[#This Row],[Mdl Res Intercept]],-2)</f>
        <v>421700</v>
      </c>
      <c r="BD1676" s="25">
        <f>ROUND(Inventory[[#This Row],[Mdl Land Intercept]]+Inventory[[#This Row],[Mdl LnAcres]],-2)</f>
        <v>29800</v>
      </c>
      <c r="BE1676" s="25">
        <f>Inventory[[#This Row],[Unadj Res Value]]+Inventory[[#This Row],[Unadj Det Value]]+Inventory[[#This Row],[Unadj Land Value]]</f>
        <v>452600</v>
      </c>
      <c r="BF1676" s="36">
        <f>(Inventory[[#This Row],[Unadj Total Value]]-Inventory[[#This Row],[24Final]])/Inventory[[#This Row],[24Final]]</f>
        <v>0.23056008700380642</v>
      </c>
      <c r="BG1676" s="25">
        <f>VLOOKUP(Inventory[[#This Row],[Nbhd]],Lookups!$Q$2:$T$4,4,FALSE)</f>
        <v>0.99970000000000003</v>
      </c>
      <c r="BH1676" s="25">
        <f>VLOOKUP(Inventory[[#This Row],[Qlty]],Lookups!$O$7:$R$21,4,FALSE)</f>
        <v>1.0067999999999999</v>
      </c>
      <c r="BI1676" s="25">
        <f>VLOOKUP(Inventory[[#This Row],[Cnd]],Lookups!$T$7:$W$16,4,FALSE)</f>
        <v>1.0158</v>
      </c>
      <c r="BJ1676" s="25">
        <f>VLOOKUP(Inventory[[#This Row],[LivArea Range]],Lookups!$T$25:$W$37,4,FALSE)</f>
        <v>1.0093000000000001</v>
      </c>
      <c r="BK1676" s="25">
        <f>VLOOKUP(Inventory[[#This Row],[Decade]],Lookups!$O$25:$R$42,4,FALSE)</f>
        <v>1.0074000000000001</v>
      </c>
      <c r="BL1676" s="25">
        <f>Inventory[[#This Row],[Nbhd Adj]]*0.95</f>
        <v>0.94971499999999998</v>
      </c>
      <c r="BM1676" s="25">
        <f>Inventory[[#This Row],[Nbhd Adj]]*Inventory[[#This Row],[Quality Adj]]*Inventory[[#This Row],[Condition Adj]]*Inventory[[#This Row],[Living Area Adj]]*Inventory[[#This Row],[Decade Adj]]*0.95</f>
        <v>0.9875678258697822</v>
      </c>
      <c r="BN1676" s="25">
        <f>ROUND(SUM(Inventory[[#This Row],[Mdl Qlty]:[Mdl WdDeck]])+Inventory[[#This Row],[Mdl Res Intercept]]*Inventory[[#This Row],[Res Adj ]],-2)</f>
        <v>421700</v>
      </c>
      <c r="BO1676" s="25">
        <f>ROUND(Inventory[[#This Row],[25Det]]*Inventory[[#This Row],[Det/Nbhd Adj]],-2)</f>
        <v>1000</v>
      </c>
      <c r="BP1676" s="25">
        <f>Inventory[[#This Row],[Adjusted Res]]+Inventory[[#This Row],[Adj Det ]]</f>
        <v>422700</v>
      </c>
      <c r="BQ1676" s="25">
        <f>ROUND((Inventory[[#This Row],[Mdl Land Intercept]]+Inventory[[#This Row],[Mdl LnAcres]])*Inventory[[#This Row],[Det/Nbhd Adj]],-2)</f>
        <v>28300</v>
      </c>
      <c r="BR1676" s="25">
        <f>Inventory[[#This Row],[Adjusted Impr Total]]+Inventory[[#This Row],[Adjusted Land Total]]</f>
        <v>451000</v>
      </c>
      <c r="BS1676" s="36">
        <f>IFERROR((Inventory[[#This Row],[Adjusted Impr Total]]-Inventory[[#This Row],[24Bldg]])/Inventory[[#This Row],[24Bldg]],0)</f>
        <v>0.32341891045710708</v>
      </c>
      <c r="BT1676" s="36">
        <f>(Inventory[[#This Row],[Adjusted Land Total]]-Inventory[[#This Row],[24Lnd]])/Inventory[[#This Row],[24Lnd]]</f>
        <v>-0.41528925619834711</v>
      </c>
      <c r="BU1676" s="36">
        <f>(Inventory[[#This Row],[Adjusted Total]]-Inventory[[#This Row],[24Final]])/Inventory[[#This Row],[24Final]]</f>
        <v>0.22620989668297989</v>
      </c>
    </row>
    <row r="1677" spans="1:73" x14ac:dyDescent="0.3">
      <c r="A1677" s="25">
        <v>2025</v>
      </c>
      <c r="B1677" s="26" t="s">
        <v>1058</v>
      </c>
      <c r="C1677" s="26">
        <f>LN(Inventory[[#This Row],[Acres]])</f>
        <v>-1.8325814637483102</v>
      </c>
      <c r="D1677" s="25">
        <v>0.16</v>
      </c>
      <c r="E1677" s="31"/>
      <c r="F1677" s="26" t="s">
        <v>537</v>
      </c>
      <c r="G1677" s="26" t="s">
        <v>126</v>
      </c>
      <c r="H1677" s="26" t="s">
        <v>349</v>
      </c>
      <c r="I1677" s="26" t="s">
        <v>538</v>
      </c>
      <c r="J1677" s="26" t="s">
        <v>539</v>
      </c>
      <c r="K1677" s="26" t="s">
        <v>4</v>
      </c>
      <c r="L1677" s="26" t="s">
        <v>148</v>
      </c>
      <c r="M1677" s="26" t="s">
        <v>352</v>
      </c>
      <c r="N1677" s="26">
        <v>100</v>
      </c>
      <c r="O1677" s="26">
        <f>2024-Inventory[[#This Row],[YrBlt]]</f>
        <v>94</v>
      </c>
      <c r="P1677" s="26">
        <f>2024-Inventory[[#This Row],[EffYr]]</f>
        <v>54</v>
      </c>
      <c r="Q1677" s="25">
        <v>1930</v>
      </c>
      <c r="R1677" s="25">
        <v>1970</v>
      </c>
      <c r="S1677" s="25">
        <v>1241</v>
      </c>
      <c r="T1677" s="32">
        <v>693</v>
      </c>
      <c r="U1677" s="25">
        <v>990</v>
      </c>
      <c r="V1677" s="25">
        <f>Inventory[[#This Row],[Bsmt]]-Inventory[[#This Row],[FnBsmt]]</f>
        <v>0</v>
      </c>
      <c r="W1677" s="25">
        <v>990</v>
      </c>
      <c r="X1677" s="27"/>
      <c r="Y1677" s="27">
        <f>Inventory[[#This Row],[MainFn]]+Inventory[[#This Row],[UpprFn]]+Inventory[[#This Row],[FnBsmt]]+Inventory[[#This Row],[AddFn]]</f>
        <v>2924</v>
      </c>
      <c r="Z1677" s="27">
        <v>3000</v>
      </c>
      <c r="AA1677" s="25">
        <v>9</v>
      </c>
      <c r="AB1677" s="27"/>
      <c r="AC1677" s="27"/>
      <c r="AD1677" s="32">
        <v>420</v>
      </c>
      <c r="AE1677" s="27"/>
      <c r="AF1677" s="27"/>
      <c r="AG1677" s="27"/>
      <c r="AH1677" s="27"/>
      <c r="AI1677" s="25">
        <v>481853</v>
      </c>
      <c r="AJ1677" s="25">
        <v>332479</v>
      </c>
      <c r="AK1677" s="25">
        <v>0</v>
      </c>
      <c r="AL1677" s="25">
        <v>426400</v>
      </c>
      <c r="AM1677" s="25">
        <v>50600</v>
      </c>
      <c r="AN1677" s="25">
        <v>375800</v>
      </c>
      <c r="AO1677" s="25">
        <v>0</v>
      </c>
      <c r="AP1677" s="25">
        <f>Lookups!$B$56*0</f>
        <v>0</v>
      </c>
      <c r="AQ1677" s="25">
        <f>Lookups!$B$56*1</f>
        <v>89850.625589999996</v>
      </c>
      <c r="AR1677" s="25">
        <f>Lookups!$B$57*Inventory[[#This Row],[LnAcres]]</f>
        <v>-58009.662049032086</v>
      </c>
      <c r="AS1677" s="25">
        <f>VLOOKUP(Inventory[[#This Row],[Qlty]],Lookups!$A$62:$E$75,2,FALSE)</f>
        <v>44121.038090000002</v>
      </c>
      <c r="AT1677" s="25">
        <f>VLOOKUP(Inventory[[#This Row],[Cnd]],Lookups!$A$76:$E$84,2,FALSE)</f>
        <v>284810.60806</v>
      </c>
      <c r="AU1677" s="25">
        <f>Inventory[[#This Row],[EffAge]]*Lookups!$B$85</f>
        <v>-12044.462427</v>
      </c>
      <c r="AV1677" s="25">
        <f>Inventory[[#This Row],[MainFn]]*Lookups!$B$86</f>
        <v>61316.159317357</v>
      </c>
      <c r="AW1677" s="25">
        <f>Inventory[[#This Row],[UpprFn]]*Lookups!$B$87</f>
        <v>31036.991042672998</v>
      </c>
      <c r="AX1677" s="25">
        <f>Inventory[[#This Row],[AddFn]]*Lookups!$B$88</f>
        <v>0</v>
      </c>
      <c r="AY1677" s="25">
        <f>Inventory[[#This Row],[Bsmt]]*Lookups!$B$89</f>
        <v>28791.076294529998</v>
      </c>
      <c r="AZ1677" s="25">
        <f>Inventory[[#This Row],[Fixtures]]*Lookups!$B$90</f>
        <v>34128.198946800003</v>
      </c>
      <c r="BA1677" s="25">
        <f>Inventory[[#This Row],[WdDeck]]*Lookups!$B$91</f>
        <v>13984.116415920002</v>
      </c>
      <c r="BB1677" s="25">
        <f>ROUND(Inventory[[#This Row],[25Det]],-2)</f>
        <v>0</v>
      </c>
      <c r="BC1677" s="25">
        <f>ROUND(SUM(Inventory[[#This Row],[Mdl Qlty]:[Mdl WdDeck]])+Inventory[[#This Row],[Mdl Res Intercept]],-2)</f>
        <v>486100</v>
      </c>
      <c r="BD1677" s="25">
        <f>ROUND(Inventory[[#This Row],[Mdl Land Intercept]]+Inventory[[#This Row],[Mdl LnAcres]],-2)</f>
        <v>31800</v>
      </c>
      <c r="BE1677" s="25">
        <f>Inventory[[#This Row],[Unadj Res Value]]+Inventory[[#This Row],[Unadj Det Value]]+Inventory[[#This Row],[Unadj Land Value]]</f>
        <v>517900</v>
      </c>
      <c r="BF1677" s="36">
        <f>(Inventory[[#This Row],[Unadj Total Value]]-Inventory[[#This Row],[24Final]])/Inventory[[#This Row],[24Final]]</f>
        <v>0.21458724202626642</v>
      </c>
      <c r="BG1677" s="25">
        <f>VLOOKUP(Inventory[[#This Row],[Nbhd]],Lookups!$Q$2:$T$4,4,FALSE)</f>
        <v>0.99970000000000003</v>
      </c>
      <c r="BH1677" s="25">
        <f>VLOOKUP(Inventory[[#This Row],[Qlty]],Lookups!$O$7:$R$21,4,FALSE)</f>
        <v>0.98050000000000004</v>
      </c>
      <c r="BI1677" s="25">
        <f>VLOOKUP(Inventory[[#This Row],[Cnd]],Lookups!$T$7:$W$16,4,FALSE)</f>
        <v>1.0158</v>
      </c>
      <c r="BJ1677" s="25">
        <f>VLOOKUP(Inventory[[#This Row],[LivArea Range]],Lookups!$T$25:$W$37,4,FALSE)</f>
        <v>0.96179999999999999</v>
      </c>
      <c r="BK1677" s="25">
        <f>VLOOKUP(Inventory[[#This Row],[Decade]],Lookups!$O$25:$R$42,4,FALSE)</f>
        <v>1.0074000000000001</v>
      </c>
      <c r="BL1677" s="25">
        <f>Inventory[[#This Row],[Nbhd Adj]]*0.95</f>
        <v>0.94971499999999998</v>
      </c>
      <c r="BM1677" s="25">
        <f>Inventory[[#This Row],[Nbhd Adj]]*Inventory[[#This Row],[Quality Adj]]*Inventory[[#This Row],[Condition Adj]]*Inventory[[#This Row],[Living Area Adj]]*Inventory[[#This Row],[Decade Adj]]*0.95</f>
        <v>0.91650707773151308</v>
      </c>
      <c r="BN1677" s="25">
        <f>ROUND(SUM(Inventory[[#This Row],[Mdl Qlty]:[Mdl WdDeck]])+Inventory[[#This Row],[Mdl Res Intercept]]*Inventory[[#This Row],[Res Adj ]],-2)</f>
        <v>486100</v>
      </c>
      <c r="BO1677" s="25">
        <f>ROUND(Inventory[[#This Row],[25Det]]*Inventory[[#This Row],[Det/Nbhd Adj]],-2)</f>
        <v>0</v>
      </c>
      <c r="BP1677" s="25">
        <f>Inventory[[#This Row],[Adjusted Res]]+Inventory[[#This Row],[Adj Det ]]</f>
        <v>486100</v>
      </c>
      <c r="BQ1677" s="25">
        <f>ROUND((Inventory[[#This Row],[Mdl Land Intercept]]+Inventory[[#This Row],[Mdl LnAcres]])*Inventory[[#This Row],[Det/Nbhd Adj]],-2)</f>
        <v>30200</v>
      </c>
      <c r="BR1677" s="25">
        <f>Inventory[[#This Row],[Adjusted Impr Total]]+Inventory[[#This Row],[Adjusted Land Total]]</f>
        <v>516300</v>
      </c>
      <c r="BS1677" s="36">
        <f>IFERROR((Inventory[[#This Row],[Adjusted Impr Total]]-Inventory[[#This Row],[24Bldg]])/Inventory[[#This Row],[24Bldg]],0)</f>
        <v>0.29350718467269826</v>
      </c>
      <c r="BT1677" s="36">
        <f>(Inventory[[#This Row],[Adjusted Land Total]]-Inventory[[#This Row],[24Lnd]])/Inventory[[#This Row],[24Lnd]]</f>
        <v>-0.40316205533596838</v>
      </c>
      <c r="BU1677" s="36">
        <f>(Inventory[[#This Row],[Adjusted Total]]-Inventory[[#This Row],[24Final]])/Inventory[[#This Row],[24Final]]</f>
        <v>0.21083489681050657</v>
      </c>
    </row>
    <row r="1678" spans="1:73" x14ac:dyDescent="0.3">
      <c r="A1678" s="25">
        <v>2025</v>
      </c>
      <c r="B1678" s="26" t="s">
        <v>2380</v>
      </c>
      <c r="C1678" s="26">
        <f>LN(Inventory[[#This Row],[Acres]])</f>
        <v>-1.8325814637483102</v>
      </c>
      <c r="D1678" s="25">
        <v>0.16</v>
      </c>
      <c r="E1678" s="27"/>
      <c r="F1678" s="26" t="s">
        <v>537</v>
      </c>
      <c r="G1678" s="26" t="s">
        <v>126</v>
      </c>
      <c r="H1678" s="26" t="s">
        <v>349</v>
      </c>
      <c r="I1678" s="26" t="s">
        <v>538</v>
      </c>
      <c r="J1678" s="26" t="s">
        <v>539</v>
      </c>
      <c r="K1678" s="26" t="s">
        <v>147</v>
      </c>
      <c r="L1678" s="26" t="s">
        <v>148</v>
      </c>
      <c r="M1678" s="26" t="s">
        <v>352</v>
      </c>
      <c r="N1678" s="26">
        <v>100</v>
      </c>
      <c r="O1678" s="26">
        <f>2024-Inventory[[#This Row],[YrBlt]]</f>
        <v>94</v>
      </c>
      <c r="P1678" s="26">
        <f>2024-Inventory[[#This Row],[EffYr]]</f>
        <v>54</v>
      </c>
      <c r="Q1678" s="25">
        <v>1930</v>
      </c>
      <c r="R1678" s="25">
        <v>1970</v>
      </c>
      <c r="S1678" s="25">
        <v>1180</v>
      </c>
      <c r="T1678" s="32">
        <v>594</v>
      </c>
      <c r="U1678" s="25">
        <v>560</v>
      </c>
      <c r="V1678" s="25">
        <f>Inventory[[#This Row],[Bsmt]]-Inventory[[#This Row],[FnBsmt]]</f>
        <v>0</v>
      </c>
      <c r="W1678" s="25">
        <v>560</v>
      </c>
      <c r="X1678" s="27"/>
      <c r="Y1678" s="27">
        <f>Inventory[[#This Row],[MainFn]]+Inventory[[#This Row],[UpprFn]]+Inventory[[#This Row],[FnBsmt]]+Inventory[[#This Row],[AddFn]]</f>
        <v>2334</v>
      </c>
      <c r="Z1678" s="27">
        <v>2500</v>
      </c>
      <c r="AA1678" s="25">
        <v>9</v>
      </c>
      <c r="AB1678" s="27"/>
      <c r="AC1678" s="27"/>
      <c r="AD1678" s="27"/>
      <c r="AE1678" s="27"/>
      <c r="AF1678" s="27"/>
      <c r="AG1678" s="27"/>
      <c r="AH1678" s="27"/>
      <c r="AI1678" s="25">
        <v>446785</v>
      </c>
      <c r="AJ1678" s="25">
        <v>308282</v>
      </c>
      <c r="AK1678" s="25">
        <v>0</v>
      </c>
      <c r="AL1678" s="25">
        <v>410700</v>
      </c>
      <c r="AM1678" s="25">
        <v>50600</v>
      </c>
      <c r="AN1678" s="25">
        <v>360100</v>
      </c>
      <c r="AO1678" s="25">
        <v>0</v>
      </c>
      <c r="AP1678" s="25">
        <f>Lookups!$B$56*0</f>
        <v>0</v>
      </c>
      <c r="AQ1678" s="25">
        <f>Lookups!$B$56*1</f>
        <v>89850.625589999996</v>
      </c>
      <c r="AR1678" s="25">
        <f>Lookups!$B$57*Inventory[[#This Row],[LnAcres]]</f>
        <v>-58009.662049032086</v>
      </c>
      <c r="AS1678" s="25">
        <f>VLOOKUP(Inventory[[#This Row],[Qlty]],Lookups!$A$62:$E$75,2,FALSE)</f>
        <v>44121.038090000002</v>
      </c>
      <c r="AT1678" s="25">
        <f>VLOOKUP(Inventory[[#This Row],[Cnd]],Lookups!$A$76:$E$84,2,FALSE)</f>
        <v>284810.60806</v>
      </c>
      <c r="AU1678" s="25">
        <f>Inventory[[#This Row],[EffAge]]*Lookups!$B$85</f>
        <v>-12044.462427</v>
      </c>
      <c r="AV1678" s="25">
        <f>Inventory[[#This Row],[MainFn]]*Lookups!$B$86</f>
        <v>58302.23045486</v>
      </c>
      <c r="AW1678" s="25">
        <f>Inventory[[#This Row],[UpprFn]]*Lookups!$B$87</f>
        <v>26603.135179434001</v>
      </c>
      <c r="AX1678" s="25">
        <f>Inventory[[#This Row],[AddFn]]*Lookups!$B$88</f>
        <v>0</v>
      </c>
      <c r="AY1678" s="25">
        <f>Inventory[[#This Row],[Bsmt]]*Lookups!$B$89</f>
        <v>16285.861338319999</v>
      </c>
      <c r="AZ1678" s="25">
        <f>Inventory[[#This Row],[Fixtures]]*Lookups!$B$90</f>
        <v>34128.198946800003</v>
      </c>
      <c r="BA1678" s="25">
        <f>Inventory[[#This Row],[WdDeck]]*Lookups!$B$91</f>
        <v>0</v>
      </c>
      <c r="BB1678" s="25">
        <f>ROUND(Inventory[[#This Row],[25Det]],-2)</f>
        <v>0</v>
      </c>
      <c r="BC1678" s="25">
        <f>ROUND(SUM(Inventory[[#This Row],[Mdl Qlty]:[Mdl WdDeck]])+Inventory[[#This Row],[Mdl Res Intercept]],-2)</f>
        <v>452200</v>
      </c>
      <c r="BD1678" s="25">
        <f>ROUND(Inventory[[#This Row],[Mdl Land Intercept]]+Inventory[[#This Row],[Mdl LnAcres]],-2)</f>
        <v>31800</v>
      </c>
      <c r="BE1678" s="25">
        <f>Inventory[[#This Row],[Unadj Res Value]]+Inventory[[#This Row],[Unadj Det Value]]+Inventory[[#This Row],[Unadj Land Value]]</f>
        <v>484000</v>
      </c>
      <c r="BF1678" s="36">
        <f>(Inventory[[#This Row],[Unadj Total Value]]-Inventory[[#This Row],[24Final]])/Inventory[[#This Row],[24Final]]</f>
        <v>0.17847577307036766</v>
      </c>
      <c r="BG1678" s="25">
        <f>VLOOKUP(Inventory[[#This Row],[Nbhd]],Lookups!$Q$2:$T$4,4,FALSE)</f>
        <v>0.99970000000000003</v>
      </c>
      <c r="BH1678" s="25">
        <f>VLOOKUP(Inventory[[#This Row],[Qlty]],Lookups!$O$7:$R$21,4,FALSE)</f>
        <v>0.98050000000000004</v>
      </c>
      <c r="BI1678" s="25">
        <f>VLOOKUP(Inventory[[#This Row],[Cnd]],Lookups!$T$7:$W$16,4,FALSE)</f>
        <v>1.0158</v>
      </c>
      <c r="BJ1678" s="25">
        <f>VLOOKUP(Inventory[[#This Row],[LivArea Range]],Lookups!$T$25:$W$37,4,FALSE)</f>
        <v>0.98919999999999997</v>
      </c>
      <c r="BK1678" s="25">
        <f>VLOOKUP(Inventory[[#This Row],[Decade]],Lookups!$O$25:$R$42,4,FALSE)</f>
        <v>1.0074000000000001</v>
      </c>
      <c r="BL1678" s="25">
        <f>Inventory[[#This Row],[Nbhd Adj]]*0.95</f>
        <v>0.94971499999999998</v>
      </c>
      <c r="BM1678" s="25">
        <f>Inventory[[#This Row],[Nbhd Adj]]*Inventory[[#This Row],[Quality Adj]]*Inventory[[#This Row],[Condition Adj]]*Inventory[[#This Row],[Living Area Adj]]*Inventory[[#This Row],[Decade Adj]]*0.95</f>
        <v>0.94261676158454233</v>
      </c>
      <c r="BN1678" s="25">
        <f>ROUND(SUM(Inventory[[#This Row],[Mdl Qlty]:[Mdl WdDeck]])+Inventory[[#This Row],[Mdl Res Intercept]]*Inventory[[#This Row],[Res Adj ]],-2)</f>
        <v>452200</v>
      </c>
      <c r="BO1678" s="25">
        <f>ROUND(Inventory[[#This Row],[25Det]]*Inventory[[#This Row],[Det/Nbhd Adj]],-2)</f>
        <v>0</v>
      </c>
      <c r="BP1678" s="25">
        <f>Inventory[[#This Row],[Adjusted Res]]+Inventory[[#This Row],[Adj Det ]]</f>
        <v>452200</v>
      </c>
      <c r="BQ1678" s="25">
        <f>ROUND((Inventory[[#This Row],[Mdl Land Intercept]]+Inventory[[#This Row],[Mdl LnAcres]])*Inventory[[#This Row],[Det/Nbhd Adj]],-2)</f>
        <v>30200</v>
      </c>
      <c r="BR1678" s="25">
        <f>Inventory[[#This Row],[Adjusted Impr Total]]+Inventory[[#This Row],[Adjusted Land Total]]</f>
        <v>482400</v>
      </c>
      <c r="BS1678" s="36">
        <f>IFERROR((Inventory[[#This Row],[Adjusted Impr Total]]-Inventory[[#This Row],[24Bldg]])/Inventory[[#This Row],[24Bldg]],0)</f>
        <v>0.25576228825326297</v>
      </c>
      <c r="BT1678" s="36">
        <f>(Inventory[[#This Row],[Adjusted Land Total]]-Inventory[[#This Row],[24Lnd]])/Inventory[[#This Row],[24Lnd]]</f>
        <v>-0.40316205533596838</v>
      </c>
      <c r="BU1678" s="36">
        <f>(Inventory[[#This Row],[Adjusted Total]]-Inventory[[#This Row],[24Final]])/Inventory[[#This Row],[24Final]]</f>
        <v>0.17457998539079619</v>
      </c>
    </row>
    <row r="1679" spans="1:73" x14ac:dyDescent="0.3">
      <c r="A1679" s="25">
        <v>2025</v>
      </c>
      <c r="B1679" s="26" t="s">
        <v>1330</v>
      </c>
      <c r="C1679" s="26">
        <f>LN(Inventory[[#This Row],[Acres]])</f>
        <v>-1.1086626245216111</v>
      </c>
      <c r="D1679" s="25">
        <v>0.33</v>
      </c>
      <c r="E1679" s="25">
        <v>14496</v>
      </c>
      <c r="F1679" s="26" t="s">
        <v>537</v>
      </c>
      <c r="G1679" s="26" t="s">
        <v>126</v>
      </c>
      <c r="H1679" s="26" t="s">
        <v>349</v>
      </c>
      <c r="I1679" s="26" t="s">
        <v>538</v>
      </c>
      <c r="J1679" s="26" t="s">
        <v>539</v>
      </c>
      <c r="K1679" s="26" t="s">
        <v>242</v>
      </c>
      <c r="L1679" s="26" t="s">
        <v>351</v>
      </c>
      <c r="M1679" s="26" t="s">
        <v>352</v>
      </c>
      <c r="N1679" s="26">
        <v>100</v>
      </c>
      <c r="O1679" s="26">
        <f>2024-Inventory[[#This Row],[YrBlt]]</f>
        <v>94</v>
      </c>
      <c r="P1679" s="26">
        <f>2024-Inventory[[#This Row],[EffYr]]</f>
        <v>15</v>
      </c>
      <c r="Q1679" s="25">
        <v>1930</v>
      </c>
      <c r="R1679" s="25">
        <v>2009</v>
      </c>
      <c r="S1679" s="25">
        <v>1050</v>
      </c>
      <c r="T1679" s="31"/>
      <c r="U1679" s="25">
        <v>1050</v>
      </c>
      <c r="V1679" s="25">
        <f>Inventory[[#This Row],[Bsmt]]-Inventory[[#This Row],[FnBsmt]]</f>
        <v>0</v>
      </c>
      <c r="W1679" s="25">
        <v>1050</v>
      </c>
      <c r="X1679" s="27"/>
      <c r="Y1679" s="27">
        <f>Inventory[[#This Row],[MainFn]]+Inventory[[#This Row],[UpprFn]]+Inventory[[#This Row],[FnBsmt]]+Inventory[[#This Row],[AddFn]]</f>
        <v>2100</v>
      </c>
      <c r="Z1679" s="27">
        <v>2500</v>
      </c>
      <c r="AA1679" s="25">
        <v>11</v>
      </c>
      <c r="AB1679" s="27"/>
      <c r="AC1679" s="27"/>
      <c r="AD1679" s="31"/>
      <c r="AE1679" s="27"/>
      <c r="AF1679" s="27"/>
      <c r="AG1679" s="27"/>
      <c r="AH1679" s="27"/>
      <c r="AI1679" s="25">
        <v>274124</v>
      </c>
      <c r="AJ1679" s="25">
        <v>257677</v>
      </c>
      <c r="AK1679" s="25">
        <v>23767</v>
      </c>
      <c r="AL1679" s="25">
        <v>428900</v>
      </c>
      <c r="AM1679" s="25">
        <v>75900</v>
      </c>
      <c r="AN1679" s="25">
        <v>353000</v>
      </c>
      <c r="AO1679" s="25">
        <v>0</v>
      </c>
      <c r="AP1679" s="25">
        <f>Lookups!$B$56*0</f>
        <v>0</v>
      </c>
      <c r="AQ1679" s="25">
        <f>Lookups!$B$56*1</f>
        <v>89850.625589999996</v>
      </c>
      <c r="AR1679" s="25">
        <f>Lookups!$B$57*Inventory[[#This Row],[LnAcres]]</f>
        <v>-35094.289365640165</v>
      </c>
      <c r="AS1679" s="25">
        <f>VLOOKUP(Inventory[[#This Row],[Qlty]],Lookups!$A$62:$E$75,2,FALSE)</f>
        <v>21557.329055999999</v>
      </c>
      <c r="AT1679" s="25">
        <f>VLOOKUP(Inventory[[#This Row],[Cnd]],Lookups!$A$76:$E$84,2,FALSE)</f>
        <v>284810.60806</v>
      </c>
      <c r="AU1679" s="25">
        <f>Inventory[[#This Row],[EffAge]]*Lookups!$B$85</f>
        <v>-3345.6840075</v>
      </c>
      <c r="AV1679" s="25">
        <f>Inventory[[#This Row],[MainFn]]*Lookups!$B$86</f>
        <v>51879.103370850004</v>
      </c>
      <c r="AW1679" s="25">
        <f>Inventory[[#This Row],[UpprFn]]*Lookups!$B$87</f>
        <v>0</v>
      </c>
      <c r="AX1679" s="25">
        <f>Inventory[[#This Row],[AddFn]]*Lookups!$B$88</f>
        <v>0</v>
      </c>
      <c r="AY1679" s="25">
        <f>Inventory[[#This Row],[Bsmt]]*Lookups!$B$89</f>
        <v>30535.99000935</v>
      </c>
      <c r="AZ1679" s="25">
        <f>Inventory[[#This Row],[Fixtures]]*Lookups!$B$90</f>
        <v>41712.243157199999</v>
      </c>
      <c r="BA1679" s="25">
        <f>Inventory[[#This Row],[WdDeck]]*Lookups!$B$91</f>
        <v>0</v>
      </c>
      <c r="BB1679" s="25">
        <f>ROUND(Inventory[[#This Row],[25Det]],-2)</f>
        <v>23800</v>
      </c>
      <c r="BC1679" s="25">
        <f>ROUND(SUM(Inventory[[#This Row],[Mdl Qlty]:[Mdl WdDeck]])+Inventory[[#This Row],[Mdl Res Intercept]],-2)</f>
        <v>427100</v>
      </c>
      <c r="BD1679" s="25">
        <f>ROUND(Inventory[[#This Row],[Mdl Land Intercept]]+Inventory[[#This Row],[Mdl LnAcres]],-2)</f>
        <v>54800</v>
      </c>
      <c r="BE1679" s="25">
        <f>Inventory[[#This Row],[Unadj Res Value]]+Inventory[[#This Row],[Unadj Det Value]]+Inventory[[#This Row],[Unadj Land Value]]</f>
        <v>505700</v>
      </c>
      <c r="BF1679" s="36">
        <f>(Inventory[[#This Row],[Unadj Total Value]]-Inventory[[#This Row],[24Final]])/Inventory[[#This Row],[24Final]]</f>
        <v>0.17906271858242015</v>
      </c>
      <c r="BG1679" s="25">
        <f>VLOOKUP(Inventory[[#This Row],[Nbhd]],Lookups!$Q$2:$T$4,4,FALSE)</f>
        <v>0.99970000000000003</v>
      </c>
      <c r="BH1679" s="25">
        <f>VLOOKUP(Inventory[[#This Row],[Qlty]],Lookups!$O$7:$R$21,4,FALSE)</f>
        <v>1.0067999999999999</v>
      </c>
      <c r="BI1679" s="25">
        <f>VLOOKUP(Inventory[[#This Row],[Cnd]],Lookups!$T$7:$W$16,4,FALSE)</f>
        <v>1.0158</v>
      </c>
      <c r="BJ1679" s="25">
        <f>VLOOKUP(Inventory[[#This Row],[LivArea Range]],Lookups!$T$25:$W$37,4,FALSE)</f>
        <v>0.98919999999999997</v>
      </c>
      <c r="BK1679" s="25">
        <f>VLOOKUP(Inventory[[#This Row],[Decade]],Lookups!$O$25:$R$42,4,FALSE)</f>
        <v>1.0074000000000001</v>
      </c>
      <c r="BL1679" s="25">
        <f>Inventory[[#This Row],[Nbhd Adj]]*0.95</f>
        <v>0.94971499999999998</v>
      </c>
      <c r="BM1679" s="25">
        <f>Inventory[[#This Row],[Nbhd Adj]]*Inventory[[#This Row],[Quality Adj]]*Inventory[[#This Row],[Condition Adj]]*Inventory[[#This Row],[Living Area Adj]]*Inventory[[#This Row],[Decade Adj]]*0.95</f>
        <v>0.9679006176066467</v>
      </c>
      <c r="BN1679" s="25">
        <f>ROUND(SUM(Inventory[[#This Row],[Mdl Qlty]:[Mdl WdDeck]])+Inventory[[#This Row],[Mdl Res Intercept]]*Inventory[[#This Row],[Res Adj ]],-2)</f>
        <v>427100</v>
      </c>
      <c r="BO1679" s="25">
        <f>ROUND(Inventory[[#This Row],[25Det]]*Inventory[[#This Row],[Det/Nbhd Adj]],-2)</f>
        <v>22600</v>
      </c>
      <c r="BP1679" s="25">
        <f>Inventory[[#This Row],[Adjusted Res]]+Inventory[[#This Row],[Adj Det ]]</f>
        <v>449700</v>
      </c>
      <c r="BQ1679" s="25">
        <f>ROUND((Inventory[[#This Row],[Mdl Land Intercept]]+Inventory[[#This Row],[Mdl LnAcres]])*Inventory[[#This Row],[Det/Nbhd Adj]],-2)</f>
        <v>52000</v>
      </c>
      <c r="BR1679" s="25">
        <f>Inventory[[#This Row],[Adjusted Impr Total]]+Inventory[[#This Row],[Adjusted Land Total]]</f>
        <v>501700</v>
      </c>
      <c r="BS1679" s="36">
        <f>IFERROR((Inventory[[#This Row],[Adjusted Impr Total]]-Inventory[[#This Row],[24Bldg]])/Inventory[[#This Row],[24Bldg]],0)</f>
        <v>0.27393767705382438</v>
      </c>
      <c r="BT1679" s="36">
        <f>(Inventory[[#This Row],[Adjusted Land Total]]-Inventory[[#This Row],[24Lnd]])/Inventory[[#This Row],[24Lnd]]</f>
        <v>-0.31488801054018445</v>
      </c>
      <c r="BU1679" s="36">
        <f>(Inventory[[#This Row],[Adjusted Total]]-Inventory[[#This Row],[24Final]])/Inventory[[#This Row],[24Final]]</f>
        <v>0.1697365353229191</v>
      </c>
    </row>
    <row r="1680" spans="1:73" x14ac:dyDescent="0.3">
      <c r="A1680" s="25">
        <v>2025</v>
      </c>
      <c r="B1680" s="26" t="s">
        <v>1248</v>
      </c>
      <c r="C1680" s="26">
        <f>LN(Inventory[[#This Row],[Acres]])</f>
        <v>-1.2729656758128873</v>
      </c>
      <c r="D1680" s="25">
        <v>0.28000000000000003</v>
      </c>
      <c r="E1680" s="32">
        <v>12206</v>
      </c>
      <c r="F1680" s="26" t="s">
        <v>537</v>
      </c>
      <c r="G1680" s="26" t="s">
        <v>126</v>
      </c>
      <c r="H1680" s="26" t="s">
        <v>349</v>
      </c>
      <c r="I1680" s="26" t="s">
        <v>538</v>
      </c>
      <c r="J1680" s="26" t="s">
        <v>539</v>
      </c>
      <c r="K1680" s="26" t="s">
        <v>417</v>
      </c>
      <c r="L1680" s="26" t="s">
        <v>148</v>
      </c>
      <c r="M1680" s="26" t="s">
        <v>303</v>
      </c>
      <c r="N1680" s="26">
        <v>100</v>
      </c>
      <c r="O1680" s="26">
        <f>2024-Inventory[[#This Row],[YrBlt]]</f>
        <v>94</v>
      </c>
      <c r="P1680" s="26">
        <f>2024-Inventory[[#This Row],[EffYr]]</f>
        <v>54</v>
      </c>
      <c r="Q1680" s="25">
        <v>1930</v>
      </c>
      <c r="R1680" s="25">
        <v>1970</v>
      </c>
      <c r="S1680" s="25">
        <v>1173</v>
      </c>
      <c r="T1680" s="25">
        <v>580</v>
      </c>
      <c r="U1680" s="25">
        <v>580</v>
      </c>
      <c r="V1680" s="25">
        <f>Inventory[[#This Row],[Bsmt]]-Inventory[[#This Row],[FnBsmt]]</f>
        <v>580</v>
      </c>
      <c r="W1680" s="31"/>
      <c r="X1680" s="27"/>
      <c r="Y1680" s="27">
        <f>Inventory[[#This Row],[MainFn]]+Inventory[[#This Row],[UpprFn]]+Inventory[[#This Row],[FnBsmt]]+Inventory[[#This Row],[AddFn]]</f>
        <v>1753</v>
      </c>
      <c r="Z1680" s="27">
        <v>2000</v>
      </c>
      <c r="AA1680" s="25">
        <v>8</v>
      </c>
      <c r="AB1680" s="32">
        <v>209</v>
      </c>
      <c r="AC1680" s="27"/>
      <c r="AD1680" s="25">
        <v>692</v>
      </c>
      <c r="AE1680" s="27"/>
      <c r="AF1680" s="27"/>
      <c r="AG1680" s="27"/>
      <c r="AH1680" s="27"/>
      <c r="AI1680" s="25">
        <v>396537</v>
      </c>
      <c r="AJ1680" s="25">
        <v>269645</v>
      </c>
      <c r="AK1680" s="25">
        <v>20603</v>
      </c>
      <c r="AL1680" s="25">
        <v>390300</v>
      </c>
      <c r="AM1680" s="25">
        <v>70100</v>
      </c>
      <c r="AN1680" s="25">
        <v>320200</v>
      </c>
      <c r="AO1680" s="25">
        <v>0</v>
      </c>
      <c r="AP1680" s="25">
        <f>Lookups!$B$56*0</f>
        <v>0</v>
      </c>
      <c r="AQ1680" s="25">
        <f>Lookups!$B$56*1</f>
        <v>89850.625589999996</v>
      </c>
      <c r="AR1680" s="25">
        <f>Lookups!$B$57*Inventory[[#This Row],[LnAcres]]</f>
        <v>-40295.239319339329</v>
      </c>
      <c r="AS1680" s="25">
        <f>VLOOKUP(Inventory[[#This Row],[Qlty]],Lookups!$A$62:$E$75,2,FALSE)</f>
        <v>44121.038090000002</v>
      </c>
      <c r="AT1680" s="25">
        <f>VLOOKUP(Inventory[[#This Row],[Cnd]],Lookups!$A$76:$E$84,2,FALSE)</f>
        <v>197752.34721000001</v>
      </c>
      <c r="AU1680" s="25">
        <f>Inventory[[#This Row],[EffAge]]*Lookups!$B$85</f>
        <v>-12044.462427</v>
      </c>
      <c r="AV1680" s="25">
        <f>Inventory[[#This Row],[MainFn]]*Lookups!$B$86</f>
        <v>57956.369765721</v>
      </c>
      <c r="AW1680" s="25">
        <f>Inventory[[#This Row],[UpprFn]]*Lookups!$B$87</f>
        <v>25976.125259379998</v>
      </c>
      <c r="AX1680" s="25">
        <f>Inventory[[#This Row],[AddFn]]*Lookups!$B$88</f>
        <v>0</v>
      </c>
      <c r="AY1680" s="25">
        <f>Inventory[[#This Row],[Bsmt]]*Lookups!$B$89</f>
        <v>16867.499243259997</v>
      </c>
      <c r="AZ1680" s="25">
        <f>Inventory[[#This Row],[Fixtures]]*Lookups!$B$90</f>
        <v>30336.176841600001</v>
      </c>
      <c r="BA1680" s="25">
        <f>Inventory[[#This Row],[WdDeck]]*Lookups!$B$91</f>
        <v>23040.496570992003</v>
      </c>
      <c r="BB1680" s="25">
        <f>ROUND(Inventory[[#This Row],[25Det]],-2)</f>
        <v>20600</v>
      </c>
      <c r="BC1680" s="25">
        <f>ROUND(SUM(Inventory[[#This Row],[Mdl Qlty]:[Mdl WdDeck]])+Inventory[[#This Row],[Mdl Res Intercept]],-2)</f>
        <v>384000</v>
      </c>
      <c r="BD1680" s="25">
        <f>ROUND(Inventory[[#This Row],[Mdl Land Intercept]]+Inventory[[#This Row],[Mdl LnAcres]],-2)</f>
        <v>49600</v>
      </c>
      <c r="BE1680" s="25">
        <f>Inventory[[#This Row],[Unadj Res Value]]+Inventory[[#This Row],[Unadj Det Value]]+Inventory[[#This Row],[Unadj Land Value]]</f>
        <v>454200</v>
      </c>
      <c r="BF1680" s="36">
        <f>(Inventory[[#This Row],[Unadj Total Value]]-Inventory[[#This Row],[24Final]])/Inventory[[#This Row],[24Final]]</f>
        <v>0.16372021521906227</v>
      </c>
      <c r="BG1680" s="25">
        <f>VLOOKUP(Inventory[[#This Row],[Nbhd]],Lookups!$Q$2:$T$4,4,FALSE)</f>
        <v>0.99970000000000003</v>
      </c>
      <c r="BH1680" s="25">
        <f>VLOOKUP(Inventory[[#This Row],[Qlty]],Lookups!$O$7:$R$21,4,FALSE)</f>
        <v>0.98050000000000004</v>
      </c>
      <c r="BI1680" s="25">
        <f>VLOOKUP(Inventory[[#This Row],[Cnd]],Lookups!$T$7:$W$16,4,FALSE)</f>
        <v>0.99650000000000005</v>
      </c>
      <c r="BJ1680" s="25">
        <f>VLOOKUP(Inventory[[#This Row],[LivArea Range]],Lookups!$T$25:$W$37,4,FALSE)</f>
        <v>1.0093000000000001</v>
      </c>
      <c r="BK1680" s="25">
        <f>VLOOKUP(Inventory[[#This Row],[Decade]],Lookups!$O$25:$R$42,4,FALSE)</f>
        <v>1.0074000000000001</v>
      </c>
      <c r="BL1680" s="25">
        <f>Inventory[[#This Row],[Nbhd Adj]]*0.95</f>
        <v>0.94971499999999998</v>
      </c>
      <c r="BM1680" s="25">
        <f>Inventory[[#This Row],[Nbhd Adj]]*Inventory[[#This Row],[Quality Adj]]*Inventory[[#This Row],[Condition Adj]]*Inventory[[#This Row],[Living Area Adj]]*Inventory[[#This Row],[Decade Adj]]*0.95</f>
        <v>0.94349677105985763</v>
      </c>
      <c r="BN1680" s="25">
        <f>ROUND(SUM(Inventory[[#This Row],[Mdl Qlty]:[Mdl WdDeck]])+Inventory[[#This Row],[Mdl Res Intercept]]*Inventory[[#This Row],[Res Adj ]],-2)</f>
        <v>384000</v>
      </c>
      <c r="BO1680" s="25">
        <f>ROUND(Inventory[[#This Row],[25Det]]*Inventory[[#This Row],[Det/Nbhd Adj]],-2)</f>
        <v>19600</v>
      </c>
      <c r="BP1680" s="25">
        <f>Inventory[[#This Row],[Adjusted Res]]+Inventory[[#This Row],[Adj Det ]]</f>
        <v>403600</v>
      </c>
      <c r="BQ1680" s="25">
        <f>ROUND((Inventory[[#This Row],[Mdl Land Intercept]]+Inventory[[#This Row],[Mdl LnAcres]])*Inventory[[#This Row],[Det/Nbhd Adj]],-2)</f>
        <v>47100</v>
      </c>
      <c r="BR1680" s="25">
        <f>Inventory[[#This Row],[Adjusted Impr Total]]+Inventory[[#This Row],[Adjusted Land Total]]</f>
        <v>450700</v>
      </c>
      <c r="BS1680" s="36">
        <f>IFERROR((Inventory[[#This Row],[Adjusted Impr Total]]-Inventory[[#This Row],[24Bldg]])/Inventory[[#This Row],[24Bldg]],0)</f>
        <v>0.26046221111805123</v>
      </c>
      <c r="BT1680" s="36">
        <f>(Inventory[[#This Row],[Adjusted Land Total]]-Inventory[[#This Row],[24Lnd]])/Inventory[[#This Row],[24Lnd]]</f>
        <v>-0.32810271041369471</v>
      </c>
      <c r="BU1680" s="36">
        <f>(Inventory[[#This Row],[Adjusted Total]]-Inventory[[#This Row],[24Final]])/Inventory[[#This Row],[24Final]]</f>
        <v>0.15475275429157059</v>
      </c>
    </row>
    <row r="1681" spans="1:73" x14ac:dyDescent="0.3">
      <c r="A1681" s="25">
        <v>2025</v>
      </c>
      <c r="B1681" s="26" t="s">
        <v>1023</v>
      </c>
      <c r="C1681" s="26">
        <f>LN(Inventory[[#This Row],[Acres]])</f>
        <v>-1.9661128563728327</v>
      </c>
      <c r="D1681" s="25">
        <v>0.14000000000000001</v>
      </c>
      <c r="E1681" s="27"/>
      <c r="F1681" s="26" t="s">
        <v>537</v>
      </c>
      <c r="G1681" s="26" t="s">
        <v>126</v>
      </c>
      <c r="H1681" s="26" t="s">
        <v>349</v>
      </c>
      <c r="I1681" s="26" t="s">
        <v>538</v>
      </c>
      <c r="J1681" s="26" t="s">
        <v>539</v>
      </c>
      <c r="K1681" s="26" t="s">
        <v>147</v>
      </c>
      <c r="L1681" s="26" t="s">
        <v>95</v>
      </c>
      <c r="M1681" s="26" t="s">
        <v>352</v>
      </c>
      <c r="N1681" s="26">
        <v>100</v>
      </c>
      <c r="O1681" s="26">
        <f>2024-Inventory[[#This Row],[YrBlt]]</f>
        <v>94</v>
      </c>
      <c r="P1681" s="26">
        <f>2024-Inventory[[#This Row],[EffYr]]</f>
        <v>54</v>
      </c>
      <c r="Q1681" s="25">
        <v>1930</v>
      </c>
      <c r="R1681" s="25">
        <v>1970</v>
      </c>
      <c r="S1681" s="25">
        <v>1570</v>
      </c>
      <c r="T1681" s="32">
        <v>644</v>
      </c>
      <c r="U1681" s="25">
        <v>1078</v>
      </c>
      <c r="V1681" s="32">
        <f>Inventory[[#This Row],[Bsmt]]-Inventory[[#This Row],[FnBsmt]]</f>
        <v>1078</v>
      </c>
      <c r="W1681" s="27"/>
      <c r="X1681" s="27"/>
      <c r="Y1681" s="27">
        <f>Inventory[[#This Row],[MainFn]]+Inventory[[#This Row],[UpprFn]]+Inventory[[#This Row],[FnBsmt]]+Inventory[[#This Row],[AddFn]]</f>
        <v>2214</v>
      </c>
      <c r="Z1681" s="27">
        <v>2500</v>
      </c>
      <c r="AA1681" s="25">
        <v>11</v>
      </c>
      <c r="AB1681" s="27"/>
      <c r="AC1681" s="27"/>
      <c r="AD1681" s="27"/>
      <c r="AE1681" s="27"/>
      <c r="AF1681" s="27"/>
      <c r="AG1681" s="27"/>
      <c r="AH1681" s="27"/>
      <c r="AI1681" s="25">
        <v>551542</v>
      </c>
      <c r="AJ1681" s="25">
        <v>386079</v>
      </c>
      <c r="AK1681" s="25">
        <v>0</v>
      </c>
      <c r="AL1681" s="25">
        <v>482500</v>
      </c>
      <c r="AM1681" s="25">
        <v>46000</v>
      </c>
      <c r="AN1681" s="25">
        <v>436500</v>
      </c>
      <c r="AO1681" s="25">
        <v>0</v>
      </c>
      <c r="AP1681" s="25">
        <f>Lookups!$B$56*0</f>
        <v>0</v>
      </c>
      <c r="AQ1681" s="25">
        <f>Lookups!$B$56*1</f>
        <v>89850.625589999996</v>
      </c>
      <c r="AR1681" s="25">
        <f>Lookups!$B$57*Inventory[[#This Row],[LnAcres]]</f>
        <v>-62236.546971921947</v>
      </c>
      <c r="AS1681" s="25">
        <f>VLOOKUP(Inventory[[#This Row],[Qlty]],Lookups!$A$62:$E$75,2,FALSE)</f>
        <v>74268.409664999999</v>
      </c>
      <c r="AT1681" s="25">
        <f>VLOOKUP(Inventory[[#This Row],[Cnd]],Lookups!$A$76:$E$84,2,FALSE)</f>
        <v>284810.60806</v>
      </c>
      <c r="AU1681" s="25">
        <f>Inventory[[#This Row],[EffAge]]*Lookups!$B$85</f>
        <v>-12044.462427</v>
      </c>
      <c r="AV1681" s="25">
        <f>Inventory[[#This Row],[MainFn]]*Lookups!$B$86</f>
        <v>77571.611706890006</v>
      </c>
      <c r="AW1681" s="25">
        <f>Inventory[[#This Row],[UpprFn]]*Lookups!$B$87</f>
        <v>28842.456322483999</v>
      </c>
      <c r="AX1681" s="25">
        <f>Inventory[[#This Row],[AddFn]]*Lookups!$B$88</f>
        <v>0</v>
      </c>
      <c r="AY1681" s="25">
        <f>Inventory[[#This Row],[Bsmt]]*Lookups!$B$89</f>
        <v>31350.283076265998</v>
      </c>
      <c r="AZ1681" s="25">
        <f>Inventory[[#This Row],[Fixtures]]*Lookups!$B$90</f>
        <v>41712.243157199999</v>
      </c>
      <c r="BA1681" s="25">
        <f>Inventory[[#This Row],[WdDeck]]*Lookups!$B$91</f>
        <v>0</v>
      </c>
      <c r="BB1681" s="25">
        <f>ROUND(Inventory[[#This Row],[25Det]],-2)</f>
        <v>0</v>
      </c>
      <c r="BC1681" s="25">
        <f>ROUND(SUM(Inventory[[#This Row],[Mdl Qlty]:[Mdl WdDeck]])+Inventory[[#This Row],[Mdl Res Intercept]],-2)</f>
        <v>526500</v>
      </c>
      <c r="BD1681" s="25">
        <f>ROUND(Inventory[[#This Row],[Mdl Land Intercept]]+Inventory[[#This Row],[Mdl LnAcres]],-2)</f>
        <v>27600</v>
      </c>
      <c r="BE1681" s="25">
        <f>Inventory[[#This Row],[Unadj Res Value]]+Inventory[[#This Row],[Unadj Det Value]]+Inventory[[#This Row],[Unadj Land Value]]</f>
        <v>554100</v>
      </c>
      <c r="BF1681" s="36">
        <f>(Inventory[[#This Row],[Unadj Total Value]]-Inventory[[#This Row],[24Final]])/Inventory[[#This Row],[24Final]]</f>
        <v>0.14839378238341969</v>
      </c>
      <c r="BG1681" s="25">
        <f>VLOOKUP(Inventory[[#This Row],[Nbhd]],Lookups!$Q$2:$T$4,4,FALSE)</f>
        <v>0.99970000000000003</v>
      </c>
      <c r="BH1681" s="25">
        <f>VLOOKUP(Inventory[[#This Row],[Qlty]],Lookups!$O$7:$R$21,4,FALSE)</f>
        <v>0.98380000000000001</v>
      </c>
      <c r="BI1681" s="25">
        <f>VLOOKUP(Inventory[[#This Row],[Cnd]],Lookups!$T$7:$W$16,4,FALSE)</f>
        <v>1.0158</v>
      </c>
      <c r="BJ1681" s="25">
        <f>VLOOKUP(Inventory[[#This Row],[LivArea Range]],Lookups!$T$25:$W$37,4,FALSE)</f>
        <v>0.98919999999999997</v>
      </c>
      <c r="BK1681" s="25">
        <f>VLOOKUP(Inventory[[#This Row],[Decade]],Lookups!$O$25:$R$42,4,FALSE)</f>
        <v>1.0074000000000001</v>
      </c>
      <c r="BL1681" s="25">
        <f>Inventory[[#This Row],[Nbhd Adj]]*0.95</f>
        <v>0.94971499999999998</v>
      </c>
      <c r="BM1681" s="25">
        <f>Inventory[[#This Row],[Nbhd Adj]]*Inventory[[#This Row],[Quality Adj]]*Inventory[[#This Row],[Condition Adj]]*Inventory[[#This Row],[Living Area Adj]]*Inventory[[#This Row],[Decade Adj]]*0.95</f>
        <v>0.94578926062914082</v>
      </c>
      <c r="BN1681" s="25">
        <f>ROUND(SUM(Inventory[[#This Row],[Mdl Qlty]:[Mdl WdDeck]])+Inventory[[#This Row],[Mdl Res Intercept]]*Inventory[[#This Row],[Res Adj ]],-2)</f>
        <v>526500</v>
      </c>
      <c r="BO1681" s="25">
        <f>ROUND(Inventory[[#This Row],[25Det]]*Inventory[[#This Row],[Det/Nbhd Adj]],-2)</f>
        <v>0</v>
      </c>
      <c r="BP1681" s="25">
        <f>Inventory[[#This Row],[Adjusted Res]]+Inventory[[#This Row],[Adj Det ]]</f>
        <v>526500</v>
      </c>
      <c r="BQ1681" s="25">
        <f>ROUND((Inventory[[#This Row],[Mdl Land Intercept]]+Inventory[[#This Row],[Mdl LnAcres]])*Inventory[[#This Row],[Det/Nbhd Adj]],-2)</f>
        <v>26200</v>
      </c>
      <c r="BR1681" s="25">
        <f>Inventory[[#This Row],[Adjusted Impr Total]]+Inventory[[#This Row],[Adjusted Land Total]]</f>
        <v>552700</v>
      </c>
      <c r="BS1681" s="36">
        <f>IFERROR((Inventory[[#This Row],[Adjusted Impr Total]]-Inventory[[#This Row],[24Bldg]])/Inventory[[#This Row],[24Bldg]],0)</f>
        <v>0.20618556701030927</v>
      </c>
      <c r="BT1681" s="36">
        <f>(Inventory[[#This Row],[Adjusted Land Total]]-Inventory[[#This Row],[24Lnd]])/Inventory[[#This Row],[24Lnd]]</f>
        <v>-0.43043478260869567</v>
      </c>
      <c r="BU1681" s="36">
        <f>(Inventory[[#This Row],[Adjusted Total]]-Inventory[[#This Row],[24Final]])/Inventory[[#This Row],[24Final]]</f>
        <v>0.14549222797927461</v>
      </c>
    </row>
    <row r="1682" spans="1:73" x14ac:dyDescent="0.3">
      <c r="A1682" s="25">
        <v>2025</v>
      </c>
      <c r="B1682" s="26" t="s">
        <v>2885</v>
      </c>
      <c r="C1682" s="26">
        <f>LN(Inventory[[#This Row],[Acres]])</f>
        <v>-1.9661128563728327</v>
      </c>
      <c r="D1682" s="25">
        <v>0.14000000000000001</v>
      </c>
      <c r="E1682" s="32">
        <v>6098</v>
      </c>
      <c r="F1682" s="26" t="s">
        <v>624</v>
      </c>
      <c r="G1682" s="26" t="s">
        <v>544</v>
      </c>
      <c r="H1682" s="26" t="s">
        <v>349</v>
      </c>
      <c r="I1682" s="26" t="s">
        <v>625</v>
      </c>
      <c r="J1682" s="26" t="s">
        <v>2886</v>
      </c>
      <c r="K1682" s="26" t="s">
        <v>269</v>
      </c>
      <c r="L1682" s="26" t="s">
        <v>351</v>
      </c>
      <c r="M1682" s="26" t="s">
        <v>303</v>
      </c>
      <c r="N1682" s="26">
        <v>100</v>
      </c>
      <c r="O1682" s="26">
        <f>2024-Inventory[[#This Row],[YrBlt]]</f>
        <v>94</v>
      </c>
      <c r="P1682" s="26">
        <f>2024-Inventory[[#This Row],[EffYr]]</f>
        <v>54</v>
      </c>
      <c r="Q1682" s="25">
        <v>1930</v>
      </c>
      <c r="R1682" s="25">
        <v>1970</v>
      </c>
      <c r="S1682" s="25">
        <v>1639</v>
      </c>
      <c r="T1682" s="31"/>
      <c r="U1682" s="25">
        <v>1102</v>
      </c>
      <c r="V1682" s="25">
        <f>Inventory[[#This Row],[Bsmt]]-Inventory[[#This Row],[FnBsmt]]</f>
        <v>0</v>
      </c>
      <c r="W1682" s="25">
        <v>1102</v>
      </c>
      <c r="X1682" s="27"/>
      <c r="Y1682" s="27">
        <f>Inventory[[#This Row],[MainFn]]+Inventory[[#This Row],[UpprFn]]+Inventory[[#This Row],[FnBsmt]]+Inventory[[#This Row],[AddFn]]</f>
        <v>2741</v>
      </c>
      <c r="Z1682" s="27">
        <v>3000</v>
      </c>
      <c r="AA1682" s="25">
        <v>7</v>
      </c>
      <c r="AB1682" s="27"/>
      <c r="AC1682" s="27"/>
      <c r="AD1682" s="27"/>
      <c r="AE1682" s="27"/>
      <c r="AF1682" s="27"/>
      <c r="AG1682" s="32">
        <v>116</v>
      </c>
      <c r="AH1682" s="27"/>
      <c r="AI1682" s="25">
        <v>347930</v>
      </c>
      <c r="AJ1682" s="25">
        <v>274865</v>
      </c>
      <c r="AK1682" s="25">
        <v>0</v>
      </c>
      <c r="AL1682" s="25">
        <v>325750</v>
      </c>
      <c r="AM1682" s="25">
        <v>54550</v>
      </c>
      <c r="AN1682" s="25">
        <v>271200</v>
      </c>
      <c r="AO1682" s="25">
        <v>0</v>
      </c>
      <c r="AP1682" s="25">
        <f>Lookups!$B$56*0</f>
        <v>0</v>
      </c>
      <c r="AQ1682" s="25">
        <f>Lookups!$B$56*1</f>
        <v>89850.625589999996</v>
      </c>
      <c r="AR1682" s="25">
        <f>Lookups!$B$57*Inventory[[#This Row],[LnAcres]]</f>
        <v>-62236.546971921947</v>
      </c>
      <c r="AS1682" s="25">
        <f>VLOOKUP(Inventory[[#This Row],[Qlty]],Lookups!$A$62:$E$75,2,FALSE)</f>
        <v>21557.329055999999</v>
      </c>
      <c r="AT1682" s="25">
        <f>VLOOKUP(Inventory[[#This Row],[Cnd]],Lookups!$A$76:$E$84,2,FALSE)</f>
        <v>197752.34721000001</v>
      </c>
      <c r="AU1682" s="25">
        <f>Inventory[[#This Row],[EffAge]]*Lookups!$B$85</f>
        <v>-12044.462427</v>
      </c>
      <c r="AV1682" s="25">
        <f>Inventory[[#This Row],[MainFn]]*Lookups!$B$86</f>
        <v>80980.809928403003</v>
      </c>
      <c r="AW1682" s="25">
        <f>Inventory[[#This Row],[UpprFn]]*Lookups!$B$87</f>
        <v>0</v>
      </c>
      <c r="AX1682" s="25">
        <f>Inventory[[#This Row],[AddFn]]*Lookups!$B$88</f>
        <v>0</v>
      </c>
      <c r="AY1682" s="25">
        <f>Inventory[[#This Row],[Bsmt]]*Lookups!$B$89</f>
        <v>32048.248562194</v>
      </c>
      <c r="AZ1682" s="25">
        <f>Inventory[[#This Row],[Fixtures]]*Lookups!$B$90</f>
        <v>26544.1547364</v>
      </c>
      <c r="BA1682" s="25">
        <f>Inventory[[#This Row],[WdDeck]]*Lookups!$B$91</f>
        <v>0</v>
      </c>
      <c r="BB1682" s="25">
        <f>ROUND(Inventory[[#This Row],[25Det]],-2)</f>
        <v>0</v>
      </c>
      <c r="BC1682" s="25">
        <f>ROUND(SUM(Inventory[[#This Row],[Mdl Qlty]:[Mdl WdDeck]])+Inventory[[#This Row],[Mdl Res Intercept]],-2)</f>
        <v>346800</v>
      </c>
      <c r="BD1682" s="25">
        <f>ROUND(Inventory[[#This Row],[Mdl Land Intercept]]+Inventory[[#This Row],[Mdl LnAcres]],-2)</f>
        <v>27600</v>
      </c>
      <c r="BE1682" s="25">
        <f>Inventory[[#This Row],[Unadj Res Value]]+Inventory[[#This Row],[Unadj Det Value]]+Inventory[[#This Row],[Unadj Land Value]]</f>
        <v>374400</v>
      </c>
      <c r="BF1682" s="36">
        <f>(Inventory[[#This Row],[Unadj Total Value]]-Inventory[[#This Row],[24Final]])/Inventory[[#This Row],[24Final]]</f>
        <v>0.14934765924788948</v>
      </c>
      <c r="BG1682" s="25">
        <f>VLOOKUP(Inventory[[#This Row],[Nbhd]],Lookups!$Q$2:$T$4,4,FALSE)</f>
        <v>0.99970000000000003</v>
      </c>
      <c r="BH1682" s="25">
        <f>VLOOKUP(Inventory[[#This Row],[Qlty]],Lookups!$O$7:$R$21,4,FALSE)</f>
        <v>1.0067999999999999</v>
      </c>
      <c r="BI1682" s="25">
        <f>VLOOKUP(Inventory[[#This Row],[Cnd]],Lookups!$T$7:$W$16,4,FALSE)</f>
        <v>0.99650000000000005</v>
      </c>
      <c r="BJ1682" s="25">
        <f>VLOOKUP(Inventory[[#This Row],[LivArea Range]],Lookups!$T$25:$W$37,4,FALSE)</f>
        <v>0.96179999999999999</v>
      </c>
      <c r="BK1682" s="25">
        <f>VLOOKUP(Inventory[[#This Row],[Decade]],Lookups!$O$25:$R$42,4,FALSE)</f>
        <v>1.0074000000000001</v>
      </c>
      <c r="BL1682" s="25">
        <f>Inventory[[#This Row],[Nbhd Adj]]*0.95</f>
        <v>0.94971499999999998</v>
      </c>
      <c r="BM1682" s="25">
        <f>Inventory[[#This Row],[Nbhd Adj]]*Inventory[[#This Row],[Quality Adj]]*Inventory[[#This Row],[Condition Adj]]*Inventory[[#This Row],[Living Area Adj]]*Inventory[[#This Row],[Decade Adj]]*0.95</f>
        <v>0.92321005644682153</v>
      </c>
      <c r="BN1682" s="25">
        <f>ROUND(SUM(Inventory[[#This Row],[Mdl Qlty]:[Mdl WdDeck]])+Inventory[[#This Row],[Mdl Res Intercept]]*Inventory[[#This Row],[Res Adj ]],-2)</f>
        <v>346800</v>
      </c>
      <c r="BO1682" s="25">
        <f>ROUND(Inventory[[#This Row],[25Det]]*Inventory[[#This Row],[Det/Nbhd Adj]],-2)</f>
        <v>0</v>
      </c>
      <c r="BP1682" s="25">
        <f>Inventory[[#This Row],[Adjusted Res]]+Inventory[[#This Row],[Adj Det ]]</f>
        <v>346800</v>
      </c>
      <c r="BQ1682" s="25">
        <f>ROUND((Inventory[[#This Row],[Mdl Land Intercept]]+Inventory[[#This Row],[Mdl LnAcres]])*Inventory[[#This Row],[Det/Nbhd Adj]],-2)</f>
        <v>26200</v>
      </c>
      <c r="BR1682" s="25">
        <f>Inventory[[#This Row],[Adjusted Impr Total]]+Inventory[[#This Row],[Adjusted Land Total]]</f>
        <v>373000</v>
      </c>
      <c r="BS1682" s="36">
        <f>IFERROR((Inventory[[#This Row],[Adjusted Impr Total]]-Inventory[[#This Row],[24Bldg]])/Inventory[[#This Row],[24Bldg]],0)</f>
        <v>0.27876106194690264</v>
      </c>
      <c r="BT1682" s="36">
        <f>(Inventory[[#This Row],[Adjusted Land Total]]-Inventory[[#This Row],[24Lnd]])/Inventory[[#This Row],[24Lnd]]</f>
        <v>-0.51970669110907419</v>
      </c>
      <c r="BU1682" s="36">
        <f>(Inventory[[#This Row],[Adjusted Total]]-Inventory[[#This Row],[24Final]])/Inventory[[#This Row],[24Final]]</f>
        <v>0.14504988488104376</v>
      </c>
    </row>
    <row r="1683" spans="1:73" x14ac:dyDescent="0.3">
      <c r="A1683" s="25">
        <v>2025</v>
      </c>
      <c r="B1683" s="26" t="s">
        <v>2555</v>
      </c>
      <c r="C1683" s="26">
        <f>LN(Inventory[[#This Row],[Acres]])</f>
        <v>-1.8971199848858813</v>
      </c>
      <c r="D1683" s="25">
        <v>0.15</v>
      </c>
      <c r="E1683" s="32">
        <v>6500</v>
      </c>
      <c r="F1683" s="26" t="s">
        <v>537</v>
      </c>
      <c r="G1683" s="26" t="s">
        <v>126</v>
      </c>
      <c r="H1683" s="26" t="s">
        <v>349</v>
      </c>
      <c r="I1683" s="26" t="s">
        <v>538</v>
      </c>
      <c r="J1683" s="26" t="s">
        <v>539</v>
      </c>
      <c r="K1683" s="26" t="s">
        <v>242</v>
      </c>
      <c r="L1683" s="26" t="s">
        <v>351</v>
      </c>
      <c r="M1683" s="26" t="s">
        <v>303</v>
      </c>
      <c r="N1683" s="26">
        <v>100</v>
      </c>
      <c r="O1683" s="26">
        <f>2024-Inventory[[#This Row],[YrBlt]]</f>
        <v>94</v>
      </c>
      <c r="P1683" s="26">
        <f>2024-Inventory[[#This Row],[EffYr]]</f>
        <v>54</v>
      </c>
      <c r="Q1683" s="25">
        <v>1930</v>
      </c>
      <c r="R1683" s="25">
        <v>1970</v>
      </c>
      <c r="S1683" s="25">
        <v>1305</v>
      </c>
      <c r="T1683" s="31"/>
      <c r="U1683" s="25">
        <v>540</v>
      </c>
      <c r="V1683" s="25">
        <f>Inventory[[#This Row],[Bsmt]]-Inventory[[#This Row],[FnBsmt]]</f>
        <v>0</v>
      </c>
      <c r="W1683" s="25">
        <v>540</v>
      </c>
      <c r="X1683" s="27"/>
      <c r="Y1683" s="27">
        <f>Inventory[[#This Row],[MainFn]]+Inventory[[#This Row],[UpprFn]]+Inventory[[#This Row],[FnBsmt]]+Inventory[[#This Row],[AddFn]]</f>
        <v>1845</v>
      </c>
      <c r="Z1683" s="27">
        <v>2000</v>
      </c>
      <c r="AA1683" s="25">
        <v>5</v>
      </c>
      <c r="AB1683" s="27"/>
      <c r="AC1683" s="27"/>
      <c r="AD1683" s="32">
        <v>608</v>
      </c>
      <c r="AE1683" s="27"/>
      <c r="AF1683" s="27"/>
      <c r="AG1683" s="27"/>
      <c r="AH1683" s="27"/>
      <c r="AI1683" s="25">
        <v>269332</v>
      </c>
      <c r="AJ1683" s="25">
        <v>183146</v>
      </c>
      <c r="AK1683" s="25">
        <v>8098</v>
      </c>
      <c r="AL1683" s="25">
        <v>316800</v>
      </c>
      <c r="AM1683" s="25">
        <v>48400</v>
      </c>
      <c r="AN1683" s="25">
        <v>268400</v>
      </c>
      <c r="AO1683" s="25">
        <v>0</v>
      </c>
      <c r="AP1683" s="25">
        <f>Lookups!$B$56*0</f>
        <v>0</v>
      </c>
      <c r="AQ1683" s="25">
        <f>Lookups!$B$56*1</f>
        <v>89850.625589999996</v>
      </c>
      <c r="AR1683" s="25">
        <f>Lookups!$B$57*Inventory[[#This Row],[LnAcres]]</f>
        <v>-60052.604136134301</v>
      </c>
      <c r="AS1683" s="25">
        <f>VLOOKUP(Inventory[[#This Row],[Qlty]],Lookups!$A$62:$E$75,2,FALSE)</f>
        <v>21557.329055999999</v>
      </c>
      <c r="AT1683" s="25">
        <f>VLOOKUP(Inventory[[#This Row],[Cnd]],Lookups!$A$76:$E$84,2,FALSE)</f>
        <v>197752.34721000001</v>
      </c>
      <c r="AU1683" s="25">
        <f>Inventory[[#This Row],[EffAge]]*Lookups!$B$85</f>
        <v>-12044.462427</v>
      </c>
      <c r="AV1683" s="25">
        <f>Inventory[[#This Row],[MainFn]]*Lookups!$B$86</f>
        <v>64478.314189485005</v>
      </c>
      <c r="AW1683" s="25">
        <f>Inventory[[#This Row],[UpprFn]]*Lookups!$B$87</f>
        <v>0</v>
      </c>
      <c r="AX1683" s="25">
        <f>Inventory[[#This Row],[AddFn]]*Lookups!$B$88</f>
        <v>0</v>
      </c>
      <c r="AY1683" s="25">
        <f>Inventory[[#This Row],[Bsmt]]*Lookups!$B$89</f>
        <v>15704.223433379999</v>
      </c>
      <c r="AZ1683" s="25">
        <f>Inventory[[#This Row],[Fixtures]]*Lookups!$B$90</f>
        <v>18960.110526</v>
      </c>
      <c r="BA1683" s="25">
        <f>Inventory[[#This Row],[WdDeck]]*Lookups!$B$91</f>
        <v>20243.673287808</v>
      </c>
      <c r="BB1683" s="25">
        <f>ROUND(Inventory[[#This Row],[25Det]],-2)</f>
        <v>8100</v>
      </c>
      <c r="BC1683" s="25">
        <f>ROUND(SUM(Inventory[[#This Row],[Mdl Qlty]:[Mdl WdDeck]])+Inventory[[#This Row],[Mdl Res Intercept]],-2)</f>
        <v>326700</v>
      </c>
      <c r="BD1683" s="25">
        <f>ROUND(Inventory[[#This Row],[Mdl Land Intercept]]+Inventory[[#This Row],[Mdl LnAcres]],-2)</f>
        <v>29800</v>
      </c>
      <c r="BE1683" s="25">
        <f>Inventory[[#This Row],[Unadj Res Value]]+Inventory[[#This Row],[Unadj Det Value]]+Inventory[[#This Row],[Unadj Land Value]]</f>
        <v>364600</v>
      </c>
      <c r="BF1683" s="36">
        <f>(Inventory[[#This Row],[Unadj Total Value]]-Inventory[[#This Row],[24Final]])/Inventory[[#This Row],[24Final]]</f>
        <v>0.15088383838383837</v>
      </c>
      <c r="BG1683" s="25">
        <f>VLOOKUP(Inventory[[#This Row],[Nbhd]],Lookups!$Q$2:$T$4,4,FALSE)</f>
        <v>0.99970000000000003</v>
      </c>
      <c r="BH1683" s="25">
        <f>VLOOKUP(Inventory[[#This Row],[Qlty]],Lookups!$O$7:$R$21,4,FALSE)</f>
        <v>1.0067999999999999</v>
      </c>
      <c r="BI1683" s="25">
        <f>VLOOKUP(Inventory[[#This Row],[Cnd]],Lookups!$T$7:$W$16,4,FALSE)</f>
        <v>0.99650000000000005</v>
      </c>
      <c r="BJ1683" s="25">
        <f>VLOOKUP(Inventory[[#This Row],[LivArea Range]],Lookups!$T$25:$W$37,4,FALSE)</f>
        <v>1.0093000000000001</v>
      </c>
      <c r="BK1683" s="25">
        <f>VLOOKUP(Inventory[[#This Row],[Decade]],Lookups!$O$25:$R$42,4,FALSE)</f>
        <v>1.0074000000000001</v>
      </c>
      <c r="BL1683" s="25">
        <f>Inventory[[#This Row],[Nbhd Adj]]*0.95</f>
        <v>0.94971499999999998</v>
      </c>
      <c r="BM1683" s="25">
        <f>Inventory[[#This Row],[Nbhd Adj]]*Inventory[[#This Row],[Quality Adj]]*Inventory[[#This Row],[Condition Adj]]*Inventory[[#This Row],[Living Area Adj]]*Inventory[[#This Row],[Decade Adj]]*0.95</f>
        <v>0.96880423161964746</v>
      </c>
      <c r="BN1683" s="25">
        <f>ROUND(SUM(Inventory[[#This Row],[Mdl Qlty]:[Mdl WdDeck]])+Inventory[[#This Row],[Mdl Res Intercept]]*Inventory[[#This Row],[Res Adj ]],-2)</f>
        <v>326700</v>
      </c>
      <c r="BO1683" s="25">
        <f>ROUND(Inventory[[#This Row],[25Det]]*Inventory[[#This Row],[Det/Nbhd Adj]],-2)</f>
        <v>7700</v>
      </c>
      <c r="BP1683" s="25">
        <f>Inventory[[#This Row],[Adjusted Res]]+Inventory[[#This Row],[Adj Det ]]</f>
        <v>334400</v>
      </c>
      <c r="BQ1683" s="25">
        <f>ROUND((Inventory[[#This Row],[Mdl Land Intercept]]+Inventory[[#This Row],[Mdl LnAcres]])*Inventory[[#This Row],[Det/Nbhd Adj]],-2)</f>
        <v>28300</v>
      </c>
      <c r="BR1683" s="25">
        <f>Inventory[[#This Row],[Adjusted Impr Total]]+Inventory[[#This Row],[Adjusted Land Total]]</f>
        <v>362700</v>
      </c>
      <c r="BS1683" s="36">
        <f>IFERROR((Inventory[[#This Row],[Adjusted Impr Total]]-Inventory[[#This Row],[24Bldg]])/Inventory[[#This Row],[24Bldg]],0)</f>
        <v>0.24590163934426229</v>
      </c>
      <c r="BT1683" s="36">
        <f>(Inventory[[#This Row],[Adjusted Land Total]]-Inventory[[#This Row],[24Lnd]])/Inventory[[#This Row],[24Lnd]]</f>
        <v>-0.41528925619834711</v>
      </c>
      <c r="BU1683" s="36">
        <f>(Inventory[[#This Row],[Adjusted Total]]-Inventory[[#This Row],[24Final]])/Inventory[[#This Row],[24Final]]</f>
        <v>0.14488636363636365</v>
      </c>
    </row>
    <row r="1684" spans="1:73" x14ac:dyDescent="0.3">
      <c r="A1684" s="25">
        <v>2025</v>
      </c>
      <c r="B1684" s="26" t="s">
        <v>2422</v>
      </c>
      <c r="C1684" s="26">
        <f>LN(Inventory[[#This Row],[Acres]])</f>
        <v>-1.8971199848858813</v>
      </c>
      <c r="D1684" s="25">
        <v>0.15</v>
      </c>
      <c r="E1684" s="32">
        <v>6500</v>
      </c>
      <c r="F1684" s="26" t="s">
        <v>537</v>
      </c>
      <c r="G1684" s="26" t="s">
        <v>126</v>
      </c>
      <c r="H1684" s="26" t="s">
        <v>349</v>
      </c>
      <c r="I1684" s="26" t="s">
        <v>538</v>
      </c>
      <c r="J1684" s="26" t="s">
        <v>638</v>
      </c>
      <c r="K1684" s="26" t="s">
        <v>242</v>
      </c>
      <c r="L1684" s="26" t="s">
        <v>351</v>
      </c>
      <c r="M1684" s="26" t="s">
        <v>303</v>
      </c>
      <c r="N1684" s="26">
        <v>100</v>
      </c>
      <c r="O1684" s="26">
        <f>2024-Inventory[[#This Row],[YrBlt]]</f>
        <v>94</v>
      </c>
      <c r="P1684" s="26">
        <f>2024-Inventory[[#This Row],[EffYr]]</f>
        <v>54</v>
      </c>
      <c r="Q1684" s="25">
        <v>1930</v>
      </c>
      <c r="R1684" s="25">
        <v>1970</v>
      </c>
      <c r="S1684" s="25">
        <v>864</v>
      </c>
      <c r="T1684" s="31"/>
      <c r="U1684" s="25">
        <v>864</v>
      </c>
      <c r="V1684" s="32">
        <f>Inventory[[#This Row],[Bsmt]]-Inventory[[#This Row],[FnBsmt]]</f>
        <v>864</v>
      </c>
      <c r="W1684" s="27"/>
      <c r="X1684" s="27"/>
      <c r="Y1684" s="27">
        <f>Inventory[[#This Row],[MainFn]]+Inventory[[#This Row],[UpprFn]]+Inventory[[#This Row],[FnBsmt]]+Inventory[[#This Row],[AddFn]]</f>
        <v>864</v>
      </c>
      <c r="Z1684" s="27">
        <v>1000</v>
      </c>
      <c r="AA1684" s="25">
        <v>5</v>
      </c>
      <c r="AB1684" s="27"/>
      <c r="AC1684" s="27"/>
      <c r="AD1684" s="32">
        <v>72</v>
      </c>
      <c r="AE1684" s="27"/>
      <c r="AF1684" s="27"/>
      <c r="AG1684" s="27"/>
      <c r="AH1684" s="27"/>
      <c r="AI1684" s="25">
        <v>198742</v>
      </c>
      <c r="AJ1684" s="25">
        <v>135145</v>
      </c>
      <c r="AK1684" s="25">
        <v>8588</v>
      </c>
      <c r="AL1684" s="25">
        <v>290900</v>
      </c>
      <c r="AM1684" s="25">
        <v>48400</v>
      </c>
      <c r="AN1684" s="25">
        <v>242500</v>
      </c>
      <c r="AO1684" s="25">
        <v>0</v>
      </c>
      <c r="AP1684" s="25">
        <f>Lookups!$B$56*0</f>
        <v>0</v>
      </c>
      <c r="AQ1684" s="25">
        <f>Lookups!$B$56*1</f>
        <v>89850.625589999996</v>
      </c>
      <c r="AR1684" s="25">
        <f>Lookups!$B$57*Inventory[[#This Row],[LnAcres]]</f>
        <v>-60052.604136134301</v>
      </c>
      <c r="AS1684" s="25">
        <f>VLOOKUP(Inventory[[#This Row],[Qlty]],Lookups!$A$62:$E$75,2,FALSE)</f>
        <v>21557.329055999999</v>
      </c>
      <c r="AT1684" s="25">
        <f>VLOOKUP(Inventory[[#This Row],[Cnd]],Lookups!$A$76:$E$84,2,FALSE)</f>
        <v>197752.34721000001</v>
      </c>
      <c r="AU1684" s="25">
        <f>Inventory[[#This Row],[EffAge]]*Lookups!$B$85</f>
        <v>-12044.462427</v>
      </c>
      <c r="AV1684" s="25">
        <f>Inventory[[#This Row],[MainFn]]*Lookups!$B$86</f>
        <v>42689.090773727999</v>
      </c>
      <c r="AW1684" s="25">
        <f>Inventory[[#This Row],[UpprFn]]*Lookups!$B$87</f>
        <v>0</v>
      </c>
      <c r="AX1684" s="25">
        <f>Inventory[[#This Row],[AddFn]]*Lookups!$B$88</f>
        <v>0</v>
      </c>
      <c r="AY1684" s="25">
        <f>Inventory[[#This Row],[Bsmt]]*Lookups!$B$89</f>
        <v>25126.757493408</v>
      </c>
      <c r="AZ1684" s="25">
        <f>Inventory[[#This Row],[Fixtures]]*Lookups!$B$90</f>
        <v>18960.110526</v>
      </c>
      <c r="BA1684" s="25">
        <f>Inventory[[#This Row],[WdDeck]]*Lookups!$B$91</f>
        <v>2397.2770998720002</v>
      </c>
      <c r="BB1684" s="25">
        <f>ROUND(Inventory[[#This Row],[25Det]],-2)</f>
        <v>8600</v>
      </c>
      <c r="BC1684" s="25">
        <f>ROUND(SUM(Inventory[[#This Row],[Mdl Qlty]:[Mdl WdDeck]])+Inventory[[#This Row],[Mdl Res Intercept]],-2)</f>
        <v>296400</v>
      </c>
      <c r="BD1684" s="25">
        <f>ROUND(Inventory[[#This Row],[Mdl Land Intercept]]+Inventory[[#This Row],[Mdl LnAcres]],-2)</f>
        <v>29800</v>
      </c>
      <c r="BE1684" s="25">
        <f>Inventory[[#This Row],[Unadj Res Value]]+Inventory[[#This Row],[Unadj Det Value]]+Inventory[[#This Row],[Unadj Land Value]]</f>
        <v>334800</v>
      </c>
      <c r="BF1684" s="36">
        <f>(Inventory[[#This Row],[Unadj Total Value]]-Inventory[[#This Row],[24Final]])/Inventory[[#This Row],[24Final]]</f>
        <v>0.15091096596768649</v>
      </c>
      <c r="BG1684" s="25">
        <f>VLOOKUP(Inventory[[#This Row],[Nbhd]],Lookups!$Q$2:$T$4,4,FALSE)</f>
        <v>0.99970000000000003</v>
      </c>
      <c r="BH1684" s="25">
        <f>VLOOKUP(Inventory[[#This Row],[Qlty]],Lookups!$O$7:$R$21,4,FALSE)</f>
        <v>1.0067999999999999</v>
      </c>
      <c r="BI1684" s="25">
        <f>VLOOKUP(Inventory[[#This Row],[Cnd]],Lookups!$T$7:$W$16,4,FALSE)</f>
        <v>0.99650000000000005</v>
      </c>
      <c r="BJ1684" s="25">
        <f>VLOOKUP(Inventory[[#This Row],[LivArea Range]],Lookups!$T$25:$W$37,4,FALSE)</f>
        <v>1.0148999999999999</v>
      </c>
      <c r="BK1684" s="25">
        <f>VLOOKUP(Inventory[[#This Row],[Decade]],Lookups!$O$25:$R$42,4,FALSE)</f>
        <v>1.0074000000000001</v>
      </c>
      <c r="BL1684" s="25">
        <f>Inventory[[#This Row],[Nbhd Adj]]*0.95</f>
        <v>0.94971499999999998</v>
      </c>
      <c r="BM1684" s="25">
        <f>Inventory[[#This Row],[Nbhd Adj]]*Inventory[[#This Row],[Quality Adj]]*Inventory[[#This Row],[Condition Adj]]*Inventory[[#This Row],[Living Area Adj]]*Inventory[[#This Row],[Decade Adj]]*0.95</f>
        <v>0.97417954490318037</v>
      </c>
      <c r="BN1684" s="25">
        <f>ROUND(SUM(Inventory[[#This Row],[Mdl Qlty]:[Mdl WdDeck]])+Inventory[[#This Row],[Mdl Res Intercept]]*Inventory[[#This Row],[Res Adj ]],-2)</f>
        <v>296400</v>
      </c>
      <c r="BO1684" s="25">
        <f>ROUND(Inventory[[#This Row],[25Det]]*Inventory[[#This Row],[Det/Nbhd Adj]],-2)</f>
        <v>8200</v>
      </c>
      <c r="BP1684" s="25">
        <f>Inventory[[#This Row],[Adjusted Res]]+Inventory[[#This Row],[Adj Det ]]</f>
        <v>304600</v>
      </c>
      <c r="BQ1684" s="25">
        <f>ROUND((Inventory[[#This Row],[Mdl Land Intercept]]+Inventory[[#This Row],[Mdl LnAcres]])*Inventory[[#This Row],[Det/Nbhd Adj]],-2)</f>
        <v>28300</v>
      </c>
      <c r="BR1684" s="25">
        <f>Inventory[[#This Row],[Adjusted Impr Total]]+Inventory[[#This Row],[Adjusted Land Total]]</f>
        <v>332900</v>
      </c>
      <c r="BS1684" s="36">
        <f>IFERROR((Inventory[[#This Row],[Adjusted Impr Total]]-Inventory[[#This Row],[24Bldg]])/Inventory[[#This Row],[24Bldg]],0)</f>
        <v>0.25608247422680414</v>
      </c>
      <c r="BT1684" s="36">
        <f>(Inventory[[#This Row],[Adjusted Land Total]]-Inventory[[#This Row],[24Lnd]])/Inventory[[#This Row],[24Lnd]]</f>
        <v>-0.41528925619834711</v>
      </c>
      <c r="BU1684" s="36">
        <f>(Inventory[[#This Row],[Adjusted Total]]-Inventory[[#This Row],[24Final]])/Inventory[[#This Row],[24Final]]</f>
        <v>0.14437951185974562</v>
      </c>
    </row>
    <row r="1685" spans="1:73" x14ac:dyDescent="0.3">
      <c r="A1685" s="25">
        <v>2025</v>
      </c>
      <c r="B1685" s="26" t="s">
        <v>2423</v>
      </c>
      <c r="C1685" s="26">
        <f>LN(Inventory[[#This Row],[Acres]])</f>
        <v>-2.4079456086518722</v>
      </c>
      <c r="D1685" s="25">
        <v>0.09</v>
      </c>
      <c r="E1685" s="27"/>
      <c r="F1685" s="26" t="s">
        <v>537</v>
      </c>
      <c r="G1685" s="26" t="s">
        <v>126</v>
      </c>
      <c r="H1685" s="26" t="s">
        <v>349</v>
      </c>
      <c r="I1685" s="26" t="s">
        <v>538</v>
      </c>
      <c r="J1685" s="26" t="s">
        <v>539</v>
      </c>
      <c r="K1685" s="26" t="s">
        <v>269</v>
      </c>
      <c r="L1685" s="26" t="s">
        <v>351</v>
      </c>
      <c r="M1685" s="26" t="s">
        <v>206</v>
      </c>
      <c r="N1685" s="26">
        <v>100</v>
      </c>
      <c r="O1685" s="26">
        <f>2024-Inventory[[#This Row],[YrBlt]]</f>
        <v>94</v>
      </c>
      <c r="P1685" s="26">
        <f>2024-Inventory[[#This Row],[EffYr]]</f>
        <v>54</v>
      </c>
      <c r="Q1685" s="25">
        <v>1930</v>
      </c>
      <c r="R1685" s="25">
        <v>1970</v>
      </c>
      <c r="S1685" s="25">
        <v>993</v>
      </c>
      <c r="T1685" s="27"/>
      <c r="U1685" s="25">
        <v>993</v>
      </c>
      <c r="V1685" s="25">
        <f>Inventory[[#This Row],[Bsmt]]-Inventory[[#This Row],[FnBsmt]]</f>
        <v>993</v>
      </c>
      <c r="W1685" s="31"/>
      <c r="X1685" s="27"/>
      <c r="Y1685" s="27">
        <f>Inventory[[#This Row],[MainFn]]+Inventory[[#This Row],[UpprFn]]+Inventory[[#This Row],[FnBsmt]]+Inventory[[#This Row],[AddFn]]</f>
        <v>993</v>
      </c>
      <c r="Z1685" s="27">
        <v>1000</v>
      </c>
      <c r="AA1685" s="25">
        <v>5</v>
      </c>
      <c r="AB1685" s="27"/>
      <c r="AC1685" s="27"/>
      <c r="AD1685" s="27"/>
      <c r="AE1685" s="27"/>
      <c r="AF1685" s="27"/>
      <c r="AG1685" s="27"/>
      <c r="AH1685" s="27"/>
      <c r="AI1685" s="25">
        <v>204131</v>
      </c>
      <c r="AJ1685" s="25">
        <v>130644</v>
      </c>
      <c r="AK1685" s="25">
        <v>0</v>
      </c>
      <c r="AL1685" s="25">
        <v>221400</v>
      </c>
      <c r="AM1685" s="25">
        <v>30600</v>
      </c>
      <c r="AN1685" s="25">
        <v>190800</v>
      </c>
      <c r="AO1685" s="25">
        <v>0</v>
      </c>
      <c r="AP1685" s="25">
        <f>Lookups!$B$56*0</f>
        <v>0</v>
      </c>
      <c r="AQ1685" s="25">
        <f>Lookups!$B$56*1</f>
        <v>89850.625589999996</v>
      </c>
      <c r="AR1685" s="25">
        <f>Lookups!$B$57*Inventory[[#This Row],[LnAcres]]</f>
        <v>-76222.592967103381</v>
      </c>
      <c r="AS1685" s="25">
        <f>VLOOKUP(Inventory[[#This Row],[Qlty]],Lookups!$A$62:$E$75,2,FALSE)</f>
        <v>21557.329055999999</v>
      </c>
      <c r="AT1685" s="25">
        <f>VLOOKUP(Inventory[[#This Row],[Cnd]],Lookups!$A$76:$E$84,2,FALSE)</f>
        <v>133714.53821</v>
      </c>
      <c r="AU1685" s="25">
        <f>Inventory[[#This Row],[EffAge]]*Lookups!$B$85</f>
        <v>-12044.462427</v>
      </c>
      <c r="AV1685" s="25">
        <f>Inventory[[#This Row],[MainFn]]*Lookups!$B$86</f>
        <v>49062.809187860999</v>
      </c>
      <c r="AW1685" s="25">
        <f>Inventory[[#This Row],[UpprFn]]*Lookups!$B$87</f>
        <v>0</v>
      </c>
      <c r="AX1685" s="25">
        <f>Inventory[[#This Row],[AddFn]]*Lookups!$B$88</f>
        <v>0</v>
      </c>
      <c r="AY1685" s="25">
        <f>Inventory[[#This Row],[Bsmt]]*Lookups!$B$89</f>
        <v>28878.321980270997</v>
      </c>
      <c r="AZ1685" s="25">
        <f>Inventory[[#This Row],[Fixtures]]*Lookups!$B$90</f>
        <v>18960.110526</v>
      </c>
      <c r="BA1685" s="25">
        <f>Inventory[[#This Row],[WdDeck]]*Lookups!$B$91</f>
        <v>0</v>
      </c>
      <c r="BB1685" s="25">
        <f>ROUND(Inventory[[#This Row],[25Det]],-2)</f>
        <v>0</v>
      </c>
      <c r="BC1685" s="25">
        <f>ROUND(SUM(Inventory[[#This Row],[Mdl Qlty]:[Mdl WdDeck]])+Inventory[[#This Row],[Mdl Res Intercept]],-2)</f>
        <v>240100</v>
      </c>
      <c r="BD1685" s="25">
        <f>ROUND(Inventory[[#This Row],[Mdl Land Intercept]]+Inventory[[#This Row],[Mdl LnAcres]],-2)</f>
        <v>13600</v>
      </c>
      <c r="BE1685" s="25">
        <f>Inventory[[#This Row],[Unadj Res Value]]+Inventory[[#This Row],[Unadj Det Value]]+Inventory[[#This Row],[Unadj Land Value]]</f>
        <v>253700</v>
      </c>
      <c r="BF1685" s="36">
        <f>(Inventory[[#This Row],[Unadj Total Value]]-Inventory[[#This Row],[24Final]])/Inventory[[#This Row],[24Final]]</f>
        <v>0.14588979223125564</v>
      </c>
      <c r="BG1685" s="25">
        <f>VLOOKUP(Inventory[[#This Row],[Nbhd]],Lookups!$Q$2:$T$4,4,FALSE)</f>
        <v>0.99970000000000003</v>
      </c>
      <c r="BH1685" s="25">
        <f>VLOOKUP(Inventory[[#This Row],[Qlty]],Lookups!$O$7:$R$21,4,FALSE)</f>
        <v>1.0067999999999999</v>
      </c>
      <c r="BI1685" s="25">
        <f>VLOOKUP(Inventory[[#This Row],[Cnd]],Lookups!$T$7:$W$16,4,FALSE)</f>
        <v>0.99329999999999996</v>
      </c>
      <c r="BJ1685" s="25">
        <f>VLOOKUP(Inventory[[#This Row],[LivArea Range]],Lookups!$T$25:$W$37,4,FALSE)</f>
        <v>1.0148999999999999</v>
      </c>
      <c r="BK1685" s="25">
        <f>VLOOKUP(Inventory[[#This Row],[Decade]],Lookups!$O$25:$R$42,4,FALSE)</f>
        <v>1.0074000000000001</v>
      </c>
      <c r="BL1685" s="25">
        <f>Inventory[[#This Row],[Nbhd Adj]]*0.95</f>
        <v>0.94971499999999998</v>
      </c>
      <c r="BM1685" s="25">
        <f>Inventory[[#This Row],[Nbhd Adj]]*Inventory[[#This Row],[Quality Adj]]*Inventory[[#This Row],[Condition Adj]]*Inventory[[#This Row],[Living Area Adj]]*Inventory[[#This Row],[Decade Adj]]*0.95</f>
        <v>0.97105122122662213</v>
      </c>
      <c r="BN1685" s="25">
        <f>ROUND(SUM(Inventory[[#This Row],[Mdl Qlty]:[Mdl WdDeck]])+Inventory[[#This Row],[Mdl Res Intercept]]*Inventory[[#This Row],[Res Adj ]],-2)</f>
        <v>240100</v>
      </c>
      <c r="BO1685" s="25">
        <f>ROUND(Inventory[[#This Row],[25Det]]*Inventory[[#This Row],[Det/Nbhd Adj]],-2)</f>
        <v>0</v>
      </c>
      <c r="BP1685" s="25">
        <f>Inventory[[#This Row],[Adjusted Res]]+Inventory[[#This Row],[Adj Det ]]</f>
        <v>240100</v>
      </c>
      <c r="BQ1685" s="25">
        <f>ROUND((Inventory[[#This Row],[Mdl Land Intercept]]+Inventory[[#This Row],[Mdl LnAcres]])*Inventory[[#This Row],[Det/Nbhd Adj]],-2)</f>
        <v>12900</v>
      </c>
      <c r="BR1685" s="25">
        <f>Inventory[[#This Row],[Adjusted Impr Total]]+Inventory[[#This Row],[Adjusted Land Total]]</f>
        <v>253000</v>
      </c>
      <c r="BS1685" s="36">
        <f>IFERROR((Inventory[[#This Row],[Adjusted Impr Total]]-Inventory[[#This Row],[24Bldg]])/Inventory[[#This Row],[24Bldg]],0)</f>
        <v>0.25838574423480082</v>
      </c>
      <c r="BT1685" s="36">
        <f>(Inventory[[#This Row],[Adjusted Land Total]]-Inventory[[#This Row],[24Lnd]])/Inventory[[#This Row],[24Lnd]]</f>
        <v>-0.57843137254901966</v>
      </c>
      <c r="BU1685" s="36">
        <f>(Inventory[[#This Row],[Adjusted Total]]-Inventory[[#This Row],[24Final]])/Inventory[[#This Row],[24Final]]</f>
        <v>0.14272809394760613</v>
      </c>
    </row>
    <row r="1686" spans="1:73" x14ac:dyDescent="0.3">
      <c r="A1686" s="25">
        <v>2025</v>
      </c>
      <c r="B1686" s="26" t="s">
        <v>1625</v>
      </c>
      <c r="C1686" s="26">
        <f>LN(Inventory[[#This Row],[Acres]])</f>
        <v>-1.5141277326297755</v>
      </c>
      <c r="D1686" s="25">
        <v>0.22</v>
      </c>
      <c r="E1686" s="32">
        <v>9779</v>
      </c>
      <c r="F1686" s="26" t="s">
        <v>537</v>
      </c>
      <c r="G1686" s="26" t="s">
        <v>126</v>
      </c>
      <c r="H1686" s="26" t="s">
        <v>349</v>
      </c>
      <c r="I1686" s="26" t="s">
        <v>538</v>
      </c>
      <c r="J1686" s="26" t="s">
        <v>539</v>
      </c>
      <c r="K1686" s="26" t="s">
        <v>242</v>
      </c>
      <c r="L1686" s="26" t="s">
        <v>351</v>
      </c>
      <c r="M1686" s="26" t="s">
        <v>303</v>
      </c>
      <c r="N1686" s="26">
        <v>100</v>
      </c>
      <c r="O1686" s="26">
        <f>2024-Inventory[[#This Row],[YrBlt]]</f>
        <v>94</v>
      </c>
      <c r="P1686" s="26">
        <f>2024-Inventory[[#This Row],[EffYr]]</f>
        <v>54</v>
      </c>
      <c r="Q1686" s="25">
        <v>1930</v>
      </c>
      <c r="R1686" s="25">
        <v>1970</v>
      </c>
      <c r="S1686" s="25">
        <v>972</v>
      </c>
      <c r="T1686" s="27"/>
      <c r="U1686" s="25">
        <v>985</v>
      </c>
      <c r="V1686" s="25">
        <f>Inventory[[#This Row],[Bsmt]]-Inventory[[#This Row],[FnBsmt]]</f>
        <v>788</v>
      </c>
      <c r="W1686" s="25">
        <v>197</v>
      </c>
      <c r="X1686" s="27"/>
      <c r="Y1686" s="27">
        <f>Inventory[[#This Row],[MainFn]]+Inventory[[#This Row],[UpprFn]]+Inventory[[#This Row],[FnBsmt]]+Inventory[[#This Row],[AddFn]]</f>
        <v>1169</v>
      </c>
      <c r="Z1686" s="27">
        <v>1500</v>
      </c>
      <c r="AA1686" s="25">
        <v>5</v>
      </c>
      <c r="AB1686" s="27"/>
      <c r="AC1686" s="27"/>
      <c r="AD1686" s="32">
        <v>198</v>
      </c>
      <c r="AE1686" s="27"/>
      <c r="AF1686" s="27"/>
      <c r="AG1686" s="27"/>
      <c r="AH1686" s="27"/>
      <c r="AI1686" s="25">
        <v>219171</v>
      </c>
      <c r="AJ1686" s="25">
        <v>149036</v>
      </c>
      <c r="AK1686" s="25">
        <v>8886</v>
      </c>
      <c r="AL1686" s="25">
        <v>316800</v>
      </c>
      <c r="AM1686" s="25">
        <v>61700</v>
      </c>
      <c r="AN1686" s="25">
        <v>255100</v>
      </c>
      <c r="AO1686" s="25">
        <v>0</v>
      </c>
      <c r="AP1686" s="25">
        <f>Lookups!$B$56*0</f>
        <v>0</v>
      </c>
      <c r="AQ1686" s="25">
        <f>Lookups!$B$56*1</f>
        <v>89850.625589999996</v>
      </c>
      <c r="AR1686" s="25">
        <f>Lookups!$B$57*Inventory[[#This Row],[LnAcres]]</f>
        <v>-47929.131559187132</v>
      </c>
      <c r="AS1686" s="25">
        <f>VLOOKUP(Inventory[[#This Row],[Qlty]],Lookups!$A$62:$E$75,2,FALSE)</f>
        <v>21557.329055999999</v>
      </c>
      <c r="AT1686" s="25">
        <f>VLOOKUP(Inventory[[#This Row],[Cnd]],Lookups!$A$76:$E$84,2,FALSE)</f>
        <v>197752.34721000001</v>
      </c>
      <c r="AU1686" s="25">
        <f>Inventory[[#This Row],[EffAge]]*Lookups!$B$85</f>
        <v>-12044.462427</v>
      </c>
      <c r="AV1686" s="25">
        <f>Inventory[[#This Row],[MainFn]]*Lookups!$B$86</f>
        <v>48025.227120444004</v>
      </c>
      <c r="AW1686" s="25">
        <f>Inventory[[#This Row],[UpprFn]]*Lookups!$B$87</f>
        <v>0</v>
      </c>
      <c r="AX1686" s="25">
        <f>Inventory[[#This Row],[AddFn]]*Lookups!$B$88</f>
        <v>0</v>
      </c>
      <c r="AY1686" s="25">
        <f>Inventory[[#This Row],[Bsmt]]*Lookups!$B$89</f>
        <v>28645.666818294998</v>
      </c>
      <c r="AZ1686" s="25">
        <f>Inventory[[#This Row],[Fixtures]]*Lookups!$B$90</f>
        <v>18960.110526</v>
      </c>
      <c r="BA1686" s="25">
        <f>Inventory[[#This Row],[WdDeck]]*Lookups!$B$91</f>
        <v>6592.512024648001</v>
      </c>
      <c r="BB1686" s="25">
        <f>ROUND(Inventory[[#This Row],[25Det]],-2)</f>
        <v>8900</v>
      </c>
      <c r="BC1686" s="25">
        <f>ROUND(SUM(Inventory[[#This Row],[Mdl Qlty]:[Mdl WdDeck]])+Inventory[[#This Row],[Mdl Res Intercept]],-2)</f>
        <v>309500</v>
      </c>
      <c r="BD1686" s="25">
        <f>ROUND(Inventory[[#This Row],[Mdl Land Intercept]]+Inventory[[#This Row],[Mdl LnAcres]],-2)</f>
        <v>41900</v>
      </c>
      <c r="BE1686" s="25">
        <f>Inventory[[#This Row],[Unadj Res Value]]+Inventory[[#This Row],[Unadj Det Value]]+Inventory[[#This Row],[Unadj Land Value]]</f>
        <v>360300</v>
      </c>
      <c r="BF1686" s="36">
        <f>(Inventory[[#This Row],[Unadj Total Value]]-Inventory[[#This Row],[24Final]])/Inventory[[#This Row],[24Final]]</f>
        <v>0.13731060606060605</v>
      </c>
      <c r="BG1686" s="25">
        <f>VLOOKUP(Inventory[[#This Row],[Nbhd]],Lookups!$Q$2:$T$4,4,FALSE)</f>
        <v>0.99970000000000003</v>
      </c>
      <c r="BH1686" s="25">
        <f>VLOOKUP(Inventory[[#This Row],[Qlty]],Lookups!$O$7:$R$21,4,FALSE)</f>
        <v>1.0067999999999999</v>
      </c>
      <c r="BI1686" s="25">
        <f>VLOOKUP(Inventory[[#This Row],[Cnd]],Lookups!$T$7:$W$16,4,FALSE)</f>
        <v>0.99650000000000005</v>
      </c>
      <c r="BJ1686" s="25">
        <f>VLOOKUP(Inventory[[#This Row],[LivArea Range]],Lookups!$T$25:$W$37,4,FALSE)</f>
        <v>1.0157</v>
      </c>
      <c r="BK1686" s="25">
        <f>VLOOKUP(Inventory[[#This Row],[Decade]],Lookups!$O$25:$R$42,4,FALSE)</f>
        <v>1.0074000000000001</v>
      </c>
      <c r="BL1686" s="25">
        <f>Inventory[[#This Row],[Nbhd Adj]]*0.95</f>
        <v>0.94971499999999998</v>
      </c>
      <c r="BM1686" s="25">
        <f>Inventory[[#This Row],[Nbhd Adj]]*Inventory[[#This Row],[Quality Adj]]*Inventory[[#This Row],[Condition Adj]]*Inventory[[#This Row],[Living Area Adj]]*Inventory[[#This Row],[Decade Adj]]*0.95</f>
        <v>0.97494744680082823</v>
      </c>
      <c r="BN1686" s="25">
        <f>ROUND(SUM(Inventory[[#This Row],[Mdl Qlty]:[Mdl WdDeck]])+Inventory[[#This Row],[Mdl Res Intercept]]*Inventory[[#This Row],[Res Adj ]],-2)</f>
        <v>309500</v>
      </c>
      <c r="BO1686" s="25">
        <f>ROUND(Inventory[[#This Row],[25Det]]*Inventory[[#This Row],[Det/Nbhd Adj]],-2)</f>
        <v>8400</v>
      </c>
      <c r="BP1686" s="25">
        <f>Inventory[[#This Row],[Adjusted Res]]+Inventory[[#This Row],[Adj Det ]]</f>
        <v>317900</v>
      </c>
      <c r="BQ1686" s="25">
        <f>ROUND((Inventory[[#This Row],[Mdl Land Intercept]]+Inventory[[#This Row],[Mdl LnAcres]])*Inventory[[#This Row],[Det/Nbhd Adj]],-2)</f>
        <v>39800</v>
      </c>
      <c r="BR1686" s="25">
        <f>Inventory[[#This Row],[Adjusted Impr Total]]+Inventory[[#This Row],[Adjusted Land Total]]</f>
        <v>357700</v>
      </c>
      <c r="BS1686" s="36">
        <f>IFERROR((Inventory[[#This Row],[Adjusted Impr Total]]-Inventory[[#This Row],[24Bldg]])/Inventory[[#This Row],[24Bldg]],0)</f>
        <v>0.24617796942375539</v>
      </c>
      <c r="BT1686" s="36">
        <f>(Inventory[[#This Row],[Adjusted Land Total]]-Inventory[[#This Row],[24Lnd]])/Inventory[[#This Row],[24Lnd]]</f>
        <v>-0.35494327390599678</v>
      </c>
      <c r="BU1686" s="36">
        <f>(Inventory[[#This Row],[Adjusted Total]]-Inventory[[#This Row],[24Final]])/Inventory[[#This Row],[24Final]]</f>
        <v>0.12910353535353536</v>
      </c>
    </row>
    <row r="1687" spans="1:73" x14ac:dyDescent="0.3">
      <c r="A1687" s="25">
        <v>2025</v>
      </c>
      <c r="B1687" s="26" t="s">
        <v>633</v>
      </c>
      <c r="C1687" s="26">
        <f>LN(Inventory[[#This Row],[Acres]])</f>
        <v>-1.5606477482646683</v>
      </c>
      <c r="D1687" s="25">
        <v>0.21</v>
      </c>
      <c r="E1687" s="32">
        <v>9218</v>
      </c>
      <c r="F1687" s="26" t="s">
        <v>537</v>
      </c>
      <c r="G1687" s="26" t="s">
        <v>126</v>
      </c>
      <c r="H1687" s="26" t="s">
        <v>349</v>
      </c>
      <c r="I1687" s="26" t="s">
        <v>538</v>
      </c>
      <c r="J1687" s="26" t="s">
        <v>539</v>
      </c>
      <c r="K1687" s="26" t="s">
        <v>242</v>
      </c>
      <c r="L1687" s="26" t="s">
        <v>351</v>
      </c>
      <c r="M1687" s="26" t="s">
        <v>303</v>
      </c>
      <c r="N1687" s="26">
        <v>100</v>
      </c>
      <c r="O1687" s="26">
        <f>2024-Inventory[[#This Row],[YrBlt]]</f>
        <v>94</v>
      </c>
      <c r="P1687" s="26">
        <f>2024-Inventory[[#This Row],[EffYr]]</f>
        <v>54</v>
      </c>
      <c r="Q1687" s="25">
        <v>1930</v>
      </c>
      <c r="R1687" s="25">
        <v>1970</v>
      </c>
      <c r="S1687" s="25">
        <v>976</v>
      </c>
      <c r="T1687" s="27"/>
      <c r="U1687" s="25">
        <v>864</v>
      </c>
      <c r="V1687" s="25">
        <f>Inventory[[#This Row],[Bsmt]]-Inventory[[#This Row],[FnBsmt]]</f>
        <v>864</v>
      </c>
      <c r="W1687" s="31"/>
      <c r="X1687" s="27"/>
      <c r="Y1687" s="27">
        <f>Inventory[[#This Row],[MainFn]]+Inventory[[#This Row],[UpprFn]]+Inventory[[#This Row],[FnBsmt]]+Inventory[[#This Row],[AddFn]]</f>
        <v>976</v>
      </c>
      <c r="Z1687" s="27">
        <v>1000</v>
      </c>
      <c r="AA1687" s="25">
        <v>5</v>
      </c>
      <c r="AB1687" s="27"/>
      <c r="AC1687" s="27"/>
      <c r="AD1687" s="31"/>
      <c r="AE1687" s="27"/>
      <c r="AF1687" s="27"/>
      <c r="AG1687" s="27"/>
      <c r="AH1687" s="27"/>
      <c r="AI1687" s="25">
        <v>198975</v>
      </c>
      <c r="AJ1687" s="25">
        <v>135303</v>
      </c>
      <c r="AK1687" s="25">
        <v>3867</v>
      </c>
      <c r="AL1687" s="25">
        <v>302900</v>
      </c>
      <c r="AM1687" s="25">
        <v>60100</v>
      </c>
      <c r="AN1687" s="25">
        <v>242800</v>
      </c>
      <c r="AO1687" s="25">
        <v>0</v>
      </c>
      <c r="AP1687" s="25">
        <f>Lookups!$B$56*0</f>
        <v>0</v>
      </c>
      <c r="AQ1687" s="25">
        <f>Lookups!$B$56*1</f>
        <v>89850.625589999996</v>
      </c>
      <c r="AR1687" s="25">
        <f>Lookups!$B$57*Inventory[[#This Row],[LnAcres]]</f>
        <v>-49401.70477837498</v>
      </c>
      <c r="AS1687" s="25">
        <f>VLOOKUP(Inventory[[#This Row],[Qlty]],Lookups!$A$62:$E$75,2,FALSE)</f>
        <v>21557.329055999999</v>
      </c>
      <c r="AT1687" s="25">
        <f>VLOOKUP(Inventory[[#This Row],[Cnd]],Lookups!$A$76:$E$84,2,FALSE)</f>
        <v>197752.34721000001</v>
      </c>
      <c r="AU1687" s="25">
        <f>Inventory[[#This Row],[EffAge]]*Lookups!$B$85</f>
        <v>-12044.462427</v>
      </c>
      <c r="AV1687" s="25">
        <f>Inventory[[#This Row],[MainFn]]*Lookups!$B$86</f>
        <v>48222.861799951999</v>
      </c>
      <c r="AW1687" s="25">
        <f>Inventory[[#This Row],[UpprFn]]*Lookups!$B$87</f>
        <v>0</v>
      </c>
      <c r="AX1687" s="25">
        <f>Inventory[[#This Row],[AddFn]]*Lookups!$B$88</f>
        <v>0</v>
      </c>
      <c r="AY1687" s="25">
        <f>Inventory[[#This Row],[Bsmt]]*Lookups!$B$89</f>
        <v>25126.757493408</v>
      </c>
      <c r="AZ1687" s="25">
        <f>Inventory[[#This Row],[Fixtures]]*Lookups!$B$90</f>
        <v>18960.110526</v>
      </c>
      <c r="BA1687" s="25">
        <f>Inventory[[#This Row],[WdDeck]]*Lookups!$B$91</f>
        <v>0</v>
      </c>
      <c r="BB1687" s="25">
        <f>ROUND(Inventory[[#This Row],[25Det]],-2)</f>
        <v>3900</v>
      </c>
      <c r="BC1687" s="25">
        <f>ROUND(SUM(Inventory[[#This Row],[Mdl Qlty]:[Mdl WdDeck]])+Inventory[[#This Row],[Mdl Res Intercept]],-2)</f>
        <v>299600</v>
      </c>
      <c r="BD1687" s="25">
        <f>ROUND(Inventory[[#This Row],[Mdl Land Intercept]]+Inventory[[#This Row],[Mdl LnAcres]],-2)</f>
        <v>40400</v>
      </c>
      <c r="BE1687" s="25">
        <f>Inventory[[#This Row],[Unadj Res Value]]+Inventory[[#This Row],[Unadj Det Value]]+Inventory[[#This Row],[Unadj Land Value]]</f>
        <v>343900</v>
      </c>
      <c r="BF1687" s="36">
        <f>(Inventory[[#This Row],[Unadj Total Value]]-Inventory[[#This Row],[24Final]])/Inventory[[#This Row],[24Final]]</f>
        <v>0.13535820402773194</v>
      </c>
      <c r="BG1687" s="25">
        <f>VLOOKUP(Inventory[[#This Row],[Nbhd]],Lookups!$Q$2:$T$4,4,FALSE)</f>
        <v>0.99970000000000003</v>
      </c>
      <c r="BH1687" s="25">
        <f>VLOOKUP(Inventory[[#This Row],[Qlty]],Lookups!$O$7:$R$21,4,FALSE)</f>
        <v>1.0067999999999999</v>
      </c>
      <c r="BI1687" s="25">
        <f>VLOOKUP(Inventory[[#This Row],[Cnd]],Lookups!$T$7:$W$16,4,FALSE)</f>
        <v>0.99650000000000005</v>
      </c>
      <c r="BJ1687" s="25">
        <f>VLOOKUP(Inventory[[#This Row],[LivArea Range]],Lookups!$T$25:$W$37,4,FALSE)</f>
        <v>1.0148999999999999</v>
      </c>
      <c r="BK1687" s="25">
        <f>VLOOKUP(Inventory[[#This Row],[Decade]],Lookups!$O$25:$R$42,4,FALSE)</f>
        <v>1.0074000000000001</v>
      </c>
      <c r="BL1687" s="25">
        <f>Inventory[[#This Row],[Nbhd Adj]]*0.95</f>
        <v>0.94971499999999998</v>
      </c>
      <c r="BM1687" s="25">
        <f>Inventory[[#This Row],[Nbhd Adj]]*Inventory[[#This Row],[Quality Adj]]*Inventory[[#This Row],[Condition Adj]]*Inventory[[#This Row],[Living Area Adj]]*Inventory[[#This Row],[Decade Adj]]*0.95</f>
        <v>0.97417954490318037</v>
      </c>
      <c r="BN1687" s="25">
        <f>ROUND(SUM(Inventory[[#This Row],[Mdl Qlty]:[Mdl WdDeck]])+Inventory[[#This Row],[Mdl Res Intercept]]*Inventory[[#This Row],[Res Adj ]],-2)</f>
        <v>299600</v>
      </c>
      <c r="BO1687" s="25">
        <f>ROUND(Inventory[[#This Row],[25Det]]*Inventory[[#This Row],[Det/Nbhd Adj]],-2)</f>
        <v>3700</v>
      </c>
      <c r="BP1687" s="25">
        <f>Inventory[[#This Row],[Adjusted Res]]+Inventory[[#This Row],[Adj Det ]]</f>
        <v>303300</v>
      </c>
      <c r="BQ1687" s="25">
        <f>ROUND((Inventory[[#This Row],[Mdl Land Intercept]]+Inventory[[#This Row],[Mdl LnAcres]])*Inventory[[#This Row],[Det/Nbhd Adj]],-2)</f>
        <v>38400</v>
      </c>
      <c r="BR1687" s="25">
        <f>Inventory[[#This Row],[Adjusted Impr Total]]+Inventory[[#This Row],[Adjusted Land Total]]</f>
        <v>341700</v>
      </c>
      <c r="BS1687" s="36">
        <f>IFERROR((Inventory[[#This Row],[Adjusted Impr Total]]-Inventory[[#This Row],[24Bldg]])/Inventory[[#This Row],[24Bldg]],0)</f>
        <v>0.24917627677100493</v>
      </c>
      <c r="BT1687" s="36">
        <f>(Inventory[[#This Row],[Adjusted Land Total]]-Inventory[[#This Row],[24Lnd]])/Inventory[[#This Row],[24Lnd]]</f>
        <v>-0.36106489184692181</v>
      </c>
      <c r="BU1687" s="36">
        <f>(Inventory[[#This Row],[Adjusted Total]]-Inventory[[#This Row],[24Final]])/Inventory[[#This Row],[24Final]]</f>
        <v>0.12809508088478044</v>
      </c>
    </row>
    <row r="1688" spans="1:73" x14ac:dyDescent="0.3">
      <c r="A1688" s="25">
        <v>2025</v>
      </c>
      <c r="B1688" s="26" t="s">
        <v>1202</v>
      </c>
      <c r="C1688" s="26">
        <f>LN(Inventory[[#This Row],[Acres]])</f>
        <v>-2.2072749131897207</v>
      </c>
      <c r="D1688" s="25">
        <v>0.11</v>
      </c>
      <c r="E1688" s="25">
        <v>4673</v>
      </c>
      <c r="F1688" s="26" t="s">
        <v>537</v>
      </c>
      <c r="G1688" s="26" t="s">
        <v>126</v>
      </c>
      <c r="H1688" s="26" t="s">
        <v>349</v>
      </c>
      <c r="I1688" s="26" t="s">
        <v>538</v>
      </c>
      <c r="J1688" s="26" t="s">
        <v>539</v>
      </c>
      <c r="K1688" s="26" t="s">
        <v>242</v>
      </c>
      <c r="L1688" s="26" t="s">
        <v>351</v>
      </c>
      <c r="M1688" s="26" t="s">
        <v>323</v>
      </c>
      <c r="N1688" s="26">
        <v>100</v>
      </c>
      <c r="O1688" s="26">
        <f>2024-Inventory[[#This Row],[YrBlt]]</f>
        <v>94</v>
      </c>
      <c r="P1688" s="26">
        <f>2024-Inventory[[#This Row],[EffYr]]</f>
        <v>54</v>
      </c>
      <c r="Q1688" s="25">
        <v>1930</v>
      </c>
      <c r="R1688" s="25">
        <v>1970</v>
      </c>
      <c r="S1688" s="25">
        <v>1068</v>
      </c>
      <c r="T1688" s="27"/>
      <c r="U1688" s="32">
        <v>422</v>
      </c>
      <c r="V1688" s="32">
        <f>Inventory[[#This Row],[Bsmt]]-Inventory[[#This Row],[FnBsmt]]</f>
        <v>422</v>
      </c>
      <c r="W1688" s="27"/>
      <c r="X1688" s="27"/>
      <c r="Y1688" s="27">
        <f>Inventory[[#This Row],[MainFn]]+Inventory[[#This Row],[UpprFn]]+Inventory[[#This Row],[FnBsmt]]+Inventory[[#This Row],[AddFn]]</f>
        <v>1068</v>
      </c>
      <c r="Z1688" s="27">
        <v>1500</v>
      </c>
      <c r="AA1688" s="25">
        <v>5</v>
      </c>
      <c r="AB1688" s="31"/>
      <c r="AC1688" s="27"/>
      <c r="AD1688" s="32">
        <v>264</v>
      </c>
      <c r="AE1688" s="27"/>
      <c r="AF1688" s="27"/>
      <c r="AG1688" s="27"/>
      <c r="AH1688" s="27"/>
      <c r="AI1688" s="25">
        <v>200231</v>
      </c>
      <c r="AJ1688" s="25">
        <v>132152</v>
      </c>
      <c r="AK1688" s="25">
        <v>0</v>
      </c>
      <c r="AL1688" s="25">
        <v>250300</v>
      </c>
      <c r="AM1688" s="25">
        <v>37600</v>
      </c>
      <c r="AN1688" s="25">
        <v>212700</v>
      </c>
      <c r="AO1688" s="25">
        <v>0</v>
      </c>
      <c r="AP1688" s="25">
        <f>Lookups!$B$56*0</f>
        <v>0</v>
      </c>
      <c r="AQ1688" s="25">
        <f>Lookups!$B$56*1</f>
        <v>89850.625589999996</v>
      </c>
      <c r="AR1688" s="25">
        <f>Lookups!$B$57*Inventory[[#This Row],[LnAcres]]</f>
        <v>-69870.439211769743</v>
      </c>
      <c r="AS1688" s="25">
        <f>VLOOKUP(Inventory[[#This Row],[Qlty]],Lookups!$A$62:$E$75,2,FALSE)</f>
        <v>21557.329055999999</v>
      </c>
      <c r="AT1688" s="25">
        <f>VLOOKUP(Inventory[[#This Row],[Cnd]],Lookups!$A$76:$E$84,2,FALSE)</f>
        <v>160472.20319</v>
      </c>
      <c r="AU1688" s="25">
        <f>Inventory[[#This Row],[EffAge]]*Lookups!$B$85</f>
        <v>-12044.462427</v>
      </c>
      <c r="AV1688" s="25">
        <f>Inventory[[#This Row],[MainFn]]*Lookups!$B$86</f>
        <v>52768.459428636001</v>
      </c>
      <c r="AW1688" s="25">
        <f>Inventory[[#This Row],[UpprFn]]*Lookups!$B$87</f>
        <v>0</v>
      </c>
      <c r="AX1688" s="25">
        <f>Inventory[[#This Row],[AddFn]]*Lookups!$B$88</f>
        <v>0</v>
      </c>
      <c r="AY1688" s="25">
        <f>Inventory[[#This Row],[Bsmt]]*Lookups!$B$89</f>
        <v>12272.559794233999</v>
      </c>
      <c r="AZ1688" s="25">
        <f>Inventory[[#This Row],[Fixtures]]*Lookups!$B$90</f>
        <v>18960.110526</v>
      </c>
      <c r="BA1688" s="25">
        <f>Inventory[[#This Row],[WdDeck]]*Lookups!$B$91</f>
        <v>8790.0160328640013</v>
      </c>
      <c r="BB1688" s="25">
        <f>ROUND(Inventory[[#This Row],[25Det]],-2)</f>
        <v>0</v>
      </c>
      <c r="BC1688" s="25">
        <f>ROUND(SUM(Inventory[[#This Row],[Mdl Qlty]:[Mdl WdDeck]])+Inventory[[#This Row],[Mdl Res Intercept]],-2)</f>
        <v>262800</v>
      </c>
      <c r="BD1688" s="25">
        <f>ROUND(Inventory[[#This Row],[Mdl Land Intercept]]+Inventory[[#This Row],[Mdl LnAcres]],-2)</f>
        <v>20000</v>
      </c>
      <c r="BE1688" s="25">
        <f>Inventory[[#This Row],[Unadj Res Value]]+Inventory[[#This Row],[Unadj Det Value]]+Inventory[[#This Row],[Unadj Land Value]]</f>
        <v>282800</v>
      </c>
      <c r="BF1688" s="36">
        <f>(Inventory[[#This Row],[Unadj Total Value]]-Inventory[[#This Row],[24Final]])/Inventory[[#This Row],[24Final]]</f>
        <v>0.12984418697562924</v>
      </c>
      <c r="BG1688" s="25">
        <f>VLOOKUP(Inventory[[#This Row],[Nbhd]],Lookups!$Q$2:$T$4,4,FALSE)</f>
        <v>0.99970000000000003</v>
      </c>
      <c r="BH1688" s="25">
        <f>VLOOKUP(Inventory[[#This Row],[Qlty]],Lookups!$O$7:$R$21,4,FALSE)</f>
        <v>1.0067999999999999</v>
      </c>
      <c r="BI1688" s="25">
        <f>VLOOKUP(Inventory[[#This Row],[Cnd]],Lookups!$T$7:$W$16,4,FALSE)</f>
        <v>0.99729999999999996</v>
      </c>
      <c r="BJ1688" s="25">
        <f>VLOOKUP(Inventory[[#This Row],[LivArea Range]],Lookups!$T$25:$W$37,4,FALSE)</f>
        <v>1.0157</v>
      </c>
      <c r="BK1688" s="25">
        <f>VLOOKUP(Inventory[[#This Row],[Decade]],Lookups!$O$25:$R$42,4,FALSE)</f>
        <v>1.0074000000000001</v>
      </c>
      <c r="BL1688" s="25">
        <f>Inventory[[#This Row],[Nbhd Adj]]*0.95</f>
        <v>0.94971499999999998</v>
      </c>
      <c r="BM1688" s="25">
        <f>Inventory[[#This Row],[Nbhd Adj]]*Inventory[[#This Row],[Quality Adj]]*Inventory[[#This Row],[Condition Adj]]*Inventory[[#This Row],[Living Area Adj]]*Inventory[[#This Row],[Decade Adj]]*0.95</f>
        <v>0.97573014419916293</v>
      </c>
      <c r="BN1688" s="25">
        <f>ROUND(SUM(Inventory[[#This Row],[Mdl Qlty]:[Mdl WdDeck]])+Inventory[[#This Row],[Mdl Res Intercept]]*Inventory[[#This Row],[Res Adj ]],-2)</f>
        <v>262800</v>
      </c>
      <c r="BO1688" s="25">
        <f>ROUND(Inventory[[#This Row],[25Det]]*Inventory[[#This Row],[Det/Nbhd Adj]],-2)</f>
        <v>0</v>
      </c>
      <c r="BP1688" s="25">
        <f>Inventory[[#This Row],[Adjusted Res]]+Inventory[[#This Row],[Adj Det ]]</f>
        <v>262800</v>
      </c>
      <c r="BQ1688" s="25">
        <f>ROUND((Inventory[[#This Row],[Mdl Land Intercept]]+Inventory[[#This Row],[Mdl LnAcres]])*Inventory[[#This Row],[Det/Nbhd Adj]],-2)</f>
        <v>19000</v>
      </c>
      <c r="BR1688" s="25">
        <f>Inventory[[#This Row],[Adjusted Impr Total]]+Inventory[[#This Row],[Adjusted Land Total]]</f>
        <v>281800</v>
      </c>
      <c r="BS1688" s="36">
        <f>IFERROR((Inventory[[#This Row],[Adjusted Impr Total]]-Inventory[[#This Row],[24Bldg]])/Inventory[[#This Row],[24Bldg]],0)</f>
        <v>0.23554301833568406</v>
      </c>
      <c r="BT1688" s="36">
        <f>(Inventory[[#This Row],[Adjusted Land Total]]-Inventory[[#This Row],[24Lnd]])/Inventory[[#This Row],[24Lnd]]</f>
        <v>-0.49468085106382981</v>
      </c>
      <c r="BU1688" s="36">
        <f>(Inventory[[#This Row],[Adjusted Total]]-Inventory[[#This Row],[24Final]])/Inventory[[#This Row],[24Final]]</f>
        <v>0.12584898122253296</v>
      </c>
    </row>
    <row r="1689" spans="1:73" x14ac:dyDescent="0.3">
      <c r="A1689" s="25">
        <v>2025</v>
      </c>
      <c r="B1689" s="26" t="s">
        <v>1869</v>
      </c>
      <c r="C1689" s="26">
        <f>LN(Inventory[[#This Row],[Acres]])</f>
        <v>-1.8325814637483102</v>
      </c>
      <c r="D1689" s="25">
        <v>0.16</v>
      </c>
      <c r="E1689" s="27"/>
      <c r="F1689" s="26" t="s">
        <v>537</v>
      </c>
      <c r="G1689" s="26" t="s">
        <v>126</v>
      </c>
      <c r="H1689" s="26" t="s">
        <v>349</v>
      </c>
      <c r="I1689" s="26" t="s">
        <v>538</v>
      </c>
      <c r="J1689" s="26" t="s">
        <v>539</v>
      </c>
      <c r="K1689" s="26" t="s">
        <v>269</v>
      </c>
      <c r="L1689" s="26" t="s">
        <v>148</v>
      </c>
      <c r="M1689" s="26" t="s">
        <v>303</v>
      </c>
      <c r="N1689" s="26">
        <v>100</v>
      </c>
      <c r="O1689" s="26">
        <f>2024-Inventory[[#This Row],[YrBlt]]</f>
        <v>94</v>
      </c>
      <c r="P1689" s="26">
        <f>2024-Inventory[[#This Row],[EffYr]]</f>
        <v>54</v>
      </c>
      <c r="Q1689" s="25">
        <v>1930</v>
      </c>
      <c r="R1689" s="25">
        <v>1970</v>
      </c>
      <c r="S1689" s="25">
        <v>1024</v>
      </c>
      <c r="T1689" s="27"/>
      <c r="U1689" s="25">
        <v>1024</v>
      </c>
      <c r="V1689" s="25">
        <f>Inventory[[#This Row],[Bsmt]]-Inventory[[#This Row],[FnBsmt]]</f>
        <v>512</v>
      </c>
      <c r="W1689" s="25">
        <v>512</v>
      </c>
      <c r="X1689" s="27"/>
      <c r="Y1689" s="27">
        <f>Inventory[[#This Row],[MainFn]]+Inventory[[#This Row],[UpprFn]]+Inventory[[#This Row],[FnBsmt]]+Inventory[[#This Row],[AddFn]]</f>
        <v>1536</v>
      </c>
      <c r="Z1689" s="27">
        <v>2000</v>
      </c>
      <c r="AA1689" s="25">
        <v>7</v>
      </c>
      <c r="AB1689" s="27"/>
      <c r="AC1689" s="27"/>
      <c r="AD1689" s="25">
        <v>192</v>
      </c>
      <c r="AE1689" s="27"/>
      <c r="AF1689" s="27"/>
      <c r="AG1689" s="27"/>
      <c r="AH1689" s="27"/>
      <c r="AI1689" s="25">
        <v>322424</v>
      </c>
      <c r="AJ1689" s="25">
        <v>219248</v>
      </c>
      <c r="AK1689" s="25">
        <v>0</v>
      </c>
      <c r="AL1689" s="25">
        <v>332600</v>
      </c>
      <c r="AM1689" s="25">
        <v>50600</v>
      </c>
      <c r="AN1689" s="25">
        <v>282000</v>
      </c>
      <c r="AO1689" s="25">
        <v>0</v>
      </c>
      <c r="AP1689" s="25">
        <f>Lookups!$B$56*0</f>
        <v>0</v>
      </c>
      <c r="AQ1689" s="25">
        <f>Lookups!$B$56*1</f>
        <v>89850.625589999996</v>
      </c>
      <c r="AR1689" s="25">
        <f>Lookups!$B$57*Inventory[[#This Row],[LnAcres]]</f>
        <v>-58009.662049032086</v>
      </c>
      <c r="AS1689" s="25">
        <f>VLOOKUP(Inventory[[#This Row],[Qlty]],Lookups!$A$62:$E$75,2,FALSE)</f>
        <v>44121.038090000002</v>
      </c>
      <c r="AT1689" s="25">
        <f>VLOOKUP(Inventory[[#This Row],[Cnd]],Lookups!$A$76:$E$84,2,FALSE)</f>
        <v>197752.34721000001</v>
      </c>
      <c r="AU1689" s="25">
        <f>Inventory[[#This Row],[EffAge]]*Lookups!$B$85</f>
        <v>-12044.462427</v>
      </c>
      <c r="AV1689" s="25">
        <f>Inventory[[#This Row],[MainFn]]*Lookups!$B$86</f>
        <v>50594.477954048001</v>
      </c>
      <c r="AW1689" s="25">
        <f>Inventory[[#This Row],[UpprFn]]*Lookups!$B$87</f>
        <v>0</v>
      </c>
      <c r="AX1689" s="25">
        <f>Inventory[[#This Row],[AddFn]]*Lookups!$B$88</f>
        <v>0</v>
      </c>
      <c r="AY1689" s="25">
        <f>Inventory[[#This Row],[Bsmt]]*Lookups!$B$89</f>
        <v>29779.860732927998</v>
      </c>
      <c r="AZ1689" s="25">
        <f>Inventory[[#This Row],[Fixtures]]*Lookups!$B$90</f>
        <v>26544.1547364</v>
      </c>
      <c r="BA1689" s="25">
        <f>Inventory[[#This Row],[WdDeck]]*Lookups!$B$91</f>
        <v>6392.7389329920006</v>
      </c>
      <c r="BB1689" s="25">
        <f>ROUND(Inventory[[#This Row],[25Det]],-2)</f>
        <v>0</v>
      </c>
      <c r="BC1689" s="25">
        <f>ROUND(SUM(Inventory[[#This Row],[Mdl Qlty]:[Mdl WdDeck]])+Inventory[[#This Row],[Mdl Res Intercept]],-2)</f>
        <v>343100</v>
      </c>
      <c r="BD1689" s="25">
        <f>ROUND(Inventory[[#This Row],[Mdl Land Intercept]]+Inventory[[#This Row],[Mdl LnAcres]],-2)</f>
        <v>31800</v>
      </c>
      <c r="BE1689" s="25">
        <f>Inventory[[#This Row],[Unadj Res Value]]+Inventory[[#This Row],[Unadj Det Value]]+Inventory[[#This Row],[Unadj Land Value]]</f>
        <v>374900</v>
      </c>
      <c r="BF1689" s="36">
        <f>(Inventory[[#This Row],[Unadj Total Value]]-Inventory[[#This Row],[24Final]])/Inventory[[#This Row],[24Final]]</f>
        <v>0.12717979555021047</v>
      </c>
      <c r="BG1689" s="25">
        <f>VLOOKUP(Inventory[[#This Row],[Nbhd]],Lookups!$Q$2:$T$4,4,FALSE)</f>
        <v>0.99970000000000003</v>
      </c>
      <c r="BH1689" s="25">
        <f>VLOOKUP(Inventory[[#This Row],[Qlty]],Lookups!$O$7:$R$21,4,FALSE)</f>
        <v>0.98050000000000004</v>
      </c>
      <c r="BI1689" s="25">
        <f>VLOOKUP(Inventory[[#This Row],[Cnd]],Lookups!$T$7:$W$16,4,FALSE)</f>
        <v>0.99650000000000005</v>
      </c>
      <c r="BJ1689" s="25">
        <f>VLOOKUP(Inventory[[#This Row],[LivArea Range]],Lookups!$T$25:$W$37,4,FALSE)</f>
        <v>1.0093000000000001</v>
      </c>
      <c r="BK1689" s="25">
        <f>VLOOKUP(Inventory[[#This Row],[Decade]],Lookups!$O$25:$R$42,4,FALSE)</f>
        <v>1.0074000000000001</v>
      </c>
      <c r="BL1689" s="25">
        <f>Inventory[[#This Row],[Nbhd Adj]]*0.95</f>
        <v>0.94971499999999998</v>
      </c>
      <c r="BM1689" s="25">
        <f>Inventory[[#This Row],[Nbhd Adj]]*Inventory[[#This Row],[Quality Adj]]*Inventory[[#This Row],[Condition Adj]]*Inventory[[#This Row],[Living Area Adj]]*Inventory[[#This Row],[Decade Adj]]*0.95</f>
        <v>0.94349677105985763</v>
      </c>
      <c r="BN1689" s="25">
        <f>ROUND(SUM(Inventory[[#This Row],[Mdl Qlty]:[Mdl WdDeck]])+Inventory[[#This Row],[Mdl Res Intercept]]*Inventory[[#This Row],[Res Adj ]],-2)</f>
        <v>343100</v>
      </c>
      <c r="BO1689" s="25">
        <f>ROUND(Inventory[[#This Row],[25Det]]*Inventory[[#This Row],[Det/Nbhd Adj]],-2)</f>
        <v>0</v>
      </c>
      <c r="BP1689" s="25">
        <f>Inventory[[#This Row],[Adjusted Res]]+Inventory[[#This Row],[Adj Det ]]</f>
        <v>343100</v>
      </c>
      <c r="BQ1689" s="25">
        <f>ROUND((Inventory[[#This Row],[Mdl Land Intercept]]+Inventory[[#This Row],[Mdl LnAcres]])*Inventory[[#This Row],[Det/Nbhd Adj]],-2)</f>
        <v>30200</v>
      </c>
      <c r="BR1689" s="25">
        <f>Inventory[[#This Row],[Adjusted Impr Total]]+Inventory[[#This Row],[Adjusted Land Total]]</f>
        <v>373300</v>
      </c>
      <c r="BS1689" s="36">
        <f>IFERROR((Inventory[[#This Row],[Adjusted Impr Total]]-Inventory[[#This Row],[24Bldg]])/Inventory[[#This Row],[24Bldg]],0)</f>
        <v>0.21666666666666667</v>
      </c>
      <c r="BT1689" s="36">
        <f>(Inventory[[#This Row],[Adjusted Land Total]]-Inventory[[#This Row],[24Lnd]])/Inventory[[#This Row],[24Lnd]]</f>
        <v>-0.40316205533596838</v>
      </c>
      <c r="BU1689" s="36">
        <f>(Inventory[[#This Row],[Adjusted Total]]-Inventory[[#This Row],[24Final]])/Inventory[[#This Row],[24Final]]</f>
        <v>0.12236921226698737</v>
      </c>
    </row>
    <row r="1690" spans="1:73" x14ac:dyDescent="0.3">
      <c r="A1690" s="25">
        <v>2025</v>
      </c>
      <c r="B1690" s="26" t="s">
        <v>2277</v>
      </c>
      <c r="C1690" s="26">
        <f>LN(Inventory[[#This Row],[Acres]])</f>
        <v>-1.8325814637483102</v>
      </c>
      <c r="D1690" s="25">
        <v>0.16</v>
      </c>
      <c r="E1690" s="27"/>
      <c r="F1690" s="26" t="s">
        <v>537</v>
      </c>
      <c r="G1690" s="26" t="s">
        <v>126</v>
      </c>
      <c r="H1690" s="26" t="s">
        <v>349</v>
      </c>
      <c r="I1690" s="26" t="s">
        <v>538</v>
      </c>
      <c r="J1690" s="26" t="s">
        <v>539</v>
      </c>
      <c r="K1690" s="26" t="s">
        <v>269</v>
      </c>
      <c r="L1690" s="26" t="s">
        <v>351</v>
      </c>
      <c r="M1690" s="26" t="s">
        <v>303</v>
      </c>
      <c r="N1690" s="26">
        <v>100</v>
      </c>
      <c r="O1690" s="26">
        <f>2024-Inventory[[#This Row],[YrBlt]]</f>
        <v>94</v>
      </c>
      <c r="P1690" s="26">
        <f>2024-Inventory[[#This Row],[EffYr]]</f>
        <v>54</v>
      </c>
      <c r="Q1690" s="25">
        <v>1930</v>
      </c>
      <c r="R1690" s="25">
        <v>1970</v>
      </c>
      <c r="S1690" s="25">
        <v>1298</v>
      </c>
      <c r="T1690" s="27"/>
      <c r="U1690" s="25">
        <v>644</v>
      </c>
      <c r="V1690" s="32">
        <f>Inventory[[#This Row],[Bsmt]]-Inventory[[#This Row],[FnBsmt]]</f>
        <v>644</v>
      </c>
      <c r="W1690" s="27"/>
      <c r="X1690" s="27"/>
      <c r="Y1690" s="27">
        <f>Inventory[[#This Row],[MainFn]]+Inventory[[#This Row],[UpprFn]]+Inventory[[#This Row],[FnBsmt]]+Inventory[[#This Row],[AddFn]]</f>
        <v>1298</v>
      </c>
      <c r="Z1690" s="27">
        <v>1500</v>
      </c>
      <c r="AA1690" s="25">
        <v>5</v>
      </c>
      <c r="AB1690" s="31"/>
      <c r="AC1690" s="27"/>
      <c r="AD1690" s="27"/>
      <c r="AE1690" s="27"/>
      <c r="AF1690" s="27"/>
      <c r="AG1690" s="27"/>
      <c r="AH1690" s="27"/>
      <c r="AI1690" s="25">
        <v>251520</v>
      </c>
      <c r="AJ1690" s="25">
        <v>171034</v>
      </c>
      <c r="AK1690" s="25">
        <v>23900</v>
      </c>
      <c r="AL1690" s="25">
        <v>323200</v>
      </c>
      <c r="AM1690" s="25">
        <v>50600</v>
      </c>
      <c r="AN1690" s="25">
        <v>272600</v>
      </c>
      <c r="AO1690" s="25">
        <v>0</v>
      </c>
      <c r="AP1690" s="25">
        <f>Lookups!$B$56*0</f>
        <v>0</v>
      </c>
      <c r="AQ1690" s="25">
        <f>Lookups!$B$56*1</f>
        <v>89850.625589999996</v>
      </c>
      <c r="AR1690" s="25">
        <f>Lookups!$B$57*Inventory[[#This Row],[LnAcres]]</f>
        <v>-58009.662049032086</v>
      </c>
      <c r="AS1690" s="25">
        <f>VLOOKUP(Inventory[[#This Row],[Qlty]],Lookups!$A$62:$E$75,2,FALSE)</f>
        <v>21557.329055999999</v>
      </c>
      <c r="AT1690" s="25">
        <f>VLOOKUP(Inventory[[#This Row],[Cnd]],Lookups!$A$76:$E$84,2,FALSE)</f>
        <v>197752.34721000001</v>
      </c>
      <c r="AU1690" s="25">
        <f>Inventory[[#This Row],[EffAge]]*Lookups!$B$85</f>
        <v>-12044.462427</v>
      </c>
      <c r="AV1690" s="25">
        <f>Inventory[[#This Row],[MainFn]]*Lookups!$B$86</f>
        <v>64132.453500346004</v>
      </c>
      <c r="AW1690" s="25">
        <f>Inventory[[#This Row],[UpprFn]]*Lookups!$B$87</f>
        <v>0</v>
      </c>
      <c r="AX1690" s="25">
        <f>Inventory[[#This Row],[AddFn]]*Lookups!$B$88</f>
        <v>0</v>
      </c>
      <c r="AY1690" s="25">
        <f>Inventory[[#This Row],[Bsmt]]*Lookups!$B$89</f>
        <v>18728.740539068</v>
      </c>
      <c r="AZ1690" s="25">
        <f>Inventory[[#This Row],[Fixtures]]*Lookups!$B$90</f>
        <v>18960.110526</v>
      </c>
      <c r="BA1690" s="25">
        <f>Inventory[[#This Row],[WdDeck]]*Lookups!$B$91</f>
        <v>0</v>
      </c>
      <c r="BB1690" s="25">
        <f>ROUND(Inventory[[#This Row],[25Det]],-2)</f>
        <v>23900</v>
      </c>
      <c r="BC1690" s="25">
        <f>ROUND(SUM(Inventory[[#This Row],[Mdl Qlty]:[Mdl WdDeck]])+Inventory[[#This Row],[Mdl Res Intercept]],-2)</f>
        <v>309100</v>
      </c>
      <c r="BD1690" s="25">
        <f>ROUND(Inventory[[#This Row],[Mdl Land Intercept]]+Inventory[[#This Row],[Mdl LnAcres]],-2)</f>
        <v>31800</v>
      </c>
      <c r="BE1690" s="25">
        <f>Inventory[[#This Row],[Unadj Res Value]]+Inventory[[#This Row],[Unadj Det Value]]+Inventory[[#This Row],[Unadj Land Value]]</f>
        <v>364800</v>
      </c>
      <c r="BF1690" s="36">
        <f>(Inventory[[#This Row],[Unadj Total Value]]-Inventory[[#This Row],[24Final]])/Inventory[[#This Row],[24Final]]</f>
        <v>0.12871287128712872</v>
      </c>
      <c r="BG1690" s="25">
        <f>VLOOKUP(Inventory[[#This Row],[Nbhd]],Lookups!$Q$2:$T$4,4,FALSE)</f>
        <v>0.99970000000000003</v>
      </c>
      <c r="BH1690" s="25">
        <f>VLOOKUP(Inventory[[#This Row],[Qlty]],Lookups!$O$7:$R$21,4,FALSE)</f>
        <v>1.0067999999999999</v>
      </c>
      <c r="BI1690" s="25">
        <f>VLOOKUP(Inventory[[#This Row],[Cnd]],Lookups!$T$7:$W$16,4,FALSE)</f>
        <v>0.99650000000000005</v>
      </c>
      <c r="BJ1690" s="25">
        <f>VLOOKUP(Inventory[[#This Row],[LivArea Range]],Lookups!$T$25:$W$37,4,FALSE)</f>
        <v>1.0157</v>
      </c>
      <c r="BK1690" s="25">
        <f>VLOOKUP(Inventory[[#This Row],[Decade]],Lookups!$O$25:$R$42,4,FALSE)</f>
        <v>1.0074000000000001</v>
      </c>
      <c r="BL1690" s="25">
        <f>Inventory[[#This Row],[Nbhd Adj]]*0.95</f>
        <v>0.94971499999999998</v>
      </c>
      <c r="BM1690" s="25">
        <f>Inventory[[#This Row],[Nbhd Adj]]*Inventory[[#This Row],[Quality Adj]]*Inventory[[#This Row],[Condition Adj]]*Inventory[[#This Row],[Living Area Adj]]*Inventory[[#This Row],[Decade Adj]]*0.95</f>
        <v>0.97494744680082823</v>
      </c>
      <c r="BN1690" s="25">
        <f>ROUND(SUM(Inventory[[#This Row],[Mdl Qlty]:[Mdl WdDeck]])+Inventory[[#This Row],[Mdl Res Intercept]]*Inventory[[#This Row],[Res Adj ]],-2)</f>
        <v>309100</v>
      </c>
      <c r="BO1690" s="25">
        <f>ROUND(Inventory[[#This Row],[25Det]]*Inventory[[#This Row],[Det/Nbhd Adj]],-2)</f>
        <v>22700</v>
      </c>
      <c r="BP1690" s="25">
        <f>Inventory[[#This Row],[Adjusted Res]]+Inventory[[#This Row],[Adj Det ]]</f>
        <v>331800</v>
      </c>
      <c r="BQ1690" s="25">
        <f>ROUND((Inventory[[#This Row],[Mdl Land Intercept]]+Inventory[[#This Row],[Mdl LnAcres]])*Inventory[[#This Row],[Det/Nbhd Adj]],-2)</f>
        <v>30200</v>
      </c>
      <c r="BR1690" s="25">
        <f>Inventory[[#This Row],[Adjusted Impr Total]]+Inventory[[#This Row],[Adjusted Land Total]]</f>
        <v>362000</v>
      </c>
      <c r="BS1690" s="36">
        <f>IFERROR((Inventory[[#This Row],[Adjusted Impr Total]]-Inventory[[#This Row],[24Bldg]])/Inventory[[#This Row],[24Bldg]],0)</f>
        <v>0.21716801173881145</v>
      </c>
      <c r="BT1690" s="36">
        <f>(Inventory[[#This Row],[Adjusted Land Total]]-Inventory[[#This Row],[24Lnd]])/Inventory[[#This Row],[24Lnd]]</f>
        <v>-0.40316205533596838</v>
      </c>
      <c r="BU1690" s="36">
        <f>(Inventory[[#This Row],[Adjusted Total]]-Inventory[[#This Row],[24Final]])/Inventory[[#This Row],[24Final]]</f>
        <v>0.12004950495049505</v>
      </c>
    </row>
    <row r="1691" spans="1:73" x14ac:dyDescent="0.3">
      <c r="A1691" s="25">
        <v>2025</v>
      </c>
      <c r="B1691" s="26" t="s">
        <v>2753</v>
      </c>
      <c r="C1691" s="26">
        <f>LN(Inventory[[#This Row],[Acres]])</f>
        <v>-1.5606477482646683</v>
      </c>
      <c r="D1691" s="25">
        <v>0.21</v>
      </c>
      <c r="E1691" s="32">
        <v>8930</v>
      </c>
      <c r="F1691" s="26" t="s">
        <v>537</v>
      </c>
      <c r="G1691" s="26" t="s">
        <v>126</v>
      </c>
      <c r="H1691" s="26" t="s">
        <v>349</v>
      </c>
      <c r="I1691" s="26" t="s">
        <v>538</v>
      </c>
      <c r="J1691" s="26" t="s">
        <v>539</v>
      </c>
      <c r="K1691" s="26" t="s">
        <v>269</v>
      </c>
      <c r="L1691" s="26" t="s">
        <v>351</v>
      </c>
      <c r="M1691" s="26" t="s">
        <v>303</v>
      </c>
      <c r="N1691" s="26">
        <v>100</v>
      </c>
      <c r="O1691" s="26">
        <f>2024-Inventory[[#This Row],[YrBlt]]</f>
        <v>94</v>
      </c>
      <c r="P1691" s="26">
        <f>2024-Inventory[[#This Row],[EffYr]]</f>
        <v>54</v>
      </c>
      <c r="Q1691" s="25">
        <v>1930</v>
      </c>
      <c r="R1691" s="25">
        <v>1970</v>
      </c>
      <c r="S1691" s="25">
        <v>840</v>
      </c>
      <c r="T1691" s="27"/>
      <c r="U1691" s="25">
        <v>840</v>
      </c>
      <c r="V1691" s="32">
        <f>Inventory[[#This Row],[Bsmt]]-Inventory[[#This Row],[FnBsmt]]</f>
        <v>840</v>
      </c>
      <c r="W1691" s="27"/>
      <c r="X1691" s="27"/>
      <c r="Y1691" s="27">
        <f>Inventory[[#This Row],[MainFn]]+Inventory[[#This Row],[UpprFn]]+Inventory[[#This Row],[FnBsmt]]+Inventory[[#This Row],[AddFn]]</f>
        <v>840</v>
      </c>
      <c r="Z1691" s="27">
        <v>1000</v>
      </c>
      <c r="AA1691" s="25">
        <v>5</v>
      </c>
      <c r="AB1691" s="27"/>
      <c r="AC1691" s="27"/>
      <c r="AD1691" s="27"/>
      <c r="AE1691" s="27"/>
      <c r="AF1691" s="27"/>
      <c r="AG1691" s="27"/>
      <c r="AH1691" s="27"/>
      <c r="AI1691" s="25">
        <v>180799</v>
      </c>
      <c r="AJ1691" s="25">
        <v>122943</v>
      </c>
      <c r="AK1691" s="25">
        <v>10630</v>
      </c>
      <c r="AL1691" s="25">
        <v>304200</v>
      </c>
      <c r="AM1691" s="25">
        <v>60100</v>
      </c>
      <c r="AN1691" s="25">
        <v>244100</v>
      </c>
      <c r="AO1691" s="25">
        <v>0</v>
      </c>
      <c r="AP1691" s="25">
        <f>Lookups!$B$56*0</f>
        <v>0</v>
      </c>
      <c r="AQ1691" s="25">
        <f>Lookups!$B$56*1</f>
        <v>89850.625589999996</v>
      </c>
      <c r="AR1691" s="25">
        <f>Lookups!$B$57*Inventory[[#This Row],[LnAcres]]</f>
        <v>-49401.70477837498</v>
      </c>
      <c r="AS1691" s="25">
        <f>VLOOKUP(Inventory[[#This Row],[Qlty]],Lookups!$A$62:$E$75,2,FALSE)</f>
        <v>21557.329055999999</v>
      </c>
      <c r="AT1691" s="25">
        <f>VLOOKUP(Inventory[[#This Row],[Cnd]],Lookups!$A$76:$E$84,2,FALSE)</f>
        <v>197752.34721000001</v>
      </c>
      <c r="AU1691" s="25">
        <f>Inventory[[#This Row],[EffAge]]*Lookups!$B$85</f>
        <v>-12044.462427</v>
      </c>
      <c r="AV1691" s="25">
        <f>Inventory[[#This Row],[MainFn]]*Lookups!$B$86</f>
        <v>41503.282696679998</v>
      </c>
      <c r="AW1691" s="25">
        <f>Inventory[[#This Row],[UpprFn]]*Lookups!$B$87</f>
        <v>0</v>
      </c>
      <c r="AX1691" s="25">
        <f>Inventory[[#This Row],[AddFn]]*Lookups!$B$88</f>
        <v>0</v>
      </c>
      <c r="AY1691" s="25">
        <f>Inventory[[#This Row],[Bsmt]]*Lookups!$B$89</f>
        <v>24428.792007479999</v>
      </c>
      <c r="AZ1691" s="25">
        <f>Inventory[[#This Row],[Fixtures]]*Lookups!$B$90</f>
        <v>18960.110526</v>
      </c>
      <c r="BA1691" s="25">
        <f>Inventory[[#This Row],[WdDeck]]*Lookups!$B$91</f>
        <v>0</v>
      </c>
      <c r="BB1691" s="25">
        <f>ROUND(Inventory[[#This Row],[25Det]],-2)</f>
        <v>10600</v>
      </c>
      <c r="BC1691" s="25">
        <f>ROUND(SUM(Inventory[[#This Row],[Mdl Qlty]:[Mdl WdDeck]])+Inventory[[#This Row],[Mdl Res Intercept]],-2)</f>
        <v>292200</v>
      </c>
      <c r="BD1691" s="25">
        <f>ROUND(Inventory[[#This Row],[Mdl Land Intercept]]+Inventory[[#This Row],[Mdl LnAcres]],-2)</f>
        <v>40400</v>
      </c>
      <c r="BE1691" s="25">
        <f>Inventory[[#This Row],[Unadj Res Value]]+Inventory[[#This Row],[Unadj Det Value]]+Inventory[[#This Row],[Unadj Land Value]]</f>
        <v>343200</v>
      </c>
      <c r="BF1691" s="36">
        <f>(Inventory[[#This Row],[Unadj Total Value]]-Inventory[[#This Row],[24Final]])/Inventory[[#This Row],[24Final]]</f>
        <v>0.12820512820512819</v>
      </c>
      <c r="BG1691" s="25">
        <f>VLOOKUP(Inventory[[#This Row],[Nbhd]],Lookups!$Q$2:$T$4,4,FALSE)</f>
        <v>0.99970000000000003</v>
      </c>
      <c r="BH1691" s="25">
        <f>VLOOKUP(Inventory[[#This Row],[Qlty]],Lookups!$O$7:$R$21,4,FALSE)</f>
        <v>1.0067999999999999</v>
      </c>
      <c r="BI1691" s="25">
        <f>VLOOKUP(Inventory[[#This Row],[Cnd]],Lookups!$T$7:$W$16,4,FALSE)</f>
        <v>0.99650000000000005</v>
      </c>
      <c r="BJ1691" s="25">
        <f>VLOOKUP(Inventory[[#This Row],[LivArea Range]],Lookups!$T$25:$W$37,4,FALSE)</f>
        <v>1.0148999999999999</v>
      </c>
      <c r="BK1691" s="25">
        <f>VLOOKUP(Inventory[[#This Row],[Decade]],Lookups!$O$25:$R$42,4,FALSE)</f>
        <v>1.0074000000000001</v>
      </c>
      <c r="BL1691" s="25">
        <f>Inventory[[#This Row],[Nbhd Adj]]*0.95</f>
        <v>0.94971499999999998</v>
      </c>
      <c r="BM1691" s="25">
        <f>Inventory[[#This Row],[Nbhd Adj]]*Inventory[[#This Row],[Quality Adj]]*Inventory[[#This Row],[Condition Adj]]*Inventory[[#This Row],[Living Area Adj]]*Inventory[[#This Row],[Decade Adj]]*0.95</f>
        <v>0.97417954490318037</v>
      </c>
      <c r="BN1691" s="25">
        <f>ROUND(SUM(Inventory[[#This Row],[Mdl Qlty]:[Mdl WdDeck]])+Inventory[[#This Row],[Mdl Res Intercept]]*Inventory[[#This Row],[Res Adj ]],-2)</f>
        <v>292200</v>
      </c>
      <c r="BO1691" s="25">
        <f>ROUND(Inventory[[#This Row],[25Det]]*Inventory[[#This Row],[Det/Nbhd Adj]],-2)</f>
        <v>10100</v>
      </c>
      <c r="BP1691" s="25">
        <f>Inventory[[#This Row],[Adjusted Res]]+Inventory[[#This Row],[Adj Det ]]</f>
        <v>302300</v>
      </c>
      <c r="BQ1691" s="25">
        <f>ROUND((Inventory[[#This Row],[Mdl Land Intercept]]+Inventory[[#This Row],[Mdl LnAcres]])*Inventory[[#This Row],[Det/Nbhd Adj]],-2)</f>
        <v>38400</v>
      </c>
      <c r="BR1691" s="25">
        <f>Inventory[[#This Row],[Adjusted Impr Total]]+Inventory[[#This Row],[Adjusted Land Total]]</f>
        <v>340700</v>
      </c>
      <c r="BS1691" s="36">
        <f>IFERROR((Inventory[[#This Row],[Adjusted Impr Total]]-Inventory[[#This Row],[24Bldg]])/Inventory[[#This Row],[24Bldg]],0)</f>
        <v>0.23842687423187217</v>
      </c>
      <c r="BT1691" s="36">
        <f>(Inventory[[#This Row],[Adjusted Land Total]]-Inventory[[#This Row],[24Lnd]])/Inventory[[#This Row],[24Lnd]]</f>
        <v>-0.36106489184692181</v>
      </c>
      <c r="BU1691" s="36">
        <f>(Inventory[[#This Row],[Adjusted Total]]-Inventory[[#This Row],[24Final]])/Inventory[[#This Row],[24Final]]</f>
        <v>0.11998685075608152</v>
      </c>
    </row>
    <row r="1692" spans="1:73" x14ac:dyDescent="0.3">
      <c r="A1692" s="25">
        <v>2025</v>
      </c>
      <c r="B1692" s="26" t="s">
        <v>2465</v>
      </c>
      <c r="C1692" s="26">
        <f>LN(Inventory[[#This Row],[Acres]])</f>
        <v>-1.3862943611198906</v>
      </c>
      <c r="D1692" s="25">
        <v>0.25</v>
      </c>
      <c r="E1692" s="27"/>
      <c r="F1692" s="26" t="s">
        <v>537</v>
      </c>
      <c r="G1692" s="26" t="s">
        <v>126</v>
      </c>
      <c r="H1692" s="26" t="s">
        <v>349</v>
      </c>
      <c r="I1692" s="26" t="s">
        <v>538</v>
      </c>
      <c r="J1692" s="26" t="s">
        <v>539</v>
      </c>
      <c r="K1692" s="26" t="s">
        <v>242</v>
      </c>
      <c r="L1692" s="26" t="s">
        <v>302</v>
      </c>
      <c r="M1692" s="26" t="s">
        <v>303</v>
      </c>
      <c r="N1692" s="26">
        <v>100</v>
      </c>
      <c r="O1692" s="26">
        <f>2024-Inventory[[#This Row],[YrBlt]]</f>
        <v>94</v>
      </c>
      <c r="P1692" s="26">
        <f>2024-Inventory[[#This Row],[EffYr]]</f>
        <v>54</v>
      </c>
      <c r="Q1692" s="25">
        <v>1930</v>
      </c>
      <c r="R1692" s="25">
        <v>1970</v>
      </c>
      <c r="S1692" s="25">
        <v>1637</v>
      </c>
      <c r="T1692" s="27"/>
      <c r="U1692" s="25">
        <v>1361</v>
      </c>
      <c r="V1692" s="25">
        <f>Inventory[[#This Row],[Bsmt]]-Inventory[[#This Row],[FnBsmt]]</f>
        <v>1361</v>
      </c>
      <c r="W1692" s="31"/>
      <c r="X1692" s="27"/>
      <c r="Y1692" s="27">
        <f>Inventory[[#This Row],[MainFn]]+Inventory[[#This Row],[UpprFn]]+Inventory[[#This Row],[FnBsmt]]+Inventory[[#This Row],[AddFn]]</f>
        <v>1637</v>
      </c>
      <c r="Z1692" s="27">
        <v>2000</v>
      </c>
      <c r="AA1692" s="25">
        <v>5</v>
      </c>
      <c r="AB1692" s="31"/>
      <c r="AC1692" s="27"/>
      <c r="AD1692" s="27"/>
      <c r="AE1692" s="27"/>
      <c r="AF1692" s="27"/>
      <c r="AG1692" s="27"/>
      <c r="AH1692" s="27"/>
      <c r="AI1692" s="25">
        <v>324817</v>
      </c>
      <c r="AJ1692" s="25">
        <v>220876</v>
      </c>
      <c r="AK1692" s="25">
        <v>9270</v>
      </c>
      <c r="AL1692" s="25">
        <v>363900</v>
      </c>
      <c r="AM1692" s="25">
        <v>66200</v>
      </c>
      <c r="AN1692" s="25">
        <v>297700</v>
      </c>
      <c r="AO1692" s="25">
        <v>0</v>
      </c>
      <c r="AP1692" s="25">
        <f>Lookups!$B$56*0</f>
        <v>0</v>
      </c>
      <c r="AQ1692" s="25">
        <f>Lookups!$B$56*1</f>
        <v>89850.625589999996</v>
      </c>
      <c r="AR1692" s="25">
        <f>Lookups!$B$57*Inventory[[#This Row],[LnAcres]]</f>
        <v>-43882.615305165229</v>
      </c>
      <c r="AS1692" s="25">
        <f>VLOOKUP(Inventory[[#This Row],[Qlty]],Lookups!$A$62:$E$75,2,FALSE)</f>
        <v>29814.093161000001</v>
      </c>
      <c r="AT1692" s="25">
        <f>VLOOKUP(Inventory[[#This Row],[Cnd]],Lookups!$A$76:$E$84,2,FALSE)</f>
        <v>197752.34721000001</v>
      </c>
      <c r="AU1692" s="25">
        <f>Inventory[[#This Row],[EffAge]]*Lookups!$B$85</f>
        <v>-12044.462427</v>
      </c>
      <c r="AV1692" s="25">
        <f>Inventory[[#This Row],[MainFn]]*Lookups!$B$86</f>
        <v>80881.992588649009</v>
      </c>
      <c r="AW1692" s="25">
        <f>Inventory[[#This Row],[UpprFn]]*Lookups!$B$87</f>
        <v>0</v>
      </c>
      <c r="AX1692" s="25">
        <f>Inventory[[#This Row],[AddFn]]*Lookups!$B$88</f>
        <v>0</v>
      </c>
      <c r="AY1692" s="25">
        <f>Inventory[[#This Row],[Bsmt]]*Lookups!$B$89</f>
        <v>39580.459431167001</v>
      </c>
      <c r="AZ1692" s="25">
        <f>Inventory[[#This Row],[Fixtures]]*Lookups!$B$90</f>
        <v>18960.110526</v>
      </c>
      <c r="BA1692" s="25">
        <f>Inventory[[#This Row],[WdDeck]]*Lookups!$B$91</f>
        <v>0</v>
      </c>
      <c r="BB1692" s="25">
        <f>ROUND(Inventory[[#This Row],[25Det]],-2)</f>
        <v>9300</v>
      </c>
      <c r="BC1692" s="25">
        <f>ROUND(SUM(Inventory[[#This Row],[Mdl Qlty]:[Mdl WdDeck]])+Inventory[[#This Row],[Mdl Res Intercept]],-2)</f>
        <v>354900</v>
      </c>
      <c r="BD1692" s="25">
        <f>ROUND(Inventory[[#This Row],[Mdl Land Intercept]]+Inventory[[#This Row],[Mdl LnAcres]],-2)</f>
        <v>46000</v>
      </c>
      <c r="BE1692" s="25">
        <f>Inventory[[#This Row],[Unadj Res Value]]+Inventory[[#This Row],[Unadj Det Value]]+Inventory[[#This Row],[Unadj Land Value]]</f>
        <v>410200</v>
      </c>
      <c r="BF1692" s="36">
        <f>(Inventory[[#This Row],[Unadj Total Value]]-Inventory[[#This Row],[24Final]])/Inventory[[#This Row],[24Final]]</f>
        <v>0.12723275625171751</v>
      </c>
      <c r="BG1692" s="25">
        <f>VLOOKUP(Inventory[[#This Row],[Nbhd]],Lookups!$Q$2:$T$4,4,FALSE)</f>
        <v>0.99970000000000003</v>
      </c>
      <c r="BH1692" s="25">
        <f>VLOOKUP(Inventory[[#This Row],[Qlty]],Lookups!$O$7:$R$21,4,FALSE)</f>
        <v>1.0088999999999999</v>
      </c>
      <c r="BI1692" s="25">
        <f>VLOOKUP(Inventory[[#This Row],[Cnd]],Lookups!$T$7:$W$16,4,FALSE)</f>
        <v>0.99650000000000005</v>
      </c>
      <c r="BJ1692" s="25">
        <f>VLOOKUP(Inventory[[#This Row],[LivArea Range]],Lookups!$T$25:$W$37,4,FALSE)</f>
        <v>1.0093000000000001</v>
      </c>
      <c r="BK1692" s="25">
        <f>VLOOKUP(Inventory[[#This Row],[Decade]],Lookups!$O$25:$R$42,4,FALSE)</f>
        <v>1.0074000000000001</v>
      </c>
      <c r="BL1692" s="25">
        <f>Inventory[[#This Row],[Nbhd Adj]]*0.95</f>
        <v>0.94971499999999998</v>
      </c>
      <c r="BM1692" s="25">
        <f>Inventory[[#This Row],[Nbhd Adj]]*Inventory[[#This Row],[Quality Adj]]*Inventory[[#This Row],[Condition Adj]]*Inventory[[#This Row],[Living Area Adj]]*Inventory[[#This Row],[Decade Adj]]*0.95</f>
        <v>0.97082497942099955</v>
      </c>
      <c r="BN1692" s="25">
        <f>ROUND(SUM(Inventory[[#This Row],[Mdl Qlty]:[Mdl WdDeck]])+Inventory[[#This Row],[Mdl Res Intercept]]*Inventory[[#This Row],[Res Adj ]],-2)</f>
        <v>354900</v>
      </c>
      <c r="BO1692" s="25">
        <f>ROUND(Inventory[[#This Row],[25Det]]*Inventory[[#This Row],[Det/Nbhd Adj]],-2)</f>
        <v>8800</v>
      </c>
      <c r="BP1692" s="25">
        <f>Inventory[[#This Row],[Adjusted Res]]+Inventory[[#This Row],[Adj Det ]]</f>
        <v>363700</v>
      </c>
      <c r="BQ1692" s="25">
        <f>ROUND((Inventory[[#This Row],[Mdl Land Intercept]]+Inventory[[#This Row],[Mdl LnAcres]])*Inventory[[#This Row],[Det/Nbhd Adj]],-2)</f>
        <v>43700</v>
      </c>
      <c r="BR1692" s="25">
        <f>Inventory[[#This Row],[Adjusted Impr Total]]+Inventory[[#This Row],[Adjusted Land Total]]</f>
        <v>407400</v>
      </c>
      <c r="BS1692" s="36">
        <f>IFERROR((Inventory[[#This Row],[Adjusted Impr Total]]-Inventory[[#This Row],[24Bldg]])/Inventory[[#This Row],[24Bldg]],0)</f>
        <v>0.22169969768223044</v>
      </c>
      <c r="BT1692" s="36">
        <f>(Inventory[[#This Row],[Adjusted Land Total]]-Inventory[[#This Row],[24Lnd]])/Inventory[[#This Row],[24Lnd]]</f>
        <v>-0.33987915407854985</v>
      </c>
      <c r="BU1692" s="36">
        <f>(Inventory[[#This Row],[Adjusted Total]]-Inventory[[#This Row],[24Final]])/Inventory[[#This Row],[24Final]]</f>
        <v>0.11953833470733718</v>
      </c>
    </row>
    <row r="1693" spans="1:73" x14ac:dyDescent="0.3">
      <c r="A1693" s="25">
        <v>2025</v>
      </c>
      <c r="B1693" s="26" t="s">
        <v>1916</v>
      </c>
      <c r="C1693" s="26">
        <f>LN(Inventory[[#This Row],[Acres]])</f>
        <v>-1.7719568419318752</v>
      </c>
      <c r="D1693" s="25">
        <v>0.17</v>
      </c>
      <c r="E1693" s="32">
        <v>7273</v>
      </c>
      <c r="F1693" s="26" t="s">
        <v>537</v>
      </c>
      <c r="G1693" s="26" t="s">
        <v>126</v>
      </c>
      <c r="H1693" s="26" t="s">
        <v>349</v>
      </c>
      <c r="I1693" s="26" t="s">
        <v>538</v>
      </c>
      <c r="J1693" s="26" t="s">
        <v>539</v>
      </c>
      <c r="K1693" s="26" t="s">
        <v>147</v>
      </c>
      <c r="L1693" s="26" t="s">
        <v>351</v>
      </c>
      <c r="M1693" s="26" t="s">
        <v>303</v>
      </c>
      <c r="N1693" s="26">
        <v>100</v>
      </c>
      <c r="O1693" s="26">
        <f>2024-Inventory[[#This Row],[YrBlt]]</f>
        <v>94</v>
      </c>
      <c r="P1693" s="26">
        <f>2024-Inventory[[#This Row],[EffYr]]</f>
        <v>54</v>
      </c>
      <c r="Q1693" s="25">
        <v>1930</v>
      </c>
      <c r="R1693" s="25">
        <v>1970</v>
      </c>
      <c r="S1693" s="25">
        <v>888</v>
      </c>
      <c r="T1693" s="32">
        <v>443</v>
      </c>
      <c r="U1693" s="32">
        <v>888</v>
      </c>
      <c r="V1693" s="32">
        <f>Inventory[[#This Row],[Bsmt]]-Inventory[[#This Row],[FnBsmt]]</f>
        <v>888</v>
      </c>
      <c r="W1693" s="27"/>
      <c r="X1693" s="27"/>
      <c r="Y1693" s="27">
        <f>Inventory[[#This Row],[MainFn]]+Inventory[[#This Row],[UpprFn]]+Inventory[[#This Row],[FnBsmt]]+Inventory[[#This Row],[AddFn]]</f>
        <v>1331</v>
      </c>
      <c r="Z1693" s="27">
        <v>1500</v>
      </c>
      <c r="AA1693" s="25">
        <v>8</v>
      </c>
      <c r="AB1693" s="27"/>
      <c r="AC1693" s="27"/>
      <c r="AD1693" s="27"/>
      <c r="AE1693" s="27"/>
      <c r="AF1693" s="27"/>
      <c r="AG1693" s="27"/>
      <c r="AH1693" s="27"/>
      <c r="AI1693" s="25">
        <v>237749</v>
      </c>
      <c r="AJ1693" s="25">
        <v>161669</v>
      </c>
      <c r="AK1693" s="25">
        <v>6227</v>
      </c>
      <c r="AL1693" s="25">
        <v>327100</v>
      </c>
      <c r="AM1693" s="25">
        <v>52700</v>
      </c>
      <c r="AN1693" s="25">
        <v>274400</v>
      </c>
      <c r="AO1693" s="25">
        <v>0</v>
      </c>
      <c r="AP1693" s="25">
        <f>Lookups!$B$56*0</f>
        <v>0</v>
      </c>
      <c r="AQ1693" s="25">
        <f>Lookups!$B$56*1</f>
        <v>89850.625589999996</v>
      </c>
      <c r="AR1693" s="25">
        <f>Lookups!$B$57*Inventory[[#This Row],[LnAcres]]</f>
        <v>-56090.612940989391</v>
      </c>
      <c r="AS1693" s="25">
        <f>VLOOKUP(Inventory[[#This Row],[Qlty]],Lookups!$A$62:$E$75,2,FALSE)</f>
        <v>21557.329055999999</v>
      </c>
      <c r="AT1693" s="25">
        <f>VLOOKUP(Inventory[[#This Row],[Cnd]],Lookups!$A$76:$E$84,2,FALSE)</f>
        <v>197752.34721000001</v>
      </c>
      <c r="AU1693" s="25">
        <f>Inventory[[#This Row],[EffAge]]*Lookups!$B$85</f>
        <v>-12044.462427</v>
      </c>
      <c r="AV1693" s="25">
        <f>Inventory[[#This Row],[MainFn]]*Lookups!$B$86</f>
        <v>43874.898850776</v>
      </c>
      <c r="AW1693" s="25">
        <f>Inventory[[#This Row],[UpprFn]]*Lookups!$B$87</f>
        <v>19840.385327422999</v>
      </c>
      <c r="AX1693" s="25">
        <f>Inventory[[#This Row],[AddFn]]*Lookups!$B$88</f>
        <v>0</v>
      </c>
      <c r="AY1693" s="25">
        <f>Inventory[[#This Row],[Bsmt]]*Lookups!$B$89</f>
        <v>25824.722979335998</v>
      </c>
      <c r="AZ1693" s="25">
        <f>Inventory[[#This Row],[Fixtures]]*Lookups!$B$90</f>
        <v>30336.176841600001</v>
      </c>
      <c r="BA1693" s="25">
        <f>Inventory[[#This Row],[WdDeck]]*Lookups!$B$91</f>
        <v>0</v>
      </c>
      <c r="BB1693" s="25">
        <f>ROUND(Inventory[[#This Row],[25Det]],-2)</f>
        <v>6200</v>
      </c>
      <c r="BC1693" s="25">
        <f>ROUND(SUM(Inventory[[#This Row],[Mdl Qlty]:[Mdl WdDeck]])+Inventory[[#This Row],[Mdl Res Intercept]],-2)</f>
        <v>327100</v>
      </c>
      <c r="BD1693" s="25">
        <f>ROUND(Inventory[[#This Row],[Mdl Land Intercept]]+Inventory[[#This Row],[Mdl LnAcres]],-2)</f>
        <v>33800</v>
      </c>
      <c r="BE1693" s="25">
        <f>Inventory[[#This Row],[Unadj Res Value]]+Inventory[[#This Row],[Unadj Det Value]]+Inventory[[#This Row],[Unadj Land Value]]</f>
        <v>367100</v>
      </c>
      <c r="BF1693" s="36">
        <f>(Inventory[[#This Row],[Unadj Total Value]]-Inventory[[#This Row],[24Final]])/Inventory[[#This Row],[24Final]]</f>
        <v>0.12228676245796392</v>
      </c>
      <c r="BG1693" s="25">
        <f>VLOOKUP(Inventory[[#This Row],[Nbhd]],Lookups!$Q$2:$T$4,4,FALSE)</f>
        <v>0.99970000000000003</v>
      </c>
      <c r="BH1693" s="25">
        <f>VLOOKUP(Inventory[[#This Row],[Qlty]],Lookups!$O$7:$R$21,4,FALSE)</f>
        <v>1.0067999999999999</v>
      </c>
      <c r="BI1693" s="25">
        <f>VLOOKUP(Inventory[[#This Row],[Cnd]],Lookups!$T$7:$W$16,4,FALSE)</f>
        <v>0.99650000000000005</v>
      </c>
      <c r="BJ1693" s="25">
        <f>VLOOKUP(Inventory[[#This Row],[LivArea Range]],Lookups!$T$25:$W$37,4,FALSE)</f>
        <v>1.0157</v>
      </c>
      <c r="BK1693" s="25">
        <f>VLOOKUP(Inventory[[#This Row],[Decade]],Lookups!$O$25:$R$42,4,FALSE)</f>
        <v>1.0074000000000001</v>
      </c>
      <c r="BL1693" s="25">
        <f>Inventory[[#This Row],[Nbhd Adj]]*0.95</f>
        <v>0.94971499999999998</v>
      </c>
      <c r="BM1693" s="25">
        <f>Inventory[[#This Row],[Nbhd Adj]]*Inventory[[#This Row],[Quality Adj]]*Inventory[[#This Row],[Condition Adj]]*Inventory[[#This Row],[Living Area Adj]]*Inventory[[#This Row],[Decade Adj]]*0.95</f>
        <v>0.97494744680082823</v>
      </c>
      <c r="BN1693" s="25">
        <f>ROUND(SUM(Inventory[[#This Row],[Mdl Qlty]:[Mdl WdDeck]])+Inventory[[#This Row],[Mdl Res Intercept]]*Inventory[[#This Row],[Res Adj ]],-2)</f>
        <v>327100</v>
      </c>
      <c r="BO1693" s="25">
        <f>ROUND(Inventory[[#This Row],[25Det]]*Inventory[[#This Row],[Det/Nbhd Adj]],-2)</f>
        <v>5900</v>
      </c>
      <c r="BP1693" s="25">
        <f>Inventory[[#This Row],[Adjusted Res]]+Inventory[[#This Row],[Adj Det ]]</f>
        <v>333000</v>
      </c>
      <c r="BQ1693" s="25">
        <f>ROUND((Inventory[[#This Row],[Mdl Land Intercept]]+Inventory[[#This Row],[Mdl LnAcres]])*Inventory[[#This Row],[Det/Nbhd Adj]],-2)</f>
        <v>32100</v>
      </c>
      <c r="BR1693" s="25">
        <f>Inventory[[#This Row],[Adjusted Impr Total]]+Inventory[[#This Row],[Adjusted Land Total]]</f>
        <v>365100</v>
      </c>
      <c r="BS1693" s="36">
        <f>IFERROR((Inventory[[#This Row],[Adjusted Impr Total]]-Inventory[[#This Row],[24Bldg]])/Inventory[[#This Row],[24Bldg]],0)</f>
        <v>0.21355685131195334</v>
      </c>
      <c r="BT1693" s="36">
        <f>(Inventory[[#This Row],[Adjusted Land Total]]-Inventory[[#This Row],[24Lnd]])/Inventory[[#This Row],[24Lnd]]</f>
        <v>-0.39089184060721061</v>
      </c>
      <c r="BU1693" s="36">
        <f>(Inventory[[#This Row],[Adjusted Total]]-Inventory[[#This Row],[24Final]])/Inventory[[#This Row],[24Final]]</f>
        <v>0.11617242433506574</v>
      </c>
    </row>
    <row r="1694" spans="1:73" x14ac:dyDescent="0.3">
      <c r="A1694" s="25">
        <v>2025</v>
      </c>
      <c r="B1694" s="26" t="s">
        <v>2713</v>
      </c>
      <c r="C1694" s="26">
        <f>LN(Inventory[[#This Row],[Acres]])</f>
        <v>-1.8971199848858813</v>
      </c>
      <c r="D1694" s="25">
        <v>0.15</v>
      </c>
      <c r="E1694" s="32">
        <v>6469</v>
      </c>
      <c r="F1694" s="26" t="s">
        <v>537</v>
      </c>
      <c r="G1694" s="26" t="s">
        <v>126</v>
      </c>
      <c r="H1694" s="26" t="s">
        <v>349</v>
      </c>
      <c r="I1694" s="26" t="s">
        <v>538</v>
      </c>
      <c r="J1694" s="26" t="s">
        <v>539</v>
      </c>
      <c r="K1694" s="26" t="s">
        <v>173</v>
      </c>
      <c r="L1694" s="26" t="s">
        <v>351</v>
      </c>
      <c r="M1694" s="26" t="s">
        <v>303</v>
      </c>
      <c r="N1694" s="26">
        <v>100</v>
      </c>
      <c r="O1694" s="26">
        <f>2024-Inventory[[#This Row],[YrBlt]]</f>
        <v>94</v>
      </c>
      <c r="P1694" s="26">
        <f>2024-Inventory[[#This Row],[EffYr]]</f>
        <v>54</v>
      </c>
      <c r="Q1694" s="25">
        <v>1930</v>
      </c>
      <c r="R1694" s="25">
        <v>1970</v>
      </c>
      <c r="S1694" s="25">
        <v>1360</v>
      </c>
      <c r="T1694" s="25">
        <v>400</v>
      </c>
      <c r="U1694" s="25">
        <v>832</v>
      </c>
      <c r="V1694" s="32">
        <f>Inventory[[#This Row],[Bsmt]]-Inventory[[#This Row],[FnBsmt]]</f>
        <v>832</v>
      </c>
      <c r="W1694" s="27"/>
      <c r="X1694" s="27"/>
      <c r="Y1694" s="27">
        <f>Inventory[[#This Row],[MainFn]]+Inventory[[#This Row],[UpprFn]]+Inventory[[#This Row],[FnBsmt]]+Inventory[[#This Row],[AddFn]]</f>
        <v>1760</v>
      </c>
      <c r="Z1694" s="27">
        <v>2000</v>
      </c>
      <c r="AA1694" s="25">
        <v>7</v>
      </c>
      <c r="AB1694" s="32">
        <v>342</v>
      </c>
      <c r="AC1694" s="27"/>
      <c r="AD1694" s="31"/>
      <c r="AE1694" s="27"/>
      <c r="AF1694" s="27"/>
      <c r="AG1694" s="27"/>
      <c r="AH1694" s="27"/>
      <c r="AI1694" s="25">
        <v>331677</v>
      </c>
      <c r="AJ1694" s="25">
        <v>225540</v>
      </c>
      <c r="AK1694" s="25">
        <v>0</v>
      </c>
      <c r="AL1694" s="25">
        <v>333200</v>
      </c>
      <c r="AM1694" s="25">
        <v>48400</v>
      </c>
      <c r="AN1694" s="25">
        <v>284800</v>
      </c>
      <c r="AO1694" s="25">
        <v>0</v>
      </c>
      <c r="AP1694" s="25">
        <f>Lookups!$B$56*0</f>
        <v>0</v>
      </c>
      <c r="AQ1694" s="25">
        <f>Lookups!$B$56*1</f>
        <v>89850.625589999996</v>
      </c>
      <c r="AR1694" s="25">
        <f>Lookups!$B$57*Inventory[[#This Row],[LnAcres]]</f>
        <v>-60052.604136134301</v>
      </c>
      <c r="AS1694" s="25">
        <f>VLOOKUP(Inventory[[#This Row],[Qlty]],Lookups!$A$62:$E$75,2,FALSE)</f>
        <v>21557.329055999999</v>
      </c>
      <c r="AT1694" s="25">
        <f>VLOOKUP(Inventory[[#This Row],[Cnd]],Lookups!$A$76:$E$84,2,FALSE)</f>
        <v>197752.34721000001</v>
      </c>
      <c r="AU1694" s="25">
        <f>Inventory[[#This Row],[EffAge]]*Lookups!$B$85</f>
        <v>-12044.462427</v>
      </c>
      <c r="AV1694" s="25">
        <f>Inventory[[#This Row],[MainFn]]*Lookups!$B$86</f>
        <v>67195.791032720008</v>
      </c>
      <c r="AW1694" s="25">
        <f>Inventory[[#This Row],[UpprFn]]*Lookups!$B$87</f>
        <v>17914.5691444</v>
      </c>
      <c r="AX1694" s="25">
        <f>Inventory[[#This Row],[AddFn]]*Lookups!$B$88</f>
        <v>0</v>
      </c>
      <c r="AY1694" s="25">
        <f>Inventory[[#This Row],[Bsmt]]*Lookups!$B$89</f>
        <v>24196.136845503999</v>
      </c>
      <c r="AZ1694" s="25">
        <f>Inventory[[#This Row],[Fixtures]]*Lookups!$B$90</f>
        <v>26544.1547364</v>
      </c>
      <c r="BA1694" s="25">
        <f>Inventory[[#This Row],[WdDeck]]*Lookups!$B$91</f>
        <v>0</v>
      </c>
      <c r="BB1694" s="25">
        <f>ROUND(Inventory[[#This Row],[25Det]],-2)</f>
        <v>0</v>
      </c>
      <c r="BC1694" s="25">
        <f>ROUND(SUM(Inventory[[#This Row],[Mdl Qlty]:[Mdl WdDeck]])+Inventory[[#This Row],[Mdl Res Intercept]],-2)</f>
        <v>343100</v>
      </c>
      <c r="BD1694" s="25">
        <f>ROUND(Inventory[[#This Row],[Mdl Land Intercept]]+Inventory[[#This Row],[Mdl LnAcres]],-2)</f>
        <v>29800</v>
      </c>
      <c r="BE1694" s="25">
        <f>Inventory[[#This Row],[Unadj Res Value]]+Inventory[[#This Row],[Unadj Det Value]]+Inventory[[#This Row],[Unadj Land Value]]</f>
        <v>372900</v>
      </c>
      <c r="BF1694" s="36">
        <f>(Inventory[[#This Row],[Unadj Total Value]]-Inventory[[#This Row],[24Final]])/Inventory[[#This Row],[24Final]]</f>
        <v>0.11914765906362546</v>
      </c>
      <c r="BG1694" s="25">
        <f>VLOOKUP(Inventory[[#This Row],[Nbhd]],Lookups!$Q$2:$T$4,4,FALSE)</f>
        <v>0.99970000000000003</v>
      </c>
      <c r="BH1694" s="25">
        <f>VLOOKUP(Inventory[[#This Row],[Qlty]],Lookups!$O$7:$R$21,4,FALSE)</f>
        <v>1.0067999999999999</v>
      </c>
      <c r="BI1694" s="25">
        <f>VLOOKUP(Inventory[[#This Row],[Cnd]],Lookups!$T$7:$W$16,4,FALSE)</f>
        <v>0.99650000000000005</v>
      </c>
      <c r="BJ1694" s="25">
        <f>VLOOKUP(Inventory[[#This Row],[LivArea Range]],Lookups!$T$25:$W$37,4,FALSE)</f>
        <v>1.0093000000000001</v>
      </c>
      <c r="BK1694" s="25">
        <f>VLOOKUP(Inventory[[#This Row],[Decade]],Lookups!$O$25:$R$42,4,FALSE)</f>
        <v>1.0074000000000001</v>
      </c>
      <c r="BL1694" s="25">
        <f>Inventory[[#This Row],[Nbhd Adj]]*0.95</f>
        <v>0.94971499999999998</v>
      </c>
      <c r="BM1694" s="25">
        <f>Inventory[[#This Row],[Nbhd Adj]]*Inventory[[#This Row],[Quality Adj]]*Inventory[[#This Row],[Condition Adj]]*Inventory[[#This Row],[Living Area Adj]]*Inventory[[#This Row],[Decade Adj]]*0.95</f>
        <v>0.96880423161964746</v>
      </c>
      <c r="BN1694" s="25">
        <f>ROUND(SUM(Inventory[[#This Row],[Mdl Qlty]:[Mdl WdDeck]])+Inventory[[#This Row],[Mdl Res Intercept]]*Inventory[[#This Row],[Res Adj ]],-2)</f>
        <v>343100</v>
      </c>
      <c r="BO1694" s="25">
        <f>ROUND(Inventory[[#This Row],[25Det]]*Inventory[[#This Row],[Det/Nbhd Adj]],-2)</f>
        <v>0</v>
      </c>
      <c r="BP1694" s="25">
        <f>Inventory[[#This Row],[Adjusted Res]]+Inventory[[#This Row],[Adj Det ]]</f>
        <v>343100</v>
      </c>
      <c r="BQ1694" s="25">
        <f>ROUND((Inventory[[#This Row],[Mdl Land Intercept]]+Inventory[[#This Row],[Mdl LnAcres]])*Inventory[[#This Row],[Det/Nbhd Adj]],-2)</f>
        <v>28300</v>
      </c>
      <c r="BR1694" s="25">
        <f>Inventory[[#This Row],[Adjusted Impr Total]]+Inventory[[#This Row],[Adjusted Land Total]]</f>
        <v>371400</v>
      </c>
      <c r="BS1694" s="36">
        <f>IFERROR((Inventory[[#This Row],[Adjusted Impr Total]]-Inventory[[#This Row],[24Bldg]])/Inventory[[#This Row],[24Bldg]],0)</f>
        <v>0.20470505617977527</v>
      </c>
      <c r="BT1694" s="36">
        <f>(Inventory[[#This Row],[Adjusted Land Total]]-Inventory[[#This Row],[24Lnd]])/Inventory[[#This Row],[24Lnd]]</f>
        <v>-0.41528925619834711</v>
      </c>
      <c r="BU1694" s="36">
        <f>(Inventory[[#This Row],[Adjusted Total]]-Inventory[[#This Row],[24Final]])/Inventory[[#This Row],[24Final]]</f>
        <v>0.11464585834333733</v>
      </c>
    </row>
    <row r="1695" spans="1:73" x14ac:dyDescent="0.3">
      <c r="A1695" s="25">
        <v>2025</v>
      </c>
      <c r="B1695" s="26" t="s">
        <v>1917</v>
      </c>
      <c r="C1695" s="26">
        <f>LN(Inventory[[#This Row],[Acres]])</f>
        <v>-1.7147984280919266</v>
      </c>
      <c r="D1695" s="25">
        <v>0.18</v>
      </c>
      <c r="E1695" s="27"/>
      <c r="F1695" s="26" t="s">
        <v>537</v>
      </c>
      <c r="G1695" s="26" t="s">
        <v>126</v>
      </c>
      <c r="H1695" s="26" t="s">
        <v>349</v>
      </c>
      <c r="I1695" s="26" t="s">
        <v>538</v>
      </c>
      <c r="J1695" s="26" t="s">
        <v>539</v>
      </c>
      <c r="K1695" s="26" t="s">
        <v>269</v>
      </c>
      <c r="L1695" s="26" t="s">
        <v>351</v>
      </c>
      <c r="M1695" s="26" t="s">
        <v>303</v>
      </c>
      <c r="N1695" s="26">
        <v>100</v>
      </c>
      <c r="O1695" s="26">
        <f>2024-Inventory[[#This Row],[YrBlt]]</f>
        <v>94</v>
      </c>
      <c r="P1695" s="26">
        <f>2024-Inventory[[#This Row],[EffYr]]</f>
        <v>54</v>
      </c>
      <c r="Q1695" s="25">
        <v>1930</v>
      </c>
      <c r="R1695" s="25">
        <v>1970</v>
      </c>
      <c r="S1695" s="25">
        <v>1375</v>
      </c>
      <c r="T1695" s="27"/>
      <c r="U1695" s="25">
        <v>550</v>
      </c>
      <c r="V1695" s="25">
        <f>Inventory[[#This Row],[Bsmt]]-Inventory[[#This Row],[FnBsmt]]</f>
        <v>550</v>
      </c>
      <c r="W1695" s="31"/>
      <c r="X1695" s="27"/>
      <c r="Y1695" s="27">
        <f>Inventory[[#This Row],[MainFn]]+Inventory[[#This Row],[UpprFn]]+Inventory[[#This Row],[FnBsmt]]+Inventory[[#This Row],[AddFn]]</f>
        <v>1375</v>
      </c>
      <c r="Z1695" s="27">
        <v>1500</v>
      </c>
      <c r="AA1695" s="25">
        <v>5</v>
      </c>
      <c r="AB1695" s="31"/>
      <c r="AC1695" s="27"/>
      <c r="AD1695" s="27"/>
      <c r="AE1695" s="27"/>
      <c r="AF1695" s="27"/>
      <c r="AG1695" s="27"/>
      <c r="AH1695" s="27"/>
      <c r="AI1695" s="25">
        <v>235475</v>
      </c>
      <c r="AJ1695" s="25">
        <v>160123</v>
      </c>
      <c r="AK1695" s="25">
        <v>5963</v>
      </c>
      <c r="AL1695" s="25">
        <v>314000</v>
      </c>
      <c r="AM1695" s="25">
        <v>54700</v>
      </c>
      <c r="AN1695" s="25">
        <v>259300</v>
      </c>
      <c r="AO1695" s="25">
        <v>0</v>
      </c>
      <c r="AP1695" s="25">
        <f>Lookups!$B$56*0</f>
        <v>0</v>
      </c>
      <c r="AQ1695" s="25">
        <f>Lookups!$B$56*1</f>
        <v>89850.625589999996</v>
      </c>
      <c r="AR1695" s="25">
        <f>Lookups!$B$57*Inventory[[#This Row],[LnAcres]]</f>
        <v>-54281.285314520763</v>
      </c>
      <c r="AS1695" s="25">
        <f>VLOOKUP(Inventory[[#This Row],[Qlty]],Lookups!$A$62:$E$75,2,FALSE)</f>
        <v>21557.329055999999</v>
      </c>
      <c r="AT1695" s="25">
        <f>VLOOKUP(Inventory[[#This Row],[Cnd]],Lookups!$A$76:$E$84,2,FALSE)</f>
        <v>197752.34721000001</v>
      </c>
      <c r="AU1695" s="25">
        <f>Inventory[[#This Row],[EffAge]]*Lookups!$B$85</f>
        <v>-12044.462427</v>
      </c>
      <c r="AV1695" s="25">
        <f>Inventory[[#This Row],[MainFn]]*Lookups!$B$86</f>
        <v>67936.921080875007</v>
      </c>
      <c r="AW1695" s="25">
        <f>Inventory[[#This Row],[UpprFn]]*Lookups!$B$87</f>
        <v>0</v>
      </c>
      <c r="AX1695" s="25">
        <f>Inventory[[#This Row],[AddFn]]*Lookups!$B$88</f>
        <v>0</v>
      </c>
      <c r="AY1695" s="25">
        <f>Inventory[[#This Row],[Bsmt]]*Lookups!$B$89</f>
        <v>15995.04238585</v>
      </c>
      <c r="AZ1695" s="25">
        <f>Inventory[[#This Row],[Fixtures]]*Lookups!$B$90</f>
        <v>18960.110526</v>
      </c>
      <c r="BA1695" s="25">
        <f>Inventory[[#This Row],[WdDeck]]*Lookups!$B$91</f>
        <v>0</v>
      </c>
      <c r="BB1695" s="25">
        <f>ROUND(Inventory[[#This Row],[25Det]],-2)</f>
        <v>6000</v>
      </c>
      <c r="BC1695" s="25">
        <f>ROUND(SUM(Inventory[[#This Row],[Mdl Qlty]:[Mdl WdDeck]])+Inventory[[#This Row],[Mdl Res Intercept]],-2)</f>
        <v>310200</v>
      </c>
      <c r="BD1695" s="25">
        <f>ROUND(Inventory[[#This Row],[Mdl Land Intercept]]+Inventory[[#This Row],[Mdl LnAcres]],-2)</f>
        <v>35600</v>
      </c>
      <c r="BE1695" s="25">
        <f>Inventory[[#This Row],[Unadj Res Value]]+Inventory[[#This Row],[Unadj Det Value]]+Inventory[[#This Row],[Unadj Land Value]]</f>
        <v>351800</v>
      </c>
      <c r="BF1695" s="36">
        <f>(Inventory[[#This Row],[Unadj Total Value]]-Inventory[[#This Row],[24Final]])/Inventory[[#This Row],[24Final]]</f>
        <v>0.12038216560509554</v>
      </c>
      <c r="BG1695" s="25">
        <f>VLOOKUP(Inventory[[#This Row],[Nbhd]],Lookups!$Q$2:$T$4,4,FALSE)</f>
        <v>0.99970000000000003</v>
      </c>
      <c r="BH1695" s="25">
        <f>VLOOKUP(Inventory[[#This Row],[Qlty]],Lookups!$O$7:$R$21,4,FALSE)</f>
        <v>1.0067999999999999</v>
      </c>
      <c r="BI1695" s="25">
        <f>VLOOKUP(Inventory[[#This Row],[Cnd]],Lookups!$T$7:$W$16,4,FALSE)</f>
        <v>0.99650000000000005</v>
      </c>
      <c r="BJ1695" s="25">
        <f>VLOOKUP(Inventory[[#This Row],[LivArea Range]],Lookups!$T$25:$W$37,4,FALSE)</f>
        <v>1.0157</v>
      </c>
      <c r="BK1695" s="25">
        <f>VLOOKUP(Inventory[[#This Row],[Decade]],Lookups!$O$25:$R$42,4,FALSE)</f>
        <v>1.0074000000000001</v>
      </c>
      <c r="BL1695" s="25">
        <f>Inventory[[#This Row],[Nbhd Adj]]*0.95</f>
        <v>0.94971499999999998</v>
      </c>
      <c r="BM1695" s="25">
        <f>Inventory[[#This Row],[Nbhd Adj]]*Inventory[[#This Row],[Quality Adj]]*Inventory[[#This Row],[Condition Adj]]*Inventory[[#This Row],[Living Area Adj]]*Inventory[[#This Row],[Decade Adj]]*0.95</f>
        <v>0.97494744680082823</v>
      </c>
      <c r="BN1695" s="25">
        <f>ROUND(SUM(Inventory[[#This Row],[Mdl Qlty]:[Mdl WdDeck]])+Inventory[[#This Row],[Mdl Res Intercept]]*Inventory[[#This Row],[Res Adj ]],-2)</f>
        <v>310200</v>
      </c>
      <c r="BO1695" s="25">
        <f>ROUND(Inventory[[#This Row],[25Det]]*Inventory[[#This Row],[Det/Nbhd Adj]],-2)</f>
        <v>5700</v>
      </c>
      <c r="BP1695" s="25">
        <f>Inventory[[#This Row],[Adjusted Res]]+Inventory[[#This Row],[Adj Det ]]</f>
        <v>315900</v>
      </c>
      <c r="BQ1695" s="25">
        <f>ROUND((Inventory[[#This Row],[Mdl Land Intercept]]+Inventory[[#This Row],[Mdl LnAcres]])*Inventory[[#This Row],[Det/Nbhd Adj]],-2)</f>
        <v>33800</v>
      </c>
      <c r="BR1695" s="25">
        <f>Inventory[[#This Row],[Adjusted Impr Total]]+Inventory[[#This Row],[Adjusted Land Total]]</f>
        <v>349700</v>
      </c>
      <c r="BS1695" s="36">
        <f>IFERROR((Inventory[[#This Row],[Adjusted Impr Total]]-Inventory[[#This Row],[24Bldg]])/Inventory[[#This Row],[24Bldg]],0)</f>
        <v>0.21827998457385267</v>
      </c>
      <c r="BT1695" s="36">
        <f>(Inventory[[#This Row],[Adjusted Land Total]]-Inventory[[#This Row],[24Lnd]])/Inventory[[#This Row],[24Lnd]]</f>
        <v>-0.38208409506398539</v>
      </c>
      <c r="BU1695" s="36">
        <f>(Inventory[[#This Row],[Adjusted Total]]-Inventory[[#This Row],[24Final]])/Inventory[[#This Row],[24Final]]</f>
        <v>0.11369426751592357</v>
      </c>
    </row>
    <row r="1696" spans="1:73" x14ac:dyDescent="0.3">
      <c r="A1696" s="25">
        <v>2025</v>
      </c>
      <c r="B1696" s="26" t="s">
        <v>1912</v>
      </c>
      <c r="C1696" s="26">
        <f>LN(Inventory[[#This Row],[Acres]])</f>
        <v>-1.8325814637483102</v>
      </c>
      <c r="D1696" s="25">
        <v>0.16</v>
      </c>
      <c r="E1696" s="32">
        <v>6979</v>
      </c>
      <c r="F1696" s="26" t="s">
        <v>537</v>
      </c>
      <c r="G1696" s="26" t="s">
        <v>126</v>
      </c>
      <c r="H1696" s="26" t="s">
        <v>349</v>
      </c>
      <c r="I1696" s="26" t="s">
        <v>538</v>
      </c>
      <c r="J1696" s="26" t="s">
        <v>539</v>
      </c>
      <c r="K1696" s="26" t="s">
        <v>269</v>
      </c>
      <c r="L1696" s="26" t="s">
        <v>351</v>
      </c>
      <c r="M1696" s="26" t="s">
        <v>303</v>
      </c>
      <c r="N1696" s="26">
        <v>100</v>
      </c>
      <c r="O1696" s="26">
        <f>2024-Inventory[[#This Row],[YrBlt]]</f>
        <v>94</v>
      </c>
      <c r="P1696" s="26">
        <f>2024-Inventory[[#This Row],[EffYr]]</f>
        <v>54</v>
      </c>
      <c r="Q1696" s="25">
        <v>1930</v>
      </c>
      <c r="R1696" s="25">
        <v>1970</v>
      </c>
      <c r="S1696" s="25">
        <v>749</v>
      </c>
      <c r="T1696" s="27"/>
      <c r="U1696" s="31"/>
      <c r="V1696" s="27">
        <f>Inventory[[#This Row],[Bsmt]]-Inventory[[#This Row],[FnBsmt]]</f>
        <v>0</v>
      </c>
      <c r="W1696" s="27"/>
      <c r="X1696" s="27"/>
      <c r="Y1696" s="27">
        <f>Inventory[[#This Row],[MainFn]]+Inventory[[#This Row],[UpprFn]]+Inventory[[#This Row],[FnBsmt]]+Inventory[[#This Row],[AddFn]]</f>
        <v>749</v>
      </c>
      <c r="Z1696" s="27">
        <v>1000</v>
      </c>
      <c r="AA1696" s="25">
        <v>5</v>
      </c>
      <c r="AB1696" s="27"/>
      <c r="AC1696" s="27"/>
      <c r="AD1696" s="27"/>
      <c r="AE1696" s="27"/>
      <c r="AF1696" s="27"/>
      <c r="AG1696" s="27"/>
      <c r="AH1696" s="27"/>
      <c r="AI1696" s="25">
        <v>122464</v>
      </c>
      <c r="AJ1696" s="25">
        <v>83276</v>
      </c>
      <c r="AK1696" s="25">
        <v>4877</v>
      </c>
      <c r="AL1696" s="25">
        <v>267700</v>
      </c>
      <c r="AM1696" s="25">
        <v>50600</v>
      </c>
      <c r="AN1696" s="25">
        <v>217100</v>
      </c>
      <c r="AO1696" s="25">
        <v>0</v>
      </c>
      <c r="AP1696" s="25">
        <f>Lookups!$B$56*0</f>
        <v>0</v>
      </c>
      <c r="AQ1696" s="25">
        <f>Lookups!$B$56*1</f>
        <v>89850.625589999996</v>
      </c>
      <c r="AR1696" s="25">
        <f>Lookups!$B$57*Inventory[[#This Row],[LnAcres]]</f>
        <v>-58009.662049032086</v>
      </c>
      <c r="AS1696" s="25">
        <f>VLOOKUP(Inventory[[#This Row],[Qlty]],Lookups!$A$62:$E$75,2,FALSE)</f>
        <v>21557.329055999999</v>
      </c>
      <c r="AT1696" s="25">
        <f>VLOOKUP(Inventory[[#This Row],[Cnd]],Lookups!$A$76:$E$84,2,FALSE)</f>
        <v>197752.34721000001</v>
      </c>
      <c r="AU1696" s="25">
        <f>Inventory[[#This Row],[EffAge]]*Lookups!$B$85</f>
        <v>-12044.462427</v>
      </c>
      <c r="AV1696" s="25">
        <f>Inventory[[#This Row],[MainFn]]*Lookups!$B$86</f>
        <v>37007.093737873001</v>
      </c>
      <c r="AW1696" s="25">
        <f>Inventory[[#This Row],[UpprFn]]*Lookups!$B$87</f>
        <v>0</v>
      </c>
      <c r="AX1696" s="25">
        <f>Inventory[[#This Row],[AddFn]]*Lookups!$B$88</f>
        <v>0</v>
      </c>
      <c r="AY1696" s="25">
        <f>Inventory[[#This Row],[Bsmt]]*Lookups!$B$89</f>
        <v>0</v>
      </c>
      <c r="AZ1696" s="25">
        <f>Inventory[[#This Row],[Fixtures]]*Lookups!$B$90</f>
        <v>18960.110526</v>
      </c>
      <c r="BA1696" s="25">
        <f>Inventory[[#This Row],[WdDeck]]*Lookups!$B$91</f>
        <v>0</v>
      </c>
      <c r="BB1696" s="25">
        <f>ROUND(Inventory[[#This Row],[25Det]],-2)</f>
        <v>4900</v>
      </c>
      <c r="BC1696" s="25">
        <f>ROUND(SUM(Inventory[[#This Row],[Mdl Qlty]:[Mdl WdDeck]])+Inventory[[#This Row],[Mdl Res Intercept]],-2)</f>
        <v>263200</v>
      </c>
      <c r="BD1696" s="25">
        <f>ROUND(Inventory[[#This Row],[Mdl Land Intercept]]+Inventory[[#This Row],[Mdl LnAcres]],-2)</f>
        <v>31800</v>
      </c>
      <c r="BE1696" s="25">
        <f>Inventory[[#This Row],[Unadj Res Value]]+Inventory[[#This Row],[Unadj Det Value]]+Inventory[[#This Row],[Unadj Land Value]]</f>
        <v>299900</v>
      </c>
      <c r="BF1696" s="36">
        <f>(Inventory[[#This Row],[Unadj Total Value]]-Inventory[[#This Row],[24Final]])/Inventory[[#This Row],[24Final]]</f>
        <v>0.12028389988793425</v>
      </c>
      <c r="BG1696" s="25">
        <f>VLOOKUP(Inventory[[#This Row],[Nbhd]],Lookups!$Q$2:$T$4,4,FALSE)</f>
        <v>0.99970000000000003</v>
      </c>
      <c r="BH1696" s="25">
        <f>VLOOKUP(Inventory[[#This Row],[Qlty]],Lookups!$O$7:$R$21,4,FALSE)</f>
        <v>1.0067999999999999</v>
      </c>
      <c r="BI1696" s="25">
        <f>VLOOKUP(Inventory[[#This Row],[Cnd]],Lookups!$T$7:$W$16,4,FALSE)</f>
        <v>0.99650000000000005</v>
      </c>
      <c r="BJ1696" s="25">
        <f>VLOOKUP(Inventory[[#This Row],[LivArea Range]],Lookups!$T$25:$W$37,4,FALSE)</f>
        <v>1.0148999999999999</v>
      </c>
      <c r="BK1696" s="25">
        <f>VLOOKUP(Inventory[[#This Row],[Decade]],Lookups!$O$25:$R$42,4,FALSE)</f>
        <v>1.0074000000000001</v>
      </c>
      <c r="BL1696" s="25">
        <f>Inventory[[#This Row],[Nbhd Adj]]*0.95</f>
        <v>0.94971499999999998</v>
      </c>
      <c r="BM1696" s="25">
        <f>Inventory[[#This Row],[Nbhd Adj]]*Inventory[[#This Row],[Quality Adj]]*Inventory[[#This Row],[Condition Adj]]*Inventory[[#This Row],[Living Area Adj]]*Inventory[[#This Row],[Decade Adj]]*0.95</f>
        <v>0.97417954490318037</v>
      </c>
      <c r="BN1696" s="25">
        <f>ROUND(SUM(Inventory[[#This Row],[Mdl Qlty]:[Mdl WdDeck]])+Inventory[[#This Row],[Mdl Res Intercept]]*Inventory[[#This Row],[Res Adj ]],-2)</f>
        <v>263200</v>
      </c>
      <c r="BO1696" s="25">
        <f>ROUND(Inventory[[#This Row],[25Det]]*Inventory[[#This Row],[Det/Nbhd Adj]],-2)</f>
        <v>4600</v>
      </c>
      <c r="BP1696" s="25">
        <f>Inventory[[#This Row],[Adjusted Res]]+Inventory[[#This Row],[Adj Det ]]</f>
        <v>267800</v>
      </c>
      <c r="BQ1696" s="25">
        <f>ROUND((Inventory[[#This Row],[Mdl Land Intercept]]+Inventory[[#This Row],[Mdl LnAcres]])*Inventory[[#This Row],[Det/Nbhd Adj]],-2)</f>
        <v>30200</v>
      </c>
      <c r="BR1696" s="25">
        <f>Inventory[[#This Row],[Adjusted Impr Total]]+Inventory[[#This Row],[Adjusted Land Total]]</f>
        <v>298000</v>
      </c>
      <c r="BS1696" s="36">
        <f>IFERROR((Inventory[[#This Row],[Adjusted Impr Total]]-Inventory[[#This Row],[24Bldg]])/Inventory[[#This Row],[24Bldg]],0)</f>
        <v>0.23353293413173654</v>
      </c>
      <c r="BT1696" s="36">
        <f>(Inventory[[#This Row],[Adjusted Land Total]]-Inventory[[#This Row],[24Lnd]])/Inventory[[#This Row],[24Lnd]]</f>
        <v>-0.40316205533596838</v>
      </c>
      <c r="BU1696" s="36">
        <f>(Inventory[[#This Row],[Adjusted Total]]-Inventory[[#This Row],[24Final]])/Inventory[[#This Row],[24Final]]</f>
        <v>0.11318640268957789</v>
      </c>
    </row>
    <row r="1697" spans="1:73" x14ac:dyDescent="0.3">
      <c r="A1697" s="25">
        <v>2025</v>
      </c>
      <c r="B1697" s="26" t="s">
        <v>1138</v>
      </c>
      <c r="C1697" s="26">
        <f>LN(Inventory[[#This Row],[Acres]])</f>
        <v>-1.8971199848858813</v>
      </c>
      <c r="D1697" s="25">
        <v>0.15</v>
      </c>
      <c r="E1697" s="27"/>
      <c r="F1697" s="26" t="s">
        <v>537</v>
      </c>
      <c r="G1697" s="26" t="s">
        <v>126</v>
      </c>
      <c r="H1697" s="26" t="s">
        <v>349</v>
      </c>
      <c r="I1697" s="26" t="s">
        <v>538</v>
      </c>
      <c r="J1697" s="26" t="s">
        <v>539</v>
      </c>
      <c r="K1697" s="26" t="s">
        <v>269</v>
      </c>
      <c r="L1697" s="26" t="s">
        <v>351</v>
      </c>
      <c r="M1697" s="26" t="s">
        <v>303</v>
      </c>
      <c r="N1697" s="26">
        <v>100</v>
      </c>
      <c r="O1697" s="26">
        <f>2024-Inventory[[#This Row],[YrBlt]]</f>
        <v>94</v>
      </c>
      <c r="P1697" s="26">
        <f>2024-Inventory[[#This Row],[EffYr]]</f>
        <v>54</v>
      </c>
      <c r="Q1697" s="25">
        <v>1930</v>
      </c>
      <c r="R1697" s="25">
        <v>1970</v>
      </c>
      <c r="S1697" s="25">
        <v>990</v>
      </c>
      <c r="T1697" s="27"/>
      <c r="U1697" s="31"/>
      <c r="V1697" s="31">
        <f>Inventory[[#This Row],[Bsmt]]-Inventory[[#This Row],[FnBsmt]]</f>
        <v>0</v>
      </c>
      <c r="W1697" s="31"/>
      <c r="X1697" s="27"/>
      <c r="Y1697" s="27">
        <f>Inventory[[#This Row],[MainFn]]+Inventory[[#This Row],[UpprFn]]+Inventory[[#This Row],[FnBsmt]]+Inventory[[#This Row],[AddFn]]</f>
        <v>990</v>
      </c>
      <c r="Z1697" s="27">
        <v>1000</v>
      </c>
      <c r="AA1697" s="25">
        <v>5</v>
      </c>
      <c r="AB1697" s="31"/>
      <c r="AC1697" s="27"/>
      <c r="AD1697" s="27"/>
      <c r="AE1697" s="27"/>
      <c r="AF1697" s="27"/>
      <c r="AG1697" s="27"/>
      <c r="AH1697" s="27"/>
      <c r="AI1697" s="25">
        <v>180537</v>
      </c>
      <c r="AJ1697" s="25">
        <v>122765</v>
      </c>
      <c r="AK1697" s="25">
        <v>0</v>
      </c>
      <c r="AL1697" s="25">
        <v>272600</v>
      </c>
      <c r="AM1697" s="25">
        <v>48400</v>
      </c>
      <c r="AN1697" s="25">
        <v>224200</v>
      </c>
      <c r="AO1697" s="25">
        <v>0</v>
      </c>
      <c r="AP1697" s="25">
        <f>Lookups!$B$56*0</f>
        <v>0</v>
      </c>
      <c r="AQ1697" s="25">
        <f>Lookups!$B$56*1</f>
        <v>89850.625589999996</v>
      </c>
      <c r="AR1697" s="25">
        <f>Lookups!$B$57*Inventory[[#This Row],[LnAcres]]</f>
        <v>-60052.604136134301</v>
      </c>
      <c r="AS1697" s="25">
        <f>VLOOKUP(Inventory[[#This Row],[Qlty]],Lookups!$A$62:$E$75,2,FALSE)</f>
        <v>21557.329055999999</v>
      </c>
      <c r="AT1697" s="25">
        <f>VLOOKUP(Inventory[[#This Row],[Cnd]],Lookups!$A$76:$E$84,2,FALSE)</f>
        <v>197752.34721000001</v>
      </c>
      <c r="AU1697" s="25">
        <f>Inventory[[#This Row],[EffAge]]*Lookups!$B$85</f>
        <v>-12044.462427</v>
      </c>
      <c r="AV1697" s="25">
        <f>Inventory[[#This Row],[MainFn]]*Lookups!$B$86</f>
        <v>48914.583178230001</v>
      </c>
      <c r="AW1697" s="25">
        <f>Inventory[[#This Row],[UpprFn]]*Lookups!$B$87</f>
        <v>0</v>
      </c>
      <c r="AX1697" s="25">
        <f>Inventory[[#This Row],[AddFn]]*Lookups!$B$88</f>
        <v>0</v>
      </c>
      <c r="AY1697" s="25">
        <f>Inventory[[#This Row],[Bsmt]]*Lookups!$B$89</f>
        <v>0</v>
      </c>
      <c r="AZ1697" s="25">
        <f>Inventory[[#This Row],[Fixtures]]*Lookups!$B$90</f>
        <v>18960.110526</v>
      </c>
      <c r="BA1697" s="25">
        <f>Inventory[[#This Row],[WdDeck]]*Lookups!$B$91</f>
        <v>0</v>
      </c>
      <c r="BB1697" s="25">
        <f>ROUND(Inventory[[#This Row],[25Det]],-2)</f>
        <v>0</v>
      </c>
      <c r="BC1697" s="25">
        <f>ROUND(SUM(Inventory[[#This Row],[Mdl Qlty]:[Mdl WdDeck]])+Inventory[[#This Row],[Mdl Res Intercept]],-2)</f>
        <v>275100</v>
      </c>
      <c r="BD1697" s="25">
        <f>ROUND(Inventory[[#This Row],[Mdl Land Intercept]]+Inventory[[#This Row],[Mdl LnAcres]],-2)</f>
        <v>29800</v>
      </c>
      <c r="BE1697" s="25">
        <f>Inventory[[#This Row],[Unadj Res Value]]+Inventory[[#This Row],[Unadj Det Value]]+Inventory[[#This Row],[Unadj Land Value]]</f>
        <v>304900</v>
      </c>
      <c r="BF1697" s="36">
        <f>(Inventory[[#This Row],[Unadj Total Value]]-Inventory[[#This Row],[24Final]])/Inventory[[#This Row],[24Final]]</f>
        <v>0.11848862802641233</v>
      </c>
      <c r="BG1697" s="25">
        <f>VLOOKUP(Inventory[[#This Row],[Nbhd]],Lookups!$Q$2:$T$4,4,FALSE)</f>
        <v>0.99970000000000003</v>
      </c>
      <c r="BH1697" s="25">
        <f>VLOOKUP(Inventory[[#This Row],[Qlty]],Lookups!$O$7:$R$21,4,FALSE)</f>
        <v>1.0067999999999999</v>
      </c>
      <c r="BI1697" s="25">
        <f>VLOOKUP(Inventory[[#This Row],[Cnd]],Lookups!$T$7:$W$16,4,FALSE)</f>
        <v>0.99650000000000005</v>
      </c>
      <c r="BJ1697" s="25">
        <f>VLOOKUP(Inventory[[#This Row],[LivArea Range]],Lookups!$T$25:$W$37,4,FALSE)</f>
        <v>1.0148999999999999</v>
      </c>
      <c r="BK1697" s="25">
        <f>VLOOKUP(Inventory[[#This Row],[Decade]],Lookups!$O$25:$R$42,4,FALSE)</f>
        <v>1.0074000000000001</v>
      </c>
      <c r="BL1697" s="25">
        <f>Inventory[[#This Row],[Nbhd Adj]]*0.95</f>
        <v>0.94971499999999998</v>
      </c>
      <c r="BM1697" s="25">
        <f>Inventory[[#This Row],[Nbhd Adj]]*Inventory[[#This Row],[Quality Adj]]*Inventory[[#This Row],[Condition Adj]]*Inventory[[#This Row],[Living Area Adj]]*Inventory[[#This Row],[Decade Adj]]*0.95</f>
        <v>0.97417954490318037</v>
      </c>
      <c r="BN1697" s="25">
        <f>ROUND(SUM(Inventory[[#This Row],[Mdl Qlty]:[Mdl WdDeck]])+Inventory[[#This Row],[Mdl Res Intercept]]*Inventory[[#This Row],[Res Adj ]],-2)</f>
        <v>275100</v>
      </c>
      <c r="BO1697" s="25">
        <f>ROUND(Inventory[[#This Row],[25Det]]*Inventory[[#This Row],[Det/Nbhd Adj]],-2)</f>
        <v>0</v>
      </c>
      <c r="BP1697" s="25">
        <f>Inventory[[#This Row],[Adjusted Res]]+Inventory[[#This Row],[Adj Det ]]</f>
        <v>275100</v>
      </c>
      <c r="BQ1697" s="25">
        <f>ROUND((Inventory[[#This Row],[Mdl Land Intercept]]+Inventory[[#This Row],[Mdl LnAcres]])*Inventory[[#This Row],[Det/Nbhd Adj]],-2)</f>
        <v>28300</v>
      </c>
      <c r="BR1697" s="25">
        <f>Inventory[[#This Row],[Adjusted Impr Total]]+Inventory[[#This Row],[Adjusted Land Total]]</f>
        <v>303400</v>
      </c>
      <c r="BS1697" s="36">
        <f>IFERROR((Inventory[[#This Row],[Adjusted Impr Total]]-Inventory[[#This Row],[24Bldg]])/Inventory[[#This Row],[24Bldg]],0)</f>
        <v>0.22702943800178413</v>
      </c>
      <c r="BT1697" s="36">
        <f>(Inventory[[#This Row],[Adjusted Land Total]]-Inventory[[#This Row],[24Lnd]])/Inventory[[#This Row],[24Lnd]]</f>
        <v>-0.41528925619834711</v>
      </c>
      <c r="BU1697" s="36">
        <f>(Inventory[[#This Row],[Adjusted Total]]-Inventory[[#This Row],[24Final]])/Inventory[[#This Row],[24Final]]</f>
        <v>0.11298606016140866</v>
      </c>
    </row>
    <row r="1698" spans="1:73" x14ac:dyDescent="0.3">
      <c r="A1698" s="25">
        <v>2025</v>
      </c>
      <c r="B1698" s="26" t="s">
        <v>2724</v>
      </c>
      <c r="C1698" s="26">
        <f>LN(Inventory[[#This Row],[Acres]])</f>
        <v>-1.3093333199837622</v>
      </c>
      <c r="D1698" s="25">
        <v>0.27</v>
      </c>
      <c r="E1698" s="25">
        <v>11928</v>
      </c>
      <c r="F1698" s="26" t="s">
        <v>537</v>
      </c>
      <c r="G1698" s="26" t="s">
        <v>126</v>
      </c>
      <c r="H1698" s="26" t="s">
        <v>349</v>
      </c>
      <c r="I1698" s="26" t="s">
        <v>538</v>
      </c>
      <c r="J1698" s="26" t="s">
        <v>539</v>
      </c>
      <c r="K1698" s="26" t="s">
        <v>269</v>
      </c>
      <c r="L1698" s="26" t="s">
        <v>148</v>
      </c>
      <c r="M1698" s="26" t="s">
        <v>303</v>
      </c>
      <c r="N1698" s="26">
        <v>100</v>
      </c>
      <c r="O1698" s="26">
        <f>2024-Inventory[[#This Row],[YrBlt]]</f>
        <v>94</v>
      </c>
      <c r="P1698" s="26">
        <f>2024-Inventory[[#This Row],[EffYr]]</f>
        <v>39</v>
      </c>
      <c r="Q1698" s="25">
        <v>1930</v>
      </c>
      <c r="R1698" s="25">
        <v>1985</v>
      </c>
      <c r="S1698" s="25">
        <v>1698</v>
      </c>
      <c r="T1698" s="31"/>
      <c r="U1698" s="25">
        <v>1626</v>
      </c>
      <c r="V1698" s="25">
        <f>Inventory[[#This Row],[Bsmt]]-Inventory[[#This Row],[FnBsmt]]</f>
        <v>1626</v>
      </c>
      <c r="W1698" s="31"/>
      <c r="X1698" s="27"/>
      <c r="Y1698" s="27">
        <f>Inventory[[#This Row],[MainFn]]+Inventory[[#This Row],[UpprFn]]+Inventory[[#This Row],[FnBsmt]]+Inventory[[#This Row],[AddFn]]</f>
        <v>1698</v>
      </c>
      <c r="Z1698" s="27">
        <v>2000</v>
      </c>
      <c r="AA1698" s="25">
        <v>10</v>
      </c>
      <c r="AB1698" s="27"/>
      <c r="AC1698" s="27"/>
      <c r="AD1698" s="31"/>
      <c r="AE1698" s="27"/>
      <c r="AF1698" s="27"/>
      <c r="AG1698" s="27"/>
      <c r="AH1698" s="27"/>
      <c r="AI1698" s="25">
        <v>448516</v>
      </c>
      <c r="AJ1698" s="25">
        <v>363298</v>
      </c>
      <c r="AK1698" s="25">
        <v>12991</v>
      </c>
      <c r="AL1698" s="25">
        <v>414200</v>
      </c>
      <c r="AM1698" s="25">
        <v>68900</v>
      </c>
      <c r="AN1698" s="25">
        <v>345300</v>
      </c>
      <c r="AO1698" s="25">
        <v>0</v>
      </c>
      <c r="AP1698" s="25">
        <f>Lookups!$B$56*0</f>
        <v>0</v>
      </c>
      <c r="AQ1698" s="25">
        <f>Lookups!$B$56*1</f>
        <v>89850.625589999996</v>
      </c>
      <c r="AR1698" s="25">
        <f>Lookups!$B$57*Inventory[[#This Row],[LnAcres]]</f>
        <v>-41446.443120973789</v>
      </c>
      <c r="AS1698" s="25">
        <f>VLOOKUP(Inventory[[#This Row],[Qlty]],Lookups!$A$62:$E$75,2,FALSE)</f>
        <v>44121.038090000002</v>
      </c>
      <c r="AT1698" s="25">
        <f>VLOOKUP(Inventory[[#This Row],[Cnd]],Lookups!$A$76:$E$84,2,FALSE)</f>
        <v>197752.34721000001</v>
      </c>
      <c r="AU1698" s="25">
        <f>Inventory[[#This Row],[EffAge]]*Lookups!$B$85</f>
        <v>-8698.7784195000004</v>
      </c>
      <c r="AV1698" s="25">
        <f>Inventory[[#This Row],[MainFn]]*Lookups!$B$86</f>
        <v>83895.921451146001</v>
      </c>
      <c r="AW1698" s="25">
        <f>Inventory[[#This Row],[UpprFn]]*Lookups!$B$87</f>
        <v>0</v>
      </c>
      <c r="AX1698" s="25">
        <f>Inventory[[#This Row],[AddFn]]*Lookups!$B$88</f>
        <v>0</v>
      </c>
      <c r="AY1698" s="25">
        <f>Inventory[[#This Row],[Bsmt]]*Lookups!$B$89</f>
        <v>47287.161671621994</v>
      </c>
      <c r="AZ1698" s="25">
        <f>Inventory[[#This Row],[Fixtures]]*Lookups!$B$90</f>
        <v>37920.221052000001</v>
      </c>
      <c r="BA1698" s="25">
        <f>Inventory[[#This Row],[WdDeck]]*Lookups!$B$91</f>
        <v>0</v>
      </c>
      <c r="BB1698" s="25">
        <f>ROUND(Inventory[[#This Row],[25Det]],-2)</f>
        <v>13000</v>
      </c>
      <c r="BC1698" s="25">
        <f>ROUND(SUM(Inventory[[#This Row],[Mdl Qlty]:[Mdl WdDeck]])+Inventory[[#This Row],[Mdl Res Intercept]],-2)</f>
        <v>402300</v>
      </c>
      <c r="BD1698" s="25">
        <f>ROUND(Inventory[[#This Row],[Mdl Land Intercept]]+Inventory[[#This Row],[Mdl LnAcres]],-2)</f>
        <v>48400</v>
      </c>
      <c r="BE1698" s="25">
        <f>Inventory[[#This Row],[Unadj Res Value]]+Inventory[[#This Row],[Unadj Det Value]]+Inventory[[#This Row],[Unadj Land Value]]</f>
        <v>463700</v>
      </c>
      <c r="BF1698" s="36">
        <f>(Inventory[[#This Row],[Unadj Total Value]]-Inventory[[#This Row],[24Final]])/Inventory[[#This Row],[24Final]]</f>
        <v>0.11950748430709802</v>
      </c>
      <c r="BG1698" s="25">
        <f>VLOOKUP(Inventory[[#This Row],[Nbhd]],Lookups!$Q$2:$T$4,4,FALSE)</f>
        <v>0.99970000000000003</v>
      </c>
      <c r="BH1698" s="25">
        <f>VLOOKUP(Inventory[[#This Row],[Qlty]],Lookups!$O$7:$R$21,4,FALSE)</f>
        <v>0.98050000000000004</v>
      </c>
      <c r="BI1698" s="25">
        <f>VLOOKUP(Inventory[[#This Row],[Cnd]],Lookups!$T$7:$W$16,4,FALSE)</f>
        <v>0.99650000000000005</v>
      </c>
      <c r="BJ1698" s="25">
        <f>VLOOKUP(Inventory[[#This Row],[LivArea Range]],Lookups!$T$25:$W$37,4,FALSE)</f>
        <v>1.0093000000000001</v>
      </c>
      <c r="BK1698" s="25">
        <f>VLOOKUP(Inventory[[#This Row],[Decade]],Lookups!$O$25:$R$42,4,FALSE)</f>
        <v>1.0074000000000001</v>
      </c>
      <c r="BL1698" s="25">
        <f>Inventory[[#This Row],[Nbhd Adj]]*0.95</f>
        <v>0.94971499999999998</v>
      </c>
      <c r="BM1698" s="25">
        <f>Inventory[[#This Row],[Nbhd Adj]]*Inventory[[#This Row],[Quality Adj]]*Inventory[[#This Row],[Condition Adj]]*Inventory[[#This Row],[Living Area Adj]]*Inventory[[#This Row],[Decade Adj]]*0.95</f>
        <v>0.94349677105985763</v>
      </c>
      <c r="BN1698" s="25">
        <f>ROUND(SUM(Inventory[[#This Row],[Mdl Qlty]:[Mdl WdDeck]])+Inventory[[#This Row],[Mdl Res Intercept]]*Inventory[[#This Row],[Res Adj ]],-2)</f>
        <v>402300</v>
      </c>
      <c r="BO1698" s="25">
        <f>ROUND(Inventory[[#This Row],[25Det]]*Inventory[[#This Row],[Det/Nbhd Adj]],-2)</f>
        <v>12300</v>
      </c>
      <c r="BP1698" s="25">
        <f>Inventory[[#This Row],[Adjusted Res]]+Inventory[[#This Row],[Adj Det ]]</f>
        <v>414600</v>
      </c>
      <c r="BQ1698" s="25">
        <f>ROUND((Inventory[[#This Row],[Mdl Land Intercept]]+Inventory[[#This Row],[Mdl LnAcres]])*Inventory[[#This Row],[Det/Nbhd Adj]],-2)</f>
        <v>46000</v>
      </c>
      <c r="BR1698" s="25">
        <f>Inventory[[#This Row],[Adjusted Impr Total]]+Inventory[[#This Row],[Adjusted Land Total]]</f>
        <v>460600</v>
      </c>
      <c r="BS1698" s="36">
        <f>IFERROR((Inventory[[#This Row],[Adjusted Impr Total]]-Inventory[[#This Row],[24Bldg]])/Inventory[[#This Row],[24Bldg]],0)</f>
        <v>0.20069504778453517</v>
      </c>
      <c r="BT1698" s="36">
        <f>(Inventory[[#This Row],[Adjusted Land Total]]-Inventory[[#This Row],[24Lnd]])/Inventory[[#This Row],[24Lnd]]</f>
        <v>-0.33236574746008707</v>
      </c>
      <c r="BU1698" s="36">
        <f>(Inventory[[#This Row],[Adjusted Total]]-Inventory[[#This Row],[24Final]])/Inventory[[#This Row],[24Final]]</f>
        <v>0.11202317720907774</v>
      </c>
    </row>
    <row r="1699" spans="1:73" x14ac:dyDescent="0.3">
      <c r="A1699" s="25">
        <v>2025</v>
      </c>
      <c r="B1699" s="26" t="s">
        <v>2388</v>
      </c>
      <c r="C1699" s="26">
        <f>LN(Inventory[[#This Row],[Acres]])</f>
        <v>-1.7147984280919266</v>
      </c>
      <c r="D1699" s="25">
        <v>0.18</v>
      </c>
      <c r="E1699" s="25">
        <v>7658</v>
      </c>
      <c r="F1699" s="26" t="s">
        <v>537</v>
      </c>
      <c r="G1699" s="26" t="s">
        <v>126</v>
      </c>
      <c r="H1699" s="26" t="s">
        <v>349</v>
      </c>
      <c r="I1699" s="26" t="s">
        <v>538</v>
      </c>
      <c r="J1699" s="26" t="s">
        <v>539</v>
      </c>
      <c r="K1699" s="26" t="s">
        <v>269</v>
      </c>
      <c r="L1699" s="26" t="s">
        <v>302</v>
      </c>
      <c r="M1699" s="26" t="s">
        <v>303</v>
      </c>
      <c r="N1699" s="26">
        <v>100</v>
      </c>
      <c r="O1699" s="26">
        <f>2024-Inventory[[#This Row],[YrBlt]]</f>
        <v>94</v>
      </c>
      <c r="P1699" s="26">
        <f>2024-Inventory[[#This Row],[EffYr]]</f>
        <v>54</v>
      </c>
      <c r="Q1699" s="25">
        <v>1930</v>
      </c>
      <c r="R1699" s="25">
        <v>1970</v>
      </c>
      <c r="S1699" s="25">
        <v>1238</v>
      </c>
      <c r="T1699" s="27"/>
      <c r="U1699" s="32">
        <v>1208</v>
      </c>
      <c r="V1699" s="32">
        <f>Inventory[[#This Row],[Bsmt]]-Inventory[[#This Row],[FnBsmt]]</f>
        <v>1208</v>
      </c>
      <c r="W1699" s="27"/>
      <c r="X1699" s="27"/>
      <c r="Y1699" s="27">
        <f>Inventory[[#This Row],[MainFn]]+Inventory[[#This Row],[UpprFn]]+Inventory[[#This Row],[FnBsmt]]+Inventory[[#This Row],[AddFn]]</f>
        <v>1238</v>
      </c>
      <c r="Z1699" s="27">
        <v>1500</v>
      </c>
      <c r="AA1699" s="25">
        <v>7</v>
      </c>
      <c r="AB1699" s="27"/>
      <c r="AC1699" s="27"/>
      <c r="AD1699" s="27"/>
      <c r="AE1699" s="27"/>
      <c r="AF1699" s="27"/>
      <c r="AG1699" s="27"/>
      <c r="AH1699" s="27"/>
      <c r="AI1699" s="25">
        <v>284551</v>
      </c>
      <c r="AJ1699" s="25">
        <v>193495</v>
      </c>
      <c r="AK1699" s="25">
        <v>11174</v>
      </c>
      <c r="AL1699" s="25">
        <v>344300</v>
      </c>
      <c r="AM1699" s="25">
        <v>54700</v>
      </c>
      <c r="AN1699" s="25">
        <v>289600</v>
      </c>
      <c r="AO1699" s="25">
        <v>0</v>
      </c>
      <c r="AP1699" s="25">
        <f>Lookups!$B$56*0</f>
        <v>0</v>
      </c>
      <c r="AQ1699" s="25">
        <f>Lookups!$B$56*1</f>
        <v>89850.625589999996</v>
      </c>
      <c r="AR1699" s="25">
        <f>Lookups!$B$57*Inventory[[#This Row],[LnAcres]]</f>
        <v>-54281.285314520763</v>
      </c>
      <c r="AS1699" s="25">
        <f>VLOOKUP(Inventory[[#This Row],[Qlty]],Lookups!$A$62:$E$75,2,FALSE)</f>
        <v>29814.093161000001</v>
      </c>
      <c r="AT1699" s="25">
        <f>VLOOKUP(Inventory[[#This Row],[Cnd]],Lookups!$A$76:$E$84,2,FALSE)</f>
        <v>197752.34721000001</v>
      </c>
      <c r="AU1699" s="25">
        <f>Inventory[[#This Row],[EffAge]]*Lookups!$B$85</f>
        <v>-12044.462427</v>
      </c>
      <c r="AV1699" s="25">
        <f>Inventory[[#This Row],[MainFn]]*Lookups!$B$86</f>
        <v>61167.933307726002</v>
      </c>
      <c r="AW1699" s="25">
        <f>Inventory[[#This Row],[UpprFn]]*Lookups!$B$87</f>
        <v>0</v>
      </c>
      <c r="AX1699" s="25">
        <f>Inventory[[#This Row],[AddFn]]*Lookups!$B$88</f>
        <v>0</v>
      </c>
      <c r="AY1699" s="25">
        <f>Inventory[[#This Row],[Bsmt]]*Lookups!$B$89</f>
        <v>35130.929458375998</v>
      </c>
      <c r="AZ1699" s="25">
        <f>Inventory[[#This Row],[Fixtures]]*Lookups!$B$90</f>
        <v>26544.1547364</v>
      </c>
      <c r="BA1699" s="25">
        <f>Inventory[[#This Row],[WdDeck]]*Lookups!$B$91</f>
        <v>0</v>
      </c>
      <c r="BB1699" s="25">
        <f>ROUND(Inventory[[#This Row],[25Det]],-2)</f>
        <v>11200</v>
      </c>
      <c r="BC1699" s="25">
        <f>ROUND(SUM(Inventory[[#This Row],[Mdl Qlty]:[Mdl WdDeck]])+Inventory[[#This Row],[Mdl Res Intercept]],-2)</f>
        <v>338400</v>
      </c>
      <c r="BD1699" s="25">
        <f>ROUND(Inventory[[#This Row],[Mdl Land Intercept]]+Inventory[[#This Row],[Mdl LnAcres]],-2)</f>
        <v>35600</v>
      </c>
      <c r="BE1699" s="25">
        <f>Inventory[[#This Row],[Unadj Res Value]]+Inventory[[#This Row],[Unadj Det Value]]+Inventory[[#This Row],[Unadj Land Value]]</f>
        <v>385200</v>
      </c>
      <c r="BF1699" s="36">
        <f>(Inventory[[#This Row],[Unadj Total Value]]-Inventory[[#This Row],[24Final]])/Inventory[[#This Row],[24Final]]</f>
        <v>0.1187917513796108</v>
      </c>
      <c r="BG1699" s="25">
        <f>VLOOKUP(Inventory[[#This Row],[Nbhd]],Lookups!$Q$2:$T$4,4,FALSE)</f>
        <v>0.99970000000000003</v>
      </c>
      <c r="BH1699" s="25">
        <f>VLOOKUP(Inventory[[#This Row],[Qlty]],Lookups!$O$7:$R$21,4,FALSE)</f>
        <v>1.0088999999999999</v>
      </c>
      <c r="BI1699" s="25">
        <f>VLOOKUP(Inventory[[#This Row],[Cnd]],Lookups!$T$7:$W$16,4,FALSE)</f>
        <v>0.99650000000000005</v>
      </c>
      <c r="BJ1699" s="25">
        <f>VLOOKUP(Inventory[[#This Row],[LivArea Range]],Lookups!$T$25:$W$37,4,FALSE)</f>
        <v>1.0157</v>
      </c>
      <c r="BK1699" s="25">
        <f>VLOOKUP(Inventory[[#This Row],[Decade]],Lookups!$O$25:$R$42,4,FALSE)</f>
        <v>1.0074000000000001</v>
      </c>
      <c r="BL1699" s="25">
        <f>Inventory[[#This Row],[Nbhd Adj]]*0.95</f>
        <v>0.94971499999999998</v>
      </c>
      <c r="BM1699" s="25">
        <f>Inventory[[#This Row],[Nbhd Adj]]*Inventory[[#This Row],[Quality Adj]]*Inventory[[#This Row],[Condition Adj]]*Inventory[[#This Row],[Living Area Adj]]*Inventory[[#This Row],[Decade Adj]]*0.95</f>
        <v>0.97698100822144973</v>
      </c>
      <c r="BN1699" s="25">
        <f>ROUND(SUM(Inventory[[#This Row],[Mdl Qlty]:[Mdl WdDeck]])+Inventory[[#This Row],[Mdl Res Intercept]]*Inventory[[#This Row],[Res Adj ]],-2)</f>
        <v>338400</v>
      </c>
      <c r="BO1699" s="25">
        <f>ROUND(Inventory[[#This Row],[25Det]]*Inventory[[#This Row],[Det/Nbhd Adj]],-2)</f>
        <v>10600</v>
      </c>
      <c r="BP1699" s="25">
        <f>Inventory[[#This Row],[Adjusted Res]]+Inventory[[#This Row],[Adj Det ]]</f>
        <v>349000</v>
      </c>
      <c r="BQ1699" s="25">
        <f>ROUND((Inventory[[#This Row],[Mdl Land Intercept]]+Inventory[[#This Row],[Mdl LnAcres]])*Inventory[[#This Row],[Det/Nbhd Adj]],-2)</f>
        <v>33800</v>
      </c>
      <c r="BR1699" s="25">
        <f>Inventory[[#This Row],[Adjusted Impr Total]]+Inventory[[#This Row],[Adjusted Land Total]]</f>
        <v>382800</v>
      </c>
      <c r="BS1699" s="36">
        <f>IFERROR((Inventory[[#This Row],[Adjusted Impr Total]]-Inventory[[#This Row],[24Bldg]])/Inventory[[#This Row],[24Bldg]],0)</f>
        <v>0.20511049723756905</v>
      </c>
      <c r="BT1699" s="36">
        <f>(Inventory[[#This Row],[Adjusted Land Total]]-Inventory[[#This Row],[24Lnd]])/Inventory[[#This Row],[24Lnd]]</f>
        <v>-0.38208409506398539</v>
      </c>
      <c r="BU1699" s="36">
        <f>(Inventory[[#This Row],[Adjusted Total]]-Inventory[[#This Row],[24Final]])/Inventory[[#This Row],[24Final]]</f>
        <v>0.11182108626198083</v>
      </c>
    </row>
    <row r="1700" spans="1:73" x14ac:dyDescent="0.3">
      <c r="A1700" s="25">
        <v>2025</v>
      </c>
      <c r="B1700" s="26" t="s">
        <v>2393</v>
      </c>
      <c r="C1700" s="26">
        <f>LN(Inventory[[#This Row],[Acres]])</f>
        <v>-1.8325814637483102</v>
      </c>
      <c r="D1700" s="25">
        <v>0.16</v>
      </c>
      <c r="E1700" s="27"/>
      <c r="F1700" s="26" t="s">
        <v>537</v>
      </c>
      <c r="G1700" s="26" t="s">
        <v>126</v>
      </c>
      <c r="H1700" s="26" t="s">
        <v>349</v>
      </c>
      <c r="I1700" s="26" t="s">
        <v>538</v>
      </c>
      <c r="J1700" s="26" t="s">
        <v>539</v>
      </c>
      <c r="K1700" s="26" t="s">
        <v>147</v>
      </c>
      <c r="L1700" s="26" t="s">
        <v>302</v>
      </c>
      <c r="M1700" s="26" t="s">
        <v>303</v>
      </c>
      <c r="N1700" s="26">
        <v>100</v>
      </c>
      <c r="O1700" s="26">
        <f>2024-Inventory[[#This Row],[YrBlt]]</f>
        <v>94</v>
      </c>
      <c r="P1700" s="26">
        <f>2024-Inventory[[#This Row],[EffYr]]</f>
        <v>54</v>
      </c>
      <c r="Q1700" s="25">
        <v>1930</v>
      </c>
      <c r="R1700" s="25">
        <v>1970</v>
      </c>
      <c r="S1700" s="25">
        <v>1373</v>
      </c>
      <c r="T1700" s="32">
        <v>425</v>
      </c>
      <c r="U1700" s="32">
        <v>1229</v>
      </c>
      <c r="V1700" s="32">
        <f>Inventory[[#This Row],[Bsmt]]-Inventory[[#This Row],[FnBsmt]]</f>
        <v>613</v>
      </c>
      <c r="W1700" s="32">
        <v>616</v>
      </c>
      <c r="X1700" s="27"/>
      <c r="Y1700" s="27">
        <f>Inventory[[#This Row],[MainFn]]+Inventory[[#This Row],[UpprFn]]+Inventory[[#This Row],[FnBsmt]]+Inventory[[#This Row],[AddFn]]</f>
        <v>2414</v>
      </c>
      <c r="Z1700" s="27">
        <v>2500</v>
      </c>
      <c r="AA1700" s="25">
        <v>5</v>
      </c>
      <c r="AB1700" s="27"/>
      <c r="AC1700" s="27"/>
      <c r="AD1700" s="32">
        <v>275</v>
      </c>
      <c r="AE1700" s="27"/>
      <c r="AF1700" s="27"/>
      <c r="AG1700" s="27"/>
      <c r="AH1700" s="27"/>
      <c r="AI1700" s="25">
        <v>397646</v>
      </c>
      <c r="AJ1700" s="25">
        <v>270399</v>
      </c>
      <c r="AK1700" s="25">
        <v>6227</v>
      </c>
      <c r="AL1700" s="25">
        <v>362100</v>
      </c>
      <c r="AM1700" s="25">
        <v>50600</v>
      </c>
      <c r="AN1700" s="25">
        <v>311500</v>
      </c>
      <c r="AO1700" s="25">
        <v>0</v>
      </c>
      <c r="AP1700" s="25">
        <f>Lookups!$B$56*0</f>
        <v>0</v>
      </c>
      <c r="AQ1700" s="25">
        <f>Lookups!$B$56*1</f>
        <v>89850.625589999996</v>
      </c>
      <c r="AR1700" s="25">
        <f>Lookups!$B$57*Inventory[[#This Row],[LnAcres]]</f>
        <v>-58009.662049032086</v>
      </c>
      <c r="AS1700" s="25">
        <f>VLOOKUP(Inventory[[#This Row],[Qlty]],Lookups!$A$62:$E$75,2,FALSE)</f>
        <v>29814.093161000001</v>
      </c>
      <c r="AT1700" s="25">
        <f>VLOOKUP(Inventory[[#This Row],[Cnd]],Lookups!$A$76:$E$84,2,FALSE)</f>
        <v>197752.34721000001</v>
      </c>
      <c r="AU1700" s="25">
        <f>Inventory[[#This Row],[EffAge]]*Lookups!$B$85</f>
        <v>-12044.462427</v>
      </c>
      <c r="AV1700" s="25">
        <f>Inventory[[#This Row],[MainFn]]*Lookups!$B$86</f>
        <v>67838.103741120998</v>
      </c>
      <c r="AW1700" s="25">
        <f>Inventory[[#This Row],[UpprFn]]*Lookups!$B$87</f>
        <v>19034.229715925001</v>
      </c>
      <c r="AX1700" s="25">
        <f>Inventory[[#This Row],[AddFn]]*Lookups!$B$88</f>
        <v>0</v>
      </c>
      <c r="AY1700" s="25">
        <f>Inventory[[#This Row],[Bsmt]]*Lookups!$B$89</f>
        <v>35741.649258562997</v>
      </c>
      <c r="AZ1700" s="25">
        <f>Inventory[[#This Row],[Fixtures]]*Lookups!$B$90</f>
        <v>18960.110526</v>
      </c>
      <c r="BA1700" s="25">
        <f>Inventory[[#This Row],[WdDeck]]*Lookups!$B$91</f>
        <v>9156.2667009000015</v>
      </c>
      <c r="BB1700" s="25">
        <f>ROUND(Inventory[[#This Row],[25Det]],-2)</f>
        <v>6200</v>
      </c>
      <c r="BC1700" s="25">
        <f>ROUND(SUM(Inventory[[#This Row],[Mdl Qlty]:[Mdl WdDeck]])+Inventory[[#This Row],[Mdl Res Intercept]],-2)</f>
        <v>366300</v>
      </c>
      <c r="BD1700" s="25">
        <f>ROUND(Inventory[[#This Row],[Mdl Land Intercept]]+Inventory[[#This Row],[Mdl LnAcres]],-2)</f>
        <v>31800</v>
      </c>
      <c r="BE1700" s="25">
        <f>Inventory[[#This Row],[Unadj Res Value]]+Inventory[[#This Row],[Unadj Det Value]]+Inventory[[#This Row],[Unadj Land Value]]</f>
        <v>404300</v>
      </c>
      <c r="BF1700" s="36">
        <f>(Inventory[[#This Row],[Unadj Total Value]]-Inventory[[#This Row],[24Final]])/Inventory[[#This Row],[24Final]]</f>
        <v>0.11654239160452913</v>
      </c>
      <c r="BG1700" s="25">
        <f>VLOOKUP(Inventory[[#This Row],[Nbhd]],Lookups!$Q$2:$T$4,4,FALSE)</f>
        <v>0.99970000000000003</v>
      </c>
      <c r="BH1700" s="25">
        <f>VLOOKUP(Inventory[[#This Row],[Qlty]],Lookups!$O$7:$R$21,4,FALSE)</f>
        <v>1.0088999999999999</v>
      </c>
      <c r="BI1700" s="25">
        <f>VLOOKUP(Inventory[[#This Row],[Cnd]],Lookups!$T$7:$W$16,4,FALSE)</f>
        <v>0.99650000000000005</v>
      </c>
      <c r="BJ1700" s="25">
        <f>VLOOKUP(Inventory[[#This Row],[LivArea Range]],Lookups!$T$25:$W$37,4,FALSE)</f>
        <v>0.98919999999999997</v>
      </c>
      <c r="BK1700" s="25">
        <f>VLOOKUP(Inventory[[#This Row],[Decade]],Lookups!$O$25:$R$42,4,FALSE)</f>
        <v>1.0074000000000001</v>
      </c>
      <c r="BL1700" s="25">
        <f>Inventory[[#This Row],[Nbhd Adj]]*0.95</f>
        <v>0.94971499999999998</v>
      </c>
      <c r="BM1700" s="25">
        <f>Inventory[[#This Row],[Nbhd Adj]]*Inventory[[#This Row],[Quality Adj]]*Inventory[[#This Row],[Condition Adj]]*Inventory[[#This Row],[Living Area Adj]]*Inventory[[#This Row],[Decade Adj]]*0.95</f>
        <v>0.95149120146958555</v>
      </c>
      <c r="BN1700" s="25">
        <f>ROUND(SUM(Inventory[[#This Row],[Mdl Qlty]:[Mdl WdDeck]])+Inventory[[#This Row],[Mdl Res Intercept]]*Inventory[[#This Row],[Res Adj ]],-2)</f>
        <v>366300</v>
      </c>
      <c r="BO1700" s="25">
        <f>ROUND(Inventory[[#This Row],[25Det]]*Inventory[[#This Row],[Det/Nbhd Adj]],-2)</f>
        <v>5900</v>
      </c>
      <c r="BP1700" s="25">
        <f>Inventory[[#This Row],[Adjusted Res]]+Inventory[[#This Row],[Adj Det ]]</f>
        <v>372200</v>
      </c>
      <c r="BQ1700" s="25">
        <f>ROUND((Inventory[[#This Row],[Mdl Land Intercept]]+Inventory[[#This Row],[Mdl LnAcres]])*Inventory[[#This Row],[Det/Nbhd Adj]],-2)</f>
        <v>30200</v>
      </c>
      <c r="BR1700" s="25">
        <f>Inventory[[#This Row],[Adjusted Impr Total]]+Inventory[[#This Row],[Adjusted Land Total]]</f>
        <v>402400</v>
      </c>
      <c r="BS1700" s="36">
        <f>IFERROR((Inventory[[#This Row],[Adjusted Impr Total]]-Inventory[[#This Row],[24Bldg]])/Inventory[[#This Row],[24Bldg]],0)</f>
        <v>0.19486356340288924</v>
      </c>
      <c r="BT1700" s="36">
        <f>(Inventory[[#This Row],[Adjusted Land Total]]-Inventory[[#This Row],[24Lnd]])/Inventory[[#This Row],[24Lnd]]</f>
        <v>-0.40316205533596838</v>
      </c>
      <c r="BU1700" s="36">
        <f>(Inventory[[#This Row],[Adjusted Total]]-Inventory[[#This Row],[24Final]])/Inventory[[#This Row],[24Final]]</f>
        <v>0.11129522231427783</v>
      </c>
    </row>
    <row r="1701" spans="1:73" x14ac:dyDescent="0.3">
      <c r="A1701" s="25">
        <v>2025</v>
      </c>
      <c r="B1701" s="26" t="s">
        <v>1290</v>
      </c>
      <c r="C1701" s="26">
        <f>LN(Inventory[[#This Row],[Acres]])</f>
        <v>-1.8971199848858813</v>
      </c>
      <c r="D1701" s="25">
        <v>0.15</v>
      </c>
      <c r="E1701" s="32">
        <v>6480</v>
      </c>
      <c r="F1701" s="26" t="s">
        <v>537</v>
      </c>
      <c r="G1701" s="26" t="s">
        <v>126</v>
      </c>
      <c r="H1701" s="26" t="s">
        <v>349</v>
      </c>
      <c r="I1701" s="26" t="s">
        <v>538</v>
      </c>
      <c r="J1701" s="26" t="s">
        <v>539</v>
      </c>
      <c r="K1701" s="26" t="s">
        <v>269</v>
      </c>
      <c r="L1701" s="26" t="s">
        <v>302</v>
      </c>
      <c r="M1701" s="26" t="s">
        <v>303</v>
      </c>
      <c r="N1701" s="26">
        <v>100</v>
      </c>
      <c r="O1701" s="26">
        <f>2024-Inventory[[#This Row],[YrBlt]]</f>
        <v>94</v>
      </c>
      <c r="P1701" s="26">
        <f>2024-Inventory[[#This Row],[EffYr]]</f>
        <v>54</v>
      </c>
      <c r="Q1701" s="25">
        <v>1930</v>
      </c>
      <c r="R1701" s="25">
        <v>1970</v>
      </c>
      <c r="S1701" s="25">
        <v>1368</v>
      </c>
      <c r="T1701" s="32">
        <v>716</v>
      </c>
      <c r="U1701" s="25">
        <v>704</v>
      </c>
      <c r="V1701" s="25">
        <f>Inventory[[#This Row],[Bsmt]]-Inventory[[#This Row],[FnBsmt]]</f>
        <v>352</v>
      </c>
      <c r="W1701" s="25">
        <v>352</v>
      </c>
      <c r="X1701" s="27"/>
      <c r="Y1701" s="27">
        <f>Inventory[[#This Row],[MainFn]]+Inventory[[#This Row],[UpprFn]]+Inventory[[#This Row],[FnBsmt]]+Inventory[[#This Row],[AddFn]]</f>
        <v>2436</v>
      </c>
      <c r="Z1701" s="27">
        <v>2500</v>
      </c>
      <c r="AA1701" s="25">
        <v>7</v>
      </c>
      <c r="AB1701" s="27"/>
      <c r="AC1701" s="32">
        <v>588</v>
      </c>
      <c r="AD1701" s="32">
        <v>300</v>
      </c>
      <c r="AE1701" s="27"/>
      <c r="AF1701" s="27"/>
      <c r="AG1701" s="27"/>
      <c r="AH1701" s="27"/>
      <c r="AI1701" s="25">
        <v>460990</v>
      </c>
      <c r="AJ1701" s="25">
        <v>313473</v>
      </c>
      <c r="AK1701" s="25">
        <v>0</v>
      </c>
      <c r="AL1701" s="25">
        <v>360500</v>
      </c>
      <c r="AM1701" s="25">
        <v>48400</v>
      </c>
      <c r="AN1701" s="25">
        <v>312100</v>
      </c>
      <c r="AO1701" s="25">
        <v>0</v>
      </c>
      <c r="AP1701" s="25">
        <f>Lookups!$B$56*0</f>
        <v>0</v>
      </c>
      <c r="AQ1701" s="25">
        <f>Lookups!$B$56*1</f>
        <v>89850.625589999996</v>
      </c>
      <c r="AR1701" s="25">
        <f>Lookups!$B$57*Inventory[[#This Row],[LnAcres]]</f>
        <v>-60052.604136134301</v>
      </c>
      <c r="AS1701" s="25">
        <f>VLOOKUP(Inventory[[#This Row],[Qlty]],Lookups!$A$62:$E$75,2,FALSE)</f>
        <v>29814.093161000001</v>
      </c>
      <c r="AT1701" s="25">
        <f>VLOOKUP(Inventory[[#This Row],[Cnd]],Lookups!$A$76:$E$84,2,FALSE)</f>
        <v>197752.34721000001</v>
      </c>
      <c r="AU1701" s="25">
        <f>Inventory[[#This Row],[EffAge]]*Lookups!$B$85</f>
        <v>-12044.462427</v>
      </c>
      <c r="AV1701" s="25">
        <f>Inventory[[#This Row],[MainFn]]*Lookups!$B$86</f>
        <v>67591.060391735999</v>
      </c>
      <c r="AW1701" s="25">
        <f>Inventory[[#This Row],[UpprFn]]*Lookups!$B$87</f>
        <v>32067.078768476</v>
      </c>
      <c r="AX1701" s="25">
        <f>Inventory[[#This Row],[AddFn]]*Lookups!$B$88</f>
        <v>0</v>
      </c>
      <c r="AY1701" s="25">
        <f>Inventory[[#This Row],[Bsmt]]*Lookups!$B$89</f>
        <v>20473.654253887998</v>
      </c>
      <c r="AZ1701" s="25">
        <f>Inventory[[#This Row],[Fixtures]]*Lookups!$B$90</f>
        <v>26544.1547364</v>
      </c>
      <c r="BA1701" s="25">
        <f>Inventory[[#This Row],[WdDeck]]*Lookups!$B$91</f>
        <v>9988.6545828000017</v>
      </c>
      <c r="BB1701" s="25">
        <f>ROUND(Inventory[[#This Row],[25Det]],-2)</f>
        <v>0</v>
      </c>
      <c r="BC1701" s="25">
        <f>ROUND(SUM(Inventory[[#This Row],[Mdl Qlty]:[Mdl WdDeck]])+Inventory[[#This Row],[Mdl Res Intercept]],-2)</f>
        <v>372200</v>
      </c>
      <c r="BD1701" s="25">
        <f>ROUND(Inventory[[#This Row],[Mdl Land Intercept]]+Inventory[[#This Row],[Mdl LnAcres]],-2)</f>
        <v>29800</v>
      </c>
      <c r="BE1701" s="25">
        <f>Inventory[[#This Row],[Unadj Res Value]]+Inventory[[#This Row],[Unadj Det Value]]+Inventory[[#This Row],[Unadj Land Value]]</f>
        <v>402000</v>
      </c>
      <c r="BF1701" s="36">
        <f>(Inventory[[#This Row],[Unadj Total Value]]-Inventory[[#This Row],[24Final]])/Inventory[[#This Row],[24Final]]</f>
        <v>0.11511789181692095</v>
      </c>
      <c r="BG1701" s="25">
        <f>VLOOKUP(Inventory[[#This Row],[Nbhd]],Lookups!$Q$2:$T$4,4,FALSE)</f>
        <v>0.99970000000000003</v>
      </c>
      <c r="BH1701" s="25">
        <f>VLOOKUP(Inventory[[#This Row],[Qlty]],Lookups!$O$7:$R$21,4,FALSE)</f>
        <v>1.0088999999999999</v>
      </c>
      <c r="BI1701" s="25">
        <f>VLOOKUP(Inventory[[#This Row],[Cnd]],Lookups!$T$7:$W$16,4,FALSE)</f>
        <v>0.99650000000000005</v>
      </c>
      <c r="BJ1701" s="25">
        <f>VLOOKUP(Inventory[[#This Row],[LivArea Range]],Lookups!$T$25:$W$37,4,FALSE)</f>
        <v>0.98919999999999997</v>
      </c>
      <c r="BK1701" s="25">
        <f>VLOOKUP(Inventory[[#This Row],[Decade]],Lookups!$O$25:$R$42,4,FALSE)</f>
        <v>1.0074000000000001</v>
      </c>
      <c r="BL1701" s="25">
        <f>Inventory[[#This Row],[Nbhd Adj]]*0.95</f>
        <v>0.94971499999999998</v>
      </c>
      <c r="BM1701" s="25">
        <f>Inventory[[#This Row],[Nbhd Adj]]*Inventory[[#This Row],[Quality Adj]]*Inventory[[#This Row],[Condition Adj]]*Inventory[[#This Row],[Living Area Adj]]*Inventory[[#This Row],[Decade Adj]]*0.95</f>
        <v>0.95149120146958555</v>
      </c>
      <c r="BN1701" s="25">
        <f>ROUND(SUM(Inventory[[#This Row],[Mdl Qlty]:[Mdl WdDeck]])+Inventory[[#This Row],[Mdl Res Intercept]]*Inventory[[#This Row],[Res Adj ]],-2)</f>
        <v>372200</v>
      </c>
      <c r="BO1701" s="25">
        <f>ROUND(Inventory[[#This Row],[25Det]]*Inventory[[#This Row],[Det/Nbhd Adj]],-2)</f>
        <v>0</v>
      </c>
      <c r="BP1701" s="25">
        <f>Inventory[[#This Row],[Adjusted Res]]+Inventory[[#This Row],[Adj Det ]]</f>
        <v>372200</v>
      </c>
      <c r="BQ1701" s="25">
        <f>ROUND((Inventory[[#This Row],[Mdl Land Intercept]]+Inventory[[#This Row],[Mdl LnAcres]])*Inventory[[#This Row],[Det/Nbhd Adj]],-2)</f>
        <v>28300</v>
      </c>
      <c r="BR1701" s="25">
        <f>Inventory[[#This Row],[Adjusted Impr Total]]+Inventory[[#This Row],[Adjusted Land Total]]</f>
        <v>400500</v>
      </c>
      <c r="BS1701" s="36">
        <f>IFERROR((Inventory[[#This Row],[Adjusted Impr Total]]-Inventory[[#This Row],[24Bldg]])/Inventory[[#This Row],[24Bldg]],0)</f>
        <v>0.19256648510092919</v>
      </c>
      <c r="BT1701" s="36">
        <f>(Inventory[[#This Row],[Adjusted Land Total]]-Inventory[[#This Row],[24Lnd]])/Inventory[[#This Row],[24Lnd]]</f>
        <v>-0.41528925619834711</v>
      </c>
      <c r="BU1701" s="36">
        <f>(Inventory[[#This Row],[Adjusted Total]]-Inventory[[#This Row],[24Final]])/Inventory[[#This Row],[24Final]]</f>
        <v>0.11095700416088766</v>
      </c>
    </row>
    <row r="1702" spans="1:73" x14ac:dyDescent="0.3">
      <c r="A1702" s="25">
        <v>2025</v>
      </c>
      <c r="B1702" s="26" t="s">
        <v>2269</v>
      </c>
      <c r="C1702" s="26">
        <f>LN(Inventory[[#This Row],[Acres]])</f>
        <v>-1.8971199848858813</v>
      </c>
      <c r="D1702" s="25">
        <v>0.15</v>
      </c>
      <c r="E1702" s="32">
        <v>6600</v>
      </c>
      <c r="F1702" s="26" t="s">
        <v>537</v>
      </c>
      <c r="G1702" s="26" t="s">
        <v>126</v>
      </c>
      <c r="H1702" s="26" t="s">
        <v>349</v>
      </c>
      <c r="I1702" s="26" t="s">
        <v>538</v>
      </c>
      <c r="J1702" s="26" t="s">
        <v>539</v>
      </c>
      <c r="K1702" s="26" t="s">
        <v>173</v>
      </c>
      <c r="L1702" s="26" t="s">
        <v>351</v>
      </c>
      <c r="M1702" s="26" t="s">
        <v>303</v>
      </c>
      <c r="N1702" s="26">
        <v>100</v>
      </c>
      <c r="O1702" s="26">
        <f>2024-Inventory[[#This Row],[YrBlt]]</f>
        <v>94</v>
      </c>
      <c r="P1702" s="26">
        <f>2024-Inventory[[#This Row],[EffYr]]</f>
        <v>54</v>
      </c>
      <c r="Q1702" s="25">
        <v>1930</v>
      </c>
      <c r="R1702" s="25">
        <v>1970</v>
      </c>
      <c r="S1702" s="25">
        <v>1511</v>
      </c>
      <c r="T1702" s="32">
        <v>690</v>
      </c>
      <c r="U1702" s="25">
        <v>1350</v>
      </c>
      <c r="V1702" s="25">
        <f>Inventory[[#This Row],[Bsmt]]-Inventory[[#This Row],[FnBsmt]]</f>
        <v>1350</v>
      </c>
      <c r="W1702" s="31"/>
      <c r="X1702" s="27"/>
      <c r="Y1702" s="27">
        <f>Inventory[[#This Row],[MainFn]]+Inventory[[#This Row],[UpprFn]]+Inventory[[#This Row],[FnBsmt]]+Inventory[[#This Row],[AddFn]]</f>
        <v>2201</v>
      </c>
      <c r="Z1702" s="27">
        <v>2500</v>
      </c>
      <c r="AA1702" s="25">
        <v>5</v>
      </c>
      <c r="AB1702" s="27"/>
      <c r="AC1702" s="27"/>
      <c r="AD1702" s="27"/>
      <c r="AE1702" s="27"/>
      <c r="AF1702" s="27"/>
      <c r="AG1702" s="27"/>
      <c r="AH1702" s="27"/>
      <c r="AI1702" s="25">
        <v>341797</v>
      </c>
      <c r="AJ1702" s="25">
        <v>232422</v>
      </c>
      <c r="AK1702" s="25">
        <v>8281</v>
      </c>
      <c r="AL1702" s="25">
        <v>366600</v>
      </c>
      <c r="AM1702" s="25">
        <v>48400</v>
      </c>
      <c r="AN1702" s="25">
        <v>318200</v>
      </c>
      <c r="AO1702" s="25">
        <v>0</v>
      </c>
      <c r="AP1702" s="25">
        <f>Lookups!$B$56*0</f>
        <v>0</v>
      </c>
      <c r="AQ1702" s="25">
        <f>Lookups!$B$56*1</f>
        <v>89850.625589999996</v>
      </c>
      <c r="AR1702" s="25">
        <f>Lookups!$B$57*Inventory[[#This Row],[LnAcres]]</f>
        <v>-60052.604136134301</v>
      </c>
      <c r="AS1702" s="25">
        <f>VLOOKUP(Inventory[[#This Row],[Qlty]],Lookups!$A$62:$E$75,2,FALSE)</f>
        <v>21557.329055999999</v>
      </c>
      <c r="AT1702" s="25">
        <f>VLOOKUP(Inventory[[#This Row],[Cnd]],Lookups!$A$76:$E$84,2,FALSE)</f>
        <v>197752.34721000001</v>
      </c>
      <c r="AU1702" s="25">
        <f>Inventory[[#This Row],[EffAge]]*Lookups!$B$85</f>
        <v>-12044.462427</v>
      </c>
      <c r="AV1702" s="25">
        <f>Inventory[[#This Row],[MainFn]]*Lookups!$B$86</f>
        <v>74656.500184147008</v>
      </c>
      <c r="AW1702" s="25">
        <f>Inventory[[#This Row],[UpprFn]]*Lookups!$B$87</f>
        <v>30902.631774089998</v>
      </c>
      <c r="AX1702" s="25">
        <f>Inventory[[#This Row],[AddFn]]*Lookups!$B$88</f>
        <v>0</v>
      </c>
      <c r="AY1702" s="25">
        <f>Inventory[[#This Row],[Bsmt]]*Lookups!$B$89</f>
        <v>39260.558583450002</v>
      </c>
      <c r="AZ1702" s="25">
        <f>Inventory[[#This Row],[Fixtures]]*Lookups!$B$90</f>
        <v>18960.110526</v>
      </c>
      <c r="BA1702" s="25">
        <f>Inventory[[#This Row],[WdDeck]]*Lookups!$B$91</f>
        <v>0</v>
      </c>
      <c r="BB1702" s="25">
        <f>ROUND(Inventory[[#This Row],[25Det]],-2)</f>
        <v>8300</v>
      </c>
      <c r="BC1702" s="25">
        <f>ROUND(SUM(Inventory[[#This Row],[Mdl Qlty]:[Mdl WdDeck]])+Inventory[[#This Row],[Mdl Res Intercept]],-2)</f>
        <v>371000</v>
      </c>
      <c r="BD1702" s="25">
        <f>ROUND(Inventory[[#This Row],[Mdl Land Intercept]]+Inventory[[#This Row],[Mdl LnAcres]],-2)</f>
        <v>29800</v>
      </c>
      <c r="BE1702" s="25">
        <f>Inventory[[#This Row],[Unadj Res Value]]+Inventory[[#This Row],[Unadj Det Value]]+Inventory[[#This Row],[Unadj Land Value]]</f>
        <v>409100</v>
      </c>
      <c r="BF1702" s="36">
        <f>(Inventory[[#This Row],[Unadj Total Value]]-Inventory[[#This Row],[24Final]])/Inventory[[#This Row],[24Final]]</f>
        <v>0.11593016912165849</v>
      </c>
      <c r="BG1702" s="25">
        <f>VLOOKUP(Inventory[[#This Row],[Nbhd]],Lookups!$Q$2:$T$4,4,FALSE)</f>
        <v>0.99970000000000003</v>
      </c>
      <c r="BH1702" s="25">
        <f>VLOOKUP(Inventory[[#This Row],[Qlty]],Lookups!$O$7:$R$21,4,FALSE)</f>
        <v>1.0067999999999999</v>
      </c>
      <c r="BI1702" s="25">
        <f>VLOOKUP(Inventory[[#This Row],[Cnd]],Lookups!$T$7:$W$16,4,FALSE)</f>
        <v>0.99650000000000005</v>
      </c>
      <c r="BJ1702" s="25">
        <f>VLOOKUP(Inventory[[#This Row],[LivArea Range]],Lookups!$T$25:$W$37,4,FALSE)</f>
        <v>0.98919999999999997</v>
      </c>
      <c r="BK1702" s="25">
        <f>VLOOKUP(Inventory[[#This Row],[Decade]],Lookups!$O$25:$R$42,4,FALSE)</f>
        <v>1.0074000000000001</v>
      </c>
      <c r="BL1702" s="25">
        <f>Inventory[[#This Row],[Nbhd Adj]]*0.95</f>
        <v>0.94971499999999998</v>
      </c>
      <c r="BM1702" s="25">
        <f>Inventory[[#This Row],[Nbhd Adj]]*Inventory[[#This Row],[Quality Adj]]*Inventory[[#This Row],[Condition Adj]]*Inventory[[#This Row],[Living Area Adj]]*Inventory[[#This Row],[Decade Adj]]*0.95</f>
        <v>0.94951069644125163</v>
      </c>
      <c r="BN1702" s="25">
        <f>ROUND(SUM(Inventory[[#This Row],[Mdl Qlty]:[Mdl WdDeck]])+Inventory[[#This Row],[Mdl Res Intercept]]*Inventory[[#This Row],[Res Adj ]],-2)</f>
        <v>371000</v>
      </c>
      <c r="BO1702" s="25">
        <f>ROUND(Inventory[[#This Row],[25Det]]*Inventory[[#This Row],[Det/Nbhd Adj]],-2)</f>
        <v>7900</v>
      </c>
      <c r="BP1702" s="25">
        <f>Inventory[[#This Row],[Adjusted Res]]+Inventory[[#This Row],[Adj Det ]]</f>
        <v>378900</v>
      </c>
      <c r="BQ1702" s="25">
        <f>ROUND((Inventory[[#This Row],[Mdl Land Intercept]]+Inventory[[#This Row],[Mdl LnAcres]])*Inventory[[#This Row],[Det/Nbhd Adj]],-2)</f>
        <v>28300</v>
      </c>
      <c r="BR1702" s="25">
        <f>Inventory[[#This Row],[Adjusted Impr Total]]+Inventory[[#This Row],[Adjusted Land Total]]</f>
        <v>407200</v>
      </c>
      <c r="BS1702" s="36">
        <f>IFERROR((Inventory[[#This Row],[Adjusted Impr Total]]-Inventory[[#This Row],[24Bldg]])/Inventory[[#This Row],[24Bldg]],0)</f>
        <v>0.19076052796983028</v>
      </c>
      <c r="BT1702" s="36">
        <f>(Inventory[[#This Row],[Adjusted Land Total]]-Inventory[[#This Row],[24Lnd]])/Inventory[[#This Row],[24Lnd]]</f>
        <v>-0.41528925619834711</v>
      </c>
      <c r="BU1702" s="36">
        <f>(Inventory[[#This Row],[Adjusted Total]]-Inventory[[#This Row],[24Final]])/Inventory[[#This Row],[24Final]]</f>
        <v>0.11074740861974905</v>
      </c>
    </row>
    <row r="1703" spans="1:73" x14ac:dyDescent="0.3">
      <c r="A1703" s="25">
        <v>2025</v>
      </c>
      <c r="B1703" s="26" t="s">
        <v>933</v>
      </c>
      <c r="C1703" s="26">
        <f>LN(Inventory[[#This Row],[Acres]])</f>
        <v>-2.0402208285265546</v>
      </c>
      <c r="D1703" s="25">
        <v>0.13</v>
      </c>
      <c r="E1703" s="32">
        <v>5565</v>
      </c>
      <c r="F1703" s="26" t="s">
        <v>537</v>
      </c>
      <c r="G1703" s="26" t="s">
        <v>126</v>
      </c>
      <c r="H1703" s="26" t="s">
        <v>349</v>
      </c>
      <c r="I1703" s="26" t="s">
        <v>538</v>
      </c>
      <c r="J1703" s="26" t="s">
        <v>539</v>
      </c>
      <c r="K1703" s="26" t="s">
        <v>269</v>
      </c>
      <c r="L1703" s="26" t="s">
        <v>351</v>
      </c>
      <c r="M1703" s="26" t="s">
        <v>323</v>
      </c>
      <c r="N1703" s="26">
        <v>100</v>
      </c>
      <c r="O1703" s="26">
        <f>2024-Inventory[[#This Row],[YrBlt]]</f>
        <v>94</v>
      </c>
      <c r="P1703" s="26">
        <f>2024-Inventory[[#This Row],[EffYr]]</f>
        <v>54</v>
      </c>
      <c r="Q1703" s="25">
        <v>1930</v>
      </c>
      <c r="R1703" s="25">
        <v>1970</v>
      </c>
      <c r="S1703" s="25">
        <v>1174</v>
      </c>
      <c r="T1703" s="27"/>
      <c r="U1703" s="25">
        <v>528</v>
      </c>
      <c r="V1703" s="25">
        <f>Inventory[[#This Row],[Bsmt]]-Inventory[[#This Row],[FnBsmt]]</f>
        <v>528</v>
      </c>
      <c r="W1703" s="31"/>
      <c r="X1703" s="27"/>
      <c r="Y1703" s="27">
        <f>Inventory[[#This Row],[MainFn]]+Inventory[[#This Row],[UpprFn]]+Inventory[[#This Row],[FnBsmt]]+Inventory[[#This Row],[AddFn]]</f>
        <v>1174</v>
      </c>
      <c r="Z1703" s="27">
        <v>1500</v>
      </c>
      <c r="AA1703" s="25">
        <v>5</v>
      </c>
      <c r="AB1703" s="27"/>
      <c r="AC1703" s="27"/>
      <c r="AD1703" s="32">
        <v>231</v>
      </c>
      <c r="AE1703" s="27"/>
      <c r="AF1703" s="27"/>
      <c r="AG1703" s="27"/>
      <c r="AH1703" s="27"/>
      <c r="AI1703" s="25">
        <v>221327</v>
      </c>
      <c r="AJ1703" s="25">
        <v>146076</v>
      </c>
      <c r="AK1703" s="25">
        <v>7985</v>
      </c>
      <c r="AL1703" s="25">
        <v>271700</v>
      </c>
      <c r="AM1703" s="25">
        <v>43400</v>
      </c>
      <c r="AN1703" s="25">
        <v>228300</v>
      </c>
      <c r="AO1703" s="25">
        <v>0</v>
      </c>
      <c r="AP1703" s="25">
        <f>Lookups!$B$56*0</f>
        <v>0</v>
      </c>
      <c r="AQ1703" s="25">
        <f>Lookups!$B$56*1</f>
        <v>89850.625589999996</v>
      </c>
      <c r="AR1703" s="25">
        <f>Lookups!$B$57*Inventory[[#This Row],[LnAcres]]</f>
        <v>-64582.406353792743</v>
      </c>
      <c r="AS1703" s="25">
        <f>VLOOKUP(Inventory[[#This Row],[Qlty]],Lookups!$A$62:$E$75,2,FALSE)</f>
        <v>21557.329055999999</v>
      </c>
      <c r="AT1703" s="25">
        <f>VLOOKUP(Inventory[[#This Row],[Cnd]],Lookups!$A$76:$E$84,2,FALSE)</f>
        <v>160472.20319</v>
      </c>
      <c r="AU1703" s="25">
        <f>Inventory[[#This Row],[EffAge]]*Lookups!$B$85</f>
        <v>-12044.462427</v>
      </c>
      <c r="AV1703" s="25">
        <f>Inventory[[#This Row],[MainFn]]*Lookups!$B$86</f>
        <v>58005.778435598004</v>
      </c>
      <c r="AW1703" s="25">
        <f>Inventory[[#This Row],[UpprFn]]*Lookups!$B$87</f>
        <v>0</v>
      </c>
      <c r="AX1703" s="25">
        <f>Inventory[[#This Row],[AddFn]]*Lookups!$B$88</f>
        <v>0</v>
      </c>
      <c r="AY1703" s="25">
        <f>Inventory[[#This Row],[Bsmt]]*Lookups!$B$89</f>
        <v>15355.240690416</v>
      </c>
      <c r="AZ1703" s="25">
        <f>Inventory[[#This Row],[Fixtures]]*Lookups!$B$90</f>
        <v>18960.110526</v>
      </c>
      <c r="BA1703" s="25">
        <f>Inventory[[#This Row],[WdDeck]]*Lookups!$B$91</f>
        <v>7691.2640287560007</v>
      </c>
      <c r="BB1703" s="25">
        <f>ROUND(Inventory[[#This Row],[25Det]],-2)</f>
        <v>8000</v>
      </c>
      <c r="BC1703" s="25">
        <f>ROUND(SUM(Inventory[[#This Row],[Mdl Qlty]:[Mdl WdDeck]])+Inventory[[#This Row],[Mdl Res Intercept]],-2)</f>
        <v>270000</v>
      </c>
      <c r="BD1703" s="25">
        <f>ROUND(Inventory[[#This Row],[Mdl Land Intercept]]+Inventory[[#This Row],[Mdl LnAcres]],-2)</f>
        <v>25300</v>
      </c>
      <c r="BE1703" s="25">
        <f>Inventory[[#This Row],[Unadj Res Value]]+Inventory[[#This Row],[Unadj Det Value]]+Inventory[[#This Row],[Unadj Land Value]]</f>
        <v>303300</v>
      </c>
      <c r="BF1703" s="36">
        <f>(Inventory[[#This Row],[Unadj Total Value]]-Inventory[[#This Row],[24Final]])/Inventory[[#This Row],[24Final]]</f>
        <v>0.11630474788369526</v>
      </c>
      <c r="BG1703" s="25">
        <f>VLOOKUP(Inventory[[#This Row],[Nbhd]],Lookups!$Q$2:$T$4,4,FALSE)</f>
        <v>0.99970000000000003</v>
      </c>
      <c r="BH1703" s="25">
        <f>VLOOKUP(Inventory[[#This Row],[Qlty]],Lookups!$O$7:$R$21,4,FALSE)</f>
        <v>1.0067999999999999</v>
      </c>
      <c r="BI1703" s="25">
        <f>VLOOKUP(Inventory[[#This Row],[Cnd]],Lookups!$T$7:$W$16,4,FALSE)</f>
        <v>0.99729999999999996</v>
      </c>
      <c r="BJ1703" s="25">
        <f>VLOOKUP(Inventory[[#This Row],[LivArea Range]],Lookups!$T$25:$W$37,4,FALSE)</f>
        <v>1.0157</v>
      </c>
      <c r="BK1703" s="25">
        <f>VLOOKUP(Inventory[[#This Row],[Decade]],Lookups!$O$25:$R$42,4,FALSE)</f>
        <v>1.0074000000000001</v>
      </c>
      <c r="BL1703" s="25">
        <f>Inventory[[#This Row],[Nbhd Adj]]*0.95</f>
        <v>0.94971499999999998</v>
      </c>
      <c r="BM1703" s="25">
        <f>Inventory[[#This Row],[Nbhd Adj]]*Inventory[[#This Row],[Quality Adj]]*Inventory[[#This Row],[Condition Adj]]*Inventory[[#This Row],[Living Area Adj]]*Inventory[[#This Row],[Decade Adj]]*0.95</f>
        <v>0.97573014419916293</v>
      </c>
      <c r="BN1703" s="25">
        <f>ROUND(SUM(Inventory[[#This Row],[Mdl Qlty]:[Mdl WdDeck]])+Inventory[[#This Row],[Mdl Res Intercept]]*Inventory[[#This Row],[Res Adj ]],-2)</f>
        <v>270000</v>
      </c>
      <c r="BO1703" s="25">
        <f>ROUND(Inventory[[#This Row],[25Det]]*Inventory[[#This Row],[Det/Nbhd Adj]],-2)</f>
        <v>7600</v>
      </c>
      <c r="BP1703" s="25">
        <f>Inventory[[#This Row],[Adjusted Res]]+Inventory[[#This Row],[Adj Det ]]</f>
        <v>277600</v>
      </c>
      <c r="BQ1703" s="25">
        <f>ROUND((Inventory[[#This Row],[Mdl Land Intercept]]+Inventory[[#This Row],[Mdl LnAcres]])*Inventory[[#This Row],[Det/Nbhd Adj]],-2)</f>
        <v>24000</v>
      </c>
      <c r="BR1703" s="25">
        <f>Inventory[[#This Row],[Adjusted Impr Total]]+Inventory[[#This Row],[Adjusted Land Total]]</f>
        <v>301600</v>
      </c>
      <c r="BS1703" s="36">
        <f>IFERROR((Inventory[[#This Row],[Adjusted Impr Total]]-Inventory[[#This Row],[24Bldg]])/Inventory[[#This Row],[24Bldg]],0)</f>
        <v>0.21594393342093737</v>
      </c>
      <c r="BT1703" s="36">
        <f>(Inventory[[#This Row],[Adjusted Land Total]]-Inventory[[#This Row],[24Lnd]])/Inventory[[#This Row],[24Lnd]]</f>
        <v>-0.44700460829493088</v>
      </c>
      <c r="BU1703" s="36">
        <f>(Inventory[[#This Row],[Adjusted Total]]-Inventory[[#This Row],[24Final]])/Inventory[[#This Row],[24Final]]</f>
        <v>0.11004784688995216</v>
      </c>
    </row>
    <row r="1704" spans="1:73" x14ac:dyDescent="0.3">
      <c r="A1704" s="25">
        <v>2025</v>
      </c>
      <c r="B1704" s="26" t="s">
        <v>2752</v>
      </c>
      <c r="C1704" s="26">
        <f>LN(Inventory[[#This Row],[Acres]])</f>
        <v>-1.5606477482646683</v>
      </c>
      <c r="D1704" s="25">
        <v>0.21</v>
      </c>
      <c r="E1704" s="32">
        <v>9099</v>
      </c>
      <c r="F1704" s="26" t="s">
        <v>537</v>
      </c>
      <c r="G1704" s="26" t="s">
        <v>126</v>
      </c>
      <c r="H1704" s="26" t="s">
        <v>349</v>
      </c>
      <c r="I1704" s="26" t="s">
        <v>538</v>
      </c>
      <c r="J1704" s="26" t="s">
        <v>539</v>
      </c>
      <c r="K1704" s="26" t="s">
        <v>269</v>
      </c>
      <c r="L1704" s="26" t="s">
        <v>351</v>
      </c>
      <c r="M1704" s="26" t="s">
        <v>303</v>
      </c>
      <c r="N1704" s="26">
        <v>100</v>
      </c>
      <c r="O1704" s="26">
        <f>2024-Inventory[[#This Row],[YrBlt]]</f>
        <v>94</v>
      </c>
      <c r="P1704" s="26">
        <f>2024-Inventory[[#This Row],[EffYr]]</f>
        <v>54</v>
      </c>
      <c r="Q1704" s="25">
        <v>1930</v>
      </c>
      <c r="R1704" s="25">
        <v>1970</v>
      </c>
      <c r="S1704" s="25">
        <v>1184</v>
      </c>
      <c r="T1704" s="32">
        <v>384</v>
      </c>
      <c r="U1704" s="25">
        <v>1184</v>
      </c>
      <c r="V1704" s="25">
        <f>Inventory[[#This Row],[Bsmt]]-Inventory[[#This Row],[FnBsmt]]</f>
        <v>1184</v>
      </c>
      <c r="W1704" s="31"/>
      <c r="X1704" s="27"/>
      <c r="Y1704" s="27">
        <f>Inventory[[#This Row],[MainFn]]+Inventory[[#This Row],[UpprFn]]+Inventory[[#This Row],[FnBsmt]]+Inventory[[#This Row],[AddFn]]</f>
        <v>1568</v>
      </c>
      <c r="Z1704" s="27">
        <v>2000</v>
      </c>
      <c r="AA1704" s="25">
        <v>5</v>
      </c>
      <c r="AB1704" s="27"/>
      <c r="AC1704" s="27"/>
      <c r="AD1704" s="27"/>
      <c r="AE1704" s="27"/>
      <c r="AF1704" s="27"/>
      <c r="AG1704" s="27"/>
      <c r="AH1704" s="27"/>
      <c r="AI1704" s="25">
        <v>286707</v>
      </c>
      <c r="AJ1704" s="25">
        <v>194961</v>
      </c>
      <c r="AK1704" s="25">
        <v>7748</v>
      </c>
      <c r="AL1704" s="25">
        <v>344400</v>
      </c>
      <c r="AM1704" s="25">
        <v>60100</v>
      </c>
      <c r="AN1704" s="25">
        <v>284300</v>
      </c>
      <c r="AO1704" s="25">
        <v>0</v>
      </c>
      <c r="AP1704" s="25">
        <f>Lookups!$B$56*0</f>
        <v>0</v>
      </c>
      <c r="AQ1704" s="25">
        <f>Lookups!$B$56*1</f>
        <v>89850.625589999996</v>
      </c>
      <c r="AR1704" s="25">
        <f>Lookups!$B$57*Inventory[[#This Row],[LnAcres]]</f>
        <v>-49401.70477837498</v>
      </c>
      <c r="AS1704" s="25">
        <f>VLOOKUP(Inventory[[#This Row],[Qlty]],Lookups!$A$62:$E$75,2,FALSE)</f>
        <v>21557.329055999999</v>
      </c>
      <c r="AT1704" s="25">
        <f>VLOOKUP(Inventory[[#This Row],[Cnd]],Lookups!$A$76:$E$84,2,FALSE)</f>
        <v>197752.34721000001</v>
      </c>
      <c r="AU1704" s="25">
        <f>Inventory[[#This Row],[EffAge]]*Lookups!$B$85</f>
        <v>-12044.462427</v>
      </c>
      <c r="AV1704" s="25">
        <f>Inventory[[#This Row],[MainFn]]*Lookups!$B$86</f>
        <v>58499.865134368003</v>
      </c>
      <c r="AW1704" s="25">
        <f>Inventory[[#This Row],[UpprFn]]*Lookups!$B$87</f>
        <v>17197.986378623998</v>
      </c>
      <c r="AX1704" s="25">
        <f>Inventory[[#This Row],[AddFn]]*Lookups!$B$88</f>
        <v>0</v>
      </c>
      <c r="AY1704" s="25">
        <f>Inventory[[#This Row],[Bsmt]]*Lookups!$B$89</f>
        <v>34432.963972448</v>
      </c>
      <c r="AZ1704" s="25">
        <f>Inventory[[#This Row],[Fixtures]]*Lookups!$B$90</f>
        <v>18960.110526</v>
      </c>
      <c r="BA1704" s="25">
        <f>Inventory[[#This Row],[WdDeck]]*Lookups!$B$91</f>
        <v>0</v>
      </c>
      <c r="BB1704" s="25">
        <f>ROUND(Inventory[[#This Row],[25Det]],-2)</f>
        <v>7700</v>
      </c>
      <c r="BC1704" s="25">
        <f>ROUND(SUM(Inventory[[#This Row],[Mdl Qlty]:[Mdl WdDeck]])+Inventory[[#This Row],[Mdl Res Intercept]],-2)</f>
        <v>336400</v>
      </c>
      <c r="BD1704" s="25">
        <f>ROUND(Inventory[[#This Row],[Mdl Land Intercept]]+Inventory[[#This Row],[Mdl LnAcres]],-2)</f>
        <v>40400</v>
      </c>
      <c r="BE1704" s="25">
        <f>Inventory[[#This Row],[Unadj Res Value]]+Inventory[[#This Row],[Unadj Det Value]]+Inventory[[#This Row],[Unadj Land Value]]</f>
        <v>384500</v>
      </c>
      <c r="BF1704" s="36">
        <f>(Inventory[[#This Row],[Unadj Total Value]]-Inventory[[#This Row],[24Final]])/Inventory[[#This Row],[24Final]]</f>
        <v>0.11643437862950058</v>
      </c>
      <c r="BG1704" s="25">
        <f>VLOOKUP(Inventory[[#This Row],[Nbhd]],Lookups!$Q$2:$T$4,4,FALSE)</f>
        <v>0.99970000000000003</v>
      </c>
      <c r="BH1704" s="25">
        <f>VLOOKUP(Inventory[[#This Row],[Qlty]],Lookups!$O$7:$R$21,4,FALSE)</f>
        <v>1.0067999999999999</v>
      </c>
      <c r="BI1704" s="25">
        <f>VLOOKUP(Inventory[[#This Row],[Cnd]],Lookups!$T$7:$W$16,4,FALSE)</f>
        <v>0.99650000000000005</v>
      </c>
      <c r="BJ1704" s="25">
        <f>VLOOKUP(Inventory[[#This Row],[LivArea Range]],Lookups!$T$25:$W$37,4,FALSE)</f>
        <v>1.0093000000000001</v>
      </c>
      <c r="BK1704" s="25">
        <f>VLOOKUP(Inventory[[#This Row],[Decade]],Lookups!$O$25:$R$42,4,FALSE)</f>
        <v>1.0074000000000001</v>
      </c>
      <c r="BL1704" s="25">
        <f>Inventory[[#This Row],[Nbhd Adj]]*0.95</f>
        <v>0.94971499999999998</v>
      </c>
      <c r="BM1704" s="25">
        <f>Inventory[[#This Row],[Nbhd Adj]]*Inventory[[#This Row],[Quality Adj]]*Inventory[[#This Row],[Condition Adj]]*Inventory[[#This Row],[Living Area Adj]]*Inventory[[#This Row],[Decade Adj]]*0.95</f>
        <v>0.96880423161964746</v>
      </c>
      <c r="BN1704" s="25">
        <f>ROUND(SUM(Inventory[[#This Row],[Mdl Qlty]:[Mdl WdDeck]])+Inventory[[#This Row],[Mdl Res Intercept]]*Inventory[[#This Row],[Res Adj ]],-2)</f>
        <v>336400</v>
      </c>
      <c r="BO1704" s="25">
        <f>ROUND(Inventory[[#This Row],[25Det]]*Inventory[[#This Row],[Det/Nbhd Adj]],-2)</f>
        <v>7400</v>
      </c>
      <c r="BP1704" s="25">
        <f>Inventory[[#This Row],[Adjusted Res]]+Inventory[[#This Row],[Adj Det ]]</f>
        <v>343800</v>
      </c>
      <c r="BQ1704" s="25">
        <f>ROUND((Inventory[[#This Row],[Mdl Land Intercept]]+Inventory[[#This Row],[Mdl LnAcres]])*Inventory[[#This Row],[Det/Nbhd Adj]],-2)</f>
        <v>38400</v>
      </c>
      <c r="BR1704" s="25">
        <f>Inventory[[#This Row],[Adjusted Impr Total]]+Inventory[[#This Row],[Adjusted Land Total]]</f>
        <v>382200</v>
      </c>
      <c r="BS1704" s="36">
        <f>IFERROR((Inventory[[#This Row],[Adjusted Impr Total]]-Inventory[[#This Row],[24Bldg]])/Inventory[[#This Row],[24Bldg]],0)</f>
        <v>0.20928596552937037</v>
      </c>
      <c r="BT1704" s="36">
        <f>(Inventory[[#This Row],[Adjusted Land Total]]-Inventory[[#This Row],[24Lnd]])/Inventory[[#This Row],[24Lnd]]</f>
        <v>-0.36106489184692181</v>
      </c>
      <c r="BU1704" s="36">
        <f>(Inventory[[#This Row],[Adjusted Total]]-Inventory[[#This Row],[24Final]])/Inventory[[#This Row],[24Final]]</f>
        <v>0.10975609756097561</v>
      </c>
    </row>
    <row r="1705" spans="1:73" x14ac:dyDescent="0.3">
      <c r="A1705" s="25">
        <v>2025</v>
      </c>
      <c r="B1705" s="26" t="s">
        <v>2155</v>
      </c>
      <c r="C1705" s="26">
        <f>LN(Inventory[[#This Row],[Acres]])</f>
        <v>-1.5141277326297755</v>
      </c>
      <c r="D1705" s="25">
        <v>0.22</v>
      </c>
      <c r="E1705" s="27"/>
      <c r="F1705" s="26" t="s">
        <v>537</v>
      </c>
      <c r="G1705" s="26" t="s">
        <v>126</v>
      </c>
      <c r="H1705" s="26" t="s">
        <v>349</v>
      </c>
      <c r="I1705" s="26" t="s">
        <v>538</v>
      </c>
      <c r="J1705" s="26" t="s">
        <v>539</v>
      </c>
      <c r="K1705" s="26" t="s">
        <v>269</v>
      </c>
      <c r="L1705" s="26" t="s">
        <v>351</v>
      </c>
      <c r="M1705" s="26" t="s">
        <v>303</v>
      </c>
      <c r="N1705" s="26">
        <v>100</v>
      </c>
      <c r="O1705" s="26">
        <f>2024-Inventory[[#This Row],[YrBlt]]</f>
        <v>94</v>
      </c>
      <c r="P1705" s="26">
        <f>2024-Inventory[[#This Row],[EffYr]]</f>
        <v>54</v>
      </c>
      <c r="Q1705" s="25">
        <v>1930</v>
      </c>
      <c r="R1705" s="25">
        <v>1970</v>
      </c>
      <c r="S1705" s="25">
        <v>1136</v>
      </c>
      <c r="T1705" s="32">
        <v>716</v>
      </c>
      <c r="U1705" s="25">
        <v>1075</v>
      </c>
      <c r="V1705" s="25">
        <f>Inventory[[#This Row],[Bsmt]]-Inventory[[#This Row],[FnBsmt]]</f>
        <v>1075</v>
      </c>
      <c r="W1705" s="31"/>
      <c r="X1705" s="27"/>
      <c r="Y1705" s="27">
        <f>Inventory[[#This Row],[MainFn]]+Inventory[[#This Row],[UpprFn]]+Inventory[[#This Row],[FnBsmt]]+Inventory[[#This Row],[AddFn]]</f>
        <v>1852</v>
      </c>
      <c r="Z1705" s="27">
        <v>2000</v>
      </c>
      <c r="AA1705" s="25">
        <v>8</v>
      </c>
      <c r="AB1705" s="27"/>
      <c r="AC1705" s="27"/>
      <c r="AD1705" s="27"/>
      <c r="AE1705" s="27"/>
      <c r="AF1705" s="27"/>
      <c r="AG1705" s="27"/>
      <c r="AH1705" s="27"/>
      <c r="AI1705" s="25">
        <v>312218</v>
      </c>
      <c r="AJ1705" s="25">
        <v>212308</v>
      </c>
      <c r="AK1705" s="25">
        <v>8623</v>
      </c>
      <c r="AL1705" s="25">
        <v>365800</v>
      </c>
      <c r="AM1705" s="25">
        <v>61700</v>
      </c>
      <c r="AN1705" s="25">
        <v>304100</v>
      </c>
      <c r="AO1705" s="25">
        <v>0</v>
      </c>
      <c r="AP1705" s="25">
        <f>Lookups!$B$56*0</f>
        <v>0</v>
      </c>
      <c r="AQ1705" s="25">
        <f>Lookups!$B$56*1</f>
        <v>89850.625589999996</v>
      </c>
      <c r="AR1705" s="25">
        <f>Lookups!$B$57*Inventory[[#This Row],[LnAcres]]</f>
        <v>-47929.131559187132</v>
      </c>
      <c r="AS1705" s="25">
        <f>VLOOKUP(Inventory[[#This Row],[Qlty]],Lookups!$A$62:$E$75,2,FALSE)</f>
        <v>21557.329055999999</v>
      </c>
      <c r="AT1705" s="25">
        <f>VLOOKUP(Inventory[[#This Row],[Cnd]],Lookups!$A$76:$E$84,2,FALSE)</f>
        <v>197752.34721000001</v>
      </c>
      <c r="AU1705" s="25">
        <f>Inventory[[#This Row],[EffAge]]*Lookups!$B$85</f>
        <v>-12044.462427</v>
      </c>
      <c r="AV1705" s="25">
        <f>Inventory[[#This Row],[MainFn]]*Lookups!$B$86</f>
        <v>56128.248980272001</v>
      </c>
      <c r="AW1705" s="25">
        <f>Inventory[[#This Row],[UpprFn]]*Lookups!$B$87</f>
        <v>32067.078768476</v>
      </c>
      <c r="AX1705" s="25">
        <f>Inventory[[#This Row],[AddFn]]*Lookups!$B$88</f>
        <v>0</v>
      </c>
      <c r="AY1705" s="25">
        <f>Inventory[[#This Row],[Bsmt]]*Lookups!$B$89</f>
        <v>31263.037390524998</v>
      </c>
      <c r="AZ1705" s="25">
        <f>Inventory[[#This Row],[Fixtures]]*Lookups!$B$90</f>
        <v>30336.176841600001</v>
      </c>
      <c r="BA1705" s="25">
        <f>Inventory[[#This Row],[WdDeck]]*Lookups!$B$91</f>
        <v>0</v>
      </c>
      <c r="BB1705" s="25">
        <f>ROUND(Inventory[[#This Row],[25Det]],-2)</f>
        <v>8600</v>
      </c>
      <c r="BC1705" s="25">
        <f>ROUND(SUM(Inventory[[#This Row],[Mdl Qlty]:[Mdl WdDeck]])+Inventory[[#This Row],[Mdl Res Intercept]],-2)</f>
        <v>357100</v>
      </c>
      <c r="BD1705" s="25">
        <f>ROUND(Inventory[[#This Row],[Mdl Land Intercept]]+Inventory[[#This Row],[Mdl LnAcres]],-2)</f>
        <v>41900</v>
      </c>
      <c r="BE1705" s="25">
        <f>Inventory[[#This Row],[Unadj Res Value]]+Inventory[[#This Row],[Unadj Det Value]]+Inventory[[#This Row],[Unadj Land Value]]</f>
        <v>407600</v>
      </c>
      <c r="BF1705" s="36">
        <f>(Inventory[[#This Row],[Unadj Total Value]]-Inventory[[#This Row],[24Final]])/Inventory[[#This Row],[24Final]]</f>
        <v>0.11427009294696555</v>
      </c>
      <c r="BG1705" s="25">
        <f>VLOOKUP(Inventory[[#This Row],[Nbhd]],Lookups!$Q$2:$T$4,4,FALSE)</f>
        <v>0.99970000000000003</v>
      </c>
      <c r="BH1705" s="25">
        <f>VLOOKUP(Inventory[[#This Row],[Qlty]],Lookups!$O$7:$R$21,4,FALSE)</f>
        <v>1.0067999999999999</v>
      </c>
      <c r="BI1705" s="25">
        <f>VLOOKUP(Inventory[[#This Row],[Cnd]],Lookups!$T$7:$W$16,4,FALSE)</f>
        <v>0.99650000000000005</v>
      </c>
      <c r="BJ1705" s="25">
        <f>VLOOKUP(Inventory[[#This Row],[LivArea Range]],Lookups!$T$25:$W$37,4,FALSE)</f>
        <v>1.0093000000000001</v>
      </c>
      <c r="BK1705" s="25">
        <f>VLOOKUP(Inventory[[#This Row],[Decade]],Lookups!$O$25:$R$42,4,FALSE)</f>
        <v>1.0074000000000001</v>
      </c>
      <c r="BL1705" s="25">
        <f>Inventory[[#This Row],[Nbhd Adj]]*0.95</f>
        <v>0.94971499999999998</v>
      </c>
      <c r="BM1705" s="25">
        <f>Inventory[[#This Row],[Nbhd Adj]]*Inventory[[#This Row],[Quality Adj]]*Inventory[[#This Row],[Condition Adj]]*Inventory[[#This Row],[Living Area Adj]]*Inventory[[#This Row],[Decade Adj]]*0.95</f>
        <v>0.96880423161964746</v>
      </c>
      <c r="BN1705" s="25">
        <f>ROUND(SUM(Inventory[[#This Row],[Mdl Qlty]:[Mdl WdDeck]])+Inventory[[#This Row],[Mdl Res Intercept]]*Inventory[[#This Row],[Res Adj ]],-2)</f>
        <v>357100</v>
      </c>
      <c r="BO1705" s="25">
        <f>ROUND(Inventory[[#This Row],[25Det]]*Inventory[[#This Row],[Det/Nbhd Adj]],-2)</f>
        <v>8200</v>
      </c>
      <c r="BP1705" s="25">
        <f>Inventory[[#This Row],[Adjusted Res]]+Inventory[[#This Row],[Adj Det ]]</f>
        <v>365300</v>
      </c>
      <c r="BQ1705" s="25">
        <f>ROUND((Inventory[[#This Row],[Mdl Land Intercept]]+Inventory[[#This Row],[Mdl LnAcres]])*Inventory[[#This Row],[Det/Nbhd Adj]],-2)</f>
        <v>39800</v>
      </c>
      <c r="BR1705" s="25">
        <f>Inventory[[#This Row],[Adjusted Impr Total]]+Inventory[[#This Row],[Adjusted Land Total]]</f>
        <v>405100</v>
      </c>
      <c r="BS1705" s="36">
        <f>IFERROR((Inventory[[#This Row],[Adjusted Impr Total]]-Inventory[[#This Row],[24Bldg]])/Inventory[[#This Row],[24Bldg]],0)</f>
        <v>0.20124958895100295</v>
      </c>
      <c r="BT1705" s="36">
        <f>(Inventory[[#This Row],[Adjusted Land Total]]-Inventory[[#This Row],[24Lnd]])/Inventory[[#This Row],[24Lnd]]</f>
        <v>-0.35494327390599678</v>
      </c>
      <c r="BU1705" s="36">
        <f>(Inventory[[#This Row],[Adjusted Total]]-Inventory[[#This Row],[24Final]])/Inventory[[#This Row],[24Final]]</f>
        <v>0.10743575724439584</v>
      </c>
    </row>
    <row r="1706" spans="1:73" x14ac:dyDescent="0.3">
      <c r="A1706" s="25">
        <v>2025</v>
      </c>
      <c r="B1706" s="26" t="s">
        <v>2573</v>
      </c>
      <c r="C1706" s="26">
        <f>LN(Inventory[[#This Row],[Acres]])</f>
        <v>-1.9661128563728327</v>
      </c>
      <c r="D1706" s="25">
        <v>0.14000000000000001</v>
      </c>
      <c r="E1706" s="27"/>
      <c r="F1706" s="26" t="s">
        <v>537</v>
      </c>
      <c r="G1706" s="26" t="s">
        <v>126</v>
      </c>
      <c r="H1706" s="26" t="s">
        <v>349</v>
      </c>
      <c r="I1706" s="26" t="s">
        <v>538</v>
      </c>
      <c r="J1706" s="26" t="s">
        <v>539</v>
      </c>
      <c r="K1706" s="26" t="s">
        <v>147</v>
      </c>
      <c r="L1706" s="26" t="s">
        <v>205</v>
      </c>
      <c r="M1706" s="26" t="s">
        <v>303</v>
      </c>
      <c r="N1706" s="26">
        <v>100</v>
      </c>
      <c r="O1706" s="26">
        <f>2024-Inventory[[#This Row],[YrBlt]]</f>
        <v>94</v>
      </c>
      <c r="P1706" s="26">
        <f>2024-Inventory[[#This Row],[EffYr]]</f>
        <v>54</v>
      </c>
      <c r="Q1706" s="25">
        <v>1930</v>
      </c>
      <c r="R1706" s="25">
        <v>1970</v>
      </c>
      <c r="S1706" s="25">
        <v>1114</v>
      </c>
      <c r="T1706" s="32">
        <v>400</v>
      </c>
      <c r="U1706" s="25">
        <v>898</v>
      </c>
      <c r="V1706" s="32">
        <f>Inventory[[#This Row],[Bsmt]]-Inventory[[#This Row],[FnBsmt]]</f>
        <v>898</v>
      </c>
      <c r="W1706" s="27"/>
      <c r="X1706" s="27"/>
      <c r="Y1706" s="27">
        <f>Inventory[[#This Row],[MainFn]]+Inventory[[#This Row],[UpprFn]]+Inventory[[#This Row],[FnBsmt]]+Inventory[[#This Row],[AddFn]]</f>
        <v>1514</v>
      </c>
      <c r="Z1706" s="27">
        <v>2000</v>
      </c>
      <c r="AA1706" s="25">
        <v>5</v>
      </c>
      <c r="AB1706" s="27"/>
      <c r="AC1706" s="32">
        <v>216</v>
      </c>
      <c r="AD1706" s="31"/>
      <c r="AE1706" s="27"/>
      <c r="AF1706" s="27"/>
      <c r="AG1706" s="27"/>
      <c r="AH1706" s="27"/>
      <c r="AI1706" s="25">
        <v>247187</v>
      </c>
      <c r="AJ1706" s="25">
        <v>168087</v>
      </c>
      <c r="AK1706" s="25">
        <v>6096</v>
      </c>
      <c r="AL1706" s="25">
        <v>303300</v>
      </c>
      <c r="AM1706" s="25">
        <v>46000</v>
      </c>
      <c r="AN1706" s="25">
        <v>257300</v>
      </c>
      <c r="AO1706" s="25">
        <v>0</v>
      </c>
      <c r="AP1706" s="25">
        <f>Lookups!$B$56*0</f>
        <v>0</v>
      </c>
      <c r="AQ1706" s="25">
        <f>Lookups!$B$56*1</f>
        <v>89850.625589999996</v>
      </c>
      <c r="AR1706" s="25">
        <f>Lookups!$B$57*Inventory[[#This Row],[LnAcres]]</f>
        <v>-62236.546971921947</v>
      </c>
      <c r="AS1706" s="25">
        <f>VLOOKUP(Inventory[[#This Row],[Qlty]],Lookups!$A$62:$E$75,2,FALSE)</f>
        <v>0</v>
      </c>
      <c r="AT1706" s="25">
        <f>VLOOKUP(Inventory[[#This Row],[Cnd]],Lookups!$A$76:$E$84,2,FALSE)</f>
        <v>197752.34721000001</v>
      </c>
      <c r="AU1706" s="25">
        <f>Inventory[[#This Row],[EffAge]]*Lookups!$B$85</f>
        <v>-12044.462427</v>
      </c>
      <c r="AV1706" s="25">
        <f>Inventory[[#This Row],[MainFn]]*Lookups!$B$86</f>
        <v>55041.258242978001</v>
      </c>
      <c r="AW1706" s="25">
        <f>Inventory[[#This Row],[UpprFn]]*Lookups!$B$87</f>
        <v>17914.5691444</v>
      </c>
      <c r="AX1706" s="25">
        <f>Inventory[[#This Row],[AddFn]]*Lookups!$B$88</f>
        <v>0</v>
      </c>
      <c r="AY1706" s="25">
        <f>Inventory[[#This Row],[Bsmt]]*Lookups!$B$89</f>
        <v>26115.541931805998</v>
      </c>
      <c r="AZ1706" s="25">
        <f>Inventory[[#This Row],[Fixtures]]*Lookups!$B$90</f>
        <v>18960.110526</v>
      </c>
      <c r="BA1706" s="25">
        <f>Inventory[[#This Row],[WdDeck]]*Lookups!$B$91</f>
        <v>0</v>
      </c>
      <c r="BB1706" s="25">
        <f>ROUND(Inventory[[#This Row],[25Det]],-2)</f>
        <v>6100</v>
      </c>
      <c r="BC1706" s="25">
        <f>ROUND(SUM(Inventory[[#This Row],[Mdl Qlty]:[Mdl WdDeck]])+Inventory[[#This Row],[Mdl Res Intercept]],-2)</f>
        <v>303700</v>
      </c>
      <c r="BD1706" s="25">
        <f>ROUND(Inventory[[#This Row],[Mdl Land Intercept]]+Inventory[[#This Row],[Mdl LnAcres]],-2)</f>
        <v>27600</v>
      </c>
      <c r="BE1706" s="25">
        <f>Inventory[[#This Row],[Unadj Res Value]]+Inventory[[#This Row],[Unadj Det Value]]+Inventory[[#This Row],[Unadj Land Value]]</f>
        <v>337400</v>
      </c>
      <c r="BF1706" s="36">
        <f>(Inventory[[#This Row],[Unadj Total Value]]-Inventory[[#This Row],[24Final]])/Inventory[[#This Row],[24Final]]</f>
        <v>0.11242993735575338</v>
      </c>
      <c r="BG1706" s="25">
        <f>VLOOKUP(Inventory[[#This Row],[Nbhd]],Lookups!$Q$2:$T$4,4,FALSE)</f>
        <v>0.99970000000000003</v>
      </c>
      <c r="BH1706" s="25">
        <f>VLOOKUP(Inventory[[#This Row],[Qlty]],Lookups!$O$7:$R$21,4,FALSE)</f>
        <v>0.99180000000000001</v>
      </c>
      <c r="BI1706" s="25">
        <f>VLOOKUP(Inventory[[#This Row],[Cnd]],Lookups!$T$7:$W$16,4,FALSE)</f>
        <v>0.99650000000000005</v>
      </c>
      <c r="BJ1706" s="25">
        <f>VLOOKUP(Inventory[[#This Row],[LivArea Range]],Lookups!$T$25:$W$37,4,FALSE)</f>
        <v>1.0093000000000001</v>
      </c>
      <c r="BK1706" s="25">
        <f>VLOOKUP(Inventory[[#This Row],[Decade]],Lookups!$O$25:$R$42,4,FALSE)</f>
        <v>1.0074000000000001</v>
      </c>
      <c r="BL1706" s="25">
        <f>Inventory[[#This Row],[Nbhd Adj]]*0.95</f>
        <v>0.94971499999999998</v>
      </c>
      <c r="BM1706" s="25">
        <f>Inventory[[#This Row],[Nbhd Adj]]*Inventory[[#This Row],[Quality Adj]]*Inventory[[#This Row],[Condition Adj]]*Inventory[[#This Row],[Living Area Adj]]*Inventory[[#This Row],[Decade Adj]]*0.95</f>
        <v>0.95437031875284728</v>
      </c>
      <c r="BN1706" s="25">
        <f>ROUND(SUM(Inventory[[#This Row],[Mdl Qlty]:[Mdl WdDeck]])+Inventory[[#This Row],[Mdl Res Intercept]]*Inventory[[#This Row],[Res Adj ]],-2)</f>
        <v>303700</v>
      </c>
      <c r="BO1706" s="25">
        <f>ROUND(Inventory[[#This Row],[25Det]]*Inventory[[#This Row],[Det/Nbhd Adj]],-2)</f>
        <v>5800</v>
      </c>
      <c r="BP1706" s="25">
        <f>Inventory[[#This Row],[Adjusted Res]]+Inventory[[#This Row],[Adj Det ]]</f>
        <v>309500</v>
      </c>
      <c r="BQ1706" s="25">
        <f>ROUND((Inventory[[#This Row],[Mdl Land Intercept]]+Inventory[[#This Row],[Mdl LnAcres]])*Inventory[[#This Row],[Det/Nbhd Adj]],-2)</f>
        <v>26200</v>
      </c>
      <c r="BR1706" s="25">
        <f>Inventory[[#This Row],[Adjusted Impr Total]]+Inventory[[#This Row],[Adjusted Land Total]]</f>
        <v>335700</v>
      </c>
      <c r="BS1706" s="36">
        <f>IFERROR((Inventory[[#This Row],[Adjusted Impr Total]]-Inventory[[#This Row],[24Bldg]])/Inventory[[#This Row],[24Bldg]],0)</f>
        <v>0.20287602020987175</v>
      </c>
      <c r="BT1706" s="36">
        <f>(Inventory[[#This Row],[Adjusted Land Total]]-Inventory[[#This Row],[24Lnd]])/Inventory[[#This Row],[24Lnd]]</f>
        <v>-0.43043478260869567</v>
      </c>
      <c r="BU1706" s="36">
        <f>(Inventory[[#This Row],[Adjusted Total]]-Inventory[[#This Row],[24Final]])/Inventory[[#This Row],[24Final]]</f>
        <v>0.10682492581602374</v>
      </c>
    </row>
    <row r="1707" spans="1:73" x14ac:dyDescent="0.3">
      <c r="A1707" s="25">
        <v>2025</v>
      </c>
      <c r="B1707" s="26" t="s">
        <v>1587</v>
      </c>
      <c r="C1707" s="26">
        <f>LN(Inventory[[#This Row],[Acres]])</f>
        <v>-1.8971199848858813</v>
      </c>
      <c r="D1707" s="25">
        <v>0.15</v>
      </c>
      <c r="E1707" s="27"/>
      <c r="F1707" s="26" t="s">
        <v>537</v>
      </c>
      <c r="G1707" s="26" t="s">
        <v>126</v>
      </c>
      <c r="H1707" s="26" t="s">
        <v>349</v>
      </c>
      <c r="I1707" s="26" t="s">
        <v>538</v>
      </c>
      <c r="J1707" s="26" t="s">
        <v>539</v>
      </c>
      <c r="K1707" s="26" t="s">
        <v>242</v>
      </c>
      <c r="L1707" s="26" t="s">
        <v>302</v>
      </c>
      <c r="M1707" s="26" t="s">
        <v>303</v>
      </c>
      <c r="N1707" s="26">
        <v>100</v>
      </c>
      <c r="O1707" s="26">
        <f>2024-Inventory[[#This Row],[YrBlt]]</f>
        <v>94</v>
      </c>
      <c r="P1707" s="26">
        <f>2024-Inventory[[#This Row],[EffYr]]</f>
        <v>54</v>
      </c>
      <c r="Q1707" s="25">
        <v>1930</v>
      </c>
      <c r="R1707" s="25">
        <v>1970</v>
      </c>
      <c r="S1707" s="25">
        <v>1019</v>
      </c>
      <c r="T1707" s="31"/>
      <c r="U1707" s="25">
        <v>1019</v>
      </c>
      <c r="V1707" s="25">
        <f>Inventory[[#This Row],[Bsmt]]-Inventory[[#This Row],[FnBsmt]]</f>
        <v>713</v>
      </c>
      <c r="W1707" s="25">
        <v>306</v>
      </c>
      <c r="X1707" s="27"/>
      <c r="Y1707" s="27">
        <f>Inventory[[#This Row],[MainFn]]+Inventory[[#This Row],[UpprFn]]+Inventory[[#This Row],[FnBsmt]]+Inventory[[#This Row],[AddFn]]</f>
        <v>1325</v>
      </c>
      <c r="Z1707" s="27">
        <v>1500</v>
      </c>
      <c r="AA1707" s="25">
        <v>8</v>
      </c>
      <c r="AB1707" s="27"/>
      <c r="AC1707" s="27"/>
      <c r="AD1707" s="31"/>
      <c r="AE1707" s="27"/>
      <c r="AF1707" s="27"/>
      <c r="AG1707" s="27"/>
      <c r="AH1707" s="27"/>
      <c r="AI1707" s="25">
        <v>270727</v>
      </c>
      <c r="AJ1707" s="25">
        <v>184094</v>
      </c>
      <c r="AK1707" s="25">
        <v>23156</v>
      </c>
      <c r="AL1707" s="25">
        <v>340600</v>
      </c>
      <c r="AM1707" s="25">
        <v>48400</v>
      </c>
      <c r="AN1707" s="25">
        <v>292200</v>
      </c>
      <c r="AO1707" s="25">
        <v>0</v>
      </c>
      <c r="AP1707" s="25">
        <f>Lookups!$B$56*0</f>
        <v>0</v>
      </c>
      <c r="AQ1707" s="25">
        <f>Lookups!$B$56*1</f>
        <v>89850.625589999996</v>
      </c>
      <c r="AR1707" s="25">
        <f>Lookups!$B$57*Inventory[[#This Row],[LnAcres]]</f>
        <v>-60052.604136134301</v>
      </c>
      <c r="AS1707" s="25">
        <f>VLOOKUP(Inventory[[#This Row],[Qlty]],Lookups!$A$62:$E$75,2,FALSE)</f>
        <v>29814.093161000001</v>
      </c>
      <c r="AT1707" s="25">
        <f>VLOOKUP(Inventory[[#This Row],[Cnd]],Lookups!$A$76:$E$84,2,FALSE)</f>
        <v>197752.34721000001</v>
      </c>
      <c r="AU1707" s="25">
        <f>Inventory[[#This Row],[EffAge]]*Lookups!$B$85</f>
        <v>-12044.462427</v>
      </c>
      <c r="AV1707" s="25">
        <f>Inventory[[#This Row],[MainFn]]*Lookups!$B$86</f>
        <v>50347.434604663002</v>
      </c>
      <c r="AW1707" s="25">
        <f>Inventory[[#This Row],[UpprFn]]*Lookups!$B$87</f>
        <v>0</v>
      </c>
      <c r="AX1707" s="25">
        <f>Inventory[[#This Row],[AddFn]]*Lookups!$B$88</f>
        <v>0</v>
      </c>
      <c r="AY1707" s="25">
        <f>Inventory[[#This Row],[Bsmt]]*Lookups!$B$89</f>
        <v>29634.451256692999</v>
      </c>
      <c r="AZ1707" s="25">
        <f>Inventory[[#This Row],[Fixtures]]*Lookups!$B$90</f>
        <v>30336.176841600001</v>
      </c>
      <c r="BA1707" s="25">
        <f>Inventory[[#This Row],[WdDeck]]*Lookups!$B$91</f>
        <v>0</v>
      </c>
      <c r="BB1707" s="25">
        <f>ROUND(Inventory[[#This Row],[25Det]],-2)</f>
        <v>23200</v>
      </c>
      <c r="BC1707" s="25">
        <f>ROUND(SUM(Inventory[[#This Row],[Mdl Qlty]:[Mdl WdDeck]])+Inventory[[#This Row],[Mdl Res Intercept]],-2)</f>
        <v>325800</v>
      </c>
      <c r="BD1707" s="25">
        <f>ROUND(Inventory[[#This Row],[Mdl Land Intercept]]+Inventory[[#This Row],[Mdl LnAcres]],-2)</f>
        <v>29800</v>
      </c>
      <c r="BE1707" s="25">
        <f>Inventory[[#This Row],[Unadj Res Value]]+Inventory[[#This Row],[Unadj Det Value]]+Inventory[[#This Row],[Unadj Land Value]]</f>
        <v>378800</v>
      </c>
      <c r="BF1707" s="36">
        <f>(Inventory[[#This Row],[Unadj Total Value]]-Inventory[[#This Row],[24Final]])/Inventory[[#This Row],[24Final]]</f>
        <v>0.11215502055196712</v>
      </c>
      <c r="BG1707" s="25">
        <f>VLOOKUP(Inventory[[#This Row],[Nbhd]],Lookups!$Q$2:$T$4,4,FALSE)</f>
        <v>0.99970000000000003</v>
      </c>
      <c r="BH1707" s="25">
        <f>VLOOKUP(Inventory[[#This Row],[Qlty]],Lookups!$O$7:$R$21,4,FALSE)</f>
        <v>1.0088999999999999</v>
      </c>
      <c r="BI1707" s="25">
        <f>VLOOKUP(Inventory[[#This Row],[Cnd]],Lookups!$T$7:$W$16,4,FALSE)</f>
        <v>0.99650000000000005</v>
      </c>
      <c r="BJ1707" s="25">
        <f>VLOOKUP(Inventory[[#This Row],[LivArea Range]],Lookups!$T$25:$W$37,4,FALSE)</f>
        <v>1.0157</v>
      </c>
      <c r="BK1707" s="25">
        <f>VLOOKUP(Inventory[[#This Row],[Decade]],Lookups!$O$25:$R$42,4,FALSE)</f>
        <v>1.0074000000000001</v>
      </c>
      <c r="BL1707" s="25">
        <f>Inventory[[#This Row],[Nbhd Adj]]*0.95</f>
        <v>0.94971499999999998</v>
      </c>
      <c r="BM1707" s="25">
        <f>Inventory[[#This Row],[Nbhd Adj]]*Inventory[[#This Row],[Quality Adj]]*Inventory[[#This Row],[Condition Adj]]*Inventory[[#This Row],[Living Area Adj]]*Inventory[[#This Row],[Decade Adj]]*0.95</f>
        <v>0.97698100822144973</v>
      </c>
      <c r="BN1707" s="25">
        <f>ROUND(SUM(Inventory[[#This Row],[Mdl Qlty]:[Mdl WdDeck]])+Inventory[[#This Row],[Mdl Res Intercept]]*Inventory[[#This Row],[Res Adj ]],-2)</f>
        <v>325800</v>
      </c>
      <c r="BO1707" s="25">
        <f>ROUND(Inventory[[#This Row],[25Det]]*Inventory[[#This Row],[Det/Nbhd Adj]],-2)</f>
        <v>22000</v>
      </c>
      <c r="BP1707" s="25">
        <f>Inventory[[#This Row],[Adjusted Res]]+Inventory[[#This Row],[Adj Det ]]</f>
        <v>347800</v>
      </c>
      <c r="BQ1707" s="25">
        <f>ROUND((Inventory[[#This Row],[Mdl Land Intercept]]+Inventory[[#This Row],[Mdl LnAcres]])*Inventory[[#This Row],[Det/Nbhd Adj]],-2)</f>
        <v>28300</v>
      </c>
      <c r="BR1707" s="25">
        <f>Inventory[[#This Row],[Adjusted Impr Total]]+Inventory[[#This Row],[Adjusted Land Total]]</f>
        <v>376100</v>
      </c>
      <c r="BS1707" s="36">
        <f>IFERROR((Inventory[[#This Row],[Adjusted Impr Total]]-Inventory[[#This Row],[24Bldg]])/Inventory[[#This Row],[24Bldg]],0)</f>
        <v>0.19028062970568105</v>
      </c>
      <c r="BT1707" s="36">
        <f>(Inventory[[#This Row],[Adjusted Land Total]]-Inventory[[#This Row],[24Lnd]])/Inventory[[#This Row],[24Lnd]]</f>
        <v>-0.41528925619834711</v>
      </c>
      <c r="BU1707" s="36">
        <f>(Inventory[[#This Row],[Adjusted Total]]-Inventory[[#This Row],[24Final]])/Inventory[[#This Row],[24Final]]</f>
        <v>0.10422783323546682</v>
      </c>
    </row>
    <row r="1708" spans="1:73" x14ac:dyDescent="0.3">
      <c r="A1708" s="25">
        <v>2025</v>
      </c>
      <c r="B1708" s="26" t="s">
        <v>1994</v>
      </c>
      <c r="C1708" s="26">
        <f>LN(Inventory[[#This Row],[Acres]])</f>
        <v>-1.4696759700589417</v>
      </c>
      <c r="D1708" s="25">
        <v>0.23</v>
      </c>
      <c r="E1708" s="25">
        <v>10215</v>
      </c>
      <c r="F1708" s="26" t="s">
        <v>537</v>
      </c>
      <c r="G1708" s="26" t="s">
        <v>126</v>
      </c>
      <c r="H1708" s="26" t="s">
        <v>349</v>
      </c>
      <c r="I1708" s="26" t="s">
        <v>538</v>
      </c>
      <c r="J1708" s="26" t="s">
        <v>539</v>
      </c>
      <c r="K1708" s="26" t="s">
        <v>417</v>
      </c>
      <c r="L1708" s="26" t="s">
        <v>148</v>
      </c>
      <c r="M1708" s="26" t="s">
        <v>303</v>
      </c>
      <c r="N1708" s="26">
        <v>100</v>
      </c>
      <c r="O1708" s="26">
        <f>2024-Inventory[[#This Row],[YrBlt]]</f>
        <v>94</v>
      </c>
      <c r="P1708" s="26">
        <f>2024-Inventory[[#This Row],[EffYr]]</f>
        <v>54</v>
      </c>
      <c r="Q1708" s="25">
        <v>1930</v>
      </c>
      <c r="R1708" s="25">
        <v>1970</v>
      </c>
      <c r="S1708" s="25">
        <v>1525</v>
      </c>
      <c r="T1708" s="32">
        <v>768</v>
      </c>
      <c r="U1708" s="25">
        <v>1525</v>
      </c>
      <c r="V1708" s="25">
        <f>Inventory[[#This Row],[Bsmt]]-Inventory[[#This Row],[FnBsmt]]</f>
        <v>1525</v>
      </c>
      <c r="W1708" s="31"/>
      <c r="X1708" s="27"/>
      <c r="Y1708" s="27">
        <f>Inventory[[#This Row],[MainFn]]+Inventory[[#This Row],[UpprFn]]+Inventory[[#This Row],[FnBsmt]]+Inventory[[#This Row],[AddFn]]</f>
        <v>2293</v>
      </c>
      <c r="Z1708" s="27">
        <v>2500</v>
      </c>
      <c r="AA1708" s="25">
        <v>9</v>
      </c>
      <c r="AB1708" s="32">
        <v>340</v>
      </c>
      <c r="AC1708" s="27"/>
      <c r="AD1708" s="27"/>
      <c r="AE1708" s="27"/>
      <c r="AF1708" s="27"/>
      <c r="AG1708" s="27"/>
      <c r="AH1708" s="27"/>
      <c r="AI1708" s="25">
        <v>545550</v>
      </c>
      <c r="AJ1708" s="25">
        <v>370974</v>
      </c>
      <c r="AK1708" s="25">
        <v>0</v>
      </c>
      <c r="AL1708" s="25">
        <v>415900</v>
      </c>
      <c r="AM1708" s="25">
        <v>63300</v>
      </c>
      <c r="AN1708" s="25">
        <v>352600</v>
      </c>
      <c r="AO1708" s="25">
        <v>0</v>
      </c>
      <c r="AP1708" s="25">
        <f>Lookups!$B$56*0</f>
        <v>0</v>
      </c>
      <c r="AQ1708" s="25">
        <f>Lookups!$B$56*1</f>
        <v>89850.625589999996</v>
      </c>
      <c r="AR1708" s="25">
        <f>Lookups!$B$57*Inventory[[#This Row],[LnAcres]]</f>
        <v>-46522.028095997222</v>
      </c>
      <c r="AS1708" s="25">
        <f>VLOOKUP(Inventory[[#This Row],[Qlty]],Lookups!$A$62:$E$75,2,FALSE)</f>
        <v>44121.038090000002</v>
      </c>
      <c r="AT1708" s="25">
        <f>VLOOKUP(Inventory[[#This Row],[Cnd]],Lookups!$A$76:$E$84,2,FALSE)</f>
        <v>197752.34721000001</v>
      </c>
      <c r="AU1708" s="25">
        <f>Inventory[[#This Row],[EffAge]]*Lookups!$B$85</f>
        <v>-12044.462427</v>
      </c>
      <c r="AV1708" s="25">
        <f>Inventory[[#This Row],[MainFn]]*Lookups!$B$86</f>
        <v>75348.221562424995</v>
      </c>
      <c r="AW1708" s="25">
        <f>Inventory[[#This Row],[UpprFn]]*Lookups!$B$87</f>
        <v>34395.972757247997</v>
      </c>
      <c r="AX1708" s="25">
        <f>Inventory[[#This Row],[AddFn]]*Lookups!$B$88</f>
        <v>0</v>
      </c>
      <c r="AY1708" s="25">
        <f>Inventory[[#This Row],[Bsmt]]*Lookups!$B$89</f>
        <v>44349.890251674995</v>
      </c>
      <c r="AZ1708" s="25">
        <f>Inventory[[#This Row],[Fixtures]]*Lookups!$B$90</f>
        <v>34128.198946800003</v>
      </c>
      <c r="BA1708" s="25">
        <f>Inventory[[#This Row],[WdDeck]]*Lookups!$B$91</f>
        <v>0</v>
      </c>
      <c r="BB1708" s="25">
        <f>ROUND(Inventory[[#This Row],[25Det]],-2)</f>
        <v>0</v>
      </c>
      <c r="BC1708" s="25">
        <f>ROUND(SUM(Inventory[[#This Row],[Mdl Qlty]:[Mdl WdDeck]])+Inventory[[#This Row],[Mdl Res Intercept]],-2)</f>
        <v>418100</v>
      </c>
      <c r="BD1708" s="25">
        <f>ROUND(Inventory[[#This Row],[Mdl Land Intercept]]+Inventory[[#This Row],[Mdl LnAcres]],-2)</f>
        <v>43300</v>
      </c>
      <c r="BE1708" s="25">
        <f>Inventory[[#This Row],[Unadj Res Value]]+Inventory[[#This Row],[Unadj Det Value]]+Inventory[[#This Row],[Unadj Land Value]]</f>
        <v>461400</v>
      </c>
      <c r="BF1708" s="36">
        <f>(Inventory[[#This Row],[Unadj Total Value]]-Inventory[[#This Row],[24Final]])/Inventory[[#This Row],[24Final]]</f>
        <v>0.10940129838903583</v>
      </c>
      <c r="BG1708" s="25">
        <f>VLOOKUP(Inventory[[#This Row],[Nbhd]],Lookups!$Q$2:$T$4,4,FALSE)</f>
        <v>0.99970000000000003</v>
      </c>
      <c r="BH1708" s="25">
        <f>VLOOKUP(Inventory[[#This Row],[Qlty]],Lookups!$O$7:$R$21,4,FALSE)</f>
        <v>0.98050000000000004</v>
      </c>
      <c r="BI1708" s="25">
        <f>VLOOKUP(Inventory[[#This Row],[Cnd]],Lookups!$T$7:$W$16,4,FALSE)</f>
        <v>0.99650000000000005</v>
      </c>
      <c r="BJ1708" s="25">
        <f>VLOOKUP(Inventory[[#This Row],[LivArea Range]],Lookups!$T$25:$W$37,4,FALSE)</f>
        <v>0.98919999999999997</v>
      </c>
      <c r="BK1708" s="25">
        <f>VLOOKUP(Inventory[[#This Row],[Decade]],Lookups!$O$25:$R$42,4,FALSE)</f>
        <v>1.0074000000000001</v>
      </c>
      <c r="BL1708" s="25">
        <f>Inventory[[#This Row],[Nbhd Adj]]*0.95</f>
        <v>0.94971499999999998</v>
      </c>
      <c r="BM1708" s="25">
        <f>Inventory[[#This Row],[Nbhd Adj]]*Inventory[[#This Row],[Quality Adj]]*Inventory[[#This Row],[Condition Adj]]*Inventory[[#This Row],[Living Area Adj]]*Inventory[[#This Row],[Decade Adj]]*0.95</f>
        <v>0.9247072287054503</v>
      </c>
      <c r="BN1708" s="25">
        <f>ROUND(SUM(Inventory[[#This Row],[Mdl Qlty]:[Mdl WdDeck]])+Inventory[[#This Row],[Mdl Res Intercept]]*Inventory[[#This Row],[Res Adj ]],-2)</f>
        <v>418100</v>
      </c>
      <c r="BO1708" s="25">
        <f>ROUND(Inventory[[#This Row],[25Det]]*Inventory[[#This Row],[Det/Nbhd Adj]],-2)</f>
        <v>0</v>
      </c>
      <c r="BP1708" s="25">
        <f>Inventory[[#This Row],[Adjusted Res]]+Inventory[[#This Row],[Adj Det ]]</f>
        <v>418100</v>
      </c>
      <c r="BQ1708" s="25">
        <f>ROUND((Inventory[[#This Row],[Mdl Land Intercept]]+Inventory[[#This Row],[Mdl LnAcres]])*Inventory[[#This Row],[Det/Nbhd Adj]],-2)</f>
        <v>41100</v>
      </c>
      <c r="BR1708" s="25">
        <f>Inventory[[#This Row],[Adjusted Impr Total]]+Inventory[[#This Row],[Adjusted Land Total]]</f>
        <v>459200</v>
      </c>
      <c r="BS1708" s="36">
        <f>IFERROR((Inventory[[#This Row],[Adjusted Impr Total]]-Inventory[[#This Row],[24Bldg]])/Inventory[[#This Row],[24Bldg]],0)</f>
        <v>0.18576290414066932</v>
      </c>
      <c r="BT1708" s="36">
        <f>(Inventory[[#This Row],[Adjusted Land Total]]-Inventory[[#This Row],[24Lnd]])/Inventory[[#This Row],[24Lnd]]</f>
        <v>-0.35071090047393366</v>
      </c>
      <c r="BU1708" s="36">
        <f>(Inventory[[#This Row],[Adjusted Total]]-Inventory[[#This Row],[24Final]])/Inventory[[#This Row],[24Final]]</f>
        <v>0.10411156528011541</v>
      </c>
    </row>
    <row r="1709" spans="1:73" x14ac:dyDescent="0.3">
      <c r="A1709" s="25">
        <v>2025</v>
      </c>
      <c r="B1709" s="26" t="s">
        <v>2381</v>
      </c>
      <c r="C1709" s="26">
        <f>LN(Inventory[[#This Row],[Acres]])</f>
        <v>-1.8325814637483102</v>
      </c>
      <c r="D1709" s="25">
        <v>0.16</v>
      </c>
      <c r="E1709" s="31"/>
      <c r="F1709" s="26" t="s">
        <v>537</v>
      </c>
      <c r="G1709" s="26" t="s">
        <v>126</v>
      </c>
      <c r="H1709" s="26" t="s">
        <v>349</v>
      </c>
      <c r="I1709" s="26" t="s">
        <v>538</v>
      </c>
      <c r="J1709" s="26" t="s">
        <v>539</v>
      </c>
      <c r="K1709" s="26" t="s">
        <v>417</v>
      </c>
      <c r="L1709" s="26" t="s">
        <v>148</v>
      </c>
      <c r="M1709" s="26" t="s">
        <v>303</v>
      </c>
      <c r="N1709" s="26">
        <v>100</v>
      </c>
      <c r="O1709" s="26">
        <f>2024-Inventory[[#This Row],[YrBlt]]</f>
        <v>94</v>
      </c>
      <c r="P1709" s="26">
        <f>2024-Inventory[[#This Row],[EffYr]]</f>
        <v>54</v>
      </c>
      <c r="Q1709" s="25">
        <v>1930</v>
      </c>
      <c r="R1709" s="25">
        <v>1970</v>
      </c>
      <c r="S1709" s="25">
        <v>1205</v>
      </c>
      <c r="T1709" s="32">
        <v>677</v>
      </c>
      <c r="U1709" s="32">
        <v>1205</v>
      </c>
      <c r="V1709" s="32">
        <f>Inventory[[#This Row],[Bsmt]]-Inventory[[#This Row],[FnBsmt]]</f>
        <v>905</v>
      </c>
      <c r="W1709" s="32">
        <v>300</v>
      </c>
      <c r="X1709" s="27"/>
      <c r="Y1709" s="27">
        <f>Inventory[[#This Row],[MainFn]]+Inventory[[#This Row],[UpprFn]]+Inventory[[#This Row],[FnBsmt]]+Inventory[[#This Row],[AddFn]]</f>
        <v>2182</v>
      </c>
      <c r="Z1709" s="27">
        <v>2500</v>
      </c>
      <c r="AA1709" s="25">
        <v>8</v>
      </c>
      <c r="AB1709" s="31"/>
      <c r="AC1709" s="27"/>
      <c r="AD1709" s="31"/>
      <c r="AE1709" s="27"/>
      <c r="AF1709" s="27"/>
      <c r="AG1709" s="27"/>
      <c r="AH1709" s="27"/>
      <c r="AI1709" s="25">
        <v>448665</v>
      </c>
      <c r="AJ1709" s="25">
        <v>305092</v>
      </c>
      <c r="AK1709" s="25">
        <v>14954</v>
      </c>
      <c r="AL1709" s="25">
        <v>389400</v>
      </c>
      <c r="AM1709" s="25">
        <v>50600</v>
      </c>
      <c r="AN1709" s="25">
        <v>338800</v>
      </c>
      <c r="AO1709" s="25">
        <v>0</v>
      </c>
      <c r="AP1709" s="25">
        <f>Lookups!$B$56*0</f>
        <v>0</v>
      </c>
      <c r="AQ1709" s="25">
        <f>Lookups!$B$56*1</f>
        <v>89850.625589999996</v>
      </c>
      <c r="AR1709" s="25">
        <f>Lookups!$B$57*Inventory[[#This Row],[LnAcres]]</f>
        <v>-58009.662049032086</v>
      </c>
      <c r="AS1709" s="25">
        <f>VLOOKUP(Inventory[[#This Row],[Qlty]],Lookups!$A$62:$E$75,2,FALSE)</f>
        <v>44121.038090000002</v>
      </c>
      <c r="AT1709" s="25">
        <f>VLOOKUP(Inventory[[#This Row],[Cnd]],Lookups!$A$76:$E$84,2,FALSE)</f>
        <v>197752.34721000001</v>
      </c>
      <c r="AU1709" s="25">
        <f>Inventory[[#This Row],[EffAge]]*Lookups!$B$85</f>
        <v>-12044.462427</v>
      </c>
      <c r="AV1709" s="25">
        <f>Inventory[[#This Row],[MainFn]]*Lookups!$B$86</f>
        <v>59537.447201784998</v>
      </c>
      <c r="AW1709" s="25">
        <f>Inventory[[#This Row],[UpprFn]]*Lookups!$B$87</f>
        <v>30320.408276897</v>
      </c>
      <c r="AX1709" s="25">
        <f>Inventory[[#This Row],[AddFn]]*Lookups!$B$88</f>
        <v>0</v>
      </c>
      <c r="AY1709" s="25">
        <f>Inventory[[#This Row],[Bsmt]]*Lookups!$B$89</f>
        <v>35043.683772634999</v>
      </c>
      <c r="AZ1709" s="25">
        <f>Inventory[[#This Row],[Fixtures]]*Lookups!$B$90</f>
        <v>30336.176841600001</v>
      </c>
      <c r="BA1709" s="25">
        <f>Inventory[[#This Row],[WdDeck]]*Lookups!$B$91</f>
        <v>0</v>
      </c>
      <c r="BB1709" s="25">
        <f>ROUND(Inventory[[#This Row],[25Det]],-2)</f>
        <v>15000</v>
      </c>
      <c r="BC1709" s="25">
        <f>ROUND(SUM(Inventory[[#This Row],[Mdl Qlty]:[Mdl WdDeck]])+Inventory[[#This Row],[Mdl Res Intercept]],-2)</f>
        <v>385100</v>
      </c>
      <c r="BD1709" s="25">
        <f>ROUND(Inventory[[#This Row],[Mdl Land Intercept]]+Inventory[[#This Row],[Mdl LnAcres]],-2)</f>
        <v>31800</v>
      </c>
      <c r="BE1709" s="25">
        <f>Inventory[[#This Row],[Unadj Res Value]]+Inventory[[#This Row],[Unadj Det Value]]+Inventory[[#This Row],[Unadj Land Value]]</f>
        <v>431900</v>
      </c>
      <c r="BF1709" s="36">
        <f>(Inventory[[#This Row],[Unadj Total Value]]-Inventory[[#This Row],[24Final]])/Inventory[[#This Row],[24Final]]</f>
        <v>0.10914227015921932</v>
      </c>
      <c r="BG1709" s="25">
        <f>VLOOKUP(Inventory[[#This Row],[Nbhd]],Lookups!$Q$2:$T$4,4,FALSE)</f>
        <v>0.99970000000000003</v>
      </c>
      <c r="BH1709" s="25">
        <f>VLOOKUP(Inventory[[#This Row],[Qlty]],Lookups!$O$7:$R$21,4,FALSE)</f>
        <v>0.98050000000000004</v>
      </c>
      <c r="BI1709" s="25">
        <f>VLOOKUP(Inventory[[#This Row],[Cnd]],Lookups!$T$7:$W$16,4,FALSE)</f>
        <v>0.99650000000000005</v>
      </c>
      <c r="BJ1709" s="25">
        <f>VLOOKUP(Inventory[[#This Row],[LivArea Range]],Lookups!$T$25:$W$37,4,FALSE)</f>
        <v>0.98919999999999997</v>
      </c>
      <c r="BK1709" s="25">
        <f>VLOOKUP(Inventory[[#This Row],[Decade]],Lookups!$O$25:$R$42,4,FALSE)</f>
        <v>1.0074000000000001</v>
      </c>
      <c r="BL1709" s="25">
        <f>Inventory[[#This Row],[Nbhd Adj]]*0.95</f>
        <v>0.94971499999999998</v>
      </c>
      <c r="BM1709" s="25">
        <f>Inventory[[#This Row],[Nbhd Adj]]*Inventory[[#This Row],[Quality Adj]]*Inventory[[#This Row],[Condition Adj]]*Inventory[[#This Row],[Living Area Adj]]*Inventory[[#This Row],[Decade Adj]]*0.95</f>
        <v>0.9247072287054503</v>
      </c>
      <c r="BN1709" s="25">
        <f>ROUND(SUM(Inventory[[#This Row],[Mdl Qlty]:[Mdl WdDeck]])+Inventory[[#This Row],[Mdl Res Intercept]]*Inventory[[#This Row],[Res Adj ]],-2)</f>
        <v>385100</v>
      </c>
      <c r="BO1709" s="25">
        <f>ROUND(Inventory[[#This Row],[25Det]]*Inventory[[#This Row],[Det/Nbhd Adj]],-2)</f>
        <v>14200</v>
      </c>
      <c r="BP1709" s="25">
        <f>Inventory[[#This Row],[Adjusted Res]]+Inventory[[#This Row],[Adj Det ]]</f>
        <v>399300</v>
      </c>
      <c r="BQ1709" s="25">
        <f>ROUND((Inventory[[#This Row],[Mdl Land Intercept]]+Inventory[[#This Row],[Mdl LnAcres]])*Inventory[[#This Row],[Det/Nbhd Adj]],-2)</f>
        <v>30200</v>
      </c>
      <c r="BR1709" s="25">
        <f>Inventory[[#This Row],[Adjusted Impr Total]]+Inventory[[#This Row],[Adjusted Land Total]]</f>
        <v>429500</v>
      </c>
      <c r="BS1709" s="36">
        <f>IFERROR((Inventory[[#This Row],[Adjusted Impr Total]]-Inventory[[#This Row],[24Bldg]])/Inventory[[#This Row],[24Bldg]],0)</f>
        <v>0.17857142857142858</v>
      </c>
      <c r="BT1709" s="36">
        <f>(Inventory[[#This Row],[Adjusted Land Total]]-Inventory[[#This Row],[24Lnd]])/Inventory[[#This Row],[24Lnd]]</f>
        <v>-0.40316205533596838</v>
      </c>
      <c r="BU1709" s="36">
        <f>(Inventory[[#This Row],[Adjusted Total]]-Inventory[[#This Row],[24Final]])/Inventory[[#This Row],[24Final]]</f>
        <v>0.10297894196199281</v>
      </c>
    </row>
    <row r="1710" spans="1:73" x14ac:dyDescent="0.3">
      <c r="A1710" s="25">
        <v>2025</v>
      </c>
      <c r="B1710" s="26" t="s">
        <v>1580</v>
      </c>
      <c r="C1710" s="26">
        <f>LN(Inventory[[#This Row],[Acres]])</f>
        <v>-1.9661128563728327</v>
      </c>
      <c r="D1710" s="25">
        <v>0.14000000000000001</v>
      </c>
      <c r="E1710" s="25">
        <v>6189</v>
      </c>
      <c r="F1710" s="26" t="s">
        <v>537</v>
      </c>
      <c r="G1710" s="26" t="s">
        <v>126</v>
      </c>
      <c r="H1710" s="26" t="s">
        <v>349</v>
      </c>
      <c r="I1710" s="26" t="s">
        <v>538</v>
      </c>
      <c r="J1710" s="26" t="s">
        <v>539</v>
      </c>
      <c r="K1710" s="26" t="s">
        <v>147</v>
      </c>
      <c r="L1710" s="26" t="s">
        <v>351</v>
      </c>
      <c r="M1710" s="26" t="s">
        <v>323</v>
      </c>
      <c r="N1710" s="26">
        <v>100</v>
      </c>
      <c r="O1710" s="26">
        <f>2024-Inventory[[#This Row],[YrBlt]]</f>
        <v>94</v>
      </c>
      <c r="P1710" s="26">
        <f>2024-Inventory[[#This Row],[EffYr]]</f>
        <v>54</v>
      </c>
      <c r="Q1710" s="25">
        <v>1930</v>
      </c>
      <c r="R1710" s="25">
        <v>1970</v>
      </c>
      <c r="S1710" s="25">
        <v>1108</v>
      </c>
      <c r="T1710" s="25">
        <v>546</v>
      </c>
      <c r="U1710" s="32">
        <v>660</v>
      </c>
      <c r="V1710" s="32">
        <f>Inventory[[#This Row],[Bsmt]]-Inventory[[#This Row],[FnBsmt]]</f>
        <v>660</v>
      </c>
      <c r="W1710" s="27"/>
      <c r="X1710" s="27"/>
      <c r="Y1710" s="27">
        <f>Inventory[[#This Row],[MainFn]]+Inventory[[#This Row],[UpprFn]]+Inventory[[#This Row],[FnBsmt]]+Inventory[[#This Row],[AddFn]]</f>
        <v>1654</v>
      </c>
      <c r="Z1710" s="27">
        <v>2000</v>
      </c>
      <c r="AA1710" s="25">
        <v>8</v>
      </c>
      <c r="AB1710" s="27"/>
      <c r="AC1710" s="27"/>
      <c r="AD1710" s="32">
        <v>300</v>
      </c>
      <c r="AE1710" s="27"/>
      <c r="AF1710" s="27"/>
      <c r="AG1710" s="27"/>
      <c r="AH1710" s="27"/>
      <c r="AI1710" s="25">
        <v>284536</v>
      </c>
      <c r="AJ1710" s="25">
        <v>187794</v>
      </c>
      <c r="AK1710" s="25">
        <v>0</v>
      </c>
      <c r="AL1710" s="25">
        <v>303900</v>
      </c>
      <c r="AM1710" s="25">
        <v>46000</v>
      </c>
      <c r="AN1710" s="25">
        <v>257900</v>
      </c>
      <c r="AO1710" s="25">
        <v>0</v>
      </c>
      <c r="AP1710" s="25">
        <f>Lookups!$B$56*0</f>
        <v>0</v>
      </c>
      <c r="AQ1710" s="25">
        <f>Lookups!$B$56*1</f>
        <v>89850.625589999996</v>
      </c>
      <c r="AR1710" s="25">
        <f>Lookups!$B$57*Inventory[[#This Row],[LnAcres]]</f>
        <v>-62236.546971921947</v>
      </c>
      <c r="AS1710" s="25">
        <f>VLOOKUP(Inventory[[#This Row],[Qlty]],Lookups!$A$62:$E$75,2,FALSE)</f>
        <v>21557.329055999999</v>
      </c>
      <c r="AT1710" s="25">
        <f>VLOOKUP(Inventory[[#This Row],[Cnd]],Lookups!$A$76:$E$84,2,FALSE)</f>
        <v>160472.20319</v>
      </c>
      <c r="AU1710" s="25">
        <f>Inventory[[#This Row],[EffAge]]*Lookups!$B$85</f>
        <v>-12044.462427</v>
      </c>
      <c r="AV1710" s="25">
        <f>Inventory[[#This Row],[MainFn]]*Lookups!$B$86</f>
        <v>54744.806223716005</v>
      </c>
      <c r="AW1710" s="25">
        <f>Inventory[[#This Row],[UpprFn]]*Lookups!$B$87</f>
        <v>24453.386882105999</v>
      </c>
      <c r="AX1710" s="25">
        <f>Inventory[[#This Row],[AddFn]]*Lookups!$B$88</f>
        <v>0</v>
      </c>
      <c r="AY1710" s="25">
        <f>Inventory[[#This Row],[Bsmt]]*Lookups!$B$89</f>
        <v>19194.050863019998</v>
      </c>
      <c r="AZ1710" s="25">
        <f>Inventory[[#This Row],[Fixtures]]*Lookups!$B$90</f>
        <v>30336.176841600001</v>
      </c>
      <c r="BA1710" s="25">
        <f>Inventory[[#This Row],[WdDeck]]*Lookups!$B$91</f>
        <v>9988.6545828000017</v>
      </c>
      <c r="BB1710" s="25">
        <f>ROUND(Inventory[[#This Row],[25Det]],-2)</f>
        <v>0</v>
      </c>
      <c r="BC1710" s="25">
        <f>ROUND(SUM(Inventory[[#This Row],[Mdl Qlty]:[Mdl WdDeck]])+Inventory[[#This Row],[Mdl Res Intercept]],-2)</f>
        <v>308700</v>
      </c>
      <c r="BD1710" s="25">
        <f>ROUND(Inventory[[#This Row],[Mdl Land Intercept]]+Inventory[[#This Row],[Mdl LnAcres]],-2)</f>
        <v>27600</v>
      </c>
      <c r="BE1710" s="25">
        <f>Inventory[[#This Row],[Unadj Res Value]]+Inventory[[#This Row],[Unadj Det Value]]+Inventory[[#This Row],[Unadj Land Value]]</f>
        <v>336300</v>
      </c>
      <c r="BF1710" s="36">
        <f>(Inventory[[#This Row],[Unadj Total Value]]-Inventory[[#This Row],[24Final]])/Inventory[[#This Row],[24Final]]</f>
        <v>0.10661401776900296</v>
      </c>
      <c r="BG1710" s="25">
        <f>VLOOKUP(Inventory[[#This Row],[Nbhd]],Lookups!$Q$2:$T$4,4,FALSE)</f>
        <v>0.99970000000000003</v>
      </c>
      <c r="BH1710" s="25">
        <f>VLOOKUP(Inventory[[#This Row],[Qlty]],Lookups!$O$7:$R$21,4,FALSE)</f>
        <v>1.0067999999999999</v>
      </c>
      <c r="BI1710" s="25">
        <f>VLOOKUP(Inventory[[#This Row],[Cnd]],Lookups!$T$7:$W$16,4,FALSE)</f>
        <v>0.99729999999999996</v>
      </c>
      <c r="BJ1710" s="25">
        <f>VLOOKUP(Inventory[[#This Row],[LivArea Range]],Lookups!$T$25:$W$37,4,FALSE)</f>
        <v>1.0093000000000001</v>
      </c>
      <c r="BK1710" s="25">
        <f>VLOOKUP(Inventory[[#This Row],[Decade]],Lookups!$O$25:$R$42,4,FALSE)</f>
        <v>1.0074000000000001</v>
      </c>
      <c r="BL1710" s="25">
        <f>Inventory[[#This Row],[Nbhd Adj]]*0.95</f>
        <v>0.94971499999999998</v>
      </c>
      <c r="BM1710" s="25">
        <f>Inventory[[#This Row],[Nbhd Adj]]*Inventory[[#This Row],[Quality Adj]]*Inventory[[#This Row],[Condition Adj]]*Inventory[[#This Row],[Living Area Adj]]*Inventory[[#This Row],[Decade Adj]]*0.95</f>
        <v>0.96958199718441984</v>
      </c>
      <c r="BN1710" s="25">
        <f>ROUND(SUM(Inventory[[#This Row],[Mdl Qlty]:[Mdl WdDeck]])+Inventory[[#This Row],[Mdl Res Intercept]]*Inventory[[#This Row],[Res Adj ]],-2)</f>
        <v>308700</v>
      </c>
      <c r="BO1710" s="25">
        <f>ROUND(Inventory[[#This Row],[25Det]]*Inventory[[#This Row],[Det/Nbhd Adj]],-2)</f>
        <v>0</v>
      </c>
      <c r="BP1710" s="25">
        <f>Inventory[[#This Row],[Adjusted Res]]+Inventory[[#This Row],[Adj Det ]]</f>
        <v>308700</v>
      </c>
      <c r="BQ1710" s="25">
        <f>ROUND((Inventory[[#This Row],[Mdl Land Intercept]]+Inventory[[#This Row],[Mdl LnAcres]])*Inventory[[#This Row],[Det/Nbhd Adj]],-2)</f>
        <v>26200</v>
      </c>
      <c r="BR1710" s="25">
        <f>Inventory[[#This Row],[Adjusted Impr Total]]+Inventory[[#This Row],[Adjusted Land Total]]</f>
        <v>334900</v>
      </c>
      <c r="BS1710" s="36">
        <f>IFERROR((Inventory[[#This Row],[Adjusted Impr Total]]-Inventory[[#This Row],[24Bldg]])/Inventory[[#This Row],[24Bldg]],0)</f>
        <v>0.19697557192710352</v>
      </c>
      <c r="BT1710" s="36">
        <f>(Inventory[[#This Row],[Adjusted Land Total]]-Inventory[[#This Row],[24Lnd]])/Inventory[[#This Row],[24Lnd]]</f>
        <v>-0.43043478260869567</v>
      </c>
      <c r="BU1710" s="36">
        <f>(Inventory[[#This Row],[Adjusted Total]]-Inventory[[#This Row],[24Final]])/Inventory[[#This Row],[24Final]]</f>
        <v>0.10200723922342876</v>
      </c>
    </row>
    <row r="1711" spans="1:73" x14ac:dyDescent="0.3">
      <c r="A1711" s="25">
        <v>2025</v>
      </c>
      <c r="B1711" s="26" t="s">
        <v>1098</v>
      </c>
      <c r="C1711" s="26">
        <f>LN(Inventory[[#This Row],[Acres]])</f>
        <v>-1.7719568419318752</v>
      </c>
      <c r="D1711" s="25">
        <v>0.17</v>
      </c>
      <c r="E1711" s="31"/>
      <c r="F1711" s="26" t="s">
        <v>537</v>
      </c>
      <c r="G1711" s="26" t="s">
        <v>126</v>
      </c>
      <c r="H1711" s="26" t="s">
        <v>349</v>
      </c>
      <c r="I1711" s="26" t="s">
        <v>538</v>
      </c>
      <c r="J1711" s="26" t="s">
        <v>539</v>
      </c>
      <c r="K1711" s="26" t="s">
        <v>269</v>
      </c>
      <c r="L1711" s="26" t="s">
        <v>351</v>
      </c>
      <c r="M1711" s="26" t="s">
        <v>303</v>
      </c>
      <c r="N1711" s="26">
        <v>100</v>
      </c>
      <c r="O1711" s="26">
        <f>2024-Inventory[[#This Row],[YrBlt]]</f>
        <v>94</v>
      </c>
      <c r="P1711" s="26">
        <f>2024-Inventory[[#This Row],[EffYr]]</f>
        <v>54</v>
      </c>
      <c r="Q1711" s="25">
        <v>1930</v>
      </c>
      <c r="R1711" s="25">
        <v>1970</v>
      </c>
      <c r="S1711" s="25">
        <v>936</v>
      </c>
      <c r="T1711" s="27"/>
      <c r="U1711" s="25">
        <v>936</v>
      </c>
      <c r="V1711" s="25">
        <f>Inventory[[#This Row],[Bsmt]]-Inventory[[#This Row],[FnBsmt]]</f>
        <v>536</v>
      </c>
      <c r="W1711" s="25">
        <v>400</v>
      </c>
      <c r="X1711" s="27"/>
      <c r="Y1711" s="27">
        <f>Inventory[[#This Row],[MainFn]]+Inventory[[#This Row],[UpprFn]]+Inventory[[#This Row],[FnBsmt]]+Inventory[[#This Row],[AddFn]]</f>
        <v>1336</v>
      </c>
      <c r="Z1711" s="27">
        <v>1500</v>
      </c>
      <c r="AA1711" s="25">
        <v>8</v>
      </c>
      <c r="AB1711" s="27"/>
      <c r="AC1711" s="27"/>
      <c r="AD1711" s="31"/>
      <c r="AE1711" s="27"/>
      <c r="AF1711" s="27"/>
      <c r="AG1711" s="27"/>
      <c r="AH1711" s="27"/>
      <c r="AI1711" s="25">
        <v>219950</v>
      </c>
      <c r="AJ1711" s="25">
        <v>149566</v>
      </c>
      <c r="AK1711" s="25">
        <v>8156</v>
      </c>
      <c r="AL1711" s="25">
        <v>318900</v>
      </c>
      <c r="AM1711" s="25">
        <v>52700</v>
      </c>
      <c r="AN1711" s="25">
        <v>266200</v>
      </c>
      <c r="AO1711" s="25">
        <v>0</v>
      </c>
      <c r="AP1711" s="25">
        <f>Lookups!$B$56*0</f>
        <v>0</v>
      </c>
      <c r="AQ1711" s="25">
        <f>Lookups!$B$56*1</f>
        <v>89850.625589999996</v>
      </c>
      <c r="AR1711" s="25">
        <f>Lookups!$B$57*Inventory[[#This Row],[LnAcres]]</f>
        <v>-56090.612940989391</v>
      </c>
      <c r="AS1711" s="25">
        <f>VLOOKUP(Inventory[[#This Row],[Qlty]],Lookups!$A$62:$E$75,2,FALSE)</f>
        <v>21557.329055999999</v>
      </c>
      <c r="AT1711" s="25">
        <f>VLOOKUP(Inventory[[#This Row],[Cnd]],Lookups!$A$76:$E$84,2,FALSE)</f>
        <v>197752.34721000001</v>
      </c>
      <c r="AU1711" s="25">
        <f>Inventory[[#This Row],[EffAge]]*Lookups!$B$85</f>
        <v>-12044.462427</v>
      </c>
      <c r="AV1711" s="25">
        <f>Inventory[[#This Row],[MainFn]]*Lookups!$B$86</f>
        <v>46246.515004872002</v>
      </c>
      <c r="AW1711" s="25">
        <f>Inventory[[#This Row],[UpprFn]]*Lookups!$B$87</f>
        <v>0</v>
      </c>
      <c r="AX1711" s="25">
        <f>Inventory[[#This Row],[AddFn]]*Lookups!$B$88</f>
        <v>0</v>
      </c>
      <c r="AY1711" s="25">
        <f>Inventory[[#This Row],[Bsmt]]*Lookups!$B$89</f>
        <v>27220.653951191998</v>
      </c>
      <c r="AZ1711" s="25">
        <f>Inventory[[#This Row],[Fixtures]]*Lookups!$B$90</f>
        <v>30336.176841600001</v>
      </c>
      <c r="BA1711" s="25">
        <f>Inventory[[#This Row],[WdDeck]]*Lookups!$B$91</f>
        <v>0</v>
      </c>
      <c r="BB1711" s="25">
        <f>ROUND(Inventory[[#This Row],[25Det]],-2)</f>
        <v>8200</v>
      </c>
      <c r="BC1711" s="25">
        <f>ROUND(SUM(Inventory[[#This Row],[Mdl Qlty]:[Mdl WdDeck]])+Inventory[[#This Row],[Mdl Res Intercept]],-2)</f>
        <v>311100</v>
      </c>
      <c r="BD1711" s="25">
        <f>ROUND(Inventory[[#This Row],[Mdl Land Intercept]]+Inventory[[#This Row],[Mdl LnAcres]],-2)</f>
        <v>33800</v>
      </c>
      <c r="BE1711" s="25">
        <f>Inventory[[#This Row],[Unadj Res Value]]+Inventory[[#This Row],[Unadj Det Value]]+Inventory[[#This Row],[Unadj Land Value]]</f>
        <v>353100</v>
      </c>
      <c r="BF1711" s="36">
        <f>(Inventory[[#This Row],[Unadj Total Value]]-Inventory[[#This Row],[24Final]])/Inventory[[#This Row],[24Final]]</f>
        <v>0.10724365004703669</v>
      </c>
      <c r="BG1711" s="25">
        <f>VLOOKUP(Inventory[[#This Row],[Nbhd]],Lookups!$Q$2:$T$4,4,FALSE)</f>
        <v>0.99970000000000003</v>
      </c>
      <c r="BH1711" s="25">
        <f>VLOOKUP(Inventory[[#This Row],[Qlty]],Lookups!$O$7:$R$21,4,FALSE)</f>
        <v>1.0067999999999999</v>
      </c>
      <c r="BI1711" s="25">
        <f>VLOOKUP(Inventory[[#This Row],[Cnd]],Lookups!$T$7:$W$16,4,FALSE)</f>
        <v>0.99650000000000005</v>
      </c>
      <c r="BJ1711" s="25">
        <f>VLOOKUP(Inventory[[#This Row],[LivArea Range]],Lookups!$T$25:$W$37,4,FALSE)</f>
        <v>1.0157</v>
      </c>
      <c r="BK1711" s="25">
        <f>VLOOKUP(Inventory[[#This Row],[Decade]],Lookups!$O$25:$R$42,4,FALSE)</f>
        <v>1.0074000000000001</v>
      </c>
      <c r="BL1711" s="25">
        <f>Inventory[[#This Row],[Nbhd Adj]]*0.95</f>
        <v>0.94971499999999998</v>
      </c>
      <c r="BM1711" s="25">
        <f>Inventory[[#This Row],[Nbhd Adj]]*Inventory[[#This Row],[Quality Adj]]*Inventory[[#This Row],[Condition Adj]]*Inventory[[#This Row],[Living Area Adj]]*Inventory[[#This Row],[Decade Adj]]*0.95</f>
        <v>0.97494744680082823</v>
      </c>
      <c r="BN1711" s="25">
        <f>ROUND(SUM(Inventory[[#This Row],[Mdl Qlty]:[Mdl WdDeck]])+Inventory[[#This Row],[Mdl Res Intercept]]*Inventory[[#This Row],[Res Adj ]],-2)</f>
        <v>311100</v>
      </c>
      <c r="BO1711" s="25">
        <f>ROUND(Inventory[[#This Row],[25Det]]*Inventory[[#This Row],[Det/Nbhd Adj]],-2)</f>
        <v>7700</v>
      </c>
      <c r="BP1711" s="25">
        <f>Inventory[[#This Row],[Adjusted Res]]+Inventory[[#This Row],[Adj Det ]]</f>
        <v>318800</v>
      </c>
      <c r="BQ1711" s="25">
        <f>ROUND((Inventory[[#This Row],[Mdl Land Intercept]]+Inventory[[#This Row],[Mdl LnAcres]])*Inventory[[#This Row],[Det/Nbhd Adj]],-2)</f>
        <v>32100</v>
      </c>
      <c r="BR1711" s="25">
        <f>Inventory[[#This Row],[Adjusted Impr Total]]+Inventory[[#This Row],[Adjusted Land Total]]</f>
        <v>350900</v>
      </c>
      <c r="BS1711" s="36">
        <f>IFERROR((Inventory[[#This Row],[Adjusted Impr Total]]-Inventory[[#This Row],[24Bldg]])/Inventory[[#This Row],[24Bldg]],0)</f>
        <v>0.19759579263711496</v>
      </c>
      <c r="BT1711" s="36">
        <f>(Inventory[[#This Row],[Adjusted Land Total]]-Inventory[[#This Row],[24Lnd]])/Inventory[[#This Row],[24Lnd]]</f>
        <v>-0.39089184060721061</v>
      </c>
      <c r="BU1711" s="36">
        <f>(Inventory[[#This Row],[Adjusted Total]]-Inventory[[#This Row],[24Final]])/Inventory[[#This Row],[24Final]]</f>
        <v>0.10034493571652556</v>
      </c>
    </row>
    <row r="1712" spans="1:73" x14ac:dyDescent="0.3">
      <c r="A1712" s="25">
        <v>2025</v>
      </c>
      <c r="B1712" s="26" t="s">
        <v>2163</v>
      </c>
      <c r="C1712" s="26">
        <f>LN(Inventory[[#This Row],[Acres]])</f>
        <v>-1.8971199848858813</v>
      </c>
      <c r="D1712" s="25">
        <v>0.15</v>
      </c>
      <c r="E1712" s="31"/>
      <c r="F1712" s="26" t="s">
        <v>537</v>
      </c>
      <c r="G1712" s="26" t="s">
        <v>126</v>
      </c>
      <c r="H1712" s="26" t="s">
        <v>349</v>
      </c>
      <c r="I1712" s="26" t="s">
        <v>538</v>
      </c>
      <c r="J1712" s="26" t="s">
        <v>539</v>
      </c>
      <c r="K1712" s="26" t="s">
        <v>242</v>
      </c>
      <c r="L1712" s="26" t="s">
        <v>351</v>
      </c>
      <c r="M1712" s="26" t="s">
        <v>303</v>
      </c>
      <c r="N1712" s="26">
        <v>100</v>
      </c>
      <c r="O1712" s="26">
        <f>2024-Inventory[[#This Row],[YrBlt]]</f>
        <v>94</v>
      </c>
      <c r="P1712" s="26">
        <f>2024-Inventory[[#This Row],[EffYr]]</f>
        <v>44</v>
      </c>
      <c r="Q1712" s="25">
        <v>1930</v>
      </c>
      <c r="R1712" s="25">
        <v>1980</v>
      </c>
      <c r="S1712" s="25">
        <v>1263</v>
      </c>
      <c r="T1712" s="27"/>
      <c r="U1712" s="32">
        <v>300</v>
      </c>
      <c r="V1712" s="32">
        <f>Inventory[[#This Row],[Bsmt]]-Inventory[[#This Row],[FnBsmt]]</f>
        <v>135</v>
      </c>
      <c r="W1712" s="32">
        <v>165</v>
      </c>
      <c r="X1712" s="27"/>
      <c r="Y1712" s="27">
        <f>Inventory[[#This Row],[MainFn]]+Inventory[[#This Row],[UpprFn]]+Inventory[[#This Row],[FnBsmt]]+Inventory[[#This Row],[AddFn]]</f>
        <v>1428</v>
      </c>
      <c r="Z1712" s="27">
        <v>1500</v>
      </c>
      <c r="AA1712" s="25">
        <v>9</v>
      </c>
      <c r="AB1712" s="27"/>
      <c r="AC1712" s="27"/>
      <c r="AD1712" s="32">
        <v>60</v>
      </c>
      <c r="AE1712" s="27"/>
      <c r="AF1712" s="27"/>
      <c r="AG1712" s="27"/>
      <c r="AH1712" s="27"/>
      <c r="AI1712" s="25">
        <v>244910</v>
      </c>
      <c r="AJ1712" s="25">
        <v>193479</v>
      </c>
      <c r="AK1712" s="25">
        <v>4943</v>
      </c>
      <c r="AL1712" s="25">
        <v>318300</v>
      </c>
      <c r="AM1712" s="25">
        <v>48400</v>
      </c>
      <c r="AN1712" s="25">
        <v>269900</v>
      </c>
      <c r="AO1712" s="25">
        <v>0</v>
      </c>
      <c r="AP1712" s="25">
        <f>Lookups!$B$56*0</f>
        <v>0</v>
      </c>
      <c r="AQ1712" s="25">
        <f>Lookups!$B$56*1</f>
        <v>89850.625589999996</v>
      </c>
      <c r="AR1712" s="25">
        <f>Lookups!$B$57*Inventory[[#This Row],[LnAcres]]</f>
        <v>-60052.604136134301</v>
      </c>
      <c r="AS1712" s="25">
        <f>VLOOKUP(Inventory[[#This Row],[Qlty]],Lookups!$A$62:$E$75,2,FALSE)</f>
        <v>21557.329055999999</v>
      </c>
      <c r="AT1712" s="25">
        <f>VLOOKUP(Inventory[[#This Row],[Cnd]],Lookups!$A$76:$E$84,2,FALSE)</f>
        <v>197752.34721000001</v>
      </c>
      <c r="AU1712" s="25">
        <f>Inventory[[#This Row],[EffAge]]*Lookups!$B$85</f>
        <v>-9814.0064220000004</v>
      </c>
      <c r="AV1712" s="25">
        <f>Inventory[[#This Row],[MainFn]]*Lookups!$B$86</f>
        <v>62403.150054651</v>
      </c>
      <c r="AW1712" s="25">
        <f>Inventory[[#This Row],[UpprFn]]*Lookups!$B$87</f>
        <v>0</v>
      </c>
      <c r="AX1712" s="25">
        <f>Inventory[[#This Row],[AddFn]]*Lookups!$B$88</f>
        <v>0</v>
      </c>
      <c r="AY1712" s="25">
        <f>Inventory[[#This Row],[Bsmt]]*Lookups!$B$89</f>
        <v>8724.5685740999998</v>
      </c>
      <c r="AZ1712" s="25">
        <f>Inventory[[#This Row],[Fixtures]]*Lookups!$B$90</f>
        <v>34128.198946800003</v>
      </c>
      <c r="BA1712" s="25">
        <f>Inventory[[#This Row],[WdDeck]]*Lookups!$B$91</f>
        <v>1997.7309165600002</v>
      </c>
      <c r="BB1712" s="25">
        <f>ROUND(Inventory[[#This Row],[25Det]],-2)</f>
        <v>4900</v>
      </c>
      <c r="BC1712" s="25">
        <f>ROUND(SUM(Inventory[[#This Row],[Mdl Qlty]:[Mdl WdDeck]])+Inventory[[#This Row],[Mdl Res Intercept]],-2)</f>
        <v>316700</v>
      </c>
      <c r="BD1712" s="25">
        <f>ROUND(Inventory[[#This Row],[Mdl Land Intercept]]+Inventory[[#This Row],[Mdl LnAcres]],-2)</f>
        <v>29800</v>
      </c>
      <c r="BE1712" s="25">
        <f>Inventory[[#This Row],[Unadj Res Value]]+Inventory[[#This Row],[Unadj Det Value]]+Inventory[[#This Row],[Unadj Land Value]]</f>
        <v>351400</v>
      </c>
      <c r="BF1712" s="36">
        <f>(Inventory[[#This Row],[Unadj Total Value]]-Inventory[[#This Row],[24Final]])/Inventory[[#This Row],[24Final]]</f>
        <v>0.10398994659126611</v>
      </c>
      <c r="BG1712" s="25">
        <f>VLOOKUP(Inventory[[#This Row],[Nbhd]],Lookups!$Q$2:$T$4,4,FALSE)</f>
        <v>0.99970000000000003</v>
      </c>
      <c r="BH1712" s="25">
        <f>VLOOKUP(Inventory[[#This Row],[Qlty]],Lookups!$O$7:$R$21,4,FALSE)</f>
        <v>1.0067999999999999</v>
      </c>
      <c r="BI1712" s="25">
        <f>VLOOKUP(Inventory[[#This Row],[Cnd]],Lookups!$T$7:$W$16,4,FALSE)</f>
        <v>0.99650000000000005</v>
      </c>
      <c r="BJ1712" s="25">
        <f>VLOOKUP(Inventory[[#This Row],[LivArea Range]],Lookups!$T$25:$W$37,4,FALSE)</f>
        <v>1.0157</v>
      </c>
      <c r="BK1712" s="25">
        <f>VLOOKUP(Inventory[[#This Row],[Decade]],Lookups!$O$25:$R$42,4,FALSE)</f>
        <v>1.0074000000000001</v>
      </c>
      <c r="BL1712" s="25">
        <f>Inventory[[#This Row],[Nbhd Adj]]*0.95</f>
        <v>0.94971499999999998</v>
      </c>
      <c r="BM1712" s="25">
        <f>Inventory[[#This Row],[Nbhd Adj]]*Inventory[[#This Row],[Quality Adj]]*Inventory[[#This Row],[Condition Adj]]*Inventory[[#This Row],[Living Area Adj]]*Inventory[[#This Row],[Decade Adj]]*0.95</f>
        <v>0.97494744680082823</v>
      </c>
      <c r="BN1712" s="25">
        <f>ROUND(SUM(Inventory[[#This Row],[Mdl Qlty]:[Mdl WdDeck]])+Inventory[[#This Row],[Mdl Res Intercept]]*Inventory[[#This Row],[Res Adj ]],-2)</f>
        <v>316700</v>
      </c>
      <c r="BO1712" s="25">
        <f>ROUND(Inventory[[#This Row],[25Det]]*Inventory[[#This Row],[Det/Nbhd Adj]],-2)</f>
        <v>4700</v>
      </c>
      <c r="BP1712" s="25">
        <f>Inventory[[#This Row],[Adjusted Res]]+Inventory[[#This Row],[Adj Det ]]</f>
        <v>321400</v>
      </c>
      <c r="BQ1712" s="25">
        <f>ROUND((Inventory[[#This Row],[Mdl Land Intercept]]+Inventory[[#This Row],[Mdl LnAcres]])*Inventory[[#This Row],[Det/Nbhd Adj]],-2)</f>
        <v>28300</v>
      </c>
      <c r="BR1712" s="25">
        <f>Inventory[[#This Row],[Adjusted Impr Total]]+Inventory[[#This Row],[Adjusted Land Total]]</f>
        <v>349700</v>
      </c>
      <c r="BS1712" s="36">
        <f>IFERROR((Inventory[[#This Row],[Adjusted Impr Total]]-Inventory[[#This Row],[24Bldg]])/Inventory[[#This Row],[24Bldg]],0)</f>
        <v>0.1908114116339385</v>
      </c>
      <c r="BT1712" s="36">
        <f>(Inventory[[#This Row],[Adjusted Land Total]]-Inventory[[#This Row],[24Lnd]])/Inventory[[#This Row],[24Lnd]]</f>
        <v>-0.41528925619834711</v>
      </c>
      <c r="BU1712" s="36">
        <f>(Inventory[[#This Row],[Adjusted Total]]-Inventory[[#This Row],[24Final]])/Inventory[[#This Row],[24Final]]</f>
        <v>9.8649073201382345E-2</v>
      </c>
    </row>
    <row r="1713" spans="1:73" x14ac:dyDescent="0.3">
      <c r="A1713" s="25">
        <v>2025</v>
      </c>
      <c r="B1713" s="26" t="s">
        <v>1052</v>
      </c>
      <c r="C1713" s="26">
        <f>LN(Inventory[[#This Row],[Acres]])</f>
        <v>-1.8325814637483102</v>
      </c>
      <c r="D1713" s="25">
        <v>0.16</v>
      </c>
      <c r="E1713" s="31"/>
      <c r="F1713" s="26" t="s">
        <v>537</v>
      </c>
      <c r="G1713" s="26" t="s">
        <v>126</v>
      </c>
      <c r="H1713" s="26" t="s">
        <v>349</v>
      </c>
      <c r="I1713" s="26" t="s">
        <v>538</v>
      </c>
      <c r="J1713" s="26" t="s">
        <v>539</v>
      </c>
      <c r="K1713" s="26" t="s">
        <v>242</v>
      </c>
      <c r="L1713" s="26" t="s">
        <v>351</v>
      </c>
      <c r="M1713" s="26" t="s">
        <v>206</v>
      </c>
      <c r="N1713" s="26">
        <v>100</v>
      </c>
      <c r="O1713" s="26">
        <f>2024-Inventory[[#This Row],[YrBlt]]</f>
        <v>94</v>
      </c>
      <c r="P1713" s="26">
        <f>2024-Inventory[[#This Row],[EffYr]]</f>
        <v>54</v>
      </c>
      <c r="Q1713" s="25">
        <v>1930</v>
      </c>
      <c r="R1713" s="25">
        <v>1970</v>
      </c>
      <c r="S1713" s="25">
        <v>1130</v>
      </c>
      <c r="T1713" s="27"/>
      <c r="U1713" s="32">
        <v>560</v>
      </c>
      <c r="V1713" s="32">
        <f>Inventory[[#This Row],[Bsmt]]-Inventory[[#This Row],[FnBsmt]]</f>
        <v>560</v>
      </c>
      <c r="W1713" s="27"/>
      <c r="X1713" s="27"/>
      <c r="Y1713" s="27">
        <f>Inventory[[#This Row],[MainFn]]+Inventory[[#This Row],[UpprFn]]+Inventory[[#This Row],[FnBsmt]]+Inventory[[#This Row],[AddFn]]</f>
        <v>1130</v>
      </c>
      <c r="Z1713" s="27">
        <v>1500</v>
      </c>
      <c r="AA1713" s="25">
        <v>5</v>
      </c>
      <c r="AB1713" s="27"/>
      <c r="AC1713" s="27"/>
      <c r="AD1713" s="27"/>
      <c r="AE1713" s="27"/>
      <c r="AF1713" s="27"/>
      <c r="AG1713" s="27"/>
      <c r="AH1713" s="27"/>
      <c r="AI1713" s="25">
        <v>212787</v>
      </c>
      <c r="AJ1713" s="25">
        <v>136184</v>
      </c>
      <c r="AK1713" s="25">
        <v>5261</v>
      </c>
      <c r="AL1713" s="25">
        <v>245600</v>
      </c>
      <c r="AM1713" s="25">
        <v>50600</v>
      </c>
      <c r="AN1713" s="25">
        <v>195000</v>
      </c>
      <c r="AO1713" s="25">
        <v>0</v>
      </c>
      <c r="AP1713" s="25">
        <f>Lookups!$B$56*0</f>
        <v>0</v>
      </c>
      <c r="AQ1713" s="25">
        <f>Lookups!$B$56*1</f>
        <v>89850.625589999996</v>
      </c>
      <c r="AR1713" s="25">
        <f>Lookups!$B$57*Inventory[[#This Row],[LnAcres]]</f>
        <v>-58009.662049032086</v>
      </c>
      <c r="AS1713" s="25">
        <f>VLOOKUP(Inventory[[#This Row],[Qlty]],Lookups!$A$62:$E$75,2,FALSE)</f>
        <v>21557.329055999999</v>
      </c>
      <c r="AT1713" s="25">
        <f>VLOOKUP(Inventory[[#This Row],[Cnd]],Lookups!$A$76:$E$84,2,FALSE)</f>
        <v>133714.53821</v>
      </c>
      <c r="AU1713" s="25">
        <f>Inventory[[#This Row],[EffAge]]*Lookups!$B$85</f>
        <v>-12044.462427</v>
      </c>
      <c r="AV1713" s="25">
        <f>Inventory[[#This Row],[MainFn]]*Lookups!$B$86</f>
        <v>55831.796961010004</v>
      </c>
      <c r="AW1713" s="25">
        <f>Inventory[[#This Row],[UpprFn]]*Lookups!$B$87</f>
        <v>0</v>
      </c>
      <c r="AX1713" s="25">
        <f>Inventory[[#This Row],[AddFn]]*Lookups!$B$88</f>
        <v>0</v>
      </c>
      <c r="AY1713" s="25">
        <f>Inventory[[#This Row],[Bsmt]]*Lookups!$B$89</f>
        <v>16285.861338319999</v>
      </c>
      <c r="AZ1713" s="25">
        <f>Inventory[[#This Row],[Fixtures]]*Lookups!$B$90</f>
        <v>18960.110526</v>
      </c>
      <c r="BA1713" s="25">
        <f>Inventory[[#This Row],[WdDeck]]*Lookups!$B$91</f>
        <v>0</v>
      </c>
      <c r="BB1713" s="25">
        <f>ROUND(Inventory[[#This Row],[25Det]],-2)</f>
        <v>5300</v>
      </c>
      <c r="BC1713" s="25">
        <f>ROUND(SUM(Inventory[[#This Row],[Mdl Qlty]:[Mdl WdDeck]])+Inventory[[#This Row],[Mdl Res Intercept]],-2)</f>
        <v>234300</v>
      </c>
      <c r="BD1713" s="25">
        <f>ROUND(Inventory[[#This Row],[Mdl Land Intercept]]+Inventory[[#This Row],[Mdl LnAcres]],-2)</f>
        <v>31800</v>
      </c>
      <c r="BE1713" s="25">
        <f>Inventory[[#This Row],[Unadj Res Value]]+Inventory[[#This Row],[Unadj Det Value]]+Inventory[[#This Row],[Unadj Land Value]]</f>
        <v>271400</v>
      </c>
      <c r="BF1713" s="36">
        <f>(Inventory[[#This Row],[Unadj Total Value]]-Inventory[[#This Row],[24Final]])/Inventory[[#This Row],[24Final]]</f>
        <v>0.10504885993485343</v>
      </c>
      <c r="BG1713" s="25">
        <f>VLOOKUP(Inventory[[#This Row],[Nbhd]],Lookups!$Q$2:$T$4,4,FALSE)</f>
        <v>0.99970000000000003</v>
      </c>
      <c r="BH1713" s="25">
        <f>VLOOKUP(Inventory[[#This Row],[Qlty]],Lookups!$O$7:$R$21,4,FALSE)</f>
        <v>1.0067999999999999</v>
      </c>
      <c r="BI1713" s="25">
        <f>VLOOKUP(Inventory[[#This Row],[Cnd]],Lookups!$T$7:$W$16,4,FALSE)</f>
        <v>0.99329999999999996</v>
      </c>
      <c r="BJ1713" s="25">
        <f>VLOOKUP(Inventory[[#This Row],[LivArea Range]],Lookups!$T$25:$W$37,4,FALSE)</f>
        <v>1.0157</v>
      </c>
      <c r="BK1713" s="25">
        <f>VLOOKUP(Inventory[[#This Row],[Decade]],Lookups!$O$25:$R$42,4,FALSE)</f>
        <v>1.0074000000000001</v>
      </c>
      <c r="BL1713" s="25">
        <f>Inventory[[#This Row],[Nbhd Adj]]*0.95</f>
        <v>0.94971499999999998</v>
      </c>
      <c r="BM1713" s="25">
        <f>Inventory[[#This Row],[Nbhd Adj]]*Inventory[[#This Row],[Quality Adj]]*Inventory[[#This Row],[Condition Adj]]*Inventory[[#This Row],[Living Area Adj]]*Inventory[[#This Row],[Decade Adj]]*0.95</f>
        <v>0.971816657207489</v>
      </c>
      <c r="BN1713" s="25">
        <f>ROUND(SUM(Inventory[[#This Row],[Mdl Qlty]:[Mdl WdDeck]])+Inventory[[#This Row],[Mdl Res Intercept]]*Inventory[[#This Row],[Res Adj ]],-2)</f>
        <v>234300</v>
      </c>
      <c r="BO1713" s="25">
        <f>ROUND(Inventory[[#This Row],[25Det]]*Inventory[[#This Row],[Det/Nbhd Adj]],-2)</f>
        <v>5000</v>
      </c>
      <c r="BP1713" s="25">
        <f>Inventory[[#This Row],[Adjusted Res]]+Inventory[[#This Row],[Adj Det ]]</f>
        <v>239300</v>
      </c>
      <c r="BQ1713" s="25">
        <f>ROUND((Inventory[[#This Row],[Mdl Land Intercept]]+Inventory[[#This Row],[Mdl LnAcres]])*Inventory[[#This Row],[Det/Nbhd Adj]],-2)</f>
        <v>30200</v>
      </c>
      <c r="BR1713" s="25">
        <f>Inventory[[#This Row],[Adjusted Impr Total]]+Inventory[[#This Row],[Adjusted Land Total]]</f>
        <v>269500</v>
      </c>
      <c r="BS1713" s="36">
        <f>IFERROR((Inventory[[#This Row],[Adjusted Impr Total]]-Inventory[[#This Row],[24Bldg]])/Inventory[[#This Row],[24Bldg]],0)</f>
        <v>0.22717948717948719</v>
      </c>
      <c r="BT1713" s="36">
        <f>(Inventory[[#This Row],[Adjusted Land Total]]-Inventory[[#This Row],[24Lnd]])/Inventory[[#This Row],[24Lnd]]</f>
        <v>-0.40316205533596838</v>
      </c>
      <c r="BU1713" s="36">
        <f>(Inventory[[#This Row],[Adjusted Total]]-Inventory[[#This Row],[24Final]])/Inventory[[#This Row],[24Final]]</f>
        <v>9.7312703583061891E-2</v>
      </c>
    </row>
    <row r="1714" spans="1:73" x14ac:dyDescent="0.3">
      <c r="A1714" s="25">
        <v>2025</v>
      </c>
      <c r="B1714" s="26" t="s">
        <v>1278</v>
      </c>
      <c r="C1714" s="26">
        <f>LN(Inventory[[#This Row],[Acres]])</f>
        <v>-1.0788096613719298</v>
      </c>
      <c r="D1714" s="25">
        <v>0.34</v>
      </c>
      <c r="E1714" s="25">
        <v>15015</v>
      </c>
      <c r="F1714" s="26" t="s">
        <v>537</v>
      </c>
      <c r="G1714" s="26" t="s">
        <v>126</v>
      </c>
      <c r="H1714" s="26" t="s">
        <v>349</v>
      </c>
      <c r="I1714" s="26" t="s">
        <v>538</v>
      </c>
      <c r="J1714" s="26" t="s">
        <v>539</v>
      </c>
      <c r="K1714" s="26" t="s">
        <v>448</v>
      </c>
      <c r="L1714" s="26" t="s">
        <v>382</v>
      </c>
      <c r="M1714" s="26" t="s">
        <v>352</v>
      </c>
      <c r="N1714" s="26">
        <v>100</v>
      </c>
      <c r="O1714" s="26">
        <f>2024-Inventory[[#This Row],[YrBlt]]</f>
        <v>94</v>
      </c>
      <c r="P1714" s="26">
        <f>2024-Inventory[[#This Row],[EffYr]]</f>
        <v>54</v>
      </c>
      <c r="Q1714" s="25">
        <v>1930</v>
      </c>
      <c r="R1714" s="25">
        <v>1970</v>
      </c>
      <c r="S1714" s="25">
        <v>2561</v>
      </c>
      <c r="T1714" s="32">
        <v>907</v>
      </c>
      <c r="U1714" s="25">
        <v>837</v>
      </c>
      <c r="V1714" s="32">
        <f>Inventory[[#This Row],[Bsmt]]-Inventory[[#This Row],[FnBsmt]]</f>
        <v>0</v>
      </c>
      <c r="W1714" s="32">
        <v>837</v>
      </c>
      <c r="X1714" s="27"/>
      <c r="Y1714" s="27">
        <f>Inventory[[#This Row],[MainFn]]+Inventory[[#This Row],[UpprFn]]+Inventory[[#This Row],[FnBsmt]]+Inventory[[#This Row],[AddFn]]</f>
        <v>4305</v>
      </c>
      <c r="Z1714" s="27">
        <v>4500</v>
      </c>
      <c r="AA1714" s="25">
        <v>16</v>
      </c>
      <c r="AB1714" s="32">
        <v>484</v>
      </c>
      <c r="AC1714" s="27"/>
      <c r="AD1714" s="27"/>
      <c r="AE1714" s="27"/>
      <c r="AF1714" s="27"/>
      <c r="AG1714" s="27"/>
      <c r="AH1714" s="27"/>
      <c r="AI1714" s="25">
        <v>1322352</v>
      </c>
      <c r="AJ1714" s="25">
        <v>925646</v>
      </c>
      <c r="AK1714" s="25">
        <v>31447</v>
      </c>
      <c r="AL1714" s="25">
        <v>842000</v>
      </c>
      <c r="AM1714" s="25">
        <v>76900</v>
      </c>
      <c r="AN1714" s="25">
        <v>765100</v>
      </c>
      <c r="AO1714" s="25">
        <v>0</v>
      </c>
      <c r="AP1714" s="25">
        <f>Lookups!$B$56*0</f>
        <v>0</v>
      </c>
      <c r="AQ1714" s="25">
        <f>Lookups!$B$56*1</f>
        <v>89850.625589999996</v>
      </c>
      <c r="AR1714" s="25">
        <f>Lookups!$B$57*Inventory[[#This Row],[LnAcres]]</f>
        <v>-34149.305288406773</v>
      </c>
      <c r="AS1714" s="25">
        <f>VLOOKUP(Inventory[[#This Row],[Qlty]],Lookups!$A$62:$E$75,2,FALSE)</f>
        <v>315333.60131</v>
      </c>
      <c r="AT1714" s="25">
        <f>VLOOKUP(Inventory[[#This Row],[Cnd]],Lookups!$A$76:$E$84,2,FALSE)</f>
        <v>284810.60806</v>
      </c>
      <c r="AU1714" s="25">
        <f>Inventory[[#This Row],[EffAge]]*Lookups!$B$85</f>
        <v>-12044.462427</v>
      </c>
      <c r="AV1714" s="25">
        <f>Inventory[[#This Row],[MainFn]]*Lookups!$B$86</f>
        <v>126535.603554997</v>
      </c>
      <c r="AW1714" s="25">
        <f>Inventory[[#This Row],[UpprFn]]*Lookups!$B$87</f>
        <v>40621.285534926996</v>
      </c>
      <c r="AX1714" s="25">
        <f>Inventory[[#This Row],[AddFn]]*Lookups!$B$88</f>
        <v>0</v>
      </c>
      <c r="AY1714" s="25">
        <f>Inventory[[#This Row],[Bsmt]]*Lookups!$B$89</f>
        <v>24341.546321738999</v>
      </c>
      <c r="AZ1714" s="25">
        <f>Inventory[[#This Row],[Fixtures]]*Lookups!$B$90</f>
        <v>60672.353683200003</v>
      </c>
      <c r="BA1714" s="25">
        <f>Inventory[[#This Row],[WdDeck]]*Lookups!$B$91</f>
        <v>0</v>
      </c>
      <c r="BB1714" s="25">
        <f>ROUND(Inventory[[#This Row],[25Det]],-2)</f>
        <v>31400</v>
      </c>
      <c r="BC1714" s="25">
        <f>ROUND(SUM(Inventory[[#This Row],[Mdl Qlty]:[Mdl WdDeck]])+Inventory[[#This Row],[Mdl Res Intercept]],-2)</f>
        <v>840300</v>
      </c>
      <c r="BD1714" s="25">
        <f>ROUND(Inventory[[#This Row],[Mdl Land Intercept]]+Inventory[[#This Row],[Mdl LnAcres]],-2)</f>
        <v>55700</v>
      </c>
      <c r="BE1714" s="25">
        <f>Inventory[[#This Row],[Unadj Res Value]]+Inventory[[#This Row],[Unadj Det Value]]+Inventory[[#This Row],[Unadj Land Value]]</f>
        <v>927400</v>
      </c>
      <c r="BF1714" s="36">
        <f>(Inventory[[#This Row],[Unadj Total Value]]-Inventory[[#This Row],[24Final]])/Inventory[[#This Row],[24Final]]</f>
        <v>0.10142517814726841</v>
      </c>
      <c r="BG1714" s="25">
        <f>VLOOKUP(Inventory[[#This Row],[Nbhd]],Lookups!$Q$2:$T$4,4,FALSE)</f>
        <v>0.99970000000000003</v>
      </c>
      <c r="BH1714" s="25">
        <f>VLOOKUP(Inventory[[#This Row],[Qlty]],Lookups!$O$7:$R$21,4,FALSE)</f>
        <v>1</v>
      </c>
      <c r="BI1714" s="25">
        <f>VLOOKUP(Inventory[[#This Row],[Cnd]],Lookups!$T$7:$W$16,4,FALSE)</f>
        <v>1.0158</v>
      </c>
      <c r="BJ1714" s="25">
        <f>VLOOKUP(Inventory[[#This Row],[LivArea Range]],Lookups!$T$25:$W$37,4,FALSE)</f>
        <v>1</v>
      </c>
      <c r="BK1714" s="25">
        <f>VLOOKUP(Inventory[[#This Row],[Decade]],Lookups!$O$25:$R$42,4,FALSE)</f>
        <v>1.0074000000000001</v>
      </c>
      <c r="BL1714" s="25">
        <f>Inventory[[#This Row],[Nbhd Adj]]*0.95</f>
        <v>0.94971499999999998</v>
      </c>
      <c r="BM1714" s="25">
        <f>Inventory[[#This Row],[Nbhd Adj]]*Inventory[[#This Row],[Quality Adj]]*Inventory[[#This Row],[Condition Adj]]*Inventory[[#This Row],[Living Area Adj]]*Inventory[[#This Row],[Decade Adj]]*0.95</f>
        <v>0.97185942867780006</v>
      </c>
      <c r="BN1714" s="25">
        <f>ROUND(SUM(Inventory[[#This Row],[Mdl Qlty]:[Mdl WdDeck]])+Inventory[[#This Row],[Mdl Res Intercept]]*Inventory[[#This Row],[Res Adj ]],-2)</f>
        <v>840300</v>
      </c>
      <c r="BO1714" s="25">
        <f>ROUND(Inventory[[#This Row],[25Det]]*Inventory[[#This Row],[Det/Nbhd Adj]],-2)</f>
        <v>29900</v>
      </c>
      <c r="BP1714" s="25">
        <f>Inventory[[#This Row],[Adjusted Res]]+Inventory[[#This Row],[Adj Det ]]</f>
        <v>870200</v>
      </c>
      <c r="BQ1714" s="25">
        <f>ROUND((Inventory[[#This Row],[Mdl Land Intercept]]+Inventory[[#This Row],[Mdl LnAcres]])*Inventory[[#This Row],[Det/Nbhd Adj]],-2)</f>
        <v>52900</v>
      </c>
      <c r="BR1714" s="25">
        <f>Inventory[[#This Row],[Adjusted Impr Total]]+Inventory[[#This Row],[Adjusted Land Total]]</f>
        <v>923100</v>
      </c>
      <c r="BS1714" s="36">
        <f>IFERROR((Inventory[[#This Row],[Adjusted Impr Total]]-Inventory[[#This Row],[24Bldg]])/Inventory[[#This Row],[24Bldg]],0)</f>
        <v>0.13736766435760031</v>
      </c>
      <c r="BT1714" s="36">
        <f>(Inventory[[#This Row],[Adjusted Land Total]]-Inventory[[#This Row],[24Lnd]])/Inventory[[#This Row],[24Lnd]]</f>
        <v>-0.31209362808842656</v>
      </c>
      <c r="BU1714" s="36">
        <f>(Inventory[[#This Row],[Adjusted Total]]-Inventory[[#This Row],[24Final]])/Inventory[[#This Row],[24Final]]</f>
        <v>9.6318289786223282E-2</v>
      </c>
    </row>
    <row r="1715" spans="1:73" x14ac:dyDescent="0.3">
      <c r="A1715" s="25">
        <v>2025</v>
      </c>
      <c r="B1715" s="26" t="s">
        <v>1096</v>
      </c>
      <c r="C1715" s="26">
        <f>LN(Inventory[[#This Row],[Acres]])</f>
        <v>-1.5606477482646683</v>
      </c>
      <c r="D1715" s="25">
        <v>0.21</v>
      </c>
      <c r="E1715" s="25">
        <v>9100</v>
      </c>
      <c r="F1715" s="26" t="s">
        <v>537</v>
      </c>
      <c r="G1715" s="26" t="s">
        <v>126</v>
      </c>
      <c r="H1715" s="26" t="s">
        <v>349</v>
      </c>
      <c r="I1715" s="26" t="s">
        <v>538</v>
      </c>
      <c r="J1715" s="26" t="s">
        <v>539</v>
      </c>
      <c r="K1715" s="26" t="s">
        <v>269</v>
      </c>
      <c r="L1715" s="26" t="s">
        <v>205</v>
      </c>
      <c r="M1715" s="26" t="s">
        <v>303</v>
      </c>
      <c r="N1715" s="26">
        <v>100</v>
      </c>
      <c r="O1715" s="26">
        <f>2024-Inventory[[#This Row],[YrBlt]]</f>
        <v>94</v>
      </c>
      <c r="P1715" s="26">
        <f>2024-Inventory[[#This Row],[EffYr]]</f>
        <v>54</v>
      </c>
      <c r="Q1715" s="25">
        <v>1930</v>
      </c>
      <c r="R1715" s="25">
        <v>1970</v>
      </c>
      <c r="S1715" s="25">
        <v>929</v>
      </c>
      <c r="T1715" s="32">
        <v>310</v>
      </c>
      <c r="U1715" s="25">
        <v>613</v>
      </c>
      <c r="V1715" s="32">
        <f>Inventory[[#This Row],[Bsmt]]-Inventory[[#This Row],[FnBsmt]]</f>
        <v>613</v>
      </c>
      <c r="W1715" s="27"/>
      <c r="X1715" s="27"/>
      <c r="Y1715" s="27">
        <f>Inventory[[#This Row],[MainFn]]+Inventory[[#This Row],[UpprFn]]+Inventory[[#This Row],[FnBsmt]]+Inventory[[#This Row],[AddFn]]</f>
        <v>1239</v>
      </c>
      <c r="Z1715" s="27">
        <v>1500</v>
      </c>
      <c r="AA1715" s="25">
        <v>5</v>
      </c>
      <c r="AB1715" s="27"/>
      <c r="AC1715" s="27"/>
      <c r="AD1715" s="31"/>
      <c r="AE1715" s="27"/>
      <c r="AF1715" s="27"/>
      <c r="AG1715" s="27"/>
      <c r="AH1715" s="27"/>
      <c r="AI1715" s="25">
        <v>210631</v>
      </c>
      <c r="AJ1715" s="25">
        <v>143229</v>
      </c>
      <c r="AK1715" s="25">
        <v>9004</v>
      </c>
      <c r="AL1715" s="25">
        <v>300900</v>
      </c>
      <c r="AM1715" s="25">
        <v>60100</v>
      </c>
      <c r="AN1715" s="25">
        <v>240800</v>
      </c>
      <c r="AO1715" s="25">
        <v>0</v>
      </c>
      <c r="AP1715" s="25">
        <f>Lookups!$B$56*0</f>
        <v>0</v>
      </c>
      <c r="AQ1715" s="25">
        <f>Lookups!$B$56*1</f>
        <v>89850.625589999996</v>
      </c>
      <c r="AR1715" s="25">
        <f>Lookups!$B$57*Inventory[[#This Row],[LnAcres]]</f>
        <v>-49401.70477837498</v>
      </c>
      <c r="AS1715" s="25">
        <f>VLOOKUP(Inventory[[#This Row],[Qlty]],Lookups!$A$62:$E$75,2,FALSE)</f>
        <v>0</v>
      </c>
      <c r="AT1715" s="25">
        <f>VLOOKUP(Inventory[[#This Row],[Cnd]],Lookups!$A$76:$E$84,2,FALSE)</f>
        <v>197752.34721000001</v>
      </c>
      <c r="AU1715" s="25">
        <f>Inventory[[#This Row],[EffAge]]*Lookups!$B$85</f>
        <v>-12044.462427</v>
      </c>
      <c r="AV1715" s="25">
        <f>Inventory[[#This Row],[MainFn]]*Lookups!$B$86</f>
        <v>45900.654315733002</v>
      </c>
      <c r="AW1715" s="25">
        <f>Inventory[[#This Row],[UpprFn]]*Lookups!$B$87</f>
        <v>13883.79108691</v>
      </c>
      <c r="AX1715" s="25">
        <f>Inventory[[#This Row],[AddFn]]*Lookups!$B$88</f>
        <v>0</v>
      </c>
      <c r="AY1715" s="25">
        <f>Inventory[[#This Row],[Bsmt]]*Lookups!$B$89</f>
        <v>17827.201786410998</v>
      </c>
      <c r="AZ1715" s="25">
        <f>Inventory[[#This Row],[Fixtures]]*Lookups!$B$90</f>
        <v>18960.110526</v>
      </c>
      <c r="BA1715" s="25">
        <f>Inventory[[#This Row],[WdDeck]]*Lookups!$B$91</f>
        <v>0</v>
      </c>
      <c r="BB1715" s="25">
        <f>ROUND(Inventory[[#This Row],[25Det]],-2)</f>
        <v>9000</v>
      </c>
      <c r="BC1715" s="25">
        <f>ROUND(SUM(Inventory[[#This Row],[Mdl Qlty]:[Mdl WdDeck]])+Inventory[[#This Row],[Mdl Res Intercept]],-2)</f>
        <v>282300</v>
      </c>
      <c r="BD1715" s="25">
        <f>ROUND(Inventory[[#This Row],[Mdl Land Intercept]]+Inventory[[#This Row],[Mdl LnAcres]],-2)</f>
        <v>40400</v>
      </c>
      <c r="BE1715" s="25">
        <f>Inventory[[#This Row],[Unadj Res Value]]+Inventory[[#This Row],[Unadj Det Value]]+Inventory[[#This Row],[Unadj Land Value]]</f>
        <v>331700</v>
      </c>
      <c r="BF1715" s="36">
        <f>(Inventory[[#This Row],[Unadj Total Value]]-Inventory[[#This Row],[24Final]])/Inventory[[#This Row],[24Final]]</f>
        <v>0.10235958790295779</v>
      </c>
      <c r="BG1715" s="25">
        <f>VLOOKUP(Inventory[[#This Row],[Nbhd]],Lookups!$Q$2:$T$4,4,FALSE)</f>
        <v>0.99970000000000003</v>
      </c>
      <c r="BH1715" s="25">
        <f>VLOOKUP(Inventory[[#This Row],[Qlty]],Lookups!$O$7:$R$21,4,FALSE)</f>
        <v>0.99180000000000001</v>
      </c>
      <c r="BI1715" s="25">
        <f>VLOOKUP(Inventory[[#This Row],[Cnd]],Lookups!$T$7:$W$16,4,FALSE)</f>
        <v>0.99650000000000005</v>
      </c>
      <c r="BJ1715" s="25">
        <f>VLOOKUP(Inventory[[#This Row],[LivArea Range]],Lookups!$T$25:$W$37,4,FALSE)</f>
        <v>1.0157</v>
      </c>
      <c r="BK1715" s="25">
        <f>VLOOKUP(Inventory[[#This Row],[Decade]],Lookups!$O$25:$R$42,4,FALSE)</f>
        <v>1.0074000000000001</v>
      </c>
      <c r="BL1715" s="25">
        <f>Inventory[[#This Row],[Nbhd Adj]]*0.95</f>
        <v>0.94971499999999998</v>
      </c>
      <c r="BM1715" s="25">
        <f>Inventory[[#This Row],[Nbhd Adj]]*Inventory[[#This Row],[Quality Adj]]*Inventory[[#This Row],[Condition Adj]]*Inventory[[#This Row],[Living Area Adj]]*Inventory[[#This Row],[Decade Adj]]*0.95</f>
        <v>0.96042200808210354</v>
      </c>
      <c r="BN1715" s="25">
        <f>ROUND(SUM(Inventory[[#This Row],[Mdl Qlty]:[Mdl WdDeck]])+Inventory[[#This Row],[Mdl Res Intercept]]*Inventory[[#This Row],[Res Adj ]],-2)</f>
        <v>282300</v>
      </c>
      <c r="BO1715" s="25">
        <f>ROUND(Inventory[[#This Row],[25Det]]*Inventory[[#This Row],[Det/Nbhd Adj]],-2)</f>
        <v>8600</v>
      </c>
      <c r="BP1715" s="25">
        <f>Inventory[[#This Row],[Adjusted Res]]+Inventory[[#This Row],[Adj Det ]]</f>
        <v>290900</v>
      </c>
      <c r="BQ1715" s="25">
        <f>ROUND((Inventory[[#This Row],[Mdl Land Intercept]]+Inventory[[#This Row],[Mdl LnAcres]])*Inventory[[#This Row],[Det/Nbhd Adj]],-2)</f>
        <v>38400</v>
      </c>
      <c r="BR1715" s="25">
        <f>Inventory[[#This Row],[Adjusted Impr Total]]+Inventory[[#This Row],[Adjusted Land Total]]</f>
        <v>329300</v>
      </c>
      <c r="BS1715" s="36">
        <f>IFERROR((Inventory[[#This Row],[Adjusted Impr Total]]-Inventory[[#This Row],[24Bldg]])/Inventory[[#This Row],[24Bldg]],0)</f>
        <v>0.2080564784053156</v>
      </c>
      <c r="BT1715" s="36">
        <f>(Inventory[[#This Row],[Adjusted Land Total]]-Inventory[[#This Row],[24Lnd]])/Inventory[[#This Row],[24Lnd]]</f>
        <v>-0.36106489184692181</v>
      </c>
      <c r="BU1715" s="36">
        <f>(Inventory[[#This Row],[Adjusted Total]]-Inventory[[#This Row],[24Final]])/Inventory[[#This Row],[24Final]]</f>
        <v>9.4383516118311736E-2</v>
      </c>
    </row>
    <row r="1716" spans="1:73" x14ac:dyDescent="0.3">
      <c r="A1716" s="25">
        <v>2025</v>
      </c>
      <c r="B1716" s="26" t="s">
        <v>2830</v>
      </c>
      <c r="C1716" s="26">
        <f>LN(Inventory[[#This Row],[Acres]])</f>
        <v>-1.6607312068216509</v>
      </c>
      <c r="D1716" s="25">
        <v>0.19</v>
      </c>
      <c r="E1716" s="25">
        <v>8387</v>
      </c>
      <c r="F1716" s="26" t="s">
        <v>537</v>
      </c>
      <c r="G1716" s="26" t="s">
        <v>126</v>
      </c>
      <c r="H1716" s="26" t="s">
        <v>349</v>
      </c>
      <c r="I1716" s="26" t="s">
        <v>538</v>
      </c>
      <c r="J1716" s="26" t="s">
        <v>539</v>
      </c>
      <c r="K1716" s="26" t="s">
        <v>147</v>
      </c>
      <c r="L1716" s="26" t="s">
        <v>302</v>
      </c>
      <c r="M1716" s="26" t="s">
        <v>303</v>
      </c>
      <c r="N1716" s="26">
        <v>100</v>
      </c>
      <c r="O1716" s="26">
        <f>2024-Inventory[[#This Row],[YrBlt]]</f>
        <v>94</v>
      </c>
      <c r="P1716" s="26">
        <f>2024-Inventory[[#This Row],[EffYr]]</f>
        <v>54</v>
      </c>
      <c r="Q1716" s="25">
        <v>1930</v>
      </c>
      <c r="R1716" s="25">
        <v>1970</v>
      </c>
      <c r="S1716" s="25">
        <v>1080</v>
      </c>
      <c r="T1716" s="32">
        <v>760</v>
      </c>
      <c r="U1716" s="32">
        <v>1080</v>
      </c>
      <c r="V1716" s="32">
        <f>Inventory[[#This Row],[Bsmt]]-Inventory[[#This Row],[FnBsmt]]</f>
        <v>162</v>
      </c>
      <c r="W1716" s="32">
        <v>918</v>
      </c>
      <c r="X1716" s="27"/>
      <c r="Y1716" s="27">
        <f>Inventory[[#This Row],[MainFn]]+Inventory[[#This Row],[UpprFn]]+Inventory[[#This Row],[FnBsmt]]+Inventory[[#This Row],[AddFn]]</f>
        <v>2758</v>
      </c>
      <c r="Z1716" s="27">
        <v>3000</v>
      </c>
      <c r="AA1716" s="25">
        <v>11</v>
      </c>
      <c r="AB1716" s="27"/>
      <c r="AC1716" s="27"/>
      <c r="AD1716" s="32">
        <v>477</v>
      </c>
      <c r="AE1716" s="27"/>
      <c r="AF1716" s="27"/>
      <c r="AG1716" s="27"/>
      <c r="AH1716" s="27"/>
      <c r="AI1716" s="25">
        <v>457825</v>
      </c>
      <c r="AJ1716" s="25">
        <v>311321</v>
      </c>
      <c r="AK1716" s="25">
        <v>25100</v>
      </c>
      <c r="AL1716" s="25">
        <v>412400</v>
      </c>
      <c r="AM1716" s="25">
        <v>56600</v>
      </c>
      <c r="AN1716" s="25">
        <v>355800</v>
      </c>
      <c r="AO1716" s="25">
        <v>0</v>
      </c>
      <c r="AP1716" s="25">
        <f>Lookups!$B$56*0</f>
        <v>0</v>
      </c>
      <c r="AQ1716" s="25">
        <f>Lookups!$B$56*1</f>
        <v>89850.625589999996</v>
      </c>
      <c r="AR1716" s="25">
        <f>Lookups!$B$57*Inventory[[#This Row],[LnAcres]]</f>
        <v>-52569.808201026557</v>
      </c>
      <c r="AS1716" s="25">
        <f>VLOOKUP(Inventory[[#This Row],[Qlty]],Lookups!$A$62:$E$75,2,FALSE)</f>
        <v>29814.093161000001</v>
      </c>
      <c r="AT1716" s="25">
        <f>VLOOKUP(Inventory[[#This Row],[Cnd]],Lookups!$A$76:$E$84,2,FALSE)</f>
        <v>197752.34721000001</v>
      </c>
      <c r="AU1716" s="25">
        <f>Inventory[[#This Row],[EffAge]]*Lookups!$B$85</f>
        <v>-12044.462427</v>
      </c>
      <c r="AV1716" s="25">
        <f>Inventory[[#This Row],[MainFn]]*Lookups!$B$86</f>
        <v>53361.363467160001</v>
      </c>
      <c r="AW1716" s="25">
        <f>Inventory[[#This Row],[UpprFn]]*Lookups!$B$87</f>
        <v>34037.68137436</v>
      </c>
      <c r="AX1716" s="25">
        <f>Inventory[[#This Row],[AddFn]]*Lookups!$B$88</f>
        <v>0</v>
      </c>
      <c r="AY1716" s="25">
        <f>Inventory[[#This Row],[Bsmt]]*Lookups!$B$89</f>
        <v>31408.446866759998</v>
      </c>
      <c r="AZ1716" s="25">
        <f>Inventory[[#This Row],[Fixtures]]*Lookups!$B$90</f>
        <v>41712.243157199999</v>
      </c>
      <c r="BA1716" s="25">
        <f>Inventory[[#This Row],[WdDeck]]*Lookups!$B$91</f>
        <v>15881.960786652002</v>
      </c>
      <c r="BB1716" s="25">
        <f>ROUND(Inventory[[#This Row],[25Det]],-2)</f>
        <v>25100</v>
      </c>
      <c r="BC1716" s="25">
        <f>ROUND(SUM(Inventory[[#This Row],[Mdl Qlty]:[Mdl WdDeck]])+Inventory[[#This Row],[Mdl Res Intercept]],-2)</f>
        <v>391900</v>
      </c>
      <c r="BD1716" s="25">
        <f>ROUND(Inventory[[#This Row],[Mdl Land Intercept]]+Inventory[[#This Row],[Mdl LnAcres]],-2)</f>
        <v>37300</v>
      </c>
      <c r="BE1716" s="25">
        <f>Inventory[[#This Row],[Unadj Res Value]]+Inventory[[#This Row],[Unadj Det Value]]+Inventory[[#This Row],[Unadj Land Value]]</f>
        <v>454300</v>
      </c>
      <c r="BF1716" s="36">
        <f>(Inventory[[#This Row],[Unadj Total Value]]-Inventory[[#This Row],[24Final]])/Inventory[[#This Row],[24Final]]</f>
        <v>0.1016003879728419</v>
      </c>
      <c r="BG1716" s="25">
        <f>VLOOKUP(Inventory[[#This Row],[Nbhd]],Lookups!$Q$2:$T$4,4,FALSE)</f>
        <v>0.99970000000000003</v>
      </c>
      <c r="BH1716" s="25">
        <f>VLOOKUP(Inventory[[#This Row],[Qlty]],Lookups!$O$7:$R$21,4,FALSE)</f>
        <v>1.0088999999999999</v>
      </c>
      <c r="BI1716" s="25">
        <f>VLOOKUP(Inventory[[#This Row],[Cnd]],Lookups!$T$7:$W$16,4,FALSE)</f>
        <v>0.99650000000000005</v>
      </c>
      <c r="BJ1716" s="25">
        <f>VLOOKUP(Inventory[[#This Row],[LivArea Range]],Lookups!$T$25:$W$37,4,FALSE)</f>
        <v>0.96179999999999999</v>
      </c>
      <c r="BK1716" s="25">
        <f>VLOOKUP(Inventory[[#This Row],[Decade]],Lookups!$O$25:$R$42,4,FALSE)</f>
        <v>1.0074000000000001</v>
      </c>
      <c r="BL1716" s="25">
        <f>Inventory[[#This Row],[Nbhd Adj]]*0.95</f>
        <v>0.94971499999999998</v>
      </c>
      <c r="BM1716" s="25">
        <f>Inventory[[#This Row],[Nbhd Adj]]*Inventory[[#This Row],[Quality Adj]]*Inventory[[#This Row],[Condition Adj]]*Inventory[[#This Row],[Living Area Adj]]*Inventory[[#This Row],[Decade Adj]]*0.95</f>
        <v>0.92513570316765814</v>
      </c>
      <c r="BN1716" s="25">
        <f>ROUND(SUM(Inventory[[#This Row],[Mdl Qlty]:[Mdl WdDeck]])+Inventory[[#This Row],[Mdl Res Intercept]]*Inventory[[#This Row],[Res Adj ]],-2)</f>
        <v>391900</v>
      </c>
      <c r="BO1716" s="25">
        <f>ROUND(Inventory[[#This Row],[25Det]]*Inventory[[#This Row],[Det/Nbhd Adj]],-2)</f>
        <v>23800</v>
      </c>
      <c r="BP1716" s="25">
        <f>Inventory[[#This Row],[Adjusted Res]]+Inventory[[#This Row],[Adj Det ]]</f>
        <v>415700</v>
      </c>
      <c r="BQ1716" s="25">
        <f>ROUND((Inventory[[#This Row],[Mdl Land Intercept]]+Inventory[[#This Row],[Mdl LnAcres]])*Inventory[[#This Row],[Det/Nbhd Adj]],-2)</f>
        <v>35400</v>
      </c>
      <c r="BR1716" s="25">
        <f>Inventory[[#This Row],[Adjusted Impr Total]]+Inventory[[#This Row],[Adjusted Land Total]]</f>
        <v>451100</v>
      </c>
      <c r="BS1716" s="36">
        <f>IFERROR((Inventory[[#This Row],[Adjusted Impr Total]]-Inventory[[#This Row],[24Bldg]])/Inventory[[#This Row],[24Bldg]],0)</f>
        <v>0.1683530073074761</v>
      </c>
      <c r="BT1716" s="36">
        <f>(Inventory[[#This Row],[Adjusted Land Total]]-Inventory[[#This Row],[24Lnd]])/Inventory[[#This Row],[24Lnd]]</f>
        <v>-0.37455830388692579</v>
      </c>
      <c r="BU1716" s="36">
        <f>(Inventory[[#This Row],[Adjusted Total]]-Inventory[[#This Row],[24Final]])/Inventory[[#This Row],[24Final]]</f>
        <v>9.384093113482056E-2</v>
      </c>
    </row>
    <row r="1717" spans="1:73" x14ac:dyDescent="0.3">
      <c r="A1717" s="25">
        <v>2025</v>
      </c>
      <c r="B1717" s="26" t="s">
        <v>936</v>
      </c>
      <c r="C1717" s="26">
        <f>LN(Inventory[[#This Row],[Acres]])</f>
        <v>-1.3093333199837622</v>
      </c>
      <c r="D1717" s="25">
        <v>0.27</v>
      </c>
      <c r="E1717" s="25">
        <v>11651</v>
      </c>
      <c r="F1717" s="26" t="s">
        <v>537</v>
      </c>
      <c r="G1717" s="26" t="s">
        <v>126</v>
      </c>
      <c r="H1717" s="26" t="s">
        <v>349</v>
      </c>
      <c r="I1717" s="26" t="s">
        <v>538</v>
      </c>
      <c r="J1717" s="26" t="s">
        <v>539</v>
      </c>
      <c r="K1717" s="26" t="s">
        <v>173</v>
      </c>
      <c r="L1717" s="26" t="s">
        <v>351</v>
      </c>
      <c r="M1717" s="26" t="s">
        <v>303</v>
      </c>
      <c r="N1717" s="26">
        <v>100</v>
      </c>
      <c r="O1717" s="26">
        <f>2024-Inventory[[#This Row],[YrBlt]]</f>
        <v>94</v>
      </c>
      <c r="P1717" s="26">
        <f>2024-Inventory[[#This Row],[EffYr]]</f>
        <v>54</v>
      </c>
      <c r="Q1717" s="25">
        <v>1930</v>
      </c>
      <c r="R1717" s="25">
        <v>1970</v>
      </c>
      <c r="S1717" s="25">
        <v>1040</v>
      </c>
      <c r="T1717" s="32">
        <v>728</v>
      </c>
      <c r="U1717" s="32">
        <v>192</v>
      </c>
      <c r="V1717" s="32">
        <f>Inventory[[#This Row],[Bsmt]]-Inventory[[#This Row],[FnBsmt]]</f>
        <v>192</v>
      </c>
      <c r="W1717" s="27"/>
      <c r="X1717" s="27"/>
      <c r="Y1717" s="27">
        <f>Inventory[[#This Row],[MainFn]]+Inventory[[#This Row],[UpprFn]]+Inventory[[#This Row],[FnBsmt]]+Inventory[[#This Row],[AddFn]]</f>
        <v>1768</v>
      </c>
      <c r="Z1717" s="27">
        <v>2000</v>
      </c>
      <c r="AA1717" s="25">
        <v>8</v>
      </c>
      <c r="AB1717" s="31"/>
      <c r="AC1717" s="27"/>
      <c r="AD1717" s="32">
        <v>144</v>
      </c>
      <c r="AE1717" s="27"/>
      <c r="AF1717" s="27"/>
      <c r="AG1717" s="27"/>
      <c r="AH1717" s="27"/>
      <c r="AI1717" s="25">
        <v>286361</v>
      </c>
      <c r="AJ1717" s="25">
        <v>194725</v>
      </c>
      <c r="AK1717" s="25">
        <v>8760</v>
      </c>
      <c r="AL1717" s="25">
        <v>353200</v>
      </c>
      <c r="AM1717" s="25">
        <v>68900</v>
      </c>
      <c r="AN1717" s="25">
        <v>284300</v>
      </c>
      <c r="AO1717" s="25">
        <v>0</v>
      </c>
      <c r="AP1717" s="25">
        <f>Lookups!$B$56*0</f>
        <v>0</v>
      </c>
      <c r="AQ1717" s="25">
        <f>Lookups!$B$56*1</f>
        <v>89850.625589999996</v>
      </c>
      <c r="AR1717" s="25">
        <f>Lookups!$B$57*Inventory[[#This Row],[LnAcres]]</f>
        <v>-41446.443120973789</v>
      </c>
      <c r="AS1717" s="25">
        <f>VLOOKUP(Inventory[[#This Row],[Qlty]],Lookups!$A$62:$E$75,2,FALSE)</f>
        <v>21557.329055999999</v>
      </c>
      <c r="AT1717" s="25">
        <f>VLOOKUP(Inventory[[#This Row],[Cnd]],Lookups!$A$76:$E$84,2,FALSE)</f>
        <v>197752.34721000001</v>
      </c>
      <c r="AU1717" s="25">
        <f>Inventory[[#This Row],[EffAge]]*Lookups!$B$85</f>
        <v>-12044.462427</v>
      </c>
      <c r="AV1717" s="25">
        <f>Inventory[[#This Row],[MainFn]]*Lookups!$B$86</f>
        <v>51385.016672080004</v>
      </c>
      <c r="AW1717" s="25">
        <f>Inventory[[#This Row],[UpprFn]]*Lookups!$B$87</f>
        <v>32604.515842807999</v>
      </c>
      <c r="AX1717" s="25">
        <f>Inventory[[#This Row],[AddFn]]*Lookups!$B$88</f>
        <v>0</v>
      </c>
      <c r="AY1717" s="25">
        <f>Inventory[[#This Row],[Bsmt]]*Lookups!$B$89</f>
        <v>5583.7238874239993</v>
      </c>
      <c r="AZ1717" s="25">
        <f>Inventory[[#This Row],[Fixtures]]*Lookups!$B$90</f>
        <v>30336.176841600001</v>
      </c>
      <c r="BA1717" s="25">
        <f>Inventory[[#This Row],[WdDeck]]*Lookups!$B$91</f>
        <v>4794.5541997440005</v>
      </c>
      <c r="BB1717" s="25">
        <f>ROUND(Inventory[[#This Row],[25Det]],-2)</f>
        <v>8800</v>
      </c>
      <c r="BC1717" s="25">
        <f>ROUND(SUM(Inventory[[#This Row],[Mdl Qlty]:[Mdl WdDeck]])+Inventory[[#This Row],[Mdl Res Intercept]],-2)</f>
        <v>332000</v>
      </c>
      <c r="BD1717" s="25">
        <f>ROUND(Inventory[[#This Row],[Mdl Land Intercept]]+Inventory[[#This Row],[Mdl LnAcres]],-2)</f>
        <v>48400</v>
      </c>
      <c r="BE1717" s="25">
        <f>Inventory[[#This Row],[Unadj Res Value]]+Inventory[[#This Row],[Unadj Det Value]]+Inventory[[#This Row],[Unadj Land Value]]</f>
        <v>389200</v>
      </c>
      <c r="BF1717" s="36">
        <f>(Inventory[[#This Row],[Unadj Total Value]]-Inventory[[#This Row],[24Final]])/Inventory[[#This Row],[24Final]]</f>
        <v>0.10192525481313704</v>
      </c>
      <c r="BG1717" s="25">
        <f>VLOOKUP(Inventory[[#This Row],[Nbhd]],Lookups!$Q$2:$T$4,4,FALSE)</f>
        <v>0.99970000000000003</v>
      </c>
      <c r="BH1717" s="25">
        <f>VLOOKUP(Inventory[[#This Row],[Qlty]],Lookups!$O$7:$R$21,4,FALSE)</f>
        <v>1.0067999999999999</v>
      </c>
      <c r="BI1717" s="25">
        <f>VLOOKUP(Inventory[[#This Row],[Cnd]],Lookups!$T$7:$W$16,4,FALSE)</f>
        <v>0.99650000000000005</v>
      </c>
      <c r="BJ1717" s="25">
        <f>VLOOKUP(Inventory[[#This Row],[LivArea Range]],Lookups!$T$25:$W$37,4,FALSE)</f>
        <v>1.0093000000000001</v>
      </c>
      <c r="BK1717" s="25">
        <f>VLOOKUP(Inventory[[#This Row],[Decade]],Lookups!$O$25:$R$42,4,FALSE)</f>
        <v>1.0074000000000001</v>
      </c>
      <c r="BL1717" s="25">
        <f>Inventory[[#This Row],[Nbhd Adj]]*0.95</f>
        <v>0.94971499999999998</v>
      </c>
      <c r="BM1717" s="25">
        <f>Inventory[[#This Row],[Nbhd Adj]]*Inventory[[#This Row],[Quality Adj]]*Inventory[[#This Row],[Condition Adj]]*Inventory[[#This Row],[Living Area Adj]]*Inventory[[#This Row],[Decade Adj]]*0.95</f>
        <v>0.96880423161964746</v>
      </c>
      <c r="BN1717" s="25">
        <f>ROUND(SUM(Inventory[[#This Row],[Mdl Qlty]:[Mdl WdDeck]])+Inventory[[#This Row],[Mdl Res Intercept]]*Inventory[[#This Row],[Res Adj ]],-2)</f>
        <v>332000</v>
      </c>
      <c r="BO1717" s="25">
        <f>ROUND(Inventory[[#This Row],[25Det]]*Inventory[[#This Row],[Det/Nbhd Adj]],-2)</f>
        <v>8300</v>
      </c>
      <c r="BP1717" s="25">
        <f>Inventory[[#This Row],[Adjusted Res]]+Inventory[[#This Row],[Adj Det ]]</f>
        <v>340300</v>
      </c>
      <c r="BQ1717" s="25">
        <f>ROUND((Inventory[[#This Row],[Mdl Land Intercept]]+Inventory[[#This Row],[Mdl LnAcres]])*Inventory[[#This Row],[Det/Nbhd Adj]],-2)</f>
        <v>46000</v>
      </c>
      <c r="BR1717" s="25">
        <f>Inventory[[#This Row],[Adjusted Impr Total]]+Inventory[[#This Row],[Adjusted Land Total]]</f>
        <v>386300</v>
      </c>
      <c r="BS1717" s="36">
        <f>IFERROR((Inventory[[#This Row],[Adjusted Impr Total]]-Inventory[[#This Row],[24Bldg]])/Inventory[[#This Row],[24Bldg]],0)</f>
        <v>0.1969750263805839</v>
      </c>
      <c r="BT1717" s="36">
        <f>(Inventory[[#This Row],[Adjusted Land Total]]-Inventory[[#This Row],[24Lnd]])/Inventory[[#This Row],[24Lnd]]</f>
        <v>-0.33236574746008707</v>
      </c>
      <c r="BU1717" s="36">
        <f>(Inventory[[#This Row],[Adjusted Total]]-Inventory[[#This Row],[24Final]])/Inventory[[#This Row],[24Final]]</f>
        <v>9.3714609286523212E-2</v>
      </c>
    </row>
    <row r="1718" spans="1:73" x14ac:dyDescent="0.3">
      <c r="A1718" s="25">
        <v>2025</v>
      </c>
      <c r="B1718" s="26" t="s">
        <v>911</v>
      </c>
      <c r="C1718" s="26">
        <f>LN(Inventory[[#This Row],[Acres]])</f>
        <v>-1.5606477482646683</v>
      </c>
      <c r="D1718" s="25">
        <v>0.21</v>
      </c>
      <c r="E1718" s="25">
        <v>9225</v>
      </c>
      <c r="F1718" s="26" t="s">
        <v>537</v>
      </c>
      <c r="G1718" s="26" t="s">
        <v>126</v>
      </c>
      <c r="H1718" s="26" t="s">
        <v>349</v>
      </c>
      <c r="I1718" s="26" t="s">
        <v>538</v>
      </c>
      <c r="J1718" s="26" t="s">
        <v>539</v>
      </c>
      <c r="K1718" s="26" t="s">
        <v>242</v>
      </c>
      <c r="L1718" s="26" t="s">
        <v>351</v>
      </c>
      <c r="M1718" s="26" t="s">
        <v>303</v>
      </c>
      <c r="N1718" s="26">
        <v>100</v>
      </c>
      <c r="O1718" s="26">
        <f>2024-Inventory[[#This Row],[YrBlt]]</f>
        <v>94</v>
      </c>
      <c r="P1718" s="26">
        <f>2024-Inventory[[#This Row],[EffYr]]</f>
        <v>54</v>
      </c>
      <c r="Q1718" s="25">
        <v>1930</v>
      </c>
      <c r="R1718" s="25">
        <v>1970</v>
      </c>
      <c r="S1718" s="25">
        <v>1484</v>
      </c>
      <c r="T1718" s="27"/>
      <c r="U1718" s="32">
        <v>1432</v>
      </c>
      <c r="V1718" s="32">
        <f>Inventory[[#This Row],[Bsmt]]-Inventory[[#This Row],[FnBsmt]]</f>
        <v>1432</v>
      </c>
      <c r="W1718" s="32">
        <v>0</v>
      </c>
      <c r="X1718" s="27"/>
      <c r="Y1718" s="27">
        <f>Inventory[[#This Row],[MainFn]]+Inventory[[#This Row],[UpprFn]]+Inventory[[#This Row],[FnBsmt]]+Inventory[[#This Row],[AddFn]]</f>
        <v>1484</v>
      </c>
      <c r="Z1718" s="27">
        <v>1500</v>
      </c>
      <c r="AA1718" s="25">
        <v>8</v>
      </c>
      <c r="AB1718" s="27"/>
      <c r="AC1718" s="27"/>
      <c r="AD1718" s="27"/>
      <c r="AE1718" s="27"/>
      <c r="AF1718" s="27"/>
      <c r="AG1718" s="27"/>
      <c r="AH1718" s="27"/>
      <c r="AI1718" s="25">
        <v>347013</v>
      </c>
      <c r="AJ1718" s="25">
        <v>235969</v>
      </c>
      <c r="AK1718" s="25">
        <v>3318</v>
      </c>
      <c r="AL1718" s="25">
        <v>360500</v>
      </c>
      <c r="AM1718" s="25">
        <v>60100</v>
      </c>
      <c r="AN1718" s="25">
        <v>300400</v>
      </c>
      <c r="AO1718" s="25">
        <v>0</v>
      </c>
      <c r="AP1718" s="25">
        <f>Lookups!$B$56*0</f>
        <v>0</v>
      </c>
      <c r="AQ1718" s="25">
        <f>Lookups!$B$56*1</f>
        <v>89850.625589999996</v>
      </c>
      <c r="AR1718" s="25">
        <f>Lookups!$B$57*Inventory[[#This Row],[LnAcres]]</f>
        <v>-49401.70477837498</v>
      </c>
      <c r="AS1718" s="25">
        <f>VLOOKUP(Inventory[[#This Row],[Qlty]],Lookups!$A$62:$E$75,2,FALSE)</f>
        <v>21557.329055999999</v>
      </c>
      <c r="AT1718" s="25">
        <f>VLOOKUP(Inventory[[#This Row],[Cnd]],Lookups!$A$76:$E$84,2,FALSE)</f>
        <v>197752.34721000001</v>
      </c>
      <c r="AU1718" s="25">
        <f>Inventory[[#This Row],[EffAge]]*Lookups!$B$85</f>
        <v>-12044.462427</v>
      </c>
      <c r="AV1718" s="25">
        <f>Inventory[[#This Row],[MainFn]]*Lookups!$B$86</f>
        <v>73322.466097468001</v>
      </c>
      <c r="AW1718" s="25">
        <f>Inventory[[#This Row],[UpprFn]]*Lookups!$B$87</f>
        <v>0</v>
      </c>
      <c r="AX1718" s="25">
        <f>Inventory[[#This Row],[AddFn]]*Lookups!$B$88</f>
        <v>0</v>
      </c>
      <c r="AY1718" s="25">
        <f>Inventory[[#This Row],[Bsmt]]*Lookups!$B$89</f>
        <v>41645.273993703995</v>
      </c>
      <c r="AZ1718" s="25">
        <f>Inventory[[#This Row],[Fixtures]]*Lookups!$B$90</f>
        <v>30336.176841600001</v>
      </c>
      <c r="BA1718" s="25">
        <f>Inventory[[#This Row],[WdDeck]]*Lookups!$B$91</f>
        <v>0</v>
      </c>
      <c r="BB1718" s="25">
        <f>ROUND(Inventory[[#This Row],[25Det]],-2)</f>
        <v>3300</v>
      </c>
      <c r="BC1718" s="25">
        <f>ROUND(SUM(Inventory[[#This Row],[Mdl Qlty]:[Mdl WdDeck]])+Inventory[[#This Row],[Mdl Res Intercept]],-2)</f>
        <v>352600</v>
      </c>
      <c r="BD1718" s="25">
        <f>ROUND(Inventory[[#This Row],[Mdl Land Intercept]]+Inventory[[#This Row],[Mdl LnAcres]],-2)</f>
        <v>40400</v>
      </c>
      <c r="BE1718" s="25">
        <f>Inventory[[#This Row],[Unadj Res Value]]+Inventory[[#This Row],[Unadj Det Value]]+Inventory[[#This Row],[Unadj Land Value]]</f>
        <v>396300</v>
      </c>
      <c r="BF1718" s="36">
        <f>(Inventory[[#This Row],[Unadj Total Value]]-Inventory[[#This Row],[24Final]])/Inventory[[#This Row],[24Final]]</f>
        <v>9.9306518723994458E-2</v>
      </c>
      <c r="BG1718" s="25">
        <f>VLOOKUP(Inventory[[#This Row],[Nbhd]],Lookups!$Q$2:$T$4,4,FALSE)</f>
        <v>0.99970000000000003</v>
      </c>
      <c r="BH1718" s="25">
        <f>VLOOKUP(Inventory[[#This Row],[Qlty]],Lookups!$O$7:$R$21,4,FALSE)</f>
        <v>1.0067999999999999</v>
      </c>
      <c r="BI1718" s="25">
        <f>VLOOKUP(Inventory[[#This Row],[Cnd]],Lookups!$T$7:$W$16,4,FALSE)</f>
        <v>0.99650000000000005</v>
      </c>
      <c r="BJ1718" s="25">
        <f>VLOOKUP(Inventory[[#This Row],[LivArea Range]],Lookups!$T$25:$W$37,4,FALSE)</f>
        <v>1.0157</v>
      </c>
      <c r="BK1718" s="25">
        <f>VLOOKUP(Inventory[[#This Row],[Decade]],Lookups!$O$25:$R$42,4,FALSE)</f>
        <v>1.0074000000000001</v>
      </c>
      <c r="BL1718" s="25">
        <f>Inventory[[#This Row],[Nbhd Adj]]*0.95</f>
        <v>0.94971499999999998</v>
      </c>
      <c r="BM1718" s="25">
        <f>Inventory[[#This Row],[Nbhd Adj]]*Inventory[[#This Row],[Quality Adj]]*Inventory[[#This Row],[Condition Adj]]*Inventory[[#This Row],[Living Area Adj]]*Inventory[[#This Row],[Decade Adj]]*0.95</f>
        <v>0.97494744680082823</v>
      </c>
      <c r="BN1718" s="25">
        <f>ROUND(SUM(Inventory[[#This Row],[Mdl Qlty]:[Mdl WdDeck]])+Inventory[[#This Row],[Mdl Res Intercept]]*Inventory[[#This Row],[Res Adj ]],-2)</f>
        <v>352600</v>
      </c>
      <c r="BO1718" s="25">
        <f>ROUND(Inventory[[#This Row],[25Det]]*Inventory[[#This Row],[Det/Nbhd Adj]],-2)</f>
        <v>3200</v>
      </c>
      <c r="BP1718" s="25">
        <f>Inventory[[#This Row],[Adjusted Res]]+Inventory[[#This Row],[Adj Det ]]</f>
        <v>355800</v>
      </c>
      <c r="BQ1718" s="25">
        <f>ROUND((Inventory[[#This Row],[Mdl Land Intercept]]+Inventory[[#This Row],[Mdl LnAcres]])*Inventory[[#This Row],[Det/Nbhd Adj]],-2)</f>
        <v>38400</v>
      </c>
      <c r="BR1718" s="25">
        <f>Inventory[[#This Row],[Adjusted Impr Total]]+Inventory[[#This Row],[Adjusted Land Total]]</f>
        <v>394200</v>
      </c>
      <c r="BS1718" s="36">
        <f>IFERROR((Inventory[[#This Row],[Adjusted Impr Total]]-Inventory[[#This Row],[24Bldg]])/Inventory[[#This Row],[24Bldg]],0)</f>
        <v>0.18442077230359522</v>
      </c>
      <c r="BT1718" s="36">
        <f>(Inventory[[#This Row],[Adjusted Land Total]]-Inventory[[#This Row],[24Lnd]])/Inventory[[#This Row],[24Lnd]]</f>
        <v>-0.36106489184692181</v>
      </c>
      <c r="BU1718" s="36">
        <f>(Inventory[[#This Row],[Adjusted Total]]-Inventory[[#This Row],[24Final]])/Inventory[[#This Row],[24Final]]</f>
        <v>9.3481276005547856E-2</v>
      </c>
    </row>
    <row r="1719" spans="1:73" x14ac:dyDescent="0.3">
      <c r="A1719" s="25">
        <v>2025</v>
      </c>
      <c r="B1719" s="26" t="s">
        <v>1148</v>
      </c>
      <c r="C1719" s="26">
        <f>LN(Inventory[[#This Row],[Acres]])</f>
        <v>-1.8971199848858813</v>
      </c>
      <c r="D1719" s="25">
        <v>0.15</v>
      </c>
      <c r="E1719" s="31"/>
      <c r="F1719" s="26" t="s">
        <v>537</v>
      </c>
      <c r="G1719" s="26" t="s">
        <v>126</v>
      </c>
      <c r="H1719" s="26" t="s">
        <v>349</v>
      </c>
      <c r="I1719" s="26" t="s">
        <v>538</v>
      </c>
      <c r="J1719" s="26" t="s">
        <v>539</v>
      </c>
      <c r="K1719" s="26" t="s">
        <v>269</v>
      </c>
      <c r="L1719" s="26" t="s">
        <v>351</v>
      </c>
      <c r="M1719" s="26" t="s">
        <v>303</v>
      </c>
      <c r="N1719" s="26">
        <v>100</v>
      </c>
      <c r="O1719" s="26">
        <f>2024-Inventory[[#This Row],[YrBlt]]</f>
        <v>94</v>
      </c>
      <c r="P1719" s="26">
        <f>2024-Inventory[[#This Row],[EffYr]]</f>
        <v>54</v>
      </c>
      <c r="Q1719" s="25">
        <v>1930</v>
      </c>
      <c r="R1719" s="25">
        <v>1970</v>
      </c>
      <c r="S1719" s="25">
        <v>1395</v>
      </c>
      <c r="T1719" s="32">
        <v>800</v>
      </c>
      <c r="U1719" s="25">
        <v>1008</v>
      </c>
      <c r="V1719" s="25">
        <f>Inventory[[#This Row],[Bsmt]]-Inventory[[#This Row],[FnBsmt]]</f>
        <v>0</v>
      </c>
      <c r="W1719" s="25">
        <v>1008</v>
      </c>
      <c r="X1719" s="27"/>
      <c r="Y1719" s="27">
        <f>Inventory[[#This Row],[MainFn]]+Inventory[[#This Row],[UpprFn]]+Inventory[[#This Row],[FnBsmt]]+Inventory[[#This Row],[AddFn]]</f>
        <v>3203</v>
      </c>
      <c r="Z1719" s="27">
        <v>3500</v>
      </c>
      <c r="AA1719" s="25">
        <v>11</v>
      </c>
      <c r="AB1719" s="27"/>
      <c r="AC1719" s="27"/>
      <c r="AD1719" s="25">
        <v>491</v>
      </c>
      <c r="AE1719" s="27"/>
      <c r="AF1719" s="27"/>
      <c r="AG1719" s="27"/>
      <c r="AH1719" s="27"/>
      <c r="AI1719" s="25">
        <v>403165</v>
      </c>
      <c r="AJ1719" s="25">
        <v>274152</v>
      </c>
      <c r="AK1719" s="25">
        <v>60017</v>
      </c>
      <c r="AL1719" s="25">
        <v>443700</v>
      </c>
      <c r="AM1719" s="25">
        <v>48400</v>
      </c>
      <c r="AN1719" s="25">
        <v>395300</v>
      </c>
      <c r="AO1719" s="25">
        <v>0</v>
      </c>
      <c r="AP1719" s="25">
        <f>Lookups!$B$56*0</f>
        <v>0</v>
      </c>
      <c r="AQ1719" s="25">
        <f>Lookups!$B$56*1</f>
        <v>89850.625589999996</v>
      </c>
      <c r="AR1719" s="25">
        <f>Lookups!$B$57*Inventory[[#This Row],[LnAcres]]</f>
        <v>-60052.604136134301</v>
      </c>
      <c r="AS1719" s="25">
        <f>VLOOKUP(Inventory[[#This Row],[Qlty]],Lookups!$A$62:$E$75,2,FALSE)</f>
        <v>21557.329055999999</v>
      </c>
      <c r="AT1719" s="25">
        <f>VLOOKUP(Inventory[[#This Row],[Cnd]],Lookups!$A$76:$E$84,2,FALSE)</f>
        <v>197752.34721000001</v>
      </c>
      <c r="AU1719" s="25">
        <f>Inventory[[#This Row],[EffAge]]*Lookups!$B$85</f>
        <v>-12044.462427</v>
      </c>
      <c r="AV1719" s="25">
        <f>Inventory[[#This Row],[MainFn]]*Lookups!$B$86</f>
        <v>68925.094478415005</v>
      </c>
      <c r="AW1719" s="25">
        <f>Inventory[[#This Row],[UpprFn]]*Lookups!$B$87</f>
        <v>35829.138288800001</v>
      </c>
      <c r="AX1719" s="25">
        <f>Inventory[[#This Row],[AddFn]]*Lookups!$B$88</f>
        <v>0</v>
      </c>
      <c r="AY1719" s="25">
        <f>Inventory[[#This Row],[Bsmt]]*Lookups!$B$89</f>
        <v>29314.550408976</v>
      </c>
      <c r="AZ1719" s="25">
        <f>Inventory[[#This Row],[Fixtures]]*Lookups!$B$90</f>
        <v>41712.243157199999</v>
      </c>
      <c r="BA1719" s="25">
        <f>Inventory[[#This Row],[WdDeck]]*Lookups!$B$91</f>
        <v>16348.098000516002</v>
      </c>
      <c r="BB1719" s="25">
        <f>ROUND(Inventory[[#This Row],[25Det]],-2)</f>
        <v>60000</v>
      </c>
      <c r="BC1719" s="25">
        <f>ROUND(SUM(Inventory[[#This Row],[Mdl Qlty]:[Mdl WdDeck]])+Inventory[[#This Row],[Mdl Res Intercept]],-2)</f>
        <v>399400</v>
      </c>
      <c r="BD1719" s="25">
        <f>ROUND(Inventory[[#This Row],[Mdl Land Intercept]]+Inventory[[#This Row],[Mdl LnAcres]],-2)</f>
        <v>29800</v>
      </c>
      <c r="BE1719" s="25">
        <f>Inventory[[#This Row],[Unadj Res Value]]+Inventory[[#This Row],[Unadj Det Value]]+Inventory[[#This Row],[Unadj Land Value]]</f>
        <v>489200</v>
      </c>
      <c r="BF1719" s="36">
        <f>(Inventory[[#This Row],[Unadj Total Value]]-Inventory[[#This Row],[24Final]])/Inventory[[#This Row],[24Final]]</f>
        <v>0.10254676583276989</v>
      </c>
      <c r="BG1719" s="25">
        <f>VLOOKUP(Inventory[[#This Row],[Nbhd]],Lookups!$Q$2:$T$4,4,FALSE)</f>
        <v>0.99970000000000003</v>
      </c>
      <c r="BH1719" s="25">
        <f>VLOOKUP(Inventory[[#This Row],[Qlty]],Lookups!$O$7:$R$21,4,FALSE)</f>
        <v>1.0067999999999999</v>
      </c>
      <c r="BI1719" s="25">
        <f>VLOOKUP(Inventory[[#This Row],[Cnd]],Lookups!$T$7:$W$16,4,FALSE)</f>
        <v>0.99650000000000005</v>
      </c>
      <c r="BJ1719" s="25">
        <f>VLOOKUP(Inventory[[#This Row],[LivArea Range]],Lookups!$T$25:$W$37,4,FALSE)</f>
        <v>1.0126999999999999</v>
      </c>
      <c r="BK1719" s="25">
        <f>VLOOKUP(Inventory[[#This Row],[Decade]],Lookups!$O$25:$R$42,4,FALSE)</f>
        <v>1.0074000000000001</v>
      </c>
      <c r="BL1719" s="25">
        <f>Inventory[[#This Row],[Nbhd Adj]]*0.95</f>
        <v>0.94971499999999998</v>
      </c>
      <c r="BM1719" s="25">
        <f>Inventory[[#This Row],[Nbhd Adj]]*Inventory[[#This Row],[Quality Adj]]*Inventory[[#This Row],[Condition Adj]]*Inventory[[#This Row],[Living Area Adj]]*Inventory[[#This Row],[Decade Adj]]*0.95</f>
        <v>0.97206781468464976</v>
      </c>
      <c r="BN1719" s="25">
        <f>ROUND(SUM(Inventory[[#This Row],[Mdl Qlty]:[Mdl WdDeck]])+Inventory[[#This Row],[Mdl Res Intercept]]*Inventory[[#This Row],[Res Adj ]],-2)</f>
        <v>399400</v>
      </c>
      <c r="BO1719" s="25">
        <f>ROUND(Inventory[[#This Row],[25Det]]*Inventory[[#This Row],[Det/Nbhd Adj]],-2)</f>
        <v>57000</v>
      </c>
      <c r="BP1719" s="25">
        <f>Inventory[[#This Row],[Adjusted Res]]+Inventory[[#This Row],[Adj Det ]]</f>
        <v>456400</v>
      </c>
      <c r="BQ1719" s="25">
        <f>ROUND((Inventory[[#This Row],[Mdl Land Intercept]]+Inventory[[#This Row],[Mdl LnAcres]])*Inventory[[#This Row],[Det/Nbhd Adj]],-2)</f>
        <v>28300</v>
      </c>
      <c r="BR1719" s="25">
        <f>Inventory[[#This Row],[Adjusted Impr Total]]+Inventory[[#This Row],[Adjusted Land Total]]</f>
        <v>484700</v>
      </c>
      <c r="BS1719" s="36">
        <f>IFERROR((Inventory[[#This Row],[Adjusted Impr Total]]-Inventory[[#This Row],[24Bldg]])/Inventory[[#This Row],[24Bldg]],0)</f>
        <v>0.15456615228940046</v>
      </c>
      <c r="BT1719" s="36">
        <f>(Inventory[[#This Row],[Adjusted Land Total]]-Inventory[[#This Row],[24Lnd]])/Inventory[[#This Row],[24Lnd]]</f>
        <v>-0.41528925619834711</v>
      </c>
      <c r="BU1719" s="36">
        <f>(Inventory[[#This Row],[Adjusted Total]]-Inventory[[#This Row],[24Final]])/Inventory[[#This Row],[24Final]]</f>
        <v>9.2404778003155288E-2</v>
      </c>
    </row>
    <row r="1720" spans="1:73" x14ac:dyDescent="0.3">
      <c r="A1720" s="25">
        <v>2025</v>
      </c>
      <c r="B1720" s="26" t="s">
        <v>2428</v>
      </c>
      <c r="C1720" s="26">
        <f>LN(Inventory[[#This Row],[Acres]])</f>
        <v>-1.8971199848858813</v>
      </c>
      <c r="D1720" s="25">
        <v>0.15</v>
      </c>
      <c r="E1720" s="31"/>
      <c r="F1720" s="26" t="s">
        <v>537</v>
      </c>
      <c r="G1720" s="26" t="s">
        <v>126</v>
      </c>
      <c r="H1720" s="26" t="s">
        <v>349</v>
      </c>
      <c r="I1720" s="26" t="s">
        <v>538</v>
      </c>
      <c r="J1720" s="26" t="s">
        <v>539</v>
      </c>
      <c r="K1720" s="26" t="s">
        <v>269</v>
      </c>
      <c r="L1720" s="26" t="s">
        <v>351</v>
      </c>
      <c r="M1720" s="26" t="s">
        <v>303</v>
      </c>
      <c r="N1720" s="26">
        <v>100</v>
      </c>
      <c r="O1720" s="26">
        <f>2024-Inventory[[#This Row],[YrBlt]]</f>
        <v>94</v>
      </c>
      <c r="P1720" s="26">
        <f>2024-Inventory[[#This Row],[EffYr]]</f>
        <v>54</v>
      </c>
      <c r="Q1720" s="25">
        <v>1930</v>
      </c>
      <c r="R1720" s="25">
        <v>1970</v>
      </c>
      <c r="S1720" s="25">
        <v>1378</v>
      </c>
      <c r="T1720" s="31"/>
      <c r="U1720" s="25">
        <v>532</v>
      </c>
      <c r="V1720" s="25">
        <f>Inventory[[#This Row],[Bsmt]]-Inventory[[#This Row],[FnBsmt]]</f>
        <v>532</v>
      </c>
      <c r="W1720" s="31"/>
      <c r="X1720" s="27"/>
      <c r="Y1720" s="27">
        <f>Inventory[[#This Row],[MainFn]]+Inventory[[#This Row],[UpprFn]]+Inventory[[#This Row],[FnBsmt]]+Inventory[[#This Row],[AddFn]]</f>
        <v>1378</v>
      </c>
      <c r="Z1720" s="27">
        <v>1500</v>
      </c>
      <c r="AA1720" s="25">
        <v>8</v>
      </c>
      <c r="AB1720" s="31"/>
      <c r="AC1720" s="27"/>
      <c r="AD1720" s="27"/>
      <c r="AE1720" s="27"/>
      <c r="AF1720" s="27"/>
      <c r="AG1720" s="27"/>
      <c r="AH1720" s="27"/>
      <c r="AI1720" s="25">
        <v>256514</v>
      </c>
      <c r="AJ1720" s="25">
        <v>174430</v>
      </c>
      <c r="AK1720" s="25">
        <v>12719</v>
      </c>
      <c r="AL1720" s="25">
        <v>331200</v>
      </c>
      <c r="AM1720" s="25">
        <v>48400</v>
      </c>
      <c r="AN1720" s="25">
        <v>282800</v>
      </c>
      <c r="AO1720" s="25">
        <v>0</v>
      </c>
      <c r="AP1720" s="25">
        <f>Lookups!$B$56*0</f>
        <v>0</v>
      </c>
      <c r="AQ1720" s="25">
        <f>Lookups!$B$56*1</f>
        <v>89850.625589999996</v>
      </c>
      <c r="AR1720" s="25">
        <f>Lookups!$B$57*Inventory[[#This Row],[LnAcres]]</f>
        <v>-60052.604136134301</v>
      </c>
      <c r="AS1720" s="25">
        <f>VLOOKUP(Inventory[[#This Row],[Qlty]],Lookups!$A$62:$E$75,2,FALSE)</f>
        <v>21557.329055999999</v>
      </c>
      <c r="AT1720" s="25">
        <f>VLOOKUP(Inventory[[#This Row],[Cnd]],Lookups!$A$76:$E$84,2,FALSE)</f>
        <v>197752.34721000001</v>
      </c>
      <c r="AU1720" s="25">
        <f>Inventory[[#This Row],[EffAge]]*Lookups!$B$85</f>
        <v>-12044.462427</v>
      </c>
      <c r="AV1720" s="25">
        <f>Inventory[[#This Row],[MainFn]]*Lookups!$B$86</f>
        <v>68085.147090505998</v>
      </c>
      <c r="AW1720" s="25">
        <f>Inventory[[#This Row],[UpprFn]]*Lookups!$B$87</f>
        <v>0</v>
      </c>
      <c r="AX1720" s="25">
        <f>Inventory[[#This Row],[AddFn]]*Lookups!$B$88</f>
        <v>0</v>
      </c>
      <c r="AY1720" s="25">
        <f>Inventory[[#This Row],[Bsmt]]*Lookups!$B$89</f>
        <v>15471.568271403999</v>
      </c>
      <c r="AZ1720" s="25">
        <f>Inventory[[#This Row],[Fixtures]]*Lookups!$B$90</f>
        <v>30336.176841600001</v>
      </c>
      <c r="BA1720" s="25">
        <f>Inventory[[#This Row],[WdDeck]]*Lookups!$B$91</f>
        <v>0</v>
      </c>
      <c r="BB1720" s="25">
        <f>ROUND(Inventory[[#This Row],[25Det]],-2)</f>
        <v>12700</v>
      </c>
      <c r="BC1720" s="25">
        <f>ROUND(SUM(Inventory[[#This Row],[Mdl Qlty]:[Mdl WdDeck]])+Inventory[[#This Row],[Mdl Res Intercept]],-2)</f>
        <v>321200</v>
      </c>
      <c r="BD1720" s="25">
        <f>ROUND(Inventory[[#This Row],[Mdl Land Intercept]]+Inventory[[#This Row],[Mdl LnAcres]],-2)</f>
        <v>29800</v>
      </c>
      <c r="BE1720" s="25">
        <f>Inventory[[#This Row],[Unadj Res Value]]+Inventory[[#This Row],[Unadj Det Value]]+Inventory[[#This Row],[Unadj Land Value]]</f>
        <v>363700</v>
      </c>
      <c r="BF1720" s="36">
        <f>(Inventory[[#This Row],[Unadj Total Value]]-Inventory[[#This Row],[24Final]])/Inventory[[#This Row],[24Final]]</f>
        <v>9.8128019323671503E-2</v>
      </c>
      <c r="BG1720" s="25">
        <f>VLOOKUP(Inventory[[#This Row],[Nbhd]],Lookups!$Q$2:$T$4,4,FALSE)</f>
        <v>0.99970000000000003</v>
      </c>
      <c r="BH1720" s="25">
        <f>VLOOKUP(Inventory[[#This Row],[Qlty]],Lookups!$O$7:$R$21,4,FALSE)</f>
        <v>1.0067999999999999</v>
      </c>
      <c r="BI1720" s="25">
        <f>VLOOKUP(Inventory[[#This Row],[Cnd]],Lookups!$T$7:$W$16,4,FALSE)</f>
        <v>0.99650000000000005</v>
      </c>
      <c r="BJ1720" s="25">
        <f>VLOOKUP(Inventory[[#This Row],[LivArea Range]],Lookups!$T$25:$W$37,4,FALSE)</f>
        <v>1.0157</v>
      </c>
      <c r="BK1720" s="25">
        <f>VLOOKUP(Inventory[[#This Row],[Decade]],Lookups!$O$25:$R$42,4,FALSE)</f>
        <v>1.0074000000000001</v>
      </c>
      <c r="BL1720" s="25">
        <f>Inventory[[#This Row],[Nbhd Adj]]*0.95</f>
        <v>0.94971499999999998</v>
      </c>
      <c r="BM1720" s="25">
        <f>Inventory[[#This Row],[Nbhd Adj]]*Inventory[[#This Row],[Quality Adj]]*Inventory[[#This Row],[Condition Adj]]*Inventory[[#This Row],[Living Area Adj]]*Inventory[[#This Row],[Decade Adj]]*0.95</f>
        <v>0.97494744680082823</v>
      </c>
      <c r="BN1720" s="25">
        <f>ROUND(SUM(Inventory[[#This Row],[Mdl Qlty]:[Mdl WdDeck]])+Inventory[[#This Row],[Mdl Res Intercept]]*Inventory[[#This Row],[Res Adj ]],-2)</f>
        <v>321200</v>
      </c>
      <c r="BO1720" s="25">
        <f>ROUND(Inventory[[#This Row],[25Det]]*Inventory[[#This Row],[Det/Nbhd Adj]],-2)</f>
        <v>12100</v>
      </c>
      <c r="BP1720" s="25">
        <f>Inventory[[#This Row],[Adjusted Res]]+Inventory[[#This Row],[Adj Det ]]</f>
        <v>333300</v>
      </c>
      <c r="BQ1720" s="25">
        <f>ROUND((Inventory[[#This Row],[Mdl Land Intercept]]+Inventory[[#This Row],[Mdl LnAcres]])*Inventory[[#This Row],[Det/Nbhd Adj]],-2)</f>
        <v>28300</v>
      </c>
      <c r="BR1720" s="25">
        <f>Inventory[[#This Row],[Adjusted Impr Total]]+Inventory[[#This Row],[Adjusted Land Total]]</f>
        <v>361600</v>
      </c>
      <c r="BS1720" s="36">
        <f>IFERROR((Inventory[[#This Row],[Adjusted Impr Total]]-Inventory[[#This Row],[24Bldg]])/Inventory[[#This Row],[24Bldg]],0)</f>
        <v>0.17857142857142858</v>
      </c>
      <c r="BT1720" s="36">
        <f>(Inventory[[#This Row],[Adjusted Land Total]]-Inventory[[#This Row],[24Lnd]])/Inventory[[#This Row],[24Lnd]]</f>
        <v>-0.41528925619834711</v>
      </c>
      <c r="BU1720" s="36">
        <f>(Inventory[[#This Row],[Adjusted Total]]-Inventory[[#This Row],[24Final]])/Inventory[[#This Row],[24Final]]</f>
        <v>9.1787439613526575E-2</v>
      </c>
    </row>
    <row r="1721" spans="1:73" x14ac:dyDescent="0.3">
      <c r="A1721" s="25">
        <v>2025</v>
      </c>
      <c r="B1721" s="26" t="s">
        <v>1849</v>
      </c>
      <c r="C1721" s="26">
        <f>LN(Inventory[[#This Row],[Acres]])</f>
        <v>-1.8971199848858813</v>
      </c>
      <c r="D1721" s="25">
        <v>0.15</v>
      </c>
      <c r="E1721" s="32">
        <v>6500</v>
      </c>
      <c r="F1721" s="26" t="s">
        <v>537</v>
      </c>
      <c r="G1721" s="26" t="s">
        <v>126</v>
      </c>
      <c r="H1721" s="26" t="s">
        <v>349</v>
      </c>
      <c r="I1721" s="26" t="s">
        <v>538</v>
      </c>
      <c r="J1721" s="26" t="s">
        <v>638</v>
      </c>
      <c r="K1721" s="26" t="s">
        <v>242</v>
      </c>
      <c r="L1721" s="26" t="s">
        <v>351</v>
      </c>
      <c r="M1721" s="26" t="s">
        <v>323</v>
      </c>
      <c r="N1721" s="26">
        <v>100</v>
      </c>
      <c r="O1721" s="26">
        <f>2024-Inventory[[#This Row],[YrBlt]]</f>
        <v>94</v>
      </c>
      <c r="P1721" s="26">
        <f>2024-Inventory[[#This Row],[EffYr]]</f>
        <v>54</v>
      </c>
      <c r="Q1721" s="25">
        <v>1930</v>
      </c>
      <c r="R1721" s="25">
        <v>1970</v>
      </c>
      <c r="S1721" s="25">
        <v>919</v>
      </c>
      <c r="T1721" s="31"/>
      <c r="U1721" s="25">
        <v>919</v>
      </c>
      <c r="V1721" s="32">
        <f>Inventory[[#This Row],[Bsmt]]-Inventory[[#This Row],[FnBsmt]]</f>
        <v>919</v>
      </c>
      <c r="W1721" s="27"/>
      <c r="X1721" s="27"/>
      <c r="Y1721" s="27">
        <f>Inventory[[#This Row],[MainFn]]+Inventory[[#This Row],[UpprFn]]+Inventory[[#This Row],[FnBsmt]]+Inventory[[#This Row],[AddFn]]</f>
        <v>919</v>
      </c>
      <c r="Z1721" s="27">
        <v>1000</v>
      </c>
      <c r="AA1721" s="25">
        <v>5</v>
      </c>
      <c r="AB1721" s="27"/>
      <c r="AC1721" s="27"/>
      <c r="AD1721" s="27"/>
      <c r="AE1721" s="27"/>
      <c r="AF1721" s="27"/>
      <c r="AG1721" s="27"/>
      <c r="AH1721" s="27"/>
      <c r="AI1721" s="25">
        <v>184845</v>
      </c>
      <c r="AJ1721" s="25">
        <v>121998</v>
      </c>
      <c r="AK1721" s="25">
        <v>3314</v>
      </c>
      <c r="AL1721" s="25">
        <v>268100</v>
      </c>
      <c r="AM1721" s="25">
        <v>48400</v>
      </c>
      <c r="AN1721" s="25">
        <v>219700</v>
      </c>
      <c r="AO1721" s="25">
        <v>0</v>
      </c>
      <c r="AP1721" s="25">
        <f>Lookups!$B$56*0</f>
        <v>0</v>
      </c>
      <c r="AQ1721" s="25">
        <f>Lookups!$B$56*1</f>
        <v>89850.625589999996</v>
      </c>
      <c r="AR1721" s="25">
        <f>Lookups!$B$57*Inventory[[#This Row],[LnAcres]]</f>
        <v>-60052.604136134301</v>
      </c>
      <c r="AS1721" s="25">
        <f>VLOOKUP(Inventory[[#This Row],[Qlty]],Lookups!$A$62:$E$75,2,FALSE)</f>
        <v>21557.329055999999</v>
      </c>
      <c r="AT1721" s="25">
        <f>VLOOKUP(Inventory[[#This Row],[Cnd]],Lookups!$A$76:$E$84,2,FALSE)</f>
        <v>160472.20319</v>
      </c>
      <c r="AU1721" s="25">
        <f>Inventory[[#This Row],[EffAge]]*Lookups!$B$85</f>
        <v>-12044.462427</v>
      </c>
      <c r="AV1721" s="25">
        <f>Inventory[[#This Row],[MainFn]]*Lookups!$B$86</f>
        <v>45406.567616963002</v>
      </c>
      <c r="AW1721" s="25">
        <f>Inventory[[#This Row],[UpprFn]]*Lookups!$B$87</f>
        <v>0</v>
      </c>
      <c r="AX1721" s="25">
        <f>Inventory[[#This Row],[AddFn]]*Lookups!$B$88</f>
        <v>0</v>
      </c>
      <c r="AY1721" s="25">
        <f>Inventory[[#This Row],[Bsmt]]*Lookups!$B$89</f>
        <v>26726.261731993</v>
      </c>
      <c r="AZ1721" s="25">
        <f>Inventory[[#This Row],[Fixtures]]*Lookups!$B$90</f>
        <v>18960.110526</v>
      </c>
      <c r="BA1721" s="25">
        <f>Inventory[[#This Row],[WdDeck]]*Lookups!$B$91</f>
        <v>0</v>
      </c>
      <c r="BB1721" s="25">
        <f>ROUND(Inventory[[#This Row],[25Det]],-2)</f>
        <v>3300</v>
      </c>
      <c r="BC1721" s="25">
        <f>ROUND(SUM(Inventory[[#This Row],[Mdl Qlty]:[Mdl WdDeck]])+Inventory[[#This Row],[Mdl Res Intercept]],-2)</f>
        <v>261100</v>
      </c>
      <c r="BD1721" s="25">
        <f>ROUND(Inventory[[#This Row],[Mdl Land Intercept]]+Inventory[[#This Row],[Mdl LnAcres]],-2)</f>
        <v>29800</v>
      </c>
      <c r="BE1721" s="25">
        <f>Inventory[[#This Row],[Unadj Res Value]]+Inventory[[#This Row],[Unadj Det Value]]+Inventory[[#This Row],[Unadj Land Value]]</f>
        <v>294200</v>
      </c>
      <c r="BF1721" s="36">
        <f>(Inventory[[#This Row],[Unadj Total Value]]-Inventory[[#This Row],[24Final]])/Inventory[[#This Row],[24Final]]</f>
        <v>9.7351734427452444E-2</v>
      </c>
      <c r="BG1721" s="25">
        <f>VLOOKUP(Inventory[[#This Row],[Nbhd]],Lookups!$Q$2:$T$4,4,FALSE)</f>
        <v>0.99970000000000003</v>
      </c>
      <c r="BH1721" s="25">
        <f>VLOOKUP(Inventory[[#This Row],[Qlty]],Lookups!$O$7:$R$21,4,FALSE)</f>
        <v>1.0067999999999999</v>
      </c>
      <c r="BI1721" s="25">
        <f>VLOOKUP(Inventory[[#This Row],[Cnd]],Lookups!$T$7:$W$16,4,FALSE)</f>
        <v>0.99729999999999996</v>
      </c>
      <c r="BJ1721" s="25">
        <f>VLOOKUP(Inventory[[#This Row],[LivArea Range]],Lookups!$T$25:$W$37,4,FALSE)</f>
        <v>1.0148999999999999</v>
      </c>
      <c r="BK1721" s="25">
        <f>VLOOKUP(Inventory[[#This Row],[Decade]],Lookups!$O$25:$R$42,4,FALSE)</f>
        <v>1.0074000000000001</v>
      </c>
      <c r="BL1721" s="25">
        <f>Inventory[[#This Row],[Nbhd Adj]]*0.95</f>
        <v>0.94971499999999998</v>
      </c>
      <c r="BM1721" s="25">
        <f>Inventory[[#This Row],[Nbhd Adj]]*Inventory[[#This Row],[Quality Adj]]*Inventory[[#This Row],[Condition Adj]]*Inventory[[#This Row],[Living Area Adj]]*Inventory[[#This Row],[Decade Adj]]*0.95</f>
        <v>0.97496162582232004</v>
      </c>
      <c r="BN1721" s="25">
        <f>ROUND(SUM(Inventory[[#This Row],[Mdl Qlty]:[Mdl WdDeck]])+Inventory[[#This Row],[Mdl Res Intercept]]*Inventory[[#This Row],[Res Adj ]],-2)</f>
        <v>261100</v>
      </c>
      <c r="BO1721" s="25">
        <f>ROUND(Inventory[[#This Row],[25Det]]*Inventory[[#This Row],[Det/Nbhd Adj]],-2)</f>
        <v>3100</v>
      </c>
      <c r="BP1721" s="25">
        <f>Inventory[[#This Row],[Adjusted Res]]+Inventory[[#This Row],[Adj Det ]]</f>
        <v>264200</v>
      </c>
      <c r="BQ1721" s="25">
        <f>ROUND((Inventory[[#This Row],[Mdl Land Intercept]]+Inventory[[#This Row],[Mdl LnAcres]])*Inventory[[#This Row],[Det/Nbhd Adj]],-2)</f>
        <v>28300</v>
      </c>
      <c r="BR1721" s="25">
        <f>Inventory[[#This Row],[Adjusted Impr Total]]+Inventory[[#This Row],[Adjusted Land Total]]</f>
        <v>292500</v>
      </c>
      <c r="BS1721" s="36">
        <f>IFERROR((Inventory[[#This Row],[Adjusted Impr Total]]-Inventory[[#This Row],[24Bldg]])/Inventory[[#This Row],[24Bldg]],0)</f>
        <v>0.20254893035958124</v>
      </c>
      <c r="BT1721" s="36">
        <f>(Inventory[[#This Row],[Adjusted Land Total]]-Inventory[[#This Row],[24Lnd]])/Inventory[[#This Row],[24Lnd]]</f>
        <v>-0.41528925619834711</v>
      </c>
      <c r="BU1721" s="36">
        <f>(Inventory[[#This Row],[Adjusted Total]]-Inventory[[#This Row],[24Final]])/Inventory[[#This Row],[24Final]]</f>
        <v>9.1010816859380825E-2</v>
      </c>
    </row>
    <row r="1722" spans="1:73" x14ac:dyDescent="0.3">
      <c r="A1722" s="25">
        <v>2025</v>
      </c>
      <c r="B1722" s="26" t="s">
        <v>636</v>
      </c>
      <c r="C1722" s="26">
        <f>LN(Inventory[[#This Row],[Acres]])</f>
        <v>-1.6094379124341003</v>
      </c>
      <c r="D1722" s="25">
        <v>0.2</v>
      </c>
      <c r="E1722" s="25">
        <v>8851</v>
      </c>
      <c r="F1722" s="26" t="s">
        <v>537</v>
      </c>
      <c r="G1722" s="26" t="s">
        <v>126</v>
      </c>
      <c r="H1722" s="26" t="s">
        <v>349</v>
      </c>
      <c r="I1722" s="26" t="s">
        <v>538</v>
      </c>
      <c r="J1722" s="26" t="s">
        <v>539</v>
      </c>
      <c r="K1722" s="26" t="s">
        <v>242</v>
      </c>
      <c r="L1722" s="26" t="s">
        <v>351</v>
      </c>
      <c r="M1722" s="26" t="s">
        <v>303</v>
      </c>
      <c r="N1722" s="26">
        <v>100</v>
      </c>
      <c r="O1722" s="26">
        <f>2024-Inventory[[#This Row],[YrBlt]]</f>
        <v>94</v>
      </c>
      <c r="P1722" s="26">
        <f>2024-Inventory[[#This Row],[EffYr]]</f>
        <v>54</v>
      </c>
      <c r="Q1722" s="25">
        <v>1930</v>
      </c>
      <c r="R1722" s="25">
        <v>1970</v>
      </c>
      <c r="S1722" s="25">
        <v>816</v>
      </c>
      <c r="T1722" s="27"/>
      <c r="U1722" s="25">
        <v>547</v>
      </c>
      <c r="V1722" s="25">
        <f>Inventory[[#This Row],[Bsmt]]-Inventory[[#This Row],[FnBsmt]]</f>
        <v>211</v>
      </c>
      <c r="W1722" s="25">
        <v>336</v>
      </c>
      <c r="X1722" s="27"/>
      <c r="Y1722" s="27">
        <f>Inventory[[#This Row],[MainFn]]+Inventory[[#This Row],[UpprFn]]+Inventory[[#This Row],[FnBsmt]]+Inventory[[#This Row],[AddFn]]</f>
        <v>1152</v>
      </c>
      <c r="Z1722" s="27">
        <v>1500</v>
      </c>
      <c r="AA1722" s="25">
        <v>8</v>
      </c>
      <c r="AB1722" s="27"/>
      <c r="AC1722" s="27"/>
      <c r="AD1722" s="27"/>
      <c r="AE1722" s="27"/>
      <c r="AF1722" s="27"/>
      <c r="AG1722" s="27"/>
      <c r="AH1722" s="27"/>
      <c r="AI1722" s="25">
        <v>189897</v>
      </c>
      <c r="AJ1722" s="25">
        <v>129130</v>
      </c>
      <c r="AK1722" s="25">
        <v>4877</v>
      </c>
      <c r="AL1722" s="25">
        <v>307500</v>
      </c>
      <c r="AM1722" s="25">
        <v>58400</v>
      </c>
      <c r="AN1722" s="25">
        <v>249100</v>
      </c>
      <c r="AO1722" s="25">
        <v>0</v>
      </c>
      <c r="AP1722" s="25">
        <f>Lookups!$B$56*0</f>
        <v>0</v>
      </c>
      <c r="AQ1722" s="25">
        <f>Lookups!$B$56*1</f>
        <v>89850.625589999996</v>
      </c>
      <c r="AR1722" s="25">
        <f>Lookups!$B$57*Inventory[[#This Row],[LnAcres]]</f>
        <v>-50946.13867709865</v>
      </c>
      <c r="AS1722" s="25">
        <f>VLOOKUP(Inventory[[#This Row],[Qlty]],Lookups!$A$62:$E$75,2,FALSE)</f>
        <v>21557.329055999999</v>
      </c>
      <c r="AT1722" s="25">
        <f>VLOOKUP(Inventory[[#This Row],[Cnd]],Lookups!$A$76:$E$84,2,FALSE)</f>
        <v>197752.34721000001</v>
      </c>
      <c r="AU1722" s="25">
        <f>Inventory[[#This Row],[EffAge]]*Lookups!$B$85</f>
        <v>-12044.462427</v>
      </c>
      <c r="AV1722" s="25">
        <f>Inventory[[#This Row],[MainFn]]*Lookups!$B$86</f>
        <v>40317.474619631997</v>
      </c>
      <c r="AW1722" s="25">
        <f>Inventory[[#This Row],[UpprFn]]*Lookups!$B$87</f>
        <v>0</v>
      </c>
      <c r="AX1722" s="25">
        <f>Inventory[[#This Row],[AddFn]]*Lookups!$B$88</f>
        <v>0</v>
      </c>
      <c r="AY1722" s="25">
        <f>Inventory[[#This Row],[Bsmt]]*Lookups!$B$89</f>
        <v>15907.796700109</v>
      </c>
      <c r="AZ1722" s="25">
        <f>Inventory[[#This Row],[Fixtures]]*Lookups!$B$90</f>
        <v>30336.176841600001</v>
      </c>
      <c r="BA1722" s="25">
        <f>Inventory[[#This Row],[WdDeck]]*Lookups!$B$91</f>
        <v>0</v>
      </c>
      <c r="BB1722" s="25">
        <f>ROUND(Inventory[[#This Row],[25Det]],-2)</f>
        <v>4900</v>
      </c>
      <c r="BC1722" s="25">
        <f>ROUND(SUM(Inventory[[#This Row],[Mdl Qlty]:[Mdl WdDeck]])+Inventory[[#This Row],[Mdl Res Intercept]],-2)</f>
        <v>293800</v>
      </c>
      <c r="BD1722" s="25">
        <f>ROUND(Inventory[[#This Row],[Mdl Land Intercept]]+Inventory[[#This Row],[Mdl LnAcres]],-2)</f>
        <v>38900</v>
      </c>
      <c r="BE1722" s="25">
        <f>Inventory[[#This Row],[Unadj Res Value]]+Inventory[[#This Row],[Unadj Det Value]]+Inventory[[#This Row],[Unadj Land Value]]</f>
        <v>337600</v>
      </c>
      <c r="BF1722" s="36">
        <f>(Inventory[[#This Row],[Unadj Total Value]]-Inventory[[#This Row],[24Final]])/Inventory[[#This Row],[24Final]]</f>
        <v>9.7886178861788617E-2</v>
      </c>
      <c r="BG1722" s="25">
        <f>VLOOKUP(Inventory[[#This Row],[Nbhd]],Lookups!$Q$2:$T$4,4,FALSE)</f>
        <v>0.99970000000000003</v>
      </c>
      <c r="BH1722" s="25">
        <f>VLOOKUP(Inventory[[#This Row],[Qlty]],Lookups!$O$7:$R$21,4,FALSE)</f>
        <v>1.0067999999999999</v>
      </c>
      <c r="BI1722" s="25">
        <f>VLOOKUP(Inventory[[#This Row],[Cnd]],Lookups!$T$7:$W$16,4,FALSE)</f>
        <v>0.99650000000000005</v>
      </c>
      <c r="BJ1722" s="25">
        <f>VLOOKUP(Inventory[[#This Row],[LivArea Range]],Lookups!$T$25:$W$37,4,FALSE)</f>
        <v>1.0157</v>
      </c>
      <c r="BK1722" s="25">
        <f>VLOOKUP(Inventory[[#This Row],[Decade]],Lookups!$O$25:$R$42,4,FALSE)</f>
        <v>1.0074000000000001</v>
      </c>
      <c r="BL1722" s="25">
        <f>Inventory[[#This Row],[Nbhd Adj]]*0.95</f>
        <v>0.94971499999999998</v>
      </c>
      <c r="BM1722" s="25">
        <f>Inventory[[#This Row],[Nbhd Adj]]*Inventory[[#This Row],[Quality Adj]]*Inventory[[#This Row],[Condition Adj]]*Inventory[[#This Row],[Living Area Adj]]*Inventory[[#This Row],[Decade Adj]]*0.95</f>
        <v>0.97494744680082823</v>
      </c>
      <c r="BN1722" s="25">
        <f>ROUND(SUM(Inventory[[#This Row],[Mdl Qlty]:[Mdl WdDeck]])+Inventory[[#This Row],[Mdl Res Intercept]]*Inventory[[#This Row],[Res Adj ]],-2)</f>
        <v>293800</v>
      </c>
      <c r="BO1722" s="25">
        <f>ROUND(Inventory[[#This Row],[25Det]]*Inventory[[#This Row],[Det/Nbhd Adj]],-2)</f>
        <v>4600</v>
      </c>
      <c r="BP1722" s="25">
        <f>Inventory[[#This Row],[Adjusted Res]]+Inventory[[#This Row],[Adj Det ]]</f>
        <v>298400</v>
      </c>
      <c r="BQ1722" s="25">
        <f>ROUND((Inventory[[#This Row],[Mdl Land Intercept]]+Inventory[[#This Row],[Mdl LnAcres]])*Inventory[[#This Row],[Det/Nbhd Adj]],-2)</f>
        <v>36900</v>
      </c>
      <c r="BR1722" s="25">
        <f>Inventory[[#This Row],[Adjusted Impr Total]]+Inventory[[#This Row],[Adjusted Land Total]]</f>
        <v>335300</v>
      </c>
      <c r="BS1722" s="36">
        <f>IFERROR((Inventory[[#This Row],[Adjusted Impr Total]]-Inventory[[#This Row],[24Bldg]])/Inventory[[#This Row],[24Bldg]],0)</f>
        <v>0.19791248494580491</v>
      </c>
      <c r="BT1722" s="36">
        <f>(Inventory[[#This Row],[Adjusted Land Total]]-Inventory[[#This Row],[24Lnd]])/Inventory[[#This Row],[24Lnd]]</f>
        <v>-0.36815068493150682</v>
      </c>
      <c r="BU1722" s="36">
        <f>(Inventory[[#This Row],[Adjusted Total]]-Inventory[[#This Row],[24Final]])/Inventory[[#This Row],[24Final]]</f>
        <v>9.0406504065040652E-2</v>
      </c>
    </row>
    <row r="1723" spans="1:73" x14ac:dyDescent="0.3">
      <c r="A1723" s="25">
        <v>2025</v>
      </c>
      <c r="B1723" s="26" t="s">
        <v>2330</v>
      </c>
      <c r="C1723" s="26">
        <f>LN(Inventory[[#This Row],[Acres]])</f>
        <v>-1.8325814637483102</v>
      </c>
      <c r="D1723" s="25">
        <v>0.16</v>
      </c>
      <c r="E1723" s="31"/>
      <c r="F1723" s="26" t="s">
        <v>537</v>
      </c>
      <c r="G1723" s="26" t="s">
        <v>126</v>
      </c>
      <c r="H1723" s="26" t="s">
        <v>349</v>
      </c>
      <c r="I1723" s="26" t="s">
        <v>538</v>
      </c>
      <c r="J1723" s="26" t="s">
        <v>539</v>
      </c>
      <c r="K1723" s="26" t="s">
        <v>269</v>
      </c>
      <c r="L1723" s="26" t="s">
        <v>351</v>
      </c>
      <c r="M1723" s="26" t="s">
        <v>303</v>
      </c>
      <c r="N1723" s="26">
        <v>100</v>
      </c>
      <c r="O1723" s="26">
        <f>2024-Inventory[[#This Row],[YrBlt]]</f>
        <v>94</v>
      </c>
      <c r="P1723" s="26">
        <f>2024-Inventory[[#This Row],[EffYr]]</f>
        <v>34</v>
      </c>
      <c r="Q1723" s="25">
        <v>1930</v>
      </c>
      <c r="R1723" s="25">
        <v>1990</v>
      </c>
      <c r="S1723" s="25">
        <v>988</v>
      </c>
      <c r="T1723" s="27"/>
      <c r="U1723" s="25">
        <v>988</v>
      </c>
      <c r="V1723" s="25">
        <f>Inventory[[#This Row],[Bsmt]]-Inventory[[#This Row],[FnBsmt]]</f>
        <v>0</v>
      </c>
      <c r="W1723" s="25">
        <v>988</v>
      </c>
      <c r="X1723" s="27"/>
      <c r="Y1723" s="27">
        <f>Inventory[[#This Row],[MainFn]]+Inventory[[#This Row],[UpprFn]]+Inventory[[#This Row],[FnBsmt]]+Inventory[[#This Row],[AddFn]]</f>
        <v>1976</v>
      </c>
      <c r="Z1723" s="27">
        <v>2000</v>
      </c>
      <c r="AA1723" s="25">
        <v>8</v>
      </c>
      <c r="AB1723" s="27"/>
      <c r="AC1723" s="27"/>
      <c r="AD1723" s="25">
        <v>128</v>
      </c>
      <c r="AE1723" s="27"/>
      <c r="AF1723" s="27"/>
      <c r="AG1723" s="27"/>
      <c r="AH1723" s="27"/>
      <c r="AI1723" s="25">
        <v>255708</v>
      </c>
      <c r="AJ1723" s="25">
        <v>217352</v>
      </c>
      <c r="AK1723" s="25">
        <v>6227</v>
      </c>
      <c r="AL1723" s="25">
        <v>330200</v>
      </c>
      <c r="AM1723" s="25">
        <v>50600</v>
      </c>
      <c r="AN1723" s="25">
        <v>279600</v>
      </c>
      <c r="AO1723" s="25">
        <v>0</v>
      </c>
      <c r="AP1723" s="25">
        <f>Lookups!$B$56*0</f>
        <v>0</v>
      </c>
      <c r="AQ1723" s="25">
        <f>Lookups!$B$56*1</f>
        <v>89850.625589999996</v>
      </c>
      <c r="AR1723" s="25">
        <f>Lookups!$B$57*Inventory[[#This Row],[LnAcres]]</f>
        <v>-58009.662049032086</v>
      </c>
      <c r="AS1723" s="25">
        <f>VLOOKUP(Inventory[[#This Row],[Qlty]],Lookups!$A$62:$E$75,2,FALSE)</f>
        <v>21557.329055999999</v>
      </c>
      <c r="AT1723" s="25">
        <f>VLOOKUP(Inventory[[#This Row],[Cnd]],Lookups!$A$76:$E$84,2,FALSE)</f>
        <v>197752.34721000001</v>
      </c>
      <c r="AU1723" s="25">
        <f>Inventory[[#This Row],[EffAge]]*Lookups!$B$85</f>
        <v>-7583.5504170000004</v>
      </c>
      <c r="AV1723" s="25">
        <f>Inventory[[#This Row],[MainFn]]*Lookups!$B$86</f>
        <v>48815.765838476</v>
      </c>
      <c r="AW1723" s="25">
        <f>Inventory[[#This Row],[UpprFn]]*Lookups!$B$87</f>
        <v>0</v>
      </c>
      <c r="AX1723" s="25">
        <f>Inventory[[#This Row],[AddFn]]*Lookups!$B$88</f>
        <v>0</v>
      </c>
      <c r="AY1723" s="25">
        <f>Inventory[[#This Row],[Bsmt]]*Lookups!$B$89</f>
        <v>28732.912504035998</v>
      </c>
      <c r="AZ1723" s="25">
        <f>Inventory[[#This Row],[Fixtures]]*Lookups!$B$90</f>
        <v>30336.176841600001</v>
      </c>
      <c r="BA1723" s="25">
        <f>Inventory[[#This Row],[WdDeck]]*Lookups!$B$91</f>
        <v>4261.8259553280004</v>
      </c>
      <c r="BB1723" s="25">
        <f>ROUND(Inventory[[#This Row],[25Det]],-2)</f>
        <v>6200</v>
      </c>
      <c r="BC1723" s="25">
        <f>ROUND(SUM(Inventory[[#This Row],[Mdl Qlty]:[Mdl WdDeck]])+Inventory[[#This Row],[Mdl Res Intercept]],-2)</f>
        <v>323900</v>
      </c>
      <c r="BD1723" s="25">
        <f>ROUND(Inventory[[#This Row],[Mdl Land Intercept]]+Inventory[[#This Row],[Mdl LnAcres]],-2)</f>
        <v>31800</v>
      </c>
      <c r="BE1723" s="25">
        <f>Inventory[[#This Row],[Unadj Res Value]]+Inventory[[#This Row],[Unadj Det Value]]+Inventory[[#This Row],[Unadj Land Value]]</f>
        <v>361900</v>
      </c>
      <c r="BF1723" s="36">
        <f>(Inventory[[#This Row],[Unadj Total Value]]-Inventory[[#This Row],[24Final]])/Inventory[[#This Row],[24Final]]</f>
        <v>9.6002422774076321E-2</v>
      </c>
      <c r="BG1723" s="25">
        <f>VLOOKUP(Inventory[[#This Row],[Nbhd]],Lookups!$Q$2:$T$4,4,FALSE)</f>
        <v>0.99970000000000003</v>
      </c>
      <c r="BH1723" s="25">
        <f>VLOOKUP(Inventory[[#This Row],[Qlty]],Lookups!$O$7:$R$21,4,FALSE)</f>
        <v>1.0067999999999999</v>
      </c>
      <c r="BI1723" s="25">
        <f>VLOOKUP(Inventory[[#This Row],[Cnd]],Lookups!$T$7:$W$16,4,FALSE)</f>
        <v>0.99650000000000005</v>
      </c>
      <c r="BJ1723" s="25">
        <f>VLOOKUP(Inventory[[#This Row],[LivArea Range]],Lookups!$T$25:$W$37,4,FALSE)</f>
        <v>1.0093000000000001</v>
      </c>
      <c r="BK1723" s="25">
        <f>VLOOKUP(Inventory[[#This Row],[Decade]],Lookups!$O$25:$R$42,4,FALSE)</f>
        <v>1.0074000000000001</v>
      </c>
      <c r="BL1723" s="25">
        <f>Inventory[[#This Row],[Nbhd Adj]]*0.95</f>
        <v>0.94971499999999998</v>
      </c>
      <c r="BM1723" s="25">
        <f>Inventory[[#This Row],[Nbhd Adj]]*Inventory[[#This Row],[Quality Adj]]*Inventory[[#This Row],[Condition Adj]]*Inventory[[#This Row],[Living Area Adj]]*Inventory[[#This Row],[Decade Adj]]*0.95</f>
        <v>0.96880423161964746</v>
      </c>
      <c r="BN1723" s="25">
        <f>ROUND(SUM(Inventory[[#This Row],[Mdl Qlty]:[Mdl WdDeck]])+Inventory[[#This Row],[Mdl Res Intercept]]*Inventory[[#This Row],[Res Adj ]],-2)</f>
        <v>323900</v>
      </c>
      <c r="BO1723" s="25">
        <f>ROUND(Inventory[[#This Row],[25Det]]*Inventory[[#This Row],[Det/Nbhd Adj]],-2)</f>
        <v>5900</v>
      </c>
      <c r="BP1723" s="25">
        <f>Inventory[[#This Row],[Adjusted Res]]+Inventory[[#This Row],[Adj Det ]]</f>
        <v>329800</v>
      </c>
      <c r="BQ1723" s="25">
        <f>ROUND((Inventory[[#This Row],[Mdl Land Intercept]]+Inventory[[#This Row],[Mdl LnAcres]])*Inventory[[#This Row],[Det/Nbhd Adj]],-2)</f>
        <v>30200</v>
      </c>
      <c r="BR1723" s="25">
        <f>Inventory[[#This Row],[Adjusted Impr Total]]+Inventory[[#This Row],[Adjusted Land Total]]</f>
        <v>360000</v>
      </c>
      <c r="BS1723" s="36">
        <f>IFERROR((Inventory[[#This Row],[Adjusted Impr Total]]-Inventory[[#This Row],[24Bldg]])/Inventory[[#This Row],[24Bldg]],0)</f>
        <v>0.17954220314735336</v>
      </c>
      <c r="BT1723" s="36">
        <f>(Inventory[[#This Row],[Adjusted Land Total]]-Inventory[[#This Row],[24Lnd]])/Inventory[[#This Row],[24Lnd]]</f>
        <v>-0.40316205533596838</v>
      </c>
      <c r="BU1723" s="36">
        <f>(Inventory[[#This Row],[Adjusted Total]]-Inventory[[#This Row],[24Final]])/Inventory[[#This Row],[24Final]]</f>
        <v>9.0248334342822534E-2</v>
      </c>
    </row>
    <row r="1724" spans="1:73" x14ac:dyDescent="0.3">
      <c r="A1724" s="25">
        <v>2025</v>
      </c>
      <c r="B1724" s="26" t="s">
        <v>1220</v>
      </c>
      <c r="C1724" s="26">
        <f>LN(Inventory[[#This Row],[Acres]])</f>
        <v>-1.7719568419318752</v>
      </c>
      <c r="D1724" s="25">
        <v>0.17</v>
      </c>
      <c r="E1724" s="31"/>
      <c r="F1724" s="26" t="s">
        <v>537</v>
      </c>
      <c r="G1724" s="26" t="s">
        <v>126</v>
      </c>
      <c r="H1724" s="26" t="s">
        <v>349</v>
      </c>
      <c r="I1724" s="26" t="s">
        <v>538</v>
      </c>
      <c r="J1724" s="26" t="s">
        <v>539</v>
      </c>
      <c r="K1724" s="26" t="s">
        <v>147</v>
      </c>
      <c r="L1724" s="26" t="s">
        <v>351</v>
      </c>
      <c r="M1724" s="26" t="s">
        <v>323</v>
      </c>
      <c r="N1724" s="26">
        <v>100</v>
      </c>
      <c r="O1724" s="26">
        <f>2024-Inventory[[#This Row],[YrBlt]]</f>
        <v>94</v>
      </c>
      <c r="P1724" s="26">
        <f>2024-Inventory[[#This Row],[EffYr]]</f>
        <v>54</v>
      </c>
      <c r="Q1724" s="25">
        <v>1930</v>
      </c>
      <c r="R1724" s="25">
        <v>1970</v>
      </c>
      <c r="S1724" s="25">
        <v>884</v>
      </c>
      <c r="T1724" s="32">
        <v>442</v>
      </c>
      <c r="U1724" s="32">
        <v>884</v>
      </c>
      <c r="V1724" s="32">
        <f>Inventory[[#This Row],[Bsmt]]-Inventory[[#This Row],[FnBsmt]]</f>
        <v>884</v>
      </c>
      <c r="W1724" s="32">
        <v>0</v>
      </c>
      <c r="X1724" s="27"/>
      <c r="Y1724" s="27">
        <f>Inventory[[#This Row],[MainFn]]+Inventory[[#This Row],[UpprFn]]+Inventory[[#This Row],[FnBsmt]]+Inventory[[#This Row],[AddFn]]</f>
        <v>1326</v>
      </c>
      <c r="Z1724" s="27">
        <v>1500</v>
      </c>
      <c r="AA1724" s="25">
        <v>5</v>
      </c>
      <c r="AB1724" s="27"/>
      <c r="AC1724" s="27"/>
      <c r="AD1724" s="27"/>
      <c r="AE1724" s="27"/>
      <c r="AF1724" s="27"/>
      <c r="AG1724" s="27"/>
      <c r="AH1724" s="27"/>
      <c r="AI1724" s="25">
        <v>233237</v>
      </c>
      <c r="AJ1724" s="25">
        <v>153936</v>
      </c>
      <c r="AK1724" s="25">
        <v>6724</v>
      </c>
      <c r="AL1724" s="25">
        <v>290400</v>
      </c>
      <c r="AM1724" s="25">
        <v>52700</v>
      </c>
      <c r="AN1724" s="25">
        <v>237700</v>
      </c>
      <c r="AO1724" s="25">
        <v>0</v>
      </c>
      <c r="AP1724" s="25">
        <f>Lookups!$B$56*0</f>
        <v>0</v>
      </c>
      <c r="AQ1724" s="25">
        <f>Lookups!$B$56*1</f>
        <v>89850.625589999996</v>
      </c>
      <c r="AR1724" s="25">
        <f>Lookups!$B$57*Inventory[[#This Row],[LnAcres]]</f>
        <v>-56090.612940989391</v>
      </c>
      <c r="AS1724" s="25">
        <f>VLOOKUP(Inventory[[#This Row],[Qlty]],Lookups!$A$62:$E$75,2,FALSE)</f>
        <v>21557.329055999999</v>
      </c>
      <c r="AT1724" s="25">
        <f>VLOOKUP(Inventory[[#This Row],[Cnd]],Lookups!$A$76:$E$84,2,FALSE)</f>
        <v>160472.20319</v>
      </c>
      <c r="AU1724" s="25">
        <f>Inventory[[#This Row],[EffAge]]*Lookups!$B$85</f>
        <v>-12044.462427</v>
      </c>
      <c r="AV1724" s="25">
        <f>Inventory[[#This Row],[MainFn]]*Lookups!$B$86</f>
        <v>43677.264171267998</v>
      </c>
      <c r="AW1724" s="25">
        <f>Inventory[[#This Row],[UpprFn]]*Lookups!$B$87</f>
        <v>19795.598904562001</v>
      </c>
      <c r="AX1724" s="25">
        <f>Inventory[[#This Row],[AddFn]]*Lookups!$B$88</f>
        <v>0</v>
      </c>
      <c r="AY1724" s="25">
        <f>Inventory[[#This Row],[Bsmt]]*Lookups!$B$89</f>
        <v>25708.395398347999</v>
      </c>
      <c r="AZ1724" s="25">
        <f>Inventory[[#This Row],[Fixtures]]*Lookups!$B$90</f>
        <v>18960.110526</v>
      </c>
      <c r="BA1724" s="25">
        <f>Inventory[[#This Row],[WdDeck]]*Lookups!$B$91</f>
        <v>0</v>
      </c>
      <c r="BB1724" s="25">
        <f>ROUND(Inventory[[#This Row],[25Det]],-2)</f>
        <v>6700</v>
      </c>
      <c r="BC1724" s="25">
        <f>ROUND(SUM(Inventory[[#This Row],[Mdl Qlty]:[Mdl WdDeck]])+Inventory[[#This Row],[Mdl Res Intercept]],-2)</f>
        <v>278100</v>
      </c>
      <c r="BD1724" s="25">
        <f>ROUND(Inventory[[#This Row],[Mdl Land Intercept]]+Inventory[[#This Row],[Mdl LnAcres]],-2)</f>
        <v>33800</v>
      </c>
      <c r="BE1724" s="25">
        <f>Inventory[[#This Row],[Unadj Res Value]]+Inventory[[#This Row],[Unadj Det Value]]+Inventory[[#This Row],[Unadj Land Value]]</f>
        <v>318600</v>
      </c>
      <c r="BF1724" s="36">
        <f>(Inventory[[#This Row],[Unadj Total Value]]-Inventory[[#This Row],[24Final]])/Inventory[[#This Row],[24Final]]</f>
        <v>9.7107438016528921E-2</v>
      </c>
      <c r="BG1724" s="25">
        <f>VLOOKUP(Inventory[[#This Row],[Nbhd]],Lookups!$Q$2:$T$4,4,FALSE)</f>
        <v>0.99970000000000003</v>
      </c>
      <c r="BH1724" s="25">
        <f>VLOOKUP(Inventory[[#This Row],[Qlty]],Lookups!$O$7:$R$21,4,FALSE)</f>
        <v>1.0067999999999999</v>
      </c>
      <c r="BI1724" s="25">
        <f>VLOOKUP(Inventory[[#This Row],[Cnd]],Lookups!$T$7:$W$16,4,FALSE)</f>
        <v>0.99729999999999996</v>
      </c>
      <c r="BJ1724" s="25">
        <f>VLOOKUP(Inventory[[#This Row],[LivArea Range]],Lookups!$T$25:$W$37,4,FALSE)</f>
        <v>1.0157</v>
      </c>
      <c r="BK1724" s="25">
        <f>VLOOKUP(Inventory[[#This Row],[Decade]],Lookups!$O$25:$R$42,4,FALSE)</f>
        <v>1.0074000000000001</v>
      </c>
      <c r="BL1724" s="25">
        <f>Inventory[[#This Row],[Nbhd Adj]]*0.95</f>
        <v>0.94971499999999998</v>
      </c>
      <c r="BM1724" s="25">
        <f>Inventory[[#This Row],[Nbhd Adj]]*Inventory[[#This Row],[Quality Adj]]*Inventory[[#This Row],[Condition Adj]]*Inventory[[#This Row],[Living Area Adj]]*Inventory[[#This Row],[Decade Adj]]*0.95</f>
        <v>0.97573014419916293</v>
      </c>
      <c r="BN1724" s="25">
        <f>ROUND(SUM(Inventory[[#This Row],[Mdl Qlty]:[Mdl WdDeck]])+Inventory[[#This Row],[Mdl Res Intercept]]*Inventory[[#This Row],[Res Adj ]],-2)</f>
        <v>278100</v>
      </c>
      <c r="BO1724" s="25">
        <f>ROUND(Inventory[[#This Row],[25Det]]*Inventory[[#This Row],[Det/Nbhd Adj]],-2)</f>
        <v>6400</v>
      </c>
      <c r="BP1724" s="25">
        <f>Inventory[[#This Row],[Adjusted Res]]+Inventory[[#This Row],[Adj Det ]]</f>
        <v>284500</v>
      </c>
      <c r="BQ1724" s="25">
        <f>ROUND((Inventory[[#This Row],[Mdl Land Intercept]]+Inventory[[#This Row],[Mdl LnAcres]])*Inventory[[#This Row],[Det/Nbhd Adj]],-2)</f>
        <v>32100</v>
      </c>
      <c r="BR1724" s="25">
        <f>Inventory[[#This Row],[Adjusted Impr Total]]+Inventory[[#This Row],[Adjusted Land Total]]</f>
        <v>316600</v>
      </c>
      <c r="BS1724" s="36">
        <f>IFERROR((Inventory[[#This Row],[Adjusted Impr Total]]-Inventory[[#This Row],[24Bldg]])/Inventory[[#This Row],[24Bldg]],0)</f>
        <v>0.19688683214135466</v>
      </c>
      <c r="BT1724" s="36">
        <f>(Inventory[[#This Row],[Adjusted Land Total]]-Inventory[[#This Row],[24Lnd]])/Inventory[[#This Row],[24Lnd]]</f>
        <v>-0.39089184060721061</v>
      </c>
      <c r="BU1724" s="36">
        <f>(Inventory[[#This Row],[Adjusted Total]]-Inventory[[#This Row],[24Final]])/Inventory[[#This Row],[24Final]]</f>
        <v>9.0220385674931125E-2</v>
      </c>
    </row>
    <row r="1725" spans="1:73" x14ac:dyDescent="0.3">
      <c r="A1725" s="25">
        <v>2025</v>
      </c>
      <c r="B1725" s="26" t="s">
        <v>1478</v>
      </c>
      <c r="C1725" s="26">
        <f>LN(Inventory[[#This Row],[Acres]])</f>
        <v>-1.7719568419318752</v>
      </c>
      <c r="D1725" s="25">
        <v>0.17</v>
      </c>
      <c r="E1725" s="32">
        <v>7422</v>
      </c>
      <c r="F1725" s="26" t="s">
        <v>537</v>
      </c>
      <c r="G1725" s="26" t="s">
        <v>126</v>
      </c>
      <c r="H1725" s="26" t="s">
        <v>349</v>
      </c>
      <c r="I1725" s="26" t="s">
        <v>538</v>
      </c>
      <c r="J1725" s="26" t="s">
        <v>539</v>
      </c>
      <c r="K1725" s="26" t="s">
        <v>242</v>
      </c>
      <c r="L1725" s="26" t="s">
        <v>351</v>
      </c>
      <c r="M1725" s="26" t="s">
        <v>303</v>
      </c>
      <c r="N1725" s="26">
        <v>100</v>
      </c>
      <c r="O1725" s="26">
        <f>2024-Inventory[[#This Row],[YrBlt]]</f>
        <v>94</v>
      </c>
      <c r="P1725" s="26">
        <f>2024-Inventory[[#This Row],[EffYr]]</f>
        <v>54</v>
      </c>
      <c r="Q1725" s="25">
        <v>1930</v>
      </c>
      <c r="R1725" s="25">
        <v>1970</v>
      </c>
      <c r="S1725" s="25">
        <v>780</v>
      </c>
      <c r="T1725" s="27"/>
      <c r="U1725" s="25">
        <v>780</v>
      </c>
      <c r="V1725" s="25">
        <f>Inventory[[#This Row],[Bsmt]]-Inventory[[#This Row],[FnBsmt]]</f>
        <v>200</v>
      </c>
      <c r="W1725" s="25">
        <v>580</v>
      </c>
      <c r="X1725" s="27"/>
      <c r="Y1725" s="27">
        <f>Inventory[[#This Row],[MainFn]]+Inventory[[#This Row],[UpprFn]]+Inventory[[#This Row],[FnBsmt]]+Inventory[[#This Row],[AddFn]]</f>
        <v>1360</v>
      </c>
      <c r="Z1725" s="27">
        <v>1500</v>
      </c>
      <c r="AA1725" s="25">
        <v>9</v>
      </c>
      <c r="AB1725" s="27"/>
      <c r="AC1725" s="27"/>
      <c r="AD1725" s="31"/>
      <c r="AE1725" s="27"/>
      <c r="AF1725" s="27"/>
      <c r="AG1725" s="27"/>
      <c r="AH1725" s="27"/>
      <c r="AI1725" s="25">
        <v>196244</v>
      </c>
      <c r="AJ1725" s="25">
        <v>133446</v>
      </c>
      <c r="AK1725" s="25">
        <v>4877</v>
      </c>
      <c r="AL1725" s="25">
        <v>312300</v>
      </c>
      <c r="AM1725" s="25">
        <v>52700</v>
      </c>
      <c r="AN1725" s="25">
        <v>259600</v>
      </c>
      <c r="AO1725" s="25">
        <v>0</v>
      </c>
      <c r="AP1725" s="25">
        <f>Lookups!$B$56*0</f>
        <v>0</v>
      </c>
      <c r="AQ1725" s="25">
        <f>Lookups!$B$56*1</f>
        <v>89850.625589999996</v>
      </c>
      <c r="AR1725" s="25">
        <f>Lookups!$B$57*Inventory[[#This Row],[LnAcres]]</f>
        <v>-56090.612940989391</v>
      </c>
      <c r="AS1725" s="25">
        <f>VLOOKUP(Inventory[[#This Row],[Qlty]],Lookups!$A$62:$E$75,2,FALSE)</f>
        <v>21557.329055999999</v>
      </c>
      <c r="AT1725" s="25">
        <f>VLOOKUP(Inventory[[#This Row],[Cnd]],Lookups!$A$76:$E$84,2,FALSE)</f>
        <v>197752.34721000001</v>
      </c>
      <c r="AU1725" s="25">
        <f>Inventory[[#This Row],[EffAge]]*Lookups!$B$85</f>
        <v>-12044.462427</v>
      </c>
      <c r="AV1725" s="25">
        <f>Inventory[[#This Row],[MainFn]]*Lookups!$B$86</f>
        <v>38538.762504060003</v>
      </c>
      <c r="AW1725" s="25">
        <f>Inventory[[#This Row],[UpprFn]]*Lookups!$B$87</f>
        <v>0</v>
      </c>
      <c r="AX1725" s="25">
        <f>Inventory[[#This Row],[AddFn]]*Lookups!$B$88</f>
        <v>0</v>
      </c>
      <c r="AY1725" s="25">
        <f>Inventory[[#This Row],[Bsmt]]*Lookups!$B$89</f>
        <v>22683.87829266</v>
      </c>
      <c r="AZ1725" s="25">
        <f>Inventory[[#This Row],[Fixtures]]*Lookups!$B$90</f>
        <v>34128.198946800003</v>
      </c>
      <c r="BA1725" s="25">
        <f>Inventory[[#This Row],[WdDeck]]*Lookups!$B$91</f>
        <v>0</v>
      </c>
      <c r="BB1725" s="25">
        <f>ROUND(Inventory[[#This Row],[25Det]],-2)</f>
        <v>4900</v>
      </c>
      <c r="BC1725" s="25">
        <f>ROUND(SUM(Inventory[[#This Row],[Mdl Qlty]:[Mdl WdDeck]])+Inventory[[#This Row],[Mdl Res Intercept]],-2)</f>
        <v>302600</v>
      </c>
      <c r="BD1725" s="25">
        <f>ROUND(Inventory[[#This Row],[Mdl Land Intercept]]+Inventory[[#This Row],[Mdl LnAcres]],-2)</f>
        <v>33800</v>
      </c>
      <c r="BE1725" s="25">
        <f>Inventory[[#This Row],[Unadj Res Value]]+Inventory[[#This Row],[Unadj Det Value]]+Inventory[[#This Row],[Unadj Land Value]]</f>
        <v>341300</v>
      </c>
      <c r="BF1725" s="36">
        <f>(Inventory[[#This Row],[Unadj Total Value]]-Inventory[[#This Row],[24Final]])/Inventory[[#This Row],[24Final]]</f>
        <v>9.285943003522254E-2</v>
      </c>
      <c r="BG1725" s="25">
        <f>VLOOKUP(Inventory[[#This Row],[Nbhd]],Lookups!$Q$2:$T$4,4,FALSE)</f>
        <v>0.99970000000000003</v>
      </c>
      <c r="BH1725" s="25">
        <f>VLOOKUP(Inventory[[#This Row],[Qlty]],Lookups!$O$7:$R$21,4,FALSE)</f>
        <v>1.0067999999999999</v>
      </c>
      <c r="BI1725" s="25">
        <f>VLOOKUP(Inventory[[#This Row],[Cnd]],Lookups!$T$7:$W$16,4,FALSE)</f>
        <v>0.99650000000000005</v>
      </c>
      <c r="BJ1725" s="25">
        <f>VLOOKUP(Inventory[[#This Row],[LivArea Range]],Lookups!$T$25:$W$37,4,FALSE)</f>
        <v>1.0157</v>
      </c>
      <c r="BK1725" s="25">
        <f>VLOOKUP(Inventory[[#This Row],[Decade]],Lookups!$O$25:$R$42,4,FALSE)</f>
        <v>1.0074000000000001</v>
      </c>
      <c r="BL1725" s="25">
        <f>Inventory[[#This Row],[Nbhd Adj]]*0.95</f>
        <v>0.94971499999999998</v>
      </c>
      <c r="BM1725" s="25">
        <f>Inventory[[#This Row],[Nbhd Adj]]*Inventory[[#This Row],[Quality Adj]]*Inventory[[#This Row],[Condition Adj]]*Inventory[[#This Row],[Living Area Adj]]*Inventory[[#This Row],[Decade Adj]]*0.95</f>
        <v>0.97494744680082823</v>
      </c>
      <c r="BN1725" s="25">
        <f>ROUND(SUM(Inventory[[#This Row],[Mdl Qlty]:[Mdl WdDeck]])+Inventory[[#This Row],[Mdl Res Intercept]]*Inventory[[#This Row],[Res Adj ]],-2)</f>
        <v>302600</v>
      </c>
      <c r="BO1725" s="25">
        <f>ROUND(Inventory[[#This Row],[25Det]]*Inventory[[#This Row],[Det/Nbhd Adj]],-2)</f>
        <v>4600</v>
      </c>
      <c r="BP1725" s="25">
        <f>Inventory[[#This Row],[Adjusted Res]]+Inventory[[#This Row],[Adj Det ]]</f>
        <v>307200</v>
      </c>
      <c r="BQ1725" s="25">
        <f>ROUND((Inventory[[#This Row],[Mdl Land Intercept]]+Inventory[[#This Row],[Mdl LnAcres]])*Inventory[[#This Row],[Det/Nbhd Adj]],-2)</f>
        <v>32100</v>
      </c>
      <c r="BR1725" s="25">
        <f>Inventory[[#This Row],[Adjusted Impr Total]]+Inventory[[#This Row],[Adjusted Land Total]]</f>
        <v>339300</v>
      </c>
      <c r="BS1725" s="36">
        <f>IFERROR((Inventory[[#This Row],[Adjusted Impr Total]]-Inventory[[#This Row],[24Bldg]])/Inventory[[#This Row],[24Bldg]],0)</f>
        <v>0.18335901386748846</v>
      </c>
      <c r="BT1725" s="36">
        <f>(Inventory[[#This Row],[Adjusted Land Total]]-Inventory[[#This Row],[24Lnd]])/Inventory[[#This Row],[24Lnd]]</f>
        <v>-0.39089184060721061</v>
      </c>
      <c r="BU1725" s="36">
        <f>(Inventory[[#This Row],[Adjusted Total]]-Inventory[[#This Row],[24Final]])/Inventory[[#This Row],[24Final]]</f>
        <v>8.645533141210375E-2</v>
      </c>
    </row>
    <row r="1726" spans="1:73" x14ac:dyDescent="0.3">
      <c r="A1726" s="25">
        <v>2025</v>
      </c>
      <c r="B1726" s="26" t="s">
        <v>2158</v>
      </c>
      <c r="C1726" s="26">
        <f>LN(Inventory[[#This Row],[Acres]])</f>
        <v>-1.5141277326297755</v>
      </c>
      <c r="D1726" s="25">
        <v>0.22</v>
      </c>
      <c r="E1726" s="27"/>
      <c r="F1726" s="26" t="s">
        <v>537</v>
      </c>
      <c r="G1726" s="26" t="s">
        <v>126</v>
      </c>
      <c r="H1726" s="26" t="s">
        <v>349</v>
      </c>
      <c r="I1726" s="26" t="s">
        <v>538</v>
      </c>
      <c r="J1726" s="26" t="s">
        <v>539</v>
      </c>
      <c r="K1726" s="26" t="s">
        <v>301</v>
      </c>
      <c r="L1726" s="26" t="s">
        <v>302</v>
      </c>
      <c r="M1726" s="26" t="s">
        <v>303</v>
      </c>
      <c r="N1726" s="26">
        <v>100</v>
      </c>
      <c r="O1726" s="26">
        <f>2024-Inventory[[#This Row],[YrBlt]]</f>
        <v>94</v>
      </c>
      <c r="P1726" s="26">
        <f>2024-Inventory[[#This Row],[EffYr]]</f>
        <v>54</v>
      </c>
      <c r="Q1726" s="25">
        <v>1930</v>
      </c>
      <c r="R1726" s="25">
        <v>1970</v>
      </c>
      <c r="S1726" s="25">
        <v>1224</v>
      </c>
      <c r="T1726" s="32">
        <v>1024</v>
      </c>
      <c r="U1726" s="32">
        <v>304</v>
      </c>
      <c r="V1726" s="32">
        <f>Inventory[[#This Row],[Bsmt]]-Inventory[[#This Row],[FnBsmt]]</f>
        <v>304</v>
      </c>
      <c r="W1726" s="27"/>
      <c r="X1726" s="27"/>
      <c r="Y1726" s="27">
        <f>Inventory[[#This Row],[MainFn]]+Inventory[[#This Row],[UpprFn]]+Inventory[[#This Row],[FnBsmt]]+Inventory[[#This Row],[AddFn]]</f>
        <v>2248</v>
      </c>
      <c r="Z1726" s="27">
        <v>2500</v>
      </c>
      <c r="AA1726" s="25">
        <v>7</v>
      </c>
      <c r="AB1726" s="27"/>
      <c r="AC1726" s="27"/>
      <c r="AD1726" s="27"/>
      <c r="AE1726" s="27"/>
      <c r="AF1726" s="27"/>
      <c r="AG1726" s="27"/>
      <c r="AH1726" s="27"/>
      <c r="AI1726" s="25">
        <v>361470</v>
      </c>
      <c r="AJ1726" s="25">
        <v>245800</v>
      </c>
      <c r="AK1726" s="25">
        <v>6957</v>
      </c>
      <c r="AL1726" s="25">
        <v>371800</v>
      </c>
      <c r="AM1726" s="25">
        <v>61700</v>
      </c>
      <c r="AN1726" s="25">
        <v>310100</v>
      </c>
      <c r="AO1726" s="25">
        <v>0</v>
      </c>
      <c r="AP1726" s="25">
        <f>Lookups!$B$56*0</f>
        <v>0</v>
      </c>
      <c r="AQ1726" s="25">
        <f>Lookups!$B$56*1</f>
        <v>89850.625589999996</v>
      </c>
      <c r="AR1726" s="25">
        <f>Lookups!$B$57*Inventory[[#This Row],[LnAcres]]</f>
        <v>-47929.131559187132</v>
      </c>
      <c r="AS1726" s="25">
        <f>VLOOKUP(Inventory[[#This Row],[Qlty]],Lookups!$A$62:$E$75,2,FALSE)</f>
        <v>29814.093161000001</v>
      </c>
      <c r="AT1726" s="25">
        <f>VLOOKUP(Inventory[[#This Row],[Cnd]],Lookups!$A$76:$E$84,2,FALSE)</f>
        <v>197752.34721000001</v>
      </c>
      <c r="AU1726" s="25">
        <f>Inventory[[#This Row],[EffAge]]*Lookups!$B$85</f>
        <v>-12044.462427</v>
      </c>
      <c r="AV1726" s="25">
        <f>Inventory[[#This Row],[MainFn]]*Lookups!$B$86</f>
        <v>60476.211929448</v>
      </c>
      <c r="AW1726" s="25">
        <f>Inventory[[#This Row],[UpprFn]]*Lookups!$B$87</f>
        <v>45861.297009663998</v>
      </c>
      <c r="AX1726" s="25">
        <f>Inventory[[#This Row],[AddFn]]*Lookups!$B$88</f>
        <v>0</v>
      </c>
      <c r="AY1726" s="25">
        <f>Inventory[[#This Row],[Bsmt]]*Lookups!$B$89</f>
        <v>8840.8961550879994</v>
      </c>
      <c r="AZ1726" s="25">
        <f>Inventory[[#This Row],[Fixtures]]*Lookups!$B$90</f>
        <v>26544.1547364</v>
      </c>
      <c r="BA1726" s="25">
        <f>Inventory[[#This Row],[WdDeck]]*Lookups!$B$91</f>
        <v>0</v>
      </c>
      <c r="BB1726" s="25">
        <f>ROUND(Inventory[[#This Row],[25Det]],-2)</f>
        <v>7000</v>
      </c>
      <c r="BC1726" s="25">
        <f>ROUND(SUM(Inventory[[#This Row],[Mdl Qlty]:[Mdl WdDeck]])+Inventory[[#This Row],[Mdl Res Intercept]],-2)</f>
        <v>357200</v>
      </c>
      <c r="BD1726" s="25">
        <f>ROUND(Inventory[[#This Row],[Mdl Land Intercept]]+Inventory[[#This Row],[Mdl LnAcres]],-2)</f>
        <v>41900</v>
      </c>
      <c r="BE1726" s="25">
        <f>Inventory[[#This Row],[Unadj Res Value]]+Inventory[[#This Row],[Unadj Det Value]]+Inventory[[#This Row],[Unadj Land Value]]</f>
        <v>406100</v>
      </c>
      <c r="BF1726" s="36">
        <f>(Inventory[[#This Row],[Unadj Total Value]]-Inventory[[#This Row],[24Final]])/Inventory[[#This Row],[24Final]]</f>
        <v>9.225389994620764E-2</v>
      </c>
      <c r="BG1726" s="25">
        <f>VLOOKUP(Inventory[[#This Row],[Nbhd]],Lookups!$Q$2:$T$4,4,FALSE)</f>
        <v>0.99970000000000003</v>
      </c>
      <c r="BH1726" s="25">
        <f>VLOOKUP(Inventory[[#This Row],[Qlty]],Lookups!$O$7:$R$21,4,FALSE)</f>
        <v>1.0088999999999999</v>
      </c>
      <c r="BI1726" s="25">
        <f>VLOOKUP(Inventory[[#This Row],[Cnd]],Lookups!$T$7:$W$16,4,FALSE)</f>
        <v>0.99650000000000005</v>
      </c>
      <c r="BJ1726" s="25">
        <f>VLOOKUP(Inventory[[#This Row],[LivArea Range]],Lookups!$T$25:$W$37,4,FALSE)</f>
        <v>0.98919999999999997</v>
      </c>
      <c r="BK1726" s="25">
        <f>VLOOKUP(Inventory[[#This Row],[Decade]],Lookups!$O$25:$R$42,4,FALSE)</f>
        <v>1.0074000000000001</v>
      </c>
      <c r="BL1726" s="25">
        <f>Inventory[[#This Row],[Nbhd Adj]]*0.95</f>
        <v>0.94971499999999998</v>
      </c>
      <c r="BM1726" s="25">
        <f>Inventory[[#This Row],[Nbhd Adj]]*Inventory[[#This Row],[Quality Adj]]*Inventory[[#This Row],[Condition Adj]]*Inventory[[#This Row],[Living Area Adj]]*Inventory[[#This Row],[Decade Adj]]*0.95</f>
        <v>0.95149120146958555</v>
      </c>
      <c r="BN1726" s="25">
        <f>ROUND(SUM(Inventory[[#This Row],[Mdl Qlty]:[Mdl WdDeck]])+Inventory[[#This Row],[Mdl Res Intercept]]*Inventory[[#This Row],[Res Adj ]],-2)</f>
        <v>357200</v>
      </c>
      <c r="BO1726" s="25">
        <f>ROUND(Inventory[[#This Row],[25Det]]*Inventory[[#This Row],[Det/Nbhd Adj]],-2)</f>
        <v>6600</v>
      </c>
      <c r="BP1726" s="25">
        <f>Inventory[[#This Row],[Adjusted Res]]+Inventory[[#This Row],[Adj Det ]]</f>
        <v>363800</v>
      </c>
      <c r="BQ1726" s="25">
        <f>ROUND((Inventory[[#This Row],[Mdl Land Intercept]]+Inventory[[#This Row],[Mdl LnAcres]])*Inventory[[#This Row],[Det/Nbhd Adj]],-2)</f>
        <v>39800</v>
      </c>
      <c r="BR1726" s="25">
        <f>Inventory[[#This Row],[Adjusted Impr Total]]+Inventory[[#This Row],[Adjusted Land Total]]</f>
        <v>403600</v>
      </c>
      <c r="BS1726" s="36">
        <f>IFERROR((Inventory[[#This Row],[Adjusted Impr Total]]-Inventory[[#This Row],[24Bldg]])/Inventory[[#This Row],[24Bldg]],0)</f>
        <v>0.17316994517897452</v>
      </c>
      <c r="BT1726" s="36">
        <f>(Inventory[[#This Row],[Adjusted Land Total]]-Inventory[[#This Row],[24Lnd]])/Inventory[[#This Row],[24Lnd]]</f>
        <v>-0.35494327390599678</v>
      </c>
      <c r="BU1726" s="36">
        <f>(Inventory[[#This Row],[Adjusted Total]]-Inventory[[#This Row],[24Final]])/Inventory[[#This Row],[24Final]]</f>
        <v>8.5529854760623997E-2</v>
      </c>
    </row>
    <row r="1727" spans="1:73" x14ac:dyDescent="0.3">
      <c r="A1727" s="25">
        <v>2025</v>
      </c>
      <c r="B1727" s="26" t="s">
        <v>1030</v>
      </c>
      <c r="C1727" s="26">
        <f>LN(Inventory[[#This Row],[Acres]])</f>
        <v>-1.4271163556401458</v>
      </c>
      <c r="D1727" s="25">
        <v>0.24</v>
      </c>
      <c r="E1727" s="27"/>
      <c r="F1727" s="26" t="s">
        <v>537</v>
      </c>
      <c r="G1727" s="26" t="s">
        <v>126</v>
      </c>
      <c r="H1727" s="26" t="s">
        <v>349</v>
      </c>
      <c r="I1727" s="26" t="s">
        <v>538</v>
      </c>
      <c r="J1727" s="26" t="s">
        <v>539</v>
      </c>
      <c r="K1727" s="26" t="s">
        <v>269</v>
      </c>
      <c r="L1727" s="26" t="s">
        <v>148</v>
      </c>
      <c r="M1727" s="26" t="s">
        <v>303</v>
      </c>
      <c r="N1727" s="26">
        <v>100</v>
      </c>
      <c r="O1727" s="26">
        <f>2024-Inventory[[#This Row],[YrBlt]]</f>
        <v>94</v>
      </c>
      <c r="P1727" s="26">
        <f>2024-Inventory[[#This Row],[EffYr]]</f>
        <v>54</v>
      </c>
      <c r="Q1727" s="25">
        <v>1930</v>
      </c>
      <c r="R1727" s="25">
        <v>1970</v>
      </c>
      <c r="S1727" s="25">
        <v>2080</v>
      </c>
      <c r="T1727" s="27"/>
      <c r="U1727" s="32">
        <v>2080</v>
      </c>
      <c r="V1727" s="32">
        <f>Inventory[[#This Row],[Bsmt]]-Inventory[[#This Row],[FnBsmt]]</f>
        <v>1380</v>
      </c>
      <c r="W1727" s="32">
        <v>700</v>
      </c>
      <c r="X1727" s="27"/>
      <c r="Y1727" s="27">
        <f>Inventory[[#This Row],[MainFn]]+Inventory[[#This Row],[UpprFn]]+Inventory[[#This Row],[FnBsmt]]+Inventory[[#This Row],[AddFn]]</f>
        <v>2780</v>
      </c>
      <c r="Z1727" s="27">
        <v>3000</v>
      </c>
      <c r="AA1727" s="25">
        <v>8</v>
      </c>
      <c r="AB1727" s="31"/>
      <c r="AC1727" s="27"/>
      <c r="AD1727" s="27"/>
      <c r="AE1727" s="27"/>
      <c r="AF1727" s="27"/>
      <c r="AG1727" s="27"/>
      <c r="AH1727" s="27"/>
      <c r="AI1727" s="25">
        <v>573490</v>
      </c>
      <c r="AJ1727" s="25">
        <v>389973</v>
      </c>
      <c r="AK1727" s="25">
        <v>26526</v>
      </c>
      <c r="AL1727" s="25">
        <v>452400</v>
      </c>
      <c r="AM1727" s="25">
        <v>64800</v>
      </c>
      <c r="AN1727" s="25">
        <v>387600</v>
      </c>
      <c r="AO1727" s="25">
        <v>0</v>
      </c>
      <c r="AP1727" s="25">
        <f>Lookups!$B$56*0</f>
        <v>0</v>
      </c>
      <c r="AQ1727" s="25">
        <f>Lookups!$B$56*1</f>
        <v>89850.625589999996</v>
      </c>
      <c r="AR1727" s="25">
        <f>Lookups!$B$57*Inventory[[#This Row],[LnAcres]]</f>
        <v>-45174.819855485119</v>
      </c>
      <c r="AS1727" s="25">
        <f>VLOOKUP(Inventory[[#This Row],[Qlty]],Lookups!$A$62:$E$75,2,FALSE)</f>
        <v>44121.038090000002</v>
      </c>
      <c r="AT1727" s="25">
        <f>VLOOKUP(Inventory[[#This Row],[Cnd]],Lookups!$A$76:$E$84,2,FALSE)</f>
        <v>197752.34721000001</v>
      </c>
      <c r="AU1727" s="25">
        <f>Inventory[[#This Row],[EffAge]]*Lookups!$B$85</f>
        <v>-12044.462427</v>
      </c>
      <c r="AV1727" s="25">
        <f>Inventory[[#This Row],[MainFn]]*Lookups!$B$86</f>
        <v>102770.03334416001</v>
      </c>
      <c r="AW1727" s="25">
        <f>Inventory[[#This Row],[UpprFn]]*Lookups!$B$87</f>
        <v>0</v>
      </c>
      <c r="AX1727" s="25">
        <f>Inventory[[#This Row],[AddFn]]*Lookups!$B$88</f>
        <v>0</v>
      </c>
      <c r="AY1727" s="25">
        <f>Inventory[[#This Row],[Bsmt]]*Lookups!$B$89</f>
        <v>60490.342113759994</v>
      </c>
      <c r="AZ1727" s="25">
        <f>Inventory[[#This Row],[Fixtures]]*Lookups!$B$90</f>
        <v>30336.176841600001</v>
      </c>
      <c r="BA1727" s="25">
        <f>Inventory[[#This Row],[WdDeck]]*Lookups!$B$91</f>
        <v>0</v>
      </c>
      <c r="BB1727" s="25">
        <f>ROUND(Inventory[[#This Row],[25Det]],-2)</f>
        <v>26500</v>
      </c>
      <c r="BC1727" s="25">
        <f>ROUND(SUM(Inventory[[#This Row],[Mdl Qlty]:[Mdl WdDeck]])+Inventory[[#This Row],[Mdl Res Intercept]],-2)</f>
        <v>423400</v>
      </c>
      <c r="BD1727" s="25">
        <f>ROUND(Inventory[[#This Row],[Mdl Land Intercept]]+Inventory[[#This Row],[Mdl LnAcres]],-2)</f>
        <v>44700</v>
      </c>
      <c r="BE1727" s="25">
        <f>Inventory[[#This Row],[Unadj Res Value]]+Inventory[[#This Row],[Unadj Det Value]]+Inventory[[#This Row],[Unadj Land Value]]</f>
        <v>494600</v>
      </c>
      <c r="BF1727" s="36">
        <f>(Inventory[[#This Row],[Unadj Total Value]]-Inventory[[#This Row],[24Final]])/Inventory[[#This Row],[24Final]]</f>
        <v>9.3280282935455344E-2</v>
      </c>
      <c r="BG1727" s="25">
        <f>VLOOKUP(Inventory[[#This Row],[Nbhd]],Lookups!$Q$2:$T$4,4,FALSE)</f>
        <v>0.99970000000000003</v>
      </c>
      <c r="BH1727" s="25">
        <f>VLOOKUP(Inventory[[#This Row],[Qlty]],Lookups!$O$7:$R$21,4,FALSE)</f>
        <v>0.98050000000000004</v>
      </c>
      <c r="BI1727" s="25">
        <f>VLOOKUP(Inventory[[#This Row],[Cnd]],Lookups!$T$7:$W$16,4,FALSE)</f>
        <v>0.99650000000000005</v>
      </c>
      <c r="BJ1727" s="25">
        <f>VLOOKUP(Inventory[[#This Row],[LivArea Range]],Lookups!$T$25:$W$37,4,FALSE)</f>
        <v>0.96179999999999999</v>
      </c>
      <c r="BK1727" s="25">
        <f>VLOOKUP(Inventory[[#This Row],[Decade]],Lookups!$O$25:$R$42,4,FALSE)</f>
        <v>1.0074000000000001</v>
      </c>
      <c r="BL1727" s="25">
        <f>Inventory[[#This Row],[Nbhd Adj]]*0.95</f>
        <v>0.94971499999999998</v>
      </c>
      <c r="BM1727" s="25">
        <f>Inventory[[#This Row],[Nbhd Adj]]*Inventory[[#This Row],[Quality Adj]]*Inventory[[#This Row],[Condition Adj]]*Inventory[[#This Row],[Living Area Adj]]*Inventory[[#This Row],[Decade Adj]]*0.95</f>
        <v>0.89909362370491519</v>
      </c>
      <c r="BN1727" s="25">
        <f>ROUND(SUM(Inventory[[#This Row],[Mdl Qlty]:[Mdl WdDeck]])+Inventory[[#This Row],[Mdl Res Intercept]]*Inventory[[#This Row],[Res Adj ]],-2)</f>
        <v>423400</v>
      </c>
      <c r="BO1727" s="25">
        <f>ROUND(Inventory[[#This Row],[25Det]]*Inventory[[#This Row],[Det/Nbhd Adj]],-2)</f>
        <v>25200</v>
      </c>
      <c r="BP1727" s="25">
        <f>Inventory[[#This Row],[Adjusted Res]]+Inventory[[#This Row],[Adj Det ]]</f>
        <v>448600</v>
      </c>
      <c r="BQ1727" s="25">
        <f>ROUND((Inventory[[#This Row],[Mdl Land Intercept]]+Inventory[[#This Row],[Mdl LnAcres]])*Inventory[[#This Row],[Det/Nbhd Adj]],-2)</f>
        <v>42400</v>
      </c>
      <c r="BR1727" s="25">
        <f>Inventory[[#This Row],[Adjusted Impr Total]]+Inventory[[#This Row],[Adjusted Land Total]]</f>
        <v>491000</v>
      </c>
      <c r="BS1727" s="36">
        <f>IFERROR((Inventory[[#This Row],[Adjusted Impr Total]]-Inventory[[#This Row],[24Bldg]])/Inventory[[#This Row],[24Bldg]],0)</f>
        <v>0.15737874097007223</v>
      </c>
      <c r="BT1727" s="36">
        <f>(Inventory[[#This Row],[Adjusted Land Total]]-Inventory[[#This Row],[24Lnd]])/Inventory[[#This Row],[24Lnd]]</f>
        <v>-0.34567901234567899</v>
      </c>
      <c r="BU1727" s="36">
        <f>(Inventory[[#This Row],[Adjusted Total]]-Inventory[[#This Row],[24Final]])/Inventory[[#This Row],[24Final]]</f>
        <v>8.532272325375774E-2</v>
      </c>
    </row>
    <row r="1728" spans="1:73" x14ac:dyDescent="0.3">
      <c r="A1728" s="25">
        <v>2025</v>
      </c>
      <c r="B1728" s="26" t="s">
        <v>2859</v>
      </c>
      <c r="C1728" s="26">
        <f>LN(Inventory[[#This Row],[Acres]])</f>
        <v>-2.2072749131897207</v>
      </c>
      <c r="D1728" s="25">
        <v>0.11</v>
      </c>
      <c r="E1728" s="32">
        <v>4957</v>
      </c>
      <c r="F1728" s="26" t="s">
        <v>537</v>
      </c>
      <c r="G1728" s="26" t="s">
        <v>126</v>
      </c>
      <c r="H1728" s="26" t="s">
        <v>349</v>
      </c>
      <c r="I1728" s="26" t="s">
        <v>538</v>
      </c>
      <c r="J1728" s="26" t="s">
        <v>539</v>
      </c>
      <c r="K1728" s="26" t="s">
        <v>242</v>
      </c>
      <c r="L1728" s="26" t="s">
        <v>351</v>
      </c>
      <c r="M1728" s="26" t="s">
        <v>323</v>
      </c>
      <c r="N1728" s="26">
        <v>100</v>
      </c>
      <c r="O1728" s="26">
        <f>2024-Inventory[[#This Row],[YrBlt]]</f>
        <v>94</v>
      </c>
      <c r="P1728" s="26">
        <f>2024-Inventory[[#This Row],[EffYr]]</f>
        <v>54</v>
      </c>
      <c r="Q1728" s="25">
        <v>1930</v>
      </c>
      <c r="R1728" s="25">
        <v>1970</v>
      </c>
      <c r="S1728" s="25">
        <v>832</v>
      </c>
      <c r="T1728" s="27"/>
      <c r="U1728" s="32">
        <v>180</v>
      </c>
      <c r="V1728" s="32">
        <f>Inventory[[#This Row],[Bsmt]]-Inventory[[#This Row],[FnBsmt]]</f>
        <v>0</v>
      </c>
      <c r="W1728" s="32">
        <v>180</v>
      </c>
      <c r="X1728" s="27"/>
      <c r="Y1728" s="27">
        <f>Inventory[[#This Row],[MainFn]]+Inventory[[#This Row],[UpprFn]]+Inventory[[#This Row],[FnBsmt]]+Inventory[[#This Row],[AddFn]]</f>
        <v>1012</v>
      </c>
      <c r="Z1728" s="27">
        <v>1500</v>
      </c>
      <c r="AA1728" s="25">
        <v>5</v>
      </c>
      <c r="AB1728" s="31"/>
      <c r="AC1728" s="27"/>
      <c r="AD1728" s="25">
        <v>88</v>
      </c>
      <c r="AE1728" s="27"/>
      <c r="AF1728" s="27"/>
      <c r="AG1728" s="27"/>
      <c r="AH1728" s="27"/>
      <c r="AI1728" s="25">
        <v>158089</v>
      </c>
      <c r="AJ1728" s="25">
        <v>104339</v>
      </c>
      <c r="AK1728" s="25">
        <v>6227</v>
      </c>
      <c r="AL1728" s="25">
        <v>242600</v>
      </c>
      <c r="AM1728" s="25">
        <v>37600</v>
      </c>
      <c r="AN1728" s="25">
        <v>205000</v>
      </c>
      <c r="AO1728" s="25">
        <v>0</v>
      </c>
      <c r="AP1728" s="25">
        <f>Lookups!$B$56*0</f>
        <v>0</v>
      </c>
      <c r="AQ1728" s="25">
        <f>Lookups!$B$56*1</f>
        <v>89850.625589999996</v>
      </c>
      <c r="AR1728" s="25">
        <f>Lookups!$B$57*Inventory[[#This Row],[LnAcres]]</f>
        <v>-69870.439211769743</v>
      </c>
      <c r="AS1728" s="25">
        <f>VLOOKUP(Inventory[[#This Row],[Qlty]],Lookups!$A$62:$E$75,2,FALSE)</f>
        <v>21557.329055999999</v>
      </c>
      <c r="AT1728" s="25">
        <f>VLOOKUP(Inventory[[#This Row],[Cnd]],Lookups!$A$76:$E$84,2,FALSE)</f>
        <v>160472.20319</v>
      </c>
      <c r="AU1728" s="25">
        <f>Inventory[[#This Row],[EffAge]]*Lookups!$B$85</f>
        <v>-12044.462427</v>
      </c>
      <c r="AV1728" s="25">
        <f>Inventory[[#This Row],[MainFn]]*Lookups!$B$86</f>
        <v>41108.013337664001</v>
      </c>
      <c r="AW1728" s="25">
        <f>Inventory[[#This Row],[UpprFn]]*Lookups!$B$87</f>
        <v>0</v>
      </c>
      <c r="AX1728" s="25">
        <f>Inventory[[#This Row],[AddFn]]*Lookups!$B$88</f>
        <v>0</v>
      </c>
      <c r="AY1728" s="25">
        <f>Inventory[[#This Row],[Bsmt]]*Lookups!$B$89</f>
        <v>5234.7411444599993</v>
      </c>
      <c r="AZ1728" s="25">
        <f>Inventory[[#This Row],[Fixtures]]*Lookups!$B$90</f>
        <v>18960.110526</v>
      </c>
      <c r="BA1728" s="25">
        <f>Inventory[[#This Row],[WdDeck]]*Lookups!$B$91</f>
        <v>2930.0053442880003</v>
      </c>
      <c r="BB1728" s="25">
        <f>ROUND(Inventory[[#This Row],[25Det]],-2)</f>
        <v>6200</v>
      </c>
      <c r="BC1728" s="25">
        <f>ROUND(SUM(Inventory[[#This Row],[Mdl Qlty]:[Mdl WdDeck]])+Inventory[[#This Row],[Mdl Res Intercept]],-2)</f>
        <v>238200</v>
      </c>
      <c r="BD1728" s="25">
        <f>ROUND(Inventory[[#This Row],[Mdl Land Intercept]]+Inventory[[#This Row],[Mdl LnAcres]],-2)</f>
        <v>20000</v>
      </c>
      <c r="BE1728" s="25">
        <f>Inventory[[#This Row],[Unadj Res Value]]+Inventory[[#This Row],[Unadj Det Value]]+Inventory[[#This Row],[Unadj Land Value]]</f>
        <v>264400</v>
      </c>
      <c r="BF1728" s="36">
        <f>(Inventory[[#This Row],[Unadj Total Value]]-Inventory[[#This Row],[24Final]])/Inventory[[#This Row],[24Final]]</f>
        <v>8.9859851607584501E-2</v>
      </c>
      <c r="BG1728" s="25">
        <f>VLOOKUP(Inventory[[#This Row],[Nbhd]],Lookups!$Q$2:$T$4,4,FALSE)</f>
        <v>0.99970000000000003</v>
      </c>
      <c r="BH1728" s="25">
        <f>VLOOKUP(Inventory[[#This Row],[Qlty]],Lookups!$O$7:$R$21,4,FALSE)</f>
        <v>1.0067999999999999</v>
      </c>
      <c r="BI1728" s="25">
        <f>VLOOKUP(Inventory[[#This Row],[Cnd]],Lookups!$T$7:$W$16,4,FALSE)</f>
        <v>0.99729999999999996</v>
      </c>
      <c r="BJ1728" s="25">
        <f>VLOOKUP(Inventory[[#This Row],[LivArea Range]],Lookups!$T$25:$W$37,4,FALSE)</f>
        <v>1.0157</v>
      </c>
      <c r="BK1728" s="25">
        <f>VLOOKUP(Inventory[[#This Row],[Decade]],Lookups!$O$25:$R$42,4,FALSE)</f>
        <v>1.0074000000000001</v>
      </c>
      <c r="BL1728" s="25">
        <f>Inventory[[#This Row],[Nbhd Adj]]*0.95</f>
        <v>0.94971499999999998</v>
      </c>
      <c r="BM1728" s="25">
        <f>Inventory[[#This Row],[Nbhd Adj]]*Inventory[[#This Row],[Quality Adj]]*Inventory[[#This Row],[Condition Adj]]*Inventory[[#This Row],[Living Area Adj]]*Inventory[[#This Row],[Decade Adj]]*0.95</f>
        <v>0.97573014419916293</v>
      </c>
      <c r="BN1728" s="25">
        <f>ROUND(SUM(Inventory[[#This Row],[Mdl Qlty]:[Mdl WdDeck]])+Inventory[[#This Row],[Mdl Res Intercept]]*Inventory[[#This Row],[Res Adj ]],-2)</f>
        <v>238200</v>
      </c>
      <c r="BO1728" s="25">
        <f>ROUND(Inventory[[#This Row],[25Det]]*Inventory[[#This Row],[Det/Nbhd Adj]],-2)</f>
        <v>5900</v>
      </c>
      <c r="BP1728" s="25">
        <f>Inventory[[#This Row],[Adjusted Res]]+Inventory[[#This Row],[Adj Det ]]</f>
        <v>244100</v>
      </c>
      <c r="BQ1728" s="25">
        <f>ROUND((Inventory[[#This Row],[Mdl Land Intercept]]+Inventory[[#This Row],[Mdl LnAcres]])*Inventory[[#This Row],[Det/Nbhd Adj]],-2)</f>
        <v>19000</v>
      </c>
      <c r="BR1728" s="25">
        <f>Inventory[[#This Row],[Adjusted Impr Total]]+Inventory[[#This Row],[Adjusted Land Total]]</f>
        <v>263100</v>
      </c>
      <c r="BS1728" s="36">
        <f>IFERROR((Inventory[[#This Row],[Adjusted Impr Total]]-Inventory[[#This Row],[24Bldg]])/Inventory[[#This Row],[24Bldg]],0)</f>
        <v>0.19073170731707317</v>
      </c>
      <c r="BT1728" s="36">
        <f>(Inventory[[#This Row],[Adjusted Land Total]]-Inventory[[#This Row],[24Lnd]])/Inventory[[#This Row],[24Lnd]]</f>
        <v>-0.49468085106382981</v>
      </c>
      <c r="BU1728" s="36">
        <f>(Inventory[[#This Row],[Adjusted Total]]-Inventory[[#This Row],[24Final]])/Inventory[[#This Row],[24Final]]</f>
        <v>8.4501236603462496E-2</v>
      </c>
    </row>
    <row r="1729" spans="1:73" x14ac:dyDescent="0.3">
      <c r="A1729" s="25">
        <v>2025</v>
      </c>
      <c r="B1729" s="26" t="s">
        <v>2391</v>
      </c>
      <c r="C1729" s="26">
        <f>LN(Inventory[[#This Row],[Acres]])</f>
        <v>-1.3470736479666092</v>
      </c>
      <c r="D1729" s="25">
        <v>0.26</v>
      </c>
      <c r="E1729" s="27"/>
      <c r="F1729" s="26" t="s">
        <v>537</v>
      </c>
      <c r="G1729" s="26" t="s">
        <v>126</v>
      </c>
      <c r="H1729" s="26" t="s">
        <v>349</v>
      </c>
      <c r="I1729" s="26" t="s">
        <v>538</v>
      </c>
      <c r="J1729" s="26" t="s">
        <v>539</v>
      </c>
      <c r="K1729" s="26" t="s">
        <v>269</v>
      </c>
      <c r="L1729" s="26" t="s">
        <v>148</v>
      </c>
      <c r="M1729" s="26" t="s">
        <v>303</v>
      </c>
      <c r="N1729" s="26">
        <v>100</v>
      </c>
      <c r="O1729" s="26">
        <f>2024-Inventory[[#This Row],[YrBlt]]</f>
        <v>94</v>
      </c>
      <c r="P1729" s="26">
        <f>2024-Inventory[[#This Row],[EffYr]]</f>
        <v>54</v>
      </c>
      <c r="Q1729" s="25">
        <v>1930</v>
      </c>
      <c r="R1729" s="25">
        <v>1970</v>
      </c>
      <c r="S1729" s="25">
        <v>1337</v>
      </c>
      <c r="T1729" s="27"/>
      <c r="U1729" s="32">
        <v>1205</v>
      </c>
      <c r="V1729" s="32">
        <f>Inventory[[#This Row],[Bsmt]]-Inventory[[#This Row],[FnBsmt]]</f>
        <v>604</v>
      </c>
      <c r="W1729" s="32">
        <v>601</v>
      </c>
      <c r="X1729" s="27"/>
      <c r="Y1729" s="27">
        <f>Inventory[[#This Row],[MainFn]]+Inventory[[#This Row],[UpprFn]]+Inventory[[#This Row],[FnBsmt]]+Inventory[[#This Row],[AddFn]]</f>
        <v>1938</v>
      </c>
      <c r="Z1729" s="27">
        <v>2000</v>
      </c>
      <c r="AA1729" s="25">
        <v>7</v>
      </c>
      <c r="AB1729" s="31"/>
      <c r="AC1729" s="27"/>
      <c r="AD1729" s="27"/>
      <c r="AE1729" s="27"/>
      <c r="AF1729" s="27"/>
      <c r="AG1729" s="27"/>
      <c r="AH1729" s="27"/>
      <c r="AI1729" s="25">
        <v>363696</v>
      </c>
      <c r="AJ1729" s="25">
        <v>247313</v>
      </c>
      <c r="AK1729" s="25">
        <v>7601</v>
      </c>
      <c r="AL1729" s="25">
        <v>377700</v>
      </c>
      <c r="AM1729" s="25">
        <v>67600</v>
      </c>
      <c r="AN1729" s="25">
        <v>310100</v>
      </c>
      <c r="AO1729" s="25">
        <v>0</v>
      </c>
      <c r="AP1729" s="25">
        <f>Lookups!$B$56*0</f>
        <v>0</v>
      </c>
      <c r="AQ1729" s="25">
        <f>Lookups!$B$56*1</f>
        <v>89850.625589999996</v>
      </c>
      <c r="AR1729" s="25">
        <f>Lookups!$B$57*Inventory[[#This Row],[LnAcres]]</f>
        <v>-42641.098701210125</v>
      </c>
      <c r="AS1729" s="25">
        <f>VLOOKUP(Inventory[[#This Row],[Qlty]],Lookups!$A$62:$E$75,2,FALSE)</f>
        <v>44121.038090000002</v>
      </c>
      <c r="AT1729" s="25">
        <f>VLOOKUP(Inventory[[#This Row],[Cnd]],Lookups!$A$76:$E$84,2,FALSE)</f>
        <v>197752.34721000001</v>
      </c>
      <c r="AU1729" s="25">
        <f>Inventory[[#This Row],[EffAge]]*Lookups!$B$85</f>
        <v>-12044.462427</v>
      </c>
      <c r="AV1729" s="25">
        <f>Inventory[[#This Row],[MainFn]]*Lookups!$B$86</f>
        <v>66059.391625549004</v>
      </c>
      <c r="AW1729" s="25">
        <f>Inventory[[#This Row],[UpprFn]]*Lookups!$B$87</f>
        <v>0</v>
      </c>
      <c r="AX1729" s="25">
        <f>Inventory[[#This Row],[AddFn]]*Lookups!$B$88</f>
        <v>0</v>
      </c>
      <c r="AY1729" s="25">
        <f>Inventory[[#This Row],[Bsmt]]*Lookups!$B$89</f>
        <v>35043.683772634999</v>
      </c>
      <c r="AZ1729" s="25">
        <f>Inventory[[#This Row],[Fixtures]]*Lookups!$B$90</f>
        <v>26544.1547364</v>
      </c>
      <c r="BA1729" s="25">
        <f>Inventory[[#This Row],[WdDeck]]*Lookups!$B$91</f>
        <v>0</v>
      </c>
      <c r="BB1729" s="25">
        <f>ROUND(Inventory[[#This Row],[25Det]],-2)</f>
        <v>7600</v>
      </c>
      <c r="BC1729" s="25">
        <f>ROUND(SUM(Inventory[[#This Row],[Mdl Qlty]:[Mdl WdDeck]])+Inventory[[#This Row],[Mdl Res Intercept]],-2)</f>
        <v>357500</v>
      </c>
      <c r="BD1729" s="25">
        <f>ROUND(Inventory[[#This Row],[Mdl Land Intercept]]+Inventory[[#This Row],[Mdl LnAcres]],-2)</f>
        <v>47200</v>
      </c>
      <c r="BE1729" s="25">
        <f>Inventory[[#This Row],[Unadj Res Value]]+Inventory[[#This Row],[Unadj Det Value]]+Inventory[[#This Row],[Unadj Land Value]]</f>
        <v>412300</v>
      </c>
      <c r="BF1729" s="36">
        <f>(Inventory[[#This Row],[Unadj Total Value]]-Inventory[[#This Row],[24Final]])/Inventory[[#This Row],[24Final]]</f>
        <v>9.1607095578501455E-2</v>
      </c>
      <c r="BG1729" s="25">
        <f>VLOOKUP(Inventory[[#This Row],[Nbhd]],Lookups!$Q$2:$T$4,4,FALSE)</f>
        <v>0.99970000000000003</v>
      </c>
      <c r="BH1729" s="25">
        <f>VLOOKUP(Inventory[[#This Row],[Qlty]],Lookups!$O$7:$R$21,4,FALSE)</f>
        <v>0.98050000000000004</v>
      </c>
      <c r="BI1729" s="25">
        <f>VLOOKUP(Inventory[[#This Row],[Cnd]],Lookups!$T$7:$W$16,4,FALSE)</f>
        <v>0.99650000000000005</v>
      </c>
      <c r="BJ1729" s="25">
        <f>VLOOKUP(Inventory[[#This Row],[LivArea Range]],Lookups!$T$25:$W$37,4,FALSE)</f>
        <v>1.0093000000000001</v>
      </c>
      <c r="BK1729" s="25">
        <f>VLOOKUP(Inventory[[#This Row],[Decade]],Lookups!$O$25:$R$42,4,FALSE)</f>
        <v>1.0074000000000001</v>
      </c>
      <c r="BL1729" s="25">
        <f>Inventory[[#This Row],[Nbhd Adj]]*0.95</f>
        <v>0.94971499999999998</v>
      </c>
      <c r="BM1729" s="25">
        <f>Inventory[[#This Row],[Nbhd Adj]]*Inventory[[#This Row],[Quality Adj]]*Inventory[[#This Row],[Condition Adj]]*Inventory[[#This Row],[Living Area Adj]]*Inventory[[#This Row],[Decade Adj]]*0.95</f>
        <v>0.94349677105985763</v>
      </c>
      <c r="BN1729" s="25">
        <f>ROUND(SUM(Inventory[[#This Row],[Mdl Qlty]:[Mdl WdDeck]])+Inventory[[#This Row],[Mdl Res Intercept]]*Inventory[[#This Row],[Res Adj ]],-2)</f>
        <v>357500</v>
      </c>
      <c r="BO1729" s="25">
        <f>ROUND(Inventory[[#This Row],[25Det]]*Inventory[[#This Row],[Det/Nbhd Adj]],-2)</f>
        <v>7200</v>
      </c>
      <c r="BP1729" s="25">
        <f>Inventory[[#This Row],[Adjusted Res]]+Inventory[[#This Row],[Adj Det ]]</f>
        <v>364700</v>
      </c>
      <c r="BQ1729" s="25">
        <f>ROUND((Inventory[[#This Row],[Mdl Land Intercept]]+Inventory[[#This Row],[Mdl LnAcres]])*Inventory[[#This Row],[Det/Nbhd Adj]],-2)</f>
        <v>44800</v>
      </c>
      <c r="BR1729" s="25">
        <f>Inventory[[#This Row],[Adjusted Impr Total]]+Inventory[[#This Row],[Adjusted Land Total]]</f>
        <v>409500</v>
      </c>
      <c r="BS1729" s="36">
        <f>IFERROR((Inventory[[#This Row],[Adjusted Impr Total]]-Inventory[[#This Row],[24Bldg]])/Inventory[[#This Row],[24Bldg]],0)</f>
        <v>0.17607223476297967</v>
      </c>
      <c r="BT1729" s="36">
        <f>(Inventory[[#This Row],[Adjusted Land Total]]-Inventory[[#This Row],[24Lnd]])/Inventory[[#This Row],[24Lnd]]</f>
        <v>-0.33727810650887574</v>
      </c>
      <c r="BU1729" s="36">
        <f>(Inventory[[#This Row],[Adjusted Total]]-Inventory[[#This Row],[24Final]])/Inventory[[#This Row],[24Final]]</f>
        <v>8.4193804606830819E-2</v>
      </c>
    </row>
    <row r="1730" spans="1:73" x14ac:dyDescent="0.3">
      <c r="A1730" s="25">
        <v>2025</v>
      </c>
      <c r="B1730" s="26" t="s">
        <v>1854</v>
      </c>
      <c r="C1730" s="26">
        <f>LN(Inventory[[#This Row],[Acres]])</f>
        <v>-1.8325814637483102</v>
      </c>
      <c r="D1730" s="25">
        <v>0.16</v>
      </c>
      <c r="E1730" s="27"/>
      <c r="F1730" s="26" t="s">
        <v>537</v>
      </c>
      <c r="G1730" s="26" t="s">
        <v>126</v>
      </c>
      <c r="H1730" s="26" t="s">
        <v>349</v>
      </c>
      <c r="I1730" s="26" t="s">
        <v>538</v>
      </c>
      <c r="J1730" s="26" t="s">
        <v>539</v>
      </c>
      <c r="K1730" s="26" t="s">
        <v>4</v>
      </c>
      <c r="L1730" s="26" t="s">
        <v>302</v>
      </c>
      <c r="M1730" s="26" t="s">
        <v>323</v>
      </c>
      <c r="N1730" s="26">
        <v>100</v>
      </c>
      <c r="O1730" s="26">
        <f>2024-Inventory[[#This Row],[YrBlt]]</f>
        <v>94</v>
      </c>
      <c r="P1730" s="26">
        <f>2024-Inventory[[#This Row],[EffYr]]</f>
        <v>54</v>
      </c>
      <c r="Q1730" s="25">
        <v>1930</v>
      </c>
      <c r="R1730" s="25">
        <v>1970</v>
      </c>
      <c r="S1730" s="25">
        <v>1370</v>
      </c>
      <c r="T1730" s="27"/>
      <c r="U1730" s="32">
        <v>1010</v>
      </c>
      <c r="V1730" s="32">
        <f>Inventory[[#This Row],[Bsmt]]-Inventory[[#This Row],[FnBsmt]]</f>
        <v>1010</v>
      </c>
      <c r="W1730" s="27"/>
      <c r="X1730" s="27"/>
      <c r="Y1730" s="27">
        <f>Inventory[[#This Row],[MainFn]]+Inventory[[#This Row],[UpprFn]]+Inventory[[#This Row],[FnBsmt]]+Inventory[[#This Row],[AddFn]]</f>
        <v>1370</v>
      </c>
      <c r="Z1730" s="27">
        <v>1500</v>
      </c>
      <c r="AA1730" s="25">
        <v>5</v>
      </c>
      <c r="AB1730" s="31"/>
      <c r="AC1730" s="27"/>
      <c r="AD1730" s="31"/>
      <c r="AE1730" s="27"/>
      <c r="AF1730" s="27"/>
      <c r="AG1730" s="27"/>
      <c r="AH1730" s="27"/>
      <c r="AI1730" s="25">
        <v>300947</v>
      </c>
      <c r="AJ1730" s="25">
        <v>198625</v>
      </c>
      <c r="AK1730" s="25">
        <v>6227</v>
      </c>
      <c r="AL1730" s="25">
        <v>304900</v>
      </c>
      <c r="AM1730" s="25">
        <v>50600</v>
      </c>
      <c r="AN1730" s="25">
        <v>254300</v>
      </c>
      <c r="AO1730" s="25">
        <v>0</v>
      </c>
      <c r="AP1730" s="25">
        <f>Lookups!$B$56*0</f>
        <v>0</v>
      </c>
      <c r="AQ1730" s="25">
        <f>Lookups!$B$56*1</f>
        <v>89850.625589999996</v>
      </c>
      <c r="AR1730" s="25">
        <f>Lookups!$B$57*Inventory[[#This Row],[LnAcres]]</f>
        <v>-58009.662049032086</v>
      </c>
      <c r="AS1730" s="25">
        <f>VLOOKUP(Inventory[[#This Row],[Qlty]],Lookups!$A$62:$E$75,2,FALSE)</f>
        <v>29814.093161000001</v>
      </c>
      <c r="AT1730" s="25">
        <f>VLOOKUP(Inventory[[#This Row],[Cnd]],Lookups!$A$76:$E$84,2,FALSE)</f>
        <v>160472.20319</v>
      </c>
      <c r="AU1730" s="25">
        <f>Inventory[[#This Row],[EffAge]]*Lookups!$B$85</f>
        <v>-12044.462427</v>
      </c>
      <c r="AV1730" s="25">
        <f>Inventory[[#This Row],[MainFn]]*Lookups!$B$86</f>
        <v>67689.877731490007</v>
      </c>
      <c r="AW1730" s="25">
        <f>Inventory[[#This Row],[UpprFn]]*Lookups!$B$87</f>
        <v>0</v>
      </c>
      <c r="AX1730" s="25">
        <f>Inventory[[#This Row],[AddFn]]*Lookups!$B$88</f>
        <v>0</v>
      </c>
      <c r="AY1730" s="25">
        <f>Inventory[[#This Row],[Bsmt]]*Lookups!$B$89</f>
        <v>29372.71419947</v>
      </c>
      <c r="AZ1730" s="25">
        <f>Inventory[[#This Row],[Fixtures]]*Lookups!$B$90</f>
        <v>18960.110526</v>
      </c>
      <c r="BA1730" s="25">
        <f>Inventory[[#This Row],[WdDeck]]*Lookups!$B$91</f>
        <v>0</v>
      </c>
      <c r="BB1730" s="25">
        <f>ROUND(Inventory[[#This Row],[25Det]],-2)</f>
        <v>6200</v>
      </c>
      <c r="BC1730" s="25">
        <f>ROUND(SUM(Inventory[[#This Row],[Mdl Qlty]:[Mdl WdDeck]])+Inventory[[#This Row],[Mdl Res Intercept]],-2)</f>
        <v>294300</v>
      </c>
      <c r="BD1730" s="25">
        <f>ROUND(Inventory[[#This Row],[Mdl Land Intercept]]+Inventory[[#This Row],[Mdl LnAcres]],-2)</f>
        <v>31800</v>
      </c>
      <c r="BE1730" s="25">
        <f>Inventory[[#This Row],[Unadj Res Value]]+Inventory[[#This Row],[Unadj Det Value]]+Inventory[[#This Row],[Unadj Land Value]]</f>
        <v>332300</v>
      </c>
      <c r="BF1730" s="36">
        <f>(Inventory[[#This Row],[Unadj Total Value]]-Inventory[[#This Row],[24Final]])/Inventory[[#This Row],[24Final]]</f>
        <v>8.9865529681862899E-2</v>
      </c>
      <c r="BG1730" s="25">
        <f>VLOOKUP(Inventory[[#This Row],[Nbhd]],Lookups!$Q$2:$T$4,4,FALSE)</f>
        <v>0.99970000000000003</v>
      </c>
      <c r="BH1730" s="25">
        <f>VLOOKUP(Inventory[[#This Row],[Qlty]],Lookups!$O$7:$R$21,4,FALSE)</f>
        <v>1.0088999999999999</v>
      </c>
      <c r="BI1730" s="25">
        <f>VLOOKUP(Inventory[[#This Row],[Cnd]],Lookups!$T$7:$W$16,4,FALSE)</f>
        <v>0.99729999999999996</v>
      </c>
      <c r="BJ1730" s="25">
        <f>VLOOKUP(Inventory[[#This Row],[LivArea Range]],Lookups!$T$25:$W$37,4,FALSE)</f>
        <v>1.0157</v>
      </c>
      <c r="BK1730" s="25">
        <f>VLOOKUP(Inventory[[#This Row],[Decade]],Lookups!$O$25:$R$42,4,FALSE)</f>
        <v>1.0074000000000001</v>
      </c>
      <c r="BL1730" s="25">
        <f>Inventory[[#This Row],[Nbhd Adj]]*0.95</f>
        <v>0.94971499999999998</v>
      </c>
      <c r="BM1730" s="25">
        <f>Inventory[[#This Row],[Nbhd Adj]]*Inventory[[#This Row],[Quality Adj]]*Inventory[[#This Row],[Condition Adj]]*Inventory[[#This Row],[Living Area Adj]]*Inventory[[#This Row],[Decade Adj]]*0.95</f>
        <v>0.97776533818289202</v>
      </c>
      <c r="BN1730" s="25">
        <f>ROUND(SUM(Inventory[[#This Row],[Mdl Qlty]:[Mdl WdDeck]])+Inventory[[#This Row],[Mdl Res Intercept]]*Inventory[[#This Row],[Res Adj ]],-2)</f>
        <v>294300</v>
      </c>
      <c r="BO1730" s="25">
        <f>ROUND(Inventory[[#This Row],[25Det]]*Inventory[[#This Row],[Det/Nbhd Adj]],-2)</f>
        <v>5900</v>
      </c>
      <c r="BP1730" s="25">
        <f>Inventory[[#This Row],[Adjusted Res]]+Inventory[[#This Row],[Adj Det ]]</f>
        <v>300200</v>
      </c>
      <c r="BQ1730" s="25">
        <f>ROUND((Inventory[[#This Row],[Mdl Land Intercept]]+Inventory[[#This Row],[Mdl LnAcres]])*Inventory[[#This Row],[Det/Nbhd Adj]],-2)</f>
        <v>30200</v>
      </c>
      <c r="BR1730" s="25">
        <f>Inventory[[#This Row],[Adjusted Impr Total]]+Inventory[[#This Row],[Adjusted Land Total]]</f>
        <v>330400</v>
      </c>
      <c r="BS1730" s="36">
        <f>IFERROR((Inventory[[#This Row],[Adjusted Impr Total]]-Inventory[[#This Row],[24Bldg]])/Inventory[[#This Row],[24Bldg]],0)</f>
        <v>0.18049547778214706</v>
      </c>
      <c r="BT1730" s="36">
        <f>(Inventory[[#This Row],[Adjusted Land Total]]-Inventory[[#This Row],[24Lnd]])/Inventory[[#This Row],[24Lnd]]</f>
        <v>-0.40316205533596838</v>
      </c>
      <c r="BU1730" s="36">
        <f>(Inventory[[#This Row],[Adjusted Total]]-Inventory[[#This Row],[24Final]])/Inventory[[#This Row],[24Final]]</f>
        <v>8.3633978353558541E-2</v>
      </c>
    </row>
    <row r="1731" spans="1:73" x14ac:dyDescent="0.3">
      <c r="A1731" s="25">
        <v>2025</v>
      </c>
      <c r="B1731" s="26" t="s">
        <v>2170</v>
      </c>
      <c r="C1731" s="26">
        <f>LN(Inventory[[#This Row],[Acres]])</f>
        <v>-1.8325814637483102</v>
      </c>
      <c r="D1731" s="25">
        <v>0.16</v>
      </c>
      <c r="E1731" s="32">
        <v>6975</v>
      </c>
      <c r="F1731" s="26" t="s">
        <v>537</v>
      </c>
      <c r="G1731" s="26" t="s">
        <v>126</v>
      </c>
      <c r="H1731" s="26" t="s">
        <v>349</v>
      </c>
      <c r="I1731" s="26" t="s">
        <v>538</v>
      </c>
      <c r="J1731" s="26" t="s">
        <v>539</v>
      </c>
      <c r="K1731" s="26" t="s">
        <v>269</v>
      </c>
      <c r="L1731" s="26" t="s">
        <v>351</v>
      </c>
      <c r="M1731" s="26" t="s">
        <v>303</v>
      </c>
      <c r="N1731" s="26">
        <v>100</v>
      </c>
      <c r="O1731" s="26">
        <f>2024-Inventory[[#This Row],[YrBlt]]</f>
        <v>94</v>
      </c>
      <c r="P1731" s="26">
        <f>2024-Inventory[[#This Row],[EffYr]]</f>
        <v>54</v>
      </c>
      <c r="Q1731" s="25">
        <v>1930</v>
      </c>
      <c r="R1731" s="25">
        <v>1970</v>
      </c>
      <c r="S1731" s="25">
        <v>982</v>
      </c>
      <c r="T1731" s="27"/>
      <c r="U1731" s="25">
        <v>648</v>
      </c>
      <c r="V1731" s="25">
        <f>Inventory[[#This Row],[Bsmt]]-Inventory[[#This Row],[FnBsmt]]</f>
        <v>0</v>
      </c>
      <c r="W1731" s="25">
        <v>648</v>
      </c>
      <c r="X1731" s="27"/>
      <c r="Y1731" s="27">
        <f>Inventory[[#This Row],[MainFn]]+Inventory[[#This Row],[UpprFn]]+Inventory[[#This Row],[FnBsmt]]+Inventory[[#This Row],[AddFn]]</f>
        <v>1630</v>
      </c>
      <c r="Z1731" s="27">
        <v>2000</v>
      </c>
      <c r="AA1731" s="25">
        <v>5</v>
      </c>
      <c r="AB1731" s="32">
        <v>180</v>
      </c>
      <c r="AC1731" s="27"/>
      <c r="AD1731" s="31"/>
      <c r="AE1731" s="27"/>
      <c r="AF1731" s="27"/>
      <c r="AG1731" s="27"/>
      <c r="AH1731" s="27"/>
      <c r="AI1731" s="25">
        <v>227605</v>
      </c>
      <c r="AJ1731" s="25">
        <v>154771</v>
      </c>
      <c r="AK1731" s="25">
        <v>0</v>
      </c>
      <c r="AL1731" s="25">
        <v>299200</v>
      </c>
      <c r="AM1731" s="25">
        <v>50600</v>
      </c>
      <c r="AN1731" s="25">
        <v>248600</v>
      </c>
      <c r="AO1731" s="25">
        <v>0</v>
      </c>
      <c r="AP1731" s="25">
        <f>Lookups!$B$56*0</f>
        <v>0</v>
      </c>
      <c r="AQ1731" s="25">
        <f>Lookups!$B$56*1</f>
        <v>89850.625589999996</v>
      </c>
      <c r="AR1731" s="25">
        <f>Lookups!$B$57*Inventory[[#This Row],[LnAcres]]</f>
        <v>-58009.662049032086</v>
      </c>
      <c r="AS1731" s="25">
        <f>VLOOKUP(Inventory[[#This Row],[Qlty]],Lookups!$A$62:$E$75,2,FALSE)</f>
        <v>21557.329055999999</v>
      </c>
      <c r="AT1731" s="25">
        <f>VLOOKUP(Inventory[[#This Row],[Cnd]],Lookups!$A$76:$E$84,2,FALSE)</f>
        <v>197752.34721000001</v>
      </c>
      <c r="AU1731" s="25">
        <f>Inventory[[#This Row],[EffAge]]*Lookups!$B$85</f>
        <v>-12044.462427</v>
      </c>
      <c r="AV1731" s="25">
        <f>Inventory[[#This Row],[MainFn]]*Lookups!$B$86</f>
        <v>48519.313819214003</v>
      </c>
      <c r="AW1731" s="25">
        <f>Inventory[[#This Row],[UpprFn]]*Lookups!$B$87</f>
        <v>0</v>
      </c>
      <c r="AX1731" s="25">
        <f>Inventory[[#This Row],[AddFn]]*Lookups!$B$88</f>
        <v>0</v>
      </c>
      <c r="AY1731" s="25">
        <f>Inventory[[#This Row],[Bsmt]]*Lookups!$B$89</f>
        <v>18845.068120055999</v>
      </c>
      <c r="AZ1731" s="25">
        <f>Inventory[[#This Row],[Fixtures]]*Lookups!$B$90</f>
        <v>18960.110526</v>
      </c>
      <c r="BA1731" s="25">
        <f>Inventory[[#This Row],[WdDeck]]*Lookups!$B$91</f>
        <v>0</v>
      </c>
      <c r="BB1731" s="25">
        <f>ROUND(Inventory[[#This Row],[25Det]],-2)</f>
        <v>0</v>
      </c>
      <c r="BC1731" s="25">
        <f>ROUND(SUM(Inventory[[#This Row],[Mdl Qlty]:[Mdl WdDeck]])+Inventory[[#This Row],[Mdl Res Intercept]],-2)</f>
        <v>293600</v>
      </c>
      <c r="BD1731" s="25">
        <f>ROUND(Inventory[[#This Row],[Mdl Land Intercept]]+Inventory[[#This Row],[Mdl LnAcres]],-2)</f>
        <v>31800</v>
      </c>
      <c r="BE1731" s="25">
        <f>Inventory[[#This Row],[Unadj Res Value]]+Inventory[[#This Row],[Unadj Det Value]]+Inventory[[#This Row],[Unadj Land Value]]</f>
        <v>325400</v>
      </c>
      <c r="BF1731" s="36">
        <f>(Inventory[[#This Row],[Unadj Total Value]]-Inventory[[#This Row],[24Final]])/Inventory[[#This Row],[24Final]]</f>
        <v>8.7566844919786099E-2</v>
      </c>
      <c r="BG1731" s="25">
        <f>VLOOKUP(Inventory[[#This Row],[Nbhd]],Lookups!$Q$2:$T$4,4,FALSE)</f>
        <v>0.99970000000000003</v>
      </c>
      <c r="BH1731" s="25">
        <f>VLOOKUP(Inventory[[#This Row],[Qlty]],Lookups!$O$7:$R$21,4,FALSE)</f>
        <v>1.0067999999999999</v>
      </c>
      <c r="BI1731" s="25">
        <f>VLOOKUP(Inventory[[#This Row],[Cnd]],Lookups!$T$7:$W$16,4,FALSE)</f>
        <v>0.99650000000000005</v>
      </c>
      <c r="BJ1731" s="25">
        <f>VLOOKUP(Inventory[[#This Row],[LivArea Range]],Lookups!$T$25:$W$37,4,FALSE)</f>
        <v>1.0093000000000001</v>
      </c>
      <c r="BK1731" s="25">
        <f>VLOOKUP(Inventory[[#This Row],[Decade]],Lookups!$O$25:$R$42,4,FALSE)</f>
        <v>1.0074000000000001</v>
      </c>
      <c r="BL1731" s="25">
        <f>Inventory[[#This Row],[Nbhd Adj]]*0.95</f>
        <v>0.94971499999999998</v>
      </c>
      <c r="BM1731" s="25">
        <f>Inventory[[#This Row],[Nbhd Adj]]*Inventory[[#This Row],[Quality Adj]]*Inventory[[#This Row],[Condition Adj]]*Inventory[[#This Row],[Living Area Adj]]*Inventory[[#This Row],[Decade Adj]]*0.95</f>
        <v>0.96880423161964746</v>
      </c>
      <c r="BN1731" s="25">
        <f>ROUND(SUM(Inventory[[#This Row],[Mdl Qlty]:[Mdl WdDeck]])+Inventory[[#This Row],[Mdl Res Intercept]]*Inventory[[#This Row],[Res Adj ]],-2)</f>
        <v>293600</v>
      </c>
      <c r="BO1731" s="25">
        <f>ROUND(Inventory[[#This Row],[25Det]]*Inventory[[#This Row],[Det/Nbhd Adj]],-2)</f>
        <v>0</v>
      </c>
      <c r="BP1731" s="25">
        <f>Inventory[[#This Row],[Adjusted Res]]+Inventory[[#This Row],[Adj Det ]]</f>
        <v>293600</v>
      </c>
      <c r="BQ1731" s="25">
        <f>ROUND((Inventory[[#This Row],[Mdl Land Intercept]]+Inventory[[#This Row],[Mdl LnAcres]])*Inventory[[#This Row],[Det/Nbhd Adj]],-2)</f>
        <v>30200</v>
      </c>
      <c r="BR1731" s="25">
        <f>Inventory[[#This Row],[Adjusted Impr Total]]+Inventory[[#This Row],[Adjusted Land Total]]</f>
        <v>323800</v>
      </c>
      <c r="BS1731" s="36">
        <f>IFERROR((Inventory[[#This Row],[Adjusted Impr Total]]-Inventory[[#This Row],[24Bldg]])/Inventory[[#This Row],[24Bldg]],0)</f>
        <v>0.18101367658889783</v>
      </c>
      <c r="BT1731" s="36">
        <f>(Inventory[[#This Row],[Adjusted Land Total]]-Inventory[[#This Row],[24Lnd]])/Inventory[[#This Row],[24Lnd]]</f>
        <v>-0.40316205533596838</v>
      </c>
      <c r="BU1731" s="36">
        <f>(Inventory[[#This Row],[Adjusted Total]]-Inventory[[#This Row],[24Final]])/Inventory[[#This Row],[24Final]]</f>
        <v>8.2219251336898391E-2</v>
      </c>
    </row>
    <row r="1732" spans="1:73" x14ac:dyDescent="0.3">
      <c r="A1732" s="25">
        <v>2025</v>
      </c>
      <c r="B1732" s="26" t="s">
        <v>1713</v>
      </c>
      <c r="C1732" s="26">
        <f>LN(Inventory[[#This Row],[Acres]])</f>
        <v>-1.6094379124341003</v>
      </c>
      <c r="D1732" s="25">
        <v>0.2</v>
      </c>
      <c r="E1732" s="32">
        <v>8630</v>
      </c>
      <c r="F1732" s="26" t="s">
        <v>537</v>
      </c>
      <c r="G1732" s="26" t="s">
        <v>126</v>
      </c>
      <c r="H1732" s="26" t="s">
        <v>349</v>
      </c>
      <c r="I1732" s="26" t="s">
        <v>538</v>
      </c>
      <c r="J1732" s="26" t="s">
        <v>539</v>
      </c>
      <c r="K1732" s="26" t="s">
        <v>242</v>
      </c>
      <c r="L1732" s="26" t="s">
        <v>351</v>
      </c>
      <c r="M1732" s="26" t="s">
        <v>303</v>
      </c>
      <c r="N1732" s="26">
        <v>100</v>
      </c>
      <c r="O1732" s="26">
        <f>2024-Inventory[[#This Row],[YrBlt]]</f>
        <v>94</v>
      </c>
      <c r="P1732" s="26">
        <f>2024-Inventory[[#This Row],[EffYr]]</f>
        <v>54</v>
      </c>
      <c r="Q1732" s="25">
        <v>1930</v>
      </c>
      <c r="R1732" s="25">
        <v>1970</v>
      </c>
      <c r="S1732" s="25">
        <v>720</v>
      </c>
      <c r="T1732" s="27"/>
      <c r="U1732" s="25">
        <v>432</v>
      </c>
      <c r="V1732" s="25">
        <f>Inventory[[#This Row],[Bsmt]]-Inventory[[#This Row],[FnBsmt]]</f>
        <v>0</v>
      </c>
      <c r="W1732" s="25">
        <v>432</v>
      </c>
      <c r="X1732" s="27"/>
      <c r="Y1732" s="27">
        <f>Inventory[[#This Row],[MainFn]]+Inventory[[#This Row],[UpprFn]]+Inventory[[#This Row],[FnBsmt]]+Inventory[[#This Row],[AddFn]]</f>
        <v>1152</v>
      </c>
      <c r="Z1732" s="27">
        <v>1500</v>
      </c>
      <c r="AA1732" s="25">
        <v>5</v>
      </c>
      <c r="AB1732" s="27"/>
      <c r="AC1732" s="27"/>
      <c r="AD1732" s="27"/>
      <c r="AE1732" s="27"/>
      <c r="AF1732" s="27"/>
      <c r="AG1732" s="27"/>
      <c r="AH1732" s="27"/>
      <c r="AI1732" s="25">
        <v>164785</v>
      </c>
      <c r="AJ1732" s="25">
        <v>112054</v>
      </c>
      <c r="AK1732" s="25">
        <v>0</v>
      </c>
      <c r="AL1732" s="25">
        <v>287700</v>
      </c>
      <c r="AM1732" s="25">
        <v>58400</v>
      </c>
      <c r="AN1732" s="25">
        <v>229300</v>
      </c>
      <c r="AO1732" s="25">
        <v>0</v>
      </c>
      <c r="AP1732" s="25">
        <f>Lookups!$B$56*0</f>
        <v>0</v>
      </c>
      <c r="AQ1732" s="25">
        <f>Lookups!$B$56*1</f>
        <v>89850.625589999996</v>
      </c>
      <c r="AR1732" s="25">
        <f>Lookups!$B$57*Inventory[[#This Row],[LnAcres]]</f>
        <v>-50946.13867709865</v>
      </c>
      <c r="AS1732" s="25">
        <f>VLOOKUP(Inventory[[#This Row],[Qlty]],Lookups!$A$62:$E$75,2,FALSE)</f>
        <v>21557.329055999999</v>
      </c>
      <c r="AT1732" s="25">
        <f>VLOOKUP(Inventory[[#This Row],[Cnd]],Lookups!$A$76:$E$84,2,FALSE)</f>
        <v>197752.34721000001</v>
      </c>
      <c r="AU1732" s="25">
        <f>Inventory[[#This Row],[EffAge]]*Lookups!$B$85</f>
        <v>-12044.462427</v>
      </c>
      <c r="AV1732" s="25">
        <f>Inventory[[#This Row],[MainFn]]*Lookups!$B$86</f>
        <v>35574.242311440001</v>
      </c>
      <c r="AW1732" s="25">
        <f>Inventory[[#This Row],[UpprFn]]*Lookups!$B$87</f>
        <v>0</v>
      </c>
      <c r="AX1732" s="25">
        <f>Inventory[[#This Row],[AddFn]]*Lookups!$B$88</f>
        <v>0</v>
      </c>
      <c r="AY1732" s="25">
        <f>Inventory[[#This Row],[Bsmt]]*Lookups!$B$89</f>
        <v>12563.378746704</v>
      </c>
      <c r="AZ1732" s="25">
        <f>Inventory[[#This Row],[Fixtures]]*Lookups!$B$90</f>
        <v>18960.110526</v>
      </c>
      <c r="BA1732" s="25">
        <f>Inventory[[#This Row],[WdDeck]]*Lookups!$B$91</f>
        <v>0</v>
      </c>
      <c r="BB1732" s="25">
        <f>ROUND(Inventory[[#This Row],[25Det]],-2)</f>
        <v>0</v>
      </c>
      <c r="BC1732" s="25">
        <f>ROUND(SUM(Inventory[[#This Row],[Mdl Qlty]:[Mdl WdDeck]])+Inventory[[#This Row],[Mdl Res Intercept]],-2)</f>
        <v>274400</v>
      </c>
      <c r="BD1732" s="25">
        <f>ROUND(Inventory[[#This Row],[Mdl Land Intercept]]+Inventory[[#This Row],[Mdl LnAcres]],-2)</f>
        <v>38900</v>
      </c>
      <c r="BE1732" s="25">
        <f>Inventory[[#This Row],[Unadj Res Value]]+Inventory[[#This Row],[Unadj Det Value]]+Inventory[[#This Row],[Unadj Land Value]]</f>
        <v>313300</v>
      </c>
      <c r="BF1732" s="36">
        <f>(Inventory[[#This Row],[Unadj Total Value]]-Inventory[[#This Row],[24Final]])/Inventory[[#This Row],[24Final]]</f>
        <v>8.8981578032672926E-2</v>
      </c>
      <c r="BG1732" s="25">
        <f>VLOOKUP(Inventory[[#This Row],[Nbhd]],Lookups!$Q$2:$T$4,4,FALSE)</f>
        <v>0.99970000000000003</v>
      </c>
      <c r="BH1732" s="25">
        <f>VLOOKUP(Inventory[[#This Row],[Qlty]],Lookups!$O$7:$R$21,4,FALSE)</f>
        <v>1.0067999999999999</v>
      </c>
      <c r="BI1732" s="25">
        <f>VLOOKUP(Inventory[[#This Row],[Cnd]],Lookups!$T$7:$W$16,4,FALSE)</f>
        <v>0.99650000000000005</v>
      </c>
      <c r="BJ1732" s="25">
        <f>VLOOKUP(Inventory[[#This Row],[LivArea Range]],Lookups!$T$25:$W$37,4,FALSE)</f>
        <v>1.0157</v>
      </c>
      <c r="BK1732" s="25">
        <f>VLOOKUP(Inventory[[#This Row],[Decade]],Lookups!$O$25:$R$42,4,FALSE)</f>
        <v>1.0074000000000001</v>
      </c>
      <c r="BL1732" s="25">
        <f>Inventory[[#This Row],[Nbhd Adj]]*0.95</f>
        <v>0.94971499999999998</v>
      </c>
      <c r="BM1732" s="25">
        <f>Inventory[[#This Row],[Nbhd Adj]]*Inventory[[#This Row],[Quality Adj]]*Inventory[[#This Row],[Condition Adj]]*Inventory[[#This Row],[Living Area Adj]]*Inventory[[#This Row],[Decade Adj]]*0.95</f>
        <v>0.97494744680082823</v>
      </c>
      <c r="BN1732" s="25">
        <f>ROUND(SUM(Inventory[[#This Row],[Mdl Qlty]:[Mdl WdDeck]])+Inventory[[#This Row],[Mdl Res Intercept]]*Inventory[[#This Row],[Res Adj ]],-2)</f>
        <v>274400</v>
      </c>
      <c r="BO1732" s="25">
        <f>ROUND(Inventory[[#This Row],[25Det]]*Inventory[[#This Row],[Det/Nbhd Adj]],-2)</f>
        <v>0</v>
      </c>
      <c r="BP1732" s="25">
        <f>Inventory[[#This Row],[Adjusted Res]]+Inventory[[#This Row],[Adj Det ]]</f>
        <v>274400</v>
      </c>
      <c r="BQ1732" s="25">
        <f>ROUND((Inventory[[#This Row],[Mdl Land Intercept]]+Inventory[[#This Row],[Mdl LnAcres]])*Inventory[[#This Row],[Det/Nbhd Adj]],-2)</f>
        <v>36900</v>
      </c>
      <c r="BR1732" s="25">
        <f>Inventory[[#This Row],[Adjusted Impr Total]]+Inventory[[#This Row],[Adjusted Land Total]]</f>
        <v>311300</v>
      </c>
      <c r="BS1732" s="36">
        <f>IFERROR((Inventory[[#This Row],[Adjusted Impr Total]]-Inventory[[#This Row],[24Bldg]])/Inventory[[#This Row],[24Bldg]],0)</f>
        <v>0.1966855647623201</v>
      </c>
      <c r="BT1732" s="36">
        <f>(Inventory[[#This Row],[Adjusted Land Total]]-Inventory[[#This Row],[24Lnd]])/Inventory[[#This Row],[24Lnd]]</f>
        <v>-0.36815068493150682</v>
      </c>
      <c r="BU1732" s="36">
        <f>(Inventory[[#This Row],[Adjusted Total]]-Inventory[[#This Row],[24Final]])/Inventory[[#This Row],[24Final]]</f>
        <v>8.2029892248870348E-2</v>
      </c>
    </row>
    <row r="1733" spans="1:73" x14ac:dyDescent="0.3">
      <c r="A1733" s="25">
        <v>2025</v>
      </c>
      <c r="B1733" s="26" t="s">
        <v>971</v>
      </c>
      <c r="C1733" s="26">
        <f>LN(Inventory[[#This Row],[Acres]])</f>
        <v>-0.77652878949899629</v>
      </c>
      <c r="D1733" s="25">
        <v>0.46</v>
      </c>
      <c r="E1733" s="32">
        <v>19992</v>
      </c>
      <c r="F1733" s="26" t="s">
        <v>537</v>
      </c>
      <c r="G1733" s="26" t="s">
        <v>126</v>
      </c>
      <c r="H1733" s="26" t="s">
        <v>349</v>
      </c>
      <c r="I1733" s="26" t="s">
        <v>538</v>
      </c>
      <c r="J1733" s="26" t="s">
        <v>539</v>
      </c>
      <c r="K1733" s="26" t="s">
        <v>147</v>
      </c>
      <c r="L1733" s="26" t="s">
        <v>351</v>
      </c>
      <c r="M1733" s="26" t="s">
        <v>303</v>
      </c>
      <c r="N1733" s="26">
        <v>100</v>
      </c>
      <c r="O1733" s="26">
        <f>2024-Inventory[[#This Row],[YrBlt]]</f>
        <v>94</v>
      </c>
      <c r="P1733" s="26">
        <f>2024-Inventory[[#This Row],[EffYr]]</f>
        <v>39</v>
      </c>
      <c r="Q1733" s="25">
        <v>1930</v>
      </c>
      <c r="R1733" s="25">
        <v>1985</v>
      </c>
      <c r="S1733" s="25">
        <v>696</v>
      </c>
      <c r="T1733" s="32">
        <v>540</v>
      </c>
      <c r="U1733" s="25">
        <v>696</v>
      </c>
      <c r="V1733" s="32">
        <f>Inventory[[#This Row],[Bsmt]]-Inventory[[#This Row],[FnBsmt]]</f>
        <v>519</v>
      </c>
      <c r="W1733" s="32">
        <v>177</v>
      </c>
      <c r="X1733" s="27"/>
      <c r="Y1733" s="27">
        <f>Inventory[[#This Row],[MainFn]]+Inventory[[#This Row],[UpprFn]]+Inventory[[#This Row],[FnBsmt]]+Inventory[[#This Row],[AddFn]]</f>
        <v>1413</v>
      </c>
      <c r="Z1733" s="27">
        <v>1500</v>
      </c>
      <c r="AA1733" s="25">
        <v>9</v>
      </c>
      <c r="AB1733" s="27"/>
      <c r="AC1733" s="27"/>
      <c r="AD1733" s="27"/>
      <c r="AE1733" s="27"/>
      <c r="AF1733" s="27"/>
      <c r="AG1733" s="27"/>
      <c r="AH1733" s="27"/>
      <c r="AI1733" s="25">
        <v>239027</v>
      </c>
      <c r="AJ1733" s="25">
        <v>193612</v>
      </c>
      <c r="AK1733" s="25">
        <v>8098</v>
      </c>
      <c r="AL1733" s="25">
        <v>363600</v>
      </c>
      <c r="AM1733" s="25">
        <v>87500</v>
      </c>
      <c r="AN1733" s="25">
        <v>276100</v>
      </c>
      <c r="AO1733" s="25">
        <v>0</v>
      </c>
      <c r="AP1733" s="25">
        <f>Lookups!$B$56*0</f>
        <v>0</v>
      </c>
      <c r="AQ1733" s="25">
        <f>Lookups!$B$56*1</f>
        <v>89850.625589999996</v>
      </c>
      <c r="AR1733" s="25">
        <f>Lookups!$B$57*Inventory[[#This Row],[LnAcres]]</f>
        <v>-24580.720443414604</v>
      </c>
      <c r="AS1733" s="25">
        <f>VLOOKUP(Inventory[[#This Row],[Qlty]],Lookups!$A$62:$E$75,2,FALSE)</f>
        <v>21557.329055999999</v>
      </c>
      <c r="AT1733" s="25">
        <f>VLOOKUP(Inventory[[#This Row],[Cnd]],Lookups!$A$76:$E$84,2,FALSE)</f>
        <v>197752.34721000001</v>
      </c>
      <c r="AU1733" s="25">
        <f>Inventory[[#This Row],[EffAge]]*Lookups!$B$85</f>
        <v>-8698.7784195000004</v>
      </c>
      <c r="AV1733" s="25">
        <f>Inventory[[#This Row],[MainFn]]*Lookups!$B$86</f>
        <v>34388.434234392</v>
      </c>
      <c r="AW1733" s="25">
        <f>Inventory[[#This Row],[UpprFn]]*Lookups!$B$87</f>
        <v>24184.668344940001</v>
      </c>
      <c r="AX1733" s="25">
        <f>Inventory[[#This Row],[AddFn]]*Lookups!$B$88</f>
        <v>0</v>
      </c>
      <c r="AY1733" s="25">
        <f>Inventory[[#This Row],[Bsmt]]*Lookups!$B$89</f>
        <v>20240.999091911999</v>
      </c>
      <c r="AZ1733" s="25">
        <f>Inventory[[#This Row],[Fixtures]]*Lookups!$B$90</f>
        <v>34128.198946800003</v>
      </c>
      <c r="BA1733" s="25">
        <f>Inventory[[#This Row],[WdDeck]]*Lookups!$B$91</f>
        <v>0</v>
      </c>
      <c r="BB1733" s="25">
        <f>ROUND(Inventory[[#This Row],[25Det]],-2)</f>
        <v>8100</v>
      </c>
      <c r="BC1733" s="25">
        <f>ROUND(SUM(Inventory[[#This Row],[Mdl Qlty]:[Mdl WdDeck]])+Inventory[[#This Row],[Mdl Res Intercept]],-2)</f>
        <v>323600</v>
      </c>
      <c r="BD1733" s="25">
        <f>ROUND(Inventory[[#This Row],[Mdl Land Intercept]]+Inventory[[#This Row],[Mdl LnAcres]],-2)</f>
        <v>65300</v>
      </c>
      <c r="BE1733" s="25">
        <f>Inventory[[#This Row],[Unadj Res Value]]+Inventory[[#This Row],[Unadj Det Value]]+Inventory[[#This Row],[Unadj Land Value]]</f>
        <v>397000</v>
      </c>
      <c r="BF1733" s="36">
        <f>(Inventory[[#This Row],[Unadj Total Value]]-Inventory[[#This Row],[24Final]])/Inventory[[#This Row],[24Final]]</f>
        <v>9.1859185918591865E-2</v>
      </c>
      <c r="BG1733" s="25">
        <f>VLOOKUP(Inventory[[#This Row],[Nbhd]],Lookups!$Q$2:$T$4,4,FALSE)</f>
        <v>0.99970000000000003</v>
      </c>
      <c r="BH1733" s="25">
        <f>VLOOKUP(Inventory[[#This Row],[Qlty]],Lookups!$O$7:$R$21,4,FALSE)</f>
        <v>1.0067999999999999</v>
      </c>
      <c r="BI1733" s="25">
        <f>VLOOKUP(Inventory[[#This Row],[Cnd]],Lookups!$T$7:$W$16,4,FALSE)</f>
        <v>0.99650000000000005</v>
      </c>
      <c r="BJ1733" s="25">
        <f>VLOOKUP(Inventory[[#This Row],[LivArea Range]],Lookups!$T$25:$W$37,4,FALSE)</f>
        <v>1.0157</v>
      </c>
      <c r="BK1733" s="25">
        <f>VLOOKUP(Inventory[[#This Row],[Decade]],Lookups!$O$25:$R$42,4,FALSE)</f>
        <v>1.0074000000000001</v>
      </c>
      <c r="BL1733" s="25">
        <f>Inventory[[#This Row],[Nbhd Adj]]*0.95</f>
        <v>0.94971499999999998</v>
      </c>
      <c r="BM1733" s="25">
        <f>Inventory[[#This Row],[Nbhd Adj]]*Inventory[[#This Row],[Quality Adj]]*Inventory[[#This Row],[Condition Adj]]*Inventory[[#This Row],[Living Area Adj]]*Inventory[[#This Row],[Decade Adj]]*0.95</f>
        <v>0.97494744680082823</v>
      </c>
      <c r="BN1733" s="25">
        <f>ROUND(SUM(Inventory[[#This Row],[Mdl Qlty]:[Mdl WdDeck]])+Inventory[[#This Row],[Mdl Res Intercept]]*Inventory[[#This Row],[Res Adj ]],-2)</f>
        <v>323600</v>
      </c>
      <c r="BO1733" s="25">
        <f>ROUND(Inventory[[#This Row],[25Det]]*Inventory[[#This Row],[Det/Nbhd Adj]],-2)</f>
        <v>7700</v>
      </c>
      <c r="BP1733" s="25">
        <f>Inventory[[#This Row],[Adjusted Res]]+Inventory[[#This Row],[Adj Det ]]</f>
        <v>331300</v>
      </c>
      <c r="BQ1733" s="25">
        <f>ROUND((Inventory[[#This Row],[Mdl Land Intercept]]+Inventory[[#This Row],[Mdl LnAcres]])*Inventory[[#This Row],[Det/Nbhd Adj]],-2)</f>
        <v>62000</v>
      </c>
      <c r="BR1733" s="25">
        <f>Inventory[[#This Row],[Adjusted Impr Total]]+Inventory[[#This Row],[Adjusted Land Total]]</f>
        <v>393300</v>
      </c>
      <c r="BS1733" s="36">
        <f>IFERROR((Inventory[[#This Row],[Adjusted Impr Total]]-Inventory[[#This Row],[24Bldg]])/Inventory[[#This Row],[24Bldg]],0)</f>
        <v>0.19992756247736326</v>
      </c>
      <c r="BT1733" s="36">
        <f>(Inventory[[#This Row],[Adjusted Land Total]]-Inventory[[#This Row],[24Lnd]])/Inventory[[#This Row],[24Lnd]]</f>
        <v>-0.29142857142857143</v>
      </c>
      <c r="BU1733" s="36">
        <f>(Inventory[[#This Row],[Adjusted Total]]-Inventory[[#This Row],[24Final]])/Inventory[[#This Row],[24Final]]</f>
        <v>8.1683168316831686E-2</v>
      </c>
    </row>
    <row r="1734" spans="1:73" x14ac:dyDescent="0.3">
      <c r="A1734" s="25">
        <v>2025</v>
      </c>
      <c r="B1734" s="26" t="s">
        <v>2164</v>
      </c>
      <c r="C1734" s="26">
        <f>LN(Inventory[[#This Row],[Acres]])</f>
        <v>-1.8971199848858813</v>
      </c>
      <c r="D1734" s="25">
        <v>0.15</v>
      </c>
      <c r="E1734" s="27"/>
      <c r="F1734" s="26" t="s">
        <v>537</v>
      </c>
      <c r="G1734" s="26" t="s">
        <v>126</v>
      </c>
      <c r="H1734" s="26" t="s">
        <v>349</v>
      </c>
      <c r="I1734" s="26" t="s">
        <v>538</v>
      </c>
      <c r="J1734" s="26" t="s">
        <v>539</v>
      </c>
      <c r="K1734" s="26" t="s">
        <v>242</v>
      </c>
      <c r="L1734" s="26" t="s">
        <v>351</v>
      </c>
      <c r="M1734" s="26" t="s">
        <v>323</v>
      </c>
      <c r="N1734" s="26">
        <v>100</v>
      </c>
      <c r="O1734" s="26">
        <f>2024-Inventory[[#This Row],[YrBlt]]</f>
        <v>94</v>
      </c>
      <c r="P1734" s="26">
        <f>2024-Inventory[[#This Row],[EffYr]]</f>
        <v>54</v>
      </c>
      <c r="Q1734" s="25">
        <v>1930</v>
      </c>
      <c r="R1734" s="25">
        <v>1970</v>
      </c>
      <c r="S1734" s="25">
        <v>868</v>
      </c>
      <c r="T1734" s="31"/>
      <c r="U1734" s="25">
        <v>868</v>
      </c>
      <c r="V1734" s="25">
        <f>Inventory[[#This Row],[Bsmt]]-Inventory[[#This Row],[FnBsmt]]</f>
        <v>608</v>
      </c>
      <c r="W1734" s="25">
        <v>260</v>
      </c>
      <c r="X1734" s="27"/>
      <c r="Y1734" s="27">
        <f>Inventory[[#This Row],[MainFn]]+Inventory[[#This Row],[UpprFn]]+Inventory[[#This Row],[FnBsmt]]+Inventory[[#This Row],[AddFn]]</f>
        <v>1128</v>
      </c>
      <c r="Z1734" s="27">
        <v>1500</v>
      </c>
      <c r="AA1734" s="25">
        <v>5</v>
      </c>
      <c r="AB1734" s="27"/>
      <c r="AC1734" s="27"/>
      <c r="AD1734" s="27"/>
      <c r="AE1734" s="27"/>
      <c r="AF1734" s="27"/>
      <c r="AG1734" s="27"/>
      <c r="AH1734" s="27"/>
      <c r="AI1734" s="25">
        <v>186114</v>
      </c>
      <c r="AJ1734" s="25">
        <v>122835</v>
      </c>
      <c r="AK1734" s="25">
        <v>6866</v>
      </c>
      <c r="AL1734" s="25">
        <v>270200</v>
      </c>
      <c r="AM1734" s="25">
        <v>48400</v>
      </c>
      <c r="AN1734" s="25">
        <v>221800</v>
      </c>
      <c r="AO1734" s="25">
        <v>0</v>
      </c>
      <c r="AP1734" s="25">
        <f>Lookups!$B$56*0</f>
        <v>0</v>
      </c>
      <c r="AQ1734" s="25">
        <f>Lookups!$B$56*1</f>
        <v>89850.625589999996</v>
      </c>
      <c r="AR1734" s="25">
        <f>Lookups!$B$57*Inventory[[#This Row],[LnAcres]]</f>
        <v>-60052.604136134301</v>
      </c>
      <c r="AS1734" s="25">
        <f>VLOOKUP(Inventory[[#This Row],[Qlty]],Lookups!$A$62:$E$75,2,FALSE)</f>
        <v>21557.329055999999</v>
      </c>
      <c r="AT1734" s="25">
        <f>VLOOKUP(Inventory[[#This Row],[Cnd]],Lookups!$A$76:$E$84,2,FALSE)</f>
        <v>160472.20319</v>
      </c>
      <c r="AU1734" s="25">
        <f>Inventory[[#This Row],[EffAge]]*Lookups!$B$85</f>
        <v>-12044.462427</v>
      </c>
      <c r="AV1734" s="25">
        <f>Inventory[[#This Row],[MainFn]]*Lookups!$B$86</f>
        <v>42886.725453236002</v>
      </c>
      <c r="AW1734" s="25">
        <f>Inventory[[#This Row],[UpprFn]]*Lookups!$B$87</f>
        <v>0</v>
      </c>
      <c r="AX1734" s="25">
        <f>Inventory[[#This Row],[AddFn]]*Lookups!$B$88</f>
        <v>0</v>
      </c>
      <c r="AY1734" s="25">
        <f>Inventory[[#This Row],[Bsmt]]*Lookups!$B$89</f>
        <v>25243.085074396</v>
      </c>
      <c r="AZ1734" s="25">
        <f>Inventory[[#This Row],[Fixtures]]*Lookups!$B$90</f>
        <v>18960.110526</v>
      </c>
      <c r="BA1734" s="25">
        <f>Inventory[[#This Row],[WdDeck]]*Lookups!$B$91</f>
        <v>0</v>
      </c>
      <c r="BB1734" s="25">
        <f>ROUND(Inventory[[#This Row],[25Det]],-2)</f>
        <v>6900</v>
      </c>
      <c r="BC1734" s="25">
        <f>ROUND(SUM(Inventory[[#This Row],[Mdl Qlty]:[Mdl WdDeck]])+Inventory[[#This Row],[Mdl Res Intercept]],-2)</f>
        <v>257100</v>
      </c>
      <c r="BD1734" s="25">
        <f>ROUND(Inventory[[#This Row],[Mdl Land Intercept]]+Inventory[[#This Row],[Mdl LnAcres]],-2)</f>
        <v>29800</v>
      </c>
      <c r="BE1734" s="25">
        <f>Inventory[[#This Row],[Unadj Res Value]]+Inventory[[#This Row],[Unadj Det Value]]+Inventory[[#This Row],[Unadj Land Value]]</f>
        <v>293800</v>
      </c>
      <c r="BF1734" s="36">
        <f>(Inventory[[#This Row],[Unadj Total Value]]-Inventory[[#This Row],[24Final]])/Inventory[[#This Row],[24Final]]</f>
        <v>8.7342709104367131E-2</v>
      </c>
      <c r="BG1734" s="25">
        <f>VLOOKUP(Inventory[[#This Row],[Nbhd]],Lookups!$Q$2:$T$4,4,FALSE)</f>
        <v>0.99970000000000003</v>
      </c>
      <c r="BH1734" s="25">
        <f>VLOOKUP(Inventory[[#This Row],[Qlty]],Lookups!$O$7:$R$21,4,FALSE)</f>
        <v>1.0067999999999999</v>
      </c>
      <c r="BI1734" s="25">
        <f>VLOOKUP(Inventory[[#This Row],[Cnd]],Lookups!$T$7:$W$16,4,FALSE)</f>
        <v>0.99729999999999996</v>
      </c>
      <c r="BJ1734" s="25">
        <f>VLOOKUP(Inventory[[#This Row],[LivArea Range]],Lookups!$T$25:$W$37,4,FALSE)</f>
        <v>1.0157</v>
      </c>
      <c r="BK1734" s="25">
        <f>VLOOKUP(Inventory[[#This Row],[Decade]],Lookups!$O$25:$R$42,4,FALSE)</f>
        <v>1.0074000000000001</v>
      </c>
      <c r="BL1734" s="25">
        <f>Inventory[[#This Row],[Nbhd Adj]]*0.95</f>
        <v>0.94971499999999998</v>
      </c>
      <c r="BM1734" s="25">
        <f>Inventory[[#This Row],[Nbhd Adj]]*Inventory[[#This Row],[Quality Adj]]*Inventory[[#This Row],[Condition Adj]]*Inventory[[#This Row],[Living Area Adj]]*Inventory[[#This Row],[Decade Adj]]*0.95</f>
        <v>0.97573014419916293</v>
      </c>
      <c r="BN1734" s="25">
        <f>ROUND(SUM(Inventory[[#This Row],[Mdl Qlty]:[Mdl WdDeck]])+Inventory[[#This Row],[Mdl Res Intercept]]*Inventory[[#This Row],[Res Adj ]],-2)</f>
        <v>257100</v>
      </c>
      <c r="BO1734" s="25">
        <f>ROUND(Inventory[[#This Row],[25Det]]*Inventory[[#This Row],[Det/Nbhd Adj]],-2)</f>
        <v>6500</v>
      </c>
      <c r="BP1734" s="25">
        <f>Inventory[[#This Row],[Adjusted Res]]+Inventory[[#This Row],[Adj Det ]]</f>
        <v>263600</v>
      </c>
      <c r="BQ1734" s="25">
        <f>ROUND((Inventory[[#This Row],[Mdl Land Intercept]]+Inventory[[#This Row],[Mdl LnAcres]])*Inventory[[#This Row],[Det/Nbhd Adj]],-2)</f>
        <v>28300</v>
      </c>
      <c r="BR1734" s="25">
        <f>Inventory[[#This Row],[Adjusted Impr Total]]+Inventory[[#This Row],[Adjusted Land Total]]</f>
        <v>291900</v>
      </c>
      <c r="BS1734" s="36">
        <f>IFERROR((Inventory[[#This Row],[Adjusted Impr Total]]-Inventory[[#This Row],[24Bldg]])/Inventory[[#This Row],[24Bldg]],0)</f>
        <v>0.1884580703336339</v>
      </c>
      <c r="BT1734" s="36">
        <f>(Inventory[[#This Row],[Adjusted Land Total]]-Inventory[[#This Row],[24Lnd]])/Inventory[[#This Row],[24Lnd]]</f>
        <v>-0.41528925619834711</v>
      </c>
      <c r="BU1734" s="36">
        <f>(Inventory[[#This Row],[Adjusted Total]]-Inventory[[#This Row],[24Final]])/Inventory[[#This Row],[24Final]]</f>
        <v>8.0310880829015538E-2</v>
      </c>
    </row>
    <row r="1735" spans="1:73" x14ac:dyDescent="0.3">
      <c r="A1735" s="25">
        <v>2025</v>
      </c>
      <c r="B1735" s="26" t="s">
        <v>2806</v>
      </c>
      <c r="C1735" s="26">
        <f>LN(Inventory[[#This Row],[Acres]])</f>
        <v>-1.2729656758128873</v>
      </c>
      <c r="D1735" s="25">
        <v>0.28000000000000003</v>
      </c>
      <c r="E1735" s="31"/>
      <c r="F1735" s="26" t="s">
        <v>537</v>
      </c>
      <c r="G1735" s="26" t="s">
        <v>126</v>
      </c>
      <c r="H1735" s="26" t="s">
        <v>349</v>
      </c>
      <c r="I1735" s="26" t="s">
        <v>538</v>
      </c>
      <c r="J1735" s="26" t="s">
        <v>539</v>
      </c>
      <c r="K1735" s="26" t="s">
        <v>416</v>
      </c>
      <c r="L1735" s="26" t="s">
        <v>351</v>
      </c>
      <c r="M1735" s="26" t="s">
        <v>206</v>
      </c>
      <c r="N1735" s="26">
        <v>100</v>
      </c>
      <c r="O1735" s="26">
        <f>2024-Inventory[[#This Row],[YrBlt]]</f>
        <v>94</v>
      </c>
      <c r="P1735" s="26">
        <f>2024-Inventory[[#This Row],[EffYr]]</f>
        <v>54</v>
      </c>
      <c r="Q1735" s="25">
        <v>1930</v>
      </c>
      <c r="R1735" s="25">
        <v>1970</v>
      </c>
      <c r="S1735" s="25">
        <v>896</v>
      </c>
      <c r="T1735" s="25">
        <v>896</v>
      </c>
      <c r="U1735" s="25">
        <v>896</v>
      </c>
      <c r="V1735" s="25">
        <f>Inventory[[#This Row],[Bsmt]]-Inventory[[#This Row],[FnBsmt]]</f>
        <v>896</v>
      </c>
      <c r="W1735" s="31"/>
      <c r="X1735" s="27"/>
      <c r="Y1735" s="27">
        <f>Inventory[[#This Row],[MainFn]]+Inventory[[#This Row],[UpprFn]]+Inventory[[#This Row],[FnBsmt]]+Inventory[[#This Row],[AddFn]]</f>
        <v>1792</v>
      </c>
      <c r="Z1735" s="27">
        <v>2000</v>
      </c>
      <c r="AA1735" s="25">
        <v>5</v>
      </c>
      <c r="AB1735" s="27"/>
      <c r="AC1735" s="27"/>
      <c r="AD1735" s="32">
        <v>112</v>
      </c>
      <c r="AE1735" s="27"/>
      <c r="AF1735" s="27"/>
      <c r="AG1735" s="27"/>
      <c r="AH1735" s="27"/>
      <c r="AI1735" s="25">
        <v>294585</v>
      </c>
      <c r="AJ1735" s="25">
        <v>188534</v>
      </c>
      <c r="AK1735" s="25">
        <v>7015</v>
      </c>
      <c r="AL1735" s="25">
        <v>305700</v>
      </c>
      <c r="AM1735" s="25">
        <v>70100</v>
      </c>
      <c r="AN1735" s="25">
        <v>235600</v>
      </c>
      <c r="AO1735" s="25">
        <v>0</v>
      </c>
      <c r="AP1735" s="25">
        <f>Lookups!$B$56*0</f>
        <v>0</v>
      </c>
      <c r="AQ1735" s="25">
        <f>Lookups!$B$56*1</f>
        <v>89850.625589999996</v>
      </c>
      <c r="AR1735" s="25">
        <f>Lookups!$B$57*Inventory[[#This Row],[LnAcres]]</f>
        <v>-40295.239319339329</v>
      </c>
      <c r="AS1735" s="25">
        <f>VLOOKUP(Inventory[[#This Row],[Qlty]],Lookups!$A$62:$E$75,2,FALSE)</f>
        <v>21557.329055999999</v>
      </c>
      <c r="AT1735" s="25">
        <f>VLOOKUP(Inventory[[#This Row],[Cnd]],Lookups!$A$76:$E$84,2,FALSE)</f>
        <v>133714.53821</v>
      </c>
      <c r="AU1735" s="25">
        <f>Inventory[[#This Row],[EffAge]]*Lookups!$B$85</f>
        <v>-12044.462427</v>
      </c>
      <c r="AV1735" s="25">
        <f>Inventory[[#This Row],[MainFn]]*Lookups!$B$86</f>
        <v>44270.168209791998</v>
      </c>
      <c r="AW1735" s="25">
        <f>Inventory[[#This Row],[UpprFn]]*Lookups!$B$87</f>
        <v>40128.634883455998</v>
      </c>
      <c r="AX1735" s="25">
        <f>Inventory[[#This Row],[AddFn]]*Lookups!$B$88</f>
        <v>0</v>
      </c>
      <c r="AY1735" s="25">
        <f>Inventory[[#This Row],[Bsmt]]*Lookups!$B$89</f>
        <v>26057.378141311998</v>
      </c>
      <c r="AZ1735" s="25">
        <f>Inventory[[#This Row],[Fixtures]]*Lookups!$B$90</f>
        <v>18960.110526</v>
      </c>
      <c r="BA1735" s="25">
        <f>Inventory[[#This Row],[WdDeck]]*Lookups!$B$91</f>
        <v>3729.0977109120004</v>
      </c>
      <c r="BB1735" s="25">
        <f>ROUND(Inventory[[#This Row],[25Det]],-2)</f>
        <v>7000</v>
      </c>
      <c r="BC1735" s="25">
        <f>ROUND(SUM(Inventory[[#This Row],[Mdl Qlty]:[Mdl WdDeck]])+Inventory[[#This Row],[Mdl Res Intercept]],-2)</f>
        <v>276400</v>
      </c>
      <c r="BD1735" s="25">
        <f>ROUND(Inventory[[#This Row],[Mdl Land Intercept]]+Inventory[[#This Row],[Mdl LnAcres]],-2)</f>
        <v>49600</v>
      </c>
      <c r="BE1735" s="25">
        <f>Inventory[[#This Row],[Unadj Res Value]]+Inventory[[#This Row],[Unadj Det Value]]+Inventory[[#This Row],[Unadj Land Value]]</f>
        <v>333000</v>
      </c>
      <c r="BF1735" s="36">
        <f>(Inventory[[#This Row],[Unadj Total Value]]-Inventory[[#This Row],[24Final]])/Inventory[[#This Row],[24Final]]</f>
        <v>8.9303238469087345E-2</v>
      </c>
      <c r="BG1735" s="25">
        <f>VLOOKUP(Inventory[[#This Row],[Nbhd]],Lookups!$Q$2:$T$4,4,FALSE)</f>
        <v>0.99970000000000003</v>
      </c>
      <c r="BH1735" s="25">
        <f>VLOOKUP(Inventory[[#This Row],[Qlty]],Lookups!$O$7:$R$21,4,FALSE)</f>
        <v>1.0067999999999999</v>
      </c>
      <c r="BI1735" s="25">
        <f>VLOOKUP(Inventory[[#This Row],[Cnd]],Lookups!$T$7:$W$16,4,FALSE)</f>
        <v>0.99329999999999996</v>
      </c>
      <c r="BJ1735" s="25">
        <f>VLOOKUP(Inventory[[#This Row],[LivArea Range]],Lookups!$T$25:$W$37,4,FALSE)</f>
        <v>1.0093000000000001</v>
      </c>
      <c r="BK1735" s="25">
        <f>VLOOKUP(Inventory[[#This Row],[Decade]],Lookups!$O$25:$R$42,4,FALSE)</f>
        <v>1.0074000000000001</v>
      </c>
      <c r="BL1735" s="25">
        <f>Inventory[[#This Row],[Nbhd Adj]]*0.95</f>
        <v>0.94971499999999998</v>
      </c>
      <c r="BM1735" s="25">
        <f>Inventory[[#This Row],[Nbhd Adj]]*Inventory[[#This Row],[Quality Adj]]*Inventory[[#This Row],[Condition Adj]]*Inventory[[#This Row],[Living Area Adj]]*Inventory[[#This Row],[Decade Adj]]*0.95</f>
        <v>0.96569316936055771</v>
      </c>
      <c r="BN1735" s="25">
        <f>ROUND(SUM(Inventory[[#This Row],[Mdl Qlty]:[Mdl WdDeck]])+Inventory[[#This Row],[Mdl Res Intercept]]*Inventory[[#This Row],[Res Adj ]],-2)</f>
        <v>276400</v>
      </c>
      <c r="BO1735" s="25">
        <f>ROUND(Inventory[[#This Row],[25Det]]*Inventory[[#This Row],[Det/Nbhd Adj]],-2)</f>
        <v>6700</v>
      </c>
      <c r="BP1735" s="25">
        <f>Inventory[[#This Row],[Adjusted Res]]+Inventory[[#This Row],[Adj Det ]]</f>
        <v>283100</v>
      </c>
      <c r="BQ1735" s="25">
        <f>ROUND((Inventory[[#This Row],[Mdl Land Intercept]]+Inventory[[#This Row],[Mdl LnAcres]])*Inventory[[#This Row],[Det/Nbhd Adj]],-2)</f>
        <v>47100</v>
      </c>
      <c r="BR1735" s="25">
        <f>Inventory[[#This Row],[Adjusted Impr Total]]+Inventory[[#This Row],[Adjusted Land Total]]</f>
        <v>330200</v>
      </c>
      <c r="BS1735" s="36">
        <f>IFERROR((Inventory[[#This Row],[Adjusted Impr Total]]-Inventory[[#This Row],[24Bldg]])/Inventory[[#This Row],[24Bldg]],0)</f>
        <v>0.20161290322580644</v>
      </c>
      <c r="BT1735" s="36">
        <f>(Inventory[[#This Row],[Adjusted Land Total]]-Inventory[[#This Row],[24Lnd]])/Inventory[[#This Row],[24Lnd]]</f>
        <v>-0.32810271041369471</v>
      </c>
      <c r="BU1735" s="36">
        <f>(Inventory[[#This Row],[Adjusted Total]]-Inventory[[#This Row],[24Final]])/Inventory[[#This Row],[24Final]]</f>
        <v>8.0143931959437351E-2</v>
      </c>
    </row>
    <row r="1736" spans="1:73" x14ac:dyDescent="0.3">
      <c r="A1736" s="25">
        <v>2025</v>
      </c>
      <c r="B1736" s="26" t="s">
        <v>2875</v>
      </c>
      <c r="C1736" s="26">
        <f>LN(Inventory[[#This Row],[Acres]])</f>
        <v>-1.5606477482646683</v>
      </c>
      <c r="D1736" s="25">
        <v>0.21</v>
      </c>
      <c r="E1736" s="27"/>
      <c r="F1736" s="26" t="s">
        <v>537</v>
      </c>
      <c r="G1736" s="26" t="s">
        <v>126</v>
      </c>
      <c r="H1736" s="26" t="s">
        <v>349</v>
      </c>
      <c r="I1736" s="26" t="s">
        <v>538</v>
      </c>
      <c r="J1736" s="26" t="s">
        <v>539</v>
      </c>
      <c r="K1736" s="26" t="s">
        <v>241</v>
      </c>
      <c r="L1736" s="26" t="s">
        <v>351</v>
      </c>
      <c r="M1736" s="26" t="s">
        <v>323</v>
      </c>
      <c r="N1736" s="26">
        <v>100</v>
      </c>
      <c r="O1736" s="26">
        <f>2024-Inventory[[#This Row],[YrBlt]]</f>
        <v>94</v>
      </c>
      <c r="P1736" s="26">
        <f>2024-Inventory[[#This Row],[EffYr]]</f>
        <v>54</v>
      </c>
      <c r="Q1736" s="25">
        <v>1930</v>
      </c>
      <c r="R1736" s="25">
        <v>1970</v>
      </c>
      <c r="S1736" s="25">
        <v>1364</v>
      </c>
      <c r="T1736" s="27"/>
      <c r="U1736" s="25">
        <v>1364</v>
      </c>
      <c r="V1736" s="25">
        <f>Inventory[[#This Row],[Bsmt]]-Inventory[[#This Row],[FnBsmt]]</f>
        <v>1364</v>
      </c>
      <c r="W1736" s="25">
        <v>0</v>
      </c>
      <c r="X1736" s="27"/>
      <c r="Y1736" s="27">
        <f>Inventory[[#This Row],[MainFn]]+Inventory[[#This Row],[UpprFn]]+Inventory[[#This Row],[FnBsmt]]+Inventory[[#This Row],[AddFn]]</f>
        <v>1364</v>
      </c>
      <c r="Z1736" s="27">
        <v>1500</v>
      </c>
      <c r="AA1736" s="25">
        <v>6</v>
      </c>
      <c r="AB1736" s="27"/>
      <c r="AC1736" s="27"/>
      <c r="AD1736" s="32">
        <v>180</v>
      </c>
      <c r="AE1736" s="27"/>
      <c r="AF1736" s="27"/>
      <c r="AG1736" s="27"/>
      <c r="AH1736" s="27"/>
      <c r="AI1736" s="25">
        <v>277496</v>
      </c>
      <c r="AJ1736" s="25">
        <v>183147</v>
      </c>
      <c r="AK1736" s="25">
        <v>0</v>
      </c>
      <c r="AL1736" s="25">
        <v>318900</v>
      </c>
      <c r="AM1736" s="25">
        <v>60100</v>
      </c>
      <c r="AN1736" s="25">
        <v>258800</v>
      </c>
      <c r="AO1736" s="25">
        <v>0</v>
      </c>
      <c r="AP1736" s="25">
        <f>Lookups!$B$56*0</f>
        <v>0</v>
      </c>
      <c r="AQ1736" s="25">
        <f>Lookups!$B$56*1</f>
        <v>89850.625589999996</v>
      </c>
      <c r="AR1736" s="25">
        <f>Lookups!$B$57*Inventory[[#This Row],[LnAcres]]</f>
        <v>-49401.70477837498</v>
      </c>
      <c r="AS1736" s="25">
        <f>VLOOKUP(Inventory[[#This Row],[Qlty]],Lookups!$A$62:$E$75,2,FALSE)</f>
        <v>21557.329055999999</v>
      </c>
      <c r="AT1736" s="25">
        <f>VLOOKUP(Inventory[[#This Row],[Cnd]],Lookups!$A$76:$E$84,2,FALSE)</f>
        <v>160472.20319</v>
      </c>
      <c r="AU1736" s="25">
        <f>Inventory[[#This Row],[EffAge]]*Lookups!$B$85</f>
        <v>-12044.462427</v>
      </c>
      <c r="AV1736" s="25">
        <f>Inventory[[#This Row],[MainFn]]*Lookups!$B$86</f>
        <v>67393.425712227996</v>
      </c>
      <c r="AW1736" s="25">
        <f>Inventory[[#This Row],[UpprFn]]*Lookups!$B$87</f>
        <v>0</v>
      </c>
      <c r="AX1736" s="25">
        <f>Inventory[[#This Row],[AddFn]]*Lookups!$B$88</f>
        <v>0</v>
      </c>
      <c r="AY1736" s="25">
        <f>Inventory[[#This Row],[Bsmt]]*Lookups!$B$89</f>
        <v>39667.705116908</v>
      </c>
      <c r="AZ1736" s="25">
        <f>Inventory[[#This Row],[Fixtures]]*Lookups!$B$90</f>
        <v>22752.132631200002</v>
      </c>
      <c r="BA1736" s="25">
        <f>Inventory[[#This Row],[WdDeck]]*Lookups!$B$91</f>
        <v>5993.1927496800008</v>
      </c>
      <c r="BB1736" s="25">
        <f>ROUND(Inventory[[#This Row],[25Det]],-2)</f>
        <v>0</v>
      </c>
      <c r="BC1736" s="25">
        <f>ROUND(SUM(Inventory[[#This Row],[Mdl Qlty]:[Mdl WdDeck]])+Inventory[[#This Row],[Mdl Res Intercept]],-2)</f>
        <v>305800</v>
      </c>
      <c r="BD1736" s="25">
        <f>ROUND(Inventory[[#This Row],[Mdl Land Intercept]]+Inventory[[#This Row],[Mdl LnAcres]],-2)</f>
        <v>40400</v>
      </c>
      <c r="BE1736" s="25">
        <f>Inventory[[#This Row],[Unadj Res Value]]+Inventory[[#This Row],[Unadj Det Value]]+Inventory[[#This Row],[Unadj Land Value]]</f>
        <v>346200</v>
      </c>
      <c r="BF1736" s="36">
        <f>(Inventory[[#This Row],[Unadj Total Value]]-Inventory[[#This Row],[24Final]])/Inventory[[#This Row],[24Final]]</f>
        <v>8.5606773283160867E-2</v>
      </c>
      <c r="BG1736" s="25">
        <f>VLOOKUP(Inventory[[#This Row],[Nbhd]],Lookups!$Q$2:$T$4,4,FALSE)</f>
        <v>0.99970000000000003</v>
      </c>
      <c r="BH1736" s="25">
        <f>VLOOKUP(Inventory[[#This Row],[Qlty]],Lookups!$O$7:$R$21,4,FALSE)</f>
        <v>1.0067999999999999</v>
      </c>
      <c r="BI1736" s="25">
        <f>VLOOKUP(Inventory[[#This Row],[Cnd]],Lookups!$T$7:$W$16,4,FALSE)</f>
        <v>0.99729999999999996</v>
      </c>
      <c r="BJ1736" s="25">
        <f>VLOOKUP(Inventory[[#This Row],[LivArea Range]],Lookups!$T$25:$W$37,4,FALSE)</f>
        <v>1.0157</v>
      </c>
      <c r="BK1736" s="25">
        <f>VLOOKUP(Inventory[[#This Row],[Decade]],Lookups!$O$25:$R$42,4,FALSE)</f>
        <v>1.0074000000000001</v>
      </c>
      <c r="BL1736" s="25">
        <f>Inventory[[#This Row],[Nbhd Adj]]*0.95</f>
        <v>0.94971499999999998</v>
      </c>
      <c r="BM1736" s="25">
        <f>Inventory[[#This Row],[Nbhd Adj]]*Inventory[[#This Row],[Quality Adj]]*Inventory[[#This Row],[Condition Adj]]*Inventory[[#This Row],[Living Area Adj]]*Inventory[[#This Row],[Decade Adj]]*0.95</f>
        <v>0.97573014419916293</v>
      </c>
      <c r="BN1736" s="25">
        <f>ROUND(SUM(Inventory[[#This Row],[Mdl Qlty]:[Mdl WdDeck]])+Inventory[[#This Row],[Mdl Res Intercept]]*Inventory[[#This Row],[Res Adj ]],-2)</f>
        <v>305800</v>
      </c>
      <c r="BO1736" s="25">
        <f>ROUND(Inventory[[#This Row],[25Det]]*Inventory[[#This Row],[Det/Nbhd Adj]],-2)</f>
        <v>0</v>
      </c>
      <c r="BP1736" s="25">
        <f>Inventory[[#This Row],[Adjusted Res]]+Inventory[[#This Row],[Adj Det ]]</f>
        <v>305800</v>
      </c>
      <c r="BQ1736" s="25">
        <f>ROUND((Inventory[[#This Row],[Mdl Land Intercept]]+Inventory[[#This Row],[Mdl LnAcres]])*Inventory[[#This Row],[Det/Nbhd Adj]],-2)</f>
        <v>38400</v>
      </c>
      <c r="BR1736" s="25">
        <f>Inventory[[#This Row],[Adjusted Impr Total]]+Inventory[[#This Row],[Adjusted Land Total]]</f>
        <v>344200</v>
      </c>
      <c r="BS1736" s="36">
        <f>IFERROR((Inventory[[#This Row],[Adjusted Impr Total]]-Inventory[[#This Row],[24Bldg]])/Inventory[[#This Row],[24Bldg]],0)</f>
        <v>0.18160741885625967</v>
      </c>
      <c r="BT1736" s="36">
        <f>(Inventory[[#This Row],[Adjusted Land Total]]-Inventory[[#This Row],[24Lnd]])/Inventory[[#This Row],[24Lnd]]</f>
        <v>-0.36106489184692181</v>
      </c>
      <c r="BU1736" s="36">
        <f>(Inventory[[#This Row],[Adjusted Total]]-Inventory[[#This Row],[24Final]])/Inventory[[#This Row],[24Final]]</f>
        <v>7.9335214800878018E-2</v>
      </c>
    </row>
    <row r="1737" spans="1:73" x14ac:dyDescent="0.3">
      <c r="A1737" s="25">
        <v>2025</v>
      </c>
      <c r="B1737" s="26" t="s">
        <v>2738</v>
      </c>
      <c r="C1737" s="26">
        <f>LN(Inventory[[#This Row],[Acres]])</f>
        <v>-1.4696759700589417</v>
      </c>
      <c r="D1737" s="25">
        <v>0.23</v>
      </c>
      <c r="E1737" s="32">
        <v>10125</v>
      </c>
      <c r="F1737" s="26" t="s">
        <v>537</v>
      </c>
      <c r="G1737" s="26" t="s">
        <v>126</v>
      </c>
      <c r="H1737" s="26" t="s">
        <v>349</v>
      </c>
      <c r="I1737" s="26" t="s">
        <v>538</v>
      </c>
      <c r="J1737" s="26" t="s">
        <v>539</v>
      </c>
      <c r="K1737" s="26" t="s">
        <v>4</v>
      </c>
      <c r="L1737" s="26" t="s">
        <v>351</v>
      </c>
      <c r="M1737" s="26" t="s">
        <v>323</v>
      </c>
      <c r="N1737" s="26">
        <v>100</v>
      </c>
      <c r="O1737" s="26">
        <f>2024-Inventory[[#This Row],[YrBlt]]</f>
        <v>94</v>
      </c>
      <c r="P1737" s="26">
        <f>2024-Inventory[[#This Row],[EffYr]]</f>
        <v>54</v>
      </c>
      <c r="Q1737" s="25">
        <v>1930</v>
      </c>
      <c r="R1737" s="25">
        <v>1970</v>
      </c>
      <c r="S1737" s="25">
        <v>1020</v>
      </c>
      <c r="T1737" s="31"/>
      <c r="U1737" s="25">
        <v>670</v>
      </c>
      <c r="V1737" s="25">
        <f>Inventory[[#This Row],[Bsmt]]-Inventory[[#This Row],[FnBsmt]]</f>
        <v>670</v>
      </c>
      <c r="W1737" s="31"/>
      <c r="X1737" s="27"/>
      <c r="Y1737" s="27">
        <f>Inventory[[#This Row],[MainFn]]+Inventory[[#This Row],[UpprFn]]+Inventory[[#This Row],[FnBsmt]]+Inventory[[#This Row],[AddFn]]</f>
        <v>1020</v>
      </c>
      <c r="Z1737" s="27">
        <v>1500</v>
      </c>
      <c r="AA1737" s="25">
        <v>5</v>
      </c>
      <c r="AB1737" s="32">
        <v>288</v>
      </c>
      <c r="AC1737" s="27"/>
      <c r="AD1737" s="27"/>
      <c r="AE1737" s="27"/>
      <c r="AF1737" s="27"/>
      <c r="AG1737" s="27"/>
      <c r="AH1737" s="27"/>
      <c r="AI1737" s="25">
        <v>212676</v>
      </c>
      <c r="AJ1737" s="25">
        <v>140366</v>
      </c>
      <c r="AK1737" s="25">
        <v>0</v>
      </c>
      <c r="AL1737" s="25">
        <v>278100</v>
      </c>
      <c r="AM1737" s="25">
        <v>63300</v>
      </c>
      <c r="AN1737" s="25">
        <v>214800</v>
      </c>
      <c r="AO1737" s="25">
        <v>0</v>
      </c>
      <c r="AP1737" s="25">
        <f>Lookups!$B$56*0</f>
        <v>0</v>
      </c>
      <c r="AQ1737" s="25">
        <f>Lookups!$B$56*1</f>
        <v>89850.625589999996</v>
      </c>
      <c r="AR1737" s="25">
        <f>Lookups!$B$57*Inventory[[#This Row],[LnAcres]]</f>
        <v>-46522.028095997222</v>
      </c>
      <c r="AS1737" s="25">
        <f>VLOOKUP(Inventory[[#This Row],[Qlty]],Lookups!$A$62:$E$75,2,FALSE)</f>
        <v>21557.329055999999</v>
      </c>
      <c r="AT1737" s="25">
        <f>VLOOKUP(Inventory[[#This Row],[Cnd]],Lookups!$A$76:$E$84,2,FALSE)</f>
        <v>160472.20319</v>
      </c>
      <c r="AU1737" s="25">
        <f>Inventory[[#This Row],[EffAge]]*Lookups!$B$85</f>
        <v>-12044.462427</v>
      </c>
      <c r="AV1737" s="25">
        <f>Inventory[[#This Row],[MainFn]]*Lookups!$B$86</f>
        <v>50396.843274539999</v>
      </c>
      <c r="AW1737" s="25">
        <f>Inventory[[#This Row],[UpprFn]]*Lookups!$B$87</f>
        <v>0</v>
      </c>
      <c r="AX1737" s="25">
        <f>Inventory[[#This Row],[AddFn]]*Lookups!$B$88</f>
        <v>0</v>
      </c>
      <c r="AY1737" s="25">
        <f>Inventory[[#This Row],[Bsmt]]*Lookups!$B$89</f>
        <v>19484.869815489998</v>
      </c>
      <c r="AZ1737" s="25">
        <f>Inventory[[#This Row],[Fixtures]]*Lookups!$B$90</f>
        <v>18960.110526</v>
      </c>
      <c r="BA1737" s="25">
        <f>Inventory[[#This Row],[WdDeck]]*Lookups!$B$91</f>
        <v>0</v>
      </c>
      <c r="BB1737" s="25">
        <f>ROUND(Inventory[[#This Row],[25Det]],-2)</f>
        <v>0</v>
      </c>
      <c r="BC1737" s="25">
        <f>ROUND(SUM(Inventory[[#This Row],[Mdl Qlty]:[Mdl WdDeck]])+Inventory[[#This Row],[Mdl Res Intercept]],-2)</f>
        <v>258800</v>
      </c>
      <c r="BD1737" s="25">
        <f>ROUND(Inventory[[#This Row],[Mdl Land Intercept]]+Inventory[[#This Row],[Mdl LnAcres]],-2)</f>
        <v>43300</v>
      </c>
      <c r="BE1737" s="25">
        <f>Inventory[[#This Row],[Unadj Res Value]]+Inventory[[#This Row],[Unadj Det Value]]+Inventory[[#This Row],[Unadj Land Value]]</f>
        <v>302100</v>
      </c>
      <c r="BF1737" s="36">
        <f>(Inventory[[#This Row],[Unadj Total Value]]-Inventory[[#This Row],[24Final]])/Inventory[[#This Row],[24Final]]</f>
        <v>8.629989212513485E-2</v>
      </c>
      <c r="BG1737" s="25">
        <f>VLOOKUP(Inventory[[#This Row],[Nbhd]],Lookups!$Q$2:$T$4,4,FALSE)</f>
        <v>0.99970000000000003</v>
      </c>
      <c r="BH1737" s="25">
        <f>VLOOKUP(Inventory[[#This Row],[Qlty]],Lookups!$O$7:$R$21,4,FALSE)</f>
        <v>1.0067999999999999</v>
      </c>
      <c r="BI1737" s="25">
        <f>VLOOKUP(Inventory[[#This Row],[Cnd]],Lookups!$T$7:$W$16,4,FALSE)</f>
        <v>0.99729999999999996</v>
      </c>
      <c r="BJ1737" s="25">
        <f>VLOOKUP(Inventory[[#This Row],[LivArea Range]],Lookups!$T$25:$W$37,4,FALSE)</f>
        <v>1.0157</v>
      </c>
      <c r="BK1737" s="25">
        <f>VLOOKUP(Inventory[[#This Row],[Decade]],Lookups!$O$25:$R$42,4,FALSE)</f>
        <v>1.0074000000000001</v>
      </c>
      <c r="BL1737" s="25">
        <f>Inventory[[#This Row],[Nbhd Adj]]*0.95</f>
        <v>0.94971499999999998</v>
      </c>
      <c r="BM1737" s="25">
        <f>Inventory[[#This Row],[Nbhd Adj]]*Inventory[[#This Row],[Quality Adj]]*Inventory[[#This Row],[Condition Adj]]*Inventory[[#This Row],[Living Area Adj]]*Inventory[[#This Row],[Decade Adj]]*0.95</f>
        <v>0.97573014419916293</v>
      </c>
      <c r="BN1737" s="25">
        <f>ROUND(SUM(Inventory[[#This Row],[Mdl Qlty]:[Mdl WdDeck]])+Inventory[[#This Row],[Mdl Res Intercept]]*Inventory[[#This Row],[Res Adj ]],-2)</f>
        <v>258800</v>
      </c>
      <c r="BO1737" s="25">
        <f>ROUND(Inventory[[#This Row],[25Det]]*Inventory[[#This Row],[Det/Nbhd Adj]],-2)</f>
        <v>0</v>
      </c>
      <c r="BP1737" s="25">
        <f>Inventory[[#This Row],[Adjusted Res]]+Inventory[[#This Row],[Adj Det ]]</f>
        <v>258800</v>
      </c>
      <c r="BQ1737" s="25">
        <f>ROUND((Inventory[[#This Row],[Mdl Land Intercept]]+Inventory[[#This Row],[Mdl LnAcres]])*Inventory[[#This Row],[Det/Nbhd Adj]],-2)</f>
        <v>41100</v>
      </c>
      <c r="BR1737" s="25">
        <f>Inventory[[#This Row],[Adjusted Impr Total]]+Inventory[[#This Row],[Adjusted Land Total]]</f>
        <v>299900</v>
      </c>
      <c r="BS1737" s="36">
        <f>IFERROR((Inventory[[#This Row],[Adjusted Impr Total]]-Inventory[[#This Row],[24Bldg]])/Inventory[[#This Row],[24Bldg]],0)</f>
        <v>0.2048417132216015</v>
      </c>
      <c r="BT1737" s="36">
        <f>(Inventory[[#This Row],[Adjusted Land Total]]-Inventory[[#This Row],[24Lnd]])/Inventory[[#This Row],[24Lnd]]</f>
        <v>-0.35071090047393366</v>
      </c>
      <c r="BU1737" s="36">
        <f>(Inventory[[#This Row],[Adjusted Total]]-Inventory[[#This Row],[24Final]])/Inventory[[#This Row],[24Final]]</f>
        <v>7.8389068680330812E-2</v>
      </c>
    </row>
    <row r="1738" spans="1:73" x14ac:dyDescent="0.3">
      <c r="A1738" s="25">
        <v>2025</v>
      </c>
      <c r="B1738" s="26" t="s">
        <v>1998</v>
      </c>
      <c r="C1738" s="26">
        <f>LN(Inventory[[#This Row],[Acres]])</f>
        <v>-1.5141277326297755</v>
      </c>
      <c r="D1738" s="25">
        <v>0.22</v>
      </c>
      <c r="E1738" s="27"/>
      <c r="F1738" s="26" t="s">
        <v>537</v>
      </c>
      <c r="G1738" s="26" t="s">
        <v>126</v>
      </c>
      <c r="H1738" s="26" t="s">
        <v>349</v>
      </c>
      <c r="I1738" s="26" t="s">
        <v>538</v>
      </c>
      <c r="J1738" s="26" t="s">
        <v>539</v>
      </c>
      <c r="K1738" s="26" t="s">
        <v>147</v>
      </c>
      <c r="L1738" s="26" t="s">
        <v>302</v>
      </c>
      <c r="M1738" s="26" t="s">
        <v>303</v>
      </c>
      <c r="N1738" s="26">
        <v>100</v>
      </c>
      <c r="O1738" s="26">
        <f>2024-Inventory[[#This Row],[YrBlt]]</f>
        <v>94</v>
      </c>
      <c r="P1738" s="26">
        <f>2024-Inventory[[#This Row],[EffYr]]</f>
        <v>34</v>
      </c>
      <c r="Q1738" s="25">
        <v>1930</v>
      </c>
      <c r="R1738" s="25">
        <v>1990</v>
      </c>
      <c r="S1738" s="25">
        <v>1128</v>
      </c>
      <c r="T1738" s="32">
        <v>564</v>
      </c>
      <c r="U1738" s="25">
        <v>1128</v>
      </c>
      <c r="V1738" s="25">
        <f>Inventory[[#This Row],[Bsmt]]-Inventory[[#This Row],[FnBsmt]]</f>
        <v>447</v>
      </c>
      <c r="W1738" s="25">
        <v>681</v>
      </c>
      <c r="X1738" s="27"/>
      <c r="Y1738" s="27">
        <f>Inventory[[#This Row],[MainFn]]+Inventory[[#This Row],[UpprFn]]+Inventory[[#This Row],[FnBsmt]]+Inventory[[#This Row],[AddFn]]</f>
        <v>2373</v>
      </c>
      <c r="Z1738" s="27">
        <v>2500</v>
      </c>
      <c r="AA1738" s="25">
        <v>10</v>
      </c>
      <c r="AB1738" s="27"/>
      <c r="AC1738" s="27"/>
      <c r="AD1738" s="27"/>
      <c r="AE1738" s="27"/>
      <c r="AF1738" s="27"/>
      <c r="AG1738" s="27"/>
      <c r="AH1738" s="27"/>
      <c r="AI1738" s="25">
        <v>383594</v>
      </c>
      <c r="AJ1738" s="25">
        <v>326055</v>
      </c>
      <c r="AK1738" s="25">
        <v>8588</v>
      </c>
      <c r="AL1738" s="25">
        <v>389900</v>
      </c>
      <c r="AM1738" s="25">
        <v>61700</v>
      </c>
      <c r="AN1738" s="25">
        <v>328200</v>
      </c>
      <c r="AO1738" s="25">
        <v>0</v>
      </c>
      <c r="AP1738" s="25">
        <f>Lookups!$B$56*0</f>
        <v>0</v>
      </c>
      <c r="AQ1738" s="25">
        <f>Lookups!$B$56*1</f>
        <v>89850.625589999996</v>
      </c>
      <c r="AR1738" s="25">
        <f>Lookups!$B$57*Inventory[[#This Row],[LnAcres]]</f>
        <v>-47929.131559187132</v>
      </c>
      <c r="AS1738" s="25">
        <f>VLOOKUP(Inventory[[#This Row],[Qlty]],Lookups!$A$62:$E$75,2,FALSE)</f>
        <v>29814.093161000001</v>
      </c>
      <c r="AT1738" s="25">
        <f>VLOOKUP(Inventory[[#This Row],[Cnd]],Lookups!$A$76:$E$84,2,FALSE)</f>
        <v>197752.34721000001</v>
      </c>
      <c r="AU1738" s="25">
        <f>Inventory[[#This Row],[EffAge]]*Lookups!$B$85</f>
        <v>-7583.5504170000004</v>
      </c>
      <c r="AV1738" s="25">
        <f>Inventory[[#This Row],[MainFn]]*Lookups!$B$86</f>
        <v>55732.979621256003</v>
      </c>
      <c r="AW1738" s="25">
        <f>Inventory[[#This Row],[UpprFn]]*Lookups!$B$87</f>
        <v>25259.542493604</v>
      </c>
      <c r="AX1738" s="25">
        <f>Inventory[[#This Row],[AddFn]]*Lookups!$B$88</f>
        <v>0</v>
      </c>
      <c r="AY1738" s="25">
        <f>Inventory[[#This Row],[Bsmt]]*Lookups!$B$89</f>
        <v>32804.377838615997</v>
      </c>
      <c r="AZ1738" s="25">
        <f>Inventory[[#This Row],[Fixtures]]*Lookups!$B$90</f>
        <v>37920.221052000001</v>
      </c>
      <c r="BA1738" s="25">
        <f>Inventory[[#This Row],[WdDeck]]*Lookups!$B$91</f>
        <v>0</v>
      </c>
      <c r="BB1738" s="25">
        <f>ROUND(Inventory[[#This Row],[25Det]],-2)</f>
        <v>8600</v>
      </c>
      <c r="BC1738" s="25">
        <f>ROUND(SUM(Inventory[[#This Row],[Mdl Qlty]:[Mdl WdDeck]])+Inventory[[#This Row],[Mdl Res Intercept]],-2)</f>
        <v>371700</v>
      </c>
      <c r="BD1738" s="25">
        <f>ROUND(Inventory[[#This Row],[Mdl Land Intercept]]+Inventory[[#This Row],[Mdl LnAcres]],-2)</f>
        <v>41900</v>
      </c>
      <c r="BE1738" s="25">
        <f>Inventory[[#This Row],[Unadj Res Value]]+Inventory[[#This Row],[Unadj Det Value]]+Inventory[[#This Row],[Unadj Land Value]]</f>
        <v>422200</v>
      </c>
      <c r="BF1738" s="36">
        <f>(Inventory[[#This Row],[Unadj Total Value]]-Inventory[[#This Row],[24Final]])/Inventory[[#This Row],[24Final]]</f>
        <v>8.2841754295973333E-2</v>
      </c>
      <c r="BG1738" s="25">
        <f>VLOOKUP(Inventory[[#This Row],[Nbhd]],Lookups!$Q$2:$T$4,4,FALSE)</f>
        <v>0.99970000000000003</v>
      </c>
      <c r="BH1738" s="25">
        <f>VLOOKUP(Inventory[[#This Row],[Qlty]],Lookups!$O$7:$R$21,4,FALSE)</f>
        <v>1.0088999999999999</v>
      </c>
      <c r="BI1738" s="25">
        <f>VLOOKUP(Inventory[[#This Row],[Cnd]],Lookups!$T$7:$W$16,4,FALSE)</f>
        <v>0.99650000000000005</v>
      </c>
      <c r="BJ1738" s="25">
        <f>VLOOKUP(Inventory[[#This Row],[LivArea Range]],Lookups!$T$25:$W$37,4,FALSE)</f>
        <v>0.98919999999999997</v>
      </c>
      <c r="BK1738" s="25">
        <f>VLOOKUP(Inventory[[#This Row],[Decade]],Lookups!$O$25:$R$42,4,FALSE)</f>
        <v>1.0074000000000001</v>
      </c>
      <c r="BL1738" s="25">
        <f>Inventory[[#This Row],[Nbhd Adj]]*0.95</f>
        <v>0.94971499999999998</v>
      </c>
      <c r="BM1738" s="25">
        <f>Inventory[[#This Row],[Nbhd Adj]]*Inventory[[#This Row],[Quality Adj]]*Inventory[[#This Row],[Condition Adj]]*Inventory[[#This Row],[Living Area Adj]]*Inventory[[#This Row],[Decade Adj]]*0.95</f>
        <v>0.95149120146958555</v>
      </c>
      <c r="BN1738" s="25">
        <f>ROUND(SUM(Inventory[[#This Row],[Mdl Qlty]:[Mdl WdDeck]])+Inventory[[#This Row],[Mdl Res Intercept]]*Inventory[[#This Row],[Res Adj ]],-2)</f>
        <v>371700</v>
      </c>
      <c r="BO1738" s="25">
        <f>ROUND(Inventory[[#This Row],[25Det]]*Inventory[[#This Row],[Det/Nbhd Adj]],-2)</f>
        <v>8200</v>
      </c>
      <c r="BP1738" s="25">
        <f>Inventory[[#This Row],[Adjusted Res]]+Inventory[[#This Row],[Adj Det ]]</f>
        <v>379900</v>
      </c>
      <c r="BQ1738" s="25">
        <f>ROUND((Inventory[[#This Row],[Mdl Land Intercept]]+Inventory[[#This Row],[Mdl LnAcres]])*Inventory[[#This Row],[Det/Nbhd Adj]],-2)</f>
        <v>39800</v>
      </c>
      <c r="BR1738" s="25">
        <f>Inventory[[#This Row],[Adjusted Impr Total]]+Inventory[[#This Row],[Adjusted Land Total]]</f>
        <v>419700</v>
      </c>
      <c r="BS1738" s="36">
        <f>IFERROR((Inventory[[#This Row],[Adjusted Impr Total]]-Inventory[[#This Row],[24Bldg]])/Inventory[[#This Row],[24Bldg]],0)</f>
        <v>0.15752589884216942</v>
      </c>
      <c r="BT1738" s="36">
        <f>(Inventory[[#This Row],[Adjusted Land Total]]-Inventory[[#This Row],[24Lnd]])/Inventory[[#This Row],[24Lnd]]</f>
        <v>-0.35494327390599678</v>
      </c>
      <c r="BU1738" s="36">
        <f>(Inventory[[#This Row],[Adjusted Total]]-Inventory[[#This Row],[24Final]])/Inventory[[#This Row],[24Final]]</f>
        <v>7.6429853808668888E-2</v>
      </c>
    </row>
    <row r="1739" spans="1:73" x14ac:dyDescent="0.3">
      <c r="A1739" s="25">
        <v>2025</v>
      </c>
      <c r="B1739" s="26" t="s">
        <v>2145</v>
      </c>
      <c r="C1739" s="26">
        <f>LN(Inventory[[#This Row],[Acres]])</f>
        <v>-1.8971199848858813</v>
      </c>
      <c r="D1739" s="25">
        <v>0.15</v>
      </c>
      <c r="E1739" s="32">
        <v>6559</v>
      </c>
      <c r="F1739" s="26" t="s">
        <v>537</v>
      </c>
      <c r="G1739" s="26" t="s">
        <v>126</v>
      </c>
      <c r="H1739" s="26" t="s">
        <v>349</v>
      </c>
      <c r="I1739" s="26" t="s">
        <v>538</v>
      </c>
      <c r="J1739" s="26" t="s">
        <v>539</v>
      </c>
      <c r="K1739" s="26" t="s">
        <v>242</v>
      </c>
      <c r="L1739" s="26" t="s">
        <v>351</v>
      </c>
      <c r="M1739" s="26" t="s">
        <v>323</v>
      </c>
      <c r="N1739" s="26">
        <v>100</v>
      </c>
      <c r="O1739" s="26">
        <f>2024-Inventory[[#This Row],[YrBlt]]</f>
        <v>94</v>
      </c>
      <c r="P1739" s="26">
        <f>2024-Inventory[[#This Row],[EffYr]]</f>
        <v>54</v>
      </c>
      <c r="Q1739" s="25">
        <v>1930</v>
      </c>
      <c r="R1739" s="25">
        <v>1970</v>
      </c>
      <c r="S1739" s="25">
        <v>970</v>
      </c>
      <c r="T1739" s="31"/>
      <c r="U1739" s="25">
        <v>245</v>
      </c>
      <c r="V1739" s="25">
        <f>Inventory[[#This Row],[Bsmt]]-Inventory[[#This Row],[FnBsmt]]</f>
        <v>245</v>
      </c>
      <c r="W1739" s="31"/>
      <c r="X1739" s="27"/>
      <c r="Y1739" s="27">
        <f>Inventory[[#This Row],[MainFn]]+Inventory[[#This Row],[UpprFn]]+Inventory[[#This Row],[FnBsmt]]+Inventory[[#This Row],[AddFn]]</f>
        <v>970</v>
      </c>
      <c r="Z1739" s="27">
        <v>1000</v>
      </c>
      <c r="AA1739" s="25">
        <v>5</v>
      </c>
      <c r="AB1739" s="27"/>
      <c r="AC1739" s="27"/>
      <c r="AD1739" s="27"/>
      <c r="AE1739" s="27"/>
      <c r="AF1739" s="27"/>
      <c r="AG1739" s="27"/>
      <c r="AH1739" s="27"/>
      <c r="AI1739" s="25">
        <v>172383</v>
      </c>
      <c r="AJ1739" s="25">
        <v>113773</v>
      </c>
      <c r="AK1739" s="25">
        <v>7092</v>
      </c>
      <c r="AL1739" s="25">
        <v>259200</v>
      </c>
      <c r="AM1739" s="25">
        <v>48400</v>
      </c>
      <c r="AN1739" s="25">
        <v>210800</v>
      </c>
      <c r="AO1739" s="25">
        <v>0</v>
      </c>
      <c r="AP1739" s="25">
        <f>Lookups!$B$56*0</f>
        <v>0</v>
      </c>
      <c r="AQ1739" s="25">
        <f>Lookups!$B$56*1</f>
        <v>89850.625589999996</v>
      </c>
      <c r="AR1739" s="25">
        <f>Lookups!$B$57*Inventory[[#This Row],[LnAcres]]</f>
        <v>-60052.604136134301</v>
      </c>
      <c r="AS1739" s="25">
        <f>VLOOKUP(Inventory[[#This Row],[Qlty]],Lookups!$A$62:$E$75,2,FALSE)</f>
        <v>21557.329055999999</v>
      </c>
      <c r="AT1739" s="25">
        <f>VLOOKUP(Inventory[[#This Row],[Cnd]],Lookups!$A$76:$E$84,2,FALSE)</f>
        <v>160472.20319</v>
      </c>
      <c r="AU1739" s="25">
        <f>Inventory[[#This Row],[EffAge]]*Lookups!$B$85</f>
        <v>-12044.462427</v>
      </c>
      <c r="AV1739" s="25">
        <f>Inventory[[#This Row],[MainFn]]*Lookups!$B$86</f>
        <v>47926.409780690003</v>
      </c>
      <c r="AW1739" s="25">
        <f>Inventory[[#This Row],[UpprFn]]*Lookups!$B$87</f>
        <v>0</v>
      </c>
      <c r="AX1739" s="25">
        <f>Inventory[[#This Row],[AddFn]]*Lookups!$B$88</f>
        <v>0</v>
      </c>
      <c r="AY1739" s="25">
        <f>Inventory[[#This Row],[Bsmt]]*Lookups!$B$89</f>
        <v>7125.0643355149996</v>
      </c>
      <c r="AZ1739" s="25">
        <f>Inventory[[#This Row],[Fixtures]]*Lookups!$B$90</f>
        <v>18960.110526</v>
      </c>
      <c r="BA1739" s="25">
        <f>Inventory[[#This Row],[WdDeck]]*Lookups!$B$91</f>
        <v>0</v>
      </c>
      <c r="BB1739" s="25">
        <f>ROUND(Inventory[[#This Row],[25Det]],-2)</f>
        <v>7100</v>
      </c>
      <c r="BC1739" s="25">
        <f>ROUND(SUM(Inventory[[#This Row],[Mdl Qlty]:[Mdl WdDeck]])+Inventory[[#This Row],[Mdl Res Intercept]],-2)</f>
        <v>244000</v>
      </c>
      <c r="BD1739" s="25">
        <f>ROUND(Inventory[[#This Row],[Mdl Land Intercept]]+Inventory[[#This Row],[Mdl LnAcres]],-2)</f>
        <v>29800</v>
      </c>
      <c r="BE1739" s="25">
        <f>Inventory[[#This Row],[Unadj Res Value]]+Inventory[[#This Row],[Unadj Det Value]]+Inventory[[#This Row],[Unadj Land Value]]</f>
        <v>280900</v>
      </c>
      <c r="BF1739" s="36">
        <f>(Inventory[[#This Row],[Unadj Total Value]]-Inventory[[#This Row],[24Final]])/Inventory[[#This Row],[24Final]]</f>
        <v>8.3719135802469133E-2</v>
      </c>
      <c r="BG1739" s="25">
        <f>VLOOKUP(Inventory[[#This Row],[Nbhd]],Lookups!$Q$2:$T$4,4,FALSE)</f>
        <v>0.99970000000000003</v>
      </c>
      <c r="BH1739" s="25">
        <f>VLOOKUP(Inventory[[#This Row],[Qlty]],Lookups!$O$7:$R$21,4,FALSE)</f>
        <v>1.0067999999999999</v>
      </c>
      <c r="BI1739" s="25">
        <f>VLOOKUP(Inventory[[#This Row],[Cnd]],Lookups!$T$7:$W$16,4,FALSE)</f>
        <v>0.99729999999999996</v>
      </c>
      <c r="BJ1739" s="25">
        <f>VLOOKUP(Inventory[[#This Row],[LivArea Range]],Lookups!$T$25:$W$37,4,FALSE)</f>
        <v>1.0148999999999999</v>
      </c>
      <c r="BK1739" s="25">
        <f>VLOOKUP(Inventory[[#This Row],[Decade]],Lookups!$O$25:$R$42,4,FALSE)</f>
        <v>1.0074000000000001</v>
      </c>
      <c r="BL1739" s="25">
        <f>Inventory[[#This Row],[Nbhd Adj]]*0.95</f>
        <v>0.94971499999999998</v>
      </c>
      <c r="BM1739" s="25">
        <f>Inventory[[#This Row],[Nbhd Adj]]*Inventory[[#This Row],[Quality Adj]]*Inventory[[#This Row],[Condition Adj]]*Inventory[[#This Row],[Living Area Adj]]*Inventory[[#This Row],[Decade Adj]]*0.95</f>
        <v>0.97496162582232004</v>
      </c>
      <c r="BN1739" s="25">
        <f>ROUND(SUM(Inventory[[#This Row],[Mdl Qlty]:[Mdl WdDeck]])+Inventory[[#This Row],[Mdl Res Intercept]]*Inventory[[#This Row],[Res Adj ]],-2)</f>
        <v>244000</v>
      </c>
      <c r="BO1739" s="25">
        <f>ROUND(Inventory[[#This Row],[25Det]]*Inventory[[#This Row],[Det/Nbhd Adj]],-2)</f>
        <v>6700</v>
      </c>
      <c r="BP1739" s="25">
        <f>Inventory[[#This Row],[Adjusted Res]]+Inventory[[#This Row],[Adj Det ]]</f>
        <v>250700</v>
      </c>
      <c r="BQ1739" s="25">
        <f>ROUND((Inventory[[#This Row],[Mdl Land Intercept]]+Inventory[[#This Row],[Mdl LnAcres]])*Inventory[[#This Row],[Det/Nbhd Adj]],-2)</f>
        <v>28300</v>
      </c>
      <c r="BR1739" s="25">
        <f>Inventory[[#This Row],[Adjusted Impr Total]]+Inventory[[#This Row],[Adjusted Land Total]]</f>
        <v>279000</v>
      </c>
      <c r="BS1739" s="36">
        <f>IFERROR((Inventory[[#This Row],[Adjusted Impr Total]]-Inventory[[#This Row],[24Bldg]])/Inventory[[#This Row],[24Bldg]],0)</f>
        <v>0.18927893738140417</v>
      </c>
      <c r="BT1739" s="36">
        <f>(Inventory[[#This Row],[Adjusted Land Total]]-Inventory[[#This Row],[24Lnd]])/Inventory[[#This Row],[24Lnd]]</f>
        <v>-0.41528925619834711</v>
      </c>
      <c r="BU1739" s="36">
        <f>(Inventory[[#This Row],[Adjusted Total]]-Inventory[[#This Row],[24Final]])/Inventory[[#This Row],[24Final]]</f>
        <v>7.6388888888888895E-2</v>
      </c>
    </row>
    <row r="1740" spans="1:73" x14ac:dyDescent="0.3">
      <c r="A1740" s="25">
        <v>2025</v>
      </c>
      <c r="B1740" s="26" t="s">
        <v>2438</v>
      </c>
      <c r="C1740" s="26">
        <f>LN(Inventory[[#This Row],[Acres]])</f>
        <v>-1.3862943611198906</v>
      </c>
      <c r="D1740" s="25">
        <v>0.25</v>
      </c>
      <c r="E1740" s="32">
        <v>11106</v>
      </c>
      <c r="F1740" s="26" t="s">
        <v>537</v>
      </c>
      <c r="G1740" s="26" t="s">
        <v>126</v>
      </c>
      <c r="H1740" s="26" t="s">
        <v>349</v>
      </c>
      <c r="I1740" s="26" t="s">
        <v>538</v>
      </c>
      <c r="J1740" s="26" t="s">
        <v>539</v>
      </c>
      <c r="K1740" s="26" t="s">
        <v>173</v>
      </c>
      <c r="L1740" s="26" t="s">
        <v>95</v>
      </c>
      <c r="M1740" s="26" t="s">
        <v>323</v>
      </c>
      <c r="N1740" s="26">
        <v>100</v>
      </c>
      <c r="O1740" s="26">
        <f>2024-Inventory[[#This Row],[YrBlt]]</f>
        <v>94</v>
      </c>
      <c r="P1740" s="26">
        <f>2024-Inventory[[#This Row],[EffYr]]</f>
        <v>54</v>
      </c>
      <c r="Q1740" s="25">
        <v>1930</v>
      </c>
      <c r="R1740" s="25">
        <v>1970</v>
      </c>
      <c r="S1740" s="25">
        <v>1291</v>
      </c>
      <c r="T1740" s="25">
        <v>967</v>
      </c>
      <c r="U1740" s="25">
        <v>1117</v>
      </c>
      <c r="V1740" s="25">
        <f>Inventory[[#This Row],[Bsmt]]-Inventory[[#This Row],[FnBsmt]]</f>
        <v>848</v>
      </c>
      <c r="W1740" s="25">
        <v>269</v>
      </c>
      <c r="X1740" s="32">
        <v>336</v>
      </c>
      <c r="Y1740" s="32">
        <f>Inventory[[#This Row],[MainFn]]+Inventory[[#This Row],[UpprFn]]+Inventory[[#This Row],[FnBsmt]]+Inventory[[#This Row],[AddFn]]</f>
        <v>2863</v>
      </c>
      <c r="Z1740" s="27">
        <v>3000</v>
      </c>
      <c r="AA1740" s="25">
        <v>14</v>
      </c>
      <c r="AB1740" s="32">
        <v>672</v>
      </c>
      <c r="AC1740" s="27"/>
      <c r="AD1740" s="32">
        <v>1059</v>
      </c>
      <c r="AE1740" s="27"/>
      <c r="AF1740" s="27"/>
      <c r="AG1740" s="27"/>
      <c r="AH1740" s="27"/>
      <c r="AI1740" s="25">
        <v>690921</v>
      </c>
      <c r="AJ1740" s="25">
        <v>462917</v>
      </c>
      <c r="AK1740" s="25">
        <v>0</v>
      </c>
      <c r="AL1740" s="25">
        <v>479800</v>
      </c>
      <c r="AM1740" s="25">
        <v>66200</v>
      </c>
      <c r="AN1740" s="25">
        <v>413600</v>
      </c>
      <c r="AO1740" s="25">
        <v>0</v>
      </c>
      <c r="AP1740" s="25">
        <f>Lookups!$B$56*0</f>
        <v>0</v>
      </c>
      <c r="AQ1740" s="25">
        <f>Lookups!$B$56*1</f>
        <v>89850.625589999996</v>
      </c>
      <c r="AR1740" s="25">
        <f>Lookups!$B$57*Inventory[[#This Row],[LnAcres]]</f>
        <v>-43882.615305165229</v>
      </c>
      <c r="AS1740" s="25">
        <f>VLOOKUP(Inventory[[#This Row],[Qlty]],Lookups!$A$62:$E$75,2,FALSE)</f>
        <v>74268.409664999999</v>
      </c>
      <c r="AT1740" s="25">
        <f>VLOOKUP(Inventory[[#This Row],[Cnd]],Lookups!$A$76:$E$84,2,FALSE)</f>
        <v>160472.20319</v>
      </c>
      <c r="AU1740" s="25">
        <f>Inventory[[#This Row],[EffAge]]*Lookups!$B$85</f>
        <v>-12044.462427</v>
      </c>
      <c r="AV1740" s="25">
        <f>Inventory[[#This Row],[MainFn]]*Lookups!$B$86</f>
        <v>63786.592811207003</v>
      </c>
      <c r="AW1740" s="25">
        <f>Inventory[[#This Row],[UpprFn]]*Lookups!$B$87</f>
        <v>43308.470906586997</v>
      </c>
      <c r="AX1740" s="25">
        <f>Inventory[[#This Row],[AddFn]]*Lookups!$B$88</f>
        <v>21871.809473136003</v>
      </c>
      <c r="AY1740" s="25">
        <f>Inventory[[#This Row],[Bsmt]]*Lookups!$B$89</f>
        <v>32484.476990898998</v>
      </c>
      <c r="AZ1740" s="25">
        <f>Inventory[[#This Row],[Fixtures]]*Lookups!$B$90</f>
        <v>53088.3094728</v>
      </c>
      <c r="BA1740" s="25">
        <f>Inventory[[#This Row],[WdDeck]]*Lookups!$B$91</f>
        <v>35259.950677284003</v>
      </c>
      <c r="BB1740" s="25">
        <f>ROUND(Inventory[[#This Row],[25Det]],-2)</f>
        <v>0</v>
      </c>
      <c r="BC1740" s="25">
        <f>ROUND(SUM(Inventory[[#This Row],[Mdl Qlty]:[Mdl WdDeck]])+Inventory[[#This Row],[Mdl Res Intercept]],-2)</f>
        <v>472500</v>
      </c>
      <c r="BD1740" s="25">
        <f>ROUND(Inventory[[#This Row],[Mdl Land Intercept]]+Inventory[[#This Row],[Mdl LnAcres]],-2)</f>
        <v>46000</v>
      </c>
      <c r="BE1740" s="25">
        <f>Inventory[[#This Row],[Unadj Res Value]]+Inventory[[#This Row],[Unadj Det Value]]+Inventory[[#This Row],[Unadj Land Value]]</f>
        <v>518500</v>
      </c>
      <c r="BF1740" s="36">
        <f>(Inventory[[#This Row],[Unadj Total Value]]-Inventory[[#This Row],[24Final]])/Inventory[[#This Row],[24Final]]</f>
        <v>8.0658607753230513E-2</v>
      </c>
      <c r="BG1740" s="25">
        <f>VLOOKUP(Inventory[[#This Row],[Nbhd]],Lookups!$Q$2:$T$4,4,FALSE)</f>
        <v>0.99970000000000003</v>
      </c>
      <c r="BH1740" s="25">
        <f>VLOOKUP(Inventory[[#This Row],[Qlty]],Lookups!$O$7:$R$21,4,FALSE)</f>
        <v>0.98380000000000001</v>
      </c>
      <c r="BI1740" s="25">
        <f>VLOOKUP(Inventory[[#This Row],[Cnd]],Lookups!$T$7:$W$16,4,FALSE)</f>
        <v>0.99729999999999996</v>
      </c>
      <c r="BJ1740" s="25">
        <f>VLOOKUP(Inventory[[#This Row],[LivArea Range]],Lookups!$T$25:$W$37,4,FALSE)</f>
        <v>0.96179999999999999</v>
      </c>
      <c r="BK1740" s="25">
        <f>VLOOKUP(Inventory[[#This Row],[Decade]],Lookups!$O$25:$R$42,4,FALSE)</f>
        <v>1.0074000000000001</v>
      </c>
      <c r="BL1740" s="25">
        <f>Inventory[[#This Row],[Nbhd Adj]]*0.95</f>
        <v>0.94971499999999998</v>
      </c>
      <c r="BM1740" s="25">
        <f>Inventory[[#This Row],[Nbhd Adj]]*Inventory[[#This Row],[Quality Adj]]*Inventory[[#This Row],[Condition Adj]]*Inventory[[#This Row],[Living Area Adj]]*Inventory[[#This Row],[Decade Adj]]*0.95</f>
        <v>0.90284387049931569</v>
      </c>
      <c r="BN1740" s="25">
        <f>ROUND(SUM(Inventory[[#This Row],[Mdl Qlty]:[Mdl WdDeck]])+Inventory[[#This Row],[Mdl Res Intercept]]*Inventory[[#This Row],[Res Adj ]],-2)</f>
        <v>472500</v>
      </c>
      <c r="BO1740" s="25">
        <f>ROUND(Inventory[[#This Row],[25Det]]*Inventory[[#This Row],[Det/Nbhd Adj]],-2)</f>
        <v>0</v>
      </c>
      <c r="BP1740" s="25">
        <f>Inventory[[#This Row],[Adjusted Res]]+Inventory[[#This Row],[Adj Det ]]</f>
        <v>472500</v>
      </c>
      <c r="BQ1740" s="25">
        <f>ROUND((Inventory[[#This Row],[Mdl Land Intercept]]+Inventory[[#This Row],[Mdl LnAcres]])*Inventory[[#This Row],[Det/Nbhd Adj]],-2)</f>
        <v>43700</v>
      </c>
      <c r="BR1740" s="25">
        <f>Inventory[[#This Row],[Adjusted Impr Total]]+Inventory[[#This Row],[Adjusted Land Total]]</f>
        <v>516200</v>
      </c>
      <c r="BS1740" s="36">
        <f>IFERROR((Inventory[[#This Row],[Adjusted Impr Total]]-Inventory[[#This Row],[24Bldg]])/Inventory[[#This Row],[24Bldg]],0)</f>
        <v>0.14240812379110251</v>
      </c>
      <c r="BT1740" s="36">
        <f>(Inventory[[#This Row],[Adjusted Land Total]]-Inventory[[#This Row],[24Lnd]])/Inventory[[#This Row],[24Lnd]]</f>
        <v>-0.33987915407854985</v>
      </c>
      <c r="BU1740" s="36">
        <f>(Inventory[[#This Row],[Adjusted Total]]-Inventory[[#This Row],[24Final]])/Inventory[[#This Row],[24Final]]</f>
        <v>7.5864943726552725E-2</v>
      </c>
    </row>
    <row r="1741" spans="1:73" x14ac:dyDescent="0.3">
      <c r="A1741" s="25">
        <v>2025</v>
      </c>
      <c r="B1741" s="26" t="s">
        <v>1570</v>
      </c>
      <c r="C1741" s="26">
        <f>LN(Inventory[[#This Row],[Acres]])</f>
        <v>-1.5606477482646683</v>
      </c>
      <c r="D1741" s="25">
        <v>0.21</v>
      </c>
      <c r="E1741" s="27"/>
      <c r="F1741" s="26" t="s">
        <v>537</v>
      </c>
      <c r="G1741" s="26" t="s">
        <v>126</v>
      </c>
      <c r="H1741" s="26" t="s">
        <v>349</v>
      </c>
      <c r="I1741" s="26" t="s">
        <v>538</v>
      </c>
      <c r="J1741" s="26" t="s">
        <v>539</v>
      </c>
      <c r="K1741" s="26" t="s">
        <v>173</v>
      </c>
      <c r="L1741" s="26" t="s">
        <v>148</v>
      </c>
      <c r="M1741" s="26" t="s">
        <v>303</v>
      </c>
      <c r="N1741" s="26">
        <v>100</v>
      </c>
      <c r="O1741" s="26">
        <f>2024-Inventory[[#This Row],[YrBlt]]</f>
        <v>94</v>
      </c>
      <c r="P1741" s="26">
        <f>2024-Inventory[[#This Row],[EffYr]]</f>
        <v>54</v>
      </c>
      <c r="Q1741" s="25">
        <v>1930</v>
      </c>
      <c r="R1741" s="25">
        <v>1970</v>
      </c>
      <c r="S1741" s="25">
        <v>1662</v>
      </c>
      <c r="T1741" s="32">
        <v>800</v>
      </c>
      <c r="U1741" s="25">
        <v>1416</v>
      </c>
      <c r="V1741" s="25">
        <f>Inventory[[#This Row],[Bsmt]]-Inventory[[#This Row],[FnBsmt]]</f>
        <v>1416</v>
      </c>
      <c r="W1741" s="31"/>
      <c r="X1741" s="27"/>
      <c r="Y1741" s="27">
        <f>Inventory[[#This Row],[MainFn]]+Inventory[[#This Row],[UpprFn]]+Inventory[[#This Row],[FnBsmt]]+Inventory[[#This Row],[AddFn]]</f>
        <v>2462</v>
      </c>
      <c r="Z1741" s="27">
        <v>2500</v>
      </c>
      <c r="AA1741" s="25">
        <v>9</v>
      </c>
      <c r="AB1741" s="27"/>
      <c r="AC1741" s="27"/>
      <c r="AD1741" s="27"/>
      <c r="AE1741" s="27"/>
      <c r="AF1741" s="27"/>
      <c r="AG1741" s="27"/>
      <c r="AH1741" s="27"/>
      <c r="AI1741" s="25">
        <v>522739</v>
      </c>
      <c r="AJ1741" s="25">
        <v>355463</v>
      </c>
      <c r="AK1741" s="25">
        <v>9380</v>
      </c>
      <c r="AL1741" s="25">
        <v>437300</v>
      </c>
      <c r="AM1741" s="25">
        <v>60100</v>
      </c>
      <c r="AN1741" s="25">
        <v>377200</v>
      </c>
      <c r="AO1741" s="25">
        <v>0</v>
      </c>
      <c r="AP1741" s="25">
        <f>Lookups!$B$56*0</f>
        <v>0</v>
      </c>
      <c r="AQ1741" s="25">
        <f>Lookups!$B$56*1</f>
        <v>89850.625589999996</v>
      </c>
      <c r="AR1741" s="25">
        <f>Lookups!$B$57*Inventory[[#This Row],[LnAcres]]</f>
        <v>-49401.70477837498</v>
      </c>
      <c r="AS1741" s="25">
        <f>VLOOKUP(Inventory[[#This Row],[Qlty]],Lookups!$A$62:$E$75,2,FALSE)</f>
        <v>44121.038090000002</v>
      </c>
      <c r="AT1741" s="25">
        <f>VLOOKUP(Inventory[[#This Row],[Cnd]],Lookups!$A$76:$E$84,2,FALSE)</f>
        <v>197752.34721000001</v>
      </c>
      <c r="AU1741" s="25">
        <f>Inventory[[#This Row],[EffAge]]*Lookups!$B$85</f>
        <v>-12044.462427</v>
      </c>
      <c r="AV1741" s="25">
        <f>Inventory[[#This Row],[MainFn]]*Lookups!$B$86</f>
        <v>82117.209335574007</v>
      </c>
      <c r="AW1741" s="25">
        <f>Inventory[[#This Row],[UpprFn]]*Lookups!$B$87</f>
        <v>35829.138288800001</v>
      </c>
      <c r="AX1741" s="25">
        <f>Inventory[[#This Row],[AddFn]]*Lookups!$B$88</f>
        <v>0</v>
      </c>
      <c r="AY1741" s="25">
        <f>Inventory[[#This Row],[Bsmt]]*Lookups!$B$89</f>
        <v>41179.963669751996</v>
      </c>
      <c r="AZ1741" s="25">
        <f>Inventory[[#This Row],[Fixtures]]*Lookups!$B$90</f>
        <v>34128.198946800003</v>
      </c>
      <c r="BA1741" s="25">
        <f>Inventory[[#This Row],[WdDeck]]*Lookups!$B$91</f>
        <v>0</v>
      </c>
      <c r="BB1741" s="25">
        <f>ROUND(Inventory[[#This Row],[25Det]],-2)</f>
        <v>9400</v>
      </c>
      <c r="BC1741" s="25">
        <f>ROUND(SUM(Inventory[[#This Row],[Mdl Qlty]:[Mdl WdDeck]])+Inventory[[#This Row],[Mdl Res Intercept]],-2)</f>
        <v>423100</v>
      </c>
      <c r="BD1741" s="25">
        <f>ROUND(Inventory[[#This Row],[Mdl Land Intercept]]+Inventory[[#This Row],[Mdl LnAcres]],-2)</f>
        <v>40400</v>
      </c>
      <c r="BE1741" s="25">
        <f>Inventory[[#This Row],[Unadj Res Value]]+Inventory[[#This Row],[Unadj Det Value]]+Inventory[[#This Row],[Unadj Land Value]]</f>
        <v>472900</v>
      </c>
      <c r="BF1741" s="36">
        <f>(Inventory[[#This Row],[Unadj Total Value]]-Inventory[[#This Row],[24Final]])/Inventory[[#This Row],[24Final]]</f>
        <v>8.1408643951520698E-2</v>
      </c>
      <c r="BG1741" s="25">
        <f>VLOOKUP(Inventory[[#This Row],[Nbhd]],Lookups!$Q$2:$T$4,4,FALSE)</f>
        <v>0.99970000000000003</v>
      </c>
      <c r="BH1741" s="25">
        <f>VLOOKUP(Inventory[[#This Row],[Qlty]],Lookups!$O$7:$R$21,4,FALSE)</f>
        <v>0.98050000000000004</v>
      </c>
      <c r="BI1741" s="25">
        <f>VLOOKUP(Inventory[[#This Row],[Cnd]],Lookups!$T$7:$W$16,4,FALSE)</f>
        <v>0.99650000000000005</v>
      </c>
      <c r="BJ1741" s="25">
        <f>VLOOKUP(Inventory[[#This Row],[LivArea Range]],Lookups!$T$25:$W$37,4,FALSE)</f>
        <v>0.98919999999999997</v>
      </c>
      <c r="BK1741" s="25">
        <f>VLOOKUP(Inventory[[#This Row],[Decade]],Lookups!$O$25:$R$42,4,FALSE)</f>
        <v>1.0074000000000001</v>
      </c>
      <c r="BL1741" s="25">
        <f>Inventory[[#This Row],[Nbhd Adj]]*0.95</f>
        <v>0.94971499999999998</v>
      </c>
      <c r="BM1741" s="25">
        <f>Inventory[[#This Row],[Nbhd Adj]]*Inventory[[#This Row],[Quality Adj]]*Inventory[[#This Row],[Condition Adj]]*Inventory[[#This Row],[Living Area Adj]]*Inventory[[#This Row],[Decade Adj]]*0.95</f>
        <v>0.9247072287054503</v>
      </c>
      <c r="BN1741" s="25">
        <f>ROUND(SUM(Inventory[[#This Row],[Mdl Qlty]:[Mdl WdDeck]])+Inventory[[#This Row],[Mdl Res Intercept]]*Inventory[[#This Row],[Res Adj ]],-2)</f>
        <v>423100</v>
      </c>
      <c r="BO1741" s="25">
        <f>ROUND(Inventory[[#This Row],[25Det]]*Inventory[[#This Row],[Det/Nbhd Adj]],-2)</f>
        <v>8900</v>
      </c>
      <c r="BP1741" s="25">
        <f>Inventory[[#This Row],[Adjusted Res]]+Inventory[[#This Row],[Adj Det ]]</f>
        <v>432000</v>
      </c>
      <c r="BQ1741" s="25">
        <f>ROUND((Inventory[[#This Row],[Mdl Land Intercept]]+Inventory[[#This Row],[Mdl LnAcres]])*Inventory[[#This Row],[Det/Nbhd Adj]],-2)</f>
        <v>38400</v>
      </c>
      <c r="BR1741" s="25">
        <f>Inventory[[#This Row],[Adjusted Impr Total]]+Inventory[[#This Row],[Adjusted Land Total]]</f>
        <v>470400</v>
      </c>
      <c r="BS1741" s="36">
        <f>IFERROR((Inventory[[#This Row],[Adjusted Impr Total]]-Inventory[[#This Row],[24Bldg]])/Inventory[[#This Row],[24Bldg]],0)</f>
        <v>0.14528101802757157</v>
      </c>
      <c r="BT1741" s="36">
        <f>(Inventory[[#This Row],[Adjusted Land Total]]-Inventory[[#This Row],[24Lnd]])/Inventory[[#This Row],[24Lnd]]</f>
        <v>-0.36106489184692181</v>
      </c>
      <c r="BU1741" s="36">
        <f>(Inventory[[#This Row],[Adjusted Total]]-Inventory[[#This Row],[24Final]])/Inventory[[#This Row],[24Final]]</f>
        <v>7.5691744797621766E-2</v>
      </c>
    </row>
    <row r="1742" spans="1:73" x14ac:dyDescent="0.3">
      <c r="A1742" s="25">
        <v>2025</v>
      </c>
      <c r="B1742" s="26" t="s">
        <v>1845</v>
      </c>
      <c r="C1742" s="26">
        <f>LN(Inventory[[#This Row],[Acres]])</f>
        <v>-1.8971199848858813</v>
      </c>
      <c r="D1742" s="25">
        <v>0.15</v>
      </c>
      <c r="E1742" s="27"/>
      <c r="F1742" s="26" t="s">
        <v>537</v>
      </c>
      <c r="G1742" s="26" t="s">
        <v>126</v>
      </c>
      <c r="H1742" s="26" t="s">
        <v>349</v>
      </c>
      <c r="I1742" s="26" t="s">
        <v>538</v>
      </c>
      <c r="J1742" s="26" t="s">
        <v>539</v>
      </c>
      <c r="K1742" s="26" t="s">
        <v>269</v>
      </c>
      <c r="L1742" s="26" t="s">
        <v>351</v>
      </c>
      <c r="M1742" s="26" t="s">
        <v>303</v>
      </c>
      <c r="N1742" s="26">
        <v>100</v>
      </c>
      <c r="O1742" s="26">
        <f>2024-Inventory[[#This Row],[YrBlt]]</f>
        <v>94</v>
      </c>
      <c r="P1742" s="26">
        <f>2024-Inventory[[#This Row],[EffYr]]</f>
        <v>54</v>
      </c>
      <c r="Q1742" s="25">
        <v>1930</v>
      </c>
      <c r="R1742" s="25">
        <v>1970</v>
      </c>
      <c r="S1742" s="25">
        <v>1074</v>
      </c>
      <c r="T1742" s="27"/>
      <c r="U1742" s="25">
        <v>805</v>
      </c>
      <c r="V1742" s="25">
        <f>Inventory[[#This Row],[Bsmt]]-Inventory[[#This Row],[FnBsmt]]</f>
        <v>0</v>
      </c>
      <c r="W1742" s="25">
        <v>805</v>
      </c>
      <c r="X1742" s="27"/>
      <c r="Y1742" s="27">
        <f>Inventory[[#This Row],[MainFn]]+Inventory[[#This Row],[UpprFn]]+Inventory[[#This Row],[FnBsmt]]+Inventory[[#This Row],[AddFn]]</f>
        <v>1879</v>
      </c>
      <c r="Z1742" s="27">
        <v>2000</v>
      </c>
      <c r="AA1742" s="25">
        <v>5</v>
      </c>
      <c r="AB1742" s="27"/>
      <c r="AC1742" s="27"/>
      <c r="AD1742" s="27"/>
      <c r="AE1742" s="27"/>
      <c r="AF1742" s="27"/>
      <c r="AG1742" s="27"/>
      <c r="AH1742" s="27"/>
      <c r="AI1742" s="25">
        <v>243227</v>
      </c>
      <c r="AJ1742" s="25">
        <v>165394</v>
      </c>
      <c r="AK1742" s="25">
        <v>9380</v>
      </c>
      <c r="AL1742" s="25">
        <v>316000</v>
      </c>
      <c r="AM1742" s="25">
        <v>48400</v>
      </c>
      <c r="AN1742" s="25">
        <v>267600</v>
      </c>
      <c r="AO1742" s="25">
        <v>0</v>
      </c>
      <c r="AP1742" s="25">
        <f>Lookups!$B$56*0</f>
        <v>0</v>
      </c>
      <c r="AQ1742" s="25">
        <f>Lookups!$B$56*1</f>
        <v>89850.625589999996</v>
      </c>
      <c r="AR1742" s="25">
        <f>Lookups!$B$57*Inventory[[#This Row],[LnAcres]]</f>
        <v>-60052.604136134301</v>
      </c>
      <c r="AS1742" s="25">
        <f>VLOOKUP(Inventory[[#This Row],[Qlty]],Lookups!$A$62:$E$75,2,FALSE)</f>
        <v>21557.329055999999</v>
      </c>
      <c r="AT1742" s="25">
        <f>VLOOKUP(Inventory[[#This Row],[Cnd]],Lookups!$A$76:$E$84,2,FALSE)</f>
        <v>197752.34721000001</v>
      </c>
      <c r="AU1742" s="25">
        <f>Inventory[[#This Row],[EffAge]]*Lookups!$B$85</f>
        <v>-12044.462427</v>
      </c>
      <c r="AV1742" s="25">
        <f>Inventory[[#This Row],[MainFn]]*Lookups!$B$86</f>
        <v>53064.911447898005</v>
      </c>
      <c r="AW1742" s="25">
        <f>Inventory[[#This Row],[UpprFn]]*Lookups!$B$87</f>
        <v>0</v>
      </c>
      <c r="AX1742" s="25">
        <f>Inventory[[#This Row],[AddFn]]*Lookups!$B$88</f>
        <v>0</v>
      </c>
      <c r="AY1742" s="25">
        <f>Inventory[[#This Row],[Bsmt]]*Lookups!$B$89</f>
        <v>23410.925673834998</v>
      </c>
      <c r="AZ1742" s="25">
        <f>Inventory[[#This Row],[Fixtures]]*Lookups!$B$90</f>
        <v>18960.110526</v>
      </c>
      <c r="BA1742" s="25">
        <f>Inventory[[#This Row],[WdDeck]]*Lookups!$B$91</f>
        <v>0</v>
      </c>
      <c r="BB1742" s="25">
        <f>ROUND(Inventory[[#This Row],[25Det]],-2)</f>
        <v>9400</v>
      </c>
      <c r="BC1742" s="25">
        <f>ROUND(SUM(Inventory[[#This Row],[Mdl Qlty]:[Mdl WdDeck]])+Inventory[[#This Row],[Mdl Res Intercept]],-2)</f>
        <v>302700</v>
      </c>
      <c r="BD1742" s="25">
        <f>ROUND(Inventory[[#This Row],[Mdl Land Intercept]]+Inventory[[#This Row],[Mdl LnAcres]],-2)</f>
        <v>29800</v>
      </c>
      <c r="BE1742" s="25">
        <f>Inventory[[#This Row],[Unadj Res Value]]+Inventory[[#This Row],[Unadj Det Value]]+Inventory[[#This Row],[Unadj Land Value]]</f>
        <v>341900</v>
      </c>
      <c r="BF1742" s="36">
        <f>(Inventory[[#This Row],[Unadj Total Value]]-Inventory[[#This Row],[24Final]])/Inventory[[#This Row],[24Final]]</f>
        <v>8.1962025316455703E-2</v>
      </c>
      <c r="BG1742" s="25">
        <f>VLOOKUP(Inventory[[#This Row],[Nbhd]],Lookups!$Q$2:$T$4,4,FALSE)</f>
        <v>0.99970000000000003</v>
      </c>
      <c r="BH1742" s="25">
        <f>VLOOKUP(Inventory[[#This Row],[Qlty]],Lookups!$O$7:$R$21,4,FALSE)</f>
        <v>1.0067999999999999</v>
      </c>
      <c r="BI1742" s="25">
        <f>VLOOKUP(Inventory[[#This Row],[Cnd]],Lookups!$T$7:$W$16,4,FALSE)</f>
        <v>0.99650000000000005</v>
      </c>
      <c r="BJ1742" s="25">
        <f>VLOOKUP(Inventory[[#This Row],[LivArea Range]],Lookups!$T$25:$W$37,4,FALSE)</f>
        <v>1.0093000000000001</v>
      </c>
      <c r="BK1742" s="25">
        <f>VLOOKUP(Inventory[[#This Row],[Decade]],Lookups!$O$25:$R$42,4,FALSE)</f>
        <v>1.0074000000000001</v>
      </c>
      <c r="BL1742" s="25">
        <f>Inventory[[#This Row],[Nbhd Adj]]*0.95</f>
        <v>0.94971499999999998</v>
      </c>
      <c r="BM1742" s="25">
        <f>Inventory[[#This Row],[Nbhd Adj]]*Inventory[[#This Row],[Quality Adj]]*Inventory[[#This Row],[Condition Adj]]*Inventory[[#This Row],[Living Area Adj]]*Inventory[[#This Row],[Decade Adj]]*0.95</f>
        <v>0.96880423161964746</v>
      </c>
      <c r="BN1742" s="25">
        <f>ROUND(SUM(Inventory[[#This Row],[Mdl Qlty]:[Mdl WdDeck]])+Inventory[[#This Row],[Mdl Res Intercept]]*Inventory[[#This Row],[Res Adj ]],-2)</f>
        <v>302700</v>
      </c>
      <c r="BO1742" s="25">
        <f>ROUND(Inventory[[#This Row],[25Det]]*Inventory[[#This Row],[Det/Nbhd Adj]],-2)</f>
        <v>8900</v>
      </c>
      <c r="BP1742" s="25">
        <f>Inventory[[#This Row],[Adjusted Res]]+Inventory[[#This Row],[Adj Det ]]</f>
        <v>311600</v>
      </c>
      <c r="BQ1742" s="25">
        <f>ROUND((Inventory[[#This Row],[Mdl Land Intercept]]+Inventory[[#This Row],[Mdl LnAcres]])*Inventory[[#This Row],[Det/Nbhd Adj]],-2)</f>
        <v>28300</v>
      </c>
      <c r="BR1742" s="25">
        <f>Inventory[[#This Row],[Adjusted Impr Total]]+Inventory[[#This Row],[Adjusted Land Total]]</f>
        <v>339900</v>
      </c>
      <c r="BS1742" s="36">
        <f>IFERROR((Inventory[[#This Row],[Adjusted Impr Total]]-Inventory[[#This Row],[24Bldg]])/Inventory[[#This Row],[24Bldg]],0)</f>
        <v>0.16442451420029897</v>
      </c>
      <c r="BT1742" s="36">
        <f>(Inventory[[#This Row],[Adjusted Land Total]]-Inventory[[#This Row],[24Lnd]])/Inventory[[#This Row],[24Lnd]]</f>
        <v>-0.41528925619834711</v>
      </c>
      <c r="BU1742" s="36">
        <f>(Inventory[[#This Row],[Adjusted Total]]-Inventory[[#This Row],[24Final]])/Inventory[[#This Row],[24Final]]</f>
        <v>7.5632911392405064E-2</v>
      </c>
    </row>
    <row r="1743" spans="1:73" x14ac:dyDescent="0.3">
      <c r="A1743" s="25">
        <v>2025</v>
      </c>
      <c r="B1743" s="26" t="s">
        <v>1047</v>
      </c>
      <c r="C1743" s="26">
        <f>LN(Inventory[[#This Row],[Acres]])</f>
        <v>-1.8325814637483102</v>
      </c>
      <c r="D1743" s="25">
        <v>0.16</v>
      </c>
      <c r="E1743" s="27"/>
      <c r="F1743" s="26" t="s">
        <v>537</v>
      </c>
      <c r="G1743" s="26" t="s">
        <v>126</v>
      </c>
      <c r="H1743" s="26" t="s">
        <v>349</v>
      </c>
      <c r="I1743" s="26" t="s">
        <v>538</v>
      </c>
      <c r="J1743" s="26" t="s">
        <v>539</v>
      </c>
      <c r="K1743" s="26" t="s">
        <v>269</v>
      </c>
      <c r="L1743" s="26" t="s">
        <v>302</v>
      </c>
      <c r="M1743" s="26" t="s">
        <v>303</v>
      </c>
      <c r="N1743" s="26">
        <v>100</v>
      </c>
      <c r="O1743" s="26">
        <f>2024-Inventory[[#This Row],[YrBlt]]</f>
        <v>94</v>
      </c>
      <c r="P1743" s="26">
        <f>2024-Inventory[[#This Row],[EffYr]]</f>
        <v>54</v>
      </c>
      <c r="Q1743" s="25">
        <v>1930</v>
      </c>
      <c r="R1743" s="25">
        <v>1970</v>
      </c>
      <c r="S1743" s="25">
        <v>1288</v>
      </c>
      <c r="T1743" s="27"/>
      <c r="U1743" s="25">
        <v>644</v>
      </c>
      <c r="V1743" s="25">
        <f>Inventory[[#This Row],[Bsmt]]-Inventory[[#This Row],[FnBsmt]]</f>
        <v>0</v>
      </c>
      <c r="W1743" s="25">
        <v>644</v>
      </c>
      <c r="X1743" s="27"/>
      <c r="Y1743" s="27">
        <f>Inventory[[#This Row],[MainFn]]+Inventory[[#This Row],[UpprFn]]+Inventory[[#This Row],[FnBsmt]]+Inventory[[#This Row],[AddFn]]</f>
        <v>1932</v>
      </c>
      <c r="Z1743" s="27">
        <v>2000</v>
      </c>
      <c r="AA1743" s="25">
        <v>6</v>
      </c>
      <c r="AB1743" s="27"/>
      <c r="AC1743" s="27"/>
      <c r="AD1743" s="27"/>
      <c r="AE1743" s="27"/>
      <c r="AF1743" s="27"/>
      <c r="AG1743" s="27"/>
      <c r="AH1743" s="27"/>
      <c r="AI1743" s="25">
        <v>301205</v>
      </c>
      <c r="AJ1743" s="25">
        <v>204819</v>
      </c>
      <c r="AK1743" s="25">
        <v>3913</v>
      </c>
      <c r="AL1743" s="25">
        <v>329600</v>
      </c>
      <c r="AM1743" s="25">
        <v>50600</v>
      </c>
      <c r="AN1743" s="25">
        <v>279000</v>
      </c>
      <c r="AO1743" s="25">
        <v>0</v>
      </c>
      <c r="AP1743" s="25">
        <f>Lookups!$B$56*0</f>
        <v>0</v>
      </c>
      <c r="AQ1743" s="25">
        <f>Lookups!$B$56*1</f>
        <v>89850.625589999996</v>
      </c>
      <c r="AR1743" s="25">
        <f>Lookups!$B$57*Inventory[[#This Row],[LnAcres]]</f>
        <v>-58009.662049032086</v>
      </c>
      <c r="AS1743" s="25">
        <f>VLOOKUP(Inventory[[#This Row],[Qlty]],Lookups!$A$62:$E$75,2,FALSE)</f>
        <v>29814.093161000001</v>
      </c>
      <c r="AT1743" s="25">
        <f>VLOOKUP(Inventory[[#This Row],[Cnd]],Lookups!$A$76:$E$84,2,FALSE)</f>
        <v>197752.34721000001</v>
      </c>
      <c r="AU1743" s="25">
        <f>Inventory[[#This Row],[EffAge]]*Lookups!$B$85</f>
        <v>-12044.462427</v>
      </c>
      <c r="AV1743" s="25">
        <f>Inventory[[#This Row],[MainFn]]*Lookups!$B$86</f>
        <v>63638.366801576005</v>
      </c>
      <c r="AW1743" s="25">
        <f>Inventory[[#This Row],[UpprFn]]*Lookups!$B$87</f>
        <v>0</v>
      </c>
      <c r="AX1743" s="25">
        <f>Inventory[[#This Row],[AddFn]]*Lookups!$B$88</f>
        <v>0</v>
      </c>
      <c r="AY1743" s="25">
        <f>Inventory[[#This Row],[Bsmt]]*Lookups!$B$89</f>
        <v>18728.740539068</v>
      </c>
      <c r="AZ1743" s="25">
        <f>Inventory[[#This Row],[Fixtures]]*Lookups!$B$90</f>
        <v>22752.132631200002</v>
      </c>
      <c r="BA1743" s="25">
        <f>Inventory[[#This Row],[WdDeck]]*Lookups!$B$91</f>
        <v>0</v>
      </c>
      <c r="BB1743" s="25">
        <f>ROUND(Inventory[[#This Row],[25Det]],-2)</f>
        <v>3900</v>
      </c>
      <c r="BC1743" s="25">
        <f>ROUND(SUM(Inventory[[#This Row],[Mdl Qlty]:[Mdl WdDeck]])+Inventory[[#This Row],[Mdl Res Intercept]],-2)</f>
        <v>320600</v>
      </c>
      <c r="BD1743" s="25">
        <f>ROUND(Inventory[[#This Row],[Mdl Land Intercept]]+Inventory[[#This Row],[Mdl LnAcres]],-2)</f>
        <v>31800</v>
      </c>
      <c r="BE1743" s="25">
        <f>Inventory[[#This Row],[Unadj Res Value]]+Inventory[[#This Row],[Unadj Det Value]]+Inventory[[#This Row],[Unadj Land Value]]</f>
        <v>356300</v>
      </c>
      <c r="BF1743" s="36">
        <f>(Inventory[[#This Row],[Unadj Total Value]]-Inventory[[#This Row],[24Final]])/Inventory[[#This Row],[24Final]]</f>
        <v>8.1007281553398064E-2</v>
      </c>
      <c r="BG1743" s="25">
        <f>VLOOKUP(Inventory[[#This Row],[Nbhd]],Lookups!$Q$2:$T$4,4,FALSE)</f>
        <v>0.99970000000000003</v>
      </c>
      <c r="BH1743" s="25">
        <f>VLOOKUP(Inventory[[#This Row],[Qlty]],Lookups!$O$7:$R$21,4,FALSE)</f>
        <v>1.0088999999999999</v>
      </c>
      <c r="BI1743" s="25">
        <f>VLOOKUP(Inventory[[#This Row],[Cnd]],Lookups!$T$7:$W$16,4,FALSE)</f>
        <v>0.99650000000000005</v>
      </c>
      <c r="BJ1743" s="25">
        <f>VLOOKUP(Inventory[[#This Row],[LivArea Range]],Lookups!$T$25:$W$37,4,FALSE)</f>
        <v>1.0093000000000001</v>
      </c>
      <c r="BK1743" s="25">
        <f>VLOOKUP(Inventory[[#This Row],[Decade]],Lookups!$O$25:$R$42,4,FALSE)</f>
        <v>1.0074000000000001</v>
      </c>
      <c r="BL1743" s="25">
        <f>Inventory[[#This Row],[Nbhd Adj]]*0.95</f>
        <v>0.94971499999999998</v>
      </c>
      <c r="BM1743" s="25">
        <f>Inventory[[#This Row],[Nbhd Adj]]*Inventory[[#This Row],[Quality Adj]]*Inventory[[#This Row],[Condition Adj]]*Inventory[[#This Row],[Living Area Adj]]*Inventory[[#This Row],[Decade Adj]]*0.95</f>
        <v>0.97082497942099955</v>
      </c>
      <c r="BN1743" s="25">
        <f>ROUND(SUM(Inventory[[#This Row],[Mdl Qlty]:[Mdl WdDeck]])+Inventory[[#This Row],[Mdl Res Intercept]]*Inventory[[#This Row],[Res Adj ]],-2)</f>
        <v>320600</v>
      </c>
      <c r="BO1743" s="25">
        <f>ROUND(Inventory[[#This Row],[25Det]]*Inventory[[#This Row],[Det/Nbhd Adj]],-2)</f>
        <v>3700</v>
      </c>
      <c r="BP1743" s="25">
        <f>Inventory[[#This Row],[Adjusted Res]]+Inventory[[#This Row],[Adj Det ]]</f>
        <v>324300</v>
      </c>
      <c r="BQ1743" s="25">
        <f>ROUND((Inventory[[#This Row],[Mdl Land Intercept]]+Inventory[[#This Row],[Mdl LnAcres]])*Inventory[[#This Row],[Det/Nbhd Adj]],-2)</f>
        <v>30200</v>
      </c>
      <c r="BR1743" s="25">
        <f>Inventory[[#This Row],[Adjusted Impr Total]]+Inventory[[#This Row],[Adjusted Land Total]]</f>
        <v>354500</v>
      </c>
      <c r="BS1743" s="36">
        <f>IFERROR((Inventory[[#This Row],[Adjusted Impr Total]]-Inventory[[#This Row],[24Bldg]])/Inventory[[#This Row],[24Bldg]],0)</f>
        <v>0.16236559139784945</v>
      </c>
      <c r="BT1743" s="36">
        <f>(Inventory[[#This Row],[Adjusted Land Total]]-Inventory[[#This Row],[24Lnd]])/Inventory[[#This Row],[24Lnd]]</f>
        <v>-0.40316205533596838</v>
      </c>
      <c r="BU1743" s="36">
        <f>(Inventory[[#This Row],[Adjusted Total]]-Inventory[[#This Row],[24Final]])/Inventory[[#This Row],[24Final]]</f>
        <v>7.5546116504854363E-2</v>
      </c>
    </row>
    <row r="1744" spans="1:73" x14ac:dyDescent="0.3">
      <c r="A1744" s="25">
        <v>2025</v>
      </c>
      <c r="B1744" s="26" t="s">
        <v>2754</v>
      </c>
      <c r="C1744" s="26">
        <f>LN(Inventory[[#This Row],[Acres]])</f>
        <v>-1.5606477482646683</v>
      </c>
      <c r="D1744" s="25">
        <v>0.21</v>
      </c>
      <c r="E1744" s="32">
        <v>8930</v>
      </c>
      <c r="F1744" s="26" t="s">
        <v>537</v>
      </c>
      <c r="G1744" s="26" t="s">
        <v>126</v>
      </c>
      <c r="H1744" s="26" t="s">
        <v>349</v>
      </c>
      <c r="I1744" s="26" t="s">
        <v>538</v>
      </c>
      <c r="J1744" s="26" t="s">
        <v>638</v>
      </c>
      <c r="K1744" s="26" t="s">
        <v>242</v>
      </c>
      <c r="L1744" s="26" t="s">
        <v>351</v>
      </c>
      <c r="M1744" s="26" t="s">
        <v>303</v>
      </c>
      <c r="N1744" s="26">
        <v>100</v>
      </c>
      <c r="O1744" s="26">
        <f>2024-Inventory[[#This Row],[YrBlt]]</f>
        <v>94</v>
      </c>
      <c r="P1744" s="26">
        <f>2024-Inventory[[#This Row],[EffYr]]</f>
        <v>54</v>
      </c>
      <c r="Q1744" s="25">
        <v>1930</v>
      </c>
      <c r="R1744" s="25">
        <v>1970</v>
      </c>
      <c r="S1744" s="25">
        <v>784</v>
      </c>
      <c r="T1744" s="31"/>
      <c r="U1744" s="25">
        <v>784</v>
      </c>
      <c r="V1744" s="25">
        <f>Inventory[[#This Row],[Bsmt]]-Inventory[[#This Row],[FnBsmt]]</f>
        <v>0</v>
      </c>
      <c r="W1744" s="25">
        <v>784</v>
      </c>
      <c r="X1744" s="27"/>
      <c r="Y1744" s="27">
        <f>Inventory[[#This Row],[MainFn]]+Inventory[[#This Row],[UpprFn]]+Inventory[[#This Row],[FnBsmt]]+Inventory[[#This Row],[AddFn]]</f>
        <v>1568</v>
      </c>
      <c r="Z1744" s="27">
        <v>2000</v>
      </c>
      <c r="AA1744" s="25">
        <v>6</v>
      </c>
      <c r="AB1744" s="27"/>
      <c r="AC1744" s="27"/>
      <c r="AD1744" s="27"/>
      <c r="AE1744" s="27"/>
      <c r="AF1744" s="27"/>
      <c r="AG1744" s="27"/>
      <c r="AH1744" s="27"/>
      <c r="AI1744" s="25">
        <v>204548</v>
      </c>
      <c r="AJ1744" s="25">
        <v>139093</v>
      </c>
      <c r="AK1744" s="25">
        <v>11574</v>
      </c>
      <c r="AL1744" s="25">
        <v>317700</v>
      </c>
      <c r="AM1744" s="25">
        <v>60100</v>
      </c>
      <c r="AN1744" s="25">
        <v>257600</v>
      </c>
      <c r="AO1744" s="25">
        <v>0</v>
      </c>
      <c r="AP1744" s="25">
        <f>Lookups!$B$56*0</f>
        <v>0</v>
      </c>
      <c r="AQ1744" s="25">
        <f>Lookups!$B$56*1</f>
        <v>89850.625589999996</v>
      </c>
      <c r="AR1744" s="25">
        <f>Lookups!$B$57*Inventory[[#This Row],[LnAcres]]</f>
        <v>-49401.70477837498</v>
      </c>
      <c r="AS1744" s="25">
        <f>VLOOKUP(Inventory[[#This Row],[Qlty]],Lookups!$A$62:$E$75,2,FALSE)</f>
        <v>21557.329055999999</v>
      </c>
      <c r="AT1744" s="25">
        <f>VLOOKUP(Inventory[[#This Row],[Cnd]],Lookups!$A$76:$E$84,2,FALSE)</f>
        <v>197752.34721000001</v>
      </c>
      <c r="AU1744" s="25">
        <f>Inventory[[#This Row],[EffAge]]*Lookups!$B$85</f>
        <v>-12044.462427</v>
      </c>
      <c r="AV1744" s="25">
        <f>Inventory[[#This Row],[MainFn]]*Lookups!$B$86</f>
        <v>38736.397183567999</v>
      </c>
      <c r="AW1744" s="25">
        <f>Inventory[[#This Row],[UpprFn]]*Lookups!$B$87</f>
        <v>0</v>
      </c>
      <c r="AX1744" s="25">
        <f>Inventory[[#This Row],[AddFn]]*Lookups!$B$88</f>
        <v>0</v>
      </c>
      <c r="AY1744" s="25">
        <f>Inventory[[#This Row],[Bsmt]]*Lookups!$B$89</f>
        <v>22800.205873647999</v>
      </c>
      <c r="AZ1744" s="25">
        <f>Inventory[[#This Row],[Fixtures]]*Lookups!$B$90</f>
        <v>22752.132631200002</v>
      </c>
      <c r="BA1744" s="25">
        <f>Inventory[[#This Row],[WdDeck]]*Lookups!$B$91</f>
        <v>0</v>
      </c>
      <c r="BB1744" s="25">
        <f>ROUND(Inventory[[#This Row],[25Det]],-2)</f>
        <v>11600</v>
      </c>
      <c r="BC1744" s="25">
        <f>ROUND(SUM(Inventory[[#This Row],[Mdl Qlty]:[Mdl WdDeck]])+Inventory[[#This Row],[Mdl Res Intercept]],-2)</f>
        <v>291600</v>
      </c>
      <c r="BD1744" s="25">
        <f>ROUND(Inventory[[#This Row],[Mdl Land Intercept]]+Inventory[[#This Row],[Mdl LnAcres]],-2)</f>
        <v>40400</v>
      </c>
      <c r="BE1744" s="25">
        <f>Inventory[[#This Row],[Unadj Res Value]]+Inventory[[#This Row],[Unadj Det Value]]+Inventory[[#This Row],[Unadj Land Value]]</f>
        <v>343600</v>
      </c>
      <c r="BF1744" s="36">
        <f>(Inventory[[#This Row],[Unadj Total Value]]-Inventory[[#This Row],[24Final]])/Inventory[[#This Row],[24Final]]</f>
        <v>8.1523449795404476E-2</v>
      </c>
      <c r="BG1744" s="25">
        <f>VLOOKUP(Inventory[[#This Row],[Nbhd]],Lookups!$Q$2:$T$4,4,FALSE)</f>
        <v>0.99970000000000003</v>
      </c>
      <c r="BH1744" s="25">
        <f>VLOOKUP(Inventory[[#This Row],[Qlty]],Lookups!$O$7:$R$21,4,FALSE)</f>
        <v>1.0067999999999999</v>
      </c>
      <c r="BI1744" s="25">
        <f>VLOOKUP(Inventory[[#This Row],[Cnd]],Lookups!$T$7:$W$16,4,FALSE)</f>
        <v>0.99650000000000005</v>
      </c>
      <c r="BJ1744" s="25">
        <f>VLOOKUP(Inventory[[#This Row],[LivArea Range]],Lookups!$T$25:$W$37,4,FALSE)</f>
        <v>1.0093000000000001</v>
      </c>
      <c r="BK1744" s="25">
        <f>VLOOKUP(Inventory[[#This Row],[Decade]],Lookups!$O$25:$R$42,4,FALSE)</f>
        <v>1.0074000000000001</v>
      </c>
      <c r="BL1744" s="25">
        <f>Inventory[[#This Row],[Nbhd Adj]]*0.95</f>
        <v>0.94971499999999998</v>
      </c>
      <c r="BM1744" s="25">
        <f>Inventory[[#This Row],[Nbhd Adj]]*Inventory[[#This Row],[Quality Adj]]*Inventory[[#This Row],[Condition Adj]]*Inventory[[#This Row],[Living Area Adj]]*Inventory[[#This Row],[Decade Adj]]*0.95</f>
        <v>0.96880423161964746</v>
      </c>
      <c r="BN1744" s="25">
        <f>ROUND(SUM(Inventory[[#This Row],[Mdl Qlty]:[Mdl WdDeck]])+Inventory[[#This Row],[Mdl Res Intercept]]*Inventory[[#This Row],[Res Adj ]],-2)</f>
        <v>291600</v>
      </c>
      <c r="BO1744" s="25">
        <f>ROUND(Inventory[[#This Row],[25Det]]*Inventory[[#This Row],[Det/Nbhd Adj]],-2)</f>
        <v>11000</v>
      </c>
      <c r="BP1744" s="25">
        <f>Inventory[[#This Row],[Adjusted Res]]+Inventory[[#This Row],[Adj Det ]]</f>
        <v>302600</v>
      </c>
      <c r="BQ1744" s="25">
        <f>ROUND((Inventory[[#This Row],[Mdl Land Intercept]]+Inventory[[#This Row],[Mdl LnAcres]])*Inventory[[#This Row],[Det/Nbhd Adj]],-2)</f>
        <v>38400</v>
      </c>
      <c r="BR1744" s="25">
        <f>Inventory[[#This Row],[Adjusted Impr Total]]+Inventory[[#This Row],[Adjusted Land Total]]</f>
        <v>341000</v>
      </c>
      <c r="BS1744" s="36">
        <f>IFERROR((Inventory[[#This Row],[Adjusted Impr Total]]-Inventory[[#This Row],[24Bldg]])/Inventory[[#This Row],[24Bldg]],0)</f>
        <v>0.17468944099378883</v>
      </c>
      <c r="BT1744" s="36">
        <f>(Inventory[[#This Row],[Adjusted Land Total]]-Inventory[[#This Row],[24Lnd]])/Inventory[[#This Row],[24Lnd]]</f>
        <v>-0.36106489184692181</v>
      </c>
      <c r="BU1744" s="36">
        <f>(Inventory[[#This Row],[Adjusted Total]]-Inventory[[#This Row],[24Final]])/Inventory[[#This Row],[24Final]]</f>
        <v>7.3339628580421784E-2</v>
      </c>
    </row>
    <row r="1745" spans="1:73" x14ac:dyDescent="0.3">
      <c r="A1745" s="25">
        <v>2025</v>
      </c>
      <c r="B1745" s="26" t="s">
        <v>2839</v>
      </c>
      <c r="C1745" s="26">
        <f>LN(Inventory[[#This Row],[Acres]])</f>
        <v>-1.9661128563728327</v>
      </c>
      <c r="D1745" s="25">
        <v>0.14000000000000001</v>
      </c>
      <c r="E1745" s="25">
        <v>6175</v>
      </c>
      <c r="F1745" s="26" t="s">
        <v>537</v>
      </c>
      <c r="G1745" s="26" t="s">
        <v>126</v>
      </c>
      <c r="H1745" s="26" t="s">
        <v>349</v>
      </c>
      <c r="I1745" s="26" t="s">
        <v>538</v>
      </c>
      <c r="J1745" s="26" t="s">
        <v>539</v>
      </c>
      <c r="K1745" s="26" t="s">
        <v>269</v>
      </c>
      <c r="L1745" s="26" t="s">
        <v>302</v>
      </c>
      <c r="M1745" s="26" t="s">
        <v>303</v>
      </c>
      <c r="N1745" s="26">
        <v>100</v>
      </c>
      <c r="O1745" s="26">
        <f>2024-Inventory[[#This Row],[YrBlt]]</f>
        <v>94</v>
      </c>
      <c r="P1745" s="26">
        <f>2024-Inventory[[#This Row],[EffYr]]</f>
        <v>54</v>
      </c>
      <c r="Q1745" s="25">
        <v>1930</v>
      </c>
      <c r="R1745" s="25">
        <v>1970</v>
      </c>
      <c r="S1745" s="25">
        <v>1347</v>
      </c>
      <c r="T1745" s="25">
        <v>315</v>
      </c>
      <c r="U1745" s="25">
        <v>948</v>
      </c>
      <c r="V1745" s="25">
        <f>Inventory[[#This Row],[Bsmt]]-Inventory[[#This Row],[FnBsmt]]</f>
        <v>284</v>
      </c>
      <c r="W1745" s="25">
        <v>664</v>
      </c>
      <c r="X1745" s="27"/>
      <c r="Y1745" s="27">
        <f>Inventory[[#This Row],[MainFn]]+Inventory[[#This Row],[UpprFn]]+Inventory[[#This Row],[FnBsmt]]+Inventory[[#This Row],[AddFn]]</f>
        <v>2326</v>
      </c>
      <c r="Z1745" s="27">
        <v>2500</v>
      </c>
      <c r="AA1745" s="25">
        <v>10</v>
      </c>
      <c r="AB1745" s="27"/>
      <c r="AC1745" s="32">
        <v>399</v>
      </c>
      <c r="AD1745" s="27"/>
      <c r="AE1745" s="27"/>
      <c r="AF1745" s="27"/>
      <c r="AG1745" s="27"/>
      <c r="AH1745" s="27"/>
      <c r="AI1745" s="25">
        <v>396756</v>
      </c>
      <c r="AJ1745" s="25">
        <v>269794</v>
      </c>
      <c r="AK1745" s="25">
        <v>0</v>
      </c>
      <c r="AL1745" s="25">
        <v>361500</v>
      </c>
      <c r="AM1745" s="25">
        <v>46000</v>
      </c>
      <c r="AN1745" s="25">
        <v>315500</v>
      </c>
      <c r="AO1745" s="25">
        <v>0</v>
      </c>
      <c r="AP1745" s="25">
        <f>Lookups!$B$56*0</f>
        <v>0</v>
      </c>
      <c r="AQ1745" s="25">
        <f>Lookups!$B$56*1</f>
        <v>89850.625589999996</v>
      </c>
      <c r="AR1745" s="25">
        <f>Lookups!$B$57*Inventory[[#This Row],[LnAcres]]</f>
        <v>-62236.546971921947</v>
      </c>
      <c r="AS1745" s="25">
        <f>VLOOKUP(Inventory[[#This Row],[Qlty]],Lookups!$A$62:$E$75,2,FALSE)</f>
        <v>29814.093161000001</v>
      </c>
      <c r="AT1745" s="25">
        <f>VLOOKUP(Inventory[[#This Row],[Cnd]],Lookups!$A$76:$E$84,2,FALSE)</f>
        <v>197752.34721000001</v>
      </c>
      <c r="AU1745" s="25">
        <f>Inventory[[#This Row],[EffAge]]*Lookups!$B$85</f>
        <v>-12044.462427</v>
      </c>
      <c r="AV1745" s="25">
        <f>Inventory[[#This Row],[MainFn]]*Lookups!$B$86</f>
        <v>66553.478324319003</v>
      </c>
      <c r="AW1745" s="25">
        <f>Inventory[[#This Row],[UpprFn]]*Lookups!$B$87</f>
        <v>14107.723201215</v>
      </c>
      <c r="AX1745" s="25">
        <f>Inventory[[#This Row],[AddFn]]*Lookups!$B$88</f>
        <v>0</v>
      </c>
      <c r="AY1745" s="25">
        <f>Inventory[[#This Row],[Bsmt]]*Lookups!$B$89</f>
        <v>27569.636694155997</v>
      </c>
      <c r="AZ1745" s="25">
        <f>Inventory[[#This Row],[Fixtures]]*Lookups!$B$90</f>
        <v>37920.221052000001</v>
      </c>
      <c r="BA1745" s="25">
        <f>Inventory[[#This Row],[WdDeck]]*Lookups!$B$91</f>
        <v>0</v>
      </c>
      <c r="BB1745" s="25">
        <f>ROUND(Inventory[[#This Row],[25Det]],-2)</f>
        <v>0</v>
      </c>
      <c r="BC1745" s="25">
        <f>ROUND(SUM(Inventory[[#This Row],[Mdl Qlty]:[Mdl WdDeck]])+Inventory[[#This Row],[Mdl Res Intercept]],-2)</f>
        <v>361700</v>
      </c>
      <c r="BD1745" s="25">
        <f>ROUND(Inventory[[#This Row],[Mdl Land Intercept]]+Inventory[[#This Row],[Mdl LnAcres]],-2)</f>
        <v>27600</v>
      </c>
      <c r="BE1745" s="25">
        <f>Inventory[[#This Row],[Unadj Res Value]]+Inventory[[#This Row],[Unadj Det Value]]+Inventory[[#This Row],[Unadj Land Value]]</f>
        <v>389300</v>
      </c>
      <c r="BF1745" s="36">
        <f>(Inventory[[#This Row],[Unadj Total Value]]-Inventory[[#This Row],[24Final]])/Inventory[[#This Row],[24Final]]</f>
        <v>7.6901798063623794E-2</v>
      </c>
      <c r="BG1745" s="25">
        <f>VLOOKUP(Inventory[[#This Row],[Nbhd]],Lookups!$Q$2:$T$4,4,FALSE)</f>
        <v>0.99970000000000003</v>
      </c>
      <c r="BH1745" s="25">
        <f>VLOOKUP(Inventory[[#This Row],[Qlty]],Lookups!$O$7:$R$21,4,FALSE)</f>
        <v>1.0088999999999999</v>
      </c>
      <c r="BI1745" s="25">
        <f>VLOOKUP(Inventory[[#This Row],[Cnd]],Lookups!$T$7:$W$16,4,FALSE)</f>
        <v>0.99650000000000005</v>
      </c>
      <c r="BJ1745" s="25">
        <f>VLOOKUP(Inventory[[#This Row],[LivArea Range]],Lookups!$T$25:$W$37,4,FALSE)</f>
        <v>0.98919999999999997</v>
      </c>
      <c r="BK1745" s="25">
        <f>VLOOKUP(Inventory[[#This Row],[Decade]],Lookups!$O$25:$R$42,4,FALSE)</f>
        <v>1.0074000000000001</v>
      </c>
      <c r="BL1745" s="25">
        <f>Inventory[[#This Row],[Nbhd Adj]]*0.95</f>
        <v>0.94971499999999998</v>
      </c>
      <c r="BM1745" s="25">
        <f>Inventory[[#This Row],[Nbhd Adj]]*Inventory[[#This Row],[Quality Adj]]*Inventory[[#This Row],[Condition Adj]]*Inventory[[#This Row],[Living Area Adj]]*Inventory[[#This Row],[Decade Adj]]*0.95</f>
        <v>0.95149120146958555</v>
      </c>
      <c r="BN1745" s="25">
        <f>ROUND(SUM(Inventory[[#This Row],[Mdl Qlty]:[Mdl WdDeck]])+Inventory[[#This Row],[Mdl Res Intercept]]*Inventory[[#This Row],[Res Adj ]],-2)</f>
        <v>361700</v>
      </c>
      <c r="BO1745" s="25">
        <f>ROUND(Inventory[[#This Row],[25Det]]*Inventory[[#This Row],[Det/Nbhd Adj]],-2)</f>
        <v>0</v>
      </c>
      <c r="BP1745" s="25">
        <f>Inventory[[#This Row],[Adjusted Res]]+Inventory[[#This Row],[Adj Det ]]</f>
        <v>361700</v>
      </c>
      <c r="BQ1745" s="25">
        <f>ROUND((Inventory[[#This Row],[Mdl Land Intercept]]+Inventory[[#This Row],[Mdl LnAcres]])*Inventory[[#This Row],[Det/Nbhd Adj]],-2)</f>
        <v>26200</v>
      </c>
      <c r="BR1745" s="25">
        <f>Inventory[[#This Row],[Adjusted Impr Total]]+Inventory[[#This Row],[Adjusted Land Total]]</f>
        <v>387900</v>
      </c>
      <c r="BS1745" s="36">
        <f>IFERROR((Inventory[[#This Row],[Adjusted Impr Total]]-Inventory[[#This Row],[24Bldg]])/Inventory[[#This Row],[24Bldg]],0)</f>
        <v>0.14643423137876388</v>
      </c>
      <c r="BT1745" s="36">
        <f>(Inventory[[#This Row],[Adjusted Land Total]]-Inventory[[#This Row],[24Lnd]])/Inventory[[#This Row],[24Lnd]]</f>
        <v>-0.43043478260869567</v>
      </c>
      <c r="BU1745" s="36">
        <f>(Inventory[[#This Row],[Adjusted Total]]-Inventory[[#This Row],[24Final]])/Inventory[[#This Row],[24Final]]</f>
        <v>7.3029045643153531E-2</v>
      </c>
    </row>
    <row r="1746" spans="1:73" x14ac:dyDescent="0.3">
      <c r="A1746" s="25">
        <v>2025</v>
      </c>
      <c r="B1746" s="26" t="s">
        <v>1544</v>
      </c>
      <c r="C1746" s="26">
        <f>LN(Inventory[[#This Row],[Acres]])</f>
        <v>-1.6094379124341003</v>
      </c>
      <c r="D1746" s="25">
        <v>0.2</v>
      </c>
      <c r="E1746" s="32">
        <v>8519</v>
      </c>
      <c r="F1746" s="26" t="s">
        <v>537</v>
      </c>
      <c r="G1746" s="26" t="s">
        <v>126</v>
      </c>
      <c r="H1746" s="26" t="s">
        <v>349</v>
      </c>
      <c r="I1746" s="26" t="s">
        <v>538</v>
      </c>
      <c r="J1746" s="26" t="s">
        <v>539</v>
      </c>
      <c r="K1746" s="26" t="s">
        <v>300</v>
      </c>
      <c r="L1746" s="26" t="s">
        <v>148</v>
      </c>
      <c r="M1746" s="26" t="s">
        <v>303</v>
      </c>
      <c r="N1746" s="26">
        <v>100</v>
      </c>
      <c r="O1746" s="26">
        <f>2024-Inventory[[#This Row],[YrBlt]]</f>
        <v>94</v>
      </c>
      <c r="P1746" s="26">
        <f>2024-Inventory[[#This Row],[EffYr]]</f>
        <v>54</v>
      </c>
      <c r="Q1746" s="25">
        <v>1930</v>
      </c>
      <c r="R1746" s="25">
        <v>1970</v>
      </c>
      <c r="S1746" s="25">
        <v>1436</v>
      </c>
      <c r="T1746" s="31"/>
      <c r="U1746" s="25">
        <v>477</v>
      </c>
      <c r="V1746" s="25">
        <f>Inventory[[#This Row],[Bsmt]]-Inventory[[#This Row],[FnBsmt]]</f>
        <v>0</v>
      </c>
      <c r="W1746" s="25">
        <v>477</v>
      </c>
      <c r="X1746" s="27"/>
      <c r="Y1746" s="27">
        <f>Inventory[[#This Row],[MainFn]]+Inventory[[#This Row],[UpprFn]]+Inventory[[#This Row],[FnBsmt]]+Inventory[[#This Row],[AddFn]]</f>
        <v>1913</v>
      </c>
      <c r="Z1746" s="27">
        <v>2000</v>
      </c>
      <c r="AA1746" s="25">
        <v>10</v>
      </c>
      <c r="AB1746" s="27"/>
      <c r="AC1746" s="27"/>
      <c r="AD1746" s="31"/>
      <c r="AE1746" s="27"/>
      <c r="AF1746" s="27"/>
      <c r="AG1746" s="27"/>
      <c r="AH1746" s="27"/>
      <c r="AI1746" s="25">
        <v>380872</v>
      </c>
      <c r="AJ1746" s="25">
        <v>258993</v>
      </c>
      <c r="AK1746" s="25">
        <v>7218</v>
      </c>
      <c r="AL1746" s="25">
        <v>369500</v>
      </c>
      <c r="AM1746" s="25">
        <v>58400</v>
      </c>
      <c r="AN1746" s="25">
        <v>311100</v>
      </c>
      <c r="AO1746" s="25">
        <v>0</v>
      </c>
      <c r="AP1746" s="25">
        <f>Lookups!$B$56*0</f>
        <v>0</v>
      </c>
      <c r="AQ1746" s="25">
        <f>Lookups!$B$56*1</f>
        <v>89850.625589999996</v>
      </c>
      <c r="AR1746" s="25">
        <f>Lookups!$B$57*Inventory[[#This Row],[LnAcres]]</f>
        <v>-50946.13867709865</v>
      </c>
      <c r="AS1746" s="25">
        <f>VLOOKUP(Inventory[[#This Row],[Qlty]],Lookups!$A$62:$E$75,2,FALSE)</f>
        <v>44121.038090000002</v>
      </c>
      <c r="AT1746" s="25">
        <f>VLOOKUP(Inventory[[#This Row],[Cnd]],Lookups!$A$76:$E$84,2,FALSE)</f>
        <v>197752.34721000001</v>
      </c>
      <c r="AU1746" s="25">
        <f>Inventory[[#This Row],[EffAge]]*Lookups!$B$85</f>
        <v>-12044.462427</v>
      </c>
      <c r="AV1746" s="25">
        <f>Inventory[[#This Row],[MainFn]]*Lookups!$B$86</f>
        <v>70950.849943371999</v>
      </c>
      <c r="AW1746" s="25">
        <f>Inventory[[#This Row],[UpprFn]]*Lookups!$B$87</f>
        <v>0</v>
      </c>
      <c r="AX1746" s="25">
        <f>Inventory[[#This Row],[AddFn]]*Lookups!$B$88</f>
        <v>0</v>
      </c>
      <c r="AY1746" s="25">
        <f>Inventory[[#This Row],[Bsmt]]*Lookups!$B$89</f>
        <v>13872.064032818998</v>
      </c>
      <c r="AZ1746" s="25">
        <f>Inventory[[#This Row],[Fixtures]]*Lookups!$B$90</f>
        <v>37920.221052000001</v>
      </c>
      <c r="BA1746" s="25">
        <f>Inventory[[#This Row],[WdDeck]]*Lookups!$B$91</f>
        <v>0</v>
      </c>
      <c r="BB1746" s="25">
        <f>ROUND(Inventory[[#This Row],[25Det]],-2)</f>
        <v>7200</v>
      </c>
      <c r="BC1746" s="25">
        <f>ROUND(SUM(Inventory[[#This Row],[Mdl Qlty]:[Mdl WdDeck]])+Inventory[[#This Row],[Mdl Res Intercept]],-2)</f>
        <v>352600</v>
      </c>
      <c r="BD1746" s="25">
        <f>ROUND(Inventory[[#This Row],[Mdl Land Intercept]]+Inventory[[#This Row],[Mdl LnAcres]],-2)</f>
        <v>38900</v>
      </c>
      <c r="BE1746" s="25">
        <f>Inventory[[#This Row],[Unadj Res Value]]+Inventory[[#This Row],[Unadj Det Value]]+Inventory[[#This Row],[Unadj Land Value]]</f>
        <v>398700</v>
      </c>
      <c r="BF1746" s="36">
        <f>(Inventory[[#This Row],[Unadj Total Value]]-Inventory[[#This Row],[24Final]])/Inventory[[#This Row],[24Final]]</f>
        <v>7.9025710419485792E-2</v>
      </c>
      <c r="BG1746" s="25">
        <f>VLOOKUP(Inventory[[#This Row],[Nbhd]],Lookups!$Q$2:$T$4,4,FALSE)</f>
        <v>0.99970000000000003</v>
      </c>
      <c r="BH1746" s="25">
        <f>VLOOKUP(Inventory[[#This Row],[Qlty]],Lookups!$O$7:$R$21,4,FALSE)</f>
        <v>0.98050000000000004</v>
      </c>
      <c r="BI1746" s="25">
        <f>VLOOKUP(Inventory[[#This Row],[Cnd]],Lookups!$T$7:$W$16,4,FALSE)</f>
        <v>0.99650000000000005</v>
      </c>
      <c r="BJ1746" s="25">
        <f>VLOOKUP(Inventory[[#This Row],[LivArea Range]],Lookups!$T$25:$W$37,4,FALSE)</f>
        <v>1.0093000000000001</v>
      </c>
      <c r="BK1746" s="25">
        <f>VLOOKUP(Inventory[[#This Row],[Decade]],Lookups!$O$25:$R$42,4,FALSE)</f>
        <v>1.0074000000000001</v>
      </c>
      <c r="BL1746" s="25">
        <f>Inventory[[#This Row],[Nbhd Adj]]*0.95</f>
        <v>0.94971499999999998</v>
      </c>
      <c r="BM1746" s="25">
        <f>Inventory[[#This Row],[Nbhd Adj]]*Inventory[[#This Row],[Quality Adj]]*Inventory[[#This Row],[Condition Adj]]*Inventory[[#This Row],[Living Area Adj]]*Inventory[[#This Row],[Decade Adj]]*0.95</f>
        <v>0.94349677105985763</v>
      </c>
      <c r="BN1746" s="25">
        <f>ROUND(SUM(Inventory[[#This Row],[Mdl Qlty]:[Mdl WdDeck]])+Inventory[[#This Row],[Mdl Res Intercept]]*Inventory[[#This Row],[Res Adj ]],-2)</f>
        <v>352600</v>
      </c>
      <c r="BO1746" s="25">
        <f>ROUND(Inventory[[#This Row],[25Det]]*Inventory[[#This Row],[Det/Nbhd Adj]],-2)</f>
        <v>6900</v>
      </c>
      <c r="BP1746" s="25">
        <f>Inventory[[#This Row],[Adjusted Res]]+Inventory[[#This Row],[Adj Det ]]</f>
        <v>359500</v>
      </c>
      <c r="BQ1746" s="25">
        <f>ROUND((Inventory[[#This Row],[Mdl Land Intercept]]+Inventory[[#This Row],[Mdl LnAcres]])*Inventory[[#This Row],[Det/Nbhd Adj]],-2)</f>
        <v>36900</v>
      </c>
      <c r="BR1746" s="25">
        <f>Inventory[[#This Row],[Adjusted Impr Total]]+Inventory[[#This Row],[Adjusted Land Total]]</f>
        <v>396400</v>
      </c>
      <c r="BS1746" s="36">
        <f>IFERROR((Inventory[[#This Row],[Adjusted Impr Total]]-Inventory[[#This Row],[24Bldg]])/Inventory[[#This Row],[24Bldg]],0)</f>
        <v>0.15557698489231758</v>
      </c>
      <c r="BT1746" s="36">
        <f>(Inventory[[#This Row],[Adjusted Land Total]]-Inventory[[#This Row],[24Lnd]])/Inventory[[#This Row],[24Lnd]]</f>
        <v>-0.36815068493150682</v>
      </c>
      <c r="BU1746" s="36">
        <f>(Inventory[[#This Row],[Adjusted Total]]-Inventory[[#This Row],[24Final]])/Inventory[[#This Row],[24Final]]</f>
        <v>7.2801082543978352E-2</v>
      </c>
    </row>
    <row r="1747" spans="1:73" x14ac:dyDescent="0.3">
      <c r="A1747" s="25">
        <v>2025</v>
      </c>
      <c r="B1747" s="26" t="s">
        <v>2183</v>
      </c>
      <c r="C1747" s="26">
        <f>LN(Inventory[[#This Row],[Acres]])</f>
        <v>-1.8971199848858813</v>
      </c>
      <c r="D1747" s="25">
        <v>0.15</v>
      </c>
      <c r="E1747" s="25">
        <v>6719</v>
      </c>
      <c r="F1747" s="26" t="s">
        <v>537</v>
      </c>
      <c r="G1747" s="26" t="s">
        <v>126</v>
      </c>
      <c r="H1747" s="26" t="s">
        <v>349</v>
      </c>
      <c r="I1747" s="26" t="s">
        <v>538</v>
      </c>
      <c r="J1747" s="26" t="s">
        <v>539</v>
      </c>
      <c r="K1747" s="26" t="s">
        <v>269</v>
      </c>
      <c r="L1747" s="26" t="s">
        <v>351</v>
      </c>
      <c r="M1747" s="26" t="s">
        <v>303</v>
      </c>
      <c r="N1747" s="26">
        <v>100</v>
      </c>
      <c r="O1747" s="26">
        <f>2024-Inventory[[#This Row],[YrBlt]]</f>
        <v>94</v>
      </c>
      <c r="P1747" s="26">
        <f>2024-Inventory[[#This Row],[EffYr]]</f>
        <v>54</v>
      </c>
      <c r="Q1747" s="25">
        <v>1930</v>
      </c>
      <c r="R1747" s="25">
        <v>1970</v>
      </c>
      <c r="S1747" s="25">
        <v>1380</v>
      </c>
      <c r="T1747" s="27"/>
      <c r="U1747" s="25">
        <v>1048</v>
      </c>
      <c r="V1747" s="32">
        <f>Inventory[[#This Row],[Bsmt]]-Inventory[[#This Row],[FnBsmt]]</f>
        <v>0</v>
      </c>
      <c r="W1747" s="32">
        <v>1048</v>
      </c>
      <c r="X1747" s="27"/>
      <c r="Y1747" s="27">
        <f>Inventory[[#This Row],[MainFn]]+Inventory[[#This Row],[UpprFn]]+Inventory[[#This Row],[FnBsmt]]+Inventory[[#This Row],[AddFn]]</f>
        <v>2428</v>
      </c>
      <c r="Z1747" s="27">
        <v>2500</v>
      </c>
      <c r="AA1747" s="25">
        <v>8</v>
      </c>
      <c r="AB1747" s="27"/>
      <c r="AC1747" s="27"/>
      <c r="AD1747" s="32">
        <v>360</v>
      </c>
      <c r="AE1747" s="27"/>
      <c r="AF1747" s="27"/>
      <c r="AG1747" s="27"/>
      <c r="AH1747" s="27"/>
      <c r="AI1747" s="25">
        <v>320611</v>
      </c>
      <c r="AJ1747" s="25">
        <v>218015</v>
      </c>
      <c r="AK1747" s="25">
        <v>8104</v>
      </c>
      <c r="AL1747" s="25">
        <v>358300</v>
      </c>
      <c r="AM1747" s="25">
        <v>48400</v>
      </c>
      <c r="AN1747" s="25">
        <v>309900</v>
      </c>
      <c r="AO1747" s="25">
        <v>0</v>
      </c>
      <c r="AP1747" s="25">
        <f>Lookups!$B$56*0</f>
        <v>0</v>
      </c>
      <c r="AQ1747" s="25">
        <f>Lookups!$B$56*1</f>
        <v>89850.625589999996</v>
      </c>
      <c r="AR1747" s="25">
        <f>Lookups!$B$57*Inventory[[#This Row],[LnAcres]]</f>
        <v>-60052.604136134301</v>
      </c>
      <c r="AS1747" s="25">
        <f>VLOOKUP(Inventory[[#This Row],[Qlty]],Lookups!$A$62:$E$75,2,FALSE)</f>
        <v>21557.329055999999</v>
      </c>
      <c r="AT1747" s="25">
        <f>VLOOKUP(Inventory[[#This Row],[Cnd]],Lookups!$A$76:$E$84,2,FALSE)</f>
        <v>197752.34721000001</v>
      </c>
      <c r="AU1747" s="25">
        <f>Inventory[[#This Row],[EffAge]]*Lookups!$B$85</f>
        <v>-12044.462427</v>
      </c>
      <c r="AV1747" s="25">
        <f>Inventory[[#This Row],[MainFn]]*Lookups!$B$86</f>
        <v>68183.964430260006</v>
      </c>
      <c r="AW1747" s="25">
        <f>Inventory[[#This Row],[UpprFn]]*Lookups!$B$87</f>
        <v>0</v>
      </c>
      <c r="AX1747" s="25">
        <f>Inventory[[#This Row],[AddFn]]*Lookups!$B$88</f>
        <v>0</v>
      </c>
      <c r="AY1747" s="25">
        <f>Inventory[[#This Row],[Bsmt]]*Lookups!$B$89</f>
        <v>30477.826218856</v>
      </c>
      <c r="AZ1747" s="25">
        <f>Inventory[[#This Row],[Fixtures]]*Lookups!$B$90</f>
        <v>30336.176841600001</v>
      </c>
      <c r="BA1747" s="25">
        <f>Inventory[[#This Row],[WdDeck]]*Lookups!$B$91</f>
        <v>11986.385499360002</v>
      </c>
      <c r="BB1747" s="25">
        <f>ROUND(Inventory[[#This Row],[25Det]],-2)</f>
        <v>8100</v>
      </c>
      <c r="BC1747" s="25">
        <f>ROUND(SUM(Inventory[[#This Row],[Mdl Qlty]:[Mdl WdDeck]])+Inventory[[#This Row],[Mdl Res Intercept]],-2)</f>
        <v>348200</v>
      </c>
      <c r="BD1747" s="25">
        <f>ROUND(Inventory[[#This Row],[Mdl Land Intercept]]+Inventory[[#This Row],[Mdl LnAcres]],-2)</f>
        <v>29800</v>
      </c>
      <c r="BE1747" s="25">
        <f>Inventory[[#This Row],[Unadj Res Value]]+Inventory[[#This Row],[Unadj Det Value]]+Inventory[[#This Row],[Unadj Land Value]]</f>
        <v>386100</v>
      </c>
      <c r="BF1747" s="36">
        <f>(Inventory[[#This Row],[Unadj Total Value]]-Inventory[[#This Row],[24Final]])/Inventory[[#This Row],[24Final]]</f>
        <v>7.7588612894222725E-2</v>
      </c>
      <c r="BG1747" s="25">
        <f>VLOOKUP(Inventory[[#This Row],[Nbhd]],Lookups!$Q$2:$T$4,4,FALSE)</f>
        <v>0.99970000000000003</v>
      </c>
      <c r="BH1747" s="25">
        <f>VLOOKUP(Inventory[[#This Row],[Qlty]],Lookups!$O$7:$R$21,4,FALSE)</f>
        <v>1.0067999999999999</v>
      </c>
      <c r="BI1747" s="25">
        <f>VLOOKUP(Inventory[[#This Row],[Cnd]],Lookups!$T$7:$W$16,4,FALSE)</f>
        <v>0.99650000000000005</v>
      </c>
      <c r="BJ1747" s="25">
        <f>VLOOKUP(Inventory[[#This Row],[LivArea Range]],Lookups!$T$25:$W$37,4,FALSE)</f>
        <v>0.98919999999999997</v>
      </c>
      <c r="BK1747" s="25">
        <f>VLOOKUP(Inventory[[#This Row],[Decade]],Lookups!$O$25:$R$42,4,FALSE)</f>
        <v>1.0074000000000001</v>
      </c>
      <c r="BL1747" s="25">
        <f>Inventory[[#This Row],[Nbhd Adj]]*0.95</f>
        <v>0.94971499999999998</v>
      </c>
      <c r="BM1747" s="25">
        <f>Inventory[[#This Row],[Nbhd Adj]]*Inventory[[#This Row],[Quality Adj]]*Inventory[[#This Row],[Condition Adj]]*Inventory[[#This Row],[Living Area Adj]]*Inventory[[#This Row],[Decade Adj]]*0.95</f>
        <v>0.94951069644125163</v>
      </c>
      <c r="BN1747" s="25">
        <f>ROUND(SUM(Inventory[[#This Row],[Mdl Qlty]:[Mdl WdDeck]])+Inventory[[#This Row],[Mdl Res Intercept]]*Inventory[[#This Row],[Res Adj ]],-2)</f>
        <v>348200</v>
      </c>
      <c r="BO1747" s="25">
        <f>ROUND(Inventory[[#This Row],[25Det]]*Inventory[[#This Row],[Det/Nbhd Adj]],-2)</f>
        <v>7700</v>
      </c>
      <c r="BP1747" s="25">
        <f>Inventory[[#This Row],[Adjusted Res]]+Inventory[[#This Row],[Adj Det ]]</f>
        <v>355900</v>
      </c>
      <c r="BQ1747" s="25">
        <f>ROUND((Inventory[[#This Row],[Mdl Land Intercept]]+Inventory[[#This Row],[Mdl LnAcres]])*Inventory[[#This Row],[Det/Nbhd Adj]],-2)</f>
        <v>28300</v>
      </c>
      <c r="BR1747" s="25">
        <f>Inventory[[#This Row],[Adjusted Impr Total]]+Inventory[[#This Row],[Adjusted Land Total]]</f>
        <v>384200</v>
      </c>
      <c r="BS1747" s="36">
        <f>IFERROR((Inventory[[#This Row],[Adjusted Impr Total]]-Inventory[[#This Row],[24Bldg]])/Inventory[[#This Row],[24Bldg]],0)</f>
        <v>0.1484349790254921</v>
      </c>
      <c r="BT1747" s="36">
        <f>(Inventory[[#This Row],[Adjusted Land Total]]-Inventory[[#This Row],[24Lnd]])/Inventory[[#This Row],[24Lnd]]</f>
        <v>-0.41528925619834711</v>
      </c>
      <c r="BU1747" s="36">
        <f>(Inventory[[#This Row],[Adjusted Total]]-Inventory[[#This Row],[24Final]])/Inventory[[#This Row],[24Final]]</f>
        <v>7.2285794027351385E-2</v>
      </c>
    </row>
    <row r="1748" spans="1:73" x14ac:dyDescent="0.3">
      <c r="A1748" s="25">
        <v>2025</v>
      </c>
      <c r="B1748" s="26" t="s">
        <v>2106</v>
      </c>
      <c r="C1748" s="26">
        <f>LN(Inventory[[#This Row],[Acres]])</f>
        <v>-1.2378743560016174</v>
      </c>
      <c r="D1748" s="25">
        <v>0.28999999999999998</v>
      </c>
      <c r="E1748" s="31"/>
      <c r="F1748" s="26" t="s">
        <v>537</v>
      </c>
      <c r="G1748" s="26" t="s">
        <v>126</v>
      </c>
      <c r="H1748" s="26" t="s">
        <v>349</v>
      </c>
      <c r="I1748" s="26" t="s">
        <v>538</v>
      </c>
      <c r="J1748" s="26" t="s">
        <v>539</v>
      </c>
      <c r="K1748" s="26" t="s">
        <v>147</v>
      </c>
      <c r="L1748" s="26" t="s">
        <v>148</v>
      </c>
      <c r="M1748" s="26" t="s">
        <v>303</v>
      </c>
      <c r="N1748" s="26">
        <v>100</v>
      </c>
      <c r="O1748" s="26">
        <f>2024-Inventory[[#This Row],[YrBlt]]</f>
        <v>94</v>
      </c>
      <c r="P1748" s="26">
        <f>2024-Inventory[[#This Row],[EffYr]]</f>
        <v>54</v>
      </c>
      <c r="Q1748" s="25">
        <v>1930</v>
      </c>
      <c r="R1748" s="25">
        <v>1970</v>
      </c>
      <c r="S1748" s="25">
        <v>1312</v>
      </c>
      <c r="T1748" s="32">
        <v>868</v>
      </c>
      <c r="U1748" s="25">
        <v>1312</v>
      </c>
      <c r="V1748" s="25">
        <f>Inventory[[#This Row],[Bsmt]]-Inventory[[#This Row],[FnBsmt]]</f>
        <v>918</v>
      </c>
      <c r="W1748" s="25">
        <v>394</v>
      </c>
      <c r="X1748" s="27"/>
      <c r="Y1748" s="27">
        <f>Inventory[[#This Row],[MainFn]]+Inventory[[#This Row],[UpprFn]]+Inventory[[#This Row],[FnBsmt]]+Inventory[[#This Row],[AddFn]]</f>
        <v>2574</v>
      </c>
      <c r="Z1748" s="27">
        <v>3000</v>
      </c>
      <c r="AA1748" s="25">
        <v>8</v>
      </c>
      <c r="AB1748" s="27"/>
      <c r="AC1748" s="27"/>
      <c r="AD1748" s="27"/>
      <c r="AE1748" s="27"/>
      <c r="AF1748" s="27"/>
      <c r="AG1748" s="27"/>
      <c r="AH1748" s="27"/>
      <c r="AI1748" s="25">
        <v>520709</v>
      </c>
      <c r="AJ1748" s="25">
        <v>354082</v>
      </c>
      <c r="AK1748" s="25">
        <v>11955</v>
      </c>
      <c r="AL1748" s="25">
        <v>430500</v>
      </c>
      <c r="AM1748" s="25">
        <v>71400</v>
      </c>
      <c r="AN1748" s="25">
        <v>359100</v>
      </c>
      <c r="AO1748" s="25">
        <v>0</v>
      </c>
      <c r="AP1748" s="25">
        <f>Lookups!$B$56*0</f>
        <v>0</v>
      </c>
      <c r="AQ1748" s="25">
        <f>Lookups!$B$56*1</f>
        <v>89850.625589999996</v>
      </c>
      <c r="AR1748" s="25">
        <f>Lookups!$B$57*Inventory[[#This Row],[LnAcres]]</f>
        <v>-39184.437074869042</v>
      </c>
      <c r="AS1748" s="25">
        <f>VLOOKUP(Inventory[[#This Row],[Qlty]],Lookups!$A$62:$E$75,2,FALSE)</f>
        <v>44121.038090000002</v>
      </c>
      <c r="AT1748" s="25">
        <f>VLOOKUP(Inventory[[#This Row],[Cnd]],Lookups!$A$76:$E$84,2,FALSE)</f>
        <v>197752.34721000001</v>
      </c>
      <c r="AU1748" s="25">
        <f>Inventory[[#This Row],[EffAge]]*Lookups!$B$85</f>
        <v>-12044.462427</v>
      </c>
      <c r="AV1748" s="25">
        <f>Inventory[[#This Row],[MainFn]]*Lookups!$B$86</f>
        <v>64824.174878623999</v>
      </c>
      <c r="AW1748" s="25">
        <f>Inventory[[#This Row],[UpprFn]]*Lookups!$B$87</f>
        <v>38874.615043348</v>
      </c>
      <c r="AX1748" s="25">
        <f>Inventory[[#This Row],[AddFn]]*Lookups!$B$88</f>
        <v>0</v>
      </c>
      <c r="AY1748" s="25">
        <f>Inventory[[#This Row],[Bsmt]]*Lookups!$B$89</f>
        <v>38155.446564063997</v>
      </c>
      <c r="AZ1748" s="25">
        <f>Inventory[[#This Row],[Fixtures]]*Lookups!$B$90</f>
        <v>30336.176841600001</v>
      </c>
      <c r="BA1748" s="25">
        <f>Inventory[[#This Row],[WdDeck]]*Lookups!$B$91</f>
        <v>0</v>
      </c>
      <c r="BB1748" s="25">
        <f>ROUND(Inventory[[#This Row],[25Det]],-2)</f>
        <v>12000</v>
      </c>
      <c r="BC1748" s="25">
        <f>ROUND(SUM(Inventory[[#This Row],[Mdl Qlty]:[Mdl WdDeck]])+Inventory[[#This Row],[Mdl Res Intercept]],-2)</f>
        <v>402000</v>
      </c>
      <c r="BD1748" s="25">
        <f>ROUND(Inventory[[#This Row],[Mdl Land Intercept]]+Inventory[[#This Row],[Mdl LnAcres]],-2)</f>
        <v>50700</v>
      </c>
      <c r="BE1748" s="25">
        <f>Inventory[[#This Row],[Unadj Res Value]]+Inventory[[#This Row],[Unadj Det Value]]+Inventory[[#This Row],[Unadj Land Value]]</f>
        <v>464700</v>
      </c>
      <c r="BF1748" s="36">
        <f>(Inventory[[#This Row],[Unadj Total Value]]-Inventory[[#This Row],[24Final]])/Inventory[[#This Row],[24Final]]</f>
        <v>7.9442508710801399E-2</v>
      </c>
      <c r="BG1748" s="25">
        <f>VLOOKUP(Inventory[[#This Row],[Nbhd]],Lookups!$Q$2:$T$4,4,FALSE)</f>
        <v>0.99970000000000003</v>
      </c>
      <c r="BH1748" s="25">
        <f>VLOOKUP(Inventory[[#This Row],[Qlty]],Lookups!$O$7:$R$21,4,FALSE)</f>
        <v>0.98050000000000004</v>
      </c>
      <c r="BI1748" s="25">
        <f>VLOOKUP(Inventory[[#This Row],[Cnd]],Lookups!$T$7:$W$16,4,FALSE)</f>
        <v>0.99650000000000005</v>
      </c>
      <c r="BJ1748" s="25">
        <f>VLOOKUP(Inventory[[#This Row],[LivArea Range]],Lookups!$T$25:$W$37,4,FALSE)</f>
        <v>0.96179999999999999</v>
      </c>
      <c r="BK1748" s="25">
        <f>VLOOKUP(Inventory[[#This Row],[Decade]],Lookups!$O$25:$R$42,4,FALSE)</f>
        <v>1.0074000000000001</v>
      </c>
      <c r="BL1748" s="25">
        <f>Inventory[[#This Row],[Nbhd Adj]]*0.95</f>
        <v>0.94971499999999998</v>
      </c>
      <c r="BM1748" s="25">
        <f>Inventory[[#This Row],[Nbhd Adj]]*Inventory[[#This Row],[Quality Adj]]*Inventory[[#This Row],[Condition Adj]]*Inventory[[#This Row],[Living Area Adj]]*Inventory[[#This Row],[Decade Adj]]*0.95</f>
        <v>0.89909362370491519</v>
      </c>
      <c r="BN1748" s="25">
        <f>ROUND(SUM(Inventory[[#This Row],[Mdl Qlty]:[Mdl WdDeck]])+Inventory[[#This Row],[Mdl Res Intercept]]*Inventory[[#This Row],[Res Adj ]],-2)</f>
        <v>402000</v>
      </c>
      <c r="BO1748" s="25">
        <f>ROUND(Inventory[[#This Row],[25Det]]*Inventory[[#This Row],[Det/Nbhd Adj]],-2)</f>
        <v>11400</v>
      </c>
      <c r="BP1748" s="25">
        <f>Inventory[[#This Row],[Adjusted Res]]+Inventory[[#This Row],[Adj Det ]]</f>
        <v>413400</v>
      </c>
      <c r="BQ1748" s="25">
        <f>ROUND((Inventory[[#This Row],[Mdl Land Intercept]]+Inventory[[#This Row],[Mdl LnAcres]])*Inventory[[#This Row],[Det/Nbhd Adj]],-2)</f>
        <v>48100</v>
      </c>
      <c r="BR1748" s="25">
        <f>Inventory[[#This Row],[Adjusted Impr Total]]+Inventory[[#This Row],[Adjusted Land Total]]</f>
        <v>461500</v>
      </c>
      <c r="BS1748" s="36">
        <f>IFERROR((Inventory[[#This Row],[Adjusted Impr Total]]-Inventory[[#This Row],[24Bldg]])/Inventory[[#This Row],[24Bldg]],0)</f>
        <v>0.15121136173767752</v>
      </c>
      <c r="BT1748" s="36">
        <f>(Inventory[[#This Row],[Adjusted Land Total]]-Inventory[[#This Row],[24Lnd]])/Inventory[[#This Row],[24Lnd]]</f>
        <v>-0.32633053221288516</v>
      </c>
      <c r="BU1748" s="36">
        <f>(Inventory[[#This Row],[Adjusted Total]]-Inventory[[#This Row],[24Final]])/Inventory[[#This Row],[24Final]]</f>
        <v>7.2009291521486649E-2</v>
      </c>
    </row>
    <row r="1749" spans="1:73" x14ac:dyDescent="0.3">
      <c r="A1749" s="25">
        <v>2025</v>
      </c>
      <c r="B1749" s="26" t="s">
        <v>2430</v>
      </c>
      <c r="C1749" s="26">
        <f>LN(Inventory[[#This Row],[Acres]])</f>
        <v>-1.8971199848858813</v>
      </c>
      <c r="D1749" s="25">
        <v>0.15</v>
      </c>
      <c r="E1749" s="27"/>
      <c r="F1749" s="26" t="s">
        <v>537</v>
      </c>
      <c r="G1749" s="26" t="s">
        <v>126</v>
      </c>
      <c r="H1749" s="26" t="s">
        <v>349</v>
      </c>
      <c r="I1749" s="26" t="s">
        <v>538</v>
      </c>
      <c r="J1749" s="26" t="s">
        <v>638</v>
      </c>
      <c r="K1749" s="26" t="s">
        <v>173</v>
      </c>
      <c r="L1749" s="26" t="s">
        <v>302</v>
      </c>
      <c r="M1749" s="26" t="s">
        <v>323</v>
      </c>
      <c r="N1749" s="26">
        <v>100</v>
      </c>
      <c r="O1749" s="26">
        <f>2024-Inventory[[#This Row],[YrBlt]]</f>
        <v>94</v>
      </c>
      <c r="P1749" s="26">
        <f>2024-Inventory[[#This Row],[EffYr]]</f>
        <v>54</v>
      </c>
      <c r="Q1749" s="25">
        <v>1930</v>
      </c>
      <c r="R1749" s="25">
        <v>1970</v>
      </c>
      <c r="S1749" s="25">
        <v>1110</v>
      </c>
      <c r="T1749" s="32">
        <v>498</v>
      </c>
      <c r="U1749" s="25">
        <v>750</v>
      </c>
      <c r="V1749" s="32">
        <f>Inventory[[#This Row],[Bsmt]]-Inventory[[#This Row],[FnBsmt]]</f>
        <v>750</v>
      </c>
      <c r="W1749" s="27"/>
      <c r="X1749" s="27"/>
      <c r="Y1749" s="27">
        <f>Inventory[[#This Row],[MainFn]]+Inventory[[#This Row],[UpprFn]]+Inventory[[#This Row],[FnBsmt]]+Inventory[[#This Row],[AddFn]]</f>
        <v>1608</v>
      </c>
      <c r="Z1749" s="27">
        <v>2000</v>
      </c>
      <c r="AA1749" s="25">
        <v>8</v>
      </c>
      <c r="AB1749" s="27"/>
      <c r="AC1749" s="27"/>
      <c r="AD1749" s="31"/>
      <c r="AE1749" s="27"/>
      <c r="AF1749" s="27"/>
      <c r="AG1749" s="27"/>
      <c r="AH1749" s="27"/>
      <c r="AI1749" s="25">
        <v>332624</v>
      </c>
      <c r="AJ1749" s="25">
        <v>219532</v>
      </c>
      <c r="AK1749" s="25">
        <v>0</v>
      </c>
      <c r="AL1749" s="25">
        <v>313300</v>
      </c>
      <c r="AM1749" s="25">
        <v>48400</v>
      </c>
      <c r="AN1749" s="25">
        <v>264900</v>
      </c>
      <c r="AO1749" s="25">
        <v>0</v>
      </c>
      <c r="AP1749" s="25">
        <f>Lookups!$B$56*0</f>
        <v>0</v>
      </c>
      <c r="AQ1749" s="25">
        <f>Lookups!$B$56*1</f>
        <v>89850.625589999996</v>
      </c>
      <c r="AR1749" s="25">
        <f>Lookups!$B$57*Inventory[[#This Row],[LnAcres]]</f>
        <v>-60052.604136134301</v>
      </c>
      <c r="AS1749" s="25">
        <f>VLOOKUP(Inventory[[#This Row],[Qlty]],Lookups!$A$62:$E$75,2,FALSE)</f>
        <v>29814.093161000001</v>
      </c>
      <c r="AT1749" s="25">
        <f>VLOOKUP(Inventory[[#This Row],[Cnd]],Lookups!$A$76:$E$84,2,FALSE)</f>
        <v>160472.20319</v>
      </c>
      <c r="AU1749" s="25">
        <f>Inventory[[#This Row],[EffAge]]*Lookups!$B$85</f>
        <v>-12044.462427</v>
      </c>
      <c r="AV1749" s="25">
        <f>Inventory[[#This Row],[MainFn]]*Lookups!$B$86</f>
        <v>54843.623563469999</v>
      </c>
      <c r="AW1749" s="25">
        <f>Inventory[[#This Row],[UpprFn]]*Lookups!$B$87</f>
        <v>22303.638584778</v>
      </c>
      <c r="AX1749" s="25">
        <f>Inventory[[#This Row],[AddFn]]*Lookups!$B$88</f>
        <v>0</v>
      </c>
      <c r="AY1749" s="25">
        <f>Inventory[[#This Row],[Bsmt]]*Lookups!$B$89</f>
        <v>21811.421435249998</v>
      </c>
      <c r="AZ1749" s="25">
        <f>Inventory[[#This Row],[Fixtures]]*Lookups!$B$90</f>
        <v>30336.176841600001</v>
      </c>
      <c r="BA1749" s="25">
        <f>Inventory[[#This Row],[WdDeck]]*Lookups!$B$91</f>
        <v>0</v>
      </c>
      <c r="BB1749" s="25">
        <f>ROUND(Inventory[[#This Row],[25Det]],-2)</f>
        <v>0</v>
      </c>
      <c r="BC1749" s="25">
        <f>ROUND(SUM(Inventory[[#This Row],[Mdl Qlty]:[Mdl WdDeck]])+Inventory[[#This Row],[Mdl Res Intercept]],-2)</f>
        <v>307500</v>
      </c>
      <c r="BD1749" s="25">
        <f>ROUND(Inventory[[#This Row],[Mdl Land Intercept]]+Inventory[[#This Row],[Mdl LnAcres]],-2)</f>
        <v>29800</v>
      </c>
      <c r="BE1749" s="25">
        <f>Inventory[[#This Row],[Unadj Res Value]]+Inventory[[#This Row],[Unadj Det Value]]+Inventory[[#This Row],[Unadj Land Value]]</f>
        <v>337300</v>
      </c>
      <c r="BF1749" s="36">
        <f>(Inventory[[#This Row],[Unadj Total Value]]-Inventory[[#This Row],[24Final]])/Inventory[[#This Row],[24Final]]</f>
        <v>7.6603894031279929E-2</v>
      </c>
      <c r="BG1749" s="25">
        <f>VLOOKUP(Inventory[[#This Row],[Nbhd]],Lookups!$Q$2:$T$4,4,FALSE)</f>
        <v>0.99970000000000003</v>
      </c>
      <c r="BH1749" s="25">
        <f>VLOOKUP(Inventory[[#This Row],[Qlty]],Lookups!$O$7:$R$21,4,FALSE)</f>
        <v>1.0088999999999999</v>
      </c>
      <c r="BI1749" s="25">
        <f>VLOOKUP(Inventory[[#This Row],[Cnd]],Lookups!$T$7:$W$16,4,FALSE)</f>
        <v>0.99729999999999996</v>
      </c>
      <c r="BJ1749" s="25">
        <f>VLOOKUP(Inventory[[#This Row],[LivArea Range]],Lookups!$T$25:$W$37,4,FALSE)</f>
        <v>1.0093000000000001</v>
      </c>
      <c r="BK1749" s="25">
        <f>VLOOKUP(Inventory[[#This Row],[Decade]],Lookups!$O$25:$R$42,4,FALSE)</f>
        <v>1.0074000000000001</v>
      </c>
      <c r="BL1749" s="25">
        <f>Inventory[[#This Row],[Nbhd Adj]]*0.95</f>
        <v>0.94971499999999998</v>
      </c>
      <c r="BM1749" s="25">
        <f>Inventory[[#This Row],[Nbhd Adj]]*Inventory[[#This Row],[Quality Adj]]*Inventory[[#This Row],[Condition Adj]]*Inventory[[#This Row],[Living Area Adj]]*Inventory[[#This Row],[Decade Adj]]*0.95</f>
        <v>0.97160436726197974</v>
      </c>
      <c r="BN1749" s="25">
        <f>ROUND(SUM(Inventory[[#This Row],[Mdl Qlty]:[Mdl WdDeck]])+Inventory[[#This Row],[Mdl Res Intercept]]*Inventory[[#This Row],[Res Adj ]],-2)</f>
        <v>307500</v>
      </c>
      <c r="BO1749" s="25">
        <f>ROUND(Inventory[[#This Row],[25Det]]*Inventory[[#This Row],[Det/Nbhd Adj]],-2)</f>
        <v>0</v>
      </c>
      <c r="BP1749" s="25">
        <f>Inventory[[#This Row],[Adjusted Res]]+Inventory[[#This Row],[Adj Det ]]</f>
        <v>307500</v>
      </c>
      <c r="BQ1749" s="25">
        <f>ROUND((Inventory[[#This Row],[Mdl Land Intercept]]+Inventory[[#This Row],[Mdl LnAcres]])*Inventory[[#This Row],[Det/Nbhd Adj]],-2)</f>
        <v>28300</v>
      </c>
      <c r="BR1749" s="25">
        <f>Inventory[[#This Row],[Adjusted Impr Total]]+Inventory[[#This Row],[Adjusted Land Total]]</f>
        <v>335800</v>
      </c>
      <c r="BS1749" s="36">
        <f>IFERROR((Inventory[[#This Row],[Adjusted Impr Total]]-Inventory[[#This Row],[24Bldg]])/Inventory[[#This Row],[24Bldg]],0)</f>
        <v>0.16081540203850508</v>
      </c>
      <c r="BT1749" s="36">
        <f>(Inventory[[#This Row],[Adjusted Land Total]]-Inventory[[#This Row],[24Lnd]])/Inventory[[#This Row],[24Lnd]]</f>
        <v>-0.41528925619834711</v>
      </c>
      <c r="BU1749" s="36">
        <f>(Inventory[[#This Row],[Adjusted Total]]-Inventory[[#This Row],[24Final]])/Inventory[[#This Row],[24Final]]</f>
        <v>7.1816150654324923E-2</v>
      </c>
    </row>
    <row r="1750" spans="1:73" x14ac:dyDescent="0.3">
      <c r="A1750" s="25">
        <v>2025</v>
      </c>
      <c r="B1750" s="26" t="s">
        <v>1720</v>
      </c>
      <c r="C1750" s="26">
        <f>LN(Inventory[[#This Row],[Acres]])</f>
        <v>-1.5141277326297755</v>
      </c>
      <c r="D1750" s="25">
        <v>0.22</v>
      </c>
      <c r="E1750" s="32">
        <v>9550</v>
      </c>
      <c r="F1750" s="26" t="s">
        <v>537</v>
      </c>
      <c r="G1750" s="26" t="s">
        <v>126</v>
      </c>
      <c r="H1750" s="26" t="s">
        <v>349</v>
      </c>
      <c r="I1750" s="26" t="s">
        <v>538</v>
      </c>
      <c r="J1750" s="26" t="s">
        <v>539</v>
      </c>
      <c r="K1750" s="26" t="s">
        <v>173</v>
      </c>
      <c r="L1750" s="26" t="s">
        <v>302</v>
      </c>
      <c r="M1750" s="26" t="s">
        <v>303</v>
      </c>
      <c r="N1750" s="26">
        <v>100</v>
      </c>
      <c r="O1750" s="26">
        <f>2024-Inventory[[#This Row],[YrBlt]]</f>
        <v>94</v>
      </c>
      <c r="P1750" s="26">
        <f>2024-Inventory[[#This Row],[EffYr]]</f>
        <v>54</v>
      </c>
      <c r="Q1750" s="25">
        <v>1930</v>
      </c>
      <c r="R1750" s="25">
        <v>1970</v>
      </c>
      <c r="S1750" s="25">
        <v>894</v>
      </c>
      <c r="T1750" s="32">
        <v>450</v>
      </c>
      <c r="U1750" s="25">
        <v>894</v>
      </c>
      <c r="V1750" s="25">
        <f>Inventory[[#This Row],[Bsmt]]-Inventory[[#This Row],[FnBsmt]]</f>
        <v>10</v>
      </c>
      <c r="W1750" s="25">
        <v>884</v>
      </c>
      <c r="X1750" s="27"/>
      <c r="Y1750" s="27">
        <f>Inventory[[#This Row],[MainFn]]+Inventory[[#This Row],[UpprFn]]+Inventory[[#This Row],[FnBsmt]]+Inventory[[#This Row],[AddFn]]</f>
        <v>2228</v>
      </c>
      <c r="Z1750" s="27">
        <v>2500</v>
      </c>
      <c r="AA1750" s="25">
        <v>8</v>
      </c>
      <c r="AB1750" s="27"/>
      <c r="AC1750" s="27"/>
      <c r="AD1750" s="32">
        <v>308</v>
      </c>
      <c r="AE1750" s="27"/>
      <c r="AF1750" s="27"/>
      <c r="AG1750" s="27"/>
      <c r="AH1750" s="27"/>
      <c r="AI1750" s="25">
        <v>339414</v>
      </c>
      <c r="AJ1750" s="25">
        <v>230802</v>
      </c>
      <c r="AK1750" s="25">
        <v>11109</v>
      </c>
      <c r="AL1750" s="25">
        <v>370600</v>
      </c>
      <c r="AM1750" s="25">
        <v>61700</v>
      </c>
      <c r="AN1750" s="25">
        <v>308900</v>
      </c>
      <c r="AO1750" s="25">
        <v>0</v>
      </c>
      <c r="AP1750" s="25">
        <f>Lookups!$B$56*0</f>
        <v>0</v>
      </c>
      <c r="AQ1750" s="25">
        <f>Lookups!$B$56*1</f>
        <v>89850.625589999996</v>
      </c>
      <c r="AR1750" s="25">
        <f>Lookups!$B$57*Inventory[[#This Row],[LnAcres]]</f>
        <v>-47929.131559187132</v>
      </c>
      <c r="AS1750" s="25">
        <f>VLOOKUP(Inventory[[#This Row],[Qlty]],Lookups!$A$62:$E$75,2,FALSE)</f>
        <v>29814.093161000001</v>
      </c>
      <c r="AT1750" s="25">
        <f>VLOOKUP(Inventory[[#This Row],[Cnd]],Lookups!$A$76:$E$84,2,FALSE)</f>
        <v>197752.34721000001</v>
      </c>
      <c r="AU1750" s="25">
        <f>Inventory[[#This Row],[EffAge]]*Lookups!$B$85</f>
        <v>-12044.462427</v>
      </c>
      <c r="AV1750" s="25">
        <f>Inventory[[#This Row],[MainFn]]*Lookups!$B$86</f>
        <v>44171.350870038004</v>
      </c>
      <c r="AW1750" s="25">
        <f>Inventory[[#This Row],[UpprFn]]*Lookups!$B$87</f>
        <v>20153.890287449998</v>
      </c>
      <c r="AX1750" s="25">
        <f>Inventory[[#This Row],[AddFn]]*Lookups!$B$88</f>
        <v>0</v>
      </c>
      <c r="AY1750" s="25">
        <f>Inventory[[#This Row],[Bsmt]]*Lookups!$B$89</f>
        <v>25999.214350817998</v>
      </c>
      <c r="AZ1750" s="25">
        <f>Inventory[[#This Row],[Fixtures]]*Lookups!$B$90</f>
        <v>30336.176841600001</v>
      </c>
      <c r="BA1750" s="25">
        <f>Inventory[[#This Row],[WdDeck]]*Lookups!$B$91</f>
        <v>10255.018705008</v>
      </c>
      <c r="BB1750" s="25">
        <f>ROUND(Inventory[[#This Row],[25Det]],-2)</f>
        <v>11100</v>
      </c>
      <c r="BC1750" s="25">
        <f>ROUND(SUM(Inventory[[#This Row],[Mdl Qlty]:[Mdl WdDeck]])+Inventory[[#This Row],[Mdl Res Intercept]],-2)</f>
        <v>346400</v>
      </c>
      <c r="BD1750" s="25">
        <f>ROUND(Inventory[[#This Row],[Mdl Land Intercept]]+Inventory[[#This Row],[Mdl LnAcres]],-2)</f>
        <v>41900</v>
      </c>
      <c r="BE1750" s="25">
        <f>Inventory[[#This Row],[Unadj Res Value]]+Inventory[[#This Row],[Unadj Det Value]]+Inventory[[#This Row],[Unadj Land Value]]</f>
        <v>399400</v>
      </c>
      <c r="BF1750" s="36">
        <f>(Inventory[[#This Row],[Unadj Total Value]]-Inventory[[#This Row],[24Final]])/Inventory[[#This Row],[24Final]]</f>
        <v>7.7711818672423091E-2</v>
      </c>
      <c r="BG1750" s="25">
        <f>VLOOKUP(Inventory[[#This Row],[Nbhd]],Lookups!$Q$2:$T$4,4,FALSE)</f>
        <v>0.99970000000000003</v>
      </c>
      <c r="BH1750" s="25">
        <f>VLOOKUP(Inventory[[#This Row],[Qlty]],Lookups!$O$7:$R$21,4,FALSE)</f>
        <v>1.0088999999999999</v>
      </c>
      <c r="BI1750" s="25">
        <f>VLOOKUP(Inventory[[#This Row],[Cnd]],Lookups!$T$7:$W$16,4,FALSE)</f>
        <v>0.99650000000000005</v>
      </c>
      <c r="BJ1750" s="25">
        <f>VLOOKUP(Inventory[[#This Row],[LivArea Range]],Lookups!$T$25:$W$37,4,FALSE)</f>
        <v>0.98919999999999997</v>
      </c>
      <c r="BK1750" s="25">
        <f>VLOOKUP(Inventory[[#This Row],[Decade]],Lookups!$O$25:$R$42,4,FALSE)</f>
        <v>1.0074000000000001</v>
      </c>
      <c r="BL1750" s="25">
        <f>Inventory[[#This Row],[Nbhd Adj]]*0.95</f>
        <v>0.94971499999999998</v>
      </c>
      <c r="BM1750" s="25">
        <f>Inventory[[#This Row],[Nbhd Adj]]*Inventory[[#This Row],[Quality Adj]]*Inventory[[#This Row],[Condition Adj]]*Inventory[[#This Row],[Living Area Adj]]*Inventory[[#This Row],[Decade Adj]]*0.95</f>
        <v>0.95149120146958555</v>
      </c>
      <c r="BN1750" s="25">
        <f>ROUND(SUM(Inventory[[#This Row],[Mdl Qlty]:[Mdl WdDeck]])+Inventory[[#This Row],[Mdl Res Intercept]]*Inventory[[#This Row],[Res Adj ]],-2)</f>
        <v>346400</v>
      </c>
      <c r="BO1750" s="25">
        <f>ROUND(Inventory[[#This Row],[25Det]]*Inventory[[#This Row],[Det/Nbhd Adj]],-2)</f>
        <v>10600</v>
      </c>
      <c r="BP1750" s="25">
        <f>Inventory[[#This Row],[Adjusted Res]]+Inventory[[#This Row],[Adj Det ]]</f>
        <v>357000</v>
      </c>
      <c r="BQ1750" s="25">
        <f>ROUND((Inventory[[#This Row],[Mdl Land Intercept]]+Inventory[[#This Row],[Mdl LnAcres]])*Inventory[[#This Row],[Det/Nbhd Adj]],-2)</f>
        <v>39800</v>
      </c>
      <c r="BR1750" s="25">
        <f>Inventory[[#This Row],[Adjusted Impr Total]]+Inventory[[#This Row],[Adjusted Land Total]]</f>
        <v>396800</v>
      </c>
      <c r="BS1750" s="36">
        <f>IFERROR((Inventory[[#This Row],[Adjusted Impr Total]]-Inventory[[#This Row],[24Bldg]])/Inventory[[#This Row],[24Bldg]],0)</f>
        <v>0.1557138232437682</v>
      </c>
      <c r="BT1750" s="36">
        <f>(Inventory[[#This Row],[Adjusted Land Total]]-Inventory[[#This Row],[24Lnd]])/Inventory[[#This Row],[24Lnd]]</f>
        <v>-0.35494327390599678</v>
      </c>
      <c r="BU1750" s="36">
        <f>(Inventory[[#This Row],[Adjusted Total]]-Inventory[[#This Row],[24Final]])/Inventory[[#This Row],[24Final]]</f>
        <v>7.0696168375607119E-2</v>
      </c>
    </row>
    <row r="1751" spans="1:73" x14ac:dyDescent="0.3">
      <c r="A1751" s="25">
        <v>2025</v>
      </c>
      <c r="B1751" s="26" t="s">
        <v>1208</v>
      </c>
      <c r="C1751" s="26">
        <f>LN(Inventory[[#This Row],[Acres]])</f>
        <v>-1.5606477482646683</v>
      </c>
      <c r="D1751" s="25">
        <v>0.21</v>
      </c>
      <c r="E1751" s="31"/>
      <c r="F1751" s="26" t="s">
        <v>537</v>
      </c>
      <c r="G1751" s="26" t="s">
        <v>126</v>
      </c>
      <c r="H1751" s="26" t="s">
        <v>349</v>
      </c>
      <c r="I1751" s="26" t="s">
        <v>538</v>
      </c>
      <c r="J1751" s="26" t="s">
        <v>539</v>
      </c>
      <c r="K1751" s="26" t="s">
        <v>147</v>
      </c>
      <c r="L1751" s="26" t="s">
        <v>148</v>
      </c>
      <c r="M1751" s="26" t="s">
        <v>303</v>
      </c>
      <c r="N1751" s="26">
        <v>100</v>
      </c>
      <c r="O1751" s="26">
        <f>2024-Inventory[[#This Row],[YrBlt]]</f>
        <v>94</v>
      </c>
      <c r="P1751" s="26">
        <f>2024-Inventory[[#This Row],[EffYr]]</f>
        <v>34</v>
      </c>
      <c r="Q1751" s="25">
        <v>1930</v>
      </c>
      <c r="R1751" s="25">
        <v>1990</v>
      </c>
      <c r="S1751" s="25">
        <v>1347</v>
      </c>
      <c r="T1751" s="32">
        <v>1050</v>
      </c>
      <c r="U1751" s="25">
        <v>1347</v>
      </c>
      <c r="V1751" s="25">
        <f>Inventory[[#This Row],[Bsmt]]-Inventory[[#This Row],[FnBsmt]]</f>
        <v>47</v>
      </c>
      <c r="W1751" s="25">
        <v>1300</v>
      </c>
      <c r="X1751" s="27"/>
      <c r="Y1751" s="27">
        <f>Inventory[[#This Row],[MainFn]]+Inventory[[#This Row],[UpprFn]]+Inventory[[#This Row],[FnBsmt]]+Inventory[[#This Row],[AddFn]]</f>
        <v>3697</v>
      </c>
      <c r="Z1751" s="27">
        <v>4000</v>
      </c>
      <c r="AA1751" s="25">
        <v>13</v>
      </c>
      <c r="AB1751" s="27"/>
      <c r="AC1751" s="27"/>
      <c r="AD1751" s="31"/>
      <c r="AE1751" s="27"/>
      <c r="AF1751" s="27"/>
      <c r="AG1751" s="27"/>
      <c r="AH1751" s="27"/>
      <c r="AI1751" s="25">
        <v>593301</v>
      </c>
      <c r="AJ1751" s="25">
        <v>504306</v>
      </c>
      <c r="AK1751" s="25">
        <v>40713</v>
      </c>
      <c r="AL1751" s="25">
        <v>479800</v>
      </c>
      <c r="AM1751" s="25">
        <v>60100</v>
      </c>
      <c r="AN1751" s="25">
        <v>419700</v>
      </c>
      <c r="AO1751" s="25">
        <v>0</v>
      </c>
      <c r="AP1751" s="25">
        <f>Lookups!$B$56*0</f>
        <v>0</v>
      </c>
      <c r="AQ1751" s="25">
        <f>Lookups!$B$56*1</f>
        <v>89850.625589999996</v>
      </c>
      <c r="AR1751" s="25">
        <f>Lookups!$B$57*Inventory[[#This Row],[LnAcres]]</f>
        <v>-49401.70477837498</v>
      </c>
      <c r="AS1751" s="25">
        <f>VLOOKUP(Inventory[[#This Row],[Qlty]],Lookups!$A$62:$E$75,2,FALSE)</f>
        <v>44121.038090000002</v>
      </c>
      <c r="AT1751" s="25">
        <f>VLOOKUP(Inventory[[#This Row],[Cnd]],Lookups!$A$76:$E$84,2,FALSE)</f>
        <v>197752.34721000001</v>
      </c>
      <c r="AU1751" s="25">
        <f>Inventory[[#This Row],[EffAge]]*Lookups!$B$85</f>
        <v>-7583.5504170000004</v>
      </c>
      <c r="AV1751" s="25">
        <f>Inventory[[#This Row],[MainFn]]*Lookups!$B$86</f>
        <v>66553.478324319003</v>
      </c>
      <c r="AW1751" s="25">
        <f>Inventory[[#This Row],[UpprFn]]*Lookups!$B$87</f>
        <v>47025.744004050001</v>
      </c>
      <c r="AX1751" s="25">
        <f>Inventory[[#This Row],[AddFn]]*Lookups!$B$88</f>
        <v>0</v>
      </c>
      <c r="AY1751" s="25">
        <f>Inventory[[#This Row],[Bsmt]]*Lookups!$B$89</f>
        <v>39173.312897708995</v>
      </c>
      <c r="AZ1751" s="25">
        <f>Inventory[[#This Row],[Fixtures]]*Lookups!$B$90</f>
        <v>49296.287367600002</v>
      </c>
      <c r="BA1751" s="25">
        <f>Inventory[[#This Row],[WdDeck]]*Lookups!$B$91</f>
        <v>0</v>
      </c>
      <c r="BB1751" s="25">
        <f>ROUND(Inventory[[#This Row],[25Det]],-2)</f>
        <v>40700</v>
      </c>
      <c r="BC1751" s="25">
        <f>ROUND(SUM(Inventory[[#This Row],[Mdl Qlty]:[Mdl WdDeck]])+Inventory[[#This Row],[Mdl Res Intercept]],-2)</f>
        <v>436300</v>
      </c>
      <c r="BD1751" s="25">
        <f>ROUND(Inventory[[#This Row],[Mdl Land Intercept]]+Inventory[[#This Row],[Mdl LnAcres]],-2)</f>
        <v>40400</v>
      </c>
      <c r="BE1751" s="25">
        <f>Inventory[[#This Row],[Unadj Res Value]]+Inventory[[#This Row],[Unadj Det Value]]+Inventory[[#This Row],[Unadj Land Value]]</f>
        <v>517400</v>
      </c>
      <c r="BF1751" s="36">
        <f>(Inventory[[#This Row],[Unadj Total Value]]-Inventory[[#This Row],[24Final]])/Inventory[[#This Row],[24Final]]</f>
        <v>7.8365985827428097E-2</v>
      </c>
      <c r="BG1751" s="25">
        <f>VLOOKUP(Inventory[[#This Row],[Nbhd]],Lookups!$Q$2:$T$4,4,FALSE)</f>
        <v>0.99970000000000003</v>
      </c>
      <c r="BH1751" s="25">
        <f>VLOOKUP(Inventory[[#This Row],[Qlty]],Lookups!$O$7:$R$21,4,FALSE)</f>
        <v>0.98050000000000004</v>
      </c>
      <c r="BI1751" s="25">
        <f>VLOOKUP(Inventory[[#This Row],[Cnd]],Lookups!$T$7:$W$16,4,FALSE)</f>
        <v>0.99650000000000005</v>
      </c>
      <c r="BJ1751" s="25">
        <f>VLOOKUP(Inventory[[#This Row],[LivArea Range]],Lookups!$T$25:$W$37,4,FALSE)</f>
        <v>0.94579999999999997</v>
      </c>
      <c r="BK1751" s="25">
        <f>VLOOKUP(Inventory[[#This Row],[Decade]],Lookups!$O$25:$R$42,4,FALSE)</f>
        <v>1.0074000000000001</v>
      </c>
      <c r="BL1751" s="25">
        <f>Inventory[[#This Row],[Nbhd Adj]]*0.95</f>
        <v>0.94971499999999998</v>
      </c>
      <c r="BM1751" s="25">
        <f>Inventory[[#This Row],[Nbhd Adj]]*Inventory[[#This Row],[Quality Adj]]*Inventory[[#This Row],[Condition Adj]]*Inventory[[#This Row],[Living Area Adj]]*Inventory[[#This Row],[Decade Adj]]*0.95</f>
        <v>0.88413677406956614</v>
      </c>
      <c r="BN1751" s="25">
        <f>ROUND(SUM(Inventory[[#This Row],[Mdl Qlty]:[Mdl WdDeck]])+Inventory[[#This Row],[Mdl Res Intercept]]*Inventory[[#This Row],[Res Adj ]],-2)</f>
        <v>436300</v>
      </c>
      <c r="BO1751" s="25">
        <f>ROUND(Inventory[[#This Row],[25Det]]*Inventory[[#This Row],[Det/Nbhd Adj]],-2)</f>
        <v>38700</v>
      </c>
      <c r="BP1751" s="25">
        <f>Inventory[[#This Row],[Adjusted Res]]+Inventory[[#This Row],[Adj Det ]]</f>
        <v>475000</v>
      </c>
      <c r="BQ1751" s="25">
        <f>ROUND((Inventory[[#This Row],[Mdl Land Intercept]]+Inventory[[#This Row],[Mdl LnAcres]])*Inventory[[#This Row],[Det/Nbhd Adj]],-2)</f>
        <v>38400</v>
      </c>
      <c r="BR1751" s="25">
        <f>Inventory[[#This Row],[Adjusted Impr Total]]+Inventory[[#This Row],[Adjusted Land Total]]</f>
        <v>513400</v>
      </c>
      <c r="BS1751" s="36">
        <f>IFERROR((Inventory[[#This Row],[Adjusted Impr Total]]-Inventory[[#This Row],[24Bldg]])/Inventory[[#This Row],[24Bldg]],0)</f>
        <v>0.1317607815106028</v>
      </c>
      <c r="BT1751" s="36">
        <f>(Inventory[[#This Row],[Adjusted Land Total]]-Inventory[[#This Row],[24Lnd]])/Inventory[[#This Row],[24Lnd]]</f>
        <v>-0.36106489184692181</v>
      </c>
      <c r="BU1751" s="36">
        <f>(Inventory[[#This Row],[Adjusted Total]]-Inventory[[#This Row],[24Final]])/Inventory[[#This Row],[24Final]]</f>
        <v>7.0029178824510208E-2</v>
      </c>
    </row>
    <row r="1752" spans="1:73" x14ac:dyDescent="0.3">
      <c r="A1752" s="25">
        <v>2025</v>
      </c>
      <c r="B1752" s="26" t="s">
        <v>762</v>
      </c>
      <c r="C1752" s="26">
        <f>LN(Inventory[[#This Row],[Acres]])</f>
        <v>-1.5606477482646683</v>
      </c>
      <c r="D1752" s="25">
        <v>0.21</v>
      </c>
      <c r="E1752" s="32">
        <v>8989</v>
      </c>
      <c r="F1752" s="26" t="s">
        <v>537</v>
      </c>
      <c r="G1752" s="26" t="s">
        <v>126</v>
      </c>
      <c r="H1752" s="26" t="s">
        <v>349</v>
      </c>
      <c r="I1752" s="26" t="s">
        <v>538</v>
      </c>
      <c r="J1752" s="26" t="s">
        <v>539</v>
      </c>
      <c r="K1752" s="26" t="s">
        <v>241</v>
      </c>
      <c r="L1752" s="26" t="s">
        <v>351</v>
      </c>
      <c r="M1752" s="26" t="s">
        <v>303</v>
      </c>
      <c r="N1752" s="26">
        <v>100</v>
      </c>
      <c r="O1752" s="26">
        <f>2024-Inventory[[#This Row],[YrBlt]]</f>
        <v>94</v>
      </c>
      <c r="P1752" s="26">
        <f>2024-Inventory[[#This Row],[EffYr]]</f>
        <v>54</v>
      </c>
      <c r="Q1752" s="25">
        <v>1930</v>
      </c>
      <c r="R1752" s="25">
        <v>1970</v>
      </c>
      <c r="S1752" s="25">
        <v>1490</v>
      </c>
      <c r="T1752" s="31"/>
      <c r="U1752" s="31"/>
      <c r="V1752" s="31">
        <f>Inventory[[#This Row],[Bsmt]]-Inventory[[#This Row],[FnBsmt]]</f>
        <v>0</v>
      </c>
      <c r="W1752" s="31"/>
      <c r="X1752" s="27"/>
      <c r="Y1752" s="27">
        <f>Inventory[[#This Row],[MainFn]]+Inventory[[#This Row],[UpprFn]]+Inventory[[#This Row],[FnBsmt]]+Inventory[[#This Row],[AddFn]]</f>
        <v>1490</v>
      </c>
      <c r="Z1752" s="27">
        <v>1500</v>
      </c>
      <c r="AA1752" s="25">
        <v>9</v>
      </c>
      <c r="AB1752" s="27"/>
      <c r="AC1752" s="27"/>
      <c r="AD1752" s="31"/>
      <c r="AE1752" s="27"/>
      <c r="AF1752" s="27"/>
      <c r="AG1752" s="27"/>
      <c r="AH1752" s="27"/>
      <c r="AI1752" s="25">
        <v>241347</v>
      </c>
      <c r="AJ1752" s="25">
        <v>164116</v>
      </c>
      <c r="AK1752" s="25">
        <v>4877</v>
      </c>
      <c r="AL1752" s="25">
        <v>334600</v>
      </c>
      <c r="AM1752" s="25">
        <v>60100</v>
      </c>
      <c r="AN1752" s="25">
        <v>274500</v>
      </c>
      <c r="AO1752" s="25">
        <v>0</v>
      </c>
      <c r="AP1752" s="25">
        <f>Lookups!$B$56*0</f>
        <v>0</v>
      </c>
      <c r="AQ1752" s="25">
        <f>Lookups!$B$56*1</f>
        <v>89850.625589999996</v>
      </c>
      <c r="AR1752" s="25">
        <f>Lookups!$B$57*Inventory[[#This Row],[LnAcres]]</f>
        <v>-49401.70477837498</v>
      </c>
      <c r="AS1752" s="25">
        <f>VLOOKUP(Inventory[[#This Row],[Qlty]],Lookups!$A$62:$E$75,2,FALSE)</f>
        <v>21557.329055999999</v>
      </c>
      <c r="AT1752" s="25">
        <f>VLOOKUP(Inventory[[#This Row],[Cnd]],Lookups!$A$76:$E$84,2,FALSE)</f>
        <v>197752.34721000001</v>
      </c>
      <c r="AU1752" s="25">
        <f>Inventory[[#This Row],[EffAge]]*Lookups!$B$85</f>
        <v>-12044.462427</v>
      </c>
      <c r="AV1752" s="25">
        <f>Inventory[[#This Row],[MainFn]]*Lookups!$B$86</f>
        <v>73618.918116729998</v>
      </c>
      <c r="AW1752" s="25">
        <f>Inventory[[#This Row],[UpprFn]]*Lookups!$B$87</f>
        <v>0</v>
      </c>
      <c r="AX1752" s="25">
        <f>Inventory[[#This Row],[AddFn]]*Lookups!$B$88</f>
        <v>0</v>
      </c>
      <c r="AY1752" s="25">
        <f>Inventory[[#This Row],[Bsmt]]*Lookups!$B$89</f>
        <v>0</v>
      </c>
      <c r="AZ1752" s="25">
        <f>Inventory[[#This Row],[Fixtures]]*Lookups!$B$90</f>
        <v>34128.198946800003</v>
      </c>
      <c r="BA1752" s="25">
        <f>Inventory[[#This Row],[WdDeck]]*Lookups!$B$91</f>
        <v>0</v>
      </c>
      <c r="BB1752" s="25">
        <f>ROUND(Inventory[[#This Row],[25Det]],-2)</f>
        <v>4900</v>
      </c>
      <c r="BC1752" s="25">
        <f>ROUND(SUM(Inventory[[#This Row],[Mdl Qlty]:[Mdl WdDeck]])+Inventory[[#This Row],[Mdl Res Intercept]],-2)</f>
        <v>315000</v>
      </c>
      <c r="BD1752" s="25">
        <f>ROUND(Inventory[[#This Row],[Mdl Land Intercept]]+Inventory[[#This Row],[Mdl LnAcres]],-2)</f>
        <v>40400</v>
      </c>
      <c r="BE1752" s="25">
        <f>Inventory[[#This Row],[Unadj Res Value]]+Inventory[[#This Row],[Unadj Det Value]]+Inventory[[#This Row],[Unadj Land Value]]</f>
        <v>360300</v>
      </c>
      <c r="BF1752" s="36">
        <f>(Inventory[[#This Row],[Unadj Total Value]]-Inventory[[#This Row],[24Final]])/Inventory[[#This Row],[24Final]]</f>
        <v>7.6808129109384338E-2</v>
      </c>
      <c r="BG1752" s="25">
        <f>VLOOKUP(Inventory[[#This Row],[Nbhd]],Lookups!$Q$2:$T$4,4,FALSE)</f>
        <v>0.99970000000000003</v>
      </c>
      <c r="BH1752" s="25">
        <f>VLOOKUP(Inventory[[#This Row],[Qlty]],Lookups!$O$7:$R$21,4,FALSE)</f>
        <v>1.0067999999999999</v>
      </c>
      <c r="BI1752" s="25">
        <f>VLOOKUP(Inventory[[#This Row],[Cnd]],Lookups!$T$7:$W$16,4,FALSE)</f>
        <v>0.99650000000000005</v>
      </c>
      <c r="BJ1752" s="25">
        <f>VLOOKUP(Inventory[[#This Row],[LivArea Range]],Lookups!$T$25:$W$37,4,FALSE)</f>
        <v>1.0157</v>
      </c>
      <c r="BK1752" s="25">
        <f>VLOOKUP(Inventory[[#This Row],[Decade]],Lookups!$O$25:$R$42,4,FALSE)</f>
        <v>1.0074000000000001</v>
      </c>
      <c r="BL1752" s="25">
        <f>Inventory[[#This Row],[Nbhd Adj]]*0.95</f>
        <v>0.94971499999999998</v>
      </c>
      <c r="BM1752" s="25">
        <f>Inventory[[#This Row],[Nbhd Adj]]*Inventory[[#This Row],[Quality Adj]]*Inventory[[#This Row],[Condition Adj]]*Inventory[[#This Row],[Living Area Adj]]*Inventory[[#This Row],[Decade Adj]]*0.95</f>
        <v>0.97494744680082823</v>
      </c>
      <c r="BN1752" s="25">
        <f>ROUND(SUM(Inventory[[#This Row],[Mdl Qlty]:[Mdl WdDeck]])+Inventory[[#This Row],[Mdl Res Intercept]]*Inventory[[#This Row],[Res Adj ]],-2)</f>
        <v>315000</v>
      </c>
      <c r="BO1752" s="25">
        <f>ROUND(Inventory[[#This Row],[25Det]]*Inventory[[#This Row],[Det/Nbhd Adj]],-2)</f>
        <v>4600</v>
      </c>
      <c r="BP1752" s="25">
        <f>Inventory[[#This Row],[Adjusted Res]]+Inventory[[#This Row],[Adj Det ]]</f>
        <v>319600</v>
      </c>
      <c r="BQ1752" s="25">
        <f>ROUND((Inventory[[#This Row],[Mdl Land Intercept]]+Inventory[[#This Row],[Mdl LnAcres]])*Inventory[[#This Row],[Det/Nbhd Adj]],-2)</f>
        <v>38400</v>
      </c>
      <c r="BR1752" s="25">
        <f>Inventory[[#This Row],[Adjusted Impr Total]]+Inventory[[#This Row],[Adjusted Land Total]]</f>
        <v>358000</v>
      </c>
      <c r="BS1752" s="36">
        <f>IFERROR((Inventory[[#This Row],[Adjusted Impr Total]]-Inventory[[#This Row],[24Bldg]])/Inventory[[#This Row],[24Bldg]],0)</f>
        <v>0.16429872495446265</v>
      </c>
      <c r="BT1752" s="36">
        <f>(Inventory[[#This Row],[Adjusted Land Total]]-Inventory[[#This Row],[24Lnd]])/Inventory[[#This Row],[24Lnd]]</f>
        <v>-0.36106489184692181</v>
      </c>
      <c r="BU1752" s="36">
        <f>(Inventory[[#This Row],[Adjusted Total]]-Inventory[[#This Row],[24Final]])/Inventory[[#This Row],[24Final]]</f>
        <v>6.9934249850567842E-2</v>
      </c>
    </row>
    <row r="1753" spans="1:73" x14ac:dyDescent="0.3">
      <c r="A1753" s="25">
        <v>2025</v>
      </c>
      <c r="B1753" s="26" t="s">
        <v>1269</v>
      </c>
      <c r="C1753" s="26">
        <f>LN(Inventory[[#This Row],[Acres]])</f>
        <v>-1.0216512475319814</v>
      </c>
      <c r="D1753" s="25">
        <v>0.36</v>
      </c>
      <c r="E1753" s="25">
        <v>15815</v>
      </c>
      <c r="F1753" s="26" t="s">
        <v>537</v>
      </c>
      <c r="G1753" s="26" t="s">
        <v>126</v>
      </c>
      <c r="H1753" s="26" t="s">
        <v>349</v>
      </c>
      <c r="I1753" s="26" t="s">
        <v>538</v>
      </c>
      <c r="J1753" s="26" t="s">
        <v>539</v>
      </c>
      <c r="K1753" s="26" t="s">
        <v>301</v>
      </c>
      <c r="L1753" s="26" t="s">
        <v>351</v>
      </c>
      <c r="M1753" s="26" t="s">
        <v>303</v>
      </c>
      <c r="N1753" s="26">
        <v>100</v>
      </c>
      <c r="O1753" s="26">
        <f>2024-Inventory[[#This Row],[YrBlt]]</f>
        <v>94</v>
      </c>
      <c r="P1753" s="26">
        <f>2024-Inventory[[#This Row],[EffYr]]</f>
        <v>54</v>
      </c>
      <c r="Q1753" s="25">
        <v>1930</v>
      </c>
      <c r="R1753" s="25">
        <v>1970</v>
      </c>
      <c r="S1753" s="25">
        <v>1096</v>
      </c>
      <c r="T1753" s="32">
        <v>925</v>
      </c>
      <c r="U1753" s="25">
        <v>875</v>
      </c>
      <c r="V1753" s="25">
        <f>Inventory[[#This Row],[Bsmt]]-Inventory[[#This Row],[FnBsmt]]</f>
        <v>725</v>
      </c>
      <c r="W1753" s="25">
        <v>150</v>
      </c>
      <c r="X1753" s="27"/>
      <c r="Y1753" s="27">
        <f>Inventory[[#This Row],[MainFn]]+Inventory[[#This Row],[UpprFn]]+Inventory[[#This Row],[FnBsmt]]+Inventory[[#This Row],[AddFn]]</f>
        <v>2171</v>
      </c>
      <c r="Z1753" s="27">
        <v>2500</v>
      </c>
      <c r="AA1753" s="25">
        <v>12</v>
      </c>
      <c r="AB1753" s="27"/>
      <c r="AC1753" s="27"/>
      <c r="AD1753" s="27"/>
      <c r="AE1753" s="27"/>
      <c r="AF1753" s="27"/>
      <c r="AG1753" s="27"/>
      <c r="AH1753" s="27"/>
      <c r="AI1753" s="25">
        <v>340572</v>
      </c>
      <c r="AJ1753" s="25">
        <v>231589</v>
      </c>
      <c r="AK1753" s="25">
        <v>13675</v>
      </c>
      <c r="AL1753" s="25">
        <v>412600</v>
      </c>
      <c r="AM1753" s="25">
        <v>78900</v>
      </c>
      <c r="AN1753" s="25">
        <v>333700</v>
      </c>
      <c r="AO1753" s="25">
        <v>0</v>
      </c>
      <c r="AP1753" s="25">
        <f>Lookups!$B$56*0</f>
        <v>0</v>
      </c>
      <c r="AQ1753" s="25">
        <f>Lookups!$B$56*1</f>
        <v>89850.625589999996</v>
      </c>
      <c r="AR1753" s="25">
        <f>Lookups!$B$57*Inventory[[#This Row],[LnAcres]]</f>
        <v>-32339.977661938148</v>
      </c>
      <c r="AS1753" s="25">
        <f>VLOOKUP(Inventory[[#This Row],[Qlty]],Lookups!$A$62:$E$75,2,FALSE)</f>
        <v>21557.329055999999</v>
      </c>
      <c r="AT1753" s="25">
        <f>VLOOKUP(Inventory[[#This Row],[Cnd]],Lookups!$A$76:$E$84,2,FALSE)</f>
        <v>197752.34721000001</v>
      </c>
      <c r="AU1753" s="25">
        <f>Inventory[[#This Row],[EffAge]]*Lookups!$B$85</f>
        <v>-12044.462427</v>
      </c>
      <c r="AV1753" s="25">
        <f>Inventory[[#This Row],[MainFn]]*Lookups!$B$86</f>
        <v>54151.902185192004</v>
      </c>
      <c r="AW1753" s="25">
        <f>Inventory[[#This Row],[UpprFn]]*Lookups!$B$87</f>
        <v>41427.441146425001</v>
      </c>
      <c r="AX1753" s="25">
        <f>Inventory[[#This Row],[AddFn]]*Lookups!$B$88</f>
        <v>0</v>
      </c>
      <c r="AY1753" s="25">
        <f>Inventory[[#This Row],[Bsmt]]*Lookups!$B$89</f>
        <v>25446.658341124999</v>
      </c>
      <c r="AZ1753" s="25">
        <f>Inventory[[#This Row],[Fixtures]]*Lookups!$B$90</f>
        <v>45504.265262400004</v>
      </c>
      <c r="BA1753" s="25">
        <f>Inventory[[#This Row],[WdDeck]]*Lookups!$B$91</f>
        <v>0</v>
      </c>
      <c r="BB1753" s="25">
        <f>ROUND(Inventory[[#This Row],[25Det]],-2)</f>
        <v>13700</v>
      </c>
      <c r="BC1753" s="25">
        <f>ROUND(SUM(Inventory[[#This Row],[Mdl Qlty]:[Mdl WdDeck]])+Inventory[[#This Row],[Mdl Res Intercept]],-2)</f>
        <v>373800</v>
      </c>
      <c r="BD1753" s="25">
        <f>ROUND(Inventory[[#This Row],[Mdl Land Intercept]]+Inventory[[#This Row],[Mdl LnAcres]],-2)</f>
        <v>57500</v>
      </c>
      <c r="BE1753" s="25">
        <f>Inventory[[#This Row],[Unadj Res Value]]+Inventory[[#This Row],[Unadj Det Value]]+Inventory[[#This Row],[Unadj Land Value]]</f>
        <v>445000</v>
      </c>
      <c r="BF1753" s="36">
        <f>(Inventory[[#This Row],[Unadj Total Value]]-Inventory[[#This Row],[24Final]])/Inventory[[#This Row],[24Final]]</f>
        <v>7.8526417838099855E-2</v>
      </c>
      <c r="BG1753" s="25">
        <f>VLOOKUP(Inventory[[#This Row],[Nbhd]],Lookups!$Q$2:$T$4,4,FALSE)</f>
        <v>0.99970000000000003</v>
      </c>
      <c r="BH1753" s="25">
        <f>VLOOKUP(Inventory[[#This Row],[Qlty]],Lookups!$O$7:$R$21,4,FALSE)</f>
        <v>1.0067999999999999</v>
      </c>
      <c r="BI1753" s="25">
        <f>VLOOKUP(Inventory[[#This Row],[Cnd]],Lookups!$T$7:$W$16,4,FALSE)</f>
        <v>0.99650000000000005</v>
      </c>
      <c r="BJ1753" s="25">
        <f>VLOOKUP(Inventory[[#This Row],[LivArea Range]],Lookups!$T$25:$W$37,4,FALSE)</f>
        <v>0.98919999999999997</v>
      </c>
      <c r="BK1753" s="25">
        <f>VLOOKUP(Inventory[[#This Row],[Decade]],Lookups!$O$25:$R$42,4,FALSE)</f>
        <v>1.0074000000000001</v>
      </c>
      <c r="BL1753" s="25">
        <f>Inventory[[#This Row],[Nbhd Adj]]*0.95</f>
        <v>0.94971499999999998</v>
      </c>
      <c r="BM1753" s="25">
        <f>Inventory[[#This Row],[Nbhd Adj]]*Inventory[[#This Row],[Quality Adj]]*Inventory[[#This Row],[Condition Adj]]*Inventory[[#This Row],[Living Area Adj]]*Inventory[[#This Row],[Decade Adj]]*0.95</f>
        <v>0.94951069644125163</v>
      </c>
      <c r="BN1753" s="25">
        <f>ROUND(SUM(Inventory[[#This Row],[Mdl Qlty]:[Mdl WdDeck]])+Inventory[[#This Row],[Mdl Res Intercept]]*Inventory[[#This Row],[Res Adj ]],-2)</f>
        <v>373800</v>
      </c>
      <c r="BO1753" s="25">
        <f>ROUND(Inventory[[#This Row],[25Det]]*Inventory[[#This Row],[Det/Nbhd Adj]],-2)</f>
        <v>13000</v>
      </c>
      <c r="BP1753" s="25">
        <f>Inventory[[#This Row],[Adjusted Res]]+Inventory[[#This Row],[Adj Det ]]</f>
        <v>386800</v>
      </c>
      <c r="BQ1753" s="25">
        <f>ROUND((Inventory[[#This Row],[Mdl Land Intercept]]+Inventory[[#This Row],[Mdl LnAcres]])*Inventory[[#This Row],[Det/Nbhd Adj]],-2)</f>
        <v>54600</v>
      </c>
      <c r="BR1753" s="25">
        <f>Inventory[[#This Row],[Adjusted Impr Total]]+Inventory[[#This Row],[Adjusted Land Total]]</f>
        <v>441400</v>
      </c>
      <c r="BS1753" s="36">
        <f>IFERROR((Inventory[[#This Row],[Adjusted Impr Total]]-Inventory[[#This Row],[24Bldg]])/Inventory[[#This Row],[24Bldg]],0)</f>
        <v>0.15912496254120467</v>
      </c>
      <c r="BT1753" s="36">
        <f>(Inventory[[#This Row],[Adjusted Land Total]]-Inventory[[#This Row],[24Lnd]])/Inventory[[#This Row],[24Lnd]]</f>
        <v>-0.30798479087452474</v>
      </c>
      <c r="BU1753" s="36">
        <f>(Inventory[[#This Row],[Adjusted Total]]-Inventory[[#This Row],[24Final]])/Inventory[[#This Row],[24Final]]</f>
        <v>6.9801260300533199E-2</v>
      </c>
    </row>
    <row r="1754" spans="1:73" x14ac:dyDescent="0.3">
      <c r="A1754" s="25">
        <v>2025</v>
      </c>
      <c r="B1754" s="26" t="s">
        <v>1037</v>
      </c>
      <c r="C1754" s="26">
        <f>LN(Inventory[[#This Row],[Acres]])</f>
        <v>-1.3470736479666092</v>
      </c>
      <c r="D1754" s="25">
        <v>0.26</v>
      </c>
      <c r="E1754" s="31"/>
      <c r="F1754" s="26" t="s">
        <v>537</v>
      </c>
      <c r="G1754" s="26" t="s">
        <v>126</v>
      </c>
      <c r="H1754" s="26" t="s">
        <v>349</v>
      </c>
      <c r="I1754" s="26" t="s">
        <v>538</v>
      </c>
      <c r="J1754" s="26" t="s">
        <v>539</v>
      </c>
      <c r="K1754" s="26" t="s">
        <v>147</v>
      </c>
      <c r="L1754" s="26" t="s">
        <v>148</v>
      </c>
      <c r="M1754" s="26" t="s">
        <v>303</v>
      </c>
      <c r="N1754" s="26">
        <v>100</v>
      </c>
      <c r="O1754" s="26">
        <f>2024-Inventory[[#This Row],[YrBlt]]</f>
        <v>94</v>
      </c>
      <c r="P1754" s="26">
        <f>2024-Inventory[[#This Row],[EffYr]]</f>
        <v>54</v>
      </c>
      <c r="Q1754" s="25">
        <v>1930</v>
      </c>
      <c r="R1754" s="25">
        <v>1970</v>
      </c>
      <c r="S1754" s="25">
        <v>1428</v>
      </c>
      <c r="T1754" s="32">
        <v>710</v>
      </c>
      <c r="U1754" s="25">
        <v>1428</v>
      </c>
      <c r="V1754" s="32">
        <f>Inventory[[#This Row],[Bsmt]]-Inventory[[#This Row],[FnBsmt]]</f>
        <v>714</v>
      </c>
      <c r="W1754" s="32">
        <v>714</v>
      </c>
      <c r="X1754" s="27"/>
      <c r="Y1754" s="27">
        <f>Inventory[[#This Row],[MainFn]]+Inventory[[#This Row],[UpprFn]]+Inventory[[#This Row],[FnBsmt]]+Inventory[[#This Row],[AddFn]]</f>
        <v>2852</v>
      </c>
      <c r="Z1754" s="27">
        <v>3000</v>
      </c>
      <c r="AA1754" s="25">
        <v>8</v>
      </c>
      <c r="AB1754" s="27"/>
      <c r="AC1754" s="27"/>
      <c r="AD1754" s="31"/>
      <c r="AE1754" s="27"/>
      <c r="AF1754" s="27"/>
      <c r="AG1754" s="27"/>
      <c r="AH1754" s="27"/>
      <c r="AI1754" s="25">
        <v>539633</v>
      </c>
      <c r="AJ1754" s="25">
        <v>366950</v>
      </c>
      <c r="AK1754" s="25">
        <v>14793</v>
      </c>
      <c r="AL1754" s="25">
        <v>432800</v>
      </c>
      <c r="AM1754" s="25">
        <v>67600</v>
      </c>
      <c r="AN1754" s="25">
        <v>365200</v>
      </c>
      <c r="AO1754" s="25">
        <v>0</v>
      </c>
      <c r="AP1754" s="25">
        <f>Lookups!$B$56*0</f>
        <v>0</v>
      </c>
      <c r="AQ1754" s="25">
        <f>Lookups!$B$56*1</f>
        <v>89850.625589999996</v>
      </c>
      <c r="AR1754" s="25">
        <f>Lookups!$B$57*Inventory[[#This Row],[LnAcres]]</f>
        <v>-42641.098701210125</v>
      </c>
      <c r="AS1754" s="25">
        <f>VLOOKUP(Inventory[[#This Row],[Qlty]],Lookups!$A$62:$E$75,2,FALSE)</f>
        <v>44121.038090000002</v>
      </c>
      <c r="AT1754" s="25">
        <f>VLOOKUP(Inventory[[#This Row],[Cnd]],Lookups!$A$76:$E$84,2,FALSE)</f>
        <v>197752.34721000001</v>
      </c>
      <c r="AU1754" s="25">
        <f>Inventory[[#This Row],[EffAge]]*Lookups!$B$85</f>
        <v>-12044.462427</v>
      </c>
      <c r="AV1754" s="25">
        <f>Inventory[[#This Row],[MainFn]]*Lookups!$B$86</f>
        <v>70555.580584356008</v>
      </c>
      <c r="AW1754" s="25">
        <f>Inventory[[#This Row],[UpprFn]]*Lookups!$B$87</f>
        <v>31798.360231309998</v>
      </c>
      <c r="AX1754" s="25">
        <f>Inventory[[#This Row],[AddFn]]*Lookups!$B$88</f>
        <v>0</v>
      </c>
      <c r="AY1754" s="25">
        <f>Inventory[[#This Row],[Bsmt]]*Lookups!$B$89</f>
        <v>41528.946412715995</v>
      </c>
      <c r="AZ1754" s="25">
        <f>Inventory[[#This Row],[Fixtures]]*Lookups!$B$90</f>
        <v>30336.176841600001</v>
      </c>
      <c r="BA1754" s="25">
        <f>Inventory[[#This Row],[WdDeck]]*Lookups!$B$91</f>
        <v>0</v>
      </c>
      <c r="BB1754" s="25">
        <f>ROUND(Inventory[[#This Row],[25Det]],-2)</f>
        <v>14800</v>
      </c>
      <c r="BC1754" s="25">
        <f>ROUND(SUM(Inventory[[#This Row],[Mdl Qlty]:[Mdl WdDeck]])+Inventory[[#This Row],[Mdl Res Intercept]],-2)</f>
        <v>404000</v>
      </c>
      <c r="BD1754" s="25">
        <f>ROUND(Inventory[[#This Row],[Mdl Land Intercept]]+Inventory[[#This Row],[Mdl LnAcres]],-2)</f>
        <v>47200</v>
      </c>
      <c r="BE1754" s="25">
        <f>Inventory[[#This Row],[Unadj Res Value]]+Inventory[[#This Row],[Unadj Det Value]]+Inventory[[#This Row],[Unadj Land Value]]</f>
        <v>466000</v>
      </c>
      <c r="BF1754" s="36">
        <f>(Inventory[[#This Row],[Unadj Total Value]]-Inventory[[#This Row],[24Final]])/Inventory[[#This Row],[24Final]]</f>
        <v>7.6709796672828096E-2</v>
      </c>
      <c r="BG1754" s="25">
        <f>VLOOKUP(Inventory[[#This Row],[Nbhd]],Lookups!$Q$2:$T$4,4,FALSE)</f>
        <v>0.99970000000000003</v>
      </c>
      <c r="BH1754" s="25">
        <f>VLOOKUP(Inventory[[#This Row],[Qlty]],Lookups!$O$7:$R$21,4,FALSE)</f>
        <v>0.98050000000000004</v>
      </c>
      <c r="BI1754" s="25">
        <f>VLOOKUP(Inventory[[#This Row],[Cnd]],Lookups!$T$7:$W$16,4,FALSE)</f>
        <v>0.99650000000000005</v>
      </c>
      <c r="BJ1754" s="25">
        <f>VLOOKUP(Inventory[[#This Row],[LivArea Range]],Lookups!$T$25:$W$37,4,FALSE)</f>
        <v>0.96179999999999999</v>
      </c>
      <c r="BK1754" s="25">
        <f>VLOOKUP(Inventory[[#This Row],[Decade]],Lookups!$O$25:$R$42,4,FALSE)</f>
        <v>1.0074000000000001</v>
      </c>
      <c r="BL1754" s="25">
        <f>Inventory[[#This Row],[Nbhd Adj]]*0.95</f>
        <v>0.94971499999999998</v>
      </c>
      <c r="BM1754" s="25">
        <f>Inventory[[#This Row],[Nbhd Adj]]*Inventory[[#This Row],[Quality Adj]]*Inventory[[#This Row],[Condition Adj]]*Inventory[[#This Row],[Living Area Adj]]*Inventory[[#This Row],[Decade Adj]]*0.95</f>
        <v>0.89909362370491519</v>
      </c>
      <c r="BN1754" s="25">
        <f>ROUND(SUM(Inventory[[#This Row],[Mdl Qlty]:[Mdl WdDeck]])+Inventory[[#This Row],[Mdl Res Intercept]]*Inventory[[#This Row],[Res Adj ]],-2)</f>
        <v>404000</v>
      </c>
      <c r="BO1754" s="25">
        <f>ROUND(Inventory[[#This Row],[25Det]]*Inventory[[#This Row],[Det/Nbhd Adj]],-2)</f>
        <v>14000</v>
      </c>
      <c r="BP1754" s="25">
        <f>Inventory[[#This Row],[Adjusted Res]]+Inventory[[#This Row],[Adj Det ]]</f>
        <v>418000</v>
      </c>
      <c r="BQ1754" s="25">
        <f>ROUND((Inventory[[#This Row],[Mdl Land Intercept]]+Inventory[[#This Row],[Mdl LnAcres]])*Inventory[[#This Row],[Det/Nbhd Adj]],-2)</f>
        <v>44800</v>
      </c>
      <c r="BR1754" s="25">
        <f>Inventory[[#This Row],[Adjusted Impr Total]]+Inventory[[#This Row],[Adjusted Land Total]]</f>
        <v>462800</v>
      </c>
      <c r="BS1754" s="36">
        <f>IFERROR((Inventory[[#This Row],[Adjusted Impr Total]]-Inventory[[#This Row],[24Bldg]])/Inventory[[#This Row],[24Bldg]],0)</f>
        <v>0.14457831325301204</v>
      </c>
      <c r="BT1754" s="36">
        <f>(Inventory[[#This Row],[Adjusted Land Total]]-Inventory[[#This Row],[24Lnd]])/Inventory[[#This Row],[24Lnd]]</f>
        <v>-0.33727810650887574</v>
      </c>
      <c r="BU1754" s="36">
        <f>(Inventory[[#This Row],[Adjusted Total]]-Inventory[[#This Row],[24Final]])/Inventory[[#This Row],[24Final]]</f>
        <v>6.9316081330868765E-2</v>
      </c>
    </row>
    <row r="1755" spans="1:73" x14ac:dyDescent="0.3">
      <c r="A1755" s="25">
        <v>2025</v>
      </c>
      <c r="B1755" s="26" t="s">
        <v>2668</v>
      </c>
      <c r="C1755" s="26">
        <f>LN(Inventory[[#This Row],[Acres]])</f>
        <v>-1.7719568419318752</v>
      </c>
      <c r="D1755" s="25">
        <v>0.17</v>
      </c>
      <c r="E1755" s="27"/>
      <c r="F1755" s="26" t="s">
        <v>537</v>
      </c>
      <c r="G1755" s="26" t="s">
        <v>126</v>
      </c>
      <c r="H1755" s="26" t="s">
        <v>349</v>
      </c>
      <c r="I1755" s="26" t="s">
        <v>538</v>
      </c>
      <c r="J1755" s="26" t="s">
        <v>539</v>
      </c>
      <c r="K1755" s="26" t="s">
        <v>269</v>
      </c>
      <c r="L1755" s="26" t="s">
        <v>302</v>
      </c>
      <c r="M1755" s="26" t="s">
        <v>303</v>
      </c>
      <c r="N1755" s="26">
        <v>100</v>
      </c>
      <c r="O1755" s="26">
        <f>2024-Inventory[[#This Row],[YrBlt]]</f>
        <v>94</v>
      </c>
      <c r="P1755" s="26">
        <f>2024-Inventory[[#This Row],[EffYr]]</f>
        <v>54</v>
      </c>
      <c r="Q1755" s="25">
        <v>1930</v>
      </c>
      <c r="R1755" s="25">
        <v>1970</v>
      </c>
      <c r="S1755" s="25">
        <v>870</v>
      </c>
      <c r="T1755" s="25">
        <v>200</v>
      </c>
      <c r="U1755" s="25">
        <v>870</v>
      </c>
      <c r="V1755" s="32">
        <f>Inventory[[#This Row],[Bsmt]]-Inventory[[#This Row],[FnBsmt]]</f>
        <v>0</v>
      </c>
      <c r="W1755" s="32">
        <v>870</v>
      </c>
      <c r="X1755" s="27"/>
      <c r="Y1755" s="27">
        <f>Inventory[[#This Row],[MainFn]]+Inventory[[#This Row],[UpprFn]]+Inventory[[#This Row],[FnBsmt]]+Inventory[[#This Row],[AddFn]]</f>
        <v>1940</v>
      </c>
      <c r="Z1755" s="27">
        <v>2000</v>
      </c>
      <c r="AA1755" s="25">
        <v>8</v>
      </c>
      <c r="AB1755" s="27"/>
      <c r="AC1755" s="27"/>
      <c r="AD1755" s="27"/>
      <c r="AE1755" s="27"/>
      <c r="AF1755" s="27"/>
      <c r="AG1755" s="27"/>
      <c r="AH1755" s="27"/>
      <c r="AI1755" s="25">
        <v>306305</v>
      </c>
      <c r="AJ1755" s="25">
        <v>208287</v>
      </c>
      <c r="AK1755" s="25">
        <v>10670</v>
      </c>
      <c r="AL1755" s="25">
        <v>341700</v>
      </c>
      <c r="AM1755" s="25">
        <v>52700</v>
      </c>
      <c r="AN1755" s="25">
        <v>289000</v>
      </c>
      <c r="AO1755" s="25">
        <v>0</v>
      </c>
      <c r="AP1755" s="25">
        <f>Lookups!$B$56*0</f>
        <v>0</v>
      </c>
      <c r="AQ1755" s="25">
        <f>Lookups!$B$56*1</f>
        <v>89850.625589999996</v>
      </c>
      <c r="AR1755" s="25">
        <f>Lookups!$B$57*Inventory[[#This Row],[LnAcres]]</f>
        <v>-56090.612940989391</v>
      </c>
      <c r="AS1755" s="25">
        <f>VLOOKUP(Inventory[[#This Row],[Qlty]],Lookups!$A$62:$E$75,2,FALSE)</f>
        <v>29814.093161000001</v>
      </c>
      <c r="AT1755" s="25">
        <f>VLOOKUP(Inventory[[#This Row],[Cnd]],Lookups!$A$76:$E$84,2,FALSE)</f>
        <v>197752.34721000001</v>
      </c>
      <c r="AU1755" s="25">
        <f>Inventory[[#This Row],[EffAge]]*Lookups!$B$85</f>
        <v>-12044.462427</v>
      </c>
      <c r="AV1755" s="25">
        <f>Inventory[[#This Row],[MainFn]]*Lookups!$B$86</f>
        <v>42985.542792990003</v>
      </c>
      <c r="AW1755" s="25">
        <f>Inventory[[#This Row],[UpprFn]]*Lookups!$B$87</f>
        <v>8957.2845722000002</v>
      </c>
      <c r="AX1755" s="25">
        <f>Inventory[[#This Row],[AddFn]]*Lookups!$B$88</f>
        <v>0</v>
      </c>
      <c r="AY1755" s="25">
        <f>Inventory[[#This Row],[Bsmt]]*Lookups!$B$89</f>
        <v>25301.24886489</v>
      </c>
      <c r="AZ1755" s="25">
        <f>Inventory[[#This Row],[Fixtures]]*Lookups!$B$90</f>
        <v>30336.176841600001</v>
      </c>
      <c r="BA1755" s="25">
        <f>Inventory[[#This Row],[WdDeck]]*Lookups!$B$91</f>
        <v>0</v>
      </c>
      <c r="BB1755" s="25">
        <f>ROUND(Inventory[[#This Row],[25Det]],-2)</f>
        <v>10700</v>
      </c>
      <c r="BC1755" s="25">
        <f>ROUND(SUM(Inventory[[#This Row],[Mdl Qlty]:[Mdl WdDeck]])+Inventory[[#This Row],[Mdl Res Intercept]],-2)</f>
        <v>323100</v>
      </c>
      <c r="BD1755" s="25">
        <f>ROUND(Inventory[[#This Row],[Mdl Land Intercept]]+Inventory[[#This Row],[Mdl LnAcres]],-2)</f>
        <v>33800</v>
      </c>
      <c r="BE1755" s="25">
        <f>Inventory[[#This Row],[Unadj Res Value]]+Inventory[[#This Row],[Unadj Det Value]]+Inventory[[#This Row],[Unadj Land Value]]</f>
        <v>367600</v>
      </c>
      <c r="BF1755" s="36">
        <f>(Inventory[[#This Row],[Unadj Total Value]]-Inventory[[#This Row],[24Final]])/Inventory[[#This Row],[24Final]]</f>
        <v>7.5797483172373434E-2</v>
      </c>
      <c r="BG1755" s="25">
        <f>VLOOKUP(Inventory[[#This Row],[Nbhd]],Lookups!$Q$2:$T$4,4,FALSE)</f>
        <v>0.99970000000000003</v>
      </c>
      <c r="BH1755" s="25">
        <f>VLOOKUP(Inventory[[#This Row],[Qlty]],Lookups!$O$7:$R$21,4,FALSE)</f>
        <v>1.0088999999999999</v>
      </c>
      <c r="BI1755" s="25">
        <f>VLOOKUP(Inventory[[#This Row],[Cnd]],Lookups!$T$7:$W$16,4,FALSE)</f>
        <v>0.99650000000000005</v>
      </c>
      <c r="BJ1755" s="25">
        <f>VLOOKUP(Inventory[[#This Row],[LivArea Range]],Lookups!$T$25:$W$37,4,FALSE)</f>
        <v>1.0093000000000001</v>
      </c>
      <c r="BK1755" s="25">
        <f>VLOOKUP(Inventory[[#This Row],[Decade]],Lookups!$O$25:$R$42,4,FALSE)</f>
        <v>1.0074000000000001</v>
      </c>
      <c r="BL1755" s="25">
        <f>Inventory[[#This Row],[Nbhd Adj]]*0.95</f>
        <v>0.94971499999999998</v>
      </c>
      <c r="BM1755" s="25">
        <f>Inventory[[#This Row],[Nbhd Adj]]*Inventory[[#This Row],[Quality Adj]]*Inventory[[#This Row],[Condition Adj]]*Inventory[[#This Row],[Living Area Adj]]*Inventory[[#This Row],[Decade Adj]]*0.95</f>
        <v>0.97082497942099955</v>
      </c>
      <c r="BN1755" s="25">
        <f>ROUND(SUM(Inventory[[#This Row],[Mdl Qlty]:[Mdl WdDeck]])+Inventory[[#This Row],[Mdl Res Intercept]]*Inventory[[#This Row],[Res Adj ]],-2)</f>
        <v>323100</v>
      </c>
      <c r="BO1755" s="25">
        <f>ROUND(Inventory[[#This Row],[25Det]]*Inventory[[#This Row],[Det/Nbhd Adj]],-2)</f>
        <v>10100</v>
      </c>
      <c r="BP1755" s="25">
        <f>Inventory[[#This Row],[Adjusted Res]]+Inventory[[#This Row],[Adj Det ]]</f>
        <v>333200</v>
      </c>
      <c r="BQ1755" s="25">
        <f>ROUND((Inventory[[#This Row],[Mdl Land Intercept]]+Inventory[[#This Row],[Mdl LnAcres]])*Inventory[[#This Row],[Det/Nbhd Adj]],-2)</f>
        <v>32100</v>
      </c>
      <c r="BR1755" s="25">
        <f>Inventory[[#This Row],[Adjusted Impr Total]]+Inventory[[#This Row],[Adjusted Land Total]]</f>
        <v>365300</v>
      </c>
      <c r="BS1755" s="36">
        <f>IFERROR((Inventory[[#This Row],[Adjusted Impr Total]]-Inventory[[#This Row],[24Bldg]])/Inventory[[#This Row],[24Bldg]],0)</f>
        <v>0.15294117647058825</v>
      </c>
      <c r="BT1755" s="36">
        <f>(Inventory[[#This Row],[Adjusted Land Total]]-Inventory[[#This Row],[24Lnd]])/Inventory[[#This Row],[24Lnd]]</f>
        <v>-0.39089184060721061</v>
      </c>
      <c r="BU1755" s="36">
        <f>(Inventory[[#This Row],[Adjusted Total]]-Inventory[[#This Row],[24Final]])/Inventory[[#This Row],[24Final]]</f>
        <v>6.9066432543166523E-2</v>
      </c>
    </row>
    <row r="1756" spans="1:73" x14ac:dyDescent="0.3">
      <c r="A1756" s="25">
        <v>2025</v>
      </c>
      <c r="B1756" s="26" t="s">
        <v>632</v>
      </c>
      <c r="C1756" s="26">
        <f>LN(Inventory[[#This Row],[Acres]])</f>
        <v>-1.5606477482646683</v>
      </c>
      <c r="D1756" s="25">
        <v>0.21</v>
      </c>
      <c r="E1756" s="32">
        <v>9000</v>
      </c>
      <c r="F1756" s="26" t="s">
        <v>537</v>
      </c>
      <c r="G1756" s="26" t="s">
        <v>126</v>
      </c>
      <c r="H1756" s="26" t="s">
        <v>349</v>
      </c>
      <c r="I1756" s="26" t="s">
        <v>538</v>
      </c>
      <c r="J1756" s="26" t="s">
        <v>539</v>
      </c>
      <c r="K1756" s="26" t="s">
        <v>4</v>
      </c>
      <c r="L1756" s="26" t="s">
        <v>351</v>
      </c>
      <c r="M1756" s="26" t="s">
        <v>303</v>
      </c>
      <c r="N1756" s="26">
        <v>100</v>
      </c>
      <c r="O1756" s="26">
        <f>2024-Inventory[[#This Row],[YrBlt]]</f>
        <v>94</v>
      </c>
      <c r="P1756" s="26">
        <f>2024-Inventory[[#This Row],[EffYr]]</f>
        <v>54</v>
      </c>
      <c r="Q1756" s="25">
        <v>1930</v>
      </c>
      <c r="R1756" s="25">
        <v>1970</v>
      </c>
      <c r="S1756" s="25">
        <v>864</v>
      </c>
      <c r="T1756" s="31"/>
      <c r="U1756" s="25">
        <v>720</v>
      </c>
      <c r="V1756" s="25">
        <f>Inventory[[#This Row],[Bsmt]]-Inventory[[#This Row],[FnBsmt]]</f>
        <v>0</v>
      </c>
      <c r="W1756" s="25">
        <v>720</v>
      </c>
      <c r="X1756" s="27"/>
      <c r="Y1756" s="27">
        <f>Inventory[[#This Row],[MainFn]]+Inventory[[#This Row],[UpprFn]]+Inventory[[#This Row],[FnBsmt]]+Inventory[[#This Row],[AddFn]]</f>
        <v>1584</v>
      </c>
      <c r="Z1756" s="27">
        <v>2000</v>
      </c>
      <c r="AA1756" s="25">
        <v>9</v>
      </c>
      <c r="AB1756" s="27"/>
      <c r="AC1756" s="27"/>
      <c r="AD1756" s="31"/>
      <c r="AE1756" s="27"/>
      <c r="AF1756" s="27"/>
      <c r="AG1756" s="27"/>
      <c r="AH1756" s="27"/>
      <c r="AI1756" s="25">
        <v>226949</v>
      </c>
      <c r="AJ1756" s="25">
        <v>154325</v>
      </c>
      <c r="AK1756" s="25">
        <v>3222</v>
      </c>
      <c r="AL1756" s="25">
        <v>324200</v>
      </c>
      <c r="AM1756" s="25">
        <v>60100</v>
      </c>
      <c r="AN1756" s="25">
        <v>264100</v>
      </c>
      <c r="AO1756" s="25">
        <v>0</v>
      </c>
      <c r="AP1756" s="25">
        <f>Lookups!$B$56*0</f>
        <v>0</v>
      </c>
      <c r="AQ1756" s="25">
        <f>Lookups!$B$56*1</f>
        <v>89850.625589999996</v>
      </c>
      <c r="AR1756" s="25">
        <f>Lookups!$B$57*Inventory[[#This Row],[LnAcres]]</f>
        <v>-49401.70477837498</v>
      </c>
      <c r="AS1756" s="25">
        <f>VLOOKUP(Inventory[[#This Row],[Qlty]],Lookups!$A$62:$E$75,2,FALSE)</f>
        <v>21557.329055999999</v>
      </c>
      <c r="AT1756" s="25">
        <f>VLOOKUP(Inventory[[#This Row],[Cnd]],Lookups!$A$76:$E$84,2,FALSE)</f>
        <v>197752.34721000001</v>
      </c>
      <c r="AU1756" s="25">
        <f>Inventory[[#This Row],[EffAge]]*Lookups!$B$85</f>
        <v>-12044.462427</v>
      </c>
      <c r="AV1756" s="25">
        <f>Inventory[[#This Row],[MainFn]]*Lookups!$B$86</f>
        <v>42689.090773727999</v>
      </c>
      <c r="AW1756" s="25">
        <f>Inventory[[#This Row],[UpprFn]]*Lookups!$B$87</f>
        <v>0</v>
      </c>
      <c r="AX1756" s="25">
        <f>Inventory[[#This Row],[AddFn]]*Lookups!$B$88</f>
        <v>0</v>
      </c>
      <c r="AY1756" s="25">
        <f>Inventory[[#This Row],[Bsmt]]*Lookups!$B$89</f>
        <v>20938.964577839997</v>
      </c>
      <c r="AZ1756" s="25">
        <f>Inventory[[#This Row],[Fixtures]]*Lookups!$B$90</f>
        <v>34128.198946800003</v>
      </c>
      <c r="BA1756" s="25">
        <f>Inventory[[#This Row],[WdDeck]]*Lookups!$B$91</f>
        <v>0</v>
      </c>
      <c r="BB1756" s="25">
        <f>ROUND(Inventory[[#This Row],[25Det]],-2)</f>
        <v>3200</v>
      </c>
      <c r="BC1756" s="25">
        <f>ROUND(SUM(Inventory[[#This Row],[Mdl Qlty]:[Mdl WdDeck]])+Inventory[[#This Row],[Mdl Res Intercept]],-2)</f>
        <v>305000</v>
      </c>
      <c r="BD1756" s="25">
        <f>ROUND(Inventory[[#This Row],[Mdl Land Intercept]]+Inventory[[#This Row],[Mdl LnAcres]],-2)</f>
        <v>40400</v>
      </c>
      <c r="BE1756" s="25">
        <f>Inventory[[#This Row],[Unadj Res Value]]+Inventory[[#This Row],[Unadj Det Value]]+Inventory[[#This Row],[Unadj Land Value]]</f>
        <v>348600</v>
      </c>
      <c r="BF1756" s="36">
        <f>(Inventory[[#This Row],[Unadj Total Value]]-Inventory[[#This Row],[24Final]])/Inventory[[#This Row],[24Final]]</f>
        <v>7.5262183837137564E-2</v>
      </c>
      <c r="BG1756" s="25">
        <f>VLOOKUP(Inventory[[#This Row],[Nbhd]],Lookups!$Q$2:$T$4,4,FALSE)</f>
        <v>0.99970000000000003</v>
      </c>
      <c r="BH1756" s="25">
        <f>VLOOKUP(Inventory[[#This Row],[Qlty]],Lookups!$O$7:$R$21,4,FALSE)</f>
        <v>1.0067999999999999</v>
      </c>
      <c r="BI1756" s="25">
        <f>VLOOKUP(Inventory[[#This Row],[Cnd]],Lookups!$T$7:$W$16,4,FALSE)</f>
        <v>0.99650000000000005</v>
      </c>
      <c r="BJ1756" s="25">
        <f>VLOOKUP(Inventory[[#This Row],[LivArea Range]],Lookups!$T$25:$W$37,4,FALSE)</f>
        <v>1.0093000000000001</v>
      </c>
      <c r="BK1756" s="25">
        <f>VLOOKUP(Inventory[[#This Row],[Decade]],Lookups!$O$25:$R$42,4,FALSE)</f>
        <v>1.0074000000000001</v>
      </c>
      <c r="BL1756" s="25">
        <f>Inventory[[#This Row],[Nbhd Adj]]*0.95</f>
        <v>0.94971499999999998</v>
      </c>
      <c r="BM1756" s="25">
        <f>Inventory[[#This Row],[Nbhd Adj]]*Inventory[[#This Row],[Quality Adj]]*Inventory[[#This Row],[Condition Adj]]*Inventory[[#This Row],[Living Area Adj]]*Inventory[[#This Row],[Decade Adj]]*0.95</f>
        <v>0.96880423161964746</v>
      </c>
      <c r="BN1756" s="25">
        <f>ROUND(SUM(Inventory[[#This Row],[Mdl Qlty]:[Mdl WdDeck]])+Inventory[[#This Row],[Mdl Res Intercept]]*Inventory[[#This Row],[Res Adj ]],-2)</f>
        <v>305000</v>
      </c>
      <c r="BO1756" s="25">
        <f>ROUND(Inventory[[#This Row],[25Det]]*Inventory[[#This Row],[Det/Nbhd Adj]],-2)</f>
        <v>3100</v>
      </c>
      <c r="BP1756" s="25">
        <f>Inventory[[#This Row],[Adjusted Res]]+Inventory[[#This Row],[Adj Det ]]</f>
        <v>308100</v>
      </c>
      <c r="BQ1756" s="25">
        <f>ROUND((Inventory[[#This Row],[Mdl Land Intercept]]+Inventory[[#This Row],[Mdl LnAcres]])*Inventory[[#This Row],[Det/Nbhd Adj]],-2)</f>
        <v>38400</v>
      </c>
      <c r="BR1756" s="25">
        <f>Inventory[[#This Row],[Adjusted Impr Total]]+Inventory[[#This Row],[Adjusted Land Total]]</f>
        <v>346500</v>
      </c>
      <c r="BS1756" s="36">
        <f>IFERROR((Inventory[[#This Row],[Adjusted Impr Total]]-Inventory[[#This Row],[24Bldg]])/Inventory[[#This Row],[24Bldg]],0)</f>
        <v>0.16660355925785686</v>
      </c>
      <c r="BT1756" s="36">
        <f>(Inventory[[#This Row],[Adjusted Land Total]]-Inventory[[#This Row],[24Lnd]])/Inventory[[#This Row],[24Lnd]]</f>
        <v>-0.36106489184692181</v>
      </c>
      <c r="BU1756" s="36">
        <f>(Inventory[[#This Row],[Adjusted Total]]-Inventory[[#This Row],[24Final]])/Inventory[[#This Row],[24Final]]</f>
        <v>6.8784700801974089E-2</v>
      </c>
    </row>
    <row r="1757" spans="1:73" x14ac:dyDescent="0.3">
      <c r="A1757" s="25">
        <v>2025</v>
      </c>
      <c r="B1757" s="26" t="s">
        <v>2326</v>
      </c>
      <c r="C1757" s="26">
        <f>LN(Inventory[[#This Row],[Acres]])</f>
        <v>-1.4271163556401458</v>
      </c>
      <c r="D1757" s="25">
        <v>0.24</v>
      </c>
      <c r="E1757" s="27"/>
      <c r="F1757" s="26" t="s">
        <v>537</v>
      </c>
      <c r="G1757" s="26" t="s">
        <v>126</v>
      </c>
      <c r="H1757" s="26" t="s">
        <v>349</v>
      </c>
      <c r="I1757" s="26" t="s">
        <v>538</v>
      </c>
      <c r="J1757" s="26" t="s">
        <v>539</v>
      </c>
      <c r="K1757" s="26" t="s">
        <v>242</v>
      </c>
      <c r="L1757" s="26" t="s">
        <v>351</v>
      </c>
      <c r="M1757" s="26" t="s">
        <v>303</v>
      </c>
      <c r="N1757" s="26">
        <v>100</v>
      </c>
      <c r="O1757" s="26">
        <f>2024-Inventory[[#This Row],[YrBlt]]</f>
        <v>94</v>
      </c>
      <c r="P1757" s="26">
        <f>2024-Inventory[[#This Row],[EffYr]]</f>
        <v>54</v>
      </c>
      <c r="Q1757" s="25">
        <v>1930</v>
      </c>
      <c r="R1757" s="25">
        <v>1970</v>
      </c>
      <c r="S1757" s="25">
        <v>1088</v>
      </c>
      <c r="T1757" s="31"/>
      <c r="U1757" s="25">
        <v>1088</v>
      </c>
      <c r="V1757" s="25">
        <f>Inventory[[#This Row],[Bsmt]]-Inventory[[#This Row],[FnBsmt]]</f>
        <v>536</v>
      </c>
      <c r="W1757" s="25">
        <v>552</v>
      </c>
      <c r="X1757" s="27"/>
      <c r="Y1757" s="27">
        <f>Inventory[[#This Row],[MainFn]]+Inventory[[#This Row],[UpprFn]]+Inventory[[#This Row],[FnBsmt]]+Inventory[[#This Row],[AddFn]]</f>
        <v>1640</v>
      </c>
      <c r="Z1757" s="27">
        <v>2000</v>
      </c>
      <c r="AA1757" s="25">
        <v>7</v>
      </c>
      <c r="AB1757" s="27"/>
      <c r="AC1757" s="27"/>
      <c r="AD1757" s="27"/>
      <c r="AE1757" s="27"/>
      <c r="AF1757" s="27"/>
      <c r="AG1757" s="27"/>
      <c r="AH1757" s="27"/>
      <c r="AI1757" s="25">
        <v>260823</v>
      </c>
      <c r="AJ1757" s="25">
        <v>177360</v>
      </c>
      <c r="AK1757" s="25">
        <v>5261</v>
      </c>
      <c r="AL1757" s="25">
        <v>343200</v>
      </c>
      <c r="AM1757" s="25">
        <v>64800</v>
      </c>
      <c r="AN1757" s="25">
        <v>278400</v>
      </c>
      <c r="AO1757" s="25">
        <v>0</v>
      </c>
      <c r="AP1757" s="25">
        <f>Lookups!$B$56*0</f>
        <v>0</v>
      </c>
      <c r="AQ1757" s="25">
        <f>Lookups!$B$56*1</f>
        <v>89850.625589999996</v>
      </c>
      <c r="AR1757" s="25">
        <f>Lookups!$B$57*Inventory[[#This Row],[LnAcres]]</f>
        <v>-45174.819855485119</v>
      </c>
      <c r="AS1757" s="25">
        <f>VLOOKUP(Inventory[[#This Row],[Qlty]],Lookups!$A$62:$E$75,2,FALSE)</f>
        <v>21557.329055999999</v>
      </c>
      <c r="AT1757" s="25">
        <f>VLOOKUP(Inventory[[#This Row],[Cnd]],Lookups!$A$76:$E$84,2,FALSE)</f>
        <v>197752.34721000001</v>
      </c>
      <c r="AU1757" s="25">
        <f>Inventory[[#This Row],[EffAge]]*Lookups!$B$85</f>
        <v>-12044.462427</v>
      </c>
      <c r="AV1757" s="25">
        <f>Inventory[[#This Row],[MainFn]]*Lookups!$B$86</f>
        <v>53756.632826175999</v>
      </c>
      <c r="AW1757" s="25">
        <f>Inventory[[#This Row],[UpprFn]]*Lookups!$B$87</f>
        <v>0</v>
      </c>
      <c r="AX1757" s="25">
        <f>Inventory[[#This Row],[AddFn]]*Lookups!$B$88</f>
        <v>0</v>
      </c>
      <c r="AY1757" s="25">
        <f>Inventory[[#This Row],[Bsmt]]*Lookups!$B$89</f>
        <v>31641.102028735997</v>
      </c>
      <c r="AZ1757" s="25">
        <f>Inventory[[#This Row],[Fixtures]]*Lookups!$B$90</f>
        <v>26544.1547364</v>
      </c>
      <c r="BA1757" s="25">
        <f>Inventory[[#This Row],[WdDeck]]*Lookups!$B$91</f>
        <v>0</v>
      </c>
      <c r="BB1757" s="25">
        <f>ROUND(Inventory[[#This Row],[25Det]],-2)</f>
        <v>5300</v>
      </c>
      <c r="BC1757" s="25">
        <f>ROUND(SUM(Inventory[[#This Row],[Mdl Qlty]:[Mdl WdDeck]])+Inventory[[#This Row],[Mdl Res Intercept]],-2)</f>
        <v>319200</v>
      </c>
      <c r="BD1757" s="25">
        <f>ROUND(Inventory[[#This Row],[Mdl Land Intercept]]+Inventory[[#This Row],[Mdl LnAcres]],-2)</f>
        <v>44700</v>
      </c>
      <c r="BE1757" s="25">
        <f>Inventory[[#This Row],[Unadj Res Value]]+Inventory[[#This Row],[Unadj Det Value]]+Inventory[[#This Row],[Unadj Land Value]]</f>
        <v>369200</v>
      </c>
      <c r="BF1757" s="36">
        <f>(Inventory[[#This Row],[Unadj Total Value]]-Inventory[[#This Row],[24Final]])/Inventory[[#This Row],[24Final]]</f>
        <v>7.575757575757576E-2</v>
      </c>
      <c r="BG1757" s="25">
        <f>VLOOKUP(Inventory[[#This Row],[Nbhd]],Lookups!$Q$2:$T$4,4,FALSE)</f>
        <v>0.99970000000000003</v>
      </c>
      <c r="BH1757" s="25">
        <f>VLOOKUP(Inventory[[#This Row],[Qlty]],Lookups!$O$7:$R$21,4,FALSE)</f>
        <v>1.0067999999999999</v>
      </c>
      <c r="BI1757" s="25">
        <f>VLOOKUP(Inventory[[#This Row],[Cnd]],Lookups!$T$7:$W$16,4,FALSE)</f>
        <v>0.99650000000000005</v>
      </c>
      <c r="BJ1757" s="25">
        <f>VLOOKUP(Inventory[[#This Row],[LivArea Range]],Lookups!$T$25:$W$37,4,FALSE)</f>
        <v>1.0093000000000001</v>
      </c>
      <c r="BK1757" s="25">
        <f>VLOOKUP(Inventory[[#This Row],[Decade]],Lookups!$O$25:$R$42,4,FALSE)</f>
        <v>1.0074000000000001</v>
      </c>
      <c r="BL1757" s="25">
        <f>Inventory[[#This Row],[Nbhd Adj]]*0.95</f>
        <v>0.94971499999999998</v>
      </c>
      <c r="BM1757" s="25">
        <f>Inventory[[#This Row],[Nbhd Adj]]*Inventory[[#This Row],[Quality Adj]]*Inventory[[#This Row],[Condition Adj]]*Inventory[[#This Row],[Living Area Adj]]*Inventory[[#This Row],[Decade Adj]]*0.95</f>
        <v>0.96880423161964746</v>
      </c>
      <c r="BN1757" s="25">
        <f>ROUND(SUM(Inventory[[#This Row],[Mdl Qlty]:[Mdl WdDeck]])+Inventory[[#This Row],[Mdl Res Intercept]]*Inventory[[#This Row],[Res Adj ]],-2)</f>
        <v>319200</v>
      </c>
      <c r="BO1757" s="25">
        <f>ROUND(Inventory[[#This Row],[25Det]]*Inventory[[#This Row],[Det/Nbhd Adj]],-2)</f>
        <v>5000</v>
      </c>
      <c r="BP1757" s="25">
        <f>Inventory[[#This Row],[Adjusted Res]]+Inventory[[#This Row],[Adj Det ]]</f>
        <v>324200</v>
      </c>
      <c r="BQ1757" s="25">
        <f>ROUND((Inventory[[#This Row],[Mdl Land Intercept]]+Inventory[[#This Row],[Mdl LnAcres]])*Inventory[[#This Row],[Det/Nbhd Adj]],-2)</f>
        <v>42400</v>
      </c>
      <c r="BR1757" s="25">
        <f>Inventory[[#This Row],[Adjusted Impr Total]]+Inventory[[#This Row],[Adjusted Land Total]]</f>
        <v>366600</v>
      </c>
      <c r="BS1757" s="36">
        <f>IFERROR((Inventory[[#This Row],[Adjusted Impr Total]]-Inventory[[#This Row],[24Bldg]])/Inventory[[#This Row],[24Bldg]],0)</f>
        <v>0.16451149425287356</v>
      </c>
      <c r="BT1757" s="36">
        <f>(Inventory[[#This Row],[Adjusted Land Total]]-Inventory[[#This Row],[24Lnd]])/Inventory[[#This Row],[24Lnd]]</f>
        <v>-0.34567901234567899</v>
      </c>
      <c r="BU1757" s="36">
        <f>(Inventory[[#This Row],[Adjusted Total]]-Inventory[[#This Row],[24Final]])/Inventory[[#This Row],[24Final]]</f>
        <v>6.8181818181818177E-2</v>
      </c>
    </row>
    <row r="1758" spans="1:73" x14ac:dyDescent="0.3">
      <c r="A1758" s="25">
        <v>2025</v>
      </c>
      <c r="B1758" s="26" t="s">
        <v>2321</v>
      </c>
      <c r="C1758" s="26">
        <f>LN(Inventory[[#This Row],[Acres]])</f>
        <v>-1.3470736479666092</v>
      </c>
      <c r="D1758" s="25">
        <v>0.26</v>
      </c>
      <c r="E1758" s="27"/>
      <c r="F1758" s="26" t="s">
        <v>537</v>
      </c>
      <c r="G1758" s="26" t="s">
        <v>126</v>
      </c>
      <c r="H1758" s="26" t="s">
        <v>349</v>
      </c>
      <c r="I1758" s="26" t="s">
        <v>538</v>
      </c>
      <c r="J1758" s="26" t="s">
        <v>539</v>
      </c>
      <c r="K1758" s="26" t="s">
        <v>173</v>
      </c>
      <c r="L1758" s="26" t="s">
        <v>351</v>
      </c>
      <c r="M1758" s="26" t="s">
        <v>303</v>
      </c>
      <c r="N1758" s="26">
        <v>100</v>
      </c>
      <c r="O1758" s="26">
        <f>2024-Inventory[[#This Row],[YrBlt]]</f>
        <v>94</v>
      </c>
      <c r="P1758" s="26">
        <f>2024-Inventory[[#This Row],[EffYr]]</f>
        <v>54</v>
      </c>
      <c r="Q1758" s="25">
        <v>1930</v>
      </c>
      <c r="R1758" s="25">
        <v>1970</v>
      </c>
      <c r="S1758" s="25">
        <v>1584</v>
      </c>
      <c r="T1758" s="32">
        <v>480</v>
      </c>
      <c r="U1758" s="32">
        <v>858</v>
      </c>
      <c r="V1758" s="32">
        <f>Inventory[[#This Row],[Bsmt]]-Inventory[[#This Row],[FnBsmt]]</f>
        <v>214</v>
      </c>
      <c r="W1758" s="32">
        <v>644</v>
      </c>
      <c r="X1758" s="27"/>
      <c r="Y1758" s="27">
        <f>Inventory[[#This Row],[MainFn]]+Inventory[[#This Row],[UpprFn]]+Inventory[[#This Row],[FnBsmt]]+Inventory[[#This Row],[AddFn]]</f>
        <v>2708</v>
      </c>
      <c r="Z1758" s="27">
        <v>3000</v>
      </c>
      <c r="AA1758" s="25">
        <v>10</v>
      </c>
      <c r="AB1758" s="27"/>
      <c r="AC1758" s="27"/>
      <c r="AD1758" s="32">
        <v>168</v>
      </c>
      <c r="AE1758" s="27"/>
      <c r="AF1758" s="27"/>
      <c r="AG1758" s="27"/>
      <c r="AH1758" s="27"/>
      <c r="AI1758" s="25">
        <v>365932</v>
      </c>
      <c r="AJ1758" s="25">
        <v>248834</v>
      </c>
      <c r="AK1758" s="25">
        <v>17092</v>
      </c>
      <c r="AL1758" s="25">
        <v>408800</v>
      </c>
      <c r="AM1758" s="25">
        <v>67600</v>
      </c>
      <c r="AN1758" s="25">
        <v>341200</v>
      </c>
      <c r="AO1758" s="25">
        <v>0</v>
      </c>
      <c r="AP1758" s="25">
        <f>Lookups!$B$56*0</f>
        <v>0</v>
      </c>
      <c r="AQ1758" s="25">
        <f>Lookups!$B$56*1</f>
        <v>89850.625589999996</v>
      </c>
      <c r="AR1758" s="25">
        <f>Lookups!$B$57*Inventory[[#This Row],[LnAcres]]</f>
        <v>-42641.098701210125</v>
      </c>
      <c r="AS1758" s="25">
        <f>VLOOKUP(Inventory[[#This Row],[Qlty]],Lookups!$A$62:$E$75,2,FALSE)</f>
        <v>21557.329055999999</v>
      </c>
      <c r="AT1758" s="25">
        <f>VLOOKUP(Inventory[[#This Row],[Cnd]],Lookups!$A$76:$E$84,2,FALSE)</f>
        <v>197752.34721000001</v>
      </c>
      <c r="AU1758" s="25">
        <f>Inventory[[#This Row],[EffAge]]*Lookups!$B$85</f>
        <v>-12044.462427</v>
      </c>
      <c r="AV1758" s="25">
        <f>Inventory[[#This Row],[MainFn]]*Lookups!$B$86</f>
        <v>78263.333085168008</v>
      </c>
      <c r="AW1758" s="25">
        <f>Inventory[[#This Row],[UpprFn]]*Lookups!$B$87</f>
        <v>21497.482973279999</v>
      </c>
      <c r="AX1758" s="25">
        <f>Inventory[[#This Row],[AddFn]]*Lookups!$B$88</f>
        <v>0</v>
      </c>
      <c r="AY1758" s="25">
        <f>Inventory[[#This Row],[Bsmt]]*Lookups!$B$89</f>
        <v>24952.266121925997</v>
      </c>
      <c r="AZ1758" s="25">
        <f>Inventory[[#This Row],[Fixtures]]*Lookups!$B$90</f>
        <v>37920.221052000001</v>
      </c>
      <c r="BA1758" s="25">
        <f>Inventory[[#This Row],[WdDeck]]*Lookups!$B$91</f>
        <v>5593.646566368001</v>
      </c>
      <c r="BB1758" s="25">
        <f>ROUND(Inventory[[#This Row],[25Det]],-2)</f>
        <v>17100</v>
      </c>
      <c r="BC1758" s="25">
        <f>ROUND(SUM(Inventory[[#This Row],[Mdl Qlty]:[Mdl WdDeck]])+Inventory[[#This Row],[Mdl Res Intercept]],-2)</f>
        <v>375500</v>
      </c>
      <c r="BD1758" s="25">
        <f>ROUND(Inventory[[#This Row],[Mdl Land Intercept]]+Inventory[[#This Row],[Mdl LnAcres]],-2)</f>
        <v>47200</v>
      </c>
      <c r="BE1758" s="25">
        <f>Inventory[[#This Row],[Unadj Res Value]]+Inventory[[#This Row],[Unadj Det Value]]+Inventory[[#This Row],[Unadj Land Value]]</f>
        <v>439800</v>
      </c>
      <c r="BF1758" s="36">
        <f>(Inventory[[#This Row],[Unadj Total Value]]-Inventory[[#This Row],[24Final]])/Inventory[[#This Row],[24Final]]</f>
        <v>7.5831702544031307E-2</v>
      </c>
      <c r="BG1758" s="25">
        <f>VLOOKUP(Inventory[[#This Row],[Nbhd]],Lookups!$Q$2:$T$4,4,FALSE)</f>
        <v>0.99970000000000003</v>
      </c>
      <c r="BH1758" s="25">
        <f>VLOOKUP(Inventory[[#This Row],[Qlty]],Lookups!$O$7:$R$21,4,FALSE)</f>
        <v>1.0067999999999999</v>
      </c>
      <c r="BI1758" s="25">
        <f>VLOOKUP(Inventory[[#This Row],[Cnd]],Lookups!$T$7:$W$16,4,FALSE)</f>
        <v>0.99650000000000005</v>
      </c>
      <c r="BJ1758" s="25">
        <f>VLOOKUP(Inventory[[#This Row],[LivArea Range]],Lookups!$T$25:$W$37,4,FALSE)</f>
        <v>0.96179999999999999</v>
      </c>
      <c r="BK1758" s="25">
        <f>VLOOKUP(Inventory[[#This Row],[Decade]],Lookups!$O$25:$R$42,4,FALSE)</f>
        <v>1.0074000000000001</v>
      </c>
      <c r="BL1758" s="25">
        <f>Inventory[[#This Row],[Nbhd Adj]]*0.95</f>
        <v>0.94971499999999998</v>
      </c>
      <c r="BM1758" s="25">
        <f>Inventory[[#This Row],[Nbhd Adj]]*Inventory[[#This Row],[Quality Adj]]*Inventory[[#This Row],[Condition Adj]]*Inventory[[#This Row],[Living Area Adj]]*Inventory[[#This Row],[Decade Adj]]*0.95</f>
        <v>0.92321005644682153</v>
      </c>
      <c r="BN1758" s="25">
        <f>ROUND(SUM(Inventory[[#This Row],[Mdl Qlty]:[Mdl WdDeck]])+Inventory[[#This Row],[Mdl Res Intercept]]*Inventory[[#This Row],[Res Adj ]],-2)</f>
        <v>375500</v>
      </c>
      <c r="BO1758" s="25">
        <f>ROUND(Inventory[[#This Row],[25Det]]*Inventory[[#This Row],[Det/Nbhd Adj]],-2)</f>
        <v>16200</v>
      </c>
      <c r="BP1758" s="25">
        <f>Inventory[[#This Row],[Adjusted Res]]+Inventory[[#This Row],[Adj Det ]]</f>
        <v>391700</v>
      </c>
      <c r="BQ1758" s="25">
        <f>ROUND((Inventory[[#This Row],[Mdl Land Intercept]]+Inventory[[#This Row],[Mdl LnAcres]])*Inventory[[#This Row],[Det/Nbhd Adj]],-2)</f>
        <v>44800</v>
      </c>
      <c r="BR1758" s="25">
        <f>Inventory[[#This Row],[Adjusted Impr Total]]+Inventory[[#This Row],[Adjusted Land Total]]</f>
        <v>436500</v>
      </c>
      <c r="BS1758" s="36">
        <f>IFERROR((Inventory[[#This Row],[Adjusted Impr Total]]-Inventory[[#This Row],[24Bldg]])/Inventory[[#This Row],[24Bldg]],0)</f>
        <v>0.14800703399765533</v>
      </c>
      <c r="BT1758" s="36">
        <f>(Inventory[[#This Row],[Adjusted Land Total]]-Inventory[[#This Row],[24Lnd]])/Inventory[[#This Row],[24Lnd]]</f>
        <v>-0.33727810650887574</v>
      </c>
      <c r="BU1758" s="36">
        <f>(Inventory[[#This Row],[Adjusted Total]]-Inventory[[#This Row],[24Final]])/Inventory[[#This Row],[24Final]]</f>
        <v>6.775929549902153E-2</v>
      </c>
    </row>
    <row r="1759" spans="1:73" x14ac:dyDescent="0.3">
      <c r="A1759" s="25">
        <v>2025</v>
      </c>
      <c r="B1759" s="26" t="s">
        <v>634</v>
      </c>
      <c r="C1759" s="26">
        <f>LN(Inventory[[#This Row],[Acres]])</f>
        <v>-1.5606477482646683</v>
      </c>
      <c r="D1759" s="25">
        <v>0.21</v>
      </c>
      <c r="E1759" s="25">
        <v>9104</v>
      </c>
      <c r="F1759" s="26" t="s">
        <v>537</v>
      </c>
      <c r="G1759" s="26" t="s">
        <v>126</v>
      </c>
      <c r="H1759" s="26" t="s">
        <v>349</v>
      </c>
      <c r="I1759" s="26" t="s">
        <v>538</v>
      </c>
      <c r="J1759" s="26" t="s">
        <v>539</v>
      </c>
      <c r="K1759" s="26" t="s">
        <v>4</v>
      </c>
      <c r="L1759" s="26" t="s">
        <v>351</v>
      </c>
      <c r="M1759" s="26" t="s">
        <v>303</v>
      </c>
      <c r="N1759" s="26">
        <v>100</v>
      </c>
      <c r="O1759" s="26">
        <f>2024-Inventory[[#This Row],[YrBlt]]</f>
        <v>94</v>
      </c>
      <c r="P1759" s="26">
        <f>2024-Inventory[[#This Row],[EffYr]]</f>
        <v>54</v>
      </c>
      <c r="Q1759" s="25">
        <v>1930</v>
      </c>
      <c r="R1759" s="25">
        <v>1970</v>
      </c>
      <c r="S1759" s="25">
        <v>752</v>
      </c>
      <c r="T1759" s="31"/>
      <c r="U1759" s="25">
        <v>672</v>
      </c>
      <c r="V1759" s="25">
        <f>Inventory[[#This Row],[Bsmt]]-Inventory[[#This Row],[FnBsmt]]</f>
        <v>0</v>
      </c>
      <c r="W1759" s="25">
        <v>672</v>
      </c>
      <c r="X1759" s="27"/>
      <c r="Y1759" s="27">
        <f>Inventory[[#This Row],[MainFn]]+Inventory[[#This Row],[UpprFn]]+Inventory[[#This Row],[FnBsmt]]+Inventory[[#This Row],[AddFn]]</f>
        <v>1424</v>
      </c>
      <c r="Z1759" s="27">
        <v>1500</v>
      </c>
      <c r="AA1759" s="25">
        <v>8</v>
      </c>
      <c r="AB1759" s="27"/>
      <c r="AC1759" s="27"/>
      <c r="AD1759" s="27"/>
      <c r="AE1759" s="27"/>
      <c r="AF1759" s="27"/>
      <c r="AG1759" s="27"/>
      <c r="AH1759" s="27"/>
      <c r="AI1759" s="25">
        <v>198668</v>
      </c>
      <c r="AJ1759" s="25">
        <v>135094</v>
      </c>
      <c r="AK1759" s="25">
        <v>3683</v>
      </c>
      <c r="AL1759" s="25">
        <v>315100</v>
      </c>
      <c r="AM1759" s="25">
        <v>60100</v>
      </c>
      <c r="AN1759" s="25">
        <v>255000</v>
      </c>
      <c r="AO1759" s="25">
        <v>0</v>
      </c>
      <c r="AP1759" s="25">
        <f>Lookups!$B$56*0</f>
        <v>0</v>
      </c>
      <c r="AQ1759" s="25">
        <f>Lookups!$B$56*1</f>
        <v>89850.625589999996</v>
      </c>
      <c r="AR1759" s="25">
        <f>Lookups!$B$57*Inventory[[#This Row],[LnAcres]]</f>
        <v>-49401.70477837498</v>
      </c>
      <c r="AS1759" s="25">
        <f>VLOOKUP(Inventory[[#This Row],[Qlty]],Lookups!$A$62:$E$75,2,FALSE)</f>
        <v>21557.329055999999</v>
      </c>
      <c r="AT1759" s="25">
        <f>VLOOKUP(Inventory[[#This Row],[Cnd]],Lookups!$A$76:$E$84,2,FALSE)</f>
        <v>197752.34721000001</v>
      </c>
      <c r="AU1759" s="25">
        <f>Inventory[[#This Row],[EffAge]]*Lookups!$B$85</f>
        <v>-12044.462427</v>
      </c>
      <c r="AV1759" s="25">
        <f>Inventory[[#This Row],[MainFn]]*Lookups!$B$86</f>
        <v>37155.319747504</v>
      </c>
      <c r="AW1759" s="25">
        <f>Inventory[[#This Row],[UpprFn]]*Lookups!$B$87</f>
        <v>0</v>
      </c>
      <c r="AX1759" s="25">
        <f>Inventory[[#This Row],[AddFn]]*Lookups!$B$88</f>
        <v>0</v>
      </c>
      <c r="AY1759" s="25">
        <f>Inventory[[#This Row],[Bsmt]]*Lookups!$B$89</f>
        <v>19543.033605983997</v>
      </c>
      <c r="AZ1759" s="25">
        <f>Inventory[[#This Row],[Fixtures]]*Lookups!$B$90</f>
        <v>30336.176841600001</v>
      </c>
      <c r="BA1759" s="25">
        <f>Inventory[[#This Row],[WdDeck]]*Lookups!$B$91</f>
        <v>0</v>
      </c>
      <c r="BB1759" s="25">
        <f>ROUND(Inventory[[#This Row],[25Det]],-2)</f>
        <v>3700</v>
      </c>
      <c r="BC1759" s="25">
        <f>ROUND(SUM(Inventory[[#This Row],[Mdl Qlty]:[Mdl WdDeck]])+Inventory[[#This Row],[Mdl Res Intercept]],-2)</f>
        <v>294300</v>
      </c>
      <c r="BD1759" s="25">
        <f>ROUND(Inventory[[#This Row],[Mdl Land Intercept]]+Inventory[[#This Row],[Mdl LnAcres]],-2)</f>
        <v>40400</v>
      </c>
      <c r="BE1759" s="25">
        <f>Inventory[[#This Row],[Unadj Res Value]]+Inventory[[#This Row],[Unadj Det Value]]+Inventory[[#This Row],[Unadj Land Value]]</f>
        <v>338400</v>
      </c>
      <c r="BF1759" s="36">
        <f>(Inventory[[#This Row],[Unadj Total Value]]-Inventory[[#This Row],[24Final]])/Inventory[[#This Row],[24Final]]</f>
        <v>7.3944779435099972E-2</v>
      </c>
      <c r="BG1759" s="25">
        <f>VLOOKUP(Inventory[[#This Row],[Nbhd]],Lookups!$Q$2:$T$4,4,FALSE)</f>
        <v>0.99970000000000003</v>
      </c>
      <c r="BH1759" s="25">
        <f>VLOOKUP(Inventory[[#This Row],[Qlty]],Lookups!$O$7:$R$21,4,FALSE)</f>
        <v>1.0067999999999999</v>
      </c>
      <c r="BI1759" s="25">
        <f>VLOOKUP(Inventory[[#This Row],[Cnd]],Lookups!$T$7:$W$16,4,FALSE)</f>
        <v>0.99650000000000005</v>
      </c>
      <c r="BJ1759" s="25">
        <f>VLOOKUP(Inventory[[#This Row],[LivArea Range]],Lookups!$T$25:$W$37,4,FALSE)</f>
        <v>1.0157</v>
      </c>
      <c r="BK1759" s="25">
        <f>VLOOKUP(Inventory[[#This Row],[Decade]],Lookups!$O$25:$R$42,4,FALSE)</f>
        <v>1.0074000000000001</v>
      </c>
      <c r="BL1759" s="25">
        <f>Inventory[[#This Row],[Nbhd Adj]]*0.95</f>
        <v>0.94971499999999998</v>
      </c>
      <c r="BM1759" s="25">
        <f>Inventory[[#This Row],[Nbhd Adj]]*Inventory[[#This Row],[Quality Adj]]*Inventory[[#This Row],[Condition Adj]]*Inventory[[#This Row],[Living Area Adj]]*Inventory[[#This Row],[Decade Adj]]*0.95</f>
        <v>0.97494744680082823</v>
      </c>
      <c r="BN1759" s="25">
        <f>ROUND(SUM(Inventory[[#This Row],[Mdl Qlty]:[Mdl WdDeck]])+Inventory[[#This Row],[Mdl Res Intercept]]*Inventory[[#This Row],[Res Adj ]],-2)</f>
        <v>294300</v>
      </c>
      <c r="BO1759" s="25">
        <f>ROUND(Inventory[[#This Row],[25Det]]*Inventory[[#This Row],[Det/Nbhd Adj]],-2)</f>
        <v>3500</v>
      </c>
      <c r="BP1759" s="25">
        <f>Inventory[[#This Row],[Adjusted Res]]+Inventory[[#This Row],[Adj Det ]]</f>
        <v>297800</v>
      </c>
      <c r="BQ1759" s="25">
        <f>ROUND((Inventory[[#This Row],[Mdl Land Intercept]]+Inventory[[#This Row],[Mdl LnAcres]])*Inventory[[#This Row],[Det/Nbhd Adj]],-2)</f>
        <v>38400</v>
      </c>
      <c r="BR1759" s="25">
        <f>Inventory[[#This Row],[Adjusted Impr Total]]+Inventory[[#This Row],[Adjusted Land Total]]</f>
        <v>336200</v>
      </c>
      <c r="BS1759" s="36">
        <f>IFERROR((Inventory[[#This Row],[Adjusted Impr Total]]-Inventory[[#This Row],[24Bldg]])/Inventory[[#This Row],[24Bldg]],0)</f>
        <v>0.16784313725490196</v>
      </c>
      <c r="BT1759" s="36">
        <f>(Inventory[[#This Row],[Adjusted Land Total]]-Inventory[[#This Row],[24Lnd]])/Inventory[[#This Row],[24Lnd]]</f>
        <v>-0.36106489184692181</v>
      </c>
      <c r="BU1759" s="36">
        <f>(Inventory[[#This Row],[Adjusted Total]]-Inventory[[#This Row],[24Final]])/Inventory[[#This Row],[24Final]]</f>
        <v>6.6962868930498257E-2</v>
      </c>
    </row>
    <row r="1760" spans="1:73" x14ac:dyDescent="0.3">
      <c r="A1760" s="25">
        <v>2025</v>
      </c>
      <c r="B1760" s="26" t="s">
        <v>1538</v>
      </c>
      <c r="C1760" s="26">
        <f>LN(Inventory[[#This Row],[Acres]])</f>
        <v>-0.9942522733438669</v>
      </c>
      <c r="D1760" s="25">
        <v>0.37</v>
      </c>
      <c r="E1760" s="25">
        <v>16289</v>
      </c>
      <c r="F1760" s="26" t="s">
        <v>537</v>
      </c>
      <c r="G1760" s="26" t="s">
        <v>126</v>
      </c>
      <c r="H1760" s="26" t="s">
        <v>349</v>
      </c>
      <c r="I1760" s="26" t="s">
        <v>538</v>
      </c>
      <c r="J1760" s="26" t="s">
        <v>539</v>
      </c>
      <c r="K1760" s="26" t="s">
        <v>242</v>
      </c>
      <c r="L1760" s="26" t="s">
        <v>351</v>
      </c>
      <c r="M1760" s="26" t="s">
        <v>323</v>
      </c>
      <c r="N1760" s="26">
        <v>100</v>
      </c>
      <c r="O1760" s="26">
        <f>2024-Inventory[[#This Row],[YrBlt]]</f>
        <v>94</v>
      </c>
      <c r="P1760" s="26">
        <f>2024-Inventory[[#This Row],[EffYr]]</f>
        <v>54</v>
      </c>
      <c r="Q1760" s="25">
        <v>1930</v>
      </c>
      <c r="R1760" s="25">
        <v>1970</v>
      </c>
      <c r="S1760" s="25">
        <v>1326</v>
      </c>
      <c r="T1760" s="27"/>
      <c r="U1760" s="25">
        <v>1513</v>
      </c>
      <c r="V1760" s="32">
        <f>Inventory[[#This Row],[Bsmt]]-Inventory[[#This Row],[FnBsmt]]</f>
        <v>951</v>
      </c>
      <c r="W1760" s="32">
        <v>562</v>
      </c>
      <c r="X1760" s="27"/>
      <c r="Y1760" s="27">
        <f>Inventory[[#This Row],[MainFn]]+Inventory[[#This Row],[UpprFn]]+Inventory[[#This Row],[FnBsmt]]+Inventory[[#This Row],[AddFn]]</f>
        <v>1888</v>
      </c>
      <c r="Z1760" s="27">
        <v>2000</v>
      </c>
      <c r="AA1760" s="25">
        <v>9</v>
      </c>
      <c r="AB1760" s="31"/>
      <c r="AC1760" s="27"/>
      <c r="AD1760" s="32">
        <v>344</v>
      </c>
      <c r="AE1760" s="27"/>
      <c r="AF1760" s="27"/>
      <c r="AG1760" s="27"/>
      <c r="AH1760" s="27"/>
      <c r="AI1760" s="25">
        <v>303871</v>
      </c>
      <c r="AJ1760" s="25">
        <v>200555</v>
      </c>
      <c r="AK1760" s="25">
        <v>2934</v>
      </c>
      <c r="AL1760" s="25">
        <v>359400</v>
      </c>
      <c r="AM1760" s="25">
        <v>79900</v>
      </c>
      <c r="AN1760" s="25">
        <v>279500</v>
      </c>
      <c r="AO1760" s="25">
        <v>0</v>
      </c>
      <c r="AP1760" s="25">
        <f>Lookups!$B$56*0</f>
        <v>0</v>
      </c>
      <c r="AQ1760" s="25">
        <f>Lookups!$B$56*1</f>
        <v>89850.625589999996</v>
      </c>
      <c r="AR1760" s="25">
        <f>Lookups!$B$57*Inventory[[#This Row],[LnAcres]]</f>
        <v>-31472.673662315807</v>
      </c>
      <c r="AS1760" s="25">
        <f>VLOOKUP(Inventory[[#This Row],[Qlty]],Lookups!$A$62:$E$75,2,FALSE)</f>
        <v>21557.329055999999</v>
      </c>
      <c r="AT1760" s="25">
        <f>VLOOKUP(Inventory[[#This Row],[Cnd]],Lookups!$A$76:$E$84,2,FALSE)</f>
        <v>160472.20319</v>
      </c>
      <c r="AU1760" s="25">
        <f>Inventory[[#This Row],[EffAge]]*Lookups!$B$85</f>
        <v>-12044.462427</v>
      </c>
      <c r="AV1760" s="25">
        <f>Inventory[[#This Row],[MainFn]]*Lookups!$B$86</f>
        <v>65515.896256902</v>
      </c>
      <c r="AW1760" s="25">
        <f>Inventory[[#This Row],[UpprFn]]*Lookups!$B$87</f>
        <v>0</v>
      </c>
      <c r="AX1760" s="25">
        <f>Inventory[[#This Row],[AddFn]]*Lookups!$B$88</f>
        <v>0</v>
      </c>
      <c r="AY1760" s="25">
        <f>Inventory[[#This Row],[Bsmt]]*Lookups!$B$89</f>
        <v>44000.907508710996</v>
      </c>
      <c r="AZ1760" s="25">
        <f>Inventory[[#This Row],[Fixtures]]*Lookups!$B$90</f>
        <v>34128.198946800003</v>
      </c>
      <c r="BA1760" s="25">
        <f>Inventory[[#This Row],[WdDeck]]*Lookups!$B$91</f>
        <v>11453.657254944001</v>
      </c>
      <c r="BB1760" s="25">
        <f>ROUND(Inventory[[#This Row],[25Det]],-2)</f>
        <v>2900</v>
      </c>
      <c r="BC1760" s="25">
        <f>ROUND(SUM(Inventory[[#This Row],[Mdl Qlty]:[Mdl WdDeck]])+Inventory[[#This Row],[Mdl Res Intercept]],-2)</f>
        <v>325100</v>
      </c>
      <c r="BD1760" s="25">
        <f>ROUND(Inventory[[#This Row],[Mdl Land Intercept]]+Inventory[[#This Row],[Mdl LnAcres]],-2)</f>
        <v>58400</v>
      </c>
      <c r="BE1760" s="25">
        <f>Inventory[[#This Row],[Unadj Res Value]]+Inventory[[#This Row],[Unadj Det Value]]+Inventory[[#This Row],[Unadj Land Value]]</f>
        <v>386400</v>
      </c>
      <c r="BF1760" s="36">
        <f>(Inventory[[#This Row],[Unadj Total Value]]-Inventory[[#This Row],[24Final]])/Inventory[[#This Row],[24Final]]</f>
        <v>7.512520868113523E-2</v>
      </c>
      <c r="BG1760" s="25">
        <f>VLOOKUP(Inventory[[#This Row],[Nbhd]],Lookups!$Q$2:$T$4,4,FALSE)</f>
        <v>0.99970000000000003</v>
      </c>
      <c r="BH1760" s="25">
        <f>VLOOKUP(Inventory[[#This Row],[Qlty]],Lookups!$O$7:$R$21,4,FALSE)</f>
        <v>1.0067999999999999</v>
      </c>
      <c r="BI1760" s="25">
        <f>VLOOKUP(Inventory[[#This Row],[Cnd]],Lookups!$T$7:$W$16,4,FALSE)</f>
        <v>0.99729999999999996</v>
      </c>
      <c r="BJ1760" s="25">
        <f>VLOOKUP(Inventory[[#This Row],[LivArea Range]],Lookups!$T$25:$W$37,4,FALSE)</f>
        <v>1.0093000000000001</v>
      </c>
      <c r="BK1760" s="25">
        <f>VLOOKUP(Inventory[[#This Row],[Decade]],Lookups!$O$25:$R$42,4,FALSE)</f>
        <v>1.0074000000000001</v>
      </c>
      <c r="BL1760" s="25">
        <f>Inventory[[#This Row],[Nbhd Adj]]*0.95</f>
        <v>0.94971499999999998</v>
      </c>
      <c r="BM1760" s="25">
        <f>Inventory[[#This Row],[Nbhd Adj]]*Inventory[[#This Row],[Quality Adj]]*Inventory[[#This Row],[Condition Adj]]*Inventory[[#This Row],[Living Area Adj]]*Inventory[[#This Row],[Decade Adj]]*0.95</f>
        <v>0.96958199718441984</v>
      </c>
      <c r="BN1760" s="25">
        <f>ROUND(SUM(Inventory[[#This Row],[Mdl Qlty]:[Mdl WdDeck]])+Inventory[[#This Row],[Mdl Res Intercept]]*Inventory[[#This Row],[Res Adj ]],-2)</f>
        <v>325100</v>
      </c>
      <c r="BO1760" s="25">
        <f>ROUND(Inventory[[#This Row],[25Det]]*Inventory[[#This Row],[Det/Nbhd Adj]],-2)</f>
        <v>2800</v>
      </c>
      <c r="BP1760" s="25">
        <f>Inventory[[#This Row],[Adjusted Res]]+Inventory[[#This Row],[Adj Det ]]</f>
        <v>327900</v>
      </c>
      <c r="BQ1760" s="25">
        <f>ROUND((Inventory[[#This Row],[Mdl Land Intercept]]+Inventory[[#This Row],[Mdl LnAcres]])*Inventory[[#This Row],[Det/Nbhd Adj]],-2)</f>
        <v>55400</v>
      </c>
      <c r="BR1760" s="25">
        <f>Inventory[[#This Row],[Adjusted Impr Total]]+Inventory[[#This Row],[Adjusted Land Total]]</f>
        <v>383300</v>
      </c>
      <c r="BS1760" s="36">
        <f>IFERROR((Inventory[[#This Row],[Adjusted Impr Total]]-Inventory[[#This Row],[24Bldg]])/Inventory[[#This Row],[24Bldg]],0)</f>
        <v>0.17316636851520573</v>
      </c>
      <c r="BT1760" s="36">
        <f>(Inventory[[#This Row],[Adjusted Land Total]]-Inventory[[#This Row],[24Lnd]])/Inventory[[#This Row],[24Lnd]]</f>
        <v>-0.30663329161451813</v>
      </c>
      <c r="BU1760" s="36">
        <f>(Inventory[[#This Row],[Adjusted Total]]-Inventory[[#This Row],[24Final]])/Inventory[[#This Row],[24Final]]</f>
        <v>6.6499721758486369E-2</v>
      </c>
    </row>
    <row r="1761" spans="1:73" x14ac:dyDescent="0.3">
      <c r="A1761" s="25">
        <v>2025</v>
      </c>
      <c r="B1761" s="26" t="s">
        <v>2681</v>
      </c>
      <c r="C1761" s="26">
        <f>LN(Inventory[[#This Row],[Acres]])</f>
        <v>-1.5141277326297755</v>
      </c>
      <c r="D1761" s="25">
        <v>0.22</v>
      </c>
      <c r="E1761" s="25">
        <v>9417</v>
      </c>
      <c r="F1761" s="26" t="s">
        <v>537</v>
      </c>
      <c r="G1761" s="26" t="s">
        <v>126</v>
      </c>
      <c r="H1761" s="26" t="s">
        <v>349</v>
      </c>
      <c r="I1761" s="26" t="s">
        <v>538</v>
      </c>
      <c r="J1761" s="26" t="s">
        <v>539</v>
      </c>
      <c r="K1761" s="26" t="s">
        <v>242</v>
      </c>
      <c r="L1761" s="26" t="s">
        <v>351</v>
      </c>
      <c r="M1761" s="26" t="s">
        <v>303</v>
      </c>
      <c r="N1761" s="26">
        <v>100</v>
      </c>
      <c r="O1761" s="26">
        <f>2024-Inventory[[#This Row],[YrBlt]]</f>
        <v>94</v>
      </c>
      <c r="P1761" s="26">
        <f>2024-Inventory[[#This Row],[EffYr]]</f>
        <v>54</v>
      </c>
      <c r="Q1761" s="25">
        <v>1930</v>
      </c>
      <c r="R1761" s="25">
        <v>1970</v>
      </c>
      <c r="S1761" s="25">
        <v>823</v>
      </c>
      <c r="T1761" s="31"/>
      <c r="U1761" s="25">
        <v>823</v>
      </c>
      <c r="V1761" s="25">
        <f>Inventory[[#This Row],[Bsmt]]-Inventory[[#This Row],[FnBsmt]]</f>
        <v>0</v>
      </c>
      <c r="W1761" s="25">
        <v>823</v>
      </c>
      <c r="X1761" s="27"/>
      <c r="Y1761" s="27">
        <f>Inventory[[#This Row],[MainFn]]+Inventory[[#This Row],[UpprFn]]+Inventory[[#This Row],[FnBsmt]]+Inventory[[#This Row],[AddFn]]</f>
        <v>1646</v>
      </c>
      <c r="Z1761" s="27">
        <v>2000</v>
      </c>
      <c r="AA1761" s="25">
        <v>6</v>
      </c>
      <c r="AB1761" s="27"/>
      <c r="AC1761" s="27"/>
      <c r="AD1761" s="31"/>
      <c r="AE1761" s="27"/>
      <c r="AF1761" s="27"/>
      <c r="AG1761" s="27"/>
      <c r="AH1761" s="27"/>
      <c r="AI1761" s="25">
        <v>207490</v>
      </c>
      <c r="AJ1761" s="25">
        <v>141093</v>
      </c>
      <c r="AK1761" s="25">
        <v>6357</v>
      </c>
      <c r="AL1761" s="25">
        <v>319200</v>
      </c>
      <c r="AM1761" s="25">
        <v>61700</v>
      </c>
      <c r="AN1761" s="25">
        <v>257500</v>
      </c>
      <c r="AO1761" s="25">
        <v>0</v>
      </c>
      <c r="AP1761" s="25">
        <f>Lookups!$B$56*0</f>
        <v>0</v>
      </c>
      <c r="AQ1761" s="25">
        <f>Lookups!$B$56*1</f>
        <v>89850.625589999996</v>
      </c>
      <c r="AR1761" s="25">
        <f>Lookups!$B$57*Inventory[[#This Row],[LnAcres]]</f>
        <v>-47929.131559187132</v>
      </c>
      <c r="AS1761" s="25">
        <f>VLOOKUP(Inventory[[#This Row],[Qlty]],Lookups!$A$62:$E$75,2,FALSE)</f>
        <v>21557.329055999999</v>
      </c>
      <c r="AT1761" s="25">
        <f>VLOOKUP(Inventory[[#This Row],[Cnd]],Lookups!$A$76:$E$84,2,FALSE)</f>
        <v>197752.34721000001</v>
      </c>
      <c r="AU1761" s="25">
        <f>Inventory[[#This Row],[EffAge]]*Lookups!$B$85</f>
        <v>-12044.462427</v>
      </c>
      <c r="AV1761" s="25">
        <f>Inventory[[#This Row],[MainFn]]*Lookups!$B$86</f>
        <v>40663.335308770998</v>
      </c>
      <c r="AW1761" s="25">
        <f>Inventory[[#This Row],[UpprFn]]*Lookups!$B$87</f>
        <v>0</v>
      </c>
      <c r="AX1761" s="25">
        <f>Inventory[[#This Row],[AddFn]]*Lookups!$B$88</f>
        <v>0</v>
      </c>
      <c r="AY1761" s="25">
        <f>Inventory[[#This Row],[Bsmt]]*Lookups!$B$89</f>
        <v>23934.399788281</v>
      </c>
      <c r="AZ1761" s="25">
        <f>Inventory[[#This Row],[Fixtures]]*Lookups!$B$90</f>
        <v>22752.132631200002</v>
      </c>
      <c r="BA1761" s="25">
        <f>Inventory[[#This Row],[WdDeck]]*Lookups!$B$91</f>
        <v>0</v>
      </c>
      <c r="BB1761" s="25">
        <f>ROUND(Inventory[[#This Row],[25Det]],-2)</f>
        <v>6400</v>
      </c>
      <c r="BC1761" s="25">
        <f>ROUND(SUM(Inventory[[#This Row],[Mdl Qlty]:[Mdl WdDeck]])+Inventory[[#This Row],[Mdl Res Intercept]],-2)</f>
        <v>294600</v>
      </c>
      <c r="BD1761" s="25">
        <f>ROUND(Inventory[[#This Row],[Mdl Land Intercept]]+Inventory[[#This Row],[Mdl LnAcres]],-2)</f>
        <v>41900</v>
      </c>
      <c r="BE1761" s="25">
        <f>Inventory[[#This Row],[Unadj Res Value]]+Inventory[[#This Row],[Unadj Det Value]]+Inventory[[#This Row],[Unadj Land Value]]</f>
        <v>342900</v>
      </c>
      <c r="BF1761" s="36">
        <f>(Inventory[[#This Row],[Unadj Total Value]]-Inventory[[#This Row],[24Final]])/Inventory[[#This Row],[24Final]]</f>
        <v>7.4248120300751883E-2</v>
      </c>
      <c r="BG1761" s="25">
        <f>VLOOKUP(Inventory[[#This Row],[Nbhd]],Lookups!$Q$2:$T$4,4,FALSE)</f>
        <v>0.99970000000000003</v>
      </c>
      <c r="BH1761" s="25">
        <f>VLOOKUP(Inventory[[#This Row],[Qlty]],Lookups!$O$7:$R$21,4,FALSE)</f>
        <v>1.0067999999999999</v>
      </c>
      <c r="BI1761" s="25">
        <f>VLOOKUP(Inventory[[#This Row],[Cnd]],Lookups!$T$7:$W$16,4,FALSE)</f>
        <v>0.99650000000000005</v>
      </c>
      <c r="BJ1761" s="25">
        <f>VLOOKUP(Inventory[[#This Row],[LivArea Range]],Lookups!$T$25:$W$37,4,FALSE)</f>
        <v>1.0093000000000001</v>
      </c>
      <c r="BK1761" s="25">
        <f>VLOOKUP(Inventory[[#This Row],[Decade]],Lookups!$O$25:$R$42,4,FALSE)</f>
        <v>1.0074000000000001</v>
      </c>
      <c r="BL1761" s="25">
        <f>Inventory[[#This Row],[Nbhd Adj]]*0.95</f>
        <v>0.94971499999999998</v>
      </c>
      <c r="BM1761" s="25">
        <f>Inventory[[#This Row],[Nbhd Adj]]*Inventory[[#This Row],[Quality Adj]]*Inventory[[#This Row],[Condition Adj]]*Inventory[[#This Row],[Living Area Adj]]*Inventory[[#This Row],[Decade Adj]]*0.95</f>
        <v>0.96880423161964746</v>
      </c>
      <c r="BN1761" s="25">
        <f>ROUND(SUM(Inventory[[#This Row],[Mdl Qlty]:[Mdl WdDeck]])+Inventory[[#This Row],[Mdl Res Intercept]]*Inventory[[#This Row],[Res Adj ]],-2)</f>
        <v>294600</v>
      </c>
      <c r="BO1761" s="25">
        <f>ROUND(Inventory[[#This Row],[25Det]]*Inventory[[#This Row],[Det/Nbhd Adj]],-2)</f>
        <v>6000</v>
      </c>
      <c r="BP1761" s="25">
        <f>Inventory[[#This Row],[Adjusted Res]]+Inventory[[#This Row],[Adj Det ]]</f>
        <v>300600</v>
      </c>
      <c r="BQ1761" s="25">
        <f>ROUND((Inventory[[#This Row],[Mdl Land Intercept]]+Inventory[[#This Row],[Mdl LnAcres]])*Inventory[[#This Row],[Det/Nbhd Adj]],-2)</f>
        <v>39800</v>
      </c>
      <c r="BR1761" s="25">
        <f>Inventory[[#This Row],[Adjusted Impr Total]]+Inventory[[#This Row],[Adjusted Land Total]]</f>
        <v>340400</v>
      </c>
      <c r="BS1761" s="36">
        <f>IFERROR((Inventory[[#This Row],[Adjusted Impr Total]]-Inventory[[#This Row],[24Bldg]])/Inventory[[#This Row],[24Bldg]],0)</f>
        <v>0.16737864077669903</v>
      </c>
      <c r="BT1761" s="36">
        <f>(Inventory[[#This Row],[Adjusted Land Total]]-Inventory[[#This Row],[24Lnd]])/Inventory[[#This Row],[24Lnd]]</f>
        <v>-0.35494327390599678</v>
      </c>
      <c r="BU1761" s="36">
        <f>(Inventory[[#This Row],[Adjusted Total]]-Inventory[[#This Row],[24Final]])/Inventory[[#This Row],[24Final]]</f>
        <v>6.6416040100250623E-2</v>
      </c>
    </row>
    <row r="1762" spans="1:73" x14ac:dyDescent="0.3">
      <c r="A1762" s="25">
        <v>2025</v>
      </c>
      <c r="B1762" s="26" t="s">
        <v>2463</v>
      </c>
      <c r="C1762" s="26">
        <f>LN(Inventory[[#This Row],[Acres]])</f>
        <v>-1.5141277326297755</v>
      </c>
      <c r="D1762" s="25">
        <v>0.22</v>
      </c>
      <c r="E1762" s="31"/>
      <c r="F1762" s="26" t="s">
        <v>537</v>
      </c>
      <c r="G1762" s="26" t="s">
        <v>126</v>
      </c>
      <c r="H1762" s="26" t="s">
        <v>349</v>
      </c>
      <c r="I1762" s="26" t="s">
        <v>538</v>
      </c>
      <c r="J1762" s="26" t="s">
        <v>539</v>
      </c>
      <c r="K1762" s="26" t="s">
        <v>301</v>
      </c>
      <c r="L1762" s="26" t="s">
        <v>148</v>
      </c>
      <c r="M1762" s="26" t="s">
        <v>303</v>
      </c>
      <c r="N1762" s="26">
        <v>100</v>
      </c>
      <c r="O1762" s="26">
        <f>2024-Inventory[[#This Row],[YrBlt]]</f>
        <v>94</v>
      </c>
      <c r="P1762" s="26">
        <f>2024-Inventory[[#This Row],[EffYr]]</f>
        <v>54</v>
      </c>
      <c r="Q1762" s="25">
        <v>1930</v>
      </c>
      <c r="R1762" s="25">
        <v>1970</v>
      </c>
      <c r="S1762" s="25">
        <v>1097</v>
      </c>
      <c r="T1762" s="32">
        <v>818</v>
      </c>
      <c r="U1762" s="25">
        <v>1097</v>
      </c>
      <c r="V1762" s="25">
        <f>Inventory[[#This Row],[Bsmt]]-Inventory[[#This Row],[FnBsmt]]</f>
        <v>209</v>
      </c>
      <c r="W1762" s="25">
        <v>888</v>
      </c>
      <c r="X1762" s="27"/>
      <c r="Y1762" s="27">
        <f>Inventory[[#This Row],[MainFn]]+Inventory[[#This Row],[UpprFn]]+Inventory[[#This Row],[FnBsmt]]+Inventory[[#This Row],[AddFn]]</f>
        <v>2803</v>
      </c>
      <c r="Z1762" s="27">
        <v>3000</v>
      </c>
      <c r="AA1762" s="25">
        <v>7</v>
      </c>
      <c r="AB1762" s="27"/>
      <c r="AC1762" s="27"/>
      <c r="AD1762" s="27"/>
      <c r="AE1762" s="27"/>
      <c r="AF1762" s="27"/>
      <c r="AG1762" s="27"/>
      <c r="AH1762" s="27"/>
      <c r="AI1762" s="25">
        <v>447062</v>
      </c>
      <c r="AJ1762" s="25">
        <v>304002</v>
      </c>
      <c r="AK1762" s="25">
        <v>9718</v>
      </c>
      <c r="AL1762" s="25">
        <v>402400</v>
      </c>
      <c r="AM1762" s="25">
        <v>61700</v>
      </c>
      <c r="AN1762" s="25">
        <v>340700</v>
      </c>
      <c r="AO1762" s="25">
        <v>0</v>
      </c>
      <c r="AP1762" s="25">
        <f>Lookups!$B$56*0</f>
        <v>0</v>
      </c>
      <c r="AQ1762" s="25">
        <f>Lookups!$B$56*1</f>
        <v>89850.625589999996</v>
      </c>
      <c r="AR1762" s="25">
        <f>Lookups!$B$57*Inventory[[#This Row],[LnAcres]]</f>
        <v>-47929.131559187132</v>
      </c>
      <c r="AS1762" s="25">
        <f>VLOOKUP(Inventory[[#This Row],[Qlty]],Lookups!$A$62:$E$75,2,FALSE)</f>
        <v>44121.038090000002</v>
      </c>
      <c r="AT1762" s="25">
        <f>VLOOKUP(Inventory[[#This Row],[Cnd]],Lookups!$A$76:$E$84,2,FALSE)</f>
        <v>197752.34721000001</v>
      </c>
      <c r="AU1762" s="25">
        <f>Inventory[[#This Row],[EffAge]]*Lookups!$B$85</f>
        <v>-12044.462427</v>
      </c>
      <c r="AV1762" s="25">
        <f>Inventory[[#This Row],[MainFn]]*Lookups!$B$86</f>
        <v>54201.310855069001</v>
      </c>
      <c r="AW1762" s="25">
        <f>Inventory[[#This Row],[UpprFn]]*Lookups!$B$87</f>
        <v>36635.293900297998</v>
      </c>
      <c r="AX1762" s="25">
        <f>Inventory[[#This Row],[AddFn]]*Lookups!$B$88</f>
        <v>0</v>
      </c>
      <c r="AY1762" s="25">
        <f>Inventory[[#This Row],[Bsmt]]*Lookups!$B$89</f>
        <v>31902.839085959</v>
      </c>
      <c r="AZ1762" s="25">
        <f>Inventory[[#This Row],[Fixtures]]*Lookups!$B$90</f>
        <v>26544.1547364</v>
      </c>
      <c r="BA1762" s="25">
        <f>Inventory[[#This Row],[WdDeck]]*Lookups!$B$91</f>
        <v>0</v>
      </c>
      <c r="BB1762" s="25">
        <f>ROUND(Inventory[[#This Row],[25Det]],-2)</f>
        <v>9700</v>
      </c>
      <c r="BC1762" s="25">
        <f>ROUND(SUM(Inventory[[#This Row],[Mdl Qlty]:[Mdl WdDeck]])+Inventory[[#This Row],[Mdl Res Intercept]],-2)</f>
        <v>379100</v>
      </c>
      <c r="BD1762" s="25">
        <f>ROUND(Inventory[[#This Row],[Mdl Land Intercept]]+Inventory[[#This Row],[Mdl LnAcres]],-2)</f>
        <v>41900</v>
      </c>
      <c r="BE1762" s="25">
        <f>Inventory[[#This Row],[Unadj Res Value]]+Inventory[[#This Row],[Unadj Det Value]]+Inventory[[#This Row],[Unadj Land Value]]</f>
        <v>430700</v>
      </c>
      <c r="BF1762" s="36">
        <f>(Inventory[[#This Row],[Unadj Total Value]]-Inventory[[#This Row],[24Final]])/Inventory[[#This Row],[24Final]]</f>
        <v>7.0328031809145125E-2</v>
      </c>
      <c r="BG1762" s="25">
        <f>VLOOKUP(Inventory[[#This Row],[Nbhd]],Lookups!$Q$2:$T$4,4,FALSE)</f>
        <v>0.99970000000000003</v>
      </c>
      <c r="BH1762" s="25">
        <f>VLOOKUP(Inventory[[#This Row],[Qlty]],Lookups!$O$7:$R$21,4,FALSE)</f>
        <v>0.98050000000000004</v>
      </c>
      <c r="BI1762" s="25">
        <f>VLOOKUP(Inventory[[#This Row],[Cnd]],Lookups!$T$7:$W$16,4,FALSE)</f>
        <v>0.99650000000000005</v>
      </c>
      <c r="BJ1762" s="25">
        <f>VLOOKUP(Inventory[[#This Row],[LivArea Range]],Lookups!$T$25:$W$37,4,FALSE)</f>
        <v>0.96179999999999999</v>
      </c>
      <c r="BK1762" s="25">
        <f>VLOOKUP(Inventory[[#This Row],[Decade]],Lookups!$O$25:$R$42,4,FALSE)</f>
        <v>1.0074000000000001</v>
      </c>
      <c r="BL1762" s="25">
        <f>Inventory[[#This Row],[Nbhd Adj]]*0.95</f>
        <v>0.94971499999999998</v>
      </c>
      <c r="BM1762" s="25">
        <f>Inventory[[#This Row],[Nbhd Adj]]*Inventory[[#This Row],[Quality Adj]]*Inventory[[#This Row],[Condition Adj]]*Inventory[[#This Row],[Living Area Adj]]*Inventory[[#This Row],[Decade Adj]]*0.95</f>
        <v>0.89909362370491519</v>
      </c>
      <c r="BN1762" s="25">
        <f>ROUND(SUM(Inventory[[#This Row],[Mdl Qlty]:[Mdl WdDeck]])+Inventory[[#This Row],[Mdl Res Intercept]]*Inventory[[#This Row],[Res Adj ]],-2)</f>
        <v>379100</v>
      </c>
      <c r="BO1762" s="25">
        <f>ROUND(Inventory[[#This Row],[25Det]]*Inventory[[#This Row],[Det/Nbhd Adj]],-2)</f>
        <v>9200</v>
      </c>
      <c r="BP1762" s="25">
        <f>Inventory[[#This Row],[Adjusted Res]]+Inventory[[#This Row],[Adj Det ]]</f>
        <v>388300</v>
      </c>
      <c r="BQ1762" s="25">
        <f>ROUND((Inventory[[#This Row],[Mdl Land Intercept]]+Inventory[[#This Row],[Mdl LnAcres]])*Inventory[[#This Row],[Det/Nbhd Adj]],-2)</f>
        <v>39800</v>
      </c>
      <c r="BR1762" s="25">
        <f>Inventory[[#This Row],[Adjusted Impr Total]]+Inventory[[#This Row],[Adjusted Land Total]]</f>
        <v>428100</v>
      </c>
      <c r="BS1762" s="36">
        <f>IFERROR((Inventory[[#This Row],[Adjusted Impr Total]]-Inventory[[#This Row],[24Bldg]])/Inventory[[#This Row],[24Bldg]],0)</f>
        <v>0.13971235691223952</v>
      </c>
      <c r="BT1762" s="36">
        <f>(Inventory[[#This Row],[Adjusted Land Total]]-Inventory[[#This Row],[24Lnd]])/Inventory[[#This Row],[24Lnd]]</f>
        <v>-0.35494327390599678</v>
      </c>
      <c r="BU1762" s="36">
        <f>(Inventory[[#This Row],[Adjusted Total]]-Inventory[[#This Row],[24Final]])/Inventory[[#This Row],[24Final]]</f>
        <v>6.3866799204771368E-2</v>
      </c>
    </row>
    <row r="1763" spans="1:73" x14ac:dyDescent="0.3">
      <c r="A1763" s="25">
        <v>2025</v>
      </c>
      <c r="B1763" s="26" t="s">
        <v>2151</v>
      </c>
      <c r="C1763" s="26">
        <f>LN(Inventory[[#This Row],[Acres]])</f>
        <v>-1.5141277326297755</v>
      </c>
      <c r="D1763" s="25">
        <v>0.22</v>
      </c>
      <c r="E1763" s="31"/>
      <c r="F1763" s="26" t="s">
        <v>537</v>
      </c>
      <c r="G1763" s="26" t="s">
        <v>126</v>
      </c>
      <c r="H1763" s="26" t="s">
        <v>349</v>
      </c>
      <c r="I1763" s="26" t="s">
        <v>538</v>
      </c>
      <c r="J1763" s="26" t="s">
        <v>539</v>
      </c>
      <c r="K1763" s="26" t="s">
        <v>269</v>
      </c>
      <c r="L1763" s="26" t="s">
        <v>351</v>
      </c>
      <c r="M1763" s="26" t="s">
        <v>323</v>
      </c>
      <c r="N1763" s="26">
        <v>100</v>
      </c>
      <c r="O1763" s="26">
        <f>2024-Inventory[[#This Row],[YrBlt]]</f>
        <v>94</v>
      </c>
      <c r="P1763" s="26">
        <f>2024-Inventory[[#This Row],[EffYr]]</f>
        <v>54</v>
      </c>
      <c r="Q1763" s="25">
        <v>1930</v>
      </c>
      <c r="R1763" s="25">
        <v>1970</v>
      </c>
      <c r="S1763" s="25">
        <v>1050</v>
      </c>
      <c r="T1763" s="32">
        <v>420</v>
      </c>
      <c r="U1763" s="25">
        <v>1050</v>
      </c>
      <c r="V1763" s="25">
        <f>Inventory[[#This Row],[Bsmt]]-Inventory[[#This Row],[FnBsmt]]</f>
        <v>1050</v>
      </c>
      <c r="W1763" s="31"/>
      <c r="X1763" s="27"/>
      <c r="Y1763" s="27">
        <f>Inventory[[#This Row],[MainFn]]+Inventory[[#This Row],[UpprFn]]+Inventory[[#This Row],[FnBsmt]]+Inventory[[#This Row],[AddFn]]</f>
        <v>1470</v>
      </c>
      <c r="Z1763" s="27">
        <v>1500</v>
      </c>
      <c r="AA1763" s="25">
        <v>8</v>
      </c>
      <c r="AB1763" s="27"/>
      <c r="AC1763" s="27"/>
      <c r="AD1763" s="27"/>
      <c r="AE1763" s="27"/>
      <c r="AF1763" s="27"/>
      <c r="AG1763" s="27"/>
      <c r="AH1763" s="27"/>
      <c r="AI1763" s="25">
        <v>266561</v>
      </c>
      <c r="AJ1763" s="25">
        <v>175930</v>
      </c>
      <c r="AK1763" s="25">
        <v>4598</v>
      </c>
      <c r="AL1763" s="25">
        <v>325200</v>
      </c>
      <c r="AM1763" s="25">
        <v>61700</v>
      </c>
      <c r="AN1763" s="25">
        <v>263500</v>
      </c>
      <c r="AO1763" s="25">
        <v>0</v>
      </c>
      <c r="AP1763" s="25">
        <f>Lookups!$B$56*0</f>
        <v>0</v>
      </c>
      <c r="AQ1763" s="25">
        <f>Lookups!$B$56*1</f>
        <v>89850.625589999996</v>
      </c>
      <c r="AR1763" s="25">
        <f>Lookups!$B$57*Inventory[[#This Row],[LnAcres]]</f>
        <v>-47929.131559187132</v>
      </c>
      <c r="AS1763" s="25">
        <f>VLOOKUP(Inventory[[#This Row],[Qlty]],Lookups!$A$62:$E$75,2,FALSE)</f>
        <v>21557.329055999999</v>
      </c>
      <c r="AT1763" s="25">
        <f>VLOOKUP(Inventory[[#This Row],[Cnd]],Lookups!$A$76:$E$84,2,FALSE)</f>
        <v>160472.20319</v>
      </c>
      <c r="AU1763" s="25">
        <f>Inventory[[#This Row],[EffAge]]*Lookups!$B$85</f>
        <v>-12044.462427</v>
      </c>
      <c r="AV1763" s="25">
        <f>Inventory[[#This Row],[MainFn]]*Lookups!$B$86</f>
        <v>51879.103370850004</v>
      </c>
      <c r="AW1763" s="25">
        <f>Inventory[[#This Row],[UpprFn]]*Lookups!$B$87</f>
        <v>18810.297601620001</v>
      </c>
      <c r="AX1763" s="25">
        <f>Inventory[[#This Row],[AddFn]]*Lookups!$B$88</f>
        <v>0</v>
      </c>
      <c r="AY1763" s="25">
        <f>Inventory[[#This Row],[Bsmt]]*Lookups!$B$89</f>
        <v>30535.99000935</v>
      </c>
      <c r="AZ1763" s="25">
        <f>Inventory[[#This Row],[Fixtures]]*Lookups!$B$90</f>
        <v>30336.176841600001</v>
      </c>
      <c r="BA1763" s="25">
        <f>Inventory[[#This Row],[WdDeck]]*Lookups!$B$91</f>
        <v>0</v>
      </c>
      <c r="BB1763" s="25">
        <f>ROUND(Inventory[[#This Row],[25Det]],-2)</f>
        <v>4600</v>
      </c>
      <c r="BC1763" s="25">
        <f>ROUND(SUM(Inventory[[#This Row],[Mdl Qlty]:[Mdl WdDeck]])+Inventory[[#This Row],[Mdl Res Intercept]],-2)</f>
        <v>301500</v>
      </c>
      <c r="BD1763" s="25">
        <f>ROUND(Inventory[[#This Row],[Mdl Land Intercept]]+Inventory[[#This Row],[Mdl LnAcres]],-2)</f>
        <v>41900</v>
      </c>
      <c r="BE1763" s="25">
        <f>Inventory[[#This Row],[Unadj Res Value]]+Inventory[[#This Row],[Unadj Det Value]]+Inventory[[#This Row],[Unadj Land Value]]</f>
        <v>348000</v>
      </c>
      <c r="BF1763" s="36">
        <f>(Inventory[[#This Row],[Unadj Total Value]]-Inventory[[#This Row],[24Final]])/Inventory[[#This Row],[24Final]]</f>
        <v>7.0110701107011064E-2</v>
      </c>
      <c r="BG1763" s="25">
        <f>VLOOKUP(Inventory[[#This Row],[Nbhd]],Lookups!$Q$2:$T$4,4,FALSE)</f>
        <v>0.99970000000000003</v>
      </c>
      <c r="BH1763" s="25">
        <f>VLOOKUP(Inventory[[#This Row],[Qlty]],Lookups!$O$7:$R$21,4,FALSE)</f>
        <v>1.0067999999999999</v>
      </c>
      <c r="BI1763" s="25">
        <f>VLOOKUP(Inventory[[#This Row],[Cnd]],Lookups!$T$7:$W$16,4,FALSE)</f>
        <v>0.99729999999999996</v>
      </c>
      <c r="BJ1763" s="25">
        <f>VLOOKUP(Inventory[[#This Row],[LivArea Range]],Lookups!$T$25:$W$37,4,FALSE)</f>
        <v>1.0157</v>
      </c>
      <c r="BK1763" s="25">
        <f>VLOOKUP(Inventory[[#This Row],[Decade]],Lookups!$O$25:$R$42,4,FALSE)</f>
        <v>1.0074000000000001</v>
      </c>
      <c r="BL1763" s="25">
        <f>Inventory[[#This Row],[Nbhd Adj]]*0.95</f>
        <v>0.94971499999999998</v>
      </c>
      <c r="BM1763" s="25">
        <f>Inventory[[#This Row],[Nbhd Adj]]*Inventory[[#This Row],[Quality Adj]]*Inventory[[#This Row],[Condition Adj]]*Inventory[[#This Row],[Living Area Adj]]*Inventory[[#This Row],[Decade Adj]]*0.95</f>
        <v>0.97573014419916293</v>
      </c>
      <c r="BN1763" s="25">
        <f>ROUND(SUM(Inventory[[#This Row],[Mdl Qlty]:[Mdl WdDeck]])+Inventory[[#This Row],[Mdl Res Intercept]]*Inventory[[#This Row],[Res Adj ]],-2)</f>
        <v>301500</v>
      </c>
      <c r="BO1763" s="25">
        <f>ROUND(Inventory[[#This Row],[25Det]]*Inventory[[#This Row],[Det/Nbhd Adj]],-2)</f>
        <v>4400</v>
      </c>
      <c r="BP1763" s="25">
        <f>Inventory[[#This Row],[Adjusted Res]]+Inventory[[#This Row],[Adj Det ]]</f>
        <v>305900</v>
      </c>
      <c r="BQ1763" s="25">
        <f>ROUND((Inventory[[#This Row],[Mdl Land Intercept]]+Inventory[[#This Row],[Mdl LnAcres]])*Inventory[[#This Row],[Det/Nbhd Adj]],-2)</f>
        <v>39800</v>
      </c>
      <c r="BR1763" s="25">
        <f>Inventory[[#This Row],[Adjusted Impr Total]]+Inventory[[#This Row],[Adjusted Land Total]]</f>
        <v>345700</v>
      </c>
      <c r="BS1763" s="36">
        <f>IFERROR((Inventory[[#This Row],[Adjusted Impr Total]]-Inventory[[#This Row],[24Bldg]])/Inventory[[#This Row],[24Bldg]],0)</f>
        <v>0.16091081593927894</v>
      </c>
      <c r="BT1763" s="36">
        <f>(Inventory[[#This Row],[Adjusted Land Total]]-Inventory[[#This Row],[24Lnd]])/Inventory[[#This Row],[24Lnd]]</f>
        <v>-0.35494327390599678</v>
      </c>
      <c r="BU1763" s="36">
        <f>(Inventory[[#This Row],[Adjusted Total]]-Inventory[[#This Row],[24Final]])/Inventory[[#This Row],[24Final]]</f>
        <v>6.303813038130382E-2</v>
      </c>
    </row>
    <row r="1764" spans="1:73" x14ac:dyDescent="0.3">
      <c r="A1764" s="25">
        <v>2025</v>
      </c>
      <c r="B1764" s="26" t="s">
        <v>1592</v>
      </c>
      <c r="C1764" s="26">
        <f>LN(Inventory[[#This Row],[Acres]])</f>
        <v>-1.5141277326297755</v>
      </c>
      <c r="D1764" s="25">
        <v>0.22</v>
      </c>
      <c r="E1764" s="31"/>
      <c r="F1764" s="26" t="s">
        <v>537</v>
      </c>
      <c r="G1764" s="26" t="s">
        <v>126</v>
      </c>
      <c r="H1764" s="26" t="s">
        <v>349</v>
      </c>
      <c r="I1764" s="26" t="s">
        <v>538</v>
      </c>
      <c r="J1764" s="26" t="s">
        <v>539</v>
      </c>
      <c r="K1764" s="26" t="s">
        <v>417</v>
      </c>
      <c r="L1764" s="26" t="s">
        <v>148</v>
      </c>
      <c r="M1764" s="26" t="s">
        <v>303</v>
      </c>
      <c r="N1764" s="26">
        <v>100</v>
      </c>
      <c r="O1764" s="26">
        <f>2024-Inventory[[#This Row],[YrBlt]]</f>
        <v>94</v>
      </c>
      <c r="P1764" s="26">
        <f>2024-Inventory[[#This Row],[EffYr]]</f>
        <v>54</v>
      </c>
      <c r="Q1764" s="25">
        <v>1930</v>
      </c>
      <c r="R1764" s="25">
        <v>1970</v>
      </c>
      <c r="S1764" s="25">
        <v>1561</v>
      </c>
      <c r="T1764" s="32">
        <v>777</v>
      </c>
      <c r="U1764" s="25">
        <v>1561</v>
      </c>
      <c r="V1764" s="25">
        <f>Inventory[[#This Row],[Bsmt]]-Inventory[[#This Row],[FnBsmt]]</f>
        <v>336</v>
      </c>
      <c r="W1764" s="25">
        <v>1225</v>
      </c>
      <c r="X1764" s="27"/>
      <c r="Y1764" s="27">
        <f>Inventory[[#This Row],[MainFn]]+Inventory[[#This Row],[UpprFn]]+Inventory[[#This Row],[FnBsmt]]+Inventory[[#This Row],[AddFn]]</f>
        <v>3563</v>
      </c>
      <c r="Z1764" s="27">
        <v>4000</v>
      </c>
      <c r="AA1764" s="25">
        <v>12</v>
      </c>
      <c r="AB1764" s="32">
        <v>280</v>
      </c>
      <c r="AC1764" s="27"/>
      <c r="AD1764" s="27"/>
      <c r="AE1764" s="27"/>
      <c r="AF1764" s="27"/>
      <c r="AG1764" s="27"/>
      <c r="AH1764" s="27"/>
      <c r="AI1764" s="25">
        <v>663467</v>
      </c>
      <c r="AJ1764" s="25">
        <v>451158</v>
      </c>
      <c r="AK1764" s="25">
        <v>0</v>
      </c>
      <c r="AL1764" s="25">
        <v>444500</v>
      </c>
      <c r="AM1764" s="25">
        <v>61700</v>
      </c>
      <c r="AN1764" s="25">
        <v>382800</v>
      </c>
      <c r="AO1764" s="25">
        <v>0</v>
      </c>
      <c r="AP1764" s="25">
        <f>Lookups!$B$56*0</f>
        <v>0</v>
      </c>
      <c r="AQ1764" s="25">
        <f>Lookups!$B$56*1</f>
        <v>89850.625589999996</v>
      </c>
      <c r="AR1764" s="25">
        <f>Lookups!$B$57*Inventory[[#This Row],[LnAcres]]</f>
        <v>-47929.131559187132</v>
      </c>
      <c r="AS1764" s="25">
        <f>VLOOKUP(Inventory[[#This Row],[Qlty]],Lookups!$A$62:$E$75,2,FALSE)</f>
        <v>44121.038090000002</v>
      </c>
      <c r="AT1764" s="25">
        <f>VLOOKUP(Inventory[[#This Row],[Cnd]],Lookups!$A$76:$E$84,2,FALSE)</f>
        <v>197752.34721000001</v>
      </c>
      <c r="AU1764" s="25">
        <f>Inventory[[#This Row],[EffAge]]*Lookups!$B$85</f>
        <v>-12044.462427</v>
      </c>
      <c r="AV1764" s="25">
        <f>Inventory[[#This Row],[MainFn]]*Lookups!$B$86</f>
        <v>77126.933677997004</v>
      </c>
      <c r="AW1764" s="25">
        <f>Inventory[[#This Row],[UpprFn]]*Lookups!$B$87</f>
        <v>34799.050562996999</v>
      </c>
      <c r="AX1764" s="25">
        <f>Inventory[[#This Row],[AddFn]]*Lookups!$B$88</f>
        <v>0</v>
      </c>
      <c r="AY1764" s="25">
        <f>Inventory[[#This Row],[Bsmt]]*Lookups!$B$89</f>
        <v>45396.838480566999</v>
      </c>
      <c r="AZ1764" s="25">
        <f>Inventory[[#This Row],[Fixtures]]*Lookups!$B$90</f>
        <v>45504.265262400004</v>
      </c>
      <c r="BA1764" s="25">
        <f>Inventory[[#This Row],[WdDeck]]*Lookups!$B$91</f>
        <v>0</v>
      </c>
      <c r="BB1764" s="25">
        <f>ROUND(Inventory[[#This Row],[25Det]],-2)</f>
        <v>0</v>
      </c>
      <c r="BC1764" s="25">
        <f>ROUND(SUM(Inventory[[#This Row],[Mdl Qlty]:[Mdl WdDeck]])+Inventory[[#This Row],[Mdl Res Intercept]],-2)</f>
        <v>432700</v>
      </c>
      <c r="BD1764" s="25">
        <f>ROUND(Inventory[[#This Row],[Mdl Land Intercept]]+Inventory[[#This Row],[Mdl LnAcres]],-2)</f>
        <v>41900</v>
      </c>
      <c r="BE1764" s="25">
        <f>Inventory[[#This Row],[Unadj Res Value]]+Inventory[[#This Row],[Unadj Det Value]]+Inventory[[#This Row],[Unadj Land Value]]</f>
        <v>474600</v>
      </c>
      <c r="BF1764" s="36">
        <f>(Inventory[[#This Row],[Unadj Total Value]]-Inventory[[#This Row],[24Final]])/Inventory[[#This Row],[24Final]]</f>
        <v>6.7716535433070865E-2</v>
      </c>
      <c r="BG1764" s="25">
        <f>VLOOKUP(Inventory[[#This Row],[Nbhd]],Lookups!$Q$2:$T$4,4,FALSE)</f>
        <v>0.99970000000000003</v>
      </c>
      <c r="BH1764" s="25">
        <f>VLOOKUP(Inventory[[#This Row],[Qlty]],Lookups!$O$7:$R$21,4,FALSE)</f>
        <v>0.98050000000000004</v>
      </c>
      <c r="BI1764" s="25">
        <f>VLOOKUP(Inventory[[#This Row],[Cnd]],Lookups!$T$7:$W$16,4,FALSE)</f>
        <v>0.99650000000000005</v>
      </c>
      <c r="BJ1764" s="25">
        <f>VLOOKUP(Inventory[[#This Row],[LivArea Range]],Lookups!$T$25:$W$37,4,FALSE)</f>
        <v>0.94579999999999997</v>
      </c>
      <c r="BK1764" s="25">
        <f>VLOOKUP(Inventory[[#This Row],[Decade]],Lookups!$O$25:$R$42,4,FALSE)</f>
        <v>1.0074000000000001</v>
      </c>
      <c r="BL1764" s="25">
        <f>Inventory[[#This Row],[Nbhd Adj]]*0.95</f>
        <v>0.94971499999999998</v>
      </c>
      <c r="BM1764" s="25">
        <f>Inventory[[#This Row],[Nbhd Adj]]*Inventory[[#This Row],[Quality Adj]]*Inventory[[#This Row],[Condition Adj]]*Inventory[[#This Row],[Living Area Adj]]*Inventory[[#This Row],[Decade Adj]]*0.95</f>
        <v>0.88413677406956614</v>
      </c>
      <c r="BN1764" s="25">
        <f>ROUND(SUM(Inventory[[#This Row],[Mdl Qlty]:[Mdl WdDeck]])+Inventory[[#This Row],[Mdl Res Intercept]]*Inventory[[#This Row],[Res Adj ]],-2)</f>
        <v>432700</v>
      </c>
      <c r="BO1764" s="25">
        <f>ROUND(Inventory[[#This Row],[25Det]]*Inventory[[#This Row],[Det/Nbhd Adj]],-2)</f>
        <v>0</v>
      </c>
      <c r="BP1764" s="25">
        <f>Inventory[[#This Row],[Adjusted Res]]+Inventory[[#This Row],[Adj Det ]]</f>
        <v>432700</v>
      </c>
      <c r="BQ1764" s="25">
        <f>ROUND((Inventory[[#This Row],[Mdl Land Intercept]]+Inventory[[#This Row],[Mdl LnAcres]])*Inventory[[#This Row],[Det/Nbhd Adj]],-2)</f>
        <v>39800</v>
      </c>
      <c r="BR1764" s="25">
        <f>Inventory[[#This Row],[Adjusted Impr Total]]+Inventory[[#This Row],[Adjusted Land Total]]</f>
        <v>472500</v>
      </c>
      <c r="BS1764" s="36">
        <f>IFERROR((Inventory[[#This Row],[Adjusted Impr Total]]-Inventory[[#This Row],[24Bldg]])/Inventory[[#This Row],[24Bldg]],0)</f>
        <v>0.13035527690700105</v>
      </c>
      <c r="BT1764" s="36">
        <f>(Inventory[[#This Row],[Adjusted Land Total]]-Inventory[[#This Row],[24Lnd]])/Inventory[[#This Row],[24Lnd]]</f>
        <v>-0.35494327390599678</v>
      </c>
      <c r="BU1764" s="36">
        <f>(Inventory[[#This Row],[Adjusted Total]]-Inventory[[#This Row],[24Final]])/Inventory[[#This Row],[24Final]]</f>
        <v>6.2992125984251968E-2</v>
      </c>
    </row>
    <row r="1765" spans="1:73" x14ac:dyDescent="0.3">
      <c r="A1765" s="25">
        <v>2025</v>
      </c>
      <c r="B1765" s="26" t="s">
        <v>1657</v>
      </c>
      <c r="C1765" s="26">
        <f>LN(Inventory[[#This Row],[Acres]])</f>
        <v>-1.7147984280919266</v>
      </c>
      <c r="D1765" s="25">
        <v>0.18</v>
      </c>
      <c r="E1765" s="32">
        <v>7897</v>
      </c>
      <c r="F1765" s="26" t="s">
        <v>537</v>
      </c>
      <c r="G1765" s="26" t="s">
        <v>126</v>
      </c>
      <c r="H1765" s="26" t="s">
        <v>349</v>
      </c>
      <c r="I1765" s="26" t="s">
        <v>538</v>
      </c>
      <c r="J1765" s="26" t="s">
        <v>539</v>
      </c>
      <c r="K1765" s="26" t="s">
        <v>173</v>
      </c>
      <c r="L1765" s="26" t="s">
        <v>351</v>
      </c>
      <c r="M1765" s="26" t="s">
        <v>303</v>
      </c>
      <c r="N1765" s="26">
        <v>100</v>
      </c>
      <c r="O1765" s="26">
        <f>2024-Inventory[[#This Row],[YrBlt]]</f>
        <v>94</v>
      </c>
      <c r="P1765" s="26">
        <f>2024-Inventory[[#This Row],[EffYr]]</f>
        <v>54</v>
      </c>
      <c r="Q1765" s="25">
        <v>1930</v>
      </c>
      <c r="R1765" s="25">
        <v>1970</v>
      </c>
      <c r="S1765" s="25">
        <v>1280</v>
      </c>
      <c r="T1765" s="32">
        <v>800</v>
      </c>
      <c r="U1765" s="25">
        <v>560</v>
      </c>
      <c r="V1765" s="25">
        <f>Inventory[[#This Row],[Bsmt]]-Inventory[[#This Row],[FnBsmt]]</f>
        <v>160</v>
      </c>
      <c r="W1765" s="25">
        <v>400</v>
      </c>
      <c r="X1765" s="27"/>
      <c r="Y1765" s="27">
        <f>Inventory[[#This Row],[MainFn]]+Inventory[[#This Row],[UpprFn]]+Inventory[[#This Row],[FnBsmt]]+Inventory[[#This Row],[AddFn]]</f>
        <v>2480</v>
      </c>
      <c r="Z1765" s="27">
        <v>2500</v>
      </c>
      <c r="AA1765" s="25">
        <v>9</v>
      </c>
      <c r="AB1765" s="32">
        <v>182</v>
      </c>
      <c r="AC1765" s="27"/>
      <c r="AD1765" s="31"/>
      <c r="AE1765" s="27"/>
      <c r="AF1765" s="27"/>
      <c r="AG1765" s="27"/>
      <c r="AH1765" s="27"/>
      <c r="AI1765" s="25">
        <v>360245</v>
      </c>
      <c r="AJ1765" s="25">
        <v>244967</v>
      </c>
      <c r="AK1765" s="25">
        <v>0</v>
      </c>
      <c r="AL1765" s="25">
        <v>367600</v>
      </c>
      <c r="AM1765" s="25">
        <v>54700</v>
      </c>
      <c r="AN1765" s="25">
        <v>312900</v>
      </c>
      <c r="AO1765" s="25">
        <v>0</v>
      </c>
      <c r="AP1765" s="25">
        <f>Lookups!$B$56*0</f>
        <v>0</v>
      </c>
      <c r="AQ1765" s="25">
        <f>Lookups!$B$56*1</f>
        <v>89850.625589999996</v>
      </c>
      <c r="AR1765" s="25">
        <f>Lookups!$B$57*Inventory[[#This Row],[LnAcres]]</f>
        <v>-54281.285314520763</v>
      </c>
      <c r="AS1765" s="25">
        <f>VLOOKUP(Inventory[[#This Row],[Qlty]],Lookups!$A$62:$E$75,2,FALSE)</f>
        <v>21557.329055999999</v>
      </c>
      <c r="AT1765" s="25">
        <f>VLOOKUP(Inventory[[#This Row],[Cnd]],Lookups!$A$76:$E$84,2,FALSE)</f>
        <v>197752.34721000001</v>
      </c>
      <c r="AU1765" s="25">
        <f>Inventory[[#This Row],[EffAge]]*Lookups!$B$85</f>
        <v>-12044.462427</v>
      </c>
      <c r="AV1765" s="25">
        <f>Inventory[[#This Row],[MainFn]]*Lookups!$B$86</f>
        <v>63243.09744256</v>
      </c>
      <c r="AW1765" s="25">
        <f>Inventory[[#This Row],[UpprFn]]*Lookups!$B$87</f>
        <v>35829.138288800001</v>
      </c>
      <c r="AX1765" s="25">
        <f>Inventory[[#This Row],[AddFn]]*Lookups!$B$88</f>
        <v>0</v>
      </c>
      <c r="AY1765" s="25">
        <f>Inventory[[#This Row],[Bsmt]]*Lookups!$B$89</f>
        <v>16285.861338319999</v>
      </c>
      <c r="AZ1765" s="25">
        <f>Inventory[[#This Row],[Fixtures]]*Lookups!$B$90</f>
        <v>34128.198946800003</v>
      </c>
      <c r="BA1765" s="25">
        <f>Inventory[[#This Row],[WdDeck]]*Lookups!$B$91</f>
        <v>0</v>
      </c>
      <c r="BB1765" s="25">
        <f>ROUND(Inventory[[#This Row],[25Det]],-2)</f>
        <v>0</v>
      </c>
      <c r="BC1765" s="25">
        <f>ROUND(SUM(Inventory[[#This Row],[Mdl Qlty]:[Mdl WdDeck]])+Inventory[[#This Row],[Mdl Res Intercept]],-2)</f>
        <v>356800</v>
      </c>
      <c r="BD1765" s="25">
        <f>ROUND(Inventory[[#This Row],[Mdl Land Intercept]]+Inventory[[#This Row],[Mdl LnAcres]],-2)</f>
        <v>35600</v>
      </c>
      <c r="BE1765" s="25">
        <f>Inventory[[#This Row],[Unadj Res Value]]+Inventory[[#This Row],[Unadj Det Value]]+Inventory[[#This Row],[Unadj Land Value]]</f>
        <v>392400</v>
      </c>
      <c r="BF1765" s="36">
        <f>(Inventory[[#This Row],[Unadj Total Value]]-Inventory[[#This Row],[24Final]])/Inventory[[#This Row],[24Final]]</f>
        <v>6.7464635473340584E-2</v>
      </c>
      <c r="BG1765" s="25">
        <f>VLOOKUP(Inventory[[#This Row],[Nbhd]],Lookups!$Q$2:$T$4,4,FALSE)</f>
        <v>0.99970000000000003</v>
      </c>
      <c r="BH1765" s="25">
        <f>VLOOKUP(Inventory[[#This Row],[Qlty]],Lookups!$O$7:$R$21,4,FALSE)</f>
        <v>1.0067999999999999</v>
      </c>
      <c r="BI1765" s="25">
        <f>VLOOKUP(Inventory[[#This Row],[Cnd]],Lookups!$T$7:$W$16,4,FALSE)</f>
        <v>0.99650000000000005</v>
      </c>
      <c r="BJ1765" s="25">
        <f>VLOOKUP(Inventory[[#This Row],[LivArea Range]],Lookups!$T$25:$W$37,4,FALSE)</f>
        <v>0.98919999999999997</v>
      </c>
      <c r="BK1765" s="25">
        <f>VLOOKUP(Inventory[[#This Row],[Decade]],Lookups!$O$25:$R$42,4,FALSE)</f>
        <v>1.0074000000000001</v>
      </c>
      <c r="BL1765" s="25">
        <f>Inventory[[#This Row],[Nbhd Adj]]*0.95</f>
        <v>0.94971499999999998</v>
      </c>
      <c r="BM1765" s="25">
        <f>Inventory[[#This Row],[Nbhd Adj]]*Inventory[[#This Row],[Quality Adj]]*Inventory[[#This Row],[Condition Adj]]*Inventory[[#This Row],[Living Area Adj]]*Inventory[[#This Row],[Decade Adj]]*0.95</f>
        <v>0.94951069644125163</v>
      </c>
      <c r="BN1765" s="25">
        <f>ROUND(SUM(Inventory[[#This Row],[Mdl Qlty]:[Mdl WdDeck]])+Inventory[[#This Row],[Mdl Res Intercept]]*Inventory[[#This Row],[Res Adj ]],-2)</f>
        <v>356800</v>
      </c>
      <c r="BO1765" s="25">
        <f>ROUND(Inventory[[#This Row],[25Det]]*Inventory[[#This Row],[Det/Nbhd Adj]],-2)</f>
        <v>0</v>
      </c>
      <c r="BP1765" s="25">
        <f>Inventory[[#This Row],[Adjusted Res]]+Inventory[[#This Row],[Adj Det ]]</f>
        <v>356800</v>
      </c>
      <c r="BQ1765" s="25">
        <f>ROUND((Inventory[[#This Row],[Mdl Land Intercept]]+Inventory[[#This Row],[Mdl LnAcres]])*Inventory[[#This Row],[Det/Nbhd Adj]],-2)</f>
        <v>33800</v>
      </c>
      <c r="BR1765" s="25">
        <f>Inventory[[#This Row],[Adjusted Impr Total]]+Inventory[[#This Row],[Adjusted Land Total]]</f>
        <v>390600</v>
      </c>
      <c r="BS1765" s="36">
        <f>IFERROR((Inventory[[#This Row],[Adjusted Impr Total]]-Inventory[[#This Row],[24Bldg]])/Inventory[[#This Row],[24Bldg]],0)</f>
        <v>0.14030041546820071</v>
      </c>
      <c r="BT1765" s="36">
        <f>(Inventory[[#This Row],[Adjusted Land Total]]-Inventory[[#This Row],[24Lnd]])/Inventory[[#This Row],[24Lnd]]</f>
        <v>-0.38208409506398539</v>
      </c>
      <c r="BU1765" s="36">
        <f>(Inventory[[#This Row],[Adjusted Total]]-Inventory[[#This Row],[24Final]])/Inventory[[#This Row],[24Final]]</f>
        <v>6.2568008705114253E-2</v>
      </c>
    </row>
    <row r="1766" spans="1:73" x14ac:dyDescent="0.3">
      <c r="A1766" s="25">
        <v>2025</v>
      </c>
      <c r="B1766" s="26" t="s">
        <v>637</v>
      </c>
      <c r="C1766" s="26">
        <f>LN(Inventory[[#This Row],[Acres]])</f>
        <v>-1.5606477482646683</v>
      </c>
      <c r="D1766" s="25">
        <v>0.21</v>
      </c>
      <c r="E1766" s="32">
        <v>9141</v>
      </c>
      <c r="F1766" s="26" t="s">
        <v>537</v>
      </c>
      <c r="G1766" s="26" t="s">
        <v>126</v>
      </c>
      <c r="H1766" s="26" t="s">
        <v>349</v>
      </c>
      <c r="I1766" s="26" t="s">
        <v>538</v>
      </c>
      <c r="J1766" s="26" t="s">
        <v>638</v>
      </c>
      <c r="K1766" s="26" t="s">
        <v>242</v>
      </c>
      <c r="L1766" s="26" t="s">
        <v>351</v>
      </c>
      <c r="M1766" s="26" t="s">
        <v>303</v>
      </c>
      <c r="N1766" s="26">
        <v>100</v>
      </c>
      <c r="O1766" s="26">
        <f>2024-Inventory[[#This Row],[YrBlt]]</f>
        <v>94</v>
      </c>
      <c r="P1766" s="26">
        <f>2024-Inventory[[#This Row],[EffYr]]</f>
        <v>54</v>
      </c>
      <c r="Q1766" s="25">
        <v>1930</v>
      </c>
      <c r="R1766" s="25">
        <v>1970</v>
      </c>
      <c r="S1766" s="25">
        <v>850</v>
      </c>
      <c r="T1766" s="31"/>
      <c r="U1766" s="25">
        <v>850</v>
      </c>
      <c r="V1766" s="25">
        <f>Inventory[[#This Row],[Bsmt]]-Inventory[[#This Row],[FnBsmt]]</f>
        <v>0</v>
      </c>
      <c r="W1766" s="25">
        <v>850</v>
      </c>
      <c r="X1766" s="27"/>
      <c r="Y1766" s="27">
        <f>Inventory[[#This Row],[MainFn]]+Inventory[[#This Row],[UpprFn]]+Inventory[[#This Row],[FnBsmt]]+Inventory[[#This Row],[AddFn]]</f>
        <v>1700</v>
      </c>
      <c r="Z1766" s="27">
        <v>2000</v>
      </c>
      <c r="AA1766" s="25">
        <v>8</v>
      </c>
      <c r="AB1766" s="27"/>
      <c r="AC1766" s="27"/>
      <c r="AD1766" s="27"/>
      <c r="AE1766" s="27"/>
      <c r="AF1766" s="27"/>
      <c r="AG1766" s="27"/>
      <c r="AH1766" s="27"/>
      <c r="AI1766" s="25">
        <v>215336</v>
      </c>
      <c r="AJ1766" s="25">
        <v>146428</v>
      </c>
      <c r="AK1766" s="25">
        <v>4877</v>
      </c>
      <c r="AL1766" s="25">
        <v>326900</v>
      </c>
      <c r="AM1766" s="25">
        <v>60100</v>
      </c>
      <c r="AN1766" s="25">
        <v>266800</v>
      </c>
      <c r="AO1766" s="25">
        <v>0</v>
      </c>
      <c r="AP1766" s="25">
        <f>Lookups!$B$56*0</f>
        <v>0</v>
      </c>
      <c r="AQ1766" s="25">
        <f>Lookups!$B$56*1</f>
        <v>89850.625589999996</v>
      </c>
      <c r="AR1766" s="25">
        <f>Lookups!$B$57*Inventory[[#This Row],[LnAcres]]</f>
        <v>-49401.70477837498</v>
      </c>
      <c r="AS1766" s="25">
        <f>VLOOKUP(Inventory[[#This Row],[Qlty]],Lookups!$A$62:$E$75,2,FALSE)</f>
        <v>21557.329055999999</v>
      </c>
      <c r="AT1766" s="25">
        <f>VLOOKUP(Inventory[[#This Row],[Cnd]],Lookups!$A$76:$E$84,2,FALSE)</f>
        <v>197752.34721000001</v>
      </c>
      <c r="AU1766" s="25">
        <f>Inventory[[#This Row],[EffAge]]*Lookups!$B$85</f>
        <v>-12044.462427</v>
      </c>
      <c r="AV1766" s="25">
        <f>Inventory[[#This Row],[MainFn]]*Lookups!$B$86</f>
        <v>41997.369395449998</v>
      </c>
      <c r="AW1766" s="25">
        <f>Inventory[[#This Row],[UpprFn]]*Lookups!$B$87</f>
        <v>0</v>
      </c>
      <c r="AX1766" s="25">
        <f>Inventory[[#This Row],[AddFn]]*Lookups!$B$88</f>
        <v>0</v>
      </c>
      <c r="AY1766" s="25">
        <f>Inventory[[#This Row],[Bsmt]]*Lookups!$B$89</f>
        <v>24719.610959949998</v>
      </c>
      <c r="AZ1766" s="25">
        <f>Inventory[[#This Row],[Fixtures]]*Lookups!$B$90</f>
        <v>30336.176841600001</v>
      </c>
      <c r="BA1766" s="25">
        <f>Inventory[[#This Row],[WdDeck]]*Lookups!$B$91</f>
        <v>0</v>
      </c>
      <c r="BB1766" s="25">
        <f>ROUND(Inventory[[#This Row],[25Det]],-2)</f>
        <v>4900</v>
      </c>
      <c r="BC1766" s="25">
        <f>ROUND(SUM(Inventory[[#This Row],[Mdl Qlty]:[Mdl WdDeck]])+Inventory[[#This Row],[Mdl Res Intercept]],-2)</f>
        <v>304300</v>
      </c>
      <c r="BD1766" s="25">
        <f>ROUND(Inventory[[#This Row],[Mdl Land Intercept]]+Inventory[[#This Row],[Mdl LnAcres]],-2)</f>
        <v>40400</v>
      </c>
      <c r="BE1766" s="25">
        <f>Inventory[[#This Row],[Unadj Res Value]]+Inventory[[#This Row],[Unadj Det Value]]+Inventory[[#This Row],[Unadj Land Value]]</f>
        <v>349600</v>
      </c>
      <c r="BF1766" s="36">
        <f>(Inventory[[#This Row],[Unadj Total Value]]-Inventory[[#This Row],[24Final]])/Inventory[[#This Row],[24Final]]</f>
        <v>6.9440195778525546E-2</v>
      </c>
      <c r="BG1766" s="25">
        <f>VLOOKUP(Inventory[[#This Row],[Nbhd]],Lookups!$Q$2:$T$4,4,FALSE)</f>
        <v>0.99970000000000003</v>
      </c>
      <c r="BH1766" s="25">
        <f>VLOOKUP(Inventory[[#This Row],[Qlty]],Lookups!$O$7:$R$21,4,FALSE)</f>
        <v>1.0067999999999999</v>
      </c>
      <c r="BI1766" s="25">
        <f>VLOOKUP(Inventory[[#This Row],[Cnd]],Lookups!$T$7:$W$16,4,FALSE)</f>
        <v>0.99650000000000005</v>
      </c>
      <c r="BJ1766" s="25">
        <f>VLOOKUP(Inventory[[#This Row],[LivArea Range]],Lookups!$T$25:$W$37,4,FALSE)</f>
        <v>1.0093000000000001</v>
      </c>
      <c r="BK1766" s="25">
        <f>VLOOKUP(Inventory[[#This Row],[Decade]],Lookups!$O$25:$R$42,4,FALSE)</f>
        <v>1.0074000000000001</v>
      </c>
      <c r="BL1766" s="25">
        <f>Inventory[[#This Row],[Nbhd Adj]]*0.95</f>
        <v>0.94971499999999998</v>
      </c>
      <c r="BM1766" s="25">
        <f>Inventory[[#This Row],[Nbhd Adj]]*Inventory[[#This Row],[Quality Adj]]*Inventory[[#This Row],[Condition Adj]]*Inventory[[#This Row],[Living Area Adj]]*Inventory[[#This Row],[Decade Adj]]*0.95</f>
        <v>0.96880423161964746</v>
      </c>
      <c r="BN1766" s="25">
        <f>ROUND(SUM(Inventory[[#This Row],[Mdl Qlty]:[Mdl WdDeck]])+Inventory[[#This Row],[Mdl Res Intercept]]*Inventory[[#This Row],[Res Adj ]],-2)</f>
        <v>304300</v>
      </c>
      <c r="BO1766" s="25">
        <f>ROUND(Inventory[[#This Row],[25Det]]*Inventory[[#This Row],[Det/Nbhd Adj]],-2)</f>
        <v>4600</v>
      </c>
      <c r="BP1766" s="25">
        <f>Inventory[[#This Row],[Adjusted Res]]+Inventory[[#This Row],[Adj Det ]]</f>
        <v>308900</v>
      </c>
      <c r="BQ1766" s="25">
        <f>ROUND((Inventory[[#This Row],[Mdl Land Intercept]]+Inventory[[#This Row],[Mdl LnAcres]])*Inventory[[#This Row],[Det/Nbhd Adj]],-2)</f>
        <v>38400</v>
      </c>
      <c r="BR1766" s="25">
        <f>Inventory[[#This Row],[Adjusted Impr Total]]+Inventory[[#This Row],[Adjusted Land Total]]</f>
        <v>347300</v>
      </c>
      <c r="BS1766" s="36">
        <f>IFERROR((Inventory[[#This Row],[Adjusted Impr Total]]-Inventory[[#This Row],[24Bldg]])/Inventory[[#This Row],[24Bldg]],0)</f>
        <v>0.15779610194902549</v>
      </c>
      <c r="BT1766" s="36">
        <f>(Inventory[[#This Row],[Adjusted Land Total]]-Inventory[[#This Row],[24Lnd]])/Inventory[[#This Row],[24Lnd]]</f>
        <v>-0.36106489184692181</v>
      </c>
      <c r="BU1766" s="36">
        <f>(Inventory[[#This Row],[Adjusted Total]]-Inventory[[#This Row],[24Final]])/Inventory[[#This Row],[24Final]]</f>
        <v>6.2404405016824718E-2</v>
      </c>
    </row>
    <row r="1767" spans="1:73" x14ac:dyDescent="0.3">
      <c r="A1767" s="25">
        <v>2025</v>
      </c>
      <c r="B1767" s="26" t="s">
        <v>1467</v>
      </c>
      <c r="C1767" s="26">
        <f>LN(Inventory[[#This Row],[Acres]])</f>
        <v>-1.4696759700589417</v>
      </c>
      <c r="D1767" s="25">
        <v>0.23</v>
      </c>
      <c r="E1767" s="32">
        <v>9965</v>
      </c>
      <c r="F1767" s="26" t="s">
        <v>537</v>
      </c>
      <c r="G1767" s="26" t="s">
        <v>126</v>
      </c>
      <c r="H1767" s="26" t="s">
        <v>349</v>
      </c>
      <c r="I1767" s="26" t="s">
        <v>538</v>
      </c>
      <c r="J1767" s="26" t="s">
        <v>539</v>
      </c>
      <c r="K1767" s="26" t="s">
        <v>242</v>
      </c>
      <c r="L1767" s="26" t="s">
        <v>351</v>
      </c>
      <c r="M1767" s="26" t="s">
        <v>206</v>
      </c>
      <c r="N1767" s="26">
        <v>100</v>
      </c>
      <c r="O1767" s="26">
        <f>2024-Inventory[[#This Row],[YrBlt]]</f>
        <v>94</v>
      </c>
      <c r="P1767" s="26">
        <f>2024-Inventory[[#This Row],[EffYr]]</f>
        <v>54</v>
      </c>
      <c r="Q1767" s="25">
        <v>1930</v>
      </c>
      <c r="R1767" s="25">
        <v>1970</v>
      </c>
      <c r="S1767" s="25">
        <v>963</v>
      </c>
      <c r="T1767" s="27"/>
      <c r="U1767" s="25">
        <v>963</v>
      </c>
      <c r="V1767" s="25">
        <f>Inventory[[#This Row],[Bsmt]]-Inventory[[#This Row],[FnBsmt]]</f>
        <v>467</v>
      </c>
      <c r="W1767" s="25">
        <v>496</v>
      </c>
      <c r="X1767" s="27"/>
      <c r="Y1767" s="27">
        <f>Inventory[[#This Row],[MainFn]]+Inventory[[#This Row],[UpprFn]]+Inventory[[#This Row],[FnBsmt]]+Inventory[[#This Row],[AddFn]]</f>
        <v>1459</v>
      </c>
      <c r="Z1767" s="27">
        <v>1500</v>
      </c>
      <c r="AA1767" s="25">
        <v>8</v>
      </c>
      <c r="AB1767" s="27"/>
      <c r="AC1767" s="27"/>
      <c r="AD1767" s="27"/>
      <c r="AE1767" s="27"/>
      <c r="AF1767" s="27"/>
      <c r="AG1767" s="27"/>
      <c r="AH1767" s="27"/>
      <c r="AI1767" s="25">
        <v>225505</v>
      </c>
      <c r="AJ1767" s="25">
        <v>144323</v>
      </c>
      <c r="AK1767" s="25">
        <v>0</v>
      </c>
      <c r="AL1767" s="25">
        <v>273200</v>
      </c>
      <c r="AM1767" s="25">
        <v>63300</v>
      </c>
      <c r="AN1767" s="25">
        <v>209900</v>
      </c>
      <c r="AO1767" s="25">
        <v>0</v>
      </c>
      <c r="AP1767" s="25">
        <f>Lookups!$B$56*0</f>
        <v>0</v>
      </c>
      <c r="AQ1767" s="25">
        <f>Lookups!$B$56*1</f>
        <v>89850.625589999996</v>
      </c>
      <c r="AR1767" s="25">
        <f>Lookups!$B$57*Inventory[[#This Row],[LnAcres]]</f>
        <v>-46522.028095997222</v>
      </c>
      <c r="AS1767" s="25">
        <f>VLOOKUP(Inventory[[#This Row],[Qlty]],Lookups!$A$62:$E$75,2,FALSE)</f>
        <v>21557.329055999999</v>
      </c>
      <c r="AT1767" s="25">
        <f>VLOOKUP(Inventory[[#This Row],[Cnd]],Lookups!$A$76:$E$84,2,FALSE)</f>
        <v>133714.53821</v>
      </c>
      <c r="AU1767" s="25">
        <f>Inventory[[#This Row],[EffAge]]*Lookups!$B$85</f>
        <v>-12044.462427</v>
      </c>
      <c r="AV1767" s="25">
        <f>Inventory[[#This Row],[MainFn]]*Lookups!$B$86</f>
        <v>47580.549091551002</v>
      </c>
      <c r="AW1767" s="25">
        <f>Inventory[[#This Row],[UpprFn]]*Lookups!$B$87</f>
        <v>0</v>
      </c>
      <c r="AX1767" s="25">
        <f>Inventory[[#This Row],[AddFn]]*Lookups!$B$88</f>
        <v>0</v>
      </c>
      <c r="AY1767" s="25">
        <f>Inventory[[#This Row],[Bsmt]]*Lookups!$B$89</f>
        <v>28005.865122861</v>
      </c>
      <c r="AZ1767" s="25">
        <f>Inventory[[#This Row],[Fixtures]]*Lookups!$B$90</f>
        <v>30336.176841600001</v>
      </c>
      <c r="BA1767" s="25">
        <f>Inventory[[#This Row],[WdDeck]]*Lookups!$B$91</f>
        <v>0</v>
      </c>
      <c r="BB1767" s="25">
        <f>ROUND(Inventory[[#This Row],[25Det]],-2)</f>
        <v>0</v>
      </c>
      <c r="BC1767" s="25">
        <f>ROUND(SUM(Inventory[[#This Row],[Mdl Qlty]:[Mdl WdDeck]])+Inventory[[#This Row],[Mdl Res Intercept]],-2)</f>
        <v>249100</v>
      </c>
      <c r="BD1767" s="25">
        <f>ROUND(Inventory[[#This Row],[Mdl Land Intercept]]+Inventory[[#This Row],[Mdl LnAcres]],-2)</f>
        <v>43300</v>
      </c>
      <c r="BE1767" s="25">
        <f>Inventory[[#This Row],[Unadj Res Value]]+Inventory[[#This Row],[Unadj Det Value]]+Inventory[[#This Row],[Unadj Land Value]]</f>
        <v>292400</v>
      </c>
      <c r="BF1767" s="36">
        <f>(Inventory[[#This Row],[Unadj Total Value]]-Inventory[[#This Row],[24Final]])/Inventory[[#This Row],[24Final]]</f>
        <v>7.0278184480234263E-2</v>
      </c>
      <c r="BG1767" s="25">
        <f>VLOOKUP(Inventory[[#This Row],[Nbhd]],Lookups!$Q$2:$T$4,4,FALSE)</f>
        <v>0.99970000000000003</v>
      </c>
      <c r="BH1767" s="25">
        <f>VLOOKUP(Inventory[[#This Row],[Qlty]],Lookups!$O$7:$R$21,4,FALSE)</f>
        <v>1.0067999999999999</v>
      </c>
      <c r="BI1767" s="25">
        <f>VLOOKUP(Inventory[[#This Row],[Cnd]],Lookups!$T$7:$W$16,4,FALSE)</f>
        <v>0.99329999999999996</v>
      </c>
      <c r="BJ1767" s="25">
        <f>VLOOKUP(Inventory[[#This Row],[LivArea Range]],Lookups!$T$25:$W$37,4,FALSE)</f>
        <v>1.0157</v>
      </c>
      <c r="BK1767" s="25">
        <f>VLOOKUP(Inventory[[#This Row],[Decade]],Lookups!$O$25:$R$42,4,FALSE)</f>
        <v>1.0074000000000001</v>
      </c>
      <c r="BL1767" s="25">
        <f>Inventory[[#This Row],[Nbhd Adj]]*0.95</f>
        <v>0.94971499999999998</v>
      </c>
      <c r="BM1767" s="25">
        <f>Inventory[[#This Row],[Nbhd Adj]]*Inventory[[#This Row],[Quality Adj]]*Inventory[[#This Row],[Condition Adj]]*Inventory[[#This Row],[Living Area Adj]]*Inventory[[#This Row],[Decade Adj]]*0.95</f>
        <v>0.971816657207489</v>
      </c>
      <c r="BN1767" s="25">
        <f>ROUND(SUM(Inventory[[#This Row],[Mdl Qlty]:[Mdl WdDeck]])+Inventory[[#This Row],[Mdl Res Intercept]]*Inventory[[#This Row],[Res Adj ]],-2)</f>
        <v>249100</v>
      </c>
      <c r="BO1767" s="25">
        <f>ROUND(Inventory[[#This Row],[25Det]]*Inventory[[#This Row],[Det/Nbhd Adj]],-2)</f>
        <v>0</v>
      </c>
      <c r="BP1767" s="25">
        <f>Inventory[[#This Row],[Adjusted Res]]+Inventory[[#This Row],[Adj Det ]]</f>
        <v>249100</v>
      </c>
      <c r="BQ1767" s="25">
        <f>ROUND((Inventory[[#This Row],[Mdl Land Intercept]]+Inventory[[#This Row],[Mdl LnAcres]])*Inventory[[#This Row],[Det/Nbhd Adj]],-2)</f>
        <v>41100</v>
      </c>
      <c r="BR1767" s="25">
        <f>Inventory[[#This Row],[Adjusted Impr Total]]+Inventory[[#This Row],[Adjusted Land Total]]</f>
        <v>290200</v>
      </c>
      <c r="BS1767" s="36">
        <f>IFERROR((Inventory[[#This Row],[Adjusted Impr Total]]-Inventory[[#This Row],[24Bldg]])/Inventory[[#This Row],[24Bldg]],0)</f>
        <v>0.1867555979037637</v>
      </c>
      <c r="BT1767" s="36">
        <f>(Inventory[[#This Row],[Adjusted Land Total]]-Inventory[[#This Row],[24Lnd]])/Inventory[[#This Row],[24Lnd]]</f>
        <v>-0.35071090047393366</v>
      </c>
      <c r="BU1767" s="36">
        <f>(Inventory[[#This Row],[Adjusted Total]]-Inventory[[#This Row],[24Final]])/Inventory[[#This Row],[24Final]]</f>
        <v>6.2225475841874087E-2</v>
      </c>
    </row>
    <row r="1768" spans="1:73" x14ac:dyDescent="0.3">
      <c r="A1768" s="25">
        <v>2025</v>
      </c>
      <c r="B1768" s="26" t="s">
        <v>998</v>
      </c>
      <c r="C1768" s="26">
        <f>LN(Inventory[[#This Row],[Acres]])</f>
        <v>-1.1711829815029451</v>
      </c>
      <c r="D1768" s="25">
        <v>0.31</v>
      </c>
      <c r="E1768" s="32">
        <v>13329</v>
      </c>
      <c r="F1768" s="26" t="s">
        <v>537</v>
      </c>
      <c r="G1768" s="26" t="s">
        <v>126</v>
      </c>
      <c r="H1768" s="26" t="s">
        <v>349</v>
      </c>
      <c r="I1768" s="26" t="s">
        <v>538</v>
      </c>
      <c r="J1768" s="26" t="s">
        <v>539</v>
      </c>
      <c r="K1768" s="26" t="s">
        <v>241</v>
      </c>
      <c r="L1768" s="26" t="s">
        <v>351</v>
      </c>
      <c r="M1768" s="26" t="s">
        <v>323</v>
      </c>
      <c r="N1768" s="26">
        <v>100</v>
      </c>
      <c r="O1768" s="26">
        <f>2024-Inventory[[#This Row],[YrBlt]]</f>
        <v>94</v>
      </c>
      <c r="P1768" s="26">
        <f>2024-Inventory[[#This Row],[EffYr]]</f>
        <v>54</v>
      </c>
      <c r="Q1768" s="25">
        <v>1930</v>
      </c>
      <c r="R1768" s="25">
        <v>1970</v>
      </c>
      <c r="S1768" s="25">
        <v>1541</v>
      </c>
      <c r="T1768" s="27"/>
      <c r="U1768" s="32">
        <v>1077</v>
      </c>
      <c r="V1768" s="32">
        <f>Inventory[[#This Row],[Bsmt]]-Inventory[[#This Row],[FnBsmt]]</f>
        <v>1077</v>
      </c>
      <c r="W1768" s="27"/>
      <c r="X1768" s="27"/>
      <c r="Y1768" s="27">
        <f>Inventory[[#This Row],[MainFn]]+Inventory[[#This Row],[UpprFn]]+Inventory[[#This Row],[FnBsmt]]+Inventory[[#This Row],[AddFn]]</f>
        <v>1541</v>
      </c>
      <c r="Z1768" s="27">
        <v>2000</v>
      </c>
      <c r="AA1768" s="25">
        <v>8</v>
      </c>
      <c r="AB1768" s="27"/>
      <c r="AC1768" s="32">
        <v>432</v>
      </c>
      <c r="AD1768" s="31"/>
      <c r="AE1768" s="27"/>
      <c r="AF1768" s="27"/>
      <c r="AG1768" s="27"/>
      <c r="AH1768" s="27"/>
      <c r="AI1768" s="25">
        <v>310485</v>
      </c>
      <c r="AJ1768" s="25">
        <v>204920</v>
      </c>
      <c r="AK1768" s="25">
        <v>0</v>
      </c>
      <c r="AL1768" s="25">
        <v>337000</v>
      </c>
      <c r="AM1768" s="25">
        <v>73700</v>
      </c>
      <c r="AN1768" s="25">
        <v>263300</v>
      </c>
      <c r="AO1768" s="25">
        <v>0</v>
      </c>
      <c r="AP1768" s="25">
        <f>Lookups!$B$56*0</f>
        <v>0</v>
      </c>
      <c r="AQ1768" s="25">
        <f>Lookups!$B$56*1</f>
        <v>89850.625589999996</v>
      </c>
      <c r="AR1768" s="25">
        <f>Lookups!$B$57*Inventory[[#This Row],[LnAcres]]</f>
        <v>-37073.347241874442</v>
      </c>
      <c r="AS1768" s="25">
        <f>VLOOKUP(Inventory[[#This Row],[Qlty]],Lookups!$A$62:$E$75,2,FALSE)</f>
        <v>21557.329055999999</v>
      </c>
      <c r="AT1768" s="25">
        <f>VLOOKUP(Inventory[[#This Row],[Cnd]],Lookups!$A$76:$E$84,2,FALSE)</f>
        <v>160472.20319</v>
      </c>
      <c r="AU1768" s="25">
        <f>Inventory[[#This Row],[EffAge]]*Lookups!$B$85</f>
        <v>-12044.462427</v>
      </c>
      <c r="AV1768" s="25">
        <f>Inventory[[#This Row],[MainFn]]*Lookups!$B$86</f>
        <v>76138.760280457005</v>
      </c>
      <c r="AW1768" s="25">
        <f>Inventory[[#This Row],[UpprFn]]*Lookups!$B$87</f>
        <v>0</v>
      </c>
      <c r="AX1768" s="25">
        <f>Inventory[[#This Row],[AddFn]]*Lookups!$B$88</f>
        <v>0</v>
      </c>
      <c r="AY1768" s="25">
        <f>Inventory[[#This Row],[Bsmt]]*Lookups!$B$89</f>
        <v>31321.201181018998</v>
      </c>
      <c r="AZ1768" s="25">
        <f>Inventory[[#This Row],[Fixtures]]*Lookups!$B$90</f>
        <v>30336.176841600001</v>
      </c>
      <c r="BA1768" s="25">
        <f>Inventory[[#This Row],[WdDeck]]*Lookups!$B$91</f>
        <v>0</v>
      </c>
      <c r="BB1768" s="25">
        <f>ROUND(Inventory[[#This Row],[25Det]],-2)</f>
        <v>0</v>
      </c>
      <c r="BC1768" s="25">
        <f>ROUND(SUM(Inventory[[#This Row],[Mdl Qlty]:[Mdl WdDeck]])+Inventory[[#This Row],[Mdl Res Intercept]],-2)</f>
        <v>307800</v>
      </c>
      <c r="BD1768" s="25">
        <f>ROUND(Inventory[[#This Row],[Mdl Land Intercept]]+Inventory[[#This Row],[Mdl LnAcres]],-2)</f>
        <v>52800</v>
      </c>
      <c r="BE1768" s="25">
        <f>Inventory[[#This Row],[Unadj Res Value]]+Inventory[[#This Row],[Unadj Det Value]]+Inventory[[#This Row],[Unadj Land Value]]</f>
        <v>360600</v>
      </c>
      <c r="BF1768" s="36">
        <f>(Inventory[[#This Row],[Unadj Total Value]]-Inventory[[#This Row],[24Final]])/Inventory[[#This Row],[24Final]]</f>
        <v>7.0029673590504452E-2</v>
      </c>
      <c r="BG1768" s="25">
        <f>VLOOKUP(Inventory[[#This Row],[Nbhd]],Lookups!$Q$2:$T$4,4,FALSE)</f>
        <v>0.99970000000000003</v>
      </c>
      <c r="BH1768" s="25">
        <f>VLOOKUP(Inventory[[#This Row],[Qlty]],Lookups!$O$7:$R$21,4,FALSE)</f>
        <v>1.0067999999999999</v>
      </c>
      <c r="BI1768" s="25">
        <f>VLOOKUP(Inventory[[#This Row],[Cnd]],Lookups!$T$7:$W$16,4,FALSE)</f>
        <v>0.99729999999999996</v>
      </c>
      <c r="BJ1768" s="25">
        <f>VLOOKUP(Inventory[[#This Row],[LivArea Range]],Lookups!$T$25:$W$37,4,FALSE)</f>
        <v>1.0093000000000001</v>
      </c>
      <c r="BK1768" s="25">
        <f>VLOOKUP(Inventory[[#This Row],[Decade]],Lookups!$O$25:$R$42,4,FALSE)</f>
        <v>1.0074000000000001</v>
      </c>
      <c r="BL1768" s="25">
        <f>Inventory[[#This Row],[Nbhd Adj]]*0.95</f>
        <v>0.94971499999999998</v>
      </c>
      <c r="BM1768" s="25">
        <f>Inventory[[#This Row],[Nbhd Adj]]*Inventory[[#This Row],[Quality Adj]]*Inventory[[#This Row],[Condition Adj]]*Inventory[[#This Row],[Living Area Adj]]*Inventory[[#This Row],[Decade Adj]]*0.95</f>
        <v>0.96958199718441984</v>
      </c>
      <c r="BN1768" s="25">
        <f>ROUND(SUM(Inventory[[#This Row],[Mdl Qlty]:[Mdl WdDeck]])+Inventory[[#This Row],[Mdl Res Intercept]]*Inventory[[#This Row],[Res Adj ]],-2)</f>
        <v>307800</v>
      </c>
      <c r="BO1768" s="25">
        <f>ROUND(Inventory[[#This Row],[25Det]]*Inventory[[#This Row],[Det/Nbhd Adj]],-2)</f>
        <v>0</v>
      </c>
      <c r="BP1768" s="25">
        <f>Inventory[[#This Row],[Adjusted Res]]+Inventory[[#This Row],[Adj Det ]]</f>
        <v>307800</v>
      </c>
      <c r="BQ1768" s="25">
        <f>ROUND((Inventory[[#This Row],[Mdl Land Intercept]]+Inventory[[#This Row],[Mdl LnAcres]])*Inventory[[#This Row],[Det/Nbhd Adj]],-2)</f>
        <v>50100</v>
      </c>
      <c r="BR1768" s="25">
        <f>Inventory[[#This Row],[Adjusted Impr Total]]+Inventory[[#This Row],[Adjusted Land Total]]</f>
        <v>357900</v>
      </c>
      <c r="BS1768" s="36">
        <f>IFERROR((Inventory[[#This Row],[Adjusted Impr Total]]-Inventory[[#This Row],[24Bldg]])/Inventory[[#This Row],[24Bldg]],0)</f>
        <v>0.16900873528294721</v>
      </c>
      <c r="BT1768" s="36">
        <f>(Inventory[[#This Row],[Adjusted Land Total]]-Inventory[[#This Row],[24Lnd]])/Inventory[[#This Row],[24Lnd]]</f>
        <v>-0.32021709633649931</v>
      </c>
      <c r="BU1768" s="36">
        <f>(Inventory[[#This Row],[Adjusted Total]]-Inventory[[#This Row],[24Final]])/Inventory[[#This Row],[24Final]]</f>
        <v>6.2017804154302671E-2</v>
      </c>
    </row>
    <row r="1769" spans="1:73" x14ac:dyDescent="0.3">
      <c r="A1769" s="25">
        <v>2025</v>
      </c>
      <c r="B1769" s="26" t="s">
        <v>1914</v>
      </c>
      <c r="C1769" s="26">
        <f>LN(Inventory[[#This Row],[Acres]])</f>
        <v>-1.8325814637483102</v>
      </c>
      <c r="D1769" s="25">
        <v>0.16</v>
      </c>
      <c r="E1769" s="32">
        <v>7079</v>
      </c>
      <c r="F1769" s="26" t="s">
        <v>537</v>
      </c>
      <c r="G1769" s="26" t="s">
        <v>126</v>
      </c>
      <c r="H1769" s="26" t="s">
        <v>349</v>
      </c>
      <c r="I1769" s="26" t="s">
        <v>538</v>
      </c>
      <c r="J1769" s="26" t="s">
        <v>539</v>
      </c>
      <c r="K1769" s="26" t="s">
        <v>269</v>
      </c>
      <c r="L1769" s="26" t="s">
        <v>351</v>
      </c>
      <c r="M1769" s="26" t="s">
        <v>303</v>
      </c>
      <c r="N1769" s="26">
        <v>100</v>
      </c>
      <c r="O1769" s="26">
        <f>2024-Inventory[[#This Row],[YrBlt]]</f>
        <v>94</v>
      </c>
      <c r="P1769" s="26">
        <f>2024-Inventory[[#This Row],[EffYr]]</f>
        <v>32</v>
      </c>
      <c r="Q1769" s="25">
        <v>1930</v>
      </c>
      <c r="R1769" s="25">
        <v>1992</v>
      </c>
      <c r="S1769" s="25">
        <v>952</v>
      </c>
      <c r="T1769" s="32">
        <v>759</v>
      </c>
      <c r="U1769" s="25">
        <v>616</v>
      </c>
      <c r="V1769" s="25">
        <f>Inventory[[#This Row],[Bsmt]]-Inventory[[#This Row],[FnBsmt]]</f>
        <v>0</v>
      </c>
      <c r="W1769" s="25">
        <v>616</v>
      </c>
      <c r="X1769" s="27"/>
      <c r="Y1769" s="27">
        <f>Inventory[[#This Row],[MainFn]]+Inventory[[#This Row],[UpprFn]]+Inventory[[#This Row],[FnBsmt]]+Inventory[[#This Row],[AddFn]]</f>
        <v>2327</v>
      </c>
      <c r="Z1769" s="27">
        <v>2500</v>
      </c>
      <c r="AA1769" s="25">
        <v>8</v>
      </c>
      <c r="AB1769" s="27"/>
      <c r="AC1769" s="27"/>
      <c r="AD1769" s="27"/>
      <c r="AE1769" s="27"/>
      <c r="AF1769" s="27"/>
      <c r="AG1769" s="27"/>
      <c r="AH1769" s="27"/>
      <c r="AI1769" s="25">
        <v>314875</v>
      </c>
      <c r="AJ1769" s="25">
        <v>270793</v>
      </c>
      <c r="AK1769" s="25">
        <v>0</v>
      </c>
      <c r="AL1769" s="25">
        <v>350100</v>
      </c>
      <c r="AM1769" s="25">
        <v>50600</v>
      </c>
      <c r="AN1769" s="25">
        <v>299500</v>
      </c>
      <c r="AO1769" s="25">
        <v>0</v>
      </c>
      <c r="AP1769" s="25">
        <f>Lookups!$B$56*0</f>
        <v>0</v>
      </c>
      <c r="AQ1769" s="25">
        <f>Lookups!$B$56*1</f>
        <v>89850.625589999996</v>
      </c>
      <c r="AR1769" s="25">
        <f>Lookups!$B$57*Inventory[[#This Row],[LnAcres]]</f>
        <v>-58009.662049032086</v>
      </c>
      <c r="AS1769" s="25">
        <f>VLOOKUP(Inventory[[#This Row],[Qlty]],Lookups!$A$62:$E$75,2,FALSE)</f>
        <v>21557.329055999999</v>
      </c>
      <c r="AT1769" s="25">
        <f>VLOOKUP(Inventory[[#This Row],[Cnd]],Lookups!$A$76:$E$84,2,FALSE)</f>
        <v>197752.34721000001</v>
      </c>
      <c r="AU1769" s="25">
        <f>Inventory[[#This Row],[EffAge]]*Lookups!$B$85</f>
        <v>-7137.4592160000002</v>
      </c>
      <c r="AV1769" s="25">
        <f>Inventory[[#This Row],[MainFn]]*Lookups!$B$86</f>
        <v>47037.053722903998</v>
      </c>
      <c r="AW1769" s="25">
        <f>Inventory[[#This Row],[UpprFn]]*Lookups!$B$87</f>
        <v>33992.894951499002</v>
      </c>
      <c r="AX1769" s="25">
        <f>Inventory[[#This Row],[AddFn]]*Lookups!$B$88</f>
        <v>0</v>
      </c>
      <c r="AY1769" s="25">
        <f>Inventory[[#This Row],[Bsmt]]*Lookups!$B$89</f>
        <v>17914.447472151998</v>
      </c>
      <c r="AZ1769" s="25">
        <f>Inventory[[#This Row],[Fixtures]]*Lookups!$B$90</f>
        <v>30336.176841600001</v>
      </c>
      <c r="BA1769" s="25">
        <f>Inventory[[#This Row],[WdDeck]]*Lookups!$B$91</f>
        <v>0</v>
      </c>
      <c r="BB1769" s="25">
        <f>ROUND(Inventory[[#This Row],[25Det]],-2)</f>
        <v>0</v>
      </c>
      <c r="BC1769" s="25">
        <f>ROUND(SUM(Inventory[[#This Row],[Mdl Qlty]:[Mdl WdDeck]])+Inventory[[#This Row],[Mdl Res Intercept]],-2)</f>
        <v>341500</v>
      </c>
      <c r="BD1769" s="25">
        <f>ROUND(Inventory[[#This Row],[Mdl Land Intercept]]+Inventory[[#This Row],[Mdl LnAcres]],-2)</f>
        <v>31800</v>
      </c>
      <c r="BE1769" s="25">
        <f>Inventory[[#This Row],[Unadj Res Value]]+Inventory[[#This Row],[Unadj Det Value]]+Inventory[[#This Row],[Unadj Land Value]]</f>
        <v>373300</v>
      </c>
      <c r="BF1769" s="36">
        <f>(Inventory[[#This Row],[Unadj Total Value]]-Inventory[[#This Row],[24Final]])/Inventory[[#This Row],[24Final]]</f>
        <v>6.6266780919737214E-2</v>
      </c>
      <c r="BG1769" s="25">
        <f>VLOOKUP(Inventory[[#This Row],[Nbhd]],Lookups!$Q$2:$T$4,4,FALSE)</f>
        <v>0.99970000000000003</v>
      </c>
      <c r="BH1769" s="25">
        <f>VLOOKUP(Inventory[[#This Row],[Qlty]],Lookups!$O$7:$R$21,4,FALSE)</f>
        <v>1.0067999999999999</v>
      </c>
      <c r="BI1769" s="25">
        <f>VLOOKUP(Inventory[[#This Row],[Cnd]],Lookups!$T$7:$W$16,4,FALSE)</f>
        <v>0.99650000000000005</v>
      </c>
      <c r="BJ1769" s="25">
        <f>VLOOKUP(Inventory[[#This Row],[LivArea Range]],Lookups!$T$25:$W$37,4,FALSE)</f>
        <v>0.98919999999999997</v>
      </c>
      <c r="BK1769" s="25">
        <f>VLOOKUP(Inventory[[#This Row],[Decade]],Lookups!$O$25:$R$42,4,FALSE)</f>
        <v>1.0074000000000001</v>
      </c>
      <c r="BL1769" s="25">
        <f>Inventory[[#This Row],[Nbhd Adj]]*0.95</f>
        <v>0.94971499999999998</v>
      </c>
      <c r="BM1769" s="25">
        <f>Inventory[[#This Row],[Nbhd Adj]]*Inventory[[#This Row],[Quality Adj]]*Inventory[[#This Row],[Condition Adj]]*Inventory[[#This Row],[Living Area Adj]]*Inventory[[#This Row],[Decade Adj]]*0.95</f>
        <v>0.94951069644125163</v>
      </c>
      <c r="BN1769" s="25">
        <f>ROUND(SUM(Inventory[[#This Row],[Mdl Qlty]:[Mdl WdDeck]])+Inventory[[#This Row],[Mdl Res Intercept]]*Inventory[[#This Row],[Res Adj ]],-2)</f>
        <v>341500</v>
      </c>
      <c r="BO1769" s="25">
        <f>ROUND(Inventory[[#This Row],[25Det]]*Inventory[[#This Row],[Det/Nbhd Adj]],-2)</f>
        <v>0</v>
      </c>
      <c r="BP1769" s="25">
        <f>Inventory[[#This Row],[Adjusted Res]]+Inventory[[#This Row],[Adj Det ]]</f>
        <v>341500</v>
      </c>
      <c r="BQ1769" s="25">
        <f>ROUND((Inventory[[#This Row],[Mdl Land Intercept]]+Inventory[[#This Row],[Mdl LnAcres]])*Inventory[[#This Row],[Det/Nbhd Adj]],-2)</f>
        <v>30200</v>
      </c>
      <c r="BR1769" s="25">
        <f>Inventory[[#This Row],[Adjusted Impr Total]]+Inventory[[#This Row],[Adjusted Land Total]]</f>
        <v>371700</v>
      </c>
      <c r="BS1769" s="36">
        <f>IFERROR((Inventory[[#This Row],[Adjusted Impr Total]]-Inventory[[#This Row],[24Bldg]])/Inventory[[#This Row],[24Bldg]],0)</f>
        <v>0.14023372287145242</v>
      </c>
      <c r="BT1769" s="36">
        <f>(Inventory[[#This Row],[Adjusted Land Total]]-Inventory[[#This Row],[24Lnd]])/Inventory[[#This Row],[24Lnd]]</f>
        <v>-0.40316205533596838</v>
      </c>
      <c r="BU1769" s="36">
        <f>(Inventory[[#This Row],[Adjusted Total]]-Inventory[[#This Row],[24Final]])/Inventory[[#This Row],[24Final]]</f>
        <v>6.1696658097686374E-2</v>
      </c>
    </row>
    <row r="1770" spans="1:73" x14ac:dyDescent="0.3">
      <c r="A1770" s="25">
        <v>2025</v>
      </c>
      <c r="B1770" s="26" t="s">
        <v>1425</v>
      </c>
      <c r="C1770" s="26">
        <f>LN(Inventory[[#This Row],[Acres]])</f>
        <v>-1.5606477482646683</v>
      </c>
      <c r="D1770" s="25">
        <v>0.21</v>
      </c>
      <c r="E1770" s="32">
        <v>9176</v>
      </c>
      <c r="F1770" s="26" t="s">
        <v>537</v>
      </c>
      <c r="G1770" s="26" t="s">
        <v>126</v>
      </c>
      <c r="H1770" s="26" t="s">
        <v>349</v>
      </c>
      <c r="I1770" s="26" t="s">
        <v>538</v>
      </c>
      <c r="J1770" s="26" t="s">
        <v>539</v>
      </c>
      <c r="K1770" s="26" t="s">
        <v>173</v>
      </c>
      <c r="L1770" s="26" t="s">
        <v>205</v>
      </c>
      <c r="M1770" s="26" t="s">
        <v>206</v>
      </c>
      <c r="N1770" s="26">
        <v>100</v>
      </c>
      <c r="O1770" s="26">
        <f>2024-Inventory[[#This Row],[YrBlt]]</f>
        <v>94</v>
      </c>
      <c r="P1770" s="26">
        <f>2024-Inventory[[#This Row],[EffYr]]</f>
        <v>54</v>
      </c>
      <c r="Q1770" s="25">
        <v>1930</v>
      </c>
      <c r="R1770" s="25">
        <v>1970</v>
      </c>
      <c r="S1770" s="25">
        <v>912</v>
      </c>
      <c r="T1770" s="32">
        <v>416</v>
      </c>
      <c r="U1770" s="25">
        <v>504</v>
      </c>
      <c r="V1770" s="25">
        <f>Inventory[[#This Row],[Bsmt]]-Inventory[[#This Row],[FnBsmt]]</f>
        <v>504</v>
      </c>
      <c r="W1770" s="25">
        <v>0</v>
      </c>
      <c r="X1770" s="27"/>
      <c r="Y1770" s="27">
        <f>Inventory[[#This Row],[MainFn]]+Inventory[[#This Row],[UpprFn]]+Inventory[[#This Row],[FnBsmt]]+Inventory[[#This Row],[AddFn]]</f>
        <v>1328</v>
      </c>
      <c r="Z1770" s="27">
        <v>1500</v>
      </c>
      <c r="AA1770" s="25">
        <v>5</v>
      </c>
      <c r="AB1770" s="31"/>
      <c r="AC1770" s="27"/>
      <c r="AD1770" s="27"/>
      <c r="AE1770" s="27"/>
      <c r="AF1770" s="27"/>
      <c r="AG1770" s="27"/>
      <c r="AH1770" s="27"/>
      <c r="AI1770" s="25">
        <v>231044</v>
      </c>
      <c r="AJ1770" s="25">
        <v>147868</v>
      </c>
      <c r="AK1770" s="25">
        <v>4872</v>
      </c>
      <c r="AL1770" s="25">
        <v>246900</v>
      </c>
      <c r="AM1770" s="25">
        <v>60100</v>
      </c>
      <c r="AN1770" s="25">
        <v>186800</v>
      </c>
      <c r="AO1770" s="25">
        <v>0</v>
      </c>
      <c r="AP1770" s="25">
        <f>Lookups!$B$56*0</f>
        <v>0</v>
      </c>
      <c r="AQ1770" s="25">
        <f>Lookups!$B$56*1</f>
        <v>89850.625589999996</v>
      </c>
      <c r="AR1770" s="25">
        <f>Lookups!$B$57*Inventory[[#This Row],[LnAcres]]</f>
        <v>-49401.70477837498</v>
      </c>
      <c r="AS1770" s="25">
        <f>VLOOKUP(Inventory[[#This Row],[Qlty]],Lookups!$A$62:$E$75,2,FALSE)</f>
        <v>0</v>
      </c>
      <c r="AT1770" s="25">
        <f>VLOOKUP(Inventory[[#This Row],[Cnd]],Lookups!$A$76:$E$84,2,FALSE)</f>
        <v>133714.53821</v>
      </c>
      <c r="AU1770" s="25">
        <f>Inventory[[#This Row],[EffAge]]*Lookups!$B$85</f>
        <v>-12044.462427</v>
      </c>
      <c r="AV1770" s="25">
        <f>Inventory[[#This Row],[MainFn]]*Lookups!$B$86</f>
        <v>45060.706927824001</v>
      </c>
      <c r="AW1770" s="25">
        <f>Inventory[[#This Row],[UpprFn]]*Lookups!$B$87</f>
        <v>18631.151910175999</v>
      </c>
      <c r="AX1770" s="25">
        <f>Inventory[[#This Row],[AddFn]]*Lookups!$B$88</f>
        <v>0</v>
      </c>
      <c r="AY1770" s="25">
        <f>Inventory[[#This Row],[Bsmt]]*Lookups!$B$89</f>
        <v>14657.275204488</v>
      </c>
      <c r="AZ1770" s="25">
        <f>Inventory[[#This Row],[Fixtures]]*Lookups!$B$90</f>
        <v>18960.110526</v>
      </c>
      <c r="BA1770" s="25">
        <f>Inventory[[#This Row],[WdDeck]]*Lookups!$B$91</f>
        <v>0</v>
      </c>
      <c r="BB1770" s="25">
        <f>ROUND(Inventory[[#This Row],[25Det]],-2)</f>
        <v>4900</v>
      </c>
      <c r="BC1770" s="25">
        <f>ROUND(SUM(Inventory[[#This Row],[Mdl Qlty]:[Mdl WdDeck]])+Inventory[[#This Row],[Mdl Res Intercept]],-2)</f>
        <v>219000</v>
      </c>
      <c r="BD1770" s="25">
        <f>ROUND(Inventory[[#This Row],[Mdl Land Intercept]]+Inventory[[#This Row],[Mdl LnAcres]],-2)</f>
        <v>40400</v>
      </c>
      <c r="BE1770" s="25">
        <f>Inventory[[#This Row],[Unadj Res Value]]+Inventory[[#This Row],[Unadj Det Value]]+Inventory[[#This Row],[Unadj Land Value]]</f>
        <v>264300</v>
      </c>
      <c r="BF1770" s="36">
        <f>(Inventory[[#This Row],[Unadj Total Value]]-Inventory[[#This Row],[24Final]])/Inventory[[#This Row],[24Final]]</f>
        <v>7.0473876063183477E-2</v>
      </c>
      <c r="BG1770" s="25">
        <f>VLOOKUP(Inventory[[#This Row],[Nbhd]],Lookups!$Q$2:$T$4,4,FALSE)</f>
        <v>0.99970000000000003</v>
      </c>
      <c r="BH1770" s="25">
        <f>VLOOKUP(Inventory[[#This Row],[Qlty]],Lookups!$O$7:$R$21,4,FALSE)</f>
        <v>0.99180000000000001</v>
      </c>
      <c r="BI1770" s="25">
        <f>VLOOKUP(Inventory[[#This Row],[Cnd]],Lookups!$T$7:$W$16,4,FALSE)</f>
        <v>0.99329999999999996</v>
      </c>
      <c r="BJ1770" s="25">
        <f>VLOOKUP(Inventory[[#This Row],[LivArea Range]],Lookups!$T$25:$W$37,4,FALSE)</f>
        <v>1.0157</v>
      </c>
      <c r="BK1770" s="25">
        <f>VLOOKUP(Inventory[[#This Row],[Decade]],Lookups!$O$25:$R$42,4,FALSE)</f>
        <v>1.0074000000000001</v>
      </c>
      <c r="BL1770" s="25">
        <f>Inventory[[#This Row],[Nbhd Adj]]*0.95</f>
        <v>0.94971499999999998</v>
      </c>
      <c r="BM1770" s="25">
        <f>Inventory[[#This Row],[Nbhd Adj]]*Inventory[[#This Row],[Quality Adj]]*Inventory[[#This Row],[Condition Adj]]*Inventory[[#This Row],[Living Area Adj]]*Inventory[[#This Row],[Decade Adj]]*0.95</f>
        <v>0.95733786314897451</v>
      </c>
      <c r="BN1770" s="25">
        <f>ROUND(SUM(Inventory[[#This Row],[Mdl Qlty]:[Mdl WdDeck]])+Inventory[[#This Row],[Mdl Res Intercept]]*Inventory[[#This Row],[Res Adj ]],-2)</f>
        <v>219000</v>
      </c>
      <c r="BO1770" s="25">
        <f>ROUND(Inventory[[#This Row],[25Det]]*Inventory[[#This Row],[Det/Nbhd Adj]],-2)</f>
        <v>4600</v>
      </c>
      <c r="BP1770" s="25">
        <f>Inventory[[#This Row],[Adjusted Res]]+Inventory[[#This Row],[Adj Det ]]</f>
        <v>223600</v>
      </c>
      <c r="BQ1770" s="25">
        <f>ROUND((Inventory[[#This Row],[Mdl Land Intercept]]+Inventory[[#This Row],[Mdl LnAcres]])*Inventory[[#This Row],[Det/Nbhd Adj]],-2)</f>
        <v>38400</v>
      </c>
      <c r="BR1770" s="25">
        <f>Inventory[[#This Row],[Adjusted Impr Total]]+Inventory[[#This Row],[Adjusted Land Total]]</f>
        <v>262000</v>
      </c>
      <c r="BS1770" s="36">
        <f>IFERROR((Inventory[[#This Row],[Adjusted Impr Total]]-Inventory[[#This Row],[24Bldg]])/Inventory[[#This Row],[24Bldg]],0)</f>
        <v>0.19700214132762311</v>
      </c>
      <c r="BT1770" s="36">
        <f>(Inventory[[#This Row],[Adjusted Land Total]]-Inventory[[#This Row],[24Lnd]])/Inventory[[#This Row],[24Lnd]]</f>
        <v>-0.36106489184692181</v>
      </c>
      <c r="BU1770" s="36">
        <f>(Inventory[[#This Row],[Adjusted Total]]-Inventory[[#This Row],[24Final]])/Inventory[[#This Row],[24Final]]</f>
        <v>6.1158363710004049E-2</v>
      </c>
    </row>
    <row r="1771" spans="1:73" x14ac:dyDescent="0.3">
      <c r="A1771" s="25">
        <v>2025</v>
      </c>
      <c r="B1771" s="26" t="s">
        <v>1915</v>
      </c>
      <c r="C1771" s="26">
        <f>LN(Inventory[[#This Row],[Acres]])</f>
        <v>-1.8325814637483102</v>
      </c>
      <c r="D1771" s="25">
        <v>0.16</v>
      </c>
      <c r="E1771" s="31"/>
      <c r="F1771" s="26" t="s">
        <v>537</v>
      </c>
      <c r="G1771" s="26" t="s">
        <v>126</v>
      </c>
      <c r="H1771" s="26" t="s">
        <v>349</v>
      </c>
      <c r="I1771" s="26" t="s">
        <v>538</v>
      </c>
      <c r="J1771" s="26" t="s">
        <v>539</v>
      </c>
      <c r="K1771" s="26" t="s">
        <v>242</v>
      </c>
      <c r="L1771" s="26" t="s">
        <v>351</v>
      </c>
      <c r="M1771" s="26" t="s">
        <v>303</v>
      </c>
      <c r="N1771" s="26">
        <v>100</v>
      </c>
      <c r="O1771" s="26">
        <f>2024-Inventory[[#This Row],[YrBlt]]</f>
        <v>94</v>
      </c>
      <c r="P1771" s="26">
        <f>2024-Inventory[[#This Row],[EffYr]]</f>
        <v>54</v>
      </c>
      <c r="Q1771" s="25">
        <v>1930</v>
      </c>
      <c r="R1771" s="25">
        <v>1970</v>
      </c>
      <c r="S1771" s="25">
        <v>1048</v>
      </c>
      <c r="T1771" s="31"/>
      <c r="U1771" s="25">
        <v>1048</v>
      </c>
      <c r="V1771" s="32">
        <f>Inventory[[#This Row],[Bsmt]]-Inventory[[#This Row],[FnBsmt]]</f>
        <v>0</v>
      </c>
      <c r="W1771" s="32">
        <v>1048</v>
      </c>
      <c r="X1771" s="27"/>
      <c r="Y1771" s="27">
        <f>Inventory[[#This Row],[MainFn]]+Inventory[[#This Row],[UpprFn]]+Inventory[[#This Row],[FnBsmt]]+Inventory[[#This Row],[AddFn]]</f>
        <v>2096</v>
      </c>
      <c r="Z1771" s="27">
        <v>2500</v>
      </c>
      <c r="AA1771" s="25">
        <v>8</v>
      </c>
      <c r="AB1771" s="27"/>
      <c r="AC1771" s="27"/>
      <c r="AD1771" s="31"/>
      <c r="AE1771" s="27"/>
      <c r="AF1771" s="27"/>
      <c r="AG1771" s="27"/>
      <c r="AH1771" s="27"/>
      <c r="AI1771" s="25">
        <v>261173</v>
      </c>
      <c r="AJ1771" s="25">
        <v>177598</v>
      </c>
      <c r="AK1771" s="25">
        <v>9270</v>
      </c>
      <c r="AL1771" s="25">
        <v>338600</v>
      </c>
      <c r="AM1771" s="25">
        <v>50600</v>
      </c>
      <c r="AN1771" s="25">
        <v>288000</v>
      </c>
      <c r="AO1771" s="25">
        <v>0</v>
      </c>
      <c r="AP1771" s="25">
        <f>Lookups!$B$56*0</f>
        <v>0</v>
      </c>
      <c r="AQ1771" s="25">
        <f>Lookups!$B$56*1</f>
        <v>89850.625589999996</v>
      </c>
      <c r="AR1771" s="25">
        <f>Lookups!$B$57*Inventory[[#This Row],[LnAcres]]</f>
        <v>-58009.662049032086</v>
      </c>
      <c r="AS1771" s="25">
        <f>VLOOKUP(Inventory[[#This Row],[Qlty]],Lookups!$A$62:$E$75,2,FALSE)</f>
        <v>21557.329055999999</v>
      </c>
      <c r="AT1771" s="25">
        <f>VLOOKUP(Inventory[[#This Row],[Cnd]],Lookups!$A$76:$E$84,2,FALSE)</f>
        <v>197752.34721000001</v>
      </c>
      <c r="AU1771" s="25">
        <f>Inventory[[#This Row],[EffAge]]*Lookups!$B$85</f>
        <v>-12044.462427</v>
      </c>
      <c r="AV1771" s="25">
        <f>Inventory[[#This Row],[MainFn]]*Lookups!$B$86</f>
        <v>51780.286031096002</v>
      </c>
      <c r="AW1771" s="25">
        <f>Inventory[[#This Row],[UpprFn]]*Lookups!$B$87</f>
        <v>0</v>
      </c>
      <c r="AX1771" s="25">
        <f>Inventory[[#This Row],[AddFn]]*Lookups!$B$88</f>
        <v>0</v>
      </c>
      <c r="AY1771" s="25">
        <f>Inventory[[#This Row],[Bsmt]]*Lookups!$B$89</f>
        <v>30477.826218856</v>
      </c>
      <c r="AZ1771" s="25">
        <f>Inventory[[#This Row],[Fixtures]]*Lookups!$B$90</f>
        <v>30336.176841600001</v>
      </c>
      <c r="BA1771" s="25">
        <f>Inventory[[#This Row],[WdDeck]]*Lookups!$B$91</f>
        <v>0</v>
      </c>
      <c r="BB1771" s="25">
        <f>ROUND(Inventory[[#This Row],[25Det]],-2)</f>
        <v>9300</v>
      </c>
      <c r="BC1771" s="25">
        <f>ROUND(SUM(Inventory[[#This Row],[Mdl Qlty]:[Mdl WdDeck]])+Inventory[[#This Row],[Mdl Res Intercept]],-2)</f>
        <v>319900</v>
      </c>
      <c r="BD1771" s="25">
        <f>ROUND(Inventory[[#This Row],[Mdl Land Intercept]]+Inventory[[#This Row],[Mdl LnAcres]],-2)</f>
        <v>31800</v>
      </c>
      <c r="BE1771" s="25">
        <f>Inventory[[#This Row],[Unadj Res Value]]+Inventory[[#This Row],[Unadj Det Value]]+Inventory[[#This Row],[Unadj Land Value]]</f>
        <v>361000</v>
      </c>
      <c r="BF1771" s="36">
        <f>(Inventory[[#This Row],[Unadj Total Value]]-Inventory[[#This Row],[24Final]])/Inventory[[#This Row],[24Final]]</f>
        <v>6.6154754873006497E-2</v>
      </c>
      <c r="BG1771" s="25">
        <f>VLOOKUP(Inventory[[#This Row],[Nbhd]],Lookups!$Q$2:$T$4,4,FALSE)</f>
        <v>0.99970000000000003</v>
      </c>
      <c r="BH1771" s="25">
        <f>VLOOKUP(Inventory[[#This Row],[Qlty]],Lookups!$O$7:$R$21,4,FALSE)</f>
        <v>1.0067999999999999</v>
      </c>
      <c r="BI1771" s="25">
        <f>VLOOKUP(Inventory[[#This Row],[Cnd]],Lookups!$T$7:$W$16,4,FALSE)</f>
        <v>0.99650000000000005</v>
      </c>
      <c r="BJ1771" s="25">
        <f>VLOOKUP(Inventory[[#This Row],[LivArea Range]],Lookups!$T$25:$W$37,4,FALSE)</f>
        <v>0.98919999999999997</v>
      </c>
      <c r="BK1771" s="25">
        <f>VLOOKUP(Inventory[[#This Row],[Decade]],Lookups!$O$25:$R$42,4,FALSE)</f>
        <v>1.0074000000000001</v>
      </c>
      <c r="BL1771" s="25">
        <f>Inventory[[#This Row],[Nbhd Adj]]*0.95</f>
        <v>0.94971499999999998</v>
      </c>
      <c r="BM1771" s="25">
        <f>Inventory[[#This Row],[Nbhd Adj]]*Inventory[[#This Row],[Quality Adj]]*Inventory[[#This Row],[Condition Adj]]*Inventory[[#This Row],[Living Area Adj]]*Inventory[[#This Row],[Decade Adj]]*0.95</f>
        <v>0.94951069644125163</v>
      </c>
      <c r="BN1771" s="25">
        <f>ROUND(SUM(Inventory[[#This Row],[Mdl Qlty]:[Mdl WdDeck]])+Inventory[[#This Row],[Mdl Res Intercept]]*Inventory[[#This Row],[Res Adj ]],-2)</f>
        <v>319900</v>
      </c>
      <c r="BO1771" s="25">
        <f>ROUND(Inventory[[#This Row],[25Det]]*Inventory[[#This Row],[Det/Nbhd Adj]],-2)</f>
        <v>8800</v>
      </c>
      <c r="BP1771" s="25">
        <f>Inventory[[#This Row],[Adjusted Res]]+Inventory[[#This Row],[Adj Det ]]</f>
        <v>328700</v>
      </c>
      <c r="BQ1771" s="25">
        <f>ROUND((Inventory[[#This Row],[Mdl Land Intercept]]+Inventory[[#This Row],[Mdl LnAcres]])*Inventory[[#This Row],[Det/Nbhd Adj]],-2)</f>
        <v>30200</v>
      </c>
      <c r="BR1771" s="25">
        <f>Inventory[[#This Row],[Adjusted Impr Total]]+Inventory[[#This Row],[Adjusted Land Total]]</f>
        <v>358900</v>
      </c>
      <c r="BS1771" s="36">
        <f>IFERROR((Inventory[[#This Row],[Adjusted Impr Total]]-Inventory[[#This Row],[24Bldg]])/Inventory[[#This Row],[24Bldg]],0)</f>
        <v>0.14131944444444444</v>
      </c>
      <c r="BT1771" s="36">
        <f>(Inventory[[#This Row],[Adjusted Land Total]]-Inventory[[#This Row],[24Lnd]])/Inventory[[#This Row],[24Lnd]]</f>
        <v>-0.40316205533596838</v>
      </c>
      <c r="BU1771" s="36">
        <f>(Inventory[[#This Row],[Adjusted Total]]-Inventory[[#This Row],[24Final]])/Inventory[[#This Row],[24Final]]</f>
        <v>5.9952746603662135E-2</v>
      </c>
    </row>
    <row r="1772" spans="1:73" x14ac:dyDescent="0.3">
      <c r="A1772" s="25">
        <v>2025</v>
      </c>
      <c r="B1772" s="26" t="s">
        <v>2487</v>
      </c>
      <c r="C1772" s="26">
        <f>LN(Inventory[[#This Row],[Acres]])</f>
        <v>-1.0498221244986778</v>
      </c>
      <c r="D1772" s="25">
        <v>0.35</v>
      </c>
      <c r="E1772" s="32">
        <v>15309</v>
      </c>
      <c r="F1772" s="26" t="s">
        <v>537</v>
      </c>
      <c r="G1772" s="26" t="s">
        <v>126</v>
      </c>
      <c r="H1772" s="26" t="s">
        <v>349</v>
      </c>
      <c r="I1772" s="26" t="s">
        <v>538</v>
      </c>
      <c r="J1772" s="26" t="s">
        <v>539</v>
      </c>
      <c r="K1772" s="26" t="s">
        <v>173</v>
      </c>
      <c r="L1772" s="26" t="s">
        <v>302</v>
      </c>
      <c r="M1772" s="26" t="s">
        <v>323</v>
      </c>
      <c r="N1772" s="26">
        <v>100</v>
      </c>
      <c r="O1772" s="26">
        <f>2024-Inventory[[#This Row],[YrBlt]]</f>
        <v>94</v>
      </c>
      <c r="P1772" s="26">
        <f>2024-Inventory[[#This Row],[EffYr]]</f>
        <v>54</v>
      </c>
      <c r="Q1772" s="25">
        <v>1930</v>
      </c>
      <c r="R1772" s="25">
        <v>1970</v>
      </c>
      <c r="S1772" s="25">
        <v>1194</v>
      </c>
      <c r="T1772" s="32">
        <v>416</v>
      </c>
      <c r="U1772" s="25">
        <v>832</v>
      </c>
      <c r="V1772" s="25">
        <f>Inventory[[#This Row],[Bsmt]]-Inventory[[#This Row],[FnBsmt]]</f>
        <v>432</v>
      </c>
      <c r="W1772" s="25">
        <v>400</v>
      </c>
      <c r="X1772" s="27"/>
      <c r="Y1772" s="27">
        <f>Inventory[[#This Row],[MainFn]]+Inventory[[#This Row],[UpprFn]]+Inventory[[#This Row],[FnBsmt]]+Inventory[[#This Row],[AddFn]]</f>
        <v>2010</v>
      </c>
      <c r="Z1772" s="27">
        <v>2500</v>
      </c>
      <c r="AA1772" s="25">
        <v>7</v>
      </c>
      <c r="AB1772" s="27"/>
      <c r="AC1772" s="27"/>
      <c r="AD1772" s="32">
        <v>228</v>
      </c>
      <c r="AE1772" s="27"/>
      <c r="AF1772" s="27"/>
      <c r="AG1772" s="27"/>
      <c r="AH1772" s="27"/>
      <c r="AI1772" s="25">
        <v>359264</v>
      </c>
      <c r="AJ1772" s="25">
        <v>237114</v>
      </c>
      <c r="AK1772" s="25">
        <v>8782</v>
      </c>
      <c r="AL1772" s="25">
        <v>355600</v>
      </c>
      <c r="AM1772" s="25">
        <v>77900</v>
      </c>
      <c r="AN1772" s="25">
        <v>277700</v>
      </c>
      <c r="AO1772" s="25">
        <v>0</v>
      </c>
      <c r="AP1772" s="25">
        <f>Lookups!$B$56*0</f>
        <v>0</v>
      </c>
      <c r="AQ1772" s="25">
        <f>Lookups!$B$56*1</f>
        <v>89850.625589999996</v>
      </c>
      <c r="AR1772" s="25">
        <f>Lookups!$B$57*Inventory[[#This Row],[LnAcres]]</f>
        <v>-33231.715947405908</v>
      </c>
      <c r="AS1772" s="25">
        <f>VLOOKUP(Inventory[[#This Row],[Qlty]],Lookups!$A$62:$E$75,2,FALSE)</f>
        <v>29814.093161000001</v>
      </c>
      <c r="AT1772" s="25">
        <f>VLOOKUP(Inventory[[#This Row],[Cnd]],Lookups!$A$76:$E$84,2,FALSE)</f>
        <v>160472.20319</v>
      </c>
      <c r="AU1772" s="25">
        <f>Inventory[[#This Row],[EffAge]]*Lookups!$B$85</f>
        <v>-12044.462427</v>
      </c>
      <c r="AV1772" s="25">
        <f>Inventory[[#This Row],[MainFn]]*Lookups!$B$86</f>
        <v>58993.951833138002</v>
      </c>
      <c r="AW1772" s="25">
        <f>Inventory[[#This Row],[UpprFn]]*Lookups!$B$87</f>
        <v>18631.151910175999</v>
      </c>
      <c r="AX1772" s="25">
        <f>Inventory[[#This Row],[AddFn]]*Lookups!$B$88</f>
        <v>0</v>
      </c>
      <c r="AY1772" s="25">
        <f>Inventory[[#This Row],[Bsmt]]*Lookups!$B$89</f>
        <v>24196.136845503999</v>
      </c>
      <c r="AZ1772" s="25">
        <f>Inventory[[#This Row],[Fixtures]]*Lookups!$B$90</f>
        <v>26544.1547364</v>
      </c>
      <c r="BA1772" s="25">
        <f>Inventory[[#This Row],[WdDeck]]*Lookups!$B$91</f>
        <v>7591.377482928001</v>
      </c>
      <c r="BB1772" s="25">
        <f>ROUND(Inventory[[#This Row],[25Det]],-2)</f>
        <v>8800</v>
      </c>
      <c r="BC1772" s="25">
        <f>ROUND(SUM(Inventory[[#This Row],[Mdl Qlty]:[Mdl WdDeck]])+Inventory[[#This Row],[Mdl Res Intercept]],-2)</f>
        <v>314200</v>
      </c>
      <c r="BD1772" s="25">
        <f>ROUND(Inventory[[#This Row],[Mdl Land Intercept]]+Inventory[[#This Row],[Mdl LnAcres]],-2)</f>
        <v>56600</v>
      </c>
      <c r="BE1772" s="25">
        <f>Inventory[[#This Row],[Unadj Res Value]]+Inventory[[#This Row],[Unadj Det Value]]+Inventory[[#This Row],[Unadj Land Value]]</f>
        <v>379600</v>
      </c>
      <c r="BF1772" s="36">
        <f>(Inventory[[#This Row],[Unadj Total Value]]-Inventory[[#This Row],[24Final]])/Inventory[[#This Row],[24Final]]</f>
        <v>6.7491563554555684E-2</v>
      </c>
      <c r="BG1772" s="25">
        <f>VLOOKUP(Inventory[[#This Row],[Nbhd]],Lookups!$Q$2:$T$4,4,FALSE)</f>
        <v>0.99970000000000003</v>
      </c>
      <c r="BH1772" s="25">
        <f>VLOOKUP(Inventory[[#This Row],[Qlty]],Lookups!$O$7:$R$21,4,FALSE)</f>
        <v>1.0088999999999999</v>
      </c>
      <c r="BI1772" s="25">
        <f>VLOOKUP(Inventory[[#This Row],[Cnd]],Lookups!$T$7:$W$16,4,FALSE)</f>
        <v>0.99729999999999996</v>
      </c>
      <c r="BJ1772" s="25">
        <f>VLOOKUP(Inventory[[#This Row],[LivArea Range]],Lookups!$T$25:$W$37,4,FALSE)</f>
        <v>0.98919999999999997</v>
      </c>
      <c r="BK1772" s="25">
        <f>VLOOKUP(Inventory[[#This Row],[Decade]],Lookups!$O$25:$R$42,4,FALSE)</f>
        <v>1.0074000000000001</v>
      </c>
      <c r="BL1772" s="25">
        <f>Inventory[[#This Row],[Nbhd Adj]]*0.95</f>
        <v>0.94971499999999998</v>
      </c>
      <c r="BM1772" s="25">
        <f>Inventory[[#This Row],[Nbhd Adj]]*Inventory[[#This Row],[Quality Adj]]*Inventory[[#This Row],[Condition Adj]]*Inventory[[#This Row],[Living Area Adj]]*Inventory[[#This Row],[Decade Adj]]*0.95</f>
        <v>0.95225506796349002</v>
      </c>
      <c r="BN1772" s="25">
        <f>ROUND(SUM(Inventory[[#This Row],[Mdl Qlty]:[Mdl WdDeck]])+Inventory[[#This Row],[Mdl Res Intercept]]*Inventory[[#This Row],[Res Adj ]],-2)</f>
        <v>314200</v>
      </c>
      <c r="BO1772" s="25">
        <f>ROUND(Inventory[[#This Row],[25Det]]*Inventory[[#This Row],[Det/Nbhd Adj]],-2)</f>
        <v>8300</v>
      </c>
      <c r="BP1772" s="25">
        <f>Inventory[[#This Row],[Adjusted Res]]+Inventory[[#This Row],[Adj Det ]]</f>
        <v>322500</v>
      </c>
      <c r="BQ1772" s="25">
        <f>ROUND((Inventory[[#This Row],[Mdl Land Intercept]]+Inventory[[#This Row],[Mdl LnAcres]])*Inventory[[#This Row],[Det/Nbhd Adj]],-2)</f>
        <v>53800</v>
      </c>
      <c r="BR1772" s="25">
        <f>Inventory[[#This Row],[Adjusted Impr Total]]+Inventory[[#This Row],[Adjusted Land Total]]</f>
        <v>376300</v>
      </c>
      <c r="BS1772" s="36">
        <f>IFERROR((Inventory[[#This Row],[Adjusted Impr Total]]-Inventory[[#This Row],[24Bldg]])/Inventory[[#This Row],[24Bldg]],0)</f>
        <v>0.1613251710478934</v>
      </c>
      <c r="BT1772" s="36">
        <f>(Inventory[[#This Row],[Adjusted Land Total]]-Inventory[[#This Row],[24Lnd]])/Inventory[[#This Row],[24Lnd]]</f>
        <v>-0.30937098844672656</v>
      </c>
      <c r="BU1772" s="36">
        <f>(Inventory[[#This Row],[Adjusted Total]]-Inventory[[#This Row],[24Final]])/Inventory[[#This Row],[24Final]]</f>
        <v>5.8211473565804271E-2</v>
      </c>
    </row>
    <row r="1773" spans="1:73" x14ac:dyDescent="0.3">
      <c r="A1773" s="25">
        <v>2025</v>
      </c>
      <c r="B1773" s="26" t="s">
        <v>2759</v>
      </c>
      <c r="C1773" s="26">
        <f>LN(Inventory[[#This Row],[Acres]])</f>
        <v>-1.2378743560016174</v>
      </c>
      <c r="D1773" s="25">
        <v>0.28999999999999998</v>
      </c>
      <c r="E1773" s="32">
        <v>12529</v>
      </c>
      <c r="F1773" s="26" t="s">
        <v>537</v>
      </c>
      <c r="G1773" s="26" t="s">
        <v>126</v>
      </c>
      <c r="H1773" s="26" t="s">
        <v>349</v>
      </c>
      <c r="I1773" s="26" t="s">
        <v>538</v>
      </c>
      <c r="J1773" s="26" t="s">
        <v>539</v>
      </c>
      <c r="K1773" s="26" t="s">
        <v>242</v>
      </c>
      <c r="L1773" s="26" t="s">
        <v>205</v>
      </c>
      <c r="M1773" s="26" t="s">
        <v>303</v>
      </c>
      <c r="N1773" s="26">
        <v>100</v>
      </c>
      <c r="O1773" s="26">
        <f>2024-Inventory[[#This Row],[YrBlt]]</f>
        <v>94</v>
      </c>
      <c r="P1773" s="26">
        <f>2024-Inventory[[#This Row],[EffYr]]</f>
        <v>54</v>
      </c>
      <c r="Q1773" s="25">
        <v>1930</v>
      </c>
      <c r="R1773" s="25">
        <v>1970</v>
      </c>
      <c r="S1773" s="25">
        <v>768</v>
      </c>
      <c r="T1773" s="31"/>
      <c r="U1773" s="27"/>
      <c r="V1773" s="27">
        <f>Inventory[[#This Row],[Bsmt]]-Inventory[[#This Row],[FnBsmt]]</f>
        <v>0</v>
      </c>
      <c r="W1773" s="27"/>
      <c r="X1773" s="27"/>
      <c r="Y1773" s="27">
        <f>Inventory[[#This Row],[MainFn]]+Inventory[[#This Row],[UpprFn]]+Inventory[[#This Row],[FnBsmt]]+Inventory[[#This Row],[AddFn]]</f>
        <v>768</v>
      </c>
      <c r="Z1773" s="27">
        <v>1000</v>
      </c>
      <c r="AA1773" s="25">
        <v>8</v>
      </c>
      <c r="AB1773" s="27"/>
      <c r="AC1773" s="27"/>
      <c r="AD1773" s="27"/>
      <c r="AE1773" s="27"/>
      <c r="AF1773" s="27"/>
      <c r="AG1773" s="27"/>
      <c r="AH1773" s="27"/>
      <c r="AI1773" s="25">
        <v>127918</v>
      </c>
      <c r="AJ1773" s="25">
        <v>86984</v>
      </c>
      <c r="AK1773" s="25">
        <v>6708</v>
      </c>
      <c r="AL1773" s="25">
        <v>291700</v>
      </c>
      <c r="AM1773" s="25">
        <v>71400</v>
      </c>
      <c r="AN1773" s="25">
        <v>220300</v>
      </c>
      <c r="AO1773" s="25">
        <v>0</v>
      </c>
      <c r="AP1773" s="25">
        <f>Lookups!$B$56*0</f>
        <v>0</v>
      </c>
      <c r="AQ1773" s="25">
        <f>Lookups!$B$56*1</f>
        <v>89850.625589999996</v>
      </c>
      <c r="AR1773" s="25">
        <f>Lookups!$B$57*Inventory[[#This Row],[LnAcres]]</f>
        <v>-39184.437074869042</v>
      </c>
      <c r="AS1773" s="25">
        <f>VLOOKUP(Inventory[[#This Row],[Qlty]],Lookups!$A$62:$E$75,2,FALSE)</f>
        <v>0</v>
      </c>
      <c r="AT1773" s="25">
        <f>VLOOKUP(Inventory[[#This Row],[Cnd]],Lookups!$A$76:$E$84,2,FALSE)</f>
        <v>197752.34721000001</v>
      </c>
      <c r="AU1773" s="25">
        <f>Inventory[[#This Row],[EffAge]]*Lookups!$B$85</f>
        <v>-12044.462427</v>
      </c>
      <c r="AV1773" s="25">
        <f>Inventory[[#This Row],[MainFn]]*Lookups!$B$86</f>
        <v>37945.858465536003</v>
      </c>
      <c r="AW1773" s="25">
        <f>Inventory[[#This Row],[UpprFn]]*Lookups!$B$87</f>
        <v>0</v>
      </c>
      <c r="AX1773" s="25">
        <f>Inventory[[#This Row],[AddFn]]*Lookups!$B$88</f>
        <v>0</v>
      </c>
      <c r="AY1773" s="25">
        <f>Inventory[[#This Row],[Bsmt]]*Lookups!$B$89</f>
        <v>0</v>
      </c>
      <c r="AZ1773" s="25">
        <f>Inventory[[#This Row],[Fixtures]]*Lookups!$B$90</f>
        <v>30336.176841600001</v>
      </c>
      <c r="BA1773" s="25">
        <f>Inventory[[#This Row],[WdDeck]]*Lookups!$B$91</f>
        <v>0</v>
      </c>
      <c r="BB1773" s="25">
        <f>ROUND(Inventory[[#This Row],[25Det]],-2)</f>
        <v>6700</v>
      </c>
      <c r="BC1773" s="25">
        <f>ROUND(SUM(Inventory[[#This Row],[Mdl Qlty]:[Mdl WdDeck]])+Inventory[[#This Row],[Mdl Res Intercept]],-2)</f>
        <v>254000</v>
      </c>
      <c r="BD1773" s="25">
        <f>ROUND(Inventory[[#This Row],[Mdl Land Intercept]]+Inventory[[#This Row],[Mdl LnAcres]],-2)</f>
        <v>50700</v>
      </c>
      <c r="BE1773" s="25">
        <f>Inventory[[#This Row],[Unadj Res Value]]+Inventory[[#This Row],[Unadj Det Value]]+Inventory[[#This Row],[Unadj Land Value]]</f>
        <v>311400</v>
      </c>
      <c r="BF1773" s="36">
        <f>(Inventory[[#This Row],[Unadj Total Value]]-Inventory[[#This Row],[24Final]])/Inventory[[#This Row],[24Final]]</f>
        <v>6.753513884127528E-2</v>
      </c>
      <c r="BG1773" s="25">
        <f>VLOOKUP(Inventory[[#This Row],[Nbhd]],Lookups!$Q$2:$T$4,4,FALSE)</f>
        <v>0.99970000000000003</v>
      </c>
      <c r="BH1773" s="25">
        <f>VLOOKUP(Inventory[[#This Row],[Qlty]],Lookups!$O$7:$R$21,4,FALSE)</f>
        <v>0.99180000000000001</v>
      </c>
      <c r="BI1773" s="25">
        <f>VLOOKUP(Inventory[[#This Row],[Cnd]],Lookups!$T$7:$W$16,4,FALSE)</f>
        <v>0.99650000000000005</v>
      </c>
      <c r="BJ1773" s="25">
        <f>VLOOKUP(Inventory[[#This Row],[LivArea Range]],Lookups!$T$25:$W$37,4,FALSE)</f>
        <v>1.0148999999999999</v>
      </c>
      <c r="BK1773" s="25">
        <f>VLOOKUP(Inventory[[#This Row],[Decade]],Lookups!$O$25:$R$42,4,FALSE)</f>
        <v>1.0074000000000001</v>
      </c>
      <c r="BL1773" s="25">
        <f>Inventory[[#This Row],[Nbhd Adj]]*0.95</f>
        <v>0.94971499999999998</v>
      </c>
      <c r="BM1773" s="25">
        <f>Inventory[[#This Row],[Nbhd Adj]]*Inventory[[#This Row],[Quality Adj]]*Inventory[[#This Row],[Condition Adj]]*Inventory[[#This Row],[Living Area Adj]]*Inventory[[#This Row],[Decade Adj]]*0.95</f>
        <v>0.9596655469159463</v>
      </c>
      <c r="BN1773" s="25">
        <f>ROUND(SUM(Inventory[[#This Row],[Mdl Qlty]:[Mdl WdDeck]])+Inventory[[#This Row],[Mdl Res Intercept]]*Inventory[[#This Row],[Res Adj ]],-2)</f>
        <v>254000</v>
      </c>
      <c r="BO1773" s="25">
        <f>ROUND(Inventory[[#This Row],[25Det]]*Inventory[[#This Row],[Det/Nbhd Adj]],-2)</f>
        <v>6400</v>
      </c>
      <c r="BP1773" s="25">
        <f>Inventory[[#This Row],[Adjusted Res]]+Inventory[[#This Row],[Adj Det ]]</f>
        <v>260400</v>
      </c>
      <c r="BQ1773" s="25">
        <f>ROUND((Inventory[[#This Row],[Mdl Land Intercept]]+Inventory[[#This Row],[Mdl LnAcres]])*Inventory[[#This Row],[Det/Nbhd Adj]],-2)</f>
        <v>48100</v>
      </c>
      <c r="BR1773" s="25">
        <f>Inventory[[#This Row],[Adjusted Impr Total]]+Inventory[[#This Row],[Adjusted Land Total]]</f>
        <v>308500</v>
      </c>
      <c r="BS1773" s="36">
        <f>IFERROR((Inventory[[#This Row],[Adjusted Impr Total]]-Inventory[[#This Row],[24Bldg]])/Inventory[[#This Row],[24Bldg]],0)</f>
        <v>0.18202451202905129</v>
      </c>
      <c r="BT1773" s="36">
        <f>(Inventory[[#This Row],[Adjusted Land Total]]-Inventory[[#This Row],[24Lnd]])/Inventory[[#This Row],[24Lnd]]</f>
        <v>-0.32633053221288516</v>
      </c>
      <c r="BU1773" s="36">
        <f>(Inventory[[#This Row],[Adjusted Total]]-Inventory[[#This Row],[24Final]])/Inventory[[#This Row],[24Final]]</f>
        <v>5.7593417895097705E-2</v>
      </c>
    </row>
    <row r="1774" spans="1:73" x14ac:dyDescent="0.3">
      <c r="A1774" s="25">
        <v>2025</v>
      </c>
      <c r="B1774" s="26" t="s">
        <v>1034</v>
      </c>
      <c r="C1774" s="26">
        <f>LN(Inventory[[#This Row],[Acres]])</f>
        <v>-1.8325814637483102</v>
      </c>
      <c r="D1774" s="25">
        <v>0.16</v>
      </c>
      <c r="E1774" s="27"/>
      <c r="F1774" s="26" t="s">
        <v>537</v>
      </c>
      <c r="G1774" s="26" t="s">
        <v>126</v>
      </c>
      <c r="H1774" s="26" t="s">
        <v>349</v>
      </c>
      <c r="I1774" s="26" t="s">
        <v>538</v>
      </c>
      <c r="J1774" s="26" t="s">
        <v>539</v>
      </c>
      <c r="K1774" s="26" t="s">
        <v>173</v>
      </c>
      <c r="L1774" s="26" t="s">
        <v>148</v>
      </c>
      <c r="M1774" s="26" t="s">
        <v>303</v>
      </c>
      <c r="N1774" s="26">
        <v>100</v>
      </c>
      <c r="O1774" s="26">
        <f>2024-Inventory[[#This Row],[YrBlt]]</f>
        <v>94</v>
      </c>
      <c r="P1774" s="26">
        <f>2024-Inventory[[#This Row],[EffYr]]</f>
        <v>54</v>
      </c>
      <c r="Q1774" s="25">
        <v>1930</v>
      </c>
      <c r="R1774" s="25">
        <v>1970</v>
      </c>
      <c r="S1774" s="25">
        <v>920</v>
      </c>
      <c r="T1774" s="25">
        <v>336</v>
      </c>
      <c r="U1774" s="25">
        <v>920</v>
      </c>
      <c r="V1774" s="32">
        <f>Inventory[[#This Row],[Bsmt]]-Inventory[[#This Row],[FnBsmt]]</f>
        <v>0</v>
      </c>
      <c r="W1774" s="32">
        <v>920</v>
      </c>
      <c r="X1774" s="27"/>
      <c r="Y1774" s="27">
        <f>Inventory[[#This Row],[MainFn]]+Inventory[[#This Row],[UpprFn]]+Inventory[[#This Row],[FnBsmt]]+Inventory[[#This Row],[AddFn]]</f>
        <v>2176</v>
      </c>
      <c r="Z1774" s="27">
        <v>2500</v>
      </c>
      <c r="AA1774" s="25">
        <v>8</v>
      </c>
      <c r="AB1774" s="27"/>
      <c r="AC1774" s="27"/>
      <c r="AD1774" s="27"/>
      <c r="AE1774" s="27"/>
      <c r="AF1774" s="27"/>
      <c r="AG1774" s="27"/>
      <c r="AH1774" s="27"/>
      <c r="AI1774" s="25">
        <v>405664</v>
      </c>
      <c r="AJ1774" s="25">
        <v>275852</v>
      </c>
      <c r="AK1774" s="25">
        <v>34189</v>
      </c>
      <c r="AL1774" s="25">
        <v>387900</v>
      </c>
      <c r="AM1774" s="25">
        <v>50600</v>
      </c>
      <c r="AN1774" s="25">
        <v>337300</v>
      </c>
      <c r="AO1774" s="25">
        <v>0</v>
      </c>
      <c r="AP1774" s="25">
        <f>Lookups!$B$56*0</f>
        <v>0</v>
      </c>
      <c r="AQ1774" s="25">
        <f>Lookups!$B$56*1</f>
        <v>89850.625589999996</v>
      </c>
      <c r="AR1774" s="25">
        <f>Lookups!$B$57*Inventory[[#This Row],[LnAcres]]</f>
        <v>-58009.662049032086</v>
      </c>
      <c r="AS1774" s="25">
        <f>VLOOKUP(Inventory[[#This Row],[Qlty]],Lookups!$A$62:$E$75,2,FALSE)</f>
        <v>44121.038090000002</v>
      </c>
      <c r="AT1774" s="25">
        <f>VLOOKUP(Inventory[[#This Row],[Cnd]],Lookups!$A$76:$E$84,2,FALSE)</f>
        <v>197752.34721000001</v>
      </c>
      <c r="AU1774" s="25">
        <f>Inventory[[#This Row],[EffAge]]*Lookups!$B$85</f>
        <v>-12044.462427</v>
      </c>
      <c r="AV1774" s="25">
        <f>Inventory[[#This Row],[MainFn]]*Lookups!$B$86</f>
        <v>45455.976286839999</v>
      </c>
      <c r="AW1774" s="25">
        <f>Inventory[[#This Row],[UpprFn]]*Lookups!$B$87</f>
        <v>15048.238081296</v>
      </c>
      <c r="AX1774" s="25">
        <f>Inventory[[#This Row],[AddFn]]*Lookups!$B$88</f>
        <v>0</v>
      </c>
      <c r="AY1774" s="25">
        <f>Inventory[[#This Row],[Bsmt]]*Lookups!$B$89</f>
        <v>26755.343627239999</v>
      </c>
      <c r="AZ1774" s="25">
        <f>Inventory[[#This Row],[Fixtures]]*Lookups!$B$90</f>
        <v>30336.176841600001</v>
      </c>
      <c r="BA1774" s="25">
        <f>Inventory[[#This Row],[WdDeck]]*Lookups!$B$91</f>
        <v>0</v>
      </c>
      <c r="BB1774" s="25">
        <f>ROUND(Inventory[[#This Row],[25Det]],-2)</f>
        <v>34200</v>
      </c>
      <c r="BC1774" s="25">
        <f>ROUND(SUM(Inventory[[#This Row],[Mdl Qlty]:[Mdl WdDeck]])+Inventory[[#This Row],[Mdl Res Intercept]],-2)</f>
        <v>347400</v>
      </c>
      <c r="BD1774" s="25">
        <f>ROUND(Inventory[[#This Row],[Mdl Land Intercept]]+Inventory[[#This Row],[Mdl LnAcres]],-2)</f>
        <v>31800</v>
      </c>
      <c r="BE1774" s="25">
        <f>Inventory[[#This Row],[Unadj Res Value]]+Inventory[[#This Row],[Unadj Det Value]]+Inventory[[#This Row],[Unadj Land Value]]</f>
        <v>413400</v>
      </c>
      <c r="BF1774" s="36">
        <f>(Inventory[[#This Row],[Unadj Total Value]]-Inventory[[#This Row],[24Final]])/Inventory[[#This Row],[24Final]]</f>
        <v>6.5738592420726993E-2</v>
      </c>
      <c r="BG1774" s="25">
        <f>VLOOKUP(Inventory[[#This Row],[Nbhd]],Lookups!$Q$2:$T$4,4,FALSE)</f>
        <v>0.99970000000000003</v>
      </c>
      <c r="BH1774" s="25">
        <f>VLOOKUP(Inventory[[#This Row],[Qlty]],Lookups!$O$7:$R$21,4,FALSE)</f>
        <v>0.98050000000000004</v>
      </c>
      <c r="BI1774" s="25">
        <f>VLOOKUP(Inventory[[#This Row],[Cnd]],Lookups!$T$7:$W$16,4,FALSE)</f>
        <v>0.99650000000000005</v>
      </c>
      <c r="BJ1774" s="25">
        <f>VLOOKUP(Inventory[[#This Row],[LivArea Range]],Lookups!$T$25:$W$37,4,FALSE)</f>
        <v>0.98919999999999997</v>
      </c>
      <c r="BK1774" s="25">
        <f>VLOOKUP(Inventory[[#This Row],[Decade]],Lookups!$O$25:$R$42,4,FALSE)</f>
        <v>1.0074000000000001</v>
      </c>
      <c r="BL1774" s="25">
        <f>Inventory[[#This Row],[Nbhd Adj]]*0.95</f>
        <v>0.94971499999999998</v>
      </c>
      <c r="BM1774" s="25">
        <f>Inventory[[#This Row],[Nbhd Adj]]*Inventory[[#This Row],[Quality Adj]]*Inventory[[#This Row],[Condition Adj]]*Inventory[[#This Row],[Living Area Adj]]*Inventory[[#This Row],[Decade Adj]]*0.95</f>
        <v>0.9247072287054503</v>
      </c>
      <c r="BN1774" s="25">
        <f>ROUND(SUM(Inventory[[#This Row],[Mdl Qlty]:[Mdl WdDeck]])+Inventory[[#This Row],[Mdl Res Intercept]]*Inventory[[#This Row],[Res Adj ]],-2)</f>
        <v>347400</v>
      </c>
      <c r="BO1774" s="25">
        <f>ROUND(Inventory[[#This Row],[25Det]]*Inventory[[#This Row],[Det/Nbhd Adj]],-2)</f>
        <v>32500</v>
      </c>
      <c r="BP1774" s="25">
        <f>Inventory[[#This Row],[Adjusted Res]]+Inventory[[#This Row],[Adj Det ]]</f>
        <v>379900</v>
      </c>
      <c r="BQ1774" s="25">
        <f>ROUND((Inventory[[#This Row],[Mdl Land Intercept]]+Inventory[[#This Row],[Mdl LnAcres]])*Inventory[[#This Row],[Det/Nbhd Adj]],-2)</f>
        <v>30200</v>
      </c>
      <c r="BR1774" s="25">
        <f>Inventory[[#This Row],[Adjusted Impr Total]]+Inventory[[#This Row],[Adjusted Land Total]]</f>
        <v>410100</v>
      </c>
      <c r="BS1774" s="36">
        <f>IFERROR((Inventory[[#This Row],[Adjusted Impr Total]]-Inventory[[#This Row],[24Bldg]])/Inventory[[#This Row],[24Bldg]],0)</f>
        <v>0.12629706492736437</v>
      </c>
      <c r="BT1774" s="36">
        <f>(Inventory[[#This Row],[Adjusted Land Total]]-Inventory[[#This Row],[24Lnd]])/Inventory[[#This Row],[24Lnd]]</f>
        <v>-0.40316205533596838</v>
      </c>
      <c r="BU1774" s="36">
        <f>(Inventory[[#This Row],[Adjusted Total]]-Inventory[[#This Row],[24Final]])/Inventory[[#This Row],[24Final]]</f>
        <v>5.7231245166279969E-2</v>
      </c>
    </row>
    <row r="1775" spans="1:73" x14ac:dyDescent="0.3">
      <c r="A1775" s="25">
        <v>2025</v>
      </c>
      <c r="B1775" s="26" t="s">
        <v>977</v>
      </c>
      <c r="C1775" s="26">
        <f>LN(Inventory[[#This Row],[Acres]])</f>
        <v>-1.3470736479666092</v>
      </c>
      <c r="D1775" s="25">
        <v>0.26</v>
      </c>
      <c r="E1775" s="32">
        <v>11247</v>
      </c>
      <c r="F1775" s="26" t="s">
        <v>537</v>
      </c>
      <c r="G1775" s="26" t="s">
        <v>126</v>
      </c>
      <c r="H1775" s="26" t="s">
        <v>349</v>
      </c>
      <c r="I1775" s="26" t="s">
        <v>538</v>
      </c>
      <c r="J1775" s="26" t="s">
        <v>638</v>
      </c>
      <c r="K1775" s="26" t="s">
        <v>242</v>
      </c>
      <c r="L1775" s="26" t="s">
        <v>351</v>
      </c>
      <c r="M1775" s="26" t="s">
        <v>206</v>
      </c>
      <c r="N1775" s="26">
        <v>100</v>
      </c>
      <c r="O1775" s="26">
        <f>2024-Inventory[[#This Row],[YrBlt]]</f>
        <v>94</v>
      </c>
      <c r="P1775" s="26">
        <f>2024-Inventory[[#This Row],[EffYr]]</f>
        <v>54</v>
      </c>
      <c r="Q1775" s="25">
        <v>1930</v>
      </c>
      <c r="R1775" s="25">
        <v>1970</v>
      </c>
      <c r="S1775" s="25">
        <v>936</v>
      </c>
      <c r="T1775" s="27"/>
      <c r="U1775" s="25">
        <v>700</v>
      </c>
      <c r="V1775" s="32">
        <f>Inventory[[#This Row],[Bsmt]]-Inventory[[#This Row],[FnBsmt]]</f>
        <v>452</v>
      </c>
      <c r="W1775" s="32">
        <v>248</v>
      </c>
      <c r="X1775" s="27"/>
      <c r="Y1775" s="27">
        <f>Inventory[[#This Row],[MainFn]]+Inventory[[#This Row],[UpprFn]]+Inventory[[#This Row],[FnBsmt]]+Inventory[[#This Row],[AddFn]]</f>
        <v>1184</v>
      </c>
      <c r="Z1775" s="27">
        <v>1500</v>
      </c>
      <c r="AA1775" s="25">
        <v>8</v>
      </c>
      <c r="AB1775" s="27"/>
      <c r="AC1775" s="27"/>
      <c r="AD1775" s="31"/>
      <c r="AE1775" s="27"/>
      <c r="AF1775" s="27"/>
      <c r="AG1775" s="27"/>
      <c r="AH1775" s="27"/>
      <c r="AI1775" s="25">
        <v>214752</v>
      </c>
      <c r="AJ1775" s="25">
        <v>137441</v>
      </c>
      <c r="AK1775" s="25">
        <v>0</v>
      </c>
      <c r="AL1775" s="25">
        <v>269600</v>
      </c>
      <c r="AM1775" s="25">
        <v>67600</v>
      </c>
      <c r="AN1775" s="25">
        <v>202000</v>
      </c>
      <c r="AO1775" s="25">
        <v>0</v>
      </c>
      <c r="AP1775" s="25">
        <f>Lookups!$B$56*0</f>
        <v>0</v>
      </c>
      <c r="AQ1775" s="25">
        <f>Lookups!$B$56*1</f>
        <v>89850.625589999996</v>
      </c>
      <c r="AR1775" s="25">
        <f>Lookups!$B$57*Inventory[[#This Row],[LnAcres]]</f>
        <v>-42641.098701210125</v>
      </c>
      <c r="AS1775" s="25">
        <f>VLOOKUP(Inventory[[#This Row],[Qlty]],Lookups!$A$62:$E$75,2,FALSE)</f>
        <v>21557.329055999999</v>
      </c>
      <c r="AT1775" s="25">
        <f>VLOOKUP(Inventory[[#This Row],[Cnd]],Lookups!$A$76:$E$84,2,FALSE)</f>
        <v>133714.53821</v>
      </c>
      <c r="AU1775" s="25">
        <f>Inventory[[#This Row],[EffAge]]*Lookups!$B$85</f>
        <v>-12044.462427</v>
      </c>
      <c r="AV1775" s="25">
        <f>Inventory[[#This Row],[MainFn]]*Lookups!$B$86</f>
        <v>46246.515004872002</v>
      </c>
      <c r="AW1775" s="25">
        <f>Inventory[[#This Row],[UpprFn]]*Lookups!$B$87</f>
        <v>0</v>
      </c>
      <c r="AX1775" s="25">
        <f>Inventory[[#This Row],[AddFn]]*Lookups!$B$88</f>
        <v>0</v>
      </c>
      <c r="AY1775" s="25">
        <f>Inventory[[#This Row],[Bsmt]]*Lookups!$B$89</f>
        <v>20357.326672899999</v>
      </c>
      <c r="AZ1775" s="25">
        <f>Inventory[[#This Row],[Fixtures]]*Lookups!$B$90</f>
        <v>30336.176841600001</v>
      </c>
      <c r="BA1775" s="25">
        <f>Inventory[[#This Row],[WdDeck]]*Lookups!$B$91</f>
        <v>0</v>
      </c>
      <c r="BB1775" s="25">
        <f>ROUND(Inventory[[#This Row],[25Det]],-2)</f>
        <v>0</v>
      </c>
      <c r="BC1775" s="25">
        <f>ROUND(SUM(Inventory[[#This Row],[Mdl Qlty]:[Mdl WdDeck]])+Inventory[[#This Row],[Mdl Res Intercept]],-2)</f>
        <v>240200</v>
      </c>
      <c r="BD1775" s="25">
        <f>ROUND(Inventory[[#This Row],[Mdl Land Intercept]]+Inventory[[#This Row],[Mdl LnAcres]],-2)</f>
        <v>47200</v>
      </c>
      <c r="BE1775" s="25">
        <f>Inventory[[#This Row],[Unadj Res Value]]+Inventory[[#This Row],[Unadj Det Value]]+Inventory[[#This Row],[Unadj Land Value]]</f>
        <v>287400</v>
      </c>
      <c r="BF1775" s="36">
        <f>(Inventory[[#This Row],[Unadj Total Value]]-Inventory[[#This Row],[24Final]])/Inventory[[#This Row],[24Final]]</f>
        <v>6.6023738872403565E-2</v>
      </c>
      <c r="BG1775" s="25">
        <f>VLOOKUP(Inventory[[#This Row],[Nbhd]],Lookups!$Q$2:$T$4,4,FALSE)</f>
        <v>0.99970000000000003</v>
      </c>
      <c r="BH1775" s="25">
        <f>VLOOKUP(Inventory[[#This Row],[Qlty]],Lookups!$O$7:$R$21,4,FALSE)</f>
        <v>1.0067999999999999</v>
      </c>
      <c r="BI1775" s="25">
        <f>VLOOKUP(Inventory[[#This Row],[Cnd]],Lookups!$T$7:$W$16,4,FALSE)</f>
        <v>0.99329999999999996</v>
      </c>
      <c r="BJ1775" s="25">
        <f>VLOOKUP(Inventory[[#This Row],[LivArea Range]],Lookups!$T$25:$W$37,4,FALSE)</f>
        <v>1.0157</v>
      </c>
      <c r="BK1775" s="25">
        <f>VLOOKUP(Inventory[[#This Row],[Decade]],Lookups!$O$25:$R$42,4,FALSE)</f>
        <v>1.0074000000000001</v>
      </c>
      <c r="BL1775" s="25">
        <f>Inventory[[#This Row],[Nbhd Adj]]*0.95</f>
        <v>0.94971499999999998</v>
      </c>
      <c r="BM1775" s="25">
        <f>Inventory[[#This Row],[Nbhd Adj]]*Inventory[[#This Row],[Quality Adj]]*Inventory[[#This Row],[Condition Adj]]*Inventory[[#This Row],[Living Area Adj]]*Inventory[[#This Row],[Decade Adj]]*0.95</f>
        <v>0.971816657207489</v>
      </c>
      <c r="BN1775" s="25">
        <f>ROUND(SUM(Inventory[[#This Row],[Mdl Qlty]:[Mdl WdDeck]])+Inventory[[#This Row],[Mdl Res Intercept]]*Inventory[[#This Row],[Res Adj ]],-2)</f>
        <v>240200</v>
      </c>
      <c r="BO1775" s="25">
        <f>ROUND(Inventory[[#This Row],[25Det]]*Inventory[[#This Row],[Det/Nbhd Adj]],-2)</f>
        <v>0</v>
      </c>
      <c r="BP1775" s="25">
        <f>Inventory[[#This Row],[Adjusted Res]]+Inventory[[#This Row],[Adj Det ]]</f>
        <v>240200</v>
      </c>
      <c r="BQ1775" s="25">
        <f>ROUND((Inventory[[#This Row],[Mdl Land Intercept]]+Inventory[[#This Row],[Mdl LnAcres]])*Inventory[[#This Row],[Det/Nbhd Adj]],-2)</f>
        <v>44800</v>
      </c>
      <c r="BR1775" s="25">
        <f>Inventory[[#This Row],[Adjusted Impr Total]]+Inventory[[#This Row],[Adjusted Land Total]]</f>
        <v>285000</v>
      </c>
      <c r="BS1775" s="36">
        <f>IFERROR((Inventory[[#This Row],[Adjusted Impr Total]]-Inventory[[#This Row],[24Bldg]])/Inventory[[#This Row],[24Bldg]],0)</f>
        <v>0.18910891089108911</v>
      </c>
      <c r="BT1775" s="36">
        <f>(Inventory[[#This Row],[Adjusted Land Total]]-Inventory[[#This Row],[24Lnd]])/Inventory[[#This Row],[24Lnd]]</f>
        <v>-0.33727810650887574</v>
      </c>
      <c r="BU1775" s="36">
        <f>(Inventory[[#This Row],[Adjusted Total]]-Inventory[[#This Row],[24Final]])/Inventory[[#This Row],[24Final]]</f>
        <v>5.7121661721068251E-2</v>
      </c>
    </row>
    <row r="1776" spans="1:73" x14ac:dyDescent="0.3">
      <c r="A1776" s="25">
        <v>2025</v>
      </c>
      <c r="B1776" s="26" t="s">
        <v>2788</v>
      </c>
      <c r="C1776" s="26">
        <f>LN(Inventory[[#This Row],[Acres]])</f>
        <v>-1.1394342831883648</v>
      </c>
      <c r="D1776" s="25">
        <v>0.32</v>
      </c>
      <c r="E1776" s="32">
        <v>14015</v>
      </c>
      <c r="F1776" s="26" t="s">
        <v>537</v>
      </c>
      <c r="G1776" s="26" t="s">
        <v>126</v>
      </c>
      <c r="H1776" s="26" t="s">
        <v>349</v>
      </c>
      <c r="I1776" s="26" t="s">
        <v>538</v>
      </c>
      <c r="J1776" s="26" t="s">
        <v>539</v>
      </c>
      <c r="K1776" s="26" t="s">
        <v>173</v>
      </c>
      <c r="L1776" s="26" t="s">
        <v>148</v>
      </c>
      <c r="M1776" s="26" t="s">
        <v>303</v>
      </c>
      <c r="N1776" s="26">
        <v>100</v>
      </c>
      <c r="O1776" s="26">
        <f>2024-Inventory[[#This Row],[YrBlt]]</f>
        <v>94</v>
      </c>
      <c r="P1776" s="26">
        <f>2024-Inventory[[#This Row],[EffYr]]</f>
        <v>54</v>
      </c>
      <c r="Q1776" s="25">
        <v>1930</v>
      </c>
      <c r="R1776" s="25">
        <v>1970</v>
      </c>
      <c r="S1776" s="25">
        <v>1284</v>
      </c>
      <c r="T1776" s="32">
        <v>1454</v>
      </c>
      <c r="U1776" s="25">
        <v>1284</v>
      </c>
      <c r="V1776" s="32">
        <f>Inventory[[#This Row],[Bsmt]]-Inventory[[#This Row],[FnBsmt]]</f>
        <v>642</v>
      </c>
      <c r="W1776" s="32">
        <v>642</v>
      </c>
      <c r="X1776" s="27"/>
      <c r="Y1776" s="27">
        <f>Inventory[[#This Row],[MainFn]]+Inventory[[#This Row],[UpprFn]]+Inventory[[#This Row],[FnBsmt]]+Inventory[[#This Row],[AddFn]]</f>
        <v>3380</v>
      </c>
      <c r="Z1776" s="27">
        <v>3500</v>
      </c>
      <c r="AA1776" s="25">
        <v>10</v>
      </c>
      <c r="AB1776" s="27"/>
      <c r="AC1776" s="32">
        <v>320</v>
      </c>
      <c r="AD1776" s="27"/>
      <c r="AE1776" s="27"/>
      <c r="AF1776" s="27"/>
      <c r="AG1776" s="27"/>
      <c r="AH1776" s="27"/>
      <c r="AI1776" s="25">
        <v>620765</v>
      </c>
      <c r="AJ1776" s="25">
        <v>422120</v>
      </c>
      <c r="AK1776" s="25">
        <v>0</v>
      </c>
      <c r="AL1776" s="25">
        <v>459000</v>
      </c>
      <c r="AM1776" s="25">
        <v>74800</v>
      </c>
      <c r="AN1776" s="25">
        <v>384200</v>
      </c>
      <c r="AO1776" s="25">
        <v>0</v>
      </c>
      <c r="AP1776" s="25">
        <f>Lookups!$B$56*0</f>
        <v>0</v>
      </c>
      <c r="AQ1776" s="25">
        <f>Lookups!$B$56*1</f>
        <v>89850.625589999996</v>
      </c>
      <c r="AR1776" s="25">
        <f>Lookups!$B$57*Inventory[[#This Row],[LnAcres]]</f>
        <v>-36068.354396449467</v>
      </c>
      <c r="AS1776" s="25">
        <f>VLOOKUP(Inventory[[#This Row],[Qlty]],Lookups!$A$62:$E$75,2,FALSE)</f>
        <v>44121.038090000002</v>
      </c>
      <c r="AT1776" s="25">
        <f>VLOOKUP(Inventory[[#This Row],[Cnd]],Lookups!$A$76:$E$84,2,FALSE)</f>
        <v>197752.34721000001</v>
      </c>
      <c r="AU1776" s="25">
        <f>Inventory[[#This Row],[EffAge]]*Lookups!$B$85</f>
        <v>-12044.462427</v>
      </c>
      <c r="AV1776" s="25">
        <f>Inventory[[#This Row],[MainFn]]*Lookups!$B$86</f>
        <v>63440.732122068002</v>
      </c>
      <c r="AW1776" s="25">
        <f>Inventory[[#This Row],[UpprFn]]*Lookups!$B$87</f>
        <v>65119.458839893996</v>
      </c>
      <c r="AX1776" s="25">
        <f>Inventory[[#This Row],[AddFn]]*Lookups!$B$88</f>
        <v>0</v>
      </c>
      <c r="AY1776" s="25">
        <f>Inventory[[#This Row],[Bsmt]]*Lookups!$B$89</f>
        <v>37341.153497148</v>
      </c>
      <c r="AZ1776" s="25">
        <f>Inventory[[#This Row],[Fixtures]]*Lookups!$B$90</f>
        <v>37920.221052000001</v>
      </c>
      <c r="BA1776" s="25">
        <f>Inventory[[#This Row],[WdDeck]]*Lookups!$B$91</f>
        <v>0</v>
      </c>
      <c r="BB1776" s="25">
        <f>ROUND(Inventory[[#This Row],[25Det]],-2)</f>
        <v>0</v>
      </c>
      <c r="BC1776" s="25">
        <f>ROUND(SUM(Inventory[[#This Row],[Mdl Qlty]:[Mdl WdDeck]])+Inventory[[#This Row],[Mdl Res Intercept]],-2)</f>
        <v>433700</v>
      </c>
      <c r="BD1776" s="25">
        <f>ROUND(Inventory[[#This Row],[Mdl Land Intercept]]+Inventory[[#This Row],[Mdl LnAcres]],-2)</f>
        <v>53800</v>
      </c>
      <c r="BE1776" s="25">
        <f>Inventory[[#This Row],[Unadj Res Value]]+Inventory[[#This Row],[Unadj Det Value]]+Inventory[[#This Row],[Unadj Land Value]]</f>
        <v>487500</v>
      </c>
      <c r="BF1776" s="36">
        <f>(Inventory[[#This Row],[Unadj Total Value]]-Inventory[[#This Row],[24Final]])/Inventory[[#This Row],[24Final]]</f>
        <v>6.2091503267973858E-2</v>
      </c>
      <c r="BG1776" s="25">
        <f>VLOOKUP(Inventory[[#This Row],[Nbhd]],Lookups!$Q$2:$T$4,4,FALSE)</f>
        <v>0.99970000000000003</v>
      </c>
      <c r="BH1776" s="25">
        <f>VLOOKUP(Inventory[[#This Row],[Qlty]],Lookups!$O$7:$R$21,4,FALSE)</f>
        <v>0.98050000000000004</v>
      </c>
      <c r="BI1776" s="25">
        <f>VLOOKUP(Inventory[[#This Row],[Cnd]],Lookups!$T$7:$W$16,4,FALSE)</f>
        <v>0.99650000000000005</v>
      </c>
      <c r="BJ1776" s="25">
        <f>VLOOKUP(Inventory[[#This Row],[LivArea Range]],Lookups!$T$25:$W$37,4,FALSE)</f>
        <v>1.0126999999999999</v>
      </c>
      <c r="BK1776" s="25">
        <f>VLOOKUP(Inventory[[#This Row],[Decade]],Lookups!$O$25:$R$42,4,FALSE)</f>
        <v>1.0074000000000001</v>
      </c>
      <c r="BL1776" s="25">
        <f>Inventory[[#This Row],[Nbhd Adj]]*0.95</f>
        <v>0.94971499999999998</v>
      </c>
      <c r="BM1776" s="25">
        <f>Inventory[[#This Row],[Nbhd Adj]]*Inventory[[#This Row],[Quality Adj]]*Inventory[[#This Row],[Condition Adj]]*Inventory[[#This Row],[Living Area Adj]]*Inventory[[#This Row],[Decade Adj]]*0.95</f>
        <v>0.94667510160736901</v>
      </c>
      <c r="BN1776" s="25">
        <f>ROUND(SUM(Inventory[[#This Row],[Mdl Qlty]:[Mdl WdDeck]])+Inventory[[#This Row],[Mdl Res Intercept]]*Inventory[[#This Row],[Res Adj ]],-2)</f>
        <v>433700</v>
      </c>
      <c r="BO1776" s="25">
        <f>ROUND(Inventory[[#This Row],[25Det]]*Inventory[[#This Row],[Det/Nbhd Adj]],-2)</f>
        <v>0</v>
      </c>
      <c r="BP1776" s="25">
        <f>Inventory[[#This Row],[Adjusted Res]]+Inventory[[#This Row],[Adj Det ]]</f>
        <v>433700</v>
      </c>
      <c r="BQ1776" s="25">
        <f>ROUND((Inventory[[#This Row],[Mdl Land Intercept]]+Inventory[[#This Row],[Mdl LnAcres]])*Inventory[[#This Row],[Det/Nbhd Adj]],-2)</f>
        <v>51100</v>
      </c>
      <c r="BR1776" s="25">
        <f>Inventory[[#This Row],[Adjusted Impr Total]]+Inventory[[#This Row],[Adjusted Land Total]]</f>
        <v>484800</v>
      </c>
      <c r="BS1776" s="36">
        <f>IFERROR((Inventory[[#This Row],[Adjusted Impr Total]]-Inventory[[#This Row],[24Bldg]])/Inventory[[#This Row],[24Bldg]],0)</f>
        <v>0.12883914627798021</v>
      </c>
      <c r="BT1776" s="36">
        <f>(Inventory[[#This Row],[Adjusted Land Total]]-Inventory[[#This Row],[24Lnd]])/Inventory[[#This Row],[24Lnd]]</f>
        <v>-0.31684491978609625</v>
      </c>
      <c r="BU1776" s="36">
        <f>(Inventory[[#This Row],[Adjusted Total]]-Inventory[[#This Row],[24Final]])/Inventory[[#This Row],[24Final]]</f>
        <v>5.6209150326797387E-2</v>
      </c>
    </row>
    <row r="1777" spans="1:73" x14ac:dyDescent="0.3">
      <c r="A1777" s="25">
        <v>2025</v>
      </c>
      <c r="B1777" s="26" t="s">
        <v>2150</v>
      </c>
      <c r="C1777" s="26">
        <f>LN(Inventory[[#This Row],[Acres]])</f>
        <v>-1.6094379124341003</v>
      </c>
      <c r="D1777" s="25">
        <v>0.2</v>
      </c>
      <c r="E1777" s="27"/>
      <c r="F1777" s="26" t="s">
        <v>537</v>
      </c>
      <c r="G1777" s="26" t="s">
        <v>126</v>
      </c>
      <c r="H1777" s="26" t="s">
        <v>349</v>
      </c>
      <c r="I1777" s="26" t="s">
        <v>538</v>
      </c>
      <c r="J1777" s="26" t="s">
        <v>539</v>
      </c>
      <c r="K1777" s="26" t="s">
        <v>269</v>
      </c>
      <c r="L1777" s="26" t="s">
        <v>351</v>
      </c>
      <c r="M1777" s="26" t="s">
        <v>303</v>
      </c>
      <c r="N1777" s="26">
        <v>100</v>
      </c>
      <c r="O1777" s="26">
        <f>2024-Inventory[[#This Row],[YrBlt]]</f>
        <v>94</v>
      </c>
      <c r="P1777" s="26">
        <f>2024-Inventory[[#This Row],[EffYr]]</f>
        <v>44</v>
      </c>
      <c r="Q1777" s="25">
        <v>1930</v>
      </c>
      <c r="R1777" s="25">
        <v>1980</v>
      </c>
      <c r="S1777" s="25">
        <v>1508</v>
      </c>
      <c r="T1777" s="27"/>
      <c r="U1777" s="25">
        <v>1040</v>
      </c>
      <c r="V1777" s="25">
        <f>Inventory[[#This Row],[Bsmt]]-Inventory[[#This Row],[FnBsmt]]</f>
        <v>0</v>
      </c>
      <c r="W1777" s="25">
        <v>1040</v>
      </c>
      <c r="X1777" s="27"/>
      <c r="Y1777" s="27">
        <f>Inventory[[#This Row],[MainFn]]+Inventory[[#This Row],[UpprFn]]+Inventory[[#This Row],[FnBsmt]]+Inventory[[#This Row],[AddFn]]</f>
        <v>2548</v>
      </c>
      <c r="Z1777" s="27">
        <v>3000</v>
      </c>
      <c r="AA1777" s="25">
        <v>10</v>
      </c>
      <c r="AB1777" s="27"/>
      <c r="AC1777" s="27"/>
      <c r="AD1777" s="32">
        <v>160</v>
      </c>
      <c r="AE1777" s="27"/>
      <c r="AF1777" s="27"/>
      <c r="AG1777" s="27"/>
      <c r="AH1777" s="27"/>
      <c r="AI1777" s="25">
        <v>334797</v>
      </c>
      <c r="AJ1777" s="25">
        <v>264490</v>
      </c>
      <c r="AK1777" s="25">
        <v>0</v>
      </c>
      <c r="AL1777" s="25">
        <v>373500</v>
      </c>
      <c r="AM1777" s="25">
        <v>58400</v>
      </c>
      <c r="AN1777" s="25">
        <v>315100</v>
      </c>
      <c r="AO1777" s="25">
        <v>0</v>
      </c>
      <c r="AP1777" s="25">
        <f>Lookups!$B$56*0</f>
        <v>0</v>
      </c>
      <c r="AQ1777" s="25">
        <f>Lookups!$B$56*1</f>
        <v>89850.625589999996</v>
      </c>
      <c r="AR1777" s="25">
        <f>Lookups!$B$57*Inventory[[#This Row],[LnAcres]]</f>
        <v>-50946.13867709865</v>
      </c>
      <c r="AS1777" s="25">
        <f>VLOOKUP(Inventory[[#This Row],[Qlty]],Lookups!$A$62:$E$75,2,FALSE)</f>
        <v>21557.329055999999</v>
      </c>
      <c r="AT1777" s="25">
        <f>VLOOKUP(Inventory[[#This Row],[Cnd]],Lookups!$A$76:$E$84,2,FALSE)</f>
        <v>197752.34721000001</v>
      </c>
      <c r="AU1777" s="25">
        <f>Inventory[[#This Row],[EffAge]]*Lookups!$B$85</f>
        <v>-9814.0064220000004</v>
      </c>
      <c r="AV1777" s="25">
        <f>Inventory[[#This Row],[MainFn]]*Lookups!$B$86</f>
        <v>74508.274174516002</v>
      </c>
      <c r="AW1777" s="25">
        <f>Inventory[[#This Row],[UpprFn]]*Lookups!$B$87</f>
        <v>0</v>
      </c>
      <c r="AX1777" s="25">
        <f>Inventory[[#This Row],[AddFn]]*Lookups!$B$88</f>
        <v>0</v>
      </c>
      <c r="AY1777" s="25">
        <f>Inventory[[#This Row],[Bsmt]]*Lookups!$B$89</f>
        <v>30245.171056879997</v>
      </c>
      <c r="AZ1777" s="25">
        <f>Inventory[[#This Row],[Fixtures]]*Lookups!$B$90</f>
        <v>37920.221052000001</v>
      </c>
      <c r="BA1777" s="25">
        <f>Inventory[[#This Row],[WdDeck]]*Lookups!$B$91</f>
        <v>5327.2824441600005</v>
      </c>
      <c r="BB1777" s="25">
        <f>ROUND(Inventory[[#This Row],[25Det]],-2)</f>
        <v>0</v>
      </c>
      <c r="BC1777" s="25">
        <f>ROUND(SUM(Inventory[[#This Row],[Mdl Qlty]:[Mdl WdDeck]])+Inventory[[#This Row],[Mdl Res Intercept]],-2)</f>
        <v>357500</v>
      </c>
      <c r="BD1777" s="25">
        <f>ROUND(Inventory[[#This Row],[Mdl Land Intercept]]+Inventory[[#This Row],[Mdl LnAcres]],-2)</f>
        <v>38900</v>
      </c>
      <c r="BE1777" s="25">
        <f>Inventory[[#This Row],[Unadj Res Value]]+Inventory[[#This Row],[Unadj Det Value]]+Inventory[[#This Row],[Unadj Land Value]]</f>
        <v>396400</v>
      </c>
      <c r="BF1777" s="36">
        <f>(Inventory[[#This Row],[Unadj Total Value]]-Inventory[[#This Row],[24Final]])/Inventory[[#This Row],[24Final]]</f>
        <v>6.1311914323962519E-2</v>
      </c>
      <c r="BG1777" s="25">
        <f>VLOOKUP(Inventory[[#This Row],[Nbhd]],Lookups!$Q$2:$T$4,4,FALSE)</f>
        <v>0.99970000000000003</v>
      </c>
      <c r="BH1777" s="25">
        <f>VLOOKUP(Inventory[[#This Row],[Qlty]],Lookups!$O$7:$R$21,4,FALSE)</f>
        <v>1.0067999999999999</v>
      </c>
      <c r="BI1777" s="25">
        <f>VLOOKUP(Inventory[[#This Row],[Cnd]],Lookups!$T$7:$W$16,4,FALSE)</f>
        <v>0.99650000000000005</v>
      </c>
      <c r="BJ1777" s="25">
        <f>VLOOKUP(Inventory[[#This Row],[LivArea Range]],Lookups!$T$25:$W$37,4,FALSE)</f>
        <v>0.96179999999999999</v>
      </c>
      <c r="BK1777" s="25">
        <f>VLOOKUP(Inventory[[#This Row],[Decade]],Lookups!$O$25:$R$42,4,FALSE)</f>
        <v>1.0074000000000001</v>
      </c>
      <c r="BL1777" s="25">
        <f>Inventory[[#This Row],[Nbhd Adj]]*0.95</f>
        <v>0.94971499999999998</v>
      </c>
      <c r="BM1777" s="25">
        <f>Inventory[[#This Row],[Nbhd Adj]]*Inventory[[#This Row],[Quality Adj]]*Inventory[[#This Row],[Condition Adj]]*Inventory[[#This Row],[Living Area Adj]]*Inventory[[#This Row],[Decade Adj]]*0.95</f>
        <v>0.92321005644682153</v>
      </c>
      <c r="BN1777" s="25">
        <f>ROUND(SUM(Inventory[[#This Row],[Mdl Qlty]:[Mdl WdDeck]])+Inventory[[#This Row],[Mdl Res Intercept]]*Inventory[[#This Row],[Res Adj ]],-2)</f>
        <v>357500</v>
      </c>
      <c r="BO1777" s="25">
        <f>ROUND(Inventory[[#This Row],[25Det]]*Inventory[[#This Row],[Det/Nbhd Adj]],-2)</f>
        <v>0</v>
      </c>
      <c r="BP1777" s="25">
        <f>Inventory[[#This Row],[Adjusted Res]]+Inventory[[#This Row],[Adj Det ]]</f>
        <v>357500</v>
      </c>
      <c r="BQ1777" s="25">
        <f>ROUND((Inventory[[#This Row],[Mdl Land Intercept]]+Inventory[[#This Row],[Mdl LnAcres]])*Inventory[[#This Row],[Det/Nbhd Adj]],-2)</f>
        <v>36900</v>
      </c>
      <c r="BR1777" s="25">
        <f>Inventory[[#This Row],[Adjusted Impr Total]]+Inventory[[#This Row],[Adjusted Land Total]]</f>
        <v>394400</v>
      </c>
      <c r="BS1777" s="36">
        <f>IFERROR((Inventory[[#This Row],[Adjusted Impr Total]]-Inventory[[#This Row],[24Bldg]])/Inventory[[#This Row],[24Bldg]],0)</f>
        <v>0.13456045699777849</v>
      </c>
      <c r="BT1777" s="36">
        <f>(Inventory[[#This Row],[Adjusted Land Total]]-Inventory[[#This Row],[24Lnd]])/Inventory[[#This Row],[24Lnd]]</f>
        <v>-0.36815068493150682</v>
      </c>
      <c r="BU1777" s="36">
        <f>(Inventory[[#This Row],[Adjusted Total]]-Inventory[[#This Row],[24Final]])/Inventory[[#This Row],[24Final]]</f>
        <v>5.5957161981258365E-2</v>
      </c>
    </row>
    <row r="1778" spans="1:73" x14ac:dyDescent="0.3">
      <c r="A1778" s="25">
        <v>2025</v>
      </c>
      <c r="B1778" s="26" t="s">
        <v>1051</v>
      </c>
      <c r="C1778" s="26">
        <f>LN(Inventory[[#This Row],[Acres]])</f>
        <v>-1.8325814637483102</v>
      </c>
      <c r="D1778" s="25">
        <v>0.16</v>
      </c>
      <c r="E1778" s="27"/>
      <c r="F1778" s="26" t="s">
        <v>537</v>
      </c>
      <c r="G1778" s="26" t="s">
        <v>126</v>
      </c>
      <c r="H1778" s="26" t="s">
        <v>349</v>
      </c>
      <c r="I1778" s="26" t="s">
        <v>538</v>
      </c>
      <c r="J1778" s="26" t="s">
        <v>539</v>
      </c>
      <c r="K1778" s="26" t="s">
        <v>242</v>
      </c>
      <c r="L1778" s="26" t="s">
        <v>205</v>
      </c>
      <c r="M1778" s="26" t="s">
        <v>206</v>
      </c>
      <c r="N1778" s="26">
        <v>100</v>
      </c>
      <c r="O1778" s="26">
        <f>2024-Inventory[[#This Row],[YrBlt]]</f>
        <v>94</v>
      </c>
      <c r="P1778" s="26">
        <f>2024-Inventory[[#This Row],[EffYr]]</f>
        <v>54</v>
      </c>
      <c r="Q1778" s="25">
        <v>1930</v>
      </c>
      <c r="R1778" s="25">
        <v>1970</v>
      </c>
      <c r="S1778" s="25">
        <v>1026</v>
      </c>
      <c r="T1778" s="27"/>
      <c r="U1778" s="25">
        <v>512</v>
      </c>
      <c r="V1778" s="32">
        <f>Inventory[[#This Row],[Bsmt]]-Inventory[[#This Row],[FnBsmt]]</f>
        <v>512</v>
      </c>
      <c r="W1778" s="27"/>
      <c r="X1778" s="27"/>
      <c r="Y1778" s="27">
        <f>Inventory[[#This Row],[MainFn]]+Inventory[[#This Row],[UpprFn]]+Inventory[[#This Row],[FnBsmt]]+Inventory[[#This Row],[AddFn]]</f>
        <v>1026</v>
      </c>
      <c r="Z1778" s="27">
        <v>1500</v>
      </c>
      <c r="AA1778" s="25">
        <v>7</v>
      </c>
      <c r="AB1778" s="27"/>
      <c r="AC1778" s="27"/>
      <c r="AD1778" s="27"/>
      <c r="AE1778" s="27"/>
      <c r="AF1778" s="27"/>
      <c r="AG1778" s="27"/>
      <c r="AH1778" s="27"/>
      <c r="AI1778" s="25">
        <v>190301</v>
      </c>
      <c r="AJ1778" s="25">
        <v>121793</v>
      </c>
      <c r="AK1778" s="25">
        <v>0</v>
      </c>
      <c r="AL1778" s="25">
        <v>231300</v>
      </c>
      <c r="AM1778" s="25">
        <v>50600</v>
      </c>
      <c r="AN1778" s="25">
        <v>180700</v>
      </c>
      <c r="AO1778" s="25">
        <v>0</v>
      </c>
      <c r="AP1778" s="25">
        <f>Lookups!$B$56*0</f>
        <v>0</v>
      </c>
      <c r="AQ1778" s="25">
        <f>Lookups!$B$56*1</f>
        <v>89850.625589999996</v>
      </c>
      <c r="AR1778" s="25">
        <f>Lookups!$B$57*Inventory[[#This Row],[LnAcres]]</f>
        <v>-58009.662049032086</v>
      </c>
      <c r="AS1778" s="25">
        <f>VLOOKUP(Inventory[[#This Row],[Qlty]],Lookups!$A$62:$E$75,2,FALSE)</f>
        <v>0</v>
      </c>
      <c r="AT1778" s="25">
        <f>VLOOKUP(Inventory[[#This Row],[Cnd]],Lookups!$A$76:$E$84,2,FALSE)</f>
        <v>133714.53821</v>
      </c>
      <c r="AU1778" s="25">
        <f>Inventory[[#This Row],[EffAge]]*Lookups!$B$85</f>
        <v>-12044.462427</v>
      </c>
      <c r="AV1778" s="25">
        <f>Inventory[[#This Row],[MainFn]]*Lookups!$B$86</f>
        <v>50693.295293802003</v>
      </c>
      <c r="AW1778" s="25">
        <f>Inventory[[#This Row],[UpprFn]]*Lookups!$B$87</f>
        <v>0</v>
      </c>
      <c r="AX1778" s="25">
        <f>Inventory[[#This Row],[AddFn]]*Lookups!$B$88</f>
        <v>0</v>
      </c>
      <c r="AY1778" s="25">
        <f>Inventory[[#This Row],[Bsmt]]*Lookups!$B$89</f>
        <v>14889.930366463999</v>
      </c>
      <c r="AZ1778" s="25">
        <f>Inventory[[#This Row],[Fixtures]]*Lookups!$B$90</f>
        <v>26544.1547364</v>
      </c>
      <c r="BA1778" s="25">
        <f>Inventory[[#This Row],[WdDeck]]*Lookups!$B$91</f>
        <v>0</v>
      </c>
      <c r="BB1778" s="25">
        <f>ROUND(Inventory[[#This Row],[25Det]],-2)</f>
        <v>0</v>
      </c>
      <c r="BC1778" s="25">
        <f>ROUND(SUM(Inventory[[#This Row],[Mdl Qlty]:[Mdl WdDeck]])+Inventory[[#This Row],[Mdl Res Intercept]],-2)</f>
        <v>213800</v>
      </c>
      <c r="BD1778" s="25">
        <f>ROUND(Inventory[[#This Row],[Mdl Land Intercept]]+Inventory[[#This Row],[Mdl LnAcres]],-2)</f>
        <v>31800</v>
      </c>
      <c r="BE1778" s="25">
        <f>Inventory[[#This Row],[Unadj Res Value]]+Inventory[[#This Row],[Unadj Det Value]]+Inventory[[#This Row],[Unadj Land Value]]</f>
        <v>245600</v>
      </c>
      <c r="BF1778" s="36">
        <f>(Inventory[[#This Row],[Unadj Total Value]]-Inventory[[#This Row],[24Final]])/Inventory[[#This Row],[24Final]]</f>
        <v>6.1824470384781671E-2</v>
      </c>
      <c r="BG1778" s="25">
        <f>VLOOKUP(Inventory[[#This Row],[Nbhd]],Lookups!$Q$2:$T$4,4,FALSE)</f>
        <v>0.99970000000000003</v>
      </c>
      <c r="BH1778" s="25">
        <f>VLOOKUP(Inventory[[#This Row],[Qlty]],Lookups!$O$7:$R$21,4,FALSE)</f>
        <v>0.99180000000000001</v>
      </c>
      <c r="BI1778" s="25">
        <f>VLOOKUP(Inventory[[#This Row],[Cnd]],Lookups!$T$7:$W$16,4,FALSE)</f>
        <v>0.99329999999999996</v>
      </c>
      <c r="BJ1778" s="25">
        <f>VLOOKUP(Inventory[[#This Row],[LivArea Range]],Lookups!$T$25:$W$37,4,FALSE)</f>
        <v>1.0157</v>
      </c>
      <c r="BK1778" s="25">
        <f>VLOOKUP(Inventory[[#This Row],[Decade]],Lookups!$O$25:$R$42,4,FALSE)</f>
        <v>1.0074000000000001</v>
      </c>
      <c r="BL1778" s="25">
        <f>Inventory[[#This Row],[Nbhd Adj]]*0.95</f>
        <v>0.94971499999999998</v>
      </c>
      <c r="BM1778" s="25">
        <f>Inventory[[#This Row],[Nbhd Adj]]*Inventory[[#This Row],[Quality Adj]]*Inventory[[#This Row],[Condition Adj]]*Inventory[[#This Row],[Living Area Adj]]*Inventory[[#This Row],[Decade Adj]]*0.95</f>
        <v>0.95733786314897451</v>
      </c>
      <c r="BN1778" s="25">
        <f>ROUND(SUM(Inventory[[#This Row],[Mdl Qlty]:[Mdl WdDeck]])+Inventory[[#This Row],[Mdl Res Intercept]]*Inventory[[#This Row],[Res Adj ]],-2)</f>
        <v>213800</v>
      </c>
      <c r="BO1778" s="25">
        <f>ROUND(Inventory[[#This Row],[25Det]]*Inventory[[#This Row],[Det/Nbhd Adj]],-2)</f>
        <v>0</v>
      </c>
      <c r="BP1778" s="25">
        <f>Inventory[[#This Row],[Adjusted Res]]+Inventory[[#This Row],[Adj Det ]]</f>
        <v>213800</v>
      </c>
      <c r="BQ1778" s="25">
        <f>ROUND((Inventory[[#This Row],[Mdl Land Intercept]]+Inventory[[#This Row],[Mdl LnAcres]])*Inventory[[#This Row],[Det/Nbhd Adj]],-2)</f>
        <v>30200</v>
      </c>
      <c r="BR1778" s="25">
        <f>Inventory[[#This Row],[Adjusted Impr Total]]+Inventory[[#This Row],[Adjusted Land Total]]</f>
        <v>244000</v>
      </c>
      <c r="BS1778" s="36">
        <f>IFERROR((Inventory[[#This Row],[Adjusted Impr Total]]-Inventory[[#This Row],[24Bldg]])/Inventory[[#This Row],[24Bldg]],0)</f>
        <v>0.1831765356945213</v>
      </c>
      <c r="BT1778" s="36">
        <f>(Inventory[[#This Row],[Adjusted Land Total]]-Inventory[[#This Row],[24Lnd]])/Inventory[[#This Row],[24Lnd]]</f>
        <v>-0.40316205533596838</v>
      </c>
      <c r="BU1778" s="36">
        <f>(Inventory[[#This Row],[Adjusted Total]]-Inventory[[#This Row],[24Final]])/Inventory[[#This Row],[24Final]]</f>
        <v>5.4907047124945957E-2</v>
      </c>
    </row>
    <row r="1779" spans="1:73" x14ac:dyDescent="0.3">
      <c r="A1779" s="25">
        <v>2025</v>
      </c>
      <c r="B1779" s="26" t="s">
        <v>2893</v>
      </c>
      <c r="C1779" s="26">
        <f>LN(Inventory[[#This Row],[Acres]])</f>
        <v>-1.8971199848858813</v>
      </c>
      <c r="D1779" s="25">
        <v>0.15</v>
      </c>
      <c r="E1779" s="27"/>
      <c r="F1779" s="26" t="s">
        <v>537</v>
      </c>
      <c r="G1779" s="26" t="s">
        <v>126</v>
      </c>
      <c r="H1779" s="26" t="s">
        <v>349</v>
      </c>
      <c r="I1779" s="26" t="s">
        <v>538</v>
      </c>
      <c r="J1779" s="26" t="s">
        <v>539</v>
      </c>
      <c r="K1779" s="26" t="s">
        <v>173</v>
      </c>
      <c r="L1779" s="26" t="s">
        <v>351</v>
      </c>
      <c r="M1779" s="26" t="s">
        <v>303</v>
      </c>
      <c r="N1779" s="26">
        <v>100</v>
      </c>
      <c r="O1779" s="26">
        <f>2024-Inventory[[#This Row],[YrBlt]]</f>
        <v>94</v>
      </c>
      <c r="P1779" s="26">
        <f>2024-Inventory[[#This Row],[EffYr]]</f>
        <v>54</v>
      </c>
      <c r="Q1779" s="25">
        <v>1930</v>
      </c>
      <c r="R1779" s="25">
        <v>1970</v>
      </c>
      <c r="S1779" s="25">
        <v>1148</v>
      </c>
      <c r="T1779" s="32">
        <v>300</v>
      </c>
      <c r="U1779" s="32">
        <v>1148</v>
      </c>
      <c r="V1779" s="32">
        <f>Inventory[[#This Row],[Bsmt]]-Inventory[[#This Row],[FnBsmt]]</f>
        <v>0</v>
      </c>
      <c r="W1779" s="32">
        <v>1148</v>
      </c>
      <c r="X1779" s="27"/>
      <c r="Y1779" s="27">
        <f>Inventory[[#This Row],[MainFn]]+Inventory[[#This Row],[UpprFn]]+Inventory[[#This Row],[FnBsmt]]+Inventory[[#This Row],[AddFn]]</f>
        <v>2596</v>
      </c>
      <c r="Z1779" s="27">
        <v>3000</v>
      </c>
      <c r="AA1779" s="25">
        <v>8</v>
      </c>
      <c r="AB1779" s="27"/>
      <c r="AC1779" s="27"/>
      <c r="AD1779" s="27"/>
      <c r="AE1779" s="27"/>
      <c r="AF1779" s="27"/>
      <c r="AG1779" s="27"/>
      <c r="AH1779" s="27"/>
      <c r="AI1779" s="25">
        <v>314593</v>
      </c>
      <c r="AJ1779" s="25">
        <v>213923</v>
      </c>
      <c r="AK1779" s="25">
        <v>9708</v>
      </c>
      <c r="AL1779" s="25">
        <v>359300</v>
      </c>
      <c r="AM1779" s="25">
        <v>48400</v>
      </c>
      <c r="AN1779" s="25">
        <v>310900</v>
      </c>
      <c r="AO1779" s="25">
        <v>0</v>
      </c>
      <c r="AP1779" s="25">
        <f>Lookups!$B$56*0</f>
        <v>0</v>
      </c>
      <c r="AQ1779" s="25">
        <f>Lookups!$B$56*1</f>
        <v>89850.625589999996</v>
      </c>
      <c r="AR1779" s="25">
        <f>Lookups!$B$57*Inventory[[#This Row],[LnAcres]]</f>
        <v>-60052.604136134301</v>
      </c>
      <c r="AS1779" s="25">
        <f>VLOOKUP(Inventory[[#This Row],[Qlty]],Lookups!$A$62:$E$75,2,FALSE)</f>
        <v>21557.329055999999</v>
      </c>
      <c r="AT1779" s="25">
        <f>VLOOKUP(Inventory[[#This Row],[Cnd]],Lookups!$A$76:$E$84,2,FALSE)</f>
        <v>197752.34721000001</v>
      </c>
      <c r="AU1779" s="25">
        <f>Inventory[[#This Row],[EffAge]]*Lookups!$B$85</f>
        <v>-12044.462427</v>
      </c>
      <c r="AV1779" s="25">
        <f>Inventory[[#This Row],[MainFn]]*Lookups!$B$86</f>
        <v>56721.153018796002</v>
      </c>
      <c r="AW1779" s="25">
        <f>Inventory[[#This Row],[UpprFn]]*Lookups!$B$87</f>
        <v>13435.926858299999</v>
      </c>
      <c r="AX1779" s="25">
        <f>Inventory[[#This Row],[AddFn]]*Lookups!$B$88</f>
        <v>0</v>
      </c>
      <c r="AY1779" s="25">
        <f>Inventory[[#This Row],[Bsmt]]*Lookups!$B$89</f>
        <v>33386.015743555996</v>
      </c>
      <c r="AZ1779" s="25">
        <f>Inventory[[#This Row],[Fixtures]]*Lookups!$B$90</f>
        <v>30336.176841600001</v>
      </c>
      <c r="BA1779" s="25">
        <f>Inventory[[#This Row],[WdDeck]]*Lookups!$B$91</f>
        <v>0</v>
      </c>
      <c r="BB1779" s="25">
        <f>ROUND(Inventory[[#This Row],[25Det]],-2)</f>
        <v>9700</v>
      </c>
      <c r="BC1779" s="25">
        <f>ROUND(SUM(Inventory[[#This Row],[Mdl Qlty]:[Mdl WdDeck]])+Inventory[[#This Row],[Mdl Res Intercept]],-2)</f>
        <v>341100</v>
      </c>
      <c r="BD1779" s="25">
        <f>ROUND(Inventory[[#This Row],[Mdl Land Intercept]]+Inventory[[#This Row],[Mdl LnAcres]],-2)</f>
        <v>29800</v>
      </c>
      <c r="BE1779" s="25">
        <f>Inventory[[#This Row],[Unadj Res Value]]+Inventory[[#This Row],[Unadj Det Value]]+Inventory[[#This Row],[Unadj Land Value]]</f>
        <v>380600</v>
      </c>
      <c r="BF1779" s="36">
        <f>(Inventory[[#This Row],[Unadj Total Value]]-Inventory[[#This Row],[24Final]])/Inventory[[#This Row],[24Final]]</f>
        <v>5.9281937099916505E-2</v>
      </c>
      <c r="BG1779" s="25">
        <f>VLOOKUP(Inventory[[#This Row],[Nbhd]],Lookups!$Q$2:$T$4,4,FALSE)</f>
        <v>0.99970000000000003</v>
      </c>
      <c r="BH1779" s="25">
        <f>VLOOKUP(Inventory[[#This Row],[Qlty]],Lookups!$O$7:$R$21,4,FALSE)</f>
        <v>1.0067999999999999</v>
      </c>
      <c r="BI1779" s="25">
        <f>VLOOKUP(Inventory[[#This Row],[Cnd]],Lookups!$T$7:$W$16,4,FALSE)</f>
        <v>0.99650000000000005</v>
      </c>
      <c r="BJ1779" s="25">
        <f>VLOOKUP(Inventory[[#This Row],[LivArea Range]],Lookups!$T$25:$W$37,4,FALSE)</f>
        <v>0.96179999999999999</v>
      </c>
      <c r="BK1779" s="25">
        <f>VLOOKUP(Inventory[[#This Row],[Decade]],Lookups!$O$25:$R$42,4,FALSE)</f>
        <v>1.0074000000000001</v>
      </c>
      <c r="BL1779" s="25">
        <f>Inventory[[#This Row],[Nbhd Adj]]*0.95</f>
        <v>0.94971499999999998</v>
      </c>
      <c r="BM1779" s="25">
        <f>Inventory[[#This Row],[Nbhd Adj]]*Inventory[[#This Row],[Quality Adj]]*Inventory[[#This Row],[Condition Adj]]*Inventory[[#This Row],[Living Area Adj]]*Inventory[[#This Row],[Decade Adj]]*0.95</f>
        <v>0.92321005644682153</v>
      </c>
      <c r="BN1779" s="25">
        <f>ROUND(SUM(Inventory[[#This Row],[Mdl Qlty]:[Mdl WdDeck]])+Inventory[[#This Row],[Mdl Res Intercept]]*Inventory[[#This Row],[Res Adj ]],-2)</f>
        <v>341100</v>
      </c>
      <c r="BO1779" s="25">
        <f>ROUND(Inventory[[#This Row],[25Det]]*Inventory[[#This Row],[Det/Nbhd Adj]],-2)</f>
        <v>9200</v>
      </c>
      <c r="BP1779" s="25">
        <f>Inventory[[#This Row],[Adjusted Res]]+Inventory[[#This Row],[Adj Det ]]</f>
        <v>350300</v>
      </c>
      <c r="BQ1779" s="25">
        <f>ROUND((Inventory[[#This Row],[Mdl Land Intercept]]+Inventory[[#This Row],[Mdl LnAcres]])*Inventory[[#This Row],[Det/Nbhd Adj]],-2)</f>
        <v>28300</v>
      </c>
      <c r="BR1779" s="25">
        <f>Inventory[[#This Row],[Adjusted Impr Total]]+Inventory[[#This Row],[Adjusted Land Total]]</f>
        <v>378600</v>
      </c>
      <c r="BS1779" s="36">
        <f>IFERROR((Inventory[[#This Row],[Adjusted Impr Total]]-Inventory[[#This Row],[24Bldg]])/Inventory[[#This Row],[24Bldg]],0)</f>
        <v>0.12672885172081055</v>
      </c>
      <c r="BT1779" s="36">
        <f>(Inventory[[#This Row],[Adjusted Land Total]]-Inventory[[#This Row],[24Lnd]])/Inventory[[#This Row],[24Lnd]]</f>
        <v>-0.41528925619834711</v>
      </c>
      <c r="BU1779" s="36">
        <f>(Inventory[[#This Row],[Adjusted Total]]-Inventory[[#This Row],[24Final]])/Inventory[[#This Row],[24Final]]</f>
        <v>5.3715558029501807E-2</v>
      </c>
    </row>
    <row r="1780" spans="1:73" x14ac:dyDescent="0.3">
      <c r="A1780" s="25">
        <v>2025</v>
      </c>
      <c r="B1780" s="26" t="s">
        <v>2148</v>
      </c>
      <c r="C1780" s="26">
        <f>LN(Inventory[[#This Row],[Acres]])</f>
        <v>-1.5606477482646683</v>
      </c>
      <c r="D1780" s="25">
        <v>0.21</v>
      </c>
      <c r="E1780" s="32">
        <v>9094</v>
      </c>
      <c r="F1780" s="26" t="s">
        <v>537</v>
      </c>
      <c r="G1780" s="26" t="s">
        <v>126</v>
      </c>
      <c r="H1780" s="26" t="s">
        <v>349</v>
      </c>
      <c r="I1780" s="26" t="s">
        <v>538</v>
      </c>
      <c r="J1780" s="26" t="s">
        <v>539</v>
      </c>
      <c r="K1780" s="26" t="s">
        <v>269</v>
      </c>
      <c r="L1780" s="26" t="s">
        <v>351</v>
      </c>
      <c r="M1780" s="26" t="s">
        <v>303</v>
      </c>
      <c r="N1780" s="26">
        <v>100</v>
      </c>
      <c r="O1780" s="26">
        <f>2024-Inventory[[#This Row],[YrBlt]]</f>
        <v>94</v>
      </c>
      <c r="P1780" s="26">
        <f>2024-Inventory[[#This Row],[EffYr]]</f>
        <v>54</v>
      </c>
      <c r="Q1780" s="25">
        <v>1930</v>
      </c>
      <c r="R1780" s="25">
        <v>1970</v>
      </c>
      <c r="S1780" s="25">
        <v>1425</v>
      </c>
      <c r="T1780" s="27"/>
      <c r="U1780" s="32">
        <v>713</v>
      </c>
      <c r="V1780" s="32">
        <f>Inventory[[#This Row],[Bsmt]]-Inventory[[#This Row],[FnBsmt]]</f>
        <v>179</v>
      </c>
      <c r="W1780" s="32">
        <v>534</v>
      </c>
      <c r="X1780" s="27"/>
      <c r="Y1780" s="27">
        <f>Inventory[[#This Row],[MainFn]]+Inventory[[#This Row],[UpprFn]]+Inventory[[#This Row],[FnBsmt]]+Inventory[[#This Row],[AddFn]]</f>
        <v>1959</v>
      </c>
      <c r="Z1780" s="27">
        <v>2000</v>
      </c>
      <c r="AA1780" s="25">
        <v>8</v>
      </c>
      <c r="AB1780" s="27"/>
      <c r="AC1780" s="27"/>
      <c r="AD1780" s="27"/>
      <c r="AE1780" s="27"/>
      <c r="AF1780" s="27"/>
      <c r="AG1780" s="27"/>
      <c r="AH1780" s="27"/>
      <c r="AI1780" s="25">
        <v>294130</v>
      </c>
      <c r="AJ1780" s="25">
        <v>200008</v>
      </c>
      <c r="AK1780" s="25">
        <v>0</v>
      </c>
      <c r="AL1780" s="25">
        <v>348600</v>
      </c>
      <c r="AM1780" s="25">
        <v>60100</v>
      </c>
      <c r="AN1780" s="25">
        <v>288500</v>
      </c>
      <c r="AO1780" s="25">
        <v>0</v>
      </c>
      <c r="AP1780" s="25">
        <f>Lookups!$B$56*0</f>
        <v>0</v>
      </c>
      <c r="AQ1780" s="25">
        <f>Lookups!$B$56*1</f>
        <v>89850.625589999996</v>
      </c>
      <c r="AR1780" s="25">
        <f>Lookups!$B$57*Inventory[[#This Row],[LnAcres]]</f>
        <v>-49401.70477837498</v>
      </c>
      <c r="AS1780" s="25">
        <f>VLOOKUP(Inventory[[#This Row],[Qlty]],Lookups!$A$62:$E$75,2,FALSE)</f>
        <v>21557.329055999999</v>
      </c>
      <c r="AT1780" s="25">
        <f>VLOOKUP(Inventory[[#This Row],[Cnd]],Lookups!$A$76:$E$84,2,FALSE)</f>
        <v>197752.34721000001</v>
      </c>
      <c r="AU1780" s="25">
        <f>Inventory[[#This Row],[EffAge]]*Lookups!$B$85</f>
        <v>-12044.462427</v>
      </c>
      <c r="AV1780" s="25">
        <f>Inventory[[#This Row],[MainFn]]*Lookups!$B$86</f>
        <v>70407.354574725003</v>
      </c>
      <c r="AW1780" s="25">
        <f>Inventory[[#This Row],[UpprFn]]*Lookups!$B$87</f>
        <v>0</v>
      </c>
      <c r="AX1780" s="25">
        <f>Inventory[[#This Row],[AddFn]]*Lookups!$B$88</f>
        <v>0</v>
      </c>
      <c r="AY1780" s="25">
        <f>Inventory[[#This Row],[Bsmt]]*Lookups!$B$89</f>
        <v>20735.391311110998</v>
      </c>
      <c r="AZ1780" s="25">
        <f>Inventory[[#This Row],[Fixtures]]*Lookups!$B$90</f>
        <v>30336.176841600001</v>
      </c>
      <c r="BA1780" s="25">
        <f>Inventory[[#This Row],[WdDeck]]*Lookups!$B$91</f>
        <v>0</v>
      </c>
      <c r="BB1780" s="25">
        <f>ROUND(Inventory[[#This Row],[25Det]],-2)</f>
        <v>0</v>
      </c>
      <c r="BC1780" s="25">
        <f>ROUND(SUM(Inventory[[#This Row],[Mdl Qlty]:[Mdl WdDeck]])+Inventory[[#This Row],[Mdl Res Intercept]],-2)</f>
        <v>328700</v>
      </c>
      <c r="BD1780" s="25">
        <f>ROUND(Inventory[[#This Row],[Mdl Land Intercept]]+Inventory[[#This Row],[Mdl LnAcres]],-2)</f>
        <v>40400</v>
      </c>
      <c r="BE1780" s="25">
        <f>Inventory[[#This Row],[Unadj Res Value]]+Inventory[[#This Row],[Unadj Det Value]]+Inventory[[#This Row],[Unadj Land Value]]</f>
        <v>369100</v>
      </c>
      <c r="BF1780" s="36">
        <f>(Inventory[[#This Row],[Unadj Total Value]]-Inventory[[#This Row],[24Final]])/Inventory[[#This Row],[24Final]]</f>
        <v>5.8806655192197362E-2</v>
      </c>
      <c r="BG1780" s="25">
        <f>VLOOKUP(Inventory[[#This Row],[Nbhd]],Lookups!$Q$2:$T$4,4,FALSE)</f>
        <v>0.99970000000000003</v>
      </c>
      <c r="BH1780" s="25">
        <f>VLOOKUP(Inventory[[#This Row],[Qlty]],Lookups!$O$7:$R$21,4,FALSE)</f>
        <v>1.0067999999999999</v>
      </c>
      <c r="BI1780" s="25">
        <f>VLOOKUP(Inventory[[#This Row],[Cnd]],Lookups!$T$7:$W$16,4,FALSE)</f>
        <v>0.99650000000000005</v>
      </c>
      <c r="BJ1780" s="25">
        <f>VLOOKUP(Inventory[[#This Row],[LivArea Range]],Lookups!$T$25:$W$37,4,FALSE)</f>
        <v>1.0093000000000001</v>
      </c>
      <c r="BK1780" s="25">
        <f>VLOOKUP(Inventory[[#This Row],[Decade]],Lookups!$O$25:$R$42,4,FALSE)</f>
        <v>1.0074000000000001</v>
      </c>
      <c r="BL1780" s="25">
        <f>Inventory[[#This Row],[Nbhd Adj]]*0.95</f>
        <v>0.94971499999999998</v>
      </c>
      <c r="BM1780" s="25">
        <f>Inventory[[#This Row],[Nbhd Adj]]*Inventory[[#This Row],[Quality Adj]]*Inventory[[#This Row],[Condition Adj]]*Inventory[[#This Row],[Living Area Adj]]*Inventory[[#This Row],[Decade Adj]]*0.95</f>
        <v>0.96880423161964746</v>
      </c>
      <c r="BN1780" s="25">
        <f>ROUND(SUM(Inventory[[#This Row],[Mdl Qlty]:[Mdl WdDeck]])+Inventory[[#This Row],[Mdl Res Intercept]]*Inventory[[#This Row],[Res Adj ]],-2)</f>
        <v>328700</v>
      </c>
      <c r="BO1780" s="25">
        <f>ROUND(Inventory[[#This Row],[25Det]]*Inventory[[#This Row],[Det/Nbhd Adj]],-2)</f>
        <v>0</v>
      </c>
      <c r="BP1780" s="25">
        <f>Inventory[[#This Row],[Adjusted Res]]+Inventory[[#This Row],[Adj Det ]]</f>
        <v>328700</v>
      </c>
      <c r="BQ1780" s="25">
        <f>ROUND((Inventory[[#This Row],[Mdl Land Intercept]]+Inventory[[#This Row],[Mdl LnAcres]])*Inventory[[#This Row],[Det/Nbhd Adj]],-2)</f>
        <v>38400</v>
      </c>
      <c r="BR1780" s="25">
        <f>Inventory[[#This Row],[Adjusted Impr Total]]+Inventory[[#This Row],[Adjusted Land Total]]</f>
        <v>367100</v>
      </c>
      <c r="BS1780" s="36">
        <f>IFERROR((Inventory[[#This Row],[Adjusted Impr Total]]-Inventory[[#This Row],[24Bldg]])/Inventory[[#This Row],[24Bldg]],0)</f>
        <v>0.13934142114384748</v>
      </c>
      <c r="BT1780" s="36">
        <f>(Inventory[[#This Row],[Adjusted Land Total]]-Inventory[[#This Row],[24Lnd]])/Inventory[[#This Row],[24Lnd]]</f>
        <v>-0.36106489184692181</v>
      </c>
      <c r="BU1780" s="36">
        <f>(Inventory[[#This Row],[Adjusted Total]]-Inventory[[#This Row],[24Final]])/Inventory[[#This Row],[24Final]]</f>
        <v>5.3069420539300055E-2</v>
      </c>
    </row>
    <row r="1781" spans="1:73" x14ac:dyDescent="0.3">
      <c r="A1781" s="25">
        <v>2025</v>
      </c>
      <c r="B1781" s="26" t="s">
        <v>1977</v>
      </c>
      <c r="C1781" s="26">
        <f>LN(Inventory[[#This Row],[Acres]])</f>
        <v>-1.6607312068216509</v>
      </c>
      <c r="D1781" s="25">
        <v>0.19</v>
      </c>
      <c r="E1781" s="25">
        <v>8340</v>
      </c>
      <c r="F1781" s="26" t="s">
        <v>537</v>
      </c>
      <c r="G1781" s="26" t="s">
        <v>126</v>
      </c>
      <c r="H1781" s="26" t="s">
        <v>349</v>
      </c>
      <c r="I1781" s="26" t="s">
        <v>538</v>
      </c>
      <c r="J1781" s="26" t="s">
        <v>539</v>
      </c>
      <c r="K1781" s="26" t="s">
        <v>269</v>
      </c>
      <c r="L1781" s="26" t="s">
        <v>302</v>
      </c>
      <c r="M1781" s="26" t="s">
        <v>303</v>
      </c>
      <c r="N1781" s="26">
        <v>100</v>
      </c>
      <c r="O1781" s="26">
        <f>2024-Inventory[[#This Row],[YrBlt]]</f>
        <v>94</v>
      </c>
      <c r="P1781" s="26">
        <f>2024-Inventory[[#This Row],[EffYr]]</f>
        <v>54</v>
      </c>
      <c r="Q1781" s="25">
        <v>1930</v>
      </c>
      <c r="R1781" s="25">
        <v>1970</v>
      </c>
      <c r="S1781" s="25">
        <v>1170</v>
      </c>
      <c r="T1781" s="25">
        <v>868</v>
      </c>
      <c r="U1781" s="25">
        <v>1170</v>
      </c>
      <c r="V1781" s="25">
        <f>Inventory[[#This Row],[Bsmt]]-Inventory[[#This Row],[FnBsmt]]</f>
        <v>96</v>
      </c>
      <c r="W1781" s="25">
        <v>1074</v>
      </c>
      <c r="X1781" s="27"/>
      <c r="Y1781" s="27">
        <f>Inventory[[#This Row],[MainFn]]+Inventory[[#This Row],[UpprFn]]+Inventory[[#This Row],[FnBsmt]]+Inventory[[#This Row],[AddFn]]</f>
        <v>3112</v>
      </c>
      <c r="Z1781" s="27">
        <v>3500</v>
      </c>
      <c r="AA1781" s="25">
        <v>12</v>
      </c>
      <c r="AB1781" s="27"/>
      <c r="AC1781" s="27"/>
      <c r="AD1781" s="27"/>
      <c r="AE1781" s="27"/>
      <c r="AF1781" s="27"/>
      <c r="AG1781" s="27"/>
      <c r="AH1781" s="27"/>
      <c r="AI1781" s="25">
        <v>506941</v>
      </c>
      <c r="AJ1781" s="25">
        <v>344720</v>
      </c>
      <c r="AK1781" s="25">
        <v>7889</v>
      </c>
      <c r="AL1781" s="25">
        <v>412800</v>
      </c>
      <c r="AM1781" s="25">
        <v>56600</v>
      </c>
      <c r="AN1781" s="25">
        <v>356200</v>
      </c>
      <c r="AO1781" s="25">
        <v>0</v>
      </c>
      <c r="AP1781" s="25">
        <f>Lookups!$B$56*0</f>
        <v>0</v>
      </c>
      <c r="AQ1781" s="25">
        <f>Lookups!$B$56*1</f>
        <v>89850.625589999996</v>
      </c>
      <c r="AR1781" s="25">
        <f>Lookups!$B$57*Inventory[[#This Row],[LnAcres]]</f>
        <v>-52569.808201026557</v>
      </c>
      <c r="AS1781" s="25">
        <f>VLOOKUP(Inventory[[#This Row],[Qlty]],Lookups!$A$62:$E$75,2,FALSE)</f>
        <v>29814.093161000001</v>
      </c>
      <c r="AT1781" s="25">
        <f>VLOOKUP(Inventory[[#This Row],[Cnd]],Lookups!$A$76:$E$84,2,FALSE)</f>
        <v>197752.34721000001</v>
      </c>
      <c r="AU1781" s="25">
        <f>Inventory[[#This Row],[EffAge]]*Lookups!$B$85</f>
        <v>-12044.462427</v>
      </c>
      <c r="AV1781" s="25">
        <f>Inventory[[#This Row],[MainFn]]*Lookups!$B$86</f>
        <v>57808.143756090001</v>
      </c>
      <c r="AW1781" s="25">
        <f>Inventory[[#This Row],[UpprFn]]*Lookups!$B$87</f>
        <v>38874.615043348</v>
      </c>
      <c r="AX1781" s="25">
        <f>Inventory[[#This Row],[AddFn]]*Lookups!$B$88</f>
        <v>0</v>
      </c>
      <c r="AY1781" s="25">
        <f>Inventory[[#This Row],[Bsmt]]*Lookups!$B$89</f>
        <v>34025.817438990001</v>
      </c>
      <c r="AZ1781" s="25">
        <f>Inventory[[#This Row],[Fixtures]]*Lookups!$B$90</f>
        <v>45504.265262400004</v>
      </c>
      <c r="BA1781" s="25">
        <f>Inventory[[#This Row],[WdDeck]]*Lookups!$B$91</f>
        <v>0</v>
      </c>
      <c r="BB1781" s="25">
        <f>ROUND(Inventory[[#This Row],[25Det]],-2)</f>
        <v>7900</v>
      </c>
      <c r="BC1781" s="25">
        <f>ROUND(SUM(Inventory[[#This Row],[Mdl Qlty]:[Mdl WdDeck]])+Inventory[[#This Row],[Mdl Res Intercept]],-2)</f>
        <v>391700</v>
      </c>
      <c r="BD1781" s="25">
        <f>ROUND(Inventory[[#This Row],[Mdl Land Intercept]]+Inventory[[#This Row],[Mdl LnAcres]],-2)</f>
        <v>37300</v>
      </c>
      <c r="BE1781" s="25">
        <f>Inventory[[#This Row],[Unadj Res Value]]+Inventory[[#This Row],[Unadj Det Value]]+Inventory[[#This Row],[Unadj Land Value]]</f>
        <v>436900</v>
      </c>
      <c r="BF1781" s="36">
        <f>(Inventory[[#This Row],[Unadj Total Value]]-Inventory[[#This Row],[24Final]])/Inventory[[#This Row],[24Final]]</f>
        <v>5.8381782945736434E-2</v>
      </c>
      <c r="BG1781" s="25">
        <f>VLOOKUP(Inventory[[#This Row],[Nbhd]],Lookups!$Q$2:$T$4,4,FALSE)</f>
        <v>0.99970000000000003</v>
      </c>
      <c r="BH1781" s="25">
        <f>VLOOKUP(Inventory[[#This Row],[Qlty]],Lookups!$O$7:$R$21,4,FALSE)</f>
        <v>1.0088999999999999</v>
      </c>
      <c r="BI1781" s="25">
        <f>VLOOKUP(Inventory[[#This Row],[Cnd]],Lookups!$T$7:$W$16,4,FALSE)</f>
        <v>0.99650000000000005</v>
      </c>
      <c r="BJ1781" s="25">
        <f>VLOOKUP(Inventory[[#This Row],[LivArea Range]],Lookups!$T$25:$W$37,4,FALSE)</f>
        <v>1.0126999999999999</v>
      </c>
      <c r="BK1781" s="25">
        <f>VLOOKUP(Inventory[[#This Row],[Decade]],Lookups!$O$25:$R$42,4,FALSE)</f>
        <v>1.0074000000000001</v>
      </c>
      <c r="BL1781" s="25">
        <f>Inventory[[#This Row],[Nbhd Adj]]*0.95</f>
        <v>0.94971499999999998</v>
      </c>
      <c r="BM1781" s="25">
        <f>Inventory[[#This Row],[Nbhd Adj]]*Inventory[[#This Row],[Quality Adj]]*Inventory[[#This Row],[Condition Adj]]*Inventory[[#This Row],[Living Area Adj]]*Inventory[[#This Row],[Decade Adj]]*0.95</f>
        <v>0.97409536972123856</v>
      </c>
      <c r="BN1781" s="25">
        <f>ROUND(SUM(Inventory[[#This Row],[Mdl Qlty]:[Mdl WdDeck]])+Inventory[[#This Row],[Mdl Res Intercept]]*Inventory[[#This Row],[Res Adj ]],-2)</f>
        <v>391700</v>
      </c>
      <c r="BO1781" s="25">
        <f>ROUND(Inventory[[#This Row],[25Det]]*Inventory[[#This Row],[Det/Nbhd Adj]],-2)</f>
        <v>7500</v>
      </c>
      <c r="BP1781" s="25">
        <f>Inventory[[#This Row],[Adjusted Res]]+Inventory[[#This Row],[Adj Det ]]</f>
        <v>399200</v>
      </c>
      <c r="BQ1781" s="25">
        <f>ROUND((Inventory[[#This Row],[Mdl Land Intercept]]+Inventory[[#This Row],[Mdl LnAcres]])*Inventory[[#This Row],[Det/Nbhd Adj]],-2)</f>
        <v>35400</v>
      </c>
      <c r="BR1781" s="25">
        <f>Inventory[[#This Row],[Adjusted Impr Total]]+Inventory[[#This Row],[Adjusted Land Total]]</f>
        <v>434600</v>
      </c>
      <c r="BS1781" s="36">
        <f>IFERROR((Inventory[[#This Row],[Adjusted Impr Total]]-Inventory[[#This Row],[24Bldg]])/Inventory[[#This Row],[24Bldg]],0)</f>
        <v>0.12071869736103313</v>
      </c>
      <c r="BT1781" s="36">
        <f>(Inventory[[#This Row],[Adjusted Land Total]]-Inventory[[#This Row],[24Lnd]])/Inventory[[#This Row],[24Lnd]]</f>
        <v>-0.37455830388692579</v>
      </c>
      <c r="BU1781" s="36">
        <f>(Inventory[[#This Row],[Adjusted Total]]-Inventory[[#This Row],[24Final]])/Inventory[[#This Row],[24Final]]</f>
        <v>5.2810077519379842E-2</v>
      </c>
    </row>
    <row r="1782" spans="1:73" x14ac:dyDescent="0.3">
      <c r="A1782" s="25">
        <v>2025</v>
      </c>
      <c r="B1782" s="26" t="s">
        <v>1690</v>
      </c>
      <c r="C1782" s="26">
        <f>LN(Inventory[[#This Row],[Acres]])</f>
        <v>-1.1086626245216111</v>
      </c>
      <c r="D1782" s="25">
        <v>0.33</v>
      </c>
      <c r="E1782" s="25">
        <v>14350</v>
      </c>
      <c r="F1782" s="26" t="s">
        <v>537</v>
      </c>
      <c r="G1782" s="26" t="s">
        <v>126</v>
      </c>
      <c r="H1782" s="26" t="s">
        <v>349</v>
      </c>
      <c r="I1782" s="26" t="s">
        <v>538</v>
      </c>
      <c r="J1782" s="26" t="s">
        <v>539</v>
      </c>
      <c r="K1782" s="26" t="s">
        <v>301</v>
      </c>
      <c r="L1782" s="26" t="s">
        <v>148</v>
      </c>
      <c r="M1782" s="26" t="s">
        <v>303</v>
      </c>
      <c r="N1782" s="26">
        <v>100</v>
      </c>
      <c r="O1782" s="26">
        <f>2024-Inventory[[#This Row],[YrBlt]]</f>
        <v>94</v>
      </c>
      <c r="P1782" s="26">
        <f>2024-Inventory[[#This Row],[EffYr]]</f>
        <v>54</v>
      </c>
      <c r="Q1782" s="25">
        <v>1930</v>
      </c>
      <c r="R1782" s="25">
        <v>1970</v>
      </c>
      <c r="S1782" s="25">
        <v>1191</v>
      </c>
      <c r="T1782" s="32">
        <v>936</v>
      </c>
      <c r="U1782" s="25">
        <v>468</v>
      </c>
      <c r="V1782" s="32">
        <f>Inventory[[#This Row],[Bsmt]]-Inventory[[#This Row],[FnBsmt]]</f>
        <v>94</v>
      </c>
      <c r="W1782" s="32">
        <v>374</v>
      </c>
      <c r="X1782" s="27"/>
      <c r="Y1782" s="27">
        <f>Inventory[[#This Row],[MainFn]]+Inventory[[#This Row],[UpprFn]]+Inventory[[#This Row],[FnBsmt]]+Inventory[[#This Row],[AddFn]]</f>
        <v>2501</v>
      </c>
      <c r="Z1782" s="27">
        <v>3000</v>
      </c>
      <c r="AA1782" s="25">
        <v>10</v>
      </c>
      <c r="AB1782" s="27"/>
      <c r="AC1782" s="32">
        <v>468</v>
      </c>
      <c r="AD1782" s="25">
        <v>85</v>
      </c>
      <c r="AE1782" s="27"/>
      <c r="AF1782" s="27"/>
      <c r="AG1782" s="27"/>
      <c r="AH1782" s="27"/>
      <c r="AI1782" s="25">
        <v>539722</v>
      </c>
      <c r="AJ1782" s="25">
        <v>367011</v>
      </c>
      <c r="AK1782" s="25">
        <v>31274</v>
      </c>
      <c r="AL1782" s="25">
        <v>443300</v>
      </c>
      <c r="AM1782" s="25">
        <v>75900</v>
      </c>
      <c r="AN1782" s="25">
        <v>367400</v>
      </c>
      <c r="AO1782" s="25">
        <v>0</v>
      </c>
      <c r="AP1782" s="25">
        <f>Lookups!$B$56*0</f>
        <v>0</v>
      </c>
      <c r="AQ1782" s="25">
        <f>Lookups!$B$56*1</f>
        <v>89850.625589999996</v>
      </c>
      <c r="AR1782" s="25">
        <f>Lookups!$B$57*Inventory[[#This Row],[LnAcres]]</f>
        <v>-35094.289365640165</v>
      </c>
      <c r="AS1782" s="25">
        <f>VLOOKUP(Inventory[[#This Row],[Qlty]],Lookups!$A$62:$E$75,2,FALSE)</f>
        <v>44121.038090000002</v>
      </c>
      <c r="AT1782" s="25">
        <f>VLOOKUP(Inventory[[#This Row],[Cnd]],Lookups!$A$76:$E$84,2,FALSE)</f>
        <v>197752.34721000001</v>
      </c>
      <c r="AU1782" s="25">
        <f>Inventory[[#This Row],[EffAge]]*Lookups!$B$85</f>
        <v>-12044.462427</v>
      </c>
      <c r="AV1782" s="25">
        <f>Inventory[[#This Row],[MainFn]]*Lookups!$B$86</f>
        <v>58845.725823507004</v>
      </c>
      <c r="AW1782" s="25">
        <f>Inventory[[#This Row],[UpprFn]]*Lookups!$B$87</f>
        <v>41920.091797895999</v>
      </c>
      <c r="AX1782" s="25">
        <f>Inventory[[#This Row],[AddFn]]*Lookups!$B$88</f>
        <v>0</v>
      </c>
      <c r="AY1782" s="25">
        <f>Inventory[[#This Row],[Bsmt]]*Lookups!$B$89</f>
        <v>13610.326975595999</v>
      </c>
      <c r="AZ1782" s="25">
        <f>Inventory[[#This Row],[Fixtures]]*Lookups!$B$90</f>
        <v>37920.221052000001</v>
      </c>
      <c r="BA1782" s="25">
        <f>Inventory[[#This Row],[WdDeck]]*Lookups!$B$91</f>
        <v>2830.1187984600001</v>
      </c>
      <c r="BB1782" s="25">
        <f>ROUND(Inventory[[#This Row],[25Det]],-2)</f>
        <v>31300</v>
      </c>
      <c r="BC1782" s="25">
        <f>ROUND(SUM(Inventory[[#This Row],[Mdl Qlty]:[Mdl WdDeck]])+Inventory[[#This Row],[Mdl Res Intercept]],-2)</f>
        <v>385000</v>
      </c>
      <c r="BD1782" s="25">
        <f>ROUND(Inventory[[#This Row],[Mdl Land Intercept]]+Inventory[[#This Row],[Mdl LnAcres]],-2)</f>
        <v>54800</v>
      </c>
      <c r="BE1782" s="25">
        <f>Inventory[[#This Row],[Unadj Res Value]]+Inventory[[#This Row],[Unadj Det Value]]+Inventory[[#This Row],[Unadj Land Value]]</f>
        <v>471100</v>
      </c>
      <c r="BF1782" s="36">
        <f>(Inventory[[#This Row],[Unadj Total Value]]-Inventory[[#This Row],[24Final]])/Inventory[[#This Row],[24Final]]</f>
        <v>6.2711482066320781E-2</v>
      </c>
      <c r="BG1782" s="25">
        <f>VLOOKUP(Inventory[[#This Row],[Nbhd]],Lookups!$Q$2:$T$4,4,FALSE)</f>
        <v>0.99970000000000003</v>
      </c>
      <c r="BH1782" s="25">
        <f>VLOOKUP(Inventory[[#This Row],[Qlty]],Lookups!$O$7:$R$21,4,FALSE)</f>
        <v>0.98050000000000004</v>
      </c>
      <c r="BI1782" s="25">
        <f>VLOOKUP(Inventory[[#This Row],[Cnd]],Lookups!$T$7:$W$16,4,FALSE)</f>
        <v>0.99650000000000005</v>
      </c>
      <c r="BJ1782" s="25">
        <f>VLOOKUP(Inventory[[#This Row],[LivArea Range]],Lookups!$T$25:$W$37,4,FALSE)</f>
        <v>0.96179999999999999</v>
      </c>
      <c r="BK1782" s="25">
        <f>VLOOKUP(Inventory[[#This Row],[Decade]],Lookups!$O$25:$R$42,4,FALSE)</f>
        <v>1.0074000000000001</v>
      </c>
      <c r="BL1782" s="25">
        <f>Inventory[[#This Row],[Nbhd Adj]]*0.95</f>
        <v>0.94971499999999998</v>
      </c>
      <c r="BM1782" s="25">
        <f>Inventory[[#This Row],[Nbhd Adj]]*Inventory[[#This Row],[Quality Adj]]*Inventory[[#This Row],[Condition Adj]]*Inventory[[#This Row],[Living Area Adj]]*Inventory[[#This Row],[Decade Adj]]*0.95</f>
        <v>0.89909362370491519</v>
      </c>
      <c r="BN1782" s="25">
        <f>ROUND(SUM(Inventory[[#This Row],[Mdl Qlty]:[Mdl WdDeck]])+Inventory[[#This Row],[Mdl Res Intercept]]*Inventory[[#This Row],[Res Adj ]],-2)</f>
        <v>385000</v>
      </c>
      <c r="BO1782" s="25">
        <f>ROUND(Inventory[[#This Row],[25Det]]*Inventory[[#This Row],[Det/Nbhd Adj]],-2)</f>
        <v>29700</v>
      </c>
      <c r="BP1782" s="25">
        <f>Inventory[[#This Row],[Adjusted Res]]+Inventory[[#This Row],[Adj Det ]]</f>
        <v>414700</v>
      </c>
      <c r="BQ1782" s="25">
        <f>ROUND((Inventory[[#This Row],[Mdl Land Intercept]]+Inventory[[#This Row],[Mdl LnAcres]])*Inventory[[#This Row],[Det/Nbhd Adj]],-2)</f>
        <v>52000</v>
      </c>
      <c r="BR1782" s="25">
        <f>Inventory[[#This Row],[Adjusted Impr Total]]+Inventory[[#This Row],[Adjusted Land Total]]</f>
        <v>466700</v>
      </c>
      <c r="BS1782" s="36">
        <f>IFERROR((Inventory[[#This Row],[Adjusted Impr Total]]-Inventory[[#This Row],[24Bldg]])/Inventory[[#This Row],[24Bldg]],0)</f>
        <v>0.12874251497005987</v>
      </c>
      <c r="BT1782" s="36">
        <f>(Inventory[[#This Row],[Adjusted Land Total]]-Inventory[[#This Row],[24Lnd]])/Inventory[[#This Row],[24Lnd]]</f>
        <v>-0.31488801054018445</v>
      </c>
      <c r="BU1782" s="36">
        <f>(Inventory[[#This Row],[Adjusted Total]]-Inventory[[#This Row],[24Final]])/Inventory[[#This Row],[24Final]]</f>
        <v>5.2785923753665691E-2</v>
      </c>
    </row>
    <row r="1783" spans="1:73" x14ac:dyDescent="0.3">
      <c r="A1783" s="25">
        <v>2025</v>
      </c>
      <c r="B1783" s="26" t="s">
        <v>1035</v>
      </c>
      <c r="C1783" s="26">
        <f>LN(Inventory[[#This Row],[Acres]])</f>
        <v>-1.8325814637483102</v>
      </c>
      <c r="D1783" s="25">
        <v>0.16</v>
      </c>
      <c r="E1783" s="27"/>
      <c r="F1783" s="26" t="s">
        <v>537</v>
      </c>
      <c r="G1783" s="26" t="s">
        <v>126</v>
      </c>
      <c r="H1783" s="26" t="s">
        <v>349</v>
      </c>
      <c r="I1783" s="26" t="s">
        <v>538</v>
      </c>
      <c r="J1783" s="26" t="s">
        <v>539</v>
      </c>
      <c r="K1783" s="26" t="s">
        <v>269</v>
      </c>
      <c r="L1783" s="26" t="s">
        <v>351</v>
      </c>
      <c r="M1783" s="26" t="s">
        <v>303</v>
      </c>
      <c r="N1783" s="26">
        <v>100</v>
      </c>
      <c r="O1783" s="26">
        <f>2024-Inventory[[#This Row],[YrBlt]]</f>
        <v>94</v>
      </c>
      <c r="P1783" s="26">
        <f>2024-Inventory[[#This Row],[EffYr]]</f>
        <v>54</v>
      </c>
      <c r="Q1783" s="25">
        <v>1930</v>
      </c>
      <c r="R1783" s="25">
        <v>1970</v>
      </c>
      <c r="S1783" s="25">
        <v>1336</v>
      </c>
      <c r="T1783" s="27"/>
      <c r="U1783" s="25">
        <v>672</v>
      </c>
      <c r="V1783" s="32">
        <f>Inventory[[#This Row],[Bsmt]]-Inventory[[#This Row],[FnBsmt]]</f>
        <v>0</v>
      </c>
      <c r="W1783" s="32">
        <v>672</v>
      </c>
      <c r="X1783" s="27"/>
      <c r="Y1783" s="27">
        <f>Inventory[[#This Row],[MainFn]]+Inventory[[#This Row],[UpprFn]]+Inventory[[#This Row],[FnBsmt]]+Inventory[[#This Row],[AddFn]]</f>
        <v>2008</v>
      </c>
      <c r="Z1783" s="27">
        <v>2500</v>
      </c>
      <c r="AA1783" s="25">
        <v>9</v>
      </c>
      <c r="AB1783" s="27"/>
      <c r="AC1783" s="27"/>
      <c r="AD1783" s="27"/>
      <c r="AE1783" s="27"/>
      <c r="AF1783" s="27"/>
      <c r="AG1783" s="27"/>
      <c r="AH1783" s="27"/>
      <c r="AI1783" s="25">
        <v>308593</v>
      </c>
      <c r="AJ1783" s="25">
        <v>209843</v>
      </c>
      <c r="AK1783" s="25">
        <v>0</v>
      </c>
      <c r="AL1783" s="25">
        <v>339200</v>
      </c>
      <c r="AM1783" s="25">
        <v>50600</v>
      </c>
      <c r="AN1783" s="25">
        <v>288600</v>
      </c>
      <c r="AO1783" s="25">
        <v>0</v>
      </c>
      <c r="AP1783" s="25">
        <f>Lookups!$B$56*0</f>
        <v>0</v>
      </c>
      <c r="AQ1783" s="25">
        <f>Lookups!$B$56*1</f>
        <v>89850.625589999996</v>
      </c>
      <c r="AR1783" s="25">
        <f>Lookups!$B$57*Inventory[[#This Row],[LnAcres]]</f>
        <v>-58009.662049032086</v>
      </c>
      <c r="AS1783" s="25">
        <f>VLOOKUP(Inventory[[#This Row],[Qlty]],Lookups!$A$62:$E$75,2,FALSE)</f>
        <v>21557.329055999999</v>
      </c>
      <c r="AT1783" s="25">
        <f>VLOOKUP(Inventory[[#This Row],[Cnd]],Lookups!$A$76:$E$84,2,FALSE)</f>
        <v>197752.34721000001</v>
      </c>
      <c r="AU1783" s="25">
        <f>Inventory[[#This Row],[EffAge]]*Lookups!$B$85</f>
        <v>-12044.462427</v>
      </c>
      <c r="AV1783" s="25">
        <f>Inventory[[#This Row],[MainFn]]*Lookups!$B$86</f>
        <v>66009.982955672007</v>
      </c>
      <c r="AW1783" s="25">
        <f>Inventory[[#This Row],[UpprFn]]*Lookups!$B$87</f>
        <v>0</v>
      </c>
      <c r="AX1783" s="25">
        <f>Inventory[[#This Row],[AddFn]]*Lookups!$B$88</f>
        <v>0</v>
      </c>
      <c r="AY1783" s="25">
        <f>Inventory[[#This Row],[Bsmt]]*Lookups!$B$89</f>
        <v>19543.033605983997</v>
      </c>
      <c r="AZ1783" s="25">
        <f>Inventory[[#This Row],[Fixtures]]*Lookups!$B$90</f>
        <v>34128.198946800003</v>
      </c>
      <c r="BA1783" s="25">
        <f>Inventory[[#This Row],[WdDeck]]*Lookups!$B$91</f>
        <v>0</v>
      </c>
      <c r="BB1783" s="25">
        <f>ROUND(Inventory[[#This Row],[25Det]],-2)</f>
        <v>0</v>
      </c>
      <c r="BC1783" s="25">
        <f>ROUND(SUM(Inventory[[#This Row],[Mdl Qlty]:[Mdl WdDeck]])+Inventory[[#This Row],[Mdl Res Intercept]],-2)</f>
        <v>326900</v>
      </c>
      <c r="BD1783" s="25">
        <f>ROUND(Inventory[[#This Row],[Mdl Land Intercept]]+Inventory[[#This Row],[Mdl LnAcres]],-2)</f>
        <v>31800</v>
      </c>
      <c r="BE1783" s="25">
        <f>Inventory[[#This Row],[Unadj Res Value]]+Inventory[[#This Row],[Unadj Det Value]]+Inventory[[#This Row],[Unadj Land Value]]</f>
        <v>358700</v>
      </c>
      <c r="BF1783" s="36">
        <f>(Inventory[[#This Row],[Unadj Total Value]]-Inventory[[#This Row],[24Final]])/Inventory[[#This Row],[24Final]]</f>
        <v>5.7488207547169809E-2</v>
      </c>
      <c r="BG1783" s="25">
        <f>VLOOKUP(Inventory[[#This Row],[Nbhd]],Lookups!$Q$2:$T$4,4,FALSE)</f>
        <v>0.99970000000000003</v>
      </c>
      <c r="BH1783" s="25">
        <f>VLOOKUP(Inventory[[#This Row],[Qlty]],Lookups!$O$7:$R$21,4,FALSE)</f>
        <v>1.0067999999999999</v>
      </c>
      <c r="BI1783" s="25">
        <f>VLOOKUP(Inventory[[#This Row],[Cnd]],Lookups!$T$7:$W$16,4,FALSE)</f>
        <v>0.99650000000000005</v>
      </c>
      <c r="BJ1783" s="25">
        <f>VLOOKUP(Inventory[[#This Row],[LivArea Range]],Lookups!$T$25:$W$37,4,FALSE)</f>
        <v>0.98919999999999997</v>
      </c>
      <c r="BK1783" s="25">
        <f>VLOOKUP(Inventory[[#This Row],[Decade]],Lookups!$O$25:$R$42,4,FALSE)</f>
        <v>1.0074000000000001</v>
      </c>
      <c r="BL1783" s="25">
        <f>Inventory[[#This Row],[Nbhd Adj]]*0.95</f>
        <v>0.94971499999999998</v>
      </c>
      <c r="BM1783" s="25">
        <f>Inventory[[#This Row],[Nbhd Adj]]*Inventory[[#This Row],[Quality Adj]]*Inventory[[#This Row],[Condition Adj]]*Inventory[[#This Row],[Living Area Adj]]*Inventory[[#This Row],[Decade Adj]]*0.95</f>
        <v>0.94951069644125163</v>
      </c>
      <c r="BN1783" s="25">
        <f>ROUND(SUM(Inventory[[#This Row],[Mdl Qlty]:[Mdl WdDeck]])+Inventory[[#This Row],[Mdl Res Intercept]]*Inventory[[#This Row],[Res Adj ]],-2)</f>
        <v>326900</v>
      </c>
      <c r="BO1783" s="25">
        <f>ROUND(Inventory[[#This Row],[25Det]]*Inventory[[#This Row],[Det/Nbhd Adj]],-2)</f>
        <v>0</v>
      </c>
      <c r="BP1783" s="25">
        <f>Inventory[[#This Row],[Adjusted Res]]+Inventory[[#This Row],[Adj Det ]]</f>
        <v>326900</v>
      </c>
      <c r="BQ1783" s="25">
        <f>ROUND((Inventory[[#This Row],[Mdl Land Intercept]]+Inventory[[#This Row],[Mdl LnAcres]])*Inventory[[#This Row],[Det/Nbhd Adj]],-2)</f>
        <v>30200</v>
      </c>
      <c r="BR1783" s="25">
        <f>Inventory[[#This Row],[Adjusted Impr Total]]+Inventory[[#This Row],[Adjusted Land Total]]</f>
        <v>357100</v>
      </c>
      <c r="BS1783" s="36">
        <f>IFERROR((Inventory[[#This Row],[Adjusted Impr Total]]-Inventory[[#This Row],[24Bldg]])/Inventory[[#This Row],[24Bldg]],0)</f>
        <v>0.13270963270963271</v>
      </c>
      <c r="BT1783" s="36">
        <f>(Inventory[[#This Row],[Adjusted Land Total]]-Inventory[[#This Row],[24Lnd]])/Inventory[[#This Row],[24Lnd]]</f>
        <v>-0.40316205533596838</v>
      </c>
      <c r="BU1783" s="36">
        <f>(Inventory[[#This Row],[Adjusted Total]]-Inventory[[#This Row],[24Final]])/Inventory[[#This Row],[24Final]]</f>
        <v>5.2771226415094338E-2</v>
      </c>
    </row>
    <row r="1784" spans="1:73" x14ac:dyDescent="0.3">
      <c r="A1784" s="25">
        <v>2025</v>
      </c>
      <c r="B1784" s="26" t="s">
        <v>2046</v>
      </c>
      <c r="C1784" s="26">
        <f>LN(Inventory[[#This Row],[Acres]])</f>
        <v>-1.6607312068216509</v>
      </c>
      <c r="D1784" s="25">
        <v>0.19</v>
      </c>
      <c r="E1784" s="32">
        <v>8110</v>
      </c>
      <c r="F1784" s="26" t="s">
        <v>537</v>
      </c>
      <c r="G1784" s="26" t="s">
        <v>126</v>
      </c>
      <c r="H1784" s="26" t="s">
        <v>349</v>
      </c>
      <c r="I1784" s="26" t="s">
        <v>538</v>
      </c>
      <c r="J1784" s="26" t="s">
        <v>539</v>
      </c>
      <c r="K1784" s="26" t="s">
        <v>242</v>
      </c>
      <c r="L1784" s="26" t="s">
        <v>205</v>
      </c>
      <c r="M1784" s="26" t="s">
        <v>323</v>
      </c>
      <c r="N1784" s="26">
        <v>100</v>
      </c>
      <c r="O1784" s="26">
        <f>2024-Inventory[[#This Row],[YrBlt]]</f>
        <v>94</v>
      </c>
      <c r="P1784" s="26">
        <f>2024-Inventory[[#This Row],[EffYr]]</f>
        <v>54</v>
      </c>
      <c r="Q1784" s="25">
        <v>1930</v>
      </c>
      <c r="R1784" s="25">
        <v>1970</v>
      </c>
      <c r="S1784" s="25">
        <v>688</v>
      </c>
      <c r="T1784" s="27"/>
      <c r="U1784" s="25">
        <v>488</v>
      </c>
      <c r="V1784" s="25">
        <f>Inventory[[#This Row],[Bsmt]]-Inventory[[#This Row],[FnBsmt]]</f>
        <v>488</v>
      </c>
      <c r="W1784" s="31"/>
      <c r="X1784" s="27"/>
      <c r="Y1784" s="27">
        <f>Inventory[[#This Row],[MainFn]]+Inventory[[#This Row],[UpprFn]]+Inventory[[#This Row],[FnBsmt]]+Inventory[[#This Row],[AddFn]]</f>
        <v>688</v>
      </c>
      <c r="Z1784" s="27">
        <v>1000</v>
      </c>
      <c r="AA1784" s="25">
        <v>5</v>
      </c>
      <c r="AB1784" s="27"/>
      <c r="AC1784" s="27"/>
      <c r="AD1784" s="27"/>
      <c r="AE1784" s="27"/>
      <c r="AF1784" s="27"/>
      <c r="AG1784" s="27"/>
      <c r="AH1784" s="27"/>
      <c r="AI1784" s="25">
        <v>145546</v>
      </c>
      <c r="AJ1784" s="25">
        <v>96060</v>
      </c>
      <c r="AK1784" s="25">
        <v>0</v>
      </c>
      <c r="AL1784" s="25">
        <v>238600</v>
      </c>
      <c r="AM1784" s="25">
        <v>56600</v>
      </c>
      <c r="AN1784" s="25">
        <v>182000</v>
      </c>
      <c r="AO1784" s="25">
        <v>0</v>
      </c>
      <c r="AP1784" s="25">
        <f>Lookups!$B$56*0</f>
        <v>0</v>
      </c>
      <c r="AQ1784" s="25">
        <f>Lookups!$B$56*1</f>
        <v>89850.625589999996</v>
      </c>
      <c r="AR1784" s="25">
        <f>Lookups!$B$57*Inventory[[#This Row],[LnAcres]]</f>
        <v>-52569.808201026557</v>
      </c>
      <c r="AS1784" s="25">
        <f>VLOOKUP(Inventory[[#This Row],[Qlty]],Lookups!$A$62:$E$75,2,FALSE)</f>
        <v>0</v>
      </c>
      <c r="AT1784" s="25">
        <f>VLOOKUP(Inventory[[#This Row],[Cnd]],Lookups!$A$76:$E$84,2,FALSE)</f>
        <v>160472.20319</v>
      </c>
      <c r="AU1784" s="25">
        <f>Inventory[[#This Row],[EffAge]]*Lookups!$B$85</f>
        <v>-12044.462427</v>
      </c>
      <c r="AV1784" s="25">
        <f>Inventory[[#This Row],[MainFn]]*Lookups!$B$86</f>
        <v>33993.164875376002</v>
      </c>
      <c r="AW1784" s="25">
        <f>Inventory[[#This Row],[UpprFn]]*Lookups!$B$87</f>
        <v>0</v>
      </c>
      <c r="AX1784" s="25">
        <f>Inventory[[#This Row],[AddFn]]*Lookups!$B$88</f>
        <v>0</v>
      </c>
      <c r="AY1784" s="25">
        <f>Inventory[[#This Row],[Bsmt]]*Lookups!$B$89</f>
        <v>14191.964880535999</v>
      </c>
      <c r="AZ1784" s="25">
        <f>Inventory[[#This Row],[Fixtures]]*Lookups!$B$90</f>
        <v>18960.110526</v>
      </c>
      <c r="BA1784" s="25">
        <f>Inventory[[#This Row],[WdDeck]]*Lookups!$B$91</f>
        <v>0</v>
      </c>
      <c r="BB1784" s="25">
        <f>ROUND(Inventory[[#This Row],[25Det]],-2)</f>
        <v>0</v>
      </c>
      <c r="BC1784" s="25">
        <f>ROUND(SUM(Inventory[[#This Row],[Mdl Qlty]:[Mdl WdDeck]])+Inventory[[#This Row],[Mdl Res Intercept]],-2)</f>
        <v>215600</v>
      </c>
      <c r="BD1784" s="25">
        <f>ROUND(Inventory[[#This Row],[Mdl Land Intercept]]+Inventory[[#This Row],[Mdl LnAcres]],-2)</f>
        <v>37300</v>
      </c>
      <c r="BE1784" s="25">
        <f>Inventory[[#This Row],[Unadj Res Value]]+Inventory[[#This Row],[Unadj Det Value]]+Inventory[[#This Row],[Unadj Land Value]]</f>
        <v>252900</v>
      </c>
      <c r="BF1784" s="36">
        <f>(Inventory[[#This Row],[Unadj Total Value]]-Inventory[[#This Row],[24Final]])/Inventory[[#This Row],[24Final]]</f>
        <v>5.9932942162615258E-2</v>
      </c>
      <c r="BG1784" s="25">
        <f>VLOOKUP(Inventory[[#This Row],[Nbhd]],Lookups!$Q$2:$T$4,4,FALSE)</f>
        <v>0.99970000000000003</v>
      </c>
      <c r="BH1784" s="25">
        <f>VLOOKUP(Inventory[[#This Row],[Qlty]],Lookups!$O$7:$R$21,4,FALSE)</f>
        <v>0.99180000000000001</v>
      </c>
      <c r="BI1784" s="25">
        <f>VLOOKUP(Inventory[[#This Row],[Cnd]],Lookups!$T$7:$W$16,4,FALSE)</f>
        <v>0.99729999999999996</v>
      </c>
      <c r="BJ1784" s="25">
        <f>VLOOKUP(Inventory[[#This Row],[LivArea Range]],Lookups!$T$25:$W$37,4,FALSE)</f>
        <v>1.0148999999999999</v>
      </c>
      <c r="BK1784" s="25">
        <f>VLOOKUP(Inventory[[#This Row],[Decade]],Lookups!$O$25:$R$42,4,FALSE)</f>
        <v>1.0074000000000001</v>
      </c>
      <c r="BL1784" s="25">
        <f>Inventory[[#This Row],[Nbhd Adj]]*0.95</f>
        <v>0.94971499999999998</v>
      </c>
      <c r="BM1784" s="25">
        <f>Inventory[[#This Row],[Nbhd Adj]]*Inventory[[#This Row],[Quality Adj]]*Inventory[[#This Row],[Condition Adj]]*Inventory[[#This Row],[Living Area Adj]]*Inventory[[#This Row],[Decade Adj]]*0.95</f>
        <v>0.96043597585476481</v>
      </c>
      <c r="BN1784" s="25">
        <f>ROUND(SUM(Inventory[[#This Row],[Mdl Qlty]:[Mdl WdDeck]])+Inventory[[#This Row],[Mdl Res Intercept]]*Inventory[[#This Row],[Res Adj ]],-2)</f>
        <v>215600</v>
      </c>
      <c r="BO1784" s="25">
        <f>ROUND(Inventory[[#This Row],[25Det]]*Inventory[[#This Row],[Det/Nbhd Adj]],-2)</f>
        <v>0</v>
      </c>
      <c r="BP1784" s="25">
        <f>Inventory[[#This Row],[Adjusted Res]]+Inventory[[#This Row],[Adj Det ]]</f>
        <v>215600</v>
      </c>
      <c r="BQ1784" s="25">
        <f>ROUND((Inventory[[#This Row],[Mdl Land Intercept]]+Inventory[[#This Row],[Mdl LnAcres]])*Inventory[[#This Row],[Det/Nbhd Adj]],-2)</f>
        <v>35400</v>
      </c>
      <c r="BR1784" s="25">
        <f>Inventory[[#This Row],[Adjusted Impr Total]]+Inventory[[#This Row],[Adjusted Land Total]]</f>
        <v>251000</v>
      </c>
      <c r="BS1784" s="36">
        <f>IFERROR((Inventory[[#This Row],[Adjusted Impr Total]]-Inventory[[#This Row],[24Bldg]])/Inventory[[#This Row],[24Bldg]],0)</f>
        <v>0.18461538461538463</v>
      </c>
      <c r="BT1784" s="36">
        <f>(Inventory[[#This Row],[Adjusted Land Total]]-Inventory[[#This Row],[24Lnd]])/Inventory[[#This Row],[24Lnd]]</f>
        <v>-0.37455830388692579</v>
      </c>
      <c r="BU1784" s="36">
        <f>(Inventory[[#This Row],[Adjusted Total]]-Inventory[[#This Row],[24Final]])/Inventory[[#This Row],[24Final]]</f>
        <v>5.1969823973176864E-2</v>
      </c>
    </row>
    <row r="1785" spans="1:73" x14ac:dyDescent="0.3">
      <c r="A1785" s="25">
        <v>2025</v>
      </c>
      <c r="B1785" s="26" t="s">
        <v>1265</v>
      </c>
      <c r="C1785" s="26">
        <f>LN(Inventory[[#This Row],[Acres]])</f>
        <v>-1.3470736479666092</v>
      </c>
      <c r="D1785" s="25">
        <v>0.26</v>
      </c>
      <c r="E1785" s="25">
        <v>11385</v>
      </c>
      <c r="F1785" s="26" t="s">
        <v>537</v>
      </c>
      <c r="G1785" s="26" t="s">
        <v>126</v>
      </c>
      <c r="H1785" s="26" t="s">
        <v>349</v>
      </c>
      <c r="I1785" s="26" t="s">
        <v>538</v>
      </c>
      <c r="J1785" s="26" t="s">
        <v>539</v>
      </c>
      <c r="K1785" s="26" t="s">
        <v>301</v>
      </c>
      <c r="L1785" s="26" t="s">
        <v>302</v>
      </c>
      <c r="M1785" s="26" t="s">
        <v>303</v>
      </c>
      <c r="N1785" s="26">
        <v>100</v>
      </c>
      <c r="O1785" s="26">
        <f>2024-Inventory[[#This Row],[YrBlt]]</f>
        <v>94</v>
      </c>
      <c r="P1785" s="26">
        <f>2024-Inventory[[#This Row],[EffYr]]</f>
        <v>54</v>
      </c>
      <c r="Q1785" s="25">
        <v>1930</v>
      </c>
      <c r="R1785" s="25">
        <v>1970</v>
      </c>
      <c r="S1785" s="25">
        <v>1184</v>
      </c>
      <c r="T1785" s="25">
        <v>950</v>
      </c>
      <c r="U1785" s="25">
        <v>1028</v>
      </c>
      <c r="V1785" s="25">
        <f>Inventory[[#This Row],[Bsmt]]-Inventory[[#This Row],[FnBsmt]]</f>
        <v>709</v>
      </c>
      <c r="W1785" s="25">
        <v>319</v>
      </c>
      <c r="X1785" s="27"/>
      <c r="Y1785" s="27">
        <f>Inventory[[#This Row],[MainFn]]+Inventory[[#This Row],[UpprFn]]+Inventory[[#This Row],[FnBsmt]]+Inventory[[#This Row],[AddFn]]</f>
        <v>2453</v>
      </c>
      <c r="Z1785" s="27">
        <v>2500</v>
      </c>
      <c r="AA1785" s="25">
        <v>9</v>
      </c>
      <c r="AB1785" s="31"/>
      <c r="AC1785" s="27"/>
      <c r="AD1785" s="31"/>
      <c r="AE1785" s="31"/>
      <c r="AF1785" s="27"/>
      <c r="AG1785" s="31"/>
      <c r="AH1785" s="27"/>
      <c r="AI1785" s="25">
        <v>432081</v>
      </c>
      <c r="AJ1785" s="25">
        <v>293815</v>
      </c>
      <c r="AK1785" s="25">
        <v>17459</v>
      </c>
      <c r="AL1785" s="25">
        <v>420600</v>
      </c>
      <c r="AM1785" s="25">
        <v>67600</v>
      </c>
      <c r="AN1785" s="25">
        <v>353000</v>
      </c>
      <c r="AO1785" s="25">
        <v>0</v>
      </c>
      <c r="AP1785" s="25">
        <f>Lookups!$B$56*0</f>
        <v>0</v>
      </c>
      <c r="AQ1785" s="25">
        <f>Lookups!$B$56*1</f>
        <v>89850.625589999996</v>
      </c>
      <c r="AR1785" s="25">
        <f>Lookups!$B$57*Inventory[[#This Row],[LnAcres]]</f>
        <v>-42641.098701210125</v>
      </c>
      <c r="AS1785" s="25">
        <f>VLOOKUP(Inventory[[#This Row],[Qlty]],Lookups!$A$62:$E$75,2,FALSE)</f>
        <v>29814.093161000001</v>
      </c>
      <c r="AT1785" s="25">
        <f>VLOOKUP(Inventory[[#This Row],[Cnd]],Lookups!$A$76:$E$84,2,FALSE)</f>
        <v>197752.34721000001</v>
      </c>
      <c r="AU1785" s="25">
        <f>Inventory[[#This Row],[EffAge]]*Lookups!$B$85</f>
        <v>-12044.462427</v>
      </c>
      <c r="AV1785" s="25">
        <f>Inventory[[#This Row],[MainFn]]*Lookups!$B$86</f>
        <v>58499.865134368003</v>
      </c>
      <c r="AW1785" s="25">
        <f>Inventory[[#This Row],[UpprFn]]*Lookups!$B$87</f>
        <v>42547.101717949998</v>
      </c>
      <c r="AX1785" s="25">
        <f>Inventory[[#This Row],[AddFn]]*Lookups!$B$88</f>
        <v>0</v>
      </c>
      <c r="AY1785" s="25">
        <f>Inventory[[#This Row],[Bsmt]]*Lookups!$B$89</f>
        <v>29896.188313915998</v>
      </c>
      <c r="AZ1785" s="25">
        <f>Inventory[[#This Row],[Fixtures]]*Lookups!$B$90</f>
        <v>34128.198946800003</v>
      </c>
      <c r="BA1785" s="25">
        <f>Inventory[[#This Row],[WdDeck]]*Lookups!$B$91</f>
        <v>0</v>
      </c>
      <c r="BB1785" s="25">
        <f>ROUND(Inventory[[#This Row],[25Det]],-2)</f>
        <v>17500</v>
      </c>
      <c r="BC1785" s="25">
        <f>ROUND(SUM(Inventory[[#This Row],[Mdl Qlty]:[Mdl WdDeck]])+Inventory[[#This Row],[Mdl Res Intercept]],-2)</f>
        <v>380600</v>
      </c>
      <c r="BD1785" s="25">
        <f>ROUND(Inventory[[#This Row],[Mdl Land Intercept]]+Inventory[[#This Row],[Mdl LnAcres]],-2)</f>
        <v>47200</v>
      </c>
      <c r="BE1785" s="25">
        <f>Inventory[[#This Row],[Unadj Res Value]]+Inventory[[#This Row],[Unadj Det Value]]+Inventory[[#This Row],[Unadj Land Value]]</f>
        <v>445300</v>
      </c>
      <c r="BF1785" s="36">
        <f>(Inventory[[#This Row],[Unadj Total Value]]-Inventory[[#This Row],[24Final]])/Inventory[[#This Row],[24Final]]</f>
        <v>5.872563005230623E-2</v>
      </c>
      <c r="BG1785" s="25">
        <f>VLOOKUP(Inventory[[#This Row],[Nbhd]],Lookups!$Q$2:$T$4,4,FALSE)</f>
        <v>0.99970000000000003</v>
      </c>
      <c r="BH1785" s="25">
        <f>VLOOKUP(Inventory[[#This Row],[Qlty]],Lookups!$O$7:$R$21,4,FALSE)</f>
        <v>1.0088999999999999</v>
      </c>
      <c r="BI1785" s="25">
        <f>VLOOKUP(Inventory[[#This Row],[Cnd]],Lookups!$T$7:$W$16,4,FALSE)</f>
        <v>0.99650000000000005</v>
      </c>
      <c r="BJ1785" s="25">
        <f>VLOOKUP(Inventory[[#This Row],[LivArea Range]],Lookups!$T$25:$W$37,4,FALSE)</f>
        <v>0.98919999999999997</v>
      </c>
      <c r="BK1785" s="25">
        <f>VLOOKUP(Inventory[[#This Row],[Decade]],Lookups!$O$25:$R$42,4,FALSE)</f>
        <v>1.0074000000000001</v>
      </c>
      <c r="BL1785" s="25">
        <f>Inventory[[#This Row],[Nbhd Adj]]*0.95</f>
        <v>0.94971499999999998</v>
      </c>
      <c r="BM1785" s="25">
        <f>Inventory[[#This Row],[Nbhd Adj]]*Inventory[[#This Row],[Quality Adj]]*Inventory[[#This Row],[Condition Adj]]*Inventory[[#This Row],[Living Area Adj]]*Inventory[[#This Row],[Decade Adj]]*0.95</f>
        <v>0.95149120146958555</v>
      </c>
      <c r="BN1785" s="25">
        <f>ROUND(SUM(Inventory[[#This Row],[Mdl Qlty]:[Mdl WdDeck]])+Inventory[[#This Row],[Mdl Res Intercept]]*Inventory[[#This Row],[Res Adj ]],-2)</f>
        <v>380600</v>
      </c>
      <c r="BO1785" s="25">
        <f>ROUND(Inventory[[#This Row],[25Det]]*Inventory[[#This Row],[Det/Nbhd Adj]],-2)</f>
        <v>16600</v>
      </c>
      <c r="BP1785" s="25">
        <f>Inventory[[#This Row],[Adjusted Res]]+Inventory[[#This Row],[Adj Det ]]</f>
        <v>397200</v>
      </c>
      <c r="BQ1785" s="25">
        <f>ROUND((Inventory[[#This Row],[Mdl Land Intercept]]+Inventory[[#This Row],[Mdl LnAcres]])*Inventory[[#This Row],[Det/Nbhd Adj]],-2)</f>
        <v>44800</v>
      </c>
      <c r="BR1785" s="25">
        <f>Inventory[[#This Row],[Adjusted Impr Total]]+Inventory[[#This Row],[Adjusted Land Total]]</f>
        <v>442000</v>
      </c>
      <c r="BS1785" s="36">
        <f>IFERROR((Inventory[[#This Row],[Adjusted Impr Total]]-Inventory[[#This Row],[24Bldg]])/Inventory[[#This Row],[24Bldg]],0)</f>
        <v>0.12521246458923513</v>
      </c>
      <c r="BT1785" s="36">
        <f>(Inventory[[#This Row],[Adjusted Land Total]]-Inventory[[#This Row],[24Lnd]])/Inventory[[#This Row],[24Lnd]]</f>
        <v>-0.33727810650887574</v>
      </c>
      <c r="BU1785" s="36">
        <f>(Inventory[[#This Row],[Adjusted Total]]-Inventory[[#This Row],[24Final]])/Inventory[[#This Row],[24Final]]</f>
        <v>5.0879695672848314E-2</v>
      </c>
    </row>
    <row r="1786" spans="1:73" x14ac:dyDescent="0.3">
      <c r="A1786" s="25">
        <v>2025</v>
      </c>
      <c r="B1786" s="26" t="s">
        <v>890</v>
      </c>
      <c r="C1786" s="26">
        <f>LN(Inventory[[#This Row],[Acres]])</f>
        <v>-1.3470736479666092</v>
      </c>
      <c r="D1786" s="25">
        <v>0.26</v>
      </c>
      <c r="E1786" s="32">
        <v>11388</v>
      </c>
      <c r="F1786" s="26" t="s">
        <v>537</v>
      </c>
      <c r="G1786" s="26" t="s">
        <v>126</v>
      </c>
      <c r="H1786" s="26" t="s">
        <v>349</v>
      </c>
      <c r="I1786" s="26" t="s">
        <v>538</v>
      </c>
      <c r="J1786" s="26" t="s">
        <v>539</v>
      </c>
      <c r="K1786" s="26" t="s">
        <v>269</v>
      </c>
      <c r="L1786" s="26" t="s">
        <v>148</v>
      </c>
      <c r="M1786" s="26" t="s">
        <v>303</v>
      </c>
      <c r="N1786" s="26">
        <v>100</v>
      </c>
      <c r="O1786" s="26">
        <f>2024-Inventory[[#This Row],[YrBlt]]</f>
        <v>94</v>
      </c>
      <c r="P1786" s="26">
        <f>2024-Inventory[[#This Row],[EffYr]]</f>
        <v>54</v>
      </c>
      <c r="Q1786" s="25">
        <v>1930</v>
      </c>
      <c r="R1786" s="25">
        <v>1970</v>
      </c>
      <c r="S1786" s="25">
        <v>1216</v>
      </c>
      <c r="T1786" s="32">
        <v>940</v>
      </c>
      <c r="U1786" s="25">
        <v>1176</v>
      </c>
      <c r="V1786" s="25">
        <f>Inventory[[#This Row],[Bsmt]]-Inventory[[#This Row],[FnBsmt]]</f>
        <v>176</v>
      </c>
      <c r="W1786" s="25">
        <v>1000</v>
      </c>
      <c r="X1786" s="27"/>
      <c r="Y1786" s="27">
        <f>Inventory[[#This Row],[MainFn]]+Inventory[[#This Row],[UpprFn]]+Inventory[[#This Row],[FnBsmt]]+Inventory[[#This Row],[AddFn]]</f>
        <v>3156</v>
      </c>
      <c r="Z1786" s="27">
        <v>3500</v>
      </c>
      <c r="AA1786" s="25">
        <v>13</v>
      </c>
      <c r="AB1786" s="27"/>
      <c r="AC1786" s="27"/>
      <c r="AD1786" s="27"/>
      <c r="AE1786" s="27"/>
      <c r="AF1786" s="27"/>
      <c r="AG1786" s="27"/>
      <c r="AH1786" s="27"/>
      <c r="AI1786" s="25">
        <v>538325</v>
      </c>
      <c r="AJ1786" s="25">
        <v>366061</v>
      </c>
      <c r="AK1786" s="25">
        <v>13352</v>
      </c>
      <c r="AL1786" s="25">
        <v>450300</v>
      </c>
      <c r="AM1786" s="25">
        <v>67600</v>
      </c>
      <c r="AN1786" s="25">
        <v>382700</v>
      </c>
      <c r="AO1786" s="25">
        <v>0</v>
      </c>
      <c r="AP1786" s="25">
        <f>Lookups!$B$56*0</f>
        <v>0</v>
      </c>
      <c r="AQ1786" s="25">
        <f>Lookups!$B$56*1</f>
        <v>89850.625589999996</v>
      </c>
      <c r="AR1786" s="25">
        <f>Lookups!$B$57*Inventory[[#This Row],[LnAcres]]</f>
        <v>-42641.098701210125</v>
      </c>
      <c r="AS1786" s="25">
        <f>VLOOKUP(Inventory[[#This Row],[Qlty]],Lookups!$A$62:$E$75,2,FALSE)</f>
        <v>44121.038090000002</v>
      </c>
      <c r="AT1786" s="25">
        <f>VLOOKUP(Inventory[[#This Row],[Cnd]],Lookups!$A$76:$E$84,2,FALSE)</f>
        <v>197752.34721000001</v>
      </c>
      <c r="AU1786" s="25">
        <f>Inventory[[#This Row],[EffAge]]*Lookups!$B$85</f>
        <v>-12044.462427</v>
      </c>
      <c r="AV1786" s="25">
        <f>Inventory[[#This Row],[MainFn]]*Lookups!$B$86</f>
        <v>60080.942570432002</v>
      </c>
      <c r="AW1786" s="25">
        <f>Inventory[[#This Row],[UpprFn]]*Lookups!$B$87</f>
        <v>42099.237489339997</v>
      </c>
      <c r="AX1786" s="25">
        <f>Inventory[[#This Row],[AddFn]]*Lookups!$B$88</f>
        <v>0</v>
      </c>
      <c r="AY1786" s="25">
        <f>Inventory[[#This Row],[Bsmt]]*Lookups!$B$89</f>
        <v>34200.308810472001</v>
      </c>
      <c r="AZ1786" s="25">
        <f>Inventory[[#This Row],[Fixtures]]*Lookups!$B$90</f>
        <v>49296.287367600002</v>
      </c>
      <c r="BA1786" s="25">
        <f>Inventory[[#This Row],[WdDeck]]*Lookups!$B$91</f>
        <v>0</v>
      </c>
      <c r="BB1786" s="25">
        <f>ROUND(Inventory[[#This Row],[25Det]],-2)</f>
        <v>13400</v>
      </c>
      <c r="BC1786" s="25">
        <f>ROUND(SUM(Inventory[[#This Row],[Mdl Qlty]:[Mdl WdDeck]])+Inventory[[#This Row],[Mdl Res Intercept]],-2)</f>
        <v>415500</v>
      </c>
      <c r="BD1786" s="25">
        <f>ROUND(Inventory[[#This Row],[Mdl Land Intercept]]+Inventory[[#This Row],[Mdl LnAcres]],-2)</f>
        <v>47200</v>
      </c>
      <c r="BE1786" s="25">
        <f>Inventory[[#This Row],[Unadj Res Value]]+Inventory[[#This Row],[Unadj Det Value]]+Inventory[[#This Row],[Unadj Land Value]]</f>
        <v>476100</v>
      </c>
      <c r="BF1786" s="36">
        <f>(Inventory[[#This Row],[Unadj Total Value]]-Inventory[[#This Row],[24Final]])/Inventory[[#This Row],[24Final]]</f>
        <v>5.7295136575616253E-2</v>
      </c>
      <c r="BG1786" s="25">
        <f>VLOOKUP(Inventory[[#This Row],[Nbhd]],Lookups!$Q$2:$T$4,4,FALSE)</f>
        <v>0.99970000000000003</v>
      </c>
      <c r="BH1786" s="25">
        <f>VLOOKUP(Inventory[[#This Row],[Qlty]],Lookups!$O$7:$R$21,4,FALSE)</f>
        <v>0.98050000000000004</v>
      </c>
      <c r="BI1786" s="25">
        <f>VLOOKUP(Inventory[[#This Row],[Cnd]],Lookups!$T$7:$W$16,4,FALSE)</f>
        <v>0.99650000000000005</v>
      </c>
      <c r="BJ1786" s="25">
        <f>VLOOKUP(Inventory[[#This Row],[LivArea Range]],Lookups!$T$25:$W$37,4,FALSE)</f>
        <v>1.0126999999999999</v>
      </c>
      <c r="BK1786" s="25">
        <f>VLOOKUP(Inventory[[#This Row],[Decade]],Lookups!$O$25:$R$42,4,FALSE)</f>
        <v>1.0074000000000001</v>
      </c>
      <c r="BL1786" s="25">
        <f>Inventory[[#This Row],[Nbhd Adj]]*0.95</f>
        <v>0.94971499999999998</v>
      </c>
      <c r="BM1786" s="25">
        <f>Inventory[[#This Row],[Nbhd Adj]]*Inventory[[#This Row],[Quality Adj]]*Inventory[[#This Row],[Condition Adj]]*Inventory[[#This Row],[Living Area Adj]]*Inventory[[#This Row],[Decade Adj]]*0.95</f>
        <v>0.94667510160736901</v>
      </c>
      <c r="BN1786" s="25">
        <f>ROUND(SUM(Inventory[[#This Row],[Mdl Qlty]:[Mdl WdDeck]])+Inventory[[#This Row],[Mdl Res Intercept]]*Inventory[[#This Row],[Res Adj ]],-2)</f>
        <v>415500</v>
      </c>
      <c r="BO1786" s="25">
        <f>ROUND(Inventory[[#This Row],[25Det]]*Inventory[[#This Row],[Det/Nbhd Adj]],-2)</f>
        <v>12700</v>
      </c>
      <c r="BP1786" s="25">
        <f>Inventory[[#This Row],[Adjusted Res]]+Inventory[[#This Row],[Adj Det ]]</f>
        <v>428200</v>
      </c>
      <c r="BQ1786" s="25">
        <f>ROUND((Inventory[[#This Row],[Mdl Land Intercept]]+Inventory[[#This Row],[Mdl LnAcres]])*Inventory[[#This Row],[Det/Nbhd Adj]],-2)</f>
        <v>44800</v>
      </c>
      <c r="BR1786" s="25">
        <f>Inventory[[#This Row],[Adjusted Impr Total]]+Inventory[[#This Row],[Adjusted Land Total]]</f>
        <v>473000</v>
      </c>
      <c r="BS1786" s="36">
        <f>IFERROR((Inventory[[#This Row],[Adjusted Impr Total]]-Inventory[[#This Row],[24Bldg]])/Inventory[[#This Row],[24Bldg]],0)</f>
        <v>0.11889208257120459</v>
      </c>
      <c r="BT1786" s="36">
        <f>(Inventory[[#This Row],[Adjusted Land Total]]-Inventory[[#This Row],[24Lnd]])/Inventory[[#This Row],[24Lnd]]</f>
        <v>-0.33727810650887574</v>
      </c>
      <c r="BU1786" s="36">
        <f>(Inventory[[#This Row],[Adjusted Total]]-Inventory[[#This Row],[24Final]])/Inventory[[#This Row],[24Final]]</f>
        <v>5.0410837219631355E-2</v>
      </c>
    </row>
    <row r="1787" spans="1:73" x14ac:dyDescent="0.3">
      <c r="A1787" s="25">
        <v>2025</v>
      </c>
      <c r="B1787" s="26" t="s">
        <v>2365</v>
      </c>
      <c r="C1787" s="26">
        <f>LN(Inventory[[#This Row],[Acres]])</f>
        <v>-1.5606477482646683</v>
      </c>
      <c r="D1787" s="25">
        <v>0.21</v>
      </c>
      <c r="E1787" s="32">
        <v>8936</v>
      </c>
      <c r="F1787" s="26" t="s">
        <v>537</v>
      </c>
      <c r="G1787" s="26" t="s">
        <v>126</v>
      </c>
      <c r="H1787" s="26" t="s">
        <v>349</v>
      </c>
      <c r="I1787" s="26" t="s">
        <v>538</v>
      </c>
      <c r="J1787" s="26" t="s">
        <v>539</v>
      </c>
      <c r="K1787" s="26" t="s">
        <v>241</v>
      </c>
      <c r="L1787" s="26" t="s">
        <v>351</v>
      </c>
      <c r="M1787" s="26" t="s">
        <v>323</v>
      </c>
      <c r="N1787" s="26">
        <v>100</v>
      </c>
      <c r="O1787" s="26">
        <f>2024-Inventory[[#This Row],[YrBlt]]</f>
        <v>94</v>
      </c>
      <c r="P1787" s="26">
        <f>2024-Inventory[[#This Row],[EffYr]]</f>
        <v>54</v>
      </c>
      <c r="Q1787" s="25">
        <v>1930</v>
      </c>
      <c r="R1787" s="25">
        <v>1970</v>
      </c>
      <c r="S1787" s="25">
        <v>1264</v>
      </c>
      <c r="T1787" s="27"/>
      <c r="U1787" s="31"/>
      <c r="V1787" s="27">
        <f>Inventory[[#This Row],[Bsmt]]-Inventory[[#This Row],[FnBsmt]]</f>
        <v>0</v>
      </c>
      <c r="W1787" s="27"/>
      <c r="X1787" s="27"/>
      <c r="Y1787" s="27">
        <f>Inventory[[#This Row],[MainFn]]+Inventory[[#This Row],[UpprFn]]+Inventory[[#This Row],[FnBsmt]]+Inventory[[#This Row],[AddFn]]</f>
        <v>1264</v>
      </c>
      <c r="Z1787" s="27">
        <v>1500</v>
      </c>
      <c r="AA1787" s="25">
        <v>5</v>
      </c>
      <c r="AB1787" s="27"/>
      <c r="AC1787" s="27"/>
      <c r="AD1787" s="27"/>
      <c r="AE1787" s="27"/>
      <c r="AF1787" s="27"/>
      <c r="AG1787" s="27"/>
      <c r="AH1787" s="27"/>
      <c r="AI1787" s="25">
        <v>197715</v>
      </c>
      <c r="AJ1787" s="25">
        <v>130492</v>
      </c>
      <c r="AK1787" s="25">
        <v>7015</v>
      </c>
      <c r="AL1787" s="25">
        <v>282300</v>
      </c>
      <c r="AM1787" s="25">
        <v>60100</v>
      </c>
      <c r="AN1787" s="25">
        <v>222200</v>
      </c>
      <c r="AO1787" s="25">
        <v>0</v>
      </c>
      <c r="AP1787" s="25">
        <f>Lookups!$B$56*0</f>
        <v>0</v>
      </c>
      <c r="AQ1787" s="25">
        <f>Lookups!$B$56*1</f>
        <v>89850.625589999996</v>
      </c>
      <c r="AR1787" s="25">
        <f>Lookups!$B$57*Inventory[[#This Row],[LnAcres]]</f>
        <v>-49401.70477837498</v>
      </c>
      <c r="AS1787" s="25">
        <f>VLOOKUP(Inventory[[#This Row],[Qlty]],Lookups!$A$62:$E$75,2,FALSE)</f>
        <v>21557.329055999999</v>
      </c>
      <c r="AT1787" s="25">
        <f>VLOOKUP(Inventory[[#This Row],[Cnd]],Lookups!$A$76:$E$84,2,FALSE)</f>
        <v>160472.20319</v>
      </c>
      <c r="AU1787" s="25">
        <f>Inventory[[#This Row],[EffAge]]*Lookups!$B$85</f>
        <v>-12044.462427</v>
      </c>
      <c r="AV1787" s="25">
        <f>Inventory[[#This Row],[MainFn]]*Lookups!$B$86</f>
        <v>62452.558724528004</v>
      </c>
      <c r="AW1787" s="25">
        <f>Inventory[[#This Row],[UpprFn]]*Lookups!$B$87</f>
        <v>0</v>
      </c>
      <c r="AX1787" s="25">
        <f>Inventory[[#This Row],[AddFn]]*Lookups!$B$88</f>
        <v>0</v>
      </c>
      <c r="AY1787" s="25">
        <f>Inventory[[#This Row],[Bsmt]]*Lookups!$B$89</f>
        <v>0</v>
      </c>
      <c r="AZ1787" s="25">
        <f>Inventory[[#This Row],[Fixtures]]*Lookups!$B$90</f>
        <v>18960.110526</v>
      </c>
      <c r="BA1787" s="25">
        <f>Inventory[[#This Row],[WdDeck]]*Lookups!$B$91</f>
        <v>0</v>
      </c>
      <c r="BB1787" s="25">
        <f>ROUND(Inventory[[#This Row],[25Det]],-2)</f>
        <v>7000</v>
      </c>
      <c r="BC1787" s="25">
        <f>ROUND(SUM(Inventory[[#This Row],[Mdl Qlty]:[Mdl WdDeck]])+Inventory[[#This Row],[Mdl Res Intercept]],-2)</f>
        <v>251400</v>
      </c>
      <c r="BD1787" s="25">
        <f>ROUND(Inventory[[#This Row],[Mdl Land Intercept]]+Inventory[[#This Row],[Mdl LnAcres]],-2)</f>
        <v>40400</v>
      </c>
      <c r="BE1787" s="25">
        <f>Inventory[[#This Row],[Unadj Res Value]]+Inventory[[#This Row],[Unadj Det Value]]+Inventory[[#This Row],[Unadj Land Value]]</f>
        <v>298800</v>
      </c>
      <c r="BF1787" s="36">
        <f>(Inventory[[#This Row],[Unadj Total Value]]-Inventory[[#This Row],[24Final]])/Inventory[[#This Row],[24Final]]</f>
        <v>5.8448459086078638E-2</v>
      </c>
      <c r="BG1787" s="25">
        <f>VLOOKUP(Inventory[[#This Row],[Nbhd]],Lookups!$Q$2:$T$4,4,FALSE)</f>
        <v>0.99970000000000003</v>
      </c>
      <c r="BH1787" s="25">
        <f>VLOOKUP(Inventory[[#This Row],[Qlty]],Lookups!$O$7:$R$21,4,FALSE)</f>
        <v>1.0067999999999999</v>
      </c>
      <c r="BI1787" s="25">
        <f>VLOOKUP(Inventory[[#This Row],[Cnd]],Lookups!$T$7:$W$16,4,FALSE)</f>
        <v>0.99729999999999996</v>
      </c>
      <c r="BJ1787" s="25">
        <f>VLOOKUP(Inventory[[#This Row],[LivArea Range]],Lookups!$T$25:$W$37,4,FALSE)</f>
        <v>1.0157</v>
      </c>
      <c r="BK1787" s="25">
        <f>VLOOKUP(Inventory[[#This Row],[Decade]],Lookups!$O$25:$R$42,4,FALSE)</f>
        <v>1.0074000000000001</v>
      </c>
      <c r="BL1787" s="25">
        <f>Inventory[[#This Row],[Nbhd Adj]]*0.95</f>
        <v>0.94971499999999998</v>
      </c>
      <c r="BM1787" s="25">
        <f>Inventory[[#This Row],[Nbhd Adj]]*Inventory[[#This Row],[Quality Adj]]*Inventory[[#This Row],[Condition Adj]]*Inventory[[#This Row],[Living Area Adj]]*Inventory[[#This Row],[Decade Adj]]*0.95</f>
        <v>0.97573014419916293</v>
      </c>
      <c r="BN1787" s="25">
        <f>ROUND(SUM(Inventory[[#This Row],[Mdl Qlty]:[Mdl WdDeck]])+Inventory[[#This Row],[Mdl Res Intercept]]*Inventory[[#This Row],[Res Adj ]],-2)</f>
        <v>251400</v>
      </c>
      <c r="BO1787" s="25">
        <f>ROUND(Inventory[[#This Row],[25Det]]*Inventory[[#This Row],[Det/Nbhd Adj]],-2)</f>
        <v>6700</v>
      </c>
      <c r="BP1787" s="25">
        <f>Inventory[[#This Row],[Adjusted Res]]+Inventory[[#This Row],[Adj Det ]]</f>
        <v>258100</v>
      </c>
      <c r="BQ1787" s="25">
        <f>ROUND((Inventory[[#This Row],[Mdl Land Intercept]]+Inventory[[#This Row],[Mdl LnAcres]])*Inventory[[#This Row],[Det/Nbhd Adj]],-2)</f>
        <v>38400</v>
      </c>
      <c r="BR1787" s="25">
        <f>Inventory[[#This Row],[Adjusted Impr Total]]+Inventory[[#This Row],[Adjusted Land Total]]</f>
        <v>296500</v>
      </c>
      <c r="BS1787" s="36">
        <f>IFERROR((Inventory[[#This Row],[Adjusted Impr Total]]-Inventory[[#This Row],[24Bldg]])/Inventory[[#This Row],[24Bldg]],0)</f>
        <v>0.16156615661566157</v>
      </c>
      <c r="BT1787" s="36">
        <f>(Inventory[[#This Row],[Adjusted Land Total]]-Inventory[[#This Row],[24Lnd]])/Inventory[[#This Row],[24Lnd]]</f>
        <v>-0.36106489184692181</v>
      </c>
      <c r="BU1787" s="36">
        <f>(Inventory[[#This Row],[Adjusted Total]]-Inventory[[#This Row],[24Final]])/Inventory[[#This Row],[24Final]]</f>
        <v>5.0301098122564648E-2</v>
      </c>
    </row>
    <row r="1788" spans="1:73" x14ac:dyDescent="0.3">
      <c r="A1788" s="25">
        <v>2025</v>
      </c>
      <c r="B1788" s="26" t="s">
        <v>1548</v>
      </c>
      <c r="C1788" s="26">
        <f>LN(Inventory[[#This Row],[Acres]])</f>
        <v>-1.5141277326297755</v>
      </c>
      <c r="D1788" s="25">
        <v>0.22</v>
      </c>
      <c r="E1788" s="32">
        <v>9536</v>
      </c>
      <c r="F1788" s="26" t="s">
        <v>537</v>
      </c>
      <c r="G1788" s="26" t="s">
        <v>126</v>
      </c>
      <c r="H1788" s="26" t="s">
        <v>349</v>
      </c>
      <c r="I1788" s="26" t="s">
        <v>538</v>
      </c>
      <c r="J1788" s="26" t="s">
        <v>539</v>
      </c>
      <c r="K1788" s="26" t="s">
        <v>269</v>
      </c>
      <c r="L1788" s="26" t="s">
        <v>302</v>
      </c>
      <c r="M1788" s="26" t="s">
        <v>303</v>
      </c>
      <c r="N1788" s="26">
        <v>100</v>
      </c>
      <c r="O1788" s="26">
        <f>2024-Inventory[[#This Row],[YrBlt]]</f>
        <v>94</v>
      </c>
      <c r="P1788" s="26">
        <f>2024-Inventory[[#This Row],[EffYr]]</f>
        <v>54</v>
      </c>
      <c r="Q1788" s="25">
        <v>1930</v>
      </c>
      <c r="R1788" s="25">
        <v>1970</v>
      </c>
      <c r="S1788" s="25">
        <v>976</v>
      </c>
      <c r="T1788" s="32">
        <v>497</v>
      </c>
      <c r="U1788" s="25">
        <v>993</v>
      </c>
      <c r="V1788" s="25">
        <f>Inventory[[#This Row],[Bsmt]]-Inventory[[#This Row],[FnBsmt]]</f>
        <v>0</v>
      </c>
      <c r="W1788" s="25">
        <v>993</v>
      </c>
      <c r="X1788" s="27"/>
      <c r="Y1788" s="27">
        <f>Inventory[[#This Row],[MainFn]]+Inventory[[#This Row],[UpprFn]]+Inventory[[#This Row],[FnBsmt]]+Inventory[[#This Row],[AddFn]]</f>
        <v>2466</v>
      </c>
      <c r="Z1788" s="27">
        <v>2500</v>
      </c>
      <c r="AA1788" s="25">
        <v>7</v>
      </c>
      <c r="AB1788" s="27"/>
      <c r="AC1788" s="27"/>
      <c r="AD1788" s="27"/>
      <c r="AE1788" s="27"/>
      <c r="AF1788" s="27"/>
      <c r="AG1788" s="27"/>
      <c r="AH1788" s="27"/>
      <c r="AI1788" s="25">
        <v>362150</v>
      </c>
      <c r="AJ1788" s="25">
        <v>246262</v>
      </c>
      <c r="AK1788" s="25">
        <v>10354</v>
      </c>
      <c r="AL1788" s="25">
        <v>372300</v>
      </c>
      <c r="AM1788" s="25">
        <v>61700</v>
      </c>
      <c r="AN1788" s="25">
        <v>310600</v>
      </c>
      <c r="AO1788" s="25">
        <v>0</v>
      </c>
      <c r="AP1788" s="25">
        <f>Lookups!$B$56*0</f>
        <v>0</v>
      </c>
      <c r="AQ1788" s="25">
        <f>Lookups!$B$56*1</f>
        <v>89850.625589999996</v>
      </c>
      <c r="AR1788" s="25">
        <f>Lookups!$B$57*Inventory[[#This Row],[LnAcres]]</f>
        <v>-47929.131559187132</v>
      </c>
      <c r="AS1788" s="25">
        <f>VLOOKUP(Inventory[[#This Row],[Qlty]],Lookups!$A$62:$E$75,2,FALSE)</f>
        <v>29814.093161000001</v>
      </c>
      <c r="AT1788" s="25">
        <f>VLOOKUP(Inventory[[#This Row],[Cnd]],Lookups!$A$76:$E$84,2,FALSE)</f>
        <v>197752.34721000001</v>
      </c>
      <c r="AU1788" s="25">
        <f>Inventory[[#This Row],[EffAge]]*Lookups!$B$85</f>
        <v>-12044.462427</v>
      </c>
      <c r="AV1788" s="25">
        <f>Inventory[[#This Row],[MainFn]]*Lookups!$B$86</f>
        <v>48222.861799951999</v>
      </c>
      <c r="AW1788" s="25">
        <f>Inventory[[#This Row],[UpprFn]]*Lookups!$B$87</f>
        <v>22258.852161916999</v>
      </c>
      <c r="AX1788" s="25">
        <f>Inventory[[#This Row],[AddFn]]*Lookups!$B$88</f>
        <v>0</v>
      </c>
      <c r="AY1788" s="25">
        <f>Inventory[[#This Row],[Bsmt]]*Lookups!$B$89</f>
        <v>28878.321980270997</v>
      </c>
      <c r="AZ1788" s="25">
        <f>Inventory[[#This Row],[Fixtures]]*Lookups!$B$90</f>
        <v>26544.1547364</v>
      </c>
      <c r="BA1788" s="25">
        <f>Inventory[[#This Row],[WdDeck]]*Lookups!$B$91</f>
        <v>0</v>
      </c>
      <c r="BB1788" s="25">
        <f>ROUND(Inventory[[#This Row],[25Det]],-2)</f>
        <v>10400</v>
      </c>
      <c r="BC1788" s="25">
        <f>ROUND(SUM(Inventory[[#This Row],[Mdl Qlty]:[Mdl WdDeck]])+Inventory[[#This Row],[Mdl Res Intercept]],-2)</f>
        <v>341400</v>
      </c>
      <c r="BD1788" s="25">
        <f>ROUND(Inventory[[#This Row],[Mdl Land Intercept]]+Inventory[[#This Row],[Mdl LnAcres]],-2)</f>
        <v>41900</v>
      </c>
      <c r="BE1788" s="25">
        <f>Inventory[[#This Row],[Unadj Res Value]]+Inventory[[#This Row],[Unadj Det Value]]+Inventory[[#This Row],[Unadj Land Value]]</f>
        <v>393700</v>
      </c>
      <c r="BF1788" s="36">
        <f>(Inventory[[#This Row],[Unadj Total Value]]-Inventory[[#This Row],[24Final]])/Inventory[[#This Row],[24Final]]</f>
        <v>5.7480526457158204E-2</v>
      </c>
      <c r="BG1788" s="25">
        <f>VLOOKUP(Inventory[[#This Row],[Nbhd]],Lookups!$Q$2:$T$4,4,FALSE)</f>
        <v>0.99970000000000003</v>
      </c>
      <c r="BH1788" s="25">
        <f>VLOOKUP(Inventory[[#This Row],[Qlty]],Lookups!$O$7:$R$21,4,FALSE)</f>
        <v>1.0088999999999999</v>
      </c>
      <c r="BI1788" s="25">
        <f>VLOOKUP(Inventory[[#This Row],[Cnd]],Lookups!$T$7:$W$16,4,FALSE)</f>
        <v>0.99650000000000005</v>
      </c>
      <c r="BJ1788" s="25">
        <f>VLOOKUP(Inventory[[#This Row],[LivArea Range]],Lookups!$T$25:$W$37,4,FALSE)</f>
        <v>0.98919999999999997</v>
      </c>
      <c r="BK1788" s="25">
        <f>VLOOKUP(Inventory[[#This Row],[Decade]],Lookups!$O$25:$R$42,4,FALSE)</f>
        <v>1.0074000000000001</v>
      </c>
      <c r="BL1788" s="25">
        <f>Inventory[[#This Row],[Nbhd Adj]]*0.95</f>
        <v>0.94971499999999998</v>
      </c>
      <c r="BM1788" s="25">
        <f>Inventory[[#This Row],[Nbhd Adj]]*Inventory[[#This Row],[Quality Adj]]*Inventory[[#This Row],[Condition Adj]]*Inventory[[#This Row],[Living Area Adj]]*Inventory[[#This Row],[Decade Adj]]*0.95</f>
        <v>0.95149120146958555</v>
      </c>
      <c r="BN1788" s="25">
        <f>ROUND(SUM(Inventory[[#This Row],[Mdl Qlty]:[Mdl WdDeck]])+Inventory[[#This Row],[Mdl Res Intercept]]*Inventory[[#This Row],[Res Adj ]],-2)</f>
        <v>341400</v>
      </c>
      <c r="BO1788" s="25">
        <f>ROUND(Inventory[[#This Row],[25Det]]*Inventory[[#This Row],[Det/Nbhd Adj]],-2)</f>
        <v>9800</v>
      </c>
      <c r="BP1788" s="25">
        <f>Inventory[[#This Row],[Adjusted Res]]+Inventory[[#This Row],[Adj Det ]]</f>
        <v>351200</v>
      </c>
      <c r="BQ1788" s="25">
        <f>ROUND((Inventory[[#This Row],[Mdl Land Intercept]]+Inventory[[#This Row],[Mdl LnAcres]])*Inventory[[#This Row],[Det/Nbhd Adj]],-2)</f>
        <v>39800</v>
      </c>
      <c r="BR1788" s="25">
        <f>Inventory[[#This Row],[Adjusted Impr Total]]+Inventory[[#This Row],[Adjusted Land Total]]</f>
        <v>391000</v>
      </c>
      <c r="BS1788" s="36">
        <f>IFERROR((Inventory[[#This Row],[Adjusted Impr Total]]-Inventory[[#This Row],[24Bldg]])/Inventory[[#This Row],[24Bldg]],0)</f>
        <v>0.13071474565357372</v>
      </c>
      <c r="BT1788" s="36">
        <f>(Inventory[[#This Row],[Adjusted Land Total]]-Inventory[[#This Row],[24Lnd]])/Inventory[[#This Row],[24Lnd]]</f>
        <v>-0.35494327390599678</v>
      </c>
      <c r="BU1788" s="36">
        <f>(Inventory[[#This Row],[Adjusted Total]]-Inventory[[#This Row],[24Final]])/Inventory[[#This Row],[24Final]]</f>
        <v>5.0228310502283102E-2</v>
      </c>
    </row>
    <row r="1789" spans="1:73" x14ac:dyDescent="0.3">
      <c r="A1789" s="25">
        <v>2025</v>
      </c>
      <c r="B1789" s="26" t="s">
        <v>1588</v>
      </c>
      <c r="C1789" s="26">
        <f>LN(Inventory[[#This Row],[Acres]])</f>
        <v>-1.8971199848858813</v>
      </c>
      <c r="D1789" s="25">
        <v>0.15</v>
      </c>
      <c r="E1789" s="27"/>
      <c r="F1789" s="26" t="s">
        <v>537</v>
      </c>
      <c r="G1789" s="26" t="s">
        <v>126</v>
      </c>
      <c r="H1789" s="26" t="s">
        <v>349</v>
      </c>
      <c r="I1789" s="26" t="s">
        <v>538</v>
      </c>
      <c r="J1789" s="26" t="s">
        <v>539</v>
      </c>
      <c r="K1789" s="26" t="s">
        <v>269</v>
      </c>
      <c r="L1789" s="26" t="s">
        <v>351</v>
      </c>
      <c r="M1789" s="26" t="s">
        <v>323</v>
      </c>
      <c r="N1789" s="26">
        <v>100</v>
      </c>
      <c r="O1789" s="26">
        <f>2024-Inventory[[#This Row],[YrBlt]]</f>
        <v>94</v>
      </c>
      <c r="P1789" s="26">
        <f>2024-Inventory[[#This Row],[EffYr]]</f>
        <v>54</v>
      </c>
      <c r="Q1789" s="25">
        <v>1930</v>
      </c>
      <c r="R1789" s="25">
        <v>1970</v>
      </c>
      <c r="S1789" s="25">
        <v>1000</v>
      </c>
      <c r="T1789" s="25">
        <v>672</v>
      </c>
      <c r="U1789" s="25">
        <v>360</v>
      </c>
      <c r="V1789" s="32">
        <f>Inventory[[#This Row],[Bsmt]]-Inventory[[#This Row],[FnBsmt]]</f>
        <v>360</v>
      </c>
      <c r="W1789" s="27"/>
      <c r="X1789" s="27"/>
      <c r="Y1789" s="27">
        <f>Inventory[[#This Row],[MainFn]]+Inventory[[#This Row],[UpprFn]]+Inventory[[#This Row],[FnBsmt]]+Inventory[[#This Row],[AddFn]]</f>
        <v>1672</v>
      </c>
      <c r="Z1789" s="27">
        <v>2000</v>
      </c>
      <c r="AA1789" s="25">
        <v>8</v>
      </c>
      <c r="AB1789" s="27"/>
      <c r="AC1789" s="27"/>
      <c r="AD1789" s="27"/>
      <c r="AE1789" s="27"/>
      <c r="AF1789" s="27"/>
      <c r="AG1789" s="27"/>
      <c r="AH1789" s="27"/>
      <c r="AI1789" s="25">
        <v>263783</v>
      </c>
      <c r="AJ1789" s="25">
        <v>174097</v>
      </c>
      <c r="AK1789" s="25">
        <v>8171</v>
      </c>
      <c r="AL1789" s="25">
        <v>310800</v>
      </c>
      <c r="AM1789" s="25">
        <v>48400</v>
      </c>
      <c r="AN1789" s="25">
        <v>262400</v>
      </c>
      <c r="AO1789" s="25">
        <v>0</v>
      </c>
      <c r="AP1789" s="25">
        <f>Lookups!$B$56*0</f>
        <v>0</v>
      </c>
      <c r="AQ1789" s="25">
        <f>Lookups!$B$56*1</f>
        <v>89850.625589999996</v>
      </c>
      <c r="AR1789" s="25">
        <f>Lookups!$B$57*Inventory[[#This Row],[LnAcres]]</f>
        <v>-60052.604136134301</v>
      </c>
      <c r="AS1789" s="25">
        <f>VLOOKUP(Inventory[[#This Row],[Qlty]],Lookups!$A$62:$E$75,2,FALSE)</f>
        <v>21557.329055999999</v>
      </c>
      <c r="AT1789" s="25">
        <f>VLOOKUP(Inventory[[#This Row],[Cnd]],Lookups!$A$76:$E$84,2,FALSE)</f>
        <v>160472.20319</v>
      </c>
      <c r="AU1789" s="25">
        <f>Inventory[[#This Row],[EffAge]]*Lookups!$B$85</f>
        <v>-12044.462427</v>
      </c>
      <c r="AV1789" s="25">
        <f>Inventory[[#This Row],[MainFn]]*Lookups!$B$86</f>
        <v>49408.669877</v>
      </c>
      <c r="AW1789" s="25">
        <f>Inventory[[#This Row],[UpprFn]]*Lookups!$B$87</f>
        <v>30096.476162592</v>
      </c>
      <c r="AX1789" s="25">
        <f>Inventory[[#This Row],[AddFn]]*Lookups!$B$88</f>
        <v>0</v>
      </c>
      <c r="AY1789" s="25">
        <f>Inventory[[#This Row],[Bsmt]]*Lookups!$B$89</f>
        <v>10469.482288919999</v>
      </c>
      <c r="AZ1789" s="25">
        <f>Inventory[[#This Row],[Fixtures]]*Lookups!$B$90</f>
        <v>30336.176841600001</v>
      </c>
      <c r="BA1789" s="25">
        <f>Inventory[[#This Row],[WdDeck]]*Lookups!$B$91</f>
        <v>0</v>
      </c>
      <c r="BB1789" s="25">
        <f>ROUND(Inventory[[#This Row],[25Det]],-2)</f>
        <v>8200</v>
      </c>
      <c r="BC1789" s="25">
        <f>ROUND(SUM(Inventory[[#This Row],[Mdl Qlty]:[Mdl WdDeck]])+Inventory[[#This Row],[Mdl Res Intercept]],-2)</f>
        <v>290300</v>
      </c>
      <c r="BD1789" s="25">
        <f>ROUND(Inventory[[#This Row],[Mdl Land Intercept]]+Inventory[[#This Row],[Mdl LnAcres]],-2)</f>
        <v>29800</v>
      </c>
      <c r="BE1789" s="25">
        <f>Inventory[[#This Row],[Unadj Res Value]]+Inventory[[#This Row],[Unadj Det Value]]+Inventory[[#This Row],[Unadj Land Value]]</f>
        <v>328300</v>
      </c>
      <c r="BF1789" s="36">
        <f>(Inventory[[#This Row],[Unadj Total Value]]-Inventory[[#This Row],[24Final]])/Inventory[[#This Row],[24Final]]</f>
        <v>5.6306306306306307E-2</v>
      </c>
      <c r="BG1789" s="25">
        <f>VLOOKUP(Inventory[[#This Row],[Nbhd]],Lookups!$Q$2:$T$4,4,FALSE)</f>
        <v>0.99970000000000003</v>
      </c>
      <c r="BH1789" s="25">
        <f>VLOOKUP(Inventory[[#This Row],[Qlty]],Lookups!$O$7:$R$21,4,FALSE)</f>
        <v>1.0067999999999999</v>
      </c>
      <c r="BI1789" s="25">
        <f>VLOOKUP(Inventory[[#This Row],[Cnd]],Lookups!$T$7:$W$16,4,FALSE)</f>
        <v>0.99729999999999996</v>
      </c>
      <c r="BJ1789" s="25">
        <f>VLOOKUP(Inventory[[#This Row],[LivArea Range]],Lookups!$T$25:$W$37,4,FALSE)</f>
        <v>1.0093000000000001</v>
      </c>
      <c r="BK1789" s="25">
        <f>VLOOKUP(Inventory[[#This Row],[Decade]],Lookups!$O$25:$R$42,4,FALSE)</f>
        <v>1.0074000000000001</v>
      </c>
      <c r="BL1789" s="25">
        <f>Inventory[[#This Row],[Nbhd Adj]]*0.95</f>
        <v>0.94971499999999998</v>
      </c>
      <c r="BM1789" s="25">
        <f>Inventory[[#This Row],[Nbhd Adj]]*Inventory[[#This Row],[Quality Adj]]*Inventory[[#This Row],[Condition Adj]]*Inventory[[#This Row],[Living Area Adj]]*Inventory[[#This Row],[Decade Adj]]*0.95</f>
        <v>0.96958199718441984</v>
      </c>
      <c r="BN1789" s="25">
        <f>ROUND(SUM(Inventory[[#This Row],[Mdl Qlty]:[Mdl WdDeck]])+Inventory[[#This Row],[Mdl Res Intercept]]*Inventory[[#This Row],[Res Adj ]],-2)</f>
        <v>290300</v>
      </c>
      <c r="BO1789" s="25">
        <f>ROUND(Inventory[[#This Row],[25Det]]*Inventory[[#This Row],[Det/Nbhd Adj]],-2)</f>
        <v>7800</v>
      </c>
      <c r="BP1789" s="25">
        <f>Inventory[[#This Row],[Adjusted Res]]+Inventory[[#This Row],[Adj Det ]]</f>
        <v>298100</v>
      </c>
      <c r="BQ1789" s="25">
        <f>ROUND((Inventory[[#This Row],[Mdl Land Intercept]]+Inventory[[#This Row],[Mdl LnAcres]])*Inventory[[#This Row],[Det/Nbhd Adj]],-2)</f>
        <v>28300</v>
      </c>
      <c r="BR1789" s="25">
        <f>Inventory[[#This Row],[Adjusted Impr Total]]+Inventory[[#This Row],[Adjusted Land Total]]</f>
        <v>326400</v>
      </c>
      <c r="BS1789" s="36">
        <f>IFERROR((Inventory[[#This Row],[Adjusted Impr Total]]-Inventory[[#This Row],[24Bldg]])/Inventory[[#This Row],[24Bldg]],0)</f>
        <v>0.13605182926829268</v>
      </c>
      <c r="BT1789" s="36">
        <f>(Inventory[[#This Row],[Adjusted Land Total]]-Inventory[[#This Row],[24Lnd]])/Inventory[[#This Row],[24Lnd]]</f>
        <v>-0.41528925619834711</v>
      </c>
      <c r="BU1789" s="36">
        <f>(Inventory[[#This Row],[Adjusted Total]]-Inventory[[#This Row],[24Final]])/Inventory[[#This Row],[24Final]]</f>
        <v>5.019305019305019E-2</v>
      </c>
    </row>
    <row r="1790" spans="1:73" x14ac:dyDescent="0.3">
      <c r="A1790" s="25">
        <v>2025</v>
      </c>
      <c r="B1790" s="26" t="s">
        <v>2441</v>
      </c>
      <c r="C1790" s="26">
        <f>LN(Inventory[[#This Row],[Acres]])</f>
        <v>-1.5141277326297755</v>
      </c>
      <c r="D1790" s="25">
        <v>0.22</v>
      </c>
      <c r="E1790" s="32">
        <v>9755</v>
      </c>
      <c r="F1790" s="26" t="s">
        <v>537</v>
      </c>
      <c r="G1790" s="26" t="s">
        <v>126</v>
      </c>
      <c r="H1790" s="26" t="s">
        <v>349</v>
      </c>
      <c r="I1790" s="26" t="s">
        <v>538</v>
      </c>
      <c r="J1790" s="26" t="s">
        <v>539</v>
      </c>
      <c r="K1790" s="26" t="s">
        <v>301</v>
      </c>
      <c r="L1790" s="26" t="s">
        <v>148</v>
      </c>
      <c r="M1790" s="26" t="s">
        <v>303</v>
      </c>
      <c r="N1790" s="26">
        <v>100</v>
      </c>
      <c r="O1790" s="26">
        <f>2024-Inventory[[#This Row],[YrBlt]]</f>
        <v>94</v>
      </c>
      <c r="P1790" s="26">
        <f>2024-Inventory[[#This Row],[EffYr]]</f>
        <v>54</v>
      </c>
      <c r="Q1790" s="25">
        <v>1930</v>
      </c>
      <c r="R1790" s="25">
        <v>1970</v>
      </c>
      <c r="S1790" s="25">
        <v>1356</v>
      </c>
      <c r="T1790" s="25">
        <v>952</v>
      </c>
      <c r="U1790" s="32">
        <v>996</v>
      </c>
      <c r="V1790" s="32">
        <f>Inventory[[#This Row],[Bsmt]]-Inventory[[#This Row],[FnBsmt]]</f>
        <v>0</v>
      </c>
      <c r="W1790" s="32">
        <v>996</v>
      </c>
      <c r="X1790" s="27"/>
      <c r="Y1790" s="27">
        <f>Inventory[[#This Row],[MainFn]]+Inventory[[#This Row],[UpprFn]]+Inventory[[#This Row],[FnBsmt]]+Inventory[[#This Row],[AddFn]]</f>
        <v>3304</v>
      </c>
      <c r="Z1790" s="27">
        <v>3500</v>
      </c>
      <c r="AA1790" s="25">
        <v>10</v>
      </c>
      <c r="AB1790" s="27"/>
      <c r="AC1790" s="25">
        <v>360</v>
      </c>
      <c r="AD1790" s="27"/>
      <c r="AE1790" s="27"/>
      <c r="AF1790" s="27"/>
      <c r="AG1790" s="27"/>
      <c r="AH1790" s="27"/>
      <c r="AI1790" s="25">
        <v>597116</v>
      </c>
      <c r="AJ1790" s="25">
        <v>406039</v>
      </c>
      <c r="AK1790" s="25">
        <v>0</v>
      </c>
      <c r="AL1790" s="25">
        <v>425000</v>
      </c>
      <c r="AM1790" s="25">
        <v>61700</v>
      </c>
      <c r="AN1790" s="25">
        <v>363300</v>
      </c>
      <c r="AO1790" s="25">
        <v>0</v>
      </c>
      <c r="AP1790" s="25">
        <f>Lookups!$B$56*0</f>
        <v>0</v>
      </c>
      <c r="AQ1790" s="25">
        <f>Lookups!$B$56*1</f>
        <v>89850.625589999996</v>
      </c>
      <c r="AR1790" s="25">
        <f>Lookups!$B$57*Inventory[[#This Row],[LnAcres]]</f>
        <v>-47929.131559187132</v>
      </c>
      <c r="AS1790" s="25">
        <f>VLOOKUP(Inventory[[#This Row],[Qlty]],Lookups!$A$62:$E$75,2,FALSE)</f>
        <v>44121.038090000002</v>
      </c>
      <c r="AT1790" s="25">
        <f>VLOOKUP(Inventory[[#This Row],[Cnd]],Lookups!$A$76:$E$84,2,FALSE)</f>
        <v>197752.34721000001</v>
      </c>
      <c r="AU1790" s="25">
        <f>Inventory[[#This Row],[EffAge]]*Lookups!$B$85</f>
        <v>-12044.462427</v>
      </c>
      <c r="AV1790" s="25">
        <f>Inventory[[#This Row],[MainFn]]*Lookups!$B$86</f>
        <v>66998.156353212005</v>
      </c>
      <c r="AW1790" s="25">
        <f>Inventory[[#This Row],[UpprFn]]*Lookups!$B$87</f>
        <v>42636.674563672001</v>
      </c>
      <c r="AX1790" s="25">
        <f>Inventory[[#This Row],[AddFn]]*Lookups!$B$88</f>
        <v>0</v>
      </c>
      <c r="AY1790" s="25">
        <f>Inventory[[#This Row],[Bsmt]]*Lookups!$B$89</f>
        <v>28965.567666011997</v>
      </c>
      <c r="AZ1790" s="25">
        <f>Inventory[[#This Row],[Fixtures]]*Lookups!$B$90</f>
        <v>37920.221052000001</v>
      </c>
      <c r="BA1790" s="25">
        <f>Inventory[[#This Row],[WdDeck]]*Lookups!$B$91</f>
        <v>0</v>
      </c>
      <c r="BB1790" s="25">
        <f>ROUND(Inventory[[#This Row],[25Det]],-2)</f>
        <v>0</v>
      </c>
      <c r="BC1790" s="25">
        <f>ROUND(SUM(Inventory[[#This Row],[Mdl Qlty]:[Mdl WdDeck]])+Inventory[[#This Row],[Mdl Res Intercept]],-2)</f>
        <v>406300</v>
      </c>
      <c r="BD1790" s="25">
        <f>ROUND(Inventory[[#This Row],[Mdl Land Intercept]]+Inventory[[#This Row],[Mdl LnAcres]],-2)</f>
        <v>41900</v>
      </c>
      <c r="BE1790" s="25">
        <f>Inventory[[#This Row],[Unadj Res Value]]+Inventory[[#This Row],[Unadj Det Value]]+Inventory[[#This Row],[Unadj Land Value]]</f>
        <v>448200</v>
      </c>
      <c r="BF1790" s="36">
        <f>(Inventory[[#This Row],[Unadj Total Value]]-Inventory[[#This Row],[24Final]])/Inventory[[#This Row],[24Final]]</f>
        <v>5.4588235294117646E-2</v>
      </c>
      <c r="BG1790" s="25">
        <f>VLOOKUP(Inventory[[#This Row],[Nbhd]],Lookups!$Q$2:$T$4,4,FALSE)</f>
        <v>0.99970000000000003</v>
      </c>
      <c r="BH1790" s="25">
        <f>VLOOKUP(Inventory[[#This Row],[Qlty]],Lookups!$O$7:$R$21,4,FALSE)</f>
        <v>0.98050000000000004</v>
      </c>
      <c r="BI1790" s="25">
        <f>VLOOKUP(Inventory[[#This Row],[Cnd]],Lookups!$T$7:$W$16,4,FALSE)</f>
        <v>0.99650000000000005</v>
      </c>
      <c r="BJ1790" s="25">
        <f>VLOOKUP(Inventory[[#This Row],[LivArea Range]],Lookups!$T$25:$W$37,4,FALSE)</f>
        <v>1.0126999999999999</v>
      </c>
      <c r="BK1790" s="25">
        <f>VLOOKUP(Inventory[[#This Row],[Decade]],Lookups!$O$25:$R$42,4,FALSE)</f>
        <v>1.0074000000000001</v>
      </c>
      <c r="BL1790" s="25">
        <f>Inventory[[#This Row],[Nbhd Adj]]*0.95</f>
        <v>0.94971499999999998</v>
      </c>
      <c r="BM1790" s="25">
        <f>Inventory[[#This Row],[Nbhd Adj]]*Inventory[[#This Row],[Quality Adj]]*Inventory[[#This Row],[Condition Adj]]*Inventory[[#This Row],[Living Area Adj]]*Inventory[[#This Row],[Decade Adj]]*0.95</f>
        <v>0.94667510160736901</v>
      </c>
      <c r="BN1790" s="25">
        <f>ROUND(SUM(Inventory[[#This Row],[Mdl Qlty]:[Mdl WdDeck]])+Inventory[[#This Row],[Mdl Res Intercept]]*Inventory[[#This Row],[Res Adj ]],-2)</f>
        <v>406300</v>
      </c>
      <c r="BO1790" s="25">
        <f>ROUND(Inventory[[#This Row],[25Det]]*Inventory[[#This Row],[Det/Nbhd Adj]],-2)</f>
        <v>0</v>
      </c>
      <c r="BP1790" s="25">
        <f>Inventory[[#This Row],[Adjusted Res]]+Inventory[[#This Row],[Adj Det ]]</f>
        <v>406300</v>
      </c>
      <c r="BQ1790" s="25">
        <f>ROUND((Inventory[[#This Row],[Mdl Land Intercept]]+Inventory[[#This Row],[Mdl LnAcres]])*Inventory[[#This Row],[Det/Nbhd Adj]],-2)</f>
        <v>39800</v>
      </c>
      <c r="BR1790" s="25">
        <f>Inventory[[#This Row],[Adjusted Impr Total]]+Inventory[[#This Row],[Adjusted Land Total]]</f>
        <v>446100</v>
      </c>
      <c r="BS1790" s="36">
        <f>IFERROR((Inventory[[#This Row],[Adjusted Impr Total]]-Inventory[[#This Row],[24Bldg]])/Inventory[[#This Row],[24Bldg]],0)</f>
        <v>0.11835948252133223</v>
      </c>
      <c r="BT1790" s="36">
        <f>(Inventory[[#This Row],[Adjusted Land Total]]-Inventory[[#This Row],[24Lnd]])/Inventory[[#This Row],[24Lnd]]</f>
        <v>-0.35494327390599678</v>
      </c>
      <c r="BU1790" s="36">
        <f>(Inventory[[#This Row],[Adjusted Total]]-Inventory[[#This Row],[24Final]])/Inventory[[#This Row],[24Final]]</f>
        <v>4.9647058823529412E-2</v>
      </c>
    </row>
    <row r="1791" spans="1:73" x14ac:dyDescent="0.3">
      <c r="A1791" s="25">
        <v>2025</v>
      </c>
      <c r="B1791" s="26" t="s">
        <v>927</v>
      </c>
      <c r="C1791" s="26">
        <f>LN(Inventory[[#This Row],[Acres]])</f>
        <v>-1.4271163556401458</v>
      </c>
      <c r="D1791" s="25">
        <v>0.24</v>
      </c>
      <c r="E1791" s="32">
        <v>10438</v>
      </c>
      <c r="F1791" s="26" t="s">
        <v>537</v>
      </c>
      <c r="G1791" s="26" t="s">
        <v>126</v>
      </c>
      <c r="H1791" s="26" t="s">
        <v>349</v>
      </c>
      <c r="I1791" s="26" t="s">
        <v>538</v>
      </c>
      <c r="J1791" s="26" t="s">
        <v>539</v>
      </c>
      <c r="K1791" s="26" t="s">
        <v>242</v>
      </c>
      <c r="L1791" s="26" t="s">
        <v>351</v>
      </c>
      <c r="M1791" s="26" t="s">
        <v>323</v>
      </c>
      <c r="N1791" s="26">
        <v>100</v>
      </c>
      <c r="O1791" s="26">
        <f>2024-Inventory[[#This Row],[YrBlt]]</f>
        <v>94</v>
      </c>
      <c r="P1791" s="26">
        <f>2024-Inventory[[#This Row],[EffYr]]</f>
        <v>54</v>
      </c>
      <c r="Q1791" s="25">
        <v>1930</v>
      </c>
      <c r="R1791" s="25">
        <v>1970</v>
      </c>
      <c r="S1791" s="25">
        <v>1402</v>
      </c>
      <c r="T1791" s="31"/>
      <c r="U1791" s="25">
        <v>684</v>
      </c>
      <c r="V1791" s="25">
        <f>Inventory[[#This Row],[Bsmt]]-Inventory[[#This Row],[FnBsmt]]</f>
        <v>684</v>
      </c>
      <c r="W1791" s="25">
        <v>0</v>
      </c>
      <c r="X1791" s="27"/>
      <c r="Y1791" s="27">
        <f>Inventory[[#This Row],[MainFn]]+Inventory[[#This Row],[UpprFn]]+Inventory[[#This Row],[FnBsmt]]+Inventory[[#This Row],[AddFn]]</f>
        <v>1402</v>
      </c>
      <c r="Z1791" s="27">
        <v>1500</v>
      </c>
      <c r="AA1791" s="25">
        <v>5</v>
      </c>
      <c r="AB1791" s="27"/>
      <c r="AC1791" s="27"/>
      <c r="AD1791" s="31"/>
      <c r="AE1791" s="27"/>
      <c r="AF1791" s="27"/>
      <c r="AG1791" s="27"/>
      <c r="AH1791" s="27"/>
      <c r="AI1791" s="25">
        <v>248180</v>
      </c>
      <c r="AJ1791" s="25">
        <v>163799</v>
      </c>
      <c r="AK1791" s="25">
        <v>3400</v>
      </c>
      <c r="AL1791" s="25">
        <v>308400</v>
      </c>
      <c r="AM1791" s="25">
        <v>64800</v>
      </c>
      <c r="AN1791" s="25">
        <v>243600</v>
      </c>
      <c r="AO1791" s="25">
        <v>0</v>
      </c>
      <c r="AP1791" s="25">
        <f>Lookups!$B$56*0</f>
        <v>0</v>
      </c>
      <c r="AQ1791" s="25">
        <f>Lookups!$B$56*1</f>
        <v>89850.625589999996</v>
      </c>
      <c r="AR1791" s="25">
        <f>Lookups!$B$57*Inventory[[#This Row],[LnAcres]]</f>
        <v>-45174.819855485119</v>
      </c>
      <c r="AS1791" s="25">
        <f>VLOOKUP(Inventory[[#This Row],[Qlty]],Lookups!$A$62:$E$75,2,FALSE)</f>
        <v>21557.329055999999</v>
      </c>
      <c r="AT1791" s="25">
        <f>VLOOKUP(Inventory[[#This Row],[Cnd]],Lookups!$A$76:$E$84,2,FALSE)</f>
        <v>160472.20319</v>
      </c>
      <c r="AU1791" s="25">
        <f>Inventory[[#This Row],[EffAge]]*Lookups!$B$85</f>
        <v>-12044.462427</v>
      </c>
      <c r="AV1791" s="25">
        <f>Inventory[[#This Row],[MainFn]]*Lookups!$B$86</f>
        <v>69270.955167553999</v>
      </c>
      <c r="AW1791" s="25">
        <f>Inventory[[#This Row],[UpprFn]]*Lookups!$B$87</f>
        <v>0</v>
      </c>
      <c r="AX1791" s="25">
        <f>Inventory[[#This Row],[AddFn]]*Lookups!$B$88</f>
        <v>0</v>
      </c>
      <c r="AY1791" s="25">
        <f>Inventory[[#This Row],[Bsmt]]*Lookups!$B$89</f>
        <v>19892.016348948</v>
      </c>
      <c r="AZ1791" s="25">
        <f>Inventory[[#This Row],[Fixtures]]*Lookups!$B$90</f>
        <v>18960.110526</v>
      </c>
      <c r="BA1791" s="25">
        <f>Inventory[[#This Row],[WdDeck]]*Lookups!$B$91</f>
        <v>0</v>
      </c>
      <c r="BB1791" s="25">
        <f>ROUND(Inventory[[#This Row],[25Det]],-2)</f>
        <v>3400</v>
      </c>
      <c r="BC1791" s="25">
        <f>ROUND(SUM(Inventory[[#This Row],[Mdl Qlty]:[Mdl WdDeck]])+Inventory[[#This Row],[Mdl Res Intercept]],-2)</f>
        <v>278100</v>
      </c>
      <c r="BD1791" s="25">
        <f>ROUND(Inventory[[#This Row],[Mdl Land Intercept]]+Inventory[[#This Row],[Mdl LnAcres]],-2)</f>
        <v>44700</v>
      </c>
      <c r="BE1791" s="25">
        <f>Inventory[[#This Row],[Unadj Res Value]]+Inventory[[#This Row],[Unadj Det Value]]+Inventory[[#This Row],[Unadj Land Value]]</f>
        <v>326200</v>
      </c>
      <c r="BF1791" s="36">
        <f>(Inventory[[#This Row],[Unadj Total Value]]-Inventory[[#This Row],[24Final]])/Inventory[[#This Row],[24Final]]</f>
        <v>5.7717250324254218E-2</v>
      </c>
      <c r="BG1791" s="25">
        <f>VLOOKUP(Inventory[[#This Row],[Nbhd]],Lookups!$Q$2:$T$4,4,FALSE)</f>
        <v>0.99970000000000003</v>
      </c>
      <c r="BH1791" s="25">
        <f>VLOOKUP(Inventory[[#This Row],[Qlty]],Lookups!$O$7:$R$21,4,FALSE)</f>
        <v>1.0067999999999999</v>
      </c>
      <c r="BI1791" s="25">
        <f>VLOOKUP(Inventory[[#This Row],[Cnd]],Lookups!$T$7:$W$16,4,FALSE)</f>
        <v>0.99729999999999996</v>
      </c>
      <c r="BJ1791" s="25">
        <f>VLOOKUP(Inventory[[#This Row],[LivArea Range]],Lookups!$T$25:$W$37,4,FALSE)</f>
        <v>1.0157</v>
      </c>
      <c r="BK1791" s="25">
        <f>VLOOKUP(Inventory[[#This Row],[Decade]],Lookups!$O$25:$R$42,4,FALSE)</f>
        <v>1.0074000000000001</v>
      </c>
      <c r="BL1791" s="25">
        <f>Inventory[[#This Row],[Nbhd Adj]]*0.95</f>
        <v>0.94971499999999998</v>
      </c>
      <c r="BM1791" s="25">
        <f>Inventory[[#This Row],[Nbhd Adj]]*Inventory[[#This Row],[Quality Adj]]*Inventory[[#This Row],[Condition Adj]]*Inventory[[#This Row],[Living Area Adj]]*Inventory[[#This Row],[Decade Adj]]*0.95</f>
        <v>0.97573014419916293</v>
      </c>
      <c r="BN1791" s="25">
        <f>ROUND(SUM(Inventory[[#This Row],[Mdl Qlty]:[Mdl WdDeck]])+Inventory[[#This Row],[Mdl Res Intercept]]*Inventory[[#This Row],[Res Adj ]],-2)</f>
        <v>278100</v>
      </c>
      <c r="BO1791" s="25">
        <f>ROUND(Inventory[[#This Row],[25Det]]*Inventory[[#This Row],[Det/Nbhd Adj]],-2)</f>
        <v>3200</v>
      </c>
      <c r="BP1791" s="25">
        <f>Inventory[[#This Row],[Adjusted Res]]+Inventory[[#This Row],[Adj Det ]]</f>
        <v>281300</v>
      </c>
      <c r="BQ1791" s="25">
        <f>ROUND((Inventory[[#This Row],[Mdl Land Intercept]]+Inventory[[#This Row],[Mdl LnAcres]])*Inventory[[#This Row],[Det/Nbhd Adj]],-2)</f>
        <v>42400</v>
      </c>
      <c r="BR1791" s="25">
        <f>Inventory[[#This Row],[Adjusted Impr Total]]+Inventory[[#This Row],[Adjusted Land Total]]</f>
        <v>323700</v>
      </c>
      <c r="BS1791" s="36">
        <f>IFERROR((Inventory[[#This Row],[Adjusted Impr Total]]-Inventory[[#This Row],[24Bldg]])/Inventory[[#This Row],[24Bldg]],0)</f>
        <v>0.15476190476190477</v>
      </c>
      <c r="BT1791" s="36">
        <f>(Inventory[[#This Row],[Adjusted Land Total]]-Inventory[[#This Row],[24Lnd]])/Inventory[[#This Row],[24Lnd]]</f>
        <v>-0.34567901234567899</v>
      </c>
      <c r="BU1791" s="36">
        <f>(Inventory[[#This Row],[Adjusted Total]]-Inventory[[#This Row],[24Final]])/Inventory[[#This Row],[24Final]]</f>
        <v>4.9610894941634238E-2</v>
      </c>
    </row>
    <row r="1792" spans="1:73" x14ac:dyDescent="0.3">
      <c r="A1792" s="25">
        <v>2025</v>
      </c>
      <c r="B1792" s="26" t="s">
        <v>2387</v>
      </c>
      <c r="C1792" s="26">
        <f>LN(Inventory[[#This Row],[Acres]])</f>
        <v>-1.8325814637483102</v>
      </c>
      <c r="D1792" s="25">
        <v>0.16</v>
      </c>
      <c r="E1792" s="27"/>
      <c r="F1792" s="26" t="s">
        <v>537</v>
      </c>
      <c r="G1792" s="26" t="s">
        <v>126</v>
      </c>
      <c r="H1792" s="26" t="s">
        <v>349</v>
      </c>
      <c r="I1792" s="26" t="s">
        <v>538</v>
      </c>
      <c r="J1792" s="26" t="s">
        <v>539</v>
      </c>
      <c r="K1792" s="26" t="s">
        <v>269</v>
      </c>
      <c r="L1792" s="26" t="s">
        <v>351</v>
      </c>
      <c r="M1792" s="26" t="s">
        <v>323</v>
      </c>
      <c r="N1792" s="26">
        <v>100</v>
      </c>
      <c r="O1792" s="26">
        <f>2024-Inventory[[#This Row],[YrBlt]]</f>
        <v>94</v>
      </c>
      <c r="P1792" s="26">
        <f>2024-Inventory[[#This Row],[EffYr]]</f>
        <v>54</v>
      </c>
      <c r="Q1792" s="25">
        <v>1930</v>
      </c>
      <c r="R1792" s="25">
        <v>1970</v>
      </c>
      <c r="S1792" s="25">
        <v>992</v>
      </c>
      <c r="T1792" s="32">
        <v>341</v>
      </c>
      <c r="U1792" s="25">
        <v>992</v>
      </c>
      <c r="V1792" s="25">
        <f>Inventory[[#This Row],[Bsmt]]-Inventory[[#This Row],[FnBsmt]]</f>
        <v>0</v>
      </c>
      <c r="W1792" s="25">
        <v>992</v>
      </c>
      <c r="X1792" s="27"/>
      <c r="Y1792" s="27">
        <f>Inventory[[#This Row],[MainFn]]+Inventory[[#This Row],[UpprFn]]+Inventory[[#This Row],[FnBsmt]]+Inventory[[#This Row],[AddFn]]</f>
        <v>2325</v>
      </c>
      <c r="Z1792" s="27">
        <v>2500</v>
      </c>
      <c r="AA1792" s="25">
        <v>7</v>
      </c>
      <c r="AB1792" s="27"/>
      <c r="AC1792" s="27"/>
      <c r="AD1792" s="25">
        <v>300</v>
      </c>
      <c r="AE1792" s="27"/>
      <c r="AF1792" s="27"/>
      <c r="AG1792" s="27"/>
      <c r="AH1792" s="27"/>
      <c r="AI1792" s="25">
        <v>300271</v>
      </c>
      <c r="AJ1792" s="25">
        <v>198179</v>
      </c>
      <c r="AK1792" s="25">
        <v>20667</v>
      </c>
      <c r="AL1792" s="25">
        <v>333800</v>
      </c>
      <c r="AM1792" s="25">
        <v>50600</v>
      </c>
      <c r="AN1792" s="25">
        <v>283200</v>
      </c>
      <c r="AO1792" s="25">
        <v>0</v>
      </c>
      <c r="AP1792" s="25">
        <f>Lookups!$B$56*0</f>
        <v>0</v>
      </c>
      <c r="AQ1792" s="25">
        <f>Lookups!$B$56*1</f>
        <v>89850.625589999996</v>
      </c>
      <c r="AR1792" s="25">
        <f>Lookups!$B$57*Inventory[[#This Row],[LnAcres]]</f>
        <v>-58009.662049032086</v>
      </c>
      <c r="AS1792" s="25">
        <f>VLOOKUP(Inventory[[#This Row],[Qlty]],Lookups!$A$62:$E$75,2,FALSE)</f>
        <v>21557.329055999999</v>
      </c>
      <c r="AT1792" s="25">
        <f>VLOOKUP(Inventory[[#This Row],[Cnd]],Lookups!$A$76:$E$84,2,FALSE)</f>
        <v>160472.20319</v>
      </c>
      <c r="AU1792" s="25">
        <f>Inventory[[#This Row],[EffAge]]*Lookups!$B$85</f>
        <v>-12044.462427</v>
      </c>
      <c r="AV1792" s="25">
        <f>Inventory[[#This Row],[MainFn]]*Lookups!$B$86</f>
        <v>49013.400517984002</v>
      </c>
      <c r="AW1792" s="25">
        <f>Inventory[[#This Row],[UpprFn]]*Lookups!$B$87</f>
        <v>15272.170195601</v>
      </c>
      <c r="AX1792" s="25">
        <f>Inventory[[#This Row],[AddFn]]*Lookups!$B$88</f>
        <v>0</v>
      </c>
      <c r="AY1792" s="25">
        <f>Inventory[[#This Row],[Bsmt]]*Lookups!$B$89</f>
        <v>28849.240085023997</v>
      </c>
      <c r="AZ1792" s="25">
        <f>Inventory[[#This Row],[Fixtures]]*Lookups!$B$90</f>
        <v>26544.1547364</v>
      </c>
      <c r="BA1792" s="25">
        <f>Inventory[[#This Row],[WdDeck]]*Lookups!$B$91</f>
        <v>9988.6545828000017</v>
      </c>
      <c r="BB1792" s="25">
        <f>ROUND(Inventory[[#This Row],[25Det]],-2)</f>
        <v>20700</v>
      </c>
      <c r="BC1792" s="25">
        <f>ROUND(SUM(Inventory[[#This Row],[Mdl Qlty]:[Mdl WdDeck]])+Inventory[[#This Row],[Mdl Res Intercept]],-2)</f>
        <v>299700</v>
      </c>
      <c r="BD1792" s="25">
        <f>ROUND(Inventory[[#This Row],[Mdl Land Intercept]]+Inventory[[#This Row],[Mdl LnAcres]],-2)</f>
        <v>31800</v>
      </c>
      <c r="BE1792" s="25">
        <f>Inventory[[#This Row],[Unadj Res Value]]+Inventory[[#This Row],[Unadj Det Value]]+Inventory[[#This Row],[Unadj Land Value]]</f>
        <v>352200</v>
      </c>
      <c r="BF1792" s="36">
        <f>(Inventory[[#This Row],[Unadj Total Value]]-Inventory[[#This Row],[24Final]])/Inventory[[#This Row],[24Final]]</f>
        <v>5.5122828040742963E-2</v>
      </c>
      <c r="BG1792" s="25">
        <f>VLOOKUP(Inventory[[#This Row],[Nbhd]],Lookups!$Q$2:$T$4,4,FALSE)</f>
        <v>0.99970000000000003</v>
      </c>
      <c r="BH1792" s="25">
        <f>VLOOKUP(Inventory[[#This Row],[Qlty]],Lookups!$O$7:$R$21,4,FALSE)</f>
        <v>1.0067999999999999</v>
      </c>
      <c r="BI1792" s="25">
        <f>VLOOKUP(Inventory[[#This Row],[Cnd]],Lookups!$T$7:$W$16,4,FALSE)</f>
        <v>0.99729999999999996</v>
      </c>
      <c r="BJ1792" s="25">
        <f>VLOOKUP(Inventory[[#This Row],[LivArea Range]],Lookups!$T$25:$W$37,4,FALSE)</f>
        <v>0.98919999999999997</v>
      </c>
      <c r="BK1792" s="25">
        <f>VLOOKUP(Inventory[[#This Row],[Decade]],Lookups!$O$25:$R$42,4,FALSE)</f>
        <v>1.0074000000000001</v>
      </c>
      <c r="BL1792" s="25">
        <f>Inventory[[#This Row],[Nbhd Adj]]*0.95</f>
        <v>0.94971499999999998</v>
      </c>
      <c r="BM1792" s="25">
        <f>Inventory[[#This Row],[Nbhd Adj]]*Inventory[[#This Row],[Quality Adj]]*Inventory[[#This Row],[Condition Adj]]*Inventory[[#This Row],[Living Area Adj]]*Inventory[[#This Row],[Decade Adj]]*0.95</f>
        <v>0.95027297296624202</v>
      </c>
      <c r="BN1792" s="25">
        <f>ROUND(SUM(Inventory[[#This Row],[Mdl Qlty]:[Mdl WdDeck]])+Inventory[[#This Row],[Mdl Res Intercept]]*Inventory[[#This Row],[Res Adj ]],-2)</f>
        <v>299700</v>
      </c>
      <c r="BO1792" s="25">
        <f>ROUND(Inventory[[#This Row],[25Det]]*Inventory[[#This Row],[Det/Nbhd Adj]],-2)</f>
        <v>19600</v>
      </c>
      <c r="BP1792" s="25">
        <f>Inventory[[#This Row],[Adjusted Res]]+Inventory[[#This Row],[Adj Det ]]</f>
        <v>319300</v>
      </c>
      <c r="BQ1792" s="25">
        <f>ROUND((Inventory[[#This Row],[Mdl Land Intercept]]+Inventory[[#This Row],[Mdl LnAcres]])*Inventory[[#This Row],[Det/Nbhd Adj]],-2)</f>
        <v>30200</v>
      </c>
      <c r="BR1792" s="25">
        <f>Inventory[[#This Row],[Adjusted Impr Total]]+Inventory[[#This Row],[Adjusted Land Total]]</f>
        <v>349500</v>
      </c>
      <c r="BS1792" s="36">
        <f>IFERROR((Inventory[[#This Row],[Adjusted Impr Total]]-Inventory[[#This Row],[24Bldg]])/Inventory[[#This Row],[24Bldg]],0)</f>
        <v>0.12747175141242939</v>
      </c>
      <c r="BT1792" s="36">
        <f>(Inventory[[#This Row],[Adjusted Land Total]]-Inventory[[#This Row],[24Lnd]])/Inventory[[#This Row],[24Lnd]]</f>
        <v>-0.40316205533596838</v>
      </c>
      <c r="BU1792" s="36">
        <f>(Inventory[[#This Row],[Adjusted Total]]-Inventory[[#This Row],[24Final]])/Inventory[[#This Row],[24Final]]</f>
        <v>4.7034152186938287E-2</v>
      </c>
    </row>
    <row r="1793" spans="1:73" x14ac:dyDescent="0.3">
      <c r="A1793" s="25">
        <v>2025</v>
      </c>
      <c r="B1793" s="26" t="s">
        <v>2685</v>
      </c>
      <c r="C1793" s="26">
        <f>LN(Inventory[[#This Row],[Acres]])</f>
        <v>-1.7719568419318752</v>
      </c>
      <c r="D1793" s="25">
        <v>0.17</v>
      </c>
      <c r="E1793" s="27"/>
      <c r="F1793" s="26" t="s">
        <v>537</v>
      </c>
      <c r="G1793" s="26" t="s">
        <v>126</v>
      </c>
      <c r="H1793" s="26" t="s">
        <v>349</v>
      </c>
      <c r="I1793" s="26" t="s">
        <v>538</v>
      </c>
      <c r="J1793" s="26" t="s">
        <v>539</v>
      </c>
      <c r="K1793" s="26" t="s">
        <v>242</v>
      </c>
      <c r="L1793" s="26" t="s">
        <v>205</v>
      </c>
      <c r="M1793" s="26" t="s">
        <v>303</v>
      </c>
      <c r="N1793" s="26">
        <v>100</v>
      </c>
      <c r="O1793" s="26">
        <f>2024-Inventory[[#This Row],[YrBlt]]</f>
        <v>94</v>
      </c>
      <c r="P1793" s="26">
        <f>2024-Inventory[[#This Row],[EffYr]]</f>
        <v>54</v>
      </c>
      <c r="Q1793" s="25">
        <v>1930</v>
      </c>
      <c r="R1793" s="25">
        <v>1970</v>
      </c>
      <c r="S1793" s="25">
        <v>2666</v>
      </c>
      <c r="T1793" s="31"/>
      <c r="U1793" s="31"/>
      <c r="V1793" s="31">
        <f>Inventory[[#This Row],[Bsmt]]-Inventory[[#This Row],[FnBsmt]]</f>
        <v>0</v>
      </c>
      <c r="W1793" s="31"/>
      <c r="X1793" s="27"/>
      <c r="Y1793" s="27">
        <f>Inventory[[#This Row],[MainFn]]+Inventory[[#This Row],[UpprFn]]+Inventory[[#This Row],[FnBsmt]]+Inventory[[#This Row],[AddFn]]</f>
        <v>2666</v>
      </c>
      <c r="Z1793" s="27">
        <v>3000</v>
      </c>
      <c r="AA1793" s="25">
        <v>8</v>
      </c>
      <c r="AB1793" s="27"/>
      <c r="AC1793" s="27"/>
      <c r="AD1793" s="27"/>
      <c r="AE1793" s="27"/>
      <c r="AF1793" s="27"/>
      <c r="AG1793" s="27"/>
      <c r="AH1793" s="27"/>
      <c r="AI1793" s="25">
        <v>413250</v>
      </c>
      <c r="AJ1793" s="25">
        <v>281010</v>
      </c>
      <c r="AK1793" s="25">
        <v>0</v>
      </c>
      <c r="AL1793" s="25">
        <v>363000</v>
      </c>
      <c r="AM1793" s="25">
        <v>52700</v>
      </c>
      <c r="AN1793" s="25">
        <v>310300</v>
      </c>
      <c r="AO1793" s="25">
        <v>0</v>
      </c>
      <c r="AP1793" s="25">
        <f>Lookups!$B$56*0</f>
        <v>0</v>
      </c>
      <c r="AQ1793" s="25">
        <f>Lookups!$B$56*1</f>
        <v>89850.625589999996</v>
      </c>
      <c r="AR1793" s="25">
        <f>Lookups!$B$57*Inventory[[#This Row],[LnAcres]]</f>
        <v>-56090.612940989391</v>
      </c>
      <c r="AS1793" s="25">
        <f>VLOOKUP(Inventory[[#This Row],[Qlty]],Lookups!$A$62:$E$75,2,FALSE)</f>
        <v>0</v>
      </c>
      <c r="AT1793" s="25">
        <f>VLOOKUP(Inventory[[#This Row],[Cnd]],Lookups!$A$76:$E$84,2,FALSE)</f>
        <v>197752.34721000001</v>
      </c>
      <c r="AU1793" s="25">
        <f>Inventory[[#This Row],[EffAge]]*Lookups!$B$85</f>
        <v>-12044.462427</v>
      </c>
      <c r="AV1793" s="25">
        <f>Inventory[[#This Row],[MainFn]]*Lookups!$B$86</f>
        <v>131723.513892082</v>
      </c>
      <c r="AW1793" s="25">
        <f>Inventory[[#This Row],[UpprFn]]*Lookups!$B$87</f>
        <v>0</v>
      </c>
      <c r="AX1793" s="25">
        <f>Inventory[[#This Row],[AddFn]]*Lookups!$B$88</f>
        <v>0</v>
      </c>
      <c r="AY1793" s="25">
        <f>Inventory[[#This Row],[Bsmt]]*Lookups!$B$89</f>
        <v>0</v>
      </c>
      <c r="AZ1793" s="25">
        <f>Inventory[[#This Row],[Fixtures]]*Lookups!$B$90</f>
        <v>30336.176841600001</v>
      </c>
      <c r="BA1793" s="25">
        <f>Inventory[[#This Row],[WdDeck]]*Lookups!$B$91</f>
        <v>0</v>
      </c>
      <c r="BB1793" s="25">
        <f>ROUND(Inventory[[#This Row],[25Det]],-2)</f>
        <v>0</v>
      </c>
      <c r="BC1793" s="25">
        <f>ROUND(SUM(Inventory[[#This Row],[Mdl Qlty]:[Mdl WdDeck]])+Inventory[[#This Row],[Mdl Res Intercept]],-2)</f>
        <v>347800</v>
      </c>
      <c r="BD1793" s="25">
        <f>ROUND(Inventory[[#This Row],[Mdl Land Intercept]]+Inventory[[#This Row],[Mdl LnAcres]],-2)</f>
        <v>33800</v>
      </c>
      <c r="BE1793" s="25">
        <f>Inventory[[#This Row],[Unadj Res Value]]+Inventory[[#This Row],[Unadj Det Value]]+Inventory[[#This Row],[Unadj Land Value]]</f>
        <v>381600</v>
      </c>
      <c r="BF1793" s="36">
        <f>(Inventory[[#This Row],[Unadj Total Value]]-Inventory[[#This Row],[24Final]])/Inventory[[#This Row],[24Final]]</f>
        <v>5.1239669421487603E-2</v>
      </c>
      <c r="BG1793" s="25">
        <f>VLOOKUP(Inventory[[#This Row],[Nbhd]],Lookups!$Q$2:$T$4,4,FALSE)</f>
        <v>0.99970000000000003</v>
      </c>
      <c r="BH1793" s="25">
        <f>VLOOKUP(Inventory[[#This Row],[Qlty]],Lookups!$O$7:$R$21,4,FALSE)</f>
        <v>0.99180000000000001</v>
      </c>
      <c r="BI1793" s="25">
        <f>VLOOKUP(Inventory[[#This Row],[Cnd]],Lookups!$T$7:$W$16,4,FALSE)</f>
        <v>0.99650000000000005</v>
      </c>
      <c r="BJ1793" s="25">
        <f>VLOOKUP(Inventory[[#This Row],[LivArea Range]],Lookups!$T$25:$W$37,4,FALSE)</f>
        <v>0.96179999999999999</v>
      </c>
      <c r="BK1793" s="25">
        <f>VLOOKUP(Inventory[[#This Row],[Decade]],Lookups!$O$25:$R$42,4,FALSE)</f>
        <v>1.0074000000000001</v>
      </c>
      <c r="BL1793" s="25">
        <f>Inventory[[#This Row],[Nbhd Adj]]*0.95</f>
        <v>0.94971499999999998</v>
      </c>
      <c r="BM1793" s="25">
        <f>Inventory[[#This Row],[Nbhd Adj]]*Inventory[[#This Row],[Quality Adj]]*Inventory[[#This Row],[Condition Adj]]*Inventory[[#This Row],[Living Area Adj]]*Inventory[[#This Row],[Decade Adj]]*0.95</f>
        <v>0.90945543701227427</v>
      </c>
      <c r="BN1793" s="25">
        <f>ROUND(SUM(Inventory[[#This Row],[Mdl Qlty]:[Mdl WdDeck]])+Inventory[[#This Row],[Mdl Res Intercept]]*Inventory[[#This Row],[Res Adj ]],-2)</f>
        <v>347800</v>
      </c>
      <c r="BO1793" s="25">
        <f>ROUND(Inventory[[#This Row],[25Det]]*Inventory[[#This Row],[Det/Nbhd Adj]],-2)</f>
        <v>0</v>
      </c>
      <c r="BP1793" s="25">
        <f>Inventory[[#This Row],[Adjusted Res]]+Inventory[[#This Row],[Adj Det ]]</f>
        <v>347800</v>
      </c>
      <c r="BQ1793" s="25">
        <f>ROUND((Inventory[[#This Row],[Mdl Land Intercept]]+Inventory[[#This Row],[Mdl LnAcres]])*Inventory[[#This Row],[Det/Nbhd Adj]],-2)</f>
        <v>32100</v>
      </c>
      <c r="BR1793" s="25">
        <f>Inventory[[#This Row],[Adjusted Impr Total]]+Inventory[[#This Row],[Adjusted Land Total]]</f>
        <v>379900</v>
      </c>
      <c r="BS1793" s="36">
        <f>IFERROR((Inventory[[#This Row],[Adjusted Impr Total]]-Inventory[[#This Row],[24Bldg]])/Inventory[[#This Row],[24Bldg]],0)</f>
        <v>0.12085078955849178</v>
      </c>
      <c r="BT1793" s="36">
        <f>(Inventory[[#This Row],[Adjusted Land Total]]-Inventory[[#This Row],[24Lnd]])/Inventory[[#This Row],[24Lnd]]</f>
        <v>-0.39089184060721061</v>
      </c>
      <c r="BU1793" s="36">
        <f>(Inventory[[#This Row],[Adjusted Total]]-Inventory[[#This Row],[24Final]])/Inventory[[#This Row],[24Final]]</f>
        <v>4.6556473829201105E-2</v>
      </c>
    </row>
    <row r="1794" spans="1:73" x14ac:dyDescent="0.3">
      <c r="A1794" s="25">
        <v>2025</v>
      </c>
      <c r="B1794" s="26" t="s">
        <v>820</v>
      </c>
      <c r="C1794" s="26">
        <f>LN(Inventory[[#This Row],[Acres]])</f>
        <v>-1.7147984280919266</v>
      </c>
      <c r="D1794" s="25">
        <v>0.18</v>
      </c>
      <c r="E1794" s="25">
        <v>7835</v>
      </c>
      <c r="F1794" s="26" t="s">
        <v>537</v>
      </c>
      <c r="G1794" s="26" t="s">
        <v>126</v>
      </c>
      <c r="H1794" s="26" t="s">
        <v>349</v>
      </c>
      <c r="I1794" s="26" t="s">
        <v>538</v>
      </c>
      <c r="J1794" s="26" t="s">
        <v>539</v>
      </c>
      <c r="K1794" s="26" t="s">
        <v>242</v>
      </c>
      <c r="L1794" s="26" t="s">
        <v>205</v>
      </c>
      <c r="M1794" s="26" t="s">
        <v>206</v>
      </c>
      <c r="N1794" s="26">
        <v>100</v>
      </c>
      <c r="O1794" s="26">
        <f>2024-Inventory[[#This Row],[YrBlt]]</f>
        <v>94</v>
      </c>
      <c r="P1794" s="26">
        <f>2024-Inventory[[#This Row],[EffYr]]</f>
        <v>54</v>
      </c>
      <c r="Q1794" s="25">
        <v>1930</v>
      </c>
      <c r="R1794" s="25">
        <v>1970</v>
      </c>
      <c r="S1794" s="25">
        <v>974</v>
      </c>
      <c r="T1794" s="31"/>
      <c r="U1794" s="25">
        <v>358</v>
      </c>
      <c r="V1794" s="32">
        <f>Inventory[[#This Row],[Bsmt]]-Inventory[[#This Row],[FnBsmt]]</f>
        <v>0</v>
      </c>
      <c r="W1794" s="32">
        <v>358</v>
      </c>
      <c r="X1794" s="27"/>
      <c r="Y1794" s="27">
        <f>Inventory[[#This Row],[MainFn]]+Inventory[[#This Row],[UpprFn]]+Inventory[[#This Row],[FnBsmt]]+Inventory[[#This Row],[AddFn]]</f>
        <v>1332</v>
      </c>
      <c r="Z1794" s="27">
        <v>1500</v>
      </c>
      <c r="AA1794" s="25">
        <v>5</v>
      </c>
      <c r="AB1794" s="31"/>
      <c r="AC1794" s="27"/>
      <c r="AD1794" s="25">
        <v>77</v>
      </c>
      <c r="AE1794" s="27"/>
      <c r="AF1794" s="27"/>
      <c r="AG1794" s="27"/>
      <c r="AH1794" s="27"/>
      <c r="AI1794" s="25">
        <v>184046</v>
      </c>
      <c r="AJ1794" s="25">
        <v>117789</v>
      </c>
      <c r="AK1794" s="25">
        <v>6013</v>
      </c>
      <c r="AL1794" s="25">
        <v>230600</v>
      </c>
      <c r="AM1794" s="25">
        <v>54700</v>
      </c>
      <c r="AN1794" s="25">
        <v>175900</v>
      </c>
      <c r="AO1794" s="25">
        <v>0</v>
      </c>
      <c r="AP1794" s="25">
        <f>Lookups!$B$56*0</f>
        <v>0</v>
      </c>
      <c r="AQ1794" s="25">
        <f>Lookups!$B$56*1</f>
        <v>89850.625589999996</v>
      </c>
      <c r="AR1794" s="25">
        <f>Lookups!$B$57*Inventory[[#This Row],[LnAcres]]</f>
        <v>-54281.285314520763</v>
      </c>
      <c r="AS1794" s="25">
        <f>VLOOKUP(Inventory[[#This Row],[Qlty]],Lookups!$A$62:$E$75,2,FALSE)</f>
        <v>0</v>
      </c>
      <c r="AT1794" s="25">
        <f>VLOOKUP(Inventory[[#This Row],[Cnd]],Lookups!$A$76:$E$84,2,FALSE)</f>
        <v>133714.53821</v>
      </c>
      <c r="AU1794" s="25">
        <f>Inventory[[#This Row],[EffAge]]*Lookups!$B$85</f>
        <v>-12044.462427</v>
      </c>
      <c r="AV1794" s="25">
        <f>Inventory[[#This Row],[MainFn]]*Lookups!$B$86</f>
        <v>48124.044460197998</v>
      </c>
      <c r="AW1794" s="25">
        <f>Inventory[[#This Row],[UpprFn]]*Lookups!$B$87</f>
        <v>0</v>
      </c>
      <c r="AX1794" s="25">
        <f>Inventory[[#This Row],[AddFn]]*Lookups!$B$88</f>
        <v>0</v>
      </c>
      <c r="AY1794" s="25">
        <f>Inventory[[#This Row],[Bsmt]]*Lookups!$B$89</f>
        <v>10411.318498425999</v>
      </c>
      <c r="AZ1794" s="25">
        <f>Inventory[[#This Row],[Fixtures]]*Lookups!$B$90</f>
        <v>18960.110526</v>
      </c>
      <c r="BA1794" s="25">
        <f>Inventory[[#This Row],[WdDeck]]*Lookups!$B$91</f>
        <v>2563.7546762520001</v>
      </c>
      <c r="BB1794" s="25">
        <f>ROUND(Inventory[[#This Row],[25Det]],-2)</f>
        <v>6000</v>
      </c>
      <c r="BC1794" s="25">
        <f>ROUND(SUM(Inventory[[#This Row],[Mdl Qlty]:[Mdl WdDeck]])+Inventory[[#This Row],[Mdl Res Intercept]],-2)</f>
        <v>201700</v>
      </c>
      <c r="BD1794" s="25">
        <f>ROUND(Inventory[[#This Row],[Mdl Land Intercept]]+Inventory[[#This Row],[Mdl LnAcres]],-2)</f>
        <v>35600</v>
      </c>
      <c r="BE1794" s="25">
        <f>Inventory[[#This Row],[Unadj Res Value]]+Inventory[[#This Row],[Unadj Det Value]]+Inventory[[#This Row],[Unadj Land Value]]</f>
        <v>243300</v>
      </c>
      <c r="BF1794" s="36">
        <f>(Inventory[[#This Row],[Unadj Total Value]]-Inventory[[#This Row],[24Final]])/Inventory[[#This Row],[24Final]]</f>
        <v>5.507372072853426E-2</v>
      </c>
      <c r="BG1794" s="25">
        <f>VLOOKUP(Inventory[[#This Row],[Nbhd]],Lookups!$Q$2:$T$4,4,FALSE)</f>
        <v>0.99970000000000003</v>
      </c>
      <c r="BH1794" s="25">
        <f>VLOOKUP(Inventory[[#This Row],[Qlty]],Lookups!$O$7:$R$21,4,FALSE)</f>
        <v>0.99180000000000001</v>
      </c>
      <c r="BI1794" s="25">
        <f>VLOOKUP(Inventory[[#This Row],[Cnd]],Lookups!$T$7:$W$16,4,FALSE)</f>
        <v>0.99329999999999996</v>
      </c>
      <c r="BJ1794" s="25">
        <f>VLOOKUP(Inventory[[#This Row],[LivArea Range]],Lookups!$T$25:$W$37,4,FALSE)</f>
        <v>1.0157</v>
      </c>
      <c r="BK1794" s="25">
        <f>VLOOKUP(Inventory[[#This Row],[Decade]],Lookups!$O$25:$R$42,4,FALSE)</f>
        <v>1.0074000000000001</v>
      </c>
      <c r="BL1794" s="25">
        <f>Inventory[[#This Row],[Nbhd Adj]]*0.95</f>
        <v>0.94971499999999998</v>
      </c>
      <c r="BM1794" s="25">
        <f>Inventory[[#This Row],[Nbhd Adj]]*Inventory[[#This Row],[Quality Adj]]*Inventory[[#This Row],[Condition Adj]]*Inventory[[#This Row],[Living Area Adj]]*Inventory[[#This Row],[Decade Adj]]*0.95</f>
        <v>0.95733786314897451</v>
      </c>
      <c r="BN1794" s="25">
        <f>ROUND(SUM(Inventory[[#This Row],[Mdl Qlty]:[Mdl WdDeck]])+Inventory[[#This Row],[Mdl Res Intercept]]*Inventory[[#This Row],[Res Adj ]],-2)</f>
        <v>201700</v>
      </c>
      <c r="BO1794" s="25">
        <f>ROUND(Inventory[[#This Row],[25Det]]*Inventory[[#This Row],[Det/Nbhd Adj]],-2)</f>
        <v>5700</v>
      </c>
      <c r="BP1794" s="25">
        <f>Inventory[[#This Row],[Adjusted Res]]+Inventory[[#This Row],[Adj Det ]]</f>
        <v>207400</v>
      </c>
      <c r="BQ1794" s="25">
        <f>ROUND((Inventory[[#This Row],[Mdl Land Intercept]]+Inventory[[#This Row],[Mdl LnAcres]])*Inventory[[#This Row],[Det/Nbhd Adj]],-2)</f>
        <v>33800</v>
      </c>
      <c r="BR1794" s="25">
        <f>Inventory[[#This Row],[Adjusted Impr Total]]+Inventory[[#This Row],[Adjusted Land Total]]</f>
        <v>241200</v>
      </c>
      <c r="BS1794" s="36">
        <f>IFERROR((Inventory[[#This Row],[Adjusted Impr Total]]-Inventory[[#This Row],[24Bldg]])/Inventory[[#This Row],[24Bldg]],0)</f>
        <v>0.17907902217168845</v>
      </c>
      <c r="BT1794" s="36">
        <f>(Inventory[[#This Row],[Adjusted Land Total]]-Inventory[[#This Row],[24Lnd]])/Inventory[[#This Row],[24Lnd]]</f>
        <v>-0.38208409506398539</v>
      </c>
      <c r="BU1794" s="36">
        <f>(Inventory[[#This Row],[Adjusted Total]]-Inventory[[#This Row],[24Final]])/Inventory[[#This Row],[24Final]]</f>
        <v>4.5967042497831741E-2</v>
      </c>
    </row>
    <row r="1795" spans="1:73" x14ac:dyDescent="0.3">
      <c r="A1795" s="25">
        <v>2025</v>
      </c>
      <c r="B1795" s="26" t="s">
        <v>2433</v>
      </c>
      <c r="C1795" s="26">
        <f>LN(Inventory[[#This Row],[Acres]])</f>
        <v>-1.9661128563728327</v>
      </c>
      <c r="D1795" s="25">
        <v>0.14000000000000001</v>
      </c>
      <c r="E1795" s="31"/>
      <c r="F1795" s="26" t="s">
        <v>537</v>
      </c>
      <c r="G1795" s="26" t="s">
        <v>126</v>
      </c>
      <c r="H1795" s="26" t="s">
        <v>349</v>
      </c>
      <c r="I1795" s="26" t="s">
        <v>538</v>
      </c>
      <c r="J1795" s="26" t="s">
        <v>539</v>
      </c>
      <c r="K1795" s="26" t="s">
        <v>4</v>
      </c>
      <c r="L1795" s="26" t="s">
        <v>302</v>
      </c>
      <c r="M1795" s="26" t="s">
        <v>323</v>
      </c>
      <c r="N1795" s="26">
        <v>100</v>
      </c>
      <c r="O1795" s="26">
        <f>2024-Inventory[[#This Row],[YrBlt]]</f>
        <v>94</v>
      </c>
      <c r="P1795" s="26">
        <f>2024-Inventory[[#This Row],[EffYr]]</f>
        <v>54</v>
      </c>
      <c r="Q1795" s="25">
        <v>1930</v>
      </c>
      <c r="R1795" s="25">
        <v>1970</v>
      </c>
      <c r="S1795" s="25">
        <v>1249</v>
      </c>
      <c r="T1795" s="27"/>
      <c r="U1795" s="25">
        <v>694</v>
      </c>
      <c r="V1795" s="25">
        <f>Inventory[[#This Row],[Bsmt]]-Inventory[[#This Row],[FnBsmt]]</f>
        <v>174</v>
      </c>
      <c r="W1795" s="25">
        <v>520</v>
      </c>
      <c r="X1795" s="27"/>
      <c r="Y1795" s="27">
        <f>Inventory[[#This Row],[MainFn]]+Inventory[[#This Row],[UpprFn]]+Inventory[[#This Row],[FnBsmt]]+Inventory[[#This Row],[AddFn]]</f>
        <v>1769</v>
      </c>
      <c r="Z1795" s="27">
        <v>2000</v>
      </c>
      <c r="AA1795" s="25">
        <v>6</v>
      </c>
      <c r="AB1795" s="31"/>
      <c r="AC1795" s="27"/>
      <c r="AD1795" s="32">
        <v>120</v>
      </c>
      <c r="AE1795" s="27"/>
      <c r="AF1795" s="27"/>
      <c r="AG1795" s="27"/>
      <c r="AH1795" s="27"/>
      <c r="AI1795" s="25">
        <v>290043</v>
      </c>
      <c r="AJ1795" s="25">
        <v>191428</v>
      </c>
      <c r="AK1795" s="25">
        <v>1745</v>
      </c>
      <c r="AL1795" s="25">
        <v>301800</v>
      </c>
      <c r="AM1795" s="25">
        <v>46000</v>
      </c>
      <c r="AN1795" s="25">
        <v>255800</v>
      </c>
      <c r="AO1795" s="25">
        <v>0</v>
      </c>
      <c r="AP1795" s="25">
        <f>Lookups!$B$56*0</f>
        <v>0</v>
      </c>
      <c r="AQ1795" s="25">
        <f>Lookups!$B$56*1</f>
        <v>89850.625589999996</v>
      </c>
      <c r="AR1795" s="25">
        <f>Lookups!$B$57*Inventory[[#This Row],[LnAcres]]</f>
        <v>-62236.546971921947</v>
      </c>
      <c r="AS1795" s="25">
        <f>VLOOKUP(Inventory[[#This Row],[Qlty]],Lookups!$A$62:$E$75,2,FALSE)</f>
        <v>29814.093161000001</v>
      </c>
      <c r="AT1795" s="25">
        <f>VLOOKUP(Inventory[[#This Row],[Cnd]],Lookups!$A$76:$E$84,2,FALSE)</f>
        <v>160472.20319</v>
      </c>
      <c r="AU1795" s="25">
        <f>Inventory[[#This Row],[EffAge]]*Lookups!$B$85</f>
        <v>-12044.462427</v>
      </c>
      <c r="AV1795" s="25">
        <f>Inventory[[#This Row],[MainFn]]*Lookups!$B$86</f>
        <v>61711.428676373005</v>
      </c>
      <c r="AW1795" s="25">
        <f>Inventory[[#This Row],[UpprFn]]*Lookups!$B$87</f>
        <v>0</v>
      </c>
      <c r="AX1795" s="25">
        <f>Inventory[[#This Row],[AddFn]]*Lookups!$B$88</f>
        <v>0</v>
      </c>
      <c r="AY1795" s="25">
        <f>Inventory[[#This Row],[Bsmt]]*Lookups!$B$89</f>
        <v>20182.835301417999</v>
      </c>
      <c r="AZ1795" s="25">
        <f>Inventory[[#This Row],[Fixtures]]*Lookups!$B$90</f>
        <v>22752.132631200002</v>
      </c>
      <c r="BA1795" s="25">
        <f>Inventory[[#This Row],[WdDeck]]*Lookups!$B$91</f>
        <v>3995.4618331200004</v>
      </c>
      <c r="BB1795" s="25">
        <f>ROUND(Inventory[[#This Row],[25Det]],-2)</f>
        <v>1700</v>
      </c>
      <c r="BC1795" s="25">
        <f>ROUND(SUM(Inventory[[#This Row],[Mdl Qlty]:[Mdl WdDeck]])+Inventory[[#This Row],[Mdl Res Intercept]],-2)</f>
        <v>286900</v>
      </c>
      <c r="BD1795" s="25">
        <f>ROUND(Inventory[[#This Row],[Mdl Land Intercept]]+Inventory[[#This Row],[Mdl LnAcres]],-2)</f>
        <v>27600</v>
      </c>
      <c r="BE1795" s="25">
        <f>Inventory[[#This Row],[Unadj Res Value]]+Inventory[[#This Row],[Unadj Det Value]]+Inventory[[#This Row],[Unadj Land Value]]</f>
        <v>316200</v>
      </c>
      <c r="BF1795" s="36">
        <f>(Inventory[[#This Row],[Unadj Total Value]]-Inventory[[#This Row],[24Final]])/Inventory[[#This Row],[24Final]]</f>
        <v>4.7713717693836977E-2</v>
      </c>
      <c r="BG1795" s="25">
        <f>VLOOKUP(Inventory[[#This Row],[Nbhd]],Lookups!$Q$2:$T$4,4,FALSE)</f>
        <v>0.99970000000000003</v>
      </c>
      <c r="BH1795" s="25">
        <f>VLOOKUP(Inventory[[#This Row],[Qlty]],Lookups!$O$7:$R$21,4,FALSE)</f>
        <v>1.0088999999999999</v>
      </c>
      <c r="BI1795" s="25">
        <f>VLOOKUP(Inventory[[#This Row],[Cnd]],Lookups!$T$7:$W$16,4,FALSE)</f>
        <v>0.99729999999999996</v>
      </c>
      <c r="BJ1795" s="25">
        <f>VLOOKUP(Inventory[[#This Row],[LivArea Range]],Lookups!$T$25:$W$37,4,FALSE)</f>
        <v>1.0093000000000001</v>
      </c>
      <c r="BK1795" s="25">
        <f>VLOOKUP(Inventory[[#This Row],[Decade]],Lookups!$O$25:$R$42,4,FALSE)</f>
        <v>1.0074000000000001</v>
      </c>
      <c r="BL1795" s="25">
        <f>Inventory[[#This Row],[Nbhd Adj]]*0.95</f>
        <v>0.94971499999999998</v>
      </c>
      <c r="BM1795" s="25">
        <f>Inventory[[#This Row],[Nbhd Adj]]*Inventory[[#This Row],[Quality Adj]]*Inventory[[#This Row],[Condition Adj]]*Inventory[[#This Row],[Living Area Adj]]*Inventory[[#This Row],[Decade Adj]]*0.95</f>
        <v>0.97160436726197974</v>
      </c>
      <c r="BN1795" s="25">
        <f>ROUND(SUM(Inventory[[#This Row],[Mdl Qlty]:[Mdl WdDeck]])+Inventory[[#This Row],[Mdl Res Intercept]]*Inventory[[#This Row],[Res Adj ]],-2)</f>
        <v>286900</v>
      </c>
      <c r="BO1795" s="25">
        <f>ROUND(Inventory[[#This Row],[25Det]]*Inventory[[#This Row],[Det/Nbhd Adj]],-2)</f>
        <v>1700</v>
      </c>
      <c r="BP1795" s="25">
        <f>Inventory[[#This Row],[Adjusted Res]]+Inventory[[#This Row],[Adj Det ]]</f>
        <v>288600</v>
      </c>
      <c r="BQ1795" s="25">
        <f>ROUND((Inventory[[#This Row],[Mdl Land Intercept]]+Inventory[[#This Row],[Mdl LnAcres]])*Inventory[[#This Row],[Det/Nbhd Adj]],-2)</f>
        <v>26200</v>
      </c>
      <c r="BR1795" s="25">
        <f>Inventory[[#This Row],[Adjusted Impr Total]]+Inventory[[#This Row],[Adjusted Land Total]]</f>
        <v>314800</v>
      </c>
      <c r="BS1795" s="36">
        <f>IFERROR((Inventory[[#This Row],[Adjusted Impr Total]]-Inventory[[#This Row],[24Bldg]])/Inventory[[#This Row],[24Bldg]],0)</f>
        <v>0.12822517591868648</v>
      </c>
      <c r="BT1795" s="36">
        <f>(Inventory[[#This Row],[Adjusted Land Total]]-Inventory[[#This Row],[24Lnd]])/Inventory[[#This Row],[24Lnd]]</f>
        <v>-0.43043478260869567</v>
      </c>
      <c r="BU1795" s="36">
        <f>(Inventory[[#This Row],[Adjusted Total]]-Inventory[[#This Row],[24Final]])/Inventory[[#This Row],[24Final]]</f>
        <v>4.3074884029158385E-2</v>
      </c>
    </row>
    <row r="1796" spans="1:73" x14ac:dyDescent="0.3">
      <c r="A1796" s="25">
        <v>2025</v>
      </c>
      <c r="B1796" s="26" t="s">
        <v>826</v>
      </c>
      <c r="C1796" s="26">
        <f>LN(Inventory[[#This Row],[Acres]])</f>
        <v>-1.6094379124341003</v>
      </c>
      <c r="D1796" s="25">
        <v>0.2</v>
      </c>
      <c r="E1796" s="25">
        <v>8580</v>
      </c>
      <c r="F1796" s="26" t="s">
        <v>537</v>
      </c>
      <c r="G1796" s="26" t="s">
        <v>126</v>
      </c>
      <c r="H1796" s="26" t="s">
        <v>349</v>
      </c>
      <c r="I1796" s="26" t="s">
        <v>538</v>
      </c>
      <c r="J1796" s="26" t="s">
        <v>539</v>
      </c>
      <c r="K1796" s="26" t="s">
        <v>269</v>
      </c>
      <c r="L1796" s="26" t="s">
        <v>302</v>
      </c>
      <c r="M1796" s="26" t="s">
        <v>303</v>
      </c>
      <c r="N1796" s="26">
        <v>100</v>
      </c>
      <c r="O1796" s="26">
        <f>2024-Inventory[[#This Row],[YrBlt]]</f>
        <v>94</v>
      </c>
      <c r="P1796" s="26">
        <f>2024-Inventory[[#This Row],[EffYr]]</f>
        <v>54</v>
      </c>
      <c r="Q1796" s="25">
        <v>1930</v>
      </c>
      <c r="R1796" s="25">
        <v>1970</v>
      </c>
      <c r="S1796" s="25">
        <v>1460</v>
      </c>
      <c r="T1796" s="31"/>
      <c r="U1796" s="25">
        <v>966</v>
      </c>
      <c r="V1796" s="25">
        <f>Inventory[[#This Row],[Bsmt]]-Inventory[[#This Row],[FnBsmt]]</f>
        <v>0</v>
      </c>
      <c r="W1796" s="25">
        <v>966</v>
      </c>
      <c r="X1796" s="27"/>
      <c r="Y1796" s="27">
        <f>Inventory[[#This Row],[MainFn]]+Inventory[[#This Row],[UpprFn]]+Inventory[[#This Row],[FnBsmt]]+Inventory[[#This Row],[AddFn]]</f>
        <v>2426</v>
      </c>
      <c r="Z1796" s="27">
        <v>2500</v>
      </c>
      <c r="AA1796" s="25">
        <v>9</v>
      </c>
      <c r="AB1796" s="27"/>
      <c r="AC1796" s="31"/>
      <c r="AD1796" s="31"/>
      <c r="AE1796" s="27"/>
      <c r="AF1796" s="27"/>
      <c r="AG1796" s="27"/>
      <c r="AH1796" s="27"/>
      <c r="AI1796" s="25">
        <v>354616</v>
      </c>
      <c r="AJ1796" s="25">
        <v>241139</v>
      </c>
      <c r="AK1796" s="25">
        <v>5261</v>
      </c>
      <c r="AL1796" s="25">
        <v>375700</v>
      </c>
      <c r="AM1796" s="25">
        <v>58400</v>
      </c>
      <c r="AN1796" s="25">
        <v>317300</v>
      </c>
      <c r="AO1796" s="25">
        <v>0</v>
      </c>
      <c r="AP1796" s="25">
        <f>Lookups!$B$56*0</f>
        <v>0</v>
      </c>
      <c r="AQ1796" s="25">
        <f>Lookups!$B$56*1</f>
        <v>89850.625589999996</v>
      </c>
      <c r="AR1796" s="25">
        <f>Lookups!$B$57*Inventory[[#This Row],[LnAcres]]</f>
        <v>-50946.13867709865</v>
      </c>
      <c r="AS1796" s="25">
        <f>VLOOKUP(Inventory[[#This Row],[Qlty]],Lookups!$A$62:$E$75,2,FALSE)</f>
        <v>29814.093161000001</v>
      </c>
      <c r="AT1796" s="25">
        <f>VLOOKUP(Inventory[[#This Row],[Cnd]],Lookups!$A$76:$E$84,2,FALSE)</f>
        <v>197752.34721000001</v>
      </c>
      <c r="AU1796" s="25">
        <f>Inventory[[#This Row],[EffAge]]*Lookups!$B$85</f>
        <v>-12044.462427</v>
      </c>
      <c r="AV1796" s="25">
        <f>Inventory[[#This Row],[MainFn]]*Lookups!$B$86</f>
        <v>72136.65802042</v>
      </c>
      <c r="AW1796" s="25">
        <f>Inventory[[#This Row],[UpprFn]]*Lookups!$B$87</f>
        <v>0</v>
      </c>
      <c r="AX1796" s="25">
        <f>Inventory[[#This Row],[AddFn]]*Lookups!$B$88</f>
        <v>0</v>
      </c>
      <c r="AY1796" s="25">
        <f>Inventory[[#This Row],[Bsmt]]*Lookups!$B$89</f>
        <v>28093.110808601999</v>
      </c>
      <c r="AZ1796" s="25">
        <f>Inventory[[#This Row],[Fixtures]]*Lookups!$B$90</f>
        <v>34128.198946800003</v>
      </c>
      <c r="BA1796" s="25">
        <f>Inventory[[#This Row],[WdDeck]]*Lookups!$B$91</f>
        <v>0</v>
      </c>
      <c r="BB1796" s="25">
        <f>ROUND(Inventory[[#This Row],[25Det]],-2)</f>
        <v>5300</v>
      </c>
      <c r="BC1796" s="25">
        <f>ROUND(SUM(Inventory[[#This Row],[Mdl Qlty]:[Mdl WdDeck]])+Inventory[[#This Row],[Mdl Res Intercept]],-2)</f>
        <v>349900</v>
      </c>
      <c r="BD1796" s="25">
        <f>ROUND(Inventory[[#This Row],[Mdl Land Intercept]]+Inventory[[#This Row],[Mdl LnAcres]],-2)</f>
        <v>38900</v>
      </c>
      <c r="BE1796" s="25">
        <f>Inventory[[#This Row],[Unadj Res Value]]+Inventory[[#This Row],[Unadj Det Value]]+Inventory[[#This Row],[Unadj Land Value]]</f>
        <v>394100</v>
      </c>
      <c r="BF1796" s="36">
        <f>(Inventory[[#This Row],[Unadj Total Value]]-Inventory[[#This Row],[24Final]])/Inventory[[#This Row],[24Final]]</f>
        <v>4.8975246207080117E-2</v>
      </c>
      <c r="BG1796" s="25">
        <f>VLOOKUP(Inventory[[#This Row],[Nbhd]],Lookups!$Q$2:$T$4,4,FALSE)</f>
        <v>0.99970000000000003</v>
      </c>
      <c r="BH1796" s="25">
        <f>VLOOKUP(Inventory[[#This Row],[Qlty]],Lookups!$O$7:$R$21,4,FALSE)</f>
        <v>1.0088999999999999</v>
      </c>
      <c r="BI1796" s="25">
        <f>VLOOKUP(Inventory[[#This Row],[Cnd]],Lookups!$T$7:$W$16,4,FALSE)</f>
        <v>0.99650000000000005</v>
      </c>
      <c r="BJ1796" s="25">
        <f>VLOOKUP(Inventory[[#This Row],[LivArea Range]],Lookups!$T$25:$W$37,4,FALSE)</f>
        <v>0.98919999999999997</v>
      </c>
      <c r="BK1796" s="25">
        <f>VLOOKUP(Inventory[[#This Row],[Decade]],Lookups!$O$25:$R$42,4,FALSE)</f>
        <v>1.0074000000000001</v>
      </c>
      <c r="BL1796" s="25">
        <f>Inventory[[#This Row],[Nbhd Adj]]*0.95</f>
        <v>0.94971499999999998</v>
      </c>
      <c r="BM1796" s="25">
        <f>Inventory[[#This Row],[Nbhd Adj]]*Inventory[[#This Row],[Quality Adj]]*Inventory[[#This Row],[Condition Adj]]*Inventory[[#This Row],[Living Area Adj]]*Inventory[[#This Row],[Decade Adj]]*0.95</f>
        <v>0.95149120146958555</v>
      </c>
      <c r="BN1796" s="25">
        <f>ROUND(SUM(Inventory[[#This Row],[Mdl Qlty]:[Mdl WdDeck]])+Inventory[[#This Row],[Mdl Res Intercept]]*Inventory[[#This Row],[Res Adj ]],-2)</f>
        <v>349900</v>
      </c>
      <c r="BO1796" s="25">
        <f>ROUND(Inventory[[#This Row],[25Det]]*Inventory[[#This Row],[Det/Nbhd Adj]],-2)</f>
        <v>5000</v>
      </c>
      <c r="BP1796" s="25">
        <f>Inventory[[#This Row],[Adjusted Res]]+Inventory[[#This Row],[Adj Det ]]</f>
        <v>354900</v>
      </c>
      <c r="BQ1796" s="25">
        <f>ROUND((Inventory[[#This Row],[Mdl Land Intercept]]+Inventory[[#This Row],[Mdl LnAcres]])*Inventory[[#This Row],[Det/Nbhd Adj]],-2)</f>
        <v>36900</v>
      </c>
      <c r="BR1796" s="25">
        <f>Inventory[[#This Row],[Adjusted Impr Total]]+Inventory[[#This Row],[Adjusted Land Total]]</f>
        <v>391800</v>
      </c>
      <c r="BS1796" s="36">
        <f>IFERROR((Inventory[[#This Row],[Adjusted Impr Total]]-Inventory[[#This Row],[24Bldg]])/Inventory[[#This Row],[24Bldg]],0)</f>
        <v>0.11849984242042232</v>
      </c>
      <c r="BT1796" s="36">
        <f>(Inventory[[#This Row],[Adjusted Land Total]]-Inventory[[#This Row],[24Lnd]])/Inventory[[#This Row],[24Lnd]]</f>
        <v>-0.36815068493150682</v>
      </c>
      <c r="BU1796" s="36">
        <f>(Inventory[[#This Row],[Adjusted Total]]-Inventory[[#This Row],[24Final]])/Inventory[[#This Row],[24Final]]</f>
        <v>4.2853340431195104E-2</v>
      </c>
    </row>
    <row r="1797" spans="1:73" x14ac:dyDescent="0.3">
      <c r="A1797" s="25">
        <v>2025</v>
      </c>
      <c r="B1797" s="26" t="s">
        <v>740</v>
      </c>
      <c r="C1797" s="26">
        <f>LN(Inventory[[#This Row],[Acres]])</f>
        <v>-1.6607312068216509</v>
      </c>
      <c r="D1797" s="25">
        <v>0.19</v>
      </c>
      <c r="E1797" s="25">
        <v>8218</v>
      </c>
      <c r="F1797" s="26" t="s">
        <v>537</v>
      </c>
      <c r="G1797" s="26" t="s">
        <v>126</v>
      </c>
      <c r="H1797" s="26" t="s">
        <v>349</v>
      </c>
      <c r="I1797" s="26" t="s">
        <v>538</v>
      </c>
      <c r="J1797" s="26" t="s">
        <v>539</v>
      </c>
      <c r="K1797" s="26" t="s">
        <v>242</v>
      </c>
      <c r="L1797" s="26" t="s">
        <v>351</v>
      </c>
      <c r="M1797" s="26" t="s">
        <v>323</v>
      </c>
      <c r="N1797" s="26">
        <v>100</v>
      </c>
      <c r="O1797" s="26">
        <f>2024-Inventory[[#This Row],[YrBlt]]</f>
        <v>94</v>
      </c>
      <c r="P1797" s="26">
        <f>2024-Inventory[[#This Row],[EffYr]]</f>
        <v>54</v>
      </c>
      <c r="Q1797" s="25">
        <v>1930</v>
      </c>
      <c r="R1797" s="25">
        <v>1970</v>
      </c>
      <c r="S1797" s="25">
        <v>966</v>
      </c>
      <c r="T1797" s="31"/>
      <c r="U1797" s="25">
        <v>966</v>
      </c>
      <c r="V1797" s="25">
        <f>Inventory[[#This Row],[Bsmt]]-Inventory[[#This Row],[FnBsmt]]</f>
        <v>483</v>
      </c>
      <c r="W1797" s="25">
        <v>483</v>
      </c>
      <c r="X1797" s="31"/>
      <c r="Y1797" s="31">
        <f>Inventory[[#This Row],[MainFn]]+Inventory[[#This Row],[UpprFn]]+Inventory[[#This Row],[FnBsmt]]+Inventory[[#This Row],[AddFn]]</f>
        <v>1449</v>
      </c>
      <c r="Z1797" s="27">
        <v>1500</v>
      </c>
      <c r="AA1797" s="25">
        <v>5</v>
      </c>
      <c r="AB1797" s="25">
        <v>336</v>
      </c>
      <c r="AC1797" s="27"/>
      <c r="AD1797" s="31"/>
      <c r="AE1797" s="27"/>
      <c r="AF1797" s="27"/>
      <c r="AG1797" s="27"/>
      <c r="AH1797" s="27"/>
      <c r="AI1797" s="25">
        <v>237152</v>
      </c>
      <c r="AJ1797" s="25">
        <v>156520</v>
      </c>
      <c r="AK1797" s="25">
        <v>0</v>
      </c>
      <c r="AL1797" s="25">
        <v>287900</v>
      </c>
      <c r="AM1797" s="25">
        <v>56600</v>
      </c>
      <c r="AN1797" s="25">
        <v>231300</v>
      </c>
      <c r="AO1797" s="25">
        <v>0</v>
      </c>
      <c r="AP1797" s="25">
        <f>Lookups!$B$56*0</f>
        <v>0</v>
      </c>
      <c r="AQ1797" s="25">
        <f>Lookups!$B$56*1</f>
        <v>89850.625589999996</v>
      </c>
      <c r="AR1797" s="25">
        <f>Lookups!$B$57*Inventory[[#This Row],[LnAcres]]</f>
        <v>-52569.808201026557</v>
      </c>
      <c r="AS1797" s="25">
        <f>VLOOKUP(Inventory[[#This Row],[Qlty]],Lookups!$A$62:$E$75,2,FALSE)</f>
        <v>21557.329055999999</v>
      </c>
      <c r="AT1797" s="25">
        <f>VLOOKUP(Inventory[[#This Row],[Cnd]],Lookups!$A$76:$E$84,2,FALSE)</f>
        <v>160472.20319</v>
      </c>
      <c r="AU1797" s="25">
        <f>Inventory[[#This Row],[EffAge]]*Lookups!$B$85</f>
        <v>-12044.462427</v>
      </c>
      <c r="AV1797" s="25">
        <f>Inventory[[#This Row],[MainFn]]*Lookups!$B$86</f>
        <v>47728.775101182</v>
      </c>
      <c r="AW1797" s="25">
        <f>Inventory[[#This Row],[UpprFn]]*Lookups!$B$87</f>
        <v>0</v>
      </c>
      <c r="AX1797" s="25">
        <f>Inventory[[#This Row],[AddFn]]*Lookups!$B$88</f>
        <v>0</v>
      </c>
      <c r="AY1797" s="25">
        <f>Inventory[[#This Row],[Bsmt]]*Lookups!$B$89</f>
        <v>28093.110808601999</v>
      </c>
      <c r="AZ1797" s="25">
        <f>Inventory[[#This Row],[Fixtures]]*Lookups!$B$90</f>
        <v>18960.110526</v>
      </c>
      <c r="BA1797" s="25">
        <f>Inventory[[#This Row],[WdDeck]]*Lookups!$B$91</f>
        <v>0</v>
      </c>
      <c r="BB1797" s="25">
        <f>ROUND(Inventory[[#This Row],[25Det]],-2)</f>
        <v>0</v>
      </c>
      <c r="BC1797" s="25">
        <f>ROUND(SUM(Inventory[[#This Row],[Mdl Qlty]:[Mdl WdDeck]])+Inventory[[#This Row],[Mdl Res Intercept]],-2)</f>
        <v>264800</v>
      </c>
      <c r="BD1797" s="25">
        <f>ROUND(Inventory[[#This Row],[Mdl Land Intercept]]+Inventory[[#This Row],[Mdl LnAcres]],-2)</f>
        <v>37300</v>
      </c>
      <c r="BE1797" s="25">
        <f>Inventory[[#This Row],[Unadj Res Value]]+Inventory[[#This Row],[Unadj Det Value]]+Inventory[[#This Row],[Unadj Land Value]]</f>
        <v>302100</v>
      </c>
      <c r="BF1797" s="36">
        <f>(Inventory[[#This Row],[Unadj Total Value]]-Inventory[[#This Row],[24Final]])/Inventory[[#This Row],[24Final]]</f>
        <v>4.9322681486627301E-2</v>
      </c>
      <c r="BG1797" s="25">
        <f>VLOOKUP(Inventory[[#This Row],[Nbhd]],Lookups!$Q$2:$T$4,4,FALSE)</f>
        <v>0.99970000000000003</v>
      </c>
      <c r="BH1797" s="25">
        <f>VLOOKUP(Inventory[[#This Row],[Qlty]],Lookups!$O$7:$R$21,4,FALSE)</f>
        <v>1.0067999999999999</v>
      </c>
      <c r="BI1797" s="25">
        <f>VLOOKUP(Inventory[[#This Row],[Cnd]],Lookups!$T$7:$W$16,4,FALSE)</f>
        <v>0.99729999999999996</v>
      </c>
      <c r="BJ1797" s="25">
        <f>VLOOKUP(Inventory[[#This Row],[LivArea Range]],Lookups!$T$25:$W$37,4,FALSE)</f>
        <v>1.0157</v>
      </c>
      <c r="BK1797" s="25">
        <f>VLOOKUP(Inventory[[#This Row],[Decade]],Lookups!$O$25:$R$42,4,FALSE)</f>
        <v>1.0074000000000001</v>
      </c>
      <c r="BL1797" s="25">
        <f>Inventory[[#This Row],[Nbhd Adj]]*0.95</f>
        <v>0.94971499999999998</v>
      </c>
      <c r="BM1797" s="25">
        <f>Inventory[[#This Row],[Nbhd Adj]]*Inventory[[#This Row],[Quality Adj]]*Inventory[[#This Row],[Condition Adj]]*Inventory[[#This Row],[Living Area Adj]]*Inventory[[#This Row],[Decade Adj]]*0.95</f>
        <v>0.97573014419916293</v>
      </c>
      <c r="BN1797" s="25">
        <f>ROUND(SUM(Inventory[[#This Row],[Mdl Qlty]:[Mdl WdDeck]])+Inventory[[#This Row],[Mdl Res Intercept]]*Inventory[[#This Row],[Res Adj ]],-2)</f>
        <v>264800</v>
      </c>
      <c r="BO1797" s="25">
        <f>ROUND(Inventory[[#This Row],[25Det]]*Inventory[[#This Row],[Det/Nbhd Adj]],-2)</f>
        <v>0</v>
      </c>
      <c r="BP1797" s="25">
        <f>Inventory[[#This Row],[Adjusted Res]]+Inventory[[#This Row],[Adj Det ]]</f>
        <v>264800</v>
      </c>
      <c r="BQ1797" s="25">
        <f>ROUND((Inventory[[#This Row],[Mdl Land Intercept]]+Inventory[[#This Row],[Mdl LnAcres]])*Inventory[[#This Row],[Det/Nbhd Adj]],-2)</f>
        <v>35400</v>
      </c>
      <c r="BR1797" s="25">
        <f>Inventory[[#This Row],[Adjusted Impr Total]]+Inventory[[#This Row],[Adjusted Land Total]]</f>
        <v>300200</v>
      </c>
      <c r="BS1797" s="36">
        <f>IFERROR((Inventory[[#This Row],[Adjusted Impr Total]]-Inventory[[#This Row],[24Bldg]])/Inventory[[#This Row],[24Bldg]],0)</f>
        <v>0.14483354950281022</v>
      </c>
      <c r="BT1797" s="36">
        <f>(Inventory[[#This Row],[Adjusted Land Total]]-Inventory[[#This Row],[24Lnd]])/Inventory[[#This Row],[24Lnd]]</f>
        <v>-0.37455830388692579</v>
      </c>
      <c r="BU1797" s="36">
        <f>(Inventory[[#This Row],[Adjusted Total]]-Inventory[[#This Row],[24Final]])/Inventory[[#This Row],[24Final]]</f>
        <v>4.2723167766585621E-2</v>
      </c>
    </row>
    <row r="1798" spans="1:73" x14ac:dyDescent="0.3">
      <c r="A1798" s="25">
        <v>2025</v>
      </c>
      <c r="B1798" s="26" t="s">
        <v>2047</v>
      </c>
      <c r="C1798" s="26">
        <f>LN(Inventory[[#This Row],[Acres]])</f>
        <v>-1.5141277326297755</v>
      </c>
      <c r="D1798" s="25">
        <v>0.22</v>
      </c>
      <c r="E1798" s="31"/>
      <c r="F1798" s="26" t="s">
        <v>537</v>
      </c>
      <c r="G1798" s="26" t="s">
        <v>126</v>
      </c>
      <c r="H1798" s="26" t="s">
        <v>349</v>
      </c>
      <c r="I1798" s="26" t="s">
        <v>538</v>
      </c>
      <c r="J1798" s="26" t="s">
        <v>539</v>
      </c>
      <c r="K1798" s="26" t="s">
        <v>269</v>
      </c>
      <c r="L1798" s="26" t="s">
        <v>351</v>
      </c>
      <c r="M1798" s="26" t="s">
        <v>303</v>
      </c>
      <c r="N1798" s="26">
        <v>100</v>
      </c>
      <c r="O1798" s="26">
        <f>2024-Inventory[[#This Row],[YrBlt]]</f>
        <v>94</v>
      </c>
      <c r="P1798" s="26">
        <f>2024-Inventory[[#This Row],[EffYr]]</f>
        <v>54</v>
      </c>
      <c r="Q1798" s="25">
        <v>1930</v>
      </c>
      <c r="R1798" s="25">
        <v>1970</v>
      </c>
      <c r="S1798" s="25">
        <v>1176</v>
      </c>
      <c r="T1798" s="27"/>
      <c r="U1798" s="25">
        <v>1050</v>
      </c>
      <c r="V1798" s="25">
        <f>Inventory[[#This Row],[Bsmt]]-Inventory[[#This Row],[FnBsmt]]</f>
        <v>0</v>
      </c>
      <c r="W1798" s="25">
        <v>1050</v>
      </c>
      <c r="X1798" s="27"/>
      <c r="Y1798" s="27">
        <f>Inventory[[#This Row],[MainFn]]+Inventory[[#This Row],[UpprFn]]+Inventory[[#This Row],[FnBsmt]]+Inventory[[#This Row],[AddFn]]</f>
        <v>2226</v>
      </c>
      <c r="Z1798" s="27">
        <v>2500</v>
      </c>
      <c r="AA1798" s="25">
        <v>6</v>
      </c>
      <c r="AB1798" s="27"/>
      <c r="AC1798" s="27"/>
      <c r="AD1798" s="27"/>
      <c r="AE1798" s="27"/>
      <c r="AF1798" s="27"/>
      <c r="AG1798" s="27"/>
      <c r="AH1798" s="27"/>
      <c r="AI1798" s="25">
        <v>279233</v>
      </c>
      <c r="AJ1798" s="25">
        <v>189878</v>
      </c>
      <c r="AK1798" s="25">
        <v>4340</v>
      </c>
      <c r="AL1798" s="25">
        <v>347900</v>
      </c>
      <c r="AM1798" s="25">
        <v>61700</v>
      </c>
      <c r="AN1798" s="25">
        <v>286200</v>
      </c>
      <c r="AO1798" s="25">
        <v>0</v>
      </c>
      <c r="AP1798" s="25">
        <f>Lookups!$B$56*0</f>
        <v>0</v>
      </c>
      <c r="AQ1798" s="25">
        <f>Lookups!$B$56*1</f>
        <v>89850.625589999996</v>
      </c>
      <c r="AR1798" s="25">
        <f>Lookups!$B$57*Inventory[[#This Row],[LnAcres]]</f>
        <v>-47929.131559187132</v>
      </c>
      <c r="AS1798" s="25">
        <f>VLOOKUP(Inventory[[#This Row],[Qlty]],Lookups!$A$62:$E$75,2,FALSE)</f>
        <v>21557.329055999999</v>
      </c>
      <c r="AT1798" s="25">
        <f>VLOOKUP(Inventory[[#This Row],[Cnd]],Lookups!$A$76:$E$84,2,FALSE)</f>
        <v>197752.34721000001</v>
      </c>
      <c r="AU1798" s="25">
        <f>Inventory[[#This Row],[EffAge]]*Lookups!$B$85</f>
        <v>-12044.462427</v>
      </c>
      <c r="AV1798" s="25">
        <f>Inventory[[#This Row],[MainFn]]*Lookups!$B$86</f>
        <v>58104.595775351998</v>
      </c>
      <c r="AW1798" s="25">
        <f>Inventory[[#This Row],[UpprFn]]*Lookups!$B$87</f>
        <v>0</v>
      </c>
      <c r="AX1798" s="25">
        <f>Inventory[[#This Row],[AddFn]]*Lookups!$B$88</f>
        <v>0</v>
      </c>
      <c r="AY1798" s="25">
        <f>Inventory[[#This Row],[Bsmt]]*Lookups!$B$89</f>
        <v>30535.99000935</v>
      </c>
      <c r="AZ1798" s="25">
        <f>Inventory[[#This Row],[Fixtures]]*Lookups!$B$90</f>
        <v>22752.132631200002</v>
      </c>
      <c r="BA1798" s="25">
        <f>Inventory[[#This Row],[WdDeck]]*Lookups!$B$91</f>
        <v>0</v>
      </c>
      <c r="BB1798" s="25">
        <f>ROUND(Inventory[[#This Row],[25Det]],-2)</f>
        <v>4300</v>
      </c>
      <c r="BC1798" s="25">
        <f>ROUND(SUM(Inventory[[#This Row],[Mdl Qlty]:[Mdl WdDeck]])+Inventory[[#This Row],[Mdl Res Intercept]],-2)</f>
        <v>318700</v>
      </c>
      <c r="BD1798" s="25">
        <f>ROUND(Inventory[[#This Row],[Mdl Land Intercept]]+Inventory[[#This Row],[Mdl LnAcres]],-2)</f>
        <v>41900</v>
      </c>
      <c r="BE1798" s="25">
        <f>Inventory[[#This Row],[Unadj Res Value]]+Inventory[[#This Row],[Unadj Det Value]]+Inventory[[#This Row],[Unadj Land Value]]</f>
        <v>364900</v>
      </c>
      <c r="BF1798" s="36">
        <f>(Inventory[[#This Row],[Unadj Total Value]]-Inventory[[#This Row],[24Final]])/Inventory[[#This Row],[24Final]]</f>
        <v>4.8864616269042829E-2</v>
      </c>
      <c r="BG1798" s="25">
        <f>VLOOKUP(Inventory[[#This Row],[Nbhd]],Lookups!$Q$2:$T$4,4,FALSE)</f>
        <v>0.99970000000000003</v>
      </c>
      <c r="BH1798" s="25">
        <f>VLOOKUP(Inventory[[#This Row],[Qlty]],Lookups!$O$7:$R$21,4,FALSE)</f>
        <v>1.0067999999999999</v>
      </c>
      <c r="BI1798" s="25">
        <f>VLOOKUP(Inventory[[#This Row],[Cnd]],Lookups!$T$7:$W$16,4,FALSE)</f>
        <v>0.99650000000000005</v>
      </c>
      <c r="BJ1798" s="25">
        <f>VLOOKUP(Inventory[[#This Row],[LivArea Range]],Lookups!$T$25:$W$37,4,FALSE)</f>
        <v>0.98919999999999997</v>
      </c>
      <c r="BK1798" s="25">
        <f>VLOOKUP(Inventory[[#This Row],[Decade]],Lookups!$O$25:$R$42,4,FALSE)</f>
        <v>1.0074000000000001</v>
      </c>
      <c r="BL1798" s="25">
        <f>Inventory[[#This Row],[Nbhd Adj]]*0.95</f>
        <v>0.94971499999999998</v>
      </c>
      <c r="BM1798" s="25">
        <f>Inventory[[#This Row],[Nbhd Adj]]*Inventory[[#This Row],[Quality Adj]]*Inventory[[#This Row],[Condition Adj]]*Inventory[[#This Row],[Living Area Adj]]*Inventory[[#This Row],[Decade Adj]]*0.95</f>
        <v>0.94951069644125163</v>
      </c>
      <c r="BN1798" s="25">
        <f>ROUND(SUM(Inventory[[#This Row],[Mdl Qlty]:[Mdl WdDeck]])+Inventory[[#This Row],[Mdl Res Intercept]]*Inventory[[#This Row],[Res Adj ]],-2)</f>
        <v>318700</v>
      </c>
      <c r="BO1798" s="25">
        <f>ROUND(Inventory[[#This Row],[25Det]]*Inventory[[#This Row],[Det/Nbhd Adj]],-2)</f>
        <v>4100</v>
      </c>
      <c r="BP1798" s="25">
        <f>Inventory[[#This Row],[Adjusted Res]]+Inventory[[#This Row],[Adj Det ]]</f>
        <v>322800</v>
      </c>
      <c r="BQ1798" s="25">
        <f>ROUND((Inventory[[#This Row],[Mdl Land Intercept]]+Inventory[[#This Row],[Mdl LnAcres]])*Inventory[[#This Row],[Det/Nbhd Adj]],-2)</f>
        <v>39800</v>
      </c>
      <c r="BR1798" s="25">
        <f>Inventory[[#This Row],[Adjusted Impr Total]]+Inventory[[#This Row],[Adjusted Land Total]]</f>
        <v>362600</v>
      </c>
      <c r="BS1798" s="36">
        <f>IFERROR((Inventory[[#This Row],[Adjusted Impr Total]]-Inventory[[#This Row],[24Bldg]])/Inventory[[#This Row],[24Bldg]],0)</f>
        <v>0.1278825995807128</v>
      </c>
      <c r="BT1798" s="36">
        <f>(Inventory[[#This Row],[Adjusted Land Total]]-Inventory[[#This Row],[24Lnd]])/Inventory[[#This Row],[24Lnd]]</f>
        <v>-0.35494327390599678</v>
      </c>
      <c r="BU1798" s="36">
        <f>(Inventory[[#This Row],[Adjusted Total]]-Inventory[[#This Row],[24Final]])/Inventory[[#This Row],[24Final]]</f>
        <v>4.2253521126760563E-2</v>
      </c>
    </row>
    <row r="1799" spans="1:73" x14ac:dyDescent="0.3">
      <c r="A1799" s="25">
        <v>2025</v>
      </c>
      <c r="B1799" s="26" t="s">
        <v>2232</v>
      </c>
      <c r="C1799" s="26">
        <f>LN(Inventory[[#This Row],[Acres]])</f>
        <v>-1.7719568419318752</v>
      </c>
      <c r="D1799" s="25">
        <v>0.17</v>
      </c>
      <c r="E1799" s="25">
        <v>7588</v>
      </c>
      <c r="F1799" s="26" t="s">
        <v>537</v>
      </c>
      <c r="G1799" s="26" t="s">
        <v>126</v>
      </c>
      <c r="H1799" s="26" t="s">
        <v>349</v>
      </c>
      <c r="I1799" s="26" t="s">
        <v>538</v>
      </c>
      <c r="J1799" s="26" t="s">
        <v>539</v>
      </c>
      <c r="K1799" s="26" t="s">
        <v>269</v>
      </c>
      <c r="L1799" s="26" t="s">
        <v>351</v>
      </c>
      <c r="M1799" s="26" t="s">
        <v>323</v>
      </c>
      <c r="N1799" s="26">
        <v>100</v>
      </c>
      <c r="O1799" s="26">
        <f>2024-Inventory[[#This Row],[YrBlt]]</f>
        <v>94</v>
      </c>
      <c r="P1799" s="26">
        <f>2024-Inventory[[#This Row],[EffYr]]</f>
        <v>54</v>
      </c>
      <c r="Q1799" s="25">
        <v>1930</v>
      </c>
      <c r="R1799" s="25">
        <v>1970</v>
      </c>
      <c r="S1799" s="25">
        <v>1362</v>
      </c>
      <c r="T1799" s="27"/>
      <c r="U1799" s="25">
        <v>1022</v>
      </c>
      <c r="V1799" s="25">
        <f>Inventory[[#This Row],[Bsmt]]-Inventory[[#This Row],[FnBsmt]]</f>
        <v>0</v>
      </c>
      <c r="W1799" s="25">
        <v>1022</v>
      </c>
      <c r="X1799" s="27"/>
      <c r="Y1799" s="27">
        <f>Inventory[[#This Row],[MainFn]]+Inventory[[#This Row],[UpprFn]]+Inventory[[#This Row],[FnBsmt]]+Inventory[[#This Row],[AddFn]]</f>
        <v>2384</v>
      </c>
      <c r="Z1799" s="27">
        <v>2500</v>
      </c>
      <c r="AA1799" s="25">
        <v>8</v>
      </c>
      <c r="AB1799" s="27"/>
      <c r="AC1799" s="31"/>
      <c r="AD1799" s="25">
        <v>396</v>
      </c>
      <c r="AE1799" s="27"/>
      <c r="AF1799" s="27"/>
      <c r="AG1799" s="27"/>
      <c r="AH1799" s="27"/>
      <c r="AI1799" s="25">
        <v>315357</v>
      </c>
      <c r="AJ1799" s="25">
        <v>208136</v>
      </c>
      <c r="AK1799" s="25">
        <v>5261</v>
      </c>
      <c r="AL1799" s="25">
        <v>333900</v>
      </c>
      <c r="AM1799" s="25">
        <v>52700</v>
      </c>
      <c r="AN1799" s="25">
        <v>281200</v>
      </c>
      <c r="AO1799" s="25">
        <v>0</v>
      </c>
      <c r="AP1799" s="25">
        <f>Lookups!$B$56*0</f>
        <v>0</v>
      </c>
      <c r="AQ1799" s="25">
        <f>Lookups!$B$56*1</f>
        <v>89850.625589999996</v>
      </c>
      <c r="AR1799" s="25">
        <f>Lookups!$B$57*Inventory[[#This Row],[LnAcres]]</f>
        <v>-56090.612940989391</v>
      </c>
      <c r="AS1799" s="25">
        <f>VLOOKUP(Inventory[[#This Row],[Qlty]],Lookups!$A$62:$E$75,2,FALSE)</f>
        <v>21557.329055999999</v>
      </c>
      <c r="AT1799" s="25">
        <f>VLOOKUP(Inventory[[#This Row],[Cnd]],Lookups!$A$76:$E$84,2,FALSE)</f>
        <v>160472.20319</v>
      </c>
      <c r="AU1799" s="25">
        <f>Inventory[[#This Row],[EffAge]]*Lookups!$B$85</f>
        <v>-12044.462427</v>
      </c>
      <c r="AV1799" s="25">
        <f>Inventory[[#This Row],[MainFn]]*Lookups!$B$86</f>
        <v>67294.608372474002</v>
      </c>
      <c r="AW1799" s="25">
        <f>Inventory[[#This Row],[UpprFn]]*Lookups!$B$87</f>
        <v>0</v>
      </c>
      <c r="AX1799" s="25">
        <f>Inventory[[#This Row],[AddFn]]*Lookups!$B$88</f>
        <v>0</v>
      </c>
      <c r="AY1799" s="25">
        <f>Inventory[[#This Row],[Bsmt]]*Lookups!$B$89</f>
        <v>29721.696942433999</v>
      </c>
      <c r="AZ1799" s="25">
        <f>Inventory[[#This Row],[Fixtures]]*Lookups!$B$90</f>
        <v>30336.176841600001</v>
      </c>
      <c r="BA1799" s="25">
        <f>Inventory[[#This Row],[WdDeck]]*Lookups!$B$91</f>
        <v>13185.024049296002</v>
      </c>
      <c r="BB1799" s="25">
        <f>ROUND(Inventory[[#This Row],[25Det]],-2)</f>
        <v>5300</v>
      </c>
      <c r="BC1799" s="25">
        <f>ROUND(SUM(Inventory[[#This Row],[Mdl Qlty]:[Mdl WdDeck]])+Inventory[[#This Row],[Mdl Res Intercept]],-2)</f>
        <v>310500</v>
      </c>
      <c r="BD1799" s="25">
        <f>ROUND(Inventory[[#This Row],[Mdl Land Intercept]]+Inventory[[#This Row],[Mdl LnAcres]],-2)</f>
        <v>33800</v>
      </c>
      <c r="BE1799" s="25">
        <f>Inventory[[#This Row],[Unadj Res Value]]+Inventory[[#This Row],[Unadj Det Value]]+Inventory[[#This Row],[Unadj Land Value]]</f>
        <v>349600</v>
      </c>
      <c r="BF1799" s="36">
        <f>(Inventory[[#This Row],[Unadj Total Value]]-Inventory[[#This Row],[24Final]])/Inventory[[#This Row],[24Final]]</f>
        <v>4.7020065887990417E-2</v>
      </c>
      <c r="BG1799" s="25">
        <f>VLOOKUP(Inventory[[#This Row],[Nbhd]],Lookups!$Q$2:$T$4,4,FALSE)</f>
        <v>0.99970000000000003</v>
      </c>
      <c r="BH1799" s="25">
        <f>VLOOKUP(Inventory[[#This Row],[Qlty]],Lookups!$O$7:$R$21,4,FALSE)</f>
        <v>1.0067999999999999</v>
      </c>
      <c r="BI1799" s="25">
        <f>VLOOKUP(Inventory[[#This Row],[Cnd]],Lookups!$T$7:$W$16,4,FALSE)</f>
        <v>0.99729999999999996</v>
      </c>
      <c r="BJ1799" s="25">
        <f>VLOOKUP(Inventory[[#This Row],[LivArea Range]],Lookups!$T$25:$W$37,4,FALSE)</f>
        <v>0.98919999999999997</v>
      </c>
      <c r="BK1799" s="25">
        <f>VLOOKUP(Inventory[[#This Row],[Decade]],Lookups!$O$25:$R$42,4,FALSE)</f>
        <v>1.0074000000000001</v>
      </c>
      <c r="BL1799" s="25">
        <f>Inventory[[#This Row],[Nbhd Adj]]*0.95</f>
        <v>0.94971499999999998</v>
      </c>
      <c r="BM1799" s="25">
        <f>Inventory[[#This Row],[Nbhd Adj]]*Inventory[[#This Row],[Quality Adj]]*Inventory[[#This Row],[Condition Adj]]*Inventory[[#This Row],[Living Area Adj]]*Inventory[[#This Row],[Decade Adj]]*0.95</f>
        <v>0.95027297296624202</v>
      </c>
      <c r="BN1799" s="25">
        <f>ROUND(SUM(Inventory[[#This Row],[Mdl Qlty]:[Mdl WdDeck]])+Inventory[[#This Row],[Mdl Res Intercept]]*Inventory[[#This Row],[Res Adj ]],-2)</f>
        <v>310500</v>
      </c>
      <c r="BO1799" s="25">
        <f>ROUND(Inventory[[#This Row],[25Det]]*Inventory[[#This Row],[Det/Nbhd Adj]],-2)</f>
        <v>5000</v>
      </c>
      <c r="BP1799" s="25">
        <f>Inventory[[#This Row],[Adjusted Res]]+Inventory[[#This Row],[Adj Det ]]</f>
        <v>315500</v>
      </c>
      <c r="BQ1799" s="25">
        <f>ROUND((Inventory[[#This Row],[Mdl Land Intercept]]+Inventory[[#This Row],[Mdl LnAcres]])*Inventory[[#This Row],[Det/Nbhd Adj]],-2)</f>
        <v>32100</v>
      </c>
      <c r="BR1799" s="25">
        <f>Inventory[[#This Row],[Adjusted Impr Total]]+Inventory[[#This Row],[Adjusted Land Total]]</f>
        <v>347600</v>
      </c>
      <c r="BS1799" s="36">
        <f>IFERROR((Inventory[[#This Row],[Adjusted Impr Total]]-Inventory[[#This Row],[24Bldg]])/Inventory[[#This Row],[24Bldg]],0)</f>
        <v>0.12197724039829302</v>
      </c>
      <c r="BT1799" s="36">
        <f>(Inventory[[#This Row],[Adjusted Land Total]]-Inventory[[#This Row],[24Lnd]])/Inventory[[#This Row],[24Lnd]]</f>
        <v>-0.39089184060721061</v>
      </c>
      <c r="BU1799" s="36">
        <f>(Inventory[[#This Row],[Adjusted Total]]-Inventory[[#This Row],[24Final]])/Inventory[[#This Row],[24Final]]</f>
        <v>4.1030248577418389E-2</v>
      </c>
    </row>
    <row r="1800" spans="1:73" x14ac:dyDescent="0.3">
      <c r="A1800" s="25">
        <v>2025</v>
      </c>
      <c r="B1800" s="26" t="s">
        <v>1192</v>
      </c>
      <c r="C1800" s="26">
        <f>LN(Inventory[[#This Row],[Acres]])</f>
        <v>-1.4696759700589417</v>
      </c>
      <c r="D1800" s="25">
        <v>0.23</v>
      </c>
      <c r="E1800" s="25">
        <v>9828</v>
      </c>
      <c r="F1800" s="26" t="s">
        <v>537</v>
      </c>
      <c r="G1800" s="26" t="s">
        <v>126</v>
      </c>
      <c r="H1800" s="26" t="s">
        <v>349</v>
      </c>
      <c r="I1800" s="26" t="s">
        <v>538</v>
      </c>
      <c r="J1800" s="26" t="s">
        <v>539</v>
      </c>
      <c r="K1800" s="26" t="s">
        <v>417</v>
      </c>
      <c r="L1800" s="26" t="s">
        <v>148</v>
      </c>
      <c r="M1800" s="26" t="s">
        <v>303</v>
      </c>
      <c r="N1800" s="26">
        <v>100</v>
      </c>
      <c r="O1800" s="26">
        <f>2024-Inventory[[#This Row],[YrBlt]]</f>
        <v>94</v>
      </c>
      <c r="P1800" s="26">
        <f>2024-Inventory[[#This Row],[EffYr]]</f>
        <v>54</v>
      </c>
      <c r="Q1800" s="25">
        <v>1930</v>
      </c>
      <c r="R1800" s="25">
        <v>1970</v>
      </c>
      <c r="S1800" s="25">
        <v>1661</v>
      </c>
      <c r="T1800" s="25">
        <v>828</v>
      </c>
      <c r="U1800" s="25">
        <v>1661</v>
      </c>
      <c r="V1800" s="25">
        <f>Inventory[[#This Row],[Bsmt]]-Inventory[[#This Row],[FnBsmt]]</f>
        <v>0</v>
      </c>
      <c r="W1800" s="25">
        <v>1661</v>
      </c>
      <c r="X1800" s="27"/>
      <c r="Y1800" s="27">
        <f>Inventory[[#This Row],[MainFn]]+Inventory[[#This Row],[UpprFn]]+Inventory[[#This Row],[FnBsmt]]+Inventory[[#This Row],[AddFn]]</f>
        <v>4150</v>
      </c>
      <c r="Z1800" s="27">
        <v>4500</v>
      </c>
      <c r="AA1800" s="25">
        <v>12</v>
      </c>
      <c r="AB1800" s="27"/>
      <c r="AC1800" s="31"/>
      <c r="AD1800" s="27"/>
      <c r="AE1800" s="27"/>
      <c r="AF1800" s="27"/>
      <c r="AG1800" s="27"/>
      <c r="AH1800" s="27"/>
      <c r="AI1800" s="25">
        <v>692752</v>
      </c>
      <c r="AJ1800" s="25">
        <v>471071</v>
      </c>
      <c r="AK1800" s="25">
        <v>13177</v>
      </c>
      <c r="AL1800" s="25">
        <v>477300</v>
      </c>
      <c r="AM1800" s="25">
        <v>63300</v>
      </c>
      <c r="AN1800" s="25">
        <v>414000</v>
      </c>
      <c r="AO1800" s="25">
        <v>0</v>
      </c>
      <c r="AP1800" s="25">
        <f>Lookups!$B$56*0</f>
        <v>0</v>
      </c>
      <c r="AQ1800" s="25">
        <f>Lookups!$B$56*1</f>
        <v>89850.625589999996</v>
      </c>
      <c r="AR1800" s="25">
        <f>Lookups!$B$57*Inventory[[#This Row],[LnAcres]]</f>
        <v>-46522.028095997222</v>
      </c>
      <c r="AS1800" s="25">
        <f>VLOOKUP(Inventory[[#This Row],[Qlty]],Lookups!$A$62:$E$75,2,FALSE)</f>
        <v>44121.038090000002</v>
      </c>
      <c r="AT1800" s="25">
        <f>VLOOKUP(Inventory[[#This Row],[Cnd]],Lookups!$A$76:$E$84,2,FALSE)</f>
        <v>197752.34721000001</v>
      </c>
      <c r="AU1800" s="25">
        <f>Inventory[[#This Row],[EffAge]]*Lookups!$B$85</f>
        <v>-12044.462427</v>
      </c>
      <c r="AV1800" s="25">
        <f>Inventory[[#This Row],[MainFn]]*Lookups!$B$86</f>
        <v>82067.800665696996</v>
      </c>
      <c r="AW1800" s="25">
        <f>Inventory[[#This Row],[UpprFn]]*Lookups!$B$87</f>
        <v>37083.158128907999</v>
      </c>
      <c r="AX1800" s="25">
        <f>Inventory[[#This Row],[AddFn]]*Lookups!$B$88</f>
        <v>0</v>
      </c>
      <c r="AY1800" s="25">
        <f>Inventory[[#This Row],[Bsmt]]*Lookups!$B$89</f>
        <v>48305.028005266999</v>
      </c>
      <c r="AZ1800" s="25">
        <f>Inventory[[#This Row],[Fixtures]]*Lookups!$B$90</f>
        <v>45504.265262400004</v>
      </c>
      <c r="BA1800" s="25">
        <f>Inventory[[#This Row],[WdDeck]]*Lookups!$B$91</f>
        <v>0</v>
      </c>
      <c r="BB1800" s="25">
        <f>ROUND(Inventory[[#This Row],[25Det]],-2)</f>
        <v>13200</v>
      </c>
      <c r="BC1800" s="25">
        <f>ROUND(SUM(Inventory[[#This Row],[Mdl Qlty]:[Mdl WdDeck]])+Inventory[[#This Row],[Mdl Res Intercept]],-2)</f>
        <v>442800</v>
      </c>
      <c r="BD1800" s="25">
        <f>ROUND(Inventory[[#This Row],[Mdl Land Intercept]]+Inventory[[#This Row],[Mdl LnAcres]],-2)</f>
        <v>43300</v>
      </c>
      <c r="BE1800" s="25">
        <f>Inventory[[#This Row],[Unadj Res Value]]+Inventory[[#This Row],[Unadj Det Value]]+Inventory[[#This Row],[Unadj Land Value]]</f>
        <v>499300</v>
      </c>
      <c r="BF1800" s="36">
        <f>(Inventory[[#This Row],[Unadj Total Value]]-Inventory[[#This Row],[24Final]])/Inventory[[#This Row],[24Final]]</f>
        <v>4.6092604232139116E-2</v>
      </c>
      <c r="BG1800" s="25">
        <f>VLOOKUP(Inventory[[#This Row],[Nbhd]],Lookups!$Q$2:$T$4,4,FALSE)</f>
        <v>0.99970000000000003</v>
      </c>
      <c r="BH1800" s="25">
        <f>VLOOKUP(Inventory[[#This Row],[Qlty]],Lookups!$O$7:$R$21,4,FALSE)</f>
        <v>0.98050000000000004</v>
      </c>
      <c r="BI1800" s="25">
        <f>VLOOKUP(Inventory[[#This Row],[Cnd]],Lookups!$T$7:$W$16,4,FALSE)</f>
        <v>0.99650000000000005</v>
      </c>
      <c r="BJ1800" s="25">
        <f>VLOOKUP(Inventory[[#This Row],[LivArea Range]],Lookups!$T$25:$W$37,4,FALSE)</f>
        <v>1</v>
      </c>
      <c r="BK1800" s="25">
        <f>VLOOKUP(Inventory[[#This Row],[Decade]],Lookups!$O$25:$R$42,4,FALSE)</f>
        <v>1.0074000000000001</v>
      </c>
      <c r="BL1800" s="25">
        <f>Inventory[[#This Row],[Nbhd Adj]]*0.95</f>
        <v>0.94971499999999998</v>
      </c>
      <c r="BM1800" s="25">
        <f>Inventory[[#This Row],[Nbhd Adj]]*Inventory[[#This Row],[Quality Adj]]*Inventory[[#This Row],[Condition Adj]]*Inventory[[#This Row],[Living Area Adj]]*Inventory[[#This Row],[Decade Adj]]*0.95</f>
        <v>0.93480310220931084</v>
      </c>
      <c r="BN1800" s="25">
        <f>ROUND(SUM(Inventory[[#This Row],[Mdl Qlty]:[Mdl WdDeck]])+Inventory[[#This Row],[Mdl Res Intercept]]*Inventory[[#This Row],[Res Adj ]],-2)</f>
        <v>442800</v>
      </c>
      <c r="BO1800" s="25">
        <f>ROUND(Inventory[[#This Row],[25Det]]*Inventory[[#This Row],[Det/Nbhd Adj]],-2)</f>
        <v>12500</v>
      </c>
      <c r="BP1800" s="25">
        <f>Inventory[[#This Row],[Adjusted Res]]+Inventory[[#This Row],[Adj Det ]]</f>
        <v>455300</v>
      </c>
      <c r="BQ1800" s="25">
        <f>ROUND((Inventory[[#This Row],[Mdl Land Intercept]]+Inventory[[#This Row],[Mdl LnAcres]])*Inventory[[#This Row],[Det/Nbhd Adj]],-2)</f>
        <v>41100</v>
      </c>
      <c r="BR1800" s="25">
        <f>Inventory[[#This Row],[Adjusted Impr Total]]+Inventory[[#This Row],[Adjusted Land Total]]</f>
        <v>496400</v>
      </c>
      <c r="BS1800" s="36">
        <f>IFERROR((Inventory[[#This Row],[Adjusted Impr Total]]-Inventory[[#This Row],[24Bldg]])/Inventory[[#This Row],[24Bldg]],0)</f>
        <v>9.9758454106280189E-2</v>
      </c>
      <c r="BT1800" s="36">
        <f>(Inventory[[#This Row],[Adjusted Land Total]]-Inventory[[#This Row],[24Lnd]])/Inventory[[#This Row],[24Lnd]]</f>
        <v>-0.35071090047393366</v>
      </c>
      <c r="BU1800" s="36">
        <f>(Inventory[[#This Row],[Adjusted Total]]-Inventory[[#This Row],[24Final]])/Inventory[[#This Row],[24Final]]</f>
        <v>4.0016760946993503E-2</v>
      </c>
    </row>
    <row r="1801" spans="1:73" x14ac:dyDescent="0.3">
      <c r="A1801" s="25">
        <v>2025</v>
      </c>
      <c r="B1801" s="26" t="s">
        <v>1933</v>
      </c>
      <c r="C1801" s="26">
        <f>LN(Inventory[[#This Row],[Acres]])</f>
        <v>-1.8325814637483102</v>
      </c>
      <c r="D1801" s="25">
        <v>0.16</v>
      </c>
      <c r="E1801" s="25">
        <v>7150</v>
      </c>
      <c r="F1801" s="26" t="s">
        <v>537</v>
      </c>
      <c r="G1801" s="26" t="s">
        <v>126</v>
      </c>
      <c r="H1801" s="26" t="s">
        <v>349</v>
      </c>
      <c r="I1801" s="26" t="s">
        <v>538</v>
      </c>
      <c r="J1801" s="26" t="s">
        <v>539</v>
      </c>
      <c r="K1801" s="26" t="s">
        <v>242</v>
      </c>
      <c r="L1801" s="26" t="s">
        <v>302</v>
      </c>
      <c r="M1801" s="26" t="s">
        <v>323</v>
      </c>
      <c r="N1801" s="26">
        <v>100</v>
      </c>
      <c r="O1801" s="26">
        <f>2024-Inventory[[#This Row],[YrBlt]]</f>
        <v>94</v>
      </c>
      <c r="P1801" s="26">
        <f>2024-Inventory[[#This Row],[EffYr]]</f>
        <v>54</v>
      </c>
      <c r="Q1801" s="25">
        <v>1930</v>
      </c>
      <c r="R1801" s="25">
        <v>1970</v>
      </c>
      <c r="S1801" s="25">
        <v>988</v>
      </c>
      <c r="T1801" s="27"/>
      <c r="U1801" s="32">
        <v>988</v>
      </c>
      <c r="V1801" s="32">
        <f>Inventory[[#This Row],[Bsmt]]-Inventory[[#This Row],[FnBsmt]]</f>
        <v>494</v>
      </c>
      <c r="W1801" s="32">
        <v>494</v>
      </c>
      <c r="X1801" s="27"/>
      <c r="Y1801" s="27">
        <f>Inventory[[#This Row],[MainFn]]+Inventory[[#This Row],[UpprFn]]+Inventory[[#This Row],[FnBsmt]]+Inventory[[#This Row],[AddFn]]</f>
        <v>1482</v>
      </c>
      <c r="Z1801" s="27">
        <v>1500</v>
      </c>
      <c r="AA1801" s="25">
        <v>7</v>
      </c>
      <c r="AB1801" s="31"/>
      <c r="AC1801" s="27"/>
      <c r="AD1801" s="27"/>
      <c r="AE1801" s="27"/>
      <c r="AF1801" s="27"/>
      <c r="AG1801" s="27"/>
      <c r="AH1801" s="27"/>
      <c r="AI1801" s="25">
        <v>287870</v>
      </c>
      <c r="AJ1801" s="25">
        <v>189994</v>
      </c>
      <c r="AK1801" s="25">
        <v>0</v>
      </c>
      <c r="AL1801" s="25">
        <v>300800</v>
      </c>
      <c r="AM1801" s="25">
        <v>50600</v>
      </c>
      <c r="AN1801" s="25">
        <v>250200</v>
      </c>
      <c r="AO1801" s="25">
        <v>0</v>
      </c>
      <c r="AP1801" s="25">
        <f>Lookups!$B$56*0</f>
        <v>0</v>
      </c>
      <c r="AQ1801" s="25">
        <f>Lookups!$B$56*1</f>
        <v>89850.625589999996</v>
      </c>
      <c r="AR1801" s="25">
        <f>Lookups!$B$57*Inventory[[#This Row],[LnAcres]]</f>
        <v>-58009.662049032086</v>
      </c>
      <c r="AS1801" s="25">
        <f>VLOOKUP(Inventory[[#This Row],[Qlty]],Lookups!$A$62:$E$75,2,FALSE)</f>
        <v>29814.093161000001</v>
      </c>
      <c r="AT1801" s="25">
        <f>VLOOKUP(Inventory[[#This Row],[Cnd]],Lookups!$A$76:$E$84,2,FALSE)</f>
        <v>160472.20319</v>
      </c>
      <c r="AU1801" s="25">
        <f>Inventory[[#This Row],[EffAge]]*Lookups!$B$85</f>
        <v>-12044.462427</v>
      </c>
      <c r="AV1801" s="25">
        <f>Inventory[[#This Row],[MainFn]]*Lookups!$B$86</f>
        <v>48815.765838476</v>
      </c>
      <c r="AW1801" s="25">
        <f>Inventory[[#This Row],[UpprFn]]*Lookups!$B$87</f>
        <v>0</v>
      </c>
      <c r="AX1801" s="25">
        <f>Inventory[[#This Row],[AddFn]]*Lookups!$B$88</f>
        <v>0</v>
      </c>
      <c r="AY1801" s="25">
        <f>Inventory[[#This Row],[Bsmt]]*Lookups!$B$89</f>
        <v>28732.912504035998</v>
      </c>
      <c r="AZ1801" s="25">
        <f>Inventory[[#This Row],[Fixtures]]*Lookups!$B$90</f>
        <v>26544.1547364</v>
      </c>
      <c r="BA1801" s="25">
        <f>Inventory[[#This Row],[WdDeck]]*Lookups!$B$91</f>
        <v>0</v>
      </c>
      <c r="BB1801" s="25">
        <f>ROUND(Inventory[[#This Row],[25Det]],-2)</f>
        <v>0</v>
      </c>
      <c r="BC1801" s="25">
        <f>ROUND(SUM(Inventory[[#This Row],[Mdl Qlty]:[Mdl WdDeck]])+Inventory[[#This Row],[Mdl Res Intercept]],-2)</f>
        <v>282300</v>
      </c>
      <c r="BD1801" s="25">
        <f>ROUND(Inventory[[#This Row],[Mdl Land Intercept]]+Inventory[[#This Row],[Mdl LnAcres]],-2)</f>
        <v>31800</v>
      </c>
      <c r="BE1801" s="25">
        <f>Inventory[[#This Row],[Unadj Res Value]]+Inventory[[#This Row],[Unadj Det Value]]+Inventory[[#This Row],[Unadj Land Value]]</f>
        <v>314100</v>
      </c>
      <c r="BF1801" s="36">
        <f>(Inventory[[#This Row],[Unadj Total Value]]-Inventory[[#This Row],[24Final]])/Inventory[[#This Row],[24Final]]</f>
        <v>4.4215425531914897E-2</v>
      </c>
      <c r="BG1801" s="25">
        <f>VLOOKUP(Inventory[[#This Row],[Nbhd]],Lookups!$Q$2:$T$4,4,FALSE)</f>
        <v>0.99970000000000003</v>
      </c>
      <c r="BH1801" s="25">
        <f>VLOOKUP(Inventory[[#This Row],[Qlty]],Lookups!$O$7:$R$21,4,FALSE)</f>
        <v>1.0088999999999999</v>
      </c>
      <c r="BI1801" s="25">
        <f>VLOOKUP(Inventory[[#This Row],[Cnd]],Lookups!$T$7:$W$16,4,FALSE)</f>
        <v>0.99729999999999996</v>
      </c>
      <c r="BJ1801" s="25">
        <f>VLOOKUP(Inventory[[#This Row],[LivArea Range]],Lookups!$T$25:$W$37,4,FALSE)</f>
        <v>1.0157</v>
      </c>
      <c r="BK1801" s="25">
        <f>VLOOKUP(Inventory[[#This Row],[Decade]],Lookups!$O$25:$R$42,4,FALSE)</f>
        <v>1.0074000000000001</v>
      </c>
      <c r="BL1801" s="25">
        <f>Inventory[[#This Row],[Nbhd Adj]]*0.95</f>
        <v>0.94971499999999998</v>
      </c>
      <c r="BM1801" s="25">
        <f>Inventory[[#This Row],[Nbhd Adj]]*Inventory[[#This Row],[Quality Adj]]*Inventory[[#This Row],[Condition Adj]]*Inventory[[#This Row],[Living Area Adj]]*Inventory[[#This Row],[Decade Adj]]*0.95</f>
        <v>0.97776533818289202</v>
      </c>
      <c r="BN1801" s="25">
        <f>ROUND(SUM(Inventory[[#This Row],[Mdl Qlty]:[Mdl WdDeck]])+Inventory[[#This Row],[Mdl Res Intercept]]*Inventory[[#This Row],[Res Adj ]],-2)</f>
        <v>282300</v>
      </c>
      <c r="BO1801" s="25">
        <f>ROUND(Inventory[[#This Row],[25Det]]*Inventory[[#This Row],[Det/Nbhd Adj]],-2)</f>
        <v>0</v>
      </c>
      <c r="BP1801" s="25">
        <f>Inventory[[#This Row],[Adjusted Res]]+Inventory[[#This Row],[Adj Det ]]</f>
        <v>282300</v>
      </c>
      <c r="BQ1801" s="25">
        <f>ROUND((Inventory[[#This Row],[Mdl Land Intercept]]+Inventory[[#This Row],[Mdl LnAcres]])*Inventory[[#This Row],[Det/Nbhd Adj]],-2)</f>
        <v>30200</v>
      </c>
      <c r="BR1801" s="25">
        <f>Inventory[[#This Row],[Adjusted Impr Total]]+Inventory[[#This Row],[Adjusted Land Total]]</f>
        <v>312500</v>
      </c>
      <c r="BS1801" s="36">
        <f>IFERROR((Inventory[[#This Row],[Adjusted Impr Total]]-Inventory[[#This Row],[24Bldg]])/Inventory[[#This Row],[24Bldg]],0)</f>
        <v>0.12829736211031176</v>
      </c>
      <c r="BT1801" s="36">
        <f>(Inventory[[#This Row],[Adjusted Land Total]]-Inventory[[#This Row],[24Lnd]])/Inventory[[#This Row],[24Lnd]]</f>
        <v>-0.40316205533596838</v>
      </c>
      <c r="BU1801" s="36">
        <f>(Inventory[[#This Row],[Adjusted Total]]-Inventory[[#This Row],[24Final]])/Inventory[[#This Row],[24Final]]</f>
        <v>3.8896276595744683E-2</v>
      </c>
    </row>
    <row r="1802" spans="1:73" x14ac:dyDescent="0.3">
      <c r="A1802" s="25">
        <v>2025</v>
      </c>
      <c r="B1802" s="26" t="s">
        <v>1247</v>
      </c>
      <c r="C1802" s="26">
        <f>LN(Inventory[[#This Row],[Acres]])</f>
        <v>-1.3093333199837622</v>
      </c>
      <c r="D1802" s="25">
        <v>0.27</v>
      </c>
      <c r="E1802" s="25">
        <v>11896</v>
      </c>
      <c r="F1802" s="26" t="s">
        <v>537</v>
      </c>
      <c r="G1802" s="26" t="s">
        <v>126</v>
      </c>
      <c r="H1802" s="26" t="s">
        <v>349</v>
      </c>
      <c r="I1802" s="26" t="s">
        <v>538</v>
      </c>
      <c r="J1802" s="26" t="s">
        <v>539</v>
      </c>
      <c r="K1802" s="26" t="s">
        <v>300</v>
      </c>
      <c r="L1802" s="26" t="s">
        <v>148</v>
      </c>
      <c r="M1802" s="26" t="s">
        <v>303</v>
      </c>
      <c r="N1802" s="26">
        <v>100</v>
      </c>
      <c r="O1802" s="26">
        <f>2024-Inventory[[#This Row],[YrBlt]]</f>
        <v>94</v>
      </c>
      <c r="P1802" s="26">
        <f>2024-Inventory[[#This Row],[EffYr]]</f>
        <v>54</v>
      </c>
      <c r="Q1802" s="25">
        <v>1930</v>
      </c>
      <c r="R1802" s="25">
        <v>1970</v>
      </c>
      <c r="S1802" s="25">
        <v>2047</v>
      </c>
      <c r="T1802" s="27"/>
      <c r="U1802" s="32">
        <v>667</v>
      </c>
      <c r="V1802" s="32">
        <f>Inventory[[#This Row],[Bsmt]]-Inventory[[#This Row],[FnBsmt]]</f>
        <v>0</v>
      </c>
      <c r="W1802" s="32">
        <v>667</v>
      </c>
      <c r="X1802" s="27"/>
      <c r="Y1802" s="27">
        <f>Inventory[[#This Row],[MainFn]]+Inventory[[#This Row],[UpprFn]]+Inventory[[#This Row],[FnBsmt]]+Inventory[[#This Row],[AddFn]]</f>
        <v>2714</v>
      </c>
      <c r="Z1802" s="27">
        <v>3000</v>
      </c>
      <c r="AA1802" s="25">
        <v>11</v>
      </c>
      <c r="AB1802" s="31"/>
      <c r="AC1802" s="27"/>
      <c r="AD1802" s="31"/>
      <c r="AE1802" s="27"/>
      <c r="AF1802" s="27"/>
      <c r="AG1802" s="27"/>
      <c r="AH1802" s="27"/>
      <c r="AI1802" s="25">
        <v>497257</v>
      </c>
      <c r="AJ1802" s="25">
        <v>338135</v>
      </c>
      <c r="AK1802" s="25">
        <v>42322</v>
      </c>
      <c r="AL1802" s="25">
        <v>460700</v>
      </c>
      <c r="AM1802" s="25">
        <v>68900</v>
      </c>
      <c r="AN1802" s="25">
        <v>391800</v>
      </c>
      <c r="AO1802" s="25">
        <v>0</v>
      </c>
      <c r="AP1802" s="25">
        <f>Lookups!$B$56*0</f>
        <v>0</v>
      </c>
      <c r="AQ1802" s="25">
        <f>Lookups!$B$56*1</f>
        <v>89850.625589999996</v>
      </c>
      <c r="AR1802" s="25">
        <f>Lookups!$B$57*Inventory[[#This Row],[LnAcres]]</f>
        <v>-41446.443120973789</v>
      </c>
      <c r="AS1802" s="25">
        <f>VLOOKUP(Inventory[[#This Row],[Qlty]],Lookups!$A$62:$E$75,2,FALSE)</f>
        <v>44121.038090000002</v>
      </c>
      <c r="AT1802" s="25">
        <f>VLOOKUP(Inventory[[#This Row],[Cnd]],Lookups!$A$76:$E$84,2,FALSE)</f>
        <v>197752.34721000001</v>
      </c>
      <c r="AU1802" s="25">
        <f>Inventory[[#This Row],[EffAge]]*Lookups!$B$85</f>
        <v>-12044.462427</v>
      </c>
      <c r="AV1802" s="25">
        <f>Inventory[[#This Row],[MainFn]]*Lookups!$B$86</f>
        <v>101139.54723821901</v>
      </c>
      <c r="AW1802" s="25">
        <f>Inventory[[#This Row],[UpprFn]]*Lookups!$B$87</f>
        <v>0</v>
      </c>
      <c r="AX1802" s="25">
        <f>Inventory[[#This Row],[AddFn]]*Lookups!$B$88</f>
        <v>0</v>
      </c>
      <c r="AY1802" s="25">
        <f>Inventory[[#This Row],[Bsmt]]*Lookups!$B$89</f>
        <v>19397.624129748998</v>
      </c>
      <c r="AZ1802" s="25">
        <f>Inventory[[#This Row],[Fixtures]]*Lookups!$B$90</f>
        <v>41712.243157199999</v>
      </c>
      <c r="BA1802" s="25">
        <f>Inventory[[#This Row],[WdDeck]]*Lookups!$B$91</f>
        <v>0</v>
      </c>
      <c r="BB1802" s="25">
        <f>ROUND(Inventory[[#This Row],[25Det]],-2)</f>
        <v>42300</v>
      </c>
      <c r="BC1802" s="25">
        <f>ROUND(SUM(Inventory[[#This Row],[Mdl Qlty]:[Mdl WdDeck]])+Inventory[[#This Row],[Mdl Res Intercept]],-2)</f>
        <v>392100</v>
      </c>
      <c r="BD1802" s="25">
        <f>ROUND(Inventory[[#This Row],[Mdl Land Intercept]]+Inventory[[#This Row],[Mdl LnAcres]],-2)</f>
        <v>48400</v>
      </c>
      <c r="BE1802" s="25">
        <f>Inventory[[#This Row],[Unadj Res Value]]+Inventory[[#This Row],[Unadj Det Value]]+Inventory[[#This Row],[Unadj Land Value]]</f>
        <v>482800</v>
      </c>
      <c r="BF1802" s="36">
        <f>(Inventory[[#This Row],[Unadj Total Value]]-Inventory[[#This Row],[24Final]])/Inventory[[#This Row],[24Final]]</f>
        <v>4.797047970479705E-2</v>
      </c>
      <c r="BG1802" s="25">
        <f>VLOOKUP(Inventory[[#This Row],[Nbhd]],Lookups!$Q$2:$T$4,4,FALSE)</f>
        <v>0.99970000000000003</v>
      </c>
      <c r="BH1802" s="25">
        <f>VLOOKUP(Inventory[[#This Row],[Qlty]],Lookups!$O$7:$R$21,4,FALSE)</f>
        <v>0.98050000000000004</v>
      </c>
      <c r="BI1802" s="25">
        <f>VLOOKUP(Inventory[[#This Row],[Cnd]],Lookups!$T$7:$W$16,4,FALSE)</f>
        <v>0.99650000000000005</v>
      </c>
      <c r="BJ1802" s="25">
        <f>VLOOKUP(Inventory[[#This Row],[LivArea Range]],Lookups!$T$25:$W$37,4,FALSE)</f>
        <v>0.96179999999999999</v>
      </c>
      <c r="BK1802" s="25">
        <f>VLOOKUP(Inventory[[#This Row],[Decade]],Lookups!$O$25:$R$42,4,FALSE)</f>
        <v>1.0074000000000001</v>
      </c>
      <c r="BL1802" s="25">
        <f>Inventory[[#This Row],[Nbhd Adj]]*0.95</f>
        <v>0.94971499999999998</v>
      </c>
      <c r="BM1802" s="25">
        <f>Inventory[[#This Row],[Nbhd Adj]]*Inventory[[#This Row],[Quality Adj]]*Inventory[[#This Row],[Condition Adj]]*Inventory[[#This Row],[Living Area Adj]]*Inventory[[#This Row],[Decade Adj]]*0.95</f>
        <v>0.89909362370491519</v>
      </c>
      <c r="BN1802" s="25">
        <f>ROUND(SUM(Inventory[[#This Row],[Mdl Qlty]:[Mdl WdDeck]])+Inventory[[#This Row],[Mdl Res Intercept]]*Inventory[[#This Row],[Res Adj ]],-2)</f>
        <v>392100</v>
      </c>
      <c r="BO1802" s="25">
        <f>ROUND(Inventory[[#This Row],[25Det]]*Inventory[[#This Row],[Det/Nbhd Adj]],-2)</f>
        <v>40200</v>
      </c>
      <c r="BP1802" s="25">
        <f>Inventory[[#This Row],[Adjusted Res]]+Inventory[[#This Row],[Adj Det ]]</f>
        <v>432300</v>
      </c>
      <c r="BQ1802" s="25">
        <f>ROUND((Inventory[[#This Row],[Mdl Land Intercept]]+Inventory[[#This Row],[Mdl LnAcres]])*Inventory[[#This Row],[Det/Nbhd Adj]],-2)</f>
        <v>46000</v>
      </c>
      <c r="BR1802" s="25">
        <f>Inventory[[#This Row],[Adjusted Impr Total]]+Inventory[[#This Row],[Adjusted Land Total]]</f>
        <v>478300</v>
      </c>
      <c r="BS1802" s="36">
        <f>IFERROR((Inventory[[#This Row],[Adjusted Impr Total]]-Inventory[[#This Row],[24Bldg]])/Inventory[[#This Row],[24Bldg]],0)</f>
        <v>0.10336906584992343</v>
      </c>
      <c r="BT1802" s="36">
        <f>(Inventory[[#This Row],[Adjusted Land Total]]-Inventory[[#This Row],[24Lnd]])/Inventory[[#This Row],[24Lnd]]</f>
        <v>-0.33236574746008707</v>
      </c>
      <c r="BU1802" s="36">
        <f>(Inventory[[#This Row],[Adjusted Total]]-Inventory[[#This Row],[24Final]])/Inventory[[#This Row],[24Final]]</f>
        <v>3.8202734968526157E-2</v>
      </c>
    </row>
    <row r="1803" spans="1:73" x14ac:dyDescent="0.3">
      <c r="A1803" s="25">
        <v>2025</v>
      </c>
      <c r="B1803" s="26" t="s">
        <v>635</v>
      </c>
      <c r="C1803" s="26">
        <f>LN(Inventory[[#This Row],[Acres]])</f>
        <v>-1.5141277326297755</v>
      </c>
      <c r="D1803" s="25">
        <v>0.22</v>
      </c>
      <c r="E1803" s="25">
        <v>9371</v>
      </c>
      <c r="F1803" s="26" t="s">
        <v>537</v>
      </c>
      <c r="G1803" s="26" t="s">
        <v>126</v>
      </c>
      <c r="H1803" s="26" t="s">
        <v>349</v>
      </c>
      <c r="I1803" s="26" t="s">
        <v>538</v>
      </c>
      <c r="J1803" s="26" t="s">
        <v>539</v>
      </c>
      <c r="K1803" s="26" t="s">
        <v>416</v>
      </c>
      <c r="L1803" s="26" t="s">
        <v>351</v>
      </c>
      <c r="M1803" s="26" t="s">
        <v>323</v>
      </c>
      <c r="N1803" s="26">
        <v>100</v>
      </c>
      <c r="O1803" s="26">
        <f>2024-Inventory[[#This Row],[YrBlt]]</f>
        <v>94</v>
      </c>
      <c r="P1803" s="26">
        <f>2024-Inventory[[#This Row],[EffYr]]</f>
        <v>54</v>
      </c>
      <c r="Q1803" s="25">
        <v>1930</v>
      </c>
      <c r="R1803" s="25">
        <v>1970</v>
      </c>
      <c r="S1803" s="25">
        <v>1162</v>
      </c>
      <c r="T1803" s="32">
        <v>752</v>
      </c>
      <c r="U1803" s="32">
        <v>1162</v>
      </c>
      <c r="V1803" s="32">
        <f>Inventory[[#This Row],[Bsmt]]-Inventory[[#This Row],[FnBsmt]]</f>
        <v>812</v>
      </c>
      <c r="W1803" s="32">
        <v>350</v>
      </c>
      <c r="X1803" s="27"/>
      <c r="Y1803" s="27">
        <f>Inventory[[#This Row],[MainFn]]+Inventory[[#This Row],[UpprFn]]+Inventory[[#This Row],[FnBsmt]]+Inventory[[#This Row],[AddFn]]</f>
        <v>2264</v>
      </c>
      <c r="Z1803" s="27">
        <v>2500</v>
      </c>
      <c r="AA1803" s="25">
        <v>8</v>
      </c>
      <c r="AB1803" s="31"/>
      <c r="AC1803" s="27"/>
      <c r="AD1803" s="27"/>
      <c r="AE1803" s="27"/>
      <c r="AF1803" s="27"/>
      <c r="AG1803" s="27"/>
      <c r="AH1803" s="27"/>
      <c r="AI1803" s="25">
        <v>355752</v>
      </c>
      <c r="AJ1803" s="25">
        <v>234796</v>
      </c>
      <c r="AK1803" s="25">
        <v>25357</v>
      </c>
      <c r="AL1803" s="25">
        <v>374800</v>
      </c>
      <c r="AM1803" s="25">
        <v>61700</v>
      </c>
      <c r="AN1803" s="25">
        <v>313100</v>
      </c>
      <c r="AO1803" s="25">
        <v>0</v>
      </c>
      <c r="AP1803" s="25">
        <f>Lookups!$B$56*0</f>
        <v>0</v>
      </c>
      <c r="AQ1803" s="25">
        <f>Lookups!$B$56*1</f>
        <v>89850.625589999996</v>
      </c>
      <c r="AR1803" s="25">
        <f>Lookups!$B$57*Inventory[[#This Row],[LnAcres]]</f>
        <v>-47929.131559187132</v>
      </c>
      <c r="AS1803" s="25">
        <f>VLOOKUP(Inventory[[#This Row],[Qlty]],Lookups!$A$62:$E$75,2,FALSE)</f>
        <v>21557.329055999999</v>
      </c>
      <c r="AT1803" s="25">
        <f>VLOOKUP(Inventory[[#This Row],[Cnd]],Lookups!$A$76:$E$84,2,FALSE)</f>
        <v>160472.20319</v>
      </c>
      <c r="AU1803" s="25">
        <f>Inventory[[#This Row],[EffAge]]*Lookups!$B$85</f>
        <v>-12044.462427</v>
      </c>
      <c r="AV1803" s="25">
        <f>Inventory[[#This Row],[MainFn]]*Lookups!$B$86</f>
        <v>57412.874397074003</v>
      </c>
      <c r="AW1803" s="25">
        <f>Inventory[[#This Row],[UpprFn]]*Lookups!$B$87</f>
        <v>33679.389991472002</v>
      </c>
      <c r="AX1803" s="25">
        <f>Inventory[[#This Row],[AddFn]]*Lookups!$B$88</f>
        <v>0</v>
      </c>
      <c r="AY1803" s="25">
        <f>Inventory[[#This Row],[Bsmt]]*Lookups!$B$89</f>
        <v>33793.162277013995</v>
      </c>
      <c r="AZ1803" s="25">
        <f>Inventory[[#This Row],[Fixtures]]*Lookups!$B$90</f>
        <v>30336.176841600001</v>
      </c>
      <c r="BA1803" s="25">
        <f>Inventory[[#This Row],[WdDeck]]*Lookups!$B$91</f>
        <v>0</v>
      </c>
      <c r="BB1803" s="25">
        <f>ROUND(Inventory[[#This Row],[25Det]],-2)</f>
        <v>25400</v>
      </c>
      <c r="BC1803" s="25">
        <f>ROUND(SUM(Inventory[[#This Row],[Mdl Qlty]:[Mdl WdDeck]])+Inventory[[#This Row],[Mdl Res Intercept]],-2)</f>
        <v>325200</v>
      </c>
      <c r="BD1803" s="25">
        <f>ROUND(Inventory[[#This Row],[Mdl Land Intercept]]+Inventory[[#This Row],[Mdl LnAcres]],-2)</f>
        <v>41900</v>
      </c>
      <c r="BE1803" s="25">
        <f>Inventory[[#This Row],[Unadj Res Value]]+Inventory[[#This Row],[Unadj Det Value]]+Inventory[[#This Row],[Unadj Land Value]]</f>
        <v>392500</v>
      </c>
      <c r="BF1803" s="36">
        <f>(Inventory[[#This Row],[Unadj Total Value]]-Inventory[[#This Row],[24Final]])/Inventory[[#This Row],[24Final]]</f>
        <v>4.7225186766275344E-2</v>
      </c>
      <c r="BG1803" s="25">
        <f>VLOOKUP(Inventory[[#This Row],[Nbhd]],Lookups!$Q$2:$T$4,4,FALSE)</f>
        <v>0.99970000000000003</v>
      </c>
      <c r="BH1803" s="25">
        <f>VLOOKUP(Inventory[[#This Row],[Qlty]],Lookups!$O$7:$R$21,4,FALSE)</f>
        <v>1.0067999999999999</v>
      </c>
      <c r="BI1803" s="25">
        <f>VLOOKUP(Inventory[[#This Row],[Cnd]],Lookups!$T$7:$W$16,4,FALSE)</f>
        <v>0.99729999999999996</v>
      </c>
      <c r="BJ1803" s="25">
        <f>VLOOKUP(Inventory[[#This Row],[LivArea Range]],Lookups!$T$25:$W$37,4,FALSE)</f>
        <v>0.98919999999999997</v>
      </c>
      <c r="BK1803" s="25">
        <f>VLOOKUP(Inventory[[#This Row],[Decade]],Lookups!$O$25:$R$42,4,FALSE)</f>
        <v>1.0074000000000001</v>
      </c>
      <c r="BL1803" s="25">
        <f>Inventory[[#This Row],[Nbhd Adj]]*0.95</f>
        <v>0.94971499999999998</v>
      </c>
      <c r="BM1803" s="25">
        <f>Inventory[[#This Row],[Nbhd Adj]]*Inventory[[#This Row],[Quality Adj]]*Inventory[[#This Row],[Condition Adj]]*Inventory[[#This Row],[Living Area Adj]]*Inventory[[#This Row],[Decade Adj]]*0.95</f>
        <v>0.95027297296624202</v>
      </c>
      <c r="BN1803" s="25">
        <f>ROUND(SUM(Inventory[[#This Row],[Mdl Qlty]:[Mdl WdDeck]])+Inventory[[#This Row],[Mdl Res Intercept]]*Inventory[[#This Row],[Res Adj ]],-2)</f>
        <v>325200</v>
      </c>
      <c r="BO1803" s="25">
        <f>ROUND(Inventory[[#This Row],[25Det]]*Inventory[[#This Row],[Det/Nbhd Adj]],-2)</f>
        <v>24100</v>
      </c>
      <c r="BP1803" s="25">
        <f>Inventory[[#This Row],[Adjusted Res]]+Inventory[[#This Row],[Adj Det ]]</f>
        <v>349300</v>
      </c>
      <c r="BQ1803" s="25">
        <f>ROUND((Inventory[[#This Row],[Mdl Land Intercept]]+Inventory[[#This Row],[Mdl LnAcres]])*Inventory[[#This Row],[Det/Nbhd Adj]],-2)</f>
        <v>39800</v>
      </c>
      <c r="BR1803" s="25">
        <f>Inventory[[#This Row],[Adjusted Impr Total]]+Inventory[[#This Row],[Adjusted Land Total]]</f>
        <v>389100</v>
      </c>
      <c r="BS1803" s="36">
        <f>IFERROR((Inventory[[#This Row],[Adjusted Impr Total]]-Inventory[[#This Row],[24Bldg]])/Inventory[[#This Row],[24Bldg]],0)</f>
        <v>0.11561801341424464</v>
      </c>
      <c r="BT1803" s="36">
        <f>(Inventory[[#This Row],[Adjusted Land Total]]-Inventory[[#This Row],[24Lnd]])/Inventory[[#This Row],[24Lnd]]</f>
        <v>-0.35494327390599678</v>
      </c>
      <c r="BU1803" s="36">
        <f>(Inventory[[#This Row],[Adjusted Total]]-Inventory[[#This Row],[24Final]])/Inventory[[#This Row],[24Final]]</f>
        <v>3.8153681963713978E-2</v>
      </c>
    </row>
    <row r="1804" spans="1:73" x14ac:dyDescent="0.3">
      <c r="A1804" s="25">
        <v>2025</v>
      </c>
      <c r="B1804" s="26" t="s">
        <v>1848</v>
      </c>
      <c r="C1804" s="26">
        <f>LN(Inventory[[#This Row],[Acres]])</f>
        <v>-1.8971199848858813</v>
      </c>
      <c r="D1804" s="25">
        <v>0.15</v>
      </c>
      <c r="E1804" s="25">
        <v>6500</v>
      </c>
      <c r="F1804" s="26" t="s">
        <v>537</v>
      </c>
      <c r="G1804" s="26" t="s">
        <v>126</v>
      </c>
      <c r="H1804" s="26" t="s">
        <v>349</v>
      </c>
      <c r="I1804" s="26" t="s">
        <v>538</v>
      </c>
      <c r="J1804" s="26" t="s">
        <v>539</v>
      </c>
      <c r="K1804" s="26" t="s">
        <v>242</v>
      </c>
      <c r="L1804" s="26" t="s">
        <v>351</v>
      </c>
      <c r="M1804" s="26" t="s">
        <v>323</v>
      </c>
      <c r="N1804" s="26">
        <v>100</v>
      </c>
      <c r="O1804" s="26">
        <f>2024-Inventory[[#This Row],[YrBlt]]</f>
        <v>94</v>
      </c>
      <c r="P1804" s="26">
        <f>2024-Inventory[[#This Row],[EffYr]]</f>
        <v>54</v>
      </c>
      <c r="Q1804" s="25">
        <v>1930</v>
      </c>
      <c r="R1804" s="25">
        <v>1970</v>
      </c>
      <c r="S1804" s="25">
        <v>1132</v>
      </c>
      <c r="T1804" s="31"/>
      <c r="U1804" s="32">
        <v>453</v>
      </c>
      <c r="V1804" s="32">
        <f>Inventory[[#This Row],[Bsmt]]-Inventory[[#This Row],[FnBsmt]]</f>
        <v>0</v>
      </c>
      <c r="W1804" s="32">
        <v>453</v>
      </c>
      <c r="X1804" s="27"/>
      <c r="Y1804" s="27">
        <f>Inventory[[#This Row],[MainFn]]+Inventory[[#This Row],[UpprFn]]+Inventory[[#This Row],[FnBsmt]]+Inventory[[#This Row],[AddFn]]</f>
        <v>1585</v>
      </c>
      <c r="Z1804" s="27">
        <v>2000</v>
      </c>
      <c r="AA1804" s="25">
        <v>5</v>
      </c>
      <c r="AB1804" s="31"/>
      <c r="AC1804" s="27"/>
      <c r="AD1804" s="27"/>
      <c r="AE1804" s="27"/>
      <c r="AF1804" s="27"/>
      <c r="AG1804" s="27"/>
      <c r="AH1804" s="27"/>
      <c r="AI1804" s="25">
        <v>239176</v>
      </c>
      <c r="AJ1804" s="25">
        <v>157856</v>
      </c>
      <c r="AK1804" s="25">
        <v>0</v>
      </c>
      <c r="AL1804" s="25">
        <v>276300</v>
      </c>
      <c r="AM1804" s="25">
        <v>48400</v>
      </c>
      <c r="AN1804" s="25">
        <v>227900</v>
      </c>
      <c r="AO1804" s="25">
        <v>0</v>
      </c>
      <c r="AP1804" s="25">
        <f>Lookups!$B$56*0</f>
        <v>0</v>
      </c>
      <c r="AQ1804" s="25">
        <f>Lookups!$B$56*1</f>
        <v>89850.625589999996</v>
      </c>
      <c r="AR1804" s="25">
        <f>Lookups!$B$57*Inventory[[#This Row],[LnAcres]]</f>
        <v>-60052.604136134301</v>
      </c>
      <c r="AS1804" s="25">
        <f>VLOOKUP(Inventory[[#This Row],[Qlty]],Lookups!$A$62:$E$75,2,FALSE)</f>
        <v>21557.329055999999</v>
      </c>
      <c r="AT1804" s="25">
        <f>VLOOKUP(Inventory[[#This Row],[Cnd]],Lookups!$A$76:$E$84,2,FALSE)</f>
        <v>160472.20319</v>
      </c>
      <c r="AU1804" s="25">
        <f>Inventory[[#This Row],[EffAge]]*Lookups!$B$85</f>
        <v>-12044.462427</v>
      </c>
      <c r="AV1804" s="25">
        <f>Inventory[[#This Row],[MainFn]]*Lookups!$B$86</f>
        <v>55930.614300763998</v>
      </c>
      <c r="AW1804" s="25">
        <f>Inventory[[#This Row],[UpprFn]]*Lookups!$B$87</f>
        <v>0</v>
      </c>
      <c r="AX1804" s="25">
        <f>Inventory[[#This Row],[AddFn]]*Lookups!$B$88</f>
        <v>0</v>
      </c>
      <c r="AY1804" s="25">
        <f>Inventory[[#This Row],[Bsmt]]*Lookups!$B$89</f>
        <v>13174.098546890998</v>
      </c>
      <c r="AZ1804" s="25">
        <f>Inventory[[#This Row],[Fixtures]]*Lookups!$B$90</f>
        <v>18960.110526</v>
      </c>
      <c r="BA1804" s="25">
        <f>Inventory[[#This Row],[WdDeck]]*Lookups!$B$91</f>
        <v>0</v>
      </c>
      <c r="BB1804" s="25">
        <f>ROUND(Inventory[[#This Row],[25Det]],-2)</f>
        <v>0</v>
      </c>
      <c r="BC1804" s="25">
        <f>ROUND(SUM(Inventory[[#This Row],[Mdl Qlty]:[Mdl WdDeck]])+Inventory[[#This Row],[Mdl Res Intercept]],-2)</f>
        <v>258000</v>
      </c>
      <c r="BD1804" s="25">
        <f>ROUND(Inventory[[#This Row],[Mdl Land Intercept]]+Inventory[[#This Row],[Mdl LnAcres]],-2)</f>
        <v>29800</v>
      </c>
      <c r="BE1804" s="25">
        <f>Inventory[[#This Row],[Unadj Res Value]]+Inventory[[#This Row],[Unadj Det Value]]+Inventory[[#This Row],[Unadj Land Value]]</f>
        <v>287800</v>
      </c>
      <c r="BF1804" s="36">
        <f>(Inventory[[#This Row],[Unadj Total Value]]-Inventory[[#This Row],[24Final]])/Inventory[[#This Row],[24Final]]</f>
        <v>4.1621425986246831E-2</v>
      </c>
      <c r="BG1804" s="25">
        <f>VLOOKUP(Inventory[[#This Row],[Nbhd]],Lookups!$Q$2:$T$4,4,FALSE)</f>
        <v>0.99970000000000003</v>
      </c>
      <c r="BH1804" s="25">
        <f>VLOOKUP(Inventory[[#This Row],[Qlty]],Lookups!$O$7:$R$21,4,FALSE)</f>
        <v>1.0067999999999999</v>
      </c>
      <c r="BI1804" s="25">
        <f>VLOOKUP(Inventory[[#This Row],[Cnd]],Lookups!$T$7:$W$16,4,FALSE)</f>
        <v>0.99729999999999996</v>
      </c>
      <c r="BJ1804" s="25">
        <f>VLOOKUP(Inventory[[#This Row],[LivArea Range]],Lookups!$T$25:$W$37,4,FALSE)</f>
        <v>1.0093000000000001</v>
      </c>
      <c r="BK1804" s="25">
        <f>VLOOKUP(Inventory[[#This Row],[Decade]],Lookups!$O$25:$R$42,4,FALSE)</f>
        <v>1.0074000000000001</v>
      </c>
      <c r="BL1804" s="25">
        <f>Inventory[[#This Row],[Nbhd Adj]]*0.95</f>
        <v>0.94971499999999998</v>
      </c>
      <c r="BM1804" s="25">
        <f>Inventory[[#This Row],[Nbhd Adj]]*Inventory[[#This Row],[Quality Adj]]*Inventory[[#This Row],[Condition Adj]]*Inventory[[#This Row],[Living Area Adj]]*Inventory[[#This Row],[Decade Adj]]*0.95</f>
        <v>0.96958199718441984</v>
      </c>
      <c r="BN1804" s="25">
        <f>ROUND(SUM(Inventory[[#This Row],[Mdl Qlty]:[Mdl WdDeck]])+Inventory[[#This Row],[Mdl Res Intercept]]*Inventory[[#This Row],[Res Adj ]],-2)</f>
        <v>258000</v>
      </c>
      <c r="BO1804" s="25">
        <f>ROUND(Inventory[[#This Row],[25Det]]*Inventory[[#This Row],[Det/Nbhd Adj]],-2)</f>
        <v>0</v>
      </c>
      <c r="BP1804" s="25">
        <f>Inventory[[#This Row],[Adjusted Res]]+Inventory[[#This Row],[Adj Det ]]</f>
        <v>258000</v>
      </c>
      <c r="BQ1804" s="25">
        <f>ROUND((Inventory[[#This Row],[Mdl Land Intercept]]+Inventory[[#This Row],[Mdl LnAcres]])*Inventory[[#This Row],[Det/Nbhd Adj]],-2)</f>
        <v>28300</v>
      </c>
      <c r="BR1804" s="25">
        <f>Inventory[[#This Row],[Adjusted Impr Total]]+Inventory[[#This Row],[Adjusted Land Total]]</f>
        <v>286300</v>
      </c>
      <c r="BS1804" s="36">
        <f>IFERROR((Inventory[[#This Row],[Adjusted Impr Total]]-Inventory[[#This Row],[24Bldg]])/Inventory[[#This Row],[24Bldg]],0)</f>
        <v>0.13207547169811321</v>
      </c>
      <c r="BT1804" s="36">
        <f>(Inventory[[#This Row],[Adjusted Land Total]]-Inventory[[#This Row],[24Lnd]])/Inventory[[#This Row],[24Lnd]]</f>
        <v>-0.41528925619834711</v>
      </c>
      <c r="BU1804" s="36">
        <f>(Inventory[[#This Row],[Adjusted Total]]-Inventory[[#This Row],[24Final]])/Inventory[[#This Row],[24Final]]</f>
        <v>3.6192544335866814E-2</v>
      </c>
    </row>
    <row r="1805" spans="1:73" x14ac:dyDescent="0.3">
      <c r="A1805" s="25">
        <v>2025</v>
      </c>
      <c r="B1805" s="26" t="s">
        <v>2193</v>
      </c>
      <c r="C1805" s="26">
        <f>LN(Inventory[[#This Row],[Acres]])</f>
        <v>-1.2729656758128873</v>
      </c>
      <c r="D1805" s="25">
        <v>0.28000000000000003</v>
      </c>
      <c r="E1805" s="25">
        <v>12046</v>
      </c>
      <c r="F1805" s="26" t="s">
        <v>537</v>
      </c>
      <c r="G1805" s="26" t="s">
        <v>126</v>
      </c>
      <c r="H1805" s="26" t="s">
        <v>349</v>
      </c>
      <c r="I1805" s="26" t="s">
        <v>538</v>
      </c>
      <c r="J1805" s="26" t="s">
        <v>539</v>
      </c>
      <c r="K1805" s="26" t="s">
        <v>269</v>
      </c>
      <c r="L1805" s="26" t="s">
        <v>148</v>
      </c>
      <c r="M1805" s="26" t="s">
        <v>323</v>
      </c>
      <c r="N1805" s="26">
        <v>100</v>
      </c>
      <c r="O1805" s="26">
        <f>2024-Inventory[[#This Row],[YrBlt]]</f>
        <v>94</v>
      </c>
      <c r="P1805" s="26">
        <f>2024-Inventory[[#This Row],[EffYr]]</f>
        <v>54</v>
      </c>
      <c r="Q1805" s="25">
        <v>1930</v>
      </c>
      <c r="R1805" s="25">
        <v>1970</v>
      </c>
      <c r="S1805" s="25">
        <v>1221</v>
      </c>
      <c r="T1805" s="32">
        <v>917</v>
      </c>
      <c r="U1805" s="32">
        <v>1221</v>
      </c>
      <c r="V1805" s="32">
        <f>Inventory[[#This Row],[Bsmt]]-Inventory[[#This Row],[FnBsmt]]</f>
        <v>685</v>
      </c>
      <c r="W1805" s="32">
        <v>536</v>
      </c>
      <c r="X1805" s="27"/>
      <c r="Y1805" s="27">
        <f>Inventory[[#This Row],[MainFn]]+Inventory[[#This Row],[UpprFn]]+Inventory[[#This Row],[FnBsmt]]+Inventory[[#This Row],[AddFn]]</f>
        <v>2674</v>
      </c>
      <c r="Z1805" s="27">
        <v>3000</v>
      </c>
      <c r="AA1805" s="25">
        <v>9</v>
      </c>
      <c r="AB1805" s="31"/>
      <c r="AC1805" s="27"/>
      <c r="AD1805" s="31"/>
      <c r="AE1805" s="27"/>
      <c r="AF1805" s="27"/>
      <c r="AG1805" s="27"/>
      <c r="AH1805" s="27"/>
      <c r="AI1805" s="25">
        <v>508789</v>
      </c>
      <c r="AJ1805" s="25">
        <v>335801</v>
      </c>
      <c r="AK1805" s="25">
        <v>16110</v>
      </c>
      <c r="AL1805" s="25">
        <v>411200</v>
      </c>
      <c r="AM1805" s="25">
        <v>70100</v>
      </c>
      <c r="AN1805" s="25">
        <v>341100</v>
      </c>
      <c r="AO1805" s="25">
        <v>0</v>
      </c>
      <c r="AP1805" s="25">
        <f>Lookups!$B$56*0</f>
        <v>0</v>
      </c>
      <c r="AQ1805" s="25">
        <f>Lookups!$B$56*1</f>
        <v>89850.625589999996</v>
      </c>
      <c r="AR1805" s="25">
        <f>Lookups!$B$57*Inventory[[#This Row],[LnAcres]]</f>
        <v>-40295.239319339329</v>
      </c>
      <c r="AS1805" s="25">
        <f>VLOOKUP(Inventory[[#This Row],[Qlty]],Lookups!$A$62:$E$75,2,FALSE)</f>
        <v>44121.038090000002</v>
      </c>
      <c r="AT1805" s="25">
        <f>VLOOKUP(Inventory[[#This Row],[Cnd]],Lookups!$A$76:$E$84,2,FALSE)</f>
        <v>160472.20319</v>
      </c>
      <c r="AU1805" s="25">
        <f>Inventory[[#This Row],[EffAge]]*Lookups!$B$85</f>
        <v>-12044.462427</v>
      </c>
      <c r="AV1805" s="25">
        <f>Inventory[[#This Row],[MainFn]]*Lookups!$B$86</f>
        <v>60327.985919817002</v>
      </c>
      <c r="AW1805" s="25">
        <f>Inventory[[#This Row],[UpprFn]]*Lookups!$B$87</f>
        <v>41069.149763536996</v>
      </c>
      <c r="AX1805" s="25">
        <f>Inventory[[#This Row],[AddFn]]*Lookups!$B$88</f>
        <v>0</v>
      </c>
      <c r="AY1805" s="25">
        <f>Inventory[[#This Row],[Bsmt]]*Lookups!$B$89</f>
        <v>35508.994096586997</v>
      </c>
      <c r="AZ1805" s="25">
        <f>Inventory[[#This Row],[Fixtures]]*Lookups!$B$90</f>
        <v>34128.198946800003</v>
      </c>
      <c r="BA1805" s="25">
        <f>Inventory[[#This Row],[WdDeck]]*Lookups!$B$91</f>
        <v>0</v>
      </c>
      <c r="BB1805" s="25">
        <f>ROUND(Inventory[[#This Row],[25Det]],-2)</f>
        <v>16100</v>
      </c>
      <c r="BC1805" s="25">
        <f>ROUND(SUM(Inventory[[#This Row],[Mdl Qlty]:[Mdl WdDeck]])+Inventory[[#This Row],[Mdl Res Intercept]],-2)</f>
        <v>363600</v>
      </c>
      <c r="BD1805" s="25">
        <f>ROUND(Inventory[[#This Row],[Mdl Land Intercept]]+Inventory[[#This Row],[Mdl LnAcres]],-2)</f>
        <v>49600</v>
      </c>
      <c r="BE1805" s="25">
        <f>Inventory[[#This Row],[Unadj Res Value]]+Inventory[[#This Row],[Unadj Det Value]]+Inventory[[#This Row],[Unadj Land Value]]</f>
        <v>429300</v>
      </c>
      <c r="BF1805" s="36">
        <f>(Inventory[[#This Row],[Unadj Total Value]]-Inventory[[#This Row],[24Final]])/Inventory[[#This Row],[24Final]]</f>
        <v>4.4017509727626462E-2</v>
      </c>
      <c r="BG1805" s="25">
        <f>VLOOKUP(Inventory[[#This Row],[Nbhd]],Lookups!$Q$2:$T$4,4,FALSE)</f>
        <v>0.99970000000000003</v>
      </c>
      <c r="BH1805" s="25">
        <f>VLOOKUP(Inventory[[#This Row],[Qlty]],Lookups!$O$7:$R$21,4,FALSE)</f>
        <v>0.98050000000000004</v>
      </c>
      <c r="BI1805" s="25">
        <f>VLOOKUP(Inventory[[#This Row],[Cnd]],Lookups!$T$7:$W$16,4,FALSE)</f>
        <v>0.99729999999999996</v>
      </c>
      <c r="BJ1805" s="25">
        <f>VLOOKUP(Inventory[[#This Row],[LivArea Range]],Lookups!$T$25:$W$37,4,FALSE)</f>
        <v>0.96179999999999999</v>
      </c>
      <c r="BK1805" s="25">
        <f>VLOOKUP(Inventory[[#This Row],[Decade]],Lookups!$O$25:$R$42,4,FALSE)</f>
        <v>1.0074000000000001</v>
      </c>
      <c r="BL1805" s="25">
        <f>Inventory[[#This Row],[Nbhd Adj]]*0.95</f>
        <v>0.94971499999999998</v>
      </c>
      <c r="BM1805" s="25">
        <f>Inventory[[#This Row],[Nbhd Adj]]*Inventory[[#This Row],[Quality Adj]]*Inventory[[#This Row],[Condition Adj]]*Inventory[[#This Row],[Living Area Adj]]*Inventory[[#This Row],[Decade Adj]]*0.95</f>
        <v>0.89981542490809019</v>
      </c>
      <c r="BN1805" s="25">
        <f>ROUND(SUM(Inventory[[#This Row],[Mdl Qlty]:[Mdl WdDeck]])+Inventory[[#This Row],[Mdl Res Intercept]]*Inventory[[#This Row],[Res Adj ]],-2)</f>
        <v>363600</v>
      </c>
      <c r="BO1805" s="25">
        <f>ROUND(Inventory[[#This Row],[25Det]]*Inventory[[#This Row],[Det/Nbhd Adj]],-2)</f>
        <v>15300</v>
      </c>
      <c r="BP1805" s="25">
        <f>Inventory[[#This Row],[Adjusted Res]]+Inventory[[#This Row],[Adj Det ]]</f>
        <v>378900</v>
      </c>
      <c r="BQ1805" s="25">
        <f>ROUND((Inventory[[#This Row],[Mdl Land Intercept]]+Inventory[[#This Row],[Mdl LnAcres]])*Inventory[[#This Row],[Det/Nbhd Adj]],-2)</f>
        <v>47100</v>
      </c>
      <c r="BR1805" s="25">
        <f>Inventory[[#This Row],[Adjusted Impr Total]]+Inventory[[#This Row],[Adjusted Land Total]]</f>
        <v>426000</v>
      </c>
      <c r="BS1805" s="36">
        <f>IFERROR((Inventory[[#This Row],[Adjusted Impr Total]]-Inventory[[#This Row],[24Bldg]])/Inventory[[#This Row],[24Bldg]],0)</f>
        <v>0.11081794195250659</v>
      </c>
      <c r="BT1805" s="36">
        <f>(Inventory[[#This Row],[Adjusted Land Total]]-Inventory[[#This Row],[24Lnd]])/Inventory[[#This Row],[24Lnd]]</f>
        <v>-0.32810271041369471</v>
      </c>
      <c r="BU1805" s="36">
        <f>(Inventory[[#This Row],[Adjusted Total]]-Inventory[[#This Row],[24Final]])/Inventory[[#This Row],[24Final]]</f>
        <v>3.5992217898832682E-2</v>
      </c>
    </row>
    <row r="1806" spans="1:73" x14ac:dyDescent="0.3">
      <c r="A1806" s="25">
        <v>2025</v>
      </c>
      <c r="B1806" s="26" t="s">
        <v>1048</v>
      </c>
      <c r="C1806" s="26">
        <f>LN(Inventory[[#This Row],[Acres]])</f>
        <v>-1.8325814637483102</v>
      </c>
      <c r="D1806" s="25">
        <v>0.16</v>
      </c>
      <c r="E1806" s="31"/>
      <c r="F1806" s="26" t="s">
        <v>537</v>
      </c>
      <c r="G1806" s="26" t="s">
        <v>126</v>
      </c>
      <c r="H1806" s="26" t="s">
        <v>349</v>
      </c>
      <c r="I1806" s="26" t="s">
        <v>538</v>
      </c>
      <c r="J1806" s="26" t="s">
        <v>539</v>
      </c>
      <c r="K1806" s="26" t="s">
        <v>242</v>
      </c>
      <c r="L1806" s="26" t="s">
        <v>148</v>
      </c>
      <c r="M1806" s="26" t="s">
        <v>323</v>
      </c>
      <c r="N1806" s="26">
        <v>100</v>
      </c>
      <c r="O1806" s="26">
        <f>2024-Inventory[[#This Row],[YrBlt]]</f>
        <v>94</v>
      </c>
      <c r="P1806" s="26">
        <f>2024-Inventory[[#This Row],[EffYr]]</f>
        <v>54</v>
      </c>
      <c r="Q1806" s="25">
        <v>1930</v>
      </c>
      <c r="R1806" s="25">
        <v>1970</v>
      </c>
      <c r="S1806" s="25">
        <v>1180</v>
      </c>
      <c r="T1806" s="27"/>
      <c r="U1806" s="32">
        <v>1180</v>
      </c>
      <c r="V1806" s="32">
        <f>Inventory[[#This Row],[Bsmt]]-Inventory[[#This Row],[FnBsmt]]</f>
        <v>590</v>
      </c>
      <c r="W1806" s="32">
        <v>590</v>
      </c>
      <c r="X1806" s="27"/>
      <c r="Y1806" s="27">
        <f>Inventory[[#This Row],[MainFn]]+Inventory[[#This Row],[UpprFn]]+Inventory[[#This Row],[FnBsmt]]+Inventory[[#This Row],[AddFn]]</f>
        <v>1770</v>
      </c>
      <c r="Z1806" s="27">
        <v>2000</v>
      </c>
      <c r="AA1806" s="25">
        <v>8</v>
      </c>
      <c r="AB1806" s="27"/>
      <c r="AC1806" s="27"/>
      <c r="AD1806" s="31"/>
      <c r="AE1806" s="27"/>
      <c r="AF1806" s="27"/>
      <c r="AG1806" s="27"/>
      <c r="AH1806" s="27"/>
      <c r="AI1806" s="25">
        <v>364413</v>
      </c>
      <c r="AJ1806" s="25">
        <v>240513</v>
      </c>
      <c r="AK1806" s="25">
        <v>8922</v>
      </c>
      <c r="AL1806" s="25">
        <v>341900</v>
      </c>
      <c r="AM1806" s="25">
        <v>50600</v>
      </c>
      <c r="AN1806" s="25">
        <v>291300</v>
      </c>
      <c r="AO1806" s="25">
        <v>0</v>
      </c>
      <c r="AP1806" s="25">
        <f>Lookups!$B$56*0</f>
        <v>0</v>
      </c>
      <c r="AQ1806" s="25">
        <f>Lookups!$B$56*1</f>
        <v>89850.625589999996</v>
      </c>
      <c r="AR1806" s="25">
        <f>Lookups!$B$57*Inventory[[#This Row],[LnAcres]]</f>
        <v>-58009.662049032086</v>
      </c>
      <c r="AS1806" s="25">
        <f>VLOOKUP(Inventory[[#This Row],[Qlty]],Lookups!$A$62:$E$75,2,FALSE)</f>
        <v>44121.038090000002</v>
      </c>
      <c r="AT1806" s="25">
        <f>VLOOKUP(Inventory[[#This Row],[Cnd]],Lookups!$A$76:$E$84,2,FALSE)</f>
        <v>160472.20319</v>
      </c>
      <c r="AU1806" s="25">
        <f>Inventory[[#This Row],[EffAge]]*Lookups!$B$85</f>
        <v>-12044.462427</v>
      </c>
      <c r="AV1806" s="25">
        <f>Inventory[[#This Row],[MainFn]]*Lookups!$B$86</f>
        <v>58302.23045486</v>
      </c>
      <c r="AW1806" s="25">
        <f>Inventory[[#This Row],[UpprFn]]*Lookups!$B$87</f>
        <v>0</v>
      </c>
      <c r="AX1806" s="25">
        <f>Inventory[[#This Row],[AddFn]]*Lookups!$B$88</f>
        <v>0</v>
      </c>
      <c r="AY1806" s="25">
        <f>Inventory[[#This Row],[Bsmt]]*Lookups!$B$89</f>
        <v>34316.636391460001</v>
      </c>
      <c r="AZ1806" s="25">
        <f>Inventory[[#This Row],[Fixtures]]*Lookups!$B$90</f>
        <v>30336.176841600001</v>
      </c>
      <c r="BA1806" s="25">
        <f>Inventory[[#This Row],[WdDeck]]*Lookups!$B$91</f>
        <v>0</v>
      </c>
      <c r="BB1806" s="25">
        <f>ROUND(Inventory[[#This Row],[25Det]],-2)</f>
        <v>8900</v>
      </c>
      <c r="BC1806" s="25">
        <f>ROUND(SUM(Inventory[[#This Row],[Mdl Qlty]:[Mdl WdDeck]])+Inventory[[#This Row],[Mdl Res Intercept]],-2)</f>
        <v>315500</v>
      </c>
      <c r="BD1806" s="25">
        <f>ROUND(Inventory[[#This Row],[Mdl Land Intercept]]+Inventory[[#This Row],[Mdl LnAcres]],-2)</f>
        <v>31800</v>
      </c>
      <c r="BE1806" s="25">
        <f>Inventory[[#This Row],[Unadj Res Value]]+Inventory[[#This Row],[Unadj Det Value]]+Inventory[[#This Row],[Unadj Land Value]]</f>
        <v>356200</v>
      </c>
      <c r="BF1806" s="36">
        <f>(Inventory[[#This Row],[Unadj Total Value]]-Inventory[[#This Row],[24Final]])/Inventory[[#This Row],[24Final]]</f>
        <v>4.1825095057034217E-2</v>
      </c>
      <c r="BG1806" s="25">
        <f>VLOOKUP(Inventory[[#This Row],[Nbhd]],Lookups!$Q$2:$T$4,4,FALSE)</f>
        <v>0.99970000000000003</v>
      </c>
      <c r="BH1806" s="25">
        <f>VLOOKUP(Inventory[[#This Row],[Qlty]],Lookups!$O$7:$R$21,4,FALSE)</f>
        <v>0.98050000000000004</v>
      </c>
      <c r="BI1806" s="25">
        <f>VLOOKUP(Inventory[[#This Row],[Cnd]],Lookups!$T$7:$W$16,4,FALSE)</f>
        <v>0.99729999999999996</v>
      </c>
      <c r="BJ1806" s="25">
        <f>VLOOKUP(Inventory[[#This Row],[LivArea Range]],Lookups!$T$25:$W$37,4,FALSE)</f>
        <v>1.0093000000000001</v>
      </c>
      <c r="BK1806" s="25">
        <f>VLOOKUP(Inventory[[#This Row],[Decade]],Lookups!$O$25:$R$42,4,FALSE)</f>
        <v>1.0074000000000001</v>
      </c>
      <c r="BL1806" s="25">
        <f>Inventory[[#This Row],[Nbhd Adj]]*0.95</f>
        <v>0.94971499999999998</v>
      </c>
      <c r="BM1806" s="25">
        <f>Inventory[[#This Row],[Nbhd Adj]]*Inventory[[#This Row],[Quality Adj]]*Inventory[[#This Row],[Condition Adj]]*Inventory[[#This Row],[Living Area Adj]]*Inventory[[#This Row],[Decade Adj]]*0.95</f>
        <v>0.9442542195464082</v>
      </c>
      <c r="BN1806" s="25">
        <f>ROUND(SUM(Inventory[[#This Row],[Mdl Qlty]:[Mdl WdDeck]])+Inventory[[#This Row],[Mdl Res Intercept]]*Inventory[[#This Row],[Res Adj ]],-2)</f>
        <v>315500</v>
      </c>
      <c r="BO1806" s="25">
        <f>ROUND(Inventory[[#This Row],[25Det]]*Inventory[[#This Row],[Det/Nbhd Adj]],-2)</f>
        <v>8500</v>
      </c>
      <c r="BP1806" s="25">
        <f>Inventory[[#This Row],[Adjusted Res]]+Inventory[[#This Row],[Adj Det ]]</f>
        <v>324000</v>
      </c>
      <c r="BQ1806" s="25">
        <f>ROUND((Inventory[[#This Row],[Mdl Land Intercept]]+Inventory[[#This Row],[Mdl LnAcres]])*Inventory[[#This Row],[Det/Nbhd Adj]],-2)</f>
        <v>30200</v>
      </c>
      <c r="BR1806" s="25">
        <f>Inventory[[#This Row],[Adjusted Impr Total]]+Inventory[[#This Row],[Adjusted Land Total]]</f>
        <v>354200</v>
      </c>
      <c r="BS1806" s="36">
        <f>IFERROR((Inventory[[#This Row],[Adjusted Impr Total]]-Inventory[[#This Row],[24Bldg]])/Inventory[[#This Row],[24Bldg]],0)</f>
        <v>0.11225540679711637</v>
      </c>
      <c r="BT1806" s="36">
        <f>(Inventory[[#This Row],[Adjusted Land Total]]-Inventory[[#This Row],[24Lnd]])/Inventory[[#This Row],[24Lnd]]</f>
        <v>-0.40316205533596838</v>
      </c>
      <c r="BU1806" s="36">
        <f>(Inventory[[#This Row],[Adjusted Total]]-Inventory[[#This Row],[24Final]])/Inventory[[#This Row],[24Final]]</f>
        <v>3.597543141269377E-2</v>
      </c>
    </row>
    <row r="1807" spans="1:73" x14ac:dyDescent="0.3">
      <c r="A1807" s="25">
        <v>2025</v>
      </c>
      <c r="B1807" s="26" t="s">
        <v>1049</v>
      </c>
      <c r="C1807" s="26">
        <f>LN(Inventory[[#This Row],[Acres]])</f>
        <v>-1.8325814637483102</v>
      </c>
      <c r="D1807" s="25">
        <v>0.16</v>
      </c>
      <c r="E1807" s="31"/>
      <c r="F1807" s="26" t="s">
        <v>537</v>
      </c>
      <c r="G1807" s="26" t="s">
        <v>126</v>
      </c>
      <c r="H1807" s="26" t="s">
        <v>349</v>
      </c>
      <c r="I1807" s="26" t="s">
        <v>538</v>
      </c>
      <c r="J1807" s="26" t="s">
        <v>539</v>
      </c>
      <c r="K1807" s="26" t="s">
        <v>242</v>
      </c>
      <c r="L1807" s="26" t="s">
        <v>148</v>
      </c>
      <c r="M1807" s="26" t="s">
        <v>323</v>
      </c>
      <c r="N1807" s="26">
        <v>100</v>
      </c>
      <c r="O1807" s="26">
        <f>2024-Inventory[[#This Row],[YrBlt]]</f>
        <v>94</v>
      </c>
      <c r="P1807" s="26">
        <f>2024-Inventory[[#This Row],[EffYr]]</f>
        <v>54</v>
      </c>
      <c r="Q1807" s="25">
        <v>1930</v>
      </c>
      <c r="R1807" s="25">
        <v>1970</v>
      </c>
      <c r="S1807" s="25">
        <v>1175</v>
      </c>
      <c r="T1807" s="27"/>
      <c r="U1807" s="32">
        <v>805</v>
      </c>
      <c r="V1807" s="32">
        <f>Inventory[[#This Row],[Bsmt]]-Inventory[[#This Row],[FnBsmt]]</f>
        <v>5</v>
      </c>
      <c r="W1807" s="32">
        <v>800</v>
      </c>
      <c r="X1807" s="27"/>
      <c r="Y1807" s="27">
        <f>Inventory[[#This Row],[MainFn]]+Inventory[[#This Row],[UpprFn]]+Inventory[[#This Row],[FnBsmt]]+Inventory[[#This Row],[AddFn]]</f>
        <v>1975</v>
      </c>
      <c r="Z1807" s="27">
        <v>2000</v>
      </c>
      <c r="AA1807" s="25">
        <v>7</v>
      </c>
      <c r="AB1807" s="31"/>
      <c r="AC1807" s="27"/>
      <c r="AD1807" s="27"/>
      <c r="AE1807" s="27"/>
      <c r="AF1807" s="27"/>
      <c r="AG1807" s="27"/>
      <c r="AH1807" s="27"/>
      <c r="AI1807" s="25">
        <v>340991</v>
      </c>
      <c r="AJ1807" s="25">
        <v>225054</v>
      </c>
      <c r="AK1807" s="25">
        <v>4598</v>
      </c>
      <c r="AL1807" s="25">
        <v>323600</v>
      </c>
      <c r="AM1807" s="25">
        <v>50600</v>
      </c>
      <c r="AN1807" s="25">
        <v>273000</v>
      </c>
      <c r="AO1807" s="25">
        <v>0</v>
      </c>
      <c r="AP1807" s="25">
        <f>Lookups!$B$56*0</f>
        <v>0</v>
      </c>
      <c r="AQ1807" s="25">
        <f>Lookups!$B$56*1</f>
        <v>89850.625589999996</v>
      </c>
      <c r="AR1807" s="25">
        <f>Lookups!$B$57*Inventory[[#This Row],[LnAcres]]</f>
        <v>-58009.662049032086</v>
      </c>
      <c r="AS1807" s="25">
        <f>VLOOKUP(Inventory[[#This Row],[Qlty]],Lookups!$A$62:$E$75,2,FALSE)</f>
        <v>44121.038090000002</v>
      </c>
      <c r="AT1807" s="25">
        <f>VLOOKUP(Inventory[[#This Row],[Cnd]],Lookups!$A$76:$E$84,2,FALSE)</f>
        <v>160472.20319</v>
      </c>
      <c r="AU1807" s="25">
        <f>Inventory[[#This Row],[EffAge]]*Lookups!$B$85</f>
        <v>-12044.462427</v>
      </c>
      <c r="AV1807" s="25">
        <f>Inventory[[#This Row],[MainFn]]*Lookups!$B$86</f>
        <v>58055.187105475001</v>
      </c>
      <c r="AW1807" s="25">
        <f>Inventory[[#This Row],[UpprFn]]*Lookups!$B$87</f>
        <v>0</v>
      </c>
      <c r="AX1807" s="25">
        <f>Inventory[[#This Row],[AddFn]]*Lookups!$B$88</f>
        <v>0</v>
      </c>
      <c r="AY1807" s="25">
        <f>Inventory[[#This Row],[Bsmt]]*Lookups!$B$89</f>
        <v>23410.925673834998</v>
      </c>
      <c r="AZ1807" s="25">
        <f>Inventory[[#This Row],[Fixtures]]*Lookups!$B$90</f>
        <v>26544.1547364</v>
      </c>
      <c r="BA1807" s="25">
        <f>Inventory[[#This Row],[WdDeck]]*Lookups!$B$91</f>
        <v>0</v>
      </c>
      <c r="BB1807" s="25">
        <f>ROUND(Inventory[[#This Row],[25Det]],-2)</f>
        <v>4600</v>
      </c>
      <c r="BC1807" s="25">
        <f>ROUND(SUM(Inventory[[#This Row],[Mdl Qlty]:[Mdl WdDeck]])+Inventory[[#This Row],[Mdl Res Intercept]],-2)</f>
        <v>300600</v>
      </c>
      <c r="BD1807" s="25">
        <f>ROUND(Inventory[[#This Row],[Mdl Land Intercept]]+Inventory[[#This Row],[Mdl LnAcres]],-2)</f>
        <v>31800</v>
      </c>
      <c r="BE1807" s="25">
        <f>Inventory[[#This Row],[Unadj Res Value]]+Inventory[[#This Row],[Unadj Det Value]]+Inventory[[#This Row],[Unadj Land Value]]</f>
        <v>337000</v>
      </c>
      <c r="BF1807" s="36">
        <f>(Inventory[[#This Row],[Unadj Total Value]]-Inventory[[#This Row],[24Final]])/Inventory[[#This Row],[24Final]]</f>
        <v>4.1409147095179233E-2</v>
      </c>
      <c r="BG1807" s="25">
        <f>VLOOKUP(Inventory[[#This Row],[Nbhd]],Lookups!$Q$2:$T$4,4,FALSE)</f>
        <v>0.99970000000000003</v>
      </c>
      <c r="BH1807" s="25">
        <f>VLOOKUP(Inventory[[#This Row],[Qlty]],Lookups!$O$7:$R$21,4,FALSE)</f>
        <v>0.98050000000000004</v>
      </c>
      <c r="BI1807" s="25">
        <f>VLOOKUP(Inventory[[#This Row],[Cnd]],Lookups!$T$7:$W$16,4,FALSE)</f>
        <v>0.99729999999999996</v>
      </c>
      <c r="BJ1807" s="25">
        <f>VLOOKUP(Inventory[[#This Row],[LivArea Range]],Lookups!$T$25:$W$37,4,FALSE)</f>
        <v>1.0093000000000001</v>
      </c>
      <c r="BK1807" s="25">
        <f>VLOOKUP(Inventory[[#This Row],[Decade]],Lookups!$O$25:$R$42,4,FALSE)</f>
        <v>1.0074000000000001</v>
      </c>
      <c r="BL1807" s="25">
        <f>Inventory[[#This Row],[Nbhd Adj]]*0.95</f>
        <v>0.94971499999999998</v>
      </c>
      <c r="BM1807" s="25">
        <f>Inventory[[#This Row],[Nbhd Adj]]*Inventory[[#This Row],[Quality Adj]]*Inventory[[#This Row],[Condition Adj]]*Inventory[[#This Row],[Living Area Adj]]*Inventory[[#This Row],[Decade Adj]]*0.95</f>
        <v>0.9442542195464082</v>
      </c>
      <c r="BN1807" s="25">
        <f>ROUND(SUM(Inventory[[#This Row],[Mdl Qlty]:[Mdl WdDeck]])+Inventory[[#This Row],[Mdl Res Intercept]]*Inventory[[#This Row],[Res Adj ]],-2)</f>
        <v>300600</v>
      </c>
      <c r="BO1807" s="25">
        <f>ROUND(Inventory[[#This Row],[25Det]]*Inventory[[#This Row],[Det/Nbhd Adj]],-2)</f>
        <v>4400</v>
      </c>
      <c r="BP1807" s="25">
        <f>Inventory[[#This Row],[Adjusted Res]]+Inventory[[#This Row],[Adj Det ]]</f>
        <v>305000</v>
      </c>
      <c r="BQ1807" s="25">
        <f>ROUND((Inventory[[#This Row],[Mdl Land Intercept]]+Inventory[[#This Row],[Mdl LnAcres]])*Inventory[[#This Row],[Det/Nbhd Adj]],-2)</f>
        <v>30200</v>
      </c>
      <c r="BR1807" s="25">
        <f>Inventory[[#This Row],[Adjusted Impr Total]]+Inventory[[#This Row],[Adjusted Land Total]]</f>
        <v>335200</v>
      </c>
      <c r="BS1807" s="36">
        <f>IFERROR((Inventory[[#This Row],[Adjusted Impr Total]]-Inventory[[#This Row],[24Bldg]])/Inventory[[#This Row],[24Bldg]],0)</f>
        <v>0.11721611721611722</v>
      </c>
      <c r="BT1807" s="36">
        <f>(Inventory[[#This Row],[Adjusted Land Total]]-Inventory[[#This Row],[24Lnd]])/Inventory[[#This Row],[24Lnd]]</f>
        <v>-0.40316205533596838</v>
      </c>
      <c r="BU1807" s="36">
        <f>(Inventory[[#This Row],[Adjusted Total]]-Inventory[[#This Row],[24Final]])/Inventory[[#This Row],[24Final]]</f>
        <v>3.5846724351050678E-2</v>
      </c>
    </row>
    <row r="1808" spans="1:73" x14ac:dyDescent="0.3">
      <c r="A1808" s="25">
        <v>2025</v>
      </c>
      <c r="B1808" s="26" t="s">
        <v>819</v>
      </c>
      <c r="C1808" s="26">
        <f>LN(Inventory[[#This Row],[Acres]])</f>
        <v>-1.6094379124341003</v>
      </c>
      <c r="D1808" s="25">
        <v>0.2</v>
      </c>
      <c r="E1808" s="25">
        <v>8773</v>
      </c>
      <c r="F1808" s="26" t="s">
        <v>537</v>
      </c>
      <c r="G1808" s="26" t="s">
        <v>126</v>
      </c>
      <c r="H1808" s="26" t="s">
        <v>349</v>
      </c>
      <c r="I1808" s="26" t="s">
        <v>538</v>
      </c>
      <c r="J1808" s="26" t="s">
        <v>539</v>
      </c>
      <c r="K1808" s="26" t="s">
        <v>242</v>
      </c>
      <c r="L1808" s="26" t="s">
        <v>205</v>
      </c>
      <c r="M1808" s="26" t="s">
        <v>323</v>
      </c>
      <c r="N1808" s="26">
        <v>100</v>
      </c>
      <c r="O1808" s="26">
        <f>2024-Inventory[[#This Row],[YrBlt]]</f>
        <v>94</v>
      </c>
      <c r="P1808" s="26">
        <f>2024-Inventory[[#This Row],[EffYr]]</f>
        <v>54</v>
      </c>
      <c r="Q1808" s="25">
        <v>1930</v>
      </c>
      <c r="R1808" s="25">
        <v>1970</v>
      </c>
      <c r="S1808" s="25">
        <v>1284</v>
      </c>
      <c r="T1808" s="27"/>
      <c r="U1808" s="25">
        <v>642</v>
      </c>
      <c r="V1808" s="32">
        <f>Inventory[[#This Row],[Bsmt]]-Inventory[[#This Row],[FnBsmt]]</f>
        <v>642</v>
      </c>
      <c r="W1808" s="27"/>
      <c r="X1808" s="27"/>
      <c r="Y1808" s="27">
        <f>Inventory[[#This Row],[MainFn]]+Inventory[[#This Row],[UpprFn]]+Inventory[[#This Row],[FnBsmt]]+Inventory[[#This Row],[AddFn]]</f>
        <v>1284</v>
      </c>
      <c r="Z1808" s="27">
        <v>1500</v>
      </c>
      <c r="AA1808" s="25">
        <v>6</v>
      </c>
      <c r="AB1808" s="27"/>
      <c r="AC1808" s="31"/>
      <c r="AD1808" s="31"/>
      <c r="AE1808" s="27"/>
      <c r="AF1808" s="27"/>
      <c r="AG1808" s="27"/>
      <c r="AH1808" s="27"/>
      <c r="AI1808" s="25">
        <v>217406</v>
      </c>
      <c r="AJ1808" s="25">
        <v>143488</v>
      </c>
      <c r="AK1808" s="25">
        <v>0</v>
      </c>
      <c r="AL1808" s="25">
        <v>280200</v>
      </c>
      <c r="AM1808" s="25">
        <v>58400</v>
      </c>
      <c r="AN1808" s="25">
        <v>221800</v>
      </c>
      <c r="AO1808" s="25">
        <v>0</v>
      </c>
      <c r="AP1808" s="25">
        <f>Lookups!$B$56*0</f>
        <v>0</v>
      </c>
      <c r="AQ1808" s="25">
        <f>Lookups!$B$56*1</f>
        <v>89850.625589999996</v>
      </c>
      <c r="AR1808" s="25">
        <f>Lookups!$B$57*Inventory[[#This Row],[LnAcres]]</f>
        <v>-50946.13867709865</v>
      </c>
      <c r="AS1808" s="25">
        <f>VLOOKUP(Inventory[[#This Row],[Qlty]],Lookups!$A$62:$E$75,2,FALSE)</f>
        <v>0</v>
      </c>
      <c r="AT1808" s="25">
        <f>VLOOKUP(Inventory[[#This Row],[Cnd]],Lookups!$A$76:$E$84,2,FALSE)</f>
        <v>160472.20319</v>
      </c>
      <c r="AU1808" s="25">
        <f>Inventory[[#This Row],[EffAge]]*Lookups!$B$85</f>
        <v>-12044.462427</v>
      </c>
      <c r="AV1808" s="25">
        <f>Inventory[[#This Row],[MainFn]]*Lookups!$B$86</f>
        <v>63440.732122068002</v>
      </c>
      <c r="AW1808" s="25">
        <f>Inventory[[#This Row],[UpprFn]]*Lookups!$B$87</f>
        <v>0</v>
      </c>
      <c r="AX1808" s="25">
        <f>Inventory[[#This Row],[AddFn]]*Lookups!$B$88</f>
        <v>0</v>
      </c>
      <c r="AY1808" s="25">
        <f>Inventory[[#This Row],[Bsmt]]*Lookups!$B$89</f>
        <v>18670.576748574</v>
      </c>
      <c r="AZ1808" s="25">
        <f>Inventory[[#This Row],[Fixtures]]*Lookups!$B$90</f>
        <v>22752.132631200002</v>
      </c>
      <c r="BA1808" s="25">
        <f>Inventory[[#This Row],[WdDeck]]*Lookups!$B$91</f>
        <v>0</v>
      </c>
      <c r="BB1808" s="25">
        <f>ROUND(Inventory[[#This Row],[25Det]],-2)</f>
        <v>0</v>
      </c>
      <c r="BC1808" s="25">
        <f>ROUND(SUM(Inventory[[#This Row],[Mdl Qlty]:[Mdl WdDeck]])+Inventory[[#This Row],[Mdl Res Intercept]],-2)</f>
        <v>253300</v>
      </c>
      <c r="BD1808" s="25">
        <f>ROUND(Inventory[[#This Row],[Mdl Land Intercept]]+Inventory[[#This Row],[Mdl LnAcres]],-2)</f>
        <v>38900</v>
      </c>
      <c r="BE1808" s="25">
        <f>Inventory[[#This Row],[Unadj Res Value]]+Inventory[[#This Row],[Unadj Det Value]]+Inventory[[#This Row],[Unadj Land Value]]</f>
        <v>292200</v>
      </c>
      <c r="BF1808" s="36">
        <f>(Inventory[[#This Row],[Unadj Total Value]]-Inventory[[#This Row],[24Final]])/Inventory[[#This Row],[24Final]]</f>
        <v>4.2826552462526764E-2</v>
      </c>
      <c r="BG1808" s="25">
        <f>VLOOKUP(Inventory[[#This Row],[Nbhd]],Lookups!$Q$2:$T$4,4,FALSE)</f>
        <v>0.99970000000000003</v>
      </c>
      <c r="BH1808" s="25">
        <f>VLOOKUP(Inventory[[#This Row],[Qlty]],Lookups!$O$7:$R$21,4,FALSE)</f>
        <v>0.99180000000000001</v>
      </c>
      <c r="BI1808" s="25">
        <f>VLOOKUP(Inventory[[#This Row],[Cnd]],Lookups!$T$7:$W$16,4,FALSE)</f>
        <v>0.99729999999999996</v>
      </c>
      <c r="BJ1808" s="25">
        <f>VLOOKUP(Inventory[[#This Row],[LivArea Range]],Lookups!$T$25:$W$37,4,FALSE)</f>
        <v>1.0157</v>
      </c>
      <c r="BK1808" s="25">
        <f>VLOOKUP(Inventory[[#This Row],[Decade]],Lookups!$O$25:$R$42,4,FALSE)</f>
        <v>1.0074000000000001</v>
      </c>
      <c r="BL1808" s="25">
        <f>Inventory[[#This Row],[Nbhd Adj]]*0.95</f>
        <v>0.94971499999999998</v>
      </c>
      <c r="BM1808" s="25">
        <f>Inventory[[#This Row],[Nbhd Adj]]*Inventory[[#This Row],[Quality Adj]]*Inventory[[#This Row],[Condition Adj]]*Inventory[[#This Row],[Living Area Adj]]*Inventory[[#This Row],[Decade Adj]]*0.95</f>
        <v>0.96119304431538555</v>
      </c>
      <c r="BN1808" s="25">
        <f>ROUND(SUM(Inventory[[#This Row],[Mdl Qlty]:[Mdl WdDeck]])+Inventory[[#This Row],[Mdl Res Intercept]]*Inventory[[#This Row],[Res Adj ]],-2)</f>
        <v>253300</v>
      </c>
      <c r="BO1808" s="25">
        <f>ROUND(Inventory[[#This Row],[25Det]]*Inventory[[#This Row],[Det/Nbhd Adj]],-2)</f>
        <v>0</v>
      </c>
      <c r="BP1808" s="25">
        <f>Inventory[[#This Row],[Adjusted Res]]+Inventory[[#This Row],[Adj Det ]]</f>
        <v>253300</v>
      </c>
      <c r="BQ1808" s="25">
        <f>ROUND((Inventory[[#This Row],[Mdl Land Intercept]]+Inventory[[#This Row],[Mdl LnAcres]])*Inventory[[#This Row],[Det/Nbhd Adj]],-2)</f>
        <v>36900</v>
      </c>
      <c r="BR1808" s="25">
        <f>Inventory[[#This Row],[Adjusted Impr Total]]+Inventory[[#This Row],[Adjusted Land Total]]</f>
        <v>290200</v>
      </c>
      <c r="BS1808" s="36">
        <f>IFERROR((Inventory[[#This Row],[Adjusted Impr Total]]-Inventory[[#This Row],[24Bldg]])/Inventory[[#This Row],[24Bldg]],0)</f>
        <v>0.14201983769161405</v>
      </c>
      <c r="BT1808" s="36">
        <f>(Inventory[[#This Row],[Adjusted Land Total]]-Inventory[[#This Row],[24Lnd]])/Inventory[[#This Row],[24Lnd]]</f>
        <v>-0.36815068493150682</v>
      </c>
      <c r="BU1808" s="36">
        <f>(Inventory[[#This Row],[Adjusted Total]]-Inventory[[#This Row],[24Final]])/Inventory[[#This Row],[24Final]]</f>
        <v>3.5688793718772309E-2</v>
      </c>
    </row>
    <row r="1809" spans="1:73" x14ac:dyDescent="0.3">
      <c r="A1809" s="25">
        <v>2025</v>
      </c>
      <c r="B1809" s="26" t="s">
        <v>2473</v>
      </c>
      <c r="C1809" s="26">
        <f>LN(Inventory[[#This Row],[Acres]])</f>
        <v>-1.7147984280919266</v>
      </c>
      <c r="D1809" s="25">
        <v>0.18</v>
      </c>
      <c r="E1809" s="25">
        <v>7700</v>
      </c>
      <c r="F1809" s="26" t="s">
        <v>537</v>
      </c>
      <c r="G1809" s="26" t="s">
        <v>126</v>
      </c>
      <c r="H1809" s="26" t="s">
        <v>349</v>
      </c>
      <c r="I1809" s="26" t="s">
        <v>538</v>
      </c>
      <c r="J1809" s="26" t="s">
        <v>539</v>
      </c>
      <c r="K1809" s="26" t="s">
        <v>242</v>
      </c>
      <c r="L1809" s="26" t="s">
        <v>205</v>
      </c>
      <c r="M1809" s="26" t="s">
        <v>323</v>
      </c>
      <c r="N1809" s="26">
        <v>100</v>
      </c>
      <c r="O1809" s="26">
        <f>2024-Inventory[[#This Row],[YrBlt]]</f>
        <v>94</v>
      </c>
      <c r="P1809" s="26">
        <f>2024-Inventory[[#This Row],[EffYr]]</f>
        <v>54</v>
      </c>
      <c r="Q1809" s="25">
        <v>1930</v>
      </c>
      <c r="R1809" s="25">
        <v>1970</v>
      </c>
      <c r="S1809" s="25">
        <v>788</v>
      </c>
      <c r="T1809" s="27"/>
      <c r="U1809" s="27"/>
      <c r="V1809" s="27">
        <f>Inventory[[#This Row],[Bsmt]]-Inventory[[#This Row],[FnBsmt]]</f>
        <v>0</v>
      </c>
      <c r="W1809" s="27"/>
      <c r="X1809" s="27"/>
      <c r="Y1809" s="27">
        <f>Inventory[[#This Row],[MainFn]]+Inventory[[#This Row],[UpprFn]]+Inventory[[#This Row],[FnBsmt]]+Inventory[[#This Row],[AddFn]]</f>
        <v>788</v>
      </c>
      <c r="Z1809" s="27">
        <v>1000</v>
      </c>
      <c r="AA1809" s="25">
        <v>5</v>
      </c>
      <c r="AB1809" s="31"/>
      <c r="AC1809" s="27"/>
      <c r="AD1809" s="27"/>
      <c r="AE1809" s="27"/>
      <c r="AF1809" s="27"/>
      <c r="AG1809" s="27"/>
      <c r="AH1809" s="27"/>
      <c r="AI1809" s="25">
        <v>121414</v>
      </c>
      <c r="AJ1809" s="25">
        <v>80133</v>
      </c>
      <c r="AK1809" s="25">
        <v>1556</v>
      </c>
      <c r="AL1809" s="25">
        <v>233300</v>
      </c>
      <c r="AM1809" s="25">
        <v>54700</v>
      </c>
      <c r="AN1809" s="25">
        <v>178600</v>
      </c>
      <c r="AO1809" s="25">
        <v>0</v>
      </c>
      <c r="AP1809" s="25">
        <f>Lookups!$B$56*0</f>
        <v>0</v>
      </c>
      <c r="AQ1809" s="25">
        <f>Lookups!$B$56*1</f>
        <v>89850.625589999996</v>
      </c>
      <c r="AR1809" s="25">
        <f>Lookups!$B$57*Inventory[[#This Row],[LnAcres]]</f>
        <v>-54281.285314520763</v>
      </c>
      <c r="AS1809" s="25">
        <f>VLOOKUP(Inventory[[#This Row],[Qlty]],Lookups!$A$62:$E$75,2,FALSE)</f>
        <v>0</v>
      </c>
      <c r="AT1809" s="25">
        <f>VLOOKUP(Inventory[[#This Row],[Cnd]],Lookups!$A$76:$E$84,2,FALSE)</f>
        <v>160472.20319</v>
      </c>
      <c r="AU1809" s="25">
        <f>Inventory[[#This Row],[EffAge]]*Lookups!$B$85</f>
        <v>-12044.462427</v>
      </c>
      <c r="AV1809" s="25">
        <f>Inventory[[#This Row],[MainFn]]*Lookups!$B$86</f>
        <v>38934.031863076001</v>
      </c>
      <c r="AW1809" s="25">
        <f>Inventory[[#This Row],[UpprFn]]*Lookups!$B$87</f>
        <v>0</v>
      </c>
      <c r="AX1809" s="25">
        <f>Inventory[[#This Row],[AddFn]]*Lookups!$B$88</f>
        <v>0</v>
      </c>
      <c r="AY1809" s="25">
        <f>Inventory[[#This Row],[Bsmt]]*Lookups!$B$89</f>
        <v>0</v>
      </c>
      <c r="AZ1809" s="25">
        <f>Inventory[[#This Row],[Fixtures]]*Lookups!$B$90</f>
        <v>18960.110526</v>
      </c>
      <c r="BA1809" s="25">
        <f>Inventory[[#This Row],[WdDeck]]*Lookups!$B$91</f>
        <v>0</v>
      </c>
      <c r="BB1809" s="25">
        <f>ROUND(Inventory[[#This Row],[25Det]],-2)</f>
        <v>1600</v>
      </c>
      <c r="BC1809" s="25">
        <f>ROUND(SUM(Inventory[[#This Row],[Mdl Qlty]:[Mdl WdDeck]])+Inventory[[#This Row],[Mdl Res Intercept]],-2)</f>
        <v>206300</v>
      </c>
      <c r="BD1809" s="25">
        <f>ROUND(Inventory[[#This Row],[Mdl Land Intercept]]+Inventory[[#This Row],[Mdl LnAcres]],-2)</f>
        <v>35600</v>
      </c>
      <c r="BE1809" s="25">
        <f>Inventory[[#This Row],[Unadj Res Value]]+Inventory[[#This Row],[Unadj Det Value]]+Inventory[[#This Row],[Unadj Land Value]]</f>
        <v>243500</v>
      </c>
      <c r="BF1809" s="36">
        <f>(Inventory[[#This Row],[Unadj Total Value]]-Inventory[[#This Row],[24Final]])/Inventory[[#This Row],[24Final]]</f>
        <v>4.3720531504500643E-2</v>
      </c>
      <c r="BG1809" s="25">
        <f>VLOOKUP(Inventory[[#This Row],[Nbhd]],Lookups!$Q$2:$T$4,4,FALSE)</f>
        <v>0.99970000000000003</v>
      </c>
      <c r="BH1809" s="25">
        <f>VLOOKUP(Inventory[[#This Row],[Qlty]],Lookups!$O$7:$R$21,4,FALSE)</f>
        <v>0.99180000000000001</v>
      </c>
      <c r="BI1809" s="25">
        <f>VLOOKUP(Inventory[[#This Row],[Cnd]],Lookups!$T$7:$W$16,4,FALSE)</f>
        <v>0.99729999999999996</v>
      </c>
      <c r="BJ1809" s="25">
        <f>VLOOKUP(Inventory[[#This Row],[LivArea Range]],Lookups!$T$25:$W$37,4,FALSE)</f>
        <v>1.0148999999999999</v>
      </c>
      <c r="BK1809" s="25">
        <f>VLOOKUP(Inventory[[#This Row],[Decade]],Lookups!$O$25:$R$42,4,FALSE)</f>
        <v>1.0074000000000001</v>
      </c>
      <c r="BL1809" s="25">
        <f>Inventory[[#This Row],[Nbhd Adj]]*0.95</f>
        <v>0.94971499999999998</v>
      </c>
      <c r="BM1809" s="25">
        <f>Inventory[[#This Row],[Nbhd Adj]]*Inventory[[#This Row],[Quality Adj]]*Inventory[[#This Row],[Condition Adj]]*Inventory[[#This Row],[Living Area Adj]]*Inventory[[#This Row],[Decade Adj]]*0.95</f>
        <v>0.96043597585476481</v>
      </c>
      <c r="BN1809" s="25">
        <f>ROUND(SUM(Inventory[[#This Row],[Mdl Qlty]:[Mdl WdDeck]])+Inventory[[#This Row],[Mdl Res Intercept]]*Inventory[[#This Row],[Res Adj ]],-2)</f>
        <v>206300</v>
      </c>
      <c r="BO1809" s="25">
        <f>ROUND(Inventory[[#This Row],[25Det]]*Inventory[[#This Row],[Det/Nbhd Adj]],-2)</f>
        <v>1500</v>
      </c>
      <c r="BP1809" s="25">
        <f>Inventory[[#This Row],[Adjusted Res]]+Inventory[[#This Row],[Adj Det ]]</f>
        <v>207800</v>
      </c>
      <c r="BQ1809" s="25">
        <f>ROUND((Inventory[[#This Row],[Mdl Land Intercept]]+Inventory[[#This Row],[Mdl LnAcres]])*Inventory[[#This Row],[Det/Nbhd Adj]],-2)</f>
        <v>33800</v>
      </c>
      <c r="BR1809" s="25">
        <f>Inventory[[#This Row],[Adjusted Impr Total]]+Inventory[[#This Row],[Adjusted Land Total]]</f>
        <v>241600</v>
      </c>
      <c r="BS1809" s="36">
        <f>IFERROR((Inventory[[#This Row],[Adjusted Impr Total]]-Inventory[[#This Row],[24Bldg]])/Inventory[[#This Row],[24Bldg]],0)</f>
        <v>0.16349384098544234</v>
      </c>
      <c r="BT1809" s="36">
        <f>(Inventory[[#This Row],[Adjusted Land Total]]-Inventory[[#This Row],[24Lnd]])/Inventory[[#This Row],[24Lnd]]</f>
        <v>-0.38208409506398539</v>
      </c>
      <c r="BU1809" s="36">
        <f>(Inventory[[#This Row],[Adjusted Total]]-Inventory[[#This Row],[24Final]])/Inventory[[#This Row],[24Final]]</f>
        <v>3.5576510930132879E-2</v>
      </c>
    </row>
    <row r="1810" spans="1:73" x14ac:dyDescent="0.3">
      <c r="A1810" s="25">
        <v>2025</v>
      </c>
      <c r="B1810" s="26" t="s">
        <v>1997</v>
      </c>
      <c r="C1810" s="26">
        <f>LN(Inventory[[#This Row],[Acres]])</f>
        <v>-1.3862943611198906</v>
      </c>
      <c r="D1810" s="25">
        <v>0.25</v>
      </c>
      <c r="E1810" s="31"/>
      <c r="F1810" s="26" t="s">
        <v>537</v>
      </c>
      <c r="G1810" s="26" t="s">
        <v>126</v>
      </c>
      <c r="H1810" s="26" t="s">
        <v>349</v>
      </c>
      <c r="I1810" s="26" t="s">
        <v>538</v>
      </c>
      <c r="J1810" s="26" t="s">
        <v>539</v>
      </c>
      <c r="K1810" s="26" t="s">
        <v>269</v>
      </c>
      <c r="L1810" s="26" t="s">
        <v>351</v>
      </c>
      <c r="M1810" s="26" t="s">
        <v>303</v>
      </c>
      <c r="N1810" s="26">
        <v>100</v>
      </c>
      <c r="O1810" s="26">
        <f>2024-Inventory[[#This Row],[YrBlt]]</f>
        <v>94</v>
      </c>
      <c r="P1810" s="26">
        <f>2024-Inventory[[#This Row],[EffYr]]</f>
        <v>54</v>
      </c>
      <c r="Q1810" s="25">
        <v>1930</v>
      </c>
      <c r="R1810" s="25">
        <v>1970</v>
      </c>
      <c r="S1810" s="25">
        <v>1104</v>
      </c>
      <c r="T1810" s="27"/>
      <c r="U1810" s="32">
        <v>1080</v>
      </c>
      <c r="V1810" s="32">
        <f>Inventory[[#This Row],[Bsmt]]-Inventory[[#This Row],[FnBsmt]]</f>
        <v>0</v>
      </c>
      <c r="W1810" s="32">
        <v>1080</v>
      </c>
      <c r="X1810" s="27"/>
      <c r="Y1810" s="27">
        <f>Inventory[[#This Row],[MainFn]]+Inventory[[#This Row],[UpprFn]]+Inventory[[#This Row],[FnBsmt]]+Inventory[[#This Row],[AddFn]]</f>
        <v>2184</v>
      </c>
      <c r="Z1810" s="27">
        <v>2500</v>
      </c>
      <c r="AA1810" s="25">
        <v>8</v>
      </c>
      <c r="AB1810" s="31"/>
      <c r="AC1810" s="27"/>
      <c r="AD1810" s="27"/>
      <c r="AE1810" s="27"/>
      <c r="AF1810" s="27"/>
      <c r="AG1810" s="27"/>
      <c r="AH1810" s="27"/>
      <c r="AI1810" s="25">
        <v>277977</v>
      </c>
      <c r="AJ1810" s="25">
        <v>189024</v>
      </c>
      <c r="AK1810" s="25">
        <v>6227</v>
      </c>
      <c r="AL1810" s="25">
        <v>360400</v>
      </c>
      <c r="AM1810" s="25">
        <v>66200</v>
      </c>
      <c r="AN1810" s="25">
        <v>294200</v>
      </c>
      <c r="AO1810" s="25">
        <v>0</v>
      </c>
      <c r="AP1810" s="25">
        <f>Lookups!$B$56*0</f>
        <v>0</v>
      </c>
      <c r="AQ1810" s="25">
        <f>Lookups!$B$56*1</f>
        <v>89850.625589999996</v>
      </c>
      <c r="AR1810" s="25">
        <f>Lookups!$B$57*Inventory[[#This Row],[LnAcres]]</f>
        <v>-43882.615305165229</v>
      </c>
      <c r="AS1810" s="25">
        <f>VLOOKUP(Inventory[[#This Row],[Qlty]],Lookups!$A$62:$E$75,2,FALSE)</f>
        <v>21557.329055999999</v>
      </c>
      <c r="AT1810" s="25">
        <f>VLOOKUP(Inventory[[#This Row],[Cnd]],Lookups!$A$76:$E$84,2,FALSE)</f>
        <v>197752.34721000001</v>
      </c>
      <c r="AU1810" s="25">
        <f>Inventory[[#This Row],[EffAge]]*Lookups!$B$85</f>
        <v>-12044.462427</v>
      </c>
      <c r="AV1810" s="25">
        <f>Inventory[[#This Row],[MainFn]]*Lookups!$B$86</f>
        <v>54547.171544208002</v>
      </c>
      <c r="AW1810" s="25">
        <f>Inventory[[#This Row],[UpprFn]]*Lookups!$B$87</f>
        <v>0</v>
      </c>
      <c r="AX1810" s="25">
        <f>Inventory[[#This Row],[AddFn]]*Lookups!$B$88</f>
        <v>0</v>
      </c>
      <c r="AY1810" s="25">
        <f>Inventory[[#This Row],[Bsmt]]*Lookups!$B$89</f>
        <v>31408.446866759998</v>
      </c>
      <c r="AZ1810" s="25">
        <f>Inventory[[#This Row],[Fixtures]]*Lookups!$B$90</f>
        <v>30336.176841600001</v>
      </c>
      <c r="BA1810" s="25">
        <f>Inventory[[#This Row],[WdDeck]]*Lookups!$B$91</f>
        <v>0</v>
      </c>
      <c r="BB1810" s="25">
        <f>ROUND(Inventory[[#This Row],[25Det]],-2)</f>
        <v>6200</v>
      </c>
      <c r="BC1810" s="25">
        <f>ROUND(SUM(Inventory[[#This Row],[Mdl Qlty]:[Mdl WdDeck]])+Inventory[[#This Row],[Mdl Res Intercept]],-2)</f>
        <v>323600</v>
      </c>
      <c r="BD1810" s="25">
        <f>ROUND(Inventory[[#This Row],[Mdl Land Intercept]]+Inventory[[#This Row],[Mdl LnAcres]],-2)</f>
        <v>46000</v>
      </c>
      <c r="BE1810" s="25">
        <f>Inventory[[#This Row],[Unadj Res Value]]+Inventory[[#This Row],[Unadj Det Value]]+Inventory[[#This Row],[Unadj Land Value]]</f>
        <v>375800</v>
      </c>
      <c r="BF1810" s="36">
        <f>(Inventory[[#This Row],[Unadj Total Value]]-Inventory[[#This Row],[24Final]])/Inventory[[#This Row],[24Final]]</f>
        <v>4.2730299667036627E-2</v>
      </c>
      <c r="BG1810" s="25">
        <f>VLOOKUP(Inventory[[#This Row],[Nbhd]],Lookups!$Q$2:$T$4,4,FALSE)</f>
        <v>0.99970000000000003</v>
      </c>
      <c r="BH1810" s="25">
        <f>VLOOKUP(Inventory[[#This Row],[Qlty]],Lookups!$O$7:$R$21,4,FALSE)</f>
        <v>1.0067999999999999</v>
      </c>
      <c r="BI1810" s="25">
        <f>VLOOKUP(Inventory[[#This Row],[Cnd]],Lookups!$T$7:$W$16,4,FALSE)</f>
        <v>0.99650000000000005</v>
      </c>
      <c r="BJ1810" s="25">
        <f>VLOOKUP(Inventory[[#This Row],[LivArea Range]],Lookups!$T$25:$W$37,4,FALSE)</f>
        <v>0.98919999999999997</v>
      </c>
      <c r="BK1810" s="25">
        <f>VLOOKUP(Inventory[[#This Row],[Decade]],Lookups!$O$25:$R$42,4,FALSE)</f>
        <v>1.0074000000000001</v>
      </c>
      <c r="BL1810" s="25">
        <f>Inventory[[#This Row],[Nbhd Adj]]*0.95</f>
        <v>0.94971499999999998</v>
      </c>
      <c r="BM1810" s="25">
        <f>Inventory[[#This Row],[Nbhd Adj]]*Inventory[[#This Row],[Quality Adj]]*Inventory[[#This Row],[Condition Adj]]*Inventory[[#This Row],[Living Area Adj]]*Inventory[[#This Row],[Decade Adj]]*0.95</f>
        <v>0.94951069644125163</v>
      </c>
      <c r="BN1810" s="25">
        <f>ROUND(SUM(Inventory[[#This Row],[Mdl Qlty]:[Mdl WdDeck]])+Inventory[[#This Row],[Mdl Res Intercept]]*Inventory[[#This Row],[Res Adj ]],-2)</f>
        <v>323600</v>
      </c>
      <c r="BO1810" s="25">
        <f>ROUND(Inventory[[#This Row],[25Det]]*Inventory[[#This Row],[Det/Nbhd Adj]],-2)</f>
        <v>5900</v>
      </c>
      <c r="BP1810" s="25">
        <f>Inventory[[#This Row],[Adjusted Res]]+Inventory[[#This Row],[Adj Det ]]</f>
        <v>329500</v>
      </c>
      <c r="BQ1810" s="25">
        <f>ROUND((Inventory[[#This Row],[Mdl Land Intercept]]+Inventory[[#This Row],[Mdl LnAcres]])*Inventory[[#This Row],[Det/Nbhd Adj]],-2)</f>
        <v>43700</v>
      </c>
      <c r="BR1810" s="25">
        <f>Inventory[[#This Row],[Adjusted Impr Total]]+Inventory[[#This Row],[Adjusted Land Total]]</f>
        <v>373200</v>
      </c>
      <c r="BS1810" s="36">
        <f>IFERROR((Inventory[[#This Row],[Adjusted Impr Total]]-Inventory[[#This Row],[24Bldg]])/Inventory[[#This Row],[24Bldg]],0)</f>
        <v>0.11998640380693405</v>
      </c>
      <c r="BT1810" s="36">
        <f>(Inventory[[#This Row],[Adjusted Land Total]]-Inventory[[#This Row],[24Lnd]])/Inventory[[#This Row],[24Lnd]]</f>
        <v>-0.33987915407854985</v>
      </c>
      <c r="BU1810" s="36">
        <f>(Inventory[[#This Row],[Adjusted Total]]-Inventory[[#This Row],[24Final]])/Inventory[[#This Row],[24Final]]</f>
        <v>3.5516093229744729E-2</v>
      </c>
    </row>
    <row r="1811" spans="1:73" x14ac:dyDescent="0.3">
      <c r="A1811" s="25">
        <v>2025</v>
      </c>
      <c r="B1811" s="26" t="s">
        <v>1143</v>
      </c>
      <c r="C1811" s="26">
        <f>LN(Inventory[[#This Row],[Acres]])</f>
        <v>-1.8971199848858813</v>
      </c>
      <c r="D1811" s="25">
        <v>0.15</v>
      </c>
      <c r="E1811" s="25">
        <v>6500</v>
      </c>
      <c r="F1811" s="26" t="s">
        <v>537</v>
      </c>
      <c r="G1811" s="26" t="s">
        <v>126</v>
      </c>
      <c r="H1811" s="26" t="s">
        <v>349</v>
      </c>
      <c r="I1811" s="26" t="s">
        <v>538</v>
      </c>
      <c r="J1811" s="26" t="s">
        <v>539</v>
      </c>
      <c r="K1811" s="26" t="s">
        <v>269</v>
      </c>
      <c r="L1811" s="26" t="s">
        <v>351</v>
      </c>
      <c r="M1811" s="26" t="s">
        <v>323</v>
      </c>
      <c r="N1811" s="26">
        <v>100</v>
      </c>
      <c r="O1811" s="26">
        <f>2024-Inventory[[#This Row],[YrBlt]]</f>
        <v>94</v>
      </c>
      <c r="P1811" s="26">
        <f>2024-Inventory[[#This Row],[EffYr]]</f>
        <v>54</v>
      </c>
      <c r="Q1811" s="25">
        <v>1930</v>
      </c>
      <c r="R1811" s="25">
        <v>1970</v>
      </c>
      <c r="S1811" s="25">
        <v>1176</v>
      </c>
      <c r="T1811" s="27"/>
      <c r="U1811" s="25">
        <v>294</v>
      </c>
      <c r="V1811" s="25">
        <f>Inventory[[#This Row],[Bsmt]]-Inventory[[#This Row],[FnBsmt]]</f>
        <v>0</v>
      </c>
      <c r="W1811" s="25">
        <v>294</v>
      </c>
      <c r="X1811" s="27"/>
      <c r="Y1811" s="27">
        <f>Inventory[[#This Row],[MainFn]]+Inventory[[#This Row],[UpprFn]]+Inventory[[#This Row],[FnBsmt]]+Inventory[[#This Row],[AddFn]]</f>
        <v>1470</v>
      </c>
      <c r="Z1811" s="27">
        <v>1500</v>
      </c>
      <c r="AA1811" s="25">
        <v>5</v>
      </c>
      <c r="AB1811" s="27"/>
      <c r="AC1811" s="31"/>
      <c r="AD1811" s="31"/>
      <c r="AE1811" s="27"/>
      <c r="AF1811" s="27"/>
      <c r="AG1811" s="27"/>
      <c r="AH1811" s="27"/>
      <c r="AI1811" s="25">
        <v>229374</v>
      </c>
      <c r="AJ1811" s="25">
        <v>151387</v>
      </c>
      <c r="AK1811" s="25">
        <v>8156</v>
      </c>
      <c r="AL1811" s="25">
        <v>281600</v>
      </c>
      <c r="AM1811" s="25">
        <v>48400</v>
      </c>
      <c r="AN1811" s="25">
        <v>233200</v>
      </c>
      <c r="AO1811" s="25">
        <v>0</v>
      </c>
      <c r="AP1811" s="25">
        <f>Lookups!$B$56*0</f>
        <v>0</v>
      </c>
      <c r="AQ1811" s="25">
        <f>Lookups!$B$56*1</f>
        <v>89850.625589999996</v>
      </c>
      <c r="AR1811" s="25">
        <f>Lookups!$B$57*Inventory[[#This Row],[LnAcres]]</f>
        <v>-60052.604136134301</v>
      </c>
      <c r="AS1811" s="25">
        <f>VLOOKUP(Inventory[[#This Row],[Qlty]],Lookups!$A$62:$E$75,2,FALSE)</f>
        <v>21557.329055999999</v>
      </c>
      <c r="AT1811" s="25">
        <f>VLOOKUP(Inventory[[#This Row],[Cnd]],Lookups!$A$76:$E$84,2,FALSE)</f>
        <v>160472.20319</v>
      </c>
      <c r="AU1811" s="25">
        <f>Inventory[[#This Row],[EffAge]]*Lookups!$B$85</f>
        <v>-12044.462427</v>
      </c>
      <c r="AV1811" s="25">
        <f>Inventory[[#This Row],[MainFn]]*Lookups!$B$86</f>
        <v>58104.595775351998</v>
      </c>
      <c r="AW1811" s="25">
        <f>Inventory[[#This Row],[UpprFn]]*Lookups!$B$87</f>
        <v>0</v>
      </c>
      <c r="AX1811" s="25">
        <f>Inventory[[#This Row],[AddFn]]*Lookups!$B$88</f>
        <v>0</v>
      </c>
      <c r="AY1811" s="25">
        <f>Inventory[[#This Row],[Bsmt]]*Lookups!$B$89</f>
        <v>8550.0772026180002</v>
      </c>
      <c r="AZ1811" s="25">
        <f>Inventory[[#This Row],[Fixtures]]*Lookups!$B$90</f>
        <v>18960.110526</v>
      </c>
      <c r="BA1811" s="25">
        <f>Inventory[[#This Row],[WdDeck]]*Lookups!$B$91</f>
        <v>0</v>
      </c>
      <c r="BB1811" s="25">
        <f>ROUND(Inventory[[#This Row],[25Det]],-2)</f>
        <v>8200</v>
      </c>
      <c r="BC1811" s="25">
        <f>ROUND(SUM(Inventory[[#This Row],[Mdl Qlty]:[Mdl WdDeck]])+Inventory[[#This Row],[Mdl Res Intercept]],-2)</f>
        <v>255600</v>
      </c>
      <c r="BD1811" s="25">
        <f>ROUND(Inventory[[#This Row],[Mdl Land Intercept]]+Inventory[[#This Row],[Mdl LnAcres]],-2)</f>
        <v>29800</v>
      </c>
      <c r="BE1811" s="25">
        <f>Inventory[[#This Row],[Unadj Res Value]]+Inventory[[#This Row],[Unadj Det Value]]+Inventory[[#This Row],[Unadj Land Value]]</f>
        <v>293600</v>
      </c>
      <c r="BF1811" s="36">
        <f>(Inventory[[#This Row],[Unadj Total Value]]-Inventory[[#This Row],[24Final]])/Inventory[[#This Row],[24Final]]</f>
        <v>4.261363636363636E-2</v>
      </c>
      <c r="BG1811" s="25">
        <f>VLOOKUP(Inventory[[#This Row],[Nbhd]],Lookups!$Q$2:$T$4,4,FALSE)</f>
        <v>0.99970000000000003</v>
      </c>
      <c r="BH1811" s="25">
        <f>VLOOKUP(Inventory[[#This Row],[Qlty]],Lookups!$O$7:$R$21,4,FALSE)</f>
        <v>1.0067999999999999</v>
      </c>
      <c r="BI1811" s="25">
        <f>VLOOKUP(Inventory[[#This Row],[Cnd]],Lookups!$T$7:$W$16,4,FALSE)</f>
        <v>0.99729999999999996</v>
      </c>
      <c r="BJ1811" s="25">
        <f>VLOOKUP(Inventory[[#This Row],[LivArea Range]],Lookups!$T$25:$W$37,4,FALSE)</f>
        <v>1.0157</v>
      </c>
      <c r="BK1811" s="25">
        <f>VLOOKUP(Inventory[[#This Row],[Decade]],Lookups!$O$25:$R$42,4,FALSE)</f>
        <v>1.0074000000000001</v>
      </c>
      <c r="BL1811" s="25">
        <f>Inventory[[#This Row],[Nbhd Adj]]*0.95</f>
        <v>0.94971499999999998</v>
      </c>
      <c r="BM1811" s="25">
        <f>Inventory[[#This Row],[Nbhd Adj]]*Inventory[[#This Row],[Quality Adj]]*Inventory[[#This Row],[Condition Adj]]*Inventory[[#This Row],[Living Area Adj]]*Inventory[[#This Row],[Decade Adj]]*0.95</f>
        <v>0.97573014419916293</v>
      </c>
      <c r="BN1811" s="25">
        <f>ROUND(SUM(Inventory[[#This Row],[Mdl Qlty]:[Mdl WdDeck]])+Inventory[[#This Row],[Mdl Res Intercept]]*Inventory[[#This Row],[Res Adj ]],-2)</f>
        <v>255600</v>
      </c>
      <c r="BO1811" s="25">
        <f>ROUND(Inventory[[#This Row],[25Det]]*Inventory[[#This Row],[Det/Nbhd Adj]],-2)</f>
        <v>7700</v>
      </c>
      <c r="BP1811" s="25">
        <f>Inventory[[#This Row],[Adjusted Res]]+Inventory[[#This Row],[Adj Det ]]</f>
        <v>263300</v>
      </c>
      <c r="BQ1811" s="25">
        <f>ROUND((Inventory[[#This Row],[Mdl Land Intercept]]+Inventory[[#This Row],[Mdl LnAcres]])*Inventory[[#This Row],[Det/Nbhd Adj]],-2)</f>
        <v>28300</v>
      </c>
      <c r="BR1811" s="25">
        <f>Inventory[[#This Row],[Adjusted Impr Total]]+Inventory[[#This Row],[Adjusted Land Total]]</f>
        <v>291600</v>
      </c>
      <c r="BS1811" s="36">
        <f>IFERROR((Inventory[[#This Row],[Adjusted Impr Total]]-Inventory[[#This Row],[24Bldg]])/Inventory[[#This Row],[24Bldg]],0)</f>
        <v>0.129073756432247</v>
      </c>
      <c r="BT1811" s="36">
        <f>(Inventory[[#This Row],[Adjusted Land Total]]-Inventory[[#This Row],[24Lnd]])/Inventory[[#This Row],[24Lnd]]</f>
        <v>-0.41528925619834711</v>
      </c>
      <c r="BU1811" s="36">
        <f>(Inventory[[#This Row],[Adjusted Total]]-Inventory[[#This Row],[24Final]])/Inventory[[#This Row],[24Final]]</f>
        <v>3.551136363636364E-2</v>
      </c>
    </row>
    <row r="1812" spans="1:73" x14ac:dyDescent="0.3">
      <c r="A1812" s="25">
        <v>2025</v>
      </c>
      <c r="B1812" s="26" t="s">
        <v>1212</v>
      </c>
      <c r="C1812" s="26">
        <f>LN(Inventory[[#This Row],[Acres]])</f>
        <v>-1.8325814637483102</v>
      </c>
      <c r="D1812" s="25">
        <v>0.16</v>
      </c>
      <c r="E1812" s="31"/>
      <c r="F1812" s="26" t="s">
        <v>537</v>
      </c>
      <c r="G1812" s="26" t="s">
        <v>126</v>
      </c>
      <c r="H1812" s="26" t="s">
        <v>349</v>
      </c>
      <c r="I1812" s="26" t="s">
        <v>538</v>
      </c>
      <c r="J1812" s="26" t="s">
        <v>539</v>
      </c>
      <c r="K1812" s="26" t="s">
        <v>269</v>
      </c>
      <c r="L1812" s="26" t="s">
        <v>148</v>
      </c>
      <c r="M1812" s="26" t="s">
        <v>303</v>
      </c>
      <c r="N1812" s="26">
        <v>100</v>
      </c>
      <c r="O1812" s="26">
        <f>2024-Inventory[[#This Row],[YrBlt]]</f>
        <v>94</v>
      </c>
      <c r="P1812" s="26">
        <f>2024-Inventory[[#This Row],[EffYr]]</f>
        <v>49</v>
      </c>
      <c r="Q1812" s="25">
        <v>1930</v>
      </c>
      <c r="R1812" s="25">
        <v>1975</v>
      </c>
      <c r="S1812" s="25">
        <v>1536</v>
      </c>
      <c r="T1812" s="27"/>
      <c r="U1812" s="32">
        <v>779</v>
      </c>
      <c r="V1812" s="32">
        <f>Inventory[[#This Row],[Bsmt]]-Inventory[[#This Row],[FnBsmt]]</f>
        <v>0</v>
      </c>
      <c r="W1812" s="32">
        <v>779</v>
      </c>
      <c r="X1812" s="27"/>
      <c r="Y1812" s="27">
        <f>Inventory[[#This Row],[MainFn]]+Inventory[[#This Row],[UpprFn]]+Inventory[[#This Row],[FnBsmt]]+Inventory[[#This Row],[AddFn]]</f>
        <v>2315</v>
      </c>
      <c r="Z1812" s="27">
        <v>2500</v>
      </c>
      <c r="AA1812" s="25">
        <v>8</v>
      </c>
      <c r="AB1812" s="25">
        <v>884</v>
      </c>
      <c r="AC1812" s="27"/>
      <c r="AD1812" s="31"/>
      <c r="AE1812" s="27"/>
      <c r="AF1812" s="27"/>
      <c r="AG1812" s="27"/>
      <c r="AH1812" s="27"/>
      <c r="AI1812" s="25">
        <v>502943</v>
      </c>
      <c r="AJ1812" s="25">
        <v>362119</v>
      </c>
      <c r="AK1812" s="25">
        <v>0</v>
      </c>
      <c r="AL1812" s="25">
        <v>376700</v>
      </c>
      <c r="AM1812" s="25">
        <v>50600</v>
      </c>
      <c r="AN1812" s="25">
        <v>326100</v>
      </c>
      <c r="AO1812" s="25">
        <v>0</v>
      </c>
      <c r="AP1812" s="25">
        <f>Lookups!$B$56*0</f>
        <v>0</v>
      </c>
      <c r="AQ1812" s="25">
        <f>Lookups!$B$56*1</f>
        <v>89850.625589999996</v>
      </c>
      <c r="AR1812" s="25">
        <f>Lookups!$B$57*Inventory[[#This Row],[LnAcres]]</f>
        <v>-58009.662049032086</v>
      </c>
      <c r="AS1812" s="25">
        <f>VLOOKUP(Inventory[[#This Row],[Qlty]],Lookups!$A$62:$E$75,2,FALSE)</f>
        <v>44121.038090000002</v>
      </c>
      <c r="AT1812" s="25">
        <f>VLOOKUP(Inventory[[#This Row],[Cnd]],Lookups!$A$76:$E$84,2,FALSE)</f>
        <v>197752.34721000001</v>
      </c>
      <c r="AU1812" s="25">
        <f>Inventory[[#This Row],[EffAge]]*Lookups!$B$85</f>
        <v>-10929.2344245</v>
      </c>
      <c r="AV1812" s="25">
        <f>Inventory[[#This Row],[MainFn]]*Lookups!$B$86</f>
        <v>75891.716931072006</v>
      </c>
      <c r="AW1812" s="25">
        <f>Inventory[[#This Row],[UpprFn]]*Lookups!$B$87</f>
        <v>0</v>
      </c>
      <c r="AX1812" s="25">
        <f>Inventory[[#This Row],[AddFn]]*Lookups!$B$88</f>
        <v>0</v>
      </c>
      <c r="AY1812" s="25">
        <f>Inventory[[#This Row],[Bsmt]]*Lookups!$B$89</f>
        <v>22654.796397413</v>
      </c>
      <c r="AZ1812" s="25">
        <f>Inventory[[#This Row],[Fixtures]]*Lookups!$B$90</f>
        <v>30336.176841600001</v>
      </c>
      <c r="BA1812" s="25">
        <f>Inventory[[#This Row],[WdDeck]]*Lookups!$B$91</f>
        <v>0</v>
      </c>
      <c r="BB1812" s="25">
        <f>ROUND(Inventory[[#This Row],[25Det]],-2)</f>
        <v>0</v>
      </c>
      <c r="BC1812" s="25">
        <f>ROUND(SUM(Inventory[[#This Row],[Mdl Qlty]:[Mdl WdDeck]])+Inventory[[#This Row],[Mdl Res Intercept]],-2)</f>
        <v>359800</v>
      </c>
      <c r="BD1812" s="25">
        <f>ROUND(Inventory[[#This Row],[Mdl Land Intercept]]+Inventory[[#This Row],[Mdl LnAcres]],-2)</f>
        <v>31800</v>
      </c>
      <c r="BE1812" s="25">
        <f>Inventory[[#This Row],[Unadj Res Value]]+Inventory[[#This Row],[Unadj Det Value]]+Inventory[[#This Row],[Unadj Land Value]]</f>
        <v>391600</v>
      </c>
      <c r="BF1812" s="36">
        <f>(Inventory[[#This Row],[Unadj Total Value]]-Inventory[[#This Row],[24Final]])/Inventory[[#This Row],[24Final]]</f>
        <v>3.9554021767985136E-2</v>
      </c>
      <c r="BG1812" s="25">
        <f>VLOOKUP(Inventory[[#This Row],[Nbhd]],Lookups!$Q$2:$T$4,4,FALSE)</f>
        <v>0.99970000000000003</v>
      </c>
      <c r="BH1812" s="25">
        <f>VLOOKUP(Inventory[[#This Row],[Qlty]],Lookups!$O$7:$R$21,4,FALSE)</f>
        <v>0.98050000000000004</v>
      </c>
      <c r="BI1812" s="25">
        <f>VLOOKUP(Inventory[[#This Row],[Cnd]],Lookups!$T$7:$W$16,4,FALSE)</f>
        <v>0.99650000000000005</v>
      </c>
      <c r="BJ1812" s="25">
        <f>VLOOKUP(Inventory[[#This Row],[LivArea Range]],Lookups!$T$25:$W$37,4,FALSE)</f>
        <v>0.98919999999999997</v>
      </c>
      <c r="BK1812" s="25">
        <f>VLOOKUP(Inventory[[#This Row],[Decade]],Lookups!$O$25:$R$42,4,FALSE)</f>
        <v>1.0074000000000001</v>
      </c>
      <c r="BL1812" s="25">
        <f>Inventory[[#This Row],[Nbhd Adj]]*0.95</f>
        <v>0.94971499999999998</v>
      </c>
      <c r="BM1812" s="25">
        <f>Inventory[[#This Row],[Nbhd Adj]]*Inventory[[#This Row],[Quality Adj]]*Inventory[[#This Row],[Condition Adj]]*Inventory[[#This Row],[Living Area Adj]]*Inventory[[#This Row],[Decade Adj]]*0.95</f>
        <v>0.9247072287054503</v>
      </c>
      <c r="BN1812" s="25">
        <f>ROUND(SUM(Inventory[[#This Row],[Mdl Qlty]:[Mdl WdDeck]])+Inventory[[#This Row],[Mdl Res Intercept]]*Inventory[[#This Row],[Res Adj ]],-2)</f>
        <v>359800</v>
      </c>
      <c r="BO1812" s="25">
        <f>ROUND(Inventory[[#This Row],[25Det]]*Inventory[[#This Row],[Det/Nbhd Adj]],-2)</f>
        <v>0</v>
      </c>
      <c r="BP1812" s="25">
        <f>Inventory[[#This Row],[Adjusted Res]]+Inventory[[#This Row],[Adj Det ]]</f>
        <v>359800</v>
      </c>
      <c r="BQ1812" s="25">
        <f>ROUND((Inventory[[#This Row],[Mdl Land Intercept]]+Inventory[[#This Row],[Mdl LnAcres]])*Inventory[[#This Row],[Det/Nbhd Adj]],-2)</f>
        <v>30200</v>
      </c>
      <c r="BR1812" s="25">
        <f>Inventory[[#This Row],[Adjusted Impr Total]]+Inventory[[#This Row],[Adjusted Land Total]]</f>
        <v>390000</v>
      </c>
      <c r="BS1812" s="36">
        <f>IFERROR((Inventory[[#This Row],[Adjusted Impr Total]]-Inventory[[#This Row],[24Bldg]])/Inventory[[#This Row],[24Bldg]],0)</f>
        <v>0.10334253296534805</v>
      </c>
      <c r="BT1812" s="36">
        <f>(Inventory[[#This Row],[Adjusted Land Total]]-Inventory[[#This Row],[24Lnd]])/Inventory[[#This Row],[24Lnd]]</f>
        <v>-0.40316205533596838</v>
      </c>
      <c r="BU1812" s="36">
        <f>(Inventory[[#This Row],[Adjusted Total]]-Inventory[[#This Row],[24Final]])/Inventory[[#This Row],[24Final]]</f>
        <v>3.5306610034510223E-2</v>
      </c>
    </row>
    <row r="1813" spans="1:73" x14ac:dyDescent="0.3">
      <c r="A1813" s="25">
        <v>2025</v>
      </c>
      <c r="B1813" s="26" t="s">
        <v>1109</v>
      </c>
      <c r="C1813" s="26">
        <f>LN(Inventory[[#This Row],[Acres]])</f>
        <v>-1.9661128563728327</v>
      </c>
      <c r="D1813" s="25">
        <v>0.14000000000000001</v>
      </c>
      <c r="E1813" s="27"/>
      <c r="F1813" s="26" t="s">
        <v>537</v>
      </c>
      <c r="G1813" s="26" t="s">
        <v>126</v>
      </c>
      <c r="H1813" s="26" t="s">
        <v>349</v>
      </c>
      <c r="I1813" s="26" t="s">
        <v>538</v>
      </c>
      <c r="J1813" s="26" t="s">
        <v>539</v>
      </c>
      <c r="K1813" s="26" t="s">
        <v>242</v>
      </c>
      <c r="L1813" s="26" t="s">
        <v>302</v>
      </c>
      <c r="M1813" s="26" t="s">
        <v>323</v>
      </c>
      <c r="N1813" s="26">
        <v>100</v>
      </c>
      <c r="O1813" s="26">
        <f>2024-Inventory[[#This Row],[YrBlt]]</f>
        <v>94</v>
      </c>
      <c r="P1813" s="26">
        <f>2024-Inventory[[#This Row],[EffYr]]</f>
        <v>54</v>
      </c>
      <c r="Q1813" s="25">
        <v>1930</v>
      </c>
      <c r="R1813" s="25">
        <v>1970</v>
      </c>
      <c r="S1813" s="25">
        <v>832</v>
      </c>
      <c r="T1813" s="27"/>
      <c r="U1813" s="32">
        <v>580</v>
      </c>
      <c r="V1813" s="32">
        <f>Inventory[[#This Row],[Bsmt]]-Inventory[[#This Row],[FnBsmt]]</f>
        <v>0</v>
      </c>
      <c r="W1813" s="32">
        <v>580</v>
      </c>
      <c r="X1813" s="27"/>
      <c r="Y1813" s="27">
        <f>Inventory[[#This Row],[MainFn]]+Inventory[[#This Row],[UpprFn]]+Inventory[[#This Row],[FnBsmt]]+Inventory[[#This Row],[AddFn]]</f>
        <v>1412</v>
      </c>
      <c r="Z1813" s="27">
        <v>1500</v>
      </c>
      <c r="AA1813" s="25">
        <v>5</v>
      </c>
      <c r="AB1813" s="27"/>
      <c r="AC1813" s="32">
        <v>240</v>
      </c>
      <c r="AD1813" s="27"/>
      <c r="AE1813" s="27"/>
      <c r="AF1813" s="27"/>
      <c r="AG1813" s="27"/>
      <c r="AH1813" s="27"/>
      <c r="AI1813" s="25">
        <v>243596</v>
      </c>
      <c r="AJ1813" s="25">
        <v>160773</v>
      </c>
      <c r="AK1813" s="25">
        <v>0</v>
      </c>
      <c r="AL1813" s="25">
        <v>272000</v>
      </c>
      <c r="AM1813" s="25">
        <v>46000</v>
      </c>
      <c r="AN1813" s="25">
        <v>226000</v>
      </c>
      <c r="AO1813" s="25">
        <v>0</v>
      </c>
      <c r="AP1813" s="25">
        <f>Lookups!$B$56*0</f>
        <v>0</v>
      </c>
      <c r="AQ1813" s="25">
        <f>Lookups!$B$56*1</f>
        <v>89850.625589999996</v>
      </c>
      <c r="AR1813" s="25">
        <f>Lookups!$B$57*Inventory[[#This Row],[LnAcres]]</f>
        <v>-62236.546971921947</v>
      </c>
      <c r="AS1813" s="25">
        <f>VLOOKUP(Inventory[[#This Row],[Qlty]],Lookups!$A$62:$E$75,2,FALSE)</f>
        <v>29814.093161000001</v>
      </c>
      <c r="AT1813" s="25">
        <f>VLOOKUP(Inventory[[#This Row],[Cnd]],Lookups!$A$76:$E$84,2,FALSE)</f>
        <v>160472.20319</v>
      </c>
      <c r="AU1813" s="25">
        <f>Inventory[[#This Row],[EffAge]]*Lookups!$B$85</f>
        <v>-12044.462427</v>
      </c>
      <c r="AV1813" s="25">
        <f>Inventory[[#This Row],[MainFn]]*Lookups!$B$86</f>
        <v>41108.013337664001</v>
      </c>
      <c r="AW1813" s="25">
        <f>Inventory[[#This Row],[UpprFn]]*Lookups!$B$87</f>
        <v>0</v>
      </c>
      <c r="AX1813" s="25">
        <f>Inventory[[#This Row],[AddFn]]*Lookups!$B$88</f>
        <v>0</v>
      </c>
      <c r="AY1813" s="25">
        <f>Inventory[[#This Row],[Bsmt]]*Lookups!$B$89</f>
        <v>16867.499243259997</v>
      </c>
      <c r="AZ1813" s="25">
        <f>Inventory[[#This Row],[Fixtures]]*Lookups!$B$90</f>
        <v>18960.110526</v>
      </c>
      <c r="BA1813" s="25">
        <f>Inventory[[#This Row],[WdDeck]]*Lookups!$B$91</f>
        <v>0</v>
      </c>
      <c r="BB1813" s="25">
        <f>ROUND(Inventory[[#This Row],[25Det]],-2)</f>
        <v>0</v>
      </c>
      <c r="BC1813" s="25">
        <f>ROUND(SUM(Inventory[[#This Row],[Mdl Qlty]:[Mdl WdDeck]])+Inventory[[#This Row],[Mdl Res Intercept]],-2)</f>
        <v>255200</v>
      </c>
      <c r="BD1813" s="25">
        <f>ROUND(Inventory[[#This Row],[Mdl Land Intercept]]+Inventory[[#This Row],[Mdl LnAcres]],-2)</f>
        <v>27600</v>
      </c>
      <c r="BE1813" s="25">
        <f>Inventory[[#This Row],[Unadj Res Value]]+Inventory[[#This Row],[Unadj Det Value]]+Inventory[[#This Row],[Unadj Land Value]]</f>
        <v>282800</v>
      </c>
      <c r="BF1813" s="36">
        <f>(Inventory[[#This Row],[Unadj Total Value]]-Inventory[[#This Row],[24Final]])/Inventory[[#This Row],[24Final]]</f>
        <v>3.9705882352941174E-2</v>
      </c>
      <c r="BG1813" s="25">
        <f>VLOOKUP(Inventory[[#This Row],[Nbhd]],Lookups!$Q$2:$T$4,4,FALSE)</f>
        <v>0.99970000000000003</v>
      </c>
      <c r="BH1813" s="25">
        <f>VLOOKUP(Inventory[[#This Row],[Qlty]],Lookups!$O$7:$R$21,4,FALSE)</f>
        <v>1.0088999999999999</v>
      </c>
      <c r="BI1813" s="25">
        <f>VLOOKUP(Inventory[[#This Row],[Cnd]],Lookups!$T$7:$W$16,4,FALSE)</f>
        <v>0.99729999999999996</v>
      </c>
      <c r="BJ1813" s="25">
        <f>VLOOKUP(Inventory[[#This Row],[LivArea Range]],Lookups!$T$25:$W$37,4,FALSE)</f>
        <v>1.0157</v>
      </c>
      <c r="BK1813" s="25">
        <f>VLOOKUP(Inventory[[#This Row],[Decade]],Lookups!$O$25:$R$42,4,FALSE)</f>
        <v>1.0074000000000001</v>
      </c>
      <c r="BL1813" s="25">
        <f>Inventory[[#This Row],[Nbhd Adj]]*0.95</f>
        <v>0.94971499999999998</v>
      </c>
      <c r="BM1813" s="25">
        <f>Inventory[[#This Row],[Nbhd Adj]]*Inventory[[#This Row],[Quality Adj]]*Inventory[[#This Row],[Condition Adj]]*Inventory[[#This Row],[Living Area Adj]]*Inventory[[#This Row],[Decade Adj]]*0.95</f>
        <v>0.97776533818289202</v>
      </c>
      <c r="BN1813" s="25">
        <f>ROUND(SUM(Inventory[[#This Row],[Mdl Qlty]:[Mdl WdDeck]])+Inventory[[#This Row],[Mdl Res Intercept]]*Inventory[[#This Row],[Res Adj ]],-2)</f>
        <v>255200</v>
      </c>
      <c r="BO1813" s="25">
        <f>ROUND(Inventory[[#This Row],[25Det]]*Inventory[[#This Row],[Det/Nbhd Adj]],-2)</f>
        <v>0</v>
      </c>
      <c r="BP1813" s="25">
        <f>Inventory[[#This Row],[Adjusted Res]]+Inventory[[#This Row],[Adj Det ]]</f>
        <v>255200</v>
      </c>
      <c r="BQ1813" s="25">
        <f>ROUND((Inventory[[#This Row],[Mdl Land Intercept]]+Inventory[[#This Row],[Mdl LnAcres]])*Inventory[[#This Row],[Det/Nbhd Adj]],-2)</f>
        <v>26200</v>
      </c>
      <c r="BR1813" s="25">
        <f>Inventory[[#This Row],[Adjusted Impr Total]]+Inventory[[#This Row],[Adjusted Land Total]]</f>
        <v>281400</v>
      </c>
      <c r="BS1813" s="36">
        <f>IFERROR((Inventory[[#This Row],[Adjusted Impr Total]]-Inventory[[#This Row],[24Bldg]])/Inventory[[#This Row],[24Bldg]],0)</f>
        <v>0.12920353982300886</v>
      </c>
      <c r="BT1813" s="36">
        <f>(Inventory[[#This Row],[Adjusted Land Total]]-Inventory[[#This Row],[24Lnd]])/Inventory[[#This Row],[24Lnd]]</f>
        <v>-0.43043478260869567</v>
      </c>
      <c r="BU1813" s="36">
        <f>(Inventory[[#This Row],[Adjusted Total]]-Inventory[[#This Row],[24Final]])/Inventory[[#This Row],[24Final]]</f>
        <v>3.4558823529411767E-2</v>
      </c>
    </row>
    <row r="1814" spans="1:73" x14ac:dyDescent="0.3">
      <c r="A1814" s="25">
        <v>2025</v>
      </c>
      <c r="B1814" s="26" t="s">
        <v>2616</v>
      </c>
      <c r="C1814" s="26">
        <f>LN(Inventory[[#This Row],[Acres]])</f>
        <v>-0.9942522733438669</v>
      </c>
      <c r="D1814" s="25">
        <v>0.37</v>
      </c>
      <c r="E1814" s="32">
        <v>16164</v>
      </c>
      <c r="F1814" s="26" t="s">
        <v>537</v>
      </c>
      <c r="G1814" s="26" t="s">
        <v>126</v>
      </c>
      <c r="H1814" s="26" t="s">
        <v>349</v>
      </c>
      <c r="I1814" s="26" t="s">
        <v>538</v>
      </c>
      <c r="J1814" s="26" t="s">
        <v>539</v>
      </c>
      <c r="K1814" s="26" t="s">
        <v>301</v>
      </c>
      <c r="L1814" s="26" t="s">
        <v>148</v>
      </c>
      <c r="M1814" s="26" t="s">
        <v>303</v>
      </c>
      <c r="N1814" s="26">
        <v>100</v>
      </c>
      <c r="O1814" s="26">
        <f>2024-Inventory[[#This Row],[YrBlt]]</f>
        <v>94</v>
      </c>
      <c r="P1814" s="26">
        <f>2024-Inventory[[#This Row],[EffYr]]</f>
        <v>54</v>
      </c>
      <c r="Q1814" s="25">
        <v>1930</v>
      </c>
      <c r="R1814" s="25">
        <v>1970</v>
      </c>
      <c r="S1814" s="25">
        <v>2091</v>
      </c>
      <c r="T1814" s="32">
        <v>864</v>
      </c>
      <c r="U1814" s="32">
        <v>1092</v>
      </c>
      <c r="V1814" s="32">
        <f>Inventory[[#This Row],[Bsmt]]-Inventory[[#This Row],[FnBsmt]]</f>
        <v>0</v>
      </c>
      <c r="W1814" s="32">
        <v>1092</v>
      </c>
      <c r="X1814" s="27"/>
      <c r="Y1814" s="27">
        <f>Inventory[[#This Row],[MainFn]]+Inventory[[#This Row],[UpprFn]]+Inventory[[#This Row],[FnBsmt]]+Inventory[[#This Row],[AddFn]]</f>
        <v>4047</v>
      </c>
      <c r="Z1814" s="27">
        <v>4500</v>
      </c>
      <c r="AA1814" s="25">
        <v>8</v>
      </c>
      <c r="AB1814" s="31"/>
      <c r="AC1814" s="27"/>
      <c r="AD1814" s="27"/>
      <c r="AE1814" s="27"/>
      <c r="AF1814" s="27"/>
      <c r="AG1814" s="27"/>
      <c r="AH1814" s="27"/>
      <c r="AI1814" s="25">
        <v>644875</v>
      </c>
      <c r="AJ1814" s="25">
        <v>438515</v>
      </c>
      <c r="AK1814" s="25">
        <v>9578</v>
      </c>
      <c r="AL1814" s="25">
        <v>482100</v>
      </c>
      <c r="AM1814" s="25">
        <v>79900</v>
      </c>
      <c r="AN1814" s="25">
        <v>402200</v>
      </c>
      <c r="AO1814" s="25">
        <v>0</v>
      </c>
      <c r="AP1814" s="25">
        <f>Lookups!$B$56*0</f>
        <v>0</v>
      </c>
      <c r="AQ1814" s="25">
        <f>Lookups!$B$56*1</f>
        <v>89850.625589999996</v>
      </c>
      <c r="AR1814" s="25">
        <f>Lookups!$B$57*Inventory[[#This Row],[LnAcres]]</f>
        <v>-31472.673662315807</v>
      </c>
      <c r="AS1814" s="25">
        <f>VLOOKUP(Inventory[[#This Row],[Qlty]],Lookups!$A$62:$E$75,2,FALSE)</f>
        <v>44121.038090000002</v>
      </c>
      <c r="AT1814" s="25">
        <f>VLOOKUP(Inventory[[#This Row],[Cnd]],Lookups!$A$76:$E$84,2,FALSE)</f>
        <v>197752.34721000001</v>
      </c>
      <c r="AU1814" s="25">
        <f>Inventory[[#This Row],[EffAge]]*Lookups!$B$85</f>
        <v>-12044.462427</v>
      </c>
      <c r="AV1814" s="25">
        <f>Inventory[[#This Row],[MainFn]]*Lookups!$B$86</f>
        <v>103313.528712807</v>
      </c>
      <c r="AW1814" s="25">
        <f>Inventory[[#This Row],[UpprFn]]*Lookups!$B$87</f>
        <v>38695.469351904001</v>
      </c>
      <c r="AX1814" s="25">
        <f>Inventory[[#This Row],[AddFn]]*Lookups!$B$88</f>
        <v>0</v>
      </c>
      <c r="AY1814" s="25">
        <f>Inventory[[#This Row],[Bsmt]]*Lookups!$B$89</f>
        <v>31757.429609723997</v>
      </c>
      <c r="AZ1814" s="25">
        <f>Inventory[[#This Row],[Fixtures]]*Lookups!$B$90</f>
        <v>30336.176841600001</v>
      </c>
      <c r="BA1814" s="25">
        <f>Inventory[[#This Row],[WdDeck]]*Lookups!$B$91</f>
        <v>0</v>
      </c>
      <c r="BB1814" s="25">
        <f>ROUND(Inventory[[#This Row],[25Det]],-2)</f>
        <v>9600</v>
      </c>
      <c r="BC1814" s="25">
        <f>ROUND(SUM(Inventory[[#This Row],[Mdl Qlty]:[Mdl WdDeck]])+Inventory[[#This Row],[Mdl Res Intercept]],-2)</f>
        <v>433900</v>
      </c>
      <c r="BD1814" s="25">
        <f>ROUND(Inventory[[#This Row],[Mdl Land Intercept]]+Inventory[[#This Row],[Mdl LnAcres]],-2)</f>
        <v>58400</v>
      </c>
      <c r="BE1814" s="25">
        <f>Inventory[[#This Row],[Unadj Res Value]]+Inventory[[#This Row],[Unadj Det Value]]+Inventory[[#This Row],[Unadj Land Value]]</f>
        <v>501900</v>
      </c>
      <c r="BF1814" s="36">
        <f>(Inventory[[#This Row],[Unadj Total Value]]-Inventory[[#This Row],[24Final]])/Inventory[[#This Row],[24Final]]</f>
        <v>4.1070317361543249E-2</v>
      </c>
      <c r="BG1814" s="25">
        <f>VLOOKUP(Inventory[[#This Row],[Nbhd]],Lookups!$Q$2:$T$4,4,FALSE)</f>
        <v>0.99970000000000003</v>
      </c>
      <c r="BH1814" s="25">
        <f>VLOOKUP(Inventory[[#This Row],[Qlty]],Lookups!$O$7:$R$21,4,FALSE)</f>
        <v>0.98050000000000004</v>
      </c>
      <c r="BI1814" s="25">
        <f>VLOOKUP(Inventory[[#This Row],[Cnd]],Lookups!$T$7:$W$16,4,FALSE)</f>
        <v>0.99650000000000005</v>
      </c>
      <c r="BJ1814" s="25">
        <f>VLOOKUP(Inventory[[#This Row],[LivArea Range]],Lookups!$T$25:$W$37,4,FALSE)</f>
        <v>1</v>
      </c>
      <c r="BK1814" s="25">
        <f>VLOOKUP(Inventory[[#This Row],[Decade]],Lookups!$O$25:$R$42,4,FALSE)</f>
        <v>1.0074000000000001</v>
      </c>
      <c r="BL1814" s="25">
        <f>Inventory[[#This Row],[Nbhd Adj]]*0.95</f>
        <v>0.94971499999999998</v>
      </c>
      <c r="BM1814" s="25">
        <f>Inventory[[#This Row],[Nbhd Adj]]*Inventory[[#This Row],[Quality Adj]]*Inventory[[#This Row],[Condition Adj]]*Inventory[[#This Row],[Living Area Adj]]*Inventory[[#This Row],[Decade Adj]]*0.95</f>
        <v>0.93480310220931084</v>
      </c>
      <c r="BN1814" s="25">
        <f>ROUND(SUM(Inventory[[#This Row],[Mdl Qlty]:[Mdl WdDeck]])+Inventory[[#This Row],[Mdl Res Intercept]]*Inventory[[#This Row],[Res Adj ]],-2)</f>
        <v>433900</v>
      </c>
      <c r="BO1814" s="25">
        <f>ROUND(Inventory[[#This Row],[25Det]]*Inventory[[#This Row],[Det/Nbhd Adj]],-2)</f>
        <v>9100</v>
      </c>
      <c r="BP1814" s="25">
        <f>Inventory[[#This Row],[Adjusted Res]]+Inventory[[#This Row],[Adj Det ]]</f>
        <v>443000</v>
      </c>
      <c r="BQ1814" s="25">
        <f>ROUND((Inventory[[#This Row],[Mdl Land Intercept]]+Inventory[[#This Row],[Mdl LnAcres]])*Inventory[[#This Row],[Det/Nbhd Adj]],-2)</f>
        <v>55400</v>
      </c>
      <c r="BR1814" s="25">
        <f>Inventory[[#This Row],[Adjusted Impr Total]]+Inventory[[#This Row],[Adjusted Land Total]]</f>
        <v>498400</v>
      </c>
      <c r="BS1814" s="36">
        <f>IFERROR((Inventory[[#This Row],[Adjusted Impr Total]]-Inventory[[#This Row],[24Bldg]])/Inventory[[#This Row],[24Bldg]],0)</f>
        <v>0.10144206862257583</v>
      </c>
      <c r="BT1814" s="36">
        <f>(Inventory[[#This Row],[Adjusted Land Total]]-Inventory[[#This Row],[24Lnd]])/Inventory[[#This Row],[24Lnd]]</f>
        <v>-0.30663329161451813</v>
      </c>
      <c r="BU1814" s="36">
        <f>(Inventory[[#This Row],[Adjusted Total]]-Inventory[[#This Row],[24Final]])/Inventory[[#This Row],[24Final]]</f>
        <v>3.3810412777432068E-2</v>
      </c>
    </row>
    <row r="1815" spans="1:73" x14ac:dyDescent="0.3">
      <c r="A1815" s="25">
        <v>2025</v>
      </c>
      <c r="B1815" s="26" t="s">
        <v>2375</v>
      </c>
      <c r="C1815" s="26">
        <f>LN(Inventory[[#This Row],[Acres]])</f>
        <v>-1.8325814637483102</v>
      </c>
      <c r="D1815" s="25">
        <v>0.16</v>
      </c>
      <c r="E1815" s="27"/>
      <c r="F1815" s="26" t="s">
        <v>537</v>
      </c>
      <c r="G1815" s="26" t="s">
        <v>126</v>
      </c>
      <c r="H1815" s="26" t="s">
        <v>349</v>
      </c>
      <c r="I1815" s="26" t="s">
        <v>538</v>
      </c>
      <c r="J1815" s="26" t="s">
        <v>539</v>
      </c>
      <c r="K1815" s="26" t="s">
        <v>147</v>
      </c>
      <c r="L1815" s="26" t="s">
        <v>205</v>
      </c>
      <c r="M1815" s="26" t="s">
        <v>323</v>
      </c>
      <c r="N1815" s="26">
        <v>100</v>
      </c>
      <c r="O1815" s="26">
        <f>2024-Inventory[[#This Row],[YrBlt]]</f>
        <v>94</v>
      </c>
      <c r="P1815" s="26">
        <f>2024-Inventory[[#This Row],[EffYr]]</f>
        <v>54</v>
      </c>
      <c r="Q1815" s="25">
        <v>1930</v>
      </c>
      <c r="R1815" s="25">
        <v>1970</v>
      </c>
      <c r="S1815" s="25">
        <v>841</v>
      </c>
      <c r="T1815" s="32">
        <v>300</v>
      </c>
      <c r="U1815" s="32">
        <v>841</v>
      </c>
      <c r="V1815" s="32">
        <f>Inventory[[#This Row],[Bsmt]]-Inventory[[#This Row],[FnBsmt]]</f>
        <v>420</v>
      </c>
      <c r="W1815" s="32">
        <v>421</v>
      </c>
      <c r="X1815" s="27"/>
      <c r="Y1815" s="27">
        <f>Inventory[[#This Row],[MainFn]]+Inventory[[#This Row],[UpprFn]]+Inventory[[#This Row],[FnBsmt]]+Inventory[[#This Row],[AddFn]]</f>
        <v>1562</v>
      </c>
      <c r="Z1815" s="27">
        <v>2000</v>
      </c>
      <c r="AA1815" s="25">
        <v>8</v>
      </c>
      <c r="AB1815" s="31"/>
      <c r="AC1815" s="27"/>
      <c r="AD1815" s="27"/>
      <c r="AE1815" s="27"/>
      <c r="AF1815" s="27"/>
      <c r="AG1815" s="27"/>
      <c r="AH1815" s="27"/>
      <c r="AI1815" s="25">
        <v>217183</v>
      </c>
      <c r="AJ1815" s="25">
        <v>143341</v>
      </c>
      <c r="AK1815" s="25">
        <v>5613</v>
      </c>
      <c r="AL1815" s="25">
        <v>285000</v>
      </c>
      <c r="AM1815" s="25">
        <v>50600</v>
      </c>
      <c r="AN1815" s="25">
        <v>234400</v>
      </c>
      <c r="AO1815" s="25">
        <v>0</v>
      </c>
      <c r="AP1815" s="25">
        <f>Lookups!$B$56*0</f>
        <v>0</v>
      </c>
      <c r="AQ1815" s="25">
        <f>Lookups!$B$56*1</f>
        <v>89850.625589999996</v>
      </c>
      <c r="AR1815" s="25">
        <f>Lookups!$B$57*Inventory[[#This Row],[LnAcres]]</f>
        <v>-58009.662049032086</v>
      </c>
      <c r="AS1815" s="25">
        <f>VLOOKUP(Inventory[[#This Row],[Qlty]],Lookups!$A$62:$E$75,2,FALSE)</f>
        <v>0</v>
      </c>
      <c r="AT1815" s="25">
        <f>VLOOKUP(Inventory[[#This Row],[Cnd]],Lookups!$A$76:$E$84,2,FALSE)</f>
        <v>160472.20319</v>
      </c>
      <c r="AU1815" s="25">
        <f>Inventory[[#This Row],[EffAge]]*Lookups!$B$85</f>
        <v>-12044.462427</v>
      </c>
      <c r="AV1815" s="25">
        <f>Inventory[[#This Row],[MainFn]]*Lookups!$B$86</f>
        <v>41552.691366557003</v>
      </c>
      <c r="AW1815" s="25">
        <f>Inventory[[#This Row],[UpprFn]]*Lookups!$B$87</f>
        <v>13435.926858299999</v>
      </c>
      <c r="AX1815" s="25">
        <f>Inventory[[#This Row],[AddFn]]*Lookups!$B$88</f>
        <v>0</v>
      </c>
      <c r="AY1815" s="25">
        <f>Inventory[[#This Row],[Bsmt]]*Lookups!$B$89</f>
        <v>24457.873902726998</v>
      </c>
      <c r="AZ1815" s="25">
        <f>Inventory[[#This Row],[Fixtures]]*Lookups!$B$90</f>
        <v>30336.176841600001</v>
      </c>
      <c r="BA1815" s="25">
        <f>Inventory[[#This Row],[WdDeck]]*Lookups!$B$91</f>
        <v>0</v>
      </c>
      <c r="BB1815" s="25">
        <f>ROUND(Inventory[[#This Row],[25Det]],-2)</f>
        <v>5600</v>
      </c>
      <c r="BC1815" s="25">
        <f>ROUND(SUM(Inventory[[#This Row],[Mdl Qlty]:[Mdl WdDeck]])+Inventory[[#This Row],[Mdl Res Intercept]],-2)</f>
        <v>258200</v>
      </c>
      <c r="BD1815" s="25">
        <f>ROUND(Inventory[[#This Row],[Mdl Land Intercept]]+Inventory[[#This Row],[Mdl LnAcres]],-2)</f>
        <v>31800</v>
      </c>
      <c r="BE1815" s="25">
        <f>Inventory[[#This Row],[Unadj Res Value]]+Inventory[[#This Row],[Unadj Det Value]]+Inventory[[#This Row],[Unadj Land Value]]</f>
        <v>295600</v>
      </c>
      <c r="BF1815" s="36">
        <f>(Inventory[[#This Row],[Unadj Total Value]]-Inventory[[#This Row],[24Final]])/Inventory[[#This Row],[24Final]]</f>
        <v>3.7192982456140354E-2</v>
      </c>
      <c r="BG1815" s="25">
        <f>VLOOKUP(Inventory[[#This Row],[Nbhd]],Lookups!$Q$2:$T$4,4,FALSE)</f>
        <v>0.99970000000000003</v>
      </c>
      <c r="BH1815" s="25">
        <f>VLOOKUP(Inventory[[#This Row],[Qlty]],Lookups!$O$7:$R$21,4,FALSE)</f>
        <v>0.99180000000000001</v>
      </c>
      <c r="BI1815" s="25">
        <f>VLOOKUP(Inventory[[#This Row],[Cnd]],Lookups!$T$7:$W$16,4,FALSE)</f>
        <v>0.99729999999999996</v>
      </c>
      <c r="BJ1815" s="25">
        <f>VLOOKUP(Inventory[[#This Row],[LivArea Range]],Lookups!$T$25:$W$37,4,FALSE)</f>
        <v>1.0093000000000001</v>
      </c>
      <c r="BK1815" s="25">
        <f>VLOOKUP(Inventory[[#This Row],[Decade]],Lookups!$O$25:$R$42,4,FALSE)</f>
        <v>1.0074000000000001</v>
      </c>
      <c r="BL1815" s="25">
        <f>Inventory[[#This Row],[Nbhd Adj]]*0.95</f>
        <v>0.94971499999999998</v>
      </c>
      <c r="BM1815" s="25">
        <f>Inventory[[#This Row],[Nbhd Adj]]*Inventory[[#This Row],[Quality Adj]]*Inventory[[#This Row],[Condition Adj]]*Inventory[[#This Row],[Living Area Adj]]*Inventory[[#This Row],[Decade Adj]]*0.95</f>
        <v>0.95513649663042099</v>
      </c>
      <c r="BN1815" s="25">
        <f>ROUND(SUM(Inventory[[#This Row],[Mdl Qlty]:[Mdl WdDeck]])+Inventory[[#This Row],[Mdl Res Intercept]]*Inventory[[#This Row],[Res Adj ]],-2)</f>
        <v>258200</v>
      </c>
      <c r="BO1815" s="25">
        <f>ROUND(Inventory[[#This Row],[25Det]]*Inventory[[#This Row],[Det/Nbhd Adj]],-2)</f>
        <v>5300</v>
      </c>
      <c r="BP1815" s="25">
        <f>Inventory[[#This Row],[Adjusted Res]]+Inventory[[#This Row],[Adj Det ]]</f>
        <v>263500</v>
      </c>
      <c r="BQ1815" s="25">
        <f>ROUND((Inventory[[#This Row],[Mdl Land Intercept]]+Inventory[[#This Row],[Mdl LnAcres]])*Inventory[[#This Row],[Det/Nbhd Adj]],-2)</f>
        <v>30200</v>
      </c>
      <c r="BR1815" s="25">
        <f>Inventory[[#This Row],[Adjusted Impr Total]]+Inventory[[#This Row],[Adjusted Land Total]]</f>
        <v>293700</v>
      </c>
      <c r="BS1815" s="36">
        <f>IFERROR((Inventory[[#This Row],[Adjusted Impr Total]]-Inventory[[#This Row],[24Bldg]])/Inventory[[#This Row],[24Bldg]],0)</f>
        <v>0.12414675767918089</v>
      </c>
      <c r="BT1815" s="36">
        <f>(Inventory[[#This Row],[Adjusted Land Total]]-Inventory[[#This Row],[24Lnd]])/Inventory[[#This Row],[24Lnd]]</f>
        <v>-0.40316205533596838</v>
      </c>
      <c r="BU1815" s="36">
        <f>(Inventory[[#This Row],[Adjusted Total]]-Inventory[[#This Row],[24Final]])/Inventory[[#This Row],[24Final]]</f>
        <v>3.0526315789473683E-2</v>
      </c>
    </row>
    <row r="1816" spans="1:73" x14ac:dyDescent="0.3">
      <c r="A1816" s="25">
        <v>2025</v>
      </c>
      <c r="B1816" s="26" t="s">
        <v>2476</v>
      </c>
      <c r="C1816" s="26">
        <f>LN(Inventory[[#This Row],[Acres]])</f>
        <v>-1.3470736479666092</v>
      </c>
      <c r="D1816" s="25">
        <v>0.26</v>
      </c>
      <c r="E1816" s="27"/>
      <c r="F1816" s="26" t="s">
        <v>537</v>
      </c>
      <c r="G1816" s="26" t="s">
        <v>126</v>
      </c>
      <c r="H1816" s="26" t="s">
        <v>349</v>
      </c>
      <c r="I1816" s="26" t="s">
        <v>538</v>
      </c>
      <c r="J1816" s="26" t="s">
        <v>539</v>
      </c>
      <c r="K1816" s="26" t="s">
        <v>416</v>
      </c>
      <c r="L1816" s="26" t="s">
        <v>351</v>
      </c>
      <c r="M1816" s="26" t="s">
        <v>303</v>
      </c>
      <c r="N1816" s="26">
        <v>100</v>
      </c>
      <c r="O1816" s="26">
        <f>2024-Inventory[[#This Row],[YrBlt]]</f>
        <v>94</v>
      </c>
      <c r="P1816" s="26">
        <f>2024-Inventory[[#This Row],[EffYr]]</f>
        <v>54</v>
      </c>
      <c r="Q1816" s="25">
        <v>1930</v>
      </c>
      <c r="R1816" s="25">
        <v>1970</v>
      </c>
      <c r="S1816" s="25">
        <v>1034</v>
      </c>
      <c r="T1816" s="32">
        <v>1024</v>
      </c>
      <c r="U1816" s="32">
        <v>1024</v>
      </c>
      <c r="V1816" s="32">
        <f>Inventory[[#This Row],[Bsmt]]-Inventory[[#This Row],[FnBsmt]]</f>
        <v>0</v>
      </c>
      <c r="W1816" s="32">
        <v>1024</v>
      </c>
      <c r="X1816" s="27"/>
      <c r="Y1816" s="27">
        <f>Inventory[[#This Row],[MainFn]]+Inventory[[#This Row],[UpprFn]]+Inventory[[#This Row],[FnBsmt]]+Inventory[[#This Row],[AddFn]]</f>
        <v>3082</v>
      </c>
      <c r="Z1816" s="27">
        <v>3500</v>
      </c>
      <c r="AA1816" s="25">
        <v>12</v>
      </c>
      <c r="AB1816" s="25">
        <v>384</v>
      </c>
      <c r="AC1816" s="27"/>
      <c r="AD1816" s="27"/>
      <c r="AE1816" s="27"/>
      <c r="AF1816" s="27"/>
      <c r="AG1816" s="27"/>
      <c r="AH1816" s="27"/>
      <c r="AI1816" s="25">
        <v>415787</v>
      </c>
      <c r="AJ1816" s="25">
        <v>282735</v>
      </c>
      <c r="AK1816" s="25">
        <v>23608</v>
      </c>
      <c r="AL1816" s="25">
        <v>434000</v>
      </c>
      <c r="AM1816" s="25">
        <v>67600</v>
      </c>
      <c r="AN1816" s="25">
        <v>366400</v>
      </c>
      <c r="AO1816" s="25">
        <v>0</v>
      </c>
      <c r="AP1816" s="25">
        <f>Lookups!$B$56*0</f>
        <v>0</v>
      </c>
      <c r="AQ1816" s="25">
        <f>Lookups!$B$56*1</f>
        <v>89850.625589999996</v>
      </c>
      <c r="AR1816" s="25">
        <f>Lookups!$B$57*Inventory[[#This Row],[LnAcres]]</f>
        <v>-42641.098701210125</v>
      </c>
      <c r="AS1816" s="25">
        <f>VLOOKUP(Inventory[[#This Row],[Qlty]],Lookups!$A$62:$E$75,2,FALSE)</f>
        <v>21557.329055999999</v>
      </c>
      <c r="AT1816" s="25">
        <f>VLOOKUP(Inventory[[#This Row],[Cnd]],Lookups!$A$76:$E$84,2,FALSE)</f>
        <v>197752.34721000001</v>
      </c>
      <c r="AU1816" s="25">
        <f>Inventory[[#This Row],[EffAge]]*Lookups!$B$85</f>
        <v>-12044.462427</v>
      </c>
      <c r="AV1816" s="25">
        <f>Inventory[[#This Row],[MainFn]]*Lookups!$B$86</f>
        <v>51088.564652818</v>
      </c>
      <c r="AW1816" s="25">
        <f>Inventory[[#This Row],[UpprFn]]*Lookups!$B$87</f>
        <v>45861.297009663998</v>
      </c>
      <c r="AX1816" s="25">
        <f>Inventory[[#This Row],[AddFn]]*Lookups!$B$88</f>
        <v>0</v>
      </c>
      <c r="AY1816" s="25">
        <f>Inventory[[#This Row],[Bsmt]]*Lookups!$B$89</f>
        <v>29779.860732927998</v>
      </c>
      <c r="AZ1816" s="25">
        <f>Inventory[[#This Row],[Fixtures]]*Lookups!$B$90</f>
        <v>45504.265262400004</v>
      </c>
      <c r="BA1816" s="25">
        <f>Inventory[[#This Row],[WdDeck]]*Lookups!$B$91</f>
        <v>0</v>
      </c>
      <c r="BB1816" s="25">
        <f>ROUND(Inventory[[#This Row],[25Det]],-2)</f>
        <v>23600</v>
      </c>
      <c r="BC1816" s="25">
        <f>ROUND(SUM(Inventory[[#This Row],[Mdl Qlty]:[Mdl WdDeck]])+Inventory[[#This Row],[Mdl Res Intercept]],-2)</f>
        <v>379500</v>
      </c>
      <c r="BD1816" s="25">
        <f>ROUND(Inventory[[#This Row],[Mdl Land Intercept]]+Inventory[[#This Row],[Mdl LnAcres]],-2)</f>
        <v>47200</v>
      </c>
      <c r="BE1816" s="25">
        <f>Inventory[[#This Row],[Unadj Res Value]]+Inventory[[#This Row],[Unadj Det Value]]+Inventory[[#This Row],[Unadj Land Value]]</f>
        <v>450300</v>
      </c>
      <c r="BF1816" s="36">
        <f>(Inventory[[#This Row],[Unadj Total Value]]-Inventory[[#This Row],[24Final]])/Inventory[[#This Row],[24Final]]</f>
        <v>3.7557603686635944E-2</v>
      </c>
      <c r="BG1816" s="25">
        <f>VLOOKUP(Inventory[[#This Row],[Nbhd]],Lookups!$Q$2:$T$4,4,FALSE)</f>
        <v>0.99970000000000003</v>
      </c>
      <c r="BH1816" s="25">
        <f>VLOOKUP(Inventory[[#This Row],[Qlty]],Lookups!$O$7:$R$21,4,FALSE)</f>
        <v>1.0067999999999999</v>
      </c>
      <c r="BI1816" s="25">
        <f>VLOOKUP(Inventory[[#This Row],[Cnd]],Lookups!$T$7:$W$16,4,FALSE)</f>
        <v>0.99650000000000005</v>
      </c>
      <c r="BJ1816" s="25">
        <f>VLOOKUP(Inventory[[#This Row],[LivArea Range]],Lookups!$T$25:$W$37,4,FALSE)</f>
        <v>1.0126999999999999</v>
      </c>
      <c r="BK1816" s="25">
        <f>VLOOKUP(Inventory[[#This Row],[Decade]],Lookups!$O$25:$R$42,4,FALSE)</f>
        <v>1.0074000000000001</v>
      </c>
      <c r="BL1816" s="25">
        <f>Inventory[[#This Row],[Nbhd Adj]]*0.95</f>
        <v>0.94971499999999998</v>
      </c>
      <c r="BM1816" s="25">
        <f>Inventory[[#This Row],[Nbhd Adj]]*Inventory[[#This Row],[Quality Adj]]*Inventory[[#This Row],[Condition Adj]]*Inventory[[#This Row],[Living Area Adj]]*Inventory[[#This Row],[Decade Adj]]*0.95</f>
        <v>0.97206781468464976</v>
      </c>
      <c r="BN1816" s="25">
        <f>ROUND(SUM(Inventory[[#This Row],[Mdl Qlty]:[Mdl WdDeck]])+Inventory[[#This Row],[Mdl Res Intercept]]*Inventory[[#This Row],[Res Adj ]],-2)</f>
        <v>379500</v>
      </c>
      <c r="BO1816" s="25">
        <f>ROUND(Inventory[[#This Row],[25Det]]*Inventory[[#This Row],[Det/Nbhd Adj]],-2)</f>
        <v>22400</v>
      </c>
      <c r="BP1816" s="25">
        <f>Inventory[[#This Row],[Adjusted Res]]+Inventory[[#This Row],[Adj Det ]]</f>
        <v>401900</v>
      </c>
      <c r="BQ1816" s="25">
        <f>ROUND((Inventory[[#This Row],[Mdl Land Intercept]]+Inventory[[#This Row],[Mdl LnAcres]])*Inventory[[#This Row],[Det/Nbhd Adj]],-2)</f>
        <v>44800</v>
      </c>
      <c r="BR1816" s="25">
        <f>Inventory[[#This Row],[Adjusted Impr Total]]+Inventory[[#This Row],[Adjusted Land Total]]</f>
        <v>446700</v>
      </c>
      <c r="BS1816" s="36">
        <f>IFERROR((Inventory[[#This Row],[Adjusted Impr Total]]-Inventory[[#This Row],[24Bldg]])/Inventory[[#This Row],[24Bldg]],0)</f>
        <v>9.6888646288209604E-2</v>
      </c>
      <c r="BT1816" s="36">
        <f>(Inventory[[#This Row],[Adjusted Land Total]]-Inventory[[#This Row],[24Lnd]])/Inventory[[#This Row],[24Lnd]]</f>
        <v>-0.33727810650887574</v>
      </c>
      <c r="BU1816" s="36">
        <f>(Inventory[[#This Row],[Adjusted Total]]-Inventory[[#This Row],[24Final]])/Inventory[[#This Row],[24Final]]</f>
        <v>2.9262672811059907E-2</v>
      </c>
    </row>
    <row r="1817" spans="1:73" x14ac:dyDescent="0.3">
      <c r="A1817" s="25">
        <v>2025</v>
      </c>
      <c r="B1817" s="26" t="s">
        <v>2386</v>
      </c>
      <c r="C1817" s="26">
        <f>LN(Inventory[[#This Row],[Acres]])</f>
        <v>-1.7719568419318752</v>
      </c>
      <c r="D1817" s="25">
        <v>0.17</v>
      </c>
      <c r="E1817" s="32">
        <v>7427</v>
      </c>
      <c r="F1817" s="26" t="s">
        <v>537</v>
      </c>
      <c r="G1817" s="26" t="s">
        <v>126</v>
      </c>
      <c r="H1817" s="26" t="s">
        <v>349</v>
      </c>
      <c r="I1817" s="26" t="s">
        <v>538</v>
      </c>
      <c r="J1817" s="26" t="s">
        <v>539</v>
      </c>
      <c r="K1817" s="26" t="s">
        <v>269</v>
      </c>
      <c r="L1817" s="26" t="s">
        <v>351</v>
      </c>
      <c r="M1817" s="26" t="s">
        <v>303</v>
      </c>
      <c r="N1817" s="26">
        <v>100</v>
      </c>
      <c r="O1817" s="26">
        <f>2024-Inventory[[#This Row],[YrBlt]]</f>
        <v>94</v>
      </c>
      <c r="P1817" s="26">
        <f>2024-Inventory[[#This Row],[EffYr]]</f>
        <v>54</v>
      </c>
      <c r="Q1817" s="25">
        <v>1930</v>
      </c>
      <c r="R1817" s="25">
        <v>1970</v>
      </c>
      <c r="S1817" s="25">
        <v>1170</v>
      </c>
      <c r="T1817" s="32">
        <v>520</v>
      </c>
      <c r="U1817" s="25">
        <v>1080</v>
      </c>
      <c r="V1817" s="25">
        <f>Inventory[[#This Row],[Bsmt]]-Inventory[[#This Row],[FnBsmt]]</f>
        <v>0</v>
      </c>
      <c r="W1817" s="25">
        <v>1080</v>
      </c>
      <c r="X1817" s="27"/>
      <c r="Y1817" s="27">
        <f>Inventory[[#This Row],[MainFn]]+Inventory[[#This Row],[UpprFn]]+Inventory[[#This Row],[FnBsmt]]+Inventory[[#This Row],[AddFn]]</f>
        <v>2770</v>
      </c>
      <c r="Z1817" s="27">
        <v>3000</v>
      </c>
      <c r="AA1817" s="25">
        <v>8</v>
      </c>
      <c r="AB1817" s="27"/>
      <c r="AC1817" s="27"/>
      <c r="AD1817" s="27"/>
      <c r="AE1817" s="27"/>
      <c r="AF1817" s="27"/>
      <c r="AG1817" s="27"/>
      <c r="AH1817" s="27"/>
      <c r="AI1817" s="25">
        <v>343637</v>
      </c>
      <c r="AJ1817" s="25">
        <v>233673</v>
      </c>
      <c r="AK1817" s="25">
        <v>32019</v>
      </c>
      <c r="AL1817" s="25">
        <v>401500</v>
      </c>
      <c r="AM1817" s="25">
        <v>52700</v>
      </c>
      <c r="AN1817" s="25">
        <v>348800</v>
      </c>
      <c r="AO1817" s="25">
        <v>0</v>
      </c>
      <c r="AP1817" s="25">
        <f>Lookups!$B$56*0</f>
        <v>0</v>
      </c>
      <c r="AQ1817" s="25">
        <f>Lookups!$B$56*1</f>
        <v>89850.625589999996</v>
      </c>
      <c r="AR1817" s="25">
        <f>Lookups!$B$57*Inventory[[#This Row],[LnAcres]]</f>
        <v>-56090.612940989391</v>
      </c>
      <c r="AS1817" s="25">
        <f>VLOOKUP(Inventory[[#This Row],[Qlty]],Lookups!$A$62:$E$75,2,FALSE)</f>
        <v>21557.329055999999</v>
      </c>
      <c r="AT1817" s="25">
        <f>VLOOKUP(Inventory[[#This Row],[Cnd]],Lookups!$A$76:$E$84,2,FALSE)</f>
        <v>197752.34721000001</v>
      </c>
      <c r="AU1817" s="25">
        <f>Inventory[[#This Row],[EffAge]]*Lookups!$B$85</f>
        <v>-12044.462427</v>
      </c>
      <c r="AV1817" s="25">
        <f>Inventory[[#This Row],[MainFn]]*Lookups!$B$86</f>
        <v>57808.143756090001</v>
      </c>
      <c r="AW1817" s="25">
        <f>Inventory[[#This Row],[UpprFn]]*Lookups!$B$87</f>
        <v>23288.93988772</v>
      </c>
      <c r="AX1817" s="25">
        <f>Inventory[[#This Row],[AddFn]]*Lookups!$B$88</f>
        <v>0</v>
      </c>
      <c r="AY1817" s="25">
        <f>Inventory[[#This Row],[Bsmt]]*Lookups!$B$89</f>
        <v>31408.446866759998</v>
      </c>
      <c r="AZ1817" s="25">
        <f>Inventory[[#This Row],[Fixtures]]*Lookups!$B$90</f>
        <v>30336.176841600001</v>
      </c>
      <c r="BA1817" s="25">
        <f>Inventory[[#This Row],[WdDeck]]*Lookups!$B$91</f>
        <v>0</v>
      </c>
      <c r="BB1817" s="25">
        <f>ROUND(Inventory[[#This Row],[25Det]],-2)</f>
        <v>32000</v>
      </c>
      <c r="BC1817" s="25">
        <f>ROUND(SUM(Inventory[[#This Row],[Mdl Qlty]:[Mdl WdDeck]])+Inventory[[#This Row],[Mdl Res Intercept]],-2)</f>
        <v>350100</v>
      </c>
      <c r="BD1817" s="25">
        <f>ROUND(Inventory[[#This Row],[Mdl Land Intercept]]+Inventory[[#This Row],[Mdl LnAcres]],-2)</f>
        <v>33800</v>
      </c>
      <c r="BE1817" s="25">
        <f>Inventory[[#This Row],[Unadj Res Value]]+Inventory[[#This Row],[Unadj Det Value]]+Inventory[[#This Row],[Unadj Land Value]]</f>
        <v>415900</v>
      </c>
      <c r="BF1817" s="36">
        <f>(Inventory[[#This Row],[Unadj Total Value]]-Inventory[[#This Row],[24Final]])/Inventory[[#This Row],[24Final]]</f>
        <v>3.5865504358655043E-2</v>
      </c>
      <c r="BG1817" s="25">
        <f>VLOOKUP(Inventory[[#This Row],[Nbhd]],Lookups!$Q$2:$T$4,4,FALSE)</f>
        <v>0.99970000000000003</v>
      </c>
      <c r="BH1817" s="25">
        <f>VLOOKUP(Inventory[[#This Row],[Qlty]],Lookups!$O$7:$R$21,4,FALSE)</f>
        <v>1.0067999999999999</v>
      </c>
      <c r="BI1817" s="25">
        <f>VLOOKUP(Inventory[[#This Row],[Cnd]],Lookups!$T$7:$W$16,4,FALSE)</f>
        <v>0.99650000000000005</v>
      </c>
      <c r="BJ1817" s="25">
        <f>VLOOKUP(Inventory[[#This Row],[LivArea Range]],Lookups!$T$25:$W$37,4,FALSE)</f>
        <v>0.96179999999999999</v>
      </c>
      <c r="BK1817" s="25">
        <f>VLOOKUP(Inventory[[#This Row],[Decade]],Lookups!$O$25:$R$42,4,FALSE)</f>
        <v>1.0074000000000001</v>
      </c>
      <c r="BL1817" s="25">
        <f>Inventory[[#This Row],[Nbhd Adj]]*0.95</f>
        <v>0.94971499999999998</v>
      </c>
      <c r="BM1817" s="25">
        <f>Inventory[[#This Row],[Nbhd Adj]]*Inventory[[#This Row],[Quality Adj]]*Inventory[[#This Row],[Condition Adj]]*Inventory[[#This Row],[Living Area Adj]]*Inventory[[#This Row],[Decade Adj]]*0.95</f>
        <v>0.92321005644682153</v>
      </c>
      <c r="BN1817" s="25">
        <f>ROUND(SUM(Inventory[[#This Row],[Mdl Qlty]:[Mdl WdDeck]])+Inventory[[#This Row],[Mdl Res Intercept]]*Inventory[[#This Row],[Res Adj ]],-2)</f>
        <v>350100</v>
      </c>
      <c r="BO1817" s="25">
        <f>ROUND(Inventory[[#This Row],[25Det]]*Inventory[[#This Row],[Det/Nbhd Adj]],-2)</f>
        <v>30400</v>
      </c>
      <c r="BP1817" s="25">
        <f>Inventory[[#This Row],[Adjusted Res]]+Inventory[[#This Row],[Adj Det ]]</f>
        <v>380500</v>
      </c>
      <c r="BQ1817" s="25">
        <f>ROUND((Inventory[[#This Row],[Mdl Land Intercept]]+Inventory[[#This Row],[Mdl LnAcres]])*Inventory[[#This Row],[Det/Nbhd Adj]],-2)</f>
        <v>32100</v>
      </c>
      <c r="BR1817" s="25">
        <f>Inventory[[#This Row],[Adjusted Impr Total]]+Inventory[[#This Row],[Adjusted Land Total]]</f>
        <v>412600</v>
      </c>
      <c r="BS1817" s="36">
        <f>IFERROR((Inventory[[#This Row],[Adjusted Impr Total]]-Inventory[[#This Row],[24Bldg]])/Inventory[[#This Row],[24Bldg]],0)</f>
        <v>9.0883027522935783E-2</v>
      </c>
      <c r="BT1817" s="36">
        <f>(Inventory[[#This Row],[Adjusted Land Total]]-Inventory[[#This Row],[24Lnd]])/Inventory[[#This Row],[24Lnd]]</f>
        <v>-0.39089184060721061</v>
      </c>
      <c r="BU1817" s="36">
        <f>(Inventory[[#This Row],[Adjusted Total]]-Inventory[[#This Row],[24Final]])/Inventory[[#This Row],[24Final]]</f>
        <v>2.7646326276463264E-2</v>
      </c>
    </row>
    <row r="1818" spans="1:73" x14ac:dyDescent="0.3">
      <c r="A1818" s="25">
        <v>2025</v>
      </c>
      <c r="B1818" s="26" t="s">
        <v>1099</v>
      </c>
      <c r="C1818" s="26">
        <f>LN(Inventory[[#This Row],[Acres]])</f>
        <v>-1.7719568419318752</v>
      </c>
      <c r="D1818" s="25">
        <v>0.17</v>
      </c>
      <c r="E1818" s="27"/>
      <c r="F1818" s="26" t="s">
        <v>537</v>
      </c>
      <c r="G1818" s="26" t="s">
        <v>126</v>
      </c>
      <c r="H1818" s="26" t="s">
        <v>349</v>
      </c>
      <c r="I1818" s="26" t="s">
        <v>538</v>
      </c>
      <c r="J1818" s="26" t="s">
        <v>539</v>
      </c>
      <c r="K1818" s="26" t="s">
        <v>242</v>
      </c>
      <c r="L1818" s="26" t="s">
        <v>351</v>
      </c>
      <c r="M1818" s="26" t="s">
        <v>323</v>
      </c>
      <c r="N1818" s="26">
        <v>100</v>
      </c>
      <c r="O1818" s="26">
        <f>2024-Inventory[[#This Row],[YrBlt]]</f>
        <v>94</v>
      </c>
      <c r="P1818" s="26">
        <f>2024-Inventory[[#This Row],[EffYr]]</f>
        <v>54</v>
      </c>
      <c r="Q1818" s="25">
        <v>1930</v>
      </c>
      <c r="R1818" s="25">
        <v>1970</v>
      </c>
      <c r="S1818" s="25">
        <v>1040</v>
      </c>
      <c r="T1818" s="27"/>
      <c r="U1818" s="25">
        <v>696</v>
      </c>
      <c r="V1818" s="25">
        <f>Inventory[[#This Row],[Bsmt]]-Inventory[[#This Row],[FnBsmt]]</f>
        <v>0</v>
      </c>
      <c r="W1818" s="25">
        <v>696</v>
      </c>
      <c r="X1818" s="27"/>
      <c r="Y1818" s="27">
        <f>Inventory[[#This Row],[MainFn]]+Inventory[[#This Row],[UpprFn]]+Inventory[[#This Row],[FnBsmt]]+Inventory[[#This Row],[AddFn]]</f>
        <v>1736</v>
      </c>
      <c r="Z1818" s="27">
        <v>2000</v>
      </c>
      <c r="AA1818" s="25">
        <v>8</v>
      </c>
      <c r="AB1818" s="27"/>
      <c r="AC1818" s="27"/>
      <c r="AD1818" s="27"/>
      <c r="AE1818" s="27"/>
      <c r="AF1818" s="27"/>
      <c r="AG1818" s="27"/>
      <c r="AH1818" s="27"/>
      <c r="AI1818" s="25">
        <v>236791</v>
      </c>
      <c r="AJ1818" s="25">
        <v>156282</v>
      </c>
      <c r="AK1818" s="25">
        <v>0</v>
      </c>
      <c r="AL1818" s="25">
        <v>295900</v>
      </c>
      <c r="AM1818" s="25">
        <v>52700</v>
      </c>
      <c r="AN1818" s="25">
        <v>243200</v>
      </c>
      <c r="AO1818" s="25">
        <v>0</v>
      </c>
      <c r="AP1818" s="25">
        <f>Lookups!$B$56*0</f>
        <v>0</v>
      </c>
      <c r="AQ1818" s="25">
        <f>Lookups!$B$56*1</f>
        <v>89850.625589999996</v>
      </c>
      <c r="AR1818" s="25">
        <f>Lookups!$B$57*Inventory[[#This Row],[LnAcres]]</f>
        <v>-56090.612940989391</v>
      </c>
      <c r="AS1818" s="25">
        <f>VLOOKUP(Inventory[[#This Row],[Qlty]],Lookups!$A$62:$E$75,2,FALSE)</f>
        <v>21557.329055999999</v>
      </c>
      <c r="AT1818" s="25">
        <f>VLOOKUP(Inventory[[#This Row],[Cnd]],Lookups!$A$76:$E$84,2,FALSE)</f>
        <v>160472.20319</v>
      </c>
      <c r="AU1818" s="25">
        <f>Inventory[[#This Row],[EffAge]]*Lookups!$B$85</f>
        <v>-12044.462427</v>
      </c>
      <c r="AV1818" s="25">
        <f>Inventory[[#This Row],[MainFn]]*Lookups!$B$86</f>
        <v>51385.016672080004</v>
      </c>
      <c r="AW1818" s="25">
        <f>Inventory[[#This Row],[UpprFn]]*Lookups!$B$87</f>
        <v>0</v>
      </c>
      <c r="AX1818" s="25">
        <f>Inventory[[#This Row],[AddFn]]*Lookups!$B$88</f>
        <v>0</v>
      </c>
      <c r="AY1818" s="25">
        <f>Inventory[[#This Row],[Bsmt]]*Lookups!$B$89</f>
        <v>20240.999091911999</v>
      </c>
      <c r="AZ1818" s="25">
        <f>Inventory[[#This Row],[Fixtures]]*Lookups!$B$90</f>
        <v>30336.176841600001</v>
      </c>
      <c r="BA1818" s="25">
        <f>Inventory[[#This Row],[WdDeck]]*Lookups!$B$91</f>
        <v>0</v>
      </c>
      <c r="BB1818" s="25">
        <f>ROUND(Inventory[[#This Row],[25Det]],-2)</f>
        <v>0</v>
      </c>
      <c r="BC1818" s="25">
        <f>ROUND(SUM(Inventory[[#This Row],[Mdl Qlty]:[Mdl WdDeck]])+Inventory[[#This Row],[Mdl Res Intercept]],-2)</f>
        <v>271900</v>
      </c>
      <c r="BD1818" s="25">
        <f>ROUND(Inventory[[#This Row],[Mdl Land Intercept]]+Inventory[[#This Row],[Mdl LnAcres]],-2)</f>
        <v>33800</v>
      </c>
      <c r="BE1818" s="25">
        <f>Inventory[[#This Row],[Unadj Res Value]]+Inventory[[#This Row],[Unadj Det Value]]+Inventory[[#This Row],[Unadj Land Value]]</f>
        <v>305700</v>
      </c>
      <c r="BF1818" s="36">
        <f>(Inventory[[#This Row],[Unadj Total Value]]-Inventory[[#This Row],[24Final]])/Inventory[[#This Row],[24Final]]</f>
        <v>3.3119297059817504E-2</v>
      </c>
      <c r="BG1818" s="25">
        <f>VLOOKUP(Inventory[[#This Row],[Nbhd]],Lookups!$Q$2:$T$4,4,FALSE)</f>
        <v>0.99970000000000003</v>
      </c>
      <c r="BH1818" s="25">
        <f>VLOOKUP(Inventory[[#This Row],[Qlty]],Lookups!$O$7:$R$21,4,FALSE)</f>
        <v>1.0067999999999999</v>
      </c>
      <c r="BI1818" s="25">
        <f>VLOOKUP(Inventory[[#This Row],[Cnd]],Lookups!$T$7:$W$16,4,FALSE)</f>
        <v>0.99729999999999996</v>
      </c>
      <c r="BJ1818" s="25">
        <f>VLOOKUP(Inventory[[#This Row],[LivArea Range]],Lookups!$T$25:$W$37,4,FALSE)</f>
        <v>1.0093000000000001</v>
      </c>
      <c r="BK1818" s="25">
        <f>VLOOKUP(Inventory[[#This Row],[Decade]],Lookups!$O$25:$R$42,4,FALSE)</f>
        <v>1.0074000000000001</v>
      </c>
      <c r="BL1818" s="25">
        <f>Inventory[[#This Row],[Nbhd Adj]]*0.95</f>
        <v>0.94971499999999998</v>
      </c>
      <c r="BM1818" s="25">
        <f>Inventory[[#This Row],[Nbhd Adj]]*Inventory[[#This Row],[Quality Adj]]*Inventory[[#This Row],[Condition Adj]]*Inventory[[#This Row],[Living Area Adj]]*Inventory[[#This Row],[Decade Adj]]*0.95</f>
        <v>0.96958199718441984</v>
      </c>
      <c r="BN1818" s="25">
        <f>ROUND(SUM(Inventory[[#This Row],[Mdl Qlty]:[Mdl WdDeck]])+Inventory[[#This Row],[Mdl Res Intercept]]*Inventory[[#This Row],[Res Adj ]],-2)</f>
        <v>271900</v>
      </c>
      <c r="BO1818" s="25">
        <f>ROUND(Inventory[[#This Row],[25Det]]*Inventory[[#This Row],[Det/Nbhd Adj]],-2)</f>
        <v>0</v>
      </c>
      <c r="BP1818" s="25">
        <f>Inventory[[#This Row],[Adjusted Res]]+Inventory[[#This Row],[Adj Det ]]</f>
        <v>271900</v>
      </c>
      <c r="BQ1818" s="25">
        <f>ROUND((Inventory[[#This Row],[Mdl Land Intercept]]+Inventory[[#This Row],[Mdl LnAcres]])*Inventory[[#This Row],[Det/Nbhd Adj]],-2)</f>
        <v>32100</v>
      </c>
      <c r="BR1818" s="25">
        <f>Inventory[[#This Row],[Adjusted Impr Total]]+Inventory[[#This Row],[Adjusted Land Total]]</f>
        <v>304000</v>
      </c>
      <c r="BS1818" s="36">
        <f>IFERROR((Inventory[[#This Row],[Adjusted Impr Total]]-Inventory[[#This Row],[24Bldg]])/Inventory[[#This Row],[24Bldg]],0)</f>
        <v>0.11800986842105263</v>
      </c>
      <c r="BT1818" s="36">
        <f>(Inventory[[#This Row],[Adjusted Land Total]]-Inventory[[#This Row],[24Lnd]])/Inventory[[#This Row],[24Lnd]]</f>
        <v>-0.39089184060721061</v>
      </c>
      <c r="BU1818" s="36">
        <f>(Inventory[[#This Row],[Adjusted Total]]-Inventory[[#This Row],[24Final]])/Inventory[[#This Row],[24Final]]</f>
        <v>2.7374112875971614E-2</v>
      </c>
    </row>
    <row r="1819" spans="1:73" x14ac:dyDescent="0.3">
      <c r="A1819" s="25">
        <v>2025</v>
      </c>
      <c r="B1819" s="26" t="s">
        <v>2261</v>
      </c>
      <c r="C1819" s="26">
        <f>LN(Inventory[[#This Row],[Acres]])</f>
        <v>-2.0402208285265546</v>
      </c>
      <c r="D1819" s="25">
        <v>0.13</v>
      </c>
      <c r="E1819" s="27"/>
      <c r="F1819" s="26" t="s">
        <v>537</v>
      </c>
      <c r="G1819" s="26" t="s">
        <v>126</v>
      </c>
      <c r="H1819" s="26" t="s">
        <v>349</v>
      </c>
      <c r="I1819" s="26" t="s">
        <v>538</v>
      </c>
      <c r="J1819" s="26" t="s">
        <v>539</v>
      </c>
      <c r="K1819" s="26" t="s">
        <v>269</v>
      </c>
      <c r="L1819" s="26" t="s">
        <v>351</v>
      </c>
      <c r="M1819" s="26" t="s">
        <v>323</v>
      </c>
      <c r="N1819" s="26">
        <v>100</v>
      </c>
      <c r="O1819" s="26">
        <f>2024-Inventory[[#This Row],[YrBlt]]</f>
        <v>94</v>
      </c>
      <c r="P1819" s="26">
        <f>2024-Inventory[[#This Row],[EffYr]]</f>
        <v>54</v>
      </c>
      <c r="Q1819" s="25">
        <v>1930</v>
      </c>
      <c r="R1819" s="25">
        <v>1970</v>
      </c>
      <c r="S1819" s="25">
        <v>1122</v>
      </c>
      <c r="T1819" s="27"/>
      <c r="U1819" s="25">
        <v>784</v>
      </c>
      <c r="V1819" s="25">
        <f>Inventory[[#This Row],[Bsmt]]-Inventory[[#This Row],[FnBsmt]]</f>
        <v>0</v>
      </c>
      <c r="W1819" s="25">
        <v>784</v>
      </c>
      <c r="X1819" s="27"/>
      <c r="Y1819" s="27">
        <f>Inventory[[#This Row],[MainFn]]+Inventory[[#This Row],[UpprFn]]+Inventory[[#This Row],[FnBsmt]]+Inventory[[#This Row],[AddFn]]</f>
        <v>1906</v>
      </c>
      <c r="Z1819" s="27">
        <v>2000</v>
      </c>
      <c r="AA1819" s="25">
        <v>5</v>
      </c>
      <c r="AB1819" s="27"/>
      <c r="AC1819" s="27"/>
      <c r="AD1819" s="27"/>
      <c r="AE1819" s="27"/>
      <c r="AF1819" s="27"/>
      <c r="AG1819" s="27"/>
      <c r="AH1819" s="27"/>
      <c r="AI1819" s="25">
        <v>259890</v>
      </c>
      <c r="AJ1819" s="25">
        <v>171527</v>
      </c>
      <c r="AK1819" s="25">
        <v>5934</v>
      </c>
      <c r="AL1819" s="25">
        <v>289000</v>
      </c>
      <c r="AM1819" s="25">
        <v>43400</v>
      </c>
      <c r="AN1819" s="25">
        <v>245600</v>
      </c>
      <c r="AO1819" s="25">
        <v>0</v>
      </c>
      <c r="AP1819" s="25">
        <f>Lookups!$B$56*0</f>
        <v>0</v>
      </c>
      <c r="AQ1819" s="25">
        <f>Lookups!$B$56*1</f>
        <v>89850.625589999996</v>
      </c>
      <c r="AR1819" s="25">
        <f>Lookups!$B$57*Inventory[[#This Row],[LnAcres]]</f>
        <v>-64582.406353792743</v>
      </c>
      <c r="AS1819" s="25">
        <f>VLOOKUP(Inventory[[#This Row],[Qlty]],Lookups!$A$62:$E$75,2,FALSE)</f>
        <v>21557.329055999999</v>
      </c>
      <c r="AT1819" s="25">
        <f>VLOOKUP(Inventory[[#This Row],[Cnd]],Lookups!$A$76:$E$84,2,FALSE)</f>
        <v>160472.20319</v>
      </c>
      <c r="AU1819" s="25">
        <f>Inventory[[#This Row],[EffAge]]*Lookups!$B$85</f>
        <v>-12044.462427</v>
      </c>
      <c r="AV1819" s="25">
        <f>Inventory[[#This Row],[MainFn]]*Lookups!$B$86</f>
        <v>55436.527601993999</v>
      </c>
      <c r="AW1819" s="25">
        <f>Inventory[[#This Row],[UpprFn]]*Lookups!$B$87</f>
        <v>0</v>
      </c>
      <c r="AX1819" s="25">
        <f>Inventory[[#This Row],[AddFn]]*Lookups!$B$88</f>
        <v>0</v>
      </c>
      <c r="AY1819" s="25">
        <f>Inventory[[#This Row],[Bsmt]]*Lookups!$B$89</f>
        <v>22800.205873647999</v>
      </c>
      <c r="AZ1819" s="25">
        <f>Inventory[[#This Row],[Fixtures]]*Lookups!$B$90</f>
        <v>18960.110526</v>
      </c>
      <c r="BA1819" s="25">
        <f>Inventory[[#This Row],[WdDeck]]*Lookups!$B$91</f>
        <v>0</v>
      </c>
      <c r="BB1819" s="25">
        <f>ROUND(Inventory[[#This Row],[25Det]],-2)</f>
        <v>5900</v>
      </c>
      <c r="BC1819" s="25">
        <f>ROUND(SUM(Inventory[[#This Row],[Mdl Qlty]:[Mdl WdDeck]])+Inventory[[#This Row],[Mdl Res Intercept]],-2)</f>
        <v>267200</v>
      </c>
      <c r="BD1819" s="25">
        <f>ROUND(Inventory[[#This Row],[Mdl Land Intercept]]+Inventory[[#This Row],[Mdl LnAcres]],-2)</f>
        <v>25300</v>
      </c>
      <c r="BE1819" s="25">
        <f>Inventory[[#This Row],[Unadj Res Value]]+Inventory[[#This Row],[Unadj Det Value]]+Inventory[[#This Row],[Unadj Land Value]]</f>
        <v>298400</v>
      </c>
      <c r="BF1819" s="36">
        <f>(Inventory[[#This Row],[Unadj Total Value]]-Inventory[[#This Row],[24Final]])/Inventory[[#This Row],[24Final]]</f>
        <v>3.2525951557093424E-2</v>
      </c>
      <c r="BG1819" s="25">
        <f>VLOOKUP(Inventory[[#This Row],[Nbhd]],Lookups!$Q$2:$T$4,4,FALSE)</f>
        <v>0.99970000000000003</v>
      </c>
      <c r="BH1819" s="25">
        <f>VLOOKUP(Inventory[[#This Row],[Qlty]],Lookups!$O$7:$R$21,4,FALSE)</f>
        <v>1.0067999999999999</v>
      </c>
      <c r="BI1819" s="25">
        <f>VLOOKUP(Inventory[[#This Row],[Cnd]],Lookups!$T$7:$W$16,4,FALSE)</f>
        <v>0.99729999999999996</v>
      </c>
      <c r="BJ1819" s="25">
        <f>VLOOKUP(Inventory[[#This Row],[LivArea Range]],Lookups!$T$25:$W$37,4,FALSE)</f>
        <v>1.0093000000000001</v>
      </c>
      <c r="BK1819" s="25">
        <f>VLOOKUP(Inventory[[#This Row],[Decade]],Lookups!$O$25:$R$42,4,FALSE)</f>
        <v>1.0074000000000001</v>
      </c>
      <c r="BL1819" s="25">
        <f>Inventory[[#This Row],[Nbhd Adj]]*0.95</f>
        <v>0.94971499999999998</v>
      </c>
      <c r="BM1819" s="25">
        <f>Inventory[[#This Row],[Nbhd Adj]]*Inventory[[#This Row],[Quality Adj]]*Inventory[[#This Row],[Condition Adj]]*Inventory[[#This Row],[Living Area Adj]]*Inventory[[#This Row],[Decade Adj]]*0.95</f>
        <v>0.96958199718441984</v>
      </c>
      <c r="BN1819" s="25">
        <f>ROUND(SUM(Inventory[[#This Row],[Mdl Qlty]:[Mdl WdDeck]])+Inventory[[#This Row],[Mdl Res Intercept]]*Inventory[[#This Row],[Res Adj ]],-2)</f>
        <v>267200</v>
      </c>
      <c r="BO1819" s="25">
        <f>ROUND(Inventory[[#This Row],[25Det]]*Inventory[[#This Row],[Det/Nbhd Adj]],-2)</f>
        <v>5600</v>
      </c>
      <c r="BP1819" s="25">
        <f>Inventory[[#This Row],[Adjusted Res]]+Inventory[[#This Row],[Adj Det ]]</f>
        <v>272800</v>
      </c>
      <c r="BQ1819" s="25">
        <f>ROUND((Inventory[[#This Row],[Mdl Land Intercept]]+Inventory[[#This Row],[Mdl LnAcres]])*Inventory[[#This Row],[Det/Nbhd Adj]],-2)</f>
        <v>24000</v>
      </c>
      <c r="BR1819" s="25">
        <f>Inventory[[#This Row],[Adjusted Impr Total]]+Inventory[[#This Row],[Adjusted Land Total]]</f>
        <v>296800</v>
      </c>
      <c r="BS1819" s="36">
        <f>IFERROR((Inventory[[#This Row],[Adjusted Impr Total]]-Inventory[[#This Row],[24Bldg]])/Inventory[[#This Row],[24Bldg]],0)</f>
        <v>0.11074918566775244</v>
      </c>
      <c r="BT1819" s="36">
        <f>(Inventory[[#This Row],[Adjusted Land Total]]-Inventory[[#This Row],[24Lnd]])/Inventory[[#This Row],[24Lnd]]</f>
        <v>-0.44700460829493088</v>
      </c>
      <c r="BU1819" s="36">
        <f>(Inventory[[#This Row],[Adjusted Total]]-Inventory[[#This Row],[24Final]])/Inventory[[#This Row],[24Final]]</f>
        <v>2.698961937716263E-2</v>
      </c>
    </row>
    <row r="1820" spans="1:73" x14ac:dyDescent="0.3">
      <c r="A1820" s="25">
        <v>2025</v>
      </c>
      <c r="B1820" s="26" t="s">
        <v>1301</v>
      </c>
      <c r="C1820" s="26">
        <f>LN(Inventory[[#This Row],[Acres]])</f>
        <v>-1.6094379124341003</v>
      </c>
      <c r="D1820" s="31">
        <f>ROUND(Inventory[[#This Row],[Sqft]]/43560,2)</f>
        <v>0.2</v>
      </c>
      <c r="E1820" s="32">
        <v>8631</v>
      </c>
      <c r="F1820" s="26" t="s">
        <v>537</v>
      </c>
      <c r="G1820" s="26" t="s">
        <v>126</v>
      </c>
      <c r="H1820" s="26" t="s">
        <v>349</v>
      </c>
      <c r="I1820" s="26" t="s">
        <v>538</v>
      </c>
      <c r="J1820" s="26" t="s">
        <v>539</v>
      </c>
      <c r="K1820" s="26" t="s">
        <v>242</v>
      </c>
      <c r="L1820" s="26" t="s">
        <v>302</v>
      </c>
      <c r="M1820" s="26" t="s">
        <v>303</v>
      </c>
      <c r="N1820" s="26">
        <v>100</v>
      </c>
      <c r="O1820" s="26">
        <f>2024-Inventory[[#This Row],[YrBlt]]</f>
        <v>94</v>
      </c>
      <c r="P1820" s="26">
        <f>2024-Inventory[[#This Row],[EffYr]]</f>
        <v>54</v>
      </c>
      <c r="Q1820" s="25">
        <v>1930</v>
      </c>
      <c r="R1820" s="25">
        <v>1970</v>
      </c>
      <c r="S1820" s="25">
        <v>1008</v>
      </c>
      <c r="T1820" s="27"/>
      <c r="U1820" s="32">
        <v>1008</v>
      </c>
      <c r="V1820" s="32">
        <f>Inventory[[#This Row],[Bsmt]]-Inventory[[#This Row],[FnBsmt]]</f>
        <v>0</v>
      </c>
      <c r="W1820" s="32">
        <v>1008</v>
      </c>
      <c r="X1820" s="27"/>
      <c r="Y1820" s="27">
        <f>Inventory[[#This Row],[MainFn]]+Inventory[[#This Row],[UpprFn]]+Inventory[[#This Row],[FnBsmt]]+Inventory[[#This Row],[AddFn]]</f>
        <v>2016</v>
      </c>
      <c r="Z1820" s="27">
        <v>2500</v>
      </c>
      <c r="AA1820" s="25">
        <v>6</v>
      </c>
      <c r="AB1820" s="31"/>
      <c r="AC1820" s="27"/>
      <c r="AD1820" s="27"/>
      <c r="AE1820" s="27"/>
      <c r="AF1820" s="27"/>
      <c r="AG1820" s="27"/>
      <c r="AH1820" s="27"/>
      <c r="AI1820" s="25">
        <v>338702</v>
      </c>
      <c r="AJ1820" s="25">
        <v>230317</v>
      </c>
      <c r="AK1820" s="25">
        <v>0</v>
      </c>
      <c r="AL1820" s="25">
        <v>345400</v>
      </c>
      <c r="AM1820" s="25">
        <v>58400</v>
      </c>
      <c r="AN1820" s="25">
        <v>287000</v>
      </c>
      <c r="AO1820" s="25">
        <v>0</v>
      </c>
      <c r="AP1820" s="25">
        <f>Lookups!$B$56*0</f>
        <v>0</v>
      </c>
      <c r="AQ1820" s="25">
        <f>Lookups!$B$56*1</f>
        <v>89850.625589999996</v>
      </c>
      <c r="AR1820" s="25">
        <f>Lookups!$B$57*Inventory[[#This Row],[LnAcres]]</f>
        <v>-50946.13867709865</v>
      </c>
      <c r="AS1820" s="25">
        <f>VLOOKUP(Inventory[[#This Row],[Qlty]],Lookups!$A$62:$E$75,2,FALSE)</f>
        <v>29814.093161000001</v>
      </c>
      <c r="AT1820" s="25">
        <f>VLOOKUP(Inventory[[#This Row],[Cnd]],Lookups!$A$76:$E$84,2,FALSE)</f>
        <v>197752.34721000001</v>
      </c>
      <c r="AU1820" s="25">
        <f>Inventory[[#This Row],[EffAge]]*Lookups!$B$85</f>
        <v>-12044.462427</v>
      </c>
      <c r="AV1820" s="25">
        <f>Inventory[[#This Row],[MainFn]]*Lookups!$B$86</f>
        <v>49803.939236015998</v>
      </c>
      <c r="AW1820" s="25">
        <f>Inventory[[#This Row],[UpprFn]]*Lookups!$B$87</f>
        <v>0</v>
      </c>
      <c r="AX1820" s="25">
        <f>Inventory[[#This Row],[AddFn]]*Lookups!$B$88</f>
        <v>0</v>
      </c>
      <c r="AY1820" s="25">
        <f>Inventory[[#This Row],[Bsmt]]*Lookups!$B$89</f>
        <v>29314.550408976</v>
      </c>
      <c r="AZ1820" s="25">
        <f>Inventory[[#This Row],[Fixtures]]*Lookups!$B$90</f>
        <v>22752.132631200002</v>
      </c>
      <c r="BA1820" s="25">
        <f>Inventory[[#This Row],[WdDeck]]*Lookups!$B$91</f>
        <v>0</v>
      </c>
      <c r="BB1820" s="25">
        <f>ROUND(Inventory[[#This Row],[25Det]],-2)</f>
        <v>0</v>
      </c>
      <c r="BC1820" s="25">
        <f>ROUND(SUM(Inventory[[#This Row],[Mdl Qlty]:[Mdl WdDeck]])+Inventory[[#This Row],[Mdl Res Intercept]],-2)</f>
        <v>317400</v>
      </c>
      <c r="BD1820" s="25">
        <f>ROUND(Inventory[[#This Row],[Mdl Land Intercept]]+Inventory[[#This Row],[Mdl LnAcres]],-2)</f>
        <v>38900</v>
      </c>
      <c r="BE1820" s="25">
        <f>Inventory[[#This Row],[Unadj Res Value]]+Inventory[[#This Row],[Unadj Det Value]]+Inventory[[#This Row],[Unadj Land Value]]</f>
        <v>356300</v>
      </c>
      <c r="BF1820" s="36">
        <f>(Inventory[[#This Row],[Unadj Total Value]]-Inventory[[#This Row],[24Final]])/Inventory[[#This Row],[24Final]]</f>
        <v>3.1557614360162134E-2</v>
      </c>
      <c r="BG1820" s="25">
        <f>VLOOKUP(Inventory[[#This Row],[Nbhd]],Lookups!$Q$2:$T$4,4,FALSE)</f>
        <v>0.99970000000000003</v>
      </c>
      <c r="BH1820" s="25">
        <f>VLOOKUP(Inventory[[#This Row],[Qlty]],Lookups!$O$7:$R$21,4,FALSE)</f>
        <v>1.0088999999999999</v>
      </c>
      <c r="BI1820" s="25">
        <f>VLOOKUP(Inventory[[#This Row],[Cnd]],Lookups!$T$7:$W$16,4,FALSE)</f>
        <v>0.99650000000000005</v>
      </c>
      <c r="BJ1820" s="25">
        <f>VLOOKUP(Inventory[[#This Row],[LivArea Range]],Lookups!$T$25:$W$37,4,FALSE)</f>
        <v>0.98919999999999997</v>
      </c>
      <c r="BK1820" s="25">
        <f>VLOOKUP(Inventory[[#This Row],[Decade]],Lookups!$O$25:$R$42,4,FALSE)</f>
        <v>1.0074000000000001</v>
      </c>
      <c r="BL1820" s="25">
        <f>Inventory[[#This Row],[Nbhd Adj]]*0.95</f>
        <v>0.94971499999999998</v>
      </c>
      <c r="BM1820" s="25">
        <f>Inventory[[#This Row],[Nbhd Adj]]*Inventory[[#This Row],[Quality Adj]]*Inventory[[#This Row],[Condition Adj]]*Inventory[[#This Row],[Living Area Adj]]*Inventory[[#This Row],[Decade Adj]]*0.95</f>
        <v>0.95149120146958555</v>
      </c>
      <c r="BN1820" s="25">
        <f>ROUND(SUM(Inventory[[#This Row],[Mdl Qlty]:[Mdl WdDeck]])+Inventory[[#This Row],[Mdl Res Intercept]]*Inventory[[#This Row],[Res Adj ]],-2)</f>
        <v>317400</v>
      </c>
      <c r="BO1820" s="25">
        <f>ROUND(Inventory[[#This Row],[25Det]]*Inventory[[#This Row],[Det/Nbhd Adj]],-2)</f>
        <v>0</v>
      </c>
      <c r="BP1820" s="25">
        <f>Inventory[[#This Row],[Adjusted Res]]+Inventory[[#This Row],[Adj Det ]]</f>
        <v>317400</v>
      </c>
      <c r="BQ1820" s="25">
        <f>ROUND((Inventory[[#This Row],[Mdl Land Intercept]]+Inventory[[#This Row],[Mdl LnAcres]])*Inventory[[#This Row],[Det/Nbhd Adj]],-2)</f>
        <v>36900</v>
      </c>
      <c r="BR1820" s="25">
        <f>Inventory[[#This Row],[Adjusted Impr Total]]+Inventory[[#This Row],[Adjusted Land Total]]</f>
        <v>354300</v>
      </c>
      <c r="BS1820" s="36">
        <f>IFERROR((Inventory[[#This Row],[Adjusted Impr Total]]-Inventory[[#This Row],[24Bldg]])/Inventory[[#This Row],[24Bldg]],0)</f>
        <v>0.1059233449477352</v>
      </c>
      <c r="BT1820" s="36">
        <f>(Inventory[[#This Row],[Adjusted Land Total]]-Inventory[[#This Row],[24Lnd]])/Inventory[[#This Row],[24Lnd]]</f>
        <v>-0.36815068493150682</v>
      </c>
      <c r="BU1820" s="36">
        <f>(Inventory[[#This Row],[Adjusted Total]]-Inventory[[#This Row],[24Final]])/Inventory[[#This Row],[24Final]]</f>
        <v>2.5767226404169081E-2</v>
      </c>
    </row>
    <row r="1821" spans="1:73" x14ac:dyDescent="0.3">
      <c r="A1821" s="25">
        <v>2025</v>
      </c>
      <c r="B1821" s="26" t="s">
        <v>1190</v>
      </c>
      <c r="C1821" s="26">
        <f>LN(Inventory[[#This Row],[Acres]])</f>
        <v>-1.4696759700589417</v>
      </c>
      <c r="D1821" s="25">
        <v>0.23</v>
      </c>
      <c r="E1821" s="27"/>
      <c r="F1821" s="26" t="s">
        <v>537</v>
      </c>
      <c r="G1821" s="26" t="s">
        <v>126</v>
      </c>
      <c r="H1821" s="26" t="s">
        <v>349</v>
      </c>
      <c r="I1821" s="26" t="s">
        <v>538</v>
      </c>
      <c r="J1821" s="26" t="s">
        <v>539</v>
      </c>
      <c r="K1821" s="26" t="s">
        <v>269</v>
      </c>
      <c r="L1821" s="26" t="s">
        <v>351</v>
      </c>
      <c r="M1821" s="26" t="s">
        <v>303</v>
      </c>
      <c r="N1821" s="26">
        <v>100</v>
      </c>
      <c r="O1821" s="26">
        <f>2024-Inventory[[#This Row],[YrBlt]]</f>
        <v>94</v>
      </c>
      <c r="P1821" s="26">
        <f>2024-Inventory[[#This Row],[EffYr]]</f>
        <v>54</v>
      </c>
      <c r="Q1821" s="25">
        <v>1930</v>
      </c>
      <c r="R1821" s="25">
        <v>1970</v>
      </c>
      <c r="S1821" s="25">
        <v>1540</v>
      </c>
      <c r="T1821" s="27"/>
      <c r="U1821" s="32">
        <v>1340</v>
      </c>
      <c r="V1821" s="32">
        <f>Inventory[[#This Row],[Bsmt]]-Inventory[[#This Row],[FnBsmt]]</f>
        <v>30</v>
      </c>
      <c r="W1821" s="32">
        <v>1310</v>
      </c>
      <c r="X1821" s="27"/>
      <c r="Y1821" s="27">
        <f>Inventory[[#This Row],[MainFn]]+Inventory[[#This Row],[UpprFn]]+Inventory[[#This Row],[FnBsmt]]+Inventory[[#This Row],[AddFn]]</f>
        <v>2850</v>
      </c>
      <c r="Z1821" s="27">
        <v>3000</v>
      </c>
      <c r="AA1821" s="25">
        <v>9</v>
      </c>
      <c r="AB1821" s="31"/>
      <c r="AC1821" s="27"/>
      <c r="AD1821" s="27"/>
      <c r="AE1821" s="27"/>
      <c r="AF1821" s="27"/>
      <c r="AG1821" s="27"/>
      <c r="AH1821" s="27"/>
      <c r="AI1821" s="25">
        <v>358932</v>
      </c>
      <c r="AJ1821" s="25">
        <v>244074</v>
      </c>
      <c r="AK1821" s="25">
        <v>8716</v>
      </c>
      <c r="AL1821" s="25">
        <v>396100</v>
      </c>
      <c r="AM1821" s="25">
        <v>63300</v>
      </c>
      <c r="AN1821" s="25">
        <v>332800</v>
      </c>
      <c r="AO1821" s="25">
        <v>0</v>
      </c>
      <c r="AP1821" s="25">
        <f>Lookups!$B$56*0</f>
        <v>0</v>
      </c>
      <c r="AQ1821" s="25">
        <f>Lookups!$B$56*1</f>
        <v>89850.625589999996</v>
      </c>
      <c r="AR1821" s="25">
        <f>Lookups!$B$57*Inventory[[#This Row],[LnAcres]]</f>
        <v>-46522.028095997222</v>
      </c>
      <c r="AS1821" s="25">
        <f>VLOOKUP(Inventory[[#This Row],[Qlty]],Lookups!$A$62:$E$75,2,FALSE)</f>
        <v>21557.329055999999</v>
      </c>
      <c r="AT1821" s="25">
        <f>VLOOKUP(Inventory[[#This Row],[Cnd]],Lookups!$A$76:$E$84,2,FALSE)</f>
        <v>197752.34721000001</v>
      </c>
      <c r="AU1821" s="25">
        <f>Inventory[[#This Row],[EffAge]]*Lookups!$B$85</f>
        <v>-12044.462427</v>
      </c>
      <c r="AV1821" s="25">
        <f>Inventory[[#This Row],[MainFn]]*Lookups!$B$86</f>
        <v>76089.351610580008</v>
      </c>
      <c r="AW1821" s="25">
        <f>Inventory[[#This Row],[UpprFn]]*Lookups!$B$87</f>
        <v>0</v>
      </c>
      <c r="AX1821" s="25">
        <f>Inventory[[#This Row],[AddFn]]*Lookups!$B$88</f>
        <v>0</v>
      </c>
      <c r="AY1821" s="25">
        <f>Inventory[[#This Row],[Bsmt]]*Lookups!$B$89</f>
        <v>38969.739630979995</v>
      </c>
      <c r="AZ1821" s="25">
        <f>Inventory[[#This Row],[Fixtures]]*Lookups!$B$90</f>
        <v>34128.198946800003</v>
      </c>
      <c r="BA1821" s="25">
        <f>Inventory[[#This Row],[WdDeck]]*Lookups!$B$91</f>
        <v>0</v>
      </c>
      <c r="BB1821" s="25">
        <f>ROUND(Inventory[[#This Row],[25Det]],-2)</f>
        <v>8700</v>
      </c>
      <c r="BC1821" s="25">
        <f>ROUND(SUM(Inventory[[#This Row],[Mdl Qlty]:[Mdl WdDeck]])+Inventory[[#This Row],[Mdl Res Intercept]],-2)</f>
        <v>356500</v>
      </c>
      <c r="BD1821" s="25">
        <f>ROUND(Inventory[[#This Row],[Mdl Land Intercept]]+Inventory[[#This Row],[Mdl LnAcres]],-2)</f>
        <v>43300</v>
      </c>
      <c r="BE1821" s="25">
        <f>Inventory[[#This Row],[Unadj Res Value]]+Inventory[[#This Row],[Unadj Det Value]]+Inventory[[#This Row],[Unadj Land Value]]</f>
        <v>408500</v>
      </c>
      <c r="BF1821" s="36">
        <f>(Inventory[[#This Row],[Unadj Total Value]]-Inventory[[#This Row],[24Final]])/Inventory[[#This Row],[24Final]]</f>
        <v>3.1305225953042158E-2</v>
      </c>
      <c r="BG1821" s="25">
        <f>VLOOKUP(Inventory[[#This Row],[Nbhd]],Lookups!$Q$2:$T$4,4,FALSE)</f>
        <v>0.99970000000000003</v>
      </c>
      <c r="BH1821" s="25">
        <f>VLOOKUP(Inventory[[#This Row],[Qlty]],Lookups!$O$7:$R$21,4,FALSE)</f>
        <v>1.0067999999999999</v>
      </c>
      <c r="BI1821" s="25">
        <f>VLOOKUP(Inventory[[#This Row],[Cnd]],Lookups!$T$7:$W$16,4,FALSE)</f>
        <v>0.99650000000000005</v>
      </c>
      <c r="BJ1821" s="25">
        <f>VLOOKUP(Inventory[[#This Row],[LivArea Range]],Lookups!$T$25:$W$37,4,FALSE)</f>
        <v>0.96179999999999999</v>
      </c>
      <c r="BK1821" s="25">
        <f>VLOOKUP(Inventory[[#This Row],[Decade]],Lookups!$O$25:$R$42,4,FALSE)</f>
        <v>1.0074000000000001</v>
      </c>
      <c r="BL1821" s="25">
        <f>Inventory[[#This Row],[Nbhd Adj]]*0.95</f>
        <v>0.94971499999999998</v>
      </c>
      <c r="BM1821" s="25">
        <f>Inventory[[#This Row],[Nbhd Adj]]*Inventory[[#This Row],[Quality Adj]]*Inventory[[#This Row],[Condition Adj]]*Inventory[[#This Row],[Living Area Adj]]*Inventory[[#This Row],[Decade Adj]]*0.95</f>
        <v>0.92321005644682153</v>
      </c>
      <c r="BN1821" s="25">
        <f>ROUND(SUM(Inventory[[#This Row],[Mdl Qlty]:[Mdl WdDeck]])+Inventory[[#This Row],[Mdl Res Intercept]]*Inventory[[#This Row],[Res Adj ]],-2)</f>
        <v>356500</v>
      </c>
      <c r="BO1821" s="25">
        <f>ROUND(Inventory[[#This Row],[25Det]]*Inventory[[#This Row],[Det/Nbhd Adj]],-2)</f>
        <v>8300</v>
      </c>
      <c r="BP1821" s="25">
        <f>Inventory[[#This Row],[Adjusted Res]]+Inventory[[#This Row],[Adj Det ]]</f>
        <v>364800</v>
      </c>
      <c r="BQ1821" s="25">
        <f>ROUND((Inventory[[#This Row],[Mdl Land Intercept]]+Inventory[[#This Row],[Mdl LnAcres]])*Inventory[[#This Row],[Det/Nbhd Adj]],-2)</f>
        <v>41100</v>
      </c>
      <c r="BR1821" s="25">
        <f>Inventory[[#This Row],[Adjusted Impr Total]]+Inventory[[#This Row],[Adjusted Land Total]]</f>
        <v>405900</v>
      </c>
      <c r="BS1821" s="36">
        <f>IFERROR((Inventory[[#This Row],[Adjusted Impr Total]]-Inventory[[#This Row],[24Bldg]])/Inventory[[#This Row],[24Bldg]],0)</f>
        <v>9.6153846153846159E-2</v>
      </c>
      <c r="BT1821" s="36">
        <f>(Inventory[[#This Row],[Adjusted Land Total]]-Inventory[[#This Row],[24Lnd]])/Inventory[[#This Row],[24Lnd]]</f>
        <v>-0.35071090047393366</v>
      </c>
      <c r="BU1821" s="36">
        <f>(Inventory[[#This Row],[Adjusted Total]]-Inventory[[#This Row],[24Final]])/Inventory[[#This Row],[24Final]]</f>
        <v>2.474122696288816E-2</v>
      </c>
    </row>
    <row r="1822" spans="1:73" x14ac:dyDescent="0.3">
      <c r="A1822" s="25">
        <v>2025</v>
      </c>
      <c r="B1822" s="26" t="s">
        <v>2895</v>
      </c>
      <c r="C1822" s="26">
        <f>LN(Inventory[[#This Row],[Acres]])</f>
        <v>-1.8971199848858813</v>
      </c>
      <c r="D1822" s="25">
        <v>0.15</v>
      </c>
      <c r="E1822" s="27"/>
      <c r="F1822" s="26" t="s">
        <v>537</v>
      </c>
      <c r="G1822" s="26" t="s">
        <v>126</v>
      </c>
      <c r="H1822" s="26" t="s">
        <v>349</v>
      </c>
      <c r="I1822" s="26" t="s">
        <v>538</v>
      </c>
      <c r="J1822" s="26" t="s">
        <v>539</v>
      </c>
      <c r="K1822" s="26" t="s">
        <v>173</v>
      </c>
      <c r="L1822" s="26" t="s">
        <v>351</v>
      </c>
      <c r="M1822" s="26" t="s">
        <v>323</v>
      </c>
      <c r="N1822" s="26">
        <v>100</v>
      </c>
      <c r="O1822" s="26">
        <f>2024-Inventory[[#This Row],[YrBlt]]</f>
        <v>94</v>
      </c>
      <c r="P1822" s="26">
        <f>2024-Inventory[[#This Row],[EffYr]]</f>
        <v>54</v>
      </c>
      <c r="Q1822" s="25">
        <v>1930</v>
      </c>
      <c r="R1822" s="25">
        <v>1970</v>
      </c>
      <c r="S1822" s="25">
        <v>1302</v>
      </c>
      <c r="T1822" s="25">
        <v>336</v>
      </c>
      <c r="U1822" s="25">
        <v>434</v>
      </c>
      <c r="V1822" s="25">
        <f>Inventory[[#This Row],[Bsmt]]-Inventory[[#This Row],[FnBsmt]]</f>
        <v>0</v>
      </c>
      <c r="W1822" s="25">
        <v>434</v>
      </c>
      <c r="X1822" s="27"/>
      <c r="Y1822" s="27">
        <f>Inventory[[#This Row],[MainFn]]+Inventory[[#This Row],[UpprFn]]+Inventory[[#This Row],[FnBsmt]]+Inventory[[#This Row],[AddFn]]</f>
        <v>2072</v>
      </c>
      <c r="Z1822" s="27">
        <v>2500</v>
      </c>
      <c r="AA1822" s="25">
        <v>5</v>
      </c>
      <c r="AB1822" s="27"/>
      <c r="AC1822" s="27"/>
      <c r="AD1822" s="27"/>
      <c r="AE1822" s="27"/>
      <c r="AF1822" s="27"/>
      <c r="AG1822" s="27"/>
      <c r="AH1822" s="27"/>
      <c r="AI1822" s="25">
        <v>281930</v>
      </c>
      <c r="AJ1822" s="25">
        <v>186074</v>
      </c>
      <c r="AK1822" s="25">
        <v>7601</v>
      </c>
      <c r="AL1822" s="25">
        <v>308900</v>
      </c>
      <c r="AM1822" s="25">
        <v>48400</v>
      </c>
      <c r="AN1822" s="25">
        <v>260500</v>
      </c>
      <c r="AO1822" s="25">
        <v>0</v>
      </c>
      <c r="AP1822" s="25">
        <f>Lookups!$B$56*0</f>
        <v>0</v>
      </c>
      <c r="AQ1822" s="25">
        <f>Lookups!$B$56*1</f>
        <v>89850.625589999996</v>
      </c>
      <c r="AR1822" s="25">
        <f>Lookups!$B$57*Inventory[[#This Row],[LnAcres]]</f>
        <v>-60052.604136134301</v>
      </c>
      <c r="AS1822" s="25">
        <f>VLOOKUP(Inventory[[#This Row],[Qlty]],Lookups!$A$62:$E$75,2,FALSE)</f>
        <v>21557.329055999999</v>
      </c>
      <c r="AT1822" s="25">
        <f>VLOOKUP(Inventory[[#This Row],[Cnd]],Lookups!$A$76:$E$84,2,FALSE)</f>
        <v>160472.20319</v>
      </c>
      <c r="AU1822" s="25">
        <f>Inventory[[#This Row],[EffAge]]*Lookups!$B$85</f>
        <v>-12044.462427</v>
      </c>
      <c r="AV1822" s="25">
        <f>Inventory[[#This Row],[MainFn]]*Lookups!$B$86</f>
        <v>64330.088179853999</v>
      </c>
      <c r="AW1822" s="25">
        <f>Inventory[[#This Row],[UpprFn]]*Lookups!$B$87</f>
        <v>15048.238081296</v>
      </c>
      <c r="AX1822" s="25">
        <f>Inventory[[#This Row],[AddFn]]*Lookups!$B$88</f>
        <v>0</v>
      </c>
      <c r="AY1822" s="25">
        <f>Inventory[[#This Row],[Bsmt]]*Lookups!$B$89</f>
        <v>12621.542537198</v>
      </c>
      <c r="AZ1822" s="25">
        <f>Inventory[[#This Row],[Fixtures]]*Lookups!$B$90</f>
        <v>18960.110526</v>
      </c>
      <c r="BA1822" s="25">
        <f>Inventory[[#This Row],[WdDeck]]*Lookups!$B$91</f>
        <v>0</v>
      </c>
      <c r="BB1822" s="25">
        <f>ROUND(Inventory[[#This Row],[25Det]],-2)</f>
        <v>7600</v>
      </c>
      <c r="BC1822" s="25">
        <f>ROUND(SUM(Inventory[[#This Row],[Mdl Qlty]:[Mdl WdDeck]])+Inventory[[#This Row],[Mdl Res Intercept]],-2)</f>
        <v>280900</v>
      </c>
      <c r="BD1822" s="25">
        <f>ROUND(Inventory[[#This Row],[Mdl Land Intercept]]+Inventory[[#This Row],[Mdl LnAcres]],-2)</f>
        <v>29800</v>
      </c>
      <c r="BE1822" s="25">
        <f>Inventory[[#This Row],[Unadj Res Value]]+Inventory[[#This Row],[Unadj Det Value]]+Inventory[[#This Row],[Unadj Land Value]]</f>
        <v>318300</v>
      </c>
      <c r="BF1822" s="36">
        <f>(Inventory[[#This Row],[Unadj Total Value]]-Inventory[[#This Row],[24Final]])/Inventory[[#This Row],[24Final]]</f>
        <v>3.0430560051796698E-2</v>
      </c>
      <c r="BG1822" s="25">
        <f>VLOOKUP(Inventory[[#This Row],[Nbhd]],Lookups!$Q$2:$T$4,4,FALSE)</f>
        <v>0.99970000000000003</v>
      </c>
      <c r="BH1822" s="25">
        <f>VLOOKUP(Inventory[[#This Row],[Qlty]],Lookups!$O$7:$R$21,4,FALSE)</f>
        <v>1.0067999999999999</v>
      </c>
      <c r="BI1822" s="25">
        <f>VLOOKUP(Inventory[[#This Row],[Cnd]],Lookups!$T$7:$W$16,4,FALSE)</f>
        <v>0.99729999999999996</v>
      </c>
      <c r="BJ1822" s="25">
        <f>VLOOKUP(Inventory[[#This Row],[LivArea Range]],Lookups!$T$25:$W$37,4,FALSE)</f>
        <v>0.98919999999999997</v>
      </c>
      <c r="BK1822" s="25">
        <f>VLOOKUP(Inventory[[#This Row],[Decade]],Lookups!$O$25:$R$42,4,FALSE)</f>
        <v>1.0074000000000001</v>
      </c>
      <c r="BL1822" s="25">
        <f>Inventory[[#This Row],[Nbhd Adj]]*0.95</f>
        <v>0.94971499999999998</v>
      </c>
      <c r="BM1822" s="25">
        <f>Inventory[[#This Row],[Nbhd Adj]]*Inventory[[#This Row],[Quality Adj]]*Inventory[[#This Row],[Condition Adj]]*Inventory[[#This Row],[Living Area Adj]]*Inventory[[#This Row],[Decade Adj]]*0.95</f>
        <v>0.95027297296624202</v>
      </c>
      <c r="BN1822" s="25">
        <f>ROUND(SUM(Inventory[[#This Row],[Mdl Qlty]:[Mdl WdDeck]])+Inventory[[#This Row],[Mdl Res Intercept]]*Inventory[[#This Row],[Res Adj ]],-2)</f>
        <v>280900</v>
      </c>
      <c r="BO1822" s="25">
        <f>ROUND(Inventory[[#This Row],[25Det]]*Inventory[[#This Row],[Det/Nbhd Adj]],-2)</f>
        <v>7200</v>
      </c>
      <c r="BP1822" s="25">
        <f>Inventory[[#This Row],[Adjusted Res]]+Inventory[[#This Row],[Adj Det ]]</f>
        <v>288100</v>
      </c>
      <c r="BQ1822" s="25">
        <f>ROUND((Inventory[[#This Row],[Mdl Land Intercept]]+Inventory[[#This Row],[Mdl LnAcres]])*Inventory[[#This Row],[Det/Nbhd Adj]],-2)</f>
        <v>28300</v>
      </c>
      <c r="BR1822" s="25">
        <f>Inventory[[#This Row],[Adjusted Impr Total]]+Inventory[[#This Row],[Adjusted Land Total]]</f>
        <v>316400</v>
      </c>
      <c r="BS1822" s="36">
        <f>IFERROR((Inventory[[#This Row],[Adjusted Impr Total]]-Inventory[[#This Row],[24Bldg]])/Inventory[[#This Row],[24Bldg]],0)</f>
        <v>0.10595009596928982</v>
      </c>
      <c r="BT1822" s="36">
        <f>(Inventory[[#This Row],[Adjusted Land Total]]-Inventory[[#This Row],[24Lnd]])/Inventory[[#This Row],[24Lnd]]</f>
        <v>-0.41528925619834711</v>
      </c>
      <c r="BU1822" s="36">
        <f>(Inventory[[#This Row],[Adjusted Total]]-Inventory[[#This Row],[24Final]])/Inventory[[#This Row],[24Final]]</f>
        <v>2.4279702168986728E-2</v>
      </c>
    </row>
    <row r="1823" spans="1:73" x14ac:dyDescent="0.3">
      <c r="A1823" s="25">
        <v>2025</v>
      </c>
      <c r="B1823" s="26" t="s">
        <v>1930</v>
      </c>
      <c r="C1823" s="26">
        <f>LN(Inventory[[#This Row],[Acres]])</f>
        <v>-1.7719568419318752</v>
      </c>
      <c r="D1823" s="25">
        <v>0.17</v>
      </c>
      <c r="E1823" s="32">
        <v>7199</v>
      </c>
      <c r="F1823" s="26" t="s">
        <v>537</v>
      </c>
      <c r="G1823" s="26" t="s">
        <v>126</v>
      </c>
      <c r="H1823" s="26" t="s">
        <v>349</v>
      </c>
      <c r="I1823" s="26" t="s">
        <v>538</v>
      </c>
      <c r="J1823" s="26" t="s">
        <v>539</v>
      </c>
      <c r="K1823" s="26" t="s">
        <v>147</v>
      </c>
      <c r="L1823" s="26" t="s">
        <v>302</v>
      </c>
      <c r="M1823" s="26" t="s">
        <v>323</v>
      </c>
      <c r="N1823" s="26">
        <v>100</v>
      </c>
      <c r="O1823" s="26">
        <f>2024-Inventory[[#This Row],[YrBlt]]</f>
        <v>94</v>
      </c>
      <c r="P1823" s="26">
        <f>2024-Inventory[[#This Row],[EffYr]]</f>
        <v>54</v>
      </c>
      <c r="Q1823" s="25">
        <v>1930</v>
      </c>
      <c r="R1823" s="25">
        <v>1970</v>
      </c>
      <c r="S1823" s="25">
        <v>1034</v>
      </c>
      <c r="T1823" s="25">
        <v>620</v>
      </c>
      <c r="U1823" s="25">
        <v>884</v>
      </c>
      <c r="V1823" s="25">
        <f>Inventory[[#This Row],[Bsmt]]-Inventory[[#This Row],[FnBsmt]]</f>
        <v>0</v>
      </c>
      <c r="W1823" s="25">
        <v>884</v>
      </c>
      <c r="X1823" s="27"/>
      <c r="Y1823" s="27">
        <f>Inventory[[#This Row],[MainFn]]+Inventory[[#This Row],[UpprFn]]+Inventory[[#This Row],[FnBsmt]]+Inventory[[#This Row],[AddFn]]</f>
        <v>2538</v>
      </c>
      <c r="Z1823" s="27">
        <v>3000</v>
      </c>
      <c r="AA1823" s="25">
        <v>8</v>
      </c>
      <c r="AB1823" s="27"/>
      <c r="AC1823" s="27"/>
      <c r="AD1823" s="27"/>
      <c r="AE1823" s="27"/>
      <c r="AF1823" s="27"/>
      <c r="AG1823" s="27"/>
      <c r="AH1823" s="27"/>
      <c r="AI1823" s="25">
        <v>349164</v>
      </c>
      <c r="AJ1823" s="25">
        <v>230448</v>
      </c>
      <c r="AK1823" s="25">
        <v>6473</v>
      </c>
      <c r="AL1823" s="25">
        <v>343400</v>
      </c>
      <c r="AM1823" s="25">
        <v>52700</v>
      </c>
      <c r="AN1823" s="25">
        <v>290700</v>
      </c>
      <c r="AO1823" s="25">
        <v>0</v>
      </c>
      <c r="AP1823" s="25">
        <f>Lookups!$B$56*0</f>
        <v>0</v>
      </c>
      <c r="AQ1823" s="25">
        <f>Lookups!$B$56*1</f>
        <v>89850.625589999996</v>
      </c>
      <c r="AR1823" s="25">
        <f>Lookups!$B$57*Inventory[[#This Row],[LnAcres]]</f>
        <v>-56090.612940989391</v>
      </c>
      <c r="AS1823" s="25">
        <f>VLOOKUP(Inventory[[#This Row],[Qlty]],Lookups!$A$62:$E$75,2,FALSE)</f>
        <v>29814.093161000001</v>
      </c>
      <c r="AT1823" s="25">
        <f>VLOOKUP(Inventory[[#This Row],[Cnd]],Lookups!$A$76:$E$84,2,FALSE)</f>
        <v>160472.20319</v>
      </c>
      <c r="AU1823" s="25">
        <f>Inventory[[#This Row],[EffAge]]*Lookups!$B$85</f>
        <v>-12044.462427</v>
      </c>
      <c r="AV1823" s="25">
        <f>Inventory[[#This Row],[MainFn]]*Lookups!$B$86</f>
        <v>51088.564652818</v>
      </c>
      <c r="AW1823" s="25">
        <f>Inventory[[#This Row],[UpprFn]]*Lookups!$B$87</f>
        <v>27767.582173819999</v>
      </c>
      <c r="AX1823" s="25">
        <f>Inventory[[#This Row],[AddFn]]*Lookups!$B$88</f>
        <v>0</v>
      </c>
      <c r="AY1823" s="25">
        <f>Inventory[[#This Row],[Bsmt]]*Lookups!$B$89</f>
        <v>25708.395398347999</v>
      </c>
      <c r="AZ1823" s="25">
        <f>Inventory[[#This Row],[Fixtures]]*Lookups!$B$90</f>
        <v>30336.176841600001</v>
      </c>
      <c r="BA1823" s="25">
        <f>Inventory[[#This Row],[WdDeck]]*Lookups!$B$91</f>
        <v>0</v>
      </c>
      <c r="BB1823" s="25">
        <f>ROUND(Inventory[[#This Row],[25Det]],-2)</f>
        <v>6500</v>
      </c>
      <c r="BC1823" s="25">
        <f>ROUND(SUM(Inventory[[#This Row],[Mdl Qlty]:[Mdl WdDeck]])+Inventory[[#This Row],[Mdl Res Intercept]],-2)</f>
        <v>313100</v>
      </c>
      <c r="BD1823" s="25">
        <f>ROUND(Inventory[[#This Row],[Mdl Land Intercept]]+Inventory[[#This Row],[Mdl LnAcres]],-2)</f>
        <v>33800</v>
      </c>
      <c r="BE1823" s="25">
        <f>Inventory[[#This Row],[Unadj Res Value]]+Inventory[[#This Row],[Unadj Det Value]]+Inventory[[#This Row],[Unadj Land Value]]</f>
        <v>353400</v>
      </c>
      <c r="BF1823" s="36">
        <f>(Inventory[[#This Row],[Unadj Total Value]]-Inventory[[#This Row],[24Final]])/Inventory[[#This Row],[24Final]]</f>
        <v>2.9120559114735003E-2</v>
      </c>
      <c r="BG1823" s="25">
        <f>VLOOKUP(Inventory[[#This Row],[Nbhd]],Lookups!$Q$2:$T$4,4,FALSE)</f>
        <v>0.99970000000000003</v>
      </c>
      <c r="BH1823" s="25">
        <f>VLOOKUP(Inventory[[#This Row],[Qlty]],Lookups!$O$7:$R$21,4,FALSE)</f>
        <v>1.0088999999999999</v>
      </c>
      <c r="BI1823" s="25">
        <f>VLOOKUP(Inventory[[#This Row],[Cnd]],Lookups!$T$7:$W$16,4,FALSE)</f>
        <v>0.99729999999999996</v>
      </c>
      <c r="BJ1823" s="25">
        <f>VLOOKUP(Inventory[[#This Row],[LivArea Range]],Lookups!$T$25:$W$37,4,FALSE)</f>
        <v>0.96179999999999999</v>
      </c>
      <c r="BK1823" s="25">
        <f>VLOOKUP(Inventory[[#This Row],[Decade]],Lookups!$O$25:$R$42,4,FALSE)</f>
        <v>1.0074000000000001</v>
      </c>
      <c r="BL1823" s="25">
        <f>Inventory[[#This Row],[Nbhd Adj]]*0.95</f>
        <v>0.94971499999999998</v>
      </c>
      <c r="BM1823" s="25">
        <f>Inventory[[#This Row],[Nbhd Adj]]*Inventory[[#This Row],[Quality Adj]]*Inventory[[#This Row],[Condition Adj]]*Inventory[[#This Row],[Living Area Adj]]*Inventory[[#This Row],[Decade Adj]]*0.95</f>
        <v>0.92587841120833458</v>
      </c>
      <c r="BN1823" s="25">
        <f>ROUND(SUM(Inventory[[#This Row],[Mdl Qlty]:[Mdl WdDeck]])+Inventory[[#This Row],[Mdl Res Intercept]]*Inventory[[#This Row],[Res Adj ]],-2)</f>
        <v>313100</v>
      </c>
      <c r="BO1823" s="25">
        <f>ROUND(Inventory[[#This Row],[25Det]]*Inventory[[#This Row],[Det/Nbhd Adj]],-2)</f>
        <v>6100</v>
      </c>
      <c r="BP1823" s="25">
        <f>Inventory[[#This Row],[Adjusted Res]]+Inventory[[#This Row],[Adj Det ]]</f>
        <v>319200</v>
      </c>
      <c r="BQ1823" s="25">
        <f>ROUND((Inventory[[#This Row],[Mdl Land Intercept]]+Inventory[[#This Row],[Mdl LnAcres]])*Inventory[[#This Row],[Det/Nbhd Adj]],-2)</f>
        <v>32100</v>
      </c>
      <c r="BR1823" s="25">
        <f>Inventory[[#This Row],[Adjusted Impr Total]]+Inventory[[#This Row],[Adjusted Land Total]]</f>
        <v>351300</v>
      </c>
      <c r="BS1823" s="36">
        <f>IFERROR((Inventory[[#This Row],[Adjusted Impr Total]]-Inventory[[#This Row],[24Bldg]])/Inventory[[#This Row],[24Bldg]],0)</f>
        <v>9.8039215686274508E-2</v>
      </c>
      <c r="BT1823" s="36">
        <f>(Inventory[[#This Row],[Adjusted Land Total]]-Inventory[[#This Row],[24Lnd]])/Inventory[[#This Row],[24Lnd]]</f>
        <v>-0.39089184060721061</v>
      </c>
      <c r="BU1823" s="36">
        <f>(Inventory[[#This Row],[Adjusted Total]]-Inventory[[#This Row],[24Final]])/Inventory[[#This Row],[24Final]]</f>
        <v>2.3005241700640652E-2</v>
      </c>
    </row>
    <row r="1824" spans="1:73" x14ac:dyDescent="0.3">
      <c r="A1824" s="25">
        <v>2025</v>
      </c>
      <c r="B1824" s="26" t="s">
        <v>2845</v>
      </c>
      <c r="C1824" s="26">
        <f>LN(Inventory[[#This Row],[Acres]])</f>
        <v>-1.8971199848858813</v>
      </c>
      <c r="D1824" s="25">
        <v>0.15</v>
      </c>
      <c r="E1824" s="32">
        <v>6580</v>
      </c>
      <c r="F1824" s="26" t="s">
        <v>537</v>
      </c>
      <c r="G1824" s="26" t="s">
        <v>126</v>
      </c>
      <c r="H1824" s="26" t="s">
        <v>349</v>
      </c>
      <c r="I1824" s="26" t="s">
        <v>538</v>
      </c>
      <c r="J1824" s="26" t="s">
        <v>539</v>
      </c>
      <c r="K1824" s="26" t="s">
        <v>242</v>
      </c>
      <c r="L1824" s="26" t="s">
        <v>351</v>
      </c>
      <c r="M1824" s="26" t="s">
        <v>323</v>
      </c>
      <c r="N1824" s="26">
        <v>100</v>
      </c>
      <c r="O1824" s="26">
        <f>2024-Inventory[[#This Row],[YrBlt]]</f>
        <v>94</v>
      </c>
      <c r="P1824" s="26">
        <f>2024-Inventory[[#This Row],[EffYr]]</f>
        <v>54</v>
      </c>
      <c r="Q1824" s="25">
        <v>1930</v>
      </c>
      <c r="R1824" s="25">
        <v>1970</v>
      </c>
      <c r="S1824" s="25">
        <v>930</v>
      </c>
      <c r="T1824" s="27"/>
      <c r="U1824" s="25">
        <v>930</v>
      </c>
      <c r="V1824" s="32">
        <f>Inventory[[#This Row],[Bsmt]]-Inventory[[#This Row],[FnBsmt]]</f>
        <v>0</v>
      </c>
      <c r="W1824" s="32">
        <v>930</v>
      </c>
      <c r="X1824" s="27"/>
      <c r="Y1824" s="27">
        <f>Inventory[[#This Row],[MainFn]]+Inventory[[#This Row],[UpprFn]]+Inventory[[#This Row],[FnBsmt]]+Inventory[[#This Row],[AddFn]]</f>
        <v>1860</v>
      </c>
      <c r="Z1824" s="27">
        <v>2000</v>
      </c>
      <c r="AA1824" s="25">
        <v>6</v>
      </c>
      <c r="AB1824" s="27"/>
      <c r="AC1824" s="27"/>
      <c r="AD1824" s="27"/>
      <c r="AE1824" s="27"/>
      <c r="AF1824" s="27"/>
      <c r="AG1824" s="27"/>
      <c r="AH1824" s="27"/>
      <c r="AI1824" s="25">
        <v>227999</v>
      </c>
      <c r="AJ1824" s="25">
        <v>150479</v>
      </c>
      <c r="AK1824" s="25">
        <v>10334</v>
      </c>
      <c r="AL1824" s="25">
        <v>297000</v>
      </c>
      <c r="AM1824" s="25">
        <v>48400</v>
      </c>
      <c r="AN1824" s="25">
        <v>248600</v>
      </c>
      <c r="AO1824" s="25">
        <v>0</v>
      </c>
      <c r="AP1824" s="25">
        <f>Lookups!$B$56*0</f>
        <v>0</v>
      </c>
      <c r="AQ1824" s="25">
        <f>Lookups!$B$56*1</f>
        <v>89850.625589999996</v>
      </c>
      <c r="AR1824" s="25">
        <f>Lookups!$B$57*Inventory[[#This Row],[LnAcres]]</f>
        <v>-60052.604136134301</v>
      </c>
      <c r="AS1824" s="25">
        <f>VLOOKUP(Inventory[[#This Row],[Qlty]],Lookups!$A$62:$E$75,2,FALSE)</f>
        <v>21557.329055999999</v>
      </c>
      <c r="AT1824" s="25">
        <f>VLOOKUP(Inventory[[#This Row],[Cnd]],Lookups!$A$76:$E$84,2,FALSE)</f>
        <v>160472.20319</v>
      </c>
      <c r="AU1824" s="25">
        <f>Inventory[[#This Row],[EffAge]]*Lookups!$B$85</f>
        <v>-12044.462427</v>
      </c>
      <c r="AV1824" s="25">
        <f>Inventory[[#This Row],[MainFn]]*Lookups!$B$86</f>
        <v>45950.062985609999</v>
      </c>
      <c r="AW1824" s="25">
        <f>Inventory[[#This Row],[UpprFn]]*Lookups!$B$87</f>
        <v>0</v>
      </c>
      <c r="AX1824" s="25">
        <f>Inventory[[#This Row],[AddFn]]*Lookups!$B$88</f>
        <v>0</v>
      </c>
      <c r="AY1824" s="25">
        <f>Inventory[[#This Row],[Bsmt]]*Lookups!$B$89</f>
        <v>27046.162579709999</v>
      </c>
      <c r="AZ1824" s="25">
        <f>Inventory[[#This Row],[Fixtures]]*Lookups!$B$90</f>
        <v>22752.132631200002</v>
      </c>
      <c r="BA1824" s="25">
        <f>Inventory[[#This Row],[WdDeck]]*Lookups!$B$91</f>
        <v>0</v>
      </c>
      <c r="BB1824" s="25">
        <f>ROUND(Inventory[[#This Row],[25Det]],-2)</f>
        <v>10300</v>
      </c>
      <c r="BC1824" s="25">
        <f>ROUND(SUM(Inventory[[#This Row],[Mdl Qlty]:[Mdl WdDeck]])+Inventory[[#This Row],[Mdl Res Intercept]],-2)</f>
        <v>265700</v>
      </c>
      <c r="BD1824" s="25">
        <f>ROUND(Inventory[[#This Row],[Mdl Land Intercept]]+Inventory[[#This Row],[Mdl LnAcres]],-2)</f>
        <v>29800</v>
      </c>
      <c r="BE1824" s="25">
        <f>Inventory[[#This Row],[Unadj Res Value]]+Inventory[[#This Row],[Unadj Det Value]]+Inventory[[#This Row],[Unadj Land Value]]</f>
        <v>305800</v>
      </c>
      <c r="BF1824" s="36">
        <f>(Inventory[[#This Row],[Unadj Total Value]]-Inventory[[#This Row],[24Final]])/Inventory[[#This Row],[24Final]]</f>
        <v>2.9629629629629631E-2</v>
      </c>
      <c r="BG1824" s="25">
        <f>VLOOKUP(Inventory[[#This Row],[Nbhd]],Lookups!$Q$2:$T$4,4,FALSE)</f>
        <v>0.99970000000000003</v>
      </c>
      <c r="BH1824" s="25">
        <f>VLOOKUP(Inventory[[#This Row],[Qlty]],Lookups!$O$7:$R$21,4,FALSE)</f>
        <v>1.0067999999999999</v>
      </c>
      <c r="BI1824" s="25">
        <f>VLOOKUP(Inventory[[#This Row],[Cnd]],Lookups!$T$7:$W$16,4,FALSE)</f>
        <v>0.99729999999999996</v>
      </c>
      <c r="BJ1824" s="25">
        <f>VLOOKUP(Inventory[[#This Row],[LivArea Range]],Lookups!$T$25:$W$37,4,FALSE)</f>
        <v>1.0093000000000001</v>
      </c>
      <c r="BK1824" s="25">
        <f>VLOOKUP(Inventory[[#This Row],[Decade]],Lookups!$O$25:$R$42,4,FALSE)</f>
        <v>1.0074000000000001</v>
      </c>
      <c r="BL1824" s="25">
        <f>Inventory[[#This Row],[Nbhd Adj]]*0.95</f>
        <v>0.94971499999999998</v>
      </c>
      <c r="BM1824" s="25">
        <f>Inventory[[#This Row],[Nbhd Adj]]*Inventory[[#This Row],[Quality Adj]]*Inventory[[#This Row],[Condition Adj]]*Inventory[[#This Row],[Living Area Adj]]*Inventory[[#This Row],[Decade Adj]]*0.95</f>
        <v>0.96958199718441984</v>
      </c>
      <c r="BN1824" s="25">
        <f>ROUND(SUM(Inventory[[#This Row],[Mdl Qlty]:[Mdl WdDeck]])+Inventory[[#This Row],[Mdl Res Intercept]]*Inventory[[#This Row],[Res Adj ]],-2)</f>
        <v>265700</v>
      </c>
      <c r="BO1824" s="25">
        <f>ROUND(Inventory[[#This Row],[25Det]]*Inventory[[#This Row],[Det/Nbhd Adj]],-2)</f>
        <v>9800</v>
      </c>
      <c r="BP1824" s="25">
        <f>Inventory[[#This Row],[Adjusted Res]]+Inventory[[#This Row],[Adj Det ]]</f>
        <v>275500</v>
      </c>
      <c r="BQ1824" s="25">
        <f>ROUND((Inventory[[#This Row],[Mdl Land Intercept]]+Inventory[[#This Row],[Mdl LnAcres]])*Inventory[[#This Row],[Det/Nbhd Adj]],-2)</f>
        <v>28300</v>
      </c>
      <c r="BR1824" s="25">
        <f>Inventory[[#This Row],[Adjusted Impr Total]]+Inventory[[#This Row],[Adjusted Land Total]]</f>
        <v>303800</v>
      </c>
      <c r="BS1824" s="36">
        <f>IFERROR((Inventory[[#This Row],[Adjusted Impr Total]]-Inventory[[#This Row],[24Bldg]])/Inventory[[#This Row],[24Bldg]],0)</f>
        <v>0.1082059533386967</v>
      </c>
      <c r="BT1824" s="36">
        <f>(Inventory[[#This Row],[Adjusted Land Total]]-Inventory[[#This Row],[24Lnd]])/Inventory[[#This Row],[24Lnd]]</f>
        <v>-0.41528925619834711</v>
      </c>
      <c r="BU1824" s="36">
        <f>(Inventory[[#This Row],[Adjusted Total]]-Inventory[[#This Row],[24Final]])/Inventory[[#This Row],[24Final]]</f>
        <v>2.2895622895622896E-2</v>
      </c>
    </row>
    <row r="1825" spans="1:73" x14ac:dyDescent="0.3">
      <c r="A1825" s="25">
        <v>2025</v>
      </c>
      <c r="B1825" s="26" t="s">
        <v>888</v>
      </c>
      <c r="C1825" s="26">
        <f>LN(Inventory[[#This Row],[Acres]])</f>
        <v>-1.7719568419318752</v>
      </c>
      <c r="D1825" s="25">
        <v>0.17</v>
      </c>
      <c r="E1825" s="25">
        <v>7209</v>
      </c>
      <c r="F1825" s="26" t="s">
        <v>537</v>
      </c>
      <c r="G1825" s="26" t="s">
        <v>126</v>
      </c>
      <c r="H1825" s="26" t="s">
        <v>349</v>
      </c>
      <c r="I1825" s="26" t="s">
        <v>538</v>
      </c>
      <c r="J1825" s="26" t="s">
        <v>539</v>
      </c>
      <c r="K1825" s="26" t="s">
        <v>242</v>
      </c>
      <c r="L1825" s="26" t="s">
        <v>205</v>
      </c>
      <c r="M1825" s="26" t="s">
        <v>323</v>
      </c>
      <c r="N1825" s="26">
        <v>100</v>
      </c>
      <c r="O1825" s="26">
        <f>2024-Inventory[[#This Row],[YrBlt]]</f>
        <v>94</v>
      </c>
      <c r="P1825" s="26">
        <f>2024-Inventory[[#This Row],[EffYr]]</f>
        <v>54</v>
      </c>
      <c r="Q1825" s="25">
        <v>1930</v>
      </c>
      <c r="R1825" s="25">
        <v>1970</v>
      </c>
      <c r="S1825" s="25">
        <v>1092</v>
      </c>
      <c r="T1825" s="27"/>
      <c r="U1825" s="25">
        <v>977</v>
      </c>
      <c r="V1825" s="25">
        <f>Inventory[[#This Row],[Bsmt]]-Inventory[[#This Row],[FnBsmt]]</f>
        <v>488</v>
      </c>
      <c r="W1825" s="25">
        <v>489</v>
      </c>
      <c r="X1825" s="27"/>
      <c r="Y1825" s="27">
        <f>Inventory[[#This Row],[MainFn]]+Inventory[[#This Row],[UpprFn]]+Inventory[[#This Row],[FnBsmt]]+Inventory[[#This Row],[AddFn]]</f>
        <v>1581</v>
      </c>
      <c r="Z1825" s="27">
        <v>2000</v>
      </c>
      <c r="AA1825" s="25">
        <v>5</v>
      </c>
      <c r="AB1825" s="31"/>
      <c r="AC1825" s="27"/>
      <c r="AD1825" s="31"/>
      <c r="AE1825" s="27"/>
      <c r="AF1825" s="27"/>
      <c r="AG1825" s="27"/>
      <c r="AH1825" s="27"/>
      <c r="AI1825" s="25">
        <v>230002</v>
      </c>
      <c r="AJ1825" s="25">
        <v>151801</v>
      </c>
      <c r="AK1825" s="25">
        <v>9853</v>
      </c>
      <c r="AL1825" s="25">
        <v>285100</v>
      </c>
      <c r="AM1825" s="25">
        <v>52700</v>
      </c>
      <c r="AN1825" s="25">
        <v>232400</v>
      </c>
      <c r="AO1825" s="25">
        <v>0</v>
      </c>
      <c r="AP1825" s="25">
        <f>Lookups!$B$56*0</f>
        <v>0</v>
      </c>
      <c r="AQ1825" s="25">
        <f>Lookups!$B$56*1</f>
        <v>89850.625589999996</v>
      </c>
      <c r="AR1825" s="25">
        <f>Lookups!$B$57*Inventory[[#This Row],[LnAcres]]</f>
        <v>-56090.612940989391</v>
      </c>
      <c r="AS1825" s="25">
        <f>VLOOKUP(Inventory[[#This Row],[Qlty]],Lookups!$A$62:$E$75,2,FALSE)</f>
        <v>0</v>
      </c>
      <c r="AT1825" s="25">
        <f>VLOOKUP(Inventory[[#This Row],[Cnd]],Lookups!$A$76:$E$84,2,FALSE)</f>
        <v>160472.20319</v>
      </c>
      <c r="AU1825" s="25">
        <f>Inventory[[#This Row],[EffAge]]*Lookups!$B$85</f>
        <v>-12044.462427</v>
      </c>
      <c r="AV1825" s="25">
        <f>Inventory[[#This Row],[MainFn]]*Lookups!$B$86</f>
        <v>53954.267505684002</v>
      </c>
      <c r="AW1825" s="25">
        <f>Inventory[[#This Row],[UpprFn]]*Lookups!$B$87</f>
        <v>0</v>
      </c>
      <c r="AX1825" s="25">
        <f>Inventory[[#This Row],[AddFn]]*Lookups!$B$88</f>
        <v>0</v>
      </c>
      <c r="AY1825" s="25">
        <f>Inventory[[#This Row],[Bsmt]]*Lookups!$B$89</f>
        <v>28413.011656318999</v>
      </c>
      <c r="AZ1825" s="25">
        <f>Inventory[[#This Row],[Fixtures]]*Lookups!$B$90</f>
        <v>18960.110526</v>
      </c>
      <c r="BA1825" s="25">
        <f>Inventory[[#This Row],[WdDeck]]*Lookups!$B$91</f>
        <v>0</v>
      </c>
      <c r="BB1825" s="25">
        <f>ROUND(Inventory[[#This Row],[25Det]],-2)</f>
        <v>9900</v>
      </c>
      <c r="BC1825" s="25">
        <f>ROUND(SUM(Inventory[[#This Row],[Mdl Qlty]:[Mdl WdDeck]])+Inventory[[#This Row],[Mdl Res Intercept]],-2)</f>
        <v>249800</v>
      </c>
      <c r="BD1825" s="25">
        <f>ROUND(Inventory[[#This Row],[Mdl Land Intercept]]+Inventory[[#This Row],[Mdl LnAcres]],-2)</f>
        <v>33800</v>
      </c>
      <c r="BE1825" s="25">
        <f>Inventory[[#This Row],[Unadj Res Value]]+Inventory[[#This Row],[Unadj Det Value]]+Inventory[[#This Row],[Unadj Land Value]]</f>
        <v>293500</v>
      </c>
      <c r="BF1825" s="36">
        <f>(Inventory[[#This Row],[Unadj Total Value]]-Inventory[[#This Row],[24Final]])/Inventory[[#This Row],[24Final]]</f>
        <v>2.9463346194317782E-2</v>
      </c>
      <c r="BG1825" s="25">
        <f>VLOOKUP(Inventory[[#This Row],[Nbhd]],Lookups!$Q$2:$T$4,4,FALSE)</f>
        <v>0.99970000000000003</v>
      </c>
      <c r="BH1825" s="25">
        <f>VLOOKUP(Inventory[[#This Row],[Qlty]],Lookups!$O$7:$R$21,4,FALSE)</f>
        <v>0.99180000000000001</v>
      </c>
      <c r="BI1825" s="25">
        <f>VLOOKUP(Inventory[[#This Row],[Cnd]],Lookups!$T$7:$W$16,4,FALSE)</f>
        <v>0.99729999999999996</v>
      </c>
      <c r="BJ1825" s="25">
        <f>VLOOKUP(Inventory[[#This Row],[LivArea Range]],Lookups!$T$25:$W$37,4,FALSE)</f>
        <v>1.0093000000000001</v>
      </c>
      <c r="BK1825" s="25">
        <f>VLOOKUP(Inventory[[#This Row],[Decade]],Lookups!$O$25:$R$42,4,FALSE)</f>
        <v>1.0074000000000001</v>
      </c>
      <c r="BL1825" s="25">
        <f>Inventory[[#This Row],[Nbhd Adj]]*0.95</f>
        <v>0.94971499999999998</v>
      </c>
      <c r="BM1825" s="25">
        <f>Inventory[[#This Row],[Nbhd Adj]]*Inventory[[#This Row],[Quality Adj]]*Inventory[[#This Row],[Condition Adj]]*Inventory[[#This Row],[Living Area Adj]]*Inventory[[#This Row],[Decade Adj]]*0.95</f>
        <v>0.95513649663042099</v>
      </c>
      <c r="BN1825" s="25">
        <f>ROUND(SUM(Inventory[[#This Row],[Mdl Qlty]:[Mdl WdDeck]])+Inventory[[#This Row],[Mdl Res Intercept]]*Inventory[[#This Row],[Res Adj ]],-2)</f>
        <v>249800</v>
      </c>
      <c r="BO1825" s="25">
        <f>ROUND(Inventory[[#This Row],[25Det]]*Inventory[[#This Row],[Det/Nbhd Adj]],-2)</f>
        <v>9400</v>
      </c>
      <c r="BP1825" s="25">
        <f>Inventory[[#This Row],[Adjusted Res]]+Inventory[[#This Row],[Adj Det ]]</f>
        <v>259200</v>
      </c>
      <c r="BQ1825" s="25">
        <f>ROUND((Inventory[[#This Row],[Mdl Land Intercept]]+Inventory[[#This Row],[Mdl LnAcres]])*Inventory[[#This Row],[Det/Nbhd Adj]],-2)</f>
        <v>32100</v>
      </c>
      <c r="BR1825" s="25">
        <f>Inventory[[#This Row],[Adjusted Impr Total]]+Inventory[[#This Row],[Adjusted Land Total]]</f>
        <v>291300</v>
      </c>
      <c r="BS1825" s="36">
        <f>IFERROR((Inventory[[#This Row],[Adjusted Impr Total]]-Inventory[[#This Row],[24Bldg]])/Inventory[[#This Row],[24Bldg]],0)</f>
        <v>0.11531841652323579</v>
      </c>
      <c r="BT1825" s="36">
        <f>(Inventory[[#This Row],[Adjusted Land Total]]-Inventory[[#This Row],[24Lnd]])/Inventory[[#This Row],[24Lnd]]</f>
        <v>-0.39089184060721061</v>
      </c>
      <c r="BU1825" s="36">
        <f>(Inventory[[#This Row],[Adjusted Total]]-Inventory[[#This Row],[24Final]])/Inventory[[#This Row],[24Final]]</f>
        <v>2.1746755524377413E-2</v>
      </c>
    </row>
    <row r="1826" spans="1:73" x14ac:dyDescent="0.3">
      <c r="A1826" s="25">
        <v>2025</v>
      </c>
      <c r="B1826" s="26" t="s">
        <v>1893</v>
      </c>
      <c r="C1826" s="26">
        <f>LN(Inventory[[#This Row],[Acres]])</f>
        <v>-1.5141277326297755</v>
      </c>
      <c r="D1826" s="25">
        <v>0.22</v>
      </c>
      <c r="E1826" s="31"/>
      <c r="F1826" s="26" t="s">
        <v>537</v>
      </c>
      <c r="G1826" s="26" t="s">
        <v>126</v>
      </c>
      <c r="H1826" s="26" t="s">
        <v>349</v>
      </c>
      <c r="I1826" s="26" t="s">
        <v>538</v>
      </c>
      <c r="J1826" s="26" t="s">
        <v>539</v>
      </c>
      <c r="K1826" s="26" t="s">
        <v>173</v>
      </c>
      <c r="L1826" s="26" t="s">
        <v>351</v>
      </c>
      <c r="M1826" s="26" t="s">
        <v>323</v>
      </c>
      <c r="N1826" s="26">
        <v>100</v>
      </c>
      <c r="O1826" s="26">
        <f>2024-Inventory[[#This Row],[YrBlt]]</f>
        <v>94</v>
      </c>
      <c r="P1826" s="26">
        <f>2024-Inventory[[#This Row],[EffYr]]</f>
        <v>54</v>
      </c>
      <c r="Q1826" s="25">
        <v>1930</v>
      </c>
      <c r="R1826" s="25">
        <v>1970</v>
      </c>
      <c r="S1826" s="25">
        <v>1117</v>
      </c>
      <c r="T1826" s="32">
        <v>270</v>
      </c>
      <c r="U1826" s="32">
        <v>825</v>
      </c>
      <c r="V1826" s="32">
        <f>Inventory[[#This Row],[Bsmt]]-Inventory[[#This Row],[FnBsmt]]</f>
        <v>0</v>
      </c>
      <c r="W1826" s="32">
        <v>825</v>
      </c>
      <c r="X1826" s="27"/>
      <c r="Y1826" s="27">
        <f>Inventory[[#This Row],[MainFn]]+Inventory[[#This Row],[UpprFn]]+Inventory[[#This Row],[FnBsmt]]+Inventory[[#This Row],[AddFn]]</f>
        <v>2212</v>
      </c>
      <c r="Z1826" s="27">
        <v>2500</v>
      </c>
      <c r="AA1826" s="25">
        <v>5</v>
      </c>
      <c r="AB1826" s="31"/>
      <c r="AC1826" s="32">
        <v>240</v>
      </c>
      <c r="AD1826" s="31"/>
      <c r="AE1826" s="27"/>
      <c r="AF1826" s="27"/>
      <c r="AG1826" s="27"/>
      <c r="AH1826" s="27"/>
      <c r="AI1826" s="25">
        <v>291842</v>
      </c>
      <c r="AJ1826" s="25">
        <v>192616</v>
      </c>
      <c r="AK1826" s="25">
        <v>0</v>
      </c>
      <c r="AL1826" s="25">
        <v>314000</v>
      </c>
      <c r="AM1826" s="25">
        <v>61700</v>
      </c>
      <c r="AN1826" s="25">
        <v>252300</v>
      </c>
      <c r="AO1826" s="25">
        <v>0</v>
      </c>
      <c r="AP1826" s="25">
        <f>Lookups!$B$56*0</f>
        <v>0</v>
      </c>
      <c r="AQ1826" s="25">
        <f>Lookups!$B$56*1</f>
        <v>89850.625589999996</v>
      </c>
      <c r="AR1826" s="25">
        <f>Lookups!$B$57*Inventory[[#This Row],[LnAcres]]</f>
        <v>-47929.131559187132</v>
      </c>
      <c r="AS1826" s="25">
        <f>VLOOKUP(Inventory[[#This Row],[Qlty]],Lookups!$A$62:$E$75,2,FALSE)</f>
        <v>21557.329055999999</v>
      </c>
      <c r="AT1826" s="25">
        <f>VLOOKUP(Inventory[[#This Row],[Cnd]],Lookups!$A$76:$E$84,2,FALSE)</f>
        <v>160472.20319</v>
      </c>
      <c r="AU1826" s="25">
        <f>Inventory[[#This Row],[EffAge]]*Lookups!$B$85</f>
        <v>-12044.462427</v>
      </c>
      <c r="AV1826" s="25">
        <f>Inventory[[#This Row],[MainFn]]*Lookups!$B$86</f>
        <v>55189.484252609</v>
      </c>
      <c r="AW1826" s="25">
        <f>Inventory[[#This Row],[UpprFn]]*Lookups!$B$87</f>
        <v>12092.33417247</v>
      </c>
      <c r="AX1826" s="25">
        <f>Inventory[[#This Row],[AddFn]]*Lookups!$B$88</f>
        <v>0</v>
      </c>
      <c r="AY1826" s="25">
        <f>Inventory[[#This Row],[Bsmt]]*Lookups!$B$89</f>
        <v>23992.563578775</v>
      </c>
      <c r="AZ1826" s="25">
        <f>Inventory[[#This Row],[Fixtures]]*Lookups!$B$90</f>
        <v>18960.110526</v>
      </c>
      <c r="BA1826" s="25">
        <f>Inventory[[#This Row],[WdDeck]]*Lookups!$B$91</f>
        <v>0</v>
      </c>
      <c r="BB1826" s="25">
        <f>ROUND(Inventory[[#This Row],[25Det]],-2)</f>
        <v>0</v>
      </c>
      <c r="BC1826" s="25">
        <f>ROUND(SUM(Inventory[[#This Row],[Mdl Qlty]:[Mdl WdDeck]])+Inventory[[#This Row],[Mdl Res Intercept]],-2)</f>
        <v>280200</v>
      </c>
      <c r="BD1826" s="25">
        <f>ROUND(Inventory[[#This Row],[Mdl Land Intercept]]+Inventory[[#This Row],[Mdl LnAcres]],-2)</f>
        <v>41900</v>
      </c>
      <c r="BE1826" s="25">
        <f>Inventory[[#This Row],[Unadj Res Value]]+Inventory[[#This Row],[Unadj Det Value]]+Inventory[[#This Row],[Unadj Land Value]]</f>
        <v>322100</v>
      </c>
      <c r="BF1826" s="36">
        <f>(Inventory[[#This Row],[Unadj Total Value]]-Inventory[[#This Row],[24Final]])/Inventory[[#This Row],[24Final]]</f>
        <v>2.5796178343949046E-2</v>
      </c>
      <c r="BG1826" s="25">
        <f>VLOOKUP(Inventory[[#This Row],[Nbhd]],Lookups!$Q$2:$T$4,4,FALSE)</f>
        <v>0.99970000000000003</v>
      </c>
      <c r="BH1826" s="25">
        <f>VLOOKUP(Inventory[[#This Row],[Qlty]],Lookups!$O$7:$R$21,4,FALSE)</f>
        <v>1.0067999999999999</v>
      </c>
      <c r="BI1826" s="25">
        <f>VLOOKUP(Inventory[[#This Row],[Cnd]],Lookups!$T$7:$W$16,4,FALSE)</f>
        <v>0.99729999999999996</v>
      </c>
      <c r="BJ1826" s="25">
        <f>VLOOKUP(Inventory[[#This Row],[LivArea Range]],Lookups!$T$25:$W$37,4,FALSE)</f>
        <v>0.98919999999999997</v>
      </c>
      <c r="BK1826" s="25">
        <f>VLOOKUP(Inventory[[#This Row],[Decade]],Lookups!$O$25:$R$42,4,FALSE)</f>
        <v>1.0074000000000001</v>
      </c>
      <c r="BL1826" s="25">
        <f>Inventory[[#This Row],[Nbhd Adj]]*0.95</f>
        <v>0.94971499999999998</v>
      </c>
      <c r="BM1826" s="25">
        <f>Inventory[[#This Row],[Nbhd Adj]]*Inventory[[#This Row],[Quality Adj]]*Inventory[[#This Row],[Condition Adj]]*Inventory[[#This Row],[Living Area Adj]]*Inventory[[#This Row],[Decade Adj]]*0.95</f>
        <v>0.95027297296624202</v>
      </c>
      <c r="BN1826" s="25">
        <f>ROUND(SUM(Inventory[[#This Row],[Mdl Qlty]:[Mdl WdDeck]])+Inventory[[#This Row],[Mdl Res Intercept]]*Inventory[[#This Row],[Res Adj ]],-2)</f>
        <v>280200</v>
      </c>
      <c r="BO1826" s="25">
        <f>ROUND(Inventory[[#This Row],[25Det]]*Inventory[[#This Row],[Det/Nbhd Adj]],-2)</f>
        <v>0</v>
      </c>
      <c r="BP1826" s="25">
        <f>Inventory[[#This Row],[Adjusted Res]]+Inventory[[#This Row],[Adj Det ]]</f>
        <v>280200</v>
      </c>
      <c r="BQ1826" s="25">
        <f>ROUND((Inventory[[#This Row],[Mdl Land Intercept]]+Inventory[[#This Row],[Mdl LnAcres]])*Inventory[[#This Row],[Det/Nbhd Adj]],-2)</f>
        <v>39800</v>
      </c>
      <c r="BR1826" s="25">
        <f>Inventory[[#This Row],[Adjusted Impr Total]]+Inventory[[#This Row],[Adjusted Land Total]]</f>
        <v>320000</v>
      </c>
      <c r="BS1826" s="36">
        <f>IFERROR((Inventory[[#This Row],[Adjusted Impr Total]]-Inventory[[#This Row],[24Bldg]])/Inventory[[#This Row],[24Bldg]],0)</f>
        <v>0.11058263971462545</v>
      </c>
      <c r="BT1826" s="36">
        <f>(Inventory[[#This Row],[Adjusted Land Total]]-Inventory[[#This Row],[24Lnd]])/Inventory[[#This Row],[24Lnd]]</f>
        <v>-0.35494327390599678</v>
      </c>
      <c r="BU1826" s="36">
        <f>(Inventory[[#This Row],[Adjusted Total]]-Inventory[[#This Row],[24Final]])/Inventory[[#This Row],[24Final]]</f>
        <v>1.9108280254777069E-2</v>
      </c>
    </row>
    <row r="1827" spans="1:73" x14ac:dyDescent="0.3">
      <c r="A1827" s="25">
        <v>2025</v>
      </c>
      <c r="B1827" s="26" t="s">
        <v>2894</v>
      </c>
      <c r="C1827" s="26">
        <f>LN(Inventory[[#This Row],[Acres]])</f>
        <v>-1.8971199848858813</v>
      </c>
      <c r="D1827" s="25">
        <v>0.15</v>
      </c>
      <c r="E1827" s="31"/>
      <c r="F1827" s="26" t="s">
        <v>537</v>
      </c>
      <c r="G1827" s="26" t="s">
        <v>126</v>
      </c>
      <c r="H1827" s="26" t="s">
        <v>349</v>
      </c>
      <c r="I1827" s="26" t="s">
        <v>538</v>
      </c>
      <c r="J1827" s="26" t="s">
        <v>539</v>
      </c>
      <c r="K1827" s="26" t="s">
        <v>269</v>
      </c>
      <c r="L1827" s="26" t="s">
        <v>351</v>
      </c>
      <c r="M1827" s="26" t="s">
        <v>323</v>
      </c>
      <c r="N1827" s="26">
        <v>100</v>
      </c>
      <c r="O1827" s="26">
        <f>2024-Inventory[[#This Row],[YrBlt]]</f>
        <v>94</v>
      </c>
      <c r="P1827" s="26">
        <f>2024-Inventory[[#This Row],[EffYr]]</f>
        <v>54</v>
      </c>
      <c r="Q1827" s="25">
        <v>1930</v>
      </c>
      <c r="R1827" s="25">
        <v>1970</v>
      </c>
      <c r="S1827" s="25">
        <v>928</v>
      </c>
      <c r="T1827" s="27"/>
      <c r="U1827" s="32">
        <v>928</v>
      </c>
      <c r="V1827" s="32">
        <f>Inventory[[#This Row],[Bsmt]]-Inventory[[#This Row],[FnBsmt]]</f>
        <v>0</v>
      </c>
      <c r="W1827" s="32">
        <v>928</v>
      </c>
      <c r="X1827" s="27"/>
      <c r="Y1827" s="27">
        <f>Inventory[[#This Row],[MainFn]]+Inventory[[#This Row],[UpprFn]]+Inventory[[#This Row],[FnBsmt]]+Inventory[[#This Row],[AddFn]]</f>
        <v>1856</v>
      </c>
      <c r="Z1827" s="27">
        <v>2000</v>
      </c>
      <c r="AA1827" s="25">
        <v>5</v>
      </c>
      <c r="AB1827" s="31"/>
      <c r="AC1827" s="27"/>
      <c r="AD1827" s="31"/>
      <c r="AE1827" s="27"/>
      <c r="AF1827" s="27"/>
      <c r="AG1827" s="27"/>
      <c r="AH1827" s="27"/>
      <c r="AI1827" s="25">
        <v>235286</v>
      </c>
      <c r="AJ1827" s="25">
        <v>155289</v>
      </c>
      <c r="AK1827" s="25">
        <v>0</v>
      </c>
      <c r="AL1827" s="25">
        <v>284700</v>
      </c>
      <c r="AM1827" s="25">
        <v>48400</v>
      </c>
      <c r="AN1827" s="25">
        <v>236300</v>
      </c>
      <c r="AO1827" s="25">
        <v>0</v>
      </c>
      <c r="AP1827" s="25">
        <f>Lookups!$B$56*0</f>
        <v>0</v>
      </c>
      <c r="AQ1827" s="25">
        <f>Lookups!$B$56*1</f>
        <v>89850.625589999996</v>
      </c>
      <c r="AR1827" s="25">
        <f>Lookups!$B$57*Inventory[[#This Row],[LnAcres]]</f>
        <v>-60052.604136134301</v>
      </c>
      <c r="AS1827" s="25">
        <f>VLOOKUP(Inventory[[#This Row],[Qlty]],Lookups!$A$62:$E$75,2,FALSE)</f>
        <v>21557.329055999999</v>
      </c>
      <c r="AT1827" s="25">
        <f>VLOOKUP(Inventory[[#This Row],[Cnd]],Lookups!$A$76:$E$84,2,FALSE)</f>
        <v>160472.20319</v>
      </c>
      <c r="AU1827" s="25">
        <f>Inventory[[#This Row],[EffAge]]*Lookups!$B$85</f>
        <v>-12044.462427</v>
      </c>
      <c r="AV1827" s="25">
        <f>Inventory[[#This Row],[MainFn]]*Lookups!$B$86</f>
        <v>45851.245645856005</v>
      </c>
      <c r="AW1827" s="25">
        <f>Inventory[[#This Row],[UpprFn]]*Lookups!$B$87</f>
        <v>0</v>
      </c>
      <c r="AX1827" s="25">
        <f>Inventory[[#This Row],[AddFn]]*Lookups!$B$88</f>
        <v>0</v>
      </c>
      <c r="AY1827" s="25">
        <f>Inventory[[#This Row],[Bsmt]]*Lookups!$B$89</f>
        <v>26987.998789215999</v>
      </c>
      <c r="AZ1827" s="25">
        <f>Inventory[[#This Row],[Fixtures]]*Lookups!$B$90</f>
        <v>18960.110526</v>
      </c>
      <c r="BA1827" s="25">
        <f>Inventory[[#This Row],[WdDeck]]*Lookups!$B$91</f>
        <v>0</v>
      </c>
      <c r="BB1827" s="25">
        <f>ROUND(Inventory[[#This Row],[25Det]],-2)</f>
        <v>0</v>
      </c>
      <c r="BC1827" s="25">
        <f>ROUND(SUM(Inventory[[#This Row],[Mdl Qlty]:[Mdl WdDeck]])+Inventory[[#This Row],[Mdl Res Intercept]],-2)</f>
        <v>261800</v>
      </c>
      <c r="BD1827" s="25">
        <f>ROUND(Inventory[[#This Row],[Mdl Land Intercept]]+Inventory[[#This Row],[Mdl LnAcres]],-2)</f>
        <v>29800</v>
      </c>
      <c r="BE1827" s="25">
        <f>Inventory[[#This Row],[Unadj Res Value]]+Inventory[[#This Row],[Unadj Det Value]]+Inventory[[#This Row],[Unadj Land Value]]</f>
        <v>291600</v>
      </c>
      <c r="BF1827" s="36">
        <f>(Inventory[[#This Row],[Unadj Total Value]]-Inventory[[#This Row],[24Final]])/Inventory[[#This Row],[24Final]]</f>
        <v>2.4236037934668071E-2</v>
      </c>
      <c r="BG1827" s="25">
        <f>VLOOKUP(Inventory[[#This Row],[Nbhd]],Lookups!$Q$2:$T$4,4,FALSE)</f>
        <v>0.99970000000000003</v>
      </c>
      <c r="BH1827" s="25">
        <f>VLOOKUP(Inventory[[#This Row],[Qlty]],Lookups!$O$7:$R$21,4,FALSE)</f>
        <v>1.0067999999999999</v>
      </c>
      <c r="BI1827" s="25">
        <f>VLOOKUP(Inventory[[#This Row],[Cnd]],Lookups!$T$7:$W$16,4,FALSE)</f>
        <v>0.99729999999999996</v>
      </c>
      <c r="BJ1827" s="25">
        <f>VLOOKUP(Inventory[[#This Row],[LivArea Range]],Lookups!$T$25:$W$37,4,FALSE)</f>
        <v>1.0093000000000001</v>
      </c>
      <c r="BK1827" s="25">
        <f>VLOOKUP(Inventory[[#This Row],[Decade]],Lookups!$O$25:$R$42,4,FALSE)</f>
        <v>1.0074000000000001</v>
      </c>
      <c r="BL1827" s="25">
        <f>Inventory[[#This Row],[Nbhd Adj]]*0.95</f>
        <v>0.94971499999999998</v>
      </c>
      <c r="BM1827" s="25">
        <f>Inventory[[#This Row],[Nbhd Adj]]*Inventory[[#This Row],[Quality Adj]]*Inventory[[#This Row],[Condition Adj]]*Inventory[[#This Row],[Living Area Adj]]*Inventory[[#This Row],[Decade Adj]]*0.95</f>
        <v>0.96958199718441984</v>
      </c>
      <c r="BN1827" s="25">
        <f>ROUND(SUM(Inventory[[#This Row],[Mdl Qlty]:[Mdl WdDeck]])+Inventory[[#This Row],[Mdl Res Intercept]]*Inventory[[#This Row],[Res Adj ]],-2)</f>
        <v>261800</v>
      </c>
      <c r="BO1827" s="25">
        <f>ROUND(Inventory[[#This Row],[25Det]]*Inventory[[#This Row],[Det/Nbhd Adj]],-2)</f>
        <v>0</v>
      </c>
      <c r="BP1827" s="25">
        <f>Inventory[[#This Row],[Adjusted Res]]+Inventory[[#This Row],[Adj Det ]]</f>
        <v>261800</v>
      </c>
      <c r="BQ1827" s="25">
        <f>ROUND((Inventory[[#This Row],[Mdl Land Intercept]]+Inventory[[#This Row],[Mdl LnAcres]])*Inventory[[#This Row],[Det/Nbhd Adj]],-2)</f>
        <v>28300</v>
      </c>
      <c r="BR1827" s="25">
        <f>Inventory[[#This Row],[Adjusted Impr Total]]+Inventory[[#This Row],[Adjusted Land Total]]</f>
        <v>290100</v>
      </c>
      <c r="BS1827" s="36">
        <f>IFERROR((Inventory[[#This Row],[Adjusted Impr Total]]-Inventory[[#This Row],[24Bldg]])/Inventory[[#This Row],[24Bldg]],0)</f>
        <v>0.1079136690647482</v>
      </c>
      <c r="BT1827" s="36">
        <f>(Inventory[[#This Row],[Adjusted Land Total]]-Inventory[[#This Row],[24Lnd]])/Inventory[[#This Row],[24Lnd]]</f>
        <v>-0.41528925619834711</v>
      </c>
      <c r="BU1827" s="36">
        <f>(Inventory[[#This Row],[Adjusted Total]]-Inventory[[#This Row],[24Final]])/Inventory[[#This Row],[24Final]]</f>
        <v>1.8967334035827187E-2</v>
      </c>
    </row>
    <row r="1828" spans="1:73" x14ac:dyDescent="0.3">
      <c r="A1828" s="25">
        <v>2025</v>
      </c>
      <c r="B1828" s="26" t="s">
        <v>1846</v>
      </c>
      <c r="C1828" s="26">
        <f>LN(Inventory[[#This Row],[Acres]])</f>
        <v>-1.8971199848858813</v>
      </c>
      <c r="D1828" s="25">
        <v>0.15</v>
      </c>
      <c r="E1828" s="31"/>
      <c r="F1828" s="26" t="s">
        <v>537</v>
      </c>
      <c r="G1828" s="26" t="s">
        <v>126</v>
      </c>
      <c r="H1828" s="26" t="s">
        <v>349</v>
      </c>
      <c r="I1828" s="26" t="s">
        <v>538</v>
      </c>
      <c r="J1828" s="26" t="s">
        <v>539</v>
      </c>
      <c r="K1828" s="26" t="s">
        <v>242</v>
      </c>
      <c r="L1828" s="26" t="s">
        <v>351</v>
      </c>
      <c r="M1828" s="26" t="s">
        <v>323</v>
      </c>
      <c r="N1828" s="26">
        <v>100</v>
      </c>
      <c r="O1828" s="26">
        <f>2024-Inventory[[#This Row],[YrBlt]]</f>
        <v>94</v>
      </c>
      <c r="P1828" s="26">
        <f>2024-Inventory[[#This Row],[EffYr]]</f>
        <v>54</v>
      </c>
      <c r="Q1828" s="25">
        <v>1930</v>
      </c>
      <c r="R1828" s="25">
        <v>1970</v>
      </c>
      <c r="S1828" s="25">
        <v>1161</v>
      </c>
      <c r="T1828" s="27"/>
      <c r="U1828" s="32">
        <v>1161</v>
      </c>
      <c r="V1828" s="32">
        <f>Inventory[[#This Row],[Bsmt]]-Inventory[[#This Row],[FnBsmt]]</f>
        <v>277</v>
      </c>
      <c r="W1828" s="32">
        <v>884</v>
      </c>
      <c r="X1828" s="27"/>
      <c r="Y1828" s="27">
        <f>Inventory[[#This Row],[MainFn]]+Inventory[[#This Row],[UpprFn]]+Inventory[[#This Row],[FnBsmt]]+Inventory[[#This Row],[AddFn]]</f>
        <v>2045</v>
      </c>
      <c r="Z1828" s="27">
        <v>2500</v>
      </c>
      <c r="AA1828" s="25">
        <v>5</v>
      </c>
      <c r="AB1828" s="31"/>
      <c r="AC1828" s="27"/>
      <c r="AD1828" s="31"/>
      <c r="AE1828" s="27"/>
      <c r="AF1828" s="27"/>
      <c r="AG1828" s="27"/>
      <c r="AH1828" s="27"/>
      <c r="AI1828" s="25">
        <v>278308</v>
      </c>
      <c r="AJ1828" s="25">
        <v>183683</v>
      </c>
      <c r="AK1828" s="25">
        <v>6712</v>
      </c>
      <c r="AL1828" s="25">
        <v>309000</v>
      </c>
      <c r="AM1828" s="25">
        <v>48400</v>
      </c>
      <c r="AN1828" s="25">
        <v>260600</v>
      </c>
      <c r="AO1828" s="25">
        <v>0</v>
      </c>
      <c r="AP1828" s="25">
        <f>Lookups!$B$56*0</f>
        <v>0</v>
      </c>
      <c r="AQ1828" s="25">
        <f>Lookups!$B$56*1</f>
        <v>89850.625589999996</v>
      </c>
      <c r="AR1828" s="25">
        <f>Lookups!$B$57*Inventory[[#This Row],[LnAcres]]</f>
        <v>-60052.604136134301</v>
      </c>
      <c r="AS1828" s="25">
        <f>VLOOKUP(Inventory[[#This Row],[Qlty]],Lookups!$A$62:$E$75,2,FALSE)</f>
        <v>21557.329055999999</v>
      </c>
      <c r="AT1828" s="25">
        <f>VLOOKUP(Inventory[[#This Row],[Cnd]],Lookups!$A$76:$E$84,2,FALSE)</f>
        <v>160472.20319</v>
      </c>
      <c r="AU1828" s="25">
        <f>Inventory[[#This Row],[EffAge]]*Lookups!$B$85</f>
        <v>-12044.462427</v>
      </c>
      <c r="AV1828" s="25">
        <f>Inventory[[#This Row],[MainFn]]*Lookups!$B$86</f>
        <v>57363.465727196999</v>
      </c>
      <c r="AW1828" s="25">
        <f>Inventory[[#This Row],[UpprFn]]*Lookups!$B$87</f>
        <v>0</v>
      </c>
      <c r="AX1828" s="25">
        <f>Inventory[[#This Row],[AddFn]]*Lookups!$B$88</f>
        <v>0</v>
      </c>
      <c r="AY1828" s="25">
        <f>Inventory[[#This Row],[Bsmt]]*Lookups!$B$89</f>
        <v>33764.080381766995</v>
      </c>
      <c r="AZ1828" s="25">
        <f>Inventory[[#This Row],[Fixtures]]*Lookups!$B$90</f>
        <v>18960.110526</v>
      </c>
      <c r="BA1828" s="25">
        <f>Inventory[[#This Row],[WdDeck]]*Lookups!$B$91</f>
        <v>0</v>
      </c>
      <c r="BB1828" s="25">
        <f>ROUND(Inventory[[#This Row],[25Det]],-2)</f>
        <v>6700</v>
      </c>
      <c r="BC1828" s="25">
        <f>ROUND(SUM(Inventory[[#This Row],[Mdl Qlty]:[Mdl WdDeck]])+Inventory[[#This Row],[Mdl Res Intercept]],-2)</f>
        <v>280100</v>
      </c>
      <c r="BD1828" s="25">
        <f>ROUND(Inventory[[#This Row],[Mdl Land Intercept]]+Inventory[[#This Row],[Mdl LnAcres]],-2)</f>
        <v>29800</v>
      </c>
      <c r="BE1828" s="25">
        <f>Inventory[[#This Row],[Unadj Res Value]]+Inventory[[#This Row],[Unadj Det Value]]+Inventory[[#This Row],[Unadj Land Value]]</f>
        <v>316600</v>
      </c>
      <c r="BF1828" s="36">
        <f>(Inventory[[#This Row],[Unadj Total Value]]-Inventory[[#This Row],[24Final]])/Inventory[[#This Row],[24Final]]</f>
        <v>2.459546925566343E-2</v>
      </c>
      <c r="BG1828" s="25">
        <f>VLOOKUP(Inventory[[#This Row],[Nbhd]],Lookups!$Q$2:$T$4,4,FALSE)</f>
        <v>0.99970000000000003</v>
      </c>
      <c r="BH1828" s="25">
        <f>VLOOKUP(Inventory[[#This Row],[Qlty]],Lookups!$O$7:$R$21,4,FALSE)</f>
        <v>1.0067999999999999</v>
      </c>
      <c r="BI1828" s="25">
        <f>VLOOKUP(Inventory[[#This Row],[Cnd]],Lookups!$T$7:$W$16,4,FALSE)</f>
        <v>0.99729999999999996</v>
      </c>
      <c r="BJ1828" s="25">
        <f>VLOOKUP(Inventory[[#This Row],[LivArea Range]],Lookups!$T$25:$W$37,4,FALSE)</f>
        <v>0.98919999999999997</v>
      </c>
      <c r="BK1828" s="25">
        <f>VLOOKUP(Inventory[[#This Row],[Decade]],Lookups!$O$25:$R$42,4,FALSE)</f>
        <v>1.0074000000000001</v>
      </c>
      <c r="BL1828" s="25">
        <f>Inventory[[#This Row],[Nbhd Adj]]*0.95</f>
        <v>0.94971499999999998</v>
      </c>
      <c r="BM1828" s="25">
        <f>Inventory[[#This Row],[Nbhd Adj]]*Inventory[[#This Row],[Quality Adj]]*Inventory[[#This Row],[Condition Adj]]*Inventory[[#This Row],[Living Area Adj]]*Inventory[[#This Row],[Decade Adj]]*0.95</f>
        <v>0.95027297296624202</v>
      </c>
      <c r="BN1828" s="25">
        <f>ROUND(SUM(Inventory[[#This Row],[Mdl Qlty]:[Mdl WdDeck]])+Inventory[[#This Row],[Mdl Res Intercept]]*Inventory[[#This Row],[Res Adj ]],-2)</f>
        <v>280100</v>
      </c>
      <c r="BO1828" s="25">
        <f>ROUND(Inventory[[#This Row],[25Det]]*Inventory[[#This Row],[Det/Nbhd Adj]],-2)</f>
        <v>6400</v>
      </c>
      <c r="BP1828" s="25">
        <f>Inventory[[#This Row],[Adjusted Res]]+Inventory[[#This Row],[Adj Det ]]</f>
        <v>286500</v>
      </c>
      <c r="BQ1828" s="25">
        <f>ROUND((Inventory[[#This Row],[Mdl Land Intercept]]+Inventory[[#This Row],[Mdl LnAcres]])*Inventory[[#This Row],[Det/Nbhd Adj]],-2)</f>
        <v>28300</v>
      </c>
      <c r="BR1828" s="25">
        <f>Inventory[[#This Row],[Adjusted Impr Total]]+Inventory[[#This Row],[Adjusted Land Total]]</f>
        <v>314800</v>
      </c>
      <c r="BS1828" s="36">
        <f>IFERROR((Inventory[[#This Row],[Adjusted Impr Total]]-Inventory[[#This Row],[24Bldg]])/Inventory[[#This Row],[24Bldg]],0)</f>
        <v>9.9386032233307747E-2</v>
      </c>
      <c r="BT1828" s="36">
        <f>(Inventory[[#This Row],[Adjusted Land Total]]-Inventory[[#This Row],[24Lnd]])/Inventory[[#This Row],[24Lnd]]</f>
        <v>-0.41528925619834711</v>
      </c>
      <c r="BU1828" s="36">
        <f>(Inventory[[#This Row],[Adjusted Total]]-Inventory[[#This Row],[24Final]])/Inventory[[#This Row],[24Final]]</f>
        <v>1.8770226537216828E-2</v>
      </c>
    </row>
    <row r="1829" spans="1:73" x14ac:dyDescent="0.3">
      <c r="A1829" s="25">
        <v>2025</v>
      </c>
      <c r="B1829" s="26" t="s">
        <v>931</v>
      </c>
      <c r="C1829" s="26">
        <f>LN(Inventory[[#This Row],[Acres]])</f>
        <v>-1.4271163556401458</v>
      </c>
      <c r="D1829" s="25">
        <v>0.24</v>
      </c>
      <c r="E1829" s="32">
        <v>10582</v>
      </c>
      <c r="F1829" s="26" t="s">
        <v>537</v>
      </c>
      <c r="G1829" s="26" t="s">
        <v>126</v>
      </c>
      <c r="H1829" s="26" t="s">
        <v>349</v>
      </c>
      <c r="I1829" s="26" t="s">
        <v>538</v>
      </c>
      <c r="J1829" s="26" t="s">
        <v>539</v>
      </c>
      <c r="K1829" s="26" t="s">
        <v>242</v>
      </c>
      <c r="L1829" s="26" t="s">
        <v>205</v>
      </c>
      <c r="M1829" s="26" t="s">
        <v>303</v>
      </c>
      <c r="N1829" s="26">
        <v>100</v>
      </c>
      <c r="O1829" s="26">
        <f>2024-Inventory[[#This Row],[YrBlt]]</f>
        <v>94</v>
      </c>
      <c r="P1829" s="26">
        <f>2024-Inventory[[#This Row],[EffYr]]</f>
        <v>54</v>
      </c>
      <c r="Q1829" s="25">
        <v>1930</v>
      </c>
      <c r="R1829" s="25">
        <v>1970</v>
      </c>
      <c r="S1829" s="25">
        <v>1066</v>
      </c>
      <c r="T1829" s="31"/>
      <c r="U1829" s="25">
        <v>771</v>
      </c>
      <c r="V1829" s="25">
        <f>Inventory[[#This Row],[Bsmt]]-Inventory[[#This Row],[FnBsmt]]</f>
        <v>0</v>
      </c>
      <c r="W1829" s="25">
        <v>771</v>
      </c>
      <c r="X1829" s="27"/>
      <c r="Y1829" s="27">
        <f>Inventory[[#This Row],[MainFn]]+Inventory[[#This Row],[UpprFn]]+Inventory[[#This Row],[FnBsmt]]+Inventory[[#This Row],[AddFn]]</f>
        <v>1837</v>
      </c>
      <c r="Z1829" s="27">
        <v>2000</v>
      </c>
      <c r="AA1829" s="25">
        <v>11</v>
      </c>
      <c r="AB1829" s="27"/>
      <c r="AC1829" s="27"/>
      <c r="AD1829" s="27"/>
      <c r="AE1829" s="27"/>
      <c r="AF1829" s="27"/>
      <c r="AG1829" s="27"/>
      <c r="AH1829" s="27"/>
      <c r="AI1829" s="25">
        <v>243641</v>
      </c>
      <c r="AJ1829" s="25">
        <v>165676</v>
      </c>
      <c r="AK1829" s="25">
        <v>2301</v>
      </c>
      <c r="AL1829" s="25">
        <v>341300</v>
      </c>
      <c r="AM1829" s="25">
        <v>64800</v>
      </c>
      <c r="AN1829" s="25">
        <v>276500</v>
      </c>
      <c r="AO1829" s="25">
        <v>0</v>
      </c>
      <c r="AP1829" s="25">
        <f>Lookups!$B$56*0</f>
        <v>0</v>
      </c>
      <c r="AQ1829" s="25">
        <f>Lookups!$B$56*1</f>
        <v>89850.625589999996</v>
      </c>
      <c r="AR1829" s="25">
        <f>Lookups!$B$57*Inventory[[#This Row],[LnAcres]]</f>
        <v>-45174.819855485119</v>
      </c>
      <c r="AS1829" s="25">
        <f>VLOOKUP(Inventory[[#This Row],[Qlty]],Lookups!$A$62:$E$75,2,FALSE)</f>
        <v>0</v>
      </c>
      <c r="AT1829" s="25">
        <f>VLOOKUP(Inventory[[#This Row],[Cnd]],Lookups!$A$76:$E$84,2,FALSE)</f>
        <v>197752.34721000001</v>
      </c>
      <c r="AU1829" s="25">
        <f>Inventory[[#This Row],[EffAge]]*Lookups!$B$85</f>
        <v>-12044.462427</v>
      </c>
      <c r="AV1829" s="25">
        <f>Inventory[[#This Row],[MainFn]]*Lookups!$B$86</f>
        <v>52669.642088881999</v>
      </c>
      <c r="AW1829" s="25">
        <f>Inventory[[#This Row],[UpprFn]]*Lookups!$B$87</f>
        <v>0</v>
      </c>
      <c r="AX1829" s="25">
        <f>Inventory[[#This Row],[AddFn]]*Lookups!$B$88</f>
        <v>0</v>
      </c>
      <c r="AY1829" s="25">
        <f>Inventory[[#This Row],[Bsmt]]*Lookups!$B$89</f>
        <v>22422.141235437</v>
      </c>
      <c r="AZ1829" s="25">
        <f>Inventory[[#This Row],[Fixtures]]*Lookups!$B$90</f>
        <v>41712.243157199999</v>
      </c>
      <c r="BA1829" s="25">
        <f>Inventory[[#This Row],[WdDeck]]*Lookups!$B$91</f>
        <v>0</v>
      </c>
      <c r="BB1829" s="25">
        <f>ROUND(Inventory[[#This Row],[25Det]],-2)</f>
        <v>2300</v>
      </c>
      <c r="BC1829" s="25">
        <f>ROUND(SUM(Inventory[[#This Row],[Mdl Qlty]:[Mdl WdDeck]])+Inventory[[#This Row],[Mdl Res Intercept]],-2)</f>
        <v>302500</v>
      </c>
      <c r="BD1829" s="25">
        <f>ROUND(Inventory[[#This Row],[Mdl Land Intercept]]+Inventory[[#This Row],[Mdl LnAcres]],-2)</f>
        <v>44700</v>
      </c>
      <c r="BE1829" s="25">
        <f>Inventory[[#This Row],[Unadj Res Value]]+Inventory[[#This Row],[Unadj Det Value]]+Inventory[[#This Row],[Unadj Land Value]]</f>
        <v>349500</v>
      </c>
      <c r="BF1829" s="36">
        <f>(Inventory[[#This Row],[Unadj Total Value]]-Inventory[[#This Row],[24Final]])/Inventory[[#This Row],[24Final]]</f>
        <v>2.4025783767946087E-2</v>
      </c>
      <c r="BG1829" s="25">
        <f>VLOOKUP(Inventory[[#This Row],[Nbhd]],Lookups!$Q$2:$T$4,4,FALSE)</f>
        <v>0.99970000000000003</v>
      </c>
      <c r="BH1829" s="25">
        <f>VLOOKUP(Inventory[[#This Row],[Qlty]],Lookups!$O$7:$R$21,4,FALSE)</f>
        <v>0.99180000000000001</v>
      </c>
      <c r="BI1829" s="25">
        <f>VLOOKUP(Inventory[[#This Row],[Cnd]],Lookups!$T$7:$W$16,4,FALSE)</f>
        <v>0.99650000000000005</v>
      </c>
      <c r="BJ1829" s="25">
        <f>VLOOKUP(Inventory[[#This Row],[LivArea Range]],Lookups!$T$25:$W$37,4,FALSE)</f>
        <v>1.0093000000000001</v>
      </c>
      <c r="BK1829" s="25">
        <f>VLOOKUP(Inventory[[#This Row],[Decade]],Lookups!$O$25:$R$42,4,FALSE)</f>
        <v>1.0074000000000001</v>
      </c>
      <c r="BL1829" s="25">
        <f>Inventory[[#This Row],[Nbhd Adj]]*0.95</f>
        <v>0.94971499999999998</v>
      </c>
      <c r="BM1829" s="25">
        <f>Inventory[[#This Row],[Nbhd Adj]]*Inventory[[#This Row],[Quality Adj]]*Inventory[[#This Row],[Condition Adj]]*Inventory[[#This Row],[Living Area Adj]]*Inventory[[#This Row],[Decade Adj]]*0.95</f>
        <v>0.95437031875284728</v>
      </c>
      <c r="BN1829" s="25">
        <f>ROUND(SUM(Inventory[[#This Row],[Mdl Qlty]:[Mdl WdDeck]])+Inventory[[#This Row],[Mdl Res Intercept]]*Inventory[[#This Row],[Res Adj ]],-2)</f>
        <v>302500</v>
      </c>
      <c r="BO1829" s="25">
        <f>ROUND(Inventory[[#This Row],[25Det]]*Inventory[[#This Row],[Det/Nbhd Adj]],-2)</f>
        <v>2200</v>
      </c>
      <c r="BP1829" s="25">
        <f>Inventory[[#This Row],[Adjusted Res]]+Inventory[[#This Row],[Adj Det ]]</f>
        <v>304700</v>
      </c>
      <c r="BQ1829" s="25">
        <f>ROUND((Inventory[[#This Row],[Mdl Land Intercept]]+Inventory[[#This Row],[Mdl LnAcres]])*Inventory[[#This Row],[Det/Nbhd Adj]],-2)</f>
        <v>42400</v>
      </c>
      <c r="BR1829" s="25">
        <f>Inventory[[#This Row],[Adjusted Impr Total]]+Inventory[[#This Row],[Adjusted Land Total]]</f>
        <v>347100</v>
      </c>
      <c r="BS1829" s="36">
        <f>IFERROR((Inventory[[#This Row],[Adjusted Impr Total]]-Inventory[[#This Row],[24Bldg]])/Inventory[[#This Row],[24Bldg]],0)</f>
        <v>0.10198915009041591</v>
      </c>
      <c r="BT1829" s="36">
        <f>(Inventory[[#This Row],[Adjusted Land Total]]-Inventory[[#This Row],[24Lnd]])/Inventory[[#This Row],[24Lnd]]</f>
        <v>-0.34567901234567899</v>
      </c>
      <c r="BU1829" s="36">
        <f>(Inventory[[#This Row],[Adjusted Total]]-Inventory[[#This Row],[24Final]])/Inventory[[#This Row],[24Final]]</f>
        <v>1.6993847055376501E-2</v>
      </c>
    </row>
    <row r="1830" spans="1:73" x14ac:dyDescent="0.3">
      <c r="A1830" s="25">
        <v>2025</v>
      </c>
      <c r="B1830" s="26" t="s">
        <v>2121</v>
      </c>
      <c r="C1830" s="26">
        <f>LN(Inventory[[#This Row],[Acres]])</f>
        <v>-0.9942522733438669</v>
      </c>
      <c r="D1830" s="25">
        <v>0.37</v>
      </c>
      <c r="E1830" s="31"/>
      <c r="F1830" s="26" t="s">
        <v>537</v>
      </c>
      <c r="G1830" s="26" t="s">
        <v>126</v>
      </c>
      <c r="H1830" s="26" t="s">
        <v>349</v>
      </c>
      <c r="I1830" s="26" t="s">
        <v>538</v>
      </c>
      <c r="J1830" s="26" t="s">
        <v>539</v>
      </c>
      <c r="K1830" s="26" t="s">
        <v>173</v>
      </c>
      <c r="L1830" s="26" t="s">
        <v>351</v>
      </c>
      <c r="M1830" s="26" t="s">
        <v>323</v>
      </c>
      <c r="N1830" s="26">
        <v>100</v>
      </c>
      <c r="O1830" s="26">
        <f>2024-Inventory[[#This Row],[YrBlt]]</f>
        <v>94</v>
      </c>
      <c r="P1830" s="26">
        <f>2024-Inventory[[#This Row],[EffYr]]</f>
        <v>54</v>
      </c>
      <c r="Q1830" s="25">
        <v>1930</v>
      </c>
      <c r="R1830" s="25">
        <v>1970</v>
      </c>
      <c r="S1830" s="25">
        <v>1136</v>
      </c>
      <c r="T1830" s="32">
        <v>416</v>
      </c>
      <c r="U1830" s="25">
        <v>500</v>
      </c>
      <c r="V1830" s="25">
        <f>Inventory[[#This Row],[Bsmt]]-Inventory[[#This Row],[FnBsmt]]</f>
        <v>250</v>
      </c>
      <c r="W1830" s="25">
        <v>250</v>
      </c>
      <c r="X1830" s="27"/>
      <c r="Y1830" s="27">
        <f>Inventory[[#This Row],[MainFn]]+Inventory[[#This Row],[UpprFn]]+Inventory[[#This Row],[FnBsmt]]+Inventory[[#This Row],[AddFn]]</f>
        <v>1802</v>
      </c>
      <c r="Z1830" s="27">
        <v>2000</v>
      </c>
      <c r="AA1830" s="25">
        <v>8</v>
      </c>
      <c r="AB1830" s="32">
        <v>459</v>
      </c>
      <c r="AC1830" s="27"/>
      <c r="AD1830" s="27"/>
      <c r="AE1830" s="27"/>
      <c r="AF1830" s="27"/>
      <c r="AG1830" s="27"/>
      <c r="AH1830" s="27"/>
      <c r="AI1830" s="25">
        <v>303441</v>
      </c>
      <c r="AJ1830" s="25">
        <v>200271</v>
      </c>
      <c r="AK1830" s="25">
        <v>0</v>
      </c>
      <c r="AL1830" s="25">
        <v>339400</v>
      </c>
      <c r="AM1830" s="25">
        <v>79900</v>
      </c>
      <c r="AN1830" s="25">
        <v>259500</v>
      </c>
      <c r="AO1830" s="25">
        <v>0</v>
      </c>
      <c r="AP1830" s="25">
        <f>Lookups!$B$56*0</f>
        <v>0</v>
      </c>
      <c r="AQ1830" s="25">
        <f>Lookups!$B$56*1</f>
        <v>89850.625589999996</v>
      </c>
      <c r="AR1830" s="25">
        <f>Lookups!$B$57*Inventory[[#This Row],[LnAcres]]</f>
        <v>-31472.673662315807</v>
      </c>
      <c r="AS1830" s="25">
        <f>VLOOKUP(Inventory[[#This Row],[Qlty]],Lookups!$A$62:$E$75,2,FALSE)</f>
        <v>21557.329055999999</v>
      </c>
      <c r="AT1830" s="25">
        <f>VLOOKUP(Inventory[[#This Row],[Cnd]],Lookups!$A$76:$E$84,2,FALSE)</f>
        <v>160472.20319</v>
      </c>
      <c r="AU1830" s="25">
        <f>Inventory[[#This Row],[EffAge]]*Lookups!$B$85</f>
        <v>-12044.462427</v>
      </c>
      <c r="AV1830" s="25">
        <f>Inventory[[#This Row],[MainFn]]*Lookups!$B$86</f>
        <v>56128.248980272001</v>
      </c>
      <c r="AW1830" s="25">
        <f>Inventory[[#This Row],[UpprFn]]*Lookups!$B$87</f>
        <v>18631.151910175999</v>
      </c>
      <c r="AX1830" s="25">
        <f>Inventory[[#This Row],[AddFn]]*Lookups!$B$88</f>
        <v>0</v>
      </c>
      <c r="AY1830" s="25">
        <f>Inventory[[#This Row],[Bsmt]]*Lookups!$B$89</f>
        <v>14540.947623499998</v>
      </c>
      <c r="AZ1830" s="25">
        <f>Inventory[[#This Row],[Fixtures]]*Lookups!$B$90</f>
        <v>30336.176841600001</v>
      </c>
      <c r="BA1830" s="25">
        <f>Inventory[[#This Row],[WdDeck]]*Lookups!$B$91</f>
        <v>0</v>
      </c>
      <c r="BB1830" s="25">
        <f>ROUND(Inventory[[#This Row],[25Det]],-2)</f>
        <v>0</v>
      </c>
      <c r="BC1830" s="25">
        <f>ROUND(SUM(Inventory[[#This Row],[Mdl Qlty]:[Mdl WdDeck]])+Inventory[[#This Row],[Mdl Res Intercept]],-2)</f>
        <v>289600</v>
      </c>
      <c r="BD1830" s="25">
        <f>ROUND(Inventory[[#This Row],[Mdl Land Intercept]]+Inventory[[#This Row],[Mdl LnAcres]],-2)</f>
        <v>58400</v>
      </c>
      <c r="BE1830" s="25">
        <f>Inventory[[#This Row],[Unadj Res Value]]+Inventory[[#This Row],[Unadj Det Value]]+Inventory[[#This Row],[Unadj Land Value]]</f>
        <v>348000</v>
      </c>
      <c r="BF1830" s="36">
        <f>(Inventory[[#This Row],[Unadj Total Value]]-Inventory[[#This Row],[24Final]])/Inventory[[#This Row],[24Final]]</f>
        <v>2.5338833235120803E-2</v>
      </c>
      <c r="BG1830" s="25">
        <f>VLOOKUP(Inventory[[#This Row],[Nbhd]],Lookups!$Q$2:$T$4,4,FALSE)</f>
        <v>0.99970000000000003</v>
      </c>
      <c r="BH1830" s="25">
        <f>VLOOKUP(Inventory[[#This Row],[Qlty]],Lookups!$O$7:$R$21,4,FALSE)</f>
        <v>1.0067999999999999</v>
      </c>
      <c r="BI1830" s="25">
        <f>VLOOKUP(Inventory[[#This Row],[Cnd]],Lookups!$T$7:$W$16,4,FALSE)</f>
        <v>0.99729999999999996</v>
      </c>
      <c r="BJ1830" s="25">
        <f>VLOOKUP(Inventory[[#This Row],[LivArea Range]],Lookups!$T$25:$W$37,4,FALSE)</f>
        <v>1.0093000000000001</v>
      </c>
      <c r="BK1830" s="25">
        <f>VLOOKUP(Inventory[[#This Row],[Decade]],Lookups!$O$25:$R$42,4,FALSE)</f>
        <v>1.0074000000000001</v>
      </c>
      <c r="BL1830" s="25">
        <f>Inventory[[#This Row],[Nbhd Adj]]*0.95</f>
        <v>0.94971499999999998</v>
      </c>
      <c r="BM1830" s="25">
        <f>Inventory[[#This Row],[Nbhd Adj]]*Inventory[[#This Row],[Quality Adj]]*Inventory[[#This Row],[Condition Adj]]*Inventory[[#This Row],[Living Area Adj]]*Inventory[[#This Row],[Decade Adj]]*0.95</f>
        <v>0.96958199718441984</v>
      </c>
      <c r="BN1830" s="25">
        <f>ROUND(SUM(Inventory[[#This Row],[Mdl Qlty]:[Mdl WdDeck]])+Inventory[[#This Row],[Mdl Res Intercept]]*Inventory[[#This Row],[Res Adj ]],-2)</f>
        <v>289600</v>
      </c>
      <c r="BO1830" s="25">
        <f>ROUND(Inventory[[#This Row],[25Det]]*Inventory[[#This Row],[Det/Nbhd Adj]],-2)</f>
        <v>0</v>
      </c>
      <c r="BP1830" s="25">
        <f>Inventory[[#This Row],[Adjusted Res]]+Inventory[[#This Row],[Adj Det ]]</f>
        <v>289600</v>
      </c>
      <c r="BQ1830" s="25">
        <f>ROUND((Inventory[[#This Row],[Mdl Land Intercept]]+Inventory[[#This Row],[Mdl LnAcres]])*Inventory[[#This Row],[Det/Nbhd Adj]],-2)</f>
        <v>55400</v>
      </c>
      <c r="BR1830" s="25">
        <f>Inventory[[#This Row],[Adjusted Impr Total]]+Inventory[[#This Row],[Adjusted Land Total]]</f>
        <v>345000</v>
      </c>
      <c r="BS1830" s="36">
        <f>IFERROR((Inventory[[#This Row],[Adjusted Impr Total]]-Inventory[[#This Row],[24Bldg]])/Inventory[[#This Row],[24Bldg]],0)</f>
        <v>0.11599229287090559</v>
      </c>
      <c r="BT1830" s="36">
        <f>(Inventory[[#This Row],[Adjusted Land Total]]-Inventory[[#This Row],[24Lnd]])/Inventory[[#This Row],[24Lnd]]</f>
        <v>-0.30663329161451813</v>
      </c>
      <c r="BU1830" s="36">
        <f>(Inventory[[#This Row],[Adjusted Total]]-Inventory[[#This Row],[24Final]])/Inventory[[#This Row],[24Final]]</f>
        <v>1.6499705362404242E-2</v>
      </c>
    </row>
    <row r="1831" spans="1:73" x14ac:dyDescent="0.3">
      <c r="A1831" s="25">
        <v>2025</v>
      </c>
      <c r="B1831" s="26" t="s">
        <v>1486</v>
      </c>
      <c r="C1831" s="26">
        <f>LN(Inventory[[#This Row],[Acres]])</f>
        <v>-1.8971199848858813</v>
      </c>
      <c r="D1831" s="25">
        <v>0.15</v>
      </c>
      <c r="E1831" s="25">
        <v>6646</v>
      </c>
      <c r="F1831" s="26" t="s">
        <v>537</v>
      </c>
      <c r="G1831" s="26" t="s">
        <v>126</v>
      </c>
      <c r="H1831" s="26" t="s">
        <v>349</v>
      </c>
      <c r="I1831" s="26" t="s">
        <v>538</v>
      </c>
      <c r="J1831" s="26" t="s">
        <v>638</v>
      </c>
      <c r="K1831" s="26" t="s">
        <v>242</v>
      </c>
      <c r="L1831" s="26" t="s">
        <v>302</v>
      </c>
      <c r="M1831" s="26" t="s">
        <v>323</v>
      </c>
      <c r="N1831" s="26">
        <v>100</v>
      </c>
      <c r="O1831" s="26">
        <f>2024-Inventory[[#This Row],[YrBlt]]</f>
        <v>94</v>
      </c>
      <c r="P1831" s="26">
        <f>2024-Inventory[[#This Row],[EffYr]]</f>
        <v>54</v>
      </c>
      <c r="Q1831" s="25">
        <v>1930</v>
      </c>
      <c r="R1831" s="25">
        <v>1970</v>
      </c>
      <c r="S1831" s="25">
        <v>1223</v>
      </c>
      <c r="T1831" s="27"/>
      <c r="U1831" s="32">
        <v>1138</v>
      </c>
      <c r="V1831" s="32">
        <f>Inventory[[#This Row],[Bsmt]]-Inventory[[#This Row],[FnBsmt]]</f>
        <v>158</v>
      </c>
      <c r="W1831" s="32">
        <v>980</v>
      </c>
      <c r="X1831" s="27"/>
      <c r="Y1831" s="27">
        <f>Inventory[[#This Row],[MainFn]]+Inventory[[#This Row],[UpprFn]]+Inventory[[#This Row],[FnBsmt]]+Inventory[[#This Row],[AddFn]]</f>
        <v>2203</v>
      </c>
      <c r="Z1831" s="27">
        <v>2500</v>
      </c>
      <c r="AA1831" s="25">
        <v>7</v>
      </c>
      <c r="AB1831" s="31"/>
      <c r="AC1831" s="27"/>
      <c r="AD1831" s="27"/>
      <c r="AE1831" s="27"/>
      <c r="AF1831" s="27"/>
      <c r="AG1831" s="27"/>
      <c r="AH1831" s="27"/>
      <c r="AI1831" s="25">
        <v>334198</v>
      </c>
      <c r="AJ1831" s="25">
        <v>220571</v>
      </c>
      <c r="AK1831" s="25">
        <v>6712</v>
      </c>
      <c r="AL1831" s="25">
        <v>329200</v>
      </c>
      <c r="AM1831" s="25">
        <v>48400</v>
      </c>
      <c r="AN1831" s="25">
        <v>280800</v>
      </c>
      <c r="AO1831" s="25">
        <v>0</v>
      </c>
      <c r="AP1831" s="25">
        <f>Lookups!$B$56*0</f>
        <v>0</v>
      </c>
      <c r="AQ1831" s="25">
        <f>Lookups!$B$56*1</f>
        <v>89850.625589999996</v>
      </c>
      <c r="AR1831" s="25">
        <f>Lookups!$B$57*Inventory[[#This Row],[LnAcres]]</f>
        <v>-60052.604136134301</v>
      </c>
      <c r="AS1831" s="25">
        <f>VLOOKUP(Inventory[[#This Row],[Qlty]],Lookups!$A$62:$E$75,2,FALSE)</f>
        <v>29814.093161000001</v>
      </c>
      <c r="AT1831" s="25">
        <f>VLOOKUP(Inventory[[#This Row],[Cnd]],Lookups!$A$76:$E$84,2,FALSE)</f>
        <v>160472.20319</v>
      </c>
      <c r="AU1831" s="25">
        <f>Inventory[[#This Row],[EffAge]]*Lookups!$B$85</f>
        <v>-12044.462427</v>
      </c>
      <c r="AV1831" s="25">
        <f>Inventory[[#This Row],[MainFn]]*Lookups!$B$86</f>
        <v>60426.803259571003</v>
      </c>
      <c r="AW1831" s="25">
        <f>Inventory[[#This Row],[UpprFn]]*Lookups!$B$87</f>
        <v>0</v>
      </c>
      <c r="AX1831" s="25">
        <f>Inventory[[#This Row],[AddFn]]*Lookups!$B$88</f>
        <v>0</v>
      </c>
      <c r="AY1831" s="25">
        <f>Inventory[[#This Row],[Bsmt]]*Lookups!$B$89</f>
        <v>33095.196791085997</v>
      </c>
      <c r="AZ1831" s="25">
        <f>Inventory[[#This Row],[Fixtures]]*Lookups!$B$90</f>
        <v>26544.1547364</v>
      </c>
      <c r="BA1831" s="25">
        <f>Inventory[[#This Row],[WdDeck]]*Lookups!$B$91</f>
        <v>0</v>
      </c>
      <c r="BB1831" s="25">
        <f>ROUND(Inventory[[#This Row],[25Det]],-2)</f>
        <v>6700</v>
      </c>
      <c r="BC1831" s="25">
        <f>ROUND(SUM(Inventory[[#This Row],[Mdl Qlty]:[Mdl WdDeck]])+Inventory[[#This Row],[Mdl Res Intercept]],-2)</f>
        <v>298300</v>
      </c>
      <c r="BD1831" s="25">
        <f>ROUND(Inventory[[#This Row],[Mdl Land Intercept]]+Inventory[[#This Row],[Mdl LnAcres]],-2)</f>
        <v>29800</v>
      </c>
      <c r="BE1831" s="25">
        <f>Inventory[[#This Row],[Unadj Res Value]]+Inventory[[#This Row],[Unadj Det Value]]+Inventory[[#This Row],[Unadj Land Value]]</f>
        <v>334800</v>
      </c>
      <c r="BF1831" s="36">
        <f>(Inventory[[#This Row],[Unadj Total Value]]-Inventory[[#This Row],[24Final]])/Inventory[[#This Row],[24Final]]</f>
        <v>1.7010935601458079E-2</v>
      </c>
      <c r="BG1831" s="25">
        <f>VLOOKUP(Inventory[[#This Row],[Nbhd]],Lookups!$Q$2:$T$4,4,FALSE)</f>
        <v>0.99970000000000003</v>
      </c>
      <c r="BH1831" s="25">
        <f>VLOOKUP(Inventory[[#This Row],[Qlty]],Lookups!$O$7:$R$21,4,FALSE)</f>
        <v>1.0088999999999999</v>
      </c>
      <c r="BI1831" s="25">
        <f>VLOOKUP(Inventory[[#This Row],[Cnd]],Lookups!$T$7:$W$16,4,FALSE)</f>
        <v>0.99729999999999996</v>
      </c>
      <c r="BJ1831" s="25">
        <f>VLOOKUP(Inventory[[#This Row],[LivArea Range]],Lookups!$T$25:$W$37,4,FALSE)</f>
        <v>0.98919999999999997</v>
      </c>
      <c r="BK1831" s="25">
        <f>VLOOKUP(Inventory[[#This Row],[Decade]],Lookups!$O$25:$R$42,4,FALSE)</f>
        <v>1.0074000000000001</v>
      </c>
      <c r="BL1831" s="25">
        <f>Inventory[[#This Row],[Nbhd Adj]]*0.95</f>
        <v>0.94971499999999998</v>
      </c>
      <c r="BM1831" s="25">
        <f>Inventory[[#This Row],[Nbhd Adj]]*Inventory[[#This Row],[Quality Adj]]*Inventory[[#This Row],[Condition Adj]]*Inventory[[#This Row],[Living Area Adj]]*Inventory[[#This Row],[Decade Adj]]*0.95</f>
        <v>0.95225506796349002</v>
      </c>
      <c r="BN1831" s="25">
        <f>ROUND(SUM(Inventory[[#This Row],[Mdl Qlty]:[Mdl WdDeck]])+Inventory[[#This Row],[Mdl Res Intercept]]*Inventory[[#This Row],[Res Adj ]],-2)</f>
        <v>298300</v>
      </c>
      <c r="BO1831" s="25">
        <f>ROUND(Inventory[[#This Row],[25Det]]*Inventory[[#This Row],[Det/Nbhd Adj]],-2)</f>
        <v>6400</v>
      </c>
      <c r="BP1831" s="25">
        <f>Inventory[[#This Row],[Adjusted Res]]+Inventory[[#This Row],[Adj Det ]]</f>
        <v>304700</v>
      </c>
      <c r="BQ1831" s="25">
        <f>ROUND((Inventory[[#This Row],[Mdl Land Intercept]]+Inventory[[#This Row],[Mdl LnAcres]])*Inventory[[#This Row],[Det/Nbhd Adj]],-2)</f>
        <v>28300</v>
      </c>
      <c r="BR1831" s="25">
        <f>Inventory[[#This Row],[Adjusted Impr Total]]+Inventory[[#This Row],[Adjusted Land Total]]</f>
        <v>333000</v>
      </c>
      <c r="BS1831" s="36">
        <f>IFERROR((Inventory[[#This Row],[Adjusted Impr Total]]-Inventory[[#This Row],[24Bldg]])/Inventory[[#This Row],[24Bldg]],0)</f>
        <v>8.5113960113960108E-2</v>
      </c>
      <c r="BT1831" s="36">
        <f>(Inventory[[#This Row],[Adjusted Land Total]]-Inventory[[#This Row],[24Lnd]])/Inventory[[#This Row],[24Lnd]]</f>
        <v>-0.41528925619834711</v>
      </c>
      <c r="BU1831" s="36">
        <f>(Inventory[[#This Row],[Adjusted Total]]-Inventory[[#This Row],[24Final]])/Inventory[[#This Row],[24Final]]</f>
        <v>1.1543134872417983E-2</v>
      </c>
    </row>
    <row r="1832" spans="1:73" x14ac:dyDescent="0.3">
      <c r="A1832" s="25">
        <v>2025</v>
      </c>
      <c r="B1832" s="26" t="s">
        <v>2543</v>
      </c>
      <c r="C1832" s="26">
        <f>LN(Inventory[[#This Row],[Acres]])</f>
        <v>-0.46203545959655867</v>
      </c>
      <c r="D1832" s="25">
        <v>0.63</v>
      </c>
      <c r="E1832" s="31"/>
      <c r="F1832" s="26" t="s">
        <v>537</v>
      </c>
      <c r="G1832" s="26" t="s">
        <v>126</v>
      </c>
      <c r="H1832" s="26" t="s">
        <v>349</v>
      </c>
      <c r="I1832" s="26" t="s">
        <v>538</v>
      </c>
      <c r="J1832" s="26" t="s">
        <v>539</v>
      </c>
      <c r="K1832" s="26" t="s">
        <v>416</v>
      </c>
      <c r="L1832" s="26" t="s">
        <v>205</v>
      </c>
      <c r="M1832" s="26" t="s">
        <v>303</v>
      </c>
      <c r="N1832" s="26">
        <v>100</v>
      </c>
      <c r="O1832" s="26">
        <f>2024-Inventory[[#This Row],[YrBlt]]</f>
        <v>94</v>
      </c>
      <c r="P1832" s="26">
        <f>2024-Inventory[[#This Row],[EffYr]]</f>
        <v>54</v>
      </c>
      <c r="Q1832" s="25">
        <v>1930</v>
      </c>
      <c r="R1832" s="25">
        <v>1970</v>
      </c>
      <c r="S1832" s="25">
        <v>1030</v>
      </c>
      <c r="T1832" s="32">
        <v>780</v>
      </c>
      <c r="U1832" s="32">
        <v>515</v>
      </c>
      <c r="V1832" s="32">
        <f>Inventory[[#This Row],[Bsmt]]-Inventory[[#This Row],[FnBsmt]]</f>
        <v>15</v>
      </c>
      <c r="W1832" s="32">
        <v>500</v>
      </c>
      <c r="X1832" s="27"/>
      <c r="Y1832" s="27">
        <f>Inventory[[#This Row],[MainFn]]+Inventory[[#This Row],[UpprFn]]+Inventory[[#This Row],[FnBsmt]]+Inventory[[#This Row],[AddFn]]</f>
        <v>2310</v>
      </c>
      <c r="Z1832" s="27">
        <v>2500</v>
      </c>
      <c r="AA1832" s="25">
        <v>8</v>
      </c>
      <c r="AB1832" s="27"/>
      <c r="AC1832" s="27"/>
      <c r="AD1832" s="27"/>
      <c r="AE1832" s="27"/>
      <c r="AF1832" s="27"/>
      <c r="AG1832" s="27"/>
      <c r="AH1832" s="27"/>
      <c r="AI1832" s="25">
        <v>286960</v>
      </c>
      <c r="AJ1832" s="25">
        <v>195133</v>
      </c>
      <c r="AK1832" s="25">
        <v>13956</v>
      </c>
      <c r="AL1832" s="25">
        <v>397500</v>
      </c>
      <c r="AM1832" s="25">
        <v>98400</v>
      </c>
      <c r="AN1832" s="25">
        <v>299100</v>
      </c>
      <c r="AO1832" s="25">
        <v>0</v>
      </c>
      <c r="AP1832" s="25">
        <f>Lookups!$B$56*0</f>
        <v>0</v>
      </c>
      <c r="AQ1832" s="25">
        <f>Lookups!$B$56*1</f>
        <v>89850.625589999996</v>
      </c>
      <c r="AR1832" s="25">
        <f>Lookups!$B$57*Inventory[[#This Row],[LnAcres]]</f>
        <v>-14625.554932245397</v>
      </c>
      <c r="AS1832" s="25">
        <f>VLOOKUP(Inventory[[#This Row],[Qlty]],Lookups!$A$62:$E$75,2,FALSE)</f>
        <v>0</v>
      </c>
      <c r="AT1832" s="25">
        <f>VLOOKUP(Inventory[[#This Row],[Cnd]],Lookups!$A$76:$E$84,2,FALSE)</f>
        <v>197752.34721000001</v>
      </c>
      <c r="AU1832" s="25">
        <f>Inventory[[#This Row],[EffAge]]*Lookups!$B$85</f>
        <v>-12044.462427</v>
      </c>
      <c r="AV1832" s="25">
        <f>Inventory[[#This Row],[MainFn]]*Lookups!$B$86</f>
        <v>50890.929973309998</v>
      </c>
      <c r="AW1832" s="25">
        <f>Inventory[[#This Row],[UpprFn]]*Lookups!$B$87</f>
        <v>34933.40983158</v>
      </c>
      <c r="AX1832" s="25">
        <f>Inventory[[#This Row],[AddFn]]*Lookups!$B$88</f>
        <v>0</v>
      </c>
      <c r="AY1832" s="25">
        <f>Inventory[[#This Row],[Bsmt]]*Lookups!$B$89</f>
        <v>14977.176052204999</v>
      </c>
      <c r="AZ1832" s="25">
        <f>Inventory[[#This Row],[Fixtures]]*Lookups!$B$90</f>
        <v>30336.176841600001</v>
      </c>
      <c r="BA1832" s="25">
        <f>Inventory[[#This Row],[WdDeck]]*Lookups!$B$91</f>
        <v>0</v>
      </c>
      <c r="BB1832" s="25">
        <f>ROUND(Inventory[[#This Row],[25Det]],-2)</f>
        <v>14000</v>
      </c>
      <c r="BC1832" s="25">
        <f>ROUND(SUM(Inventory[[#This Row],[Mdl Qlty]:[Mdl WdDeck]])+Inventory[[#This Row],[Mdl Res Intercept]],-2)</f>
        <v>316800</v>
      </c>
      <c r="BD1832" s="25">
        <f>ROUND(Inventory[[#This Row],[Mdl Land Intercept]]+Inventory[[#This Row],[Mdl LnAcres]],-2)</f>
        <v>75200</v>
      </c>
      <c r="BE1832" s="25">
        <f>Inventory[[#This Row],[Unadj Res Value]]+Inventory[[#This Row],[Unadj Det Value]]+Inventory[[#This Row],[Unadj Land Value]]</f>
        <v>406000</v>
      </c>
      <c r="BF1832" s="36">
        <f>(Inventory[[#This Row],[Unadj Total Value]]-Inventory[[#This Row],[24Final]])/Inventory[[#This Row],[24Final]]</f>
        <v>2.1383647798742137E-2</v>
      </c>
      <c r="BG1832" s="25">
        <f>VLOOKUP(Inventory[[#This Row],[Nbhd]],Lookups!$Q$2:$T$4,4,FALSE)</f>
        <v>0.99970000000000003</v>
      </c>
      <c r="BH1832" s="25">
        <f>VLOOKUP(Inventory[[#This Row],[Qlty]],Lookups!$O$7:$R$21,4,FALSE)</f>
        <v>0.99180000000000001</v>
      </c>
      <c r="BI1832" s="25">
        <f>VLOOKUP(Inventory[[#This Row],[Cnd]],Lookups!$T$7:$W$16,4,FALSE)</f>
        <v>0.99650000000000005</v>
      </c>
      <c r="BJ1832" s="25">
        <f>VLOOKUP(Inventory[[#This Row],[LivArea Range]],Lookups!$T$25:$W$37,4,FALSE)</f>
        <v>0.98919999999999997</v>
      </c>
      <c r="BK1832" s="25">
        <f>VLOOKUP(Inventory[[#This Row],[Decade]],Lookups!$O$25:$R$42,4,FALSE)</f>
        <v>1.0074000000000001</v>
      </c>
      <c r="BL1832" s="25">
        <f>Inventory[[#This Row],[Nbhd Adj]]*0.95</f>
        <v>0.94971499999999998</v>
      </c>
      <c r="BM1832" s="25">
        <f>Inventory[[#This Row],[Nbhd Adj]]*Inventory[[#This Row],[Quality Adj]]*Inventory[[#This Row],[Condition Adj]]*Inventory[[#This Row],[Living Area Adj]]*Inventory[[#This Row],[Decade Adj]]*0.95</f>
        <v>0.9353642319531521</v>
      </c>
      <c r="BN1832" s="25">
        <f>ROUND(SUM(Inventory[[#This Row],[Mdl Qlty]:[Mdl WdDeck]])+Inventory[[#This Row],[Mdl Res Intercept]]*Inventory[[#This Row],[Res Adj ]],-2)</f>
        <v>316800</v>
      </c>
      <c r="BO1832" s="25">
        <f>ROUND(Inventory[[#This Row],[25Det]]*Inventory[[#This Row],[Det/Nbhd Adj]],-2)</f>
        <v>13300</v>
      </c>
      <c r="BP1832" s="25">
        <f>Inventory[[#This Row],[Adjusted Res]]+Inventory[[#This Row],[Adj Det ]]</f>
        <v>330100</v>
      </c>
      <c r="BQ1832" s="25">
        <f>ROUND((Inventory[[#This Row],[Mdl Land Intercept]]+Inventory[[#This Row],[Mdl LnAcres]])*Inventory[[#This Row],[Det/Nbhd Adj]],-2)</f>
        <v>71400</v>
      </c>
      <c r="BR1832" s="25">
        <f>Inventory[[#This Row],[Adjusted Impr Total]]+Inventory[[#This Row],[Adjusted Land Total]]</f>
        <v>401500</v>
      </c>
      <c r="BS1832" s="36">
        <f>IFERROR((Inventory[[#This Row],[Adjusted Impr Total]]-Inventory[[#This Row],[24Bldg]])/Inventory[[#This Row],[24Bldg]],0)</f>
        <v>0.10364426613172852</v>
      </c>
      <c r="BT1832" s="36">
        <f>(Inventory[[#This Row],[Adjusted Land Total]]-Inventory[[#This Row],[24Lnd]])/Inventory[[#This Row],[24Lnd]]</f>
        <v>-0.27439024390243905</v>
      </c>
      <c r="BU1832" s="36">
        <f>(Inventory[[#This Row],[Adjusted Total]]-Inventory[[#This Row],[24Final]])/Inventory[[#This Row],[24Final]]</f>
        <v>1.0062893081761006E-2</v>
      </c>
    </row>
    <row r="1833" spans="1:73" x14ac:dyDescent="0.3">
      <c r="A1833" s="25">
        <v>2025</v>
      </c>
      <c r="B1833" s="26" t="s">
        <v>2653</v>
      </c>
      <c r="C1833" s="26">
        <f>LN(Inventory[[#This Row],[Acres]])</f>
        <v>-1.7719568419318752</v>
      </c>
      <c r="D1833" s="25">
        <v>0.17</v>
      </c>
      <c r="E1833" s="31"/>
      <c r="F1833" s="26" t="s">
        <v>537</v>
      </c>
      <c r="G1833" s="26" t="s">
        <v>126</v>
      </c>
      <c r="H1833" s="26" t="s">
        <v>349</v>
      </c>
      <c r="I1833" s="26" t="s">
        <v>538</v>
      </c>
      <c r="J1833" s="26" t="s">
        <v>539</v>
      </c>
      <c r="K1833" s="26" t="s">
        <v>173</v>
      </c>
      <c r="L1833" s="26" t="s">
        <v>351</v>
      </c>
      <c r="M1833" s="26" t="s">
        <v>323</v>
      </c>
      <c r="N1833" s="26">
        <v>100</v>
      </c>
      <c r="O1833" s="26">
        <f>2024-Inventory[[#This Row],[YrBlt]]</f>
        <v>94</v>
      </c>
      <c r="P1833" s="26">
        <f>2024-Inventory[[#This Row],[EffYr]]</f>
        <v>54</v>
      </c>
      <c r="Q1833" s="25">
        <v>1930</v>
      </c>
      <c r="R1833" s="25">
        <v>1970</v>
      </c>
      <c r="S1833" s="25">
        <v>1214</v>
      </c>
      <c r="T1833" s="32">
        <v>594</v>
      </c>
      <c r="U1833" s="25">
        <v>1214</v>
      </c>
      <c r="V1833" s="25">
        <f>Inventory[[#This Row],[Bsmt]]-Inventory[[#This Row],[FnBsmt]]</f>
        <v>0</v>
      </c>
      <c r="W1833" s="25">
        <v>1214</v>
      </c>
      <c r="X1833" s="27"/>
      <c r="Y1833" s="27">
        <f>Inventory[[#This Row],[MainFn]]+Inventory[[#This Row],[UpprFn]]+Inventory[[#This Row],[FnBsmt]]+Inventory[[#This Row],[AddFn]]</f>
        <v>3022</v>
      </c>
      <c r="Z1833" s="27">
        <v>3500</v>
      </c>
      <c r="AA1833" s="25">
        <v>9</v>
      </c>
      <c r="AB1833" s="27"/>
      <c r="AC1833" s="27"/>
      <c r="AD1833" s="31"/>
      <c r="AE1833" s="27"/>
      <c r="AF1833" s="27"/>
      <c r="AG1833" s="27"/>
      <c r="AH1833" s="27"/>
      <c r="AI1833" s="25">
        <v>374899</v>
      </c>
      <c r="AJ1833" s="25">
        <v>247433</v>
      </c>
      <c r="AK1833" s="25">
        <v>8845</v>
      </c>
      <c r="AL1833" s="25">
        <v>363200</v>
      </c>
      <c r="AM1833" s="25">
        <v>52700</v>
      </c>
      <c r="AN1833" s="25">
        <v>310500</v>
      </c>
      <c r="AO1833" s="25">
        <v>0</v>
      </c>
      <c r="AP1833" s="25">
        <f>Lookups!$B$56*0</f>
        <v>0</v>
      </c>
      <c r="AQ1833" s="25">
        <f>Lookups!$B$56*1</f>
        <v>89850.625589999996</v>
      </c>
      <c r="AR1833" s="25">
        <f>Lookups!$B$57*Inventory[[#This Row],[LnAcres]]</f>
        <v>-56090.612940989391</v>
      </c>
      <c r="AS1833" s="25">
        <f>VLOOKUP(Inventory[[#This Row],[Qlty]],Lookups!$A$62:$E$75,2,FALSE)</f>
        <v>21557.329055999999</v>
      </c>
      <c r="AT1833" s="25">
        <f>VLOOKUP(Inventory[[#This Row],[Cnd]],Lookups!$A$76:$E$84,2,FALSE)</f>
        <v>160472.20319</v>
      </c>
      <c r="AU1833" s="25">
        <f>Inventory[[#This Row],[EffAge]]*Lookups!$B$85</f>
        <v>-12044.462427</v>
      </c>
      <c r="AV1833" s="25">
        <f>Inventory[[#This Row],[MainFn]]*Lookups!$B$86</f>
        <v>59982.125230678001</v>
      </c>
      <c r="AW1833" s="25">
        <f>Inventory[[#This Row],[UpprFn]]*Lookups!$B$87</f>
        <v>26603.135179434001</v>
      </c>
      <c r="AX1833" s="25">
        <f>Inventory[[#This Row],[AddFn]]*Lookups!$B$88</f>
        <v>0</v>
      </c>
      <c r="AY1833" s="25">
        <f>Inventory[[#This Row],[Bsmt]]*Lookups!$B$89</f>
        <v>35305.420829857998</v>
      </c>
      <c r="AZ1833" s="25">
        <f>Inventory[[#This Row],[Fixtures]]*Lookups!$B$90</f>
        <v>34128.198946800003</v>
      </c>
      <c r="BA1833" s="25">
        <f>Inventory[[#This Row],[WdDeck]]*Lookups!$B$91</f>
        <v>0</v>
      </c>
      <c r="BB1833" s="25">
        <f>ROUND(Inventory[[#This Row],[25Det]],-2)</f>
        <v>8800</v>
      </c>
      <c r="BC1833" s="25">
        <f>ROUND(SUM(Inventory[[#This Row],[Mdl Qlty]:[Mdl WdDeck]])+Inventory[[#This Row],[Mdl Res Intercept]],-2)</f>
        <v>326000</v>
      </c>
      <c r="BD1833" s="25">
        <f>ROUND(Inventory[[#This Row],[Mdl Land Intercept]]+Inventory[[#This Row],[Mdl LnAcres]],-2)</f>
        <v>33800</v>
      </c>
      <c r="BE1833" s="25">
        <f>Inventory[[#This Row],[Unadj Res Value]]+Inventory[[#This Row],[Unadj Det Value]]+Inventory[[#This Row],[Unadj Land Value]]</f>
        <v>368600</v>
      </c>
      <c r="BF1833" s="36">
        <f>(Inventory[[#This Row],[Unadj Total Value]]-Inventory[[#This Row],[24Final]])/Inventory[[#This Row],[24Final]]</f>
        <v>1.4867841409691629E-2</v>
      </c>
      <c r="BG1833" s="25">
        <f>VLOOKUP(Inventory[[#This Row],[Nbhd]],Lookups!$Q$2:$T$4,4,FALSE)</f>
        <v>0.99970000000000003</v>
      </c>
      <c r="BH1833" s="25">
        <f>VLOOKUP(Inventory[[#This Row],[Qlty]],Lookups!$O$7:$R$21,4,FALSE)</f>
        <v>1.0067999999999999</v>
      </c>
      <c r="BI1833" s="25">
        <f>VLOOKUP(Inventory[[#This Row],[Cnd]],Lookups!$T$7:$W$16,4,FALSE)</f>
        <v>0.99729999999999996</v>
      </c>
      <c r="BJ1833" s="25">
        <f>VLOOKUP(Inventory[[#This Row],[LivArea Range]],Lookups!$T$25:$W$37,4,FALSE)</f>
        <v>1.0126999999999999</v>
      </c>
      <c r="BK1833" s="25">
        <f>VLOOKUP(Inventory[[#This Row],[Decade]],Lookups!$O$25:$R$42,4,FALSE)</f>
        <v>1.0074000000000001</v>
      </c>
      <c r="BL1833" s="25">
        <f>Inventory[[#This Row],[Nbhd Adj]]*0.95</f>
        <v>0.94971499999999998</v>
      </c>
      <c r="BM1833" s="25">
        <f>Inventory[[#This Row],[Nbhd Adj]]*Inventory[[#This Row],[Quality Adj]]*Inventory[[#This Row],[Condition Adj]]*Inventory[[#This Row],[Living Area Adj]]*Inventory[[#This Row],[Decade Adj]]*0.95</f>
        <v>0.97284820028600216</v>
      </c>
      <c r="BN1833" s="25">
        <f>ROUND(SUM(Inventory[[#This Row],[Mdl Qlty]:[Mdl WdDeck]])+Inventory[[#This Row],[Mdl Res Intercept]]*Inventory[[#This Row],[Res Adj ]],-2)</f>
        <v>326000</v>
      </c>
      <c r="BO1833" s="25">
        <f>ROUND(Inventory[[#This Row],[25Det]]*Inventory[[#This Row],[Det/Nbhd Adj]],-2)</f>
        <v>8400</v>
      </c>
      <c r="BP1833" s="25">
        <f>Inventory[[#This Row],[Adjusted Res]]+Inventory[[#This Row],[Adj Det ]]</f>
        <v>334400</v>
      </c>
      <c r="BQ1833" s="25">
        <f>ROUND((Inventory[[#This Row],[Mdl Land Intercept]]+Inventory[[#This Row],[Mdl LnAcres]])*Inventory[[#This Row],[Det/Nbhd Adj]],-2)</f>
        <v>32100</v>
      </c>
      <c r="BR1833" s="25">
        <f>Inventory[[#This Row],[Adjusted Impr Total]]+Inventory[[#This Row],[Adjusted Land Total]]</f>
        <v>366500</v>
      </c>
      <c r="BS1833" s="36">
        <f>IFERROR((Inventory[[#This Row],[Adjusted Impr Total]]-Inventory[[#This Row],[24Bldg]])/Inventory[[#This Row],[24Bldg]],0)</f>
        <v>7.6972624798711753E-2</v>
      </c>
      <c r="BT1833" s="36">
        <f>(Inventory[[#This Row],[Adjusted Land Total]]-Inventory[[#This Row],[24Lnd]])/Inventory[[#This Row],[24Lnd]]</f>
        <v>-0.39089184060721061</v>
      </c>
      <c r="BU1833" s="36">
        <f>(Inventory[[#This Row],[Adjusted Total]]-Inventory[[#This Row],[24Final]])/Inventory[[#This Row],[24Final]]</f>
        <v>9.08590308370044E-3</v>
      </c>
    </row>
    <row r="1834" spans="1:73" x14ac:dyDescent="0.3">
      <c r="A1834" s="25">
        <v>2025</v>
      </c>
      <c r="B1834" s="26" t="s">
        <v>2230</v>
      </c>
      <c r="C1834" s="26">
        <f>LN(Inventory[[#This Row],[Acres]])</f>
        <v>-1.6607312068216509</v>
      </c>
      <c r="D1834" s="25">
        <v>0.19</v>
      </c>
      <c r="E1834" s="31"/>
      <c r="F1834" s="26" t="s">
        <v>537</v>
      </c>
      <c r="G1834" s="26" t="s">
        <v>126</v>
      </c>
      <c r="H1834" s="26" t="s">
        <v>349</v>
      </c>
      <c r="I1834" s="26" t="s">
        <v>538</v>
      </c>
      <c r="J1834" s="26" t="s">
        <v>539</v>
      </c>
      <c r="K1834" s="26" t="s">
        <v>417</v>
      </c>
      <c r="L1834" s="26" t="s">
        <v>95</v>
      </c>
      <c r="M1834" s="26" t="s">
        <v>303</v>
      </c>
      <c r="N1834" s="26">
        <v>100</v>
      </c>
      <c r="O1834" s="26">
        <f>2024-Inventory[[#This Row],[YrBlt]]</f>
        <v>94</v>
      </c>
      <c r="P1834" s="26">
        <f>2024-Inventory[[#This Row],[EffYr]]</f>
        <v>54</v>
      </c>
      <c r="Q1834" s="25">
        <v>1930</v>
      </c>
      <c r="R1834" s="25">
        <v>1970</v>
      </c>
      <c r="S1834" s="25">
        <v>1140</v>
      </c>
      <c r="T1834" s="25">
        <v>760</v>
      </c>
      <c r="U1834" s="25">
        <v>740</v>
      </c>
      <c r="V1834" s="25">
        <f>Inventory[[#This Row],[Bsmt]]-Inventory[[#This Row],[FnBsmt]]</f>
        <v>0</v>
      </c>
      <c r="W1834" s="25">
        <v>740</v>
      </c>
      <c r="X1834" s="27"/>
      <c r="Y1834" s="27">
        <f>Inventory[[#This Row],[MainFn]]+Inventory[[#This Row],[UpprFn]]+Inventory[[#This Row],[FnBsmt]]+Inventory[[#This Row],[AddFn]]</f>
        <v>2640</v>
      </c>
      <c r="Z1834" s="27">
        <v>3000</v>
      </c>
      <c r="AA1834" s="25">
        <v>11</v>
      </c>
      <c r="AB1834" s="27"/>
      <c r="AC1834" s="32">
        <v>400</v>
      </c>
      <c r="AD1834" s="32">
        <v>183</v>
      </c>
      <c r="AE1834" s="27"/>
      <c r="AF1834" s="27"/>
      <c r="AG1834" s="27"/>
      <c r="AH1834" s="27"/>
      <c r="AI1834" s="25">
        <v>574449</v>
      </c>
      <c r="AJ1834" s="25">
        <v>396370</v>
      </c>
      <c r="AK1834" s="25">
        <v>0</v>
      </c>
      <c r="AL1834" s="25">
        <v>451100</v>
      </c>
      <c r="AM1834" s="25">
        <v>56600</v>
      </c>
      <c r="AN1834" s="25">
        <v>394500</v>
      </c>
      <c r="AO1834" s="25">
        <v>0</v>
      </c>
      <c r="AP1834" s="25">
        <f>Lookups!$B$56*0</f>
        <v>0</v>
      </c>
      <c r="AQ1834" s="25">
        <f>Lookups!$B$56*1</f>
        <v>89850.625589999996</v>
      </c>
      <c r="AR1834" s="25">
        <f>Lookups!$B$57*Inventory[[#This Row],[LnAcres]]</f>
        <v>-52569.808201026557</v>
      </c>
      <c r="AS1834" s="25">
        <f>VLOOKUP(Inventory[[#This Row],[Qlty]],Lookups!$A$62:$E$75,2,FALSE)</f>
        <v>74268.409664999999</v>
      </c>
      <c r="AT1834" s="25">
        <f>VLOOKUP(Inventory[[#This Row],[Cnd]],Lookups!$A$76:$E$84,2,FALSE)</f>
        <v>197752.34721000001</v>
      </c>
      <c r="AU1834" s="25">
        <f>Inventory[[#This Row],[EffAge]]*Lookups!$B$85</f>
        <v>-12044.462427</v>
      </c>
      <c r="AV1834" s="25">
        <f>Inventory[[#This Row],[MainFn]]*Lookups!$B$86</f>
        <v>56325.883659780004</v>
      </c>
      <c r="AW1834" s="25">
        <f>Inventory[[#This Row],[UpprFn]]*Lookups!$B$87</f>
        <v>34037.68137436</v>
      </c>
      <c r="AX1834" s="25">
        <f>Inventory[[#This Row],[AddFn]]*Lookups!$B$88</f>
        <v>0</v>
      </c>
      <c r="AY1834" s="25">
        <f>Inventory[[#This Row],[Bsmt]]*Lookups!$B$89</f>
        <v>21520.602482779999</v>
      </c>
      <c r="AZ1834" s="25">
        <f>Inventory[[#This Row],[Fixtures]]*Lookups!$B$90</f>
        <v>41712.243157199999</v>
      </c>
      <c r="BA1834" s="25">
        <f>Inventory[[#This Row],[WdDeck]]*Lookups!$B$91</f>
        <v>6093.0792955080005</v>
      </c>
      <c r="BB1834" s="25">
        <f>ROUND(Inventory[[#This Row],[25Det]],-2)</f>
        <v>0</v>
      </c>
      <c r="BC1834" s="25">
        <f>ROUND(SUM(Inventory[[#This Row],[Mdl Qlty]:[Mdl WdDeck]])+Inventory[[#This Row],[Mdl Res Intercept]],-2)</f>
        <v>419700</v>
      </c>
      <c r="BD1834" s="25">
        <f>ROUND(Inventory[[#This Row],[Mdl Land Intercept]]+Inventory[[#This Row],[Mdl LnAcres]],-2)</f>
        <v>37300</v>
      </c>
      <c r="BE1834" s="25">
        <f>Inventory[[#This Row],[Unadj Res Value]]+Inventory[[#This Row],[Unadj Det Value]]+Inventory[[#This Row],[Unadj Land Value]]</f>
        <v>457000</v>
      </c>
      <c r="BF1834" s="36">
        <f>(Inventory[[#This Row],[Unadj Total Value]]-Inventory[[#This Row],[24Final]])/Inventory[[#This Row],[24Final]]</f>
        <v>1.3079139880292618E-2</v>
      </c>
      <c r="BG1834" s="25">
        <f>VLOOKUP(Inventory[[#This Row],[Nbhd]],Lookups!$Q$2:$T$4,4,FALSE)</f>
        <v>0.99970000000000003</v>
      </c>
      <c r="BH1834" s="25">
        <f>VLOOKUP(Inventory[[#This Row],[Qlty]],Lookups!$O$7:$R$21,4,FALSE)</f>
        <v>0.98380000000000001</v>
      </c>
      <c r="BI1834" s="25">
        <f>VLOOKUP(Inventory[[#This Row],[Cnd]],Lookups!$T$7:$W$16,4,FALSE)</f>
        <v>0.99650000000000005</v>
      </c>
      <c r="BJ1834" s="25">
        <f>VLOOKUP(Inventory[[#This Row],[LivArea Range]],Lookups!$T$25:$W$37,4,FALSE)</f>
        <v>0.96179999999999999</v>
      </c>
      <c r="BK1834" s="25">
        <f>VLOOKUP(Inventory[[#This Row],[Decade]],Lookups!$O$25:$R$42,4,FALSE)</f>
        <v>1.0074000000000001</v>
      </c>
      <c r="BL1834" s="25">
        <f>Inventory[[#This Row],[Nbhd Adj]]*0.95</f>
        <v>0.94971499999999998</v>
      </c>
      <c r="BM1834" s="25">
        <f>Inventory[[#This Row],[Nbhd Adj]]*Inventory[[#This Row],[Quality Adj]]*Inventory[[#This Row],[Condition Adj]]*Inventory[[#This Row],[Living Area Adj]]*Inventory[[#This Row],[Decade Adj]]*0.95</f>
        <v>0.90211963998051559</v>
      </c>
      <c r="BN1834" s="25">
        <f>ROUND(SUM(Inventory[[#This Row],[Mdl Qlty]:[Mdl WdDeck]])+Inventory[[#This Row],[Mdl Res Intercept]]*Inventory[[#This Row],[Res Adj ]],-2)</f>
        <v>419700</v>
      </c>
      <c r="BO1834" s="25">
        <f>ROUND(Inventory[[#This Row],[25Det]]*Inventory[[#This Row],[Det/Nbhd Adj]],-2)</f>
        <v>0</v>
      </c>
      <c r="BP1834" s="25">
        <f>Inventory[[#This Row],[Adjusted Res]]+Inventory[[#This Row],[Adj Det ]]</f>
        <v>419700</v>
      </c>
      <c r="BQ1834" s="25">
        <f>ROUND((Inventory[[#This Row],[Mdl Land Intercept]]+Inventory[[#This Row],[Mdl LnAcres]])*Inventory[[#This Row],[Det/Nbhd Adj]],-2)</f>
        <v>35400</v>
      </c>
      <c r="BR1834" s="25">
        <f>Inventory[[#This Row],[Adjusted Impr Total]]+Inventory[[#This Row],[Adjusted Land Total]]</f>
        <v>455100</v>
      </c>
      <c r="BS1834" s="36">
        <f>IFERROR((Inventory[[#This Row],[Adjusted Impr Total]]-Inventory[[#This Row],[24Bldg]])/Inventory[[#This Row],[24Bldg]],0)</f>
        <v>6.3878326996197721E-2</v>
      </c>
      <c r="BT1834" s="36">
        <f>(Inventory[[#This Row],[Adjusted Land Total]]-Inventory[[#This Row],[24Lnd]])/Inventory[[#This Row],[24Lnd]]</f>
        <v>-0.37455830388692579</v>
      </c>
      <c r="BU1834" s="36">
        <f>(Inventory[[#This Row],[Adjusted Total]]-Inventory[[#This Row],[24Final]])/Inventory[[#This Row],[24Final]]</f>
        <v>8.867213478164486E-3</v>
      </c>
    </row>
    <row r="1835" spans="1:73" x14ac:dyDescent="0.3">
      <c r="A1835" s="25">
        <v>2025</v>
      </c>
      <c r="B1835" s="26" t="s">
        <v>1324</v>
      </c>
      <c r="C1835" s="26">
        <f>LN(Inventory[[#This Row],[Acres]])</f>
        <v>-1.5141277326297755</v>
      </c>
      <c r="D1835" s="25">
        <v>0.22</v>
      </c>
      <c r="E1835" s="32">
        <v>9672</v>
      </c>
      <c r="F1835" s="26" t="s">
        <v>537</v>
      </c>
      <c r="G1835" s="26" t="s">
        <v>126</v>
      </c>
      <c r="H1835" s="26" t="s">
        <v>349</v>
      </c>
      <c r="I1835" s="26" t="s">
        <v>538</v>
      </c>
      <c r="J1835" s="26" t="s">
        <v>539</v>
      </c>
      <c r="K1835" s="26" t="s">
        <v>173</v>
      </c>
      <c r="L1835" s="26" t="s">
        <v>351</v>
      </c>
      <c r="M1835" s="26" t="s">
        <v>323</v>
      </c>
      <c r="N1835" s="26">
        <v>100</v>
      </c>
      <c r="O1835" s="26">
        <f>2024-Inventory[[#This Row],[YrBlt]]</f>
        <v>94</v>
      </c>
      <c r="P1835" s="26">
        <f>2024-Inventory[[#This Row],[EffYr]]</f>
        <v>54</v>
      </c>
      <c r="Q1835" s="25">
        <v>1930</v>
      </c>
      <c r="R1835" s="25">
        <v>1970</v>
      </c>
      <c r="S1835" s="25">
        <v>1006</v>
      </c>
      <c r="T1835" s="25">
        <v>237</v>
      </c>
      <c r="U1835" s="25">
        <v>810</v>
      </c>
      <c r="V1835" s="25">
        <f>Inventory[[#This Row],[Bsmt]]-Inventory[[#This Row],[FnBsmt]]</f>
        <v>0</v>
      </c>
      <c r="W1835" s="25">
        <v>810</v>
      </c>
      <c r="X1835" s="27"/>
      <c r="Y1835" s="27">
        <f>Inventory[[#This Row],[MainFn]]+Inventory[[#This Row],[UpprFn]]+Inventory[[#This Row],[FnBsmt]]+Inventory[[#This Row],[AddFn]]</f>
        <v>2053</v>
      </c>
      <c r="Z1835" s="27">
        <v>2500</v>
      </c>
      <c r="AA1835" s="25">
        <v>6</v>
      </c>
      <c r="AB1835" s="31"/>
      <c r="AC1835" s="27"/>
      <c r="AD1835" s="27"/>
      <c r="AE1835" s="27"/>
      <c r="AF1835" s="27"/>
      <c r="AG1835" s="27"/>
      <c r="AH1835" s="27"/>
      <c r="AI1835" s="25">
        <v>262283</v>
      </c>
      <c r="AJ1835" s="25">
        <v>173107</v>
      </c>
      <c r="AK1835" s="25">
        <v>6476</v>
      </c>
      <c r="AL1835" s="25">
        <v>320300</v>
      </c>
      <c r="AM1835" s="25">
        <v>61700</v>
      </c>
      <c r="AN1835" s="25">
        <v>258600</v>
      </c>
      <c r="AO1835" s="25">
        <v>0</v>
      </c>
      <c r="AP1835" s="25">
        <f>Lookups!$B$56*0</f>
        <v>0</v>
      </c>
      <c r="AQ1835" s="25">
        <f>Lookups!$B$56*1</f>
        <v>89850.625589999996</v>
      </c>
      <c r="AR1835" s="25">
        <f>Lookups!$B$57*Inventory[[#This Row],[LnAcres]]</f>
        <v>-47929.131559187132</v>
      </c>
      <c r="AS1835" s="25">
        <f>VLOOKUP(Inventory[[#This Row],[Qlty]],Lookups!$A$62:$E$75,2,FALSE)</f>
        <v>21557.329055999999</v>
      </c>
      <c r="AT1835" s="25">
        <f>VLOOKUP(Inventory[[#This Row],[Cnd]],Lookups!$A$76:$E$84,2,FALSE)</f>
        <v>160472.20319</v>
      </c>
      <c r="AU1835" s="25">
        <f>Inventory[[#This Row],[EffAge]]*Lookups!$B$85</f>
        <v>-12044.462427</v>
      </c>
      <c r="AV1835" s="25">
        <f>Inventory[[#This Row],[MainFn]]*Lookups!$B$86</f>
        <v>49705.121896262004</v>
      </c>
      <c r="AW1835" s="25">
        <f>Inventory[[#This Row],[UpprFn]]*Lookups!$B$87</f>
        <v>10614.382218057001</v>
      </c>
      <c r="AX1835" s="25">
        <f>Inventory[[#This Row],[AddFn]]*Lookups!$B$88</f>
        <v>0</v>
      </c>
      <c r="AY1835" s="25">
        <f>Inventory[[#This Row],[Bsmt]]*Lookups!$B$89</f>
        <v>23556.335150069997</v>
      </c>
      <c r="AZ1835" s="25">
        <f>Inventory[[#This Row],[Fixtures]]*Lookups!$B$90</f>
        <v>22752.132631200002</v>
      </c>
      <c r="BA1835" s="25">
        <f>Inventory[[#This Row],[WdDeck]]*Lookups!$B$91</f>
        <v>0</v>
      </c>
      <c r="BB1835" s="25">
        <f>ROUND(Inventory[[#This Row],[25Det]],-2)</f>
        <v>6500</v>
      </c>
      <c r="BC1835" s="25">
        <f>ROUND(SUM(Inventory[[#This Row],[Mdl Qlty]:[Mdl WdDeck]])+Inventory[[#This Row],[Mdl Res Intercept]],-2)</f>
        <v>276600</v>
      </c>
      <c r="BD1835" s="25">
        <f>ROUND(Inventory[[#This Row],[Mdl Land Intercept]]+Inventory[[#This Row],[Mdl LnAcres]],-2)</f>
        <v>41900</v>
      </c>
      <c r="BE1835" s="25">
        <f>Inventory[[#This Row],[Unadj Res Value]]+Inventory[[#This Row],[Unadj Det Value]]+Inventory[[#This Row],[Unadj Land Value]]</f>
        <v>325000</v>
      </c>
      <c r="BF1835" s="36">
        <f>(Inventory[[#This Row],[Unadj Total Value]]-Inventory[[#This Row],[24Final]])/Inventory[[#This Row],[24Final]]</f>
        <v>1.4673743365594755E-2</v>
      </c>
      <c r="BG1835" s="25">
        <f>VLOOKUP(Inventory[[#This Row],[Nbhd]],Lookups!$Q$2:$T$4,4,FALSE)</f>
        <v>0.99970000000000003</v>
      </c>
      <c r="BH1835" s="25">
        <f>VLOOKUP(Inventory[[#This Row],[Qlty]],Lookups!$O$7:$R$21,4,FALSE)</f>
        <v>1.0067999999999999</v>
      </c>
      <c r="BI1835" s="25">
        <f>VLOOKUP(Inventory[[#This Row],[Cnd]],Lookups!$T$7:$W$16,4,FALSE)</f>
        <v>0.99729999999999996</v>
      </c>
      <c r="BJ1835" s="25">
        <f>VLOOKUP(Inventory[[#This Row],[LivArea Range]],Lookups!$T$25:$W$37,4,FALSE)</f>
        <v>0.98919999999999997</v>
      </c>
      <c r="BK1835" s="25">
        <f>VLOOKUP(Inventory[[#This Row],[Decade]],Lookups!$O$25:$R$42,4,FALSE)</f>
        <v>1.0074000000000001</v>
      </c>
      <c r="BL1835" s="25">
        <f>Inventory[[#This Row],[Nbhd Adj]]*0.95</f>
        <v>0.94971499999999998</v>
      </c>
      <c r="BM1835" s="25">
        <f>Inventory[[#This Row],[Nbhd Adj]]*Inventory[[#This Row],[Quality Adj]]*Inventory[[#This Row],[Condition Adj]]*Inventory[[#This Row],[Living Area Adj]]*Inventory[[#This Row],[Decade Adj]]*0.95</f>
        <v>0.95027297296624202</v>
      </c>
      <c r="BN1835" s="25">
        <f>ROUND(SUM(Inventory[[#This Row],[Mdl Qlty]:[Mdl WdDeck]])+Inventory[[#This Row],[Mdl Res Intercept]]*Inventory[[#This Row],[Res Adj ]],-2)</f>
        <v>276600</v>
      </c>
      <c r="BO1835" s="25">
        <f>ROUND(Inventory[[#This Row],[25Det]]*Inventory[[#This Row],[Det/Nbhd Adj]],-2)</f>
        <v>6200</v>
      </c>
      <c r="BP1835" s="25">
        <f>Inventory[[#This Row],[Adjusted Res]]+Inventory[[#This Row],[Adj Det ]]</f>
        <v>282800</v>
      </c>
      <c r="BQ1835" s="25">
        <f>ROUND((Inventory[[#This Row],[Mdl Land Intercept]]+Inventory[[#This Row],[Mdl LnAcres]])*Inventory[[#This Row],[Det/Nbhd Adj]],-2)</f>
        <v>39800</v>
      </c>
      <c r="BR1835" s="25">
        <f>Inventory[[#This Row],[Adjusted Impr Total]]+Inventory[[#This Row],[Adjusted Land Total]]</f>
        <v>322600</v>
      </c>
      <c r="BS1835" s="36">
        <f>IFERROR((Inventory[[#This Row],[Adjusted Impr Total]]-Inventory[[#This Row],[24Bldg]])/Inventory[[#This Row],[24Bldg]],0)</f>
        <v>9.3580819798917247E-2</v>
      </c>
      <c r="BT1835" s="36">
        <f>(Inventory[[#This Row],[Adjusted Land Total]]-Inventory[[#This Row],[24Lnd]])/Inventory[[#This Row],[24Lnd]]</f>
        <v>-0.35494327390599678</v>
      </c>
      <c r="BU1835" s="36">
        <f>(Inventory[[#This Row],[Adjusted Total]]-Inventory[[#This Row],[24Final]])/Inventory[[#This Row],[24Final]]</f>
        <v>7.1807680299719014E-3</v>
      </c>
    </row>
    <row r="1836" spans="1:73" x14ac:dyDescent="0.3">
      <c r="A1836" s="25">
        <v>2025</v>
      </c>
      <c r="B1836" s="26" t="s">
        <v>827</v>
      </c>
      <c r="C1836" s="26">
        <f>LN(Inventory[[#This Row],[Acres]])</f>
        <v>-1.6607312068216509</v>
      </c>
      <c r="D1836" s="25">
        <v>0.19</v>
      </c>
      <c r="E1836" s="25">
        <v>8385</v>
      </c>
      <c r="F1836" s="26" t="s">
        <v>537</v>
      </c>
      <c r="G1836" s="26" t="s">
        <v>126</v>
      </c>
      <c r="H1836" s="26" t="s">
        <v>349</v>
      </c>
      <c r="I1836" s="26" t="s">
        <v>538</v>
      </c>
      <c r="J1836" s="26" t="s">
        <v>539</v>
      </c>
      <c r="K1836" s="26" t="s">
        <v>242</v>
      </c>
      <c r="L1836" s="26" t="s">
        <v>205</v>
      </c>
      <c r="M1836" s="26" t="s">
        <v>323</v>
      </c>
      <c r="N1836" s="26">
        <v>100</v>
      </c>
      <c r="O1836" s="26">
        <f>2024-Inventory[[#This Row],[YrBlt]]</f>
        <v>94</v>
      </c>
      <c r="P1836" s="26">
        <f>2024-Inventory[[#This Row],[EffYr]]</f>
        <v>54</v>
      </c>
      <c r="Q1836" s="25">
        <v>1930</v>
      </c>
      <c r="R1836" s="25">
        <v>1970</v>
      </c>
      <c r="S1836" s="25">
        <v>1038</v>
      </c>
      <c r="T1836" s="27"/>
      <c r="U1836" s="25">
        <v>531</v>
      </c>
      <c r="V1836" s="25">
        <f>Inventory[[#This Row],[Bsmt]]-Inventory[[#This Row],[FnBsmt]]</f>
        <v>0</v>
      </c>
      <c r="W1836" s="25">
        <v>531</v>
      </c>
      <c r="X1836" s="27"/>
      <c r="Y1836" s="27">
        <f>Inventory[[#This Row],[MainFn]]+Inventory[[#This Row],[UpprFn]]+Inventory[[#This Row],[FnBsmt]]+Inventory[[#This Row],[AddFn]]</f>
        <v>1569</v>
      </c>
      <c r="Z1836" s="27">
        <v>2000</v>
      </c>
      <c r="AA1836" s="25">
        <v>8</v>
      </c>
      <c r="AB1836" s="27"/>
      <c r="AC1836" s="27"/>
      <c r="AD1836" s="27"/>
      <c r="AE1836" s="27"/>
      <c r="AF1836" s="27"/>
      <c r="AG1836" s="27"/>
      <c r="AH1836" s="27"/>
      <c r="AI1836" s="25">
        <v>212033</v>
      </c>
      <c r="AJ1836" s="25">
        <v>139942</v>
      </c>
      <c r="AK1836" s="25">
        <v>8032</v>
      </c>
      <c r="AL1836" s="25">
        <v>286700</v>
      </c>
      <c r="AM1836" s="25">
        <v>56600</v>
      </c>
      <c r="AN1836" s="25">
        <v>230100</v>
      </c>
      <c r="AO1836" s="25">
        <v>0</v>
      </c>
      <c r="AP1836" s="25">
        <f>Lookups!$B$56*0</f>
        <v>0</v>
      </c>
      <c r="AQ1836" s="25">
        <f>Lookups!$B$56*1</f>
        <v>89850.625589999996</v>
      </c>
      <c r="AR1836" s="25">
        <f>Lookups!$B$57*Inventory[[#This Row],[LnAcres]]</f>
        <v>-52569.808201026557</v>
      </c>
      <c r="AS1836" s="25">
        <f>VLOOKUP(Inventory[[#This Row],[Qlty]],Lookups!$A$62:$E$75,2,FALSE)</f>
        <v>0</v>
      </c>
      <c r="AT1836" s="25">
        <f>VLOOKUP(Inventory[[#This Row],[Cnd]],Lookups!$A$76:$E$84,2,FALSE)</f>
        <v>160472.20319</v>
      </c>
      <c r="AU1836" s="25">
        <f>Inventory[[#This Row],[EffAge]]*Lookups!$B$85</f>
        <v>-12044.462427</v>
      </c>
      <c r="AV1836" s="25">
        <f>Inventory[[#This Row],[MainFn]]*Lookups!$B$86</f>
        <v>51286.199332326003</v>
      </c>
      <c r="AW1836" s="25">
        <f>Inventory[[#This Row],[UpprFn]]*Lookups!$B$87</f>
        <v>0</v>
      </c>
      <c r="AX1836" s="25">
        <f>Inventory[[#This Row],[AddFn]]*Lookups!$B$88</f>
        <v>0</v>
      </c>
      <c r="AY1836" s="25">
        <f>Inventory[[#This Row],[Bsmt]]*Lookups!$B$89</f>
        <v>15442.486376157</v>
      </c>
      <c r="AZ1836" s="25">
        <f>Inventory[[#This Row],[Fixtures]]*Lookups!$B$90</f>
        <v>30336.176841600001</v>
      </c>
      <c r="BA1836" s="25">
        <f>Inventory[[#This Row],[WdDeck]]*Lookups!$B$91</f>
        <v>0</v>
      </c>
      <c r="BB1836" s="25">
        <f>ROUND(Inventory[[#This Row],[25Det]],-2)</f>
        <v>8000</v>
      </c>
      <c r="BC1836" s="25">
        <f>ROUND(SUM(Inventory[[#This Row],[Mdl Qlty]:[Mdl WdDeck]])+Inventory[[#This Row],[Mdl Res Intercept]],-2)</f>
        <v>245500</v>
      </c>
      <c r="BD1836" s="25">
        <f>ROUND(Inventory[[#This Row],[Mdl Land Intercept]]+Inventory[[#This Row],[Mdl LnAcres]],-2)</f>
        <v>37300</v>
      </c>
      <c r="BE1836" s="25">
        <f>Inventory[[#This Row],[Unadj Res Value]]+Inventory[[#This Row],[Unadj Det Value]]+Inventory[[#This Row],[Unadj Land Value]]</f>
        <v>290800</v>
      </c>
      <c r="BF1836" s="36">
        <f>(Inventory[[#This Row],[Unadj Total Value]]-Inventory[[#This Row],[24Final]])/Inventory[[#This Row],[24Final]]</f>
        <v>1.430066271363795E-2</v>
      </c>
      <c r="BG1836" s="25">
        <f>VLOOKUP(Inventory[[#This Row],[Nbhd]],Lookups!$Q$2:$T$4,4,FALSE)</f>
        <v>0.99970000000000003</v>
      </c>
      <c r="BH1836" s="25">
        <f>VLOOKUP(Inventory[[#This Row],[Qlty]],Lookups!$O$7:$R$21,4,FALSE)</f>
        <v>0.99180000000000001</v>
      </c>
      <c r="BI1836" s="25">
        <f>VLOOKUP(Inventory[[#This Row],[Cnd]],Lookups!$T$7:$W$16,4,FALSE)</f>
        <v>0.99729999999999996</v>
      </c>
      <c r="BJ1836" s="25">
        <f>VLOOKUP(Inventory[[#This Row],[LivArea Range]],Lookups!$T$25:$W$37,4,FALSE)</f>
        <v>1.0093000000000001</v>
      </c>
      <c r="BK1836" s="25">
        <f>VLOOKUP(Inventory[[#This Row],[Decade]],Lookups!$O$25:$R$42,4,FALSE)</f>
        <v>1.0074000000000001</v>
      </c>
      <c r="BL1836" s="25">
        <f>Inventory[[#This Row],[Nbhd Adj]]*0.95</f>
        <v>0.94971499999999998</v>
      </c>
      <c r="BM1836" s="25">
        <f>Inventory[[#This Row],[Nbhd Adj]]*Inventory[[#This Row],[Quality Adj]]*Inventory[[#This Row],[Condition Adj]]*Inventory[[#This Row],[Living Area Adj]]*Inventory[[#This Row],[Decade Adj]]*0.95</f>
        <v>0.95513649663042099</v>
      </c>
      <c r="BN1836" s="25">
        <f>ROUND(SUM(Inventory[[#This Row],[Mdl Qlty]:[Mdl WdDeck]])+Inventory[[#This Row],[Mdl Res Intercept]]*Inventory[[#This Row],[Res Adj ]],-2)</f>
        <v>245500</v>
      </c>
      <c r="BO1836" s="25">
        <f>ROUND(Inventory[[#This Row],[25Det]]*Inventory[[#This Row],[Det/Nbhd Adj]],-2)</f>
        <v>7600</v>
      </c>
      <c r="BP1836" s="25">
        <f>Inventory[[#This Row],[Adjusted Res]]+Inventory[[#This Row],[Adj Det ]]</f>
        <v>253100</v>
      </c>
      <c r="BQ1836" s="25">
        <f>ROUND((Inventory[[#This Row],[Mdl Land Intercept]]+Inventory[[#This Row],[Mdl LnAcres]])*Inventory[[#This Row],[Det/Nbhd Adj]],-2)</f>
        <v>35400</v>
      </c>
      <c r="BR1836" s="25">
        <f>Inventory[[#This Row],[Adjusted Impr Total]]+Inventory[[#This Row],[Adjusted Land Total]]</f>
        <v>288500</v>
      </c>
      <c r="BS1836" s="36">
        <f>IFERROR((Inventory[[#This Row],[Adjusted Impr Total]]-Inventory[[#This Row],[24Bldg]])/Inventory[[#This Row],[24Bldg]],0)</f>
        <v>9.9956540634506735E-2</v>
      </c>
      <c r="BT1836" s="36">
        <f>(Inventory[[#This Row],[Adjusted Land Total]]-Inventory[[#This Row],[24Lnd]])/Inventory[[#This Row],[24Lnd]]</f>
        <v>-0.37455830388692579</v>
      </c>
      <c r="BU1836" s="36">
        <f>(Inventory[[#This Row],[Adjusted Total]]-Inventory[[#This Row],[24Final]])/Inventory[[#This Row],[24Final]]</f>
        <v>6.2783397279386121E-3</v>
      </c>
    </row>
    <row r="1837" spans="1:73" x14ac:dyDescent="0.3">
      <c r="A1837" s="25">
        <v>2025</v>
      </c>
      <c r="B1837" s="26" t="s">
        <v>1375</v>
      </c>
      <c r="C1837" s="26">
        <f>LN(Inventory[[#This Row],[Acres]])</f>
        <v>-1.1086626245216111</v>
      </c>
      <c r="D1837" s="25">
        <v>0.33</v>
      </c>
      <c r="E1837" s="25">
        <v>14445</v>
      </c>
      <c r="F1837" s="26" t="s">
        <v>537</v>
      </c>
      <c r="G1837" s="26" t="s">
        <v>126</v>
      </c>
      <c r="H1837" s="26" t="s">
        <v>349</v>
      </c>
      <c r="I1837" s="26" t="s">
        <v>538</v>
      </c>
      <c r="J1837" s="26" t="s">
        <v>539</v>
      </c>
      <c r="K1837" s="26" t="s">
        <v>173</v>
      </c>
      <c r="L1837" s="26" t="s">
        <v>351</v>
      </c>
      <c r="M1837" s="26" t="s">
        <v>323</v>
      </c>
      <c r="N1837" s="26">
        <v>100</v>
      </c>
      <c r="O1837" s="26">
        <f>2024-Inventory[[#This Row],[YrBlt]]</f>
        <v>94</v>
      </c>
      <c r="P1837" s="26">
        <f>2024-Inventory[[#This Row],[EffYr]]</f>
        <v>54</v>
      </c>
      <c r="Q1837" s="25">
        <v>1930</v>
      </c>
      <c r="R1837" s="25">
        <v>1970</v>
      </c>
      <c r="S1837" s="25">
        <v>1258</v>
      </c>
      <c r="T1837" s="32">
        <v>431</v>
      </c>
      <c r="U1837" s="32">
        <v>1294</v>
      </c>
      <c r="V1837" s="32">
        <f>Inventory[[#This Row],[Bsmt]]-Inventory[[#This Row],[FnBsmt]]</f>
        <v>644</v>
      </c>
      <c r="W1837" s="32">
        <v>650</v>
      </c>
      <c r="X1837" s="27"/>
      <c r="Y1837" s="27">
        <f>Inventory[[#This Row],[MainFn]]+Inventory[[#This Row],[UpprFn]]+Inventory[[#This Row],[FnBsmt]]+Inventory[[#This Row],[AddFn]]</f>
        <v>2339</v>
      </c>
      <c r="Z1837" s="27">
        <v>2500</v>
      </c>
      <c r="AA1837" s="25">
        <v>11</v>
      </c>
      <c r="AB1837" s="31"/>
      <c r="AC1837" s="27"/>
      <c r="AD1837" s="31"/>
      <c r="AE1837" s="27"/>
      <c r="AF1837" s="27"/>
      <c r="AG1837" s="27"/>
      <c r="AH1837" s="27"/>
      <c r="AI1837" s="25">
        <v>353169</v>
      </c>
      <c r="AJ1837" s="25">
        <v>233092</v>
      </c>
      <c r="AK1837" s="25">
        <v>4868</v>
      </c>
      <c r="AL1837" s="25">
        <v>386500</v>
      </c>
      <c r="AM1837" s="25">
        <v>75900</v>
      </c>
      <c r="AN1837" s="25">
        <v>310600</v>
      </c>
      <c r="AO1837" s="25">
        <v>0</v>
      </c>
      <c r="AP1837" s="25">
        <f>Lookups!$B$56*0</f>
        <v>0</v>
      </c>
      <c r="AQ1837" s="25">
        <f>Lookups!$B$56*1</f>
        <v>89850.625589999996</v>
      </c>
      <c r="AR1837" s="25">
        <f>Lookups!$B$57*Inventory[[#This Row],[LnAcres]]</f>
        <v>-35094.289365640165</v>
      </c>
      <c r="AS1837" s="25">
        <f>VLOOKUP(Inventory[[#This Row],[Qlty]],Lookups!$A$62:$E$75,2,FALSE)</f>
        <v>21557.329055999999</v>
      </c>
      <c r="AT1837" s="25">
        <f>VLOOKUP(Inventory[[#This Row],[Cnd]],Lookups!$A$76:$E$84,2,FALSE)</f>
        <v>160472.20319</v>
      </c>
      <c r="AU1837" s="25">
        <f>Inventory[[#This Row],[EffAge]]*Lookups!$B$85</f>
        <v>-12044.462427</v>
      </c>
      <c r="AV1837" s="25">
        <f>Inventory[[#This Row],[MainFn]]*Lookups!$B$86</f>
        <v>62156.106705266</v>
      </c>
      <c r="AW1837" s="25">
        <f>Inventory[[#This Row],[UpprFn]]*Lookups!$B$87</f>
        <v>19302.948253090999</v>
      </c>
      <c r="AX1837" s="25">
        <f>Inventory[[#This Row],[AddFn]]*Lookups!$B$88</f>
        <v>0</v>
      </c>
      <c r="AY1837" s="25">
        <f>Inventory[[#This Row],[Bsmt]]*Lookups!$B$89</f>
        <v>37631.972449617999</v>
      </c>
      <c r="AZ1837" s="25">
        <f>Inventory[[#This Row],[Fixtures]]*Lookups!$B$90</f>
        <v>41712.243157199999</v>
      </c>
      <c r="BA1837" s="25">
        <f>Inventory[[#This Row],[WdDeck]]*Lookups!$B$91</f>
        <v>0</v>
      </c>
      <c r="BB1837" s="25">
        <f>ROUND(Inventory[[#This Row],[25Det]],-2)</f>
        <v>4900</v>
      </c>
      <c r="BC1837" s="25">
        <f>ROUND(SUM(Inventory[[#This Row],[Mdl Qlty]:[Mdl WdDeck]])+Inventory[[#This Row],[Mdl Res Intercept]],-2)</f>
        <v>330800</v>
      </c>
      <c r="BD1837" s="25">
        <f>ROUND(Inventory[[#This Row],[Mdl Land Intercept]]+Inventory[[#This Row],[Mdl LnAcres]],-2)</f>
        <v>54800</v>
      </c>
      <c r="BE1837" s="25">
        <f>Inventory[[#This Row],[Unadj Res Value]]+Inventory[[#This Row],[Unadj Det Value]]+Inventory[[#This Row],[Unadj Land Value]]</f>
        <v>390500</v>
      </c>
      <c r="BF1837" s="36">
        <f>(Inventory[[#This Row],[Unadj Total Value]]-Inventory[[#This Row],[24Final]])/Inventory[[#This Row],[24Final]]</f>
        <v>1.034928848641656E-2</v>
      </c>
      <c r="BG1837" s="25">
        <f>VLOOKUP(Inventory[[#This Row],[Nbhd]],Lookups!$Q$2:$T$4,4,FALSE)</f>
        <v>0.99970000000000003</v>
      </c>
      <c r="BH1837" s="25">
        <f>VLOOKUP(Inventory[[#This Row],[Qlty]],Lookups!$O$7:$R$21,4,FALSE)</f>
        <v>1.0067999999999999</v>
      </c>
      <c r="BI1837" s="25">
        <f>VLOOKUP(Inventory[[#This Row],[Cnd]],Lookups!$T$7:$W$16,4,FALSE)</f>
        <v>0.99729999999999996</v>
      </c>
      <c r="BJ1837" s="25">
        <f>VLOOKUP(Inventory[[#This Row],[LivArea Range]],Lookups!$T$25:$W$37,4,FALSE)</f>
        <v>0.98919999999999997</v>
      </c>
      <c r="BK1837" s="25">
        <f>VLOOKUP(Inventory[[#This Row],[Decade]],Lookups!$O$25:$R$42,4,FALSE)</f>
        <v>1.0074000000000001</v>
      </c>
      <c r="BL1837" s="25">
        <f>Inventory[[#This Row],[Nbhd Adj]]*0.95</f>
        <v>0.94971499999999998</v>
      </c>
      <c r="BM1837" s="25">
        <f>Inventory[[#This Row],[Nbhd Adj]]*Inventory[[#This Row],[Quality Adj]]*Inventory[[#This Row],[Condition Adj]]*Inventory[[#This Row],[Living Area Adj]]*Inventory[[#This Row],[Decade Adj]]*0.95</f>
        <v>0.95027297296624202</v>
      </c>
      <c r="BN1837" s="25">
        <f>ROUND(SUM(Inventory[[#This Row],[Mdl Qlty]:[Mdl WdDeck]])+Inventory[[#This Row],[Mdl Res Intercept]]*Inventory[[#This Row],[Res Adj ]],-2)</f>
        <v>330800</v>
      </c>
      <c r="BO1837" s="25">
        <f>ROUND(Inventory[[#This Row],[25Det]]*Inventory[[#This Row],[Det/Nbhd Adj]],-2)</f>
        <v>4600</v>
      </c>
      <c r="BP1837" s="25">
        <f>Inventory[[#This Row],[Adjusted Res]]+Inventory[[#This Row],[Adj Det ]]</f>
        <v>335400</v>
      </c>
      <c r="BQ1837" s="25">
        <f>ROUND((Inventory[[#This Row],[Mdl Land Intercept]]+Inventory[[#This Row],[Mdl LnAcres]])*Inventory[[#This Row],[Det/Nbhd Adj]],-2)</f>
        <v>52000</v>
      </c>
      <c r="BR1837" s="25">
        <f>Inventory[[#This Row],[Adjusted Impr Total]]+Inventory[[#This Row],[Adjusted Land Total]]</f>
        <v>387400</v>
      </c>
      <c r="BS1837" s="36">
        <f>IFERROR((Inventory[[#This Row],[Adjusted Impr Total]]-Inventory[[#This Row],[24Bldg]])/Inventory[[#This Row],[24Bldg]],0)</f>
        <v>7.9845460399227297E-2</v>
      </c>
      <c r="BT1837" s="36">
        <f>(Inventory[[#This Row],[Adjusted Land Total]]-Inventory[[#This Row],[24Lnd]])/Inventory[[#This Row],[24Lnd]]</f>
        <v>-0.31488801054018445</v>
      </c>
      <c r="BU1837" s="36">
        <f>(Inventory[[#This Row],[Adjusted Total]]-Inventory[[#This Row],[24Final]])/Inventory[[#This Row],[24Final]]</f>
        <v>2.3285899094437259E-3</v>
      </c>
    </row>
    <row r="1838" spans="1:73" x14ac:dyDescent="0.3">
      <c r="A1838" s="25">
        <v>2025</v>
      </c>
      <c r="B1838" s="26" t="s">
        <v>2331</v>
      </c>
      <c r="C1838" s="26">
        <f>LN(Inventory[[#This Row],[Acres]])</f>
        <v>-1.8325814637483102</v>
      </c>
      <c r="D1838" s="25">
        <v>0.16</v>
      </c>
      <c r="E1838" s="31"/>
      <c r="F1838" s="26" t="s">
        <v>537</v>
      </c>
      <c r="G1838" s="26" t="s">
        <v>126</v>
      </c>
      <c r="H1838" s="26" t="s">
        <v>349</v>
      </c>
      <c r="I1838" s="26" t="s">
        <v>538</v>
      </c>
      <c r="J1838" s="26" t="s">
        <v>539</v>
      </c>
      <c r="K1838" s="26" t="s">
        <v>269</v>
      </c>
      <c r="L1838" s="26" t="s">
        <v>95</v>
      </c>
      <c r="M1838" s="26" t="s">
        <v>323</v>
      </c>
      <c r="N1838" s="26">
        <v>100</v>
      </c>
      <c r="O1838" s="26">
        <f>2024-Inventory[[#This Row],[YrBlt]]</f>
        <v>94</v>
      </c>
      <c r="P1838" s="26">
        <f>2024-Inventory[[#This Row],[EffYr]]</f>
        <v>54</v>
      </c>
      <c r="Q1838" s="25">
        <v>1930</v>
      </c>
      <c r="R1838" s="25">
        <v>1970</v>
      </c>
      <c r="S1838" s="25">
        <v>1219</v>
      </c>
      <c r="T1838" s="27"/>
      <c r="U1838" s="25">
        <v>1048</v>
      </c>
      <c r="V1838" s="32">
        <f>Inventory[[#This Row],[Bsmt]]-Inventory[[#This Row],[FnBsmt]]</f>
        <v>1048</v>
      </c>
      <c r="W1838" s="27"/>
      <c r="X1838" s="27"/>
      <c r="Y1838" s="27">
        <f>Inventory[[#This Row],[MainFn]]+Inventory[[#This Row],[UpprFn]]+Inventory[[#This Row],[FnBsmt]]+Inventory[[#This Row],[AddFn]]</f>
        <v>1219</v>
      </c>
      <c r="Z1838" s="27">
        <v>1500</v>
      </c>
      <c r="AA1838" s="25">
        <v>8</v>
      </c>
      <c r="AB1838" s="25">
        <v>234</v>
      </c>
      <c r="AC1838" s="27"/>
      <c r="AD1838" s="27"/>
      <c r="AE1838" s="27"/>
      <c r="AF1838" s="27"/>
      <c r="AG1838" s="27"/>
      <c r="AH1838" s="27"/>
      <c r="AI1838" s="25">
        <v>393402</v>
      </c>
      <c r="AJ1838" s="25">
        <v>263579</v>
      </c>
      <c r="AK1838" s="25">
        <v>0</v>
      </c>
      <c r="AL1838" s="25">
        <v>373200</v>
      </c>
      <c r="AM1838" s="25">
        <v>50600</v>
      </c>
      <c r="AN1838" s="25">
        <v>322600</v>
      </c>
      <c r="AO1838" s="25">
        <v>0</v>
      </c>
      <c r="AP1838" s="25">
        <f>Lookups!$B$56*0</f>
        <v>0</v>
      </c>
      <c r="AQ1838" s="25">
        <f>Lookups!$B$56*1</f>
        <v>89850.625589999996</v>
      </c>
      <c r="AR1838" s="25">
        <f>Lookups!$B$57*Inventory[[#This Row],[LnAcres]]</f>
        <v>-58009.662049032086</v>
      </c>
      <c r="AS1838" s="25">
        <f>VLOOKUP(Inventory[[#This Row],[Qlty]],Lookups!$A$62:$E$75,2,FALSE)</f>
        <v>74268.409664999999</v>
      </c>
      <c r="AT1838" s="25">
        <f>VLOOKUP(Inventory[[#This Row],[Cnd]],Lookups!$A$76:$E$84,2,FALSE)</f>
        <v>160472.20319</v>
      </c>
      <c r="AU1838" s="25">
        <f>Inventory[[#This Row],[EffAge]]*Lookups!$B$85</f>
        <v>-12044.462427</v>
      </c>
      <c r="AV1838" s="25">
        <f>Inventory[[#This Row],[MainFn]]*Lookups!$B$86</f>
        <v>60229.168580063</v>
      </c>
      <c r="AW1838" s="25">
        <f>Inventory[[#This Row],[UpprFn]]*Lookups!$B$87</f>
        <v>0</v>
      </c>
      <c r="AX1838" s="25">
        <f>Inventory[[#This Row],[AddFn]]*Lookups!$B$88</f>
        <v>0</v>
      </c>
      <c r="AY1838" s="25">
        <f>Inventory[[#This Row],[Bsmt]]*Lookups!$B$89</f>
        <v>30477.826218856</v>
      </c>
      <c r="AZ1838" s="25">
        <f>Inventory[[#This Row],[Fixtures]]*Lookups!$B$90</f>
        <v>30336.176841600001</v>
      </c>
      <c r="BA1838" s="25">
        <f>Inventory[[#This Row],[WdDeck]]*Lookups!$B$91</f>
        <v>0</v>
      </c>
      <c r="BB1838" s="25">
        <f>ROUND(Inventory[[#This Row],[25Det]],-2)</f>
        <v>0</v>
      </c>
      <c r="BC1838" s="25">
        <f>ROUND(SUM(Inventory[[#This Row],[Mdl Qlty]:[Mdl WdDeck]])+Inventory[[#This Row],[Mdl Res Intercept]],-2)</f>
        <v>343700</v>
      </c>
      <c r="BD1838" s="25">
        <f>ROUND(Inventory[[#This Row],[Mdl Land Intercept]]+Inventory[[#This Row],[Mdl LnAcres]],-2)</f>
        <v>31800</v>
      </c>
      <c r="BE1838" s="25">
        <f>Inventory[[#This Row],[Unadj Res Value]]+Inventory[[#This Row],[Unadj Det Value]]+Inventory[[#This Row],[Unadj Land Value]]</f>
        <v>375500</v>
      </c>
      <c r="BF1838" s="36">
        <f>(Inventory[[#This Row],[Unadj Total Value]]-Inventory[[#This Row],[24Final]])/Inventory[[#This Row],[24Final]]</f>
        <v>6.1629153269024649E-3</v>
      </c>
      <c r="BG1838" s="25">
        <f>VLOOKUP(Inventory[[#This Row],[Nbhd]],Lookups!$Q$2:$T$4,4,FALSE)</f>
        <v>0.99970000000000003</v>
      </c>
      <c r="BH1838" s="25">
        <f>VLOOKUP(Inventory[[#This Row],[Qlty]],Lookups!$O$7:$R$21,4,FALSE)</f>
        <v>0.98380000000000001</v>
      </c>
      <c r="BI1838" s="25">
        <f>VLOOKUP(Inventory[[#This Row],[Cnd]],Lookups!$T$7:$W$16,4,FALSE)</f>
        <v>0.99729999999999996</v>
      </c>
      <c r="BJ1838" s="25">
        <f>VLOOKUP(Inventory[[#This Row],[LivArea Range]],Lookups!$T$25:$W$37,4,FALSE)</f>
        <v>1.0157</v>
      </c>
      <c r="BK1838" s="25">
        <f>VLOOKUP(Inventory[[#This Row],[Decade]],Lookups!$O$25:$R$42,4,FALSE)</f>
        <v>1.0074000000000001</v>
      </c>
      <c r="BL1838" s="25">
        <f>Inventory[[#This Row],[Nbhd Adj]]*0.95</f>
        <v>0.94971499999999998</v>
      </c>
      <c r="BM1838" s="25">
        <f>Inventory[[#This Row],[Nbhd Adj]]*Inventory[[#This Row],[Quality Adj]]*Inventory[[#This Row],[Condition Adj]]*Inventory[[#This Row],[Living Area Adj]]*Inventory[[#This Row],[Decade Adj]]*0.95</f>
        <v>0.95343992437737068</v>
      </c>
      <c r="BN1838" s="25">
        <f>ROUND(SUM(Inventory[[#This Row],[Mdl Qlty]:[Mdl WdDeck]])+Inventory[[#This Row],[Mdl Res Intercept]]*Inventory[[#This Row],[Res Adj ]],-2)</f>
        <v>343700</v>
      </c>
      <c r="BO1838" s="25">
        <f>ROUND(Inventory[[#This Row],[25Det]]*Inventory[[#This Row],[Det/Nbhd Adj]],-2)</f>
        <v>0</v>
      </c>
      <c r="BP1838" s="25">
        <f>Inventory[[#This Row],[Adjusted Res]]+Inventory[[#This Row],[Adj Det ]]</f>
        <v>343700</v>
      </c>
      <c r="BQ1838" s="25">
        <f>ROUND((Inventory[[#This Row],[Mdl Land Intercept]]+Inventory[[#This Row],[Mdl LnAcres]])*Inventory[[#This Row],[Det/Nbhd Adj]],-2)</f>
        <v>30200</v>
      </c>
      <c r="BR1838" s="25">
        <f>Inventory[[#This Row],[Adjusted Impr Total]]+Inventory[[#This Row],[Adjusted Land Total]]</f>
        <v>373900</v>
      </c>
      <c r="BS1838" s="36">
        <f>IFERROR((Inventory[[#This Row],[Adjusted Impr Total]]-Inventory[[#This Row],[24Bldg]])/Inventory[[#This Row],[24Bldg]],0)</f>
        <v>6.5406075635461872E-2</v>
      </c>
      <c r="BT1838" s="36">
        <f>(Inventory[[#This Row],[Adjusted Land Total]]-Inventory[[#This Row],[24Lnd]])/Inventory[[#This Row],[24Lnd]]</f>
        <v>-0.40316205533596838</v>
      </c>
      <c r="BU1838" s="36">
        <f>(Inventory[[#This Row],[Adjusted Total]]-Inventory[[#This Row],[24Final]])/Inventory[[#This Row],[24Final]]</f>
        <v>1.8756698821007502E-3</v>
      </c>
    </row>
    <row r="1839" spans="1:73" x14ac:dyDescent="0.3">
      <c r="A1839" s="25">
        <v>2025</v>
      </c>
      <c r="B1839" s="26" t="s">
        <v>2767</v>
      </c>
      <c r="C1839" s="26">
        <f>LN(Inventory[[#This Row],[Acres]])</f>
        <v>-1.6094379124341003</v>
      </c>
      <c r="D1839" s="25">
        <v>0.2</v>
      </c>
      <c r="E1839" s="25">
        <v>8505</v>
      </c>
      <c r="F1839" s="26" t="s">
        <v>537</v>
      </c>
      <c r="G1839" s="26" t="s">
        <v>126</v>
      </c>
      <c r="H1839" s="26" t="s">
        <v>349</v>
      </c>
      <c r="I1839" s="26" t="s">
        <v>538</v>
      </c>
      <c r="J1839" s="26" t="s">
        <v>539</v>
      </c>
      <c r="K1839" s="26" t="s">
        <v>242</v>
      </c>
      <c r="L1839" s="26" t="s">
        <v>302</v>
      </c>
      <c r="M1839" s="26" t="s">
        <v>323</v>
      </c>
      <c r="N1839" s="26">
        <v>100</v>
      </c>
      <c r="O1839" s="26">
        <f>2024-Inventory[[#This Row],[YrBlt]]</f>
        <v>94</v>
      </c>
      <c r="P1839" s="26">
        <f>2024-Inventory[[#This Row],[EffYr]]</f>
        <v>54</v>
      </c>
      <c r="Q1839" s="25">
        <v>1930</v>
      </c>
      <c r="R1839" s="25">
        <v>1970</v>
      </c>
      <c r="S1839" s="25">
        <v>1280</v>
      </c>
      <c r="T1839" s="27"/>
      <c r="U1839" s="25">
        <v>1000</v>
      </c>
      <c r="V1839" s="32">
        <f>Inventory[[#This Row],[Bsmt]]-Inventory[[#This Row],[FnBsmt]]</f>
        <v>0</v>
      </c>
      <c r="W1839" s="32">
        <v>1000</v>
      </c>
      <c r="X1839" s="27"/>
      <c r="Y1839" s="27">
        <f>Inventory[[#This Row],[MainFn]]+Inventory[[#This Row],[UpprFn]]+Inventory[[#This Row],[FnBsmt]]+Inventory[[#This Row],[AddFn]]</f>
        <v>2280</v>
      </c>
      <c r="Z1839" s="27">
        <v>2500</v>
      </c>
      <c r="AA1839" s="25">
        <v>9</v>
      </c>
      <c r="AB1839" s="27"/>
      <c r="AC1839" s="27"/>
      <c r="AD1839" s="27"/>
      <c r="AE1839" s="27"/>
      <c r="AF1839" s="27"/>
      <c r="AG1839" s="27"/>
      <c r="AH1839" s="27"/>
      <c r="AI1839" s="25">
        <v>334847</v>
      </c>
      <c r="AJ1839" s="25">
        <v>220999</v>
      </c>
      <c r="AK1839" s="25">
        <v>0</v>
      </c>
      <c r="AL1839" s="25">
        <v>341000</v>
      </c>
      <c r="AM1839" s="25">
        <v>58400</v>
      </c>
      <c r="AN1839" s="25">
        <v>282600</v>
      </c>
      <c r="AO1839" s="25">
        <v>0</v>
      </c>
      <c r="AP1839" s="25">
        <f>Lookups!$B$56*0</f>
        <v>0</v>
      </c>
      <c r="AQ1839" s="25">
        <f>Lookups!$B$56*1</f>
        <v>89850.625589999996</v>
      </c>
      <c r="AR1839" s="25">
        <f>Lookups!$B$57*Inventory[[#This Row],[LnAcres]]</f>
        <v>-50946.13867709865</v>
      </c>
      <c r="AS1839" s="25">
        <f>VLOOKUP(Inventory[[#This Row],[Qlty]],Lookups!$A$62:$E$75,2,FALSE)</f>
        <v>29814.093161000001</v>
      </c>
      <c r="AT1839" s="25">
        <f>VLOOKUP(Inventory[[#This Row],[Cnd]],Lookups!$A$76:$E$84,2,FALSE)</f>
        <v>160472.20319</v>
      </c>
      <c r="AU1839" s="25">
        <f>Inventory[[#This Row],[EffAge]]*Lookups!$B$85</f>
        <v>-12044.462427</v>
      </c>
      <c r="AV1839" s="25">
        <f>Inventory[[#This Row],[MainFn]]*Lookups!$B$86</f>
        <v>63243.09744256</v>
      </c>
      <c r="AW1839" s="25">
        <f>Inventory[[#This Row],[UpprFn]]*Lookups!$B$87</f>
        <v>0</v>
      </c>
      <c r="AX1839" s="25">
        <f>Inventory[[#This Row],[AddFn]]*Lookups!$B$88</f>
        <v>0</v>
      </c>
      <c r="AY1839" s="25">
        <f>Inventory[[#This Row],[Bsmt]]*Lookups!$B$89</f>
        <v>29081.895246999997</v>
      </c>
      <c r="AZ1839" s="25">
        <f>Inventory[[#This Row],[Fixtures]]*Lookups!$B$90</f>
        <v>34128.198946800003</v>
      </c>
      <c r="BA1839" s="25">
        <f>Inventory[[#This Row],[WdDeck]]*Lookups!$B$91</f>
        <v>0</v>
      </c>
      <c r="BB1839" s="25">
        <f>ROUND(Inventory[[#This Row],[25Det]],-2)</f>
        <v>0</v>
      </c>
      <c r="BC1839" s="25">
        <f>ROUND(SUM(Inventory[[#This Row],[Mdl Qlty]:[Mdl WdDeck]])+Inventory[[#This Row],[Mdl Res Intercept]],-2)</f>
        <v>304700</v>
      </c>
      <c r="BD1839" s="25">
        <f>ROUND(Inventory[[#This Row],[Mdl Land Intercept]]+Inventory[[#This Row],[Mdl LnAcres]],-2)</f>
        <v>38900</v>
      </c>
      <c r="BE1839" s="25">
        <f>Inventory[[#This Row],[Unadj Res Value]]+Inventory[[#This Row],[Unadj Det Value]]+Inventory[[#This Row],[Unadj Land Value]]</f>
        <v>343600</v>
      </c>
      <c r="BF1839" s="36">
        <f>(Inventory[[#This Row],[Unadj Total Value]]-Inventory[[#This Row],[24Final]])/Inventory[[#This Row],[24Final]]</f>
        <v>7.624633431085044E-3</v>
      </c>
      <c r="BG1839" s="25">
        <f>VLOOKUP(Inventory[[#This Row],[Nbhd]],Lookups!$Q$2:$T$4,4,FALSE)</f>
        <v>0.99970000000000003</v>
      </c>
      <c r="BH1839" s="25">
        <f>VLOOKUP(Inventory[[#This Row],[Qlty]],Lookups!$O$7:$R$21,4,FALSE)</f>
        <v>1.0088999999999999</v>
      </c>
      <c r="BI1839" s="25">
        <f>VLOOKUP(Inventory[[#This Row],[Cnd]],Lookups!$T$7:$W$16,4,FALSE)</f>
        <v>0.99729999999999996</v>
      </c>
      <c r="BJ1839" s="25">
        <f>VLOOKUP(Inventory[[#This Row],[LivArea Range]],Lookups!$T$25:$W$37,4,FALSE)</f>
        <v>0.98919999999999997</v>
      </c>
      <c r="BK1839" s="25">
        <f>VLOOKUP(Inventory[[#This Row],[Decade]],Lookups!$O$25:$R$42,4,FALSE)</f>
        <v>1.0074000000000001</v>
      </c>
      <c r="BL1839" s="25">
        <f>Inventory[[#This Row],[Nbhd Adj]]*0.95</f>
        <v>0.94971499999999998</v>
      </c>
      <c r="BM1839" s="25">
        <f>Inventory[[#This Row],[Nbhd Adj]]*Inventory[[#This Row],[Quality Adj]]*Inventory[[#This Row],[Condition Adj]]*Inventory[[#This Row],[Living Area Adj]]*Inventory[[#This Row],[Decade Adj]]*0.95</f>
        <v>0.95225506796349002</v>
      </c>
      <c r="BN1839" s="25">
        <f>ROUND(SUM(Inventory[[#This Row],[Mdl Qlty]:[Mdl WdDeck]])+Inventory[[#This Row],[Mdl Res Intercept]]*Inventory[[#This Row],[Res Adj ]],-2)</f>
        <v>304700</v>
      </c>
      <c r="BO1839" s="25">
        <f>ROUND(Inventory[[#This Row],[25Det]]*Inventory[[#This Row],[Det/Nbhd Adj]],-2)</f>
        <v>0</v>
      </c>
      <c r="BP1839" s="25">
        <f>Inventory[[#This Row],[Adjusted Res]]+Inventory[[#This Row],[Adj Det ]]</f>
        <v>304700</v>
      </c>
      <c r="BQ1839" s="25">
        <f>ROUND((Inventory[[#This Row],[Mdl Land Intercept]]+Inventory[[#This Row],[Mdl LnAcres]])*Inventory[[#This Row],[Det/Nbhd Adj]],-2)</f>
        <v>36900</v>
      </c>
      <c r="BR1839" s="25">
        <f>Inventory[[#This Row],[Adjusted Impr Total]]+Inventory[[#This Row],[Adjusted Land Total]]</f>
        <v>341600</v>
      </c>
      <c r="BS1839" s="36">
        <f>IFERROR((Inventory[[#This Row],[Adjusted Impr Total]]-Inventory[[#This Row],[24Bldg]])/Inventory[[#This Row],[24Bldg]],0)</f>
        <v>7.8202406227883936E-2</v>
      </c>
      <c r="BT1839" s="36">
        <f>(Inventory[[#This Row],[Adjusted Land Total]]-Inventory[[#This Row],[24Lnd]])/Inventory[[#This Row],[24Lnd]]</f>
        <v>-0.36815068493150682</v>
      </c>
      <c r="BU1839" s="36">
        <f>(Inventory[[#This Row],[Adjusted Total]]-Inventory[[#This Row],[24Final]])/Inventory[[#This Row],[24Final]]</f>
        <v>1.7595307917888563E-3</v>
      </c>
    </row>
    <row r="1840" spans="1:73" x14ac:dyDescent="0.3">
      <c r="A1840" s="25">
        <v>2025</v>
      </c>
      <c r="B1840" s="26" t="s">
        <v>2912</v>
      </c>
      <c r="C1840" s="26">
        <f>LN(Inventory[[#This Row],[Acres]])</f>
        <v>-1.4696759700589417</v>
      </c>
      <c r="D1840" s="25">
        <v>0.23</v>
      </c>
      <c r="E1840" s="25">
        <v>10174</v>
      </c>
      <c r="F1840" s="26" t="s">
        <v>537</v>
      </c>
      <c r="G1840" s="26" t="s">
        <v>126</v>
      </c>
      <c r="H1840" s="26" t="s">
        <v>349</v>
      </c>
      <c r="I1840" s="26" t="s">
        <v>538</v>
      </c>
      <c r="J1840" s="26" t="s">
        <v>539</v>
      </c>
      <c r="K1840" s="26" t="s">
        <v>417</v>
      </c>
      <c r="L1840" s="26" t="s">
        <v>95</v>
      </c>
      <c r="M1840" s="26" t="s">
        <v>323</v>
      </c>
      <c r="N1840" s="26">
        <v>100</v>
      </c>
      <c r="O1840" s="26">
        <f>2024-Inventory[[#This Row],[YrBlt]]</f>
        <v>94</v>
      </c>
      <c r="P1840" s="26">
        <f>2024-Inventory[[#This Row],[EffYr]]</f>
        <v>54</v>
      </c>
      <c r="Q1840" s="25">
        <v>1930</v>
      </c>
      <c r="R1840" s="25">
        <v>1970</v>
      </c>
      <c r="S1840" s="25">
        <v>1830</v>
      </c>
      <c r="T1840" s="32">
        <v>1598</v>
      </c>
      <c r="U1840" s="25">
        <v>1130</v>
      </c>
      <c r="V1840" s="32">
        <f>Inventory[[#This Row],[Bsmt]]-Inventory[[#This Row],[FnBsmt]]</f>
        <v>630</v>
      </c>
      <c r="W1840" s="32">
        <v>500</v>
      </c>
      <c r="X1840" s="27"/>
      <c r="Y1840" s="27">
        <f>Inventory[[#This Row],[MainFn]]+Inventory[[#This Row],[UpprFn]]+Inventory[[#This Row],[FnBsmt]]+Inventory[[#This Row],[AddFn]]</f>
        <v>3928</v>
      </c>
      <c r="Z1840" s="27">
        <v>4000</v>
      </c>
      <c r="AA1840" s="25">
        <v>20</v>
      </c>
      <c r="AB1840" s="27"/>
      <c r="AC1840" s="27"/>
      <c r="AD1840" s="32">
        <v>372</v>
      </c>
      <c r="AE1840" s="27"/>
      <c r="AF1840" s="27"/>
      <c r="AG1840" s="27"/>
      <c r="AH1840" s="27"/>
      <c r="AI1840" s="25">
        <v>826312</v>
      </c>
      <c r="AJ1840" s="25">
        <v>553629</v>
      </c>
      <c r="AK1840" s="25">
        <v>0</v>
      </c>
      <c r="AL1840" s="25">
        <v>546500</v>
      </c>
      <c r="AM1840" s="25">
        <v>63300</v>
      </c>
      <c r="AN1840" s="25">
        <v>483200</v>
      </c>
      <c r="AO1840" s="25">
        <v>0</v>
      </c>
      <c r="AP1840" s="25">
        <f>Lookups!$B$56*0</f>
        <v>0</v>
      </c>
      <c r="AQ1840" s="25">
        <f>Lookups!$B$56*1</f>
        <v>89850.625589999996</v>
      </c>
      <c r="AR1840" s="25">
        <f>Lookups!$B$57*Inventory[[#This Row],[LnAcres]]</f>
        <v>-46522.028095997222</v>
      </c>
      <c r="AS1840" s="25">
        <f>VLOOKUP(Inventory[[#This Row],[Qlty]],Lookups!$A$62:$E$75,2,FALSE)</f>
        <v>74268.409664999999</v>
      </c>
      <c r="AT1840" s="25">
        <f>VLOOKUP(Inventory[[#This Row],[Cnd]],Lookups!$A$76:$E$84,2,FALSE)</f>
        <v>160472.20319</v>
      </c>
      <c r="AU1840" s="25">
        <f>Inventory[[#This Row],[EffAge]]*Lookups!$B$85</f>
        <v>-12044.462427</v>
      </c>
      <c r="AV1840" s="25">
        <f>Inventory[[#This Row],[MainFn]]*Lookups!$B$86</f>
        <v>90417.86587491</v>
      </c>
      <c r="AW1840" s="25">
        <f>Inventory[[#This Row],[UpprFn]]*Lookups!$B$87</f>
        <v>71568.703731877991</v>
      </c>
      <c r="AX1840" s="25">
        <f>Inventory[[#This Row],[AddFn]]*Lookups!$B$88</f>
        <v>0</v>
      </c>
      <c r="AY1840" s="25">
        <f>Inventory[[#This Row],[Bsmt]]*Lookups!$B$89</f>
        <v>32862.541629109997</v>
      </c>
      <c r="AZ1840" s="25">
        <f>Inventory[[#This Row],[Fixtures]]*Lookups!$B$90</f>
        <v>75840.442104000002</v>
      </c>
      <c r="BA1840" s="25">
        <f>Inventory[[#This Row],[WdDeck]]*Lookups!$B$91</f>
        <v>12385.931682672001</v>
      </c>
      <c r="BB1840" s="25">
        <f>ROUND(Inventory[[#This Row],[25Det]],-2)</f>
        <v>0</v>
      </c>
      <c r="BC1840" s="25">
        <f>ROUND(SUM(Inventory[[#This Row],[Mdl Qlty]:[Mdl WdDeck]])+Inventory[[#This Row],[Mdl Res Intercept]],-2)</f>
        <v>505800</v>
      </c>
      <c r="BD1840" s="25">
        <f>ROUND(Inventory[[#This Row],[Mdl Land Intercept]]+Inventory[[#This Row],[Mdl LnAcres]],-2)</f>
        <v>43300</v>
      </c>
      <c r="BE1840" s="25">
        <f>Inventory[[#This Row],[Unadj Res Value]]+Inventory[[#This Row],[Unadj Det Value]]+Inventory[[#This Row],[Unadj Land Value]]</f>
        <v>549100</v>
      </c>
      <c r="BF1840" s="36">
        <f>(Inventory[[#This Row],[Unadj Total Value]]-Inventory[[#This Row],[24Final]])/Inventory[[#This Row],[24Final]]</f>
        <v>4.7575480329368706E-3</v>
      </c>
      <c r="BG1840" s="25">
        <f>VLOOKUP(Inventory[[#This Row],[Nbhd]],Lookups!$Q$2:$T$4,4,FALSE)</f>
        <v>0.99970000000000003</v>
      </c>
      <c r="BH1840" s="25">
        <f>VLOOKUP(Inventory[[#This Row],[Qlty]],Lookups!$O$7:$R$21,4,FALSE)</f>
        <v>0.98380000000000001</v>
      </c>
      <c r="BI1840" s="25">
        <f>VLOOKUP(Inventory[[#This Row],[Cnd]],Lookups!$T$7:$W$16,4,FALSE)</f>
        <v>0.99729999999999996</v>
      </c>
      <c r="BJ1840" s="25">
        <f>VLOOKUP(Inventory[[#This Row],[LivArea Range]],Lookups!$T$25:$W$37,4,FALSE)</f>
        <v>0.94579999999999997</v>
      </c>
      <c r="BK1840" s="25">
        <f>VLOOKUP(Inventory[[#This Row],[Decade]],Lookups!$O$25:$R$42,4,FALSE)</f>
        <v>1.0074000000000001</v>
      </c>
      <c r="BL1840" s="25">
        <f>Inventory[[#This Row],[Nbhd Adj]]*0.95</f>
        <v>0.94971499999999998</v>
      </c>
      <c r="BM1840" s="25">
        <f>Inventory[[#This Row],[Nbhd Adj]]*Inventory[[#This Row],[Quality Adj]]*Inventory[[#This Row],[Condition Adj]]*Inventory[[#This Row],[Living Area Adj]]*Inventory[[#This Row],[Decade Adj]]*0.95</f>
        <v>0.88782463372660925</v>
      </c>
      <c r="BN1840" s="25">
        <f>ROUND(SUM(Inventory[[#This Row],[Mdl Qlty]:[Mdl WdDeck]])+Inventory[[#This Row],[Mdl Res Intercept]]*Inventory[[#This Row],[Res Adj ]],-2)</f>
        <v>505800</v>
      </c>
      <c r="BO1840" s="25">
        <f>ROUND(Inventory[[#This Row],[25Det]]*Inventory[[#This Row],[Det/Nbhd Adj]],-2)</f>
        <v>0</v>
      </c>
      <c r="BP1840" s="25">
        <f>Inventory[[#This Row],[Adjusted Res]]+Inventory[[#This Row],[Adj Det ]]</f>
        <v>505800</v>
      </c>
      <c r="BQ1840" s="25">
        <f>ROUND((Inventory[[#This Row],[Mdl Land Intercept]]+Inventory[[#This Row],[Mdl LnAcres]])*Inventory[[#This Row],[Det/Nbhd Adj]],-2)</f>
        <v>41100</v>
      </c>
      <c r="BR1840" s="25">
        <f>Inventory[[#This Row],[Adjusted Impr Total]]+Inventory[[#This Row],[Adjusted Land Total]]</f>
        <v>546900</v>
      </c>
      <c r="BS1840" s="36">
        <f>IFERROR((Inventory[[#This Row],[Adjusted Impr Total]]-Inventory[[#This Row],[24Bldg]])/Inventory[[#This Row],[24Bldg]],0)</f>
        <v>4.677152317880795E-2</v>
      </c>
      <c r="BT1840" s="36">
        <f>(Inventory[[#This Row],[Adjusted Land Total]]-Inventory[[#This Row],[24Lnd]])/Inventory[[#This Row],[24Lnd]]</f>
        <v>-0.35071090047393366</v>
      </c>
      <c r="BU1840" s="36">
        <f>(Inventory[[#This Row],[Adjusted Total]]-Inventory[[#This Row],[24Final]])/Inventory[[#This Row],[24Final]]</f>
        <v>7.319304666056725E-4</v>
      </c>
    </row>
    <row r="1841" spans="1:73" x14ac:dyDescent="0.3">
      <c r="A1841" s="25">
        <v>2025</v>
      </c>
      <c r="B1841" s="26" t="s">
        <v>2744</v>
      </c>
      <c r="C1841" s="26">
        <f>LN(Inventory[[#This Row],[Acres]])</f>
        <v>-1.7719568419318752</v>
      </c>
      <c r="D1841" s="25">
        <v>0.17</v>
      </c>
      <c r="E1841" s="31"/>
      <c r="F1841" s="26" t="s">
        <v>537</v>
      </c>
      <c r="G1841" s="26" t="s">
        <v>126</v>
      </c>
      <c r="H1841" s="26" t="s">
        <v>349</v>
      </c>
      <c r="I1841" s="26" t="s">
        <v>538</v>
      </c>
      <c r="J1841" s="26" t="s">
        <v>539</v>
      </c>
      <c r="K1841" s="26" t="s">
        <v>173</v>
      </c>
      <c r="L1841" s="26" t="s">
        <v>302</v>
      </c>
      <c r="M1841" s="26" t="s">
        <v>323</v>
      </c>
      <c r="N1841" s="26">
        <v>100</v>
      </c>
      <c r="O1841" s="26">
        <f>2024-Inventory[[#This Row],[YrBlt]]</f>
        <v>94</v>
      </c>
      <c r="P1841" s="26">
        <f>2024-Inventory[[#This Row],[EffYr]]</f>
        <v>54</v>
      </c>
      <c r="Q1841" s="25">
        <v>1930</v>
      </c>
      <c r="R1841" s="25">
        <v>1970</v>
      </c>
      <c r="S1841" s="25">
        <v>928</v>
      </c>
      <c r="T1841" s="32">
        <v>468</v>
      </c>
      <c r="U1841" s="32">
        <v>928</v>
      </c>
      <c r="V1841" s="32">
        <f>Inventory[[#This Row],[Bsmt]]-Inventory[[#This Row],[FnBsmt]]</f>
        <v>0</v>
      </c>
      <c r="W1841" s="32">
        <v>928</v>
      </c>
      <c r="X1841" s="27"/>
      <c r="Y1841" s="27">
        <f>Inventory[[#This Row],[MainFn]]+Inventory[[#This Row],[UpprFn]]+Inventory[[#This Row],[FnBsmt]]+Inventory[[#This Row],[AddFn]]</f>
        <v>2324</v>
      </c>
      <c r="Z1841" s="27">
        <v>2500</v>
      </c>
      <c r="AA1841" s="25">
        <v>10</v>
      </c>
      <c r="AB1841" s="27"/>
      <c r="AC1841" s="27"/>
      <c r="AD1841" s="27"/>
      <c r="AE1841" s="27"/>
      <c r="AF1841" s="27"/>
      <c r="AG1841" s="27"/>
      <c r="AH1841" s="27"/>
      <c r="AI1841" s="25">
        <v>370063</v>
      </c>
      <c r="AJ1841" s="25">
        <v>244242</v>
      </c>
      <c r="AK1841" s="25">
        <v>8156</v>
      </c>
      <c r="AL1841" s="25">
        <v>350600</v>
      </c>
      <c r="AM1841" s="25">
        <v>52700</v>
      </c>
      <c r="AN1841" s="25">
        <v>297900</v>
      </c>
      <c r="AO1841" s="25">
        <v>0</v>
      </c>
      <c r="AP1841" s="25">
        <f>Lookups!$B$56*0</f>
        <v>0</v>
      </c>
      <c r="AQ1841" s="25">
        <f>Lookups!$B$56*1</f>
        <v>89850.625589999996</v>
      </c>
      <c r="AR1841" s="25">
        <f>Lookups!$B$57*Inventory[[#This Row],[LnAcres]]</f>
        <v>-56090.612940989391</v>
      </c>
      <c r="AS1841" s="25">
        <f>VLOOKUP(Inventory[[#This Row],[Qlty]],Lookups!$A$62:$E$75,2,FALSE)</f>
        <v>29814.093161000001</v>
      </c>
      <c r="AT1841" s="25">
        <f>VLOOKUP(Inventory[[#This Row],[Cnd]],Lookups!$A$76:$E$84,2,FALSE)</f>
        <v>160472.20319</v>
      </c>
      <c r="AU1841" s="25">
        <f>Inventory[[#This Row],[EffAge]]*Lookups!$B$85</f>
        <v>-12044.462427</v>
      </c>
      <c r="AV1841" s="25">
        <f>Inventory[[#This Row],[MainFn]]*Lookups!$B$86</f>
        <v>45851.245645856005</v>
      </c>
      <c r="AW1841" s="25">
        <f>Inventory[[#This Row],[UpprFn]]*Lookups!$B$87</f>
        <v>20960.045898947999</v>
      </c>
      <c r="AX1841" s="25">
        <f>Inventory[[#This Row],[AddFn]]*Lookups!$B$88</f>
        <v>0</v>
      </c>
      <c r="AY1841" s="25">
        <f>Inventory[[#This Row],[Bsmt]]*Lookups!$B$89</f>
        <v>26987.998789215999</v>
      </c>
      <c r="AZ1841" s="25">
        <f>Inventory[[#This Row],[Fixtures]]*Lookups!$B$90</f>
        <v>37920.221052000001</v>
      </c>
      <c r="BA1841" s="25">
        <f>Inventory[[#This Row],[WdDeck]]*Lookups!$B$91</f>
        <v>0</v>
      </c>
      <c r="BB1841" s="25">
        <f>ROUND(Inventory[[#This Row],[25Det]],-2)</f>
        <v>8200</v>
      </c>
      <c r="BC1841" s="25">
        <f>ROUND(SUM(Inventory[[#This Row],[Mdl Qlty]:[Mdl WdDeck]])+Inventory[[#This Row],[Mdl Res Intercept]],-2)</f>
        <v>310000</v>
      </c>
      <c r="BD1841" s="25">
        <f>ROUND(Inventory[[#This Row],[Mdl Land Intercept]]+Inventory[[#This Row],[Mdl LnAcres]],-2)</f>
        <v>33800</v>
      </c>
      <c r="BE1841" s="25">
        <f>Inventory[[#This Row],[Unadj Res Value]]+Inventory[[#This Row],[Unadj Det Value]]+Inventory[[#This Row],[Unadj Land Value]]</f>
        <v>352000</v>
      </c>
      <c r="BF1841" s="36">
        <f>(Inventory[[#This Row],[Unadj Total Value]]-Inventory[[#This Row],[24Final]])/Inventory[[#This Row],[24Final]]</f>
        <v>3.9931545921277813E-3</v>
      </c>
      <c r="BG1841" s="25">
        <f>VLOOKUP(Inventory[[#This Row],[Nbhd]],Lookups!$Q$2:$T$4,4,FALSE)</f>
        <v>0.99970000000000003</v>
      </c>
      <c r="BH1841" s="25">
        <f>VLOOKUP(Inventory[[#This Row],[Qlty]],Lookups!$O$7:$R$21,4,FALSE)</f>
        <v>1.0088999999999999</v>
      </c>
      <c r="BI1841" s="25">
        <f>VLOOKUP(Inventory[[#This Row],[Cnd]],Lookups!$T$7:$W$16,4,FALSE)</f>
        <v>0.99729999999999996</v>
      </c>
      <c r="BJ1841" s="25">
        <f>VLOOKUP(Inventory[[#This Row],[LivArea Range]],Lookups!$T$25:$W$37,4,FALSE)</f>
        <v>0.98919999999999997</v>
      </c>
      <c r="BK1841" s="25">
        <f>VLOOKUP(Inventory[[#This Row],[Decade]],Lookups!$O$25:$R$42,4,FALSE)</f>
        <v>1.0074000000000001</v>
      </c>
      <c r="BL1841" s="25">
        <f>Inventory[[#This Row],[Nbhd Adj]]*0.95</f>
        <v>0.94971499999999998</v>
      </c>
      <c r="BM1841" s="25">
        <f>Inventory[[#This Row],[Nbhd Adj]]*Inventory[[#This Row],[Quality Adj]]*Inventory[[#This Row],[Condition Adj]]*Inventory[[#This Row],[Living Area Adj]]*Inventory[[#This Row],[Decade Adj]]*0.95</f>
        <v>0.95225506796349002</v>
      </c>
      <c r="BN1841" s="25">
        <f>ROUND(SUM(Inventory[[#This Row],[Mdl Qlty]:[Mdl WdDeck]])+Inventory[[#This Row],[Mdl Res Intercept]]*Inventory[[#This Row],[Res Adj ]],-2)</f>
        <v>310000</v>
      </c>
      <c r="BO1841" s="25">
        <f>ROUND(Inventory[[#This Row],[25Det]]*Inventory[[#This Row],[Det/Nbhd Adj]],-2)</f>
        <v>7700</v>
      </c>
      <c r="BP1841" s="25">
        <f>Inventory[[#This Row],[Adjusted Res]]+Inventory[[#This Row],[Adj Det ]]</f>
        <v>317700</v>
      </c>
      <c r="BQ1841" s="25">
        <f>ROUND((Inventory[[#This Row],[Mdl Land Intercept]]+Inventory[[#This Row],[Mdl LnAcres]])*Inventory[[#This Row],[Det/Nbhd Adj]],-2)</f>
        <v>32100</v>
      </c>
      <c r="BR1841" s="25">
        <f>Inventory[[#This Row],[Adjusted Impr Total]]+Inventory[[#This Row],[Adjusted Land Total]]</f>
        <v>349800</v>
      </c>
      <c r="BS1841" s="36">
        <f>IFERROR((Inventory[[#This Row],[Adjusted Impr Total]]-Inventory[[#This Row],[24Bldg]])/Inventory[[#This Row],[24Bldg]],0)</f>
        <v>6.6465256797583083E-2</v>
      </c>
      <c r="BT1841" s="36">
        <f>(Inventory[[#This Row],[Adjusted Land Total]]-Inventory[[#This Row],[24Lnd]])/Inventory[[#This Row],[24Lnd]]</f>
        <v>-0.39089184060721061</v>
      </c>
      <c r="BU1841" s="36">
        <f>(Inventory[[#This Row],[Adjusted Total]]-Inventory[[#This Row],[24Final]])/Inventory[[#This Row],[24Final]]</f>
        <v>-2.2818026240730175E-3</v>
      </c>
    </row>
    <row r="1842" spans="1:73" x14ac:dyDescent="0.3">
      <c r="A1842" s="25">
        <v>2025</v>
      </c>
      <c r="B1842" s="26" t="s">
        <v>1289</v>
      </c>
      <c r="C1842" s="26">
        <f>LN(Inventory[[#This Row],[Acres]])</f>
        <v>-1.8971199848858813</v>
      </c>
      <c r="D1842" s="25">
        <v>0.15</v>
      </c>
      <c r="E1842" s="25">
        <v>6480</v>
      </c>
      <c r="F1842" s="26" t="s">
        <v>537</v>
      </c>
      <c r="G1842" s="26" t="s">
        <v>126</v>
      </c>
      <c r="H1842" s="26" t="s">
        <v>349</v>
      </c>
      <c r="I1842" s="26" t="s">
        <v>538</v>
      </c>
      <c r="J1842" s="26" t="s">
        <v>539</v>
      </c>
      <c r="K1842" s="26" t="s">
        <v>269</v>
      </c>
      <c r="L1842" s="26" t="s">
        <v>95</v>
      </c>
      <c r="M1842" s="26" t="s">
        <v>323</v>
      </c>
      <c r="N1842" s="26">
        <v>100</v>
      </c>
      <c r="O1842" s="26">
        <f>2024-Inventory[[#This Row],[YrBlt]]</f>
        <v>94</v>
      </c>
      <c r="P1842" s="26">
        <f>2024-Inventory[[#This Row],[EffYr]]</f>
        <v>54</v>
      </c>
      <c r="Q1842" s="25">
        <v>1930</v>
      </c>
      <c r="R1842" s="25">
        <v>1970</v>
      </c>
      <c r="S1842" s="25">
        <v>1206</v>
      </c>
      <c r="T1842" s="32">
        <v>604</v>
      </c>
      <c r="U1842" s="25">
        <v>1006</v>
      </c>
      <c r="V1842" s="32">
        <f>Inventory[[#This Row],[Bsmt]]-Inventory[[#This Row],[FnBsmt]]</f>
        <v>0</v>
      </c>
      <c r="W1842" s="32">
        <v>1006</v>
      </c>
      <c r="X1842" s="27"/>
      <c r="Y1842" s="27">
        <f>Inventory[[#This Row],[MainFn]]+Inventory[[#This Row],[UpprFn]]+Inventory[[#This Row],[FnBsmt]]+Inventory[[#This Row],[AddFn]]</f>
        <v>2816</v>
      </c>
      <c r="Z1842" s="27">
        <v>3000</v>
      </c>
      <c r="AA1842" s="25">
        <v>10</v>
      </c>
      <c r="AB1842" s="27"/>
      <c r="AC1842" s="32">
        <v>200</v>
      </c>
      <c r="AD1842" s="25">
        <v>576</v>
      </c>
      <c r="AE1842" s="27"/>
      <c r="AF1842" s="27"/>
      <c r="AG1842" s="27"/>
      <c r="AH1842" s="27"/>
      <c r="AI1842" s="25">
        <v>587814</v>
      </c>
      <c r="AJ1842" s="25">
        <v>393835</v>
      </c>
      <c r="AK1842" s="25">
        <v>0</v>
      </c>
      <c r="AL1842" s="25">
        <v>426900</v>
      </c>
      <c r="AM1842" s="25">
        <v>48400</v>
      </c>
      <c r="AN1842" s="25">
        <v>378500</v>
      </c>
      <c r="AO1842" s="25">
        <v>0</v>
      </c>
      <c r="AP1842" s="25">
        <f>Lookups!$B$56*0</f>
        <v>0</v>
      </c>
      <c r="AQ1842" s="25">
        <f>Lookups!$B$56*1</f>
        <v>89850.625589999996</v>
      </c>
      <c r="AR1842" s="25">
        <f>Lookups!$B$57*Inventory[[#This Row],[LnAcres]]</f>
        <v>-60052.604136134301</v>
      </c>
      <c r="AS1842" s="25">
        <f>VLOOKUP(Inventory[[#This Row],[Qlty]],Lookups!$A$62:$E$75,2,FALSE)</f>
        <v>74268.409664999999</v>
      </c>
      <c r="AT1842" s="25">
        <f>VLOOKUP(Inventory[[#This Row],[Cnd]],Lookups!$A$76:$E$84,2,FALSE)</f>
        <v>160472.20319</v>
      </c>
      <c r="AU1842" s="25">
        <f>Inventory[[#This Row],[EffAge]]*Lookups!$B$85</f>
        <v>-12044.462427</v>
      </c>
      <c r="AV1842" s="25">
        <f>Inventory[[#This Row],[MainFn]]*Lookups!$B$86</f>
        <v>59586.855871662003</v>
      </c>
      <c r="AW1842" s="25">
        <f>Inventory[[#This Row],[UpprFn]]*Lookups!$B$87</f>
        <v>27050.999408043997</v>
      </c>
      <c r="AX1842" s="25">
        <f>Inventory[[#This Row],[AddFn]]*Lookups!$B$88</f>
        <v>0</v>
      </c>
      <c r="AY1842" s="25">
        <f>Inventory[[#This Row],[Bsmt]]*Lookups!$B$89</f>
        <v>29256.386618482</v>
      </c>
      <c r="AZ1842" s="25">
        <f>Inventory[[#This Row],[Fixtures]]*Lookups!$B$90</f>
        <v>37920.221052000001</v>
      </c>
      <c r="BA1842" s="25">
        <f>Inventory[[#This Row],[WdDeck]]*Lookups!$B$91</f>
        <v>19178.216798976002</v>
      </c>
      <c r="BB1842" s="25">
        <f>ROUND(Inventory[[#This Row],[25Det]],-2)</f>
        <v>0</v>
      </c>
      <c r="BC1842" s="25">
        <f>ROUND(SUM(Inventory[[#This Row],[Mdl Qlty]:[Mdl WdDeck]])+Inventory[[#This Row],[Mdl Res Intercept]],-2)</f>
        <v>395700</v>
      </c>
      <c r="BD1842" s="25">
        <f>ROUND(Inventory[[#This Row],[Mdl Land Intercept]]+Inventory[[#This Row],[Mdl LnAcres]],-2)</f>
        <v>29800</v>
      </c>
      <c r="BE1842" s="25">
        <f>Inventory[[#This Row],[Unadj Res Value]]+Inventory[[#This Row],[Unadj Det Value]]+Inventory[[#This Row],[Unadj Land Value]]</f>
        <v>425500</v>
      </c>
      <c r="BF1842" s="36">
        <f>(Inventory[[#This Row],[Unadj Total Value]]-Inventory[[#This Row],[24Final]])/Inventory[[#This Row],[24Final]]</f>
        <v>-3.2794565472007496E-3</v>
      </c>
      <c r="BG1842" s="25">
        <f>VLOOKUP(Inventory[[#This Row],[Nbhd]],Lookups!$Q$2:$T$4,4,FALSE)</f>
        <v>0.99970000000000003</v>
      </c>
      <c r="BH1842" s="25">
        <f>VLOOKUP(Inventory[[#This Row],[Qlty]],Lookups!$O$7:$R$21,4,FALSE)</f>
        <v>0.98380000000000001</v>
      </c>
      <c r="BI1842" s="25">
        <f>VLOOKUP(Inventory[[#This Row],[Cnd]],Lookups!$T$7:$W$16,4,FALSE)</f>
        <v>0.99729999999999996</v>
      </c>
      <c r="BJ1842" s="25">
        <f>VLOOKUP(Inventory[[#This Row],[LivArea Range]],Lookups!$T$25:$W$37,4,FALSE)</f>
        <v>0.96179999999999999</v>
      </c>
      <c r="BK1842" s="25">
        <f>VLOOKUP(Inventory[[#This Row],[Decade]],Lookups!$O$25:$R$42,4,FALSE)</f>
        <v>1.0074000000000001</v>
      </c>
      <c r="BL1842" s="25">
        <f>Inventory[[#This Row],[Nbhd Adj]]*0.95</f>
        <v>0.94971499999999998</v>
      </c>
      <c r="BM1842" s="25">
        <f>Inventory[[#This Row],[Nbhd Adj]]*Inventory[[#This Row],[Quality Adj]]*Inventory[[#This Row],[Condition Adj]]*Inventory[[#This Row],[Living Area Adj]]*Inventory[[#This Row],[Decade Adj]]*0.95</f>
        <v>0.90284387049931569</v>
      </c>
      <c r="BN1842" s="25">
        <f>ROUND(SUM(Inventory[[#This Row],[Mdl Qlty]:[Mdl WdDeck]])+Inventory[[#This Row],[Mdl Res Intercept]]*Inventory[[#This Row],[Res Adj ]],-2)</f>
        <v>395700</v>
      </c>
      <c r="BO1842" s="25">
        <f>ROUND(Inventory[[#This Row],[25Det]]*Inventory[[#This Row],[Det/Nbhd Adj]],-2)</f>
        <v>0</v>
      </c>
      <c r="BP1842" s="25">
        <f>Inventory[[#This Row],[Adjusted Res]]+Inventory[[#This Row],[Adj Det ]]</f>
        <v>395700</v>
      </c>
      <c r="BQ1842" s="25">
        <f>ROUND((Inventory[[#This Row],[Mdl Land Intercept]]+Inventory[[#This Row],[Mdl LnAcres]])*Inventory[[#This Row],[Det/Nbhd Adj]],-2)</f>
        <v>28300</v>
      </c>
      <c r="BR1842" s="25">
        <f>Inventory[[#This Row],[Adjusted Impr Total]]+Inventory[[#This Row],[Adjusted Land Total]]</f>
        <v>424000</v>
      </c>
      <c r="BS1842" s="36">
        <f>IFERROR((Inventory[[#This Row],[Adjusted Impr Total]]-Inventory[[#This Row],[24Bldg]])/Inventory[[#This Row],[24Bldg]],0)</f>
        <v>4.544253632760898E-2</v>
      </c>
      <c r="BT1842" s="36">
        <f>(Inventory[[#This Row],[Adjusted Land Total]]-Inventory[[#This Row],[24Lnd]])/Inventory[[#This Row],[24Lnd]]</f>
        <v>-0.41528925619834711</v>
      </c>
      <c r="BU1842" s="36">
        <f>(Inventory[[#This Row],[Adjusted Total]]-Inventory[[#This Row],[24Final]])/Inventory[[#This Row],[24Final]]</f>
        <v>-6.7931599906301239E-3</v>
      </c>
    </row>
    <row r="1843" spans="1:73" x14ac:dyDescent="0.3">
      <c r="A1843" s="25">
        <v>2025</v>
      </c>
      <c r="B1843" s="26" t="s">
        <v>1331</v>
      </c>
      <c r="C1843" s="26">
        <f>LN(Inventory[[#This Row],[Acres]])</f>
        <v>-1.1394342831883648</v>
      </c>
      <c r="D1843" s="25">
        <v>0.32</v>
      </c>
      <c r="E1843" s="25">
        <v>14049</v>
      </c>
      <c r="F1843" s="26" t="s">
        <v>537</v>
      </c>
      <c r="G1843" s="26" t="s">
        <v>126</v>
      </c>
      <c r="H1843" s="26" t="s">
        <v>349</v>
      </c>
      <c r="I1843" s="26" t="s">
        <v>538</v>
      </c>
      <c r="J1843" s="26" t="s">
        <v>539</v>
      </c>
      <c r="K1843" s="26" t="s">
        <v>173</v>
      </c>
      <c r="L1843" s="26" t="s">
        <v>351</v>
      </c>
      <c r="M1843" s="26" t="s">
        <v>323</v>
      </c>
      <c r="N1843" s="26">
        <v>100</v>
      </c>
      <c r="O1843" s="26">
        <f>2024-Inventory[[#This Row],[YrBlt]]</f>
        <v>94</v>
      </c>
      <c r="P1843" s="26">
        <f>2024-Inventory[[#This Row],[EffYr]]</f>
        <v>54</v>
      </c>
      <c r="Q1843" s="25">
        <v>1930</v>
      </c>
      <c r="R1843" s="25">
        <v>1970</v>
      </c>
      <c r="S1843" s="25">
        <v>980</v>
      </c>
      <c r="T1843" s="32">
        <v>241</v>
      </c>
      <c r="U1843" s="32">
        <v>980</v>
      </c>
      <c r="V1843" s="32">
        <f>Inventory[[#This Row],[Bsmt]]-Inventory[[#This Row],[FnBsmt]]</f>
        <v>0</v>
      </c>
      <c r="W1843" s="32">
        <v>980</v>
      </c>
      <c r="X1843" s="27"/>
      <c r="Y1843" s="27">
        <f>Inventory[[#This Row],[MainFn]]+Inventory[[#This Row],[UpprFn]]+Inventory[[#This Row],[FnBsmt]]+Inventory[[#This Row],[AddFn]]</f>
        <v>2201</v>
      </c>
      <c r="Z1843" s="27">
        <v>2500</v>
      </c>
      <c r="AA1843" s="25">
        <v>8</v>
      </c>
      <c r="AB1843" s="31"/>
      <c r="AC1843" s="27"/>
      <c r="AD1843" s="27"/>
      <c r="AE1843" s="27"/>
      <c r="AF1843" s="27"/>
      <c r="AG1843" s="27"/>
      <c r="AH1843" s="27"/>
      <c r="AI1843" s="25">
        <v>293224</v>
      </c>
      <c r="AJ1843" s="25">
        <v>193528</v>
      </c>
      <c r="AK1843" s="25">
        <v>42454</v>
      </c>
      <c r="AL1843" s="25">
        <v>382300</v>
      </c>
      <c r="AM1843" s="25">
        <v>74800</v>
      </c>
      <c r="AN1843" s="25">
        <v>307500</v>
      </c>
      <c r="AO1843" s="25">
        <v>0</v>
      </c>
      <c r="AP1843" s="25">
        <f>Lookups!$B$56*0</f>
        <v>0</v>
      </c>
      <c r="AQ1843" s="25">
        <f>Lookups!$B$56*1</f>
        <v>89850.625589999996</v>
      </c>
      <c r="AR1843" s="25">
        <f>Lookups!$B$57*Inventory[[#This Row],[LnAcres]]</f>
        <v>-36068.354396449467</v>
      </c>
      <c r="AS1843" s="25">
        <f>VLOOKUP(Inventory[[#This Row],[Qlty]],Lookups!$A$62:$E$75,2,FALSE)</f>
        <v>21557.329055999999</v>
      </c>
      <c r="AT1843" s="25">
        <f>VLOOKUP(Inventory[[#This Row],[Cnd]],Lookups!$A$76:$E$84,2,FALSE)</f>
        <v>160472.20319</v>
      </c>
      <c r="AU1843" s="25">
        <f>Inventory[[#This Row],[EffAge]]*Lookups!$B$85</f>
        <v>-12044.462427</v>
      </c>
      <c r="AV1843" s="25">
        <f>Inventory[[#This Row],[MainFn]]*Lookups!$B$86</f>
        <v>48420.496479460002</v>
      </c>
      <c r="AW1843" s="25">
        <f>Inventory[[#This Row],[UpprFn]]*Lookups!$B$87</f>
        <v>10793.527909500999</v>
      </c>
      <c r="AX1843" s="25">
        <f>Inventory[[#This Row],[AddFn]]*Lookups!$B$88</f>
        <v>0</v>
      </c>
      <c r="AY1843" s="25">
        <f>Inventory[[#This Row],[Bsmt]]*Lookups!$B$89</f>
        <v>28500.257342059998</v>
      </c>
      <c r="AZ1843" s="25">
        <f>Inventory[[#This Row],[Fixtures]]*Lookups!$B$90</f>
        <v>30336.176841600001</v>
      </c>
      <c r="BA1843" s="25">
        <f>Inventory[[#This Row],[WdDeck]]*Lookups!$B$91</f>
        <v>0</v>
      </c>
      <c r="BB1843" s="25">
        <f>ROUND(Inventory[[#This Row],[25Det]],-2)</f>
        <v>42500</v>
      </c>
      <c r="BC1843" s="25">
        <f>ROUND(SUM(Inventory[[#This Row],[Mdl Qlty]:[Mdl WdDeck]])+Inventory[[#This Row],[Mdl Res Intercept]],-2)</f>
        <v>288000</v>
      </c>
      <c r="BD1843" s="25">
        <f>ROUND(Inventory[[#This Row],[Mdl Land Intercept]]+Inventory[[#This Row],[Mdl LnAcres]],-2)</f>
        <v>53800</v>
      </c>
      <c r="BE1843" s="25">
        <f>Inventory[[#This Row],[Unadj Res Value]]+Inventory[[#This Row],[Unadj Det Value]]+Inventory[[#This Row],[Unadj Land Value]]</f>
        <v>384300</v>
      </c>
      <c r="BF1843" s="36">
        <f>(Inventory[[#This Row],[Unadj Total Value]]-Inventory[[#This Row],[24Final]])/Inventory[[#This Row],[24Final]]</f>
        <v>5.2314935914203504E-3</v>
      </c>
      <c r="BG1843" s="25">
        <f>VLOOKUP(Inventory[[#This Row],[Nbhd]],Lookups!$Q$2:$T$4,4,FALSE)</f>
        <v>0.99970000000000003</v>
      </c>
      <c r="BH1843" s="25">
        <f>VLOOKUP(Inventory[[#This Row],[Qlty]],Lookups!$O$7:$R$21,4,FALSE)</f>
        <v>1.0067999999999999</v>
      </c>
      <c r="BI1843" s="25">
        <f>VLOOKUP(Inventory[[#This Row],[Cnd]],Lookups!$T$7:$W$16,4,FALSE)</f>
        <v>0.99729999999999996</v>
      </c>
      <c r="BJ1843" s="25">
        <f>VLOOKUP(Inventory[[#This Row],[LivArea Range]],Lookups!$T$25:$W$37,4,FALSE)</f>
        <v>0.98919999999999997</v>
      </c>
      <c r="BK1843" s="25">
        <f>VLOOKUP(Inventory[[#This Row],[Decade]],Lookups!$O$25:$R$42,4,FALSE)</f>
        <v>1.0074000000000001</v>
      </c>
      <c r="BL1843" s="25">
        <f>Inventory[[#This Row],[Nbhd Adj]]*0.95</f>
        <v>0.94971499999999998</v>
      </c>
      <c r="BM1843" s="25">
        <f>Inventory[[#This Row],[Nbhd Adj]]*Inventory[[#This Row],[Quality Adj]]*Inventory[[#This Row],[Condition Adj]]*Inventory[[#This Row],[Living Area Adj]]*Inventory[[#This Row],[Decade Adj]]*0.95</f>
        <v>0.95027297296624202</v>
      </c>
      <c r="BN1843" s="25">
        <f>ROUND(SUM(Inventory[[#This Row],[Mdl Qlty]:[Mdl WdDeck]])+Inventory[[#This Row],[Mdl Res Intercept]]*Inventory[[#This Row],[Res Adj ]],-2)</f>
        <v>288000</v>
      </c>
      <c r="BO1843" s="25">
        <f>ROUND(Inventory[[#This Row],[25Det]]*Inventory[[#This Row],[Det/Nbhd Adj]],-2)</f>
        <v>40300</v>
      </c>
      <c r="BP1843" s="25">
        <f>Inventory[[#This Row],[Adjusted Res]]+Inventory[[#This Row],[Adj Det ]]</f>
        <v>328300</v>
      </c>
      <c r="BQ1843" s="25">
        <f>ROUND((Inventory[[#This Row],[Mdl Land Intercept]]+Inventory[[#This Row],[Mdl LnAcres]])*Inventory[[#This Row],[Det/Nbhd Adj]],-2)</f>
        <v>51100</v>
      </c>
      <c r="BR1843" s="25">
        <f>Inventory[[#This Row],[Adjusted Impr Total]]+Inventory[[#This Row],[Adjusted Land Total]]</f>
        <v>379400</v>
      </c>
      <c r="BS1843" s="36">
        <f>IFERROR((Inventory[[#This Row],[Adjusted Impr Total]]-Inventory[[#This Row],[24Bldg]])/Inventory[[#This Row],[24Bldg]],0)</f>
        <v>6.7642276422764228E-2</v>
      </c>
      <c r="BT1843" s="36">
        <f>(Inventory[[#This Row],[Adjusted Land Total]]-Inventory[[#This Row],[24Lnd]])/Inventory[[#This Row],[24Lnd]]</f>
        <v>-0.31684491978609625</v>
      </c>
      <c r="BU1843" s="36">
        <f>(Inventory[[#This Row],[Adjusted Total]]-Inventory[[#This Row],[24Final]])/Inventory[[#This Row],[24Final]]</f>
        <v>-7.5856657075595085E-3</v>
      </c>
    </row>
    <row r="1844" spans="1:73" x14ac:dyDescent="0.3">
      <c r="A1844" s="25">
        <v>2025</v>
      </c>
      <c r="B1844" s="26" t="s">
        <v>1537</v>
      </c>
      <c r="C1844" s="26">
        <f>LN(Inventory[[#This Row],[Acres]])</f>
        <v>-0.94160853985844495</v>
      </c>
      <c r="D1844" s="25">
        <v>0.39</v>
      </c>
      <c r="E1844" s="25">
        <v>16952</v>
      </c>
      <c r="F1844" s="26" t="s">
        <v>537</v>
      </c>
      <c r="G1844" s="26" t="s">
        <v>126</v>
      </c>
      <c r="H1844" s="26" t="s">
        <v>349</v>
      </c>
      <c r="I1844" s="26" t="s">
        <v>538</v>
      </c>
      <c r="J1844" s="26" t="s">
        <v>539</v>
      </c>
      <c r="K1844" s="26" t="s">
        <v>416</v>
      </c>
      <c r="L1844" s="26" t="s">
        <v>351</v>
      </c>
      <c r="M1844" s="26" t="s">
        <v>323</v>
      </c>
      <c r="N1844" s="26">
        <v>100</v>
      </c>
      <c r="O1844" s="26">
        <f>2024-Inventory[[#This Row],[YrBlt]]</f>
        <v>94</v>
      </c>
      <c r="P1844" s="26">
        <f>2024-Inventory[[#This Row],[EffYr]]</f>
        <v>54</v>
      </c>
      <c r="Q1844" s="25">
        <v>1930</v>
      </c>
      <c r="R1844" s="25">
        <v>1970</v>
      </c>
      <c r="S1844" s="25">
        <v>1059</v>
      </c>
      <c r="T1844" s="32">
        <v>258</v>
      </c>
      <c r="U1844" s="32">
        <v>1059</v>
      </c>
      <c r="V1844" s="32">
        <f>Inventory[[#This Row],[Bsmt]]-Inventory[[#This Row],[FnBsmt]]</f>
        <v>0</v>
      </c>
      <c r="W1844" s="32">
        <v>1059</v>
      </c>
      <c r="X1844" s="27"/>
      <c r="Y1844" s="27">
        <f>Inventory[[#This Row],[MainFn]]+Inventory[[#This Row],[UpprFn]]+Inventory[[#This Row],[FnBsmt]]+Inventory[[#This Row],[AddFn]]</f>
        <v>2376</v>
      </c>
      <c r="Z1844" s="27">
        <v>2500</v>
      </c>
      <c r="AA1844" s="25">
        <v>11</v>
      </c>
      <c r="AB1844" s="27"/>
      <c r="AC1844" s="27"/>
      <c r="AD1844" s="27"/>
      <c r="AE1844" s="27"/>
      <c r="AF1844" s="27"/>
      <c r="AG1844" s="27"/>
      <c r="AH1844" s="27"/>
      <c r="AI1844" s="25">
        <v>301124</v>
      </c>
      <c r="AJ1844" s="25">
        <v>198742</v>
      </c>
      <c r="AK1844" s="25">
        <v>12316</v>
      </c>
      <c r="AL1844" s="25">
        <v>378700</v>
      </c>
      <c r="AM1844" s="25">
        <v>81700</v>
      </c>
      <c r="AN1844" s="25">
        <v>297000</v>
      </c>
      <c r="AO1844" s="25">
        <v>0</v>
      </c>
      <c r="AP1844" s="25">
        <f>Lookups!$B$56*0</f>
        <v>0</v>
      </c>
      <c r="AQ1844" s="25">
        <f>Lookups!$B$56*1</f>
        <v>89850.625589999996</v>
      </c>
      <c r="AR1844" s="25">
        <f>Lookups!$B$57*Inventory[[#This Row],[LnAcres]]</f>
        <v>-29806.256507663158</v>
      </c>
      <c r="AS1844" s="25">
        <f>VLOOKUP(Inventory[[#This Row],[Qlty]],Lookups!$A$62:$E$75,2,FALSE)</f>
        <v>21557.329055999999</v>
      </c>
      <c r="AT1844" s="25">
        <f>VLOOKUP(Inventory[[#This Row],[Cnd]],Lookups!$A$76:$E$84,2,FALSE)</f>
        <v>160472.20319</v>
      </c>
      <c r="AU1844" s="25">
        <f>Inventory[[#This Row],[EffAge]]*Lookups!$B$85</f>
        <v>-12044.462427</v>
      </c>
      <c r="AV1844" s="25">
        <f>Inventory[[#This Row],[MainFn]]*Lookups!$B$86</f>
        <v>52323.781399742998</v>
      </c>
      <c r="AW1844" s="25">
        <f>Inventory[[#This Row],[UpprFn]]*Lookups!$B$87</f>
        <v>11554.897098137999</v>
      </c>
      <c r="AX1844" s="25">
        <f>Inventory[[#This Row],[AddFn]]*Lookups!$B$88</f>
        <v>0</v>
      </c>
      <c r="AY1844" s="25">
        <f>Inventory[[#This Row],[Bsmt]]*Lookups!$B$89</f>
        <v>30797.727066572999</v>
      </c>
      <c r="AZ1844" s="25">
        <f>Inventory[[#This Row],[Fixtures]]*Lookups!$B$90</f>
        <v>41712.243157199999</v>
      </c>
      <c r="BA1844" s="25">
        <f>Inventory[[#This Row],[WdDeck]]*Lookups!$B$91</f>
        <v>0</v>
      </c>
      <c r="BB1844" s="25">
        <f>ROUND(Inventory[[#This Row],[25Det]],-2)</f>
        <v>12300</v>
      </c>
      <c r="BC1844" s="25">
        <f>ROUND(SUM(Inventory[[#This Row],[Mdl Qlty]:[Mdl WdDeck]])+Inventory[[#This Row],[Mdl Res Intercept]],-2)</f>
        <v>306400</v>
      </c>
      <c r="BD1844" s="25">
        <f>ROUND(Inventory[[#This Row],[Mdl Land Intercept]]+Inventory[[#This Row],[Mdl LnAcres]],-2)</f>
        <v>60000</v>
      </c>
      <c r="BE1844" s="25">
        <f>Inventory[[#This Row],[Unadj Res Value]]+Inventory[[#This Row],[Unadj Det Value]]+Inventory[[#This Row],[Unadj Land Value]]</f>
        <v>378700</v>
      </c>
      <c r="BF1844" s="36">
        <f>(Inventory[[#This Row],[Unadj Total Value]]-Inventory[[#This Row],[24Final]])/Inventory[[#This Row],[24Final]]</f>
        <v>0</v>
      </c>
      <c r="BG1844" s="25">
        <f>VLOOKUP(Inventory[[#This Row],[Nbhd]],Lookups!$Q$2:$T$4,4,FALSE)</f>
        <v>0.99970000000000003</v>
      </c>
      <c r="BH1844" s="25">
        <f>VLOOKUP(Inventory[[#This Row],[Qlty]],Lookups!$O$7:$R$21,4,FALSE)</f>
        <v>1.0067999999999999</v>
      </c>
      <c r="BI1844" s="25">
        <f>VLOOKUP(Inventory[[#This Row],[Cnd]],Lookups!$T$7:$W$16,4,FALSE)</f>
        <v>0.99729999999999996</v>
      </c>
      <c r="BJ1844" s="25">
        <f>VLOOKUP(Inventory[[#This Row],[LivArea Range]],Lookups!$T$25:$W$37,4,FALSE)</f>
        <v>0.98919999999999997</v>
      </c>
      <c r="BK1844" s="25">
        <f>VLOOKUP(Inventory[[#This Row],[Decade]],Lookups!$O$25:$R$42,4,FALSE)</f>
        <v>1.0074000000000001</v>
      </c>
      <c r="BL1844" s="25">
        <f>Inventory[[#This Row],[Nbhd Adj]]*0.95</f>
        <v>0.94971499999999998</v>
      </c>
      <c r="BM1844" s="25">
        <f>Inventory[[#This Row],[Nbhd Adj]]*Inventory[[#This Row],[Quality Adj]]*Inventory[[#This Row],[Condition Adj]]*Inventory[[#This Row],[Living Area Adj]]*Inventory[[#This Row],[Decade Adj]]*0.95</f>
        <v>0.95027297296624202</v>
      </c>
      <c r="BN1844" s="25">
        <f>ROUND(SUM(Inventory[[#This Row],[Mdl Qlty]:[Mdl WdDeck]])+Inventory[[#This Row],[Mdl Res Intercept]]*Inventory[[#This Row],[Res Adj ]],-2)</f>
        <v>306400</v>
      </c>
      <c r="BO1844" s="25">
        <f>ROUND(Inventory[[#This Row],[25Det]]*Inventory[[#This Row],[Det/Nbhd Adj]],-2)</f>
        <v>11700</v>
      </c>
      <c r="BP1844" s="25">
        <f>Inventory[[#This Row],[Adjusted Res]]+Inventory[[#This Row],[Adj Det ]]</f>
        <v>318100</v>
      </c>
      <c r="BQ1844" s="25">
        <f>ROUND((Inventory[[#This Row],[Mdl Land Intercept]]+Inventory[[#This Row],[Mdl LnAcres]])*Inventory[[#This Row],[Det/Nbhd Adj]],-2)</f>
        <v>57000</v>
      </c>
      <c r="BR1844" s="25">
        <f>Inventory[[#This Row],[Adjusted Impr Total]]+Inventory[[#This Row],[Adjusted Land Total]]</f>
        <v>375100</v>
      </c>
      <c r="BS1844" s="36">
        <f>IFERROR((Inventory[[#This Row],[Adjusted Impr Total]]-Inventory[[#This Row],[24Bldg]])/Inventory[[#This Row],[24Bldg]],0)</f>
        <v>7.1043771043771048E-2</v>
      </c>
      <c r="BT1844" s="36">
        <f>(Inventory[[#This Row],[Adjusted Land Total]]-Inventory[[#This Row],[24Lnd]])/Inventory[[#This Row],[24Lnd]]</f>
        <v>-0.30232558139534882</v>
      </c>
      <c r="BU1844" s="36">
        <f>(Inventory[[#This Row],[Adjusted Total]]-Inventory[[#This Row],[24Final]])/Inventory[[#This Row],[24Final]]</f>
        <v>-9.5062054396620015E-3</v>
      </c>
    </row>
    <row r="1845" spans="1:73" x14ac:dyDescent="0.3">
      <c r="A1845" s="25">
        <v>2025</v>
      </c>
      <c r="B1845" s="26" t="s">
        <v>639</v>
      </c>
      <c r="C1845" s="26">
        <f>LN(Inventory[[#This Row],[Acres]])</f>
        <v>-1.5606477482646683</v>
      </c>
      <c r="D1845" s="25">
        <v>0.21</v>
      </c>
      <c r="E1845" s="25">
        <v>8992</v>
      </c>
      <c r="F1845" s="26" t="s">
        <v>537</v>
      </c>
      <c r="G1845" s="26" t="s">
        <v>126</v>
      </c>
      <c r="H1845" s="26" t="s">
        <v>349</v>
      </c>
      <c r="I1845" s="26" t="s">
        <v>538</v>
      </c>
      <c r="J1845" s="26" t="s">
        <v>539</v>
      </c>
      <c r="K1845" s="26" t="s">
        <v>4</v>
      </c>
      <c r="L1845" s="26" t="s">
        <v>351</v>
      </c>
      <c r="M1845" s="26" t="s">
        <v>323</v>
      </c>
      <c r="N1845" s="26">
        <v>100</v>
      </c>
      <c r="O1845" s="26">
        <f>2024-Inventory[[#This Row],[YrBlt]]</f>
        <v>94</v>
      </c>
      <c r="P1845" s="26">
        <f>2024-Inventory[[#This Row],[EffYr]]</f>
        <v>54</v>
      </c>
      <c r="Q1845" s="25">
        <v>1930</v>
      </c>
      <c r="R1845" s="25">
        <v>1970</v>
      </c>
      <c r="S1845" s="25">
        <v>702</v>
      </c>
      <c r="T1845" s="27"/>
      <c r="U1845" s="25">
        <v>546</v>
      </c>
      <c r="V1845" s="25">
        <f>Inventory[[#This Row],[Bsmt]]-Inventory[[#This Row],[FnBsmt]]</f>
        <v>546</v>
      </c>
      <c r="W1845" s="31"/>
      <c r="X1845" s="27"/>
      <c r="Y1845" s="27">
        <f>Inventory[[#This Row],[MainFn]]+Inventory[[#This Row],[UpprFn]]+Inventory[[#This Row],[FnBsmt]]+Inventory[[#This Row],[AddFn]]</f>
        <v>702</v>
      </c>
      <c r="Z1845" s="27">
        <v>1000</v>
      </c>
      <c r="AA1845" s="25">
        <v>5</v>
      </c>
      <c r="AB1845" s="27"/>
      <c r="AC1845" s="31"/>
      <c r="AD1845" s="31"/>
      <c r="AE1845" s="27"/>
      <c r="AF1845" s="27"/>
      <c r="AG1845" s="27"/>
      <c r="AH1845" s="27"/>
      <c r="AI1845" s="25">
        <v>144304</v>
      </c>
      <c r="AJ1845" s="25">
        <v>95241</v>
      </c>
      <c r="AK1845" s="25">
        <v>4877</v>
      </c>
      <c r="AL1845" s="25">
        <v>285400</v>
      </c>
      <c r="AM1845" s="25">
        <v>60100</v>
      </c>
      <c r="AN1845" s="25">
        <v>225300</v>
      </c>
      <c r="AO1845" s="25">
        <v>0</v>
      </c>
      <c r="AP1845" s="25">
        <f>Lookups!$B$56*0</f>
        <v>0</v>
      </c>
      <c r="AQ1845" s="25">
        <f>Lookups!$B$56*1</f>
        <v>89850.625589999996</v>
      </c>
      <c r="AR1845" s="25">
        <f>Lookups!$B$57*Inventory[[#This Row],[LnAcres]]</f>
        <v>-49401.70477837498</v>
      </c>
      <c r="AS1845" s="25">
        <f>VLOOKUP(Inventory[[#This Row],[Qlty]],Lookups!$A$62:$E$75,2,FALSE)</f>
        <v>21557.329055999999</v>
      </c>
      <c r="AT1845" s="25">
        <f>VLOOKUP(Inventory[[#This Row],[Cnd]],Lookups!$A$76:$E$84,2,FALSE)</f>
        <v>160472.20319</v>
      </c>
      <c r="AU1845" s="25">
        <f>Inventory[[#This Row],[EffAge]]*Lookups!$B$85</f>
        <v>-12044.462427</v>
      </c>
      <c r="AV1845" s="25">
        <f>Inventory[[#This Row],[MainFn]]*Lookups!$B$86</f>
        <v>34684.886253654004</v>
      </c>
      <c r="AW1845" s="25">
        <f>Inventory[[#This Row],[UpprFn]]*Lookups!$B$87</f>
        <v>0</v>
      </c>
      <c r="AX1845" s="25">
        <f>Inventory[[#This Row],[AddFn]]*Lookups!$B$88</f>
        <v>0</v>
      </c>
      <c r="AY1845" s="25">
        <f>Inventory[[#This Row],[Bsmt]]*Lookups!$B$89</f>
        <v>15878.714804861998</v>
      </c>
      <c r="AZ1845" s="25">
        <f>Inventory[[#This Row],[Fixtures]]*Lookups!$B$90</f>
        <v>18960.110526</v>
      </c>
      <c r="BA1845" s="25">
        <f>Inventory[[#This Row],[WdDeck]]*Lookups!$B$91</f>
        <v>0</v>
      </c>
      <c r="BB1845" s="25">
        <f>ROUND(Inventory[[#This Row],[25Det]],-2)</f>
        <v>4900</v>
      </c>
      <c r="BC1845" s="25">
        <f>ROUND(SUM(Inventory[[#This Row],[Mdl Qlty]:[Mdl WdDeck]])+Inventory[[#This Row],[Mdl Res Intercept]],-2)</f>
        <v>239500</v>
      </c>
      <c r="BD1845" s="25">
        <f>ROUND(Inventory[[#This Row],[Mdl Land Intercept]]+Inventory[[#This Row],[Mdl LnAcres]],-2)</f>
        <v>40400</v>
      </c>
      <c r="BE1845" s="25">
        <f>Inventory[[#This Row],[Unadj Res Value]]+Inventory[[#This Row],[Unadj Det Value]]+Inventory[[#This Row],[Unadj Land Value]]</f>
        <v>284800</v>
      </c>
      <c r="BF1845" s="36">
        <f>(Inventory[[#This Row],[Unadj Total Value]]-Inventory[[#This Row],[24Final]])/Inventory[[#This Row],[24Final]]</f>
        <v>-2.1023125437981782E-3</v>
      </c>
      <c r="BG1845" s="25">
        <f>VLOOKUP(Inventory[[#This Row],[Nbhd]],Lookups!$Q$2:$T$4,4,FALSE)</f>
        <v>0.99970000000000003</v>
      </c>
      <c r="BH1845" s="25">
        <f>VLOOKUP(Inventory[[#This Row],[Qlty]],Lookups!$O$7:$R$21,4,FALSE)</f>
        <v>1.0067999999999999</v>
      </c>
      <c r="BI1845" s="25">
        <f>VLOOKUP(Inventory[[#This Row],[Cnd]],Lookups!$T$7:$W$16,4,FALSE)</f>
        <v>0.99729999999999996</v>
      </c>
      <c r="BJ1845" s="25">
        <f>VLOOKUP(Inventory[[#This Row],[LivArea Range]],Lookups!$T$25:$W$37,4,FALSE)</f>
        <v>1.0148999999999999</v>
      </c>
      <c r="BK1845" s="25">
        <f>VLOOKUP(Inventory[[#This Row],[Decade]],Lookups!$O$25:$R$42,4,FALSE)</f>
        <v>1.0074000000000001</v>
      </c>
      <c r="BL1845" s="25">
        <f>Inventory[[#This Row],[Nbhd Adj]]*0.95</f>
        <v>0.94971499999999998</v>
      </c>
      <c r="BM1845" s="25">
        <f>Inventory[[#This Row],[Nbhd Adj]]*Inventory[[#This Row],[Quality Adj]]*Inventory[[#This Row],[Condition Adj]]*Inventory[[#This Row],[Living Area Adj]]*Inventory[[#This Row],[Decade Adj]]*0.95</f>
        <v>0.97496162582232004</v>
      </c>
      <c r="BN1845" s="25">
        <f>ROUND(SUM(Inventory[[#This Row],[Mdl Qlty]:[Mdl WdDeck]])+Inventory[[#This Row],[Mdl Res Intercept]]*Inventory[[#This Row],[Res Adj ]],-2)</f>
        <v>239500</v>
      </c>
      <c r="BO1845" s="25">
        <f>ROUND(Inventory[[#This Row],[25Det]]*Inventory[[#This Row],[Det/Nbhd Adj]],-2)</f>
        <v>4600</v>
      </c>
      <c r="BP1845" s="25">
        <f>Inventory[[#This Row],[Adjusted Res]]+Inventory[[#This Row],[Adj Det ]]</f>
        <v>244100</v>
      </c>
      <c r="BQ1845" s="25">
        <f>ROUND((Inventory[[#This Row],[Mdl Land Intercept]]+Inventory[[#This Row],[Mdl LnAcres]])*Inventory[[#This Row],[Det/Nbhd Adj]],-2)</f>
        <v>38400</v>
      </c>
      <c r="BR1845" s="25">
        <f>Inventory[[#This Row],[Adjusted Impr Total]]+Inventory[[#This Row],[Adjusted Land Total]]</f>
        <v>282500</v>
      </c>
      <c r="BS1845" s="36">
        <f>IFERROR((Inventory[[#This Row],[Adjusted Impr Total]]-Inventory[[#This Row],[24Bldg]])/Inventory[[#This Row],[24Bldg]],0)</f>
        <v>8.3444296493564135E-2</v>
      </c>
      <c r="BT1845" s="36">
        <f>(Inventory[[#This Row],[Adjusted Land Total]]-Inventory[[#This Row],[24Lnd]])/Inventory[[#This Row],[24Lnd]]</f>
        <v>-0.36106489184692181</v>
      </c>
      <c r="BU1845" s="36">
        <f>(Inventory[[#This Row],[Adjusted Total]]-Inventory[[#This Row],[24Final]])/Inventory[[#This Row],[24Final]]</f>
        <v>-1.0161177295024528E-2</v>
      </c>
    </row>
    <row r="1846" spans="1:73" x14ac:dyDescent="0.3">
      <c r="A1846" s="25">
        <v>2025</v>
      </c>
      <c r="B1846" s="26" t="s">
        <v>1227</v>
      </c>
      <c r="C1846" s="26">
        <f>LN(Inventory[[#This Row],[Acres]])</f>
        <v>-0.9942522733438669</v>
      </c>
      <c r="D1846" s="25">
        <v>0.37</v>
      </c>
      <c r="E1846" s="31"/>
      <c r="F1846" s="26" t="s">
        <v>537</v>
      </c>
      <c r="G1846" s="26" t="s">
        <v>126</v>
      </c>
      <c r="H1846" s="26" t="s">
        <v>349</v>
      </c>
      <c r="I1846" s="26" t="s">
        <v>538</v>
      </c>
      <c r="J1846" s="26" t="s">
        <v>539</v>
      </c>
      <c r="K1846" s="26" t="s">
        <v>417</v>
      </c>
      <c r="L1846" s="26" t="s">
        <v>64</v>
      </c>
      <c r="M1846" s="26" t="s">
        <v>303</v>
      </c>
      <c r="N1846" s="26">
        <v>100</v>
      </c>
      <c r="O1846" s="26">
        <f>2024-Inventory[[#This Row],[YrBlt]]</f>
        <v>94</v>
      </c>
      <c r="P1846" s="26">
        <f>2024-Inventory[[#This Row],[EffYr]]</f>
        <v>54</v>
      </c>
      <c r="Q1846" s="25">
        <v>1930</v>
      </c>
      <c r="R1846" s="25">
        <v>1970</v>
      </c>
      <c r="S1846" s="25">
        <v>1722</v>
      </c>
      <c r="T1846" s="25">
        <v>1155</v>
      </c>
      <c r="U1846" s="25">
        <v>1641</v>
      </c>
      <c r="V1846" s="25">
        <f>Inventory[[#This Row],[Bsmt]]-Inventory[[#This Row],[FnBsmt]]</f>
        <v>0</v>
      </c>
      <c r="W1846" s="25">
        <v>1641</v>
      </c>
      <c r="X1846" s="27"/>
      <c r="Y1846" s="27">
        <f>Inventory[[#This Row],[MainFn]]+Inventory[[#This Row],[UpprFn]]+Inventory[[#This Row],[FnBsmt]]+Inventory[[#This Row],[AddFn]]</f>
        <v>4518</v>
      </c>
      <c r="Z1846" s="27">
        <v>4500</v>
      </c>
      <c r="AA1846" s="25">
        <v>12</v>
      </c>
      <c r="AB1846" s="32">
        <v>360</v>
      </c>
      <c r="AC1846" s="27"/>
      <c r="AD1846" s="31"/>
      <c r="AE1846" s="27"/>
      <c r="AF1846" s="27"/>
      <c r="AG1846" s="27"/>
      <c r="AH1846" s="27"/>
      <c r="AI1846" s="25">
        <v>887846</v>
      </c>
      <c r="AJ1846" s="25">
        <v>612614</v>
      </c>
      <c r="AK1846" s="25">
        <v>24612</v>
      </c>
      <c r="AL1846" s="25">
        <v>667100</v>
      </c>
      <c r="AM1846" s="25">
        <v>79900</v>
      </c>
      <c r="AN1846" s="25">
        <v>587200</v>
      </c>
      <c r="AO1846" s="25">
        <v>0</v>
      </c>
      <c r="AP1846" s="25">
        <f>Lookups!$B$56*0</f>
        <v>0</v>
      </c>
      <c r="AQ1846" s="25">
        <f>Lookups!$B$56*1</f>
        <v>89850.625589999996</v>
      </c>
      <c r="AR1846" s="25">
        <f>Lookups!$B$57*Inventory[[#This Row],[LnAcres]]</f>
        <v>-31472.673662315807</v>
      </c>
      <c r="AS1846" s="25">
        <f>VLOOKUP(Inventory[[#This Row],[Qlty]],Lookups!$A$62:$E$75,2,FALSE)</f>
        <v>163885.03753</v>
      </c>
      <c r="AT1846" s="25">
        <f>VLOOKUP(Inventory[[#This Row],[Cnd]],Lookups!$A$76:$E$84,2,FALSE)</f>
        <v>197752.34721000001</v>
      </c>
      <c r="AU1846" s="25">
        <f>Inventory[[#This Row],[EffAge]]*Lookups!$B$85</f>
        <v>-12044.462427</v>
      </c>
      <c r="AV1846" s="25">
        <f>Inventory[[#This Row],[MainFn]]*Lookups!$B$86</f>
        <v>85081.729528194002</v>
      </c>
      <c r="AW1846" s="25">
        <f>Inventory[[#This Row],[UpprFn]]*Lookups!$B$87</f>
        <v>51728.318404455</v>
      </c>
      <c r="AX1846" s="25">
        <f>Inventory[[#This Row],[AddFn]]*Lookups!$B$88</f>
        <v>0</v>
      </c>
      <c r="AY1846" s="25">
        <f>Inventory[[#This Row],[Bsmt]]*Lookups!$B$89</f>
        <v>47723.390100327</v>
      </c>
      <c r="AZ1846" s="25">
        <f>Inventory[[#This Row],[Fixtures]]*Lookups!$B$90</f>
        <v>45504.265262400004</v>
      </c>
      <c r="BA1846" s="25">
        <f>Inventory[[#This Row],[WdDeck]]*Lookups!$B$91</f>
        <v>0</v>
      </c>
      <c r="BB1846" s="25">
        <f>ROUND(Inventory[[#This Row],[25Det]],-2)</f>
        <v>24600</v>
      </c>
      <c r="BC1846" s="25">
        <f>ROUND(SUM(Inventory[[#This Row],[Mdl Qlty]:[Mdl WdDeck]])+Inventory[[#This Row],[Mdl Res Intercept]],-2)</f>
        <v>579600</v>
      </c>
      <c r="BD1846" s="25">
        <f>ROUND(Inventory[[#This Row],[Mdl Land Intercept]]+Inventory[[#This Row],[Mdl LnAcres]],-2)</f>
        <v>58400</v>
      </c>
      <c r="BE1846" s="25">
        <f>Inventory[[#This Row],[Unadj Res Value]]+Inventory[[#This Row],[Unadj Det Value]]+Inventory[[#This Row],[Unadj Land Value]]</f>
        <v>662600</v>
      </c>
      <c r="BF1846" s="36">
        <f>(Inventory[[#This Row],[Unadj Total Value]]-Inventory[[#This Row],[24Final]])/Inventory[[#This Row],[24Final]]</f>
        <v>-6.7456153500224858E-3</v>
      </c>
      <c r="BG1846" s="25">
        <f>VLOOKUP(Inventory[[#This Row],[Nbhd]],Lookups!$Q$2:$T$4,4,FALSE)</f>
        <v>0.99970000000000003</v>
      </c>
      <c r="BH1846" s="25">
        <f>VLOOKUP(Inventory[[#This Row],[Qlty]],Lookups!$O$7:$R$21,4,FALSE)</f>
        <v>1</v>
      </c>
      <c r="BI1846" s="25">
        <f>VLOOKUP(Inventory[[#This Row],[Cnd]],Lookups!$T$7:$W$16,4,FALSE)</f>
        <v>0.99650000000000005</v>
      </c>
      <c r="BJ1846" s="25">
        <f>VLOOKUP(Inventory[[#This Row],[LivArea Range]],Lookups!$T$25:$W$37,4,FALSE)</f>
        <v>1</v>
      </c>
      <c r="BK1846" s="25">
        <f>VLOOKUP(Inventory[[#This Row],[Decade]],Lookups!$O$25:$R$42,4,FALSE)</f>
        <v>1.0074000000000001</v>
      </c>
      <c r="BL1846" s="25">
        <f>Inventory[[#This Row],[Nbhd Adj]]*0.95</f>
        <v>0.94971499999999998</v>
      </c>
      <c r="BM1846" s="25">
        <f>Inventory[[#This Row],[Nbhd Adj]]*Inventory[[#This Row],[Quality Adj]]*Inventory[[#This Row],[Condition Adj]]*Inventory[[#This Row],[Living Area Adj]]*Inventory[[#This Row],[Decade Adj]]*0.95</f>
        <v>0.95339429088149996</v>
      </c>
      <c r="BN1846" s="25">
        <f>ROUND(SUM(Inventory[[#This Row],[Mdl Qlty]:[Mdl WdDeck]])+Inventory[[#This Row],[Mdl Res Intercept]]*Inventory[[#This Row],[Res Adj ]],-2)</f>
        <v>579600</v>
      </c>
      <c r="BO1846" s="25">
        <f>ROUND(Inventory[[#This Row],[25Det]]*Inventory[[#This Row],[Det/Nbhd Adj]],-2)</f>
        <v>23400</v>
      </c>
      <c r="BP1846" s="25">
        <f>Inventory[[#This Row],[Adjusted Res]]+Inventory[[#This Row],[Adj Det ]]</f>
        <v>603000</v>
      </c>
      <c r="BQ1846" s="25">
        <f>ROUND((Inventory[[#This Row],[Mdl Land Intercept]]+Inventory[[#This Row],[Mdl LnAcres]])*Inventory[[#This Row],[Det/Nbhd Adj]],-2)</f>
        <v>55400</v>
      </c>
      <c r="BR1846" s="25">
        <f>Inventory[[#This Row],[Adjusted Impr Total]]+Inventory[[#This Row],[Adjusted Land Total]]</f>
        <v>658400</v>
      </c>
      <c r="BS1846" s="36">
        <f>IFERROR((Inventory[[#This Row],[Adjusted Impr Total]]-Inventory[[#This Row],[24Bldg]])/Inventory[[#This Row],[24Bldg]],0)</f>
        <v>2.6907356948228881E-2</v>
      </c>
      <c r="BT1846" s="36">
        <f>(Inventory[[#This Row],[Adjusted Land Total]]-Inventory[[#This Row],[24Lnd]])/Inventory[[#This Row],[24Lnd]]</f>
        <v>-0.30663329161451813</v>
      </c>
      <c r="BU1846" s="36">
        <f>(Inventory[[#This Row],[Adjusted Total]]-Inventory[[#This Row],[24Final]])/Inventory[[#This Row],[24Final]]</f>
        <v>-1.3041523010043472E-2</v>
      </c>
    </row>
    <row r="1847" spans="1:73" x14ac:dyDescent="0.3">
      <c r="A1847" s="25">
        <v>2025</v>
      </c>
      <c r="B1847" s="26" t="s">
        <v>2195</v>
      </c>
      <c r="C1847" s="26">
        <f>LN(Inventory[[#This Row],[Acres]])</f>
        <v>-1.2378743560016174</v>
      </c>
      <c r="D1847" s="25">
        <v>0.28999999999999998</v>
      </c>
      <c r="E1847" s="25">
        <v>12522</v>
      </c>
      <c r="F1847" s="26" t="s">
        <v>537</v>
      </c>
      <c r="G1847" s="26" t="s">
        <v>126</v>
      </c>
      <c r="H1847" s="26" t="s">
        <v>349</v>
      </c>
      <c r="I1847" s="26" t="s">
        <v>538</v>
      </c>
      <c r="J1847" s="26" t="s">
        <v>539</v>
      </c>
      <c r="K1847" s="26" t="s">
        <v>147</v>
      </c>
      <c r="L1847" s="26" t="s">
        <v>95</v>
      </c>
      <c r="M1847" s="26" t="s">
        <v>303</v>
      </c>
      <c r="N1847" s="26">
        <v>100</v>
      </c>
      <c r="O1847" s="26">
        <f>2024-Inventory[[#This Row],[YrBlt]]</f>
        <v>94</v>
      </c>
      <c r="P1847" s="26">
        <f>2024-Inventory[[#This Row],[EffYr]]</f>
        <v>54</v>
      </c>
      <c r="Q1847" s="25">
        <v>1930</v>
      </c>
      <c r="R1847" s="25">
        <v>1970</v>
      </c>
      <c r="S1847" s="25">
        <v>1277</v>
      </c>
      <c r="T1847" s="32">
        <v>857</v>
      </c>
      <c r="U1847" s="25">
        <v>985</v>
      </c>
      <c r="V1847" s="25">
        <f>Inventory[[#This Row],[Bsmt]]-Inventory[[#This Row],[FnBsmt]]</f>
        <v>55</v>
      </c>
      <c r="W1847" s="25">
        <v>930</v>
      </c>
      <c r="X1847" s="27"/>
      <c r="Y1847" s="27">
        <f>Inventory[[#This Row],[MainFn]]+Inventory[[#This Row],[UpprFn]]+Inventory[[#This Row],[FnBsmt]]+Inventory[[#This Row],[AddFn]]</f>
        <v>3064</v>
      </c>
      <c r="Z1847" s="27">
        <v>3500</v>
      </c>
      <c r="AA1847" s="25">
        <v>10</v>
      </c>
      <c r="AB1847" s="32">
        <v>374</v>
      </c>
      <c r="AC1847" s="27"/>
      <c r="AD1847" s="27"/>
      <c r="AE1847" s="27"/>
      <c r="AF1847" s="27"/>
      <c r="AG1847" s="27"/>
      <c r="AH1847" s="27"/>
      <c r="AI1847" s="25">
        <v>668473</v>
      </c>
      <c r="AJ1847" s="25">
        <v>461246</v>
      </c>
      <c r="AK1847" s="25">
        <v>29522</v>
      </c>
      <c r="AL1847" s="25">
        <v>515500</v>
      </c>
      <c r="AM1847" s="25">
        <v>71400</v>
      </c>
      <c r="AN1847" s="25">
        <v>444100</v>
      </c>
      <c r="AO1847" s="25">
        <v>0</v>
      </c>
      <c r="AP1847" s="25">
        <f>Lookups!$B$56*0</f>
        <v>0</v>
      </c>
      <c r="AQ1847" s="25">
        <f>Lookups!$B$56*1</f>
        <v>89850.625589999996</v>
      </c>
      <c r="AR1847" s="25">
        <f>Lookups!$B$57*Inventory[[#This Row],[LnAcres]]</f>
        <v>-39184.437074869042</v>
      </c>
      <c r="AS1847" s="25">
        <f>VLOOKUP(Inventory[[#This Row],[Qlty]],Lookups!$A$62:$E$75,2,FALSE)</f>
        <v>74268.409664999999</v>
      </c>
      <c r="AT1847" s="25">
        <f>VLOOKUP(Inventory[[#This Row],[Cnd]],Lookups!$A$76:$E$84,2,FALSE)</f>
        <v>197752.34721000001</v>
      </c>
      <c r="AU1847" s="25">
        <f>Inventory[[#This Row],[EffAge]]*Lookups!$B$85</f>
        <v>-12044.462427</v>
      </c>
      <c r="AV1847" s="25">
        <f>Inventory[[#This Row],[MainFn]]*Lookups!$B$86</f>
        <v>63094.871432929001</v>
      </c>
      <c r="AW1847" s="25">
        <f>Inventory[[#This Row],[UpprFn]]*Lookups!$B$87</f>
        <v>38381.964391877002</v>
      </c>
      <c r="AX1847" s="25">
        <f>Inventory[[#This Row],[AddFn]]*Lookups!$B$88</f>
        <v>0</v>
      </c>
      <c r="AY1847" s="25">
        <f>Inventory[[#This Row],[Bsmt]]*Lookups!$B$89</f>
        <v>28645.666818294998</v>
      </c>
      <c r="AZ1847" s="25">
        <f>Inventory[[#This Row],[Fixtures]]*Lookups!$B$90</f>
        <v>37920.221052000001</v>
      </c>
      <c r="BA1847" s="25">
        <f>Inventory[[#This Row],[WdDeck]]*Lookups!$B$91</f>
        <v>0</v>
      </c>
      <c r="BB1847" s="25">
        <f>ROUND(Inventory[[#This Row],[25Det]],-2)</f>
        <v>29500</v>
      </c>
      <c r="BC1847" s="25">
        <f>ROUND(SUM(Inventory[[#This Row],[Mdl Qlty]:[Mdl WdDeck]])+Inventory[[#This Row],[Mdl Res Intercept]],-2)</f>
        <v>428000</v>
      </c>
      <c r="BD1847" s="25">
        <f>ROUND(Inventory[[#This Row],[Mdl Land Intercept]]+Inventory[[#This Row],[Mdl LnAcres]],-2)</f>
        <v>50700</v>
      </c>
      <c r="BE1847" s="25">
        <f>Inventory[[#This Row],[Unadj Res Value]]+Inventory[[#This Row],[Unadj Det Value]]+Inventory[[#This Row],[Unadj Land Value]]</f>
        <v>508200</v>
      </c>
      <c r="BF1847" s="36">
        <f>(Inventory[[#This Row],[Unadj Total Value]]-Inventory[[#This Row],[24Final]])/Inventory[[#This Row],[24Final]]</f>
        <v>-1.4161008729388943E-2</v>
      </c>
      <c r="BG1847" s="25">
        <f>VLOOKUP(Inventory[[#This Row],[Nbhd]],Lookups!$Q$2:$T$4,4,FALSE)</f>
        <v>0.99970000000000003</v>
      </c>
      <c r="BH1847" s="25">
        <f>VLOOKUP(Inventory[[#This Row],[Qlty]],Lookups!$O$7:$R$21,4,FALSE)</f>
        <v>0.98380000000000001</v>
      </c>
      <c r="BI1847" s="25">
        <f>VLOOKUP(Inventory[[#This Row],[Cnd]],Lookups!$T$7:$W$16,4,FALSE)</f>
        <v>0.99650000000000005</v>
      </c>
      <c r="BJ1847" s="25">
        <f>VLOOKUP(Inventory[[#This Row],[LivArea Range]],Lookups!$T$25:$W$37,4,FALSE)</f>
        <v>1.0126999999999999</v>
      </c>
      <c r="BK1847" s="25">
        <f>VLOOKUP(Inventory[[#This Row],[Decade]],Lookups!$O$25:$R$42,4,FALSE)</f>
        <v>1.0074000000000001</v>
      </c>
      <c r="BL1847" s="25">
        <f>Inventory[[#This Row],[Nbhd Adj]]*0.95</f>
        <v>0.94971499999999998</v>
      </c>
      <c r="BM1847" s="25">
        <f>Inventory[[#This Row],[Nbhd Adj]]*Inventory[[#This Row],[Quality Adj]]*Inventory[[#This Row],[Condition Adj]]*Inventory[[#This Row],[Living Area Adj]]*Inventory[[#This Row],[Decade Adj]]*0.95</f>
        <v>0.94986125952200873</v>
      </c>
      <c r="BN1847" s="25">
        <f>ROUND(SUM(Inventory[[#This Row],[Mdl Qlty]:[Mdl WdDeck]])+Inventory[[#This Row],[Mdl Res Intercept]]*Inventory[[#This Row],[Res Adj ]],-2)</f>
        <v>428000</v>
      </c>
      <c r="BO1847" s="25">
        <f>ROUND(Inventory[[#This Row],[25Det]]*Inventory[[#This Row],[Det/Nbhd Adj]],-2)</f>
        <v>28000</v>
      </c>
      <c r="BP1847" s="25">
        <f>Inventory[[#This Row],[Adjusted Res]]+Inventory[[#This Row],[Adj Det ]]</f>
        <v>456000</v>
      </c>
      <c r="BQ1847" s="25">
        <f>ROUND((Inventory[[#This Row],[Mdl Land Intercept]]+Inventory[[#This Row],[Mdl LnAcres]])*Inventory[[#This Row],[Det/Nbhd Adj]],-2)</f>
        <v>48100</v>
      </c>
      <c r="BR1847" s="25">
        <f>Inventory[[#This Row],[Adjusted Impr Total]]+Inventory[[#This Row],[Adjusted Land Total]]</f>
        <v>504100</v>
      </c>
      <c r="BS1847" s="36">
        <f>IFERROR((Inventory[[#This Row],[Adjusted Impr Total]]-Inventory[[#This Row],[24Bldg]])/Inventory[[#This Row],[24Bldg]],0)</f>
        <v>2.6795766719207387E-2</v>
      </c>
      <c r="BT1847" s="36">
        <f>(Inventory[[#This Row],[Adjusted Land Total]]-Inventory[[#This Row],[24Lnd]])/Inventory[[#This Row],[24Lnd]]</f>
        <v>-0.32633053221288516</v>
      </c>
      <c r="BU1847" s="36">
        <f>(Inventory[[#This Row],[Adjusted Total]]-Inventory[[#This Row],[24Final]])/Inventory[[#This Row],[24Final]]</f>
        <v>-2.2114451988360814E-2</v>
      </c>
    </row>
    <row r="1848" spans="1:73" x14ac:dyDescent="0.3">
      <c r="A1848" s="25">
        <v>2025</v>
      </c>
      <c r="B1848" s="26" t="s">
        <v>2194</v>
      </c>
      <c r="C1848" s="26">
        <f>LN(Inventory[[#This Row],[Acres]])</f>
        <v>-1.2729656758128873</v>
      </c>
      <c r="D1848" s="25">
        <v>0.28000000000000003</v>
      </c>
      <c r="E1848" s="25">
        <v>12046</v>
      </c>
      <c r="F1848" s="26" t="s">
        <v>537</v>
      </c>
      <c r="G1848" s="26" t="s">
        <v>126</v>
      </c>
      <c r="H1848" s="26" t="s">
        <v>349</v>
      </c>
      <c r="I1848" s="26" t="s">
        <v>538</v>
      </c>
      <c r="J1848" s="26" t="s">
        <v>539</v>
      </c>
      <c r="K1848" s="26" t="s">
        <v>269</v>
      </c>
      <c r="L1848" s="26" t="s">
        <v>64</v>
      </c>
      <c r="M1848" s="26" t="s">
        <v>303</v>
      </c>
      <c r="N1848" s="26">
        <v>100</v>
      </c>
      <c r="O1848" s="26">
        <f>2024-Inventory[[#This Row],[YrBlt]]</f>
        <v>94</v>
      </c>
      <c r="P1848" s="26">
        <f>2024-Inventory[[#This Row],[EffYr]]</f>
        <v>54</v>
      </c>
      <c r="Q1848" s="25">
        <v>1930</v>
      </c>
      <c r="R1848" s="25">
        <v>1970</v>
      </c>
      <c r="S1848" s="25">
        <v>1737</v>
      </c>
      <c r="T1848" s="27"/>
      <c r="U1848" s="25">
        <v>1319</v>
      </c>
      <c r="V1848" s="25">
        <f>Inventory[[#This Row],[Bsmt]]-Inventory[[#This Row],[FnBsmt]]</f>
        <v>0</v>
      </c>
      <c r="W1848" s="25">
        <v>1319</v>
      </c>
      <c r="X1848" s="27"/>
      <c r="Y1848" s="27">
        <f>Inventory[[#This Row],[MainFn]]+Inventory[[#This Row],[UpprFn]]+Inventory[[#This Row],[FnBsmt]]+Inventory[[#This Row],[AddFn]]</f>
        <v>3056</v>
      </c>
      <c r="Z1848" s="27">
        <v>3500</v>
      </c>
      <c r="AA1848" s="25">
        <v>16</v>
      </c>
      <c r="AB1848" s="31"/>
      <c r="AC1848" s="27"/>
      <c r="AD1848" s="27"/>
      <c r="AE1848" s="27"/>
      <c r="AF1848" s="27"/>
      <c r="AG1848" s="27"/>
      <c r="AH1848" s="27"/>
      <c r="AI1848" s="25">
        <v>670323</v>
      </c>
      <c r="AJ1848" s="25">
        <v>462523</v>
      </c>
      <c r="AK1848" s="25">
        <v>14709</v>
      </c>
      <c r="AL1848" s="25">
        <v>614100</v>
      </c>
      <c r="AM1848" s="25">
        <v>70100</v>
      </c>
      <c r="AN1848" s="25">
        <v>544000</v>
      </c>
      <c r="AO1848" s="25">
        <v>0</v>
      </c>
      <c r="AP1848" s="25">
        <f>Lookups!$B$56*0</f>
        <v>0</v>
      </c>
      <c r="AQ1848" s="25">
        <f>Lookups!$B$56*1</f>
        <v>89850.625589999996</v>
      </c>
      <c r="AR1848" s="25">
        <f>Lookups!$B$57*Inventory[[#This Row],[LnAcres]]</f>
        <v>-40295.239319339329</v>
      </c>
      <c r="AS1848" s="25">
        <f>VLOOKUP(Inventory[[#This Row],[Qlty]],Lookups!$A$62:$E$75,2,FALSE)</f>
        <v>163885.03753</v>
      </c>
      <c r="AT1848" s="25">
        <f>VLOOKUP(Inventory[[#This Row],[Cnd]],Lookups!$A$76:$E$84,2,FALSE)</f>
        <v>197752.34721000001</v>
      </c>
      <c r="AU1848" s="25">
        <f>Inventory[[#This Row],[EffAge]]*Lookups!$B$85</f>
        <v>-12044.462427</v>
      </c>
      <c r="AV1848" s="25">
        <f>Inventory[[#This Row],[MainFn]]*Lookups!$B$86</f>
        <v>85822.859576349001</v>
      </c>
      <c r="AW1848" s="25">
        <f>Inventory[[#This Row],[UpprFn]]*Lookups!$B$87</f>
        <v>0</v>
      </c>
      <c r="AX1848" s="25">
        <f>Inventory[[#This Row],[AddFn]]*Lookups!$B$88</f>
        <v>0</v>
      </c>
      <c r="AY1848" s="25">
        <f>Inventory[[#This Row],[Bsmt]]*Lookups!$B$89</f>
        <v>38359.019830792997</v>
      </c>
      <c r="AZ1848" s="25">
        <f>Inventory[[#This Row],[Fixtures]]*Lookups!$B$90</f>
        <v>60672.353683200003</v>
      </c>
      <c r="BA1848" s="25">
        <f>Inventory[[#This Row],[WdDeck]]*Lookups!$B$91</f>
        <v>0</v>
      </c>
      <c r="BB1848" s="25">
        <f>ROUND(Inventory[[#This Row],[25Det]],-2)</f>
        <v>14700</v>
      </c>
      <c r="BC1848" s="25">
        <f>ROUND(SUM(Inventory[[#This Row],[Mdl Qlty]:[Mdl WdDeck]])+Inventory[[#This Row],[Mdl Res Intercept]],-2)</f>
        <v>534400</v>
      </c>
      <c r="BD1848" s="25">
        <f>ROUND(Inventory[[#This Row],[Mdl Land Intercept]]+Inventory[[#This Row],[Mdl LnAcres]],-2)</f>
        <v>49600</v>
      </c>
      <c r="BE1848" s="25">
        <f>Inventory[[#This Row],[Unadj Res Value]]+Inventory[[#This Row],[Unadj Det Value]]+Inventory[[#This Row],[Unadj Land Value]]</f>
        <v>598700</v>
      </c>
      <c r="BF1848" s="36">
        <f>(Inventory[[#This Row],[Unadj Total Value]]-Inventory[[#This Row],[24Final]])/Inventory[[#This Row],[24Final]]</f>
        <v>-2.5077348965966455E-2</v>
      </c>
      <c r="BG1848" s="25">
        <f>VLOOKUP(Inventory[[#This Row],[Nbhd]],Lookups!$Q$2:$T$4,4,FALSE)</f>
        <v>0.99970000000000003</v>
      </c>
      <c r="BH1848" s="25">
        <f>VLOOKUP(Inventory[[#This Row],[Qlty]],Lookups!$O$7:$R$21,4,FALSE)</f>
        <v>1</v>
      </c>
      <c r="BI1848" s="25">
        <f>VLOOKUP(Inventory[[#This Row],[Cnd]],Lookups!$T$7:$W$16,4,FALSE)</f>
        <v>0.99650000000000005</v>
      </c>
      <c r="BJ1848" s="25">
        <f>VLOOKUP(Inventory[[#This Row],[LivArea Range]],Lookups!$T$25:$W$37,4,FALSE)</f>
        <v>1.0126999999999999</v>
      </c>
      <c r="BK1848" s="25">
        <f>VLOOKUP(Inventory[[#This Row],[Decade]],Lookups!$O$25:$R$42,4,FALSE)</f>
        <v>1.0074000000000001</v>
      </c>
      <c r="BL1848" s="25">
        <f>Inventory[[#This Row],[Nbhd Adj]]*0.95</f>
        <v>0.94971499999999998</v>
      </c>
      <c r="BM1848" s="25">
        <f>Inventory[[#This Row],[Nbhd Adj]]*Inventory[[#This Row],[Quality Adj]]*Inventory[[#This Row],[Condition Adj]]*Inventory[[#This Row],[Living Area Adj]]*Inventory[[#This Row],[Decade Adj]]*0.95</f>
        <v>0.96550239837569496</v>
      </c>
      <c r="BN1848" s="25">
        <f>ROUND(SUM(Inventory[[#This Row],[Mdl Qlty]:[Mdl WdDeck]])+Inventory[[#This Row],[Mdl Res Intercept]]*Inventory[[#This Row],[Res Adj ]],-2)</f>
        <v>534400</v>
      </c>
      <c r="BO1848" s="25">
        <f>ROUND(Inventory[[#This Row],[25Det]]*Inventory[[#This Row],[Det/Nbhd Adj]],-2)</f>
        <v>14000</v>
      </c>
      <c r="BP1848" s="25">
        <f>Inventory[[#This Row],[Adjusted Res]]+Inventory[[#This Row],[Adj Det ]]</f>
        <v>548400</v>
      </c>
      <c r="BQ1848" s="25">
        <f>ROUND((Inventory[[#This Row],[Mdl Land Intercept]]+Inventory[[#This Row],[Mdl LnAcres]])*Inventory[[#This Row],[Det/Nbhd Adj]],-2)</f>
        <v>47100</v>
      </c>
      <c r="BR1848" s="25">
        <f>Inventory[[#This Row],[Adjusted Impr Total]]+Inventory[[#This Row],[Adjusted Land Total]]</f>
        <v>595500</v>
      </c>
      <c r="BS1848" s="36">
        <f>IFERROR((Inventory[[#This Row],[Adjusted Impr Total]]-Inventory[[#This Row],[24Bldg]])/Inventory[[#This Row],[24Bldg]],0)</f>
        <v>8.0882352941176478E-3</v>
      </c>
      <c r="BT1848" s="36">
        <f>(Inventory[[#This Row],[Adjusted Land Total]]-Inventory[[#This Row],[24Lnd]])/Inventory[[#This Row],[24Lnd]]</f>
        <v>-0.32810271041369471</v>
      </c>
      <c r="BU1848" s="36">
        <f>(Inventory[[#This Row],[Adjusted Total]]-Inventory[[#This Row],[24Final]])/Inventory[[#This Row],[24Final]]</f>
        <v>-3.0288226673180263E-2</v>
      </c>
    </row>
    <row r="1849" spans="1:73" x14ac:dyDescent="0.3">
      <c r="A1849" s="25">
        <v>2025</v>
      </c>
      <c r="B1849" s="26" t="s">
        <v>1553</v>
      </c>
      <c r="C1849" s="26">
        <f>LN(Inventory[[#This Row],[Acres]])</f>
        <v>-1.6094379124341003</v>
      </c>
      <c r="D1849" s="25">
        <v>0.2</v>
      </c>
      <c r="E1849" s="25">
        <v>8680</v>
      </c>
      <c r="F1849" s="26" t="s">
        <v>537</v>
      </c>
      <c r="G1849" s="26" t="s">
        <v>126</v>
      </c>
      <c r="H1849" s="26" t="s">
        <v>349</v>
      </c>
      <c r="I1849" s="26" t="s">
        <v>538</v>
      </c>
      <c r="J1849" s="26" t="s">
        <v>539</v>
      </c>
      <c r="K1849" s="26" t="s">
        <v>300</v>
      </c>
      <c r="L1849" s="26" t="s">
        <v>95</v>
      </c>
      <c r="M1849" s="26" t="s">
        <v>323</v>
      </c>
      <c r="N1849" s="26">
        <v>100</v>
      </c>
      <c r="O1849" s="26">
        <f>2024-Inventory[[#This Row],[YrBlt]]</f>
        <v>94</v>
      </c>
      <c r="P1849" s="26">
        <f>2024-Inventory[[#This Row],[EffYr]]</f>
        <v>54</v>
      </c>
      <c r="Q1849" s="25">
        <v>1930</v>
      </c>
      <c r="R1849" s="25">
        <v>1970</v>
      </c>
      <c r="S1849" s="25">
        <v>2175</v>
      </c>
      <c r="T1849" s="32">
        <v>900</v>
      </c>
      <c r="U1849" s="25">
        <v>936</v>
      </c>
      <c r="V1849" s="25">
        <f>Inventory[[#This Row],[Bsmt]]-Inventory[[#This Row],[FnBsmt]]</f>
        <v>612</v>
      </c>
      <c r="W1849" s="25">
        <v>324</v>
      </c>
      <c r="X1849" s="27"/>
      <c r="Y1849" s="27">
        <f>Inventory[[#This Row],[MainFn]]+Inventory[[#This Row],[UpprFn]]+Inventory[[#This Row],[FnBsmt]]+Inventory[[#This Row],[AddFn]]</f>
        <v>3399</v>
      </c>
      <c r="Z1849" s="27">
        <v>3500</v>
      </c>
      <c r="AA1849" s="25">
        <v>15</v>
      </c>
      <c r="AB1849" s="27"/>
      <c r="AC1849" s="27"/>
      <c r="AD1849" s="27"/>
      <c r="AE1849" s="27"/>
      <c r="AF1849" s="27"/>
      <c r="AG1849" s="27"/>
      <c r="AH1849" s="27"/>
      <c r="AI1849" s="25">
        <v>785329</v>
      </c>
      <c r="AJ1849" s="25">
        <v>526170</v>
      </c>
      <c r="AK1849" s="25">
        <v>5874</v>
      </c>
      <c r="AL1849" s="25">
        <v>515600</v>
      </c>
      <c r="AM1849" s="25">
        <v>58400</v>
      </c>
      <c r="AN1849" s="25">
        <v>457200</v>
      </c>
      <c r="AO1849" s="25">
        <v>0</v>
      </c>
      <c r="AP1849" s="25">
        <f>Lookups!$B$56*0</f>
        <v>0</v>
      </c>
      <c r="AQ1849" s="25">
        <f>Lookups!$B$56*1</f>
        <v>89850.625589999996</v>
      </c>
      <c r="AR1849" s="25">
        <f>Lookups!$B$57*Inventory[[#This Row],[LnAcres]]</f>
        <v>-50946.13867709865</v>
      </c>
      <c r="AS1849" s="25">
        <f>VLOOKUP(Inventory[[#This Row],[Qlty]],Lookups!$A$62:$E$75,2,FALSE)</f>
        <v>74268.409664999999</v>
      </c>
      <c r="AT1849" s="25">
        <f>VLOOKUP(Inventory[[#This Row],[Cnd]],Lookups!$A$76:$E$84,2,FALSE)</f>
        <v>160472.20319</v>
      </c>
      <c r="AU1849" s="25">
        <f>Inventory[[#This Row],[EffAge]]*Lookups!$B$85</f>
        <v>-12044.462427</v>
      </c>
      <c r="AV1849" s="25">
        <f>Inventory[[#This Row],[MainFn]]*Lookups!$B$86</f>
        <v>107463.856982475</v>
      </c>
      <c r="AW1849" s="25">
        <f>Inventory[[#This Row],[UpprFn]]*Lookups!$B$87</f>
        <v>40307.780574899996</v>
      </c>
      <c r="AX1849" s="25">
        <f>Inventory[[#This Row],[AddFn]]*Lookups!$B$88</f>
        <v>0</v>
      </c>
      <c r="AY1849" s="25">
        <f>Inventory[[#This Row],[Bsmt]]*Lookups!$B$89</f>
        <v>27220.653951191998</v>
      </c>
      <c r="AZ1849" s="25">
        <f>Inventory[[#This Row],[Fixtures]]*Lookups!$B$90</f>
        <v>56880.331578000005</v>
      </c>
      <c r="BA1849" s="25">
        <f>Inventory[[#This Row],[WdDeck]]*Lookups!$B$91</f>
        <v>0</v>
      </c>
      <c r="BB1849" s="25">
        <f>ROUND(Inventory[[#This Row],[25Det]],-2)</f>
        <v>5900</v>
      </c>
      <c r="BC1849" s="25">
        <f>ROUND(SUM(Inventory[[#This Row],[Mdl Qlty]:[Mdl WdDeck]])+Inventory[[#This Row],[Mdl Res Intercept]],-2)</f>
        <v>454600</v>
      </c>
      <c r="BD1849" s="25">
        <f>ROUND(Inventory[[#This Row],[Mdl Land Intercept]]+Inventory[[#This Row],[Mdl LnAcres]],-2)</f>
        <v>38900</v>
      </c>
      <c r="BE1849" s="25">
        <f>Inventory[[#This Row],[Unadj Res Value]]+Inventory[[#This Row],[Unadj Det Value]]+Inventory[[#This Row],[Unadj Land Value]]</f>
        <v>499400</v>
      </c>
      <c r="BF1849" s="36">
        <f>(Inventory[[#This Row],[Unadj Total Value]]-Inventory[[#This Row],[24Final]])/Inventory[[#This Row],[24Final]]</f>
        <v>-3.1419705197827774E-2</v>
      </c>
      <c r="BG1849" s="25">
        <f>VLOOKUP(Inventory[[#This Row],[Nbhd]],Lookups!$Q$2:$T$4,4,FALSE)</f>
        <v>0.99970000000000003</v>
      </c>
      <c r="BH1849" s="25">
        <f>VLOOKUP(Inventory[[#This Row],[Qlty]],Lookups!$O$7:$R$21,4,FALSE)</f>
        <v>0.98380000000000001</v>
      </c>
      <c r="BI1849" s="25">
        <f>VLOOKUP(Inventory[[#This Row],[Cnd]],Lookups!$T$7:$W$16,4,FALSE)</f>
        <v>0.99729999999999996</v>
      </c>
      <c r="BJ1849" s="25">
        <f>VLOOKUP(Inventory[[#This Row],[LivArea Range]],Lookups!$T$25:$W$37,4,FALSE)</f>
        <v>1.0126999999999999</v>
      </c>
      <c r="BK1849" s="25">
        <f>VLOOKUP(Inventory[[#This Row],[Decade]],Lookups!$O$25:$R$42,4,FALSE)</f>
        <v>1.0074000000000001</v>
      </c>
      <c r="BL1849" s="25">
        <f>Inventory[[#This Row],[Nbhd Adj]]*0.95</f>
        <v>0.94971499999999998</v>
      </c>
      <c r="BM1849" s="25">
        <f>Inventory[[#This Row],[Nbhd Adj]]*Inventory[[#This Row],[Quality Adj]]*Inventory[[#This Row],[Condition Adj]]*Inventory[[#This Row],[Living Area Adj]]*Inventory[[#This Row],[Decade Adj]]*0.95</f>
        <v>0.95062381748248792</v>
      </c>
      <c r="BN1849" s="25">
        <f>ROUND(SUM(Inventory[[#This Row],[Mdl Qlty]:[Mdl WdDeck]])+Inventory[[#This Row],[Mdl Res Intercept]]*Inventory[[#This Row],[Res Adj ]],-2)</f>
        <v>454600</v>
      </c>
      <c r="BO1849" s="25">
        <f>ROUND(Inventory[[#This Row],[25Det]]*Inventory[[#This Row],[Det/Nbhd Adj]],-2)</f>
        <v>5600</v>
      </c>
      <c r="BP1849" s="25">
        <f>Inventory[[#This Row],[Adjusted Res]]+Inventory[[#This Row],[Adj Det ]]</f>
        <v>460200</v>
      </c>
      <c r="BQ1849" s="25">
        <f>ROUND((Inventory[[#This Row],[Mdl Land Intercept]]+Inventory[[#This Row],[Mdl LnAcres]])*Inventory[[#This Row],[Det/Nbhd Adj]],-2)</f>
        <v>36900</v>
      </c>
      <c r="BR1849" s="25">
        <f>Inventory[[#This Row],[Adjusted Impr Total]]+Inventory[[#This Row],[Adjusted Land Total]]</f>
        <v>497100</v>
      </c>
      <c r="BS1849" s="36">
        <f>IFERROR((Inventory[[#This Row],[Adjusted Impr Total]]-Inventory[[#This Row],[24Bldg]])/Inventory[[#This Row],[24Bldg]],0)</f>
        <v>6.5616797900262466E-3</v>
      </c>
      <c r="BT1849" s="36">
        <f>(Inventory[[#This Row],[Adjusted Land Total]]-Inventory[[#This Row],[24Lnd]])/Inventory[[#This Row],[24Lnd]]</f>
        <v>-0.36815068493150682</v>
      </c>
      <c r="BU1849" s="36">
        <f>(Inventory[[#This Row],[Adjusted Total]]-Inventory[[#This Row],[24Final]])/Inventory[[#This Row],[24Final]]</f>
        <v>-3.5880527540729248E-2</v>
      </c>
    </row>
    <row r="1850" spans="1:73" x14ac:dyDescent="0.3">
      <c r="A1850" s="25">
        <v>2025</v>
      </c>
      <c r="B1850" s="26" t="s">
        <v>1200</v>
      </c>
      <c r="C1850" s="26">
        <f>LN(Inventory[[#This Row],[Acres]])</f>
        <v>-1.4696759700589417</v>
      </c>
      <c r="D1850" s="25">
        <v>0.23</v>
      </c>
      <c r="E1850" s="25">
        <v>9811</v>
      </c>
      <c r="F1850" s="26" t="s">
        <v>537</v>
      </c>
      <c r="G1850" s="26" t="s">
        <v>126</v>
      </c>
      <c r="H1850" s="26" t="s">
        <v>349</v>
      </c>
      <c r="I1850" s="26" t="s">
        <v>538</v>
      </c>
      <c r="J1850" s="26" t="s">
        <v>539</v>
      </c>
      <c r="K1850" s="26" t="s">
        <v>242</v>
      </c>
      <c r="L1850" s="26" t="s">
        <v>205</v>
      </c>
      <c r="M1850" s="26" t="s">
        <v>206</v>
      </c>
      <c r="N1850" s="26">
        <v>100</v>
      </c>
      <c r="O1850" s="26">
        <f>2024-Inventory[[#This Row],[YrBlt]]</f>
        <v>94</v>
      </c>
      <c r="P1850" s="26">
        <f>2024-Inventory[[#This Row],[EffYr]]</f>
        <v>54</v>
      </c>
      <c r="Q1850" s="25">
        <v>1930</v>
      </c>
      <c r="R1850" s="25">
        <v>1970</v>
      </c>
      <c r="S1850" s="25">
        <v>1140</v>
      </c>
      <c r="T1850" s="27"/>
      <c r="U1850" s="32">
        <v>965</v>
      </c>
      <c r="V1850" s="32">
        <f>Inventory[[#This Row],[Bsmt]]-Inventory[[#This Row],[FnBsmt]]</f>
        <v>965</v>
      </c>
      <c r="W1850" s="27"/>
      <c r="X1850" s="27"/>
      <c r="Y1850" s="27">
        <f>Inventory[[#This Row],[MainFn]]+Inventory[[#This Row],[UpprFn]]+Inventory[[#This Row],[FnBsmt]]+Inventory[[#This Row],[AddFn]]</f>
        <v>1140</v>
      </c>
      <c r="Z1850" s="27">
        <v>1500</v>
      </c>
      <c r="AA1850" s="25">
        <v>8</v>
      </c>
      <c r="AB1850" s="27"/>
      <c r="AC1850" s="27"/>
      <c r="AD1850" s="27"/>
      <c r="AE1850" s="27"/>
      <c r="AF1850" s="27"/>
      <c r="AG1850" s="27"/>
      <c r="AH1850" s="27"/>
      <c r="AI1850" s="25">
        <v>204105</v>
      </c>
      <c r="AJ1850" s="25">
        <v>130627</v>
      </c>
      <c r="AK1850" s="25">
        <v>0</v>
      </c>
      <c r="AL1850" s="25">
        <v>289900</v>
      </c>
      <c r="AM1850" s="25">
        <v>63300</v>
      </c>
      <c r="AN1850" s="25">
        <v>226600</v>
      </c>
      <c r="AO1850" s="25">
        <v>0</v>
      </c>
      <c r="AP1850" s="25">
        <f>Lookups!$B$56*0</f>
        <v>0</v>
      </c>
      <c r="AQ1850" s="25">
        <f>Lookups!$B$56*1</f>
        <v>89850.625589999996</v>
      </c>
      <c r="AR1850" s="25">
        <f>Lookups!$B$57*Inventory[[#This Row],[LnAcres]]</f>
        <v>-46522.028095997222</v>
      </c>
      <c r="AS1850" s="25">
        <f>VLOOKUP(Inventory[[#This Row],[Qlty]],Lookups!$A$62:$E$75,2,FALSE)</f>
        <v>0</v>
      </c>
      <c r="AT1850" s="25">
        <f>VLOOKUP(Inventory[[#This Row],[Cnd]],Lookups!$A$76:$E$84,2,FALSE)</f>
        <v>133714.53821</v>
      </c>
      <c r="AU1850" s="25">
        <f>Inventory[[#This Row],[EffAge]]*Lookups!$B$85</f>
        <v>-12044.462427</v>
      </c>
      <c r="AV1850" s="25">
        <f>Inventory[[#This Row],[MainFn]]*Lookups!$B$86</f>
        <v>56325.883659780004</v>
      </c>
      <c r="AW1850" s="25">
        <f>Inventory[[#This Row],[UpprFn]]*Lookups!$B$87</f>
        <v>0</v>
      </c>
      <c r="AX1850" s="25">
        <f>Inventory[[#This Row],[AddFn]]*Lookups!$B$88</f>
        <v>0</v>
      </c>
      <c r="AY1850" s="25">
        <f>Inventory[[#This Row],[Bsmt]]*Lookups!$B$89</f>
        <v>28064.028913355</v>
      </c>
      <c r="AZ1850" s="25">
        <f>Inventory[[#This Row],[Fixtures]]*Lookups!$B$90</f>
        <v>30336.176841600001</v>
      </c>
      <c r="BA1850" s="25">
        <f>Inventory[[#This Row],[WdDeck]]*Lookups!$B$91</f>
        <v>0</v>
      </c>
      <c r="BB1850" s="25">
        <f>ROUND(Inventory[[#This Row],[25Det]],-2)</f>
        <v>0</v>
      </c>
      <c r="BC1850" s="25">
        <f>ROUND(SUM(Inventory[[#This Row],[Mdl Qlty]:[Mdl WdDeck]])+Inventory[[#This Row],[Mdl Res Intercept]],-2)</f>
        <v>236400</v>
      </c>
      <c r="BD1850" s="25">
        <f>ROUND(Inventory[[#This Row],[Mdl Land Intercept]]+Inventory[[#This Row],[Mdl LnAcres]],-2)</f>
        <v>43300</v>
      </c>
      <c r="BE1850" s="25">
        <f>Inventory[[#This Row],[Unadj Res Value]]+Inventory[[#This Row],[Unadj Det Value]]+Inventory[[#This Row],[Unadj Land Value]]</f>
        <v>279700</v>
      </c>
      <c r="BF1850" s="36">
        <f>(Inventory[[#This Row],[Unadj Total Value]]-Inventory[[#This Row],[24Final]])/Inventory[[#This Row],[24Final]]</f>
        <v>-3.5184546395308727E-2</v>
      </c>
      <c r="BG1850" s="25">
        <f>VLOOKUP(Inventory[[#This Row],[Nbhd]],Lookups!$Q$2:$T$4,4,FALSE)</f>
        <v>0.99970000000000003</v>
      </c>
      <c r="BH1850" s="25">
        <f>VLOOKUP(Inventory[[#This Row],[Qlty]],Lookups!$O$7:$R$21,4,FALSE)</f>
        <v>0.99180000000000001</v>
      </c>
      <c r="BI1850" s="25">
        <f>VLOOKUP(Inventory[[#This Row],[Cnd]],Lookups!$T$7:$W$16,4,FALSE)</f>
        <v>0.99329999999999996</v>
      </c>
      <c r="BJ1850" s="25">
        <f>VLOOKUP(Inventory[[#This Row],[LivArea Range]],Lookups!$T$25:$W$37,4,FALSE)</f>
        <v>1.0157</v>
      </c>
      <c r="BK1850" s="25">
        <f>VLOOKUP(Inventory[[#This Row],[Decade]],Lookups!$O$25:$R$42,4,FALSE)</f>
        <v>1.0074000000000001</v>
      </c>
      <c r="BL1850" s="25">
        <f>Inventory[[#This Row],[Nbhd Adj]]*0.95</f>
        <v>0.94971499999999998</v>
      </c>
      <c r="BM1850" s="25">
        <f>Inventory[[#This Row],[Nbhd Adj]]*Inventory[[#This Row],[Quality Adj]]*Inventory[[#This Row],[Condition Adj]]*Inventory[[#This Row],[Living Area Adj]]*Inventory[[#This Row],[Decade Adj]]*0.95</f>
        <v>0.95733786314897451</v>
      </c>
      <c r="BN1850" s="25">
        <f>ROUND(SUM(Inventory[[#This Row],[Mdl Qlty]:[Mdl WdDeck]])+Inventory[[#This Row],[Mdl Res Intercept]]*Inventory[[#This Row],[Res Adj ]],-2)</f>
        <v>236400</v>
      </c>
      <c r="BO1850" s="25">
        <f>ROUND(Inventory[[#This Row],[25Det]]*Inventory[[#This Row],[Det/Nbhd Adj]],-2)</f>
        <v>0</v>
      </c>
      <c r="BP1850" s="25">
        <f>Inventory[[#This Row],[Adjusted Res]]+Inventory[[#This Row],[Adj Det ]]</f>
        <v>236400</v>
      </c>
      <c r="BQ1850" s="25">
        <f>ROUND((Inventory[[#This Row],[Mdl Land Intercept]]+Inventory[[#This Row],[Mdl LnAcres]])*Inventory[[#This Row],[Det/Nbhd Adj]],-2)</f>
        <v>41100</v>
      </c>
      <c r="BR1850" s="25">
        <f>Inventory[[#This Row],[Adjusted Impr Total]]+Inventory[[#This Row],[Adjusted Land Total]]</f>
        <v>277500</v>
      </c>
      <c r="BS1850" s="36">
        <f>IFERROR((Inventory[[#This Row],[Adjusted Impr Total]]-Inventory[[#This Row],[24Bldg]])/Inventory[[#This Row],[24Bldg]],0)</f>
        <v>4.3248014121800529E-2</v>
      </c>
      <c r="BT1850" s="36">
        <f>(Inventory[[#This Row],[Adjusted Land Total]]-Inventory[[#This Row],[24Lnd]])/Inventory[[#This Row],[24Lnd]]</f>
        <v>-0.35071090047393366</v>
      </c>
      <c r="BU1850" s="36">
        <f>(Inventory[[#This Row],[Adjusted Total]]-Inventory[[#This Row],[24Final]])/Inventory[[#This Row],[24Final]]</f>
        <v>-4.2773370127630217E-2</v>
      </c>
    </row>
    <row r="1851" spans="1:73" x14ac:dyDescent="0.3">
      <c r="A1851" s="25">
        <v>2025</v>
      </c>
      <c r="B1851" s="26" t="s">
        <v>2012</v>
      </c>
      <c r="C1851" s="26">
        <f>LN(Inventory[[#This Row],[Acres]])</f>
        <v>-1.1394342831883648</v>
      </c>
      <c r="D1851" s="25">
        <v>0.32</v>
      </c>
      <c r="E1851" s="25">
        <v>13844</v>
      </c>
      <c r="F1851" s="26" t="s">
        <v>537</v>
      </c>
      <c r="G1851" s="26" t="s">
        <v>126</v>
      </c>
      <c r="H1851" s="26" t="s">
        <v>349</v>
      </c>
      <c r="I1851" s="26" t="s">
        <v>538</v>
      </c>
      <c r="J1851" s="26" t="s">
        <v>539</v>
      </c>
      <c r="K1851" s="26" t="s">
        <v>269</v>
      </c>
      <c r="L1851" s="26" t="s">
        <v>205</v>
      </c>
      <c r="M1851" s="26" t="s">
        <v>323</v>
      </c>
      <c r="N1851" s="26">
        <v>100</v>
      </c>
      <c r="O1851" s="26">
        <f>2024-Inventory[[#This Row],[YrBlt]]</f>
        <v>94</v>
      </c>
      <c r="P1851" s="26">
        <f>2024-Inventory[[#This Row],[EffYr]]</f>
        <v>54</v>
      </c>
      <c r="Q1851" s="25">
        <v>1930</v>
      </c>
      <c r="R1851" s="25">
        <v>1970</v>
      </c>
      <c r="S1851" s="25">
        <v>952</v>
      </c>
      <c r="T1851" s="32">
        <v>238</v>
      </c>
      <c r="U1851" s="25">
        <v>952</v>
      </c>
      <c r="V1851" s="25">
        <f>Inventory[[#This Row],[Bsmt]]-Inventory[[#This Row],[FnBsmt]]</f>
        <v>0</v>
      </c>
      <c r="W1851" s="25">
        <v>952</v>
      </c>
      <c r="X1851" s="27"/>
      <c r="Y1851" s="27">
        <f>Inventory[[#This Row],[MainFn]]+Inventory[[#This Row],[UpprFn]]+Inventory[[#This Row],[FnBsmt]]+Inventory[[#This Row],[AddFn]]</f>
        <v>2142</v>
      </c>
      <c r="Z1851" s="27">
        <v>2500</v>
      </c>
      <c r="AA1851" s="25">
        <v>5</v>
      </c>
      <c r="AB1851" s="27"/>
      <c r="AC1851" s="31"/>
      <c r="AD1851" s="27"/>
      <c r="AE1851" s="27"/>
      <c r="AF1851" s="27"/>
      <c r="AG1851" s="27"/>
      <c r="AH1851" s="27"/>
      <c r="AI1851" s="25">
        <v>257683</v>
      </c>
      <c r="AJ1851" s="25">
        <v>170071</v>
      </c>
      <c r="AK1851" s="25">
        <v>6168</v>
      </c>
      <c r="AL1851" s="25">
        <v>327500</v>
      </c>
      <c r="AM1851" s="25">
        <v>74800</v>
      </c>
      <c r="AN1851" s="25">
        <v>252700</v>
      </c>
      <c r="AO1851" s="25">
        <v>0</v>
      </c>
      <c r="AP1851" s="25">
        <f>Lookups!$B$56*0</f>
        <v>0</v>
      </c>
      <c r="AQ1851" s="25">
        <f>Lookups!$B$56*1</f>
        <v>89850.625589999996</v>
      </c>
      <c r="AR1851" s="25">
        <f>Lookups!$B$57*Inventory[[#This Row],[LnAcres]]</f>
        <v>-36068.354396449467</v>
      </c>
      <c r="AS1851" s="25">
        <f>VLOOKUP(Inventory[[#This Row],[Qlty]],Lookups!$A$62:$E$75,2,FALSE)</f>
        <v>0</v>
      </c>
      <c r="AT1851" s="25">
        <f>VLOOKUP(Inventory[[#This Row],[Cnd]],Lookups!$A$76:$E$84,2,FALSE)</f>
        <v>160472.20319</v>
      </c>
      <c r="AU1851" s="25">
        <f>Inventory[[#This Row],[EffAge]]*Lookups!$B$85</f>
        <v>-12044.462427</v>
      </c>
      <c r="AV1851" s="25">
        <f>Inventory[[#This Row],[MainFn]]*Lookups!$B$86</f>
        <v>47037.053722903998</v>
      </c>
      <c r="AW1851" s="25">
        <f>Inventory[[#This Row],[UpprFn]]*Lookups!$B$87</f>
        <v>10659.168640918</v>
      </c>
      <c r="AX1851" s="25">
        <f>Inventory[[#This Row],[AddFn]]*Lookups!$B$88</f>
        <v>0</v>
      </c>
      <c r="AY1851" s="25">
        <f>Inventory[[#This Row],[Bsmt]]*Lookups!$B$89</f>
        <v>27685.964275143997</v>
      </c>
      <c r="AZ1851" s="25">
        <f>Inventory[[#This Row],[Fixtures]]*Lookups!$B$90</f>
        <v>18960.110526</v>
      </c>
      <c r="BA1851" s="25">
        <f>Inventory[[#This Row],[WdDeck]]*Lookups!$B$91</f>
        <v>0</v>
      </c>
      <c r="BB1851" s="25">
        <f>ROUND(Inventory[[#This Row],[25Det]],-2)</f>
        <v>6200</v>
      </c>
      <c r="BC1851" s="25">
        <f>ROUND(SUM(Inventory[[#This Row],[Mdl Qlty]:[Mdl WdDeck]])+Inventory[[#This Row],[Mdl Res Intercept]],-2)</f>
        <v>252800</v>
      </c>
      <c r="BD1851" s="25">
        <f>ROUND(Inventory[[#This Row],[Mdl Land Intercept]]+Inventory[[#This Row],[Mdl LnAcres]],-2)</f>
        <v>53800</v>
      </c>
      <c r="BE1851" s="25">
        <f>Inventory[[#This Row],[Unadj Res Value]]+Inventory[[#This Row],[Unadj Det Value]]+Inventory[[#This Row],[Unadj Land Value]]</f>
        <v>312800</v>
      </c>
      <c r="BF1851" s="36">
        <f>(Inventory[[#This Row],[Unadj Total Value]]-Inventory[[#This Row],[24Final]])/Inventory[[#This Row],[24Final]]</f>
        <v>-4.4885496183206107E-2</v>
      </c>
      <c r="BG1851" s="25">
        <f>VLOOKUP(Inventory[[#This Row],[Nbhd]],Lookups!$Q$2:$T$4,4,FALSE)</f>
        <v>0.99970000000000003</v>
      </c>
      <c r="BH1851" s="25">
        <f>VLOOKUP(Inventory[[#This Row],[Qlty]],Lookups!$O$7:$R$21,4,FALSE)</f>
        <v>0.99180000000000001</v>
      </c>
      <c r="BI1851" s="25">
        <f>VLOOKUP(Inventory[[#This Row],[Cnd]],Lookups!$T$7:$W$16,4,FALSE)</f>
        <v>0.99729999999999996</v>
      </c>
      <c r="BJ1851" s="25">
        <f>VLOOKUP(Inventory[[#This Row],[LivArea Range]],Lookups!$T$25:$W$37,4,FALSE)</f>
        <v>0.98919999999999997</v>
      </c>
      <c r="BK1851" s="25">
        <f>VLOOKUP(Inventory[[#This Row],[Decade]],Lookups!$O$25:$R$42,4,FALSE)</f>
        <v>1.0074000000000001</v>
      </c>
      <c r="BL1851" s="25">
        <f>Inventory[[#This Row],[Nbhd Adj]]*0.95</f>
        <v>0.94971499999999998</v>
      </c>
      <c r="BM1851" s="25">
        <f>Inventory[[#This Row],[Nbhd Adj]]*Inventory[[#This Row],[Quality Adj]]*Inventory[[#This Row],[Condition Adj]]*Inventory[[#This Row],[Living Area Adj]]*Inventory[[#This Row],[Decade Adj]]*0.95</f>
        <v>0.93611515155732916</v>
      </c>
      <c r="BN1851" s="25">
        <f>ROUND(SUM(Inventory[[#This Row],[Mdl Qlty]:[Mdl WdDeck]])+Inventory[[#This Row],[Mdl Res Intercept]]*Inventory[[#This Row],[Res Adj ]],-2)</f>
        <v>252800</v>
      </c>
      <c r="BO1851" s="25">
        <f>ROUND(Inventory[[#This Row],[25Det]]*Inventory[[#This Row],[Det/Nbhd Adj]],-2)</f>
        <v>5900</v>
      </c>
      <c r="BP1851" s="25">
        <f>Inventory[[#This Row],[Adjusted Res]]+Inventory[[#This Row],[Adj Det ]]</f>
        <v>258700</v>
      </c>
      <c r="BQ1851" s="25">
        <f>ROUND((Inventory[[#This Row],[Mdl Land Intercept]]+Inventory[[#This Row],[Mdl LnAcres]])*Inventory[[#This Row],[Det/Nbhd Adj]],-2)</f>
        <v>51100</v>
      </c>
      <c r="BR1851" s="25">
        <f>Inventory[[#This Row],[Adjusted Impr Total]]+Inventory[[#This Row],[Adjusted Land Total]]</f>
        <v>309800</v>
      </c>
      <c r="BS1851" s="36">
        <f>IFERROR((Inventory[[#This Row],[Adjusted Impr Total]]-Inventory[[#This Row],[24Bldg]])/Inventory[[#This Row],[24Bldg]],0)</f>
        <v>2.3743569449940639E-2</v>
      </c>
      <c r="BT1851" s="36">
        <f>(Inventory[[#This Row],[Adjusted Land Total]]-Inventory[[#This Row],[24Lnd]])/Inventory[[#This Row],[24Lnd]]</f>
        <v>-0.31684491978609625</v>
      </c>
      <c r="BU1851" s="36">
        <f>(Inventory[[#This Row],[Adjusted Total]]-Inventory[[#This Row],[24Final]])/Inventory[[#This Row],[24Final]]</f>
        <v>-5.4045801526717556E-2</v>
      </c>
    </row>
    <row r="1852" spans="1:73" x14ac:dyDescent="0.3">
      <c r="A1852" s="25">
        <v>2025</v>
      </c>
      <c r="B1852" s="26" t="s">
        <v>2360</v>
      </c>
      <c r="C1852" s="26">
        <f>LN(Inventory[[#This Row],[Acres]])</f>
        <v>-2.0402208285265546</v>
      </c>
      <c r="D1852" s="25">
        <v>0.13</v>
      </c>
      <c r="E1852" s="25">
        <v>5750</v>
      </c>
      <c r="F1852" s="26" t="s">
        <v>537</v>
      </c>
      <c r="G1852" s="26" t="s">
        <v>126</v>
      </c>
      <c r="H1852" s="26" t="s">
        <v>349</v>
      </c>
      <c r="I1852" s="26" t="s">
        <v>538</v>
      </c>
      <c r="J1852" s="26" t="s">
        <v>539</v>
      </c>
      <c r="K1852" s="26" t="s">
        <v>242</v>
      </c>
      <c r="L1852" s="26" t="s">
        <v>31</v>
      </c>
      <c r="M1852" s="26" t="s">
        <v>323</v>
      </c>
      <c r="N1852" s="26">
        <v>100</v>
      </c>
      <c r="O1852" s="26">
        <f>2024-Inventory[[#This Row],[YrBlt]]</f>
        <v>94</v>
      </c>
      <c r="P1852" s="26">
        <f>2024-Inventory[[#This Row],[EffYr]]</f>
        <v>54</v>
      </c>
      <c r="Q1852" s="25">
        <v>1930</v>
      </c>
      <c r="R1852" s="25">
        <v>1970</v>
      </c>
      <c r="S1852" s="25">
        <v>829</v>
      </c>
      <c r="T1852" s="27"/>
      <c r="U1852" s="25">
        <v>396</v>
      </c>
      <c r="V1852" s="25">
        <f>Inventory[[#This Row],[Bsmt]]-Inventory[[#This Row],[FnBsmt]]</f>
        <v>0</v>
      </c>
      <c r="W1852" s="25">
        <v>396</v>
      </c>
      <c r="X1852" s="27"/>
      <c r="Y1852" s="27">
        <f>Inventory[[#This Row],[MainFn]]+Inventory[[#This Row],[UpprFn]]+Inventory[[#This Row],[FnBsmt]]+Inventory[[#This Row],[AddFn]]</f>
        <v>1225</v>
      </c>
      <c r="Z1852" s="27">
        <v>1500</v>
      </c>
      <c r="AA1852" s="25">
        <v>5</v>
      </c>
      <c r="AB1852" s="27"/>
      <c r="AC1852" s="27"/>
      <c r="AD1852" s="32">
        <v>296</v>
      </c>
      <c r="AE1852" s="27"/>
      <c r="AF1852" s="27"/>
      <c r="AG1852" s="27"/>
      <c r="AH1852" s="27"/>
      <c r="AI1852" s="25">
        <v>170339</v>
      </c>
      <c r="AJ1852" s="25">
        <v>112424</v>
      </c>
      <c r="AK1852" s="25">
        <v>0</v>
      </c>
      <c r="AL1852" s="25">
        <v>229000</v>
      </c>
      <c r="AM1852" s="25">
        <v>43400</v>
      </c>
      <c r="AN1852" s="25">
        <v>185600</v>
      </c>
      <c r="AO1852" s="25">
        <v>0</v>
      </c>
      <c r="AP1852" s="25">
        <f>Lookups!$B$56*0</f>
        <v>0</v>
      </c>
      <c r="AQ1852" s="25">
        <f>Lookups!$B$56*1</f>
        <v>89850.625589999996</v>
      </c>
      <c r="AR1852" s="25">
        <f>Lookups!$B$57*Inventory[[#This Row],[LnAcres]]</f>
        <v>-64582.406353792743</v>
      </c>
      <c r="AS1852" s="25">
        <f>VLOOKUP(Inventory[[#This Row],[Qlty]],Lookups!$A$62:$E$75,2,FALSE)</f>
        <v>-43578.886190266698</v>
      </c>
      <c r="AT1852" s="25">
        <f>VLOOKUP(Inventory[[#This Row],[Cnd]],Lookups!$A$76:$E$84,2,FALSE)</f>
        <v>160472.20319</v>
      </c>
      <c r="AU1852" s="25">
        <f>Inventory[[#This Row],[EffAge]]*Lookups!$B$85</f>
        <v>-12044.462427</v>
      </c>
      <c r="AV1852" s="25">
        <f>Inventory[[#This Row],[MainFn]]*Lookups!$B$86</f>
        <v>40959.787328033002</v>
      </c>
      <c r="AW1852" s="25">
        <f>Inventory[[#This Row],[UpprFn]]*Lookups!$B$87</f>
        <v>0</v>
      </c>
      <c r="AX1852" s="25">
        <f>Inventory[[#This Row],[AddFn]]*Lookups!$B$88</f>
        <v>0</v>
      </c>
      <c r="AY1852" s="25">
        <f>Inventory[[#This Row],[Bsmt]]*Lookups!$B$89</f>
        <v>11516.430517811999</v>
      </c>
      <c r="AZ1852" s="25">
        <f>Inventory[[#This Row],[Fixtures]]*Lookups!$B$90</f>
        <v>18960.110526</v>
      </c>
      <c r="BA1852" s="25">
        <f>Inventory[[#This Row],[WdDeck]]*Lookups!$B$91</f>
        <v>9855.4725216960014</v>
      </c>
      <c r="BB1852" s="25">
        <f>ROUND(Inventory[[#This Row],[25Det]],-2)</f>
        <v>0</v>
      </c>
      <c r="BC1852" s="25">
        <f>ROUND(SUM(Inventory[[#This Row],[Mdl Qlty]:[Mdl WdDeck]])+Inventory[[#This Row],[Mdl Res Intercept]],-2)</f>
        <v>186100</v>
      </c>
      <c r="BD1852" s="25">
        <f>ROUND(Inventory[[#This Row],[Mdl Land Intercept]]+Inventory[[#This Row],[Mdl LnAcres]],-2)</f>
        <v>25300</v>
      </c>
      <c r="BE1852" s="25">
        <f>Inventory[[#This Row],[Unadj Res Value]]+Inventory[[#This Row],[Unadj Det Value]]+Inventory[[#This Row],[Unadj Land Value]]</f>
        <v>211400</v>
      </c>
      <c r="BF1852" s="36">
        <f>(Inventory[[#This Row],[Unadj Total Value]]-Inventory[[#This Row],[24Final]])/Inventory[[#This Row],[24Final]]</f>
        <v>-7.6855895196506555E-2</v>
      </c>
      <c r="BG1852" s="25">
        <f>VLOOKUP(Inventory[[#This Row],[Nbhd]],Lookups!$Q$2:$T$4,4,FALSE)</f>
        <v>0.99970000000000003</v>
      </c>
      <c r="BH1852" s="25">
        <f>VLOOKUP(Inventory[[#This Row],[Qlty]],Lookups!$O$7:$R$21,4,FALSE)</f>
        <v>1</v>
      </c>
      <c r="BI1852" s="25">
        <f>VLOOKUP(Inventory[[#This Row],[Cnd]],Lookups!$T$7:$W$16,4,FALSE)</f>
        <v>0.99729999999999996</v>
      </c>
      <c r="BJ1852" s="25">
        <f>VLOOKUP(Inventory[[#This Row],[LivArea Range]],Lookups!$T$25:$W$37,4,FALSE)</f>
        <v>1.0157</v>
      </c>
      <c r="BK1852" s="25">
        <f>VLOOKUP(Inventory[[#This Row],[Decade]],Lookups!$O$25:$R$42,4,FALSE)</f>
        <v>1.0074000000000001</v>
      </c>
      <c r="BL1852" s="25">
        <f>Inventory[[#This Row],[Nbhd Adj]]*0.95</f>
        <v>0.94971499999999998</v>
      </c>
      <c r="BM1852" s="25">
        <f>Inventory[[#This Row],[Nbhd Adj]]*Inventory[[#This Row],[Quality Adj]]*Inventory[[#This Row],[Condition Adj]]*Inventory[[#This Row],[Living Area Adj]]*Inventory[[#This Row],[Decade Adj]]*0.95</f>
        <v>0.96913999225185055</v>
      </c>
      <c r="BN1852" s="25">
        <f>ROUND(SUM(Inventory[[#This Row],[Mdl Qlty]:[Mdl WdDeck]])+Inventory[[#This Row],[Mdl Res Intercept]]*Inventory[[#This Row],[Res Adj ]],-2)</f>
        <v>186100</v>
      </c>
      <c r="BO1852" s="25">
        <f>ROUND(Inventory[[#This Row],[25Det]]*Inventory[[#This Row],[Det/Nbhd Adj]],-2)</f>
        <v>0</v>
      </c>
      <c r="BP1852" s="25">
        <f>Inventory[[#This Row],[Adjusted Res]]+Inventory[[#This Row],[Adj Det ]]</f>
        <v>186100</v>
      </c>
      <c r="BQ1852" s="25">
        <f>ROUND((Inventory[[#This Row],[Mdl Land Intercept]]+Inventory[[#This Row],[Mdl LnAcres]])*Inventory[[#This Row],[Det/Nbhd Adj]],-2)</f>
        <v>24000</v>
      </c>
      <c r="BR1852" s="25">
        <f>Inventory[[#This Row],[Adjusted Impr Total]]+Inventory[[#This Row],[Adjusted Land Total]]</f>
        <v>210100</v>
      </c>
      <c r="BS1852" s="36">
        <f>IFERROR((Inventory[[#This Row],[Adjusted Impr Total]]-Inventory[[#This Row],[24Bldg]])/Inventory[[#This Row],[24Bldg]],0)</f>
        <v>2.6939655172413795E-3</v>
      </c>
      <c r="BT1852" s="36">
        <f>(Inventory[[#This Row],[Adjusted Land Total]]-Inventory[[#This Row],[24Lnd]])/Inventory[[#This Row],[24Lnd]]</f>
        <v>-0.44700460829493088</v>
      </c>
      <c r="BU1852" s="36">
        <f>(Inventory[[#This Row],[Adjusted Total]]-Inventory[[#This Row],[24Final]])/Inventory[[#This Row],[24Final]]</f>
        <v>-8.2532751091703063E-2</v>
      </c>
    </row>
    <row r="1853" spans="1:73" x14ac:dyDescent="0.3">
      <c r="A1853" s="25">
        <v>2025</v>
      </c>
      <c r="B1853" s="26" t="s">
        <v>1435</v>
      </c>
      <c r="C1853" s="26">
        <f>LN(Inventory[[#This Row],[Acres]])</f>
        <v>-1.2729656758128873</v>
      </c>
      <c r="D1853" s="25">
        <v>0.28000000000000003</v>
      </c>
      <c r="E1853" s="25">
        <v>12283</v>
      </c>
      <c r="F1853" s="26" t="s">
        <v>537</v>
      </c>
      <c r="G1853" s="26" t="s">
        <v>126</v>
      </c>
      <c r="H1853" s="26" t="s">
        <v>349</v>
      </c>
      <c r="I1853" s="26" t="s">
        <v>538</v>
      </c>
      <c r="J1853" s="26" t="s">
        <v>539</v>
      </c>
      <c r="K1853" s="26" t="s">
        <v>242</v>
      </c>
      <c r="L1853" s="26" t="s">
        <v>351</v>
      </c>
      <c r="M1853" s="26" t="s">
        <v>33</v>
      </c>
      <c r="N1853" s="26">
        <v>100</v>
      </c>
      <c r="O1853" s="26">
        <f>2024-Inventory[[#This Row],[YrBlt]]</f>
        <v>94</v>
      </c>
      <c r="P1853" s="26">
        <f>2024-Inventory[[#This Row],[EffYr]]</f>
        <v>54</v>
      </c>
      <c r="Q1853" s="25">
        <v>1930</v>
      </c>
      <c r="R1853" s="25">
        <v>1970</v>
      </c>
      <c r="S1853" s="25">
        <v>935</v>
      </c>
      <c r="T1853" s="27"/>
      <c r="U1853" s="32">
        <v>963</v>
      </c>
      <c r="V1853" s="32">
        <f>Inventory[[#This Row],[Bsmt]]-Inventory[[#This Row],[FnBsmt]]</f>
        <v>674</v>
      </c>
      <c r="W1853" s="32">
        <v>289</v>
      </c>
      <c r="X1853" s="27"/>
      <c r="Y1853" s="27">
        <f>Inventory[[#This Row],[MainFn]]+Inventory[[#This Row],[UpprFn]]+Inventory[[#This Row],[FnBsmt]]+Inventory[[#This Row],[AddFn]]</f>
        <v>1224</v>
      </c>
      <c r="Z1853" s="27">
        <v>1500</v>
      </c>
      <c r="AA1853" s="25">
        <v>5</v>
      </c>
      <c r="AB1853" s="31"/>
      <c r="AC1853" s="27"/>
      <c r="AD1853" s="27"/>
      <c r="AE1853" s="27"/>
      <c r="AF1853" s="27"/>
      <c r="AG1853" s="27"/>
      <c r="AH1853" s="27"/>
      <c r="AI1853" s="25">
        <v>207029</v>
      </c>
      <c r="AJ1853" s="25">
        <v>130428</v>
      </c>
      <c r="AK1853" s="25">
        <v>8495</v>
      </c>
      <c r="AL1853" s="25">
        <v>219100</v>
      </c>
      <c r="AM1853" s="25">
        <v>70100</v>
      </c>
      <c r="AN1853" s="25">
        <v>149000</v>
      </c>
      <c r="AO1853" s="25">
        <v>0</v>
      </c>
      <c r="AP1853" s="25">
        <f>Lookups!$B$56*0</f>
        <v>0</v>
      </c>
      <c r="AQ1853" s="25">
        <f>Lookups!$B$56*1</f>
        <v>89850.625589999996</v>
      </c>
      <c r="AR1853" s="25">
        <f>Lookups!$B$57*Inventory[[#This Row],[LnAcres]]</f>
        <v>-40295.239319339329</v>
      </c>
      <c r="AS1853" s="25">
        <f>VLOOKUP(Inventory[[#This Row],[Qlty]],Lookups!$A$62:$E$75,2,FALSE)</f>
        <v>21557.329055999999</v>
      </c>
      <c r="AT1853" s="25">
        <f>VLOOKUP(Inventory[[#This Row],[Cnd]],Lookups!$A$76:$E$84,2,FALSE)</f>
        <v>39013.223933000001</v>
      </c>
      <c r="AU1853" s="25">
        <f>Inventory[[#This Row],[EffAge]]*Lookups!$B$85</f>
        <v>-12044.462427</v>
      </c>
      <c r="AV1853" s="25">
        <f>Inventory[[#This Row],[MainFn]]*Lookups!$B$86</f>
        <v>46197.106334994998</v>
      </c>
      <c r="AW1853" s="25">
        <f>Inventory[[#This Row],[UpprFn]]*Lookups!$B$87</f>
        <v>0</v>
      </c>
      <c r="AX1853" s="25">
        <f>Inventory[[#This Row],[AddFn]]*Lookups!$B$88</f>
        <v>0</v>
      </c>
      <c r="AY1853" s="25">
        <f>Inventory[[#This Row],[Bsmt]]*Lookups!$B$89</f>
        <v>28005.865122861</v>
      </c>
      <c r="AZ1853" s="25">
        <f>Inventory[[#This Row],[Fixtures]]*Lookups!$B$90</f>
        <v>18960.110526</v>
      </c>
      <c r="BA1853" s="25">
        <f>Inventory[[#This Row],[WdDeck]]*Lookups!$B$91</f>
        <v>0</v>
      </c>
      <c r="BB1853" s="25">
        <f>ROUND(Inventory[[#This Row],[25Det]],-2)</f>
        <v>8500</v>
      </c>
      <c r="BC1853" s="25">
        <f>ROUND(SUM(Inventory[[#This Row],[Mdl Qlty]:[Mdl WdDeck]])+Inventory[[#This Row],[Mdl Res Intercept]],-2)</f>
        <v>141700</v>
      </c>
      <c r="BD1853" s="25">
        <f>ROUND(Inventory[[#This Row],[Mdl Land Intercept]]+Inventory[[#This Row],[Mdl LnAcres]],-2)</f>
        <v>49600</v>
      </c>
      <c r="BE1853" s="25">
        <f>Inventory[[#This Row],[Unadj Res Value]]+Inventory[[#This Row],[Unadj Det Value]]+Inventory[[#This Row],[Unadj Land Value]]</f>
        <v>199800</v>
      </c>
      <c r="BF1853" s="36">
        <f>(Inventory[[#This Row],[Unadj Total Value]]-Inventory[[#This Row],[24Final]])/Inventory[[#This Row],[24Final]]</f>
        <v>-8.8087631218621634E-2</v>
      </c>
      <c r="BG1853" s="25">
        <f>VLOOKUP(Inventory[[#This Row],[Nbhd]],Lookups!$Q$2:$T$4,4,FALSE)</f>
        <v>0.99970000000000003</v>
      </c>
      <c r="BH1853" s="25">
        <f>VLOOKUP(Inventory[[#This Row],[Qlty]],Lookups!$O$7:$R$21,4,FALSE)</f>
        <v>1.0067999999999999</v>
      </c>
      <c r="BI1853" s="25">
        <f>VLOOKUP(Inventory[[#This Row],[Cnd]],Lookups!$T$7:$W$16,4,FALSE)</f>
        <v>1.0021</v>
      </c>
      <c r="BJ1853" s="25">
        <f>VLOOKUP(Inventory[[#This Row],[LivArea Range]],Lookups!$T$25:$W$37,4,FALSE)</f>
        <v>1.0157</v>
      </c>
      <c r="BK1853" s="25">
        <f>VLOOKUP(Inventory[[#This Row],[Decade]],Lookups!$O$25:$R$42,4,FALSE)</f>
        <v>1.0074000000000001</v>
      </c>
      <c r="BL1853" s="25">
        <f>Inventory[[#This Row],[Nbhd Adj]]*0.95</f>
        <v>0.94971499999999998</v>
      </c>
      <c r="BM1853" s="25">
        <f>Inventory[[#This Row],[Nbhd Adj]]*Inventory[[#This Row],[Quality Adj]]*Inventory[[#This Row],[Condition Adj]]*Inventory[[#This Row],[Living Area Adj]]*Inventory[[#This Row],[Decade Adj]]*0.95</f>
        <v>0.980426328589172</v>
      </c>
      <c r="BN1853" s="25">
        <f>ROUND(SUM(Inventory[[#This Row],[Mdl Qlty]:[Mdl WdDeck]])+Inventory[[#This Row],[Mdl Res Intercept]]*Inventory[[#This Row],[Res Adj ]],-2)</f>
        <v>141700</v>
      </c>
      <c r="BO1853" s="25">
        <f>ROUND(Inventory[[#This Row],[25Det]]*Inventory[[#This Row],[Det/Nbhd Adj]],-2)</f>
        <v>8100</v>
      </c>
      <c r="BP1853" s="25">
        <f>Inventory[[#This Row],[Adjusted Res]]+Inventory[[#This Row],[Adj Det ]]</f>
        <v>149800</v>
      </c>
      <c r="BQ1853" s="25">
        <f>ROUND((Inventory[[#This Row],[Mdl Land Intercept]]+Inventory[[#This Row],[Mdl LnAcres]])*Inventory[[#This Row],[Det/Nbhd Adj]],-2)</f>
        <v>47100</v>
      </c>
      <c r="BR1853" s="25">
        <f>Inventory[[#This Row],[Adjusted Impr Total]]+Inventory[[#This Row],[Adjusted Land Total]]</f>
        <v>196900</v>
      </c>
      <c r="BS1853" s="36">
        <f>IFERROR((Inventory[[#This Row],[Adjusted Impr Total]]-Inventory[[#This Row],[24Bldg]])/Inventory[[#This Row],[24Bldg]],0)</f>
        <v>5.3691275167785232E-3</v>
      </c>
      <c r="BT1853" s="36">
        <f>(Inventory[[#This Row],[Adjusted Land Total]]-Inventory[[#This Row],[24Lnd]])/Inventory[[#This Row],[24Lnd]]</f>
        <v>-0.32810271041369471</v>
      </c>
      <c r="BU1853" s="36">
        <f>(Inventory[[#This Row],[Adjusted Total]]-Inventory[[#This Row],[24Final]])/Inventory[[#This Row],[24Final]]</f>
        <v>-0.10132359653126426</v>
      </c>
    </row>
    <row r="1854" spans="1:73" x14ac:dyDescent="0.3">
      <c r="A1854" s="25">
        <v>2025</v>
      </c>
      <c r="B1854" s="26" t="s">
        <v>1300</v>
      </c>
      <c r="C1854" s="26">
        <f>LN(Inventory[[#This Row],[Acres]])</f>
        <v>-1.6607312068216509</v>
      </c>
      <c r="D1854" s="31">
        <f>ROUND(Inventory[[#This Row],[Sqft]]/43560,2)</f>
        <v>0.19</v>
      </c>
      <c r="E1854" s="25">
        <v>8357</v>
      </c>
      <c r="F1854" s="26" t="s">
        <v>537</v>
      </c>
      <c r="G1854" s="26" t="s">
        <v>126</v>
      </c>
      <c r="H1854" s="26" t="s">
        <v>349</v>
      </c>
      <c r="I1854" s="26" t="s">
        <v>538</v>
      </c>
      <c r="J1854" s="26" t="s">
        <v>539</v>
      </c>
      <c r="K1854" s="26" t="s">
        <v>242</v>
      </c>
      <c r="L1854" s="26" t="s">
        <v>31</v>
      </c>
      <c r="M1854" s="26" t="s">
        <v>323</v>
      </c>
      <c r="N1854" s="26">
        <v>100</v>
      </c>
      <c r="O1854" s="26">
        <f>2024-Inventory[[#This Row],[YrBlt]]</f>
        <v>94</v>
      </c>
      <c r="P1854" s="26">
        <f>2024-Inventory[[#This Row],[EffYr]]</f>
        <v>54</v>
      </c>
      <c r="Q1854" s="25">
        <v>1930</v>
      </c>
      <c r="R1854" s="25">
        <v>1970</v>
      </c>
      <c r="S1854" s="25">
        <v>780</v>
      </c>
      <c r="T1854" s="27"/>
      <c r="U1854" s="25">
        <v>780</v>
      </c>
      <c r="V1854" s="25">
        <f>Inventory[[#This Row],[Bsmt]]-Inventory[[#This Row],[FnBsmt]]</f>
        <v>430</v>
      </c>
      <c r="W1854" s="25">
        <v>350</v>
      </c>
      <c r="X1854" s="27"/>
      <c r="Y1854" s="27">
        <f>Inventory[[#This Row],[MainFn]]+Inventory[[#This Row],[UpprFn]]+Inventory[[#This Row],[FnBsmt]]+Inventory[[#This Row],[AddFn]]</f>
        <v>1130</v>
      </c>
      <c r="Z1854" s="27">
        <v>1500</v>
      </c>
      <c r="AA1854" s="25">
        <v>5</v>
      </c>
      <c r="AB1854" s="31"/>
      <c r="AC1854" s="27"/>
      <c r="AD1854" s="31"/>
      <c r="AE1854" s="27"/>
      <c r="AF1854" s="27"/>
      <c r="AG1854" s="27"/>
      <c r="AH1854" s="27"/>
      <c r="AI1854" s="25">
        <v>157417</v>
      </c>
      <c r="AJ1854" s="25">
        <v>103895</v>
      </c>
      <c r="AK1854" s="25">
        <v>0</v>
      </c>
      <c r="AL1854" s="25">
        <v>245800</v>
      </c>
      <c r="AM1854" s="25">
        <v>56600</v>
      </c>
      <c r="AN1854" s="25">
        <v>189200</v>
      </c>
      <c r="AO1854" s="25">
        <v>0</v>
      </c>
      <c r="AP1854" s="25">
        <f>Lookups!$B$56*0</f>
        <v>0</v>
      </c>
      <c r="AQ1854" s="25">
        <f>Lookups!$B$56*1</f>
        <v>89850.625589999996</v>
      </c>
      <c r="AR1854" s="25">
        <f>Lookups!$B$57*Inventory[[#This Row],[LnAcres]]</f>
        <v>-52569.808201026557</v>
      </c>
      <c r="AS1854" s="25">
        <f>VLOOKUP(Inventory[[#This Row],[Qlty]],Lookups!$A$62:$E$75,2,FALSE)</f>
        <v>-43578.886190266698</v>
      </c>
      <c r="AT1854" s="25">
        <f>VLOOKUP(Inventory[[#This Row],[Cnd]],Lookups!$A$76:$E$84,2,FALSE)</f>
        <v>160472.20319</v>
      </c>
      <c r="AU1854" s="25">
        <f>Inventory[[#This Row],[EffAge]]*Lookups!$B$85</f>
        <v>-12044.462427</v>
      </c>
      <c r="AV1854" s="25">
        <f>Inventory[[#This Row],[MainFn]]*Lookups!$B$86</f>
        <v>38538.762504060003</v>
      </c>
      <c r="AW1854" s="25">
        <f>Inventory[[#This Row],[UpprFn]]*Lookups!$B$87</f>
        <v>0</v>
      </c>
      <c r="AX1854" s="25">
        <f>Inventory[[#This Row],[AddFn]]*Lookups!$B$88</f>
        <v>0</v>
      </c>
      <c r="AY1854" s="25">
        <f>Inventory[[#This Row],[Bsmt]]*Lookups!$B$89</f>
        <v>22683.87829266</v>
      </c>
      <c r="AZ1854" s="25">
        <f>Inventory[[#This Row],[Fixtures]]*Lookups!$B$90</f>
        <v>18960.110526</v>
      </c>
      <c r="BA1854" s="25">
        <f>Inventory[[#This Row],[WdDeck]]*Lookups!$B$91</f>
        <v>0</v>
      </c>
      <c r="BB1854" s="25">
        <f>ROUND(Inventory[[#This Row],[25Det]],-2)</f>
        <v>0</v>
      </c>
      <c r="BC1854" s="25">
        <f>ROUND(SUM(Inventory[[#This Row],[Mdl Qlty]:[Mdl WdDeck]])+Inventory[[#This Row],[Mdl Res Intercept]],-2)</f>
        <v>185000</v>
      </c>
      <c r="BD1854" s="25">
        <f>ROUND(Inventory[[#This Row],[Mdl Land Intercept]]+Inventory[[#This Row],[Mdl LnAcres]],-2)</f>
        <v>37300</v>
      </c>
      <c r="BE1854" s="25">
        <f>Inventory[[#This Row],[Unadj Res Value]]+Inventory[[#This Row],[Unadj Det Value]]+Inventory[[#This Row],[Unadj Land Value]]</f>
        <v>222300</v>
      </c>
      <c r="BF1854" s="36">
        <f>(Inventory[[#This Row],[Unadj Total Value]]-Inventory[[#This Row],[24Final]])/Inventory[[#This Row],[24Final]]</f>
        <v>-9.5606183889340932E-2</v>
      </c>
      <c r="BG1854" s="25">
        <f>VLOOKUP(Inventory[[#This Row],[Nbhd]],Lookups!$Q$2:$T$4,4,FALSE)</f>
        <v>0.99970000000000003</v>
      </c>
      <c r="BH1854" s="25">
        <f>VLOOKUP(Inventory[[#This Row],[Qlty]],Lookups!$O$7:$R$21,4,FALSE)</f>
        <v>1</v>
      </c>
      <c r="BI1854" s="25">
        <f>VLOOKUP(Inventory[[#This Row],[Cnd]],Lookups!$T$7:$W$16,4,FALSE)</f>
        <v>0.99729999999999996</v>
      </c>
      <c r="BJ1854" s="25">
        <f>VLOOKUP(Inventory[[#This Row],[LivArea Range]],Lookups!$T$25:$W$37,4,FALSE)</f>
        <v>1.0157</v>
      </c>
      <c r="BK1854" s="25">
        <f>VLOOKUP(Inventory[[#This Row],[Decade]],Lookups!$O$25:$R$42,4,FALSE)</f>
        <v>1.0074000000000001</v>
      </c>
      <c r="BL1854" s="25">
        <f>Inventory[[#This Row],[Nbhd Adj]]*0.95</f>
        <v>0.94971499999999998</v>
      </c>
      <c r="BM1854" s="25">
        <f>Inventory[[#This Row],[Nbhd Adj]]*Inventory[[#This Row],[Quality Adj]]*Inventory[[#This Row],[Condition Adj]]*Inventory[[#This Row],[Living Area Adj]]*Inventory[[#This Row],[Decade Adj]]*0.95</f>
        <v>0.96913999225185055</v>
      </c>
      <c r="BN1854" s="25">
        <f>ROUND(SUM(Inventory[[#This Row],[Mdl Qlty]:[Mdl WdDeck]])+Inventory[[#This Row],[Mdl Res Intercept]]*Inventory[[#This Row],[Res Adj ]],-2)</f>
        <v>185000</v>
      </c>
      <c r="BO1854" s="25">
        <f>ROUND(Inventory[[#This Row],[25Det]]*Inventory[[#This Row],[Det/Nbhd Adj]],-2)</f>
        <v>0</v>
      </c>
      <c r="BP1854" s="25">
        <f>Inventory[[#This Row],[Adjusted Res]]+Inventory[[#This Row],[Adj Det ]]</f>
        <v>185000</v>
      </c>
      <c r="BQ1854" s="25">
        <f>ROUND((Inventory[[#This Row],[Mdl Land Intercept]]+Inventory[[#This Row],[Mdl LnAcres]])*Inventory[[#This Row],[Det/Nbhd Adj]],-2)</f>
        <v>35400</v>
      </c>
      <c r="BR1854" s="25">
        <f>Inventory[[#This Row],[Adjusted Impr Total]]+Inventory[[#This Row],[Adjusted Land Total]]</f>
        <v>220400</v>
      </c>
      <c r="BS1854" s="36">
        <f>IFERROR((Inventory[[#This Row],[Adjusted Impr Total]]-Inventory[[#This Row],[24Bldg]])/Inventory[[#This Row],[24Bldg]],0)</f>
        <v>-2.2198731501057084E-2</v>
      </c>
      <c r="BT1854" s="36">
        <f>(Inventory[[#This Row],[Adjusted Land Total]]-Inventory[[#This Row],[24Lnd]])/Inventory[[#This Row],[24Lnd]]</f>
        <v>-0.37455830388692579</v>
      </c>
      <c r="BU1854" s="36">
        <f>(Inventory[[#This Row],[Adjusted Total]]-Inventory[[#This Row],[24Final]])/Inventory[[#This Row],[24Final]]</f>
        <v>-0.10333604556550041</v>
      </c>
    </row>
    <row r="1855" spans="1:73" x14ac:dyDescent="0.3">
      <c r="A1855" s="25">
        <v>2025</v>
      </c>
      <c r="B1855" s="26" t="s">
        <v>828</v>
      </c>
      <c r="C1855" s="26">
        <f>LN(Inventory[[#This Row],[Acres]])</f>
        <v>-1.6607312068216509</v>
      </c>
      <c r="D1855" s="25">
        <v>0.19</v>
      </c>
      <c r="E1855" s="25">
        <v>8139</v>
      </c>
      <c r="F1855" s="26" t="s">
        <v>537</v>
      </c>
      <c r="G1855" s="26" t="s">
        <v>126</v>
      </c>
      <c r="H1855" s="26" t="s">
        <v>349</v>
      </c>
      <c r="I1855" s="26" t="s">
        <v>538</v>
      </c>
      <c r="J1855" s="26" t="s">
        <v>539</v>
      </c>
      <c r="K1855" s="26" t="s">
        <v>242</v>
      </c>
      <c r="L1855" s="26" t="s">
        <v>31</v>
      </c>
      <c r="M1855" s="26" t="s">
        <v>323</v>
      </c>
      <c r="N1855" s="26">
        <v>100</v>
      </c>
      <c r="O1855" s="26">
        <f>2024-Inventory[[#This Row],[YrBlt]]</f>
        <v>94</v>
      </c>
      <c r="P1855" s="26">
        <f>2024-Inventory[[#This Row],[EffYr]]</f>
        <v>54</v>
      </c>
      <c r="Q1855" s="25">
        <v>1930</v>
      </c>
      <c r="R1855" s="25">
        <v>1970</v>
      </c>
      <c r="S1855" s="25">
        <v>852</v>
      </c>
      <c r="T1855" s="27"/>
      <c r="U1855" s="25">
        <v>852</v>
      </c>
      <c r="V1855" s="25">
        <f>Inventory[[#This Row],[Bsmt]]-Inventory[[#This Row],[FnBsmt]]</f>
        <v>452</v>
      </c>
      <c r="W1855" s="25">
        <v>400</v>
      </c>
      <c r="X1855" s="27"/>
      <c r="Y1855" s="27">
        <f>Inventory[[#This Row],[MainFn]]+Inventory[[#This Row],[UpprFn]]+Inventory[[#This Row],[FnBsmt]]+Inventory[[#This Row],[AddFn]]</f>
        <v>1252</v>
      </c>
      <c r="Z1855" s="27">
        <v>1500</v>
      </c>
      <c r="AA1855" s="25">
        <v>5</v>
      </c>
      <c r="AB1855" s="27"/>
      <c r="AC1855" s="27"/>
      <c r="AD1855" s="27"/>
      <c r="AE1855" s="27"/>
      <c r="AF1855" s="27"/>
      <c r="AG1855" s="27"/>
      <c r="AH1855" s="27"/>
      <c r="AI1855" s="25">
        <v>176029</v>
      </c>
      <c r="AJ1855" s="25">
        <v>116179</v>
      </c>
      <c r="AK1855" s="25">
        <v>4877</v>
      </c>
      <c r="AL1855" s="25">
        <v>257700</v>
      </c>
      <c r="AM1855" s="25">
        <v>56600</v>
      </c>
      <c r="AN1855" s="25">
        <v>201100</v>
      </c>
      <c r="AO1855" s="25">
        <v>0</v>
      </c>
      <c r="AP1855" s="25">
        <f>Lookups!$B$56*0</f>
        <v>0</v>
      </c>
      <c r="AQ1855" s="25">
        <f>Lookups!$B$56*1</f>
        <v>89850.625589999996</v>
      </c>
      <c r="AR1855" s="25">
        <f>Lookups!$B$57*Inventory[[#This Row],[LnAcres]]</f>
        <v>-52569.808201026557</v>
      </c>
      <c r="AS1855" s="25">
        <f>VLOOKUP(Inventory[[#This Row],[Qlty]],Lookups!$A$62:$E$75,2,FALSE)</f>
        <v>-43578.886190266698</v>
      </c>
      <c r="AT1855" s="25">
        <f>VLOOKUP(Inventory[[#This Row],[Cnd]],Lookups!$A$76:$E$84,2,FALSE)</f>
        <v>160472.20319</v>
      </c>
      <c r="AU1855" s="25">
        <f>Inventory[[#This Row],[EffAge]]*Lookups!$B$85</f>
        <v>-12044.462427</v>
      </c>
      <c r="AV1855" s="25">
        <f>Inventory[[#This Row],[MainFn]]*Lookups!$B$86</f>
        <v>42096.186735203999</v>
      </c>
      <c r="AW1855" s="25">
        <f>Inventory[[#This Row],[UpprFn]]*Lookups!$B$87</f>
        <v>0</v>
      </c>
      <c r="AX1855" s="25">
        <f>Inventory[[#This Row],[AddFn]]*Lookups!$B$88</f>
        <v>0</v>
      </c>
      <c r="AY1855" s="25">
        <f>Inventory[[#This Row],[Bsmt]]*Lookups!$B$89</f>
        <v>24777.774750443998</v>
      </c>
      <c r="AZ1855" s="25">
        <f>Inventory[[#This Row],[Fixtures]]*Lookups!$B$90</f>
        <v>18960.110526</v>
      </c>
      <c r="BA1855" s="25">
        <f>Inventory[[#This Row],[WdDeck]]*Lookups!$B$91</f>
        <v>0</v>
      </c>
      <c r="BB1855" s="25">
        <f>ROUND(Inventory[[#This Row],[25Det]],-2)</f>
        <v>4900</v>
      </c>
      <c r="BC1855" s="25">
        <f>ROUND(SUM(Inventory[[#This Row],[Mdl Qlty]:[Mdl WdDeck]])+Inventory[[#This Row],[Mdl Res Intercept]],-2)</f>
        <v>190700</v>
      </c>
      <c r="BD1855" s="25">
        <f>ROUND(Inventory[[#This Row],[Mdl Land Intercept]]+Inventory[[#This Row],[Mdl LnAcres]],-2)</f>
        <v>37300</v>
      </c>
      <c r="BE1855" s="25">
        <f>Inventory[[#This Row],[Unadj Res Value]]+Inventory[[#This Row],[Unadj Det Value]]+Inventory[[#This Row],[Unadj Land Value]]</f>
        <v>232900</v>
      </c>
      <c r="BF1855" s="36">
        <f>(Inventory[[#This Row],[Unadj Total Value]]-Inventory[[#This Row],[24Final]])/Inventory[[#This Row],[24Final]]</f>
        <v>-9.6235933255723716E-2</v>
      </c>
      <c r="BG1855" s="25">
        <f>VLOOKUP(Inventory[[#This Row],[Nbhd]],Lookups!$Q$2:$T$4,4,FALSE)</f>
        <v>0.99970000000000003</v>
      </c>
      <c r="BH1855" s="25">
        <f>VLOOKUP(Inventory[[#This Row],[Qlty]],Lookups!$O$7:$R$21,4,FALSE)</f>
        <v>1</v>
      </c>
      <c r="BI1855" s="25">
        <f>VLOOKUP(Inventory[[#This Row],[Cnd]],Lookups!$T$7:$W$16,4,FALSE)</f>
        <v>0.99729999999999996</v>
      </c>
      <c r="BJ1855" s="25">
        <f>VLOOKUP(Inventory[[#This Row],[LivArea Range]],Lookups!$T$25:$W$37,4,FALSE)</f>
        <v>1.0157</v>
      </c>
      <c r="BK1855" s="25">
        <f>VLOOKUP(Inventory[[#This Row],[Decade]],Lookups!$O$25:$R$42,4,FALSE)</f>
        <v>1.0074000000000001</v>
      </c>
      <c r="BL1855" s="25">
        <f>Inventory[[#This Row],[Nbhd Adj]]*0.95</f>
        <v>0.94971499999999998</v>
      </c>
      <c r="BM1855" s="25">
        <f>Inventory[[#This Row],[Nbhd Adj]]*Inventory[[#This Row],[Quality Adj]]*Inventory[[#This Row],[Condition Adj]]*Inventory[[#This Row],[Living Area Adj]]*Inventory[[#This Row],[Decade Adj]]*0.95</f>
        <v>0.96913999225185055</v>
      </c>
      <c r="BN1855" s="25">
        <f>ROUND(SUM(Inventory[[#This Row],[Mdl Qlty]:[Mdl WdDeck]])+Inventory[[#This Row],[Mdl Res Intercept]]*Inventory[[#This Row],[Res Adj ]],-2)</f>
        <v>190700</v>
      </c>
      <c r="BO1855" s="25">
        <f>ROUND(Inventory[[#This Row],[25Det]]*Inventory[[#This Row],[Det/Nbhd Adj]],-2)</f>
        <v>4600</v>
      </c>
      <c r="BP1855" s="25">
        <f>Inventory[[#This Row],[Adjusted Res]]+Inventory[[#This Row],[Adj Det ]]</f>
        <v>195300</v>
      </c>
      <c r="BQ1855" s="25">
        <f>ROUND((Inventory[[#This Row],[Mdl Land Intercept]]+Inventory[[#This Row],[Mdl LnAcres]])*Inventory[[#This Row],[Det/Nbhd Adj]],-2)</f>
        <v>35400</v>
      </c>
      <c r="BR1855" s="25">
        <f>Inventory[[#This Row],[Adjusted Impr Total]]+Inventory[[#This Row],[Adjusted Land Total]]</f>
        <v>230700</v>
      </c>
      <c r="BS1855" s="36">
        <f>IFERROR((Inventory[[#This Row],[Adjusted Impr Total]]-Inventory[[#This Row],[24Bldg]])/Inventory[[#This Row],[24Bldg]],0)</f>
        <v>-2.8841372451516658E-2</v>
      </c>
      <c r="BT1855" s="36">
        <f>(Inventory[[#This Row],[Adjusted Land Total]]-Inventory[[#This Row],[24Lnd]])/Inventory[[#This Row],[24Lnd]]</f>
        <v>-0.37455830388692579</v>
      </c>
      <c r="BU1855" s="36">
        <f>(Inventory[[#This Row],[Adjusted Total]]-Inventory[[#This Row],[24Final]])/Inventory[[#This Row],[24Final]]</f>
        <v>-0.10477299185098952</v>
      </c>
    </row>
    <row r="1856" spans="1:73" x14ac:dyDescent="0.3">
      <c r="A1856" s="25">
        <v>2025</v>
      </c>
      <c r="B1856" s="26" t="s">
        <v>995</v>
      </c>
      <c r="C1856" s="26">
        <f>LN(Inventory[[#This Row],[Acres]])</f>
        <v>-2.120263536200091</v>
      </c>
      <c r="D1856" s="25">
        <v>0.12</v>
      </c>
      <c r="E1856" s="25">
        <v>5047</v>
      </c>
      <c r="F1856" s="26" t="s">
        <v>537</v>
      </c>
      <c r="G1856" s="26" t="s">
        <v>126</v>
      </c>
      <c r="H1856" s="26" t="s">
        <v>349</v>
      </c>
      <c r="I1856" s="26" t="s">
        <v>538</v>
      </c>
      <c r="J1856" s="26" t="s">
        <v>638</v>
      </c>
      <c r="K1856" s="26" t="s">
        <v>242</v>
      </c>
      <c r="L1856" s="26" t="s">
        <v>31</v>
      </c>
      <c r="M1856" s="26" t="s">
        <v>206</v>
      </c>
      <c r="N1856" s="26">
        <v>100</v>
      </c>
      <c r="O1856" s="26">
        <f>2024-Inventory[[#This Row],[YrBlt]]</f>
        <v>94</v>
      </c>
      <c r="P1856" s="26">
        <f>2024-Inventory[[#This Row],[EffYr]]</f>
        <v>54</v>
      </c>
      <c r="Q1856" s="25">
        <v>1930</v>
      </c>
      <c r="R1856" s="25">
        <v>1970</v>
      </c>
      <c r="S1856" s="25">
        <v>951</v>
      </c>
      <c r="T1856" s="27"/>
      <c r="U1856" s="32">
        <v>234</v>
      </c>
      <c r="V1856" s="32">
        <f>Inventory[[#This Row],[Bsmt]]-Inventory[[#This Row],[FnBsmt]]</f>
        <v>234</v>
      </c>
      <c r="W1856" s="27"/>
      <c r="X1856" s="27"/>
      <c r="Y1856" s="27">
        <f>Inventory[[#This Row],[MainFn]]+Inventory[[#This Row],[UpprFn]]+Inventory[[#This Row],[FnBsmt]]+Inventory[[#This Row],[AddFn]]</f>
        <v>951</v>
      </c>
      <c r="Z1856" s="27">
        <v>1000</v>
      </c>
      <c r="AA1856" s="25">
        <v>5</v>
      </c>
      <c r="AB1856" s="27"/>
      <c r="AC1856" s="27"/>
      <c r="AD1856" s="27"/>
      <c r="AE1856" s="27"/>
      <c r="AF1856" s="27"/>
      <c r="AG1856" s="27"/>
      <c r="AH1856" s="27"/>
      <c r="AI1856" s="25">
        <v>153221</v>
      </c>
      <c r="AJ1856" s="25">
        <v>98061</v>
      </c>
      <c r="AK1856" s="25">
        <v>0</v>
      </c>
      <c r="AL1856" s="25">
        <v>193500</v>
      </c>
      <c r="AM1856" s="25">
        <v>40600</v>
      </c>
      <c r="AN1856" s="25">
        <v>152900</v>
      </c>
      <c r="AO1856" s="25">
        <v>0</v>
      </c>
      <c r="AP1856" s="25">
        <f>Lookups!$B$56*0</f>
        <v>0</v>
      </c>
      <c r="AQ1856" s="25">
        <f>Lookups!$B$56*1</f>
        <v>89850.625589999996</v>
      </c>
      <c r="AR1856" s="25">
        <f>Lookups!$B$57*Inventory[[#This Row],[LnAcres]]</f>
        <v>-67116.12750806773</v>
      </c>
      <c r="AS1856" s="25">
        <f>VLOOKUP(Inventory[[#This Row],[Qlty]],Lookups!$A$62:$E$75,2,FALSE)</f>
        <v>-43578.886190266698</v>
      </c>
      <c r="AT1856" s="25">
        <f>VLOOKUP(Inventory[[#This Row],[Cnd]],Lookups!$A$76:$E$84,2,FALSE)</f>
        <v>133714.53821</v>
      </c>
      <c r="AU1856" s="25">
        <f>Inventory[[#This Row],[EffAge]]*Lookups!$B$85</f>
        <v>-12044.462427</v>
      </c>
      <c r="AV1856" s="25">
        <f>Inventory[[#This Row],[MainFn]]*Lookups!$B$86</f>
        <v>46987.645053027001</v>
      </c>
      <c r="AW1856" s="25">
        <f>Inventory[[#This Row],[UpprFn]]*Lookups!$B$87</f>
        <v>0</v>
      </c>
      <c r="AX1856" s="25">
        <f>Inventory[[#This Row],[AddFn]]*Lookups!$B$88</f>
        <v>0</v>
      </c>
      <c r="AY1856" s="25">
        <f>Inventory[[#This Row],[Bsmt]]*Lookups!$B$89</f>
        <v>6805.1634877979996</v>
      </c>
      <c r="AZ1856" s="25">
        <f>Inventory[[#This Row],[Fixtures]]*Lookups!$B$90</f>
        <v>18960.110526</v>
      </c>
      <c r="BA1856" s="25">
        <f>Inventory[[#This Row],[WdDeck]]*Lookups!$B$91</f>
        <v>0</v>
      </c>
      <c r="BB1856" s="25">
        <f>ROUND(Inventory[[#This Row],[25Det]],-2)</f>
        <v>0</v>
      </c>
      <c r="BC1856" s="25">
        <f>ROUND(SUM(Inventory[[#This Row],[Mdl Qlty]:[Mdl WdDeck]])+Inventory[[#This Row],[Mdl Res Intercept]],-2)</f>
        <v>150800</v>
      </c>
      <c r="BD1856" s="25">
        <f>ROUND(Inventory[[#This Row],[Mdl Land Intercept]]+Inventory[[#This Row],[Mdl LnAcres]],-2)</f>
        <v>22700</v>
      </c>
      <c r="BE1856" s="25">
        <f>Inventory[[#This Row],[Unadj Res Value]]+Inventory[[#This Row],[Unadj Det Value]]+Inventory[[#This Row],[Unadj Land Value]]</f>
        <v>173500</v>
      </c>
      <c r="BF1856" s="36">
        <f>(Inventory[[#This Row],[Unadj Total Value]]-Inventory[[#This Row],[24Final]])/Inventory[[#This Row],[24Final]]</f>
        <v>-0.10335917312661498</v>
      </c>
      <c r="BG1856" s="25">
        <f>VLOOKUP(Inventory[[#This Row],[Nbhd]],Lookups!$Q$2:$T$4,4,FALSE)</f>
        <v>0.99970000000000003</v>
      </c>
      <c r="BH1856" s="25">
        <f>VLOOKUP(Inventory[[#This Row],[Qlty]],Lookups!$O$7:$R$21,4,FALSE)</f>
        <v>1</v>
      </c>
      <c r="BI1856" s="25">
        <f>VLOOKUP(Inventory[[#This Row],[Cnd]],Lookups!$T$7:$W$16,4,FALSE)</f>
        <v>0.99329999999999996</v>
      </c>
      <c r="BJ1856" s="25">
        <f>VLOOKUP(Inventory[[#This Row],[LivArea Range]],Lookups!$T$25:$W$37,4,FALSE)</f>
        <v>1.0148999999999999</v>
      </c>
      <c r="BK1856" s="25">
        <f>VLOOKUP(Inventory[[#This Row],[Decade]],Lookups!$O$25:$R$42,4,FALSE)</f>
        <v>1.0074000000000001</v>
      </c>
      <c r="BL1856" s="25">
        <f>Inventory[[#This Row],[Nbhd Adj]]*0.95</f>
        <v>0.94971499999999998</v>
      </c>
      <c r="BM1856" s="25">
        <f>Inventory[[#This Row],[Nbhd Adj]]*Inventory[[#This Row],[Quality Adj]]*Inventory[[#This Row],[Condition Adj]]*Inventory[[#This Row],[Living Area Adj]]*Inventory[[#This Row],[Decade Adj]]*0.95</f>
        <v>0.96449267106339143</v>
      </c>
      <c r="BN1856" s="25">
        <f>ROUND(SUM(Inventory[[#This Row],[Mdl Qlty]:[Mdl WdDeck]])+Inventory[[#This Row],[Mdl Res Intercept]]*Inventory[[#This Row],[Res Adj ]],-2)</f>
        <v>150800</v>
      </c>
      <c r="BO1856" s="25">
        <f>ROUND(Inventory[[#This Row],[25Det]]*Inventory[[#This Row],[Det/Nbhd Adj]],-2)</f>
        <v>0</v>
      </c>
      <c r="BP1856" s="25">
        <f>Inventory[[#This Row],[Adjusted Res]]+Inventory[[#This Row],[Adj Det ]]</f>
        <v>150800</v>
      </c>
      <c r="BQ1856" s="25">
        <f>ROUND((Inventory[[#This Row],[Mdl Land Intercept]]+Inventory[[#This Row],[Mdl LnAcres]])*Inventory[[#This Row],[Det/Nbhd Adj]],-2)</f>
        <v>21600</v>
      </c>
      <c r="BR1856" s="25">
        <f>Inventory[[#This Row],[Adjusted Impr Total]]+Inventory[[#This Row],[Adjusted Land Total]]</f>
        <v>172400</v>
      </c>
      <c r="BS1856" s="36">
        <f>IFERROR((Inventory[[#This Row],[Adjusted Impr Total]]-Inventory[[#This Row],[24Bldg]])/Inventory[[#This Row],[24Bldg]],0)</f>
        <v>-1.3734466971877043E-2</v>
      </c>
      <c r="BT1856" s="36">
        <f>(Inventory[[#This Row],[Adjusted Land Total]]-Inventory[[#This Row],[24Lnd]])/Inventory[[#This Row],[24Lnd]]</f>
        <v>-0.46798029556650245</v>
      </c>
      <c r="BU1856" s="36">
        <f>(Inventory[[#This Row],[Adjusted Total]]-Inventory[[#This Row],[24Final]])/Inventory[[#This Row],[24Final]]</f>
        <v>-0.10904392764857881</v>
      </c>
    </row>
    <row r="1857" spans="1:73" x14ac:dyDescent="0.3">
      <c r="A1857" s="25">
        <v>2025</v>
      </c>
      <c r="B1857" s="26" t="s">
        <v>2869</v>
      </c>
      <c r="C1857" s="26">
        <f>LN(Inventory[[#This Row],[Acres]])</f>
        <v>-1.6607312068216509</v>
      </c>
      <c r="D1857" s="25">
        <v>0.19</v>
      </c>
      <c r="E1857" s="31"/>
      <c r="F1857" s="26" t="s">
        <v>537</v>
      </c>
      <c r="G1857" s="26" t="s">
        <v>126</v>
      </c>
      <c r="H1857" s="26" t="s">
        <v>349</v>
      </c>
      <c r="I1857" s="26" t="s">
        <v>538</v>
      </c>
      <c r="J1857" s="26" t="s">
        <v>539</v>
      </c>
      <c r="K1857" s="26" t="s">
        <v>242</v>
      </c>
      <c r="L1857" s="26" t="s">
        <v>31</v>
      </c>
      <c r="M1857" s="26" t="s">
        <v>323</v>
      </c>
      <c r="N1857" s="26">
        <v>100</v>
      </c>
      <c r="O1857" s="26">
        <f>2024-Inventory[[#This Row],[YrBlt]]</f>
        <v>94</v>
      </c>
      <c r="P1857" s="26">
        <f>2024-Inventory[[#This Row],[EffYr]]</f>
        <v>54</v>
      </c>
      <c r="Q1857" s="25">
        <v>1930</v>
      </c>
      <c r="R1857" s="25">
        <v>1970</v>
      </c>
      <c r="S1857" s="25">
        <v>648</v>
      </c>
      <c r="T1857" s="31"/>
      <c r="U1857" s="31"/>
      <c r="V1857" s="31">
        <f>Inventory[[#This Row],[Bsmt]]-Inventory[[#This Row],[FnBsmt]]</f>
        <v>0</v>
      </c>
      <c r="W1857" s="31"/>
      <c r="X1857" s="27"/>
      <c r="Y1857" s="27">
        <f>Inventory[[#This Row],[MainFn]]+Inventory[[#This Row],[UpprFn]]+Inventory[[#This Row],[FnBsmt]]+Inventory[[#This Row],[AddFn]]</f>
        <v>648</v>
      </c>
      <c r="Z1857" s="27">
        <v>1000</v>
      </c>
      <c r="AA1857" s="25">
        <v>5</v>
      </c>
      <c r="AB1857" s="27"/>
      <c r="AC1857" s="27"/>
      <c r="AD1857" s="31"/>
      <c r="AE1857" s="27"/>
      <c r="AF1857" s="27"/>
      <c r="AG1857" s="27"/>
      <c r="AH1857" s="27"/>
      <c r="AI1857" s="25">
        <v>99441</v>
      </c>
      <c r="AJ1857" s="25">
        <v>65631</v>
      </c>
      <c r="AK1857" s="25">
        <v>5613</v>
      </c>
      <c r="AL1857" s="25">
        <v>224800</v>
      </c>
      <c r="AM1857" s="25">
        <v>56600</v>
      </c>
      <c r="AN1857" s="25">
        <v>168200</v>
      </c>
      <c r="AO1857" s="25">
        <v>0</v>
      </c>
      <c r="AP1857" s="25">
        <f>Lookups!$B$56*0</f>
        <v>0</v>
      </c>
      <c r="AQ1857" s="25">
        <f>Lookups!$B$56*1</f>
        <v>89850.625589999996</v>
      </c>
      <c r="AR1857" s="25">
        <f>Lookups!$B$57*Inventory[[#This Row],[LnAcres]]</f>
        <v>-52569.808201026557</v>
      </c>
      <c r="AS1857" s="25">
        <f>VLOOKUP(Inventory[[#This Row],[Qlty]],Lookups!$A$62:$E$75,2,FALSE)</f>
        <v>-43578.886190266698</v>
      </c>
      <c r="AT1857" s="25">
        <f>VLOOKUP(Inventory[[#This Row],[Cnd]],Lookups!$A$76:$E$84,2,FALSE)</f>
        <v>160472.20319</v>
      </c>
      <c r="AU1857" s="25">
        <f>Inventory[[#This Row],[EffAge]]*Lookups!$B$85</f>
        <v>-12044.462427</v>
      </c>
      <c r="AV1857" s="25">
        <f>Inventory[[#This Row],[MainFn]]*Lookups!$B$86</f>
        <v>32016.818080296001</v>
      </c>
      <c r="AW1857" s="25">
        <f>Inventory[[#This Row],[UpprFn]]*Lookups!$B$87</f>
        <v>0</v>
      </c>
      <c r="AX1857" s="25">
        <f>Inventory[[#This Row],[AddFn]]*Lookups!$B$88</f>
        <v>0</v>
      </c>
      <c r="AY1857" s="25">
        <f>Inventory[[#This Row],[Bsmt]]*Lookups!$B$89</f>
        <v>0</v>
      </c>
      <c r="AZ1857" s="25">
        <f>Inventory[[#This Row],[Fixtures]]*Lookups!$B$90</f>
        <v>18960.110526</v>
      </c>
      <c r="BA1857" s="25">
        <f>Inventory[[#This Row],[WdDeck]]*Lookups!$B$91</f>
        <v>0</v>
      </c>
      <c r="BB1857" s="25">
        <f>ROUND(Inventory[[#This Row],[25Det]],-2)</f>
        <v>5600</v>
      </c>
      <c r="BC1857" s="25">
        <f>ROUND(SUM(Inventory[[#This Row],[Mdl Qlty]:[Mdl WdDeck]])+Inventory[[#This Row],[Mdl Res Intercept]],-2)</f>
        <v>155800</v>
      </c>
      <c r="BD1857" s="25">
        <f>ROUND(Inventory[[#This Row],[Mdl Land Intercept]]+Inventory[[#This Row],[Mdl LnAcres]],-2)</f>
        <v>37300</v>
      </c>
      <c r="BE1857" s="25">
        <f>Inventory[[#This Row],[Unadj Res Value]]+Inventory[[#This Row],[Unadj Det Value]]+Inventory[[#This Row],[Unadj Land Value]]</f>
        <v>198700</v>
      </c>
      <c r="BF1857" s="36">
        <f>(Inventory[[#This Row],[Unadj Total Value]]-Inventory[[#This Row],[24Final]])/Inventory[[#This Row],[24Final]]</f>
        <v>-0.11610320284697509</v>
      </c>
      <c r="BG1857" s="25">
        <f>VLOOKUP(Inventory[[#This Row],[Nbhd]],Lookups!$Q$2:$T$4,4,FALSE)</f>
        <v>0.99970000000000003</v>
      </c>
      <c r="BH1857" s="25">
        <f>VLOOKUP(Inventory[[#This Row],[Qlty]],Lookups!$O$7:$R$21,4,FALSE)</f>
        <v>1</v>
      </c>
      <c r="BI1857" s="25">
        <f>VLOOKUP(Inventory[[#This Row],[Cnd]],Lookups!$T$7:$W$16,4,FALSE)</f>
        <v>0.99729999999999996</v>
      </c>
      <c r="BJ1857" s="25">
        <f>VLOOKUP(Inventory[[#This Row],[LivArea Range]],Lookups!$T$25:$W$37,4,FALSE)</f>
        <v>1.0148999999999999</v>
      </c>
      <c r="BK1857" s="25">
        <f>VLOOKUP(Inventory[[#This Row],[Decade]],Lookups!$O$25:$R$42,4,FALSE)</f>
        <v>1.0074000000000001</v>
      </c>
      <c r="BL1857" s="25">
        <f>Inventory[[#This Row],[Nbhd Adj]]*0.95</f>
        <v>0.94971499999999998</v>
      </c>
      <c r="BM1857" s="25">
        <f>Inventory[[#This Row],[Nbhd Adj]]*Inventory[[#This Row],[Quality Adj]]*Inventory[[#This Row],[Condition Adj]]*Inventory[[#This Row],[Living Area Adj]]*Inventory[[#This Row],[Decade Adj]]*0.95</f>
        <v>0.96837666450369497</v>
      </c>
      <c r="BN1857" s="25">
        <f>ROUND(SUM(Inventory[[#This Row],[Mdl Qlty]:[Mdl WdDeck]])+Inventory[[#This Row],[Mdl Res Intercept]]*Inventory[[#This Row],[Res Adj ]],-2)</f>
        <v>155800</v>
      </c>
      <c r="BO1857" s="25">
        <f>ROUND(Inventory[[#This Row],[25Det]]*Inventory[[#This Row],[Det/Nbhd Adj]],-2)</f>
        <v>5300</v>
      </c>
      <c r="BP1857" s="25">
        <f>Inventory[[#This Row],[Adjusted Res]]+Inventory[[#This Row],[Adj Det ]]</f>
        <v>161100</v>
      </c>
      <c r="BQ1857" s="25">
        <f>ROUND((Inventory[[#This Row],[Mdl Land Intercept]]+Inventory[[#This Row],[Mdl LnAcres]])*Inventory[[#This Row],[Det/Nbhd Adj]],-2)</f>
        <v>35400</v>
      </c>
      <c r="BR1857" s="25">
        <f>Inventory[[#This Row],[Adjusted Impr Total]]+Inventory[[#This Row],[Adjusted Land Total]]</f>
        <v>196500</v>
      </c>
      <c r="BS1857" s="36">
        <f>IFERROR((Inventory[[#This Row],[Adjusted Impr Total]]-Inventory[[#This Row],[24Bldg]])/Inventory[[#This Row],[24Bldg]],0)</f>
        <v>-4.2211652794292509E-2</v>
      </c>
      <c r="BT1857" s="36">
        <f>(Inventory[[#This Row],[Adjusted Land Total]]-Inventory[[#This Row],[24Lnd]])/Inventory[[#This Row],[24Lnd]]</f>
        <v>-0.37455830388692579</v>
      </c>
      <c r="BU1857" s="36">
        <f>(Inventory[[#This Row],[Adjusted Total]]-Inventory[[#This Row],[24Final]])/Inventory[[#This Row],[24Final]]</f>
        <v>-0.12588967971530249</v>
      </c>
    </row>
    <row r="1858" spans="1:73" x14ac:dyDescent="0.3">
      <c r="A1858" s="25">
        <v>2025</v>
      </c>
      <c r="B1858" s="26" t="s">
        <v>1847</v>
      </c>
      <c r="C1858" s="26">
        <f>LN(Inventory[[#This Row],[Acres]])</f>
        <v>-1.8971199848858813</v>
      </c>
      <c r="D1858" s="25">
        <v>0.15</v>
      </c>
      <c r="E1858" s="31"/>
      <c r="F1858" s="26" t="s">
        <v>537</v>
      </c>
      <c r="G1858" s="26" t="s">
        <v>126</v>
      </c>
      <c r="H1858" s="26" t="s">
        <v>349</v>
      </c>
      <c r="I1858" s="26" t="s">
        <v>538</v>
      </c>
      <c r="J1858" s="26" t="s">
        <v>539</v>
      </c>
      <c r="K1858" s="26" t="s">
        <v>242</v>
      </c>
      <c r="L1858" s="26" t="s">
        <v>31</v>
      </c>
      <c r="M1858" s="26" t="s">
        <v>323</v>
      </c>
      <c r="N1858" s="26">
        <v>100</v>
      </c>
      <c r="O1858" s="26">
        <f>2024-Inventory[[#This Row],[YrBlt]]</f>
        <v>94</v>
      </c>
      <c r="P1858" s="26">
        <f>2024-Inventory[[#This Row],[EffYr]]</f>
        <v>54</v>
      </c>
      <c r="Q1858" s="25">
        <v>1930</v>
      </c>
      <c r="R1858" s="25">
        <v>1970</v>
      </c>
      <c r="S1858" s="25">
        <v>600</v>
      </c>
      <c r="T1858" s="27"/>
      <c r="U1858" s="27"/>
      <c r="V1858" s="27">
        <f>Inventory[[#This Row],[Bsmt]]-Inventory[[#This Row],[FnBsmt]]</f>
        <v>0</v>
      </c>
      <c r="W1858" s="27"/>
      <c r="X1858" s="27"/>
      <c r="Y1858" s="27">
        <f>Inventory[[#This Row],[MainFn]]+Inventory[[#This Row],[UpprFn]]+Inventory[[#This Row],[FnBsmt]]+Inventory[[#This Row],[AddFn]]</f>
        <v>600</v>
      </c>
      <c r="Z1858" s="27">
        <v>1000</v>
      </c>
      <c r="AA1858" s="25">
        <v>5</v>
      </c>
      <c r="AB1858" s="27"/>
      <c r="AC1858" s="27"/>
      <c r="AD1858" s="27"/>
      <c r="AE1858" s="27"/>
      <c r="AF1858" s="27"/>
      <c r="AG1858" s="27"/>
      <c r="AH1858" s="27"/>
      <c r="AI1858" s="25">
        <v>96241</v>
      </c>
      <c r="AJ1858" s="25">
        <v>63519</v>
      </c>
      <c r="AK1858" s="25">
        <v>0</v>
      </c>
      <c r="AL1858" s="25">
        <v>208100</v>
      </c>
      <c r="AM1858" s="25">
        <v>48400</v>
      </c>
      <c r="AN1858" s="25">
        <v>159700</v>
      </c>
      <c r="AO1858" s="25">
        <v>0</v>
      </c>
      <c r="AP1858" s="25">
        <f>Lookups!$B$56*0</f>
        <v>0</v>
      </c>
      <c r="AQ1858" s="25">
        <f>Lookups!$B$56*1</f>
        <v>89850.625589999996</v>
      </c>
      <c r="AR1858" s="25">
        <f>Lookups!$B$57*Inventory[[#This Row],[LnAcres]]</f>
        <v>-60052.604136134301</v>
      </c>
      <c r="AS1858" s="25">
        <f>VLOOKUP(Inventory[[#This Row],[Qlty]],Lookups!$A$62:$E$75,2,FALSE)</f>
        <v>-43578.886190266698</v>
      </c>
      <c r="AT1858" s="25">
        <f>VLOOKUP(Inventory[[#This Row],[Cnd]],Lookups!$A$76:$E$84,2,FALSE)</f>
        <v>160472.20319</v>
      </c>
      <c r="AU1858" s="25">
        <f>Inventory[[#This Row],[EffAge]]*Lookups!$B$85</f>
        <v>-12044.462427</v>
      </c>
      <c r="AV1858" s="25">
        <f>Inventory[[#This Row],[MainFn]]*Lookups!$B$86</f>
        <v>29645.201926199999</v>
      </c>
      <c r="AW1858" s="25">
        <f>Inventory[[#This Row],[UpprFn]]*Lookups!$B$87</f>
        <v>0</v>
      </c>
      <c r="AX1858" s="25">
        <f>Inventory[[#This Row],[AddFn]]*Lookups!$B$88</f>
        <v>0</v>
      </c>
      <c r="AY1858" s="25">
        <f>Inventory[[#This Row],[Bsmt]]*Lookups!$B$89</f>
        <v>0</v>
      </c>
      <c r="AZ1858" s="25">
        <f>Inventory[[#This Row],[Fixtures]]*Lookups!$B$90</f>
        <v>18960.110526</v>
      </c>
      <c r="BA1858" s="25">
        <f>Inventory[[#This Row],[WdDeck]]*Lookups!$B$91</f>
        <v>0</v>
      </c>
      <c r="BB1858" s="25">
        <f>ROUND(Inventory[[#This Row],[25Det]],-2)</f>
        <v>0</v>
      </c>
      <c r="BC1858" s="25">
        <f>ROUND(SUM(Inventory[[#This Row],[Mdl Qlty]:[Mdl WdDeck]])+Inventory[[#This Row],[Mdl Res Intercept]],-2)</f>
        <v>153500</v>
      </c>
      <c r="BD1858" s="25">
        <f>ROUND(Inventory[[#This Row],[Mdl Land Intercept]]+Inventory[[#This Row],[Mdl LnAcres]],-2)</f>
        <v>29800</v>
      </c>
      <c r="BE1858" s="25">
        <f>Inventory[[#This Row],[Unadj Res Value]]+Inventory[[#This Row],[Unadj Det Value]]+Inventory[[#This Row],[Unadj Land Value]]</f>
        <v>183300</v>
      </c>
      <c r="BF1858" s="36">
        <f>(Inventory[[#This Row],[Unadj Total Value]]-Inventory[[#This Row],[24Final]])/Inventory[[#This Row],[24Final]]</f>
        <v>-0.11917347429120614</v>
      </c>
      <c r="BG1858" s="25">
        <f>VLOOKUP(Inventory[[#This Row],[Nbhd]],Lookups!$Q$2:$T$4,4,FALSE)</f>
        <v>0.99970000000000003</v>
      </c>
      <c r="BH1858" s="25">
        <f>VLOOKUP(Inventory[[#This Row],[Qlty]],Lookups!$O$7:$R$21,4,FALSE)</f>
        <v>1</v>
      </c>
      <c r="BI1858" s="25">
        <f>VLOOKUP(Inventory[[#This Row],[Cnd]],Lookups!$T$7:$W$16,4,FALSE)</f>
        <v>0.99729999999999996</v>
      </c>
      <c r="BJ1858" s="25">
        <f>VLOOKUP(Inventory[[#This Row],[LivArea Range]],Lookups!$T$25:$W$37,4,FALSE)</f>
        <v>1.0148999999999999</v>
      </c>
      <c r="BK1858" s="25">
        <f>VLOOKUP(Inventory[[#This Row],[Decade]],Lookups!$O$25:$R$42,4,FALSE)</f>
        <v>1.0074000000000001</v>
      </c>
      <c r="BL1858" s="25">
        <f>Inventory[[#This Row],[Nbhd Adj]]*0.95</f>
        <v>0.94971499999999998</v>
      </c>
      <c r="BM1858" s="25">
        <f>Inventory[[#This Row],[Nbhd Adj]]*Inventory[[#This Row],[Quality Adj]]*Inventory[[#This Row],[Condition Adj]]*Inventory[[#This Row],[Living Area Adj]]*Inventory[[#This Row],[Decade Adj]]*0.95</f>
        <v>0.96837666450369497</v>
      </c>
      <c r="BN1858" s="25">
        <f>ROUND(SUM(Inventory[[#This Row],[Mdl Qlty]:[Mdl WdDeck]])+Inventory[[#This Row],[Mdl Res Intercept]]*Inventory[[#This Row],[Res Adj ]],-2)</f>
        <v>153500</v>
      </c>
      <c r="BO1858" s="25">
        <f>ROUND(Inventory[[#This Row],[25Det]]*Inventory[[#This Row],[Det/Nbhd Adj]],-2)</f>
        <v>0</v>
      </c>
      <c r="BP1858" s="25">
        <f>Inventory[[#This Row],[Adjusted Res]]+Inventory[[#This Row],[Adj Det ]]</f>
        <v>153500</v>
      </c>
      <c r="BQ1858" s="25">
        <f>ROUND((Inventory[[#This Row],[Mdl Land Intercept]]+Inventory[[#This Row],[Mdl LnAcres]])*Inventory[[#This Row],[Det/Nbhd Adj]],-2)</f>
        <v>28300</v>
      </c>
      <c r="BR1858" s="25">
        <f>Inventory[[#This Row],[Adjusted Impr Total]]+Inventory[[#This Row],[Adjusted Land Total]]</f>
        <v>181800</v>
      </c>
      <c r="BS1858" s="36">
        <f>IFERROR((Inventory[[#This Row],[Adjusted Impr Total]]-Inventory[[#This Row],[24Bldg]])/Inventory[[#This Row],[24Bldg]],0)</f>
        <v>-3.8822792736380715E-2</v>
      </c>
      <c r="BT1858" s="36">
        <f>(Inventory[[#This Row],[Adjusted Land Total]]-Inventory[[#This Row],[24Lnd]])/Inventory[[#This Row],[24Lnd]]</f>
        <v>-0.41528925619834711</v>
      </c>
      <c r="BU1858" s="36">
        <f>(Inventory[[#This Row],[Adjusted Total]]-Inventory[[#This Row],[24Final]])/Inventory[[#This Row],[24Final]]</f>
        <v>-0.12638154733301296</v>
      </c>
    </row>
    <row r="1859" spans="1:73" x14ac:dyDescent="0.3">
      <c r="A1859" s="25">
        <v>2025</v>
      </c>
      <c r="B1859" s="26" t="s">
        <v>1199</v>
      </c>
      <c r="C1859" s="26">
        <f>LN(Inventory[[#This Row],[Acres]])</f>
        <v>-1.5141277326297755</v>
      </c>
      <c r="D1859" s="25">
        <v>0.22</v>
      </c>
      <c r="E1859" s="25">
        <v>9578</v>
      </c>
      <c r="F1859" s="26" t="s">
        <v>537</v>
      </c>
      <c r="G1859" s="26" t="s">
        <v>126</v>
      </c>
      <c r="H1859" s="26" t="s">
        <v>349</v>
      </c>
      <c r="I1859" s="26" t="s">
        <v>538</v>
      </c>
      <c r="J1859" s="26" t="s">
        <v>539</v>
      </c>
      <c r="K1859" s="26" t="s">
        <v>613</v>
      </c>
      <c r="L1859" s="26" t="s">
        <v>31</v>
      </c>
      <c r="M1859" s="26" t="s">
        <v>33</v>
      </c>
      <c r="N1859" s="26">
        <v>100</v>
      </c>
      <c r="O1859" s="26">
        <f>2024-Inventory[[#This Row],[YrBlt]]</f>
        <v>94</v>
      </c>
      <c r="P1859" s="26">
        <f>2024-Inventory[[#This Row],[EffYr]]</f>
        <v>54</v>
      </c>
      <c r="Q1859" s="25">
        <v>1930</v>
      </c>
      <c r="R1859" s="25">
        <v>1970</v>
      </c>
      <c r="S1859" s="25">
        <v>909</v>
      </c>
      <c r="T1859" s="27"/>
      <c r="U1859" s="32">
        <v>673</v>
      </c>
      <c r="V1859" s="32">
        <f>Inventory[[#This Row],[Bsmt]]-Inventory[[#This Row],[FnBsmt]]</f>
        <v>673</v>
      </c>
      <c r="W1859" s="27"/>
      <c r="X1859" s="27"/>
      <c r="Y1859" s="27">
        <f>Inventory[[#This Row],[MainFn]]+Inventory[[#This Row],[UpprFn]]+Inventory[[#This Row],[FnBsmt]]+Inventory[[#This Row],[AddFn]]</f>
        <v>909</v>
      </c>
      <c r="Z1859" s="27">
        <v>1000</v>
      </c>
      <c r="AA1859" s="25">
        <v>5</v>
      </c>
      <c r="AB1859" s="31"/>
      <c r="AC1859" s="27"/>
      <c r="AD1859" s="27"/>
      <c r="AE1859" s="27"/>
      <c r="AF1859" s="27"/>
      <c r="AG1859" s="27"/>
      <c r="AH1859" s="27"/>
      <c r="AI1859" s="25">
        <v>130139</v>
      </c>
      <c r="AJ1859" s="25">
        <v>81988</v>
      </c>
      <c r="AK1859" s="25">
        <v>0</v>
      </c>
      <c r="AL1859" s="25">
        <v>240400</v>
      </c>
      <c r="AM1859" s="25">
        <v>61700</v>
      </c>
      <c r="AN1859" s="25">
        <v>178700</v>
      </c>
      <c r="AO1859" s="25">
        <v>0</v>
      </c>
      <c r="AP1859" s="25">
        <f>Lookups!$B$56*0</f>
        <v>0</v>
      </c>
      <c r="AQ1859" s="25">
        <f>Lookups!$B$56*1</f>
        <v>89850.625589999996</v>
      </c>
      <c r="AR1859" s="25">
        <f>Lookups!$B$57*Inventory[[#This Row],[LnAcres]]</f>
        <v>-47929.131559187132</v>
      </c>
      <c r="AS1859" s="25">
        <f>VLOOKUP(Inventory[[#This Row],[Qlty]],Lookups!$A$62:$E$75,2,FALSE)</f>
        <v>-43578.886190266698</v>
      </c>
      <c r="AT1859" s="25">
        <f>VLOOKUP(Inventory[[#This Row],[Cnd]],Lookups!$A$76:$E$84,2,FALSE)</f>
        <v>39013.223933000001</v>
      </c>
      <c r="AU1859" s="25">
        <f>Inventory[[#This Row],[EffAge]]*Lookups!$B$85</f>
        <v>-12044.462427</v>
      </c>
      <c r="AV1859" s="25">
        <f>Inventory[[#This Row],[MainFn]]*Lookups!$B$86</f>
        <v>44912.480918193003</v>
      </c>
      <c r="AW1859" s="25">
        <f>Inventory[[#This Row],[UpprFn]]*Lookups!$B$87</f>
        <v>0</v>
      </c>
      <c r="AX1859" s="25">
        <f>Inventory[[#This Row],[AddFn]]*Lookups!$B$88</f>
        <v>0</v>
      </c>
      <c r="AY1859" s="25">
        <f>Inventory[[#This Row],[Bsmt]]*Lookups!$B$89</f>
        <v>19572.115501230997</v>
      </c>
      <c r="AZ1859" s="25">
        <f>Inventory[[#This Row],[Fixtures]]*Lookups!$B$90</f>
        <v>18960.110526</v>
      </c>
      <c r="BA1859" s="25">
        <f>Inventory[[#This Row],[WdDeck]]*Lookups!$B$91</f>
        <v>0</v>
      </c>
      <c r="BB1859" s="25">
        <f>ROUND(Inventory[[#This Row],[25Det]],-2)</f>
        <v>0</v>
      </c>
      <c r="BC1859" s="25">
        <f>ROUND(SUM(Inventory[[#This Row],[Mdl Qlty]:[Mdl WdDeck]])+Inventory[[#This Row],[Mdl Res Intercept]],-2)</f>
        <v>66800</v>
      </c>
      <c r="BD1859" s="25">
        <f>ROUND(Inventory[[#This Row],[Mdl Land Intercept]]+Inventory[[#This Row],[Mdl LnAcres]],-2)</f>
        <v>41900</v>
      </c>
      <c r="BE1859" s="25">
        <f>Inventory[[#This Row],[Unadj Res Value]]+Inventory[[#This Row],[Unadj Det Value]]+Inventory[[#This Row],[Unadj Land Value]]</f>
        <v>108700</v>
      </c>
      <c r="BF1859" s="36">
        <f>(Inventory[[#This Row],[Unadj Total Value]]-Inventory[[#This Row],[24Final]])/Inventory[[#This Row],[24Final]]</f>
        <v>-0.54783693843594006</v>
      </c>
      <c r="BG1859" s="25">
        <f>VLOOKUP(Inventory[[#This Row],[Nbhd]],Lookups!$Q$2:$T$4,4,FALSE)</f>
        <v>0.99970000000000003</v>
      </c>
      <c r="BH1859" s="25">
        <f>VLOOKUP(Inventory[[#This Row],[Qlty]],Lookups!$O$7:$R$21,4,FALSE)</f>
        <v>1</v>
      </c>
      <c r="BI1859" s="25">
        <f>VLOOKUP(Inventory[[#This Row],[Cnd]],Lookups!$T$7:$W$16,4,FALSE)</f>
        <v>1.0021</v>
      </c>
      <c r="BJ1859" s="25">
        <f>VLOOKUP(Inventory[[#This Row],[LivArea Range]],Lookups!$T$25:$W$37,4,FALSE)</f>
        <v>1.0148999999999999</v>
      </c>
      <c r="BK1859" s="25">
        <f>VLOOKUP(Inventory[[#This Row],[Decade]],Lookups!$O$25:$R$42,4,FALSE)</f>
        <v>1.0074000000000001</v>
      </c>
      <c r="BL1859" s="25">
        <f>Inventory[[#This Row],[Nbhd Adj]]*0.95</f>
        <v>0.94971499999999998</v>
      </c>
      <c r="BM1859" s="25">
        <f>Inventory[[#This Row],[Nbhd Adj]]*Inventory[[#This Row],[Quality Adj]]*Inventory[[#This Row],[Condition Adj]]*Inventory[[#This Row],[Living Area Adj]]*Inventory[[#This Row],[Decade Adj]]*0.95</f>
        <v>0.97303745663205943</v>
      </c>
      <c r="BN1859" s="25">
        <f>ROUND(SUM(Inventory[[#This Row],[Mdl Qlty]:[Mdl WdDeck]])+Inventory[[#This Row],[Mdl Res Intercept]]*Inventory[[#This Row],[Res Adj ]],-2)</f>
        <v>66800</v>
      </c>
      <c r="BO1859" s="25">
        <f>ROUND(Inventory[[#This Row],[25Det]]*Inventory[[#This Row],[Det/Nbhd Adj]],-2)</f>
        <v>0</v>
      </c>
      <c r="BP1859" s="25">
        <f>Inventory[[#This Row],[Adjusted Res]]+Inventory[[#This Row],[Adj Det ]]</f>
        <v>66800</v>
      </c>
      <c r="BQ1859" s="25">
        <f>ROUND((Inventory[[#This Row],[Mdl Land Intercept]]+Inventory[[#This Row],[Mdl LnAcres]])*Inventory[[#This Row],[Det/Nbhd Adj]],-2)</f>
        <v>39800</v>
      </c>
      <c r="BR1859" s="25">
        <f>Inventory[[#This Row],[Adjusted Impr Total]]+Inventory[[#This Row],[Adjusted Land Total]]</f>
        <v>106600</v>
      </c>
      <c r="BS1859" s="36">
        <f>IFERROR((Inventory[[#This Row],[Adjusted Impr Total]]-Inventory[[#This Row],[24Bldg]])/Inventory[[#This Row],[24Bldg]],0)</f>
        <v>-0.62618914381645219</v>
      </c>
      <c r="BT1859" s="36">
        <f>(Inventory[[#This Row],[Adjusted Land Total]]-Inventory[[#This Row],[24Lnd]])/Inventory[[#This Row],[24Lnd]]</f>
        <v>-0.35494327390599678</v>
      </c>
      <c r="BU1859" s="36">
        <f>(Inventory[[#This Row],[Adjusted Total]]-Inventory[[#This Row],[24Final]])/Inventory[[#This Row],[24Final]]</f>
        <v>-0.55657237936772042</v>
      </c>
    </row>
    <row r="1860" spans="1:73" x14ac:dyDescent="0.3">
      <c r="A1860" s="25">
        <v>2025</v>
      </c>
      <c r="B1860" s="26" t="s">
        <v>2607</v>
      </c>
      <c r="C1860" s="26">
        <f>LN(Inventory[[#This Row],[Acres]])</f>
        <v>-1.7719568419318752</v>
      </c>
      <c r="D1860" s="25">
        <v>0.17</v>
      </c>
      <c r="E1860" s="25">
        <v>7348</v>
      </c>
      <c r="F1860" s="26" t="s">
        <v>537</v>
      </c>
      <c r="G1860" s="26" t="s">
        <v>126</v>
      </c>
      <c r="H1860" s="26" t="s">
        <v>349</v>
      </c>
      <c r="I1860" s="26" t="s">
        <v>538</v>
      </c>
      <c r="J1860" s="26" t="s">
        <v>539</v>
      </c>
      <c r="K1860" s="26" t="s">
        <v>269</v>
      </c>
      <c r="L1860" s="26" t="s">
        <v>351</v>
      </c>
      <c r="M1860" s="26" t="s">
        <v>303</v>
      </c>
      <c r="N1860" s="26">
        <v>100</v>
      </c>
      <c r="O1860" s="26">
        <f>2024-Inventory[[#This Row],[YrBlt]]</f>
        <v>95</v>
      </c>
      <c r="P1860" s="26">
        <f>2024-Inventory[[#This Row],[EffYr]]</f>
        <v>55</v>
      </c>
      <c r="Q1860" s="25">
        <v>1929</v>
      </c>
      <c r="R1860" s="25">
        <v>1969</v>
      </c>
      <c r="S1860" s="25">
        <v>1147</v>
      </c>
      <c r="T1860" s="27"/>
      <c r="U1860" s="32">
        <v>1064</v>
      </c>
      <c r="V1860" s="32">
        <f>Inventory[[#This Row],[Bsmt]]-Inventory[[#This Row],[FnBsmt]]</f>
        <v>0</v>
      </c>
      <c r="W1860" s="32">
        <v>1064</v>
      </c>
      <c r="X1860" s="27"/>
      <c r="Y1860" s="27">
        <f>Inventory[[#This Row],[MainFn]]+Inventory[[#This Row],[UpprFn]]+Inventory[[#This Row],[FnBsmt]]+Inventory[[#This Row],[AddFn]]</f>
        <v>2211</v>
      </c>
      <c r="Z1860" s="27">
        <v>2500</v>
      </c>
      <c r="AA1860" s="25">
        <v>7</v>
      </c>
      <c r="AB1860" s="27"/>
      <c r="AC1860" s="27"/>
      <c r="AD1860" s="27"/>
      <c r="AE1860" s="27"/>
      <c r="AF1860" s="27"/>
      <c r="AG1860" s="27"/>
      <c r="AH1860" s="27"/>
      <c r="AI1860" s="25">
        <v>283197</v>
      </c>
      <c r="AJ1860" s="25">
        <v>189742</v>
      </c>
      <c r="AK1860" s="25">
        <v>6599</v>
      </c>
      <c r="AL1860" s="25">
        <v>342600</v>
      </c>
      <c r="AM1860" s="25">
        <v>52700</v>
      </c>
      <c r="AN1860" s="25">
        <v>289900</v>
      </c>
      <c r="AO1860" s="25">
        <v>0</v>
      </c>
      <c r="AP1860" s="25">
        <f>Lookups!$B$56*0</f>
        <v>0</v>
      </c>
      <c r="AQ1860" s="25">
        <f>Lookups!$B$56*1</f>
        <v>89850.625589999996</v>
      </c>
      <c r="AR1860" s="25">
        <f>Lookups!$B$57*Inventory[[#This Row],[LnAcres]]</f>
        <v>-56090.612940989391</v>
      </c>
      <c r="AS1860" s="25">
        <f>VLOOKUP(Inventory[[#This Row],[Qlty]],Lookups!$A$62:$E$75,2,FALSE)</f>
        <v>21557.329055999999</v>
      </c>
      <c r="AT1860" s="25">
        <f>VLOOKUP(Inventory[[#This Row],[Cnd]],Lookups!$A$76:$E$84,2,FALSE)</f>
        <v>197752.34721000001</v>
      </c>
      <c r="AU1860" s="25">
        <f>Inventory[[#This Row],[EffAge]]*Lookups!$B$85</f>
        <v>-12267.5080275</v>
      </c>
      <c r="AV1860" s="25">
        <f>Inventory[[#This Row],[MainFn]]*Lookups!$B$86</f>
        <v>56671.744348919005</v>
      </c>
      <c r="AW1860" s="25">
        <f>Inventory[[#This Row],[UpprFn]]*Lookups!$B$87</f>
        <v>0</v>
      </c>
      <c r="AX1860" s="25">
        <f>Inventory[[#This Row],[AddFn]]*Lookups!$B$88</f>
        <v>0</v>
      </c>
      <c r="AY1860" s="25">
        <f>Inventory[[#This Row],[Bsmt]]*Lookups!$B$89</f>
        <v>30943.136542807999</v>
      </c>
      <c r="AZ1860" s="25">
        <f>Inventory[[#This Row],[Fixtures]]*Lookups!$B$90</f>
        <v>26544.1547364</v>
      </c>
      <c r="BA1860" s="25">
        <f>Inventory[[#This Row],[WdDeck]]*Lookups!$B$91</f>
        <v>0</v>
      </c>
      <c r="BB1860" s="25">
        <f>ROUND(Inventory[[#This Row],[25Det]],-2)</f>
        <v>6600</v>
      </c>
      <c r="BC1860" s="25">
        <f>ROUND(SUM(Inventory[[#This Row],[Mdl Qlty]:[Mdl WdDeck]])+Inventory[[#This Row],[Mdl Res Intercept]],-2)</f>
        <v>321200</v>
      </c>
      <c r="BD1860" s="25">
        <f>ROUND(Inventory[[#This Row],[Mdl Land Intercept]]+Inventory[[#This Row],[Mdl LnAcres]],-2)</f>
        <v>33800</v>
      </c>
      <c r="BE1860" s="25">
        <f>Inventory[[#This Row],[Unadj Res Value]]+Inventory[[#This Row],[Unadj Det Value]]+Inventory[[#This Row],[Unadj Land Value]]</f>
        <v>361600</v>
      </c>
      <c r="BF1860" s="36">
        <f>(Inventory[[#This Row],[Unadj Total Value]]-Inventory[[#This Row],[24Final]])/Inventory[[#This Row],[24Final]]</f>
        <v>5.5458260361938121E-2</v>
      </c>
      <c r="BG1860" s="25">
        <f>VLOOKUP(Inventory[[#This Row],[Nbhd]],Lookups!$Q$2:$T$4,4,FALSE)</f>
        <v>0.99970000000000003</v>
      </c>
      <c r="BH1860" s="25">
        <f>VLOOKUP(Inventory[[#This Row],[Qlty]],Lookups!$O$7:$R$21,4,FALSE)</f>
        <v>1.0067999999999999</v>
      </c>
      <c r="BI1860" s="25">
        <f>VLOOKUP(Inventory[[#This Row],[Cnd]],Lookups!$T$7:$W$16,4,FALSE)</f>
        <v>0.99650000000000005</v>
      </c>
      <c r="BJ1860" s="25">
        <f>VLOOKUP(Inventory[[#This Row],[LivArea Range]],Lookups!$T$25:$W$37,4,FALSE)</f>
        <v>0.98919999999999997</v>
      </c>
      <c r="BK1860" s="25">
        <f>VLOOKUP(Inventory[[#This Row],[Decade]],Lookups!$O$25:$R$42,4,FALSE)</f>
        <v>1.0074000000000001</v>
      </c>
      <c r="BL1860" s="25">
        <f>Inventory[[#This Row],[Nbhd Adj]]*0.95</f>
        <v>0.94971499999999998</v>
      </c>
      <c r="BM1860" s="25">
        <f>Inventory[[#This Row],[Nbhd Adj]]*Inventory[[#This Row],[Quality Adj]]*Inventory[[#This Row],[Condition Adj]]*Inventory[[#This Row],[Living Area Adj]]*Inventory[[#This Row],[Decade Adj]]*0.95</f>
        <v>0.94951069644125163</v>
      </c>
      <c r="BN1860" s="25">
        <f>ROUND(SUM(Inventory[[#This Row],[Mdl Qlty]:[Mdl WdDeck]])+Inventory[[#This Row],[Mdl Res Intercept]]*Inventory[[#This Row],[Res Adj ]],-2)</f>
        <v>321200</v>
      </c>
      <c r="BO1860" s="25">
        <f>ROUND(Inventory[[#This Row],[25Det]]*Inventory[[#This Row],[Det/Nbhd Adj]],-2)</f>
        <v>6300</v>
      </c>
      <c r="BP1860" s="25">
        <f>Inventory[[#This Row],[Adjusted Res]]+Inventory[[#This Row],[Adj Det ]]</f>
        <v>327500</v>
      </c>
      <c r="BQ1860" s="25">
        <f>ROUND((Inventory[[#This Row],[Mdl Land Intercept]]+Inventory[[#This Row],[Mdl LnAcres]])*Inventory[[#This Row],[Det/Nbhd Adj]],-2)</f>
        <v>32100</v>
      </c>
      <c r="BR1860" s="25">
        <f>Inventory[[#This Row],[Adjusted Impr Total]]+Inventory[[#This Row],[Adjusted Land Total]]</f>
        <v>359600</v>
      </c>
      <c r="BS1860" s="36">
        <f>IFERROR((Inventory[[#This Row],[Adjusted Impr Total]]-Inventory[[#This Row],[24Bldg]])/Inventory[[#This Row],[24Bldg]],0)</f>
        <v>0.12969989651604003</v>
      </c>
      <c r="BT1860" s="36">
        <f>(Inventory[[#This Row],[Adjusted Land Total]]-Inventory[[#This Row],[24Lnd]])/Inventory[[#This Row],[24Lnd]]</f>
        <v>-0.39089184060721061</v>
      </c>
      <c r="BU1860" s="36">
        <f>(Inventory[[#This Row],[Adjusted Total]]-Inventory[[#This Row],[24Final]])/Inventory[[#This Row],[24Final]]</f>
        <v>4.9620548744892003E-2</v>
      </c>
    </row>
    <row r="1861" spans="1:73" x14ac:dyDescent="0.3">
      <c r="A1861" s="25">
        <v>2025</v>
      </c>
      <c r="B1861" s="26" t="s">
        <v>1650</v>
      </c>
      <c r="C1861" s="26">
        <f>LN(Inventory[[#This Row],[Acres]])</f>
        <v>-1.0788096613719298</v>
      </c>
      <c r="D1861" s="25">
        <v>0.34</v>
      </c>
      <c r="E1861" s="31"/>
      <c r="F1861" s="26" t="s">
        <v>537</v>
      </c>
      <c r="G1861" s="26" t="s">
        <v>126</v>
      </c>
      <c r="H1861" s="26" t="s">
        <v>349</v>
      </c>
      <c r="I1861" s="26" t="s">
        <v>538</v>
      </c>
      <c r="J1861" s="26" t="s">
        <v>974</v>
      </c>
      <c r="K1861" s="26" t="s">
        <v>301</v>
      </c>
      <c r="L1861" s="26" t="s">
        <v>64</v>
      </c>
      <c r="M1861" s="26" t="s">
        <v>352</v>
      </c>
      <c r="N1861" s="26">
        <v>100</v>
      </c>
      <c r="O1861" s="26">
        <f>2024-Inventory[[#This Row],[YrBlt]]</f>
        <v>95</v>
      </c>
      <c r="P1861" s="26">
        <f>2024-Inventory[[#This Row],[EffYr]]</f>
        <v>55</v>
      </c>
      <c r="Q1861" s="25">
        <v>1929</v>
      </c>
      <c r="R1861" s="25">
        <v>1969</v>
      </c>
      <c r="S1861" s="25">
        <v>2340</v>
      </c>
      <c r="T1861" s="32">
        <v>1520</v>
      </c>
      <c r="U1861" s="32">
        <v>1530</v>
      </c>
      <c r="V1861" s="32">
        <f>Inventory[[#This Row],[Bsmt]]-Inventory[[#This Row],[FnBsmt]]</f>
        <v>0</v>
      </c>
      <c r="W1861" s="32">
        <v>1530</v>
      </c>
      <c r="X1861" s="27"/>
      <c r="Y1861" s="27">
        <f>Inventory[[#This Row],[MainFn]]+Inventory[[#This Row],[UpprFn]]+Inventory[[#This Row],[FnBsmt]]+Inventory[[#This Row],[AddFn]]</f>
        <v>5390</v>
      </c>
      <c r="Z1861" s="27">
        <v>5000</v>
      </c>
      <c r="AA1861" s="25">
        <v>15</v>
      </c>
      <c r="AB1861" s="31"/>
      <c r="AC1861" s="27"/>
      <c r="AD1861" s="27"/>
      <c r="AE1861" s="27"/>
      <c r="AF1861" s="27"/>
      <c r="AG1861" s="27"/>
      <c r="AH1861" s="27"/>
      <c r="AI1861" s="25">
        <v>1085364</v>
      </c>
      <c r="AJ1861" s="25">
        <v>748901</v>
      </c>
      <c r="AK1861" s="25">
        <v>82390</v>
      </c>
      <c r="AL1861" s="25">
        <v>819300</v>
      </c>
      <c r="AM1861" s="25">
        <v>76900</v>
      </c>
      <c r="AN1861" s="25">
        <v>742400</v>
      </c>
      <c r="AO1861" s="25">
        <v>0</v>
      </c>
      <c r="AP1861" s="25">
        <f>Lookups!$B$56*0</f>
        <v>0</v>
      </c>
      <c r="AQ1861" s="25">
        <f>Lookups!$B$56*1</f>
        <v>89850.625589999996</v>
      </c>
      <c r="AR1861" s="25">
        <f>Lookups!$B$57*Inventory[[#This Row],[LnAcres]]</f>
        <v>-34149.305288406773</v>
      </c>
      <c r="AS1861" s="25">
        <f>VLOOKUP(Inventory[[#This Row],[Qlty]],Lookups!$A$62:$E$75,2,FALSE)</f>
        <v>163885.03753</v>
      </c>
      <c r="AT1861" s="25">
        <f>VLOOKUP(Inventory[[#This Row],[Cnd]],Lookups!$A$76:$E$84,2,FALSE)</f>
        <v>284810.60806</v>
      </c>
      <c r="AU1861" s="25">
        <f>Inventory[[#This Row],[EffAge]]*Lookups!$B$85</f>
        <v>-12267.5080275</v>
      </c>
      <c r="AV1861" s="25">
        <f>Inventory[[#This Row],[MainFn]]*Lookups!$B$86</f>
        <v>115616.28751218</v>
      </c>
      <c r="AW1861" s="25">
        <f>Inventory[[#This Row],[UpprFn]]*Lookups!$B$87</f>
        <v>68075.362748719999</v>
      </c>
      <c r="AX1861" s="25">
        <f>Inventory[[#This Row],[AddFn]]*Lookups!$B$88</f>
        <v>0</v>
      </c>
      <c r="AY1861" s="25">
        <f>Inventory[[#This Row],[Bsmt]]*Lookups!$B$89</f>
        <v>44495.299727909995</v>
      </c>
      <c r="AZ1861" s="25">
        <f>Inventory[[#This Row],[Fixtures]]*Lookups!$B$90</f>
        <v>56880.331578000005</v>
      </c>
      <c r="BA1861" s="25">
        <f>Inventory[[#This Row],[WdDeck]]*Lookups!$B$91</f>
        <v>0</v>
      </c>
      <c r="BB1861" s="25">
        <f>ROUND(Inventory[[#This Row],[25Det]],-2)</f>
        <v>82400</v>
      </c>
      <c r="BC1861" s="25">
        <f>ROUND(SUM(Inventory[[#This Row],[Mdl Qlty]:[Mdl WdDeck]])+Inventory[[#This Row],[Mdl Res Intercept]],-2)</f>
        <v>721500</v>
      </c>
      <c r="BD1861" s="25">
        <f>ROUND(Inventory[[#This Row],[Mdl Land Intercept]]+Inventory[[#This Row],[Mdl LnAcres]],-2)</f>
        <v>55700</v>
      </c>
      <c r="BE1861" s="25">
        <f>Inventory[[#This Row],[Unadj Res Value]]+Inventory[[#This Row],[Unadj Det Value]]+Inventory[[#This Row],[Unadj Land Value]]</f>
        <v>859600</v>
      </c>
      <c r="BF1861" s="36">
        <f>(Inventory[[#This Row],[Unadj Total Value]]-Inventory[[#This Row],[24Final]])/Inventory[[#This Row],[24Final]]</f>
        <v>4.9188331502502139E-2</v>
      </c>
      <c r="BG1861" s="25">
        <f>VLOOKUP(Inventory[[#This Row],[Nbhd]],Lookups!$Q$2:$T$4,4,FALSE)</f>
        <v>0.99970000000000003</v>
      </c>
      <c r="BH1861" s="25">
        <f>VLOOKUP(Inventory[[#This Row],[Qlty]],Lookups!$O$7:$R$21,4,FALSE)</f>
        <v>1</v>
      </c>
      <c r="BI1861" s="25">
        <f>VLOOKUP(Inventory[[#This Row],[Cnd]],Lookups!$T$7:$W$16,4,FALSE)</f>
        <v>1.0158</v>
      </c>
      <c r="BJ1861" s="25">
        <f>VLOOKUP(Inventory[[#This Row],[LivArea Range]],Lookups!$T$25:$W$37,4,FALSE)</f>
        <v>1</v>
      </c>
      <c r="BK1861" s="25">
        <f>VLOOKUP(Inventory[[#This Row],[Decade]],Lookups!$O$25:$R$42,4,FALSE)</f>
        <v>1.0074000000000001</v>
      </c>
      <c r="BL1861" s="25">
        <f>Inventory[[#This Row],[Nbhd Adj]]*0.95</f>
        <v>0.94971499999999998</v>
      </c>
      <c r="BM1861" s="25">
        <f>Inventory[[#This Row],[Nbhd Adj]]*Inventory[[#This Row],[Quality Adj]]*Inventory[[#This Row],[Condition Adj]]*Inventory[[#This Row],[Living Area Adj]]*Inventory[[#This Row],[Decade Adj]]*0.95</f>
        <v>0.97185942867780006</v>
      </c>
      <c r="BN1861" s="25">
        <f>ROUND(SUM(Inventory[[#This Row],[Mdl Qlty]:[Mdl WdDeck]])+Inventory[[#This Row],[Mdl Res Intercept]]*Inventory[[#This Row],[Res Adj ]],-2)</f>
        <v>721500</v>
      </c>
      <c r="BO1861" s="25">
        <f>ROUND(Inventory[[#This Row],[25Det]]*Inventory[[#This Row],[Det/Nbhd Adj]],-2)</f>
        <v>78200</v>
      </c>
      <c r="BP1861" s="25">
        <f>Inventory[[#This Row],[Adjusted Res]]+Inventory[[#This Row],[Adj Det ]]</f>
        <v>799700</v>
      </c>
      <c r="BQ1861" s="25">
        <f>ROUND((Inventory[[#This Row],[Mdl Land Intercept]]+Inventory[[#This Row],[Mdl LnAcres]])*Inventory[[#This Row],[Det/Nbhd Adj]],-2)</f>
        <v>52900</v>
      </c>
      <c r="BR1861" s="25">
        <f>Inventory[[#This Row],[Adjusted Impr Total]]+Inventory[[#This Row],[Adjusted Land Total]]</f>
        <v>852600</v>
      </c>
      <c r="BS1861" s="36">
        <f>IFERROR((Inventory[[#This Row],[Adjusted Impr Total]]-Inventory[[#This Row],[24Bldg]])/Inventory[[#This Row],[24Bldg]],0)</f>
        <v>7.7182112068965511E-2</v>
      </c>
      <c r="BT1861" s="36">
        <f>(Inventory[[#This Row],[Adjusted Land Total]]-Inventory[[#This Row],[24Lnd]])/Inventory[[#This Row],[24Lnd]]</f>
        <v>-0.31209362808842656</v>
      </c>
      <c r="BU1861" s="36">
        <f>(Inventory[[#This Row],[Adjusted Total]]-Inventory[[#This Row],[24Final]])/Inventory[[#This Row],[24Final]]</f>
        <v>4.0644452581471986E-2</v>
      </c>
    </row>
    <row r="1862" spans="1:73" x14ac:dyDescent="0.3">
      <c r="A1862" s="25">
        <v>2025</v>
      </c>
      <c r="B1862" s="26" t="s">
        <v>2105</v>
      </c>
      <c r="C1862" s="26">
        <f>LN(Inventory[[#This Row],[Acres]])</f>
        <v>-1.3862943611198906</v>
      </c>
      <c r="D1862" s="25">
        <v>0.25</v>
      </c>
      <c r="E1862" s="25">
        <v>11064</v>
      </c>
      <c r="F1862" s="26" t="s">
        <v>537</v>
      </c>
      <c r="G1862" s="26" t="s">
        <v>126</v>
      </c>
      <c r="H1862" s="26" t="s">
        <v>349</v>
      </c>
      <c r="I1862" s="26" t="s">
        <v>538</v>
      </c>
      <c r="J1862" s="26" t="s">
        <v>539</v>
      </c>
      <c r="K1862" s="26" t="s">
        <v>269</v>
      </c>
      <c r="L1862" s="26" t="s">
        <v>148</v>
      </c>
      <c r="M1862" s="26" t="s">
        <v>323</v>
      </c>
      <c r="N1862" s="26">
        <v>100</v>
      </c>
      <c r="O1862" s="26">
        <f>2024-Inventory[[#This Row],[YrBlt]]</f>
        <v>95</v>
      </c>
      <c r="P1862" s="26">
        <f>2024-Inventory[[#This Row],[EffYr]]</f>
        <v>55</v>
      </c>
      <c r="Q1862" s="25">
        <v>1929</v>
      </c>
      <c r="R1862" s="25">
        <v>1969</v>
      </c>
      <c r="S1862" s="25">
        <v>1590</v>
      </c>
      <c r="T1862" s="32">
        <v>798</v>
      </c>
      <c r="U1862" s="32">
        <v>1590</v>
      </c>
      <c r="V1862" s="32">
        <f>Inventory[[#This Row],[Bsmt]]-Inventory[[#This Row],[FnBsmt]]</f>
        <v>792</v>
      </c>
      <c r="W1862" s="32">
        <v>798</v>
      </c>
      <c r="X1862" s="27"/>
      <c r="Y1862" s="27">
        <f>Inventory[[#This Row],[MainFn]]+Inventory[[#This Row],[UpprFn]]+Inventory[[#This Row],[FnBsmt]]+Inventory[[#This Row],[AddFn]]</f>
        <v>3186</v>
      </c>
      <c r="Z1862" s="27">
        <v>3500</v>
      </c>
      <c r="AA1862" s="25">
        <v>11</v>
      </c>
      <c r="AB1862" s="27"/>
      <c r="AC1862" s="27"/>
      <c r="AD1862" s="27"/>
      <c r="AE1862" s="27"/>
      <c r="AF1862" s="27"/>
      <c r="AG1862" s="27"/>
      <c r="AH1862" s="27"/>
      <c r="AI1862" s="25">
        <v>609151</v>
      </c>
      <c r="AJ1862" s="25">
        <v>395948</v>
      </c>
      <c r="AK1862" s="25">
        <v>15196</v>
      </c>
      <c r="AL1862" s="25">
        <v>435300</v>
      </c>
      <c r="AM1862" s="25">
        <v>66200</v>
      </c>
      <c r="AN1862" s="25">
        <v>369100</v>
      </c>
      <c r="AO1862" s="25">
        <v>0</v>
      </c>
      <c r="AP1862" s="25">
        <f>Lookups!$B$56*0</f>
        <v>0</v>
      </c>
      <c r="AQ1862" s="25">
        <f>Lookups!$B$56*1</f>
        <v>89850.625589999996</v>
      </c>
      <c r="AR1862" s="25">
        <f>Lookups!$B$57*Inventory[[#This Row],[LnAcres]]</f>
        <v>-43882.615305165229</v>
      </c>
      <c r="AS1862" s="25">
        <f>VLOOKUP(Inventory[[#This Row],[Qlty]],Lookups!$A$62:$E$75,2,FALSE)</f>
        <v>44121.038090000002</v>
      </c>
      <c r="AT1862" s="25">
        <f>VLOOKUP(Inventory[[#This Row],[Cnd]],Lookups!$A$76:$E$84,2,FALSE)</f>
        <v>160472.20319</v>
      </c>
      <c r="AU1862" s="25">
        <f>Inventory[[#This Row],[EffAge]]*Lookups!$B$85</f>
        <v>-12267.5080275</v>
      </c>
      <c r="AV1862" s="25">
        <f>Inventory[[#This Row],[MainFn]]*Lookups!$B$86</f>
        <v>78559.785104430004</v>
      </c>
      <c r="AW1862" s="25">
        <f>Inventory[[#This Row],[UpprFn]]*Lookups!$B$87</f>
        <v>35739.565443077998</v>
      </c>
      <c r="AX1862" s="25">
        <f>Inventory[[#This Row],[AddFn]]*Lookups!$B$88</f>
        <v>0</v>
      </c>
      <c r="AY1862" s="25">
        <f>Inventory[[#This Row],[Bsmt]]*Lookups!$B$89</f>
        <v>46240.213442729997</v>
      </c>
      <c r="AZ1862" s="25">
        <f>Inventory[[#This Row],[Fixtures]]*Lookups!$B$90</f>
        <v>41712.243157199999</v>
      </c>
      <c r="BA1862" s="25">
        <f>Inventory[[#This Row],[WdDeck]]*Lookups!$B$91</f>
        <v>0</v>
      </c>
      <c r="BB1862" s="25">
        <f>ROUND(Inventory[[#This Row],[25Det]],-2)</f>
        <v>15200</v>
      </c>
      <c r="BC1862" s="25">
        <f>ROUND(SUM(Inventory[[#This Row],[Mdl Qlty]:[Mdl WdDeck]])+Inventory[[#This Row],[Mdl Res Intercept]],-2)</f>
        <v>394600</v>
      </c>
      <c r="BD1862" s="25">
        <f>ROUND(Inventory[[#This Row],[Mdl Land Intercept]]+Inventory[[#This Row],[Mdl LnAcres]],-2)</f>
        <v>46000</v>
      </c>
      <c r="BE1862" s="25">
        <f>Inventory[[#This Row],[Unadj Res Value]]+Inventory[[#This Row],[Unadj Det Value]]+Inventory[[#This Row],[Unadj Land Value]]</f>
        <v>455800</v>
      </c>
      <c r="BF1862" s="36">
        <f>(Inventory[[#This Row],[Unadj Total Value]]-Inventory[[#This Row],[24Final]])/Inventory[[#This Row],[24Final]]</f>
        <v>4.709395818975419E-2</v>
      </c>
      <c r="BG1862" s="25">
        <f>VLOOKUP(Inventory[[#This Row],[Nbhd]],Lookups!$Q$2:$T$4,4,FALSE)</f>
        <v>0.99970000000000003</v>
      </c>
      <c r="BH1862" s="25">
        <f>VLOOKUP(Inventory[[#This Row],[Qlty]],Lookups!$O$7:$R$21,4,FALSE)</f>
        <v>0.98050000000000004</v>
      </c>
      <c r="BI1862" s="25">
        <f>VLOOKUP(Inventory[[#This Row],[Cnd]],Lookups!$T$7:$W$16,4,FALSE)</f>
        <v>0.99729999999999996</v>
      </c>
      <c r="BJ1862" s="25">
        <f>VLOOKUP(Inventory[[#This Row],[LivArea Range]],Lookups!$T$25:$W$37,4,FALSE)</f>
        <v>1.0126999999999999</v>
      </c>
      <c r="BK1862" s="25">
        <f>VLOOKUP(Inventory[[#This Row],[Decade]],Lookups!$O$25:$R$42,4,FALSE)</f>
        <v>1.0074000000000001</v>
      </c>
      <c r="BL1862" s="25">
        <f>Inventory[[#This Row],[Nbhd Adj]]*0.95</f>
        <v>0.94971499999999998</v>
      </c>
      <c r="BM1862" s="25">
        <f>Inventory[[#This Row],[Nbhd Adj]]*Inventory[[#This Row],[Quality Adj]]*Inventory[[#This Row],[Condition Adj]]*Inventory[[#This Row],[Living Area Adj]]*Inventory[[#This Row],[Decade Adj]]*0.95</f>
        <v>0.9474351016889403</v>
      </c>
      <c r="BN1862" s="25">
        <f>ROUND(SUM(Inventory[[#This Row],[Mdl Qlty]:[Mdl WdDeck]])+Inventory[[#This Row],[Mdl Res Intercept]]*Inventory[[#This Row],[Res Adj ]],-2)</f>
        <v>394600</v>
      </c>
      <c r="BO1862" s="25">
        <f>ROUND(Inventory[[#This Row],[25Det]]*Inventory[[#This Row],[Det/Nbhd Adj]],-2)</f>
        <v>14400</v>
      </c>
      <c r="BP1862" s="25">
        <f>Inventory[[#This Row],[Adjusted Res]]+Inventory[[#This Row],[Adj Det ]]</f>
        <v>409000</v>
      </c>
      <c r="BQ1862" s="25">
        <f>ROUND((Inventory[[#This Row],[Mdl Land Intercept]]+Inventory[[#This Row],[Mdl LnAcres]])*Inventory[[#This Row],[Det/Nbhd Adj]],-2)</f>
        <v>43700</v>
      </c>
      <c r="BR1862" s="25">
        <f>Inventory[[#This Row],[Adjusted Impr Total]]+Inventory[[#This Row],[Adjusted Land Total]]</f>
        <v>452700</v>
      </c>
      <c r="BS1862" s="36">
        <f>IFERROR((Inventory[[#This Row],[Adjusted Impr Total]]-Inventory[[#This Row],[24Bldg]])/Inventory[[#This Row],[24Bldg]],0)</f>
        <v>0.10810078569493362</v>
      </c>
      <c r="BT1862" s="36">
        <f>(Inventory[[#This Row],[Adjusted Land Total]]-Inventory[[#This Row],[24Lnd]])/Inventory[[#This Row],[24Lnd]]</f>
        <v>-0.33987915407854985</v>
      </c>
      <c r="BU1862" s="36">
        <f>(Inventory[[#This Row],[Adjusted Total]]-Inventory[[#This Row],[24Final]])/Inventory[[#This Row],[24Final]]</f>
        <v>3.9972432804962092E-2</v>
      </c>
    </row>
    <row r="1863" spans="1:73" x14ac:dyDescent="0.3">
      <c r="A1863" s="25">
        <v>2025</v>
      </c>
      <c r="B1863" s="26" t="s">
        <v>2560</v>
      </c>
      <c r="C1863" s="26">
        <f>LN(Inventory[[#This Row],[Acres]])</f>
        <v>-1.5606477482646683</v>
      </c>
      <c r="D1863" s="25">
        <v>0.21</v>
      </c>
      <c r="E1863" s="31"/>
      <c r="F1863" s="26" t="s">
        <v>537</v>
      </c>
      <c r="G1863" s="26" t="s">
        <v>126</v>
      </c>
      <c r="H1863" s="26" t="s">
        <v>349</v>
      </c>
      <c r="I1863" s="26" t="s">
        <v>538</v>
      </c>
      <c r="J1863" s="26" t="s">
        <v>539</v>
      </c>
      <c r="K1863" s="26" t="s">
        <v>269</v>
      </c>
      <c r="L1863" s="26" t="s">
        <v>148</v>
      </c>
      <c r="M1863" s="26" t="s">
        <v>323</v>
      </c>
      <c r="N1863" s="26">
        <v>100</v>
      </c>
      <c r="O1863" s="26">
        <f>2024-Inventory[[#This Row],[YrBlt]]</f>
        <v>95</v>
      </c>
      <c r="P1863" s="26">
        <f>2024-Inventory[[#This Row],[EffYr]]</f>
        <v>55</v>
      </c>
      <c r="Q1863" s="25">
        <v>1929</v>
      </c>
      <c r="R1863" s="25">
        <v>1969</v>
      </c>
      <c r="S1863" s="25">
        <v>1211</v>
      </c>
      <c r="T1863" s="32">
        <v>593</v>
      </c>
      <c r="U1863" s="27"/>
      <c r="V1863" s="27">
        <f>Inventory[[#This Row],[Bsmt]]-Inventory[[#This Row],[FnBsmt]]</f>
        <v>0</v>
      </c>
      <c r="W1863" s="27"/>
      <c r="X1863" s="27"/>
      <c r="Y1863" s="27">
        <f>Inventory[[#This Row],[MainFn]]+Inventory[[#This Row],[UpprFn]]+Inventory[[#This Row],[FnBsmt]]+Inventory[[#This Row],[AddFn]]</f>
        <v>1804</v>
      </c>
      <c r="Z1863" s="27">
        <v>2000</v>
      </c>
      <c r="AA1863" s="25">
        <v>10</v>
      </c>
      <c r="AB1863" s="27"/>
      <c r="AC1863" s="27"/>
      <c r="AD1863" s="27"/>
      <c r="AE1863" s="27"/>
      <c r="AF1863" s="27"/>
      <c r="AG1863" s="27"/>
      <c r="AH1863" s="27"/>
      <c r="AI1863" s="25">
        <v>377341</v>
      </c>
      <c r="AJ1863" s="25">
        <v>245272</v>
      </c>
      <c r="AK1863" s="25">
        <v>8623</v>
      </c>
      <c r="AL1863" s="25">
        <v>349500</v>
      </c>
      <c r="AM1863" s="25">
        <v>60100</v>
      </c>
      <c r="AN1863" s="25">
        <v>289400</v>
      </c>
      <c r="AO1863" s="25">
        <v>0</v>
      </c>
      <c r="AP1863" s="25">
        <f>Lookups!$B$56*0</f>
        <v>0</v>
      </c>
      <c r="AQ1863" s="25">
        <f>Lookups!$B$56*1</f>
        <v>89850.625589999996</v>
      </c>
      <c r="AR1863" s="25">
        <f>Lookups!$B$57*Inventory[[#This Row],[LnAcres]]</f>
        <v>-49401.70477837498</v>
      </c>
      <c r="AS1863" s="25">
        <f>VLOOKUP(Inventory[[#This Row],[Qlty]],Lookups!$A$62:$E$75,2,FALSE)</f>
        <v>44121.038090000002</v>
      </c>
      <c r="AT1863" s="25">
        <f>VLOOKUP(Inventory[[#This Row],[Cnd]],Lookups!$A$76:$E$84,2,FALSE)</f>
        <v>160472.20319</v>
      </c>
      <c r="AU1863" s="25">
        <f>Inventory[[#This Row],[EffAge]]*Lookups!$B$85</f>
        <v>-12267.5080275</v>
      </c>
      <c r="AV1863" s="25">
        <f>Inventory[[#This Row],[MainFn]]*Lookups!$B$86</f>
        <v>59833.899221047002</v>
      </c>
      <c r="AW1863" s="25">
        <f>Inventory[[#This Row],[UpprFn]]*Lookups!$B$87</f>
        <v>26558.348756572999</v>
      </c>
      <c r="AX1863" s="25">
        <f>Inventory[[#This Row],[AddFn]]*Lookups!$B$88</f>
        <v>0</v>
      </c>
      <c r="AY1863" s="25">
        <f>Inventory[[#This Row],[Bsmt]]*Lookups!$B$89</f>
        <v>0</v>
      </c>
      <c r="AZ1863" s="25">
        <f>Inventory[[#This Row],[Fixtures]]*Lookups!$B$90</f>
        <v>37920.221052000001</v>
      </c>
      <c r="BA1863" s="25">
        <f>Inventory[[#This Row],[WdDeck]]*Lookups!$B$91</f>
        <v>0</v>
      </c>
      <c r="BB1863" s="25">
        <f>ROUND(Inventory[[#This Row],[25Det]],-2)</f>
        <v>8600</v>
      </c>
      <c r="BC1863" s="25">
        <f>ROUND(SUM(Inventory[[#This Row],[Mdl Qlty]:[Mdl WdDeck]])+Inventory[[#This Row],[Mdl Res Intercept]],-2)</f>
        <v>316600</v>
      </c>
      <c r="BD1863" s="25">
        <f>ROUND(Inventory[[#This Row],[Mdl Land Intercept]]+Inventory[[#This Row],[Mdl LnAcres]],-2)</f>
        <v>40400</v>
      </c>
      <c r="BE1863" s="25">
        <f>Inventory[[#This Row],[Unadj Res Value]]+Inventory[[#This Row],[Unadj Det Value]]+Inventory[[#This Row],[Unadj Land Value]]</f>
        <v>365600</v>
      </c>
      <c r="BF1863" s="36">
        <f>(Inventory[[#This Row],[Unadj Total Value]]-Inventory[[#This Row],[24Final]])/Inventory[[#This Row],[24Final]]</f>
        <v>4.6065808297567956E-2</v>
      </c>
      <c r="BG1863" s="25">
        <f>VLOOKUP(Inventory[[#This Row],[Nbhd]],Lookups!$Q$2:$T$4,4,FALSE)</f>
        <v>0.99970000000000003</v>
      </c>
      <c r="BH1863" s="25">
        <f>VLOOKUP(Inventory[[#This Row],[Qlty]],Lookups!$O$7:$R$21,4,FALSE)</f>
        <v>0.98050000000000004</v>
      </c>
      <c r="BI1863" s="25">
        <f>VLOOKUP(Inventory[[#This Row],[Cnd]],Lookups!$T$7:$W$16,4,FALSE)</f>
        <v>0.99729999999999996</v>
      </c>
      <c r="BJ1863" s="25">
        <f>VLOOKUP(Inventory[[#This Row],[LivArea Range]],Lookups!$T$25:$W$37,4,FALSE)</f>
        <v>1.0093000000000001</v>
      </c>
      <c r="BK1863" s="25">
        <f>VLOOKUP(Inventory[[#This Row],[Decade]],Lookups!$O$25:$R$42,4,FALSE)</f>
        <v>1.0074000000000001</v>
      </c>
      <c r="BL1863" s="25">
        <f>Inventory[[#This Row],[Nbhd Adj]]*0.95</f>
        <v>0.94971499999999998</v>
      </c>
      <c r="BM1863" s="25">
        <f>Inventory[[#This Row],[Nbhd Adj]]*Inventory[[#This Row],[Quality Adj]]*Inventory[[#This Row],[Condition Adj]]*Inventory[[#This Row],[Living Area Adj]]*Inventory[[#This Row],[Decade Adj]]*0.95</f>
        <v>0.9442542195464082</v>
      </c>
      <c r="BN1863" s="25">
        <f>ROUND(SUM(Inventory[[#This Row],[Mdl Qlty]:[Mdl WdDeck]])+Inventory[[#This Row],[Mdl Res Intercept]]*Inventory[[#This Row],[Res Adj ]],-2)</f>
        <v>316600</v>
      </c>
      <c r="BO1863" s="25">
        <f>ROUND(Inventory[[#This Row],[25Det]]*Inventory[[#This Row],[Det/Nbhd Adj]],-2)</f>
        <v>8200</v>
      </c>
      <c r="BP1863" s="25">
        <f>Inventory[[#This Row],[Adjusted Res]]+Inventory[[#This Row],[Adj Det ]]</f>
        <v>324800</v>
      </c>
      <c r="BQ1863" s="25">
        <f>ROUND((Inventory[[#This Row],[Mdl Land Intercept]]+Inventory[[#This Row],[Mdl LnAcres]])*Inventory[[#This Row],[Det/Nbhd Adj]],-2)</f>
        <v>38400</v>
      </c>
      <c r="BR1863" s="25">
        <f>Inventory[[#This Row],[Adjusted Impr Total]]+Inventory[[#This Row],[Adjusted Land Total]]</f>
        <v>363200</v>
      </c>
      <c r="BS1863" s="36">
        <f>IFERROR((Inventory[[#This Row],[Adjusted Impr Total]]-Inventory[[#This Row],[24Bldg]])/Inventory[[#This Row],[24Bldg]],0)</f>
        <v>0.12232204561161023</v>
      </c>
      <c r="BT1863" s="36">
        <f>(Inventory[[#This Row],[Adjusted Land Total]]-Inventory[[#This Row],[24Lnd]])/Inventory[[#This Row],[24Lnd]]</f>
        <v>-0.36106489184692181</v>
      </c>
      <c r="BU1863" s="36">
        <f>(Inventory[[#This Row],[Adjusted Total]]-Inventory[[#This Row],[24Final]])/Inventory[[#This Row],[24Final]]</f>
        <v>3.9198855507868384E-2</v>
      </c>
    </row>
    <row r="1864" spans="1:73" x14ac:dyDescent="0.3">
      <c r="A1864" s="25">
        <v>2025</v>
      </c>
      <c r="B1864" s="26" t="s">
        <v>1272</v>
      </c>
      <c r="C1864" s="26">
        <f>LN(Inventory[[#This Row],[Acres]])</f>
        <v>-0.71334988787746478</v>
      </c>
      <c r="D1864" s="25">
        <v>0.49</v>
      </c>
      <c r="E1864" s="25">
        <v>21285</v>
      </c>
      <c r="F1864" s="26" t="s">
        <v>537</v>
      </c>
      <c r="G1864" s="26" t="s">
        <v>126</v>
      </c>
      <c r="H1864" s="26" t="s">
        <v>349</v>
      </c>
      <c r="I1864" s="26" t="s">
        <v>538</v>
      </c>
      <c r="J1864" s="26" t="s">
        <v>539</v>
      </c>
      <c r="K1864" s="26" t="s">
        <v>173</v>
      </c>
      <c r="L1864" s="26" t="s">
        <v>148</v>
      </c>
      <c r="M1864" s="26" t="s">
        <v>323</v>
      </c>
      <c r="N1864" s="26">
        <v>100</v>
      </c>
      <c r="O1864" s="26">
        <f>2024-Inventory[[#This Row],[YrBlt]]</f>
        <v>95</v>
      </c>
      <c r="P1864" s="26">
        <f>2024-Inventory[[#This Row],[EffYr]]</f>
        <v>55</v>
      </c>
      <c r="Q1864" s="25">
        <v>1929</v>
      </c>
      <c r="R1864" s="25">
        <v>1969</v>
      </c>
      <c r="S1864" s="25">
        <v>1901</v>
      </c>
      <c r="T1864" s="25">
        <v>589</v>
      </c>
      <c r="U1864" s="32">
        <v>850</v>
      </c>
      <c r="V1864" s="32">
        <f>Inventory[[#This Row],[Bsmt]]-Inventory[[#This Row],[FnBsmt]]</f>
        <v>850</v>
      </c>
      <c r="W1864" s="27"/>
      <c r="X1864" s="27"/>
      <c r="Y1864" s="27">
        <f>Inventory[[#This Row],[MainFn]]+Inventory[[#This Row],[UpprFn]]+Inventory[[#This Row],[FnBsmt]]+Inventory[[#This Row],[AddFn]]</f>
        <v>2490</v>
      </c>
      <c r="Z1864" s="27">
        <v>2500</v>
      </c>
      <c r="AA1864" s="25">
        <v>8</v>
      </c>
      <c r="AB1864" s="32">
        <v>576</v>
      </c>
      <c r="AC1864" s="27"/>
      <c r="AD1864" s="27"/>
      <c r="AE1864" s="27"/>
      <c r="AF1864" s="27"/>
      <c r="AG1864" s="27"/>
      <c r="AH1864" s="27"/>
      <c r="AI1864" s="25">
        <v>530163</v>
      </c>
      <c r="AJ1864" s="25">
        <v>344606</v>
      </c>
      <c r="AK1864" s="25">
        <v>47852</v>
      </c>
      <c r="AL1864" s="25">
        <v>460700</v>
      </c>
      <c r="AM1864" s="25">
        <v>89700</v>
      </c>
      <c r="AN1864" s="25">
        <v>371000</v>
      </c>
      <c r="AO1864" s="25">
        <v>0</v>
      </c>
      <c r="AP1864" s="25">
        <f>Lookups!$B$56*0</f>
        <v>0</v>
      </c>
      <c r="AQ1864" s="25">
        <f>Lookups!$B$56*1</f>
        <v>89850.625589999996</v>
      </c>
      <c r="AR1864" s="25">
        <f>Lookups!$B$57*Inventory[[#This Row],[LnAcres]]</f>
        <v>-22580.816589646583</v>
      </c>
      <c r="AS1864" s="25">
        <f>VLOOKUP(Inventory[[#This Row],[Qlty]],Lookups!$A$62:$E$75,2,FALSE)</f>
        <v>44121.038090000002</v>
      </c>
      <c r="AT1864" s="25">
        <f>VLOOKUP(Inventory[[#This Row],[Cnd]],Lookups!$A$76:$E$84,2,FALSE)</f>
        <v>160472.20319</v>
      </c>
      <c r="AU1864" s="25">
        <f>Inventory[[#This Row],[EffAge]]*Lookups!$B$85</f>
        <v>-12267.5080275</v>
      </c>
      <c r="AV1864" s="25">
        <f>Inventory[[#This Row],[MainFn]]*Lookups!$B$86</f>
        <v>93925.881436177006</v>
      </c>
      <c r="AW1864" s="25">
        <f>Inventory[[#This Row],[UpprFn]]*Lookups!$B$87</f>
        <v>26379.203065129001</v>
      </c>
      <c r="AX1864" s="25">
        <f>Inventory[[#This Row],[AddFn]]*Lookups!$B$88</f>
        <v>0</v>
      </c>
      <c r="AY1864" s="25">
        <f>Inventory[[#This Row],[Bsmt]]*Lookups!$B$89</f>
        <v>24719.610959949998</v>
      </c>
      <c r="AZ1864" s="25">
        <f>Inventory[[#This Row],[Fixtures]]*Lookups!$B$90</f>
        <v>30336.176841600001</v>
      </c>
      <c r="BA1864" s="25">
        <f>Inventory[[#This Row],[WdDeck]]*Lookups!$B$91</f>
        <v>0</v>
      </c>
      <c r="BB1864" s="25">
        <f>ROUND(Inventory[[#This Row],[25Det]],-2)</f>
        <v>47900</v>
      </c>
      <c r="BC1864" s="25">
        <f>ROUND(SUM(Inventory[[#This Row],[Mdl Qlty]:[Mdl WdDeck]])+Inventory[[#This Row],[Mdl Res Intercept]],-2)</f>
        <v>367700</v>
      </c>
      <c r="BD1864" s="25">
        <f>ROUND(Inventory[[#This Row],[Mdl Land Intercept]]+Inventory[[#This Row],[Mdl LnAcres]],-2)</f>
        <v>67300</v>
      </c>
      <c r="BE1864" s="25">
        <f>Inventory[[#This Row],[Unadj Res Value]]+Inventory[[#This Row],[Unadj Det Value]]+Inventory[[#This Row],[Unadj Land Value]]</f>
        <v>482900</v>
      </c>
      <c r="BF1864" s="36">
        <f>(Inventory[[#This Row],[Unadj Total Value]]-Inventory[[#This Row],[24Final]])/Inventory[[#This Row],[24Final]]</f>
        <v>4.8187540698936403E-2</v>
      </c>
      <c r="BG1864" s="25">
        <f>VLOOKUP(Inventory[[#This Row],[Nbhd]],Lookups!$Q$2:$T$4,4,FALSE)</f>
        <v>0.99970000000000003</v>
      </c>
      <c r="BH1864" s="25">
        <f>VLOOKUP(Inventory[[#This Row],[Qlty]],Lookups!$O$7:$R$21,4,FALSE)</f>
        <v>0.98050000000000004</v>
      </c>
      <c r="BI1864" s="25">
        <f>VLOOKUP(Inventory[[#This Row],[Cnd]],Lookups!$T$7:$W$16,4,FALSE)</f>
        <v>0.99729999999999996</v>
      </c>
      <c r="BJ1864" s="25">
        <f>VLOOKUP(Inventory[[#This Row],[LivArea Range]],Lookups!$T$25:$W$37,4,FALSE)</f>
        <v>0.98919999999999997</v>
      </c>
      <c r="BK1864" s="25">
        <f>VLOOKUP(Inventory[[#This Row],[Decade]],Lookups!$O$25:$R$42,4,FALSE)</f>
        <v>1.0074000000000001</v>
      </c>
      <c r="BL1864" s="25">
        <f>Inventory[[#This Row],[Nbhd Adj]]*0.95</f>
        <v>0.94971499999999998</v>
      </c>
      <c r="BM1864" s="25">
        <f>Inventory[[#This Row],[Nbhd Adj]]*Inventory[[#This Row],[Quality Adj]]*Inventory[[#This Row],[Condition Adj]]*Inventory[[#This Row],[Living Area Adj]]*Inventory[[#This Row],[Decade Adj]]*0.95</f>
        <v>0.92544959276261463</v>
      </c>
      <c r="BN1864" s="25">
        <f>ROUND(SUM(Inventory[[#This Row],[Mdl Qlty]:[Mdl WdDeck]])+Inventory[[#This Row],[Mdl Res Intercept]]*Inventory[[#This Row],[Res Adj ]],-2)</f>
        <v>367700</v>
      </c>
      <c r="BO1864" s="25">
        <f>ROUND(Inventory[[#This Row],[25Det]]*Inventory[[#This Row],[Det/Nbhd Adj]],-2)</f>
        <v>45400</v>
      </c>
      <c r="BP1864" s="25">
        <f>Inventory[[#This Row],[Adjusted Res]]+Inventory[[#This Row],[Adj Det ]]</f>
        <v>413100</v>
      </c>
      <c r="BQ1864" s="25">
        <f>ROUND((Inventory[[#This Row],[Mdl Land Intercept]]+Inventory[[#This Row],[Mdl LnAcres]])*Inventory[[#This Row],[Det/Nbhd Adj]],-2)</f>
        <v>63900</v>
      </c>
      <c r="BR1864" s="25">
        <f>Inventory[[#This Row],[Adjusted Impr Total]]+Inventory[[#This Row],[Adjusted Land Total]]</f>
        <v>477000</v>
      </c>
      <c r="BS1864" s="36">
        <f>IFERROR((Inventory[[#This Row],[Adjusted Impr Total]]-Inventory[[#This Row],[24Bldg]])/Inventory[[#This Row],[24Bldg]],0)</f>
        <v>0.11347708894878707</v>
      </c>
      <c r="BT1864" s="36">
        <f>(Inventory[[#This Row],[Adjusted Land Total]]-Inventory[[#This Row],[24Lnd]])/Inventory[[#This Row],[24Lnd]]</f>
        <v>-0.28762541806020064</v>
      </c>
      <c r="BU1864" s="36">
        <f>(Inventory[[#This Row],[Adjusted Total]]-Inventory[[#This Row],[24Final]])/Inventory[[#This Row],[24Final]]</f>
        <v>3.5380942044714564E-2</v>
      </c>
    </row>
    <row r="1865" spans="1:73" x14ac:dyDescent="0.3">
      <c r="A1865" s="25">
        <v>2025</v>
      </c>
      <c r="B1865" s="26" t="s">
        <v>2285</v>
      </c>
      <c r="C1865" s="26">
        <f>LN(Inventory[[#This Row],[Acres]])</f>
        <v>-0.44628710262841947</v>
      </c>
      <c r="D1865" s="25">
        <v>0.64</v>
      </c>
      <c r="E1865" s="31"/>
      <c r="F1865" s="26" t="s">
        <v>537</v>
      </c>
      <c r="G1865" s="26" t="s">
        <v>126</v>
      </c>
      <c r="H1865" s="26" t="s">
        <v>349</v>
      </c>
      <c r="I1865" s="26" t="s">
        <v>538</v>
      </c>
      <c r="J1865" s="26" t="s">
        <v>539</v>
      </c>
      <c r="K1865" s="26" t="s">
        <v>4</v>
      </c>
      <c r="L1865" s="26" t="s">
        <v>64</v>
      </c>
      <c r="M1865" s="26" t="s">
        <v>303</v>
      </c>
      <c r="N1865" s="26">
        <v>100</v>
      </c>
      <c r="O1865" s="26">
        <f>2024-Inventory[[#This Row],[YrBlt]]</f>
        <v>95</v>
      </c>
      <c r="P1865" s="26">
        <f>2024-Inventory[[#This Row],[EffYr]]</f>
        <v>55</v>
      </c>
      <c r="Q1865" s="25">
        <v>1929</v>
      </c>
      <c r="R1865" s="25">
        <v>1969</v>
      </c>
      <c r="S1865" s="25">
        <v>3545</v>
      </c>
      <c r="T1865" s="27"/>
      <c r="U1865" s="32">
        <v>3545</v>
      </c>
      <c r="V1865" s="32">
        <f>Inventory[[#This Row],[Bsmt]]-Inventory[[#This Row],[FnBsmt]]</f>
        <v>2647</v>
      </c>
      <c r="W1865" s="32">
        <v>898</v>
      </c>
      <c r="X1865" s="27"/>
      <c r="Y1865" s="27">
        <f>Inventory[[#This Row],[MainFn]]+Inventory[[#This Row],[UpprFn]]+Inventory[[#This Row],[FnBsmt]]+Inventory[[#This Row],[AddFn]]</f>
        <v>4443</v>
      </c>
      <c r="Z1865" s="27">
        <v>4500</v>
      </c>
      <c r="AA1865" s="25">
        <v>18</v>
      </c>
      <c r="AB1865" s="27"/>
      <c r="AC1865" s="27"/>
      <c r="AD1865" s="31"/>
      <c r="AE1865" s="27"/>
      <c r="AF1865" s="27"/>
      <c r="AG1865" s="27"/>
      <c r="AH1865" s="27"/>
      <c r="AI1865" s="25">
        <v>1125014</v>
      </c>
      <c r="AJ1865" s="25">
        <v>765010</v>
      </c>
      <c r="AK1865" s="25">
        <v>26617</v>
      </c>
      <c r="AL1865" s="25">
        <v>781400</v>
      </c>
      <c r="AM1865" s="25">
        <v>99000</v>
      </c>
      <c r="AN1865" s="25">
        <v>682400</v>
      </c>
      <c r="AO1865" s="25">
        <v>0</v>
      </c>
      <c r="AP1865" s="25">
        <f>Lookups!$B$56*0</f>
        <v>0</v>
      </c>
      <c r="AQ1865" s="25">
        <f>Lookups!$B$56*1</f>
        <v>89850.625589999996</v>
      </c>
      <c r="AR1865" s="25">
        <f>Lookups!$B$57*Inventory[[#This Row],[LnAcres]]</f>
        <v>-14127.046743866851</v>
      </c>
      <c r="AS1865" s="25">
        <f>VLOOKUP(Inventory[[#This Row],[Qlty]],Lookups!$A$62:$E$75,2,FALSE)</f>
        <v>163885.03753</v>
      </c>
      <c r="AT1865" s="25">
        <f>VLOOKUP(Inventory[[#This Row],[Cnd]],Lookups!$A$76:$E$84,2,FALSE)</f>
        <v>197752.34721000001</v>
      </c>
      <c r="AU1865" s="25">
        <f>Inventory[[#This Row],[EffAge]]*Lookups!$B$85</f>
        <v>-12267.5080275</v>
      </c>
      <c r="AV1865" s="25">
        <f>Inventory[[#This Row],[MainFn]]*Lookups!$B$86</f>
        <v>175153.73471396501</v>
      </c>
      <c r="AW1865" s="25">
        <f>Inventory[[#This Row],[UpprFn]]*Lookups!$B$87</f>
        <v>0</v>
      </c>
      <c r="AX1865" s="25">
        <f>Inventory[[#This Row],[AddFn]]*Lookups!$B$88</f>
        <v>0</v>
      </c>
      <c r="AY1865" s="25">
        <f>Inventory[[#This Row],[Bsmt]]*Lookups!$B$89</f>
        <v>103095.31865061499</v>
      </c>
      <c r="AZ1865" s="25">
        <f>Inventory[[#This Row],[Fixtures]]*Lookups!$B$90</f>
        <v>68256.397893600006</v>
      </c>
      <c r="BA1865" s="25">
        <f>Inventory[[#This Row],[WdDeck]]*Lookups!$B$91</f>
        <v>0</v>
      </c>
      <c r="BB1865" s="25">
        <f>ROUND(Inventory[[#This Row],[25Det]],-2)</f>
        <v>26600</v>
      </c>
      <c r="BC1865" s="25">
        <f>ROUND(SUM(Inventory[[#This Row],[Mdl Qlty]:[Mdl WdDeck]])+Inventory[[#This Row],[Mdl Res Intercept]],-2)</f>
        <v>695900</v>
      </c>
      <c r="BD1865" s="25">
        <f>ROUND(Inventory[[#This Row],[Mdl Land Intercept]]+Inventory[[#This Row],[Mdl LnAcres]],-2)</f>
        <v>75700</v>
      </c>
      <c r="BE1865" s="25">
        <f>Inventory[[#This Row],[Unadj Res Value]]+Inventory[[#This Row],[Unadj Det Value]]+Inventory[[#This Row],[Unadj Land Value]]</f>
        <v>798200</v>
      </c>
      <c r="BF1865" s="36">
        <f>(Inventory[[#This Row],[Unadj Total Value]]-Inventory[[#This Row],[24Final]])/Inventory[[#This Row],[24Final]]</f>
        <v>2.1499872024571282E-2</v>
      </c>
      <c r="BG1865" s="25">
        <f>VLOOKUP(Inventory[[#This Row],[Nbhd]],Lookups!$Q$2:$T$4,4,FALSE)</f>
        <v>0.99970000000000003</v>
      </c>
      <c r="BH1865" s="25">
        <f>VLOOKUP(Inventory[[#This Row],[Qlty]],Lookups!$O$7:$R$21,4,FALSE)</f>
        <v>1</v>
      </c>
      <c r="BI1865" s="25">
        <f>VLOOKUP(Inventory[[#This Row],[Cnd]],Lookups!$T$7:$W$16,4,FALSE)</f>
        <v>0.99650000000000005</v>
      </c>
      <c r="BJ1865" s="25">
        <f>VLOOKUP(Inventory[[#This Row],[LivArea Range]],Lookups!$T$25:$W$37,4,FALSE)</f>
        <v>1</v>
      </c>
      <c r="BK1865" s="25">
        <f>VLOOKUP(Inventory[[#This Row],[Decade]],Lookups!$O$25:$R$42,4,FALSE)</f>
        <v>1.0074000000000001</v>
      </c>
      <c r="BL1865" s="25">
        <f>Inventory[[#This Row],[Nbhd Adj]]*0.95</f>
        <v>0.94971499999999998</v>
      </c>
      <c r="BM1865" s="25">
        <f>Inventory[[#This Row],[Nbhd Adj]]*Inventory[[#This Row],[Quality Adj]]*Inventory[[#This Row],[Condition Adj]]*Inventory[[#This Row],[Living Area Adj]]*Inventory[[#This Row],[Decade Adj]]*0.95</f>
        <v>0.95339429088149996</v>
      </c>
      <c r="BN1865" s="25">
        <f>ROUND(SUM(Inventory[[#This Row],[Mdl Qlty]:[Mdl WdDeck]])+Inventory[[#This Row],[Mdl Res Intercept]]*Inventory[[#This Row],[Res Adj ]],-2)</f>
        <v>695900</v>
      </c>
      <c r="BO1865" s="25">
        <f>ROUND(Inventory[[#This Row],[25Det]]*Inventory[[#This Row],[Det/Nbhd Adj]],-2)</f>
        <v>25300</v>
      </c>
      <c r="BP1865" s="25">
        <f>Inventory[[#This Row],[Adjusted Res]]+Inventory[[#This Row],[Adj Det ]]</f>
        <v>721200</v>
      </c>
      <c r="BQ1865" s="25">
        <f>ROUND((Inventory[[#This Row],[Mdl Land Intercept]]+Inventory[[#This Row],[Mdl LnAcres]])*Inventory[[#This Row],[Det/Nbhd Adj]],-2)</f>
        <v>71900</v>
      </c>
      <c r="BR1865" s="25">
        <f>Inventory[[#This Row],[Adjusted Impr Total]]+Inventory[[#This Row],[Adjusted Land Total]]</f>
        <v>793100</v>
      </c>
      <c r="BS1865" s="36">
        <f>IFERROR((Inventory[[#This Row],[Adjusted Impr Total]]-Inventory[[#This Row],[24Bldg]])/Inventory[[#This Row],[24Bldg]],0)</f>
        <v>5.6858147713950764E-2</v>
      </c>
      <c r="BT1865" s="36">
        <f>(Inventory[[#This Row],[Adjusted Land Total]]-Inventory[[#This Row],[24Lnd]])/Inventory[[#This Row],[24Lnd]]</f>
        <v>-0.27373737373737372</v>
      </c>
      <c r="BU1865" s="36">
        <f>(Inventory[[#This Row],[Adjusted Total]]-Inventory[[#This Row],[24Final]])/Inventory[[#This Row],[24Final]]</f>
        <v>1.4973125159969286E-2</v>
      </c>
    </row>
    <row r="1866" spans="1:73" x14ac:dyDescent="0.3">
      <c r="A1866" s="25">
        <v>2025</v>
      </c>
      <c r="B1866" s="26" t="s">
        <v>1921</v>
      </c>
      <c r="C1866" s="26">
        <f>LN(Inventory[[#This Row],[Acres]])</f>
        <v>-0.73396917508020043</v>
      </c>
      <c r="D1866" s="25">
        <v>0.48</v>
      </c>
      <c r="E1866" s="31"/>
      <c r="F1866" s="26" t="s">
        <v>537</v>
      </c>
      <c r="G1866" s="26" t="s">
        <v>126</v>
      </c>
      <c r="H1866" s="26" t="s">
        <v>349</v>
      </c>
      <c r="I1866" s="26" t="s">
        <v>538</v>
      </c>
      <c r="J1866" s="26" t="s">
        <v>974</v>
      </c>
      <c r="K1866" s="26" t="s">
        <v>4</v>
      </c>
      <c r="L1866" s="26" t="s">
        <v>64</v>
      </c>
      <c r="M1866" s="26" t="s">
        <v>303</v>
      </c>
      <c r="N1866" s="26">
        <v>100</v>
      </c>
      <c r="O1866" s="26">
        <f>2024-Inventory[[#This Row],[YrBlt]]</f>
        <v>95</v>
      </c>
      <c r="P1866" s="26">
        <f>2024-Inventory[[#This Row],[EffYr]]</f>
        <v>55</v>
      </c>
      <c r="Q1866" s="25">
        <v>1929</v>
      </c>
      <c r="R1866" s="25">
        <v>1969</v>
      </c>
      <c r="S1866" s="25">
        <v>1469</v>
      </c>
      <c r="T1866" s="32">
        <v>480</v>
      </c>
      <c r="U1866" s="25">
        <v>1322</v>
      </c>
      <c r="V1866" s="32">
        <f>Inventory[[#This Row],[Bsmt]]-Inventory[[#This Row],[FnBsmt]]</f>
        <v>0</v>
      </c>
      <c r="W1866" s="32">
        <v>1322</v>
      </c>
      <c r="X1866" s="27"/>
      <c r="Y1866" s="27">
        <f>Inventory[[#This Row],[MainFn]]+Inventory[[#This Row],[UpprFn]]+Inventory[[#This Row],[FnBsmt]]+Inventory[[#This Row],[AddFn]]</f>
        <v>3271</v>
      </c>
      <c r="Z1866" s="27">
        <v>3500</v>
      </c>
      <c r="AA1866" s="25">
        <v>15</v>
      </c>
      <c r="AB1866" s="27"/>
      <c r="AC1866" s="27"/>
      <c r="AD1866" s="27"/>
      <c r="AE1866" s="27"/>
      <c r="AF1866" s="27"/>
      <c r="AG1866" s="27"/>
      <c r="AH1866" s="27"/>
      <c r="AI1866" s="25">
        <v>675397</v>
      </c>
      <c r="AJ1866" s="25">
        <v>459270</v>
      </c>
      <c r="AK1866" s="25">
        <v>135729</v>
      </c>
      <c r="AL1866" s="25">
        <v>733200</v>
      </c>
      <c r="AM1866" s="25">
        <v>88900</v>
      </c>
      <c r="AN1866" s="25">
        <v>644300</v>
      </c>
      <c r="AO1866" s="25">
        <v>0</v>
      </c>
      <c r="AP1866" s="25">
        <f>Lookups!$B$56*0</f>
        <v>0</v>
      </c>
      <c r="AQ1866" s="25">
        <f>Lookups!$B$56*1</f>
        <v>89850.625589999996</v>
      </c>
      <c r="AR1866" s="25">
        <f>Lookups!$B$57*Inventory[[#This Row],[LnAcres]]</f>
        <v>-23233.512202902497</v>
      </c>
      <c r="AS1866" s="25">
        <f>VLOOKUP(Inventory[[#This Row],[Qlty]],Lookups!$A$62:$E$75,2,FALSE)</f>
        <v>163885.03753</v>
      </c>
      <c r="AT1866" s="25">
        <f>VLOOKUP(Inventory[[#This Row],[Cnd]],Lookups!$A$76:$E$84,2,FALSE)</f>
        <v>197752.34721000001</v>
      </c>
      <c r="AU1866" s="25">
        <f>Inventory[[#This Row],[EffAge]]*Lookups!$B$85</f>
        <v>-12267.5080275</v>
      </c>
      <c r="AV1866" s="25">
        <f>Inventory[[#This Row],[MainFn]]*Lookups!$B$86</f>
        <v>72581.336049313002</v>
      </c>
      <c r="AW1866" s="25">
        <f>Inventory[[#This Row],[UpprFn]]*Lookups!$B$87</f>
        <v>21497.482973279999</v>
      </c>
      <c r="AX1866" s="25">
        <f>Inventory[[#This Row],[AddFn]]*Lookups!$B$88</f>
        <v>0</v>
      </c>
      <c r="AY1866" s="25">
        <f>Inventory[[#This Row],[Bsmt]]*Lookups!$B$89</f>
        <v>38446.265516533997</v>
      </c>
      <c r="AZ1866" s="25">
        <f>Inventory[[#This Row],[Fixtures]]*Lookups!$B$90</f>
        <v>56880.331578000005</v>
      </c>
      <c r="BA1866" s="25">
        <f>Inventory[[#This Row],[WdDeck]]*Lookups!$B$91</f>
        <v>0</v>
      </c>
      <c r="BB1866" s="25">
        <f>ROUND(Inventory[[#This Row],[25Det]],-2)</f>
        <v>135700</v>
      </c>
      <c r="BC1866" s="25">
        <f>ROUND(SUM(Inventory[[#This Row],[Mdl Qlty]:[Mdl WdDeck]])+Inventory[[#This Row],[Mdl Res Intercept]],-2)</f>
        <v>538800</v>
      </c>
      <c r="BD1866" s="25">
        <f>ROUND(Inventory[[#This Row],[Mdl Land Intercept]]+Inventory[[#This Row],[Mdl LnAcres]],-2)</f>
        <v>66600</v>
      </c>
      <c r="BE1866" s="25">
        <f>Inventory[[#This Row],[Unadj Res Value]]+Inventory[[#This Row],[Unadj Det Value]]+Inventory[[#This Row],[Unadj Land Value]]</f>
        <v>741100</v>
      </c>
      <c r="BF1866" s="36">
        <f>(Inventory[[#This Row],[Unadj Total Value]]-Inventory[[#This Row],[24Final]])/Inventory[[#This Row],[24Final]]</f>
        <v>1.07746863066012E-2</v>
      </c>
      <c r="BG1866" s="25">
        <f>VLOOKUP(Inventory[[#This Row],[Nbhd]],Lookups!$Q$2:$T$4,4,FALSE)</f>
        <v>0.99970000000000003</v>
      </c>
      <c r="BH1866" s="25">
        <f>VLOOKUP(Inventory[[#This Row],[Qlty]],Lookups!$O$7:$R$21,4,FALSE)</f>
        <v>1</v>
      </c>
      <c r="BI1866" s="25">
        <f>VLOOKUP(Inventory[[#This Row],[Cnd]],Lookups!$T$7:$W$16,4,FALSE)</f>
        <v>0.99650000000000005</v>
      </c>
      <c r="BJ1866" s="25">
        <f>VLOOKUP(Inventory[[#This Row],[LivArea Range]],Lookups!$T$25:$W$37,4,FALSE)</f>
        <v>1.0126999999999999</v>
      </c>
      <c r="BK1866" s="25">
        <f>VLOOKUP(Inventory[[#This Row],[Decade]],Lookups!$O$25:$R$42,4,FALSE)</f>
        <v>1.0074000000000001</v>
      </c>
      <c r="BL1866" s="25">
        <f>Inventory[[#This Row],[Nbhd Adj]]*0.95</f>
        <v>0.94971499999999998</v>
      </c>
      <c r="BM1866" s="25">
        <f>Inventory[[#This Row],[Nbhd Adj]]*Inventory[[#This Row],[Quality Adj]]*Inventory[[#This Row],[Condition Adj]]*Inventory[[#This Row],[Living Area Adj]]*Inventory[[#This Row],[Decade Adj]]*0.95</f>
        <v>0.96550239837569496</v>
      </c>
      <c r="BN1866" s="25">
        <f>ROUND(SUM(Inventory[[#This Row],[Mdl Qlty]:[Mdl WdDeck]])+Inventory[[#This Row],[Mdl Res Intercept]]*Inventory[[#This Row],[Res Adj ]],-2)</f>
        <v>538800</v>
      </c>
      <c r="BO1866" s="25">
        <f>ROUND(Inventory[[#This Row],[25Det]]*Inventory[[#This Row],[Det/Nbhd Adj]],-2)</f>
        <v>128900</v>
      </c>
      <c r="BP1866" s="25">
        <f>Inventory[[#This Row],[Adjusted Res]]+Inventory[[#This Row],[Adj Det ]]</f>
        <v>667700</v>
      </c>
      <c r="BQ1866" s="25">
        <f>ROUND((Inventory[[#This Row],[Mdl Land Intercept]]+Inventory[[#This Row],[Mdl LnAcres]])*Inventory[[#This Row],[Det/Nbhd Adj]],-2)</f>
        <v>63300</v>
      </c>
      <c r="BR1866" s="25">
        <f>Inventory[[#This Row],[Adjusted Impr Total]]+Inventory[[#This Row],[Adjusted Land Total]]</f>
        <v>731000</v>
      </c>
      <c r="BS1866" s="36">
        <f>IFERROR((Inventory[[#This Row],[Adjusted Impr Total]]-Inventory[[#This Row],[24Bldg]])/Inventory[[#This Row],[24Bldg]],0)</f>
        <v>3.6318485177712245E-2</v>
      </c>
      <c r="BT1866" s="36">
        <f>(Inventory[[#This Row],[Adjusted Land Total]]-Inventory[[#This Row],[24Lnd]])/Inventory[[#This Row],[24Lnd]]</f>
        <v>-0.2879640044994376</v>
      </c>
      <c r="BU1866" s="36">
        <f>(Inventory[[#This Row],[Adjusted Total]]-Inventory[[#This Row],[24Final]])/Inventory[[#This Row],[24Final]]</f>
        <v>-3.0005455537370431E-3</v>
      </c>
    </row>
    <row r="1867" spans="1:73" x14ac:dyDescent="0.3">
      <c r="A1867" s="25">
        <v>2025</v>
      </c>
      <c r="B1867" s="26" t="s">
        <v>2765</v>
      </c>
      <c r="C1867" s="26">
        <f>LN(Inventory[[#This Row],[Acres]])</f>
        <v>-0.41551544396166579</v>
      </c>
      <c r="D1867" s="25">
        <v>0.66</v>
      </c>
      <c r="E1867" s="25">
        <v>28797</v>
      </c>
      <c r="F1867" s="26" t="s">
        <v>624</v>
      </c>
      <c r="G1867" s="26" t="s">
        <v>544</v>
      </c>
      <c r="H1867" s="26" t="s">
        <v>349</v>
      </c>
      <c r="I1867" s="26" t="s">
        <v>625</v>
      </c>
      <c r="J1867" s="26" t="s">
        <v>1137</v>
      </c>
      <c r="K1867" s="26" t="s">
        <v>448</v>
      </c>
      <c r="L1867" s="26" t="s">
        <v>148</v>
      </c>
      <c r="M1867" s="26" t="s">
        <v>303</v>
      </c>
      <c r="N1867" s="26">
        <v>100</v>
      </c>
      <c r="O1867" s="26">
        <f>2024-Inventory[[#This Row],[YrBlt]]</f>
        <v>95</v>
      </c>
      <c r="P1867" s="26">
        <f>2024-Inventory[[#This Row],[EffYr]]</f>
        <v>55</v>
      </c>
      <c r="Q1867" s="25">
        <v>1929</v>
      </c>
      <c r="R1867" s="25">
        <v>1969</v>
      </c>
      <c r="S1867" s="25">
        <v>1650</v>
      </c>
      <c r="T1867" s="32">
        <v>1650</v>
      </c>
      <c r="U1867" s="32">
        <v>1235</v>
      </c>
      <c r="V1867" s="32">
        <f>Inventory[[#This Row],[Bsmt]]-Inventory[[#This Row],[FnBsmt]]</f>
        <v>749</v>
      </c>
      <c r="W1867" s="32">
        <v>486</v>
      </c>
      <c r="X1867" s="32">
        <v>300</v>
      </c>
      <c r="Y1867" s="32">
        <f>Inventory[[#This Row],[MainFn]]+Inventory[[#This Row],[UpprFn]]+Inventory[[#This Row],[FnBsmt]]+Inventory[[#This Row],[AddFn]]</f>
        <v>4086</v>
      </c>
      <c r="Z1867" s="27">
        <v>4500</v>
      </c>
      <c r="AA1867" s="25">
        <v>18</v>
      </c>
      <c r="AB1867" s="25">
        <v>565</v>
      </c>
      <c r="AC1867" s="27"/>
      <c r="AD1867" s="27"/>
      <c r="AE1867" s="27"/>
      <c r="AF1867" s="27"/>
      <c r="AG1867" s="27"/>
      <c r="AH1867" s="27"/>
      <c r="AI1867" s="25">
        <v>917097</v>
      </c>
      <c r="AJ1867" s="25">
        <v>614455</v>
      </c>
      <c r="AK1867" s="25">
        <v>0</v>
      </c>
      <c r="AL1867" s="25">
        <v>684300</v>
      </c>
      <c r="AM1867" s="25">
        <v>100000</v>
      </c>
      <c r="AN1867" s="25">
        <v>584300</v>
      </c>
      <c r="AO1867" s="25">
        <v>0</v>
      </c>
      <c r="AP1867" s="25">
        <f>Lookups!$B$56*0</f>
        <v>0</v>
      </c>
      <c r="AQ1867" s="25">
        <f>Lookups!$B$56*1</f>
        <v>89850.625589999996</v>
      </c>
      <c r="AR1867" s="25">
        <f>Lookups!$B$57*Inventory[[#This Row],[LnAcres]]</f>
        <v>-13152.98171305755</v>
      </c>
      <c r="AS1867" s="25">
        <f>VLOOKUP(Inventory[[#This Row],[Qlty]],Lookups!$A$62:$E$75,2,FALSE)</f>
        <v>44121.038090000002</v>
      </c>
      <c r="AT1867" s="25">
        <f>VLOOKUP(Inventory[[#This Row],[Cnd]],Lookups!$A$76:$E$84,2,FALSE)</f>
        <v>197752.34721000001</v>
      </c>
      <c r="AU1867" s="25">
        <f>Inventory[[#This Row],[EffAge]]*Lookups!$B$85</f>
        <v>-12267.5080275</v>
      </c>
      <c r="AV1867" s="25">
        <f>Inventory[[#This Row],[MainFn]]*Lookups!$B$86</f>
        <v>81524.305297049999</v>
      </c>
      <c r="AW1867" s="25">
        <f>Inventory[[#This Row],[UpprFn]]*Lookups!$B$87</f>
        <v>73897.597720649996</v>
      </c>
      <c r="AX1867" s="25">
        <f>Inventory[[#This Row],[AddFn]]*Lookups!$B$88</f>
        <v>19528.401315300001</v>
      </c>
      <c r="AY1867" s="25">
        <f>Inventory[[#This Row],[Bsmt]]*Lookups!$B$89</f>
        <v>35916.140630044996</v>
      </c>
      <c r="AZ1867" s="25">
        <f>Inventory[[#This Row],[Fixtures]]*Lookups!$B$90</f>
        <v>68256.397893600006</v>
      </c>
      <c r="BA1867" s="25">
        <f>Inventory[[#This Row],[WdDeck]]*Lookups!$B$91</f>
        <v>0</v>
      </c>
      <c r="BB1867" s="25">
        <f>ROUND(Inventory[[#This Row],[25Det]],-2)</f>
        <v>0</v>
      </c>
      <c r="BC1867" s="25">
        <f>ROUND(SUM(Inventory[[#This Row],[Mdl Qlty]:[Mdl WdDeck]])+Inventory[[#This Row],[Mdl Res Intercept]],-2)</f>
        <v>508700</v>
      </c>
      <c r="BD1867" s="25">
        <f>ROUND(Inventory[[#This Row],[Mdl Land Intercept]]+Inventory[[#This Row],[Mdl LnAcres]],-2)</f>
        <v>76700</v>
      </c>
      <c r="BE1867" s="25">
        <f>Inventory[[#This Row],[Unadj Res Value]]+Inventory[[#This Row],[Unadj Det Value]]+Inventory[[#This Row],[Unadj Land Value]]</f>
        <v>585400</v>
      </c>
      <c r="BF1867" s="36">
        <f>(Inventory[[#This Row],[Unadj Total Value]]-Inventory[[#This Row],[24Final]])/Inventory[[#This Row],[24Final]]</f>
        <v>-0.1445272541283063</v>
      </c>
      <c r="BG1867" s="25">
        <f>VLOOKUP(Inventory[[#This Row],[Nbhd]],Lookups!$Q$2:$T$4,4,FALSE)</f>
        <v>0.99970000000000003</v>
      </c>
      <c r="BH1867" s="25">
        <f>VLOOKUP(Inventory[[#This Row],[Qlty]],Lookups!$O$7:$R$21,4,FALSE)</f>
        <v>0.98050000000000004</v>
      </c>
      <c r="BI1867" s="25">
        <f>VLOOKUP(Inventory[[#This Row],[Cnd]],Lookups!$T$7:$W$16,4,FALSE)</f>
        <v>0.99650000000000005</v>
      </c>
      <c r="BJ1867" s="25">
        <f>VLOOKUP(Inventory[[#This Row],[LivArea Range]],Lookups!$T$25:$W$37,4,FALSE)</f>
        <v>1</v>
      </c>
      <c r="BK1867" s="25">
        <f>VLOOKUP(Inventory[[#This Row],[Decade]],Lookups!$O$25:$R$42,4,FALSE)</f>
        <v>1.0074000000000001</v>
      </c>
      <c r="BL1867" s="25">
        <f>Inventory[[#This Row],[Nbhd Adj]]*0.95</f>
        <v>0.94971499999999998</v>
      </c>
      <c r="BM1867" s="25">
        <f>Inventory[[#This Row],[Nbhd Adj]]*Inventory[[#This Row],[Quality Adj]]*Inventory[[#This Row],[Condition Adj]]*Inventory[[#This Row],[Living Area Adj]]*Inventory[[#This Row],[Decade Adj]]*0.95</f>
        <v>0.93480310220931084</v>
      </c>
      <c r="BN1867" s="25">
        <f>ROUND(SUM(Inventory[[#This Row],[Mdl Qlty]:[Mdl WdDeck]])+Inventory[[#This Row],[Mdl Res Intercept]]*Inventory[[#This Row],[Res Adj ]],-2)</f>
        <v>508700</v>
      </c>
      <c r="BO1867" s="25">
        <f>ROUND(Inventory[[#This Row],[25Det]]*Inventory[[#This Row],[Det/Nbhd Adj]],-2)</f>
        <v>0</v>
      </c>
      <c r="BP1867" s="25">
        <f>Inventory[[#This Row],[Adjusted Res]]+Inventory[[#This Row],[Adj Det ]]</f>
        <v>508700</v>
      </c>
      <c r="BQ1867" s="25">
        <f>ROUND((Inventory[[#This Row],[Mdl Land Intercept]]+Inventory[[#This Row],[Mdl LnAcres]])*Inventory[[#This Row],[Det/Nbhd Adj]],-2)</f>
        <v>72800</v>
      </c>
      <c r="BR1867" s="25">
        <f>Inventory[[#This Row],[Adjusted Impr Total]]+Inventory[[#This Row],[Adjusted Land Total]]</f>
        <v>581500</v>
      </c>
      <c r="BS1867" s="36">
        <f>IFERROR((Inventory[[#This Row],[Adjusted Impr Total]]-Inventory[[#This Row],[24Bldg]])/Inventory[[#This Row],[24Bldg]],0)</f>
        <v>-0.12938558959438645</v>
      </c>
      <c r="BT1867" s="36">
        <f>(Inventory[[#This Row],[Adjusted Land Total]]-Inventory[[#This Row],[24Lnd]])/Inventory[[#This Row],[24Lnd]]</f>
        <v>-0.27200000000000002</v>
      </c>
      <c r="BU1867" s="36">
        <f>(Inventory[[#This Row],[Adjusted Total]]-Inventory[[#This Row],[24Final]])/Inventory[[#This Row],[24Final]]</f>
        <v>-0.15022650884115155</v>
      </c>
    </row>
    <row r="1868" spans="1:73" x14ac:dyDescent="0.3">
      <c r="A1868" s="25">
        <v>2025</v>
      </c>
      <c r="B1868" s="26" t="s">
        <v>2276</v>
      </c>
      <c r="C1868" s="26">
        <f>LN(Inventory[[#This Row],[Acres]])</f>
        <v>-1.8971199848858813</v>
      </c>
      <c r="D1868" s="25">
        <v>0.15</v>
      </c>
      <c r="E1868" s="31"/>
      <c r="F1868" s="26" t="s">
        <v>537</v>
      </c>
      <c r="G1868" s="26" t="s">
        <v>126</v>
      </c>
      <c r="H1868" s="26" t="s">
        <v>349</v>
      </c>
      <c r="I1868" s="26" t="s">
        <v>538</v>
      </c>
      <c r="J1868" s="26" t="s">
        <v>539</v>
      </c>
      <c r="K1868" s="26" t="s">
        <v>269</v>
      </c>
      <c r="L1868" s="26" t="s">
        <v>351</v>
      </c>
      <c r="M1868" s="26" t="s">
        <v>352</v>
      </c>
      <c r="N1868" s="26">
        <v>100</v>
      </c>
      <c r="O1868" s="26">
        <f>2024-Inventory[[#This Row],[YrBlt]]</f>
        <v>96</v>
      </c>
      <c r="P1868" s="26">
        <f>2024-Inventory[[#This Row],[EffYr]]</f>
        <v>55</v>
      </c>
      <c r="Q1868" s="25">
        <v>1928</v>
      </c>
      <c r="R1868" s="25">
        <v>1969</v>
      </c>
      <c r="S1868" s="25">
        <v>1352</v>
      </c>
      <c r="T1868" s="27"/>
      <c r="U1868" s="25">
        <v>690</v>
      </c>
      <c r="V1868" s="25">
        <f>Inventory[[#This Row],[Bsmt]]-Inventory[[#This Row],[FnBsmt]]</f>
        <v>0</v>
      </c>
      <c r="W1868" s="25">
        <v>690</v>
      </c>
      <c r="X1868" s="27"/>
      <c r="Y1868" s="27">
        <f>Inventory[[#This Row],[MainFn]]+Inventory[[#This Row],[UpprFn]]+Inventory[[#This Row],[FnBsmt]]+Inventory[[#This Row],[AddFn]]</f>
        <v>2042</v>
      </c>
      <c r="Z1868" s="27">
        <v>2500</v>
      </c>
      <c r="AA1868" s="25">
        <v>7</v>
      </c>
      <c r="AB1868" s="27"/>
      <c r="AC1868" s="27"/>
      <c r="AD1868" s="27"/>
      <c r="AE1868" s="27"/>
      <c r="AF1868" s="27"/>
      <c r="AG1868" s="27"/>
      <c r="AH1868" s="27"/>
      <c r="AI1868" s="25">
        <v>280978</v>
      </c>
      <c r="AJ1868" s="25">
        <v>193875</v>
      </c>
      <c r="AK1868" s="25">
        <v>9040</v>
      </c>
      <c r="AL1868" s="25">
        <v>368300</v>
      </c>
      <c r="AM1868" s="25">
        <v>48400</v>
      </c>
      <c r="AN1868" s="25">
        <v>319900</v>
      </c>
      <c r="AO1868" s="25">
        <v>0</v>
      </c>
      <c r="AP1868" s="25">
        <f>Lookups!$B$56*0</f>
        <v>0</v>
      </c>
      <c r="AQ1868" s="25">
        <f>Lookups!$B$56*1</f>
        <v>89850.625589999996</v>
      </c>
      <c r="AR1868" s="25">
        <f>Lookups!$B$57*Inventory[[#This Row],[LnAcres]]</f>
        <v>-60052.604136134301</v>
      </c>
      <c r="AS1868" s="25">
        <f>VLOOKUP(Inventory[[#This Row],[Qlty]],Lookups!$A$62:$E$75,2,FALSE)</f>
        <v>21557.329055999999</v>
      </c>
      <c r="AT1868" s="25">
        <f>VLOOKUP(Inventory[[#This Row],[Cnd]],Lookups!$A$76:$E$84,2,FALSE)</f>
        <v>284810.60806</v>
      </c>
      <c r="AU1868" s="25">
        <f>Inventory[[#This Row],[EffAge]]*Lookups!$B$85</f>
        <v>-12267.5080275</v>
      </c>
      <c r="AV1868" s="25">
        <f>Inventory[[#This Row],[MainFn]]*Lookups!$B$86</f>
        <v>66800.521673704003</v>
      </c>
      <c r="AW1868" s="25">
        <f>Inventory[[#This Row],[UpprFn]]*Lookups!$B$87</f>
        <v>0</v>
      </c>
      <c r="AX1868" s="25">
        <f>Inventory[[#This Row],[AddFn]]*Lookups!$B$88</f>
        <v>0</v>
      </c>
      <c r="AY1868" s="25">
        <f>Inventory[[#This Row],[Bsmt]]*Lookups!$B$89</f>
        <v>20066.50772043</v>
      </c>
      <c r="AZ1868" s="25">
        <f>Inventory[[#This Row],[Fixtures]]*Lookups!$B$90</f>
        <v>26544.1547364</v>
      </c>
      <c r="BA1868" s="25">
        <f>Inventory[[#This Row],[WdDeck]]*Lookups!$B$91</f>
        <v>0</v>
      </c>
      <c r="BB1868" s="25">
        <f>ROUND(Inventory[[#This Row],[25Det]],-2)</f>
        <v>9000</v>
      </c>
      <c r="BC1868" s="25">
        <f>ROUND(SUM(Inventory[[#This Row],[Mdl Qlty]:[Mdl WdDeck]])+Inventory[[#This Row],[Mdl Res Intercept]],-2)</f>
        <v>407500</v>
      </c>
      <c r="BD1868" s="25">
        <f>ROUND(Inventory[[#This Row],[Mdl Land Intercept]]+Inventory[[#This Row],[Mdl LnAcres]],-2)</f>
        <v>29800</v>
      </c>
      <c r="BE1868" s="25">
        <f>Inventory[[#This Row],[Unadj Res Value]]+Inventory[[#This Row],[Unadj Det Value]]+Inventory[[#This Row],[Unadj Land Value]]</f>
        <v>446300</v>
      </c>
      <c r="BF1868" s="36">
        <f>(Inventory[[#This Row],[Unadj Total Value]]-Inventory[[#This Row],[24Final]])/Inventory[[#This Row],[24Final]]</f>
        <v>0.21178387184360575</v>
      </c>
      <c r="BG1868" s="25">
        <f>VLOOKUP(Inventory[[#This Row],[Nbhd]],Lookups!$Q$2:$T$4,4,FALSE)</f>
        <v>0.99970000000000003</v>
      </c>
      <c r="BH1868" s="25">
        <f>VLOOKUP(Inventory[[#This Row],[Qlty]],Lookups!$O$7:$R$21,4,FALSE)</f>
        <v>1.0067999999999999</v>
      </c>
      <c r="BI1868" s="25">
        <f>VLOOKUP(Inventory[[#This Row],[Cnd]],Lookups!$T$7:$W$16,4,FALSE)</f>
        <v>1.0158</v>
      </c>
      <c r="BJ1868" s="25">
        <f>VLOOKUP(Inventory[[#This Row],[LivArea Range]],Lookups!$T$25:$W$37,4,FALSE)</f>
        <v>0.98919999999999997</v>
      </c>
      <c r="BK1868" s="25">
        <f>VLOOKUP(Inventory[[#This Row],[Decade]],Lookups!$O$25:$R$42,4,FALSE)</f>
        <v>1.0074000000000001</v>
      </c>
      <c r="BL1868" s="25">
        <f>Inventory[[#This Row],[Nbhd Adj]]*0.95</f>
        <v>0.94971499999999998</v>
      </c>
      <c r="BM1868" s="25">
        <f>Inventory[[#This Row],[Nbhd Adj]]*Inventory[[#This Row],[Quality Adj]]*Inventory[[#This Row],[Condition Adj]]*Inventory[[#This Row],[Living Area Adj]]*Inventory[[#This Row],[Decade Adj]]*0.95</f>
        <v>0.9679006176066467</v>
      </c>
      <c r="BN1868" s="25">
        <f>ROUND(SUM(Inventory[[#This Row],[Mdl Qlty]:[Mdl WdDeck]])+Inventory[[#This Row],[Mdl Res Intercept]]*Inventory[[#This Row],[Res Adj ]],-2)</f>
        <v>407500</v>
      </c>
      <c r="BO1868" s="25">
        <f>ROUND(Inventory[[#This Row],[25Det]]*Inventory[[#This Row],[Det/Nbhd Adj]],-2)</f>
        <v>8600</v>
      </c>
      <c r="BP1868" s="25">
        <f>Inventory[[#This Row],[Adjusted Res]]+Inventory[[#This Row],[Adj Det ]]</f>
        <v>416100</v>
      </c>
      <c r="BQ1868" s="25">
        <f>ROUND((Inventory[[#This Row],[Mdl Land Intercept]]+Inventory[[#This Row],[Mdl LnAcres]])*Inventory[[#This Row],[Det/Nbhd Adj]],-2)</f>
        <v>28300</v>
      </c>
      <c r="BR1868" s="25">
        <f>Inventory[[#This Row],[Adjusted Impr Total]]+Inventory[[#This Row],[Adjusted Land Total]]</f>
        <v>444400</v>
      </c>
      <c r="BS1868" s="36">
        <f>IFERROR((Inventory[[#This Row],[Adjusted Impr Total]]-Inventory[[#This Row],[24Bldg]])/Inventory[[#This Row],[24Bldg]],0)</f>
        <v>0.30071897467958736</v>
      </c>
      <c r="BT1868" s="36">
        <f>(Inventory[[#This Row],[Adjusted Land Total]]-Inventory[[#This Row],[24Lnd]])/Inventory[[#This Row],[24Lnd]]</f>
        <v>-0.41528925619834711</v>
      </c>
      <c r="BU1868" s="36">
        <f>(Inventory[[#This Row],[Adjusted Total]]-Inventory[[#This Row],[24Final]])/Inventory[[#This Row],[24Final]]</f>
        <v>0.20662503393972306</v>
      </c>
    </row>
    <row r="1869" spans="1:73" x14ac:dyDescent="0.3">
      <c r="A1869" s="25">
        <v>2025</v>
      </c>
      <c r="B1869" s="26" t="s">
        <v>2559</v>
      </c>
      <c r="C1869" s="26">
        <f>LN(Inventory[[#This Row],[Acres]])</f>
        <v>-1.8971199848858813</v>
      </c>
      <c r="D1869" s="25">
        <v>0.15</v>
      </c>
      <c r="E1869" s="31"/>
      <c r="F1869" s="26" t="s">
        <v>537</v>
      </c>
      <c r="G1869" s="26" t="s">
        <v>126</v>
      </c>
      <c r="H1869" s="26" t="s">
        <v>349</v>
      </c>
      <c r="I1869" s="26" t="s">
        <v>538</v>
      </c>
      <c r="J1869" s="26" t="s">
        <v>539</v>
      </c>
      <c r="K1869" s="26" t="s">
        <v>269</v>
      </c>
      <c r="L1869" s="26" t="s">
        <v>351</v>
      </c>
      <c r="M1869" s="26" t="s">
        <v>352</v>
      </c>
      <c r="N1869" s="26">
        <v>100</v>
      </c>
      <c r="O1869" s="26">
        <f>2024-Inventory[[#This Row],[YrBlt]]</f>
        <v>96</v>
      </c>
      <c r="P1869" s="26">
        <f>2024-Inventory[[#This Row],[EffYr]]</f>
        <v>36</v>
      </c>
      <c r="Q1869" s="25">
        <v>1928</v>
      </c>
      <c r="R1869" s="25">
        <v>1988</v>
      </c>
      <c r="S1869" s="25">
        <v>1176</v>
      </c>
      <c r="T1869" s="27"/>
      <c r="U1869" s="25">
        <v>1176</v>
      </c>
      <c r="V1869" s="32">
        <f>Inventory[[#This Row],[Bsmt]]-Inventory[[#This Row],[FnBsmt]]</f>
        <v>0</v>
      </c>
      <c r="W1869" s="32">
        <v>1176</v>
      </c>
      <c r="X1869" s="27"/>
      <c r="Y1869" s="27">
        <f>Inventory[[#This Row],[MainFn]]+Inventory[[#This Row],[UpprFn]]+Inventory[[#This Row],[FnBsmt]]+Inventory[[#This Row],[AddFn]]</f>
        <v>2352</v>
      </c>
      <c r="Z1869" s="27">
        <v>2500</v>
      </c>
      <c r="AA1869" s="25">
        <v>8</v>
      </c>
      <c r="AB1869" s="27"/>
      <c r="AC1869" s="27"/>
      <c r="AD1869" s="27"/>
      <c r="AE1869" s="27"/>
      <c r="AF1869" s="27"/>
      <c r="AG1869" s="27"/>
      <c r="AH1869" s="27"/>
      <c r="AI1869" s="25">
        <v>295355</v>
      </c>
      <c r="AJ1869" s="25">
        <v>254005</v>
      </c>
      <c r="AK1869" s="25">
        <v>8623</v>
      </c>
      <c r="AL1869" s="25">
        <v>383500</v>
      </c>
      <c r="AM1869" s="25">
        <v>48400</v>
      </c>
      <c r="AN1869" s="25">
        <v>335100</v>
      </c>
      <c r="AO1869" s="25">
        <v>0</v>
      </c>
      <c r="AP1869" s="25">
        <f>Lookups!$B$56*0</f>
        <v>0</v>
      </c>
      <c r="AQ1869" s="25">
        <f>Lookups!$B$56*1</f>
        <v>89850.625589999996</v>
      </c>
      <c r="AR1869" s="25">
        <f>Lookups!$B$57*Inventory[[#This Row],[LnAcres]]</f>
        <v>-60052.604136134301</v>
      </c>
      <c r="AS1869" s="25">
        <f>VLOOKUP(Inventory[[#This Row],[Qlty]],Lookups!$A$62:$E$75,2,FALSE)</f>
        <v>21557.329055999999</v>
      </c>
      <c r="AT1869" s="25">
        <f>VLOOKUP(Inventory[[#This Row],[Cnd]],Lookups!$A$76:$E$84,2,FALSE)</f>
        <v>284810.60806</v>
      </c>
      <c r="AU1869" s="25">
        <f>Inventory[[#This Row],[EffAge]]*Lookups!$B$85</f>
        <v>-8029.6416180000006</v>
      </c>
      <c r="AV1869" s="25">
        <f>Inventory[[#This Row],[MainFn]]*Lookups!$B$86</f>
        <v>58104.595775351998</v>
      </c>
      <c r="AW1869" s="25">
        <f>Inventory[[#This Row],[UpprFn]]*Lookups!$B$87</f>
        <v>0</v>
      </c>
      <c r="AX1869" s="25">
        <f>Inventory[[#This Row],[AddFn]]*Lookups!$B$88</f>
        <v>0</v>
      </c>
      <c r="AY1869" s="25">
        <f>Inventory[[#This Row],[Bsmt]]*Lookups!$B$89</f>
        <v>34200.308810472001</v>
      </c>
      <c r="AZ1869" s="25">
        <f>Inventory[[#This Row],[Fixtures]]*Lookups!$B$90</f>
        <v>30336.176841600001</v>
      </c>
      <c r="BA1869" s="25">
        <f>Inventory[[#This Row],[WdDeck]]*Lookups!$B$91</f>
        <v>0</v>
      </c>
      <c r="BB1869" s="25">
        <f>ROUND(Inventory[[#This Row],[25Det]],-2)</f>
        <v>8600</v>
      </c>
      <c r="BC1869" s="25">
        <f>ROUND(SUM(Inventory[[#This Row],[Mdl Qlty]:[Mdl WdDeck]])+Inventory[[#This Row],[Mdl Res Intercept]],-2)</f>
        <v>421000</v>
      </c>
      <c r="BD1869" s="25">
        <f>ROUND(Inventory[[#This Row],[Mdl Land Intercept]]+Inventory[[#This Row],[Mdl LnAcres]],-2)</f>
        <v>29800</v>
      </c>
      <c r="BE1869" s="25">
        <f>Inventory[[#This Row],[Unadj Res Value]]+Inventory[[#This Row],[Unadj Det Value]]+Inventory[[#This Row],[Unadj Land Value]]</f>
        <v>459400</v>
      </c>
      <c r="BF1869" s="36">
        <f>(Inventory[[#This Row],[Unadj Total Value]]-Inventory[[#This Row],[24Final]])/Inventory[[#This Row],[24Final]]</f>
        <v>0.19791395045632335</v>
      </c>
      <c r="BG1869" s="25">
        <f>VLOOKUP(Inventory[[#This Row],[Nbhd]],Lookups!$Q$2:$T$4,4,FALSE)</f>
        <v>0.99970000000000003</v>
      </c>
      <c r="BH1869" s="25">
        <f>VLOOKUP(Inventory[[#This Row],[Qlty]],Lookups!$O$7:$R$21,4,FALSE)</f>
        <v>1.0067999999999999</v>
      </c>
      <c r="BI1869" s="25">
        <f>VLOOKUP(Inventory[[#This Row],[Cnd]],Lookups!$T$7:$W$16,4,FALSE)</f>
        <v>1.0158</v>
      </c>
      <c r="BJ1869" s="25">
        <f>VLOOKUP(Inventory[[#This Row],[LivArea Range]],Lookups!$T$25:$W$37,4,FALSE)</f>
        <v>0.98919999999999997</v>
      </c>
      <c r="BK1869" s="25">
        <f>VLOOKUP(Inventory[[#This Row],[Decade]],Lookups!$O$25:$R$42,4,FALSE)</f>
        <v>1.0074000000000001</v>
      </c>
      <c r="BL1869" s="25">
        <f>Inventory[[#This Row],[Nbhd Adj]]*0.95</f>
        <v>0.94971499999999998</v>
      </c>
      <c r="BM1869" s="25">
        <f>Inventory[[#This Row],[Nbhd Adj]]*Inventory[[#This Row],[Quality Adj]]*Inventory[[#This Row],[Condition Adj]]*Inventory[[#This Row],[Living Area Adj]]*Inventory[[#This Row],[Decade Adj]]*0.95</f>
        <v>0.9679006176066467</v>
      </c>
      <c r="BN1869" s="25">
        <f>ROUND(SUM(Inventory[[#This Row],[Mdl Qlty]:[Mdl WdDeck]])+Inventory[[#This Row],[Mdl Res Intercept]]*Inventory[[#This Row],[Res Adj ]],-2)</f>
        <v>421000</v>
      </c>
      <c r="BO1869" s="25">
        <f>ROUND(Inventory[[#This Row],[25Det]]*Inventory[[#This Row],[Det/Nbhd Adj]],-2)</f>
        <v>8200</v>
      </c>
      <c r="BP1869" s="25">
        <f>Inventory[[#This Row],[Adjusted Res]]+Inventory[[#This Row],[Adj Det ]]</f>
        <v>429200</v>
      </c>
      <c r="BQ1869" s="25">
        <f>ROUND((Inventory[[#This Row],[Mdl Land Intercept]]+Inventory[[#This Row],[Mdl LnAcres]])*Inventory[[#This Row],[Det/Nbhd Adj]],-2)</f>
        <v>28300</v>
      </c>
      <c r="BR1869" s="25">
        <f>Inventory[[#This Row],[Adjusted Impr Total]]+Inventory[[#This Row],[Adjusted Land Total]]</f>
        <v>457500</v>
      </c>
      <c r="BS1869" s="36">
        <f>IFERROR((Inventory[[#This Row],[Adjusted Impr Total]]-Inventory[[#This Row],[24Bldg]])/Inventory[[#This Row],[24Bldg]],0)</f>
        <v>0.28081169800059685</v>
      </c>
      <c r="BT1869" s="36">
        <f>(Inventory[[#This Row],[Adjusted Land Total]]-Inventory[[#This Row],[24Lnd]])/Inventory[[#This Row],[24Lnd]]</f>
        <v>-0.41528925619834711</v>
      </c>
      <c r="BU1869" s="36">
        <f>(Inventory[[#This Row],[Adjusted Total]]-Inventory[[#This Row],[24Final]])/Inventory[[#This Row],[24Final]]</f>
        <v>0.19295958279009126</v>
      </c>
    </row>
    <row r="1870" spans="1:73" x14ac:dyDescent="0.3">
      <c r="A1870" s="25">
        <v>2025</v>
      </c>
      <c r="B1870" s="26" t="s">
        <v>1025</v>
      </c>
      <c r="C1870" s="26">
        <f>LN(Inventory[[#This Row],[Acres]])</f>
        <v>-1.7719568419318752</v>
      </c>
      <c r="D1870" s="25">
        <v>0.17</v>
      </c>
      <c r="E1870" s="25">
        <v>7350</v>
      </c>
      <c r="F1870" s="26" t="s">
        <v>537</v>
      </c>
      <c r="G1870" s="26" t="s">
        <v>126</v>
      </c>
      <c r="H1870" s="26" t="s">
        <v>349</v>
      </c>
      <c r="I1870" s="26" t="s">
        <v>538</v>
      </c>
      <c r="J1870" s="26" t="s">
        <v>539</v>
      </c>
      <c r="K1870" s="26" t="s">
        <v>242</v>
      </c>
      <c r="L1870" s="26" t="s">
        <v>351</v>
      </c>
      <c r="M1870" s="26" t="s">
        <v>303</v>
      </c>
      <c r="N1870" s="26">
        <v>100</v>
      </c>
      <c r="O1870" s="26">
        <f>2024-Inventory[[#This Row],[YrBlt]]</f>
        <v>96</v>
      </c>
      <c r="P1870" s="26">
        <f>2024-Inventory[[#This Row],[EffYr]]</f>
        <v>55</v>
      </c>
      <c r="Q1870" s="25">
        <v>1928</v>
      </c>
      <c r="R1870" s="25">
        <v>1969</v>
      </c>
      <c r="S1870" s="25">
        <v>1170</v>
      </c>
      <c r="T1870" s="31"/>
      <c r="U1870" s="25">
        <v>690</v>
      </c>
      <c r="V1870" s="32">
        <f>Inventory[[#This Row],[Bsmt]]-Inventory[[#This Row],[FnBsmt]]</f>
        <v>690</v>
      </c>
      <c r="W1870" s="27"/>
      <c r="X1870" s="27"/>
      <c r="Y1870" s="27">
        <f>Inventory[[#This Row],[MainFn]]+Inventory[[#This Row],[UpprFn]]+Inventory[[#This Row],[FnBsmt]]+Inventory[[#This Row],[AddFn]]</f>
        <v>1170</v>
      </c>
      <c r="Z1870" s="27">
        <v>1500</v>
      </c>
      <c r="AA1870" s="25">
        <v>5</v>
      </c>
      <c r="AB1870" s="32">
        <v>170</v>
      </c>
      <c r="AC1870" s="27"/>
      <c r="AD1870" s="25">
        <v>250</v>
      </c>
      <c r="AE1870" s="27"/>
      <c r="AF1870" s="27"/>
      <c r="AG1870" s="27"/>
      <c r="AH1870" s="27"/>
      <c r="AI1870" s="25">
        <v>233302</v>
      </c>
      <c r="AJ1870" s="25">
        <v>156312</v>
      </c>
      <c r="AK1870" s="25">
        <v>0</v>
      </c>
      <c r="AL1870" s="25">
        <v>298600</v>
      </c>
      <c r="AM1870" s="25">
        <v>52700</v>
      </c>
      <c r="AN1870" s="25">
        <v>245900</v>
      </c>
      <c r="AO1870" s="25">
        <v>0</v>
      </c>
      <c r="AP1870" s="25">
        <f>Lookups!$B$56*0</f>
        <v>0</v>
      </c>
      <c r="AQ1870" s="25">
        <f>Lookups!$B$56*1</f>
        <v>89850.625589999996</v>
      </c>
      <c r="AR1870" s="25">
        <f>Lookups!$B$57*Inventory[[#This Row],[LnAcres]]</f>
        <v>-56090.612940989391</v>
      </c>
      <c r="AS1870" s="25">
        <f>VLOOKUP(Inventory[[#This Row],[Qlty]],Lookups!$A$62:$E$75,2,FALSE)</f>
        <v>21557.329055999999</v>
      </c>
      <c r="AT1870" s="25">
        <f>VLOOKUP(Inventory[[#This Row],[Cnd]],Lookups!$A$76:$E$84,2,FALSE)</f>
        <v>197752.34721000001</v>
      </c>
      <c r="AU1870" s="25">
        <f>Inventory[[#This Row],[EffAge]]*Lookups!$B$85</f>
        <v>-12267.5080275</v>
      </c>
      <c r="AV1870" s="25">
        <f>Inventory[[#This Row],[MainFn]]*Lookups!$B$86</f>
        <v>57808.143756090001</v>
      </c>
      <c r="AW1870" s="25">
        <f>Inventory[[#This Row],[UpprFn]]*Lookups!$B$87</f>
        <v>0</v>
      </c>
      <c r="AX1870" s="25">
        <f>Inventory[[#This Row],[AddFn]]*Lookups!$B$88</f>
        <v>0</v>
      </c>
      <c r="AY1870" s="25">
        <f>Inventory[[#This Row],[Bsmt]]*Lookups!$B$89</f>
        <v>20066.50772043</v>
      </c>
      <c r="AZ1870" s="25">
        <f>Inventory[[#This Row],[Fixtures]]*Lookups!$B$90</f>
        <v>18960.110526</v>
      </c>
      <c r="BA1870" s="25">
        <f>Inventory[[#This Row],[WdDeck]]*Lookups!$B$91</f>
        <v>8323.8788190000014</v>
      </c>
      <c r="BB1870" s="25">
        <f>ROUND(Inventory[[#This Row],[25Det]],-2)</f>
        <v>0</v>
      </c>
      <c r="BC1870" s="25">
        <f>ROUND(SUM(Inventory[[#This Row],[Mdl Qlty]:[Mdl WdDeck]])+Inventory[[#This Row],[Mdl Res Intercept]],-2)</f>
        <v>312200</v>
      </c>
      <c r="BD1870" s="25">
        <f>ROUND(Inventory[[#This Row],[Mdl Land Intercept]]+Inventory[[#This Row],[Mdl LnAcres]],-2)</f>
        <v>33800</v>
      </c>
      <c r="BE1870" s="25">
        <f>Inventory[[#This Row],[Unadj Res Value]]+Inventory[[#This Row],[Unadj Det Value]]+Inventory[[#This Row],[Unadj Land Value]]</f>
        <v>346000</v>
      </c>
      <c r="BF1870" s="36">
        <f>(Inventory[[#This Row],[Unadj Total Value]]-Inventory[[#This Row],[24Final]])/Inventory[[#This Row],[24Final]]</f>
        <v>0.15874079035498995</v>
      </c>
      <c r="BG1870" s="25">
        <f>VLOOKUP(Inventory[[#This Row],[Nbhd]],Lookups!$Q$2:$T$4,4,FALSE)</f>
        <v>0.99970000000000003</v>
      </c>
      <c r="BH1870" s="25">
        <f>VLOOKUP(Inventory[[#This Row],[Qlty]],Lookups!$O$7:$R$21,4,FALSE)</f>
        <v>1.0067999999999999</v>
      </c>
      <c r="BI1870" s="25">
        <f>VLOOKUP(Inventory[[#This Row],[Cnd]],Lookups!$T$7:$W$16,4,FALSE)</f>
        <v>0.99650000000000005</v>
      </c>
      <c r="BJ1870" s="25">
        <f>VLOOKUP(Inventory[[#This Row],[LivArea Range]],Lookups!$T$25:$W$37,4,FALSE)</f>
        <v>1.0157</v>
      </c>
      <c r="BK1870" s="25">
        <f>VLOOKUP(Inventory[[#This Row],[Decade]],Lookups!$O$25:$R$42,4,FALSE)</f>
        <v>1.0074000000000001</v>
      </c>
      <c r="BL1870" s="25">
        <f>Inventory[[#This Row],[Nbhd Adj]]*0.95</f>
        <v>0.94971499999999998</v>
      </c>
      <c r="BM1870" s="25">
        <f>Inventory[[#This Row],[Nbhd Adj]]*Inventory[[#This Row],[Quality Adj]]*Inventory[[#This Row],[Condition Adj]]*Inventory[[#This Row],[Living Area Adj]]*Inventory[[#This Row],[Decade Adj]]*0.95</f>
        <v>0.97494744680082823</v>
      </c>
      <c r="BN1870" s="25">
        <f>ROUND(SUM(Inventory[[#This Row],[Mdl Qlty]:[Mdl WdDeck]])+Inventory[[#This Row],[Mdl Res Intercept]]*Inventory[[#This Row],[Res Adj ]],-2)</f>
        <v>312200</v>
      </c>
      <c r="BO1870" s="25">
        <f>ROUND(Inventory[[#This Row],[25Det]]*Inventory[[#This Row],[Det/Nbhd Adj]],-2)</f>
        <v>0</v>
      </c>
      <c r="BP1870" s="25">
        <f>Inventory[[#This Row],[Adjusted Res]]+Inventory[[#This Row],[Adj Det ]]</f>
        <v>312200</v>
      </c>
      <c r="BQ1870" s="25">
        <f>ROUND((Inventory[[#This Row],[Mdl Land Intercept]]+Inventory[[#This Row],[Mdl LnAcres]])*Inventory[[#This Row],[Det/Nbhd Adj]],-2)</f>
        <v>32100</v>
      </c>
      <c r="BR1870" s="25">
        <f>Inventory[[#This Row],[Adjusted Impr Total]]+Inventory[[#This Row],[Adjusted Land Total]]</f>
        <v>344300</v>
      </c>
      <c r="BS1870" s="36">
        <f>IFERROR((Inventory[[#This Row],[Adjusted Impr Total]]-Inventory[[#This Row],[24Bldg]])/Inventory[[#This Row],[24Bldg]],0)</f>
        <v>0.26962179747864984</v>
      </c>
      <c r="BT1870" s="36">
        <f>(Inventory[[#This Row],[Adjusted Land Total]]-Inventory[[#This Row],[24Lnd]])/Inventory[[#This Row],[24Lnd]]</f>
        <v>-0.39089184060721061</v>
      </c>
      <c r="BU1870" s="36">
        <f>(Inventory[[#This Row],[Adjusted Total]]-Inventory[[#This Row],[24Final]])/Inventory[[#This Row],[24Final]]</f>
        <v>0.15304755525787006</v>
      </c>
    </row>
    <row r="1871" spans="1:73" x14ac:dyDescent="0.3">
      <c r="A1871" s="25">
        <v>2025</v>
      </c>
      <c r="B1871" s="26" t="s">
        <v>2838</v>
      </c>
      <c r="C1871" s="26">
        <f>LN(Inventory[[#This Row],[Acres]])</f>
        <v>-1.8971199848858813</v>
      </c>
      <c r="D1871" s="25">
        <v>0.15</v>
      </c>
      <c r="E1871" s="25">
        <v>6500</v>
      </c>
      <c r="F1871" s="26" t="s">
        <v>537</v>
      </c>
      <c r="G1871" s="26" t="s">
        <v>126</v>
      </c>
      <c r="H1871" s="26" t="s">
        <v>349</v>
      </c>
      <c r="I1871" s="26" t="s">
        <v>538</v>
      </c>
      <c r="J1871" s="26" t="s">
        <v>539</v>
      </c>
      <c r="K1871" s="26" t="s">
        <v>269</v>
      </c>
      <c r="L1871" s="26" t="s">
        <v>351</v>
      </c>
      <c r="M1871" s="26" t="s">
        <v>303</v>
      </c>
      <c r="N1871" s="26">
        <v>100</v>
      </c>
      <c r="O1871" s="26">
        <f>2024-Inventory[[#This Row],[YrBlt]]</f>
        <v>96</v>
      </c>
      <c r="P1871" s="26">
        <f>2024-Inventory[[#This Row],[EffYr]]</f>
        <v>55</v>
      </c>
      <c r="Q1871" s="25">
        <v>1928</v>
      </c>
      <c r="R1871" s="25">
        <v>1969</v>
      </c>
      <c r="S1871" s="25">
        <v>1003</v>
      </c>
      <c r="T1871" s="27"/>
      <c r="U1871" s="32">
        <v>1003</v>
      </c>
      <c r="V1871" s="32">
        <f>Inventory[[#This Row],[Bsmt]]-Inventory[[#This Row],[FnBsmt]]</f>
        <v>1003</v>
      </c>
      <c r="W1871" s="27"/>
      <c r="X1871" s="27"/>
      <c r="Y1871" s="27">
        <f>Inventory[[#This Row],[MainFn]]+Inventory[[#This Row],[UpprFn]]+Inventory[[#This Row],[FnBsmt]]+Inventory[[#This Row],[AddFn]]</f>
        <v>1003</v>
      </c>
      <c r="Z1871" s="27">
        <v>1500</v>
      </c>
      <c r="AA1871" s="25">
        <v>5</v>
      </c>
      <c r="AB1871" s="27"/>
      <c r="AC1871" s="27"/>
      <c r="AD1871" s="27"/>
      <c r="AE1871" s="27"/>
      <c r="AF1871" s="27"/>
      <c r="AG1871" s="31"/>
      <c r="AH1871" s="27"/>
      <c r="AI1871" s="25">
        <v>209108</v>
      </c>
      <c r="AJ1871" s="25">
        <v>140102</v>
      </c>
      <c r="AK1871" s="25">
        <v>8623</v>
      </c>
      <c r="AL1871" s="25">
        <v>301000</v>
      </c>
      <c r="AM1871" s="25">
        <v>48400</v>
      </c>
      <c r="AN1871" s="25">
        <v>252600</v>
      </c>
      <c r="AO1871" s="25">
        <v>0</v>
      </c>
      <c r="AP1871" s="25">
        <f>Lookups!$B$56*0</f>
        <v>0</v>
      </c>
      <c r="AQ1871" s="25">
        <f>Lookups!$B$56*1</f>
        <v>89850.625589999996</v>
      </c>
      <c r="AR1871" s="25">
        <f>Lookups!$B$57*Inventory[[#This Row],[LnAcres]]</f>
        <v>-60052.604136134301</v>
      </c>
      <c r="AS1871" s="25">
        <f>VLOOKUP(Inventory[[#This Row],[Qlty]],Lookups!$A$62:$E$75,2,FALSE)</f>
        <v>21557.329055999999</v>
      </c>
      <c r="AT1871" s="25">
        <f>VLOOKUP(Inventory[[#This Row],[Cnd]],Lookups!$A$76:$E$84,2,FALSE)</f>
        <v>197752.34721000001</v>
      </c>
      <c r="AU1871" s="25">
        <f>Inventory[[#This Row],[EffAge]]*Lookups!$B$85</f>
        <v>-12267.5080275</v>
      </c>
      <c r="AV1871" s="25">
        <f>Inventory[[#This Row],[MainFn]]*Lookups!$B$86</f>
        <v>49556.895886630999</v>
      </c>
      <c r="AW1871" s="25">
        <f>Inventory[[#This Row],[UpprFn]]*Lookups!$B$87</f>
        <v>0</v>
      </c>
      <c r="AX1871" s="25">
        <f>Inventory[[#This Row],[AddFn]]*Lookups!$B$88</f>
        <v>0</v>
      </c>
      <c r="AY1871" s="25">
        <f>Inventory[[#This Row],[Bsmt]]*Lookups!$B$89</f>
        <v>29169.140932741</v>
      </c>
      <c r="AZ1871" s="25">
        <f>Inventory[[#This Row],[Fixtures]]*Lookups!$B$90</f>
        <v>18960.110526</v>
      </c>
      <c r="BA1871" s="25">
        <f>Inventory[[#This Row],[WdDeck]]*Lookups!$B$91</f>
        <v>0</v>
      </c>
      <c r="BB1871" s="25">
        <f>ROUND(Inventory[[#This Row],[25Det]],-2)</f>
        <v>8600</v>
      </c>
      <c r="BC1871" s="25">
        <f>ROUND(SUM(Inventory[[#This Row],[Mdl Qlty]:[Mdl WdDeck]])+Inventory[[#This Row],[Mdl Res Intercept]],-2)</f>
        <v>304700</v>
      </c>
      <c r="BD1871" s="25">
        <f>ROUND(Inventory[[#This Row],[Mdl Land Intercept]]+Inventory[[#This Row],[Mdl LnAcres]],-2)</f>
        <v>29800</v>
      </c>
      <c r="BE1871" s="25">
        <f>Inventory[[#This Row],[Unadj Res Value]]+Inventory[[#This Row],[Unadj Det Value]]+Inventory[[#This Row],[Unadj Land Value]]</f>
        <v>343100</v>
      </c>
      <c r="BF1871" s="36">
        <f>(Inventory[[#This Row],[Unadj Total Value]]-Inventory[[#This Row],[24Final]])/Inventory[[#This Row],[24Final]]</f>
        <v>0.13986710963455148</v>
      </c>
      <c r="BG1871" s="25">
        <f>VLOOKUP(Inventory[[#This Row],[Nbhd]],Lookups!$Q$2:$T$4,4,FALSE)</f>
        <v>0.99970000000000003</v>
      </c>
      <c r="BH1871" s="25">
        <f>VLOOKUP(Inventory[[#This Row],[Qlty]],Lookups!$O$7:$R$21,4,FALSE)</f>
        <v>1.0067999999999999</v>
      </c>
      <c r="BI1871" s="25">
        <f>VLOOKUP(Inventory[[#This Row],[Cnd]],Lookups!$T$7:$W$16,4,FALSE)</f>
        <v>0.99650000000000005</v>
      </c>
      <c r="BJ1871" s="25">
        <f>VLOOKUP(Inventory[[#This Row],[LivArea Range]],Lookups!$T$25:$W$37,4,FALSE)</f>
        <v>1.0157</v>
      </c>
      <c r="BK1871" s="25">
        <f>VLOOKUP(Inventory[[#This Row],[Decade]],Lookups!$O$25:$R$42,4,FALSE)</f>
        <v>1.0074000000000001</v>
      </c>
      <c r="BL1871" s="25">
        <f>Inventory[[#This Row],[Nbhd Adj]]*0.95</f>
        <v>0.94971499999999998</v>
      </c>
      <c r="BM1871" s="25">
        <f>Inventory[[#This Row],[Nbhd Adj]]*Inventory[[#This Row],[Quality Adj]]*Inventory[[#This Row],[Condition Adj]]*Inventory[[#This Row],[Living Area Adj]]*Inventory[[#This Row],[Decade Adj]]*0.95</f>
        <v>0.97494744680082823</v>
      </c>
      <c r="BN1871" s="25">
        <f>ROUND(SUM(Inventory[[#This Row],[Mdl Qlty]:[Mdl WdDeck]])+Inventory[[#This Row],[Mdl Res Intercept]]*Inventory[[#This Row],[Res Adj ]],-2)</f>
        <v>304700</v>
      </c>
      <c r="BO1871" s="25">
        <f>ROUND(Inventory[[#This Row],[25Det]]*Inventory[[#This Row],[Det/Nbhd Adj]],-2)</f>
        <v>8200</v>
      </c>
      <c r="BP1871" s="25">
        <f>Inventory[[#This Row],[Adjusted Res]]+Inventory[[#This Row],[Adj Det ]]</f>
        <v>312900</v>
      </c>
      <c r="BQ1871" s="25">
        <f>ROUND((Inventory[[#This Row],[Mdl Land Intercept]]+Inventory[[#This Row],[Mdl LnAcres]])*Inventory[[#This Row],[Det/Nbhd Adj]],-2)</f>
        <v>28300</v>
      </c>
      <c r="BR1871" s="25">
        <f>Inventory[[#This Row],[Adjusted Impr Total]]+Inventory[[#This Row],[Adjusted Land Total]]</f>
        <v>341200</v>
      </c>
      <c r="BS1871" s="36">
        <f>IFERROR((Inventory[[#This Row],[Adjusted Impr Total]]-Inventory[[#This Row],[24Bldg]])/Inventory[[#This Row],[24Bldg]],0)</f>
        <v>0.23871733966745842</v>
      </c>
      <c r="BT1871" s="36">
        <f>(Inventory[[#This Row],[Adjusted Land Total]]-Inventory[[#This Row],[24Lnd]])/Inventory[[#This Row],[24Lnd]]</f>
        <v>-0.41528925619834711</v>
      </c>
      <c r="BU1871" s="36">
        <f>(Inventory[[#This Row],[Adjusted Total]]-Inventory[[#This Row],[24Final]])/Inventory[[#This Row],[24Final]]</f>
        <v>0.1335548172757475</v>
      </c>
    </row>
    <row r="1872" spans="1:73" x14ac:dyDescent="0.3">
      <c r="A1872" s="25">
        <v>2025</v>
      </c>
      <c r="B1872" s="26" t="s">
        <v>1230</v>
      </c>
      <c r="C1872" s="26">
        <f>LN(Inventory[[#This Row],[Acres]])</f>
        <v>-1.7147984280919266</v>
      </c>
      <c r="D1872" s="25">
        <v>0.18</v>
      </c>
      <c r="E1872" s="25">
        <v>7833</v>
      </c>
      <c r="F1872" s="26" t="s">
        <v>537</v>
      </c>
      <c r="G1872" s="26" t="s">
        <v>126</v>
      </c>
      <c r="H1872" s="26" t="s">
        <v>349</v>
      </c>
      <c r="I1872" s="26" t="s">
        <v>538</v>
      </c>
      <c r="J1872" s="26" t="s">
        <v>539</v>
      </c>
      <c r="K1872" s="26" t="s">
        <v>269</v>
      </c>
      <c r="L1872" s="26" t="s">
        <v>351</v>
      </c>
      <c r="M1872" s="26" t="s">
        <v>303</v>
      </c>
      <c r="N1872" s="26">
        <v>100</v>
      </c>
      <c r="O1872" s="26">
        <f>2024-Inventory[[#This Row],[YrBlt]]</f>
        <v>96</v>
      </c>
      <c r="P1872" s="26">
        <f>2024-Inventory[[#This Row],[EffYr]]</f>
        <v>55</v>
      </c>
      <c r="Q1872" s="25">
        <v>1928</v>
      </c>
      <c r="R1872" s="25">
        <v>1969</v>
      </c>
      <c r="S1872" s="25">
        <v>902</v>
      </c>
      <c r="T1872" s="27"/>
      <c r="U1872" s="32">
        <v>902</v>
      </c>
      <c r="V1872" s="32">
        <f>Inventory[[#This Row],[Bsmt]]-Inventory[[#This Row],[FnBsmt]]</f>
        <v>902</v>
      </c>
      <c r="W1872" s="27"/>
      <c r="X1872" s="27"/>
      <c r="Y1872" s="27">
        <f>Inventory[[#This Row],[MainFn]]+Inventory[[#This Row],[UpprFn]]+Inventory[[#This Row],[FnBsmt]]+Inventory[[#This Row],[AddFn]]</f>
        <v>902</v>
      </c>
      <c r="Z1872" s="27">
        <v>1000</v>
      </c>
      <c r="AA1872" s="25">
        <v>5</v>
      </c>
      <c r="AB1872" s="27"/>
      <c r="AC1872" s="27"/>
      <c r="AD1872" s="27"/>
      <c r="AE1872" s="27"/>
      <c r="AF1872" s="27"/>
      <c r="AG1872" s="31"/>
      <c r="AH1872" s="27"/>
      <c r="AI1872" s="25">
        <v>190235</v>
      </c>
      <c r="AJ1872" s="25">
        <v>127457</v>
      </c>
      <c r="AK1872" s="25">
        <v>6458</v>
      </c>
      <c r="AL1872" s="25">
        <v>300800</v>
      </c>
      <c r="AM1872" s="25">
        <v>54700</v>
      </c>
      <c r="AN1872" s="25">
        <v>246100</v>
      </c>
      <c r="AO1872" s="25">
        <v>0</v>
      </c>
      <c r="AP1872" s="25">
        <f>Lookups!$B$56*0</f>
        <v>0</v>
      </c>
      <c r="AQ1872" s="25">
        <f>Lookups!$B$56*1</f>
        <v>89850.625589999996</v>
      </c>
      <c r="AR1872" s="25">
        <f>Lookups!$B$57*Inventory[[#This Row],[LnAcres]]</f>
        <v>-54281.285314520763</v>
      </c>
      <c r="AS1872" s="25">
        <f>VLOOKUP(Inventory[[#This Row],[Qlty]],Lookups!$A$62:$E$75,2,FALSE)</f>
        <v>21557.329055999999</v>
      </c>
      <c r="AT1872" s="25">
        <f>VLOOKUP(Inventory[[#This Row],[Cnd]],Lookups!$A$76:$E$84,2,FALSE)</f>
        <v>197752.34721000001</v>
      </c>
      <c r="AU1872" s="25">
        <f>Inventory[[#This Row],[EffAge]]*Lookups!$B$85</f>
        <v>-12267.5080275</v>
      </c>
      <c r="AV1872" s="25">
        <f>Inventory[[#This Row],[MainFn]]*Lookups!$B$86</f>
        <v>44566.620229054002</v>
      </c>
      <c r="AW1872" s="25">
        <f>Inventory[[#This Row],[UpprFn]]*Lookups!$B$87</f>
        <v>0</v>
      </c>
      <c r="AX1872" s="25">
        <f>Inventory[[#This Row],[AddFn]]*Lookups!$B$88</f>
        <v>0</v>
      </c>
      <c r="AY1872" s="25">
        <f>Inventory[[#This Row],[Bsmt]]*Lookups!$B$89</f>
        <v>26231.869512793997</v>
      </c>
      <c r="AZ1872" s="25">
        <f>Inventory[[#This Row],[Fixtures]]*Lookups!$B$90</f>
        <v>18960.110526</v>
      </c>
      <c r="BA1872" s="25">
        <f>Inventory[[#This Row],[WdDeck]]*Lookups!$B$91</f>
        <v>0</v>
      </c>
      <c r="BB1872" s="25">
        <f>ROUND(Inventory[[#This Row],[25Det]],-2)</f>
        <v>6500</v>
      </c>
      <c r="BC1872" s="25">
        <f>ROUND(SUM(Inventory[[#This Row],[Mdl Qlty]:[Mdl WdDeck]])+Inventory[[#This Row],[Mdl Res Intercept]],-2)</f>
        <v>296800</v>
      </c>
      <c r="BD1872" s="25">
        <f>ROUND(Inventory[[#This Row],[Mdl Land Intercept]]+Inventory[[#This Row],[Mdl LnAcres]],-2)</f>
        <v>35600</v>
      </c>
      <c r="BE1872" s="25">
        <f>Inventory[[#This Row],[Unadj Res Value]]+Inventory[[#This Row],[Unadj Det Value]]+Inventory[[#This Row],[Unadj Land Value]]</f>
        <v>338900</v>
      </c>
      <c r="BF1872" s="36">
        <f>(Inventory[[#This Row],[Unadj Total Value]]-Inventory[[#This Row],[24Final]])/Inventory[[#This Row],[24Final]]</f>
        <v>0.1266622340425532</v>
      </c>
      <c r="BG1872" s="25">
        <f>VLOOKUP(Inventory[[#This Row],[Nbhd]],Lookups!$Q$2:$T$4,4,FALSE)</f>
        <v>0.99970000000000003</v>
      </c>
      <c r="BH1872" s="25">
        <f>VLOOKUP(Inventory[[#This Row],[Qlty]],Lookups!$O$7:$R$21,4,FALSE)</f>
        <v>1.0067999999999999</v>
      </c>
      <c r="BI1872" s="25">
        <f>VLOOKUP(Inventory[[#This Row],[Cnd]],Lookups!$T$7:$W$16,4,FALSE)</f>
        <v>0.99650000000000005</v>
      </c>
      <c r="BJ1872" s="25">
        <f>VLOOKUP(Inventory[[#This Row],[LivArea Range]],Lookups!$T$25:$W$37,4,FALSE)</f>
        <v>1.0148999999999999</v>
      </c>
      <c r="BK1872" s="25">
        <f>VLOOKUP(Inventory[[#This Row],[Decade]],Lookups!$O$25:$R$42,4,FALSE)</f>
        <v>1.0074000000000001</v>
      </c>
      <c r="BL1872" s="25">
        <f>Inventory[[#This Row],[Nbhd Adj]]*0.95</f>
        <v>0.94971499999999998</v>
      </c>
      <c r="BM1872" s="25">
        <f>Inventory[[#This Row],[Nbhd Adj]]*Inventory[[#This Row],[Quality Adj]]*Inventory[[#This Row],[Condition Adj]]*Inventory[[#This Row],[Living Area Adj]]*Inventory[[#This Row],[Decade Adj]]*0.95</f>
        <v>0.97417954490318037</v>
      </c>
      <c r="BN1872" s="25">
        <f>ROUND(SUM(Inventory[[#This Row],[Mdl Qlty]:[Mdl WdDeck]])+Inventory[[#This Row],[Mdl Res Intercept]]*Inventory[[#This Row],[Res Adj ]],-2)</f>
        <v>296800</v>
      </c>
      <c r="BO1872" s="25">
        <f>ROUND(Inventory[[#This Row],[25Det]]*Inventory[[#This Row],[Det/Nbhd Adj]],-2)</f>
        <v>6100</v>
      </c>
      <c r="BP1872" s="25">
        <f>Inventory[[#This Row],[Adjusted Res]]+Inventory[[#This Row],[Adj Det ]]</f>
        <v>302900</v>
      </c>
      <c r="BQ1872" s="25">
        <f>ROUND((Inventory[[#This Row],[Mdl Land Intercept]]+Inventory[[#This Row],[Mdl LnAcres]])*Inventory[[#This Row],[Det/Nbhd Adj]],-2)</f>
        <v>33800</v>
      </c>
      <c r="BR1872" s="25">
        <f>Inventory[[#This Row],[Adjusted Impr Total]]+Inventory[[#This Row],[Adjusted Land Total]]</f>
        <v>336700</v>
      </c>
      <c r="BS1872" s="36">
        <f>IFERROR((Inventory[[#This Row],[Adjusted Impr Total]]-Inventory[[#This Row],[24Bldg]])/Inventory[[#This Row],[24Bldg]],0)</f>
        <v>0.23080048760666397</v>
      </c>
      <c r="BT1872" s="36">
        <f>(Inventory[[#This Row],[Adjusted Land Total]]-Inventory[[#This Row],[24Lnd]])/Inventory[[#This Row],[24Lnd]]</f>
        <v>-0.38208409506398539</v>
      </c>
      <c r="BU1872" s="36">
        <f>(Inventory[[#This Row],[Adjusted Total]]-Inventory[[#This Row],[24Final]])/Inventory[[#This Row],[24Final]]</f>
        <v>0.11934840425531915</v>
      </c>
    </row>
    <row r="1873" spans="1:73" x14ac:dyDescent="0.3">
      <c r="A1873" s="25">
        <v>2025</v>
      </c>
      <c r="B1873" s="26" t="s">
        <v>2725</v>
      </c>
      <c r="C1873" s="26">
        <f>LN(Inventory[[#This Row],[Acres]])</f>
        <v>-1.7719568419318752</v>
      </c>
      <c r="D1873" s="25">
        <v>0.17</v>
      </c>
      <c r="E1873" s="25">
        <v>7368</v>
      </c>
      <c r="F1873" s="26" t="s">
        <v>537</v>
      </c>
      <c r="G1873" s="26" t="s">
        <v>126</v>
      </c>
      <c r="H1873" s="26" t="s">
        <v>349</v>
      </c>
      <c r="I1873" s="26" t="s">
        <v>538</v>
      </c>
      <c r="J1873" s="26" t="s">
        <v>539</v>
      </c>
      <c r="K1873" s="26" t="s">
        <v>173</v>
      </c>
      <c r="L1873" s="26" t="s">
        <v>302</v>
      </c>
      <c r="M1873" s="26" t="s">
        <v>303</v>
      </c>
      <c r="N1873" s="26">
        <v>100</v>
      </c>
      <c r="O1873" s="26">
        <f>2024-Inventory[[#This Row],[YrBlt]]</f>
        <v>96</v>
      </c>
      <c r="P1873" s="26">
        <f>2024-Inventory[[#This Row],[EffYr]]</f>
        <v>55</v>
      </c>
      <c r="Q1873" s="25">
        <v>1928</v>
      </c>
      <c r="R1873" s="25">
        <v>1969</v>
      </c>
      <c r="S1873" s="25">
        <v>880</v>
      </c>
      <c r="T1873" s="32">
        <v>572</v>
      </c>
      <c r="U1873" s="32">
        <v>780</v>
      </c>
      <c r="V1873" s="32">
        <f>Inventory[[#This Row],[Bsmt]]-Inventory[[#This Row],[FnBsmt]]</f>
        <v>481</v>
      </c>
      <c r="W1873" s="32">
        <v>299</v>
      </c>
      <c r="X1873" s="27"/>
      <c r="Y1873" s="27">
        <f>Inventory[[#This Row],[MainFn]]+Inventory[[#This Row],[UpprFn]]+Inventory[[#This Row],[FnBsmt]]+Inventory[[#This Row],[AddFn]]</f>
        <v>1751</v>
      </c>
      <c r="Z1873" s="27">
        <v>2000</v>
      </c>
      <c r="AA1873" s="25">
        <v>11</v>
      </c>
      <c r="AB1873" s="27"/>
      <c r="AC1873" s="27"/>
      <c r="AD1873" s="32">
        <v>300</v>
      </c>
      <c r="AE1873" s="27"/>
      <c r="AF1873" s="27"/>
      <c r="AG1873" s="31"/>
      <c r="AH1873" s="27"/>
      <c r="AI1873" s="25">
        <v>346187</v>
      </c>
      <c r="AJ1873" s="25">
        <v>231945</v>
      </c>
      <c r="AK1873" s="25">
        <v>0</v>
      </c>
      <c r="AL1873" s="25">
        <v>350700</v>
      </c>
      <c r="AM1873" s="25">
        <v>52700</v>
      </c>
      <c r="AN1873" s="25">
        <v>298000</v>
      </c>
      <c r="AO1873" s="25">
        <v>0</v>
      </c>
      <c r="AP1873" s="25">
        <f>Lookups!$B$56*0</f>
        <v>0</v>
      </c>
      <c r="AQ1873" s="25">
        <f>Lookups!$B$56*1</f>
        <v>89850.625589999996</v>
      </c>
      <c r="AR1873" s="25">
        <f>Lookups!$B$57*Inventory[[#This Row],[LnAcres]]</f>
        <v>-56090.612940989391</v>
      </c>
      <c r="AS1873" s="25">
        <f>VLOOKUP(Inventory[[#This Row],[Qlty]],Lookups!$A$62:$E$75,2,FALSE)</f>
        <v>29814.093161000001</v>
      </c>
      <c r="AT1873" s="25">
        <f>VLOOKUP(Inventory[[#This Row],[Cnd]],Lookups!$A$76:$E$84,2,FALSE)</f>
        <v>197752.34721000001</v>
      </c>
      <c r="AU1873" s="25">
        <f>Inventory[[#This Row],[EffAge]]*Lookups!$B$85</f>
        <v>-12267.5080275</v>
      </c>
      <c r="AV1873" s="25">
        <f>Inventory[[#This Row],[MainFn]]*Lookups!$B$86</f>
        <v>43479.629491760003</v>
      </c>
      <c r="AW1873" s="25">
        <f>Inventory[[#This Row],[UpprFn]]*Lookups!$B$87</f>
        <v>25617.833876492001</v>
      </c>
      <c r="AX1873" s="25">
        <f>Inventory[[#This Row],[AddFn]]*Lookups!$B$88</f>
        <v>0</v>
      </c>
      <c r="AY1873" s="25">
        <f>Inventory[[#This Row],[Bsmt]]*Lookups!$B$89</f>
        <v>22683.87829266</v>
      </c>
      <c r="AZ1873" s="25">
        <f>Inventory[[#This Row],[Fixtures]]*Lookups!$B$90</f>
        <v>41712.243157199999</v>
      </c>
      <c r="BA1873" s="25">
        <f>Inventory[[#This Row],[WdDeck]]*Lookups!$B$91</f>
        <v>9988.6545828000017</v>
      </c>
      <c r="BB1873" s="25">
        <f>ROUND(Inventory[[#This Row],[25Det]],-2)</f>
        <v>0</v>
      </c>
      <c r="BC1873" s="25">
        <f>ROUND(SUM(Inventory[[#This Row],[Mdl Qlty]:[Mdl WdDeck]])+Inventory[[#This Row],[Mdl Res Intercept]],-2)</f>
        <v>358800</v>
      </c>
      <c r="BD1873" s="25">
        <f>ROUND(Inventory[[#This Row],[Mdl Land Intercept]]+Inventory[[#This Row],[Mdl LnAcres]],-2)</f>
        <v>33800</v>
      </c>
      <c r="BE1873" s="25">
        <f>Inventory[[#This Row],[Unadj Res Value]]+Inventory[[#This Row],[Unadj Det Value]]+Inventory[[#This Row],[Unadj Land Value]]</f>
        <v>392600</v>
      </c>
      <c r="BF1873" s="36">
        <f>(Inventory[[#This Row],[Unadj Total Value]]-Inventory[[#This Row],[24Final]])/Inventory[[#This Row],[24Final]]</f>
        <v>0.11947533504419731</v>
      </c>
      <c r="BG1873" s="25">
        <f>VLOOKUP(Inventory[[#This Row],[Nbhd]],Lookups!$Q$2:$T$4,4,FALSE)</f>
        <v>0.99970000000000003</v>
      </c>
      <c r="BH1873" s="25">
        <f>VLOOKUP(Inventory[[#This Row],[Qlty]],Lookups!$O$7:$R$21,4,FALSE)</f>
        <v>1.0088999999999999</v>
      </c>
      <c r="BI1873" s="25">
        <f>VLOOKUP(Inventory[[#This Row],[Cnd]],Lookups!$T$7:$W$16,4,FALSE)</f>
        <v>0.99650000000000005</v>
      </c>
      <c r="BJ1873" s="25">
        <f>VLOOKUP(Inventory[[#This Row],[LivArea Range]],Lookups!$T$25:$W$37,4,FALSE)</f>
        <v>1.0093000000000001</v>
      </c>
      <c r="BK1873" s="25">
        <f>VLOOKUP(Inventory[[#This Row],[Decade]],Lookups!$O$25:$R$42,4,FALSE)</f>
        <v>1.0074000000000001</v>
      </c>
      <c r="BL1873" s="25">
        <f>Inventory[[#This Row],[Nbhd Adj]]*0.95</f>
        <v>0.94971499999999998</v>
      </c>
      <c r="BM1873" s="25">
        <f>Inventory[[#This Row],[Nbhd Adj]]*Inventory[[#This Row],[Quality Adj]]*Inventory[[#This Row],[Condition Adj]]*Inventory[[#This Row],[Living Area Adj]]*Inventory[[#This Row],[Decade Adj]]*0.95</f>
        <v>0.97082497942099955</v>
      </c>
      <c r="BN1873" s="25">
        <f>ROUND(SUM(Inventory[[#This Row],[Mdl Qlty]:[Mdl WdDeck]])+Inventory[[#This Row],[Mdl Res Intercept]]*Inventory[[#This Row],[Res Adj ]],-2)</f>
        <v>358800</v>
      </c>
      <c r="BO1873" s="25">
        <f>ROUND(Inventory[[#This Row],[25Det]]*Inventory[[#This Row],[Det/Nbhd Adj]],-2)</f>
        <v>0</v>
      </c>
      <c r="BP1873" s="25">
        <f>Inventory[[#This Row],[Adjusted Res]]+Inventory[[#This Row],[Adj Det ]]</f>
        <v>358800</v>
      </c>
      <c r="BQ1873" s="25">
        <f>ROUND((Inventory[[#This Row],[Mdl Land Intercept]]+Inventory[[#This Row],[Mdl LnAcres]])*Inventory[[#This Row],[Det/Nbhd Adj]],-2)</f>
        <v>32100</v>
      </c>
      <c r="BR1873" s="25">
        <f>Inventory[[#This Row],[Adjusted Impr Total]]+Inventory[[#This Row],[Adjusted Land Total]]</f>
        <v>390900</v>
      </c>
      <c r="BS1873" s="36">
        <f>IFERROR((Inventory[[#This Row],[Adjusted Impr Total]]-Inventory[[#This Row],[24Bldg]])/Inventory[[#This Row],[24Bldg]],0)</f>
        <v>0.20402684563758389</v>
      </c>
      <c r="BT1873" s="36">
        <f>(Inventory[[#This Row],[Adjusted Land Total]]-Inventory[[#This Row],[24Lnd]])/Inventory[[#This Row],[24Lnd]]</f>
        <v>-0.39089184060721061</v>
      </c>
      <c r="BU1873" s="36">
        <f>(Inventory[[#This Row],[Adjusted Total]]-Inventory[[#This Row],[24Final]])/Inventory[[#This Row],[24Final]]</f>
        <v>0.1146278870829769</v>
      </c>
    </row>
    <row r="1874" spans="1:73" x14ac:dyDescent="0.3">
      <c r="A1874" s="25">
        <v>2025</v>
      </c>
      <c r="B1874" s="26" t="s">
        <v>1045</v>
      </c>
      <c r="C1874" s="26">
        <f>LN(Inventory[[#This Row],[Acres]])</f>
        <v>-1.4696759700589417</v>
      </c>
      <c r="D1874" s="25">
        <v>0.23</v>
      </c>
      <c r="E1874" s="31"/>
      <c r="F1874" s="26" t="s">
        <v>537</v>
      </c>
      <c r="G1874" s="26" t="s">
        <v>126</v>
      </c>
      <c r="H1874" s="26" t="s">
        <v>349</v>
      </c>
      <c r="I1874" s="26" t="s">
        <v>538</v>
      </c>
      <c r="J1874" s="26" t="s">
        <v>539</v>
      </c>
      <c r="K1874" s="26" t="s">
        <v>242</v>
      </c>
      <c r="L1874" s="26" t="s">
        <v>351</v>
      </c>
      <c r="M1874" s="26" t="s">
        <v>303</v>
      </c>
      <c r="N1874" s="26">
        <v>100</v>
      </c>
      <c r="O1874" s="26">
        <f>2024-Inventory[[#This Row],[YrBlt]]</f>
        <v>96</v>
      </c>
      <c r="P1874" s="26">
        <f>2024-Inventory[[#This Row],[EffYr]]</f>
        <v>55</v>
      </c>
      <c r="Q1874" s="25">
        <v>1928</v>
      </c>
      <c r="R1874" s="25">
        <v>1969</v>
      </c>
      <c r="S1874" s="25">
        <v>1019</v>
      </c>
      <c r="T1874" s="27"/>
      <c r="U1874" s="32">
        <v>793</v>
      </c>
      <c r="V1874" s="32">
        <f>Inventory[[#This Row],[Bsmt]]-Inventory[[#This Row],[FnBsmt]]</f>
        <v>793</v>
      </c>
      <c r="W1874" s="27"/>
      <c r="X1874" s="27"/>
      <c r="Y1874" s="27">
        <f>Inventory[[#This Row],[MainFn]]+Inventory[[#This Row],[UpprFn]]+Inventory[[#This Row],[FnBsmt]]+Inventory[[#This Row],[AddFn]]</f>
        <v>1019</v>
      </c>
      <c r="Z1874" s="27">
        <v>1500</v>
      </c>
      <c r="AA1874" s="25">
        <v>5</v>
      </c>
      <c r="AB1874" s="32">
        <v>480</v>
      </c>
      <c r="AC1874" s="27"/>
      <c r="AD1874" s="27"/>
      <c r="AE1874" s="27"/>
      <c r="AF1874" s="27"/>
      <c r="AG1874" s="27"/>
      <c r="AH1874" s="27"/>
      <c r="AI1874" s="25">
        <v>224577</v>
      </c>
      <c r="AJ1874" s="25">
        <v>150467</v>
      </c>
      <c r="AK1874" s="25">
        <v>0</v>
      </c>
      <c r="AL1874" s="25">
        <v>307200</v>
      </c>
      <c r="AM1874" s="25">
        <v>63300</v>
      </c>
      <c r="AN1874" s="25">
        <v>243900</v>
      </c>
      <c r="AO1874" s="25">
        <v>0</v>
      </c>
      <c r="AP1874" s="25">
        <f>Lookups!$B$56*0</f>
        <v>0</v>
      </c>
      <c r="AQ1874" s="25">
        <f>Lookups!$B$56*1</f>
        <v>89850.625589999996</v>
      </c>
      <c r="AR1874" s="25">
        <f>Lookups!$B$57*Inventory[[#This Row],[LnAcres]]</f>
        <v>-46522.028095997222</v>
      </c>
      <c r="AS1874" s="25">
        <f>VLOOKUP(Inventory[[#This Row],[Qlty]],Lookups!$A$62:$E$75,2,FALSE)</f>
        <v>21557.329055999999</v>
      </c>
      <c r="AT1874" s="25">
        <f>VLOOKUP(Inventory[[#This Row],[Cnd]],Lookups!$A$76:$E$84,2,FALSE)</f>
        <v>197752.34721000001</v>
      </c>
      <c r="AU1874" s="25">
        <f>Inventory[[#This Row],[EffAge]]*Lookups!$B$85</f>
        <v>-12267.5080275</v>
      </c>
      <c r="AV1874" s="25">
        <f>Inventory[[#This Row],[MainFn]]*Lookups!$B$86</f>
        <v>50347.434604663002</v>
      </c>
      <c r="AW1874" s="25">
        <f>Inventory[[#This Row],[UpprFn]]*Lookups!$B$87</f>
        <v>0</v>
      </c>
      <c r="AX1874" s="25">
        <f>Inventory[[#This Row],[AddFn]]*Lookups!$B$88</f>
        <v>0</v>
      </c>
      <c r="AY1874" s="25">
        <f>Inventory[[#This Row],[Bsmt]]*Lookups!$B$89</f>
        <v>23061.942930870999</v>
      </c>
      <c r="AZ1874" s="25">
        <f>Inventory[[#This Row],[Fixtures]]*Lookups!$B$90</f>
        <v>18960.110526</v>
      </c>
      <c r="BA1874" s="25">
        <f>Inventory[[#This Row],[WdDeck]]*Lookups!$B$91</f>
        <v>0</v>
      </c>
      <c r="BB1874" s="25">
        <f>ROUND(Inventory[[#This Row],[25Det]],-2)</f>
        <v>0</v>
      </c>
      <c r="BC1874" s="25">
        <f>ROUND(SUM(Inventory[[#This Row],[Mdl Qlty]:[Mdl WdDeck]])+Inventory[[#This Row],[Mdl Res Intercept]],-2)</f>
        <v>299400</v>
      </c>
      <c r="BD1874" s="25">
        <f>ROUND(Inventory[[#This Row],[Mdl Land Intercept]]+Inventory[[#This Row],[Mdl LnAcres]],-2)</f>
        <v>43300</v>
      </c>
      <c r="BE1874" s="25">
        <f>Inventory[[#This Row],[Unadj Res Value]]+Inventory[[#This Row],[Unadj Det Value]]+Inventory[[#This Row],[Unadj Land Value]]</f>
        <v>342700</v>
      </c>
      <c r="BF1874" s="36">
        <f>(Inventory[[#This Row],[Unadj Total Value]]-Inventory[[#This Row],[24Final]])/Inventory[[#This Row],[24Final]]</f>
        <v>0.11555989583333333</v>
      </c>
      <c r="BG1874" s="25">
        <f>VLOOKUP(Inventory[[#This Row],[Nbhd]],Lookups!$Q$2:$T$4,4,FALSE)</f>
        <v>0.99970000000000003</v>
      </c>
      <c r="BH1874" s="25">
        <f>VLOOKUP(Inventory[[#This Row],[Qlty]],Lookups!$O$7:$R$21,4,FALSE)</f>
        <v>1.0067999999999999</v>
      </c>
      <c r="BI1874" s="25">
        <f>VLOOKUP(Inventory[[#This Row],[Cnd]],Lookups!$T$7:$W$16,4,FALSE)</f>
        <v>0.99650000000000005</v>
      </c>
      <c r="BJ1874" s="25">
        <f>VLOOKUP(Inventory[[#This Row],[LivArea Range]],Lookups!$T$25:$W$37,4,FALSE)</f>
        <v>1.0157</v>
      </c>
      <c r="BK1874" s="25">
        <f>VLOOKUP(Inventory[[#This Row],[Decade]],Lookups!$O$25:$R$42,4,FALSE)</f>
        <v>1.0074000000000001</v>
      </c>
      <c r="BL1874" s="25">
        <f>Inventory[[#This Row],[Nbhd Adj]]*0.95</f>
        <v>0.94971499999999998</v>
      </c>
      <c r="BM1874" s="25">
        <f>Inventory[[#This Row],[Nbhd Adj]]*Inventory[[#This Row],[Quality Adj]]*Inventory[[#This Row],[Condition Adj]]*Inventory[[#This Row],[Living Area Adj]]*Inventory[[#This Row],[Decade Adj]]*0.95</f>
        <v>0.97494744680082823</v>
      </c>
      <c r="BN1874" s="25">
        <f>ROUND(SUM(Inventory[[#This Row],[Mdl Qlty]:[Mdl WdDeck]])+Inventory[[#This Row],[Mdl Res Intercept]]*Inventory[[#This Row],[Res Adj ]],-2)</f>
        <v>299400</v>
      </c>
      <c r="BO1874" s="25">
        <f>ROUND(Inventory[[#This Row],[25Det]]*Inventory[[#This Row],[Det/Nbhd Adj]],-2)</f>
        <v>0</v>
      </c>
      <c r="BP1874" s="25">
        <f>Inventory[[#This Row],[Adjusted Res]]+Inventory[[#This Row],[Adj Det ]]</f>
        <v>299400</v>
      </c>
      <c r="BQ1874" s="25">
        <f>ROUND((Inventory[[#This Row],[Mdl Land Intercept]]+Inventory[[#This Row],[Mdl LnAcres]])*Inventory[[#This Row],[Det/Nbhd Adj]],-2)</f>
        <v>41100</v>
      </c>
      <c r="BR1874" s="25">
        <f>Inventory[[#This Row],[Adjusted Impr Total]]+Inventory[[#This Row],[Adjusted Land Total]]</f>
        <v>340500</v>
      </c>
      <c r="BS1874" s="36">
        <f>IFERROR((Inventory[[#This Row],[Adjusted Impr Total]]-Inventory[[#This Row],[24Bldg]])/Inventory[[#This Row],[24Bldg]],0)</f>
        <v>0.22755227552275523</v>
      </c>
      <c r="BT1874" s="36">
        <f>(Inventory[[#This Row],[Adjusted Land Total]]-Inventory[[#This Row],[24Lnd]])/Inventory[[#This Row],[24Lnd]]</f>
        <v>-0.35071090047393366</v>
      </c>
      <c r="BU1874" s="36">
        <f>(Inventory[[#This Row],[Adjusted Total]]-Inventory[[#This Row],[24Final]])/Inventory[[#This Row],[24Final]]</f>
        <v>0.1083984375</v>
      </c>
    </row>
    <row r="1875" spans="1:73" x14ac:dyDescent="0.3">
      <c r="A1875" s="25">
        <v>2025</v>
      </c>
      <c r="B1875" s="26" t="s">
        <v>2237</v>
      </c>
      <c r="C1875" s="26">
        <f>LN(Inventory[[#This Row],[Acres]])</f>
        <v>-1.7719568419318752</v>
      </c>
      <c r="D1875" s="25">
        <v>0.17</v>
      </c>
      <c r="E1875" s="31"/>
      <c r="F1875" s="26" t="s">
        <v>537</v>
      </c>
      <c r="G1875" s="26" t="s">
        <v>126</v>
      </c>
      <c r="H1875" s="26" t="s">
        <v>349</v>
      </c>
      <c r="I1875" s="26" t="s">
        <v>538</v>
      </c>
      <c r="J1875" s="26" t="s">
        <v>539</v>
      </c>
      <c r="K1875" s="26" t="s">
        <v>416</v>
      </c>
      <c r="L1875" s="26" t="s">
        <v>351</v>
      </c>
      <c r="M1875" s="26" t="s">
        <v>323</v>
      </c>
      <c r="N1875" s="26">
        <v>100</v>
      </c>
      <c r="O1875" s="26">
        <f>2024-Inventory[[#This Row],[YrBlt]]</f>
        <v>96</v>
      </c>
      <c r="P1875" s="26">
        <f>2024-Inventory[[#This Row],[EffYr]]</f>
        <v>55</v>
      </c>
      <c r="Q1875" s="25">
        <v>1928</v>
      </c>
      <c r="R1875" s="25">
        <v>1969</v>
      </c>
      <c r="S1875" s="25">
        <v>1048</v>
      </c>
      <c r="T1875" s="32">
        <v>684</v>
      </c>
      <c r="U1875" s="32">
        <v>1048</v>
      </c>
      <c r="V1875" s="32">
        <f>Inventory[[#This Row],[Bsmt]]-Inventory[[#This Row],[FnBsmt]]</f>
        <v>1048</v>
      </c>
      <c r="W1875" s="27"/>
      <c r="X1875" s="27"/>
      <c r="Y1875" s="27">
        <f>Inventory[[#This Row],[MainFn]]+Inventory[[#This Row],[UpprFn]]+Inventory[[#This Row],[FnBsmt]]+Inventory[[#This Row],[AddFn]]</f>
        <v>1732</v>
      </c>
      <c r="Z1875" s="27">
        <v>2000</v>
      </c>
      <c r="AA1875" s="25">
        <v>8</v>
      </c>
      <c r="AB1875" s="27"/>
      <c r="AC1875" s="27"/>
      <c r="AD1875" s="32">
        <v>196</v>
      </c>
      <c r="AE1875" s="27"/>
      <c r="AF1875" s="27"/>
      <c r="AG1875" s="27"/>
      <c r="AH1875" s="27"/>
      <c r="AI1875" s="25">
        <v>298082</v>
      </c>
      <c r="AJ1875" s="25">
        <v>193753</v>
      </c>
      <c r="AK1875" s="25">
        <v>8477</v>
      </c>
      <c r="AL1875" s="25">
        <v>327700</v>
      </c>
      <c r="AM1875" s="25">
        <v>52700</v>
      </c>
      <c r="AN1875" s="25">
        <v>275000</v>
      </c>
      <c r="AO1875" s="25">
        <v>0</v>
      </c>
      <c r="AP1875" s="25">
        <f>Lookups!$B$56*0</f>
        <v>0</v>
      </c>
      <c r="AQ1875" s="25">
        <f>Lookups!$B$56*1</f>
        <v>89850.625589999996</v>
      </c>
      <c r="AR1875" s="25">
        <f>Lookups!$B$57*Inventory[[#This Row],[LnAcres]]</f>
        <v>-56090.612940989391</v>
      </c>
      <c r="AS1875" s="25">
        <f>VLOOKUP(Inventory[[#This Row],[Qlty]],Lookups!$A$62:$E$75,2,FALSE)</f>
        <v>21557.329055999999</v>
      </c>
      <c r="AT1875" s="25">
        <f>VLOOKUP(Inventory[[#This Row],[Cnd]],Lookups!$A$76:$E$84,2,FALSE)</f>
        <v>160472.20319</v>
      </c>
      <c r="AU1875" s="25">
        <f>Inventory[[#This Row],[EffAge]]*Lookups!$B$85</f>
        <v>-12267.5080275</v>
      </c>
      <c r="AV1875" s="25">
        <f>Inventory[[#This Row],[MainFn]]*Lookups!$B$86</f>
        <v>51780.286031096002</v>
      </c>
      <c r="AW1875" s="25">
        <f>Inventory[[#This Row],[UpprFn]]*Lookups!$B$87</f>
        <v>30633.913236924</v>
      </c>
      <c r="AX1875" s="25">
        <f>Inventory[[#This Row],[AddFn]]*Lookups!$B$88</f>
        <v>0</v>
      </c>
      <c r="AY1875" s="25">
        <f>Inventory[[#This Row],[Bsmt]]*Lookups!$B$89</f>
        <v>30477.826218856</v>
      </c>
      <c r="AZ1875" s="25">
        <f>Inventory[[#This Row],[Fixtures]]*Lookups!$B$90</f>
        <v>30336.176841600001</v>
      </c>
      <c r="BA1875" s="25">
        <f>Inventory[[#This Row],[WdDeck]]*Lookups!$B$91</f>
        <v>6525.9209940960009</v>
      </c>
      <c r="BB1875" s="25">
        <f>ROUND(Inventory[[#This Row],[25Det]],-2)</f>
        <v>8500</v>
      </c>
      <c r="BC1875" s="25">
        <f>ROUND(SUM(Inventory[[#This Row],[Mdl Qlty]:[Mdl WdDeck]])+Inventory[[#This Row],[Mdl Res Intercept]],-2)</f>
        <v>319500</v>
      </c>
      <c r="BD1875" s="25">
        <f>ROUND(Inventory[[#This Row],[Mdl Land Intercept]]+Inventory[[#This Row],[Mdl LnAcres]],-2)</f>
        <v>33800</v>
      </c>
      <c r="BE1875" s="25">
        <f>Inventory[[#This Row],[Unadj Res Value]]+Inventory[[#This Row],[Unadj Det Value]]+Inventory[[#This Row],[Unadj Land Value]]</f>
        <v>361800</v>
      </c>
      <c r="BF1875" s="36">
        <f>(Inventory[[#This Row],[Unadj Total Value]]-Inventory[[#This Row],[24Final]])/Inventory[[#This Row],[24Final]]</f>
        <v>0.10405859017393958</v>
      </c>
      <c r="BG1875" s="25">
        <f>VLOOKUP(Inventory[[#This Row],[Nbhd]],Lookups!$Q$2:$T$4,4,FALSE)</f>
        <v>0.99970000000000003</v>
      </c>
      <c r="BH1875" s="25">
        <f>VLOOKUP(Inventory[[#This Row],[Qlty]],Lookups!$O$7:$R$21,4,FALSE)</f>
        <v>1.0067999999999999</v>
      </c>
      <c r="BI1875" s="25">
        <f>VLOOKUP(Inventory[[#This Row],[Cnd]],Lookups!$T$7:$W$16,4,FALSE)</f>
        <v>0.99729999999999996</v>
      </c>
      <c r="BJ1875" s="25">
        <f>VLOOKUP(Inventory[[#This Row],[LivArea Range]],Lookups!$T$25:$W$37,4,FALSE)</f>
        <v>1.0093000000000001</v>
      </c>
      <c r="BK1875" s="25">
        <f>VLOOKUP(Inventory[[#This Row],[Decade]],Lookups!$O$25:$R$42,4,FALSE)</f>
        <v>1.0074000000000001</v>
      </c>
      <c r="BL1875" s="25">
        <f>Inventory[[#This Row],[Nbhd Adj]]*0.95</f>
        <v>0.94971499999999998</v>
      </c>
      <c r="BM1875" s="25">
        <f>Inventory[[#This Row],[Nbhd Adj]]*Inventory[[#This Row],[Quality Adj]]*Inventory[[#This Row],[Condition Adj]]*Inventory[[#This Row],[Living Area Adj]]*Inventory[[#This Row],[Decade Adj]]*0.95</f>
        <v>0.96958199718441984</v>
      </c>
      <c r="BN1875" s="25">
        <f>ROUND(SUM(Inventory[[#This Row],[Mdl Qlty]:[Mdl WdDeck]])+Inventory[[#This Row],[Mdl Res Intercept]]*Inventory[[#This Row],[Res Adj ]],-2)</f>
        <v>319500</v>
      </c>
      <c r="BO1875" s="25">
        <f>ROUND(Inventory[[#This Row],[25Det]]*Inventory[[#This Row],[Det/Nbhd Adj]],-2)</f>
        <v>8100</v>
      </c>
      <c r="BP1875" s="25">
        <f>Inventory[[#This Row],[Adjusted Res]]+Inventory[[#This Row],[Adj Det ]]</f>
        <v>327600</v>
      </c>
      <c r="BQ1875" s="25">
        <f>ROUND((Inventory[[#This Row],[Mdl Land Intercept]]+Inventory[[#This Row],[Mdl LnAcres]])*Inventory[[#This Row],[Det/Nbhd Adj]],-2)</f>
        <v>32100</v>
      </c>
      <c r="BR1875" s="25">
        <f>Inventory[[#This Row],[Adjusted Impr Total]]+Inventory[[#This Row],[Adjusted Land Total]]</f>
        <v>359700</v>
      </c>
      <c r="BS1875" s="36">
        <f>IFERROR((Inventory[[#This Row],[Adjusted Impr Total]]-Inventory[[#This Row],[24Bldg]])/Inventory[[#This Row],[24Bldg]],0)</f>
        <v>0.19127272727272726</v>
      </c>
      <c r="BT1875" s="36">
        <f>(Inventory[[#This Row],[Adjusted Land Total]]-Inventory[[#This Row],[24Lnd]])/Inventory[[#This Row],[24Lnd]]</f>
        <v>-0.39089184060721061</v>
      </c>
      <c r="BU1875" s="36">
        <f>(Inventory[[#This Row],[Adjusted Total]]-Inventory[[#This Row],[24Final]])/Inventory[[#This Row],[24Final]]</f>
        <v>9.7650289899298137E-2</v>
      </c>
    </row>
    <row r="1876" spans="1:73" x14ac:dyDescent="0.3">
      <c r="A1876" s="25">
        <v>2025</v>
      </c>
      <c r="B1876" s="26" t="s">
        <v>1097</v>
      </c>
      <c r="C1876" s="26">
        <f>LN(Inventory[[#This Row],[Acres]])</f>
        <v>-1.7719568419318752</v>
      </c>
      <c r="D1876" s="25">
        <v>0.17</v>
      </c>
      <c r="E1876" s="32">
        <v>7250</v>
      </c>
      <c r="F1876" s="26" t="s">
        <v>537</v>
      </c>
      <c r="G1876" s="26" t="s">
        <v>126</v>
      </c>
      <c r="H1876" s="26" t="s">
        <v>349</v>
      </c>
      <c r="I1876" s="26" t="s">
        <v>538</v>
      </c>
      <c r="J1876" s="26" t="s">
        <v>539</v>
      </c>
      <c r="K1876" s="26" t="s">
        <v>269</v>
      </c>
      <c r="L1876" s="26" t="s">
        <v>351</v>
      </c>
      <c r="M1876" s="26" t="s">
        <v>303</v>
      </c>
      <c r="N1876" s="26">
        <v>100</v>
      </c>
      <c r="O1876" s="26">
        <f>2024-Inventory[[#This Row],[YrBlt]]</f>
        <v>96</v>
      </c>
      <c r="P1876" s="26">
        <f>2024-Inventory[[#This Row],[EffYr]]</f>
        <v>55</v>
      </c>
      <c r="Q1876" s="25">
        <v>1928</v>
      </c>
      <c r="R1876" s="25">
        <v>1969</v>
      </c>
      <c r="S1876" s="25">
        <v>894</v>
      </c>
      <c r="T1876" s="27"/>
      <c r="U1876" s="25">
        <v>528</v>
      </c>
      <c r="V1876" s="25">
        <f>Inventory[[#This Row],[Bsmt]]-Inventory[[#This Row],[FnBsmt]]</f>
        <v>180</v>
      </c>
      <c r="W1876" s="25">
        <v>348</v>
      </c>
      <c r="X1876" s="27"/>
      <c r="Y1876" s="27">
        <f>Inventory[[#This Row],[MainFn]]+Inventory[[#This Row],[UpprFn]]+Inventory[[#This Row],[FnBsmt]]+Inventory[[#This Row],[AddFn]]</f>
        <v>1242</v>
      </c>
      <c r="Z1876" s="27">
        <v>1500</v>
      </c>
      <c r="AA1876" s="25">
        <v>5</v>
      </c>
      <c r="AB1876" s="27"/>
      <c r="AC1876" s="27"/>
      <c r="AD1876" s="27"/>
      <c r="AE1876" s="27"/>
      <c r="AF1876" s="27"/>
      <c r="AG1876" s="27"/>
      <c r="AH1876" s="27"/>
      <c r="AI1876" s="25">
        <v>195719</v>
      </c>
      <c r="AJ1876" s="25">
        <v>131132</v>
      </c>
      <c r="AK1876" s="25">
        <v>9040</v>
      </c>
      <c r="AL1876" s="25">
        <v>297300</v>
      </c>
      <c r="AM1876" s="25">
        <v>52700</v>
      </c>
      <c r="AN1876" s="25">
        <v>244600</v>
      </c>
      <c r="AO1876" s="25">
        <v>0</v>
      </c>
      <c r="AP1876" s="25">
        <f>Lookups!$B$56*0</f>
        <v>0</v>
      </c>
      <c r="AQ1876" s="25">
        <f>Lookups!$B$56*1</f>
        <v>89850.625589999996</v>
      </c>
      <c r="AR1876" s="25">
        <f>Lookups!$B$57*Inventory[[#This Row],[LnAcres]]</f>
        <v>-56090.612940989391</v>
      </c>
      <c r="AS1876" s="25">
        <f>VLOOKUP(Inventory[[#This Row],[Qlty]],Lookups!$A$62:$E$75,2,FALSE)</f>
        <v>21557.329055999999</v>
      </c>
      <c r="AT1876" s="25">
        <f>VLOOKUP(Inventory[[#This Row],[Cnd]],Lookups!$A$76:$E$84,2,FALSE)</f>
        <v>197752.34721000001</v>
      </c>
      <c r="AU1876" s="25">
        <f>Inventory[[#This Row],[EffAge]]*Lookups!$B$85</f>
        <v>-12267.5080275</v>
      </c>
      <c r="AV1876" s="25">
        <f>Inventory[[#This Row],[MainFn]]*Lookups!$B$86</f>
        <v>44171.350870038004</v>
      </c>
      <c r="AW1876" s="25">
        <f>Inventory[[#This Row],[UpprFn]]*Lookups!$B$87</f>
        <v>0</v>
      </c>
      <c r="AX1876" s="25">
        <f>Inventory[[#This Row],[AddFn]]*Lookups!$B$88</f>
        <v>0</v>
      </c>
      <c r="AY1876" s="25">
        <f>Inventory[[#This Row],[Bsmt]]*Lookups!$B$89</f>
        <v>15355.240690416</v>
      </c>
      <c r="AZ1876" s="25">
        <f>Inventory[[#This Row],[Fixtures]]*Lookups!$B$90</f>
        <v>18960.110526</v>
      </c>
      <c r="BA1876" s="25">
        <f>Inventory[[#This Row],[WdDeck]]*Lookups!$B$91</f>
        <v>0</v>
      </c>
      <c r="BB1876" s="25">
        <f>ROUND(Inventory[[#This Row],[25Det]],-2)</f>
        <v>9000</v>
      </c>
      <c r="BC1876" s="25">
        <f>ROUND(SUM(Inventory[[#This Row],[Mdl Qlty]:[Mdl WdDeck]])+Inventory[[#This Row],[Mdl Res Intercept]],-2)</f>
        <v>285500</v>
      </c>
      <c r="BD1876" s="25">
        <f>ROUND(Inventory[[#This Row],[Mdl Land Intercept]]+Inventory[[#This Row],[Mdl LnAcres]],-2)</f>
        <v>33800</v>
      </c>
      <c r="BE1876" s="25">
        <f>Inventory[[#This Row],[Unadj Res Value]]+Inventory[[#This Row],[Unadj Det Value]]+Inventory[[#This Row],[Unadj Land Value]]</f>
        <v>328300</v>
      </c>
      <c r="BF1876" s="36">
        <f>(Inventory[[#This Row],[Unadj Total Value]]-Inventory[[#This Row],[24Final]])/Inventory[[#This Row],[24Final]]</f>
        <v>0.10427177934746047</v>
      </c>
      <c r="BG1876" s="25">
        <f>VLOOKUP(Inventory[[#This Row],[Nbhd]],Lookups!$Q$2:$T$4,4,FALSE)</f>
        <v>0.99970000000000003</v>
      </c>
      <c r="BH1876" s="25">
        <f>VLOOKUP(Inventory[[#This Row],[Qlty]],Lookups!$O$7:$R$21,4,FALSE)</f>
        <v>1.0067999999999999</v>
      </c>
      <c r="BI1876" s="25">
        <f>VLOOKUP(Inventory[[#This Row],[Cnd]],Lookups!$T$7:$W$16,4,FALSE)</f>
        <v>0.99650000000000005</v>
      </c>
      <c r="BJ1876" s="25">
        <f>VLOOKUP(Inventory[[#This Row],[LivArea Range]],Lookups!$T$25:$W$37,4,FALSE)</f>
        <v>1.0157</v>
      </c>
      <c r="BK1876" s="25">
        <f>VLOOKUP(Inventory[[#This Row],[Decade]],Lookups!$O$25:$R$42,4,FALSE)</f>
        <v>1.0074000000000001</v>
      </c>
      <c r="BL1876" s="25">
        <f>Inventory[[#This Row],[Nbhd Adj]]*0.95</f>
        <v>0.94971499999999998</v>
      </c>
      <c r="BM1876" s="25">
        <f>Inventory[[#This Row],[Nbhd Adj]]*Inventory[[#This Row],[Quality Adj]]*Inventory[[#This Row],[Condition Adj]]*Inventory[[#This Row],[Living Area Adj]]*Inventory[[#This Row],[Decade Adj]]*0.95</f>
        <v>0.97494744680082823</v>
      </c>
      <c r="BN1876" s="25">
        <f>ROUND(SUM(Inventory[[#This Row],[Mdl Qlty]:[Mdl WdDeck]])+Inventory[[#This Row],[Mdl Res Intercept]]*Inventory[[#This Row],[Res Adj ]],-2)</f>
        <v>285500</v>
      </c>
      <c r="BO1876" s="25">
        <f>ROUND(Inventory[[#This Row],[25Det]]*Inventory[[#This Row],[Det/Nbhd Adj]],-2)</f>
        <v>8600</v>
      </c>
      <c r="BP1876" s="25">
        <f>Inventory[[#This Row],[Adjusted Res]]+Inventory[[#This Row],[Adj Det ]]</f>
        <v>294100</v>
      </c>
      <c r="BQ1876" s="25">
        <f>ROUND((Inventory[[#This Row],[Mdl Land Intercept]]+Inventory[[#This Row],[Mdl LnAcres]])*Inventory[[#This Row],[Det/Nbhd Adj]],-2)</f>
        <v>32100</v>
      </c>
      <c r="BR1876" s="25">
        <f>Inventory[[#This Row],[Adjusted Impr Total]]+Inventory[[#This Row],[Adjusted Land Total]]</f>
        <v>326200</v>
      </c>
      <c r="BS1876" s="36">
        <f>IFERROR((Inventory[[#This Row],[Adjusted Impr Total]]-Inventory[[#This Row],[24Bldg]])/Inventory[[#This Row],[24Bldg]],0)</f>
        <v>0.20237121831561733</v>
      </c>
      <c r="BT1876" s="36">
        <f>(Inventory[[#This Row],[Adjusted Land Total]]-Inventory[[#This Row],[24Lnd]])/Inventory[[#This Row],[24Lnd]]</f>
        <v>-0.39089184060721061</v>
      </c>
      <c r="BU1876" s="36">
        <f>(Inventory[[#This Row],[Adjusted Total]]-Inventory[[#This Row],[24Final]])/Inventory[[#This Row],[24Final]]</f>
        <v>9.7208207198116375E-2</v>
      </c>
    </row>
    <row r="1877" spans="1:73" x14ac:dyDescent="0.3">
      <c r="A1877" s="25">
        <v>2025</v>
      </c>
      <c r="B1877" s="26" t="s">
        <v>2415</v>
      </c>
      <c r="C1877" s="26">
        <f>LN(Inventory[[#This Row],[Acres]])</f>
        <v>-1.8325814637483102</v>
      </c>
      <c r="D1877" s="25">
        <v>0.16</v>
      </c>
      <c r="E1877" s="27"/>
      <c r="F1877" s="26" t="s">
        <v>537</v>
      </c>
      <c r="G1877" s="26" t="s">
        <v>126</v>
      </c>
      <c r="H1877" s="26" t="s">
        <v>349</v>
      </c>
      <c r="I1877" s="26" t="s">
        <v>538</v>
      </c>
      <c r="J1877" s="26" t="s">
        <v>539</v>
      </c>
      <c r="K1877" s="26" t="s">
        <v>173</v>
      </c>
      <c r="L1877" s="26" t="s">
        <v>302</v>
      </c>
      <c r="M1877" s="26" t="s">
        <v>303</v>
      </c>
      <c r="N1877" s="26">
        <v>100</v>
      </c>
      <c r="O1877" s="26">
        <f>2024-Inventory[[#This Row],[YrBlt]]</f>
        <v>96</v>
      </c>
      <c r="P1877" s="26">
        <f>2024-Inventory[[#This Row],[EffYr]]</f>
        <v>55</v>
      </c>
      <c r="Q1877" s="25">
        <v>1928</v>
      </c>
      <c r="R1877" s="25">
        <v>1969</v>
      </c>
      <c r="S1877" s="25">
        <v>1305</v>
      </c>
      <c r="T1877" s="32">
        <v>620</v>
      </c>
      <c r="U1877" s="32">
        <v>976</v>
      </c>
      <c r="V1877" s="32">
        <f>Inventory[[#This Row],[Bsmt]]-Inventory[[#This Row],[FnBsmt]]</f>
        <v>976</v>
      </c>
      <c r="W1877" s="27"/>
      <c r="X1877" s="27"/>
      <c r="Y1877" s="27">
        <f>Inventory[[#This Row],[MainFn]]+Inventory[[#This Row],[UpprFn]]+Inventory[[#This Row],[FnBsmt]]+Inventory[[#This Row],[AddFn]]</f>
        <v>1925</v>
      </c>
      <c r="Z1877" s="27">
        <v>2000</v>
      </c>
      <c r="AA1877" s="25">
        <v>8</v>
      </c>
      <c r="AB1877" s="27"/>
      <c r="AC1877" s="27"/>
      <c r="AD1877" s="27"/>
      <c r="AE1877" s="27"/>
      <c r="AF1877" s="27"/>
      <c r="AG1877" s="27"/>
      <c r="AH1877" s="27"/>
      <c r="AI1877" s="25">
        <v>372100</v>
      </c>
      <c r="AJ1877" s="25">
        <v>249307</v>
      </c>
      <c r="AK1877" s="25">
        <v>5605</v>
      </c>
      <c r="AL1877" s="25">
        <v>366400</v>
      </c>
      <c r="AM1877" s="25">
        <v>50600</v>
      </c>
      <c r="AN1877" s="25">
        <v>315800</v>
      </c>
      <c r="AO1877" s="25">
        <v>0</v>
      </c>
      <c r="AP1877" s="25">
        <f>Lookups!$B$56*0</f>
        <v>0</v>
      </c>
      <c r="AQ1877" s="25">
        <f>Lookups!$B$56*1</f>
        <v>89850.625589999996</v>
      </c>
      <c r="AR1877" s="25">
        <f>Lookups!$B$57*Inventory[[#This Row],[LnAcres]]</f>
        <v>-58009.662049032086</v>
      </c>
      <c r="AS1877" s="25">
        <f>VLOOKUP(Inventory[[#This Row],[Qlty]],Lookups!$A$62:$E$75,2,FALSE)</f>
        <v>29814.093161000001</v>
      </c>
      <c r="AT1877" s="25">
        <f>VLOOKUP(Inventory[[#This Row],[Cnd]],Lookups!$A$76:$E$84,2,FALSE)</f>
        <v>197752.34721000001</v>
      </c>
      <c r="AU1877" s="25">
        <f>Inventory[[#This Row],[EffAge]]*Lookups!$B$85</f>
        <v>-12267.5080275</v>
      </c>
      <c r="AV1877" s="25">
        <f>Inventory[[#This Row],[MainFn]]*Lookups!$B$86</f>
        <v>64478.314189485005</v>
      </c>
      <c r="AW1877" s="25">
        <f>Inventory[[#This Row],[UpprFn]]*Lookups!$B$87</f>
        <v>27767.582173819999</v>
      </c>
      <c r="AX1877" s="25">
        <f>Inventory[[#This Row],[AddFn]]*Lookups!$B$88</f>
        <v>0</v>
      </c>
      <c r="AY1877" s="25">
        <f>Inventory[[#This Row],[Bsmt]]*Lookups!$B$89</f>
        <v>28383.929761071999</v>
      </c>
      <c r="AZ1877" s="25">
        <f>Inventory[[#This Row],[Fixtures]]*Lookups!$B$90</f>
        <v>30336.176841600001</v>
      </c>
      <c r="BA1877" s="25">
        <f>Inventory[[#This Row],[WdDeck]]*Lookups!$B$91</f>
        <v>0</v>
      </c>
      <c r="BB1877" s="25">
        <f>ROUND(Inventory[[#This Row],[25Det]],-2)</f>
        <v>5600</v>
      </c>
      <c r="BC1877" s="25">
        <f>ROUND(SUM(Inventory[[#This Row],[Mdl Qlty]:[Mdl WdDeck]])+Inventory[[#This Row],[Mdl Res Intercept]],-2)</f>
        <v>366300</v>
      </c>
      <c r="BD1877" s="25">
        <f>ROUND(Inventory[[#This Row],[Mdl Land Intercept]]+Inventory[[#This Row],[Mdl LnAcres]],-2)</f>
        <v>31800</v>
      </c>
      <c r="BE1877" s="25">
        <f>Inventory[[#This Row],[Unadj Res Value]]+Inventory[[#This Row],[Unadj Det Value]]+Inventory[[#This Row],[Unadj Land Value]]</f>
        <v>403700</v>
      </c>
      <c r="BF1877" s="36">
        <f>(Inventory[[#This Row],[Unadj Total Value]]-Inventory[[#This Row],[24Final]])/Inventory[[#This Row],[24Final]]</f>
        <v>0.10180131004366812</v>
      </c>
      <c r="BG1877" s="25">
        <f>VLOOKUP(Inventory[[#This Row],[Nbhd]],Lookups!$Q$2:$T$4,4,FALSE)</f>
        <v>0.99970000000000003</v>
      </c>
      <c r="BH1877" s="25">
        <f>VLOOKUP(Inventory[[#This Row],[Qlty]],Lookups!$O$7:$R$21,4,FALSE)</f>
        <v>1.0088999999999999</v>
      </c>
      <c r="BI1877" s="25">
        <f>VLOOKUP(Inventory[[#This Row],[Cnd]],Lookups!$T$7:$W$16,4,FALSE)</f>
        <v>0.99650000000000005</v>
      </c>
      <c r="BJ1877" s="25">
        <f>VLOOKUP(Inventory[[#This Row],[LivArea Range]],Lookups!$T$25:$W$37,4,FALSE)</f>
        <v>1.0093000000000001</v>
      </c>
      <c r="BK1877" s="25">
        <f>VLOOKUP(Inventory[[#This Row],[Decade]],Lookups!$O$25:$R$42,4,FALSE)</f>
        <v>1.0074000000000001</v>
      </c>
      <c r="BL1877" s="25">
        <f>Inventory[[#This Row],[Nbhd Adj]]*0.95</f>
        <v>0.94971499999999998</v>
      </c>
      <c r="BM1877" s="25">
        <f>Inventory[[#This Row],[Nbhd Adj]]*Inventory[[#This Row],[Quality Adj]]*Inventory[[#This Row],[Condition Adj]]*Inventory[[#This Row],[Living Area Adj]]*Inventory[[#This Row],[Decade Adj]]*0.95</f>
        <v>0.97082497942099955</v>
      </c>
      <c r="BN1877" s="25">
        <f>ROUND(SUM(Inventory[[#This Row],[Mdl Qlty]:[Mdl WdDeck]])+Inventory[[#This Row],[Mdl Res Intercept]]*Inventory[[#This Row],[Res Adj ]],-2)</f>
        <v>366300</v>
      </c>
      <c r="BO1877" s="25">
        <f>ROUND(Inventory[[#This Row],[25Det]]*Inventory[[#This Row],[Det/Nbhd Adj]],-2)</f>
        <v>5300</v>
      </c>
      <c r="BP1877" s="25">
        <f>Inventory[[#This Row],[Adjusted Res]]+Inventory[[#This Row],[Adj Det ]]</f>
        <v>371600</v>
      </c>
      <c r="BQ1877" s="25">
        <f>ROUND((Inventory[[#This Row],[Mdl Land Intercept]]+Inventory[[#This Row],[Mdl LnAcres]])*Inventory[[#This Row],[Det/Nbhd Adj]],-2)</f>
        <v>30200</v>
      </c>
      <c r="BR1877" s="25">
        <f>Inventory[[#This Row],[Adjusted Impr Total]]+Inventory[[#This Row],[Adjusted Land Total]]</f>
        <v>401800</v>
      </c>
      <c r="BS1877" s="36">
        <f>IFERROR((Inventory[[#This Row],[Adjusted Impr Total]]-Inventory[[#This Row],[24Bldg]])/Inventory[[#This Row],[24Bldg]],0)</f>
        <v>0.17669411019632678</v>
      </c>
      <c r="BT1877" s="36">
        <f>(Inventory[[#This Row],[Adjusted Land Total]]-Inventory[[#This Row],[24Lnd]])/Inventory[[#This Row],[24Lnd]]</f>
        <v>-0.40316205533596838</v>
      </c>
      <c r="BU1877" s="36">
        <f>(Inventory[[#This Row],[Adjusted Total]]-Inventory[[#This Row],[24Final]])/Inventory[[#This Row],[24Final]]</f>
        <v>9.661572052401747E-2</v>
      </c>
    </row>
    <row r="1878" spans="1:73" x14ac:dyDescent="0.3">
      <c r="A1878" s="25">
        <v>2025</v>
      </c>
      <c r="B1878" s="26" t="s">
        <v>996</v>
      </c>
      <c r="C1878" s="26">
        <f>LN(Inventory[[#This Row],[Acres]])</f>
        <v>-1.6094379124341003</v>
      </c>
      <c r="D1878" s="25">
        <v>0.2</v>
      </c>
      <c r="E1878" s="32">
        <v>8844</v>
      </c>
      <c r="F1878" s="26" t="s">
        <v>537</v>
      </c>
      <c r="G1878" s="26" t="s">
        <v>126</v>
      </c>
      <c r="H1878" s="26" t="s">
        <v>349</v>
      </c>
      <c r="I1878" s="26" t="s">
        <v>538</v>
      </c>
      <c r="J1878" s="26" t="s">
        <v>539</v>
      </c>
      <c r="K1878" s="26" t="s">
        <v>269</v>
      </c>
      <c r="L1878" s="26" t="s">
        <v>351</v>
      </c>
      <c r="M1878" s="26" t="s">
        <v>323</v>
      </c>
      <c r="N1878" s="26">
        <v>100</v>
      </c>
      <c r="O1878" s="26">
        <f>2024-Inventory[[#This Row],[YrBlt]]</f>
        <v>96</v>
      </c>
      <c r="P1878" s="26">
        <f>2024-Inventory[[#This Row],[EffYr]]</f>
        <v>55</v>
      </c>
      <c r="Q1878" s="25">
        <v>1928</v>
      </c>
      <c r="R1878" s="25">
        <v>1969</v>
      </c>
      <c r="S1878" s="25">
        <v>1388</v>
      </c>
      <c r="T1878" s="27"/>
      <c r="U1878" s="25">
        <v>1388</v>
      </c>
      <c r="V1878" s="32">
        <f>Inventory[[#This Row],[Bsmt]]-Inventory[[#This Row],[FnBsmt]]</f>
        <v>1268</v>
      </c>
      <c r="W1878" s="32">
        <v>120</v>
      </c>
      <c r="X1878" s="27"/>
      <c r="Y1878" s="27">
        <f>Inventory[[#This Row],[MainFn]]+Inventory[[#This Row],[UpprFn]]+Inventory[[#This Row],[FnBsmt]]+Inventory[[#This Row],[AddFn]]</f>
        <v>1508</v>
      </c>
      <c r="Z1878" s="27">
        <v>2000</v>
      </c>
      <c r="AA1878" s="25">
        <v>5</v>
      </c>
      <c r="AB1878" s="27"/>
      <c r="AC1878" s="31"/>
      <c r="AD1878" s="32">
        <v>240</v>
      </c>
      <c r="AE1878" s="27"/>
      <c r="AF1878" s="27"/>
      <c r="AG1878" s="27"/>
      <c r="AH1878" s="27"/>
      <c r="AI1878" s="25">
        <v>286011</v>
      </c>
      <c r="AJ1878" s="25">
        <v>185907</v>
      </c>
      <c r="AK1878" s="25">
        <v>0</v>
      </c>
      <c r="AL1878" s="25">
        <v>313400</v>
      </c>
      <c r="AM1878" s="25">
        <v>58400</v>
      </c>
      <c r="AN1878" s="25">
        <v>255000</v>
      </c>
      <c r="AO1878" s="25">
        <v>0</v>
      </c>
      <c r="AP1878" s="25">
        <f>Lookups!$B$56*0</f>
        <v>0</v>
      </c>
      <c r="AQ1878" s="25">
        <f>Lookups!$B$56*1</f>
        <v>89850.625589999996</v>
      </c>
      <c r="AR1878" s="25">
        <f>Lookups!$B$57*Inventory[[#This Row],[LnAcres]]</f>
        <v>-50946.13867709865</v>
      </c>
      <c r="AS1878" s="25">
        <f>VLOOKUP(Inventory[[#This Row],[Qlty]],Lookups!$A$62:$E$75,2,FALSE)</f>
        <v>21557.329055999999</v>
      </c>
      <c r="AT1878" s="25">
        <f>VLOOKUP(Inventory[[#This Row],[Cnd]],Lookups!$A$76:$E$84,2,FALSE)</f>
        <v>160472.20319</v>
      </c>
      <c r="AU1878" s="25">
        <f>Inventory[[#This Row],[EffAge]]*Lookups!$B$85</f>
        <v>-12267.5080275</v>
      </c>
      <c r="AV1878" s="25">
        <f>Inventory[[#This Row],[MainFn]]*Lookups!$B$86</f>
        <v>68579.233789275997</v>
      </c>
      <c r="AW1878" s="25">
        <f>Inventory[[#This Row],[UpprFn]]*Lookups!$B$87</f>
        <v>0</v>
      </c>
      <c r="AX1878" s="25">
        <f>Inventory[[#This Row],[AddFn]]*Lookups!$B$88</f>
        <v>0</v>
      </c>
      <c r="AY1878" s="25">
        <f>Inventory[[#This Row],[Bsmt]]*Lookups!$B$89</f>
        <v>40365.670602835999</v>
      </c>
      <c r="AZ1878" s="25">
        <f>Inventory[[#This Row],[Fixtures]]*Lookups!$B$90</f>
        <v>18960.110526</v>
      </c>
      <c r="BA1878" s="25">
        <f>Inventory[[#This Row],[WdDeck]]*Lookups!$B$91</f>
        <v>7990.9236662400008</v>
      </c>
      <c r="BB1878" s="25">
        <f>ROUND(Inventory[[#This Row],[25Det]],-2)</f>
        <v>0</v>
      </c>
      <c r="BC1878" s="25">
        <f>ROUND(SUM(Inventory[[#This Row],[Mdl Qlty]:[Mdl WdDeck]])+Inventory[[#This Row],[Mdl Res Intercept]],-2)</f>
        <v>305700</v>
      </c>
      <c r="BD1878" s="25">
        <f>ROUND(Inventory[[#This Row],[Mdl Land Intercept]]+Inventory[[#This Row],[Mdl LnAcres]],-2)</f>
        <v>38900</v>
      </c>
      <c r="BE1878" s="25">
        <f>Inventory[[#This Row],[Unadj Res Value]]+Inventory[[#This Row],[Unadj Det Value]]+Inventory[[#This Row],[Unadj Land Value]]</f>
        <v>344600</v>
      </c>
      <c r="BF1878" s="36">
        <f>(Inventory[[#This Row],[Unadj Total Value]]-Inventory[[#This Row],[24Final]])/Inventory[[#This Row],[24Final]]</f>
        <v>9.9553286534779836E-2</v>
      </c>
      <c r="BG1878" s="25">
        <f>VLOOKUP(Inventory[[#This Row],[Nbhd]],Lookups!$Q$2:$T$4,4,FALSE)</f>
        <v>0.99970000000000003</v>
      </c>
      <c r="BH1878" s="25">
        <f>VLOOKUP(Inventory[[#This Row],[Qlty]],Lookups!$O$7:$R$21,4,FALSE)</f>
        <v>1.0067999999999999</v>
      </c>
      <c r="BI1878" s="25">
        <f>VLOOKUP(Inventory[[#This Row],[Cnd]],Lookups!$T$7:$W$16,4,FALSE)</f>
        <v>0.99729999999999996</v>
      </c>
      <c r="BJ1878" s="25">
        <f>VLOOKUP(Inventory[[#This Row],[LivArea Range]],Lookups!$T$25:$W$37,4,FALSE)</f>
        <v>1.0093000000000001</v>
      </c>
      <c r="BK1878" s="25">
        <f>VLOOKUP(Inventory[[#This Row],[Decade]],Lookups!$O$25:$R$42,4,FALSE)</f>
        <v>1.0074000000000001</v>
      </c>
      <c r="BL1878" s="25">
        <f>Inventory[[#This Row],[Nbhd Adj]]*0.95</f>
        <v>0.94971499999999998</v>
      </c>
      <c r="BM1878" s="25">
        <f>Inventory[[#This Row],[Nbhd Adj]]*Inventory[[#This Row],[Quality Adj]]*Inventory[[#This Row],[Condition Adj]]*Inventory[[#This Row],[Living Area Adj]]*Inventory[[#This Row],[Decade Adj]]*0.95</f>
        <v>0.96958199718441984</v>
      </c>
      <c r="BN1878" s="25">
        <f>ROUND(SUM(Inventory[[#This Row],[Mdl Qlty]:[Mdl WdDeck]])+Inventory[[#This Row],[Mdl Res Intercept]]*Inventory[[#This Row],[Res Adj ]],-2)</f>
        <v>305700</v>
      </c>
      <c r="BO1878" s="25">
        <f>ROUND(Inventory[[#This Row],[25Det]]*Inventory[[#This Row],[Det/Nbhd Adj]],-2)</f>
        <v>0</v>
      </c>
      <c r="BP1878" s="25">
        <f>Inventory[[#This Row],[Adjusted Res]]+Inventory[[#This Row],[Adj Det ]]</f>
        <v>305700</v>
      </c>
      <c r="BQ1878" s="25">
        <f>ROUND((Inventory[[#This Row],[Mdl Land Intercept]]+Inventory[[#This Row],[Mdl LnAcres]])*Inventory[[#This Row],[Det/Nbhd Adj]],-2)</f>
        <v>36900</v>
      </c>
      <c r="BR1878" s="25">
        <f>Inventory[[#This Row],[Adjusted Impr Total]]+Inventory[[#This Row],[Adjusted Land Total]]</f>
        <v>342600</v>
      </c>
      <c r="BS1878" s="36">
        <f>IFERROR((Inventory[[#This Row],[Adjusted Impr Total]]-Inventory[[#This Row],[24Bldg]])/Inventory[[#This Row],[24Bldg]],0)</f>
        <v>0.1988235294117647</v>
      </c>
      <c r="BT1878" s="36">
        <f>(Inventory[[#This Row],[Adjusted Land Total]]-Inventory[[#This Row],[24Lnd]])/Inventory[[#This Row],[24Lnd]]</f>
        <v>-0.36815068493150682</v>
      </c>
      <c r="BU1878" s="36">
        <f>(Inventory[[#This Row],[Adjusted Total]]-Inventory[[#This Row],[24Final]])/Inventory[[#This Row],[24Final]]</f>
        <v>9.3171665603063183E-2</v>
      </c>
    </row>
    <row r="1879" spans="1:73" x14ac:dyDescent="0.3">
      <c r="A1879" s="25">
        <v>2025</v>
      </c>
      <c r="B1879" s="26" t="s">
        <v>1883</v>
      </c>
      <c r="C1879" s="26">
        <f>LN(Inventory[[#This Row],[Acres]])</f>
        <v>-1.8325814637483102</v>
      </c>
      <c r="D1879" s="25">
        <v>0.16</v>
      </c>
      <c r="E1879" s="27"/>
      <c r="F1879" s="26" t="s">
        <v>537</v>
      </c>
      <c r="G1879" s="26" t="s">
        <v>126</v>
      </c>
      <c r="H1879" s="26" t="s">
        <v>349</v>
      </c>
      <c r="I1879" s="26" t="s">
        <v>538</v>
      </c>
      <c r="J1879" s="26" t="s">
        <v>539</v>
      </c>
      <c r="K1879" s="26" t="s">
        <v>147</v>
      </c>
      <c r="L1879" s="26" t="s">
        <v>148</v>
      </c>
      <c r="M1879" s="26" t="s">
        <v>323</v>
      </c>
      <c r="N1879" s="26">
        <v>100</v>
      </c>
      <c r="O1879" s="26">
        <f>2024-Inventory[[#This Row],[YrBlt]]</f>
        <v>96</v>
      </c>
      <c r="P1879" s="26">
        <f>2024-Inventory[[#This Row],[EffYr]]</f>
        <v>55</v>
      </c>
      <c r="Q1879" s="25">
        <v>1928</v>
      </c>
      <c r="R1879" s="25">
        <v>1969</v>
      </c>
      <c r="S1879" s="25">
        <v>850</v>
      </c>
      <c r="T1879" s="32">
        <v>416</v>
      </c>
      <c r="U1879" s="25">
        <v>850</v>
      </c>
      <c r="V1879" s="25">
        <f>Inventory[[#This Row],[Bsmt]]-Inventory[[#This Row],[FnBsmt]]</f>
        <v>850</v>
      </c>
      <c r="W1879" s="31"/>
      <c r="X1879" s="27"/>
      <c r="Y1879" s="27">
        <f>Inventory[[#This Row],[MainFn]]+Inventory[[#This Row],[UpprFn]]+Inventory[[#This Row],[FnBsmt]]+Inventory[[#This Row],[AddFn]]</f>
        <v>1266</v>
      </c>
      <c r="Z1879" s="27">
        <v>1500</v>
      </c>
      <c r="AA1879" s="25">
        <v>7</v>
      </c>
      <c r="AB1879" s="31"/>
      <c r="AC1879" s="27"/>
      <c r="AD1879" s="27"/>
      <c r="AE1879" s="27"/>
      <c r="AF1879" s="27"/>
      <c r="AG1879" s="27"/>
      <c r="AH1879" s="27"/>
      <c r="AI1879" s="25">
        <v>288843</v>
      </c>
      <c r="AJ1879" s="25">
        <v>187748</v>
      </c>
      <c r="AK1879" s="25">
        <v>6227</v>
      </c>
      <c r="AL1879" s="25">
        <v>311400</v>
      </c>
      <c r="AM1879" s="25">
        <v>50600</v>
      </c>
      <c r="AN1879" s="25">
        <v>260800</v>
      </c>
      <c r="AO1879" s="25">
        <v>0</v>
      </c>
      <c r="AP1879" s="25">
        <f>Lookups!$B$56*0</f>
        <v>0</v>
      </c>
      <c r="AQ1879" s="25">
        <f>Lookups!$B$56*1</f>
        <v>89850.625589999996</v>
      </c>
      <c r="AR1879" s="25">
        <f>Lookups!$B$57*Inventory[[#This Row],[LnAcres]]</f>
        <v>-58009.662049032086</v>
      </c>
      <c r="AS1879" s="25">
        <f>VLOOKUP(Inventory[[#This Row],[Qlty]],Lookups!$A$62:$E$75,2,FALSE)</f>
        <v>44121.038090000002</v>
      </c>
      <c r="AT1879" s="25">
        <f>VLOOKUP(Inventory[[#This Row],[Cnd]],Lookups!$A$76:$E$84,2,FALSE)</f>
        <v>160472.20319</v>
      </c>
      <c r="AU1879" s="25">
        <f>Inventory[[#This Row],[EffAge]]*Lookups!$B$85</f>
        <v>-12267.5080275</v>
      </c>
      <c r="AV1879" s="25">
        <f>Inventory[[#This Row],[MainFn]]*Lookups!$B$86</f>
        <v>41997.369395449998</v>
      </c>
      <c r="AW1879" s="25">
        <f>Inventory[[#This Row],[UpprFn]]*Lookups!$B$87</f>
        <v>18631.151910175999</v>
      </c>
      <c r="AX1879" s="25">
        <f>Inventory[[#This Row],[AddFn]]*Lookups!$B$88</f>
        <v>0</v>
      </c>
      <c r="AY1879" s="25">
        <f>Inventory[[#This Row],[Bsmt]]*Lookups!$B$89</f>
        <v>24719.610959949998</v>
      </c>
      <c r="AZ1879" s="25">
        <f>Inventory[[#This Row],[Fixtures]]*Lookups!$B$90</f>
        <v>26544.1547364</v>
      </c>
      <c r="BA1879" s="25">
        <f>Inventory[[#This Row],[WdDeck]]*Lookups!$B$91</f>
        <v>0</v>
      </c>
      <c r="BB1879" s="25">
        <f>ROUND(Inventory[[#This Row],[25Det]],-2)</f>
        <v>6200</v>
      </c>
      <c r="BC1879" s="25">
        <f>ROUND(SUM(Inventory[[#This Row],[Mdl Qlty]:[Mdl WdDeck]])+Inventory[[#This Row],[Mdl Res Intercept]],-2)</f>
        <v>304200</v>
      </c>
      <c r="BD1879" s="25">
        <f>ROUND(Inventory[[#This Row],[Mdl Land Intercept]]+Inventory[[#This Row],[Mdl LnAcres]],-2)</f>
        <v>31800</v>
      </c>
      <c r="BE1879" s="25">
        <f>Inventory[[#This Row],[Unadj Res Value]]+Inventory[[#This Row],[Unadj Det Value]]+Inventory[[#This Row],[Unadj Land Value]]</f>
        <v>342200</v>
      </c>
      <c r="BF1879" s="36">
        <f>(Inventory[[#This Row],[Unadj Total Value]]-Inventory[[#This Row],[24Final]])/Inventory[[#This Row],[24Final]]</f>
        <v>9.8908156711624923E-2</v>
      </c>
      <c r="BG1879" s="25">
        <f>VLOOKUP(Inventory[[#This Row],[Nbhd]],Lookups!$Q$2:$T$4,4,FALSE)</f>
        <v>0.99970000000000003</v>
      </c>
      <c r="BH1879" s="25">
        <f>VLOOKUP(Inventory[[#This Row],[Qlty]],Lookups!$O$7:$R$21,4,FALSE)</f>
        <v>0.98050000000000004</v>
      </c>
      <c r="BI1879" s="25">
        <f>VLOOKUP(Inventory[[#This Row],[Cnd]],Lookups!$T$7:$W$16,4,FALSE)</f>
        <v>0.99729999999999996</v>
      </c>
      <c r="BJ1879" s="25">
        <f>VLOOKUP(Inventory[[#This Row],[LivArea Range]],Lookups!$T$25:$W$37,4,FALSE)</f>
        <v>1.0157</v>
      </c>
      <c r="BK1879" s="25">
        <f>VLOOKUP(Inventory[[#This Row],[Decade]],Lookups!$O$25:$R$42,4,FALSE)</f>
        <v>1.0074000000000001</v>
      </c>
      <c r="BL1879" s="25">
        <f>Inventory[[#This Row],[Nbhd Adj]]*0.95</f>
        <v>0.94971499999999998</v>
      </c>
      <c r="BM1879" s="25">
        <f>Inventory[[#This Row],[Nbhd Adj]]*Inventory[[#This Row],[Quality Adj]]*Inventory[[#This Row],[Condition Adj]]*Inventory[[#This Row],[Living Area Adj]]*Inventory[[#This Row],[Decade Adj]]*0.95</f>
        <v>0.95024176240293945</v>
      </c>
      <c r="BN1879" s="25">
        <f>ROUND(SUM(Inventory[[#This Row],[Mdl Qlty]:[Mdl WdDeck]])+Inventory[[#This Row],[Mdl Res Intercept]]*Inventory[[#This Row],[Res Adj ]],-2)</f>
        <v>304200</v>
      </c>
      <c r="BO1879" s="25">
        <f>ROUND(Inventory[[#This Row],[25Det]]*Inventory[[#This Row],[Det/Nbhd Adj]],-2)</f>
        <v>5900</v>
      </c>
      <c r="BP1879" s="25">
        <f>Inventory[[#This Row],[Adjusted Res]]+Inventory[[#This Row],[Adj Det ]]</f>
        <v>310100</v>
      </c>
      <c r="BQ1879" s="25">
        <f>ROUND((Inventory[[#This Row],[Mdl Land Intercept]]+Inventory[[#This Row],[Mdl LnAcres]])*Inventory[[#This Row],[Det/Nbhd Adj]],-2)</f>
        <v>30200</v>
      </c>
      <c r="BR1879" s="25">
        <f>Inventory[[#This Row],[Adjusted Impr Total]]+Inventory[[#This Row],[Adjusted Land Total]]</f>
        <v>340300</v>
      </c>
      <c r="BS1879" s="36">
        <f>IFERROR((Inventory[[#This Row],[Adjusted Impr Total]]-Inventory[[#This Row],[24Bldg]])/Inventory[[#This Row],[24Bldg]],0)</f>
        <v>0.18903374233128833</v>
      </c>
      <c r="BT1879" s="36">
        <f>(Inventory[[#This Row],[Adjusted Land Total]]-Inventory[[#This Row],[24Lnd]])/Inventory[[#This Row],[24Lnd]]</f>
        <v>-0.40316205533596838</v>
      </c>
      <c r="BU1879" s="36">
        <f>(Inventory[[#This Row],[Adjusted Total]]-Inventory[[#This Row],[24Final]])/Inventory[[#This Row],[24Final]]</f>
        <v>9.2806679511881818E-2</v>
      </c>
    </row>
    <row r="1880" spans="1:73" x14ac:dyDescent="0.3">
      <c r="A1880" s="25">
        <v>2025</v>
      </c>
      <c r="B1880" s="26" t="s">
        <v>961</v>
      </c>
      <c r="C1880" s="26">
        <f>LN(Inventory[[#This Row],[Acres]])</f>
        <v>-1.2039728043259361</v>
      </c>
      <c r="D1880" s="25">
        <v>0.3</v>
      </c>
      <c r="E1880" s="32">
        <v>12990</v>
      </c>
      <c r="F1880" s="26" t="s">
        <v>537</v>
      </c>
      <c r="G1880" s="26" t="s">
        <v>126</v>
      </c>
      <c r="H1880" s="26" t="s">
        <v>349</v>
      </c>
      <c r="I1880" s="26" t="s">
        <v>538</v>
      </c>
      <c r="J1880" s="26" t="s">
        <v>539</v>
      </c>
      <c r="K1880" s="26" t="s">
        <v>173</v>
      </c>
      <c r="L1880" s="26" t="s">
        <v>148</v>
      </c>
      <c r="M1880" s="26" t="s">
        <v>303</v>
      </c>
      <c r="N1880" s="26">
        <v>100</v>
      </c>
      <c r="O1880" s="26">
        <f>2024-Inventory[[#This Row],[YrBlt]]</f>
        <v>96</v>
      </c>
      <c r="P1880" s="26">
        <f>2024-Inventory[[#This Row],[EffYr]]</f>
        <v>55</v>
      </c>
      <c r="Q1880" s="25">
        <v>1928</v>
      </c>
      <c r="R1880" s="25">
        <v>1969</v>
      </c>
      <c r="S1880" s="25">
        <v>1581</v>
      </c>
      <c r="T1880" s="32">
        <v>843</v>
      </c>
      <c r="U1880" s="25">
        <v>182</v>
      </c>
      <c r="V1880" s="25">
        <f>Inventory[[#This Row],[Bsmt]]-Inventory[[#This Row],[FnBsmt]]</f>
        <v>182</v>
      </c>
      <c r="W1880" s="31"/>
      <c r="X1880" s="27"/>
      <c r="Y1880" s="27">
        <f>Inventory[[#This Row],[MainFn]]+Inventory[[#This Row],[UpprFn]]+Inventory[[#This Row],[FnBsmt]]+Inventory[[#This Row],[AddFn]]</f>
        <v>2424</v>
      </c>
      <c r="Z1880" s="27">
        <v>2500</v>
      </c>
      <c r="AA1880" s="25">
        <v>8</v>
      </c>
      <c r="AB1880" s="25">
        <v>432</v>
      </c>
      <c r="AC1880" s="27"/>
      <c r="AD1880" s="32">
        <v>408</v>
      </c>
      <c r="AE1880" s="27"/>
      <c r="AF1880" s="27"/>
      <c r="AG1880" s="27"/>
      <c r="AH1880" s="27"/>
      <c r="AI1880" s="25">
        <v>518003</v>
      </c>
      <c r="AJ1880" s="25">
        <v>347062</v>
      </c>
      <c r="AK1880" s="25">
        <v>31287</v>
      </c>
      <c r="AL1880" s="25">
        <v>434200</v>
      </c>
      <c r="AM1880" s="25">
        <v>72500</v>
      </c>
      <c r="AN1880" s="25">
        <v>361700</v>
      </c>
      <c r="AO1880" s="25">
        <v>0</v>
      </c>
      <c r="AP1880" s="25">
        <f>Lookups!$B$56*0</f>
        <v>0</v>
      </c>
      <c r="AQ1880" s="25">
        <f>Lookups!$B$56*1</f>
        <v>89850.625589999996</v>
      </c>
      <c r="AR1880" s="25">
        <f>Lookups!$B$57*Inventory[[#This Row],[LnAcres]]</f>
        <v>-38111.29648355169</v>
      </c>
      <c r="AS1880" s="25">
        <f>VLOOKUP(Inventory[[#This Row],[Qlty]],Lookups!$A$62:$E$75,2,FALSE)</f>
        <v>44121.038090000002</v>
      </c>
      <c r="AT1880" s="25">
        <f>VLOOKUP(Inventory[[#This Row],[Cnd]],Lookups!$A$76:$E$84,2,FALSE)</f>
        <v>197752.34721000001</v>
      </c>
      <c r="AU1880" s="25">
        <f>Inventory[[#This Row],[EffAge]]*Lookups!$B$85</f>
        <v>-12267.5080275</v>
      </c>
      <c r="AV1880" s="25">
        <f>Inventory[[#This Row],[MainFn]]*Lookups!$B$86</f>
        <v>78115.107075537002</v>
      </c>
      <c r="AW1880" s="25">
        <f>Inventory[[#This Row],[UpprFn]]*Lookups!$B$87</f>
        <v>37754.954471822995</v>
      </c>
      <c r="AX1880" s="25">
        <f>Inventory[[#This Row],[AddFn]]*Lookups!$B$88</f>
        <v>0</v>
      </c>
      <c r="AY1880" s="25">
        <f>Inventory[[#This Row],[Bsmt]]*Lookups!$B$89</f>
        <v>5292.9049349540001</v>
      </c>
      <c r="AZ1880" s="25">
        <f>Inventory[[#This Row],[Fixtures]]*Lookups!$B$90</f>
        <v>30336.176841600001</v>
      </c>
      <c r="BA1880" s="25">
        <f>Inventory[[#This Row],[WdDeck]]*Lookups!$B$91</f>
        <v>13584.570232608001</v>
      </c>
      <c r="BB1880" s="25">
        <f>ROUND(Inventory[[#This Row],[25Det]],-2)</f>
        <v>31300</v>
      </c>
      <c r="BC1880" s="25">
        <f>ROUND(SUM(Inventory[[#This Row],[Mdl Qlty]:[Mdl WdDeck]])+Inventory[[#This Row],[Mdl Res Intercept]],-2)</f>
        <v>394700</v>
      </c>
      <c r="BD1880" s="25">
        <f>ROUND(Inventory[[#This Row],[Mdl Land Intercept]]+Inventory[[#This Row],[Mdl LnAcres]],-2)</f>
        <v>51700</v>
      </c>
      <c r="BE1880" s="25">
        <f>Inventory[[#This Row],[Unadj Res Value]]+Inventory[[#This Row],[Unadj Det Value]]+Inventory[[#This Row],[Unadj Land Value]]</f>
        <v>477700</v>
      </c>
      <c r="BF1880" s="36">
        <f>(Inventory[[#This Row],[Unadj Total Value]]-Inventory[[#This Row],[24Final]])/Inventory[[#This Row],[24Final]]</f>
        <v>0.10018424689083372</v>
      </c>
      <c r="BG1880" s="25">
        <f>VLOOKUP(Inventory[[#This Row],[Nbhd]],Lookups!$Q$2:$T$4,4,FALSE)</f>
        <v>0.99970000000000003</v>
      </c>
      <c r="BH1880" s="25">
        <f>VLOOKUP(Inventory[[#This Row],[Qlty]],Lookups!$O$7:$R$21,4,FALSE)</f>
        <v>0.98050000000000004</v>
      </c>
      <c r="BI1880" s="25">
        <f>VLOOKUP(Inventory[[#This Row],[Cnd]],Lookups!$T$7:$W$16,4,FALSE)</f>
        <v>0.99650000000000005</v>
      </c>
      <c r="BJ1880" s="25">
        <f>VLOOKUP(Inventory[[#This Row],[LivArea Range]],Lookups!$T$25:$W$37,4,FALSE)</f>
        <v>0.98919999999999997</v>
      </c>
      <c r="BK1880" s="25">
        <f>VLOOKUP(Inventory[[#This Row],[Decade]],Lookups!$O$25:$R$42,4,FALSE)</f>
        <v>1.0074000000000001</v>
      </c>
      <c r="BL1880" s="25">
        <f>Inventory[[#This Row],[Nbhd Adj]]*0.95</f>
        <v>0.94971499999999998</v>
      </c>
      <c r="BM1880" s="25">
        <f>Inventory[[#This Row],[Nbhd Adj]]*Inventory[[#This Row],[Quality Adj]]*Inventory[[#This Row],[Condition Adj]]*Inventory[[#This Row],[Living Area Adj]]*Inventory[[#This Row],[Decade Adj]]*0.95</f>
        <v>0.9247072287054503</v>
      </c>
      <c r="BN1880" s="25">
        <f>ROUND(SUM(Inventory[[#This Row],[Mdl Qlty]:[Mdl WdDeck]])+Inventory[[#This Row],[Mdl Res Intercept]]*Inventory[[#This Row],[Res Adj ]],-2)</f>
        <v>394700</v>
      </c>
      <c r="BO1880" s="25">
        <f>ROUND(Inventory[[#This Row],[25Det]]*Inventory[[#This Row],[Det/Nbhd Adj]],-2)</f>
        <v>29700</v>
      </c>
      <c r="BP1880" s="25">
        <f>Inventory[[#This Row],[Adjusted Res]]+Inventory[[#This Row],[Adj Det ]]</f>
        <v>424400</v>
      </c>
      <c r="BQ1880" s="25">
        <f>ROUND((Inventory[[#This Row],[Mdl Land Intercept]]+Inventory[[#This Row],[Mdl LnAcres]])*Inventory[[#This Row],[Det/Nbhd Adj]],-2)</f>
        <v>49100</v>
      </c>
      <c r="BR1880" s="25">
        <f>Inventory[[#This Row],[Adjusted Impr Total]]+Inventory[[#This Row],[Adjusted Land Total]]</f>
        <v>473500</v>
      </c>
      <c r="BS1880" s="36">
        <f>IFERROR((Inventory[[#This Row],[Adjusted Impr Total]]-Inventory[[#This Row],[24Bldg]])/Inventory[[#This Row],[24Bldg]],0)</f>
        <v>0.17334807851810893</v>
      </c>
      <c r="BT1880" s="36">
        <f>(Inventory[[#This Row],[Adjusted Land Total]]-Inventory[[#This Row],[24Lnd]])/Inventory[[#This Row],[24Lnd]]</f>
        <v>-0.32275862068965516</v>
      </c>
      <c r="BU1880" s="36">
        <f>(Inventory[[#This Row],[Adjusted Total]]-Inventory[[#This Row],[24Final]])/Inventory[[#This Row],[24Final]]</f>
        <v>9.0511285122063564E-2</v>
      </c>
    </row>
    <row r="1881" spans="1:73" x14ac:dyDescent="0.3">
      <c r="A1881" s="25">
        <v>2025</v>
      </c>
      <c r="B1881" s="26" t="s">
        <v>2720</v>
      </c>
      <c r="C1881" s="26">
        <f>LN(Inventory[[#This Row],[Acres]])</f>
        <v>-2.0402208285265546</v>
      </c>
      <c r="D1881" s="25">
        <v>0.13</v>
      </c>
      <c r="E1881" s="27"/>
      <c r="F1881" s="26" t="s">
        <v>537</v>
      </c>
      <c r="G1881" s="26" t="s">
        <v>126</v>
      </c>
      <c r="H1881" s="26" t="s">
        <v>349</v>
      </c>
      <c r="I1881" s="26" t="s">
        <v>538</v>
      </c>
      <c r="J1881" s="26" t="s">
        <v>539</v>
      </c>
      <c r="K1881" s="26" t="s">
        <v>147</v>
      </c>
      <c r="L1881" s="26" t="s">
        <v>148</v>
      </c>
      <c r="M1881" s="26" t="s">
        <v>303</v>
      </c>
      <c r="N1881" s="26">
        <v>100</v>
      </c>
      <c r="O1881" s="26">
        <f>2024-Inventory[[#This Row],[YrBlt]]</f>
        <v>96</v>
      </c>
      <c r="P1881" s="26">
        <f>2024-Inventory[[#This Row],[EffYr]]</f>
        <v>55</v>
      </c>
      <c r="Q1881" s="25">
        <v>1928</v>
      </c>
      <c r="R1881" s="25">
        <v>1969</v>
      </c>
      <c r="S1881" s="25">
        <v>986</v>
      </c>
      <c r="T1881" s="32">
        <v>336</v>
      </c>
      <c r="U1881" s="32">
        <v>986</v>
      </c>
      <c r="V1881" s="32">
        <f>Inventory[[#This Row],[Bsmt]]-Inventory[[#This Row],[FnBsmt]]</f>
        <v>416</v>
      </c>
      <c r="W1881" s="32">
        <v>570</v>
      </c>
      <c r="X1881" s="27"/>
      <c r="Y1881" s="27">
        <f>Inventory[[#This Row],[MainFn]]+Inventory[[#This Row],[UpprFn]]+Inventory[[#This Row],[FnBsmt]]+Inventory[[#This Row],[AddFn]]</f>
        <v>1892</v>
      </c>
      <c r="Z1881" s="27">
        <v>2000</v>
      </c>
      <c r="AA1881" s="25">
        <v>9</v>
      </c>
      <c r="AB1881" s="31"/>
      <c r="AC1881" s="27"/>
      <c r="AD1881" s="27"/>
      <c r="AE1881" s="27"/>
      <c r="AF1881" s="27"/>
      <c r="AG1881" s="27"/>
      <c r="AH1881" s="27"/>
      <c r="AI1881" s="25">
        <v>356671</v>
      </c>
      <c r="AJ1881" s="25">
        <v>238970</v>
      </c>
      <c r="AK1881" s="25">
        <v>5571</v>
      </c>
      <c r="AL1881" s="25">
        <v>353800</v>
      </c>
      <c r="AM1881" s="25">
        <v>43400</v>
      </c>
      <c r="AN1881" s="25">
        <v>310400</v>
      </c>
      <c r="AO1881" s="25">
        <v>0</v>
      </c>
      <c r="AP1881" s="25">
        <f>Lookups!$B$56*0</f>
        <v>0</v>
      </c>
      <c r="AQ1881" s="25">
        <f>Lookups!$B$56*1</f>
        <v>89850.625589999996</v>
      </c>
      <c r="AR1881" s="25">
        <f>Lookups!$B$57*Inventory[[#This Row],[LnAcres]]</f>
        <v>-64582.406353792743</v>
      </c>
      <c r="AS1881" s="25">
        <f>VLOOKUP(Inventory[[#This Row],[Qlty]],Lookups!$A$62:$E$75,2,FALSE)</f>
        <v>44121.038090000002</v>
      </c>
      <c r="AT1881" s="25">
        <f>VLOOKUP(Inventory[[#This Row],[Cnd]],Lookups!$A$76:$E$84,2,FALSE)</f>
        <v>197752.34721000001</v>
      </c>
      <c r="AU1881" s="25">
        <f>Inventory[[#This Row],[EffAge]]*Lookups!$B$85</f>
        <v>-12267.5080275</v>
      </c>
      <c r="AV1881" s="25">
        <f>Inventory[[#This Row],[MainFn]]*Lookups!$B$86</f>
        <v>48716.948498721998</v>
      </c>
      <c r="AW1881" s="25">
        <f>Inventory[[#This Row],[UpprFn]]*Lookups!$B$87</f>
        <v>15048.238081296</v>
      </c>
      <c r="AX1881" s="25">
        <f>Inventory[[#This Row],[AddFn]]*Lookups!$B$88</f>
        <v>0</v>
      </c>
      <c r="AY1881" s="25">
        <f>Inventory[[#This Row],[Bsmt]]*Lookups!$B$89</f>
        <v>28674.748713541998</v>
      </c>
      <c r="AZ1881" s="25">
        <f>Inventory[[#This Row],[Fixtures]]*Lookups!$B$90</f>
        <v>34128.198946800003</v>
      </c>
      <c r="BA1881" s="25">
        <f>Inventory[[#This Row],[WdDeck]]*Lookups!$B$91</f>
        <v>0</v>
      </c>
      <c r="BB1881" s="25">
        <f>ROUND(Inventory[[#This Row],[25Det]],-2)</f>
        <v>5600</v>
      </c>
      <c r="BC1881" s="25">
        <f>ROUND(SUM(Inventory[[#This Row],[Mdl Qlty]:[Mdl WdDeck]])+Inventory[[#This Row],[Mdl Res Intercept]],-2)</f>
        <v>356200</v>
      </c>
      <c r="BD1881" s="25">
        <f>ROUND(Inventory[[#This Row],[Mdl Land Intercept]]+Inventory[[#This Row],[Mdl LnAcres]],-2)</f>
        <v>25300</v>
      </c>
      <c r="BE1881" s="25">
        <f>Inventory[[#This Row],[Unadj Res Value]]+Inventory[[#This Row],[Unadj Det Value]]+Inventory[[#This Row],[Unadj Land Value]]</f>
        <v>387100</v>
      </c>
      <c r="BF1881" s="36">
        <f>(Inventory[[#This Row],[Unadj Total Value]]-Inventory[[#This Row],[24Final]])/Inventory[[#This Row],[24Final]]</f>
        <v>9.4120972300734879E-2</v>
      </c>
      <c r="BG1881" s="25">
        <f>VLOOKUP(Inventory[[#This Row],[Nbhd]],Lookups!$Q$2:$T$4,4,FALSE)</f>
        <v>0.99970000000000003</v>
      </c>
      <c r="BH1881" s="25">
        <f>VLOOKUP(Inventory[[#This Row],[Qlty]],Lookups!$O$7:$R$21,4,FALSE)</f>
        <v>0.98050000000000004</v>
      </c>
      <c r="BI1881" s="25">
        <f>VLOOKUP(Inventory[[#This Row],[Cnd]],Lookups!$T$7:$W$16,4,FALSE)</f>
        <v>0.99650000000000005</v>
      </c>
      <c r="BJ1881" s="25">
        <f>VLOOKUP(Inventory[[#This Row],[LivArea Range]],Lookups!$T$25:$W$37,4,FALSE)</f>
        <v>1.0093000000000001</v>
      </c>
      <c r="BK1881" s="25">
        <f>VLOOKUP(Inventory[[#This Row],[Decade]],Lookups!$O$25:$R$42,4,FALSE)</f>
        <v>1.0074000000000001</v>
      </c>
      <c r="BL1881" s="25">
        <f>Inventory[[#This Row],[Nbhd Adj]]*0.95</f>
        <v>0.94971499999999998</v>
      </c>
      <c r="BM1881" s="25">
        <f>Inventory[[#This Row],[Nbhd Adj]]*Inventory[[#This Row],[Quality Adj]]*Inventory[[#This Row],[Condition Adj]]*Inventory[[#This Row],[Living Area Adj]]*Inventory[[#This Row],[Decade Adj]]*0.95</f>
        <v>0.94349677105985763</v>
      </c>
      <c r="BN1881" s="25">
        <f>ROUND(SUM(Inventory[[#This Row],[Mdl Qlty]:[Mdl WdDeck]])+Inventory[[#This Row],[Mdl Res Intercept]]*Inventory[[#This Row],[Res Adj ]],-2)</f>
        <v>356200</v>
      </c>
      <c r="BO1881" s="25">
        <f>ROUND(Inventory[[#This Row],[25Det]]*Inventory[[#This Row],[Det/Nbhd Adj]],-2)</f>
        <v>5300</v>
      </c>
      <c r="BP1881" s="25">
        <f>Inventory[[#This Row],[Adjusted Res]]+Inventory[[#This Row],[Adj Det ]]</f>
        <v>361500</v>
      </c>
      <c r="BQ1881" s="25">
        <f>ROUND((Inventory[[#This Row],[Mdl Land Intercept]]+Inventory[[#This Row],[Mdl LnAcres]])*Inventory[[#This Row],[Det/Nbhd Adj]],-2)</f>
        <v>24000</v>
      </c>
      <c r="BR1881" s="25">
        <f>Inventory[[#This Row],[Adjusted Impr Total]]+Inventory[[#This Row],[Adjusted Land Total]]</f>
        <v>385500</v>
      </c>
      <c r="BS1881" s="36">
        <f>IFERROR((Inventory[[#This Row],[Adjusted Impr Total]]-Inventory[[#This Row],[24Bldg]])/Inventory[[#This Row],[24Bldg]],0)</f>
        <v>0.16462628865979381</v>
      </c>
      <c r="BT1881" s="36">
        <f>(Inventory[[#This Row],[Adjusted Land Total]]-Inventory[[#This Row],[24Lnd]])/Inventory[[#This Row],[24Lnd]]</f>
        <v>-0.44700460829493088</v>
      </c>
      <c r="BU1881" s="36">
        <f>(Inventory[[#This Row],[Adjusted Total]]-Inventory[[#This Row],[24Final]])/Inventory[[#This Row],[24Final]]</f>
        <v>8.9598643301300171E-2</v>
      </c>
    </row>
    <row r="1882" spans="1:73" x14ac:dyDescent="0.3">
      <c r="A1882" s="25">
        <v>2025</v>
      </c>
      <c r="B1882" s="26" t="s">
        <v>2819</v>
      </c>
      <c r="C1882" s="26">
        <f>LN(Inventory[[#This Row],[Acres]])</f>
        <v>-1.8325814637483102</v>
      </c>
      <c r="D1882" s="25">
        <v>0.16</v>
      </c>
      <c r="E1882" s="27"/>
      <c r="F1882" s="26" t="s">
        <v>537</v>
      </c>
      <c r="G1882" s="26" t="s">
        <v>126</v>
      </c>
      <c r="H1882" s="26" t="s">
        <v>349</v>
      </c>
      <c r="I1882" s="26" t="s">
        <v>538</v>
      </c>
      <c r="J1882" s="26" t="s">
        <v>539</v>
      </c>
      <c r="K1882" s="26" t="s">
        <v>269</v>
      </c>
      <c r="L1882" s="26" t="s">
        <v>351</v>
      </c>
      <c r="M1882" s="26" t="s">
        <v>323</v>
      </c>
      <c r="N1882" s="26">
        <v>100</v>
      </c>
      <c r="O1882" s="26">
        <f>2024-Inventory[[#This Row],[YrBlt]]</f>
        <v>96</v>
      </c>
      <c r="P1882" s="26">
        <f>2024-Inventory[[#This Row],[EffYr]]</f>
        <v>55</v>
      </c>
      <c r="Q1882" s="25">
        <v>1928</v>
      </c>
      <c r="R1882" s="25">
        <v>1969</v>
      </c>
      <c r="S1882" s="25">
        <v>1176</v>
      </c>
      <c r="T1882" s="32">
        <v>390</v>
      </c>
      <c r="U1882" s="25">
        <v>1176</v>
      </c>
      <c r="V1882" s="25">
        <f>Inventory[[#This Row],[Bsmt]]-Inventory[[#This Row],[FnBsmt]]</f>
        <v>1176</v>
      </c>
      <c r="W1882" s="31"/>
      <c r="X1882" s="27"/>
      <c r="Y1882" s="27">
        <f>Inventory[[#This Row],[MainFn]]+Inventory[[#This Row],[UpprFn]]+Inventory[[#This Row],[FnBsmt]]+Inventory[[#This Row],[AddFn]]</f>
        <v>1566</v>
      </c>
      <c r="Z1882" s="27">
        <v>2000</v>
      </c>
      <c r="AA1882" s="25">
        <v>5</v>
      </c>
      <c r="AB1882" s="27"/>
      <c r="AC1882" s="27"/>
      <c r="AD1882" s="31"/>
      <c r="AE1882" s="27"/>
      <c r="AF1882" s="27"/>
      <c r="AG1882" s="27"/>
      <c r="AH1882" s="27"/>
      <c r="AI1882" s="25">
        <v>276592</v>
      </c>
      <c r="AJ1882" s="25">
        <v>179785</v>
      </c>
      <c r="AK1882" s="25">
        <v>5639</v>
      </c>
      <c r="AL1882" s="25">
        <v>308200</v>
      </c>
      <c r="AM1882" s="25">
        <v>50600</v>
      </c>
      <c r="AN1882" s="25">
        <v>257600</v>
      </c>
      <c r="AO1882" s="25">
        <v>0</v>
      </c>
      <c r="AP1882" s="25">
        <f>Lookups!$B$56*0</f>
        <v>0</v>
      </c>
      <c r="AQ1882" s="25">
        <f>Lookups!$B$56*1</f>
        <v>89850.625589999996</v>
      </c>
      <c r="AR1882" s="25">
        <f>Lookups!$B$57*Inventory[[#This Row],[LnAcres]]</f>
        <v>-58009.662049032086</v>
      </c>
      <c r="AS1882" s="25">
        <f>VLOOKUP(Inventory[[#This Row],[Qlty]],Lookups!$A$62:$E$75,2,FALSE)</f>
        <v>21557.329055999999</v>
      </c>
      <c r="AT1882" s="25">
        <f>VLOOKUP(Inventory[[#This Row],[Cnd]],Lookups!$A$76:$E$84,2,FALSE)</f>
        <v>160472.20319</v>
      </c>
      <c r="AU1882" s="25">
        <f>Inventory[[#This Row],[EffAge]]*Lookups!$B$85</f>
        <v>-12267.5080275</v>
      </c>
      <c r="AV1882" s="25">
        <f>Inventory[[#This Row],[MainFn]]*Lookups!$B$86</f>
        <v>58104.595775351998</v>
      </c>
      <c r="AW1882" s="25">
        <f>Inventory[[#This Row],[UpprFn]]*Lookups!$B$87</f>
        <v>17466.70491579</v>
      </c>
      <c r="AX1882" s="25">
        <f>Inventory[[#This Row],[AddFn]]*Lookups!$B$88</f>
        <v>0</v>
      </c>
      <c r="AY1882" s="25">
        <f>Inventory[[#This Row],[Bsmt]]*Lookups!$B$89</f>
        <v>34200.308810472001</v>
      </c>
      <c r="AZ1882" s="25">
        <f>Inventory[[#This Row],[Fixtures]]*Lookups!$B$90</f>
        <v>18960.110526</v>
      </c>
      <c r="BA1882" s="25">
        <f>Inventory[[#This Row],[WdDeck]]*Lookups!$B$91</f>
        <v>0</v>
      </c>
      <c r="BB1882" s="25">
        <f>ROUND(Inventory[[#This Row],[25Det]],-2)</f>
        <v>5600</v>
      </c>
      <c r="BC1882" s="25">
        <f>ROUND(SUM(Inventory[[#This Row],[Mdl Qlty]:[Mdl WdDeck]])+Inventory[[#This Row],[Mdl Res Intercept]],-2)</f>
        <v>298500</v>
      </c>
      <c r="BD1882" s="25">
        <f>ROUND(Inventory[[#This Row],[Mdl Land Intercept]]+Inventory[[#This Row],[Mdl LnAcres]],-2)</f>
        <v>31800</v>
      </c>
      <c r="BE1882" s="25">
        <f>Inventory[[#This Row],[Unadj Res Value]]+Inventory[[#This Row],[Unadj Det Value]]+Inventory[[#This Row],[Unadj Land Value]]</f>
        <v>335900</v>
      </c>
      <c r="BF1882" s="36">
        <f>(Inventory[[#This Row],[Unadj Total Value]]-Inventory[[#This Row],[24Final]])/Inventory[[#This Row],[24Final]]</f>
        <v>8.987670343932512E-2</v>
      </c>
      <c r="BG1882" s="25">
        <f>VLOOKUP(Inventory[[#This Row],[Nbhd]],Lookups!$Q$2:$T$4,4,FALSE)</f>
        <v>0.99970000000000003</v>
      </c>
      <c r="BH1882" s="25">
        <f>VLOOKUP(Inventory[[#This Row],[Qlty]],Lookups!$O$7:$R$21,4,FALSE)</f>
        <v>1.0067999999999999</v>
      </c>
      <c r="BI1882" s="25">
        <f>VLOOKUP(Inventory[[#This Row],[Cnd]],Lookups!$T$7:$W$16,4,FALSE)</f>
        <v>0.99729999999999996</v>
      </c>
      <c r="BJ1882" s="25">
        <f>VLOOKUP(Inventory[[#This Row],[LivArea Range]],Lookups!$T$25:$W$37,4,FALSE)</f>
        <v>1.0093000000000001</v>
      </c>
      <c r="BK1882" s="25">
        <f>VLOOKUP(Inventory[[#This Row],[Decade]],Lookups!$O$25:$R$42,4,FALSE)</f>
        <v>1.0074000000000001</v>
      </c>
      <c r="BL1882" s="25">
        <f>Inventory[[#This Row],[Nbhd Adj]]*0.95</f>
        <v>0.94971499999999998</v>
      </c>
      <c r="BM1882" s="25">
        <f>Inventory[[#This Row],[Nbhd Adj]]*Inventory[[#This Row],[Quality Adj]]*Inventory[[#This Row],[Condition Adj]]*Inventory[[#This Row],[Living Area Adj]]*Inventory[[#This Row],[Decade Adj]]*0.95</f>
        <v>0.96958199718441984</v>
      </c>
      <c r="BN1882" s="25">
        <f>ROUND(SUM(Inventory[[#This Row],[Mdl Qlty]:[Mdl WdDeck]])+Inventory[[#This Row],[Mdl Res Intercept]]*Inventory[[#This Row],[Res Adj ]],-2)</f>
        <v>298500</v>
      </c>
      <c r="BO1882" s="25">
        <f>ROUND(Inventory[[#This Row],[25Det]]*Inventory[[#This Row],[Det/Nbhd Adj]],-2)</f>
        <v>5400</v>
      </c>
      <c r="BP1882" s="25">
        <f>Inventory[[#This Row],[Adjusted Res]]+Inventory[[#This Row],[Adj Det ]]</f>
        <v>303900</v>
      </c>
      <c r="BQ1882" s="25">
        <f>ROUND((Inventory[[#This Row],[Mdl Land Intercept]]+Inventory[[#This Row],[Mdl LnAcres]])*Inventory[[#This Row],[Det/Nbhd Adj]],-2)</f>
        <v>30200</v>
      </c>
      <c r="BR1882" s="25">
        <f>Inventory[[#This Row],[Adjusted Impr Total]]+Inventory[[#This Row],[Adjusted Land Total]]</f>
        <v>334100</v>
      </c>
      <c r="BS1882" s="36">
        <f>IFERROR((Inventory[[#This Row],[Adjusted Impr Total]]-Inventory[[#This Row],[24Bldg]])/Inventory[[#This Row],[24Bldg]],0)</f>
        <v>0.17973602484472051</v>
      </c>
      <c r="BT1882" s="36">
        <f>(Inventory[[#This Row],[Adjusted Land Total]]-Inventory[[#This Row],[24Lnd]])/Inventory[[#This Row],[24Lnd]]</f>
        <v>-0.40316205533596838</v>
      </c>
      <c r="BU1882" s="36">
        <f>(Inventory[[#This Row],[Adjusted Total]]-Inventory[[#This Row],[24Final]])/Inventory[[#This Row],[24Final]]</f>
        <v>8.4036340038935758E-2</v>
      </c>
    </row>
    <row r="1883" spans="1:73" x14ac:dyDescent="0.3">
      <c r="A1883" s="25">
        <v>2025</v>
      </c>
      <c r="B1883" s="26" t="s">
        <v>1539</v>
      </c>
      <c r="C1883" s="26">
        <f>LN(Inventory[[#This Row],[Acres]])</f>
        <v>-0.96758402626170559</v>
      </c>
      <c r="D1883" s="25">
        <v>0.38</v>
      </c>
      <c r="E1883" s="32">
        <v>16382</v>
      </c>
      <c r="F1883" s="26" t="s">
        <v>537</v>
      </c>
      <c r="G1883" s="26" t="s">
        <v>126</v>
      </c>
      <c r="H1883" s="26" t="s">
        <v>349</v>
      </c>
      <c r="I1883" s="26" t="s">
        <v>538</v>
      </c>
      <c r="J1883" s="26" t="s">
        <v>539</v>
      </c>
      <c r="K1883" s="26" t="s">
        <v>269</v>
      </c>
      <c r="L1883" s="26" t="s">
        <v>351</v>
      </c>
      <c r="M1883" s="26" t="s">
        <v>323</v>
      </c>
      <c r="N1883" s="26">
        <v>100</v>
      </c>
      <c r="O1883" s="26">
        <f>2024-Inventory[[#This Row],[YrBlt]]</f>
        <v>96</v>
      </c>
      <c r="P1883" s="26">
        <f>2024-Inventory[[#This Row],[EffYr]]</f>
        <v>55</v>
      </c>
      <c r="Q1883" s="25">
        <v>1928</v>
      </c>
      <c r="R1883" s="25">
        <v>1969</v>
      </c>
      <c r="S1883" s="25">
        <v>1088</v>
      </c>
      <c r="T1883" s="32">
        <v>897</v>
      </c>
      <c r="U1883" s="32">
        <v>520</v>
      </c>
      <c r="V1883" s="32">
        <f>Inventory[[#This Row],[Bsmt]]-Inventory[[#This Row],[FnBsmt]]</f>
        <v>520</v>
      </c>
      <c r="W1883" s="27"/>
      <c r="X1883" s="27"/>
      <c r="Y1883" s="27">
        <f>Inventory[[#This Row],[MainFn]]+Inventory[[#This Row],[UpprFn]]+Inventory[[#This Row],[FnBsmt]]+Inventory[[#This Row],[AddFn]]</f>
        <v>1985</v>
      </c>
      <c r="Z1883" s="27">
        <v>2000</v>
      </c>
      <c r="AA1883" s="25">
        <v>8</v>
      </c>
      <c r="AB1883" s="27"/>
      <c r="AC1883" s="27"/>
      <c r="AD1883" s="32">
        <v>425</v>
      </c>
      <c r="AE1883" s="27"/>
      <c r="AF1883" s="27"/>
      <c r="AG1883" s="27"/>
      <c r="AH1883" s="27"/>
      <c r="AI1883" s="25">
        <v>328322</v>
      </c>
      <c r="AJ1883" s="25">
        <v>213409</v>
      </c>
      <c r="AK1883" s="25">
        <v>9486</v>
      </c>
      <c r="AL1883" s="25">
        <v>358900</v>
      </c>
      <c r="AM1883" s="25">
        <v>80800</v>
      </c>
      <c r="AN1883" s="25">
        <v>278100</v>
      </c>
      <c r="AO1883" s="25">
        <v>0</v>
      </c>
      <c r="AP1883" s="25">
        <f>Lookups!$B$56*0</f>
        <v>0</v>
      </c>
      <c r="AQ1883" s="25">
        <f>Lookups!$B$56*1</f>
        <v>89850.625589999996</v>
      </c>
      <c r="AR1883" s="25">
        <f>Lookups!$B$57*Inventory[[#This Row],[LnAcres]]</f>
        <v>-30628.500548443946</v>
      </c>
      <c r="AS1883" s="25">
        <f>VLOOKUP(Inventory[[#This Row],[Qlty]],Lookups!$A$62:$E$75,2,FALSE)</f>
        <v>21557.329055999999</v>
      </c>
      <c r="AT1883" s="25">
        <f>VLOOKUP(Inventory[[#This Row],[Cnd]],Lookups!$A$76:$E$84,2,FALSE)</f>
        <v>160472.20319</v>
      </c>
      <c r="AU1883" s="25">
        <f>Inventory[[#This Row],[EffAge]]*Lookups!$B$85</f>
        <v>-12267.5080275</v>
      </c>
      <c r="AV1883" s="25">
        <f>Inventory[[#This Row],[MainFn]]*Lookups!$B$86</f>
        <v>53756.632826175999</v>
      </c>
      <c r="AW1883" s="25">
        <f>Inventory[[#This Row],[UpprFn]]*Lookups!$B$87</f>
        <v>40173.421306316995</v>
      </c>
      <c r="AX1883" s="25">
        <f>Inventory[[#This Row],[AddFn]]*Lookups!$B$88</f>
        <v>0</v>
      </c>
      <c r="AY1883" s="25">
        <f>Inventory[[#This Row],[Bsmt]]*Lookups!$B$89</f>
        <v>15122.585528439999</v>
      </c>
      <c r="AZ1883" s="25">
        <f>Inventory[[#This Row],[Fixtures]]*Lookups!$B$90</f>
        <v>30336.176841600001</v>
      </c>
      <c r="BA1883" s="25">
        <f>Inventory[[#This Row],[WdDeck]]*Lookups!$B$91</f>
        <v>14150.593992300001</v>
      </c>
      <c r="BB1883" s="25">
        <f>ROUND(Inventory[[#This Row],[25Det]],-2)</f>
        <v>9500</v>
      </c>
      <c r="BC1883" s="25">
        <f>ROUND(SUM(Inventory[[#This Row],[Mdl Qlty]:[Mdl WdDeck]])+Inventory[[#This Row],[Mdl Res Intercept]],-2)</f>
        <v>323300</v>
      </c>
      <c r="BD1883" s="25">
        <f>ROUND(Inventory[[#This Row],[Mdl Land Intercept]]+Inventory[[#This Row],[Mdl LnAcres]],-2)</f>
        <v>59200</v>
      </c>
      <c r="BE1883" s="25">
        <f>Inventory[[#This Row],[Unadj Res Value]]+Inventory[[#This Row],[Unadj Det Value]]+Inventory[[#This Row],[Unadj Land Value]]</f>
        <v>392000</v>
      </c>
      <c r="BF1883" s="36">
        <f>(Inventory[[#This Row],[Unadj Total Value]]-Inventory[[#This Row],[24Final]])/Inventory[[#This Row],[24Final]]</f>
        <v>9.2226246865422121E-2</v>
      </c>
      <c r="BG1883" s="25">
        <f>VLOOKUP(Inventory[[#This Row],[Nbhd]],Lookups!$Q$2:$T$4,4,FALSE)</f>
        <v>0.99970000000000003</v>
      </c>
      <c r="BH1883" s="25">
        <f>VLOOKUP(Inventory[[#This Row],[Qlty]],Lookups!$O$7:$R$21,4,FALSE)</f>
        <v>1.0067999999999999</v>
      </c>
      <c r="BI1883" s="25">
        <f>VLOOKUP(Inventory[[#This Row],[Cnd]],Lookups!$T$7:$W$16,4,FALSE)</f>
        <v>0.99729999999999996</v>
      </c>
      <c r="BJ1883" s="25">
        <f>VLOOKUP(Inventory[[#This Row],[LivArea Range]],Lookups!$T$25:$W$37,4,FALSE)</f>
        <v>1.0093000000000001</v>
      </c>
      <c r="BK1883" s="25">
        <f>VLOOKUP(Inventory[[#This Row],[Decade]],Lookups!$O$25:$R$42,4,FALSE)</f>
        <v>1.0074000000000001</v>
      </c>
      <c r="BL1883" s="25">
        <f>Inventory[[#This Row],[Nbhd Adj]]*0.95</f>
        <v>0.94971499999999998</v>
      </c>
      <c r="BM1883" s="25">
        <f>Inventory[[#This Row],[Nbhd Adj]]*Inventory[[#This Row],[Quality Adj]]*Inventory[[#This Row],[Condition Adj]]*Inventory[[#This Row],[Living Area Adj]]*Inventory[[#This Row],[Decade Adj]]*0.95</f>
        <v>0.96958199718441984</v>
      </c>
      <c r="BN1883" s="25">
        <f>ROUND(SUM(Inventory[[#This Row],[Mdl Qlty]:[Mdl WdDeck]])+Inventory[[#This Row],[Mdl Res Intercept]]*Inventory[[#This Row],[Res Adj ]],-2)</f>
        <v>323300</v>
      </c>
      <c r="BO1883" s="25">
        <f>ROUND(Inventory[[#This Row],[25Det]]*Inventory[[#This Row],[Det/Nbhd Adj]],-2)</f>
        <v>9000</v>
      </c>
      <c r="BP1883" s="25">
        <f>Inventory[[#This Row],[Adjusted Res]]+Inventory[[#This Row],[Adj Det ]]</f>
        <v>332300</v>
      </c>
      <c r="BQ1883" s="25">
        <f>ROUND((Inventory[[#This Row],[Mdl Land Intercept]]+Inventory[[#This Row],[Mdl LnAcres]])*Inventory[[#This Row],[Det/Nbhd Adj]],-2)</f>
        <v>56200</v>
      </c>
      <c r="BR1883" s="25">
        <f>Inventory[[#This Row],[Adjusted Impr Total]]+Inventory[[#This Row],[Adjusted Land Total]]</f>
        <v>388500</v>
      </c>
      <c r="BS1883" s="36">
        <f>IFERROR((Inventory[[#This Row],[Adjusted Impr Total]]-Inventory[[#This Row],[24Bldg]])/Inventory[[#This Row],[24Bldg]],0)</f>
        <v>0.19489392304926287</v>
      </c>
      <c r="BT1883" s="36">
        <f>(Inventory[[#This Row],[Adjusted Land Total]]-Inventory[[#This Row],[24Lnd]])/Inventory[[#This Row],[24Lnd]]</f>
        <v>-0.30445544554455445</v>
      </c>
      <c r="BU1883" s="36">
        <f>(Inventory[[#This Row],[Adjusted Total]]-Inventory[[#This Row],[24Final]])/Inventory[[#This Row],[24Final]]</f>
        <v>8.247422680412371E-2</v>
      </c>
    </row>
    <row r="1884" spans="1:73" x14ac:dyDescent="0.3">
      <c r="A1884" s="25">
        <v>2025</v>
      </c>
      <c r="B1884" s="26" t="s">
        <v>1590</v>
      </c>
      <c r="C1884" s="26">
        <f>LN(Inventory[[#This Row],[Acres]])</f>
        <v>-1.8971199848858813</v>
      </c>
      <c r="D1884" s="25">
        <v>0.15</v>
      </c>
      <c r="E1884" s="27"/>
      <c r="F1884" s="26" t="s">
        <v>537</v>
      </c>
      <c r="G1884" s="26" t="s">
        <v>126</v>
      </c>
      <c r="H1884" s="26" t="s">
        <v>349</v>
      </c>
      <c r="I1884" s="26" t="s">
        <v>538</v>
      </c>
      <c r="J1884" s="26" t="s">
        <v>539</v>
      </c>
      <c r="K1884" s="26" t="s">
        <v>269</v>
      </c>
      <c r="L1884" s="26" t="s">
        <v>302</v>
      </c>
      <c r="M1884" s="26" t="s">
        <v>303</v>
      </c>
      <c r="N1884" s="26">
        <v>100</v>
      </c>
      <c r="O1884" s="26">
        <f>2024-Inventory[[#This Row],[YrBlt]]</f>
        <v>96</v>
      </c>
      <c r="P1884" s="26">
        <f>2024-Inventory[[#This Row],[EffYr]]</f>
        <v>55</v>
      </c>
      <c r="Q1884" s="25">
        <v>1928</v>
      </c>
      <c r="R1884" s="25">
        <v>1969</v>
      </c>
      <c r="S1884" s="25">
        <v>1162</v>
      </c>
      <c r="T1884" s="27"/>
      <c r="U1884" s="32">
        <v>450</v>
      </c>
      <c r="V1884" s="32">
        <f>Inventory[[#This Row],[Bsmt]]-Inventory[[#This Row],[FnBsmt]]</f>
        <v>0</v>
      </c>
      <c r="W1884" s="32">
        <v>450</v>
      </c>
      <c r="X1884" s="27"/>
      <c r="Y1884" s="27">
        <f>Inventory[[#This Row],[MainFn]]+Inventory[[#This Row],[UpprFn]]+Inventory[[#This Row],[FnBsmt]]+Inventory[[#This Row],[AddFn]]</f>
        <v>1612</v>
      </c>
      <c r="Z1884" s="27">
        <v>2000</v>
      </c>
      <c r="AA1884" s="25">
        <v>5</v>
      </c>
      <c r="AB1884" s="27"/>
      <c r="AC1884" s="27"/>
      <c r="AD1884" s="27"/>
      <c r="AE1884" s="27"/>
      <c r="AF1884" s="27"/>
      <c r="AG1884" s="27"/>
      <c r="AH1884" s="27"/>
      <c r="AI1884" s="25">
        <v>266893</v>
      </c>
      <c r="AJ1884" s="25">
        <v>178818</v>
      </c>
      <c r="AK1884" s="25">
        <v>4419</v>
      </c>
      <c r="AL1884" s="25">
        <v>312400</v>
      </c>
      <c r="AM1884" s="25">
        <v>48400</v>
      </c>
      <c r="AN1884" s="25">
        <v>264000</v>
      </c>
      <c r="AO1884" s="25">
        <v>0</v>
      </c>
      <c r="AP1884" s="25">
        <f>Lookups!$B$56*0</f>
        <v>0</v>
      </c>
      <c r="AQ1884" s="25">
        <f>Lookups!$B$56*1</f>
        <v>89850.625589999996</v>
      </c>
      <c r="AR1884" s="25">
        <f>Lookups!$B$57*Inventory[[#This Row],[LnAcres]]</f>
        <v>-60052.604136134301</v>
      </c>
      <c r="AS1884" s="25">
        <f>VLOOKUP(Inventory[[#This Row],[Qlty]],Lookups!$A$62:$E$75,2,FALSE)</f>
        <v>29814.093161000001</v>
      </c>
      <c r="AT1884" s="25">
        <f>VLOOKUP(Inventory[[#This Row],[Cnd]],Lookups!$A$76:$E$84,2,FALSE)</f>
        <v>197752.34721000001</v>
      </c>
      <c r="AU1884" s="25">
        <f>Inventory[[#This Row],[EffAge]]*Lookups!$B$85</f>
        <v>-12267.5080275</v>
      </c>
      <c r="AV1884" s="25">
        <f>Inventory[[#This Row],[MainFn]]*Lookups!$B$86</f>
        <v>57412.874397074003</v>
      </c>
      <c r="AW1884" s="25">
        <f>Inventory[[#This Row],[UpprFn]]*Lookups!$B$87</f>
        <v>0</v>
      </c>
      <c r="AX1884" s="25">
        <f>Inventory[[#This Row],[AddFn]]*Lookups!$B$88</f>
        <v>0</v>
      </c>
      <c r="AY1884" s="25">
        <f>Inventory[[#This Row],[Bsmt]]*Lookups!$B$89</f>
        <v>13086.852861149999</v>
      </c>
      <c r="AZ1884" s="25">
        <f>Inventory[[#This Row],[Fixtures]]*Lookups!$B$90</f>
        <v>18960.110526</v>
      </c>
      <c r="BA1884" s="25">
        <f>Inventory[[#This Row],[WdDeck]]*Lookups!$B$91</f>
        <v>0</v>
      </c>
      <c r="BB1884" s="25">
        <f>ROUND(Inventory[[#This Row],[25Det]],-2)</f>
        <v>4400</v>
      </c>
      <c r="BC1884" s="25">
        <f>ROUND(SUM(Inventory[[#This Row],[Mdl Qlty]:[Mdl WdDeck]])+Inventory[[#This Row],[Mdl Res Intercept]],-2)</f>
        <v>304800</v>
      </c>
      <c r="BD1884" s="25">
        <f>ROUND(Inventory[[#This Row],[Mdl Land Intercept]]+Inventory[[#This Row],[Mdl LnAcres]],-2)</f>
        <v>29800</v>
      </c>
      <c r="BE1884" s="25">
        <f>Inventory[[#This Row],[Unadj Res Value]]+Inventory[[#This Row],[Unadj Det Value]]+Inventory[[#This Row],[Unadj Land Value]]</f>
        <v>339000</v>
      </c>
      <c r="BF1884" s="36">
        <f>(Inventory[[#This Row],[Unadj Total Value]]-Inventory[[#This Row],[24Final]])/Inventory[[#This Row],[24Final]]</f>
        <v>8.5147247119078104E-2</v>
      </c>
      <c r="BG1884" s="25">
        <f>VLOOKUP(Inventory[[#This Row],[Nbhd]],Lookups!$Q$2:$T$4,4,FALSE)</f>
        <v>0.99970000000000003</v>
      </c>
      <c r="BH1884" s="25">
        <f>VLOOKUP(Inventory[[#This Row],[Qlty]],Lookups!$O$7:$R$21,4,FALSE)</f>
        <v>1.0088999999999999</v>
      </c>
      <c r="BI1884" s="25">
        <f>VLOOKUP(Inventory[[#This Row],[Cnd]],Lookups!$T$7:$W$16,4,FALSE)</f>
        <v>0.99650000000000005</v>
      </c>
      <c r="BJ1884" s="25">
        <f>VLOOKUP(Inventory[[#This Row],[LivArea Range]],Lookups!$T$25:$W$37,4,FALSE)</f>
        <v>1.0093000000000001</v>
      </c>
      <c r="BK1884" s="25">
        <f>VLOOKUP(Inventory[[#This Row],[Decade]],Lookups!$O$25:$R$42,4,FALSE)</f>
        <v>1.0074000000000001</v>
      </c>
      <c r="BL1884" s="25">
        <f>Inventory[[#This Row],[Nbhd Adj]]*0.95</f>
        <v>0.94971499999999998</v>
      </c>
      <c r="BM1884" s="25">
        <f>Inventory[[#This Row],[Nbhd Adj]]*Inventory[[#This Row],[Quality Adj]]*Inventory[[#This Row],[Condition Adj]]*Inventory[[#This Row],[Living Area Adj]]*Inventory[[#This Row],[Decade Adj]]*0.95</f>
        <v>0.97082497942099955</v>
      </c>
      <c r="BN1884" s="25">
        <f>ROUND(SUM(Inventory[[#This Row],[Mdl Qlty]:[Mdl WdDeck]])+Inventory[[#This Row],[Mdl Res Intercept]]*Inventory[[#This Row],[Res Adj ]],-2)</f>
        <v>304800</v>
      </c>
      <c r="BO1884" s="25">
        <f>ROUND(Inventory[[#This Row],[25Det]]*Inventory[[#This Row],[Det/Nbhd Adj]],-2)</f>
        <v>4200</v>
      </c>
      <c r="BP1884" s="25">
        <f>Inventory[[#This Row],[Adjusted Res]]+Inventory[[#This Row],[Adj Det ]]</f>
        <v>309000</v>
      </c>
      <c r="BQ1884" s="25">
        <f>ROUND((Inventory[[#This Row],[Mdl Land Intercept]]+Inventory[[#This Row],[Mdl LnAcres]])*Inventory[[#This Row],[Det/Nbhd Adj]],-2)</f>
        <v>28300</v>
      </c>
      <c r="BR1884" s="25">
        <f>Inventory[[#This Row],[Adjusted Impr Total]]+Inventory[[#This Row],[Adjusted Land Total]]</f>
        <v>337300</v>
      </c>
      <c r="BS1884" s="36">
        <f>IFERROR((Inventory[[#This Row],[Adjusted Impr Total]]-Inventory[[#This Row],[24Bldg]])/Inventory[[#This Row],[24Bldg]],0)</f>
        <v>0.17045454545454544</v>
      </c>
      <c r="BT1884" s="36">
        <f>(Inventory[[#This Row],[Adjusted Land Total]]-Inventory[[#This Row],[24Lnd]])/Inventory[[#This Row],[24Lnd]]</f>
        <v>-0.41528925619834711</v>
      </c>
      <c r="BU1884" s="36">
        <f>(Inventory[[#This Row],[Adjusted Total]]-Inventory[[#This Row],[24Final]])/Inventory[[#This Row],[24Final]]</f>
        <v>7.9705505761843792E-2</v>
      </c>
    </row>
    <row r="1885" spans="1:73" x14ac:dyDescent="0.3">
      <c r="A1885" s="25">
        <v>2025</v>
      </c>
      <c r="B1885" s="26" t="s">
        <v>2758</v>
      </c>
      <c r="C1885" s="26">
        <f>LN(Inventory[[#This Row],[Acres]])</f>
        <v>-1.2039728043259361</v>
      </c>
      <c r="D1885" s="25">
        <v>0.3</v>
      </c>
      <c r="E1885" s="31"/>
      <c r="F1885" s="26" t="s">
        <v>537</v>
      </c>
      <c r="G1885" s="26" t="s">
        <v>126</v>
      </c>
      <c r="H1885" s="26" t="s">
        <v>349</v>
      </c>
      <c r="I1885" s="26" t="s">
        <v>538</v>
      </c>
      <c r="J1885" s="26" t="s">
        <v>539</v>
      </c>
      <c r="K1885" s="26" t="s">
        <v>269</v>
      </c>
      <c r="L1885" s="26" t="s">
        <v>351</v>
      </c>
      <c r="M1885" s="26" t="s">
        <v>206</v>
      </c>
      <c r="N1885" s="26">
        <v>100</v>
      </c>
      <c r="O1885" s="26">
        <f>2024-Inventory[[#This Row],[YrBlt]]</f>
        <v>96</v>
      </c>
      <c r="P1885" s="26">
        <f>2024-Inventory[[#This Row],[EffYr]]</f>
        <v>55</v>
      </c>
      <c r="Q1885" s="25">
        <v>1928</v>
      </c>
      <c r="R1885" s="25">
        <v>1969</v>
      </c>
      <c r="S1885" s="25">
        <v>1134</v>
      </c>
      <c r="T1885" s="32">
        <v>286</v>
      </c>
      <c r="U1885" s="32">
        <v>950</v>
      </c>
      <c r="V1885" s="32">
        <f>Inventory[[#This Row],[Bsmt]]-Inventory[[#This Row],[FnBsmt]]</f>
        <v>950</v>
      </c>
      <c r="W1885" s="27"/>
      <c r="X1885" s="27"/>
      <c r="Y1885" s="27">
        <f>Inventory[[#This Row],[MainFn]]+Inventory[[#This Row],[UpprFn]]+Inventory[[#This Row],[FnBsmt]]+Inventory[[#This Row],[AddFn]]</f>
        <v>1420</v>
      </c>
      <c r="Z1885" s="27">
        <v>1500</v>
      </c>
      <c r="AA1885" s="25">
        <v>5</v>
      </c>
      <c r="AB1885" s="31"/>
      <c r="AC1885" s="27"/>
      <c r="AD1885" s="27"/>
      <c r="AE1885" s="27"/>
      <c r="AF1885" s="27"/>
      <c r="AG1885" s="27"/>
      <c r="AH1885" s="27"/>
      <c r="AI1885" s="25">
        <v>257912</v>
      </c>
      <c r="AJ1885" s="25">
        <v>162485</v>
      </c>
      <c r="AK1885" s="25">
        <v>13625</v>
      </c>
      <c r="AL1885" s="25">
        <v>296900</v>
      </c>
      <c r="AM1885" s="25">
        <v>72500</v>
      </c>
      <c r="AN1885" s="25">
        <v>224400</v>
      </c>
      <c r="AO1885" s="25">
        <v>0</v>
      </c>
      <c r="AP1885" s="25">
        <f>Lookups!$B$56*0</f>
        <v>0</v>
      </c>
      <c r="AQ1885" s="25">
        <f>Lookups!$B$56*1</f>
        <v>89850.625589999996</v>
      </c>
      <c r="AR1885" s="25">
        <f>Lookups!$B$57*Inventory[[#This Row],[LnAcres]]</f>
        <v>-38111.29648355169</v>
      </c>
      <c r="AS1885" s="25">
        <f>VLOOKUP(Inventory[[#This Row],[Qlty]],Lookups!$A$62:$E$75,2,FALSE)</f>
        <v>21557.329055999999</v>
      </c>
      <c r="AT1885" s="25">
        <f>VLOOKUP(Inventory[[#This Row],[Cnd]],Lookups!$A$76:$E$84,2,FALSE)</f>
        <v>133714.53821</v>
      </c>
      <c r="AU1885" s="25">
        <f>Inventory[[#This Row],[EffAge]]*Lookups!$B$85</f>
        <v>-12267.5080275</v>
      </c>
      <c r="AV1885" s="25">
        <f>Inventory[[#This Row],[MainFn]]*Lookups!$B$86</f>
        <v>56029.431640518</v>
      </c>
      <c r="AW1885" s="25">
        <f>Inventory[[#This Row],[UpprFn]]*Lookups!$B$87</f>
        <v>12808.916938246</v>
      </c>
      <c r="AX1885" s="25">
        <f>Inventory[[#This Row],[AddFn]]*Lookups!$B$88</f>
        <v>0</v>
      </c>
      <c r="AY1885" s="25">
        <f>Inventory[[#This Row],[Bsmt]]*Lookups!$B$89</f>
        <v>27627.800484649997</v>
      </c>
      <c r="AZ1885" s="25">
        <f>Inventory[[#This Row],[Fixtures]]*Lookups!$B$90</f>
        <v>18960.110526</v>
      </c>
      <c r="BA1885" s="25">
        <f>Inventory[[#This Row],[WdDeck]]*Lookups!$B$91</f>
        <v>0</v>
      </c>
      <c r="BB1885" s="25">
        <f>ROUND(Inventory[[#This Row],[25Det]],-2)</f>
        <v>13600</v>
      </c>
      <c r="BC1885" s="25">
        <f>ROUND(SUM(Inventory[[#This Row],[Mdl Qlty]:[Mdl WdDeck]])+Inventory[[#This Row],[Mdl Res Intercept]],-2)</f>
        <v>258400</v>
      </c>
      <c r="BD1885" s="25">
        <f>ROUND(Inventory[[#This Row],[Mdl Land Intercept]]+Inventory[[#This Row],[Mdl LnAcres]],-2)</f>
        <v>51700</v>
      </c>
      <c r="BE1885" s="25">
        <f>Inventory[[#This Row],[Unadj Res Value]]+Inventory[[#This Row],[Unadj Det Value]]+Inventory[[#This Row],[Unadj Land Value]]</f>
        <v>323700</v>
      </c>
      <c r="BF1885" s="36">
        <f>(Inventory[[#This Row],[Unadj Total Value]]-Inventory[[#This Row],[24Final]])/Inventory[[#This Row],[24Final]]</f>
        <v>9.0266082856180527E-2</v>
      </c>
      <c r="BG1885" s="25">
        <f>VLOOKUP(Inventory[[#This Row],[Nbhd]],Lookups!$Q$2:$T$4,4,FALSE)</f>
        <v>0.99970000000000003</v>
      </c>
      <c r="BH1885" s="25">
        <f>VLOOKUP(Inventory[[#This Row],[Qlty]],Lookups!$O$7:$R$21,4,FALSE)</f>
        <v>1.0067999999999999</v>
      </c>
      <c r="BI1885" s="25">
        <f>VLOOKUP(Inventory[[#This Row],[Cnd]],Lookups!$T$7:$W$16,4,FALSE)</f>
        <v>0.99329999999999996</v>
      </c>
      <c r="BJ1885" s="25">
        <f>VLOOKUP(Inventory[[#This Row],[LivArea Range]],Lookups!$T$25:$W$37,4,FALSE)</f>
        <v>1.0157</v>
      </c>
      <c r="BK1885" s="25">
        <f>VLOOKUP(Inventory[[#This Row],[Decade]],Lookups!$O$25:$R$42,4,FALSE)</f>
        <v>1.0074000000000001</v>
      </c>
      <c r="BL1885" s="25">
        <f>Inventory[[#This Row],[Nbhd Adj]]*0.95</f>
        <v>0.94971499999999998</v>
      </c>
      <c r="BM1885" s="25">
        <f>Inventory[[#This Row],[Nbhd Adj]]*Inventory[[#This Row],[Quality Adj]]*Inventory[[#This Row],[Condition Adj]]*Inventory[[#This Row],[Living Area Adj]]*Inventory[[#This Row],[Decade Adj]]*0.95</f>
        <v>0.971816657207489</v>
      </c>
      <c r="BN1885" s="25">
        <f>ROUND(SUM(Inventory[[#This Row],[Mdl Qlty]:[Mdl WdDeck]])+Inventory[[#This Row],[Mdl Res Intercept]]*Inventory[[#This Row],[Res Adj ]],-2)</f>
        <v>258400</v>
      </c>
      <c r="BO1885" s="25">
        <f>ROUND(Inventory[[#This Row],[25Det]]*Inventory[[#This Row],[Det/Nbhd Adj]],-2)</f>
        <v>12900</v>
      </c>
      <c r="BP1885" s="25">
        <f>Inventory[[#This Row],[Adjusted Res]]+Inventory[[#This Row],[Adj Det ]]</f>
        <v>271300</v>
      </c>
      <c r="BQ1885" s="25">
        <f>ROUND((Inventory[[#This Row],[Mdl Land Intercept]]+Inventory[[#This Row],[Mdl LnAcres]])*Inventory[[#This Row],[Det/Nbhd Adj]],-2)</f>
        <v>49100</v>
      </c>
      <c r="BR1885" s="25">
        <f>Inventory[[#This Row],[Adjusted Impr Total]]+Inventory[[#This Row],[Adjusted Land Total]]</f>
        <v>320400</v>
      </c>
      <c r="BS1885" s="36">
        <f>IFERROR((Inventory[[#This Row],[Adjusted Impr Total]]-Inventory[[#This Row],[24Bldg]])/Inventory[[#This Row],[24Bldg]],0)</f>
        <v>0.20900178253119431</v>
      </c>
      <c r="BT1885" s="36">
        <f>(Inventory[[#This Row],[Adjusted Land Total]]-Inventory[[#This Row],[24Lnd]])/Inventory[[#This Row],[24Lnd]]</f>
        <v>-0.32275862068965516</v>
      </c>
      <c r="BU1885" s="36">
        <f>(Inventory[[#This Row],[Adjusted Total]]-Inventory[[#This Row],[24Final]])/Inventory[[#This Row],[24Final]]</f>
        <v>7.9151229370158296E-2</v>
      </c>
    </row>
    <row r="1886" spans="1:73" x14ac:dyDescent="0.3">
      <c r="A1886" s="25">
        <v>2025</v>
      </c>
      <c r="B1886" s="26" t="s">
        <v>2344</v>
      </c>
      <c r="C1886" s="26">
        <f>LN(Inventory[[#This Row],[Acres]])</f>
        <v>-1.8325814637483102</v>
      </c>
      <c r="D1886" s="25">
        <v>0.16</v>
      </c>
      <c r="E1886" s="31"/>
      <c r="F1886" s="26" t="s">
        <v>537</v>
      </c>
      <c r="G1886" s="26" t="s">
        <v>126</v>
      </c>
      <c r="H1886" s="26" t="s">
        <v>349</v>
      </c>
      <c r="I1886" s="26" t="s">
        <v>538</v>
      </c>
      <c r="J1886" s="26" t="s">
        <v>539</v>
      </c>
      <c r="K1886" s="26" t="s">
        <v>269</v>
      </c>
      <c r="L1886" s="26" t="s">
        <v>302</v>
      </c>
      <c r="M1886" s="26" t="s">
        <v>303</v>
      </c>
      <c r="N1886" s="26">
        <v>100</v>
      </c>
      <c r="O1886" s="26">
        <f>2024-Inventory[[#This Row],[YrBlt]]</f>
        <v>96</v>
      </c>
      <c r="P1886" s="26">
        <f>2024-Inventory[[#This Row],[EffYr]]</f>
        <v>55</v>
      </c>
      <c r="Q1886" s="25">
        <v>1928</v>
      </c>
      <c r="R1886" s="25">
        <v>1969</v>
      </c>
      <c r="S1886" s="25">
        <v>994</v>
      </c>
      <c r="T1886" s="27"/>
      <c r="U1886" s="32">
        <v>660</v>
      </c>
      <c r="V1886" s="32">
        <f>Inventory[[#This Row],[Bsmt]]-Inventory[[#This Row],[FnBsmt]]</f>
        <v>0</v>
      </c>
      <c r="W1886" s="32">
        <v>660</v>
      </c>
      <c r="X1886" s="27"/>
      <c r="Y1886" s="27">
        <f>Inventory[[#This Row],[MainFn]]+Inventory[[#This Row],[UpprFn]]+Inventory[[#This Row],[FnBsmt]]+Inventory[[#This Row],[AddFn]]</f>
        <v>1654</v>
      </c>
      <c r="Z1886" s="27">
        <v>2000</v>
      </c>
      <c r="AA1886" s="25">
        <v>8</v>
      </c>
      <c r="AB1886" s="27"/>
      <c r="AC1886" s="27"/>
      <c r="AD1886" s="27"/>
      <c r="AE1886" s="27"/>
      <c r="AF1886" s="27"/>
      <c r="AG1886" s="27"/>
      <c r="AH1886" s="27"/>
      <c r="AI1886" s="25">
        <v>263017</v>
      </c>
      <c r="AJ1886" s="25">
        <v>176221</v>
      </c>
      <c r="AK1886" s="25">
        <v>6227</v>
      </c>
      <c r="AL1886" s="25">
        <v>324700</v>
      </c>
      <c r="AM1886" s="25">
        <v>50600</v>
      </c>
      <c r="AN1886" s="25">
        <v>274100</v>
      </c>
      <c r="AO1886" s="25">
        <v>0</v>
      </c>
      <c r="AP1886" s="25">
        <f>Lookups!$B$56*0</f>
        <v>0</v>
      </c>
      <c r="AQ1886" s="25">
        <f>Lookups!$B$56*1</f>
        <v>89850.625589999996</v>
      </c>
      <c r="AR1886" s="25">
        <f>Lookups!$B$57*Inventory[[#This Row],[LnAcres]]</f>
        <v>-58009.662049032086</v>
      </c>
      <c r="AS1886" s="25">
        <f>VLOOKUP(Inventory[[#This Row],[Qlty]],Lookups!$A$62:$E$75,2,FALSE)</f>
        <v>29814.093161000001</v>
      </c>
      <c r="AT1886" s="25">
        <f>VLOOKUP(Inventory[[#This Row],[Cnd]],Lookups!$A$76:$E$84,2,FALSE)</f>
        <v>197752.34721000001</v>
      </c>
      <c r="AU1886" s="25">
        <f>Inventory[[#This Row],[EffAge]]*Lookups!$B$85</f>
        <v>-12267.5080275</v>
      </c>
      <c r="AV1886" s="25">
        <f>Inventory[[#This Row],[MainFn]]*Lookups!$B$86</f>
        <v>49112.217857738004</v>
      </c>
      <c r="AW1886" s="25">
        <f>Inventory[[#This Row],[UpprFn]]*Lookups!$B$87</f>
        <v>0</v>
      </c>
      <c r="AX1886" s="25">
        <f>Inventory[[#This Row],[AddFn]]*Lookups!$B$88</f>
        <v>0</v>
      </c>
      <c r="AY1886" s="25">
        <f>Inventory[[#This Row],[Bsmt]]*Lookups!$B$89</f>
        <v>19194.050863019998</v>
      </c>
      <c r="AZ1886" s="25">
        <f>Inventory[[#This Row],[Fixtures]]*Lookups!$B$90</f>
        <v>30336.176841600001</v>
      </c>
      <c r="BA1886" s="25">
        <f>Inventory[[#This Row],[WdDeck]]*Lookups!$B$91</f>
        <v>0</v>
      </c>
      <c r="BB1886" s="25">
        <f>ROUND(Inventory[[#This Row],[25Det]],-2)</f>
        <v>6200</v>
      </c>
      <c r="BC1886" s="25">
        <f>ROUND(SUM(Inventory[[#This Row],[Mdl Qlty]:[Mdl WdDeck]])+Inventory[[#This Row],[Mdl Res Intercept]],-2)</f>
        <v>313900</v>
      </c>
      <c r="BD1886" s="25">
        <f>ROUND(Inventory[[#This Row],[Mdl Land Intercept]]+Inventory[[#This Row],[Mdl LnAcres]],-2)</f>
        <v>31800</v>
      </c>
      <c r="BE1886" s="25">
        <f>Inventory[[#This Row],[Unadj Res Value]]+Inventory[[#This Row],[Unadj Det Value]]+Inventory[[#This Row],[Unadj Land Value]]</f>
        <v>351900</v>
      </c>
      <c r="BF1886" s="36">
        <f>(Inventory[[#This Row],[Unadj Total Value]]-Inventory[[#This Row],[24Final]])/Inventory[[#This Row],[24Final]]</f>
        <v>8.3769633507853408E-2</v>
      </c>
      <c r="BG1886" s="25">
        <f>VLOOKUP(Inventory[[#This Row],[Nbhd]],Lookups!$Q$2:$T$4,4,FALSE)</f>
        <v>0.99970000000000003</v>
      </c>
      <c r="BH1886" s="25">
        <f>VLOOKUP(Inventory[[#This Row],[Qlty]],Lookups!$O$7:$R$21,4,FALSE)</f>
        <v>1.0088999999999999</v>
      </c>
      <c r="BI1886" s="25">
        <f>VLOOKUP(Inventory[[#This Row],[Cnd]],Lookups!$T$7:$W$16,4,FALSE)</f>
        <v>0.99650000000000005</v>
      </c>
      <c r="BJ1886" s="25">
        <f>VLOOKUP(Inventory[[#This Row],[LivArea Range]],Lookups!$T$25:$W$37,4,FALSE)</f>
        <v>1.0093000000000001</v>
      </c>
      <c r="BK1886" s="25">
        <f>VLOOKUP(Inventory[[#This Row],[Decade]],Lookups!$O$25:$R$42,4,FALSE)</f>
        <v>1.0074000000000001</v>
      </c>
      <c r="BL1886" s="25">
        <f>Inventory[[#This Row],[Nbhd Adj]]*0.95</f>
        <v>0.94971499999999998</v>
      </c>
      <c r="BM1886" s="25">
        <f>Inventory[[#This Row],[Nbhd Adj]]*Inventory[[#This Row],[Quality Adj]]*Inventory[[#This Row],[Condition Adj]]*Inventory[[#This Row],[Living Area Adj]]*Inventory[[#This Row],[Decade Adj]]*0.95</f>
        <v>0.97082497942099955</v>
      </c>
      <c r="BN1886" s="25">
        <f>ROUND(SUM(Inventory[[#This Row],[Mdl Qlty]:[Mdl WdDeck]])+Inventory[[#This Row],[Mdl Res Intercept]]*Inventory[[#This Row],[Res Adj ]],-2)</f>
        <v>313900</v>
      </c>
      <c r="BO1886" s="25">
        <f>ROUND(Inventory[[#This Row],[25Det]]*Inventory[[#This Row],[Det/Nbhd Adj]],-2)</f>
        <v>5900</v>
      </c>
      <c r="BP1886" s="25">
        <f>Inventory[[#This Row],[Adjusted Res]]+Inventory[[#This Row],[Adj Det ]]</f>
        <v>319800</v>
      </c>
      <c r="BQ1886" s="25">
        <f>ROUND((Inventory[[#This Row],[Mdl Land Intercept]]+Inventory[[#This Row],[Mdl LnAcres]])*Inventory[[#This Row],[Det/Nbhd Adj]],-2)</f>
        <v>30200</v>
      </c>
      <c r="BR1886" s="25">
        <f>Inventory[[#This Row],[Adjusted Impr Total]]+Inventory[[#This Row],[Adjusted Land Total]]</f>
        <v>350000</v>
      </c>
      <c r="BS1886" s="36">
        <f>IFERROR((Inventory[[#This Row],[Adjusted Impr Total]]-Inventory[[#This Row],[24Bldg]])/Inventory[[#This Row],[24Bldg]],0)</f>
        <v>0.16672747172564759</v>
      </c>
      <c r="BT1886" s="36">
        <f>(Inventory[[#This Row],[Adjusted Land Total]]-Inventory[[#This Row],[24Lnd]])/Inventory[[#This Row],[24Lnd]]</f>
        <v>-0.40316205533596838</v>
      </c>
      <c r="BU1886" s="36">
        <f>(Inventory[[#This Row],[Adjusted Total]]-Inventory[[#This Row],[24Final]])/Inventory[[#This Row],[24Final]]</f>
        <v>7.7918078226054815E-2</v>
      </c>
    </row>
    <row r="1887" spans="1:73" x14ac:dyDescent="0.3">
      <c r="A1887" s="25">
        <v>2025</v>
      </c>
      <c r="B1887" s="26" t="s">
        <v>2068</v>
      </c>
      <c r="C1887" s="26">
        <f>LN(Inventory[[#This Row],[Acres]])</f>
        <v>-1.4696759700589417</v>
      </c>
      <c r="D1887" s="25">
        <v>0.23</v>
      </c>
      <c r="E1887" s="32">
        <v>10029</v>
      </c>
      <c r="F1887" s="26" t="s">
        <v>537</v>
      </c>
      <c r="G1887" s="26" t="s">
        <v>126</v>
      </c>
      <c r="H1887" s="26" t="s">
        <v>349</v>
      </c>
      <c r="I1887" s="26" t="s">
        <v>538</v>
      </c>
      <c r="J1887" s="26" t="s">
        <v>539</v>
      </c>
      <c r="K1887" s="26" t="s">
        <v>269</v>
      </c>
      <c r="L1887" s="26" t="s">
        <v>351</v>
      </c>
      <c r="M1887" s="26" t="s">
        <v>323</v>
      </c>
      <c r="N1887" s="26">
        <v>100</v>
      </c>
      <c r="O1887" s="26">
        <f>2024-Inventory[[#This Row],[YrBlt]]</f>
        <v>96</v>
      </c>
      <c r="P1887" s="26">
        <f>2024-Inventory[[#This Row],[EffYr]]</f>
        <v>55</v>
      </c>
      <c r="Q1887" s="25">
        <v>1928</v>
      </c>
      <c r="R1887" s="25">
        <v>1969</v>
      </c>
      <c r="S1887" s="25">
        <v>1706</v>
      </c>
      <c r="T1887" s="27"/>
      <c r="U1887" s="32">
        <v>1706</v>
      </c>
      <c r="V1887" s="32">
        <f>Inventory[[#This Row],[Bsmt]]-Inventory[[#This Row],[FnBsmt]]</f>
        <v>1706</v>
      </c>
      <c r="W1887" s="27"/>
      <c r="X1887" s="27"/>
      <c r="Y1887" s="27">
        <f>Inventory[[#This Row],[MainFn]]+Inventory[[#This Row],[UpprFn]]+Inventory[[#This Row],[FnBsmt]]+Inventory[[#This Row],[AddFn]]</f>
        <v>1706</v>
      </c>
      <c r="Z1887" s="27">
        <v>2000</v>
      </c>
      <c r="AA1887" s="25">
        <v>7</v>
      </c>
      <c r="AB1887" s="32">
        <v>308</v>
      </c>
      <c r="AC1887" s="27"/>
      <c r="AD1887" s="27"/>
      <c r="AE1887" s="27"/>
      <c r="AF1887" s="27"/>
      <c r="AG1887" s="27"/>
      <c r="AH1887" s="27"/>
      <c r="AI1887" s="25">
        <v>342027</v>
      </c>
      <c r="AJ1887" s="25">
        <v>222318</v>
      </c>
      <c r="AK1887" s="25">
        <v>0</v>
      </c>
      <c r="AL1887" s="25">
        <v>345100</v>
      </c>
      <c r="AM1887" s="25">
        <v>63300</v>
      </c>
      <c r="AN1887" s="25">
        <v>281800</v>
      </c>
      <c r="AO1887" s="25">
        <v>0</v>
      </c>
      <c r="AP1887" s="25">
        <f>Lookups!$B$56*0</f>
        <v>0</v>
      </c>
      <c r="AQ1887" s="25">
        <f>Lookups!$B$56*1</f>
        <v>89850.625589999996</v>
      </c>
      <c r="AR1887" s="25">
        <f>Lookups!$B$57*Inventory[[#This Row],[LnAcres]]</f>
        <v>-46522.028095997222</v>
      </c>
      <c r="AS1887" s="25">
        <f>VLOOKUP(Inventory[[#This Row],[Qlty]],Lookups!$A$62:$E$75,2,FALSE)</f>
        <v>21557.329055999999</v>
      </c>
      <c r="AT1887" s="25">
        <f>VLOOKUP(Inventory[[#This Row],[Cnd]],Lookups!$A$76:$E$84,2,FALSE)</f>
        <v>160472.20319</v>
      </c>
      <c r="AU1887" s="25">
        <f>Inventory[[#This Row],[EffAge]]*Lookups!$B$85</f>
        <v>-12267.5080275</v>
      </c>
      <c r="AV1887" s="25">
        <f>Inventory[[#This Row],[MainFn]]*Lookups!$B$86</f>
        <v>84291.190810162007</v>
      </c>
      <c r="AW1887" s="25">
        <f>Inventory[[#This Row],[UpprFn]]*Lookups!$B$87</f>
        <v>0</v>
      </c>
      <c r="AX1887" s="25">
        <f>Inventory[[#This Row],[AddFn]]*Lookups!$B$88</f>
        <v>0</v>
      </c>
      <c r="AY1887" s="25">
        <f>Inventory[[#This Row],[Bsmt]]*Lookups!$B$89</f>
        <v>49613.713291381995</v>
      </c>
      <c r="AZ1887" s="25">
        <f>Inventory[[#This Row],[Fixtures]]*Lookups!$B$90</f>
        <v>26544.1547364</v>
      </c>
      <c r="BA1887" s="25">
        <f>Inventory[[#This Row],[WdDeck]]*Lookups!$B$91</f>
        <v>0</v>
      </c>
      <c r="BB1887" s="25">
        <f>ROUND(Inventory[[#This Row],[25Det]],-2)</f>
        <v>0</v>
      </c>
      <c r="BC1887" s="25">
        <f>ROUND(SUM(Inventory[[#This Row],[Mdl Qlty]:[Mdl WdDeck]])+Inventory[[#This Row],[Mdl Res Intercept]],-2)</f>
        <v>330200</v>
      </c>
      <c r="BD1887" s="25">
        <f>ROUND(Inventory[[#This Row],[Mdl Land Intercept]]+Inventory[[#This Row],[Mdl LnAcres]],-2)</f>
        <v>43300</v>
      </c>
      <c r="BE1887" s="25">
        <f>Inventory[[#This Row],[Unadj Res Value]]+Inventory[[#This Row],[Unadj Det Value]]+Inventory[[#This Row],[Unadj Land Value]]</f>
        <v>373500</v>
      </c>
      <c r="BF1887" s="36">
        <f>(Inventory[[#This Row],[Unadj Total Value]]-Inventory[[#This Row],[24Final]])/Inventory[[#This Row],[24Final]]</f>
        <v>8.2294986960301367E-2</v>
      </c>
      <c r="BG1887" s="25">
        <f>VLOOKUP(Inventory[[#This Row],[Nbhd]],Lookups!$Q$2:$T$4,4,FALSE)</f>
        <v>0.99970000000000003</v>
      </c>
      <c r="BH1887" s="25">
        <f>VLOOKUP(Inventory[[#This Row],[Qlty]],Lookups!$O$7:$R$21,4,FALSE)</f>
        <v>1.0067999999999999</v>
      </c>
      <c r="BI1887" s="25">
        <f>VLOOKUP(Inventory[[#This Row],[Cnd]],Lookups!$T$7:$W$16,4,FALSE)</f>
        <v>0.99729999999999996</v>
      </c>
      <c r="BJ1887" s="25">
        <f>VLOOKUP(Inventory[[#This Row],[LivArea Range]],Lookups!$T$25:$W$37,4,FALSE)</f>
        <v>1.0093000000000001</v>
      </c>
      <c r="BK1887" s="25">
        <f>VLOOKUP(Inventory[[#This Row],[Decade]],Lookups!$O$25:$R$42,4,FALSE)</f>
        <v>1.0074000000000001</v>
      </c>
      <c r="BL1887" s="25">
        <f>Inventory[[#This Row],[Nbhd Adj]]*0.95</f>
        <v>0.94971499999999998</v>
      </c>
      <c r="BM1887" s="25">
        <f>Inventory[[#This Row],[Nbhd Adj]]*Inventory[[#This Row],[Quality Adj]]*Inventory[[#This Row],[Condition Adj]]*Inventory[[#This Row],[Living Area Adj]]*Inventory[[#This Row],[Decade Adj]]*0.95</f>
        <v>0.96958199718441984</v>
      </c>
      <c r="BN1887" s="25">
        <f>ROUND(SUM(Inventory[[#This Row],[Mdl Qlty]:[Mdl WdDeck]])+Inventory[[#This Row],[Mdl Res Intercept]]*Inventory[[#This Row],[Res Adj ]],-2)</f>
        <v>330200</v>
      </c>
      <c r="BO1887" s="25">
        <f>ROUND(Inventory[[#This Row],[25Det]]*Inventory[[#This Row],[Det/Nbhd Adj]],-2)</f>
        <v>0</v>
      </c>
      <c r="BP1887" s="25">
        <f>Inventory[[#This Row],[Adjusted Res]]+Inventory[[#This Row],[Adj Det ]]</f>
        <v>330200</v>
      </c>
      <c r="BQ1887" s="25">
        <f>ROUND((Inventory[[#This Row],[Mdl Land Intercept]]+Inventory[[#This Row],[Mdl LnAcres]])*Inventory[[#This Row],[Det/Nbhd Adj]],-2)</f>
        <v>41100</v>
      </c>
      <c r="BR1887" s="25">
        <f>Inventory[[#This Row],[Adjusted Impr Total]]+Inventory[[#This Row],[Adjusted Land Total]]</f>
        <v>371300</v>
      </c>
      <c r="BS1887" s="36">
        <f>IFERROR((Inventory[[#This Row],[Adjusted Impr Total]]-Inventory[[#This Row],[24Bldg]])/Inventory[[#This Row],[24Bldg]],0)</f>
        <v>0.17175301632363379</v>
      </c>
      <c r="BT1887" s="36">
        <f>(Inventory[[#This Row],[Adjusted Land Total]]-Inventory[[#This Row],[24Lnd]])/Inventory[[#This Row],[24Lnd]]</f>
        <v>-0.35071090047393366</v>
      </c>
      <c r="BU1887" s="36">
        <f>(Inventory[[#This Row],[Adjusted Total]]-Inventory[[#This Row],[24Final]])/Inventory[[#This Row],[24Final]]</f>
        <v>7.5920023181686475E-2</v>
      </c>
    </row>
    <row r="1888" spans="1:73" x14ac:dyDescent="0.3">
      <c r="A1888" s="25">
        <v>2025</v>
      </c>
      <c r="B1888" s="26" t="s">
        <v>2378</v>
      </c>
      <c r="C1888" s="26">
        <f>LN(Inventory[[#This Row],[Acres]])</f>
        <v>-1.8325814637483102</v>
      </c>
      <c r="D1888" s="25">
        <v>0.16</v>
      </c>
      <c r="E1888" s="27"/>
      <c r="F1888" s="26" t="s">
        <v>537</v>
      </c>
      <c r="G1888" s="26" t="s">
        <v>126</v>
      </c>
      <c r="H1888" s="26" t="s">
        <v>349</v>
      </c>
      <c r="I1888" s="26" t="s">
        <v>538</v>
      </c>
      <c r="J1888" s="26" t="s">
        <v>539</v>
      </c>
      <c r="K1888" s="26" t="s">
        <v>269</v>
      </c>
      <c r="L1888" s="26" t="s">
        <v>351</v>
      </c>
      <c r="M1888" s="26" t="s">
        <v>303</v>
      </c>
      <c r="N1888" s="26">
        <v>100</v>
      </c>
      <c r="O1888" s="26">
        <f>2024-Inventory[[#This Row],[YrBlt]]</f>
        <v>96</v>
      </c>
      <c r="P1888" s="26">
        <f>2024-Inventory[[#This Row],[EffYr]]</f>
        <v>55</v>
      </c>
      <c r="Q1888" s="25">
        <v>1928</v>
      </c>
      <c r="R1888" s="25">
        <v>1969</v>
      </c>
      <c r="S1888" s="25">
        <v>1564</v>
      </c>
      <c r="T1888" s="25">
        <v>391</v>
      </c>
      <c r="U1888" s="25">
        <v>1564</v>
      </c>
      <c r="V1888" s="32">
        <f>Inventory[[#This Row],[Bsmt]]-Inventory[[#This Row],[FnBsmt]]</f>
        <v>938</v>
      </c>
      <c r="W1888" s="32">
        <v>626</v>
      </c>
      <c r="X1888" s="27"/>
      <c r="Y1888" s="27">
        <f>Inventory[[#This Row],[MainFn]]+Inventory[[#This Row],[UpprFn]]+Inventory[[#This Row],[FnBsmt]]+Inventory[[#This Row],[AddFn]]</f>
        <v>2581</v>
      </c>
      <c r="Z1888" s="27">
        <v>3000</v>
      </c>
      <c r="AA1888" s="25">
        <v>9</v>
      </c>
      <c r="AB1888" s="27"/>
      <c r="AC1888" s="27"/>
      <c r="AD1888" s="27"/>
      <c r="AE1888" s="27"/>
      <c r="AF1888" s="27"/>
      <c r="AG1888" s="27"/>
      <c r="AH1888" s="27"/>
      <c r="AI1888" s="25">
        <v>386451</v>
      </c>
      <c r="AJ1888" s="25">
        <v>258922</v>
      </c>
      <c r="AK1888" s="25">
        <v>22928</v>
      </c>
      <c r="AL1888" s="25">
        <v>403000</v>
      </c>
      <c r="AM1888" s="25">
        <v>50600</v>
      </c>
      <c r="AN1888" s="25">
        <v>352400</v>
      </c>
      <c r="AO1888" s="25">
        <v>0</v>
      </c>
      <c r="AP1888" s="25">
        <f>Lookups!$B$56*0</f>
        <v>0</v>
      </c>
      <c r="AQ1888" s="25">
        <f>Lookups!$B$56*1</f>
        <v>89850.625589999996</v>
      </c>
      <c r="AR1888" s="25">
        <f>Lookups!$B$57*Inventory[[#This Row],[LnAcres]]</f>
        <v>-58009.662049032086</v>
      </c>
      <c r="AS1888" s="25">
        <f>VLOOKUP(Inventory[[#This Row],[Qlty]],Lookups!$A$62:$E$75,2,FALSE)</f>
        <v>21557.329055999999</v>
      </c>
      <c r="AT1888" s="25">
        <f>VLOOKUP(Inventory[[#This Row],[Cnd]],Lookups!$A$76:$E$84,2,FALSE)</f>
        <v>197752.34721000001</v>
      </c>
      <c r="AU1888" s="25">
        <f>Inventory[[#This Row],[EffAge]]*Lookups!$B$85</f>
        <v>-12267.5080275</v>
      </c>
      <c r="AV1888" s="25">
        <f>Inventory[[#This Row],[MainFn]]*Lookups!$B$86</f>
        <v>77275.159687628009</v>
      </c>
      <c r="AW1888" s="25">
        <f>Inventory[[#This Row],[UpprFn]]*Lookups!$B$87</f>
        <v>17511.491338650998</v>
      </c>
      <c r="AX1888" s="25">
        <f>Inventory[[#This Row],[AddFn]]*Lookups!$B$88</f>
        <v>0</v>
      </c>
      <c r="AY1888" s="25">
        <f>Inventory[[#This Row],[Bsmt]]*Lookups!$B$89</f>
        <v>45484.084166307999</v>
      </c>
      <c r="AZ1888" s="25">
        <f>Inventory[[#This Row],[Fixtures]]*Lookups!$B$90</f>
        <v>34128.198946800003</v>
      </c>
      <c r="BA1888" s="25">
        <f>Inventory[[#This Row],[WdDeck]]*Lookups!$B$91</f>
        <v>0</v>
      </c>
      <c r="BB1888" s="25">
        <f>ROUND(Inventory[[#This Row],[25Det]],-2)</f>
        <v>22900</v>
      </c>
      <c r="BC1888" s="25">
        <f>ROUND(SUM(Inventory[[#This Row],[Mdl Qlty]:[Mdl WdDeck]])+Inventory[[#This Row],[Mdl Res Intercept]],-2)</f>
        <v>381400</v>
      </c>
      <c r="BD1888" s="25">
        <f>ROUND(Inventory[[#This Row],[Mdl Land Intercept]]+Inventory[[#This Row],[Mdl LnAcres]],-2)</f>
        <v>31800</v>
      </c>
      <c r="BE1888" s="25">
        <f>Inventory[[#This Row],[Unadj Res Value]]+Inventory[[#This Row],[Unadj Det Value]]+Inventory[[#This Row],[Unadj Land Value]]</f>
        <v>436100</v>
      </c>
      <c r="BF1888" s="36">
        <f>(Inventory[[#This Row],[Unadj Total Value]]-Inventory[[#This Row],[24Final]])/Inventory[[#This Row],[24Final]]</f>
        <v>8.2133995037220839E-2</v>
      </c>
      <c r="BG1888" s="25">
        <f>VLOOKUP(Inventory[[#This Row],[Nbhd]],Lookups!$Q$2:$T$4,4,FALSE)</f>
        <v>0.99970000000000003</v>
      </c>
      <c r="BH1888" s="25">
        <f>VLOOKUP(Inventory[[#This Row],[Qlty]],Lookups!$O$7:$R$21,4,FALSE)</f>
        <v>1.0067999999999999</v>
      </c>
      <c r="BI1888" s="25">
        <f>VLOOKUP(Inventory[[#This Row],[Cnd]],Lookups!$T$7:$W$16,4,FALSE)</f>
        <v>0.99650000000000005</v>
      </c>
      <c r="BJ1888" s="25">
        <f>VLOOKUP(Inventory[[#This Row],[LivArea Range]],Lookups!$T$25:$W$37,4,FALSE)</f>
        <v>0.96179999999999999</v>
      </c>
      <c r="BK1888" s="25">
        <f>VLOOKUP(Inventory[[#This Row],[Decade]],Lookups!$O$25:$R$42,4,FALSE)</f>
        <v>1.0074000000000001</v>
      </c>
      <c r="BL1888" s="25">
        <f>Inventory[[#This Row],[Nbhd Adj]]*0.95</f>
        <v>0.94971499999999998</v>
      </c>
      <c r="BM1888" s="25">
        <f>Inventory[[#This Row],[Nbhd Adj]]*Inventory[[#This Row],[Quality Adj]]*Inventory[[#This Row],[Condition Adj]]*Inventory[[#This Row],[Living Area Adj]]*Inventory[[#This Row],[Decade Adj]]*0.95</f>
        <v>0.92321005644682153</v>
      </c>
      <c r="BN1888" s="25">
        <f>ROUND(SUM(Inventory[[#This Row],[Mdl Qlty]:[Mdl WdDeck]])+Inventory[[#This Row],[Mdl Res Intercept]]*Inventory[[#This Row],[Res Adj ]],-2)</f>
        <v>381400</v>
      </c>
      <c r="BO1888" s="25">
        <f>ROUND(Inventory[[#This Row],[25Det]]*Inventory[[#This Row],[Det/Nbhd Adj]],-2)</f>
        <v>21800</v>
      </c>
      <c r="BP1888" s="25">
        <f>Inventory[[#This Row],[Adjusted Res]]+Inventory[[#This Row],[Adj Det ]]</f>
        <v>403200</v>
      </c>
      <c r="BQ1888" s="25">
        <f>ROUND((Inventory[[#This Row],[Mdl Land Intercept]]+Inventory[[#This Row],[Mdl LnAcres]])*Inventory[[#This Row],[Det/Nbhd Adj]],-2)</f>
        <v>30200</v>
      </c>
      <c r="BR1888" s="25">
        <f>Inventory[[#This Row],[Adjusted Impr Total]]+Inventory[[#This Row],[Adjusted Land Total]]</f>
        <v>433400</v>
      </c>
      <c r="BS1888" s="36">
        <f>IFERROR((Inventory[[#This Row],[Adjusted Impr Total]]-Inventory[[#This Row],[24Bldg]])/Inventory[[#This Row],[24Bldg]],0)</f>
        <v>0.14415437003405221</v>
      </c>
      <c r="BT1888" s="36">
        <f>(Inventory[[#This Row],[Adjusted Land Total]]-Inventory[[#This Row],[24Lnd]])/Inventory[[#This Row],[24Lnd]]</f>
        <v>-0.40316205533596838</v>
      </c>
      <c r="BU1888" s="36">
        <f>(Inventory[[#This Row],[Adjusted Total]]-Inventory[[#This Row],[24Final]])/Inventory[[#This Row],[24Final]]</f>
        <v>7.5434243176178667E-2</v>
      </c>
    </row>
    <row r="1889" spans="1:73" x14ac:dyDescent="0.3">
      <c r="A1889" s="25">
        <v>2025</v>
      </c>
      <c r="B1889" s="26" t="s">
        <v>2220</v>
      </c>
      <c r="C1889" s="26">
        <f>LN(Inventory[[#This Row],[Acres]])</f>
        <v>-2.0402208285265546</v>
      </c>
      <c r="D1889" s="25">
        <v>0.13</v>
      </c>
      <c r="E1889" s="27"/>
      <c r="F1889" s="26" t="s">
        <v>537</v>
      </c>
      <c r="G1889" s="26" t="s">
        <v>126</v>
      </c>
      <c r="H1889" s="26" t="s">
        <v>349</v>
      </c>
      <c r="I1889" s="26" t="s">
        <v>538</v>
      </c>
      <c r="J1889" s="26" t="s">
        <v>539</v>
      </c>
      <c r="K1889" s="26" t="s">
        <v>242</v>
      </c>
      <c r="L1889" s="26" t="s">
        <v>351</v>
      </c>
      <c r="M1889" s="26" t="s">
        <v>323</v>
      </c>
      <c r="N1889" s="26">
        <v>100</v>
      </c>
      <c r="O1889" s="26">
        <f>2024-Inventory[[#This Row],[YrBlt]]</f>
        <v>96</v>
      </c>
      <c r="P1889" s="26">
        <f>2024-Inventory[[#This Row],[EffYr]]</f>
        <v>55</v>
      </c>
      <c r="Q1889" s="25">
        <v>1928</v>
      </c>
      <c r="R1889" s="25">
        <v>1969</v>
      </c>
      <c r="S1889" s="25">
        <v>914</v>
      </c>
      <c r="T1889" s="27"/>
      <c r="U1889" s="32">
        <v>626</v>
      </c>
      <c r="V1889" s="32">
        <f>Inventory[[#This Row],[Bsmt]]-Inventory[[#This Row],[FnBsmt]]</f>
        <v>336</v>
      </c>
      <c r="W1889" s="32">
        <v>290</v>
      </c>
      <c r="X1889" s="27"/>
      <c r="Y1889" s="27">
        <f>Inventory[[#This Row],[MainFn]]+Inventory[[#This Row],[UpprFn]]+Inventory[[#This Row],[FnBsmt]]+Inventory[[#This Row],[AddFn]]</f>
        <v>1204</v>
      </c>
      <c r="Z1889" s="27">
        <v>1500</v>
      </c>
      <c r="AA1889" s="25">
        <v>5</v>
      </c>
      <c r="AB1889" s="27"/>
      <c r="AC1889" s="32">
        <v>288</v>
      </c>
      <c r="AD1889" s="27"/>
      <c r="AE1889" s="27"/>
      <c r="AF1889" s="27"/>
      <c r="AG1889" s="27"/>
      <c r="AH1889" s="27"/>
      <c r="AI1889" s="25">
        <v>205113</v>
      </c>
      <c r="AJ1889" s="25">
        <v>133323</v>
      </c>
      <c r="AK1889" s="25">
        <v>0</v>
      </c>
      <c r="AL1889" s="25">
        <v>257600</v>
      </c>
      <c r="AM1889" s="25">
        <v>43400</v>
      </c>
      <c r="AN1889" s="25">
        <v>214200</v>
      </c>
      <c r="AO1889" s="25">
        <v>0</v>
      </c>
      <c r="AP1889" s="25">
        <f>Lookups!$B$56*0</f>
        <v>0</v>
      </c>
      <c r="AQ1889" s="25">
        <f>Lookups!$B$56*1</f>
        <v>89850.625589999996</v>
      </c>
      <c r="AR1889" s="25">
        <f>Lookups!$B$57*Inventory[[#This Row],[LnAcres]]</f>
        <v>-64582.406353792743</v>
      </c>
      <c r="AS1889" s="25">
        <f>VLOOKUP(Inventory[[#This Row],[Qlty]],Lookups!$A$62:$E$75,2,FALSE)</f>
        <v>21557.329055999999</v>
      </c>
      <c r="AT1889" s="25">
        <f>VLOOKUP(Inventory[[#This Row],[Cnd]],Lookups!$A$76:$E$84,2,FALSE)</f>
        <v>160472.20319</v>
      </c>
      <c r="AU1889" s="25">
        <f>Inventory[[#This Row],[EffAge]]*Lookups!$B$85</f>
        <v>-12267.5080275</v>
      </c>
      <c r="AV1889" s="25">
        <f>Inventory[[#This Row],[MainFn]]*Lookups!$B$86</f>
        <v>45159.524267578003</v>
      </c>
      <c r="AW1889" s="25">
        <f>Inventory[[#This Row],[UpprFn]]*Lookups!$B$87</f>
        <v>0</v>
      </c>
      <c r="AX1889" s="25">
        <f>Inventory[[#This Row],[AddFn]]*Lookups!$B$88</f>
        <v>0</v>
      </c>
      <c r="AY1889" s="25">
        <f>Inventory[[#This Row],[Bsmt]]*Lookups!$B$89</f>
        <v>18205.266424621997</v>
      </c>
      <c r="AZ1889" s="25">
        <f>Inventory[[#This Row],[Fixtures]]*Lookups!$B$90</f>
        <v>18960.110526</v>
      </c>
      <c r="BA1889" s="25">
        <f>Inventory[[#This Row],[WdDeck]]*Lookups!$B$91</f>
        <v>0</v>
      </c>
      <c r="BB1889" s="25">
        <f>ROUND(Inventory[[#This Row],[25Det]],-2)</f>
        <v>0</v>
      </c>
      <c r="BC1889" s="25">
        <f>ROUND(SUM(Inventory[[#This Row],[Mdl Qlty]:[Mdl WdDeck]])+Inventory[[#This Row],[Mdl Res Intercept]],-2)</f>
        <v>252100</v>
      </c>
      <c r="BD1889" s="25">
        <f>ROUND(Inventory[[#This Row],[Mdl Land Intercept]]+Inventory[[#This Row],[Mdl LnAcres]],-2)</f>
        <v>25300</v>
      </c>
      <c r="BE1889" s="25">
        <f>Inventory[[#This Row],[Unadj Res Value]]+Inventory[[#This Row],[Unadj Det Value]]+Inventory[[#This Row],[Unadj Land Value]]</f>
        <v>277400</v>
      </c>
      <c r="BF1889" s="36">
        <f>(Inventory[[#This Row],[Unadj Total Value]]-Inventory[[#This Row],[24Final]])/Inventory[[#This Row],[24Final]]</f>
        <v>7.6863354037267087E-2</v>
      </c>
      <c r="BG1889" s="25">
        <f>VLOOKUP(Inventory[[#This Row],[Nbhd]],Lookups!$Q$2:$T$4,4,FALSE)</f>
        <v>0.99970000000000003</v>
      </c>
      <c r="BH1889" s="25">
        <f>VLOOKUP(Inventory[[#This Row],[Qlty]],Lookups!$O$7:$R$21,4,FALSE)</f>
        <v>1.0067999999999999</v>
      </c>
      <c r="BI1889" s="25">
        <f>VLOOKUP(Inventory[[#This Row],[Cnd]],Lookups!$T$7:$W$16,4,FALSE)</f>
        <v>0.99729999999999996</v>
      </c>
      <c r="BJ1889" s="25">
        <f>VLOOKUP(Inventory[[#This Row],[LivArea Range]],Lookups!$T$25:$W$37,4,FALSE)</f>
        <v>1.0157</v>
      </c>
      <c r="BK1889" s="25">
        <f>VLOOKUP(Inventory[[#This Row],[Decade]],Lookups!$O$25:$R$42,4,FALSE)</f>
        <v>1.0074000000000001</v>
      </c>
      <c r="BL1889" s="25">
        <f>Inventory[[#This Row],[Nbhd Adj]]*0.95</f>
        <v>0.94971499999999998</v>
      </c>
      <c r="BM1889" s="25">
        <f>Inventory[[#This Row],[Nbhd Adj]]*Inventory[[#This Row],[Quality Adj]]*Inventory[[#This Row],[Condition Adj]]*Inventory[[#This Row],[Living Area Adj]]*Inventory[[#This Row],[Decade Adj]]*0.95</f>
        <v>0.97573014419916293</v>
      </c>
      <c r="BN1889" s="25">
        <f>ROUND(SUM(Inventory[[#This Row],[Mdl Qlty]:[Mdl WdDeck]])+Inventory[[#This Row],[Mdl Res Intercept]]*Inventory[[#This Row],[Res Adj ]],-2)</f>
        <v>252100</v>
      </c>
      <c r="BO1889" s="25">
        <f>ROUND(Inventory[[#This Row],[25Det]]*Inventory[[#This Row],[Det/Nbhd Adj]],-2)</f>
        <v>0</v>
      </c>
      <c r="BP1889" s="25">
        <f>Inventory[[#This Row],[Adjusted Res]]+Inventory[[#This Row],[Adj Det ]]</f>
        <v>252100</v>
      </c>
      <c r="BQ1889" s="25">
        <f>ROUND((Inventory[[#This Row],[Mdl Land Intercept]]+Inventory[[#This Row],[Mdl LnAcres]])*Inventory[[#This Row],[Det/Nbhd Adj]],-2)</f>
        <v>24000</v>
      </c>
      <c r="BR1889" s="25">
        <f>Inventory[[#This Row],[Adjusted Impr Total]]+Inventory[[#This Row],[Adjusted Land Total]]</f>
        <v>276100</v>
      </c>
      <c r="BS1889" s="36">
        <f>IFERROR((Inventory[[#This Row],[Adjusted Impr Total]]-Inventory[[#This Row],[24Bldg]])/Inventory[[#This Row],[24Bldg]],0)</f>
        <v>0.17693744164332401</v>
      </c>
      <c r="BT1889" s="36">
        <f>(Inventory[[#This Row],[Adjusted Land Total]]-Inventory[[#This Row],[24Lnd]])/Inventory[[#This Row],[24Lnd]]</f>
        <v>-0.44700460829493088</v>
      </c>
      <c r="BU1889" s="36">
        <f>(Inventory[[#This Row],[Adjusted Total]]-Inventory[[#This Row],[24Final]])/Inventory[[#This Row],[24Final]]</f>
        <v>7.1816770186335407E-2</v>
      </c>
    </row>
    <row r="1890" spans="1:73" x14ac:dyDescent="0.3">
      <c r="A1890" s="25">
        <v>2025</v>
      </c>
      <c r="B1890" s="26" t="s">
        <v>1032</v>
      </c>
      <c r="C1890" s="26">
        <f>LN(Inventory[[#This Row],[Acres]])</f>
        <v>-1.2378743560016174</v>
      </c>
      <c r="D1890" s="25">
        <v>0.28999999999999998</v>
      </c>
      <c r="E1890" s="31"/>
      <c r="F1890" s="26" t="s">
        <v>537</v>
      </c>
      <c r="G1890" s="26" t="s">
        <v>126</v>
      </c>
      <c r="H1890" s="26" t="s">
        <v>349</v>
      </c>
      <c r="I1890" s="26" t="s">
        <v>538</v>
      </c>
      <c r="J1890" s="26" t="s">
        <v>539</v>
      </c>
      <c r="K1890" s="26" t="s">
        <v>301</v>
      </c>
      <c r="L1890" s="26" t="s">
        <v>64</v>
      </c>
      <c r="M1890" s="26" t="s">
        <v>352</v>
      </c>
      <c r="N1890" s="26">
        <v>100</v>
      </c>
      <c r="O1890" s="26">
        <f>2024-Inventory[[#This Row],[YrBlt]]</f>
        <v>96</v>
      </c>
      <c r="P1890" s="26">
        <f>2024-Inventory[[#This Row],[EffYr]]</f>
        <v>44</v>
      </c>
      <c r="Q1890" s="25">
        <v>1928</v>
      </c>
      <c r="R1890" s="25">
        <v>1980</v>
      </c>
      <c r="S1890" s="25">
        <v>2062</v>
      </c>
      <c r="T1890" s="32">
        <v>2095</v>
      </c>
      <c r="U1890" s="32">
        <v>1297</v>
      </c>
      <c r="V1890" s="32">
        <f>Inventory[[#This Row],[Bsmt]]-Inventory[[#This Row],[FnBsmt]]</f>
        <v>427</v>
      </c>
      <c r="W1890" s="32">
        <v>870</v>
      </c>
      <c r="X1890" s="27"/>
      <c r="Y1890" s="27">
        <f>Inventory[[#This Row],[MainFn]]+Inventory[[#This Row],[UpprFn]]+Inventory[[#This Row],[FnBsmt]]+Inventory[[#This Row],[AddFn]]</f>
        <v>5027</v>
      </c>
      <c r="Z1890" s="27">
        <v>5000</v>
      </c>
      <c r="AA1890" s="25">
        <v>17</v>
      </c>
      <c r="AB1890" s="25">
        <v>654</v>
      </c>
      <c r="AC1890" s="27"/>
      <c r="AD1890" s="32">
        <v>232</v>
      </c>
      <c r="AE1890" s="27"/>
      <c r="AF1890" s="27"/>
      <c r="AG1890" s="27"/>
      <c r="AH1890" s="27"/>
      <c r="AI1890" s="25">
        <v>1064903</v>
      </c>
      <c r="AJ1890" s="25">
        <v>862571</v>
      </c>
      <c r="AK1890" s="25">
        <v>0</v>
      </c>
      <c r="AL1890" s="25">
        <v>742000</v>
      </c>
      <c r="AM1890" s="25">
        <v>71400</v>
      </c>
      <c r="AN1890" s="25">
        <v>670600</v>
      </c>
      <c r="AO1890" s="25">
        <v>0</v>
      </c>
      <c r="AP1890" s="25">
        <f>Lookups!$B$56*0</f>
        <v>0</v>
      </c>
      <c r="AQ1890" s="25">
        <f>Lookups!$B$56*1</f>
        <v>89850.625589999996</v>
      </c>
      <c r="AR1890" s="25">
        <f>Lookups!$B$57*Inventory[[#This Row],[LnAcres]]</f>
        <v>-39184.437074869042</v>
      </c>
      <c r="AS1890" s="25">
        <f>VLOOKUP(Inventory[[#This Row],[Qlty]],Lookups!$A$62:$E$75,2,FALSE)</f>
        <v>163885.03753</v>
      </c>
      <c r="AT1890" s="25">
        <f>VLOOKUP(Inventory[[#This Row],[Cnd]],Lookups!$A$76:$E$84,2,FALSE)</f>
        <v>284810.60806</v>
      </c>
      <c r="AU1890" s="25">
        <f>Inventory[[#This Row],[EffAge]]*Lookups!$B$85</f>
        <v>-9814.0064220000004</v>
      </c>
      <c r="AV1890" s="25">
        <f>Inventory[[#This Row],[MainFn]]*Lookups!$B$86</f>
        <v>101880.677286374</v>
      </c>
      <c r="AW1890" s="25">
        <f>Inventory[[#This Row],[UpprFn]]*Lookups!$B$87</f>
        <v>93827.555893794997</v>
      </c>
      <c r="AX1890" s="25">
        <f>Inventory[[#This Row],[AddFn]]*Lookups!$B$88</f>
        <v>0</v>
      </c>
      <c r="AY1890" s="25">
        <f>Inventory[[#This Row],[Bsmt]]*Lookups!$B$89</f>
        <v>37719.218135358999</v>
      </c>
      <c r="AZ1890" s="25">
        <f>Inventory[[#This Row],[Fixtures]]*Lookups!$B$90</f>
        <v>64464.375788400001</v>
      </c>
      <c r="BA1890" s="25">
        <f>Inventory[[#This Row],[WdDeck]]*Lookups!$B$91</f>
        <v>7724.5595440320012</v>
      </c>
      <c r="BB1890" s="25">
        <f>ROUND(Inventory[[#This Row],[25Det]],-2)</f>
        <v>0</v>
      </c>
      <c r="BC1890" s="25">
        <f>ROUND(SUM(Inventory[[#This Row],[Mdl Qlty]:[Mdl WdDeck]])+Inventory[[#This Row],[Mdl Res Intercept]],-2)</f>
        <v>744500</v>
      </c>
      <c r="BD1890" s="25">
        <f>ROUND(Inventory[[#This Row],[Mdl Land Intercept]]+Inventory[[#This Row],[Mdl LnAcres]],-2)</f>
        <v>50700</v>
      </c>
      <c r="BE1890" s="25">
        <f>Inventory[[#This Row],[Unadj Res Value]]+Inventory[[#This Row],[Unadj Det Value]]+Inventory[[#This Row],[Unadj Land Value]]</f>
        <v>795200</v>
      </c>
      <c r="BF1890" s="36">
        <f>(Inventory[[#This Row],[Unadj Total Value]]-Inventory[[#This Row],[24Final]])/Inventory[[#This Row],[24Final]]</f>
        <v>7.1698113207547168E-2</v>
      </c>
      <c r="BG1890" s="25">
        <f>VLOOKUP(Inventory[[#This Row],[Nbhd]],Lookups!$Q$2:$T$4,4,FALSE)</f>
        <v>0.99970000000000003</v>
      </c>
      <c r="BH1890" s="25">
        <f>VLOOKUP(Inventory[[#This Row],[Qlty]],Lookups!$O$7:$R$21,4,FALSE)</f>
        <v>1</v>
      </c>
      <c r="BI1890" s="25">
        <f>VLOOKUP(Inventory[[#This Row],[Cnd]],Lookups!$T$7:$W$16,4,FALSE)</f>
        <v>1.0158</v>
      </c>
      <c r="BJ1890" s="25">
        <f>VLOOKUP(Inventory[[#This Row],[LivArea Range]],Lookups!$T$25:$W$37,4,FALSE)</f>
        <v>1</v>
      </c>
      <c r="BK1890" s="25">
        <f>VLOOKUP(Inventory[[#This Row],[Decade]],Lookups!$O$25:$R$42,4,FALSE)</f>
        <v>1.0074000000000001</v>
      </c>
      <c r="BL1890" s="25">
        <f>Inventory[[#This Row],[Nbhd Adj]]*0.95</f>
        <v>0.94971499999999998</v>
      </c>
      <c r="BM1890" s="25">
        <f>Inventory[[#This Row],[Nbhd Adj]]*Inventory[[#This Row],[Quality Adj]]*Inventory[[#This Row],[Condition Adj]]*Inventory[[#This Row],[Living Area Adj]]*Inventory[[#This Row],[Decade Adj]]*0.95</f>
        <v>0.97185942867780006</v>
      </c>
      <c r="BN1890" s="25">
        <f>ROUND(SUM(Inventory[[#This Row],[Mdl Qlty]:[Mdl WdDeck]])+Inventory[[#This Row],[Mdl Res Intercept]]*Inventory[[#This Row],[Res Adj ]],-2)</f>
        <v>744500</v>
      </c>
      <c r="BO1890" s="25">
        <f>ROUND(Inventory[[#This Row],[25Det]]*Inventory[[#This Row],[Det/Nbhd Adj]],-2)</f>
        <v>0</v>
      </c>
      <c r="BP1890" s="25">
        <f>Inventory[[#This Row],[Adjusted Res]]+Inventory[[#This Row],[Adj Det ]]</f>
        <v>744500</v>
      </c>
      <c r="BQ1890" s="25">
        <f>ROUND((Inventory[[#This Row],[Mdl Land Intercept]]+Inventory[[#This Row],[Mdl LnAcres]])*Inventory[[#This Row],[Det/Nbhd Adj]],-2)</f>
        <v>48100</v>
      </c>
      <c r="BR1890" s="25">
        <f>Inventory[[#This Row],[Adjusted Impr Total]]+Inventory[[#This Row],[Adjusted Land Total]]</f>
        <v>792600</v>
      </c>
      <c r="BS1890" s="36">
        <f>IFERROR((Inventory[[#This Row],[Adjusted Impr Total]]-Inventory[[#This Row],[24Bldg]])/Inventory[[#This Row],[24Bldg]],0)</f>
        <v>0.11019982105577095</v>
      </c>
      <c r="BT1890" s="36">
        <f>(Inventory[[#This Row],[Adjusted Land Total]]-Inventory[[#This Row],[24Lnd]])/Inventory[[#This Row],[24Lnd]]</f>
        <v>-0.32633053221288516</v>
      </c>
      <c r="BU1890" s="36">
        <f>(Inventory[[#This Row],[Adjusted Total]]-Inventory[[#This Row],[24Final]])/Inventory[[#This Row],[24Final]]</f>
        <v>6.8194070080862534E-2</v>
      </c>
    </row>
    <row r="1891" spans="1:73" x14ac:dyDescent="0.3">
      <c r="A1891" s="25">
        <v>2025</v>
      </c>
      <c r="B1891" s="26" t="s">
        <v>2590</v>
      </c>
      <c r="C1891" s="26">
        <f>LN(Inventory[[#This Row],[Acres]])</f>
        <v>-1.8325814637483102</v>
      </c>
      <c r="D1891" s="25">
        <v>0.16</v>
      </c>
      <c r="E1891" s="25">
        <v>6999</v>
      </c>
      <c r="F1891" s="26" t="s">
        <v>537</v>
      </c>
      <c r="G1891" s="26" t="s">
        <v>126</v>
      </c>
      <c r="H1891" s="26" t="s">
        <v>349</v>
      </c>
      <c r="I1891" s="26" t="s">
        <v>538</v>
      </c>
      <c r="J1891" s="26" t="s">
        <v>539</v>
      </c>
      <c r="K1891" s="26" t="s">
        <v>269</v>
      </c>
      <c r="L1891" s="26" t="s">
        <v>302</v>
      </c>
      <c r="M1891" s="26" t="s">
        <v>303</v>
      </c>
      <c r="N1891" s="26">
        <v>100</v>
      </c>
      <c r="O1891" s="26">
        <f>2024-Inventory[[#This Row],[YrBlt]]</f>
        <v>96</v>
      </c>
      <c r="P1891" s="26">
        <f>2024-Inventory[[#This Row],[EffYr]]</f>
        <v>29</v>
      </c>
      <c r="Q1891" s="25">
        <v>1928</v>
      </c>
      <c r="R1891" s="25">
        <v>1995</v>
      </c>
      <c r="S1891" s="25">
        <v>1104</v>
      </c>
      <c r="T1891" s="27"/>
      <c r="U1891" s="25">
        <v>1104</v>
      </c>
      <c r="V1891" s="25">
        <f>Inventory[[#This Row],[Bsmt]]-Inventory[[#This Row],[FnBsmt]]</f>
        <v>0</v>
      </c>
      <c r="W1891" s="25">
        <v>1104</v>
      </c>
      <c r="X1891" s="27"/>
      <c r="Y1891" s="27">
        <f>Inventory[[#This Row],[MainFn]]+Inventory[[#This Row],[UpprFn]]+Inventory[[#This Row],[FnBsmt]]+Inventory[[#This Row],[AddFn]]</f>
        <v>2208</v>
      </c>
      <c r="Z1891" s="27">
        <v>2500</v>
      </c>
      <c r="AA1891" s="25">
        <v>6</v>
      </c>
      <c r="AB1891" s="27"/>
      <c r="AC1891" s="27"/>
      <c r="AD1891" s="27"/>
      <c r="AE1891" s="27"/>
      <c r="AF1891" s="27"/>
      <c r="AG1891" s="27"/>
      <c r="AH1891" s="27"/>
      <c r="AI1891" s="25">
        <v>333012</v>
      </c>
      <c r="AJ1891" s="25">
        <v>289720</v>
      </c>
      <c r="AK1891" s="25">
        <v>5073</v>
      </c>
      <c r="AL1891" s="25">
        <v>343200</v>
      </c>
      <c r="AM1891" s="25">
        <v>50600</v>
      </c>
      <c r="AN1891" s="25">
        <v>292600</v>
      </c>
      <c r="AO1891" s="25">
        <v>0</v>
      </c>
      <c r="AP1891" s="25">
        <f>Lookups!$B$56*0</f>
        <v>0</v>
      </c>
      <c r="AQ1891" s="25">
        <f>Lookups!$B$56*1</f>
        <v>89850.625589999996</v>
      </c>
      <c r="AR1891" s="25">
        <f>Lookups!$B$57*Inventory[[#This Row],[LnAcres]]</f>
        <v>-58009.662049032086</v>
      </c>
      <c r="AS1891" s="25">
        <f>VLOOKUP(Inventory[[#This Row],[Qlty]],Lookups!$A$62:$E$75,2,FALSE)</f>
        <v>29814.093161000001</v>
      </c>
      <c r="AT1891" s="25">
        <f>VLOOKUP(Inventory[[#This Row],[Cnd]],Lookups!$A$76:$E$84,2,FALSE)</f>
        <v>197752.34721000001</v>
      </c>
      <c r="AU1891" s="25">
        <f>Inventory[[#This Row],[EffAge]]*Lookups!$B$85</f>
        <v>-6468.3224145000004</v>
      </c>
      <c r="AV1891" s="25">
        <f>Inventory[[#This Row],[MainFn]]*Lookups!$B$86</f>
        <v>54547.171544208002</v>
      </c>
      <c r="AW1891" s="25">
        <f>Inventory[[#This Row],[UpprFn]]*Lookups!$B$87</f>
        <v>0</v>
      </c>
      <c r="AX1891" s="25">
        <f>Inventory[[#This Row],[AddFn]]*Lookups!$B$88</f>
        <v>0</v>
      </c>
      <c r="AY1891" s="25">
        <f>Inventory[[#This Row],[Bsmt]]*Lookups!$B$89</f>
        <v>32106.412352687999</v>
      </c>
      <c r="AZ1891" s="25">
        <f>Inventory[[#This Row],[Fixtures]]*Lookups!$B$90</f>
        <v>22752.132631200002</v>
      </c>
      <c r="BA1891" s="25">
        <f>Inventory[[#This Row],[WdDeck]]*Lookups!$B$91</f>
        <v>0</v>
      </c>
      <c r="BB1891" s="25">
        <f>ROUND(Inventory[[#This Row],[25Det]],-2)</f>
        <v>5100</v>
      </c>
      <c r="BC1891" s="25">
        <f>ROUND(SUM(Inventory[[#This Row],[Mdl Qlty]:[Mdl WdDeck]])+Inventory[[#This Row],[Mdl Res Intercept]],-2)</f>
        <v>330500</v>
      </c>
      <c r="BD1891" s="25">
        <f>ROUND(Inventory[[#This Row],[Mdl Land Intercept]]+Inventory[[#This Row],[Mdl LnAcres]],-2)</f>
        <v>31800</v>
      </c>
      <c r="BE1891" s="25">
        <f>Inventory[[#This Row],[Unadj Res Value]]+Inventory[[#This Row],[Unadj Det Value]]+Inventory[[#This Row],[Unadj Land Value]]</f>
        <v>367400</v>
      </c>
      <c r="BF1891" s="36">
        <f>(Inventory[[#This Row],[Unadj Total Value]]-Inventory[[#This Row],[24Final]])/Inventory[[#This Row],[24Final]]</f>
        <v>7.0512820512820512E-2</v>
      </c>
      <c r="BG1891" s="25">
        <f>VLOOKUP(Inventory[[#This Row],[Nbhd]],Lookups!$Q$2:$T$4,4,FALSE)</f>
        <v>0.99970000000000003</v>
      </c>
      <c r="BH1891" s="25">
        <f>VLOOKUP(Inventory[[#This Row],[Qlty]],Lookups!$O$7:$R$21,4,FALSE)</f>
        <v>1.0088999999999999</v>
      </c>
      <c r="BI1891" s="25">
        <f>VLOOKUP(Inventory[[#This Row],[Cnd]],Lookups!$T$7:$W$16,4,FALSE)</f>
        <v>0.99650000000000005</v>
      </c>
      <c r="BJ1891" s="25">
        <f>VLOOKUP(Inventory[[#This Row],[LivArea Range]],Lookups!$T$25:$W$37,4,FALSE)</f>
        <v>0.98919999999999997</v>
      </c>
      <c r="BK1891" s="25">
        <f>VLOOKUP(Inventory[[#This Row],[Decade]],Lookups!$O$25:$R$42,4,FALSE)</f>
        <v>1.0074000000000001</v>
      </c>
      <c r="BL1891" s="25">
        <f>Inventory[[#This Row],[Nbhd Adj]]*0.95</f>
        <v>0.94971499999999998</v>
      </c>
      <c r="BM1891" s="25">
        <f>Inventory[[#This Row],[Nbhd Adj]]*Inventory[[#This Row],[Quality Adj]]*Inventory[[#This Row],[Condition Adj]]*Inventory[[#This Row],[Living Area Adj]]*Inventory[[#This Row],[Decade Adj]]*0.95</f>
        <v>0.95149120146958555</v>
      </c>
      <c r="BN1891" s="25">
        <f>ROUND(SUM(Inventory[[#This Row],[Mdl Qlty]:[Mdl WdDeck]])+Inventory[[#This Row],[Mdl Res Intercept]]*Inventory[[#This Row],[Res Adj ]],-2)</f>
        <v>330500</v>
      </c>
      <c r="BO1891" s="25">
        <f>ROUND(Inventory[[#This Row],[25Det]]*Inventory[[#This Row],[Det/Nbhd Adj]],-2)</f>
        <v>4800</v>
      </c>
      <c r="BP1891" s="25">
        <f>Inventory[[#This Row],[Adjusted Res]]+Inventory[[#This Row],[Adj Det ]]</f>
        <v>335300</v>
      </c>
      <c r="BQ1891" s="25">
        <f>ROUND((Inventory[[#This Row],[Mdl Land Intercept]]+Inventory[[#This Row],[Mdl LnAcres]])*Inventory[[#This Row],[Det/Nbhd Adj]],-2)</f>
        <v>30200</v>
      </c>
      <c r="BR1891" s="25">
        <f>Inventory[[#This Row],[Adjusted Impr Total]]+Inventory[[#This Row],[Adjusted Land Total]]</f>
        <v>365500</v>
      </c>
      <c r="BS1891" s="36">
        <f>IFERROR((Inventory[[#This Row],[Adjusted Impr Total]]-Inventory[[#This Row],[24Bldg]])/Inventory[[#This Row],[24Bldg]],0)</f>
        <v>0.145933014354067</v>
      </c>
      <c r="BT1891" s="36">
        <f>(Inventory[[#This Row],[Adjusted Land Total]]-Inventory[[#This Row],[24Lnd]])/Inventory[[#This Row],[24Lnd]]</f>
        <v>-0.40316205533596838</v>
      </c>
      <c r="BU1891" s="36">
        <f>(Inventory[[#This Row],[Adjusted Total]]-Inventory[[#This Row],[24Final]])/Inventory[[#This Row],[24Final]]</f>
        <v>6.4976689976689983E-2</v>
      </c>
    </row>
    <row r="1892" spans="1:73" x14ac:dyDescent="0.3">
      <c r="A1892" s="25">
        <v>2025</v>
      </c>
      <c r="B1892" s="26" t="s">
        <v>1980</v>
      </c>
      <c r="C1892" s="26">
        <f>LN(Inventory[[#This Row],[Acres]])</f>
        <v>-1.8971199848858813</v>
      </c>
      <c r="D1892" s="25">
        <v>0.15</v>
      </c>
      <c r="E1892" s="27"/>
      <c r="F1892" s="26" t="s">
        <v>537</v>
      </c>
      <c r="G1892" s="26" t="s">
        <v>126</v>
      </c>
      <c r="H1892" s="26" t="s">
        <v>349</v>
      </c>
      <c r="I1892" s="26" t="s">
        <v>538</v>
      </c>
      <c r="J1892" s="26" t="s">
        <v>539</v>
      </c>
      <c r="K1892" s="26" t="s">
        <v>269</v>
      </c>
      <c r="L1892" s="26" t="s">
        <v>205</v>
      </c>
      <c r="M1892" s="26" t="s">
        <v>323</v>
      </c>
      <c r="N1892" s="26">
        <v>100</v>
      </c>
      <c r="O1892" s="26">
        <f>2024-Inventory[[#This Row],[YrBlt]]</f>
        <v>96</v>
      </c>
      <c r="P1892" s="26">
        <f>2024-Inventory[[#This Row],[EffYr]]</f>
        <v>55</v>
      </c>
      <c r="Q1892" s="25">
        <v>1928</v>
      </c>
      <c r="R1892" s="25">
        <v>1969</v>
      </c>
      <c r="S1892" s="25">
        <v>884</v>
      </c>
      <c r="T1892" s="27"/>
      <c r="U1892" s="25">
        <v>884</v>
      </c>
      <c r="V1892" s="25">
        <f>Inventory[[#This Row],[Bsmt]]-Inventory[[#This Row],[FnBsmt]]</f>
        <v>884</v>
      </c>
      <c r="W1892" s="31"/>
      <c r="X1892" s="27"/>
      <c r="Y1892" s="27">
        <f>Inventory[[#This Row],[MainFn]]+Inventory[[#This Row],[UpprFn]]+Inventory[[#This Row],[FnBsmt]]+Inventory[[#This Row],[AddFn]]</f>
        <v>884</v>
      </c>
      <c r="Z1892" s="27">
        <v>1000</v>
      </c>
      <c r="AA1892" s="25">
        <v>5</v>
      </c>
      <c r="AB1892" s="27"/>
      <c r="AC1892" s="27"/>
      <c r="AD1892" s="31"/>
      <c r="AE1892" s="27"/>
      <c r="AF1892" s="27"/>
      <c r="AG1892" s="27"/>
      <c r="AH1892" s="27"/>
      <c r="AI1892" s="25">
        <v>174074</v>
      </c>
      <c r="AJ1892" s="25">
        <v>113148</v>
      </c>
      <c r="AK1892" s="25">
        <v>6227</v>
      </c>
      <c r="AL1892" s="25">
        <v>254600</v>
      </c>
      <c r="AM1892" s="25">
        <v>48400</v>
      </c>
      <c r="AN1892" s="25">
        <v>206200</v>
      </c>
      <c r="AO1892" s="25">
        <v>0</v>
      </c>
      <c r="AP1892" s="25">
        <f>Lookups!$B$56*0</f>
        <v>0</v>
      </c>
      <c r="AQ1892" s="25">
        <f>Lookups!$B$56*1</f>
        <v>89850.625589999996</v>
      </c>
      <c r="AR1892" s="25">
        <f>Lookups!$B$57*Inventory[[#This Row],[LnAcres]]</f>
        <v>-60052.604136134301</v>
      </c>
      <c r="AS1892" s="25">
        <f>VLOOKUP(Inventory[[#This Row],[Qlty]],Lookups!$A$62:$E$75,2,FALSE)</f>
        <v>0</v>
      </c>
      <c r="AT1892" s="25">
        <f>VLOOKUP(Inventory[[#This Row],[Cnd]],Lookups!$A$76:$E$84,2,FALSE)</f>
        <v>160472.20319</v>
      </c>
      <c r="AU1892" s="25">
        <f>Inventory[[#This Row],[EffAge]]*Lookups!$B$85</f>
        <v>-12267.5080275</v>
      </c>
      <c r="AV1892" s="25">
        <f>Inventory[[#This Row],[MainFn]]*Lookups!$B$86</f>
        <v>43677.264171267998</v>
      </c>
      <c r="AW1892" s="25">
        <f>Inventory[[#This Row],[UpprFn]]*Lookups!$B$87</f>
        <v>0</v>
      </c>
      <c r="AX1892" s="25">
        <f>Inventory[[#This Row],[AddFn]]*Lookups!$B$88</f>
        <v>0</v>
      </c>
      <c r="AY1892" s="25">
        <f>Inventory[[#This Row],[Bsmt]]*Lookups!$B$89</f>
        <v>25708.395398347999</v>
      </c>
      <c r="AZ1892" s="25">
        <f>Inventory[[#This Row],[Fixtures]]*Lookups!$B$90</f>
        <v>18960.110526</v>
      </c>
      <c r="BA1892" s="25">
        <f>Inventory[[#This Row],[WdDeck]]*Lookups!$B$91</f>
        <v>0</v>
      </c>
      <c r="BB1892" s="25">
        <f>ROUND(Inventory[[#This Row],[25Det]],-2)</f>
        <v>6200</v>
      </c>
      <c r="BC1892" s="25">
        <f>ROUND(SUM(Inventory[[#This Row],[Mdl Qlty]:[Mdl WdDeck]])+Inventory[[#This Row],[Mdl Res Intercept]],-2)</f>
        <v>236600</v>
      </c>
      <c r="BD1892" s="25">
        <f>ROUND(Inventory[[#This Row],[Mdl Land Intercept]]+Inventory[[#This Row],[Mdl LnAcres]],-2)</f>
        <v>29800</v>
      </c>
      <c r="BE1892" s="25">
        <f>Inventory[[#This Row],[Unadj Res Value]]+Inventory[[#This Row],[Unadj Det Value]]+Inventory[[#This Row],[Unadj Land Value]]</f>
        <v>272600</v>
      </c>
      <c r="BF1892" s="36">
        <f>(Inventory[[#This Row],[Unadj Total Value]]-Inventory[[#This Row],[24Final]])/Inventory[[#This Row],[24Final]]</f>
        <v>7.0699135899450122E-2</v>
      </c>
      <c r="BG1892" s="25">
        <f>VLOOKUP(Inventory[[#This Row],[Nbhd]],Lookups!$Q$2:$T$4,4,FALSE)</f>
        <v>0.99970000000000003</v>
      </c>
      <c r="BH1892" s="25">
        <f>VLOOKUP(Inventory[[#This Row],[Qlty]],Lookups!$O$7:$R$21,4,FALSE)</f>
        <v>0.99180000000000001</v>
      </c>
      <c r="BI1892" s="25">
        <f>VLOOKUP(Inventory[[#This Row],[Cnd]],Lookups!$T$7:$W$16,4,FALSE)</f>
        <v>0.99729999999999996</v>
      </c>
      <c r="BJ1892" s="25">
        <f>VLOOKUP(Inventory[[#This Row],[LivArea Range]],Lookups!$T$25:$W$37,4,FALSE)</f>
        <v>1.0148999999999999</v>
      </c>
      <c r="BK1892" s="25">
        <f>VLOOKUP(Inventory[[#This Row],[Decade]],Lookups!$O$25:$R$42,4,FALSE)</f>
        <v>1.0074000000000001</v>
      </c>
      <c r="BL1892" s="25">
        <f>Inventory[[#This Row],[Nbhd Adj]]*0.95</f>
        <v>0.94971499999999998</v>
      </c>
      <c r="BM1892" s="25">
        <f>Inventory[[#This Row],[Nbhd Adj]]*Inventory[[#This Row],[Quality Adj]]*Inventory[[#This Row],[Condition Adj]]*Inventory[[#This Row],[Living Area Adj]]*Inventory[[#This Row],[Decade Adj]]*0.95</f>
        <v>0.96043597585476481</v>
      </c>
      <c r="BN1892" s="25">
        <f>ROUND(SUM(Inventory[[#This Row],[Mdl Qlty]:[Mdl WdDeck]])+Inventory[[#This Row],[Mdl Res Intercept]]*Inventory[[#This Row],[Res Adj ]],-2)</f>
        <v>236600</v>
      </c>
      <c r="BO1892" s="25">
        <f>ROUND(Inventory[[#This Row],[25Det]]*Inventory[[#This Row],[Det/Nbhd Adj]],-2)</f>
        <v>5900</v>
      </c>
      <c r="BP1892" s="25">
        <f>Inventory[[#This Row],[Adjusted Res]]+Inventory[[#This Row],[Adj Det ]]</f>
        <v>242500</v>
      </c>
      <c r="BQ1892" s="25">
        <f>ROUND((Inventory[[#This Row],[Mdl Land Intercept]]+Inventory[[#This Row],[Mdl LnAcres]])*Inventory[[#This Row],[Det/Nbhd Adj]],-2)</f>
        <v>28300</v>
      </c>
      <c r="BR1892" s="25">
        <f>Inventory[[#This Row],[Adjusted Impr Total]]+Inventory[[#This Row],[Adjusted Land Total]]</f>
        <v>270800</v>
      </c>
      <c r="BS1892" s="36">
        <f>IFERROR((Inventory[[#This Row],[Adjusted Impr Total]]-Inventory[[#This Row],[24Bldg]])/Inventory[[#This Row],[24Bldg]],0)</f>
        <v>0.17604267701260912</v>
      </c>
      <c r="BT1892" s="36">
        <f>(Inventory[[#This Row],[Adjusted Land Total]]-Inventory[[#This Row],[24Lnd]])/Inventory[[#This Row],[24Lnd]]</f>
        <v>-0.41528925619834711</v>
      </c>
      <c r="BU1892" s="36">
        <f>(Inventory[[#This Row],[Adjusted Total]]-Inventory[[#This Row],[24Final]])/Inventory[[#This Row],[24Final]]</f>
        <v>6.3629222309505101E-2</v>
      </c>
    </row>
    <row r="1893" spans="1:73" x14ac:dyDescent="0.3">
      <c r="A1893" s="25">
        <v>2025</v>
      </c>
      <c r="B1893" s="26" t="s">
        <v>2153</v>
      </c>
      <c r="C1893" s="26">
        <f>LN(Inventory[[#This Row],[Acres]])</f>
        <v>-1.5141277326297755</v>
      </c>
      <c r="D1893" s="25">
        <v>0.22</v>
      </c>
      <c r="E1893" s="25">
        <v>9687</v>
      </c>
      <c r="F1893" s="26" t="s">
        <v>537</v>
      </c>
      <c r="G1893" s="26" t="s">
        <v>126</v>
      </c>
      <c r="H1893" s="26" t="s">
        <v>349</v>
      </c>
      <c r="I1893" s="26" t="s">
        <v>538</v>
      </c>
      <c r="J1893" s="26" t="s">
        <v>539</v>
      </c>
      <c r="K1893" s="26" t="s">
        <v>269</v>
      </c>
      <c r="L1893" s="26" t="s">
        <v>148</v>
      </c>
      <c r="M1893" s="26" t="s">
        <v>303</v>
      </c>
      <c r="N1893" s="26">
        <v>100</v>
      </c>
      <c r="O1893" s="26">
        <f>2024-Inventory[[#This Row],[YrBlt]]</f>
        <v>96</v>
      </c>
      <c r="P1893" s="26">
        <f>2024-Inventory[[#This Row],[EffYr]]</f>
        <v>55</v>
      </c>
      <c r="Q1893" s="25">
        <v>1928</v>
      </c>
      <c r="R1893" s="25">
        <v>1969</v>
      </c>
      <c r="S1893" s="25">
        <v>1516</v>
      </c>
      <c r="T1893" s="32">
        <v>870</v>
      </c>
      <c r="U1893" s="25">
        <v>1516</v>
      </c>
      <c r="V1893" s="25">
        <f>Inventory[[#This Row],[Bsmt]]-Inventory[[#This Row],[FnBsmt]]</f>
        <v>0</v>
      </c>
      <c r="W1893" s="25">
        <v>1516</v>
      </c>
      <c r="X1893" s="27"/>
      <c r="Y1893" s="27">
        <f>Inventory[[#This Row],[MainFn]]+Inventory[[#This Row],[UpprFn]]+Inventory[[#This Row],[FnBsmt]]+Inventory[[#This Row],[AddFn]]</f>
        <v>3902</v>
      </c>
      <c r="Z1893" s="27">
        <v>4000</v>
      </c>
      <c r="AA1893" s="25">
        <v>9</v>
      </c>
      <c r="AB1893" s="32">
        <v>280</v>
      </c>
      <c r="AC1893" s="27"/>
      <c r="AD1893" s="32">
        <v>480</v>
      </c>
      <c r="AE1893" s="27"/>
      <c r="AF1893" s="27"/>
      <c r="AG1893" s="27"/>
      <c r="AH1893" s="27"/>
      <c r="AI1893" s="25">
        <v>648389</v>
      </c>
      <c r="AJ1893" s="25">
        <v>434421</v>
      </c>
      <c r="AK1893" s="25">
        <v>0</v>
      </c>
      <c r="AL1893" s="25">
        <v>449600</v>
      </c>
      <c r="AM1893" s="25">
        <v>61700</v>
      </c>
      <c r="AN1893" s="25">
        <v>387900</v>
      </c>
      <c r="AO1893" s="25">
        <v>0</v>
      </c>
      <c r="AP1893" s="25">
        <f>Lookups!$B$56*0</f>
        <v>0</v>
      </c>
      <c r="AQ1893" s="25">
        <f>Lookups!$B$56*1</f>
        <v>89850.625589999996</v>
      </c>
      <c r="AR1893" s="25">
        <f>Lookups!$B$57*Inventory[[#This Row],[LnAcres]]</f>
        <v>-47929.131559187132</v>
      </c>
      <c r="AS1893" s="25">
        <f>VLOOKUP(Inventory[[#This Row],[Qlty]],Lookups!$A$62:$E$75,2,FALSE)</f>
        <v>44121.038090000002</v>
      </c>
      <c r="AT1893" s="25">
        <f>VLOOKUP(Inventory[[#This Row],[Cnd]],Lookups!$A$76:$E$84,2,FALSE)</f>
        <v>197752.34721000001</v>
      </c>
      <c r="AU1893" s="25">
        <f>Inventory[[#This Row],[EffAge]]*Lookups!$B$85</f>
        <v>-12267.5080275</v>
      </c>
      <c r="AV1893" s="25">
        <f>Inventory[[#This Row],[MainFn]]*Lookups!$B$86</f>
        <v>74903.543533532007</v>
      </c>
      <c r="AW1893" s="25">
        <f>Inventory[[#This Row],[UpprFn]]*Lookups!$B$87</f>
        <v>38964.187889069995</v>
      </c>
      <c r="AX1893" s="25">
        <f>Inventory[[#This Row],[AddFn]]*Lookups!$B$88</f>
        <v>0</v>
      </c>
      <c r="AY1893" s="25">
        <f>Inventory[[#This Row],[Bsmt]]*Lookups!$B$89</f>
        <v>44088.153194451996</v>
      </c>
      <c r="AZ1893" s="25">
        <f>Inventory[[#This Row],[Fixtures]]*Lookups!$B$90</f>
        <v>34128.198946800003</v>
      </c>
      <c r="BA1893" s="25">
        <f>Inventory[[#This Row],[WdDeck]]*Lookups!$B$91</f>
        <v>15981.847332480002</v>
      </c>
      <c r="BB1893" s="25">
        <f>ROUND(Inventory[[#This Row],[25Det]],-2)</f>
        <v>0</v>
      </c>
      <c r="BC1893" s="25">
        <f>ROUND(SUM(Inventory[[#This Row],[Mdl Qlty]:[Mdl WdDeck]])+Inventory[[#This Row],[Mdl Res Intercept]],-2)</f>
        <v>437700</v>
      </c>
      <c r="BD1893" s="25">
        <f>ROUND(Inventory[[#This Row],[Mdl Land Intercept]]+Inventory[[#This Row],[Mdl LnAcres]],-2)</f>
        <v>41900</v>
      </c>
      <c r="BE1893" s="25">
        <f>Inventory[[#This Row],[Unadj Res Value]]+Inventory[[#This Row],[Unadj Det Value]]+Inventory[[#This Row],[Unadj Land Value]]</f>
        <v>479600</v>
      </c>
      <c r="BF1893" s="36">
        <f>(Inventory[[#This Row],[Unadj Total Value]]-Inventory[[#This Row],[24Final]])/Inventory[[#This Row],[24Final]]</f>
        <v>6.6725978647686826E-2</v>
      </c>
      <c r="BG1893" s="25">
        <f>VLOOKUP(Inventory[[#This Row],[Nbhd]],Lookups!$Q$2:$T$4,4,FALSE)</f>
        <v>0.99970000000000003</v>
      </c>
      <c r="BH1893" s="25">
        <f>VLOOKUP(Inventory[[#This Row],[Qlty]],Lookups!$O$7:$R$21,4,FALSE)</f>
        <v>0.98050000000000004</v>
      </c>
      <c r="BI1893" s="25">
        <f>VLOOKUP(Inventory[[#This Row],[Cnd]],Lookups!$T$7:$W$16,4,FALSE)</f>
        <v>0.99650000000000005</v>
      </c>
      <c r="BJ1893" s="25">
        <f>VLOOKUP(Inventory[[#This Row],[LivArea Range]],Lookups!$T$25:$W$37,4,FALSE)</f>
        <v>0.94579999999999997</v>
      </c>
      <c r="BK1893" s="25">
        <f>VLOOKUP(Inventory[[#This Row],[Decade]],Lookups!$O$25:$R$42,4,FALSE)</f>
        <v>1.0074000000000001</v>
      </c>
      <c r="BL1893" s="25">
        <f>Inventory[[#This Row],[Nbhd Adj]]*0.95</f>
        <v>0.94971499999999998</v>
      </c>
      <c r="BM1893" s="25">
        <f>Inventory[[#This Row],[Nbhd Adj]]*Inventory[[#This Row],[Quality Adj]]*Inventory[[#This Row],[Condition Adj]]*Inventory[[#This Row],[Living Area Adj]]*Inventory[[#This Row],[Decade Adj]]*0.95</f>
        <v>0.88413677406956614</v>
      </c>
      <c r="BN1893" s="25">
        <f>ROUND(SUM(Inventory[[#This Row],[Mdl Qlty]:[Mdl WdDeck]])+Inventory[[#This Row],[Mdl Res Intercept]]*Inventory[[#This Row],[Res Adj ]],-2)</f>
        <v>437700</v>
      </c>
      <c r="BO1893" s="25">
        <f>ROUND(Inventory[[#This Row],[25Det]]*Inventory[[#This Row],[Det/Nbhd Adj]],-2)</f>
        <v>0</v>
      </c>
      <c r="BP1893" s="25">
        <f>Inventory[[#This Row],[Adjusted Res]]+Inventory[[#This Row],[Adj Det ]]</f>
        <v>437700</v>
      </c>
      <c r="BQ1893" s="25">
        <f>ROUND((Inventory[[#This Row],[Mdl Land Intercept]]+Inventory[[#This Row],[Mdl LnAcres]])*Inventory[[#This Row],[Det/Nbhd Adj]],-2)</f>
        <v>39800</v>
      </c>
      <c r="BR1893" s="25">
        <f>Inventory[[#This Row],[Adjusted Impr Total]]+Inventory[[#This Row],[Adjusted Land Total]]</f>
        <v>477500</v>
      </c>
      <c r="BS1893" s="36">
        <f>IFERROR((Inventory[[#This Row],[Adjusted Impr Total]]-Inventory[[#This Row],[24Bldg]])/Inventory[[#This Row],[24Bldg]],0)</f>
        <v>0.12838360402165508</v>
      </c>
      <c r="BT1893" s="36">
        <f>(Inventory[[#This Row],[Adjusted Land Total]]-Inventory[[#This Row],[24Lnd]])/Inventory[[#This Row],[24Lnd]]</f>
        <v>-0.35494327390599678</v>
      </c>
      <c r="BU1893" s="36">
        <f>(Inventory[[#This Row],[Adjusted Total]]-Inventory[[#This Row],[24Final]])/Inventory[[#This Row],[24Final]]</f>
        <v>6.2055160142348756E-2</v>
      </c>
    </row>
    <row r="1894" spans="1:73" x14ac:dyDescent="0.3">
      <c r="A1894" s="25">
        <v>2025</v>
      </c>
      <c r="B1894" s="26" t="s">
        <v>2347</v>
      </c>
      <c r="C1894" s="26">
        <f>LN(Inventory[[#This Row],[Acres]])</f>
        <v>-1.8325814637483102</v>
      </c>
      <c r="D1894" s="25">
        <v>0.16</v>
      </c>
      <c r="E1894" s="27"/>
      <c r="F1894" s="26" t="s">
        <v>537</v>
      </c>
      <c r="G1894" s="26" t="s">
        <v>126</v>
      </c>
      <c r="H1894" s="26" t="s">
        <v>349</v>
      </c>
      <c r="I1894" s="26" t="s">
        <v>538</v>
      </c>
      <c r="J1894" s="26" t="s">
        <v>539</v>
      </c>
      <c r="K1894" s="26" t="s">
        <v>242</v>
      </c>
      <c r="L1894" s="26" t="s">
        <v>351</v>
      </c>
      <c r="M1894" s="26" t="s">
        <v>323</v>
      </c>
      <c r="N1894" s="26">
        <v>100</v>
      </c>
      <c r="O1894" s="26">
        <f>2024-Inventory[[#This Row],[YrBlt]]</f>
        <v>96</v>
      </c>
      <c r="P1894" s="26">
        <f>2024-Inventory[[#This Row],[EffYr]]</f>
        <v>55</v>
      </c>
      <c r="Q1894" s="25">
        <v>1928</v>
      </c>
      <c r="R1894" s="25">
        <v>1969</v>
      </c>
      <c r="S1894" s="25">
        <v>1456</v>
      </c>
      <c r="T1894" s="27"/>
      <c r="U1894" s="25">
        <v>506</v>
      </c>
      <c r="V1894" s="25">
        <f>Inventory[[#This Row],[Bsmt]]-Inventory[[#This Row],[FnBsmt]]</f>
        <v>506</v>
      </c>
      <c r="W1894" s="31"/>
      <c r="X1894" s="27"/>
      <c r="Y1894" s="27">
        <f>Inventory[[#This Row],[MainFn]]+Inventory[[#This Row],[UpprFn]]+Inventory[[#This Row],[FnBsmt]]+Inventory[[#This Row],[AddFn]]</f>
        <v>1456</v>
      </c>
      <c r="Z1894" s="27">
        <v>1500</v>
      </c>
      <c r="AA1894" s="25">
        <v>5</v>
      </c>
      <c r="AB1894" s="27"/>
      <c r="AC1894" s="27"/>
      <c r="AD1894" s="32">
        <v>52</v>
      </c>
      <c r="AE1894" s="27"/>
      <c r="AF1894" s="27"/>
      <c r="AG1894" s="27"/>
      <c r="AH1894" s="27"/>
      <c r="AI1894" s="25">
        <v>262934</v>
      </c>
      <c r="AJ1894" s="25">
        <v>170907</v>
      </c>
      <c r="AK1894" s="25">
        <v>6313</v>
      </c>
      <c r="AL1894" s="25">
        <v>295700</v>
      </c>
      <c r="AM1894" s="25">
        <v>50600</v>
      </c>
      <c r="AN1894" s="25">
        <v>245100</v>
      </c>
      <c r="AO1894" s="25">
        <v>0</v>
      </c>
      <c r="AP1894" s="25">
        <f>Lookups!$B$56*0</f>
        <v>0</v>
      </c>
      <c r="AQ1894" s="25">
        <f>Lookups!$B$56*1</f>
        <v>89850.625589999996</v>
      </c>
      <c r="AR1894" s="25">
        <f>Lookups!$B$57*Inventory[[#This Row],[LnAcres]]</f>
        <v>-58009.662049032086</v>
      </c>
      <c r="AS1894" s="25">
        <f>VLOOKUP(Inventory[[#This Row],[Qlty]],Lookups!$A$62:$E$75,2,FALSE)</f>
        <v>21557.329055999999</v>
      </c>
      <c r="AT1894" s="25">
        <f>VLOOKUP(Inventory[[#This Row],[Cnd]],Lookups!$A$76:$E$84,2,FALSE)</f>
        <v>160472.20319</v>
      </c>
      <c r="AU1894" s="25">
        <f>Inventory[[#This Row],[EffAge]]*Lookups!$B$85</f>
        <v>-12267.5080275</v>
      </c>
      <c r="AV1894" s="25">
        <f>Inventory[[#This Row],[MainFn]]*Lookups!$B$86</f>
        <v>71939.023340911997</v>
      </c>
      <c r="AW1894" s="25">
        <f>Inventory[[#This Row],[UpprFn]]*Lookups!$B$87</f>
        <v>0</v>
      </c>
      <c r="AX1894" s="25">
        <f>Inventory[[#This Row],[AddFn]]*Lookups!$B$88</f>
        <v>0</v>
      </c>
      <c r="AY1894" s="25">
        <f>Inventory[[#This Row],[Bsmt]]*Lookups!$B$89</f>
        <v>14715.438994982</v>
      </c>
      <c r="AZ1894" s="25">
        <f>Inventory[[#This Row],[Fixtures]]*Lookups!$B$90</f>
        <v>18960.110526</v>
      </c>
      <c r="BA1894" s="25">
        <f>Inventory[[#This Row],[WdDeck]]*Lookups!$B$91</f>
        <v>1731.3667943520002</v>
      </c>
      <c r="BB1894" s="25">
        <f>ROUND(Inventory[[#This Row],[25Det]],-2)</f>
        <v>6300</v>
      </c>
      <c r="BC1894" s="25">
        <f>ROUND(SUM(Inventory[[#This Row],[Mdl Qlty]:[Mdl WdDeck]])+Inventory[[#This Row],[Mdl Res Intercept]],-2)</f>
        <v>277100</v>
      </c>
      <c r="BD1894" s="25">
        <f>ROUND(Inventory[[#This Row],[Mdl Land Intercept]]+Inventory[[#This Row],[Mdl LnAcres]],-2)</f>
        <v>31800</v>
      </c>
      <c r="BE1894" s="25">
        <f>Inventory[[#This Row],[Unadj Res Value]]+Inventory[[#This Row],[Unadj Det Value]]+Inventory[[#This Row],[Unadj Land Value]]</f>
        <v>315200</v>
      </c>
      <c r="BF1894" s="36">
        <f>(Inventory[[#This Row],[Unadj Total Value]]-Inventory[[#This Row],[24Final]])/Inventory[[#This Row],[24Final]]</f>
        <v>6.5945214744673658E-2</v>
      </c>
      <c r="BG1894" s="25">
        <f>VLOOKUP(Inventory[[#This Row],[Nbhd]],Lookups!$Q$2:$T$4,4,FALSE)</f>
        <v>0.99970000000000003</v>
      </c>
      <c r="BH1894" s="25">
        <f>VLOOKUP(Inventory[[#This Row],[Qlty]],Lookups!$O$7:$R$21,4,FALSE)</f>
        <v>1.0067999999999999</v>
      </c>
      <c r="BI1894" s="25">
        <f>VLOOKUP(Inventory[[#This Row],[Cnd]],Lookups!$T$7:$W$16,4,FALSE)</f>
        <v>0.99729999999999996</v>
      </c>
      <c r="BJ1894" s="25">
        <f>VLOOKUP(Inventory[[#This Row],[LivArea Range]],Lookups!$T$25:$W$37,4,FALSE)</f>
        <v>1.0157</v>
      </c>
      <c r="BK1894" s="25">
        <f>VLOOKUP(Inventory[[#This Row],[Decade]],Lookups!$O$25:$R$42,4,FALSE)</f>
        <v>1.0074000000000001</v>
      </c>
      <c r="BL1894" s="25">
        <f>Inventory[[#This Row],[Nbhd Adj]]*0.95</f>
        <v>0.94971499999999998</v>
      </c>
      <c r="BM1894" s="25">
        <f>Inventory[[#This Row],[Nbhd Adj]]*Inventory[[#This Row],[Quality Adj]]*Inventory[[#This Row],[Condition Adj]]*Inventory[[#This Row],[Living Area Adj]]*Inventory[[#This Row],[Decade Adj]]*0.95</f>
        <v>0.97573014419916293</v>
      </c>
      <c r="BN1894" s="25">
        <f>ROUND(SUM(Inventory[[#This Row],[Mdl Qlty]:[Mdl WdDeck]])+Inventory[[#This Row],[Mdl Res Intercept]]*Inventory[[#This Row],[Res Adj ]],-2)</f>
        <v>277100</v>
      </c>
      <c r="BO1894" s="25">
        <f>ROUND(Inventory[[#This Row],[25Det]]*Inventory[[#This Row],[Det/Nbhd Adj]],-2)</f>
        <v>6000</v>
      </c>
      <c r="BP1894" s="25">
        <f>Inventory[[#This Row],[Adjusted Res]]+Inventory[[#This Row],[Adj Det ]]</f>
        <v>283100</v>
      </c>
      <c r="BQ1894" s="25">
        <f>ROUND((Inventory[[#This Row],[Mdl Land Intercept]]+Inventory[[#This Row],[Mdl LnAcres]])*Inventory[[#This Row],[Det/Nbhd Adj]],-2)</f>
        <v>30200</v>
      </c>
      <c r="BR1894" s="25">
        <f>Inventory[[#This Row],[Adjusted Impr Total]]+Inventory[[#This Row],[Adjusted Land Total]]</f>
        <v>313300</v>
      </c>
      <c r="BS1894" s="36">
        <f>IFERROR((Inventory[[#This Row],[Adjusted Impr Total]]-Inventory[[#This Row],[24Bldg]])/Inventory[[#This Row],[24Bldg]],0)</f>
        <v>0.15503875968992248</v>
      </c>
      <c r="BT1894" s="36">
        <f>(Inventory[[#This Row],[Adjusted Land Total]]-Inventory[[#This Row],[24Lnd]])/Inventory[[#This Row],[24Lnd]]</f>
        <v>-0.40316205533596838</v>
      </c>
      <c r="BU1894" s="36">
        <f>(Inventory[[#This Row],[Adjusted Total]]-Inventory[[#This Row],[24Final]])/Inventory[[#This Row],[24Final]]</f>
        <v>5.9519783564423404E-2</v>
      </c>
    </row>
    <row r="1895" spans="1:73" x14ac:dyDescent="0.3">
      <c r="A1895" s="25">
        <v>2025</v>
      </c>
      <c r="B1895" s="26" t="s">
        <v>2786</v>
      </c>
      <c r="C1895" s="26">
        <f>LN(Inventory[[#This Row],[Acres]])</f>
        <v>-1.6094379124341003</v>
      </c>
      <c r="D1895" s="25">
        <v>0.2</v>
      </c>
      <c r="E1895" s="27"/>
      <c r="F1895" s="26" t="s">
        <v>537</v>
      </c>
      <c r="G1895" s="26" t="s">
        <v>126</v>
      </c>
      <c r="H1895" s="26" t="s">
        <v>349</v>
      </c>
      <c r="I1895" s="26" t="s">
        <v>538</v>
      </c>
      <c r="J1895" s="26" t="s">
        <v>539</v>
      </c>
      <c r="K1895" s="26" t="s">
        <v>147</v>
      </c>
      <c r="L1895" s="26" t="s">
        <v>351</v>
      </c>
      <c r="M1895" s="26" t="s">
        <v>323</v>
      </c>
      <c r="N1895" s="26">
        <v>100</v>
      </c>
      <c r="O1895" s="26">
        <f>2024-Inventory[[#This Row],[YrBlt]]</f>
        <v>96</v>
      </c>
      <c r="P1895" s="26">
        <f>2024-Inventory[[#This Row],[EffYr]]</f>
        <v>55</v>
      </c>
      <c r="Q1895" s="25">
        <v>1928</v>
      </c>
      <c r="R1895" s="25">
        <v>1969</v>
      </c>
      <c r="S1895" s="25">
        <v>960</v>
      </c>
      <c r="T1895" s="32">
        <v>708</v>
      </c>
      <c r="U1895" s="32">
        <v>960</v>
      </c>
      <c r="V1895" s="32">
        <f>Inventory[[#This Row],[Bsmt]]-Inventory[[#This Row],[FnBsmt]]</f>
        <v>960</v>
      </c>
      <c r="W1895" s="27"/>
      <c r="X1895" s="27"/>
      <c r="Y1895" s="27">
        <f>Inventory[[#This Row],[MainFn]]+Inventory[[#This Row],[UpprFn]]+Inventory[[#This Row],[FnBsmt]]+Inventory[[#This Row],[AddFn]]</f>
        <v>1668</v>
      </c>
      <c r="Z1895" s="27">
        <v>2000</v>
      </c>
      <c r="AA1895" s="25">
        <v>9</v>
      </c>
      <c r="AB1895" s="31"/>
      <c r="AC1895" s="27"/>
      <c r="AD1895" s="31"/>
      <c r="AE1895" s="27"/>
      <c r="AF1895" s="27"/>
      <c r="AG1895" s="27"/>
      <c r="AH1895" s="27"/>
      <c r="AI1895" s="25">
        <v>273255</v>
      </c>
      <c r="AJ1895" s="25">
        <v>177616</v>
      </c>
      <c r="AK1895" s="25">
        <v>5261</v>
      </c>
      <c r="AL1895" s="25">
        <v>333100</v>
      </c>
      <c r="AM1895" s="25">
        <v>58400</v>
      </c>
      <c r="AN1895" s="25">
        <v>274700</v>
      </c>
      <c r="AO1895" s="25">
        <v>0</v>
      </c>
      <c r="AP1895" s="25">
        <f>Lookups!$B$56*0</f>
        <v>0</v>
      </c>
      <c r="AQ1895" s="25">
        <f>Lookups!$B$56*1</f>
        <v>89850.625589999996</v>
      </c>
      <c r="AR1895" s="25">
        <f>Lookups!$B$57*Inventory[[#This Row],[LnAcres]]</f>
        <v>-50946.13867709865</v>
      </c>
      <c r="AS1895" s="25">
        <f>VLOOKUP(Inventory[[#This Row],[Qlty]],Lookups!$A$62:$E$75,2,FALSE)</f>
        <v>21557.329055999999</v>
      </c>
      <c r="AT1895" s="25">
        <f>VLOOKUP(Inventory[[#This Row],[Cnd]],Lookups!$A$76:$E$84,2,FALSE)</f>
        <v>160472.20319</v>
      </c>
      <c r="AU1895" s="25">
        <f>Inventory[[#This Row],[EffAge]]*Lookups!$B$85</f>
        <v>-12267.5080275</v>
      </c>
      <c r="AV1895" s="25">
        <f>Inventory[[#This Row],[MainFn]]*Lookups!$B$86</f>
        <v>47432.323081920003</v>
      </c>
      <c r="AW1895" s="25">
        <f>Inventory[[#This Row],[UpprFn]]*Lookups!$B$87</f>
        <v>31708.787385587999</v>
      </c>
      <c r="AX1895" s="25">
        <f>Inventory[[#This Row],[AddFn]]*Lookups!$B$88</f>
        <v>0</v>
      </c>
      <c r="AY1895" s="25">
        <f>Inventory[[#This Row],[Bsmt]]*Lookups!$B$89</f>
        <v>27918.61943712</v>
      </c>
      <c r="AZ1895" s="25">
        <f>Inventory[[#This Row],[Fixtures]]*Lookups!$B$90</f>
        <v>34128.198946800003</v>
      </c>
      <c r="BA1895" s="25">
        <f>Inventory[[#This Row],[WdDeck]]*Lookups!$B$91</f>
        <v>0</v>
      </c>
      <c r="BB1895" s="25">
        <f>ROUND(Inventory[[#This Row],[25Det]],-2)</f>
        <v>5300</v>
      </c>
      <c r="BC1895" s="25">
        <f>ROUND(SUM(Inventory[[#This Row],[Mdl Qlty]:[Mdl WdDeck]])+Inventory[[#This Row],[Mdl Res Intercept]],-2)</f>
        <v>310900</v>
      </c>
      <c r="BD1895" s="25">
        <f>ROUND(Inventory[[#This Row],[Mdl Land Intercept]]+Inventory[[#This Row],[Mdl LnAcres]],-2)</f>
        <v>38900</v>
      </c>
      <c r="BE1895" s="25">
        <f>Inventory[[#This Row],[Unadj Res Value]]+Inventory[[#This Row],[Unadj Det Value]]+Inventory[[#This Row],[Unadj Land Value]]</f>
        <v>355100</v>
      </c>
      <c r="BF1895" s="36">
        <f>(Inventory[[#This Row],[Unadj Total Value]]-Inventory[[#This Row],[24Final]])/Inventory[[#This Row],[24Final]]</f>
        <v>6.6046232362653862E-2</v>
      </c>
      <c r="BG1895" s="25">
        <f>VLOOKUP(Inventory[[#This Row],[Nbhd]],Lookups!$Q$2:$T$4,4,FALSE)</f>
        <v>0.99970000000000003</v>
      </c>
      <c r="BH1895" s="25">
        <f>VLOOKUP(Inventory[[#This Row],[Qlty]],Lookups!$O$7:$R$21,4,FALSE)</f>
        <v>1.0067999999999999</v>
      </c>
      <c r="BI1895" s="25">
        <f>VLOOKUP(Inventory[[#This Row],[Cnd]],Lookups!$T$7:$W$16,4,FALSE)</f>
        <v>0.99729999999999996</v>
      </c>
      <c r="BJ1895" s="25">
        <f>VLOOKUP(Inventory[[#This Row],[LivArea Range]],Lookups!$T$25:$W$37,4,FALSE)</f>
        <v>1.0093000000000001</v>
      </c>
      <c r="BK1895" s="25">
        <f>VLOOKUP(Inventory[[#This Row],[Decade]],Lookups!$O$25:$R$42,4,FALSE)</f>
        <v>1.0074000000000001</v>
      </c>
      <c r="BL1895" s="25">
        <f>Inventory[[#This Row],[Nbhd Adj]]*0.95</f>
        <v>0.94971499999999998</v>
      </c>
      <c r="BM1895" s="25">
        <f>Inventory[[#This Row],[Nbhd Adj]]*Inventory[[#This Row],[Quality Adj]]*Inventory[[#This Row],[Condition Adj]]*Inventory[[#This Row],[Living Area Adj]]*Inventory[[#This Row],[Decade Adj]]*0.95</f>
        <v>0.96958199718441984</v>
      </c>
      <c r="BN1895" s="25">
        <f>ROUND(SUM(Inventory[[#This Row],[Mdl Qlty]:[Mdl WdDeck]])+Inventory[[#This Row],[Mdl Res Intercept]]*Inventory[[#This Row],[Res Adj ]],-2)</f>
        <v>310900</v>
      </c>
      <c r="BO1895" s="25">
        <f>ROUND(Inventory[[#This Row],[25Det]]*Inventory[[#This Row],[Det/Nbhd Adj]],-2)</f>
        <v>5000</v>
      </c>
      <c r="BP1895" s="25">
        <f>Inventory[[#This Row],[Adjusted Res]]+Inventory[[#This Row],[Adj Det ]]</f>
        <v>315900</v>
      </c>
      <c r="BQ1895" s="25">
        <f>ROUND((Inventory[[#This Row],[Mdl Land Intercept]]+Inventory[[#This Row],[Mdl LnAcres]])*Inventory[[#This Row],[Det/Nbhd Adj]],-2)</f>
        <v>36900</v>
      </c>
      <c r="BR1895" s="25">
        <f>Inventory[[#This Row],[Adjusted Impr Total]]+Inventory[[#This Row],[Adjusted Land Total]]</f>
        <v>352800</v>
      </c>
      <c r="BS1895" s="36">
        <f>IFERROR((Inventory[[#This Row],[Adjusted Impr Total]]-Inventory[[#This Row],[24Bldg]])/Inventory[[#This Row],[24Bldg]],0)</f>
        <v>0.14998179832544595</v>
      </c>
      <c r="BT1895" s="36">
        <f>(Inventory[[#This Row],[Adjusted Land Total]]-Inventory[[#This Row],[24Lnd]])/Inventory[[#This Row],[24Lnd]]</f>
        <v>-0.36815068493150682</v>
      </c>
      <c r="BU1895" s="36">
        <f>(Inventory[[#This Row],[Adjusted Total]]-Inventory[[#This Row],[24Final]])/Inventory[[#This Row],[24Final]]</f>
        <v>5.9141398979285498E-2</v>
      </c>
    </row>
    <row r="1896" spans="1:73" x14ac:dyDescent="0.3">
      <c r="A1896" s="25">
        <v>2025</v>
      </c>
      <c r="B1896" s="26" t="s">
        <v>2070</v>
      </c>
      <c r="C1896" s="26">
        <f>LN(Inventory[[#This Row],[Acres]])</f>
        <v>-1.8971199848858813</v>
      </c>
      <c r="D1896" s="25">
        <v>0.15</v>
      </c>
      <c r="E1896" s="27"/>
      <c r="F1896" s="26" t="s">
        <v>537</v>
      </c>
      <c r="G1896" s="26" t="s">
        <v>126</v>
      </c>
      <c r="H1896" s="26" t="s">
        <v>349</v>
      </c>
      <c r="I1896" s="26" t="s">
        <v>538</v>
      </c>
      <c r="J1896" s="26" t="s">
        <v>539</v>
      </c>
      <c r="K1896" s="26" t="s">
        <v>242</v>
      </c>
      <c r="L1896" s="26" t="s">
        <v>351</v>
      </c>
      <c r="M1896" s="26" t="s">
        <v>303</v>
      </c>
      <c r="N1896" s="26">
        <v>100</v>
      </c>
      <c r="O1896" s="26">
        <f>2024-Inventory[[#This Row],[YrBlt]]</f>
        <v>96</v>
      </c>
      <c r="P1896" s="26">
        <f>2024-Inventory[[#This Row],[EffYr]]</f>
        <v>40</v>
      </c>
      <c r="Q1896" s="25">
        <v>1928</v>
      </c>
      <c r="R1896" s="25">
        <v>1984</v>
      </c>
      <c r="S1896" s="25">
        <v>1344</v>
      </c>
      <c r="T1896" s="27"/>
      <c r="U1896" s="25">
        <v>850</v>
      </c>
      <c r="V1896" s="25">
        <f>Inventory[[#This Row],[Bsmt]]-Inventory[[#This Row],[FnBsmt]]</f>
        <v>0</v>
      </c>
      <c r="W1896" s="25">
        <v>850</v>
      </c>
      <c r="X1896" s="27"/>
      <c r="Y1896" s="27">
        <f>Inventory[[#This Row],[MainFn]]+Inventory[[#This Row],[UpprFn]]+Inventory[[#This Row],[FnBsmt]]+Inventory[[#This Row],[AddFn]]</f>
        <v>2194</v>
      </c>
      <c r="Z1896" s="27">
        <v>2500</v>
      </c>
      <c r="AA1896" s="25">
        <v>9</v>
      </c>
      <c r="AB1896" s="27"/>
      <c r="AC1896" s="31"/>
      <c r="AD1896" s="31"/>
      <c r="AE1896" s="27"/>
      <c r="AF1896" s="27"/>
      <c r="AG1896" s="27"/>
      <c r="AH1896" s="27"/>
      <c r="AI1896" s="25">
        <v>300250</v>
      </c>
      <c r="AJ1896" s="25">
        <v>243203</v>
      </c>
      <c r="AK1896" s="25">
        <v>6724</v>
      </c>
      <c r="AL1896" s="25">
        <v>351400</v>
      </c>
      <c r="AM1896" s="25">
        <v>48400</v>
      </c>
      <c r="AN1896" s="25">
        <v>303000</v>
      </c>
      <c r="AO1896" s="25">
        <v>0</v>
      </c>
      <c r="AP1896" s="25">
        <f>Lookups!$B$56*0</f>
        <v>0</v>
      </c>
      <c r="AQ1896" s="25">
        <f>Lookups!$B$56*1</f>
        <v>89850.625589999996</v>
      </c>
      <c r="AR1896" s="25">
        <f>Lookups!$B$57*Inventory[[#This Row],[LnAcres]]</f>
        <v>-60052.604136134301</v>
      </c>
      <c r="AS1896" s="25">
        <f>VLOOKUP(Inventory[[#This Row],[Qlty]],Lookups!$A$62:$E$75,2,FALSE)</f>
        <v>21557.329055999999</v>
      </c>
      <c r="AT1896" s="25">
        <f>VLOOKUP(Inventory[[#This Row],[Cnd]],Lookups!$A$76:$E$84,2,FALSE)</f>
        <v>197752.34721000001</v>
      </c>
      <c r="AU1896" s="25">
        <f>Inventory[[#This Row],[EffAge]]*Lookups!$B$85</f>
        <v>-8921.82402</v>
      </c>
      <c r="AV1896" s="25">
        <f>Inventory[[#This Row],[MainFn]]*Lookups!$B$86</f>
        <v>66405.252314687998</v>
      </c>
      <c r="AW1896" s="25">
        <f>Inventory[[#This Row],[UpprFn]]*Lookups!$B$87</f>
        <v>0</v>
      </c>
      <c r="AX1896" s="25">
        <f>Inventory[[#This Row],[AddFn]]*Lookups!$B$88</f>
        <v>0</v>
      </c>
      <c r="AY1896" s="25">
        <f>Inventory[[#This Row],[Bsmt]]*Lookups!$B$89</f>
        <v>24719.610959949998</v>
      </c>
      <c r="AZ1896" s="25">
        <f>Inventory[[#This Row],[Fixtures]]*Lookups!$B$90</f>
        <v>34128.198946800003</v>
      </c>
      <c r="BA1896" s="25">
        <f>Inventory[[#This Row],[WdDeck]]*Lookups!$B$91</f>
        <v>0</v>
      </c>
      <c r="BB1896" s="25">
        <f>ROUND(Inventory[[#This Row],[25Det]],-2)</f>
        <v>6700</v>
      </c>
      <c r="BC1896" s="25">
        <f>ROUND(SUM(Inventory[[#This Row],[Mdl Qlty]:[Mdl WdDeck]])+Inventory[[#This Row],[Mdl Res Intercept]],-2)</f>
        <v>335600</v>
      </c>
      <c r="BD1896" s="25">
        <f>ROUND(Inventory[[#This Row],[Mdl Land Intercept]]+Inventory[[#This Row],[Mdl LnAcres]],-2)</f>
        <v>29800</v>
      </c>
      <c r="BE1896" s="25">
        <f>Inventory[[#This Row],[Unadj Res Value]]+Inventory[[#This Row],[Unadj Det Value]]+Inventory[[#This Row],[Unadj Land Value]]</f>
        <v>372100</v>
      </c>
      <c r="BF1896" s="36">
        <f>(Inventory[[#This Row],[Unadj Total Value]]-Inventory[[#This Row],[24Final]])/Inventory[[#This Row],[24Final]]</f>
        <v>5.8907228229937394E-2</v>
      </c>
      <c r="BG1896" s="25">
        <f>VLOOKUP(Inventory[[#This Row],[Nbhd]],Lookups!$Q$2:$T$4,4,FALSE)</f>
        <v>0.99970000000000003</v>
      </c>
      <c r="BH1896" s="25">
        <f>VLOOKUP(Inventory[[#This Row],[Qlty]],Lookups!$O$7:$R$21,4,FALSE)</f>
        <v>1.0067999999999999</v>
      </c>
      <c r="BI1896" s="25">
        <f>VLOOKUP(Inventory[[#This Row],[Cnd]],Lookups!$T$7:$W$16,4,FALSE)</f>
        <v>0.99650000000000005</v>
      </c>
      <c r="BJ1896" s="25">
        <f>VLOOKUP(Inventory[[#This Row],[LivArea Range]],Lookups!$T$25:$W$37,4,FALSE)</f>
        <v>0.98919999999999997</v>
      </c>
      <c r="BK1896" s="25">
        <f>VLOOKUP(Inventory[[#This Row],[Decade]],Lookups!$O$25:$R$42,4,FALSE)</f>
        <v>1.0074000000000001</v>
      </c>
      <c r="BL1896" s="25">
        <f>Inventory[[#This Row],[Nbhd Adj]]*0.95</f>
        <v>0.94971499999999998</v>
      </c>
      <c r="BM1896" s="25">
        <f>Inventory[[#This Row],[Nbhd Adj]]*Inventory[[#This Row],[Quality Adj]]*Inventory[[#This Row],[Condition Adj]]*Inventory[[#This Row],[Living Area Adj]]*Inventory[[#This Row],[Decade Adj]]*0.95</f>
        <v>0.94951069644125163</v>
      </c>
      <c r="BN1896" s="25">
        <f>ROUND(SUM(Inventory[[#This Row],[Mdl Qlty]:[Mdl WdDeck]])+Inventory[[#This Row],[Mdl Res Intercept]]*Inventory[[#This Row],[Res Adj ]],-2)</f>
        <v>335600</v>
      </c>
      <c r="BO1896" s="25">
        <f>ROUND(Inventory[[#This Row],[25Det]]*Inventory[[#This Row],[Det/Nbhd Adj]],-2)</f>
        <v>6400</v>
      </c>
      <c r="BP1896" s="25">
        <f>Inventory[[#This Row],[Adjusted Res]]+Inventory[[#This Row],[Adj Det ]]</f>
        <v>342000</v>
      </c>
      <c r="BQ1896" s="25">
        <f>ROUND((Inventory[[#This Row],[Mdl Land Intercept]]+Inventory[[#This Row],[Mdl LnAcres]])*Inventory[[#This Row],[Det/Nbhd Adj]],-2)</f>
        <v>28300</v>
      </c>
      <c r="BR1896" s="25">
        <f>Inventory[[#This Row],[Adjusted Impr Total]]+Inventory[[#This Row],[Adjusted Land Total]]</f>
        <v>370300</v>
      </c>
      <c r="BS1896" s="36">
        <f>IFERROR((Inventory[[#This Row],[Adjusted Impr Total]]-Inventory[[#This Row],[24Bldg]])/Inventory[[#This Row],[24Bldg]],0)</f>
        <v>0.12871287128712872</v>
      </c>
      <c r="BT1896" s="36">
        <f>(Inventory[[#This Row],[Adjusted Land Total]]-Inventory[[#This Row],[24Lnd]])/Inventory[[#This Row],[24Lnd]]</f>
        <v>-0.41528925619834711</v>
      </c>
      <c r="BU1896" s="36">
        <f>(Inventory[[#This Row],[Adjusted Total]]-Inventory[[#This Row],[24Final]])/Inventory[[#This Row],[24Final]]</f>
        <v>5.3784860557768925E-2</v>
      </c>
    </row>
    <row r="1897" spans="1:73" x14ac:dyDescent="0.3">
      <c r="A1897" s="25">
        <v>2025</v>
      </c>
      <c r="B1897" s="26" t="s">
        <v>2781</v>
      </c>
      <c r="C1897" s="26">
        <f>LN(Inventory[[#This Row],[Acres]])</f>
        <v>-1.1394342831883648</v>
      </c>
      <c r="D1897" s="25">
        <v>0.32</v>
      </c>
      <c r="E1897" s="32">
        <v>13736</v>
      </c>
      <c r="F1897" s="26" t="s">
        <v>537</v>
      </c>
      <c r="G1897" s="26" t="s">
        <v>126</v>
      </c>
      <c r="H1897" s="26" t="s">
        <v>349</v>
      </c>
      <c r="I1897" s="26" t="s">
        <v>538</v>
      </c>
      <c r="J1897" s="26" t="s">
        <v>539</v>
      </c>
      <c r="K1897" s="26" t="s">
        <v>147</v>
      </c>
      <c r="L1897" s="26" t="s">
        <v>351</v>
      </c>
      <c r="M1897" s="26" t="s">
        <v>303</v>
      </c>
      <c r="N1897" s="26">
        <v>100</v>
      </c>
      <c r="O1897" s="26">
        <f>2024-Inventory[[#This Row],[YrBlt]]</f>
        <v>96</v>
      </c>
      <c r="P1897" s="26">
        <f>2024-Inventory[[#This Row],[EffYr]]</f>
        <v>55</v>
      </c>
      <c r="Q1897" s="25">
        <v>1928</v>
      </c>
      <c r="R1897" s="25">
        <v>1969</v>
      </c>
      <c r="S1897" s="25">
        <v>1380</v>
      </c>
      <c r="T1897" s="32">
        <v>600</v>
      </c>
      <c r="U1897" s="25">
        <v>1200</v>
      </c>
      <c r="V1897" s="25">
        <f>Inventory[[#This Row],[Bsmt]]-Inventory[[#This Row],[FnBsmt]]</f>
        <v>600</v>
      </c>
      <c r="W1897" s="25">
        <v>600</v>
      </c>
      <c r="X1897" s="27"/>
      <c r="Y1897" s="27">
        <f>Inventory[[#This Row],[MainFn]]+Inventory[[#This Row],[UpprFn]]+Inventory[[#This Row],[FnBsmt]]+Inventory[[#This Row],[AddFn]]</f>
        <v>2580</v>
      </c>
      <c r="Z1897" s="27">
        <v>3000</v>
      </c>
      <c r="AA1897" s="25">
        <v>7</v>
      </c>
      <c r="AB1897" s="27"/>
      <c r="AC1897" s="27"/>
      <c r="AD1897" s="25">
        <v>72</v>
      </c>
      <c r="AE1897" s="27"/>
      <c r="AF1897" s="27"/>
      <c r="AG1897" s="27"/>
      <c r="AH1897" s="27"/>
      <c r="AI1897" s="25">
        <v>375213</v>
      </c>
      <c r="AJ1897" s="25">
        <v>251393</v>
      </c>
      <c r="AK1897" s="25">
        <v>6227</v>
      </c>
      <c r="AL1897" s="25">
        <v>402200</v>
      </c>
      <c r="AM1897" s="25">
        <v>74800</v>
      </c>
      <c r="AN1897" s="25">
        <v>327400</v>
      </c>
      <c r="AO1897" s="25">
        <v>0</v>
      </c>
      <c r="AP1897" s="25">
        <f>Lookups!$B$56*0</f>
        <v>0</v>
      </c>
      <c r="AQ1897" s="25">
        <f>Lookups!$B$56*1</f>
        <v>89850.625589999996</v>
      </c>
      <c r="AR1897" s="25">
        <f>Lookups!$B$57*Inventory[[#This Row],[LnAcres]]</f>
        <v>-36068.354396449467</v>
      </c>
      <c r="AS1897" s="25">
        <f>VLOOKUP(Inventory[[#This Row],[Qlty]],Lookups!$A$62:$E$75,2,FALSE)</f>
        <v>21557.329055999999</v>
      </c>
      <c r="AT1897" s="25">
        <f>VLOOKUP(Inventory[[#This Row],[Cnd]],Lookups!$A$76:$E$84,2,FALSE)</f>
        <v>197752.34721000001</v>
      </c>
      <c r="AU1897" s="25">
        <f>Inventory[[#This Row],[EffAge]]*Lookups!$B$85</f>
        <v>-12267.5080275</v>
      </c>
      <c r="AV1897" s="25">
        <f>Inventory[[#This Row],[MainFn]]*Lookups!$B$86</f>
        <v>68183.964430260006</v>
      </c>
      <c r="AW1897" s="25">
        <f>Inventory[[#This Row],[UpprFn]]*Lookups!$B$87</f>
        <v>26871.853716599999</v>
      </c>
      <c r="AX1897" s="25">
        <f>Inventory[[#This Row],[AddFn]]*Lookups!$B$88</f>
        <v>0</v>
      </c>
      <c r="AY1897" s="25">
        <f>Inventory[[#This Row],[Bsmt]]*Lookups!$B$89</f>
        <v>34898.274296399999</v>
      </c>
      <c r="AZ1897" s="25">
        <f>Inventory[[#This Row],[Fixtures]]*Lookups!$B$90</f>
        <v>26544.1547364</v>
      </c>
      <c r="BA1897" s="25">
        <f>Inventory[[#This Row],[WdDeck]]*Lookups!$B$91</f>
        <v>2397.2770998720002</v>
      </c>
      <c r="BB1897" s="25">
        <f>ROUND(Inventory[[#This Row],[25Det]],-2)</f>
        <v>6200</v>
      </c>
      <c r="BC1897" s="25">
        <f>ROUND(SUM(Inventory[[#This Row],[Mdl Qlty]:[Mdl WdDeck]])+Inventory[[#This Row],[Mdl Res Intercept]],-2)</f>
        <v>365900</v>
      </c>
      <c r="BD1897" s="25">
        <f>ROUND(Inventory[[#This Row],[Mdl Land Intercept]]+Inventory[[#This Row],[Mdl LnAcres]],-2)</f>
        <v>53800</v>
      </c>
      <c r="BE1897" s="25">
        <f>Inventory[[#This Row],[Unadj Res Value]]+Inventory[[#This Row],[Unadj Det Value]]+Inventory[[#This Row],[Unadj Land Value]]</f>
        <v>425900</v>
      </c>
      <c r="BF1897" s="36">
        <f>(Inventory[[#This Row],[Unadj Total Value]]-Inventory[[#This Row],[24Final]])/Inventory[[#This Row],[24Final]]</f>
        <v>5.8925907508702136E-2</v>
      </c>
      <c r="BG1897" s="25">
        <f>VLOOKUP(Inventory[[#This Row],[Nbhd]],Lookups!$Q$2:$T$4,4,FALSE)</f>
        <v>0.99970000000000003</v>
      </c>
      <c r="BH1897" s="25">
        <f>VLOOKUP(Inventory[[#This Row],[Qlty]],Lookups!$O$7:$R$21,4,FALSE)</f>
        <v>1.0067999999999999</v>
      </c>
      <c r="BI1897" s="25">
        <f>VLOOKUP(Inventory[[#This Row],[Cnd]],Lookups!$T$7:$W$16,4,FALSE)</f>
        <v>0.99650000000000005</v>
      </c>
      <c r="BJ1897" s="25">
        <f>VLOOKUP(Inventory[[#This Row],[LivArea Range]],Lookups!$T$25:$W$37,4,FALSE)</f>
        <v>0.96179999999999999</v>
      </c>
      <c r="BK1897" s="25">
        <f>VLOOKUP(Inventory[[#This Row],[Decade]],Lookups!$O$25:$R$42,4,FALSE)</f>
        <v>1.0074000000000001</v>
      </c>
      <c r="BL1897" s="25">
        <f>Inventory[[#This Row],[Nbhd Adj]]*0.95</f>
        <v>0.94971499999999998</v>
      </c>
      <c r="BM1897" s="25">
        <f>Inventory[[#This Row],[Nbhd Adj]]*Inventory[[#This Row],[Quality Adj]]*Inventory[[#This Row],[Condition Adj]]*Inventory[[#This Row],[Living Area Adj]]*Inventory[[#This Row],[Decade Adj]]*0.95</f>
        <v>0.92321005644682153</v>
      </c>
      <c r="BN1897" s="25">
        <f>ROUND(SUM(Inventory[[#This Row],[Mdl Qlty]:[Mdl WdDeck]])+Inventory[[#This Row],[Mdl Res Intercept]]*Inventory[[#This Row],[Res Adj ]],-2)</f>
        <v>365900</v>
      </c>
      <c r="BO1897" s="25">
        <f>ROUND(Inventory[[#This Row],[25Det]]*Inventory[[#This Row],[Det/Nbhd Adj]],-2)</f>
        <v>5900</v>
      </c>
      <c r="BP1897" s="25">
        <f>Inventory[[#This Row],[Adjusted Res]]+Inventory[[#This Row],[Adj Det ]]</f>
        <v>371800</v>
      </c>
      <c r="BQ1897" s="25">
        <f>ROUND((Inventory[[#This Row],[Mdl Land Intercept]]+Inventory[[#This Row],[Mdl LnAcres]])*Inventory[[#This Row],[Det/Nbhd Adj]],-2)</f>
        <v>51100</v>
      </c>
      <c r="BR1897" s="25">
        <f>Inventory[[#This Row],[Adjusted Impr Total]]+Inventory[[#This Row],[Adjusted Land Total]]</f>
        <v>422900</v>
      </c>
      <c r="BS1897" s="36">
        <f>IFERROR((Inventory[[#This Row],[Adjusted Impr Total]]-Inventory[[#This Row],[24Bldg]])/Inventory[[#This Row],[24Bldg]],0)</f>
        <v>0.1356139279169212</v>
      </c>
      <c r="BT1897" s="36">
        <f>(Inventory[[#This Row],[Adjusted Land Total]]-Inventory[[#This Row],[24Lnd]])/Inventory[[#This Row],[24Lnd]]</f>
        <v>-0.31684491978609625</v>
      </c>
      <c r="BU1897" s="36">
        <f>(Inventory[[#This Row],[Adjusted Total]]-Inventory[[#This Row],[24Final]])/Inventory[[#This Row],[24Final]]</f>
        <v>5.146693187468921E-2</v>
      </c>
    </row>
    <row r="1898" spans="1:73" x14ac:dyDescent="0.3">
      <c r="A1898" s="25">
        <v>2025</v>
      </c>
      <c r="B1898" s="26" t="s">
        <v>2346</v>
      </c>
      <c r="C1898" s="26">
        <f>LN(Inventory[[#This Row],[Acres]])</f>
        <v>-1.8325814637483102</v>
      </c>
      <c r="D1898" s="25">
        <v>0.16</v>
      </c>
      <c r="E1898" s="27"/>
      <c r="F1898" s="26" t="s">
        <v>537</v>
      </c>
      <c r="G1898" s="26" t="s">
        <v>126</v>
      </c>
      <c r="H1898" s="26" t="s">
        <v>349</v>
      </c>
      <c r="I1898" s="26" t="s">
        <v>538</v>
      </c>
      <c r="J1898" s="26" t="s">
        <v>539</v>
      </c>
      <c r="K1898" s="26" t="s">
        <v>242</v>
      </c>
      <c r="L1898" s="26" t="s">
        <v>148</v>
      </c>
      <c r="M1898" s="26" t="s">
        <v>303</v>
      </c>
      <c r="N1898" s="26">
        <v>100</v>
      </c>
      <c r="O1898" s="26">
        <f>2024-Inventory[[#This Row],[YrBlt]]</f>
        <v>96</v>
      </c>
      <c r="P1898" s="26">
        <f>2024-Inventory[[#This Row],[EffYr]]</f>
        <v>55</v>
      </c>
      <c r="Q1898" s="25">
        <v>1928</v>
      </c>
      <c r="R1898" s="25">
        <v>1969</v>
      </c>
      <c r="S1898" s="25">
        <v>1602</v>
      </c>
      <c r="T1898" s="27"/>
      <c r="U1898" s="25">
        <v>800</v>
      </c>
      <c r="V1898" s="25">
        <f>Inventory[[#This Row],[Bsmt]]-Inventory[[#This Row],[FnBsmt]]</f>
        <v>0</v>
      </c>
      <c r="W1898" s="25">
        <v>800</v>
      </c>
      <c r="X1898" s="27"/>
      <c r="Y1898" s="27">
        <f>Inventory[[#This Row],[MainFn]]+Inventory[[#This Row],[UpprFn]]+Inventory[[#This Row],[FnBsmt]]+Inventory[[#This Row],[AddFn]]</f>
        <v>2402</v>
      </c>
      <c r="Z1898" s="27">
        <v>2500</v>
      </c>
      <c r="AA1898" s="25">
        <v>10</v>
      </c>
      <c r="AB1898" s="27"/>
      <c r="AC1898" s="27"/>
      <c r="AD1898" s="31"/>
      <c r="AE1898" s="27"/>
      <c r="AF1898" s="27"/>
      <c r="AG1898" s="27"/>
      <c r="AH1898" s="27"/>
      <c r="AI1898" s="25">
        <v>424557</v>
      </c>
      <c r="AJ1898" s="25">
        <v>284453</v>
      </c>
      <c r="AK1898" s="25">
        <v>4877</v>
      </c>
      <c r="AL1898" s="25">
        <v>384900</v>
      </c>
      <c r="AM1898" s="25">
        <v>50600</v>
      </c>
      <c r="AN1898" s="25">
        <v>334300</v>
      </c>
      <c r="AO1898" s="25">
        <v>0</v>
      </c>
      <c r="AP1898" s="25">
        <f>Lookups!$B$56*0</f>
        <v>0</v>
      </c>
      <c r="AQ1898" s="25">
        <f>Lookups!$B$56*1</f>
        <v>89850.625589999996</v>
      </c>
      <c r="AR1898" s="25">
        <f>Lookups!$B$57*Inventory[[#This Row],[LnAcres]]</f>
        <v>-58009.662049032086</v>
      </c>
      <c r="AS1898" s="25">
        <f>VLOOKUP(Inventory[[#This Row],[Qlty]],Lookups!$A$62:$E$75,2,FALSE)</f>
        <v>44121.038090000002</v>
      </c>
      <c r="AT1898" s="25">
        <f>VLOOKUP(Inventory[[#This Row],[Cnd]],Lookups!$A$76:$E$84,2,FALSE)</f>
        <v>197752.34721000001</v>
      </c>
      <c r="AU1898" s="25">
        <f>Inventory[[#This Row],[EffAge]]*Lookups!$B$85</f>
        <v>-12267.5080275</v>
      </c>
      <c r="AV1898" s="25">
        <f>Inventory[[#This Row],[MainFn]]*Lookups!$B$86</f>
        <v>79152.689142953997</v>
      </c>
      <c r="AW1898" s="25">
        <f>Inventory[[#This Row],[UpprFn]]*Lookups!$B$87</f>
        <v>0</v>
      </c>
      <c r="AX1898" s="25">
        <f>Inventory[[#This Row],[AddFn]]*Lookups!$B$88</f>
        <v>0</v>
      </c>
      <c r="AY1898" s="25">
        <f>Inventory[[#This Row],[Bsmt]]*Lookups!$B$89</f>
        <v>23265.516197599998</v>
      </c>
      <c r="AZ1898" s="25">
        <f>Inventory[[#This Row],[Fixtures]]*Lookups!$B$90</f>
        <v>37920.221052000001</v>
      </c>
      <c r="BA1898" s="25">
        <f>Inventory[[#This Row],[WdDeck]]*Lookups!$B$91</f>
        <v>0</v>
      </c>
      <c r="BB1898" s="25">
        <f>ROUND(Inventory[[#This Row],[25Det]],-2)</f>
        <v>4900</v>
      </c>
      <c r="BC1898" s="25">
        <f>ROUND(SUM(Inventory[[#This Row],[Mdl Qlty]:[Mdl WdDeck]])+Inventory[[#This Row],[Mdl Res Intercept]],-2)</f>
        <v>369900</v>
      </c>
      <c r="BD1898" s="25">
        <f>ROUND(Inventory[[#This Row],[Mdl Land Intercept]]+Inventory[[#This Row],[Mdl LnAcres]],-2)</f>
        <v>31800</v>
      </c>
      <c r="BE1898" s="25">
        <f>Inventory[[#This Row],[Unadj Res Value]]+Inventory[[#This Row],[Unadj Det Value]]+Inventory[[#This Row],[Unadj Land Value]]</f>
        <v>406600</v>
      </c>
      <c r="BF1898" s="36">
        <f>(Inventory[[#This Row],[Unadj Total Value]]-Inventory[[#This Row],[24Final]])/Inventory[[#This Row],[24Final]]</f>
        <v>5.6378280072746166E-2</v>
      </c>
      <c r="BG1898" s="25">
        <f>VLOOKUP(Inventory[[#This Row],[Nbhd]],Lookups!$Q$2:$T$4,4,FALSE)</f>
        <v>0.99970000000000003</v>
      </c>
      <c r="BH1898" s="25">
        <f>VLOOKUP(Inventory[[#This Row],[Qlty]],Lookups!$O$7:$R$21,4,FALSE)</f>
        <v>0.98050000000000004</v>
      </c>
      <c r="BI1898" s="25">
        <f>VLOOKUP(Inventory[[#This Row],[Cnd]],Lookups!$T$7:$W$16,4,FALSE)</f>
        <v>0.99650000000000005</v>
      </c>
      <c r="BJ1898" s="25">
        <f>VLOOKUP(Inventory[[#This Row],[LivArea Range]],Lookups!$T$25:$W$37,4,FALSE)</f>
        <v>0.98919999999999997</v>
      </c>
      <c r="BK1898" s="25">
        <f>VLOOKUP(Inventory[[#This Row],[Decade]],Lookups!$O$25:$R$42,4,FALSE)</f>
        <v>1.0074000000000001</v>
      </c>
      <c r="BL1898" s="25">
        <f>Inventory[[#This Row],[Nbhd Adj]]*0.95</f>
        <v>0.94971499999999998</v>
      </c>
      <c r="BM1898" s="25">
        <f>Inventory[[#This Row],[Nbhd Adj]]*Inventory[[#This Row],[Quality Adj]]*Inventory[[#This Row],[Condition Adj]]*Inventory[[#This Row],[Living Area Adj]]*Inventory[[#This Row],[Decade Adj]]*0.95</f>
        <v>0.9247072287054503</v>
      </c>
      <c r="BN1898" s="25">
        <f>ROUND(SUM(Inventory[[#This Row],[Mdl Qlty]:[Mdl WdDeck]])+Inventory[[#This Row],[Mdl Res Intercept]]*Inventory[[#This Row],[Res Adj ]],-2)</f>
        <v>369900</v>
      </c>
      <c r="BO1898" s="25">
        <f>ROUND(Inventory[[#This Row],[25Det]]*Inventory[[#This Row],[Det/Nbhd Adj]],-2)</f>
        <v>4600</v>
      </c>
      <c r="BP1898" s="25">
        <f>Inventory[[#This Row],[Adjusted Res]]+Inventory[[#This Row],[Adj Det ]]</f>
        <v>374500</v>
      </c>
      <c r="BQ1898" s="25">
        <f>ROUND((Inventory[[#This Row],[Mdl Land Intercept]]+Inventory[[#This Row],[Mdl LnAcres]])*Inventory[[#This Row],[Det/Nbhd Adj]],-2)</f>
        <v>30200</v>
      </c>
      <c r="BR1898" s="25">
        <f>Inventory[[#This Row],[Adjusted Impr Total]]+Inventory[[#This Row],[Adjusted Land Total]]</f>
        <v>404700</v>
      </c>
      <c r="BS1898" s="36">
        <f>IFERROR((Inventory[[#This Row],[Adjusted Impr Total]]-Inventory[[#This Row],[24Bldg]])/Inventory[[#This Row],[24Bldg]],0)</f>
        <v>0.12025127131319174</v>
      </c>
      <c r="BT1898" s="36">
        <f>(Inventory[[#This Row],[Adjusted Land Total]]-Inventory[[#This Row],[24Lnd]])/Inventory[[#This Row],[24Lnd]]</f>
        <v>-0.40316205533596838</v>
      </c>
      <c r="BU1898" s="36">
        <f>(Inventory[[#This Row],[Adjusted Total]]-Inventory[[#This Row],[24Final]])/Inventory[[#This Row],[24Final]]</f>
        <v>5.1441932969602491E-2</v>
      </c>
    </row>
    <row r="1899" spans="1:73" x14ac:dyDescent="0.3">
      <c r="A1899" s="25">
        <v>2025</v>
      </c>
      <c r="B1899" s="26" t="s">
        <v>2348</v>
      </c>
      <c r="C1899" s="26">
        <f>LN(Inventory[[#This Row],[Acres]])</f>
        <v>-1.8325814637483102</v>
      </c>
      <c r="D1899" s="25">
        <v>0.16</v>
      </c>
      <c r="E1899" s="27"/>
      <c r="F1899" s="26" t="s">
        <v>537</v>
      </c>
      <c r="G1899" s="26" t="s">
        <v>126</v>
      </c>
      <c r="H1899" s="26" t="s">
        <v>349</v>
      </c>
      <c r="I1899" s="26" t="s">
        <v>538</v>
      </c>
      <c r="J1899" s="26" t="s">
        <v>539</v>
      </c>
      <c r="K1899" s="26" t="s">
        <v>269</v>
      </c>
      <c r="L1899" s="26" t="s">
        <v>302</v>
      </c>
      <c r="M1899" s="26" t="s">
        <v>323</v>
      </c>
      <c r="N1899" s="26">
        <v>100</v>
      </c>
      <c r="O1899" s="26">
        <f>2024-Inventory[[#This Row],[YrBlt]]</f>
        <v>96</v>
      </c>
      <c r="P1899" s="26">
        <f>2024-Inventory[[#This Row],[EffYr]]</f>
        <v>55</v>
      </c>
      <c r="Q1899" s="25">
        <v>1928</v>
      </c>
      <c r="R1899" s="25">
        <v>1969</v>
      </c>
      <c r="S1899" s="25">
        <v>1355</v>
      </c>
      <c r="T1899" s="32">
        <v>676</v>
      </c>
      <c r="U1899" s="32">
        <v>677</v>
      </c>
      <c r="V1899" s="32">
        <f>Inventory[[#This Row],[Bsmt]]-Inventory[[#This Row],[FnBsmt]]</f>
        <v>0</v>
      </c>
      <c r="W1899" s="32">
        <v>677</v>
      </c>
      <c r="X1899" s="27"/>
      <c r="Y1899" s="27">
        <f>Inventory[[#This Row],[MainFn]]+Inventory[[#This Row],[UpprFn]]+Inventory[[#This Row],[FnBsmt]]+Inventory[[#This Row],[AddFn]]</f>
        <v>2708</v>
      </c>
      <c r="Z1899" s="27">
        <v>3000</v>
      </c>
      <c r="AA1899" s="25">
        <v>8</v>
      </c>
      <c r="AB1899" s="31"/>
      <c r="AC1899" s="27"/>
      <c r="AD1899" s="32">
        <v>130</v>
      </c>
      <c r="AE1899" s="27"/>
      <c r="AF1899" s="27"/>
      <c r="AG1899" s="27"/>
      <c r="AH1899" s="27"/>
      <c r="AI1899" s="25">
        <v>399525</v>
      </c>
      <c r="AJ1899" s="25">
        <v>259691</v>
      </c>
      <c r="AK1899" s="25">
        <v>6357</v>
      </c>
      <c r="AL1899" s="25">
        <v>352400</v>
      </c>
      <c r="AM1899" s="25">
        <v>50600</v>
      </c>
      <c r="AN1899" s="25">
        <v>301800</v>
      </c>
      <c r="AO1899" s="25">
        <v>0</v>
      </c>
      <c r="AP1899" s="25">
        <f>Lookups!$B$56*0</f>
        <v>0</v>
      </c>
      <c r="AQ1899" s="25">
        <f>Lookups!$B$56*1</f>
        <v>89850.625589999996</v>
      </c>
      <c r="AR1899" s="25">
        <f>Lookups!$B$57*Inventory[[#This Row],[LnAcres]]</f>
        <v>-58009.662049032086</v>
      </c>
      <c r="AS1899" s="25">
        <f>VLOOKUP(Inventory[[#This Row],[Qlty]],Lookups!$A$62:$E$75,2,FALSE)</f>
        <v>29814.093161000001</v>
      </c>
      <c r="AT1899" s="25">
        <f>VLOOKUP(Inventory[[#This Row],[Cnd]],Lookups!$A$76:$E$84,2,FALSE)</f>
        <v>160472.20319</v>
      </c>
      <c r="AU1899" s="25">
        <f>Inventory[[#This Row],[EffAge]]*Lookups!$B$85</f>
        <v>-12267.5080275</v>
      </c>
      <c r="AV1899" s="25">
        <f>Inventory[[#This Row],[MainFn]]*Lookups!$B$86</f>
        <v>66948.747683335008</v>
      </c>
      <c r="AW1899" s="25">
        <f>Inventory[[#This Row],[UpprFn]]*Lookups!$B$87</f>
        <v>30275.621854035999</v>
      </c>
      <c r="AX1899" s="25">
        <f>Inventory[[#This Row],[AddFn]]*Lookups!$B$88</f>
        <v>0</v>
      </c>
      <c r="AY1899" s="25">
        <f>Inventory[[#This Row],[Bsmt]]*Lookups!$B$89</f>
        <v>19688.443082219001</v>
      </c>
      <c r="AZ1899" s="25">
        <f>Inventory[[#This Row],[Fixtures]]*Lookups!$B$90</f>
        <v>30336.176841600001</v>
      </c>
      <c r="BA1899" s="25">
        <f>Inventory[[#This Row],[WdDeck]]*Lookups!$B$91</f>
        <v>4328.4169858800005</v>
      </c>
      <c r="BB1899" s="25">
        <f>ROUND(Inventory[[#This Row],[25Det]],-2)</f>
        <v>6400</v>
      </c>
      <c r="BC1899" s="25">
        <f>ROUND(SUM(Inventory[[#This Row],[Mdl Qlty]:[Mdl WdDeck]])+Inventory[[#This Row],[Mdl Res Intercept]],-2)</f>
        <v>329600</v>
      </c>
      <c r="BD1899" s="25">
        <f>ROUND(Inventory[[#This Row],[Mdl Land Intercept]]+Inventory[[#This Row],[Mdl LnAcres]],-2)</f>
        <v>31800</v>
      </c>
      <c r="BE1899" s="25">
        <f>Inventory[[#This Row],[Unadj Res Value]]+Inventory[[#This Row],[Unadj Det Value]]+Inventory[[#This Row],[Unadj Land Value]]</f>
        <v>367800</v>
      </c>
      <c r="BF1899" s="36">
        <f>(Inventory[[#This Row],[Unadj Total Value]]-Inventory[[#This Row],[24Final]])/Inventory[[#This Row],[24Final]]</f>
        <v>4.3700340522133937E-2</v>
      </c>
      <c r="BG1899" s="25">
        <f>VLOOKUP(Inventory[[#This Row],[Nbhd]],Lookups!$Q$2:$T$4,4,FALSE)</f>
        <v>0.99970000000000003</v>
      </c>
      <c r="BH1899" s="25">
        <f>VLOOKUP(Inventory[[#This Row],[Qlty]],Lookups!$O$7:$R$21,4,FALSE)</f>
        <v>1.0088999999999999</v>
      </c>
      <c r="BI1899" s="25">
        <f>VLOOKUP(Inventory[[#This Row],[Cnd]],Lookups!$T$7:$W$16,4,FALSE)</f>
        <v>0.99729999999999996</v>
      </c>
      <c r="BJ1899" s="25">
        <f>VLOOKUP(Inventory[[#This Row],[LivArea Range]],Lookups!$T$25:$W$37,4,FALSE)</f>
        <v>0.96179999999999999</v>
      </c>
      <c r="BK1899" s="25">
        <f>VLOOKUP(Inventory[[#This Row],[Decade]],Lookups!$O$25:$R$42,4,FALSE)</f>
        <v>1.0074000000000001</v>
      </c>
      <c r="BL1899" s="25">
        <f>Inventory[[#This Row],[Nbhd Adj]]*0.95</f>
        <v>0.94971499999999998</v>
      </c>
      <c r="BM1899" s="25">
        <f>Inventory[[#This Row],[Nbhd Adj]]*Inventory[[#This Row],[Quality Adj]]*Inventory[[#This Row],[Condition Adj]]*Inventory[[#This Row],[Living Area Adj]]*Inventory[[#This Row],[Decade Adj]]*0.95</f>
        <v>0.92587841120833458</v>
      </c>
      <c r="BN1899" s="25">
        <f>ROUND(SUM(Inventory[[#This Row],[Mdl Qlty]:[Mdl WdDeck]])+Inventory[[#This Row],[Mdl Res Intercept]]*Inventory[[#This Row],[Res Adj ]],-2)</f>
        <v>329600</v>
      </c>
      <c r="BO1899" s="25">
        <f>ROUND(Inventory[[#This Row],[25Det]]*Inventory[[#This Row],[Det/Nbhd Adj]],-2)</f>
        <v>6000</v>
      </c>
      <c r="BP1899" s="25">
        <f>Inventory[[#This Row],[Adjusted Res]]+Inventory[[#This Row],[Adj Det ]]</f>
        <v>335600</v>
      </c>
      <c r="BQ1899" s="25">
        <f>ROUND((Inventory[[#This Row],[Mdl Land Intercept]]+Inventory[[#This Row],[Mdl LnAcres]])*Inventory[[#This Row],[Det/Nbhd Adj]],-2)</f>
        <v>30200</v>
      </c>
      <c r="BR1899" s="25">
        <f>Inventory[[#This Row],[Adjusted Impr Total]]+Inventory[[#This Row],[Adjusted Land Total]]</f>
        <v>365800</v>
      </c>
      <c r="BS1899" s="36">
        <f>IFERROR((Inventory[[#This Row],[Adjusted Impr Total]]-Inventory[[#This Row],[24Bldg]])/Inventory[[#This Row],[24Bldg]],0)</f>
        <v>0.1119946984758118</v>
      </c>
      <c r="BT1899" s="36">
        <f>(Inventory[[#This Row],[Adjusted Land Total]]-Inventory[[#This Row],[24Lnd]])/Inventory[[#This Row],[24Lnd]]</f>
        <v>-0.40316205533596838</v>
      </c>
      <c r="BU1899" s="36">
        <f>(Inventory[[#This Row],[Adjusted Total]]-Inventory[[#This Row],[24Final]])/Inventory[[#This Row],[24Final]]</f>
        <v>3.8024971623155504E-2</v>
      </c>
    </row>
    <row r="1900" spans="1:73" x14ac:dyDescent="0.3">
      <c r="A1900" s="25">
        <v>2025</v>
      </c>
      <c r="B1900" s="26" t="s">
        <v>2000</v>
      </c>
      <c r="C1900" s="26">
        <f>LN(Inventory[[#This Row],[Acres]])</f>
        <v>-1.8325814637483102</v>
      </c>
      <c r="D1900" s="25">
        <v>0.16</v>
      </c>
      <c r="E1900" s="27"/>
      <c r="F1900" s="26" t="s">
        <v>537</v>
      </c>
      <c r="G1900" s="26" t="s">
        <v>126</v>
      </c>
      <c r="H1900" s="26" t="s">
        <v>349</v>
      </c>
      <c r="I1900" s="26" t="s">
        <v>538</v>
      </c>
      <c r="J1900" s="26" t="s">
        <v>539</v>
      </c>
      <c r="K1900" s="26" t="s">
        <v>242</v>
      </c>
      <c r="L1900" s="26" t="s">
        <v>351</v>
      </c>
      <c r="M1900" s="26" t="s">
        <v>303</v>
      </c>
      <c r="N1900" s="26">
        <v>100</v>
      </c>
      <c r="O1900" s="26">
        <f>2024-Inventory[[#This Row],[YrBlt]]</f>
        <v>96</v>
      </c>
      <c r="P1900" s="26">
        <f>2024-Inventory[[#This Row],[EffYr]]</f>
        <v>55</v>
      </c>
      <c r="Q1900" s="25">
        <v>1928</v>
      </c>
      <c r="R1900" s="25">
        <v>1969</v>
      </c>
      <c r="S1900" s="25">
        <v>1442</v>
      </c>
      <c r="T1900" s="31"/>
      <c r="U1900" s="25">
        <v>1442</v>
      </c>
      <c r="V1900" s="25">
        <f>Inventory[[#This Row],[Bsmt]]-Inventory[[#This Row],[FnBsmt]]</f>
        <v>0</v>
      </c>
      <c r="W1900" s="25">
        <v>1442</v>
      </c>
      <c r="X1900" s="27"/>
      <c r="Y1900" s="27">
        <f>Inventory[[#This Row],[MainFn]]+Inventory[[#This Row],[UpprFn]]+Inventory[[#This Row],[FnBsmt]]+Inventory[[#This Row],[AddFn]]</f>
        <v>2884</v>
      </c>
      <c r="Z1900" s="27">
        <v>3000</v>
      </c>
      <c r="AA1900" s="25">
        <v>8</v>
      </c>
      <c r="AB1900" s="27"/>
      <c r="AC1900" s="27"/>
      <c r="AD1900" s="27"/>
      <c r="AE1900" s="27"/>
      <c r="AF1900" s="27"/>
      <c r="AG1900" s="27"/>
      <c r="AH1900" s="27"/>
      <c r="AI1900" s="25">
        <v>360602</v>
      </c>
      <c r="AJ1900" s="25">
        <v>241603</v>
      </c>
      <c r="AK1900" s="25">
        <v>5024</v>
      </c>
      <c r="AL1900" s="25">
        <v>372300</v>
      </c>
      <c r="AM1900" s="25">
        <v>50600</v>
      </c>
      <c r="AN1900" s="25">
        <v>321700</v>
      </c>
      <c r="AO1900" s="25">
        <v>0</v>
      </c>
      <c r="AP1900" s="25">
        <f>Lookups!$B$56*0</f>
        <v>0</v>
      </c>
      <c r="AQ1900" s="25">
        <f>Lookups!$B$56*1</f>
        <v>89850.625589999996</v>
      </c>
      <c r="AR1900" s="25">
        <f>Lookups!$B$57*Inventory[[#This Row],[LnAcres]]</f>
        <v>-58009.662049032086</v>
      </c>
      <c r="AS1900" s="25">
        <f>VLOOKUP(Inventory[[#This Row],[Qlty]],Lookups!$A$62:$E$75,2,FALSE)</f>
        <v>21557.329055999999</v>
      </c>
      <c r="AT1900" s="25">
        <f>VLOOKUP(Inventory[[#This Row],[Cnd]],Lookups!$A$76:$E$84,2,FALSE)</f>
        <v>197752.34721000001</v>
      </c>
      <c r="AU1900" s="25">
        <f>Inventory[[#This Row],[EffAge]]*Lookups!$B$85</f>
        <v>-12267.5080275</v>
      </c>
      <c r="AV1900" s="25">
        <f>Inventory[[#This Row],[MainFn]]*Lookups!$B$86</f>
        <v>71247.301962633996</v>
      </c>
      <c r="AW1900" s="25">
        <f>Inventory[[#This Row],[UpprFn]]*Lookups!$B$87</f>
        <v>0</v>
      </c>
      <c r="AX1900" s="25">
        <f>Inventory[[#This Row],[AddFn]]*Lookups!$B$88</f>
        <v>0</v>
      </c>
      <c r="AY1900" s="25">
        <f>Inventory[[#This Row],[Bsmt]]*Lookups!$B$89</f>
        <v>41936.092946173994</v>
      </c>
      <c r="AZ1900" s="25">
        <f>Inventory[[#This Row],[Fixtures]]*Lookups!$B$90</f>
        <v>30336.176841600001</v>
      </c>
      <c r="BA1900" s="25">
        <f>Inventory[[#This Row],[WdDeck]]*Lookups!$B$91</f>
        <v>0</v>
      </c>
      <c r="BB1900" s="25">
        <f>ROUND(Inventory[[#This Row],[25Det]],-2)</f>
        <v>5000</v>
      </c>
      <c r="BC1900" s="25">
        <f>ROUND(SUM(Inventory[[#This Row],[Mdl Qlty]:[Mdl WdDeck]])+Inventory[[#This Row],[Mdl Res Intercept]],-2)</f>
        <v>350600</v>
      </c>
      <c r="BD1900" s="25">
        <f>ROUND(Inventory[[#This Row],[Mdl Land Intercept]]+Inventory[[#This Row],[Mdl LnAcres]],-2)</f>
        <v>31800</v>
      </c>
      <c r="BE1900" s="25">
        <f>Inventory[[#This Row],[Unadj Res Value]]+Inventory[[#This Row],[Unadj Det Value]]+Inventory[[#This Row],[Unadj Land Value]]</f>
        <v>387400</v>
      </c>
      <c r="BF1900" s="36">
        <f>(Inventory[[#This Row],[Unadj Total Value]]-Inventory[[#This Row],[24Final]])/Inventory[[#This Row],[24Final]]</f>
        <v>4.0558689229116304E-2</v>
      </c>
      <c r="BG1900" s="25">
        <f>VLOOKUP(Inventory[[#This Row],[Nbhd]],Lookups!$Q$2:$T$4,4,FALSE)</f>
        <v>0.99970000000000003</v>
      </c>
      <c r="BH1900" s="25">
        <f>VLOOKUP(Inventory[[#This Row],[Qlty]],Lookups!$O$7:$R$21,4,FALSE)</f>
        <v>1.0067999999999999</v>
      </c>
      <c r="BI1900" s="25">
        <f>VLOOKUP(Inventory[[#This Row],[Cnd]],Lookups!$T$7:$W$16,4,FALSE)</f>
        <v>0.99650000000000005</v>
      </c>
      <c r="BJ1900" s="25">
        <f>VLOOKUP(Inventory[[#This Row],[LivArea Range]],Lookups!$T$25:$W$37,4,FALSE)</f>
        <v>0.96179999999999999</v>
      </c>
      <c r="BK1900" s="25">
        <f>VLOOKUP(Inventory[[#This Row],[Decade]],Lookups!$O$25:$R$42,4,FALSE)</f>
        <v>1.0074000000000001</v>
      </c>
      <c r="BL1900" s="25">
        <f>Inventory[[#This Row],[Nbhd Adj]]*0.95</f>
        <v>0.94971499999999998</v>
      </c>
      <c r="BM1900" s="25">
        <f>Inventory[[#This Row],[Nbhd Adj]]*Inventory[[#This Row],[Quality Adj]]*Inventory[[#This Row],[Condition Adj]]*Inventory[[#This Row],[Living Area Adj]]*Inventory[[#This Row],[Decade Adj]]*0.95</f>
        <v>0.92321005644682153</v>
      </c>
      <c r="BN1900" s="25">
        <f>ROUND(SUM(Inventory[[#This Row],[Mdl Qlty]:[Mdl WdDeck]])+Inventory[[#This Row],[Mdl Res Intercept]]*Inventory[[#This Row],[Res Adj ]],-2)</f>
        <v>350600</v>
      </c>
      <c r="BO1900" s="25">
        <f>ROUND(Inventory[[#This Row],[25Det]]*Inventory[[#This Row],[Det/Nbhd Adj]],-2)</f>
        <v>4800</v>
      </c>
      <c r="BP1900" s="25">
        <f>Inventory[[#This Row],[Adjusted Res]]+Inventory[[#This Row],[Adj Det ]]</f>
        <v>355400</v>
      </c>
      <c r="BQ1900" s="25">
        <f>ROUND((Inventory[[#This Row],[Mdl Land Intercept]]+Inventory[[#This Row],[Mdl LnAcres]])*Inventory[[#This Row],[Det/Nbhd Adj]],-2)</f>
        <v>30200</v>
      </c>
      <c r="BR1900" s="25">
        <f>Inventory[[#This Row],[Adjusted Impr Total]]+Inventory[[#This Row],[Adjusted Land Total]]</f>
        <v>385600</v>
      </c>
      <c r="BS1900" s="36">
        <f>IFERROR((Inventory[[#This Row],[Adjusted Impr Total]]-Inventory[[#This Row],[24Bldg]])/Inventory[[#This Row],[24Bldg]],0)</f>
        <v>0.10475598383587192</v>
      </c>
      <c r="BT1900" s="36">
        <f>(Inventory[[#This Row],[Adjusted Land Total]]-Inventory[[#This Row],[24Lnd]])/Inventory[[#This Row],[24Lnd]]</f>
        <v>-0.40316205533596838</v>
      </c>
      <c r="BU1900" s="36">
        <f>(Inventory[[#This Row],[Adjusted Total]]-Inventory[[#This Row],[24Final]])/Inventory[[#This Row],[24Final]]</f>
        <v>3.5723878592532905E-2</v>
      </c>
    </row>
    <row r="1901" spans="1:73" x14ac:dyDescent="0.3">
      <c r="A1901" s="25">
        <v>2025</v>
      </c>
      <c r="B1901" s="26" t="s">
        <v>2373</v>
      </c>
      <c r="C1901" s="26">
        <f>LN(Inventory[[#This Row],[Acres]])</f>
        <v>-1.2729656758128873</v>
      </c>
      <c r="D1901" s="25">
        <v>0.28000000000000003</v>
      </c>
      <c r="E1901" s="27"/>
      <c r="F1901" s="26" t="s">
        <v>537</v>
      </c>
      <c r="G1901" s="26" t="s">
        <v>126</v>
      </c>
      <c r="H1901" s="26" t="s">
        <v>349</v>
      </c>
      <c r="I1901" s="26" t="s">
        <v>538</v>
      </c>
      <c r="J1901" s="26" t="s">
        <v>638</v>
      </c>
      <c r="K1901" s="26" t="s">
        <v>242</v>
      </c>
      <c r="L1901" s="26" t="s">
        <v>302</v>
      </c>
      <c r="M1901" s="26" t="s">
        <v>323</v>
      </c>
      <c r="N1901" s="26">
        <v>100</v>
      </c>
      <c r="O1901" s="26">
        <f>2024-Inventory[[#This Row],[YrBlt]]</f>
        <v>96</v>
      </c>
      <c r="P1901" s="26">
        <f>2024-Inventory[[#This Row],[EffYr]]</f>
        <v>55</v>
      </c>
      <c r="Q1901" s="25">
        <v>1928</v>
      </c>
      <c r="R1901" s="25">
        <v>1969</v>
      </c>
      <c r="S1901" s="25">
        <v>1342</v>
      </c>
      <c r="T1901" s="27"/>
      <c r="U1901" s="25">
        <v>1008</v>
      </c>
      <c r="V1901" s="25">
        <f>Inventory[[#This Row],[Bsmt]]-Inventory[[#This Row],[FnBsmt]]</f>
        <v>343</v>
      </c>
      <c r="W1901" s="25">
        <v>665</v>
      </c>
      <c r="X1901" s="27"/>
      <c r="Y1901" s="27">
        <f>Inventory[[#This Row],[MainFn]]+Inventory[[#This Row],[UpprFn]]+Inventory[[#This Row],[FnBsmt]]+Inventory[[#This Row],[AddFn]]</f>
        <v>2007</v>
      </c>
      <c r="Z1901" s="27">
        <v>2500</v>
      </c>
      <c r="AA1901" s="25">
        <v>8</v>
      </c>
      <c r="AB1901" s="27"/>
      <c r="AC1901" s="27"/>
      <c r="AD1901" s="27"/>
      <c r="AE1901" s="27"/>
      <c r="AF1901" s="27"/>
      <c r="AG1901" s="27"/>
      <c r="AH1901" s="27"/>
      <c r="AI1901" s="25">
        <v>326683</v>
      </c>
      <c r="AJ1901" s="25">
        <v>212344</v>
      </c>
      <c r="AK1901" s="25">
        <v>4877</v>
      </c>
      <c r="AL1901" s="25">
        <v>345100</v>
      </c>
      <c r="AM1901" s="25">
        <v>70100</v>
      </c>
      <c r="AN1901" s="25">
        <v>275000</v>
      </c>
      <c r="AO1901" s="25">
        <v>0</v>
      </c>
      <c r="AP1901" s="25">
        <f>Lookups!$B$56*0</f>
        <v>0</v>
      </c>
      <c r="AQ1901" s="25">
        <f>Lookups!$B$56*1</f>
        <v>89850.625589999996</v>
      </c>
      <c r="AR1901" s="25">
        <f>Lookups!$B$57*Inventory[[#This Row],[LnAcres]]</f>
        <v>-40295.239319339329</v>
      </c>
      <c r="AS1901" s="25">
        <f>VLOOKUP(Inventory[[#This Row],[Qlty]],Lookups!$A$62:$E$75,2,FALSE)</f>
        <v>29814.093161000001</v>
      </c>
      <c r="AT1901" s="25">
        <f>VLOOKUP(Inventory[[#This Row],[Cnd]],Lookups!$A$76:$E$84,2,FALSE)</f>
        <v>160472.20319</v>
      </c>
      <c r="AU1901" s="25">
        <f>Inventory[[#This Row],[EffAge]]*Lookups!$B$85</f>
        <v>-12267.5080275</v>
      </c>
      <c r="AV1901" s="25">
        <f>Inventory[[#This Row],[MainFn]]*Lookups!$B$86</f>
        <v>66306.434974934004</v>
      </c>
      <c r="AW1901" s="25">
        <f>Inventory[[#This Row],[UpprFn]]*Lookups!$B$87</f>
        <v>0</v>
      </c>
      <c r="AX1901" s="25">
        <f>Inventory[[#This Row],[AddFn]]*Lookups!$B$88</f>
        <v>0</v>
      </c>
      <c r="AY1901" s="25">
        <f>Inventory[[#This Row],[Bsmt]]*Lookups!$B$89</f>
        <v>29314.550408976</v>
      </c>
      <c r="AZ1901" s="25">
        <f>Inventory[[#This Row],[Fixtures]]*Lookups!$B$90</f>
        <v>30336.176841600001</v>
      </c>
      <c r="BA1901" s="25">
        <f>Inventory[[#This Row],[WdDeck]]*Lookups!$B$91</f>
        <v>0</v>
      </c>
      <c r="BB1901" s="25">
        <f>ROUND(Inventory[[#This Row],[25Det]],-2)</f>
        <v>4900</v>
      </c>
      <c r="BC1901" s="25">
        <f>ROUND(SUM(Inventory[[#This Row],[Mdl Qlty]:[Mdl WdDeck]])+Inventory[[#This Row],[Mdl Res Intercept]],-2)</f>
        <v>304000</v>
      </c>
      <c r="BD1901" s="25">
        <f>ROUND(Inventory[[#This Row],[Mdl Land Intercept]]+Inventory[[#This Row],[Mdl LnAcres]],-2)</f>
        <v>49600</v>
      </c>
      <c r="BE1901" s="25">
        <f>Inventory[[#This Row],[Unadj Res Value]]+Inventory[[#This Row],[Unadj Det Value]]+Inventory[[#This Row],[Unadj Land Value]]</f>
        <v>358500</v>
      </c>
      <c r="BF1901" s="36">
        <f>(Inventory[[#This Row],[Unadj Total Value]]-Inventory[[#This Row],[24Final]])/Inventory[[#This Row],[24Final]]</f>
        <v>3.8829324833381626E-2</v>
      </c>
      <c r="BG1901" s="25">
        <f>VLOOKUP(Inventory[[#This Row],[Nbhd]],Lookups!$Q$2:$T$4,4,FALSE)</f>
        <v>0.99970000000000003</v>
      </c>
      <c r="BH1901" s="25">
        <f>VLOOKUP(Inventory[[#This Row],[Qlty]],Lookups!$O$7:$R$21,4,FALSE)</f>
        <v>1.0088999999999999</v>
      </c>
      <c r="BI1901" s="25">
        <f>VLOOKUP(Inventory[[#This Row],[Cnd]],Lookups!$T$7:$W$16,4,FALSE)</f>
        <v>0.99729999999999996</v>
      </c>
      <c r="BJ1901" s="25">
        <f>VLOOKUP(Inventory[[#This Row],[LivArea Range]],Lookups!$T$25:$W$37,4,FALSE)</f>
        <v>0.98919999999999997</v>
      </c>
      <c r="BK1901" s="25">
        <f>VLOOKUP(Inventory[[#This Row],[Decade]],Lookups!$O$25:$R$42,4,FALSE)</f>
        <v>1.0074000000000001</v>
      </c>
      <c r="BL1901" s="25">
        <f>Inventory[[#This Row],[Nbhd Adj]]*0.95</f>
        <v>0.94971499999999998</v>
      </c>
      <c r="BM1901" s="25">
        <f>Inventory[[#This Row],[Nbhd Adj]]*Inventory[[#This Row],[Quality Adj]]*Inventory[[#This Row],[Condition Adj]]*Inventory[[#This Row],[Living Area Adj]]*Inventory[[#This Row],[Decade Adj]]*0.95</f>
        <v>0.95225506796349002</v>
      </c>
      <c r="BN1901" s="25">
        <f>ROUND(SUM(Inventory[[#This Row],[Mdl Qlty]:[Mdl WdDeck]])+Inventory[[#This Row],[Mdl Res Intercept]]*Inventory[[#This Row],[Res Adj ]],-2)</f>
        <v>304000</v>
      </c>
      <c r="BO1901" s="25">
        <f>ROUND(Inventory[[#This Row],[25Det]]*Inventory[[#This Row],[Det/Nbhd Adj]],-2)</f>
        <v>4600</v>
      </c>
      <c r="BP1901" s="25">
        <f>Inventory[[#This Row],[Adjusted Res]]+Inventory[[#This Row],[Adj Det ]]</f>
        <v>308600</v>
      </c>
      <c r="BQ1901" s="25">
        <f>ROUND((Inventory[[#This Row],[Mdl Land Intercept]]+Inventory[[#This Row],[Mdl LnAcres]])*Inventory[[#This Row],[Det/Nbhd Adj]],-2)</f>
        <v>47100</v>
      </c>
      <c r="BR1901" s="25">
        <f>Inventory[[#This Row],[Adjusted Impr Total]]+Inventory[[#This Row],[Adjusted Land Total]]</f>
        <v>355700</v>
      </c>
      <c r="BS1901" s="36">
        <f>IFERROR((Inventory[[#This Row],[Adjusted Impr Total]]-Inventory[[#This Row],[24Bldg]])/Inventory[[#This Row],[24Bldg]],0)</f>
        <v>0.12218181818181818</v>
      </c>
      <c r="BT1901" s="36">
        <f>(Inventory[[#This Row],[Adjusted Land Total]]-Inventory[[#This Row],[24Lnd]])/Inventory[[#This Row],[24Lnd]]</f>
        <v>-0.32810271041369471</v>
      </c>
      <c r="BU1901" s="36">
        <f>(Inventory[[#This Row],[Adjusted Total]]-Inventory[[#This Row],[24Final]])/Inventory[[#This Row],[24Final]]</f>
        <v>3.0715734569689946E-2</v>
      </c>
    </row>
    <row r="1902" spans="1:73" x14ac:dyDescent="0.3">
      <c r="A1902" s="25">
        <v>2025</v>
      </c>
      <c r="B1902" s="26" t="s">
        <v>1027</v>
      </c>
      <c r="C1902" s="26">
        <f>LN(Inventory[[#This Row],[Acres]])</f>
        <v>-1.6094379124341003</v>
      </c>
      <c r="D1902" s="25">
        <v>0.2</v>
      </c>
      <c r="E1902" s="27"/>
      <c r="F1902" s="26" t="s">
        <v>537</v>
      </c>
      <c r="G1902" s="26" t="s">
        <v>126</v>
      </c>
      <c r="H1902" s="26" t="s">
        <v>349</v>
      </c>
      <c r="I1902" s="26" t="s">
        <v>538</v>
      </c>
      <c r="J1902" s="26" t="s">
        <v>539</v>
      </c>
      <c r="K1902" s="26" t="s">
        <v>242</v>
      </c>
      <c r="L1902" s="26" t="s">
        <v>205</v>
      </c>
      <c r="M1902" s="26" t="s">
        <v>323</v>
      </c>
      <c r="N1902" s="26">
        <v>100</v>
      </c>
      <c r="O1902" s="26">
        <f>2024-Inventory[[#This Row],[YrBlt]]</f>
        <v>96</v>
      </c>
      <c r="P1902" s="26">
        <f>2024-Inventory[[#This Row],[EffYr]]</f>
        <v>55</v>
      </c>
      <c r="Q1902" s="25">
        <v>1928</v>
      </c>
      <c r="R1902" s="25">
        <v>1969</v>
      </c>
      <c r="S1902" s="25">
        <v>540</v>
      </c>
      <c r="T1902" s="27"/>
      <c r="U1902" s="31"/>
      <c r="V1902" s="31">
        <f>Inventory[[#This Row],[Bsmt]]-Inventory[[#This Row],[FnBsmt]]</f>
        <v>0</v>
      </c>
      <c r="W1902" s="31"/>
      <c r="X1902" s="27"/>
      <c r="Y1902" s="27">
        <f>Inventory[[#This Row],[MainFn]]+Inventory[[#This Row],[UpprFn]]+Inventory[[#This Row],[FnBsmt]]+Inventory[[#This Row],[AddFn]]</f>
        <v>540</v>
      </c>
      <c r="Z1902" s="27">
        <v>1000</v>
      </c>
      <c r="AA1902" s="25">
        <v>5</v>
      </c>
      <c r="AB1902" s="27"/>
      <c r="AC1902" s="27"/>
      <c r="AD1902" s="31"/>
      <c r="AE1902" s="27"/>
      <c r="AF1902" s="27"/>
      <c r="AG1902" s="27"/>
      <c r="AH1902" s="27"/>
      <c r="AI1902" s="25">
        <v>103641</v>
      </c>
      <c r="AJ1902" s="25">
        <v>67367</v>
      </c>
      <c r="AK1902" s="25">
        <v>11770</v>
      </c>
      <c r="AL1902" s="25">
        <v>235700</v>
      </c>
      <c r="AM1902" s="25">
        <v>58400</v>
      </c>
      <c r="AN1902" s="25">
        <v>177300</v>
      </c>
      <c r="AO1902" s="25">
        <v>0</v>
      </c>
      <c r="AP1902" s="25">
        <f>Lookups!$B$56*0</f>
        <v>0</v>
      </c>
      <c r="AQ1902" s="25">
        <f>Lookups!$B$56*1</f>
        <v>89850.625589999996</v>
      </c>
      <c r="AR1902" s="25">
        <f>Lookups!$B$57*Inventory[[#This Row],[LnAcres]]</f>
        <v>-50946.13867709865</v>
      </c>
      <c r="AS1902" s="25">
        <f>VLOOKUP(Inventory[[#This Row],[Qlty]],Lookups!$A$62:$E$75,2,FALSE)</f>
        <v>0</v>
      </c>
      <c r="AT1902" s="25">
        <f>VLOOKUP(Inventory[[#This Row],[Cnd]],Lookups!$A$76:$E$84,2,FALSE)</f>
        <v>160472.20319</v>
      </c>
      <c r="AU1902" s="25">
        <f>Inventory[[#This Row],[EffAge]]*Lookups!$B$85</f>
        <v>-12267.5080275</v>
      </c>
      <c r="AV1902" s="25">
        <f>Inventory[[#This Row],[MainFn]]*Lookups!$B$86</f>
        <v>26680.681733580001</v>
      </c>
      <c r="AW1902" s="25">
        <f>Inventory[[#This Row],[UpprFn]]*Lookups!$B$87</f>
        <v>0</v>
      </c>
      <c r="AX1902" s="25">
        <f>Inventory[[#This Row],[AddFn]]*Lookups!$B$88</f>
        <v>0</v>
      </c>
      <c r="AY1902" s="25">
        <f>Inventory[[#This Row],[Bsmt]]*Lookups!$B$89</f>
        <v>0</v>
      </c>
      <c r="AZ1902" s="25">
        <f>Inventory[[#This Row],[Fixtures]]*Lookups!$B$90</f>
        <v>18960.110526</v>
      </c>
      <c r="BA1902" s="25">
        <f>Inventory[[#This Row],[WdDeck]]*Lookups!$B$91</f>
        <v>0</v>
      </c>
      <c r="BB1902" s="25">
        <f>ROUND(Inventory[[#This Row],[25Det]],-2)</f>
        <v>11800</v>
      </c>
      <c r="BC1902" s="25">
        <f>ROUND(SUM(Inventory[[#This Row],[Mdl Qlty]:[Mdl WdDeck]])+Inventory[[#This Row],[Mdl Res Intercept]],-2)</f>
        <v>193800</v>
      </c>
      <c r="BD1902" s="25">
        <f>ROUND(Inventory[[#This Row],[Mdl Land Intercept]]+Inventory[[#This Row],[Mdl LnAcres]],-2)</f>
        <v>38900</v>
      </c>
      <c r="BE1902" s="25">
        <f>Inventory[[#This Row],[Unadj Res Value]]+Inventory[[#This Row],[Unadj Det Value]]+Inventory[[#This Row],[Unadj Land Value]]</f>
        <v>244500</v>
      </c>
      <c r="BF1902" s="36">
        <f>(Inventory[[#This Row],[Unadj Total Value]]-Inventory[[#This Row],[24Final]])/Inventory[[#This Row],[24Final]]</f>
        <v>3.7335596096733134E-2</v>
      </c>
      <c r="BG1902" s="25">
        <f>VLOOKUP(Inventory[[#This Row],[Nbhd]],Lookups!$Q$2:$T$4,4,FALSE)</f>
        <v>0.99970000000000003</v>
      </c>
      <c r="BH1902" s="25">
        <f>VLOOKUP(Inventory[[#This Row],[Qlty]],Lookups!$O$7:$R$21,4,FALSE)</f>
        <v>0.99180000000000001</v>
      </c>
      <c r="BI1902" s="25">
        <f>VLOOKUP(Inventory[[#This Row],[Cnd]],Lookups!$T$7:$W$16,4,FALSE)</f>
        <v>0.99729999999999996</v>
      </c>
      <c r="BJ1902" s="25">
        <f>VLOOKUP(Inventory[[#This Row],[LivArea Range]],Lookups!$T$25:$W$37,4,FALSE)</f>
        <v>1.0148999999999999</v>
      </c>
      <c r="BK1902" s="25">
        <f>VLOOKUP(Inventory[[#This Row],[Decade]],Lookups!$O$25:$R$42,4,FALSE)</f>
        <v>1.0074000000000001</v>
      </c>
      <c r="BL1902" s="25">
        <f>Inventory[[#This Row],[Nbhd Adj]]*0.95</f>
        <v>0.94971499999999998</v>
      </c>
      <c r="BM1902" s="25">
        <f>Inventory[[#This Row],[Nbhd Adj]]*Inventory[[#This Row],[Quality Adj]]*Inventory[[#This Row],[Condition Adj]]*Inventory[[#This Row],[Living Area Adj]]*Inventory[[#This Row],[Decade Adj]]*0.95</f>
        <v>0.96043597585476481</v>
      </c>
      <c r="BN1902" s="25">
        <f>ROUND(SUM(Inventory[[#This Row],[Mdl Qlty]:[Mdl WdDeck]])+Inventory[[#This Row],[Mdl Res Intercept]]*Inventory[[#This Row],[Res Adj ]],-2)</f>
        <v>193800</v>
      </c>
      <c r="BO1902" s="25">
        <f>ROUND(Inventory[[#This Row],[25Det]]*Inventory[[#This Row],[Det/Nbhd Adj]],-2)</f>
        <v>11200</v>
      </c>
      <c r="BP1902" s="25">
        <f>Inventory[[#This Row],[Adjusted Res]]+Inventory[[#This Row],[Adj Det ]]</f>
        <v>205000</v>
      </c>
      <c r="BQ1902" s="25">
        <f>ROUND((Inventory[[#This Row],[Mdl Land Intercept]]+Inventory[[#This Row],[Mdl LnAcres]])*Inventory[[#This Row],[Det/Nbhd Adj]],-2)</f>
        <v>36900</v>
      </c>
      <c r="BR1902" s="25">
        <f>Inventory[[#This Row],[Adjusted Impr Total]]+Inventory[[#This Row],[Adjusted Land Total]]</f>
        <v>241900</v>
      </c>
      <c r="BS1902" s="36">
        <f>IFERROR((Inventory[[#This Row],[Adjusted Impr Total]]-Inventory[[#This Row],[24Bldg]])/Inventory[[#This Row],[24Bldg]],0)</f>
        <v>0.15623237450648619</v>
      </c>
      <c r="BT1902" s="36">
        <f>(Inventory[[#This Row],[Adjusted Land Total]]-Inventory[[#This Row],[24Lnd]])/Inventory[[#This Row],[24Lnd]]</f>
        <v>-0.36815068493150682</v>
      </c>
      <c r="BU1902" s="36">
        <f>(Inventory[[#This Row],[Adjusted Total]]-Inventory[[#This Row],[24Final]])/Inventory[[#This Row],[24Final]]</f>
        <v>2.6304624522698345E-2</v>
      </c>
    </row>
    <row r="1903" spans="1:73" x14ac:dyDescent="0.3">
      <c r="A1903" s="25">
        <v>2025</v>
      </c>
      <c r="B1903" s="26" t="s">
        <v>2071</v>
      </c>
      <c r="C1903" s="26">
        <f>LN(Inventory[[#This Row],[Acres]])</f>
        <v>-1.8971199848858813</v>
      </c>
      <c r="D1903" s="25">
        <v>0.15</v>
      </c>
      <c r="E1903" s="27"/>
      <c r="F1903" s="26" t="s">
        <v>537</v>
      </c>
      <c r="G1903" s="26" t="s">
        <v>126</v>
      </c>
      <c r="H1903" s="26" t="s">
        <v>349</v>
      </c>
      <c r="I1903" s="26" t="s">
        <v>538</v>
      </c>
      <c r="J1903" s="26" t="s">
        <v>539</v>
      </c>
      <c r="K1903" s="26" t="s">
        <v>269</v>
      </c>
      <c r="L1903" s="26" t="s">
        <v>302</v>
      </c>
      <c r="M1903" s="26" t="s">
        <v>323</v>
      </c>
      <c r="N1903" s="26">
        <v>100</v>
      </c>
      <c r="O1903" s="26">
        <f>2024-Inventory[[#This Row],[YrBlt]]</f>
        <v>96</v>
      </c>
      <c r="P1903" s="26">
        <f>2024-Inventory[[#This Row],[EffYr]]</f>
        <v>55</v>
      </c>
      <c r="Q1903" s="25">
        <v>1928</v>
      </c>
      <c r="R1903" s="25">
        <v>1969</v>
      </c>
      <c r="S1903" s="25">
        <v>1750</v>
      </c>
      <c r="T1903" s="27"/>
      <c r="U1903" s="25">
        <v>850</v>
      </c>
      <c r="V1903" s="25">
        <f>Inventory[[#This Row],[Bsmt]]-Inventory[[#This Row],[FnBsmt]]</f>
        <v>0</v>
      </c>
      <c r="W1903" s="25">
        <v>850</v>
      </c>
      <c r="X1903" s="27"/>
      <c r="Y1903" s="27">
        <f>Inventory[[#This Row],[MainFn]]+Inventory[[#This Row],[UpprFn]]+Inventory[[#This Row],[FnBsmt]]+Inventory[[#This Row],[AddFn]]</f>
        <v>2600</v>
      </c>
      <c r="Z1903" s="27">
        <v>3000</v>
      </c>
      <c r="AA1903" s="25">
        <v>12</v>
      </c>
      <c r="AB1903" s="31"/>
      <c r="AC1903" s="27"/>
      <c r="AD1903" s="27"/>
      <c r="AE1903" s="27"/>
      <c r="AF1903" s="27"/>
      <c r="AG1903" s="27"/>
      <c r="AH1903" s="27"/>
      <c r="AI1903" s="25">
        <v>413197</v>
      </c>
      <c r="AJ1903" s="25">
        <v>268578</v>
      </c>
      <c r="AK1903" s="25">
        <v>5261</v>
      </c>
      <c r="AL1903" s="25">
        <v>362900</v>
      </c>
      <c r="AM1903" s="25">
        <v>48400</v>
      </c>
      <c r="AN1903" s="25">
        <v>314500</v>
      </c>
      <c r="AO1903" s="25">
        <v>0</v>
      </c>
      <c r="AP1903" s="25">
        <f>Lookups!$B$56*0</f>
        <v>0</v>
      </c>
      <c r="AQ1903" s="25">
        <f>Lookups!$B$56*1</f>
        <v>89850.625589999996</v>
      </c>
      <c r="AR1903" s="25">
        <f>Lookups!$B$57*Inventory[[#This Row],[LnAcres]]</f>
        <v>-60052.604136134301</v>
      </c>
      <c r="AS1903" s="25">
        <f>VLOOKUP(Inventory[[#This Row],[Qlty]],Lookups!$A$62:$E$75,2,FALSE)</f>
        <v>29814.093161000001</v>
      </c>
      <c r="AT1903" s="25">
        <f>VLOOKUP(Inventory[[#This Row],[Cnd]],Lookups!$A$76:$E$84,2,FALSE)</f>
        <v>160472.20319</v>
      </c>
      <c r="AU1903" s="25">
        <f>Inventory[[#This Row],[EffAge]]*Lookups!$B$85</f>
        <v>-12267.5080275</v>
      </c>
      <c r="AV1903" s="25">
        <f>Inventory[[#This Row],[MainFn]]*Lookups!$B$86</f>
        <v>86465.172284750006</v>
      </c>
      <c r="AW1903" s="25">
        <f>Inventory[[#This Row],[UpprFn]]*Lookups!$B$87</f>
        <v>0</v>
      </c>
      <c r="AX1903" s="25">
        <f>Inventory[[#This Row],[AddFn]]*Lookups!$B$88</f>
        <v>0</v>
      </c>
      <c r="AY1903" s="25">
        <f>Inventory[[#This Row],[Bsmt]]*Lookups!$B$89</f>
        <v>24719.610959949998</v>
      </c>
      <c r="AZ1903" s="25">
        <f>Inventory[[#This Row],[Fixtures]]*Lookups!$B$90</f>
        <v>45504.265262400004</v>
      </c>
      <c r="BA1903" s="25">
        <f>Inventory[[#This Row],[WdDeck]]*Lookups!$B$91</f>
        <v>0</v>
      </c>
      <c r="BB1903" s="25">
        <f>ROUND(Inventory[[#This Row],[25Det]],-2)</f>
        <v>5300</v>
      </c>
      <c r="BC1903" s="25">
        <f>ROUND(SUM(Inventory[[#This Row],[Mdl Qlty]:[Mdl WdDeck]])+Inventory[[#This Row],[Mdl Res Intercept]],-2)</f>
        <v>334700</v>
      </c>
      <c r="BD1903" s="25">
        <f>ROUND(Inventory[[#This Row],[Mdl Land Intercept]]+Inventory[[#This Row],[Mdl LnAcres]],-2)</f>
        <v>29800</v>
      </c>
      <c r="BE1903" s="25">
        <f>Inventory[[#This Row],[Unadj Res Value]]+Inventory[[#This Row],[Unadj Det Value]]+Inventory[[#This Row],[Unadj Land Value]]</f>
        <v>369800</v>
      </c>
      <c r="BF1903" s="36">
        <f>(Inventory[[#This Row],[Unadj Total Value]]-Inventory[[#This Row],[24Final]])/Inventory[[#This Row],[24Final]]</f>
        <v>1.9013502342243041E-2</v>
      </c>
      <c r="BG1903" s="25">
        <f>VLOOKUP(Inventory[[#This Row],[Nbhd]],Lookups!$Q$2:$T$4,4,FALSE)</f>
        <v>0.99970000000000003</v>
      </c>
      <c r="BH1903" s="25">
        <f>VLOOKUP(Inventory[[#This Row],[Qlty]],Lookups!$O$7:$R$21,4,FALSE)</f>
        <v>1.0088999999999999</v>
      </c>
      <c r="BI1903" s="25">
        <f>VLOOKUP(Inventory[[#This Row],[Cnd]],Lookups!$T$7:$W$16,4,FALSE)</f>
        <v>0.99729999999999996</v>
      </c>
      <c r="BJ1903" s="25">
        <f>VLOOKUP(Inventory[[#This Row],[LivArea Range]],Lookups!$T$25:$W$37,4,FALSE)</f>
        <v>0.96179999999999999</v>
      </c>
      <c r="BK1903" s="25">
        <f>VLOOKUP(Inventory[[#This Row],[Decade]],Lookups!$O$25:$R$42,4,FALSE)</f>
        <v>1.0074000000000001</v>
      </c>
      <c r="BL1903" s="25">
        <f>Inventory[[#This Row],[Nbhd Adj]]*0.95</f>
        <v>0.94971499999999998</v>
      </c>
      <c r="BM1903" s="25">
        <f>Inventory[[#This Row],[Nbhd Adj]]*Inventory[[#This Row],[Quality Adj]]*Inventory[[#This Row],[Condition Adj]]*Inventory[[#This Row],[Living Area Adj]]*Inventory[[#This Row],[Decade Adj]]*0.95</f>
        <v>0.92587841120833458</v>
      </c>
      <c r="BN1903" s="25">
        <f>ROUND(SUM(Inventory[[#This Row],[Mdl Qlty]:[Mdl WdDeck]])+Inventory[[#This Row],[Mdl Res Intercept]]*Inventory[[#This Row],[Res Adj ]],-2)</f>
        <v>334700</v>
      </c>
      <c r="BO1903" s="25">
        <f>ROUND(Inventory[[#This Row],[25Det]]*Inventory[[#This Row],[Det/Nbhd Adj]],-2)</f>
        <v>5000</v>
      </c>
      <c r="BP1903" s="25">
        <f>Inventory[[#This Row],[Adjusted Res]]+Inventory[[#This Row],[Adj Det ]]</f>
        <v>339700</v>
      </c>
      <c r="BQ1903" s="25">
        <f>ROUND((Inventory[[#This Row],[Mdl Land Intercept]]+Inventory[[#This Row],[Mdl LnAcres]])*Inventory[[#This Row],[Det/Nbhd Adj]],-2)</f>
        <v>28300</v>
      </c>
      <c r="BR1903" s="25">
        <f>Inventory[[#This Row],[Adjusted Impr Total]]+Inventory[[#This Row],[Adjusted Land Total]]</f>
        <v>368000</v>
      </c>
      <c r="BS1903" s="36">
        <f>IFERROR((Inventory[[#This Row],[Adjusted Impr Total]]-Inventory[[#This Row],[24Bldg]])/Inventory[[#This Row],[24Bldg]],0)</f>
        <v>8.0127186009538956E-2</v>
      </c>
      <c r="BT1903" s="36">
        <f>(Inventory[[#This Row],[Adjusted Land Total]]-Inventory[[#This Row],[24Lnd]])/Inventory[[#This Row],[24Lnd]]</f>
        <v>-0.41528925619834711</v>
      </c>
      <c r="BU1903" s="36">
        <f>(Inventory[[#This Row],[Adjusted Total]]-Inventory[[#This Row],[24Final]])/Inventory[[#This Row],[24Final]]</f>
        <v>1.4053458252962248E-2</v>
      </c>
    </row>
    <row r="1904" spans="1:73" x14ac:dyDescent="0.3">
      <c r="A1904" s="25">
        <v>2025</v>
      </c>
      <c r="B1904" s="26" t="s">
        <v>1095</v>
      </c>
      <c r="C1904" s="26">
        <f>LN(Inventory[[#This Row],[Acres]])</f>
        <v>-1.3470736479666092</v>
      </c>
      <c r="D1904" s="25">
        <v>0.26</v>
      </c>
      <c r="E1904" s="25">
        <v>11200</v>
      </c>
      <c r="F1904" s="26" t="s">
        <v>537</v>
      </c>
      <c r="G1904" s="26" t="s">
        <v>126</v>
      </c>
      <c r="H1904" s="26" t="s">
        <v>349</v>
      </c>
      <c r="I1904" s="26" t="s">
        <v>538</v>
      </c>
      <c r="J1904" s="26" t="s">
        <v>539</v>
      </c>
      <c r="K1904" s="26" t="s">
        <v>173</v>
      </c>
      <c r="L1904" s="26" t="s">
        <v>351</v>
      </c>
      <c r="M1904" s="26" t="s">
        <v>323</v>
      </c>
      <c r="N1904" s="26">
        <v>100</v>
      </c>
      <c r="O1904" s="26">
        <f>2024-Inventory[[#This Row],[YrBlt]]</f>
        <v>96</v>
      </c>
      <c r="P1904" s="26">
        <f>2024-Inventory[[#This Row],[EffYr]]</f>
        <v>55</v>
      </c>
      <c r="Q1904" s="25">
        <v>1928</v>
      </c>
      <c r="R1904" s="25">
        <v>1969</v>
      </c>
      <c r="S1904" s="25">
        <v>957</v>
      </c>
      <c r="T1904" s="32">
        <v>957</v>
      </c>
      <c r="U1904" s="32">
        <v>957</v>
      </c>
      <c r="V1904" s="32">
        <f>Inventory[[#This Row],[Bsmt]]-Inventory[[#This Row],[FnBsmt]]</f>
        <v>957</v>
      </c>
      <c r="W1904" s="27"/>
      <c r="X1904" s="27"/>
      <c r="Y1904" s="27">
        <f>Inventory[[#This Row],[MainFn]]+Inventory[[#This Row],[UpprFn]]+Inventory[[#This Row],[FnBsmt]]+Inventory[[#This Row],[AddFn]]</f>
        <v>1914</v>
      </c>
      <c r="Z1904" s="27">
        <v>2000</v>
      </c>
      <c r="AA1904" s="25">
        <v>7</v>
      </c>
      <c r="AB1904" s="32">
        <v>280</v>
      </c>
      <c r="AC1904" s="27"/>
      <c r="AD1904" s="27"/>
      <c r="AE1904" s="27"/>
      <c r="AF1904" s="27"/>
      <c r="AG1904" s="27"/>
      <c r="AH1904" s="27"/>
      <c r="AI1904" s="25">
        <v>429959</v>
      </c>
      <c r="AJ1904" s="25">
        <v>279473</v>
      </c>
      <c r="AK1904" s="25">
        <v>0</v>
      </c>
      <c r="AL1904" s="25">
        <v>355100</v>
      </c>
      <c r="AM1904" s="25">
        <v>67600</v>
      </c>
      <c r="AN1904" s="25">
        <v>287500</v>
      </c>
      <c r="AO1904" s="25">
        <v>0</v>
      </c>
      <c r="AP1904" s="25">
        <f>Lookups!$B$56*0</f>
        <v>0</v>
      </c>
      <c r="AQ1904" s="25">
        <f>Lookups!$B$56*1</f>
        <v>89850.625589999996</v>
      </c>
      <c r="AR1904" s="25">
        <f>Lookups!$B$57*Inventory[[#This Row],[LnAcres]]</f>
        <v>-42641.098701210125</v>
      </c>
      <c r="AS1904" s="25">
        <f>VLOOKUP(Inventory[[#This Row],[Qlty]],Lookups!$A$62:$E$75,2,FALSE)</f>
        <v>21557.329055999999</v>
      </c>
      <c r="AT1904" s="25">
        <f>VLOOKUP(Inventory[[#This Row],[Cnd]],Lookups!$A$76:$E$84,2,FALSE)</f>
        <v>160472.20319</v>
      </c>
      <c r="AU1904" s="25">
        <f>Inventory[[#This Row],[EffAge]]*Lookups!$B$85</f>
        <v>-12267.5080275</v>
      </c>
      <c r="AV1904" s="25">
        <f>Inventory[[#This Row],[MainFn]]*Lookups!$B$86</f>
        <v>47284.097072288998</v>
      </c>
      <c r="AW1904" s="25">
        <f>Inventory[[#This Row],[UpprFn]]*Lookups!$B$87</f>
        <v>42860.606677976997</v>
      </c>
      <c r="AX1904" s="25">
        <f>Inventory[[#This Row],[AddFn]]*Lookups!$B$88</f>
        <v>0</v>
      </c>
      <c r="AY1904" s="25">
        <f>Inventory[[#This Row],[Bsmt]]*Lookups!$B$89</f>
        <v>27831.373751379</v>
      </c>
      <c r="AZ1904" s="25">
        <f>Inventory[[#This Row],[Fixtures]]*Lookups!$B$90</f>
        <v>26544.1547364</v>
      </c>
      <c r="BA1904" s="25">
        <f>Inventory[[#This Row],[WdDeck]]*Lookups!$B$91</f>
        <v>0</v>
      </c>
      <c r="BB1904" s="25">
        <f>ROUND(Inventory[[#This Row],[25Det]],-2)</f>
        <v>0</v>
      </c>
      <c r="BC1904" s="25">
        <f>ROUND(SUM(Inventory[[#This Row],[Mdl Qlty]:[Mdl WdDeck]])+Inventory[[#This Row],[Mdl Res Intercept]],-2)</f>
        <v>314300</v>
      </c>
      <c r="BD1904" s="25">
        <f>ROUND(Inventory[[#This Row],[Mdl Land Intercept]]+Inventory[[#This Row],[Mdl LnAcres]],-2)</f>
        <v>47200</v>
      </c>
      <c r="BE1904" s="25">
        <f>Inventory[[#This Row],[Unadj Res Value]]+Inventory[[#This Row],[Unadj Det Value]]+Inventory[[#This Row],[Unadj Land Value]]</f>
        <v>361500</v>
      </c>
      <c r="BF1904" s="36">
        <f>(Inventory[[#This Row],[Unadj Total Value]]-Inventory[[#This Row],[24Final]])/Inventory[[#This Row],[24Final]]</f>
        <v>1.802309208673613E-2</v>
      </c>
      <c r="BG1904" s="25">
        <f>VLOOKUP(Inventory[[#This Row],[Nbhd]],Lookups!$Q$2:$T$4,4,FALSE)</f>
        <v>0.99970000000000003</v>
      </c>
      <c r="BH1904" s="25">
        <f>VLOOKUP(Inventory[[#This Row],[Qlty]],Lookups!$O$7:$R$21,4,FALSE)</f>
        <v>1.0067999999999999</v>
      </c>
      <c r="BI1904" s="25">
        <f>VLOOKUP(Inventory[[#This Row],[Cnd]],Lookups!$T$7:$W$16,4,FALSE)</f>
        <v>0.99729999999999996</v>
      </c>
      <c r="BJ1904" s="25">
        <f>VLOOKUP(Inventory[[#This Row],[LivArea Range]],Lookups!$T$25:$W$37,4,FALSE)</f>
        <v>1.0093000000000001</v>
      </c>
      <c r="BK1904" s="25">
        <f>VLOOKUP(Inventory[[#This Row],[Decade]],Lookups!$O$25:$R$42,4,FALSE)</f>
        <v>1.0074000000000001</v>
      </c>
      <c r="BL1904" s="25">
        <f>Inventory[[#This Row],[Nbhd Adj]]*0.95</f>
        <v>0.94971499999999998</v>
      </c>
      <c r="BM1904" s="25">
        <f>Inventory[[#This Row],[Nbhd Adj]]*Inventory[[#This Row],[Quality Adj]]*Inventory[[#This Row],[Condition Adj]]*Inventory[[#This Row],[Living Area Adj]]*Inventory[[#This Row],[Decade Adj]]*0.95</f>
        <v>0.96958199718441984</v>
      </c>
      <c r="BN1904" s="25">
        <f>ROUND(SUM(Inventory[[#This Row],[Mdl Qlty]:[Mdl WdDeck]])+Inventory[[#This Row],[Mdl Res Intercept]]*Inventory[[#This Row],[Res Adj ]],-2)</f>
        <v>314300</v>
      </c>
      <c r="BO1904" s="25">
        <f>ROUND(Inventory[[#This Row],[25Det]]*Inventory[[#This Row],[Det/Nbhd Adj]],-2)</f>
        <v>0</v>
      </c>
      <c r="BP1904" s="25">
        <f>Inventory[[#This Row],[Adjusted Res]]+Inventory[[#This Row],[Adj Det ]]</f>
        <v>314300</v>
      </c>
      <c r="BQ1904" s="25">
        <f>ROUND((Inventory[[#This Row],[Mdl Land Intercept]]+Inventory[[#This Row],[Mdl LnAcres]])*Inventory[[#This Row],[Det/Nbhd Adj]],-2)</f>
        <v>44800</v>
      </c>
      <c r="BR1904" s="25">
        <f>Inventory[[#This Row],[Adjusted Impr Total]]+Inventory[[#This Row],[Adjusted Land Total]]</f>
        <v>359100</v>
      </c>
      <c r="BS1904" s="36">
        <f>IFERROR((Inventory[[#This Row],[Adjusted Impr Total]]-Inventory[[#This Row],[24Bldg]])/Inventory[[#This Row],[24Bldg]],0)</f>
        <v>9.3217391304347821E-2</v>
      </c>
      <c r="BT1904" s="36">
        <f>(Inventory[[#This Row],[Adjusted Land Total]]-Inventory[[#This Row],[24Lnd]])/Inventory[[#This Row],[24Lnd]]</f>
        <v>-0.33727810650887574</v>
      </c>
      <c r="BU1904" s="36">
        <f>(Inventory[[#This Row],[Adjusted Total]]-Inventory[[#This Row],[24Final]])/Inventory[[#This Row],[24Final]]</f>
        <v>1.1264432554210082E-2</v>
      </c>
    </row>
    <row r="1905" spans="1:73" x14ac:dyDescent="0.3">
      <c r="A1905" s="25">
        <v>2025</v>
      </c>
      <c r="B1905" s="26" t="s">
        <v>2236</v>
      </c>
      <c r="C1905" s="26">
        <f>LN(Inventory[[#This Row],[Acres]])</f>
        <v>-1.8971199848858813</v>
      </c>
      <c r="D1905" s="25">
        <v>0.15</v>
      </c>
      <c r="E1905" s="27"/>
      <c r="F1905" s="26" t="s">
        <v>537</v>
      </c>
      <c r="G1905" s="26" t="s">
        <v>126</v>
      </c>
      <c r="H1905" s="26" t="s">
        <v>349</v>
      </c>
      <c r="I1905" s="26" t="s">
        <v>538</v>
      </c>
      <c r="J1905" s="26" t="s">
        <v>539</v>
      </c>
      <c r="K1905" s="26" t="s">
        <v>269</v>
      </c>
      <c r="L1905" s="26" t="s">
        <v>351</v>
      </c>
      <c r="M1905" s="26" t="s">
        <v>323</v>
      </c>
      <c r="N1905" s="26">
        <v>100</v>
      </c>
      <c r="O1905" s="26">
        <f>2024-Inventory[[#This Row],[YrBlt]]</f>
        <v>96</v>
      </c>
      <c r="P1905" s="26">
        <f>2024-Inventory[[#This Row],[EffYr]]</f>
        <v>55</v>
      </c>
      <c r="Q1905" s="25">
        <v>1928</v>
      </c>
      <c r="R1905" s="25">
        <v>1969</v>
      </c>
      <c r="S1905" s="25">
        <v>1212</v>
      </c>
      <c r="T1905" s="27"/>
      <c r="U1905" s="32">
        <v>1212</v>
      </c>
      <c r="V1905" s="32">
        <f>Inventory[[#This Row],[Bsmt]]-Inventory[[#This Row],[FnBsmt]]</f>
        <v>0</v>
      </c>
      <c r="W1905" s="32">
        <v>1212</v>
      </c>
      <c r="X1905" s="27"/>
      <c r="Y1905" s="27">
        <f>Inventory[[#This Row],[MainFn]]+Inventory[[#This Row],[UpprFn]]+Inventory[[#This Row],[FnBsmt]]+Inventory[[#This Row],[AddFn]]</f>
        <v>2424</v>
      </c>
      <c r="Z1905" s="27">
        <v>2500</v>
      </c>
      <c r="AA1905" s="25">
        <v>8</v>
      </c>
      <c r="AB1905" s="27"/>
      <c r="AC1905" s="27"/>
      <c r="AD1905" s="27"/>
      <c r="AE1905" s="27"/>
      <c r="AF1905" s="27"/>
      <c r="AG1905" s="27"/>
      <c r="AH1905" s="27"/>
      <c r="AI1905" s="25">
        <v>310509</v>
      </c>
      <c r="AJ1905" s="25">
        <v>201831</v>
      </c>
      <c r="AK1905" s="25">
        <v>5261</v>
      </c>
      <c r="AL1905" s="25">
        <v>325900</v>
      </c>
      <c r="AM1905" s="25">
        <v>48400</v>
      </c>
      <c r="AN1905" s="25">
        <v>277500</v>
      </c>
      <c r="AO1905" s="25">
        <v>0</v>
      </c>
      <c r="AP1905" s="25">
        <f>Lookups!$B$56*0</f>
        <v>0</v>
      </c>
      <c r="AQ1905" s="25">
        <f>Lookups!$B$56*1</f>
        <v>89850.625589999996</v>
      </c>
      <c r="AR1905" s="25">
        <f>Lookups!$B$57*Inventory[[#This Row],[LnAcres]]</f>
        <v>-60052.604136134301</v>
      </c>
      <c r="AS1905" s="25">
        <f>VLOOKUP(Inventory[[#This Row],[Qlty]],Lookups!$A$62:$E$75,2,FALSE)</f>
        <v>21557.329055999999</v>
      </c>
      <c r="AT1905" s="25">
        <f>VLOOKUP(Inventory[[#This Row],[Cnd]],Lookups!$A$76:$E$84,2,FALSE)</f>
        <v>160472.20319</v>
      </c>
      <c r="AU1905" s="25">
        <f>Inventory[[#This Row],[EffAge]]*Lookups!$B$85</f>
        <v>-12267.5080275</v>
      </c>
      <c r="AV1905" s="25">
        <f>Inventory[[#This Row],[MainFn]]*Lookups!$B$86</f>
        <v>59883.307890923999</v>
      </c>
      <c r="AW1905" s="25">
        <f>Inventory[[#This Row],[UpprFn]]*Lookups!$B$87</f>
        <v>0</v>
      </c>
      <c r="AX1905" s="25">
        <f>Inventory[[#This Row],[AddFn]]*Lookups!$B$88</f>
        <v>0</v>
      </c>
      <c r="AY1905" s="25">
        <f>Inventory[[#This Row],[Bsmt]]*Lookups!$B$89</f>
        <v>35247.257039363998</v>
      </c>
      <c r="AZ1905" s="25">
        <f>Inventory[[#This Row],[Fixtures]]*Lookups!$B$90</f>
        <v>30336.176841600001</v>
      </c>
      <c r="BA1905" s="25">
        <f>Inventory[[#This Row],[WdDeck]]*Lookups!$B$91</f>
        <v>0</v>
      </c>
      <c r="BB1905" s="25">
        <f>ROUND(Inventory[[#This Row],[25Det]],-2)</f>
        <v>5300</v>
      </c>
      <c r="BC1905" s="25">
        <f>ROUND(SUM(Inventory[[#This Row],[Mdl Qlty]:[Mdl WdDeck]])+Inventory[[#This Row],[Mdl Res Intercept]],-2)</f>
        <v>295200</v>
      </c>
      <c r="BD1905" s="25">
        <f>ROUND(Inventory[[#This Row],[Mdl Land Intercept]]+Inventory[[#This Row],[Mdl LnAcres]],-2)</f>
        <v>29800</v>
      </c>
      <c r="BE1905" s="25">
        <f>Inventory[[#This Row],[Unadj Res Value]]+Inventory[[#This Row],[Unadj Det Value]]+Inventory[[#This Row],[Unadj Land Value]]</f>
        <v>330300</v>
      </c>
      <c r="BF1905" s="36">
        <f>(Inventory[[#This Row],[Unadj Total Value]]-Inventory[[#This Row],[24Final]])/Inventory[[#This Row],[24Final]]</f>
        <v>1.350107394906413E-2</v>
      </c>
      <c r="BG1905" s="25">
        <f>VLOOKUP(Inventory[[#This Row],[Nbhd]],Lookups!$Q$2:$T$4,4,FALSE)</f>
        <v>0.99970000000000003</v>
      </c>
      <c r="BH1905" s="25">
        <f>VLOOKUP(Inventory[[#This Row],[Qlty]],Lookups!$O$7:$R$21,4,FALSE)</f>
        <v>1.0067999999999999</v>
      </c>
      <c r="BI1905" s="25">
        <f>VLOOKUP(Inventory[[#This Row],[Cnd]],Lookups!$T$7:$W$16,4,FALSE)</f>
        <v>0.99729999999999996</v>
      </c>
      <c r="BJ1905" s="25">
        <f>VLOOKUP(Inventory[[#This Row],[LivArea Range]],Lookups!$T$25:$W$37,4,FALSE)</f>
        <v>0.98919999999999997</v>
      </c>
      <c r="BK1905" s="25">
        <f>VLOOKUP(Inventory[[#This Row],[Decade]],Lookups!$O$25:$R$42,4,FALSE)</f>
        <v>1.0074000000000001</v>
      </c>
      <c r="BL1905" s="25">
        <f>Inventory[[#This Row],[Nbhd Adj]]*0.95</f>
        <v>0.94971499999999998</v>
      </c>
      <c r="BM1905" s="25">
        <f>Inventory[[#This Row],[Nbhd Adj]]*Inventory[[#This Row],[Quality Adj]]*Inventory[[#This Row],[Condition Adj]]*Inventory[[#This Row],[Living Area Adj]]*Inventory[[#This Row],[Decade Adj]]*0.95</f>
        <v>0.95027297296624202</v>
      </c>
      <c r="BN1905" s="25">
        <f>ROUND(SUM(Inventory[[#This Row],[Mdl Qlty]:[Mdl WdDeck]])+Inventory[[#This Row],[Mdl Res Intercept]]*Inventory[[#This Row],[Res Adj ]],-2)</f>
        <v>295200</v>
      </c>
      <c r="BO1905" s="25">
        <f>ROUND(Inventory[[#This Row],[25Det]]*Inventory[[#This Row],[Det/Nbhd Adj]],-2)</f>
        <v>5000</v>
      </c>
      <c r="BP1905" s="25">
        <f>Inventory[[#This Row],[Adjusted Res]]+Inventory[[#This Row],[Adj Det ]]</f>
        <v>300200</v>
      </c>
      <c r="BQ1905" s="25">
        <f>ROUND((Inventory[[#This Row],[Mdl Land Intercept]]+Inventory[[#This Row],[Mdl LnAcres]])*Inventory[[#This Row],[Det/Nbhd Adj]],-2)</f>
        <v>28300</v>
      </c>
      <c r="BR1905" s="25">
        <f>Inventory[[#This Row],[Adjusted Impr Total]]+Inventory[[#This Row],[Adjusted Land Total]]</f>
        <v>328500</v>
      </c>
      <c r="BS1905" s="36">
        <f>IFERROR((Inventory[[#This Row],[Adjusted Impr Total]]-Inventory[[#This Row],[24Bldg]])/Inventory[[#This Row],[24Bldg]],0)</f>
        <v>8.1801801801801799E-2</v>
      </c>
      <c r="BT1905" s="36">
        <f>(Inventory[[#This Row],[Adjusted Land Total]]-Inventory[[#This Row],[24Lnd]])/Inventory[[#This Row],[24Lnd]]</f>
        <v>-0.41528925619834711</v>
      </c>
      <c r="BU1905" s="36">
        <f>(Inventory[[#This Row],[Adjusted Total]]-Inventory[[#This Row],[24Final]])/Inventory[[#This Row],[24Final]]</f>
        <v>7.9779073335378946E-3</v>
      </c>
    </row>
    <row r="1906" spans="1:73" x14ac:dyDescent="0.3">
      <c r="A1906" s="25">
        <v>2025</v>
      </c>
      <c r="B1906" s="26" t="s">
        <v>2385</v>
      </c>
      <c r="C1906" s="26">
        <f>LN(Inventory[[#This Row],[Acres]])</f>
        <v>-1.2039728043259361</v>
      </c>
      <c r="D1906" s="25">
        <v>0.3</v>
      </c>
      <c r="E1906" s="31"/>
      <c r="F1906" s="26" t="s">
        <v>537</v>
      </c>
      <c r="G1906" s="26" t="s">
        <v>126</v>
      </c>
      <c r="H1906" s="26" t="s">
        <v>349</v>
      </c>
      <c r="I1906" s="26" t="s">
        <v>538</v>
      </c>
      <c r="J1906" s="26" t="s">
        <v>539</v>
      </c>
      <c r="K1906" s="26" t="s">
        <v>173</v>
      </c>
      <c r="L1906" s="26" t="s">
        <v>95</v>
      </c>
      <c r="M1906" s="26" t="s">
        <v>303</v>
      </c>
      <c r="N1906" s="26">
        <v>100</v>
      </c>
      <c r="O1906" s="26">
        <f>2024-Inventory[[#This Row],[YrBlt]]</f>
        <v>96</v>
      </c>
      <c r="P1906" s="26">
        <f>2024-Inventory[[#This Row],[EffYr]]</f>
        <v>55</v>
      </c>
      <c r="Q1906" s="25">
        <v>1928</v>
      </c>
      <c r="R1906" s="25">
        <v>1969</v>
      </c>
      <c r="S1906" s="25">
        <v>1330</v>
      </c>
      <c r="T1906" s="32">
        <v>760</v>
      </c>
      <c r="U1906" s="25">
        <v>1330</v>
      </c>
      <c r="V1906" s="32">
        <f>Inventory[[#This Row],[Bsmt]]-Inventory[[#This Row],[FnBsmt]]</f>
        <v>330</v>
      </c>
      <c r="W1906" s="32">
        <v>1000</v>
      </c>
      <c r="X1906" s="27"/>
      <c r="Y1906" s="27">
        <f>Inventory[[#This Row],[MainFn]]+Inventory[[#This Row],[UpprFn]]+Inventory[[#This Row],[FnBsmt]]+Inventory[[#This Row],[AddFn]]</f>
        <v>3090</v>
      </c>
      <c r="Z1906" s="27">
        <v>3500</v>
      </c>
      <c r="AA1906" s="25">
        <v>11</v>
      </c>
      <c r="AB1906" s="27"/>
      <c r="AC1906" s="27"/>
      <c r="AD1906" s="31"/>
      <c r="AE1906" s="27"/>
      <c r="AF1906" s="27"/>
      <c r="AG1906" s="27"/>
      <c r="AH1906" s="27"/>
      <c r="AI1906" s="25">
        <v>597727</v>
      </c>
      <c r="AJ1906" s="25">
        <v>406454</v>
      </c>
      <c r="AK1906" s="25">
        <v>20731</v>
      </c>
      <c r="AL1906" s="25">
        <v>516700</v>
      </c>
      <c r="AM1906" s="25">
        <v>72500</v>
      </c>
      <c r="AN1906" s="25">
        <v>444200</v>
      </c>
      <c r="AO1906" s="25">
        <v>0</v>
      </c>
      <c r="AP1906" s="25">
        <f>Lookups!$B$56*0</f>
        <v>0</v>
      </c>
      <c r="AQ1906" s="25">
        <f>Lookups!$B$56*1</f>
        <v>89850.625589999996</v>
      </c>
      <c r="AR1906" s="25">
        <f>Lookups!$B$57*Inventory[[#This Row],[LnAcres]]</f>
        <v>-38111.29648355169</v>
      </c>
      <c r="AS1906" s="25">
        <f>VLOOKUP(Inventory[[#This Row],[Qlty]],Lookups!$A$62:$E$75,2,FALSE)</f>
        <v>74268.409664999999</v>
      </c>
      <c r="AT1906" s="25">
        <f>VLOOKUP(Inventory[[#This Row],[Cnd]],Lookups!$A$76:$E$84,2,FALSE)</f>
        <v>197752.34721000001</v>
      </c>
      <c r="AU1906" s="25">
        <f>Inventory[[#This Row],[EffAge]]*Lookups!$B$85</f>
        <v>-12267.5080275</v>
      </c>
      <c r="AV1906" s="25">
        <f>Inventory[[#This Row],[MainFn]]*Lookups!$B$86</f>
        <v>65713.530936409996</v>
      </c>
      <c r="AW1906" s="25">
        <f>Inventory[[#This Row],[UpprFn]]*Lookups!$B$87</f>
        <v>34037.68137436</v>
      </c>
      <c r="AX1906" s="25">
        <f>Inventory[[#This Row],[AddFn]]*Lookups!$B$88</f>
        <v>0</v>
      </c>
      <c r="AY1906" s="25">
        <f>Inventory[[#This Row],[Bsmt]]*Lookups!$B$89</f>
        <v>38678.920678509996</v>
      </c>
      <c r="AZ1906" s="25">
        <f>Inventory[[#This Row],[Fixtures]]*Lookups!$B$90</f>
        <v>41712.243157199999</v>
      </c>
      <c r="BA1906" s="25">
        <f>Inventory[[#This Row],[WdDeck]]*Lookups!$B$91</f>
        <v>0</v>
      </c>
      <c r="BB1906" s="25">
        <f>ROUND(Inventory[[#This Row],[25Det]],-2)</f>
        <v>20700</v>
      </c>
      <c r="BC1906" s="25">
        <f>ROUND(SUM(Inventory[[#This Row],[Mdl Qlty]:[Mdl WdDeck]])+Inventory[[#This Row],[Mdl Res Intercept]],-2)</f>
        <v>439900</v>
      </c>
      <c r="BD1906" s="25">
        <f>ROUND(Inventory[[#This Row],[Mdl Land Intercept]]+Inventory[[#This Row],[Mdl LnAcres]],-2)</f>
        <v>51700</v>
      </c>
      <c r="BE1906" s="25">
        <f>Inventory[[#This Row],[Unadj Res Value]]+Inventory[[#This Row],[Unadj Det Value]]+Inventory[[#This Row],[Unadj Land Value]]</f>
        <v>512300</v>
      </c>
      <c r="BF1906" s="36">
        <f>(Inventory[[#This Row],[Unadj Total Value]]-Inventory[[#This Row],[24Final]])/Inventory[[#This Row],[24Final]]</f>
        <v>-8.5155796400232242E-3</v>
      </c>
      <c r="BG1906" s="25">
        <f>VLOOKUP(Inventory[[#This Row],[Nbhd]],Lookups!$Q$2:$T$4,4,FALSE)</f>
        <v>0.99970000000000003</v>
      </c>
      <c r="BH1906" s="25">
        <f>VLOOKUP(Inventory[[#This Row],[Qlty]],Lookups!$O$7:$R$21,4,FALSE)</f>
        <v>0.98380000000000001</v>
      </c>
      <c r="BI1906" s="25">
        <f>VLOOKUP(Inventory[[#This Row],[Cnd]],Lookups!$T$7:$W$16,4,FALSE)</f>
        <v>0.99650000000000005</v>
      </c>
      <c r="BJ1906" s="25">
        <f>VLOOKUP(Inventory[[#This Row],[LivArea Range]],Lookups!$T$25:$W$37,4,FALSE)</f>
        <v>1.0126999999999999</v>
      </c>
      <c r="BK1906" s="25">
        <f>VLOOKUP(Inventory[[#This Row],[Decade]],Lookups!$O$25:$R$42,4,FALSE)</f>
        <v>1.0074000000000001</v>
      </c>
      <c r="BL1906" s="25">
        <f>Inventory[[#This Row],[Nbhd Adj]]*0.95</f>
        <v>0.94971499999999998</v>
      </c>
      <c r="BM1906" s="25">
        <f>Inventory[[#This Row],[Nbhd Adj]]*Inventory[[#This Row],[Quality Adj]]*Inventory[[#This Row],[Condition Adj]]*Inventory[[#This Row],[Living Area Adj]]*Inventory[[#This Row],[Decade Adj]]*0.95</f>
        <v>0.94986125952200873</v>
      </c>
      <c r="BN1906" s="25">
        <f>ROUND(SUM(Inventory[[#This Row],[Mdl Qlty]:[Mdl WdDeck]])+Inventory[[#This Row],[Mdl Res Intercept]]*Inventory[[#This Row],[Res Adj ]],-2)</f>
        <v>439900</v>
      </c>
      <c r="BO1906" s="25">
        <f>ROUND(Inventory[[#This Row],[25Det]]*Inventory[[#This Row],[Det/Nbhd Adj]],-2)</f>
        <v>19700</v>
      </c>
      <c r="BP1906" s="25">
        <f>Inventory[[#This Row],[Adjusted Res]]+Inventory[[#This Row],[Adj Det ]]</f>
        <v>459600</v>
      </c>
      <c r="BQ1906" s="25">
        <f>ROUND((Inventory[[#This Row],[Mdl Land Intercept]]+Inventory[[#This Row],[Mdl LnAcres]])*Inventory[[#This Row],[Det/Nbhd Adj]],-2)</f>
        <v>49100</v>
      </c>
      <c r="BR1906" s="25">
        <f>Inventory[[#This Row],[Adjusted Impr Total]]+Inventory[[#This Row],[Adjusted Land Total]]</f>
        <v>508700</v>
      </c>
      <c r="BS1906" s="36">
        <f>IFERROR((Inventory[[#This Row],[Adjusted Impr Total]]-Inventory[[#This Row],[24Bldg]])/Inventory[[#This Row],[24Bldg]],0)</f>
        <v>3.4669067987393068E-2</v>
      </c>
      <c r="BT1906" s="36">
        <f>(Inventory[[#This Row],[Adjusted Land Total]]-Inventory[[#This Row],[24Lnd]])/Inventory[[#This Row],[24Lnd]]</f>
        <v>-0.32275862068965516</v>
      </c>
      <c r="BU1906" s="36">
        <f>(Inventory[[#This Row],[Adjusted Total]]-Inventory[[#This Row],[24Final]])/Inventory[[#This Row],[24Final]]</f>
        <v>-1.5482872072769499E-2</v>
      </c>
    </row>
    <row r="1907" spans="1:73" x14ac:dyDescent="0.3">
      <c r="A1907" s="25">
        <v>2025</v>
      </c>
      <c r="B1907" s="26" t="s">
        <v>1273</v>
      </c>
      <c r="C1907" s="26">
        <f>LN(Inventory[[#This Row],[Acres]])</f>
        <v>-1.1086626245216111</v>
      </c>
      <c r="D1907" s="25">
        <v>0.33</v>
      </c>
      <c r="E1907" s="25">
        <v>14507</v>
      </c>
      <c r="F1907" s="26" t="s">
        <v>537</v>
      </c>
      <c r="G1907" s="26" t="s">
        <v>126</v>
      </c>
      <c r="H1907" s="26" t="s">
        <v>349</v>
      </c>
      <c r="I1907" s="26" t="s">
        <v>538</v>
      </c>
      <c r="J1907" s="26" t="s">
        <v>974</v>
      </c>
      <c r="K1907" s="26" t="s">
        <v>417</v>
      </c>
      <c r="L1907" s="26" t="s">
        <v>64</v>
      </c>
      <c r="M1907" s="26" t="s">
        <v>303</v>
      </c>
      <c r="N1907" s="26">
        <v>100</v>
      </c>
      <c r="O1907" s="26">
        <f>2024-Inventory[[#This Row],[YrBlt]]</f>
        <v>96</v>
      </c>
      <c r="P1907" s="26">
        <f>2024-Inventory[[#This Row],[EffYr]]</f>
        <v>55</v>
      </c>
      <c r="Q1907" s="25">
        <v>1928</v>
      </c>
      <c r="R1907" s="25">
        <v>1969</v>
      </c>
      <c r="S1907" s="25">
        <v>2117</v>
      </c>
      <c r="T1907" s="25">
        <v>1716</v>
      </c>
      <c r="U1907" s="25">
        <v>1200</v>
      </c>
      <c r="V1907" s="25">
        <f>Inventory[[#This Row],[Bsmt]]-Inventory[[#This Row],[FnBsmt]]</f>
        <v>240</v>
      </c>
      <c r="W1907" s="25">
        <v>960</v>
      </c>
      <c r="X1907" s="27"/>
      <c r="Y1907" s="27">
        <f>Inventory[[#This Row],[MainFn]]+Inventory[[#This Row],[UpprFn]]+Inventory[[#This Row],[FnBsmt]]+Inventory[[#This Row],[AddFn]]</f>
        <v>4793</v>
      </c>
      <c r="Z1907" s="27">
        <v>4500</v>
      </c>
      <c r="AA1907" s="25">
        <v>11</v>
      </c>
      <c r="AB1907" s="32">
        <v>484</v>
      </c>
      <c r="AC1907" s="27"/>
      <c r="AD1907" s="27"/>
      <c r="AE1907" s="27"/>
      <c r="AF1907" s="27"/>
      <c r="AG1907" s="27"/>
      <c r="AH1907" s="27"/>
      <c r="AI1907" s="25">
        <v>1073699</v>
      </c>
      <c r="AJ1907" s="25">
        <v>730115</v>
      </c>
      <c r="AK1907" s="25">
        <v>27800</v>
      </c>
      <c r="AL1907" s="25">
        <v>697100</v>
      </c>
      <c r="AM1907" s="25">
        <v>75900</v>
      </c>
      <c r="AN1907" s="25">
        <v>621200</v>
      </c>
      <c r="AO1907" s="25">
        <v>0</v>
      </c>
      <c r="AP1907" s="25">
        <f>Lookups!$B$56*0</f>
        <v>0</v>
      </c>
      <c r="AQ1907" s="25">
        <f>Lookups!$B$56*1</f>
        <v>89850.625589999996</v>
      </c>
      <c r="AR1907" s="25">
        <f>Lookups!$B$57*Inventory[[#This Row],[LnAcres]]</f>
        <v>-35094.289365640165</v>
      </c>
      <c r="AS1907" s="25">
        <f>VLOOKUP(Inventory[[#This Row],[Qlty]],Lookups!$A$62:$E$75,2,FALSE)</f>
        <v>163885.03753</v>
      </c>
      <c r="AT1907" s="25">
        <f>VLOOKUP(Inventory[[#This Row],[Cnd]],Lookups!$A$76:$E$84,2,FALSE)</f>
        <v>197752.34721000001</v>
      </c>
      <c r="AU1907" s="25">
        <f>Inventory[[#This Row],[EffAge]]*Lookups!$B$85</f>
        <v>-12267.5080275</v>
      </c>
      <c r="AV1907" s="25">
        <f>Inventory[[#This Row],[MainFn]]*Lookups!$B$86</f>
        <v>104598.154129609</v>
      </c>
      <c r="AW1907" s="25">
        <f>Inventory[[#This Row],[UpprFn]]*Lookups!$B$87</f>
        <v>76853.501629475999</v>
      </c>
      <c r="AX1907" s="25">
        <f>Inventory[[#This Row],[AddFn]]*Lookups!$B$88</f>
        <v>0</v>
      </c>
      <c r="AY1907" s="25">
        <f>Inventory[[#This Row],[Bsmt]]*Lookups!$B$89</f>
        <v>34898.274296399999</v>
      </c>
      <c r="AZ1907" s="25">
        <f>Inventory[[#This Row],[Fixtures]]*Lookups!$B$90</f>
        <v>41712.243157199999</v>
      </c>
      <c r="BA1907" s="25">
        <f>Inventory[[#This Row],[WdDeck]]*Lookups!$B$91</f>
        <v>0</v>
      </c>
      <c r="BB1907" s="25">
        <f>ROUND(Inventory[[#This Row],[25Det]],-2)</f>
        <v>27800</v>
      </c>
      <c r="BC1907" s="25">
        <f>ROUND(SUM(Inventory[[#This Row],[Mdl Qlty]:[Mdl WdDeck]])+Inventory[[#This Row],[Mdl Res Intercept]],-2)</f>
        <v>607400</v>
      </c>
      <c r="BD1907" s="25">
        <f>ROUND(Inventory[[#This Row],[Mdl Land Intercept]]+Inventory[[#This Row],[Mdl LnAcres]],-2)</f>
        <v>54800</v>
      </c>
      <c r="BE1907" s="25">
        <f>Inventory[[#This Row],[Unadj Res Value]]+Inventory[[#This Row],[Unadj Det Value]]+Inventory[[#This Row],[Unadj Land Value]]</f>
        <v>690000</v>
      </c>
      <c r="BF1907" s="36">
        <f>(Inventory[[#This Row],[Unadj Total Value]]-Inventory[[#This Row],[24Final]])/Inventory[[#This Row],[24Final]]</f>
        <v>-1.0185052359776216E-2</v>
      </c>
      <c r="BG1907" s="25">
        <f>VLOOKUP(Inventory[[#This Row],[Nbhd]],Lookups!$Q$2:$T$4,4,FALSE)</f>
        <v>0.99970000000000003</v>
      </c>
      <c r="BH1907" s="25">
        <f>VLOOKUP(Inventory[[#This Row],[Qlty]],Lookups!$O$7:$R$21,4,FALSE)</f>
        <v>1</v>
      </c>
      <c r="BI1907" s="25">
        <f>VLOOKUP(Inventory[[#This Row],[Cnd]],Lookups!$T$7:$W$16,4,FALSE)</f>
        <v>0.99650000000000005</v>
      </c>
      <c r="BJ1907" s="25">
        <f>VLOOKUP(Inventory[[#This Row],[LivArea Range]],Lookups!$T$25:$W$37,4,FALSE)</f>
        <v>1</v>
      </c>
      <c r="BK1907" s="25">
        <f>VLOOKUP(Inventory[[#This Row],[Decade]],Lookups!$O$25:$R$42,4,FALSE)</f>
        <v>1.0074000000000001</v>
      </c>
      <c r="BL1907" s="25">
        <f>Inventory[[#This Row],[Nbhd Adj]]*0.95</f>
        <v>0.94971499999999998</v>
      </c>
      <c r="BM1907" s="25">
        <f>Inventory[[#This Row],[Nbhd Adj]]*Inventory[[#This Row],[Quality Adj]]*Inventory[[#This Row],[Condition Adj]]*Inventory[[#This Row],[Living Area Adj]]*Inventory[[#This Row],[Decade Adj]]*0.95</f>
        <v>0.95339429088149996</v>
      </c>
      <c r="BN1907" s="25">
        <f>ROUND(SUM(Inventory[[#This Row],[Mdl Qlty]:[Mdl WdDeck]])+Inventory[[#This Row],[Mdl Res Intercept]]*Inventory[[#This Row],[Res Adj ]],-2)</f>
        <v>607400</v>
      </c>
      <c r="BO1907" s="25">
        <f>ROUND(Inventory[[#This Row],[25Det]]*Inventory[[#This Row],[Det/Nbhd Adj]],-2)</f>
        <v>26400</v>
      </c>
      <c r="BP1907" s="25">
        <f>Inventory[[#This Row],[Adjusted Res]]+Inventory[[#This Row],[Adj Det ]]</f>
        <v>633800</v>
      </c>
      <c r="BQ1907" s="25">
        <f>ROUND((Inventory[[#This Row],[Mdl Land Intercept]]+Inventory[[#This Row],[Mdl LnAcres]])*Inventory[[#This Row],[Det/Nbhd Adj]],-2)</f>
        <v>52000</v>
      </c>
      <c r="BR1907" s="25">
        <f>Inventory[[#This Row],[Adjusted Impr Total]]+Inventory[[#This Row],[Adjusted Land Total]]</f>
        <v>685800</v>
      </c>
      <c r="BS1907" s="36">
        <f>IFERROR((Inventory[[#This Row],[Adjusted Impr Total]]-Inventory[[#This Row],[24Bldg]])/Inventory[[#This Row],[24Bldg]],0)</f>
        <v>2.0283322601416614E-2</v>
      </c>
      <c r="BT1907" s="36">
        <f>(Inventory[[#This Row],[Adjusted Land Total]]-Inventory[[#This Row],[24Lnd]])/Inventory[[#This Row],[24Lnd]]</f>
        <v>-0.31488801054018445</v>
      </c>
      <c r="BU1907" s="36">
        <f>(Inventory[[#This Row],[Adjusted Total]]-Inventory[[#This Row],[24Final]])/Inventory[[#This Row],[24Final]]</f>
        <v>-1.6210012910629751E-2</v>
      </c>
    </row>
    <row r="1908" spans="1:73" x14ac:dyDescent="0.3">
      <c r="A1908" s="25">
        <v>2025</v>
      </c>
      <c r="B1908" s="26" t="s">
        <v>2612</v>
      </c>
      <c r="C1908" s="26">
        <f>LN(Inventory[[#This Row],[Acres]])</f>
        <v>-1.7719568419318752</v>
      </c>
      <c r="D1908" s="25">
        <v>0.17</v>
      </c>
      <c r="E1908" s="25">
        <v>7348</v>
      </c>
      <c r="F1908" s="26" t="s">
        <v>537</v>
      </c>
      <c r="G1908" s="26" t="s">
        <v>126</v>
      </c>
      <c r="H1908" s="26" t="s">
        <v>349</v>
      </c>
      <c r="I1908" s="26" t="s">
        <v>538</v>
      </c>
      <c r="J1908" s="26" t="s">
        <v>539</v>
      </c>
      <c r="K1908" s="26" t="s">
        <v>242</v>
      </c>
      <c r="L1908" s="26" t="s">
        <v>449</v>
      </c>
      <c r="M1908" s="26" t="s">
        <v>323</v>
      </c>
      <c r="N1908" s="26">
        <v>100</v>
      </c>
      <c r="O1908" s="26">
        <f>2024-Inventory[[#This Row],[YrBlt]]</f>
        <v>96</v>
      </c>
      <c r="P1908" s="26">
        <f>2024-Inventory[[#This Row],[EffYr]]</f>
        <v>55</v>
      </c>
      <c r="Q1908" s="25">
        <v>1928</v>
      </c>
      <c r="R1908" s="25">
        <v>1969</v>
      </c>
      <c r="S1908" s="25">
        <v>700</v>
      </c>
      <c r="T1908" s="27"/>
      <c r="U1908" s="31"/>
      <c r="V1908" s="31">
        <f>Inventory[[#This Row],[Bsmt]]-Inventory[[#This Row],[FnBsmt]]</f>
        <v>0</v>
      </c>
      <c r="W1908" s="31"/>
      <c r="X1908" s="27"/>
      <c r="Y1908" s="27">
        <f>Inventory[[#This Row],[MainFn]]+Inventory[[#This Row],[UpprFn]]+Inventory[[#This Row],[FnBsmt]]+Inventory[[#This Row],[AddFn]]</f>
        <v>700</v>
      </c>
      <c r="Z1908" s="27">
        <v>1000</v>
      </c>
      <c r="AA1908" s="25">
        <v>5</v>
      </c>
      <c r="AB1908" s="27"/>
      <c r="AC1908" s="27"/>
      <c r="AD1908" s="31"/>
      <c r="AE1908" s="27"/>
      <c r="AF1908" s="27"/>
      <c r="AG1908" s="27"/>
      <c r="AH1908" s="27"/>
      <c r="AI1908" s="25">
        <v>98593</v>
      </c>
      <c r="AJ1908" s="25">
        <v>64085</v>
      </c>
      <c r="AK1908" s="25">
        <v>0</v>
      </c>
      <c r="AL1908" s="25">
        <v>209700</v>
      </c>
      <c r="AM1908" s="25">
        <v>52700</v>
      </c>
      <c r="AN1908" s="25">
        <v>157000</v>
      </c>
      <c r="AO1908" s="25">
        <v>0</v>
      </c>
      <c r="AP1908" s="25">
        <f>Lookups!$B$56*0</f>
        <v>0</v>
      </c>
      <c r="AQ1908" s="25">
        <f>Lookups!$B$56*1</f>
        <v>89850.625589999996</v>
      </c>
      <c r="AR1908" s="25">
        <f>Lookups!$B$57*Inventory[[#This Row],[LnAcres]]</f>
        <v>-56090.612940989391</v>
      </c>
      <c r="AS1908" s="25">
        <f>VLOOKUP(Inventory[[#This Row],[Qlty]],Lookups!$A$62:$E$75,2,FALSE)</f>
        <v>-71917.896887580995</v>
      </c>
      <c r="AT1908" s="25">
        <f>VLOOKUP(Inventory[[#This Row],[Cnd]],Lookups!$A$76:$E$84,2,FALSE)</f>
        <v>160472.20319</v>
      </c>
      <c r="AU1908" s="25">
        <f>Inventory[[#This Row],[EffAge]]*Lookups!$B$85</f>
        <v>-12267.5080275</v>
      </c>
      <c r="AV1908" s="25">
        <f>Inventory[[#This Row],[MainFn]]*Lookups!$B$86</f>
        <v>34586.068913900002</v>
      </c>
      <c r="AW1908" s="25">
        <f>Inventory[[#This Row],[UpprFn]]*Lookups!$B$87</f>
        <v>0</v>
      </c>
      <c r="AX1908" s="25">
        <f>Inventory[[#This Row],[AddFn]]*Lookups!$B$88</f>
        <v>0</v>
      </c>
      <c r="AY1908" s="25">
        <f>Inventory[[#This Row],[Bsmt]]*Lookups!$B$89</f>
        <v>0</v>
      </c>
      <c r="AZ1908" s="25">
        <f>Inventory[[#This Row],[Fixtures]]*Lookups!$B$90</f>
        <v>18960.110526</v>
      </c>
      <c r="BA1908" s="25">
        <f>Inventory[[#This Row],[WdDeck]]*Lookups!$B$91</f>
        <v>0</v>
      </c>
      <c r="BB1908" s="25">
        <f>ROUND(Inventory[[#This Row],[25Det]],-2)</f>
        <v>0</v>
      </c>
      <c r="BC1908" s="25">
        <f>ROUND(SUM(Inventory[[#This Row],[Mdl Qlty]:[Mdl WdDeck]])+Inventory[[#This Row],[Mdl Res Intercept]],-2)</f>
        <v>129800</v>
      </c>
      <c r="BD1908" s="25">
        <f>ROUND(Inventory[[#This Row],[Mdl Land Intercept]]+Inventory[[#This Row],[Mdl LnAcres]],-2)</f>
        <v>33800</v>
      </c>
      <c r="BE1908" s="25">
        <f>Inventory[[#This Row],[Unadj Res Value]]+Inventory[[#This Row],[Unadj Det Value]]+Inventory[[#This Row],[Unadj Land Value]]</f>
        <v>163600</v>
      </c>
      <c r="BF1908" s="36">
        <f>(Inventory[[#This Row],[Unadj Total Value]]-Inventory[[#This Row],[24Final]])/Inventory[[#This Row],[24Final]]</f>
        <v>-0.21983786361468766</v>
      </c>
      <c r="BG1908" s="25">
        <f>VLOOKUP(Inventory[[#This Row],[Nbhd]],Lookups!$Q$2:$T$4,4,FALSE)</f>
        <v>0.99970000000000003</v>
      </c>
      <c r="BH1908" s="25">
        <f>VLOOKUP(Inventory[[#This Row],[Qlty]],Lookups!$O$7:$R$21,4,FALSE)</f>
        <v>1</v>
      </c>
      <c r="BI1908" s="25">
        <f>VLOOKUP(Inventory[[#This Row],[Cnd]],Lookups!$T$7:$W$16,4,FALSE)</f>
        <v>0.99729999999999996</v>
      </c>
      <c r="BJ1908" s="25">
        <f>VLOOKUP(Inventory[[#This Row],[LivArea Range]],Lookups!$T$25:$W$37,4,FALSE)</f>
        <v>1.0148999999999999</v>
      </c>
      <c r="BK1908" s="25">
        <f>VLOOKUP(Inventory[[#This Row],[Decade]],Lookups!$O$25:$R$42,4,FALSE)</f>
        <v>1.0074000000000001</v>
      </c>
      <c r="BL1908" s="25">
        <f>Inventory[[#This Row],[Nbhd Adj]]*0.95</f>
        <v>0.94971499999999998</v>
      </c>
      <c r="BM1908" s="25">
        <f>Inventory[[#This Row],[Nbhd Adj]]*Inventory[[#This Row],[Quality Adj]]*Inventory[[#This Row],[Condition Adj]]*Inventory[[#This Row],[Living Area Adj]]*Inventory[[#This Row],[Decade Adj]]*0.95</f>
        <v>0.96837666450369497</v>
      </c>
      <c r="BN1908" s="25">
        <f>ROUND(SUM(Inventory[[#This Row],[Mdl Qlty]:[Mdl WdDeck]])+Inventory[[#This Row],[Mdl Res Intercept]]*Inventory[[#This Row],[Res Adj ]],-2)</f>
        <v>129800</v>
      </c>
      <c r="BO1908" s="25">
        <f>ROUND(Inventory[[#This Row],[25Det]]*Inventory[[#This Row],[Det/Nbhd Adj]],-2)</f>
        <v>0</v>
      </c>
      <c r="BP1908" s="25">
        <f>Inventory[[#This Row],[Adjusted Res]]+Inventory[[#This Row],[Adj Det ]]</f>
        <v>129800</v>
      </c>
      <c r="BQ1908" s="25">
        <f>ROUND((Inventory[[#This Row],[Mdl Land Intercept]]+Inventory[[#This Row],[Mdl LnAcres]])*Inventory[[#This Row],[Det/Nbhd Adj]],-2)</f>
        <v>32100</v>
      </c>
      <c r="BR1908" s="25">
        <f>Inventory[[#This Row],[Adjusted Impr Total]]+Inventory[[#This Row],[Adjusted Land Total]]</f>
        <v>161900</v>
      </c>
      <c r="BS1908" s="36">
        <f>IFERROR((Inventory[[#This Row],[Adjusted Impr Total]]-Inventory[[#This Row],[24Bldg]])/Inventory[[#This Row],[24Bldg]],0)</f>
        <v>-0.17324840764331209</v>
      </c>
      <c r="BT1908" s="36">
        <f>(Inventory[[#This Row],[Adjusted Land Total]]-Inventory[[#This Row],[24Lnd]])/Inventory[[#This Row],[24Lnd]]</f>
        <v>-0.39089184060721061</v>
      </c>
      <c r="BU1908" s="36">
        <f>(Inventory[[#This Row],[Adjusted Total]]-Inventory[[#This Row],[24Final]])/Inventory[[#This Row],[24Final]]</f>
        <v>-0.2279446828803052</v>
      </c>
    </row>
    <row r="1909" spans="1:73" x14ac:dyDescent="0.3">
      <c r="A1909" s="25">
        <v>2025</v>
      </c>
      <c r="B1909" s="26" t="s">
        <v>2849</v>
      </c>
      <c r="C1909" s="26">
        <f>LN(Inventory[[#This Row],[Acres]])</f>
        <v>-1.8971199848858813</v>
      </c>
      <c r="D1909" s="25">
        <v>0.15</v>
      </c>
      <c r="E1909" s="25">
        <v>6402</v>
      </c>
      <c r="F1909" s="26" t="s">
        <v>537</v>
      </c>
      <c r="G1909" s="26" t="s">
        <v>126</v>
      </c>
      <c r="H1909" s="26" t="s">
        <v>349</v>
      </c>
      <c r="I1909" s="26" t="s">
        <v>538</v>
      </c>
      <c r="J1909" s="26" t="s">
        <v>539</v>
      </c>
      <c r="K1909" s="26" t="s">
        <v>242</v>
      </c>
      <c r="L1909" s="26" t="s">
        <v>302</v>
      </c>
      <c r="M1909" s="26" t="s">
        <v>352</v>
      </c>
      <c r="N1909" s="26">
        <v>100</v>
      </c>
      <c r="O1909" s="26">
        <f>2024-Inventory[[#This Row],[YrBlt]]</f>
        <v>97</v>
      </c>
      <c r="P1909" s="26">
        <f>2024-Inventory[[#This Row],[EffYr]]</f>
        <v>55</v>
      </c>
      <c r="Q1909" s="25">
        <v>1927</v>
      </c>
      <c r="R1909" s="25">
        <v>1969</v>
      </c>
      <c r="S1909" s="25">
        <v>1126</v>
      </c>
      <c r="T1909" s="27"/>
      <c r="U1909" s="25">
        <v>479</v>
      </c>
      <c r="V1909" s="25">
        <f>Inventory[[#This Row],[Bsmt]]-Inventory[[#This Row],[FnBsmt]]</f>
        <v>0</v>
      </c>
      <c r="W1909" s="25">
        <v>479</v>
      </c>
      <c r="X1909" s="27"/>
      <c r="Y1909" s="27">
        <f>Inventory[[#This Row],[MainFn]]+Inventory[[#This Row],[UpprFn]]+Inventory[[#This Row],[FnBsmt]]+Inventory[[#This Row],[AddFn]]</f>
        <v>1605</v>
      </c>
      <c r="Z1909" s="27">
        <v>2000</v>
      </c>
      <c r="AA1909" s="25">
        <v>5</v>
      </c>
      <c r="AB1909" s="27"/>
      <c r="AC1909" s="27"/>
      <c r="AD1909" s="27"/>
      <c r="AE1909" s="27"/>
      <c r="AF1909" s="27"/>
      <c r="AG1909" s="27"/>
      <c r="AH1909" s="27"/>
      <c r="AI1909" s="25">
        <v>268459</v>
      </c>
      <c r="AJ1909" s="25">
        <v>185237</v>
      </c>
      <c r="AK1909" s="25">
        <v>4598</v>
      </c>
      <c r="AL1909" s="25">
        <v>348700</v>
      </c>
      <c r="AM1909" s="25">
        <v>48400</v>
      </c>
      <c r="AN1909" s="25">
        <v>300300</v>
      </c>
      <c r="AO1909" s="25">
        <v>0</v>
      </c>
      <c r="AP1909" s="25">
        <f>Lookups!$B$56*0</f>
        <v>0</v>
      </c>
      <c r="AQ1909" s="25">
        <f>Lookups!$B$56*1</f>
        <v>89850.625589999996</v>
      </c>
      <c r="AR1909" s="25">
        <f>Lookups!$B$57*Inventory[[#This Row],[LnAcres]]</f>
        <v>-60052.604136134301</v>
      </c>
      <c r="AS1909" s="25">
        <f>VLOOKUP(Inventory[[#This Row],[Qlty]],Lookups!$A$62:$E$75,2,FALSE)</f>
        <v>29814.093161000001</v>
      </c>
      <c r="AT1909" s="25">
        <f>VLOOKUP(Inventory[[#This Row],[Cnd]],Lookups!$A$76:$E$84,2,FALSE)</f>
        <v>284810.60806</v>
      </c>
      <c r="AU1909" s="25">
        <f>Inventory[[#This Row],[EffAge]]*Lookups!$B$85</f>
        <v>-12267.5080275</v>
      </c>
      <c r="AV1909" s="25">
        <f>Inventory[[#This Row],[MainFn]]*Lookups!$B$86</f>
        <v>55634.162281502002</v>
      </c>
      <c r="AW1909" s="25">
        <f>Inventory[[#This Row],[UpprFn]]*Lookups!$B$87</f>
        <v>0</v>
      </c>
      <c r="AX1909" s="25">
        <f>Inventory[[#This Row],[AddFn]]*Lookups!$B$88</f>
        <v>0</v>
      </c>
      <c r="AY1909" s="25">
        <f>Inventory[[#This Row],[Bsmt]]*Lookups!$B$89</f>
        <v>13930.227823313</v>
      </c>
      <c r="AZ1909" s="25">
        <f>Inventory[[#This Row],[Fixtures]]*Lookups!$B$90</f>
        <v>18960.110526</v>
      </c>
      <c r="BA1909" s="25">
        <f>Inventory[[#This Row],[WdDeck]]*Lookups!$B$91</f>
        <v>0</v>
      </c>
      <c r="BB1909" s="25">
        <f>ROUND(Inventory[[#This Row],[25Det]],-2)</f>
        <v>4600</v>
      </c>
      <c r="BC1909" s="25">
        <f>ROUND(SUM(Inventory[[#This Row],[Mdl Qlty]:[Mdl WdDeck]])+Inventory[[#This Row],[Mdl Res Intercept]],-2)</f>
        <v>390900</v>
      </c>
      <c r="BD1909" s="25">
        <f>ROUND(Inventory[[#This Row],[Mdl Land Intercept]]+Inventory[[#This Row],[Mdl LnAcres]],-2)</f>
        <v>29800</v>
      </c>
      <c r="BE1909" s="25">
        <f>Inventory[[#This Row],[Unadj Res Value]]+Inventory[[#This Row],[Unadj Det Value]]+Inventory[[#This Row],[Unadj Land Value]]</f>
        <v>425300</v>
      </c>
      <c r="BF1909" s="36">
        <f>(Inventory[[#This Row],[Unadj Total Value]]-Inventory[[#This Row],[24Final]])/Inventory[[#This Row],[24Final]]</f>
        <v>0.21967307140808717</v>
      </c>
      <c r="BG1909" s="25">
        <f>VLOOKUP(Inventory[[#This Row],[Nbhd]],Lookups!$Q$2:$T$4,4,FALSE)</f>
        <v>0.99970000000000003</v>
      </c>
      <c r="BH1909" s="25">
        <f>VLOOKUP(Inventory[[#This Row],[Qlty]],Lookups!$O$7:$R$21,4,FALSE)</f>
        <v>1.0088999999999999</v>
      </c>
      <c r="BI1909" s="25">
        <f>VLOOKUP(Inventory[[#This Row],[Cnd]],Lookups!$T$7:$W$16,4,FALSE)</f>
        <v>1.0158</v>
      </c>
      <c r="BJ1909" s="25">
        <f>VLOOKUP(Inventory[[#This Row],[LivArea Range]],Lookups!$T$25:$W$37,4,FALSE)</f>
        <v>1.0093000000000001</v>
      </c>
      <c r="BK1909" s="25">
        <f>VLOOKUP(Inventory[[#This Row],[Decade]],Lookups!$O$25:$R$42,4,FALSE)</f>
        <v>1.0074000000000001</v>
      </c>
      <c r="BL1909" s="25">
        <f>Inventory[[#This Row],[Nbhd Adj]]*0.95</f>
        <v>0.94971499999999998</v>
      </c>
      <c r="BM1909" s="25">
        <f>Inventory[[#This Row],[Nbhd Adj]]*Inventory[[#This Row],[Quality Adj]]*Inventory[[#This Row],[Condition Adj]]*Inventory[[#This Row],[Living Area Adj]]*Inventory[[#This Row],[Decade Adj]]*0.95</f>
        <v>0.98962771108464775</v>
      </c>
      <c r="BN1909" s="25">
        <f>ROUND(SUM(Inventory[[#This Row],[Mdl Qlty]:[Mdl WdDeck]])+Inventory[[#This Row],[Mdl Res Intercept]]*Inventory[[#This Row],[Res Adj ]],-2)</f>
        <v>390900</v>
      </c>
      <c r="BO1909" s="25">
        <f>ROUND(Inventory[[#This Row],[25Det]]*Inventory[[#This Row],[Det/Nbhd Adj]],-2)</f>
        <v>4400</v>
      </c>
      <c r="BP1909" s="25">
        <f>Inventory[[#This Row],[Adjusted Res]]+Inventory[[#This Row],[Adj Det ]]</f>
        <v>395300</v>
      </c>
      <c r="BQ1909" s="25">
        <f>ROUND((Inventory[[#This Row],[Mdl Land Intercept]]+Inventory[[#This Row],[Mdl LnAcres]])*Inventory[[#This Row],[Det/Nbhd Adj]],-2)</f>
        <v>28300</v>
      </c>
      <c r="BR1909" s="25">
        <f>Inventory[[#This Row],[Adjusted Impr Total]]+Inventory[[#This Row],[Adjusted Land Total]]</f>
        <v>423600</v>
      </c>
      <c r="BS1909" s="36">
        <f>IFERROR((Inventory[[#This Row],[Adjusted Impr Total]]-Inventory[[#This Row],[24Bldg]])/Inventory[[#This Row],[24Bldg]],0)</f>
        <v>0.31635031635031635</v>
      </c>
      <c r="BT1909" s="36">
        <f>(Inventory[[#This Row],[Adjusted Land Total]]-Inventory[[#This Row],[24Lnd]])/Inventory[[#This Row],[24Lnd]]</f>
        <v>-0.41528925619834711</v>
      </c>
      <c r="BU1909" s="36">
        <f>(Inventory[[#This Row],[Adjusted Total]]-Inventory[[#This Row],[24Final]])/Inventory[[#This Row],[24Final]]</f>
        <v>0.21479782047605392</v>
      </c>
    </row>
    <row r="1910" spans="1:73" x14ac:dyDescent="0.3">
      <c r="A1910" s="25">
        <v>2025</v>
      </c>
      <c r="B1910" s="26" t="s">
        <v>1119</v>
      </c>
      <c r="C1910" s="26">
        <f>LN(Inventory[[#This Row],[Acres]])</f>
        <v>-1.9661128563728327</v>
      </c>
      <c r="D1910" s="25">
        <v>0.14000000000000001</v>
      </c>
      <c r="E1910" s="31"/>
      <c r="F1910" s="26" t="s">
        <v>537</v>
      </c>
      <c r="G1910" s="26" t="s">
        <v>126</v>
      </c>
      <c r="H1910" s="26" t="s">
        <v>349</v>
      </c>
      <c r="I1910" s="26" t="s">
        <v>538</v>
      </c>
      <c r="J1910" s="26" t="s">
        <v>539</v>
      </c>
      <c r="K1910" s="26" t="s">
        <v>269</v>
      </c>
      <c r="L1910" s="26" t="s">
        <v>302</v>
      </c>
      <c r="M1910" s="26" t="s">
        <v>303</v>
      </c>
      <c r="N1910" s="26">
        <v>100</v>
      </c>
      <c r="O1910" s="26">
        <f>2024-Inventory[[#This Row],[YrBlt]]</f>
        <v>97</v>
      </c>
      <c r="P1910" s="26">
        <f>2024-Inventory[[#This Row],[EffYr]]</f>
        <v>55</v>
      </c>
      <c r="Q1910" s="25">
        <v>1927</v>
      </c>
      <c r="R1910" s="25">
        <v>1969</v>
      </c>
      <c r="S1910" s="25">
        <v>1093</v>
      </c>
      <c r="T1910" s="31"/>
      <c r="U1910" s="25">
        <v>819</v>
      </c>
      <c r="V1910" s="32">
        <f>Inventory[[#This Row],[Bsmt]]-Inventory[[#This Row],[FnBsmt]]</f>
        <v>819</v>
      </c>
      <c r="W1910" s="27"/>
      <c r="X1910" s="27"/>
      <c r="Y1910" s="27">
        <f>Inventory[[#This Row],[MainFn]]+Inventory[[#This Row],[UpprFn]]+Inventory[[#This Row],[FnBsmt]]+Inventory[[#This Row],[AddFn]]</f>
        <v>1093</v>
      </c>
      <c r="Z1910" s="27">
        <v>1500</v>
      </c>
      <c r="AA1910" s="25">
        <v>5</v>
      </c>
      <c r="AB1910" s="32">
        <v>209</v>
      </c>
      <c r="AC1910" s="27"/>
      <c r="AD1910" s="27"/>
      <c r="AE1910" s="27"/>
      <c r="AF1910" s="27"/>
      <c r="AG1910" s="27"/>
      <c r="AH1910" s="27"/>
      <c r="AI1910" s="25">
        <v>266592</v>
      </c>
      <c r="AJ1910" s="25">
        <v>178617</v>
      </c>
      <c r="AK1910" s="25">
        <v>0</v>
      </c>
      <c r="AL1910" s="25">
        <v>297200</v>
      </c>
      <c r="AM1910" s="25">
        <v>46000</v>
      </c>
      <c r="AN1910" s="25">
        <v>251200</v>
      </c>
      <c r="AO1910" s="25">
        <v>0</v>
      </c>
      <c r="AP1910" s="25">
        <f>Lookups!$B$56*0</f>
        <v>0</v>
      </c>
      <c r="AQ1910" s="25">
        <f>Lookups!$B$56*1</f>
        <v>89850.625589999996</v>
      </c>
      <c r="AR1910" s="25">
        <f>Lookups!$B$57*Inventory[[#This Row],[LnAcres]]</f>
        <v>-62236.546971921947</v>
      </c>
      <c r="AS1910" s="25">
        <f>VLOOKUP(Inventory[[#This Row],[Qlty]],Lookups!$A$62:$E$75,2,FALSE)</f>
        <v>29814.093161000001</v>
      </c>
      <c r="AT1910" s="25">
        <f>VLOOKUP(Inventory[[#This Row],[Cnd]],Lookups!$A$76:$E$84,2,FALSE)</f>
        <v>197752.34721000001</v>
      </c>
      <c r="AU1910" s="25">
        <f>Inventory[[#This Row],[EffAge]]*Lookups!$B$85</f>
        <v>-12267.5080275</v>
      </c>
      <c r="AV1910" s="25">
        <f>Inventory[[#This Row],[MainFn]]*Lookups!$B$86</f>
        <v>54003.676175560999</v>
      </c>
      <c r="AW1910" s="25">
        <f>Inventory[[#This Row],[UpprFn]]*Lookups!$B$87</f>
        <v>0</v>
      </c>
      <c r="AX1910" s="25">
        <f>Inventory[[#This Row],[AddFn]]*Lookups!$B$88</f>
        <v>0</v>
      </c>
      <c r="AY1910" s="25">
        <f>Inventory[[#This Row],[Bsmt]]*Lookups!$B$89</f>
        <v>23818.072207293</v>
      </c>
      <c r="AZ1910" s="25">
        <f>Inventory[[#This Row],[Fixtures]]*Lookups!$B$90</f>
        <v>18960.110526</v>
      </c>
      <c r="BA1910" s="25">
        <f>Inventory[[#This Row],[WdDeck]]*Lookups!$B$91</f>
        <v>0</v>
      </c>
      <c r="BB1910" s="25">
        <f>ROUND(Inventory[[#This Row],[25Det]],-2)</f>
        <v>0</v>
      </c>
      <c r="BC1910" s="25">
        <f>ROUND(SUM(Inventory[[#This Row],[Mdl Qlty]:[Mdl WdDeck]])+Inventory[[#This Row],[Mdl Res Intercept]],-2)</f>
        <v>312100</v>
      </c>
      <c r="BD1910" s="25">
        <f>ROUND(Inventory[[#This Row],[Mdl Land Intercept]]+Inventory[[#This Row],[Mdl LnAcres]],-2)</f>
        <v>27600</v>
      </c>
      <c r="BE1910" s="25">
        <f>Inventory[[#This Row],[Unadj Res Value]]+Inventory[[#This Row],[Unadj Det Value]]+Inventory[[#This Row],[Unadj Land Value]]</f>
        <v>339700</v>
      </c>
      <c r="BF1910" s="36">
        <f>(Inventory[[#This Row],[Unadj Total Value]]-Inventory[[#This Row],[24Final]])/Inventory[[#This Row],[24Final]]</f>
        <v>0.1430013458950202</v>
      </c>
      <c r="BG1910" s="25">
        <f>VLOOKUP(Inventory[[#This Row],[Nbhd]],Lookups!$Q$2:$T$4,4,FALSE)</f>
        <v>0.99970000000000003</v>
      </c>
      <c r="BH1910" s="25">
        <f>VLOOKUP(Inventory[[#This Row],[Qlty]],Lookups!$O$7:$R$21,4,FALSE)</f>
        <v>1.0088999999999999</v>
      </c>
      <c r="BI1910" s="25">
        <f>VLOOKUP(Inventory[[#This Row],[Cnd]],Lookups!$T$7:$W$16,4,FALSE)</f>
        <v>0.99650000000000005</v>
      </c>
      <c r="BJ1910" s="25">
        <f>VLOOKUP(Inventory[[#This Row],[LivArea Range]],Lookups!$T$25:$W$37,4,FALSE)</f>
        <v>1.0157</v>
      </c>
      <c r="BK1910" s="25">
        <f>VLOOKUP(Inventory[[#This Row],[Decade]],Lookups!$O$25:$R$42,4,FALSE)</f>
        <v>1.0074000000000001</v>
      </c>
      <c r="BL1910" s="25">
        <f>Inventory[[#This Row],[Nbhd Adj]]*0.95</f>
        <v>0.94971499999999998</v>
      </c>
      <c r="BM1910" s="25">
        <f>Inventory[[#This Row],[Nbhd Adj]]*Inventory[[#This Row],[Quality Adj]]*Inventory[[#This Row],[Condition Adj]]*Inventory[[#This Row],[Living Area Adj]]*Inventory[[#This Row],[Decade Adj]]*0.95</f>
        <v>0.97698100822144973</v>
      </c>
      <c r="BN1910" s="25">
        <f>ROUND(SUM(Inventory[[#This Row],[Mdl Qlty]:[Mdl WdDeck]])+Inventory[[#This Row],[Mdl Res Intercept]]*Inventory[[#This Row],[Res Adj ]],-2)</f>
        <v>312100</v>
      </c>
      <c r="BO1910" s="25">
        <f>ROUND(Inventory[[#This Row],[25Det]]*Inventory[[#This Row],[Det/Nbhd Adj]],-2)</f>
        <v>0</v>
      </c>
      <c r="BP1910" s="25">
        <f>Inventory[[#This Row],[Adjusted Res]]+Inventory[[#This Row],[Adj Det ]]</f>
        <v>312100</v>
      </c>
      <c r="BQ1910" s="25">
        <f>ROUND((Inventory[[#This Row],[Mdl Land Intercept]]+Inventory[[#This Row],[Mdl LnAcres]])*Inventory[[#This Row],[Det/Nbhd Adj]],-2)</f>
        <v>26200</v>
      </c>
      <c r="BR1910" s="25">
        <f>Inventory[[#This Row],[Adjusted Impr Total]]+Inventory[[#This Row],[Adjusted Land Total]]</f>
        <v>338300</v>
      </c>
      <c r="BS1910" s="36">
        <f>IFERROR((Inventory[[#This Row],[Adjusted Impr Total]]-Inventory[[#This Row],[24Bldg]])/Inventory[[#This Row],[24Bldg]],0)</f>
        <v>0.24243630573248406</v>
      </c>
      <c r="BT1910" s="36">
        <f>(Inventory[[#This Row],[Adjusted Land Total]]-Inventory[[#This Row],[24Lnd]])/Inventory[[#This Row],[24Lnd]]</f>
        <v>-0.43043478260869567</v>
      </c>
      <c r="BU1910" s="36">
        <f>(Inventory[[#This Row],[Adjusted Total]]-Inventory[[#This Row],[24Final]])/Inventory[[#This Row],[24Final]]</f>
        <v>0.13829071332436069</v>
      </c>
    </row>
    <row r="1911" spans="1:73" x14ac:dyDescent="0.3">
      <c r="A1911" s="25">
        <v>2025</v>
      </c>
      <c r="B1911" s="26" t="s">
        <v>1046</v>
      </c>
      <c r="C1911" s="26">
        <f>LN(Inventory[[#This Row],[Acres]])</f>
        <v>-1.6607312068216509</v>
      </c>
      <c r="D1911" s="25">
        <v>0.19</v>
      </c>
      <c r="E1911" s="31"/>
      <c r="F1911" s="26" t="s">
        <v>537</v>
      </c>
      <c r="G1911" s="26" t="s">
        <v>126</v>
      </c>
      <c r="H1911" s="26" t="s">
        <v>349</v>
      </c>
      <c r="I1911" s="26" t="s">
        <v>538</v>
      </c>
      <c r="J1911" s="26" t="s">
        <v>539</v>
      </c>
      <c r="K1911" s="26" t="s">
        <v>4</v>
      </c>
      <c r="L1911" s="26" t="s">
        <v>148</v>
      </c>
      <c r="M1911" s="26" t="s">
        <v>303</v>
      </c>
      <c r="N1911" s="26">
        <v>100</v>
      </c>
      <c r="O1911" s="26">
        <f>2024-Inventory[[#This Row],[YrBlt]]</f>
        <v>97</v>
      </c>
      <c r="P1911" s="26">
        <f>2024-Inventory[[#This Row],[EffYr]]</f>
        <v>55</v>
      </c>
      <c r="Q1911" s="25">
        <v>1927</v>
      </c>
      <c r="R1911" s="25">
        <v>1969</v>
      </c>
      <c r="S1911" s="25">
        <v>1099</v>
      </c>
      <c r="T1911" s="27"/>
      <c r="U1911" s="25">
        <v>1099</v>
      </c>
      <c r="V1911" s="32">
        <f>Inventory[[#This Row],[Bsmt]]-Inventory[[#This Row],[FnBsmt]]</f>
        <v>1099</v>
      </c>
      <c r="W1911" s="27"/>
      <c r="X1911" s="27"/>
      <c r="Y1911" s="27">
        <f>Inventory[[#This Row],[MainFn]]+Inventory[[#This Row],[UpprFn]]+Inventory[[#This Row],[FnBsmt]]+Inventory[[#This Row],[AddFn]]</f>
        <v>1099</v>
      </c>
      <c r="Z1911" s="27">
        <v>1500</v>
      </c>
      <c r="AA1911" s="25">
        <v>5</v>
      </c>
      <c r="AB1911" s="27"/>
      <c r="AC1911" s="27"/>
      <c r="AD1911" s="27"/>
      <c r="AE1911" s="27"/>
      <c r="AF1911" s="27"/>
      <c r="AG1911" s="27"/>
      <c r="AH1911" s="27"/>
      <c r="AI1911" s="25">
        <v>290963</v>
      </c>
      <c r="AJ1911" s="25">
        <v>194945</v>
      </c>
      <c r="AK1911" s="25">
        <v>0</v>
      </c>
      <c r="AL1911" s="25">
        <v>326900</v>
      </c>
      <c r="AM1911" s="25">
        <v>56600</v>
      </c>
      <c r="AN1911" s="25">
        <v>270300</v>
      </c>
      <c r="AO1911" s="25">
        <v>0</v>
      </c>
      <c r="AP1911" s="25">
        <f>Lookups!$B$56*0</f>
        <v>0</v>
      </c>
      <c r="AQ1911" s="25">
        <f>Lookups!$B$56*1</f>
        <v>89850.625589999996</v>
      </c>
      <c r="AR1911" s="25">
        <f>Lookups!$B$57*Inventory[[#This Row],[LnAcres]]</f>
        <v>-52569.808201026557</v>
      </c>
      <c r="AS1911" s="25">
        <f>VLOOKUP(Inventory[[#This Row],[Qlty]],Lookups!$A$62:$E$75,2,FALSE)</f>
        <v>44121.038090000002</v>
      </c>
      <c r="AT1911" s="25">
        <f>VLOOKUP(Inventory[[#This Row],[Cnd]],Lookups!$A$76:$E$84,2,FALSE)</f>
        <v>197752.34721000001</v>
      </c>
      <c r="AU1911" s="25">
        <f>Inventory[[#This Row],[EffAge]]*Lookups!$B$85</f>
        <v>-12267.5080275</v>
      </c>
      <c r="AV1911" s="25">
        <f>Inventory[[#This Row],[MainFn]]*Lookups!$B$86</f>
        <v>54300.128194823003</v>
      </c>
      <c r="AW1911" s="25">
        <f>Inventory[[#This Row],[UpprFn]]*Lookups!$B$87</f>
        <v>0</v>
      </c>
      <c r="AX1911" s="25">
        <f>Inventory[[#This Row],[AddFn]]*Lookups!$B$88</f>
        <v>0</v>
      </c>
      <c r="AY1911" s="25">
        <f>Inventory[[#This Row],[Bsmt]]*Lookups!$B$89</f>
        <v>31961.002876453</v>
      </c>
      <c r="AZ1911" s="25">
        <f>Inventory[[#This Row],[Fixtures]]*Lookups!$B$90</f>
        <v>18960.110526</v>
      </c>
      <c r="BA1911" s="25">
        <f>Inventory[[#This Row],[WdDeck]]*Lookups!$B$91</f>
        <v>0</v>
      </c>
      <c r="BB1911" s="25">
        <f>ROUND(Inventory[[#This Row],[25Det]],-2)</f>
        <v>0</v>
      </c>
      <c r="BC1911" s="25">
        <f>ROUND(SUM(Inventory[[#This Row],[Mdl Qlty]:[Mdl WdDeck]])+Inventory[[#This Row],[Mdl Res Intercept]],-2)</f>
        <v>334800</v>
      </c>
      <c r="BD1911" s="25">
        <f>ROUND(Inventory[[#This Row],[Mdl Land Intercept]]+Inventory[[#This Row],[Mdl LnAcres]],-2)</f>
        <v>37300</v>
      </c>
      <c r="BE1911" s="25">
        <f>Inventory[[#This Row],[Unadj Res Value]]+Inventory[[#This Row],[Unadj Det Value]]+Inventory[[#This Row],[Unadj Land Value]]</f>
        <v>372100</v>
      </c>
      <c r="BF1911" s="36">
        <f>(Inventory[[#This Row],[Unadj Total Value]]-Inventory[[#This Row],[24Final]])/Inventory[[#This Row],[24Final]]</f>
        <v>0.13826858366472927</v>
      </c>
      <c r="BG1911" s="25">
        <f>VLOOKUP(Inventory[[#This Row],[Nbhd]],Lookups!$Q$2:$T$4,4,FALSE)</f>
        <v>0.99970000000000003</v>
      </c>
      <c r="BH1911" s="25">
        <f>VLOOKUP(Inventory[[#This Row],[Qlty]],Lookups!$O$7:$R$21,4,FALSE)</f>
        <v>0.98050000000000004</v>
      </c>
      <c r="BI1911" s="25">
        <f>VLOOKUP(Inventory[[#This Row],[Cnd]],Lookups!$T$7:$W$16,4,FALSE)</f>
        <v>0.99650000000000005</v>
      </c>
      <c r="BJ1911" s="25">
        <f>VLOOKUP(Inventory[[#This Row],[LivArea Range]],Lookups!$T$25:$W$37,4,FALSE)</f>
        <v>1.0157</v>
      </c>
      <c r="BK1911" s="25">
        <f>VLOOKUP(Inventory[[#This Row],[Decade]],Lookups!$O$25:$R$42,4,FALSE)</f>
        <v>1.0074000000000001</v>
      </c>
      <c r="BL1911" s="25">
        <f>Inventory[[#This Row],[Nbhd Adj]]*0.95</f>
        <v>0.94971499999999998</v>
      </c>
      <c r="BM1911" s="25">
        <f>Inventory[[#This Row],[Nbhd Adj]]*Inventory[[#This Row],[Quality Adj]]*Inventory[[#This Row],[Condition Adj]]*Inventory[[#This Row],[Living Area Adj]]*Inventory[[#This Row],[Decade Adj]]*0.95</f>
        <v>0.94947951091399707</v>
      </c>
      <c r="BN1911" s="25">
        <f>ROUND(SUM(Inventory[[#This Row],[Mdl Qlty]:[Mdl WdDeck]])+Inventory[[#This Row],[Mdl Res Intercept]]*Inventory[[#This Row],[Res Adj ]],-2)</f>
        <v>334800</v>
      </c>
      <c r="BO1911" s="25">
        <f>ROUND(Inventory[[#This Row],[25Det]]*Inventory[[#This Row],[Det/Nbhd Adj]],-2)</f>
        <v>0</v>
      </c>
      <c r="BP1911" s="25">
        <f>Inventory[[#This Row],[Adjusted Res]]+Inventory[[#This Row],[Adj Det ]]</f>
        <v>334800</v>
      </c>
      <c r="BQ1911" s="25">
        <f>ROUND((Inventory[[#This Row],[Mdl Land Intercept]]+Inventory[[#This Row],[Mdl LnAcres]])*Inventory[[#This Row],[Det/Nbhd Adj]],-2)</f>
        <v>35400</v>
      </c>
      <c r="BR1911" s="25">
        <f>Inventory[[#This Row],[Adjusted Impr Total]]+Inventory[[#This Row],[Adjusted Land Total]]</f>
        <v>370200</v>
      </c>
      <c r="BS1911" s="36">
        <f>IFERROR((Inventory[[#This Row],[Adjusted Impr Total]]-Inventory[[#This Row],[24Bldg]])/Inventory[[#This Row],[24Bldg]],0)</f>
        <v>0.2386237513873474</v>
      </c>
      <c r="BT1911" s="36">
        <f>(Inventory[[#This Row],[Adjusted Land Total]]-Inventory[[#This Row],[24Lnd]])/Inventory[[#This Row],[24Lnd]]</f>
        <v>-0.37455830388692579</v>
      </c>
      <c r="BU1911" s="36">
        <f>(Inventory[[#This Row],[Adjusted Total]]-Inventory[[#This Row],[24Final]])/Inventory[[#This Row],[24Final]]</f>
        <v>0.13245640868767208</v>
      </c>
    </row>
    <row r="1912" spans="1:73" x14ac:dyDescent="0.3">
      <c r="A1912" s="25">
        <v>2025</v>
      </c>
      <c r="B1912" s="26" t="s">
        <v>2850</v>
      </c>
      <c r="C1912" s="26">
        <f>LN(Inventory[[#This Row],[Acres]])</f>
        <v>-1.8971199848858813</v>
      </c>
      <c r="D1912" s="25">
        <v>0.15</v>
      </c>
      <c r="E1912" s="25">
        <v>6469</v>
      </c>
      <c r="F1912" s="26" t="s">
        <v>537</v>
      </c>
      <c r="G1912" s="26" t="s">
        <v>126</v>
      </c>
      <c r="H1912" s="26" t="s">
        <v>349</v>
      </c>
      <c r="I1912" s="26" t="s">
        <v>538</v>
      </c>
      <c r="J1912" s="26" t="s">
        <v>539</v>
      </c>
      <c r="K1912" s="26" t="s">
        <v>269</v>
      </c>
      <c r="L1912" s="26" t="s">
        <v>302</v>
      </c>
      <c r="M1912" s="26" t="s">
        <v>303</v>
      </c>
      <c r="N1912" s="26">
        <v>100</v>
      </c>
      <c r="O1912" s="26">
        <f>2024-Inventory[[#This Row],[YrBlt]]</f>
        <v>97</v>
      </c>
      <c r="P1912" s="26">
        <f>2024-Inventory[[#This Row],[EffYr]]</f>
        <v>55</v>
      </c>
      <c r="Q1912" s="25">
        <v>1927</v>
      </c>
      <c r="R1912" s="25">
        <v>1969</v>
      </c>
      <c r="S1912" s="25">
        <v>1624</v>
      </c>
      <c r="T1912" s="27"/>
      <c r="U1912" s="25">
        <v>648</v>
      </c>
      <c r="V1912" s="25">
        <f>Inventory[[#This Row],[Bsmt]]-Inventory[[#This Row],[FnBsmt]]</f>
        <v>648</v>
      </c>
      <c r="W1912" s="31"/>
      <c r="X1912" s="27"/>
      <c r="Y1912" s="27">
        <f>Inventory[[#This Row],[MainFn]]+Inventory[[#This Row],[UpprFn]]+Inventory[[#This Row],[FnBsmt]]+Inventory[[#This Row],[AddFn]]</f>
        <v>1624</v>
      </c>
      <c r="Z1912" s="27">
        <v>2000</v>
      </c>
      <c r="AA1912" s="25">
        <v>8</v>
      </c>
      <c r="AB1912" s="27"/>
      <c r="AC1912" s="27"/>
      <c r="AD1912" s="31"/>
      <c r="AE1912" s="27"/>
      <c r="AF1912" s="27"/>
      <c r="AG1912" s="27"/>
      <c r="AH1912" s="27"/>
      <c r="AI1912" s="25">
        <v>335755</v>
      </c>
      <c r="AJ1912" s="25">
        <v>224956</v>
      </c>
      <c r="AK1912" s="25">
        <v>4598</v>
      </c>
      <c r="AL1912" s="25">
        <v>344100</v>
      </c>
      <c r="AM1912" s="25">
        <v>48400</v>
      </c>
      <c r="AN1912" s="25">
        <v>295700</v>
      </c>
      <c r="AO1912" s="25">
        <v>0</v>
      </c>
      <c r="AP1912" s="25">
        <f>Lookups!$B$56*0</f>
        <v>0</v>
      </c>
      <c r="AQ1912" s="25">
        <f>Lookups!$B$56*1</f>
        <v>89850.625589999996</v>
      </c>
      <c r="AR1912" s="25">
        <f>Lookups!$B$57*Inventory[[#This Row],[LnAcres]]</f>
        <v>-60052.604136134301</v>
      </c>
      <c r="AS1912" s="25">
        <f>VLOOKUP(Inventory[[#This Row],[Qlty]],Lookups!$A$62:$E$75,2,FALSE)</f>
        <v>29814.093161000001</v>
      </c>
      <c r="AT1912" s="25">
        <f>VLOOKUP(Inventory[[#This Row],[Cnd]],Lookups!$A$76:$E$84,2,FALSE)</f>
        <v>197752.34721000001</v>
      </c>
      <c r="AU1912" s="25">
        <f>Inventory[[#This Row],[EffAge]]*Lookups!$B$85</f>
        <v>-12267.5080275</v>
      </c>
      <c r="AV1912" s="25">
        <f>Inventory[[#This Row],[MainFn]]*Lookups!$B$86</f>
        <v>80239.679880248004</v>
      </c>
      <c r="AW1912" s="25">
        <f>Inventory[[#This Row],[UpprFn]]*Lookups!$B$87</f>
        <v>0</v>
      </c>
      <c r="AX1912" s="25">
        <f>Inventory[[#This Row],[AddFn]]*Lookups!$B$88</f>
        <v>0</v>
      </c>
      <c r="AY1912" s="25">
        <f>Inventory[[#This Row],[Bsmt]]*Lookups!$B$89</f>
        <v>18845.068120055999</v>
      </c>
      <c r="AZ1912" s="25">
        <f>Inventory[[#This Row],[Fixtures]]*Lookups!$B$90</f>
        <v>30336.176841600001</v>
      </c>
      <c r="BA1912" s="25">
        <f>Inventory[[#This Row],[WdDeck]]*Lookups!$B$91</f>
        <v>0</v>
      </c>
      <c r="BB1912" s="25">
        <f>ROUND(Inventory[[#This Row],[25Det]],-2)</f>
        <v>4600</v>
      </c>
      <c r="BC1912" s="25">
        <f>ROUND(SUM(Inventory[[#This Row],[Mdl Qlty]:[Mdl WdDeck]])+Inventory[[#This Row],[Mdl Res Intercept]],-2)</f>
        <v>344700</v>
      </c>
      <c r="BD1912" s="25">
        <f>ROUND(Inventory[[#This Row],[Mdl Land Intercept]]+Inventory[[#This Row],[Mdl LnAcres]],-2)</f>
        <v>29800</v>
      </c>
      <c r="BE1912" s="25">
        <f>Inventory[[#This Row],[Unadj Res Value]]+Inventory[[#This Row],[Unadj Det Value]]+Inventory[[#This Row],[Unadj Land Value]]</f>
        <v>379100</v>
      </c>
      <c r="BF1912" s="36">
        <f>(Inventory[[#This Row],[Unadj Total Value]]-Inventory[[#This Row],[24Final]])/Inventory[[#This Row],[24Final]]</f>
        <v>0.1017146178436501</v>
      </c>
      <c r="BG1912" s="25">
        <f>VLOOKUP(Inventory[[#This Row],[Nbhd]],Lookups!$Q$2:$T$4,4,FALSE)</f>
        <v>0.99970000000000003</v>
      </c>
      <c r="BH1912" s="25">
        <f>VLOOKUP(Inventory[[#This Row],[Qlty]],Lookups!$O$7:$R$21,4,FALSE)</f>
        <v>1.0088999999999999</v>
      </c>
      <c r="BI1912" s="25">
        <f>VLOOKUP(Inventory[[#This Row],[Cnd]],Lookups!$T$7:$W$16,4,FALSE)</f>
        <v>0.99650000000000005</v>
      </c>
      <c r="BJ1912" s="25">
        <f>VLOOKUP(Inventory[[#This Row],[LivArea Range]],Lookups!$T$25:$W$37,4,FALSE)</f>
        <v>1.0093000000000001</v>
      </c>
      <c r="BK1912" s="25">
        <f>VLOOKUP(Inventory[[#This Row],[Decade]],Lookups!$O$25:$R$42,4,FALSE)</f>
        <v>1.0074000000000001</v>
      </c>
      <c r="BL1912" s="25">
        <f>Inventory[[#This Row],[Nbhd Adj]]*0.95</f>
        <v>0.94971499999999998</v>
      </c>
      <c r="BM1912" s="25">
        <f>Inventory[[#This Row],[Nbhd Adj]]*Inventory[[#This Row],[Quality Adj]]*Inventory[[#This Row],[Condition Adj]]*Inventory[[#This Row],[Living Area Adj]]*Inventory[[#This Row],[Decade Adj]]*0.95</f>
        <v>0.97082497942099955</v>
      </c>
      <c r="BN1912" s="25">
        <f>ROUND(SUM(Inventory[[#This Row],[Mdl Qlty]:[Mdl WdDeck]])+Inventory[[#This Row],[Mdl Res Intercept]]*Inventory[[#This Row],[Res Adj ]],-2)</f>
        <v>344700</v>
      </c>
      <c r="BO1912" s="25">
        <f>ROUND(Inventory[[#This Row],[25Det]]*Inventory[[#This Row],[Det/Nbhd Adj]],-2)</f>
        <v>4400</v>
      </c>
      <c r="BP1912" s="25">
        <f>Inventory[[#This Row],[Adjusted Res]]+Inventory[[#This Row],[Adj Det ]]</f>
        <v>349100</v>
      </c>
      <c r="BQ1912" s="25">
        <f>ROUND((Inventory[[#This Row],[Mdl Land Intercept]]+Inventory[[#This Row],[Mdl LnAcres]])*Inventory[[#This Row],[Det/Nbhd Adj]],-2)</f>
        <v>28300</v>
      </c>
      <c r="BR1912" s="25">
        <f>Inventory[[#This Row],[Adjusted Impr Total]]+Inventory[[#This Row],[Adjusted Land Total]]</f>
        <v>377400</v>
      </c>
      <c r="BS1912" s="36">
        <f>IFERROR((Inventory[[#This Row],[Adjusted Impr Total]]-Inventory[[#This Row],[24Bldg]])/Inventory[[#This Row],[24Bldg]],0)</f>
        <v>0.18058843422387555</v>
      </c>
      <c r="BT1912" s="36">
        <f>(Inventory[[#This Row],[Adjusted Land Total]]-Inventory[[#This Row],[24Lnd]])/Inventory[[#This Row],[24Lnd]]</f>
        <v>-0.41528925619834711</v>
      </c>
      <c r="BU1912" s="36">
        <f>(Inventory[[#This Row],[Adjusted Total]]-Inventory[[#This Row],[24Final]])/Inventory[[#This Row],[24Final]]</f>
        <v>9.6774193548387094E-2</v>
      </c>
    </row>
    <row r="1913" spans="1:73" x14ac:dyDescent="0.3">
      <c r="A1913" s="25">
        <v>2025</v>
      </c>
      <c r="B1913" s="26" t="s">
        <v>2103</v>
      </c>
      <c r="C1913" s="26">
        <f>LN(Inventory[[#This Row],[Acres]])</f>
        <v>-1.8325814637483102</v>
      </c>
      <c r="D1913" s="25">
        <v>0.16</v>
      </c>
      <c r="E1913" s="31"/>
      <c r="F1913" s="26" t="s">
        <v>537</v>
      </c>
      <c r="G1913" s="26" t="s">
        <v>126</v>
      </c>
      <c r="H1913" s="26" t="s">
        <v>349</v>
      </c>
      <c r="I1913" s="26" t="s">
        <v>538</v>
      </c>
      <c r="J1913" s="26" t="s">
        <v>539</v>
      </c>
      <c r="K1913" s="26" t="s">
        <v>4</v>
      </c>
      <c r="L1913" s="26" t="s">
        <v>148</v>
      </c>
      <c r="M1913" s="26" t="s">
        <v>303</v>
      </c>
      <c r="N1913" s="26">
        <v>100</v>
      </c>
      <c r="O1913" s="26">
        <f>2024-Inventory[[#This Row],[YrBlt]]</f>
        <v>97</v>
      </c>
      <c r="P1913" s="26">
        <f>2024-Inventory[[#This Row],[EffYr]]</f>
        <v>55</v>
      </c>
      <c r="Q1913" s="25">
        <v>1927</v>
      </c>
      <c r="R1913" s="25">
        <v>1969</v>
      </c>
      <c r="S1913" s="25">
        <v>1376</v>
      </c>
      <c r="T1913" s="27"/>
      <c r="U1913" s="25">
        <v>1360</v>
      </c>
      <c r="V1913" s="25">
        <f>Inventory[[#This Row],[Bsmt]]-Inventory[[#This Row],[FnBsmt]]</f>
        <v>479</v>
      </c>
      <c r="W1913" s="25">
        <v>881</v>
      </c>
      <c r="X1913" s="27"/>
      <c r="Y1913" s="27">
        <f>Inventory[[#This Row],[MainFn]]+Inventory[[#This Row],[UpprFn]]+Inventory[[#This Row],[FnBsmt]]+Inventory[[#This Row],[AddFn]]</f>
        <v>2257</v>
      </c>
      <c r="Z1913" s="27">
        <v>2500</v>
      </c>
      <c r="AA1913" s="25">
        <v>5</v>
      </c>
      <c r="AB1913" s="25">
        <v>322</v>
      </c>
      <c r="AC1913" s="27"/>
      <c r="AD1913" s="32">
        <v>180</v>
      </c>
      <c r="AE1913" s="27"/>
      <c r="AF1913" s="27"/>
      <c r="AG1913" s="27"/>
      <c r="AH1913" s="27"/>
      <c r="AI1913" s="25">
        <v>419922</v>
      </c>
      <c r="AJ1913" s="25">
        <v>281348</v>
      </c>
      <c r="AK1913" s="25">
        <v>0</v>
      </c>
      <c r="AL1913" s="25">
        <v>359400</v>
      </c>
      <c r="AM1913" s="25">
        <v>50600</v>
      </c>
      <c r="AN1913" s="25">
        <v>308800</v>
      </c>
      <c r="AO1913" s="25">
        <v>0</v>
      </c>
      <c r="AP1913" s="25">
        <f>Lookups!$B$56*0</f>
        <v>0</v>
      </c>
      <c r="AQ1913" s="25">
        <f>Lookups!$B$56*1</f>
        <v>89850.625589999996</v>
      </c>
      <c r="AR1913" s="25">
        <f>Lookups!$B$57*Inventory[[#This Row],[LnAcres]]</f>
        <v>-58009.662049032086</v>
      </c>
      <c r="AS1913" s="25">
        <f>VLOOKUP(Inventory[[#This Row],[Qlty]],Lookups!$A$62:$E$75,2,FALSE)</f>
        <v>44121.038090000002</v>
      </c>
      <c r="AT1913" s="25">
        <f>VLOOKUP(Inventory[[#This Row],[Cnd]],Lookups!$A$76:$E$84,2,FALSE)</f>
        <v>197752.34721000001</v>
      </c>
      <c r="AU1913" s="25">
        <f>Inventory[[#This Row],[EffAge]]*Lookups!$B$85</f>
        <v>-12267.5080275</v>
      </c>
      <c r="AV1913" s="25">
        <f>Inventory[[#This Row],[MainFn]]*Lookups!$B$86</f>
        <v>67986.329750752004</v>
      </c>
      <c r="AW1913" s="25">
        <f>Inventory[[#This Row],[UpprFn]]*Lookups!$B$87</f>
        <v>0</v>
      </c>
      <c r="AX1913" s="25">
        <f>Inventory[[#This Row],[AddFn]]*Lookups!$B$88</f>
        <v>0</v>
      </c>
      <c r="AY1913" s="25">
        <f>Inventory[[#This Row],[Bsmt]]*Lookups!$B$89</f>
        <v>39551.377535920001</v>
      </c>
      <c r="AZ1913" s="25">
        <f>Inventory[[#This Row],[Fixtures]]*Lookups!$B$90</f>
        <v>18960.110526</v>
      </c>
      <c r="BA1913" s="25">
        <f>Inventory[[#This Row],[WdDeck]]*Lookups!$B$91</f>
        <v>5993.1927496800008</v>
      </c>
      <c r="BB1913" s="25">
        <f>ROUND(Inventory[[#This Row],[25Det]],-2)</f>
        <v>0</v>
      </c>
      <c r="BC1913" s="25">
        <f>ROUND(SUM(Inventory[[#This Row],[Mdl Qlty]:[Mdl WdDeck]])+Inventory[[#This Row],[Mdl Res Intercept]],-2)</f>
        <v>362100</v>
      </c>
      <c r="BD1913" s="25">
        <f>ROUND(Inventory[[#This Row],[Mdl Land Intercept]]+Inventory[[#This Row],[Mdl LnAcres]],-2)</f>
        <v>31800</v>
      </c>
      <c r="BE1913" s="25">
        <f>Inventory[[#This Row],[Unadj Res Value]]+Inventory[[#This Row],[Unadj Det Value]]+Inventory[[#This Row],[Unadj Land Value]]</f>
        <v>393900</v>
      </c>
      <c r="BF1913" s="36">
        <f>(Inventory[[#This Row],[Unadj Total Value]]-Inventory[[#This Row],[24Final]])/Inventory[[#This Row],[24Final]]</f>
        <v>9.5993322203672793E-2</v>
      </c>
      <c r="BG1913" s="25">
        <f>VLOOKUP(Inventory[[#This Row],[Nbhd]],Lookups!$Q$2:$T$4,4,FALSE)</f>
        <v>0.99970000000000003</v>
      </c>
      <c r="BH1913" s="25">
        <f>VLOOKUP(Inventory[[#This Row],[Qlty]],Lookups!$O$7:$R$21,4,FALSE)</f>
        <v>0.98050000000000004</v>
      </c>
      <c r="BI1913" s="25">
        <f>VLOOKUP(Inventory[[#This Row],[Cnd]],Lookups!$T$7:$W$16,4,FALSE)</f>
        <v>0.99650000000000005</v>
      </c>
      <c r="BJ1913" s="25">
        <f>VLOOKUP(Inventory[[#This Row],[LivArea Range]],Lookups!$T$25:$W$37,4,FALSE)</f>
        <v>0.98919999999999997</v>
      </c>
      <c r="BK1913" s="25">
        <f>VLOOKUP(Inventory[[#This Row],[Decade]],Lookups!$O$25:$R$42,4,FALSE)</f>
        <v>1.0074000000000001</v>
      </c>
      <c r="BL1913" s="25">
        <f>Inventory[[#This Row],[Nbhd Adj]]*0.95</f>
        <v>0.94971499999999998</v>
      </c>
      <c r="BM1913" s="25">
        <f>Inventory[[#This Row],[Nbhd Adj]]*Inventory[[#This Row],[Quality Adj]]*Inventory[[#This Row],[Condition Adj]]*Inventory[[#This Row],[Living Area Adj]]*Inventory[[#This Row],[Decade Adj]]*0.95</f>
        <v>0.9247072287054503</v>
      </c>
      <c r="BN1913" s="25">
        <f>ROUND(SUM(Inventory[[#This Row],[Mdl Qlty]:[Mdl WdDeck]])+Inventory[[#This Row],[Mdl Res Intercept]]*Inventory[[#This Row],[Res Adj ]],-2)</f>
        <v>362100</v>
      </c>
      <c r="BO1913" s="25">
        <f>ROUND(Inventory[[#This Row],[25Det]]*Inventory[[#This Row],[Det/Nbhd Adj]],-2)</f>
        <v>0</v>
      </c>
      <c r="BP1913" s="25">
        <f>Inventory[[#This Row],[Adjusted Res]]+Inventory[[#This Row],[Adj Det ]]</f>
        <v>362100</v>
      </c>
      <c r="BQ1913" s="25">
        <f>ROUND((Inventory[[#This Row],[Mdl Land Intercept]]+Inventory[[#This Row],[Mdl LnAcres]])*Inventory[[#This Row],[Det/Nbhd Adj]],-2)</f>
        <v>30200</v>
      </c>
      <c r="BR1913" s="25">
        <f>Inventory[[#This Row],[Adjusted Impr Total]]+Inventory[[#This Row],[Adjusted Land Total]]</f>
        <v>392300</v>
      </c>
      <c r="BS1913" s="36">
        <f>IFERROR((Inventory[[#This Row],[Adjusted Impr Total]]-Inventory[[#This Row],[24Bldg]])/Inventory[[#This Row],[24Bldg]],0)</f>
        <v>0.17260362694300518</v>
      </c>
      <c r="BT1913" s="36">
        <f>(Inventory[[#This Row],[Adjusted Land Total]]-Inventory[[#This Row],[24Lnd]])/Inventory[[#This Row],[24Lnd]]</f>
        <v>-0.40316205533596838</v>
      </c>
      <c r="BU1913" s="36">
        <f>(Inventory[[#This Row],[Adjusted Total]]-Inventory[[#This Row],[24Final]])/Inventory[[#This Row],[24Final]]</f>
        <v>9.1541457985531441E-2</v>
      </c>
    </row>
    <row r="1914" spans="1:73" x14ac:dyDescent="0.3">
      <c r="A1914" s="25">
        <v>2025</v>
      </c>
      <c r="B1914" s="26" t="s">
        <v>2144</v>
      </c>
      <c r="C1914" s="26">
        <f>LN(Inventory[[#This Row],[Acres]])</f>
        <v>-1.8971199848858813</v>
      </c>
      <c r="D1914" s="25">
        <v>0.15</v>
      </c>
      <c r="E1914" s="25">
        <v>6407</v>
      </c>
      <c r="F1914" s="26" t="s">
        <v>537</v>
      </c>
      <c r="G1914" s="26" t="s">
        <v>126</v>
      </c>
      <c r="H1914" s="26" t="s">
        <v>349</v>
      </c>
      <c r="I1914" s="26" t="s">
        <v>538</v>
      </c>
      <c r="J1914" s="26" t="s">
        <v>539</v>
      </c>
      <c r="K1914" s="26" t="s">
        <v>269</v>
      </c>
      <c r="L1914" s="26" t="s">
        <v>351</v>
      </c>
      <c r="M1914" s="26" t="s">
        <v>303</v>
      </c>
      <c r="N1914" s="26">
        <v>100</v>
      </c>
      <c r="O1914" s="26">
        <f>2024-Inventory[[#This Row],[YrBlt]]</f>
        <v>97</v>
      </c>
      <c r="P1914" s="26">
        <f>2024-Inventory[[#This Row],[EffYr]]</f>
        <v>55</v>
      </c>
      <c r="Q1914" s="25">
        <v>1927</v>
      </c>
      <c r="R1914" s="25">
        <v>1969</v>
      </c>
      <c r="S1914" s="25">
        <v>1604</v>
      </c>
      <c r="T1914" s="27"/>
      <c r="U1914" s="25">
        <v>680</v>
      </c>
      <c r="V1914" s="25">
        <f>Inventory[[#This Row],[Bsmt]]-Inventory[[#This Row],[FnBsmt]]</f>
        <v>680</v>
      </c>
      <c r="W1914" s="31"/>
      <c r="X1914" s="27"/>
      <c r="Y1914" s="27">
        <f>Inventory[[#This Row],[MainFn]]+Inventory[[#This Row],[UpprFn]]+Inventory[[#This Row],[FnBsmt]]+Inventory[[#This Row],[AddFn]]</f>
        <v>1604</v>
      </c>
      <c r="Z1914" s="27">
        <v>2000</v>
      </c>
      <c r="AA1914" s="25">
        <v>5</v>
      </c>
      <c r="AB1914" s="31"/>
      <c r="AC1914" s="27"/>
      <c r="AD1914" s="27"/>
      <c r="AE1914" s="27"/>
      <c r="AF1914" s="27"/>
      <c r="AG1914" s="27"/>
      <c r="AH1914" s="27"/>
      <c r="AI1914" s="25">
        <v>289377</v>
      </c>
      <c r="AJ1914" s="25">
        <v>193883</v>
      </c>
      <c r="AK1914" s="25">
        <v>10334</v>
      </c>
      <c r="AL1914" s="25">
        <v>332900</v>
      </c>
      <c r="AM1914" s="25">
        <v>48400</v>
      </c>
      <c r="AN1914" s="25">
        <v>284500</v>
      </c>
      <c r="AO1914" s="25">
        <v>0</v>
      </c>
      <c r="AP1914" s="25">
        <f>Lookups!$B$56*0</f>
        <v>0</v>
      </c>
      <c r="AQ1914" s="25">
        <f>Lookups!$B$56*1</f>
        <v>89850.625589999996</v>
      </c>
      <c r="AR1914" s="25">
        <f>Lookups!$B$57*Inventory[[#This Row],[LnAcres]]</f>
        <v>-60052.604136134301</v>
      </c>
      <c r="AS1914" s="25">
        <f>VLOOKUP(Inventory[[#This Row],[Qlty]],Lookups!$A$62:$E$75,2,FALSE)</f>
        <v>21557.329055999999</v>
      </c>
      <c r="AT1914" s="25">
        <f>VLOOKUP(Inventory[[#This Row],[Cnd]],Lookups!$A$76:$E$84,2,FALSE)</f>
        <v>197752.34721000001</v>
      </c>
      <c r="AU1914" s="25">
        <f>Inventory[[#This Row],[EffAge]]*Lookups!$B$85</f>
        <v>-12267.5080275</v>
      </c>
      <c r="AV1914" s="25">
        <f>Inventory[[#This Row],[MainFn]]*Lookups!$B$86</f>
        <v>79251.506482708006</v>
      </c>
      <c r="AW1914" s="25">
        <f>Inventory[[#This Row],[UpprFn]]*Lookups!$B$87</f>
        <v>0</v>
      </c>
      <c r="AX1914" s="25">
        <f>Inventory[[#This Row],[AddFn]]*Lookups!$B$88</f>
        <v>0</v>
      </c>
      <c r="AY1914" s="25">
        <f>Inventory[[#This Row],[Bsmt]]*Lookups!$B$89</f>
        <v>19775.68876796</v>
      </c>
      <c r="AZ1914" s="25">
        <f>Inventory[[#This Row],[Fixtures]]*Lookups!$B$90</f>
        <v>18960.110526</v>
      </c>
      <c r="BA1914" s="25">
        <f>Inventory[[#This Row],[WdDeck]]*Lookups!$B$91</f>
        <v>0</v>
      </c>
      <c r="BB1914" s="25">
        <f>ROUND(Inventory[[#This Row],[25Det]],-2)</f>
        <v>10300</v>
      </c>
      <c r="BC1914" s="25">
        <f>ROUND(SUM(Inventory[[#This Row],[Mdl Qlty]:[Mdl WdDeck]])+Inventory[[#This Row],[Mdl Res Intercept]],-2)</f>
        <v>325000</v>
      </c>
      <c r="BD1914" s="25">
        <f>ROUND(Inventory[[#This Row],[Mdl Land Intercept]]+Inventory[[#This Row],[Mdl LnAcres]],-2)</f>
        <v>29800</v>
      </c>
      <c r="BE1914" s="25">
        <f>Inventory[[#This Row],[Unadj Res Value]]+Inventory[[#This Row],[Unadj Det Value]]+Inventory[[#This Row],[Unadj Land Value]]</f>
        <v>365100</v>
      </c>
      <c r="BF1914" s="36">
        <f>(Inventory[[#This Row],[Unadj Total Value]]-Inventory[[#This Row],[24Final]])/Inventory[[#This Row],[24Final]]</f>
        <v>9.6725743466506461E-2</v>
      </c>
      <c r="BG1914" s="25">
        <f>VLOOKUP(Inventory[[#This Row],[Nbhd]],Lookups!$Q$2:$T$4,4,FALSE)</f>
        <v>0.99970000000000003</v>
      </c>
      <c r="BH1914" s="25">
        <f>VLOOKUP(Inventory[[#This Row],[Qlty]],Lookups!$O$7:$R$21,4,FALSE)</f>
        <v>1.0067999999999999</v>
      </c>
      <c r="BI1914" s="25">
        <f>VLOOKUP(Inventory[[#This Row],[Cnd]],Lookups!$T$7:$W$16,4,FALSE)</f>
        <v>0.99650000000000005</v>
      </c>
      <c r="BJ1914" s="25">
        <f>VLOOKUP(Inventory[[#This Row],[LivArea Range]],Lookups!$T$25:$W$37,4,FALSE)</f>
        <v>1.0093000000000001</v>
      </c>
      <c r="BK1914" s="25">
        <f>VLOOKUP(Inventory[[#This Row],[Decade]],Lookups!$O$25:$R$42,4,FALSE)</f>
        <v>1.0074000000000001</v>
      </c>
      <c r="BL1914" s="25">
        <f>Inventory[[#This Row],[Nbhd Adj]]*0.95</f>
        <v>0.94971499999999998</v>
      </c>
      <c r="BM1914" s="25">
        <f>Inventory[[#This Row],[Nbhd Adj]]*Inventory[[#This Row],[Quality Adj]]*Inventory[[#This Row],[Condition Adj]]*Inventory[[#This Row],[Living Area Adj]]*Inventory[[#This Row],[Decade Adj]]*0.95</f>
        <v>0.96880423161964746</v>
      </c>
      <c r="BN1914" s="25">
        <f>ROUND(SUM(Inventory[[#This Row],[Mdl Qlty]:[Mdl WdDeck]])+Inventory[[#This Row],[Mdl Res Intercept]]*Inventory[[#This Row],[Res Adj ]],-2)</f>
        <v>325000</v>
      </c>
      <c r="BO1914" s="25">
        <f>ROUND(Inventory[[#This Row],[25Det]]*Inventory[[#This Row],[Det/Nbhd Adj]],-2)</f>
        <v>9800</v>
      </c>
      <c r="BP1914" s="25">
        <f>Inventory[[#This Row],[Adjusted Res]]+Inventory[[#This Row],[Adj Det ]]</f>
        <v>334800</v>
      </c>
      <c r="BQ1914" s="25">
        <f>ROUND((Inventory[[#This Row],[Mdl Land Intercept]]+Inventory[[#This Row],[Mdl LnAcres]])*Inventory[[#This Row],[Det/Nbhd Adj]],-2)</f>
        <v>28300</v>
      </c>
      <c r="BR1914" s="25">
        <f>Inventory[[#This Row],[Adjusted Impr Total]]+Inventory[[#This Row],[Adjusted Land Total]]</f>
        <v>363100</v>
      </c>
      <c r="BS1914" s="36">
        <f>IFERROR((Inventory[[#This Row],[Adjusted Impr Total]]-Inventory[[#This Row],[24Bldg]])/Inventory[[#This Row],[24Bldg]],0)</f>
        <v>0.17680140597539543</v>
      </c>
      <c r="BT1914" s="36">
        <f>(Inventory[[#This Row],[Adjusted Land Total]]-Inventory[[#This Row],[24Lnd]])/Inventory[[#This Row],[24Lnd]]</f>
        <v>-0.41528925619834711</v>
      </c>
      <c r="BU1914" s="36">
        <f>(Inventory[[#This Row],[Adjusted Total]]-Inventory[[#This Row],[24Final]])/Inventory[[#This Row],[24Final]]</f>
        <v>9.0717933313307297E-2</v>
      </c>
    </row>
    <row r="1915" spans="1:73" x14ac:dyDescent="0.3">
      <c r="A1915" s="25">
        <v>2025</v>
      </c>
      <c r="B1915" s="26" t="s">
        <v>2690</v>
      </c>
      <c r="C1915" s="26">
        <f>LN(Inventory[[#This Row],[Acres]])</f>
        <v>-1.8325814637483102</v>
      </c>
      <c r="D1915" s="25">
        <v>0.16</v>
      </c>
      <c r="E1915" s="27"/>
      <c r="F1915" s="26" t="s">
        <v>537</v>
      </c>
      <c r="G1915" s="26" t="s">
        <v>126</v>
      </c>
      <c r="H1915" s="26" t="s">
        <v>349</v>
      </c>
      <c r="I1915" s="26" t="s">
        <v>538</v>
      </c>
      <c r="J1915" s="26" t="s">
        <v>638</v>
      </c>
      <c r="K1915" s="26" t="s">
        <v>269</v>
      </c>
      <c r="L1915" s="26" t="s">
        <v>351</v>
      </c>
      <c r="M1915" s="26" t="s">
        <v>323</v>
      </c>
      <c r="N1915" s="26">
        <v>100</v>
      </c>
      <c r="O1915" s="26">
        <f>2024-Inventory[[#This Row],[YrBlt]]</f>
        <v>97</v>
      </c>
      <c r="P1915" s="26">
        <f>2024-Inventory[[#This Row],[EffYr]]</f>
        <v>55</v>
      </c>
      <c r="Q1915" s="25">
        <v>1927</v>
      </c>
      <c r="R1915" s="25">
        <v>1969</v>
      </c>
      <c r="S1915" s="25">
        <v>1070</v>
      </c>
      <c r="T1915" s="27"/>
      <c r="U1915" s="25">
        <v>535</v>
      </c>
      <c r="V1915" s="25">
        <f>Inventory[[#This Row],[Bsmt]]-Inventory[[#This Row],[FnBsmt]]</f>
        <v>0</v>
      </c>
      <c r="W1915" s="25">
        <v>535</v>
      </c>
      <c r="X1915" s="27"/>
      <c r="Y1915" s="27">
        <f>Inventory[[#This Row],[MainFn]]+Inventory[[#This Row],[UpprFn]]+Inventory[[#This Row],[FnBsmt]]+Inventory[[#This Row],[AddFn]]</f>
        <v>1605</v>
      </c>
      <c r="Z1915" s="27">
        <v>2000</v>
      </c>
      <c r="AA1915" s="25">
        <v>5</v>
      </c>
      <c r="AB1915" s="27"/>
      <c r="AC1915" s="27"/>
      <c r="AD1915" s="27"/>
      <c r="AE1915" s="27"/>
      <c r="AF1915" s="27"/>
      <c r="AG1915" s="27"/>
      <c r="AH1915" s="27"/>
      <c r="AI1915" s="25">
        <v>237432</v>
      </c>
      <c r="AJ1915" s="25">
        <v>154331</v>
      </c>
      <c r="AK1915" s="25">
        <v>7465</v>
      </c>
      <c r="AL1915" s="25">
        <v>282600</v>
      </c>
      <c r="AM1915" s="25">
        <v>50600</v>
      </c>
      <c r="AN1915" s="25">
        <v>232000</v>
      </c>
      <c r="AO1915" s="25">
        <v>0</v>
      </c>
      <c r="AP1915" s="25">
        <f>Lookups!$B$56*0</f>
        <v>0</v>
      </c>
      <c r="AQ1915" s="25">
        <f>Lookups!$B$56*1</f>
        <v>89850.625589999996</v>
      </c>
      <c r="AR1915" s="25">
        <f>Lookups!$B$57*Inventory[[#This Row],[LnAcres]]</f>
        <v>-58009.662049032086</v>
      </c>
      <c r="AS1915" s="25">
        <f>VLOOKUP(Inventory[[#This Row],[Qlty]],Lookups!$A$62:$E$75,2,FALSE)</f>
        <v>21557.329055999999</v>
      </c>
      <c r="AT1915" s="25">
        <f>VLOOKUP(Inventory[[#This Row],[Cnd]],Lookups!$A$76:$E$84,2,FALSE)</f>
        <v>160472.20319</v>
      </c>
      <c r="AU1915" s="25">
        <f>Inventory[[#This Row],[EffAge]]*Lookups!$B$85</f>
        <v>-12267.5080275</v>
      </c>
      <c r="AV1915" s="25">
        <f>Inventory[[#This Row],[MainFn]]*Lookups!$B$86</f>
        <v>52867.276768390002</v>
      </c>
      <c r="AW1915" s="25">
        <f>Inventory[[#This Row],[UpprFn]]*Lookups!$B$87</f>
        <v>0</v>
      </c>
      <c r="AX1915" s="25">
        <f>Inventory[[#This Row],[AddFn]]*Lookups!$B$88</f>
        <v>0</v>
      </c>
      <c r="AY1915" s="25">
        <f>Inventory[[#This Row],[Bsmt]]*Lookups!$B$89</f>
        <v>15558.813957144999</v>
      </c>
      <c r="AZ1915" s="25">
        <f>Inventory[[#This Row],[Fixtures]]*Lookups!$B$90</f>
        <v>18960.110526</v>
      </c>
      <c r="BA1915" s="25">
        <f>Inventory[[#This Row],[WdDeck]]*Lookups!$B$91</f>
        <v>0</v>
      </c>
      <c r="BB1915" s="25">
        <f>ROUND(Inventory[[#This Row],[25Det]],-2)</f>
        <v>7500</v>
      </c>
      <c r="BC1915" s="25">
        <f>ROUND(SUM(Inventory[[#This Row],[Mdl Qlty]:[Mdl WdDeck]])+Inventory[[#This Row],[Mdl Res Intercept]],-2)</f>
        <v>257100</v>
      </c>
      <c r="BD1915" s="25">
        <f>ROUND(Inventory[[#This Row],[Mdl Land Intercept]]+Inventory[[#This Row],[Mdl LnAcres]],-2)</f>
        <v>31800</v>
      </c>
      <c r="BE1915" s="25">
        <f>Inventory[[#This Row],[Unadj Res Value]]+Inventory[[#This Row],[Unadj Det Value]]+Inventory[[#This Row],[Unadj Land Value]]</f>
        <v>296400</v>
      </c>
      <c r="BF1915" s="36">
        <f>(Inventory[[#This Row],[Unadj Total Value]]-Inventory[[#This Row],[24Final]])/Inventory[[#This Row],[24Final]]</f>
        <v>4.8832271762208071E-2</v>
      </c>
      <c r="BG1915" s="25">
        <f>VLOOKUP(Inventory[[#This Row],[Nbhd]],Lookups!$Q$2:$T$4,4,FALSE)</f>
        <v>0.99970000000000003</v>
      </c>
      <c r="BH1915" s="25">
        <f>VLOOKUP(Inventory[[#This Row],[Qlty]],Lookups!$O$7:$R$21,4,FALSE)</f>
        <v>1.0067999999999999</v>
      </c>
      <c r="BI1915" s="25">
        <f>VLOOKUP(Inventory[[#This Row],[Cnd]],Lookups!$T$7:$W$16,4,FALSE)</f>
        <v>0.99729999999999996</v>
      </c>
      <c r="BJ1915" s="25">
        <f>VLOOKUP(Inventory[[#This Row],[LivArea Range]],Lookups!$T$25:$W$37,4,FALSE)</f>
        <v>1.0093000000000001</v>
      </c>
      <c r="BK1915" s="25">
        <f>VLOOKUP(Inventory[[#This Row],[Decade]],Lookups!$O$25:$R$42,4,FALSE)</f>
        <v>1.0074000000000001</v>
      </c>
      <c r="BL1915" s="25">
        <f>Inventory[[#This Row],[Nbhd Adj]]*0.95</f>
        <v>0.94971499999999998</v>
      </c>
      <c r="BM1915" s="25">
        <f>Inventory[[#This Row],[Nbhd Adj]]*Inventory[[#This Row],[Quality Adj]]*Inventory[[#This Row],[Condition Adj]]*Inventory[[#This Row],[Living Area Adj]]*Inventory[[#This Row],[Decade Adj]]*0.95</f>
        <v>0.96958199718441984</v>
      </c>
      <c r="BN1915" s="25">
        <f>ROUND(SUM(Inventory[[#This Row],[Mdl Qlty]:[Mdl WdDeck]])+Inventory[[#This Row],[Mdl Res Intercept]]*Inventory[[#This Row],[Res Adj ]],-2)</f>
        <v>257100</v>
      </c>
      <c r="BO1915" s="25">
        <f>ROUND(Inventory[[#This Row],[25Det]]*Inventory[[#This Row],[Det/Nbhd Adj]],-2)</f>
        <v>7100</v>
      </c>
      <c r="BP1915" s="25">
        <f>Inventory[[#This Row],[Adjusted Res]]+Inventory[[#This Row],[Adj Det ]]</f>
        <v>264200</v>
      </c>
      <c r="BQ1915" s="25">
        <f>ROUND((Inventory[[#This Row],[Mdl Land Intercept]]+Inventory[[#This Row],[Mdl LnAcres]])*Inventory[[#This Row],[Det/Nbhd Adj]],-2)</f>
        <v>30200</v>
      </c>
      <c r="BR1915" s="25">
        <f>Inventory[[#This Row],[Adjusted Impr Total]]+Inventory[[#This Row],[Adjusted Land Total]]</f>
        <v>294400</v>
      </c>
      <c r="BS1915" s="36">
        <f>IFERROR((Inventory[[#This Row],[Adjusted Impr Total]]-Inventory[[#This Row],[24Bldg]])/Inventory[[#This Row],[24Bldg]],0)</f>
        <v>0.13879310344827586</v>
      </c>
      <c r="BT1915" s="36">
        <f>(Inventory[[#This Row],[Adjusted Land Total]]-Inventory[[#This Row],[24Lnd]])/Inventory[[#This Row],[24Lnd]]</f>
        <v>-0.40316205533596838</v>
      </c>
      <c r="BU1915" s="36">
        <f>(Inventory[[#This Row],[Adjusted Total]]-Inventory[[#This Row],[24Final]])/Inventory[[#This Row],[24Final]]</f>
        <v>4.1755130927105449E-2</v>
      </c>
    </row>
    <row r="1916" spans="1:73" x14ac:dyDescent="0.3">
      <c r="A1916" s="25">
        <v>2025</v>
      </c>
      <c r="B1916" s="26" t="s">
        <v>1249</v>
      </c>
      <c r="C1916" s="26">
        <f>LN(Inventory[[#This Row],[Acres]])</f>
        <v>-1.3093333199837622</v>
      </c>
      <c r="D1916" s="25">
        <v>0.27</v>
      </c>
      <c r="E1916" s="32">
        <v>11742</v>
      </c>
      <c r="F1916" s="26" t="s">
        <v>537</v>
      </c>
      <c r="G1916" s="26" t="s">
        <v>126</v>
      </c>
      <c r="H1916" s="26" t="s">
        <v>349</v>
      </c>
      <c r="I1916" s="26" t="s">
        <v>538</v>
      </c>
      <c r="J1916" s="26" t="s">
        <v>539</v>
      </c>
      <c r="K1916" s="26" t="s">
        <v>147</v>
      </c>
      <c r="L1916" s="26" t="s">
        <v>95</v>
      </c>
      <c r="M1916" s="26" t="s">
        <v>303</v>
      </c>
      <c r="N1916" s="26">
        <v>100</v>
      </c>
      <c r="O1916" s="26">
        <f>2024-Inventory[[#This Row],[YrBlt]]</f>
        <v>97</v>
      </c>
      <c r="P1916" s="26">
        <f>2024-Inventory[[#This Row],[EffYr]]</f>
        <v>55</v>
      </c>
      <c r="Q1916" s="25">
        <v>1927</v>
      </c>
      <c r="R1916" s="25">
        <v>1969</v>
      </c>
      <c r="S1916" s="25">
        <v>1926</v>
      </c>
      <c r="T1916" s="32">
        <v>483</v>
      </c>
      <c r="U1916" s="25">
        <v>775</v>
      </c>
      <c r="V1916" s="25">
        <f>Inventory[[#This Row],[Bsmt]]-Inventory[[#This Row],[FnBsmt]]</f>
        <v>775</v>
      </c>
      <c r="W1916" s="31"/>
      <c r="X1916" s="27"/>
      <c r="Y1916" s="27">
        <f>Inventory[[#This Row],[MainFn]]+Inventory[[#This Row],[UpprFn]]+Inventory[[#This Row],[FnBsmt]]+Inventory[[#This Row],[AddFn]]</f>
        <v>2409</v>
      </c>
      <c r="Z1916" s="27">
        <v>2500</v>
      </c>
      <c r="AA1916" s="25">
        <v>12</v>
      </c>
      <c r="AB1916" s="27"/>
      <c r="AC1916" s="32">
        <v>529</v>
      </c>
      <c r="AD1916" s="32">
        <v>357</v>
      </c>
      <c r="AE1916" s="27"/>
      <c r="AF1916" s="27"/>
      <c r="AG1916" s="27"/>
      <c r="AH1916" s="27"/>
      <c r="AI1916" s="25">
        <v>607100</v>
      </c>
      <c r="AJ1916" s="25">
        <v>412828</v>
      </c>
      <c r="AK1916" s="25">
        <v>46688</v>
      </c>
      <c r="AL1916" s="25">
        <v>524900</v>
      </c>
      <c r="AM1916" s="25">
        <v>68900</v>
      </c>
      <c r="AN1916" s="25">
        <v>456000</v>
      </c>
      <c r="AO1916" s="25">
        <v>0</v>
      </c>
      <c r="AP1916" s="25">
        <f>Lookups!$B$56*0</f>
        <v>0</v>
      </c>
      <c r="AQ1916" s="25">
        <f>Lookups!$B$56*1</f>
        <v>89850.625589999996</v>
      </c>
      <c r="AR1916" s="25">
        <f>Lookups!$B$57*Inventory[[#This Row],[LnAcres]]</f>
        <v>-41446.443120973789</v>
      </c>
      <c r="AS1916" s="25">
        <f>VLOOKUP(Inventory[[#This Row],[Qlty]],Lookups!$A$62:$E$75,2,FALSE)</f>
        <v>74268.409664999999</v>
      </c>
      <c r="AT1916" s="25">
        <f>VLOOKUP(Inventory[[#This Row],[Cnd]],Lookups!$A$76:$E$84,2,FALSE)</f>
        <v>197752.34721000001</v>
      </c>
      <c r="AU1916" s="25">
        <f>Inventory[[#This Row],[EffAge]]*Lookups!$B$85</f>
        <v>-12267.5080275</v>
      </c>
      <c r="AV1916" s="25">
        <f>Inventory[[#This Row],[MainFn]]*Lookups!$B$86</f>
        <v>95161.098183102004</v>
      </c>
      <c r="AW1916" s="25">
        <f>Inventory[[#This Row],[UpprFn]]*Lookups!$B$87</f>
        <v>21631.842241863</v>
      </c>
      <c r="AX1916" s="25">
        <f>Inventory[[#This Row],[AddFn]]*Lookups!$B$88</f>
        <v>0</v>
      </c>
      <c r="AY1916" s="25">
        <f>Inventory[[#This Row],[Bsmt]]*Lookups!$B$89</f>
        <v>22538.468816425</v>
      </c>
      <c r="AZ1916" s="25">
        <f>Inventory[[#This Row],[Fixtures]]*Lookups!$B$90</f>
        <v>45504.265262400004</v>
      </c>
      <c r="BA1916" s="25">
        <f>Inventory[[#This Row],[WdDeck]]*Lookups!$B$91</f>
        <v>11886.498953532002</v>
      </c>
      <c r="BB1916" s="25">
        <f>ROUND(Inventory[[#This Row],[25Det]],-2)</f>
        <v>46700</v>
      </c>
      <c r="BC1916" s="25">
        <f>ROUND(SUM(Inventory[[#This Row],[Mdl Qlty]:[Mdl WdDeck]])+Inventory[[#This Row],[Mdl Res Intercept]],-2)</f>
        <v>456500</v>
      </c>
      <c r="BD1916" s="25">
        <f>ROUND(Inventory[[#This Row],[Mdl Land Intercept]]+Inventory[[#This Row],[Mdl LnAcres]],-2)</f>
        <v>48400</v>
      </c>
      <c r="BE1916" s="25">
        <f>Inventory[[#This Row],[Unadj Res Value]]+Inventory[[#This Row],[Unadj Det Value]]+Inventory[[#This Row],[Unadj Land Value]]</f>
        <v>551600</v>
      </c>
      <c r="BF1916" s="36">
        <f>(Inventory[[#This Row],[Unadj Total Value]]-Inventory[[#This Row],[24Final]])/Inventory[[#This Row],[24Final]]</f>
        <v>5.0866831777481428E-2</v>
      </c>
      <c r="BG1916" s="25">
        <f>VLOOKUP(Inventory[[#This Row],[Nbhd]],Lookups!$Q$2:$T$4,4,FALSE)</f>
        <v>0.99970000000000003</v>
      </c>
      <c r="BH1916" s="25">
        <f>VLOOKUP(Inventory[[#This Row],[Qlty]],Lookups!$O$7:$R$21,4,FALSE)</f>
        <v>0.98380000000000001</v>
      </c>
      <c r="BI1916" s="25">
        <f>VLOOKUP(Inventory[[#This Row],[Cnd]],Lookups!$T$7:$W$16,4,FALSE)</f>
        <v>0.99650000000000005</v>
      </c>
      <c r="BJ1916" s="25">
        <f>VLOOKUP(Inventory[[#This Row],[LivArea Range]],Lookups!$T$25:$W$37,4,FALSE)</f>
        <v>0.98919999999999997</v>
      </c>
      <c r="BK1916" s="25">
        <f>VLOOKUP(Inventory[[#This Row],[Decade]],Lookups!$O$25:$R$42,4,FALSE)</f>
        <v>1.0074000000000001</v>
      </c>
      <c r="BL1916" s="25">
        <f>Inventory[[#This Row],[Nbhd Adj]]*0.95</f>
        <v>0.94971499999999998</v>
      </c>
      <c r="BM1916" s="25">
        <f>Inventory[[#This Row],[Nbhd Adj]]*Inventory[[#This Row],[Quality Adj]]*Inventory[[#This Row],[Condition Adj]]*Inventory[[#This Row],[Living Area Adj]]*Inventory[[#This Row],[Decade Adj]]*0.95</f>
        <v>0.92781945089283224</v>
      </c>
      <c r="BN1916" s="25">
        <f>ROUND(SUM(Inventory[[#This Row],[Mdl Qlty]:[Mdl WdDeck]])+Inventory[[#This Row],[Mdl Res Intercept]]*Inventory[[#This Row],[Res Adj ]],-2)</f>
        <v>456500</v>
      </c>
      <c r="BO1916" s="25">
        <f>ROUND(Inventory[[#This Row],[25Det]]*Inventory[[#This Row],[Det/Nbhd Adj]],-2)</f>
        <v>44300</v>
      </c>
      <c r="BP1916" s="25">
        <f>Inventory[[#This Row],[Adjusted Res]]+Inventory[[#This Row],[Adj Det ]]</f>
        <v>500800</v>
      </c>
      <c r="BQ1916" s="25">
        <f>ROUND((Inventory[[#This Row],[Mdl Land Intercept]]+Inventory[[#This Row],[Mdl LnAcres]])*Inventory[[#This Row],[Det/Nbhd Adj]],-2)</f>
        <v>46000</v>
      </c>
      <c r="BR1916" s="25">
        <f>Inventory[[#This Row],[Adjusted Impr Total]]+Inventory[[#This Row],[Adjusted Land Total]]</f>
        <v>546800</v>
      </c>
      <c r="BS1916" s="36">
        <f>IFERROR((Inventory[[#This Row],[Adjusted Impr Total]]-Inventory[[#This Row],[24Bldg]])/Inventory[[#This Row],[24Bldg]],0)</f>
        <v>9.8245614035087719E-2</v>
      </c>
      <c r="BT1916" s="36">
        <f>(Inventory[[#This Row],[Adjusted Land Total]]-Inventory[[#This Row],[24Lnd]])/Inventory[[#This Row],[24Lnd]]</f>
        <v>-0.33236574746008707</v>
      </c>
      <c r="BU1916" s="36">
        <f>(Inventory[[#This Row],[Adjusted Total]]-Inventory[[#This Row],[24Final]])/Inventory[[#This Row],[24Final]]</f>
        <v>4.1722232806248809E-2</v>
      </c>
    </row>
    <row r="1917" spans="1:73" x14ac:dyDescent="0.3">
      <c r="A1917" s="25">
        <v>2025</v>
      </c>
      <c r="B1917" s="26" t="s">
        <v>1091</v>
      </c>
      <c r="C1917" s="26">
        <f>LN(Inventory[[#This Row],[Acres]])</f>
        <v>-1.8971199848858813</v>
      </c>
      <c r="D1917" s="25">
        <v>0.15</v>
      </c>
      <c r="E1917" s="32">
        <v>6483</v>
      </c>
      <c r="F1917" s="26" t="s">
        <v>537</v>
      </c>
      <c r="G1917" s="26" t="s">
        <v>126</v>
      </c>
      <c r="H1917" s="26" t="s">
        <v>349</v>
      </c>
      <c r="I1917" s="26" t="s">
        <v>538</v>
      </c>
      <c r="J1917" s="26" t="s">
        <v>539</v>
      </c>
      <c r="K1917" s="26" t="s">
        <v>269</v>
      </c>
      <c r="L1917" s="26" t="s">
        <v>351</v>
      </c>
      <c r="M1917" s="26" t="s">
        <v>323</v>
      </c>
      <c r="N1917" s="26">
        <v>100</v>
      </c>
      <c r="O1917" s="26">
        <f>2024-Inventory[[#This Row],[YrBlt]]</f>
        <v>97</v>
      </c>
      <c r="P1917" s="26">
        <f>2024-Inventory[[#This Row],[EffYr]]</f>
        <v>55</v>
      </c>
      <c r="Q1917" s="25">
        <v>1927</v>
      </c>
      <c r="R1917" s="25">
        <v>1969</v>
      </c>
      <c r="S1917" s="25">
        <v>1100</v>
      </c>
      <c r="T1917" s="31"/>
      <c r="U1917" s="32">
        <v>1100</v>
      </c>
      <c r="V1917" s="32">
        <f>Inventory[[#This Row],[Bsmt]]-Inventory[[#This Row],[FnBsmt]]</f>
        <v>0</v>
      </c>
      <c r="W1917" s="32">
        <v>1100</v>
      </c>
      <c r="X1917" s="27"/>
      <c r="Y1917" s="27">
        <f>Inventory[[#This Row],[MainFn]]+Inventory[[#This Row],[UpprFn]]+Inventory[[#This Row],[FnBsmt]]+Inventory[[#This Row],[AddFn]]</f>
        <v>2200</v>
      </c>
      <c r="Z1917" s="27">
        <v>2500</v>
      </c>
      <c r="AA1917" s="25">
        <v>5</v>
      </c>
      <c r="AB1917" s="27"/>
      <c r="AC1917" s="27"/>
      <c r="AD1917" s="27"/>
      <c r="AE1917" s="27"/>
      <c r="AF1917" s="27"/>
      <c r="AG1917" s="27"/>
      <c r="AH1917" s="27"/>
      <c r="AI1917" s="25">
        <v>273888</v>
      </c>
      <c r="AJ1917" s="25">
        <v>178027</v>
      </c>
      <c r="AK1917" s="25">
        <v>6227</v>
      </c>
      <c r="AL1917" s="25">
        <v>305100</v>
      </c>
      <c r="AM1917" s="25">
        <v>48400</v>
      </c>
      <c r="AN1917" s="25">
        <v>256700</v>
      </c>
      <c r="AO1917" s="25">
        <v>0</v>
      </c>
      <c r="AP1917" s="25">
        <f>Lookups!$B$56*0</f>
        <v>0</v>
      </c>
      <c r="AQ1917" s="25">
        <f>Lookups!$B$56*1</f>
        <v>89850.625589999996</v>
      </c>
      <c r="AR1917" s="25">
        <f>Lookups!$B$57*Inventory[[#This Row],[LnAcres]]</f>
        <v>-60052.604136134301</v>
      </c>
      <c r="AS1917" s="25">
        <f>VLOOKUP(Inventory[[#This Row],[Qlty]],Lookups!$A$62:$E$75,2,FALSE)</f>
        <v>21557.329055999999</v>
      </c>
      <c r="AT1917" s="25">
        <f>VLOOKUP(Inventory[[#This Row],[Cnd]],Lookups!$A$76:$E$84,2,FALSE)</f>
        <v>160472.20319</v>
      </c>
      <c r="AU1917" s="25">
        <f>Inventory[[#This Row],[EffAge]]*Lookups!$B$85</f>
        <v>-12267.5080275</v>
      </c>
      <c r="AV1917" s="25">
        <f>Inventory[[#This Row],[MainFn]]*Lookups!$B$86</f>
        <v>54349.5368647</v>
      </c>
      <c r="AW1917" s="25">
        <f>Inventory[[#This Row],[UpprFn]]*Lookups!$B$87</f>
        <v>0</v>
      </c>
      <c r="AX1917" s="25">
        <f>Inventory[[#This Row],[AddFn]]*Lookups!$B$88</f>
        <v>0</v>
      </c>
      <c r="AY1917" s="25">
        <f>Inventory[[#This Row],[Bsmt]]*Lookups!$B$89</f>
        <v>31990.0847717</v>
      </c>
      <c r="AZ1917" s="25">
        <f>Inventory[[#This Row],[Fixtures]]*Lookups!$B$90</f>
        <v>18960.110526</v>
      </c>
      <c r="BA1917" s="25">
        <f>Inventory[[#This Row],[WdDeck]]*Lookups!$B$91</f>
        <v>0</v>
      </c>
      <c r="BB1917" s="25">
        <f>ROUND(Inventory[[#This Row],[25Det]],-2)</f>
        <v>6200</v>
      </c>
      <c r="BC1917" s="25">
        <f>ROUND(SUM(Inventory[[#This Row],[Mdl Qlty]:[Mdl WdDeck]])+Inventory[[#This Row],[Mdl Res Intercept]],-2)</f>
        <v>275100</v>
      </c>
      <c r="BD1917" s="25">
        <f>ROUND(Inventory[[#This Row],[Mdl Land Intercept]]+Inventory[[#This Row],[Mdl LnAcres]],-2)</f>
        <v>29800</v>
      </c>
      <c r="BE1917" s="25">
        <f>Inventory[[#This Row],[Unadj Res Value]]+Inventory[[#This Row],[Unadj Det Value]]+Inventory[[#This Row],[Unadj Land Value]]</f>
        <v>311100</v>
      </c>
      <c r="BF1917" s="36">
        <f>(Inventory[[#This Row],[Unadj Total Value]]-Inventory[[#This Row],[24Final]])/Inventory[[#This Row],[24Final]]</f>
        <v>1.966568338249754E-2</v>
      </c>
      <c r="BG1917" s="25">
        <f>VLOOKUP(Inventory[[#This Row],[Nbhd]],Lookups!$Q$2:$T$4,4,FALSE)</f>
        <v>0.99970000000000003</v>
      </c>
      <c r="BH1917" s="25">
        <f>VLOOKUP(Inventory[[#This Row],[Qlty]],Lookups!$O$7:$R$21,4,FALSE)</f>
        <v>1.0067999999999999</v>
      </c>
      <c r="BI1917" s="25">
        <f>VLOOKUP(Inventory[[#This Row],[Cnd]],Lookups!$T$7:$W$16,4,FALSE)</f>
        <v>0.99729999999999996</v>
      </c>
      <c r="BJ1917" s="25">
        <f>VLOOKUP(Inventory[[#This Row],[LivArea Range]],Lookups!$T$25:$W$37,4,FALSE)</f>
        <v>0.98919999999999997</v>
      </c>
      <c r="BK1917" s="25">
        <f>VLOOKUP(Inventory[[#This Row],[Decade]],Lookups!$O$25:$R$42,4,FALSE)</f>
        <v>1.0074000000000001</v>
      </c>
      <c r="BL1917" s="25">
        <f>Inventory[[#This Row],[Nbhd Adj]]*0.95</f>
        <v>0.94971499999999998</v>
      </c>
      <c r="BM1917" s="25">
        <f>Inventory[[#This Row],[Nbhd Adj]]*Inventory[[#This Row],[Quality Adj]]*Inventory[[#This Row],[Condition Adj]]*Inventory[[#This Row],[Living Area Adj]]*Inventory[[#This Row],[Decade Adj]]*0.95</f>
        <v>0.95027297296624202</v>
      </c>
      <c r="BN1917" s="25">
        <f>ROUND(SUM(Inventory[[#This Row],[Mdl Qlty]:[Mdl WdDeck]])+Inventory[[#This Row],[Mdl Res Intercept]]*Inventory[[#This Row],[Res Adj ]],-2)</f>
        <v>275100</v>
      </c>
      <c r="BO1917" s="25">
        <f>ROUND(Inventory[[#This Row],[25Det]]*Inventory[[#This Row],[Det/Nbhd Adj]],-2)</f>
        <v>5900</v>
      </c>
      <c r="BP1917" s="25">
        <f>Inventory[[#This Row],[Adjusted Res]]+Inventory[[#This Row],[Adj Det ]]</f>
        <v>281000</v>
      </c>
      <c r="BQ1917" s="25">
        <f>ROUND((Inventory[[#This Row],[Mdl Land Intercept]]+Inventory[[#This Row],[Mdl LnAcres]])*Inventory[[#This Row],[Det/Nbhd Adj]],-2)</f>
        <v>28300</v>
      </c>
      <c r="BR1917" s="25">
        <f>Inventory[[#This Row],[Adjusted Impr Total]]+Inventory[[#This Row],[Adjusted Land Total]]</f>
        <v>309300</v>
      </c>
      <c r="BS1917" s="36">
        <f>IFERROR((Inventory[[#This Row],[Adjusted Impr Total]]-Inventory[[#This Row],[24Bldg]])/Inventory[[#This Row],[24Bldg]],0)</f>
        <v>9.4663030775223991E-2</v>
      </c>
      <c r="BT1917" s="36">
        <f>(Inventory[[#This Row],[Adjusted Land Total]]-Inventory[[#This Row],[24Lnd]])/Inventory[[#This Row],[24Lnd]]</f>
        <v>-0.41528925619834711</v>
      </c>
      <c r="BU1917" s="36">
        <f>(Inventory[[#This Row],[Adjusted Total]]-Inventory[[#This Row],[24Final]])/Inventory[[#This Row],[24Final]]</f>
        <v>1.376597836774828E-2</v>
      </c>
    </row>
    <row r="1918" spans="1:73" x14ac:dyDescent="0.3">
      <c r="A1918" s="25">
        <v>2025</v>
      </c>
      <c r="B1918" s="26" t="s">
        <v>1229</v>
      </c>
      <c r="C1918" s="26">
        <f>LN(Inventory[[#This Row],[Acres]])</f>
        <v>-1.5141277326297755</v>
      </c>
      <c r="D1918" s="25">
        <v>0.22</v>
      </c>
      <c r="E1918" s="31"/>
      <c r="F1918" s="26" t="s">
        <v>537</v>
      </c>
      <c r="G1918" s="26" t="s">
        <v>126</v>
      </c>
      <c r="H1918" s="26" t="s">
        <v>349</v>
      </c>
      <c r="I1918" s="26" t="s">
        <v>538</v>
      </c>
      <c r="J1918" s="26" t="s">
        <v>539</v>
      </c>
      <c r="K1918" s="26" t="s">
        <v>147</v>
      </c>
      <c r="L1918" s="26" t="s">
        <v>95</v>
      </c>
      <c r="M1918" s="26" t="s">
        <v>323</v>
      </c>
      <c r="N1918" s="26">
        <v>100</v>
      </c>
      <c r="O1918" s="26">
        <f>2024-Inventory[[#This Row],[YrBlt]]</f>
        <v>97</v>
      </c>
      <c r="P1918" s="26">
        <f>2024-Inventory[[#This Row],[EffYr]]</f>
        <v>55</v>
      </c>
      <c r="Q1918" s="25">
        <v>1927</v>
      </c>
      <c r="R1918" s="25">
        <v>1969</v>
      </c>
      <c r="S1918" s="25">
        <v>1634</v>
      </c>
      <c r="T1918" s="27"/>
      <c r="U1918" s="32">
        <v>830</v>
      </c>
      <c r="V1918" s="32">
        <f>Inventory[[#This Row],[Bsmt]]-Inventory[[#This Row],[FnBsmt]]</f>
        <v>410</v>
      </c>
      <c r="W1918" s="32">
        <v>420</v>
      </c>
      <c r="X1918" s="27"/>
      <c r="Y1918" s="27">
        <f>Inventory[[#This Row],[MainFn]]+Inventory[[#This Row],[UpprFn]]+Inventory[[#This Row],[FnBsmt]]+Inventory[[#This Row],[AddFn]]</f>
        <v>2054</v>
      </c>
      <c r="Z1918" s="27">
        <v>2500</v>
      </c>
      <c r="AA1918" s="25">
        <v>8</v>
      </c>
      <c r="AB1918" s="27"/>
      <c r="AC1918" s="27"/>
      <c r="AD1918" s="27"/>
      <c r="AE1918" s="27"/>
      <c r="AF1918" s="27"/>
      <c r="AG1918" s="31"/>
      <c r="AH1918" s="27"/>
      <c r="AI1918" s="25">
        <v>486194</v>
      </c>
      <c r="AJ1918" s="25">
        <v>320888</v>
      </c>
      <c r="AK1918" s="25">
        <v>11621</v>
      </c>
      <c r="AL1918" s="25">
        <v>421400</v>
      </c>
      <c r="AM1918" s="25">
        <v>61700</v>
      </c>
      <c r="AN1918" s="25">
        <v>359700</v>
      </c>
      <c r="AO1918" s="25">
        <v>0</v>
      </c>
      <c r="AP1918" s="25">
        <f>Lookups!$B$56*0</f>
        <v>0</v>
      </c>
      <c r="AQ1918" s="25">
        <f>Lookups!$B$56*1</f>
        <v>89850.625589999996</v>
      </c>
      <c r="AR1918" s="25">
        <f>Lookups!$B$57*Inventory[[#This Row],[LnAcres]]</f>
        <v>-47929.131559187132</v>
      </c>
      <c r="AS1918" s="25">
        <f>VLOOKUP(Inventory[[#This Row],[Qlty]],Lookups!$A$62:$E$75,2,FALSE)</f>
        <v>74268.409664999999</v>
      </c>
      <c r="AT1918" s="25">
        <f>VLOOKUP(Inventory[[#This Row],[Cnd]],Lookups!$A$76:$E$84,2,FALSE)</f>
        <v>160472.20319</v>
      </c>
      <c r="AU1918" s="25">
        <f>Inventory[[#This Row],[EffAge]]*Lookups!$B$85</f>
        <v>-12267.5080275</v>
      </c>
      <c r="AV1918" s="25">
        <f>Inventory[[#This Row],[MainFn]]*Lookups!$B$86</f>
        <v>80733.766579018004</v>
      </c>
      <c r="AW1918" s="25">
        <f>Inventory[[#This Row],[UpprFn]]*Lookups!$B$87</f>
        <v>0</v>
      </c>
      <c r="AX1918" s="25">
        <f>Inventory[[#This Row],[AddFn]]*Lookups!$B$88</f>
        <v>0</v>
      </c>
      <c r="AY1918" s="25">
        <f>Inventory[[#This Row],[Bsmt]]*Lookups!$B$89</f>
        <v>24137.973055009999</v>
      </c>
      <c r="AZ1918" s="25">
        <f>Inventory[[#This Row],[Fixtures]]*Lookups!$B$90</f>
        <v>30336.176841600001</v>
      </c>
      <c r="BA1918" s="25">
        <f>Inventory[[#This Row],[WdDeck]]*Lookups!$B$91</f>
        <v>0</v>
      </c>
      <c r="BB1918" s="25">
        <f>ROUND(Inventory[[#This Row],[25Det]],-2)</f>
        <v>11600</v>
      </c>
      <c r="BC1918" s="25">
        <f>ROUND(SUM(Inventory[[#This Row],[Mdl Qlty]:[Mdl WdDeck]])+Inventory[[#This Row],[Mdl Res Intercept]],-2)</f>
        <v>357700</v>
      </c>
      <c r="BD1918" s="25">
        <f>ROUND(Inventory[[#This Row],[Mdl Land Intercept]]+Inventory[[#This Row],[Mdl LnAcres]],-2)</f>
        <v>41900</v>
      </c>
      <c r="BE1918" s="25">
        <f>Inventory[[#This Row],[Unadj Res Value]]+Inventory[[#This Row],[Unadj Det Value]]+Inventory[[#This Row],[Unadj Land Value]]</f>
        <v>411200</v>
      </c>
      <c r="BF1918" s="36">
        <f>(Inventory[[#This Row],[Unadj Total Value]]-Inventory[[#This Row],[24Final]])/Inventory[[#This Row],[24Final]]</f>
        <v>-2.4205030849549121E-2</v>
      </c>
      <c r="BG1918" s="25">
        <f>VLOOKUP(Inventory[[#This Row],[Nbhd]],Lookups!$Q$2:$T$4,4,FALSE)</f>
        <v>0.99970000000000003</v>
      </c>
      <c r="BH1918" s="25">
        <f>VLOOKUP(Inventory[[#This Row],[Qlty]],Lookups!$O$7:$R$21,4,FALSE)</f>
        <v>0.98380000000000001</v>
      </c>
      <c r="BI1918" s="25">
        <f>VLOOKUP(Inventory[[#This Row],[Cnd]],Lookups!$T$7:$W$16,4,FALSE)</f>
        <v>0.99729999999999996</v>
      </c>
      <c r="BJ1918" s="25">
        <f>VLOOKUP(Inventory[[#This Row],[LivArea Range]],Lookups!$T$25:$W$37,4,FALSE)</f>
        <v>0.98919999999999997</v>
      </c>
      <c r="BK1918" s="25">
        <f>VLOOKUP(Inventory[[#This Row],[Decade]],Lookups!$O$25:$R$42,4,FALSE)</f>
        <v>1.0074000000000001</v>
      </c>
      <c r="BL1918" s="25">
        <f>Inventory[[#This Row],[Nbhd Adj]]*0.95</f>
        <v>0.94971499999999998</v>
      </c>
      <c r="BM1918" s="25">
        <f>Inventory[[#This Row],[Nbhd Adj]]*Inventory[[#This Row],[Quality Adj]]*Inventory[[#This Row],[Condition Adj]]*Inventory[[#This Row],[Living Area Adj]]*Inventory[[#This Row],[Decade Adj]]*0.95</f>
        <v>0.92856431347257551</v>
      </c>
      <c r="BN1918" s="25">
        <f>ROUND(SUM(Inventory[[#This Row],[Mdl Qlty]:[Mdl WdDeck]])+Inventory[[#This Row],[Mdl Res Intercept]]*Inventory[[#This Row],[Res Adj ]],-2)</f>
        <v>357700</v>
      </c>
      <c r="BO1918" s="25">
        <f>ROUND(Inventory[[#This Row],[25Det]]*Inventory[[#This Row],[Det/Nbhd Adj]],-2)</f>
        <v>11000</v>
      </c>
      <c r="BP1918" s="25">
        <f>Inventory[[#This Row],[Adjusted Res]]+Inventory[[#This Row],[Adj Det ]]</f>
        <v>368700</v>
      </c>
      <c r="BQ1918" s="25">
        <f>ROUND((Inventory[[#This Row],[Mdl Land Intercept]]+Inventory[[#This Row],[Mdl LnAcres]])*Inventory[[#This Row],[Det/Nbhd Adj]],-2)</f>
        <v>39800</v>
      </c>
      <c r="BR1918" s="25">
        <f>Inventory[[#This Row],[Adjusted Impr Total]]+Inventory[[#This Row],[Adjusted Land Total]]</f>
        <v>408500</v>
      </c>
      <c r="BS1918" s="36">
        <f>IFERROR((Inventory[[#This Row],[Adjusted Impr Total]]-Inventory[[#This Row],[24Bldg]])/Inventory[[#This Row],[24Bldg]],0)</f>
        <v>2.5020850708924104E-2</v>
      </c>
      <c r="BT1918" s="36">
        <f>(Inventory[[#This Row],[Adjusted Land Total]]-Inventory[[#This Row],[24Lnd]])/Inventory[[#This Row],[24Lnd]]</f>
        <v>-0.35494327390599678</v>
      </c>
      <c r="BU1918" s="36">
        <f>(Inventory[[#This Row],[Adjusted Total]]-Inventory[[#This Row],[24Final]])/Inventory[[#This Row],[24Final]]</f>
        <v>-3.0612244897959183E-2</v>
      </c>
    </row>
    <row r="1919" spans="1:73" x14ac:dyDescent="0.3">
      <c r="A1919" s="25">
        <v>2025</v>
      </c>
      <c r="B1919" s="26" t="s">
        <v>2035</v>
      </c>
      <c r="C1919" s="26">
        <f>LN(Inventory[[#This Row],[Acres]])</f>
        <v>-1.8971199848858813</v>
      </c>
      <c r="D1919" s="25">
        <v>0.15</v>
      </c>
      <c r="E1919" s="25">
        <v>6687</v>
      </c>
      <c r="F1919" s="26" t="s">
        <v>537</v>
      </c>
      <c r="G1919" s="26" t="s">
        <v>126</v>
      </c>
      <c r="H1919" s="26" t="s">
        <v>349</v>
      </c>
      <c r="I1919" s="26" t="s">
        <v>538</v>
      </c>
      <c r="J1919" s="26" t="s">
        <v>539</v>
      </c>
      <c r="K1919" s="26" t="s">
        <v>242</v>
      </c>
      <c r="L1919" s="26" t="s">
        <v>302</v>
      </c>
      <c r="M1919" s="26" t="s">
        <v>303</v>
      </c>
      <c r="N1919" s="26">
        <v>100</v>
      </c>
      <c r="O1919" s="26">
        <f>2024-Inventory[[#This Row],[YrBlt]]</f>
        <v>98</v>
      </c>
      <c r="P1919" s="26">
        <f>2024-Inventory[[#This Row],[EffYr]]</f>
        <v>56</v>
      </c>
      <c r="Q1919" s="25">
        <v>1926</v>
      </c>
      <c r="R1919" s="25">
        <v>1968</v>
      </c>
      <c r="S1919" s="25">
        <v>1614</v>
      </c>
      <c r="T1919" s="27"/>
      <c r="U1919" s="32">
        <v>886</v>
      </c>
      <c r="V1919" s="32">
        <f>Inventory[[#This Row],[Bsmt]]-Inventory[[#This Row],[FnBsmt]]</f>
        <v>886</v>
      </c>
      <c r="W1919" s="27"/>
      <c r="X1919" s="27"/>
      <c r="Y1919" s="27">
        <f>Inventory[[#This Row],[MainFn]]+Inventory[[#This Row],[UpprFn]]+Inventory[[#This Row],[FnBsmt]]+Inventory[[#This Row],[AddFn]]</f>
        <v>1614</v>
      </c>
      <c r="Z1919" s="27">
        <v>2000</v>
      </c>
      <c r="AA1919" s="25">
        <v>8</v>
      </c>
      <c r="AB1919" s="27"/>
      <c r="AC1919" s="27"/>
      <c r="AD1919" s="27"/>
      <c r="AE1919" s="27"/>
      <c r="AF1919" s="27"/>
      <c r="AG1919" s="31"/>
      <c r="AH1919" s="27"/>
      <c r="AI1919" s="25">
        <v>327005</v>
      </c>
      <c r="AJ1919" s="25">
        <v>215823</v>
      </c>
      <c r="AK1919" s="25">
        <v>4143</v>
      </c>
      <c r="AL1919" s="25">
        <v>344600</v>
      </c>
      <c r="AM1919" s="25">
        <v>48400</v>
      </c>
      <c r="AN1919" s="25">
        <v>296200</v>
      </c>
      <c r="AO1919" s="25">
        <v>0</v>
      </c>
      <c r="AP1919" s="25">
        <f>Lookups!$B$56*0</f>
        <v>0</v>
      </c>
      <c r="AQ1919" s="25">
        <f>Lookups!$B$56*1</f>
        <v>89850.625589999996</v>
      </c>
      <c r="AR1919" s="25">
        <f>Lookups!$B$57*Inventory[[#This Row],[LnAcres]]</f>
        <v>-60052.604136134301</v>
      </c>
      <c r="AS1919" s="25">
        <f>VLOOKUP(Inventory[[#This Row],[Qlty]],Lookups!$A$62:$E$75,2,FALSE)</f>
        <v>29814.093161000001</v>
      </c>
      <c r="AT1919" s="25">
        <f>VLOOKUP(Inventory[[#This Row],[Cnd]],Lookups!$A$76:$E$84,2,FALSE)</f>
        <v>197752.34721000001</v>
      </c>
      <c r="AU1919" s="25">
        <f>Inventory[[#This Row],[EffAge]]*Lookups!$B$85</f>
        <v>-12490.553628</v>
      </c>
      <c r="AV1919" s="25">
        <f>Inventory[[#This Row],[MainFn]]*Lookups!$B$86</f>
        <v>79745.593181478005</v>
      </c>
      <c r="AW1919" s="25">
        <f>Inventory[[#This Row],[UpprFn]]*Lookups!$B$87</f>
        <v>0</v>
      </c>
      <c r="AX1919" s="25">
        <f>Inventory[[#This Row],[AddFn]]*Lookups!$B$88</f>
        <v>0</v>
      </c>
      <c r="AY1919" s="25">
        <f>Inventory[[#This Row],[Bsmt]]*Lookups!$B$89</f>
        <v>25766.559188841999</v>
      </c>
      <c r="AZ1919" s="25">
        <f>Inventory[[#This Row],[Fixtures]]*Lookups!$B$90</f>
        <v>30336.176841600001</v>
      </c>
      <c r="BA1919" s="25">
        <f>Inventory[[#This Row],[WdDeck]]*Lookups!$B$91</f>
        <v>0</v>
      </c>
      <c r="BB1919" s="25">
        <f>ROUND(Inventory[[#This Row],[25Det]],-2)</f>
        <v>4100</v>
      </c>
      <c r="BC1919" s="25">
        <f>ROUND(SUM(Inventory[[#This Row],[Mdl Qlty]:[Mdl WdDeck]])+Inventory[[#This Row],[Mdl Res Intercept]],-2)</f>
        <v>350900</v>
      </c>
      <c r="BD1919" s="25">
        <f>ROUND(Inventory[[#This Row],[Mdl Land Intercept]]+Inventory[[#This Row],[Mdl LnAcres]],-2)</f>
        <v>29800</v>
      </c>
      <c r="BE1919" s="25">
        <f>Inventory[[#This Row],[Unadj Res Value]]+Inventory[[#This Row],[Unadj Det Value]]+Inventory[[#This Row],[Unadj Land Value]]</f>
        <v>384800</v>
      </c>
      <c r="BF1919" s="36">
        <f>(Inventory[[#This Row],[Unadj Total Value]]-Inventory[[#This Row],[24Final]])/Inventory[[#This Row],[24Final]]</f>
        <v>0.11665699361578642</v>
      </c>
      <c r="BG1919" s="25">
        <f>VLOOKUP(Inventory[[#This Row],[Nbhd]],Lookups!$Q$2:$T$4,4,FALSE)</f>
        <v>0.99970000000000003</v>
      </c>
      <c r="BH1919" s="25">
        <f>VLOOKUP(Inventory[[#This Row],[Qlty]],Lookups!$O$7:$R$21,4,FALSE)</f>
        <v>1.0088999999999999</v>
      </c>
      <c r="BI1919" s="25">
        <f>VLOOKUP(Inventory[[#This Row],[Cnd]],Lookups!$T$7:$W$16,4,FALSE)</f>
        <v>0.99650000000000005</v>
      </c>
      <c r="BJ1919" s="25">
        <f>VLOOKUP(Inventory[[#This Row],[LivArea Range]],Lookups!$T$25:$W$37,4,FALSE)</f>
        <v>1.0093000000000001</v>
      </c>
      <c r="BK1919" s="25">
        <f>VLOOKUP(Inventory[[#This Row],[Decade]],Lookups!$O$25:$R$42,4,FALSE)</f>
        <v>1.0074000000000001</v>
      </c>
      <c r="BL1919" s="25">
        <f>Inventory[[#This Row],[Nbhd Adj]]*0.95</f>
        <v>0.94971499999999998</v>
      </c>
      <c r="BM1919" s="25">
        <f>Inventory[[#This Row],[Nbhd Adj]]*Inventory[[#This Row],[Quality Adj]]*Inventory[[#This Row],[Condition Adj]]*Inventory[[#This Row],[Living Area Adj]]*Inventory[[#This Row],[Decade Adj]]*0.95</f>
        <v>0.97082497942099955</v>
      </c>
      <c r="BN1919" s="25">
        <f>ROUND(SUM(Inventory[[#This Row],[Mdl Qlty]:[Mdl WdDeck]])+Inventory[[#This Row],[Mdl Res Intercept]]*Inventory[[#This Row],[Res Adj ]],-2)</f>
        <v>350900</v>
      </c>
      <c r="BO1919" s="25">
        <f>ROUND(Inventory[[#This Row],[25Det]]*Inventory[[#This Row],[Det/Nbhd Adj]],-2)</f>
        <v>3900</v>
      </c>
      <c r="BP1919" s="25">
        <f>Inventory[[#This Row],[Adjusted Res]]+Inventory[[#This Row],[Adj Det ]]</f>
        <v>354800</v>
      </c>
      <c r="BQ1919" s="25">
        <f>ROUND((Inventory[[#This Row],[Mdl Land Intercept]]+Inventory[[#This Row],[Mdl LnAcres]])*Inventory[[#This Row],[Det/Nbhd Adj]],-2)</f>
        <v>28300</v>
      </c>
      <c r="BR1919" s="25">
        <f>Inventory[[#This Row],[Adjusted Impr Total]]+Inventory[[#This Row],[Adjusted Land Total]]</f>
        <v>383100</v>
      </c>
      <c r="BS1919" s="36">
        <f>IFERROR((Inventory[[#This Row],[Adjusted Impr Total]]-Inventory[[#This Row],[24Bldg]])/Inventory[[#This Row],[24Bldg]],0)</f>
        <v>0.19783929777177583</v>
      </c>
      <c r="BT1919" s="36">
        <f>(Inventory[[#This Row],[Adjusted Land Total]]-Inventory[[#This Row],[24Lnd]])/Inventory[[#This Row],[24Lnd]]</f>
        <v>-0.41528925619834711</v>
      </c>
      <c r="BU1919" s="36">
        <f>(Inventory[[#This Row],[Adjusted Total]]-Inventory[[#This Row],[24Final]])/Inventory[[#This Row],[24Final]]</f>
        <v>0.11172373766686013</v>
      </c>
    </row>
    <row r="1920" spans="1:73" x14ac:dyDescent="0.3">
      <c r="A1920" s="25">
        <v>2025</v>
      </c>
      <c r="B1920" s="26" t="s">
        <v>2843</v>
      </c>
      <c r="C1920" s="26">
        <f>LN(Inventory[[#This Row],[Acres]])</f>
        <v>-1.8971199848858813</v>
      </c>
      <c r="D1920" s="25">
        <v>0.15</v>
      </c>
      <c r="E1920" s="25">
        <v>6382</v>
      </c>
      <c r="F1920" s="26" t="s">
        <v>537</v>
      </c>
      <c r="G1920" s="26" t="s">
        <v>126</v>
      </c>
      <c r="H1920" s="26" t="s">
        <v>349</v>
      </c>
      <c r="I1920" s="26" t="s">
        <v>538</v>
      </c>
      <c r="J1920" s="26" t="s">
        <v>539</v>
      </c>
      <c r="K1920" s="26" t="s">
        <v>269</v>
      </c>
      <c r="L1920" s="26" t="s">
        <v>351</v>
      </c>
      <c r="M1920" s="26" t="s">
        <v>206</v>
      </c>
      <c r="N1920" s="26">
        <v>100</v>
      </c>
      <c r="O1920" s="26">
        <f>2024-Inventory[[#This Row],[YrBlt]]</f>
        <v>98</v>
      </c>
      <c r="P1920" s="26">
        <f>2024-Inventory[[#This Row],[EffYr]]</f>
        <v>56</v>
      </c>
      <c r="Q1920" s="25">
        <v>1926</v>
      </c>
      <c r="R1920" s="25">
        <v>1968</v>
      </c>
      <c r="S1920" s="25">
        <v>1004</v>
      </c>
      <c r="T1920" s="27"/>
      <c r="U1920" s="32">
        <v>753</v>
      </c>
      <c r="V1920" s="32">
        <f>Inventory[[#This Row],[Bsmt]]-Inventory[[#This Row],[FnBsmt]]</f>
        <v>753</v>
      </c>
      <c r="W1920" s="27"/>
      <c r="X1920" s="27"/>
      <c r="Y1920" s="27">
        <f>Inventory[[#This Row],[MainFn]]+Inventory[[#This Row],[UpprFn]]+Inventory[[#This Row],[FnBsmt]]+Inventory[[#This Row],[AddFn]]</f>
        <v>1004</v>
      </c>
      <c r="Z1920" s="27">
        <v>1500</v>
      </c>
      <c r="AA1920" s="25">
        <v>5</v>
      </c>
      <c r="AB1920" s="27"/>
      <c r="AC1920" s="31"/>
      <c r="AD1920" s="32">
        <v>70</v>
      </c>
      <c r="AE1920" s="27"/>
      <c r="AF1920" s="27"/>
      <c r="AG1920" s="31"/>
      <c r="AH1920" s="27"/>
      <c r="AI1920" s="25">
        <v>208046</v>
      </c>
      <c r="AJ1920" s="25">
        <v>128989</v>
      </c>
      <c r="AK1920" s="25">
        <v>4598</v>
      </c>
      <c r="AL1920" s="25">
        <v>242000</v>
      </c>
      <c r="AM1920" s="25">
        <v>48400</v>
      </c>
      <c r="AN1920" s="25">
        <v>193600</v>
      </c>
      <c r="AO1920" s="25">
        <v>0</v>
      </c>
      <c r="AP1920" s="25">
        <f>Lookups!$B$56*0</f>
        <v>0</v>
      </c>
      <c r="AQ1920" s="25">
        <f>Lookups!$B$56*1</f>
        <v>89850.625589999996</v>
      </c>
      <c r="AR1920" s="25">
        <f>Lookups!$B$57*Inventory[[#This Row],[LnAcres]]</f>
        <v>-60052.604136134301</v>
      </c>
      <c r="AS1920" s="25">
        <f>VLOOKUP(Inventory[[#This Row],[Qlty]],Lookups!$A$62:$E$75,2,FALSE)</f>
        <v>21557.329055999999</v>
      </c>
      <c r="AT1920" s="25">
        <f>VLOOKUP(Inventory[[#This Row],[Cnd]],Lookups!$A$76:$E$84,2,FALSE)</f>
        <v>133714.53821</v>
      </c>
      <c r="AU1920" s="25">
        <f>Inventory[[#This Row],[EffAge]]*Lookups!$B$85</f>
        <v>-12490.553628</v>
      </c>
      <c r="AV1920" s="25">
        <f>Inventory[[#This Row],[MainFn]]*Lookups!$B$86</f>
        <v>49606.304556508003</v>
      </c>
      <c r="AW1920" s="25">
        <f>Inventory[[#This Row],[UpprFn]]*Lookups!$B$87</f>
        <v>0</v>
      </c>
      <c r="AX1920" s="25">
        <f>Inventory[[#This Row],[AddFn]]*Lookups!$B$88</f>
        <v>0</v>
      </c>
      <c r="AY1920" s="25">
        <f>Inventory[[#This Row],[Bsmt]]*Lookups!$B$89</f>
        <v>21898.667120990998</v>
      </c>
      <c r="AZ1920" s="25">
        <f>Inventory[[#This Row],[Fixtures]]*Lookups!$B$90</f>
        <v>18960.110526</v>
      </c>
      <c r="BA1920" s="25">
        <f>Inventory[[#This Row],[WdDeck]]*Lookups!$B$91</f>
        <v>2330.6860693200001</v>
      </c>
      <c r="BB1920" s="25">
        <f>ROUND(Inventory[[#This Row],[25Det]],-2)</f>
        <v>4600</v>
      </c>
      <c r="BC1920" s="25">
        <f>ROUND(SUM(Inventory[[#This Row],[Mdl Qlty]:[Mdl WdDeck]])+Inventory[[#This Row],[Mdl Res Intercept]],-2)</f>
        <v>235600</v>
      </c>
      <c r="BD1920" s="25">
        <f>ROUND(Inventory[[#This Row],[Mdl Land Intercept]]+Inventory[[#This Row],[Mdl LnAcres]],-2)</f>
        <v>29800</v>
      </c>
      <c r="BE1920" s="25">
        <f>Inventory[[#This Row],[Unadj Res Value]]+Inventory[[#This Row],[Unadj Det Value]]+Inventory[[#This Row],[Unadj Land Value]]</f>
        <v>270000</v>
      </c>
      <c r="BF1920" s="36">
        <f>(Inventory[[#This Row],[Unadj Total Value]]-Inventory[[#This Row],[24Final]])/Inventory[[#This Row],[24Final]]</f>
        <v>0.11570247933884298</v>
      </c>
      <c r="BG1920" s="25">
        <f>VLOOKUP(Inventory[[#This Row],[Nbhd]],Lookups!$Q$2:$T$4,4,FALSE)</f>
        <v>0.99970000000000003</v>
      </c>
      <c r="BH1920" s="25">
        <f>VLOOKUP(Inventory[[#This Row],[Qlty]],Lookups!$O$7:$R$21,4,FALSE)</f>
        <v>1.0067999999999999</v>
      </c>
      <c r="BI1920" s="25">
        <f>VLOOKUP(Inventory[[#This Row],[Cnd]],Lookups!$T$7:$W$16,4,FALSE)</f>
        <v>0.99329999999999996</v>
      </c>
      <c r="BJ1920" s="25">
        <f>VLOOKUP(Inventory[[#This Row],[LivArea Range]],Lookups!$T$25:$W$37,4,FALSE)</f>
        <v>1.0157</v>
      </c>
      <c r="BK1920" s="25">
        <f>VLOOKUP(Inventory[[#This Row],[Decade]],Lookups!$O$25:$R$42,4,FALSE)</f>
        <v>1.0074000000000001</v>
      </c>
      <c r="BL1920" s="25">
        <f>Inventory[[#This Row],[Nbhd Adj]]*0.95</f>
        <v>0.94971499999999998</v>
      </c>
      <c r="BM1920" s="25">
        <f>Inventory[[#This Row],[Nbhd Adj]]*Inventory[[#This Row],[Quality Adj]]*Inventory[[#This Row],[Condition Adj]]*Inventory[[#This Row],[Living Area Adj]]*Inventory[[#This Row],[Decade Adj]]*0.95</f>
        <v>0.971816657207489</v>
      </c>
      <c r="BN1920" s="25">
        <f>ROUND(SUM(Inventory[[#This Row],[Mdl Qlty]:[Mdl WdDeck]])+Inventory[[#This Row],[Mdl Res Intercept]]*Inventory[[#This Row],[Res Adj ]],-2)</f>
        <v>235600</v>
      </c>
      <c r="BO1920" s="25">
        <f>ROUND(Inventory[[#This Row],[25Det]]*Inventory[[#This Row],[Det/Nbhd Adj]],-2)</f>
        <v>4400</v>
      </c>
      <c r="BP1920" s="25">
        <f>Inventory[[#This Row],[Adjusted Res]]+Inventory[[#This Row],[Adj Det ]]</f>
        <v>240000</v>
      </c>
      <c r="BQ1920" s="25">
        <f>ROUND((Inventory[[#This Row],[Mdl Land Intercept]]+Inventory[[#This Row],[Mdl LnAcres]])*Inventory[[#This Row],[Det/Nbhd Adj]],-2)</f>
        <v>28300</v>
      </c>
      <c r="BR1920" s="25">
        <f>Inventory[[#This Row],[Adjusted Impr Total]]+Inventory[[#This Row],[Adjusted Land Total]]</f>
        <v>268300</v>
      </c>
      <c r="BS1920" s="36">
        <f>IFERROR((Inventory[[#This Row],[Adjusted Impr Total]]-Inventory[[#This Row],[24Bldg]])/Inventory[[#This Row],[24Bldg]],0)</f>
        <v>0.23966942148760331</v>
      </c>
      <c r="BT1920" s="36">
        <f>(Inventory[[#This Row],[Adjusted Land Total]]-Inventory[[#This Row],[24Lnd]])/Inventory[[#This Row],[24Lnd]]</f>
        <v>-0.41528925619834711</v>
      </c>
      <c r="BU1920" s="36">
        <f>(Inventory[[#This Row],[Adjusted Total]]-Inventory[[#This Row],[24Final]])/Inventory[[#This Row],[24Final]]</f>
        <v>0.10867768595041322</v>
      </c>
    </row>
    <row r="1921" spans="1:73" x14ac:dyDescent="0.3">
      <c r="A1921" s="25">
        <v>2025</v>
      </c>
      <c r="B1921" s="26" t="s">
        <v>1209</v>
      </c>
      <c r="C1921" s="26">
        <f>LN(Inventory[[#This Row],[Acres]])</f>
        <v>-1.5141277326297755</v>
      </c>
      <c r="D1921" s="25">
        <v>0.22</v>
      </c>
      <c r="E1921" s="31"/>
      <c r="F1921" s="26" t="s">
        <v>537</v>
      </c>
      <c r="G1921" s="26" t="s">
        <v>126</v>
      </c>
      <c r="H1921" s="26" t="s">
        <v>349</v>
      </c>
      <c r="I1921" s="26" t="s">
        <v>538</v>
      </c>
      <c r="J1921" s="26" t="s">
        <v>539</v>
      </c>
      <c r="K1921" s="26" t="s">
        <v>301</v>
      </c>
      <c r="L1921" s="26" t="s">
        <v>148</v>
      </c>
      <c r="M1921" s="26" t="s">
        <v>303</v>
      </c>
      <c r="N1921" s="26">
        <v>100</v>
      </c>
      <c r="O1921" s="26">
        <f>2024-Inventory[[#This Row],[YrBlt]]</f>
        <v>98</v>
      </c>
      <c r="P1921" s="26">
        <f>2024-Inventory[[#This Row],[EffYr]]</f>
        <v>56</v>
      </c>
      <c r="Q1921" s="25">
        <v>1926</v>
      </c>
      <c r="R1921" s="25">
        <v>1968</v>
      </c>
      <c r="S1921" s="25">
        <v>1407</v>
      </c>
      <c r="T1921" s="32">
        <v>780</v>
      </c>
      <c r="U1921" s="25">
        <v>600</v>
      </c>
      <c r="V1921" s="25">
        <f>Inventory[[#This Row],[Bsmt]]-Inventory[[#This Row],[FnBsmt]]</f>
        <v>600</v>
      </c>
      <c r="W1921" s="31"/>
      <c r="X1921" s="27"/>
      <c r="Y1921" s="27">
        <f>Inventory[[#This Row],[MainFn]]+Inventory[[#This Row],[UpprFn]]+Inventory[[#This Row],[FnBsmt]]+Inventory[[#This Row],[AddFn]]</f>
        <v>2187</v>
      </c>
      <c r="Z1921" s="27">
        <v>2500</v>
      </c>
      <c r="AA1921" s="25">
        <v>11</v>
      </c>
      <c r="AB1921" s="27"/>
      <c r="AC1921" s="27"/>
      <c r="AD1921" s="25">
        <v>255</v>
      </c>
      <c r="AE1921" s="27"/>
      <c r="AF1921" s="27"/>
      <c r="AG1921" s="31"/>
      <c r="AH1921" s="27"/>
      <c r="AI1921" s="25">
        <v>494932</v>
      </c>
      <c r="AJ1921" s="25">
        <v>326655</v>
      </c>
      <c r="AK1921" s="25">
        <v>10659</v>
      </c>
      <c r="AL1921" s="25">
        <v>409000</v>
      </c>
      <c r="AM1921" s="25">
        <v>61700</v>
      </c>
      <c r="AN1921" s="25">
        <v>347300</v>
      </c>
      <c r="AO1921" s="25">
        <v>0</v>
      </c>
      <c r="AP1921" s="25">
        <f>Lookups!$B$56*0</f>
        <v>0</v>
      </c>
      <c r="AQ1921" s="25">
        <f>Lookups!$B$56*1</f>
        <v>89850.625589999996</v>
      </c>
      <c r="AR1921" s="25">
        <f>Lookups!$B$57*Inventory[[#This Row],[LnAcres]]</f>
        <v>-47929.131559187132</v>
      </c>
      <c r="AS1921" s="25">
        <f>VLOOKUP(Inventory[[#This Row],[Qlty]],Lookups!$A$62:$E$75,2,FALSE)</f>
        <v>44121.038090000002</v>
      </c>
      <c r="AT1921" s="25">
        <f>VLOOKUP(Inventory[[#This Row],[Cnd]],Lookups!$A$76:$E$84,2,FALSE)</f>
        <v>197752.34721000001</v>
      </c>
      <c r="AU1921" s="25">
        <f>Inventory[[#This Row],[EffAge]]*Lookups!$B$85</f>
        <v>-12490.553628</v>
      </c>
      <c r="AV1921" s="25">
        <f>Inventory[[#This Row],[MainFn]]*Lookups!$B$86</f>
        <v>69517.998516938998</v>
      </c>
      <c r="AW1921" s="25">
        <f>Inventory[[#This Row],[UpprFn]]*Lookups!$B$87</f>
        <v>34933.40983158</v>
      </c>
      <c r="AX1921" s="25">
        <f>Inventory[[#This Row],[AddFn]]*Lookups!$B$88</f>
        <v>0</v>
      </c>
      <c r="AY1921" s="25">
        <f>Inventory[[#This Row],[Bsmt]]*Lookups!$B$89</f>
        <v>17449.1371482</v>
      </c>
      <c r="AZ1921" s="25">
        <f>Inventory[[#This Row],[Fixtures]]*Lookups!$B$90</f>
        <v>41712.243157199999</v>
      </c>
      <c r="BA1921" s="25">
        <f>Inventory[[#This Row],[WdDeck]]*Lookups!$B$91</f>
        <v>8490.3563953800003</v>
      </c>
      <c r="BB1921" s="25">
        <f>ROUND(Inventory[[#This Row],[25Det]],-2)</f>
        <v>10700</v>
      </c>
      <c r="BC1921" s="25">
        <f>ROUND(SUM(Inventory[[#This Row],[Mdl Qlty]:[Mdl WdDeck]])+Inventory[[#This Row],[Mdl Res Intercept]],-2)</f>
        <v>401500</v>
      </c>
      <c r="BD1921" s="25">
        <f>ROUND(Inventory[[#This Row],[Mdl Land Intercept]]+Inventory[[#This Row],[Mdl LnAcres]],-2)</f>
        <v>41900</v>
      </c>
      <c r="BE1921" s="25">
        <f>Inventory[[#This Row],[Unadj Res Value]]+Inventory[[#This Row],[Unadj Det Value]]+Inventory[[#This Row],[Unadj Land Value]]</f>
        <v>454100</v>
      </c>
      <c r="BF1921" s="36">
        <f>(Inventory[[#This Row],[Unadj Total Value]]-Inventory[[#This Row],[24Final]])/Inventory[[#This Row],[24Final]]</f>
        <v>0.11026894865525673</v>
      </c>
      <c r="BG1921" s="25">
        <f>VLOOKUP(Inventory[[#This Row],[Nbhd]],Lookups!$Q$2:$T$4,4,FALSE)</f>
        <v>0.99970000000000003</v>
      </c>
      <c r="BH1921" s="25">
        <f>VLOOKUP(Inventory[[#This Row],[Qlty]],Lookups!$O$7:$R$21,4,FALSE)</f>
        <v>0.98050000000000004</v>
      </c>
      <c r="BI1921" s="25">
        <f>VLOOKUP(Inventory[[#This Row],[Cnd]],Lookups!$T$7:$W$16,4,FALSE)</f>
        <v>0.99650000000000005</v>
      </c>
      <c r="BJ1921" s="25">
        <f>VLOOKUP(Inventory[[#This Row],[LivArea Range]],Lookups!$T$25:$W$37,4,FALSE)</f>
        <v>0.98919999999999997</v>
      </c>
      <c r="BK1921" s="25">
        <f>VLOOKUP(Inventory[[#This Row],[Decade]],Lookups!$O$25:$R$42,4,FALSE)</f>
        <v>1.0074000000000001</v>
      </c>
      <c r="BL1921" s="25">
        <f>Inventory[[#This Row],[Nbhd Adj]]*0.95</f>
        <v>0.94971499999999998</v>
      </c>
      <c r="BM1921" s="25">
        <f>Inventory[[#This Row],[Nbhd Adj]]*Inventory[[#This Row],[Quality Adj]]*Inventory[[#This Row],[Condition Adj]]*Inventory[[#This Row],[Living Area Adj]]*Inventory[[#This Row],[Decade Adj]]*0.95</f>
        <v>0.9247072287054503</v>
      </c>
      <c r="BN1921" s="25">
        <f>ROUND(SUM(Inventory[[#This Row],[Mdl Qlty]:[Mdl WdDeck]])+Inventory[[#This Row],[Mdl Res Intercept]]*Inventory[[#This Row],[Res Adj ]],-2)</f>
        <v>401500</v>
      </c>
      <c r="BO1921" s="25">
        <f>ROUND(Inventory[[#This Row],[25Det]]*Inventory[[#This Row],[Det/Nbhd Adj]],-2)</f>
        <v>10100</v>
      </c>
      <c r="BP1921" s="25">
        <f>Inventory[[#This Row],[Adjusted Res]]+Inventory[[#This Row],[Adj Det ]]</f>
        <v>411600</v>
      </c>
      <c r="BQ1921" s="25">
        <f>ROUND((Inventory[[#This Row],[Mdl Land Intercept]]+Inventory[[#This Row],[Mdl LnAcres]])*Inventory[[#This Row],[Det/Nbhd Adj]],-2)</f>
        <v>39800</v>
      </c>
      <c r="BR1921" s="25">
        <f>Inventory[[#This Row],[Adjusted Impr Total]]+Inventory[[#This Row],[Adjusted Land Total]]</f>
        <v>451400</v>
      </c>
      <c r="BS1921" s="36">
        <f>IFERROR((Inventory[[#This Row],[Adjusted Impr Total]]-Inventory[[#This Row],[24Bldg]])/Inventory[[#This Row],[24Bldg]],0)</f>
        <v>0.18514252807371148</v>
      </c>
      <c r="BT1921" s="36">
        <f>(Inventory[[#This Row],[Adjusted Land Total]]-Inventory[[#This Row],[24Lnd]])/Inventory[[#This Row],[24Lnd]]</f>
        <v>-0.35494327390599678</v>
      </c>
      <c r="BU1921" s="36">
        <f>(Inventory[[#This Row],[Adjusted Total]]-Inventory[[#This Row],[24Final]])/Inventory[[#This Row],[24Final]]</f>
        <v>0.10366748166259168</v>
      </c>
    </row>
    <row r="1922" spans="1:73" x14ac:dyDescent="0.3">
      <c r="A1922" s="25">
        <v>2025</v>
      </c>
      <c r="B1922" s="26" t="s">
        <v>2846</v>
      </c>
      <c r="C1922" s="26">
        <f>LN(Inventory[[#This Row],[Acres]])</f>
        <v>-1.8971199848858813</v>
      </c>
      <c r="D1922" s="25">
        <v>0.15</v>
      </c>
      <c r="E1922" s="25">
        <v>6638</v>
      </c>
      <c r="F1922" s="26" t="s">
        <v>537</v>
      </c>
      <c r="G1922" s="26" t="s">
        <v>126</v>
      </c>
      <c r="H1922" s="26" t="s">
        <v>349</v>
      </c>
      <c r="I1922" s="26" t="s">
        <v>538</v>
      </c>
      <c r="J1922" s="26" t="s">
        <v>539</v>
      </c>
      <c r="K1922" s="26" t="s">
        <v>269</v>
      </c>
      <c r="L1922" s="26" t="s">
        <v>351</v>
      </c>
      <c r="M1922" s="26" t="s">
        <v>303</v>
      </c>
      <c r="N1922" s="26">
        <v>100</v>
      </c>
      <c r="O1922" s="26">
        <f>2024-Inventory[[#This Row],[YrBlt]]</f>
        <v>98</v>
      </c>
      <c r="P1922" s="26">
        <f>2024-Inventory[[#This Row],[EffYr]]</f>
        <v>56</v>
      </c>
      <c r="Q1922" s="25">
        <v>1926</v>
      </c>
      <c r="R1922" s="25">
        <v>1968</v>
      </c>
      <c r="S1922" s="25">
        <v>1196</v>
      </c>
      <c r="T1922" s="27"/>
      <c r="U1922" s="25">
        <v>1196</v>
      </c>
      <c r="V1922" s="25">
        <f>Inventory[[#This Row],[Bsmt]]-Inventory[[#This Row],[FnBsmt]]</f>
        <v>0</v>
      </c>
      <c r="W1922" s="25">
        <v>1196</v>
      </c>
      <c r="X1922" s="27"/>
      <c r="Y1922" s="27">
        <f>Inventory[[#This Row],[MainFn]]+Inventory[[#This Row],[UpprFn]]+Inventory[[#This Row],[FnBsmt]]+Inventory[[#This Row],[AddFn]]</f>
        <v>2392</v>
      </c>
      <c r="Z1922" s="27">
        <v>2500</v>
      </c>
      <c r="AA1922" s="25">
        <v>5</v>
      </c>
      <c r="AB1922" s="27"/>
      <c r="AC1922" s="27"/>
      <c r="AD1922" s="27"/>
      <c r="AE1922" s="27"/>
      <c r="AF1922" s="27"/>
      <c r="AG1922" s="31"/>
      <c r="AH1922" s="27"/>
      <c r="AI1922" s="25">
        <v>294475</v>
      </c>
      <c r="AJ1922" s="25">
        <v>194354</v>
      </c>
      <c r="AK1922" s="25">
        <v>6227</v>
      </c>
      <c r="AL1922" s="25">
        <v>339800</v>
      </c>
      <c r="AM1922" s="25">
        <v>48400</v>
      </c>
      <c r="AN1922" s="25">
        <v>291400</v>
      </c>
      <c r="AO1922" s="25">
        <v>0</v>
      </c>
      <c r="AP1922" s="25">
        <f>Lookups!$B$56*0</f>
        <v>0</v>
      </c>
      <c r="AQ1922" s="25">
        <f>Lookups!$B$56*1</f>
        <v>89850.625589999996</v>
      </c>
      <c r="AR1922" s="25">
        <f>Lookups!$B$57*Inventory[[#This Row],[LnAcres]]</f>
        <v>-60052.604136134301</v>
      </c>
      <c r="AS1922" s="25">
        <f>VLOOKUP(Inventory[[#This Row],[Qlty]],Lookups!$A$62:$E$75,2,FALSE)</f>
        <v>21557.329055999999</v>
      </c>
      <c r="AT1922" s="25">
        <f>VLOOKUP(Inventory[[#This Row],[Cnd]],Lookups!$A$76:$E$84,2,FALSE)</f>
        <v>197752.34721000001</v>
      </c>
      <c r="AU1922" s="25">
        <f>Inventory[[#This Row],[EffAge]]*Lookups!$B$85</f>
        <v>-12490.553628</v>
      </c>
      <c r="AV1922" s="25">
        <f>Inventory[[#This Row],[MainFn]]*Lookups!$B$86</f>
        <v>59092.769172892004</v>
      </c>
      <c r="AW1922" s="25">
        <f>Inventory[[#This Row],[UpprFn]]*Lookups!$B$87</f>
        <v>0</v>
      </c>
      <c r="AX1922" s="25">
        <f>Inventory[[#This Row],[AddFn]]*Lookups!$B$88</f>
        <v>0</v>
      </c>
      <c r="AY1922" s="25">
        <f>Inventory[[#This Row],[Bsmt]]*Lookups!$B$89</f>
        <v>34781.946715411999</v>
      </c>
      <c r="AZ1922" s="25">
        <f>Inventory[[#This Row],[Fixtures]]*Lookups!$B$90</f>
        <v>18960.110526</v>
      </c>
      <c r="BA1922" s="25">
        <f>Inventory[[#This Row],[WdDeck]]*Lookups!$B$91</f>
        <v>0</v>
      </c>
      <c r="BB1922" s="25">
        <f>ROUND(Inventory[[#This Row],[25Det]],-2)</f>
        <v>6200</v>
      </c>
      <c r="BC1922" s="25">
        <f>ROUND(SUM(Inventory[[#This Row],[Mdl Qlty]:[Mdl WdDeck]])+Inventory[[#This Row],[Mdl Res Intercept]],-2)</f>
        <v>319700</v>
      </c>
      <c r="BD1922" s="25">
        <f>ROUND(Inventory[[#This Row],[Mdl Land Intercept]]+Inventory[[#This Row],[Mdl LnAcres]],-2)</f>
        <v>29800</v>
      </c>
      <c r="BE1922" s="25">
        <f>Inventory[[#This Row],[Unadj Res Value]]+Inventory[[#This Row],[Unadj Det Value]]+Inventory[[#This Row],[Unadj Land Value]]</f>
        <v>355700</v>
      </c>
      <c r="BF1922" s="36">
        <f>(Inventory[[#This Row],[Unadj Total Value]]-Inventory[[#This Row],[24Final]])/Inventory[[#This Row],[24Final]]</f>
        <v>4.6792230723955268E-2</v>
      </c>
      <c r="BG1922" s="25">
        <f>VLOOKUP(Inventory[[#This Row],[Nbhd]],Lookups!$Q$2:$T$4,4,FALSE)</f>
        <v>0.99970000000000003</v>
      </c>
      <c r="BH1922" s="25">
        <f>VLOOKUP(Inventory[[#This Row],[Qlty]],Lookups!$O$7:$R$21,4,FALSE)</f>
        <v>1.0067999999999999</v>
      </c>
      <c r="BI1922" s="25">
        <f>VLOOKUP(Inventory[[#This Row],[Cnd]],Lookups!$T$7:$W$16,4,FALSE)</f>
        <v>0.99650000000000005</v>
      </c>
      <c r="BJ1922" s="25">
        <f>VLOOKUP(Inventory[[#This Row],[LivArea Range]],Lookups!$T$25:$W$37,4,FALSE)</f>
        <v>0.98919999999999997</v>
      </c>
      <c r="BK1922" s="25">
        <f>VLOOKUP(Inventory[[#This Row],[Decade]],Lookups!$O$25:$R$42,4,FALSE)</f>
        <v>1.0074000000000001</v>
      </c>
      <c r="BL1922" s="25">
        <f>Inventory[[#This Row],[Nbhd Adj]]*0.95</f>
        <v>0.94971499999999998</v>
      </c>
      <c r="BM1922" s="25">
        <f>Inventory[[#This Row],[Nbhd Adj]]*Inventory[[#This Row],[Quality Adj]]*Inventory[[#This Row],[Condition Adj]]*Inventory[[#This Row],[Living Area Adj]]*Inventory[[#This Row],[Decade Adj]]*0.95</f>
        <v>0.94951069644125163</v>
      </c>
      <c r="BN1922" s="25">
        <f>ROUND(SUM(Inventory[[#This Row],[Mdl Qlty]:[Mdl WdDeck]])+Inventory[[#This Row],[Mdl Res Intercept]]*Inventory[[#This Row],[Res Adj ]],-2)</f>
        <v>319700</v>
      </c>
      <c r="BO1922" s="25">
        <f>ROUND(Inventory[[#This Row],[25Det]]*Inventory[[#This Row],[Det/Nbhd Adj]],-2)</f>
        <v>5900</v>
      </c>
      <c r="BP1922" s="25">
        <f>Inventory[[#This Row],[Adjusted Res]]+Inventory[[#This Row],[Adj Det ]]</f>
        <v>325600</v>
      </c>
      <c r="BQ1922" s="25">
        <f>ROUND((Inventory[[#This Row],[Mdl Land Intercept]]+Inventory[[#This Row],[Mdl LnAcres]])*Inventory[[#This Row],[Det/Nbhd Adj]],-2)</f>
        <v>28300</v>
      </c>
      <c r="BR1922" s="25">
        <f>Inventory[[#This Row],[Adjusted Impr Total]]+Inventory[[#This Row],[Adjusted Land Total]]</f>
        <v>353900</v>
      </c>
      <c r="BS1922" s="36">
        <f>IFERROR((Inventory[[#This Row],[Adjusted Impr Total]]-Inventory[[#This Row],[24Bldg]])/Inventory[[#This Row],[24Bldg]],0)</f>
        <v>0.11736444749485243</v>
      </c>
      <c r="BT1922" s="36">
        <f>(Inventory[[#This Row],[Adjusted Land Total]]-Inventory[[#This Row],[24Lnd]])/Inventory[[#This Row],[24Lnd]]</f>
        <v>-0.41528925619834711</v>
      </c>
      <c r="BU1922" s="36">
        <f>(Inventory[[#This Row],[Adjusted Total]]-Inventory[[#This Row],[24Final]])/Inventory[[#This Row],[24Final]]</f>
        <v>4.1494997057092406E-2</v>
      </c>
    </row>
    <row r="1923" spans="1:73" x14ac:dyDescent="0.3">
      <c r="A1923" s="25">
        <v>2025</v>
      </c>
      <c r="B1923" s="26" t="s">
        <v>2229</v>
      </c>
      <c r="C1923" s="26">
        <f>LN(Inventory[[#This Row],[Acres]])</f>
        <v>-1.6094379124341003</v>
      </c>
      <c r="D1923" s="25">
        <v>0.2</v>
      </c>
      <c r="E1923" s="25">
        <v>8552</v>
      </c>
      <c r="F1923" s="26" t="s">
        <v>537</v>
      </c>
      <c r="G1923" s="26" t="s">
        <v>126</v>
      </c>
      <c r="H1923" s="26" t="s">
        <v>349</v>
      </c>
      <c r="I1923" s="26" t="s">
        <v>538</v>
      </c>
      <c r="J1923" s="26" t="s">
        <v>539</v>
      </c>
      <c r="K1923" s="26" t="s">
        <v>269</v>
      </c>
      <c r="L1923" s="26" t="s">
        <v>351</v>
      </c>
      <c r="M1923" s="26" t="s">
        <v>323</v>
      </c>
      <c r="N1923" s="26">
        <v>100</v>
      </c>
      <c r="O1923" s="26">
        <f>2024-Inventory[[#This Row],[YrBlt]]</f>
        <v>98</v>
      </c>
      <c r="P1923" s="26">
        <f>2024-Inventory[[#This Row],[EffYr]]</f>
        <v>56</v>
      </c>
      <c r="Q1923" s="25">
        <v>1926</v>
      </c>
      <c r="R1923" s="25">
        <v>1968</v>
      </c>
      <c r="S1923" s="25">
        <v>1232</v>
      </c>
      <c r="T1923" s="27"/>
      <c r="U1923" s="25">
        <v>784</v>
      </c>
      <c r="V1923" s="25">
        <f>Inventory[[#This Row],[Bsmt]]-Inventory[[#This Row],[FnBsmt]]</f>
        <v>0</v>
      </c>
      <c r="W1923" s="25">
        <v>784</v>
      </c>
      <c r="X1923" s="27"/>
      <c r="Y1923" s="27">
        <f>Inventory[[#This Row],[MainFn]]+Inventory[[#This Row],[UpprFn]]+Inventory[[#This Row],[FnBsmt]]+Inventory[[#This Row],[AddFn]]</f>
        <v>2016</v>
      </c>
      <c r="Z1923" s="27">
        <v>2500</v>
      </c>
      <c r="AA1923" s="25">
        <v>6</v>
      </c>
      <c r="AB1923" s="27"/>
      <c r="AC1923" s="27"/>
      <c r="AD1923" s="32">
        <v>144</v>
      </c>
      <c r="AE1923" s="27"/>
      <c r="AF1923" s="27"/>
      <c r="AG1923" s="31"/>
      <c r="AH1923" s="27"/>
      <c r="AI1923" s="25">
        <v>280976</v>
      </c>
      <c r="AJ1923" s="25">
        <v>179825</v>
      </c>
      <c r="AK1923" s="25">
        <v>8098</v>
      </c>
      <c r="AL1923" s="25">
        <v>316700</v>
      </c>
      <c r="AM1923" s="25">
        <v>58400</v>
      </c>
      <c r="AN1923" s="25">
        <v>258300</v>
      </c>
      <c r="AO1923" s="25">
        <v>0</v>
      </c>
      <c r="AP1923" s="25">
        <f>Lookups!$B$56*0</f>
        <v>0</v>
      </c>
      <c r="AQ1923" s="25">
        <f>Lookups!$B$56*1</f>
        <v>89850.625589999996</v>
      </c>
      <c r="AR1923" s="25">
        <f>Lookups!$B$57*Inventory[[#This Row],[LnAcres]]</f>
        <v>-50946.13867709865</v>
      </c>
      <c r="AS1923" s="25">
        <f>VLOOKUP(Inventory[[#This Row],[Qlty]],Lookups!$A$62:$E$75,2,FALSE)</f>
        <v>21557.329055999999</v>
      </c>
      <c r="AT1923" s="25">
        <f>VLOOKUP(Inventory[[#This Row],[Cnd]],Lookups!$A$76:$E$84,2,FALSE)</f>
        <v>160472.20319</v>
      </c>
      <c r="AU1923" s="25">
        <f>Inventory[[#This Row],[EffAge]]*Lookups!$B$85</f>
        <v>-12490.553628</v>
      </c>
      <c r="AV1923" s="25">
        <f>Inventory[[#This Row],[MainFn]]*Lookups!$B$86</f>
        <v>60871.481288464005</v>
      </c>
      <c r="AW1923" s="25">
        <f>Inventory[[#This Row],[UpprFn]]*Lookups!$B$87</f>
        <v>0</v>
      </c>
      <c r="AX1923" s="25">
        <f>Inventory[[#This Row],[AddFn]]*Lookups!$B$88</f>
        <v>0</v>
      </c>
      <c r="AY1923" s="25">
        <f>Inventory[[#This Row],[Bsmt]]*Lookups!$B$89</f>
        <v>22800.205873647999</v>
      </c>
      <c r="AZ1923" s="25">
        <f>Inventory[[#This Row],[Fixtures]]*Lookups!$B$90</f>
        <v>22752.132631200002</v>
      </c>
      <c r="BA1923" s="25">
        <f>Inventory[[#This Row],[WdDeck]]*Lookups!$B$91</f>
        <v>4794.5541997440005</v>
      </c>
      <c r="BB1923" s="25">
        <f>ROUND(Inventory[[#This Row],[25Det]],-2)</f>
        <v>8100</v>
      </c>
      <c r="BC1923" s="25">
        <f>ROUND(SUM(Inventory[[#This Row],[Mdl Qlty]:[Mdl WdDeck]])+Inventory[[#This Row],[Mdl Res Intercept]],-2)</f>
        <v>280800</v>
      </c>
      <c r="BD1923" s="25">
        <f>ROUND(Inventory[[#This Row],[Mdl Land Intercept]]+Inventory[[#This Row],[Mdl LnAcres]],-2)</f>
        <v>38900</v>
      </c>
      <c r="BE1923" s="25">
        <f>Inventory[[#This Row],[Unadj Res Value]]+Inventory[[#This Row],[Unadj Det Value]]+Inventory[[#This Row],[Unadj Land Value]]</f>
        <v>327800</v>
      </c>
      <c r="BF1923" s="36">
        <f>(Inventory[[#This Row],[Unadj Total Value]]-Inventory[[#This Row],[24Final]])/Inventory[[#This Row],[24Final]]</f>
        <v>3.5048942216608779E-2</v>
      </c>
      <c r="BG1923" s="25">
        <f>VLOOKUP(Inventory[[#This Row],[Nbhd]],Lookups!$Q$2:$T$4,4,FALSE)</f>
        <v>0.99970000000000003</v>
      </c>
      <c r="BH1923" s="25">
        <f>VLOOKUP(Inventory[[#This Row],[Qlty]],Lookups!$O$7:$R$21,4,FALSE)</f>
        <v>1.0067999999999999</v>
      </c>
      <c r="BI1923" s="25">
        <f>VLOOKUP(Inventory[[#This Row],[Cnd]],Lookups!$T$7:$W$16,4,FALSE)</f>
        <v>0.99729999999999996</v>
      </c>
      <c r="BJ1923" s="25">
        <f>VLOOKUP(Inventory[[#This Row],[LivArea Range]],Lookups!$T$25:$W$37,4,FALSE)</f>
        <v>0.98919999999999997</v>
      </c>
      <c r="BK1923" s="25">
        <f>VLOOKUP(Inventory[[#This Row],[Decade]],Lookups!$O$25:$R$42,4,FALSE)</f>
        <v>1.0074000000000001</v>
      </c>
      <c r="BL1923" s="25">
        <f>Inventory[[#This Row],[Nbhd Adj]]*0.95</f>
        <v>0.94971499999999998</v>
      </c>
      <c r="BM1923" s="25">
        <f>Inventory[[#This Row],[Nbhd Adj]]*Inventory[[#This Row],[Quality Adj]]*Inventory[[#This Row],[Condition Adj]]*Inventory[[#This Row],[Living Area Adj]]*Inventory[[#This Row],[Decade Adj]]*0.95</f>
        <v>0.95027297296624202</v>
      </c>
      <c r="BN1923" s="25">
        <f>ROUND(SUM(Inventory[[#This Row],[Mdl Qlty]:[Mdl WdDeck]])+Inventory[[#This Row],[Mdl Res Intercept]]*Inventory[[#This Row],[Res Adj ]],-2)</f>
        <v>280800</v>
      </c>
      <c r="BO1923" s="25">
        <f>ROUND(Inventory[[#This Row],[25Det]]*Inventory[[#This Row],[Det/Nbhd Adj]],-2)</f>
        <v>7700</v>
      </c>
      <c r="BP1923" s="25">
        <f>Inventory[[#This Row],[Adjusted Res]]+Inventory[[#This Row],[Adj Det ]]</f>
        <v>288500</v>
      </c>
      <c r="BQ1923" s="25">
        <f>ROUND((Inventory[[#This Row],[Mdl Land Intercept]]+Inventory[[#This Row],[Mdl LnAcres]])*Inventory[[#This Row],[Det/Nbhd Adj]],-2)</f>
        <v>36900</v>
      </c>
      <c r="BR1923" s="25">
        <f>Inventory[[#This Row],[Adjusted Impr Total]]+Inventory[[#This Row],[Adjusted Land Total]]</f>
        <v>325400</v>
      </c>
      <c r="BS1923" s="36">
        <f>IFERROR((Inventory[[#This Row],[Adjusted Impr Total]]-Inventory[[#This Row],[24Bldg]])/Inventory[[#This Row],[24Bldg]],0)</f>
        <v>0.11691831204026326</v>
      </c>
      <c r="BT1923" s="36">
        <f>(Inventory[[#This Row],[Adjusted Land Total]]-Inventory[[#This Row],[24Lnd]])/Inventory[[#This Row],[24Lnd]]</f>
        <v>-0.36815068493150682</v>
      </c>
      <c r="BU1923" s="36">
        <f>(Inventory[[#This Row],[Adjusted Total]]-Inventory[[#This Row],[24Final]])/Inventory[[#This Row],[24Final]]</f>
        <v>2.7470792548152826E-2</v>
      </c>
    </row>
    <row r="1924" spans="1:73" x14ac:dyDescent="0.3">
      <c r="A1924" s="25">
        <v>2025</v>
      </c>
      <c r="B1924" s="26" t="s">
        <v>1031</v>
      </c>
      <c r="C1924" s="26">
        <f>LN(Inventory[[#This Row],[Acres]])</f>
        <v>-1.4271163556401458</v>
      </c>
      <c r="D1924" s="25">
        <v>0.24</v>
      </c>
      <c r="E1924" s="25">
        <v>10650</v>
      </c>
      <c r="F1924" s="26" t="s">
        <v>537</v>
      </c>
      <c r="G1924" s="26" t="s">
        <v>126</v>
      </c>
      <c r="H1924" s="26" t="s">
        <v>349</v>
      </c>
      <c r="I1924" s="26" t="s">
        <v>538</v>
      </c>
      <c r="J1924" s="26" t="s">
        <v>539</v>
      </c>
      <c r="K1924" s="26" t="s">
        <v>448</v>
      </c>
      <c r="L1924" s="26" t="s">
        <v>64</v>
      </c>
      <c r="M1924" s="26" t="s">
        <v>303</v>
      </c>
      <c r="N1924" s="26">
        <v>100</v>
      </c>
      <c r="O1924" s="26">
        <f>2024-Inventory[[#This Row],[YrBlt]]</f>
        <v>98</v>
      </c>
      <c r="P1924" s="26">
        <f>2024-Inventory[[#This Row],[EffYr]]</f>
        <v>56</v>
      </c>
      <c r="Q1924" s="25">
        <v>1926</v>
      </c>
      <c r="R1924" s="25">
        <v>1968</v>
      </c>
      <c r="S1924" s="25">
        <v>1289</v>
      </c>
      <c r="T1924" s="32">
        <v>852</v>
      </c>
      <c r="U1924" s="25">
        <v>1289</v>
      </c>
      <c r="V1924" s="25">
        <f>Inventory[[#This Row],[Bsmt]]-Inventory[[#This Row],[FnBsmt]]</f>
        <v>0</v>
      </c>
      <c r="W1924" s="25">
        <v>1289</v>
      </c>
      <c r="X1924" s="27"/>
      <c r="Y1924" s="27">
        <f>Inventory[[#This Row],[MainFn]]+Inventory[[#This Row],[UpprFn]]+Inventory[[#This Row],[FnBsmt]]+Inventory[[#This Row],[AddFn]]</f>
        <v>3430</v>
      </c>
      <c r="Z1924" s="27">
        <v>3500</v>
      </c>
      <c r="AA1924" s="25">
        <v>13</v>
      </c>
      <c r="AB1924" s="27"/>
      <c r="AC1924" s="27"/>
      <c r="AD1924" s="32">
        <v>300</v>
      </c>
      <c r="AE1924" s="27"/>
      <c r="AF1924" s="27"/>
      <c r="AG1924" s="31"/>
      <c r="AH1924" s="27"/>
      <c r="AI1924" s="25">
        <v>695457</v>
      </c>
      <c r="AJ1924" s="25">
        <v>465956</v>
      </c>
      <c r="AK1924" s="25">
        <v>14022</v>
      </c>
      <c r="AL1924" s="25">
        <v>600800</v>
      </c>
      <c r="AM1924" s="25">
        <v>64800</v>
      </c>
      <c r="AN1924" s="25">
        <v>536000</v>
      </c>
      <c r="AO1924" s="25">
        <v>0</v>
      </c>
      <c r="AP1924" s="25">
        <f>Lookups!$B$56*0</f>
        <v>0</v>
      </c>
      <c r="AQ1924" s="25">
        <f>Lookups!$B$56*1</f>
        <v>89850.625589999996</v>
      </c>
      <c r="AR1924" s="25">
        <f>Lookups!$B$57*Inventory[[#This Row],[LnAcres]]</f>
        <v>-45174.819855485119</v>
      </c>
      <c r="AS1924" s="25">
        <f>VLOOKUP(Inventory[[#This Row],[Qlty]],Lookups!$A$62:$E$75,2,FALSE)</f>
        <v>163885.03753</v>
      </c>
      <c r="AT1924" s="25">
        <f>VLOOKUP(Inventory[[#This Row],[Cnd]],Lookups!$A$76:$E$84,2,FALSE)</f>
        <v>197752.34721000001</v>
      </c>
      <c r="AU1924" s="25">
        <f>Inventory[[#This Row],[EffAge]]*Lookups!$B$85</f>
        <v>-12490.553628</v>
      </c>
      <c r="AV1924" s="25">
        <f>Inventory[[#This Row],[MainFn]]*Lookups!$B$86</f>
        <v>63687.775471453002</v>
      </c>
      <c r="AW1924" s="25">
        <f>Inventory[[#This Row],[UpprFn]]*Lookups!$B$87</f>
        <v>38158.032277571998</v>
      </c>
      <c r="AX1924" s="25">
        <f>Inventory[[#This Row],[AddFn]]*Lookups!$B$88</f>
        <v>0</v>
      </c>
      <c r="AY1924" s="25">
        <f>Inventory[[#This Row],[Bsmt]]*Lookups!$B$89</f>
        <v>37486.562973382999</v>
      </c>
      <c r="AZ1924" s="25">
        <f>Inventory[[#This Row],[Fixtures]]*Lookups!$B$90</f>
        <v>49296.287367600002</v>
      </c>
      <c r="BA1924" s="25">
        <f>Inventory[[#This Row],[WdDeck]]*Lookups!$B$91</f>
        <v>9988.6545828000017</v>
      </c>
      <c r="BB1924" s="25">
        <f>ROUND(Inventory[[#This Row],[25Det]],-2)</f>
        <v>14000</v>
      </c>
      <c r="BC1924" s="25">
        <f>ROUND(SUM(Inventory[[#This Row],[Mdl Qlty]:[Mdl WdDeck]])+Inventory[[#This Row],[Mdl Res Intercept]],-2)</f>
        <v>547800</v>
      </c>
      <c r="BD1924" s="25">
        <f>ROUND(Inventory[[#This Row],[Mdl Land Intercept]]+Inventory[[#This Row],[Mdl LnAcres]],-2)</f>
        <v>44700</v>
      </c>
      <c r="BE1924" s="25">
        <f>Inventory[[#This Row],[Unadj Res Value]]+Inventory[[#This Row],[Unadj Det Value]]+Inventory[[#This Row],[Unadj Land Value]]</f>
        <v>606500</v>
      </c>
      <c r="BF1924" s="36">
        <f>(Inventory[[#This Row],[Unadj Total Value]]-Inventory[[#This Row],[24Final]])/Inventory[[#This Row],[24Final]]</f>
        <v>9.4873501997336882E-3</v>
      </c>
      <c r="BG1924" s="25">
        <f>VLOOKUP(Inventory[[#This Row],[Nbhd]],Lookups!$Q$2:$T$4,4,FALSE)</f>
        <v>0.99970000000000003</v>
      </c>
      <c r="BH1924" s="25">
        <f>VLOOKUP(Inventory[[#This Row],[Qlty]],Lookups!$O$7:$R$21,4,FALSE)</f>
        <v>1</v>
      </c>
      <c r="BI1924" s="25">
        <f>VLOOKUP(Inventory[[#This Row],[Cnd]],Lookups!$T$7:$W$16,4,FALSE)</f>
        <v>0.99650000000000005</v>
      </c>
      <c r="BJ1924" s="25">
        <f>VLOOKUP(Inventory[[#This Row],[LivArea Range]],Lookups!$T$25:$W$37,4,FALSE)</f>
        <v>1.0126999999999999</v>
      </c>
      <c r="BK1924" s="25">
        <f>VLOOKUP(Inventory[[#This Row],[Decade]],Lookups!$O$25:$R$42,4,FALSE)</f>
        <v>1.0074000000000001</v>
      </c>
      <c r="BL1924" s="25">
        <f>Inventory[[#This Row],[Nbhd Adj]]*0.95</f>
        <v>0.94971499999999998</v>
      </c>
      <c r="BM1924" s="25">
        <f>Inventory[[#This Row],[Nbhd Adj]]*Inventory[[#This Row],[Quality Adj]]*Inventory[[#This Row],[Condition Adj]]*Inventory[[#This Row],[Living Area Adj]]*Inventory[[#This Row],[Decade Adj]]*0.95</f>
        <v>0.96550239837569496</v>
      </c>
      <c r="BN1924" s="25">
        <f>ROUND(SUM(Inventory[[#This Row],[Mdl Qlty]:[Mdl WdDeck]])+Inventory[[#This Row],[Mdl Res Intercept]]*Inventory[[#This Row],[Res Adj ]],-2)</f>
        <v>547800</v>
      </c>
      <c r="BO1924" s="25">
        <f>ROUND(Inventory[[#This Row],[25Det]]*Inventory[[#This Row],[Det/Nbhd Adj]],-2)</f>
        <v>13300</v>
      </c>
      <c r="BP1924" s="25">
        <f>Inventory[[#This Row],[Adjusted Res]]+Inventory[[#This Row],[Adj Det ]]</f>
        <v>561100</v>
      </c>
      <c r="BQ1924" s="25">
        <f>ROUND((Inventory[[#This Row],[Mdl Land Intercept]]+Inventory[[#This Row],[Mdl LnAcres]])*Inventory[[#This Row],[Det/Nbhd Adj]],-2)</f>
        <v>42400</v>
      </c>
      <c r="BR1924" s="25">
        <f>Inventory[[#This Row],[Adjusted Impr Total]]+Inventory[[#This Row],[Adjusted Land Total]]</f>
        <v>603500</v>
      </c>
      <c r="BS1924" s="36">
        <f>IFERROR((Inventory[[#This Row],[Adjusted Impr Total]]-Inventory[[#This Row],[24Bldg]])/Inventory[[#This Row],[24Bldg]],0)</f>
        <v>4.6828358208955222E-2</v>
      </c>
      <c r="BT1924" s="36">
        <f>(Inventory[[#This Row],[Adjusted Land Total]]-Inventory[[#This Row],[24Lnd]])/Inventory[[#This Row],[24Lnd]]</f>
        <v>-0.34567901234567899</v>
      </c>
      <c r="BU1924" s="36">
        <f>(Inventory[[#This Row],[Adjusted Total]]-Inventory[[#This Row],[24Final]])/Inventory[[#This Row],[24Final]]</f>
        <v>4.4940079893475366E-3</v>
      </c>
    </row>
    <row r="1925" spans="1:73" x14ac:dyDescent="0.3">
      <c r="A1925" s="25">
        <v>2025</v>
      </c>
      <c r="B1925" s="26" t="s">
        <v>1702</v>
      </c>
      <c r="C1925" s="26">
        <f>LN(Inventory[[#This Row],[Acres]])</f>
        <v>-1.8971199848858813</v>
      </c>
      <c r="D1925" s="25">
        <v>0.15</v>
      </c>
      <c r="E1925" s="31"/>
      <c r="F1925" s="26" t="s">
        <v>543</v>
      </c>
      <c r="G1925" s="26" t="s">
        <v>544</v>
      </c>
      <c r="H1925" s="26" t="s">
        <v>349</v>
      </c>
      <c r="I1925" s="26" t="s">
        <v>605</v>
      </c>
      <c r="J1925" s="26" t="s">
        <v>539</v>
      </c>
      <c r="K1925" s="26" t="s">
        <v>173</v>
      </c>
      <c r="L1925" s="26" t="s">
        <v>205</v>
      </c>
      <c r="M1925" s="26" t="s">
        <v>323</v>
      </c>
      <c r="N1925" s="26">
        <v>100</v>
      </c>
      <c r="O1925" s="26">
        <f>2024-Inventory[[#This Row],[YrBlt]]</f>
        <v>99</v>
      </c>
      <c r="P1925" s="26">
        <f>2024-Inventory[[#This Row],[EffYr]]</f>
        <v>56</v>
      </c>
      <c r="Q1925" s="25">
        <v>1925</v>
      </c>
      <c r="R1925" s="25">
        <v>1968</v>
      </c>
      <c r="S1925" s="25">
        <v>1080</v>
      </c>
      <c r="T1925" s="32">
        <v>644</v>
      </c>
      <c r="U1925" s="25">
        <v>700</v>
      </c>
      <c r="V1925" s="25">
        <f>Inventory[[#This Row],[Bsmt]]-Inventory[[#This Row],[FnBsmt]]</f>
        <v>0</v>
      </c>
      <c r="W1925" s="25">
        <v>700</v>
      </c>
      <c r="X1925" s="27"/>
      <c r="Y1925" s="27">
        <f>Inventory[[#This Row],[MainFn]]+Inventory[[#This Row],[UpprFn]]+Inventory[[#This Row],[FnBsmt]]+Inventory[[#This Row],[AddFn]]</f>
        <v>2424</v>
      </c>
      <c r="Z1925" s="27">
        <v>2500</v>
      </c>
      <c r="AA1925" s="25">
        <v>11</v>
      </c>
      <c r="AB1925" s="27"/>
      <c r="AC1925" s="27"/>
      <c r="AD1925" s="32">
        <v>196</v>
      </c>
      <c r="AE1925" s="27"/>
      <c r="AF1925" s="27"/>
      <c r="AG1925" s="25">
        <v>130</v>
      </c>
      <c r="AH1925" s="27"/>
      <c r="AI1925" s="25">
        <v>246448</v>
      </c>
      <c r="AJ1925" s="25">
        <v>204552</v>
      </c>
      <c r="AK1925" s="25">
        <v>10630</v>
      </c>
      <c r="AL1925" s="25">
        <v>254150</v>
      </c>
      <c r="AM1925" s="25">
        <v>55650</v>
      </c>
      <c r="AN1925" s="25">
        <v>198500</v>
      </c>
      <c r="AO1925" s="25">
        <v>0</v>
      </c>
      <c r="AP1925" s="25">
        <f>Lookups!$B$56*0</f>
        <v>0</v>
      </c>
      <c r="AQ1925" s="25">
        <f>Lookups!$B$56*1</f>
        <v>89850.625589999996</v>
      </c>
      <c r="AR1925" s="25">
        <f>Lookups!$B$57*Inventory[[#This Row],[LnAcres]]</f>
        <v>-60052.604136134301</v>
      </c>
      <c r="AS1925" s="25">
        <f>VLOOKUP(Inventory[[#This Row],[Qlty]],Lookups!$A$62:$E$75,2,FALSE)</f>
        <v>0</v>
      </c>
      <c r="AT1925" s="25">
        <f>VLOOKUP(Inventory[[#This Row],[Cnd]],Lookups!$A$76:$E$84,2,FALSE)</f>
        <v>160472.20319</v>
      </c>
      <c r="AU1925" s="25">
        <f>Inventory[[#This Row],[EffAge]]*Lookups!$B$85</f>
        <v>-12490.553628</v>
      </c>
      <c r="AV1925" s="25">
        <f>Inventory[[#This Row],[MainFn]]*Lookups!$B$86</f>
        <v>53361.363467160001</v>
      </c>
      <c r="AW1925" s="25">
        <f>Inventory[[#This Row],[UpprFn]]*Lookups!$B$87</f>
        <v>28842.456322483999</v>
      </c>
      <c r="AX1925" s="25">
        <f>Inventory[[#This Row],[AddFn]]*Lookups!$B$88</f>
        <v>0</v>
      </c>
      <c r="AY1925" s="25">
        <f>Inventory[[#This Row],[Bsmt]]*Lookups!$B$89</f>
        <v>20357.326672899999</v>
      </c>
      <c r="AZ1925" s="25">
        <f>Inventory[[#This Row],[Fixtures]]*Lookups!$B$90</f>
        <v>41712.243157199999</v>
      </c>
      <c r="BA1925" s="25">
        <f>Inventory[[#This Row],[WdDeck]]*Lookups!$B$91</f>
        <v>6525.9209940960009</v>
      </c>
      <c r="BB1925" s="25">
        <f>ROUND(Inventory[[#This Row],[25Det]],-2)</f>
        <v>10600</v>
      </c>
      <c r="BC1925" s="25">
        <f>ROUND(SUM(Inventory[[#This Row],[Mdl Qlty]:[Mdl WdDeck]])+Inventory[[#This Row],[Mdl Res Intercept]],-2)</f>
        <v>298800</v>
      </c>
      <c r="BD1925" s="25">
        <f>ROUND(Inventory[[#This Row],[Mdl Land Intercept]]+Inventory[[#This Row],[Mdl LnAcres]],-2)</f>
        <v>29800</v>
      </c>
      <c r="BE1925" s="25">
        <f>Inventory[[#This Row],[Unadj Res Value]]+Inventory[[#This Row],[Unadj Det Value]]+Inventory[[#This Row],[Unadj Land Value]]</f>
        <v>339200</v>
      </c>
      <c r="BF1925" s="36">
        <f>(Inventory[[#This Row],[Unadj Total Value]]-Inventory[[#This Row],[24Final]])/Inventory[[#This Row],[24Final]]</f>
        <v>0.33464489474719655</v>
      </c>
      <c r="BG1925" s="25">
        <f>VLOOKUP(Inventory[[#This Row],[Nbhd]],Lookups!$Q$2:$T$4,4,FALSE)</f>
        <v>0.99970000000000003</v>
      </c>
      <c r="BH1925" s="25">
        <f>VLOOKUP(Inventory[[#This Row],[Qlty]],Lookups!$O$7:$R$21,4,FALSE)</f>
        <v>0.99180000000000001</v>
      </c>
      <c r="BI1925" s="25">
        <f>VLOOKUP(Inventory[[#This Row],[Cnd]],Lookups!$T$7:$W$16,4,FALSE)</f>
        <v>0.99729999999999996</v>
      </c>
      <c r="BJ1925" s="25">
        <f>VLOOKUP(Inventory[[#This Row],[LivArea Range]],Lookups!$T$25:$W$37,4,FALSE)</f>
        <v>0.98919999999999997</v>
      </c>
      <c r="BK1925" s="25">
        <f>VLOOKUP(Inventory[[#This Row],[Decade]],Lookups!$O$25:$R$42,4,FALSE)</f>
        <v>1.0074000000000001</v>
      </c>
      <c r="BL1925" s="25">
        <f>Inventory[[#This Row],[Nbhd Adj]]*0.95</f>
        <v>0.94971499999999998</v>
      </c>
      <c r="BM1925" s="25">
        <f>Inventory[[#This Row],[Nbhd Adj]]*Inventory[[#This Row],[Quality Adj]]*Inventory[[#This Row],[Condition Adj]]*Inventory[[#This Row],[Living Area Adj]]*Inventory[[#This Row],[Decade Adj]]*0.95</f>
        <v>0.93611515155732916</v>
      </c>
      <c r="BN1925" s="25">
        <f>ROUND(SUM(Inventory[[#This Row],[Mdl Qlty]:[Mdl WdDeck]])+Inventory[[#This Row],[Mdl Res Intercept]]*Inventory[[#This Row],[Res Adj ]],-2)</f>
        <v>298800</v>
      </c>
      <c r="BO1925" s="25">
        <f>ROUND(Inventory[[#This Row],[25Det]]*Inventory[[#This Row],[Det/Nbhd Adj]],-2)</f>
        <v>10100</v>
      </c>
      <c r="BP1925" s="25">
        <f>Inventory[[#This Row],[Adjusted Res]]+Inventory[[#This Row],[Adj Det ]]</f>
        <v>308900</v>
      </c>
      <c r="BQ1925" s="25">
        <f>ROUND((Inventory[[#This Row],[Mdl Land Intercept]]+Inventory[[#This Row],[Mdl LnAcres]])*Inventory[[#This Row],[Det/Nbhd Adj]],-2)</f>
        <v>28300</v>
      </c>
      <c r="BR1925" s="25">
        <f>Inventory[[#This Row],[Adjusted Impr Total]]+Inventory[[#This Row],[Adjusted Land Total]]</f>
        <v>337200</v>
      </c>
      <c r="BS1925" s="36">
        <f>IFERROR((Inventory[[#This Row],[Adjusted Impr Total]]-Inventory[[#This Row],[24Bldg]])/Inventory[[#This Row],[24Bldg]],0)</f>
        <v>0.55617128463476073</v>
      </c>
      <c r="BT1925" s="36">
        <f>(Inventory[[#This Row],[Adjusted Land Total]]-Inventory[[#This Row],[24Lnd]])/Inventory[[#This Row],[24Lnd]]</f>
        <v>-0.49146451033243488</v>
      </c>
      <c r="BU1925" s="36">
        <f>(Inventory[[#This Row],[Adjusted Total]]-Inventory[[#This Row],[24Final]])/Inventory[[#This Row],[24Final]]</f>
        <v>0.32677552626401729</v>
      </c>
    </row>
    <row r="1926" spans="1:73" x14ac:dyDescent="0.3">
      <c r="A1926" s="25">
        <v>2025</v>
      </c>
      <c r="B1926" s="26" t="s">
        <v>2323</v>
      </c>
      <c r="C1926" s="26">
        <f>LN(Inventory[[#This Row],[Acres]])</f>
        <v>-1.3470736479666092</v>
      </c>
      <c r="D1926" s="25">
        <v>0.26</v>
      </c>
      <c r="E1926" s="31"/>
      <c r="F1926" s="26" t="s">
        <v>537</v>
      </c>
      <c r="G1926" s="26" t="s">
        <v>126</v>
      </c>
      <c r="H1926" s="26" t="s">
        <v>349</v>
      </c>
      <c r="I1926" s="26" t="s">
        <v>538</v>
      </c>
      <c r="J1926" s="26" t="s">
        <v>539</v>
      </c>
      <c r="K1926" s="26" t="s">
        <v>269</v>
      </c>
      <c r="L1926" s="26" t="s">
        <v>148</v>
      </c>
      <c r="M1926" s="26" t="s">
        <v>352</v>
      </c>
      <c r="N1926" s="26">
        <v>100</v>
      </c>
      <c r="O1926" s="26">
        <f>2024-Inventory[[#This Row],[YrBlt]]</f>
        <v>99</v>
      </c>
      <c r="P1926" s="26">
        <f>2024-Inventory[[#This Row],[EffYr]]</f>
        <v>41</v>
      </c>
      <c r="Q1926" s="25">
        <v>1925</v>
      </c>
      <c r="R1926" s="25">
        <v>1983</v>
      </c>
      <c r="S1926" s="25">
        <v>1570</v>
      </c>
      <c r="T1926" s="32">
        <v>800</v>
      </c>
      <c r="U1926" s="25">
        <v>960</v>
      </c>
      <c r="V1926" s="25">
        <f>Inventory[[#This Row],[Bsmt]]-Inventory[[#This Row],[FnBsmt]]</f>
        <v>960</v>
      </c>
      <c r="W1926" s="25">
        <v>0</v>
      </c>
      <c r="X1926" s="27"/>
      <c r="Y1926" s="27">
        <f>Inventory[[#This Row],[MainFn]]+Inventory[[#This Row],[UpprFn]]+Inventory[[#This Row],[FnBsmt]]+Inventory[[#This Row],[AddFn]]</f>
        <v>2370</v>
      </c>
      <c r="Z1926" s="27">
        <v>2500</v>
      </c>
      <c r="AA1926" s="25">
        <v>8</v>
      </c>
      <c r="AB1926" s="27"/>
      <c r="AC1926" s="27"/>
      <c r="AD1926" s="27"/>
      <c r="AE1926" s="27"/>
      <c r="AF1926" s="27"/>
      <c r="AG1926" s="31"/>
      <c r="AH1926" s="27"/>
      <c r="AI1926" s="25">
        <v>505951</v>
      </c>
      <c r="AJ1926" s="25">
        <v>414880</v>
      </c>
      <c r="AK1926" s="25">
        <v>5441</v>
      </c>
      <c r="AL1926" s="25">
        <v>450900</v>
      </c>
      <c r="AM1926" s="25">
        <v>67600</v>
      </c>
      <c r="AN1926" s="25">
        <v>383300</v>
      </c>
      <c r="AO1926" s="25">
        <v>0</v>
      </c>
      <c r="AP1926" s="25">
        <f>Lookups!$B$56*0</f>
        <v>0</v>
      </c>
      <c r="AQ1926" s="25">
        <f>Lookups!$B$56*1</f>
        <v>89850.625589999996</v>
      </c>
      <c r="AR1926" s="25">
        <f>Lookups!$B$57*Inventory[[#This Row],[LnAcres]]</f>
        <v>-42641.098701210125</v>
      </c>
      <c r="AS1926" s="25">
        <f>VLOOKUP(Inventory[[#This Row],[Qlty]],Lookups!$A$62:$E$75,2,FALSE)</f>
        <v>44121.038090000002</v>
      </c>
      <c r="AT1926" s="25">
        <f>VLOOKUP(Inventory[[#This Row],[Cnd]],Lookups!$A$76:$E$84,2,FALSE)</f>
        <v>284810.60806</v>
      </c>
      <c r="AU1926" s="25">
        <f>Inventory[[#This Row],[EffAge]]*Lookups!$B$85</f>
        <v>-9144.8696204999997</v>
      </c>
      <c r="AV1926" s="25">
        <f>Inventory[[#This Row],[MainFn]]*Lookups!$B$86</f>
        <v>77571.611706890006</v>
      </c>
      <c r="AW1926" s="25">
        <f>Inventory[[#This Row],[UpprFn]]*Lookups!$B$87</f>
        <v>35829.138288800001</v>
      </c>
      <c r="AX1926" s="25">
        <f>Inventory[[#This Row],[AddFn]]*Lookups!$B$88</f>
        <v>0</v>
      </c>
      <c r="AY1926" s="25">
        <f>Inventory[[#This Row],[Bsmt]]*Lookups!$B$89</f>
        <v>27918.61943712</v>
      </c>
      <c r="AZ1926" s="25">
        <f>Inventory[[#This Row],[Fixtures]]*Lookups!$B$90</f>
        <v>30336.176841600001</v>
      </c>
      <c r="BA1926" s="25">
        <f>Inventory[[#This Row],[WdDeck]]*Lookups!$B$91</f>
        <v>0</v>
      </c>
      <c r="BB1926" s="25">
        <f>ROUND(Inventory[[#This Row],[25Det]],-2)</f>
        <v>5400</v>
      </c>
      <c r="BC1926" s="25">
        <f>ROUND(SUM(Inventory[[#This Row],[Mdl Qlty]:[Mdl WdDeck]])+Inventory[[#This Row],[Mdl Res Intercept]],-2)</f>
        <v>491400</v>
      </c>
      <c r="BD1926" s="25">
        <f>ROUND(Inventory[[#This Row],[Mdl Land Intercept]]+Inventory[[#This Row],[Mdl LnAcres]],-2)</f>
        <v>47200</v>
      </c>
      <c r="BE1926" s="25">
        <f>Inventory[[#This Row],[Unadj Res Value]]+Inventory[[#This Row],[Unadj Det Value]]+Inventory[[#This Row],[Unadj Land Value]]</f>
        <v>544000</v>
      </c>
      <c r="BF1926" s="36">
        <f>(Inventory[[#This Row],[Unadj Total Value]]-Inventory[[#This Row],[24Final]])/Inventory[[#This Row],[24Final]]</f>
        <v>0.20647593701485917</v>
      </c>
      <c r="BG1926" s="25">
        <f>VLOOKUP(Inventory[[#This Row],[Nbhd]],Lookups!$Q$2:$T$4,4,FALSE)</f>
        <v>0.99970000000000003</v>
      </c>
      <c r="BH1926" s="25">
        <f>VLOOKUP(Inventory[[#This Row],[Qlty]],Lookups!$O$7:$R$21,4,FALSE)</f>
        <v>0.98050000000000004</v>
      </c>
      <c r="BI1926" s="25">
        <f>VLOOKUP(Inventory[[#This Row],[Cnd]],Lookups!$T$7:$W$16,4,FALSE)</f>
        <v>1.0158</v>
      </c>
      <c r="BJ1926" s="25">
        <f>VLOOKUP(Inventory[[#This Row],[LivArea Range]],Lookups!$T$25:$W$37,4,FALSE)</f>
        <v>0.98919999999999997</v>
      </c>
      <c r="BK1926" s="25">
        <f>VLOOKUP(Inventory[[#This Row],[Decade]],Lookups!$O$25:$R$42,4,FALSE)</f>
        <v>1.0074000000000001</v>
      </c>
      <c r="BL1926" s="25">
        <f>Inventory[[#This Row],[Nbhd Adj]]*0.95</f>
        <v>0.94971499999999998</v>
      </c>
      <c r="BM1926" s="25">
        <f>Inventory[[#This Row],[Nbhd Adj]]*Inventory[[#This Row],[Quality Adj]]*Inventory[[#This Row],[Condition Adj]]*Inventory[[#This Row],[Living Area Adj]]*Inventory[[#This Row],[Decade Adj]]*0.95</f>
        <v>0.94261676158454233</v>
      </c>
      <c r="BN1926" s="25">
        <f>ROUND(SUM(Inventory[[#This Row],[Mdl Qlty]:[Mdl WdDeck]])+Inventory[[#This Row],[Mdl Res Intercept]]*Inventory[[#This Row],[Res Adj ]],-2)</f>
        <v>491400</v>
      </c>
      <c r="BO1926" s="25">
        <f>ROUND(Inventory[[#This Row],[25Det]]*Inventory[[#This Row],[Det/Nbhd Adj]],-2)</f>
        <v>5200</v>
      </c>
      <c r="BP1926" s="25">
        <f>Inventory[[#This Row],[Adjusted Res]]+Inventory[[#This Row],[Adj Det ]]</f>
        <v>496600</v>
      </c>
      <c r="BQ1926" s="25">
        <f>ROUND((Inventory[[#This Row],[Mdl Land Intercept]]+Inventory[[#This Row],[Mdl LnAcres]])*Inventory[[#This Row],[Det/Nbhd Adj]],-2)</f>
        <v>44800</v>
      </c>
      <c r="BR1926" s="25">
        <f>Inventory[[#This Row],[Adjusted Impr Total]]+Inventory[[#This Row],[Adjusted Land Total]]</f>
        <v>541400</v>
      </c>
      <c r="BS1926" s="36">
        <f>IFERROR((Inventory[[#This Row],[Adjusted Impr Total]]-Inventory[[#This Row],[24Bldg]])/Inventory[[#This Row],[24Bldg]],0)</f>
        <v>0.29559092094964778</v>
      </c>
      <c r="BT1926" s="36">
        <f>(Inventory[[#This Row],[Adjusted Land Total]]-Inventory[[#This Row],[24Lnd]])/Inventory[[#This Row],[24Lnd]]</f>
        <v>-0.33727810650887574</v>
      </c>
      <c r="BU1926" s="36">
        <f>(Inventory[[#This Row],[Adjusted Total]]-Inventory[[#This Row],[24Final]])/Inventory[[#This Row],[24Final]]</f>
        <v>0.20070969172765579</v>
      </c>
    </row>
    <row r="1927" spans="1:73" x14ac:dyDescent="0.3">
      <c r="A1927" s="25">
        <v>2025</v>
      </c>
      <c r="B1927" s="26" t="s">
        <v>2382</v>
      </c>
      <c r="C1927" s="26">
        <f>LN(Inventory[[#This Row],[Acres]])</f>
        <v>-1.8325814637483102</v>
      </c>
      <c r="D1927" s="25">
        <v>0.16</v>
      </c>
      <c r="E1927" s="31"/>
      <c r="F1927" s="26" t="s">
        <v>537</v>
      </c>
      <c r="G1927" s="26" t="s">
        <v>126</v>
      </c>
      <c r="H1927" s="26" t="s">
        <v>349</v>
      </c>
      <c r="I1927" s="26" t="s">
        <v>538</v>
      </c>
      <c r="J1927" s="26" t="s">
        <v>539</v>
      </c>
      <c r="K1927" s="26" t="s">
        <v>269</v>
      </c>
      <c r="L1927" s="26" t="s">
        <v>148</v>
      </c>
      <c r="M1927" s="26" t="s">
        <v>352</v>
      </c>
      <c r="N1927" s="26">
        <v>100</v>
      </c>
      <c r="O1927" s="26">
        <f>2024-Inventory[[#This Row],[YrBlt]]</f>
        <v>99</v>
      </c>
      <c r="P1927" s="26">
        <f>2024-Inventory[[#This Row],[EffYr]]</f>
        <v>56</v>
      </c>
      <c r="Q1927" s="25">
        <v>1925</v>
      </c>
      <c r="R1927" s="25">
        <v>1968</v>
      </c>
      <c r="S1927" s="25">
        <v>1152</v>
      </c>
      <c r="T1927" s="27"/>
      <c r="U1927" s="25">
        <v>1152</v>
      </c>
      <c r="V1927" s="25">
        <f>Inventory[[#This Row],[Bsmt]]-Inventory[[#This Row],[FnBsmt]]</f>
        <v>100</v>
      </c>
      <c r="W1927" s="25">
        <v>1052</v>
      </c>
      <c r="X1927" s="27"/>
      <c r="Y1927" s="27">
        <f>Inventory[[#This Row],[MainFn]]+Inventory[[#This Row],[UpprFn]]+Inventory[[#This Row],[FnBsmt]]+Inventory[[#This Row],[AddFn]]</f>
        <v>2204</v>
      </c>
      <c r="Z1927" s="27">
        <v>2500</v>
      </c>
      <c r="AA1927" s="25">
        <v>8</v>
      </c>
      <c r="AB1927" s="27"/>
      <c r="AC1927" s="27"/>
      <c r="AD1927" s="27"/>
      <c r="AE1927" s="27"/>
      <c r="AF1927" s="27"/>
      <c r="AG1927" s="31"/>
      <c r="AH1927" s="27"/>
      <c r="AI1927" s="25">
        <v>379282</v>
      </c>
      <c r="AJ1927" s="25">
        <v>257912</v>
      </c>
      <c r="AK1927" s="25">
        <v>7379</v>
      </c>
      <c r="AL1927" s="25">
        <v>396600</v>
      </c>
      <c r="AM1927" s="25">
        <v>50600</v>
      </c>
      <c r="AN1927" s="25">
        <v>346000</v>
      </c>
      <c r="AO1927" s="25">
        <v>0</v>
      </c>
      <c r="AP1927" s="25">
        <f>Lookups!$B$56*0</f>
        <v>0</v>
      </c>
      <c r="AQ1927" s="25">
        <f>Lookups!$B$56*1</f>
        <v>89850.625589999996</v>
      </c>
      <c r="AR1927" s="25">
        <f>Lookups!$B$57*Inventory[[#This Row],[LnAcres]]</f>
        <v>-58009.662049032086</v>
      </c>
      <c r="AS1927" s="25">
        <f>VLOOKUP(Inventory[[#This Row],[Qlty]],Lookups!$A$62:$E$75,2,FALSE)</f>
        <v>44121.038090000002</v>
      </c>
      <c r="AT1927" s="25">
        <f>VLOOKUP(Inventory[[#This Row],[Cnd]],Lookups!$A$76:$E$84,2,FALSE)</f>
        <v>284810.60806</v>
      </c>
      <c r="AU1927" s="25">
        <f>Inventory[[#This Row],[EffAge]]*Lookups!$B$85</f>
        <v>-12490.553628</v>
      </c>
      <c r="AV1927" s="25">
        <f>Inventory[[#This Row],[MainFn]]*Lookups!$B$86</f>
        <v>56918.787698304004</v>
      </c>
      <c r="AW1927" s="25">
        <f>Inventory[[#This Row],[UpprFn]]*Lookups!$B$87</f>
        <v>0</v>
      </c>
      <c r="AX1927" s="25">
        <f>Inventory[[#This Row],[AddFn]]*Lookups!$B$88</f>
        <v>0</v>
      </c>
      <c r="AY1927" s="25">
        <f>Inventory[[#This Row],[Bsmt]]*Lookups!$B$89</f>
        <v>33502.343324543996</v>
      </c>
      <c r="AZ1927" s="25">
        <f>Inventory[[#This Row],[Fixtures]]*Lookups!$B$90</f>
        <v>30336.176841600001</v>
      </c>
      <c r="BA1927" s="25">
        <f>Inventory[[#This Row],[WdDeck]]*Lookups!$B$91</f>
        <v>0</v>
      </c>
      <c r="BB1927" s="25">
        <f>ROUND(Inventory[[#This Row],[25Det]],-2)</f>
        <v>7400</v>
      </c>
      <c r="BC1927" s="25">
        <f>ROUND(SUM(Inventory[[#This Row],[Mdl Qlty]:[Mdl WdDeck]])+Inventory[[#This Row],[Mdl Res Intercept]],-2)</f>
        <v>437200</v>
      </c>
      <c r="BD1927" s="25">
        <f>ROUND(Inventory[[#This Row],[Mdl Land Intercept]]+Inventory[[#This Row],[Mdl LnAcres]],-2)</f>
        <v>31800</v>
      </c>
      <c r="BE1927" s="25">
        <f>Inventory[[#This Row],[Unadj Res Value]]+Inventory[[#This Row],[Unadj Det Value]]+Inventory[[#This Row],[Unadj Land Value]]</f>
        <v>476400</v>
      </c>
      <c r="BF1927" s="36">
        <f>(Inventory[[#This Row],[Unadj Total Value]]-Inventory[[#This Row],[24Final]])/Inventory[[#This Row],[24Final]]</f>
        <v>0.20121028744326777</v>
      </c>
      <c r="BG1927" s="25">
        <f>VLOOKUP(Inventory[[#This Row],[Nbhd]],Lookups!$Q$2:$T$4,4,FALSE)</f>
        <v>0.99970000000000003</v>
      </c>
      <c r="BH1927" s="25">
        <f>VLOOKUP(Inventory[[#This Row],[Qlty]],Lookups!$O$7:$R$21,4,FALSE)</f>
        <v>0.98050000000000004</v>
      </c>
      <c r="BI1927" s="25">
        <f>VLOOKUP(Inventory[[#This Row],[Cnd]],Lookups!$T$7:$W$16,4,FALSE)</f>
        <v>1.0158</v>
      </c>
      <c r="BJ1927" s="25">
        <f>VLOOKUP(Inventory[[#This Row],[LivArea Range]],Lookups!$T$25:$W$37,4,FALSE)</f>
        <v>0.98919999999999997</v>
      </c>
      <c r="BK1927" s="25">
        <f>VLOOKUP(Inventory[[#This Row],[Decade]],Lookups!$O$25:$R$42,4,FALSE)</f>
        <v>1.0074000000000001</v>
      </c>
      <c r="BL1927" s="25">
        <f>Inventory[[#This Row],[Nbhd Adj]]*0.95</f>
        <v>0.94971499999999998</v>
      </c>
      <c r="BM1927" s="25">
        <f>Inventory[[#This Row],[Nbhd Adj]]*Inventory[[#This Row],[Quality Adj]]*Inventory[[#This Row],[Condition Adj]]*Inventory[[#This Row],[Living Area Adj]]*Inventory[[#This Row],[Decade Adj]]*0.95</f>
        <v>0.94261676158454233</v>
      </c>
      <c r="BN1927" s="25">
        <f>ROUND(SUM(Inventory[[#This Row],[Mdl Qlty]:[Mdl WdDeck]])+Inventory[[#This Row],[Mdl Res Intercept]]*Inventory[[#This Row],[Res Adj ]],-2)</f>
        <v>437200</v>
      </c>
      <c r="BO1927" s="25">
        <f>ROUND(Inventory[[#This Row],[25Det]]*Inventory[[#This Row],[Det/Nbhd Adj]],-2)</f>
        <v>7000</v>
      </c>
      <c r="BP1927" s="25">
        <f>Inventory[[#This Row],[Adjusted Res]]+Inventory[[#This Row],[Adj Det ]]</f>
        <v>444200</v>
      </c>
      <c r="BQ1927" s="25">
        <f>ROUND((Inventory[[#This Row],[Mdl Land Intercept]]+Inventory[[#This Row],[Mdl LnAcres]])*Inventory[[#This Row],[Det/Nbhd Adj]],-2)</f>
        <v>30200</v>
      </c>
      <c r="BR1927" s="25">
        <f>Inventory[[#This Row],[Adjusted Impr Total]]+Inventory[[#This Row],[Adjusted Land Total]]</f>
        <v>474400</v>
      </c>
      <c r="BS1927" s="36">
        <f>IFERROR((Inventory[[#This Row],[Adjusted Impr Total]]-Inventory[[#This Row],[24Bldg]])/Inventory[[#This Row],[24Bldg]],0)</f>
        <v>0.2838150289017341</v>
      </c>
      <c r="BT1927" s="36">
        <f>(Inventory[[#This Row],[Adjusted Land Total]]-Inventory[[#This Row],[24Lnd]])/Inventory[[#This Row],[24Lnd]]</f>
        <v>-0.40316205533596838</v>
      </c>
      <c r="BU1927" s="36">
        <f>(Inventory[[#This Row],[Adjusted Total]]-Inventory[[#This Row],[24Final]])/Inventory[[#This Row],[24Final]]</f>
        <v>0.19616742309631871</v>
      </c>
    </row>
    <row r="1928" spans="1:73" x14ac:dyDescent="0.3">
      <c r="A1928" s="25">
        <v>2025</v>
      </c>
      <c r="B1928" s="26" t="s">
        <v>1028</v>
      </c>
      <c r="C1928" s="26">
        <f>LN(Inventory[[#This Row],[Acres]])</f>
        <v>-1.4696759700589417</v>
      </c>
      <c r="D1928" s="25">
        <v>0.23</v>
      </c>
      <c r="E1928" s="31"/>
      <c r="F1928" s="26" t="s">
        <v>537</v>
      </c>
      <c r="G1928" s="26" t="s">
        <v>126</v>
      </c>
      <c r="H1928" s="26" t="s">
        <v>349</v>
      </c>
      <c r="I1928" s="26" t="s">
        <v>538</v>
      </c>
      <c r="J1928" s="26" t="s">
        <v>539</v>
      </c>
      <c r="K1928" s="26" t="s">
        <v>4</v>
      </c>
      <c r="L1928" s="26" t="s">
        <v>148</v>
      </c>
      <c r="M1928" s="26" t="s">
        <v>352</v>
      </c>
      <c r="N1928" s="26">
        <v>100</v>
      </c>
      <c r="O1928" s="26">
        <f>2024-Inventory[[#This Row],[YrBlt]]</f>
        <v>99</v>
      </c>
      <c r="P1928" s="26">
        <f>2024-Inventory[[#This Row],[EffYr]]</f>
        <v>56</v>
      </c>
      <c r="Q1928" s="25">
        <v>1925</v>
      </c>
      <c r="R1928" s="25">
        <v>1968</v>
      </c>
      <c r="S1928" s="25">
        <v>1818</v>
      </c>
      <c r="T1928" s="27"/>
      <c r="U1928" s="25">
        <v>346</v>
      </c>
      <c r="V1928" s="25">
        <f>Inventory[[#This Row],[Bsmt]]-Inventory[[#This Row],[FnBsmt]]</f>
        <v>0</v>
      </c>
      <c r="W1928" s="25">
        <v>346</v>
      </c>
      <c r="X1928" s="27"/>
      <c r="Y1928" s="27">
        <f>Inventory[[#This Row],[MainFn]]+Inventory[[#This Row],[UpprFn]]+Inventory[[#This Row],[FnBsmt]]+Inventory[[#This Row],[AddFn]]</f>
        <v>2164</v>
      </c>
      <c r="Z1928" s="27">
        <v>2500</v>
      </c>
      <c r="AA1928" s="25">
        <v>8</v>
      </c>
      <c r="AB1928" s="27"/>
      <c r="AC1928" s="27"/>
      <c r="AD1928" s="27"/>
      <c r="AE1928" s="27"/>
      <c r="AF1928" s="27"/>
      <c r="AG1928" s="31"/>
      <c r="AH1928" s="27"/>
      <c r="AI1928" s="25">
        <v>451370</v>
      </c>
      <c r="AJ1928" s="25">
        <v>306932</v>
      </c>
      <c r="AK1928" s="25">
        <v>6227</v>
      </c>
      <c r="AL1928" s="25">
        <v>414700</v>
      </c>
      <c r="AM1928" s="25">
        <v>63300</v>
      </c>
      <c r="AN1928" s="25">
        <v>351400</v>
      </c>
      <c r="AO1928" s="25">
        <v>0</v>
      </c>
      <c r="AP1928" s="25">
        <f>Lookups!$B$56*0</f>
        <v>0</v>
      </c>
      <c r="AQ1928" s="25">
        <f>Lookups!$B$56*1</f>
        <v>89850.625589999996</v>
      </c>
      <c r="AR1928" s="25">
        <f>Lookups!$B$57*Inventory[[#This Row],[LnAcres]]</f>
        <v>-46522.028095997222</v>
      </c>
      <c r="AS1928" s="25">
        <f>VLOOKUP(Inventory[[#This Row],[Qlty]],Lookups!$A$62:$E$75,2,FALSE)</f>
        <v>44121.038090000002</v>
      </c>
      <c r="AT1928" s="25">
        <f>VLOOKUP(Inventory[[#This Row],[Cnd]],Lookups!$A$76:$E$84,2,FALSE)</f>
        <v>284810.60806</v>
      </c>
      <c r="AU1928" s="25">
        <f>Inventory[[#This Row],[EffAge]]*Lookups!$B$85</f>
        <v>-12490.553628</v>
      </c>
      <c r="AV1928" s="25">
        <f>Inventory[[#This Row],[MainFn]]*Lookups!$B$86</f>
        <v>89824.961836386006</v>
      </c>
      <c r="AW1928" s="25">
        <f>Inventory[[#This Row],[UpprFn]]*Lookups!$B$87</f>
        <v>0</v>
      </c>
      <c r="AX1928" s="25">
        <f>Inventory[[#This Row],[AddFn]]*Lookups!$B$88</f>
        <v>0</v>
      </c>
      <c r="AY1928" s="25">
        <f>Inventory[[#This Row],[Bsmt]]*Lookups!$B$89</f>
        <v>10062.335755462</v>
      </c>
      <c r="AZ1928" s="25">
        <f>Inventory[[#This Row],[Fixtures]]*Lookups!$B$90</f>
        <v>30336.176841600001</v>
      </c>
      <c r="BA1928" s="25">
        <f>Inventory[[#This Row],[WdDeck]]*Lookups!$B$91</f>
        <v>0</v>
      </c>
      <c r="BB1928" s="25">
        <f>ROUND(Inventory[[#This Row],[25Det]],-2)</f>
        <v>6200</v>
      </c>
      <c r="BC1928" s="25">
        <f>ROUND(SUM(Inventory[[#This Row],[Mdl Qlty]:[Mdl WdDeck]])+Inventory[[#This Row],[Mdl Res Intercept]],-2)</f>
        <v>446700</v>
      </c>
      <c r="BD1928" s="25">
        <f>ROUND(Inventory[[#This Row],[Mdl Land Intercept]]+Inventory[[#This Row],[Mdl LnAcres]],-2)</f>
        <v>43300</v>
      </c>
      <c r="BE1928" s="25">
        <f>Inventory[[#This Row],[Unadj Res Value]]+Inventory[[#This Row],[Unadj Det Value]]+Inventory[[#This Row],[Unadj Land Value]]</f>
        <v>496200</v>
      </c>
      <c r="BF1928" s="36">
        <f>(Inventory[[#This Row],[Unadj Total Value]]-Inventory[[#This Row],[24Final]])/Inventory[[#This Row],[24Final]]</f>
        <v>0.19652761032071378</v>
      </c>
      <c r="BG1928" s="25">
        <f>VLOOKUP(Inventory[[#This Row],[Nbhd]],Lookups!$Q$2:$T$4,4,FALSE)</f>
        <v>0.99970000000000003</v>
      </c>
      <c r="BH1928" s="25">
        <f>VLOOKUP(Inventory[[#This Row],[Qlty]],Lookups!$O$7:$R$21,4,FALSE)</f>
        <v>0.98050000000000004</v>
      </c>
      <c r="BI1928" s="25">
        <f>VLOOKUP(Inventory[[#This Row],[Cnd]],Lookups!$T$7:$W$16,4,FALSE)</f>
        <v>1.0158</v>
      </c>
      <c r="BJ1928" s="25">
        <f>VLOOKUP(Inventory[[#This Row],[LivArea Range]],Lookups!$T$25:$W$37,4,FALSE)</f>
        <v>0.98919999999999997</v>
      </c>
      <c r="BK1928" s="25">
        <f>VLOOKUP(Inventory[[#This Row],[Decade]],Lookups!$O$25:$R$42,4,FALSE)</f>
        <v>1.0074000000000001</v>
      </c>
      <c r="BL1928" s="25">
        <f>Inventory[[#This Row],[Nbhd Adj]]*0.95</f>
        <v>0.94971499999999998</v>
      </c>
      <c r="BM1928" s="25">
        <f>Inventory[[#This Row],[Nbhd Adj]]*Inventory[[#This Row],[Quality Adj]]*Inventory[[#This Row],[Condition Adj]]*Inventory[[#This Row],[Living Area Adj]]*Inventory[[#This Row],[Decade Adj]]*0.95</f>
        <v>0.94261676158454233</v>
      </c>
      <c r="BN1928" s="25">
        <f>ROUND(SUM(Inventory[[#This Row],[Mdl Qlty]:[Mdl WdDeck]])+Inventory[[#This Row],[Mdl Res Intercept]]*Inventory[[#This Row],[Res Adj ]],-2)</f>
        <v>446700</v>
      </c>
      <c r="BO1928" s="25">
        <f>ROUND(Inventory[[#This Row],[25Det]]*Inventory[[#This Row],[Det/Nbhd Adj]],-2)</f>
        <v>5900</v>
      </c>
      <c r="BP1928" s="25">
        <f>Inventory[[#This Row],[Adjusted Res]]+Inventory[[#This Row],[Adj Det ]]</f>
        <v>452600</v>
      </c>
      <c r="BQ1928" s="25">
        <f>ROUND((Inventory[[#This Row],[Mdl Land Intercept]]+Inventory[[#This Row],[Mdl LnAcres]])*Inventory[[#This Row],[Det/Nbhd Adj]],-2)</f>
        <v>41100</v>
      </c>
      <c r="BR1928" s="25">
        <f>Inventory[[#This Row],[Adjusted Impr Total]]+Inventory[[#This Row],[Adjusted Land Total]]</f>
        <v>493700</v>
      </c>
      <c r="BS1928" s="36">
        <f>IFERROR((Inventory[[#This Row],[Adjusted Impr Total]]-Inventory[[#This Row],[24Bldg]])/Inventory[[#This Row],[24Bldg]],0)</f>
        <v>0.28799089356858282</v>
      </c>
      <c r="BT1928" s="36">
        <f>(Inventory[[#This Row],[Adjusted Land Total]]-Inventory[[#This Row],[24Lnd]])/Inventory[[#This Row],[24Lnd]]</f>
        <v>-0.35071090047393366</v>
      </c>
      <c r="BU1928" s="36">
        <f>(Inventory[[#This Row],[Adjusted Total]]-Inventory[[#This Row],[24Final]])/Inventory[[#This Row],[24Final]]</f>
        <v>0.19049915601639739</v>
      </c>
    </row>
    <row r="1929" spans="1:73" x14ac:dyDescent="0.3">
      <c r="A1929" s="25">
        <v>2025</v>
      </c>
      <c r="B1929" s="26" t="s">
        <v>1582</v>
      </c>
      <c r="C1929" s="26">
        <f>LN(Inventory[[#This Row],[Acres]])</f>
        <v>-1.9661128563728327</v>
      </c>
      <c r="D1929" s="25">
        <v>0.14000000000000001</v>
      </c>
      <c r="E1929" s="25">
        <v>5892</v>
      </c>
      <c r="F1929" s="26" t="s">
        <v>537</v>
      </c>
      <c r="G1929" s="26" t="s">
        <v>126</v>
      </c>
      <c r="H1929" s="26" t="s">
        <v>349</v>
      </c>
      <c r="I1929" s="26" t="s">
        <v>538</v>
      </c>
      <c r="J1929" s="26" t="s">
        <v>539</v>
      </c>
      <c r="K1929" s="26" t="s">
        <v>269</v>
      </c>
      <c r="L1929" s="26" t="s">
        <v>148</v>
      </c>
      <c r="M1929" s="26" t="s">
        <v>352</v>
      </c>
      <c r="N1929" s="26">
        <v>100</v>
      </c>
      <c r="O1929" s="26">
        <f>2024-Inventory[[#This Row],[YrBlt]]</f>
        <v>99</v>
      </c>
      <c r="P1929" s="26">
        <f>2024-Inventory[[#This Row],[EffYr]]</f>
        <v>56</v>
      </c>
      <c r="Q1929" s="25">
        <v>1925</v>
      </c>
      <c r="R1929" s="25">
        <v>1968</v>
      </c>
      <c r="S1929" s="25">
        <v>1439</v>
      </c>
      <c r="T1929" s="32">
        <v>575</v>
      </c>
      <c r="U1929" s="25">
        <v>1192</v>
      </c>
      <c r="V1929" s="25">
        <f>Inventory[[#This Row],[Bsmt]]-Inventory[[#This Row],[FnBsmt]]</f>
        <v>192</v>
      </c>
      <c r="W1929" s="25">
        <v>1000</v>
      </c>
      <c r="X1929" s="27"/>
      <c r="Y1929" s="27">
        <f>Inventory[[#This Row],[MainFn]]+Inventory[[#This Row],[UpprFn]]+Inventory[[#This Row],[FnBsmt]]+Inventory[[#This Row],[AddFn]]</f>
        <v>3014</v>
      </c>
      <c r="Z1929" s="27">
        <v>3500</v>
      </c>
      <c r="AA1929" s="25">
        <v>9</v>
      </c>
      <c r="AB1929" s="27"/>
      <c r="AC1929" s="31"/>
      <c r="AD1929" s="27"/>
      <c r="AE1929" s="27"/>
      <c r="AF1929" s="27"/>
      <c r="AG1929" s="27"/>
      <c r="AH1929" s="27"/>
      <c r="AI1929" s="25">
        <v>501214</v>
      </c>
      <c r="AJ1929" s="25">
        <v>340826</v>
      </c>
      <c r="AK1929" s="25">
        <v>8098</v>
      </c>
      <c r="AL1929" s="25">
        <v>438000</v>
      </c>
      <c r="AM1929" s="25">
        <v>46000</v>
      </c>
      <c r="AN1929" s="25">
        <v>392000</v>
      </c>
      <c r="AO1929" s="25">
        <v>0</v>
      </c>
      <c r="AP1929" s="25">
        <f>Lookups!$B$56*0</f>
        <v>0</v>
      </c>
      <c r="AQ1929" s="25">
        <f>Lookups!$B$56*1</f>
        <v>89850.625589999996</v>
      </c>
      <c r="AR1929" s="25">
        <f>Lookups!$B$57*Inventory[[#This Row],[LnAcres]]</f>
        <v>-62236.546971921947</v>
      </c>
      <c r="AS1929" s="25">
        <f>VLOOKUP(Inventory[[#This Row],[Qlty]],Lookups!$A$62:$E$75,2,FALSE)</f>
        <v>44121.038090000002</v>
      </c>
      <c r="AT1929" s="25">
        <f>VLOOKUP(Inventory[[#This Row],[Cnd]],Lookups!$A$76:$E$84,2,FALSE)</f>
        <v>284810.60806</v>
      </c>
      <c r="AU1929" s="25">
        <f>Inventory[[#This Row],[EffAge]]*Lookups!$B$85</f>
        <v>-12490.553628</v>
      </c>
      <c r="AV1929" s="25">
        <f>Inventory[[#This Row],[MainFn]]*Lookups!$B$86</f>
        <v>71099.075953003005</v>
      </c>
      <c r="AW1929" s="25">
        <f>Inventory[[#This Row],[UpprFn]]*Lookups!$B$87</f>
        <v>25752.193145074998</v>
      </c>
      <c r="AX1929" s="25">
        <f>Inventory[[#This Row],[AddFn]]*Lookups!$B$88</f>
        <v>0</v>
      </c>
      <c r="AY1929" s="25">
        <f>Inventory[[#This Row],[Bsmt]]*Lookups!$B$89</f>
        <v>34665.619134424</v>
      </c>
      <c r="AZ1929" s="25">
        <f>Inventory[[#This Row],[Fixtures]]*Lookups!$B$90</f>
        <v>34128.198946800003</v>
      </c>
      <c r="BA1929" s="25">
        <f>Inventory[[#This Row],[WdDeck]]*Lookups!$B$91</f>
        <v>0</v>
      </c>
      <c r="BB1929" s="25">
        <f>ROUND(Inventory[[#This Row],[25Det]],-2)</f>
        <v>8100</v>
      </c>
      <c r="BC1929" s="25">
        <f>ROUND(SUM(Inventory[[#This Row],[Mdl Qlty]:[Mdl WdDeck]])+Inventory[[#This Row],[Mdl Res Intercept]],-2)</f>
        <v>482100</v>
      </c>
      <c r="BD1929" s="25">
        <f>ROUND(Inventory[[#This Row],[Mdl Land Intercept]]+Inventory[[#This Row],[Mdl LnAcres]],-2)</f>
        <v>27600</v>
      </c>
      <c r="BE1929" s="25">
        <f>Inventory[[#This Row],[Unadj Res Value]]+Inventory[[#This Row],[Unadj Det Value]]+Inventory[[#This Row],[Unadj Land Value]]</f>
        <v>517800</v>
      </c>
      <c r="BF1929" s="36">
        <f>(Inventory[[#This Row],[Unadj Total Value]]-Inventory[[#This Row],[24Final]])/Inventory[[#This Row],[24Final]]</f>
        <v>0.18219178082191781</v>
      </c>
      <c r="BG1929" s="25">
        <f>VLOOKUP(Inventory[[#This Row],[Nbhd]],Lookups!$Q$2:$T$4,4,FALSE)</f>
        <v>0.99970000000000003</v>
      </c>
      <c r="BH1929" s="25">
        <f>VLOOKUP(Inventory[[#This Row],[Qlty]],Lookups!$O$7:$R$21,4,FALSE)</f>
        <v>0.98050000000000004</v>
      </c>
      <c r="BI1929" s="25">
        <f>VLOOKUP(Inventory[[#This Row],[Cnd]],Lookups!$T$7:$W$16,4,FALSE)</f>
        <v>1.0158</v>
      </c>
      <c r="BJ1929" s="25">
        <f>VLOOKUP(Inventory[[#This Row],[LivArea Range]],Lookups!$T$25:$W$37,4,FALSE)</f>
        <v>1.0126999999999999</v>
      </c>
      <c r="BK1929" s="25">
        <f>VLOOKUP(Inventory[[#This Row],[Decade]],Lookups!$O$25:$R$42,4,FALSE)</f>
        <v>1.0074000000000001</v>
      </c>
      <c r="BL1929" s="25">
        <f>Inventory[[#This Row],[Nbhd Adj]]*0.95</f>
        <v>0.94971499999999998</v>
      </c>
      <c r="BM1929" s="25">
        <f>Inventory[[#This Row],[Nbhd Adj]]*Inventory[[#This Row],[Quality Adj]]*Inventory[[#This Row],[Condition Adj]]*Inventory[[#This Row],[Living Area Adj]]*Inventory[[#This Row],[Decade Adj]]*0.95</f>
        <v>0.96501010357527905</v>
      </c>
      <c r="BN1929" s="25">
        <f>ROUND(SUM(Inventory[[#This Row],[Mdl Qlty]:[Mdl WdDeck]])+Inventory[[#This Row],[Mdl Res Intercept]]*Inventory[[#This Row],[Res Adj ]],-2)</f>
        <v>482100</v>
      </c>
      <c r="BO1929" s="25">
        <f>ROUND(Inventory[[#This Row],[25Det]]*Inventory[[#This Row],[Det/Nbhd Adj]],-2)</f>
        <v>7700</v>
      </c>
      <c r="BP1929" s="25">
        <f>Inventory[[#This Row],[Adjusted Res]]+Inventory[[#This Row],[Adj Det ]]</f>
        <v>489800</v>
      </c>
      <c r="BQ1929" s="25">
        <f>ROUND((Inventory[[#This Row],[Mdl Land Intercept]]+Inventory[[#This Row],[Mdl LnAcres]])*Inventory[[#This Row],[Det/Nbhd Adj]],-2)</f>
        <v>26200</v>
      </c>
      <c r="BR1929" s="25">
        <f>Inventory[[#This Row],[Adjusted Impr Total]]+Inventory[[#This Row],[Adjusted Land Total]]</f>
        <v>516000</v>
      </c>
      <c r="BS1929" s="36">
        <f>IFERROR((Inventory[[#This Row],[Adjusted Impr Total]]-Inventory[[#This Row],[24Bldg]])/Inventory[[#This Row],[24Bldg]],0)</f>
        <v>0.24948979591836734</v>
      </c>
      <c r="BT1929" s="36">
        <f>(Inventory[[#This Row],[Adjusted Land Total]]-Inventory[[#This Row],[24Lnd]])/Inventory[[#This Row],[24Lnd]]</f>
        <v>-0.43043478260869567</v>
      </c>
      <c r="BU1929" s="36">
        <f>(Inventory[[#This Row],[Adjusted Total]]-Inventory[[#This Row],[24Final]])/Inventory[[#This Row],[24Final]]</f>
        <v>0.17808219178082191</v>
      </c>
    </row>
    <row r="1930" spans="1:73" x14ac:dyDescent="0.3">
      <c r="A1930" s="25">
        <v>2025</v>
      </c>
      <c r="B1930" s="26" t="s">
        <v>2288</v>
      </c>
      <c r="C1930" s="26">
        <f>LN(Inventory[[#This Row],[Acres]])</f>
        <v>-1.0788096613719298</v>
      </c>
      <c r="D1930" s="25">
        <v>0.34</v>
      </c>
      <c r="E1930" s="27"/>
      <c r="F1930" s="26" t="s">
        <v>537</v>
      </c>
      <c r="G1930" s="26" t="s">
        <v>126</v>
      </c>
      <c r="H1930" s="26" t="s">
        <v>349</v>
      </c>
      <c r="I1930" s="26" t="s">
        <v>538</v>
      </c>
      <c r="J1930" s="26" t="s">
        <v>539</v>
      </c>
      <c r="K1930" s="26" t="s">
        <v>173</v>
      </c>
      <c r="L1930" s="26" t="s">
        <v>95</v>
      </c>
      <c r="M1930" s="26" t="s">
        <v>352</v>
      </c>
      <c r="N1930" s="26">
        <v>100</v>
      </c>
      <c r="O1930" s="26">
        <f>2024-Inventory[[#This Row],[YrBlt]]</f>
        <v>99</v>
      </c>
      <c r="P1930" s="26">
        <f>2024-Inventory[[#This Row],[EffYr]]</f>
        <v>56</v>
      </c>
      <c r="Q1930" s="25">
        <v>1925</v>
      </c>
      <c r="R1930" s="25">
        <v>1968</v>
      </c>
      <c r="S1930" s="25">
        <v>1918</v>
      </c>
      <c r="T1930" s="32">
        <v>568</v>
      </c>
      <c r="U1930" s="25">
        <v>540</v>
      </c>
      <c r="V1930" s="25">
        <f>Inventory[[#This Row],[Bsmt]]-Inventory[[#This Row],[FnBsmt]]</f>
        <v>540</v>
      </c>
      <c r="W1930" s="31"/>
      <c r="X1930" s="27"/>
      <c r="Y1930" s="27">
        <f>Inventory[[#This Row],[MainFn]]+Inventory[[#This Row],[UpprFn]]+Inventory[[#This Row],[FnBsmt]]+Inventory[[#This Row],[AddFn]]</f>
        <v>2486</v>
      </c>
      <c r="Z1930" s="27">
        <v>2500</v>
      </c>
      <c r="AA1930" s="25">
        <v>10</v>
      </c>
      <c r="AB1930" s="32">
        <v>396</v>
      </c>
      <c r="AC1930" s="27"/>
      <c r="AD1930" s="32">
        <v>1005</v>
      </c>
      <c r="AE1930" s="27"/>
      <c r="AF1930" s="27"/>
      <c r="AG1930" s="27"/>
      <c r="AH1930" s="27"/>
      <c r="AI1930" s="25">
        <v>630663</v>
      </c>
      <c r="AJ1930" s="25">
        <v>435157</v>
      </c>
      <c r="AK1930" s="25">
        <v>13228</v>
      </c>
      <c r="AL1930" s="25">
        <v>532400</v>
      </c>
      <c r="AM1930" s="25">
        <v>76900</v>
      </c>
      <c r="AN1930" s="25">
        <v>455500</v>
      </c>
      <c r="AO1930" s="25">
        <v>0</v>
      </c>
      <c r="AP1930" s="25">
        <f>Lookups!$B$56*0</f>
        <v>0</v>
      </c>
      <c r="AQ1930" s="25">
        <f>Lookups!$B$56*1</f>
        <v>89850.625589999996</v>
      </c>
      <c r="AR1930" s="25">
        <f>Lookups!$B$57*Inventory[[#This Row],[LnAcres]]</f>
        <v>-34149.305288406773</v>
      </c>
      <c r="AS1930" s="25">
        <f>VLOOKUP(Inventory[[#This Row],[Qlty]],Lookups!$A$62:$E$75,2,FALSE)</f>
        <v>74268.409664999999</v>
      </c>
      <c r="AT1930" s="25">
        <f>VLOOKUP(Inventory[[#This Row],[Cnd]],Lookups!$A$76:$E$84,2,FALSE)</f>
        <v>284810.60806</v>
      </c>
      <c r="AU1930" s="25">
        <f>Inventory[[#This Row],[EffAge]]*Lookups!$B$85</f>
        <v>-12490.553628</v>
      </c>
      <c r="AV1930" s="25">
        <f>Inventory[[#This Row],[MainFn]]*Lookups!$B$86</f>
        <v>94765.828824085998</v>
      </c>
      <c r="AW1930" s="25">
        <f>Inventory[[#This Row],[UpprFn]]*Lookups!$B$87</f>
        <v>25438.688185047999</v>
      </c>
      <c r="AX1930" s="25">
        <f>Inventory[[#This Row],[AddFn]]*Lookups!$B$88</f>
        <v>0</v>
      </c>
      <c r="AY1930" s="25">
        <f>Inventory[[#This Row],[Bsmt]]*Lookups!$B$89</f>
        <v>15704.223433379999</v>
      </c>
      <c r="AZ1930" s="25">
        <f>Inventory[[#This Row],[Fixtures]]*Lookups!$B$90</f>
        <v>37920.221052000001</v>
      </c>
      <c r="BA1930" s="25">
        <f>Inventory[[#This Row],[WdDeck]]*Lookups!$B$91</f>
        <v>33461.992852380004</v>
      </c>
      <c r="BB1930" s="25">
        <f>ROUND(Inventory[[#This Row],[25Det]],-2)</f>
        <v>13200</v>
      </c>
      <c r="BC1930" s="25">
        <f>ROUND(SUM(Inventory[[#This Row],[Mdl Qlty]:[Mdl WdDeck]])+Inventory[[#This Row],[Mdl Res Intercept]],-2)</f>
        <v>553900</v>
      </c>
      <c r="BD1930" s="25">
        <f>ROUND(Inventory[[#This Row],[Mdl Land Intercept]]+Inventory[[#This Row],[Mdl LnAcres]],-2)</f>
        <v>55700</v>
      </c>
      <c r="BE1930" s="25">
        <f>Inventory[[#This Row],[Unadj Res Value]]+Inventory[[#This Row],[Unadj Det Value]]+Inventory[[#This Row],[Unadj Land Value]]</f>
        <v>622800</v>
      </c>
      <c r="BF1930" s="36">
        <f>(Inventory[[#This Row],[Unadj Total Value]]-Inventory[[#This Row],[24Final]])/Inventory[[#This Row],[24Final]]</f>
        <v>0.16979714500375656</v>
      </c>
      <c r="BG1930" s="25">
        <f>VLOOKUP(Inventory[[#This Row],[Nbhd]],Lookups!$Q$2:$T$4,4,FALSE)</f>
        <v>0.99970000000000003</v>
      </c>
      <c r="BH1930" s="25">
        <f>VLOOKUP(Inventory[[#This Row],[Qlty]],Lookups!$O$7:$R$21,4,FALSE)</f>
        <v>0.98380000000000001</v>
      </c>
      <c r="BI1930" s="25">
        <f>VLOOKUP(Inventory[[#This Row],[Cnd]],Lookups!$T$7:$W$16,4,FALSE)</f>
        <v>1.0158</v>
      </c>
      <c r="BJ1930" s="25">
        <f>VLOOKUP(Inventory[[#This Row],[LivArea Range]],Lookups!$T$25:$W$37,4,FALSE)</f>
        <v>0.98919999999999997</v>
      </c>
      <c r="BK1930" s="25">
        <f>VLOOKUP(Inventory[[#This Row],[Decade]],Lookups!$O$25:$R$42,4,FALSE)</f>
        <v>1.0074000000000001</v>
      </c>
      <c r="BL1930" s="25">
        <f>Inventory[[#This Row],[Nbhd Adj]]*0.95</f>
        <v>0.94971499999999998</v>
      </c>
      <c r="BM1930" s="25">
        <f>Inventory[[#This Row],[Nbhd Adj]]*Inventory[[#This Row],[Quality Adj]]*Inventory[[#This Row],[Condition Adj]]*Inventory[[#This Row],[Living Area Adj]]*Inventory[[#This Row],[Decade Adj]]*0.95</f>
        <v>0.94578926062914082</v>
      </c>
      <c r="BN1930" s="25">
        <f>ROUND(SUM(Inventory[[#This Row],[Mdl Qlty]:[Mdl WdDeck]])+Inventory[[#This Row],[Mdl Res Intercept]]*Inventory[[#This Row],[Res Adj ]],-2)</f>
        <v>553900</v>
      </c>
      <c r="BO1930" s="25">
        <f>ROUND(Inventory[[#This Row],[25Det]]*Inventory[[#This Row],[Det/Nbhd Adj]],-2)</f>
        <v>12600</v>
      </c>
      <c r="BP1930" s="25">
        <f>Inventory[[#This Row],[Adjusted Res]]+Inventory[[#This Row],[Adj Det ]]</f>
        <v>566500</v>
      </c>
      <c r="BQ1930" s="25">
        <f>ROUND((Inventory[[#This Row],[Mdl Land Intercept]]+Inventory[[#This Row],[Mdl LnAcres]])*Inventory[[#This Row],[Det/Nbhd Adj]],-2)</f>
        <v>52900</v>
      </c>
      <c r="BR1930" s="25">
        <f>Inventory[[#This Row],[Adjusted Impr Total]]+Inventory[[#This Row],[Adjusted Land Total]]</f>
        <v>619400</v>
      </c>
      <c r="BS1930" s="36">
        <f>IFERROR((Inventory[[#This Row],[Adjusted Impr Total]]-Inventory[[#This Row],[24Bldg]])/Inventory[[#This Row],[24Bldg]],0)</f>
        <v>0.24368825466520308</v>
      </c>
      <c r="BT1930" s="36">
        <f>(Inventory[[#This Row],[Adjusted Land Total]]-Inventory[[#This Row],[24Lnd]])/Inventory[[#This Row],[24Lnd]]</f>
        <v>-0.31209362808842656</v>
      </c>
      <c r="BU1930" s="36">
        <f>(Inventory[[#This Row],[Adjusted Total]]-Inventory[[#This Row],[24Final]])/Inventory[[#This Row],[24Final]]</f>
        <v>0.16341096919609316</v>
      </c>
    </row>
    <row r="1931" spans="1:73" x14ac:dyDescent="0.3">
      <c r="A1931" s="25">
        <v>2025</v>
      </c>
      <c r="B1931" s="26" t="s">
        <v>1321</v>
      </c>
      <c r="C1931" s="26">
        <f>LN(Inventory[[#This Row],[Acres]])</f>
        <v>-1.8971199848858813</v>
      </c>
      <c r="D1931" s="25">
        <v>0.15</v>
      </c>
      <c r="E1931" s="27"/>
      <c r="F1931" s="26" t="s">
        <v>537</v>
      </c>
      <c r="G1931" s="26" t="s">
        <v>126</v>
      </c>
      <c r="H1931" s="26" t="s">
        <v>349</v>
      </c>
      <c r="I1931" s="26" t="s">
        <v>538</v>
      </c>
      <c r="J1931" s="26" t="s">
        <v>539</v>
      </c>
      <c r="K1931" s="26" t="s">
        <v>269</v>
      </c>
      <c r="L1931" s="26" t="s">
        <v>351</v>
      </c>
      <c r="M1931" s="26" t="s">
        <v>206</v>
      </c>
      <c r="N1931" s="26">
        <v>100</v>
      </c>
      <c r="O1931" s="26">
        <f>2024-Inventory[[#This Row],[YrBlt]]</f>
        <v>99</v>
      </c>
      <c r="P1931" s="26">
        <f>2024-Inventory[[#This Row],[EffYr]]</f>
        <v>56</v>
      </c>
      <c r="Q1931" s="25">
        <v>1925</v>
      </c>
      <c r="R1931" s="25">
        <v>1968</v>
      </c>
      <c r="S1931" s="25">
        <v>1164</v>
      </c>
      <c r="T1931" s="27"/>
      <c r="U1931" s="25">
        <v>864</v>
      </c>
      <c r="V1931" s="25">
        <f>Inventory[[#This Row],[Bsmt]]-Inventory[[#This Row],[FnBsmt]]</f>
        <v>864</v>
      </c>
      <c r="W1931" s="31"/>
      <c r="X1931" s="27"/>
      <c r="Y1931" s="27">
        <f>Inventory[[#This Row],[MainFn]]+Inventory[[#This Row],[UpprFn]]+Inventory[[#This Row],[FnBsmt]]+Inventory[[#This Row],[AddFn]]</f>
        <v>1164</v>
      </c>
      <c r="Z1931" s="27">
        <v>1500</v>
      </c>
      <c r="AA1931" s="25">
        <v>5</v>
      </c>
      <c r="AB1931" s="27"/>
      <c r="AC1931" s="32">
        <v>288</v>
      </c>
      <c r="AD1931" s="32">
        <v>276</v>
      </c>
      <c r="AE1931" s="27"/>
      <c r="AF1931" s="27"/>
      <c r="AG1931" s="27"/>
      <c r="AH1931" s="27"/>
      <c r="AI1931" s="25">
        <v>246795</v>
      </c>
      <c r="AJ1931" s="25">
        <v>153013</v>
      </c>
      <c r="AK1931" s="25">
        <v>0</v>
      </c>
      <c r="AL1931" s="25">
        <v>243300</v>
      </c>
      <c r="AM1931" s="25">
        <v>48400</v>
      </c>
      <c r="AN1931" s="25">
        <v>194900</v>
      </c>
      <c r="AO1931" s="25">
        <v>0</v>
      </c>
      <c r="AP1931" s="25">
        <f>Lookups!$B$56*0</f>
        <v>0</v>
      </c>
      <c r="AQ1931" s="25">
        <f>Lookups!$B$56*1</f>
        <v>89850.625589999996</v>
      </c>
      <c r="AR1931" s="25">
        <f>Lookups!$B$57*Inventory[[#This Row],[LnAcres]]</f>
        <v>-60052.604136134301</v>
      </c>
      <c r="AS1931" s="25">
        <f>VLOOKUP(Inventory[[#This Row],[Qlty]],Lookups!$A$62:$E$75,2,FALSE)</f>
        <v>21557.329055999999</v>
      </c>
      <c r="AT1931" s="25">
        <f>VLOOKUP(Inventory[[#This Row],[Cnd]],Lookups!$A$76:$E$84,2,FALSE)</f>
        <v>133714.53821</v>
      </c>
      <c r="AU1931" s="25">
        <f>Inventory[[#This Row],[EffAge]]*Lookups!$B$85</f>
        <v>-12490.553628</v>
      </c>
      <c r="AV1931" s="25">
        <f>Inventory[[#This Row],[MainFn]]*Lookups!$B$86</f>
        <v>57511.691736828005</v>
      </c>
      <c r="AW1931" s="25">
        <f>Inventory[[#This Row],[UpprFn]]*Lookups!$B$87</f>
        <v>0</v>
      </c>
      <c r="AX1931" s="25">
        <f>Inventory[[#This Row],[AddFn]]*Lookups!$B$88</f>
        <v>0</v>
      </c>
      <c r="AY1931" s="25">
        <f>Inventory[[#This Row],[Bsmt]]*Lookups!$B$89</f>
        <v>25126.757493408</v>
      </c>
      <c r="AZ1931" s="25">
        <f>Inventory[[#This Row],[Fixtures]]*Lookups!$B$90</f>
        <v>18960.110526</v>
      </c>
      <c r="BA1931" s="25">
        <f>Inventory[[#This Row],[WdDeck]]*Lookups!$B$91</f>
        <v>9189.5622161760002</v>
      </c>
      <c r="BB1931" s="25">
        <f>ROUND(Inventory[[#This Row],[25Det]],-2)</f>
        <v>0</v>
      </c>
      <c r="BC1931" s="25">
        <f>ROUND(SUM(Inventory[[#This Row],[Mdl Qlty]:[Mdl WdDeck]])+Inventory[[#This Row],[Mdl Res Intercept]],-2)</f>
        <v>253600</v>
      </c>
      <c r="BD1931" s="25">
        <f>ROUND(Inventory[[#This Row],[Mdl Land Intercept]]+Inventory[[#This Row],[Mdl LnAcres]],-2)</f>
        <v>29800</v>
      </c>
      <c r="BE1931" s="25">
        <f>Inventory[[#This Row],[Unadj Res Value]]+Inventory[[#This Row],[Unadj Det Value]]+Inventory[[#This Row],[Unadj Land Value]]</f>
        <v>283400</v>
      </c>
      <c r="BF1931" s="36">
        <f>(Inventory[[#This Row],[Unadj Total Value]]-Inventory[[#This Row],[24Final]])/Inventory[[#This Row],[24Final]]</f>
        <v>0.1648170982326346</v>
      </c>
      <c r="BG1931" s="25">
        <f>VLOOKUP(Inventory[[#This Row],[Nbhd]],Lookups!$Q$2:$T$4,4,FALSE)</f>
        <v>0.99970000000000003</v>
      </c>
      <c r="BH1931" s="25">
        <f>VLOOKUP(Inventory[[#This Row],[Qlty]],Lookups!$O$7:$R$21,4,FALSE)</f>
        <v>1.0067999999999999</v>
      </c>
      <c r="BI1931" s="25">
        <f>VLOOKUP(Inventory[[#This Row],[Cnd]],Lookups!$T$7:$W$16,4,FALSE)</f>
        <v>0.99329999999999996</v>
      </c>
      <c r="BJ1931" s="25">
        <f>VLOOKUP(Inventory[[#This Row],[LivArea Range]],Lookups!$T$25:$W$37,4,FALSE)</f>
        <v>1.0157</v>
      </c>
      <c r="BK1931" s="25">
        <f>VLOOKUP(Inventory[[#This Row],[Decade]],Lookups!$O$25:$R$42,4,FALSE)</f>
        <v>1.0074000000000001</v>
      </c>
      <c r="BL1931" s="25">
        <f>Inventory[[#This Row],[Nbhd Adj]]*0.95</f>
        <v>0.94971499999999998</v>
      </c>
      <c r="BM1931" s="25">
        <f>Inventory[[#This Row],[Nbhd Adj]]*Inventory[[#This Row],[Quality Adj]]*Inventory[[#This Row],[Condition Adj]]*Inventory[[#This Row],[Living Area Adj]]*Inventory[[#This Row],[Decade Adj]]*0.95</f>
        <v>0.971816657207489</v>
      </c>
      <c r="BN1931" s="25">
        <f>ROUND(SUM(Inventory[[#This Row],[Mdl Qlty]:[Mdl WdDeck]])+Inventory[[#This Row],[Mdl Res Intercept]]*Inventory[[#This Row],[Res Adj ]],-2)</f>
        <v>253600</v>
      </c>
      <c r="BO1931" s="25">
        <f>ROUND(Inventory[[#This Row],[25Det]]*Inventory[[#This Row],[Det/Nbhd Adj]],-2)</f>
        <v>0</v>
      </c>
      <c r="BP1931" s="25">
        <f>Inventory[[#This Row],[Adjusted Res]]+Inventory[[#This Row],[Adj Det ]]</f>
        <v>253600</v>
      </c>
      <c r="BQ1931" s="25">
        <f>ROUND((Inventory[[#This Row],[Mdl Land Intercept]]+Inventory[[#This Row],[Mdl LnAcres]])*Inventory[[#This Row],[Det/Nbhd Adj]],-2)</f>
        <v>28300</v>
      </c>
      <c r="BR1931" s="25">
        <f>Inventory[[#This Row],[Adjusted Impr Total]]+Inventory[[#This Row],[Adjusted Land Total]]</f>
        <v>281900</v>
      </c>
      <c r="BS1931" s="36">
        <f>IFERROR((Inventory[[#This Row],[Adjusted Impr Total]]-Inventory[[#This Row],[24Bldg]])/Inventory[[#This Row],[24Bldg]],0)</f>
        <v>0.30118009235505389</v>
      </c>
      <c r="BT1931" s="36">
        <f>(Inventory[[#This Row],[Adjusted Land Total]]-Inventory[[#This Row],[24Lnd]])/Inventory[[#This Row],[24Lnd]]</f>
        <v>-0.41528925619834711</v>
      </c>
      <c r="BU1931" s="36">
        <f>(Inventory[[#This Row],[Adjusted Total]]-Inventory[[#This Row],[24Final]])/Inventory[[#This Row],[24Final]]</f>
        <v>0.1586518701191944</v>
      </c>
    </row>
    <row r="1932" spans="1:73" x14ac:dyDescent="0.3">
      <c r="A1932" s="25">
        <v>2025</v>
      </c>
      <c r="B1932" s="26" t="s">
        <v>2660</v>
      </c>
      <c r="C1932" s="26">
        <f>LN(Inventory[[#This Row],[Acres]])</f>
        <v>-1.6607312068216509</v>
      </c>
      <c r="D1932" s="25">
        <v>0.19</v>
      </c>
      <c r="E1932" s="27"/>
      <c r="F1932" s="26" t="s">
        <v>537</v>
      </c>
      <c r="G1932" s="26" t="s">
        <v>126</v>
      </c>
      <c r="H1932" s="26" t="s">
        <v>349</v>
      </c>
      <c r="I1932" s="26" t="s">
        <v>538</v>
      </c>
      <c r="J1932" s="26" t="s">
        <v>539</v>
      </c>
      <c r="K1932" s="26" t="s">
        <v>417</v>
      </c>
      <c r="L1932" s="26" t="s">
        <v>148</v>
      </c>
      <c r="M1932" s="26" t="s">
        <v>352</v>
      </c>
      <c r="N1932" s="26">
        <v>100</v>
      </c>
      <c r="O1932" s="26">
        <f>2024-Inventory[[#This Row],[YrBlt]]</f>
        <v>99</v>
      </c>
      <c r="P1932" s="26">
        <f>2024-Inventory[[#This Row],[EffYr]]</f>
        <v>56</v>
      </c>
      <c r="Q1932" s="25">
        <v>1925</v>
      </c>
      <c r="R1932" s="25">
        <v>1968</v>
      </c>
      <c r="S1932" s="25">
        <v>1572</v>
      </c>
      <c r="T1932" s="25">
        <v>390</v>
      </c>
      <c r="U1932" s="25">
        <v>1180</v>
      </c>
      <c r="V1932" s="32">
        <f>Inventory[[#This Row],[Bsmt]]-Inventory[[#This Row],[FnBsmt]]</f>
        <v>0</v>
      </c>
      <c r="W1932" s="32">
        <v>1180</v>
      </c>
      <c r="X1932" s="27"/>
      <c r="Y1932" s="27">
        <f>Inventory[[#This Row],[MainFn]]+Inventory[[#This Row],[UpprFn]]+Inventory[[#This Row],[FnBsmt]]+Inventory[[#This Row],[AddFn]]</f>
        <v>3142</v>
      </c>
      <c r="Z1932" s="27">
        <v>3500</v>
      </c>
      <c r="AA1932" s="25">
        <v>8</v>
      </c>
      <c r="AB1932" s="27"/>
      <c r="AC1932" s="31"/>
      <c r="AD1932" s="27"/>
      <c r="AE1932" s="27"/>
      <c r="AF1932" s="27"/>
      <c r="AG1932" s="27"/>
      <c r="AH1932" s="27"/>
      <c r="AI1932" s="25">
        <v>546999</v>
      </c>
      <c r="AJ1932" s="25">
        <v>371959</v>
      </c>
      <c r="AK1932" s="25">
        <v>6987</v>
      </c>
      <c r="AL1932" s="25">
        <v>447500</v>
      </c>
      <c r="AM1932" s="25">
        <v>56600</v>
      </c>
      <c r="AN1932" s="25">
        <v>390900</v>
      </c>
      <c r="AO1932" s="25">
        <v>0</v>
      </c>
      <c r="AP1932" s="25">
        <f>Lookups!$B$56*0</f>
        <v>0</v>
      </c>
      <c r="AQ1932" s="25">
        <f>Lookups!$B$56*1</f>
        <v>89850.625589999996</v>
      </c>
      <c r="AR1932" s="25">
        <f>Lookups!$B$57*Inventory[[#This Row],[LnAcres]]</f>
        <v>-52569.808201026557</v>
      </c>
      <c r="AS1932" s="25">
        <f>VLOOKUP(Inventory[[#This Row],[Qlty]],Lookups!$A$62:$E$75,2,FALSE)</f>
        <v>44121.038090000002</v>
      </c>
      <c r="AT1932" s="25">
        <f>VLOOKUP(Inventory[[#This Row],[Cnd]],Lookups!$A$76:$E$84,2,FALSE)</f>
        <v>284810.60806</v>
      </c>
      <c r="AU1932" s="25">
        <f>Inventory[[#This Row],[EffAge]]*Lookups!$B$85</f>
        <v>-12490.553628</v>
      </c>
      <c r="AV1932" s="25">
        <f>Inventory[[#This Row],[MainFn]]*Lookups!$B$86</f>
        <v>77670.429046644</v>
      </c>
      <c r="AW1932" s="25">
        <f>Inventory[[#This Row],[UpprFn]]*Lookups!$B$87</f>
        <v>17466.70491579</v>
      </c>
      <c r="AX1932" s="25">
        <f>Inventory[[#This Row],[AddFn]]*Lookups!$B$88</f>
        <v>0</v>
      </c>
      <c r="AY1932" s="25">
        <f>Inventory[[#This Row],[Bsmt]]*Lookups!$B$89</f>
        <v>34316.636391460001</v>
      </c>
      <c r="AZ1932" s="25">
        <f>Inventory[[#This Row],[Fixtures]]*Lookups!$B$90</f>
        <v>30336.176841600001</v>
      </c>
      <c r="BA1932" s="25">
        <f>Inventory[[#This Row],[WdDeck]]*Lookups!$B$91</f>
        <v>0</v>
      </c>
      <c r="BB1932" s="25">
        <f>ROUND(Inventory[[#This Row],[25Det]],-2)</f>
        <v>7000</v>
      </c>
      <c r="BC1932" s="25">
        <f>ROUND(SUM(Inventory[[#This Row],[Mdl Qlty]:[Mdl WdDeck]])+Inventory[[#This Row],[Mdl Res Intercept]],-2)</f>
        <v>476200</v>
      </c>
      <c r="BD1932" s="25">
        <f>ROUND(Inventory[[#This Row],[Mdl Land Intercept]]+Inventory[[#This Row],[Mdl LnAcres]],-2)</f>
        <v>37300</v>
      </c>
      <c r="BE1932" s="25">
        <f>Inventory[[#This Row],[Unadj Res Value]]+Inventory[[#This Row],[Unadj Det Value]]+Inventory[[#This Row],[Unadj Land Value]]</f>
        <v>520500</v>
      </c>
      <c r="BF1932" s="36">
        <f>(Inventory[[#This Row],[Unadj Total Value]]-Inventory[[#This Row],[24Final]])/Inventory[[#This Row],[24Final]]</f>
        <v>0.16312849162011173</v>
      </c>
      <c r="BG1932" s="25">
        <f>VLOOKUP(Inventory[[#This Row],[Nbhd]],Lookups!$Q$2:$T$4,4,FALSE)</f>
        <v>0.99970000000000003</v>
      </c>
      <c r="BH1932" s="25">
        <f>VLOOKUP(Inventory[[#This Row],[Qlty]],Lookups!$O$7:$R$21,4,FALSE)</f>
        <v>0.98050000000000004</v>
      </c>
      <c r="BI1932" s="25">
        <f>VLOOKUP(Inventory[[#This Row],[Cnd]],Lookups!$T$7:$W$16,4,FALSE)</f>
        <v>1.0158</v>
      </c>
      <c r="BJ1932" s="25">
        <f>VLOOKUP(Inventory[[#This Row],[LivArea Range]],Lookups!$T$25:$W$37,4,FALSE)</f>
        <v>1.0126999999999999</v>
      </c>
      <c r="BK1932" s="25">
        <f>VLOOKUP(Inventory[[#This Row],[Decade]],Lookups!$O$25:$R$42,4,FALSE)</f>
        <v>1.0074000000000001</v>
      </c>
      <c r="BL1932" s="25">
        <f>Inventory[[#This Row],[Nbhd Adj]]*0.95</f>
        <v>0.94971499999999998</v>
      </c>
      <c r="BM1932" s="25">
        <f>Inventory[[#This Row],[Nbhd Adj]]*Inventory[[#This Row],[Quality Adj]]*Inventory[[#This Row],[Condition Adj]]*Inventory[[#This Row],[Living Area Adj]]*Inventory[[#This Row],[Decade Adj]]*0.95</f>
        <v>0.96501010357527905</v>
      </c>
      <c r="BN1932" s="25">
        <f>ROUND(SUM(Inventory[[#This Row],[Mdl Qlty]:[Mdl WdDeck]])+Inventory[[#This Row],[Mdl Res Intercept]]*Inventory[[#This Row],[Res Adj ]],-2)</f>
        <v>476200</v>
      </c>
      <c r="BO1932" s="25">
        <f>ROUND(Inventory[[#This Row],[25Det]]*Inventory[[#This Row],[Det/Nbhd Adj]],-2)</f>
        <v>6600</v>
      </c>
      <c r="BP1932" s="25">
        <f>Inventory[[#This Row],[Adjusted Res]]+Inventory[[#This Row],[Adj Det ]]</f>
        <v>482800</v>
      </c>
      <c r="BQ1932" s="25">
        <f>ROUND((Inventory[[#This Row],[Mdl Land Intercept]]+Inventory[[#This Row],[Mdl LnAcres]])*Inventory[[#This Row],[Det/Nbhd Adj]],-2)</f>
        <v>35400</v>
      </c>
      <c r="BR1932" s="25">
        <f>Inventory[[#This Row],[Adjusted Impr Total]]+Inventory[[#This Row],[Adjusted Land Total]]</f>
        <v>518200</v>
      </c>
      <c r="BS1932" s="36">
        <f>IFERROR((Inventory[[#This Row],[Adjusted Impr Total]]-Inventory[[#This Row],[24Bldg]])/Inventory[[#This Row],[24Bldg]],0)</f>
        <v>0.23509849066257354</v>
      </c>
      <c r="BT1932" s="36">
        <f>(Inventory[[#This Row],[Adjusted Land Total]]-Inventory[[#This Row],[24Lnd]])/Inventory[[#This Row],[24Lnd]]</f>
        <v>-0.37455830388692579</v>
      </c>
      <c r="BU1932" s="36">
        <f>(Inventory[[#This Row],[Adjusted Total]]-Inventory[[#This Row],[24Final]])/Inventory[[#This Row],[24Final]]</f>
        <v>0.15798882681564247</v>
      </c>
    </row>
    <row r="1933" spans="1:73" x14ac:dyDescent="0.3">
      <c r="A1933" s="25">
        <v>2025</v>
      </c>
      <c r="B1933" s="26" t="s">
        <v>2715</v>
      </c>
      <c r="C1933" s="26">
        <f>LN(Inventory[[#This Row],[Acres]])</f>
        <v>-2.0402208285265546</v>
      </c>
      <c r="D1933" s="25">
        <v>0.13</v>
      </c>
      <c r="E1933" s="31"/>
      <c r="F1933" s="26" t="s">
        <v>537</v>
      </c>
      <c r="G1933" s="26" t="s">
        <v>126</v>
      </c>
      <c r="H1933" s="26" t="s">
        <v>349</v>
      </c>
      <c r="I1933" s="26" t="s">
        <v>538</v>
      </c>
      <c r="J1933" s="26" t="s">
        <v>539</v>
      </c>
      <c r="K1933" s="26" t="s">
        <v>269</v>
      </c>
      <c r="L1933" s="26" t="s">
        <v>302</v>
      </c>
      <c r="M1933" s="26" t="s">
        <v>303</v>
      </c>
      <c r="N1933" s="26">
        <v>100</v>
      </c>
      <c r="O1933" s="26">
        <f>2024-Inventory[[#This Row],[YrBlt]]</f>
        <v>99</v>
      </c>
      <c r="P1933" s="26">
        <f>2024-Inventory[[#This Row],[EffYr]]</f>
        <v>56</v>
      </c>
      <c r="Q1933" s="25">
        <v>1925</v>
      </c>
      <c r="R1933" s="25">
        <v>1968</v>
      </c>
      <c r="S1933" s="25">
        <v>1104</v>
      </c>
      <c r="T1933" s="27"/>
      <c r="U1933" s="25">
        <v>600</v>
      </c>
      <c r="V1933" s="25">
        <f>Inventory[[#This Row],[Bsmt]]-Inventory[[#This Row],[FnBsmt]]</f>
        <v>0</v>
      </c>
      <c r="W1933" s="25">
        <v>600</v>
      </c>
      <c r="X1933" s="27"/>
      <c r="Y1933" s="27">
        <f>Inventory[[#This Row],[MainFn]]+Inventory[[#This Row],[UpprFn]]+Inventory[[#This Row],[FnBsmt]]+Inventory[[#This Row],[AddFn]]</f>
        <v>1704</v>
      </c>
      <c r="Z1933" s="27">
        <v>2000</v>
      </c>
      <c r="AA1933" s="25">
        <v>5</v>
      </c>
      <c r="AB1933" s="27"/>
      <c r="AC1933" s="27"/>
      <c r="AD1933" s="25">
        <v>618</v>
      </c>
      <c r="AE1933" s="27"/>
      <c r="AF1933" s="27"/>
      <c r="AG1933" s="27"/>
      <c r="AH1933" s="27"/>
      <c r="AI1933" s="25">
        <v>288562</v>
      </c>
      <c r="AJ1933" s="25">
        <v>190451</v>
      </c>
      <c r="AK1933" s="25">
        <v>4945</v>
      </c>
      <c r="AL1933" s="25">
        <v>307500</v>
      </c>
      <c r="AM1933" s="25">
        <v>43400</v>
      </c>
      <c r="AN1933" s="25">
        <v>264100</v>
      </c>
      <c r="AO1933" s="25">
        <v>0</v>
      </c>
      <c r="AP1933" s="25">
        <f>Lookups!$B$56*0</f>
        <v>0</v>
      </c>
      <c r="AQ1933" s="25">
        <f>Lookups!$B$56*1</f>
        <v>89850.625589999996</v>
      </c>
      <c r="AR1933" s="25">
        <f>Lookups!$B$57*Inventory[[#This Row],[LnAcres]]</f>
        <v>-64582.406353792743</v>
      </c>
      <c r="AS1933" s="25">
        <f>VLOOKUP(Inventory[[#This Row],[Qlty]],Lookups!$A$62:$E$75,2,FALSE)</f>
        <v>29814.093161000001</v>
      </c>
      <c r="AT1933" s="25">
        <f>VLOOKUP(Inventory[[#This Row],[Cnd]],Lookups!$A$76:$E$84,2,FALSE)</f>
        <v>197752.34721000001</v>
      </c>
      <c r="AU1933" s="25">
        <f>Inventory[[#This Row],[EffAge]]*Lookups!$B$85</f>
        <v>-12490.553628</v>
      </c>
      <c r="AV1933" s="25">
        <f>Inventory[[#This Row],[MainFn]]*Lookups!$B$86</f>
        <v>54547.171544208002</v>
      </c>
      <c r="AW1933" s="25">
        <f>Inventory[[#This Row],[UpprFn]]*Lookups!$B$87</f>
        <v>0</v>
      </c>
      <c r="AX1933" s="25">
        <f>Inventory[[#This Row],[AddFn]]*Lookups!$B$88</f>
        <v>0</v>
      </c>
      <c r="AY1933" s="25">
        <f>Inventory[[#This Row],[Bsmt]]*Lookups!$B$89</f>
        <v>17449.1371482</v>
      </c>
      <c r="AZ1933" s="25">
        <f>Inventory[[#This Row],[Fixtures]]*Lookups!$B$90</f>
        <v>18960.110526</v>
      </c>
      <c r="BA1933" s="25">
        <f>Inventory[[#This Row],[WdDeck]]*Lookups!$B$91</f>
        <v>20576.628440568002</v>
      </c>
      <c r="BB1933" s="25">
        <f>ROUND(Inventory[[#This Row],[25Det]],-2)</f>
        <v>4900</v>
      </c>
      <c r="BC1933" s="25">
        <f>ROUND(SUM(Inventory[[#This Row],[Mdl Qlty]:[Mdl WdDeck]])+Inventory[[#This Row],[Mdl Res Intercept]],-2)</f>
        <v>326600</v>
      </c>
      <c r="BD1933" s="25">
        <f>ROUND(Inventory[[#This Row],[Mdl Land Intercept]]+Inventory[[#This Row],[Mdl LnAcres]],-2)</f>
        <v>25300</v>
      </c>
      <c r="BE1933" s="25">
        <f>Inventory[[#This Row],[Unadj Res Value]]+Inventory[[#This Row],[Unadj Det Value]]+Inventory[[#This Row],[Unadj Land Value]]</f>
        <v>356800</v>
      </c>
      <c r="BF1933" s="36">
        <f>(Inventory[[#This Row],[Unadj Total Value]]-Inventory[[#This Row],[24Final]])/Inventory[[#This Row],[24Final]]</f>
        <v>0.16032520325203253</v>
      </c>
      <c r="BG1933" s="25">
        <f>VLOOKUP(Inventory[[#This Row],[Nbhd]],Lookups!$Q$2:$T$4,4,FALSE)</f>
        <v>0.99970000000000003</v>
      </c>
      <c r="BH1933" s="25">
        <f>VLOOKUP(Inventory[[#This Row],[Qlty]],Lookups!$O$7:$R$21,4,FALSE)</f>
        <v>1.0088999999999999</v>
      </c>
      <c r="BI1933" s="25">
        <f>VLOOKUP(Inventory[[#This Row],[Cnd]],Lookups!$T$7:$W$16,4,FALSE)</f>
        <v>0.99650000000000005</v>
      </c>
      <c r="BJ1933" s="25">
        <f>VLOOKUP(Inventory[[#This Row],[LivArea Range]],Lookups!$T$25:$W$37,4,FALSE)</f>
        <v>1.0093000000000001</v>
      </c>
      <c r="BK1933" s="25">
        <f>VLOOKUP(Inventory[[#This Row],[Decade]],Lookups!$O$25:$R$42,4,FALSE)</f>
        <v>1.0074000000000001</v>
      </c>
      <c r="BL1933" s="25">
        <f>Inventory[[#This Row],[Nbhd Adj]]*0.95</f>
        <v>0.94971499999999998</v>
      </c>
      <c r="BM1933" s="25">
        <f>Inventory[[#This Row],[Nbhd Adj]]*Inventory[[#This Row],[Quality Adj]]*Inventory[[#This Row],[Condition Adj]]*Inventory[[#This Row],[Living Area Adj]]*Inventory[[#This Row],[Decade Adj]]*0.95</f>
        <v>0.97082497942099955</v>
      </c>
      <c r="BN1933" s="25">
        <f>ROUND(SUM(Inventory[[#This Row],[Mdl Qlty]:[Mdl WdDeck]])+Inventory[[#This Row],[Mdl Res Intercept]]*Inventory[[#This Row],[Res Adj ]],-2)</f>
        <v>326600</v>
      </c>
      <c r="BO1933" s="25">
        <f>ROUND(Inventory[[#This Row],[25Det]]*Inventory[[#This Row],[Det/Nbhd Adj]],-2)</f>
        <v>4700</v>
      </c>
      <c r="BP1933" s="25">
        <f>Inventory[[#This Row],[Adjusted Res]]+Inventory[[#This Row],[Adj Det ]]</f>
        <v>331300</v>
      </c>
      <c r="BQ1933" s="25">
        <f>ROUND((Inventory[[#This Row],[Mdl Land Intercept]]+Inventory[[#This Row],[Mdl LnAcres]])*Inventory[[#This Row],[Det/Nbhd Adj]],-2)</f>
        <v>24000</v>
      </c>
      <c r="BR1933" s="25">
        <f>Inventory[[#This Row],[Adjusted Impr Total]]+Inventory[[#This Row],[Adjusted Land Total]]</f>
        <v>355300</v>
      </c>
      <c r="BS1933" s="36">
        <f>IFERROR((Inventory[[#This Row],[Adjusted Impr Total]]-Inventory[[#This Row],[24Bldg]])/Inventory[[#This Row],[24Bldg]],0)</f>
        <v>0.25444907232109049</v>
      </c>
      <c r="BT1933" s="36">
        <f>(Inventory[[#This Row],[Adjusted Land Total]]-Inventory[[#This Row],[24Lnd]])/Inventory[[#This Row],[24Lnd]]</f>
        <v>-0.44700460829493088</v>
      </c>
      <c r="BU1933" s="36">
        <f>(Inventory[[#This Row],[Adjusted Total]]-Inventory[[#This Row],[24Final]])/Inventory[[#This Row],[24Final]]</f>
        <v>0.15544715447154472</v>
      </c>
    </row>
    <row r="1934" spans="1:73" x14ac:dyDescent="0.3">
      <c r="A1934" s="25">
        <v>2025</v>
      </c>
      <c r="B1934" s="26" t="s">
        <v>1029</v>
      </c>
      <c r="C1934" s="26">
        <f>LN(Inventory[[#This Row],[Acres]])</f>
        <v>-1.2729656758128873</v>
      </c>
      <c r="D1934" s="25">
        <v>0.28000000000000003</v>
      </c>
      <c r="E1934" s="27"/>
      <c r="F1934" s="26" t="s">
        <v>537</v>
      </c>
      <c r="G1934" s="26" t="s">
        <v>126</v>
      </c>
      <c r="H1934" s="26" t="s">
        <v>349</v>
      </c>
      <c r="I1934" s="26" t="s">
        <v>538</v>
      </c>
      <c r="J1934" s="26" t="s">
        <v>539</v>
      </c>
      <c r="K1934" s="26" t="s">
        <v>269</v>
      </c>
      <c r="L1934" s="26" t="s">
        <v>148</v>
      </c>
      <c r="M1934" s="26" t="s">
        <v>352</v>
      </c>
      <c r="N1934" s="26">
        <v>100</v>
      </c>
      <c r="O1934" s="26">
        <f>2024-Inventory[[#This Row],[YrBlt]]</f>
        <v>99</v>
      </c>
      <c r="P1934" s="26">
        <f>2024-Inventory[[#This Row],[EffYr]]</f>
        <v>56</v>
      </c>
      <c r="Q1934" s="25">
        <v>1925</v>
      </c>
      <c r="R1934" s="25">
        <v>1968</v>
      </c>
      <c r="S1934" s="25">
        <v>2064</v>
      </c>
      <c r="T1934" s="31"/>
      <c r="U1934" s="25">
        <v>1043</v>
      </c>
      <c r="V1934" s="32">
        <f>Inventory[[#This Row],[Bsmt]]-Inventory[[#This Row],[FnBsmt]]</f>
        <v>0</v>
      </c>
      <c r="W1934" s="32">
        <v>1043</v>
      </c>
      <c r="X1934" s="27"/>
      <c r="Y1934" s="27">
        <f>Inventory[[#This Row],[MainFn]]+Inventory[[#This Row],[UpprFn]]+Inventory[[#This Row],[FnBsmt]]+Inventory[[#This Row],[AddFn]]</f>
        <v>3107</v>
      </c>
      <c r="Z1934" s="27">
        <v>3500</v>
      </c>
      <c r="AA1934" s="25">
        <v>8</v>
      </c>
      <c r="AB1934" s="27"/>
      <c r="AC1934" s="27"/>
      <c r="AD1934" s="27"/>
      <c r="AE1934" s="27"/>
      <c r="AF1934" s="27"/>
      <c r="AG1934" s="27"/>
      <c r="AH1934" s="27"/>
      <c r="AI1934" s="25">
        <v>532162</v>
      </c>
      <c r="AJ1934" s="25">
        <v>361870</v>
      </c>
      <c r="AK1934" s="25">
        <v>9773</v>
      </c>
      <c r="AL1934" s="25">
        <v>466900</v>
      </c>
      <c r="AM1934" s="25">
        <v>70100</v>
      </c>
      <c r="AN1934" s="25">
        <v>396800</v>
      </c>
      <c r="AO1934" s="25">
        <v>0</v>
      </c>
      <c r="AP1934" s="25">
        <f>Lookups!$B$56*0</f>
        <v>0</v>
      </c>
      <c r="AQ1934" s="25">
        <f>Lookups!$B$56*1</f>
        <v>89850.625589999996</v>
      </c>
      <c r="AR1934" s="25">
        <f>Lookups!$B$57*Inventory[[#This Row],[LnAcres]]</f>
        <v>-40295.239319339329</v>
      </c>
      <c r="AS1934" s="25">
        <f>VLOOKUP(Inventory[[#This Row],[Qlty]],Lookups!$A$62:$E$75,2,FALSE)</f>
        <v>44121.038090000002</v>
      </c>
      <c r="AT1934" s="25">
        <f>VLOOKUP(Inventory[[#This Row],[Cnd]],Lookups!$A$76:$E$84,2,FALSE)</f>
        <v>284810.60806</v>
      </c>
      <c r="AU1934" s="25">
        <f>Inventory[[#This Row],[EffAge]]*Lookups!$B$85</f>
        <v>-12490.553628</v>
      </c>
      <c r="AV1934" s="25">
        <f>Inventory[[#This Row],[MainFn]]*Lookups!$B$86</f>
        <v>101979.494626128</v>
      </c>
      <c r="AW1934" s="25">
        <f>Inventory[[#This Row],[UpprFn]]*Lookups!$B$87</f>
        <v>0</v>
      </c>
      <c r="AX1934" s="25">
        <f>Inventory[[#This Row],[AddFn]]*Lookups!$B$88</f>
        <v>0</v>
      </c>
      <c r="AY1934" s="25">
        <f>Inventory[[#This Row],[Bsmt]]*Lookups!$B$89</f>
        <v>30332.416742620997</v>
      </c>
      <c r="AZ1934" s="25">
        <f>Inventory[[#This Row],[Fixtures]]*Lookups!$B$90</f>
        <v>30336.176841600001</v>
      </c>
      <c r="BA1934" s="25">
        <f>Inventory[[#This Row],[WdDeck]]*Lookups!$B$91</f>
        <v>0</v>
      </c>
      <c r="BB1934" s="25">
        <f>ROUND(Inventory[[#This Row],[25Det]],-2)</f>
        <v>9800</v>
      </c>
      <c r="BC1934" s="25">
        <f>ROUND(SUM(Inventory[[#This Row],[Mdl Qlty]:[Mdl WdDeck]])+Inventory[[#This Row],[Mdl Res Intercept]],-2)</f>
        <v>479100</v>
      </c>
      <c r="BD1934" s="25">
        <f>ROUND(Inventory[[#This Row],[Mdl Land Intercept]]+Inventory[[#This Row],[Mdl LnAcres]],-2)</f>
        <v>49600</v>
      </c>
      <c r="BE1934" s="25">
        <f>Inventory[[#This Row],[Unadj Res Value]]+Inventory[[#This Row],[Unadj Det Value]]+Inventory[[#This Row],[Unadj Land Value]]</f>
        <v>538500</v>
      </c>
      <c r="BF1934" s="36">
        <f>(Inventory[[#This Row],[Unadj Total Value]]-Inventory[[#This Row],[24Final]])/Inventory[[#This Row],[24Final]]</f>
        <v>0.153351895480831</v>
      </c>
      <c r="BG1934" s="25">
        <f>VLOOKUP(Inventory[[#This Row],[Nbhd]],Lookups!$Q$2:$T$4,4,FALSE)</f>
        <v>0.99970000000000003</v>
      </c>
      <c r="BH1934" s="25">
        <f>VLOOKUP(Inventory[[#This Row],[Qlty]],Lookups!$O$7:$R$21,4,FALSE)</f>
        <v>0.98050000000000004</v>
      </c>
      <c r="BI1934" s="25">
        <f>VLOOKUP(Inventory[[#This Row],[Cnd]],Lookups!$T$7:$W$16,4,FALSE)</f>
        <v>1.0158</v>
      </c>
      <c r="BJ1934" s="25">
        <f>VLOOKUP(Inventory[[#This Row],[LivArea Range]],Lookups!$T$25:$W$37,4,FALSE)</f>
        <v>1.0126999999999999</v>
      </c>
      <c r="BK1934" s="25">
        <f>VLOOKUP(Inventory[[#This Row],[Decade]],Lookups!$O$25:$R$42,4,FALSE)</f>
        <v>1.0074000000000001</v>
      </c>
      <c r="BL1934" s="25">
        <f>Inventory[[#This Row],[Nbhd Adj]]*0.95</f>
        <v>0.94971499999999998</v>
      </c>
      <c r="BM1934" s="25">
        <f>Inventory[[#This Row],[Nbhd Adj]]*Inventory[[#This Row],[Quality Adj]]*Inventory[[#This Row],[Condition Adj]]*Inventory[[#This Row],[Living Area Adj]]*Inventory[[#This Row],[Decade Adj]]*0.95</f>
        <v>0.96501010357527905</v>
      </c>
      <c r="BN1934" s="25">
        <f>ROUND(SUM(Inventory[[#This Row],[Mdl Qlty]:[Mdl WdDeck]])+Inventory[[#This Row],[Mdl Res Intercept]]*Inventory[[#This Row],[Res Adj ]],-2)</f>
        <v>479100</v>
      </c>
      <c r="BO1934" s="25">
        <f>ROUND(Inventory[[#This Row],[25Det]]*Inventory[[#This Row],[Det/Nbhd Adj]],-2)</f>
        <v>9300</v>
      </c>
      <c r="BP1934" s="25">
        <f>Inventory[[#This Row],[Adjusted Res]]+Inventory[[#This Row],[Adj Det ]]</f>
        <v>488400</v>
      </c>
      <c r="BQ1934" s="25">
        <f>ROUND((Inventory[[#This Row],[Mdl Land Intercept]]+Inventory[[#This Row],[Mdl LnAcres]])*Inventory[[#This Row],[Det/Nbhd Adj]],-2)</f>
        <v>47100</v>
      </c>
      <c r="BR1934" s="25">
        <f>Inventory[[#This Row],[Adjusted Impr Total]]+Inventory[[#This Row],[Adjusted Land Total]]</f>
        <v>535500</v>
      </c>
      <c r="BS1934" s="36">
        <f>IFERROR((Inventory[[#This Row],[Adjusted Impr Total]]-Inventory[[#This Row],[24Bldg]])/Inventory[[#This Row],[24Bldg]],0)</f>
        <v>0.23084677419354838</v>
      </c>
      <c r="BT1934" s="36">
        <f>(Inventory[[#This Row],[Adjusted Land Total]]-Inventory[[#This Row],[24Lnd]])/Inventory[[#This Row],[24Lnd]]</f>
        <v>-0.32810271041369471</v>
      </c>
      <c r="BU1934" s="36">
        <f>(Inventory[[#This Row],[Adjusted Total]]-Inventory[[#This Row],[24Final]])/Inventory[[#This Row],[24Final]]</f>
        <v>0.14692653673163419</v>
      </c>
    </row>
    <row r="1935" spans="1:73" x14ac:dyDescent="0.3">
      <c r="A1935" s="25">
        <v>2025</v>
      </c>
      <c r="B1935" s="26" t="s">
        <v>1918</v>
      </c>
      <c r="C1935" s="26">
        <f>LN(Inventory[[#This Row],[Acres]])</f>
        <v>-1.8325814637483102</v>
      </c>
      <c r="D1935" s="25">
        <v>0.16</v>
      </c>
      <c r="E1935" s="27"/>
      <c r="F1935" s="26" t="s">
        <v>537</v>
      </c>
      <c r="G1935" s="26" t="s">
        <v>126</v>
      </c>
      <c r="H1935" s="26" t="s">
        <v>349</v>
      </c>
      <c r="I1935" s="26" t="s">
        <v>538</v>
      </c>
      <c r="J1935" s="26" t="s">
        <v>539</v>
      </c>
      <c r="K1935" s="26" t="s">
        <v>242</v>
      </c>
      <c r="L1935" s="26" t="s">
        <v>351</v>
      </c>
      <c r="M1935" s="26" t="s">
        <v>303</v>
      </c>
      <c r="N1935" s="26">
        <v>100</v>
      </c>
      <c r="O1935" s="26">
        <f>2024-Inventory[[#This Row],[YrBlt]]</f>
        <v>99</v>
      </c>
      <c r="P1935" s="26">
        <f>2024-Inventory[[#This Row],[EffYr]]</f>
        <v>56</v>
      </c>
      <c r="Q1935" s="25">
        <v>1925</v>
      </c>
      <c r="R1935" s="25">
        <v>1968</v>
      </c>
      <c r="S1935" s="25">
        <v>1056</v>
      </c>
      <c r="T1935" s="27"/>
      <c r="U1935" s="25">
        <v>1056</v>
      </c>
      <c r="V1935" s="25">
        <f>Inventory[[#This Row],[Bsmt]]-Inventory[[#This Row],[FnBsmt]]</f>
        <v>956</v>
      </c>
      <c r="W1935" s="25">
        <v>100</v>
      </c>
      <c r="X1935" s="27"/>
      <c r="Y1935" s="27">
        <f>Inventory[[#This Row],[MainFn]]+Inventory[[#This Row],[UpprFn]]+Inventory[[#This Row],[FnBsmt]]+Inventory[[#This Row],[AddFn]]</f>
        <v>1156</v>
      </c>
      <c r="Z1935" s="27">
        <v>1500</v>
      </c>
      <c r="AA1935" s="25">
        <v>5</v>
      </c>
      <c r="AB1935" s="27"/>
      <c r="AC1935" s="31"/>
      <c r="AD1935" s="32">
        <v>101</v>
      </c>
      <c r="AE1935" s="27"/>
      <c r="AF1935" s="27"/>
      <c r="AG1935" s="27"/>
      <c r="AH1935" s="27"/>
      <c r="AI1935" s="25">
        <v>216310</v>
      </c>
      <c r="AJ1935" s="25">
        <v>142765</v>
      </c>
      <c r="AK1935" s="25">
        <v>5261</v>
      </c>
      <c r="AL1935" s="25">
        <v>303600</v>
      </c>
      <c r="AM1935" s="25">
        <v>50600</v>
      </c>
      <c r="AN1935" s="25">
        <v>253000</v>
      </c>
      <c r="AO1935" s="25">
        <v>0</v>
      </c>
      <c r="AP1935" s="25">
        <f>Lookups!$B$56*0</f>
        <v>0</v>
      </c>
      <c r="AQ1935" s="25">
        <f>Lookups!$B$56*1</f>
        <v>89850.625589999996</v>
      </c>
      <c r="AR1935" s="25">
        <f>Lookups!$B$57*Inventory[[#This Row],[LnAcres]]</f>
        <v>-58009.662049032086</v>
      </c>
      <c r="AS1935" s="25">
        <f>VLOOKUP(Inventory[[#This Row],[Qlty]],Lookups!$A$62:$E$75,2,FALSE)</f>
        <v>21557.329055999999</v>
      </c>
      <c r="AT1935" s="25">
        <f>VLOOKUP(Inventory[[#This Row],[Cnd]],Lookups!$A$76:$E$84,2,FALSE)</f>
        <v>197752.34721000001</v>
      </c>
      <c r="AU1935" s="25">
        <f>Inventory[[#This Row],[EffAge]]*Lookups!$B$85</f>
        <v>-12490.553628</v>
      </c>
      <c r="AV1935" s="25">
        <f>Inventory[[#This Row],[MainFn]]*Lookups!$B$86</f>
        <v>52175.555390112</v>
      </c>
      <c r="AW1935" s="25">
        <f>Inventory[[#This Row],[UpprFn]]*Lookups!$B$87</f>
        <v>0</v>
      </c>
      <c r="AX1935" s="25">
        <f>Inventory[[#This Row],[AddFn]]*Lookups!$B$88</f>
        <v>0</v>
      </c>
      <c r="AY1935" s="25">
        <f>Inventory[[#This Row],[Bsmt]]*Lookups!$B$89</f>
        <v>30710.481380832</v>
      </c>
      <c r="AZ1935" s="25">
        <f>Inventory[[#This Row],[Fixtures]]*Lookups!$B$90</f>
        <v>18960.110526</v>
      </c>
      <c r="BA1935" s="25">
        <f>Inventory[[#This Row],[WdDeck]]*Lookups!$B$91</f>
        <v>3362.8470428760002</v>
      </c>
      <c r="BB1935" s="25">
        <f>ROUND(Inventory[[#This Row],[25Det]],-2)</f>
        <v>5300</v>
      </c>
      <c r="BC1935" s="25">
        <f>ROUND(SUM(Inventory[[#This Row],[Mdl Qlty]:[Mdl WdDeck]])+Inventory[[#This Row],[Mdl Res Intercept]],-2)</f>
        <v>312000</v>
      </c>
      <c r="BD1935" s="25">
        <f>ROUND(Inventory[[#This Row],[Mdl Land Intercept]]+Inventory[[#This Row],[Mdl LnAcres]],-2)</f>
        <v>31800</v>
      </c>
      <c r="BE1935" s="25">
        <f>Inventory[[#This Row],[Unadj Res Value]]+Inventory[[#This Row],[Unadj Det Value]]+Inventory[[#This Row],[Unadj Land Value]]</f>
        <v>349100</v>
      </c>
      <c r="BF1935" s="36">
        <f>(Inventory[[#This Row],[Unadj Total Value]]-Inventory[[#This Row],[24Final]])/Inventory[[#This Row],[24Final]]</f>
        <v>0.14986824769433466</v>
      </c>
      <c r="BG1935" s="25">
        <f>VLOOKUP(Inventory[[#This Row],[Nbhd]],Lookups!$Q$2:$T$4,4,FALSE)</f>
        <v>0.99970000000000003</v>
      </c>
      <c r="BH1935" s="25">
        <f>VLOOKUP(Inventory[[#This Row],[Qlty]],Lookups!$O$7:$R$21,4,FALSE)</f>
        <v>1.0067999999999999</v>
      </c>
      <c r="BI1935" s="25">
        <f>VLOOKUP(Inventory[[#This Row],[Cnd]],Lookups!$T$7:$W$16,4,FALSE)</f>
        <v>0.99650000000000005</v>
      </c>
      <c r="BJ1935" s="25">
        <f>VLOOKUP(Inventory[[#This Row],[LivArea Range]],Lookups!$T$25:$W$37,4,FALSE)</f>
        <v>1.0157</v>
      </c>
      <c r="BK1935" s="25">
        <f>VLOOKUP(Inventory[[#This Row],[Decade]],Lookups!$O$25:$R$42,4,FALSE)</f>
        <v>1.0074000000000001</v>
      </c>
      <c r="BL1935" s="25">
        <f>Inventory[[#This Row],[Nbhd Adj]]*0.95</f>
        <v>0.94971499999999998</v>
      </c>
      <c r="BM1935" s="25">
        <f>Inventory[[#This Row],[Nbhd Adj]]*Inventory[[#This Row],[Quality Adj]]*Inventory[[#This Row],[Condition Adj]]*Inventory[[#This Row],[Living Area Adj]]*Inventory[[#This Row],[Decade Adj]]*0.95</f>
        <v>0.97494744680082823</v>
      </c>
      <c r="BN1935" s="25">
        <f>ROUND(SUM(Inventory[[#This Row],[Mdl Qlty]:[Mdl WdDeck]])+Inventory[[#This Row],[Mdl Res Intercept]]*Inventory[[#This Row],[Res Adj ]],-2)</f>
        <v>312000</v>
      </c>
      <c r="BO1935" s="25">
        <f>ROUND(Inventory[[#This Row],[25Det]]*Inventory[[#This Row],[Det/Nbhd Adj]],-2)</f>
        <v>5000</v>
      </c>
      <c r="BP1935" s="25">
        <f>Inventory[[#This Row],[Adjusted Res]]+Inventory[[#This Row],[Adj Det ]]</f>
        <v>317000</v>
      </c>
      <c r="BQ1935" s="25">
        <f>ROUND((Inventory[[#This Row],[Mdl Land Intercept]]+Inventory[[#This Row],[Mdl LnAcres]])*Inventory[[#This Row],[Det/Nbhd Adj]],-2)</f>
        <v>30200</v>
      </c>
      <c r="BR1935" s="25">
        <f>Inventory[[#This Row],[Adjusted Impr Total]]+Inventory[[#This Row],[Adjusted Land Total]]</f>
        <v>347200</v>
      </c>
      <c r="BS1935" s="36">
        <f>IFERROR((Inventory[[#This Row],[Adjusted Impr Total]]-Inventory[[#This Row],[24Bldg]])/Inventory[[#This Row],[24Bldg]],0)</f>
        <v>0.25296442687747034</v>
      </c>
      <c r="BT1935" s="36">
        <f>(Inventory[[#This Row],[Adjusted Land Total]]-Inventory[[#This Row],[24Lnd]])/Inventory[[#This Row],[24Lnd]]</f>
        <v>-0.40316205533596838</v>
      </c>
      <c r="BU1935" s="36">
        <f>(Inventory[[#This Row],[Adjusted Total]]-Inventory[[#This Row],[24Final]])/Inventory[[#This Row],[24Final]]</f>
        <v>0.14361001317523056</v>
      </c>
    </row>
    <row r="1936" spans="1:73" x14ac:dyDescent="0.3">
      <c r="A1936" s="25">
        <v>2025</v>
      </c>
      <c r="B1936" s="26" t="s">
        <v>2225</v>
      </c>
      <c r="C1936" s="26">
        <f>LN(Inventory[[#This Row],[Acres]])</f>
        <v>-1.9661128563728327</v>
      </c>
      <c r="D1936" s="25">
        <v>0.14000000000000001</v>
      </c>
      <c r="E1936" s="27"/>
      <c r="F1936" s="26" t="s">
        <v>537</v>
      </c>
      <c r="G1936" s="26" t="s">
        <v>126</v>
      </c>
      <c r="H1936" s="26" t="s">
        <v>349</v>
      </c>
      <c r="I1936" s="26" t="s">
        <v>538</v>
      </c>
      <c r="J1936" s="26" t="s">
        <v>539</v>
      </c>
      <c r="K1936" s="26" t="s">
        <v>242</v>
      </c>
      <c r="L1936" s="26" t="s">
        <v>351</v>
      </c>
      <c r="M1936" s="26" t="s">
        <v>303</v>
      </c>
      <c r="N1936" s="26">
        <v>100</v>
      </c>
      <c r="O1936" s="26">
        <f>2024-Inventory[[#This Row],[YrBlt]]</f>
        <v>99</v>
      </c>
      <c r="P1936" s="26">
        <f>2024-Inventory[[#This Row],[EffYr]]</f>
        <v>56</v>
      </c>
      <c r="Q1936" s="25">
        <v>1925</v>
      </c>
      <c r="R1936" s="25">
        <v>1968</v>
      </c>
      <c r="S1936" s="25">
        <v>664</v>
      </c>
      <c r="T1936" s="27"/>
      <c r="U1936" s="25">
        <v>372</v>
      </c>
      <c r="V1936" s="25">
        <f>Inventory[[#This Row],[Bsmt]]-Inventory[[#This Row],[FnBsmt]]</f>
        <v>372</v>
      </c>
      <c r="W1936" s="31"/>
      <c r="X1936" s="27"/>
      <c r="Y1936" s="27">
        <f>Inventory[[#This Row],[MainFn]]+Inventory[[#This Row],[UpprFn]]+Inventory[[#This Row],[FnBsmt]]+Inventory[[#This Row],[AddFn]]</f>
        <v>664</v>
      </c>
      <c r="Z1936" s="27">
        <v>1000</v>
      </c>
      <c r="AA1936" s="25">
        <v>5</v>
      </c>
      <c r="AB1936" s="32">
        <v>187</v>
      </c>
      <c r="AC1936" s="27"/>
      <c r="AD1936" s="31"/>
      <c r="AE1936" s="27"/>
      <c r="AF1936" s="27"/>
      <c r="AG1936" s="27"/>
      <c r="AH1936" s="27"/>
      <c r="AI1936" s="25">
        <v>141201</v>
      </c>
      <c r="AJ1936" s="25">
        <v>93193</v>
      </c>
      <c r="AK1936" s="25">
        <v>0</v>
      </c>
      <c r="AL1936" s="25">
        <v>259500</v>
      </c>
      <c r="AM1936" s="25">
        <v>46000</v>
      </c>
      <c r="AN1936" s="25">
        <v>213500</v>
      </c>
      <c r="AO1936" s="25">
        <v>0</v>
      </c>
      <c r="AP1936" s="25">
        <f>Lookups!$B$56*0</f>
        <v>0</v>
      </c>
      <c r="AQ1936" s="25">
        <f>Lookups!$B$56*1</f>
        <v>89850.625589999996</v>
      </c>
      <c r="AR1936" s="25">
        <f>Lookups!$B$57*Inventory[[#This Row],[LnAcres]]</f>
        <v>-62236.546971921947</v>
      </c>
      <c r="AS1936" s="25">
        <f>VLOOKUP(Inventory[[#This Row],[Qlty]],Lookups!$A$62:$E$75,2,FALSE)</f>
        <v>21557.329055999999</v>
      </c>
      <c r="AT1936" s="25">
        <f>VLOOKUP(Inventory[[#This Row],[Cnd]],Lookups!$A$76:$E$84,2,FALSE)</f>
        <v>197752.34721000001</v>
      </c>
      <c r="AU1936" s="25">
        <f>Inventory[[#This Row],[EffAge]]*Lookups!$B$85</f>
        <v>-12490.553628</v>
      </c>
      <c r="AV1936" s="25">
        <f>Inventory[[#This Row],[MainFn]]*Lookups!$B$86</f>
        <v>32807.356798328001</v>
      </c>
      <c r="AW1936" s="25">
        <f>Inventory[[#This Row],[UpprFn]]*Lookups!$B$87</f>
        <v>0</v>
      </c>
      <c r="AX1936" s="25">
        <f>Inventory[[#This Row],[AddFn]]*Lookups!$B$88</f>
        <v>0</v>
      </c>
      <c r="AY1936" s="25">
        <f>Inventory[[#This Row],[Bsmt]]*Lookups!$B$89</f>
        <v>10818.465031883999</v>
      </c>
      <c r="AZ1936" s="25">
        <f>Inventory[[#This Row],[Fixtures]]*Lookups!$B$90</f>
        <v>18960.110526</v>
      </c>
      <c r="BA1936" s="25">
        <f>Inventory[[#This Row],[WdDeck]]*Lookups!$B$91</f>
        <v>0</v>
      </c>
      <c r="BB1936" s="25">
        <f>ROUND(Inventory[[#This Row],[25Det]],-2)</f>
        <v>0</v>
      </c>
      <c r="BC1936" s="25">
        <f>ROUND(SUM(Inventory[[#This Row],[Mdl Qlty]:[Mdl WdDeck]])+Inventory[[#This Row],[Mdl Res Intercept]],-2)</f>
        <v>269400</v>
      </c>
      <c r="BD1936" s="25">
        <f>ROUND(Inventory[[#This Row],[Mdl Land Intercept]]+Inventory[[#This Row],[Mdl LnAcres]],-2)</f>
        <v>27600</v>
      </c>
      <c r="BE1936" s="25">
        <f>Inventory[[#This Row],[Unadj Res Value]]+Inventory[[#This Row],[Unadj Det Value]]+Inventory[[#This Row],[Unadj Land Value]]</f>
        <v>297000</v>
      </c>
      <c r="BF1936" s="36">
        <f>(Inventory[[#This Row],[Unadj Total Value]]-Inventory[[#This Row],[24Final]])/Inventory[[#This Row],[24Final]]</f>
        <v>0.14450867052023122</v>
      </c>
      <c r="BG1936" s="25">
        <f>VLOOKUP(Inventory[[#This Row],[Nbhd]],Lookups!$Q$2:$T$4,4,FALSE)</f>
        <v>0.99970000000000003</v>
      </c>
      <c r="BH1936" s="25">
        <f>VLOOKUP(Inventory[[#This Row],[Qlty]],Lookups!$O$7:$R$21,4,FALSE)</f>
        <v>1.0067999999999999</v>
      </c>
      <c r="BI1936" s="25">
        <f>VLOOKUP(Inventory[[#This Row],[Cnd]],Lookups!$T$7:$W$16,4,FALSE)</f>
        <v>0.99650000000000005</v>
      </c>
      <c r="BJ1936" s="25">
        <f>VLOOKUP(Inventory[[#This Row],[LivArea Range]],Lookups!$T$25:$W$37,4,FALSE)</f>
        <v>1.0148999999999999</v>
      </c>
      <c r="BK1936" s="25">
        <f>VLOOKUP(Inventory[[#This Row],[Decade]],Lookups!$O$25:$R$42,4,FALSE)</f>
        <v>1.0074000000000001</v>
      </c>
      <c r="BL1936" s="25">
        <f>Inventory[[#This Row],[Nbhd Adj]]*0.95</f>
        <v>0.94971499999999998</v>
      </c>
      <c r="BM1936" s="25">
        <f>Inventory[[#This Row],[Nbhd Adj]]*Inventory[[#This Row],[Quality Adj]]*Inventory[[#This Row],[Condition Adj]]*Inventory[[#This Row],[Living Area Adj]]*Inventory[[#This Row],[Decade Adj]]*0.95</f>
        <v>0.97417954490318037</v>
      </c>
      <c r="BN1936" s="25">
        <f>ROUND(SUM(Inventory[[#This Row],[Mdl Qlty]:[Mdl WdDeck]])+Inventory[[#This Row],[Mdl Res Intercept]]*Inventory[[#This Row],[Res Adj ]],-2)</f>
        <v>269400</v>
      </c>
      <c r="BO1936" s="25">
        <f>ROUND(Inventory[[#This Row],[25Det]]*Inventory[[#This Row],[Det/Nbhd Adj]],-2)</f>
        <v>0</v>
      </c>
      <c r="BP1936" s="25">
        <f>Inventory[[#This Row],[Adjusted Res]]+Inventory[[#This Row],[Adj Det ]]</f>
        <v>269400</v>
      </c>
      <c r="BQ1936" s="25">
        <f>ROUND((Inventory[[#This Row],[Mdl Land Intercept]]+Inventory[[#This Row],[Mdl LnAcres]])*Inventory[[#This Row],[Det/Nbhd Adj]],-2)</f>
        <v>26200</v>
      </c>
      <c r="BR1936" s="25">
        <f>Inventory[[#This Row],[Adjusted Impr Total]]+Inventory[[#This Row],[Adjusted Land Total]]</f>
        <v>295600</v>
      </c>
      <c r="BS1936" s="36">
        <f>IFERROR((Inventory[[#This Row],[Adjusted Impr Total]]-Inventory[[#This Row],[24Bldg]])/Inventory[[#This Row],[24Bldg]],0)</f>
        <v>0.26182669789227164</v>
      </c>
      <c r="BT1936" s="36">
        <f>(Inventory[[#This Row],[Adjusted Land Total]]-Inventory[[#This Row],[24Lnd]])/Inventory[[#This Row],[24Lnd]]</f>
        <v>-0.43043478260869567</v>
      </c>
      <c r="BU1936" s="36">
        <f>(Inventory[[#This Row],[Adjusted Total]]-Inventory[[#This Row],[24Final]])/Inventory[[#This Row],[24Final]]</f>
        <v>0.13911368015414258</v>
      </c>
    </row>
    <row r="1937" spans="1:73" x14ac:dyDescent="0.3">
      <c r="A1937" s="25">
        <v>2025</v>
      </c>
      <c r="B1937" s="26" t="s">
        <v>2234</v>
      </c>
      <c r="C1937" s="26">
        <f>LN(Inventory[[#This Row],[Acres]])</f>
        <v>-1.7719568419318752</v>
      </c>
      <c r="D1937" s="25">
        <v>0.17</v>
      </c>
      <c r="E1937" s="32">
        <v>7588</v>
      </c>
      <c r="F1937" s="26" t="s">
        <v>537</v>
      </c>
      <c r="G1937" s="26" t="s">
        <v>126</v>
      </c>
      <c r="H1937" s="26" t="s">
        <v>349</v>
      </c>
      <c r="I1937" s="26" t="s">
        <v>538</v>
      </c>
      <c r="J1937" s="26" t="s">
        <v>539</v>
      </c>
      <c r="K1937" s="26" t="s">
        <v>269</v>
      </c>
      <c r="L1937" s="26" t="s">
        <v>351</v>
      </c>
      <c r="M1937" s="26" t="s">
        <v>303</v>
      </c>
      <c r="N1937" s="26">
        <v>100</v>
      </c>
      <c r="O1937" s="26">
        <f>2024-Inventory[[#This Row],[YrBlt]]</f>
        <v>99</v>
      </c>
      <c r="P1937" s="26">
        <f>2024-Inventory[[#This Row],[EffYr]]</f>
        <v>56</v>
      </c>
      <c r="Q1937" s="25">
        <v>1925</v>
      </c>
      <c r="R1937" s="25">
        <v>1968</v>
      </c>
      <c r="S1937" s="25">
        <v>956</v>
      </c>
      <c r="T1937" s="27"/>
      <c r="U1937" s="25">
        <v>534</v>
      </c>
      <c r="V1937" s="25">
        <f>Inventory[[#This Row],[Bsmt]]-Inventory[[#This Row],[FnBsmt]]</f>
        <v>534</v>
      </c>
      <c r="W1937" s="31"/>
      <c r="X1937" s="27"/>
      <c r="Y1937" s="27">
        <f>Inventory[[#This Row],[MainFn]]+Inventory[[#This Row],[UpprFn]]+Inventory[[#This Row],[FnBsmt]]+Inventory[[#This Row],[AddFn]]</f>
        <v>956</v>
      </c>
      <c r="Z1937" s="27">
        <v>1000</v>
      </c>
      <c r="AA1937" s="25">
        <v>5</v>
      </c>
      <c r="AB1937" s="27"/>
      <c r="AC1937" s="27"/>
      <c r="AD1937" s="32">
        <v>208</v>
      </c>
      <c r="AE1937" s="27"/>
      <c r="AF1937" s="27"/>
      <c r="AG1937" s="27"/>
      <c r="AH1937" s="27"/>
      <c r="AI1937" s="25">
        <v>212377</v>
      </c>
      <c r="AJ1937" s="25">
        <v>140169</v>
      </c>
      <c r="AK1937" s="25">
        <v>22482</v>
      </c>
      <c r="AL1937" s="25">
        <v>306400</v>
      </c>
      <c r="AM1937" s="25">
        <v>52700</v>
      </c>
      <c r="AN1937" s="25">
        <v>253700</v>
      </c>
      <c r="AO1937" s="25">
        <v>0</v>
      </c>
      <c r="AP1937" s="25">
        <f>Lookups!$B$56*0</f>
        <v>0</v>
      </c>
      <c r="AQ1937" s="25">
        <f>Lookups!$B$56*1</f>
        <v>89850.625589999996</v>
      </c>
      <c r="AR1937" s="25">
        <f>Lookups!$B$57*Inventory[[#This Row],[LnAcres]]</f>
        <v>-56090.612940989391</v>
      </c>
      <c r="AS1937" s="25">
        <f>VLOOKUP(Inventory[[#This Row],[Qlty]],Lookups!$A$62:$E$75,2,FALSE)</f>
        <v>21557.329055999999</v>
      </c>
      <c r="AT1937" s="25">
        <f>VLOOKUP(Inventory[[#This Row],[Cnd]],Lookups!$A$76:$E$84,2,FALSE)</f>
        <v>197752.34721000001</v>
      </c>
      <c r="AU1937" s="25">
        <f>Inventory[[#This Row],[EffAge]]*Lookups!$B$85</f>
        <v>-12490.553628</v>
      </c>
      <c r="AV1937" s="25">
        <f>Inventory[[#This Row],[MainFn]]*Lookups!$B$86</f>
        <v>47234.688402412001</v>
      </c>
      <c r="AW1937" s="25">
        <f>Inventory[[#This Row],[UpprFn]]*Lookups!$B$87</f>
        <v>0</v>
      </c>
      <c r="AX1937" s="25">
        <f>Inventory[[#This Row],[AddFn]]*Lookups!$B$88</f>
        <v>0</v>
      </c>
      <c r="AY1937" s="25">
        <f>Inventory[[#This Row],[Bsmt]]*Lookups!$B$89</f>
        <v>15529.732061897999</v>
      </c>
      <c r="AZ1937" s="25">
        <f>Inventory[[#This Row],[Fixtures]]*Lookups!$B$90</f>
        <v>18960.110526</v>
      </c>
      <c r="BA1937" s="25">
        <f>Inventory[[#This Row],[WdDeck]]*Lookups!$B$91</f>
        <v>6925.4671774080007</v>
      </c>
      <c r="BB1937" s="25">
        <f>ROUND(Inventory[[#This Row],[25Det]],-2)</f>
        <v>22500</v>
      </c>
      <c r="BC1937" s="25">
        <f>ROUND(SUM(Inventory[[#This Row],[Mdl Qlty]:[Mdl WdDeck]])+Inventory[[#This Row],[Mdl Res Intercept]],-2)</f>
        <v>295500</v>
      </c>
      <c r="BD1937" s="25">
        <f>ROUND(Inventory[[#This Row],[Mdl Land Intercept]]+Inventory[[#This Row],[Mdl LnAcres]],-2)</f>
        <v>33800</v>
      </c>
      <c r="BE1937" s="25">
        <f>Inventory[[#This Row],[Unadj Res Value]]+Inventory[[#This Row],[Unadj Det Value]]+Inventory[[#This Row],[Unadj Land Value]]</f>
        <v>351800</v>
      </c>
      <c r="BF1937" s="36">
        <f>(Inventory[[#This Row],[Unadj Total Value]]-Inventory[[#This Row],[24Final]])/Inventory[[#This Row],[24Final]]</f>
        <v>0.14817232375979111</v>
      </c>
      <c r="BG1937" s="25">
        <f>VLOOKUP(Inventory[[#This Row],[Nbhd]],Lookups!$Q$2:$T$4,4,FALSE)</f>
        <v>0.99970000000000003</v>
      </c>
      <c r="BH1937" s="25">
        <f>VLOOKUP(Inventory[[#This Row],[Qlty]],Lookups!$O$7:$R$21,4,FALSE)</f>
        <v>1.0067999999999999</v>
      </c>
      <c r="BI1937" s="25">
        <f>VLOOKUP(Inventory[[#This Row],[Cnd]],Lookups!$T$7:$W$16,4,FALSE)</f>
        <v>0.99650000000000005</v>
      </c>
      <c r="BJ1937" s="25">
        <f>VLOOKUP(Inventory[[#This Row],[LivArea Range]],Lookups!$T$25:$W$37,4,FALSE)</f>
        <v>1.0148999999999999</v>
      </c>
      <c r="BK1937" s="25">
        <f>VLOOKUP(Inventory[[#This Row],[Decade]],Lookups!$O$25:$R$42,4,FALSE)</f>
        <v>1.0074000000000001</v>
      </c>
      <c r="BL1937" s="25">
        <f>Inventory[[#This Row],[Nbhd Adj]]*0.95</f>
        <v>0.94971499999999998</v>
      </c>
      <c r="BM1937" s="25">
        <f>Inventory[[#This Row],[Nbhd Adj]]*Inventory[[#This Row],[Quality Adj]]*Inventory[[#This Row],[Condition Adj]]*Inventory[[#This Row],[Living Area Adj]]*Inventory[[#This Row],[Decade Adj]]*0.95</f>
        <v>0.97417954490318037</v>
      </c>
      <c r="BN1937" s="25">
        <f>ROUND(SUM(Inventory[[#This Row],[Mdl Qlty]:[Mdl WdDeck]])+Inventory[[#This Row],[Mdl Res Intercept]]*Inventory[[#This Row],[Res Adj ]],-2)</f>
        <v>295500</v>
      </c>
      <c r="BO1937" s="25">
        <f>ROUND(Inventory[[#This Row],[25Det]]*Inventory[[#This Row],[Det/Nbhd Adj]],-2)</f>
        <v>21400</v>
      </c>
      <c r="BP1937" s="25">
        <f>Inventory[[#This Row],[Adjusted Res]]+Inventory[[#This Row],[Adj Det ]]</f>
        <v>316900</v>
      </c>
      <c r="BQ1937" s="25">
        <f>ROUND((Inventory[[#This Row],[Mdl Land Intercept]]+Inventory[[#This Row],[Mdl LnAcres]])*Inventory[[#This Row],[Det/Nbhd Adj]],-2)</f>
        <v>32100</v>
      </c>
      <c r="BR1937" s="25">
        <f>Inventory[[#This Row],[Adjusted Impr Total]]+Inventory[[#This Row],[Adjusted Land Total]]</f>
        <v>349000</v>
      </c>
      <c r="BS1937" s="36">
        <f>IFERROR((Inventory[[#This Row],[Adjusted Impr Total]]-Inventory[[#This Row],[24Bldg]])/Inventory[[#This Row],[24Bldg]],0)</f>
        <v>0.24911312573906189</v>
      </c>
      <c r="BT1937" s="36">
        <f>(Inventory[[#This Row],[Adjusted Land Total]]-Inventory[[#This Row],[24Lnd]])/Inventory[[#This Row],[24Lnd]]</f>
        <v>-0.39089184060721061</v>
      </c>
      <c r="BU1937" s="36">
        <f>(Inventory[[#This Row],[Adjusted Total]]-Inventory[[#This Row],[24Final]])/Inventory[[#This Row],[24Final]]</f>
        <v>0.13903394255874674</v>
      </c>
    </row>
    <row r="1938" spans="1:73" x14ac:dyDescent="0.3">
      <c r="A1938" s="25">
        <v>2025</v>
      </c>
      <c r="B1938" s="26" t="s">
        <v>2693</v>
      </c>
      <c r="C1938" s="26">
        <f>LN(Inventory[[#This Row],[Acres]])</f>
        <v>-2.5257286443082556</v>
      </c>
      <c r="D1938" s="25">
        <v>0.08</v>
      </c>
      <c r="E1938" s="25">
        <v>3400</v>
      </c>
      <c r="F1938" s="26" t="s">
        <v>537</v>
      </c>
      <c r="G1938" s="26" t="s">
        <v>126</v>
      </c>
      <c r="H1938" s="26" t="s">
        <v>349</v>
      </c>
      <c r="I1938" s="26" t="s">
        <v>538</v>
      </c>
      <c r="J1938" s="26" t="s">
        <v>638</v>
      </c>
      <c r="K1938" s="26" t="s">
        <v>242</v>
      </c>
      <c r="L1938" s="26" t="s">
        <v>205</v>
      </c>
      <c r="M1938" s="26" t="s">
        <v>303</v>
      </c>
      <c r="N1938" s="26">
        <v>100</v>
      </c>
      <c r="O1938" s="26">
        <f>2024-Inventory[[#This Row],[YrBlt]]</f>
        <v>99</v>
      </c>
      <c r="P1938" s="26">
        <f>2024-Inventory[[#This Row],[EffYr]]</f>
        <v>56</v>
      </c>
      <c r="Q1938" s="25">
        <v>1925</v>
      </c>
      <c r="R1938" s="25">
        <v>1968</v>
      </c>
      <c r="S1938" s="25">
        <v>780</v>
      </c>
      <c r="T1938" s="27"/>
      <c r="U1938" s="25">
        <v>780</v>
      </c>
      <c r="V1938" s="32">
        <f>Inventory[[#This Row],[Bsmt]]-Inventory[[#This Row],[FnBsmt]]</f>
        <v>780</v>
      </c>
      <c r="W1938" s="27"/>
      <c r="X1938" s="27"/>
      <c r="Y1938" s="27">
        <f>Inventory[[#This Row],[MainFn]]+Inventory[[#This Row],[UpprFn]]+Inventory[[#This Row],[FnBsmt]]+Inventory[[#This Row],[AddFn]]</f>
        <v>780</v>
      </c>
      <c r="Z1938" s="27">
        <v>1000</v>
      </c>
      <c r="AA1938" s="25">
        <v>6</v>
      </c>
      <c r="AB1938" s="27"/>
      <c r="AC1938" s="27"/>
      <c r="AD1938" s="32">
        <v>56</v>
      </c>
      <c r="AE1938" s="27"/>
      <c r="AF1938" s="27"/>
      <c r="AG1938" s="27"/>
      <c r="AH1938" s="27"/>
      <c r="AI1938" s="25">
        <v>157865</v>
      </c>
      <c r="AJ1938" s="25">
        <v>104191</v>
      </c>
      <c r="AK1938" s="25">
        <v>0</v>
      </c>
      <c r="AL1938" s="25">
        <v>246300</v>
      </c>
      <c r="AM1938" s="25">
        <v>26500</v>
      </c>
      <c r="AN1938" s="25">
        <v>219800</v>
      </c>
      <c r="AO1938" s="25">
        <v>0</v>
      </c>
      <c r="AP1938" s="25">
        <f>Lookups!$B$56*0</f>
        <v>0</v>
      </c>
      <c r="AQ1938" s="25">
        <f>Lookups!$B$56*1</f>
        <v>89850.625589999996</v>
      </c>
      <c r="AR1938" s="25">
        <f>Lookups!$B$57*Inventory[[#This Row],[LnAcres]]</f>
        <v>-79950.969701614697</v>
      </c>
      <c r="AS1938" s="25">
        <f>VLOOKUP(Inventory[[#This Row],[Qlty]],Lookups!$A$62:$E$75,2,FALSE)</f>
        <v>0</v>
      </c>
      <c r="AT1938" s="25">
        <f>VLOOKUP(Inventory[[#This Row],[Cnd]],Lookups!$A$76:$E$84,2,FALSE)</f>
        <v>197752.34721000001</v>
      </c>
      <c r="AU1938" s="25">
        <f>Inventory[[#This Row],[EffAge]]*Lookups!$B$85</f>
        <v>-12490.553628</v>
      </c>
      <c r="AV1938" s="25">
        <f>Inventory[[#This Row],[MainFn]]*Lookups!$B$86</f>
        <v>38538.762504060003</v>
      </c>
      <c r="AW1938" s="25">
        <f>Inventory[[#This Row],[UpprFn]]*Lookups!$B$87</f>
        <v>0</v>
      </c>
      <c r="AX1938" s="25">
        <f>Inventory[[#This Row],[AddFn]]*Lookups!$B$88</f>
        <v>0</v>
      </c>
      <c r="AY1938" s="25">
        <f>Inventory[[#This Row],[Bsmt]]*Lookups!$B$89</f>
        <v>22683.87829266</v>
      </c>
      <c r="AZ1938" s="25">
        <f>Inventory[[#This Row],[Fixtures]]*Lookups!$B$90</f>
        <v>22752.132631200002</v>
      </c>
      <c r="BA1938" s="25">
        <f>Inventory[[#This Row],[WdDeck]]*Lookups!$B$91</f>
        <v>1864.5488554560002</v>
      </c>
      <c r="BB1938" s="25">
        <f>ROUND(Inventory[[#This Row],[25Det]],-2)</f>
        <v>0</v>
      </c>
      <c r="BC1938" s="25">
        <f>ROUND(SUM(Inventory[[#This Row],[Mdl Qlty]:[Mdl WdDeck]])+Inventory[[#This Row],[Mdl Res Intercept]],-2)</f>
        <v>271100</v>
      </c>
      <c r="BD1938" s="25">
        <f>ROUND(Inventory[[#This Row],[Mdl Land Intercept]]+Inventory[[#This Row],[Mdl LnAcres]],-2)</f>
        <v>9900</v>
      </c>
      <c r="BE1938" s="25">
        <f>Inventory[[#This Row],[Unadj Res Value]]+Inventory[[#This Row],[Unadj Det Value]]+Inventory[[#This Row],[Unadj Land Value]]</f>
        <v>281000</v>
      </c>
      <c r="BF1938" s="36">
        <f>(Inventory[[#This Row],[Unadj Total Value]]-Inventory[[#This Row],[24Final]])/Inventory[[#This Row],[24Final]]</f>
        <v>0.14088509947218839</v>
      </c>
      <c r="BG1938" s="25">
        <f>VLOOKUP(Inventory[[#This Row],[Nbhd]],Lookups!$Q$2:$T$4,4,FALSE)</f>
        <v>0.99970000000000003</v>
      </c>
      <c r="BH1938" s="25">
        <f>VLOOKUP(Inventory[[#This Row],[Qlty]],Lookups!$O$7:$R$21,4,FALSE)</f>
        <v>0.99180000000000001</v>
      </c>
      <c r="BI1938" s="25">
        <f>VLOOKUP(Inventory[[#This Row],[Cnd]],Lookups!$T$7:$W$16,4,FALSE)</f>
        <v>0.99650000000000005</v>
      </c>
      <c r="BJ1938" s="25">
        <f>VLOOKUP(Inventory[[#This Row],[LivArea Range]],Lookups!$T$25:$W$37,4,FALSE)</f>
        <v>1.0148999999999999</v>
      </c>
      <c r="BK1938" s="25">
        <f>VLOOKUP(Inventory[[#This Row],[Decade]],Lookups!$O$25:$R$42,4,FALSE)</f>
        <v>1.0074000000000001</v>
      </c>
      <c r="BL1938" s="25">
        <f>Inventory[[#This Row],[Nbhd Adj]]*0.95</f>
        <v>0.94971499999999998</v>
      </c>
      <c r="BM1938" s="25">
        <f>Inventory[[#This Row],[Nbhd Adj]]*Inventory[[#This Row],[Quality Adj]]*Inventory[[#This Row],[Condition Adj]]*Inventory[[#This Row],[Living Area Adj]]*Inventory[[#This Row],[Decade Adj]]*0.95</f>
        <v>0.9596655469159463</v>
      </c>
      <c r="BN1938" s="25">
        <f>ROUND(SUM(Inventory[[#This Row],[Mdl Qlty]:[Mdl WdDeck]])+Inventory[[#This Row],[Mdl Res Intercept]]*Inventory[[#This Row],[Res Adj ]],-2)</f>
        <v>271100</v>
      </c>
      <c r="BO1938" s="25">
        <f>ROUND(Inventory[[#This Row],[25Det]]*Inventory[[#This Row],[Det/Nbhd Adj]],-2)</f>
        <v>0</v>
      </c>
      <c r="BP1938" s="25">
        <f>Inventory[[#This Row],[Adjusted Res]]+Inventory[[#This Row],[Adj Det ]]</f>
        <v>271100</v>
      </c>
      <c r="BQ1938" s="25">
        <f>ROUND((Inventory[[#This Row],[Mdl Land Intercept]]+Inventory[[#This Row],[Mdl LnAcres]])*Inventory[[#This Row],[Det/Nbhd Adj]],-2)</f>
        <v>9400</v>
      </c>
      <c r="BR1938" s="25">
        <f>Inventory[[#This Row],[Adjusted Impr Total]]+Inventory[[#This Row],[Adjusted Land Total]]</f>
        <v>280500</v>
      </c>
      <c r="BS1938" s="36">
        <f>IFERROR((Inventory[[#This Row],[Adjusted Impr Total]]-Inventory[[#This Row],[24Bldg]])/Inventory[[#This Row],[24Bldg]],0)</f>
        <v>0.23339399454049137</v>
      </c>
      <c r="BT1938" s="36">
        <f>(Inventory[[#This Row],[Adjusted Land Total]]-Inventory[[#This Row],[24Lnd]])/Inventory[[#This Row],[24Lnd]]</f>
        <v>-0.6452830188679245</v>
      </c>
      <c r="BU1938" s="36">
        <f>(Inventory[[#This Row],[Adjusted Total]]-Inventory[[#This Row],[24Final]])/Inventory[[#This Row],[24Final]]</f>
        <v>0.13885505481120586</v>
      </c>
    </row>
    <row r="1939" spans="1:73" x14ac:dyDescent="0.3">
      <c r="A1939" s="25">
        <v>2025</v>
      </c>
      <c r="B1939" s="26" t="s">
        <v>1911</v>
      </c>
      <c r="C1939" s="26">
        <f>LN(Inventory[[#This Row],[Acres]])</f>
        <v>-1.9661128563728327</v>
      </c>
      <c r="D1939" s="25">
        <v>0.14000000000000001</v>
      </c>
      <c r="E1939" s="25">
        <v>6185</v>
      </c>
      <c r="F1939" s="26" t="s">
        <v>537</v>
      </c>
      <c r="G1939" s="26" t="s">
        <v>126</v>
      </c>
      <c r="H1939" s="26" t="s">
        <v>349</v>
      </c>
      <c r="I1939" s="26" t="s">
        <v>538</v>
      </c>
      <c r="J1939" s="26" t="s">
        <v>539</v>
      </c>
      <c r="K1939" s="26" t="s">
        <v>242</v>
      </c>
      <c r="L1939" s="26" t="s">
        <v>351</v>
      </c>
      <c r="M1939" s="26" t="s">
        <v>303</v>
      </c>
      <c r="N1939" s="26">
        <v>100</v>
      </c>
      <c r="O1939" s="26">
        <f>2024-Inventory[[#This Row],[YrBlt]]</f>
        <v>99</v>
      </c>
      <c r="P1939" s="26">
        <f>2024-Inventory[[#This Row],[EffYr]]</f>
        <v>56</v>
      </c>
      <c r="Q1939" s="25">
        <v>1925</v>
      </c>
      <c r="R1939" s="25">
        <v>1968</v>
      </c>
      <c r="S1939" s="25">
        <v>1220</v>
      </c>
      <c r="T1939" s="27"/>
      <c r="U1939" s="32">
        <v>1220</v>
      </c>
      <c r="V1939" s="32">
        <f>Inventory[[#This Row],[Bsmt]]-Inventory[[#This Row],[FnBsmt]]</f>
        <v>1220</v>
      </c>
      <c r="W1939" s="27"/>
      <c r="X1939" s="27"/>
      <c r="Y1939" s="27">
        <f>Inventory[[#This Row],[MainFn]]+Inventory[[#This Row],[UpprFn]]+Inventory[[#This Row],[FnBsmt]]+Inventory[[#This Row],[AddFn]]</f>
        <v>1220</v>
      </c>
      <c r="Z1939" s="27">
        <v>1500</v>
      </c>
      <c r="AA1939" s="25">
        <v>8</v>
      </c>
      <c r="AB1939" s="31"/>
      <c r="AC1939" s="27"/>
      <c r="AD1939" s="27"/>
      <c r="AE1939" s="27"/>
      <c r="AF1939" s="27"/>
      <c r="AG1939" s="27"/>
      <c r="AH1939" s="27"/>
      <c r="AI1939" s="25">
        <v>243564</v>
      </c>
      <c r="AJ1939" s="25">
        <v>160752</v>
      </c>
      <c r="AK1939" s="25">
        <v>8966</v>
      </c>
      <c r="AL1939" s="25">
        <v>323700</v>
      </c>
      <c r="AM1939" s="25">
        <v>46000</v>
      </c>
      <c r="AN1939" s="25">
        <v>277700</v>
      </c>
      <c r="AO1939" s="25">
        <v>0</v>
      </c>
      <c r="AP1939" s="25">
        <f>Lookups!$B$56*0</f>
        <v>0</v>
      </c>
      <c r="AQ1939" s="25">
        <f>Lookups!$B$56*1</f>
        <v>89850.625589999996</v>
      </c>
      <c r="AR1939" s="25">
        <f>Lookups!$B$57*Inventory[[#This Row],[LnAcres]]</f>
        <v>-62236.546971921947</v>
      </c>
      <c r="AS1939" s="25">
        <f>VLOOKUP(Inventory[[#This Row],[Qlty]],Lookups!$A$62:$E$75,2,FALSE)</f>
        <v>21557.329055999999</v>
      </c>
      <c r="AT1939" s="25">
        <f>VLOOKUP(Inventory[[#This Row],[Cnd]],Lookups!$A$76:$E$84,2,FALSE)</f>
        <v>197752.34721000001</v>
      </c>
      <c r="AU1939" s="25">
        <f>Inventory[[#This Row],[EffAge]]*Lookups!$B$85</f>
        <v>-12490.553628</v>
      </c>
      <c r="AV1939" s="25">
        <f>Inventory[[#This Row],[MainFn]]*Lookups!$B$86</f>
        <v>60278.577249940005</v>
      </c>
      <c r="AW1939" s="25">
        <f>Inventory[[#This Row],[UpprFn]]*Lookups!$B$87</f>
        <v>0</v>
      </c>
      <c r="AX1939" s="25">
        <f>Inventory[[#This Row],[AddFn]]*Lookups!$B$88</f>
        <v>0</v>
      </c>
      <c r="AY1939" s="25">
        <f>Inventory[[#This Row],[Bsmt]]*Lookups!$B$89</f>
        <v>35479.912201339997</v>
      </c>
      <c r="AZ1939" s="25">
        <f>Inventory[[#This Row],[Fixtures]]*Lookups!$B$90</f>
        <v>30336.176841600001</v>
      </c>
      <c r="BA1939" s="25">
        <f>Inventory[[#This Row],[WdDeck]]*Lookups!$B$91</f>
        <v>0</v>
      </c>
      <c r="BB1939" s="25">
        <f>ROUND(Inventory[[#This Row],[25Det]],-2)</f>
        <v>9000</v>
      </c>
      <c r="BC1939" s="25">
        <f>ROUND(SUM(Inventory[[#This Row],[Mdl Qlty]:[Mdl WdDeck]])+Inventory[[#This Row],[Mdl Res Intercept]],-2)</f>
        <v>332900</v>
      </c>
      <c r="BD1939" s="25">
        <f>ROUND(Inventory[[#This Row],[Mdl Land Intercept]]+Inventory[[#This Row],[Mdl LnAcres]],-2)</f>
        <v>27600</v>
      </c>
      <c r="BE1939" s="25">
        <f>Inventory[[#This Row],[Unadj Res Value]]+Inventory[[#This Row],[Unadj Det Value]]+Inventory[[#This Row],[Unadj Land Value]]</f>
        <v>369500</v>
      </c>
      <c r="BF1939" s="36">
        <f>(Inventory[[#This Row],[Unadj Total Value]]-Inventory[[#This Row],[24Final]])/Inventory[[#This Row],[24Final]]</f>
        <v>0.14148903305529811</v>
      </c>
      <c r="BG1939" s="25">
        <f>VLOOKUP(Inventory[[#This Row],[Nbhd]],Lookups!$Q$2:$T$4,4,FALSE)</f>
        <v>0.99970000000000003</v>
      </c>
      <c r="BH1939" s="25">
        <f>VLOOKUP(Inventory[[#This Row],[Qlty]],Lookups!$O$7:$R$21,4,FALSE)</f>
        <v>1.0067999999999999</v>
      </c>
      <c r="BI1939" s="25">
        <f>VLOOKUP(Inventory[[#This Row],[Cnd]],Lookups!$T$7:$W$16,4,FALSE)</f>
        <v>0.99650000000000005</v>
      </c>
      <c r="BJ1939" s="25">
        <f>VLOOKUP(Inventory[[#This Row],[LivArea Range]],Lookups!$T$25:$W$37,4,FALSE)</f>
        <v>1.0157</v>
      </c>
      <c r="BK1939" s="25">
        <f>VLOOKUP(Inventory[[#This Row],[Decade]],Lookups!$O$25:$R$42,4,FALSE)</f>
        <v>1.0074000000000001</v>
      </c>
      <c r="BL1939" s="25">
        <f>Inventory[[#This Row],[Nbhd Adj]]*0.95</f>
        <v>0.94971499999999998</v>
      </c>
      <c r="BM1939" s="25">
        <f>Inventory[[#This Row],[Nbhd Adj]]*Inventory[[#This Row],[Quality Adj]]*Inventory[[#This Row],[Condition Adj]]*Inventory[[#This Row],[Living Area Adj]]*Inventory[[#This Row],[Decade Adj]]*0.95</f>
        <v>0.97494744680082823</v>
      </c>
      <c r="BN1939" s="25">
        <f>ROUND(SUM(Inventory[[#This Row],[Mdl Qlty]:[Mdl WdDeck]])+Inventory[[#This Row],[Mdl Res Intercept]]*Inventory[[#This Row],[Res Adj ]],-2)</f>
        <v>332900</v>
      </c>
      <c r="BO1939" s="25">
        <f>ROUND(Inventory[[#This Row],[25Det]]*Inventory[[#This Row],[Det/Nbhd Adj]],-2)</f>
        <v>8500</v>
      </c>
      <c r="BP1939" s="25">
        <f>Inventory[[#This Row],[Adjusted Res]]+Inventory[[#This Row],[Adj Det ]]</f>
        <v>341400</v>
      </c>
      <c r="BQ1939" s="25">
        <f>ROUND((Inventory[[#This Row],[Mdl Land Intercept]]+Inventory[[#This Row],[Mdl LnAcres]])*Inventory[[#This Row],[Det/Nbhd Adj]],-2)</f>
        <v>26200</v>
      </c>
      <c r="BR1939" s="25">
        <f>Inventory[[#This Row],[Adjusted Impr Total]]+Inventory[[#This Row],[Adjusted Land Total]]</f>
        <v>367600</v>
      </c>
      <c r="BS1939" s="36">
        <f>IFERROR((Inventory[[#This Row],[Adjusted Impr Total]]-Inventory[[#This Row],[24Bldg]])/Inventory[[#This Row],[24Bldg]],0)</f>
        <v>0.22938422758372345</v>
      </c>
      <c r="BT1939" s="36">
        <f>(Inventory[[#This Row],[Adjusted Land Total]]-Inventory[[#This Row],[24Lnd]])/Inventory[[#This Row],[24Lnd]]</f>
        <v>-0.43043478260869567</v>
      </c>
      <c r="BU1939" s="36">
        <f>(Inventory[[#This Row],[Adjusted Total]]-Inventory[[#This Row],[24Final]])/Inventory[[#This Row],[24Final]]</f>
        <v>0.13561940067964165</v>
      </c>
    </row>
    <row r="1940" spans="1:73" x14ac:dyDescent="0.3">
      <c r="A1940" s="25">
        <v>2025</v>
      </c>
      <c r="B1940" s="26" t="s">
        <v>2142</v>
      </c>
      <c r="C1940" s="26">
        <f>LN(Inventory[[#This Row],[Acres]])</f>
        <v>-1.9661128563728327</v>
      </c>
      <c r="D1940" s="25">
        <v>0.14000000000000001</v>
      </c>
      <c r="E1940" s="25">
        <v>6153</v>
      </c>
      <c r="F1940" s="26" t="s">
        <v>537</v>
      </c>
      <c r="G1940" s="26" t="s">
        <v>126</v>
      </c>
      <c r="H1940" s="26" t="s">
        <v>349</v>
      </c>
      <c r="I1940" s="26" t="s">
        <v>538</v>
      </c>
      <c r="J1940" s="26" t="s">
        <v>539</v>
      </c>
      <c r="K1940" s="26" t="s">
        <v>269</v>
      </c>
      <c r="L1940" s="26" t="s">
        <v>148</v>
      </c>
      <c r="M1940" s="26" t="s">
        <v>303</v>
      </c>
      <c r="N1940" s="26">
        <v>100</v>
      </c>
      <c r="O1940" s="26">
        <f>2024-Inventory[[#This Row],[YrBlt]]</f>
        <v>99</v>
      </c>
      <c r="P1940" s="26">
        <f>2024-Inventory[[#This Row],[EffYr]]</f>
        <v>56</v>
      </c>
      <c r="Q1940" s="25">
        <v>1925</v>
      </c>
      <c r="R1940" s="25">
        <v>1968</v>
      </c>
      <c r="S1940" s="25">
        <v>1063</v>
      </c>
      <c r="T1940" s="31"/>
      <c r="U1940" s="25">
        <v>974</v>
      </c>
      <c r="V1940" s="25">
        <f>Inventory[[#This Row],[Bsmt]]-Inventory[[#This Row],[FnBsmt]]</f>
        <v>974</v>
      </c>
      <c r="W1940" s="31"/>
      <c r="X1940" s="27"/>
      <c r="Y1940" s="27">
        <f>Inventory[[#This Row],[MainFn]]+Inventory[[#This Row],[UpprFn]]+Inventory[[#This Row],[FnBsmt]]+Inventory[[#This Row],[AddFn]]</f>
        <v>1063</v>
      </c>
      <c r="Z1940" s="27">
        <v>1500</v>
      </c>
      <c r="AA1940" s="25">
        <v>8</v>
      </c>
      <c r="AB1940" s="32">
        <v>396</v>
      </c>
      <c r="AC1940" s="27"/>
      <c r="AD1940" s="27"/>
      <c r="AE1940" s="27"/>
      <c r="AF1940" s="27"/>
      <c r="AG1940" s="27"/>
      <c r="AH1940" s="27"/>
      <c r="AI1940" s="25">
        <v>295432</v>
      </c>
      <c r="AJ1940" s="25">
        <v>194985</v>
      </c>
      <c r="AK1940" s="25">
        <v>18956</v>
      </c>
      <c r="AL1940" s="25">
        <v>339200</v>
      </c>
      <c r="AM1940" s="25">
        <v>46000</v>
      </c>
      <c r="AN1940" s="25">
        <v>293200</v>
      </c>
      <c r="AO1940" s="25">
        <v>0</v>
      </c>
      <c r="AP1940" s="25">
        <f>Lookups!$B$56*0</f>
        <v>0</v>
      </c>
      <c r="AQ1940" s="25">
        <f>Lookups!$B$56*1</f>
        <v>89850.625589999996</v>
      </c>
      <c r="AR1940" s="25">
        <f>Lookups!$B$57*Inventory[[#This Row],[LnAcres]]</f>
        <v>-62236.546971921947</v>
      </c>
      <c r="AS1940" s="25">
        <f>VLOOKUP(Inventory[[#This Row],[Qlty]],Lookups!$A$62:$E$75,2,FALSE)</f>
        <v>44121.038090000002</v>
      </c>
      <c r="AT1940" s="25">
        <f>VLOOKUP(Inventory[[#This Row],[Cnd]],Lookups!$A$76:$E$84,2,FALSE)</f>
        <v>197752.34721000001</v>
      </c>
      <c r="AU1940" s="25">
        <f>Inventory[[#This Row],[EffAge]]*Lookups!$B$85</f>
        <v>-12490.553628</v>
      </c>
      <c r="AV1940" s="25">
        <f>Inventory[[#This Row],[MainFn]]*Lookups!$B$86</f>
        <v>52521.416079251001</v>
      </c>
      <c r="AW1940" s="25">
        <f>Inventory[[#This Row],[UpprFn]]*Lookups!$B$87</f>
        <v>0</v>
      </c>
      <c r="AX1940" s="25">
        <f>Inventory[[#This Row],[AddFn]]*Lookups!$B$88</f>
        <v>0</v>
      </c>
      <c r="AY1940" s="25">
        <f>Inventory[[#This Row],[Bsmt]]*Lookups!$B$89</f>
        <v>28325.765970577999</v>
      </c>
      <c r="AZ1940" s="25">
        <f>Inventory[[#This Row],[Fixtures]]*Lookups!$B$90</f>
        <v>30336.176841600001</v>
      </c>
      <c r="BA1940" s="25">
        <f>Inventory[[#This Row],[WdDeck]]*Lookups!$B$91</f>
        <v>0</v>
      </c>
      <c r="BB1940" s="25">
        <f>ROUND(Inventory[[#This Row],[25Det]],-2)</f>
        <v>19000</v>
      </c>
      <c r="BC1940" s="25">
        <f>ROUND(SUM(Inventory[[#This Row],[Mdl Qlty]:[Mdl WdDeck]])+Inventory[[#This Row],[Mdl Res Intercept]],-2)</f>
        <v>340600</v>
      </c>
      <c r="BD1940" s="25">
        <f>ROUND(Inventory[[#This Row],[Mdl Land Intercept]]+Inventory[[#This Row],[Mdl LnAcres]],-2)</f>
        <v>27600</v>
      </c>
      <c r="BE1940" s="25">
        <f>Inventory[[#This Row],[Unadj Res Value]]+Inventory[[#This Row],[Unadj Det Value]]+Inventory[[#This Row],[Unadj Land Value]]</f>
        <v>387200</v>
      </c>
      <c r="BF1940" s="36">
        <f>(Inventory[[#This Row],[Unadj Total Value]]-Inventory[[#This Row],[24Final]])/Inventory[[#This Row],[24Final]]</f>
        <v>0.14150943396226415</v>
      </c>
      <c r="BG1940" s="25">
        <f>VLOOKUP(Inventory[[#This Row],[Nbhd]],Lookups!$Q$2:$T$4,4,FALSE)</f>
        <v>0.99970000000000003</v>
      </c>
      <c r="BH1940" s="25">
        <f>VLOOKUP(Inventory[[#This Row],[Qlty]],Lookups!$O$7:$R$21,4,FALSE)</f>
        <v>0.98050000000000004</v>
      </c>
      <c r="BI1940" s="25">
        <f>VLOOKUP(Inventory[[#This Row],[Cnd]],Lookups!$T$7:$W$16,4,FALSE)</f>
        <v>0.99650000000000005</v>
      </c>
      <c r="BJ1940" s="25">
        <f>VLOOKUP(Inventory[[#This Row],[LivArea Range]],Lookups!$T$25:$W$37,4,FALSE)</f>
        <v>1.0157</v>
      </c>
      <c r="BK1940" s="25">
        <f>VLOOKUP(Inventory[[#This Row],[Decade]],Lookups!$O$25:$R$42,4,FALSE)</f>
        <v>1.0074000000000001</v>
      </c>
      <c r="BL1940" s="25">
        <f>Inventory[[#This Row],[Nbhd Adj]]*0.95</f>
        <v>0.94971499999999998</v>
      </c>
      <c r="BM1940" s="25">
        <f>Inventory[[#This Row],[Nbhd Adj]]*Inventory[[#This Row],[Quality Adj]]*Inventory[[#This Row],[Condition Adj]]*Inventory[[#This Row],[Living Area Adj]]*Inventory[[#This Row],[Decade Adj]]*0.95</f>
        <v>0.94947951091399707</v>
      </c>
      <c r="BN1940" s="25">
        <f>ROUND(SUM(Inventory[[#This Row],[Mdl Qlty]:[Mdl WdDeck]])+Inventory[[#This Row],[Mdl Res Intercept]]*Inventory[[#This Row],[Res Adj ]],-2)</f>
        <v>340600</v>
      </c>
      <c r="BO1940" s="25">
        <f>ROUND(Inventory[[#This Row],[25Det]]*Inventory[[#This Row],[Det/Nbhd Adj]],-2)</f>
        <v>18000</v>
      </c>
      <c r="BP1940" s="25">
        <f>Inventory[[#This Row],[Adjusted Res]]+Inventory[[#This Row],[Adj Det ]]</f>
        <v>358600</v>
      </c>
      <c r="BQ1940" s="25">
        <f>ROUND((Inventory[[#This Row],[Mdl Land Intercept]]+Inventory[[#This Row],[Mdl LnAcres]])*Inventory[[#This Row],[Det/Nbhd Adj]],-2)</f>
        <v>26200</v>
      </c>
      <c r="BR1940" s="25">
        <f>Inventory[[#This Row],[Adjusted Impr Total]]+Inventory[[#This Row],[Adjusted Land Total]]</f>
        <v>384800</v>
      </c>
      <c r="BS1940" s="36">
        <f>IFERROR((Inventory[[#This Row],[Adjusted Impr Total]]-Inventory[[#This Row],[24Bldg]])/Inventory[[#This Row],[24Bldg]],0)</f>
        <v>0.22305593451568895</v>
      </c>
      <c r="BT1940" s="36">
        <f>(Inventory[[#This Row],[Adjusted Land Total]]-Inventory[[#This Row],[24Lnd]])/Inventory[[#This Row],[24Lnd]]</f>
        <v>-0.43043478260869567</v>
      </c>
      <c r="BU1940" s="36">
        <f>(Inventory[[#This Row],[Adjusted Total]]-Inventory[[#This Row],[24Final]])/Inventory[[#This Row],[24Final]]</f>
        <v>0.13443396226415094</v>
      </c>
    </row>
    <row r="1941" spans="1:73" x14ac:dyDescent="0.3">
      <c r="A1941" s="25">
        <v>2025</v>
      </c>
      <c r="B1941" s="26" t="s">
        <v>2072</v>
      </c>
      <c r="C1941" s="26">
        <f>LN(Inventory[[#This Row],[Acres]])</f>
        <v>-1.8971199848858813</v>
      </c>
      <c r="D1941" s="25">
        <v>0.15</v>
      </c>
      <c r="E1941" s="31"/>
      <c r="F1941" s="26" t="s">
        <v>537</v>
      </c>
      <c r="G1941" s="26" t="s">
        <v>126</v>
      </c>
      <c r="H1941" s="26" t="s">
        <v>349</v>
      </c>
      <c r="I1941" s="26" t="s">
        <v>538</v>
      </c>
      <c r="J1941" s="26" t="s">
        <v>539</v>
      </c>
      <c r="K1941" s="26" t="s">
        <v>242</v>
      </c>
      <c r="L1941" s="26" t="s">
        <v>351</v>
      </c>
      <c r="M1941" s="26" t="s">
        <v>303</v>
      </c>
      <c r="N1941" s="26">
        <v>100</v>
      </c>
      <c r="O1941" s="26">
        <f>2024-Inventory[[#This Row],[YrBlt]]</f>
        <v>99</v>
      </c>
      <c r="P1941" s="26">
        <f>2024-Inventory[[#This Row],[EffYr]]</f>
        <v>56</v>
      </c>
      <c r="Q1941" s="25">
        <v>1925</v>
      </c>
      <c r="R1941" s="25">
        <v>1968</v>
      </c>
      <c r="S1941" s="25">
        <v>1068</v>
      </c>
      <c r="T1941" s="27"/>
      <c r="U1941" s="32">
        <v>368</v>
      </c>
      <c r="V1941" s="32">
        <f>Inventory[[#This Row],[Bsmt]]-Inventory[[#This Row],[FnBsmt]]</f>
        <v>368</v>
      </c>
      <c r="W1941" s="27"/>
      <c r="X1941" s="27"/>
      <c r="Y1941" s="27">
        <f>Inventory[[#This Row],[MainFn]]+Inventory[[#This Row],[UpprFn]]+Inventory[[#This Row],[FnBsmt]]+Inventory[[#This Row],[AddFn]]</f>
        <v>1068</v>
      </c>
      <c r="Z1941" s="27">
        <v>1500</v>
      </c>
      <c r="AA1941" s="25">
        <v>5</v>
      </c>
      <c r="AB1941" s="31"/>
      <c r="AC1941" s="27"/>
      <c r="AD1941" s="27"/>
      <c r="AE1941" s="27"/>
      <c r="AF1941" s="27"/>
      <c r="AG1941" s="27"/>
      <c r="AH1941" s="27"/>
      <c r="AI1941" s="25">
        <v>201738</v>
      </c>
      <c r="AJ1941" s="25">
        <v>133147</v>
      </c>
      <c r="AK1941" s="25">
        <v>5777</v>
      </c>
      <c r="AL1941" s="25">
        <v>287700</v>
      </c>
      <c r="AM1941" s="25">
        <v>48400</v>
      </c>
      <c r="AN1941" s="25">
        <v>239300</v>
      </c>
      <c r="AO1941" s="25">
        <v>0</v>
      </c>
      <c r="AP1941" s="25">
        <f>Lookups!$B$56*0</f>
        <v>0</v>
      </c>
      <c r="AQ1941" s="25">
        <f>Lookups!$B$56*1</f>
        <v>89850.625589999996</v>
      </c>
      <c r="AR1941" s="25">
        <f>Lookups!$B$57*Inventory[[#This Row],[LnAcres]]</f>
        <v>-60052.604136134301</v>
      </c>
      <c r="AS1941" s="25">
        <f>VLOOKUP(Inventory[[#This Row],[Qlty]],Lookups!$A$62:$E$75,2,FALSE)</f>
        <v>21557.329055999999</v>
      </c>
      <c r="AT1941" s="25">
        <f>VLOOKUP(Inventory[[#This Row],[Cnd]],Lookups!$A$76:$E$84,2,FALSE)</f>
        <v>197752.34721000001</v>
      </c>
      <c r="AU1941" s="25">
        <f>Inventory[[#This Row],[EffAge]]*Lookups!$B$85</f>
        <v>-12490.553628</v>
      </c>
      <c r="AV1941" s="25">
        <f>Inventory[[#This Row],[MainFn]]*Lookups!$B$86</f>
        <v>52768.459428636001</v>
      </c>
      <c r="AW1941" s="25">
        <f>Inventory[[#This Row],[UpprFn]]*Lookups!$B$87</f>
        <v>0</v>
      </c>
      <c r="AX1941" s="25">
        <f>Inventory[[#This Row],[AddFn]]*Lookups!$B$88</f>
        <v>0</v>
      </c>
      <c r="AY1941" s="25">
        <f>Inventory[[#This Row],[Bsmt]]*Lookups!$B$89</f>
        <v>10702.137450896</v>
      </c>
      <c r="AZ1941" s="25">
        <f>Inventory[[#This Row],[Fixtures]]*Lookups!$B$90</f>
        <v>18960.110526</v>
      </c>
      <c r="BA1941" s="25">
        <f>Inventory[[#This Row],[WdDeck]]*Lookups!$B$91</f>
        <v>0</v>
      </c>
      <c r="BB1941" s="25">
        <f>ROUND(Inventory[[#This Row],[25Det]],-2)</f>
        <v>5800</v>
      </c>
      <c r="BC1941" s="25">
        <f>ROUND(SUM(Inventory[[#This Row],[Mdl Qlty]:[Mdl WdDeck]])+Inventory[[#This Row],[Mdl Res Intercept]],-2)</f>
        <v>289200</v>
      </c>
      <c r="BD1941" s="25">
        <f>ROUND(Inventory[[#This Row],[Mdl Land Intercept]]+Inventory[[#This Row],[Mdl LnAcres]],-2)</f>
        <v>29800</v>
      </c>
      <c r="BE1941" s="25">
        <f>Inventory[[#This Row],[Unadj Res Value]]+Inventory[[#This Row],[Unadj Det Value]]+Inventory[[#This Row],[Unadj Land Value]]</f>
        <v>324800</v>
      </c>
      <c r="BF1941" s="36">
        <f>(Inventory[[#This Row],[Unadj Total Value]]-Inventory[[#This Row],[24Final]])/Inventory[[#This Row],[24Final]]</f>
        <v>0.12895377128953772</v>
      </c>
      <c r="BG1941" s="25">
        <f>VLOOKUP(Inventory[[#This Row],[Nbhd]],Lookups!$Q$2:$T$4,4,FALSE)</f>
        <v>0.99970000000000003</v>
      </c>
      <c r="BH1941" s="25">
        <f>VLOOKUP(Inventory[[#This Row],[Qlty]],Lookups!$O$7:$R$21,4,FALSE)</f>
        <v>1.0067999999999999</v>
      </c>
      <c r="BI1941" s="25">
        <f>VLOOKUP(Inventory[[#This Row],[Cnd]],Lookups!$T$7:$W$16,4,FALSE)</f>
        <v>0.99650000000000005</v>
      </c>
      <c r="BJ1941" s="25">
        <f>VLOOKUP(Inventory[[#This Row],[LivArea Range]],Lookups!$T$25:$W$37,4,FALSE)</f>
        <v>1.0157</v>
      </c>
      <c r="BK1941" s="25">
        <f>VLOOKUP(Inventory[[#This Row],[Decade]],Lookups!$O$25:$R$42,4,FALSE)</f>
        <v>1.0074000000000001</v>
      </c>
      <c r="BL1941" s="25">
        <f>Inventory[[#This Row],[Nbhd Adj]]*0.95</f>
        <v>0.94971499999999998</v>
      </c>
      <c r="BM1941" s="25">
        <f>Inventory[[#This Row],[Nbhd Adj]]*Inventory[[#This Row],[Quality Adj]]*Inventory[[#This Row],[Condition Adj]]*Inventory[[#This Row],[Living Area Adj]]*Inventory[[#This Row],[Decade Adj]]*0.95</f>
        <v>0.97494744680082823</v>
      </c>
      <c r="BN1941" s="25">
        <f>ROUND(SUM(Inventory[[#This Row],[Mdl Qlty]:[Mdl WdDeck]])+Inventory[[#This Row],[Mdl Res Intercept]]*Inventory[[#This Row],[Res Adj ]],-2)</f>
        <v>289200</v>
      </c>
      <c r="BO1941" s="25">
        <f>ROUND(Inventory[[#This Row],[25Det]]*Inventory[[#This Row],[Det/Nbhd Adj]],-2)</f>
        <v>5500</v>
      </c>
      <c r="BP1941" s="25">
        <f>Inventory[[#This Row],[Adjusted Res]]+Inventory[[#This Row],[Adj Det ]]</f>
        <v>294700</v>
      </c>
      <c r="BQ1941" s="25">
        <f>ROUND((Inventory[[#This Row],[Mdl Land Intercept]]+Inventory[[#This Row],[Mdl LnAcres]])*Inventory[[#This Row],[Det/Nbhd Adj]],-2)</f>
        <v>28300</v>
      </c>
      <c r="BR1941" s="25">
        <f>Inventory[[#This Row],[Adjusted Impr Total]]+Inventory[[#This Row],[Adjusted Land Total]]</f>
        <v>323000</v>
      </c>
      <c r="BS1941" s="36">
        <f>IFERROR((Inventory[[#This Row],[Adjusted Impr Total]]-Inventory[[#This Row],[24Bldg]])/Inventory[[#This Row],[24Bldg]],0)</f>
        <v>0.23150856665273714</v>
      </c>
      <c r="BT1941" s="36">
        <f>(Inventory[[#This Row],[Adjusted Land Total]]-Inventory[[#This Row],[24Lnd]])/Inventory[[#This Row],[24Lnd]]</f>
        <v>-0.41528925619834711</v>
      </c>
      <c r="BU1941" s="36">
        <f>(Inventory[[#This Row],[Adjusted Total]]-Inventory[[#This Row],[24Final]])/Inventory[[#This Row],[24Final]]</f>
        <v>0.1226972540841154</v>
      </c>
    </row>
    <row r="1942" spans="1:73" x14ac:dyDescent="0.3">
      <c r="A1942" s="25">
        <v>2025</v>
      </c>
      <c r="B1942" s="26" t="s">
        <v>1153</v>
      </c>
      <c r="C1942" s="26">
        <f>LN(Inventory[[#This Row],[Acres]])</f>
        <v>-1.8971199848858813</v>
      </c>
      <c r="D1942" s="25">
        <v>0.15</v>
      </c>
      <c r="E1942" s="31"/>
      <c r="F1942" s="26" t="s">
        <v>537</v>
      </c>
      <c r="G1942" s="26" t="s">
        <v>126</v>
      </c>
      <c r="H1942" s="26" t="s">
        <v>349</v>
      </c>
      <c r="I1942" s="26" t="s">
        <v>538</v>
      </c>
      <c r="J1942" s="26" t="s">
        <v>539</v>
      </c>
      <c r="K1942" s="26" t="s">
        <v>269</v>
      </c>
      <c r="L1942" s="26" t="s">
        <v>302</v>
      </c>
      <c r="M1942" s="26" t="s">
        <v>303</v>
      </c>
      <c r="N1942" s="26">
        <v>100</v>
      </c>
      <c r="O1942" s="26">
        <f>2024-Inventory[[#This Row],[YrBlt]]</f>
        <v>99</v>
      </c>
      <c r="P1942" s="26">
        <f>2024-Inventory[[#This Row],[EffYr]]</f>
        <v>56</v>
      </c>
      <c r="Q1942" s="25">
        <v>1925</v>
      </c>
      <c r="R1942" s="25">
        <v>1968</v>
      </c>
      <c r="S1942" s="25">
        <v>1079</v>
      </c>
      <c r="T1942" s="27"/>
      <c r="U1942" s="32">
        <v>1079</v>
      </c>
      <c r="V1942" s="32">
        <f>Inventory[[#This Row],[Bsmt]]-Inventory[[#This Row],[FnBsmt]]</f>
        <v>1079</v>
      </c>
      <c r="W1942" s="27"/>
      <c r="X1942" s="27"/>
      <c r="Y1942" s="27">
        <f>Inventory[[#This Row],[MainFn]]+Inventory[[#This Row],[UpprFn]]+Inventory[[#This Row],[FnBsmt]]+Inventory[[#This Row],[AddFn]]</f>
        <v>1079</v>
      </c>
      <c r="Z1942" s="27">
        <v>1500</v>
      </c>
      <c r="AA1942" s="25">
        <v>5</v>
      </c>
      <c r="AB1942" s="27"/>
      <c r="AC1942" s="27"/>
      <c r="AD1942" s="27"/>
      <c r="AE1942" s="27"/>
      <c r="AF1942" s="27"/>
      <c r="AG1942" s="27"/>
      <c r="AH1942" s="27"/>
      <c r="AI1942" s="25">
        <v>251379</v>
      </c>
      <c r="AJ1942" s="25">
        <v>165910</v>
      </c>
      <c r="AK1942" s="25">
        <v>6957</v>
      </c>
      <c r="AL1942" s="25">
        <v>315100</v>
      </c>
      <c r="AM1942" s="25">
        <v>48400</v>
      </c>
      <c r="AN1942" s="25">
        <v>266700</v>
      </c>
      <c r="AO1942" s="25">
        <v>0</v>
      </c>
      <c r="AP1942" s="25">
        <f>Lookups!$B$56*0</f>
        <v>0</v>
      </c>
      <c r="AQ1942" s="25">
        <f>Lookups!$B$56*1</f>
        <v>89850.625589999996</v>
      </c>
      <c r="AR1942" s="25">
        <f>Lookups!$B$57*Inventory[[#This Row],[LnAcres]]</f>
        <v>-60052.604136134301</v>
      </c>
      <c r="AS1942" s="25">
        <f>VLOOKUP(Inventory[[#This Row],[Qlty]],Lookups!$A$62:$E$75,2,FALSE)</f>
        <v>29814.093161000001</v>
      </c>
      <c r="AT1942" s="25">
        <f>VLOOKUP(Inventory[[#This Row],[Cnd]],Lookups!$A$76:$E$84,2,FALSE)</f>
        <v>197752.34721000001</v>
      </c>
      <c r="AU1942" s="25">
        <f>Inventory[[#This Row],[EffAge]]*Lookups!$B$85</f>
        <v>-12490.553628</v>
      </c>
      <c r="AV1942" s="25">
        <f>Inventory[[#This Row],[MainFn]]*Lookups!$B$86</f>
        <v>53311.954797283004</v>
      </c>
      <c r="AW1942" s="25">
        <f>Inventory[[#This Row],[UpprFn]]*Lookups!$B$87</f>
        <v>0</v>
      </c>
      <c r="AX1942" s="25">
        <f>Inventory[[#This Row],[AddFn]]*Lookups!$B$88</f>
        <v>0</v>
      </c>
      <c r="AY1942" s="25">
        <f>Inventory[[#This Row],[Bsmt]]*Lookups!$B$89</f>
        <v>31379.364971512998</v>
      </c>
      <c r="AZ1942" s="25">
        <f>Inventory[[#This Row],[Fixtures]]*Lookups!$B$90</f>
        <v>18960.110526</v>
      </c>
      <c r="BA1942" s="25">
        <f>Inventory[[#This Row],[WdDeck]]*Lookups!$B$91</f>
        <v>0</v>
      </c>
      <c r="BB1942" s="25">
        <f>ROUND(Inventory[[#This Row],[25Det]],-2)</f>
        <v>7000</v>
      </c>
      <c r="BC1942" s="25">
        <f>ROUND(SUM(Inventory[[#This Row],[Mdl Qlty]:[Mdl WdDeck]])+Inventory[[#This Row],[Mdl Res Intercept]],-2)</f>
        <v>318700</v>
      </c>
      <c r="BD1942" s="25">
        <f>ROUND(Inventory[[#This Row],[Mdl Land Intercept]]+Inventory[[#This Row],[Mdl LnAcres]],-2)</f>
        <v>29800</v>
      </c>
      <c r="BE1942" s="25">
        <f>Inventory[[#This Row],[Unadj Res Value]]+Inventory[[#This Row],[Unadj Det Value]]+Inventory[[#This Row],[Unadj Land Value]]</f>
        <v>355500</v>
      </c>
      <c r="BF1942" s="36">
        <f>(Inventory[[#This Row],[Unadj Total Value]]-Inventory[[#This Row],[24Final]])/Inventory[[#This Row],[24Final]]</f>
        <v>0.12821326562995874</v>
      </c>
      <c r="BG1942" s="25">
        <f>VLOOKUP(Inventory[[#This Row],[Nbhd]],Lookups!$Q$2:$T$4,4,FALSE)</f>
        <v>0.99970000000000003</v>
      </c>
      <c r="BH1942" s="25">
        <f>VLOOKUP(Inventory[[#This Row],[Qlty]],Lookups!$O$7:$R$21,4,FALSE)</f>
        <v>1.0088999999999999</v>
      </c>
      <c r="BI1942" s="25">
        <f>VLOOKUP(Inventory[[#This Row],[Cnd]],Lookups!$T$7:$W$16,4,FALSE)</f>
        <v>0.99650000000000005</v>
      </c>
      <c r="BJ1942" s="25">
        <f>VLOOKUP(Inventory[[#This Row],[LivArea Range]],Lookups!$T$25:$W$37,4,FALSE)</f>
        <v>1.0157</v>
      </c>
      <c r="BK1942" s="25">
        <f>VLOOKUP(Inventory[[#This Row],[Decade]],Lookups!$O$25:$R$42,4,FALSE)</f>
        <v>1.0074000000000001</v>
      </c>
      <c r="BL1942" s="25">
        <f>Inventory[[#This Row],[Nbhd Adj]]*0.95</f>
        <v>0.94971499999999998</v>
      </c>
      <c r="BM1942" s="25">
        <f>Inventory[[#This Row],[Nbhd Adj]]*Inventory[[#This Row],[Quality Adj]]*Inventory[[#This Row],[Condition Adj]]*Inventory[[#This Row],[Living Area Adj]]*Inventory[[#This Row],[Decade Adj]]*0.95</f>
        <v>0.97698100822144973</v>
      </c>
      <c r="BN1942" s="25">
        <f>ROUND(SUM(Inventory[[#This Row],[Mdl Qlty]:[Mdl WdDeck]])+Inventory[[#This Row],[Mdl Res Intercept]]*Inventory[[#This Row],[Res Adj ]],-2)</f>
        <v>318700</v>
      </c>
      <c r="BO1942" s="25">
        <f>ROUND(Inventory[[#This Row],[25Det]]*Inventory[[#This Row],[Det/Nbhd Adj]],-2)</f>
        <v>6600</v>
      </c>
      <c r="BP1942" s="25">
        <f>Inventory[[#This Row],[Adjusted Res]]+Inventory[[#This Row],[Adj Det ]]</f>
        <v>325300</v>
      </c>
      <c r="BQ1942" s="25">
        <f>ROUND((Inventory[[#This Row],[Mdl Land Intercept]]+Inventory[[#This Row],[Mdl LnAcres]])*Inventory[[#This Row],[Det/Nbhd Adj]],-2)</f>
        <v>28300</v>
      </c>
      <c r="BR1942" s="25">
        <f>Inventory[[#This Row],[Adjusted Impr Total]]+Inventory[[#This Row],[Adjusted Land Total]]</f>
        <v>353600</v>
      </c>
      <c r="BS1942" s="36">
        <f>IFERROR((Inventory[[#This Row],[Adjusted Impr Total]]-Inventory[[#This Row],[24Bldg]])/Inventory[[#This Row],[24Bldg]],0)</f>
        <v>0.21972253468316461</v>
      </c>
      <c r="BT1942" s="36">
        <f>(Inventory[[#This Row],[Adjusted Land Total]]-Inventory[[#This Row],[24Lnd]])/Inventory[[#This Row],[24Lnd]]</f>
        <v>-0.41528925619834711</v>
      </c>
      <c r="BU1942" s="36">
        <f>(Inventory[[#This Row],[Adjusted Total]]-Inventory[[#This Row],[24Final]])/Inventory[[#This Row],[24Final]]</f>
        <v>0.12218343383052999</v>
      </c>
    </row>
    <row r="1943" spans="1:73" x14ac:dyDescent="0.3">
      <c r="A1943" s="25">
        <v>2025</v>
      </c>
      <c r="B1943" s="26" t="s">
        <v>2157</v>
      </c>
      <c r="C1943" s="26">
        <f>LN(Inventory[[#This Row],[Acres]])</f>
        <v>-1.5141277326297755</v>
      </c>
      <c r="D1943" s="25">
        <v>0.22</v>
      </c>
      <c r="E1943" s="31"/>
      <c r="F1943" s="26" t="s">
        <v>537</v>
      </c>
      <c r="G1943" s="26" t="s">
        <v>126</v>
      </c>
      <c r="H1943" s="26" t="s">
        <v>349</v>
      </c>
      <c r="I1943" s="26" t="s">
        <v>538</v>
      </c>
      <c r="J1943" s="26" t="s">
        <v>539</v>
      </c>
      <c r="K1943" s="26" t="s">
        <v>269</v>
      </c>
      <c r="L1943" s="26" t="s">
        <v>148</v>
      </c>
      <c r="M1943" s="26" t="s">
        <v>352</v>
      </c>
      <c r="N1943" s="26">
        <v>100</v>
      </c>
      <c r="O1943" s="26">
        <f>2024-Inventory[[#This Row],[YrBlt]]</f>
        <v>99</v>
      </c>
      <c r="P1943" s="26">
        <f>2024-Inventory[[#This Row],[EffYr]]</f>
        <v>56</v>
      </c>
      <c r="Q1943" s="25">
        <v>1925</v>
      </c>
      <c r="R1943" s="25">
        <v>1968</v>
      </c>
      <c r="S1943" s="25">
        <v>1902</v>
      </c>
      <c r="T1943" s="32">
        <v>496</v>
      </c>
      <c r="U1943" s="32">
        <v>840</v>
      </c>
      <c r="V1943" s="32">
        <f>Inventory[[#This Row],[Bsmt]]-Inventory[[#This Row],[FnBsmt]]</f>
        <v>0</v>
      </c>
      <c r="W1943" s="32">
        <v>840</v>
      </c>
      <c r="X1943" s="27"/>
      <c r="Y1943" s="27">
        <f>Inventory[[#This Row],[MainFn]]+Inventory[[#This Row],[UpprFn]]+Inventory[[#This Row],[FnBsmt]]+Inventory[[#This Row],[AddFn]]</f>
        <v>3238</v>
      </c>
      <c r="Z1943" s="27">
        <v>3500</v>
      </c>
      <c r="AA1943" s="25">
        <v>12</v>
      </c>
      <c r="AB1943" s="31"/>
      <c r="AC1943" s="27"/>
      <c r="AD1943" s="27"/>
      <c r="AE1943" s="27"/>
      <c r="AF1943" s="27"/>
      <c r="AG1943" s="27"/>
      <c r="AH1943" s="27"/>
      <c r="AI1943" s="25">
        <v>600473</v>
      </c>
      <c r="AJ1943" s="25">
        <v>408322</v>
      </c>
      <c r="AK1943" s="25">
        <v>41953</v>
      </c>
      <c r="AL1943" s="25">
        <v>519200</v>
      </c>
      <c r="AM1943" s="25">
        <v>61700</v>
      </c>
      <c r="AN1943" s="25">
        <v>457500</v>
      </c>
      <c r="AO1943" s="25">
        <v>0</v>
      </c>
      <c r="AP1943" s="25">
        <f>Lookups!$B$56*0</f>
        <v>0</v>
      </c>
      <c r="AQ1943" s="25">
        <f>Lookups!$B$56*1</f>
        <v>89850.625589999996</v>
      </c>
      <c r="AR1943" s="25">
        <f>Lookups!$B$57*Inventory[[#This Row],[LnAcres]]</f>
        <v>-47929.131559187132</v>
      </c>
      <c r="AS1943" s="25">
        <f>VLOOKUP(Inventory[[#This Row],[Qlty]],Lookups!$A$62:$E$75,2,FALSE)</f>
        <v>44121.038090000002</v>
      </c>
      <c r="AT1943" s="25">
        <f>VLOOKUP(Inventory[[#This Row],[Cnd]],Lookups!$A$76:$E$84,2,FALSE)</f>
        <v>284810.60806</v>
      </c>
      <c r="AU1943" s="25">
        <f>Inventory[[#This Row],[EffAge]]*Lookups!$B$85</f>
        <v>-12490.553628</v>
      </c>
      <c r="AV1943" s="25">
        <f>Inventory[[#This Row],[MainFn]]*Lookups!$B$86</f>
        <v>93975.290106054003</v>
      </c>
      <c r="AW1943" s="25">
        <f>Inventory[[#This Row],[UpprFn]]*Lookups!$B$87</f>
        <v>22214.065739056001</v>
      </c>
      <c r="AX1943" s="25">
        <f>Inventory[[#This Row],[AddFn]]*Lookups!$B$88</f>
        <v>0</v>
      </c>
      <c r="AY1943" s="25">
        <f>Inventory[[#This Row],[Bsmt]]*Lookups!$B$89</f>
        <v>24428.792007479999</v>
      </c>
      <c r="AZ1943" s="25">
        <f>Inventory[[#This Row],[Fixtures]]*Lookups!$B$90</f>
        <v>45504.265262400004</v>
      </c>
      <c r="BA1943" s="25">
        <f>Inventory[[#This Row],[WdDeck]]*Lookups!$B$91</f>
        <v>0</v>
      </c>
      <c r="BB1943" s="25">
        <f>ROUND(Inventory[[#This Row],[25Det]],-2)</f>
        <v>42000</v>
      </c>
      <c r="BC1943" s="25">
        <f>ROUND(SUM(Inventory[[#This Row],[Mdl Qlty]:[Mdl WdDeck]])+Inventory[[#This Row],[Mdl Res Intercept]],-2)</f>
        <v>502600</v>
      </c>
      <c r="BD1943" s="25">
        <f>ROUND(Inventory[[#This Row],[Mdl Land Intercept]]+Inventory[[#This Row],[Mdl LnAcres]],-2)</f>
        <v>41900</v>
      </c>
      <c r="BE1943" s="25">
        <f>Inventory[[#This Row],[Unadj Res Value]]+Inventory[[#This Row],[Unadj Det Value]]+Inventory[[#This Row],[Unadj Land Value]]</f>
        <v>586500</v>
      </c>
      <c r="BF1943" s="36">
        <f>(Inventory[[#This Row],[Unadj Total Value]]-Inventory[[#This Row],[24Final]])/Inventory[[#This Row],[24Final]]</f>
        <v>0.12962249614791987</v>
      </c>
      <c r="BG1943" s="25">
        <f>VLOOKUP(Inventory[[#This Row],[Nbhd]],Lookups!$Q$2:$T$4,4,FALSE)</f>
        <v>0.99970000000000003</v>
      </c>
      <c r="BH1943" s="25">
        <f>VLOOKUP(Inventory[[#This Row],[Qlty]],Lookups!$O$7:$R$21,4,FALSE)</f>
        <v>0.98050000000000004</v>
      </c>
      <c r="BI1943" s="25">
        <f>VLOOKUP(Inventory[[#This Row],[Cnd]],Lookups!$T$7:$W$16,4,FALSE)</f>
        <v>1.0158</v>
      </c>
      <c r="BJ1943" s="25">
        <f>VLOOKUP(Inventory[[#This Row],[LivArea Range]],Lookups!$T$25:$W$37,4,FALSE)</f>
        <v>1.0126999999999999</v>
      </c>
      <c r="BK1943" s="25">
        <f>VLOOKUP(Inventory[[#This Row],[Decade]],Lookups!$O$25:$R$42,4,FALSE)</f>
        <v>1.0074000000000001</v>
      </c>
      <c r="BL1943" s="25">
        <f>Inventory[[#This Row],[Nbhd Adj]]*0.95</f>
        <v>0.94971499999999998</v>
      </c>
      <c r="BM1943" s="25">
        <f>Inventory[[#This Row],[Nbhd Adj]]*Inventory[[#This Row],[Quality Adj]]*Inventory[[#This Row],[Condition Adj]]*Inventory[[#This Row],[Living Area Adj]]*Inventory[[#This Row],[Decade Adj]]*0.95</f>
        <v>0.96501010357527905</v>
      </c>
      <c r="BN1943" s="25">
        <f>ROUND(SUM(Inventory[[#This Row],[Mdl Qlty]:[Mdl WdDeck]])+Inventory[[#This Row],[Mdl Res Intercept]]*Inventory[[#This Row],[Res Adj ]],-2)</f>
        <v>502600</v>
      </c>
      <c r="BO1943" s="25">
        <f>ROUND(Inventory[[#This Row],[25Det]]*Inventory[[#This Row],[Det/Nbhd Adj]],-2)</f>
        <v>39800</v>
      </c>
      <c r="BP1943" s="25">
        <f>Inventory[[#This Row],[Adjusted Res]]+Inventory[[#This Row],[Adj Det ]]</f>
        <v>542400</v>
      </c>
      <c r="BQ1943" s="25">
        <f>ROUND((Inventory[[#This Row],[Mdl Land Intercept]]+Inventory[[#This Row],[Mdl LnAcres]])*Inventory[[#This Row],[Det/Nbhd Adj]],-2)</f>
        <v>39800</v>
      </c>
      <c r="BR1943" s="25">
        <f>Inventory[[#This Row],[Adjusted Impr Total]]+Inventory[[#This Row],[Adjusted Land Total]]</f>
        <v>582200</v>
      </c>
      <c r="BS1943" s="36">
        <f>IFERROR((Inventory[[#This Row],[Adjusted Impr Total]]-Inventory[[#This Row],[24Bldg]])/Inventory[[#This Row],[24Bldg]],0)</f>
        <v>0.18557377049180329</v>
      </c>
      <c r="BT1943" s="36">
        <f>(Inventory[[#This Row],[Adjusted Land Total]]-Inventory[[#This Row],[24Lnd]])/Inventory[[#This Row],[24Lnd]]</f>
        <v>-0.35494327390599678</v>
      </c>
      <c r="BU1943" s="36">
        <f>(Inventory[[#This Row],[Adjusted Total]]-Inventory[[#This Row],[24Final]])/Inventory[[#This Row],[24Final]]</f>
        <v>0.12134052388289676</v>
      </c>
    </row>
    <row r="1944" spans="1:73" x14ac:dyDescent="0.3">
      <c r="A1944" s="25">
        <v>2025</v>
      </c>
      <c r="B1944" s="26" t="s">
        <v>934</v>
      </c>
      <c r="C1944" s="26">
        <f>LN(Inventory[[#This Row],[Acres]])</f>
        <v>-1.9661128563728327</v>
      </c>
      <c r="D1944" s="25">
        <v>0.14000000000000001</v>
      </c>
      <c r="E1944" s="25">
        <v>5972</v>
      </c>
      <c r="F1944" s="26" t="s">
        <v>537</v>
      </c>
      <c r="G1944" s="26" t="s">
        <v>126</v>
      </c>
      <c r="H1944" s="26" t="s">
        <v>349</v>
      </c>
      <c r="I1944" s="26" t="s">
        <v>538</v>
      </c>
      <c r="J1944" s="26" t="s">
        <v>539</v>
      </c>
      <c r="K1944" s="26" t="s">
        <v>242</v>
      </c>
      <c r="L1944" s="26" t="s">
        <v>351</v>
      </c>
      <c r="M1944" s="26" t="s">
        <v>303</v>
      </c>
      <c r="N1944" s="26">
        <v>100</v>
      </c>
      <c r="O1944" s="26">
        <f>2024-Inventory[[#This Row],[YrBlt]]</f>
        <v>99</v>
      </c>
      <c r="P1944" s="26">
        <f>2024-Inventory[[#This Row],[EffYr]]</f>
        <v>56</v>
      </c>
      <c r="Q1944" s="25">
        <v>1925</v>
      </c>
      <c r="R1944" s="25">
        <v>1968</v>
      </c>
      <c r="S1944" s="25">
        <v>1012</v>
      </c>
      <c r="T1944" s="27"/>
      <c r="U1944" s="32">
        <v>219</v>
      </c>
      <c r="V1944" s="32">
        <f>Inventory[[#This Row],[Bsmt]]-Inventory[[#This Row],[FnBsmt]]</f>
        <v>219</v>
      </c>
      <c r="W1944" s="27"/>
      <c r="X1944" s="27"/>
      <c r="Y1944" s="27">
        <f>Inventory[[#This Row],[MainFn]]+Inventory[[#This Row],[UpprFn]]+Inventory[[#This Row],[FnBsmt]]+Inventory[[#This Row],[AddFn]]</f>
        <v>1012</v>
      </c>
      <c r="Z1944" s="27">
        <v>1500</v>
      </c>
      <c r="AA1944" s="25">
        <v>5</v>
      </c>
      <c r="AB1944" s="25">
        <v>308</v>
      </c>
      <c r="AC1944" s="27"/>
      <c r="AD1944" s="27"/>
      <c r="AE1944" s="27"/>
      <c r="AF1944" s="27"/>
      <c r="AG1944" s="27"/>
      <c r="AH1944" s="27"/>
      <c r="AI1944" s="25">
        <v>192589</v>
      </c>
      <c r="AJ1944" s="25">
        <v>127109</v>
      </c>
      <c r="AK1944" s="25">
        <v>0</v>
      </c>
      <c r="AL1944" s="25">
        <v>275700</v>
      </c>
      <c r="AM1944" s="25">
        <v>46000</v>
      </c>
      <c r="AN1944" s="25">
        <v>229700</v>
      </c>
      <c r="AO1944" s="25">
        <v>0</v>
      </c>
      <c r="AP1944" s="25">
        <f>Lookups!$B$56*0</f>
        <v>0</v>
      </c>
      <c r="AQ1944" s="25">
        <f>Lookups!$B$56*1</f>
        <v>89850.625589999996</v>
      </c>
      <c r="AR1944" s="25">
        <f>Lookups!$B$57*Inventory[[#This Row],[LnAcres]]</f>
        <v>-62236.546971921947</v>
      </c>
      <c r="AS1944" s="25">
        <f>VLOOKUP(Inventory[[#This Row],[Qlty]],Lookups!$A$62:$E$75,2,FALSE)</f>
        <v>21557.329055999999</v>
      </c>
      <c r="AT1944" s="25">
        <f>VLOOKUP(Inventory[[#This Row],[Cnd]],Lookups!$A$76:$E$84,2,FALSE)</f>
        <v>197752.34721000001</v>
      </c>
      <c r="AU1944" s="25">
        <f>Inventory[[#This Row],[EffAge]]*Lookups!$B$85</f>
        <v>-12490.553628</v>
      </c>
      <c r="AV1944" s="25">
        <f>Inventory[[#This Row],[MainFn]]*Lookups!$B$86</f>
        <v>50001.573915524001</v>
      </c>
      <c r="AW1944" s="25">
        <f>Inventory[[#This Row],[UpprFn]]*Lookups!$B$87</f>
        <v>0</v>
      </c>
      <c r="AX1944" s="25">
        <f>Inventory[[#This Row],[AddFn]]*Lookups!$B$88</f>
        <v>0</v>
      </c>
      <c r="AY1944" s="25">
        <f>Inventory[[#This Row],[Bsmt]]*Lookups!$B$89</f>
        <v>6368.9350590929998</v>
      </c>
      <c r="AZ1944" s="25">
        <f>Inventory[[#This Row],[Fixtures]]*Lookups!$B$90</f>
        <v>18960.110526</v>
      </c>
      <c r="BA1944" s="25">
        <f>Inventory[[#This Row],[WdDeck]]*Lookups!$B$91</f>
        <v>0</v>
      </c>
      <c r="BB1944" s="25">
        <f>ROUND(Inventory[[#This Row],[25Det]],-2)</f>
        <v>0</v>
      </c>
      <c r="BC1944" s="25">
        <f>ROUND(SUM(Inventory[[#This Row],[Mdl Qlty]:[Mdl WdDeck]])+Inventory[[#This Row],[Mdl Res Intercept]],-2)</f>
        <v>282100</v>
      </c>
      <c r="BD1944" s="25">
        <f>ROUND(Inventory[[#This Row],[Mdl Land Intercept]]+Inventory[[#This Row],[Mdl LnAcres]],-2)</f>
        <v>27600</v>
      </c>
      <c r="BE1944" s="25">
        <f>Inventory[[#This Row],[Unadj Res Value]]+Inventory[[#This Row],[Unadj Det Value]]+Inventory[[#This Row],[Unadj Land Value]]</f>
        <v>309700</v>
      </c>
      <c r="BF1944" s="36">
        <f>(Inventory[[#This Row],[Unadj Total Value]]-Inventory[[#This Row],[24Final]])/Inventory[[#This Row],[24Final]]</f>
        <v>0.12332245194051505</v>
      </c>
      <c r="BG1944" s="25">
        <f>VLOOKUP(Inventory[[#This Row],[Nbhd]],Lookups!$Q$2:$T$4,4,FALSE)</f>
        <v>0.99970000000000003</v>
      </c>
      <c r="BH1944" s="25">
        <f>VLOOKUP(Inventory[[#This Row],[Qlty]],Lookups!$O$7:$R$21,4,FALSE)</f>
        <v>1.0067999999999999</v>
      </c>
      <c r="BI1944" s="25">
        <f>VLOOKUP(Inventory[[#This Row],[Cnd]],Lookups!$T$7:$W$16,4,FALSE)</f>
        <v>0.99650000000000005</v>
      </c>
      <c r="BJ1944" s="25">
        <f>VLOOKUP(Inventory[[#This Row],[LivArea Range]],Lookups!$T$25:$W$37,4,FALSE)</f>
        <v>1.0157</v>
      </c>
      <c r="BK1944" s="25">
        <f>VLOOKUP(Inventory[[#This Row],[Decade]],Lookups!$O$25:$R$42,4,FALSE)</f>
        <v>1.0074000000000001</v>
      </c>
      <c r="BL1944" s="25">
        <f>Inventory[[#This Row],[Nbhd Adj]]*0.95</f>
        <v>0.94971499999999998</v>
      </c>
      <c r="BM1944" s="25">
        <f>Inventory[[#This Row],[Nbhd Adj]]*Inventory[[#This Row],[Quality Adj]]*Inventory[[#This Row],[Condition Adj]]*Inventory[[#This Row],[Living Area Adj]]*Inventory[[#This Row],[Decade Adj]]*0.95</f>
        <v>0.97494744680082823</v>
      </c>
      <c r="BN1944" s="25">
        <f>ROUND(SUM(Inventory[[#This Row],[Mdl Qlty]:[Mdl WdDeck]])+Inventory[[#This Row],[Mdl Res Intercept]]*Inventory[[#This Row],[Res Adj ]],-2)</f>
        <v>282100</v>
      </c>
      <c r="BO1944" s="25">
        <f>ROUND(Inventory[[#This Row],[25Det]]*Inventory[[#This Row],[Det/Nbhd Adj]],-2)</f>
        <v>0</v>
      </c>
      <c r="BP1944" s="25">
        <f>Inventory[[#This Row],[Adjusted Res]]+Inventory[[#This Row],[Adj Det ]]</f>
        <v>282100</v>
      </c>
      <c r="BQ1944" s="25">
        <f>ROUND((Inventory[[#This Row],[Mdl Land Intercept]]+Inventory[[#This Row],[Mdl LnAcres]])*Inventory[[#This Row],[Det/Nbhd Adj]],-2)</f>
        <v>26200</v>
      </c>
      <c r="BR1944" s="25">
        <f>Inventory[[#This Row],[Adjusted Impr Total]]+Inventory[[#This Row],[Adjusted Land Total]]</f>
        <v>308300</v>
      </c>
      <c r="BS1944" s="36">
        <f>IFERROR((Inventory[[#This Row],[Adjusted Impr Total]]-Inventory[[#This Row],[24Bldg]])/Inventory[[#This Row],[24Bldg]],0)</f>
        <v>0.22812363952982151</v>
      </c>
      <c r="BT1944" s="36">
        <f>(Inventory[[#This Row],[Adjusted Land Total]]-Inventory[[#This Row],[24Lnd]])/Inventory[[#This Row],[24Lnd]]</f>
        <v>-0.43043478260869567</v>
      </c>
      <c r="BU1944" s="36">
        <f>(Inventory[[#This Row],[Adjusted Total]]-Inventory[[#This Row],[24Final]])/Inventory[[#This Row],[24Final]]</f>
        <v>0.11824446862531737</v>
      </c>
    </row>
    <row r="1945" spans="1:73" x14ac:dyDescent="0.3">
      <c r="A1945" s="25">
        <v>2025</v>
      </c>
      <c r="B1945" s="26" t="s">
        <v>2783</v>
      </c>
      <c r="C1945" s="26">
        <f>LN(Inventory[[#This Row],[Acres]])</f>
        <v>-1.7147984280919266</v>
      </c>
      <c r="D1945" s="25">
        <v>0.18</v>
      </c>
      <c r="E1945" s="25">
        <v>7981</v>
      </c>
      <c r="F1945" s="26" t="s">
        <v>537</v>
      </c>
      <c r="G1945" s="26" t="s">
        <v>126</v>
      </c>
      <c r="H1945" s="26" t="s">
        <v>349</v>
      </c>
      <c r="I1945" s="26" t="s">
        <v>538</v>
      </c>
      <c r="J1945" s="26" t="s">
        <v>539</v>
      </c>
      <c r="K1945" s="26" t="s">
        <v>242</v>
      </c>
      <c r="L1945" s="26" t="s">
        <v>302</v>
      </c>
      <c r="M1945" s="26" t="s">
        <v>303</v>
      </c>
      <c r="N1945" s="26">
        <v>100</v>
      </c>
      <c r="O1945" s="26">
        <f>2024-Inventory[[#This Row],[YrBlt]]</f>
        <v>99</v>
      </c>
      <c r="P1945" s="26">
        <f>2024-Inventory[[#This Row],[EffYr]]</f>
        <v>56</v>
      </c>
      <c r="Q1945" s="25">
        <v>1925</v>
      </c>
      <c r="R1945" s="25">
        <v>1968</v>
      </c>
      <c r="S1945" s="25">
        <v>878</v>
      </c>
      <c r="T1945" s="27"/>
      <c r="U1945" s="32">
        <v>312</v>
      </c>
      <c r="V1945" s="32">
        <f>Inventory[[#This Row],[Bsmt]]-Inventory[[#This Row],[FnBsmt]]</f>
        <v>312</v>
      </c>
      <c r="W1945" s="27"/>
      <c r="X1945" s="27"/>
      <c r="Y1945" s="27">
        <f>Inventory[[#This Row],[MainFn]]+Inventory[[#This Row],[UpprFn]]+Inventory[[#This Row],[FnBsmt]]+Inventory[[#This Row],[AddFn]]</f>
        <v>878</v>
      </c>
      <c r="Z1945" s="27">
        <v>1000</v>
      </c>
      <c r="AA1945" s="25">
        <v>5</v>
      </c>
      <c r="AB1945" s="31"/>
      <c r="AC1945" s="27"/>
      <c r="AD1945" s="27"/>
      <c r="AE1945" s="27"/>
      <c r="AF1945" s="27"/>
      <c r="AG1945" s="27"/>
      <c r="AH1945" s="27"/>
      <c r="AI1945" s="25">
        <v>178463</v>
      </c>
      <c r="AJ1945" s="25">
        <v>117786</v>
      </c>
      <c r="AK1945" s="25">
        <v>4877</v>
      </c>
      <c r="AL1945" s="25">
        <v>290700</v>
      </c>
      <c r="AM1945" s="25">
        <v>54700</v>
      </c>
      <c r="AN1945" s="25">
        <v>236000</v>
      </c>
      <c r="AO1945" s="25">
        <v>0</v>
      </c>
      <c r="AP1945" s="25">
        <f>Lookups!$B$56*0</f>
        <v>0</v>
      </c>
      <c r="AQ1945" s="25">
        <f>Lookups!$B$56*1</f>
        <v>89850.625589999996</v>
      </c>
      <c r="AR1945" s="25">
        <f>Lookups!$B$57*Inventory[[#This Row],[LnAcres]]</f>
        <v>-54281.285314520763</v>
      </c>
      <c r="AS1945" s="25">
        <f>VLOOKUP(Inventory[[#This Row],[Qlty]],Lookups!$A$62:$E$75,2,FALSE)</f>
        <v>29814.093161000001</v>
      </c>
      <c r="AT1945" s="25">
        <f>VLOOKUP(Inventory[[#This Row],[Cnd]],Lookups!$A$76:$E$84,2,FALSE)</f>
        <v>197752.34721000001</v>
      </c>
      <c r="AU1945" s="25">
        <f>Inventory[[#This Row],[EffAge]]*Lookups!$B$85</f>
        <v>-12490.553628</v>
      </c>
      <c r="AV1945" s="25">
        <f>Inventory[[#This Row],[MainFn]]*Lookups!$B$86</f>
        <v>43380.812152006001</v>
      </c>
      <c r="AW1945" s="25">
        <f>Inventory[[#This Row],[UpprFn]]*Lookups!$B$87</f>
        <v>0</v>
      </c>
      <c r="AX1945" s="25">
        <f>Inventory[[#This Row],[AddFn]]*Lookups!$B$88</f>
        <v>0</v>
      </c>
      <c r="AY1945" s="25">
        <f>Inventory[[#This Row],[Bsmt]]*Lookups!$B$89</f>
        <v>9073.5513170639988</v>
      </c>
      <c r="AZ1945" s="25">
        <f>Inventory[[#This Row],[Fixtures]]*Lookups!$B$90</f>
        <v>18960.110526</v>
      </c>
      <c r="BA1945" s="25">
        <f>Inventory[[#This Row],[WdDeck]]*Lookups!$B$91</f>
        <v>0</v>
      </c>
      <c r="BB1945" s="25">
        <f>ROUND(Inventory[[#This Row],[25Det]],-2)</f>
        <v>4900</v>
      </c>
      <c r="BC1945" s="25">
        <f>ROUND(SUM(Inventory[[#This Row],[Mdl Qlty]:[Mdl WdDeck]])+Inventory[[#This Row],[Mdl Res Intercept]],-2)</f>
        <v>286500</v>
      </c>
      <c r="BD1945" s="25">
        <f>ROUND(Inventory[[#This Row],[Mdl Land Intercept]]+Inventory[[#This Row],[Mdl LnAcres]],-2)</f>
        <v>35600</v>
      </c>
      <c r="BE1945" s="25">
        <f>Inventory[[#This Row],[Unadj Res Value]]+Inventory[[#This Row],[Unadj Det Value]]+Inventory[[#This Row],[Unadj Land Value]]</f>
        <v>327000</v>
      </c>
      <c r="BF1945" s="36">
        <f>(Inventory[[#This Row],[Unadj Total Value]]-Inventory[[#This Row],[24Final]])/Inventory[[#This Row],[24Final]]</f>
        <v>0.12487100103199174</v>
      </c>
      <c r="BG1945" s="25">
        <f>VLOOKUP(Inventory[[#This Row],[Nbhd]],Lookups!$Q$2:$T$4,4,FALSE)</f>
        <v>0.99970000000000003</v>
      </c>
      <c r="BH1945" s="25">
        <f>VLOOKUP(Inventory[[#This Row],[Qlty]],Lookups!$O$7:$R$21,4,FALSE)</f>
        <v>1.0088999999999999</v>
      </c>
      <c r="BI1945" s="25">
        <f>VLOOKUP(Inventory[[#This Row],[Cnd]],Lookups!$T$7:$W$16,4,FALSE)</f>
        <v>0.99650000000000005</v>
      </c>
      <c r="BJ1945" s="25">
        <f>VLOOKUP(Inventory[[#This Row],[LivArea Range]],Lookups!$T$25:$W$37,4,FALSE)</f>
        <v>1.0148999999999999</v>
      </c>
      <c r="BK1945" s="25">
        <f>VLOOKUP(Inventory[[#This Row],[Decade]],Lookups!$O$25:$R$42,4,FALSE)</f>
        <v>1.0074000000000001</v>
      </c>
      <c r="BL1945" s="25">
        <f>Inventory[[#This Row],[Nbhd Adj]]*0.95</f>
        <v>0.94971499999999998</v>
      </c>
      <c r="BM1945" s="25">
        <f>Inventory[[#This Row],[Nbhd Adj]]*Inventory[[#This Row],[Quality Adj]]*Inventory[[#This Row],[Condition Adj]]*Inventory[[#This Row],[Living Area Adj]]*Inventory[[#This Row],[Decade Adj]]*0.95</f>
        <v>0.97621150462139328</v>
      </c>
      <c r="BN1945" s="25">
        <f>ROUND(SUM(Inventory[[#This Row],[Mdl Qlty]:[Mdl WdDeck]])+Inventory[[#This Row],[Mdl Res Intercept]]*Inventory[[#This Row],[Res Adj ]],-2)</f>
        <v>286500</v>
      </c>
      <c r="BO1945" s="25">
        <f>ROUND(Inventory[[#This Row],[25Det]]*Inventory[[#This Row],[Det/Nbhd Adj]],-2)</f>
        <v>4600</v>
      </c>
      <c r="BP1945" s="25">
        <f>Inventory[[#This Row],[Adjusted Res]]+Inventory[[#This Row],[Adj Det ]]</f>
        <v>291100</v>
      </c>
      <c r="BQ1945" s="25">
        <f>ROUND((Inventory[[#This Row],[Mdl Land Intercept]]+Inventory[[#This Row],[Mdl LnAcres]])*Inventory[[#This Row],[Det/Nbhd Adj]],-2)</f>
        <v>33800</v>
      </c>
      <c r="BR1945" s="25">
        <f>Inventory[[#This Row],[Adjusted Impr Total]]+Inventory[[#This Row],[Adjusted Land Total]]</f>
        <v>324900</v>
      </c>
      <c r="BS1945" s="36">
        <f>IFERROR((Inventory[[#This Row],[Adjusted Impr Total]]-Inventory[[#This Row],[24Bldg]])/Inventory[[#This Row],[24Bldg]],0)</f>
        <v>0.23347457627118645</v>
      </c>
      <c r="BT1945" s="36">
        <f>(Inventory[[#This Row],[Adjusted Land Total]]-Inventory[[#This Row],[24Lnd]])/Inventory[[#This Row],[24Lnd]]</f>
        <v>-0.38208409506398539</v>
      </c>
      <c r="BU1945" s="36">
        <f>(Inventory[[#This Row],[Adjusted Total]]-Inventory[[#This Row],[24Final]])/Inventory[[#This Row],[24Final]]</f>
        <v>0.11764705882352941</v>
      </c>
    </row>
    <row r="1946" spans="1:73" x14ac:dyDescent="0.3">
      <c r="A1946" s="25">
        <v>2025</v>
      </c>
      <c r="B1946" s="26" t="s">
        <v>1712</v>
      </c>
      <c r="C1946" s="26">
        <f>LN(Inventory[[#This Row],[Acres]])</f>
        <v>-1.6094379124341003</v>
      </c>
      <c r="D1946" s="25">
        <v>0.2</v>
      </c>
      <c r="E1946" s="25">
        <v>8630</v>
      </c>
      <c r="F1946" s="26" t="s">
        <v>537</v>
      </c>
      <c r="G1946" s="26" t="s">
        <v>126</v>
      </c>
      <c r="H1946" s="26" t="s">
        <v>349</v>
      </c>
      <c r="I1946" s="26" t="s">
        <v>538</v>
      </c>
      <c r="J1946" s="26" t="s">
        <v>539</v>
      </c>
      <c r="K1946" s="26" t="s">
        <v>173</v>
      </c>
      <c r="L1946" s="26" t="s">
        <v>351</v>
      </c>
      <c r="M1946" s="26" t="s">
        <v>206</v>
      </c>
      <c r="N1946" s="26">
        <v>100</v>
      </c>
      <c r="O1946" s="26">
        <f>2024-Inventory[[#This Row],[YrBlt]]</f>
        <v>99</v>
      </c>
      <c r="P1946" s="26">
        <f>2024-Inventory[[#This Row],[EffYr]]</f>
        <v>56</v>
      </c>
      <c r="Q1946" s="25">
        <v>1925</v>
      </c>
      <c r="R1946" s="25">
        <v>1968</v>
      </c>
      <c r="S1946" s="25">
        <v>2210</v>
      </c>
      <c r="T1946" s="32">
        <v>699</v>
      </c>
      <c r="U1946" s="32">
        <v>1980</v>
      </c>
      <c r="V1946" s="32">
        <f>Inventory[[#This Row],[Bsmt]]-Inventory[[#This Row],[FnBsmt]]</f>
        <v>1980</v>
      </c>
      <c r="W1946" s="27"/>
      <c r="X1946" s="27"/>
      <c r="Y1946" s="27">
        <f>Inventory[[#This Row],[MainFn]]+Inventory[[#This Row],[UpprFn]]+Inventory[[#This Row],[FnBsmt]]+Inventory[[#This Row],[AddFn]]</f>
        <v>2909</v>
      </c>
      <c r="Z1946" s="27">
        <v>3000</v>
      </c>
      <c r="AA1946" s="25">
        <v>7</v>
      </c>
      <c r="AB1946" s="27"/>
      <c r="AC1946" s="27"/>
      <c r="AD1946" s="32">
        <v>220</v>
      </c>
      <c r="AE1946" s="27"/>
      <c r="AF1946" s="27"/>
      <c r="AG1946" s="27"/>
      <c r="AH1946" s="27"/>
      <c r="AI1946" s="25">
        <v>429367</v>
      </c>
      <c r="AJ1946" s="25">
        <v>266208</v>
      </c>
      <c r="AK1946" s="25">
        <v>0</v>
      </c>
      <c r="AL1946" s="25">
        <v>368700</v>
      </c>
      <c r="AM1946" s="25">
        <v>58400</v>
      </c>
      <c r="AN1946" s="25">
        <v>310300</v>
      </c>
      <c r="AO1946" s="25">
        <v>0</v>
      </c>
      <c r="AP1946" s="25">
        <f>Lookups!$B$56*0</f>
        <v>0</v>
      </c>
      <c r="AQ1946" s="25">
        <f>Lookups!$B$56*1</f>
        <v>89850.625589999996</v>
      </c>
      <c r="AR1946" s="25">
        <f>Lookups!$B$57*Inventory[[#This Row],[LnAcres]]</f>
        <v>-50946.13867709865</v>
      </c>
      <c r="AS1946" s="25">
        <f>VLOOKUP(Inventory[[#This Row],[Qlty]],Lookups!$A$62:$E$75,2,FALSE)</f>
        <v>21557.329055999999</v>
      </c>
      <c r="AT1946" s="25">
        <f>VLOOKUP(Inventory[[#This Row],[Cnd]],Lookups!$A$76:$E$84,2,FALSE)</f>
        <v>133714.53821</v>
      </c>
      <c r="AU1946" s="25">
        <f>Inventory[[#This Row],[EffAge]]*Lookups!$B$85</f>
        <v>-12490.553628</v>
      </c>
      <c r="AV1946" s="25">
        <f>Inventory[[#This Row],[MainFn]]*Lookups!$B$86</f>
        <v>109193.16042817</v>
      </c>
      <c r="AW1946" s="25">
        <f>Inventory[[#This Row],[UpprFn]]*Lookups!$B$87</f>
        <v>31305.709579839</v>
      </c>
      <c r="AX1946" s="25">
        <f>Inventory[[#This Row],[AddFn]]*Lookups!$B$88</f>
        <v>0</v>
      </c>
      <c r="AY1946" s="25">
        <f>Inventory[[#This Row],[Bsmt]]*Lookups!$B$89</f>
        <v>57582.152589059995</v>
      </c>
      <c r="AZ1946" s="25">
        <f>Inventory[[#This Row],[Fixtures]]*Lookups!$B$90</f>
        <v>26544.1547364</v>
      </c>
      <c r="BA1946" s="25">
        <f>Inventory[[#This Row],[WdDeck]]*Lookups!$B$91</f>
        <v>7325.0133607200005</v>
      </c>
      <c r="BB1946" s="25">
        <f>ROUND(Inventory[[#This Row],[25Det]],-2)</f>
        <v>0</v>
      </c>
      <c r="BC1946" s="25">
        <f>ROUND(SUM(Inventory[[#This Row],[Mdl Qlty]:[Mdl WdDeck]])+Inventory[[#This Row],[Mdl Res Intercept]],-2)</f>
        <v>374700</v>
      </c>
      <c r="BD1946" s="25">
        <f>ROUND(Inventory[[#This Row],[Mdl Land Intercept]]+Inventory[[#This Row],[Mdl LnAcres]],-2)</f>
        <v>38900</v>
      </c>
      <c r="BE1946" s="25">
        <f>Inventory[[#This Row],[Unadj Res Value]]+Inventory[[#This Row],[Unadj Det Value]]+Inventory[[#This Row],[Unadj Land Value]]</f>
        <v>413600</v>
      </c>
      <c r="BF1946" s="36">
        <f>(Inventory[[#This Row],[Unadj Total Value]]-Inventory[[#This Row],[24Final]])/Inventory[[#This Row],[24Final]]</f>
        <v>0.12177922430160022</v>
      </c>
      <c r="BG1946" s="25">
        <f>VLOOKUP(Inventory[[#This Row],[Nbhd]],Lookups!$Q$2:$T$4,4,FALSE)</f>
        <v>0.99970000000000003</v>
      </c>
      <c r="BH1946" s="25">
        <f>VLOOKUP(Inventory[[#This Row],[Qlty]],Lookups!$O$7:$R$21,4,FALSE)</f>
        <v>1.0067999999999999</v>
      </c>
      <c r="BI1946" s="25">
        <f>VLOOKUP(Inventory[[#This Row],[Cnd]],Lookups!$T$7:$W$16,4,FALSE)</f>
        <v>0.99329999999999996</v>
      </c>
      <c r="BJ1946" s="25">
        <f>VLOOKUP(Inventory[[#This Row],[LivArea Range]],Lookups!$T$25:$W$37,4,FALSE)</f>
        <v>0.96179999999999999</v>
      </c>
      <c r="BK1946" s="25">
        <f>VLOOKUP(Inventory[[#This Row],[Decade]],Lookups!$O$25:$R$42,4,FALSE)</f>
        <v>1.0074000000000001</v>
      </c>
      <c r="BL1946" s="25">
        <f>Inventory[[#This Row],[Nbhd Adj]]*0.95</f>
        <v>0.94971499999999998</v>
      </c>
      <c r="BM1946" s="25">
        <f>Inventory[[#This Row],[Nbhd Adj]]*Inventory[[#This Row],[Quality Adj]]*Inventory[[#This Row],[Condition Adj]]*Inventory[[#This Row],[Living Area Adj]]*Inventory[[#This Row],[Decade Adj]]*0.95</f>
        <v>0.92024540799661592</v>
      </c>
      <c r="BN1946" s="25">
        <f>ROUND(SUM(Inventory[[#This Row],[Mdl Qlty]:[Mdl WdDeck]])+Inventory[[#This Row],[Mdl Res Intercept]]*Inventory[[#This Row],[Res Adj ]],-2)</f>
        <v>374700</v>
      </c>
      <c r="BO1946" s="25">
        <f>ROUND(Inventory[[#This Row],[25Det]]*Inventory[[#This Row],[Det/Nbhd Adj]],-2)</f>
        <v>0</v>
      </c>
      <c r="BP1946" s="25">
        <f>Inventory[[#This Row],[Adjusted Res]]+Inventory[[#This Row],[Adj Det ]]</f>
        <v>374700</v>
      </c>
      <c r="BQ1946" s="25">
        <f>ROUND((Inventory[[#This Row],[Mdl Land Intercept]]+Inventory[[#This Row],[Mdl LnAcres]])*Inventory[[#This Row],[Det/Nbhd Adj]],-2)</f>
        <v>36900</v>
      </c>
      <c r="BR1946" s="25">
        <f>Inventory[[#This Row],[Adjusted Impr Total]]+Inventory[[#This Row],[Adjusted Land Total]]</f>
        <v>411600</v>
      </c>
      <c r="BS1946" s="36">
        <f>IFERROR((Inventory[[#This Row],[Adjusted Impr Total]]-Inventory[[#This Row],[24Bldg]])/Inventory[[#This Row],[24Bldg]],0)</f>
        <v>0.20754108926844989</v>
      </c>
      <c r="BT1946" s="36">
        <f>(Inventory[[#This Row],[Adjusted Land Total]]-Inventory[[#This Row],[24Lnd]])/Inventory[[#This Row],[24Lnd]]</f>
        <v>-0.36815068493150682</v>
      </c>
      <c r="BU1946" s="36">
        <f>(Inventory[[#This Row],[Adjusted Total]]-Inventory[[#This Row],[24Final]])/Inventory[[#This Row],[24Final]]</f>
        <v>0.11635475996745322</v>
      </c>
    </row>
    <row r="1947" spans="1:73" x14ac:dyDescent="0.3">
      <c r="A1947" s="25">
        <v>2025</v>
      </c>
      <c r="B1947" s="26" t="s">
        <v>1150</v>
      </c>
      <c r="C1947" s="26">
        <f>LN(Inventory[[#This Row],[Acres]])</f>
        <v>-1.8971199848858813</v>
      </c>
      <c r="D1947" s="25">
        <v>0.15</v>
      </c>
      <c r="E1947" s="31"/>
      <c r="F1947" s="26" t="s">
        <v>537</v>
      </c>
      <c r="G1947" s="26" t="s">
        <v>126</v>
      </c>
      <c r="H1947" s="26" t="s">
        <v>349</v>
      </c>
      <c r="I1947" s="26" t="s">
        <v>538</v>
      </c>
      <c r="J1947" s="26" t="s">
        <v>539</v>
      </c>
      <c r="K1947" s="26" t="s">
        <v>269</v>
      </c>
      <c r="L1947" s="26" t="s">
        <v>351</v>
      </c>
      <c r="M1947" s="26" t="s">
        <v>303</v>
      </c>
      <c r="N1947" s="26">
        <v>100</v>
      </c>
      <c r="O1947" s="26">
        <f>2024-Inventory[[#This Row],[YrBlt]]</f>
        <v>99</v>
      </c>
      <c r="P1947" s="26">
        <f>2024-Inventory[[#This Row],[EffYr]]</f>
        <v>56</v>
      </c>
      <c r="Q1947" s="25">
        <v>1925</v>
      </c>
      <c r="R1947" s="25">
        <v>1968</v>
      </c>
      <c r="S1947" s="25">
        <v>1184</v>
      </c>
      <c r="T1947" s="27"/>
      <c r="U1947" s="25">
        <v>394</v>
      </c>
      <c r="V1947" s="25">
        <f>Inventory[[#This Row],[Bsmt]]-Inventory[[#This Row],[FnBsmt]]</f>
        <v>3</v>
      </c>
      <c r="W1947" s="25">
        <v>391</v>
      </c>
      <c r="X1947" s="27"/>
      <c r="Y1947" s="27">
        <f>Inventory[[#This Row],[MainFn]]+Inventory[[#This Row],[UpprFn]]+Inventory[[#This Row],[FnBsmt]]+Inventory[[#This Row],[AddFn]]</f>
        <v>1575</v>
      </c>
      <c r="Z1947" s="27">
        <v>2000</v>
      </c>
      <c r="AA1947" s="25">
        <v>5</v>
      </c>
      <c r="AB1947" s="27"/>
      <c r="AC1947" s="27"/>
      <c r="AD1947" s="32">
        <v>384</v>
      </c>
      <c r="AE1947" s="27"/>
      <c r="AF1947" s="27"/>
      <c r="AG1947" s="27"/>
      <c r="AH1947" s="27"/>
      <c r="AI1947" s="25">
        <v>247456</v>
      </c>
      <c r="AJ1947" s="25">
        <v>163321</v>
      </c>
      <c r="AK1947" s="25">
        <v>9040</v>
      </c>
      <c r="AL1947" s="25">
        <v>310400</v>
      </c>
      <c r="AM1947" s="25">
        <v>48400</v>
      </c>
      <c r="AN1947" s="25">
        <v>262000</v>
      </c>
      <c r="AO1947" s="25">
        <v>0</v>
      </c>
      <c r="AP1947" s="25">
        <f>Lookups!$B$56*0</f>
        <v>0</v>
      </c>
      <c r="AQ1947" s="25">
        <f>Lookups!$B$56*1</f>
        <v>89850.625589999996</v>
      </c>
      <c r="AR1947" s="25">
        <f>Lookups!$B$57*Inventory[[#This Row],[LnAcres]]</f>
        <v>-60052.604136134301</v>
      </c>
      <c r="AS1947" s="25">
        <f>VLOOKUP(Inventory[[#This Row],[Qlty]],Lookups!$A$62:$E$75,2,FALSE)</f>
        <v>21557.329055999999</v>
      </c>
      <c r="AT1947" s="25">
        <f>VLOOKUP(Inventory[[#This Row],[Cnd]],Lookups!$A$76:$E$84,2,FALSE)</f>
        <v>197752.34721000001</v>
      </c>
      <c r="AU1947" s="25">
        <f>Inventory[[#This Row],[EffAge]]*Lookups!$B$85</f>
        <v>-12490.553628</v>
      </c>
      <c r="AV1947" s="25">
        <f>Inventory[[#This Row],[MainFn]]*Lookups!$B$86</f>
        <v>58499.865134368003</v>
      </c>
      <c r="AW1947" s="25">
        <f>Inventory[[#This Row],[UpprFn]]*Lookups!$B$87</f>
        <v>0</v>
      </c>
      <c r="AX1947" s="25">
        <f>Inventory[[#This Row],[AddFn]]*Lookups!$B$88</f>
        <v>0</v>
      </c>
      <c r="AY1947" s="25">
        <f>Inventory[[#This Row],[Bsmt]]*Lookups!$B$89</f>
        <v>11458.266727318</v>
      </c>
      <c r="AZ1947" s="25">
        <f>Inventory[[#This Row],[Fixtures]]*Lookups!$B$90</f>
        <v>18960.110526</v>
      </c>
      <c r="BA1947" s="25">
        <f>Inventory[[#This Row],[WdDeck]]*Lookups!$B$91</f>
        <v>12785.477865984001</v>
      </c>
      <c r="BB1947" s="25">
        <f>ROUND(Inventory[[#This Row],[25Det]],-2)</f>
        <v>9000</v>
      </c>
      <c r="BC1947" s="25">
        <f>ROUND(SUM(Inventory[[#This Row],[Mdl Qlty]:[Mdl WdDeck]])+Inventory[[#This Row],[Mdl Res Intercept]],-2)</f>
        <v>308500</v>
      </c>
      <c r="BD1947" s="25">
        <f>ROUND(Inventory[[#This Row],[Mdl Land Intercept]]+Inventory[[#This Row],[Mdl LnAcres]],-2)</f>
        <v>29800</v>
      </c>
      <c r="BE1947" s="25">
        <f>Inventory[[#This Row],[Unadj Res Value]]+Inventory[[#This Row],[Unadj Det Value]]+Inventory[[#This Row],[Unadj Land Value]]</f>
        <v>347300</v>
      </c>
      <c r="BF1947" s="36">
        <f>(Inventory[[#This Row],[Unadj Total Value]]-Inventory[[#This Row],[24Final]])/Inventory[[#This Row],[24Final]]</f>
        <v>0.11887886597938144</v>
      </c>
      <c r="BG1947" s="25">
        <f>VLOOKUP(Inventory[[#This Row],[Nbhd]],Lookups!$Q$2:$T$4,4,FALSE)</f>
        <v>0.99970000000000003</v>
      </c>
      <c r="BH1947" s="25">
        <f>VLOOKUP(Inventory[[#This Row],[Qlty]],Lookups!$O$7:$R$21,4,FALSE)</f>
        <v>1.0067999999999999</v>
      </c>
      <c r="BI1947" s="25">
        <f>VLOOKUP(Inventory[[#This Row],[Cnd]],Lookups!$T$7:$W$16,4,FALSE)</f>
        <v>0.99650000000000005</v>
      </c>
      <c r="BJ1947" s="25">
        <f>VLOOKUP(Inventory[[#This Row],[LivArea Range]],Lookups!$T$25:$W$37,4,FALSE)</f>
        <v>1.0093000000000001</v>
      </c>
      <c r="BK1947" s="25">
        <f>VLOOKUP(Inventory[[#This Row],[Decade]],Lookups!$O$25:$R$42,4,FALSE)</f>
        <v>1.0074000000000001</v>
      </c>
      <c r="BL1947" s="25">
        <f>Inventory[[#This Row],[Nbhd Adj]]*0.95</f>
        <v>0.94971499999999998</v>
      </c>
      <c r="BM1947" s="25">
        <f>Inventory[[#This Row],[Nbhd Adj]]*Inventory[[#This Row],[Quality Adj]]*Inventory[[#This Row],[Condition Adj]]*Inventory[[#This Row],[Living Area Adj]]*Inventory[[#This Row],[Decade Adj]]*0.95</f>
        <v>0.96880423161964746</v>
      </c>
      <c r="BN1947" s="25">
        <f>ROUND(SUM(Inventory[[#This Row],[Mdl Qlty]:[Mdl WdDeck]])+Inventory[[#This Row],[Mdl Res Intercept]]*Inventory[[#This Row],[Res Adj ]],-2)</f>
        <v>308500</v>
      </c>
      <c r="BO1947" s="25">
        <f>ROUND(Inventory[[#This Row],[25Det]]*Inventory[[#This Row],[Det/Nbhd Adj]],-2)</f>
        <v>8600</v>
      </c>
      <c r="BP1947" s="25">
        <f>Inventory[[#This Row],[Adjusted Res]]+Inventory[[#This Row],[Adj Det ]]</f>
        <v>317100</v>
      </c>
      <c r="BQ1947" s="25">
        <f>ROUND((Inventory[[#This Row],[Mdl Land Intercept]]+Inventory[[#This Row],[Mdl LnAcres]])*Inventory[[#This Row],[Det/Nbhd Adj]],-2)</f>
        <v>28300</v>
      </c>
      <c r="BR1947" s="25">
        <f>Inventory[[#This Row],[Adjusted Impr Total]]+Inventory[[#This Row],[Adjusted Land Total]]</f>
        <v>345400</v>
      </c>
      <c r="BS1947" s="36">
        <f>IFERROR((Inventory[[#This Row],[Adjusted Impr Total]]-Inventory[[#This Row],[24Bldg]])/Inventory[[#This Row],[24Bldg]],0)</f>
        <v>0.21030534351145039</v>
      </c>
      <c r="BT1947" s="36">
        <f>(Inventory[[#This Row],[Adjusted Land Total]]-Inventory[[#This Row],[24Lnd]])/Inventory[[#This Row],[24Lnd]]</f>
        <v>-0.41528925619834711</v>
      </c>
      <c r="BU1947" s="36">
        <f>(Inventory[[#This Row],[Adjusted Total]]-Inventory[[#This Row],[24Final]])/Inventory[[#This Row],[24Final]]</f>
        <v>0.11275773195876289</v>
      </c>
    </row>
    <row r="1948" spans="1:73" x14ac:dyDescent="0.3">
      <c r="A1948" s="25">
        <v>2025</v>
      </c>
      <c r="B1948" s="26" t="s">
        <v>2147</v>
      </c>
      <c r="C1948" s="26">
        <f>LN(Inventory[[#This Row],[Acres]])</f>
        <v>-1.8971199848858813</v>
      </c>
      <c r="D1948" s="25">
        <v>0.15</v>
      </c>
      <c r="E1948" s="25">
        <v>6327</v>
      </c>
      <c r="F1948" s="26" t="s">
        <v>537</v>
      </c>
      <c r="G1948" s="26" t="s">
        <v>126</v>
      </c>
      <c r="H1948" s="26" t="s">
        <v>349</v>
      </c>
      <c r="I1948" s="26" t="s">
        <v>538</v>
      </c>
      <c r="J1948" s="26" t="s">
        <v>539</v>
      </c>
      <c r="K1948" s="26" t="s">
        <v>242</v>
      </c>
      <c r="L1948" s="26" t="s">
        <v>351</v>
      </c>
      <c r="M1948" s="26" t="s">
        <v>303</v>
      </c>
      <c r="N1948" s="26">
        <v>100</v>
      </c>
      <c r="O1948" s="26">
        <f>2024-Inventory[[#This Row],[YrBlt]]</f>
        <v>99</v>
      </c>
      <c r="P1948" s="26">
        <f>2024-Inventory[[#This Row],[EffYr]]</f>
        <v>56</v>
      </c>
      <c r="Q1948" s="25">
        <v>1925</v>
      </c>
      <c r="R1948" s="25">
        <v>1968</v>
      </c>
      <c r="S1948" s="25">
        <v>1275</v>
      </c>
      <c r="T1948" s="27"/>
      <c r="U1948" s="25">
        <v>510</v>
      </c>
      <c r="V1948" s="25">
        <f>Inventory[[#This Row],[Bsmt]]-Inventory[[#This Row],[FnBsmt]]</f>
        <v>510</v>
      </c>
      <c r="W1948" s="31"/>
      <c r="X1948" s="27"/>
      <c r="Y1948" s="27">
        <f>Inventory[[#This Row],[MainFn]]+Inventory[[#This Row],[UpprFn]]+Inventory[[#This Row],[FnBsmt]]+Inventory[[#This Row],[AddFn]]</f>
        <v>1275</v>
      </c>
      <c r="Z1948" s="27">
        <v>1500</v>
      </c>
      <c r="AA1948" s="25">
        <v>5</v>
      </c>
      <c r="AB1948" s="27"/>
      <c r="AC1948" s="27"/>
      <c r="AD1948" s="27"/>
      <c r="AE1948" s="27"/>
      <c r="AF1948" s="27"/>
      <c r="AG1948" s="27"/>
      <c r="AH1948" s="27"/>
      <c r="AI1948" s="25">
        <v>224605</v>
      </c>
      <c r="AJ1948" s="25">
        <v>148239</v>
      </c>
      <c r="AK1948" s="25">
        <v>16399</v>
      </c>
      <c r="AL1948" s="25">
        <v>312500</v>
      </c>
      <c r="AM1948" s="25">
        <v>48400</v>
      </c>
      <c r="AN1948" s="25">
        <v>264100</v>
      </c>
      <c r="AO1948" s="25">
        <v>0</v>
      </c>
      <c r="AP1948" s="25">
        <f>Lookups!$B$56*0</f>
        <v>0</v>
      </c>
      <c r="AQ1948" s="25">
        <f>Lookups!$B$56*1</f>
        <v>89850.625589999996</v>
      </c>
      <c r="AR1948" s="25">
        <f>Lookups!$B$57*Inventory[[#This Row],[LnAcres]]</f>
        <v>-60052.604136134301</v>
      </c>
      <c r="AS1948" s="25">
        <f>VLOOKUP(Inventory[[#This Row],[Qlty]],Lookups!$A$62:$E$75,2,FALSE)</f>
        <v>21557.329055999999</v>
      </c>
      <c r="AT1948" s="25">
        <f>VLOOKUP(Inventory[[#This Row],[Cnd]],Lookups!$A$76:$E$84,2,FALSE)</f>
        <v>197752.34721000001</v>
      </c>
      <c r="AU1948" s="25">
        <f>Inventory[[#This Row],[EffAge]]*Lookups!$B$85</f>
        <v>-12490.553628</v>
      </c>
      <c r="AV1948" s="25">
        <f>Inventory[[#This Row],[MainFn]]*Lookups!$B$86</f>
        <v>62996.054093175</v>
      </c>
      <c r="AW1948" s="25">
        <f>Inventory[[#This Row],[UpprFn]]*Lookups!$B$87</f>
        <v>0</v>
      </c>
      <c r="AX1948" s="25">
        <f>Inventory[[#This Row],[AddFn]]*Lookups!$B$88</f>
        <v>0</v>
      </c>
      <c r="AY1948" s="25">
        <f>Inventory[[#This Row],[Bsmt]]*Lookups!$B$89</f>
        <v>14831.766575969999</v>
      </c>
      <c r="AZ1948" s="25">
        <f>Inventory[[#This Row],[Fixtures]]*Lookups!$B$90</f>
        <v>18960.110526</v>
      </c>
      <c r="BA1948" s="25">
        <f>Inventory[[#This Row],[WdDeck]]*Lookups!$B$91</f>
        <v>0</v>
      </c>
      <c r="BB1948" s="25">
        <f>ROUND(Inventory[[#This Row],[25Det]],-2)</f>
        <v>16400</v>
      </c>
      <c r="BC1948" s="25">
        <f>ROUND(SUM(Inventory[[#This Row],[Mdl Qlty]:[Mdl WdDeck]])+Inventory[[#This Row],[Mdl Res Intercept]],-2)</f>
        <v>303600</v>
      </c>
      <c r="BD1948" s="25">
        <f>ROUND(Inventory[[#This Row],[Mdl Land Intercept]]+Inventory[[#This Row],[Mdl LnAcres]],-2)</f>
        <v>29800</v>
      </c>
      <c r="BE1948" s="25">
        <f>Inventory[[#This Row],[Unadj Res Value]]+Inventory[[#This Row],[Unadj Det Value]]+Inventory[[#This Row],[Unadj Land Value]]</f>
        <v>349800</v>
      </c>
      <c r="BF1948" s="36">
        <f>(Inventory[[#This Row],[Unadj Total Value]]-Inventory[[#This Row],[24Final]])/Inventory[[#This Row],[24Final]]</f>
        <v>0.11935999999999999</v>
      </c>
      <c r="BG1948" s="25">
        <f>VLOOKUP(Inventory[[#This Row],[Nbhd]],Lookups!$Q$2:$T$4,4,FALSE)</f>
        <v>0.99970000000000003</v>
      </c>
      <c r="BH1948" s="25">
        <f>VLOOKUP(Inventory[[#This Row],[Qlty]],Lookups!$O$7:$R$21,4,FALSE)</f>
        <v>1.0067999999999999</v>
      </c>
      <c r="BI1948" s="25">
        <f>VLOOKUP(Inventory[[#This Row],[Cnd]],Lookups!$T$7:$W$16,4,FALSE)</f>
        <v>0.99650000000000005</v>
      </c>
      <c r="BJ1948" s="25">
        <f>VLOOKUP(Inventory[[#This Row],[LivArea Range]],Lookups!$T$25:$W$37,4,FALSE)</f>
        <v>1.0157</v>
      </c>
      <c r="BK1948" s="25">
        <f>VLOOKUP(Inventory[[#This Row],[Decade]],Lookups!$O$25:$R$42,4,FALSE)</f>
        <v>1.0074000000000001</v>
      </c>
      <c r="BL1948" s="25">
        <f>Inventory[[#This Row],[Nbhd Adj]]*0.95</f>
        <v>0.94971499999999998</v>
      </c>
      <c r="BM1948" s="25">
        <f>Inventory[[#This Row],[Nbhd Adj]]*Inventory[[#This Row],[Quality Adj]]*Inventory[[#This Row],[Condition Adj]]*Inventory[[#This Row],[Living Area Adj]]*Inventory[[#This Row],[Decade Adj]]*0.95</f>
        <v>0.97494744680082823</v>
      </c>
      <c r="BN1948" s="25">
        <f>ROUND(SUM(Inventory[[#This Row],[Mdl Qlty]:[Mdl WdDeck]])+Inventory[[#This Row],[Mdl Res Intercept]]*Inventory[[#This Row],[Res Adj ]],-2)</f>
        <v>303600</v>
      </c>
      <c r="BO1948" s="25">
        <f>ROUND(Inventory[[#This Row],[25Det]]*Inventory[[#This Row],[Det/Nbhd Adj]],-2)</f>
        <v>15600</v>
      </c>
      <c r="BP1948" s="25">
        <f>Inventory[[#This Row],[Adjusted Res]]+Inventory[[#This Row],[Adj Det ]]</f>
        <v>319200</v>
      </c>
      <c r="BQ1948" s="25">
        <f>ROUND((Inventory[[#This Row],[Mdl Land Intercept]]+Inventory[[#This Row],[Mdl LnAcres]])*Inventory[[#This Row],[Det/Nbhd Adj]],-2)</f>
        <v>28300</v>
      </c>
      <c r="BR1948" s="25">
        <f>Inventory[[#This Row],[Adjusted Impr Total]]+Inventory[[#This Row],[Adjusted Land Total]]</f>
        <v>347500</v>
      </c>
      <c r="BS1948" s="36">
        <f>IFERROR((Inventory[[#This Row],[Adjusted Impr Total]]-Inventory[[#This Row],[24Bldg]])/Inventory[[#This Row],[24Bldg]],0)</f>
        <v>0.20863309352517986</v>
      </c>
      <c r="BT1948" s="36">
        <f>(Inventory[[#This Row],[Adjusted Land Total]]-Inventory[[#This Row],[24Lnd]])/Inventory[[#This Row],[24Lnd]]</f>
        <v>-0.41528925619834711</v>
      </c>
      <c r="BU1948" s="36">
        <f>(Inventory[[#This Row],[Adjusted Total]]-Inventory[[#This Row],[24Final]])/Inventory[[#This Row],[24Final]]</f>
        <v>0.112</v>
      </c>
    </row>
    <row r="1949" spans="1:73" x14ac:dyDescent="0.3">
      <c r="A1949" s="25">
        <v>2025</v>
      </c>
      <c r="B1949" s="26" t="s">
        <v>2101</v>
      </c>
      <c r="C1949" s="26">
        <f>LN(Inventory[[#This Row],[Acres]])</f>
        <v>-1.6607312068216509</v>
      </c>
      <c r="D1949" s="25">
        <v>0.19</v>
      </c>
      <c r="E1949" s="31"/>
      <c r="F1949" s="26" t="s">
        <v>537</v>
      </c>
      <c r="G1949" s="26" t="s">
        <v>126</v>
      </c>
      <c r="H1949" s="26" t="s">
        <v>349</v>
      </c>
      <c r="I1949" s="26" t="s">
        <v>538</v>
      </c>
      <c r="J1949" s="26" t="s">
        <v>539</v>
      </c>
      <c r="K1949" s="26" t="s">
        <v>416</v>
      </c>
      <c r="L1949" s="26" t="s">
        <v>351</v>
      </c>
      <c r="M1949" s="26" t="s">
        <v>303</v>
      </c>
      <c r="N1949" s="26">
        <v>100</v>
      </c>
      <c r="O1949" s="26">
        <f>2024-Inventory[[#This Row],[YrBlt]]</f>
        <v>99</v>
      </c>
      <c r="P1949" s="26">
        <f>2024-Inventory[[#This Row],[EffYr]]</f>
        <v>56</v>
      </c>
      <c r="Q1949" s="25">
        <v>1925</v>
      </c>
      <c r="R1949" s="25">
        <v>1968</v>
      </c>
      <c r="S1949" s="25">
        <v>1064</v>
      </c>
      <c r="T1949" s="32">
        <v>904</v>
      </c>
      <c r="U1949" s="25">
        <v>816</v>
      </c>
      <c r="V1949" s="25">
        <f>Inventory[[#This Row],[Bsmt]]-Inventory[[#This Row],[FnBsmt]]</f>
        <v>816</v>
      </c>
      <c r="W1949" s="31"/>
      <c r="X1949" s="27"/>
      <c r="Y1949" s="27">
        <f>Inventory[[#This Row],[MainFn]]+Inventory[[#This Row],[UpprFn]]+Inventory[[#This Row],[FnBsmt]]+Inventory[[#This Row],[AddFn]]</f>
        <v>1968</v>
      </c>
      <c r="Z1949" s="27">
        <v>2000</v>
      </c>
      <c r="AA1949" s="25">
        <v>8</v>
      </c>
      <c r="AB1949" s="27"/>
      <c r="AC1949" s="27"/>
      <c r="AD1949" s="32">
        <v>144</v>
      </c>
      <c r="AE1949" s="27"/>
      <c r="AF1949" s="27"/>
      <c r="AG1949" s="27"/>
      <c r="AH1949" s="27"/>
      <c r="AI1949" s="25">
        <v>306497</v>
      </c>
      <c r="AJ1949" s="25">
        <v>202288</v>
      </c>
      <c r="AK1949" s="25">
        <v>8447</v>
      </c>
      <c r="AL1949" s="25">
        <v>362200</v>
      </c>
      <c r="AM1949" s="25">
        <v>56600</v>
      </c>
      <c r="AN1949" s="25">
        <v>305600</v>
      </c>
      <c r="AO1949" s="25">
        <v>0</v>
      </c>
      <c r="AP1949" s="25">
        <f>Lookups!$B$56*0</f>
        <v>0</v>
      </c>
      <c r="AQ1949" s="25">
        <f>Lookups!$B$56*1</f>
        <v>89850.625589999996</v>
      </c>
      <c r="AR1949" s="25">
        <f>Lookups!$B$57*Inventory[[#This Row],[LnAcres]]</f>
        <v>-52569.808201026557</v>
      </c>
      <c r="AS1949" s="25">
        <f>VLOOKUP(Inventory[[#This Row],[Qlty]],Lookups!$A$62:$E$75,2,FALSE)</f>
        <v>21557.329055999999</v>
      </c>
      <c r="AT1949" s="25">
        <f>VLOOKUP(Inventory[[#This Row],[Cnd]],Lookups!$A$76:$E$84,2,FALSE)</f>
        <v>197752.34721000001</v>
      </c>
      <c r="AU1949" s="25">
        <f>Inventory[[#This Row],[EffAge]]*Lookups!$B$85</f>
        <v>-12490.553628</v>
      </c>
      <c r="AV1949" s="25">
        <f>Inventory[[#This Row],[MainFn]]*Lookups!$B$86</f>
        <v>52570.824749127998</v>
      </c>
      <c r="AW1949" s="25">
        <f>Inventory[[#This Row],[UpprFn]]*Lookups!$B$87</f>
        <v>40486.926266343995</v>
      </c>
      <c r="AX1949" s="25">
        <f>Inventory[[#This Row],[AddFn]]*Lookups!$B$88</f>
        <v>0</v>
      </c>
      <c r="AY1949" s="25">
        <f>Inventory[[#This Row],[Bsmt]]*Lookups!$B$89</f>
        <v>23730.826521552</v>
      </c>
      <c r="AZ1949" s="25">
        <f>Inventory[[#This Row],[Fixtures]]*Lookups!$B$90</f>
        <v>30336.176841600001</v>
      </c>
      <c r="BA1949" s="25">
        <f>Inventory[[#This Row],[WdDeck]]*Lookups!$B$91</f>
        <v>4794.5541997440005</v>
      </c>
      <c r="BB1949" s="25">
        <f>ROUND(Inventory[[#This Row],[25Det]],-2)</f>
        <v>8400</v>
      </c>
      <c r="BC1949" s="25">
        <f>ROUND(SUM(Inventory[[#This Row],[Mdl Qlty]:[Mdl WdDeck]])+Inventory[[#This Row],[Mdl Res Intercept]],-2)</f>
        <v>358700</v>
      </c>
      <c r="BD1949" s="25">
        <f>ROUND(Inventory[[#This Row],[Mdl Land Intercept]]+Inventory[[#This Row],[Mdl LnAcres]],-2)</f>
        <v>37300</v>
      </c>
      <c r="BE1949" s="25">
        <f>Inventory[[#This Row],[Unadj Res Value]]+Inventory[[#This Row],[Unadj Det Value]]+Inventory[[#This Row],[Unadj Land Value]]</f>
        <v>404400</v>
      </c>
      <c r="BF1949" s="36">
        <f>(Inventory[[#This Row],[Unadj Total Value]]-Inventory[[#This Row],[24Final]])/Inventory[[#This Row],[24Final]]</f>
        <v>0.11651021535063501</v>
      </c>
      <c r="BG1949" s="25">
        <f>VLOOKUP(Inventory[[#This Row],[Nbhd]],Lookups!$Q$2:$T$4,4,FALSE)</f>
        <v>0.99970000000000003</v>
      </c>
      <c r="BH1949" s="25">
        <f>VLOOKUP(Inventory[[#This Row],[Qlty]],Lookups!$O$7:$R$21,4,FALSE)</f>
        <v>1.0067999999999999</v>
      </c>
      <c r="BI1949" s="25">
        <f>VLOOKUP(Inventory[[#This Row],[Cnd]],Lookups!$T$7:$W$16,4,FALSE)</f>
        <v>0.99650000000000005</v>
      </c>
      <c r="BJ1949" s="25">
        <f>VLOOKUP(Inventory[[#This Row],[LivArea Range]],Lookups!$T$25:$W$37,4,FALSE)</f>
        <v>1.0093000000000001</v>
      </c>
      <c r="BK1949" s="25">
        <f>VLOOKUP(Inventory[[#This Row],[Decade]],Lookups!$O$25:$R$42,4,FALSE)</f>
        <v>1.0074000000000001</v>
      </c>
      <c r="BL1949" s="25">
        <f>Inventory[[#This Row],[Nbhd Adj]]*0.95</f>
        <v>0.94971499999999998</v>
      </c>
      <c r="BM1949" s="25">
        <f>Inventory[[#This Row],[Nbhd Adj]]*Inventory[[#This Row],[Quality Adj]]*Inventory[[#This Row],[Condition Adj]]*Inventory[[#This Row],[Living Area Adj]]*Inventory[[#This Row],[Decade Adj]]*0.95</f>
        <v>0.96880423161964746</v>
      </c>
      <c r="BN1949" s="25">
        <f>ROUND(SUM(Inventory[[#This Row],[Mdl Qlty]:[Mdl WdDeck]])+Inventory[[#This Row],[Mdl Res Intercept]]*Inventory[[#This Row],[Res Adj ]],-2)</f>
        <v>358700</v>
      </c>
      <c r="BO1949" s="25">
        <f>ROUND(Inventory[[#This Row],[25Det]]*Inventory[[#This Row],[Det/Nbhd Adj]],-2)</f>
        <v>8000</v>
      </c>
      <c r="BP1949" s="25">
        <f>Inventory[[#This Row],[Adjusted Res]]+Inventory[[#This Row],[Adj Det ]]</f>
        <v>366700</v>
      </c>
      <c r="BQ1949" s="25">
        <f>ROUND((Inventory[[#This Row],[Mdl Land Intercept]]+Inventory[[#This Row],[Mdl LnAcres]])*Inventory[[#This Row],[Det/Nbhd Adj]],-2)</f>
        <v>35400</v>
      </c>
      <c r="BR1949" s="25">
        <f>Inventory[[#This Row],[Adjusted Impr Total]]+Inventory[[#This Row],[Adjusted Land Total]]</f>
        <v>402100</v>
      </c>
      <c r="BS1949" s="36">
        <f>IFERROR((Inventory[[#This Row],[Adjusted Impr Total]]-Inventory[[#This Row],[24Bldg]])/Inventory[[#This Row],[24Bldg]],0)</f>
        <v>0.19993455497382198</v>
      </c>
      <c r="BT1949" s="36">
        <f>(Inventory[[#This Row],[Adjusted Land Total]]-Inventory[[#This Row],[24Lnd]])/Inventory[[#This Row],[24Lnd]]</f>
        <v>-0.37455830388692579</v>
      </c>
      <c r="BU1949" s="36">
        <f>(Inventory[[#This Row],[Adjusted Total]]-Inventory[[#This Row],[24Final]])/Inventory[[#This Row],[24Final]]</f>
        <v>0.11016013252346769</v>
      </c>
    </row>
    <row r="1950" spans="1:73" x14ac:dyDescent="0.3">
      <c r="A1950" s="25">
        <v>2025</v>
      </c>
      <c r="B1950" s="26" t="s">
        <v>1583</v>
      </c>
      <c r="C1950" s="26">
        <f>LN(Inventory[[#This Row],[Acres]])</f>
        <v>-2.0402208285265546</v>
      </c>
      <c r="D1950" s="25">
        <v>0.13</v>
      </c>
      <c r="E1950" s="31"/>
      <c r="F1950" s="26" t="s">
        <v>537</v>
      </c>
      <c r="G1950" s="26" t="s">
        <v>126</v>
      </c>
      <c r="H1950" s="26" t="s">
        <v>349</v>
      </c>
      <c r="I1950" s="26" t="s">
        <v>538</v>
      </c>
      <c r="J1950" s="26" t="s">
        <v>539</v>
      </c>
      <c r="K1950" s="26" t="s">
        <v>269</v>
      </c>
      <c r="L1950" s="26" t="s">
        <v>351</v>
      </c>
      <c r="M1950" s="26" t="s">
        <v>303</v>
      </c>
      <c r="N1950" s="26">
        <v>100</v>
      </c>
      <c r="O1950" s="26">
        <f>2024-Inventory[[#This Row],[YrBlt]]</f>
        <v>99</v>
      </c>
      <c r="P1950" s="26">
        <f>2024-Inventory[[#This Row],[EffYr]]</f>
        <v>56</v>
      </c>
      <c r="Q1950" s="25">
        <v>1925</v>
      </c>
      <c r="R1950" s="25">
        <v>1968</v>
      </c>
      <c r="S1950" s="25">
        <v>1192</v>
      </c>
      <c r="T1950" s="27"/>
      <c r="U1950" s="25">
        <v>648</v>
      </c>
      <c r="V1950" s="25">
        <f>Inventory[[#This Row],[Bsmt]]-Inventory[[#This Row],[FnBsmt]]</f>
        <v>648</v>
      </c>
      <c r="W1950" s="31"/>
      <c r="X1950" s="27"/>
      <c r="Y1950" s="27">
        <f>Inventory[[#This Row],[MainFn]]+Inventory[[#This Row],[UpprFn]]+Inventory[[#This Row],[FnBsmt]]+Inventory[[#This Row],[AddFn]]</f>
        <v>1192</v>
      </c>
      <c r="Z1950" s="27">
        <v>1500</v>
      </c>
      <c r="AA1950" s="25">
        <v>5</v>
      </c>
      <c r="AB1950" s="27"/>
      <c r="AC1950" s="27"/>
      <c r="AD1950" s="27"/>
      <c r="AE1950" s="27"/>
      <c r="AF1950" s="27"/>
      <c r="AG1950" s="27"/>
      <c r="AH1950" s="27"/>
      <c r="AI1950" s="25">
        <v>218666</v>
      </c>
      <c r="AJ1950" s="25">
        <v>144320</v>
      </c>
      <c r="AK1950" s="25">
        <v>4877</v>
      </c>
      <c r="AL1950" s="25">
        <v>299600</v>
      </c>
      <c r="AM1950" s="25">
        <v>43400</v>
      </c>
      <c r="AN1950" s="25">
        <v>256200</v>
      </c>
      <c r="AO1950" s="25">
        <v>0</v>
      </c>
      <c r="AP1950" s="25">
        <f>Lookups!$B$56*0</f>
        <v>0</v>
      </c>
      <c r="AQ1950" s="25">
        <f>Lookups!$B$56*1</f>
        <v>89850.625589999996</v>
      </c>
      <c r="AR1950" s="25">
        <f>Lookups!$B$57*Inventory[[#This Row],[LnAcres]]</f>
        <v>-64582.406353792743</v>
      </c>
      <c r="AS1950" s="25">
        <f>VLOOKUP(Inventory[[#This Row],[Qlty]],Lookups!$A$62:$E$75,2,FALSE)</f>
        <v>21557.329055999999</v>
      </c>
      <c r="AT1950" s="25">
        <f>VLOOKUP(Inventory[[#This Row],[Cnd]],Lookups!$A$76:$E$84,2,FALSE)</f>
        <v>197752.34721000001</v>
      </c>
      <c r="AU1950" s="25">
        <f>Inventory[[#This Row],[EffAge]]*Lookups!$B$85</f>
        <v>-12490.553628</v>
      </c>
      <c r="AV1950" s="25">
        <f>Inventory[[#This Row],[MainFn]]*Lookups!$B$86</f>
        <v>58895.134493384001</v>
      </c>
      <c r="AW1950" s="25">
        <f>Inventory[[#This Row],[UpprFn]]*Lookups!$B$87</f>
        <v>0</v>
      </c>
      <c r="AX1950" s="25">
        <f>Inventory[[#This Row],[AddFn]]*Lookups!$B$88</f>
        <v>0</v>
      </c>
      <c r="AY1950" s="25">
        <f>Inventory[[#This Row],[Bsmt]]*Lookups!$B$89</f>
        <v>18845.068120055999</v>
      </c>
      <c r="AZ1950" s="25">
        <f>Inventory[[#This Row],[Fixtures]]*Lookups!$B$90</f>
        <v>18960.110526</v>
      </c>
      <c r="BA1950" s="25">
        <f>Inventory[[#This Row],[WdDeck]]*Lookups!$B$91</f>
        <v>0</v>
      </c>
      <c r="BB1950" s="25">
        <f>ROUND(Inventory[[#This Row],[25Det]],-2)</f>
        <v>4900</v>
      </c>
      <c r="BC1950" s="25">
        <f>ROUND(SUM(Inventory[[#This Row],[Mdl Qlty]:[Mdl WdDeck]])+Inventory[[#This Row],[Mdl Res Intercept]],-2)</f>
        <v>303500</v>
      </c>
      <c r="BD1950" s="25">
        <f>ROUND(Inventory[[#This Row],[Mdl Land Intercept]]+Inventory[[#This Row],[Mdl LnAcres]],-2)</f>
        <v>25300</v>
      </c>
      <c r="BE1950" s="25">
        <f>Inventory[[#This Row],[Unadj Res Value]]+Inventory[[#This Row],[Unadj Det Value]]+Inventory[[#This Row],[Unadj Land Value]]</f>
        <v>333700</v>
      </c>
      <c r="BF1950" s="36">
        <f>(Inventory[[#This Row],[Unadj Total Value]]-Inventory[[#This Row],[24Final]])/Inventory[[#This Row],[24Final]]</f>
        <v>0.11381842456608812</v>
      </c>
      <c r="BG1950" s="25">
        <f>VLOOKUP(Inventory[[#This Row],[Nbhd]],Lookups!$Q$2:$T$4,4,FALSE)</f>
        <v>0.99970000000000003</v>
      </c>
      <c r="BH1950" s="25">
        <f>VLOOKUP(Inventory[[#This Row],[Qlty]],Lookups!$O$7:$R$21,4,FALSE)</f>
        <v>1.0067999999999999</v>
      </c>
      <c r="BI1950" s="25">
        <f>VLOOKUP(Inventory[[#This Row],[Cnd]],Lookups!$T$7:$W$16,4,FALSE)</f>
        <v>0.99650000000000005</v>
      </c>
      <c r="BJ1950" s="25">
        <f>VLOOKUP(Inventory[[#This Row],[LivArea Range]],Lookups!$T$25:$W$37,4,FALSE)</f>
        <v>1.0157</v>
      </c>
      <c r="BK1950" s="25">
        <f>VLOOKUP(Inventory[[#This Row],[Decade]],Lookups!$O$25:$R$42,4,FALSE)</f>
        <v>1.0074000000000001</v>
      </c>
      <c r="BL1950" s="25">
        <f>Inventory[[#This Row],[Nbhd Adj]]*0.95</f>
        <v>0.94971499999999998</v>
      </c>
      <c r="BM1950" s="25">
        <f>Inventory[[#This Row],[Nbhd Adj]]*Inventory[[#This Row],[Quality Adj]]*Inventory[[#This Row],[Condition Adj]]*Inventory[[#This Row],[Living Area Adj]]*Inventory[[#This Row],[Decade Adj]]*0.95</f>
        <v>0.97494744680082823</v>
      </c>
      <c r="BN1950" s="25">
        <f>ROUND(SUM(Inventory[[#This Row],[Mdl Qlty]:[Mdl WdDeck]])+Inventory[[#This Row],[Mdl Res Intercept]]*Inventory[[#This Row],[Res Adj ]],-2)</f>
        <v>303500</v>
      </c>
      <c r="BO1950" s="25">
        <f>ROUND(Inventory[[#This Row],[25Det]]*Inventory[[#This Row],[Det/Nbhd Adj]],-2)</f>
        <v>4600</v>
      </c>
      <c r="BP1950" s="25">
        <f>Inventory[[#This Row],[Adjusted Res]]+Inventory[[#This Row],[Adj Det ]]</f>
        <v>308100</v>
      </c>
      <c r="BQ1950" s="25">
        <f>ROUND((Inventory[[#This Row],[Mdl Land Intercept]]+Inventory[[#This Row],[Mdl LnAcres]])*Inventory[[#This Row],[Det/Nbhd Adj]],-2)</f>
        <v>24000</v>
      </c>
      <c r="BR1950" s="25">
        <f>Inventory[[#This Row],[Adjusted Impr Total]]+Inventory[[#This Row],[Adjusted Land Total]]</f>
        <v>332100</v>
      </c>
      <c r="BS1950" s="36">
        <f>IFERROR((Inventory[[#This Row],[Adjusted Impr Total]]-Inventory[[#This Row],[24Bldg]])/Inventory[[#This Row],[24Bldg]],0)</f>
        <v>0.20257611241217799</v>
      </c>
      <c r="BT1950" s="36">
        <f>(Inventory[[#This Row],[Adjusted Land Total]]-Inventory[[#This Row],[24Lnd]])/Inventory[[#This Row],[24Lnd]]</f>
        <v>-0.44700460829493088</v>
      </c>
      <c r="BU1950" s="36">
        <f>(Inventory[[#This Row],[Adjusted Total]]-Inventory[[#This Row],[24Final]])/Inventory[[#This Row],[24Final]]</f>
        <v>0.10847797062750333</v>
      </c>
    </row>
    <row r="1951" spans="1:73" x14ac:dyDescent="0.3">
      <c r="A1951" s="25">
        <v>2025</v>
      </c>
      <c r="B1951" s="26" t="s">
        <v>2756</v>
      </c>
      <c r="C1951" s="26">
        <f>LN(Inventory[[#This Row],[Acres]])</f>
        <v>-1.5606477482646683</v>
      </c>
      <c r="D1951" s="25">
        <v>0.21</v>
      </c>
      <c r="E1951" s="25">
        <v>8930</v>
      </c>
      <c r="F1951" s="26" t="s">
        <v>537</v>
      </c>
      <c r="G1951" s="26" t="s">
        <v>126</v>
      </c>
      <c r="H1951" s="26" t="s">
        <v>349</v>
      </c>
      <c r="I1951" s="26" t="s">
        <v>538</v>
      </c>
      <c r="J1951" s="26" t="s">
        <v>539</v>
      </c>
      <c r="K1951" s="26" t="s">
        <v>269</v>
      </c>
      <c r="L1951" s="26" t="s">
        <v>351</v>
      </c>
      <c r="M1951" s="26" t="s">
        <v>303</v>
      </c>
      <c r="N1951" s="26">
        <v>100</v>
      </c>
      <c r="O1951" s="26">
        <f>2024-Inventory[[#This Row],[YrBlt]]</f>
        <v>99</v>
      </c>
      <c r="P1951" s="26">
        <f>2024-Inventory[[#This Row],[EffYr]]</f>
        <v>56</v>
      </c>
      <c r="Q1951" s="25">
        <v>1925</v>
      </c>
      <c r="R1951" s="25">
        <v>1968</v>
      </c>
      <c r="S1951" s="25">
        <v>922</v>
      </c>
      <c r="T1951" s="27"/>
      <c r="U1951" s="25">
        <v>475</v>
      </c>
      <c r="V1951" s="25">
        <f>Inventory[[#This Row],[Bsmt]]-Inventory[[#This Row],[FnBsmt]]</f>
        <v>475</v>
      </c>
      <c r="W1951" s="31"/>
      <c r="X1951" s="27"/>
      <c r="Y1951" s="27">
        <f>Inventory[[#This Row],[MainFn]]+Inventory[[#This Row],[UpprFn]]+Inventory[[#This Row],[FnBsmt]]+Inventory[[#This Row],[AddFn]]</f>
        <v>922</v>
      </c>
      <c r="Z1951" s="27">
        <v>1000</v>
      </c>
      <c r="AA1951" s="25">
        <v>5</v>
      </c>
      <c r="AB1951" s="27"/>
      <c r="AC1951" s="27"/>
      <c r="AD1951" s="27"/>
      <c r="AE1951" s="27"/>
      <c r="AF1951" s="27"/>
      <c r="AG1951" s="27"/>
      <c r="AH1951" s="27"/>
      <c r="AI1951" s="25">
        <v>179707</v>
      </c>
      <c r="AJ1951" s="25">
        <v>118607</v>
      </c>
      <c r="AK1951" s="25">
        <v>6728</v>
      </c>
      <c r="AL1951" s="25">
        <v>297700</v>
      </c>
      <c r="AM1951" s="25">
        <v>60100</v>
      </c>
      <c r="AN1951" s="25">
        <v>237600</v>
      </c>
      <c r="AO1951" s="25">
        <v>0</v>
      </c>
      <c r="AP1951" s="25">
        <f>Lookups!$B$56*0</f>
        <v>0</v>
      </c>
      <c r="AQ1951" s="25">
        <f>Lookups!$B$56*1</f>
        <v>89850.625589999996</v>
      </c>
      <c r="AR1951" s="25">
        <f>Lookups!$B$57*Inventory[[#This Row],[LnAcres]]</f>
        <v>-49401.70477837498</v>
      </c>
      <c r="AS1951" s="25">
        <f>VLOOKUP(Inventory[[#This Row],[Qlty]],Lookups!$A$62:$E$75,2,FALSE)</f>
        <v>21557.329055999999</v>
      </c>
      <c r="AT1951" s="25">
        <f>VLOOKUP(Inventory[[#This Row],[Cnd]],Lookups!$A$76:$E$84,2,FALSE)</f>
        <v>197752.34721000001</v>
      </c>
      <c r="AU1951" s="25">
        <f>Inventory[[#This Row],[EffAge]]*Lookups!$B$85</f>
        <v>-12490.553628</v>
      </c>
      <c r="AV1951" s="25">
        <f>Inventory[[#This Row],[MainFn]]*Lookups!$B$86</f>
        <v>45554.793626594001</v>
      </c>
      <c r="AW1951" s="25">
        <f>Inventory[[#This Row],[UpprFn]]*Lookups!$B$87</f>
        <v>0</v>
      </c>
      <c r="AX1951" s="25">
        <f>Inventory[[#This Row],[AddFn]]*Lookups!$B$88</f>
        <v>0</v>
      </c>
      <c r="AY1951" s="25">
        <f>Inventory[[#This Row],[Bsmt]]*Lookups!$B$89</f>
        <v>13813.900242324999</v>
      </c>
      <c r="AZ1951" s="25">
        <f>Inventory[[#This Row],[Fixtures]]*Lookups!$B$90</f>
        <v>18960.110526</v>
      </c>
      <c r="BA1951" s="25">
        <f>Inventory[[#This Row],[WdDeck]]*Lookups!$B$91</f>
        <v>0</v>
      </c>
      <c r="BB1951" s="25">
        <f>ROUND(Inventory[[#This Row],[25Det]],-2)</f>
        <v>6700</v>
      </c>
      <c r="BC1951" s="25">
        <f>ROUND(SUM(Inventory[[#This Row],[Mdl Qlty]:[Mdl WdDeck]])+Inventory[[#This Row],[Mdl Res Intercept]],-2)</f>
        <v>285100</v>
      </c>
      <c r="BD1951" s="25">
        <f>ROUND(Inventory[[#This Row],[Mdl Land Intercept]]+Inventory[[#This Row],[Mdl LnAcres]],-2)</f>
        <v>40400</v>
      </c>
      <c r="BE1951" s="25">
        <f>Inventory[[#This Row],[Unadj Res Value]]+Inventory[[#This Row],[Unadj Det Value]]+Inventory[[#This Row],[Unadj Land Value]]</f>
        <v>332200</v>
      </c>
      <c r="BF1951" s="36">
        <f>(Inventory[[#This Row],[Unadj Total Value]]-Inventory[[#This Row],[24Final]])/Inventory[[#This Row],[24Final]]</f>
        <v>0.11588847833389318</v>
      </c>
      <c r="BG1951" s="25">
        <f>VLOOKUP(Inventory[[#This Row],[Nbhd]],Lookups!$Q$2:$T$4,4,FALSE)</f>
        <v>0.99970000000000003</v>
      </c>
      <c r="BH1951" s="25">
        <f>VLOOKUP(Inventory[[#This Row],[Qlty]],Lookups!$O$7:$R$21,4,FALSE)</f>
        <v>1.0067999999999999</v>
      </c>
      <c r="BI1951" s="25">
        <f>VLOOKUP(Inventory[[#This Row],[Cnd]],Lookups!$T$7:$W$16,4,FALSE)</f>
        <v>0.99650000000000005</v>
      </c>
      <c r="BJ1951" s="25">
        <f>VLOOKUP(Inventory[[#This Row],[LivArea Range]],Lookups!$T$25:$W$37,4,FALSE)</f>
        <v>1.0148999999999999</v>
      </c>
      <c r="BK1951" s="25">
        <f>VLOOKUP(Inventory[[#This Row],[Decade]],Lookups!$O$25:$R$42,4,FALSE)</f>
        <v>1.0074000000000001</v>
      </c>
      <c r="BL1951" s="25">
        <f>Inventory[[#This Row],[Nbhd Adj]]*0.95</f>
        <v>0.94971499999999998</v>
      </c>
      <c r="BM1951" s="25">
        <f>Inventory[[#This Row],[Nbhd Adj]]*Inventory[[#This Row],[Quality Adj]]*Inventory[[#This Row],[Condition Adj]]*Inventory[[#This Row],[Living Area Adj]]*Inventory[[#This Row],[Decade Adj]]*0.95</f>
        <v>0.97417954490318037</v>
      </c>
      <c r="BN1951" s="25">
        <f>ROUND(SUM(Inventory[[#This Row],[Mdl Qlty]:[Mdl WdDeck]])+Inventory[[#This Row],[Mdl Res Intercept]]*Inventory[[#This Row],[Res Adj ]],-2)</f>
        <v>285100</v>
      </c>
      <c r="BO1951" s="25">
        <f>ROUND(Inventory[[#This Row],[25Det]]*Inventory[[#This Row],[Det/Nbhd Adj]],-2)</f>
        <v>6400</v>
      </c>
      <c r="BP1951" s="25">
        <f>Inventory[[#This Row],[Adjusted Res]]+Inventory[[#This Row],[Adj Det ]]</f>
        <v>291500</v>
      </c>
      <c r="BQ1951" s="25">
        <f>ROUND((Inventory[[#This Row],[Mdl Land Intercept]]+Inventory[[#This Row],[Mdl LnAcres]])*Inventory[[#This Row],[Det/Nbhd Adj]],-2)</f>
        <v>38400</v>
      </c>
      <c r="BR1951" s="25">
        <f>Inventory[[#This Row],[Adjusted Impr Total]]+Inventory[[#This Row],[Adjusted Land Total]]</f>
        <v>329900</v>
      </c>
      <c r="BS1951" s="36">
        <f>IFERROR((Inventory[[#This Row],[Adjusted Impr Total]]-Inventory[[#This Row],[24Bldg]])/Inventory[[#This Row],[24Bldg]],0)</f>
        <v>0.22685185185185186</v>
      </c>
      <c r="BT1951" s="36">
        <f>(Inventory[[#This Row],[Adjusted Land Total]]-Inventory[[#This Row],[24Lnd]])/Inventory[[#This Row],[24Lnd]]</f>
        <v>-0.36106489184692181</v>
      </c>
      <c r="BU1951" s="36">
        <f>(Inventory[[#This Row],[Adjusted Total]]-Inventory[[#This Row],[24Final]])/Inventory[[#This Row],[24Final]]</f>
        <v>0.10816257977830031</v>
      </c>
    </row>
    <row r="1952" spans="1:73" x14ac:dyDescent="0.3">
      <c r="A1952" s="25">
        <v>2025</v>
      </c>
      <c r="B1952" s="26" t="s">
        <v>1571</v>
      </c>
      <c r="C1952" s="26">
        <f>LN(Inventory[[#This Row],[Acres]])</f>
        <v>-1.7719568419318752</v>
      </c>
      <c r="D1952" s="25">
        <v>0.17</v>
      </c>
      <c r="E1952" s="31"/>
      <c r="F1952" s="26" t="s">
        <v>537</v>
      </c>
      <c r="G1952" s="26" t="s">
        <v>126</v>
      </c>
      <c r="H1952" s="26" t="s">
        <v>349</v>
      </c>
      <c r="I1952" s="26" t="s">
        <v>538</v>
      </c>
      <c r="J1952" s="26" t="s">
        <v>539</v>
      </c>
      <c r="K1952" s="26" t="s">
        <v>147</v>
      </c>
      <c r="L1952" s="26" t="s">
        <v>351</v>
      </c>
      <c r="M1952" s="26" t="s">
        <v>303</v>
      </c>
      <c r="N1952" s="26">
        <v>100</v>
      </c>
      <c r="O1952" s="26">
        <f>2024-Inventory[[#This Row],[YrBlt]]</f>
        <v>99</v>
      </c>
      <c r="P1952" s="26">
        <f>2024-Inventory[[#This Row],[EffYr]]</f>
        <v>56</v>
      </c>
      <c r="Q1952" s="25">
        <v>1925</v>
      </c>
      <c r="R1952" s="25">
        <v>1968</v>
      </c>
      <c r="S1952" s="25">
        <v>968</v>
      </c>
      <c r="T1952" s="25">
        <v>696</v>
      </c>
      <c r="U1952" s="25">
        <v>464</v>
      </c>
      <c r="V1952" s="32">
        <f>Inventory[[#This Row],[Bsmt]]-Inventory[[#This Row],[FnBsmt]]</f>
        <v>464</v>
      </c>
      <c r="W1952" s="32">
        <v>0</v>
      </c>
      <c r="X1952" s="31"/>
      <c r="Y1952" s="31">
        <f>Inventory[[#This Row],[MainFn]]+Inventory[[#This Row],[UpprFn]]+Inventory[[#This Row],[FnBsmt]]+Inventory[[#This Row],[AddFn]]</f>
        <v>1664</v>
      </c>
      <c r="Z1952" s="27">
        <v>2000</v>
      </c>
      <c r="AA1952" s="25">
        <v>7</v>
      </c>
      <c r="AB1952" s="27"/>
      <c r="AC1952" s="27"/>
      <c r="AD1952" s="27"/>
      <c r="AE1952" s="27"/>
      <c r="AF1952" s="27"/>
      <c r="AG1952" s="27"/>
      <c r="AH1952" s="27"/>
      <c r="AI1952" s="25">
        <v>258037</v>
      </c>
      <c r="AJ1952" s="25">
        <v>170304</v>
      </c>
      <c r="AK1952" s="25">
        <v>0</v>
      </c>
      <c r="AL1952" s="25">
        <v>323300</v>
      </c>
      <c r="AM1952" s="25">
        <v>52700</v>
      </c>
      <c r="AN1952" s="25">
        <v>270600</v>
      </c>
      <c r="AO1952" s="25">
        <v>0</v>
      </c>
      <c r="AP1952" s="25">
        <f>Lookups!$B$56*0</f>
        <v>0</v>
      </c>
      <c r="AQ1952" s="25">
        <f>Lookups!$B$56*1</f>
        <v>89850.625589999996</v>
      </c>
      <c r="AR1952" s="25">
        <f>Lookups!$B$57*Inventory[[#This Row],[LnAcres]]</f>
        <v>-56090.612940989391</v>
      </c>
      <c r="AS1952" s="25">
        <f>VLOOKUP(Inventory[[#This Row],[Qlty]],Lookups!$A$62:$E$75,2,FALSE)</f>
        <v>21557.329055999999</v>
      </c>
      <c r="AT1952" s="25">
        <f>VLOOKUP(Inventory[[#This Row],[Cnd]],Lookups!$A$76:$E$84,2,FALSE)</f>
        <v>197752.34721000001</v>
      </c>
      <c r="AU1952" s="25">
        <f>Inventory[[#This Row],[EffAge]]*Lookups!$B$85</f>
        <v>-12490.553628</v>
      </c>
      <c r="AV1952" s="25">
        <f>Inventory[[#This Row],[MainFn]]*Lookups!$B$86</f>
        <v>47827.592440936001</v>
      </c>
      <c r="AW1952" s="25">
        <f>Inventory[[#This Row],[UpprFn]]*Lookups!$B$87</f>
        <v>31171.350311255999</v>
      </c>
      <c r="AX1952" s="25">
        <f>Inventory[[#This Row],[AddFn]]*Lookups!$B$88</f>
        <v>0</v>
      </c>
      <c r="AY1952" s="25">
        <f>Inventory[[#This Row],[Bsmt]]*Lookups!$B$89</f>
        <v>13493.999394607999</v>
      </c>
      <c r="AZ1952" s="25">
        <f>Inventory[[#This Row],[Fixtures]]*Lookups!$B$90</f>
        <v>26544.1547364</v>
      </c>
      <c r="BA1952" s="25">
        <f>Inventory[[#This Row],[WdDeck]]*Lookups!$B$91</f>
        <v>0</v>
      </c>
      <c r="BB1952" s="25">
        <f>ROUND(Inventory[[#This Row],[25Det]],-2)</f>
        <v>0</v>
      </c>
      <c r="BC1952" s="25">
        <f>ROUND(SUM(Inventory[[#This Row],[Mdl Qlty]:[Mdl WdDeck]])+Inventory[[#This Row],[Mdl Res Intercept]],-2)</f>
        <v>325900</v>
      </c>
      <c r="BD1952" s="25">
        <f>ROUND(Inventory[[#This Row],[Mdl Land Intercept]]+Inventory[[#This Row],[Mdl LnAcres]],-2)</f>
        <v>33800</v>
      </c>
      <c r="BE1952" s="25">
        <f>Inventory[[#This Row],[Unadj Res Value]]+Inventory[[#This Row],[Unadj Det Value]]+Inventory[[#This Row],[Unadj Land Value]]</f>
        <v>359700</v>
      </c>
      <c r="BF1952" s="36">
        <f>(Inventory[[#This Row],[Unadj Total Value]]-Inventory[[#This Row],[24Final]])/Inventory[[#This Row],[24Final]]</f>
        <v>0.11258892669347355</v>
      </c>
      <c r="BG1952" s="25">
        <f>VLOOKUP(Inventory[[#This Row],[Nbhd]],Lookups!$Q$2:$T$4,4,FALSE)</f>
        <v>0.99970000000000003</v>
      </c>
      <c r="BH1952" s="25">
        <f>VLOOKUP(Inventory[[#This Row],[Qlty]],Lookups!$O$7:$R$21,4,FALSE)</f>
        <v>1.0067999999999999</v>
      </c>
      <c r="BI1952" s="25">
        <f>VLOOKUP(Inventory[[#This Row],[Cnd]],Lookups!$T$7:$W$16,4,FALSE)</f>
        <v>0.99650000000000005</v>
      </c>
      <c r="BJ1952" s="25">
        <f>VLOOKUP(Inventory[[#This Row],[LivArea Range]],Lookups!$T$25:$W$37,4,FALSE)</f>
        <v>1.0093000000000001</v>
      </c>
      <c r="BK1952" s="25">
        <f>VLOOKUP(Inventory[[#This Row],[Decade]],Lookups!$O$25:$R$42,4,FALSE)</f>
        <v>1.0074000000000001</v>
      </c>
      <c r="BL1952" s="25">
        <f>Inventory[[#This Row],[Nbhd Adj]]*0.95</f>
        <v>0.94971499999999998</v>
      </c>
      <c r="BM1952" s="25">
        <f>Inventory[[#This Row],[Nbhd Adj]]*Inventory[[#This Row],[Quality Adj]]*Inventory[[#This Row],[Condition Adj]]*Inventory[[#This Row],[Living Area Adj]]*Inventory[[#This Row],[Decade Adj]]*0.95</f>
        <v>0.96880423161964746</v>
      </c>
      <c r="BN1952" s="25">
        <f>ROUND(SUM(Inventory[[#This Row],[Mdl Qlty]:[Mdl WdDeck]])+Inventory[[#This Row],[Mdl Res Intercept]]*Inventory[[#This Row],[Res Adj ]],-2)</f>
        <v>325900</v>
      </c>
      <c r="BO1952" s="25">
        <f>ROUND(Inventory[[#This Row],[25Det]]*Inventory[[#This Row],[Det/Nbhd Adj]],-2)</f>
        <v>0</v>
      </c>
      <c r="BP1952" s="25">
        <f>Inventory[[#This Row],[Adjusted Res]]+Inventory[[#This Row],[Adj Det ]]</f>
        <v>325900</v>
      </c>
      <c r="BQ1952" s="25">
        <f>ROUND((Inventory[[#This Row],[Mdl Land Intercept]]+Inventory[[#This Row],[Mdl LnAcres]])*Inventory[[#This Row],[Det/Nbhd Adj]],-2)</f>
        <v>32100</v>
      </c>
      <c r="BR1952" s="25">
        <f>Inventory[[#This Row],[Adjusted Impr Total]]+Inventory[[#This Row],[Adjusted Land Total]]</f>
        <v>358000</v>
      </c>
      <c r="BS1952" s="36">
        <f>IFERROR((Inventory[[#This Row],[Adjusted Impr Total]]-Inventory[[#This Row],[24Bldg]])/Inventory[[#This Row],[24Bldg]],0)</f>
        <v>0.20436067997043605</v>
      </c>
      <c r="BT1952" s="36">
        <f>(Inventory[[#This Row],[Adjusted Land Total]]-Inventory[[#This Row],[24Lnd]])/Inventory[[#This Row],[24Lnd]]</f>
        <v>-0.39089184060721061</v>
      </c>
      <c r="BU1952" s="36">
        <f>(Inventory[[#This Row],[Adjusted Total]]-Inventory[[#This Row],[24Final]])/Inventory[[#This Row],[24Final]]</f>
        <v>0.10733065264460254</v>
      </c>
    </row>
    <row r="1953" spans="1:73" x14ac:dyDescent="0.3">
      <c r="A1953" s="25">
        <v>2025</v>
      </c>
      <c r="B1953" s="26" t="s">
        <v>1586</v>
      </c>
      <c r="C1953" s="26">
        <f>LN(Inventory[[#This Row],[Acres]])</f>
        <v>-1.9661128563728327</v>
      </c>
      <c r="D1953" s="25">
        <v>0.14000000000000001</v>
      </c>
      <c r="E1953" s="31"/>
      <c r="F1953" s="26" t="s">
        <v>537</v>
      </c>
      <c r="G1953" s="26" t="s">
        <v>126</v>
      </c>
      <c r="H1953" s="26" t="s">
        <v>349</v>
      </c>
      <c r="I1953" s="26" t="s">
        <v>538</v>
      </c>
      <c r="J1953" s="26" t="s">
        <v>638</v>
      </c>
      <c r="K1953" s="26" t="s">
        <v>242</v>
      </c>
      <c r="L1953" s="26" t="s">
        <v>351</v>
      </c>
      <c r="M1953" s="26" t="s">
        <v>206</v>
      </c>
      <c r="N1953" s="26">
        <v>100</v>
      </c>
      <c r="O1953" s="26">
        <f>2024-Inventory[[#This Row],[YrBlt]]</f>
        <v>99</v>
      </c>
      <c r="P1953" s="26">
        <f>2024-Inventory[[#This Row],[EffYr]]</f>
        <v>56</v>
      </c>
      <c r="Q1953" s="25">
        <v>1925</v>
      </c>
      <c r="R1953" s="25">
        <v>1968</v>
      </c>
      <c r="S1953" s="25">
        <v>1364</v>
      </c>
      <c r="T1953" s="27"/>
      <c r="U1953" s="25">
        <v>680</v>
      </c>
      <c r="V1953" s="25">
        <f>Inventory[[#This Row],[Bsmt]]-Inventory[[#This Row],[FnBsmt]]</f>
        <v>680</v>
      </c>
      <c r="W1953" s="31"/>
      <c r="X1953" s="27"/>
      <c r="Y1953" s="27">
        <f>Inventory[[#This Row],[MainFn]]+Inventory[[#This Row],[UpprFn]]+Inventory[[#This Row],[FnBsmt]]+Inventory[[#This Row],[AddFn]]</f>
        <v>1364</v>
      </c>
      <c r="Z1953" s="27">
        <v>1500</v>
      </c>
      <c r="AA1953" s="25">
        <v>6</v>
      </c>
      <c r="AB1953" s="27"/>
      <c r="AC1953" s="27"/>
      <c r="AD1953" s="27"/>
      <c r="AE1953" s="27"/>
      <c r="AF1953" s="27"/>
      <c r="AG1953" s="27"/>
      <c r="AH1953" s="27"/>
      <c r="AI1953" s="25">
        <v>246314</v>
      </c>
      <c r="AJ1953" s="25">
        <v>152715</v>
      </c>
      <c r="AK1953" s="25">
        <v>0</v>
      </c>
      <c r="AL1953" s="25">
        <v>252100</v>
      </c>
      <c r="AM1953" s="25">
        <v>46000</v>
      </c>
      <c r="AN1953" s="25">
        <v>206100</v>
      </c>
      <c r="AO1953" s="25">
        <v>0</v>
      </c>
      <c r="AP1953" s="25">
        <f>Lookups!$B$56*0</f>
        <v>0</v>
      </c>
      <c r="AQ1953" s="25">
        <f>Lookups!$B$56*1</f>
        <v>89850.625589999996</v>
      </c>
      <c r="AR1953" s="25">
        <f>Lookups!$B$57*Inventory[[#This Row],[LnAcres]]</f>
        <v>-62236.546971921947</v>
      </c>
      <c r="AS1953" s="25">
        <f>VLOOKUP(Inventory[[#This Row],[Qlty]],Lookups!$A$62:$E$75,2,FALSE)</f>
        <v>21557.329055999999</v>
      </c>
      <c r="AT1953" s="25">
        <f>VLOOKUP(Inventory[[#This Row],[Cnd]],Lookups!$A$76:$E$84,2,FALSE)</f>
        <v>133714.53821</v>
      </c>
      <c r="AU1953" s="25">
        <f>Inventory[[#This Row],[EffAge]]*Lookups!$B$85</f>
        <v>-12490.553628</v>
      </c>
      <c r="AV1953" s="25">
        <f>Inventory[[#This Row],[MainFn]]*Lookups!$B$86</f>
        <v>67393.425712227996</v>
      </c>
      <c r="AW1953" s="25">
        <f>Inventory[[#This Row],[UpprFn]]*Lookups!$B$87</f>
        <v>0</v>
      </c>
      <c r="AX1953" s="25">
        <f>Inventory[[#This Row],[AddFn]]*Lookups!$B$88</f>
        <v>0</v>
      </c>
      <c r="AY1953" s="25">
        <f>Inventory[[#This Row],[Bsmt]]*Lookups!$B$89</f>
        <v>19775.68876796</v>
      </c>
      <c r="AZ1953" s="25">
        <f>Inventory[[#This Row],[Fixtures]]*Lookups!$B$90</f>
        <v>22752.132631200002</v>
      </c>
      <c r="BA1953" s="25">
        <f>Inventory[[#This Row],[WdDeck]]*Lookups!$B$91</f>
        <v>0</v>
      </c>
      <c r="BB1953" s="25">
        <f>ROUND(Inventory[[#This Row],[25Det]],-2)</f>
        <v>0</v>
      </c>
      <c r="BC1953" s="25">
        <f>ROUND(SUM(Inventory[[#This Row],[Mdl Qlty]:[Mdl WdDeck]])+Inventory[[#This Row],[Mdl Res Intercept]],-2)</f>
        <v>252700</v>
      </c>
      <c r="BD1953" s="25">
        <f>ROUND(Inventory[[#This Row],[Mdl Land Intercept]]+Inventory[[#This Row],[Mdl LnAcres]],-2)</f>
        <v>27600</v>
      </c>
      <c r="BE1953" s="25">
        <f>Inventory[[#This Row],[Unadj Res Value]]+Inventory[[#This Row],[Unadj Det Value]]+Inventory[[#This Row],[Unadj Land Value]]</f>
        <v>280300</v>
      </c>
      <c r="BF1953" s="36">
        <f>(Inventory[[#This Row],[Unadj Total Value]]-Inventory[[#This Row],[24Final]])/Inventory[[#This Row],[24Final]]</f>
        <v>0.11186037286790956</v>
      </c>
      <c r="BG1953" s="25">
        <f>VLOOKUP(Inventory[[#This Row],[Nbhd]],Lookups!$Q$2:$T$4,4,FALSE)</f>
        <v>0.99970000000000003</v>
      </c>
      <c r="BH1953" s="25">
        <f>VLOOKUP(Inventory[[#This Row],[Qlty]],Lookups!$O$7:$R$21,4,FALSE)</f>
        <v>1.0067999999999999</v>
      </c>
      <c r="BI1953" s="25">
        <f>VLOOKUP(Inventory[[#This Row],[Cnd]],Lookups!$T$7:$W$16,4,FALSE)</f>
        <v>0.99329999999999996</v>
      </c>
      <c r="BJ1953" s="25">
        <f>VLOOKUP(Inventory[[#This Row],[LivArea Range]],Lookups!$T$25:$W$37,4,FALSE)</f>
        <v>1.0157</v>
      </c>
      <c r="BK1953" s="25">
        <f>VLOOKUP(Inventory[[#This Row],[Decade]],Lookups!$O$25:$R$42,4,FALSE)</f>
        <v>1.0074000000000001</v>
      </c>
      <c r="BL1953" s="25">
        <f>Inventory[[#This Row],[Nbhd Adj]]*0.95</f>
        <v>0.94971499999999998</v>
      </c>
      <c r="BM1953" s="25">
        <f>Inventory[[#This Row],[Nbhd Adj]]*Inventory[[#This Row],[Quality Adj]]*Inventory[[#This Row],[Condition Adj]]*Inventory[[#This Row],[Living Area Adj]]*Inventory[[#This Row],[Decade Adj]]*0.95</f>
        <v>0.971816657207489</v>
      </c>
      <c r="BN1953" s="25">
        <f>ROUND(SUM(Inventory[[#This Row],[Mdl Qlty]:[Mdl WdDeck]])+Inventory[[#This Row],[Mdl Res Intercept]]*Inventory[[#This Row],[Res Adj ]],-2)</f>
        <v>252700</v>
      </c>
      <c r="BO1953" s="25">
        <f>ROUND(Inventory[[#This Row],[25Det]]*Inventory[[#This Row],[Det/Nbhd Adj]],-2)</f>
        <v>0</v>
      </c>
      <c r="BP1953" s="25">
        <f>Inventory[[#This Row],[Adjusted Res]]+Inventory[[#This Row],[Adj Det ]]</f>
        <v>252700</v>
      </c>
      <c r="BQ1953" s="25">
        <f>ROUND((Inventory[[#This Row],[Mdl Land Intercept]]+Inventory[[#This Row],[Mdl LnAcres]])*Inventory[[#This Row],[Det/Nbhd Adj]],-2)</f>
        <v>26200</v>
      </c>
      <c r="BR1953" s="25">
        <f>Inventory[[#This Row],[Adjusted Impr Total]]+Inventory[[#This Row],[Adjusted Land Total]]</f>
        <v>278900</v>
      </c>
      <c r="BS1953" s="36">
        <f>IFERROR((Inventory[[#This Row],[Adjusted Impr Total]]-Inventory[[#This Row],[24Bldg]])/Inventory[[#This Row],[24Bldg]],0)</f>
        <v>0.22610383309073265</v>
      </c>
      <c r="BT1953" s="36">
        <f>(Inventory[[#This Row],[Adjusted Land Total]]-Inventory[[#This Row],[24Lnd]])/Inventory[[#This Row],[24Lnd]]</f>
        <v>-0.43043478260869567</v>
      </c>
      <c r="BU1953" s="36">
        <f>(Inventory[[#This Row],[Adjusted Total]]-Inventory[[#This Row],[24Final]])/Inventory[[#This Row],[24Final]]</f>
        <v>0.10630702102340341</v>
      </c>
    </row>
    <row r="1954" spans="1:73" x14ac:dyDescent="0.3">
      <c r="A1954" s="25">
        <v>2025</v>
      </c>
      <c r="B1954" s="26" t="s">
        <v>1244</v>
      </c>
      <c r="C1954" s="26">
        <f>LN(Inventory[[#This Row],[Acres]])</f>
        <v>-1.4271163556401458</v>
      </c>
      <c r="D1954" s="25">
        <v>0.24</v>
      </c>
      <c r="E1954" s="25">
        <v>10506</v>
      </c>
      <c r="F1954" s="26" t="s">
        <v>537</v>
      </c>
      <c r="G1954" s="26" t="s">
        <v>126</v>
      </c>
      <c r="H1954" s="26" t="s">
        <v>349</v>
      </c>
      <c r="I1954" s="26" t="s">
        <v>538</v>
      </c>
      <c r="J1954" s="26" t="s">
        <v>539</v>
      </c>
      <c r="K1954" s="26" t="s">
        <v>147</v>
      </c>
      <c r="L1954" s="26" t="s">
        <v>351</v>
      </c>
      <c r="M1954" s="26" t="s">
        <v>303</v>
      </c>
      <c r="N1954" s="26">
        <v>100</v>
      </c>
      <c r="O1954" s="26">
        <f>2024-Inventory[[#This Row],[YrBlt]]</f>
        <v>99</v>
      </c>
      <c r="P1954" s="26">
        <f>2024-Inventory[[#This Row],[EffYr]]</f>
        <v>56</v>
      </c>
      <c r="Q1954" s="25">
        <v>1925</v>
      </c>
      <c r="R1954" s="25">
        <v>1968</v>
      </c>
      <c r="S1954" s="25">
        <v>984</v>
      </c>
      <c r="T1954" s="25">
        <v>764</v>
      </c>
      <c r="U1954" s="25">
        <v>984</v>
      </c>
      <c r="V1954" s="32">
        <f>Inventory[[#This Row],[Bsmt]]-Inventory[[#This Row],[FnBsmt]]</f>
        <v>984</v>
      </c>
      <c r="W1954" s="27"/>
      <c r="X1954" s="27"/>
      <c r="Y1954" s="27">
        <f>Inventory[[#This Row],[MainFn]]+Inventory[[#This Row],[UpprFn]]+Inventory[[#This Row],[FnBsmt]]+Inventory[[#This Row],[AddFn]]</f>
        <v>1748</v>
      </c>
      <c r="Z1954" s="27">
        <v>2000</v>
      </c>
      <c r="AA1954" s="25">
        <v>8</v>
      </c>
      <c r="AB1954" s="27"/>
      <c r="AC1954" s="27"/>
      <c r="AD1954" s="27"/>
      <c r="AE1954" s="27"/>
      <c r="AF1954" s="27"/>
      <c r="AG1954" s="27"/>
      <c r="AH1954" s="27"/>
      <c r="AI1954" s="25">
        <v>321662</v>
      </c>
      <c r="AJ1954" s="25">
        <v>212297</v>
      </c>
      <c r="AK1954" s="25">
        <v>0</v>
      </c>
      <c r="AL1954" s="25">
        <v>354300</v>
      </c>
      <c r="AM1954" s="25">
        <v>64800</v>
      </c>
      <c r="AN1954" s="25">
        <v>289500</v>
      </c>
      <c r="AO1954" s="25">
        <v>0</v>
      </c>
      <c r="AP1954" s="25">
        <f>Lookups!$B$56*0</f>
        <v>0</v>
      </c>
      <c r="AQ1954" s="25">
        <f>Lookups!$B$56*1</f>
        <v>89850.625589999996</v>
      </c>
      <c r="AR1954" s="25">
        <f>Lookups!$B$57*Inventory[[#This Row],[LnAcres]]</f>
        <v>-45174.819855485119</v>
      </c>
      <c r="AS1954" s="25">
        <f>VLOOKUP(Inventory[[#This Row],[Qlty]],Lookups!$A$62:$E$75,2,FALSE)</f>
        <v>21557.329055999999</v>
      </c>
      <c r="AT1954" s="25">
        <f>VLOOKUP(Inventory[[#This Row],[Cnd]],Lookups!$A$76:$E$84,2,FALSE)</f>
        <v>197752.34721000001</v>
      </c>
      <c r="AU1954" s="25">
        <f>Inventory[[#This Row],[EffAge]]*Lookups!$B$85</f>
        <v>-12490.553628</v>
      </c>
      <c r="AV1954" s="25">
        <f>Inventory[[#This Row],[MainFn]]*Lookups!$B$86</f>
        <v>48618.131158968004</v>
      </c>
      <c r="AW1954" s="25">
        <f>Inventory[[#This Row],[UpprFn]]*Lookups!$B$87</f>
        <v>34216.827065803998</v>
      </c>
      <c r="AX1954" s="25">
        <f>Inventory[[#This Row],[AddFn]]*Lookups!$B$88</f>
        <v>0</v>
      </c>
      <c r="AY1954" s="25">
        <f>Inventory[[#This Row],[Bsmt]]*Lookups!$B$89</f>
        <v>28616.584923047998</v>
      </c>
      <c r="AZ1954" s="25">
        <f>Inventory[[#This Row],[Fixtures]]*Lookups!$B$90</f>
        <v>30336.176841600001</v>
      </c>
      <c r="BA1954" s="25">
        <f>Inventory[[#This Row],[WdDeck]]*Lookups!$B$91</f>
        <v>0</v>
      </c>
      <c r="BB1954" s="25">
        <f>ROUND(Inventory[[#This Row],[25Det]],-2)</f>
        <v>0</v>
      </c>
      <c r="BC1954" s="25">
        <f>ROUND(SUM(Inventory[[#This Row],[Mdl Qlty]:[Mdl WdDeck]])+Inventory[[#This Row],[Mdl Res Intercept]],-2)</f>
        <v>348600</v>
      </c>
      <c r="BD1954" s="25">
        <f>ROUND(Inventory[[#This Row],[Mdl Land Intercept]]+Inventory[[#This Row],[Mdl LnAcres]],-2)</f>
        <v>44700</v>
      </c>
      <c r="BE1954" s="25">
        <f>Inventory[[#This Row],[Unadj Res Value]]+Inventory[[#This Row],[Unadj Det Value]]+Inventory[[#This Row],[Unadj Land Value]]</f>
        <v>393300</v>
      </c>
      <c r="BF1954" s="36">
        <f>(Inventory[[#This Row],[Unadj Total Value]]-Inventory[[#This Row],[24Final]])/Inventory[[#This Row],[24Final]]</f>
        <v>0.1100762066045724</v>
      </c>
      <c r="BG1954" s="25">
        <f>VLOOKUP(Inventory[[#This Row],[Nbhd]],Lookups!$Q$2:$T$4,4,FALSE)</f>
        <v>0.99970000000000003</v>
      </c>
      <c r="BH1954" s="25">
        <f>VLOOKUP(Inventory[[#This Row],[Qlty]],Lookups!$O$7:$R$21,4,FALSE)</f>
        <v>1.0067999999999999</v>
      </c>
      <c r="BI1954" s="25">
        <f>VLOOKUP(Inventory[[#This Row],[Cnd]],Lookups!$T$7:$W$16,4,FALSE)</f>
        <v>0.99650000000000005</v>
      </c>
      <c r="BJ1954" s="25">
        <f>VLOOKUP(Inventory[[#This Row],[LivArea Range]],Lookups!$T$25:$W$37,4,FALSE)</f>
        <v>1.0093000000000001</v>
      </c>
      <c r="BK1954" s="25">
        <f>VLOOKUP(Inventory[[#This Row],[Decade]],Lookups!$O$25:$R$42,4,FALSE)</f>
        <v>1.0074000000000001</v>
      </c>
      <c r="BL1954" s="25">
        <f>Inventory[[#This Row],[Nbhd Adj]]*0.95</f>
        <v>0.94971499999999998</v>
      </c>
      <c r="BM1954" s="25">
        <f>Inventory[[#This Row],[Nbhd Adj]]*Inventory[[#This Row],[Quality Adj]]*Inventory[[#This Row],[Condition Adj]]*Inventory[[#This Row],[Living Area Adj]]*Inventory[[#This Row],[Decade Adj]]*0.95</f>
        <v>0.96880423161964746</v>
      </c>
      <c r="BN1954" s="25">
        <f>ROUND(SUM(Inventory[[#This Row],[Mdl Qlty]:[Mdl WdDeck]])+Inventory[[#This Row],[Mdl Res Intercept]]*Inventory[[#This Row],[Res Adj ]],-2)</f>
        <v>348600</v>
      </c>
      <c r="BO1954" s="25">
        <f>ROUND(Inventory[[#This Row],[25Det]]*Inventory[[#This Row],[Det/Nbhd Adj]],-2)</f>
        <v>0</v>
      </c>
      <c r="BP1954" s="25">
        <f>Inventory[[#This Row],[Adjusted Res]]+Inventory[[#This Row],[Adj Det ]]</f>
        <v>348600</v>
      </c>
      <c r="BQ1954" s="25">
        <f>ROUND((Inventory[[#This Row],[Mdl Land Intercept]]+Inventory[[#This Row],[Mdl LnAcres]])*Inventory[[#This Row],[Det/Nbhd Adj]],-2)</f>
        <v>42400</v>
      </c>
      <c r="BR1954" s="25">
        <f>Inventory[[#This Row],[Adjusted Impr Total]]+Inventory[[#This Row],[Adjusted Land Total]]</f>
        <v>391000</v>
      </c>
      <c r="BS1954" s="36">
        <f>IFERROR((Inventory[[#This Row],[Adjusted Impr Total]]-Inventory[[#This Row],[24Bldg]])/Inventory[[#This Row],[24Bldg]],0)</f>
        <v>0.20414507772020726</v>
      </c>
      <c r="BT1954" s="36">
        <f>(Inventory[[#This Row],[Adjusted Land Total]]-Inventory[[#This Row],[24Lnd]])/Inventory[[#This Row],[24Lnd]]</f>
        <v>-0.34567901234567899</v>
      </c>
      <c r="BU1954" s="36">
        <f>(Inventory[[#This Row],[Adjusted Total]]-Inventory[[#This Row],[24Final]])/Inventory[[#This Row],[24Final]]</f>
        <v>0.10358453288173863</v>
      </c>
    </row>
    <row r="1955" spans="1:73" x14ac:dyDescent="0.3">
      <c r="A1955" s="25">
        <v>2025</v>
      </c>
      <c r="B1955" s="26" t="s">
        <v>2692</v>
      </c>
      <c r="C1955" s="26">
        <f>LN(Inventory[[#This Row],[Acres]])</f>
        <v>-1.9661128563728327</v>
      </c>
      <c r="D1955" s="25">
        <v>0.14000000000000001</v>
      </c>
      <c r="E1955" s="25">
        <v>6181</v>
      </c>
      <c r="F1955" s="26" t="s">
        <v>537</v>
      </c>
      <c r="G1955" s="26" t="s">
        <v>126</v>
      </c>
      <c r="H1955" s="26" t="s">
        <v>349</v>
      </c>
      <c r="I1955" s="26" t="s">
        <v>538</v>
      </c>
      <c r="J1955" s="26" t="s">
        <v>539</v>
      </c>
      <c r="K1955" s="26" t="s">
        <v>269</v>
      </c>
      <c r="L1955" s="26" t="s">
        <v>351</v>
      </c>
      <c r="M1955" s="26" t="s">
        <v>323</v>
      </c>
      <c r="N1955" s="26">
        <v>100</v>
      </c>
      <c r="O1955" s="26">
        <f>2024-Inventory[[#This Row],[YrBlt]]</f>
        <v>99</v>
      </c>
      <c r="P1955" s="26">
        <f>2024-Inventory[[#This Row],[EffYr]]</f>
        <v>56</v>
      </c>
      <c r="Q1955" s="25">
        <v>1925</v>
      </c>
      <c r="R1955" s="25">
        <v>1968</v>
      </c>
      <c r="S1955" s="25">
        <v>1105</v>
      </c>
      <c r="T1955" s="27"/>
      <c r="U1955" s="25">
        <v>963</v>
      </c>
      <c r="V1955" s="25">
        <f>Inventory[[#This Row],[Bsmt]]-Inventory[[#This Row],[FnBsmt]]</f>
        <v>963</v>
      </c>
      <c r="W1955" s="31"/>
      <c r="X1955" s="27"/>
      <c r="Y1955" s="27">
        <f>Inventory[[#This Row],[MainFn]]+Inventory[[#This Row],[UpprFn]]+Inventory[[#This Row],[FnBsmt]]+Inventory[[#This Row],[AddFn]]</f>
        <v>1105</v>
      </c>
      <c r="Z1955" s="27">
        <v>1500</v>
      </c>
      <c r="AA1955" s="25">
        <v>8</v>
      </c>
      <c r="AB1955" s="27"/>
      <c r="AC1955" s="27"/>
      <c r="AD1955" s="32">
        <v>171</v>
      </c>
      <c r="AE1955" s="27"/>
      <c r="AF1955" s="27"/>
      <c r="AG1955" s="27"/>
      <c r="AH1955" s="27"/>
      <c r="AI1955" s="25">
        <v>222505</v>
      </c>
      <c r="AJ1955" s="25">
        <v>142403</v>
      </c>
      <c r="AK1955" s="25">
        <v>7182</v>
      </c>
      <c r="AL1955" s="25">
        <v>291200</v>
      </c>
      <c r="AM1955" s="25">
        <v>46000</v>
      </c>
      <c r="AN1955" s="25">
        <v>245200</v>
      </c>
      <c r="AO1955" s="25">
        <v>0</v>
      </c>
      <c r="AP1955" s="25">
        <f>Lookups!$B$56*0</f>
        <v>0</v>
      </c>
      <c r="AQ1955" s="25">
        <f>Lookups!$B$56*1</f>
        <v>89850.625589999996</v>
      </c>
      <c r="AR1955" s="25">
        <f>Lookups!$B$57*Inventory[[#This Row],[LnAcres]]</f>
        <v>-62236.546971921947</v>
      </c>
      <c r="AS1955" s="25">
        <f>VLOOKUP(Inventory[[#This Row],[Qlty]],Lookups!$A$62:$E$75,2,FALSE)</f>
        <v>21557.329055999999</v>
      </c>
      <c r="AT1955" s="25">
        <f>VLOOKUP(Inventory[[#This Row],[Cnd]],Lookups!$A$76:$E$84,2,FALSE)</f>
        <v>160472.20319</v>
      </c>
      <c r="AU1955" s="25">
        <f>Inventory[[#This Row],[EffAge]]*Lookups!$B$85</f>
        <v>-12490.553628</v>
      </c>
      <c r="AV1955" s="25">
        <f>Inventory[[#This Row],[MainFn]]*Lookups!$B$86</f>
        <v>54596.580214084999</v>
      </c>
      <c r="AW1955" s="25">
        <f>Inventory[[#This Row],[UpprFn]]*Lookups!$B$87</f>
        <v>0</v>
      </c>
      <c r="AX1955" s="25">
        <f>Inventory[[#This Row],[AddFn]]*Lookups!$B$88</f>
        <v>0</v>
      </c>
      <c r="AY1955" s="25">
        <f>Inventory[[#This Row],[Bsmt]]*Lookups!$B$89</f>
        <v>28005.865122861</v>
      </c>
      <c r="AZ1955" s="25">
        <f>Inventory[[#This Row],[Fixtures]]*Lookups!$B$90</f>
        <v>30336.176841600001</v>
      </c>
      <c r="BA1955" s="25">
        <f>Inventory[[#This Row],[WdDeck]]*Lookups!$B$91</f>
        <v>5693.5331121960007</v>
      </c>
      <c r="BB1955" s="25">
        <f>ROUND(Inventory[[#This Row],[25Det]],-2)</f>
        <v>7200</v>
      </c>
      <c r="BC1955" s="25">
        <f>ROUND(SUM(Inventory[[#This Row],[Mdl Qlty]:[Mdl WdDeck]])+Inventory[[#This Row],[Mdl Res Intercept]],-2)</f>
        <v>288200</v>
      </c>
      <c r="BD1955" s="25">
        <f>ROUND(Inventory[[#This Row],[Mdl Land Intercept]]+Inventory[[#This Row],[Mdl LnAcres]],-2)</f>
        <v>27600</v>
      </c>
      <c r="BE1955" s="25">
        <f>Inventory[[#This Row],[Unadj Res Value]]+Inventory[[#This Row],[Unadj Det Value]]+Inventory[[#This Row],[Unadj Land Value]]</f>
        <v>323000</v>
      </c>
      <c r="BF1955" s="36">
        <f>(Inventory[[#This Row],[Unadj Total Value]]-Inventory[[#This Row],[24Final]])/Inventory[[#This Row],[24Final]]</f>
        <v>0.1092032967032967</v>
      </c>
      <c r="BG1955" s="25">
        <f>VLOOKUP(Inventory[[#This Row],[Nbhd]],Lookups!$Q$2:$T$4,4,FALSE)</f>
        <v>0.99970000000000003</v>
      </c>
      <c r="BH1955" s="25">
        <f>VLOOKUP(Inventory[[#This Row],[Qlty]],Lookups!$O$7:$R$21,4,FALSE)</f>
        <v>1.0067999999999999</v>
      </c>
      <c r="BI1955" s="25">
        <f>VLOOKUP(Inventory[[#This Row],[Cnd]],Lookups!$T$7:$W$16,4,FALSE)</f>
        <v>0.99729999999999996</v>
      </c>
      <c r="BJ1955" s="25">
        <f>VLOOKUP(Inventory[[#This Row],[LivArea Range]],Lookups!$T$25:$W$37,4,FALSE)</f>
        <v>1.0157</v>
      </c>
      <c r="BK1955" s="25">
        <f>VLOOKUP(Inventory[[#This Row],[Decade]],Lookups!$O$25:$R$42,4,FALSE)</f>
        <v>1.0074000000000001</v>
      </c>
      <c r="BL1955" s="25">
        <f>Inventory[[#This Row],[Nbhd Adj]]*0.95</f>
        <v>0.94971499999999998</v>
      </c>
      <c r="BM1955" s="25">
        <f>Inventory[[#This Row],[Nbhd Adj]]*Inventory[[#This Row],[Quality Adj]]*Inventory[[#This Row],[Condition Adj]]*Inventory[[#This Row],[Living Area Adj]]*Inventory[[#This Row],[Decade Adj]]*0.95</f>
        <v>0.97573014419916293</v>
      </c>
      <c r="BN1955" s="25">
        <f>ROUND(SUM(Inventory[[#This Row],[Mdl Qlty]:[Mdl WdDeck]])+Inventory[[#This Row],[Mdl Res Intercept]]*Inventory[[#This Row],[Res Adj ]],-2)</f>
        <v>288200</v>
      </c>
      <c r="BO1955" s="25">
        <f>ROUND(Inventory[[#This Row],[25Det]]*Inventory[[#This Row],[Det/Nbhd Adj]],-2)</f>
        <v>6800</v>
      </c>
      <c r="BP1955" s="25">
        <f>Inventory[[#This Row],[Adjusted Res]]+Inventory[[#This Row],[Adj Det ]]</f>
        <v>295000</v>
      </c>
      <c r="BQ1955" s="25">
        <f>ROUND((Inventory[[#This Row],[Mdl Land Intercept]]+Inventory[[#This Row],[Mdl LnAcres]])*Inventory[[#This Row],[Det/Nbhd Adj]],-2)</f>
        <v>26200</v>
      </c>
      <c r="BR1955" s="25">
        <f>Inventory[[#This Row],[Adjusted Impr Total]]+Inventory[[#This Row],[Adjusted Land Total]]</f>
        <v>321200</v>
      </c>
      <c r="BS1955" s="36">
        <f>IFERROR((Inventory[[#This Row],[Adjusted Impr Total]]-Inventory[[#This Row],[24Bldg]])/Inventory[[#This Row],[24Bldg]],0)</f>
        <v>0.20309951060358891</v>
      </c>
      <c r="BT1955" s="36">
        <f>(Inventory[[#This Row],[Adjusted Land Total]]-Inventory[[#This Row],[24Lnd]])/Inventory[[#This Row],[24Lnd]]</f>
        <v>-0.43043478260869567</v>
      </c>
      <c r="BU1955" s="36">
        <f>(Inventory[[#This Row],[Adjusted Total]]-Inventory[[#This Row],[24Final]])/Inventory[[#This Row],[24Final]]</f>
        <v>0.10302197802197802</v>
      </c>
    </row>
    <row r="1956" spans="1:73" x14ac:dyDescent="0.3">
      <c r="A1956" s="25">
        <v>2025</v>
      </c>
      <c r="B1956" s="26" t="s">
        <v>2178</v>
      </c>
      <c r="C1956" s="26">
        <f>LN(Inventory[[#This Row],[Acres]])</f>
        <v>-1.8325814637483102</v>
      </c>
      <c r="D1956" s="25">
        <v>0.16</v>
      </c>
      <c r="E1956" s="25">
        <v>6999</v>
      </c>
      <c r="F1956" s="26" t="s">
        <v>537</v>
      </c>
      <c r="G1956" s="26" t="s">
        <v>126</v>
      </c>
      <c r="H1956" s="26" t="s">
        <v>349</v>
      </c>
      <c r="I1956" s="26" t="s">
        <v>538</v>
      </c>
      <c r="J1956" s="26" t="s">
        <v>539</v>
      </c>
      <c r="K1956" s="26" t="s">
        <v>269</v>
      </c>
      <c r="L1956" s="26" t="s">
        <v>302</v>
      </c>
      <c r="M1956" s="26" t="s">
        <v>303</v>
      </c>
      <c r="N1956" s="26">
        <v>100</v>
      </c>
      <c r="O1956" s="26">
        <f>2024-Inventory[[#This Row],[YrBlt]]</f>
        <v>99</v>
      </c>
      <c r="P1956" s="26">
        <f>2024-Inventory[[#This Row],[EffYr]]</f>
        <v>56</v>
      </c>
      <c r="Q1956" s="25">
        <v>1925</v>
      </c>
      <c r="R1956" s="25">
        <v>1968</v>
      </c>
      <c r="S1956" s="25">
        <v>1393</v>
      </c>
      <c r="T1956" s="32">
        <v>392</v>
      </c>
      <c r="U1956" s="25">
        <v>806</v>
      </c>
      <c r="V1956" s="32">
        <f>Inventory[[#This Row],[Bsmt]]-Inventory[[#This Row],[FnBsmt]]</f>
        <v>638</v>
      </c>
      <c r="W1956" s="32">
        <v>168</v>
      </c>
      <c r="X1956" s="27"/>
      <c r="Y1956" s="27">
        <f>Inventory[[#This Row],[MainFn]]+Inventory[[#This Row],[UpprFn]]+Inventory[[#This Row],[FnBsmt]]+Inventory[[#This Row],[AddFn]]</f>
        <v>1953</v>
      </c>
      <c r="Z1956" s="27">
        <v>2000</v>
      </c>
      <c r="AA1956" s="25">
        <v>10</v>
      </c>
      <c r="AB1956" s="27"/>
      <c r="AC1956" s="27"/>
      <c r="AD1956" s="32">
        <v>175</v>
      </c>
      <c r="AE1956" s="27"/>
      <c r="AF1956" s="27"/>
      <c r="AG1956" s="27"/>
      <c r="AH1956" s="27"/>
      <c r="AI1956" s="25">
        <v>367141</v>
      </c>
      <c r="AJ1956" s="25">
        <v>242313</v>
      </c>
      <c r="AK1956" s="25">
        <v>7465</v>
      </c>
      <c r="AL1956" s="25">
        <v>368800</v>
      </c>
      <c r="AM1956" s="25">
        <v>50600</v>
      </c>
      <c r="AN1956" s="25">
        <v>318200</v>
      </c>
      <c r="AO1956" s="25">
        <v>0</v>
      </c>
      <c r="AP1956" s="25">
        <f>Lookups!$B$56*0</f>
        <v>0</v>
      </c>
      <c r="AQ1956" s="25">
        <f>Lookups!$B$56*1</f>
        <v>89850.625589999996</v>
      </c>
      <c r="AR1956" s="25">
        <f>Lookups!$B$57*Inventory[[#This Row],[LnAcres]]</f>
        <v>-58009.662049032086</v>
      </c>
      <c r="AS1956" s="25">
        <f>VLOOKUP(Inventory[[#This Row],[Qlty]],Lookups!$A$62:$E$75,2,FALSE)</f>
        <v>29814.093161000001</v>
      </c>
      <c r="AT1956" s="25">
        <f>VLOOKUP(Inventory[[#This Row],[Cnd]],Lookups!$A$76:$E$84,2,FALSE)</f>
        <v>197752.34721000001</v>
      </c>
      <c r="AU1956" s="25">
        <f>Inventory[[#This Row],[EffAge]]*Lookups!$B$85</f>
        <v>-12490.553628</v>
      </c>
      <c r="AV1956" s="25">
        <f>Inventory[[#This Row],[MainFn]]*Lookups!$B$86</f>
        <v>68826.277138660997</v>
      </c>
      <c r="AW1956" s="25">
        <f>Inventory[[#This Row],[UpprFn]]*Lookups!$B$87</f>
        <v>17556.277761511999</v>
      </c>
      <c r="AX1956" s="25">
        <f>Inventory[[#This Row],[AddFn]]*Lookups!$B$88</f>
        <v>0</v>
      </c>
      <c r="AY1956" s="25">
        <f>Inventory[[#This Row],[Bsmt]]*Lookups!$B$89</f>
        <v>23440.007569081998</v>
      </c>
      <c r="AZ1956" s="25">
        <f>Inventory[[#This Row],[Fixtures]]*Lookups!$B$90</f>
        <v>37920.221052000001</v>
      </c>
      <c r="BA1956" s="25">
        <f>Inventory[[#This Row],[WdDeck]]*Lookups!$B$91</f>
        <v>5826.715173300001</v>
      </c>
      <c r="BB1956" s="25">
        <f>ROUND(Inventory[[#This Row],[25Det]],-2)</f>
        <v>7500</v>
      </c>
      <c r="BC1956" s="25">
        <f>ROUND(SUM(Inventory[[#This Row],[Mdl Qlty]:[Mdl WdDeck]])+Inventory[[#This Row],[Mdl Res Intercept]],-2)</f>
        <v>368600</v>
      </c>
      <c r="BD1956" s="25">
        <f>ROUND(Inventory[[#This Row],[Mdl Land Intercept]]+Inventory[[#This Row],[Mdl LnAcres]],-2)</f>
        <v>31800</v>
      </c>
      <c r="BE1956" s="25">
        <f>Inventory[[#This Row],[Unadj Res Value]]+Inventory[[#This Row],[Unadj Det Value]]+Inventory[[#This Row],[Unadj Land Value]]</f>
        <v>407900</v>
      </c>
      <c r="BF1956" s="36">
        <f>(Inventory[[#This Row],[Unadj Total Value]]-Inventory[[#This Row],[24Final]])/Inventory[[#This Row],[24Final]]</f>
        <v>0.10601952277657267</v>
      </c>
      <c r="BG1956" s="25">
        <f>VLOOKUP(Inventory[[#This Row],[Nbhd]],Lookups!$Q$2:$T$4,4,FALSE)</f>
        <v>0.99970000000000003</v>
      </c>
      <c r="BH1956" s="25">
        <f>VLOOKUP(Inventory[[#This Row],[Qlty]],Lookups!$O$7:$R$21,4,FALSE)</f>
        <v>1.0088999999999999</v>
      </c>
      <c r="BI1956" s="25">
        <f>VLOOKUP(Inventory[[#This Row],[Cnd]],Lookups!$T$7:$W$16,4,FALSE)</f>
        <v>0.99650000000000005</v>
      </c>
      <c r="BJ1956" s="25">
        <f>VLOOKUP(Inventory[[#This Row],[LivArea Range]],Lookups!$T$25:$W$37,4,FALSE)</f>
        <v>1.0093000000000001</v>
      </c>
      <c r="BK1956" s="25">
        <f>VLOOKUP(Inventory[[#This Row],[Decade]],Lookups!$O$25:$R$42,4,FALSE)</f>
        <v>1.0074000000000001</v>
      </c>
      <c r="BL1956" s="25">
        <f>Inventory[[#This Row],[Nbhd Adj]]*0.95</f>
        <v>0.94971499999999998</v>
      </c>
      <c r="BM1956" s="25">
        <f>Inventory[[#This Row],[Nbhd Adj]]*Inventory[[#This Row],[Quality Adj]]*Inventory[[#This Row],[Condition Adj]]*Inventory[[#This Row],[Living Area Adj]]*Inventory[[#This Row],[Decade Adj]]*0.95</f>
        <v>0.97082497942099955</v>
      </c>
      <c r="BN1956" s="25">
        <f>ROUND(SUM(Inventory[[#This Row],[Mdl Qlty]:[Mdl WdDeck]])+Inventory[[#This Row],[Mdl Res Intercept]]*Inventory[[#This Row],[Res Adj ]],-2)</f>
        <v>368600</v>
      </c>
      <c r="BO1956" s="25">
        <f>ROUND(Inventory[[#This Row],[25Det]]*Inventory[[#This Row],[Det/Nbhd Adj]],-2)</f>
        <v>7100</v>
      </c>
      <c r="BP1956" s="25">
        <f>Inventory[[#This Row],[Adjusted Res]]+Inventory[[#This Row],[Adj Det ]]</f>
        <v>375700</v>
      </c>
      <c r="BQ1956" s="25">
        <f>ROUND((Inventory[[#This Row],[Mdl Land Intercept]]+Inventory[[#This Row],[Mdl LnAcres]])*Inventory[[#This Row],[Det/Nbhd Adj]],-2)</f>
        <v>30200</v>
      </c>
      <c r="BR1956" s="25">
        <f>Inventory[[#This Row],[Adjusted Impr Total]]+Inventory[[#This Row],[Adjusted Land Total]]</f>
        <v>405900</v>
      </c>
      <c r="BS1956" s="36">
        <f>IFERROR((Inventory[[#This Row],[Adjusted Impr Total]]-Inventory[[#This Row],[24Bldg]])/Inventory[[#This Row],[24Bldg]],0)</f>
        <v>0.18070395977372722</v>
      </c>
      <c r="BT1956" s="36">
        <f>(Inventory[[#This Row],[Adjusted Land Total]]-Inventory[[#This Row],[24Lnd]])/Inventory[[#This Row],[24Lnd]]</f>
        <v>-0.40316205533596838</v>
      </c>
      <c r="BU1956" s="36">
        <f>(Inventory[[#This Row],[Adjusted Total]]-Inventory[[#This Row],[24Final]])/Inventory[[#This Row],[24Final]]</f>
        <v>0.10059652928416486</v>
      </c>
    </row>
    <row r="1957" spans="1:73" x14ac:dyDescent="0.3">
      <c r="A1957" s="25">
        <v>2025</v>
      </c>
      <c r="B1957" s="26" t="s">
        <v>1999</v>
      </c>
      <c r="C1957" s="26">
        <f>LN(Inventory[[#This Row],[Acres]])</f>
        <v>-1.8325814637483102</v>
      </c>
      <c r="D1957" s="25">
        <v>0.16</v>
      </c>
      <c r="E1957" s="31"/>
      <c r="F1957" s="26" t="s">
        <v>537</v>
      </c>
      <c r="G1957" s="26" t="s">
        <v>126</v>
      </c>
      <c r="H1957" s="26" t="s">
        <v>349</v>
      </c>
      <c r="I1957" s="26" t="s">
        <v>538</v>
      </c>
      <c r="J1957" s="26" t="s">
        <v>539</v>
      </c>
      <c r="K1957" s="26" t="s">
        <v>269</v>
      </c>
      <c r="L1957" s="26" t="s">
        <v>351</v>
      </c>
      <c r="M1957" s="26" t="s">
        <v>303</v>
      </c>
      <c r="N1957" s="26">
        <v>100</v>
      </c>
      <c r="O1957" s="26">
        <f>2024-Inventory[[#This Row],[YrBlt]]</f>
        <v>99</v>
      </c>
      <c r="P1957" s="26">
        <f>2024-Inventory[[#This Row],[EffYr]]</f>
        <v>56</v>
      </c>
      <c r="Q1957" s="25">
        <v>1925</v>
      </c>
      <c r="R1957" s="25">
        <v>1968</v>
      </c>
      <c r="S1957" s="25">
        <v>836</v>
      </c>
      <c r="T1957" s="32">
        <v>624</v>
      </c>
      <c r="U1957" s="25">
        <v>752</v>
      </c>
      <c r="V1957" s="25">
        <f>Inventory[[#This Row],[Bsmt]]-Inventory[[#This Row],[FnBsmt]]</f>
        <v>526</v>
      </c>
      <c r="W1957" s="25">
        <v>226</v>
      </c>
      <c r="X1957" s="27"/>
      <c r="Y1957" s="27">
        <f>Inventory[[#This Row],[MainFn]]+Inventory[[#This Row],[UpprFn]]+Inventory[[#This Row],[FnBsmt]]+Inventory[[#This Row],[AddFn]]</f>
        <v>1686</v>
      </c>
      <c r="Z1957" s="27">
        <v>2000</v>
      </c>
      <c r="AA1957" s="25">
        <v>7</v>
      </c>
      <c r="AB1957" s="27"/>
      <c r="AC1957" s="27"/>
      <c r="AD1957" s="27"/>
      <c r="AE1957" s="27"/>
      <c r="AF1957" s="27"/>
      <c r="AG1957" s="27"/>
      <c r="AH1957" s="27"/>
      <c r="AI1957" s="25">
        <v>257732</v>
      </c>
      <c r="AJ1957" s="25">
        <v>170103</v>
      </c>
      <c r="AK1957" s="25">
        <v>6227</v>
      </c>
      <c r="AL1957" s="25">
        <v>327800</v>
      </c>
      <c r="AM1957" s="25">
        <v>50600</v>
      </c>
      <c r="AN1957" s="25">
        <v>277200</v>
      </c>
      <c r="AO1957" s="25">
        <v>0</v>
      </c>
      <c r="AP1957" s="25">
        <f>Lookups!$B$56*0</f>
        <v>0</v>
      </c>
      <c r="AQ1957" s="25">
        <f>Lookups!$B$56*1</f>
        <v>89850.625589999996</v>
      </c>
      <c r="AR1957" s="25">
        <f>Lookups!$B$57*Inventory[[#This Row],[LnAcres]]</f>
        <v>-58009.662049032086</v>
      </c>
      <c r="AS1957" s="25">
        <f>VLOOKUP(Inventory[[#This Row],[Qlty]],Lookups!$A$62:$E$75,2,FALSE)</f>
        <v>21557.329055999999</v>
      </c>
      <c r="AT1957" s="25">
        <f>VLOOKUP(Inventory[[#This Row],[Cnd]],Lookups!$A$76:$E$84,2,FALSE)</f>
        <v>197752.34721000001</v>
      </c>
      <c r="AU1957" s="25">
        <f>Inventory[[#This Row],[EffAge]]*Lookups!$B$85</f>
        <v>-12490.553628</v>
      </c>
      <c r="AV1957" s="25">
        <f>Inventory[[#This Row],[MainFn]]*Lookups!$B$86</f>
        <v>41305.648017172003</v>
      </c>
      <c r="AW1957" s="25">
        <f>Inventory[[#This Row],[UpprFn]]*Lookups!$B$87</f>
        <v>27946.727865263998</v>
      </c>
      <c r="AX1957" s="25">
        <f>Inventory[[#This Row],[AddFn]]*Lookups!$B$88</f>
        <v>0</v>
      </c>
      <c r="AY1957" s="25">
        <f>Inventory[[#This Row],[Bsmt]]*Lookups!$B$89</f>
        <v>21869.585225743998</v>
      </c>
      <c r="AZ1957" s="25">
        <f>Inventory[[#This Row],[Fixtures]]*Lookups!$B$90</f>
        <v>26544.1547364</v>
      </c>
      <c r="BA1957" s="25">
        <f>Inventory[[#This Row],[WdDeck]]*Lookups!$B$91</f>
        <v>0</v>
      </c>
      <c r="BB1957" s="25">
        <f>ROUND(Inventory[[#This Row],[25Det]],-2)</f>
        <v>6200</v>
      </c>
      <c r="BC1957" s="25">
        <f>ROUND(SUM(Inventory[[#This Row],[Mdl Qlty]:[Mdl WdDeck]])+Inventory[[#This Row],[Mdl Res Intercept]],-2)</f>
        <v>324500</v>
      </c>
      <c r="BD1957" s="25">
        <f>ROUND(Inventory[[#This Row],[Mdl Land Intercept]]+Inventory[[#This Row],[Mdl LnAcres]],-2)</f>
        <v>31800</v>
      </c>
      <c r="BE1957" s="25">
        <f>Inventory[[#This Row],[Unadj Res Value]]+Inventory[[#This Row],[Unadj Det Value]]+Inventory[[#This Row],[Unadj Land Value]]</f>
        <v>362500</v>
      </c>
      <c r="BF1957" s="36">
        <f>(Inventory[[#This Row],[Unadj Total Value]]-Inventory[[#This Row],[24Final]])/Inventory[[#This Row],[24Final]]</f>
        <v>0.10585723001830384</v>
      </c>
      <c r="BG1957" s="25">
        <f>VLOOKUP(Inventory[[#This Row],[Nbhd]],Lookups!$Q$2:$T$4,4,FALSE)</f>
        <v>0.99970000000000003</v>
      </c>
      <c r="BH1957" s="25">
        <f>VLOOKUP(Inventory[[#This Row],[Qlty]],Lookups!$O$7:$R$21,4,FALSE)</f>
        <v>1.0067999999999999</v>
      </c>
      <c r="BI1957" s="25">
        <f>VLOOKUP(Inventory[[#This Row],[Cnd]],Lookups!$T$7:$W$16,4,FALSE)</f>
        <v>0.99650000000000005</v>
      </c>
      <c r="BJ1957" s="25">
        <f>VLOOKUP(Inventory[[#This Row],[LivArea Range]],Lookups!$T$25:$W$37,4,FALSE)</f>
        <v>1.0093000000000001</v>
      </c>
      <c r="BK1957" s="25">
        <f>VLOOKUP(Inventory[[#This Row],[Decade]],Lookups!$O$25:$R$42,4,FALSE)</f>
        <v>1.0074000000000001</v>
      </c>
      <c r="BL1957" s="25">
        <f>Inventory[[#This Row],[Nbhd Adj]]*0.95</f>
        <v>0.94971499999999998</v>
      </c>
      <c r="BM1957" s="25">
        <f>Inventory[[#This Row],[Nbhd Adj]]*Inventory[[#This Row],[Quality Adj]]*Inventory[[#This Row],[Condition Adj]]*Inventory[[#This Row],[Living Area Adj]]*Inventory[[#This Row],[Decade Adj]]*0.95</f>
        <v>0.96880423161964746</v>
      </c>
      <c r="BN1957" s="25">
        <f>ROUND(SUM(Inventory[[#This Row],[Mdl Qlty]:[Mdl WdDeck]])+Inventory[[#This Row],[Mdl Res Intercept]]*Inventory[[#This Row],[Res Adj ]],-2)</f>
        <v>324500</v>
      </c>
      <c r="BO1957" s="25">
        <f>ROUND(Inventory[[#This Row],[25Det]]*Inventory[[#This Row],[Det/Nbhd Adj]],-2)</f>
        <v>5900</v>
      </c>
      <c r="BP1957" s="25">
        <f>Inventory[[#This Row],[Adjusted Res]]+Inventory[[#This Row],[Adj Det ]]</f>
        <v>330400</v>
      </c>
      <c r="BQ1957" s="25">
        <f>ROUND((Inventory[[#This Row],[Mdl Land Intercept]]+Inventory[[#This Row],[Mdl LnAcres]])*Inventory[[#This Row],[Det/Nbhd Adj]],-2)</f>
        <v>30200</v>
      </c>
      <c r="BR1957" s="25">
        <f>Inventory[[#This Row],[Adjusted Impr Total]]+Inventory[[#This Row],[Adjusted Land Total]]</f>
        <v>360600</v>
      </c>
      <c r="BS1957" s="36">
        <f>IFERROR((Inventory[[#This Row],[Adjusted Impr Total]]-Inventory[[#This Row],[24Bldg]])/Inventory[[#This Row],[24Bldg]],0)</f>
        <v>0.19191919191919191</v>
      </c>
      <c r="BT1957" s="36">
        <f>(Inventory[[#This Row],[Adjusted Land Total]]-Inventory[[#This Row],[24Lnd]])/Inventory[[#This Row],[24Lnd]]</f>
        <v>-0.40316205533596838</v>
      </c>
      <c r="BU1957" s="36">
        <f>(Inventory[[#This Row],[Adjusted Total]]-Inventory[[#This Row],[24Final]])/Inventory[[#This Row],[24Final]]</f>
        <v>0.10006101281269067</v>
      </c>
    </row>
    <row r="1958" spans="1:73" x14ac:dyDescent="0.3">
      <c r="A1958" s="25">
        <v>2025</v>
      </c>
      <c r="B1958" s="26" t="s">
        <v>2751</v>
      </c>
      <c r="C1958" s="26">
        <f>LN(Inventory[[#This Row],[Acres]])</f>
        <v>-1.5606477482646683</v>
      </c>
      <c r="D1958" s="25">
        <v>0.21</v>
      </c>
      <c r="E1958" s="25">
        <v>8930</v>
      </c>
      <c r="F1958" s="26" t="s">
        <v>537</v>
      </c>
      <c r="G1958" s="26" t="s">
        <v>126</v>
      </c>
      <c r="H1958" s="26" t="s">
        <v>349</v>
      </c>
      <c r="I1958" s="26" t="s">
        <v>538</v>
      </c>
      <c r="J1958" s="26" t="s">
        <v>539</v>
      </c>
      <c r="K1958" s="26" t="s">
        <v>269</v>
      </c>
      <c r="L1958" s="26" t="s">
        <v>351</v>
      </c>
      <c r="M1958" s="26" t="s">
        <v>303</v>
      </c>
      <c r="N1958" s="26">
        <v>100</v>
      </c>
      <c r="O1958" s="26">
        <f>2024-Inventory[[#This Row],[YrBlt]]</f>
        <v>99</v>
      </c>
      <c r="P1958" s="26">
        <f>2024-Inventory[[#This Row],[EffYr]]</f>
        <v>56</v>
      </c>
      <c r="Q1958" s="25">
        <v>1925</v>
      </c>
      <c r="R1958" s="25">
        <v>1968</v>
      </c>
      <c r="S1958" s="25">
        <v>1251</v>
      </c>
      <c r="T1958" s="32">
        <v>540</v>
      </c>
      <c r="U1958" s="25">
        <v>1251</v>
      </c>
      <c r="V1958" s="25">
        <f>Inventory[[#This Row],[Bsmt]]-Inventory[[#This Row],[FnBsmt]]</f>
        <v>1001</v>
      </c>
      <c r="W1958" s="25">
        <v>250</v>
      </c>
      <c r="X1958" s="27"/>
      <c r="Y1958" s="27">
        <f>Inventory[[#This Row],[MainFn]]+Inventory[[#This Row],[UpprFn]]+Inventory[[#This Row],[FnBsmt]]+Inventory[[#This Row],[AddFn]]</f>
        <v>2041</v>
      </c>
      <c r="Z1958" s="27">
        <v>2500</v>
      </c>
      <c r="AA1958" s="25">
        <v>8</v>
      </c>
      <c r="AB1958" s="27"/>
      <c r="AC1958" s="27"/>
      <c r="AD1958" s="27"/>
      <c r="AE1958" s="27"/>
      <c r="AF1958" s="27"/>
      <c r="AG1958" s="27"/>
      <c r="AH1958" s="27"/>
      <c r="AI1958" s="25">
        <v>310967</v>
      </c>
      <c r="AJ1958" s="25">
        <v>205238</v>
      </c>
      <c r="AK1958" s="25">
        <v>7601</v>
      </c>
      <c r="AL1958" s="25">
        <v>368900</v>
      </c>
      <c r="AM1958" s="25">
        <v>60100</v>
      </c>
      <c r="AN1958" s="25">
        <v>308800</v>
      </c>
      <c r="AO1958" s="25">
        <v>0</v>
      </c>
      <c r="AP1958" s="25">
        <f>Lookups!$B$56*0</f>
        <v>0</v>
      </c>
      <c r="AQ1958" s="25">
        <f>Lookups!$B$56*1</f>
        <v>89850.625589999996</v>
      </c>
      <c r="AR1958" s="25">
        <f>Lookups!$B$57*Inventory[[#This Row],[LnAcres]]</f>
        <v>-49401.70477837498</v>
      </c>
      <c r="AS1958" s="25">
        <f>VLOOKUP(Inventory[[#This Row],[Qlty]],Lookups!$A$62:$E$75,2,FALSE)</f>
        <v>21557.329055999999</v>
      </c>
      <c r="AT1958" s="25">
        <f>VLOOKUP(Inventory[[#This Row],[Cnd]],Lookups!$A$76:$E$84,2,FALSE)</f>
        <v>197752.34721000001</v>
      </c>
      <c r="AU1958" s="25">
        <f>Inventory[[#This Row],[EffAge]]*Lookups!$B$85</f>
        <v>-12490.553628</v>
      </c>
      <c r="AV1958" s="25">
        <f>Inventory[[#This Row],[MainFn]]*Lookups!$B$86</f>
        <v>61810.246016126999</v>
      </c>
      <c r="AW1958" s="25">
        <f>Inventory[[#This Row],[UpprFn]]*Lookups!$B$87</f>
        <v>24184.668344940001</v>
      </c>
      <c r="AX1958" s="25">
        <f>Inventory[[#This Row],[AddFn]]*Lookups!$B$88</f>
        <v>0</v>
      </c>
      <c r="AY1958" s="25">
        <f>Inventory[[#This Row],[Bsmt]]*Lookups!$B$89</f>
        <v>36381.450953996995</v>
      </c>
      <c r="AZ1958" s="25">
        <f>Inventory[[#This Row],[Fixtures]]*Lookups!$B$90</f>
        <v>30336.176841600001</v>
      </c>
      <c r="BA1958" s="25">
        <f>Inventory[[#This Row],[WdDeck]]*Lookups!$B$91</f>
        <v>0</v>
      </c>
      <c r="BB1958" s="25">
        <f>ROUND(Inventory[[#This Row],[25Det]],-2)</f>
        <v>7600</v>
      </c>
      <c r="BC1958" s="25">
        <f>ROUND(SUM(Inventory[[#This Row],[Mdl Qlty]:[Mdl WdDeck]])+Inventory[[#This Row],[Mdl Res Intercept]],-2)</f>
        <v>359500</v>
      </c>
      <c r="BD1958" s="25">
        <f>ROUND(Inventory[[#This Row],[Mdl Land Intercept]]+Inventory[[#This Row],[Mdl LnAcres]],-2)</f>
        <v>40400</v>
      </c>
      <c r="BE1958" s="25">
        <f>Inventory[[#This Row],[Unadj Res Value]]+Inventory[[#This Row],[Unadj Det Value]]+Inventory[[#This Row],[Unadj Land Value]]</f>
        <v>407500</v>
      </c>
      <c r="BF1958" s="36">
        <f>(Inventory[[#This Row],[Unadj Total Value]]-Inventory[[#This Row],[24Final]])/Inventory[[#This Row],[24Final]]</f>
        <v>0.10463540254811603</v>
      </c>
      <c r="BG1958" s="25">
        <f>VLOOKUP(Inventory[[#This Row],[Nbhd]],Lookups!$Q$2:$T$4,4,FALSE)</f>
        <v>0.99970000000000003</v>
      </c>
      <c r="BH1958" s="25">
        <f>VLOOKUP(Inventory[[#This Row],[Qlty]],Lookups!$O$7:$R$21,4,FALSE)</f>
        <v>1.0067999999999999</v>
      </c>
      <c r="BI1958" s="25">
        <f>VLOOKUP(Inventory[[#This Row],[Cnd]],Lookups!$T$7:$W$16,4,FALSE)</f>
        <v>0.99650000000000005</v>
      </c>
      <c r="BJ1958" s="25">
        <f>VLOOKUP(Inventory[[#This Row],[LivArea Range]],Lookups!$T$25:$W$37,4,FALSE)</f>
        <v>0.98919999999999997</v>
      </c>
      <c r="BK1958" s="25">
        <f>VLOOKUP(Inventory[[#This Row],[Decade]],Lookups!$O$25:$R$42,4,FALSE)</f>
        <v>1.0074000000000001</v>
      </c>
      <c r="BL1958" s="25">
        <f>Inventory[[#This Row],[Nbhd Adj]]*0.95</f>
        <v>0.94971499999999998</v>
      </c>
      <c r="BM1958" s="25">
        <f>Inventory[[#This Row],[Nbhd Adj]]*Inventory[[#This Row],[Quality Adj]]*Inventory[[#This Row],[Condition Adj]]*Inventory[[#This Row],[Living Area Adj]]*Inventory[[#This Row],[Decade Adj]]*0.95</f>
        <v>0.94951069644125163</v>
      </c>
      <c r="BN1958" s="25">
        <f>ROUND(SUM(Inventory[[#This Row],[Mdl Qlty]:[Mdl WdDeck]])+Inventory[[#This Row],[Mdl Res Intercept]]*Inventory[[#This Row],[Res Adj ]],-2)</f>
        <v>359500</v>
      </c>
      <c r="BO1958" s="25">
        <f>ROUND(Inventory[[#This Row],[25Det]]*Inventory[[#This Row],[Det/Nbhd Adj]],-2)</f>
        <v>7200</v>
      </c>
      <c r="BP1958" s="25">
        <f>Inventory[[#This Row],[Adjusted Res]]+Inventory[[#This Row],[Adj Det ]]</f>
        <v>366700</v>
      </c>
      <c r="BQ1958" s="25">
        <f>ROUND((Inventory[[#This Row],[Mdl Land Intercept]]+Inventory[[#This Row],[Mdl LnAcres]])*Inventory[[#This Row],[Det/Nbhd Adj]],-2)</f>
        <v>38400</v>
      </c>
      <c r="BR1958" s="25">
        <f>Inventory[[#This Row],[Adjusted Impr Total]]+Inventory[[#This Row],[Adjusted Land Total]]</f>
        <v>405100</v>
      </c>
      <c r="BS1958" s="36">
        <f>IFERROR((Inventory[[#This Row],[Adjusted Impr Total]]-Inventory[[#This Row],[24Bldg]])/Inventory[[#This Row],[24Bldg]],0)</f>
        <v>0.1875</v>
      </c>
      <c r="BT1958" s="36">
        <f>(Inventory[[#This Row],[Adjusted Land Total]]-Inventory[[#This Row],[24Lnd]])/Inventory[[#This Row],[24Lnd]]</f>
        <v>-0.36106489184692181</v>
      </c>
      <c r="BU1958" s="36">
        <f>(Inventory[[#This Row],[Adjusted Total]]-Inventory[[#This Row],[24Final]])/Inventory[[#This Row],[24Final]]</f>
        <v>9.8129574410409329E-2</v>
      </c>
    </row>
    <row r="1959" spans="1:73" x14ac:dyDescent="0.3">
      <c r="A1959" s="25">
        <v>2025</v>
      </c>
      <c r="B1959" s="26" t="s">
        <v>2102</v>
      </c>
      <c r="C1959" s="26">
        <f>LN(Inventory[[#This Row],[Acres]])</f>
        <v>-1.8325814637483102</v>
      </c>
      <c r="D1959" s="25">
        <v>0.16</v>
      </c>
      <c r="E1959" s="31"/>
      <c r="F1959" s="26" t="s">
        <v>537</v>
      </c>
      <c r="G1959" s="26" t="s">
        <v>126</v>
      </c>
      <c r="H1959" s="26" t="s">
        <v>349</v>
      </c>
      <c r="I1959" s="26" t="s">
        <v>538</v>
      </c>
      <c r="J1959" s="26" t="s">
        <v>539</v>
      </c>
      <c r="K1959" s="26" t="s">
        <v>269</v>
      </c>
      <c r="L1959" s="26" t="s">
        <v>351</v>
      </c>
      <c r="M1959" s="26" t="s">
        <v>303</v>
      </c>
      <c r="N1959" s="26">
        <v>100</v>
      </c>
      <c r="O1959" s="26">
        <f>2024-Inventory[[#This Row],[YrBlt]]</f>
        <v>99</v>
      </c>
      <c r="P1959" s="26">
        <f>2024-Inventory[[#This Row],[EffYr]]</f>
        <v>56</v>
      </c>
      <c r="Q1959" s="25">
        <v>1925</v>
      </c>
      <c r="R1959" s="25">
        <v>1968</v>
      </c>
      <c r="S1959" s="25">
        <v>896</v>
      </c>
      <c r="T1959" s="32">
        <v>416</v>
      </c>
      <c r="U1959" s="32">
        <v>728</v>
      </c>
      <c r="V1959" s="32">
        <f>Inventory[[#This Row],[Bsmt]]-Inventory[[#This Row],[FnBsmt]]</f>
        <v>378</v>
      </c>
      <c r="W1959" s="32">
        <v>350</v>
      </c>
      <c r="X1959" s="27"/>
      <c r="Y1959" s="27">
        <f>Inventory[[#This Row],[MainFn]]+Inventory[[#This Row],[UpprFn]]+Inventory[[#This Row],[FnBsmt]]+Inventory[[#This Row],[AddFn]]</f>
        <v>1662</v>
      </c>
      <c r="Z1959" s="27">
        <v>2000</v>
      </c>
      <c r="AA1959" s="25">
        <v>6</v>
      </c>
      <c r="AB1959" s="27"/>
      <c r="AC1959" s="27"/>
      <c r="AD1959" s="32">
        <v>120</v>
      </c>
      <c r="AE1959" s="27"/>
      <c r="AF1959" s="27"/>
      <c r="AG1959" s="27"/>
      <c r="AH1959" s="27"/>
      <c r="AI1959" s="25">
        <v>267677</v>
      </c>
      <c r="AJ1959" s="25">
        <v>176667</v>
      </c>
      <c r="AK1959" s="25">
        <v>6227</v>
      </c>
      <c r="AL1959" s="25">
        <v>322200</v>
      </c>
      <c r="AM1959" s="25">
        <v>50600</v>
      </c>
      <c r="AN1959" s="25">
        <v>271600</v>
      </c>
      <c r="AO1959" s="25">
        <v>0</v>
      </c>
      <c r="AP1959" s="25">
        <f>Lookups!$B$56*0</f>
        <v>0</v>
      </c>
      <c r="AQ1959" s="25">
        <f>Lookups!$B$56*1</f>
        <v>89850.625589999996</v>
      </c>
      <c r="AR1959" s="25">
        <f>Lookups!$B$57*Inventory[[#This Row],[LnAcres]]</f>
        <v>-58009.662049032086</v>
      </c>
      <c r="AS1959" s="25">
        <f>VLOOKUP(Inventory[[#This Row],[Qlty]],Lookups!$A$62:$E$75,2,FALSE)</f>
        <v>21557.329055999999</v>
      </c>
      <c r="AT1959" s="25">
        <f>VLOOKUP(Inventory[[#This Row],[Cnd]],Lookups!$A$76:$E$84,2,FALSE)</f>
        <v>197752.34721000001</v>
      </c>
      <c r="AU1959" s="25">
        <f>Inventory[[#This Row],[EffAge]]*Lookups!$B$85</f>
        <v>-12490.553628</v>
      </c>
      <c r="AV1959" s="25">
        <f>Inventory[[#This Row],[MainFn]]*Lookups!$B$86</f>
        <v>44270.168209791998</v>
      </c>
      <c r="AW1959" s="25">
        <f>Inventory[[#This Row],[UpprFn]]*Lookups!$B$87</f>
        <v>18631.151910175999</v>
      </c>
      <c r="AX1959" s="25">
        <f>Inventory[[#This Row],[AddFn]]*Lookups!$B$88</f>
        <v>0</v>
      </c>
      <c r="AY1959" s="25">
        <f>Inventory[[#This Row],[Bsmt]]*Lookups!$B$89</f>
        <v>21171.619739816</v>
      </c>
      <c r="AZ1959" s="25">
        <f>Inventory[[#This Row],[Fixtures]]*Lookups!$B$90</f>
        <v>22752.132631200002</v>
      </c>
      <c r="BA1959" s="25">
        <f>Inventory[[#This Row],[WdDeck]]*Lookups!$B$91</f>
        <v>3995.4618331200004</v>
      </c>
      <c r="BB1959" s="25">
        <f>ROUND(Inventory[[#This Row],[25Det]],-2)</f>
        <v>6200</v>
      </c>
      <c r="BC1959" s="25">
        <f>ROUND(SUM(Inventory[[#This Row],[Mdl Qlty]:[Mdl WdDeck]])+Inventory[[#This Row],[Mdl Res Intercept]],-2)</f>
        <v>317600</v>
      </c>
      <c r="BD1959" s="25">
        <f>ROUND(Inventory[[#This Row],[Mdl Land Intercept]]+Inventory[[#This Row],[Mdl LnAcres]],-2)</f>
        <v>31800</v>
      </c>
      <c r="BE1959" s="25">
        <f>Inventory[[#This Row],[Unadj Res Value]]+Inventory[[#This Row],[Unadj Det Value]]+Inventory[[#This Row],[Unadj Land Value]]</f>
        <v>355600</v>
      </c>
      <c r="BF1959" s="36">
        <f>(Inventory[[#This Row],[Unadj Total Value]]-Inventory[[#This Row],[24Final]])/Inventory[[#This Row],[24Final]]</f>
        <v>0.10366232153941651</v>
      </c>
      <c r="BG1959" s="25">
        <f>VLOOKUP(Inventory[[#This Row],[Nbhd]],Lookups!$Q$2:$T$4,4,FALSE)</f>
        <v>0.99970000000000003</v>
      </c>
      <c r="BH1959" s="25">
        <f>VLOOKUP(Inventory[[#This Row],[Qlty]],Lookups!$O$7:$R$21,4,FALSE)</f>
        <v>1.0067999999999999</v>
      </c>
      <c r="BI1959" s="25">
        <f>VLOOKUP(Inventory[[#This Row],[Cnd]],Lookups!$T$7:$W$16,4,FALSE)</f>
        <v>0.99650000000000005</v>
      </c>
      <c r="BJ1959" s="25">
        <f>VLOOKUP(Inventory[[#This Row],[LivArea Range]],Lookups!$T$25:$W$37,4,FALSE)</f>
        <v>1.0093000000000001</v>
      </c>
      <c r="BK1959" s="25">
        <f>VLOOKUP(Inventory[[#This Row],[Decade]],Lookups!$O$25:$R$42,4,FALSE)</f>
        <v>1.0074000000000001</v>
      </c>
      <c r="BL1959" s="25">
        <f>Inventory[[#This Row],[Nbhd Adj]]*0.95</f>
        <v>0.94971499999999998</v>
      </c>
      <c r="BM1959" s="25">
        <f>Inventory[[#This Row],[Nbhd Adj]]*Inventory[[#This Row],[Quality Adj]]*Inventory[[#This Row],[Condition Adj]]*Inventory[[#This Row],[Living Area Adj]]*Inventory[[#This Row],[Decade Adj]]*0.95</f>
        <v>0.96880423161964746</v>
      </c>
      <c r="BN1959" s="25">
        <f>ROUND(SUM(Inventory[[#This Row],[Mdl Qlty]:[Mdl WdDeck]])+Inventory[[#This Row],[Mdl Res Intercept]]*Inventory[[#This Row],[Res Adj ]],-2)</f>
        <v>317600</v>
      </c>
      <c r="BO1959" s="25">
        <f>ROUND(Inventory[[#This Row],[25Det]]*Inventory[[#This Row],[Det/Nbhd Adj]],-2)</f>
        <v>5900</v>
      </c>
      <c r="BP1959" s="25">
        <f>Inventory[[#This Row],[Adjusted Res]]+Inventory[[#This Row],[Adj Det ]]</f>
        <v>323500</v>
      </c>
      <c r="BQ1959" s="25">
        <f>ROUND((Inventory[[#This Row],[Mdl Land Intercept]]+Inventory[[#This Row],[Mdl LnAcres]])*Inventory[[#This Row],[Det/Nbhd Adj]],-2)</f>
        <v>30200</v>
      </c>
      <c r="BR1959" s="25">
        <f>Inventory[[#This Row],[Adjusted Impr Total]]+Inventory[[#This Row],[Adjusted Land Total]]</f>
        <v>353700</v>
      </c>
      <c r="BS1959" s="36">
        <f>IFERROR((Inventory[[#This Row],[Adjusted Impr Total]]-Inventory[[#This Row],[24Bldg]])/Inventory[[#This Row],[24Bldg]],0)</f>
        <v>0.19108983799705448</v>
      </c>
      <c r="BT1959" s="36">
        <f>(Inventory[[#This Row],[Adjusted Land Total]]-Inventory[[#This Row],[24Lnd]])/Inventory[[#This Row],[24Lnd]]</f>
        <v>-0.40316205533596838</v>
      </c>
      <c r="BU1959" s="36">
        <f>(Inventory[[#This Row],[Adjusted Total]]-Inventory[[#This Row],[24Final]])/Inventory[[#This Row],[24Final]]</f>
        <v>9.7765363128491614E-2</v>
      </c>
    </row>
    <row r="1960" spans="1:73" x14ac:dyDescent="0.3">
      <c r="A1960" s="25">
        <v>2025</v>
      </c>
      <c r="B1960" s="26" t="s">
        <v>2429</v>
      </c>
      <c r="C1960" s="26">
        <f>LN(Inventory[[#This Row],[Acres]])</f>
        <v>-1.8971199848858813</v>
      </c>
      <c r="D1960" s="25">
        <v>0.15</v>
      </c>
      <c r="E1960" s="31"/>
      <c r="F1960" s="26" t="s">
        <v>537</v>
      </c>
      <c r="G1960" s="26" t="s">
        <v>126</v>
      </c>
      <c r="H1960" s="26" t="s">
        <v>349</v>
      </c>
      <c r="I1960" s="26" t="s">
        <v>538</v>
      </c>
      <c r="J1960" s="26" t="s">
        <v>539</v>
      </c>
      <c r="K1960" s="26" t="s">
        <v>242</v>
      </c>
      <c r="L1960" s="26" t="s">
        <v>351</v>
      </c>
      <c r="M1960" s="26" t="s">
        <v>303</v>
      </c>
      <c r="N1960" s="26">
        <v>100</v>
      </c>
      <c r="O1960" s="26">
        <f>2024-Inventory[[#This Row],[YrBlt]]</f>
        <v>99</v>
      </c>
      <c r="P1960" s="26">
        <f>2024-Inventory[[#This Row],[EffYr]]</f>
        <v>56</v>
      </c>
      <c r="Q1960" s="25">
        <v>1925</v>
      </c>
      <c r="R1960" s="25">
        <v>1968</v>
      </c>
      <c r="S1960" s="25">
        <v>1614</v>
      </c>
      <c r="T1960" s="31"/>
      <c r="U1960" s="25">
        <v>968</v>
      </c>
      <c r="V1960" s="25">
        <f>Inventory[[#This Row],[Bsmt]]-Inventory[[#This Row],[FnBsmt]]</f>
        <v>677</v>
      </c>
      <c r="W1960" s="25">
        <v>291</v>
      </c>
      <c r="X1960" s="27"/>
      <c r="Y1960" s="27">
        <f>Inventory[[#This Row],[MainFn]]+Inventory[[#This Row],[UpprFn]]+Inventory[[#This Row],[FnBsmt]]+Inventory[[#This Row],[AddFn]]</f>
        <v>1905</v>
      </c>
      <c r="Z1960" s="27">
        <v>2000</v>
      </c>
      <c r="AA1960" s="25">
        <v>8</v>
      </c>
      <c r="AB1960" s="27"/>
      <c r="AC1960" s="27"/>
      <c r="AD1960" s="27"/>
      <c r="AE1960" s="27"/>
      <c r="AF1960" s="27"/>
      <c r="AG1960" s="27"/>
      <c r="AH1960" s="27"/>
      <c r="AI1960" s="25">
        <v>309062</v>
      </c>
      <c r="AJ1960" s="25">
        <v>203981</v>
      </c>
      <c r="AK1960" s="25">
        <v>8156</v>
      </c>
      <c r="AL1960" s="25">
        <v>347300</v>
      </c>
      <c r="AM1960" s="25">
        <v>48400</v>
      </c>
      <c r="AN1960" s="25">
        <v>298900</v>
      </c>
      <c r="AO1960" s="25">
        <v>0</v>
      </c>
      <c r="AP1960" s="25">
        <f>Lookups!$B$56*0</f>
        <v>0</v>
      </c>
      <c r="AQ1960" s="25">
        <f>Lookups!$B$56*1</f>
        <v>89850.625589999996</v>
      </c>
      <c r="AR1960" s="25">
        <f>Lookups!$B$57*Inventory[[#This Row],[LnAcres]]</f>
        <v>-60052.604136134301</v>
      </c>
      <c r="AS1960" s="25">
        <f>VLOOKUP(Inventory[[#This Row],[Qlty]],Lookups!$A$62:$E$75,2,FALSE)</f>
        <v>21557.329055999999</v>
      </c>
      <c r="AT1960" s="25">
        <f>VLOOKUP(Inventory[[#This Row],[Cnd]],Lookups!$A$76:$E$84,2,FALSE)</f>
        <v>197752.34721000001</v>
      </c>
      <c r="AU1960" s="25">
        <f>Inventory[[#This Row],[EffAge]]*Lookups!$B$85</f>
        <v>-12490.553628</v>
      </c>
      <c r="AV1960" s="25">
        <f>Inventory[[#This Row],[MainFn]]*Lookups!$B$86</f>
        <v>79745.593181478005</v>
      </c>
      <c r="AW1960" s="25">
        <f>Inventory[[#This Row],[UpprFn]]*Lookups!$B$87</f>
        <v>0</v>
      </c>
      <c r="AX1960" s="25">
        <f>Inventory[[#This Row],[AddFn]]*Lookups!$B$88</f>
        <v>0</v>
      </c>
      <c r="AY1960" s="25">
        <f>Inventory[[#This Row],[Bsmt]]*Lookups!$B$89</f>
        <v>28151.274599095999</v>
      </c>
      <c r="AZ1960" s="25">
        <f>Inventory[[#This Row],[Fixtures]]*Lookups!$B$90</f>
        <v>30336.176841600001</v>
      </c>
      <c r="BA1960" s="25">
        <f>Inventory[[#This Row],[WdDeck]]*Lookups!$B$91</f>
        <v>0</v>
      </c>
      <c r="BB1960" s="25">
        <f>ROUND(Inventory[[#This Row],[25Det]],-2)</f>
        <v>8200</v>
      </c>
      <c r="BC1960" s="25">
        <f>ROUND(SUM(Inventory[[#This Row],[Mdl Qlty]:[Mdl WdDeck]])+Inventory[[#This Row],[Mdl Res Intercept]],-2)</f>
        <v>345100</v>
      </c>
      <c r="BD1960" s="25">
        <f>ROUND(Inventory[[#This Row],[Mdl Land Intercept]]+Inventory[[#This Row],[Mdl LnAcres]],-2)</f>
        <v>29800</v>
      </c>
      <c r="BE1960" s="25">
        <f>Inventory[[#This Row],[Unadj Res Value]]+Inventory[[#This Row],[Unadj Det Value]]+Inventory[[#This Row],[Unadj Land Value]]</f>
        <v>383100</v>
      </c>
      <c r="BF1960" s="36">
        <f>(Inventory[[#This Row],[Unadj Total Value]]-Inventory[[#This Row],[24Final]])/Inventory[[#This Row],[24Final]]</f>
        <v>0.10308090987618773</v>
      </c>
      <c r="BG1960" s="25">
        <f>VLOOKUP(Inventory[[#This Row],[Nbhd]],Lookups!$Q$2:$T$4,4,FALSE)</f>
        <v>0.99970000000000003</v>
      </c>
      <c r="BH1960" s="25">
        <f>VLOOKUP(Inventory[[#This Row],[Qlty]],Lookups!$O$7:$R$21,4,FALSE)</f>
        <v>1.0067999999999999</v>
      </c>
      <c r="BI1960" s="25">
        <f>VLOOKUP(Inventory[[#This Row],[Cnd]],Lookups!$T$7:$W$16,4,FALSE)</f>
        <v>0.99650000000000005</v>
      </c>
      <c r="BJ1960" s="25">
        <f>VLOOKUP(Inventory[[#This Row],[LivArea Range]],Lookups!$T$25:$W$37,4,FALSE)</f>
        <v>1.0093000000000001</v>
      </c>
      <c r="BK1960" s="25">
        <f>VLOOKUP(Inventory[[#This Row],[Decade]],Lookups!$O$25:$R$42,4,FALSE)</f>
        <v>1.0074000000000001</v>
      </c>
      <c r="BL1960" s="25">
        <f>Inventory[[#This Row],[Nbhd Adj]]*0.95</f>
        <v>0.94971499999999998</v>
      </c>
      <c r="BM1960" s="25">
        <f>Inventory[[#This Row],[Nbhd Adj]]*Inventory[[#This Row],[Quality Adj]]*Inventory[[#This Row],[Condition Adj]]*Inventory[[#This Row],[Living Area Adj]]*Inventory[[#This Row],[Decade Adj]]*0.95</f>
        <v>0.96880423161964746</v>
      </c>
      <c r="BN1960" s="25">
        <f>ROUND(SUM(Inventory[[#This Row],[Mdl Qlty]:[Mdl WdDeck]])+Inventory[[#This Row],[Mdl Res Intercept]]*Inventory[[#This Row],[Res Adj ]],-2)</f>
        <v>345100</v>
      </c>
      <c r="BO1960" s="25">
        <f>ROUND(Inventory[[#This Row],[25Det]]*Inventory[[#This Row],[Det/Nbhd Adj]],-2)</f>
        <v>7700</v>
      </c>
      <c r="BP1960" s="25">
        <f>Inventory[[#This Row],[Adjusted Res]]+Inventory[[#This Row],[Adj Det ]]</f>
        <v>352800</v>
      </c>
      <c r="BQ1960" s="25">
        <f>ROUND((Inventory[[#This Row],[Mdl Land Intercept]]+Inventory[[#This Row],[Mdl LnAcres]])*Inventory[[#This Row],[Det/Nbhd Adj]],-2)</f>
        <v>28300</v>
      </c>
      <c r="BR1960" s="25">
        <f>Inventory[[#This Row],[Adjusted Impr Total]]+Inventory[[#This Row],[Adjusted Land Total]]</f>
        <v>381100</v>
      </c>
      <c r="BS1960" s="36">
        <f>IFERROR((Inventory[[#This Row],[Adjusted Impr Total]]-Inventory[[#This Row],[24Bldg]])/Inventory[[#This Row],[24Bldg]],0)</f>
        <v>0.18032786885245902</v>
      </c>
      <c r="BT1960" s="36">
        <f>(Inventory[[#This Row],[Adjusted Land Total]]-Inventory[[#This Row],[24Lnd]])/Inventory[[#This Row],[24Lnd]]</f>
        <v>-0.41528925619834711</v>
      </c>
      <c r="BU1960" s="36">
        <f>(Inventory[[#This Row],[Adjusted Total]]-Inventory[[#This Row],[24Final]])/Inventory[[#This Row],[24Final]]</f>
        <v>9.7322199827238692E-2</v>
      </c>
    </row>
    <row r="1961" spans="1:73" x14ac:dyDescent="0.3">
      <c r="A1961" s="25">
        <v>2025</v>
      </c>
      <c r="B1961" s="26" t="s">
        <v>2691</v>
      </c>
      <c r="C1961" s="26">
        <f>LN(Inventory[[#This Row],[Acres]])</f>
        <v>-1.8971199848858813</v>
      </c>
      <c r="D1961" s="25">
        <v>0.15</v>
      </c>
      <c r="E1961" s="25">
        <v>6631</v>
      </c>
      <c r="F1961" s="26" t="s">
        <v>537</v>
      </c>
      <c r="G1961" s="26" t="s">
        <v>126</v>
      </c>
      <c r="H1961" s="26" t="s">
        <v>349</v>
      </c>
      <c r="I1961" s="26" t="s">
        <v>538</v>
      </c>
      <c r="J1961" s="26" t="s">
        <v>638</v>
      </c>
      <c r="K1961" s="26" t="s">
        <v>269</v>
      </c>
      <c r="L1961" s="26" t="s">
        <v>351</v>
      </c>
      <c r="M1961" s="26" t="s">
        <v>323</v>
      </c>
      <c r="N1961" s="26">
        <v>100</v>
      </c>
      <c r="O1961" s="26">
        <f>2024-Inventory[[#This Row],[YrBlt]]</f>
        <v>99</v>
      </c>
      <c r="P1961" s="26">
        <f>2024-Inventory[[#This Row],[EffYr]]</f>
        <v>56</v>
      </c>
      <c r="Q1961" s="25">
        <v>1925</v>
      </c>
      <c r="R1961" s="25">
        <v>1968</v>
      </c>
      <c r="S1961" s="25">
        <v>1023</v>
      </c>
      <c r="T1961" s="27"/>
      <c r="U1961" s="25">
        <v>1023</v>
      </c>
      <c r="V1961" s="32">
        <f>Inventory[[#This Row],[Bsmt]]-Inventory[[#This Row],[FnBsmt]]</f>
        <v>1023</v>
      </c>
      <c r="W1961" s="27"/>
      <c r="X1961" s="27"/>
      <c r="Y1961" s="27">
        <f>Inventory[[#This Row],[MainFn]]+Inventory[[#This Row],[UpprFn]]+Inventory[[#This Row],[FnBsmt]]+Inventory[[#This Row],[AddFn]]</f>
        <v>1023</v>
      </c>
      <c r="Z1961" s="27">
        <v>1500</v>
      </c>
      <c r="AA1961" s="25">
        <v>5</v>
      </c>
      <c r="AB1961" s="31"/>
      <c r="AC1961" s="27"/>
      <c r="AD1961" s="27"/>
      <c r="AE1961" s="27"/>
      <c r="AF1961" s="27"/>
      <c r="AG1961" s="27"/>
      <c r="AH1961" s="27"/>
      <c r="AI1961" s="25">
        <v>208871</v>
      </c>
      <c r="AJ1961" s="25">
        <v>133677</v>
      </c>
      <c r="AK1961" s="25">
        <v>8635</v>
      </c>
      <c r="AL1961" s="25">
        <v>278400</v>
      </c>
      <c r="AM1961" s="25">
        <v>48400</v>
      </c>
      <c r="AN1961" s="25">
        <v>230000</v>
      </c>
      <c r="AO1961" s="25">
        <v>0</v>
      </c>
      <c r="AP1961" s="25">
        <f>Lookups!$B$56*0</f>
        <v>0</v>
      </c>
      <c r="AQ1961" s="25">
        <f>Lookups!$B$56*1</f>
        <v>89850.625589999996</v>
      </c>
      <c r="AR1961" s="25">
        <f>Lookups!$B$57*Inventory[[#This Row],[LnAcres]]</f>
        <v>-60052.604136134301</v>
      </c>
      <c r="AS1961" s="25">
        <f>VLOOKUP(Inventory[[#This Row],[Qlty]],Lookups!$A$62:$E$75,2,FALSE)</f>
        <v>21557.329055999999</v>
      </c>
      <c r="AT1961" s="25">
        <f>VLOOKUP(Inventory[[#This Row],[Cnd]],Lookups!$A$76:$E$84,2,FALSE)</f>
        <v>160472.20319</v>
      </c>
      <c r="AU1961" s="25">
        <f>Inventory[[#This Row],[EffAge]]*Lookups!$B$85</f>
        <v>-12490.553628</v>
      </c>
      <c r="AV1961" s="25">
        <f>Inventory[[#This Row],[MainFn]]*Lookups!$B$86</f>
        <v>50545.069284171004</v>
      </c>
      <c r="AW1961" s="25">
        <f>Inventory[[#This Row],[UpprFn]]*Lookups!$B$87</f>
        <v>0</v>
      </c>
      <c r="AX1961" s="25">
        <f>Inventory[[#This Row],[AddFn]]*Lookups!$B$88</f>
        <v>0</v>
      </c>
      <c r="AY1961" s="25">
        <f>Inventory[[#This Row],[Bsmt]]*Lookups!$B$89</f>
        <v>29750.778837680999</v>
      </c>
      <c r="AZ1961" s="25">
        <f>Inventory[[#This Row],[Fixtures]]*Lookups!$B$90</f>
        <v>18960.110526</v>
      </c>
      <c r="BA1961" s="25">
        <f>Inventory[[#This Row],[WdDeck]]*Lookups!$B$91</f>
        <v>0</v>
      </c>
      <c r="BB1961" s="25">
        <f>ROUND(Inventory[[#This Row],[25Det]],-2)</f>
        <v>8600</v>
      </c>
      <c r="BC1961" s="25">
        <f>ROUND(SUM(Inventory[[#This Row],[Mdl Qlty]:[Mdl WdDeck]])+Inventory[[#This Row],[Mdl Res Intercept]],-2)</f>
        <v>268800</v>
      </c>
      <c r="BD1961" s="25">
        <f>ROUND(Inventory[[#This Row],[Mdl Land Intercept]]+Inventory[[#This Row],[Mdl LnAcres]],-2)</f>
        <v>29800</v>
      </c>
      <c r="BE1961" s="25">
        <f>Inventory[[#This Row],[Unadj Res Value]]+Inventory[[#This Row],[Unadj Det Value]]+Inventory[[#This Row],[Unadj Land Value]]</f>
        <v>307200</v>
      </c>
      <c r="BF1961" s="36">
        <f>(Inventory[[#This Row],[Unadj Total Value]]-Inventory[[#This Row],[24Final]])/Inventory[[#This Row],[24Final]]</f>
        <v>0.10344827586206896</v>
      </c>
      <c r="BG1961" s="25">
        <f>VLOOKUP(Inventory[[#This Row],[Nbhd]],Lookups!$Q$2:$T$4,4,FALSE)</f>
        <v>0.99970000000000003</v>
      </c>
      <c r="BH1961" s="25">
        <f>VLOOKUP(Inventory[[#This Row],[Qlty]],Lookups!$O$7:$R$21,4,FALSE)</f>
        <v>1.0067999999999999</v>
      </c>
      <c r="BI1961" s="25">
        <f>VLOOKUP(Inventory[[#This Row],[Cnd]],Lookups!$T$7:$W$16,4,FALSE)</f>
        <v>0.99729999999999996</v>
      </c>
      <c r="BJ1961" s="25">
        <f>VLOOKUP(Inventory[[#This Row],[LivArea Range]],Lookups!$T$25:$W$37,4,FALSE)</f>
        <v>1.0157</v>
      </c>
      <c r="BK1961" s="25">
        <f>VLOOKUP(Inventory[[#This Row],[Decade]],Lookups!$O$25:$R$42,4,FALSE)</f>
        <v>1.0074000000000001</v>
      </c>
      <c r="BL1961" s="25">
        <f>Inventory[[#This Row],[Nbhd Adj]]*0.95</f>
        <v>0.94971499999999998</v>
      </c>
      <c r="BM1961" s="25">
        <f>Inventory[[#This Row],[Nbhd Adj]]*Inventory[[#This Row],[Quality Adj]]*Inventory[[#This Row],[Condition Adj]]*Inventory[[#This Row],[Living Area Adj]]*Inventory[[#This Row],[Decade Adj]]*0.95</f>
        <v>0.97573014419916293</v>
      </c>
      <c r="BN1961" s="25">
        <f>ROUND(SUM(Inventory[[#This Row],[Mdl Qlty]:[Mdl WdDeck]])+Inventory[[#This Row],[Mdl Res Intercept]]*Inventory[[#This Row],[Res Adj ]],-2)</f>
        <v>268800</v>
      </c>
      <c r="BO1961" s="25">
        <f>ROUND(Inventory[[#This Row],[25Det]]*Inventory[[#This Row],[Det/Nbhd Adj]],-2)</f>
        <v>8200</v>
      </c>
      <c r="BP1961" s="25">
        <f>Inventory[[#This Row],[Adjusted Res]]+Inventory[[#This Row],[Adj Det ]]</f>
        <v>277000</v>
      </c>
      <c r="BQ1961" s="25">
        <f>ROUND((Inventory[[#This Row],[Mdl Land Intercept]]+Inventory[[#This Row],[Mdl LnAcres]])*Inventory[[#This Row],[Det/Nbhd Adj]],-2)</f>
        <v>28300</v>
      </c>
      <c r="BR1961" s="25">
        <f>Inventory[[#This Row],[Adjusted Impr Total]]+Inventory[[#This Row],[Adjusted Land Total]]</f>
        <v>305300</v>
      </c>
      <c r="BS1961" s="36">
        <f>IFERROR((Inventory[[#This Row],[Adjusted Impr Total]]-Inventory[[#This Row],[24Bldg]])/Inventory[[#This Row],[24Bldg]],0)</f>
        <v>0.20434782608695654</v>
      </c>
      <c r="BT1961" s="36">
        <f>(Inventory[[#This Row],[Adjusted Land Total]]-Inventory[[#This Row],[24Lnd]])/Inventory[[#This Row],[24Lnd]]</f>
        <v>-0.41528925619834711</v>
      </c>
      <c r="BU1961" s="36">
        <f>(Inventory[[#This Row],[Adjusted Total]]-Inventory[[#This Row],[24Final]])/Inventory[[#This Row],[24Final]]</f>
        <v>9.6623563218390801E-2</v>
      </c>
    </row>
    <row r="1962" spans="1:73" x14ac:dyDescent="0.3">
      <c r="A1962" s="25">
        <v>2025</v>
      </c>
      <c r="B1962" s="26" t="s">
        <v>2118</v>
      </c>
      <c r="C1962" s="26">
        <f>LN(Inventory[[#This Row],[Acres]])</f>
        <v>-0.9942522733438669</v>
      </c>
      <c r="D1962" s="25">
        <v>0.37</v>
      </c>
      <c r="E1962" s="25">
        <v>16120</v>
      </c>
      <c r="F1962" s="26" t="s">
        <v>537</v>
      </c>
      <c r="G1962" s="26" t="s">
        <v>126</v>
      </c>
      <c r="H1962" s="26" t="s">
        <v>349</v>
      </c>
      <c r="I1962" s="26" t="s">
        <v>538</v>
      </c>
      <c r="J1962" s="26" t="s">
        <v>539</v>
      </c>
      <c r="K1962" s="26" t="s">
        <v>269</v>
      </c>
      <c r="L1962" s="26" t="s">
        <v>351</v>
      </c>
      <c r="M1962" s="26" t="s">
        <v>303</v>
      </c>
      <c r="N1962" s="26">
        <v>100</v>
      </c>
      <c r="O1962" s="26">
        <f>2024-Inventory[[#This Row],[YrBlt]]</f>
        <v>99</v>
      </c>
      <c r="P1962" s="26">
        <f>2024-Inventory[[#This Row],[EffYr]]</f>
        <v>56</v>
      </c>
      <c r="Q1962" s="25">
        <v>1925</v>
      </c>
      <c r="R1962" s="25">
        <v>1968</v>
      </c>
      <c r="S1962" s="25">
        <v>1038</v>
      </c>
      <c r="T1962" s="32">
        <v>410</v>
      </c>
      <c r="U1962" s="32">
        <v>240</v>
      </c>
      <c r="V1962" s="32">
        <f>Inventory[[#This Row],[Bsmt]]-Inventory[[#This Row],[FnBsmt]]</f>
        <v>240</v>
      </c>
      <c r="W1962" s="32">
        <v>0</v>
      </c>
      <c r="X1962" s="27"/>
      <c r="Y1962" s="27">
        <f>Inventory[[#This Row],[MainFn]]+Inventory[[#This Row],[UpprFn]]+Inventory[[#This Row],[FnBsmt]]+Inventory[[#This Row],[AddFn]]</f>
        <v>1448</v>
      </c>
      <c r="Z1962" s="27">
        <v>1500</v>
      </c>
      <c r="AA1962" s="25">
        <v>8</v>
      </c>
      <c r="AB1962" s="31"/>
      <c r="AC1962" s="27"/>
      <c r="AD1962" s="27"/>
      <c r="AE1962" s="27"/>
      <c r="AF1962" s="27"/>
      <c r="AG1962" s="27"/>
      <c r="AH1962" s="27"/>
      <c r="AI1962" s="25">
        <v>239611</v>
      </c>
      <c r="AJ1962" s="25">
        <v>158143</v>
      </c>
      <c r="AK1962" s="25">
        <v>9963</v>
      </c>
      <c r="AL1962" s="25">
        <v>345500</v>
      </c>
      <c r="AM1962" s="25">
        <v>79900</v>
      </c>
      <c r="AN1962" s="25">
        <v>265600</v>
      </c>
      <c r="AO1962" s="25">
        <v>0</v>
      </c>
      <c r="AP1962" s="25">
        <f>Lookups!$B$56*0</f>
        <v>0</v>
      </c>
      <c r="AQ1962" s="25">
        <f>Lookups!$B$56*1</f>
        <v>89850.625589999996</v>
      </c>
      <c r="AR1962" s="25">
        <f>Lookups!$B$57*Inventory[[#This Row],[LnAcres]]</f>
        <v>-31472.673662315807</v>
      </c>
      <c r="AS1962" s="25">
        <f>VLOOKUP(Inventory[[#This Row],[Qlty]],Lookups!$A$62:$E$75,2,FALSE)</f>
        <v>21557.329055999999</v>
      </c>
      <c r="AT1962" s="25">
        <f>VLOOKUP(Inventory[[#This Row],[Cnd]],Lookups!$A$76:$E$84,2,FALSE)</f>
        <v>197752.34721000001</v>
      </c>
      <c r="AU1962" s="25">
        <f>Inventory[[#This Row],[EffAge]]*Lookups!$B$85</f>
        <v>-12490.553628</v>
      </c>
      <c r="AV1962" s="25">
        <f>Inventory[[#This Row],[MainFn]]*Lookups!$B$86</f>
        <v>51286.199332326003</v>
      </c>
      <c r="AW1962" s="25">
        <f>Inventory[[#This Row],[UpprFn]]*Lookups!$B$87</f>
        <v>18362.433373010001</v>
      </c>
      <c r="AX1962" s="25">
        <f>Inventory[[#This Row],[AddFn]]*Lookups!$B$88</f>
        <v>0</v>
      </c>
      <c r="AY1962" s="25">
        <f>Inventory[[#This Row],[Bsmt]]*Lookups!$B$89</f>
        <v>6979.65485928</v>
      </c>
      <c r="AZ1962" s="25">
        <f>Inventory[[#This Row],[Fixtures]]*Lookups!$B$90</f>
        <v>30336.176841600001</v>
      </c>
      <c r="BA1962" s="25">
        <f>Inventory[[#This Row],[WdDeck]]*Lookups!$B$91</f>
        <v>0</v>
      </c>
      <c r="BB1962" s="25">
        <f>ROUND(Inventory[[#This Row],[25Det]],-2)</f>
        <v>10000</v>
      </c>
      <c r="BC1962" s="25">
        <f>ROUND(SUM(Inventory[[#This Row],[Mdl Qlty]:[Mdl WdDeck]])+Inventory[[#This Row],[Mdl Res Intercept]],-2)</f>
        <v>313800</v>
      </c>
      <c r="BD1962" s="25">
        <f>ROUND(Inventory[[#This Row],[Mdl Land Intercept]]+Inventory[[#This Row],[Mdl LnAcres]],-2)</f>
        <v>58400</v>
      </c>
      <c r="BE1962" s="25">
        <f>Inventory[[#This Row],[Unadj Res Value]]+Inventory[[#This Row],[Unadj Det Value]]+Inventory[[#This Row],[Unadj Land Value]]</f>
        <v>382200</v>
      </c>
      <c r="BF1962" s="36">
        <f>(Inventory[[#This Row],[Unadj Total Value]]-Inventory[[#This Row],[24Final]])/Inventory[[#This Row],[24Final]]</f>
        <v>0.10622286541244573</v>
      </c>
      <c r="BG1962" s="25">
        <f>VLOOKUP(Inventory[[#This Row],[Nbhd]],Lookups!$Q$2:$T$4,4,FALSE)</f>
        <v>0.99970000000000003</v>
      </c>
      <c r="BH1962" s="25">
        <f>VLOOKUP(Inventory[[#This Row],[Qlty]],Lookups!$O$7:$R$21,4,FALSE)</f>
        <v>1.0067999999999999</v>
      </c>
      <c r="BI1962" s="25">
        <f>VLOOKUP(Inventory[[#This Row],[Cnd]],Lookups!$T$7:$W$16,4,FALSE)</f>
        <v>0.99650000000000005</v>
      </c>
      <c r="BJ1962" s="25">
        <f>VLOOKUP(Inventory[[#This Row],[LivArea Range]],Lookups!$T$25:$W$37,4,FALSE)</f>
        <v>1.0157</v>
      </c>
      <c r="BK1962" s="25">
        <f>VLOOKUP(Inventory[[#This Row],[Decade]],Lookups!$O$25:$R$42,4,FALSE)</f>
        <v>1.0074000000000001</v>
      </c>
      <c r="BL1962" s="25">
        <f>Inventory[[#This Row],[Nbhd Adj]]*0.95</f>
        <v>0.94971499999999998</v>
      </c>
      <c r="BM1962" s="25">
        <f>Inventory[[#This Row],[Nbhd Adj]]*Inventory[[#This Row],[Quality Adj]]*Inventory[[#This Row],[Condition Adj]]*Inventory[[#This Row],[Living Area Adj]]*Inventory[[#This Row],[Decade Adj]]*0.95</f>
        <v>0.97494744680082823</v>
      </c>
      <c r="BN1962" s="25">
        <f>ROUND(SUM(Inventory[[#This Row],[Mdl Qlty]:[Mdl WdDeck]])+Inventory[[#This Row],[Mdl Res Intercept]]*Inventory[[#This Row],[Res Adj ]],-2)</f>
        <v>313800</v>
      </c>
      <c r="BO1962" s="25">
        <f>ROUND(Inventory[[#This Row],[25Det]]*Inventory[[#This Row],[Det/Nbhd Adj]],-2)</f>
        <v>9500</v>
      </c>
      <c r="BP1962" s="25">
        <f>Inventory[[#This Row],[Adjusted Res]]+Inventory[[#This Row],[Adj Det ]]</f>
        <v>323300</v>
      </c>
      <c r="BQ1962" s="25">
        <f>ROUND((Inventory[[#This Row],[Mdl Land Intercept]]+Inventory[[#This Row],[Mdl LnAcres]])*Inventory[[#This Row],[Det/Nbhd Adj]],-2)</f>
        <v>55400</v>
      </c>
      <c r="BR1962" s="25">
        <f>Inventory[[#This Row],[Adjusted Impr Total]]+Inventory[[#This Row],[Adjusted Land Total]]</f>
        <v>378700</v>
      </c>
      <c r="BS1962" s="36">
        <f>IFERROR((Inventory[[#This Row],[Adjusted Impr Total]]-Inventory[[#This Row],[24Bldg]])/Inventory[[#This Row],[24Bldg]],0)</f>
        <v>0.21724397590361447</v>
      </c>
      <c r="BT1962" s="36">
        <f>(Inventory[[#This Row],[Adjusted Land Total]]-Inventory[[#This Row],[24Lnd]])/Inventory[[#This Row],[24Lnd]]</f>
        <v>-0.30663329161451813</v>
      </c>
      <c r="BU1962" s="36">
        <f>(Inventory[[#This Row],[Adjusted Total]]-Inventory[[#This Row],[24Final]])/Inventory[[#This Row],[24Final]]</f>
        <v>9.6092619392185233E-2</v>
      </c>
    </row>
    <row r="1963" spans="1:73" x14ac:dyDescent="0.3">
      <c r="A1963" s="25">
        <v>2025</v>
      </c>
      <c r="B1963" s="26" t="s">
        <v>1113</v>
      </c>
      <c r="C1963" s="26">
        <f>LN(Inventory[[#This Row],[Acres]])</f>
        <v>-1.9661128563728327</v>
      </c>
      <c r="D1963" s="25">
        <v>0.14000000000000001</v>
      </c>
      <c r="E1963" s="25">
        <v>6003</v>
      </c>
      <c r="F1963" s="26" t="s">
        <v>537</v>
      </c>
      <c r="G1963" s="26" t="s">
        <v>126</v>
      </c>
      <c r="H1963" s="26" t="s">
        <v>349</v>
      </c>
      <c r="I1963" s="26" t="s">
        <v>538</v>
      </c>
      <c r="J1963" s="26" t="s">
        <v>539</v>
      </c>
      <c r="K1963" s="26" t="s">
        <v>147</v>
      </c>
      <c r="L1963" s="26" t="s">
        <v>351</v>
      </c>
      <c r="M1963" s="26" t="s">
        <v>303</v>
      </c>
      <c r="N1963" s="26">
        <v>100</v>
      </c>
      <c r="O1963" s="26">
        <f>2024-Inventory[[#This Row],[YrBlt]]</f>
        <v>99</v>
      </c>
      <c r="P1963" s="26">
        <f>2024-Inventory[[#This Row],[EffYr]]</f>
        <v>56</v>
      </c>
      <c r="Q1963" s="25">
        <v>1925</v>
      </c>
      <c r="R1963" s="25">
        <v>1968</v>
      </c>
      <c r="S1963" s="25">
        <v>918</v>
      </c>
      <c r="T1963" s="32">
        <v>698</v>
      </c>
      <c r="U1963" s="25">
        <v>687</v>
      </c>
      <c r="V1963" s="25">
        <f>Inventory[[#This Row],[Bsmt]]-Inventory[[#This Row],[FnBsmt]]</f>
        <v>687</v>
      </c>
      <c r="W1963" s="31"/>
      <c r="X1963" s="27"/>
      <c r="Y1963" s="27">
        <f>Inventory[[#This Row],[MainFn]]+Inventory[[#This Row],[UpprFn]]+Inventory[[#This Row],[FnBsmt]]+Inventory[[#This Row],[AddFn]]</f>
        <v>1616</v>
      </c>
      <c r="Z1963" s="27">
        <v>2000</v>
      </c>
      <c r="AA1963" s="25">
        <v>7</v>
      </c>
      <c r="AB1963" s="27"/>
      <c r="AC1963" s="27"/>
      <c r="AD1963" s="27"/>
      <c r="AE1963" s="27"/>
      <c r="AF1963" s="27"/>
      <c r="AG1963" s="27"/>
      <c r="AH1963" s="27"/>
      <c r="AI1963" s="25">
        <v>275786</v>
      </c>
      <c r="AJ1963" s="25">
        <v>182019</v>
      </c>
      <c r="AK1963" s="25">
        <v>0</v>
      </c>
      <c r="AL1963" s="25">
        <v>325200</v>
      </c>
      <c r="AM1963" s="25">
        <v>46000</v>
      </c>
      <c r="AN1963" s="25">
        <v>279200</v>
      </c>
      <c r="AO1963" s="25">
        <v>0</v>
      </c>
      <c r="AP1963" s="25">
        <f>Lookups!$B$56*0</f>
        <v>0</v>
      </c>
      <c r="AQ1963" s="25">
        <f>Lookups!$B$56*1</f>
        <v>89850.625589999996</v>
      </c>
      <c r="AR1963" s="25">
        <f>Lookups!$B$57*Inventory[[#This Row],[LnAcres]]</f>
        <v>-62236.546971921947</v>
      </c>
      <c r="AS1963" s="25">
        <f>VLOOKUP(Inventory[[#This Row],[Qlty]],Lookups!$A$62:$E$75,2,FALSE)</f>
        <v>21557.329055999999</v>
      </c>
      <c r="AT1963" s="25">
        <f>VLOOKUP(Inventory[[#This Row],[Cnd]],Lookups!$A$76:$E$84,2,FALSE)</f>
        <v>197752.34721000001</v>
      </c>
      <c r="AU1963" s="25">
        <f>Inventory[[#This Row],[EffAge]]*Lookups!$B$85</f>
        <v>-12490.553628</v>
      </c>
      <c r="AV1963" s="25">
        <f>Inventory[[#This Row],[MainFn]]*Lookups!$B$86</f>
        <v>45357.158947085998</v>
      </c>
      <c r="AW1963" s="25">
        <f>Inventory[[#This Row],[UpprFn]]*Lookups!$B$87</f>
        <v>31260.923156977999</v>
      </c>
      <c r="AX1963" s="25">
        <f>Inventory[[#This Row],[AddFn]]*Lookups!$B$88</f>
        <v>0</v>
      </c>
      <c r="AY1963" s="25">
        <f>Inventory[[#This Row],[Bsmt]]*Lookups!$B$89</f>
        <v>19979.262034689</v>
      </c>
      <c r="AZ1963" s="25">
        <f>Inventory[[#This Row],[Fixtures]]*Lookups!$B$90</f>
        <v>26544.1547364</v>
      </c>
      <c r="BA1963" s="25">
        <f>Inventory[[#This Row],[WdDeck]]*Lookups!$B$91</f>
        <v>0</v>
      </c>
      <c r="BB1963" s="25">
        <f>ROUND(Inventory[[#This Row],[25Det]],-2)</f>
        <v>0</v>
      </c>
      <c r="BC1963" s="25">
        <f>ROUND(SUM(Inventory[[#This Row],[Mdl Qlty]:[Mdl WdDeck]])+Inventory[[#This Row],[Mdl Res Intercept]],-2)</f>
        <v>330000</v>
      </c>
      <c r="BD1963" s="25">
        <f>ROUND(Inventory[[#This Row],[Mdl Land Intercept]]+Inventory[[#This Row],[Mdl LnAcres]],-2)</f>
        <v>27600</v>
      </c>
      <c r="BE1963" s="25">
        <f>Inventory[[#This Row],[Unadj Res Value]]+Inventory[[#This Row],[Unadj Det Value]]+Inventory[[#This Row],[Unadj Land Value]]</f>
        <v>357600</v>
      </c>
      <c r="BF1963" s="36">
        <f>(Inventory[[#This Row],[Unadj Total Value]]-Inventory[[#This Row],[24Final]])/Inventory[[#This Row],[24Final]]</f>
        <v>9.9630996309963096E-2</v>
      </c>
      <c r="BG1963" s="25">
        <f>VLOOKUP(Inventory[[#This Row],[Nbhd]],Lookups!$Q$2:$T$4,4,FALSE)</f>
        <v>0.99970000000000003</v>
      </c>
      <c r="BH1963" s="25">
        <f>VLOOKUP(Inventory[[#This Row],[Qlty]],Lookups!$O$7:$R$21,4,FALSE)</f>
        <v>1.0067999999999999</v>
      </c>
      <c r="BI1963" s="25">
        <f>VLOOKUP(Inventory[[#This Row],[Cnd]],Lookups!$T$7:$W$16,4,FALSE)</f>
        <v>0.99650000000000005</v>
      </c>
      <c r="BJ1963" s="25">
        <f>VLOOKUP(Inventory[[#This Row],[LivArea Range]],Lookups!$T$25:$W$37,4,FALSE)</f>
        <v>1.0093000000000001</v>
      </c>
      <c r="BK1963" s="25">
        <f>VLOOKUP(Inventory[[#This Row],[Decade]],Lookups!$O$25:$R$42,4,FALSE)</f>
        <v>1.0074000000000001</v>
      </c>
      <c r="BL1963" s="25">
        <f>Inventory[[#This Row],[Nbhd Adj]]*0.95</f>
        <v>0.94971499999999998</v>
      </c>
      <c r="BM1963" s="25">
        <f>Inventory[[#This Row],[Nbhd Adj]]*Inventory[[#This Row],[Quality Adj]]*Inventory[[#This Row],[Condition Adj]]*Inventory[[#This Row],[Living Area Adj]]*Inventory[[#This Row],[Decade Adj]]*0.95</f>
        <v>0.96880423161964746</v>
      </c>
      <c r="BN1963" s="25">
        <f>ROUND(SUM(Inventory[[#This Row],[Mdl Qlty]:[Mdl WdDeck]])+Inventory[[#This Row],[Mdl Res Intercept]]*Inventory[[#This Row],[Res Adj ]],-2)</f>
        <v>330000</v>
      </c>
      <c r="BO1963" s="25">
        <f>ROUND(Inventory[[#This Row],[25Det]]*Inventory[[#This Row],[Det/Nbhd Adj]],-2)</f>
        <v>0</v>
      </c>
      <c r="BP1963" s="25">
        <f>Inventory[[#This Row],[Adjusted Res]]+Inventory[[#This Row],[Adj Det ]]</f>
        <v>330000</v>
      </c>
      <c r="BQ1963" s="25">
        <f>ROUND((Inventory[[#This Row],[Mdl Land Intercept]]+Inventory[[#This Row],[Mdl LnAcres]])*Inventory[[#This Row],[Det/Nbhd Adj]],-2)</f>
        <v>26200</v>
      </c>
      <c r="BR1963" s="25">
        <f>Inventory[[#This Row],[Adjusted Impr Total]]+Inventory[[#This Row],[Adjusted Land Total]]</f>
        <v>356200</v>
      </c>
      <c r="BS1963" s="36">
        <f>IFERROR((Inventory[[#This Row],[Adjusted Impr Total]]-Inventory[[#This Row],[24Bldg]])/Inventory[[#This Row],[24Bldg]],0)</f>
        <v>0.18194842406876791</v>
      </c>
      <c r="BT1963" s="36">
        <f>(Inventory[[#This Row],[Adjusted Land Total]]-Inventory[[#This Row],[24Lnd]])/Inventory[[#This Row],[24Lnd]]</f>
        <v>-0.43043478260869567</v>
      </c>
      <c r="BU1963" s="36">
        <f>(Inventory[[#This Row],[Adjusted Total]]-Inventory[[#This Row],[24Final]])/Inventory[[#This Row],[24Final]]</f>
        <v>9.5325953259532595E-2</v>
      </c>
    </row>
    <row r="1964" spans="1:73" x14ac:dyDescent="0.3">
      <c r="A1964" s="25">
        <v>2025</v>
      </c>
      <c r="B1964" s="26" t="s">
        <v>2038</v>
      </c>
      <c r="C1964" s="26">
        <f>LN(Inventory[[#This Row],[Acres]])</f>
        <v>-1.5141277326297755</v>
      </c>
      <c r="D1964" s="25">
        <v>0.22</v>
      </c>
      <c r="E1964" s="25">
        <v>9735</v>
      </c>
      <c r="F1964" s="26" t="s">
        <v>537</v>
      </c>
      <c r="G1964" s="26" t="s">
        <v>126</v>
      </c>
      <c r="H1964" s="26" t="s">
        <v>349</v>
      </c>
      <c r="I1964" s="26" t="s">
        <v>538</v>
      </c>
      <c r="J1964" s="26" t="s">
        <v>539</v>
      </c>
      <c r="K1964" s="26" t="s">
        <v>301</v>
      </c>
      <c r="L1964" s="26" t="s">
        <v>302</v>
      </c>
      <c r="M1964" s="26" t="s">
        <v>303</v>
      </c>
      <c r="N1964" s="26">
        <v>100</v>
      </c>
      <c r="O1964" s="26">
        <f>2024-Inventory[[#This Row],[YrBlt]]</f>
        <v>99</v>
      </c>
      <c r="P1964" s="26">
        <f>2024-Inventory[[#This Row],[EffYr]]</f>
        <v>56</v>
      </c>
      <c r="Q1964" s="25">
        <v>1925</v>
      </c>
      <c r="R1964" s="25">
        <v>1968</v>
      </c>
      <c r="S1964" s="25">
        <v>1254</v>
      </c>
      <c r="T1964" s="32">
        <v>1032</v>
      </c>
      <c r="U1964" s="25">
        <v>918</v>
      </c>
      <c r="V1964" s="25">
        <f>Inventory[[#This Row],[Bsmt]]-Inventory[[#This Row],[FnBsmt]]</f>
        <v>918</v>
      </c>
      <c r="W1964" s="31"/>
      <c r="X1964" s="27"/>
      <c r="Y1964" s="27">
        <f>Inventory[[#This Row],[MainFn]]+Inventory[[#This Row],[UpprFn]]+Inventory[[#This Row],[FnBsmt]]+Inventory[[#This Row],[AddFn]]</f>
        <v>2286</v>
      </c>
      <c r="Z1964" s="27">
        <v>2500</v>
      </c>
      <c r="AA1964" s="25">
        <v>10</v>
      </c>
      <c r="AB1964" s="27"/>
      <c r="AC1964" s="27"/>
      <c r="AD1964" s="27"/>
      <c r="AE1964" s="27"/>
      <c r="AF1964" s="27"/>
      <c r="AG1964" s="27"/>
      <c r="AH1964" s="27"/>
      <c r="AI1964" s="25">
        <v>402209</v>
      </c>
      <c r="AJ1964" s="25">
        <v>265458</v>
      </c>
      <c r="AK1964" s="25">
        <v>9780</v>
      </c>
      <c r="AL1964" s="25">
        <v>399100</v>
      </c>
      <c r="AM1964" s="25">
        <v>61700</v>
      </c>
      <c r="AN1964" s="25">
        <v>337400</v>
      </c>
      <c r="AO1964" s="25">
        <v>0</v>
      </c>
      <c r="AP1964" s="25">
        <f>Lookups!$B$56*0</f>
        <v>0</v>
      </c>
      <c r="AQ1964" s="25">
        <f>Lookups!$B$56*1</f>
        <v>89850.625589999996</v>
      </c>
      <c r="AR1964" s="25">
        <f>Lookups!$B$57*Inventory[[#This Row],[LnAcres]]</f>
        <v>-47929.131559187132</v>
      </c>
      <c r="AS1964" s="25">
        <f>VLOOKUP(Inventory[[#This Row],[Qlty]],Lookups!$A$62:$E$75,2,FALSE)</f>
        <v>29814.093161000001</v>
      </c>
      <c r="AT1964" s="25">
        <f>VLOOKUP(Inventory[[#This Row],[Cnd]],Lookups!$A$76:$E$84,2,FALSE)</f>
        <v>197752.34721000001</v>
      </c>
      <c r="AU1964" s="25">
        <f>Inventory[[#This Row],[EffAge]]*Lookups!$B$85</f>
        <v>-12490.553628</v>
      </c>
      <c r="AV1964" s="25">
        <f>Inventory[[#This Row],[MainFn]]*Lookups!$B$86</f>
        <v>61958.472025758005</v>
      </c>
      <c r="AW1964" s="25">
        <f>Inventory[[#This Row],[UpprFn]]*Lookups!$B$87</f>
        <v>46219.588392551996</v>
      </c>
      <c r="AX1964" s="25">
        <f>Inventory[[#This Row],[AddFn]]*Lookups!$B$88</f>
        <v>0</v>
      </c>
      <c r="AY1964" s="25">
        <f>Inventory[[#This Row],[Bsmt]]*Lookups!$B$89</f>
        <v>26697.179836746</v>
      </c>
      <c r="AZ1964" s="25">
        <f>Inventory[[#This Row],[Fixtures]]*Lookups!$B$90</f>
        <v>37920.221052000001</v>
      </c>
      <c r="BA1964" s="25">
        <f>Inventory[[#This Row],[WdDeck]]*Lookups!$B$91</f>
        <v>0</v>
      </c>
      <c r="BB1964" s="25">
        <f>ROUND(Inventory[[#This Row],[25Det]],-2)</f>
        <v>9800</v>
      </c>
      <c r="BC1964" s="25">
        <f>ROUND(SUM(Inventory[[#This Row],[Mdl Qlty]:[Mdl WdDeck]])+Inventory[[#This Row],[Mdl Res Intercept]],-2)</f>
        <v>387900</v>
      </c>
      <c r="BD1964" s="25">
        <f>ROUND(Inventory[[#This Row],[Mdl Land Intercept]]+Inventory[[#This Row],[Mdl LnAcres]],-2)</f>
        <v>41900</v>
      </c>
      <c r="BE1964" s="25">
        <f>Inventory[[#This Row],[Unadj Res Value]]+Inventory[[#This Row],[Unadj Det Value]]+Inventory[[#This Row],[Unadj Land Value]]</f>
        <v>439600</v>
      </c>
      <c r="BF1964" s="36">
        <f>(Inventory[[#This Row],[Unadj Total Value]]-Inventory[[#This Row],[24Final]])/Inventory[[#This Row],[24Final]]</f>
        <v>0.10147832623402656</v>
      </c>
      <c r="BG1964" s="25">
        <f>VLOOKUP(Inventory[[#This Row],[Nbhd]],Lookups!$Q$2:$T$4,4,FALSE)</f>
        <v>0.99970000000000003</v>
      </c>
      <c r="BH1964" s="25">
        <f>VLOOKUP(Inventory[[#This Row],[Qlty]],Lookups!$O$7:$R$21,4,FALSE)</f>
        <v>1.0088999999999999</v>
      </c>
      <c r="BI1964" s="25">
        <f>VLOOKUP(Inventory[[#This Row],[Cnd]],Lookups!$T$7:$W$16,4,FALSE)</f>
        <v>0.99650000000000005</v>
      </c>
      <c r="BJ1964" s="25">
        <f>VLOOKUP(Inventory[[#This Row],[LivArea Range]],Lookups!$T$25:$W$37,4,FALSE)</f>
        <v>0.98919999999999997</v>
      </c>
      <c r="BK1964" s="25">
        <f>VLOOKUP(Inventory[[#This Row],[Decade]],Lookups!$O$25:$R$42,4,FALSE)</f>
        <v>1.0074000000000001</v>
      </c>
      <c r="BL1964" s="25">
        <f>Inventory[[#This Row],[Nbhd Adj]]*0.95</f>
        <v>0.94971499999999998</v>
      </c>
      <c r="BM1964" s="25">
        <f>Inventory[[#This Row],[Nbhd Adj]]*Inventory[[#This Row],[Quality Adj]]*Inventory[[#This Row],[Condition Adj]]*Inventory[[#This Row],[Living Area Adj]]*Inventory[[#This Row],[Decade Adj]]*0.95</f>
        <v>0.95149120146958555</v>
      </c>
      <c r="BN1964" s="25">
        <f>ROUND(SUM(Inventory[[#This Row],[Mdl Qlty]:[Mdl WdDeck]])+Inventory[[#This Row],[Mdl Res Intercept]]*Inventory[[#This Row],[Res Adj ]],-2)</f>
        <v>387900</v>
      </c>
      <c r="BO1964" s="25">
        <f>ROUND(Inventory[[#This Row],[25Det]]*Inventory[[#This Row],[Det/Nbhd Adj]],-2)</f>
        <v>9300</v>
      </c>
      <c r="BP1964" s="25">
        <f>Inventory[[#This Row],[Adjusted Res]]+Inventory[[#This Row],[Adj Det ]]</f>
        <v>397200</v>
      </c>
      <c r="BQ1964" s="25">
        <f>ROUND((Inventory[[#This Row],[Mdl Land Intercept]]+Inventory[[#This Row],[Mdl LnAcres]])*Inventory[[#This Row],[Det/Nbhd Adj]],-2)</f>
        <v>39800</v>
      </c>
      <c r="BR1964" s="25">
        <f>Inventory[[#This Row],[Adjusted Impr Total]]+Inventory[[#This Row],[Adjusted Land Total]]</f>
        <v>437000</v>
      </c>
      <c r="BS1964" s="36">
        <f>IFERROR((Inventory[[#This Row],[Adjusted Impr Total]]-Inventory[[#This Row],[24Bldg]])/Inventory[[#This Row],[24Bldg]],0)</f>
        <v>0.17723770005927683</v>
      </c>
      <c r="BT1964" s="36">
        <f>(Inventory[[#This Row],[Adjusted Land Total]]-Inventory[[#This Row],[24Lnd]])/Inventory[[#This Row],[24Lnd]]</f>
        <v>-0.35494327390599678</v>
      </c>
      <c r="BU1964" s="36">
        <f>(Inventory[[#This Row],[Adjusted Total]]-Inventory[[#This Row],[24Final]])/Inventory[[#This Row],[24Final]]</f>
        <v>9.4963668253570527E-2</v>
      </c>
    </row>
    <row r="1965" spans="1:73" x14ac:dyDescent="0.3">
      <c r="A1965" s="25">
        <v>2025</v>
      </c>
      <c r="B1965" s="26" t="s">
        <v>1154</v>
      </c>
      <c r="C1965" s="26">
        <f>LN(Inventory[[#This Row],[Acres]])</f>
        <v>-1.8971199848858813</v>
      </c>
      <c r="D1965" s="25">
        <v>0.15</v>
      </c>
      <c r="E1965" s="31"/>
      <c r="F1965" s="26" t="s">
        <v>537</v>
      </c>
      <c r="G1965" s="26" t="s">
        <v>126</v>
      </c>
      <c r="H1965" s="26" t="s">
        <v>349</v>
      </c>
      <c r="I1965" s="26" t="s">
        <v>538</v>
      </c>
      <c r="J1965" s="26" t="s">
        <v>539</v>
      </c>
      <c r="K1965" s="26" t="s">
        <v>269</v>
      </c>
      <c r="L1965" s="26" t="s">
        <v>351</v>
      </c>
      <c r="M1965" s="26" t="s">
        <v>303</v>
      </c>
      <c r="N1965" s="26">
        <v>100</v>
      </c>
      <c r="O1965" s="26">
        <f>2024-Inventory[[#This Row],[YrBlt]]</f>
        <v>99</v>
      </c>
      <c r="P1965" s="26">
        <f>2024-Inventory[[#This Row],[EffYr]]</f>
        <v>56</v>
      </c>
      <c r="Q1965" s="25">
        <v>1925</v>
      </c>
      <c r="R1965" s="25">
        <v>1968</v>
      </c>
      <c r="S1965" s="25">
        <v>994</v>
      </c>
      <c r="T1965" s="27"/>
      <c r="U1965" s="32">
        <v>331</v>
      </c>
      <c r="V1965" s="32">
        <f>Inventory[[#This Row],[Bsmt]]-Inventory[[#This Row],[FnBsmt]]</f>
        <v>31</v>
      </c>
      <c r="W1965" s="32">
        <v>300</v>
      </c>
      <c r="X1965" s="27"/>
      <c r="Y1965" s="27">
        <f>Inventory[[#This Row],[MainFn]]+Inventory[[#This Row],[UpprFn]]+Inventory[[#This Row],[FnBsmt]]+Inventory[[#This Row],[AddFn]]</f>
        <v>1294</v>
      </c>
      <c r="Z1965" s="27">
        <v>1500</v>
      </c>
      <c r="AA1965" s="25">
        <v>5</v>
      </c>
      <c r="AB1965" s="27"/>
      <c r="AC1965" s="27"/>
      <c r="AD1965" s="27"/>
      <c r="AE1965" s="27"/>
      <c r="AF1965" s="27"/>
      <c r="AG1965" s="27"/>
      <c r="AH1965" s="27"/>
      <c r="AI1965" s="25">
        <v>201822</v>
      </c>
      <c r="AJ1965" s="25">
        <v>133203</v>
      </c>
      <c r="AK1965" s="25">
        <v>8192</v>
      </c>
      <c r="AL1965" s="25">
        <v>292900</v>
      </c>
      <c r="AM1965" s="25">
        <v>48400</v>
      </c>
      <c r="AN1965" s="25">
        <v>244500</v>
      </c>
      <c r="AO1965" s="25">
        <v>0</v>
      </c>
      <c r="AP1965" s="25">
        <f>Lookups!$B$56*0</f>
        <v>0</v>
      </c>
      <c r="AQ1965" s="25">
        <f>Lookups!$B$56*1</f>
        <v>89850.625589999996</v>
      </c>
      <c r="AR1965" s="25">
        <f>Lookups!$B$57*Inventory[[#This Row],[LnAcres]]</f>
        <v>-60052.604136134301</v>
      </c>
      <c r="AS1965" s="25">
        <f>VLOOKUP(Inventory[[#This Row],[Qlty]],Lookups!$A$62:$E$75,2,FALSE)</f>
        <v>21557.329055999999</v>
      </c>
      <c r="AT1965" s="25">
        <f>VLOOKUP(Inventory[[#This Row],[Cnd]],Lookups!$A$76:$E$84,2,FALSE)</f>
        <v>197752.34721000001</v>
      </c>
      <c r="AU1965" s="25">
        <f>Inventory[[#This Row],[EffAge]]*Lookups!$B$85</f>
        <v>-12490.553628</v>
      </c>
      <c r="AV1965" s="25">
        <f>Inventory[[#This Row],[MainFn]]*Lookups!$B$86</f>
        <v>49112.217857738004</v>
      </c>
      <c r="AW1965" s="25">
        <f>Inventory[[#This Row],[UpprFn]]*Lookups!$B$87</f>
        <v>0</v>
      </c>
      <c r="AX1965" s="25">
        <f>Inventory[[#This Row],[AddFn]]*Lookups!$B$88</f>
        <v>0</v>
      </c>
      <c r="AY1965" s="25">
        <f>Inventory[[#This Row],[Bsmt]]*Lookups!$B$89</f>
        <v>9626.1073267569991</v>
      </c>
      <c r="AZ1965" s="25">
        <f>Inventory[[#This Row],[Fixtures]]*Lookups!$B$90</f>
        <v>18960.110526</v>
      </c>
      <c r="BA1965" s="25">
        <f>Inventory[[#This Row],[WdDeck]]*Lookups!$B$91</f>
        <v>0</v>
      </c>
      <c r="BB1965" s="25">
        <f>ROUND(Inventory[[#This Row],[25Det]],-2)</f>
        <v>8200</v>
      </c>
      <c r="BC1965" s="25">
        <f>ROUND(SUM(Inventory[[#This Row],[Mdl Qlty]:[Mdl WdDeck]])+Inventory[[#This Row],[Mdl Res Intercept]],-2)</f>
        <v>284500</v>
      </c>
      <c r="BD1965" s="25">
        <f>ROUND(Inventory[[#This Row],[Mdl Land Intercept]]+Inventory[[#This Row],[Mdl LnAcres]],-2)</f>
        <v>29800</v>
      </c>
      <c r="BE1965" s="25">
        <f>Inventory[[#This Row],[Unadj Res Value]]+Inventory[[#This Row],[Unadj Det Value]]+Inventory[[#This Row],[Unadj Land Value]]</f>
        <v>322500</v>
      </c>
      <c r="BF1965" s="36">
        <f>(Inventory[[#This Row],[Unadj Total Value]]-Inventory[[#This Row],[24Final]])/Inventory[[#This Row],[24Final]]</f>
        <v>0.10105838170023899</v>
      </c>
      <c r="BG1965" s="25">
        <f>VLOOKUP(Inventory[[#This Row],[Nbhd]],Lookups!$Q$2:$T$4,4,FALSE)</f>
        <v>0.99970000000000003</v>
      </c>
      <c r="BH1965" s="25">
        <f>VLOOKUP(Inventory[[#This Row],[Qlty]],Lookups!$O$7:$R$21,4,FALSE)</f>
        <v>1.0067999999999999</v>
      </c>
      <c r="BI1965" s="25">
        <f>VLOOKUP(Inventory[[#This Row],[Cnd]],Lookups!$T$7:$W$16,4,FALSE)</f>
        <v>0.99650000000000005</v>
      </c>
      <c r="BJ1965" s="25">
        <f>VLOOKUP(Inventory[[#This Row],[LivArea Range]],Lookups!$T$25:$W$37,4,FALSE)</f>
        <v>1.0157</v>
      </c>
      <c r="BK1965" s="25">
        <f>VLOOKUP(Inventory[[#This Row],[Decade]],Lookups!$O$25:$R$42,4,FALSE)</f>
        <v>1.0074000000000001</v>
      </c>
      <c r="BL1965" s="25">
        <f>Inventory[[#This Row],[Nbhd Adj]]*0.95</f>
        <v>0.94971499999999998</v>
      </c>
      <c r="BM1965" s="25">
        <f>Inventory[[#This Row],[Nbhd Adj]]*Inventory[[#This Row],[Quality Adj]]*Inventory[[#This Row],[Condition Adj]]*Inventory[[#This Row],[Living Area Adj]]*Inventory[[#This Row],[Decade Adj]]*0.95</f>
        <v>0.97494744680082823</v>
      </c>
      <c r="BN1965" s="25">
        <f>ROUND(SUM(Inventory[[#This Row],[Mdl Qlty]:[Mdl WdDeck]])+Inventory[[#This Row],[Mdl Res Intercept]]*Inventory[[#This Row],[Res Adj ]],-2)</f>
        <v>284500</v>
      </c>
      <c r="BO1965" s="25">
        <f>ROUND(Inventory[[#This Row],[25Det]]*Inventory[[#This Row],[Det/Nbhd Adj]],-2)</f>
        <v>7800</v>
      </c>
      <c r="BP1965" s="25">
        <f>Inventory[[#This Row],[Adjusted Res]]+Inventory[[#This Row],[Adj Det ]]</f>
        <v>292300</v>
      </c>
      <c r="BQ1965" s="25">
        <f>ROUND((Inventory[[#This Row],[Mdl Land Intercept]]+Inventory[[#This Row],[Mdl LnAcres]])*Inventory[[#This Row],[Det/Nbhd Adj]],-2)</f>
        <v>28300</v>
      </c>
      <c r="BR1965" s="25">
        <f>Inventory[[#This Row],[Adjusted Impr Total]]+Inventory[[#This Row],[Adjusted Land Total]]</f>
        <v>320600</v>
      </c>
      <c r="BS1965" s="36">
        <f>IFERROR((Inventory[[#This Row],[Adjusted Impr Total]]-Inventory[[#This Row],[24Bldg]])/Inventory[[#This Row],[24Bldg]],0)</f>
        <v>0.19550102249488752</v>
      </c>
      <c r="BT1965" s="36">
        <f>(Inventory[[#This Row],[Adjusted Land Total]]-Inventory[[#This Row],[24Lnd]])/Inventory[[#This Row],[24Lnd]]</f>
        <v>-0.41528925619834711</v>
      </c>
      <c r="BU1965" s="36">
        <f>(Inventory[[#This Row],[Adjusted Total]]-Inventory[[#This Row],[24Final]])/Inventory[[#This Row],[24Final]]</f>
        <v>9.4571526118129051E-2</v>
      </c>
    </row>
    <row r="1966" spans="1:73" x14ac:dyDescent="0.3">
      <c r="A1966" s="25">
        <v>2025</v>
      </c>
      <c r="B1966" s="26" t="s">
        <v>2679</v>
      </c>
      <c r="C1966" s="26">
        <f>LN(Inventory[[#This Row],[Acres]])</f>
        <v>-1.5606477482646683</v>
      </c>
      <c r="D1966" s="25">
        <v>0.21</v>
      </c>
      <c r="E1966" s="25">
        <v>9355</v>
      </c>
      <c r="F1966" s="26" t="s">
        <v>537</v>
      </c>
      <c r="G1966" s="26" t="s">
        <v>126</v>
      </c>
      <c r="H1966" s="26" t="s">
        <v>349</v>
      </c>
      <c r="I1966" s="26" t="s">
        <v>538</v>
      </c>
      <c r="J1966" s="26" t="s">
        <v>539</v>
      </c>
      <c r="K1966" s="26" t="s">
        <v>269</v>
      </c>
      <c r="L1966" s="26" t="s">
        <v>351</v>
      </c>
      <c r="M1966" s="26" t="s">
        <v>303</v>
      </c>
      <c r="N1966" s="26">
        <v>100</v>
      </c>
      <c r="O1966" s="26">
        <f>2024-Inventory[[#This Row],[YrBlt]]</f>
        <v>99</v>
      </c>
      <c r="P1966" s="26">
        <f>2024-Inventory[[#This Row],[EffYr]]</f>
        <v>56</v>
      </c>
      <c r="Q1966" s="25">
        <v>1925</v>
      </c>
      <c r="R1966" s="25">
        <v>1968</v>
      </c>
      <c r="S1966" s="25">
        <v>1028</v>
      </c>
      <c r="T1966" s="27"/>
      <c r="U1966" s="25">
        <v>515</v>
      </c>
      <c r="V1966" s="25">
        <f>Inventory[[#This Row],[Bsmt]]-Inventory[[#This Row],[FnBsmt]]</f>
        <v>0</v>
      </c>
      <c r="W1966" s="25">
        <v>515</v>
      </c>
      <c r="X1966" s="27"/>
      <c r="Y1966" s="27">
        <f>Inventory[[#This Row],[MainFn]]+Inventory[[#This Row],[UpprFn]]+Inventory[[#This Row],[FnBsmt]]+Inventory[[#This Row],[AddFn]]</f>
        <v>1543</v>
      </c>
      <c r="Z1966" s="27">
        <v>2000</v>
      </c>
      <c r="AA1966" s="25">
        <v>5</v>
      </c>
      <c r="AB1966" s="27"/>
      <c r="AC1966" s="27"/>
      <c r="AD1966" s="32">
        <v>160</v>
      </c>
      <c r="AE1966" s="27"/>
      <c r="AF1966" s="27"/>
      <c r="AG1966" s="27"/>
      <c r="AH1966" s="27"/>
      <c r="AI1966" s="25">
        <v>225799</v>
      </c>
      <c r="AJ1966" s="25">
        <v>149027</v>
      </c>
      <c r="AK1966" s="25">
        <v>6227</v>
      </c>
      <c r="AL1966" s="25">
        <v>312100</v>
      </c>
      <c r="AM1966" s="25">
        <v>60100</v>
      </c>
      <c r="AN1966" s="25">
        <v>252000</v>
      </c>
      <c r="AO1966" s="25">
        <v>0</v>
      </c>
      <c r="AP1966" s="25">
        <f>Lookups!$B$56*0</f>
        <v>0</v>
      </c>
      <c r="AQ1966" s="25">
        <f>Lookups!$B$56*1</f>
        <v>89850.625589999996</v>
      </c>
      <c r="AR1966" s="25">
        <f>Lookups!$B$57*Inventory[[#This Row],[LnAcres]]</f>
        <v>-49401.70477837498</v>
      </c>
      <c r="AS1966" s="25">
        <f>VLOOKUP(Inventory[[#This Row],[Qlty]],Lookups!$A$62:$E$75,2,FALSE)</f>
        <v>21557.329055999999</v>
      </c>
      <c r="AT1966" s="25">
        <f>VLOOKUP(Inventory[[#This Row],[Cnd]],Lookups!$A$76:$E$84,2,FALSE)</f>
        <v>197752.34721000001</v>
      </c>
      <c r="AU1966" s="25">
        <f>Inventory[[#This Row],[EffAge]]*Lookups!$B$85</f>
        <v>-12490.553628</v>
      </c>
      <c r="AV1966" s="25">
        <f>Inventory[[#This Row],[MainFn]]*Lookups!$B$86</f>
        <v>50792.112633556004</v>
      </c>
      <c r="AW1966" s="25">
        <f>Inventory[[#This Row],[UpprFn]]*Lookups!$B$87</f>
        <v>0</v>
      </c>
      <c r="AX1966" s="25">
        <f>Inventory[[#This Row],[AddFn]]*Lookups!$B$88</f>
        <v>0</v>
      </c>
      <c r="AY1966" s="25">
        <f>Inventory[[#This Row],[Bsmt]]*Lookups!$B$89</f>
        <v>14977.176052204999</v>
      </c>
      <c r="AZ1966" s="25">
        <f>Inventory[[#This Row],[Fixtures]]*Lookups!$B$90</f>
        <v>18960.110526</v>
      </c>
      <c r="BA1966" s="25">
        <f>Inventory[[#This Row],[WdDeck]]*Lookups!$B$91</f>
        <v>5327.2824441600005</v>
      </c>
      <c r="BB1966" s="25">
        <f>ROUND(Inventory[[#This Row],[25Det]],-2)</f>
        <v>6200</v>
      </c>
      <c r="BC1966" s="25">
        <f>ROUND(SUM(Inventory[[#This Row],[Mdl Qlty]:[Mdl WdDeck]])+Inventory[[#This Row],[Mdl Res Intercept]],-2)</f>
        <v>296900</v>
      </c>
      <c r="BD1966" s="25">
        <f>ROUND(Inventory[[#This Row],[Mdl Land Intercept]]+Inventory[[#This Row],[Mdl LnAcres]],-2)</f>
        <v>40400</v>
      </c>
      <c r="BE1966" s="25">
        <f>Inventory[[#This Row],[Unadj Res Value]]+Inventory[[#This Row],[Unadj Det Value]]+Inventory[[#This Row],[Unadj Land Value]]</f>
        <v>343500</v>
      </c>
      <c r="BF1966" s="36">
        <f>(Inventory[[#This Row],[Unadj Total Value]]-Inventory[[#This Row],[24Final]])/Inventory[[#This Row],[24Final]]</f>
        <v>0.10060877923742391</v>
      </c>
      <c r="BG1966" s="25">
        <f>VLOOKUP(Inventory[[#This Row],[Nbhd]],Lookups!$Q$2:$T$4,4,FALSE)</f>
        <v>0.99970000000000003</v>
      </c>
      <c r="BH1966" s="25">
        <f>VLOOKUP(Inventory[[#This Row],[Qlty]],Lookups!$O$7:$R$21,4,FALSE)</f>
        <v>1.0067999999999999</v>
      </c>
      <c r="BI1966" s="25">
        <f>VLOOKUP(Inventory[[#This Row],[Cnd]],Lookups!$T$7:$W$16,4,FALSE)</f>
        <v>0.99650000000000005</v>
      </c>
      <c r="BJ1966" s="25">
        <f>VLOOKUP(Inventory[[#This Row],[LivArea Range]],Lookups!$T$25:$W$37,4,FALSE)</f>
        <v>1.0093000000000001</v>
      </c>
      <c r="BK1966" s="25">
        <f>VLOOKUP(Inventory[[#This Row],[Decade]],Lookups!$O$25:$R$42,4,FALSE)</f>
        <v>1.0074000000000001</v>
      </c>
      <c r="BL1966" s="25">
        <f>Inventory[[#This Row],[Nbhd Adj]]*0.95</f>
        <v>0.94971499999999998</v>
      </c>
      <c r="BM1966" s="25">
        <f>Inventory[[#This Row],[Nbhd Adj]]*Inventory[[#This Row],[Quality Adj]]*Inventory[[#This Row],[Condition Adj]]*Inventory[[#This Row],[Living Area Adj]]*Inventory[[#This Row],[Decade Adj]]*0.95</f>
        <v>0.96880423161964746</v>
      </c>
      <c r="BN1966" s="25">
        <f>ROUND(SUM(Inventory[[#This Row],[Mdl Qlty]:[Mdl WdDeck]])+Inventory[[#This Row],[Mdl Res Intercept]]*Inventory[[#This Row],[Res Adj ]],-2)</f>
        <v>296900</v>
      </c>
      <c r="BO1966" s="25">
        <f>ROUND(Inventory[[#This Row],[25Det]]*Inventory[[#This Row],[Det/Nbhd Adj]],-2)</f>
        <v>5900</v>
      </c>
      <c r="BP1966" s="25">
        <f>Inventory[[#This Row],[Adjusted Res]]+Inventory[[#This Row],[Adj Det ]]</f>
        <v>302800</v>
      </c>
      <c r="BQ1966" s="25">
        <f>ROUND((Inventory[[#This Row],[Mdl Land Intercept]]+Inventory[[#This Row],[Mdl LnAcres]])*Inventory[[#This Row],[Det/Nbhd Adj]],-2)</f>
        <v>38400</v>
      </c>
      <c r="BR1966" s="25">
        <f>Inventory[[#This Row],[Adjusted Impr Total]]+Inventory[[#This Row],[Adjusted Land Total]]</f>
        <v>341200</v>
      </c>
      <c r="BS1966" s="36">
        <f>IFERROR((Inventory[[#This Row],[Adjusted Impr Total]]-Inventory[[#This Row],[24Bldg]])/Inventory[[#This Row],[24Bldg]],0)</f>
        <v>0.20158730158730159</v>
      </c>
      <c r="BT1966" s="36">
        <f>(Inventory[[#This Row],[Adjusted Land Total]]-Inventory[[#This Row],[24Lnd]])/Inventory[[#This Row],[24Lnd]]</f>
        <v>-0.36106489184692181</v>
      </c>
      <c r="BU1966" s="36">
        <f>(Inventory[[#This Row],[Adjusted Total]]-Inventory[[#This Row],[24Final]])/Inventory[[#This Row],[24Final]]</f>
        <v>9.3239346363345077E-2</v>
      </c>
    </row>
    <row r="1967" spans="1:73" x14ac:dyDescent="0.3">
      <c r="A1967" s="25">
        <v>2025</v>
      </c>
      <c r="B1967" s="26" t="s">
        <v>924</v>
      </c>
      <c r="C1967" s="26">
        <f>LN(Inventory[[#This Row],[Acres]])</f>
        <v>-0.75502258427803282</v>
      </c>
      <c r="D1967" s="31">
        <f>ROUND(Inventory[[#This Row],[Sqft]]/43560,2)</f>
        <v>0.47</v>
      </c>
      <c r="E1967" s="25">
        <v>20432</v>
      </c>
      <c r="F1967" s="26" t="s">
        <v>537</v>
      </c>
      <c r="G1967" s="26" t="s">
        <v>126</v>
      </c>
      <c r="H1967" s="26" t="s">
        <v>349</v>
      </c>
      <c r="I1967" s="26" t="s">
        <v>538</v>
      </c>
      <c r="J1967" s="26" t="s">
        <v>539</v>
      </c>
      <c r="K1967" s="26" t="s">
        <v>269</v>
      </c>
      <c r="L1967" s="26" t="s">
        <v>302</v>
      </c>
      <c r="M1967" s="26" t="s">
        <v>303</v>
      </c>
      <c r="N1967" s="26">
        <v>100</v>
      </c>
      <c r="O1967" s="26">
        <f>2024-Inventory[[#This Row],[YrBlt]]</f>
        <v>99</v>
      </c>
      <c r="P1967" s="26">
        <f>2024-Inventory[[#This Row],[EffYr]]</f>
        <v>56</v>
      </c>
      <c r="Q1967" s="25">
        <v>1925</v>
      </c>
      <c r="R1967" s="25">
        <v>1968</v>
      </c>
      <c r="S1967" s="25">
        <v>1670</v>
      </c>
      <c r="T1967" s="32">
        <v>808</v>
      </c>
      <c r="U1967" s="32">
        <v>842</v>
      </c>
      <c r="V1967" s="32">
        <f>Inventory[[#This Row],[Bsmt]]-Inventory[[#This Row],[FnBsmt]]</f>
        <v>742</v>
      </c>
      <c r="W1967" s="32">
        <v>100</v>
      </c>
      <c r="X1967" s="27"/>
      <c r="Y1967" s="27">
        <f>Inventory[[#This Row],[MainFn]]+Inventory[[#This Row],[UpprFn]]+Inventory[[#This Row],[FnBsmt]]+Inventory[[#This Row],[AddFn]]</f>
        <v>2578</v>
      </c>
      <c r="Z1967" s="27">
        <v>3000</v>
      </c>
      <c r="AA1967" s="25">
        <v>10</v>
      </c>
      <c r="AB1967" s="27"/>
      <c r="AC1967" s="27"/>
      <c r="AD1967" s="25">
        <v>254</v>
      </c>
      <c r="AE1967" s="27"/>
      <c r="AF1967" s="27"/>
      <c r="AG1967" s="27"/>
      <c r="AH1967" s="27"/>
      <c r="AI1967" s="25">
        <v>460749</v>
      </c>
      <c r="AJ1967" s="25">
        <v>304094</v>
      </c>
      <c r="AK1967" s="25">
        <v>67828</v>
      </c>
      <c r="AL1967" s="25">
        <v>486300</v>
      </c>
      <c r="AM1967" s="25">
        <v>88200</v>
      </c>
      <c r="AN1967" s="25">
        <v>398100</v>
      </c>
      <c r="AO1967" s="25">
        <v>0</v>
      </c>
      <c r="AP1967" s="25">
        <f>Lookups!$B$56*0</f>
        <v>0</v>
      </c>
      <c r="AQ1967" s="25">
        <f>Lookups!$B$56*1</f>
        <v>89850.625589999996</v>
      </c>
      <c r="AR1967" s="25">
        <f>Lookups!$B$57*Inventory[[#This Row],[LnAcres]]</f>
        <v>-23899.949781097919</v>
      </c>
      <c r="AS1967" s="25">
        <f>VLOOKUP(Inventory[[#This Row],[Qlty]],Lookups!$A$62:$E$75,2,FALSE)</f>
        <v>29814.093161000001</v>
      </c>
      <c r="AT1967" s="25">
        <f>VLOOKUP(Inventory[[#This Row],[Cnd]],Lookups!$A$76:$E$84,2,FALSE)</f>
        <v>197752.34721000001</v>
      </c>
      <c r="AU1967" s="25">
        <f>Inventory[[#This Row],[EffAge]]*Lookups!$B$85</f>
        <v>-12490.553628</v>
      </c>
      <c r="AV1967" s="25">
        <f>Inventory[[#This Row],[MainFn]]*Lookups!$B$86</f>
        <v>82512.478694589998</v>
      </c>
      <c r="AW1967" s="25">
        <f>Inventory[[#This Row],[UpprFn]]*Lookups!$B$87</f>
        <v>36187.429671687998</v>
      </c>
      <c r="AX1967" s="25">
        <f>Inventory[[#This Row],[AddFn]]*Lookups!$B$88</f>
        <v>0</v>
      </c>
      <c r="AY1967" s="25">
        <f>Inventory[[#This Row],[Bsmt]]*Lookups!$B$89</f>
        <v>24486.955797973998</v>
      </c>
      <c r="AZ1967" s="25">
        <f>Inventory[[#This Row],[Fixtures]]*Lookups!$B$90</f>
        <v>37920.221052000001</v>
      </c>
      <c r="BA1967" s="25">
        <f>Inventory[[#This Row],[WdDeck]]*Lookups!$B$91</f>
        <v>8457.0608801040016</v>
      </c>
      <c r="BB1967" s="25">
        <f>ROUND(Inventory[[#This Row],[25Det]],-2)</f>
        <v>67800</v>
      </c>
      <c r="BC1967" s="25">
        <f>ROUND(SUM(Inventory[[#This Row],[Mdl Qlty]:[Mdl WdDeck]])+Inventory[[#This Row],[Mdl Res Intercept]],-2)</f>
        <v>404600</v>
      </c>
      <c r="BD1967" s="25">
        <f>ROUND(Inventory[[#This Row],[Mdl Land Intercept]]+Inventory[[#This Row],[Mdl LnAcres]],-2)</f>
        <v>66000</v>
      </c>
      <c r="BE1967" s="25">
        <f>Inventory[[#This Row],[Unadj Res Value]]+Inventory[[#This Row],[Unadj Det Value]]+Inventory[[#This Row],[Unadj Land Value]]</f>
        <v>538400</v>
      </c>
      <c r="BF1967" s="36">
        <f>(Inventory[[#This Row],[Unadj Total Value]]-Inventory[[#This Row],[24Final]])/Inventory[[#This Row],[24Final]]</f>
        <v>0.10713551305778327</v>
      </c>
      <c r="BG1967" s="25">
        <f>VLOOKUP(Inventory[[#This Row],[Nbhd]],Lookups!$Q$2:$T$4,4,FALSE)</f>
        <v>0.99970000000000003</v>
      </c>
      <c r="BH1967" s="25">
        <f>VLOOKUP(Inventory[[#This Row],[Qlty]],Lookups!$O$7:$R$21,4,FALSE)</f>
        <v>1.0088999999999999</v>
      </c>
      <c r="BI1967" s="25">
        <f>VLOOKUP(Inventory[[#This Row],[Cnd]],Lookups!$T$7:$W$16,4,FALSE)</f>
        <v>0.99650000000000005</v>
      </c>
      <c r="BJ1967" s="25">
        <f>VLOOKUP(Inventory[[#This Row],[LivArea Range]],Lookups!$T$25:$W$37,4,FALSE)</f>
        <v>0.96179999999999999</v>
      </c>
      <c r="BK1967" s="25">
        <f>VLOOKUP(Inventory[[#This Row],[Decade]],Lookups!$O$25:$R$42,4,FALSE)</f>
        <v>1.0074000000000001</v>
      </c>
      <c r="BL1967" s="25">
        <f>Inventory[[#This Row],[Nbhd Adj]]*0.95</f>
        <v>0.94971499999999998</v>
      </c>
      <c r="BM1967" s="25">
        <f>Inventory[[#This Row],[Nbhd Adj]]*Inventory[[#This Row],[Quality Adj]]*Inventory[[#This Row],[Condition Adj]]*Inventory[[#This Row],[Living Area Adj]]*Inventory[[#This Row],[Decade Adj]]*0.95</f>
        <v>0.92513570316765814</v>
      </c>
      <c r="BN1967" s="25">
        <f>ROUND(SUM(Inventory[[#This Row],[Mdl Qlty]:[Mdl WdDeck]])+Inventory[[#This Row],[Mdl Res Intercept]]*Inventory[[#This Row],[Res Adj ]],-2)</f>
        <v>404600</v>
      </c>
      <c r="BO1967" s="25">
        <f>ROUND(Inventory[[#This Row],[25Det]]*Inventory[[#This Row],[Det/Nbhd Adj]],-2)</f>
        <v>64400</v>
      </c>
      <c r="BP1967" s="25">
        <f>Inventory[[#This Row],[Adjusted Res]]+Inventory[[#This Row],[Adj Det ]]</f>
        <v>469000</v>
      </c>
      <c r="BQ1967" s="25">
        <f>ROUND((Inventory[[#This Row],[Mdl Land Intercept]]+Inventory[[#This Row],[Mdl LnAcres]])*Inventory[[#This Row],[Det/Nbhd Adj]],-2)</f>
        <v>62600</v>
      </c>
      <c r="BR1967" s="25">
        <f>Inventory[[#This Row],[Adjusted Impr Total]]+Inventory[[#This Row],[Adjusted Land Total]]</f>
        <v>531600</v>
      </c>
      <c r="BS1967" s="36">
        <f>IFERROR((Inventory[[#This Row],[Adjusted Impr Total]]-Inventory[[#This Row],[24Bldg]])/Inventory[[#This Row],[24Bldg]],0)</f>
        <v>0.17809595579000251</v>
      </c>
      <c r="BT1967" s="36">
        <f>(Inventory[[#This Row],[Adjusted Land Total]]-Inventory[[#This Row],[24Lnd]])/Inventory[[#This Row],[24Lnd]]</f>
        <v>-0.29024943310657597</v>
      </c>
      <c r="BU1967" s="36">
        <f>(Inventory[[#This Row],[Adjusted Total]]-Inventory[[#This Row],[24Final]])/Inventory[[#This Row],[24Final]]</f>
        <v>9.3152375077112895E-2</v>
      </c>
    </row>
    <row r="1968" spans="1:73" x14ac:dyDescent="0.3">
      <c r="A1968" s="25">
        <v>2025</v>
      </c>
      <c r="B1968" s="26" t="s">
        <v>1291</v>
      </c>
      <c r="C1968" s="26">
        <f>LN(Inventory[[#This Row],[Acres]])</f>
        <v>-1.8971199848858813</v>
      </c>
      <c r="D1968" s="25">
        <v>0.15</v>
      </c>
      <c r="E1968" s="25">
        <v>6480</v>
      </c>
      <c r="F1968" s="26" t="s">
        <v>537</v>
      </c>
      <c r="G1968" s="26" t="s">
        <v>126</v>
      </c>
      <c r="H1968" s="26" t="s">
        <v>349</v>
      </c>
      <c r="I1968" s="26" t="s">
        <v>538</v>
      </c>
      <c r="J1968" s="26" t="s">
        <v>638</v>
      </c>
      <c r="K1968" s="26" t="s">
        <v>242</v>
      </c>
      <c r="L1968" s="26" t="s">
        <v>302</v>
      </c>
      <c r="M1968" s="26" t="s">
        <v>323</v>
      </c>
      <c r="N1968" s="26">
        <v>100</v>
      </c>
      <c r="O1968" s="26">
        <f>2024-Inventory[[#This Row],[YrBlt]]</f>
        <v>99</v>
      </c>
      <c r="P1968" s="26">
        <f>2024-Inventory[[#This Row],[EffYr]]</f>
        <v>56</v>
      </c>
      <c r="Q1968" s="25">
        <v>1925</v>
      </c>
      <c r="R1968" s="25">
        <v>1968</v>
      </c>
      <c r="S1968" s="25">
        <v>944</v>
      </c>
      <c r="T1968" s="31"/>
      <c r="U1968" s="25">
        <v>944</v>
      </c>
      <c r="V1968" s="32">
        <f>Inventory[[#This Row],[Bsmt]]-Inventory[[#This Row],[FnBsmt]]</f>
        <v>283</v>
      </c>
      <c r="W1968" s="32">
        <v>661</v>
      </c>
      <c r="X1968" s="27"/>
      <c r="Y1968" s="27">
        <f>Inventory[[#This Row],[MainFn]]+Inventory[[#This Row],[UpprFn]]+Inventory[[#This Row],[FnBsmt]]+Inventory[[#This Row],[AddFn]]</f>
        <v>1605</v>
      </c>
      <c r="Z1968" s="27">
        <v>2000</v>
      </c>
      <c r="AA1968" s="25">
        <v>8</v>
      </c>
      <c r="AB1968" s="27"/>
      <c r="AC1968" s="32">
        <v>374</v>
      </c>
      <c r="AD1968" s="32">
        <v>406</v>
      </c>
      <c r="AE1968" s="27"/>
      <c r="AF1968" s="27"/>
      <c r="AG1968" s="27"/>
      <c r="AH1968" s="27"/>
      <c r="AI1968" s="25">
        <v>296697</v>
      </c>
      <c r="AJ1968" s="25">
        <v>189886</v>
      </c>
      <c r="AK1968" s="25">
        <v>0</v>
      </c>
      <c r="AL1968" s="25">
        <v>296400</v>
      </c>
      <c r="AM1968" s="25">
        <v>48400</v>
      </c>
      <c r="AN1968" s="25">
        <v>248000</v>
      </c>
      <c r="AO1968" s="25">
        <v>0</v>
      </c>
      <c r="AP1968" s="25">
        <f>Lookups!$B$56*0</f>
        <v>0</v>
      </c>
      <c r="AQ1968" s="25">
        <f>Lookups!$B$56*1</f>
        <v>89850.625589999996</v>
      </c>
      <c r="AR1968" s="25">
        <f>Lookups!$B$57*Inventory[[#This Row],[LnAcres]]</f>
        <v>-60052.604136134301</v>
      </c>
      <c r="AS1968" s="25">
        <f>VLOOKUP(Inventory[[#This Row],[Qlty]],Lookups!$A$62:$E$75,2,FALSE)</f>
        <v>29814.093161000001</v>
      </c>
      <c r="AT1968" s="25">
        <f>VLOOKUP(Inventory[[#This Row],[Cnd]],Lookups!$A$76:$E$84,2,FALSE)</f>
        <v>160472.20319</v>
      </c>
      <c r="AU1968" s="25">
        <f>Inventory[[#This Row],[EffAge]]*Lookups!$B$85</f>
        <v>-12490.553628</v>
      </c>
      <c r="AV1968" s="25">
        <f>Inventory[[#This Row],[MainFn]]*Lookups!$B$86</f>
        <v>46641.784363888</v>
      </c>
      <c r="AW1968" s="25">
        <f>Inventory[[#This Row],[UpprFn]]*Lookups!$B$87</f>
        <v>0</v>
      </c>
      <c r="AX1968" s="25">
        <f>Inventory[[#This Row],[AddFn]]*Lookups!$B$88</f>
        <v>0</v>
      </c>
      <c r="AY1968" s="25">
        <f>Inventory[[#This Row],[Bsmt]]*Lookups!$B$89</f>
        <v>27453.309113167998</v>
      </c>
      <c r="AZ1968" s="25">
        <f>Inventory[[#This Row],[Fixtures]]*Lookups!$B$90</f>
        <v>30336.176841600001</v>
      </c>
      <c r="BA1968" s="25">
        <f>Inventory[[#This Row],[WdDeck]]*Lookups!$B$91</f>
        <v>13517.979202056002</v>
      </c>
      <c r="BB1968" s="25">
        <f>ROUND(Inventory[[#This Row],[25Det]],-2)</f>
        <v>0</v>
      </c>
      <c r="BC1968" s="25">
        <f>ROUND(SUM(Inventory[[#This Row],[Mdl Qlty]:[Mdl WdDeck]])+Inventory[[#This Row],[Mdl Res Intercept]],-2)</f>
        <v>295700</v>
      </c>
      <c r="BD1968" s="25">
        <f>ROUND(Inventory[[#This Row],[Mdl Land Intercept]]+Inventory[[#This Row],[Mdl LnAcres]],-2)</f>
        <v>29800</v>
      </c>
      <c r="BE1968" s="25">
        <f>Inventory[[#This Row],[Unadj Res Value]]+Inventory[[#This Row],[Unadj Det Value]]+Inventory[[#This Row],[Unadj Land Value]]</f>
        <v>325500</v>
      </c>
      <c r="BF1968" s="36">
        <f>(Inventory[[#This Row],[Unadj Total Value]]-Inventory[[#This Row],[24Final]])/Inventory[[#This Row],[24Final]]</f>
        <v>9.8178137651821859E-2</v>
      </c>
      <c r="BG1968" s="25">
        <f>VLOOKUP(Inventory[[#This Row],[Nbhd]],Lookups!$Q$2:$T$4,4,FALSE)</f>
        <v>0.99970000000000003</v>
      </c>
      <c r="BH1968" s="25">
        <f>VLOOKUP(Inventory[[#This Row],[Qlty]],Lookups!$O$7:$R$21,4,FALSE)</f>
        <v>1.0088999999999999</v>
      </c>
      <c r="BI1968" s="25">
        <f>VLOOKUP(Inventory[[#This Row],[Cnd]],Lookups!$T$7:$W$16,4,FALSE)</f>
        <v>0.99729999999999996</v>
      </c>
      <c r="BJ1968" s="25">
        <f>VLOOKUP(Inventory[[#This Row],[LivArea Range]],Lookups!$T$25:$W$37,4,FALSE)</f>
        <v>1.0093000000000001</v>
      </c>
      <c r="BK1968" s="25">
        <f>VLOOKUP(Inventory[[#This Row],[Decade]],Lookups!$O$25:$R$42,4,FALSE)</f>
        <v>1.0074000000000001</v>
      </c>
      <c r="BL1968" s="25">
        <f>Inventory[[#This Row],[Nbhd Adj]]*0.95</f>
        <v>0.94971499999999998</v>
      </c>
      <c r="BM1968" s="25">
        <f>Inventory[[#This Row],[Nbhd Adj]]*Inventory[[#This Row],[Quality Adj]]*Inventory[[#This Row],[Condition Adj]]*Inventory[[#This Row],[Living Area Adj]]*Inventory[[#This Row],[Decade Adj]]*0.95</f>
        <v>0.97160436726197974</v>
      </c>
      <c r="BN1968" s="25">
        <f>ROUND(SUM(Inventory[[#This Row],[Mdl Qlty]:[Mdl WdDeck]])+Inventory[[#This Row],[Mdl Res Intercept]]*Inventory[[#This Row],[Res Adj ]],-2)</f>
        <v>295700</v>
      </c>
      <c r="BO1968" s="25">
        <f>ROUND(Inventory[[#This Row],[25Det]]*Inventory[[#This Row],[Det/Nbhd Adj]],-2)</f>
        <v>0</v>
      </c>
      <c r="BP1968" s="25">
        <f>Inventory[[#This Row],[Adjusted Res]]+Inventory[[#This Row],[Adj Det ]]</f>
        <v>295700</v>
      </c>
      <c r="BQ1968" s="25">
        <f>ROUND((Inventory[[#This Row],[Mdl Land Intercept]]+Inventory[[#This Row],[Mdl LnAcres]])*Inventory[[#This Row],[Det/Nbhd Adj]],-2)</f>
        <v>28300</v>
      </c>
      <c r="BR1968" s="25">
        <f>Inventory[[#This Row],[Adjusted Impr Total]]+Inventory[[#This Row],[Adjusted Land Total]]</f>
        <v>324000</v>
      </c>
      <c r="BS1968" s="36">
        <f>IFERROR((Inventory[[#This Row],[Adjusted Impr Total]]-Inventory[[#This Row],[24Bldg]])/Inventory[[#This Row],[24Bldg]],0)</f>
        <v>0.19233870967741937</v>
      </c>
      <c r="BT1968" s="36">
        <f>(Inventory[[#This Row],[Adjusted Land Total]]-Inventory[[#This Row],[24Lnd]])/Inventory[[#This Row],[24Lnd]]</f>
        <v>-0.41528925619834711</v>
      </c>
      <c r="BU1968" s="36">
        <f>(Inventory[[#This Row],[Adjusted Total]]-Inventory[[#This Row],[24Final]])/Inventory[[#This Row],[24Final]]</f>
        <v>9.3117408906882596E-2</v>
      </c>
    </row>
    <row r="1969" spans="1:73" x14ac:dyDescent="0.3">
      <c r="A1969" s="25">
        <v>2025</v>
      </c>
      <c r="B1969" s="26" t="s">
        <v>2162</v>
      </c>
      <c r="C1969" s="26">
        <f>LN(Inventory[[#This Row],[Acres]])</f>
        <v>-1.8971199848858813</v>
      </c>
      <c r="D1969" s="25">
        <v>0.15</v>
      </c>
      <c r="E1969" s="31"/>
      <c r="F1969" s="26" t="s">
        <v>537</v>
      </c>
      <c r="G1969" s="26" t="s">
        <v>126</v>
      </c>
      <c r="H1969" s="26" t="s">
        <v>349</v>
      </c>
      <c r="I1969" s="26" t="s">
        <v>538</v>
      </c>
      <c r="J1969" s="26" t="s">
        <v>539</v>
      </c>
      <c r="K1969" s="26" t="s">
        <v>269</v>
      </c>
      <c r="L1969" s="26" t="s">
        <v>351</v>
      </c>
      <c r="M1969" s="26" t="s">
        <v>323</v>
      </c>
      <c r="N1969" s="26">
        <v>100</v>
      </c>
      <c r="O1969" s="26">
        <f>2024-Inventory[[#This Row],[YrBlt]]</f>
        <v>99</v>
      </c>
      <c r="P1969" s="26">
        <f>2024-Inventory[[#This Row],[EffYr]]</f>
        <v>56</v>
      </c>
      <c r="Q1969" s="25">
        <v>1925</v>
      </c>
      <c r="R1969" s="25">
        <v>1968</v>
      </c>
      <c r="S1969" s="25">
        <v>974</v>
      </c>
      <c r="T1969" s="27"/>
      <c r="U1969" s="25">
        <v>974</v>
      </c>
      <c r="V1969" s="32">
        <f>Inventory[[#This Row],[Bsmt]]-Inventory[[#This Row],[FnBsmt]]</f>
        <v>974</v>
      </c>
      <c r="W1969" s="27"/>
      <c r="X1969" s="27"/>
      <c r="Y1969" s="27">
        <f>Inventory[[#This Row],[MainFn]]+Inventory[[#This Row],[UpprFn]]+Inventory[[#This Row],[FnBsmt]]+Inventory[[#This Row],[AddFn]]</f>
        <v>974</v>
      </c>
      <c r="Z1969" s="27">
        <v>1000</v>
      </c>
      <c r="AA1969" s="25">
        <v>5</v>
      </c>
      <c r="AB1969" s="27"/>
      <c r="AC1969" s="27"/>
      <c r="AD1969" s="27"/>
      <c r="AE1969" s="27"/>
      <c r="AF1969" s="27"/>
      <c r="AG1969" s="27"/>
      <c r="AH1969" s="27"/>
      <c r="AI1969" s="25">
        <v>196280</v>
      </c>
      <c r="AJ1969" s="25">
        <v>125619</v>
      </c>
      <c r="AK1969" s="25">
        <v>6258</v>
      </c>
      <c r="AL1969" s="25">
        <v>274000</v>
      </c>
      <c r="AM1969" s="25">
        <v>48400</v>
      </c>
      <c r="AN1969" s="25">
        <v>225600</v>
      </c>
      <c r="AO1969" s="25">
        <v>0</v>
      </c>
      <c r="AP1969" s="25">
        <f>Lookups!$B$56*0</f>
        <v>0</v>
      </c>
      <c r="AQ1969" s="25">
        <f>Lookups!$B$56*1</f>
        <v>89850.625589999996</v>
      </c>
      <c r="AR1969" s="25">
        <f>Lookups!$B$57*Inventory[[#This Row],[LnAcres]]</f>
        <v>-60052.604136134301</v>
      </c>
      <c r="AS1969" s="25">
        <f>VLOOKUP(Inventory[[#This Row],[Qlty]],Lookups!$A$62:$E$75,2,FALSE)</f>
        <v>21557.329055999999</v>
      </c>
      <c r="AT1969" s="25">
        <f>VLOOKUP(Inventory[[#This Row],[Cnd]],Lookups!$A$76:$E$84,2,FALSE)</f>
        <v>160472.20319</v>
      </c>
      <c r="AU1969" s="25">
        <f>Inventory[[#This Row],[EffAge]]*Lookups!$B$85</f>
        <v>-12490.553628</v>
      </c>
      <c r="AV1969" s="25">
        <f>Inventory[[#This Row],[MainFn]]*Lookups!$B$86</f>
        <v>48124.044460197998</v>
      </c>
      <c r="AW1969" s="25">
        <f>Inventory[[#This Row],[UpprFn]]*Lookups!$B$87</f>
        <v>0</v>
      </c>
      <c r="AX1969" s="25">
        <f>Inventory[[#This Row],[AddFn]]*Lookups!$B$88</f>
        <v>0</v>
      </c>
      <c r="AY1969" s="25">
        <f>Inventory[[#This Row],[Bsmt]]*Lookups!$B$89</f>
        <v>28325.765970577999</v>
      </c>
      <c r="AZ1969" s="25">
        <f>Inventory[[#This Row],[Fixtures]]*Lookups!$B$90</f>
        <v>18960.110526</v>
      </c>
      <c r="BA1969" s="25">
        <f>Inventory[[#This Row],[WdDeck]]*Lookups!$B$91</f>
        <v>0</v>
      </c>
      <c r="BB1969" s="25">
        <f>ROUND(Inventory[[#This Row],[25Det]],-2)</f>
        <v>6300</v>
      </c>
      <c r="BC1969" s="25">
        <f>ROUND(SUM(Inventory[[#This Row],[Mdl Qlty]:[Mdl WdDeck]])+Inventory[[#This Row],[Mdl Res Intercept]],-2)</f>
        <v>264900</v>
      </c>
      <c r="BD1969" s="25">
        <f>ROUND(Inventory[[#This Row],[Mdl Land Intercept]]+Inventory[[#This Row],[Mdl LnAcres]],-2)</f>
        <v>29800</v>
      </c>
      <c r="BE1969" s="25">
        <f>Inventory[[#This Row],[Unadj Res Value]]+Inventory[[#This Row],[Unadj Det Value]]+Inventory[[#This Row],[Unadj Land Value]]</f>
        <v>301000</v>
      </c>
      <c r="BF1969" s="36">
        <f>(Inventory[[#This Row],[Unadj Total Value]]-Inventory[[#This Row],[24Final]])/Inventory[[#This Row],[24Final]]</f>
        <v>9.8540145985401464E-2</v>
      </c>
      <c r="BG1969" s="25">
        <f>VLOOKUP(Inventory[[#This Row],[Nbhd]],Lookups!$Q$2:$T$4,4,FALSE)</f>
        <v>0.99970000000000003</v>
      </c>
      <c r="BH1969" s="25">
        <f>VLOOKUP(Inventory[[#This Row],[Qlty]],Lookups!$O$7:$R$21,4,FALSE)</f>
        <v>1.0067999999999999</v>
      </c>
      <c r="BI1969" s="25">
        <f>VLOOKUP(Inventory[[#This Row],[Cnd]],Lookups!$T$7:$W$16,4,FALSE)</f>
        <v>0.99729999999999996</v>
      </c>
      <c r="BJ1969" s="25">
        <f>VLOOKUP(Inventory[[#This Row],[LivArea Range]],Lookups!$T$25:$W$37,4,FALSE)</f>
        <v>1.0148999999999999</v>
      </c>
      <c r="BK1969" s="25">
        <f>VLOOKUP(Inventory[[#This Row],[Decade]],Lookups!$O$25:$R$42,4,FALSE)</f>
        <v>1.0074000000000001</v>
      </c>
      <c r="BL1969" s="25">
        <f>Inventory[[#This Row],[Nbhd Adj]]*0.95</f>
        <v>0.94971499999999998</v>
      </c>
      <c r="BM1969" s="25">
        <f>Inventory[[#This Row],[Nbhd Adj]]*Inventory[[#This Row],[Quality Adj]]*Inventory[[#This Row],[Condition Adj]]*Inventory[[#This Row],[Living Area Adj]]*Inventory[[#This Row],[Decade Adj]]*0.95</f>
        <v>0.97496162582232004</v>
      </c>
      <c r="BN1969" s="25">
        <f>ROUND(SUM(Inventory[[#This Row],[Mdl Qlty]:[Mdl WdDeck]])+Inventory[[#This Row],[Mdl Res Intercept]]*Inventory[[#This Row],[Res Adj ]],-2)</f>
        <v>264900</v>
      </c>
      <c r="BO1969" s="25">
        <f>ROUND(Inventory[[#This Row],[25Det]]*Inventory[[#This Row],[Det/Nbhd Adj]],-2)</f>
        <v>5900</v>
      </c>
      <c r="BP1969" s="25">
        <f>Inventory[[#This Row],[Adjusted Res]]+Inventory[[#This Row],[Adj Det ]]</f>
        <v>270800</v>
      </c>
      <c r="BQ1969" s="25">
        <f>ROUND((Inventory[[#This Row],[Mdl Land Intercept]]+Inventory[[#This Row],[Mdl LnAcres]])*Inventory[[#This Row],[Det/Nbhd Adj]],-2)</f>
        <v>28300</v>
      </c>
      <c r="BR1969" s="25">
        <f>Inventory[[#This Row],[Adjusted Impr Total]]+Inventory[[#This Row],[Adjusted Land Total]]</f>
        <v>299100</v>
      </c>
      <c r="BS1969" s="36">
        <f>IFERROR((Inventory[[#This Row],[Adjusted Impr Total]]-Inventory[[#This Row],[24Bldg]])/Inventory[[#This Row],[24Bldg]],0)</f>
        <v>0.20035460992907803</v>
      </c>
      <c r="BT1969" s="36">
        <f>(Inventory[[#This Row],[Adjusted Land Total]]-Inventory[[#This Row],[24Lnd]])/Inventory[[#This Row],[24Lnd]]</f>
        <v>-0.41528925619834711</v>
      </c>
      <c r="BU1969" s="36">
        <f>(Inventory[[#This Row],[Adjusted Total]]-Inventory[[#This Row],[24Final]])/Inventory[[#This Row],[24Final]]</f>
        <v>9.1605839416058391E-2</v>
      </c>
    </row>
    <row r="1970" spans="1:73" x14ac:dyDescent="0.3">
      <c r="A1970" s="25">
        <v>2025</v>
      </c>
      <c r="B1970" s="26" t="s">
        <v>2732</v>
      </c>
      <c r="C1970" s="26">
        <f>LN(Inventory[[#This Row],[Acres]])</f>
        <v>-1.4271163556401458</v>
      </c>
      <c r="D1970" s="25">
        <v>0.24</v>
      </c>
      <c r="E1970" s="25">
        <v>10422</v>
      </c>
      <c r="F1970" s="26" t="s">
        <v>537</v>
      </c>
      <c r="G1970" s="26" t="s">
        <v>126</v>
      </c>
      <c r="H1970" s="26" t="s">
        <v>349</v>
      </c>
      <c r="I1970" s="26" t="s">
        <v>538</v>
      </c>
      <c r="J1970" s="26" t="s">
        <v>539</v>
      </c>
      <c r="K1970" s="26" t="s">
        <v>269</v>
      </c>
      <c r="L1970" s="26" t="s">
        <v>302</v>
      </c>
      <c r="M1970" s="26" t="s">
        <v>303</v>
      </c>
      <c r="N1970" s="26">
        <v>100</v>
      </c>
      <c r="O1970" s="26">
        <f>2024-Inventory[[#This Row],[YrBlt]]</f>
        <v>99</v>
      </c>
      <c r="P1970" s="26">
        <f>2024-Inventory[[#This Row],[EffYr]]</f>
        <v>56</v>
      </c>
      <c r="Q1970" s="25">
        <v>1925</v>
      </c>
      <c r="R1970" s="25">
        <v>1968</v>
      </c>
      <c r="S1970" s="25">
        <v>1576</v>
      </c>
      <c r="T1970" s="32">
        <v>374</v>
      </c>
      <c r="U1970" s="25">
        <v>812</v>
      </c>
      <c r="V1970" s="25">
        <f>Inventory[[#This Row],[Bsmt]]-Inventory[[#This Row],[FnBsmt]]</f>
        <v>812</v>
      </c>
      <c r="W1970" s="25">
        <v>0</v>
      </c>
      <c r="X1970" s="27"/>
      <c r="Y1970" s="27">
        <f>Inventory[[#This Row],[MainFn]]+Inventory[[#This Row],[UpprFn]]+Inventory[[#This Row],[FnBsmt]]+Inventory[[#This Row],[AddFn]]</f>
        <v>1950</v>
      </c>
      <c r="Z1970" s="27">
        <v>2000</v>
      </c>
      <c r="AA1970" s="25">
        <v>5</v>
      </c>
      <c r="AB1970" s="27"/>
      <c r="AC1970" s="27"/>
      <c r="AD1970" s="27"/>
      <c r="AE1970" s="27"/>
      <c r="AF1970" s="27"/>
      <c r="AG1970" s="27"/>
      <c r="AH1970" s="27"/>
      <c r="AI1970" s="25">
        <v>360300</v>
      </c>
      <c r="AJ1970" s="25">
        <v>237798</v>
      </c>
      <c r="AK1970" s="25">
        <v>9040</v>
      </c>
      <c r="AL1970" s="25">
        <v>369700</v>
      </c>
      <c r="AM1970" s="25">
        <v>64800</v>
      </c>
      <c r="AN1970" s="25">
        <v>304900</v>
      </c>
      <c r="AO1970" s="25">
        <v>0</v>
      </c>
      <c r="AP1970" s="25">
        <f>Lookups!$B$56*0</f>
        <v>0</v>
      </c>
      <c r="AQ1970" s="25">
        <f>Lookups!$B$56*1</f>
        <v>89850.625589999996</v>
      </c>
      <c r="AR1970" s="25">
        <f>Lookups!$B$57*Inventory[[#This Row],[LnAcres]]</f>
        <v>-45174.819855485119</v>
      </c>
      <c r="AS1970" s="25">
        <f>VLOOKUP(Inventory[[#This Row],[Qlty]],Lookups!$A$62:$E$75,2,FALSE)</f>
        <v>29814.093161000001</v>
      </c>
      <c r="AT1970" s="25">
        <f>VLOOKUP(Inventory[[#This Row],[Cnd]],Lookups!$A$76:$E$84,2,FALSE)</f>
        <v>197752.34721000001</v>
      </c>
      <c r="AU1970" s="25">
        <f>Inventory[[#This Row],[EffAge]]*Lookups!$B$85</f>
        <v>-12490.553628</v>
      </c>
      <c r="AV1970" s="25">
        <f>Inventory[[#This Row],[MainFn]]*Lookups!$B$86</f>
        <v>77868.063726152002</v>
      </c>
      <c r="AW1970" s="25">
        <f>Inventory[[#This Row],[UpprFn]]*Lookups!$B$87</f>
        <v>16750.122150013998</v>
      </c>
      <c r="AX1970" s="25">
        <f>Inventory[[#This Row],[AddFn]]*Lookups!$B$88</f>
        <v>0</v>
      </c>
      <c r="AY1970" s="25">
        <f>Inventory[[#This Row],[Bsmt]]*Lookups!$B$89</f>
        <v>23614.498940563997</v>
      </c>
      <c r="AZ1970" s="25">
        <f>Inventory[[#This Row],[Fixtures]]*Lookups!$B$90</f>
        <v>18960.110526</v>
      </c>
      <c r="BA1970" s="25">
        <f>Inventory[[#This Row],[WdDeck]]*Lookups!$B$91</f>
        <v>0</v>
      </c>
      <c r="BB1970" s="25">
        <f>ROUND(Inventory[[#This Row],[25Det]],-2)</f>
        <v>9000</v>
      </c>
      <c r="BC1970" s="25">
        <f>ROUND(SUM(Inventory[[#This Row],[Mdl Qlty]:[Mdl WdDeck]])+Inventory[[#This Row],[Mdl Res Intercept]],-2)</f>
        <v>352300</v>
      </c>
      <c r="BD1970" s="25">
        <f>ROUND(Inventory[[#This Row],[Mdl Land Intercept]]+Inventory[[#This Row],[Mdl LnAcres]],-2)</f>
        <v>44700</v>
      </c>
      <c r="BE1970" s="25">
        <f>Inventory[[#This Row],[Unadj Res Value]]+Inventory[[#This Row],[Unadj Det Value]]+Inventory[[#This Row],[Unadj Land Value]]</f>
        <v>406000</v>
      </c>
      <c r="BF1970" s="36">
        <f>(Inventory[[#This Row],[Unadj Total Value]]-Inventory[[#This Row],[24Final]])/Inventory[[#This Row],[24Final]]</f>
        <v>9.8187719772788742E-2</v>
      </c>
      <c r="BG1970" s="25">
        <f>VLOOKUP(Inventory[[#This Row],[Nbhd]],Lookups!$Q$2:$T$4,4,FALSE)</f>
        <v>0.99970000000000003</v>
      </c>
      <c r="BH1970" s="25">
        <f>VLOOKUP(Inventory[[#This Row],[Qlty]],Lookups!$O$7:$R$21,4,FALSE)</f>
        <v>1.0088999999999999</v>
      </c>
      <c r="BI1970" s="25">
        <f>VLOOKUP(Inventory[[#This Row],[Cnd]],Lookups!$T$7:$W$16,4,FALSE)</f>
        <v>0.99650000000000005</v>
      </c>
      <c r="BJ1970" s="25">
        <f>VLOOKUP(Inventory[[#This Row],[LivArea Range]],Lookups!$T$25:$W$37,4,FALSE)</f>
        <v>1.0093000000000001</v>
      </c>
      <c r="BK1970" s="25">
        <f>VLOOKUP(Inventory[[#This Row],[Decade]],Lookups!$O$25:$R$42,4,FALSE)</f>
        <v>1.0074000000000001</v>
      </c>
      <c r="BL1970" s="25">
        <f>Inventory[[#This Row],[Nbhd Adj]]*0.95</f>
        <v>0.94971499999999998</v>
      </c>
      <c r="BM1970" s="25">
        <f>Inventory[[#This Row],[Nbhd Adj]]*Inventory[[#This Row],[Quality Adj]]*Inventory[[#This Row],[Condition Adj]]*Inventory[[#This Row],[Living Area Adj]]*Inventory[[#This Row],[Decade Adj]]*0.95</f>
        <v>0.97082497942099955</v>
      </c>
      <c r="BN1970" s="25">
        <f>ROUND(SUM(Inventory[[#This Row],[Mdl Qlty]:[Mdl WdDeck]])+Inventory[[#This Row],[Mdl Res Intercept]]*Inventory[[#This Row],[Res Adj ]],-2)</f>
        <v>352300</v>
      </c>
      <c r="BO1970" s="25">
        <f>ROUND(Inventory[[#This Row],[25Det]]*Inventory[[#This Row],[Det/Nbhd Adj]],-2)</f>
        <v>8600</v>
      </c>
      <c r="BP1970" s="25">
        <f>Inventory[[#This Row],[Adjusted Res]]+Inventory[[#This Row],[Adj Det ]]</f>
        <v>360900</v>
      </c>
      <c r="BQ1970" s="25">
        <f>ROUND((Inventory[[#This Row],[Mdl Land Intercept]]+Inventory[[#This Row],[Mdl LnAcres]])*Inventory[[#This Row],[Det/Nbhd Adj]],-2)</f>
        <v>42400</v>
      </c>
      <c r="BR1970" s="25">
        <f>Inventory[[#This Row],[Adjusted Impr Total]]+Inventory[[#This Row],[Adjusted Land Total]]</f>
        <v>403300</v>
      </c>
      <c r="BS1970" s="36">
        <f>IFERROR((Inventory[[#This Row],[Adjusted Impr Total]]-Inventory[[#This Row],[24Bldg]])/Inventory[[#This Row],[24Bldg]],0)</f>
        <v>0.18366677599212858</v>
      </c>
      <c r="BT1970" s="36">
        <f>(Inventory[[#This Row],[Adjusted Land Total]]-Inventory[[#This Row],[24Lnd]])/Inventory[[#This Row],[24Lnd]]</f>
        <v>-0.34567901234567899</v>
      </c>
      <c r="BU1970" s="36">
        <f>(Inventory[[#This Row],[Adjusted Total]]-Inventory[[#This Row],[24Final]])/Inventory[[#This Row],[24Final]]</f>
        <v>9.0884500946713548E-2</v>
      </c>
    </row>
    <row r="1971" spans="1:73" x14ac:dyDescent="0.3">
      <c r="A1971" s="25">
        <v>2025</v>
      </c>
      <c r="B1971" s="26" t="s">
        <v>2267</v>
      </c>
      <c r="C1971" s="26">
        <f>LN(Inventory[[#This Row],[Acres]])</f>
        <v>-1.7719568419318752</v>
      </c>
      <c r="D1971" s="25">
        <v>0.17</v>
      </c>
      <c r="E1971" s="25">
        <v>7200</v>
      </c>
      <c r="F1971" s="26" t="s">
        <v>537</v>
      </c>
      <c r="G1971" s="26" t="s">
        <v>126</v>
      </c>
      <c r="H1971" s="26" t="s">
        <v>349</v>
      </c>
      <c r="I1971" s="26" t="s">
        <v>538</v>
      </c>
      <c r="J1971" s="26" t="s">
        <v>539</v>
      </c>
      <c r="K1971" s="26" t="s">
        <v>269</v>
      </c>
      <c r="L1971" s="26" t="s">
        <v>351</v>
      </c>
      <c r="M1971" s="26" t="s">
        <v>323</v>
      </c>
      <c r="N1971" s="26">
        <v>100</v>
      </c>
      <c r="O1971" s="26">
        <f>2024-Inventory[[#This Row],[YrBlt]]</f>
        <v>99</v>
      </c>
      <c r="P1971" s="26">
        <f>2024-Inventory[[#This Row],[EffYr]]</f>
        <v>56</v>
      </c>
      <c r="Q1971" s="25">
        <v>1925</v>
      </c>
      <c r="R1971" s="25">
        <v>1968</v>
      </c>
      <c r="S1971" s="25">
        <v>884</v>
      </c>
      <c r="T1971" s="27"/>
      <c r="U1971" s="32">
        <v>682</v>
      </c>
      <c r="V1971" s="32">
        <f>Inventory[[#This Row],[Bsmt]]-Inventory[[#This Row],[FnBsmt]]</f>
        <v>341</v>
      </c>
      <c r="W1971" s="32">
        <v>341</v>
      </c>
      <c r="X1971" s="27"/>
      <c r="Y1971" s="27">
        <f>Inventory[[#This Row],[MainFn]]+Inventory[[#This Row],[UpprFn]]+Inventory[[#This Row],[FnBsmt]]+Inventory[[#This Row],[AddFn]]</f>
        <v>1225</v>
      </c>
      <c r="Z1971" s="27">
        <v>1500</v>
      </c>
      <c r="AA1971" s="25">
        <v>6</v>
      </c>
      <c r="AB1971" s="27"/>
      <c r="AC1971" s="27"/>
      <c r="AD1971" s="32">
        <v>252</v>
      </c>
      <c r="AE1971" s="27"/>
      <c r="AF1971" s="27"/>
      <c r="AG1971" s="27"/>
      <c r="AH1971" s="27"/>
      <c r="AI1971" s="25">
        <v>227775</v>
      </c>
      <c r="AJ1971" s="25">
        <v>145776</v>
      </c>
      <c r="AK1971" s="25">
        <v>5897</v>
      </c>
      <c r="AL1971" s="25">
        <v>277300</v>
      </c>
      <c r="AM1971" s="25">
        <v>52700</v>
      </c>
      <c r="AN1971" s="25">
        <v>224600</v>
      </c>
      <c r="AO1971" s="25">
        <v>0</v>
      </c>
      <c r="AP1971" s="25">
        <f>Lookups!$B$56*0</f>
        <v>0</v>
      </c>
      <c r="AQ1971" s="25">
        <f>Lookups!$B$56*1</f>
        <v>89850.625589999996</v>
      </c>
      <c r="AR1971" s="25">
        <f>Lookups!$B$57*Inventory[[#This Row],[LnAcres]]</f>
        <v>-56090.612940989391</v>
      </c>
      <c r="AS1971" s="25">
        <f>VLOOKUP(Inventory[[#This Row],[Qlty]],Lookups!$A$62:$E$75,2,FALSE)</f>
        <v>21557.329055999999</v>
      </c>
      <c r="AT1971" s="25">
        <f>VLOOKUP(Inventory[[#This Row],[Cnd]],Lookups!$A$76:$E$84,2,FALSE)</f>
        <v>160472.20319</v>
      </c>
      <c r="AU1971" s="25">
        <f>Inventory[[#This Row],[EffAge]]*Lookups!$B$85</f>
        <v>-12490.553628</v>
      </c>
      <c r="AV1971" s="25">
        <f>Inventory[[#This Row],[MainFn]]*Lookups!$B$86</f>
        <v>43677.264171267998</v>
      </c>
      <c r="AW1971" s="25">
        <f>Inventory[[#This Row],[UpprFn]]*Lookups!$B$87</f>
        <v>0</v>
      </c>
      <c r="AX1971" s="25">
        <f>Inventory[[#This Row],[AddFn]]*Lookups!$B$88</f>
        <v>0</v>
      </c>
      <c r="AY1971" s="25">
        <f>Inventory[[#This Row],[Bsmt]]*Lookups!$B$89</f>
        <v>19833.852558454</v>
      </c>
      <c r="AZ1971" s="25">
        <f>Inventory[[#This Row],[Fixtures]]*Lookups!$B$90</f>
        <v>22752.132631200002</v>
      </c>
      <c r="BA1971" s="25">
        <f>Inventory[[#This Row],[WdDeck]]*Lookups!$B$91</f>
        <v>8390.4698495520006</v>
      </c>
      <c r="BB1971" s="25">
        <f>ROUND(Inventory[[#This Row],[25Det]],-2)</f>
        <v>5900</v>
      </c>
      <c r="BC1971" s="25">
        <f>ROUND(SUM(Inventory[[#This Row],[Mdl Qlty]:[Mdl WdDeck]])+Inventory[[#This Row],[Mdl Res Intercept]],-2)</f>
        <v>264200</v>
      </c>
      <c r="BD1971" s="25">
        <f>ROUND(Inventory[[#This Row],[Mdl Land Intercept]]+Inventory[[#This Row],[Mdl LnAcres]],-2)</f>
        <v>33800</v>
      </c>
      <c r="BE1971" s="25">
        <f>Inventory[[#This Row],[Unadj Res Value]]+Inventory[[#This Row],[Unadj Det Value]]+Inventory[[#This Row],[Unadj Land Value]]</f>
        <v>303900</v>
      </c>
      <c r="BF1971" s="36">
        <f>(Inventory[[#This Row],[Unadj Total Value]]-Inventory[[#This Row],[24Final]])/Inventory[[#This Row],[24Final]]</f>
        <v>9.5924990984493322E-2</v>
      </c>
      <c r="BG1971" s="25">
        <f>VLOOKUP(Inventory[[#This Row],[Nbhd]],Lookups!$Q$2:$T$4,4,FALSE)</f>
        <v>0.99970000000000003</v>
      </c>
      <c r="BH1971" s="25">
        <f>VLOOKUP(Inventory[[#This Row],[Qlty]],Lookups!$O$7:$R$21,4,FALSE)</f>
        <v>1.0067999999999999</v>
      </c>
      <c r="BI1971" s="25">
        <f>VLOOKUP(Inventory[[#This Row],[Cnd]],Lookups!$T$7:$W$16,4,FALSE)</f>
        <v>0.99729999999999996</v>
      </c>
      <c r="BJ1971" s="25">
        <f>VLOOKUP(Inventory[[#This Row],[LivArea Range]],Lookups!$T$25:$W$37,4,FALSE)</f>
        <v>1.0157</v>
      </c>
      <c r="BK1971" s="25">
        <f>VLOOKUP(Inventory[[#This Row],[Decade]],Lookups!$O$25:$R$42,4,FALSE)</f>
        <v>1.0074000000000001</v>
      </c>
      <c r="BL1971" s="25">
        <f>Inventory[[#This Row],[Nbhd Adj]]*0.95</f>
        <v>0.94971499999999998</v>
      </c>
      <c r="BM1971" s="25">
        <f>Inventory[[#This Row],[Nbhd Adj]]*Inventory[[#This Row],[Quality Adj]]*Inventory[[#This Row],[Condition Adj]]*Inventory[[#This Row],[Living Area Adj]]*Inventory[[#This Row],[Decade Adj]]*0.95</f>
        <v>0.97573014419916293</v>
      </c>
      <c r="BN1971" s="25">
        <f>ROUND(SUM(Inventory[[#This Row],[Mdl Qlty]:[Mdl WdDeck]])+Inventory[[#This Row],[Mdl Res Intercept]]*Inventory[[#This Row],[Res Adj ]],-2)</f>
        <v>264200</v>
      </c>
      <c r="BO1971" s="25">
        <f>ROUND(Inventory[[#This Row],[25Det]]*Inventory[[#This Row],[Det/Nbhd Adj]],-2)</f>
        <v>5600</v>
      </c>
      <c r="BP1971" s="25">
        <f>Inventory[[#This Row],[Adjusted Res]]+Inventory[[#This Row],[Adj Det ]]</f>
        <v>269800</v>
      </c>
      <c r="BQ1971" s="25">
        <f>ROUND((Inventory[[#This Row],[Mdl Land Intercept]]+Inventory[[#This Row],[Mdl LnAcres]])*Inventory[[#This Row],[Det/Nbhd Adj]],-2)</f>
        <v>32100</v>
      </c>
      <c r="BR1971" s="25">
        <f>Inventory[[#This Row],[Adjusted Impr Total]]+Inventory[[#This Row],[Adjusted Land Total]]</f>
        <v>301900</v>
      </c>
      <c r="BS1971" s="36">
        <f>IFERROR((Inventory[[#This Row],[Adjusted Impr Total]]-Inventory[[#This Row],[24Bldg]])/Inventory[[#This Row],[24Bldg]],0)</f>
        <v>0.20124666073018699</v>
      </c>
      <c r="BT1971" s="36">
        <f>(Inventory[[#This Row],[Adjusted Land Total]]-Inventory[[#This Row],[24Lnd]])/Inventory[[#This Row],[24Lnd]]</f>
        <v>-0.39089184060721061</v>
      </c>
      <c r="BU1971" s="36">
        <f>(Inventory[[#This Row],[Adjusted Total]]-Inventory[[#This Row],[24Final]])/Inventory[[#This Row],[24Final]]</f>
        <v>8.871258564731338E-2</v>
      </c>
    </row>
    <row r="1972" spans="1:73" x14ac:dyDescent="0.3">
      <c r="A1972" s="25">
        <v>2025</v>
      </c>
      <c r="B1972" s="26" t="s">
        <v>2248</v>
      </c>
      <c r="C1972" s="26">
        <f>LN(Inventory[[#This Row],[Acres]])</f>
        <v>-2.5257286443082556</v>
      </c>
      <c r="D1972" s="25">
        <v>0.08</v>
      </c>
      <c r="E1972" s="31"/>
      <c r="F1972" s="26" t="s">
        <v>537</v>
      </c>
      <c r="G1972" s="26" t="s">
        <v>126</v>
      </c>
      <c r="H1972" s="26" t="s">
        <v>349</v>
      </c>
      <c r="I1972" s="26" t="s">
        <v>538</v>
      </c>
      <c r="J1972" s="26" t="s">
        <v>539</v>
      </c>
      <c r="K1972" s="26" t="s">
        <v>242</v>
      </c>
      <c r="L1972" s="26" t="s">
        <v>205</v>
      </c>
      <c r="M1972" s="26" t="s">
        <v>303</v>
      </c>
      <c r="N1972" s="26">
        <v>100</v>
      </c>
      <c r="O1972" s="26">
        <f>2024-Inventory[[#This Row],[YrBlt]]</f>
        <v>99</v>
      </c>
      <c r="P1972" s="26">
        <f>2024-Inventory[[#This Row],[EffYr]]</f>
        <v>56</v>
      </c>
      <c r="Q1972" s="25">
        <v>1925</v>
      </c>
      <c r="R1972" s="25">
        <v>1968</v>
      </c>
      <c r="S1972" s="25">
        <v>1259</v>
      </c>
      <c r="T1972" s="27"/>
      <c r="U1972" s="32">
        <v>600</v>
      </c>
      <c r="V1972" s="32">
        <f>Inventory[[#This Row],[Bsmt]]-Inventory[[#This Row],[FnBsmt]]</f>
        <v>0</v>
      </c>
      <c r="W1972" s="32">
        <v>600</v>
      </c>
      <c r="X1972" s="27"/>
      <c r="Y1972" s="27">
        <f>Inventory[[#This Row],[MainFn]]+Inventory[[#This Row],[UpprFn]]+Inventory[[#This Row],[FnBsmt]]+Inventory[[#This Row],[AddFn]]</f>
        <v>1859</v>
      </c>
      <c r="Z1972" s="27">
        <v>2000</v>
      </c>
      <c r="AA1972" s="25">
        <v>5</v>
      </c>
      <c r="AB1972" s="27"/>
      <c r="AC1972" s="27"/>
      <c r="AD1972" s="32">
        <v>256</v>
      </c>
      <c r="AE1972" s="27"/>
      <c r="AF1972" s="27"/>
      <c r="AG1972" s="27"/>
      <c r="AH1972" s="27"/>
      <c r="AI1972" s="25">
        <v>249522</v>
      </c>
      <c r="AJ1972" s="25">
        <v>164685</v>
      </c>
      <c r="AK1972" s="25">
        <v>0</v>
      </c>
      <c r="AL1972" s="25">
        <v>277600</v>
      </c>
      <c r="AM1972" s="25">
        <v>26500</v>
      </c>
      <c r="AN1972" s="25">
        <v>251100</v>
      </c>
      <c r="AO1972" s="25">
        <v>0</v>
      </c>
      <c r="AP1972" s="25">
        <f>Lookups!$B$56*0</f>
        <v>0</v>
      </c>
      <c r="AQ1972" s="25">
        <f>Lookups!$B$56*1</f>
        <v>89850.625589999996</v>
      </c>
      <c r="AR1972" s="25">
        <f>Lookups!$B$57*Inventory[[#This Row],[LnAcres]]</f>
        <v>-79950.969701614697</v>
      </c>
      <c r="AS1972" s="25">
        <f>VLOOKUP(Inventory[[#This Row],[Qlty]],Lookups!$A$62:$E$75,2,FALSE)</f>
        <v>0</v>
      </c>
      <c r="AT1972" s="25">
        <f>VLOOKUP(Inventory[[#This Row],[Cnd]],Lookups!$A$76:$E$84,2,FALSE)</f>
        <v>197752.34721000001</v>
      </c>
      <c r="AU1972" s="25">
        <f>Inventory[[#This Row],[EffAge]]*Lookups!$B$85</f>
        <v>-12490.553628</v>
      </c>
      <c r="AV1972" s="25">
        <f>Inventory[[#This Row],[MainFn]]*Lookups!$B$86</f>
        <v>62205.515375143004</v>
      </c>
      <c r="AW1972" s="25">
        <f>Inventory[[#This Row],[UpprFn]]*Lookups!$B$87</f>
        <v>0</v>
      </c>
      <c r="AX1972" s="25">
        <f>Inventory[[#This Row],[AddFn]]*Lookups!$B$88</f>
        <v>0</v>
      </c>
      <c r="AY1972" s="25">
        <f>Inventory[[#This Row],[Bsmt]]*Lookups!$B$89</f>
        <v>17449.1371482</v>
      </c>
      <c r="AZ1972" s="25">
        <f>Inventory[[#This Row],[Fixtures]]*Lookups!$B$90</f>
        <v>18960.110526</v>
      </c>
      <c r="BA1972" s="25">
        <f>Inventory[[#This Row],[WdDeck]]*Lookups!$B$91</f>
        <v>8523.6519106560008</v>
      </c>
      <c r="BB1972" s="25">
        <f>ROUND(Inventory[[#This Row],[25Det]],-2)</f>
        <v>0</v>
      </c>
      <c r="BC1972" s="25">
        <f>ROUND(SUM(Inventory[[#This Row],[Mdl Qlty]:[Mdl WdDeck]])+Inventory[[#This Row],[Mdl Res Intercept]],-2)</f>
        <v>292400</v>
      </c>
      <c r="BD1972" s="25">
        <f>ROUND(Inventory[[#This Row],[Mdl Land Intercept]]+Inventory[[#This Row],[Mdl LnAcres]],-2)</f>
        <v>9900</v>
      </c>
      <c r="BE1972" s="25">
        <f>Inventory[[#This Row],[Unadj Res Value]]+Inventory[[#This Row],[Unadj Det Value]]+Inventory[[#This Row],[Unadj Land Value]]</f>
        <v>302300</v>
      </c>
      <c r="BF1972" s="36">
        <f>(Inventory[[#This Row],[Unadj Total Value]]-Inventory[[#This Row],[24Final]])/Inventory[[#This Row],[24Final]]</f>
        <v>8.8976945244956779E-2</v>
      </c>
      <c r="BG1972" s="25">
        <f>VLOOKUP(Inventory[[#This Row],[Nbhd]],Lookups!$Q$2:$T$4,4,FALSE)</f>
        <v>0.99970000000000003</v>
      </c>
      <c r="BH1972" s="25">
        <f>VLOOKUP(Inventory[[#This Row],[Qlty]],Lookups!$O$7:$R$21,4,FALSE)</f>
        <v>0.99180000000000001</v>
      </c>
      <c r="BI1972" s="25">
        <f>VLOOKUP(Inventory[[#This Row],[Cnd]],Lookups!$T$7:$W$16,4,FALSE)</f>
        <v>0.99650000000000005</v>
      </c>
      <c r="BJ1972" s="25">
        <f>VLOOKUP(Inventory[[#This Row],[LivArea Range]],Lookups!$T$25:$W$37,4,FALSE)</f>
        <v>1.0093000000000001</v>
      </c>
      <c r="BK1972" s="25">
        <f>VLOOKUP(Inventory[[#This Row],[Decade]],Lookups!$O$25:$R$42,4,FALSE)</f>
        <v>1.0074000000000001</v>
      </c>
      <c r="BL1972" s="25">
        <f>Inventory[[#This Row],[Nbhd Adj]]*0.95</f>
        <v>0.94971499999999998</v>
      </c>
      <c r="BM1972" s="25">
        <f>Inventory[[#This Row],[Nbhd Adj]]*Inventory[[#This Row],[Quality Adj]]*Inventory[[#This Row],[Condition Adj]]*Inventory[[#This Row],[Living Area Adj]]*Inventory[[#This Row],[Decade Adj]]*0.95</f>
        <v>0.95437031875284728</v>
      </c>
      <c r="BN1972" s="25">
        <f>ROUND(SUM(Inventory[[#This Row],[Mdl Qlty]:[Mdl WdDeck]])+Inventory[[#This Row],[Mdl Res Intercept]]*Inventory[[#This Row],[Res Adj ]],-2)</f>
        <v>292400</v>
      </c>
      <c r="BO1972" s="25">
        <f>ROUND(Inventory[[#This Row],[25Det]]*Inventory[[#This Row],[Det/Nbhd Adj]],-2)</f>
        <v>0</v>
      </c>
      <c r="BP1972" s="25">
        <f>Inventory[[#This Row],[Adjusted Res]]+Inventory[[#This Row],[Adj Det ]]</f>
        <v>292400</v>
      </c>
      <c r="BQ1972" s="25">
        <f>ROUND((Inventory[[#This Row],[Mdl Land Intercept]]+Inventory[[#This Row],[Mdl LnAcres]])*Inventory[[#This Row],[Det/Nbhd Adj]],-2)</f>
        <v>9400</v>
      </c>
      <c r="BR1972" s="25">
        <f>Inventory[[#This Row],[Adjusted Impr Total]]+Inventory[[#This Row],[Adjusted Land Total]]</f>
        <v>301800</v>
      </c>
      <c r="BS1972" s="36">
        <f>IFERROR((Inventory[[#This Row],[Adjusted Impr Total]]-Inventory[[#This Row],[24Bldg]])/Inventory[[#This Row],[24Bldg]],0)</f>
        <v>0.16447630426125051</v>
      </c>
      <c r="BT1972" s="36">
        <f>(Inventory[[#This Row],[Adjusted Land Total]]-Inventory[[#This Row],[24Lnd]])/Inventory[[#This Row],[24Lnd]]</f>
        <v>-0.6452830188679245</v>
      </c>
      <c r="BU1972" s="36">
        <f>(Inventory[[#This Row],[Adjusted Total]]-Inventory[[#This Row],[24Final]])/Inventory[[#This Row],[24Final]]</f>
        <v>8.7175792507204614E-2</v>
      </c>
    </row>
    <row r="1973" spans="1:73" x14ac:dyDescent="0.3">
      <c r="A1973" s="25">
        <v>2025</v>
      </c>
      <c r="B1973" s="26" t="s">
        <v>2535</v>
      </c>
      <c r="C1973" s="26">
        <f>LN(Inventory[[#This Row],[Acres]])</f>
        <v>-2.5257286443082556</v>
      </c>
      <c r="D1973" s="25">
        <v>0.08</v>
      </c>
      <c r="E1973" s="31"/>
      <c r="F1973" s="26" t="s">
        <v>537</v>
      </c>
      <c r="G1973" s="26" t="s">
        <v>126</v>
      </c>
      <c r="H1973" s="26" t="s">
        <v>349</v>
      </c>
      <c r="I1973" s="26" t="s">
        <v>538</v>
      </c>
      <c r="J1973" s="26" t="s">
        <v>539</v>
      </c>
      <c r="K1973" s="26" t="s">
        <v>269</v>
      </c>
      <c r="L1973" s="26" t="s">
        <v>351</v>
      </c>
      <c r="M1973" s="26" t="s">
        <v>303</v>
      </c>
      <c r="N1973" s="26">
        <v>100</v>
      </c>
      <c r="O1973" s="26">
        <f>2024-Inventory[[#This Row],[YrBlt]]</f>
        <v>99</v>
      </c>
      <c r="P1973" s="26">
        <f>2024-Inventory[[#This Row],[EffYr]]</f>
        <v>56</v>
      </c>
      <c r="Q1973" s="25">
        <v>1925</v>
      </c>
      <c r="R1973" s="25">
        <v>1968</v>
      </c>
      <c r="S1973" s="25">
        <v>1135</v>
      </c>
      <c r="T1973" s="31"/>
      <c r="U1973" s="32">
        <v>1135</v>
      </c>
      <c r="V1973" s="32">
        <f>Inventory[[#This Row],[Bsmt]]-Inventory[[#This Row],[FnBsmt]]</f>
        <v>0</v>
      </c>
      <c r="W1973" s="32">
        <v>1135</v>
      </c>
      <c r="X1973" s="27"/>
      <c r="Y1973" s="27">
        <f>Inventory[[#This Row],[MainFn]]+Inventory[[#This Row],[UpprFn]]+Inventory[[#This Row],[FnBsmt]]+Inventory[[#This Row],[AddFn]]</f>
        <v>2270</v>
      </c>
      <c r="Z1973" s="27">
        <v>2500</v>
      </c>
      <c r="AA1973" s="25">
        <v>8</v>
      </c>
      <c r="AB1973" s="27"/>
      <c r="AC1973" s="27"/>
      <c r="AD1973" s="32">
        <v>170</v>
      </c>
      <c r="AE1973" s="27"/>
      <c r="AF1973" s="27"/>
      <c r="AG1973" s="27"/>
      <c r="AH1973" s="27"/>
      <c r="AI1973" s="25">
        <v>288996</v>
      </c>
      <c r="AJ1973" s="25">
        <v>190737</v>
      </c>
      <c r="AK1973" s="25">
        <v>0</v>
      </c>
      <c r="AL1973" s="25">
        <v>314000</v>
      </c>
      <c r="AM1973" s="25">
        <v>26500</v>
      </c>
      <c r="AN1973" s="25">
        <v>287500</v>
      </c>
      <c r="AO1973" s="25">
        <v>0</v>
      </c>
      <c r="AP1973" s="25">
        <f>Lookups!$B$56*0</f>
        <v>0</v>
      </c>
      <c r="AQ1973" s="25">
        <f>Lookups!$B$56*1</f>
        <v>89850.625589999996</v>
      </c>
      <c r="AR1973" s="25">
        <f>Lookups!$B$57*Inventory[[#This Row],[LnAcres]]</f>
        <v>-79950.969701614697</v>
      </c>
      <c r="AS1973" s="25">
        <f>VLOOKUP(Inventory[[#This Row],[Qlty]],Lookups!$A$62:$E$75,2,FALSE)</f>
        <v>21557.329055999999</v>
      </c>
      <c r="AT1973" s="25">
        <f>VLOOKUP(Inventory[[#This Row],[Cnd]],Lookups!$A$76:$E$84,2,FALSE)</f>
        <v>197752.34721000001</v>
      </c>
      <c r="AU1973" s="25">
        <f>Inventory[[#This Row],[EffAge]]*Lookups!$B$85</f>
        <v>-12490.553628</v>
      </c>
      <c r="AV1973" s="25">
        <f>Inventory[[#This Row],[MainFn]]*Lookups!$B$86</f>
        <v>56078.840310395004</v>
      </c>
      <c r="AW1973" s="25">
        <f>Inventory[[#This Row],[UpprFn]]*Lookups!$B$87</f>
        <v>0</v>
      </c>
      <c r="AX1973" s="25">
        <f>Inventory[[#This Row],[AddFn]]*Lookups!$B$88</f>
        <v>0</v>
      </c>
      <c r="AY1973" s="25">
        <f>Inventory[[#This Row],[Bsmt]]*Lookups!$B$89</f>
        <v>33007.951105344997</v>
      </c>
      <c r="AZ1973" s="25">
        <f>Inventory[[#This Row],[Fixtures]]*Lookups!$B$90</f>
        <v>30336.176841600001</v>
      </c>
      <c r="BA1973" s="25">
        <f>Inventory[[#This Row],[WdDeck]]*Lookups!$B$91</f>
        <v>5660.2375969200002</v>
      </c>
      <c r="BB1973" s="25">
        <f>ROUND(Inventory[[#This Row],[25Det]],-2)</f>
        <v>0</v>
      </c>
      <c r="BC1973" s="25">
        <f>ROUND(SUM(Inventory[[#This Row],[Mdl Qlty]:[Mdl WdDeck]])+Inventory[[#This Row],[Mdl Res Intercept]],-2)</f>
        <v>331900</v>
      </c>
      <c r="BD1973" s="25">
        <f>ROUND(Inventory[[#This Row],[Mdl Land Intercept]]+Inventory[[#This Row],[Mdl LnAcres]],-2)</f>
        <v>9900</v>
      </c>
      <c r="BE1973" s="25">
        <f>Inventory[[#This Row],[Unadj Res Value]]+Inventory[[#This Row],[Unadj Det Value]]+Inventory[[#This Row],[Unadj Land Value]]</f>
        <v>341800</v>
      </c>
      <c r="BF1973" s="36">
        <f>(Inventory[[#This Row],[Unadj Total Value]]-Inventory[[#This Row],[24Final]])/Inventory[[#This Row],[24Final]]</f>
        <v>8.8535031847133752E-2</v>
      </c>
      <c r="BG1973" s="25">
        <f>VLOOKUP(Inventory[[#This Row],[Nbhd]],Lookups!$Q$2:$T$4,4,FALSE)</f>
        <v>0.99970000000000003</v>
      </c>
      <c r="BH1973" s="25">
        <f>VLOOKUP(Inventory[[#This Row],[Qlty]],Lookups!$O$7:$R$21,4,FALSE)</f>
        <v>1.0067999999999999</v>
      </c>
      <c r="BI1973" s="25">
        <f>VLOOKUP(Inventory[[#This Row],[Cnd]],Lookups!$T$7:$W$16,4,FALSE)</f>
        <v>0.99650000000000005</v>
      </c>
      <c r="BJ1973" s="25">
        <f>VLOOKUP(Inventory[[#This Row],[LivArea Range]],Lookups!$T$25:$W$37,4,FALSE)</f>
        <v>0.98919999999999997</v>
      </c>
      <c r="BK1973" s="25">
        <f>VLOOKUP(Inventory[[#This Row],[Decade]],Lookups!$O$25:$R$42,4,FALSE)</f>
        <v>1.0074000000000001</v>
      </c>
      <c r="BL1973" s="25">
        <f>Inventory[[#This Row],[Nbhd Adj]]*0.95</f>
        <v>0.94971499999999998</v>
      </c>
      <c r="BM1973" s="25">
        <f>Inventory[[#This Row],[Nbhd Adj]]*Inventory[[#This Row],[Quality Adj]]*Inventory[[#This Row],[Condition Adj]]*Inventory[[#This Row],[Living Area Adj]]*Inventory[[#This Row],[Decade Adj]]*0.95</f>
        <v>0.94951069644125163</v>
      </c>
      <c r="BN1973" s="25">
        <f>ROUND(SUM(Inventory[[#This Row],[Mdl Qlty]:[Mdl WdDeck]])+Inventory[[#This Row],[Mdl Res Intercept]]*Inventory[[#This Row],[Res Adj ]],-2)</f>
        <v>331900</v>
      </c>
      <c r="BO1973" s="25">
        <f>ROUND(Inventory[[#This Row],[25Det]]*Inventory[[#This Row],[Det/Nbhd Adj]],-2)</f>
        <v>0</v>
      </c>
      <c r="BP1973" s="25">
        <f>Inventory[[#This Row],[Adjusted Res]]+Inventory[[#This Row],[Adj Det ]]</f>
        <v>331900</v>
      </c>
      <c r="BQ1973" s="25">
        <f>ROUND((Inventory[[#This Row],[Mdl Land Intercept]]+Inventory[[#This Row],[Mdl LnAcres]])*Inventory[[#This Row],[Det/Nbhd Adj]],-2)</f>
        <v>9400</v>
      </c>
      <c r="BR1973" s="25">
        <f>Inventory[[#This Row],[Adjusted Impr Total]]+Inventory[[#This Row],[Adjusted Land Total]]</f>
        <v>341300</v>
      </c>
      <c r="BS1973" s="36">
        <f>IFERROR((Inventory[[#This Row],[Adjusted Impr Total]]-Inventory[[#This Row],[24Bldg]])/Inventory[[#This Row],[24Bldg]],0)</f>
        <v>0.15443478260869564</v>
      </c>
      <c r="BT1973" s="36">
        <f>(Inventory[[#This Row],[Adjusted Land Total]]-Inventory[[#This Row],[24Lnd]])/Inventory[[#This Row],[24Lnd]]</f>
        <v>-0.6452830188679245</v>
      </c>
      <c r="BU1973" s="36">
        <f>(Inventory[[#This Row],[Adjusted Total]]-Inventory[[#This Row],[24Final]])/Inventory[[#This Row],[24Final]]</f>
        <v>8.6942675159235663E-2</v>
      </c>
    </row>
    <row r="1974" spans="1:73" x14ac:dyDescent="0.3">
      <c r="A1974" s="25">
        <v>2025</v>
      </c>
      <c r="B1974" s="26" t="s">
        <v>1395</v>
      </c>
      <c r="C1974" s="26">
        <f>LN(Inventory[[#This Row],[Acres]])</f>
        <v>-0.94160853985844495</v>
      </c>
      <c r="D1974" s="25">
        <v>0.39</v>
      </c>
      <c r="E1974" s="25">
        <v>16839</v>
      </c>
      <c r="F1974" s="26" t="s">
        <v>537</v>
      </c>
      <c r="G1974" s="26" t="s">
        <v>126</v>
      </c>
      <c r="H1974" s="26" t="s">
        <v>349</v>
      </c>
      <c r="I1974" s="26" t="s">
        <v>538</v>
      </c>
      <c r="J1974" s="26" t="s">
        <v>539</v>
      </c>
      <c r="K1974" s="26" t="s">
        <v>416</v>
      </c>
      <c r="L1974" s="26" t="s">
        <v>351</v>
      </c>
      <c r="M1974" s="26" t="s">
        <v>206</v>
      </c>
      <c r="N1974" s="26">
        <v>100</v>
      </c>
      <c r="O1974" s="26">
        <f>2024-Inventory[[#This Row],[YrBlt]]</f>
        <v>99</v>
      </c>
      <c r="P1974" s="26">
        <f>2024-Inventory[[#This Row],[EffYr]]</f>
        <v>56</v>
      </c>
      <c r="Q1974" s="25">
        <v>1925</v>
      </c>
      <c r="R1974" s="25">
        <v>1968</v>
      </c>
      <c r="S1974" s="25">
        <v>1538</v>
      </c>
      <c r="T1974" s="32">
        <v>700</v>
      </c>
      <c r="U1974" s="25">
        <v>780</v>
      </c>
      <c r="V1974" s="25">
        <f>Inventory[[#This Row],[Bsmt]]-Inventory[[#This Row],[FnBsmt]]</f>
        <v>780</v>
      </c>
      <c r="W1974" s="31"/>
      <c r="X1974" s="27"/>
      <c r="Y1974" s="27">
        <f>Inventory[[#This Row],[MainFn]]+Inventory[[#This Row],[UpprFn]]+Inventory[[#This Row],[FnBsmt]]+Inventory[[#This Row],[AddFn]]</f>
        <v>2238</v>
      </c>
      <c r="Z1974" s="27">
        <v>2500</v>
      </c>
      <c r="AA1974" s="25">
        <v>7</v>
      </c>
      <c r="AB1974" s="27"/>
      <c r="AC1974" s="27"/>
      <c r="AD1974" s="32">
        <v>250</v>
      </c>
      <c r="AE1974" s="27"/>
      <c r="AF1974" s="27"/>
      <c r="AG1974" s="27"/>
      <c r="AH1974" s="27"/>
      <c r="AI1974" s="25">
        <v>356119</v>
      </c>
      <c r="AJ1974" s="25">
        <v>220794</v>
      </c>
      <c r="AK1974" s="25">
        <v>6903</v>
      </c>
      <c r="AL1974" s="25">
        <v>341700</v>
      </c>
      <c r="AM1974" s="25">
        <v>81700</v>
      </c>
      <c r="AN1974" s="25">
        <v>260000</v>
      </c>
      <c r="AO1974" s="25">
        <v>0</v>
      </c>
      <c r="AP1974" s="25">
        <f>Lookups!$B$56*0</f>
        <v>0</v>
      </c>
      <c r="AQ1974" s="25">
        <f>Lookups!$B$56*1</f>
        <v>89850.625589999996</v>
      </c>
      <c r="AR1974" s="25">
        <f>Lookups!$B$57*Inventory[[#This Row],[LnAcres]]</f>
        <v>-29806.256507663158</v>
      </c>
      <c r="AS1974" s="25">
        <f>VLOOKUP(Inventory[[#This Row],[Qlty]],Lookups!$A$62:$E$75,2,FALSE)</f>
        <v>21557.329055999999</v>
      </c>
      <c r="AT1974" s="25">
        <f>VLOOKUP(Inventory[[#This Row],[Cnd]],Lookups!$A$76:$E$84,2,FALSE)</f>
        <v>133714.53821</v>
      </c>
      <c r="AU1974" s="25">
        <f>Inventory[[#This Row],[EffAge]]*Lookups!$B$85</f>
        <v>-12490.553628</v>
      </c>
      <c r="AV1974" s="25">
        <f>Inventory[[#This Row],[MainFn]]*Lookups!$B$86</f>
        <v>75990.534270826</v>
      </c>
      <c r="AW1974" s="25">
        <f>Inventory[[#This Row],[UpprFn]]*Lookups!$B$87</f>
        <v>31350.496002699998</v>
      </c>
      <c r="AX1974" s="25">
        <f>Inventory[[#This Row],[AddFn]]*Lookups!$B$88</f>
        <v>0</v>
      </c>
      <c r="AY1974" s="25">
        <f>Inventory[[#This Row],[Bsmt]]*Lookups!$B$89</f>
        <v>22683.87829266</v>
      </c>
      <c r="AZ1974" s="25">
        <f>Inventory[[#This Row],[Fixtures]]*Lookups!$B$90</f>
        <v>26544.1547364</v>
      </c>
      <c r="BA1974" s="25">
        <f>Inventory[[#This Row],[WdDeck]]*Lookups!$B$91</f>
        <v>8323.8788190000014</v>
      </c>
      <c r="BB1974" s="25">
        <f>ROUND(Inventory[[#This Row],[25Det]],-2)</f>
        <v>6900</v>
      </c>
      <c r="BC1974" s="25">
        <f>ROUND(SUM(Inventory[[#This Row],[Mdl Qlty]:[Mdl WdDeck]])+Inventory[[#This Row],[Mdl Res Intercept]],-2)</f>
        <v>307700</v>
      </c>
      <c r="BD1974" s="25">
        <f>ROUND(Inventory[[#This Row],[Mdl Land Intercept]]+Inventory[[#This Row],[Mdl LnAcres]],-2)</f>
        <v>60000</v>
      </c>
      <c r="BE1974" s="25">
        <f>Inventory[[#This Row],[Unadj Res Value]]+Inventory[[#This Row],[Unadj Det Value]]+Inventory[[#This Row],[Unadj Land Value]]</f>
        <v>374600</v>
      </c>
      <c r="BF1974" s="36">
        <f>(Inventory[[#This Row],[Unadj Total Value]]-Inventory[[#This Row],[24Final]])/Inventory[[#This Row],[24Final]]</f>
        <v>9.6283289435177055E-2</v>
      </c>
      <c r="BG1974" s="25">
        <f>VLOOKUP(Inventory[[#This Row],[Nbhd]],Lookups!$Q$2:$T$4,4,FALSE)</f>
        <v>0.99970000000000003</v>
      </c>
      <c r="BH1974" s="25">
        <f>VLOOKUP(Inventory[[#This Row],[Qlty]],Lookups!$O$7:$R$21,4,FALSE)</f>
        <v>1.0067999999999999</v>
      </c>
      <c r="BI1974" s="25">
        <f>VLOOKUP(Inventory[[#This Row],[Cnd]],Lookups!$T$7:$W$16,4,FALSE)</f>
        <v>0.99329999999999996</v>
      </c>
      <c r="BJ1974" s="25">
        <f>VLOOKUP(Inventory[[#This Row],[LivArea Range]],Lookups!$T$25:$W$37,4,FALSE)</f>
        <v>0.98919999999999997</v>
      </c>
      <c r="BK1974" s="25">
        <f>VLOOKUP(Inventory[[#This Row],[Decade]],Lookups!$O$25:$R$42,4,FALSE)</f>
        <v>1.0074000000000001</v>
      </c>
      <c r="BL1974" s="25">
        <f>Inventory[[#This Row],[Nbhd Adj]]*0.95</f>
        <v>0.94971499999999998</v>
      </c>
      <c r="BM1974" s="25">
        <f>Inventory[[#This Row],[Nbhd Adj]]*Inventory[[#This Row],[Quality Adj]]*Inventory[[#This Row],[Condition Adj]]*Inventory[[#This Row],[Living Area Adj]]*Inventory[[#This Row],[Decade Adj]]*0.95</f>
        <v>0.94646159034128952</v>
      </c>
      <c r="BN1974" s="25">
        <f>ROUND(SUM(Inventory[[#This Row],[Mdl Qlty]:[Mdl WdDeck]])+Inventory[[#This Row],[Mdl Res Intercept]]*Inventory[[#This Row],[Res Adj ]],-2)</f>
        <v>307700</v>
      </c>
      <c r="BO1974" s="25">
        <f>ROUND(Inventory[[#This Row],[25Det]]*Inventory[[#This Row],[Det/Nbhd Adj]],-2)</f>
        <v>6600</v>
      </c>
      <c r="BP1974" s="25">
        <f>Inventory[[#This Row],[Adjusted Res]]+Inventory[[#This Row],[Adj Det ]]</f>
        <v>314300</v>
      </c>
      <c r="BQ1974" s="25">
        <f>ROUND((Inventory[[#This Row],[Mdl Land Intercept]]+Inventory[[#This Row],[Mdl LnAcres]])*Inventory[[#This Row],[Det/Nbhd Adj]],-2)</f>
        <v>57000</v>
      </c>
      <c r="BR1974" s="25">
        <f>Inventory[[#This Row],[Adjusted Impr Total]]+Inventory[[#This Row],[Adjusted Land Total]]</f>
        <v>371300</v>
      </c>
      <c r="BS1974" s="36">
        <f>IFERROR((Inventory[[#This Row],[Adjusted Impr Total]]-Inventory[[#This Row],[24Bldg]])/Inventory[[#This Row],[24Bldg]],0)</f>
        <v>0.20884615384615385</v>
      </c>
      <c r="BT1974" s="36">
        <f>(Inventory[[#This Row],[Adjusted Land Total]]-Inventory[[#This Row],[24Lnd]])/Inventory[[#This Row],[24Lnd]]</f>
        <v>-0.30232558139534882</v>
      </c>
      <c r="BU1974" s="36">
        <f>(Inventory[[#This Row],[Adjusted Total]]-Inventory[[#This Row],[24Final]])/Inventory[[#This Row],[24Final]]</f>
        <v>8.6625695054141055E-2</v>
      </c>
    </row>
    <row r="1975" spans="1:73" x14ac:dyDescent="0.3">
      <c r="A1975" s="25">
        <v>2025</v>
      </c>
      <c r="B1975" s="26" t="s">
        <v>2182</v>
      </c>
      <c r="C1975" s="26">
        <f>LN(Inventory[[#This Row],[Acres]])</f>
        <v>-1.8971199848858813</v>
      </c>
      <c r="D1975" s="25">
        <v>0.15</v>
      </c>
      <c r="E1975" s="25">
        <v>6737</v>
      </c>
      <c r="F1975" s="26" t="s">
        <v>537</v>
      </c>
      <c r="G1975" s="26" t="s">
        <v>126</v>
      </c>
      <c r="H1975" s="26" t="s">
        <v>349</v>
      </c>
      <c r="I1975" s="26" t="s">
        <v>538</v>
      </c>
      <c r="J1975" s="26" t="s">
        <v>539</v>
      </c>
      <c r="K1975" s="26" t="s">
        <v>269</v>
      </c>
      <c r="L1975" s="26" t="s">
        <v>351</v>
      </c>
      <c r="M1975" s="26" t="s">
        <v>303</v>
      </c>
      <c r="N1975" s="26">
        <v>100</v>
      </c>
      <c r="O1975" s="26">
        <f>2024-Inventory[[#This Row],[YrBlt]]</f>
        <v>99</v>
      </c>
      <c r="P1975" s="26">
        <f>2024-Inventory[[#This Row],[EffYr]]</f>
        <v>56</v>
      </c>
      <c r="Q1975" s="25">
        <v>1925</v>
      </c>
      <c r="R1975" s="25">
        <v>1968</v>
      </c>
      <c r="S1975" s="25">
        <v>840</v>
      </c>
      <c r="T1975" s="31"/>
      <c r="U1975" s="25">
        <v>840</v>
      </c>
      <c r="V1975" s="25">
        <f>Inventory[[#This Row],[Bsmt]]-Inventory[[#This Row],[FnBsmt]]</f>
        <v>209</v>
      </c>
      <c r="W1975" s="25">
        <v>631</v>
      </c>
      <c r="X1975" s="27"/>
      <c r="Y1975" s="27">
        <f>Inventory[[#This Row],[MainFn]]+Inventory[[#This Row],[UpprFn]]+Inventory[[#This Row],[FnBsmt]]+Inventory[[#This Row],[AddFn]]</f>
        <v>1471</v>
      </c>
      <c r="Z1975" s="27">
        <v>1500</v>
      </c>
      <c r="AA1975" s="25">
        <v>8</v>
      </c>
      <c r="AB1975" s="27"/>
      <c r="AC1975" s="27"/>
      <c r="AD1975" s="27"/>
      <c r="AE1975" s="27"/>
      <c r="AF1975" s="27"/>
      <c r="AG1975" s="27"/>
      <c r="AH1975" s="27"/>
      <c r="AI1975" s="25">
        <v>215353</v>
      </c>
      <c r="AJ1975" s="25">
        <v>142133</v>
      </c>
      <c r="AK1975" s="25">
        <v>5934</v>
      </c>
      <c r="AL1975" s="25">
        <v>310300</v>
      </c>
      <c r="AM1975" s="25">
        <v>48400</v>
      </c>
      <c r="AN1975" s="25">
        <v>261900</v>
      </c>
      <c r="AO1975" s="25">
        <v>0</v>
      </c>
      <c r="AP1975" s="25">
        <f>Lookups!$B$56*0</f>
        <v>0</v>
      </c>
      <c r="AQ1975" s="25">
        <f>Lookups!$B$56*1</f>
        <v>89850.625589999996</v>
      </c>
      <c r="AR1975" s="25">
        <f>Lookups!$B$57*Inventory[[#This Row],[LnAcres]]</f>
        <v>-60052.604136134301</v>
      </c>
      <c r="AS1975" s="25">
        <f>VLOOKUP(Inventory[[#This Row],[Qlty]],Lookups!$A$62:$E$75,2,FALSE)</f>
        <v>21557.329055999999</v>
      </c>
      <c r="AT1975" s="25">
        <f>VLOOKUP(Inventory[[#This Row],[Cnd]],Lookups!$A$76:$E$84,2,FALSE)</f>
        <v>197752.34721000001</v>
      </c>
      <c r="AU1975" s="25">
        <f>Inventory[[#This Row],[EffAge]]*Lookups!$B$85</f>
        <v>-12490.553628</v>
      </c>
      <c r="AV1975" s="25">
        <f>Inventory[[#This Row],[MainFn]]*Lookups!$B$86</f>
        <v>41503.282696679998</v>
      </c>
      <c r="AW1975" s="25">
        <f>Inventory[[#This Row],[UpprFn]]*Lookups!$B$87</f>
        <v>0</v>
      </c>
      <c r="AX1975" s="25">
        <f>Inventory[[#This Row],[AddFn]]*Lookups!$B$88</f>
        <v>0</v>
      </c>
      <c r="AY1975" s="25">
        <f>Inventory[[#This Row],[Bsmt]]*Lookups!$B$89</f>
        <v>24428.792007479999</v>
      </c>
      <c r="AZ1975" s="25">
        <f>Inventory[[#This Row],[Fixtures]]*Lookups!$B$90</f>
        <v>30336.176841600001</v>
      </c>
      <c r="BA1975" s="25">
        <f>Inventory[[#This Row],[WdDeck]]*Lookups!$B$91</f>
        <v>0</v>
      </c>
      <c r="BB1975" s="25">
        <f>ROUND(Inventory[[#This Row],[25Det]],-2)</f>
        <v>5900</v>
      </c>
      <c r="BC1975" s="25">
        <f>ROUND(SUM(Inventory[[#This Row],[Mdl Qlty]:[Mdl WdDeck]])+Inventory[[#This Row],[Mdl Res Intercept]],-2)</f>
        <v>303100</v>
      </c>
      <c r="BD1975" s="25">
        <f>ROUND(Inventory[[#This Row],[Mdl Land Intercept]]+Inventory[[#This Row],[Mdl LnAcres]],-2)</f>
        <v>29800</v>
      </c>
      <c r="BE1975" s="25">
        <f>Inventory[[#This Row],[Unadj Res Value]]+Inventory[[#This Row],[Unadj Det Value]]+Inventory[[#This Row],[Unadj Land Value]]</f>
        <v>338800</v>
      </c>
      <c r="BF1975" s="36">
        <f>(Inventory[[#This Row],[Unadj Total Value]]-Inventory[[#This Row],[24Final]])/Inventory[[#This Row],[24Final]]</f>
        <v>9.1846600064453748E-2</v>
      </c>
      <c r="BG1975" s="25">
        <f>VLOOKUP(Inventory[[#This Row],[Nbhd]],Lookups!$Q$2:$T$4,4,FALSE)</f>
        <v>0.99970000000000003</v>
      </c>
      <c r="BH1975" s="25">
        <f>VLOOKUP(Inventory[[#This Row],[Qlty]],Lookups!$O$7:$R$21,4,FALSE)</f>
        <v>1.0067999999999999</v>
      </c>
      <c r="BI1975" s="25">
        <f>VLOOKUP(Inventory[[#This Row],[Cnd]],Lookups!$T$7:$W$16,4,FALSE)</f>
        <v>0.99650000000000005</v>
      </c>
      <c r="BJ1975" s="25">
        <f>VLOOKUP(Inventory[[#This Row],[LivArea Range]],Lookups!$T$25:$W$37,4,FALSE)</f>
        <v>1.0157</v>
      </c>
      <c r="BK1975" s="25">
        <f>VLOOKUP(Inventory[[#This Row],[Decade]],Lookups!$O$25:$R$42,4,FALSE)</f>
        <v>1.0074000000000001</v>
      </c>
      <c r="BL1975" s="25">
        <f>Inventory[[#This Row],[Nbhd Adj]]*0.95</f>
        <v>0.94971499999999998</v>
      </c>
      <c r="BM1975" s="25">
        <f>Inventory[[#This Row],[Nbhd Adj]]*Inventory[[#This Row],[Quality Adj]]*Inventory[[#This Row],[Condition Adj]]*Inventory[[#This Row],[Living Area Adj]]*Inventory[[#This Row],[Decade Adj]]*0.95</f>
        <v>0.97494744680082823</v>
      </c>
      <c r="BN1975" s="25">
        <f>ROUND(SUM(Inventory[[#This Row],[Mdl Qlty]:[Mdl WdDeck]])+Inventory[[#This Row],[Mdl Res Intercept]]*Inventory[[#This Row],[Res Adj ]],-2)</f>
        <v>303100</v>
      </c>
      <c r="BO1975" s="25">
        <f>ROUND(Inventory[[#This Row],[25Det]]*Inventory[[#This Row],[Det/Nbhd Adj]],-2)</f>
        <v>5600</v>
      </c>
      <c r="BP1975" s="25">
        <f>Inventory[[#This Row],[Adjusted Res]]+Inventory[[#This Row],[Adj Det ]]</f>
        <v>308700</v>
      </c>
      <c r="BQ1975" s="25">
        <f>ROUND((Inventory[[#This Row],[Mdl Land Intercept]]+Inventory[[#This Row],[Mdl LnAcres]])*Inventory[[#This Row],[Det/Nbhd Adj]],-2)</f>
        <v>28300</v>
      </c>
      <c r="BR1975" s="25">
        <f>Inventory[[#This Row],[Adjusted Impr Total]]+Inventory[[#This Row],[Adjusted Land Total]]</f>
        <v>337000</v>
      </c>
      <c r="BS1975" s="36">
        <f>IFERROR((Inventory[[#This Row],[Adjusted Impr Total]]-Inventory[[#This Row],[24Bldg]])/Inventory[[#This Row],[24Bldg]],0)</f>
        <v>0.17869415807560138</v>
      </c>
      <c r="BT1975" s="36">
        <f>(Inventory[[#This Row],[Adjusted Land Total]]-Inventory[[#This Row],[24Lnd]])/Inventory[[#This Row],[24Lnd]]</f>
        <v>-0.41528925619834711</v>
      </c>
      <c r="BU1975" s="36">
        <f>(Inventory[[#This Row],[Adjusted Total]]-Inventory[[#This Row],[24Final]])/Inventory[[#This Row],[24Final]]</f>
        <v>8.6045762165646147E-2</v>
      </c>
    </row>
    <row r="1976" spans="1:73" x14ac:dyDescent="0.3">
      <c r="A1976" s="25">
        <v>2025</v>
      </c>
      <c r="B1976" s="26" t="s">
        <v>2620</v>
      </c>
      <c r="C1976" s="26">
        <f>LN(Inventory[[#This Row],[Acres]])</f>
        <v>-1.8971199848858813</v>
      </c>
      <c r="D1976" s="25">
        <v>0.15</v>
      </c>
      <c r="E1976" s="25">
        <v>6580</v>
      </c>
      <c r="F1976" s="26" t="s">
        <v>537</v>
      </c>
      <c r="G1976" s="26" t="s">
        <v>126</v>
      </c>
      <c r="H1976" s="26" t="s">
        <v>349</v>
      </c>
      <c r="I1976" s="26" t="s">
        <v>538</v>
      </c>
      <c r="J1976" s="26" t="s">
        <v>539</v>
      </c>
      <c r="K1976" s="26" t="s">
        <v>173</v>
      </c>
      <c r="L1976" s="26" t="s">
        <v>302</v>
      </c>
      <c r="M1976" s="26" t="s">
        <v>323</v>
      </c>
      <c r="N1976" s="26">
        <v>100</v>
      </c>
      <c r="O1976" s="26">
        <f>2024-Inventory[[#This Row],[YrBlt]]</f>
        <v>99</v>
      </c>
      <c r="P1976" s="26">
        <f>2024-Inventory[[#This Row],[EffYr]]</f>
        <v>56</v>
      </c>
      <c r="Q1976" s="25">
        <v>1925</v>
      </c>
      <c r="R1976" s="25">
        <v>1968</v>
      </c>
      <c r="S1976" s="25">
        <v>1040</v>
      </c>
      <c r="T1976" s="25">
        <v>527</v>
      </c>
      <c r="U1976" s="25">
        <v>990</v>
      </c>
      <c r="V1976" s="25">
        <f>Inventory[[#This Row],[Bsmt]]-Inventory[[#This Row],[FnBsmt]]</f>
        <v>990</v>
      </c>
      <c r="W1976" s="31"/>
      <c r="X1976" s="27"/>
      <c r="Y1976" s="27">
        <f>Inventory[[#This Row],[MainFn]]+Inventory[[#This Row],[UpprFn]]+Inventory[[#This Row],[FnBsmt]]+Inventory[[#This Row],[AddFn]]</f>
        <v>1567</v>
      </c>
      <c r="Z1976" s="27">
        <v>2000</v>
      </c>
      <c r="AA1976" s="25">
        <v>8</v>
      </c>
      <c r="AB1976" s="27"/>
      <c r="AC1976" s="27"/>
      <c r="AD1976" s="31"/>
      <c r="AE1976" s="27"/>
      <c r="AF1976" s="27"/>
      <c r="AG1976" s="27"/>
      <c r="AH1976" s="27"/>
      <c r="AI1976" s="25">
        <v>334079</v>
      </c>
      <c r="AJ1976" s="25">
        <v>213811</v>
      </c>
      <c r="AK1976" s="25">
        <v>8244</v>
      </c>
      <c r="AL1976" s="25">
        <v>320500</v>
      </c>
      <c r="AM1976" s="25">
        <v>48400</v>
      </c>
      <c r="AN1976" s="25">
        <v>272100</v>
      </c>
      <c r="AO1976" s="25">
        <v>0</v>
      </c>
      <c r="AP1976" s="25">
        <f>Lookups!$B$56*0</f>
        <v>0</v>
      </c>
      <c r="AQ1976" s="25">
        <f>Lookups!$B$56*1</f>
        <v>89850.625589999996</v>
      </c>
      <c r="AR1976" s="25">
        <f>Lookups!$B$57*Inventory[[#This Row],[LnAcres]]</f>
        <v>-60052.604136134301</v>
      </c>
      <c r="AS1976" s="25">
        <f>VLOOKUP(Inventory[[#This Row],[Qlty]],Lookups!$A$62:$E$75,2,FALSE)</f>
        <v>29814.093161000001</v>
      </c>
      <c r="AT1976" s="25">
        <f>VLOOKUP(Inventory[[#This Row],[Cnd]],Lookups!$A$76:$E$84,2,FALSE)</f>
        <v>160472.20319</v>
      </c>
      <c r="AU1976" s="25">
        <f>Inventory[[#This Row],[EffAge]]*Lookups!$B$85</f>
        <v>-12490.553628</v>
      </c>
      <c r="AV1976" s="25">
        <f>Inventory[[#This Row],[MainFn]]*Lookups!$B$86</f>
        <v>51385.016672080004</v>
      </c>
      <c r="AW1976" s="25">
        <f>Inventory[[#This Row],[UpprFn]]*Lookups!$B$87</f>
        <v>23602.444847747</v>
      </c>
      <c r="AX1976" s="25">
        <f>Inventory[[#This Row],[AddFn]]*Lookups!$B$88</f>
        <v>0</v>
      </c>
      <c r="AY1976" s="25">
        <f>Inventory[[#This Row],[Bsmt]]*Lookups!$B$89</f>
        <v>28791.076294529998</v>
      </c>
      <c r="AZ1976" s="25">
        <f>Inventory[[#This Row],[Fixtures]]*Lookups!$B$90</f>
        <v>30336.176841600001</v>
      </c>
      <c r="BA1976" s="25">
        <f>Inventory[[#This Row],[WdDeck]]*Lookups!$B$91</f>
        <v>0</v>
      </c>
      <c r="BB1976" s="25">
        <f>ROUND(Inventory[[#This Row],[25Det]],-2)</f>
        <v>8200</v>
      </c>
      <c r="BC1976" s="25">
        <f>ROUND(SUM(Inventory[[#This Row],[Mdl Qlty]:[Mdl WdDeck]])+Inventory[[#This Row],[Mdl Res Intercept]],-2)</f>
        <v>311900</v>
      </c>
      <c r="BD1976" s="25">
        <f>ROUND(Inventory[[#This Row],[Mdl Land Intercept]]+Inventory[[#This Row],[Mdl LnAcres]],-2)</f>
        <v>29800</v>
      </c>
      <c r="BE1976" s="25">
        <f>Inventory[[#This Row],[Unadj Res Value]]+Inventory[[#This Row],[Unadj Det Value]]+Inventory[[#This Row],[Unadj Land Value]]</f>
        <v>349900</v>
      </c>
      <c r="BF1976" s="36">
        <f>(Inventory[[#This Row],[Unadj Total Value]]-Inventory[[#This Row],[24Final]])/Inventory[[#This Row],[24Final]]</f>
        <v>9.1731669266770677E-2</v>
      </c>
      <c r="BG1976" s="25">
        <f>VLOOKUP(Inventory[[#This Row],[Nbhd]],Lookups!$Q$2:$T$4,4,FALSE)</f>
        <v>0.99970000000000003</v>
      </c>
      <c r="BH1976" s="25">
        <f>VLOOKUP(Inventory[[#This Row],[Qlty]],Lookups!$O$7:$R$21,4,FALSE)</f>
        <v>1.0088999999999999</v>
      </c>
      <c r="BI1976" s="25">
        <f>VLOOKUP(Inventory[[#This Row],[Cnd]],Lookups!$T$7:$W$16,4,FALSE)</f>
        <v>0.99729999999999996</v>
      </c>
      <c r="BJ1976" s="25">
        <f>VLOOKUP(Inventory[[#This Row],[LivArea Range]],Lookups!$T$25:$W$37,4,FALSE)</f>
        <v>1.0093000000000001</v>
      </c>
      <c r="BK1976" s="25">
        <f>VLOOKUP(Inventory[[#This Row],[Decade]],Lookups!$O$25:$R$42,4,FALSE)</f>
        <v>1.0074000000000001</v>
      </c>
      <c r="BL1976" s="25">
        <f>Inventory[[#This Row],[Nbhd Adj]]*0.95</f>
        <v>0.94971499999999998</v>
      </c>
      <c r="BM1976" s="25">
        <f>Inventory[[#This Row],[Nbhd Adj]]*Inventory[[#This Row],[Quality Adj]]*Inventory[[#This Row],[Condition Adj]]*Inventory[[#This Row],[Living Area Adj]]*Inventory[[#This Row],[Decade Adj]]*0.95</f>
        <v>0.97160436726197974</v>
      </c>
      <c r="BN1976" s="25">
        <f>ROUND(SUM(Inventory[[#This Row],[Mdl Qlty]:[Mdl WdDeck]])+Inventory[[#This Row],[Mdl Res Intercept]]*Inventory[[#This Row],[Res Adj ]],-2)</f>
        <v>311900</v>
      </c>
      <c r="BO1976" s="25">
        <f>ROUND(Inventory[[#This Row],[25Det]]*Inventory[[#This Row],[Det/Nbhd Adj]],-2)</f>
        <v>7800</v>
      </c>
      <c r="BP1976" s="25">
        <f>Inventory[[#This Row],[Adjusted Res]]+Inventory[[#This Row],[Adj Det ]]</f>
        <v>319700</v>
      </c>
      <c r="BQ1976" s="25">
        <f>ROUND((Inventory[[#This Row],[Mdl Land Intercept]]+Inventory[[#This Row],[Mdl LnAcres]])*Inventory[[#This Row],[Det/Nbhd Adj]],-2)</f>
        <v>28300</v>
      </c>
      <c r="BR1976" s="25">
        <f>Inventory[[#This Row],[Adjusted Impr Total]]+Inventory[[#This Row],[Adjusted Land Total]]</f>
        <v>348000</v>
      </c>
      <c r="BS1976" s="36">
        <f>IFERROR((Inventory[[#This Row],[Adjusted Impr Total]]-Inventory[[#This Row],[24Bldg]])/Inventory[[#This Row],[24Bldg]],0)</f>
        <v>0.1749356854097758</v>
      </c>
      <c r="BT1976" s="36">
        <f>(Inventory[[#This Row],[Adjusted Land Total]]-Inventory[[#This Row],[24Lnd]])/Inventory[[#This Row],[24Lnd]]</f>
        <v>-0.41528925619834711</v>
      </c>
      <c r="BU1976" s="36">
        <f>(Inventory[[#This Row],[Adjusted Total]]-Inventory[[#This Row],[24Final]])/Inventory[[#This Row],[24Final]]</f>
        <v>8.5803432137285487E-2</v>
      </c>
    </row>
    <row r="1977" spans="1:73" x14ac:dyDescent="0.3">
      <c r="A1977" s="25">
        <v>2025</v>
      </c>
      <c r="B1977" s="26" t="s">
        <v>2833</v>
      </c>
      <c r="C1977" s="26">
        <f>LN(Inventory[[#This Row],[Acres]])</f>
        <v>-1.6607312068216509</v>
      </c>
      <c r="D1977" s="25">
        <v>0.19</v>
      </c>
      <c r="E1977" s="31"/>
      <c r="F1977" s="26" t="s">
        <v>537</v>
      </c>
      <c r="G1977" s="26" t="s">
        <v>126</v>
      </c>
      <c r="H1977" s="26" t="s">
        <v>349</v>
      </c>
      <c r="I1977" s="26" t="s">
        <v>538</v>
      </c>
      <c r="J1977" s="26" t="s">
        <v>539</v>
      </c>
      <c r="K1977" s="26" t="s">
        <v>269</v>
      </c>
      <c r="L1977" s="26" t="s">
        <v>205</v>
      </c>
      <c r="M1977" s="26" t="s">
        <v>303</v>
      </c>
      <c r="N1977" s="26">
        <v>100</v>
      </c>
      <c r="O1977" s="26">
        <f>2024-Inventory[[#This Row],[YrBlt]]</f>
        <v>99</v>
      </c>
      <c r="P1977" s="26">
        <f>2024-Inventory[[#This Row],[EffYr]]</f>
        <v>56</v>
      </c>
      <c r="Q1977" s="25">
        <v>1925</v>
      </c>
      <c r="R1977" s="25">
        <v>1968</v>
      </c>
      <c r="S1977" s="25">
        <v>882</v>
      </c>
      <c r="T1977" s="27"/>
      <c r="U1977" s="25">
        <v>340</v>
      </c>
      <c r="V1977" s="25">
        <f>Inventory[[#This Row],[Bsmt]]-Inventory[[#This Row],[FnBsmt]]</f>
        <v>0</v>
      </c>
      <c r="W1977" s="25">
        <v>340</v>
      </c>
      <c r="X1977" s="27"/>
      <c r="Y1977" s="27">
        <f>Inventory[[#This Row],[MainFn]]+Inventory[[#This Row],[UpprFn]]+Inventory[[#This Row],[FnBsmt]]+Inventory[[#This Row],[AddFn]]</f>
        <v>1222</v>
      </c>
      <c r="Z1977" s="27">
        <v>1500</v>
      </c>
      <c r="AA1977" s="25">
        <v>5</v>
      </c>
      <c r="AB1977" s="27"/>
      <c r="AC1977" s="27"/>
      <c r="AD1977" s="32">
        <v>234</v>
      </c>
      <c r="AE1977" s="27"/>
      <c r="AF1977" s="27"/>
      <c r="AG1977" s="27"/>
      <c r="AH1977" s="27"/>
      <c r="AI1977" s="25">
        <v>185591</v>
      </c>
      <c r="AJ1977" s="25">
        <v>122490</v>
      </c>
      <c r="AK1977" s="25">
        <v>0</v>
      </c>
      <c r="AL1977" s="25">
        <v>277400</v>
      </c>
      <c r="AM1977" s="25">
        <v>56600</v>
      </c>
      <c r="AN1977" s="25">
        <v>220800</v>
      </c>
      <c r="AO1977" s="25">
        <v>0</v>
      </c>
      <c r="AP1977" s="25">
        <f>Lookups!$B$56*0</f>
        <v>0</v>
      </c>
      <c r="AQ1977" s="25">
        <f>Lookups!$B$56*1</f>
        <v>89850.625589999996</v>
      </c>
      <c r="AR1977" s="25">
        <f>Lookups!$B$57*Inventory[[#This Row],[LnAcres]]</f>
        <v>-52569.808201026557</v>
      </c>
      <c r="AS1977" s="25">
        <f>VLOOKUP(Inventory[[#This Row],[Qlty]],Lookups!$A$62:$E$75,2,FALSE)</f>
        <v>0</v>
      </c>
      <c r="AT1977" s="25">
        <f>VLOOKUP(Inventory[[#This Row],[Cnd]],Lookups!$A$76:$E$84,2,FALSE)</f>
        <v>197752.34721000001</v>
      </c>
      <c r="AU1977" s="25">
        <f>Inventory[[#This Row],[EffAge]]*Lookups!$B$85</f>
        <v>-12490.553628</v>
      </c>
      <c r="AV1977" s="25">
        <f>Inventory[[#This Row],[MainFn]]*Lookups!$B$86</f>
        <v>43578.446831514004</v>
      </c>
      <c r="AW1977" s="25">
        <f>Inventory[[#This Row],[UpprFn]]*Lookups!$B$87</f>
        <v>0</v>
      </c>
      <c r="AX1977" s="25">
        <f>Inventory[[#This Row],[AddFn]]*Lookups!$B$88</f>
        <v>0</v>
      </c>
      <c r="AY1977" s="25">
        <f>Inventory[[#This Row],[Bsmt]]*Lookups!$B$89</f>
        <v>9887.8443839800002</v>
      </c>
      <c r="AZ1977" s="25">
        <f>Inventory[[#This Row],[Fixtures]]*Lookups!$B$90</f>
        <v>18960.110526</v>
      </c>
      <c r="BA1977" s="25">
        <f>Inventory[[#This Row],[WdDeck]]*Lookups!$B$91</f>
        <v>7791.1505745840004</v>
      </c>
      <c r="BB1977" s="25">
        <f>ROUND(Inventory[[#This Row],[25Det]],-2)</f>
        <v>0</v>
      </c>
      <c r="BC1977" s="25">
        <f>ROUND(SUM(Inventory[[#This Row],[Mdl Qlty]:[Mdl WdDeck]])+Inventory[[#This Row],[Mdl Res Intercept]],-2)</f>
        <v>265500</v>
      </c>
      <c r="BD1977" s="25">
        <f>ROUND(Inventory[[#This Row],[Mdl Land Intercept]]+Inventory[[#This Row],[Mdl LnAcres]],-2)</f>
        <v>37300</v>
      </c>
      <c r="BE1977" s="25">
        <f>Inventory[[#This Row],[Unadj Res Value]]+Inventory[[#This Row],[Unadj Det Value]]+Inventory[[#This Row],[Unadj Land Value]]</f>
        <v>302800</v>
      </c>
      <c r="BF1977" s="36">
        <f>(Inventory[[#This Row],[Unadj Total Value]]-Inventory[[#This Row],[24Final]])/Inventory[[#This Row],[24Final]]</f>
        <v>9.1564527757750536E-2</v>
      </c>
      <c r="BG1977" s="25">
        <f>VLOOKUP(Inventory[[#This Row],[Nbhd]],Lookups!$Q$2:$T$4,4,FALSE)</f>
        <v>0.99970000000000003</v>
      </c>
      <c r="BH1977" s="25">
        <f>VLOOKUP(Inventory[[#This Row],[Qlty]],Lookups!$O$7:$R$21,4,FALSE)</f>
        <v>0.99180000000000001</v>
      </c>
      <c r="BI1977" s="25">
        <f>VLOOKUP(Inventory[[#This Row],[Cnd]],Lookups!$T$7:$W$16,4,FALSE)</f>
        <v>0.99650000000000005</v>
      </c>
      <c r="BJ1977" s="25">
        <f>VLOOKUP(Inventory[[#This Row],[LivArea Range]],Lookups!$T$25:$W$37,4,FALSE)</f>
        <v>1.0157</v>
      </c>
      <c r="BK1977" s="25">
        <f>VLOOKUP(Inventory[[#This Row],[Decade]],Lookups!$O$25:$R$42,4,FALSE)</f>
        <v>1.0074000000000001</v>
      </c>
      <c r="BL1977" s="25">
        <f>Inventory[[#This Row],[Nbhd Adj]]*0.95</f>
        <v>0.94971499999999998</v>
      </c>
      <c r="BM1977" s="25">
        <f>Inventory[[#This Row],[Nbhd Adj]]*Inventory[[#This Row],[Quality Adj]]*Inventory[[#This Row],[Condition Adj]]*Inventory[[#This Row],[Living Area Adj]]*Inventory[[#This Row],[Decade Adj]]*0.95</f>
        <v>0.96042200808210354</v>
      </c>
      <c r="BN1977" s="25">
        <f>ROUND(SUM(Inventory[[#This Row],[Mdl Qlty]:[Mdl WdDeck]])+Inventory[[#This Row],[Mdl Res Intercept]]*Inventory[[#This Row],[Res Adj ]],-2)</f>
        <v>265500</v>
      </c>
      <c r="BO1977" s="25">
        <f>ROUND(Inventory[[#This Row],[25Det]]*Inventory[[#This Row],[Det/Nbhd Adj]],-2)</f>
        <v>0</v>
      </c>
      <c r="BP1977" s="25">
        <f>Inventory[[#This Row],[Adjusted Res]]+Inventory[[#This Row],[Adj Det ]]</f>
        <v>265500</v>
      </c>
      <c r="BQ1977" s="25">
        <f>ROUND((Inventory[[#This Row],[Mdl Land Intercept]]+Inventory[[#This Row],[Mdl LnAcres]])*Inventory[[#This Row],[Det/Nbhd Adj]],-2)</f>
        <v>35400</v>
      </c>
      <c r="BR1977" s="25">
        <f>Inventory[[#This Row],[Adjusted Impr Total]]+Inventory[[#This Row],[Adjusted Land Total]]</f>
        <v>300900</v>
      </c>
      <c r="BS1977" s="36">
        <f>IFERROR((Inventory[[#This Row],[Adjusted Impr Total]]-Inventory[[#This Row],[24Bldg]])/Inventory[[#This Row],[24Bldg]],0)</f>
        <v>0.20244565217391305</v>
      </c>
      <c r="BT1977" s="36">
        <f>(Inventory[[#This Row],[Adjusted Land Total]]-Inventory[[#This Row],[24Lnd]])/Inventory[[#This Row],[24Lnd]]</f>
        <v>-0.37455830388692579</v>
      </c>
      <c r="BU1977" s="36">
        <f>(Inventory[[#This Row],[Adjusted Total]]-Inventory[[#This Row],[24Final]])/Inventory[[#This Row],[24Final]]</f>
        <v>8.4715212689257385E-2</v>
      </c>
    </row>
    <row r="1978" spans="1:73" x14ac:dyDescent="0.3">
      <c r="A1978" s="25">
        <v>2025</v>
      </c>
      <c r="B1978" s="26" t="s">
        <v>2319</v>
      </c>
      <c r="C1978" s="26">
        <f>LN(Inventory[[#This Row],[Acres]])</f>
        <v>-2.3025850929940455</v>
      </c>
      <c r="D1978" s="25">
        <v>0.1</v>
      </c>
      <c r="E1978" s="31"/>
      <c r="F1978" s="26" t="s">
        <v>537</v>
      </c>
      <c r="G1978" s="26" t="s">
        <v>126</v>
      </c>
      <c r="H1978" s="26" t="s">
        <v>349</v>
      </c>
      <c r="I1978" s="26" t="s">
        <v>538</v>
      </c>
      <c r="J1978" s="26" t="s">
        <v>539</v>
      </c>
      <c r="K1978" s="26" t="s">
        <v>269</v>
      </c>
      <c r="L1978" s="26" t="s">
        <v>351</v>
      </c>
      <c r="M1978" s="26" t="s">
        <v>303</v>
      </c>
      <c r="N1978" s="26">
        <v>100</v>
      </c>
      <c r="O1978" s="26">
        <f>2024-Inventory[[#This Row],[YrBlt]]</f>
        <v>99</v>
      </c>
      <c r="P1978" s="26">
        <f>2024-Inventory[[#This Row],[EffYr]]</f>
        <v>56</v>
      </c>
      <c r="Q1978" s="25">
        <v>1925</v>
      </c>
      <c r="R1978" s="25">
        <v>1968</v>
      </c>
      <c r="S1978" s="25">
        <v>958</v>
      </c>
      <c r="T1978" s="27"/>
      <c r="U1978" s="25">
        <v>958</v>
      </c>
      <c r="V1978" s="25">
        <f>Inventory[[#This Row],[Bsmt]]-Inventory[[#This Row],[FnBsmt]]</f>
        <v>285</v>
      </c>
      <c r="W1978" s="25">
        <v>673</v>
      </c>
      <c r="X1978" s="27"/>
      <c r="Y1978" s="27">
        <f>Inventory[[#This Row],[MainFn]]+Inventory[[#This Row],[UpprFn]]+Inventory[[#This Row],[FnBsmt]]+Inventory[[#This Row],[AddFn]]</f>
        <v>1631</v>
      </c>
      <c r="Z1978" s="27">
        <v>2000</v>
      </c>
      <c r="AA1978" s="25">
        <v>8</v>
      </c>
      <c r="AB1978" s="27"/>
      <c r="AC1978" s="31"/>
      <c r="AD1978" s="27"/>
      <c r="AE1978" s="27"/>
      <c r="AF1978" s="27"/>
      <c r="AG1978" s="27"/>
      <c r="AH1978" s="27"/>
      <c r="AI1978" s="25">
        <v>252872</v>
      </c>
      <c r="AJ1978" s="25">
        <v>166896</v>
      </c>
      <c r="AK1978" s="25">
        <v>0</v>
      </c>
      <c r="AL1978" s="25">
        <v>302800</v>
      </c>
      <c r="AM1978" s="25">
        <v>34200</v>
      </c>
      <c r="AN1978" s="25">
        <v>268600</v>
      </c>
      <c r="AO1978" s="25">
        <v>0</v>
      </c>
      <c r="AP1978" s="25">
        <f>Lookups!$B$56*0</f>
        <v>0</v>
      </c>
      <c r="AQ1978" s="25">
        <f>Lookups!$B$56*1</f>
        <v>89850.625589999996</v>
      </c>
      <c r="AR1978" s="25">
        <f>Lookups!$B$57*Inventory[[#This Row],[LnAcres]]</f>
        <v>-72887.446329681261</v>
      </c>
      <c r="AS1978" s="25">
        <f>VLOOKUP(Inventory[[#This Row],[Qlty]],Lookups!$A$62:$E$75,2,FALSE)</f>
        <v>21557.329055999999</v>
      </c>
      <c r="AT1978" s="25">
        <f>VLOOKUP(Inventory[[#This Row],[Cnd]],Lookups!$A$76:$E$84,2,FALSE)</f>
        <v>197752.34721000001</v>
      </c>
      <c r="AU1978" s="25">
        <f>Inventory[[#This Row],[EffAge]]*Lookups!$B$85</f>
        <v>-12490.553628</v>
      </c>
      <c r="AV1978" s="25">
        <f>Inventory[[#This Row],[MainFn]]*Lookups!$B$86</f>
        <v>47333.505742166002</v>
      </c>
      <c r="AW1978" s="25">
        <f>Inventory[[#This Row],[UpprFn]]*Lookups!$B$87</f>
        <v>0</v>
      </c>
      <c r="AX1978" s="25">
        <f>Inventory[[#This Row],[AddFn]]*Lookups!$B$88</f>
        <v>0</v>
      </c>
      <c r="AY1978" s="25">
        <f>Inventory[[#This Row],[Bsmt]]*Lookups!$B$89</f>
        <v>27860.455646626</v>
      </c>
      <c r="AZ1978" s="25">
        <f>Inventory[[#This Row],[Fixtures]]*Lookups!$B$90</f>
        <v>30336.176841600001</v>
      </c>
      <c r="BA1978" s="25">
        <f>Inventory[[#This Row],[WdDeck]]*Lookups!$B$91</f>
        <v>0</v>
      </c>
      <c r="BB1978" s="25">
        <f>ROUND(Inventory[[#This Row],[25Det]],-2)</f>
        <v>0</v>
      </c>
      <c r="BC1978" s="25">
        <f>ROUND(SUM(Inventory[[#This Row],[Mdl Qlty]:[Mdl WdDeck]])+Inventory[[#This Row],[Mdl Res Intercept]],-2)</f>
        <v>312300</v>
      </c>
      <c r="BD1978" s="25">
        <f>ROUND(Inventory[[#This Row],[Mdl Land Intercept]]+Inventory[[#This Row],[Mdl LnAcres]],-2)</f>
        <v>17000</v>
      </c>
      <c r="BE1978" s="25">
        <f>Inventory[[#This Row],[Unadj Res Value]]+Inventory[[#This Row],[Unadj Det Value]]+Inventory[[#This Row],[Unadj Land Value]]</f>
        <v>329300</v>
      </c>
      <c r="BF1978" s="36">
        <f>(Inventory[[#This Row],[Unadj Total Value]]-Inventory[[#This Row],[24Final]])/Inventory[[#This Row],[24Final]]</f>
        <v>8.7516512549537642E-2</v>
      </c>
      <c r="BG1978" s="25">
        <f>VLOOKUP(Inventory[[#This Row],[Nbhd]],Lookups!$Q$2:$T$4,4,FALSE)</f>
        <v>0.99970000000000003</v>
      </c>
      <c r="BH1978" s="25">
        <f>VLOOKUP(Inventory[[#This Row],[Qlty]],Lookups!$O$7:$R$21,4,FALSE)</f>
        <v>1.0067999999999999</v>
      </c>
      <c r="BI1978" s="25">
        <f>VLOOKUP(Inventory[[#This Row],[Cnd]],Lookups!$T$7:$W$16,4,FALSE)</f>
        <v>0.99650000000000005</v>
      </c>
      <c r="BJ1978" s="25">
        <f>VLOOKUP(Inventory[[#This Row],[LivArea Range]],Lookups!$T$25:$W$37,4,FALSE)</f>
        <v>1.0093000000000001</v>
      </c>
      <c r="BK1978" s="25">
        <f>VLOOKUP(Inventory[[#This Row],[Decade]],Lookups!$O$25:$R$42,4,FALSE)</f>
        <v>1.0074000000000001</v>
      </c>
      <c r="BL1978" s="25">
        <f>Inventory[[#This Row],[Nbhd Adj]]*0.95</f>
        <v>0.94971499999999998</v>
      </c>
      <c r="BM1978" s="25">
        <f>Inventory[[#This Row],[Nbhd Adj]]*Inventory[[#This Row],[Quality Adj]]*Inventory[[#This Row],[Condition Adj]]*Inventory[[#This Row],[Living Area Adj]]*Inventory[[#This Row],[Decade Adj]]*0.95</f>
        <v>0.96880423161964746</v>
      </c>
      <c r="BN1978" s="25">
        <f>ROUND(SUM(Inventory[[#This Row],[Mdl Qlty]:[Mdl WdDeck]])+Inventory[[#This Row],[Mdl Res Intercept]]*Inventory[[#This Row],[Res Adj ]],-2)</f>
        <v>312300</v>
      </c>
      <c r="BO1978" s="25">
        <f>ROUND(Inventory[[#This Row],[25Det]]*Inventory[[#This Row],[Det/Nbhd Adj]],-2)</f>
        <v>0</v>
      </c>
      <c r="BP1978" s="25">
        <f>Inventory[[#This Row],[Adjusted Res]]+Inventory[[#This Row],[Adj Det ]]</f>
        <v>312300</v>
      </c>
      <c r="BQ1978" s="25">
        <f>ROUND((Inventory[[#This Row],[Mdl Land Intercept]]+Inventory[[#This Row],[Mdl LnAcres]])*Inventory[[#This Row],[Det/Nbhd Adj]],-2)</f>
        <v>16100</v>
      </c>
      <c r="BR1978" s="25">
        <f>Inventory[[#This Row],[Adjusted Impr Total]]+Inventory[[#This Row],[Adjusted Land Total]]</f>
        <v>328400</v>
      </c>
      <c r="BS1978" s="36">
        <f>IFERROR((Inventory[[#This Row],[Adjusted Impr Total]]-Inventory[[#This Row],[24Bldg]])/Inventory[[#This Row],[24Bldg]],0)</f>
        <v>0.16269545793000745</v>
      </c>
      <c r="BT1978" s="36">
        <f>(Inventory[[#This Row],[Adjusted Land Total]]-Inventory[[#This Row],[24Lnd]])/Inventory[[#This Row],[24Lnd]]</f>
        <v>-0.5292397660818714</v>
      </c>
      <c r="BU1978" s="36">
        <f>(Inventory[[#This Row],[Adjusted Total]]-Inventory[[#This Row],[24Final]])/Inventory[[#This Row],[24Final]]</f>
        <v>8.4544253632760899E-2</v>
      </c>
    </row>
    <row r="1979" spans="1:73" x14ac:dyDescent="0.3">
      <c r="A1979" s="25">
        <v>2025</v>
      </c>
      <c r="B1979" s="26" t="s">
        <v>2412</v>
      </c>
      <c r="C1979" s="26">
        <f>LN(Inventory[[#This Row],[Acres]])</f>
        <v>-1.7147984280919266</v>
      </c>
      <c r="D1979" s="25">
        <v>0.18</v>
      </c>
      <c r="E1979" s="25">
        <v>7743</v>
      </c>
      <c r="F1979" s="26" t="s">
        <v>537</v>
      </c>
      <c r="G1979" s="26" t="s">
        <v>126</v>
      </c>
      <c r="H1979" s="26" t="s">
        <v>349</v>
      </c>
      <c r="I1979" s="26" t="s">
        <v>538</v>
      </c>
      <c r="J1979" s="26" t="s">
        <v>539</v>
      </c>
      <c r="K1979" s="26" t="s">
        <v>301</v>
      </c>
      <c r="L1979" s="26" t="s">
        <v>148</v>
      </c>
      <c r="M1979" s="26" t="s">
        <v>303</v>
      </c>
      <c r="N1979" s="26">
        <v>100</v>
      </c>
      <c r="O1979" s="26">
        <f>2024-Inventory[[#This Row],[YrBlt]]</f>
        <v>99</v>
      </c>
      <c r="P1979" s="26">
        <f>2024-Inventory[[#This Row],[EffYr]]</f>
        <v>56</v>
      </c>
      <c r="Q1979" s="25">
        <v>1925</v>
      </c>
      <c r="R1979" s="25">
        <v>1968</v>
      </c>
      <c r="S1979" s="25">
        <v>1314</v>
      </c>
      <c r="T1979" s="25">
        <v>1044</v>
      </c>
      <c r="U1979" s="25">
        <v>522</v>
      </c>
      <c r="V1979" s="32">
        <f>Inventory[[#This Row],[Bsmt]]-Inventory[[#This Row],[FnBsmt]]</f>
        <v>522</v>
      </c>
      <c r="W1979" s="27"/>
      <c r="X1979" s="27"/>
      <c r="Y1979" s="27">
        <f>Inventory[[#This Row],[MainFn]]+Inventory[[#This Row],[UpprFn]]+Inventory[[#This Row],[FnBsmt]]+Inventory[[#This Row],[AddFn]]</f>
        <v>2358</v>
      </c>
      <c r="Z1979" s="27">
        <v>2500</v>
      </c>
      <c r="AA1979" s="25">
        <v>7</v>
      </c>
      <c r="AB1979" s="27"/>
      <c r="AC1979" s="27"/>
      <c r="AD1979" s="32">
        <v>280</v>
      </c>
      <c r="AE1979" s="27"/>
      <c r="AF1979" s="27"/>
      <c r="AG1979" s="27"/>
      <c r="AH1979" s="27"/>
      <c r="AI1979" s="25">
        <v>486242</v>
      </c>
      <c r="AJ1979" s="25">
        <v>320920</v>
      </c>
      <c r="AK1979" s="25">
        <v>103817</v>
      </c>
      <c r="AL1979" s="25">
        <v>484500</v>
      </c>
      <c r="AM1979" s="25">
        <v>54700</v>
      </c>
      <c r="AN1979" s="25">
        <v>429800</v>
      </c>
      <c r="AO1979" s="25">
        <v>0</v>
      </c>
      <c r="AP1979" s="25">
        <f>Lookups!$B$56*0</f>
        <v>0</v>
      </c>
      <c r="AQ1979" s="25">
        <f>Lookups!$B$56*1</f>
        <v>89850.625589999996</v>
      </c>
      <c r="AR1979" s="25">
        <f>Lookups!$B$57*Inventory[[#This Row],[LnAcres]]</f>
        <v>-54281.285314520763</v>
      </c>
      <c r="AS1979" s="25">
        <f>VLOOKUP(Inventory[[#This Row],[Qlty]],Lookups!$A$62:$E$75,2,FALSE)</f>
        <v>44121.038090000002</v>
      </c>
      <c r="AT1979" s="25">
        <f>VLOOKUP(Inventory[[#This Row],[Cnd]],Lookups!$A$76:$E$84,2,FALSE)</f>
        <v>197752.34721000001</v>
      </c>
      <c r="AU1979" s="25">
        <f>Inventory[[#This Row],[EffAge]]*Lookups!$B$85</f>
        <v>-12490.553628</v>
      </c>
      <c r="AV1979" s="25">
        <f>Inventory[[#This Row],[MainFn]]*Lookups!$B$86</f>
        <v>64922.992218378</v>
      </c>
      <c r="AW1979" s="25">
        <f>Inventory[[#This Row],[UpprFn]]*Lookups!$B$87</f>
        <v>46757.025466883999</v>
      </c>
      <c r="AX1979" s="25">
        <f>Inventory[[#This Row],[AddFn]]*Lookups!$B$88</f>
        <v>0</v>
      </c>
      <c r="AY1979" s="25">
        <f>Inventory[[#This Row],[Bsmt]]*Lookups!$B$89</f>
        <v>15180.749318933998</v>
      </c>
      <c r="AZ1979" s="25">
        <f>Inventory[[#This Row],[Fixtures]]*Lookups!$B$90</f>
        <v>26544.1547364</v>
      </c>
      <c r="BA1979" s="25">
        <f>Inventory[[#This Row],[WdDeck]]*Lookups!$B$91</f>
        <v>9322.7442772800005</v>
      </c>
      <c r="BB1979" s="25">
        <f>ROUND(Inventory[[#This Row],[25Det]],-2)</f>
        <v>103800</v>
      </c>
      <c r="BC1979" s="25">
        <f>ROUND(SUM(Inventory[[#This Row],[Mdl Qlty]:[Mdl WdDeck]])+Inventory[[#This Row],[Mdl Res Intercept]],-2)</f>
        <v>392100</v>
      </c>
      <c r="BD1979" s="25">
        <f>ROUND(Inventory[[#This Row],[Mdl Land Intercept]]+Inventory[[#This Row],[Mdl LnAcres]],-2)</f>
        <v>35600</v>
      </c>
      <c r="BE1979" s="25">
        <f>Inventory[[#This Row],[Unadj Res Value]]+Inventory[[#This Row],[Unadj Det Value]]+Inventory[[#This Row],[Unadj Land Value]]</f>
        <v>531500</v>
      </c>
      <c r="BF1979" s="36">
        <f>(Inventory[[#This Row],[Unadj Total Value]]-Inventory[[#This Row],[24Final]])/Inventory[[#This Row],[24Final]]</f>
        <v>9.7007223942208468E-2</v>
      </c>
      <c r="BG1979" s="25">
        <f>VLOOKUP(Inventory[[#This Row],[Nbhd]],Lookups!$Q$2:$T$4,4,FALSE)</f>
        <v>0.99970000000000003</v>
      </c>
      <c r="BH1979" s="25">
        <f>VLOOKUP(Inventory[[#This Row],[Qlty]],Lookups!$O$7:$R$21,4,FALSE)</f>
        <v>0.98050000000000004</v>
      </c>
      <c r="BI1979" s="25">
        <f>VLOOKUP(Inventory[[#This Row],[Cnd]],Lookups!$T$7:$W$16,4,FALSE)</f>
        <v>0.99650000000000005</v>
      </c>
      <c r="BJ1979" s="25">
        <f>VLOOKUP(Inventory[[#This Row],[LivArea Range]],Lookups!$T$25:$W$37,4,FALSE)</f>
        <v>0.98919999999999997</v>
      </c>
      <c r="BK1979" s="25">
        <f>VLOOKUP(Inventory[[#This Row],[Decade]],Lookups!$O$25:$R$42,4,FALSE)</f>
        <v>1.0074000000000001</v>
      </c>
      <c r="BL1979" s="25">
        <f>Inventory[[#This Row],[Nbhd Adj]]*0.95</f>
        <v>0.94971499999999998</v>
      </c>
      <c r="BM1979" s="25">
        <f>Inventory[[#This Row],[Nbhd Adj]]*Inventory[[#This Row],[Quality Adj]]*Inventory[[#This Row],[Condition Adj]]*Inventory[[#This Row],[Living Area Adj]]*Inventory[[#This Row],[Decade Adj]]*0.95</f>
        <v>0.9247072287054503</v>
      </c>
      <c r="BN1979" s="25">
        <f>ROUND(SUM(Inventory[[#This Row],[Mdl Qlty]:[Mdl WdDeck]])+Inventory[[#This Row],[Mdl Res Intercept]]*Inventory[[#This Row],[Res Adj ]],-2)</f>
        <v>392100</v>
      </c>
      <c r="BO1979" s="25">
        <f>ROUND(Inventory[[#This Row],[25Det]]*Inventory[[#This Row],[Det/Nbhd Adj]],-2)</f>
        <v>98600</v>
      </c>
      <c r="BP1979" s="25">
        <f>Inventory[[#This Row],[Adjusted Res]]+Inventory[[#This Row],[Adj Det ]]</f>
        <v>490700</v>
      </c>
      <c r="BQ1979" s="25">
        <f>ROUND((Inventory[[#This Row],[Mdl Land Intercept]]+Inventory[[#This Row],[Mdl LnAcres]])*Inventory[[#This Row],[Det/Nbhd Adj]],-2)</f>
        <v>33800</v>
      </c>
      <c r="BR1979" s="25">
        <f>Inventory[[#This Row],[Adjusted Impr Total]]+Inventory[[#This Row],[Adjusted Land Total]]</f>
        <v>524500</v>
      </c>
      <c r="BS1979" s="36">
        <f>IFERROR((Inventory[[#This Row],[Adjusted Impr Total]]-Inventory[[#This Row],[24Bldg]])/Inventory[[#This Row],[24Bldg]],0)</f>
        <v>0.14169381107491857</v>
      </c>
      <c r="BT1979" s="36">
        <f>(Inventory[[#This Row],[Adjusted Land Total]]-Inventory[[#This Row],[24Lnd]])/Inventory[[#This Row],[24Lnd]]</f>
        <v>-0.38208409506398539</v>
      </c>
      <c r="BU1979" s="36">
        <f>(Inventory[[#This Row],[Adjusted Total]]-Inventory[[#This Row],[24Final]])/Inventory[[#This Row],[24Final]]</f>
        <v>8.2559339525283798E-2</v>
      </c>
    </row>
    <row r="1980" spans="1:73" x14ac:dyDescent="0.3">
      <c r="A1980" s="25">
        <v>2025</v>
      </c>
      <c r="B1980" s="26" t="s">
        <v>2328</v>
      </c>
      <c r="C1980" s="26">
        <f>LN(Inventory[[#This Row],[Acres]])</f>
        <v>-1.5141277326297755</v>
      </c>
      <c r="D1980" s="25">
        <v>0.22</v>
      </c>
      <c r="E1980" s="31"/>
      <c r="F1980" s="26" t="s">
        <v>537</v>
      </c>
      <c r="G1980" s="26" t="s">
        <v>126</v>
      </c>
      <c r="H1980" s="26" t="s">
        <v>349</v>
      </c>
      <c r="I1980" s="26" t="s">
        <v>538</v>
      </c>
      <c r="J1980" s="26" t="s">
        <v>539</v>
      </c>
      <c r="K1980" s="26" t="s">
        <v>269</v>
      </c>
      <c r="L1980" s="26" t="s">
        <v>148</v>
      </c>
      <c r="M1980" s="26" t="s">
        <v>303</v>
      </c>
      <c r="N1980" s="26">
        <v>100</v>
      </c>
      <c r="O1980" s="26">
        <f>2024-Inventory[[#This Row],[YrBlt]]</f>
        <v>99</v>
      </c>
      <c r="P1980" s="26">
        <f>2024-Inventory[[#This Row],[EffYr]]</f>
        <v>39</v>
      </c>
      <c r="Q1980" s="25">
        <v>1925</v>
      </c>
      <c r="R1980" s="25">
        <v>1985</v>
      </c>
      <c r="S1980" s="25">
        <v>1252</v>
      </c>
      <c r="T1980" s="31"/>
      <c r="U1980" s="25">
        <v>1252</v>
      </c>
      <c r="V1980" s="25">
        <f>Inventory[[#This Row],[Bsmt]]-Inventory[[#This Row],[FnBsmt]]</f>
        <v>150</v>
      </c>
      <c r="W1980" s="25">
        <v>1102</v>
      </c>
      <c r="X1980" s="27"/>
      <c r="Y1980" s="27">
        <f>Inventory[[#This Row],[MainFn]]+Inventory[[#This Row],[UpprFn]]+Inventory[[#This Row],[FnBsmt]]+Inventory[[#This Row],[AddFn]]</f>
        <v>2354</v>
      </c>
      <c r="Z1980" s="27">
        <v>2500</v>
      </c>
      <c r="AA1980" s="25">
        <v>8</v>
      </c>
      <c r="AB1980" s="27"/>
      <c r="AC1980" s="27"/>
      <c r="AD1980" s="25">
        <v>264</v>
      </c>
      <c r="AE1980" s="27"/>
      <c r="AF1980" s="27"/>
      <c r="AG1980" s="27"/>
      <c r="AH1980" s="27"/>
      <c r="AI1980" s="25">
        <v>422463</v>
      </c>
      <c r="AJ1980" s="25">
        <v>342195</v>
      </c>
      <c r="AK1980" s="25">
        <v>11205</v>
      </c>
      <c r="AL1980" s="25">
        <v>389000</v>
      </c>
      <c r="AM1980" s="25">
        <v>61700</v>
      </c>
      <c r="AN1980" s="25">
        <v>327300</v>
      </c>
      <c r="AO1980" s="25">
        <v>0</v>
      </c>
      <c r="AP1980" s="25">
        <f>Lookups!$B$56*0</f>
        <v>0</v>
      </c>
      <c r="AQ1980" s="25">
        <f>Lookups!$B$56*1</f>
        <v>89850.625589999996</v>
      </c>
      <c r="AR1980" s="25">
        <f>Lookups!$B$57*Inventory[[#This Row],[LnAcres]]</f>
        <v>-47929.131559187132</v>
      </c>
      <c r="AS1980" s="25">
        <f>VLOOKUP(Inventory[[#This Row],[Qlty]],Lookups!$A$62:$E$75,2,FALSE)</f>
        <v>44121.038090000002</v>
      </c>
      <c r="AT1980" s="25">
        <f>VLOOKUP(Inventory[[#This Row],[Cnd]],Lookups!$A$76:$E$84,2,FALSE)</f>
        <v>197752.34721000001</v>
      </c>
      <c r="AU1980" s="25">
        <f>Inventory[[#This Row],[EffAge]]*Lookups!$B$85</f>
        <v>-8698.7784195000004</v>
      </c>
      <c r="AV1980" s="25">
        <f>Inventory[[#This Row],[MainFn]]*Lookups!$B$86</f>
        <v>61859.654686004003</v>
      </c>
      <c r="AW1980" s="25">
        <f>Inventory[[#This Row],[UpprFn]]*Lookups!$B$87</f>
        <v>0</v>
      </c>
      <c r="AX1980" s="25">
        <f>Inventory[[#This Row],[AddFn]]*Lookups!$B$88</f>
        <v>0</v>
      </c>
      <c r="AY1980" s="25">
        <f>Inventory[[#This Row],[Bsmt]]*Lookups!$B$89</f>
        <v>36410.532849243995</v>
      </c>
      <c r="AZ1980" s="25">
        <f>Inventory[[#This Row],[Fixtures]]*Lookups!$B$90</f>
        <v>30336.176841600001</v>
      </c>
      <c r="BA1980" s="25">
        <f>Inventory[[#This Row],[WdDeck]]*Lookups!$B$91</f>
        <v>8790.0160328640013</v>
      </c>
      <c r="BB1980" s="25">
        <f>ROUND(Inventory[[#This Row],[25Det]],-2)</f>
        <v>11200</v>
      </c>
      <c r="BC1980" s="25">
        <f>ROUND(SUM(Inventory[[#This Row],[Mdl Qlty]:[Mdl WdDeck]])+Inventory[[#This Row],[Mdl Res Intercept]],-2)</f>
        <v>370600</v>
      </c>
      <c r="BD1980" s="25">
        <f>ROUND(Inventory[[#This Row],[Mdl Land Intercept]]+Inventory[[#This Row],[Mdl LnAcres]],-2)</f>
        <v>41900</v>
      </c>
      <c r="BE1980" s="25">
        <f>Inventory[[#This Row],[Unadj Res Value]]+Inventory[[#This Row],[Unadj Det Value]]+Inventory[[#This Row],[Unadj Land Value]]</f>
        <v>423700</v>
      </c>
      <c r="BF1980" s="36">
        <f>(Inventory[[#This Row],[Unadj Total Value]]-Inventory[[#This Row],[24Final]])/Inventory[[#This Row],[24Final]]</f>
        <v>8.9203084832904886E-2</v>
      </c>
      <c r="BG1980" s="25">
        <f>VLOOKUP(Inventory[[#This Row],[Nbhd]],Lookups!$Q$2:$T$4,4,FALSE)</f>
        <v>0.99970000000000003</v>
      </c>
      <c r="BH1980" s="25">
        <f>VLOOKUP(Inventory[[#This Row],[Qlty]],Lookups!$O$7:$R$21,4,FALSE)</f>
        <v>0.98050000000000004</v>
      </c>
      <c r="BI1980" s="25">
        <f>VLOOKUP(Inventory[[#This Row],[Cnd]],Lookups!$T$7:$W$16,4,FALSE)</f>
        <v>0.99650000000000005</v>
      </c>
      <c r="BJ1980" s="25">
        <f>VLOOKUP(Inventory[[#This Row],[LivArea Range]],Lookups!$T$25:$W$37,4,FALSE)</f>
        <v>0.98919999999999997</v>
      </c>
      <c r="BK1980" s="25">
        <f>VLOOKUP(Inventory[[#This Row],[Decade]],Lookups!$O$25:$R$42,4,FALSE)</f>
        <v>1.0074000000000001</v>
      </c>
      <c r="BL1980" s="25">
        <f>Inventory[[#This Row],[Nbhd Adj]]*0.95</f>
        <v>0.94971499999999998</v>
      </c>
      <c r="BM1980" s="25">
        <f>Inventory[[#This Row],[Nbhd Adj]]*Inventory[[#This Row],[Quality Adj]]*Inventory[[#This Row],[Condition Adj]]*Inventory[[#This Row],[Living Area Adj]]*Inventory[[#This Row],[Decade Adj]]*0.95</f>
        <v>0.9247072287054503</v>
      </c>
      <c r="BN1980" s="25">
        <f>ROUND(SUM(Inventory[[#This Row],[Mdl Qlty]:[Mdl WdDeck]])+Inventory[[#This Row],[Mdl Res Intercept]]*Inventory[[#This Row],[Res Adj ]],-2)</f>
        <v>370600</v>
      </c>
      <c r="BO1980" s="25">
        <f>ROUND(Inventory[[#This Row],[25Det]]*Inventory[[#This Row],[Det/Nbhd Adj]],-2)</f>
        <v>10600</v>
      </c>
      <c r="BP1980" s="25">
        <f>Inventory[[#This Row],[Adjusted Res]]+Inventory[[#This Row],[Adj Det ]]</f>
        <v>381200</v>
      </c>
      <c r="BQ1980" s="25">
        <f>ROUND((Inventory[[#This Row],[Mdl Land Intercept]]+Inventory[[#This Row],[Mdl LnAcres]])*Inventory[[#This Row],[Det/Nbhd Adj]],-2)</f>
        <v>39800</v>
      </c>
      <c r="BR1980" s="25">
        <f>Inventory[[#This Row],[Adjusted Impr Total]]+Inventory[[#This Row],[Adjusted Land Total]]</f>
        <v>421000</v>
      </c>
      <c r="BS1980" s="36">
        <f>IFERROR((Inventory[[#This Row],[Adjusted Impr Total]]-Inventory[[#This Row],[24Bldg]])/Inventory[[#This Row],[24Bldg]],0)</f>
        <v>0.16468072105102352</v>
      </c>
      <c r="BT1980" s="36">
        <f>(Inventory[[#This Row],[Adjusted Land Total]]-Inventory[[#This Row],[24Lnd]])/Inventory[[#This Row],[24Lnd]]</f>
        <v>-0.35494327390599678</v>
      </c>
      <c r="BU1980" s="36">
        <f>(Inventory[[#This Row],[Adjusted Total]]-Inventory[[#This Row],[24Final]])/Inventory[[#This Row],[24Final]]</f>
        <v>8.2262210796915161E-2</v>
      </c>
    </row>
    <row r="1981" spans="1:73" x14ac:dyDescent="0.3">
      <c r="A1981" s="25">
        <v>2025</v>
      </c>
      <c r="B1981" s="26" t="s">
        <v>2069</v>
      </c>
      <c r="C1981" s="26">
        <f>LN(Inventory[[#This Row],[Acres]])</f>
        <v>-0.9942522733438669</v>
      </c>
      <c r="D1981" s="25">
        <v>0.37</v>
      </c>
      <c r="E1981" s="31"/>
      <c r="F1981" s="26" t="s">
        <v>537</v>
      </c>
      <c r="G1981" s="26" t="s">
        <v>126</v>
      </c>
      <c r="H1981" s="26" t="s">
        <v>349</v>
      </c>
      <c r="I1981" s="26" t="s">
        <v>538</v>
      </c>
      <c r="J1981" s="26" t="s">
        <v>539</v>
      </c>
      <c r="K1981" s="26" t="s">
        <v>269</v>
      </c>
      <c r="L1981" s="26" t="s">
        <v>302</v>
      </c>
      <c r="M1981" s="26" t="s">
        <v>323</v>
      </c>
      <c r="N1981" s="26">
        <v>100</v>
      </c>
      <c r="O1981" s="26">
        <f>2024-Inventory[[#This Row],[YrBlt]]</f>
        <v>99</v>
      </c>
      <c r="P1981" s="26">
        <f>2024-Inventory[[#This Row],[EffYr]]</f>
        <v>56</v>
      </c>
      <c r="Q1981" s="25">
        <v>1925</v>
      </c>
      <c r="R1981" s="25">
        <v>1968</v>
      </c>
      <c r="S1981" s="25">
        <v>2048</v>
      </c>
      <c r="T1981" s="31"/>
      <c r="U1981" s="25">
        <v>1008</v>
      </c>
      <c r="V1981" s="25">
        <f>Inventory[[#This Row],[Bsmt]]-Inventory[[#This Row],[FnBsmt]]</f>
        <v>1008</v>
      </c>
      <c r="W1981" s="25">
        <v>0</v>
      </c>
      <c r="X1981" s="27"/>
      <c r="Y1981" s="27">
        <f>Inventory[[#This Row],[MainFn]]+Inventory[[#This Row],[UpprFn]]+Inventory[[#This Row],[FnBsmt]]+Inventory[[#This Row],[AddFn]]</f>
        <v>2048</v>
      </c>
      <c r="Z1981" s="27">
        <v>2500</v>
      </c>
      <c r="AA1981" s="25">
        <v>5</v>
      </c>
      <c r="AB1981" s="27"/>
      <c r="AC1981" s="27"/>
      <c r="AD1981" s="32">
        <v>327</v>
      </c>
      <c r="AE1981" s="27"/>
      <c r="AF1981" s="27"/>
      <c r="AG1981" s="27"/>
      <c r="AH1981" s="27"/>
      <c r="AI1981" s="25">
        <v>392171</v>
      </c>
      <c r="AJ1981" s="25">
        <v>250989</v>
      </c>
      <c r="AK1981" s="25">
        <v>7601</v>
      </c>
      <c r="AL1981" s="25">
        <v>370500</v>
      </c>
      <c r="AM1981" s="25">
        <v>79900</v>
      </c>
      <c r="AN1981" s="25">
        <v>290600</v>
      </c>
      <c r="AO1981" s="25">
        <v>0</v>
      </c>
      <c r="AP1981" s="25">
        <f>Lookups!$B$56*0</f>
        <v>0</v>
      </c>
      <c r="AQ1981" s="25">
        <f>Lookups!$B$56*1</f>
        <v>89850.625589999996</v>
      </c>
      <c r="AR1981" s="25">
        <f>Lookups!$B$57*Inventory[[#This Row],[LnAcres]]</f>
        <v>-31472.673662315807</v>
      </c>
      <c r="AS1981" s="25">
        <f>VLOOKUP(Inventory[[#This Row],[Qlty]],Lookups!$A$62:$E$75,2,FALSE)</f>
        <v>29814.093161000001</v>
      </c>
      <c r="AT1981" s="25">
        <f>VLOOKUP(Inventory[[#This Row],[Cnd]],Lookups!$A$76:$E$84,2,FALSE)</f>
        <v>160472.20319</v>
      </c>
      <c r="AU1981" s="25">
        <f>Inventory[[#This Row],[EffAge]]*Lookups!$B$85</f>
        <v>-12490.553628</v>
      </c>
      <c r="AV1981" s="25">
        <f>Inventory[[#This Row],[MainFn]]*Lookups!$B$86</f>
        <v>101188.955908096</v>
      </c>
      <c r="AW1981" s="25">
        <f>Inventory[[#This Row],[UpprFn]]*Lookups!$B$87</f>
        <v>0</v>
      </c>
      <c r="AX1981" s="25">
        <f>Inventory[[#This Row],[AddFn]]*Lookups!$B$88</f>
        <v>0</v>
      </c>
      <c r="AY1981" s="25">
        <f>Inventory[[#This Row],[Bsmt]]*Lookups!$B$89</f>
        <v>29314.550408976</v>
      </c>
      <c r="AZ1981" s="25">
        <f>Inventory[[#This Row],[Fixtures]]*Lookups!$B$90</f>
        <v>18960.110526</v>
      </c>
      <c r="BA1981" s="25">
        <f>Inventory[[#This Row],[WdDeck]]*Lookups!$B$91</f>
        <v>10887.633495252001</v>
      </c>
      <c r="BB1981" s="25">
        <f>ROUND(Inventory[[#This Row],[25Det]],-2)</f>
        <v>7600</v>
      </c>
      <c r="BC1981" s="25">
        <f>ROUND(SUM(Inventory[[#This Row],[Mdl Qlty]:[Mdl WdDeck]])+Inventory[[#This Row],[Mdl Res Intercept]],-2)</f>
        <v>338100</v>
      </c>
      <c r="BD1981" s="25">
        <f>ROUND(Inventory[[#This Row],[Mdl Land Intercept]]+Inventory[[#This Row],[Mdl LnAcres]],-2)</f>
        <v>58400</v>
      </c>
      <c r="BE1981" s="25">
        <f>Inventory[[#This Row],[Unadj Res Value]]+Inventory[[#This Row],[Unadj Det Value]]+Inventory[[#This Row],[Unadj Land Value]]</f>
        <v>404100</v>
      </c>
      <c r="BF1981" s="36">
        <f>(Inventory[[#This Row],[Unadj Total Value]]-Inventory[[#This Row],[24Final]])/Inventory[[#This Row],[24Final]]</f>
        <v>9.0688259109311747E-2</v>
      </c>
      <c r="BG1981" s="25">
        <f>VLOOKUP(Inventory[[#This Row],[Nbhd]],Lookups!$Q$2:$T$4,4,FALSE)</f>
        <v>0.99970000000000003</v>
      </c>
      <c r="BH1981" s="25">
        <f>VLOOKUP(Inventory[[#This Row],[Qlty]],Lookups!$O$7:$R$21,4,FALSE)</f>
        <v>1.0088999999999999</v>
      </c>
      <c r="BI1981" s="25">
        <f>VLOOKUP(Inventory[[#This Row],[Cnd]],Lookups!$T$7:$W$16,4,FALSE)</f>
        <v>0.99729999999999996</v>
      </c>
      <c r="BJ1981" s="25">
        <f>VLOOKUP(Inventory[[#This Row],[LivArea Range]],Lookups!$T$25:$W$37,4,FALSE)</f>
        <v>0.98919999999999997</v>
      </c>
      <c r="BK1981" s="25">
        <f>VLOOKUP(Inventory[[#This Row],[Decade]],Lookups!$O$25:$R$42,4,FALSE)</f>
        <v>1.0074000000000001</v>
      </c>
      <c r="BL1981" s="25">
        <f>Inventory[[#This Row],[Nbhd Adj]]*0.95</f>
        <v>0.94971499999999998</v>
      </c>
      <c r="BM1981" s="25">
        <f>Inventory[[#This Row],[Nbhd Adj]]*Inventory[[#This Row],[Quality Adj]]*Inventory[[#This Row],[Condition Adj]]*Inventory[[#This Row],[Living Area Adj]]*Inventory[[#This Row],[Decade Adj]]*0.95</f>
        <v>0.95225506796349002</v>
      </c>
      <c r="BN1981" s="25">
        <f>ROUND(SUM(Inventory[[#This Row],[Mdl Qlty]:[Mdl WdDeck]])+Inventory[[#This Row],[Mdl Res Intercept]]*Inventory[[#This Row],[Res Adj ]],-2)</f>
        <v>338100</v>
      </c>
      <c r="BO1981" s="25">
        <f>ROUND(Inventory[[#This Row],[25Det]]*Inventory[[#This Row],[Det/Nbhd Adj]],-2)</f>
        <v>7200</v>
      </c>
      <c r="BP1981" s="25">
        <f>Inventory[[#This Row],[Adjusted Res]]+Inventory[[#This Row],[Adj Det ]]</f>
        <v>345300</v>
      </c>
      <c r="BQ1981" s="25">
        <f>ROUND((Inventory[[#This Row],[Mdl Land Intercept]]+Inventory[[#This Row],[Mdl LnAcres]])*Inventory[[#This Row],[Det/Nbhd Adj]],-2)</f>
        <v>55400</v>
      </c>
      <c r="BR1981" s="25">
        <f>Inventory[[#This Row],[Adjusted Impr Total]]+Inventory[[#This Row],[Adjusted Land Total]]</f>
        <v>400700</v>
      </c>
      <c r="BS1981" s="36">
        <f>IFERROR((Inventory[[#This Row],[Adjusted Impr Total]]-Inventory[[#This Row],[24Bldg]])/Inventory[[#This Row],[24Bldg]],0)</f>
        <v>0.18823124569855471</v>
      </c>
      <c r="BT1981" s="36">
        <f>(Inventory[[#This Row],[Adjusted Land Total]]-Inventory[[#This Row],[24Lnd]])/Inventory[[#This Row],[24Lnd]]</f>
        <v>-0.30663329161451813</v>
      </c>
      <c r="BU1981" s="36">
        <f>(Inventory[[#This Row],[Adjusted Total]]-Inventory[[#This Row],[24Final]])/Inventory[[#This Row],[24Final]]</f>
        <v>8.1511470985155196E-2</v>
      </c>
    </row>
    <row r="1982" spans="1:73" x14ac:dyDescent="0.3">
      <c r="A1982" s="25">
        <v>2025</v>
      </c>
      <c r="B1982" s="26" t="s">
        <v>1266</v>
      </c>
      <c r="C1982" s="26">
        <f>LN(Inventory[[#This Row],[Acres]])</f>
        <v>-0.916290731874155</v>
      </c>
      <c r="D1982" s="25">
        <v>0.4</v>
      </c>
      <c r="E1982" s="25">
        <v>17228</v>
      </c>
      <c r="F1982" s="26" t="s">
        <v>537</v>
      </c>
      <c r="G1982" s="26" t="s">
        <v>126</v>
      </c>
      <c r="H1982" s="26" t="s">
        <v>349</v>
      </c>
      <c r="I1982" s="26" t="s">
        <v>538</v>
      </c>
      <c r="J1982" s="26" t="s">
        <v>539</v>
      </c>
      <c r="K1982" s="26" t="s">
        <v>173</v>
      </c>
      <c r="L1982" s="26" t="s">
        <v>148</v>
      </c>
      <c r="M1982" s="26" t="s">
        <v>303</v>
      </c>
      <c r="N1982" s="26">
        <v>100</v>
      </c>
      <c r="O1982" s="26">
        <f>2024-Inventory[[#This Row],[YrBlt]]</f>
        <v>99</v>
      </c>
      <c r="P1982" s="26">
        <f>2024-Inventory[[#This Row],[EffYr]]</f>
        <v>56</v>
      </c>
      <c r="Q1982" s="25">
        <v>1925</v>
      </c>
      <c r="R1982" s="25">
        <v>1968</v>
      </c>
      <c r="S1982" s="25">
        <v>1094</v>
      </c>
      <c r="T1982" s="25">
        <v>555</v>
      </c>
      <c r="U1982" s="25">
        <v>252</v>
      </c>
      <c r="V1982" s="25">
        <f>Inventory[[#This Row],[Bsmt]]-Inventory[[#This Row],[FnBsmt]]</f>
        <v>252</v>
      </c>
      <c r="W1982" s="31"/>
      <c r="X1982" s="27"/>
      <c r="Y1982" s="27">
        <f>Inventory[[#This Row],[MainFn]]+Inventory[[#This Row],[UpprFn]]+Inventory[[#This Row],[FnBsmt]]+Inventory[[#This Row],[AddFn]]</f>
        <v>1649</v>
      </c>
      <c r="Z1982" s="27">
        <v>2000</v>
      </c>
      <c r="AA1982" s="25">
        <v>8</v>
      </c>
      <c r="AB1982" s="27"/>
      <c r="AC1982" s="31"/>
      <c r="AD1982" s="27"/>
      <c r="AE1982" s="27"/>
      <c r="AF1982" s="27"/>
      <c r="AG1982" s="27"/>
      <c r="AH1982" s="27"/>
      <c r="AI1982" s="25">
        <v>354519</v>
      </c>
      <c r="AJ1982" s="25">
        <v>233983</v>
      </c>
      <c r="AK1982" s="25">
        <v>26002</v>
      </c>
      <c r="AL1982" s="25">
        <v>396700</v>
      </c>
      <c r="AM1982" s="25">
        <v>82600</v>
      </c>
      <c r="AN1982" s="25">
        <v>314100</v>
      </c>
      <c r="AO1982" s="25">
        <v>0</v>
      </c>
      <c r="AP1982" s="25">
        <f>Lookups!$B$56*0</f>
        <v>0</v>
      </c>
      <c r="AQ1982" s="25">
        <f>Lookups!$B$56*1</f>
        <v>89850.625589999996</v>
      </c>
      <c r="AR1982" s="25">
        <f>Lookups!$B$57*Inventory[[#This Row],[LnAcres]]</f>
        <v>-29004.831024516039</v>
      </c>
      <c r="AS1982" s="25">
        <f>VLOOKUP(Inventory[[#This Row],[Qlty]],Lookups!$A$62:$E$75,2,FALSE)</f>
        <v>44121.038090000002</v>
      </c>
      <c r="AT1982" s="25">
        <f>VLOOKUP(Inventory[[#This Row],[Cnd]],Lookups!$A$76:$E$84,2,FALSE)</f>
        <v>197752.34721000001</v>
      </c>
      <c r="AU1982" s="25">
        <f>Inventory[[#This Row],[EffAge]]*Lookups!$B$85</f>
        <v>-12490.553628</v>
      </c>
      <c r="AV1982" s="25">
        <f>Inventory[[#This Row],[MainFn]]*Lookups!$B$86</f>
        <v>54053.084845438003</v>
      </c>
      <c r="AW1982" s="25">
        <f>Inventory[[#This Row],[UpprFn]]*Lookups!$B$87</f>
        <v>24856.464687854997</v>
      </c>
      <c r="AX1982" s="25">
        <f>Inventory[[#This Row],[AddFn]]*Lookups!$B$88</f>
        <v>0</v>
      </c>
      <c r="AY1982" s="25">
        <f>Inventory[[#This Row],[Bsmt]]*Lookups!$B$89</f>
        <v>7328.6376022439999</v>
      </c>
      <c r="AZ1982" s="25">
        <f>Inventory[[#This Row],[Fixtures]]*Lookups!$B$90</f>
        <v>30336.176841600001</v>
      </c>
      <c r="BA1982" s="25">
        <f>Inventory[[#This Row],[WdDeck]]*Lookups!$B$91</f>
        <v>0</v>
      </c>
      <c r="BB1982" s="25">
        <f>ROUND(Inventory[[#This Row],[25Det]],-2)</f>
        <v>26000</v>
      </c>
      <c r="BC1982" s="25">
        <f>ROUND(SUM(Inventory[[#This Row],[Mdl Qlty]:[Mdl WdDeck]])+Inventory[[#This Row],[Mdl Res Intercept]],-2)</f>
        <v>346000</v>
      </c>
      <c r="BD1982" s="25">
        <f>ROUND(Inventory[[#This Row],[Mdl Land Intercept]]+Inventory[[#This Row],[Mdl LnAcres]],-2)</f>
        <v>60800</v>
      </c>
      <c r="BE1982" s="25">
        <f>Inventory[[#This Row],[Unadj Res Value]]+Inventory[[#This Row],[Unadj Det Value]]+Inventory[[#This Row],[Unadj Land Value]]</f>
        <v>432800</v>
      </c>
      <c r="BF1982" s="36">
        <f>(Inventory[[#This Row],[Unadj Total Value]]-Inventory[[#This Row],[24Final]])/Inventory[[#This Row],[24Final]]</f>
        <v>9.1000756238971511E-2</v>
      </c>
      <c r="BG1982" s="25">
        <f>VLOOKUP(Inventory[[#This Row],[Nbhd]],Lookups!$Q$2:$T$4,4,FALSE)</f>
        <v>0.99970000000000003</v>
      </c>
      <c r="BH1982" s="25">
        <f>VLOOKUP(Inventory[[#This Row],[Qlty]],Lookups!$O$7:$R$21,4,FALSE)</f>
        <v>0.98050000000000004</v>
      </c>
      <c r="BI1982" s="25">
        <f>VLOOKUP(Inventory[[#This Row],[Cnd]],Lookups!$T$7:$W$16,4,FALSE)</f>
        <v>0.99650000000000005</v>
      </c>
      <c r="BJ1982" s="25">
        <f>VLOOKUP(Inventory[[#This Row],[LivArea Range]],Lookups!$T$25:$W$37,4,FALSE)</f>
        <v>1.0093000000000001</v>
      </c>
      <c r="BK1982" s="25">
        <f>VLOOKUP(Inventory[[#This Row],[Decade]],Lookups!$O$25:$R$42,4,FALSE)</f>
        <v>1.0074000000000001</v>
      </c>
      <c r="BL1982" s="25">
        <f>Inventory[[#This Row],[Nbhd Adj]]*0.95</f>
        <v>0.94971499999999998</v>
      </c>
      <c r="BM1982" s="25">
        <f>Inventory[[#This Row],[Nbhd Adj]]*Inventory[[#This Row],[Quality Adj]]*Inventory[[#This Row],[Condition Adj]]*Inventory[[#This Row],[Living Area Adj]]*Inventory[[#This Row],[Decade Adj]]*0.95</f>
        <v>0.94349677105985763</v>
      </c>
      <c r="BN1982" s="25">
        <f>ROUND(SUM(Inventory[[#This Row],[Mdl Qlty]:[Mdl WdDeck]])+Inventory[[#This Row],[Mdl Res Intercept]]*Inventory[[#This Row],[Res Adj ]],-2)</f>
        <v>346000</v>
      </c>
      <c r="BO1982" s="25">
        <f>ROUND(Inventory[[#This Row],[25Det]]*Inventory[[#This Row],[Det/Nbhd Adj]],-2)</f>
        <v>24700</v>
      </c>
      <c r="BP1982" s="25">
        <f>Inventory[[#This Row],[Adjusted Res]]+Inventory[[#This Row],[Adj Det ]]</f>
        <v>370700</v>
      </c>
      <c r="BQ1982" s="25">
        <f>ROUND((Inventory[[#This Row],[Mdl Land Intercept]]+Inventory[[#This Row],[Mdl LnAcres]])*Inventory[[#This Row],[Det/Nbhd Adj]],-2)</f>
        <v>57800</v>
      </c>
      <c r="BR1982" s="25">
        <f>Inventory[[#This Row],[Adjusted Impr Total]]+Inventory[[#This Row],[Adjusted Land Total]]</f>
        <v>428500</v>
      </c>
      <c r="BS1982" s="36">
        <f>IFERROR((Inventory[[#This Row],[Adjusted Impr Total]]-Inventory[[#This Row],[24Bldg]])/Inventory[[#This Row],[24Bldg]],0)</f>
        <v>0.18019738936644381</v>
      </c>
      <c r="BT1982" s="36">
        <f>(Inventory[[#This Row],[Adjusted Land Total]]-Inventory[[#This Row],[24Lnd]])/Inventory[[#This Row],[24Lnd]]</f>
        <v>-0.30024213075060535</v>
      </c>
      <c r="BU1982" s="36">
        <f>(Inventory[[#This Row],[Adjusted Total]]-Inventory[[#This Row],[24Final]])/Inventory[[#This Row],[24Final]]</f>
        <v>8.0161330980589862E-2</v>
      </c>
    </row>
    <row r="1983" spans="1:73" x14ac:dyDescent="0.3">
      <c r="A1983" s="25">
        <v>2025</v>
      </c>
      <c r="B1983" s="26" t="s">
        <v>2579</v>
      </c>
      <c r="C1983" s="26">
        <f>LN(Inventory[[#This Row],[Acres]])</f>
        <v>-1.9661128563728327</v>
      </c>
      <c r="D1983" s="25">
        <v>0.14000000000000001</v>
      </c>
      <c r="E1983" s="25">
        <v>6000</v>
      </c>
      <c r="F1983" s="26" t="s">
        <v>537</v>
      </c>
      <c r="G1983" s="26" t="s">
        <v>126</v>
      </c>
      <c r="H1983" s="26" t="s">
        <v>349</v>
      </c>
      <c r="I1983" s="26" t="s">
        <v>538</v>
      </c>
      <c r="J1983" s="26" t="s">
        <v>539</v>
      </c>
      <c r="K1983" s="26" t="s">
        <v>269</v>
      </c>
      <c r="L1983" s="26" t="s">
        <v>351</v>
      </c>
      <c r="M1983" s="26" t="s">
        <v>323</v>
      </c>
      <c r="N1983" s="26">
        <v>100</v>
      </c>
      <c r="O1983" s="26">
        <f>2024-Inventory[[#This Row],[YrBlt]]</f>
        <v>99</v>
      </c>
      <c r="P1983" s="26">
        <f>2024-Inventory[[#This Row],[EffYr]]</f>
        <v>56</v>
      </c>
      <c r="Q1983" s="25">
        <v>1925</v>
      </c>
      <c r="R1983" s="25">
        <v>1968</v>
      </c>
      <c r="S1983" s="25">
        <v>1141</v>
      </c>
      <c r="T1983" s="27"/>
      <c r="U1983" s="32">
        <v>780</v>
      </c>
      <c r="V1983" s="32">
        <f>Inventory[[#This Row],[Bsmt]]-Inventory[[#This Row],[FnBsmt]]</f>
        <v>780</v>
      </c>
      <c r="W1983" s="27"/>
      <c r="X1983" s="27"/>
      <c r="Y1983" s="27">
        <f>Inventory[[#This Row],[MainFn]]+Inventory[[#This Row],[UpprFn]]+Inventory[[#This Row],[FnBsmt]]+Inventory[[#This Row],[AddFn]]</f>
        <v>1141</v>
      </c>
      <c r="Z1983" s="27">
        <v>1500</v>
      </c>
      <c r="AA1983" s="25">
        <v>5</v>
      </c>
      <c r="AB1983" s="31"/>
      <c r="AC1983" s="27"/>
      <c r="AD1983" s="27"/>
      <c r="AE1983" s="27"/>
      <c r="AF1983" s="27"/>
      <c r="AG1983" s="27"/>
      <c r="AH1983" s="27"/>
      <c r="AI1983" s="25">
        <v>224542</v>
      </c>
      <c r="AJ1983" s="25">
        <v>143707</v>
      </c>
      <c r="AK1983" s="25">
        <v>4439</v>
      </c>
      <c r="AL1983" s="25">
        <v>276100</v>
      </c>
      <c r="AM1983" s="25">
        <v>46000</v>
      </c>
      <c r="AN1983" s="25">
        <v>230100</v>
      </c>
      <c r="AO1983" s="25">
        <v>0</v>
      </c>
      <c r="AP1983" s="25">
        <f>Lookups!$B$56*0</f>
        <v>0</v>
      </c>
      <c r="AQ1983" s="25">
        <f>Lookups!$B$56*1</f>
        <v>89850.625589999996</v>
      </c>
      <c r="AR1983" s="25">
        <f>Lookups!$B$57*Inventory[[#This Row],[LnAcres]]</f>
        <v>-62236.546971921947</v>
      </c>
      <c r="AS1983" s="25">
        <f>VLOOKUP(Inventory[[#This Row],[Qlty]],Lookups!$A$62:$E$75,2,FALSE)</f>
        <v>21557.329055999999</v>
      </c>
      <c r="AT1983" s="25">
        <f>VLOOKUP(Inventory[[#This Row],[Cnd]],Lookups!$A$76:$E$84,2,FALSE)</f>
        <v>160472.20319</v>
      </c>
      <c r="AU1983" s="25">
        <f>Inventory[[#This Row],[EffAge]]*Lookups!$B$85</f>
        <v>-12490.553628</v>
      </c>
      <c r="AV1983" s="25">
        <f>Inventory[[#This Row],[MainFn]]*Lookups!$B$86</f>
        <v>56375.292329657001</v>
      </c>
      <c r="AW1983" s="25">
        <f>Inventory[[#This Row],[UpprFn]]*Lookups!$B$87</f>
        <v>0</v>
      </c>
      <c r="AX1983" s="25">
        <f>Inventory[[#This Row],[AddFn]]*Lookups!$B$88</f>
        <v>0</v>
      </c>
      <c r="AY1983" s="25">
        <f>Inventory[[#This Row],[Bsmt]]*Lookups!$B$89</f>
        <v>22683.87829266</v>
      </c>
      <c r="AZ1983" s="25">
        <f>Inventory[[#This Row],[Fixtures]]*Lookups!$B$90</f>
        <v>18960.110526</v>
      </c>
      <c r="BA1983" s="25">
        <f>Inventory[[#This Row],[WdDeck]]*Lookups!$B$91</f>
        <v>0</v>
      </c>
      <c r="BB1983" s="25">
        <f>ROUND(Inventory[[#This Row],[25Det]],-2)</f>
        <v>4400</v>
      </c>
      <c r="BC1983" s="25">
        <f>ROUND(SUM(Inventory[[#This Row],[Mdl Qlty]:[Mdl WdDeck]])+Inventory[[#This Row],[Mdl Res Intercept]],-2)</f>
        <v>267600</v>
      </c>
      <c r="BD1983" s="25">
        <f>ROUND(Inventory[[#This Row],[Mdl Land Intercept]]+Inventory[[#This Row],[Mdl LnAcres]],-2)</f>
        <v>27600</v>
      </c>
      <c r="BE1983" s="25">
        <f>Inventory[[#This Row],[Unadj Res Value]]+Inventory[[#This Row],[Unadj Det Value]]+Inventory[[#This Row],[Unadj Land Value]]</f>
        <v>299600</v>
      </c>
      <c r="BF1983" s="36">
        <f>(Inventory[[#This Row],[Unadj Total Value]]-Inventory[[#This Row],[24Final]])/Inventory[[#This Row],[24Final]]</f>
        <v>8.5114089098152837E-2</v>
      </c>
      <c r="BG1983" s="25">
        <f>VLOOKUP(Inventory[[#This Row],[Nbhd]],Lookups!$Q$2:$T$4,4,FALSE)</f>
        <v>0.99970000000000003</v>
      </c>
      <c r="BH1983" s="25">
        <f>VLOOKUP(Inventory[[#This Row],[Qlty]],Lookups!$O$7:$R$21,4,FALSE)</f>
        <v>1.0067999999999999</v>
      </c>
      <c r="BI1983" s="25">
        <f>VLOOKUP(Inventory[[#This Row],[Cnd]],Lookups!$T$7:$W$16,4,FALSE)</f>
        <v>0.99729999999999996</v>
      </c>
      <c r="BJ1983" s="25">
        <f>VLOOKUP(Inventory[[#This Row],[LivArea Range]],Lookups!$T$25:$W$37,4,FALSE)</f>
        <v>1.0157</v>
      </c>
      <c r="BK1983" s="25">
        <f>VLOOKUP(Inventory[[#This Row],[Decade]],Lookups!$O$25:$R$42,4,FALSE)</f>
        <v>1.0074000000000001</v>
      </c>
      <c r="BL1983" s="25">
        <f>Inventory[[#This Row],[Nbhd Adj]]*0.95</f>
        <v>0.94971499999999998</v>
      </c>
      <c r="BM1983" s="25">
        <f>Inventory[[#This Row],[Nbhd Adj]]*Inventory[[#This Row],[Quality Adj]]*Inventory[[#This Row],[Condition Adj]]*Inventory[[#This Row],[Living Area Adj]]*Inventory[[#This Row],[Decade Adj]]*0.95</f>
        <v>0.97573014419916293</v>
      </c>
      <c r="BN1983" s="25">
        <f>ROUND(SUM(Inventory[[#This Row],[Mdl Qlty]:[Mdl WdDeck]])+Inventory[[#This Row],[Mdl Res Intercept]]*Inventory[[#This Row],[Res Adj ]],-2)</f>
        <v>267600</v>
      </c>
      <c r="BO1983" s="25">
        <f>ROUND(Inventory[[#This Row],[25Det]]*Inventory[[#This Row],[Det/Nbhd Adj]],-2)</f>
        <v>4200</v>
      </c>
      <c r="BP1983" s="25">
        <f>Inventory[[#This Row],[Adjusted Res]]+Inventory[[#This Row],[Adj Det ]]</f>
        <v>271800</v>
      </c>
      <c r="BQ1983" s="25">
        <f>ROUND((Inventory[[#This Row],[Mdl Land Intercept]]+Inventory[[#This Row],[Mdl LnAcres]])*Inventory[[#This Row],[Det/Nbhd Adj]],-2)</f>
        <v>26200</v>
      </c>
      <c r="BR1983" s="25">
        <f>Inventory[[#This Row],[Adjusted Impr Total]]+Inventory[[#This Row],[Adjusted Land Total]]</f>
        <v>298000</v>
      </c>
      <c r="BS1983" s="36">
        <f>IFERROR((Inventory[[#This Row],[Adjusted Impr Total]]-Inventory[[#This Row],[24Bldg]])/Inventory[[#This Row],[24Bldg]],0)</f>
        <v>0.18122555410691005</v>
      </c>
      <c r="BT1983" s="36">
        <f>(Inventory[[#This Row],[Adjusted Land Total]]-Inventory[[#This Row],[24Lnd]])/Inventory[[#This Row],[24Lnd]]</f>
        <v>-0.43043478260869567</v>
      </c>
      <c r="BU1983" s="36">
        <f>(Inventory[[#This Row],[Adjusted Total]]-Inventory[[#This Row],[24Final]])/Inventory[[#This Row],[24Final]]</f>
        <v>7.9319087287214776E-2</v>
      </c>
    </row>
    <row r="1984" spans="1:73" x14ac:dyDescent="0.3">
      <c r="A1984" s="25">
        <v>2025</v>
      </c>
      <c r="B1984" s="26" t="s">
        <v>2557</v>
      </c>
      <c r="C1984" s="26">
        <f>LN(Inventory[[#This Row],[Acres]])</f>
        <v>-2.0402208285265546</v>
      </c>
      <c r="D1984" s="25">
        <v>0.13</v>
      </c>
      <c r="E1984" s="32">
        <v>5850</v>
      </c>
      <c r="F1984" s="26" t="s">
        <v>537</v>
      </c>
      <c r="G1984" s="26" t="s">
        <v>126</v>
      </c>
      <c r="H1984" s="26" t="s">
        <v>349</v>
      </c>
      <c r="I1984" s="26" t="s">
        <v>538</v>
      </c>
      <c r="J1984" s="26" t="s">
        <v>539</v>
      </c>
      <c r="K1984" s="26" t="s">
        <v>269</v>
      </c>
      <c r="L1984" s="26" t="s">
        <v>351</v>
      </c>
      <c r="M1984" s="26" t="s">
        <v>323</v>
      </c>
      <c r="N1984" s="26">
        <v>100</v>
      </c>
      <c r="O1984" s="26">
        <f>2024-Inventory[[#This Row],[YrBlt]]</f>
        <v>99</v>
      </c>
      <c r="P1984" s="26">
        <f>2024-Inventory[[#This Row],[EffYr]]</f>
        <v>56</v>
      </c>
      <c r="Q1984" s="25">
        <v>1925</v>
      </c>
      <c r="R1984" s="25">
        <v>1968</v>
      </c>
      <c r="S1984" s="25">
        <v>1006</v>
      </c>
      <c r="T1984" s="27"/>
      <c r="U1984" s="32">
        <v>1006</v>
      </c>
      <c r="V1984" s="32">
        <f>Inventory[[#This Row],[Bsmt]]-Inventory[[#This Row],[FnBsmt]]</f>
        <v>905</v>
      </c>
      <c r="W1984" s="32">
        <v>101</v>
      </c>
      <c r="X1984" s="27"/>
      <c r="Y1984" s="27">
        <f>Inventory[[#This Row],[MainFn]]+Inventory[[#This Row],[UpprFn]]+Inventory[[#This Row],[FnBsmt]]+Inventory[[#This Row],[AddFn]]</f>
        <v>1107</v>
      </c>
      <c r="Z1984" s="27">
        <v>1500</v>
      </c>
      <c r="AA1984" s="25">
        <v>5</v>
      </c>
      <c r="AB1984" s="32">
        <v>216</v>
      </c>
      <c r="AC1984" s="27"/>
      <c r="AD1984" s="27"/>
      <c r="AE1984" s="27"/>
      <c r="AF1984" s="27"/>
      <c r="AG1984" s="27"/>
      <c r="AH1984" s="27"/>
      <c r="AI1984" s="25">
        <v>236343</v>
      </c>
      <c r="AJ1984" s="25">
        <v>151260</v>
      </c>
      <c r="AK1984" s="25">
        <v>42735</v>
      </c>
      <c r="AL1984" s="25">
        <v>307700</v>
      </c>
      <c r="AM1984" s="25">
        <v>43400</v>
      </c>
      <c r="AN1984" s="25">
        <v>264300</v>
      </c>
      <c r="AO1984" s="25">
        <v>0</v>
      </c>
      <c r="AP1984" s="25">
        <f>Lookups!$B$56*0</f>
        <v>0</v>
      </c>
      <c r="AQ1984" s="25">
        <f>Lookups!$B$56*1</f>
        <v>89850.625589999996</v>
      </c>
      <c r="AR1984" s="25">
        <f>Lookups!$B$57*Inventory[[#This Row],[LnAcres]]</f>
        <v>-64582.406353792743</v>
      </c>
      <c r="AS1984" s="25">
        <f>VLOOKUP(Inventory[[#This Row],[Qlty]],Lookups!$A$62:$E$75,2,FALSE)</f>
        <v>21557.329055999999</v>
      </c>
      <c r="AT1984" s="25">
        <f>VLOOKUP(Inventory[[#This Row],[Cnd]],Lookups!$A$76:$E$84,2,FALSE)</f>
        <v>160472.20319</v>
      </c>
      <c r="AU1984" s="25">
        <f>Inventory[[#This Row],[EffAge]]*Lookups!$B$85</f>
        <v>-12490.553628</v>
      </c>
      <c r="AV1984" s="25">
        <f>Inventory[[#This Row],[MainFn]]*Lookups!$B$86</f>
        <v>49705.121896262004</v>
      </c>
      <c r="AW1984" s="25">
        <f>Inventory[[#This Row],[UpprFn]]*Lookups!$B$87</f>
        <v>0</v>
      </c>
      <c r="AX1984" s="25">
        <f>Inventory[[#This Row],[AddFn]]*Lookups!$B$88</f>
        <v>0</v>
      </c>
      <c r="AY1984" s="25">
        <f>Inventory[[#This Row],[Bsmt]]*Lookups!$B$89</f>
        <v>29256.386618482</v>
      </c>
      <c r="AZ1984" s="25">
        <f>Inventory[[#This Row],[Fixtures]]*Lookups!$B$90</f>
        <v>18960.110526</v>
      </c>
      <c r="BA1984" s="25">
        <f>Inventory[[#This Row],[WdDeck]]*Lookups!$B$91</f>
        <v>0</v>
      </c>
      <c r="BB1984" s="25">
        <f>ROUND(Inventory[[#This Row],[25Det]],-2)</f>
        <v>42700</v>
      </c>
      <c r="BC1984" s="25">
        <f>ROUND(SUM(Inventory[[#This Row],[Mdl Qlty]:[Mdl WdDeck]])+Inventory[[#This Row],[Mdl Res Intercept]],-2)</f>
        <v>267500</v>
      </c>
      <c r="BD1984" s="25">
        <f>ROUND(Inventory[[#This Row],[Mdl Land Intercept]]+Inventory[[#This Row],[Mdl LnAcres]],-2)</f>
        <v>25300</v>
      </c>
      <c r="BE1984" s="25">
        <f>Inventory[[#This Row],[Unadj Res Value]]+Inventory[[#This Row],[Unadj Det Value]]+Inventory[[#This Row],[Unadj Land Value]]</f>
        <v>335500</v>
      </c>
      <c r="BF1984" s="36">
        <f>(Inventory[[#This Row],[Unadj Total Value]]-Inventory[[#This Row],[24Final]])/Inventory[[#This Row],[24Final]]</f>
        <v>9.0347741306467333E-2</v>
      </c>
      <c r="BG1984" s="25">
        <f>VLOOKUP(Inventory[[#This Row],[Nbhd]],Lookups!$Q$2:$T$4,4,FALSE)</f>
        <v>0.99970000000000003</v>
      </c>
      <c r="BH1984" s="25">
        <f>VLOOKUP(Inventory[[#This Row],[Qlty]],Lookups!$O$7:$R$21,4,FALSE)</f>
        <v>1.0067999999999999</v>
      </c>
      <c r="BI1984" s="25">
        <f>VLOOKUP(Inventory[[#This Row],[Cnd]],Lookups!$T$7:$W$16,4,FALSE)</f>
        <v>0.99729999999999996</v>
      </c>
      <c r="BJ1984" s="25">
        <f>VLOOKUP(Inventory[[#This Row],[LivArea Range]],Lookups!$T$25:$W$37,4,FALSE)</f>
        <v>1.0157</v>
      </c>
      <c r="BK1984" s="25">
        <f>VLOOKUP(Inventory[[#This Row],[Decade]],Lookups!$O$25:$R$42,4,FALSE)</f>
        <v>1.0074000000000001</v>
      </c>
      <c r="BL1984" s="25">
        <f>Inventory[[#This Row],[Nbhd Adj]]*0.95</f>
        <v>0.94971499999999998</v>
      </c>
      <c r="BM1984" s="25">
        <f>Inventory[[#This Row],[Nbhd Adj]]*Inventory[[#This Row],[Quality Adj]]*Inventory[[#This Row],[Condition Adj]]*Inventory[[#This Row],[Living Area Adj]]*Inventory[[#This Row],[Decade Adj]]*0.95</f>
        <v>0.97573014419916293</v>
      </c>
      <c r="BN1984" s="25">
        <f>ROUND(SUM(Inventory[[#This Row],[Mdl Qlty]:[Mdl WdDeck]])+Inventory[[#This Row],[Mdl Res Intercept]]*Inventory[[#This Row],[Res Adj ]],-2)</f>
        <v>267500</v>
      </c>
      <c r="BO1984" s="25">
        <f>ROUND(Inventory[[#This Row],[25Det]]*Inventory[[#This Row],[Det/Nbhd Adj]],-2)</f>
        <v>40600</v>
      </c>
      <c r="BP1984" s="25">
        <f>Inventory[[#This Row],[Adjusted Res]]+Inventory[[#This Row],[Adj Det ]]</f>
        <v>308100</v>
      </c>
      <c r="BQ1984" s="25">
        <f>ROUND((Inventory[[#This Row],[Mdl Land Intercept]]+Inventory[[#This Row],[Mdl LnAcres]])*Inventory[[#This Row],[Det/Nbhd Adj]],-2)</f>
        <v>24000</v>
      </c>
      <c r="BR1984" s="25">
        <f>Inventory[[#This Row],[Adjusted Impr Total]]+Inventory[[#This Row],[Adjusted Land Total]]</f>
        <v>332100</v>
      </c>
      <c r="BS1984" s="36">
        <f>IFERROR((Inventory[[#This Row],[Adjusted Impr Total]]-Inventory[[#This Row],[24Bldg]])/Inventory[[#This Row],[24Bldg]],0)</f>
        <v>0.16572077185017026</v>
      </c>
      <c r="BT1984" s="36">
        <f>(Inventory[[#This Row],[Adjusted Land Total]]-Inventory[[#This Row],[24Lnd]])/Inventory[[#This Row],[24Lnd]]</f>
        <v>-0.44700460829493088</v>
      </c>
      <c r="BU1984" s="36">
        <f>(Inventory[[#This Row],[Adjusted Total]]-Inventory[[#This Row],[24Final]])/Inventory[[#This Row],[24Final]]</f>
        <v>7.9298017549561256E-2</v>
      </c>
    </row>
    <row r="1985" spans="1:73" x14ac:dyDescent="0.3">
      <c r="A1985" s="25">
        <v>2025</v>
      </c>
      <c r="B1985" s="26" t="s">
        <v>1581</v>
      </c>
      <c r="C1985" s="26">
        <f>LN(Inventory[[#This Row],[Acres]])</f>
        <v>-1.2729656758128873</v>
      </c>
      <c r="D1985" s="25">
        <v>0.28000000000000003</v>
      </c>
      <c r="E1985" s="32">
        <v>12377</v>
      </c>
      <c r="F1985" s="26" t="s">
        <v>537</v>
      </c>
      <c r="G1985" s="26" t="s">
        <v>126</v>
      </c>
      <c r="H1985" s="26" t="s">
        <v>349</v>
      </c>
      <c r="I1985" s="26" t="s">
        <v>538</v>
      </c>
      <c r="J1985" s="26" t="s">
        <v>539</v>
      </c>
      <c r="K1985" s="26" t="s">
        <v>173</v>
      </c>
      <c r="L1985" s="26" t="s">
        <v>148</v>
      </c>
      <c r="M1985" s="26" t="s">
        <v>303</v>
      </c>
      <c r="N1985" s="26">
        <v>100</v>
      </c>
      <c r="O1985" s="26">
        <f>2024-Inventory[[#This Row],[YrBlt]]</f>
        <v>99</v>
      </c>
      <c r="P1985" s="26">
        <f>2024-Inventory[[#This Row],[EffYr]]</f>
        <v>53</v>
      </c>
      <c r="Q1985" s="25">
        <v>1925</v>
      </c>
      <c r="R1985" s="25">
        <v>1971</v>
      </c>
      <c r="S1985" s="25">
        <v>1339</v>
      </c>
      <c r="T1985" s="32">
        <v>486</v>
      </c>
      <c r="U1985" s="25">
        <v>1188</v>
      </c>
      <c r="V1985" s="25">
        <f>Inventory[[#This Row],[Bsmt]]-Inventory[[#This Row],[FnBsmt]]</f>
        <v>594</v>
      </c>
      <c r="W1985" s="25">
        <v>594</v>
      </c>
      <c r="X1985" s="27"/>
      <c r="Y1985" s="27">
        <f>Inventory[[#This Row],[MainFn]]+Inventory[[#This Row],[UpprFn]]+Inventory[[#This Row],[FnBsmt]]+Inventory[[#This Row],[AddFn]]</f>
        <v>2419</v>
      </c>
      <c r="Z1985" s="27">
        <v>2500</v>
      </c>
      <c r="AA1985" s="25">
        <v>8</v>
      </c>
      <c r="AB1985" s="27"/>
      <c r="AC1985" s="27"/>
      <c r="AD1985" s="32">
        <v>182</v>
      </c>
      <c r="AE1985" s="27"/>
      <c r="AF1985" s="27"/>
      <c r="AG1985" s="27"/>
      <c r="AH1985" s="27"/>
      <c r="AI1985" s="25">
        <v>477700</v>
      </c>
      <c r="AJ1985" s="25">
        <v>329613</v>
      </c>
      <c r="AK1985" s="25">
        <v>27914</v>
      </c>
      <c r="AL1985" s="25">
        <v>428600</v>
      </c>
      <c r="AM1985" s="25">
        <v>70100</v>
      </c>
      <c r="AN1985" s="25">
        <v>358500</v>
      </c>
      <c r="AO1985" s="25">
        <v>0</v>
      </c>
      <c r="AP1985" s="25">
        <f>Lookups!$B$56*0</f>
        <v>0</v>
      </c>
      <c r="AQ1985" s="25">
        <f>Lookups!$B$56*1</f>
        <v>89850.625589999996</v>
      </c>
      <c r="AR1985" s="25">
        <f>Lookups!$B$57*Inventory[[#This Row],[LnAcres]]</f>
        <v>-40295.239319339329</v>
      </c>
      <c r="AS1985" s="25">
        <f>VLOOKUP(Inventory[[#This Row],[Qlty]],Lookups!$A$62:$E$75,2,FALSE)</f>
        <v>44121.038090000002</v>
      </c>
      <c r="AT1985" s="25">
        <f>VLOOKUP(Inventory[[#This Row],[Cnd]],Lookups!$A$76:$E$84,2,FALSE)</f>
        <v>197752.34721000001</v>
      </c>
      <c r="AU1985" s="25">
        <f>Inventory[[#This Row],[EffAge]]*Lookups!$B$85</f>
        <v>-11821.416826500001</v>
      </c>
      <c r="AV1985" s="25">
        <f>Inventory[[#This Row],[MainFn]]*Lookups!$B$86</f>
        <v>66158.208965302998</v>
      </c>
      <c r="AW1985" s="25">
        <f>Inventory[[#This Row],[UpprFn]]*Lookups!$B$87</f>
        <v>21766.201510446001</v>
      </c>
      <c r="AX1985" s="25">
        <f>Inventory[[#This Row],[AddFn]]*Lookups!$B$88</f>
        <v>0</v>
      </c>
      <c r="AY1985" s="25">
        <f>Inventory[[#This Row],[Bsmt]]*Lookups!$B$89</f>
        <v>34549.291553436</v>
      </c>
      <c r="AZ1985" s="25">
        <f>Inventory[[#This Row],[Fixtures]]*Lookups!$B$90</f>
        <v>30336.176841600001</v>
      </c>
      <c r="BA1985" s="25">
        <f>Inventory[[#This Row],[WdDeck]]*Lookups!$B$91</f>
        <v>6059.7837802320009</v>
      </c>
      <c r="BB1985" s="25">
        <f>ROUND(Inventory[[#This Row],[25Det]],-2)</f>
        <v>27900</v>
      </c>
      <c r="BC1985" s="25">
        <f>ROUND(SUM(Inventory[[#This Row],[Mdl Qlty]:[Mdl WdDeck]])+Inventory[[#This Row],[Mdl Res Intercept]],-2)</f>
        <v>388900</v>
      </c>
      <c r="BD1985" s="25">
        <f>ROUND(Inventory[[#This Row],[Mdl Land Intercept]]+Inventory[[#This Row],[Mdl LnAcres]],-2)</f>
        <v>49600</v>
      </c>
      <c r="BE1985" s="25">
        <f>Inventory[[#This Row],[Unadj Res Value]]+Inventory[[#This Row],[Unadj Det Value]]+Inventory[[#This Row],[Unadj Land Value]]</f>
        <v>466400</v>
      </c>
      <c r="BF1985" s="36">
        <f>(Inventory[[#This Row],[Unadj Total Value]]-Inventory[[#This Row],[24Final]])/Inventory[[#This Row],[24Final]]</f>
        <v>8.8194120391973871E-2</v>
      </c>
      <c r="BG1985" s="25">
        <f>VLOOKUP(Inventory[[#This Row],[Nbhd]],Lookups!$Q$2:$T$4,4,FALSE)</f>
        <v>0.99970000000000003</v>
      </c>
      <c r="BH1985" s="25">
        <f>VLOOKUP(Inventory[[#This Row],[Qlty]],Lookups!$O$7:$R$21,4,FALSE)</f>
        <v>0.98050000000000004</v>
      </c>
      <c r="BI1985" s="25">
        <f>VLOOKUP(Inventory[[#This Row],[Cnd]],Lookups!$T$7:$W$16,4,FALSE)</f>
        <v>0.99650000000000005</v>
      </c>
      <c r="BJ1985" s="25">
        <f>VLOOKUP(Inventory[[#This Row],[LivArea Range]],Lookups!$T$25:$W$37,4,FALSE)</f>
        <v>0.98919999999999997</v>
      </c>
      <c r="BK1985" s="25">
        <f>VLOOKUP(Inventory[[#This Row],[Decade]],Lookups!$O$25:$R$42,4,FALSE)</f>
        <v>1.0074000000000001</v>
      </c>
      <c r="BL1985" s="25">
        <f>Inventory[[#This Row],[Nbhd Adj]]*0.95</f>
        <v>0.94971499999999998</v>
      </c>
      <c r="BM1985" s="25">
        <f>Inventory[[#This Row],[Nbhd Adj]]*Inventory[[#This Row],[Quality Adj]]*Inventory[[#This Row],[Condition Adj]]*Inventory[[#This Row],[Living Area Adj]]*Inventory[[#This Row],[Decade Adj]]*0.95</f>
        <v>0.9247072287054503</v>
      </c>
      <c r="BN1985" s="25">
        <f>ROUND(SUM(Inventory[[#This Row],[Mdl Qlty]:[Mdl WdDeck]])+Inventory[[#This Row],[Mdl Res Intercept]]*Inventory[[#This Row],[Res Adj ]],-2)</f>
        <v>388900</v>
      </c>
      <c r="BO1985" s="25">
        <f>ROUND(Inventory[[#This Row],[25Det]]*Inventory[[#This Row],[Det/Nbhd Adj]],-2)</f>
        <v>26500</v>
      </c>
      <c r="BP1985" s="25">
        <f>Inventory[[#This Row],[Adjusted Res]]+Inventory[[#This Row],[Adj Det ]]</f>
        <v>415400</v>
      </c>
      <c r="BQ1985" s="25">
        <f>ROUND((Inventory[[#This Row],[Mdl Land Intercept]]+Inventory[[#This Row],[Mdl LnAcres]])*Inventory[[#This Row],[Det/Nbhd Adj]],-2)</f>
        <v>47100</v>
      </c>
      <c r="BR1985" s="25">
        <f>Inventory[[#This Row],[Adjusted Impr Total]]+Inventory[[#This Row],[Adjusted Land Total]]</f>
        <v>462500</v>
      </c>
      <c r="BS1985" s="36">
        <f>IFERROR((Inventory[[#This Row],[Adjusted Impr Total]]-Inventory[[#This Row],[24Bldg]])/Inventory[[#This Row],[24Bldg]],0)</f>
        <v>0.15871687587168759</v>
      </c>
      <c r="BT1985" s="36">
        <f>(Inventory[[#This Row],[Adjusted Land Total]]-Inventory[[#This Row],[24Lnd]])/Inventory[[#This Row],[24Lnd]]</f>
        <v>-0.32810271041369471</v>
      </c>
      <c r="BU1985" s="36">
        <f>(Inventory[[#This Row],[Adjusted Total]]-Inventory[[#This Row],[24Final]])/Inventory[[#This Row],[24Final]]</f>
        <v>7.9094727018198793E-2</v>
      </c>
    </row>
    <row r="1986" spans="1:73" x14ac:dyDescent="0.3">
      <c r="A1986" s="25">
        <v>2025</v>
      </c>
      <c r="B1986" s="26" t="s">
        <v>2252</v>
      </c>
      <c r="C1986" s="26">
        <f>LN(Inventory[[#This Row],[Acres]])</f>
        <v>-1.7147984280919266</v>
      </c>
      <c r="D1986" s="25">
        <v>0.18</v>
      </c>
      <c r="E1986" s="25">
        <v>7863</v>
      </c>
      <c r="F1986" s="26" t="s">
        <v>537</v>
      </c>
      <c r="G1986" s="26" t="s">
        <v>126</v>
      </c>
      <c r="H1986" s="26" t="s">
        <v>349</v>
      </c>
      <c r="I1986" s="26" t="s">
        <v>538</v>
      </c>
      <c r="J1986" s="26" t="s">
        <v>539</v>
      </c>
      <c r="K1986" s="26" t="s">
        <v>269</v>
      </c>
      <c r="L1986" s="26" t="s">
        <v>351</v>
      </c>
      <c r="M1986" s="26" t="s">
        <v>303</v>
      </c>
      <c r="N1986" s="26">
        <v>100</v>
      </c>
      <c r="O1986" s="26">
        <f>2024-Inventory[[#This Row],[YrBlt]]</f>
        <v>99</v>
      </c>
      <c r="P1986" s="26">
        <f>2024-Inventory[[#This Row],[EffYr]]</f>
        <v>56</v>
      </c>
      <c r="Q1986" s="25">
        <v>1925</v>
      </c>
      <c r="R1986" s="25">
        <v>1968</v>
      </c>
      <c r="S1986" s="25">
        <v>1064</v>
      </c>
      <c r="T1986" s="27"/>
      <c r="U1986" s="25">
        <v>824</v>
      </c>
      <c r="V1986" s="25">
        <f>Inventory[[#This Row],[Bsmt]]-Inventory[[#This Row],[FnBsmt]]</f>
        <v>12</v>
      </c>
      <c r="W1986" s="25">
        <v>812</v>
      </c>
      <c r="X1986" s="27"/>
      <c r="Y1986" s="27">
        <f>Inventory[[#This Row],[MainFn]]+Inventory[[#This Row],[UpprFn]]+Inventory[[#This Row],[FnBsmt]]+Inventory[[#This Row],[AddFn]]</f>
        <v>1876</v>
      </c>
      <c r="Z1986" s="27">
        <v>2000</v>
      </c>
      <c r="AA1986" s="25">
        <v>9</v>
      </c>
      <c r="AB1986" s="27"/>
      <c r="AC1986" s="32">
        <v>240</v>
      </c>
      <c r="AD1986" s="32">
        <v>174</v>
      </c>
      <c r="AE1986" s="27"/>
      <c r="AF1986" s="27"/>
      <c r="AG1986" s="27"/>
      <c r="AH1986" s="27"/>
      <c r="AI1986" s="25">
        <v>272106</v>
      </c>
      <c r="AJ1986" s="25">
        <v>179590</v>
      </c>
      <c r="AK1986" s="25">
        <v>0</v>
      </c>
      <c r="AL1986" s="25">
        <v>331900</v>
      </c>
      <c r="AM1986" s="25">
        <v>54700</v>
      </c>
      <c r="AN1986" s="25">
        <v>277200</v>
      </c>
      <c r="AO1986" s="25">
        <v>0</v>
      </c>
      <c r="AP1986" s="25">
        <f>Lookups!$B$56*0</f>
        <v>0</v>
      </c>
      <c r="AQ1986" s="25">
        <f>Lookups!$B$56*1</f>
        <v>89850.625589999996</v>
      </c>
      <c r="AR1986" s="25">
        <f>Lookups!$B$57*Inventory[[#This Row],[LnAcres]]</f>
        <v>-54281.285314520763</v>
      </c>
      <c r="AS1986" s="25">
        <f>VLOOKUP(Inventory[[#This Row],[Qlty]],Lookups!$A$62:$E$75,2,FALSE)</f>
        <v>21557.329055999999</v>
      </c>
      <c r="AT1986" s="25">
        <f>VLOOKUP(Inventory[[#This Row],[Cnd]],Lookups!$A$76:$E$84,2,FALSE)</f>
        <v>197752.34721000001</v>
      </c>
      <c r="AU1986" s="25">
        <f>Inventory[[#This Row],[EffAge]]*Lookups!$B$85</f>
        <v>-12490.553628</v>
      </c>
      <c r="AV1986" s="25">
        <f>Inventory[[#This Row],[MainFn]]*Lookups!$B$86</f>
        <v>52570.824749127998</v>
      </c>
      <c r="AW1986" s="25">
        <f>Inventory[[#This Row],[UpprFn]]*Lookups!$B$87</f>
        <v>0</v>
      </c>
      <c r="AX1986" s="25">
        <f>Inventory[[#This Row],[AddFn]]*Lookups!$B$88</f>
        <v>0</v>
      </c>
      <c r="AY1986" s="25">
        <f>Inventory[[#This Row],[Bsmt]]*Lookups!$B$89</f>
        <v>23963.481683528</v>
      </c>
      <c r="AZ1986" s="25">
        <f>Inventory[[#This Row],[Fixtures]]*Lookups!$B$90</f>
        <v>34128.198946800003</v>
      </c>
      <c r="BA1986" s="25">
        <f>Inventory[[#This Row],[WdDeck]]*Lookups!$B$91</f>
        <v>5793.4196580240005</v>
      </c>
      <c r="BB1986" s="25">
        <f>ROUND(Inventory[[#This Row],[25Det]],-2)</f>
        <v>0</v>
      </c>
      <c r="BC1986" s="25">
        <f>ROUND(SUM(Inventory[[#This Row],[Mdl Qlty]:[Mdl WdDeck]])+Inventory[[#This Row],[Mdl Res Intercept]],-2)</f>
        <v>323300</v>
      </c>
      <c r="BD1986" s="25">
        <f>ROUND(Inventory[[#This Row],[Mdl Land Intercept]]+Inventory[[#This Row],[Mdl LnAcres]],-2)</f>
        <v>35600</v>
      </c>
      <c r="BE1986" s="25">
        <f>Inventory[[#This Row],[Unadj Res Value]]+Inventory[[#This Row],[Unadj Det Value]]+Inventory[[#This Row],[Unadj Land Value]]</f>
        <v>358900</v>
      </c>
      <c r="BF1986" s="36">
        <f>(Inventory[[#This Row],[Unadj Total Value]]-Inventory[[#This Row],[24Final]])/Inventory[[#This Row],[24Final]]</f>
        <v>8.1349804157878874E-2</v>
      </c>
      <c r="BG1986" s="25">
        <f>VLOOKUP(Inventory[[#This Row],[Nbhd]],Lookups!$Q$2:$T$4,4,FALSE)</f>
        <v>0.99970000000000003</v>
      </c>
      <c r="BH1986" s="25">
        <f>VLOOKUP(Inventory[[#This Row],[Qlty]],Lookups!$O$7:$R$21,4,FALSE)</f>
        <v>1.0067999999999999</v>
      </c>
      <c r="BI1986" s="25">
        <f>VLOOKUP(Inventory[[#This Row],[Cnd]],Lookups!$T$7:$W$16,4,FALSE)</f>
        <v>0.99650000000000005</v>
      </c>
      <c r="BJ1986" s="25">
        <f>VLOOKUP(Inventory[[#This Row],[LivArea Range]],Lookups!$T$25:$W$37,4,FALSE)</f>
        <v>1.0093000000000001</v>
      </c>
      <c r="BK1986" s="25">
        <f>VLOOKUP(Inventory[[#This Row],[Decade]],Lookups!$O$25:$R$42,4,FALSE)</f>
        <v>1.0074000000000001</v>
      </c>
      <c r="BL1986" s="25">
        <f>Inventory[[#This Row],[Nbhd Adj]]*0.95</f>
        <v>0.94971499999999998</v>
      </c>
      <c r="BM1986" s="25">
        <f>Inventory[[#This Row],[Nbhd Adj]]*Inventory[[#This Row],[Quality Adj]]*Inventory[[#This Row],[Condition Adj]]*Inventory[[#This Row],[Living Area Adj]]*Inventory[[#This Row],[Decade Adj]]*0.95</f>
        <v>0.96880423161964746</v>
      </c>
      <c r="BN1986" s="25">
        <f>ROUND(SUM(Inventory[[#This Row],[Mdl Qlty]:[Mdl WdDeck]])+Inventory[[#This Row],[Mdl Res Intercept]]*Inventory[[#This Row],[Res Adj ]],-2)</f>
        <v>323300</v>
      </c>
      <c r="BO1986" s="25">
        <f>ROUND(Inventory[[#This Row],[25Det]]*Inventory[[#This Row],[Det/Nbhd Adj]],-2)</f>
        <v>0</v>
      </c>
      <c r="BP1986" s="25">
        <f>Inventory[[#This Row],[Adjusted Res]]+Inventory[[#This Row],[Adj Det ]]</f>
        <v>323300</v>
      </c>
      <c r="BQ1986" s="25">
        <f>ROUND((Inventory[[#This Row],[Mdl Land Intercept]]+Inventory[[#This Row],[Mdl LnAcres]])*Inventory[[#This Row],[Det/Nbhd Adj]],-2)</f>
        <v>33800</v>
      </c>
      <c r="BR1986" s="25">
        <f>Inventory[[#This Row],[Adjusted Impr Total]]+Inventory[[#This Row],[Adjusted Land Total]]</f>
        <v>357100</v>
      </c>
      <c r="BS1986" s="36">
        <f>IFERROR((Inventory[[#This Row],[Adjusted Impr Total]]-Inventory[[#This Row],[24Bldg]])/Inventory[[#This Row],[24Bldg]],0)</f>
        <v>0.16630591630591632</v>
      </c>
      <c r="BT1986" s="36">
        <f>(Inventory[[#This Row],[Adjusted Land Total]]-Inventory[[#This Row],[24Lnd]])/Inventory[[#This Row],[24Lnd]]</f>
        <v>-0.38208409506398539</v>
      </c>
      <c r="BU1986" s="36">
        <f>(Inventory[[#This Row],[Adjusted Total]]-Inventory[[#This Row],[24Final]])/Inventory[[#This Row],[24Final]]</f>
        <v>7.5926483880686957E-2</v>
      </c>
    </row>
    <row r="1987" spans="1:73" x14ac:dyDescent="0.3">
      <c r="A1987" s="25">
        <v>2025</v>
      </c>
      <c r="B1987" s="26" t="s">
        <v>1224</v>
      </c>
      <c r="C1987" s="26">
        <f>LN(Inventory[[#This Row],[Acres]])</f>
        <v>-0.49429632181478012</v>
      </c>
      <c r="D1987" s="25">
        <v>0.61</v>
      </c>
      <c r="E1987" s="25">
        <v>26643</v>
      </c>
      <c r="F1987" s="26" t="s">
        <v>537</v>
      </c>
      <c r="G1987" s="26" t="s">
        <v>126</v>
      </c>
      <c r="H1987" s="26" t="s">
        <v>349</v>
      </c>
      <c r="I1987" s="26" t="s">
        <v>538</v>
      </c>
      <c r="J1987" s="26" t="s">
        <v>539</v>
      </c>
      <c r="K1987" s="26" t="s">
        <v>173</v>
      </c>
      <c r="L1987" s="26" t="s">
        <v>148</v>
      </c>
      <c r="M1987" s="26" t="s">
        <v>303</v>
      </c>
      <c r="N1987" s="26">
        <v>100</v>
      </c>
      <c r="O1987" s="26">
        <f>2024-Inventory[[#This Row],[YrBlt]]</f>
        <v>99</v>
      </c>
      <c r="P1987" s="26">
        <f>2024-Inventory[[#This Row],[EffYr]]</f>
        <v>56</v>
      </c>
      <c r="Q1987" s="25">
        <v>1925</v>
      </c>
      <c r="R1987" s="25">
        <v>1968</v>
      </c>
      <c r="S1987" s="25">
        <v>1723</v>
      </c>
      <c r="T1987" s="25">
        <v>744</v>
      </c>
      <c r="U1987" s="25">
        <v>1248</v>
      </c>
      <c r="V1987" s="25">
        <f>Inventory[[#This Row],[Bsmt]]-Inventory[[#This Row],[FnBsmt]]</f>
        <v>605</v>
      </c>
      <c r="W1987" s="25">
        <v>643</v>
      </c>
      <c r="X1987" s="27"/>
      <c r="Y1987" s="27">
        <f>Inventory[[#This Row],[MainFn]]+Inventory[[#This Row],[UpprFn]]+Inventory[[#This Row],[FnBsmt]]+Inventory[[#This Row],[AddFn]]</f>
        <v>3110</v>
      </c>
      <c r="Z1987" s="27">
        <v>3500</v>
      </c>
      <c r="AA1987" s="25">
        <v>9</v>
      </c>
      <c r="AB1987" s="27"/>
      <c r="AC1987" s="32">
        <v>475</v>
      </c>
      <c r="AD1987" s="32">
        <v>224</v>
      </c>
      <c r="AE1987" s="27"/>
      <c r="AF1987" s="27"/>
      <c r="AG1987" s="27"/>
      <c r="AH1987" s="27"/>
      <c r="AI1987" s="25">
        <v>617025</v>
      </c>
      <c r="AJ1987" s="25">
        <v>407237</v>
      </c>
      <c r="AK1987" s="25">
        <v>37975</v>
      </c>
      <c r="AL1987" s="25">
        <v>494900</v>
      </c>
      <c r="AM1987" s="25">
        <v>97300</v>
      </c>
      <c r="AN1987" s="25">
        <v>397600</v>
      </c>
      <c r="AO1987" s="25">
        <v>0</v>
      </c>
      <c r="AP1987" s="25">
        <f>Lookups!$B$56*0</f>
        <v>0</v>
      </c>
      <c r="AQ1987" s="25">
        <f>Lookups!$B$56*1</f>
        <v>89850.625589999996</v>
      </c>
      <c r="AR1987" s="25">
        <f>Lookups!$B$57*Inventory[[#This Row],[LnAcres]]</f>
        <v>-15646.760129236542</v>
      </c>
      <c r="AS1987" s="25">
        <f>VLOOKUP(Inventory[[#This Row],[Qlty]],Lookups!$A$62:$E$75,2,FALSE)</f>
        <v>44121.038090000002</v>
      </c>
      <c r="AT1987" s="25">
        <f>VLOOKUP(Inventory[[#This Row],[Cnd]],Lookups!$A$76:$E$84,2,FALSE)</f>
        <v>197752.34721000001</v>
      </c>
      <c r="AU1987" s="25">
        <f>Inventory[[#This Row],[EffAge]]*Lookups!$B$85</f>
        <v>-12490.553628</v>
      </c>
      <c r="AV1987" s="25">
        <f>Inventory[[#This Row],[MainFn]]*Lookups!$B$86</f>
        <v>85131.138198070999</v>
      </c>
      <c r="AW1987" s="25">
        <f>Inventory[[#This Row],[UpprFn]]*Lookups!$B$87</f>
        <v>33321.098608583998</v>
      </c>
      <c r="AX1987" s="25">
        <f>Inventory[[#This Row],[AddFn]]*Lookups!$B$88</f>
        <v>0</v>
      </c>
      <c r="AY1987" s="25">
        <f>Inventory[[#This Row],[Bsmt]]*Lookups!$B$89</f>
        <v>36294.205268255995</v>
      </c>
      <c r="AZ1987" s="25">
        <f>Inventory[[#This Row],[Fixtures]]*Lookups!$B$90</f>
        <v>34128.198946800003</v>
      </c>
      <c r="BA1987" s="25">
        <f>Inventory[[#This Row],[WdDeck]]*Lookups!$B$91</f>
        <v>7458.1954218240007</v>
      </c>
      <c r="BB1987" s="25">
        <f>ROUND(Inventory[[#This Row],[25Det]],-2)</f>
        <v>38000</v>
      </c>
      <c r="BC1987" s="25">
        <f>ROUND(SUM(Inventory[[#This Row],[Mdl Qlty]:[Mdl WdDeck]])+Inventory[[#This Row],[Mdl Res Intercept]],-2)</f>
        <v>425700</v>
      </c>
      <c r="BD1987" s="25">
        <f>ROUND(Inventory[[#This Row],[Mdl Land Intercept]]+Inventory[[#This Row],[Mdl LnAcres]],-2)</f>
        <v>74200</v>
      </c>
      <c r="BE1987" s="25">
        <f>Inventory[[#This Row],[Unadj Res Value]]+Inventory[[#This Row],[Unadj Det Value]]+Inventory[[#This Row],[Unadj Land Value]]</f>
        <v>537900</v>
      </c>
      <c r="BF1987" s="36">
        <f>(Inventory[[#This Row],[Unadj Total Value]]-Inventory[[#This Row],[24Final]])/Inventory[[#This Row],[24Final]]</f>
        <v>8.6886239644372601E-2</v>
      </c>
      <c r="BG1987" s="25">
        <f>VLOOKUP(Inventory[[#This Row],[Nbhd]],Lookups!$Q$2:$T$4,4,FALSE)</f>
        <v>0.99970000000000003</v>
      </c>
      <c r="BH1987" s="25">
        <f>VLOOKUP(Inventory[[#This Row],[Qlty]],Lookups!$O$7:$R$21,4,FALSE)</f>
        <v>0.98050000000000004</v>
      </c>
      <c r="BI1987" s="25">
        <f>VLOOKUP(Inventory[[#This Row],[Cnd]],Lookups!$T$7:$W$16,4,FALSE)</f>
        <v>0.99650000000000005</v>
      </c>
      <c r="BJ1987" s="25">
        <f>VLOOKUP(Inventory[[#This Row],[LivArea Range]],Lookups!$T$25:$W$37,4,FALSE)</f>
        <v>1.0126999999999999</v>
      </c>
      <c r="BK1987" s="25">
        <f>VLOOKUP(Inventory[[#This Row],[Decade]],Lookups!$O$25:$R$42,4,FALSE)</f>
        <v>1.0074000000000001</v>
      </c>
      <c r="BL1987" s="25">
        <f>Inventory[[#This Row],[Nbhd Adj]]*0.95</f>
        <v>0.94971499999999998</v>
      </c>
      <c r="BM1987" s="25">
        <f>Inventory[[#This Row],[Nbhd Adj]]*Inventory[[#This Row],[Quality Adj]]*Inventory[[#This Row],[Condition Adj]]*Inventory[[#This Row],[Living Area Adj]]*Inventory[[#This Row],[Decade Adj]]*0.95</f>
        <v>0.94667510160736901</v>
      </c>
      <c r="BN1987" s="25">
        <f>ROUND(SUM(Inventory[[#This Row],[Mdl Qlty]:[Mdl WdDeck]])+Inventory[[#This Row],[Mdl Res Intercept]]*Inventory[[#This Row],[Res Adj ]],-2)</f>
        <v>425700</v>
      </c>
      <c r="BO1987" s="25">
        <f>ROUND(Inventory[[#This Row],[25Det]]*Inventory[[#This Row],[Det/Nbhd Adj]],-2)</f>
        <v>36100</v>
      </c>
      <c r="BP1987" s="25">
        <f>Inventory[[#This Row],[Adjusted Res]]+Inventory[[#This Row],[Adj Det ]]</f>
        <v>461800</v>
      </c>
      <c r="BQ1987" s="25">
        <f>ROUND((Inventory[[#This Row],[Mdl Land Intercept]]+Inventory[[#This Row],[Mdl LnAcres]])*Inventory[[#This Row],[Det/Nbhd Adj]],-2)</f>
        <v>70500</v>
      </c>
      <c r="BR1987" s="25">
        <f>Inventory[[#This Row],[Adjusted Impr Total]]+Inventory[[#This Row],[Adjusted Land Total]]</f>
        <v>532300</v>
      </c>
      <c r="BS1987" s="36">
        <f>IFERROR((Inventory[[#This Row],[Adjusted Impr Total]]-Inventory[[#This Row],[24Bldg]])/Inventory[[#This Row],[24Bldg]],0)</f>
        <v>0.16146881287726358</v>
      </c>
      <c r="BT1987" s="36">
        <f>(Inventory[[#This Row],[Adjusted Land Total]]-Inventory[[#This Row],[24Lnd]])/Inventory[[#This Row],[24Lnd]]</f>
        <v>-0.27543679342240496</v>
      </c>
      <c r="BU1987" s="36">
        <f>(Inventory[[#This Row],[Adjusted Total]]-Inventory[[#This Row],[24Final]])/Inventory[[#This Row],[24Final]]</f>
        <v>7.5570822388361283E-2</v>
      </c>
    </row>
    <row r="1988" spans="1:73" x14ac:dyDescent="0.3">
      <c r="A1988" s="25">
        <v>2025</v>
      </c>
      <c r="B1988" s="26" t="s">
        <v>2851</v>
      </c>
      <c r="C1988" s="26">
        <f>LN(Inventory[[#This Row],[Acres]])</f>
        <v>-1.8325814637483102</v>
      </c>
      <c r="D1988" s="25">
        <v>0.16</v>
      </c>
      <c r="E1988" s="32">
        <v>6758</v>
      </c>
      <c r="F1988" s="26" t="s">
        <v>537</v>
      </c>
      <c r="G1988" s="26" t="s">
        <v>126</v>
      </c>
      <c r="H1988" s="26" t="s">
        <v>349</v>
      </c>
      <c r="I1988" s="26" t="s">
        <v>538</v>
      </c>
      <c r="J1988" s="26" t="s">
        <v>539</v>
      </c>
      <c r="K1988" s="26" t="s">
        <v>269</v>
      </c>
      <c r="L1988" s="26" t="s">
        <v>351</v>
      </c>
      <c r="M1988" s="26" t="s">
        <v>303</v>
      </c>
      <c r="N1988" s="26">
        <v>100</v>
      </c>
      <c r="O1988" s="26">
        <f>2024-Inventory[[#This Row],[YrBlt]]</f>
        <v>99</v>
      </c>
      <c r="P1988" s="26">
        <f>2024-Inventory[[#This Row],[EffYr]]</f>
        <v>56</v>
      </c>
      <c r="Q1988" s="25">
        <v>1925</v>
      </c>
      <c r="R1988" s="25">
        <v>1968</v>
      </c>
      <c r="S1988" s="25">
        <v>1010</v>
      </c>
      <c r="T1988" s="32">
        <v>270</v>
      </c>
      <c r="U1988" s="25">
        <v>520</v>
      </c>
      <c r="V1988" s="32">
        <f>Inventory[[#This Row],[Bsmt]]-Inventory[[#This Row],[FnBsmt]]</f>
        <v>0</v>
      </c>
      <c r="W1988" s="32">
        <v>520</v>
      </c>
      <c r="X1988" s="27"/>
      <c r="Y1988" s="27">
        <f>Inventory[[#This Row],[MainFn]]+Inventory[[#This Row],[UpprFn]]+Inventory[[#This Row],[FnBsmt]]+Inventory[[#This Row],[AddFn]]</f>
        <v>1800</v>
      </c>
      <c r="Z1988" s="27">
        <v>2000</v>
      </c>
      <c r="AA1988" s="25">
        <v>6</v>
      </c>
      <c r="AB1988" s="27"/>
      <c r="AC1988" s="27"/>
      <c r="AD1988" s="27"/>
      <c r="AE1988" s="27"/>
      <c r="AF1988" s="27"/>
      <c r="AG1988" s="27"/>
      <c r="AH1988" s="27"/>
      <c r="AI1988" s="25">
        <v>253067</v>
      </c>
      <c r="AJ1988" s="25">
        <v>167024</v>
      </c>
      <c r="AK1988" s="25">
        <v>16000</v>
      </c>
      <c r="AL1988" s="25">
        <v>327700</v>
      </c>
      <c r="AM1988" s="25">
        <v>50600</v>
      </c>
      <c r="AN1988" s="25">
        <v>277100</v>
      </c>
      <c r="AO1988" s="25">
        <v>0</v>
      </c>
      <c r="AP1988" s="25">
        <f>Lookups!$B$56*0</f>
        <v>0</v>
      </c>
      <c r="AQ1988" s="25">
        <f>Lookups!$B$56*1</f>
        <v>89850.625589999996</v>
      </c>
      <c r="AR1988" s="25">
        <f>Lookups!$B$57*Inventory[[#This Row],[LnAcres]]</f>
        <v>-58009.662049032086</v>
      </c>
      <c r="AS1988" s="25">
        <f>VLOOKUP(Inventory[[#This Row],[Qlty]],Lookups!$A$62:$E$75,2,FALSE)</f>
        <v>21557.329055999999</v>
      </c>
      <c r="AT1988" s="25">
        <f>VLOOKUP(Inventory[[#This Row],[Cnd]],Lookups!$A$76:$E$84,2,FALSE)</f>
        <v>197752.34721000001</v>
      </c>
      <c r="AU1988" s="25">
        <f>Inventory[[#This Row],[EffAge]]*Lookups!$B$85</f>
        <v>-12490.553628</v>
      </c>
      <c r="AV1988" s="25">
        <f>Inventory[[#This Row],[MainFn]]*Lookups!$B$86</f>
        <v>49902.756575769999</v>
      </c>
      <c r="AW1988" s="25">
        <f>Inventory[[#This Row],[UpprFn]]*Lookups!$B$87</f>
        <v>12092.33417247</v>
      </c>
      <c r="AX1988" s="25">
        <f>Inventory[[#This Row],[AddFn]]*Lookups!$B$88</f>
        <v>0</v>
      </c>
      <c r="AY1988" s="25">
        <f>Inventory[[#This Row],[Bsmt]]*Lookups!$B$89</f>
        <v>15122.585528439999</v>
      </c>
      <c r="AZ1988" s="25">
        <f>Inventory[[#This Row],[Fixtures]]*Lookups!$B$90</f>
        <v>22752.132631200002</v>
      </c>
      <c r="BA1988" s="25">
        <f>Inventory[[#This Row],[WdDeck]]*Lookups!$B$91</f>
        <v>0</v>
      </c>
      <c r="BB1988" s="25">
        <f>ROUND(Inventory[[#This Row],[25Det]],-2)</f>
        <v>16000</v>
      </c>
      <c r="BC1988" s="25">
        <f>ROUND(SUM(Inventory[[#This Row],[Mdl Qlty]:[Mdl WdDeck]])+Inventory[[#This Row],[Mdl Res Intercept]],-2)</f>
        <v>306700</v>
      </c>
      <c r="BD1988" s="25">
        <f>ROUND(Inventory[[#This Row],[Mdl Land Intercept]]+Inventory[[#This Row],[Mdl LnAcres]],-2)</f>
        <v>31800</v>
      </c>
      <c r="BE1988" s="25">
        <f>Inventory[[#This Row],[Unadj Res Value]]+Inventory[[#This Row],[Unadj Det Value]]+Inventory[[#This Row],[Unadj Land Value]]</f>
        <v>354500</v>
      </c>
      <c r="BF1988" s="36">
        <f>(Inventory[[#This Row],[Unadj Total Value]]-Inventory[[#This Row],[24Final]])/Inventory[[#This Row],[24Final]]</f>
        <v>8.178211779066219E-2</v>
      </c>
      <c r="BG1988" s="25">
        <f>VLOOKUP(Inventory[[#This Row],[Nbhd]],Lookups!$Q$2:$T$4,4,FALSE)</f>
        <v>0.99970000000000003</v>
      </c>
      <c r="BH1988" s="25">
        <f>VLOOKUP(Inventory[[#This Row],[Qlty]],Lookups!$O$7:$R$21,4,FALSE)</f>
        <v>1.0067999999999999</v>
      </c>
      <c r="BI1988" s="25">
        <f>VLOOKUP(Inventory[[#This Row],[Cnd]],Lookups!$T$7:$W$16,4,FALSE)</f>
        <v>0.99650000000000005</v>
      </c>
      <c r="BJ1988" s="25">
        <f>VLOOKUP(Inventory[[#This Row],[LivArea Range]],Lookups!$T$25:$W$37,4,FALSE)</f>
        <v>1.0093000000000001</v>
      </c>
      <c r="BK1988" s="25">
        <f>VLOOKUP(Inventory[[#This Row],[Decade]],Lookups!$O$25:$R$42,4,FALSE)</f>
        <v>1.0074000000000001</v>
      </c>
      <c r="BL1988" s="25">
        <f>Inventory[[#This Row],[Nbhd Adj]]*0.95</f>
        <v>0.94971499999999998</v>
      </c>
      <c r="BM1988" s="25">
        <f>Inventory[[#This Row],[Nbhd Adj]]*Inventory[[#This Row],[Quality Adj]]*Inventory[[#This Row],[Condition Adj]]*Inventory[[#This Row],[Living Area Adj]]*Inventory[[#This Row],[Decade Adj]]*0.95</f>
        <v>0.96880423161964746</v>
      </c>
      <c r="BN1988" s="25">
        <f>ROUND(SUM(Inventory[[#This Row],[Mdl Qlty]:[Mdl WdDeck]])+Inventory[[#This Row],[Mdl Res Intercept]]*Inventory[[#This Row],[Res Adj ]],-2)</f>
        <v>306700</v>
      </c>
      <c r="BO1988" s="25">
        <f>ROUND(Inventory[[#This Row],[25Det]]*Inventory[[#This Row],[Det/Nbhd Adj]],-2)</f>
        <v>15200</v>
      </c>
      <c r="BP1988" s="25">
        <f>Inventory[[#This Row],[Adjusted Res]]+Inventory[[#This Row],[Adj Det ]]</f>
        <v>321900</v>
      </c>
      <c r="BQ1988" s="25">
        <f>ROUND((Inventory[[#This Row],[Mdl Land Intercept]]+Inventory[[#This Row],[Mdl LnAcres]])*Inventory[[#This Row],[Det/Nbhd Adj]],-2)</f>
        <v>30200</v>
      </c>
      <c r="BR1988" s="25">
        <f>Inventory[[#This Row],[Adjusted Impr Total]]+Inventory[[#This Row],[Adjusted Land Total]]</f>
        <v>352100</v>
      </c>
      <c r="BS1988" s="36">
        <f>IFERROR((Inventory[[#This Row],[Adjusted Impr Total]]-Inventory[[#This Row],[24Bldg]])/Inventory[[#This Row],[24Bldg]],0)</f>
        <v>0.16167448574521834</v>
      </c>
      <c r="BT1988" s="36">
        <f>(Inventory[[#This Row],[Adjusted Land Total]]-Inventory[[#This Row],[24Lnd]])/Inventory[[#This Row],[24Lnd]]</f>
        <v>-0.40316205533596838</v>
      </c>
      <c r="BU1988" s="36">
        <f>(Inventory[[#This Row],[Adjusted Total]]-Inventory[[#This Row],[24Final]])/Inventory[[#This Row],[24Final]]</f>
        <v>7.445834604821483E-2</v>
      </c>
    </row>
    <row r="1989" spans="1:73" x14ac:dyDescent="0.3">
      <c r="A1989" s="25">
        <v>2025</v>
      </c>
      <c r="B1989" s="26" t="s">
        <v>1118</v>
      </c>
      <c r="C1989" s="26">
        <f>LN(Inventory[[#This Row],[Acres]])</f>
        <v>-1.9661128563728327</v>
      </c>
      <c r="D1989" s="25">
        <v>0.14000000000000001</v>
      </c>
      <c r="E1989" s="27"/>
      <c r="F1989" s="26" t="s">
        <v>537</v>
      </c>
      <c r="G1989" s="26" t="s">
        <v>126</v>
      </c>
      <c r="H1989" s="26" t="s">
        <v>349</v>
      </c>
      <c r="I1989" s="26" t="s">
        <v>538</v>
      </c>
      <c r="J1989" s="26" t="s">
        <v>539</v>
      </c>
      <c r="K1989" s="26" t="s">
        <v>269</v>
      </c>
      <c r="L1989" s="26" t="s">
        <v>351</v>
      </c>
      <c r="M1989" s="26" t="s">
        <v>303</v>
      </c>
      <c r="N1989" s="26">
        <v>100</v>
      </c>
      <c r="O1989" s="26">
        <f>2024-Inventory[[#This Row],[YrBlt]]</f>
        <v>99</v>
      </c>
      <c r="P1989" s="26">
        <f>2024-Inventory[[#This Row],[EffYr]]</f>
        <v>56</v>
      </c>
      <c r="Q1989" s="25">
        <v>1925</v>
      </c>
      <c r="R1989" s="25">
        <v>1968</v>
      </c>
      <c r="S1989" s="25">
        <v>1110</v>
      </c>
      <c r="T1989" s="27"/>
      <c r="U1989" s="32">
        <v>728</v>
      </c>
      <c r="V1989" s="32">
        <f>Inventory[[#This Row],[Bsmt]]-Inventory[[#This Row],[FnBsmt]]</f>
        <v>0</v>
      </c>
      <c r="W1989" s="32">
        <v>728</v>
      </c>
      <c r="X1989" s="27"/>
      <c r="Y1989" s="27">
        <f>Inventory[[#This Row],[MainFn]]+Inventory[[#This Row],[UpprFn]]+Inventory[[#This Row],[FnBsmt]]+Inventory[[#This Row],[AddFn]]</f>
        <v>1838</v>
      </c>
      <c r="Z1989" s="27">
        <v>2000</v>
      </c>
      <c r="AA1989" s="25">
        <v>8</v>
      </c>
      <c r="AB1989" s="27"/>
      <c r="AC1989" s="27"/>
      <c r="AD1989" s="32">
        <v>166</v>
      </c>
      <c r="AE1989" s="27"/>
      <c r="AF1989" s="27"/>
      <c r="AG1989" s="27"/>
      <c r="AH1989" s="27"/>
      <c r="AI1989" s="25">
        <v>265081</v>
      </c>
      <c r="AJ1989" s="25">
        <v>174953</v>
      </c>
      <c r="AK1989" s="25">
        <v>12533</v>
      </c>
      <c r="AL1989" s="25">
        <v>332100</v>
      </c>
      <c r="AM1989" s="25">
        <v>46000</v>
      </c>
      <c r="AN1989" s="25">
        <v>286100</v>
      </c>
      <c r="AO1989" s="25">
        <v>0</v>
      </c>
      <c r="AP1989" s="25">
        <f>Lookups!$B$56*0</f>
        <v>0</v>
      </c>
      <c r="AQ1989" s="25">
        <f>Lookups!$B$56*1</f>
        <v>89850.625589999996</v>
      </c>
      <c r="AR1989" s="25">
        <f>Lookups!$B$57*Inventory[[#This Row],[LnAcres]]</f>
        <v>-62236.546971921947</v>
      </c>
      <c r="AS1989" s="25">
        <f>VLOOKUP(Inventory[[#This Row],[Qlty]],Lookups!$A$62:$E$75,2,FALSE)</f>
        <v>21557.329055999999</v>
      </c>
      <c r="AT1989" s="25">
        <f>VLOOKUP(Inventory[[#This Row],[Cnd]],Lookups!$A$76:$E$84,2,FALSE)</f>
        <v>197752.34721000001</v>
      </c>
      <c r="AU1989" s="25">
        <f>Inventory[[#This Row],[EffAge]]*Lookups!$B$85</f>
        <v>-12490.553628</v>
      </c>
      <c r="AV1989" s="25">
        <f>Inventory[[#This Row],[MainFn]]*Lookups!$B$86</f>
        <v>54843.623563469999</v>
      </c>
      <c r="AW1989" s="25">
        <f>Inventory[[#This Row],[UpprFn]]*Lookups!$B$87</f>
        <v>0</v>
      </c>
      <c r="AX1989" s="25">
        <f>Inventory[[#This Row],[AddFn]]*Lookups!$B$88</f>
        <v>0</v>
      </c>
      <c r="AY1989" s="25">
        <f>Inventory[[#This Row],[Bsmt]]*Lookups!$B$89</f>
        <v>21171.619739816</v>
      </c>
      <c r="AZ1989" s="25">
        <f>Inventory[[#This Row],[Fixtures]]*Lookups!$B$90</f>
        <v>30336.176841600001</v>
      </c>
      <c r="BA1989" s="25">
        <f>Inventory[[#This Row],[WdDeck]]*Lookups!$B$91</f>
        <v>5527.0555358160009</v>
      </c>
      <c r="BB1989" s="25">
        <f>ROUND(Inventory[[#This Row],[25Det]],-2)</f>
        <v>12500</v>
      </c>
      <c r="BC1989" s="25">
        <f>ROUND(SUM(Inventory[[#This Row],[Mdl Qlty]:[Mdl WdDeck]])+Inventory[[#This Row],[Mdl Res Intercept]],-2)</f>
        <v>318700</v>
      </c>
      <c r="BD1989" s="25">
        <f>ROUND(Inventory[[#This Row],[Mdl Land Intercept]]+Inventory[[#This Row],[Mdl LnAcres]],-2)</f>
        <v>27600</v>
      </c>
      <c r="BE1989" s="25">
        <f>Inventory[[#This Row],[Unadj Res Value]]+Inventory[[#This Row],[Unadj Det Value]]+Inventory[[#This Row],[Unadj Land Value]]</f>
        <v>358800</v>
      </c>
      <c r="BF1989" s="36">
        <f>(Inventory[[#This Row],[Unadj Total Value]]-Inventory[[#This Row],[24Final]])/Inventory[[#This Row],[24Final]]</f>
        <v>8.0397470641373078E-2</v>
      </c>
      <c r="BG1989" s="25">
        <f>VLOOKUP(Inventory[[#This Row],[Nbhd]],Lookups!$Q$2:$T$4,4,FALSE)</f>
        <v>0.99970000000000003</v>
      </c>
      <c r="BH1989" s="25">
        <f>VLOOKUP(Inventory[[#This Row],[Qlty]],Lookups!$O$7:$R$21,4,FALSE)</f>
        <v>1.0067999999999999</v>
      </c>
      <c r="BI1989" s="25">
        <f>VLOOKUP(Inventory[[#This Row],[Cnd]],Lookups!$T$7:$W$16,4,FALSE)</f>
        <v>0.99650000000000005</v>
      </c>
      <c r="BJ1989" s="25">
        <f>VLOOKUP(Inventory[[#This Row],[LivArea Range]],Lookups!$T$25:$W$37,4,FALSE)</f>
        <v>1.0093000000000001</v>
      </c>
      <c r="BK1989" s="25">
        <f>VLOOKUP(Inventory[[#This Row],[Decade]],Lookups!$O$25:$R$42,4,FALSE)</f>
        <v>1.0074000000000001</v>
      </c>
      <c r="BL1989" s="25">
        <f>Inventory[[#This Row],[Nbhd Adj]]*0.95</f>
        <v>0.94971499999999998</v>
      </c>
      <c r="BM1989" s="25">
        <f>Inventory[[#This Row],[Nbhd Adj]]*Inventory[[#This Row],[Quality Adj]]*Inventory[[#This Row],[Condition Adj]]*Inventory[[#This Row],[Living Area Adj]]*Inventory[[#This Row],[Decade Adj]]*0.95</f>
        <v>0.96880423161964746</v>
      </c>
      <c r="BN1989" s="25">
        <f>ROUND(SUM(Inventory[[#This Row],[Mdl Qlty]:[Mdl WdDeck]])+Inventory[[#This Row],[Mdl Res Intercept]]*Inventory[[#This Row],[Res Adj ]],-2)</f>
        <v>318700</v>
      </c>
      <c r="BO1989" s="25">
        <f>ROUND(Inventory[[#This Row],[25Det]]*Inventory[[#This Row],[Det/Nbhd Adj]],-2)</f>
        <v>11900</v>
      </c>
      <c r="BP1989" s="25">
        <f>Inventory[[#This Row],[Adjusted Res]]+Inventory[[#This Row],[Adj Det ]]</f>
        <v>330600</v>
      </c>
      <c r="BQ1989" s="25">
        <f>ROUND((Inventory[[#This Row],[Mdl Land Intercept]]+Inventory[[#This Row],[Mdl LnAcres]])*Inventory[[#This Row],[Det/Nbhd Adj]],-2)</f>
        <v>26200</v>
      </c>
      <c r="BR1989" s="25">
        <f>Inventory[[#This Row],[Adjusted Impr Total]]+Inventory[[#This Row],[Adjusted Land Total]]</f>
        <v>356800</v>
      </c>
      <c r="BS1989" s="36">
        <f>IFERROR((Inventory[[#This Row],[Adjusted Impr Total]]-Inventory[[#This Row],[24Bldg]])/Inventory[[#This Row],[24Bldg]],0)</f>
        <v>0.15554002097168823</v>
      </c>
      <c r="BT1989" s="36">
        <f>(Inventory[[#This Row],[Adjusted Land Total]]-Inventory[[#This Row],[24Lnd]])/Inventory[[#This Row],[24Lnd]]</f>
        <v>-0.43043478260869567</v>
      </c>
      <c r="BU1989" s="36">
        <f>(Inventory[[#This Row],[Adjusted Total]]-Inventory[[#This Row],[24Final]])/Inventory[[#This Row],[24Final]]</f>
        <v>7.4375188196326408E-2</v>
      </c>
    </row>
    <row r="1990" spans="1:73" x14ac:dyDescent="0.3">
      <c r="A1990" s="25">
        <v>2025</v>
      </c>
      <c r="B1990" s="26" t="s">
        <v>2404</v>
      </c>
      <c r="C1990" s="26">
        <f>LN(Inventory[[#This Row],[Acres]])</f>
        <v>-1.8325814637483102</v>
      </c>
      <c r="D1990" s="25">
        <v>0.16</v>
      </c>
      <c r="E1990" s="32">
        <v>6983</v>
      </c>
      <c r="F1990" s="26" t="s">
        <v>537</v>
      </c>
      <c r="G1990" s="26" t="s">
        <v>126</v>
      </c>
      <c r="H1990" s="26" t="s">
        <v>349</v>
      </c>
      <c r="I1990" s="26" t="s">
        <v>538</v>
      </c>
      <c r="J1990" s="26" t="s">
        <v>539</v>
      </c>
      <c r="K1990" s="26" t="s">
        <v>242</v>
      </c>
      <c r="L1990" s="26" t="s">
        <v>302</v>
      </c>
      <c r="M1990" s="26" t="s">
        <v>303</v>
      </c>
      <c r="N1990" s="26">
        <v>100</v>
      </c>
      <c r="O1990" s="26">
        <f>2024-Inventory[[#This Row],[YrBlt]]</f>
        <v>99</v>
      </c>
      <c r="P1990" s="26">
        <f>2024-Inventory[[#This Row],[EffYr]]</f>
        <v>56</v>
      </c>
      <c r="Q1990" s="25">
        <v>1925</v>
      </c>
      <c r="R1990" s="25">
        <v>1968</v>
      </c>
      <c r="S1990" s="25">
        <v>980</v>
      </c>
      <c r="T1990" s="27"/>
      <c r="U1990" s="25">
        <v>588</v>
      </c>
      <c r="V1990" s="25">
        <f>Inventory[[#This Row],[Bsmt]]-Inventory[[#This Row],[FnBsmt]]</f>
        <v>0</v>
      </c>
      <c r="W1990" s="25">
        <v>588</v>
      </c>
      <c r="X1990" s="27"/>
      <c r="Y1990" s="27">
        <f>Inventory[[#This Row],[MainFn]]+Inventory[[#This Row],[UpprFn]]+Inventory[[#This Row],[FnBsmt]]+Inventory[[#This Row],[AddFn]]</f>
        <v>1568</v>
      </c>
      <c r="Z1990" s="27">
        <v>2000</v>
      </c>
      <c r="AA1990" s="25">
        <v>5</v>
      </c>
      <c r="AB1990" s="27"/>
      <c r="AC1990" s="27"/>
      <c r="AD1990" s="27"/>
      <c r="AE1990" s="27"/>
      <c r="AF1990" s="27"/>
      <c r="AG1990" s="27"/>
      <c r="AH1990" s="27"/>
      <c r="AI1990" s="25">
        <v>269352</v>
      </c>
      <c r="AJ1990" s="25">
        <v>177772</v>
      </c>
      <c r="AK1990" s="25">
        <v>5295</v>
      </c>
      <c r="AL1990" s="25">
        <v>311800</v>
      </c>
      <c r="AM1990" s="25">
        <v>50600</v>
      </c>
      <c r="AN1990" s="25">
        <v>261200</v>
      </c>
      <c r="AO1990" s="25">
        <v>0</v>
      </c>
      <c r="AP1990" s="25">
        <f>Lookups!$B$56*0</f>
        <v>0</v>
      </c>
      <c r="AQ1990" s="25">
        <f>Lookups!$B$56*1</f>
        <v>89850.625589999996</v>
      </c>
      <c r="AR1990" s="25">
        <f>Lookups!$B$57*Inventory[[#This Row],[LnAcres]]</f>
        <v>-58009.662049032086</v>
      </c>
      <c r="AS1990" s="25">
        <f>VLOOKUP(Inventory[[#This Row],[Qlty]],Lookups!$A$62:$E$75,2,FALSE)</f>
        <v>29814.093161000001</v>
      </c>
      <c r="AT1990" s="25">
        <f>VLOOKUP(Inventory[[#This Row],[Cnd]],Lookups!$A$76:$E$84,2,FALSE)</f>
        <v>197752.34721000001</v>
      </c>
      <c r="AU1990" s="25">
        <f>Inventory[[#This Row],[EffAge]]*Lookups!$B$85</f>
        <v>-12490.553628</v>
      </c>
      <c r="AV1990" s="25">
        <f>Inventory[[#This Row],[MainFn]]*Lookups!$B$86</f>
        <v>48420.496479460002</v>
      </c>
      <c r="AW1990" s="25">
        <f>Inventory[[#This Row],[UpprFn]]*Lookups!$B$87</f>
        <v>0</v>
      </c>
      <c r="AX1990" s="25">
        <f>Inventory[[#This Row],[AddFn]]*Lookups!$B$88</f>
        <v>0</v>
      </c>
      <c r="AY1990" s="25">
        <f>Inventory[[#This Row],[Bsmt]]*Lookups!$B$89</f>
        <v>17100.154405236</v>
      </c>
      <c r="AZ1990" s="25">
        <f>Inventory[[#This Row],[Fixtures]]*Lookups!$B$90</f>
        <v>18960.110526</v>
      </c>
      <c r="BA1990" s="25">
        <f>Inventory[[#This Row],[WdDeck]]*Lookups!$B$91</f>
        <v>0</v>
      </c>
      <c r="BB1990" s="25">
        <f>ROUND(Inventory[[#This Row],[25Det]],-2)</f>
        <v>5300</v>
      </c>
      <c r="BC1990" s="25">
        <f>ROUND(SUM(Inventory[[#This Row],[Mdl Qlty]:[Mdl WdDeck]])+Inventory[[#This Row],[Mdl Res Intercept]],-2)</f>
        <v>299600</v>
      </c>
      <c r="BD1990" s="25">
        <f>ROUND(Inventory[[#This Row],[Mdl Land Intercept]]+Inventory[[#This Row],[Mdl LnAcres]],-2)</f>
        <v>31800</v>
      </c>
      <c r="BE1990" s="25">
        <f>Inventory[[#This Row],[Unadj Res Value]]+Inventory[[#This Row],[Unadj Det Value]]+Inventory[[#This Row],[Unadj Land Value]]</f>
        <v>336700</v>
      </c>
      <c r="BF1990" s="36">
        <f>(Inventory[[#This Row],[Unadj Total Value]]-Inventory[[#This Row],[24Final]])/Inventory[[#This Row],[24Final]]</f>
        <v>7.9858883899935854E-2</v>
      </c>
      <c r="BG1990" s="25">
        <f>VLOOKUP(Inventory[[#This Row],[Nbhd]],Lookups!$Q$2:$T$4,4,FALSE)</f>
        <v>0.99970000000000003</v>
      </c>
      <c r="BH1990" s="25">
        <f>VLOOKUP(Inventory[[#This Row],[Qlty]],Lookups!$O$7:$R$21,4,FALSE)</f>
        <v>1.0088999999999999</v>
      </c>
      <c r="BI1990" s="25">
        <f>VLOOKUP(Inventory[[#This Row],[Cnd]],Lookups!$T$7:$W$16,4,FALSE)</f>
        <v>0.99650000000000005</v>
      </c>
      <c r="BJ1990" s="25">
        <f>VLOOKUP(Inventory[[#This Row],[LivArea Range]],Lookups!$T$25:$W$37,4,FALSE)</f>
        <v>1.0093000000000001</v>
      </c>
      <c r="BK1990" s="25">
        <f>VLOOKUP(Inventory[[#This Row],[Decade]],Lookups!$O$25:$R$42,4,FALSE)</f>
        <v>1.0074000000000001</v>
      </c>
      <c r="BL1990" s="25">
        <f>Inventory[[#This Row],[Nbhd Adj]]*0.95</f>
        <v>0.94971499999999998</v>
      </c>
      <c r="BM1990" s="25">
        <f>Inventory[[#This Row],[Nbhd Adj]]*Inventory[[#This Row],[Quality Adj]]*Inventory[[#This Row],[Condition Adj]]*Inventory[[#This Row],[Living Area Adj]]*Inventory[[#This Row],[Decade Adj]]*0.95</f>
        <v>0.97082497942099955</v>
      </c>
      <c r="BN1990" s="25">
        <f>ROUND(SUM(Inventory[[#This Row],[Mdl Qlty]:[Mdl WdDeck]])+Inventory[[#This Row],[Mdl Res Intercept]]*Inventory[[#This Row],[Res Adj ]],-2)</f>
        <v>299600</v>
      </c>
      <c r="BO1990" s="25">
        <f>ROUND(Inventory[[#This Row],[25Det]]*Inventory[[#This Row],[Det/Nbhd Adj]],-2)</f>
        <v>5000</v>
      </c>
      <c r="BP1990" s="25">
        <f>Inventory[[#This Row],[Adjusted Res]]+Inventory[[#This Row],[Adj Det ]]</f>
        <v>304600</v>
      </c>
      <c r="BQ1990" s="25">
        <f>ROUND((Inventory[[#This Row],[Mdl Land Intercept]]+Inventory[[#This Row],[Mdl LnAcres]])*Inventory[[#This Row],[Det/Nbhd Adj]],-2)</f>
        <v>30200</v>
      </c>
      <c r="BR1990" s="25">
        <f>Inventory[[#This Row],[Adjusted Impr Total]]+Inventory[[#This Row],[Adjusted Land Total]]</f>
        <v>334800</v>
      </c>
      <c r="BS1990" s="36">
        <f>IFERROR((Inventory[[#This Row],[Adjusted Impr Total]]-Inventory[[#This Row],[24Bldg]])/Inventory[[#This Row],[24Bldg]],0)</f>
        <v>0.16615620214395099</v>
      </c>
      <c r="BT1990" s="36">
        <f>(Inventory[[#This Row],[Adjusted Land Total]]-Inventory[[#This Row],[24Lnd]])/Inventory[[#This Row],[24Lnd]]</f>
        <v>-0.40316205533596838</v>
      </c>
      <c r="BU1990" s="36">
        <f>(Inventory[[#This Row],[Adjusted Total]]-Inventory[[#This Row],[24Final]])/Inventory[[#This Row],[24Final]]</f>
        <v>7.3765234124438736E-2</v>
      </c>
    </row>
    <row r="1991" spans="1:73" x14ac:dyDescent="0.3">
      <c r="A1991" s="25">
        <v>2025</v>
      </c>
      <c r="B1991" s="26" t="s">
        <v>2588</v>
      </c>
      <c r="C1991" s="26">
        <f>LN(Inventory[[#This Row],[Acres]])</f>
        <v>-1.8325814637483102</v>
      </c>
      <c r="D1991" s="25">
        <v>0.16</v>
      </c>
      <c r="E1991" s="32">
        <v>7000</v>
      </c>
      <c r="F1991" s="26" t="s">
        <v>537</v>
      </c>
      <c r="G1991" s="26" t="s">
        <v>126</v>
      </c>
      <c r="H1991" s="26" t="s">
        <v>349</v>
      </c>
      <c r="I1991" s="26" t="s">
        <v>538</v>
      </c>
      <c r="J1991" s="26" t="s">
        <v>539</v>
      </c>
      <c r="K1991" s="26" t="s">
        <v>269</v>
      </c>
      <c r="L1991" s="26" t="s">
        <v>302</v>
      </c>
      <c r="M1991" s="26" t="s">
        <v>303</v>
      </c>
      <c r="N1991" s="26">
        <v>100</v>
      </c>
      <c r="O1991" s="26">
        <f>2024-Inventory[[#This Row],[YrBlt]]</f>
        <v>99</v>
      </c>
      <c r="P1991" s="26">
        <f>2024-Inventory[[#This Row],[EffYr]]</f>
        <v>56</v>
      </c>
      <c r="Q1991" s="25">
        <v>1925</v>
      </c>
      <c r="R1991" s="25">
        <v>1968</v>
      </c>
      <c r="S1991" s="25">
        <v>1460</v>
      </c>
      <c r="T1991" s="27"/>
      <c r="U1991" s="32">
        <v>324</v>
      </c>
      <c r="V1991" s="32">
        <f>Inventory[[#This Row],[Bsmt]]-Inventory[[#This Row],[FnBsmt]]</f>
        <v>0</v>
      </c>
      <c r="W1991" s="32">
        <v>324</v>
      </c>
      <c r="X1991" s="27"/>
      <c r="Y1991" s="27">
        <f>Inventory[[#This Row],[MainFn]]+Inventory[[#This Row],[UpprFn]]+Inventory[[#This Row],[FnBsmt]]+Inventory[[#This Row],[AddFn]]</f>
        <v>1784</v>
      </c>
      <c r="Z1991" s="27">
        <v>2000</v>
      </c>
      <c r="AA1991" s="25">
        <v>7</v>
      </c>
      <c r="AB1991" s="27"/>
      <c r="AC1991" s="27"/>
      <c r="AD1991" s="27"/>
      <c r="AE1991" s="27"/>
      <c r="AF1991" s="27"/>
      <c r="AG1991" s="27"/>
      <c r="AH1991" s="27"/>
      <c r="AI1991" s="25">
        <v>313956</v>
      </c>
      <c r="AJ1991" s="25">
        <v>207211</v>
      </c>
      <c r="AK1991" s="25">
        <v>9040</v>
      </c>
      <c r="AL1991" s="25">
        <v>337200</v>
      </c>
      <c r="AM1991" s="25">
        <v>50600</v>
      </c>
      <c r="AN1991" s="25">
        <v>286600</v>
      </c>
      <c r="AO1991" s="25">
        <v>0</v>
      </c>
      <c r="AP1991" s="25">
        <f>Lookups!$B$56*0</f>
        <v>0</v>
      </c>
      <c r="AQ1991" s="25">
        <f>Lookups!$B$56*1</f>
        <v>89850.625589999996</v>
      </c>
      <c r="AR1991" s="25">
        <f>Lookups!$B$57*Inventory[[#This Row],[LnAcres]]</f>
        <v>-58009.662049032086</v>
      </c>
      <c r="AS1991" s="25">
        <f>VLOOKUP(Inventory[[#This Row],[Qlty]],Lookups!$A$62:$E$75,2,FALSE)</f>
        <v>29814.093161000001</v>
      </c>
      <c r="AT1991" s="25">
        <f>VLOOKUP(Inventory[[#This Row],[Cnd]],Lookups!$A$76:$E$84,2,FALSE)</f>
        <v>197752.34721000001</v>
      </c>
      <c r="AU1991" s="25">
        <f>Inventory[[#This Row],[EffAge]]*Lookups!$B$85</f>
        <v>-12490.553628</v>
      </c>
      <c r="AV1991" s="25">
        <f>Inventory[[#This Row],[MainFn]]*Lookups!$B$86</f>
        <v>72136.65802042</v>
      </c>
      <c r="AW1991" s="25">
        <f>Inventory[[#This Row],[UpprFn]]*Lookups!$B$87</f>
        <v>0</v>
      </c>
      <c r="AX1991" s="25">
        <f>Inventory[[#This Row],[AddFn]]*Lookups!$B$88</f>
        <v>0</v>
      </c>
      <c r="AY1991" s="25">
        <f>Inventory[[#This Row],[Bsmt]]*Lookups!$B$89</f>
        <v>9422.5340600279997</v>
      </c>
      <c r="AZ1991" s="25">
        <f>Inventory[[#This Row],[Fixtures]]*Lookups!$B$90</f>
        <v>26544.1547364</v>
      </c>
      <c r="BA1991" s="25">
        <f>Inventory[[#This Row],[WdDeck]]*Lookups!$B$91</f>
        <v>0</v>
      </c>
      <c r="BB1991" s="25">
        <f>ROUND(Inventory[[#This Row],[25Det]],-2)</f>
        <v>9000</v>
      </c>
      <c r="BC1991" s="25">
        <f>ROUND(SUM(Inventory[[#This Row],[Mdl Qlty]:[Mdl WdDeck]])+Inventory[[#This Row],[Mdl Res Intercept]],-2)</f>
        <v>323200</v>
      </c>
      <c r="BD1991" s="25">
        <f>ROUND(Inventory[[#This Row],[Mdl Land Intercept]]+Inventory[[#This Row],[Mdl LnAcres]],-2)</f>
        <v>31800</v>
      </c>
      <c r="BE1991" s="25">
        <f>Inventory[[#This Row],[Unadj Res Value]]+Inventory[[#This Row],[Unadj Det Value]]+Inventory[[#This Row],[Unadj Land Value]]</f>
        <v>364000</v>
      </c>
      <c r="BF1991" s="36">
        <f>(Inventory[[#This Row],[Unadj Total Value]]-Inventory[[#This Row],[24Final]])/Inventory[[#This Row],[24Final]]</f>
        <v>7.9478054567022532E-2</v>
      </c>
      <c r="BG1991" s="25">
        <f>VLOOKUP(Inventory[[#This Row],[Nbhd]],Lookups!$Q$2:$T$4,4,FALSE)</f>
        <v>0.99970000000000003</v>
      </c>
      <c r="BH1991" s="25">
        <f>VLOOKUP(Inventory[[#This Row],[Qlty]],Lookups!$O$7:$R$21,4,FALSE)</f>
        <v>1.0088999999999999</v>
      </c>
      <c r="BI1991" s="25">
        <f>VLOOKUP(Inventory[[#This Row],[Cnd]],Lookups!$T$7:$W$16,4,FALSE)</f>
        <v>0.99650000000000005</v>
      </c>
      <c r="BJ1991" s="25">
        <f>VLOOKUP(Inventory[[#This Row],[LivArea Range]],Lookups!$T$25:$W$37,4,FALSE)</f>
        <v>1.0093000000000001</v>
      </c>
      <c r="BK1991" s="25">
        <f>VLOOKUP(Inventory[[#This Row],[Decade]],Lookups!$O$25:$R$42,4,FALSE)</f>
        <v>1.0074000000000001</v>
      </c>
      <c r="BL1991" s="25">
        <f>Inventory[[#This Row],[Nbhd Adj]]*0.95</f>
        <v>0.94971499999999998</v>
      </c>
      <c r="BM1991" s="25">
        <f>Inventory[[#This Row],[Nbhd Adj]]*Inventory[[#This Row],[Quality Adj]]*Inventory[[#This Row],[Condition Adj]]*Inventory[[#This Row],[Living Area Adj]]*Inventory[[#This Row],[Decade Adj]]*0.95</f>
        <v>0.97082497942099955</v>
      </c>
      <c r="BN1991" s="25">
        <f>ROUND(SUM(Inventory[[#This Row],[Mdl Qlty]:[Mdl WdDeck]])+Inventory[[#This Row],[Mdl Res Intercept]]*Inventory[[#This Row],[Res Adj ]],-2)</f>
        <v>323200</v>
      </c>
      <c r="BO1991" s="25">
        <f>ROUND(Inventory[[#This Row],[25Det]]*Inventory[[#This Row],[Det/Nbhd Adj]],-2)</f>
        <v>8600</v>
      </c>
      <c r="BP1991" s="25">
        <f>Inventory[[#This Row],[Adjusted Res]]+Inventory[[#This Row],[Adj Det ]]</f>
        <v>331800</v>
      </c>
      <c r="BQ1991" s="25">
        <f>ROUND((Inventory[[#This Row],[Mdl Land Intercept]]+Inventory[[#This Row],[Mdl LnAcres]])*Inventory[[#This Row],[Det/Nbhd Adj]],-2)</f>
        <v>30200</v>
      </c>
      <c r="BR1991" s="25">
        <f>Inventory[[#This Row],[Adjusted Impr Total]]+Inventory[[#This Row],[Adjusted Land Total]]</f>
        <v>362000</v>
      </c>
      <c r="BS1991" s="36">
        <f>IFERROR((Inventory[[#This Row],[Adjusted Impr Total]]-Inventory[[#This Row],[24Bldg]])/Inventory[[#This Row],[24Bldg]],0)</f>
        <v>0.15771109560362875</v>
      </c>
      <c r="BT1991" s="36">
        <f>(Inventory[[#This Row],[Adjusted Land Total]]-Inventory[[#This Row],[24Lnd]])/Inventory[[#This Row],[24Lnd]]</f>
        <v>-0.40316205533596838</v>
      </c>
      <c r="BU1991" s="36">
        <f>(Inventory[[#This Row],[Adjusted Total]]-Inventory[[#This Row],[24Final]])/Inventory[[#This Row],[24Final]]</f>
        <v>7.354685646500593E-2</v>
      </c>
    </row>
    <row r="1992" spans="1:73" x14ac:dyDescent="0.3">
      <c r="A1992" s="25">
        <v>2025</v>
      </c>
      <c r="B1992" s="26" t="s">
        <v>2755</v>
      </c>
      <c r="C1992" s="26">
        <f>LN(Inventory[[#This Row],[Acres]])</f>
        <v>-1.6094379124341003</v>
      </c>
      <c r="D1992" s="25">
        <v>0.2</v>
      </c>
      <c r="E1992" s="25">
        <v>8762</v>
      </c>
      <c r="F1992" s="26" t="s">
        <v>537</v>
      </c>
      <c r="G1992" s="26" t="s">
        <v>126</v>
      </c>
      <c r="H1992" s="26" t="s">
        <v>349</v>
      </c>
      <c r="I1992" s="26" t="s">
        <v>538</v>
      </c>
      <c r="J1992" s="26" t="s">
        <v>539</v>
      </c>
      <c r="K1992" s="26" t="s">
        <v>269</v>
      </c>
      <c r="L1992" s="26" t="s">
        <v>351</v>
      </c>
      <c r="M1992" s="26" t="s">
        <v>323</v>
      </c>
      <c r="N1992" s="26">
        <v>100</v>
      </c>
      <c r="O1992" s="26">
        <f>2024-Inventory[[#This Row],[YrBlt]]</f>
        <v>99</v>
      </c>
      <c r="P1992" s="26">
        <f>2024-Inventory[[#This Row],[EffYr]]</f>
        <v>56</v>
      </c>
      <c r="Q1992" s="25">
        <v>1925</v>
      </c>
      <c r="R1992" s="25">
        <v>1968</v>
      </c>
      <c r="S1992" s="25">
        <v>1766</v>
      </c>
      <c r="T1992" s="27"/>
      <c r="U1992" s="32">
        <v>1076</v>
      </c>
      <c r="V1992" s="32">
        <f>Inventory[[#This Row],[Bsmt]]-Inventory[[#This Row],[FnBsmt]]</f>
        <v>1076</v>
      </c>
      <c r="W1992" s="27"/>
      <c r="X1992" s="27"/>
      <c r="Y1992" s="27">
        <f>Inventory[[#This Row],[MainFn]]+Inventory[[#This Row],[UpprFn]]+Inventory[[#This Row],[FnBsmt]]+Inventory[[#This Row],[AddFn]]</f>
        <v>1766</v>
      </c>
      <c r="Z1992" s="27">
        <v>2000</v>
      </c>
      <c r="AA1992" s="25">
        <v>8</v>
      </c>
      <c r="AB1992" s="32">
        <v>750</v>
      </c>
      <c r="AC1992" s="27"/>
      <c r="AD1992" s="27"/>
      <c r="AE1992" s="27"/>
      <c r="AF1992" s="27"/>
      <c r="AG1992" s="27"/>
      <c r="AH1992" s="31"/>
      <c r="AI1992" s="25">
        <v>338676</v>
      </c>
      <c r="AJ1992" s="25">
        <v>216753</v>
      </c>
      <c r="AK1992" s="25">
        <v>0</v>
      </c>
      <c r="AL1992" s="25">
        <v>331100</v>
      </c>
      <c r="AM1992" s="25">
        <v>58400</v>
      </c>
      <c r="AN1992" s="25">
        <v>272700</v>
      </c>
      <c r="AO1992" s="25">
        <v>0</v>
      </c>
      <c r="AP1992" s="25">
        <f>Lookups!$B$56*0</f>
        <v>0</v>
      </c>
      <c r="AQ1992" s="25">
        <f>Lookups!$B$56*1</f>
        <v>89850.625589999996</v>
      </c>
      <c r="AR1992" s="25">
        <f>Lookups!$B$57*Inventory[[#This Row],[LnAcres]]</f>
        <v>-50946.13867709865</v>
      </c>
      <c r="AS1992" s="25">
        <f>VLOOKUP(Inventory[[#This Row],[Qlty]],Lookups!$A$62:$E$75,2,FALSE)</f>
        <v>21557.329055999999</v>
      </c>
      <c r="AT1992" s="25">
        <f>VLOOKUP(Inventory[[#This Row],[Cnd]],Lookups!$A$76:$E$84,2,FALSE)</f>
        <v>160472.20319</v>
      </c>
      <c r="AU1992" s="25">
        <f>Inventory[[#This Row],[EffAge]]*Lookups!$B$85</f>
        <v>-12490.553628</v>
      </c>
      <c r="AV1992" s="25">
        <f>Inventory[[#This Row],[MainFn]]*Lookups!$B$86</f>
        <v>87255.711002782002</v>
      </c>
      <c r="AW1992" s="25">
        <f>Inventory[[#This Row],[UpprFn]]*Lookups!$B$87</f>
        <v>0</v>
      </c>
      <c r="AX1992" s="25">
        <f>Inventory[[#This Row],[AddFn]]*Lookups!$B$88</f>
        <v>0</v>
      </c>
      <c r="AY1992" s="25">
        <f>Inventory[[#This Row],[Bsmt]]*Lookups!$B$89</f>
        <v>31292.119285771998</v>
      </c>
      <c r="AZ1992" s="25">
        <f>Inventory[[#This Row],[Fixtures]]*Lookups!$B$90</f>
        <v>30336.176841600001</v>
      </c>
      <c r="BA1992" s="25">
        <f>Inventory[[#This Row],[WdDeck]]*Lookups!$B$91</f>
        <v>0</v>
      </c>
      <c r="BB1992" s="25">
        <f>ROUND(Inventory[[#This Row],[25Det]],-2)</f>
        <v>0</v>
      </c>
      <c r="BC1992" s="25">
        <f>ROUND(SUM(Inventory[[#This Row],[Mdl Qlty]:[Mdl WdDeck]])+Inventory[[#This Row],[Mdl Res Intercept]],-2)</f>
        <v>318400</v>
      </c>
      <c r="BD1992" s="25">
        <f>ROUND(Inventory[[#This Row],[Mdl Land Intercept]]+Inventory[[#This Row],[Mdl LnAcres]],-2)</f>
        <v>38900</v>
      </c>
      <c r="BE1992" s="25">
        <f>Inventory[[#This Row],[Unadj Res Value]]+Inventory[[#This Row],[Unadj Det Value]]+Inventory[[#This Row],[Unadj Land Value]]</f>
        <v>357300</v>
      </c>
      <c r="BF1992" s="36">
        <f>(Inventory[[#This Row],[Unadj Total Value]]-Inventory[[#This Row],[24Final]])/Inventory[[#This Row],[24Final]]</f>
        <v>7.9130172153427963E-2</v>
      </c>
      <c r="BG1992" s="25">
        <f>VLOOKUP(Inventory[[#This Row],[Nbhd]],Lookups!$Q$2:$T$4,4,FALSE)</f>
        <v>0.99970000000000003</v>
      </c>
      <c r="BH1992" s="25">
        <f>VLOOKUP(Inventory[[#This Row],[Qlty]],Lookups!$O$7:$R$21,4,FALSE)</f>
        <v>1.0067999999999999</v>
      </c>
      <c r="BI1992" s="25">
        <f>VLOOKUP(Inventory[[#This Row],[Cnd]],Lookups!$T$7:$W$16,4,FALSE)</f>
        <v>0.99729999999999996</v>
      </c>
      <c r="BJ1992" s="25">
        <f>VLOOKUP(Inventory[[#This Row],[LivArea Range]],Lookups!$T$25:$W$37,4,FALSE)</f>
        <v>1.0093000000000001</v>
      </c>
      <c r="BK1992" s="25">
        <f>VLOOKUP(Inventory[[#This Row],[Decade]],Lookups!$O$25:$R$42,4,FALSE)</f>
        <v>1.0074000000000001</v>
      </c>
      <c r="BL1992" s="25">
        <f>Inventory[[#This Row],[Nbhd Adj]]*0.95</f>
        <v>0.94971499999999998</v>
      </c>
      <c r="BM1992" s="25">
        <f>Inventory[[#This Row],[Nbhd Adj]]*Inventory[[#This Row],[Quality Adj]]*Inventory[[#This Row],[Condition Adj]]*Inventory[[#This Row],[Living Area Adj]]*Inventory[[#This Row],[Decade Adj]]*0.95</f>
        <v>0.96958199718441984</v>
      </c>
      <c r="BN1992" s="25">
        <f>ROUND(SUM(Inventory[[#This Row],[Mdl Qlty]:[Mdl WdDeck]])+Inventory[[#This Row],[Mdl Res Intercept]]*Inventory[[#This Row],[Res Adj ]],-2)</f>
        <v>318400</v>
      </c>
      <c r="BO1992" s="25">
        <f>ROUND(Inventory[[#This Row],[25Det]]*Inventory[[#This Row],[Det/Nbhd Adj]],-2)</f>
        <v>0</v>
      </c>
      <c r="BP1992" s="25">
        <f>Inventory[[#This Row],[Adjusted Res]]+Inventory[[#This Row],[Adj Det ]]</f>
        <v>318400</v>
      </c>
      <c r="BQ1992" s="25">
        <f>ROUND((Inventory[[#This Row],[Mdl Land Intercept]]+Inventory[[#This Row],[Mdl LnAcres]])*Inventory[[#This Row],[Det/Nbhd Adj]],-2)</f>
        <v>36900</v>
      </c>
      <c r="BR1992" s="25">
        <f>Inventory[[#This Row],[Adjusted Impr Total]]+Inventory[[#This Row],[Adjusted Land Total]]</f>
        <v>355300</v>
      </c>
      <c r="BS1992" s="36">
        <f>IFERROR((Inventory[[#This Row],[Adjusted Impr Total]]-Inventory[[#This Row],[24Bldg]])/Inventory[[#This Row],[24Bldg]],0)</f>
        <v>0.16758342500916759</v>
      </c>
      <c r="BT1992" s="36">
        <f>(Inventory[[#This Row],[Adjusted Land Total]]-Inventory[[#This Row],[24Lnd]])/Inventory[[#This Row],[24Lnd]]</f>
        <v>-0.36815068493150682</v>
      </c>
      <c r="BU1992" s="36">
        <f>(Inventory[[#This Row],[Adjusted Total]]-Inventory[[#This Row],[24Final]])/Inventory[[#This Row],[24Final]]</f>
        <v>7.3089700996677748E-2</v>
      </c>
    </row>
    <row r="1993" spans="1:73" x14ac:dyDescent="0.3">
      <c r="A1993" s="25">
        <v>2025</v>
      </c>
      <c r="B1993" s="26" t="s">
        <v>1092</v>
      </c>
      <c r="C1993" s="26">
        <f>LN(Inventory[[#This Row],[Acres]])</f>
        <v>-1.6607312068216509</v>
      </c>
      <c r="D1993" s="25">
        <v>0.19</v>
      </c>
      <c r="E1993" s="31"/>
      <c r="F1993" s="26" t="s">
        <v>537</v>
      </c>
      <c r="G1993" s="26" t="s">
        <v>126</v>
      </c>
      <c r="H1993" s="26" t="s">
        <v>349</v>
      </c>
      <c r="I1993" s="26" t="s">
        <v>538</v>
      </c>
      <c r="J1993" s="26" t="s">
        <v>539</v>
      </c>
      <c r="K1993" s="26" t="s">
        <v>301</v>
      </c>
      <c r="L1993" s="26" t="s">
        <v>148</v>
      </c>
      <c r="M1993" s="26" t="s">
        <v>303</v>
      </c>
      <c r="N1993" s="26">
        <v>100</v>
      </c>
      <c r="O1993" s="26">
        <f>2024-Inventory[[#This Row],[YrBlt]]</f>
        <v>99</v>
      </c>
      <c r="P1993" s="26">
        <f>2024-Inventory[[#This Row],[EffYr]]</f>
        <v>56</v>
      </c>
      <c r="Q1993" s="25">
        <v>1925</v>
      </c>
      <c r="R1993" s="25">
        <v>1968</v>
      </c>
      <c r="S1993" s="25">
        <v>1336</v>
      </c>
      <c r="T1993" s="32">
        <v>718</v>
      </c>
      <c r="U1993" s="32">
        <v>522</v>
      </c>
      <c r="V1993" s="32">
        <f>Inventory[[#This Row],[Bsmt]]-Inventory[[#This Row],[FnBsmt]]</f>
        <v>522</v>
      </c>
      <c r="W1993" s="27"/>
      <c r="X1993" s="27"/>
      <c r="Y1993" s="27">
        <f>Inventory[[#This Row],[MainFn]]+Inventory[[#This Row],[UpprFn]]+Inventory[[#This Row],[FnBsmt]]+Inventory[[#This Row],[AddFn]]</f>
        <v>2054</v>
      </c>
      <c r="Z1993" s="27">
        <v>2500</v>
      </c>
      <c r="AA1993" s="25">
        <v>12</v>
      </c>
      <c r="AB1993" s="31"/>
      <c r="AC1993" s="27"/>
      <c r="AD1993" s="27"/>
      <c r="AE1993" s="27"/>
      <c r="AF1993" s="27"/>
      <c r="AG1993" s="27"/>
      <c r="AH1993" s="27"/>
      <c r="AI1993" s="25">
        <v>432444</v>
      </c>
      <c r="AJ1993" s="25">
        <v>285413</v>
      </c>
      <c r="AK1993" s="25">
        <v>25637</v>
      </c>
      <c r="AL1993" s="25">
        <v>417700</v>
      </c>
      <c r="AM1993" s="25">
        <v>56600</v>
      </c>
      <c r="AN1993" s="25">
        <v>361100</v>
      </c>
      <c r="AO1993" s="25">
        <v>0</v>
      </c>
      <c r="AP1993" s="25">
        <f>Lookups!$B$56*0</f>
        <v>0</v>
      </c>
      <c r="AQ1993" s="25">
        <f>Lookups!$B$56*1</f>
        <v>89850.625589999996</v>
      </c>
      <c r="AR1993" s="25">
        <f>Lookups!$B$57*Inventory[[#This Row],[LnAcres]]</f>
        <v>-52569.808201026557</v>
      </c>
      <c r="AS1993" s="25">
        <f>VLOOKUP(Inventory[[#This Row],[Qlty]],Lookups!$A$62:$E$75,2,FALSE)</f>
        <v>44121.038090000002</v>
      </c>
      <c r="AT1993" s="25">
        <f>VLOOKUP(Inventory[[#This Row],[Cnd]],Lookups!$A$76:$E$84,2,FALSE)</f>
        <v>197752.34721000001</v>
      </c>
      <c r="AU1993" s="25">
        <f>Inventory[[#This Row],[EffAge]]*Lookups!$B$85</f>
        <v>-12490.553628</v>
      </c>
      <c r="AV1993" s="25">
        <f>Inventory[[#This Row],[MainFn]]*Lookups!$B$86</f>
        <v>66009.982955672007</v>
      </c>
      <c r="AW1993" s="25">
        <f>Inventory[[#This Row],[UpprFn]]*Lookups!$B$87</f>
        <v>32156.651614197999</v>
      </c>
      <c r="AX1993" s="25">
        <f>Inventory[[#This Row],[AddFn]]*Lookups!$B$88</f>
        <v>0</v>
      </c>
      <c r="AY1993" s="25">
        <f>Inventory[[#This Row],[Bsmt]]*Lookups!$B$89</f>
        <v>15180.749318933998</v>
      </c>
      <c r="AZ1993" s="25">
        <f>Inventory[[#This Row],[Fixtures]]*Lookups!$B$90</f>
        <v>45504.265262400004</v>
      </c>
      <c r="BA1993" s="25">
        <f>Inventory[[#This Row],[WdDeck]]*Lookups!$B$91</f>
        <v>0</v>
      </c>
      <c r="BB1993" s="25">
        <f>ROUND(Inventory[[#This Row],[25Det]],-2)</f>
        <v>25600</v>
      </c>
      <c r="BC1993" s="25">
        <f>ROUND(SUM(Inventory[[#This Row],[Mdl Qlty]:[Mdl WdDeck]])+Inventory[[#This Row],[Mdl Res Intercept]],-2)</f>
        <v>388200</v>
      </c>
      <c r="BD1993" s="25">
        <f>ROUND(Inventory[[#This Row],[Mdl Land Intercept]]+Inventory[[#This Row],[Mdl LnAcres]],-2)</f>
        <v>37300</v>
      </c>
      <c r="BE1993" s="25">
        <f>Inventory[[#This Row],[Unadj Res Value]]+Inventory[[#This Row],[Unadj Det Value]]+Inventory[[#This Row],[Unadj Land Value]]</f>
        <v>451100</v>
      </c>
      <c r="BF1993" s="36">
        <f>(Inventory[[#This Row],[Unadj Total Value]]-Inventory[[#This Row],[24Final]])/Inventory[[#This Row],[24Final]]</f>
        <v>7.99616949964089E-2</v>
      </c>
      <c r="BG1993" s="25">
        <f>VLOOKUP(Inventory[[#This Row],[Nbhd]],Lookups!$Q$2:$T$4,4,FALSE)</f>
        <v>0.99970000000000003</v>
      </c>
      <c r="BH1993" s="25">
        <f>VLOOKUP(Inventory[[#This Row],[Qlty]],Lookups!$O$7:$R$21,4,FALSE)</f>
        <v>0.98050000000000004</v>
      </c>
      <c r="BI1993" s="25">
        <f>VLOOKUP(Inventory[[#This Row],[Cnd]],Lookups!$T$7:$W$16,4,FALSE)</f>
        <v>0.99650000000000005</v>
      </c>
      <c r="BJ1993" s="25">
        <f>VLOOKUP(Inventory[[#This Row],[LivArea Range]],Lookups!$T$25:$W$37,4,FALSE)</f>
        <v>0.98919999999999997</v>
      </c>
      <c r="BK1993" s="25">
        <f>VLOOKUP(Inventory[[#This Row],[Decade]],Lookups!$O$25:$R$42,4,FALSE)</f>
        <v>1.0074000000000001</v>
      </c>
      <c r="BL1993" s="25">
        <f>Inventory[[#This Row],[Nbhd Adj]]*0.95</f>
        <v>0.94971499999999998</v>
      </c>
      <c r="BM1993" s="25">
        <f>Inventory[[#This Row],[Nbhd Adj]]*Inventory[[#This Row],[Quality Adj]]*Inventory[[#This Row],[Condition Adj]]*Inventory[[#This Row],[Living Area Adj]]*Inventory[[#This Row],[Decade Adj]]*0.95</f>
        <v>0.9247072287054503</v>
      </c>
      <c r="BN1993" s="25">
        <f>ROUND(SUM(Inventory[[#This Row],[Mdl Qlty]:[Mdl WdDeck]])+Inventory[[#This Row],[Mdl Res Intercept]]*Inventory[[#This Row],[Res Adj ]],-2)</f>
        <v>388200</v>
      </c>
      <c r="BO1993" s="25">
        <f>ROUND(Inventory[[#This Row],[25Det]]*Inventory[[#This Row],[Det/Nbhd Adj]],-2)</f>
        <v>24300</v>
      </c>
      <c r="BP1993" s="25">
        <f>Inventory[[#This Row],[Adjusted Res]]+Inventory[[#This Row],[Adj Det ]]</f>
        <v>412500</v>
      </c>
      <c r="BQ1993" s="25">
        <f>ROUND((Inventory[[#This Row],[Mdl Land Intercept]]+Inventory[[#This Row],[Mdl LnAcres]])*Inventory[[#This Row],[Det/Nbhd Adj]],-2)</f>
        <v>35400</v>
      </c>
      <c r="BR1993" s="25">
        <f>Inventory[[#This Row],[Adjusted Impr Total]]+Inventory[[#This Row],[Adjusted Land Total]]</f>
        <v>447900</v>
      </c>
      <c r="BS1993" s="36">
        <f>IFERROR((Inventory[[#This Row],[Adjusted Impr Total]]-Inventory[[#This Row],[24Bldg]])/Inventory[[#This Row],[24Bldg]],0)</f>
        <v>0.14234284131819441</v>
      </c>
      <c r="BT1993" s="36">
        <f>(Inventory[[#This Row],[Adjusted Land Total]]-Inventory[[#This Row],[24Lnd]])/Inventory[[#This Row],[24Lnd]]</f>
        <v>-0.37455830388692579</v>
      </c>
      <c r="BU1993" s="36">
        <f>(Inventory[[#This Row],[Adjusted Total]]-Inventory[[#This Row],[24Final]])/Inventory[[#This Row],[24Final]]</f>
        <v>7.2300694278190095E-2</v>
      </c>
    </row>
    <row r="1994" spans="1:73" x14ac:dyDescent="0.3">
      <c r="A1994" s="25">
        <v>2025</v>
      </c>
      <c r="B1994" s="26" t="s">
        <v>1294</v>
      </c>
      <c r="C1994" s="26">
        <f>LN(Inventory[[#This Row],[Acres]])</f>
        <v>-1.9661128563728327</v>
      </c>
      <c r="D1994" s="25">
        <v>0.14000000000000001</v>
      </c>
      <c r="E1994" s="25">
        <v>6051</v>
      </c>
      <c r="F1994" s="26" t="s">
        <v>537</v>
      </c>
      <c r="G1994" s="26" t="s">
        <v>126</v>
      </c>
      <c r="H1994" s="26" t="s">
        <v>349</v>
      </c>
      <c r="I1994" s="26" t="s">
        <v>538</v>
      </c>
      <c r="J1994" s="26" t="s">
        <v>539</v>
      </c>
      <c r="K1994" s="26" t="s">
        <v>269</v>
      </c>
      <c r="L1994" s="26" t="s">
        <v>351</v>
      </c>
      <c r="M1994" s="26" t="s">
        <v>323</v>
      </c>
      <c r="N1994" s="26">
        <v>100</v>
      </c>
      <c r="O1994" s="26">
        <f>2024-Inventory[[#This Row],[YrBlt]]</f>
        <v>99</v>
      </c>
      <c r="P1994" s="26">
        <f>2024-Inventory[[#This Row],[EffYr]]</f>
        <v>56</v>
      </c>
      <c r="Q1994" s="25">
        <v>1925</v>
      </c>
      <c r="R1994" s="25">
        <v>1968</v>
      </c>
      <c r="S1994" s="25">
        <v>988</v>
      </c>
      <c r="T1994" s="27"/>
      <c r="U1994" s="25">
        <v>544</v>
      </c>
      <c r="V1994" s="25">
        <f>Inventory[[#This Row],[Bsmt]]-Inventory[[#This Row],[FnBsmt]]</f>
        <v>381</v>
      </c>
      <c r="W1994" s="25">
        <v>163</v>
      </c>
      <c r="X1994" s="27"/>
      <c r="Y1994" s="27">
        <f>Inventory[[#This Row],[MainFn]]+Inventory[[#This Row],[UpprFn]]+Inventory[[#This Row],[FnBsmt]]+Inventory[[#This Row],[AddFn]]</f>
        <v>1151</v>
      </c>
      <c r="Z1994" s="27">
        <v>1500</v>
      </c>
      <c r="AA1994" s="25">
        <v>5</v>
      </c>
      <c r="AB1994" s="27"/>
      <c r="AC1994" s="31"/>
      <c r="AD1994" s="27"/>
      <c r="AE1994" s="27"/>
      <c r="AF1994" s="27"/>
      <c r="AG1994" s="27"/>
      <c r="AH1994" s="27"/>
      <c r="AI1994" s="25">
        <v>201859</v>
      </c>
      <c r="AJ1994" s="25">
        <v>129190</v>
      </c>
      <c r="AK1994" s="25">
        <v>8321</v>
      </c>
      <c r="AL1994" s="25">
        <v>268100</v>
      </c>
      <c r="AM1994" s="25">
        <v>46000</v>
      </c>
      <c r="AN1994" s="25">
        <v>222100</v>
      </c>
      <c r="AO1994" s="25">
        <v>0</v>
      </c>
      <c r="AP1994" s="25">
        <f>Lookups!$B$56*0</f>
        <v>0</v>
      </c>
      <c r="AQ1994" s="25">
        <f>Lookups!$B$56*1</f>
        <v>89850.625589999996</v>
      </c>
      <c r="AR1994" s="25">
        <f>Lookups!$B$57*Inventory[[#This Row],[LnAcres]]</f>
        <v>-62236.546971921947</v>
      </c>
      <c r="AS1994" s="25">
        <f>VLOOKUP(Inventory[[#This Row],[Qlty]],Lookups!$A$62:$E$75,2,FALSE)</f>
        <v>21557.329055999999</v>
      </c>
      <c r="AT1994" s="25">
        <f>VLOOKUP(Inventory[[#This Row],[Cnd]],Lookups!$A$76:$E$84,2,FALSE)</f>
        <v>160472.20319</v>
      </c>
      <c r="AU1994" s="25">
        <f>Inventory[[#This Row],[EffAge]]*Lookups!$B$85</f>
        <v>-12490.553628</v>
      </c>
      <c r="AV1994" s="25">
        <f>Inventory[[#This Row],[MainFn]]*Lookups!$B$86</f>
        <v>48815.765838476</v>
      </c>
      <c r="AW1994" s="25">
        <f>Inventory[[#This Row],[UpprFn]]*Lookups!$B$87</f>
        <v>0</v>
      </c>
      <c r="AX1994" s="25">
        <f>Inventory[[#This Row],[AddFn]]*Lookups!$B$88</f>
        <v>0</v>
      </c>
      <c r="AY1994" s="25">
        <f>Inventory[[#This Row],[Bsmt]]*Lookups!$B$89</f>
        <v>15820.551014367999</v>
      </c>
      <c r="AZ1994" s="25">
        <f>Inventory[[#This Row],[Fixtures]]*Lookups!$B$90</f>
        <v>18960.110526</v>
      </c>
      <c r="BA1994" s="25">
        <f>Inventory[[#This Row],[WdDeck]]*Lookups!$B$91</f>
        <v>0</v>
      </c>
      <c r="BB1994" s="25">
        <f>ROUND(Inventory[[#This Row],[25Det]],-2)</f>
        <v>8300</v>
      </c>
      <c r="BC1994" s="25">
        <f>ROUND(SUM(Inventory[[#This Row],[Mdl Qlty]:[Mdl WdDeck]])+Inventory[[#This Row],[Mdl Res Intercept]],-2)</f>
        <v>253100</v>
      </c>
      <c r="BD1994" s="25">
        <f>ROUND(Inventory[[#This Row],[Mdl Land Intercept]]+Inventory[[#This Row],[Mdl LnAcres]],-2)</f>
        <v>27600</v>
      </c>
      <c r="BE1994" s="25">
        <f>Inventory[[#This Row],[Unadj Res Value]]+Inventory[[#This Row],[Unadj Det Value]]+Inventory[[#This Row],[Unadj Land Value]]</f>
        <v>289000</v>
      </c>
      <c r="BF1994" s="36">
        <f>(Inventory[[#This Row],[Unadj Total Value]]-Inventory[[#This Row],[24Final]])/Inventory[[#This Row],[24Final]]</f>
        <v>7.7955986572174563E-2</v>
      </c>
      <c r="BG1994" s="25">
        <f>VLOOKUP(Inventory[[#This Row],[Nbhd]],Lookups!$Q$2:$T$4,4,FALSE)</f>
        <v>0.99970000000000003</v>
      </c>
      <c r="BH1994" s="25">
        <f>VLOOKUP(Inventory[[#This Row],[Qlty]],Lookups!$O$7:$R$21,4,FALSE)</f>
        <v>1.0067999999999999</v>
      </c>
      <c r="BI1994" s="25">
        <f>VLOOKUP(Inventory[[#This Row],[Cnd]],Lookups!$T$7:$W$16,4,FALSE)</f>
        <v>0.99729999999999996</v>
      </c>
      <c r="BJ1994" s="25">
        <f>VLOOKUP(Inventory[[#This Row],[LivArea Range]],Lookups!$T$25:$W$37,4,FALSE)</f>
        <v>1.0157</v>
      </c>
      <c r="BK1994" s="25">
        <f>VLOOKUP(Inventory[[#This Row],[Decade]],Lookups!$O$25:$R$42,4,FALSE)</f>
        <v>1.0074000000000001</v>
      </c>
      <c r="BL1994" s="25">
        <f>Inventory[[#This Row],[Nbhd Adj]]*0.95</f>
        <v>0.94971499999999998</v>
      </c>
      <c r="BM1994" s="25">
        <f>Inventory[[#This Row],[Nbhd Adj]]*Inventory[[#This Row],[Quality Adj]]*Inventory[[#This Row],[Condition Adj]]*Inventory[[#This Row],[Living Area Adj]]*Inventory[[#This Row],[Decade Adj]]*0.95</f>
        <v>0.97573014419916293</v>
      </c>
      <c r="BN1994" s="25">
        <f>ROUND(SUM(Inventory[[#This Row],[Mdl Qlty]:[Mdl WdDeck]])+Inventory[[#This Row],[Mdl Res Intercept]]*Inventory[[#This Row],[Res Adj ]],-2)</f>
        <v>253100</v>
      </c>
      <c r="BO1994" s="25">
        <f>ROUND(Inventory[[#This Row],[25Det]]*Inventory[[#This Row],[Det/Nbhd Adj]],-2)</f>
        <v>7900</v>
      </c>
      <c r="BP1994" s="25">
        <f>Inventory[[#This Row],[Adjusted Res]]+Inventory[[#This Row],[Adj Det ]]</f>
        <v>261000</v>
      </c>
      <c r="BQ1994" s="25">
        <f>ROUND((Inventory[[#This Row],[Mdl Land Intercept]]+Inventory[[#This Row],[Mdl LnAcres]])*Inventory[[#This Row],[Det/Nbhd Adj]],-2)</f>
        <v>26200</v>
      </c>
      <c r="BR1994" s="25">
        <f>Inventory[[#This Row],[Adjusted Impr Total]]+Inventory[[#This Row],[Adjusted Land Total]]</f>
        <v>287200</v>
      </c>
      <c r="BS1994" s="36">
        <f>IFERROR((Inventory[[#This Row],[Adjusted Impr Total]]-Inventory[[#This Row],[24Bldg]])/Inventory[[#This Row],[24Bldg]],0)</f>
        <v>0.17514633048176498</v>
      </c>
      <c r="BT1994" s="36">
        <f>(Inventory[[#This Row],[Adjusted Land Total]]-Inventory[[#This Row],[24Lnd]])/Inventory[[#This Row],[24Lnd]]</f>
        <v>-0.43043478260869567</v>
      </c>
      <c r="BU1994" s="36">
        <f>(Inventory[[#This Row],[Adjusted Total]]-Inventory[[#This Row],[24Final]])/Inventory[[#This Row],[24Final]]</f>
        <v>7.1242073853039906E-2</v>
      </c>
    </row>
    <row r="1995" spans="1:73" x14ac:dyDescent="0.3">
      <c r="A1995" s="25">
        <v>2025</v>
      </c>
      <c r="B1995" s="26" t="s">
        <v>2209</v>
      </c>
      <c r="C1995" s="26">
        <f>LN(Inventory[[#This Row],[Acres]])</f>
        <v>-1.7719568419318752</v>
      </c>
      <c r="D1995" s="25">
        <v>0.17</v>
      </c>
      <c r="E1995" s="25">
        <v>7519</v>
      </c>
      <c r="F1995" s="26" t="s">
        <v>537</v>
      </c>
      <c r="G1995" s="26" t="s">
        <v>126</v>
      </c>
      <c r="H1995" s="26" t="s">
        <v>349</v>
      </c>
      <c r="I1995" s="26" t="s">
        <v>538</v>
      </c>
      <c r="J1995" s="26" t="s">
        <v>539</v>
      </c>
      <c r="K1995" s="26" t="s">
        <v>269</v>
      </c>
      <c r="L1995" s="26" t="s">
        <v>351</v>
      </c>
      <c r="M1995" s="26" t="s">
        <v>323</v>
      </c>
      <c r="N1995" s="26">
        <v>100</v>
      </c>
      <c r="O1995" s="26">
        <f>2024-Inventory[[#This Row],[YrBlt]]</f>
        <v>99</v>
      </c>
      <c r="P1995" s="26">
        <f>2024-Inventory[[#This Row],[EffYr]]</f>
        <v>56</v>
      </c>
      <c r="Q1995" s="25">
        <v>1925</v>
      </c>
      <c r="R1995" s="25">
        <v>1968</v>
      </c>
      <c r="S1995" s="25">
        <v>890</v>
      </c>
      <c r="T1995" s="27"/>
      <c r="U1995" s="32">
        <v>768</v>
      </c>
      <c r="V1995" s="32">
        <f>Inventory[[#This Row],[Bsmt]]-Inventory[[#This Row],[FnBsmt]]</f>
        <v>768</v>
      </c>
      <c r="W1995" s="27"/>
      <c r="X1995" s="27"/>
      <c r="Y1995" s="27">
        <f>Inventory[[#This Row],[MainFn]]+Inventory[[#This Row],[UpprFn]]+Inventory[[#This Row],[FnBsmt]]+Inventory[[#This Row],[AddFn]]</f>
        <v>890</v>
      </c>
      <c r="Z1995" s="27">
        <v>1000</v>
      </c>
      <c r="AA1995" s="25">
        <v>6</v>
      </c>
      <c r="AB1995" s="31"/>
      <c r="AC1995" s="27"/>
      <c r="AD1995" s="27"/>
      <c r="AE1995" s="27"/>
      <c r="AF1995" s="27"/>
      <c r="AG1995" s="27"/>
      <c r="AH1995" s="27"/>
      <c r="AI1995" s="25">
        <v>187204</v>
      </c>
      <c r="AJ1995" s="25">
        <v>119811</v>
      </c>
      <c r="AK1995" s="25">
        <v>4419</v>
      </c>
      <c r="AL1995" s="25">
        <v>275800</v>
      </c>
      <c r="AM1995" s="25">
        <v>52700</v>
      </c>
      <c r="AN1995" s="25">
        <v>223100</v>
      </c>
      <c r="AO1995" s="25">
        <v>0</v>
      </c>
      <c r="AP1995" s="25">
        <f>Lookups!$B$56*0</f>
        <v>0</v>
      </c>
      <c r="AQ1995" s="25">
        <f>Lookups!$B$56*1</f>
        <v>89850.625589999996</v>
      </c>
      <c r="AR1995" s="25">
        <f>Lookups!$B$57*Inventory[[#This Row],[LnAcres]]</f>
        <v>-56090.612940989391</v>
      </c>
      <c r="AS1995" s="25">
        <f>VLOOKUP(Inventory[[#This Row],[Qlty]],Lookups!$A$62:$E$75,2,FALSE)</f>
        <v>21557.329055999999</v>
      </c>
      <c r="AT1995" s="25">
        <f>VLOOKUP(Inventory[[#This Row],[Cnd]],Lookups!$A$76:$E$84,2,FALSE)</f>
        <v>160472.20319</v>
      </c>
      <c r="AU1995" s="25">
        <f>Inventory[[#This Row],[EffAge]]*Lookups!$B$85</f>
        <v>-12490.553628</v>
      </c>
      <c r="AV1995" s="25">
        <f>Inventory[[#This Row],[MainFn]]*Lookups!$B$86</f>
        <v>43973.716190530002</v>
      </c>
      <c r="AW1995" s="25">
        <f>Inventory[[#This Row],[UpprFn]]*Lookups!$B$87</f>
        <v>0</v>
      </c>
      <c r="AX1995" s="25">
        <f>Inventory[[#This Row],[AddFn]]*Lookups!$B$88</f>
        <v>0</v>
      </c>
      <c r="AY1995" s="25">
        <f>Inventory[[#This Row],[Bsmt]]*Lookups!$B$89</f>
        <v>22334.895549695997</v>
      </c>
      <c r="AZ1995" s="25">
        <f>Inventory[[#This Row],[Fixtures]]*Lookups!$B$90</f>
        <v>22752.132631200002</v>
      </c>
      <c r="BA1995" s="25">
        <f>Inventory[[#This Row],[WdDeck]]*Lookups!$B$91</f>
        <v>0</v>
      </c>
      <c r="BB1995" s="25">
        <f>ROUND(Inventory[[#This Row],[25Det]],-2)</f>
        <v>4400</v>
      </c>
      <c r="BC1995" s="25">
        <f>ROUND(SUM(Inventory[[#This Row],[Mdl Qlty]:[Mdl WdDeck]])+Inventory[[#This Row],[Mdl Res Intercept]],-2)</f>
        <v>258600</v>
      </c>
      <c r="BD1995" s="25">
        <f>ROUND(Inventory[[#This Row],[Mdl Land Intercept]]+Inventory[[#This Row],[Mdl LnAcres]],-2)</f>
        <v>33800</v>
      </c>
      <c r="BE1995" s="25">
        <f>Inventory[[#This Row],[Unadj Res Value]]+Inventory[[#This Row],[Unadj Det Value]]+Inventory[[#This Row],[Unadj Land Value]]</f>
        <v>296800</v>
      </c>
      <c r="BF1995" s="36">
        <f>(Inventory[[#This Row],[Unadj Total Value]]-Inventory[[#This Row],[24Final]])/Inventory[[#This Row],[24Final]]</f>
        <v>7.6142131979695438E-2</v>
      </c>
      <c r="BG1995" s="25">
        <f>VLOOKUP(Inventory[[#This Row],[Nbhd]],Lookups!$Q$2:$T$4,4,FALSE)</f>
        <v>0.99970000000000003</v>
      </c>
      <c r="BH1995" s="25">
        <f>VLOOKUP(Inventory[[#This Row],[Qlty]],Lookups!$O$7:$R$21,4,FALSE)</f>
        <v>1.0067999999999999</v>
      </c>
      <c r="BI1995" s="25">
        <f>VLOOKUP(Inventory[[#This Row],[Cnd]],Lookups!$T$7:$W$16,4,FALSE)</f>
        <v>0.99729999999999996</v>
      </c>
      <c r="BJ1995" s="25">
        <f>VLOOKUP(Inventory[[#This Row],[LivArea Range]],Lookups!$T$25:$W$37,4,FALSE)</f>
        <v>1.0148999999999999</v>
      </c>
      <c r="BK1995" s="25">
        <f>VLOOKUP(Inventory[[#This Row],[Decade]],Lookups!$O$25:$R$42,4,FALSE)</f>
        <v>1.0074000000000001</v>
      </c>
      <c r="BL1995" s="25">
        <f>Inventory[[#This Row],[Nbhd Adj]]*0.95</f>
        <v>0.94971499999999998</v>
      </c>
      <c r="BM1995" s="25">
        <f>Inventory[[#This Row],[Nbhd Adj]]*Inventory[[#This Row],[Quality Adj]]*Inventory[[#This Row],[Condition Adj]]*Inventory[[#This Row],[Living Area Adj]]*Inventory[[#This Row],[Decade Adj]]*0.95</f>
        <v>0.97496162582232004</v>
      </c>
      <c r="BN1995" s="25">
        <f>ROUND(SUM(Inventory[[#This Row],[Mdl Qlty]:[Mdl WdDeck]])+Inventory[[#This Row],[Mdl Res Intercept]]*Inventory[[#This Row],[Res Adj ]],-2)</f>
        <v>258600</v>
      </c>
      <c r="BO1995" s="25">
        <f>ROUND(Inventory[[#This Row],[25Det]]*Inventory[[#This Row],[Det/Nbhd Adj]],-2)</f>
        <v>4200</v>
      </c>
      <c r="BP1995" s="25">
        <f>Inventory[[#This Row],[Adjusted Res]]+Inventory[[#This Row],[Adj Det ]]</f>
        <v>262800</v>
      </c>
      <c r="BQ1995" s="25">
        <f>ROUND((Inventory[[#This Row],[Mdl Land Intercept]]+Inventory[[#This Row],[Mdl LnAcres]])*Inventory[[#This Row],[Det/Nbhd Adj]],-2)</f>
        <v>32100</v>
      </c>
      <c r="BR1995" s="25">
        <f>Inventory[[#This Row],[Adjusted Impr Total]]+Inventory[[#This Row],[Adjusted Land Total]]</f>
        <v>294900</v>
      </c>
      <c r="BS1995" s="36">
        <f>IFERROR((Inventory[[#This Row],[Adjusted Impr Total]]-Inventory[[#This Row],[24Bldg]])/Inventory[[#This Row],[24Bldg]],0)</f>
        <v>0.17794710891976692</v>
      </c>
      <c r="BT1995" s="36">
        <f>(Inventory[[#This Row],[Adjusted Land Total]]-Inventory[[#This Row],[24Lnd]])/Inventory[[#This Row],[24Lnd]]</f>
        <v>-0.39089184060721061</v>
      </c>
      <c r="BU1995" s="36">
        <f>(Inventory[[#This Row],[Adjusted Total]]-Inventory[[#This Row],[24Final]])/Inventory[[#This Row],[24Final]]</f>
        <v>6.9253081943437267E-2</v>
      </c>
    </row>
    <row r="1996" spans="1:73" x14ac:dyDescent="0.3">
      <c r="A1996" s="25">
        <v>2025</v>
      </c>
      <c r="B1996" s="26" t="s">
        <v>2156</v>
      </c>
      <c r="C1996" s="26">
        <f>LN(Inventory[[#This Row],[Acres]])</f>
        <v>-1.8971199848858813</v>
      </c>
      <c r="D1996" s="25">
        <v>0.15</v>
      </c>
      <c r="E1996" s="31"/>
      <c r="F1996" s="26" t="s">
        <v>537</v>
      </c>
      <c r="G1996" s="26" t="s">
        <v>126</v>
      </c>
      <c r="H1996" s="26" t="s">
        <v>349</v>
      </c>
      <c r="I1996" s="26" t="s">
        <v>538</v>
      </c>
      <c r="J1996" s="26" t="s">
        <v>539</v>
      </c>
      <c r="K1996" s="26" t="s">
        <v>269</v>
      </c>
      <c r="L1996" s="26" t="s">
        <v>302</v>
      </c>
      <c r="M1996" s="26" t="s">
        <v>303</v>
      </c>
      <c r="N1996" s="26">
        <v>100</v>
      </c>
      <c r="O1996" s="26">
        <f>2024-Inventory[[#This Row],[YrBlt]]</f>
        <v>99</v>
      </c>
      <c r="P1996" s="26">
        <f>2024-Inventory[[#This Row],[EffYr]]</f>
        <v>56</v>
      </c>
      <c r="Q1996" s="25">
        <v>1925</v>
      </c>
      <c r="R1996" s="25">
        <v>1968</v>
      </c>
      <c r="S1996" s="25">
        <v>1200</v>
      </c>
      <c r="T1996" s="27"/>
      <c r="U1996" s="25">
        <v>828</v>
      </c>
      <c r="V1996" s="25">
        <f>Inventory[[#This Row],[Bsmt]]-Inventory[[#This Row],[FnBsmt]]</f>
        <v>0</v>
      </c>
      <c r="W1996" s="25">
        <v>828</v>
      </c>
      <c r="X1996" s="27"/>
      <c r="Y1996" s="27">
        <f>Inventory[[#This Row],[MainFn]]+Inventory[[#This Row],[UpprFn]]+Inventory[[#This Row],[FnBsmt]]+Inventory[[#This Row],[AddFn]]</f>
        <v>2028</v>
      </c>
      <c r="Z1996" s="27">
        <v>2500</v>
      </c>
      <c r="AA1996" s="25">
        <v>8</v>
      </c>
      <c r="AB1996" s="27"/>
      <c r="AC1996" s="27"/>
      <c r="AD1996" s="32">
        <v>144</v>
      </c>
      <c r="AE1996" s="27"/>
      <c r="AF1996" s="27"/>
      <c r="AG1996" s="27"/>
      <c r="AH1996" s="27"/>
      <c r="AI1996" s="25">
        <v>322301</v>
      </c>
      <c r="AJ1996" s="25">
        <v>212719</v>
      </c>
      <c r="AK1996" s="25">
        <v>5261</v>
      </c>
      <c r="AL1996" s="25">
        <v>343200</v>
      </c>
      <c r="AM1996" s="25">
        <v>48400</v>
      </c>
      <c r="AN1996" s="25">
        <v>294800</v>
      </c>
      <c r="AO1996" s="25">
        <v>0</v>
      </c>
      <c r="AP1996" s="25">
        <f>Lookups!$B$56*0</f>
        <v>0</v>
      </c>
      <c r="AQ1996" s="25">
        <f>Lookups!$B$56*1</f>
        <v>89850.625589999996</v>
      </c>
      <c r="AR1996" s="25">
        <f>Lookups!$B$57*Inventory[[#This Row],[LnAcres]]</f>
        <v>-60052.604136134301</v>
      </c>
      <c r="AS1996" s="25">
        <f>VLOOKUP(Inventory[[#This Row],[Qlty]],Lookups!$A$62:$E$75,2,FALSE)</f>
        <v>29814.093161000001</v>
      </c>
      <c r="AT1996" s="25">
        <f>VLOOKUP(Inventory[[#This Row],[Cnd]],Lookups!$A$76:$E$84,2,FALSE)</f>
        <v>197752.34721000001</v>
      </c>
      <c r="AU1996" s="25">
        <f>Inventory[[#This Row],[EffAge]]*Lookups!$B$85</f>
        <v>-12490.553628</v>
      </c>
      <c r="AV1996" s="25">
        <f>Inventory[[#This Row],[MainFn]]*Lookups!$B$86</f>
        <v>59290.403852399999</v>
      </c>
      <c r="AW1996" s="25">
        <f>Inventory[[#This Row],[UpprFn]]*Lookups!$B$87</f>
        <v>0</v>
      </c>
      <c r="AX1996" s="25">
        <f>Inventory[[#This Row],[AddFn]]*Lookups!$B$88</f>
        <v>0</v>
      </c>
      <c r="AY1996" s="25">
        <f>Inventory[[#This Row],[Bsmt]]*Lookups!$B$89</f>
        <v>24079.809264516</v>
      </c>
      <c r="AZ1996" s="25">
        <f>Inventory[[#This Row],[Fixtures]]*Lookups!$B$90</f>
        <v>30336.176841600001</v>
      </c>
      <c r="BA1996" s="25">
        <f>Inventory[[#This Row],[WdDeck]]*Lookups!$B$91</f>
        <v>4794.5541997440005</v>
      </c>
      <c r="BB1996" s="25">
        <f>ROUND(Inventory[[#This Row],[25Det]],-2)</f>
        <v>5300</v>
      </c>
      <c r="BC1996" s="25">
        <f>ROUND(SUM(Inventory[[#This Row],[Mdl Qlty]:[Mdl WdDeck]])+Inventory[[#This Row],[Mdl Res Intercept]],-2)</f>
        <v>333600</v>
      </c>
      <c r="BD1996" s="25">
        <f>ROUND(Inventory[[#This Row],[Mdl Land Intercept]]+Inventory[[#This Row],[Mdl LnAcres]],-2)</f>
        <v>29800</v>
      </c>
      <c r="BE1996" s="25">
        <f>Inventory[[#This Row],[Unadj Res Value]]+Inventory[[#This Row],[Unadj Det Value]]+Inventory[[#This Row],[Unadj Land Value]]</f>
        <v>368700</v>
      </c>
      <c r="BF1996" s="36">
        <f>(Inventory[[#This Row],[Unadj Total Value]]-Inventory[[#This Row],[24Final]])/Inventory[[#This Row],[24Final]]</f>
        <v>7.4300699300699297E-2</v>
      </c>
      <c r="BG1996" s="25">
        <f>VLOOKUP(Inventory[[#This Row],[Nbhd]],Lookups!$Q$2:$T$4,4,FALSE)</f>
        <v>0.99970000000000003</v>
      </c>
      <c r="BH1996" s="25">
        <f>VLOOKUP(Inventory[[#This Row],[Qlty]],Lookups!$O$7:$R$21,4,FALSE)</f>
        <v>1.0088999999999999</v>
      </c>
      <c r="BI1996" s="25">
        <f>VLOOKUP(Inventory[[#This Row],[Cnd]],Lookups!$T$7:$W$16,4,FALSE)</f>
        <v>0.99650000000000005</v>
      </c>
      <c r="BJ1996" s="25">
        <f>VLOOKUP(Inventory[[#This Row],[LivArea Range]],Lookups!$T$25:$W$37,4,FALSE)</f>
        <v>0.98919999999999997</v>
      </c>
      <c r="BK1996" s="25">
        <f>VLOOKUP(Inventory[[#This Row],[Decade]],Lookups!$O$25:$R$42,4,FALSE)</f>
        <v>1.0074000000000001</v>
      </c>
      <c r="BL1996" s="25">
        <f>Inventory[[#This Row],[Nbhd Adj]]*0.95</f>
        <v>0.94971499999999998</v>
      </c>
      <c r="BM1996" s="25">
        <f>Inventory[[#This Row],[Nbhd Adj]]*Inventory[[#This Row],[Quality Adj]]*Inventory[[#This Row],[Condition Adj]]*Inventory[[#This Row],[Living Area Adj]]*Inventory[[#This Row],[Decade Adj]]*0.95</f>
        <v>0.95149120146958555</v>
      </c>
      <c r="BN1996" s="25">
        <f>ROUND(SUM(Inventory[[#This Row],[Mdl Qlty]:[Mdl WdDeck]])+Inventory[[#This Row],[Mdl Res Intercept]]*Inventory[[#This Row],[Res Adj ]],-2)</f>
        <v>333600</v>
      </c>
      <c r="BO1996" s="25">
        <f>ROUND(Inventory[[#This Row],[25Det]]*Inventory[[#This Row],[Det/Nbhd Adj]],-2)</f>
        <v>5000</v>
      </c>
      <c r="BP1996" s="25">
        <f>Inventory[[#This Row],[Adjusted Res]]+Inventory[[#This Row],[Adj Det ]]</f>
        <v>338600</v>
      </c>
      <c r="BQ1996" s="25">
        <f>ROUND((Inventory[[#This Row],[Mdl Land Intercept]]+Inventory[[#This Row],[Mdl LnAcres]])*Inventory[[#This Row],[Det/Nbhd Adj]],-2)</f>
        <v>28300</v>
      </c>
      <c r="BR1996" s="25">
        <f>Inventory[[#This Row],[Adjusted Impr Total]]+Inventory[[#This Row],[Adjusted Land Total]]</f>
        <v>366900</v>
      </c>
      <c r="BS1996" s="36">
        <f>IFERROR((Inventory[[#This Row],[Adjusted Impr Total]]-Inventory[[#This Row],[24Bldg]])/Inventory[[#This Row],[24Bldg]],0)</f>
        <v>0.14857530529172319</v>
      </c>
      <c r="BT1996" s="36">
        <f>(Inventory[[#This Row],[Adjusted Land Total]]-Inventory[[#This Row],[24Lnd]])/Inventory[[#This Row],[24Lnd]]</f>
        <v>-0.41528925619834711</v>
      </c>
      <c r="BU1996" s="36">
        <f>(Inventory[[#This Row],[Adjusted Total]]-Inventory[[#This Row],[24Final]])/Inventory[[#This Row],[24Final]]</f>
        <v>6.9055944055944049E-2</v>
      </c>
    </row>
    <row r="1997" spans="1:73" x14ac:dyDescent="0.3">
      <c r="A1997" s="25">
        <v>2025</v>
      </c>
      <c r="B1997" s="26" t="s">
        <v>1992</v>
      </c>
      <c r="C1997" s="26">
        <f>LN(Inventory[[#This Row],[Acres]])</f>
        <v>-1.7719568419318752</v>
      </c>
      <c r="D1997" s="25">
        <v>0.17</v>
      </c>
      <c r="E1997" s="31"/>
      <c r="F1997" s="26" t="s">
        <v>537</v>
      </c>
      <c r="G1997" s="26" t="s">
        <v>126</v>
      </c>
      <c r="H1997" s="26" t="s">
        <v>349</v>
      </c>
      <c r="I1997" s="26" t="s">
        <v>538</v>
      </c>
      <c r="J1997" s="26" t="s">
        <v>539</v>
      </c>
      <c r="K1997" s="26" t="s">
        <v>173</v>
      </c>
      <c r="L1997" s="26" t="s">
        <v>302</v>
      </c>
      <c r="M1997" s="26" t="s">
        <v>303</v>
      </c>
      <c r="N1997" s="26">
        <v>100</v>
      </c>
      <c r="O1997" s="26">
        <f>2024-Inventory[[#This Row],[YrBlt]]</f>
        <v>99</v>
      </c>
      <c r="P1997" s="26">
        <f>2024-Inventory[[#This Row],[EffYr]]</f>
        <v>56</v>
      </c>
      <c r="Q1997" s="25">
        <v>1925</v>
      </c>
      <c r="R1997" s="25">
        <v>1968</v>
      </c>
      <c r="S1997" s="25">
        <v>1173</v>
      </c>
      <c r="T1997" s="32">
        <v>584</v>
      </c>
      <c r="U1997" s="25">
        <v>1173</v>
      </c>
      <c r="V1997" s="25">
        <f>Inventory[[#This Row],[Bsmt]]-Inventory[[#This Row],[FnBsmt]]</f>
        <v>400</v>
      </c>
      <c r="W1997" s="25">
        <v>773</v>
      </c>
      <c r="X1997" s="27"/>
      <c r="Y1997" s="27">
        <f>Inventory[[#This Row],[MainFn]]+Inventory[[#This Row],[UpprFn]]+Inventory[[#This Row],[FnBsmt]]+Inventory[[#This Row],[AddFn]]</f>
        <v>2530</v>
      </c>
      <c r="Z1997" s="27">
        <v>3000</v>
      </c>
      <c r="AA1997" s="25">
        <v>11</v>
      </c>
      <c r="AB1997" s="27"/>
      <c r="AC1997" s="27"/>
      <c r="AD1997" s="31"/>
      <c r="AE1997" s="27"/>
      <c r="AF1997" s="27"/>
      <c r="AG1997" s="27"/>
      <c r="AH1997" s="27"/>
      <c r="AI1997" s="25">
        <v>391235</v>
      </c>
      <c r="AJ1997" s="25">
        <v>258215</v>
      </c>
      <c r="AK1997" s="25">
        <v>11424</v>
      </c>
      <c r="AL1997" s="25">
        <v>391000</v>
      </c>
      <c r="AM1997" s="25">
        <v>52700</v>
      </c>
      <c r="AN1997" s="25">
        <v>338300</v>
      </c>
      <c r="AO1997" s="25">
        <v>0</v>
      </c>
      <c r="AP1997" s="25">
        <f>Lookups!$B$56*0</f>
        <v>0</v>
      </c>
      <c r="AQ1997" s="25">
        <f>Lookups!$B$56*1</f>
        <v>89850.625589999996</v>
      </c>
      <c r="AR1997" s="25">
        <f>Lookups!$B$57*Inventory[[#This Row],[LnAcres]]</f>
        <v>-56090.612940989391</v>
      </c>
      <c r="AS1997" s="25">
        <f>VLOOKUP(Inventory[[#This Row],[Qlty]],Lookups!$A$62:$E$75,2,FALSE)</f>
        <v>29814.093161000001</v>
      </c>
      <c r="AT1997" s="25">
        <f>VLOOKUP(Inventory[[#This Row],[Cnd]],Lookups!$A$76:$E$84,2,FALSE)</f>
        <v>197752.34721000001</v>
      </c>
      <c r="AU1997" s="25">
        <f>Inventory[[#This Row],[EffAge]]*Lookups!$B$85</f>
        <v>-12490.553628</v>
      </c>
      <c r="AV1997" s="25">
        <f>Inventory[[#This Row],[MainFn]]*Lookups!$B$86</f>
        <v>57956.369765721</v>
      </c>
      <c r="AW1997" s="25">
        <f>Inventory[[#This Row],[UpprFn]]*Lookups!$B$87</f>
        <v>26155.270950824</v>
      </c>
      <c r="AX1997" s="25">
        <f>Inventory[[#This Row],[AddFn]]*Lookups!$B$88</f>
        <v>0</v>
      </c>
      <c r="AY1997" s="25">
        <f>Inventory[[#This Row],[Bsmt]]*Lookups!$B$89</f>
        <v>34113.063124731001</v>
      </c>
      <c r="AZ1997" s="25">
        <f>Inventory[[#This Row],[Fixtures]]*Lookups!$B$90</f>
        <v>41712.243157199999</v>
      </c>
      <c r="BA1997" s="25">
        <f>Inventory[[#This Row],[WdDeck]]*Lookups!$B$91</f>
        <v>0</v>
      </c>
      <c r="BB1997" s="25">
        <f>ROUND(Inventory[[#This Row],[25Det]],-2)</f>
        <v>11400</v>
      </c>
      <c r="BC1997" s="25">
        <f>ROUND(SUM(Inventory[[#This Row],[Mdl Qlty]:[Mdl WdDeck]])+Inventory[[#This Row],[Mdl Res Intercept]],-2)</f>
        <v>375000</v>
      </c>
      <c r="BD1997" s="25">
        <f>ROUND(Inventory[[#This Row],[Mdl Land Intercept]]+Inventory[[#This Row],[Mdl LnAcres]],-2)</f>
        <v>33800</v>
      </c>
      <c r="BE1997" s="25">
        <f>Inventory[[#This Row],[Unadj Res Value]]+Inventory[[#This Row],[Unadj Det Value]]+Inventory[[#This Row],[Unadj Land Value]]</f>
        <v>420200</v>
      </c>
      <c r="BF1997" s="36">
        <f>(Inventory[[#This Row],[Unadj Total Value]]-Inventory[[#This Row],[24Final]])/Inventory[[#This Row],[24Final]]</f>
        <v>7.468030690537085E-2</v>
      </c>
      <c r="BG1997" s="25">
        <f>VLOOKUP(Inventory[[#This Row],[Nbhd]],Lookups!$Q$2:$T$4,4,FALSE)</f>
        <v>0.99970000000000003</v>
      </c>
      <c r="BH1997" s="25">
        <f>VLOOKUP(Inventory[[#This Row],[Qlty]],Lookups!$O$7:$R$21,4,FALSE)</f>
        <v>1.0088999999999999</v>
      </c>
      <c r="BI1997" s="25">
        <f>VLOOKUP(Inventory[[#This Row],[Cnd]],Lookups!$T$7:$W$16,4,FALSE)</f>
        <v>0.99650000000000005</v>
      </c>
      <c r="BJ1997" s="25">
        <f>VLOOKUP(Inventory[[#This Row],[LivArea Range]],Lookups!$T$25:$W$37,4,FALSE)</f>
        <v>0.96179999999999999</v>
      </c>
      <c r="BK1997" s="25">
        <f>VLOOKUP(Inventory[[#This Row],[Decade]],Lookups!$O$25:$R$42,4,FALSE)</f>
        <v>1.0074000000000001</v>
      </c>
      <c r="BL1997" s="25">
        <f>Inventory[[#This Row],[Nbhd Adj]]*0.95</f>
        <v>0.94971499999999998</v>
      </c>
      <c r="BM1997" s="25">
        <f>Inventory[[#This Row],[Nbhd Adj]]*Inventory[[#This Row],[Quality Adj]]*Inventory[[#This Row],[Condition Adj]]*Inventory[[#This Row],[Living Area Adj]]*Inventory[[#This Row],[Decade Adj]]*0.95</f>
        <v>0.92513570316765814</v>
      </c>
      <c r="BN1997" s="25">
        <f>ROUND(SUM(Inventory[[#This Row],[Mdl Qlty]:[Mdl WdDeck]])+Inventory[[#This Row],[Mdl Res Intercept]]*Inventory[[#This Row],[Res Adj ]],-2)</f>
        <v>375000</v>
      </c>
      <c r="BO1997" s="25">
        <f>ROUND(Inventory[[#This Row],[25Det]]*Inventory[[#This Row],[Det/Nbhd Adj]],-2)</f>
        <v>10800</v>
      </c>
      <c r="BP1997" s="25">
        <f>Inventory[[#This Row],[Adjusted Res]]+Inventory[[#This Row],[Adj Det ]]</f>
        <v>385800</v>
      </c>
      <c r="BQ1997" s="25">
        <f>ROUND((Inventory[[#This Row],[Mdl Land Intercept]]+Inventory[[#This Row],[Mdl LnAcres]])*Inventory[[#This Row],[Det/Nbhd Adj]],-2)</f>
        <v>32100</v>
      </c>
      <c r="BR1997" s="25">
        <f>Inventory[[#This Row],[Adjusted Impr Total]]+Inventory[[#This Row],[Adjusted Land Total]]</f>
        <v>417900</v>
      </c>
      <c r="BS1997" s="36">
        <f>IFERROR((Inventory[[#This Row],[Adjusted Impr Total]]-Inventory[[#This Row],[24Bldg]])/Inventory[[#This Row],[24Bldg]],0)</f>
        <v>0.14040792196275495</v>
      </c>
      <c r="BT1997" s="36">
        <f>(Inventory[[#This Row],[Adjusted Land Total]]-Inventory[[#This Row],[24Lnd]])/Inventory[[#This Row],[24Lnd]]</f>
        <v>-0.39089184060721061</v>
      </c>
      <c r="BU1997" s="36">
        <f>(Inventory[[#This Row],[Adjusted Total]]-Inventory[[#This Row],[24Final]])/Inventory[[#This Row],[24Final]]</f>
        <v>6.8797953964194372E-2</v>
      </c>
    </row>
    <row r="1998" spans="1:73" x14ac:dyDescent="0.3">
      <c r="A1998" s="25">
        <v>2025</v>
      </c>
      <c r="B1998" s="26" t="s">
        <v>2682</v>
      </c>
      <c r="C1998" s="26">
        <f>LN(Inventory[[#This Row],[Acres]])</f>
        <v>-1.5606477482646683</v>
      </c>
      <c r="D1998" s="25">
        <v>0.21</v>
      </c>
      <c r="E1998" s="25">
        <v>9301</v>
      </c>
      <c r="F1998" s="26" t="s">
        <v>537</v>
      </c>
      <c r="G1998" s="26" t="s">
        <v>126</v>
      </c>
      <c r="H1998" s="26" t="s">
        <v>349</v>
      </c>
      <c r="I1998" s="26" t="s">
        <v>538</v>
      </c>
      <c r="J1998" s="26" t="s">
        <v>539</v>
      </c>
      <c r="K1998" s="26" t="s">
        <v>242</v>
      </c>
      <c r="L1998" s="26" t="s">
        <v>351</v>
      </c>
      <c r="M1998" s="26" t="s">
        <v>323</v>
      </c>
      <c r="N1998" s="26">
        <v>100</v>
      </c>
      <c r="O1998" s="26">
        <f>2024-Inventory[[#This Row],[YrBlt]]</f>
        <v>99</v>
      </c>
      <c r="P1998" s="26">
        <f>2024-Inventory[[#This Row],[EffYr]]</f>
        <v>56</v>
      </c>
      <c r="Q1998" s="25">
        <v>1925</v>
      </c>
      <c r="R1998" s="25">
        <v>1968</v>
      </c>
      <c r="S1998" s="25">
        <v>1329</v>
      </c>
      <c r="T1998" s="27"/>
      <c r="U1998" s="32">
        <v>1329</v>
      </c>
      <c r="V1998" s="32">
        <f>Inventory[[#This Row],[Bsmt]]-Inventory[[#This Row],[FnBsmt]]</f>
        <v>1329</v>
      </c>
      <c r="W1998" s="27"/>
      <c r="X1998" s="27"/>
      <c r="Y1998" s="27">
        <f>Inventory[[#This Row],[MainFn]]+Inventory[[#This Row],[UpprFn]]+Inventory[[#This Row],[FnBsmt]]+Inventory[[#This Row],[AddFn]]</f>
        <v>1329</v>
      </c>
      <c r="Z1998" s="27">
        <v>1500</v>
      </c>
      <c r="AA1998" s="25">
        <v>8</v>
      </c>
      <c r="AB1998" s="27"/>
      <c r="AC1998" s="27"/>
      <c r="AD1998" s="27"/>
      <c r="AE1998" s="27"/>
      <c r="AF1998" s="27"/>
      <c r="AG1998" s="27"/>
      <c r="AH1998" s="27"/>
      <c r="AI1998" s="25">
        <v>266086</v>
      </c>
      <c r="AJ1998" s="25">
        <v>170295</v>
      </c>
      <c r="AK1998" s="25">
        <v>8103</v>
      </c>
      <c r="AL1998" s="25">
        <v>327800</v>
      </c>
      <c r="AM1998" s="25">
        <v>60100</v>
      </c>
      <c r="AN1998" s="25">
        <v>267700</v>
      </c>
      <c r="AO1998" s="25">
        <v>0</v>
      </c>
      <c r="AP1998" s="25">
        <f>Lookups!$B$56*0</f>
        <v>0</v>
      </c>
      <c r="AQ1998" s="25">
        <f>Lookups!$B$56*1</f>
        <v>89850.625589999996</v>
      </c>
      <c r="AR1998" s="25">
        <f>Lookups!$B$57*Inventory[[#This Row],[LnAcres]]</f>
        <v>-49401.70477837498</v>
      </c>
      <c r="AS1998" s="25">
        <f>VLOOKUP(Inventory[[#This Row],[Qlty]],Lookups!$A$62:$E$75,2,FALSE)</f>
        <v>21557.329055999999</v>
      </c>
      <c r="AT1998" s="25">
        <f>VLOOKUP(Inventory[[#This Row],[Cnd]],Lookups!$A$76:$E$84,2,FALSE)</f>
        <v>160472.20319</v>
      </c>
      <c r="AU1998" s="25">
        <f>Inventory[[#This Row],[EffAge]]*Lookups!$B$85</f>
        <v>-12490.553628</v>
      </c>
      <c r="AV1998" s="25">
        <f>Inventory[[#This Row],[MainFn]]*Lookups!$B$86</f>
        <v>65664.122266532999</v>
      </c>
      <c r="AW1998" s="25">
        <f>Inventory[[#This Row],[UpprFn]]*Lookups!$B$87</f>
        <v>0</v>
      </c>
      <c r="AX1998" s="25">
        <f>Inventory[[#This Row],[AddFn]]*Lookups!$B$88</f>
        <v>0</v>
      </c>
      <c r="AY1998" s="25">
        <f>Inventory[[#This Row],[Bsmt]]*Lookups!$B$89</f>
        <v>38649.838783262996</v>
      </c>
      <c r="AZ1998" s="25">
        <f>Inventory[[#This Row],[Fixtures]]*Lookups!$B$90</f>
        <v>30336.176841600001</v>
      </c>
      <c r="BA1998" s="25">
        <f>Inventory[[#This Row],[WdDeck]]*Lookups!$B$91</f>
        <v>0</v>
      </c>
      <c r="BB1998" s="25">
        <f>ROUND(Inventory[[#This Row],[25Det]],-2)</f>
        <v>8100</v>
      </c>
      <c r="BC1998" s="25">
        <f>ROUND(SUM(Inventory[[#This Row],[Mdl Qlty]:[Mdl WdDeck]])+Inventory[[#This Row],[Mdl Res Intercept]],-2)</f>
        <v>304200</v>
      </c>
      <c r="BD1998" s="25">
        <f>ROUND(Inventory[[#This Row],[Mdl Land Intercept]]+Inventory[[#This Row],[Mdl LnAcres]],-2)</f>
        <v>40400</v>
      </c>
      <c r="BE1998" s="25">
        <f>Inventory[[#This Row],[Unadj Res Value]]+Inventory[[#This Row],[Unadj Det Value]]+Inventory[[#This Row],[Unadj Land Value]]</f>
        <v>352700</v>
      </c>
      <c r="BF1998" s="36">
        <f>(Inventory[[#This Row],[Unadj Total Value]]-Inventory[[#This Row],[24Final]])/Inventory[[#This Row],[24Final]]</f>
        <v>7.5960951799877968E-2</v>
      </c>
      <c r="BG1998" s="25">
        <f>VLOOKUP(Inventory[[#This Row],[Nbhd]],Lookups!$Q$2:$T$4,4,FALSE)</f>
        <v>0.99970000000000003</v>
      </c>
      <c r="BH1998" s="25">
        <f>VLOOKUP(Inventory[[#This Row],[Qlty]],Lookups!$O$7:$R$21,4,FALSE)</f>
        <v>1.0067999999999999</v>
      </c>
      <c r="BI1998" s="25">
        <f>VLOOKUP(Inventory[[#This Row],[Cnd]],Lookups!$T$7:$W$16,4,FALSE)</f>
        <v>0.99729999999999996</v>
      </c>
      <c r="BJ1998" s="25">
        <f>VLOOKUP(Inventory[[#This Row],[LivArea Range]],Lookups!$T$25:$W$37,4,FALSE)</f>
        <v>1.0157</v>
      </c>
      <c r="BK1998" s="25">
        <f>VLOOKUP(Inventory[[#This Row],[Decade]],Lookups!$O$25:$R$42,4,FALSE)</f>
        <v>1.0074000000000001</v>
      </c>
      <c r="BL1998" s="25">
        <f>Inventory[[#This Row],[Nbhd Adj]]*0.95</f>
        <v>0.94971499999999998</v>
      </c>
      <c r="BM1998" s="25">
        <f>Inventory[[#This Row],[Nbhd Adj]]*Inventory[[#This Row],[Quality Adj]]*Inventory[[#This Row],[Condition Adj]]*Inventory[[#This Row],[Living Area Adj]]*Inventory[[#This Row],[Decade Adj]]*0.95</f>
        <v>0.97573014419916293</v>
      </c>
      <c r="BN1998" s="25">
        <f>ROUND(SUM(Inventory[[#This Row],[Mdl Qlty]:[Mdl WdDeck]])+Inventory[[#This Row],[Mdl Res Intercept]]*Inventory[[#This Row],[Res Adj ]],-2)</f>
        <v>304200</v>
      </c>
      <c r="BO1998" s="25">
        <f>ROUND(Inventory[[#This Row],[25Det]]*Inventory[[#This Row],[Det/Nbhd Adj]],-2)</f>
        <v>7700</v>
      </c>
      <c r="BP1998" s="25">
        <f>Inventory[[#This Row],[Adjusted Res]]+Inventory[[#This Row],[Adj Det ]]</f>
        <v>311900</v>
      </c>
      <c r="BQ1998" s="25">
        <f>ROUND((Inventory[[#This Row],[Mdl Land Intercept]]+Inventory[[#This Row],[Mdl LnAcres]])*Inventory[[#This Row],[Det/Nbhd Adj]],-2)</f>
        <v>38400</v>
      </c>
      <c r="BR1998" s="25">
        <f>Inventory[[#This Row],[Adjusted Impr Total]]+Inventory[[#This Row],[Adjusted Land Total]]</f>
        <v>350300</v>
      </c>
      <c r="BS1998" s="36">
        <f>IFERROR((Inventory[[#This Row],[Adjusted Impr Total]]-Inventory[[#This Row],[24Bldg]])/Inventory[[#This Row],[24Bldg]],0)</f>
        <v>0.16511019798281659</v>
      </c>
      <c r="BT1998" s="36">
        <f>(Inventory[[#This Row],[Adjusted Land Total]]-Inventory[[#This Row],[24Lnd]])/Inventory[[#This Row],[24Lnd]]</f>
        <v>-0.36106489184692181</v>
      </c>
      <c r="BU1998" s="36">
        <f>(Inventory[[#This Row],[Adjusted Total]]-Inventory[[#This Row],[24Final]])/Inventory[[#This Row],[24Final]]</f>
        <v>6.863941427699817E-2</v>
      </c>
    </row>
    <row r="1999" spans="1:73" x14ac:dyDescent="0.3">
      <c r="A1999" s="25">
        <v>2025</v>
      </c>
      <c r="B1999" s="26" t="s">
        <v>2208</v>
      </c>
      <c r="C1999" s="26">
        <f>LN(Inventory[[#This Row],[Acres]])</f>
        <v>-1.8325814637483102</v>
      </c>
      <c r="D1999" s="25">
        <v>0.16</v>
      </c>
      <c r="E1999" s="25">
        <v>6999</v>
      </c>
      <c r="F1999" s="26" t="s">
        <v>537</v>
      </c>
      <c r="G1999" s="26" t="s">
        <v>126</v>
      </c>
      <c r="H1999" s="26" t="s">
        <v>349</v>
      </c>
      <c r="I1999" s="26" t="s">
        <v>538</v>
      </c>
      <c r="J1999" s="26" t="s">
        <v>539</v>
      </c>
      <c r="K1999" s="26" t="s">
        <v>269</v>
      </c>
      <c r="L1999" s="26" t="s">
        <v>351</v>
      </c>
      <c r="M1999" s="26" t="s">
        <v>303</v>
      </c>
      <c r="N1999" s="26">
        <v>100</v>
      </c>
      <c r="O1999" s="26">
        <f>2024-Inventory[[#This Row],[YrBlt]]</f>
        <v>99</v>
      </c>
      <c r="P1999" s="26">
        <f>2024-Inventory[[#This Row],[EffYr]]</f>
        <v>56</v>
      </c>
      <c r="Q1999" s="25">
        <v>1925</v>
      </c>
      <c r="R1999" s="25">
        <v>1968</v>
      </c>
      <c r="S1999" s="25">
        <v>861</v>
      </c>
      <c r="T1999" s="27"/>
      <c r="U1999" s="25">
        <v>807</v>
      </c>
      <c r="V1999" s="25">
        <f>Inventory[[#This Row],[Bsmt]]-Inventory[[#This Row],[FnBsmt]]</f>
        <v>0</v>
      </c>
      <c r="W1999" s="25">
        <v>807</v>
      </c>
      <c r="X1999" s="27"/>
      <c r="Y1999" s="27">
        <f>Inventory[[#This Row],[MainFn]]+Inventory[[#This Row],[UpprFn]]+Inventory[[#This Row],[FnBsmt]]+Inventory[[#This Row],[AddFn]]</f>
        <v>1668</v>
      </c>
      <c r="Z1999" s="27">
        <v>2000</v>
      </c>
      <c r="AA1999" s="25">
        <v>6</v>
      </c>
      <c r="AB1999" s="27"/>
      <c r="AC1999" s="27"/>
      <c r="AD1999" s="27"/>
      <c r="AE1999" s="27"/>
      <c r="AF1999" s="27"/>
      <c r="AG1999" s="27"/>
      <c r="AH1999" s="27"/>
      <c r="AI1999" s="25">
        <v>216321</v>
      </c>
      <c r="AJ1999" s="25">
        <v>142772</v>
      </c>
      <c r="AK1999" s="25">
        <v>5831</v>
      </c>
      <c r="AL1999" s="25">
        <v>310400</v>
      </c>
      <c r="AM1999" s="25">
        <v>50600</v>
      </c>
      <c r="AN1999" s="25">
        <v>259800</v>
      </c>
      <c r="AO1999" s="25">
        <v>0</v>
      </c>
      <c r="AP1999" s="25">
        <f>Lookups!$B$56*0</f>
        <v>0</v>
      </c>
      <c r="AQ1999" s="25">
        <f>Lookups!$B$56*1</f>
        <v>89850.625589999996</v>
      </c>
      <c r="AR1999" s="25">
        <f>Lookups!$B$57*Inventory[[#This Row],[LnAcres]]</f>
        <v>-58009.662049032086</v>
      </c>
      <c r="AS1999" s="25">
        <f>VLOOKUP(Inventory[[#This Row],[Qlty]],Lookups!$A$62:$E$75,2,FALSE)</f>
        <v>21557.329055999999</v>
      </c>
      <c r="AT1999" s="25">
        <f>VLOOKUP(Inventory[[#This Row],[Cnd]],Lookups!$A$76:$E$84,2,FALSE)</f>
        <v>197752.34721000001</v>
      </c>
      <c r="AU1999" s="25">
        <f>Inventory[[#This Row],[EffAge]]*Lookups!$B$85</f>
        <v>-12490.553628</v>
      </c>
      <c r="AV1999" s="25">
        <f>Inventory[[#This Row],[MainFn]]*Lookups!$B$86</f>
        <v>42540.864764097001</v>
      </c>
      <c r="AW1999" s="25">
        <f>Inventory[[#This Row],[UpprFn]]*Lookups!$B$87</f>
        <v>0</v>
      </c>
      <c r="AX1999" s="25">
        <f>Inventory[[#This Row],[AddFn]]*Lookups!$B$88</f>
        <v>0</v>
      </c>
      <c r="AY1999" s="25">
        <f>Inventory[[#This Row],[Bsmt]]*Lookups!$B$89</f>
        <v>23469.089464328998</v>
      </c>
      <c r="AZ1999" s="25">
        <f>Inventory[[#This Row],[Fixtures]]*Lookups!$B$90</f>
        <v>22752.132631200002</v>
      </c>
      <c r="BA1999" s="25">
        <f>Inventory[[#This Row],[WdDeck]]*Lookups!$B$91</f>
        <v>0</v>
      </c>
      <c r="BB1999" s="25">
        <f>ROUND(Inventory[[#This Row],[25Det]],-2)</f>
        <v>5800</v>
      </c>
      <c r="BC1999" s="25">
        <f>ROUND(SUM(Inventory[[#This Row],[Mdl Qlty]:[Mdl WdDeck]])+Inventory[[#This Row],[Mdl Res Intercept]],-2)</f>
        <v>295600</v>
      </c>
      <c r="BD1999" s="25">
        <f>ROUND(Inventory[[#This Row],[Mdl Land Intercept]]+Inventory[[#This Row],[Mdl LnAcres]],-2)</f>
        <v>31800</v>
      </c>
      <c r="BE1999" s="25">
        <f>Inventory[[#This Row],[Unadj Res Value]]+Inventory[[#This Row],[Unadj Det Value]]+Inventory[[#This Row],[Unadj Land Value]]</f>
        <v>333200</v>
      </c>
      <c r="BF1999" s="36">
        <f>(Inventory[[#This Row],[Unadj Total Value]]-Inventory[[#This Row],[24Final]])/Inventory[[#This Row],[24Final]]</f>
        <v>7.3453608247422683E-2</v>
      </c>
      <c r="BG1999" s="25">
        <f>VLOOKUP(Inventory[[#This Row],[Nbhd]],Lookups!$Q$2:$T$4,4,FALSE)</f>
        <v>0.99970000000000003</v>
      </c>
      <c r="BH1999" s="25">
        <f>VLOOKUP(Inventory[[#This Row],[Qlty]],Lookups!$O$7:$R$21,4,FALSE)</f>
        <v>1.0067999999999999</v>
      </c>
      <c r="BI1999" s="25">
        <f>VLOOKUP(Inventory[[#This Row],[Cnd]],Lookups!$T$7:$W$16,4,FALSE)</f>
        <v>0.99650000000000005</v>
      </c>
      <c r="BJ1999" s="25">
        <f>VLOOKUP(Inventory[[#This Row],[LivArea Range]],Lookups!$T$25:$W$37,4,FALSE)</f>
        <v>1.0093000000000001</v>
      </c>
      <c r="BK1999" s="25">
        <f>VLOOKUP(Inventory[[#This Row],[Decade]],Lookups!$O$25:$R$42,4,FALSE)</f>
        <v>1.0074000000000001</v>
      </c>
      <c r="BL1999" s="25">
        <f>Inventory[[#This Row],[Nbhd Adj]]*0.95</f>
        <v>0.94971499999999998</v>
      </c>
      <c r="BM1999" s="25">
        <f>Inventory[[#This Row],[Nbhd Adj]]*Inventory[[#This Row],[Quality Adj]]*Inventory[[#This Row],[Condition Adj]]*Inventory[[#This Row],[Living Area Adj]]*Inventory[[#This Row],[Decade Adj]]*0.95</f>
        <v>0.96880423161964746</v>
      </c>
      <c r="BN1999" s="25">
        <f>ROUND(SUM(Inventory[[#This Row],[Mdl Qlty]:[Mdl WdDeck]])+Inventory[[#This Row],[Mdl Res Intercept]]*Inventory[[#This Row],[Res Adj ]],-2)</f>
        <v>295600</v>
      </c>
      <c r="BO1999" s="25">
        <f>ROUND(Inventory[[#This Row],[25Det]]*Inventory[[#This Row],[Det/Nbhd Adj]],-2)</f>
        <v>5500</v>
      </c>
      <c r="BP1999" s="25">
        <f>Inventory[[#This Row],[Adjusted Res]]+Inventory[[#This Row],[Adj Det ]]</f>
        <v>301100</v>
      </c>
      <c r="BQ1999" s="25">
        <f>ROUND((Inventory[[#This Row],[Mdl Land Intercept]]+Inventory[[#This Row],[Mdl LnAcres]])*Inventory[[#This Row],[Det/Nbhd Adj]],-2)</f>
        <v>30200</v>
      </c>
      <c r="BR1999" s="25">
        <f>Inventory[[#This Row],[Adjusted Impr Total]]+Inventory[[#This Row],[Adjusted Land Total]]</f>
        <v>331300</v>
      </c>
      <c r="BS1999" s="36">
        <f>IFERROR((Inventory[[#This Row],[Adjusted Impr Total]]-Inventory[[#This Row],[24Bldg]])/Inventory[[#This Row],[24Bldg]],0)</f>
        <v>0.15896843725943033</v>
      </c>
      <c r="BT1999" s="36">
        <f>(Inventory[[#This Row],[Adjusted Land Total]]-Inventory[[#This Row],[24Lnd]])/Inventory[[#This Row],[24Lnd]]</f>
        <v>-0.40316205533596838</v>
      </c>
      <c r="BU1999" s="36">
        <f>(Inventory[[#This Row],[Adjusted Total]]-Inventory[[#This Row],[24Final]])/Inventory[[#This Row],[24Final]]</f>
        <v>6.733247422680412E-2</v>
      </c>
    </row>
    <row r="2000" spans="1:73" x14ac:dyDescent="0.3">
      <c r="A2000" s="25">
        <v>2025</v>
      </c>
      <c r="B2000" s="26" t="s">
        <v>2706</v>
      </c>
      <c r="C2000" s="26">
        <f>LN(Inventory[[#This Row],[Acres]])</f>
        <v>-1.8971199848858813</v>
      </c>
      <c r="D2000" s="25">
        <v>0.15</v>
      </c>
      <c r="E2000" s="25">
        <v>6490</v>
      </c>
      <c r="F2000" s="26" t="s">
        <v>537</v>
      </c>
      <c r="G2000" s="26" t="s">
        <v>126</v>
      </c>
      <c r="H2000" s="26" t="s">
        <v>349</v>
      </c>
      <c r="I2000" s="26" t="s">
        <v>538</v>
      </c>
      <c r="J2000" s="26" t="s">
        <v>539</v>
      </c>
      <c r="K2000" s="26" t="s">
        <v>269</v>
      </c>
      <c r="L2000" s="26" t="s">
        <v>351</v>
      </c>
      <c r="M2000" s="26" t="s">
        <v>323</v>
      </c>
      <c r="N2000" s="26">
        <v>100</v>
      </c>
      <c r="O2000" s="26">
        <f>2024-Inventory[[#This Row],[YrBlt]]</f>
        <v>99</v>
      </c>
      <c r="P2000" s="26">
        <f>2024-Inventory[[#This Row],[EffYr]]</f>
        <v>56</v>
      </c>
      <c r="Q2000" s="25">
        <v>1925</v>
      </c>
      <c r="R2000" s="25">
        <v>1968</v>
      </c>
      <c r="S2000" s="25">
        <v>1392</v>
      </c>
      <c r="T2000" s="32">
        <v>1040</v>
      </c>
      <c r="U2000" s="25">
        <v>1392</v>
      </c>
      <c r="V2000" s="25">
        <f>Inventory[[#This Row],[Bsmt]]-Inventory[[#This Row],[FnBsmt]]</f>
        <v>1392</v>
      </c>
      <c r="W2000" s="31"/>
      <c r="X2000" s="27"/>
      <c r="Y2000" s="27">
        <f>Inventory[[#This Row],[MainFn]]+Inventory[[#This Row],[UpprFn]]+Inventory[[#This Row],[FnBsmt]]+Inventory[[#This Row],[AddFn]]</f>
        <v>2432</v>
      </c>
      <c r="Z2000" s="27">
        <v>2500</v>
      </c>
      <c r="AA2000" s="25">
        <v>6</v>
      </c>
      <c r="AB2000" s="31"/>
      <c r="AC2000" s="27"/>
      <c r="AD2000" s="27"/>
      <c r="AE2000" s="27"/>
      <c r="AF2000" s="27"/>
      <c r="AG2000" s="27"/>
      <c r="AH2000" s="27"/>
      <c r="AI2000" s="25">
        <v>369069</v>
      </c>
      <c r="AJ2000" s="25">
        <v>236204</v>
      </c>
      <c r="AK2000" s="25">
        <v>6957</v>
      </c>
      <c r="AL2000" s="25">
        <v>359000</v>
      </c>
      <c r="AM2000" s="25">
        <v>48400</v>
      </c>
      <c r="AN2000" s="25">
        <v>310600</v>
      </c>
      <c r="AO2000" s="25">
        <v>0</v>
      </c>
      <c r="AP2000" s="25">
        <f>Lookups!$B$56*0</f>
        <v>0</v>
      </c>
      <c r="AQ2000" s="25">
        <f>Lookups!$B$56*1</f>
        <v>89850.625589999996</v>
      </c>
      <c r="AR2000" s="25">
        <f>Lookups!$B$57*Inventory[[#This Row],[LnAcres]]</f>
        <v>-60052.604136134301</v>
      </c>
      <c r="AS2000" s="25">
        <f>VLOOKUP(Inventory[[#This Row],[Qlty]],Lookups!$A$62:$E$75,2,FALSE)</f>
        <v>21557.329055999999</v>
      </c>
      <c r="AT2000" s="25">
        <f>VLOOKUP(Inventory[[#This Row],[Cnd]],Lookups!$A$76:$E$84,2,FALSE)</f>
        <v>160472.20319</v>
      </c>
      <c r="AU2000" s="25">
        <f>Inventory[[#This Row],[EffAge]]*Lookups!$B$85</f>
        <v>-12490.553628</v>
      </c>
      <c r="AV2000" s="25">
        <f>Inventory[[#This Row],[MainFn]]*Lookups!$B$86</f>
        <v>68776.868468784</v>
      </c>
      <c r="AW2000" s="25">
        <f>Inventory[[#This Row],[UpprFn]]*Lookups!$B$87</f>
        <v>46577.87977544</v>
      </c>
      <c r="AX2000" s="25">
        <f>Inventory[[#This Row],[AddFn]]*Lookups!$B$88</f>
        <v>0</v>
      </c>
      <c r="AY2000" s="25">
        <f>Inventory[[#This Row],[Bsmt]]*Lookups!$B$89</f>
        <v>40481.998183823998</v>
      </c>
      <c r="AZ2000" s="25">
        <f>Inventory[[#This Row],[Fixtures]]*Lookups!$B$90</f>
        <v>22752.132631200002</v>
      </c>
      <c r="BA2000" s="25">
        <f>Inventory[[#This Row],[WdDeck]]*Lookups!$B$91</f>
        <v>0</v>
      </c>
      <c r="BB2000" s="25">
        <f>ROUND(Inventory[[#This Row],[25Det]],-2)</f>
        <v>7000</v>
      </c>
      <c r="BC2000" s="25">
        <f>ROUND(SUM(Inventory[[#This Row],[Mdl Qlty]:[Mdl WdDeck]])+Inventory[[#This Row],[Mdl Res Intercept]],-2)</f>
        <v>348100</v>
      </c>
      <c r="BD2000" s="25">
        <f>ROUND(Inventory[[#This Row],[Mdl Land Intercept]]+Inventory[[#This Row],[Mdl LnAcres]],-2)</f>
        <v>29800</v>
      </c>
      <c r="BE2000" s="25">
        <f>Inventory[[#This Row],[Unadj Res Value]]+Inventory[[#This Row],[Unadj Det Value]]+Inventory[[#This Row],[Unadj Land Value]]</f>
        <v>384900</v>
      </c>
      <c r="BF2000" s="36">
        <f>(Inventory[[#This Row],[Unadj Total Value]]-Inventory[[#This Row],[24Final]])/Inventory[[#This Row],[24Final]]</f>
        <v>7.2144846796657378E-2</v>
      </c>
      <c r="BG2000" s="25">
        <f>VLOOKUP(Inventory[[#This Row],[Nbhd]],Lookups!$Q$2:$T$4,4,FALSE)</f>
        <v>0.99970000000000003</v>
      </c>
      <c r="BH2000" s="25">
        <f>VLOOKUP(Inventory[[#This Row],[Qlty]],Lookups!$O$7:$R$21,4,FALSE)</f>
        <v>1.0067999999999999</v>
      </c>
      <c r="BI2000" s="25">
        <f>VLOOKUP(Inventory[[#This Row],[Cnd]],Lookups!$T$7:$W$16,4,FALSE)</f>
        <v>0.99729999999999996</v>
      </c>
      <c r="BJ2000" s="25">
        <f>VLOOKUP(Inventory[[#This Row],[LivArea Range]],Lookups!$T$25:$W$37,4,FALSE)</f>
        <v>0.98919999999999997</v>
      </c>
      <c r="BK2000" s="25">
        <f>VLOOKUP(Inventory[[#This Row],[Decade]],Lookups!$O$25:$R$42,4,FALSE)</f>
        <v>1.0074000000000001</v>
      </c>
      <c r="BL2000" s="25">
        <f>Inventory[[#This Row],[Nbhd Adj]]*0.95</f>
        <v>0.94971499999999998</v>
      </c>
      <c r="BM2000" s="25">
        <f>Inventory[[#This Row],[Nbhd Adj]]*Inventory[[#This Row],[Quality Adj]]*Inventory[[#This Row],[Condition Adj]]*Inventory[[#This Row],[Living Area Adj]]*Inventory[[#This Row],[Decade Adj]]*0.95</f>
        <v>0.95027297296624202</v>
      </c>
      <c r="BN2000" s="25">
        <f>ROUND(SUM(Inventory[[#This Row],[Mdl Qlty]:[Mdl WdDeck]])+Inventory[[#This Row],[Mdl Res Intercept]]*Inventory[[#This Row],[Res Adj ]],-2)</f>
        <v>348100</v>
      </c>
      <c r="BO2000" s="25">
        <f>ROUND(Inventory[[#This Row],[25Det]]*Inventory[[#This Row],[Det/Nbhd Adj]],-2)</f>
        <v>6600</v>
      </c>
      <c r="BP2000" s="25">
        <f>Inventory[[#This Row],[Adjusted Res]]+Inventory[[#This Row],[Adj Det ]]</f>
        <v>354700</v>
      </c>
      <c r="BQ2000" s="25">
        <f>ROUND((Inventory[[#This Row],[Mdl Land Intercept]]+Inventory[[#This Row],[Mdl LnAcres]])*Inventory[[#This Row],[Det/Nbhd Adj]],-2)</f>
        <v>28300</v>
      </c>
      <c r="BR2000" s="25">
        <f>Inventory[[#This Row],[Adjusted Impr Total]]+Inventory[[#This Row],[Adjusted Land Total]]</f>
        <v>383000</v>
      </c>
      <c r="BS2000" s="36">
        <f>IFERROR((Inventory[[#This Row],[Adjusted Impr Total]]-Inventory[[#This Row],[24Bldg]])/Inventory[[#This Row],[24Bldg]],0)</f>
        <v>0.14198325820991628</v>
      </c>
      <c r="BT2000" s="36">
        <f>(Inventory[[#This Row],[Adjusted Land Total]]-Inventory[[#This Row],[24Lnd]])/Inventory[[#This Row],[24Lnd]]</f>
        <v>-0.41528925619834711</v>
      </c>
      <c r="BU2000" s="36">
        <f>(Inventory[[#This Row],[Adjusted Total]]-Inventory[[#This Row],[24Final]])/Inventory[[#This Row],[24Final]]</f>
        <v>6.6852367688022288E-2</v>
      </c>
    </row>
    <row r="2001" spans="1:73" x14ac:dyDescent="0.3">
      <c r="A2001" s="25">
        <v>2025</v>
      </c>
      <c r="B2001" s="26" t="s">
        <v>2219</v>
      </c>
      <c r="C2001" s="26">
        <f>LN(Inventory[[#This Row],[Acres]])</f>
        <v>-2.8134107167600364</v>
      </c>
      <c r="D2001" s="25">
        <v>0.06</v>
      </c>
      <c r="E2001" s="31"/>
      <c r="F2001" s="26" t="s">
        <v>537</v>
      </c>
      <c r="G2001" s="26" t="s">
        <v>126</v>
      </c>
      <c r="H2001" s="26" t="s">
        <v>349</v>
      </c>
      <c r="I2001" s="26" t="s">
        <v>538</v>
      </c>
      <c r="J2001" s="26" t="s">
        <v>539</v>
      </c>
      <c r="K2001" s="26" t="s">
        <v>242</v>
      </c>
      <c r="L2001" s="26" t="s">
        <v>351</v>
      </c>
      <c r="M2001" s="26" t="s">
        <v>323</v>
      </c>
      <c r="N2001" s="26">
        <v>100</v>
      </c>
      <c r="O2001" s="26">
        <f>2024-Inventory[[#This Row],[YrBlt]]</f>
        <v>99</v>
      </c>
      <c r="P2001" s="26">
        <f>2024-Inventory[[#This Row],[EffYr]]</f>
        <v>56</v>
      </c>
      <c r="Q2001" s="25">
        <v>1925</v>
      </c>
      <c r="R2001" s="25">
        <v>1968</v>
      </c>
      <c r="S2001" s="25">
        <v>840</v>
      </c>
      <c r="T2001" s="27"/>
      <c r="U2001" s="25">
        <v>552</v>
      </c>
      <c r="V2001" s="25">
        <f>Inventory[[#This Row],[Bsmt]]-Inventory[[#This Row],[FnBsmt]]</f>
        <v>0</v>
      </c>
      <c r="W2001" s="25">
        <v>552</v>
      </c>
      <c r="X2001" s="27"/>
      <c r="Y2001" s="27">
        <f>Inventory[[#This Row],[MainFn]]+Inventory[[#This Row],[UpprFn]]+Inventory[[#This Row],[FnBsmt]]+Inventory[[#This Row],[AddFn]]</f>
        <v>1392</v>
      </c>
      <c r="Z2001" s="27">
        <v>1500</v>
      </c>
      <c r="AA2001" s="25">
        <v>5</v>
      </c>
      <c r="AB2001" s="27"/>
      <c r="AC2001" s="32">
        <v>288</v>
      </c>
      <c r="AD2001" s="27"/>
      <c r="AE2001" s="27"/>
      <c r="AF2001" s="27"/>
      <c r="AG2001" s="27"/>
      <c r="AH2001" s="27"/>
      <c r="AI2001" s="25">
        <v>207216</v>
      </c>
      <c r="AJ2001" s="25">
        <v>132618</v>
      </c>
      <c r="AK2001" s="25">
        <v>0</v>
      </c>
      <c r="AL2001" s="25">
        <v>231500</v>
      </c>
      <c r="AM2001" s="25">
        <v>16400</v>
      </c>
      <c r="AN2001" s="25">
        <v>215100</v>
      </c>
      <c r="AO2001" s="25">
        <v>0</v>
      </c>
      <c r="AP2001" s="25">
        <f>Lookups!$B$56*0</f>
        <v>0</v>
      </c>
      <c r="AQ2001" s="25">
        <f>Lookups!$B$56*1</f>
        <v>89850.625589999996</v>
      </c>
      <c r="AR2001" s="25">
        <f>Lookups!$B$57*Inventory[[#This Row],[LnAcres]]</f>
        <v>-89057.435160650348</v>
      </c>
      <c r="AS2001" s="25">
        <f>VLOOKUP(Inventory[[#This Row],[Qlty]],Lookups!$A$62:$E$75,2,FALSE)</f>
        <v>21557.329055999999</v>
      </c>
      <c r="AT2001" s="25">
        <f>VLOOKUP(Inventory[[#This Row],[Cnd]],Lookups!$A$76:$E$84,2,FALSE)</f>
        <v>160472.20319</v>
      </c>
      <c r="AU2001" s="25">
        <f>Inventory[[#This Row],[EffAge]]*Lookups!$B$85</f>
        <v>-12490.553628</v>
      </c>
      <c r="AV2001" s="25">
        <f>Inventory[[#This Row],[MainFn]]*Lookups!$B$86</f>
        <v>41503.282696679998</v>
      </c>
      <c r="AW2001" s="25">
        <f>Inventory[[#This Row],[UpprFn]]*Lookups!$B$87</f>
        <v>0</v>
      </c>
      <c r="AX2001" s="25">
        <f>Inventory[[#This Row],[AddFn]]*Lookups!$B$88</f>
        <v>0</v>
      </c>
      <c r="AY2001" s="25">
        <f>Inventory[[#This Row],[Bsmt]]*Lookups!$B$89</f>
        <v>16053.206176344</v>
      </c>
      <c r="AZ2001" s="25">
        <f>Inventory[[#This Row],[Fixtures]]*Lookups!$B$90</f>
        <v>18960.110526</v>
      </c>
      <c r="BA2001" s="25">
        <f>Inventory[[#This Row],[WdDeck]]*Lookups!$B$91</f>
        <v>0</v>
      </c>
      <c r="BB2001" s="25">
        <f>ROUND(Inventory[[#This Row],[25Det]],-2)</f>
        <v>0</v>
      </c>
      <c r="BC2001" s="25">
        <f>ROUND(SUM(Inventory[[#This Row],[Mdl Qlty]:[Mdl WdDeck]])+Inventory[[#This Row],[Mdl Res Intercept]],-2)</f>
        <v>246100</v>
      </c>
      <c r="BD2001" s="25">
        <f>ROUND(Inventory[[#This Row],[Mdl Land Intercept]]+Inventory[[#This Row],[Mdl LnAcres]],-2)</f>
        <v>800</v>
      </c>
      <c r="BE2001" s="25">
        <f>Inventory[[#This Row],[Unadj Res Value]]+Inventory[[#This Row],[Unadj Det Value]]+Inventory[[#This Row],[Unadj Land Value]]</f>
        <v>246900</v>
      </c>
      <c r="BF2001" s="36">
        <f>(Inventory[[#This Row],[Unadj Total Value]]-Inventory[[#This Row],[24Final]])/Inventory[[#This Row],[24Final]]</f>
        <v>6.6522678185745143E-2</v>
      </c>
      <c r="BG2001" s="25">
        <f>VLOOKUP(Inventory[[#This Row],[Nbhd]],Lookups!$Q$2:$T$4,4,FALSE)</f>
        <v>0.99970000000000003</v>
      </c>
      <c r="BH2001" s="25">
        <f>VLOOKUP(Inventory[[#This Row],[Qlty]],Lookups!$O$7:$R$21,4,FALSE)</f>
        <v>1.0067999999999999</v>
      </c>
      <c r="BI2001" s="25">
        <f>VLOOKUP(Inventory[[#This Row],[Cnd]],Lookups!$T$7:$W$16,4,FALSE)</f>
        <v>0.99729999999999996</v>
      </c>
      <c r="BJ2001" s="25">
        <f>VLOOKUP(Inventory[[#This Row],[LivArea Range]],Lookups!$T$25:$W$37,4,FALSE)</f>
        <v>1.0157</v>
      </c>
      <c r="BK2001" s="25">
        <f>VLOOKUP(Inventory[[#This Row],[Decade]],Lookups!$O$25:$R$42,4,FALSE)</f>
        <v>1.0074000000000001</v>
      </c>
      <c r="BL2001" s="25">
        <f>Inventory[[#This Row],[Nbhd Adj]]*0.95</f>
        <v>0.94971499999999998</v>
      </c>
      <c r="BM2001" s="25">
        <f>Inventory[[#This Row],[Nbhd Adj]]*Inventory[[#This Row],[Quality Adj]]*Inventory[[#This Row],[Condition Adj]]*Inventory[[#This Row],[Living Area Adj]]*Inventory[[#This Row],[Decade Adj]]*0.95</f>
        <v>0.97573014419916293</v>
      </c>
      <c r="BN2001" s="25">
        <f>ROUND(SUM(Inventory[[#This Row],[Mdl Qlty]:[Mdl WdDeck]])+Inventory[[#This Row],[Mdl Res Intercept]]*Inventory[[#This Row],[Res Adj ]],-2)</f>
        <v>246100</v>
      </c>
      <c r="BO2001" s="25">
        <f>ROUND(Inventory[[#This Row],[25Det]]*Inventory[[#This Row],[Det/Nbhd Adj]],-2)</f>
        <v>0</v>
      </c>
      <c r="BP2001" s="25">
        <f>Inventory[[#This Row],[Adjusted Res]]+Inventory[[#This Row],[Adj Det ]]</f>
        <v>246100</v>
      </c>
      <c r="BQ2001" s="25">
        <f>ROUND((Inventory[[#This Row],[Mdl Land Intercept]]+Inventory[[#This Row],[Mdl LnAcres]])*Inventory[[#This Row],[Det/Nbhd Adj]],-2)</f>
        <v>800</v>
      </c>
      <c r="BR2001" s="25">
        <f>Inventory[[#This Row],[Adjusted Impr Total]]+Inventory[[#This Row],[Adjusted Land Total]]</f>
        <v>246900</v>
      </c>
      <c r="BS2001" s="36">
        <f>IFERROR((Inventory[[#This Row],[Adjusted Impr Total]]-Inventory[[#This Row],[24Bldg]])/Inventory[[#This Row],[24Bldg]],0)</f>
        <v>0.14411901441190145</v>
      </c>
      <c r="BT2001" s="36">
        <f>(Inventory[[#This Row],[Adjusted Land Total]]-Inventory[[#This Row],[24Lnd]])/Inventory[[#This Row],[24Lnd]]</f>
        <v>-0.95121951219512191</v>
      </c>
      <c r="BU2001" s="36">
        <f>(Inventory[[#This Row],[Adjusted Total]]-Inventory[[#This Row],[24Final]])/Inventory[[#This Row],[24Final]]</f>
        <v>6.6522678185745143E-2</v>
      </c>
    </row>
    <row r="2002" spans="1:73" x14ac:dyDescent="0.3">
      <c r="A2002" s="25">
        <v>2025</v>
      </c>
      <c r="B2002" s="26" t="s">
        <v>2822</v>
      </c>
      <c r="C2002" s="26">
        <f>LN(Inventory[[#This Row],[Acres]])</f>
        <v>-1.8325814637483102</v>
      </c>
      <c r="D2002" s="25">
        <v>0.16</v>
      </c>
      <c r="E2002" s="31"/>
      <c r="F2002" s="26" t="s">
        <v>537</v>
      </c>
      <c r="G2002" s="26" t="s">
        <v>126</v>
      </c>
      <c r="H2002" s="26" t="s">
        <v>349</v>
      </c>
      <c r="I2002" s="26" t="s">
        <v>538</v>
      </c>
      <c r="J2002" s="26" t="s">
        <v>539</v>
      </c>
      <c r="K2002" s="26" t="s">
        <v>269</v>
      </c>
      <c r="L2002" s="26" t="s">
        <v>351</v>
      </c>
      <c r="M2002" s="26" t="s">
        <v>303</v>
      </c>
      <c r="N2002" s="26">
        <v>100</v>
      </c>
      <c r="O2002" s="26">
        <f>2024-Inventory[[#This Row],[YrBlt]]</f>
        <v>99</v>
      </c>
      <c r="P2002" s="26">
        <f>2024-Inventory[[#This Row],[EffYr]]</f>
        <v>56</v>
      </c>
      <c r="Q2002" s="25">
        <v>1925</v>
      </c>
      <c r="R2002" s="25">
        <v>1968</v>
      </c>
      <c r="S2002" s="25">
        <v>1026</v>
      </c>
      <c r="T2002" s="27"/>
      <c r="U2002" s="25">
        <v>770</v>
      </c>
      <c r="V2002" s="25">
        <f>Inventory[[#This Row],[Bsmt]]-Inventory[[#This Row],[FnBsmt]]</f>
        <v>2</v>
      </c>
      <c r="W2002" s="25">
        <v>768</v>
      </c>
      <c r="X2002" s="27"/>
      <c r="Y2002" s="27">
        <f>Inventory[[#This Row],[MainFn]]+Inventory[[#This Row],[UpprFn]]+Inventory[[#This Row],[FnBsmt]]+Inventory[[#This Row],[AddFn]]</f>
        <v>1794</v>
      </c>
      <c r="Z2002" s="27">
        <v>2000</v>
      </c>
      <c r="AA2002" s="25">
        <v>5</v>
      </c>
      <c r="AB2002" s="27"/>
      <c r="AC2002" s="27"/>
      <c r="AD2002" s="31"/>
      <c r="AE2002" s="27"/>
      <c r="AF2002" s="27"/>
      <c r="AG2002" s="27"/>
      <c r="AH2002" s="27"/>
      <c r="AI2002" s="25">
        <v>246851</v>
      </c>
      <c r="AJ2002" s="25">
        <v>162922</v>
      </c>
      <c r="AK2002" s="25">
        <v>4877</v>
      </c>
      <c r="AL2002" s="25">
        <v>312900</v>
      </c>
      <c r="AM2002" s="25">
        <v>50600</v>
      </c>
      <c r="AN2002" s="25">
        <v>262300</v>
      </c>
      <c r="AO2002" s="25">
        <v>0</v>
      </c>
      <c r="AP2002" s="25">
        <f>Lookups!$B$56*0</f>
        <v>0</v>
      </c>
      <c r="AQ2002" s="25">
        <f>Lookups!$B$56*1</f>
        <v>89850.625589999996</v>
      </c>
      <c r="AR2002" s="25">
        <f>Lookups!$B$57*Inventory[[#This Row],[LnAcres]]</f>
        <v>-58009.662049032086</v>
      </c>
      <c r="AS2002" s="25">
        <f>VLOOKUP(Inventory[[#This Row],[Qlty]],Lookups!$A$62:$E$75,2,FALSE)</f>
        <v>21557.329055999999</v>
      </c>
      <c r="AT2002" s="25">
        <f>VLOOKUP(Inventory[[#This Row],[Cnd]],Lookups!$A$76:$E$84,2,FALSE)</f>
        <v>197752.34721000001</v>
      </c>
      <c r="AU2002" s="25">
        <f>Inventory[[#This Row],[EffAge]]*Lookups!$B$85</f>
        <v>-12490.553628</v>
      </c>
      <c r="AV2002" s="25">
        <f>Inventory[[#This Row],[MainFn]]*Lookups!$B$86</f>
        <v>50693.295293802003</v>
      </c>
      <c r="AW2002" s="25">
        <f>Inventory[[#This Row],[UpprFn]]*Lookups!$B$87</f>
        <v>0</v>
      </c>
      <c r="AX2002" s="25">
        <f>Inventory[[#This Row],[AddFn]]*Lookups!$B$88</f>
        <v>0</v>
      </c>
      <c r="AY2002" s="25">
        <f>Inventory[[#This Row],[Bsmt]]*Lookups!$B$89</f>
        <v>22393.059340190001</v>
      </c>
      <c r="AZ2002" s="25">
        <f>Inventory[[#This Row],[Fixtures]]*Lookups!$B$90</f>
        <v>18960.110526</v>
      </c>
      <c r="BA2002" s="25">
        <f>Inventory[[#This Row],[WdDeck]]*Lookups!$B$91</f>
        <v>0</v>
      </c>
      <c r="BB2002" s="25">
        <f>ROUND(Inventory[[#This Row],[25Det]],-2)</f>
        <v>4900</v>
      </c>
      <c r="BC2002" s="25">
        <f>ROUND(SUM(Inventory[[#This Row],[Mdl Qlty]:[Mdl WdDeck]])+Inventory[[#This Row],[Mdl Res Intercept]],-2)</f>
        <v>298900</v>
      </c>
      <c r="BD2002" s="25">
        <f>ROUND(Inventory[[#This Row],[Mdl Land Intercept]]+Inventory[[#This Row],[Mdl LnAcres]],-2)</f>
        <v>31800</v>
      </c>
      <c r="BE2002" s="25">
        <f>Inventory[[#This Row],[Unadj Res Value]]+Inventory[[#This Row],[Unadj Det Value]]+Inventory[[#This Row],[Unadj Land Value]]</f>
        <v>335600</v>
      </c>
      <c r="BF2002" s="36">
        <f>(Inventory[[#This Row],[Unadj Total Value]]-Inventory[[#This Row],[24Final]])/Inventory[[#This Row],[24Final]]</f>
        <v>7.254713966123362E-2</v>
      </c>
      <c r="BG2002" s="25">
        <f>VLOOKUP(Inventory[[#This Row],[Nbhd]],Lookups!$Q$2:$T$4,4,FALSE)</f>
        <v>0.99970000000000003</v>
      </c>
      <c r="BH2002" s="25">
        <f>VLOOKUP(Inventory[[#This Row],[Qlty]],Lookups!$O$7:$R$21,4,FALSE)</f>
        <v>1.0067999999999999</v>
      </c>
      <c r="BI2002" s="25">
        <f>VLOOKUP(Inventory[[#This Row],[Cnd]],Lookups!$T$7:$W$16,4,FALSE)</f>
        <v>0.99650000000000005</v>
      </c>
      <c r="BJ2002" s="25">
        <f>VLOOKUP(Inventory[[#This Row],[LivArea Range]],Lookups!$T$25:$W$37,4,FALSE)</f>
        <v>1.0093000000000001</v>
      </c>
      <c r="BK2002" s="25">
        <f>VLOOKUP(Inventory[[#This Row],[Decade]],Lookups!$O$25:$R$42,4,FALSE)</f>
        <v>1.0074000000000001</v>
      </c>
      <c r="BL2002" s="25">
        <f>Inventory[[#This Row],[Nbhd Adj]]*0.95</f>
        <v>0.94971499999999998</v>
      </c>
      <c r="BM2002" s="25">
        <f>Inventory[[#This Row],[Nbhd Adj]]*Inventory[[#This Row],[Quality Adj]]*Inventory[[#This Row],[Condition Adj]]*Inventory[[#This Row],[Living Area Adj]]*Inventory[[#This Row],[Decade Adj]]*0.95</f>
        <v>0.96880423161964746</v>
      </c>
      <c r="BN2002" s="25">
        <f>ROUND(SUM(Inventory[[#This Row],[Mdl Qlty]:[Mdl WdDeck]])+Inventory[[#This Row],[Mdl Res Intercept]]*Inventory[[#This Row],[Res Adj ]],-2)</f>
        <v>298900</v>
      </c>
      <c r="BO2002" s="25">
        <f>ROUND(Inventory[[#This Row],[25Det]]*Inventory[[#This Row],[Det/Nbhd Adj]],-2)</f>
        <v>4600</v>
      </c>
      <c r="BP2002" s="25">
        <f>Inventory[[#This Row],[Adjusted Res]]+Inventory[[#This Row],[Adj Det ]]</f>
        <v>303500</v>
      </c>
      <c r="BQ2002" s="25">
        <f>ROUND((Inventory[[#This Row],[Mdl Land Intercept]]+Inventory[[#This Row],[Mdl LnAcres]])*Inventory[[#This Row],[Det/Nbhd Adj]],-2)</f>
        <v>30200</v>
      </c>
      <c r="BR2002" s="25">
        <f>Inventory[[#This Row],[Adjusted Impr Total]]+Inventory[[#This Row],[Adjusted Land Total]]</f>
        <v>333700</v>
      </c>
      <c r="BS2002" s="36">
        <f>IFERROR((Inventory[[#This Row],[Adjusted Impr Total]]-Inventory[[#This Row],[24Bldg]])/Inventory[[#This Row],[24Bldg]],0)</f>
        <v>0.15707205489897064</v>
      </c>
      <c r="BT2002" s="36">
        <f>(Inventory[[#This Row],[Adjusted Land Total]]-Inventory[[#This Row],[24Lnd]])/Inventory[[#This Row],[24Lnd]]</f>
        <v>-0.40316205533596838</v>
      </c>
      <c r="BU2002" s="36">
        <f>(Inventory[[#This Row],[Adjusted Total]]-Inventory[[#This Row],[24Final]])/Inventory[[#This Row],[24Final]]</f>
        <v>6.647491211249601E-2</v>
      </c>
    </row>
    <row r="2003" spans="1:73" x14ac:dyDescent="0.3">
      <c r="A2003" s="25">
        <v>2025</v>
      </c>
      <c r="B2003" s="26" t="s">
        <v>2688</v>
      </c>
      <c r="C2003" s="26">
        <f>LN(Inventory[[#This Row],[Acres]])</f>
        <v>-1.8325814637483102</v>
      </c>
      <c r="D2003" s="25">
        <v>0.16</v>
      </c>
      <c r="E2003" s="25">
        <v>7172</v>
      </c>
      <c r="F2003" s="26" t="s">
        <v>537</v>
      </c>
      <c r="G2003" s="26" t="s">
        <v>126</v>
      </c>
      <c r="H2003" s="26" t="s">
        <v>349</v>
      </c>
      <c r="I2003" s="26" t="s">
        <v>538</v>
      </c>
      <c r="J2003" s="26" t="s">
        <v>539</v>
      </c>
      <c r="K2003" s="26" t="s">
        <v>269</v>
      </c>
      <c r="L2003" s="26" t="s">
        <v>351</v>
      </c>
      <c r="M2003" s="26" t="s">
        <v>303</v>
      </c>
      <c r="N2003" s="26">
        <v>100</v>
      </c>
      <c r="O2003" s="26">
        <f>2024-Inventory[[#This Row],[YrBlt]]</f>
        <v>99</v>
      </c>
      <c r="P2003" s="26">
        <f>2024-Inventory[[#This Row],[EffYr]]</f>
        <v>56</v>
      </c>
      <c r="Q2003" s="25">
        <v>1925</v>
      </c>
      <c r="R2003" s="25">
        <v>1968</v>
      </c>
      <c r="S2003" s="25">
        <v>934</v>
      </c>
      <c r="T2003" s="27"/>
      <c r="U2003" s="25">
        <v>934</v>
      </c>
      <c r="V2003" s="25">
        <f>Inventory[[#This Row],[Bsmt]]-Inventory[[#This Row],[FnBsmt]]</f>
        <v>0</v>
      </c>
      <c r="W2003" s="25">
        <v>934</v>
      </c>
      <c r="X2003" s="27"/>
      <c r="Y2003" s="27">
        <f>Inventory[[#This Row],[MainFn]]+Inventory[[#This Row],[UpprFn]]+Inventory[[#This Row],[FnBsmt]]+Inventory[[#This Row],[AddFn]]</f>
        <v>1868</v>
      </c>
      <c r="Z2003" s="27">
        <v>2000</v>
      </c>
      <c r="AA2003" s="25">
        <v>9</v>
      </c>
      <c r="AB2003" s="27"/>
      <c r="AC2003" s="27"/>
      <c r="AD2003" s="32">
        <v>60</v>
      </c>
      <c r="AE2003" s="27"/>
      <c r="AF2003" s="27"/>
      <c r="AG2003" s="27"/>
      <c r="AH2003" s="27"/>
      <c r="AI2003" s="25">
        <v>247107</v>
      </c>
      <c r="AJ2003" s="25">
        <v>163091</v>
      </c>
      <c r="AK2003" s="25">
        <v>8886</v>
      </c>
      <c r="AL2003" s="25">
        <v>332900</v>
      </c>
      <c r="AM2003" s="25">
        <v>50600</v>
      </c>
      <c r="AN2003" s="25">
        <v>282300</v>
      </c>
      <c r="AO2003" s="25">
        <v>0</v>
      </c>
      <c r="AP2003" s="25">
        <f>Lookups!$B$56*0</f>
        <v>0</v>
      </c>
      <c r="AQ2003" s="25">
        <f>Lookups!$B$56*1</f>
        <v>89850.625589999996</v>
      </c>
      <c r="AR2003" s="25">
        <f>Lookups!$B$57*Inventory[[#This Row],[LnAcres]]</f>
        <v>-58009.662049032086</v>
      </c>
      <c r="AS2003" s="25">
        <f>VLOOKUP(Inventory[[#This Row],[Qlty]],Lookups!$A$62:$E$75,2,FALSE)</f>
        <v>21557.329055999999</v>
      </c>
      <c r="AT2003" s="25">
        <f>VLOOKUP(Inventory[[#This Row],[Cnd]],Lookups!$A$76:$E$84,2,FALSE)</f>
        <v>197752.34721000001</v>
      </c>
      <c r="AU2003" s="25">
        <f>Inventory[[#This Row],[EffAge]]*Lookups!$B$85</f>
        <v>-12490.553628</v>
      </c>
      <c r="AV2003" s="25">
        <f>Inventory[[#This Row],[MainFn]]*Lookups!$B$86</f>
        <v>46147.697665118001</v>
      </c>
      <c r="AW2003" s="25">
        <f>Inventory[[#This Row],[UpprFn]]*Lookups!$B$87</f>
        <v>0</v>
      </c>
      <c r="AX2003" s="25">
        <f>Inventory[[#This Row],[AddFn]]*Lookups!$B$88</f>
        <v>0</v>
      </c>
      <c r="AY2003" s="25">
        <f>Inventory[[#This Row],[Bsmt]]*Lookups!$B$89</f>
        <v>27162.490160697998</v>
      </c>
      <c r="AZ2003" s="25">
        <f>Inventory[[#This Row],[Fixtures]]*Lookups!$B$90</f>
        <v>34128.198946800003</v>
      </c>
      <c r="BA2003" s="25">
        <f>Inventory[[#This Row],[WdDeck]]*Lookups!$B$91</f>
        <v>1997.7309165600002</v>
      </c>
      <c r="BB2003" s="25">
        <f>ROUND(Inventory[[#This Row],[25Det]],-2)</f>
        <v>8900</v>
      </c>
      <c r="BC2003" s="25">
        <f>ROUND(SUM(Inventory[[#This Row],[Mdl Qlty]:[Mdl WdDeck]])+Inventory[[#This Row],[Mdl Res Intercept]],-2)</f>
        <v>316300</v>
      </c>
      <c r="BD2003" s="25">
        <f>ROUND(Inventory[[#This Row],[Mdl Land Intercept]]+Inventory[[#This Row],[Mdl LnAcres]],-2)</f>
        <v>31800</v>
      </c>
      <c r="BE2003" s="25">
        <f>Inventory[[#This Row],[Unadj Res Value]]+Inventory[[#This Row],[Unadj Det Value]]+Inventory[[#This Row],[Unadj Land Value]]</f>
        <v>357000</v>
      </c>
      <c r="BF2003" s="36">
        <f>(Inventory[[#This Row],[Unadj Total Value]]-Inventory[[#This Row],[24Final]])/Inventory[[#This Row],[24Final]]</f>
        <v>7.2394112346049866E-2</v>
      </c>
      <c r="BG2003" s="25">
        <f>VLOOKUP(Inventory[[#This Row],[Nbhd]],Lookups!$Q$2:$T$4,4,FALSE)</f>
        <v>0.99970000000000003</v>
      </c>
      <c r="BH2003" s="25">
        <f>VLOOKUP(Inventory[[#This Row],[Qlty]],Lookups!$O$7:$R$21,4,FALSE)</f>
        <v>1.0067999999999999</v>
      </c>
      <c r="BI2003" s="25">
        <f>VLOOKUP(Inventory[[#This Row],[Cnd]],Lookups!$T$7:$W$16,4,FALSE)</f>
        <v>0.99650000000000005</v>
      </c>
      <c r="BJ2003" s="25">
        <f>VLOOKUP(Inventory[[#This Row],[LivArea Range]],Lookups!$T$25:$W$37,4,FALSE)</f>
        <v>1.0093000000000001</v>
      </c>
      <c r="BK2003" s="25">
        <f>VLOOKUP(Inventory[[#This Row],[Decade]],Lookups!$O$25:$R$42,4,FALSE)</f>
        <v>1.0074000000000001</v>
      </c>
      <c r="BL2003" s="25">
        <f>Inventory[[#This Row],[Nbhd Adj]]*0.95</f>
        <v>0.94971499999999998</v>
      </c>
      <c r="BM2003" s="25">
        <f>Inventory[[#This Row],[Nbhd Adj]]*Inventory[[#This Row],[Quality Adj]]*Inventory[[#This Row],[Condition Adj]]*Inventory[[#This Row],[Living Area Adj]]*Inventory[[#This Row],[Decade Adj]]*0.95</f>
        <v>0.96880423161964746</v>
      </c>
      <c r="BN2003" s="25">
        <f>ROUND(SUM(Inventory[[#This Row],[Mdl Qlty]:[Mdl WdDeck]])+Inventory[[#This Row],[Mdl Res Intercept]]*Inventory[[#This Row],[Res Adj ]],-2)</f>
        <v>316300</v>
      </c>
      <c r="BO2003" s="25">
        <f>ROUND(Inventory[[#This Row],[25Det]]*Inventory[[#This Row],[Det/Nbhd Adj]],-2)</f>
        <v>8400</v>
      </c>
      <c r="BP2003" s="25">
        <f>Inventory[[#This Row],[Adjusted Res]]+Inventory[[#This Row],[Adj Det ]]</f>
        <v>324700</v>
      </c>
      <c r="BQ2003" s="25">
        <f>ROUND((Inventory[[#This Row],[Mdl Land Intercept]]+Inventory[[#This Row],[Mdl LnAcres]])*Inventory[[#This Row],[Det/Nbhd Adj]],-2)</f>
        <v>30200</v>
      </c>
      <c r="BR2003" s="25">
        <f>Inventory[[#This Row],[Adjusted Impr Total]]+Inventory[[#This Row],[Adjusted Land Total]]</f>
        <v>354900</v>
      </c>
      <c r="BS2003" s="36">
        <f>IFERROR((Inventory[[#This Row],[Adjusted Impr Total]]-Inventory[[#This Row],[24Bldg]])/Inventory[[#This Row],[24Bldg]],0)</f>
        <v>0.15019482819695359</v>
      </c>
      <c r="BT2003" s="36">
        <f>(Inventory[[#This Row],[Adjusted Land Total]]-Inventory[[#This Row],[24Lnd]])/Inventory[[#This Row],[24Lnd]]</f>
        <v>-0.40316205533596838</v>
      </c>
      <c r="BU2003" s="36">
        <f>(Inventory[[#This Row],[Adjusted Total]]-Inventory[[#This Row],[24Final]])/Inventory[[#This Row],[24Final]]</f>
        <v>6.6085911685190749E-2</v>
      </c>
    </row>
    <row r="2004" spans="1:73" x14ac:dyDescent="0.3">
      <c r="A2004" s="25">
        <v>2025</v>
      </c>
      <c r="B2004" s="26" t="s">
        <v>896</v>
      </c>
      <c r="C2004" s="26">
        <f>LN(Inventory[[#This Row],[Acres]])</f>
        <v>-1.5141277326297755</v>
      </c>
      <c r="D2004" s="25">
        <v>0.22</v>
      </c>
      <c r="E2004" s="25">
        <v>9452</v>
      </c>
      <c r="F2004" s="26" t="s">
        <v>537</v>
      </c>
      <c r="G2004" s="26" t="s">
        <v>126</v>
      </c>
      <c r="H2004" s="26" t="s">
        <v>349</v>
      </c>
      <c r="I2004" s="26" t="s">
        <v>538</v>
      </c>
      <c r="J2004" s="26" t="s">
        <v>539</v>
      </c>
      <c r="K2004" s="26" t="s">
        <v>173</v>
      </c>
      <c r="L2004" s="26" t="s">
        <v>302</v>
      </c>
      <c r="M2004" s="26" t="s">
        <v>206</v>
      </c>
      <c r="N2004" s="26">
        <v>100</v>
      </c>
      <c r="O2004" s="26">
        <f>2024-Inventory[[#This Row],[YrBlt]]</f>
        <v>99</v>
      </c>
      <c r="P2004" s="26">
        <f>2024-Inventory[[#This Row],[EffYr]]</f>
        <v>56</v>
      </c>
      <c r="Q2004" s="25">
        <v>1925</v>
      </c>
      <c r="R2004" s="25">
        <v>1968</v>
      </c>
      <c r="S2004" s="25">
        <v>1410</v>
      </c>
      <c r="T2004" s="32">
        <v>634</v>
      </c>
      <c r="U2004" s="27"/>
      <c r="V2004" s="27">
        <f>Inventory[[#This Row],[Bsmt]]-Inventory[[#This Row],[FnBsmt]]</f>
        <v>0</v>
      </c>
      <c r="W2004" s="27"/>
      <c r="X2004" s="32">
        <v>540</v>
      </c>
      <c r="Y2004" s="32">
        <f>Inventory[[#This Row],[MainFn]]+Inventory[[#This Row],[UpprFn]]+Inventory[[#This Row],[FnBsmt]]+Inventory[[#This Row],[AddFn]]</f>
        <v>2584</v>
      </c>
      <c r="Z2004" s="27">
        <v>3000</v>
      </c>
      <c r="AA2004" s="25">
        <v>10</v>
      </c>
      <c r="AB2004" s="32">
        <v>1038</v>
      </c>
      <c r="AC2004" s="27"/>
      <c r="AD2004" s="27"/>
      <c r="AE2004" s="27"/>
      <c r="AF2004" s="27"/>
      <c r="AG2004" s="27"/>
      <c r="AH2004" s="27"/>
      <c r="AI2004" s="25">
        <v>426538</v>
      </c>
      <c r="AJ2004" s="25">
        <v>264454</v>
      </c>
      <c r="AK2004" s="25">
        <v>0</v>
      </c>
      <c r="AL2004" s="25">
        <v>339600</v>
      </c>
      <c r="AM2004" s="25">
        <v>61700</v>
      </c>
      <c r="AN2004" s="25">
        <v>277900</v>
      </c>
      <c r="AO2004" s="25">
        <v>0</v>
      </c>
      <c r="AP2004" s="25">
        <f>Lookups!$B$56*0</f>
        <v>0</v>
      </c>
      <c r="AQ2004" s="25">
        <f>Lookups!$B$56*1</f>
        <v>89850.625589999996</v>
      </c>
      <c r="AR2004" s="25">
        <f>Lookups!$B$57*Inventory[[#This Row],[LnAcres]]</f>
        <v>-47929.131559187132</v>
      </c>
      <c r="AS2004" s="25">
        <f>VLOOKUP(Inventory[[#This Row],[Qlty]],Lookups!$A$62:$E$75,2,FALSE)</f>
        <v>29814.093161000001</v>
      </c>
      <c r="AT2004" s="25">
        <f>VLOOKUP(Inventory[[#This Row],[Cnd]],Lookups!$A$76:$E$84,2,FALSE)</f>
        <v>133714.53821</v>
      </c>
      <c r="AU2004" s="25">
        <f>Inventory[[#This Row],[EffAge]]*Lookups!$B$85</f>
        <v>-12490.553628</v>
      </c>
      <c r="AV2004" s="25">
        <f>Inventory[[#This Row],[MainFn]]*Lookups!$B$86</f>
        <v>69666.224526570004</v>
      </c>
      <c r="AW2004" s="25">
        <f>Inventory[[#This Row],[UpprFn]]*Lookups!$B$87</f>
        <v>28394.592093873998</v>
      </c>
      <c r="AX2004" s="25">
        <f>Inventory[[#This Row],[AddFn]]*Lookups!$B$88</f>
        <v>35151.122367540003</v>
      </c>
      <c r="AY2004" s="25">
        <f>Inventory[[#This Row],[Bsmt]]*Lookups!$B$89</f>
        <v>0</v>
      </c>
      <c r="AZ2004" s="25">
        <f>Inventory[[#This Row],[Fixtures]]*Lookups!$B$90</f>
        <v>37920.221052000001</v>
      </c>
      <c r="BA2004" s="25">
        <f>Inventory[[#This Row],[WdDeck]]*Lookups!$B$91</f>
        <v>0</v>
      </c>
      <c r="BB2004" s="25">
        <f>ROUND(Inventory[[#This Row],[25Det]],-2)</f>
        <v>0</v>
      </c>
      <c r="BC2004" s="25">
        <f>ROUND(SUM(Inventory[[#This Row],[Mdl Qlty]:[Mdl WdDeck]])+Inventory[[#This Row],[Mdl Res Intercept]],-2)</f>
        <v>322200</v>
      </c>
      <c r="BD2004" s="25">
        <f>ROUND(Inventory[[#This Row],[Mdl Land Intercept]]+Inventory[[#This Row],[Mdl LnAcres]],-2)</f>
        <v>41900</v>
      </c>
      <c r="BE2004" s="25">
        <f>Inventory[[#This Row],[Unadj Res Value]]+Inventory[[#This Row],[Unadj Det Value]]+Inventory[[#This Row],[Unadj Land Value]]</f>
        <v>364100</v>
      </c>
      <c r="BF2004" s="36">
        <f>(Inventory[[#This Row],[Unadj Total Value]]-Inventory[[#This Row],[24Final]])/Inventory[[#This Row],[24Final]]</f>
        <v>7.2143698468786807E-2</v>
      </c>
      <c r="BG2004" s="25">
        <f>VLOOKUP(Inventory[[#This Row],[Nbhd]],Lookups!$Q$2:$T$4,4,FALSE)</f>
        <v>0.99970000000000003</v>
      </c>
      <c r="BH2004" s="25">
        <f>VLOOKUP(Inventory[[#This Row],[Qlty]],Lookups!$O$7:$R$21,4,FALSE)</f>
        <v>1.0088999999999999</v>
      </c>
      <c r="BI2004" s="25">
        <f>VLOOKUP(Inventory[[#This Row],[Cnd]],Lookups!$T$7:$W$16,4,FALSE)</f>
        <v>0.99329999999999996</v>
      </c>
      <c r="BJ2004" s="25">
        <f>VLOOKUP(Inventory[[#This Row],[LivArea Range]],Lookups!$T$25:$W$37,4,FALSE)</f>
        <v>0.96179999999999999</v>
      </c>
      <c r="BK2004" s="25">
        <f>VLOOKUP(Inventory[[#This Row],[Decade]],Lookups!$O$25:$R$42,4,FALSE)</f>
        <v>1.0074000000000001</v>
      </c>
      <c r="BL2004" s="25">
        <f>Inventory[[#This Row],[Nbhd Adj]]*0.95</f>
        <v>0.94971499999999998</v>
      </c>
      <c r="BM2004" s="25">
        <f>Inventory[[#This Row],[Nbhd Adj]]*Inventory[[#This Row],[Quality Adj]]*Inventory[[#This Row],[Condition Adj]]*Inventory[[#This Row],[Living Area Adj]]*Inventory[[#This Row],[Decade Adj]]*0.95</f>
        <v>0.92216487100495204</v>
      </c>
      <c r="BN2004" s="25">
        <f>ROUND(SUM(Inventory[[#This Row],[Mdl Qlty]:[Mdl WdDeck]])+Inventory[[#This Row],[Mdl Res Intercept]]*Inventory[[#This Row],[Res Adj ]],-2)</f>
        <v>322200</v>
      </c>
      <c r="BO2004" s="25">
        <f>ROUND(Inventory[[#This Row],[25Det]]*Inventory[[#This Row],[Det/Nbhd Adj]],-2)</f>
        <v>0</v>
      </c>
      <c r="BP2004" s="25">
        <f>Inventory[[#This Row],[Adjusted Res]]+Inventory[[#This Row],[Adj Det ]]</f>
        <v>322200</v>
      </c>
      <c r="BQ2004" s="25">
        <f>ROUND((Inventory[[#This Row],[Mdl Land Intercept]]+Inventory[[#This Row],[Mdl LnAcres]])*Inventory[[#This Row],[Det/Nbhd Adj]],-2)</f>
        <v>39800</v>
      </c>
      <c r="BR2004" s="25">
        <f>Inventory[[#This Row],[Adjusted Impr Total]]+Inventory[[#This Row],[Adjusted Land Total]]</f>
        <v>362000</v>
      </c>
      <c r="BS2004" s="36">
        <f>IFERROR((Inventory[[#This Row],[Adjusted Impr Total]]-Inventory[[#This Row],[24Bldg]])/Inventory[[#This Row],[24Bldg]],0)</f>
        <v>0.15940985966174884</v>
      </c>
      <c r="BT2004" s="36">
        <f>(Inventory[[#This Row],[Adjusted Land Total]]-Inventory[[#This Row],[24Lnd]])/Inventory[[#This Row],[24Lnd]]</f>
        <v>-0.35494327390599678</v>
      </c>
      <c r="BU2004" s="36">
        <f>(Inventory[[#This Row],[Adjusted Total]]-Inventory[[#This Row],[24Final]])/Inventory[[#This Row],[24Final]]</f>
        <v>6.5959952885747936E-2</v>
      </c>
    </row>
    <row r="2005" spans="1:73" x14ac:dyDescent="0.3">
      <c r="A2005" s="25">
        <v>2025</v>
      </c>
      <c r="B2005" s="26" t="s">
        <v>1540</v>
      </c>
      <c r="C2005" s="26">
        <f>LN(Inventory[[#This Row],[Acres]])</f>
        <v>-0.96758402626170559</v>
      </c>
      <c r="D2005" s="25">
        <v>0.38</v>
      </c>
      <c r="E2005" s="25">
        <v>16378</v>
      </c>
      <c r="F2005" s="26" t="s">
        <v>537</v>
      </c>
      <c r="G2005" s="26" t="s">
        <v>126</v>
      </c>
      <c r="H2005" s="26" t="s">
        <v>349</v>
      </c>
      <c r="I2005" s="26" t="s">
        <v>538</v>
      </c>
      <c r="J2005" s="26" t="s">
        <v>539</v>
      </c>
      <c r="K2005" s="26" t="s">
        <v>242</v>
      </c>
      <c r="L2005" s="26" t="s">
        <v>351</v>
      </c>
      <c r="M2005" s="26" t="s">
        <v>303</v>
      </c>
      <c r="N2005" s="26">
        <v>100</v>
      </c>
      <c r="O2005" s="26">
        <f>2024-Inventory[[#This Row],[YrBlt]]</f>
        <v>99</v>
      </c>
      <c r="P2005" s="26">
        <f>2024-Inventory[[#This Row],[EffYr]]</f>
        <v>56</v>
      </c>
      <c r="Q2005" s="25">
        <v>1925</v>
      </c>
      <c r="R2005" s="25">
        <v>1968</v>
      </c>
      <c r="S2005" s="25">
        <v>1293</v>
      </c>
      <c r="T2005" s="27"/>
      <c r="U2005" s="32">
        <v>1293</v>
      </c>
      <c r="V2005" s="32">
        <f>Inventory[[#This Row],[Bsmt]]-Inventory[[#This Row],[FnBsmt]]</f>
        <v>1093</v>
      </c>
      <c r="W2005" s="32">
        <v>200</v>
      </c>
      <c r="X2005" s="27"/>
      <c r="Y2005" s="27">
        <f>Inventory[[#This Row],[MainFn]]+Inventory[[#This Row],[UpprFn]]+Inventory[[#This Row],[FnBsmt]]+Inventory[[#This Row],[AddFn]]</f>
        <v>1493</v>
      </c>
      <c r="Z2005" s="27">
        <v>1500</v>
      </c>
      <c r="AA2005" s="25">
        <v>8</v>
      </c>
      <c r="AB2005" s="27"/>
      <c r="AC2005" s="27"/>
      <c r="AD2005" s="27"/>
      <c r="AE2005" s="27"/>
      <c r="AF2005" s="27"/>
      <c r="AG2005" s="27"/>
      <c r="AH2005" s="27"/>
      <c r="AI2005" s="25">
        <v>278389</v>
      </c>
      <c r="AJ2005" s="25">
        <v>183737</v>
      </c>
      <c r="AK2005" s="25">
        <v>9440</v>
      </c>
      <c r="AL2005" s="25">
        <v>379100</v>
      </c>
      <c r="AM2005" s="25">
        <v>80800</v>
      </c>
      <c r="AN2005" s="25">
        <v>298300</v>
      </c>
      <c r="AO2005" s="25">
        <v>0</v>
      </c>
      <c r="AP2005" s="25">
        <f>Lookups!$B$56*0</f>
        <v>0</v>
      </c>
      <c r="AQ2005" s="25">
        <f>Lookups!$B$56*1</f>
        <v>89850.625589999996</v>
      </c>
      <c r="AR2005" s="25">
        <f>Lookups!$B$57*Inventory[[#This Row],[LnAcres]]</f>
        <v>-30628.500548443946</v>
      </c>
      <c r="AS2005" s="25">
        <f>VLOOKUP(Inventory[[#This Row],[Qlty]],Lookups!$A$62:$E$75,2,FALSE)</f>
        <v>21557.329055999999</v>
      </c>
      <c r="AT2005" s="25">
        <f>VLOOKUP(Inventory[[#This Row],[Cnd]],Lookups!$A$76:$E$84,2,FALSE)</f>
        <v>197752.34721000001</v>
      </c>
      <c r="AU2005" s="25">
        <f>Inventory[[#This Row],[EffAge]]*Lookups!$B$85</f>
        <v>-12490.553628</v>
      </c>
      <c r="AV2005" s="25">
        <f>Inventory[[#This Row],[MainFn]]*Lookups!$B$86</f>
        <v>63885.410150961005</v>
      </c>
      <c r="AW2005" s="25">
        <f>Inventory[[#This Row],[UpprFn]]*Lookups!$B$87</f>
        <v>0</v>
      </c>
      <c r="AX2005" s="25">
        <f>Inventory[[#This Row],[AddFn]]*Lookups!$B$88</f>
        <v>0</v>
      </c>
      <c r="AY2005" s="25">
        <f>Inventory[[#This Row],[Bsmt]]*Lookups!$B$89</f>
        <v>37602.890554370999</v>
      </c>
      <c r="AZ2005" s="25">
        <f>Inventory[[#This Row],[Fixtures]]*Lookups!$B$90</f>
        <v>30336.176841600001</v>
      </c>
      <c r="BA2005" s="25">
        <f>Inventory[[#This Row],[WdDeck]]*Lookups!$B$91</f>
        <v>0</v>
      </c>
      <c r="BB2005" s="25">
        <f>ROUND(Inventory[[#This Row],[25Det]],-2)</f>
        <v>9400</v>
      </c>
      <c r="BC2005" s="25">
        <f>ROUND(SUM(Inventory[[#This Row],[Mdl Qlty]:[Mdl WdDeck]])+Inventory[[#This Row],[Mdl Res Intercept]],-2)</f>
        <v>338600</v>
      </c>
      <c r="BD2005" s="25">
        <f>ROUND(Inventory[[#This Row],[Mdl Land Intercept]]+Inventory[[#This Row],[Mdl LnAcres]],-2)</f>
        <v>59200</v>
      </c>
      <c r="BE2005" s="25">
        <f>Inventory[[#This Row],[Unadj Res Value]]+Inventory[[#This Row],[Unadj Det Value]]+Inventory[[#This Row],[Unadj Land Value]]</f>
        <v>407200</v>
      </c>
      <c r="BF2005" s="36">
        <f>(Inventory[[#This Row],[Unadj Total Value]]-Inventory[[#This Row],[24Final]])/Inventory[[#This Row],[24Final]]</f>
        <v>7.4122922711685565E-2</v>
      </c>
      <c r="BG2005" s="25">
        <f>VLOOKUP(Inventory[[#This Row],[Nbhd]],Lookups!$Q$2:$T$4,4,FALSE)</f>
        <v>0.99970000000000003</v>
      </c>
      <c r="BH2005" s="25">
        <f>VLOOKUP(Inventory[[#This Row],[Qlty]],Lookups!$O$7:$R$21,4,FALSE)</f>
        <v>1.0067999999999999</v>
      </c>
      <c r="BI2005" s="25">
        <f>VLOOKUP(Inventory[[#This Row],[Cnd]],Lookups!$T$7:$W$16,4,FALSE)</f>
        <v>0.99650000000000005</v>
      </c>
      <c r="BJ2005" s="25">
        <f>VLOOKUP(Inventory[[#This Row],[LivArea Range]],Lookups!$T$25:$W$37,4,FALSE)</f>
        <v>1.0157</v>
      </c>
      <c r="BK2005" s="25">
        <f>VLOOKUP(Inventory[[#This Row],[Decade]],Lookups!$O$25:$R$42,4,FALSE)</f>
        <v>1.0074000000000001</v>
      </c>
      <c r="BL2005" s="25">
        <f>Inventory[[#This Row],[Nbhd Adj]]*0.95</f>
        <v>0.94971499999999998</v>
      </c>
      <c r="BM2005" s="25">
        <f>Inventory[[#This Row],[Nbhd Adj]]*Inventory[[#This Row],[Quality Adj]]*Inventory[[#This Row],[Condition Adj]]*Inventory[[#This Row],[Living Area Adj]]*Inventory[[#This Row],[Decade Adj]]*0.95</f>
        <v>0.97494744680082823</v>
      </c>
      <c r="BN2005" s="25">
        <f>ROUND(SUM(Inventory[[#This Row],[Mdl Qlty]:[Mdl WdDeck]])+Inventory[[#This Row],[Mdl Res Intercept]]*Inventory[[#This Row],[Res Adj ]],-2)</f>
        <v>338600</v>
      </c>
      <c r="BO2005" s="25">
        <f>ROUND(Inventory[[#This Row],[25Det]]*Inventory[[#This Row],[Det/Nbhd Adj]],-2)</f>
        <v>9000</v>
      </c>
      <c r="BP2005" s="25">
        <f>Inventory[[#This Row],[Adjusted Res]]+Inventory[[#This Row],[Adj Det ]]</f>
        <v>347600</v>
      </c>
      <c r="BQ2005" s="25">
        <f>ROUND((Inventory[[#This Row],[Mdl Land Intercept]]+Inventory[[#This Row],[Mdl LnAcres]])*Inventory[[#This Row],[Det/Nbhd Adj]],-2)</f>
        <v>56200</v>
      </c>
      <c r="BR2005" s="25">
        <f>Inventory[[#This Row],[Adjusted Impr Total]]+Inventory[[#This Row],[Adjusted Land Total]]</f>
        <v>403800</v>
      </c>
      <c r="BS2005" s="36">
        <f>IFERROR((Inventory[[#This Row],[Adjusted Impr Total]]-Inventory[[#This Row],[24Bldg]])/Inventory[[#This Row],[24Bldg]],0)</f>
        <v>0.16526986255447537</v>
      </c>
      <c r="BT2005" s="36">
        <f>(Inventory[[#This Row],[Adjusted Land Total]]-Inventory[[#This Row],[24Lnd]])/Inventory[[#This Row],[24Lnd]]</f>
        <v>-0.30445544554455445</v>
      </c>
      <c r="BU2005" s="36">
        <f>(Inventory[[#This Row],[Adjusted Total]]-Inventory[[#This Row],[24Final]])/Inventory[[#This Row],[24Final]]</f>
        <v>6.5154312846214715E-2</v>
      </c>
    </row>
    <row r="2006" spans="1:73" x14ac:dyDescent="0.3">
      <c r="A2006" s="25">
        <v>2025</v>
      </c>
      <c r="B2006" s="26" t="s">
        <v>2684</v>
      </c>
      <c r="C2006" s="26">
        <f>LN(Inventory[[#This Row],[Acres]])</f>
        <v>-1.8971199848858813</v>
      </c>
      <c r="D2006" s="25">
        <v>0.15</v>
      </c>
      <c r="E2006" s="27"/>
      <c r="F2006" s="26" t="s">
        <v>537</v>
      </c>
      <c r="G2006" s="26" t="s">
        <v>126</v>
      </c>
      <c r="H2006" s="26" t="s">
        <v>349</v>
      </c>
      <c r="I2006" s="26" t="s">
        <v>538</v>
      </c>
      <c r="J2006" s="26" t="s">
        <v>539</v>
      </c>
      <c r="K2006" s="26" t="s">
        <v>269</v>
      </c>
      <c r="L2006" s="26" t="s">
        <v>351</v>
      </c>
      <c r="M2006" s="26" t="s">
        <v>323</v>
      </c>
      <c r="N2006" s="26">
        <v>100</v>
      </c>
      <c r="O2006" s="26">
        <f>2024-Inventory[[#This Row],[YrBlt]]</f>
        <v>99</v>
      </c>
      <c r="P2006" s="26">
        <f>2024-Inventory[[#This Row],[EffYr]]</f>
        <v>56</v>
      </c>
      <c r="Q2006" s="25">
        <v>1925</v>
      </c>
      <c r="R2006" s="25">
        <v>1968</v>
      </c>
      <c r="S2006" s="25">
        <v>1118</v>
      </c>
      <c r="T2006" s="31"/>
      <c r="U2006" s="25">
        <v>559</v>
      </c>
      <c r="V2006" s="32">
        <f>Inventory[[#This Row],[Bsmt]]-Inventory[[#This Row],[FnBsmt]]</f>
        <v>459</v>
      </c>
      <c r="W2006" s="32">
        <v>100</v>
      </c>
      <c r="X2006" s="27"/>
      <c r="Y2006" s="27">
        <f>Inventory[[#This Row],[MainFn]]+Inventory[[#This Row],[UpprFn]]+Inventory[[#This Row],[FnBsmt]]+Inventory[[#This Row],[AddFn]]</f>
        <v>1218</v>
      </c>
      <c r="Z2006" s="27">
        <v>1500</v>
      </c>
      <c r="AA2006" s="25">
        <v>5</v>
      </c>
      <c r="AB2006" s="27"/>
      <c r="AC2006" s="27"/>
      <c r="AD2006" s="27"/>
      <c r="AE2006" s="27"/>
      <c r="AF2006" s="27"/>
      <c r="AG2006" s="27"/>
      <c r="AH2006" s="27"/>
      <c r="AI2006" s="25">
        <v>213512</v>
      </c>
      <c r="AJ2006" s="25">
        <v>136648</v>
      </c>
      <c r="AK2006" s="25">
        <v>0</v>
      </c>
      <c r="AL2006" s="25">
        <v>270700</v>
      </c>
      <c r="AM2006" s="25">
        <v>48400</v>
      </c>
      <c r="AN2006" s="25">
        <v>222300</v>
      </c>
      <c r="AO2006" s="25">
        <v>0</v>
      </c>
      <c r="AP2006" s="25">
        <f>Lookups!$B$56*0</f>
        <v>0</v>
      </c>
      <c r="AQ2006" s="25">
        <f>Lookups!$B$56*1</f>
        <v>89850.625589999996</v>
      </c>
      <c r="AR2006" s="25">
        <f>Lookups!$B$57*Inventory[[#This Row],[LnAcres]]</f>
        <v>-60052.604136134301</v>
      </c>
      <c r="AS2006" s="25">
        <f>VLOOKUP(Inventory[[#This Row],[Qlty]],Lookups!$A$62:$E$75,2,FALSE)</f>
        <v>21557.329055999999</v>
      </c>
      <c r="AT2006" s="25">
        <f>VLOOKUP(Inventory[[#This Row],[Cnd]],Lookups!$A$76:$E$84,2,FALSE)</f>
        <v>160472.20319</v>
      </c>
      <c r="AU2006" s="25">
        <f>Inventory[[#This Row],[EffAge]]*Lookups!$B$85</f>
        <v>-12490.553628</v>
      </c>
      <c r="AV2006" s="25">
        <f>Inventory[[#This Row],[MainFn]]*Lookups!$B$86</f>
        <v>55238.892922486004</v>
      </c>
      <c r="AW2006" s="25">
        <f>Inventory[[#This Row],[UpprFn]]*Lookups!$B$87</f>
        <v>0</v>
      </c>
      <c r="AX2006" s="25">
        <f>Inventory[[#This Row],[AddFn]]*Lookups!$B$88</f>
        <v>0</v>
      </c>
      <c r="AY2006" s="25">
        <f>Inventory[[#This Row],[Bsmt]]*Lookups!$B$89</f>
        <v>16256.779443072999</v>
      </c>
      <c r="AZ2006" s="25">
        <f>Inventory[[#This Row],[Fixtures]]*Lookups!$B$90</f>
        <v>18960.110526</v>
      </c>
      <c r="BA2006" s="25">
        <f>Inventory[[#This Row],[WdDeck]]*Lookups!$B$91</f>
        <v>0</v>
      </c>
      <c r="BB2006" s="25">
        <f>ROUND(Inventory[[#This Row],[25Det]],-2)</f>
        <v>0</v>
      </c>
      <c r="BC2006" s="25">
        <f>ROUND(SUM(Inventory[[#This Row],[Mdl Qlty]:[Mdl WdDeck]])+Inventory[[#This Row],[Mdl Res Intercept]],-2)</f>
        <v>260000</v>
      </c>
      <c r="BD2006" s="25">
        <f>ROUND(Inventory[[#This Row],[Mdl Land Intercept]]+Inventory[[#This Row],[Mdl LnAcres]],-2)</f>
        <v>29800</v>
      </c>
      <c r="BE2006" s="25">
        <f>Inventory[[#This Row],[Unadj Res Value]]+Inventory[[#This Row],[Unadj Det Value]]+Inventory[[#This Row],[Unadj Land Value]]</f>
        <v>289800</v>
      </c>
      <c r="BF2006" s="36">
        <f>(Inventory[[#This Row],[Unadj Total Value]]-Inventory[[#This Row],[24Final]])/Inventory[[#This Row],[24Final]]</f>
        <v>7.0557813077207238E-2</v>
      </c>
      <c r="BG2006" s="25">
        <f>VLOOKUP(Inventory[[#This Row],[Nbhd]],Lookups!$Q$2:$T$4,4,FALSE)</f>
        <v>0.99970000000000003</v>
      </c>
      <c r="BH2006" s="25">
        <f>VLOOKUP(Inventory[[#This Row],[Qlty]],Lookups!$O$7:$R$21,4,FALSE)</f>
        <v>1.0067999999999999</v>
      </c>
      <c r="BI2006" s="25">
        <f>VLOOKUP(Inventory[[#This Row],[Cnd]],Lookups!$T$7:$W$16,4,FALSE)</f>
        <v>0.99729999999999996</v>
      </c>
      <c r="BJ2006" s="25">
        <f>VLOOKUP(Inventory[[#This Row],[LivArea Range]],Lookups!$T$25:$W$37,4,FALSE)</f>
        <v>1.0157</v>
      </c>
      <c r="BK2006" s="25">
        <f>VLOOKUP(Inventory[[#This Row],[Decade]],Lookups!$O$25:$R$42,4,FALSE)</f>
        <v>1.0074000000000001</v>
      </c>
      <c r="BL2006" s="25">
        <f>Inventory[[#This Row],[Nbhd Adj]]*0.95</f>
        <v>0.94971499999999998</v>
      </c>
      <c r="BM2006" s="25">
        <f>Inventory[[#This Row],[Nbhd Adj]]*Inventory[[#This Row],[Quality Adj]]*Inventory[[#This Row],[Condition Adj]]*Inventory[[#This Row],[Living Area Adj]]*Inventory[[#This Row],[Decade Adj]]*0.95</f>
        <v>0.97573014419916293</v>
      </c>
      <c r="BN2006" s="25">
        <f>ROUND(SUM(Inventory[[#This Row],[Mdl Qlty]:[Mdl WdDeck]])+Inventory[[#This Row],[Mdl Res Intercept]]*Inventory[[#This Row],[Res Adj ]],-2)</f>
        <v>260000</v>
      </c>
      <c r="BO2006" s="25">
        <f>ROUND(Inventory[[#This Row],[25Det]]*Inventory[[#This Row],[Det/Nbhd Adj]],-2)</f>
        <v>0</v>
      </c>
      <c r="BP2006" s="25">
        <f>Inventory[[#This Row],[Adjusted Res]]+Inventory[[#This Row],[Adj Det ]]</f>
        <v>260000</v>
      </c>
      <c r="BQ2006" s="25">
        <f>ROUND((Inventory[[#This Row],[Mdl Land Intercept]]+Inventory[[#This Row],[Mdl LnAcres]])*Inventory[[#This Row],[Det/Nbhd Adj]],-2)</f>
        <v>28300</v>
      </c>
      <c r="BR2006" s="25">
        <f>Inventory[[#This Row],[Adjusted Impr Total]]+Inventory[[#This Row],[Adjusted Land Total]]</f>
        <v>288300</v>
      </c>
      <c r="BS2006" s="36">
        <f>IFERROR((Inventory[[#This Row],[Adjusted Impr Total]]-Inventory[[#This Row],[24Bldg]])/Inventory[[#This Row],[24Bldg]],0)</f>
        <v>0.16959064327485379</v>
      </c>
      <c r="BT2006" s="36">
        <f>(Inventory[[#This Row],[Adjusted Land Total]]-Inventory[[#This Row],[24Lnd]])/Inventory[[#This Row],[24Lnd]]</f>
        <v>-0.41528925619834711</v>
      </c>
      <c r="BU2006" s="36">
        <f>(Inventory[[#This Row],[Adjusted Total]]-Inventory[[#This Row],[24Final]])/Inventory[[#This Row],[24Final]]</f>
        <v>6.5016623568526041E-2</v>
      </c>
    </row>
    <row r="2007" spans="1:73" x14ac:dyDescent="0.3">
      <c r="A2007" s="25">
        <v>2025</v>
      </c>
      <c r="B2007" s="26" t="s">
        <v>2185</v>
      </c>
      <c r="C2007" s="26">
        <f>LN(Inventory[[#This Row],[Acres]])</f>
        <v>-1.4696759700589417</v>
      </c>
      <c r="D2007" s="25">
        <v>0.23</v>
      </c>
      <c r="E2007" s="32">
        <v>10097</v>
      </c>
      <c r="F2007" s="26" t="s">
        <v>537</v>
      </c>
      <c r="G2007" s="26" t="s">
        <v>126</v>
      </c>
      <c r="H2007" s="26" t="s">
        <v>349</v>
      </c>
      <c r="I2007" s="26" t="s">
        <v>538</v>
      </c>
      <c r="J2007" s="26" t="s">
        <v>539</v>
      </c>
      <c r="K2007" s="26" t="s">
        <v>269</v>
      </c>
      <c r="L2007" s="26" t="s">
        <v>351</v>
      </c>
      <c r="M2007" s="26" t="s">
        <v>323</v>
      </c>
      <c r="N2007" s="26">
        <v>100</v>
      </c>
      <c r="O2007" s="26">
        <f>2024-Inventory[[#This Row],[YrBlt]]</f>
        <v>99</v>
      </c>
      <c r="P2007" s="26">
        <f>2024-Inventory[[#This Row],[EffYr]]</f>
        <v>56</v>
      </c>
      <c r="Q2007" s="25">
        <v>1925</v>
      </c>
      <c r="R2007" s="25">
        <v>1968</v>
      </c>
      <c r="S2007" s="25">
        <v>1260</v>
      </c>
      <c r="T2007" s="31"/>
      <c r="U2007" s="25">
        <v>1260</v>
      </c>
      <c r="V2007" s="25">
        <f>Inventory[[#This Row],[Bsmt]]-Inventory[[#This Row],[FnBsmt]]</f>
        <v>882</v>
      </c>
      <c r="W2007" s="25">
        <v>378</v>
      </c>
      <c r="X2007" s="27"/>
      <c r="Y2007" s="27">
        <f>Inventory[[#This Row],[MainFn]]+Inventory[[#This Row],[UpprFn]]+Inventory[[#This Row],[FnBsmt]]+Inventory[[#This Row],[AddFn]]</f>
        <v>1638</v>
      </c>
      <c r="Z2007" s="27">
        <v>2000</v>
      </c>
      <c r="AA2007" s="25">
        <v>5</v>
      </c>
      <c r="AB2007" s="27"/>
      <c r="AC2007" s="27"/>
      <c r="AD2007" s="32">
        <v>64</v>
      </c>
      <c r="AE2007" s="27"/>
      <c r="AF2007" s="27"/>
      <c r="AG2007" s="27"/>
      <c r="AH2007" s="27"/>
      <c r="AI2007" s="25">
        <v>269639</v>
      </c>
      <c r="AJ2007" s="25">
        <v>172569</v>
      </c>
      <c r="AK2007" s="25">
        <v>37408</v>
      </c>
      <c r="AL2007" s="25">
        <v>343800</v>
      </c>
      <c r="AM2007" s="25">
        <v>63300</v>
      </c>
      <c r="AN2007" s="25">
        <v>280500</v>
      </c>
      <c r="AO2007" s="25">
        <v>0</v>
      </c>
      <c r="AP2007" s="25">
        <f>Lookups!$B$56*0</f>
        <v>0</v>
      </c>
      <c r="AQ2007" s="25">
        <f>Lookups!$B$56*1</f>
        <v>89850.625589999996</v>
      </c>
      <c r="AR2007" s="25">
        <f>Lookups!$B$57*Inventory[[#This Row],[LnAcres]]</f>
        <v>-46522.028095997222</v>
      </c>
      <c r="AS2007" s="25">
        <f>VLOOKUP(Inventory[[#This Row],[Qlty]],Lookups!$A$62:$E$75,2,FALSE)</f>
        <v>21557.329055999999</v>
      </c>
      <c r="AT2007" s="25">
        <f>VLOOKUP(Inventory[[#This Row],[Cnd]],Lookups!$A$76:$E$84,2,FALSE)</f>
        <v>160472.20319</v>
      </c>
      <c r="AU2007" s="25">
        <f>Inventory[[#This Row],[EffAge]]*Lookups!$B$85</f>
        <v>-12490.553628</v>
      </c>
      <c r="AV2007" s="25">
        <f>Inventory[[#This Row],[MainFn]]*Lookups!$B$86</f>
        <v>62254.924045020001</v>
      </c>
      <c r="AW2007" s="25">
        <f>Inventory[[#This Row],[UpprFn]]*Lookups!$B$87</f>
        <v>0</v>
      </c>
      <c r="AX2007" s="25">
        <f>Inventory[[#This Row],[AddFn]]*Lookups!$B$88</f>
        <v>0</v>
      </c>
      <c r="AY2007" s="25">
        <f>Inventory[[#This Row],[Bsmt]]*Lookups!$B$89</f>
        <v>36643.188011220001</v>
      </c>
      <c r="AZ2007" s="25">
        <f>Inventory[[#This Row],[Fixtures]]*Lookups!$B$90</f>
        <v>18960.110526</v>
      </c>
      <c r="BA2007" s="25">
        <f>Inventory[[#This Row],[WdDeck]]*Lookups!$B$91</f>
        <v>2130.9129776640002</v>
      </c>
      <c r="BB2007" s="25">
        <f>ROUND(Inventory[[#This Row],[25Det]],-2)</f>
        <v>37400</v>
      </c>
      <c r="BC2007" s="25">
        <f>ROUND(SUM(Inventory[[#This Row],[Mdl Qlty]:[Mdl WdDeck]])+Inventory[[#This Row],[Mdl Res Intercept]],-2)</f>
        <v>289500</v>
      </c>
      <c r="BD2007" s="25">
        <f>ROUND(Inventory[[#This Row],[Mdl Land Intercept]]+Inventory[[#This Row],[Mdl LnAcres]],-2)</f>
        <v>43300</v>
      </c>
      <c r="BE2007" s="25">
        <f>Inventory[[#This Row],[Unadj Res Value]]+Inventory[[#This Row],[Unadj Det Value]]+Inventory[[#This Row],[Unadj Land Value]]</f>
        <v>370200</v>
      </c>
      <c r="BF2007" s="36">
        <f>(Inventory[[#This Row],[Unadj Total Value]]-Inventory[[#This Row],[24Final]])/Inventory[[#This Row],[24Final]]</f>
        <v>7.6788830715532289E-2</v>
      </c>
      <c r="BG2007" s="25">
        <f>VLOOKUP(Inventory[[#This Row],[Nbhd]],Lookups!$Q$2:$T$4,4,FALSE)</f>
        <v>0.99970000000000003</v>
      </c>
      <c r="BH2007" s="25">
        <f>VLOOKUP(Inventory[[#This Row],[Qlty]],Lookups!$O$7:$R$21,4,FALSE)</f>
        <v>1.0067999999999999</v>
      </c>
      <c r="BI2007" s="25">
        <f>VLOOKUP(Inventory[[#This Row],[Cnd]],Lookups!$T$7:$W$16,4,FALSE)</f>
        <v>0.99729999999999996</v>
      </c>
      <c r="BJ2007" s="25">
        <f>VLOOKUP(Inventory[[#This Row],[LivArea Range]],Lookups!$T$25:$W$37,4,FALSE)</f>
        <v>1.0093000000000001</v>
      </c>
      <c r="BK2007" s="25">
        <f>VLOOKUP(Inventory[[#This Row],[Decade]],Lookups!$O$25:$R$42,4,FALSE)</f>
        <v>1.0074000000000001</v>
      </c>
      <c r="BL2007" s="25">
        <f>Inventory[[#This Row],[Nbhd Adj]]*0.95</f>
        <v>0.94971499999999998</v>
      </c>
      <c r="BM2007" s="25">
        <f>Inventory[[#This Row],[Nbhd Adj]]*Inventory[[#This Row],[Quality Adj]]*Inventory[[#This Row],[Condition Adj]]*Inventory[[#This Row],[Living Area Adj]]*Inventory[[#This Row],[Decade Adj]]*0.95</f>
        <v>0.96958199718441984</v>
      </c>
      <c r="BN2007" s="25">
        <f>ROUND(SUM(Inventory[[#This Row],[Mdl Qlty]:[Mdl WdDeck]])+Inventory[[#This Row],[Mdl Res Intercept]]*Inventory[[#This Row],[Res Adj ]],-2)</f>
        <v>289500</v>
      </c>
      <c r="BO2007" s="25">
        <f>ROUND(Inventory[[#This Row],[25Det]]*Inventory[[#This Row],[Det/Nbhd Adj]],-2)</f>
        <v>35500</v>
      </c>
      <c r="BP2007" s="25">
        <f>Inventory[[#This Row],[Adjusted Res]]+Inventory[[#This Row],[Adj Det ]]</f>
        <v>325000</v>
      </c>
      <c r="BQ2007" s="25">
        <f>ROUND((Inventory[[#This Row],[Mdl Land Intercept]]+Inventory[[#This Row],[Mdl LnAcres]])*Inventory[[#This Row],[Det/Nbhd Adj]],-2)</f>
        <v>41100</v>
      </c>
      <c r="BR2007" s="25">
        <f>Inventory[[#This Row],[Adjusted Impr Total]]+Inventory[[#This Row],[Adjusted Land Total]]</f>
        <v>366100</v>
      </c>
      <c r="BS2007" s="36">
        <f>IFERROR((Inventory[[#This Row],[Adjusted Impr Total]]-Inventory[[#This Row],[24Bldg]])/Inventory[[#This Row],[24Bldg]],0)</f>
        <v>0.1586452762923351</v>
      </c>
      <c r="BT2007" s="36">
        <f>(Inventory[[#This Row],[Adjusted Land Total]]-Inventory[[#This Row],[24Lnd]])/Inventory[[#This Row],[24Lnd]]</f>
        <v>-0.35071090047393366</v>
      </c>
      <c r="BU2007" s="36">
        <f>(Inventory[[#This Row],[Adjusted Total]]-Inventory[[#This Row],[24Final]])/Inventory[[#This Row],[24Final]]</f>
        <v>6.4863292611983717E-2</v>
      </c>
    </row>
    <row r="2008" spans="1:73" x14ac:dyDescent="0.3">
      <c r="A2008" s="25">
        <v>2025</v>
      </c>
      <c r="B2008" s="26" t="s">
        <v>2735</v>
      </c>
      <c r="C2008" s="26">
        <f>LN(Inventory[[#This Row],[Acres]])</f>
        <v>-1.7147984280919266</v>
      </c>
      <c r="D2008" s="25">
        <v>0.18</v>
      </c>
      <c r="E2008" s="32">
        <v>7834</v>
      </c>
      <c r="F2008" s="26" t="s">
        <v>537</v>
      </c>
      <c r="G2008" s="26" t="s">
        <v>126</v>
      </c>
      <c r="H2008" s="26" t="s">
        <v>349</v>
      </c>
      <c r="I2008" s="26" t="s">
        <v>538</v>
      </c>
      <c r="J2008" s="26" t="s">
        <v>539</v>
      </c>
      <c r="K2008" s="26" t="s">
        <v>242</v>
      </c>
      <c r="L2008" s="26" t="s">
        <v>205</v>
      </c>
      <c r="M2008" s="26" t="s">
        <v>303</v>
      </c>
      <c r="N2008" s="26">
        <v>100</v>
      </c>
      <c r="O2008" s="26">
        <f>2024-Inventory[[#This Row],[YrBlt]]</f>
        <v>99</v>
      </c>
      <c r="P2008" s="26">
        <f>2024-Inventory[[#This Row],[EffYr]]</f>
        <v>56</v>
      </c>
      <c r="Q2008" s="25">
        <v>1925</v>
      </c>
      <c r="R2008" s="25">
        <v>1968</v>
      </c>
      <c r="S2008" s="25">
        <v>880</v>
      </c>
      <c r="T2008" s="31"/>
      <c r="U2008" s="31"/>
      <c r="V2008" s="31">
        <f>Inventory[[#This Row],[Bsmt]]-Inventory[[#This Row],[FnBsmt]]</f>
        <v>0</v>
      </c>
      <c r="W2008" s="31"/>
      <c r="X2008" s="27"/>
      <c r="Y2008" s="27">
        <f>Inventory[[#This Row],[MainFn]]+Inventory[[#This Row],[UpprFn]]+Inventory[[#This Row],[FnBsmt]]+Inventory[[#This Row],[AddFn]]</f>
        <v>880</v>
      </c>
      <c r="Z2008" s="27">
        <v>1000</v>
      </c>
      <c r="AA2008" s="25">
        <v>6</v>
      </c>
      <c r="AB2008" s="27"/>
      <c r="AC2008" s="27"/>
      <c r="AD2008" s="27"/>
      <c r="AE2008" s="27"/>
      <c r="AF2008" s="27"/>
      <c r="AG2008" s="27"/>
      <c r="AH2008" s="27"/>
      <c r="AI2008" s="25">
        <v>153540</v>
      </c>
      <c r="AJ2008" s="25">
        <v>101336</v>
      </c>
      <c r="AK2008" s="25">
        <v>6050</v>
      </c>
      <c r="AL2008" s="25">
        <v>273300</v>
      </c>
      <c r="AM2008" s="25">
        <v>54700</v>
      </c>
      <c r="AN2008" s="25">
        <v>218600</v>
      </c>
      <c r="AO2008" s="25">
        <v>0</v>
      </c>
      <c r="AP2008" s="25">
        <f>Lookups!$B$56*0</f>
        <v>0</v>
      </c>
      <c r="AQ2008" s="25">
        <f>Lookups!$B$56*1</f>
        <v>89850.625589999996</v>
      </c>
      <c r="AR2008" s="25">
        <f>Lookups!$B$57*Inventory[[#This Row],[LnAcres]]</f>
        <v>-54281.285314520763</v>
      </c>
      <c r="AS2008" s="25">
        <f>VLOOKUP(Inventory[[#This Row],[Qlty]],Lookups!$A$62:$E$75,2,FALSE)</f>
        <v>0</v>
      </c>
      <c r="AT2008" s="25">
        <f>VLOOKUP(Inventory[[#This Row],[Cnd]],Lookups!$A$76:$E$84,2,FALSE)</f>
        <v>197752.34721000001</v>
      </c>
      <c r="AU2008" s="25">
        <f>Inventory[[#This Row],[EffAge]]*Lookups!$B$85</f>
        <v>-12490.553628</v>
      </c>
      <c r="AV2008" s="25">
        <f>Inventory[[#This Row],[MainFn]]*Lookups!$B$86</f>
        <v>43479.629491760003</v>
      </c>
      <c r="AW2008" s="25">
        <f>Inventory[[#This Row],[UpprFn]]*Lookups!$B$87</f>
        <v>0</v>
      </c>
      <c r="AX2008" s="25">
        <f>Inventory[[#This Row],[AddFn]]*Lookups!$B$88</f>
        <v>0</v>
      </c>
      <c r="AY2008" s="25">
        <f>Inventory[[#This Row],[Bsmt]]*Lookups!$B$89</f>
        <v>0</v>
      </c>
      <c r="AZ2008" s="25">
        <f>Inventory[[#This Row],[Fixtures]]*Lookups!$B$90</f>
        <v>22752.132631200002</v>
      </c>
      <c r="BA2008" s="25">
        <f>Inventory[[#This Row],[WdDeck]]*Lookups!$B$91</f>
        <v>0</v>
      </c>
      <c r="BB2008" s="25">
        <f>ROUND(Inventory[[#This Row],[25Det]],-2)</f>
        <v>6100</v>
      </c>
      <c r="BC2008" s="25">
        <f>ROUND(SUM(Inventory[[#This Row],[Mdl Qlty]:[Mdl WdDeck]])+Inventory[[#This Row],[Mdl Res Intercept]],-2)</f>
        <v>251500</v>
      </c>
      <c r="BD2008" s="25">
        <f>ROUND(Inventory[[#This Row],[Mdl Land Intercept]]+Inventory[[#This Row],[Mdl LnAcres]],-2)</f>
        <v>35600</v>
      </c>
      <c r="BE2008" s="25">
        <f>Inventory[[#This Row],[Unadj Res Value]]+Inventory[[#This Row],[Unadj Det Value]]+Inventory[[#This Row],[Unadj Land Value]]</f>
        <v>293200</v>
      </c>
      <c r="BF2008" s="36">
        <f>(Inventory[[#This Row],[Unadj Total Value]]-Inventory[[#This Row],[24Final]])/Inventory[[#This Row],[24Final]]</f>
        <v>7.2813757775338453E-2</v>
      </c>
      <c r="BG2008" s="25">
        <f>VLOOKUP(Inventory[[#This Row],[Nbhd]],Lookups!$Q$2:$T$4,4,FALSE)</f>
        <v>0.99970000000000003</v>
      </c>
      <c r="BH2008" s="25">
        <f>VLOOKUP(Inventory[[#This Row],[Qlty]],Lookups!$O$7:$R$21,4,FALSE)</f>
        <v>0.99180000000000001</v>
      </c>
      <c r="BI2008" s="25">
        <f>VLOOKUP(Inventory[[#This Row],[Cnd]],Lookups!$T$7:$W$16,4,FALSE)</f>
        <v>0.99650000000000005</v>
      </c>
      <c r="BJ2008" s="25">
        <f>VLOOKUP(Inventory[[#This Row],[LivArea Range]],Lookups!$T$25:$W$37,4,FALSE)</f>
        <v>1.0148999999999999</v>
      </c>
      <c r="BK2008" s="25">
        <f>VLOOKUP(Inventory[[#This Row],[Decade]],Lookups!$O$25:$R$42,4,FALSE)</f>
        <v>1.0074000000000001</v>
      </c>
      <c r="BL2008" s="25">
        <f>Inventory[[#This Row],[Nbhd Adj]]*0.95</f>
        <v>0.94971499999999998</v>
      </c>
      <c r="BM2008" s="25">
        <f>Inventory[[#This Row],[Nbhd Adj]]*Inventory[[#This Row],[Quality Adj]]*Inventory[[#This Row],[Condition Adj]]*Inventory[[#This Row],[Living Area Adj]]*Inventory[[#This Row],[Decade Adj]]*0.95</f>
        <v>0.9596655469159463</v>
      </c>
      <c r="BN2008" s="25">
        <f>ROUND(SUM(Inventory[[#This Row],[Mdl Qlty]:[Mdl WdDeck]])+Inventory[[#This Row],[Mdl Res Intercept]]*Inventory[[#This Row],[Res Adj ]],-2)</f>
        <v>251500</v>
      </c>
      <c r="BO2008" s="25">
        <f>ROUND(Inventory[[#This Row],[25Det]]*Inventory[[#This Row],[Det/Nbhd Adj]],-2)</f>
        <v>5700</v>
      </c>
      <c r="BP2008" s="25">
        <f>Inventory[[#This Row],[Adjusted Res]]+Inventory[[#This Row],[Adj Det ]]</f>
        <v>257200</v>
      </c>
      <c r="BQ2008" s="25">
        <f>ROUND((Inventory[[#This Row],[Mdl Land Intercept]]+Inventory[[#This Row],[Mdl LnAcres]])*Inventory[[#This Row],[Det/Nbhd Adj]],-2)</f>
        <v>33800</v>
      </c>
      <c r="BR2008" s="25">
        <f>Inventory[[#This Row],[Adjusted Impr Total]]+Inventory[[#This Row],[Adjusted Land Total]]</f>
        <v>291000</v>
      </c>
      <c r="BS2008" s="36">
        <f>IFERROR((Inventory[[#This Row],[Adjusted Impr Total]]-Inventory[[#This Row],[24Bldg]])/Inventory[[#This Row],[24Bldg]],0)</f>
        <v>0.17657822506861848</v>
      </c>
      <c r="BT2008" s="36">
        <f>(Inventory[[#This Row],[Adjusted Land Total]]-Inventory[[#This Row],[24Lnd]])/Inventory[[#This Row],[24Lnd]]</f>
        <v>-0.38208409506398539</v>
      </c>
      <c r="BU2008" s="36">
        <f>(Inventory[[#This Row],[Adjusted Total]]-Inventory[[#This Row],[24Final]])/Inventory[[#This Row],[24Final]]</f>
        <v>6.4763995609220637E-2</v>
      </c>
    </row>
    <row r="2009" spans="1:73" x14ac:dyDescent="0.3">
      <c r="A2009" s="25">
        <v>2025</v>
      </c>
      <c r="B2009" s="26" t="s">
        <v>2598</v>
      </c>
      <c r="C2009" s="26">
        <f>LN(Inventory[[#This Row],[Acres]])</f>
        <v>-1.5606477482646683</v>
      </c>
      <c r="D2009" s="25">
        <v>0.21</v>
      </c>
      <c r="E2009" s="25">
        <v>9135</v>
      </c>
      <c r="F2009" s="26" t="s">
        <v>537</v>
      </c>
      <c r="G2009" s="26" t="s">
        <v>126</v>
      </c>
      <c r="H2009" s="26" t="s">
        <v>349</v>
      </c>
      <c r="I2009" s="26" t="s">
        <v>538</v>
      </c>
      <c r="J2009" s="26" t="s">
        <v>539</v>
      </c>
      <c r="K2009" s="26" t="s">
        <v>269</v>
      </c>
      <c r="L2009" s="26" t="s">
        <v>351</v>
      </c>
      <c r="M2009" s="26" t="s">
        <v>303</v>
      </c>
      <c r="N2009" s="26">
        <v>100</v>
      </c>
      <c r="O2009" s="26">
        <f>2024-Inventory[[#This Row],[YrBlt]]</f>
        <v>99</v>
      </c>
      <c r="P2009" s="26">
        <f>2024-Inventory[[#This Row],[EffYr]]</f>
        <v>56</v>
      </c>
      <c r="Q2009" s="25">
        <v>1925</v>
      </c>
      <c r="R2009" s="25">
        <v>1968</v>
      </c>
      <c r="S2009" s="25">
        <v>1314</v>
      </c>
      <c r="T2009" s="27"/>
      <c r="U2009" s="25">
        <v>390</v>
      </c>
      <c r="V2009" s="25">
        <f>Inventory[[#This Row],[Bsmt]]-Inventory[[#This Row],[FnBsmt]]</f>
        <v>0</v>
      </c>
      <c r="W2009" s="25">
        <v>390</v>
      </c>
      <c r="X2009" s="27"/>
      <c r="Y2009" s="27">
        <f>Inventory[[#This Row],[MainFn]]+Inventory[[#This Row],[UpprFn]]+Inventory[[#This Row],[FnBsmt]]+Inventory[[#This Row],[AddFn]]</f>
        <v>1704</v>
      </c>
      <c r="Z2009" s="27">
        <v>2000</v>
      </c>
      <c r="AA2009" s="25">
        <v>12</v>
      </c>
      <c r="AB2009" s="27"/>
      <c r="AC2009" s="27"/>
      <c r="AD2009" s="31"/>
      <c r="AE2009" s="27"/>
      <c r="AF2009" s="27"/>
      <c r="AG2009" s="27"/>
      <c r="AH2009" s="27"/>
      <c r="AI2009" s="25">
        <v>275373</v>
      </c>
      <c r="AJ2009" s="25">
        <v>181746</v>
      </c>
      <c r="AK2009" s="25">
        <v>13727</v>
      </c>
      <c r="AL2009" s="25">
        <v>357100</v>
      </c>
      <c r="AM2009" s="25">
        <v>60100</v>
      </c>
      <c r="AN2009" s="25">
        <v>297000</v>
      </c>
      <c r="AO2009" s="25">
        <v>0</v>
      </c>
      <c r="AP2009" s="25">
        <f>Lookups!$B$56*0</f>
        <v>0</v>
      </c>
      <c r="AQ2009" s="25">
        <f>Lookups!$B$56*1</f>
        <v>89850.625589999996</v>
      </c>
      <c r="AR2009" s="25">
        <f>Lookups!$B$57*Inventory[[#This Row],[LnAcres]]</f>
        <v>-49401.70477837498</v>
      </c>
      <c r="AS2009" s="25">
        <f>VLOOKUP(Inventory[[#This Row],[Qlty]],Lookups!$A$62:$E$75,2,FALSE)</f>
        <v>21557.329055999999</v>
      </c>
      <c r="AT2009" s="25">
        <f>VLOOKUP(Inventory[[#This Row],[Cnd]],Lookups!$A$76:$E$84,2,FALSE)</f>
        <v>197752.34721000001</v>
      </c>
      <c r="AU2009" s="25">
        <f>Inventory[[#This Row],[EffAge]]*Lookups!$B$85</f>
        <v>-12490.553628</v>
      </c>
      <c r="AV2009" s="25">
        <f>Inventory[[#This Row],[MainFn]]*Lookups!$B$86</f>
        <v>64922.992218378</v>
      </c>
      <c r="AW2009" s="25">
        <f>Inventory[[#This Row],[UpprFn]]*Lookups!$B$87</f>
        <v>0</v>
      </c>
      <c r="AX2009" s="25">
        <f>Inventory[[#This Row],[AddFn]]*Lookups!$B$88</f>
        <v>0</v>
      </c>
      <c r="AY2009" s="25">
        <f>Inventory[[#This Row],[Bsmt]]*Lookups!$B$89</f>
        <v>11341.93914633</v>
      </c>
      <c r="AZ2009" s="25">
        <f>Inventory[[#This Row],[Fixtures]]*Lookups!$B$90</f>
        <v>45504.265262400004</v>
      </c>
      <c r="BA2009" s="25">
        <f>Inventory[[#This Row],[WdDeck]]*Lookups!$B$91</f>
        <v>0</v>
      </c>
      <c r="BB2009" s="25">
        <f>ROUND(Inventory[[#This Row],[25Det]],-2)</f>
        <v>13700</v>
      </c>
      <c r="BC2009" s="25">
        <f>ROUND(SUM(Inventory[[#This Row],[Mdl Qlty]:[Mdl WdDeck]])+Inventory[[#This Row],[Mdl Res Intercept]],-2)</f>
        <v>328600</v>
      </c>
      <c r="BD2009" s="25">
        <f>ROUND(Inventory[[#This Row],[Mdl Land Intercept]]+Inventory[[#This Row],[Mdl LnAcres]],-2)</f>
        <v>40400</v>
      </c>
      <c r="BE2009" s="25">
        <f>Inventory[[#This Row],[Unadj Res Value]]+Inventory[[#This Row],[Unadj Det Value]]+Inventory[[#This Row],[Unadj Land Value]]</f>
        <v>382700</v>
      </c>
      <c r="BF2009" s="36">
        <f>(Inventory[[#This Row],[Unadj Total Value]]-Inventory[[#This Row],[24Final]])/Inventory[[#This Row],[24Final]]</f>
        <v>7.1688602632315884E-2</v>
      </c>
      <c r="BG2009" s="25">
        <f>VLOOKUP(Inventory[[#This Row],[Nbhd]],Lookups!$Q$2:$T$4,4,FALSE)</f>
        <v>0.99970000000000003</v>
      </c>
      <c r="BH2009" s="25">
        <f>VLOOKUP(Inventory[[#This Row],[Qlty]],Lookups!$O$7:$R$21,4,FALSE)</f>
        <v>1.0067999999999999</v>
      </c>
      <c r="BI2009" s="25">
        <f>VLOOKUP(Inventory[[#This Row],[Cnd]],Lookups!$T$7:$W$16,4,FALSE)</f>
        <v>0.99650000000000005</v>
      </c>
      <c r="BJ2009" s="25">
        <f>VLOOKUP(Inventory[[#This Row],[LivArea Range]],Lookups!$T$25:$W$37,4,FALSE)</f>
        <v>1.0093000000000001</v>
      </c>
      <c r="BK2009" s="25">
        <f>VLOOKUP(Inventory[[#This Row],[Decade]],Lookups!$O$25:$R$42,4,FALSE)</f>
        <v>1.0074000000000001</v>
      </c>
      <c r="BL2009" s="25">
        <f>Inventory[[#This Row],[Nbhd Adj]]*0.95</f>
        <v>0.94971499999999998</v>
      </c>
      <c r="BM2009" s="25">
        <f>Inventory[[#This Row],[Nbhd Adj]]*Inventory[[#This Row],[Quality Adj]]*Inventory[[#This Row],[Condition Adj]]*Inventory[[#This Row],[Living Area Adj]]*Inventory[[#This Row],[Decade Adj]]*0.95</f>
        <v>0.96880423161964746</v>
      </c>
      <c r="BN2009" s="25">
        <f>ROUND(SUM(Inventory[[#This Row],[Mdl Qlty]:[Mdl WdDeck]])+Inventory[[#This Row],[Mdl Res Intercept]]*Inventory[[#This Row],[Res Adj ]],-2)</f>
        <v>328600</v>
      </c>
      <c r="BO2009" s="25">
        <f>ROUND(Inventory[[#This Row],[25Det]]*Inventory[[#This Row],[Det/Nbhd Adj]],-2)</f>
        <v>13000</v>
      </c>
      <c r="BP2009" s="25">
        <f>Inventory[[#This Row],[Adjusted Res]]+Inventory[[#This Row],[Adj Det ]]</f>
        <v>341600</v>
      </c>
      <c r="BQ2009" s="25">
        <f>ROUND((Inventory[[#This Row],[Mdl Land Intercept]]+Inventory[[#This Row],[Mdl LnAcres]])*Inventory[[#This Row],[Det/Nbhd Adj]],-2)</f>
        <v>38400</v>
      </c>
      <c r="BR2009" s="25">
        <f>Inventory[[#This Row],[Adjusted Impr Total]]+Inventory[[#This Row],[Adjusted Land Total]]</f>
        <v>380000</v>
      </c>
      <c r="BS2009" s="36">
        <f>IFERROR((Inventory[[#This Row],[Adjusted Impr Total]]-Inventory[[#This Row],[24Bldg]])/Inventory[[#This Row],[24Bldg]],0)</f>
        <v>0.15016835016835017</v>
      </c>
      <c r="BT2009" s="36">
        <f>(Inventory[[#This Row],[Adjusted Land Total]]-Inventory[[#This Row],[24Lnd]])/Inventory[[#This Row],[24Lnd]]</f>
        <v>-0.36106489184692181</v>
      </c>
      <c r="BU2009" s="36">
        <f>(Inventory[[#This Row],[Adjusted Total]]-Inventory[[#This Row],[24Final]])/Inventory[[#This Row],[24Final]]</f>
        <v>6.4127695323438816E-2</v>
      </c>
    </row>
    <row r="2010" spans="1:73" x14ac:dyDescent="0.3">
      <c r="A2010" s="25">
        <v>2025</v>
      </c>
      <c r="B2010" s="26" t="s">
        <v>2316</v>
      </c>
      <c r="C2010" s="26">
        <f>LN(Inventory[[#This Row],[Acres]])</f>
        <v>-1.6607312068216509</v>
      </c>
      <c r="D2010" s="25">
        <v>0.19</v>
      </c>
      <c r="E2010" s="32">
        <v>8266</v>
      </c>
      <c r="F2010" s="26" t="s">
        <v>537</v>
      </c>
      <c r="G2010" s="26" t="s">
        <v>126</v>
      </c>
      <c r="H2010" s="26" t="s">
        <v>349</v>
      </c>
      <c r="I2010" s="26" t="s">
        <v>538</v>
      </c>
      <c r="J2010" s="26" t="s">
        <v>539</v>
      </c>
      <c r="K2010" s="26" t="s">
        <v>242</v>
      </c>
      <c r="L2010" s="26" t="s">
        <v>302</v>
      </c>
      <c r="M2010" s="26" t="s">
        <v>303</v>
      </c>
      <c r="N2010" s="26">
        <v>100</v>
      </c>
      <c r="O2010" s="26">
        <f>2024-Inventory[[#This Row],[YrBlt]]</f>
        <v>99</v>
      </c>
      <c r="P2010" s="26">
        <f>2024-Inventory[[#This Row],[EffYr]]</f>
        <v>56</v>
      </c>
      <c r="Q2010" s="25">
        <v>1925</v>
      </c>
      <c r="R2010" s="25">
        <v>1968</v>
      </c>
      <c r="S2010" s="25">
        <v>1048</v>
      </c>
      <c r="T2010" s="27"/>
      <c r="U2010" s="25">
        <v>1051</v>
      </c>
      <c r="V2010" s="25">
        <f>Inventory[[#This Row],[Bsmt]]-Inventory[[#This Row],[FnBsmt]]</f>
        <v>301</v>
      </c>
      <c r="W2010" s="25">
        <v>750</v>
      </c>
      <c r="X2010" s="27"/>
      <c r="Y2010" s="27">
        <f>Inventory[[#This Row],[MainFn]]+Inventory[[#This Row],[UpprFn]]+Inventory[[#This Row],[FnBsmt]]+Inventory[[#This Row],[AddFn]]</f>
        <v>1798</v>
      </c>
      <c r="Z2010" s="27">
        <v>2000</v>
      </c>
      <c r="AA2010" s="25">
        <v>10</v>
      </c>
      <c r="AB2010" s="31"/>
      <c r="AC2010" s="27"/>
      <c r="AD2010" s="27"/>
      <c r="AE2010" s="27"/>
      <c r="AF2010" s="27"/>
      <c r="AG2010" s="27"/>
      <c r="AH2010" s="27"/>
      <c r="AI2010" s="25">
        <v>307917</v>
      </c>
      <c r="AJ2010" s="25">
        <v>203225</v>
      </c>
      <c r="AK2010" s="25">
        <v>10874</v>
      </c>
      <c r="AL2010" s="25">
        <v>358100</v>
      </c>
      <c r="AM2010" s="25">
        <v>56600</v>
      </c>
      <c r="AN2010" s="25">
        <v>301500</v>
      </c>
      <c r="AO2010" s="25">
        <v>0</v>
      </c>
      <c r="AP2010" s="25">
        <f>Lookups!$B$56*0</f>
        <v>0</v>
      </c>
      <c r="AQ2010" s="25">
        <f>Lookups!$B$56*1</f>
        <v>89850.625589999996</v>
      </c>
      <c r="AR2010" s="25">
        <f>Lookups!$B$57*Inventory[[#This Row],[LnAcres]]</f>
        <v>-52569.808201026557</v>
      </c>
      <c r="AS2010" s="25">
        <f>VLOOKUP(Inventory[[#This Row],[Qlty]],Lookups!$A$62:$E$75,2,FALSE)</f>
        <v>29814.093161000001</v>
      </c>
      <c r="AT2010" s="25">
        <f>VLOOKUP(Inventory[[#This Row],[Cnd]],Lookups!$A$76:$E$84,2,FALSE)</f>
        <v>197752.34721000001</v>
      </c>
      <c r="AU2010" s="25">
        <f>Inventory[[#This Row],[EffAge]]*Lookups!$B$85</f>
        <v>-12490.553628</v>
      </c>
      <c r="AV2010" s="25">
        <f>Inventory[[#This Row],[MainFn]]*Lookups!$B$86</f>
        <v>51780.286031096002</v>
      </c>
      <c r="AW2010" s="25">
        <f>Inventory[[#This Row],[UpprFn]]*Lookups!$B$87</f>
        <v>0</v>
      </c>
      <c r="AX2010" s="25">
        <f>Inventory[[#This Row],[AddFn]]*Lookups!$B$88</f>
        <v>0</v>
      </c>
      <c r="AY2010" s="25">
        <f>Inventory[[#This Row],[Bsmt]]*Lookups!$B$89</f>
        <v>30565.071904597</v>
      </c>
      <c r="AZ2010" s="25">
        <f>Inventory[[#This Row],[Fixtures]]*Lookups!$B$90</f>
        <v>37920.221052000001</v>
      </c>
      <c r="BA2010" s="25">
        <f>Inventory[[#This Row],[WdDeck]]*Lookups!$B$91</f>
        <v>0</v>
      </c>
      <c r="BB2010" s="25">
        <f>ROUND(Inventory[[#This Row],[25Det]],-2)</f>
        <v>10900</v>
      </c>
      <c r="BC2010" s="25">
        <f>ROUND(SUM(Inventory[[#This Row],[Mdl Qlty]:[Mdl WdDeck]])+Inventory[[#This Row],[Mdl Res Intercept]],-2)</f>
        <v>335300</v>
      </c>
      <c r="BD2010" s="25">
        <f>ROUND(Inventory[[#This Row],[Mdl Land Intercept]]+Inventory[[#This Row],[Mdl LnAcres]],-2)</f>
        <v>37300</v>
      </c>
      <c r="BE2010" s="25">
        <f>Inventory[[#This Row],[Unadj Res Value]]+Inventory[[#This Row],[Unadj Det Value]]+Inventory[[#This Row],[Unadj Land Value]]</f>
        <v>383500</v>
      </c>
      <c r="BF2010" s="36">
        <f>(Inventory[[#This Row],[Unadj Total Value]]-Inventory[[#This Row],[24Final]])/Inventory[[#This Row],[24Final]]</f>
        <v>7.0929907846970119E-2</v>
      </c>
      <c r="BG2010" s="25">
        <f>VLOOKUP(Inventory[[#This Row],[Nbhd]],Lookups!$Q$2:$T$4,4,FALSE)</f>
        <v>0.99970000000000003</v>
      </c>
      <c r="BH2010" s="25">
        <f>VLOOKUP(Inventory[[#This Row],[Qlty]],Lookups!$O$7:$R$21,4,FALSE)</f>
        <v>1.0088999999999999</v>
      </c>
      <c r="BI2010" s="25">
        <f>VLOOKUP(Inventory[[#This Row],[Cnd]],Lookups!$T$7:$W$16,4,FALSE)</f>
        <v>0.99650000000000005</v>
      </c>
      <c r="BJ2010" s="25">
        <f>VLOOKUP(Inventory[[#This Row],[LivArea Range]],Lookups!$T$25:$W$37,4,FALSE)</f>
        <v>1.0093000000000001</v>
      </c>
      <c r="BK2010" s="25">
        <f>VLOOKUP(Inventory[[#This Row],[Decade]],Lookups!$O$25:$R$42,4,FALSE)</f>
        <v>1.0074000000000001</v>
      </c>
      <c r="BL2010" s="25">
        <f>Inventory[[#This Row],[Nbhd Adj]]*0.95</f>
        <v>0.94971499999999998</v>
      </c>
      <c r="BM2010" s="25">
        <f>Inventory[[#This Row],[Nbhd Adj]]*Inventory[[#This Row],[Quality Adj]]*Inventory[[#This Row],[Condition Adj]]*Inventory[[#This Row],[Living Area Adj]]*Inventory[[#This Row],[Decade Adj]]*0.95</f>
        <v>0.97082497942099955</v>
      </c>
      <c r="BN2010" s="25">
        <f>ROUND(SUM(Inventory[[#This Row],[Mdl Qlty]:[Mdl WdDeck]])+Inventory[[#This Row],[Mdl Res Intercept]]*Inventory[[#This Row],[Res Adj ]],-2)</f>
        <v>335300</v>
      </c>
      <c r="BO2010" s="25">
        <f>ROUND(Inventory[[#This Row],[25Det]]*Inventory[[#This Row],[Det/Nbhd Adj]],-2)</f>
        <v>10300</v>
      </c>
      <c r="BP2010" s="25">
        <f>Inventory[[#This Row],[Adjusted Res]]+Inventory[[#This Row],[Adj Det ]]</f>
        <v>345600</v>
      </c>
      <c r="BQ2010" s="25">
        <f>ROUND((Inventory[[#This Row],[Mdl Land Intercept]]+Inventory[[#This Row],[Mdl LnAcres]])*Inventory[[#This Row],[Det/Nbhd Adj]],-2)</f>
        <v>35400</v>
      </c>
      <c r="BR2010" s="25">
        <f>Inventory[[#This Row],[Adjusted Impr Total]]+Inventory[[#This Row],[Adjusted Land Total]]</f>
        <v>381000</v>
      </c>
      <c r="BS2010" s="36">
        <f>IFERROR((Inventory[[#This Row],[Adjusted Impr Total]]-Inventory[[#This Row],[24Bldg]])/Inventory[[#This Row],[24Bldg]],0)</f>
        <v>0.14626865671641792</v>
      </c>
      <c r="BT2010" s="36">
        <f>(Inventory[[#This Row],[Adjusted Land Total]]-Inventory[[#This Row],[24Lnd]])/Inventory[[#This Row],[24Lnd]]</f>
        <v>-0.37455830388692579</v>
      </c>
      <c r="BU2010" s="36">
        <f>(Inventory[[#This Row],[Adjusted Total]]-Inventory[[#This Row],[24Final]])/Inventory[[#This Row],[24Final]]</f>
        <v>6.3948617704551805E-2</v>
      </c>
    </row>
    <row r="2011" spans="1:73" x14ac:dyDescent="0.3">
      <c r="A2011" s="25">
        <v>2025</v>
      </c>
      <c r="B2011" s="26" t="s">
        <v>2887</v>
      </c>
      <c r="C2011" s="26">
        <f>LN(Inventory[[#This Row],[Acres]])</f>
        <v>-1.8971199848858813</v>
      </c>
      <c r="D2011" s="25">
        <v>0.15</v>
      </c>
      <c r="E2011" s="31"/>
      <c r="F2011" s="26" t="s">
        <v>537</v>
      </c>
      <c r="G2011" s="26" t="s">
        <v>126</v>
      </c>
      <c r="H2011" s="26" t="s">
        <v>349</v>
      </c>
      <c r="I2011" s="26" t="s">
        <v>538</v>
      </c>
      <c r="J2011" s="26" t="s">
        <v>638</v>
      </c>
      <c r="K2011" s="26" t="s">
        <v>4</v>
      </c>
      <c r="L2011" s="26" t="s">
        <v>302</v>
      </c>
      <c r="M2011" s="26" t="s">
        <v>303</v>
      </c>
      <c r="N2011" s="26">
        <v>100</v>
      </c>
      <c r="O2011" s="26">
        <f>2024-Inventory[[#This Row],[YrBlt]]</f>
        <v>99</v>
      </c>
      <c r="P2011" s="26">
        <f>2024-Inventory[[#This Row],[EffYr]]</f>
        <v>56</v>
      </c>
      <c r="Q2011" s="25">
        <v>1925</v>
      </c>
      <c r="R2011" s="25">
        <v>1968</v>
      </c>
      <c r="S2011" s="25">
        <v>934</v>
      </c>
      <c r="T2011" s="27"/>
      <c r="U2011" s="25">
        <v>934</v>
      </c>
      <c r="V2011" s="32">
        <f>Inventory[[#This Row],[Bsmt]]-Inventory[[#This Row],[FnBsmt]]</f>
        <v>0</v>
      </c>
      <c r="W2011" s="32">
        <v>934</v>
      </c>
      <c r="X2011" s="27"/>
      <c r="Y2011" s="27">
        <f>Inventory[[#This Row],[MainFn]]+Inventory[[#This Row],[UpprFn]]+Inventory[[#This Row],[FnBsmt]]+Inventory[[#This Row],[AddFn]]</f>
        <v>1868</v>
      </c>
      <c r="Z2011" s="27">
        <v>2000</v>
      </c>
      <c r="AA2011" s="25">
        <v>8</v>
      </c>
      <c r="AB2011" s="27"/>
      <c r="AC2011" s="27"/>
      <c r="AD2011" s="27"/>
      <c r="AE2011" s="27"/>
      <c r="AF2011" s="27"/>
      <c r="AG2011" s="27"/>
      <c r="AH2011" s="27"/>
      <c r="AI2011" s="25">
        <v>279256</v>
      </c>
      <c r="AJ2011" s="25">
        <v>184309</v>
      </c>
      <c r="AK2011" s="25">
        <v>6227</v>
      </c>
      <c r="AL2011" s="25">
        <v>331700</v>
      </c>
      <c r="AM2011" s="25">
        <v>48400</v>
      </c>
      <c r="AN2011" s="25">
        <v>283300</v>
      </c>
      <c r="AO2011" s="25">
        <v>0</v>
      </c>
      <c r="AP2011" s="25">
        <f>Lookups!$B$56*0</f>
        <v>0</v>
      </c>
      <c r="AQ2011" s="25">
        <f>Lookups!$B$56*1</f>
        <v>89850.625589999996</v>
      </c>
      <c r="AR2011" s="25">
        <f>Lookups!$B$57*Inventory[[#This Row],[LnAcres]]</f>
        <v>-60052.604136134301</v>
      </c>
      <c r="AS2011" s="25">
        <f>VLOOKUP(Inventory[[#This Row],[Qlty]],Lookups!$A$62:$E$75,2,FALSE)</f>
        <v>29814.093161000001</v>
      </c>
      <c r="AT2011" s="25">
        <f>VLOOKUP(Inventory[[#This Row],[Cnd]],Lookups!$A$76:$E$84,2,FALSE)</f>
        <v>197752.34721000001</v>
      </c>
      <c r="AU2011" s="25">
        <f>Inventory[[#This Row],[EffAge]]*Lookups!$B$85</f>
        <v>-12490.553628</v>
      </c>
      <c r="AV2011" s="25">
        <f>Inventory[[#This Row],[MainFn]]*Lookups!$B$86</f>
        <v>46147.697665118001</v>
      </c>
      <c r="AW2011" s="25">
        <f>Inventory[[#This Row],[UpprFn]]*Lookups!$B$87</f>
        <v>0</v>
      </c>
      <c r="AX2011" s="25">
        <f>Inventory[[#This Row],[AddFn]]*Lookups!$B$88</f>
        <v>0</v>
      </c>
      <c r="AY2011" s="25">
        <f>Inventory[[#This Row],[Bsmt]]*Lookups!$B$89</f>
        <v>27162.490160697998</v>
      </c>
      <c r="AZ2011" s="25">
        <f>Inventory[[#This Row],[Fixtures]]*Lookups!$B$90</f>
        <v>30336.176841600001</v>
      </c>
      <c r="BA2011" s="25">
        <f>Inventory[[#This Row],[WdDeck]]*Lookups!$B$91</f>
        <v>0</v>
      </c>
      <c r="BB2011" s="25">
        <f>ROUND(Inventory[[#This Row],[25Det]],-2)</f>
        <v>6200</v>
      </c>
      <c r="BC2011" s="25">
        <f>ROUND(SUM(Inventory[[#This Row],[Mdl Qlty]:[Mdl WdDeck]])+Inventory[[#This Row],[Mdl Res Intercept]],-2)</f>
        <v>318700</v>
      </c>
      <c r="BD2011" s="25">
        <f>ROUND(Inventory[[#This Row],[Mdl Land Intercept]]+Inventory[[#This Row],[Mdl LnAcres]],-2)</f>
        <v>29800</v>
      </c>
      <c r="BE2011" s="25">
        <f>Inventory[[#This Row],[Unadj Res Value]]+Inventory[[#This Row],[Unadj Det Value]]+Inventory[[#This Row],[Unadj Land Value]]</f>
        <v>354700</v>
      </c>
      <c r="BF2011" s="36">
        <f>(Inventory[[#This Row],[Unadj Total Value]]-Inventory[[#This Row],[24Final]])/Inventory[[#This Row],[24Final]]</f>
        <v>6.933976484775399E-2</v>
      </c>
      <c r="BG2011" s="25">
        <f>VLOOKUP(Inventory[[#This Row],[Nbhd]],Lookups!$Q$2:$T$4,4,FALSE)</f>
        <v>0.99970000000000003</v>
      </c>
      <c r="BH2011" s="25">
        <f>VLOOKUP(Inventory[[#This Row],[Qlty]],Lookups!$O$7:$R$21,4,FALSE)</f>
        <v>1.0088999999999999</v>
      </c>
      <c r="BI2011" s="25">
        <f>VLOOKUP(Inventory[[#This Row],[Cnd]],Lookups!$T$7:$W$16,4,FALSE)</f>
        <v>0.99650000000000005</v>
      </c>
      <c r="BJ2011" s="25">
        <f>VLOOKUP(Inventory[[#This Row],[LivArea Range]],Lookups!$T$25:$W$37,4,FALSE)</f>
        <v>1.0093000000000001</v>
      </c>
      <c r="BK2011" s="25">
        <f>VLOOKUP(Inventory[[#This Row],[Decade]],Lookups!$O$25:$R$42,4,FALSE)</f>
        <v>1.0074000000000001</v>
      </c>
      <c r="BL2011" s="25">
        <f>Inventory[[#This Row],[Nbhd Adj]]*0.95</f>
        <v>0.94971499999999998</v>
      </c>
      <c r="BM2011" s="25">
        <f>Inventory[[#This Row],[Nbhd Adj]]*Inventory[[#This Row],[Quality Adj]]*Inventory[[#This Row],[Condition Adj]]*Inventory[[#This Row],[Living Area Adj]]*Inventory[[#This Row],[Decade Adj]]*0.95</f>
        <v>0.97082497942099955</v>
      </c>
      <c r="BN2011" s="25">
        <f>ROUND(SUM(Inventory[[#This Row],[Mdl Qlty]:[Mdl WdDeck]])+Inventory[[#This Row],[Mdl Res Intercept]]*Inventory[[#This Row],[Res Adj ]],-2)</f>
        <v>318700</v>
      </c>
      <c r="BO2011" s="25">
        <f>ROUND(Inventory[[#This Row],[25Det]]*Inventory[[#This Row],[Det/Nbhd Adj]],-2)</f>
        <v>5900</v>
      </c>
      <c r="BP2011" s="25">
        <f>Inventory[[#This Row],[Adjusted Res]]+Inventory[[#This Row],[Adj Det ]]</f>
        <v>324600</v>
      </c>
      <c r="BQ2011" s="25">
        <f>ROUND((Inventory[[#This Row],[Mdl Land Intercept]]+Inventory[[#This Row],[Mdl LnAcres]])*Inventory[[#This Row],[Det/Nbhd Adj]],-2)</f>
        <v>28300</v>
      </c>
      <c r="BR2011" s="25">
        <f>Inventory[[#This Row],[Adjusted Impr Total]]+Inventory[[#This Row],[Adjusted Land Total]]</f>
        <v>352900</v>
      </c>
      <c r="BS2011" s="36">
        <f>IFERROR((Inventory[[#This Row],[Adjusted Impr Total]]-Inventory[[#This Row],[24Bldg]])/Inventory[[#This Row],[24Bldg]],0)</f>
        <v>0.14578185668902224</v>
      </c>
      <c r="BT2011" s="36">
        <f>(Inventory[[#This Row],[Adjusted Land Total]]-Inventory[[#This Row],[24Lnd]])/Inventory[[#This Row],[24Lnd]]</f>
        <v>-0.41528925619834711</v>
      </c>
      <c r="BU2011" s="36">
        <f>(Inventory[[#This Row],[Adjusted Total]]-Inventory[[#This Row],[24Final]])/Inventory[[#This Row],[24Final]]</f>
        <v>6.391317455532107E-2</v>
      </c>
    </row>
    <row r="2012" spans="1:73" x14ac:dyDescent="0.3">
      <c r="A2012" s="25">
        <v>2025</v>
      </c>
      <c r="B2012" s="26" t="s">
        <v>2848</v>
      </c>
      <c r="C2012" s="26">
        <f>LN(Inventory[[#This Row],[Acres]])</f>
        <v>-1.8971199848858813</v>
      </c>
      <c r="D2012" s="25">
        <v>0.15</v>
      </c>
      <c r="E2012" s="32">
        <v>6462</v>
      </c>
      <c r="F2012" s="26" t="s">
        <v>537</v>
      </c>
      <c r="G2012" s="26" t="s">
        <v>126</v>
      </c>
      <c r="H2012" s="26" t="s">
        <v>349</v>
      </c>
      <c r="I2012" s="26" t="s">
        <v>538</v>
      </c>
      <c r="J2012" s="26" t="s">
        <v>539</v>
      </c>
      <c r="K2012" s="26" t="s">
        <v>242</v>
      </c>
      <c r="L2012" s="26" t="s">
        <v>351</v>
      </c>
      <c r="M2012" s="26" t="s">
        <v>323</v>
      </c>
      <c r="N2012" s="26">
        <v>100</v>
      </c>
      <c r="O2012" s="26">
        <f>2024-Inventory[[#This Row],[YrBlt]]</f>
        <v>99</v>
      </c>
      <c r="P2012" s="26">
        <f>2024-Inventory[[#This Row],[EffYr]]</f>
        <v>56</v>
      </c>
      <c r="Q2012" s="25">
        <v>1925</v>
      </c>
      <c r="R2012" s="25">
        <v>1968</v>
      </c>
      <c r="S2012" s="25">
        <v>720</v>
      </c>
      <c r="T2012" s="31"/>
      <c r="U2012" s="25">
        <v>720</v>
      </c>
      <c r="V2012" s="25">
        <f>Inventory[[#This Row],[Bsmt]]-Inventory[[#This Row],[FnBsmt]]</f>
        <v>270</v>
      </c>
      <c r="W2012" s="25">
        <v>450</v>
      </c>
      <c r="X2012" s="27"/>
      <c r="Y2012" s="27">
        <f>Inventory[[#This Row],[MainFn]]+Inventory[[#This Row],[UpprFn]]+Inventory[[#This Row],[FnBsmt]]+Inventory[[#This Row],[AddFn]]</f>
        <v>1170</v>
      </c>
      <c r="Z2012" s="27">
        <v>1500</v>
      </c>
      <c r="AA2012" s="25">
        <v>5</v>
      </c>
      <c r="AB2012" s="27"/>
      <c r="AC2012" s="27"/>
      <c r="AD2012" s="27"/>
      <c r="AE2012" s="27"/>
      <c r="AF2012" s="27"/>
      <c r="AG2012" s="27"/>
      <c r="AH2012" s="27"/>
      <c r="AI2012" s="25">
        <v>185265</v>
      </c>
      <c r="AJ2012" s="25">
        <v>118570</v>
      </c>
      <c r="AK2012" s="25">
        <v>18746</v>
      </c>
      <c r="AL2012" s="25">
        <v>273700</v>
      </c>
      <c r="AM2012" s="25">
        <v>48400</v>
      </c>
      <c r="AN2012" s="25">
        <v>225300</v>
      </c>
      <c r="AO2012" s="25">
        <v>0</v>
      </c>
      <c r="AP2012" s="25">
        <f>Lookups!$B$56*0</f>
        <v>0</v>
      </c>
      <c r="AQ2012" s="25">
        <f>Lookups!$B$56*1</f>
        <v>89850.625589999996</v>
      </c>
      <c r="AR2012" s="25">
        <f>Lookups!$B$57*Inventory[[#This Row],[LnAcres]]</f>
        <v>-60052.604136134301</v>
      </c>
      <c r="AS2012" s="25">
        <f>VLOOKUP(Inventory[[#This Row],[Qlty]],Lookups!$A$62:$E$75,2,FALSE)</f>
        <v>21557.329055999999</v>
      </c>
      <c r="AT2012" s="25">
        <f>VLOOKUP(Inventory[[#This Row],[Cnd]],Lookups!$A$76:$E$84,2,FALSE)</f>
        <v>160472.20319</v>
      </c>
      <c r="AU2012" s="25">
        <f>Inventory[[#This Row],[EffAge]]*Lookups!$B$85</f>
        <v>-12490.553628</v>
      </c>
      <c r="AV2012" s="25">
        <f>Inventory[[#This Row],[MainFn]]*Lookups!$B$86</f>
        <v>35574.242311440001</v>
      </c>
      <c r="AW2012" s="25">
        <f>Inventory[[#This Row],[UpprFn]]*Lookups!$B$87</f>
        <v>0</v>
      </c>
      <c r="AX2012" s="25">
        <f>Inventory[[#This Row],[AddFn]]*Lookups!$B$88</f>
        <v>0</v>
      </c>
      <c r="AY2012" s="25">
        <f>Inventory[[#This Row],[Bsmt]]*Lookups!$B$89</f>
        <v>20938.964577839997</v>
      </c>
      <c r="AZ2012" s="25">
        <f>Inventory[[#This Row],[Fixtures]]*Lookups!$B$90</f>
        <v>18960.110526</v>
      </c>
      <c r="BA2012" s="25">
        <f>Inventory[[#This Row],[WdDeck]]*Lookups!$B$91</f>
        <v>0</v>
      </c>
      <c r="BB2012" s="25">
        <f>ROUND(Inventory[[#This Row],[25Det]],-2)</f>
        <v>18700</v>
      </c>
      <c r="BC2012" s="25">
        <f>ROUND(SUM(Inventory[[#This Row],[Mdl Qlty]:[Mdl WdDeck]])+Inventory[[#This Row],[Mdl Res Intercept]],-2)</f>
        <v>245000</v>
      </c>
      <c r="BD2012" s="25">
        <f>ROUND(Inventory[[#This Row],[Mdl Land Intercept]]+Inventory[[#This Row],[Mdl LnAcres]],-2)</f>
        <v>29800</v>
      </c>
      <c r="BE2012" s="25">
        <f>Inventory[[#This Row],[Unadj Res Value]]+Inventory[[#This Row],[Unadj Det Value]]+Inventory[[#This Row],[Unadj Land Value]]</f>
        <v>293500</v>
      </c>
      <c r="BF2012" s="36">
        <f>(Inventory[[#This Row],[Unadj Total Value]]-Inventory[[#This Row],[24Final]])/Inventory[[#This Row],[24Final]]</f>
        <v>7.2341980270369019E-2</v>
      </c>
      <c r="BG2012" s="25">
        <f>VLOOKUP(Inventory[[#This Row],[Nbhd]],Lookups!$Q$2:$T$4,4,FALSE)</f>
        <v>0.99970000000000003</v>
      </c>
      <c r="BH2012" s="25">
        <f>VLOOKUP(Inventory[[#This Row],[Qlty]],Lookups!$O$7:$R$21,4,FALSE)</f>
        <v>1.0067999999999999</v>
      </c>
      <c r="BI2012" s="25">
        <f>VLOOKUP(Inventory[[#This Row],[Cnd]],Lookups!$T$7:$W$16,4,FALSE)</f>
        <v>0.99729999999999996</v>
      </c>
      <c r="BJ2012" s="25">
        <f>VLOOKUP(Inventory[[#This Row],[LivArea Range]],Lookups!$T$25:$W$37,4,FALSE)</f>
        <v>1.0157</v>
      </c>
      <c r="BK2012" s="25">
        <f>VLOOKUP(Inventory[[#This Row],[Decade]],Lookups!$O$25:$R$42,4,FALSE)</f>
        <v>1.0074000000000001</v>
      </c>
      <c r="BL2012" s="25">
        <f>Inventory[[#This Row],[Nbhd Adj]]*0.95</f>
        <v>0.94971499999999998</v>
      </c>
      <c r="BM2012" s="25">
        <f>Inventory[[#This Row],[Nbhd Adj]]*Inventory[[#This Row],[Quality Adj]]*Inventory[[#This Row],[Condition Adj]]*Inventory[[#This Row],[Living Area Adj]]*Inventory[[#This Row],[Decade Adj]]*0.95</f>
        <v>0.97573014419916293</v>
      </c>
      <c r="BN2012" s="25">
        <f>ROUND(SUM(Inventory[[#This Row],[Mdl Qlty]:[Mdl WdDeck]])+Inventory[[#This Row],[Mdl Res Intercept]]*Inventory[[#This Row],[Res Adj ]],-2)</f>
        <v>245000</v>
      </c>
      <c r="BO2012" s="25">
        <f>ROUND(Inventory[[#This Row],[25Det]]*Inventory[[#This Row],[Det/Nbhd Adj]],-2)</f>
        <v>17800</v>
      </c>
      <c r="BP2012" s="25">
        <f>Inventory[[#This Row],[Adjusted Res]]+Inventory[[#This Row],[Adj Det ]]</f>
        <v>262800</v>
      </c>
      <c r="BQ2012" s="25">
        <f>ROUND((Inventory[[#This Row],[Mdl Land Intercept]]+Inventory[[#This Row],[Mdl LnAcres]])*Inventory[[#This Row],[Det/Nbhd Adj]],-2)</f>
        <v>28300</v>
      </c>
      <c r="BR2012" s="25">
        <f>Inventory[[#This Row],[Adjusted Impr Total]]+Inventory[[#This Row],[Adjusted Land Total]]</f>
        <v>291100</v>
      </c>
      <c r="BS2012" s="36">
        <f>IFERROR((Inventory[[#This Row],[Adjusted Impr Total]]-Inventory[[#This Row],[24Bldg]])/Inventory[[#This Row],[24Bldg]],0)</f>
        <v>0.16644474034620507</v>
      </c>
      <c r="BT2012" s="36">
        <f>(Inventory[[#This Row],[Adjusted Land Total]]-Inventory[[#This Row],[24Lnd]])/Inventory[[#This Row],[24Lnd]]</f>
        <v>-0.41528925619834711</v>
      </c>
      <c r="BU2012" s="36">
        <f>(Inventory[[#This Row],[Adjusted Total]]-Inventory[[#This Row],[24Final]])/Inventory[[#This Row],[24Final]]</f>
        <v>6.3573255389112168E-2</v>
      </c>
    </row>
    <row r="2013" spans="1:73" x14ac:dyDescent="0.3">
      <c r="A2013" s="25">
        <v>2025</v>
      </c>
      <c r="B2013" s="26" t="s">
        <v>2551</v>
      </c>
      <c r="C2013" s="26">
        <f>LN(Inventory[[#This Row],[Acres]])</f>
        <v>-1.8971199848858813</v>
      </c>
      <c r="D2013" s="25">
        <v>0.15</v>
      </c>
      <c r="E2013" s="32">
        <v>6500</v>
      </c>
      <c r="F2013" s="26" t="s">
        <v>537</v>
      </c>
      <c r="G2013" s="26" t="s">
        <v>126</v>
      </c>
      <c r="H2013" s="26" t="s">
        <v>349</v>
      </c>
      <c r="I2013" s="26" t="s">
        <v>538</v>
      </c>
      <c r="J2013" s="26" t="s">
        <v>539</v>
      </c>
      <c r="K2013" s="26" t="s">
        <v>269</v>
      </c>
      <c r="L2013" s="26" t="s">
        <v>205</v>
      </c>
      <c r="M2013" s="26" t="s">
        <v>303</v>
      </c>
      <c r="N2013" s="26">
        <v>100</v>
      </c>
      <c r="O2013" s="26">
        <f>2024-Inventory[[#This Row],[YrBlt]]</f>
        <v>99</v>
      </c>
      <c r="P2013" s="26">
        <f>2024-Inventory[[#This Row],[EffYr]]</f>
        <v>56</v>
      </c>
      <c r="Q2013" s="25">
        <v>1925</v>
      </c>
      <c r="R2013" s="25">
        <v>1968</v>
      </c>
      <c r="S2013" s="25">
        <v>988</v>
      </c>
      <c r="T2013" s="31"/>
      <c r="U2013" s="25">
        <v>750</v>
      </c>
      <c r="V2013" s="25">
        <f>Inventory[[#This Row],[Bsmt]]-Inventory[[#This Row],[FnBsmt]]</f>
        <v>0</v>
      </c>
      <c r="W2013" s="25">
        <v>750</v>
      </c>
      <c r="X2013" s="27"/>
      <c r="Y2013" s="27">
        <f>Inventory[[#This Row],[MainFn]]+Inventory[[#This Row],[UpprFn]]+Inventory[[#This Row],[FnBsmt]]+Inventory[[#This Row],[AddFn]]</f>
        <v>1738</v>
      </c>
      <c r="Z2013" s="27">
        <v>2000</v>
      </c>
      <c r="AA2013" s="25">
        <v>7</v>
      </c>
      <c r="AB2013" s="27"/>
      <c r="AC2013" s="27"/>
      <c r="AD2013" s="32">
        <v>160</v>
      </c>
      <c r="AE2013" s="27"/>
      <c r="AF2013" s="27"/>
      <c r="AG2013" s="27"/>
      <c r="AH2013" s="27"/>
      <c r="AI2013" s="25">
        <v>218215</v>
      </c>
      <c r="AJ2013" s="25">
        <v>144022</v>
      </c>
      <c r="AK2013" s="25">
        <v>6227</v>
      </c>
      <c r="AL2013" s="25">
        <v>303100</v>
      </c>
      <c r="AM2013" s="25">
        <v>48400</v>
      </c>
      <c r="AN2013" s="25">
        <v>254700</v>
      </c>
      <c r="AO2013" s="25">
        <v>0</v>
      </c>
      <c r="AP2013" s="25">
        <f>Lookups!$B$56*0</f>
        <v>0</v>
      </c>
      <c r="AQ2013" s="25">
        <f>Lookups!$B$56*1</f>
        <v>89850.625589999996</v>
      </c>
      <c r="AR2013" s="25">
        <f>Lookups!$B$57*Inventory[[#This Row],[LnAcres]]</f>
        <v>-60052.604136134301</v>
      </c>
      <c r="AS2013" s="25">
        <f>VLOOKUP(Inventory[[#This Row],[Qlty]],Lookups!$A$62:$E$75,2,FALSE)</f>
        <v>0</v>
      </c>
      <c r="AT2013" s="25">
        <f>VLOOKUP(Inventory[[#This Row],[Cnd]],Lookups!$A$76:$E$84,2,FALSE)</f>
        <v>197752.34721000001</v>
      </c>
      <c r="AU2013" s="25">
        <f>Inventory[[#This Row],[EffAge]]*Lookups!$B$85</f>
        <v>-12490.553628</v>
      </c>
      <c r="AV2013" s="25">
        <f>Inventory[[#This Row],[MainFn]]*Lookups!$B$86</f>
        <v>48815.765838476</v>
      </c>
      <c r="AW2013" s="25">
        <f>Inventory[[#This Row],[UpprFn]]*Lookups!$B$87</f>
        <v>0</v>
      </c>
      <c r="AX2013" s="25">
        <f>Inventory[[#This Row],[AddFn]]*Lookups!$B$88</f>
        <v>0</v>
      </c>
      <c r="AY2013" s="25">
        <f>Inventory[[#This Row],[Bsmt]]*Lookups!$B$89</f>
        <v>21811.421435249998</v>
      </c>
      <c r="AZ2013" s="25">
        <f>Inventory[[#This Row],[Fixtures]]*Lookups!$B$90</f>
        <v>26544.1547364</v>
      </c>
      <c r="BA2013" s="25">
        <f>Inventory[[#This Row],[WdDeck]]*Lookups!$B$91</f>
        <v>5327.2824441600005</v>
      </c>
      <c r="BB2013" s="25">
        <f>ROUND(Inventory[[#This Row],[25Det]],-2)</f>
        <v>6200</v>
      </c>
      <c r="BC2013" s="25">
        <f>ROUND(SUM(Inventory[[#This Row],[Mdl Qlty]:[Mdl WdDeck]])+Inventory[[#This Row],[Mdl Res Intercept]],-2)</f>
        <v>287800</v>
      </c>
      <c r="BD2013" s="25">
        <f>ROUND(Inventory[[#This Row],[Mdl Land Intercept]]+Inventory[[#This Row],[Mdl LnAcres]],-2)</f>
        <v>29800</v>
      </c>
      <c r="BE2013" s="25">
        <f>Inventory[[#This Row],[Unadj Res Value]]+Inventory[[#This Row],[Unadj Det Value]]+Inventory[[#This Row],[Unadj Land Value]]</f>
        <v>323800</v>
      </c>
      <c r="BF2013" s="36">
        <f>(Inventory[[#This Row],[Unadj Total Value]]-Inventory[[#This Row],[24Final]])/Inventory[[#This Row],[24Final]]</f>
        <v>6.8294292312768068E-2</v>
      </c>
      <c r="BG2013" s="25">
        <f>VLOOKUP(Inventory[[#This Row],[Nbhd]],Lookups!$Q$2:$T$4,4,FALSE)</f>
        <v>0.99970000000000003</v>
      </c>
      <c r="BH2013" s="25">
        <f>VLOOKUP(Inventory[[#This Row],[Qlty]],Lookups!$O$7:$R$21,4,FALSE)</f>
        <v>0.99180000000000001</v>
      </c>
      <c r="BI2013" s="25">
        <f>VLOOKUP(Inventory[[#This Row],[Cnd]],Lookups!$T$7:$W$16,4,FALSE)</f>
        <v>0.99650000000000005</v>
      </c>
      <c r="BJ2013" s="25">
        <f>VLOOKUP(Inventory[[#This Row],[LivArea Range]],Lookups!$T$25:$W$37,4,FALSE)</f>
        <v>1.0093000000000001</v>
      </c>
      <c r="BK2013" s="25">
        <f>VLOOKUP(Inventory[[#This Row],[Decade]],Lookups!$O$25:$R$42,4,FALSE)</f>
        <v>1.0074000000000001</v>
      </c>
      <c r="BL2013" s="25">
        <f>Inventory[[#This Row],[Nbhd Adj]]*0.95</f>
        <v>0.94971499999999998</v>
      </c>
      <c r="BM2013" s="25">
        <f>Inventory[[#This Row],[Nbhd Adj]]*Inventory[[#This Row],[Quality Adj]]*Inventory[[#This Row],[Condition Adj]]*Inventory[[#This Row],[Living Area Adj]]*Inventory[[#This Row],[Decade Adj]]*0.95</f>
        <v>0.95437031875284728</v>
      </c>
      <c r="BN2013" s="25">
        <f>ROUND(SUM(Inventory[[#This Row],[Mdl Qlty]:[Mdl WdDeck]])+Inventory[[#This Row],[Mdl Res Intercept]]*Inventory[[#This Row],[Res Adj ]],-2)</f>
        <v>287800</v>
      </c>
      <c r="BO2013" s="25">
        <f>ROUND(Inventory[[#This Row],[25Det]]*Inventory[[#This Row],[Det/Nbhd Adj]],-2)</f>
        <v>5900</v>
      </c>
      <c r="BP2013" s="25">
        <f>Inventory[[#This Row],[Adjusted Res]]+Inventory[[#This Row],[Adj Det ]]</f>
        <v>293700</v>
      </c>
      <c r="BQ2013" s="25">
        <f>ROUND((Inventory[[#This Row],[Mdl Land Intercept]]+Inventory[[#This Row],[Mdl LnAcres]])*Inventory[[#This Row],[Det/Nbhd Adj]],-2)</f>
        <v>28300</v>
      </c>
      <c r="BR2013" s="25">
        <f>Inventory[[#This Row],[Adjusted Impr Total]]+Inventory[[#This Row],[Adjusted Land Total]]</f>
        <v>322000</v>
      </c>
      <c r="BS2013" s="36">
        <f>IFERROR((Inventory[[#This Row],[Adjusted Impr Total]]-Inventory[[#This Row],[24Bldg]])/Inventory[[#This Row],[24Bldg]],0)</f>
        <v>0.15312131919905772</v>
      </c>
      <c r="BT2013" s="36">
        <f>(Inventory[[#This Row],[Adjusted Land Total]]-Inventory[[#This Row],[24Lnd]])/Inventory[[#This Row],[24Lnd]]</f>
        <v>-0.41528925619834711</v>
      </c>
      <c r="BU2013" s="36">
        <f>(Inventory[[#This Row],[Adjusted Total]]-Inventory[[#This Row],[24Final]])/Inventory[[#This Row],[24Final]]</f>
        <v>6.2355658198614321E-2</v>
      </c>
    </row>
    <row r="2014" spans="1:73" x14ac:dyDescent="0.3">
      <c r="A2014" s="25">
        <v>2025</v>
      </c>
      <c r="B2014" s="26" t="s">
        <v>2825</v>
      </c>
      <c r="C2014" s="26">
        <f>LN(Inventory[[#This Row],[Acres]])</f>
        <v>-1.7147984280919266</v>
      </c>
      <c r="D2014" s="25">
        <v>0.18</v>
      </c>
      <c r="E2014" s="27"/>
      <c r="F2014" s="26" t="s">
        <v>537</v>
      </c>
      <c r="G2014" s="26" t="s">
        <v>126</v>
      </c>
      <c r="H2014" s="26" t="s">
        <v>349</v>
      </c>
      <c r="I2014" s="26" t="s">
        <v>538</v>
      </c>
      <c r="J2014" s="26" t="s">
        <v>539</v>
      </c>
      <c r="K2014" s="26" t="s">
        <v>269</v>
      </c>
      <c r="L2014" s="26" t="s">
        <v>148</v>
      </c>
      <c r="M2014" s="26" t="s">
        <v>303</v>
      </c>
      <c r="N2014" s="26">
        <v>100</v>
      </c>
      <c r="O2014" s="26">
        <f>2024-Inventory[[#This Row],[YrBlt]]</f>
        <v>99</v>
      </c>
      <c r="P2014" s="26">
        <f>2024-Inventory[[#This Row],[EffYr]]</f>
        <v>56</v>
      </c>
      <c r="Q2014" s="25">
        <v>1925</v>
      </c>
      <c r="R2014" s="25">
        <v>1968</v>
      </c>
      <c r="S2014" s="25">
        <v>1589</v>
      </c>
      <c r="T2014" s="32">
        <v>384</v>
      </c>
      <c r="U2014" s="25">
        <v>1279</v>
      </c>
      <c r="V2014" s="25">
        <f>Inventory[[#This Row],[Bsmt]]-Inventory[[#This Row],[FnBsmt]]</f>
        <v>639</v>
      </c>
      <c r="W2014" s="25">
        <v>640</v>
      </c>
      <c r="X2014" s="27"/>
      <c r="Y2014" s="27">
        <f>Inventory[[#This Row],[MainFn]]+Inventory[[#This Row],[UpprFn]]+Inventory[[#This Row],[FnBsmt]]+Inventory[[#This Row],[AddFn]]</f>
        <v>2613</v>
      </c>
      <c r="Z2014" s="27">
        <v>3000</v>
      </c>
      <c r="AA2014" s="25">
        <v>8</v>
      </c>
      <c r="AB2014" s="27"/>
      <c r="AC2014" s="27"/>
      <c r="AD2014" s="27"/>
      <c r="AE2014" s="27"/>
      <c r="AF2014" s="27"/>
      <c r="AG2014" s="27"/>
      <c r="AH2014" s="27"/>
      <c r="AI2014" s="25">
        <v>503181</v>
      </c>
      <c r="AJ2014" s="25">
        <v>332099</v>
      </c>
      <c r="AK2014" s="25">
        <v>0</v>
      </c>
      <c r="AL2014" s="25">
        <v>402000</v>
      </c>
      <c r="AM2014" s="25">
        <v>54700</v>
      </c>
      <c r="AN2014" s="25">
        <v>347300</v>
      </c>
      <c r="AO2014" s="25">
        <v>0</v>
      </c>
      <c r="AP2014" s="25">
        <f>Lookups!$B$56*0</f>
        <v>0</v>
      </c>
      <c r="AQ2014" s="25">
        <f>Lookups!$B$56*1</f>
        <v>89850.625589999996</v>
      </c>
      <c r="AR2014" s="25">
        <f>Lookups!$B$57*Inventory[[#This Row],[LnAcres]]</f>
        <v>-54281.285314520763</v>
      </c>
      <c r="AS2014" s="25">
        <f>VLOOKUP(Inventory[[#This Row],[Qlty]],Lookups!$A$62:$E$75,2,FALSE)</f>
        <v>44121.038090000002</v>
      </c>
      <c r="AT2014" s="25">
        <f>VLOOKUP(Inventory[[#This Row],[Cnd]],Lookups!$A$76:$E$84,2,FALSE)</f>
        <v>197752.34721000001</v>
      </c>
      <c r="AU2014" s="25">
        <f>Inventory[[#This Row],[EffAge]]*Lookups!$B$85</f>
        <v>-12490.553628</v>
      </c>
      <c r="AV2014" s="25">
        <f>Inventory[[#This Row],[MainFn]]*Lookups!$B$86</f>
        <v>78510.376434553007</v>
      </c>
      <c r="AW2014" s="25">
        <f>Inventory[[#This Row],[UpprFn]]*Lookups!$B$87</f>
        <v>17197.986378623998</v>
      </c>
      <c r="AX2014" s="25">
        <f>Inventory[[#This Row],[AddFn]]*Lookups!$B$88</f>
        <v>0</v>
      </c>
      <c r="AY2014" s="25">
        <f>Inventory[[#This Row],[Bsmt]]*Lookups!$B$89</f>
        <v>37195.744020913</v>
      </c>
      <c r="AZ2014" s="25">
        <f>Inventory[[#This Row],[Fixtures]]*Lookups!$B$90</f>
        <v>30336.176841600001</v>
      </c>
      <c r="BA2014" s="25">
        <f>Inventory[[#This Row],[WdDeck]]*Lookups!$B$91</f>
        <v>0</v>
      </c>
      <c r="BB2014" s="25">
        <f>ROUND(Inventory[[#This Row],[25Det]],-2)</f>
        <v>0</v>
      </c>
      <c r="BC2014" s="25">
        <f>ROUND(SUM(Inventory[[#This Row],[Mdl Qlty]:[Mdl WdDeck]])+Inventory[[#This Row],[Mdl Res Intercept]],-2)</f>
        <v>392600</v>
      </c>
      <c r="BD2014" s="25">
        <f>ROUND(Inventory[[#This Row],[Mdl Land Intercept]]+Inventory[[#This Row],[Mdl LnAcres]],-2)</f>
        <v>35600</v>
      </c>
      <c r="BE2014" s="25">
        <f>Inventory[[#This Row],[Unadj Res Value]]+Inventory[[#This Row],[Unadj Det Value]]+Inventory[[#This Row],[Unadj Land Value]]</f>
        <v>428200</v>
      </c>
      <c r="BF2014" s="36">
        <f>(Inventory[[#This Row],[Unadj Total Value]]-Inventory[[#This Row],[24Final]])/Inventory[[#This Row],[24Final]]</f>
        <v>6.5174129353233828E-2</v>
      </c>
      <c r="BG2014" s="25">
        <f>VLOOKUP(Inventory[[#This Row],[Nbhd]],Lookups!$Q$2:$T$4,4,FALSE)</f>
        <v>0.99970000000000003</v>
      </c>
      <c r="BH2014" s="25">
        <f>VLOOKUP(Inventory[[#This Row],[Qlty]],Lookups!$O$7:$R$21,4,FALSE)</f>
        <v>0.98050000000000004</v>
      </c>
      <c r="BI2014" s="25">
        <f>VLOOKUP(Inventory[[#This Row],[Cnd]],Lookups!$T$7:$W$16,4,FALSE)</f>
        <v>0.99650000000000005</v>
      </c>
      <c r="BJ2014" s="25">
        <f>VLOOKUP(Inventory[[#This Row],[LivArea Range]],Lookups!$T$25:$W$37,4,FALSE)</f>
        <v>0.96179999999999999</v>
      </c>
      <c r="BK2014" s="25">
        <f>VLOOKUP(Inventory[[#This Row],[Decade]],Lookups!$O$25:$R$42,4,FALSE)</f>
        <v>1.0074000000000001</v>
      </c>
      <c r="BL2014" s="25">
        <f>Inventory[[#This Row],[Nbhd Adj]]*0.95</f>
        <v>0.94971499999999998</v>
      </c>
      <c r="BM2014" s="25">
        <f>Inventory[[#This Row],[Nbhd Adj]]*Inventory[[#This Row],[Quality Adj]]*Inventory[[#This Row],[Condition Adj]]*Inventory[[#This Row],[Living Area Adj]]*Inventory[[#This Row],[Decade Adj]]*0.95</f>
        <v>0.89909362370491519</v>
      </c>
      <c r="BN2014" s="25">
        <f>ROUND(SUM(Inventory[[#This Row],[Mdl Qlty]:[Mdl WdDeck]])+Inventory[[#This Row],[Mdl Res Intercept]]*Inventory[[#This Row],[Res Adj ]],-2)</f>
        <v>392600</v>
      </c>
      <c r="BO2014" s="25">
        <f>ROUND(Inventory[[#This Row],[25Det]]*Inventory[[#This Row],[Det/Nbhd Adj]],-2)</f>
        <v>0</v>
      </c>
      <c r="BP2014" s="25">
        <f>Inventory[[#This Row],[Adjusted Res]]+Inventory[[#This Row],[Adj Det ]]</f>
        <v>392600</v>
      </c>
      <c r="BQ2014" s="25">
        <f>ROUND((Inventory[[#This Row],[Mdl Land Intercept]]+Inventory[[#This Row],[Mdl LnAcres]])*Inventory[[#This Row],[Det/Nbhd Adj]],-2)</f>
        <v>33800</v>
      </c>
      <c r="BR2014" s="25">
        <f>Inventory[[#This Row],[Adjusted Impr Total]]+Inventory[[#This Row],[Adjusted Land Total]]</f>
        <v>426400</v>
      </c>
      <c r="BS2014" s="36">
        <f>IFERROR((Inventory[[#This Row],[Adjusted Impr Total]]-Inventory[[#This Row],[24Bldg]])/Inventory[[#This Row],[24Bldg]],0)</f>
        <v>0.13043478260869565</v>
      </c>
      <c r="BT2014" s="36">
        <f>(Inventory[[#This Row],[Adjusted Land Total]]-Inventory[[#This Row],[24Lnd]])/Inventory[[#This Row],[24Lnd]]</f>
        <v>-0.38208409506398539</v>
      </c>
      <c r="BU2014" s="36">
        <f>(Inventory[[#This Row],[Adjusted Total]]-Inventory[[#This Row],[24Final]])/Inventory[[#This Row],[24Final]]</f>
        <v>6.0696517412935323E-2</v>
      </c>
    </row>
    <row r="2015" spans="1:73" x14ac:dyDescent="0.3">
      <c r="A2015" s="25">
        <v>2025</v>
      </c>
      <c r="B2015" s="26" t="s">
        <v>1114</v>
      </c>
      <c r="C2015" s="26">
        <f>LN(Inventory[[#This Row],[Acres]])</f>
        <v>-1.2729656758128873</v>
      </c>
      <c r="D2015" s="25">
        <v>0.28000000000000003</v>
      </c>
      <c r="E2015" s="31"/>
      <c r="F2015" s="26" t="s">
        <v>537</v>
      </c>
      <c r="G2015" s="26" t="s">
        <v>126</v>
      </c>
      <c r="H2015" s="26" t="s">
        <v>349</v>
      </c>
      <c r="I2015" s="26" t="s">
        <v>538</v>
      </c>
      <c r="J2015" s="26" t="s">
        <v>539</v>
      </c>
      <c r="K2015" s="26" t="s">
        <v>301</v>
      </c>
      <c r="L2015" s="26" t="s">
        <v>148</v>
      </c>
      <c r="M2015" s="26" t="s">
        <v>303</v>
      </c>
      <c r="N2015" s="26">
        <v>100</v>
      </c>
      <c r="O2015" s="26">
        <f>2024-Inventory[[#This Row],[YrBlt]]</f>
        <v>99</v>
      </c>
      <c r="P2015" s="26">
        <f>2024-Inventory[[#This Row],[EffYr]]</f>
        <v>56</v>
      </c>
      <c r="Q2015" s="25">
        <v>1925</v>
      </c>
      <c r="R2015" s="25">
        <v>1968</v>
      </c>
      <c r="S2015" s="25">
        <v>1264</v>
      </c>
      <c r="T2015" s="32">
        <v>1216</v>
      </c>
      <c r="U2015" s="25">
        <v>760</v>
      </c>
      <c r="V2015" s="25">
        <f>Inventory[[#This Row],[Bsmt]]-Inventory[[#This Row],[FnBsmt]]</f>
        <v>415</v>
      </c>
      <c r="W2015" s="25">
        <v>345</v>
      </c>
      <c r="X2015" s="27"/>
      <c r="Y2015" s="27">
        <f>Inventory[[#This Row],[MainFn]]+Inventory[[#This Row],[UpprFn]]+Inventory[[#This Row],[FnBsmt]]+Inventory[[#This Row],[AddFn]]</f>
        <v>2825</v>
      </c>
      <c r="Z2015" s="27">
        <v>3000</v>
      </c>
      <c r="AA2015" s="25">
        <v>10</v>
      </c>
      <c r="AB2015" s="27"/>
      <c r="AC2015" s="27"/>
      <c r="AD2015" s="32">
        <v>142</v>
      </c>
      <c r="AE2015" s="27"/>
      <c r="AF2015" s="27"/>
      <c r="AG2015" s="27"/>
      <c r="AH2015" s="27"/>
      <c r="AI2015" s="25">
        <v>534657</v>
      </c>
      <c r="AJ2015" s="25">
        <v>352874</v>
      </c>
      <c r="AK2015" s="25">
        <v>10057</v>
      </c>
      <c r="AL2015" s="25">
        <v>441700</v>
      </c>
      <c r="AM2015" s="25">
        <v>70100</v>
      </c>
      <c r="AN2015" s="25">
        <v>371600</v>
      </c>
      <c r="AO2015" s="25">
        <v>0</v>
      </c>
      <c r="AP2015" s="25">
        <f>Lookups!$B$56*0</f>
        <v>0</v>
      </c>
      <c r="AQ2015" s="25">
        <f>Lookups!$B$56*1</f>
        <v>89850.625589999996</v>
      </c>
      <c r="AR2015" s="25">
        <f>Lookups!$B$57*Inventory[[#This Row],[LnAcres]]</f>
        <v>-40295.239319339329</v>
      </c>
      <c r="AS2015" s="25">
        <f>VLOOKUP(Inventory[[#This Row],[Qlty]],Lookups!$A$62:$E$75,2,FALSE)</f>
        <v>44121.038090000002</v>
      </c>
      <c r="AT2015" s="25">
        <f>VLOOKUP(Inventory[[#This Row],[Cnd]],Lookups!$A$76:$E$84,2,FALSE)</f>
        <v>197752.34721000001</v>
      </c>
      <c r="AU2015" s="25">
        <f>Inventory[[#This Row],[EffAge]]*Lookups!$B$85</f>
        <v>-12490.553628</v>
      </c>
      <c r="AV2015" s="25">
        <f>Inventory[[#This Row],[MainFn]]*Lookups!$B$86</f>
        <v>62452.558724528004</v>
      </c>
      <c r="AW2015" s="25">
        <f>Inventory[[#This Row],[UpprFn]]*Lookups!$B$87</f>
        <v>54460.290198975999</v>
      </c>
      <c r="AX2015" s="25">
        <f>Inventory[[#This Row],[AddFn]]*Lookups!$B$88</f>
        <v>0</v>
      </c>
      <c r="AY2015" s="25">
        <f>Inventory[[#This Row],[Bsmt]]*Lookups!$B$89</f>
        <v>22102.240387719998</v>
      </c>
      <c r="AZ2015" s="25">
        <f>Inventory[[#This Row],[Fixtures]]*Lookups!$B$90</f>
        <v>37920.221052000001</v>
      </c>
      <c r="BA2015" s="25">
        <f>Inventory[[#This Row],[WdDeck]]*Lookups!$B$91</f>
        <v>4727.9631691920004</v>
      </c>
      <c r="BB2015" s="25">
        <f>ROUND(Inventory[[#This Row],[25Det]],-2)</f>
        <v>10100</v>
      </c>
      <c r="BC2015" s="25">
        <f>ROUND(SUM(Inventory[[#This Row],[Mdl Qlty]:[Mdl WdDeck]])+Inventory[[#This Row],[Mdl Res Intercept]],-2)</f>
        <v>411000</v>
      </c>
      <c r="BD2015" s="25">
        <f>ROUND(Inventory[[#This Row],[Mdl Land Intercept]]+Inventory[[#This Row],[Mdl LnAcres]],-2)</f>
        <v>49600</v>
      </c>
      <c r="BE2015" s="25">
        <f>Inventory[[#This Row],[Unadj Res Value]]+Inventory[[#This Row],[Unadj Det Value]]+Inventory[[#This Row],[Unadj Land Value]]</f>
        <v>470700</v>
      </c>
      <c r="BF2015" s="36">
        <f>(Inventory[[#This Row],[Unadj Total Value]]-Inventory[[#This Row],[24Final]])/Inventory[[#This Row],[24Final]]</f>
        <v>6.5655422232284349E-2</v>
      </c>
      <c r="BG2015" s="25">
        <f>VLOOKUP(Inventory[[#This Row],[Nbhd]],Lookups!$Q$2:$T$4,4,FALSE)</f>
        <v>0.99970000000000003</v>
      </c>
      <c r="BH2015" s="25">
        <f>VLOOKUP(Inventory[[#This Row],[Qlty]],Lookups!$O$7:$R$21,4,FALSE)</f>
        <v>0.98050000000000004</v>
      </c>
      <c r="BI2015" s="25">
        <f>VLOOKUP(Inventory[[#This Row],[Cnd]],Lookups!$T$7:$W$16,4,FALSE)</f>
        <v>0.99650000000000005</v>
      </c>
      <c r="BJ2015" s="25">
        <f>VLOOKUP(Inventory[[#This Row],[LivArea Range]],Lookups!$T$25:$W$37,4,FALSE)</f>
        <v>0.96179999999999999</v>
      </c>
      <c r="BK2015" s="25">
        <f>VLOOKUP(Inventory[[#This Row],[Decade]],Lookups!$O$25:$R$42,4,FALSE)</f>
        <v>1.0074000000000001</v>
      </c>
      <c r="BL2015" s="25">
        <f>Inventory[[#This Row],[Nbhd Adj]]*0.95</f>
        <v>0.94971499999999998</v>
      </c>
      <c r="BM2015" s="25">
        <f>Inventory[[#This Row],[Nbhd Adj]]*Inventory[[#This Row],[Quality Adj]]*Inventory[[#This Row],[Condition Adj]]*Inventory[[#This Row],[Living Area Adj]]*Inventory[[#This Row],[Decade Adj]]*0.95</f>
        <v>0.89909362370491519</v>
      </c>
      <c r="BN2015" s="25">
        <f>ROUND(SUM(Inventory[[#This Row],[Mdl Qlty]:[Mdl WdDeck]])+Inventory[[#This Row],[Mdl Res Intercept]]*Inventory[[#This Row],[Res Adj ]],-2)</f>
        <v>411000</v>
      </c>
      <c r="BO2015" s="25">
        <f>ROUND(Inventory[[#This Row],[25Det]]*Inventory[[#This Row],[Det/Nbhd Adj]],-2)</f>
        <v>9600</v>
      </c>
      <c r="BP2015" s="25">
        <f>Inventory[[#This Row],[Adjusted Res]]+Inventory[[#This Row],[Adj Det ]]</f>
        <v>420600</v>
      </c>
      <c r="BQ2015" s="25">
        <f>ROUND((Inventory[[#This Row],[Mdl Land Intercept]]+Inventory[[#This Row],[Mdl LnAcres]])*Inventory[[#This Row],[Det/Nbhd Adj]],-2)</f>
        <v>47100</v>
      </c>
      <c r="BR2015" s="25">
        <f>Inventory[[#This Row],[Adjusted Impr Total]]+Inventory[[#This Row],[Adjusted Land Total]]</f>
        <v>467700</v>
      </c>
      <c r="BS2015" s="36">
        <f>IFERROR((Inventory[[#This Row],[Adjusted Impr Total]]-Inventory[[#This Row],[24Bldg]])/Inventory[[#This Row],[24Bldg]],0)</f>
        <v>0.1318622174381055</v>
      </c>
      <c r="BT2015" s="36">
        <f>(Inventory[[#This Row],[Adjusted Land Total]]-Inventory[[#This Row],[24Lnd]])/Inventory[[#This Row],[24Lnd]]</f>
        <v>-0.32810271041369471</v>
      </c>
      <c r="BU2015" s="36">
        <f>(Inventory[[#This Row],[Adjusted Total]]-Inventory[[#This Row],[24Final]])/Inventory[[#This Row],[24Final]]</f>
        <v>5.8863482001358387E-2</v>
      </c>
    </row>
    <row r="2016" spans="1:73" x14ac:dyDescent="0.3">
      <c r="A2016" s="25">
        <v>2025</v>
      </c>
      <c r="B2016" s="26" t="s">
        <v>2239</v>
      </c>
      <c r="C2016" s="26">
        <f>LN(Inventory[[#This Row],[Acres]])</f>
        <v>-1.8971199848858813</v>
      </c>
      <c r="D2016" s="25">
        <v>0.15</v>
      </c>
      <c r="E2016" s="31"/>
      <c r="F2016" s="26" t="s">
        <v>537</v>
      </c>
      <c r="G2016" s="26" t="s">
        <v>126</v>
      </c>
      <c r="H2016" s="26" t="s">
        <v>349</v>
      </c>
      <c r="I2016" s="26" t="s">
        <v>538</v>
      </c>
      <c r="J2016" s="26" t="s">
        <v>539</v>
      </c>
      <c r="K2016" s="26" t="s">
        <v>269</v>
      </c>
      <c r="L2016" s="26" t="s">
        <v>351</v>
      </c>
      <c r="M2016" s="26" t="s">
        <v>303</v>
      </c>
      <c r="N2016" s="26">
        <v>100</v>
      </c>
      <c r="O2016" s="26">
        <f>2024-Inventory[[#This Row],[YrBlt]]</f>
        <v>99</v>
      </c>
      <c r="P2016" s="26">
        <f>2024-Inventory[[#This Row],[EffYr]]</f>
        <v>56</v>
      </c>
      <c r="Q2016" s="25">
        <v>1925</v>
      </c>
      <c r="R2016" s="25">
        <v>1968</v>
      </c>
      <c r="S2016" s="25">
        <v>1462</v>
      </c>
      <c r="T2016" s="27"/>
      <c r="U2016" s="25">
        <v>910</v>
      </c>
      <c r="V2016" s="25">
        <f>Inventory[[#This Row],[Bsmt]]-Inventory[[#This Row],[FnBsmt]]</f>
        <v>0</v>
      </c>
      <c r="W2016" s="25">
        <v>910</v>
      </c>
      <c r="X2016" s="27"/>
      <c r="Y2016" s="27">
        <f>Inventory[[#This Row],[MainFn]]+Inventory[[#This Row],[UpprFn]]+Inventory[[#This Row],[FnBsmt]]+Inventory[[#This Row],[AddFn]]</f>
        <v>2372</v>
      </c>
      <c r="Z2016" s="27">
        <v>2500</v>
      </c>
      <c r="AA2016" s="25">
        <v>6</v>
      </c>
      <c r="AB2016" s="27"/>
      <c r="AC2016" s="27"/>
      <c r="AD2016" s="27"/>
      <c r="AE2016" s="27"/>
      <c r="AF2016" s="27"/>
      <c r="AG2016" s="27"/>
      <c r="AH2016" s="27"/>
      <c r="AI2016" s="25">
        <v>318987</v>
      </c>
      <c r="AJ2016" s="25">
        <v>210531</v>
      </c>
      <c r="AK2016" s="25">
        <v>14971</v>
      </c>
      <c r="AL2016" s="25">
        <v>350300</v>
      </c>
      <c r="AM2016" s="25">
        <v>48400</v>
      </c>
      <c r="AN2016" s="25">
        <v>301900</v>
      </c>
      <c r="AO2016" s="25">
        <v>0</v>
      </c>
      <c r="AP2016" s="25">
        <f>Lookups!$B$56*0</f>
        <v>0</v>
      </c>
      <c r="AQ2016" s="25">
        <f>Lookups!$B$56*1</f>
        <v>89850.625589999996</v>
      </c>
      <c r="AR2016" s="25">
        <f>Lookups!$B$57*Inventory[[#This Row],[LnAcres]]</f>
        <v>-60052.604136134301</v>
      </c>
      <c r="AS2016" s="25">
        <f>VLOOKUP(Inventory[[#This Row],[Qlty]],Lookups!$A$62:$E$75,2,FALSE)</f>
        <v>21557.329055999999</v>
      </c>
      <c r="AT2016" s="25">
        <f>VLOOKUP(Inventory[[#This Row],[Cnd]],Lookups!$A$76:$E$84,2,FALSE)</f>
        <v>197752.34721000001</v>
      </c>
      <c r="AU2016" s="25">
        <f>Inventory[[#This Row],[EffAge]]*Lookups!$B$85</f>
        <v>-12490.553628</v>
      </c>
      <c r="AV2016" s="25">
        <f>Inventory[[#This Row],[MainFn]]*Lookups!$B$86</f>
        <v>72235.475360174009</v>
      </c>
      <c r="AW2016" s="25">
        <f>Inventory[[#This Row],[UpprFn]]*Lookups!$B$87</f>
        <v>0</v>
      </c>
      <c r="AX2016" s="25">
        <f>Inventory[[#This Row],[AddFn]]*Lookups!$B$88</f>
        <v>0</v>
      </c>
      <c r="AY2016" s="25">
        <f>Inventory[[#This Row],[Bsmt]]*Lookups!$B$89</f>
        <v>26464.52467477</v>
      </c>
      <c r="AZ2016" s="25">
        <f>Inventory[[#This Row],[Fixtures]]*Lookups!$B$90</f>
        <v>22752.132631200002</v>
      </c>
      <c r="BA2016" s="25">
        <f>Inventory[[#This Row],[WdDeck]]*Lookups!$B$91</f>
        <v>0</v>
      </c>
      <c r="BB2016" s="25">
        <f>ROUND(Inventory[[#This Row],[25Det]],-2)</f>
        <v>15000</v>
      </c>
      <c r="BC2016" s="25">
        <f>ROUND(SUM(Inventory[[#This Row],[Mdl Qlty]:[Mdl WdDeck]])+Inventory[[#This Row],[Mdl Res Intercept]],-2)</f>
        <v>328300</v>
      </c>
      <c r="BD2016" s="25">
        <f>ROUND(Inventory[[#This Row],[Mdl Land Intercept]]+Inventory[[#This Row],[Mdl LnAcres]],-2)</f>
        <v>29800</v>
      </c>
      <c r="BE2016" s="25">
        <f>Inventory[[#This Row],[Unadj Res Value]]+Inventory[[#This Row],[Unadj Det Value]]+Inventory[[#This Row],[Unadj Land Value]]</f>
        <v>373100</v>
      </c>
      <c r="BF2016" s="36">
        <f>(Inventory[[#This Row],[Unadj Total Value]]-Inventory[[#This Row],[24Final]])/Inventory[[#This Row],[24Final]]</f>
        <v>6.5087068227233799E-2</v>
      </c>
      <c r="BG2016" s="25">
        <f>VLOOKUP(Inventory[[#This Row],[Nbhd]],Lookups!$Q$2:$T$4,4,FALSE)</f>
        <v>0.99970000000000003</v>
      </c>
      <c r="BH2016" s="25">
        <f>VLOOKUP(Inventory[[#This Row],[Qlty]],Lookups!$O$7:$R$21,4,FALSE)</f>
        <v>1.0067999999999999</v>
      </c>
      <c r="BI2016" s="25">
        <f>VLOOKUP(Inventory[[#This Row],[Cnd]],Lookups!$T$7:$W$16,4,FALSE)</f>
        <v>0.99650000000000005</v>
      </c>
      <c r="BJ2016" s="25">
        <f>VLOOKUP(Inventory[[#This Row],[LivArea Range]],Lookups!$T$25:$W$37,4,FALSE)</f>
        <v>0.98919999999999997</v>
      </c>
      <c r="BK2016" s="25">
        <f>VLOOKUP(Inventory[[#This Row],[Decade]],Lookups!$O$25:$R$42,4,FALSE)</f>
        <v>1.0074000000000001</v>
      </c>
      <c r="BL2016" s="25">
        <f>Inventory[[#This Row],[Nbhd Adj]]*0.95</f>
        <v>0.94971499999999998</v>
      </c>
      <c r="BM2016" s="25">
        <f>Inventory[[#This Row],[Nbhd Adj]]*Inventory[[#This Row],[Quality Adj]]*Inventory[[#This Row],[Condition Adj]]*Inventory[[#This Row],[Living Area Adj]]*Inventory[[#This Row],[Decade Adj]]*0.95</f>
        <v>0.94951069644125163</v>
      </c>
      <c r="BN2016" s="25">
        <f>ROUND(SUM(Inventory[[#This Row],[Mdl Qlty]:[Mdl WdDeck]])+Inventory[[#This Row],[Mdl Res Intercept]]*Inventory[[#This Row],[Res Adj ]],-2)</f>
        <v>328300</v>
      </c>
      <c r="BO2016" s="25">
        <f>ROUND(Inventory[[#This Row],[25Det]]*Inventory[[#This Row],[Det/Nbhd Adj]],-2)</f>
        <v>14200</v>
      </c>
      <c r="BP2016" s="25">
        <f>Inventory[[#This Row],[Adjusted Res]]+Inventory[[#This Row],[Adj Det ]]</f>
        <v>342500</v>
      </c>
      <c r="BQ2016" s="25">
        <f>ROUND((Inventory[[#This Row],[Mdl Land Intercept]]+Inventory[[#This Row],[Mdl LnAcres]])*Inventory[[#This Row],[Det/Nbhd Adj]],-2)</f>
        <v>28300</v>
      </c>
      <c r="BR2016" s="25">
        <f>Inventory[[#This Row],[Adjusted Impr Total]]+Inventory[[#This Row],[Adjusted Land Total]]</f>
        <v>370800</v>
      </c>
      <c r="BS2016" s="36">
        <f>IFERROR((Inventory[[#This Row],[Adjusted Impr Total]]-Inventory[[#This Row],[24Bldg]])/Inventory[[#This Row],[24Bldg]],0)</f>
        <v>0.13448161642928122</v>
      </c>
      <c r="BT2016" s="36">
        <f>(Inventory[[#This Row],[Adjusted Land Total]]-Inventory[[#This Row],[24Lnd]])/Inventory[[#This Row],[24Lnd]]</f>
        <v>-0.41528925619834711</v>
      </c>
      <c r="BU2016" s="36">
        <f>(Inventory[[#This Row],[Adjusted Total]]-Inventory[[#This Row],[24Final]])/Inventory[[#This Row],[24Final]]</f>
        <v>5.8521267485012844E-2</v>
      </c>
    </row>
    <row r="2017" spans="1:73" x14ac:dyDescent="0.3">
      <c r="A2017" s="25">
        <v>2025</v>
      </c>
      <c r="B2017" s="26" t="s">
        <v>2552</v>
      </c>
      <c r="C2017" s="26">
        <f>LN(Inventory[[#This Row],[Acres]])</f>
        <v>-1.8971199848858813</v>
      </c>
      <c r="D2017" s="25">
        <v>0.15</v>
      </c>
      <c r="E2017" s="25">
        <v>6500</v>
      </c>
      <c r="F2017" s="26" t="s">
        <v>537</v>
      </c>
      <c r="G2017" s="26" t="s">
        <v>126</v>
      </c>
      <c r="H2017" s="26" t="s">
        <v>349</v>
      </c>
      <c r="I2017" s="26" t="s">
        <v>538</v>
      </c>
      <c r="J2017" s="26" t="s">
        <v>539</v>
      </c>
      <c r="K2017" s="26" t="s">
        <v>269</v>
      </c>
      <c r="L2017" s="26" t="s">
        <v>351</v>
      </c>
      <c r="M2017" s="26" t="s">
        <v>303</v>
      </c>
      <c r="N2017" s="26">
        <v>100</v>
      </c>
      <c r="O2017" s="26">
        <f>2024-Inventory[[#This Row],[YrBlt]]</f>
        <v>99</v>
      </c>
      <c r="P2017" s="26">
        <f>2024-Inventory[[#This Row],[EffYr]]</f>
        <v>56</v>
      </c>
      <c r="Q2017" s="25">
        <v>1925</v>
      </c>
      <c r="R2017" s="25">
        <v>1968</v>
      </c>
      <c r="S2017" s="25">
        <v>906</v>
      </c>
      <c r="T2017" s="27"/>
      <c r="U2017" s="25">
        <v>896</v>
      </c>
      <c r="V2017" s="25">
        <f>Inventory[[#This Row],[Bsmt]]-Inventory[[#This Row],[FnBsmt]]</f>
        <v>0</v>
      </c>
      <c r="W2017" s="25">
        <v>896</v>
      </c>
      <c r="X2017" s="27"/>
      <c r="Y2017" s="27">
        <f>Inventory[[#This Row],[MainFn]]+Inventory[[#This Row],[UpprFn]]+Inventory[[#This Row],[FnBsmt]]+Inventory[[#This Row],[AddFn]]</f>
        <v>1802</v>
      </c>
      <c r="Z2017" s="27">
        <v>2000</v>
      </c>
      <c r="AA2017" s="25">
        <v>5</v>
      </c>
      <c r="AB2017" s="31"/>
      <c r="AC2017" s="27"/>
      <c r="AD2017" s="27"/>
      <c r="AE2017" s="27"/>
      <c r="AF2017" s="27"/>
      <c r="AG2017" s="27"/>
      <c r="AH2017" s="27"/>
      <c r="AI2017" s="25">
        <v>229217</v>
      </c>
      <c r="AJ2017" s="25">
        <v>151283</v>
      </c>
      <c r="AK2017" s="25">
        <v>7465</v>
      </c>
      <c r="AL2017" s="25">
        <v>313800</v>
      </c>
      <c r="AM2017" s="25">
        <v>48400</v>
      </c>
      <c r="AN2017" s="25">
        <v>265400</v>
      </c>
      <c r="AO2017" s="25">
        <v>0</v>
      </c>
      <c r="AP2017" s="25">
        <f>Lookups!$B$56*0</f>
        <v>0</v>
      </c>
      <c r="AQ2017" s="25">
        <f>Lookups!$B$56*1</f>
        <v>89850.625589999996</v>
      </c>
      <c r="AR2017" s="25">
        <f>Lookups!$B$57*Inventory[[#This Row],[LnAcres]]</f>
        <v>-60052.604136134301</v>
      </c>
      <c r="AS2017" s="25">
        <f>VLOOKUP(Inventory[[#This Row],[Qlty]],Lookups!$A$62:$E$75,2,FALSE)</f>
        <v>21557.329055999999</v>
      </c>
      <c r="AT2017" s="25">
        <f>VLOOKUP(Inventory[[#This Row],[Cnd]],Lookups!$A$76:$E$84,2,FALSE)</f>
        <v>197752.34721000001</v>
      </c>
      <c r="AU2017" s="25">
        <f>Inventory[[#This Row],[EffAge]]*Lookups!$B$85</f>
        <v>-12490.553628</v>
      </c>
      <c r="AV2017" s="25">
        <f>Inventory[[#This Row],[MainFn]]*Lookups!$B$86</f>
        <v>44764.254908561998</v>
      </c>
      <c r="AW2017" s="25">
        <f>Inventory[[#This Row],[UpprFn]]*Lookups!$B$87</f>
        <v>0</v>
      </c>
      <c r="AX2017" s="25">
        <f>Inventory[[#This Row],[AddFn]]*Lookups!$B$88</f>
        <v>0</v>
      </c>
      <c r="AY2017" s="25">
        <f>Inventory[[#This Row],[Bsmt]]*Lookups!$B$89</f>
        <v>26057.378141311998</v>
      </c>
      <c r="AZ2017" s="25">
        <f>Inventory[[#This Row],[Fixtures]]*Lookups!$B$90</f>
        <v>18960.110526</v>
      </c>
      <c r="BA2017" s="25">
        <f>Inventory[[#This Row],[WdDeck]]*Lookups!$B$91</f>
        <v>0</v>
      </c>
      <c r="BB2017" s="25">
        <f>ROUND(Inventory[[#This Row],[25Det]],-2)</f>
        <v>7500</v>
      </c>
      <c r="BC2017" s="25">
        <f>ROUND(SUM(Inventory[[#This Row],[Mdl Qlty]:[Mdl WdDeck]])+Inventory[[#This Row],[Mdl Res Intercept]],-2)</f>
        <v>296600</v>
      </c>
      <c r="BD2017" s="25">
        <f>ROUND(Inventory[[#This Row],[Mdl Land Intercept]]+Inventory[[#This Row],[Mdl LnAcres]],-2)</f>
        <v>29800</v>
      </c>
      <c r="BE2017" s="25">
        <f>Inventory[[#This Row],[Unadj Res Value]]+Inventory[[#This Row],[Unadj Det Value]]+Inventory[[#This Row],[Unadj Land Value]]</f>
        <v>333900</v>
      </c>
      <c r="BF2017" s="36">
        <f>(Inventory[[#This Row],[Unadj Total Value]]-Inventory[[#This Row],[24Final]])/Inventory[[#This Row],[24Final]]</f>
        <v>6.4053537284894838E-2</v>
      </c>
      <c r="BG2017" s="25">
        <f>VLOOKUP(Inventory[[#This Row],[Nbhd]],Lookups!$Q$2:$T$4,4,FALSE)</f>
        <v>0.99970000000000003</v>
      </c>
      <c r="BH2017" s="25">
        <f>VLOOKUP(Inventory[[#This Row],[Qlty]],Lookups!$O$7:$R$21,4,FALSE)</f>
        <v>1.0067999999999999</v>
      </c>
      <c r="BI2017" s="25">
        <f>VLOOKUP(Inventory[[#This Row],[Cnd]],Lookups!$T$7:$W$16,4,FALSE)</f>
        <v>0.99650000000000005</v>
      </c>
      <c r="BJ2017" s="25">
        <f>VLOOKUP(Inventory[[#This Row],[LivArea Range]],Lookups!$T$25:$W$37,4,FALSE)</f>
        <v>1.0093000000000001</v>
      </c>
      <c r="BK2017" s="25">
        <f>VLOOKUP(Inventory[[#This Row],[Decade]],Lookups!$O$25:$R$42,4,FALSE)</f>
        <v>1.0074000000000001</v>
      </c>
      <c r="BL2017" s="25">
        <f>Inventory[[#This Row],[Nbhd Adj]]*0.95</f>
        <v>0.94971499999999998</v>
      </c>
      <c r="BM2017" s="25">
        <f>Inventory[[#This Row],[Nbhd Adj]]*Inventory[[#This Row],[Quality Adj]]*Inventory[[#This Row],[Condition Adj]]*Inventory[[#This Row],[Living Area Adj]]*Inventory[[#This Row],[Decade Adj]]*0.95</f>
        <v>0.96880423161964746</v>
      </c>
      <c r="BN2017" s="25">
        <f>ROUND(SUM(Inventory[[#This Row],[Mdl Qlty]:[Mdl WdDeck]])+Inventory[[#This Row],[Mdl Res Intercept]]*Inventory[[#This Row],[Res Adj ]],-2)</f>
        <v>296600</v>
      </c>
      <c r="BO2017" s="25">
        <f>ROUND(Inventory[[#This Row],[25Det]]*Inventory[[#This Row],[Det/Nbhd Adj]],-2)</f>
        <v>7100</v>
      </c>
      <c r="BP2017" s="25">
        <f>Inventory[[#This Row],[Adjusted Res]]+Inventory[[#This Row],[Adj Det ]]</f>
        <v>303700</v>
      </c>
      <c r="BQ2017" s="25">
        <f>ROUND((Inventory[[#This Row],[Mdl Land Intercept]]+Inventory[[#This Row],[Mdl LnAcres]])*Inventory[[#This Row],[Det/Nbhd Adj]],-2)</f>
        <v>28300</v>
      </c>
      <c r="BR2017" s="25">
        <f>Inventory[[#This Row],[Adjusted Impr Total]]+Inventory[[#This Row],[Adjusted Land Total]]</f>
        <v>332000</v>
      </c>
      <c r="BS2017" s="36">
        <f>IFERROR((Inventory[[#This Row],[Adjusted Impr Total]]-Inventory[[#This Row],[24Bldg]])/Inventory[[#This Row],[24Bldg]],0)</f>
        <v>0.14431047475508665</v>
      </c>
      <c r="BT2017" s="36">
        <f>(Inventory[[#This Row],[Adjusted Land Total]]-Inventory[[#This Row],[24Lnd]])/Inventory[[#This Row],[24Lnd]]</f>
        <v>-0.41528925619834711</v>
      </c>
      <c r="BU2017" s="36">
        <f>(Inventory[[#This Row],[Adjusted Total]]-Inventory[[#This Row],[24Final]])/Inventory[[#This Row],[24Final]]</f>
        <v>5.7998725302740597E-2</v>
      </c>
    </row>
    <row r="2018" spans="1:73" x14ac:dyDescent="0.3">
      <c r="A2018" s="25">
        <v>2025</v>
      </c>
      <c r="B2018" s="26" t="s">
        <v>835</v>
      </c>
      <c r="C2018" s="26">
        <f>LN(Inventory[[#This Row],[Acres]])</f>
        <v>-1.6607312068216509</v>
      </c>
      <c r="D2018" s="25">
        <v>0.19</v>
      </c>
      <c r="E2018" s="32">
        <v>8086</v>
      </c>
      <c r="F2018" s="26" t="s">
        <v>537</v>
      </c>
      <c r="G2018" s="26" t="s">
        <v>126</v>
      </c>
      <c r="H2018" s="26" t="s">
        <v>349</v>
      </c>
      <c r="I2018" s="26" t="s">
        <v>538</v>
      </c>
      <c r="J2018" s="26" t="s">
        <v>539</v>
      </c>
      <c r="K2018" s="26" t="s">
        <v>269</v>
      </c>
      <c r="L2018" s="26" t="s">
        <v>205</v>
      </c>
      <c r="M2018" s="26" t="s">
        <v>303</v>
      </c>
      <c r="N2018" s="26">
        <v>100</v>
      </c>
      <c r="O2018" s="26">
        <f>2024-Inventory[[#This Row],[YrBlt]]</f>
        <v>99</v>
      </c>
      <c r="P2018" s="26">
        <f>2024-Inventory[[#This Row],[EffYr]]</f>
        <v>56</v>
      </c>
      <c r="Q2018" s="25">
        <v>1925</v>
      </c>
      <c r="R2018" s="25">
        <v>1968</v>
      </c>
      <c r="S2018" s="25">
        <v>1066</v>
      </c>
      <c r="T2018" s="32">
        <v>785</v>
      </c>
      <c r="U2018" s="25">
        <v>1040</v>
      </c>
      <c r="V2018" s="25">
        <f>Inventory[[#This Row],[Bsmt]]-Inventory[[#This Row],[FnBsmt]]</f>
        <v>780</v>
      </c>
      <c r="W2018" s="25">
        <v>260</v>
      </c>
      <c r="X2018" s="27"/>
      <c r="Y2018" s="27">
        <f>Inventory[[#This Row],[MainFn]]+Inventory[[#This Row],[UpprFn]]+Inventory[[#This Row],[FnBsmt]]+Inventory[[#This Row],[AddFn]]</f>
        <v>2111</v>
      </c>
      <c r="Z2018" s="27">
        <v>2500</v>
      </c>
      <c r="AA2018" s="25">
        <v>7</v>
      </c>
      <c r="AB2018" s="27"/>
      <c r="AC2018" s="27"/>
      <c r="AD2018" s="27"/>
      <c r="AE2018" s="27"/>
      <c r="AF2018" s="27"/>
      <c r="AG2018" s="27"/>
      <c r="AH2018" s="27"/>
      <c r="AI2018" s="25">
        <v>311463</v>
      </c>
      <c r="AJ2018" s="25">
        <v>205566</v>
      </c>
      <c r="AK2018" s="25">
        <v>5605</v>
      </c>
      <c r="AL2018" s="25">
        <v>350400</v>
      </c>
      <c r="AM2018" s="25">
        <v>56600</v>
      </c>
      <c r="AN2018" s="25">
        <v>293800</v>
      </c>
      <c r="AO2018" s="25">
        <v>0</v>
      </c>
      <c r="AP2018" s="25">
        <f>Lookups!$B$56*0</f>
        <v>0</v>
      </c>
      <c r="AQ2018" s="25">
        <f>Lookups!$B$56*1</f>
        <v>89850.625589999996</v>
      </c>
      <c r="AR2018" s="25">
        <f>Lookups!$B$57*Inventory[[#This Row],[LnAcres]]</f>
        <v>-52569.808201026557</v>
      </c>
      <c r="AS2018" s="25">
        <f>VLOOKUP(Inventory[[#This Row],[Qlty]],Lookups!$A$62:$E$75,2,FALSE)</f>
        <v>0</v>
      </c>
      <c r="AT2018" s="25">
        <f>VLOOKUP(Inventory[[#This Row],[Cnd]],Lookups!$A$76:$E$84,2,FALSE)</f>
        <v>197752.34721000001</v>
      </c>
      <c r="AU2018" s="25">
        <f>Inventory[[#This Row],[EffAge]]*Lookups!$B$85</f>
        <v>-12490.553628</v>
      </c>
      <c r="AV2018" s="25">
        <f>Inventory[[#This Row],[MainFn]]*Lookups!$B$86</f>
        <v>52669.642088881999</v>
      </c>
      <c r="AW2018" s="25">
        <f>Inventory[[#This Row],[UpprFn]]*Lookups!$B$87</f>
        <v>35157.341945884997</v>
      </c>
      <c r="AX2018" s="25">
        <f>Inventory[[#This Row],[AddFn]]*Lookups!$B$88</f>
        <v>0</v>
      </c>
      <c r="AY2018" s="25">
        <f>Inventory[[#This Row],[Bsmt]]*Lookups!$B$89</f>
        <v>30245.171056879997</v>
      </c>
      <c r="AZ2018" s="25">
        <f>Inventory[[#This Row],[Fixtures]]*Lookups!$B$90</f>
        <v>26544.1547364</v>
      </c>
      <c r="BA2018" s="25">
        <f>Inventory[[#This Row],[WdDeck]]*Lookups!$B$91</f>
        <v>0</v>
      </c>
      <c r="BB2018" s="25">
        <f>ROUND(Inventory[[#This Row],[25Det]],-2)</f>
        <v>5600</v>
      </c>
      <c r="BC2018" s="25">
        <f>ROUND(SUM(Inventory[[#This Row],[Mdl Qlty]:[Mdl WdDeck]])+Inventory[[#This Row],[Mdl Res Intercept]],-2)</f>
        <v>329900</v>
      </c>
      <c r="BD2018" s="25">
        <f>ROUND(Inventory[[#This Row],[Mdl Land Intercept]]+Inventory[[#This Row],[Mdl LnAcres]],-2)</f>
        <v>37300</v>
      </c>
      <c r="BE2018" s="25">
        <f>Inventory[[#This Row],[Unadj Res Value]]+Inventory[[#This Row],[Unadj Det Value]]+Inventory[[#This Row],[Unadj Land Value]]</f>
        <v>372800</v>
      </c>
      <c r="BF2018" s="36">
        <f>(Inventory[[#This Row],[Unadj Total Value]]-Inventory[[#This Row],[24Final]])/Inventory[[#This Row],[24Final]]</f>
        <v>6.3926940639269403E-2</v>
      </c>
      <c r="BG2018" s="25">
        <f>VLOOKUP(Inventory[[#This Row],[Nbhd]],Lookups!$Q$2:$T$4,4,FALSE)</f>
        <v>0.99970000000000003</v>
      </c>
      <c r="BH2018" s="25">
        <f>VLOOKUP(Inventory[[#This Row],[Qlty]],Lookups!$O$7:$R$21,4,FALSE)</f>
        <v>0.99180000000000001</v>
      </c>
      <c r="BI2018" s="25">
        <f>VLOOKUP(Inventory[[#This Row],[Cnd]],Lookups!$T$7:$W$16,4,FALSE)</f>
        <v>0.99650000000000005</v>
      </c>
      <c r="BJ2018" s="25">
        <f>VLOOKUP(Inventory[[#This Row],[LivArea Range]],Lookups!$T$25:$W$37,4,FALSE)</f>
        <v>0.98919999999999997</v>
      </c>
      <c r="BK2018" s="25">
        <f>VLOOKUP(Inventory[[#This Row],[Decade]],Lookups!$O$25:$R$42,4,FALSE)</f>
        <v>1.0074000000000001</v>
      </c>
      <c r="BL2018" s="25">
        <f>Inventory[[#This Row],[Nbhd Adj]]*0.95</f>
        <v>0.94971499999999998</v>
      </c>
      <c r="BM2018" s="25">
        <f>Inventory[[#This Row],[Nbhd Adj]]*Inventory[[#This Row],[Quality Adj]]*Inventory[[#This Row],[Condition Adj]]*Inventory[[#This Row],[Living Area Adj]]*Inventory[[#This Row],[Decade Adj]]*0.95</f>
        <v>0.9353642319531521</v>
      </c>
      <c r="BN2018" s="25">
        <f>ROUND(SUM(Inventory[[#This Row],[Mdl Qlty]:[Mdl WdDeck]])+Inventory[[#This Row],[Mdl Res Intercept]]*Inventory[[#This Row],[Res Adj ]],-2)</f>
        <v>329900</v>
      </c>
      <c r="BO2018" s="25">
        <f>ROUND(Inventory[[#This Row],[25Det]]*Inventory[[#This Row],[Det/Nbhd Adj]],-2)</f>
        <v>5300</v>
      </c>
      <c r="BP2018" s="25">
        <f>Inventory[[#This Row],[Adjusted Res]]+Inventory[[#This Row],[Adj Det ]]</f>
        <v>335200</v>
      </c>
      <c r="BQ2018" s="25">
        <f>ROUND((Inventory[[#This Row],[Mdl Land Intercept]]+Inventory[[#This Row],[Mdl LnAcres]])*Inventory[[#This Row],[Det/Nbhd Adj]],-2)</f>
        <v>35400</v>
      </c>
      <c r="BR2018" s="25">
        <f>Inventory[[#This Row],[Adjusted Impr Total]]+Inventory[[#This Row],[Adjusted Land Total]]</f>
        <v>370600</v>
      </c>
      <c r="BS2018" s="36">
        <f>IFERROR((Inventory[[#This Row],[Adjusted Impr Total]]-Inventory[[#This Row],[24Bldg]])/Inventory[[#This Row],[24Bldg]],0)</f>
        <v>0.14091218515997278</v>
      </c>
      <c r="BT2018" s="36">
        <f>(Inventory[[#This Row],[Adjusted Land Total]]-Inventory[[#This Row],[24Lnd]])/Inventory[[#This Row],[24Lnd]]</f>
        <v>-0.37455830388692579</v>
      </c>
      <c r="BU2018" s="36">
        <f>(Inventory[[#This Row],[Adjusted Total]]-Inventory[[#This Row],[24Final]])/Inventory[[#This Row],[24Final]]</f>
        <v>5.7648401826484015E-2</v>
      </c>
    </row>
    <row r="2019" spans="1:73" x14ac:dyDescent="0.3">
      <c r="A2019" s="25">
        <v>2025</v>
      </c>
      <c r="B2019" s="26" t="s">
        <v>2821</v>
      </c>
      <c r="C2019" s="26">
        <f>LN(Inventory[[#This Row],[Acres]])</f>
        <v>-1.7719568419318752</v>
      </c>
      <c r="D2019" s="25">
        <v>0.17</v>
      </c>
      <c r="E2019" s="32">
        <v>7194</v>
      </c>
      <c r="F2019" s="26" t="s">
        <v>537</v>
      </c>
      <c r="G2019" s="26" t="s">
        <v>126</v>
      </c>
      <c r="H2019" s="26" t="s">
        <v>349</v>
      </c>
      <c r="I2019" s="26" t="s">
        <v>538</v>
      </c>
      <c r="J2019" s="26" t="s">
        <v>539</v>
      </c>
      <c r="K2019" s="26" t="s">
        <v>147</v>
      </c>
      <c r="L2019" s="26" t="s">
        <v>148</v>
      </c>
      <c r="M2019" s="26" t="s">
        <v>303</v>
      </c>
      <c r="N2019" s="26">
        <v>100</v>
      </c>
      <c r="O2019" s="26">
        <f>2024-Inventory[[#This Row],[YrBlt]]</f>
        <v>99</v>
      </c>
      <c r="P2019" s="26">
        <f>2024-Inventory[[#This Row],[EffYr]]</f>
        <v>56</v>
      </c>
      <c r="Q2019" s="25">
        <v>1925</v>
      </c>
      <c r="R2019" s="25">
        <v>1968</v>
      </c>
      <c r="S2019" s="25">
        <v>1116</v>
      </c>
      <c r="T2019" s="25">
        <v>300</v>
      </c>
      <c r="U2019" s="25">
        <v>837</v>
      </c>
      <c r="V2019" s="25">
        <f>Inventory[[#This Row],[Bsmt]]-Inventory[[#This Row],[FnBsmt]]</f>
        <v>0</v>
      </c>
      <c r="W2019" s="25">
        <v>837</v>
      </c>
      <c r="X2019" s="27"/>
      <c r="Y2019" s="27">
        <f>Inventory[[#This Row],[MainFn]]+Inventory[[#This Row],[UpprFn]]+Inventory[[#This Row],[FnBsmt]]+Inventory[[#This Row],[AddFn]]</f>
        <v>2253</v>
      </c>
      <c r="Z2019" s="27">
        <v>2500</v>
      </c>
      <c r="AA2019" s="25">
        <v>12</v>
      </c>
      <c r="AB2019" s="27"/>
      <c r="AC2019" s="27"/>
      <c r="AD2019" s="27"/>
      <c r="AE2019" s="27"/>
      <c r="AF2019" s="27"/>
      <c r="AG2019" s="27"/>
      <c r="AH2019" s="27"/>
      <c r="AI2019" s="25">
        <v>407387</v>
      </c>
      <c r="AJ2019" s="25">
        <v>268875</v>
      </c>
      <c r="AK2019" s="25">
        <v>7161</v>
      </c>
      <c r="AL2019" s="25">
        <v>384600</v>
      </c>
      <c r="AM2019" s="25">
        <v>52700</v>
      </c>
      <c r="AN2019" s="25">
        <v>331900</v>
      </c>
      <c r="AO2019" s="25">
        <v>0</v>
      </c>
      <c r="AP2019" s="25">
        <f>Lookups!$B$56*0</f>
        <v>0</v>
      </c>
      <c r="AQ2019" s="25">
        <f>Lookups!$B$56*1</f>
        <v>89850.625589999996</v>
      </c>
      <c r="AR2019" s="25">
        <f>Lookups!$B$57*Inventory[[#This Row],[LnAcres]]</f>
        <v>-56090.612940989391</v>
      </c>
      <c r="AS2019" s="25">
        <f>VLOOKUP(Inventory[[#This Row],[Qlty]],Lookups!$A$62:$E$75,2,FALSE)</f>
        <v>44121.038090000002</v>
      </c>
      <c r="AT2019" s="25">
        <f>VLOOKUP(Inventory[[#This Row],[Cnd]],Lookups!$A$76:$E$84,2,FALSE)</f>
        <v>197752.34721000001</v>
      </c>
      <c r="AU2019" s="25">
        <f>Inventory[[#This Row],[EffAge]]*Lookups!$B$85</f>
        <v>-12490.553628</v>
      </c>
      <c r="AV2019" s="25">
        <f>Inventory[[#This Row],[MainFn]]*Lookups!$B$86</f>
        <v>55140.075582732003</v>
      </c>
      <c r="AW2019" s="25">
        <f>Inventory[[#This Row],[UpprFn]]*Lookups!$B$87</f>
        <v>13435.926858299999</v>
      </c>
      <c r="AX2019" s="25">
        <f>Inventory[[#This Row],[AddFn]]*Lookups!$B$88</f>
        <v>0</v>
      </c>
      <c r="AY2019" s="25">
        <f>Inventory[[#This Row],[Bsmt]]*Lookups!$B$89</f>
        <v>24341.546321738999</v>
      </c>
      <c r="AZ2019" s="25">
        <f>Inventory[[#This Row],[Fixtures]]*Lookups!$B$90</f>
        <v>45504.265262400004</v>
      </c>
      <c r="BA2019" s="25">
        <f>Inventory[[#This Row],[WdDeck]]*Lookups!$B$91</f>
        <v>0</v>
      </c>
      <c r="BB2019" s="25">
        <f>ROUND(Inventory[[#This Row],[25Det]],-2)</f>
        <v>7200</v>
      </c>
      <c r="BC2019" s="25">
        <f>ROUND(SUM(Inventory[[#This Row],[Mdl Qlty]:[Mdl WdDeck]])+Inventory[[#This Row],[Mdl Res Intercept]],-2)</f>
        <v>367800</v>
      </c>
      <c r="BD2019" s="25">
        <f>ROUND(Inventory[[#This Row],[Mdl Land Intercept]]+Inventory[[#This Row],[Mdl LnAcres]],-2)</f>
        <v>33800</v>
      </c>
      <c r="BE2019" s="25">
        <f>Inventory[[#This Row],[Unadj Res Value]]+Inventory[[#This Row],[Unadj Det Value]]+Inventory[[#This Row],[Unadj Land Value]]</f>
        <v>408800</v>
      </c>
      <c r="BF2019" s="36">
        <f>(Inventory[[#This Row],[Unadj Total Value]]-Inventory[[#This Row],[24Final]])/Inventory[[#This Row],[24Final]]</f>
        <v>6.2922516900676032E-2</v>
      </c>
      <c r="BG2019" s="25">
        <f>VLOOKUP(Inventory[[#This Row],[Nbhd]],Lookups!$Q$2:$T$4,4,FALSE)</f>
        <v>0.99970000000000003</v>
      </c>
      <c r="BH2019" s="25">
        <f>VLOOKUP(Inventory[[#This Row],[Qlty]],Lookups!$O$7:$R$21,4,FALSE)</f>
        <v>0.98050000000000004</v>
      </c>
      <c r="BI2019" s="25">
        <f>VLOOKUP(Inventory[[#This Row],[Cnd]],Lookups!$T$7:$W$16,4,FALSE)</f>
        <v>0.99650000000000005</v>
      </c>
      <c r="BJ2019" s="25">
        <f>VLOOKUP(Inventory[[#This Row],[LivArea Range]],Lookups!$T$25:$W$37,4,FALSE)</f>
        <v>0.98919999999999997</v>
      </c>
      <c r="BK2019" s="25">
        <f>VLOOKUP(Inventory[[#This Row],[Decade]],Lookups!$O$25:$R$42,4,FALSE)</f>
        <v>1.0074000000000001</v>
      </c>
      <c r="BL2019" s="25">
        <f>Inventory[[#This Row],[Nbhd Adj]]*0.95</f>
        <v>0.94971499999999998</v>
      </c>
      <c r="BM2019" s="25">
        <f>Inventory[[#This Row],[Nbhd Adj]]*Inventory[[#This Row],[Quality Adj]]*Inventory[[#This Row],[Condition Adj]]*Inventory[[#This Row],[Living Area Adj]]*Inventory[[#This Row],[Decade Adj]]*0.95</f>
        <v>0.9247072287054503</v>
      </c>
      <c r="BN2019" s="25">
        <f>ROUND(SUM(Inventory[[#This Row],[Mdl Qlty]:[Mdl WdDeck]])+Inventory[[#This Row],[Mdl Res Intercept]]*Inventory[[#This Row],[Res Adj ]],-2)</f>
        <v>367800</v>
      </c>
      <c r="BO2019" s="25">
        <f>ROUND(Inventory[[#This Row],[25Det]]*Inventory[[#This Row],[Det/Nbhd Adj]],-2)</f>
        <v>6800</v>
      </c>
      <c r="BP2019" s="25">
        <f>Inventory[[#This Row],[Adjusted Res]]+Inventory[[#This Row],[Adj Det ]]</f>
        <v>374600</v>
      </c>
      <c r="BQ2019" s="25">
        <f>ROUND((Inventory[[#This Row],[Mdl Land Intercept]]+Inventory[[#This Row],[Mdl LnAcres]])*Inventory[[#This Row],[Det/Nbhd Adj]],-2)</f>
        <v>32100</v>
      </c>
      <c r="BR2019" s="25">
        <f>Inventory[[#This Row],[Adjusted Impr Total]]+Inventory[[#This Row],[Adjusted Land Total]]</f>
        <v>406700</v>
      </c>
      <c r="BS2019" s="36">
        <f>IFERROR((Inventory[[#This Row],[Adjusted Impr Total]]-Inventory[[#This Row],[24Bldg]])/Inventory[[#This Row],[24Bldg]],0)</f>
        <v>0.12865320879783068</v>
      </c>
      <c r="BT2019" s="36">
        <f>(Inventory[[#This Row],[Adjusted Land Total]]-Inventory[[#This Row],[24Lnd]])/Inventory[[#This Row],[24Lnd]]</f>
        <v>-0.39089184060721061</v>
      </c>
      <c r="BU2019" s="36">
        <f>(Inventory[[#This Row],[Adjusted Total]]-Inventory[[#This Row],[24Final]])/Inventory[[#This Row],[24Final]]</f>
        <v>5.7462298491939678E-2</v>
      </c>
    </row>
    <row r="2020" spans="1:73" x14ac:dyDescent="0.3">
      <c r="A2020" s="25">
        <v>2025</v>
      </c>
      <c r="B2020" s="26" t="s">
        <v>2181</v>
      </c>
      <c r="C2020" s="26">
        <f>LN(Inventory[[#This Row],[Acres]])</f>
        <v>-1.8971199848858813</v>
      </c>
      <c r="D2020" s="25">
        <v>0.15</v>
      </c>
      <c r="E2020" s="32">
        <v>6719</v>
      </c>
      <c r="F2020" s="26" t="s">
        <v>537</v>
      </c>
      <c r="G2020" s="26" t="s">
        <v>126</v>
      </c>
      <c r="H2020" s="26" t="s">
        <v>349</v>
      </c>
      <c r="I2020" s="26" t="s">
        <v>538</v>
      </c>
      <c r="J2020" s="26" t="s">
        <v>539</v>
      </c>
      <c r="K2020" s="26" t="s">
        <v>269</v>
      </c>
      <c r="L2020" s="26" t="s">
        <v>302</v>
      </c>
      <c r="M2020" s="26" t="s">
        <v>303</v>
      </c>
      <c r="N2020" s="26">
        <v>100</v>
      </c>
      <c r="O2020" s="26">
        <f>2024-Inventory[[#This Row],[YrBlt]]</f>
        <v>99</v>
      </c>
      <c r="P2020" s="26">
        <f>2024-Inventory[[#This Row],[EffYr]]</f>
        <v>56</v>
      </c>
      <c r="Q2020" s="25">
        <v>1925</v>
      </c>
      <c r="R2020" s="25">
        <v>1968</v>
      </c>
      <c r="S2020" s="25">
        <v>1095</v>
      </c>
      <c r="T2020" s="27"/>
      <c r="U2020" s="25">
        <v>1000</v>
      </c>
      <c r="V2020" s="25">
        <f>Inventory[[#This Row],[Bsmt]]-Inventory[[#This Row],[FnBsmt]]</f>
        <v>0</v>
      </c>
      <c r="W2020" s="25">
        <v>1000</v>
      </c>
      <c r="X2020" s="27"/>
      <c r="Y2020" s="27">
        <f>Inventory[[#This Row],[MainFn]]+Inventory[[#This Row],[UpprFn]]+Inventory[[#This Row],[FnBsmt]]+Inventory[[#This Row],[AddFn]]</f>
        <v>2095</v>
      </c>
      <c r="Z2020" s="27">
        <v>2500</v>
      </c>
      <c r="AA2020" s="25">
        <v>9</v>
      </c>
      <c r="AB2020" s="27"/>
      <c r="AC2020" s="27"/>
      <c r="AD2020" s="27"/>
      <c r="AE2020" s="27"/>
      <c r="AF2020" s="27"/>
      <c r="AG2020" s="27"/>
      <c r="AH2020" s="27"/>
      <c r="AI2020" s="25">
        <v>312649</v>
      </c>
      <c r="AJ2020" s="25">
        <v>206348</v>
      </c>
      <c r="AK2020" s="25">
        <v>6357</v>
      </c>
      <c r="AL2020" s="25">
        <v>346900</v>
      </c>
      <c r="AM2020" s="25">
        <v>48400</v>
      </c>
      <c r="AN2020" s="25">
        <v>298500</v>
      </c>
      <c r="AO2020" s="25">
        <v>0</v>
      </c>
      <c r="AP2020" s="25">
        <f>Lookups!$B$56*0</f>
        <v>0</v>
      </c>
      <c r="AQ2020" s="25">
        <f>Lookups!$B$56*1</f>
        <v>89850.625589999996</v>
      </c>
      <c r="AR2020" s="25">
        <f>Lookups!$B$57*Inventory[[#This Row],[LnAcres]]</f>
        <v>-60052.604136134301</v>
      </c>
      <c r="AS2020" s="25">
        <f>VLOOKUP(Inventory[[#This Row],[Qlty]],Lookups!$A$62:$E$75,2,FALSE)</f>
        <v>29814.093161000001</v>
      </c>
      <c r="AT2020" s="25">
        <f>VLOOKUP(Inventory[[#This Row],[Cnd]],Lookups!$A$76:$E$84,2,FALSE)</f>
        <v>197752.34721000001</v>
      </c>
      <c r="AU2020" s="25">
        <f>Inventory[[#This Row],[EffAge]]*Lookups!$B$85</f>
        <v>-12490.553628</v>
      </c>
      <c r="AV2020" s="25">
        <f>Inventory[[#This Row],[MainFn]]*Lookups!$B$86</f>
        <v>54102.493515315</v>
      </c>
      <c r="AW2020" s="25">
        <f>Inventory[[#This Row],[UpprFn]]*Lookups!$B$87</f>
        <v>0</v>
      </c>
      <c r="AX2020" s="25">
        <f>Inventory[[#This Row],[AddFn]]*Lookups!$B$88</f>
        <v>0</v>
      </c>
      <c r="AY2020" s="25">
        <f>Inventory[[#This Row],[Bsmt]]*Lookups!$B$89</f>
        <v>29081.895246999997</v>
      </c>
      <c r="AZ2020" s="25">
        <f>Inventory[[#This Row],[Fixtures]]*Lookups!$B$90</f>
        <v>34128.198946800003</v>
      </c>
      <c r="BA2020" s="25">
        <f>Inventory[[#This Row],[WdDeck]]*Lookups!$B$91</f>
        <v>0</v>
      </c>
      <c r="BB2020" s="25">
        <f>ROUND(Inventory[[#This Row],[25Det]],-2)</f>
        <v>6400</v>
      </c>
      <c r="BC2020" s="25">
        <f>ROUND(SUM(Inventory[[#This Row],[Mdl Qlty]:[Mdl WdDeck]])+Inventory[[#This Row],[Mdl Res Intercept]],-2)</f>
        <v>332400</v>
      </c>
      <c r="BD2020" s="25">
        <f>ROUND(Inventory[[#This Row],[Mdl Land Intercept]]+Inventory[[#This Row],[Mdl LnAcres]],-2)</f>
        <v>29800</v>
      </c>
      <c r="BE2020" s="25">
        <f>Inventory[[#This Row],[Unadj Res Value]]+Inventory[[#This Row],[Unadj Det Value]]+Inventory[[#This Row],[Unadj Land Value]]</f>
        <v>368600</v>
      </c>
      <c r="BF2020" s="36">
        <f>(Inventory[[#This Row],[Unadj Total Value]]-Inventory[[#This Row],[24Final]])/Inventory[[#This Row],[24Final]]</f>
        <v>6.2554050158547134E-2</v>
      </c>
      <c r="BG2020" s="25">
        <f>VLOOKUP(Inventory[[#This Row],[Nbhd]],Lookups!$Q$2:$T$4,4,FALSE)</f>
        <v>0.99970000000000003</v>
      </c>
      <c r="BH2020" s="25">
        <f>VLOOKUP(Inventory[[#This Row],[Qlty]],Lookups!$O$7:$R$21,4,FALSE)</f>
        <v>1.0088999999999999</v>
      </c>
      <c r="BI2020" s="25">
        <f>VLOOKUP(Inventory[[#This Row],[Cnd]],Lookups!$T$7:$W$16,4,FALSE)</f>
        <v>0.99650000000000005</v>
      </c>
      <c r="BJ2020" s="25">
        <f>VLOOKUP(Inventory[[#This Row],[LivArea Range]],Lookups!$T$25:$W$37,4,FALSE)</f>
        <v>0.98919999999999997</v>
      </c>
      <c r="BK2020" s="25">
        <f>VLOOKUP(Inventory[[#This Row],[Decade]],Lookups!$O$25:$R$42,4,FALSE)</f>
        <v>1.0074000000000001</v>
      </c>
      <c r="BL2020" s="25">
        <f>Inventory[[#This Row],[Nbhd Adj]]*0.95</f>
        <v>0.94971499999999998</v>
      </c>
      <c r="BM2020" s="25">
        <f>Inventory[[#This Row],[Nbhd Adj]]*Inventory[[#This Row],[Quality Adj]]*Inventory[[#This Row],[Condition Adj]]*Inventory[[#This Row],[Living Area Adj]]*Inventory[[#This Row],[Decade Adj]]*0.95</f>
        <v>0.95149120146958555</v>
      </c>
      <c r="BN2020" s="25">
        <f>ROUND(SUM(Inventory[[#This Row],[Mdl Qlty]:[Mdl WdDeck]])+Inventory[[#This Row],[Mdl Res Intercept]]*Inventory[[#This Row],[Res Adj ]],-2)</f>
        <v>332400</v>
      </c>
      <c r="BO2020" s="25">
        <f>ROUND(Inventory[[#This Row],[25Det]]*Inventory[[#This Row],[Det/Nbhd Adj]],-2)</f>
        <v>6000</v>
      </c>
      <c r="BP2020" s="25">
        <f>Inventory[[#This Row],[Adjusted Res]]+Inventory[[#This Row],[Adj Det ]]</f>
        <v>338400</v>
      </c>
      <c r="BQ2020" s="25">
        <f>ROUND((Inventory[[#This Row],[Mdl Land Intercept]]+Inventory[[#This Row],[Mdl LnAcres]])*Inventory[[#This Row],[Det/Nbhd Adj]],-2)</f>
        <v>28300</v>
      </c>
      <c r="BR2020" s="25">
        <f>Inventory[[#This Row],[Adjusted Impr Total]]+Inventory[[#This Row],[Adjusted Land Total]]</f>
        <v>366700</v>
      </c>
      <c r="BS2020" s="36">
        <f>IFERROR((Inventory[[#This Row],[Adjusted Impr Total]]-Inventory[[#This Row],[24Bldg]])/Inventory[[#This Row],[24Bldg]],0)</f>
        <v>0.13366834170854272</v>
      </c>
      <c r="BT2020" s="36">
        <f>(Inventory[[#This Row],[Adjusted Land Total]]-Inventory[[#This Row],[24Lnd]])/Inventory[[#This Row],[24Lnd]]</f>
        <v>-0.41528925619834711</v>
      </c>
      <c r="BU2020" s="36">
        <f>(Inventory[[#This Row],[Adjusted Total]]-Inventory[[#This Row],[24Final]])/Inventory[[#This Row],[24Final]]</f>
        <v>5.7076967425771119E-2</v>
      </c>
    </row>
    <row r="2021" spans="1:73" x14ac:dyDescent="0.3">
      <c r="A2021" s="25">
        <v>2025</v>
      </c>
      <c r="B2021" s="26" t="s">
        <v>2376</v>
      </c>
      <c r="C2021" s="26">
        <f>LN(Inventory[[#This Row],[Acres]])</f>
        <v>-0.84397007029452897</v>
      </c>
      <c r="D2021" s="25">
        <v>0.43</v>
      </c>
      <c r="E2021" s="32">
        <v>18686</v>
      </c>
      <c r="F2021" s="26" t="s">
        <v>537</v>
      </c>
      <c r="G2021" s="26" t="s">
        <v>126</v>
      </c>
      <c r="H2021" s="26" t="s">
        <v>349</v>
      </c>
      <c r="I2021" s="26" t="s">
        <v>538</v>
      </c>
      <c r="J2021" s="26" t="s">
        <v>539</v>
      </c>
      <c r="K2021" s="26" t="s">
        <v>301</v>
      </c>
      <c r="L2021" s="26" t="s">
        <v>148</v>
      </c>
      <c r="M2021" s="26" t="s">
        <v>303</v>
      </c>
      <c r="N2021" s="26">
        <v>100</v>
      </c>
      <c r="O2021" s="26">
        <f>2024-Inventory[[#This Row],[YrBlt]]</f>
        <v>99</v>
      </c>
      <c r="P2021" s="26">
        <f>2024-Inventory[[#This Row],[EffYr]]</f>
        <v>56</v>
      </c>
      <c r="Q2021" s="25">
        <v>1925</v>
      </c>
      <c r="R2021" s="25">
        <v>1968</v>
      </c>
      <c r="S2021" s="25">
        <v>1098</v>
      </c>
      <c r="T2021" s="25">
        <v>936</v>
      </c>
      <c r="U2021" s="25">
        <v>936</v>
      </c>
      <c r="V2021" s="25">
        <f>Inventory[[#This Row],[Bsmt]]-Inventory[[#This Row],[FnBsmt]]</f>
        <v>468</v>
      </c>
      <c r="W2021" s="25">
        <v>468</v>
      </c>
      <c r="X2021" s="27"/>
      <c r="Y2021" s="27">
        <f>Inventory[[#This Row],[MainFn]]+Inventory[[#This Row],[UpprFn]]+Inventory[[#This Row],[FnBsmt]]+Inventory[[#This Row],[AddFn]]</f>
        <v>2502</v>
      </c>
      <c r="Z2021" s="27">
        <v>3000</v>
      </c>
      <c r="AA2021" s="25">
        <v>11</v>
      </c>
      <c r="AB2021" s="27"/>
      <c r="AC2021" s="27"/>
      <c r="AD2021" s="31"/>
      <c r="AE2021" s="27"/>
      <c r="AF2021" s="27"/>
      <c r="AG2021" s="27"/>
      <c r="AH2021" s="27"/>
      <c r="AI2021" s="25">
        <v>472469</v>
      </c>
      <c r="AJ2021" s="25">
        <v>311830</v>
      </c>
      <c r="AK2021" s="25">
        <v>9380</v>
      </c>
      <c r="AL2021" s="25">
        <v>438400</v>
      </c>
      <c r="AM2021" s="25">
        <v>85100</v>
      </c>
      <c r="AN2021" s="25">
        <v>353300</v>
      </c>
      <c r="AO2021" s="25">
        <v>0</v>
      </c>
      <c r="AP2021" s="25">
        <f>Lookups!$B$56*0</f>
        <v>0</v>
      </c>
      <c r="AQ2021" s="25">
        <f>Lookups!$B$56*1</f>
        <v>89850.625589999996</v>
      </c>
      <c r="AR2021" s="25">
        <f>Lookups!$B$57*Inventory[[#This Row],[LnAcres]]</f>
        <v>-26715.548272078075</v>
      </c>
      <c r="AS2021" s="25">
        <f>VLOOKUP(Inventory[[#This Row],[Qlty]],Lookups!$A$62:$E$75,2,FALSE)</f>
        <v>44121.038090000002</v>
      </c>
      <c r="AT2021" s="25">
        <f>VLOOKUP(Inventory[[#This Row],[Cnd]],Lookups!$A$76:$E$84,2,FALSE)</f>
        <v>197752.34721000001</v>
      </c>
      <c r="AU2021" s="25">
        <f>Inventory[[#This Row],[EffAge]]*Lookups!$B$85</f>
        <v>-12490.553628</v>
      </c>
      <c r="AV2021" s="25">
        <f>Inventory[[#This Row],[MainFn]]*Lookups!$B$86</f>
        <v>54250.719524945998</v>
      </c>
      <c r="AW2021" s="25">
        <f>Inventory[[#This Row],[UpprFn]]*Lookups!$B$87</f>
        <v>41920.091797895999</v>
      </c>
      <c r="AX2021" s="25">
        <f>Inventory[[#This Row],[AddFn]]*Lookups!$B$88</f>
        <v>0</v>
      </c>
      <c r="AY2021" s="25">
        <f>Inventory[[#This Row],[Bsmt]]*Lookups!$B$89</f>
        <v>27220.653951191998</v>
      </c>
      <c r="AZ2021" s="25">
        <f>Inventory[[#This Row],[Fixtures]]*Lookups!$B$90</f>
        <v>41712.243157199999</v>
      </c>
      <c r="BA2021" s="25">
        <f>Inventory[[#This Row],[WdDeck]]*Lookups!$B$91</f>
        <v>0</v>
      </c>
      <c r="BB2021" s="25">
        <f>ROUND(Inventory[[#This Row],[25Det]],-2)</f>
        <v>9400</v>
      </c>
      <c r="BC2021" s="25">
        <f>ROUND(SUM(Inventory[[#This Row],[Mdl Qlty]:[Mdl WdDeck]])+Inventory[[#This Row],[Mdl Res Intercept]],-2)</f>
        <v>394500</v>
      </c>
      <c r="BD2021" s="25">
        <f>ROUND(Inventory[[#This Row],[Mdl Land Intercept]]+Inventory[[#This Row],[Mdl LnAcres]],-2)</f>
        <v>63100</v>
      </c>
      <c r="BE2021" s="25">
        <f>Inventory[[#This Row],[Unadj Res Value]]+Inventory[[#This Row],[Unadj Det Value]]+Inventory[[#This Row],[Unadj Land Value]]</f>
        <v>467000</v>
      </c>
      <c r="BF2021" s="36">
        <f>(Inventory[[#This Row],[Unadj Total Value]]-Inventory[[#This Row],[24Final]])/Inventory[[#This Row],[24Final]]</f>
        <v>6.5237226277372259E-2</v>
      </c>
      <c r="BG2021" s="25">
        <f>VLOOKUP(Inventory[[#This Row],[Nbhd]],Lookups!$Q$2:$T$4,4,FALSE)</f>
        <v>0.99970000000000003</v>
      </c>
      <c r="BH2021" s="25">
        <f>VLOOKUP(Inventory[[#This Row],[Qlty]],Lookups!$O$7:$R$21,4,FALSE)</f>
        <v>0.98050000000000004</v>
      </c>
      <c r="BI2021" s="25">
        <f>VLOOKUP(Inventory[[#This Row],[Cnd]],Lookups!$T$7:$W$16,4,FALSE)</f>
        <v>0.99650000000000005</v>
      </c>
      <c r="BJ2021" s="25">
        <f>VLOOKUP(Inventory[[#This Row],[LivArea Range]],Lookups!$T$25:$W$37,4,FALSE)</f>
        <v>0.96179999999999999</v>
      </c>
      <c r="BK2021" s="25">
        <f>VLOOKUP(Inventory[[#This Row],[Decade]],Lookups!$O$25:$R$42,4,FALSE)</f>
        <v>1.0074000000000001</v>
      </c>
      <c r="BL2021" s="25">
        <f>Inventory[[#This Row],[Nbhd Adj]]*0.95</f>
        <v>0.94971499999999998</v>
      </c>
      <c r="BM2021" s="25">
        <f>Inventory[[#This Row],[Nbhd Adj]]*Inventory[[#This Row],[Quality Adj]]*Inventory[[#This Row],[Condition Adj]]*Inventory[[#This Row],[Living Area Adj]]*Inventory[[#This Row],[Decade Adj]]*0.95</f>
        <v>0.89909362370491519</v>
      </c>
      <c r="BN2021" s="25">
        <f>ROUND(SUM(Inventory[[#This Row],[Mdl Qlty]:[Mdl WdDeck]])+Inventory[[#This Row],[Mdl Res Intercept]]*Inventory[[#This Row],[Res Adj ]],-2)</f>
        <v>394500</v>
      </c>
      <c r="BO2021" s="25">
        <f>ROUND(Inventory[[#This Row],[25Det]]*Inventory[[#This Row],[Det/Nbhd Adj]],-2)</f>
        <v>8900</v>
      </c>
      <c r="BP2021" s="25">
        <f>Inventory[[#This Row],[Adjusted Res]]+Inventory[[#This Row],[Adj Det ]]</f>
        <v>403400</v>
      </c>
      <c r="BQ2021" s="25">
        <f>ROUND((Inventory[[#This Row],[Mdl Land Intercept]]+Inventory[[#This Row],[Mdl LnAcres]])*Inventory[[#This Row],[Det/Nbhd Adj]],-2)</f>
        <v>60000</v>
      </c>
      <c r="BR2021" s="25">
        <f>Inventory[[#This Row],[Adjusted Impr Total]]+Inventory[[#This Row],[Adjusted Land Total]]</f>
        <v>463400</v>
      </c>
      <c r="BS2021" s="36">
        <f>IFERROR((Inventory[[#This Row],[Adjusted Impr Total]]-Inventory[[#This Row],[24Bldg]])/Inventory[[#This Row],[24Bldg]],0)</f>
        <v>0.14180583073874894</v>
      </c>
      <c r="BT2021" s="36">
        <f>(Inventory[[#This Row],[Adjusted Land Total]]-Inventory[[#This Row],[24Lnd]])/Inventory[[#This Row],[24Lnd]]</f>
        <v>-0.29494712103407755</v>
      </c>
      <c r="BU2021" s="36">
        <f>(Inventory[[#This Row],[Adjusted Total]]-Inventory[[#This Row],[24Final]])/Inventory[[#This Row],[24Final]]</f>
        <v>5.7025547445255474E-2</v>
      </c>
    </row>
    <row r="2022" spans="1:73" x14ac:dyDescent="0.3">
      <c r="A2022" s="25">
        <v>2025</v>
      </c>
      <c r="B2022" s="26" t="s">
        <v>2773</v>
      </c>
      <c r="C2022" s="26">
        <f>LN(Inventory[[#This Row],[Acres]])</f>
        <v>-1.9661128563728327</v>
      </c>
      <c r="D2022" s="25">
        <v>0.14000000000000001</v>
      </c>
      <c r="E2022" s="32">
        <v>5907</v>
      </c>
      <c r="F2022" s="26" t="s">
        <v>537</v>
      </c>
      <c r="G2022" s="26" t="s">
        <v>126</v>
      </c>
      <c r="H2022" s="26" t="s">
        <v>349</v>
      </c>
      <c r="I2022" s="26" t="s">
        <v>538</v>
      </c>
      <c r="J2022" s="26" t="s">
        <v>539</v>
      </c>
      <c r="K2022" s="26" t="s">
        <v>269</v>
      </c>
      <c r="L2022" s="26" t="s">
        <v>205</v>
      </c>
      <c r="M2022" s="26" t="s">
        <v>323</v>
      </c>
      <c r="N2022" s="26">
        <v>100</v>
      </c>
      <c r="O2022" s="26">
        <f>2024-Inventory[[#This Row],[YrBlt]]</f>
        <v>99</v>
      </c>
      <c r="P2022" s="26">
        <f>2024-Inventory[[#This Row],[EffYr]]</f>
        <v>56</v>
      </c>
      <c r="Q2022" s="25">
        <v>1925</v>
      </c>
      <c r="R2022" s="25">
        <v>1968</v>
      </c>
      <c r="S2022" s="25">
        <v>1018</v>
      </c>
      <c r="T2022" s="31"/>
      <c r="U2022" s="25">
        <v>832</v>
      </c>
      <c r="V2022" s="32">
        <f>Inventory[[#This Row],[Bsmt]]-Inventory[[#This Row],[FnBsmt]]</f>
        <v>832</v>
      </c>
      <c r="W2022" s="27"/>
      <c r="X2022" s="27"/>
      <c r="Y2022" s="27">
        <f>Inventory[[#This Row],[MainFn]]+Inventory[[#This Row],[UpprFn]]+Inventory[[#This Row],[FnBsmt]]+Inventory[[#This Row],[AddFn]]</f>
        <v>1018</v>
      </c>
      <c r="Z2022" s="27">
        <v>1500</v>
      </c>
      <c r="AA2022" s="25">
        <v>5</v>
      </c>
      <c r="AB2022" s="27"/>
      <c r="AC2022" s="27"/>
      <c r="AD2022" s="27"/>
      <c r="AE2022" s="27"/>
      <c r="AF2022" s="27"/>
      <c r="AG2022" s="27"/>
      <c r="AH2022" s="27"/>
      <c r="AI2022" s="25">
        <v>184513</v>
      </c>
      <c r="AJ2022" s="25">
        <v>118088</v>
      </c>
      <c r="AK2022" s="25">
        <v>4877</v>
      </c>
      <c r="AL2022" s="25">
        <v>257700</v>
      </c>
      <c r="AM2022" s="25">
        <v>46000</v>
      </c>
      <c r="AN2022" s="25">
        <v>211700</v>
      </c>
      <c r="AO2022" s="25">
        <v>0</v>
      </c>
      <c r="AP2022" s="25">
        <f>Lookups!$B$56*0</f>
        <v>0</v>
      </c>
      <c r="AQ2022" s="25">
        <f>Lookups!$B$56*1</f>
        <v>89850.625589999996</v>
      </c>
      <c r="AR2022" s="25">
        <f>Lookups!$B$57*Inventory[[#This Row],[LnAcres]]</f>
        <v>-62236.546971921947</v>
      </c>
      <c r="AS2022" s="25">
        <f>VLOOKUP(Inventory[[#This Row],[Qlty]],Lookups!$A$62:$E$75,2,FALSE)</f>
        <v>0</v>
      </c>
      <c r="AT2022" s="25">
        <f>VLOOKUP(Inventory[[#This Row],[Cnd]],Lookups!$A$76:$E$84,2,FALSE)</f>
        <v>160472.20319</v>
      </c>
      <c r="AU2022" s="25">
        <f>Inventory[[#This Row],[EffAge]]*Lookups!$B$85</f>
        <v>-12490.553628</v>
      </c>
      <c r="AV2022" s="25">
        <f>Inventory[[#This Row],[MainFn]]*Lookups!$B$86</f>
        <v>50298.025934786005</v>
      </c>
      <c r="AW2022" s="25">
        <f>Inventory[[#This Row],[UpprFn]]*Lookups!$B$87</f>
        <v>0</v>
      </c>
      <c r="AX2022" s="25">
        <f>Inventory[[#This Row],[AddFn]]*Lookups!$B$88</f>
        <v>0</v>
      </c>
      <c r="AY2022" s="25">
        <f>Inventory[[#This Row],[Bsmt]]*Lookups!$B$89</f>
        <v>24196.136845503999</v>
      </c>
      <c r="AZ2022" s="25">
        <f>Inventory[[#This Row],[Fixtures]]*Lookups!$B$90</f>
        <v>18960.110526</v>
      </c>
      <c r="BA2022" s="25">
        <f>Inventory[[#This Row],[WdDeck]]*Lookups!$B$91</f>
        <v>0</v>
      </c>
      <c r="BB2022" s="25">
        <f>ROUND(Inventory[[#This Row],[25Det]],-2)</f>
        <v>4900</v>
      </c>
      <c r="BC2022" s="25">
        <f>ROUND(SUM(Inventory[[#This Row],[Mdl Qlty]:[Mdl WdDeck]])+Inventory[[#This Row],[Mdl Res Intercept]],-2)</f>
        <v>241400</v>
      </c>
      <c r="BD2022" s="25">
        <f>ROUND(Inventory[[#This Row],[Mdl Land Intercept]]+Inventory[[#This Row],[Mdl LnAcres]],-2)</f>
        <v>27600</v>
      </c>
      <c r="BE2022" s="25">
        <f>Inventory[[#This Row],[Unadj Res Value]]+Inventory[[#This Row],[Unadj Det Value]]+Inventory[[#This Row],[Unadj Land Value]]</f>
        <v>273900</v>
      </c>
      <c r="BF2022" s="36">
        <f>(Inventory[[#This Row],[Unadj Total Value]]-Inventory[[#This Row],[24Final]])/Inventory[[#This Row],[24Final]]</f>
        <v>6.2863795110593715E-2</v>
      </c>
      <c r="BG2022" s="25">
        <f>VLOOKUP(Inventory[[#This Row],[Nbhd]],Lookups!$Q$2:$T$4,4,FALSE)</f>
        <v>0.99970000000000003</v>
      </c>
      <c r="BH2022" s="25">
        <f>VLOOKUP(Inventory[[#This Row],[Qlty]],Lookups!$O$7:$R$21,4,FALSE)</f>
        <v>0.99180000000000001</v>
      </c>
      <c r="BI2022" s="25">
        <f>VLOOKUP(Inventory[[#This Row],[Cnd]],Lookups!$T$7:$W$16,4,FALSE)</f>
        <v>0.99729999999999996</v>
      </c>
      <c r="BJ2022" s="25">
        <f>VLOOKUP(Inventory[[#This Row],[LivArea Range]],Lookups!$T$25:$W$37,4,FALSE)</f>
        <v>1.0157</v>
      </c>
      <c r="BK2022" s="25">
        <f>VLOOKUP(Inventory[[#This Row],[Decade]],Lookups!$O$25:$R$42,4,FALSE)</f>
        <v>1.0074000000000001</v>
      </c>
      <c r="BL2022" s="25">
        <f>Inventory[[#This Row],[Nbhd Adj]]*0.95</f>
        <v>0.94971499999999998</v>
      </c>
      <c r="BM2022" s="25">
        <f>Inventory[[#This Row],[Nbhd Adj]]*Inventory[[#This Row],[Quality Adj]]*Inventory[[#This Row],[Condition Adj]]*Inventory[[#This Row],[Living Area Adj]]*Inventory[[#This Row],[Decade Adj]]*0.95</f>
        <v>0.96119304431538555</v>
      </c>
      <c r="BN2022" s="25">
        <f>ROUND(SUM(Inventory[[#This Row],[Mdl Qlty]:[Mdl WdDeck]])+Inventory[[#This Row],[Mdl Res Intercept]]*Inventory[[#This Row],[Res Adj ]],-2)</f>
        <v>241400</v>
      </c>
      <c r="BO2022" s="25">
        <f>ROUND(Inventory[[#This Row],[25Det]]*Inventory[[#This Row],[Det/Nbhd Adj]],-2)</f>
        <v>4600</v>
      </c>
      <c r="BP2022" s="25">
        <f>Inventory[[#This Row],[Adjusted Res]]+Inventory[[#This Row],[Adj Det ]]</f>
        <v>246000</v>
      </c>
      <c r="BQ2022" s="25">
        <f>ROUND((Inventory[[#This Row],[Mdl Land Intercept]]+Inventory[[#This Row],[Mdl LnAcres]])*Inventory[[#This Row],[Det/Nbhd Adj]],-2)</f>
        <v>26200</v>
      </c>
      <c r="BR2022" s="25">
        <f>Inventory[[#This Row],[Adjusted Impr Total]]+Inventory[[#This Row],[Adjusted Land Total]]</f>
        <v>272200</v>
      </c>
      <c r="BS2022" s="36">
        <f>IFERROR((Inventory[[#This Row],[Adjusted Impr Total]]-Inventory[[#This Row],[24Bldg]])/Inventory[[#This Row],[24Bldg]],0)</f>
        <v>0.1620217288615966</v>
      </c>
      <c r="BT2022" s="36">
        <f>(Inventory[[#This Row],[Adjusted Land Total]]-Inventory[[#This Row],[24Lnd]])/Inventory[[#This Row],[24Lnd]]</f>
        <v>-0.43043478260869567</v>
      </c>
      <c r="BU2022" s="36">
        <f>(Inventory[[#This Row],[Adjusted Total]]-Inventory[[#This Row],[24Final]])/Inventory[[#This Row],[24Final]]</f>
        <v>5.6266977105161042E-2</v>
      </c>
    </row>
    <row r="2023" spans="1:73" x14ac:dyDescent="0.3">
      <c r="A2023" s="25">
        <v>2025</v>
      </c>
      <c r="B2023" s="26" t="s">
        <v>2858</v>
      </c>
      <c r="C2023" s="26">
        <f>LN(Inventory[[#This Row],[Acres]])</f>
        <v>-2.120263536200091</v>
      </c>
      <c r="D2023" s="25">
        <v>0.12</v>
      </c>
      <c r="E2023" s="32">
        <v>5197</v>
      </c>
      <c r="F2023" s="26" t="s">
        <v>537</v>
      </c>
      <c r="G2023" s="26" t="s">
        <v>126</v>
      </c>
      <c r="H2023" s="26" t="s">
        <v>349</v>
      </c>
      <c r="I2023" s="26" t="s">
        <v>538</v>
      </c>
      <c r="J2023" s="26" t="s">
        <v>539</v>
      </c>
      <c r="K2023" s="26" t="s">
        <v>242</v>
      </c>
      <c r="L2023" s="26" t="s">
        <v>205</v>
      </c>
      <c r="M2023" s="26" t="s">
        <v>206</v>
      </c>
      <c r="N2023" s="26">
        <v>100</v>
      </c>
      <c r="O2023" s="26">
        <f>2024-Inventory[[#This Row],[YrBlt]]</f>
        <v>99</v>
      </c>
      <c r="P2023" s="26">
        <f>2024-Inventory[[#This Row],[EffYr]]</f>
        <v>56</v>
      </c>
      <c r="Q2023" s="25">
        <v>1925</v>
      </c>
      <c r="R2023" s="25">
        <v>1968</v>
      </c>
      <c r="S2023" s="25">
        <v>840</v>
      </c>
      <c r="T2023" s="27"/>
      <c r="U2023" s="25">
        <v>840</v>
      </c>
      <c r="V2023" s="25">
        <f>Inventory[[#This Row],[Bsmt]]-Inventory[[#This Row],[FnBsmt]]</f>
        <v>336</v>
      </c>
      <c r="W2023" s="25">
        <v>504</v>
      </c>
      <c r="X2023" s="27"/>
      <c r="Y2023" s="27">
        <f>Inventory[[#This Row],[MainFn]]+Inventory[[#This Row],[UpprFn]]+Inventory[[#This Row],[FnBsmt]]+Inventory[[#This Row],[AddFn]]</f>
        <v>1344</v>
      </c>
      <c r="Z2023" s="27">
        <v>1500</v>
      </c>
      <c r="AA2023" s="25">
        <v>5</v>
      </c>
      <c r="AB2023" s="27"/>
      <c r="AC2023" s="32">
        <v>336</v>
      </c>
      <c r="AD2023" s="27"/>
      <c r="AE2023" s="27"/>
      <c r="AF2023" s="27"/>
      <c r="AG2023" s="27"/>
      <c r="AH2023" s="27"/>
      <c r="AI2023" s="25">
        <v>196030</v>
      </c>
      <c r="AJ2023" s="25">
        <v>121539</v>
      </c>
      <c r="AK2023" s="25">
        <v>0</v>
      </c>
      <c r="AL2023" s="25">
        <v>215700</v>
      </c>
      <c r="AM2023" s="25">
        <v>40600</v>
      </c>
      <c r="AN2023" s="25">
        <v>175100</v>
      </c>
      <c r="AO2023" s="25">
        <v>0</v>
      </c>
      <c r="AP2023" s="25">
        <f>Lookups!$B$56*0</f>
        <v>0</v>
      </c>
      <c r="AQ2023" s="25">
        <f>Lookups!$B$56*1</f>
        <v>89850.625589999996</v>
      </c>
      <c r="AR2023" s="25">
        <f>Lookups!$B$57*Inventory[[#This Row],[LnAcres]]</f>
        <v>-67116.12750806773</v>
      </c>
      <c r="AS2023" s="25">
        <f>VLOOKUP(Inventory[[#This Row],[Qlty]],Lookups!$A$62:$E$75,2,FALSE)</f>
        <v>0</v>
      </c>
      <c r="AT2023" s="25">
        <f>VLOOKUP(Inventory[[#This Row],[Cnd]],Lookups!$A$76:$E$84,2,FALSE)</f>
        <v>133714.53821</v>
      </c>
      <c r="AU2023" s="25">
        <f>Inventory[[#This Row],[EffAge]]*Lookups!$B$85</f>
        <v>-12490.553628</v>
      </c>
      <c r="AV2023" s="25">
        <f>Inventory[[#This Row],[MainFn]]*Lookups!$B$86</f>
        <v>41503.282696679998</v>
      </c>
      <c r="AW2023" s="25">
        <f>Inventory[[#This Row],[UpprFn]]*Lookups!$B$87</f>
        <v>0</v>
      </c>
      <c r="AX2023" s="25">
        <f>Inventory[[#This Row],[AddFn]]*Lookups!$B$88</f>
        <v>0</v>
      </c>
      <c r="AY2023" s="25">
        <f>Inventory[[#This Row],[Bsmt]]*Lookups!$B$89</f>
        <v>24428.792007479999</v>
      </c>
      <c r="AZ2023" s="25">
        <f>Inventory[[#This Row],[Fixtures]]*Lookups!$B$90</f>
        <v>18960.110526</v>
      </c>
      <c r="BA2023" s="25">
        <f>Inventory[[#This Row],[WdDeck]]*Lookups!$B$91</f>
        <v>0</v>
      </c>
      <c r="BB2023" s="25">
        <f>ROUND(Inventory[[#This Row],[25Det]],-2)</f>
        <v>0</v>
      </c>
      <c r="BC2023" s="25">
        <f>ROUND(SUM(Inventory[[#This Row],[Mdl Qlty]:[Mdl WdDeck]])+Inventory[[#This Row],[Mdl Res Intercept]],-2)</f>
        <v>206100</v>
      </c>
      <c r="BD2023" s="25">
        <f>ROUND(Inventory[[#This Row],[Mdl Land Intercept]]+Inventory[[#This Row],[Mdl LnAcres]],-2)</f>
        <v>22700</v>
      </c>
      <c r="BE2023" s="25">
        <f>Inventory[[#This Row],[Unadj Res Value]]+Inventory[[#This Row],[Unadj Det Value]]+Inventory[[#This Row],[Unadj Land Value]]</f>
        <v>228800</v>
      </c>
      <c r="BF2023" s="36">
        <f>(Inventory[[#This Row],[Unadj Total Value]]-Inventory[[#This Row],[24Final]])/Inventory[[#This Row],[24Final]]</f>
        <v>6.0732498840982849E-2</v>
      </c>
      <c r="BG2023" s="25">
        <f>VLOOKUP(Inventory[[#This Row],[Nbhd]],Lookups!$Q$2:$T$4,4,FALSE)</f>
        <v>0.99970000000000003</v>
      </c>
      <c r="BH2023" s="25">
        <f>VLOOKUP(Inventory[[#This Row],[Qlty]],Lookups!$O$7:$R$21,4,FALSE)</f>
        <v>0.99180000000000001</v>
      </c>
      <c r="BI2023" s="25">
        <f>VLOOKUP(Inventory[[#This Row],[Cnd]],Lookups!$T$7:$W$16,4,FALSE)</f>
        <v>0.99329999999999996</v>
      </c>
      <c r="BJ2023" s="25">
        <f>VLOOKUP(Inventory[[#This Row],[LivArea Range]],Lookups!$T$25:$W$37,4,FALSE)</f>
        <v>1.0157</v>
      </c>
      <c r="BK2023" s="25">
        <f>VLOOKUP(Inventory[[#This Row],[Decade]],Lookups!$O$25:$R$42,4,FALSE)</f>
        <v>1.0074000000000001</v>
      </c>
      <c r="BL2023" s="25">
        <f>Inventory[[#This Row],[Nbhd Adj]]*0.95</f>
        <v>0.94971499999999998</v>
      </c>
      <c r="BM2023" s="25">
        <f>Inventory[[#This Row],[Nbhd Adj]]*Inventory[[#This Row],[Quality Adj]]*Inventory[[#This Row],[Condition Adj]]*Inventory[[#This Row],[Living Area Adj]]*Inventory[[#This Row],[Decade Adj]]*0.95</f>
        <v>0.95733786314897451</v>
      </c>
      <c r="BN2023" s="25">
        <f>ROUND(SUM(Inventory[[#This Row],[Mdl Qlty]:[Mdl WdDeck]])+Inventory[[#This Row],[Mdl Res Intercept]]*Inventory[[#This Row],[Res Adj ]],-2)</f>
        <v>206100</v>
      </c>
      <c r="BO2023" s="25">
        <f>ROUND(Inventory[[#This Row],[25Det]]*Inventory[[#This Row],[Det/Nbhd Adj]],-2)</f>
        <v>0</v>
      </c>
      <c r="BP2023" s="25">
        <f>Inventory[[#This Row],[Adjusted Res]]+Inventory[[#This Row],[Adj Det ]]</f>
        <v>206100</v>
      </c>
      <c r="BQ2023" s="25">
        <f>ROUND((Inventory[[#This Row],[Mdl Land Intercept]]+Inventory[[#This Row],[Mdl LnAcres]])*Inventory[[#This Row],[Det/Nbhd Adj]],-2)</f>
        <v>21600</v>
      </c>
      <c r="BR2023" s="25">
        <f>Inventory[[#This Row],[Adjusted Impr Total]]+Inventory[[#This Row],[Adjusted Land Total]]</f>
        <v>227700</v>
      </c>
      <c r="BS2023" s="36">
        <f>IFERROR((Inventory[[#This Row],[Adjusted Impr Total]]-Inventory[[#This Row],[24Bldg]])/Inventory[[#This Row],[24Bldg]],0)</f>
        <v>0.1770416904625928</v>
      </c>
      <c r="BT2023" s="36">
        <f>(Inventory[[#This Row],[Adjusted Land Total]]-Inventory[[#This Row],[24Lnd]])/Inventory[[#This Row],[24Lnd]]</f>
        <v>-0.46798029556650245</v>
      </c>
      <c r="BU2023" s="36">
        <f>(Inventory[[#This Row],[Adjusted Total]]-Inventory[[#This Row],[24Final]])/Inventory[[#This Row],[24Final]]</f>
        <v>5.5632823365785816E-2</v>
      </c>
    </row>
    <row r="2024" spans="1:73" x14ac:dyDescent="0.3">
      <c r="A2024" s="25">
        <v>2025</v>
      </c>
      <c r="B2024" s="26" t="s">
        <v>917</v>
      </c>
      <c r="C2024" s="26">
        <f>LN(Inventory[[#This Row],[Acres]])</f>
        <v>-1.4271163556401458</v>
      </c>
      <c r="D2024" s="25">
        <v>0.24</v>
      </c>
      <c r="E2024" s="32">
        <v>10571</v>
      </c>
      <c r="F2024" s="26" t="s">
        <v>537</v>
      </c>
      <c r="G2024" s="26" t="s">
        <v>126</v>
      </c>
      <c r="H2024" s="26" t="s">
        <v>349</v>
      </c>
      <c r="I2024" s="26" t="s">
        <v>538</v>
      </c>
      <c r="J2024" s="26" t="s">
        <v>539</v>
      </c>
      <c r="K2024" s="26" t="s">
        <v>269</v>
      </c>
      <c r="L2024" s="26" t="s">
        <v>351</v>
      </c>
      <c r="M2024" s="26" t="s">
        <v>323</v>
      </c>
      <c r="N2024" s="26">
        <v>100</v>
      </c>
      <c r="O2024" s="26">
        <f>2024-Inventory[[#This Row],[YrBlt]]</f>
        <v>99</v>
      </c>
      <c r="P2024" s="26">
        <f>2024-Inventory[[#This Row],[EffYr]]</f>
        <v>56</v>
      </c>
      <c r="Q2024" s="25">
        <v>1925</v>
      </c>
      <c r="R2024" s="25">
        <v>1968</v>
      </c>
      <c r="S2024" s="25">
        <v>1212</v>
      </c>
      <c r="T2024" s="27"/>
      <c r="U2024" s="25">
        <v>1212</v>
      </c>
      <c r="V2024" s="25">
        <f>Inventory[[#This Row],[Bsmt]]-Inventory[[#This Row],[FnBsmt]]</f>
        <v>1112</v>
      </c>
      <c r="W2024" s="25">
        <v>100</v>
      </c>
      <c r="X2024" s="27"/>
      <c r="Y2024" s="27">
        <f>Inventory[[#This Row],[MainFn]]+Inventory[[#This Row],[UpprFn]]+Inventory[[#This Row],[FnBsmt]]+Inventory[[#This Row],[AddFn]]</f>
        <v>1312</v>
      </c>
      <c r="Z2024" s="27">
        <v>1500</v>
      </c>
      <c r="AA2024" s="25">
        <v>5</v>
      </c>
      <c r="AB2024" s="31"/>
      <c r="AC2024" s="27"/>
      <c r="AD2024" s="27"/>
      <c r="AE2024" s="27"/>
      <c r="AF2024" s="27"/>
      <c r="AG2024" s="27"/>
      <c r="AH2024" s="27"/>
      <c r="AI2024" s="25">
        <v>248776</v>
      </c>
      <c r="AJ2024" s="25">
        <v>159217</v>
      </c>
      <c r="AK2024" s="25">
        <v>29325</v>
      </c>
      <c r="AL2024" s="25">
        <v>335700</v>
      </c>
      <c r="AM2024" s="25">
        <v>64800</v>
      </c>
      <c r="AN2024" s="25">
        <v>270900</v>
      </c>
      <c r="AO2024" s="25">
        <v>0</v>
      </c>
      <c r="AP2024" s="25">
        <f>Lookups!$B$56*0</f>
        <v>0</v>
      </c>
      <c r="AQ2024" s="25">
        <f>Lookups!$B$56*1</f>
        <v>89850.625589999996</v>
      </c>
      <c r="AR2024" s="25">
        <f>Lookups!$B$57*Inventory[[#This Row],[LnAcres]]</f>
        <v>-45174.819855485119</v>
      </c>
      <c r="AS2024" s="25">
        <f>VLOOKUP(Inventory[[#This Row],[Qlty]],Lookups!$A$62:$E$75,2,FALSE)</f>
        <v>21557.329055999999</v>
      </c>
      <c r="AT2024" s="25">
        <f>VLOOKUP(Inventory[[#This Row],[Cnd]],Lookups!$A$76:$E$84,2,FALSE)</f>
        <v>160472.20319</v>
      </c>
      <c r="AU2024" s="25">
        <f>Inventory[[#This Row],[EffAge]]*Lookups!$B$85</f>
        <v>-12490.553628</v>
      </c>
      <c r="AV2024" s="25">
        <f>Inventory[[#This Row],[MainFn]]*Lookups!$B$86</f>
        <v>59883.307890923999</v>
      </c>
      <c r="AW2024" s="25">
        <f>Inventory[[#This Row],[UpprFn]]*Lookups!$B$87</f>
        <v>0</v>
      </c>
      <c r="AX2024" s="25">
        <f>Inventory[[#This Row],[AddFn]]*Lookups!$B$88</f>
        <v>0</v>
      </c>
      <c r="AY2024" s="25">
        <f>Inventory[[#This Row],[Bsmt]]*Lookups!$B$89</f>
        <v>35247.257039363998</v>
      </c>
      <c r="AZ2024" s="25">
        <f>Inventory[[#This Row],[Fixtures]]*Lookups!$B$90</f>
        <v>18960.110526</v>
      </c>
      <c r="BA2024" s="25">
        <f>Inventory[[#This Row],[WdDeck]]*Lookups!$B$91</f>
        <v>0</v>
      </c>
      <c r="BB2024" s="25">
        <f>ROUND(Inventory[[#This Row],[25Det]],-2)</f>
        <v>29300</v>
      </c>
      <c r="BC2024" s="25">
        <f>ROUND(SUM(Inventory[[#This Row],[Mdl Qlty]:[Mdl WdDeck]])+Inventory[[#This Row],[Mdl Res Intercept]],-2)</f>
        <v>283600</v>
      </c>
      <c r="BD2024" s="25">
        <f>ROUND(Inventory[[#This Row],[Mdl Land Intercept]]+Inventory[[#This Row],[Mdl LnAcres]],-2)</f>
        <v>44700</v>
      </c>
      <c r="BE2024" s="25">
        <f>Inventory[[#This Row],[Unadj Res Value]]+Inventory[[#This Row],[Unadj Det Value]]+Inventory[[#This Row],[Unadj Land Value]]</f>
        <v>357600</v>
      </c>
      <c r="BF2024" s="36">
        <f>(Inventory[[#This Row],[Unadj Total Value]]-Inventory[[#This Row],[24Final]])/Inventory[[#This Row],[24Final]]</f>
        <v>6.523681858802502E-2</v>
      </c>
      <c r="BG2024" s="25">
        <f>VLOOKUP(Inventory[[#This Row],[Nbhd]],Lookups!$Q$2:$T$4,4,FALSE)</f>
        <v>0.99970000000000003</v>
      </c>
      <c r="BH2024" s="25">
        <f>VLOOKUP(Inventory[[#This Row],[Qlty]],Lookups!$O$7:$R$21,4,FALSE)</f>
        <v>1.0067999999999999</v>
      </c>
      <c r="BI2024" s="25">
        <f>VLOOKUP(Inventory[[#This Row],[Cnd]],Lookups!$T$7:$W$16,4,FALSE)</f>
        <v>0.99729999999999996</v>
      </c>
      <c r="BJ2024" s="25">
        <f>VLOOKUP(Inventory[[#This Row],[LivArea Range]],Lookups!$T$25:$W$37,4,FALSE)</f>
        <v>1.0157</v>
      </c>
      <c r="BK2024" s="25">
        <f>VLOOKUP(Inventory[[#This Row],[Decade]],Lookups!$O$25:$R$42,4,FALSE)</f>
        <v>1.0074000000000001</v>
      </c>
      <c r="BL2024" s="25">
        <f>Inventory[[#This Row],[Nbhd Adj]]*0.95</f>
        <v>0.94971499999999998</v>
      </c>
      <c r="BM2024" s="25">
        <f>Inventory[[#This Row],[Nbhd Adj]]*Inventory[[#This Row],[Quality Adj]]*Inventory[[#This Row],[Condition Adj]]*Inventory[[#This Row],[Living Area Adj]]*Inventory[[#This Row],[Decade Adj]]*0.95</f>
        <v>0.97573014419916293</v>
      </c>
      <c r="BN2024" s="25">
        <f>ROUND(SUM(Inventory[[#This Row],[Mdl Qlty]:[Mdl WdDeck]])+Inventory[[#This Row],[Mdl Res Intercept]]*Inventory[[#This Row],[Res Adj ]],-2)</f>
        <v>283600</v>
      </c>
      <c r="BO2024" s="25">
        <f>ROUND(Inventory[[#This Row],[25Det]]*Inventory[[#This Row],[Det/Nbhd Adj]],-2)</f>
        <v>27900</v>
      </c>
      <c r="BP2024" s="25">
        <f>Inventory[[#This Row],[Adjusted Res]]+Inventory[[#This Row],[Adj Det ]]</f>
        <v>311500</v>
      </c>
      <c r="BQ2024" s="25">
        <f>ROUND((Inventory[[#This Row],[Mdl Land Intercept]]+Inventory[[#This Row],[Mdl LnAcres]])*Inventory[[#This Row],[Det/Nbhd Adj]],-2)</f>
        <v>42400</v>
      </c>
      <c r="BR2024" s="25">
        <f>Inventory[[#This Row],[Adjusted Impr Total]]+Inventory[[#This Row],[Adjusted Land Total]]</f>
        <v>353900</v>
      </c>
      <c r="BS2024" s="36">
        <f>IFERROR((Inventory[[#This Row],[Adjusted Impr Total]]-Inventory[[#This Row],[24Bldg]])/Inventory[[#This Row],[24Bldg]],0)</f>
        <v>0.14987080103359174</v>
      </c>
      <c r="BT2024" s="36">
        <f>(Inventory[[#This Row],[Adjusted Land Total]]-Inventory[[#This Row],[24Lnd]])/Inventory[[#This Row],[24Lnd]]</f>
        <v>-0.34567901234567899</v>
      </c>
      <c r="BU2024" s="36">
        <f>(Inventory[[#This Row],[Adjusted Total]]-Inventory[[#This Row],[24Final]])/Inventory[[#This Row],[24Final]]</f>
        <v>5.4215072981829017E-2</v>
      </c>
    </row>
    <row r="2025" spans="1:73" x14ac:dyDescent="0.3">
      <c r="A2025" s="25">
        <v>2025</v>
      </c>
      <c r="B2025" s="26" t="s">
        <v>2273</v>
      </c>
      <c r="C2025" s="26">
        <f>LN(Inventory[[#This Row],[Acres]])</f>
        <v>-1.8971199848858813</v>
      </c>
      <c r="D2025" s="25">
        <v>0.15</v>
      </c>
      <c r="E2025" s="31"/>
      <c r="F2025" s="26" t="s">
        <v>537</v>
      </c>
      <c r="G2025" s="26" t="s">
        <v>126</v>
      </c>
      <c r="H2025" s="26" t="s">
        <v>349</v>
      </c>
      <c r="I2025" s="26" t="s">
        <v>538</v>
      </c>
      <c r="J2025" s="26" t="s">
        <v>539</v>
      </c>
      <c r="K2025" s="26" t="s">
        <v>269</v>
      </c>
      <c r="L2025" s="26" t="s">
        <v>302</v>
      </c>
      <c r="M2025" s="26" t="s">
        <v>303</v>
      </c>
      <c r="N2025" s="26">
        <v>100</v>
      </c>
      <c r="O2025" s="26">
        <f>2024-Inventory[[#This Row],[YrBlt]]</f>
        <v>99</v>
      </c>
      <c r="P2025" s="26">
        <f>2024-Inventory[[#This Row],[EffYr]]</f>
        <v>56</v>
      </c>
      <c r="Q2025" s="25">
        <v>1925</v>
      </c>
      <c r="R2025" s="25">
        <v>1968</v>
      </c>
      <c r="S2025" s="25">
        <v>1108</v>
      </c>
      <c r="T2025" s="27"/>
      <c r="U2025" s="25">
        <v>1108</v>
      </c>
      <c r="V2025" s="25">
        <f>Inventory[[#This Row],[Bsmt]]-Inventory[[#This Row],[FnBsmt]]</f>
        <v>0</v>
      </c>
      <c r="W2025" s="25">
        <v>1108</v>
      </c>
      <c r="X2025" s="27"/>
      <c r="Y2025" s="27">
        <f>Inventory[[#This Row],[MainFn]]+Inventory[[#This Row],[UpprFn]]+Inventory[[#This Row],[FnBsmt]]+Inventory[[#This Row],[AddFn]]</f>
        <v>2216</v>
      </c>
      <c r="Z2025" s="27">
        <v>2500</v>
      </c>
      <c r="AA2025" s="25">
        <v>8</v>
      </c>
      <c r="AB2025" s="31"/>
      <c r="AC2025" s="27"/>
      <c r="AD2025" s="27"/>
      <c r="AE2025" s="27"/>
      <c r="AF2025" s="27"/>
      <c r="AG2025" s="27"/>
      <c r="AH2025" s="27"/>
      <c r="AI2025" s="25">
        <v>323926</v>
      </c>
      <c r="AJ2025" s="25">
        <v>213791</v>
      </c>
      <c r="AK2025" s="25">
        <v>6724</v>
      </c>
      <c r="AL2025" s="25">
        <v>348300</v>
      </c>
      <c r="AM2025" s="25">
        <v>48400</v>
      </c>
      <c r="AN2025" s="25">
        <v>299900</v>
      </c>
      <c r="AO2025" s="25">
        <v>0</v>
      </c>
      <c r="AP2025" s="25">
        <f>Lookups!$B$56*0</f>
        <v>0</v>
      </c>
      <c r="AQ2025" s="25">
        <f>Lookups!$B$56*1</f>
        <v>89850.625589999996</v>
      </c>
      <c r="AR2025" s="25">
        <f>Lookups!$B$57*Inventory[[#This Row],[LnAcres]]</f>
        <v>-60052.604136134301</v>
      </c>
      <c r="AS2025" s="25">
        <f>VLOOKUP(Inventory[[#This Row],[Qlty]],Lookups!$A$62:$E$75,2,FALSE)</f>
        <v>29814.093161000001</v>
      </c>
      <c r="AT2025" s="25">
        <f>VLOOKUP(Inventory[[#This Row],[Cnd]],Lookups!$A$76:$E$84,2,FALSE)</f>
        <v>197752.34721000001</v>
      </c>
      <c r="AU2025" s="25">
        <f>Inventory[[#This Row],[EffAge]]*Lookups!$B$85</f>
        <v>-12490.553628</v>
      </c>
      <c r="AV2025" s="25">
        <f>Inventory[[#This Row],[MainFn]]*Lookups!$B$86</f>
        <v>54744.806223716005</v>
      </c>
      <c r="AW2025" s="25">
        <f>Inventory[[#This Row],[UpprFn]]*Lookups!$B$87</f>
        <v>0</v>
      </c>
      <c r="AX2025" s="25">
        <f>Inventory[[#This Row],[AddFn]]*Lookups!$B$88</f>
        <v>0</v>
      </c>
      <c r="AY2025" s="25">
        <f>Inventory[[#This Row],[Bsmt]]*Lookups!$B$89</f>
        <v>32222.739933675999</v>
      </c>
      <c r="AZ2025" s="25">
        <f>Inventory[[#This Row],[Fixtures]]*Lookups!$B$90</f>
        <v>30336.176841600001</v>
      </c>
      <c r="BA2025" s="25">
        <f>Inventory[[#This Row],[WdDeck]]*Lookups!$B$91</f>
        <v>0</v>
      </c>
      <c r="BB2025" s="25">
        <f>ROUND(Inventory[[#This Row],[25Det]],-2)</f>
        <v>6700</v>
      </c>
      <c r="BC2025" s="25">
        <f>ROUND(SUM(Inventory[[#This Row],[Mdl Qlty]:[Mdl WdDeck]])+Inventory[[#This Row],[Mdl Res Intercept]],-2)</f>
        <v>332400</v>
      </c>
      <c r="BD2025" s="25">
        <f>ROUND(Inventory[[#This Row],[Mdl Land Intercept]]+Inventory[[#This Row],[Mdl LnAcres]],-2)</f>
        <v>29800</v>
      </c>
      <c r="BE2025" s="25">
        <f>Inventory[[#This Row],[Unadj Res Value]]+Inventory[[#This Row],[Unadj Det Value]]+Inventory[[#This Row],[Unadj Land Value]]</f>
        <v>368900</v>
      </c>
      <c r="BF2025" s="36">
        <f>(Inventory[[#This Row],[Unadj Total Value]]-Inventory[[#This Row],[24Final]])/Inventory[[#This Row],[24Final]]</f>
        <v>5.9144415733563022E-2</v>
      </c>
      <c r="BG2025" s="25">
        <f>VLOOKUP(Inventory[[#This Row],[Nbhd]],Lookups!$Q$2:$T$4,4,FALSE)</f>
        <v>0.99970000000000003</v>
      </c>
      <c r="BH2025" s="25">
        <f>VLOOKUP(Inventory[[#This Row],[Qlty]],Lookups!$O$7:$R$21,4,FALSE)</f>
        <v>1.0088999999999999</v>
      </c>
      <c r="BI2025" s="25">
        <f>VLOOKUP(Inventory[[#This Row],[Cnd]],Lookups!$T$7:$W$16,4,FALSE)</f>
        <v>0.99650000000000005</v>
      </c>
      <c r="BJ2025" s="25">
        <f>VLOOKUP(Inventory[[#This Row],[LivArea Range]],Lookups!$T$25:$W$37,4,FALSE)</f>
        <v>0.98919999999999997</v>
      </c>
      <c r="BK2025" s="25">
        <f>VLOOKUP(Inventory[[#This Row],[Decade]],Lookups!$O$25:$R$42,4,FALSE)</f>
        <v>1.0074000000000001</v>
      </c>
      <c r="BL2025" s="25">
        <f>Inventory[[#This Row],[Nbhd Adj]]*0.95</f>
        <v>0.94971499999999998</v>
      </c>
      <c r="BM2025" s="25">
        <f>Inventory[[#This Row],[Nbhd Adj]]*Inventory[[#This Row],[Quality Adj]]*Inventory[[#This Row],[Condition Adj]]*Inventory[[#This Row],[Living Area Adj]]*Inventory[[#This Row],[Decade Adj]]*0.95</f>
        <v>0.95149120146958555</v>
      </c>
      <c r="BN2025" s="25">
        <f>ROUND(SUM(Inventory[[#This Row],[Mdl Qlty]:[Mdl WdDeck]])+Inventory[[#This Row],[Mdl Res Intercept]]*Inventory[[#This Row],[Res Adj ]],-2)</f>
        <v>332400</v>
      </c>
      <c r="BO2025" s="25">
        <f>ROUND(Inventory[[#This Row],[25Det]]*Inventory[[#This Row],[Det/Nbhd Adj]],-2)</f>
        <v>6400</v>
      </c>
      <c r="BP2025" s="25">
        <f>Inventory[[#This Row],[Adjusted Res]]+Inventory[[#This Row],[Adj Det ]]</f>
        <v>338800</v>
      </c>
      <c r="BQ2025" s="25">
        <f>ROUND((Inventory[[#This Row],[Mdl Land Intercept]]+Inventory[[#This Row],[Mdl LnAcres]])*Inventory[[#This Row],[Det/Nbhd Adj]],-2)</f>
        <v>28300</v>
      </c>
      <c r="BR2025" s="25">
        <f>Inventory[[#This Row],[Adjusted Impr Total]]+Inventory[[#This Row],[Adjusted Land Total]]</f>
        <v>367100</v>
      </c>
      <c r="BS2025" s="36">
        <f>IFERROR((Inventory[[#This Row],[Adjusted Impr Total]]-Inventory[[#This Row],[24Bldg]])/Inventory[[#This Row],[24Bldg]],0)</f>
        <v>0.12970990330110035</v>
      </c>
      <c r="BT2025" s="36">
        <f>(Inventory[[#This Row],[Adjusted Land Total]]-Inventory[[#This Row],[24Lnd]])/Inventory[[#This Row],[24Lnd]]</f>
        <v>-0.41528925619834711</v>
      </c>
      <c r="BU2025" s="36">
        <f>(Inventory[[#This Row],[Adjusted Total]]-Inventory[[#This Row],[24Final]])/Inventory[[#This Row],[24Final]]</f>
        <v>5.3976457077232268E-2</v>
      </c>
    </row>
    <row r="2026" spans="1:73" x14ac:dyDescent="0.3">
      <c r="A2026" s="25">
        <v>2025</v>
      </c>
      <c r="B2026" s="26" t="s">
        <v>1811</v>
      </c>
      <c r="C2026" s="26">
        <f>LN(Inventory[[#This Row],[Acres]])</f>
        <v>-1.7719568419318752</v>
      </c>
      <c r="D2026" s="25">
        <v>0.17</v>
      </c>
      <c r="E2026" s="32">
        <v>7560</v>
      </c>
      <c r="F2026" s="26" t="s">
        <v>537</v>
      </c>
      <c r="G2026" s="26" t="s">
        <v>126</v>
      </c>
      <c r="H2026" s="26" t="s">
        <v>349</v>
      </c>
      <c r="I2026" s="26" t="s">
        <v>538</v>
      </c>
      <c r="J2026" s="26" t="s">
        <v>539</v>
      </c>
      <c r="K2026" s="26" t="s">
        <v>173</v>
      </c>
      <c r="L2026" s="26" t="s">
        <v>302</v>
      </c>
      <c r="M2026" s="26" t="s">
        <v>323</v>
      </c>
      <c r="N2026" s="26">
        <v>100</v>
      </c>
      <c r="O2026" s="26">
        <f>2024-Inventory[[#This Row],[YrBlt]]</f>
        <v>99</v>
      </c>
      <c r="P2026" s="26">
        <f>2024-Inventory[[#This Row],[EffYr]]</f>
        <v>56</v>
      </c>
      <c r="Q2026" s="25">
        <v>1925</v>
      </c>
      <c r="R2026" s="25">
        <v>1968</v>
      </c>
      <c r="S2026" s="25">
        <v>1228</v>
      </c>
      <c r="T2026" s="32">
        <v>524</v>
      </c>
      <c r="U2026" s="25">
        <v>1048</v>
      </c>
      <c r="V2026" s="32">
        <f>Inventory[[#This Row],[Bsmt]]-Inventory[[#This Row],[FnBsmt]]</f>
        <v>262</v>
      </c>
      <c r="W2026" s="32">
        <v>786</v>
      </c>
      <c r="X2026" s="27"/>
      <c r="Y2026" s="27">
        <f>Inventory[[#This Row],[MainFn]]+Inventory[[#This Row],[UpprFn]]+Inventory[[#This Row],[FnBsmt]]+Inventory[[#This Row],[AddFn]]</f>
        <v>2538</v>
      </c>
      <c r="Z2026" s="27">
        <v>3000</v>
      </c>
      <c r="AA2026" s="25">
        <v>11</v>
      </c>
      <c r="AB2026" s="31"/>
      <c r="AC2026" s="27"/>
      <c r="AD2026" s="32">
        <v>452</v>
      </c>
      <c r="AE2026" s="27"/>
      <c r="AF2026" s="27"/>
      <c r="AG2026" s="27"/>
      <c r="AH2026" s="27"/>
      <c r="AI2026" s="25">
        <v>408928</v>
      </c>
      <c r="AJ2026" s="25">
        <v>261714</v>
      </c>
      <c r="AK2026" s="25">
        <v>0</v>
      </c>
      <c r="AL2026" s="25">
        <v>361800</v>
      </c>
      <c r="AM2026" s="25">
        <v>52700</v>
      </c>
      <c r="AN2026" s="25">
        <v>309100</v>
      </c>
      <c r="AO2026" s="25">
        <v>0</v>
      </c>
      <c r="AP2026" s="25">
        <f>Lookups!$B$56*0</f>
        <v>0</v>
      </c>
      <c r="AQ2026" s="25">
        <f>Lookups!$B$56*1</f>
        <v>89850.625589999996</v>
      </c>
      <c r="AR2026" s="25">
        <f>Lookups!$B$57*Inventory[[#This Row],[LnAcres]]</f>
        <v>-56090.612940989391</v>
      </c>
      <c r="AS2026" s="25">
        <f>VLOOKUP(Inventory[[#This Row],[Qlty]],Lookups!$A$62:$E$75,2,FALSE)</f>
        <v>29814.093161000001</v>
      </c>
      <c r="AT2026" s="25">
        <f>VLOOKUP(Inventory[[#This Row],[Cnd]],Lookups!$A$76:$E$84,2,FALSE)</f>
        <v>160472.20319</v>
      </c>
      <c r="AU2026" s="25">
        <f>Inventory[[#This Row],[EffAge]]*Lookups!$B$85</f>
        <v>-12490.553628</v>
      </c>
      <c r="AV2026" s="25">
        <f>Inventory[[#This Row],[MainFn]]*Lookups!$B$86</f>
        <v>60673.846608956002</v>
      </c>
      <c r="AW2026" s="25">
        <f>Inventory[[#This Row],[UpprFn]]*Lookups!$B$87</f>
        <v>23468.085579163999</v>
      </c>
      <c r="AX2026" s="25">
        <f>Inventory[[#This Row],[AddFn]]*Lookups!$B$88</f>
        <v>0</v>
      </c>
      <c r="AY2026" s="25">
        <f>Inventory[[#This Row],[Bsmt]]*Lookups!$B$89</f>
        <v>30477.826218856</v>
      </c>
      <c r="AZ2026" s="25">
        <f>Inventory[[#This Row],[Fixtures]]*Lookups!$B$90</f>
        <v>41712.243157199999</v>
      </c>
      <c r="BA2026" s="25">
        <f>Inventory[[#This Row],[WdDeck]]*Lookups!$B$91</f>
        <v>15049.572904752002</v>
      </c>
      <c r="BB2026" s="25">
        <f>ROUND(Inventory[[#This Row],[25Det]],-2)</f>
        <v>0</v>
      </c>
      <c r="BC2026" s="25">
        <f>ROUND(SUM(Inventory[[#This Row],[Mdl Qlty]:[Mdl WdDeck]])+Inventory[[#This Row],[Mdl Res Intercept]],-2)</f>
        <v>349200</v>
      </c>
      <c r="BD2026" s="25">
        <f>ROUND(Inventory[[#This Row],[Mdl Land Intercept]]+Inventory[[#This Row],[Mdl LnAcres]],-2)</f>
        <v>33800</v>
      </c>
      <c r="BE2026" s="25">
        <f>Inventory[[#This Row],[Unadj Res Value]]+Inventory[[#This Row],[Unadj Det Value]]+Inventory[[#This Row],[Unadj Land Value]]</f>
        <v>383000</v>
      </c>
      <c r="BF2026" s="36">
        <f>(Inventory[[#This Row],[Unadj Total Value]]-Inventory[[#This Row],[24Final]])/Inventory[[#This Row],[24Final]]</f>
        <v>5.8595909342177996E-2</v>
      </c>
      <c r="BG2026" s="25">
        <f>VLOOKUP(Inventory[[#This Row],[Nbhd]],Lookups!$Q$2:$T$4,4,FALSE)</f>
        <v>0.99970000000000003</v>
      </c>
      <c r="BH2026" s="25">
        <f>VLOOKUP(Inventory[[#This Row],[Qlty]],Lookups!$O$7:$R$21,4,FALSE)</f>
        <v>1.0088999999999999</v>
      </c>
      <c r="BI2026" s="25">
        <f>VLOOKUP(Inventory[[#This Row],[Cnd]],Lookups!$T$7:$W$16,4,FALSE)</f>
        <v>0.99729999999999996</v>
      </c>
      <c r="BJ2026" s="25">
        <f>VLOOKUP(Inventory[[#This Row],[LivArea Range]],Lookups!$T$25:$W$37,4,FALSE)</f>
        <v>0.96179999999999999</v>
      </c>
      <c r="BK2026" s="25">
        <f>VLOOKUP(Inventory[[#This Row],[Decade]],Lookups!$O$25:$R$42,4,FALSE)</f>
        <v>1.0074000000000001</v>
      </c>
      <c r="BL2026" s="25">
        <f>Inventory[[#This Row],[Nbhd Adj]]*0.95</f>
        <v>0.94971499999999998</v>
      </c>
      <c r="BM2026" s="25">
        <f>Inventory[[#This Row],[Nbhd Adj]]*Inventory[[#This Row],[Quality Adj]]*Inventory[[#This Row],[Condition Adj]]*Inventory[[#This Row],[Living Area Adj]]*Inventory[[#This Row],[Decade Adj]]*0.95</f>
        <v>0.92587841120833458</v>
      </c>
      <c r="BN2026" s="25">
        <f>ROUND(SUM(Inventory[[#This Row],[Mdl Qlty]:[Mdl WdDeck]])+Inventory[[#This Row],[Mdl Res Intercept]]*Inventory[[#This Row],[Res Adj ]],-2)</f>
        <v>349200</v>
      </c>
      <c r="BO2026" s="25">
        <f>ROUND(Inventory[[#This Row],[25Det]]*Inventory[[#This Row],[Det/Nbhd Adj]],-2)</f>
        <v>0</v>
      </c>
      <c r="BP2026" s="25">
        <f>Inventory[[#This Row],[Adjusted Res]]+Inventory[[#This Row],[Adj Det ]]</f>
        <v>349200</v>
      </c>
      <c r="BQ2026" s="25">
        <f>ROUND((Inventory[[#This Row],[Mdl Land Intercept]]+Inventory[[#This Row],[Mdl LnAcres]])*Inventory[[#This Row],[Det/Nbhd Adj]],-2)</f>
        <v>32100</v>
      </c>
      <c r="BR2026" s="25">
        <f>Inventory[[#This Row],[Adjusted Impr Total]]+Inventory[[#This Row],[Adjusted Land Total]]</f>
        <v>381300</v>
      </c>
      <c r="BS2026" s="36">
        <f>IFERROR((Inventory[[#This Row],[Adjusted Impr Total]]-Inventory[[#This Row],[24Bldg]])/Inventory[[#This Row],[24Bldg]],0)</f>
        <v>0.12973147848592689</v>
      </c>
      <c r="BT2026" s="36">
        <f>(Inventory[[#This Row],[Adjusted Land Total]]-Inventory[[#This Row],[24Lnd]])/Inventory[[#This Row],[24Lnd]]</f>
        <v>-0.39089184060721061</v>
      </c>
      <c r="BU2026" s="36">
        <f>(Inventory[[#This Row],[Adjusted Total]]-Inventory[[#This Row],[24Final]])/Inventory[[#This Row],[24Final]]</f>
        <v>5.3897180762852402E-2</v>
      </c>
    </row>
    <row r="2027" spans="1:73" x14ac:dyDescent="0.3">
      <c r="A2027" s="25">
        <v>2025</v>
      </c>
      <c r="B2027" s="26" t="s">
        <v>2345</v>
      </c>
      <c r="C2027" s="26">
        <f>LN(Inventory[[#This Row],[Acres]])</f>
        <v>-1.8325814637483102</v>
      </c>
      <c r="D2027" s="25">
        <v>0.16</v>
      </c>
      <c r="E2027" s="27"/>
      <c r="F2027" s="26" t="s">
        <v>537</v>
      </c>
      <c r="G2027" s="26" t="s">
        <v>126</v>
      </c>
      <c r="H2027" s="26" t="s">
        <v>349</v>
      </c>
      <c r="I2027" s="26" t="s">
        <v>538</v>
      </c>
      <c r="J2027" s="26" t="s">
        <v>539</v>
      </c>
      <c r="K2027" s="26" t="s">
        <v>4</v>
      </c>
      <c r="L2027" s="26" t="s">
        <v>148</v>
      </c>
      <c r="M2027" s="26" t="s">
        <v>323</v>
      </c>
      <c r="N2027" s="26">
        <v>100</v>
      </c>
      <c r="O2027" s="26">
        <f>2024-Inventory[[#This Row],[YrBlt]]</f>
        <v>99</v>
      </c>
      <c r="P2027" s="26">
        <f>2024-Inventory[[#This Row],[EffYr]]</f>
        <v>56</v>
      </c>
      <c r="Q2027" s="25">
        <v>1925</v>
      </c>
      <c r="R2027" s="25">
        <v>1968</v>
      </c>
      <c r="S2027" s="25">
        <v>1106</v>
      </c>
      <c r="T2027" s="31"/>
      <c r="U2027" s="25">
        <v>1106</v>
      </c>
      <c r="V2027" s="25">
        <f>Inventory[[#This Row],[Bsmt]]-Inventory[[#This Row],[FnBsmt]]</f>
        <v>553</v>
      </c>
      <c r="W2027" s="25">
        <v>553</v>
      </c>
      <c r="X2027" s="27"/>
      <c r="Y2027" s="27">
        <f>Inventory[[#This Row],[MainFn]]+Inventory[[#This Row],[UpprFn]]+Inventory[[#This Row],[FnBsmt]]+Inventory[[#This Row],[AddFn]]</f>
        <v>1659</v>
      </c>
      <c r="Z2027" s="27">
        <v>2000</v>
      </c>
      <c r="AA2027" s="25">
        <v>6</v>
      </c>
      <c r="AB2027" s="27"/>
      <c r="AC2027" s="27"/>
      <c r="AD2027" s="27"/>
      <c r="AE2027" s="27"/>
      <c r="AF2027" s="27"/>
      <c r="AG2027" s="27"/>
      <c r="AH2027" s="27"/>
      <c r="AI2027" s="25">
        <v>326716</v>
      </c>
      <c r="AJ2027" s="25">
        <v>209098</v>
      </c>
      <c r="AK2027" s="25">
        <v>4877</v>
      </c>
      <c r="AL2027" s="25">
        <v>319300</v>
      </c>
      <c r="AM2027" s="25">
        <v>50600</v>
      </c>
      <c r="AN2027" s="25">
        <v>268700</v>
      </c>
      <c r="AO2027" s="25">
        <v>0</v>
      </c>
      <c r="AP2027" s="25">
        <f>Lookups!$B$56*0</f>
        <v>0</v>
      </c>
      <c r="AQ2027" s="25">
        <f>Lookups!$B$56*1</f>
        <v>89850.625589999996</v>
      </c>
      <c r="AR2027" s="25">
        <f>Lookups!$B$57*Inventory[[#This Row],[LnAcres]]</f>
        <v>-58009.662049032086</v>
      </c>
      <c r="AS2027" s="25">
        <f>VLOOKUP(Inventory[[#This Row],[Qlty]],Lookups!$A$62:$E$75,2,FALSE)</f>
        <v>44121.038090000002</v>
      </c>
      <c r="AT2027" s="25">
        <f>VLOOKUP(Inventory[[#This Row],[Cnd]],Lookups!$A$76:$E$84,2,FALSE)</f>
        <v>160472.20319</v>
      </c>
      <c r="AU2027" s="25">
        <f>Inventory[[#This Row],[EffAge]]*Lookups!$B$85</f>
        <v>-12490.553628</v>
      </c>
      <c r="AV2027" s="25">
        <f>Inventory[[#This Row],[MainFn]]*Lookups!$B$86</f>
        <v>54645.988883962003</v>
      </c>
      <c r="AW2027" s="25">
        <f>Inventory[[#This Row],[UpprFn]]*Lookups!$B$87</f>
        <v>0</v>
      </c>
      <c r="AX2027" s="25">
        <f>Inventory[[#This Row],[AddFn]]*Lookups!$B$88</f>
        <v>0</v>
      </c>
      <c r="AY2027" s="25">
        <f>Inventory[[#This Row],[Bsmt]]*Lookups!$B$89</f>
        <v>32164.576143181999</v>
      </c>
      <c r="AZ2027" s="25">
        <f>Inventory[[#This Row],[Fixtures]]*Lookups!$B$90</f>
        <v>22752.132631200002</v>
      </c>
      <c r="BA2027" s="25">
        <f>Inventory[[#This Row],[WdDeck]]*Lookups!$B$91</f>
        <v>0</v>
      </c>
      <c r="BB2027" s="25">
        <f>ROUND(Inventory[[#This Row],[25Det]],-2)</f>
        <v>4900</v>
      </c>
      <c r="BC2027" s="25">
        <f>ROUND(SUM(Inventory[[#This Row],[Mdl Qlty]:[Mdl WdDeck]])+Inventory[[#This Row],[Mdl Res Intercept]],-2)</f>
        <v>301700</v>
      </c>
      <c r="BD2027" s="25">
        <f>ROUND(Inventory[[#This Row],[Mdl Land Intercept]]+Inventory[[#This Row],[Mdl LnAcres]],-2)</f>
        <v>31800</v>
      </c>
      <c r="BE2027" s="25">
        <f>Inventory[[#This Row],[Unadj Res Value]]+Inventory[[#This Row],[Unadj Det Value]]+Inventory[[#This Row],[Unadj Land Value]]</f>
        <v>338400</v>
      </c>
      <c r="BF2027" s="36">
        <f>(Inventory[[#This Row],[Unadj Total Value]]-Inventory[[#This Row],[24Final]])/Inventory[[#This Row],[24Final]]</f>
        <v>5.9818352646414032E-2</v>
      </c>
      <c r="BG2027" s="25">
        <f>VLOOKUP(Inventory[[#This Row],[Nbhd]],Lookups!$Q$2:$T$4,4,FALSE)</f>
        <v>0.99970000000000003</v>
      </c>
      <c r="BH2027" s="25">
        <f>VLOOKUP(Inventory[[#This Row],[Qlty]],Lookups!$O$7:$R$21,4,FALSE)</f>
        <v>0.98050000000000004</v>
      </c>
      <c r="BI2027" s="25">
        <f>VLOOKUP(Inventory[[#This Row],[Cnd]],Lookups!$T$7:$W$16,4,FALSE)</f>
        <v>0.99729999999999996</v>
      </c>
      <c r="BJ2027" s="25">
        <f>VLOOKUP(Inventory[[#This Row],[LivArea Range]],Lookups!$T$25:$W$37,4,FALSE)</f>
        <v>1.0093000000000001</v>
      </c>
      <c r="BK2027" s="25">
        <f>VLOOKUP(Inventory[[#This Row],[Decade]],Lookups!$O$25:$R$42,4,FALSE)</f>
        <v>1.0074000000000001</v>
      </c>
      <c r="BL2027" s="25">
        <f>Inventory[[#This Row],[Nbhd Adj]]*0.95</f>
        <v>0.94971499999999998</v>
      </c>
      <c r="BM2027" s="25">
        <f>Inventory[[#This Row],[Nbhd Adj]]*Inventory[[#This Row],[Quality Adj]]*Inventory[[#This Row],[Condition Adj]]*Inventory[[#This Row],[Living Area Adj]]*Inventory[[#This Row],[Decade Adj]]*0.95</f>
        <v>0.9442542195464082</v>
      </c>
      <c r="BN2027" s="25">
        <f>ROUND(SUM(Inventory[[#This Row],[Mdl Qlty]:[Mdl WdDeck]])+Inventory[[#This Row],[Mdl Res Intercept]]*Inventory[[#This Row],[Res Adj ]],-2)</f>
        <v>301700</v>
      </c>
      <c r="BO2027" s="25">
        <f>ROUND(Inventory[[#This Row],[25Det]]*Inventory[[#This Row],[Det/Nbhd Adj]],-2)</f>
        <v>4600</v>
      </c>
      <c r="BP2027" s="25">
        <f>Inventory[[#This Row],[Adjusted Res]]+Inventory[[#This Row],[Adj Det ]]</f>
        <v>306300</v>
      </c>
      <c r="BQ2027" s="25">
        <f>ROUND((Inventory[[#This Row],[Mdl Land Intercept]]+Inventory[[#This Row],[Mdl LnAcres]])*Inventory[[#This Row],[Det/Nbhd Adj]],-2)</f>
        <v>30200</v>
      </c>
      <c r="BR2027" s="25">
        <f>Inventory[[#This Row],[Adjusted Impr Total]]+Inventory[[#This Row],[Adjusted Land Total]]</f>
        <v>336500</v>
      </c>
      <c r="BS2027" s="36">
        <f>IFERROR((Inventory[[#This Row],[Adjusted Impr Total]]-Inventory[[#This Row],[24Bldg]])/Inventory[[#This Row],[24Bldg]],0)</f>
        <v>0.13993301079270562</v>
      </c>
      <c r="BT2027" s="36">
        <f>(Inventory[[#This Row],[Adjusted Land Total]]-Inventory[[#This Row],[24Lnd]])/Inventory[[#This Row],[24Lnd]]</f>
        <v>-0.40316205533596838</v>
      </c>
      <c r="BU2027" s="36">
        <f>(Inventory[[#This Row],[Adjusted Total]]-Inventory[[#This Row],[24Final]])/Inventory[[#This Row],[24Final]]</f>
        <v>5.3867835891011587E-2</v>
      </c>
    </row>
    <row r="2028" spans="1:73" x14ac:dyDescent="0.3">
      <c r="A2028" s="25">
        <v>2025</v>
      </c>
      <c r="B2028" s="26" t="s">
        <v>2152</v>
      </c>
      <c r="C2028" s="26">
        <f>LN(Inventory[[#This Row],[Acres]])</f>
        <v>-1.5606477482646683</v>
      </c>
      <c r="D2028" s="25">
        <v>0.21</v>
      </c>
      <c r="E2028" s="32">
        <v>9163</v>
      </c>
      <c r="F2028" s="26" t="s">
        <v>537</v>
      </c>
      <c r="G2028" s="26" t="s">
        <v>126</v>
      </c>
      <c r="H2028" s="26" t="s">
        <v>349</v>
      </c>
      <c r="I2028" s="26" t="s">
        <v>538</v>
      </c>
      <c r="J2028" s="26" t="s">
        <v>638</v>
      </c>
      <c r="K2028" s="26" t="s">
        <v>269</v>
      </c>
      <c r="L2028" s="26" t="s">
        <v>205</v>
      </c>
      <c r="M2028" s="26" t="s">
        <v>323</v>
      </c>
      <c r="N2028" s="26">
        <v>100</v>
      </c>
      <c r="O2028" s="26">
        <f>2024-Inventory[[#This Row],[YrBlt]]</f>
        <v>99</v>
      </c>
      <c r="P2028" s="26">
        <f>2024-Inventory[[#This Row],[EffYr]]</f>
        <v>56</v>
      </c>
      <c r="Q2028" s="25">
        <v>1925</v>
      </c>
      <c r="R2028" s="25">
        <v>1968</v>
      </c>
      <c r="S2028" s="25">
        <v>648</v>
      </c>
      <c r="T2028" s="27"/>
      <c r="U2028" s="32">
        <v>648</v>
      </c>
      <c r="V2028" s="32">
        <f>Inventory[[#This Row],[Bsmt]]-Inventory[[#This Row],[FnBsmt]]</f>
        <v>648</v>
      </c>
      <c r="W2028" s="27"/>
      <c r="X2028" s="27"/>
      <c r="Y2028" s="27">
        <f>Inventory[[#This Row],[MainFn]]+Inventory[[#This Row],[UpprFn]]+Inventory[[#This Row],[FnBsmt]]+Inventory[[#This Row],[AddFn]]</f>
        <v>648</v>
      </c>
      <c r="Z2028" s="27">
        <v>1000</v>
      </c>
      <c r="AA2028" s="25">
        <v>5</v>
      </c>
      <c r="AB2028" s="27"/>
      <c r="AC2028" s="27"/>
      <c r="AD2028" s="27"/>
      <c r="AE2028" s="27"/>
      <c r="AF2028" s="27"/>
      <c r="AG2028" s="27"/>
      <c r="AH2028" s="27"/>
      <c r="AI2028" s="25">
        <v>132799</v>
      </c>
      <c r="AJ2028" s="25">
        <v>84991</v>
      </c>
      <c r="AK2028" s="25">
        <v>6325</v>
      </c>
      <c r="AL2028" s="25">
        <v>248800</v>
      </c>
      <c r="AM2028" s="25">
        <v>60100</v>
      </c>
      <c r="AN2028" s="25">
        <v>188700</v>
      </c>
      <c r="AO2028" s="25">
        <v>0</v>
      </c>
      <c r="AP2028" s="25">
        <f>Lookups!$B$56*0</f>
        <v>0</v>
      </c>
      <c r="AQ2028" s="25">
        <f>Lookups!$B$56*1</f>
        <v>89850.625589999996</v>
      </c>
      <c r="AR2028" s="25">
        <f>Lookups!$B$57*Inventory[[#This Row],[LnAcres]]</f>
        <v>-49401.70477837498</v>
      </c>
      <c r="AS2028" s="25">
        <f>VLOOKUP(Inventory[[#This Row],[Qlty]],Lookups!$A$62:$E$75,2,FALSE)</f>
        <v>0</v>
      </c>
      <c r="AT2028" s="25">
        <f>VLOOKUP(Inventory[[#This Row],[Cnd]],Lookups!$A$76:$E$84,2,FALSE)</f>
        <v>160472.20319</v>
      </c>
      <c r="AU2028" s="25">
        <f>Inventory[[#This Row],[EffAge]]*Lookups!$B$85</f>
        <v>-12490.553628</v>
      </c>
      <c r="AV2028" s="25">
        <f>Inventory[[#This Row],[MainFn]]*Lookups!$B$86</f>
        <v>32016.818080296001</v>
      </c>
      <c r="AW2028" s="25">
        <f>Inventory[[#This Row],[UpprFn]]*Lookups!$B$87</f>
        <v>0</v>
      </c>
      <c r="AX2028" s="25">
        <f>Inventory[[#This Row],[AddFn]]*Lookups!$B$88</f>
        <v>0</v>
      </c>
      <c r="AY2028" s="25">
        <f>Inventory[[#This Row],[Bsmt]]*Lookups!$B$89</f>
        <v>18845.068120055999</v>
      </c>
      <c r="AZ2028" s="25">
        <f>Inventory[[#This Row],[Fixtures]]*Lookups!$B$90</f>
        <v>18960.110526</v>
      </c>
      <c r="BA2028" s="25">
        <f>Inventory[[#This Row],[WdDeck]]*Lookups!$B$91</f>
        <v>0</v>
      </c>
      <c r="BB2028" s="25">
        <f>ROUND(Inventory[[#This Row],[25Det]],-2)</f>
        <v>6300</v>
      </c>
      <c r="BC2028" s="25">
        <f>ROUND(SUM(Inventory[[#This Row],[Mdl Qlty]:[Mdl WdDeck]])+Inventory[[#This Row],[Mdl Res Intercept]],-2)</f>
        <v>217800</v>
      </c>
      <c r="BD2028" s="25">
        <f>ROUND(Inventory[[#This Row],[Mdl Land Intercept]]+Inventory[[#This Row],[Mdl LnAcres]],-2)</f>
        <v>40400</v>
      </c>
      <c r="BE2028" s="25">
        <f>Inventory[[#This Row],[Unadj Res Value]]+Inventory[[#This Row],[Unadj Det Value]]+Inventory[[#This Row],[Unadj Land Value]]</f>
        <v>264500</v>
      </c>
      <c r="BF2028" s="36">
        <f>(Inventory[[#This Row],[Unadj Total Value]]-Inventory[[#This Row],[24Final]])/Inventory[[#This Row],[24Final]]</f>
        <v>6.3102893890675235E-2</v>
      </c>
      <c r="BG2028" s="25">
        <f>VLOOKUP(Inventory[[#This Row],[Nbhd]],Lookups!$Q$2:$T$4,4,FALSE)</f>
        <v>0.99970000000000003</v>
      </c>
      <c r="BH2028" s="25">
        <f>VLOOKUP(Inventory[[#This Row],[Qlty]],Lookups!$O$7:$R$21,4,FALSE)</f>
        <v>0.99180000000000001</v>
      </c>
      <c r="BI2028" s="25">
        <f>VLOOKUP(Inventory[[#This Row],[Cnd]],Lookups!$T$7:$W$16,4,FALSE)</f>
        <v>0.99729999999999996</v>
      </c>
      <c r="BJ2028" s="25">
        <f>VLOOKUP(Inventory[[#This Row],[LivArea Range]],Lookups!$T$25:$W$37,4,FALSE)</f>
        <v>1.0148999999999999</v>
      </c>
      <c r="BK2028" s="25">
        <f>VLOOKUP(Inventory[[#This Row],[Decade]],Lookups!$O$25:$R$42,4,FALSE)</f>
        <v>1.0074000000000001</v>
      </c>
      <c r="BL2028" s="25">
        <f>Inventory[[#This Row],[Nbhd Adj]]*0.95</f>
        <v>0.94971499999999998</v>
      </c>
      <c r="BM2028" s="25">
        <f>Inventory[[#This Row],[Nbhd Adj]]*Inventory[[#This Row],[Quality Adj]]*Inventory[[#This Row],[Condition Adj]]*Inventory[[#This Row],[Living Area Adj]]*Inventory[[#This Row],[Decade Adj]]*0.95</f>
        <v>0.96043597585476481</v>
      </c>
      <c r="BN2028" s="25">
        <f>ROUND(SUM(Inventory[[#This Row],[Mdl Qlty]:[Mdl WdDeck]])+Inventory[[#This Row],[Mdl Res Intercept]]*Inventory[[#This Row],[Res Adj ]],-2)</f>
        <v>217800</v>
      </c>
      <c r="BO2028" s="25">
        <f>ROUND(Inventory[[#This Row],[25Det]]*Inventory[[#This Row],[Det/Nbhd Adj]],-2)</f>
        <v>6000</v>
      </c>
      <c r="BP2028" s="25">
        <f>Inventory[[#This Row],[Adjusted Res]]+Inventory[[#This Row],[Adj Det ]]</f>
        <v>223800</v>
      </c>
      <c r="BQ2028" s="25">
        <f>ROUND((Inventory[[#This Row],[Mdl Land Intercept]]+Inventory[[#This Row],[Mdl LnAcres]])*Inventory[[#This Row],[Det/Nbhd Adj]],-2)</f>
        <v>38400</v>
      </c>
      <c r="BR2028" s="25">
        <f>Inventory[[#This Row],[Adjusted Impr Total]]+Inventory[[#This Row],[Adjusted Land Total]]</f>
        <v>262200</v>
      </c>
      <c r="BS2028" s="36">
        <f>IFERROR((Inventory[[#This Row],[Adjusted Impr Total]]-Inventory[[#This Row],[24Bldg]])/Inventory[[#This Row],[24Bldg]],0)</f>
        <v>0.18600953895071543</v>
      </c>
      <c r="BT2028" s="36">
        <f>(Inventory[[#This Row],[Adjusted Land Total]]-Inventory[[#This Row],[24Lnd]])/Inventory[[#This Row],[24Lnd]]</f>
        <v>-0.36106489184692181</v>
      </c>
      <c r="BU2028" s="36">
        <f>(Inventory[[#This Row],[Adjusted Total]]-Inventory[[#This Row],[24Final]])/Inventory[[#This Row],[24Final]]</f>
        <v>5.3858520900321546E-2</v>
      </c>
    </row>
    <row r="2029" spans="1:73" x14ac:dyDescent="0.3">
      <c r="A2029" s="25">
        <v>2025</v>
      </c>
      <c r="B2029" s="26" t="s">
        <v>2245</v>
      </c>
      <c r="C2029" s="26">
        <f>LN(Inventory[[#This Row],[Acres]])</f>
        <v>-1.0216512475319814</v>
      </c>
      <c r="D2029" s="25">
        <v>0.36</v>
      </c>
      <c r="E2029" s="32">
        <v>15776</v>
      </c>
      <c r="F2029" s="26" t="s">
        <v>537</v>
      </c>
      <c r="G2029" s="26" t="s">
        <v>126</v>
      </c>
      <c r="H2029" s="26" t="s">
        <v>349</v>
      </c>
      <c r="I2029" s="26" t="s">
        <v>538</v>
      </c>
      <c r="J2029" s="26" t="s">
        <v>539</v>
      </c>
      <c r="K2029" s="26" t="s">
        <v>147</v>
      </c>
      <c r="L2029" s="26" t="s">
        <v>148</v>
      </c>
      <c r="M2029" s="26" t="s">
        <v>303</v>
      </c>
      <c r="N2029" s="26">
        <v>100</v>
      </c>
      <c r="O2029" s="26">
        <f>2024-Inventory[[#This Row],[YrBlt]]</f>
        <v>99</v>
      </c>
      <c r="P2029" s="26">
        <f>2024-Inventory[[#This Row],[EffYr]]</f>
        <v>56</v>
      </c>
      <c r="Q2029" s="25">
        <v>1925</v>
      </c>
      <c r="R2029" s="25">
        <v>1968</v>
      </c>
      <c r="S2029" s="25">
        <v>1520</v>
      </c>
      <c r="T2029" s="32">
        <v>688</v>
      </c>
      <c r="U2029" s="31"/>
      <c r="V2029" s="31">
        <f>Inventory[[#This Row],[Bsmt]]-Inventory[[#This Row],[FnBsmt]]</f>
        <v>0</v>
      </c>
      <c r="W2029" s="31"/>
      <c r="X2029" s="27"/>
      <c r="Y2029" s="27">
        <f>Inventory[[#This Row],[MainFn]]+Inventory[[#This Row],[UpprFn]]+Inventory[[#This Row],[FnBsmt]]+Inventory[[#This Row],[AddFn]]</f>
        <v>2208</v>
      </c>
      <c r="Z2029" s="27">
        <v>2500</v>
      </c>
      <c r="AA2029" s="25">
        <v>8</v>
      </c>
      <c r="AB2029" s="27"/>
      <c r="AC2029" s="27"/>
      <c r="AD2029" s="31"/>
      <c r="AE2029" s="27"/>
      <c r="AF2029" s="27"/>
      <c r="AG2029" s="27"/>
      <c r="AH2029" s="27"/>
      <c r="AI2029" s="25">
        <v>422780</v>
      </c>
      <c r="AJ2029" s="25">
        <v>279035</v>
      </c>
      <c r="AK2029" s="25">
        <v>31364</v>
      </c>
      <c r="AL2029" s="25">
        <v>427100</v>
      </c>
      <c r="AM2029" s="25">
        <v>78900</v>
      </c>
      <c r="AN2029" s="25">
        <v>348200</v>
      </c>
      <c r="AO2029" s="25">
        <v>0</v>
      </c>
      <c r="AP2029" s="25">
        <f>Lookups!$B$56*0</f>
        <v>0</v>
      </c>
      <c r="AQ2029" s="25">
        <f>Lookups!$B$56*1</f>
        <v>89850.625589999996</v>
      </c>
      <c r="AR2029" s="25">
        <f>Lookups!$B$57*Inventory[[#This Row],[LnAcres]]</f>
        <v>-32339.977661938148</v>
      </c>
      <c r="AS2029" s="25">
        <f>VLOOKUP(Inventory[[#This Row],[Qlty]],Lookups!$A$62:$E$75,2,FALSE)</f>
        <v>44121.038090000002</v>
      </c>
      <c r="AT2029" s="25">
        <f>VLOOKUP(Inventory[[#This Row],[Cnd]],Lookups!$A$76:$E$84,2,FALSE)</f>
        <v>197752.34721000001</v>
      </c>
      <c r="AU2029" s="25">
        <f>Inventory[[#This Row],[EffAge]]*Lookups!$B$85</f>
        <v>-12490.553628</v>
      </c>
      <c r="AV2029" s="25">
        <f>Inventory[[#This Row],[MainFn]]*Lookups!$B$86</f>
        <v>75101.178213039995</v>
      </c>
      <c r="AW2029" s="25">
        <f>Inventory[[#This Row],[UpprFn]]*Lookups!$B$87</f>
        <v>30813.058928367998</v>
      </c>
      <c r="AX2029" s="25">
        <f>Inventory[[#This Row],[AddFn]]*Lookups!$B$88</f>
        <v>0</v>
      </c>
      <c r="AY2029" s="25">
        <f>Inventory[[#This Row],[Bsmt]]*Lookups!$B$89</f>
        <v>0</v>
      </c>
      <c r="AZ2029" s="25">
        <f>Inventory[[#This Row],[Fixtures]]*Lookups!$B$90</f>
        <v>30336.176841600001</v>
      </c>
      <c r="BA2029" s="25">
        <f>Inventory[[#This Row],[WdDeck]]*Lookups!$B$91</f>
        <v>0</v>
      </c>
      <c r="BB2029" s="25">
        <f>ROUND(Inventory[[#This Row],[25Det]],-2)</f>
        <v>31400</v>
      </c>
      <c r="BC2029" s="25">
        <f>ROUND(SUM(Inventory[[#This Row],[Mdl Qlty]:[Mdl WdDeck]])+Inventory[[#This Row],[Mdl Res Intercept]],-2)</f>
        <v>365600</v>
      </c>
      <c r="BD2029" s="25">
        <f>ROUND(Inventory[[#This Row],[Mdl Land Intercept]]+Inventory[[#This Row],[Mdl LnAcres]],-2)</f>
        <v>57500</v>
      </c>
      <c r="BE2029" s="25">
        <f>Inventory[[#This Row],[Unadj Res Value]]+Inventory[[#This Row],[Unadj Det Value]]+Inventory[[#This Row],[Unadj Land Value]]</f>
        <v>454500</v>
      </c>
      <c r="BF2029" s="36">
        <f>(Inventory[[#This Row],[Unadj Total Value]]-Inventory[[#This Row],[24Final]])/Inventory[[#This Row],[24Final]]</f>
        <v>6.4153594006087569E-2</v>
      </c>
      <c r="BG2029" s="25">
        <f>VLOOKUP(Inventory[[#This Row],[Nbhd]],Lookups!$Q$2:$T$4,4,FALSE)</f>
        <v>0.99970000000000003</v>
      </c>
      <c r="BH2029" s="25">
        <f>VLOOKUP(Inventory[[#This Row],[Qlty]],Lookups!$O$7:$R$21,4,FALSE)</f>
        <v>0.98050000000000004</v>
      </c>
      <c r="BI2029" s="25">
        <f>VLOOKUP(Inventory[[#This Row],[Cnd]],Lookups!$T$7:$W$16,4,FALSE)</f>
        <v>0.99650000000000005</v>
      </c>
      <c r="BJ2029" s="25">
        <f>VLOOKUP(Inventory[[#This Row],[LivArea Range]],Lookups!$T$25:$W$37,4,FALSE)</f>
        <v>0.98919999999999997</v>
      </c>
      <c r="BK2029" s="25">
        <f>VLOOKUP(Inventory[[#This Row],[Decade]],Lookups!$O$25:$R$42,4,FALSE)</f>
        <v>1.0074000000000001</v>
      </c>
      <c r="BL2029" s="25">
        <f>Inventory[[#This Row],[Nbhd Adj]]*0.95</f>
        <v>0.94971499999999998</v>
      </c>
      <c r="BM2029" s="25">
        <f>Inventory[[#This Row],[Nbhd Adj]]*Inventory[[#This Row],[Quality Adj]]*Inventory[[#This Row],[Condition Adj]]*Inventory[[#This Row],[Living Area Adj]]*Inventory[[#This Row],[Decade Adj]]*0.95</f>
        <v>0.9247072287054503</v>
      </c>
      <c r="BN2029" s="25">
        <f>ROUND(SUM(Inventory[[#This Row],[Mdl Qlty]:[Mdl WdDeck]])+Inventory[[#This Row],[Mdl Res Intercept]]*Inventory[[#This Row],[Res Adj ]],-2)</f>
        <v>365600</v>
      </c>
      <c r="BO2029" s="25">
        <f>ROUND(Inventory[[#This Row],[25Det]]*Inventory[[#This Row],[Det/Nbhd Adj]],-2)</f>
        <v>29800</v>
      </c>
      <c r="BP2029" s="25">
        <f>Inventory[[#This Row],[Adjusted Res]]+Inventory[[#This Row],[Adj Det ]]</f>
        <v>395400</v>
      </c>
      <c r="BQ2029" s="25">
        <f>ROUND((Inventory[[#This Row],[Mdl Land Intercept]]+Inventory[[#This Row],[Mdl LnAcres]])*Inventory[[#This Row],[Det/Nbhd Adj]],-2)</f>
        <v>54600</v>
      </c>
      <c r="BR2029" s="25">
        <f>Inventory[[#This Row],[Adjusted Impr Total]]+Inventory[[#This Row],[Adjusted Land Total]]</f>
        <v>450000</v>
      </c>
      <c r="BS2029" s="36">
        <f>IFERROR((Inventory[[#This Row],[Adjusted Impr Total]]-Inventory[[#This Row],[24Bldg]])/Inventory[[#This Row],[24Bldg]],0)</f>
        <v>0.13555427914991383</v>
      </c>
      <c r="BT2029" s="36">
        <f>(Inventory[[#This Row],[Adjusted Land Total]]-Inventory[[#This Row],[24Lnd]])/Inventory[[#This Row],[24Lnd]]</f>
        <v>-0.30798479087452474</v>
      </c>
      <c r="BU2029" s="36">
        <f>(Inventory[[#This Row],[Adjusted Total]]-Inventory[[#This Row],[24Final]])/Inventory[[#This Row],[24Final]]</f>
        <v>5.3617419808007494E-2</v>
      </c>
    </row>
    <row r="2030" spans="1:73" x14ac:dyDescent="0.3">
      <c r="A2030" s="25">
        <v>2025</v>
      </c>
      <c r="B2030" s="26" t="s">
        <v>2343</v>
      </c>
      <c r="C2030" s="26">
        <f>LN(Inventory[[#This Row],[Acres]])</f>
        <v>-1.8325814637483102</v>
      </c>
      <c r="D2030" s="25">
        <v>0.16</v>
      </c>
      <c r="E2030" s="27"/>
      <c r="F2030" s="26" t="s">
        <v>537</v>
      </c>
      <c r="G2030" s="26" t="s">
        <v>126</v>
      </c>
      <c r="H2030" s="26" t="s">
        <v>349</v>
      </c>
      <c r="I2030" s="26" t="s">
        <v>538</v>
      </c>
      <c r="J2030" s="26" t="s">
        <v>539</v>
      </c>
      <c r="K2030" s="26" t="s">
        <v>242</v>
      </c>
      <c r="L2030" s="26" t="s">
        <v>351</v>
      </c>
      <c r="M2030" s="26" t="s">
        <v>323</v>
      </c>
      <c r="N2030" s="26">
        <v>100</v>
      </c>
      <c r="O2030" s="26">
        <f>2024-Inventory[[#This Row],[YrBlt]]</f>
        <v>99</v>
      </c>
      <c r="P2030" s="26">
        <f>2024-Inventory[[#This Row],[EffYr]]</f>
        <v>56</v>
      </c>
      <c r="Q2030" s="25">
        <v>1925</v>
      </c>
      <c r="R2030" s="25">
        <v>1968</v>
      </c>
      <c r="S2030" s="25">
        <v>1149</v>
      </c>
      <c r="T2030" s="31"/>
      <c r="U2030" s="25">
        <v>1149</v>
      </c>
      <c r="V2030" s="25">
        <f>Inventory[[#This Row],[Bsmt]]-Inventory[[#This Row],[FnBsmt]]</f>
        <v>574</v>
      </c>
      <c r="W2030" s="25">
        <v>575</v>
      </c>
      <c r="X2030" s="27"/>
      <c r="Y2030" s="27">
        <f>Inventory[[#This Row],[MainFn]]+Inventory[[#This Row],[UpprFn]]+Inventory[[#This Row],[FnBsmt]]+Inventory[[#This Row],[AddFn]]</f>
        <v>1724</v>
      </c>
      <c r="Z2030" s="27">
        <v>2000</v>
      </c>
      <c r="AA2030" s="25">
        <v>8</v>
      </c>
      <c r="AB2030" s="27"/>
      <c r="AC2030" s="27"/>
      <c r="AD2030" s="27"/>
      <c r="AE2030" s="27"/>
      <c r="AF2030" s="27"/>
      <c r="AG2030" s="27"/>
      <c r="AH2030" s="27"/>
      <c r="AI2030" s="25">
        <v>256287</v>
      </c>
      <c r="AJ2030" s="25">
        <v>164024</v>
      </c>
      <c r="AK2030" s="25">
        <v>5261</v>
      </c>
      <c r="AL2030" s="25">
        <v>308800</v>
      </c>
      <c r="AM2030" s="25">
        <v>50600</v>
      </c>
      <c r="AN2030" s="25">
        <v>258200</v>
      </c>
      <c r="AO2030" s="25">
        <v>0</v>
      </c>
      <c r="AP2030" s="25">
        <f>Lookups!$B$56*0</f>
        <v>0</v>
      </c>
      <c r="AQ2030" s="25">
        <f>Lookups!$B$56*1</f>
        <v>89850.625589999996</v>
      </c>
      <c r="AR2030" s="25">
        <f>Lookups!$B$57*Inventory[[#This Row],[LnAcres]]</f>
        <v>-58009.662049032086</v>
      </c>
      <c r="AS2030" s="25">
        <f>VLOOKUP(Inventory[[#This Row],[Qlty]],Lookups!$A$62:$E$75,2,FALSE)</f>
        <v>21557.329055999999</v>
      </c>
      <c r="AT2030" s="25">
        <f>VLOOKUP(Inventory[[#This Row],[Cnd]],Lookups!$A$76:$E$84,2,FALSE)</f>
        <v>160472.20319</v>
      </c>
      <c r="AU2030" s="25">
        <f>Inventory[[#This Row],[EffAge]]*Lookups!$B$85</f>
        <v>-12490.553628</v>
      </c>
      <c r="AV2030" s="25">
        <f>Inventory[[#This Row],[MainFn]]*Lookups!$B$86</f>
        <v>56770.561688672999</v>
      </c>
      <c r="AW2030" s="25">
        <f>Inventory[[#This Row],[UpprFn]]*Lookups!$B$87</f>
        <v>0</v>
      </c>
      <c r="AX2030" s="25">
        <f>Inventory[[#This Row],[AddFn]]*Lookups!$B$88</f>
        <v>0</v>
      </c>
      <c r="AY2030" s="25">
        <f>Inventory[[#This Row],[Bsmt]]*Lookups!$B$89</f>
        <v>33415.097638802996</v>
      </c>
      <c r="AZ2030" s="25">
        <f>Inventory[[#This Row],[Fixtures]]*Lookups!$B$90</f>
        <v>30336.176841600001</v>
      </c>
      <c r="BA2030" s="25">
        <f>Inventory[[#This Row],[WdDeck]]*Lookups!$B$91</f>
        <v>0</v>
      </c>
      <c r="BB2030" s="25">
        <f>ROUND(Inventory[[#This Row],[25Det]],-2)</f>
        <v>5300</v>
      </c>
      <c r="BC2030" s="25">
        <f>ROUND(SUM(Inventory[[#This Row],[Mdl Qlty]:[Mdl WdDeck]])+Inventory[[#This Row],[Mdl Res Intercept]],-2)</f>
        <v>290100</v>
      </c>
      <c r="BD2030" s="25">
        <f>ROUND(Inventory[[#This Row],[Mdl Land Intercept]]+Inventory[[#This Row],[Mdl LnAcres]],-2)</f>
        <v>31800</v>
      </c>
      <c r="BE2030" s="25">
        <f>Inventory[[#This Row],[Unadj Res Value]]+Inventory[[#This Row],[Unadj Det Value]]+Inventory[[#This Row],[Unadj Land Value]]</f>
        <v>327200</v>
      </c>
      <c r="BF2030" s="36">
        <f>(Inventory[[#This Row],[Unadj Total Value]]-Inventory[[#This Row],[24Final]])/Inventory[[#This Row],[24Final]]</f>
        <v>5.9585492227979271E-2</v>
      </c>
      <c r="BG2030" s="25">
        <f>VLOOKUP(Inventory[[#This Row],[Nbhd]],Lookups!$Q$2:$T$4,4,FALSE)</f>
        <v>0.99970000000000003</v>
      </c>
      <c r="BH2030" s="25">
        <f>VLOOKUP(Inventory[[#This Row],[Qlty]],Lookups!$O$7:$R$21,4,FALSE)</f>
        <v>1.0067999999999999</v>
      </c>
      <c r="BI2030" s="25">
        <f>VLOOKUP(Inventory[[#This Row],[Cnd]],Lookups!$T$7:$W$16,4,FALSE)</f>
        <v>0.99729999999999996</v>
      </c>
      <c r="BJ2030" s="25">
        <f>VLOOKUP(Inventory[[#This Row],[LivArea Range]],Lookups!$T$25:$W$37,4,FALSE)</f>
        <v>1.0093000000000001</v>
      </c>
      <c r="BK2030" s="25">
        <f>VLOOKUP(Inventory[[#This Row],[Decade]],Lookups!$O$25:$R$42,4,FALSE)</f>
        <v>1.0074000000000001</v>
      </c>
      <c r="BL2030" s="25">
        <f>Inventory[[#This Row],[Nbhd Adj]]*0.95</f>
        <v>0.94971499999999998</v>
      </c>
      <c r="BM2030" s="25">
        <f>Inventory[[#This Row],[Nbhd Adj]]*Inventory[[#This Row],[Quality Adj]]*Inventory[[#This Row],[Condition Adj]]*Inventory[[#This Row],[Living Area Adj]]*Inventory[[#This Row],[Decade Adj]]*0.95</f>
        <v>0.96958199718441984</v>
      </c>
      <c r="BN2030" s="25">
        <f>ROUND(SUM(Inventory[[#This Row],[Mdl Qlty]:[Mdl WdDeck]])+Inventory[[#This Row],[Mdl Res Intercept]]*Inventory[[#This Row],[Res Adj ]],-2)</f>
        <v>290100</v>
      </c>
      <c r="BO2030" s="25">
        <f>ROUND(Inventory[[#This Row],[25Det]]*Inventory[[#This Row],[Det/Nbhd Adj]],-2)</f>
        <v>5000</v>
      </c>
      <c r="BP2030" s="25">
        <f>Inventory[[#This Row],[Adjusted Res]]+Inventory[[#This Row],[Adj Det ]]</f>
        <v>295100</v>
      </c>
      <c r="BQ2030" s="25">
        <f>ROUND((Inventory[[#This Row],[Mdl Land Intercept]]+Inventory[[#This Row],[Mdl LnAcres]])*Inventory[[#This Row],[Det/Nbhd Adj]],-2)</f>
        <v>30200</v>
      </c>
      <c r="BR2030" s="25">
        <f>Inventory[[#This Row],[Adjusted Impr Total]]+Inventory[[#This Row],[Adjusted Land Total]]</f>
        <v>325300</v>
      </c>
      <c r="BS2030" s="36">
        <f>IFERROR((Inventory[[#This Row],[Adjusted Impr Total]]-Inventory[[#This Row],[24Bldg]])/Inventory[[#This Row],[24Bldg]],0)</f>
        <v>0.14291247095274981</v>
      </c>
      <c r="BT2030" s="36">
        <f>(Inventory[[#This Row],[Adjusted Land Total]]-Inventory[[#This Row],[24Lnd]])/Inventory[[#This Row],[24Lnd]]</f>
        <v>-0.40316205533596838</v>
      </c>
      <c r="BU2030" s="36">
        <f>(Inventory[[#This Row],[Adjusted Total]]-Inventory[[#This Row],[24Final]])/Inventory[[#This Row],[24Final]]</f>
        <v>5.3432642487046635E-2</v>
      </c>
    </row>
    <row r="2031" spans="1:73" x14ac:dyDescent="0.3">
      <c r="A2031" s="25">
        <v>2025</v>
      </c>
      <c r="B2031" s="26" t="s">
        <v>2536</v>
      </c>
      <c r="C2031" s="26">
        <f>LN(Inventory[[#This Row],[Acres]])</f>
        <v>-2.0402208285265546</v>
      </c>
      <c r="D2031" s="25">
        <v>0.13</v>
      </c>
      <c r="E2031" s="32">
        <v>5850</v>
      </c>
      <c r="F2031" s="26" t="s">
        <v>537</v>
      </c>
      <c r="G2031" s="26" t="s">
        <v>126</v>
      </c>
      <c r="H2031" s="26" t="s">
        <v>349</v>
      </c>
      <c r="I2031" s="26" t="s">
        <v>538</v>
      </c>
      <c r="J2031" s="26" t="s">
        <v>539</v>
      </c>
      <c r="K2031" s="26" t="s">
        <v>242</v>
      </c>
      <c r="L2031" s="26" t="s">
        <v>351</v>
      </c>
      <c r="M2031" s="26" t="s">
        <v>323</v>
      </c>
      <c r="N2031" s="26">
        <v>100</v>
      </c>
      <c r="O2031" s="26">
        <f>2024-Inventory[[#This Row],[YrBlt]]</f>
        <v>99</v>
      </c>
      <c r="P2031" s="26">
        <f>2024-Inventory[[#This Row],[EffYr]]</f>
        <v>56</v>
      </c>
      <c r="Q2031" s="25">
        <v>1925</v>
      </c>
      <c r="R2031" s="25">
        <v>1968</v>
      </c>
      <c r="S2031" s="25">
        <v>1212</v>
      </c>
      <c r="T2031" s="27"/>
      <c r="U2031" s="25">
        <v>1212</v>
      </c>
      <c r="V2031" s="25">
        <f>Inventory[[#This Row],[Bsmt]]-Inventory[[#This Row],[FnBsmt]]</f>
        <v>636</v>
      </c>
      <c r="W2031" s="25">
        <v>576</v>
      </c>
      <c r="X2031" s="27"/>
      <c r="Y2031" s="27">
        <f>Inventory[[#This Row],[MainFn]]+Inventory[[#This Row],[UpprFn]]+Inventory[[#This Row],[FnBsmt]]+Inventory[[#This Row],[AddFn]]</f>
        <v>1788</v>
      </c>
      <c r="Z2031" s="27">
        <v>2000</v>
      </c>
      <c r="AA2031" s="25">
        <v>7</v>
      </c>
      <c r="AB2031" s="27"/>
      <c r="AC2031" s="27"/>
      <c r="AD2031" s="27"/>
      <c r="AE2031" s="27"/>
      <c r="AF2031" s="27"/>
      <c r="AG2031" s="27"/>
      <c r="AH2031" s="27"/>
      <c r="AI2031" s="25">
        <v>270241</v>
      </c>
      <c r="AJ2031" s="25">
        <v>172954</v>
      </c>
      <c r="AK2031" s="25">
        <v>0</v>
      </c>
      <c r="AL2031" s="25">
        <v>299300</v>
      </c>
      <c r="AM2031" s="25">
        <v>43400</v>
      </c>
      <c r="AN2031" s="25">
        <v>255900</v>
      </c>
      <c r="AO2031" s="25">
        <v>0</v>
      </c>
      <c r="AP2031" s="25">
        <f>Lookups!$B$56*0</f>
        <v>0</v>
      </c>
      <c r="AQ2031" s="25">
        <f>Lookups!$B$56*1</f>
        <v>89850.625589999996</v>
      </c>
      <c r="AR2031" s="25">
        <f>Lookups!$B$57*Inventory[[#This Row],[LnAcres]]</f>
        <v>-64582.406353792743</v>
      </c>
      <c r="AS2031" s="25">
        <f>VLOOKUP(Inventory[[#This Row],[Qlty]],Lookups!$A$62:$E$75,2,FALSE)</f>
        <v>21557.329055999999</v>
      </c>
      <c r="AT2031" s="25">
        <f>VLOOKUP(Inventory[[#This Row],[Cnd]],Lookups!$A$76:$E$84,2,FALSE)</f>
        <v>160472.20319</v>
      </c>
      <c r="AU2031" s="25">
        <f>Inventory[[#This Row],[EffAge]]*Lookups!$B$85</f>
        <v>-12490.553628</v>
      </c>
      <c r="AV2031" s="25">
        <f>Inventory[[#This Row],[MainFn]]*Lookups!$B$86</f>
        <v>59883.307890923999</v>
      </c>
      <c r="AW2031" s="25">
        <f>Inventory[[#This Row],[UpprFn]]*Lookups!$B$87</f>
        <v>0</v>
      </c>
      <c r="AX2031" s="25">
        <f>Inventory[[#This Row],[AddFn]]*Lookups!$B$88</f>
        <v>0</v>
      </c>
      <c r="AY2031" s="25">
        <f>Inventory[[#This Row],[Bsmt]]*Lookups!$B$89</f>
        <v>35247.257039363998</v>
      </c>
      <c r="AZ2031" s="25">
        <f>Inventory[[#This Row],[Fixtures]]*Lookups!$B$90</f>
        <v>26544.1547364</v>
      </c>
      <c r="BA2031" s="25">
        <f>Inventory[[#This Row],[WdDeck]]*Lookups!$B$91</f>
        <v>0</v>
      </c>
      <c r="BB2031" s="25">
        <f>ROUND(Inventory[[#This Row],[25Det]],-2)</f>
        <v>0</v>
      </c>
      <c r="BC2031" s="25">
        <f>ROUND(SUM(Inventory[[#This Row],[Mdl Qlty]:[Mdl WdDeck]])+Inventory[[#This Row],[Mdl Res Intercept]],-2)</f>
        <v>291200</v>
      </c>
      <c r="BD2031" s="25">
        <f>ROUND(Inventory[[#This Row],[Mdl Land Intercept]]+Inventory[[#This Row],[Mdl LnAcres]],-2)</f>
        <v>25300</v>
      </c>
      <c r="BE2031" s="25">
        <f>Inventory[[#This Row],[Unadj Res Value]]+Inventory[[#This Row],[Unadj Det Value]]+Inventory[[#This Row],[Unadj Land Value]]</f>
        <v>316500</v>
      </c>
      <c r="BF2031" s="36">
        <f>(Inventory[[#This Row],[Unadj Total Value]]-Inventory[[#This Row],[24Final]])/Inventory[[#This Row],[24Final]]</f>
        <v>5.7467423989308389E-2</v>
      </c>
      <c r="BG2031" s="25">
        <f>VLOOKUP(Inventory[[#This Row],[Nbhd]],Lookups!$Q$2:$T$4,4,FALSE)</f>
        <v>0.99970000000000003</v>
      </c>
      <c r="BH2031" s="25">
        <f>VLOOKUP(Inventory[[#This Row],[Qlty]],Lookups!$O$7:$R$21,4,FALSE)</f>
        <v>1.0067999999999999</v>
      </c>
      <c r="BI2031" s="25">
        <f>VLOOKUP(Inventory[[#This Row],[Cnd]],Lookups!$T$7:$W$16,4,FALSE)</f>
        <v>0.99729999999999996</v>
      </c>
      <c r="BJ2031" s="25">
        <f>VLOOKUP(Inventory[[#This Row],[LivArea Range]],Lookups!$T$25:$W$37,4,FALSE)</f>
        <v>1.0093000000000001</v>
      </c>
      <c r="BK2031" s="25">
        <f>VLOOKUP(Inventory[[#This Row],[Decade]],Lookups!$O$25:$R$42,4,FALSE)</f>
        <v>1.0074000000000001</v>
      </c>
      <c r="BL2031" s="25">
        <f>Inventory[[#This Row],[Nbhd Adj]]*0.95</f>
        <v>0.94971499999999998</v>
      </c>
      <c r="BM2031" s="25">
        <f>Inventory[[#This Row],[Nbhd Adj]]*Inventory[[#This Row],[Quality Adj]]*Inventory[[#This Row],[Condition Adj]]*Inventory[[#This Row],[Living Area Adj]]*Inventory[[#This Row],[Decade Adj]]*0.95</f>
        <v>0.96958199718441984</v>
      </c>
      <c r="BN2031" s="25">
        <f>ROUND(SUM(Inventory[[#This Row],[Mdl Qlty]:[Mdl WdDeck]])+Inventory[[#This Row],[Mdl Res Intercept]]*Inventory[[#This Row],[Res Adj ]],-2)</f>
        <v>291200</v>
      </c>
      <c r="BO2031" s="25">
        <f>ROUND(Inventory[[#This Row],[25Det]]*Inventory[[#This Row],[Det/Nbhd Adj]],-2)</f>
        <v>0</v>
      </c>
      <c r="BP2031" s="25">
        <f>Inventory[[#This Row],[Adjusted Res]]+Inventory[[#This Row],[Adj Det ]]</f>
        <v>291200</v>
      </c>
      <c r="BQ2031" s="25">
        <f>ROUND((Inventory[[#This Row],[Mdl Land Intercept]]+Inventory[[#This Row],[Mdl LnAcres]])*Inventory[[#This Row],[Det/Nbhd Adj]],-2)</f>
        <v>24000</v>
      </c>
      <c r="BR2031" s="25">
        <f>Inventory[[#This Row],[Adjusted Impr Total]]+Inventory[[#This Row],[Adjusted Land Total]]</f>
        <v>315200</v>
      </c>
      <c r="BS2031" s="36">
        <f>IFERROR((Inventory[[#This Row],[Adjusted Impr Total]]-Inventory[[#This Row],[24Bldg]])/Inventory[[#This Row],[24Bldg]],0)</f>
        <v>0.13794450957405235</v>
      </c>
      <c r="BT2031" s="36">
        <f>(Inventory[[#This Row],[Adjusted Land Total]]-Inventory[[#This Row],[24Lnd]])/Inventory[[#This Row],[24Lnd]]</f>
        <v>-0.44700460829493088</v>
      </c>
      <c r="BU2031" s="36">
        <f>(Inventory[[#This Row],[Adjusted Total]]-Inventory[[#This Row],[24Final]])/Inventory[[#This Row],[24Final]]</f>
        <v>5.312395589709322E-2</v>
      </c>
    </row>
    <row r="2032" spans="1:73" x14ac:dyDescent="0.3">
      <c r="A2032" s="25">
        <v>2025</v>
      </c>
      <c r="B2032" s="26" t="s">
        <v>2179</v>
      </c>
      <c r="C2032" s="26">
        <f>LN(Inventory[[#This Row],[Acres]])</f>
        <v>-1.8971199848858813</v>
      </c>
      <c r="D2032" s="25">
        <v>0.15</v>
      </c>
      <c r="E2032" s="32">
        <v>6701</v>
      </c>
      <c r="F2032" s="26" t="s">
        <v>537</v>
      </c>
      <c r="G2032" s="26" t="s">
        <v>126</v>
      </c>
      <c r="H2032" s="26" t="s">
        <v>349</v>
      </c>
      <c r="I2032" s="26" t="s">
        <v>538</v>
      </c>
      <c r="J2032" s="26" t="s">
        <v>539</v>
      </c>
      <c r="K2032" s="26" t="s">
        <v>242</v>
      </c>
      <c r="L2032" s="26" t="s">
        <v>205</v>
      </c>
      <c r="M2032" s="26" t="s">
        <v>323</v>
      </c>
      <c r="N2032" s="26">
        <v>100</v>
      </c>
      <c r="O2032" s="26">
        <f>2024-Inventory[[#This Row],[YrBlt]]</f>
        <v>99</v>
      </c>
      <c r="P2032" s="26">
        <f>2024-Inventory[[#This Row],[EffYr]]</f>
        <v>56</v>
      </c>
      <c r="Q2032" s="25">
        <v>1925</v>
      </c>
      <c r="R2032" s="25">
        <v>1968</v>
      </c>
      <c r="S2032" s="25">
        <v>870</v>
      </c>
      <c r="T2032" s="31"/>
      <c r="U2032" s="25">
        <v>406</v>
      </c>
      <c r="V2032" s="25">
        <f>Inventory[[#This Row],[Bsmt]]-Inventory[[#This Row],[FnBsmt]]</f>
        <v>0</v>
      </c>
      <c r="W2032" s="25">
        <v>406</v>
      </c>
      <c r="X2032" s="27"/>
      <c r="Y2032" s="27">
        <f>Inventory[[#This Row],[MainFn]]+Inventory[[#This Row],[UpprFn]]+Inventory[[#This Row],[FnBsmt]]+Inventory[[#This Row],[AddFn]]</f>
        <v>1276</v>
      </c>
      <c r="Z2032" s="27">
        <v>1500</v>
      </c>
      <c r="AA2032" s="25">
        <v>5</v>
      </c>
      <c r="AB2032" s="27"/>
      <c r="AC2032" s="31"/>
      <c r="AD2032" s="32">
        <v>234</v>
      </c>
      <c r="AE2032" s="27"/>
      <c r="AF2032" s="27"/>
      <c r="AG2032" s="27"/>
      <c r="AH2032" s="27"/>
      <c r="AI2032" s="25">
        <v>178941</v>
      </c>
      <c r="AJ2032" s="25">
        <v>114522</v>
      </c>
      <c r="AK2032" s="25">
        <v>6227</v>
      </c>
      <c r="AL2032" s="25">
        <v>250500</v>
      </c>
      <c r="AM2032" s="25">
        <v>48400</v>
      </c>
      <c r="AN2032" s="25">
        <v>202100</v>
      </c>
      <c r="AO2032" s="25">
        <v>0</v>
      </c>
      <c r="AP2032" s="25">
        <f>Lookups!$B$56*0</f>
        <v>0</v>
      </c>
      <c r="AQ2032" s="25">
        <f>Lookups!$B$56*1</f>
        <v>89850.625589999996</v>
      </c>
      <c r="AR2032" s="25">
        <f>Lookups!$B$57*Inventory[[#This Row],[LnAcres]]</f>
        <v>-60052.604136134301</v>
      </c>
      <c r="AS2032" s="25">
        <f>VLOOKUP(Inventory[[#This Row],[Qlty]],Lookups!$A$62:$E$75,2,FALSE)</f>
        <v>0</v>
      </c>
      <c r="AT2032" s="25">
        <f>VLOOKUP(Inventory[[#This Row],[Cnd]],Lookups!$A$76:$E$84,2,FALSE)</f>
        <v>160472.20319</v>
      </c>
      <c r="AU2032" s="25">
        <f>Inventory[[#This Row],[EffAge]]*Lookups!$B$85</f>
        <v>-12490.553628</v>
      </c>
      <c r="AV2032" s="25">
        <f>Inventory[[#This Row],[MainFn]]*Lookups!$B$86</f>
        <v>42985.542792990003</v>
      </c>
      <c r="AW2032" s="25">
        <f>Inventory[[#This Row],[UpprFn]]*Lookups!$B$87</f>
        <v>0</v>
      </c>
      <c r="AX2032" s="25">
        <f>Inventory[[#This Row],[AddFn]]*Lookups!$B$88</f>
        <v>0</v>
      </c>
      <c r="AY2032" s="25">
        <f>Inventory[[#This Row],[Bsmt]]*Lookups!$B$89</f>
        <v>11807.249470281999</v>
      </c>
      <c r="AZ2032" s="25">
        <f>Inventory[[#This Row],[Fixtures]]*Lookups!$B$90</f>
        <v>18960.110526</v>
      </c>
      <c r="BA2032" s="25">
        <f>Inventory[[#This Row],[WdDeck]]*Lookups!$B$91</f>
        <v>7791.1505745840004</v>
      </c>
      <c r="BB2032" s="25">
        <f>ROUND(Inventory[[#This Row],[25Det]],-2)</f>
        <v>6200</v>
      </c>
      <c r="BC2032" s="25">
        <f>ROUND(SUM(Inventory[[#This Row],[Mdl Qlty]:[Mdl WdDeck]])+Inventory[[#This Row],[Mdl Res Intercept]],-2)</f>
        <v>229500</v>
      </c>
      <c r="BD2032" s="25">
        <f>ROUND(Inventory[[#This Row],[Mdl Land Intercept]]+Inventory[[#This Row],[Mdl LnAcres]],-2)</f>
        <v>29800</v>
      </c>
      <c r="BE2032" s="25">
        <f>Inventory[[#This Row],[Unadj Res Value]]+Inventory[[#This Row],[Unadj Det Value]]+Inventory[[#This Row],[Unadj Land Value]]</f>
        <v>265500</v>
      </c>
      <c r="BF2032" s="36">
        <f>(Inventory[[#This Row],[Unadj Total Value]]-Inventory[[#This Row],[24Final]])/Inventory[[#This Row],[24Final]]</f>
        <v>5.9880239520958084E-2</v>
      </c>
      <c r="BG2032" s="25">
        <f>VLOOKUP(Inventory[[#This Row],[Nbhd]],Lookups!$Q$2:$T$4,4,FALSE)</f>
        <v>0.99970000000000003</v>
      </c>
      <c r="BH2032" s="25">
        <f>VLOOKUP(Inventory[[#This Row],[Qlty]],Lookups!$O$7:$R$21,4,FALSE)</f>
        <v>0.99180000000000001</v>
      </c>
      <c r="BI2032" s="25">
        <f>VLOOKUP(Inventory[[#This Row],[Cnd]],Lookups!$T$7:$W$16,4,FALSE)</f>
        <v>0.99729999999999996</v>
      </c>
      <c r="BJ2032" s="25">
        <f>VLOOKUP(Inventory[[#This Row],[LivArea Range]],Lookups!$T$25:$W$37,4,FALSE)</f>
        <v>1.0157</v>
      </c>
      <c r="BK2032" s="25">
        <f>VLOOKUP(Inventory[[#This Row],[Decade]],Lookups!$O$25:$R$42,4,FALSE)</f>
        <v>1.0074000000000001</v>
      </c>
      <c r="BL2032" s="25">
        <f>Inventory[[#This Row],[Nbhd Adj]]*0.95</f>
        <v>0.94971499999999998</v>
      </c>
      <c r="BM2032" s="25">
        <f>Inventory[[#This Row],[Nbhd Adj]]*Inventory[[#This Row],[Quality Adj]]*Inventory[[#This Row],[Condition Adj]]*Inventory[[#This Row],[Living Area Adj]]*Inventory[[#This Row],[Decade Adj]]*0.95</f>
        <v>0.96119304431538555</v>
      </c>
      <c r="BN2032" s="25">
        <f>ROUND(SUM(Inventory[[#This Row],[Mdl Qlty]:[Mdl WdDeck]])+Inventory[[#This Row],[Mdl Res Intercept]]*Inventory[[#This Row],[Res Adj ]],-2)</f>
        <v>229500</v>
      </c>
      <c r="BO2032" s="25">
        <f>ROUND(Inventory[[#This Row],[25Det]]*Inventory[[#This Row],[Det/Nbhd Adj]],-2)</f>
        <v>5900</v>
      </c>
      <c r="BP2032" s="25">
        <f>Inventory[[#This Row],[Adjusted Res]]+Inventory[[#This Row],[Adj Det ]]</f>
        <v>235400</v>
      </c>
      <c r="BQ2032" s="25">
        <f>ROUND((Inventory[[#This Row],[Mdl Land Intercept]]+Inventory[[#This Row],[Mdl LnAcres]])*Inventory[[#This Row],[Det/Nbhd Adj]],-2)</f>
        <v>28300</v>
      </c>
      <c r="BR2032" s="25">
        <f>Inventory[[#This Row],[Adjusted Impr Total]]+Inventory[[#This Row],[Adjusted Land Total]]</f>
        <v>263700</v>
      </c>
      <c r="BS2032" s="36">
        <f>IFERROR((Inventory[[#This Row],[Adjusted Impr Total]]-Inventory[[#This Row],[24Bldg]])/Inventory[[#This Row],[24Bldg]],0)</f>
        <v>0.16476991588322612</v>
      </c>
      <c r="BT2032" s="36">
        <f>(Inventory[[#This Row],[Adjusted Land Total]]-Inventory[[#This Row],[24Lnd]])/Inventory[[#This Row],[24Lnd]]</f>
        <v>-0.41528925619834711</v>
      </c>
      <c r="BU2032" s="36">
        <f>(Inventory[[#This Row],[Adjusted Total]]-Inventory[[#This Row],[24Final]])/Inventory[[#This Row],[24Final]]</f>
        <v>5.2694610778443111E-2</v>
      </c>
    </row>
    <row r="2033" spans="1:73" x14ac:dyDescent="0.3">
      <c r="A2033" s="25">
        <v>2025</v>
      </c>
      <c r="B2033" s="26" t="s">
        <v>2726</v>
      </c>
      <c r="C2033" s="26">
        <f>LN(Inventory[[#This Row],[Acres]])</f>
        <v>-1.8971199848858813</v>
      </c>
      <c r="D2033" s="25">
        <v>0.15</v>
      </c>
      <c r="E2033" s="31"/>
      <c r="F2033" s="26" t="s">
        <v>537</v>
      </c>
      <c r="G2033" s="26" t="s">
        <v>126</v>
      </c>
      <c r="H2033" s="26" t="s">
        <v>349</v>
      </c>
      <c r="I2033" s="26" t="s">
        <v>538</v>
      </c>
      <c r="J2033" s="26" t="s">
        <v>539</v>
      </c>
      <c r="K2033" s="26" t="s">
        <v>269</v>
      </c>
      <c r="L2033" s="26" t="s">
        <v>351</v>
      </c>
      <c r="M2033" s="26" t="s">
        <v>303</v>
      </c>
      <c r="N2033" s="26">
        <v>100</v>
      </c>
      <c r="O2033" s="26">
        <f>2024-Inventory[[#This Row],[YrBlt]]</f>
        <v>99</v>
      </c>
      <c r="P2033" s="26">
        <f>2024-Inventory[[#This Row],[EffYr]]</f>
        <v>56</v>
      </c>
      <c r="Q2033" s="25">
        <v>1925</v>
      </c>
      <c r="R2033" s="25">
        <v>1968</v>
      </c>
      <c r="S2033" s="25">
        <v>936</v>
      </c>
      <c r="T2033" s="31"/>
      <c r="U2033" s="25">
        <v>936</v>
      </c>
      <c r="V2033" s="25">
        <f>Inventory[[#This Row],[Bsmt]]-Inventory[[#This Row],[FnBsmt]]</f>
        <v>233</v>
      </c>
      <c r="W2033" s="25">
        <v>703</v>
      </c>
      <c r="X2033" s="27"/>
      <c r="Y2033" s="27">
        <f>Inventory[[#This Row],[MainFn]]+Inventory[[#This Row],[UpprFn]]+Inventory[[#This Row],[FnBsmt]]+Inventory[[#This Row],[AddFn]]</f>
        <v>1639</v>
      </c>
      <c r="Z2033" s="27">
        <v>2000</v>
      </c>
      <c r="AA2033" s="25">
        <v>8</v>
      </c>
      <c r="AB2033" s="31"/>
      <c r="AC2033" s="27"/>
      <c r="AD2033" s="31"/>
      <c r="AE2033" s="27"/>
      <c r="AF2033" s="27"/>
      <c r="AG2033" s="27"/>
      <c r="AH2033" s="27"/>
      <c r="AI2033" s="25">
        <v>247593</v>
      </c>
      <c r="AJ2033" s="25">
        <v>163411</v>
      </c>
      <c r="AK2033" s="25">
        <v>5831</v>
      </c>
      <c r="AL2033" s="25">
        <v>327300</v>
      </c>
      <c r="AM2033" s="25">
        <v>48400</v>
      </c>
      <c r="AN2033" s="25">
        <v>278900</v>
      </c>
      <c r="AO2033" s="25">
        <v>0</v>
      </c>
      <c r="AP2033" s="25">
        <f>Lookups!$B$56*0</f>
        <v>0</v>
      </c>
      <c r="AQ2033" s="25">
        <f>Lookups!$B$56*1</f>
        <v>89850.625589999996</v>
      </c>
      <c r="AR2033" s="25">
        <f>Lookups!$B$57*Inventory[[#This Row],[LnAcres]]</f>
        <v>-60052.604136134301</v>
      </c>
      <c r="AS2033" s="25">
        <f>VLOOKUP(Inventory[[#This Row],[Qlty]],Lookups!$A$62:$E$75,2,FALSE)</f>
        <v>21557.329055999999</v>
      </c>
      <c r="AT2033" s="25">
        <f>VLOOKUP(Inventory[[#This Row],[Cnd]],Lookups!$A$76:$E$84,2,FALSE)</f>
        <v>197752.34721000001</v>
      </c>
      <c r="AU2033" s="25">
        <f>Inventory[[#This Row],[EffAge]]*Lookups!$B$85</f>
        <v>-12490.553628</v>
      </c>
      <c r="AV2033" s="25">
        <f>Inventory[[#This Row],[MainFn]]*Lookups!$B$86</f>
        <v>46246.515004872002</v>
      </c>
      <c r="AW2033" s="25">
        <f>Inventory[[#This Row],[UpprFn]]*Lookups!$B$87</f>
        <v>0</v>
      </c>
      <c r="AX2033" s="25">
        <f>Inventory[[#This Row],[AddFn]]*Lookups!$B$88</f>
        <v>0</v>
      </c>
      <c r="AY2033" s="25">
        <f>Inventory[[#This Row],[Bsmt]]*Lookups!$B$89</f>
        <v>27220.653951191998</v>
      </c>
      <c r="AZ2033" s="25">
        <f>Inventory[[#This Row],[Fixtures]]*Lookups!$B$90</f>
        <v>30336.176841600001</v>
      </c>
      <c r="BA2033" s="25">
        <f>Inventory[[#This Row],[WdDeck]]*Lookups!$B$91</f>
        <v>0</v>
      </c>
      <c r="BB2033" s="25">
        <f>ROUND(Inventory[[#This Row],[25Det]],-2)</f>
        <v>5800</v>
      </c>
      <c r="BC2033" s="25">
        <f>ROUND(SUM(Inventory[[#This Row],[Mdl Qlty]:[Mdl WdDeck]])+Inventory[[#This Row],[Mdl Res Intercept]],-2)</f>
        <v>310600</v>
      </c>
      <c r="BD2033" s="25">
        <f>ROUND(Inventory[[#This Row],[Mdl Land Intercept]]+Inventory[[#This Row],[Mdl LnAcres]],-2)</f>
        <v>29800</v>
      </c>
      <c r="BE2033" s="25">
        <f>Inventory[[#This Row],[Unadj Res Value]]+Inventory[[#This Row],[Unadj Det Value]]+Inventory[[#This Row],[Unadj Land Value]]</f>
        <v>346200</v>
      </c>
      <c r="BF2033" s="36">
        <f>(Inventory[[#This Row],[Unadj Total Value]]-Inventory[[#This Row],[24Final]])/Inventory[[#This Row],[24Final]]</f>
        <v>5.7745187901008251E-2</v>
      </c>
      <c r="BG2033" s="25">
        <f>VLOOKUP(Inventory[[#This Row],[Nbhd]],Lookups!$Q$2:$T$4,4,FALSE)</f>
        <v>0.99970000000000003</v>
      </c>
      <c r="BH2033" s="25">
        <f>VLOOKUP(Inventory[[#This Row],[Qlty]],Lookups!$O$7:$R$21,4,FALSE)</f>
        <v>1.0067999999999999</v>
      </c>
      <c r="BI2033" s="25">
        <f>VLOOKUP(Inventory[[#This Row],[Cnd]],Lookups!$T$7:$W$16,4,FALSE)</f>
        <v>0.99650000000000005</v>
      </c>
      <c r="BJ2033" s="25">
        <f>VLOOKUP(Inventory[[#This Row],[LivArea Range]],Lookups!$T$25:$W$37,4,FALSE)</f>
        <v>1.0093000000000001</v>
      </c>
      <c r="BK2033" s="25">
        <f>VLOOKUP(Inventory[[#This Row],[Decade]],Lookups!$O$25:$R$42,4,FALSE)</f>
        <v>1.0074000000000001</v>
      </c>
      <c r="BL2033" s="25">
        <f>Inventory[[#This Row],[Nbhd Adj]]*0.95</f>
        <v>0.94971499999999998</v>
      </c>
      <c r="BM2033" s="25">
        <f>Inventory[[#This Row],[Nbhd Adj]]*Inventory[[#This Row],[Quality Adj]]*Inventory[[#This Row],[Condition Adj]]*Inventory[[#This Row],[Living Area Adj]]*Inventory[[#This Row],[Decade Adj]]*0.95</f>
        <v>0.96880423161964746</v>
      </c>
      <c r="BN2033" s="25">
        <f>ROUND(SUM(Inventory[[#This Row],[Mdl Qlty]:[Mdl WdDeck]])+Inventory[[#This Row],[Mdl Res Intercept]]*Inventory[[#This Row],[Res Adj ]],-2)</f>
        <v>310600</v>
      </c>
      <c r="BO2033" s="25">
        <f>ROUND(Inventory[[#This Row],[25Det]]*Inventory[[#This Row],[Det/Nbhd Adj]],-2)</f>
        <v>5500</v>
      </c>
      <c r="BP2033" s="25">
        <f>Inventory[[#This Row],[Adjusted Res]]+Inventory[[#This Row],[Adj Det ]]</f>
        <v>316100</v>
      </c>
      <c r="BQ2033" s="25">
        <f>ROUND((Inventory[[#This Row],[Mdl Land Intercept]]+Inventory[[#This Row],[Mdl LnAcres]])*Inventory[[#This Row],[Det/Nbhd Adj]],-2)</f>
        <v>28300</v>
      </c>
      <c r="BR2033" s="25">
        <f>Inventory[[#This Row],[Adjusted Impr Total]]+Inventory[[#This Row],[Adjusted Land Total]]</f>
        <v>344400</v>
      </c>
      <c r="BS2033" s="36">
        <f>IFERROR((Inventory[[#This Row],[Adjusted Impr Total]]-Inventory[[#This Row],[24Bldg]])/Inventory[[#This Row],[24Bldg]],0)</f>
        <v>0.1333811401936178</v>
      </c>
      <c r="BT2033" s="36">
        <f>(Inventory[[#This Row],[Adjusted Land Total]]-Inventory[[#This Row],[24Lnd]])/Inventory[[#This Row],[24Lnd]]</f>
        <v>-0.41528925619834711</v>
      </c>
      <c r="BU2033" s="36">
        <f>(Inventory[[#This Row],[Adjusted Total]]-Inventory[[#This Row],[24Final]])/Inventory[[#This Row],[24Final]]</f>
        <v>5.2245646196150318E-2</v>
      </c>
    </row>
    <row r="2034" spans="1:73" x14ac:dyDescent="0.3">
      <c r="A2034" s="25">
        <v>2025</v>
      </c>
      <c r="B2034" s="26" t="s">
        <v>2141</v>
      </c>
      <c r="C2034" s="26">
        <f>LN(Inventory[[#This Row],[Acres]])</f>
        <v>-1.8325814637483102</v>
      </c>
      <c r="D2034" s="25">
        <v>0.16</v>
      </c>
      <c r="E2034" s="32">
        <v>6829</v>
      </c>
      <c r="F2034" s="26" t="s">
        <v>537</v>
      </c>
      <c r="G2034" s="26" t="s">
        <v>126</v>
      </c>
      <c r="H2034" s="26" t="s">
        <v>349</v>
      </c>
      <c r="I2034" s="26" t="s">
        <v>538</v>
      </c>
      <c r="J2034" s="26" t="s">
        <v>539</v>
      </c>
      <c r="K2034" s="26" t="s">
        <v>147</v>
      </c>
      <c r="L2034" s="26" t="s">
        <v>302</v>
      </c>
      <c r="M2034" s="26" t="s">
        <v>323</v>
      </c>
      <c r="N2034" s="26">
        <v>100</v>
      </c>
      <c r="O2034" s="26">
        <f>2024-Inventory[[#This Row],[YrBlt]]</f>
        <v>99</v>
      </c>
      <c r="P2034" s="26">
        <f>2024-Inventory[[#This Row],[EffYr]]</f>
        <v>56</v>
      </c>
      <c r="Q2034" s="25">
        <v>1925</v>
      </c>
      <c r="R2034" s="25">
        <v>1968</v>
      </c>
      <c r="S2034" s="25">
        <v>1415</v>
      </c>
      <c r="T2034" s="32">
        <v>704</v>
      </c>
      <c r="U2034" s="32">
        <v>512</v>
      </c>
      <c r="V2034" s="32">
        <f>Inventory[[#This Row],[Bsmt]]-Inventory[[#This Row],[FnBsmt]]</f>
        <v>512</v>
      </c>
      <c r="W2034" s="27"/>
      <c r="X2034" s="27"/>
      <c r="Y2034" s="27">
        <f>Inventory[[#This Row],[MainFn]]+Inventory[[#This Row],[UpprFn]]+Inventory[[#This Row],[FnBsmt]]+Inventory[[#This Row],[AddFn]]</f>
        <v>2119</v>
      </c>
      <c r="Z2034" s="27">
        <v>2500</v>
      </c>
      <c r="AA2034" s="25">
        <v>6</v>
      </c>
      <c r="AB2034" s="31"/>
      <c r="AC2034" s="27"/>
      <c r="AD2034" s="27"/>
      <c r="AE2034" s="27"/>
      <c r="AF2034" s="27"/>
      <c r="AG2034" s="27"/>
      <c r="AH2034" s="27"/>
      <c r="AI2034" s="25">
        <v>365718</v>
      </c>
      <c r="AJ2034" s="25">
        <v>234060</v>
      </c>
      <c r="AK2034" s="25">
        <v>7465</v>
      </c>
      <c r="AL2034" s="25">
        <v>337100</v>
      </c>
      <c r="AM2034" s="25">
        <v>50600</v>
      </c>
      <c r="AN2034" s="25">
        <v>286500</v>
      </c>
      <c r="AO2034" s="25">
        <v>0</v>
      </c>
      <c r="AP2034" s="25">
        <f>Lookups!$B$56*0</f>
        <v>0</v>
      </c>
      <c r="AQ2034" s="25">
        <f>Lookups!$B$56*1</f>
        <v>89850.625589999996</v>
      </c>
      <c r="AR2034" s="25">
        <f>Lookups!$B$57*Inventory[[#This Row],[LnAcres]]</f>
        <v>-58009.662049032086</v>
      </c>
      <c r="AS2034" s="25">
        <f>VLOOKUP(Inventory[[#This Row],[Qlty]],Lookups!$A$62:$E$75,2,FALSE)</f>
        <v>29814.093161000001</v>
      </c>
      <c r="AT2034" s="25">
        <f>VLOOKUP(Inventory[[#This Row],[Cnd]],Lookups!$A$76:$E$84,2,FALSE)</f>
        <v>160472.20319</v>
      </c>
      <c r="AU2034" s="25">
        <f>Inventory[[#This Row],[EffAge]]*Lookups!$B$85</f>
        <v>-12490.553628</v>
      </c>
      <c r="AV2034" s="25">
        <f>Inventory[[#This Row],[MainFn]]*Lookups!$B$86</f>
        <v>69913.267875955004</v>
      </c>
      <c r="AW2034" s="25">
        <f>Inventory[[#This Row],[UpprFn]]*Lookups!$B$87</f>
        <v>31529.641694144</v>
      </c>
      <c r="AX2034" s="25">
        <f>Inventory[[#This Row],[AddFn]]*Lookups!$B$88</f>
        <v>0</v>
      </c>
      <c r="AY2034" s="25">
        <f>Inventory[[#This Row],[Bsmt]]*Lookups!$B$89</f>
        <v>14889.930366463999</v>
      </c>
      <c r="AZ2034" s="25">
        <f>Inventory[[#This Row],[Fixtures]]*Lookups!$B$90</f>
        <v>22752.132631200002</v>
      </c>
      <c r="BA2034" s="25">
        <f>Inventory[[#This Row],[WdDeck]]*Lookups!$B$91</f>
        <v>0</v>
      </c>
      <c r="BB2034" s="25">
        <f>ROUND(Inventory[[#This Row],[25Det]],-2)</f>
        <v>7500</v>
      </c>
      <c r="BC2034" s="25">
        <f>ROUND(SUM(Inventory[[#This Row],[Mdl Qlty]:[Mdl WdDeck]])+Inventory[[#This Row],[Mdl Res Intercept]],-2)</f>
        <v>316900</v>
      </c>
      <c r="BD2034" s="25">
        <f>ROUND(Inventory[[#This Row],[Mdl Land Intercept]]+Inventory[[#This Row],[Mdl LnAcres]],-2)</f>
        <v>31800</v>
      </c>
      <c r="BE2034" s="25">
        <f>Inventory[[#This Row],[Unadj Res Value]]+Inventory[[#This Row],[Unadj Det Value]]+Inventory[[#This Row],[Unadj Land Value]]</f>
        <v>356200</v>
      </c>
      <c r="BF2034" s="36">
        <f>(Inventory[[#This Row],[Unadj Total Value]]-Inventory[[#This Row],[24Final]])/Inventory[[#This Row],[24Final]]</f>
        <v>5.665974488282409E-2</v>
      </c>
      <c r="BG2034" s="25">
        <f>VLOOKUP(Inventory[[#This Row],[Nbhd]],Lookups!$Q$2:$T$4,4,FALSE)</f>
        <v>0.99970000000000003</v>
      </c>
      <c r="BH2034" s="25">
        <f>VLOOKUP(Inventory[[#This Row],[Qlty]],Lookups!$O$7:$R$21,4,FALSE)</f>
        <v>1.0088999999999999</v>
      </c>
      <c r="BI2034" s="25">
        <f>VLOOKUP(Inventory[[#This Row],[Cnd]],Lookups!$T$7:$W$16,4,FALSE)</f>
        <v>0.99729999999999996</v>
      </c>
      <c r="BJ2034" s="25">
        <f>VLOOKUP(Inventory[[#This Row],[LivArea Range]],Lookups!$T$25:$W$37,4,FALSE)</f>
        <v>0.98919999999999997</v>
      </c>
      <c r="BK2034" s="25">
        <f>VLOOKUP(Inventory[[#This Row],[Decade]],Lookups!$O$25:$R$42,4,FALSE)</f>
        <v>1.0074000000000001</v>
      </c>
      <c r="BL2034" s="25">
        <f>Inventory[[#This Row],[Nbhd Adj]]*0.95</f>
        <v>0.94971499999999998</v>
      </c>
      <c r="BM2034" s="25">
        <f>Inventory[[#This Row],[Nbhd Adj]]*Inventory[[#This Row],[Quality Adj]]*Inventory[[#This Row],[Condition Adj]]*Inventory[[#This Row],[Living Area Adj]]*Inventory[[#This Row],[Decade Adj]]*0.95</f>
        <v>0.95225506796349002</v>
      </c>
      <c r="BN2034" s="25">
        <f>ROUND(SUM(Inventory[[#This Row],[Mdl Qlty]:[Mdl WdDeck]])+Inventory[[#This Row],[Mdl Res Intercept]]*Inventory[[#This Row],[Res Adj ]],-2)</f>
        <v>316900</v>
      </c>
      <c r="BO2034" s="25">
        <f>ROUND(Inventory[[#This Row],[25Det]]*Inventory[[#This Row],[Det/Nbhd Adj]],-2)</f>
        <v>7100</v>
      </c>
      <c r="BP2034" s="25">
        <f>Inventory[[#This Row],[Adjusted Res]]+Inventory[[#This Row],[Adj Det ]]</f>
        <v>324000</v>
      </c>
      <c r="BQ2034" s="25">
        <f>ROUND((Inventory[[#This Row],[Mdl Land Intercept]]+Inventory[[#This Row],[Mdl LnAcres]])*Inventory[[#This Row],[Det/Nbhd Adj]],-2)</f>
        <v>30200</v>
      </c>
      <c r="BR2034" s="25">
        <f>Inventory[[#This Row],[Adjusted Impr Total]]+Inventory[[#This Row],[Adjusted Land Total]]</f>
        <v>354200</v>
      </c>
      <c r="BS2034" s="36">
        <f>IFERROR((Inventory[[#This Row],[Adjusted Impr Total]]-Inventory[[#This Row],[24Bldg]])/Inventory[[#This Row],[24Bldg]],0)</f>
        <v>0.13089005235602094</v>
      </c>
      <c r="BT2034" s="36">
        <f>(Inventory[[#This Row],[Adjusted Land Total]]-Inventory[[#This Row],[24Lnd]])/Inventory[[#This Row],[24Lnd]]</f>
        <v>-0.40316205533596838</v>
      </c>
      <c r="BU2034" s="36">
        <f>(Inventory[[#This Row],[Adjusted Total]]-Inventory[[#This Row],[24Final]])/Inventory[[#This Row],[24Final]]</f>
        <v>5.0726787303470779E-2</v>
      </c>
    </row>
    <row r="2035" spans="1:73" x14ac:dyDescent="0.3">
      <c r="A2035" s="25">
        <v>2025</v>
      </c>
      <c r="B2035" s="26" t="s">
        <v>1574</v>
      </c>
      <c r="C2035" s="26">
        <f>LN(Inventory[[#This Row],[Acres]])</f>
        <v>-2.0402208285265546</v>
      </c>
      <c r="D2035" s="25">
        <v>0.13</v>
      </c>
      <c r="E2035" s="32">
        <v>5529</v>
      </c>
      <c r="F2035" s="26" t="s">
        <v>537</v>
      </c>
      <c r="G2035" s="26" t="s">
        <v>126</v>
      </c>
      <c r="H2035" s="26" t="s">
        <v>349</v>
      </c>
      <c r="I2035" s="26" t="s">
        <v>538</v>
      </c>
      <c r="J2035" s="26" t="s">
        <v>539</v>
      </c>
      <c r="K2035" s="26" t="s">
        <v>269</v>
      </c>
      <c r="L2035" s="26" t="s">
        <v>351</v>
      </c>
      <c r="M2035" s="26" t="s">
        <v>206</v>
      </c>
      <c r="N2035" s="26">
        <v>100</v>
      </c>
      <c r="O2035" s="26">
        <f>2024-Inventory[[#This Row],[YrBlt]]</f>
        <v>99</v>
      </c>
      <c r="P2035" s="26">
        <f>2024-Inventory[[#This Row],[EffYr]]</f>
        <v>56</v>
      </c>
      <c r="Q2035" s="25">
        <v>1925</v>
      </c>
      <c r="R2035" s="25">
        <v>1968</v>
      </c>
      <c r="S2035" s="25">
        <v>868</v>
      </c>
      <c r="T2035" s="32">
        <v>528</v>
      </c>
      <c r="U2035" s="32">
        <v>432</v>
      </c>
      <c r="V2035" s="32">
        <f>Inventory[[#This Row],[Bsmt]]-Inventory[[#This Row],[FnBsmt]]</f>
        <v>0</v>
      </c>
      <c r="W2035" s="32">
        <v>432</v>
      </c>
      <c r="X2035" s="27"/>
      <c r="Y2035" s="27">
        <f>Inventory[[#This Row],[MainFn]]+Inventory[[#This Row],[UpprFn]]+Inventory[[#This Row],[FnBsmt]]+Inventory[[#This Row],[AddFn]]</f>
        <v>1828</v>
      </c>
      <c r="Z2035" s="27">
        <v>2000</v>
      </c>
      <c r="AA2035" s="25">
        <v>7</v>
      </c>
      <c r="AB2035" s="31"/>
      <c r="AC2035" s="27"/>
      <c r="AD2035" s="27"/>
      <c r="AE2035" s="27"/>
      <c r="AF2035" s="27"/>
      <c r="AG2035" s="27"/>
      <c r="AH2035" s="27"/>
      <c r="AI2035" s="25">
        <v>267401</v>
      </c>
      <c r="AJ2035" s="25">
        <v>165789</v>
      </c>
      <c r="AK2035" s="25">
        <v>6712</v>
      </c>
      <c r="AL2035" s="25">
        <v>265500</v>
      </c>
      <c r="AM2035" s="25">
        <v>43400</v>
      </c>
      <c r="AN2035" s="25">
        <v>222100</v>
      </c>
      <c r="AO2035" s="25">
        <v>0</v>
      </c>
      <c r="AP2035" s="25">
        <f>Lookups!$B$56*0</f>
        <v>0</v>
      </c>
      <c r="AQ2035" s="25">
        <f>Lookups!$B$56*1</f>
        <v>89850.625589999996</v>
      </c>
      <c r="AR2035" s="25">
        <f>Lookups!$B$57*Inventory[[#This Row],[LnAcres]]</f>
        <v>-64582.406353792743</v>
      </c>
      <c r="AS2035" s="25">
        <f>VLOOKUP(Inventory[[#This Row],[Qlty]],Lookups!$A$62:$E$75,2,FALSE)</f>
        <v>21557.329055999999</v>
      </c>
      <c r="AT2035" s="25">
        <f>VLOOKUP(Inventory[[#This Row],[Cnd]],Lookups!$A$76:$E$84,2,FALSE)</f>
        <v>133714.53821</v>
      </c>
      <c r="AU2035" s="25">
        <f>Inventory[[#This Row],[EffAge]]*Lookups!$B$85</f>
        <v>-12490.553628</v>
      </c>
      <c r="AV2035" s="25">
        <f>Inventory[[#This Row],[MainFn]]*Lookups!$B$86</f>
        <v>42886.725453236002</v>
      </c>
      <c r="AW2035" s="25">
        <f>Inventory[[#This Row],[UpprFn]]*Lookups!$B$87</f>
        <v>23647.231270607997</v>
      </c>
      <c r="AX2035" s="25">
        <f>Inventory[[#This Row],[AddFn]]*Lookups!$B$88</f>
        <v>0</v>
      </c>
      <c r="AY2035" s="25">
        <f>Inventory[[#This Row],[Bsmt]]*Lookups!$B$89</f>
        <v>12563.378746704</v>
      </c>
      <c r="AZ2035" s="25">
        <f>Inventory[[#This Row],[Fixtures]]*Lookups!$B$90</f>
        <v>26544.1547364</v>
      </c>
      <c r="BA2035" s="25">
        <f>Inventory[[#This Row],[WdDeck]]*Lookups!$B$91</f>
        <v>0</v>
      </c>
      <c r="BB2035" s="25">
        <f>ROUND(Inventory[[#This Row],[25Det]],-2)</f>
        <v>6700</v>
      </c>
      <c r="BC2035" s="25">
        <f>ROUND(SUM(Inventory[[#This Row],[Mdl Qlty]:[Mdl WdDeck]])+Inventory[[#This Row],[Mdl Res Intercept]],-2)</f>
        <v>248400</v>
      </c>
      <c r="BD2035" s="25">
        <f>ROUND(Inventory[[#This Row],[Mdl Land Intercept]]+Inventory[[#This Row],[Mdl LnAcres]],-2)</f>
        <v>25300</v>
      </c>
      <c r="BE2035" s="25">
        <f>Inventory[[#This Row],[Unadj Res Value]]+Inventory[[#This Row],[Unadj Det Value]]+Inventory[[#This Row],[Unadj Land Value]]</f>
        <v>280400</v>
      </c>
      <c r="BF2035" s="36">
        <f>(Inventory[[#This Row],[Unadj Total Value]]-Inventory[[#This Row],[24Final]])/Inventory[[#This Row],[24Final]]</f>
        <v>5.6120527306967982E-2</v>
      </c>
      <c r="BG2035" s="25">
        <f>VLOOKUP(Inventory[[#This Row],[Nbhd]],Lookups!$Q$2:$T$4,4,FALSE)</f>
        <v>0.99970000000000003</v>
      </c>
      <c r="BH2035" s="25">
        <f>VLOOKUP(Inventory[[#This Row],[Qlty]],Lookups!$O$7:$R$21,4,FALSE)</f>
        <v>1.0067999999999999</v>
      </c>
      <c r="BI2035" s="25">
        <f>VLOOKUP(Inventory[[#This Row],[Cnd]],Lookups!$T$7:$W$16,4,FALSE)</f>
        <v>0.99329999999999996</v>
      </c>
      <c r="BJ2035" s="25">
        <f>VLOOKUP(Inventory[[#This Row],[LivArea Range]],Lookups!$T$25:$W$37,4,FALSE)</f>
        <v>1.0093000000000001</v>
      </c>
      <c r="BK2035" s="25">
        <f>VLOOKUP(Inventory[[#This Row],[Decade]],Lookups!$O$25:$R$42,4,FALSE)</f>
        <v>1.0074000000000001</v>
      </c>
      <c r="BL2035" s="25">
        <f>Inventory[[#This Row],[Nbhd Adj]]*0.95</f>
        <v>0.94971499999999998</v>
      </c>
      <c r="BM2035" s="25">
        <f>Inventory[[#This Row],[Nbhd Adj]]*Inventory[[#This Row],[Quality Adj]]*Inventory[[#This Row],[Condition Adj]]*Inventory[[#This Row],[Living Area Adj]]*Inventory[[#This Row],[Decade Adj]]*0.95</f>
        <v>0.96569316936055771</v>
      </c>
      <c r="BN2035" s="25">
        <f>ROUND(SUM(Inventory[[#This Row],[Mdl Qlty]:[Mdl WdDeck]])+Inventory[[#This Row],[Mdl Res Intercept]]*Inventory[[#This Row],[Res Adj ]],-2)</f>
        <v>248400</v>
      </c>
      <c r="BO2035" s="25">
        <f>ROUND(Inventory[[#This Row],[25Det]]*Inventory[[#This Row],[Det/Nbhd Adj]],-2)</f>
        <v>6400</v>
      </c>
      <c r="BP2035" s="25">
        <f>Inventory[[#This Row],[Adjusted Res]]+Inventory[[#This Row],[Adj Det ]]</f>
        <v>254800</v>
      </c>
      <c r="BQ2035" s="25">
        <f>ROUND((Inventory[[#This Row],[Mdl Land Intercept]]+Inventory[[#This Row],[Mdl LnAcres]])*Inventory[[#This Row],[Det/Nbhd Adj]],-2)</f>
        <v>24000</v>
      </c>
      <c r="BR2035" s="25">
        <f>Inventory[[#This Row],[Adjusted Impr Total]]+Inventory[[#This Row],[Adjusted Land Total]]</f>
        <v>278800</v>
      </c>
      <c r="BS2035" s="36">
        <f>IFERROR((Inventory[[#This Row],[Adjusted Impr Total]]-Inventory[[#This Row],[24Bldg]])/Inventory[[#This Row],[24Bldg]],0)</f>
        <v>0.14723097703737056</v>
      </c>
      <c r="BT2035" s="36">
        <f>(Inventory[[#This Row],[Adjusted Land Total]]-Inventory[[#This Row],[24Lnd]])/Inventory[[#This Row],[24Lnd]]</f>
        <v>-0.44700460829493088</v>
      </c>
      <c r="BU2035" s="36">
        <f>(Inventory[[#This Row],[Adjusted Total]]-Inventory[[#This Row],[24Final]])/Inventory[[#This Row],[24Final]]</f>
        <v>5.0094161958568736E-2</v>
      </c>
    </row>
    <row r="2036" spans="1:73" x14ac:dyDescent="0.3">
      <c r="A2036" s="25">
        <v>2025</v>
      </c>
      <c r="B2036" s="26" t="s">
        <v>918</v>
      </c>
      <c r="C2036" s="26">
        <f>LN(Inventory[[#This Row],[Acres]])</f>
        <v>-0.84397007029452897</v>
      </c>
      <c r="D2036" s="25">
        <v>0.43</v>
      </c>
      <c r="E2036" s="32">
        <v>18826</v>
      </c>
      <c r="F2036" s="26" t="s">
        <v>537</v>
      </c>
      <c r="G2036" s="26" t="s">
        <v>126</v>
      </c>
      <c r="H2036" s="26" t="s">
        <v>349</v>
      </c>
      <c r="I2036" s="26" t="s">
        <v>538</v>
      </c>
      <c r="J2036" s="26" t="s">
        <v>539</v>
      </c>
      <c r="K2036" s="26" t="s">
        <v>242</v>
      </c>
      <c r="L2036" s="26" t="s">
        <v>351</v>
      </c>
      <c r="M2036" s="26" t="s">
        <v>303</v>
      </c>
      <c r="N2036" s="26">
        <v>100</v>
      </c>
      <c r="O2036" s="26">
        <f>2024-Inventory[[#This Row],[YrBlt]]</f>
        <v>99</v>
      </c>
      <c r="P2036" s="26">
        <f>2024-Inventory[[#This Row],[EffYr]]</f>
        <v>56</v>
      </c>
      <c r="Q2036" s="25">
        <v>1925</v>
      </c>
      <c r="R2036" s="25">
        <v>1968</v>
      </c>
      <c r="S2036" s="25">
        <v>1512</v>
      </c>
      <c r="T2036" s="32">
        <v>720</v>
      </c>
      <c r="U2036" s="25">
        <v>916</v>
      </c>
      <c r="V2036" s="25">
        <f>Inventory[[#This Row],[Bsmt]]-Inventory[[#This Row],[FnBsmt]]</f>
        <v>458</v>
      </c>
      <c r="W2036" s="25">
        <v>458</v>
      </c>
      <c r="X2036" s="27"/>
      <c r="Y2036" s="27">
        <f>Inventory[[#This Row],[MainFn]]+Inventory[[#This Row],[UpprFn]]+Inventory[[#This Row],[FnBsmt]]+Inventory[[#This Row],[AddFn]]</f>
        <v>2690</v>
      </c>
      <c r="Z2036" s="27">
        <v>3000</v>
      </c>
      <c r="AA2036" s="25">
        <v>7</v>
      </c>
      <c r="AB2036" s="32">
        <v>728</v>
      </c>
      <c r="AC2036" s="27"/>
      <c r="AD2036" s="27"/>
      <c r="AE2036" s="27"/>
      <c r="AF2036" s="27"/>
      <c r="AG2036" s="27"/>
      <c r="AH2036" s="27"/>
      <c r="AI2036" s="25">
        <v>414124</v>
      </c>
      <c r="AJ2036" s="25">
        <v>273322</v>
      </c>
      <c r="AK2036" s="25">
        <v>0</v>
      </c>
      <c r="AL2036" s="25">
        <v>406700</v>
      </c>
      <c r="AM2036" s="25">
        <v>85100</v>
      </c>
      <c r="AN2036" s="25">
        <v>321600</v>
      </c>
      <c r="AO2036" s="25">
        <v>0</v>
      </c>
      <c r="AP2036" s="25">
        <f>Lookups!$B$56*0</f>
        <v>0</v>
      </c>
      <c r="AQ2036" s="25">
        <f>Lookups!$B$56*1</f>
        <v>89850.625589999996</v>
      </c>
      <c r="AR2036" s="25">
        <f>Lookups!$B$57*Inventory[[#This Row],[LnAcres]]</f>
        <v>-26715.548272078075</v>
      </c>
      <c r="AS2036" s="25">
        <f>VLOOKUP(Inventory[[#This Row],[Qlty]],Lookups!$A$62:$E$75,2,FALSE)</f>
        <v>21557.329055999999</v>
      </c>
      <c r="AT2036" s="25">
        <f>VLOOKUP(Inventory[[#This Row],[Cnd]],Lookups!$A$76:$E$84,2,FALSE)</f>
        <v>197752.34721000001</v>
      </c>
      <c r="AU2036" s="25">
        <f>Inventory[[#This Row],[EffAge]]*Lookups!$B$85</f>
        <v>-12490.553628</v>
      </c>
      <c r="AV2036" s="25">
        <f>Inventory[[#This Row],[MainFn]]*Lookups!$B$86</f>
        <v>74705.908854024005</v>
      </c>
      <c r="AW2036" s="25">
        <f>Inventory[[#This Row],[UpprFn]]*Lookups!$B$87</f>
        <v>32246.224459919998</v>
      </c>
      <c r="AX2036" s="25">
        <f>Inventory[[#This Row],[AddFn]]*Lookups!$B$88</f>
        <v>0</v>
      </c>
      <c r="AY2036" s="25">
        <f>Inventory[[#This Row],[Bsmt]]*Lookups!$B$89</f>
        <v>26639.016046252</v>
      </c>
      <c r="AZ2036" s="25">
        <f>Inventory[[#This Row],[Fixtures]]*Lookups!$B$90</f>
        <v>26544.1547364</v>
      </c>
      <c r="BA2036" s="25">
        <f>Inventory[[#This Row],[WdDeck]]*Lookups!$B$91</f>
        <v>0</v>
      </c>
      <c r="BB2036" s="25">
        <f>ROUND(Inventory[[#This Row],[25Det]],-2)</f>
        <v>0</v>
      </c>
      <c r="BC2036" s="25">
        <f>ROUND(SUM(Inventory[[#This Row],[Mdl Qlty]:[Mdl WdDeck]])+Inventory[[#This Row],[Mdl Res Intercept]],-2)</f>
        <v>367000</v>
      </c>
      <c r="BD2036" s="25">
        <f>ROUND(Inventory[[#This Row],[Mdl Land Intercept]]+Inventory[[#This Row],[Mdl LnAcres]],-2)</f>
        <v>63100</v>
      </c>
      <c r="BE2036" s="25">
        <f>Inventory[[#This Row],[Unadj Res Value]]+Inventory[[#This Row],[Unadj Det Value]]+Inventory[[#This Row],[Unadj Land Value]]</f>
        <v>430100</v>
      </c>
      <c r="BF2036" s="36">
        <f>(Inventory[[#This Row],[Unadj Total Value]]-Inventory[[#This Row],[24Final]])/Inventory[[#This Row],[24Final]]</f>
        <v>5.7536267519055814E-2</v>
      </c>
      <c r="BG2036" s="25">
        <f>VLOOKUP(Inventory[[#This Row],[Nbhd]],Lookups!$Q$2:$T$4,4,FALSE)</f>
        <v>0.99970000000000003</v>
      </c>
      <c r="BH2036" s="25">
        <f>VLOOKUP(Inventory[[#This Row],[Qlty]],Lookups!$O$7:$R$21,4,FALSE)</f>
        <v>1.0067999999999999</v>
      </c>
      <c r="BI2036" s="25">
        <f>VLOOKUP(Inventory[[#This Row],[Cnd]],Lookups!$T$7:$W$16,4,FALSE)</f>
        <v>0.99650000000000005</v>
      </c>
      <c r="BJ2036" s="25">
        <f>VLOOKUP(Inventory[[#This Row],[LivArea Range]],Lookups!$T$25:$W$37,4,FALSE)</f>
        <v>0.96179999999999999</v>
      </c>
      <c r="BK2036" s="25">
        <f>VLOOKUP(Inventory[[#This Row],[Decade]],Lookups!$O$25:$R$42,4,FALSE)</f>
        <v>1.0074000000000001</v>
      </c>
      <c r="BL2036" s="25">
        <f>Inventory[[#This Row],[Nbhd Adj]]*0.95</f>
        <v>0.94971499999999998</v>
      </c>
      <c r="BM2036" s="25">
        <f>Inventory[[#This Row],[Nbhd Adj]]*Inventory[[#This Row],[Quality Adj]]*Inventory[[#This Row],[Condition Adj]]*Inventory[[#This Row],[Living Area Adj]]*Inventory[[#This Row],[Decade Adj]]*0.95</f>
        <v>0.92321005644682153</v>
      </c>
      <c r="BN2036" s="25">
        <f>ROUND(SUM(Inventory[[#This Row],[Mdl Qlty]:[Mdl WdDeck]])+Inventory[[#This Row],[Mdl Res Intercept]]*Inventory[[#This Row],[Res Adj ]],-2)</f>
        <v>367000</v>
      </c>
      <c r="BO2036" s="25">
        <f>ROUND(Inventory[[#This Row],[25Det]]*Inventory[[#This Row],[Det/Nbhd Adj]],-2)</f>
        <v>0</v>
      </c>
      <c r="BP2036" s="25">
        <f>Inventory[[#This Row],[Adjusted Res]]+Inventory[[#This Row],[Adj Det ]]</f>
        <v>367000</v>
      </c>
      <c r="BQ2036" s="25">
        <f>ROUND((Inventory[[#This Row],[Mdl Land Intercept]]+Inventory[[#This Row],[Mdl LnAcres]])*Inventory[[#This Row],[Det/Nbhd Adj]],-2)</f>
        <v>60000</v>
      </c>
      <c r="BR2036" s="25">
        <f>Inventory[[#This Row],[Adjusted Impr Total]]+Inventory[[#This Row],[Adjusted Land Total]]</f>
        <v>427000</v>
      </c>
      <c r="BS2036" s="36">
        <f>IFERROR((Inventory[[#This Row],[Adjusted Impr Total]]-Inventory[[#This Row],[24Bldg]])/Inventory[[#This Row],[24Bldg]],0)</f>
        <v>0.14116915422885573</v>
      </c>
      <c r="BT2036" s="36">
        <f>(Inventory[[#This Row],[Adjusted Land Total]]-Inventory[[#This Row],[24Lnd]])/Inventory[[#This Row],[24Lnd]]</f>
        <v>-0.29494712103407755</v>
      </c>
      <c r="BU2036" s="36">
        <f>(Inventory[[#This Row],[Adjusted Total]]-Inventory[[#This Row],[24Final]])/Inventory[[#This Row],[24Final]]</f>
        <v>4.9913941480206538E-2</v>
      </c>
    </row>
    <row r="2037" spans="1:73" x14ac:dyDescent="0.3">
      <c r="A2037" s="25">
        <v>2025</v>
      </c>
      <c r="B2037" s="26" t="s">
        <v>2250</v>
      </c>
      <c r="C2037" s="26">
        <f>LN(Inventory[[#This Row],[Acres]])</f>
        <v>-1.7147984280919266</v>
      </c>
      <c r="D2037" s="25">
        <v>0.18</v>
      </c>
      <c r="E2037" s="31"/>
      <c r="F2037" s="26" t="s">
        <v>537</v>
      </c>
      <c r="G2037" s="26" t="s">
        <v>126</v>
      </c>
      <c r="H2037" s="26" t="s">
        <v>349</v>
      </c>
      <c r="I2037" s="26" t="s">
        <v>538</v>
      </c>
      <c r="J2037" s="26" t="s">
        <v>539</v>
      </c>
      <c r="K2037" s="26" t="s">
        <v>269</v>
      </c>
      <c r="L2037" s="26" t="s">
        <v>351</v>
      </c>
      <c r="M2037" s="26" t="s">
        <v>303</v>
      </c>
      <c r="N2037" s="26">
        <v>100</v>
      </c>
      <c r="O2037" s="26">
        <f>2024-Inventory[[#This Row],[YrBlt]]</f>
        <v>99</v>
      </c>
      <c r="P2037" s="26">
        <f>2024-Inventory[[#This Row],[EffYr]]</f>
        <v>56</v>
      </c>
      <c r="Q2037" s="25">
        <v>1925</v>
      </c>
      <c r="R2037" s="25">
        <v>1968</v>
      </c>
      <c r="S2037" s="25">
        <v>832</v>
      </c>
      <c r="T2037" s="27"/>
      <c r="U2037" s="25">
        <v>832</v>
      </c>
      <c r="V2037" s="25">
        <f>Inventory[[#This Row],[Bsmt]]-Inventory[[#This Row],[FnBsmt]]</f>
        <v>0</v>
      </c>
      <c r="W2037" s="25">
        <v>832</v>
      </c>
      <c r="X2037" s="27"/>
      <c r="Y2037" s="27">
        <f>Inventory[[#This Row],[MainFn]]+Inventory[[#This Row],[UpprFn]]+Inventory[[#This Row],[FnBsmt]]+Inventory[[#This Row],[AddFn]]</f>
        <v>1664</v>
      </c>
      <c r="Z2037" s="27">
        <v>2000</v>
      </c>
      <c r="AA2037" s="25">
        <v>8</v>
      </c>
      <c r="AB2037" s="27"/>
      <c r="AC2037" s="27"/>
      <c r="AD2037" s="31"/>
      <c r="AE2037" s="27"/>
      <c r="AF2037" s="27"/>
      <c r="AG2037" s="27"/>
      <c r="AH2037" s="27"/>
      <c r="AI2037" s="25">
        <v>226199</v>
      </c>
      <c r="AJ2037" s="25">
        <v>149291</v>
      </c>
      <c r="AK2037" s="25">
        <v>5024</v>
      </c>
      <c r="AL2037" s="25">
        <v>325000</v>
      </c>
      <c r="AM2037" s="25">
        <v>54700</v>
      </c>
      <c r="AN2037" s="25">
        <v>270300</v>
      </c>
      <c r="AO2037" s="25">
        <v>0</v>
      </c>
      <c r="AP2037" s="25">
        <f>Lookups!$B$56*0</f>
        <v>0</v>
      </c>
      <c r="AQ2037" s="25">
        <f>Lookups!$B$56*1</f>
        <v>89850.625589999996</v>
      </c>
      <c r="AR2037" s="25">
        <f>Lookups!$B$57*Inventory[[#This Row],[LnAcres]]</f>
        <v>-54281.285314520763</v>
      </c>
      <c r="AS2037" s="25">
        <f>VLOOKUP(Inventory[[#This Row],[Qlty]],Lookups!$A$62:$E$75,2,FALSE)</f>
        <v>21557.329055999999</v>
      </c>
      <c r="AT2037" s="25">
        <f>VLOOKUP(Inventory[[#This Row],[Cnd]],Lookups!$A$76:$E$84,2,FALSE)</f>
        <v>197752.34721000001</v>
      </c>
      <c r="AU2037" s="25">
        <f>Inventory[[#This Row],[EffAge]]*Lookups!$B$85</f>
        <v>-12490.553628</v>
      </c>
      <c r="AV2037" s="25">
        <f>Inventory[[#This Row],[MainFn]]*Lookups!$B$86</f>
        <v>41108.013337664001</v>
      </c>
      <c r="AW2037" s="25">
        <f>Inventory[[#This Row],[UpprFn]]*Lookups!$B$87</f>
        <v>0</v>
      </c>
      <c r="AX2037" s="25">
        <f>Inventory[[#This Row],[AddFn]]*Lookups!$B$88</f>
        <v>0</v>
      </c>
      <c r="AY2037" s="25">
        <f>Inventory[[#This Row],[Bsmt]]*Lookups!$B$89</f>
        <v>24196.136845503999</v>
      </c>
      <c r="AZ2037" s="25">
        <f>Inventory[[#This Row],[Fixtures]]*Lookups!$B$90</f>
        <v>30336.176841600001</v>
      </c>
      <c r="BA2037" s="25">
        <f>Inventory[[#This Row],[WdDeck]]*Lookups!$B$91</f>
        <v>0</v>
      </c>
      <c r="BB2037" s="25">
        <f>ROUND(Inventory[[#This Row],[25Det]],-2)</f>
        <v>5000</v>
      </c>
      <c r="BC2037" s="25">
        <f>ROUND(SUM(Inventory[[#This Row],[Mdl Qlty]:[Mdl WdDeck]])+Inventory[[#This Row],[Mdl Res Intercept]],-2)</f>
        <v>302500</v>
      </c>
      <c r="BD2037" s="25">
        <f>ROUND(Inventory[[#This Row],[Mdl Land Intercept]]+Inventory[[#This Row],[Mdl LnAcres]],-2)</f>
        <v>35600</v>
      </c>
      <c r="BE2037" s="25">
        <f>Inventory[[#This Row],[Unadj Res Value]]+Inventory[[#This Row],[Unadj Det Value]]+Inventory[[#This Row],[Unadj Land Value]]</f>
        <v>343100</v>
      </c>
      <c r="BF2037" s="36">
        <f>(Inventory[[#This Row],[Unadj Total Value]]-Inventory[[#This Row],[24Final]])/Inventory[[#This Row],[24Final]]</f>
        <v>5.5692307692307694E-2</v>
      </c>
      <c r="BG2037" s="25">
        <f>VLOOKUP(Inventory[[#This Row],[Nbhd]],Lookups!$Q$2:$T$4,4,FALSE)</f>
        <v>0.99970000000000003</v>
      </c>
      <c r="BH2037" s="25">
        <f>VLOOKUP(Inventory[[#This Row],[Qlty]],Lookups!$O$7:$R$21,4,FALSE)</f>
        <v>1.0067999999999999</v>
      </c>
      <c r="BI2037" s="25">
        <f>VLOOKUP(Inventory[[#This Row],[Cnd]],Lookups!$T$7:$W$16,4,FALSE)</f>
        <v>0.99650000000000005</v>
      </c>
      <c r="BJ2037" s="25">
        <f>VLOOKUP(Inventory[[#This Row],[LivArea Range]],Lookups!$T$25:$W$37,4,FALSE)</f>
        <v>1.0093000000000001</v>
      </c>
      <c r="BK2037" s="25">
        <f>VLOOKUP(Inventory[[#This Row],[Decade]],Lookups!$O$25:$R$42,4,FALSE)</f>
        <v>1.0074000000000001</v>
      </c>
      <c r="BL2037" s="25">
        <f>Inventory[[#This Row],[Nbhd Adj]]*0.95</f>
        <v>0.94971499999999998</v>
      </c>
      <c r="BM2037" s="25">
        <f>Inventory[[#This Row],[Nbhd Adj]]*Inventory[[#This Row],[Quality Adj]]*Inventory[[#This Row],[Condition Adj]]*Inventory[[#This Row],[Living Area Adj]]*Inventory[[#This Row],[Decade Adj]]*0.95</f>
        <v>0.96880423161964746</v>
      </c>
      <c r="BN2037" s="25">
        <f>ROUND(SUM(Inventory[[#This Row],[Mdl Qlty]:[Mdl WdDeck]])+Inventory[[#This Row],[Mdl Res Intercept]]*Inventory[[#This Row],[Res Adj ]],-2)</f>
        <v>302500</v>
      </c>
      <c r="BO2037" s="25">
        <f>ROUND(Inventory[[#This Row],[25Det]]*Inventory[[#This Row],[Det/Nbhd Adj]],-2)</f>
        <v>4800</v>
      </c>
      <c r="BP2037" s="25">
        <f>Inventory[[#This Row],[Adjusted Res]]+Inventory[[#This Row],[Adj Det ]]</f>
        <v>307300</v>
      </c>
      <c r="BQ2037" s="25">
        <f>ROUND((Inventory[[#This Row],[Mdl Land Intercept]]+Inventory[[#This Row],[Mdl LnAcres]])*Inventory[[#This Row],[Det/Nbhd Adj]],-2)</f>
        <v>33800</v>
      </c>
      <c r="BR2037" s="25">
        <f>Inventory[[#This Row],[Adjusted Impr Total]]+Inventory[[#This Row],[Adjusted Land Total]]</f>
        <v>341100</v>
      </c>
      <c r="BS2037" s="36">
        <f>IFERROR((Inventory[[#This Row],[Adjusted Impr Total]]-Inventory[[#This Row],[24Bldg]])/Inventory[[#This Row],[24Bldg]],0)</f>
        <v>0.1368849426563078</v>
      </c>
      <c r="BT2037" s="36">
        <f>(Inventory[[#This Row],[Adjusted Land Total]]-Inventory[[#This Row],[24Lnd]])/Inventory[[#This Row],[24Lnd]]</f>
        <v>-0.38208409506398539</v>
      </c>
      <c r="BU2037" s="36">
        <f>(Inventory[[#This Row],[Adjusted Total]]-Inventory[[#This Row],[24Final]])/Inventory[[#This Row],[24Final]]</f>
        <v>4.9538461538461538E-2</v>
      </c>
    </row>
    <row r="2038" spans="1:73" x14ac:dyDescent="0.3">
      <c r="A2038" s="25">
        <v>2025</v>
      </c>
      <c r="B2038" s="26" t="s">
        <v>2336</v>
      </c>
      <c r="C2038" s="26">
        <f>LN(Inventory[[#This Row],[Acres]])</f>
        <v>-1.7147984280919266</v>
      </c>
      <c r="D2038" s="25">
        <v>0.18</v>
      </c>
      <c r="E2038" s="31"/>
      <c r="F2038" s="26" t="s">
        <v>537</v>
      </c>
      <c r="G2038" s="26" t="s">
        <v>126</v>
      </c>
      <c r="H2038" s="26" t="s">
        <v>349</v>
      </c>
      <c r="I2038" s="26" t="s">
        <v>538</v>
      </c>
      <c r="J2038" s="26" t="s">
        <v>539</v>
      </c>
      <c r="K2038" s="26" t="s">
        <v>242</v>
      </c>
      <c r="L2038" s="26" t="s">
        <v>148</v>
      </c>
      <c r="M2038" s="26" t="s">
        <v>323</v>
      </c>
      <c r="N2038" s="26">
        <v>100</v>
      </c>
      <c r="O2038" s="26">
        <f>2024-Inventory[[#This Row],[YrBlt]]</f>
        <v>99</v>
      </c>
      <c r="P2038" s="26">
        <f>2024-Inventory[[#This Row],[EffYr]]</f>
        <v>56</v>
      </c>
      <c r="Q2038" s="25">
        <v>1925</v>
      </c>
      <c r="R2038" s="25">
        <v>1968</v>
      </c>
      <c r="S2038" s="25">
        <v>1339</v>
      </c>
      <c r="T2038" s="27"/>
      <c r="U2038" s="25">
        <v>999</v>
      </c>
      <c r="V2038" s="25">
        <f>Inventory[[#This Row],[Bsmt]]-Inventory[[#This Row],[FnBsmt]]</f>
        <v>497</v>
      </c>
      <c r="W2038" s="25">
        <v>502</v>
      </c>
      <c r="X2038" s="27"/>
      <c r="Y2038" s="27">
        <f>Inventory[[#This Row],[MainFn]]+Inventory[[#This Row],[UpprFn]]+Inventory[[#This Row],[FnBsmt]]+Inventory[[#This Row],[AddFn]]</f>
        <v>1841</v>
      </c>
      <c r="Z2038" s="27">
        <v>2000</v>
      </c>
      <c r="AA2038" s="25">
        <v>7</v>
      </c>
      <c r="AB2038" s="32">
        <v>216</v>
      </c>
      <c r="AC2038" s="27"/>
      <c r="AD2038" s="31"/>
      <c r="AE2038" s="27"/>
      <c r="AF2038" s="27"/>
      <c r="AG2038" s="27"/>
      <c r="AH2038" s="27"/>
      <c r="AI2038" s="25">
        <v>404995</v>
      </c>
      <c r="AJ2038" s="25">
        <v>259197</v>
      </c>
      <c r="AK2038" s="25">
        <v>0</v>
      </c>
      <c r="AL2038" s="25">
        <v>331400</v>
      </c>
      <c r="AM2038" s="25">
        <v>54700</v>
      </c>
      <c r="AN2038" s="25">
        <v>276700</v>
      </c>
      <c r="AO2038" s="25">
        <v>0</v>
      </c>
      <c r="AP2038" s="25">
        <f>Lookups!$B$56*0</f>
        <v>0</v>
      </c>
      <c r="AQ2038" s="25">
        <f>Lookups!$B$56*1</f>
        <v>89850.625589999996</v>
      </c>
      <c r="AR2038" s="25">
        <f>Lookups!$B$57*Inventory[[#This Row],[LnAcres]]</f>
        <v>-54281.285314520763</v>
      </c>
      <c r="AS2038" s="25">
        <f>VLOOKUP(Inventory[[#This Row],[Qlty]],Lookups!$A$62:$E$75,2,FALSE)</f>
        <v>44121.038090000002</v>
      </c>
      <c r="AT2038" s="25">
        <f>VLOOKUP(Inventory[[#This Row],[Cnd]],Lookups!$A$76:$E$84,2,FALSE)</f>
        <v>160472.20319</v>
      </c>
      <c r="AU2038" s="25">
        <f>Inventory[[#This Row],[EffAge]]*Lookups!$B$85</f>
        <v>-12490.553628</v>
      </c>
      <c r="AV2038" s="25">
        <f>Inventory[[#This Row],[MainFn]]*Lookups!$B$86</f>
        <v>66158.208965302998</v>
      </c>
      <c r="AW2038" s="25">
        <f>Inventory[[#This Row],[UpprFn]]*Lookups!$B$87</f>
        <v>0</v>
      </c>
      <c r="AX2038" s="25">
        <f>Inventory[[#This Row],[AddFn]]*Lookups!$B$88</f>
        <v>0</v>
      </c>
      <c r="AY2038" s="25">
        <f>Inventory[[#This Row],[Bsmt]]*Lookups!$B$89</f>
        <v>29052.813351752997</v>
      </c>
      <c r="AZ2038" s="25">
        <f>Inventory[[#This Row],[Fixtures]]*Lookups!$B$90</f>
        <v>26544.1547364</v>
      </c>
      <c r="BA2038" s="25">
        <f>Inventory[[#This Row],[WdDeck]]*Lookups!$B$91</f>
        <v>0</v>
      </c>
      <c r="BB2038" s="25">
        <f>ROUND(Inventory[[#This Row],[25Det]],-2)</f>
        <v>0</v>
      </c>
      <c r="BC2038" s="25">
        <f>ROUND(SUM(Inventory[[#This Row],[Mdl Qlty]:[Mdl WdDeck]])+Inventory[[#This Row],[Mdl Res Intercept]],-2)</f>
        <v>313900</v>
      </c>
      <c r="BD2038" s="25">
        <f>ROUND(Inventory[[#This Row],[Mdl Land Intercept]]+Inventory[[#This Row],[Mdl LnAcres]],-2)</f>
        <v>35600</v>
      </c>
      <c r="BE2038" s="25">
        <f>Inventory[[#This Row],[Unadj Res Value]]+Inventory[[#This Row],[Unadj Det Value]]+Inventory[[#This Row],[Unadj Land Value]]</f>
        <v>349500</v>
      </c>
      <c r="BF2038" s="36">
        <f>(Inventory[[#This Row],[Unadj Total Value]]-Inventory[[#This Row],[24Final]])/Inventory[[#This Row],[24Final]]</f>
        <v>5.4616777308388653E-2</v>
      </c>
      <c r="BG2038" s="25">
        <f>VLOOKUP(Inventory[[#This Row],[Nbhd]],Lookups!$Q$2:$T$4,4,FALSE)</f>
        <v>0.99970000000000003</v>
      </c>
      <c r="BH2038" s="25">
        <f>VLOOKUP(Inventory[[#This Row],[Qlty]],Lookups!$O$7:$R$21,4,FALSE)</f>
        <v>0.98050000000000004</v>
      </c>
      <c r="BI2038" s="25">
        <f>VLOOKUP(Inventory[[#This Row],[Cnd]],Lookups!$T$7:$W$16,4,FALSE)</f>
        <v>0.99729999999999996</v>
      </c>
      <c r="BJ2038" s="25">
        <f>VLOOKUP(Inventory[[#This Row],[LivArea Range]],Lookups!$T$25:$W$37,4,FALSE)</f>
        <v>1.0093000000000001</v>
      </c>
      <c r="BK2038" s="25">
        <f>VLOOKUP(Inventory[[#This Row],[Decade]],Lookups!$O$25:$R$42,4,FALSE)</f>
        <v>1.0074000000000001</v>
      </c>
      <c r="BL2038" s="25">
        <f>Inventory[[#This Row],[Nbhd Adj]]*0.95</f>
        <v>0.94971499999999998</v>
      </c>
      <c r="BM2038" s="25">
        <f>Inventory[[#This Row],[Nbhd Adj]]*Inventory[[#This Row],[Quality Adj]]*Inventory[[#This Row],[Condition Adj]]*Inventory[[#This Row],[Living Area Adj]]*Inventory[[#This Row],[Decade Adj]]*0.95</f>
        <v>0.9442542195464082</v>
      </c>
      <c r="BN2038" s="25">
        <f>ROUND(SUM(Inventory[[#This Row],[Mdl Qlty]:[Mdl WdDeck]])+Inventory[[#This Row],[Mdl Res Intercept]]*Inventory[[#This Row],[Res Adj ]],-2)</f>
        <v>313900</v>
      </c>
      <c r="BO2038" s="25">
        <f>ROUND(Inventory[[#This Row],[25Det]]*Inventory[[#This Row],[Det/Nbhd Adj]],-2)</f>
        <v>0</v>
      </c>
      <c r="BP2038" s="25">
        <f>Inventory[[#This Row],[Adjusted Res]]+Inventory[[#This Row],[Adj Det ]]</f>
        <v>313900</v>
      </c>
      <c r="BQ2038" s="25">
        <f>ROUND((Inventory[[#This Row],[Mdl Land Intercept]]+Inventory[[#This Row],[Mdl LnAcres]])*Inventory[[#This Row],[Det/Nbhd Adj]],-2)</f>
        <v>33800</v>
      </c>
      <c r="BR2038" s="25">
        <f>Inventory[[#This Row],[Adjusted Impr Total]]+Inventory[[#This Row],[Adjusted Land Total]]</f>
        <v>347700</v>
      </c>
      <c r="BS2038" s="36">
        <f>IFERROR((Inventory[[#This Row],[Adjusted Impr Total]]-Inventory[[#This Row],[24Bldg]])/Inventory[[#This Row],[24Bldg]],0)</f>
        <v>0.13444163353812794</v>
      </c>
      <c r="BT2038" s="36">
        <f>(Inventory[[#This Row],[Adjusted Land Total]]-Inventory[[#This Row],[24Lnd]])/Inventory[[#This Row],[24Lnd]]</f>
        <v>-0.38208409506398539</v>
      </c>
      <c r="BU2038" s="36">
        <f>(Inventory[[#This Row],[Adjusted Total]]-Inventory[[#This Row],[24Final]])/Inventory[[#This Row],[24Final]]</f>
        <v>4.9185274592637294E-2</v>
      </c>
    </row>
    <row r="2039" spans="1:73" x14ac:dyDescent="0.3">
      <c r="A2039" s="25">
        <v>2025</v>
      </c>
      <c r="B2039" s="26" t="s">
        <v>2835</v>
      </c>
      <c r="C2039" s="26">
        <f>LN(Inventory[[#This Row],[Acres]])</f>
        <v>-1.5141277326297755</v>
      </c>
      <c r="D2039" s="25">
        <v>0.22</v>
      </c>
      <c r="E2039" s="31"/>
      <c r="F2039" s="26" t="s">
        <v>537</v>
      </c>
      <c r="G2039" s="26" t="s">
        <v>126</v>
      </c>
      <c r="H2039" s="26" t="s">
        <v>349</v>
      </c>
      <c r="I2039" s="26" t="s">
        <v>538</v>
      </c>
      <c r="J2039" s="26" t="s">
        <v>539</v>
      </c>
      <c r="K2039" s="26" t="s">
        <v>242</v>
      </c>
      <c r="L2039" s="26" t="s">
        <v>148</v>
      </c>
      <c r="M2039" s="26" t="s">
        <v>303</v>
      </c>
      <c r="N2039" s="26">
        <v>100</v>
      </c>
      <c r="O2039" s="26">
        <f>2024-Inventory[[#This Row],[YrBlt]]</f>
        <v>99</v>
      </c>
      <c r="P2039" s="26">
        <f>2024-Inventory[[#This Row],[EffYr]]</f>
        <v>56</v>
      </c>
      <c r="Q2039" s="25">
        <v>1925</v>
      </c>
      <c r="R2039" s="25">
        <v>1968</v>
      </c>
      <c r="S2039" s="25">
        <v>1008</v>
      </c>
      <c r="T2039" s="31"/>
      <c r="U2039" s="25">
        <v>1008</v>
      </c>
      <c r="V2039" s="32">
        <f>Inventory[[#This Row],[Bsmt]]-Inventory[[#This Row],[FnBsmt]]</f>
        <v>0</v>
      </c>
      <c r="W2039" s="32">
        <v>1008</v>
      </c>
      <c r="X2039" s="27"/>
      <c r="Y2039" s="27">
        <f>Inventory[[#This Row],[MainFn]]+Inventory[[#This Row],[UpprFn]]+Inventory[[#This Row],[FnBsmt]]+Inventory[[#This Row],[AddFn]]</f>
        <v>2016</v>
      </c>
      <c r="Z2039" s="27">
        <v>2500</v>
      </c>
      <c r="AA2039" s="25">
        <v>8</v>
      </c>
      <c r="AB2039" s="27"/>
      <c r="AC2039" s="27"/>
      <c r="AD2039" s="27"/>
      <c r="AE2039" s="27"/>
      <c r="AF2039" s="27"/>
      <c r="AG2039" s="27"/>
      <c r="AH2039" s="27"/>
      <c r="AI2039" s="25">
        <v>344233</v>
      </c>
      <c r="AJ2039" s="25">
        <v>227194</v>
      </c>
      <c r="AK2039" s="25">
        <v>6178</v>
      </c>
      <c r="AL2039" s="25">
        <v>366600</v>
      </c>
      <c r="AM2039" s="25">
        <v>61700</v>
      </c>
      <c r="AN2039" s="25">
        <v>304900</v>
      </c>
      <c r="AO2039" s="25">
        <v>0</v>
      </c>
      <c r="AP2039" s="25">
        <f>Lookups!$B$56*0</f>
        <v>0</v>
      </c>
      <c r="AQ2039" s="25">
        <f>Lookups!$B$56*1</f>
        <v>89850.625589999996</v>
      </c>
      <c r="AR2039" s="25">
        <f>Lookups!$B$57*Inventory[[#This Row],[LnAcres]]</f>
        <v>-47929.131559187132</v>
      </c>
      <c r="AS2039" s="25">
        <f>VLOOKUP(Inventory[[#This Row],[Qlty]],Lookups!$A$62:$E$75,2,FALSE)</f>
        <v>44121.038090000002</v>
      </c>
      <c r="AT2039" s="25">
        <f>VLOOKUP(Inventory[[#This Row],[Cnd]],Lookups!$A$76:$E$84,2,FALSE)</f>
        <v>197752.34721000001</v>
      </c>
      <c r="AU2039" s="25">
        <f>Inventory[[#This Row],[EffAge]]*Lookups!$B$85</f>
        <v>-12490.553628</v>
      </c>
      <c r="AV2039" s="25">
        <f>Inventory[[#This Row],[MainFn]]*Lookups!$B$86</f>
        <v>49803.939236015998</v>
      </c>
      <c r="AW2039" s="25">
        <f>Inventory[[#This Row],[UpprFn]]*Lookups!$B$87</f>
        <v>0</v>
      </c>
      <c r="AX2039" s="25">
        <f>Inventory[[#This Row],[AddFn]]*Lookups!$B$88</f>
        <v>0</v>
      </c>
      <c r="AY2039" s="25">
        <f>Inventory[[#This Row],[Bsmt]]*Lookups!$B$89</f>
        <v>29314.550408976</v>
      </c>
      <c r="AZ2039" s="25">
        <f>Inventory[[#This Row],[Fixtures]]*Lookups!$B$90</f>
        <v>30336.176841600001</v>
      </c>
      <c r="BA2039" s="25">
        <f>Inventory[[#This Row],[WdDeck]]*Lookups!$B$91</f>
        <v>0</v>
      </c>
      <c r="BB2039" s="25">
        <f>ROUND(Inventory[[#This Row],[25Det]],-2)</f>
        <v>6200</v>
      </c>
      <c r="BC2039" s="25">
        <f>ROUND(SUM(Inventory[[#This Row],[Mdl Qlty]:[Mdl WdDeck]])+Inventory[[#This Row],[Mdl Res Intercept]],-2)</f>
        <v>338800</v>
      </c>
      <c r="BD2039" s="25">
        <f>ROUND(Inventory[[#This Row],[Mdl Land Intercept]]+Inventory[[#This Row],[Mdl LnAcres]],-2)</f>
        <v>41900</v>
      </c>
      <c r="BE2039" s="25">
        <f>Inventory[[#This Row],[Unadj Res Value]]+Inventory[[#This Row],[Unadj Det Value]]+Inventory[[#This Row],[Unadj Land Value]]</f>
        <v>386900</v>
      </c>
      <c r="BF2039" s="36">
        <f>(Inventory[[#This Row],[Unadj Total Value]]-Inventory[[#This Row],[24Final]])/Inventory[[#This Row],[24Final]]</f>
        <v>5.5373704309874525E-2</v>
      </c>
      <c r="BG2039" s="25">
        <f>VLOOKUP(Inventory[[#This Row],[Nbhd]],Lookups!$Q$2:$T$4,4,FALSE)</f>
        <v>0.99970000000000003</v>
      </c>
      <c r="BH2039" s="25">
        <f>VLOOKUP(Inventory[[#This Row],[Qlty]],Lookups!$O$7:$R$21,4,FALSE)</f>
        <v>0.98050000000000004</v>
      </c>
      <c r="BI2039" s="25">
        <f>VLOOKUP(Inventory[[#This Row],[Cnd]],Lookups!$T$7:$W$16,4,FALSE)</f>
        <v>0.99650000000000005</v>
      </c>
      <c r="BJ2039" s="25">
        <f>VLOOKUP(Inventory[[#This Row],[LivArea Range]],Lookups!$T$25:$W$37,4,FALSE)</f>
        <v>0.98919999999999997</v>
      </c>
      <c r="BK2039" s="25">
        <f>VLOOKUP(Inventory[[#This Row],[Decade]],Lookups!$O$25:$R$42,4,FALSE)</f>
        <v>1.0074000000000001</v>
      </c>
      <c r="BL2039" s="25">
        <f>Inventory[[#This Row],[Nbhd Adj]]*0.95</f>
        <v>0.94971499999999998</v>
      </c>
      <c r="BM2039" s="25">
        <f>Inventory[[#This Row],[Nbhd Adj]]*Inventory[[#This Row],[Quality Adj]]*Inventory[[#This Row],[Condition Adj]]*Inventory[[#This Row],[Living Area Adj]]*Inventory[[#This Row],[Decade Adj]]*0.95</f>
        <v>0.9247072287054503</v>
      </c>
      <c r="BN2039" s="25">
        <f>ROUND(SUM(Inventory[[#This Row],[Mdl Qlty]:[Mdl WdDeck]])+Inventory[[#This Row],[Mdl Res Intercept]]*Inventory[[#This Row],[Res Adj ]],-2)</f>
        <v>338800</v>
      </c>
      <c r="BO2039" s="25">
        <f>ROUND(Inventory[[#This Row],[25Det]]*Inventory[[#This Row],[Det/Nbhd Adj]],-2)</f>
        <v>5900</v>
      </c>
      <c r="BP2039" s="25">
        <f>Inventory[[#This Row],[Adjusted Res]]+Inventory[[#This Row],[Adj Det ]]</f>
        <v>344700</v>
      </c>
      <c r="BQ2039" s="25">
        <f>ROUND((Inventory[[#This Row],[Mdl Land Intercept]]+Inventory[[#This Row],[Mdl LnAcres]])*Inventory[[#This Row],[Det/Nbhd Adj]],-2)</f>
        <v>39800</v>
      </c>
      <c r="BR2039" s="25">
        <f>Inventory[[#This Row],[Adjusted Impr Total]]+Inventory[[#This Row],[Adjusted Land Total]]</f>
        <v>384500</v>
      </c>
      <c r="BS2039" s="36">
        <f>IFERROR((Inventory[[#This Row],[Adjusted Impr Total]]-Inventory[[#This Row],[24Bldg]])/Inventory[[#This Row],[24Bldg]],0)</f>
        <v>0.13053460150869137</v>
      </c>
      <c r="BT2039" s="36">
        <f>(Inventory[[#This Row],[Adjusted Land Total]]-Inventory[[#This Row],[24Lnd]])/Inventory[[#This Row],[24Lnd]]</f>
        <v>-0.35494327390599678</v>
      </c>
      <c r="BU2039" s="36">
        <f>(Inventory[[#This Row],[Adjusted Total]]-Inventory[[#This Row],[24Final]])/Inventory[[#This Row],[24Final]]</f>
        <v>4.8827059465357335E-2</v>
      </c>
    </row>
    <row r="2040" spans="1:73" x14ac:dyDescent="0.3">
      <c r="A2040" s="25">
        <v>2025</v>
      </c>
      <c r="B2040" s="26" t="s">
        <v>2519</v>
      </c>
      <c r="C2040" s="26">
        <f>LN(Inventory[[#This Row],[Acres]])</f>
        <v>-1.8971199848858813</v>
      </c>
      <c r="D2040" s="25">
        <v>0.15</v>
      </c>
      <c r="E2040" s="31"/>
      <c r="F2040" s="26" t="s">
        <v>537</v>
      </c>
      <c r="G2040" s="26" t="s">
        <v>126</v>
      </c>
      <c r="H2040" s="26" t="s">
        <v>349</v>
      </c>
      <c r="I2040" s="26" t="s">
        <v>538</v>
      </c>
      <c r="J2040" s="26" t="s">
        <v>539</v>
      </c>
      <c r="K2040" s="26" t="s">
        <v>242</v>
      </c>
      <c r="L2040" s="26" t="s">
        <v>351</v>
      </c>
      <c r="M2040" s="26" t="s">
        <v>323</v>
      </c>
      <c r="N2040" s="26">
        <v>100</v>
      </c>
      <c r="O2040" s="26">
        <f>2024-Inventory[[#This Row],[YrBlt]]</f>
        <v>99</v>
      </c>
      <c r="P2040" s="26">
        <f>2024-Inventory[[#This Row],[EffYr]]</f>
        <v>56</v>
      </c>
      <c r="Q2040" s="25">
        <v>1925</v>
      </c>
      <c r="R2040" s="25">
        <v>1968</v>
      </c>
      <c r="S2040" s="25">
        <v>1276</v>
      </c>
      <c r="T2040" s="27"/>
      <c r="U2040" s="25">
        <v>482</v>
      </c>
      <c r="V2040" s="25">
        <f>Inventory[[#This Row],[Bsmt]]-Inventory[[#This Row],[FnBsmt]]</f>
        <v>266</v>
      </c>
      <c r="W2040" s="25">
        <v>216</v>
      </c>
      <c r="X2040" s="27"/>
      <c r="Y2040" s="27">
        <f>Inventory[[#This Row],[MainFn]]+Inventory[[#This Row],[UpprFn]]+Inventory[[#This Row],[FnBsmt]]+Inventory[[#This Row],[AddFn]]</f>
        <v>1492</v>
      </c>
      <c r="Z2040" s="27">
        <v>1500</v>
      </c>
      <c r="AA2040" s="25">
        <v>5</v>
      </c>
      <c r="AB2040" s="27"/>
      <c r="AC2040" s="27"/>
      <c r="AD2040" s="27"/>
      <c r="AE2040" s="27"/>
      <c r="AF2040" s="27"/>
      <c r="AG2040" s="27"/>
      <c r="AH2040" s="27"/>
      <c r="AI2040" s="25">
        <v>243698</v>
      </c>
      <c r="AJ2040" s="25">
        <v>155967</v>
      </c>
      <c r="AK2040" s="25">
        <v>6626</v>
      </c>
      <c r="AL2040" s="25">
        <v>286300</v>
      </c>
      <c r="AM2040" s="25">
        <v>48400</v>
      </c>
      <c r="AN2040" s="25">
        <v>237900</v>
      </c>
      <c r="AO2040" s="25">
        <v>0</v>
      </c>
      <c r="AP2040" s="25">
        <f>Lookups!$B$56*0</f>
        <v>0</v>
      </c>
      <c r="AQ2040" s="25">
        <f>Lookups!$B$56*1</f>
        <v>89850.625589999996</v>
      </c>
      <c r="AR2040" s="25">
        <f>Lookups!$B$57*Inventory[[#This Row],[LnAcres]]</f>
        <v>-60052.604136134301</v>
      </c>
      <c r="AS2040" s="25">
        <f>VLOOKUP(Inventory[[#This Row],[Qlty]],Lookups!$A$62:$E$75,2,FALSE)</f>
        <v>21557.329055999999</v>
      </c>
      <c r="AT2040" s="25">
        <f>VLOOKUP(Inventory[[#This Row],[Cnd]],Lookups!$A$76:$E$84,2,FALSE)</f>
        <v>160472.20319</v>
      </c>
      <c r="AU2040" s="25">
        <f>Inventory[[#This Row],[EffAge]]*Lookups!$B$85</f>
        <v>-12490.553628</v>
      </c>
      <c r="AV2040" s="25">
        <f>Inventory[[#This Row],[MainFn]]*Lookups!$B$86</f>
        <v>63045.462763052004</v>
      </c>
      <c r="AW2040" s="25">
        <f>Inventory[[#This Row],[UpprFn]]*Lookups!$B$87</f>
        <v>0</v>
      </c>
      <c r="AX2040" s="25">
        <f>Inventory[[#This Row],[AddFn]]*Lookups!$B$88</f>
        <v>0</v>
      </c>
      <c r="AY2040" s="25">
        <f>Inventory[[#This Row],[Bsmt]]*Lookups!$B$89</f>
        <v>14017.473509054</v>
      </c>
      <c r="AZ2040" s="25">
        <f>Inventory[[#This Row],[Fixtures]]*Lookups!$B$90</f>
        <v>18960.110526</v>
      </c>
      <c r="BA2040" s="25">
        <f>Inventory[[#This Row],[WdDeck]]*Lookups!$B$91</f>
        <v>0</v>
      </c>
      <c r="BB2040" s="25">
        <f>ROUND(Inventory[[#This Row],[25Det]],-2)</f>
        <v>6600</v>
      </c>
      <c r="BC2040" s="25">
        <f>ROUND(SUM(Inventory[[#This Row],[Mdl Qlty]:[Mdl WdDeck]])+Inventory[[#This Row],[Mdl Res Intercept]],-2)</f>
        <v>265600</v>
      </c>
      <c r="BD2040" s="25">
        <f>ROUND(Inventory[[#This Row],[Mdl Land Intercept]]+Inventory[[#This Row],[Mdl LnAcres]],-2)</f>
        <v>29800</v>
      </c>
      <c r="BE2040" s="25">
        <f>Inventory[[#This Row],[Unadj Res Value]]+Inventory[[#This Row],[Unadj Det Value]]+Inventory[[#This Row],[Unadj Land Value]]</f>
        <v>302000</v>
      </c>
      <c r="BF2040" s="36">
        <f>(Inventory[[#This Row],[Unadj Total Value]]-Inventory[[#This Row],[24Final]])/Inventory[[#This Row],[24Final]]</f>
        <v>5.4837582954942371E-2</v>
      </c>
      <c r="BG2040" s="25">
        <f>VLOOKUP(Inventory[[#This Row],[Nbhd]],Lookups!$Q$2:$T$4,4,FALSE)</f>
        <v>0.99970000000000003</v>
      </c>
      <c r="BH2040" s="25">
        <f>VLOOKUP(Inventory[[#This Row],[Qlty]],Lookups!$O$7:$R$21,4,FALSE)</f>
        <v>1.0067999999999999</v>
      </c>
      <c r="BI2040" s="25">
        <f>VLOOKUP(Inventory[[#This Row],[Cnd]],Lookups!$T$7:$W$16,4,FALSE)</f>
        <v>0.99729999999999996</v>
      </c>
      <c r="BJ2040" s="25">
        <f>VLOOKUP(Inventory[[#This Row],[LivArea Range]],Lookups!$T$25:$W$37,4,FALSE)</f>
        <v>1.0157</v>
      </c>
      <c r="BK2040" s="25">
        <f>VLOOKUP(Inventory[[#This Row],[Decade]],Lookups!$O$25:$R$42,4,FALSE)</f>
        <v>1.0074000000000001</v>
      </c>
      <c r="BL2040" s="25">
        <f>Inventory[[#This Row],[Nbhd Adj]]*0.95</f>
        <v>0.94971499999999998</v>
      </c>
      <c r="BM2040" s="25">
        <f>Inventory[[#This Row],[Nbhd Adj]]*Inventory[[#This Row],[Quality Adj]]*Inventory[[#This Row],[Condition Adj]]*Inventory[[#This Row],[Living Area Adj]]*Inventory[[#This Row],[Decade Adj]]*0.95</f>
        <v>0.97573014419916293</v>
      </c>
      <c r="BN2040" s="25">
        <f>ROUND(SUM(Inventory[[#This Row],[Mdl Qlty]:[Mdl WdDeck]])+Inventory[[#This Row],[Mdl Res Intercept]]*Inventory[[#This Row],[Res Adj ]],-2)</f>
        <v>265600</v>
      </c>
      <c r="BO2040" s="25">
        <f>ROUND(Inventory[[#This Row],[25Det]]*Inventory[[#This Row],[Det/Nbhd Adj]],-2)</f>
        <v>6300</v>
      </c>
      <c r="BP2040" s="25">
        <f>Inventory[[#This Row],[Adjusted Res]]+Inventory[[#This Row],[Adj Det ]]</f>
        <v>271900</v>
      </c>
      <c r="BQ2040" s="25">
        <f>ROUND((Inventory[[#This Row],[Mdl Land Intercept]]+Inventory[[#This Row],[Mdl LnAcres]])*Inventory[[#This Row],[Det/Nbhd Adj]],-2)</f>
        <v>28300</v>
      </c>
      <c r="BR2040" s="25">
        <f>Inventory[[#This Row],[Adjusted Impr Total]]+Inventory[[#This Row],[Adjusted Land Total]]</f>
        <v>300200</v>
      </c>
      <c r="BS2040" s="36">
        <f>IFERROR((Inventory[[#This Row],[Adjusted Impr Total]]-Inventory[[#This Row],[24Bldg]])/Inventory[[#This Row],[24Bldg]],0)</f>
        <v>0.14291719209751996</v>
      </c>
      <c r="BT2040" s="36">
        <f>(Inventory[[#This Row],[Adjusted Land Total]]-Inventory[[#This Row],[24Lnd]])/Inventory[[#This Row],[24Lnd]]</f>
        <v>-0.41528925619834711</v>
      </c>
      <c r="BU2040" s="36">
        <f>(Inventory[[#This Row],[Adjusted Total]]-Inventory[[#This Row],[24Final]])/Inventory[[#This Row],[24Final]]</f>
        <v>4.8550471533356621E-2</v>
      </c>
    </row>
    <row r="2041" spans="1:73" x14ac:dyDescent="0.3">
      <c r="A2041" s="25">
        <v>2025</v>
      </c>
      <c r="B2041" s="26" t="s">
        <v>2180</v>
      </c>
      <c r="C2041" s="26">
        <f>LN(Inventory[[#This Row],[Acres]])</f>
        <v>-1.8971199848858813</v>
      </c>
      <c r="D2041" s="25">
        <v>0.15</v>
      </c>
      <c r="E2041" s="25">
        <v>6719</v>
      </c>
      <c r="F2041" s="26" t="s">
        <v>537</v>
      </c>
      <c r="G2041" s="26" t="s">
        <v>126</v>
      </c>
      <c r="H2041" s="26" t="s">
        <v>349</v>
      </c>
      <c r="I2041" s="26" t="s">
        <v>538</v>
      </c>
      <c r="J2041" s="26" t="s">
        <v>539</v>
      </c>
      <c r="K2041" s="26" t="s">
        <v>269</v>
      </c>
      <c r="L2041" s="26" t="s">
        <v>351</v>
      </c>
      <c r="M2041" s="26" t="s">
        <v>323</v>
      </c>
      <c r="N2041" s="26">
        <v>100</v>
      </c>
      <c r="O2041" s="26">
        <f>2024-Inventory[[#This Row],[YrBlt]]</f>
        <v>99</v>
      </c>
      <c r="P2041" s="26">
        <f>2024-Inventory[[#This Row],[EffYr]]</f>
        <v>56</v>
      </c>
      <c r="Q2041" s="25">
        <v>1925</v>
      </c>
      <c r="R2041" s="25">
        <v>1968</v>
      </c>
      <c r="S2041" s="25">
        <v>818</v>
      </c>
      <c r="T2041" s="32">
        <v>300</v>
      </c>
      <c r="U2041" s="25">
        <v>205</v>
      </c>
      <c r="V2041" s="32">
        <f>Inventory[[#This Row],[Bsmt]]-Inventory[[#This Row],[FnBsmt]]</f>
        <v>0</v>
      </c>
      <c r="W2041" s="32">
        <v>205</v>
      </c>
      <c r="X2041" s="27"/>
      <c r="Y2041" s="27">
        <f>Inventory[[#This Row],[MainFn]]+Inventory[[#This Row],[UpprFn]]+Inventory[[#This Row],[FnBsmt]]+Inventory[[#This Row],[AddFn]]</f>
        <v>1323</v>
      </c>
      <c r="Z2041" s="27">
        <v>1500</v>
      </c>
      <c r="AA2041" s="25">
        <v>6</v>
      </c>
      <c r="AB2041" s="27"/>
      <c r="AC2041" s="27"/>
      <c r="AD2041" s="27"/>
      <c r="AE2041" s="27"/>
      <c r="AF2041" s="27"/>
      <c r="AG2041" s="27"/>
      <c r="AH2041" s="27"/>
      <c r="AI2041" s="25">
        <v>203736</v>
      </c>
      <c r="AJ2041" s="25">
        <v>130391</v>
      </c>
      <c r="AK2041" s="25">
        <v>4419</v>
      </c>
      <c r="AL2041" s="25">
        <v>271500</v>
      </c>
      <c r="AM2041" s="25">
        <v>48400</v>
      </c>
      <c r="AN2041" s="25">
        <v>223100</v>
      </c>
      <c r="AO2041" s="25">
        <v>0</v>
      </c>
      <c r="AP2041" s="25">
        <f>Lookups!$B$56*0</f>
        <v>0</v>
      </c>
      <c r="AQ2041" s="25">
        <f>Lookups!$B$56*1</f>
        <v>89850.625589999996</v>
      </c>
      <c r="AR2041" s="25">
        <f>Lookups!$B$57*Inventory[[#This Row],[LnAcres]]</f>
        <v>-60052.604136134301</v>
      </c>
      <c r="AS2041" s="25">
        <f>VLOOKUP(Inventory[[#This Row],[Qlty]],Lookups!$A$62:$E$75,2,FALSE)</f>
        <v>21557.329055999999</v>
      </c>
      <c r="AT2041" s="25">
        <f>VLOOKUP(Inventory[[#This Row],[Cnd]],Lookups!$A$76:$E$84,2,FALSE)</f>
        <v>160472.20319</v>
      </c>
      <c r="AU2041" s="25">
        <f>Inventory[[#This Row],[EffAge]]*Lookups!$B$85</f>
        <v>-12490.553628</v>
      </c>
      <c r="AV2041" s="25">
        <f>Inventory[[#This Row],[MainFn]]*Lookups!$B$86</f>
        <v>40416.291959385999</v>
      </c>
      <c r="AW2041" s="25">
        <f>Inventory[[#This Row],[UpprFn]]*Lookups!$B$87</f>
        <v>13435.926858299999</v>
      </c>
      <c r="AX2041" s="25">
        <f>Inventory[[#This Row],[AddFn]]*Lookups!$B$88</f>
        <v>0</v>
      </c>
      <c r="AY2041" s="25">
        <f>Inventory[[#This Row],[Bsmt]]*Lookups!$B$89</f>
        <v>5961.788525635</v>
      </c>
      <c r="AZ2041" s="25">
        <f>Inventory[[#This Row],[Fixtures]]*Lookups!$B$90</f>
        <v>22752.132631200002</v>
      </c>
      <c r="BA2041" s="25">
        <f>Inventory[[#This Row],[WdDeck]]*Lookups!$B$91</f>
        <v>0</v>
      </c>
      <c r="BB2041" s="25">
        <f>ROUND(Inventory[[#This Row],[25Det]],-2)</f>
        <v>4400</v>
      </c>
      <c r="BC2041" s="25">
        <f>ROUND(SUM(Inventory[[#This Row],[Mdl Qlty]:[Mdl WdDeck]])+Inventory[[#This Row],[Mdl Res Intercept]],-2)</f>
        <v>252100</v>
      </c>
      <c r="BD2041" s="25">
        <f>ROUND(Inventory[[#This Row],[Mdl Land Intercept]]+Inventory[[#This Row],[Mdl LnAcres]],-2)</f>
        <v>29800</v>
      </c>
      <c r="BE2041" s="25">
        <f>Inventory[[#This Row],[Unadj Res Value]]+Inventory[[#This Row],[Unadj Det Value]]+Inventory[[#This Row],[Unadj Land Value]]</f>
        <v>286300</v>
      </c>
      <c r="BF2041" s="36">
        <f>(Inventory[[#This Row],[Unadj Total Value]]-Inventory[[#This Row],[24Final]])/Inventory[[#This Row],[24Final]]</f>
        <v>5.4511970534069983E-2</v>
      </c>
      <c r="BG2041" s="25">
        <f>VLOOKUP(Inventory[[#This Row],[Nbhd]],Lookups!$Q$2:$T$4,4,FALSE)</f>
        <v>0.99970000000000003</v>
      </c>
      <c r="BH2041" s="25">
        <f>VLOOKUP(Inventory[[#This Row],[Qlty]],Lookups!$O$7:$R$21,4,FALSE)</f>
        <v>1.0067999999999999</v>
      </c>
      <c r="BI2041" s="25">
        <f>VLOOKUP(Inventory[[#This Row],[Cnd]],Lookups!$T$7:$W$16,4,FALSE)</f>
        <v>0.99729999999999996</v>
      </c>
      <c r="BJ2041" s="25">
        <f>VLOOKUP(Inventory[[#This Row],[LivArea Range]],Lookups!$T$25:$W$37,4,FALSE)</f>
        <v>1.0157</v>
      </c>
      <c r="BK2041" s="25">
        <f>VLOOKUP(Inventory[[#This Row],[Decade]],Lookups!$O$25:$R$42,4,FALSE)</f>
        <v>1.0074000000000001</v>
      </c>
      <c r="BL2041" s="25">
        <f>Inventory[[#This Row],[Nbhd Adj]]*0.95</f>
        <v>0.94971499999999998</v>
      </c>
      <c r="BM2041" s="25">
        <f>Inventory[[#This Row],[Nbhd Adj]]*Inventory[[#This Row],[Quality Adj]]*Inventory[[#This Row],[Condition Adj]]*Inventory[[#This Row],[Living Area Adj]]*Inventory[[#This Row],[Decade Adj]]*0.95</f>
        <v>0.97573014419916293</v>
      </c>
      <c r="BN2041" s="25">
        <f>ROUND(SUM(Inventory[[#This Row],[Mdl Qlty]:[Mdl WdDeck]])+Inventory[[#This Row],[Mdl Res Intercept]]*Inventory[[#This Row],[Res Adj ]],-2)</f>
        <v>252100</v>
      </c>
      <c r="BO2041" s="25">
        <f>ROUND(Inventory[[#This Row],[25Det]]*Inventory[[#This Row],[Det/Nbhd Adj]],-2)</f>
        <v>4200</v>
      </c>
      <c r="BP2041" s="25">
        <f>Inventory[[#This Row],[Adjusted Res]]+Inventory[[#This Row],[Adj Det ]]</f>
        <v>256300</v>
      </c>
      <c r="BQ2041" s="25">
        <f>ROUND((Inventory[[#This Row],[Mdl Land Intercept]]+Inventory[[#This Row],[Mdl LnAcres]])*Inventory[[#This Row],[Det/Nbhd Adj]],-2)</f>
        <v>28300</v>
      </c>
      <c r="BR2041" s="25">
        <f>Inventory[[#This Row],[Adjusted Impr Total]]+Inventory[[#This Row],[Adjusted Land Total]]</f>
        <v>284600</v>
      </c>
      <c r="BS2041" s="36">
        <f>IFERROR((Inventory[[#This Row],[Adjusted Impr Total]]-Inventory[[#This Row],[24Bldg]])/Inventory[[#This Row],[24Bldg]],0)</f>
        <v>0.14881219184222322</v>
      </c>
      <c r="BT2041" s="36">
        <f>(Inventory[[#This Row],[Adjusted Land Total]]-Inventory[[#This Row],[24Lnd]])/Inventory[[#This Row],[24Lnd]]</f>
        <v>-0.41528925619834711</v>
      </c>
      <c r="BU2041" s="36">
        <f>(Inventory[[#This Row],[Adjusted Total]]-Inventory[[#This Row],[24Final]])/Inventory[[#This Row],[24Final]]</f>
        <v>4.8250460405156535E-2</v>
      </c>
    </row>
    <row r="2042" spans="1:73" x14ac:dyDescent="0.3">
      <c r="A2042" s="25">
        <v>2025</v>
      </c>
      <c r="B2042" s="26" t="s">
        <v>2782</v>
      </c>
      <c r="C2042" s="26">
        <f>LN(Inventory[[#This Row],[Acres]])</f>
        <v>-1.5141277326297755</v>
      </c>
      <c r="D2042" s="25">
        <v>0.22</v>
      </c>
      <c r="E2042" s="25">
        <v>9594</v>
      </c>
      <c r="F2042" s="26" t="s">
        <v>537</v>
      </c>
      <c r="G2042" s="26" t="s">
        <v>126</v>
      </c>
      <c r="H2042" s="26" t="s">
        <v>349</v>
      </c>
      <c r="I2042" s="26" t="s">
        <v>538</v>
      </c>
      <c r="J2042" s="26" t="s">
        <v>539</v>
      </c>
      <c r="K2042" s="26" t="s">
        <v>173</v>
      </c>
      <c r="L2042" s="26" t="s">
        <v>351</v>
      </c>
      <c r="M2042" s="26" t="s">
        <v>303</v>
      </c>
      <c r="N2042" s="26">
        <v>100</v>
      </c>
      <c r="O2042" s="26">
        <f>2024-Inventory[[#This Row],[YrBlt]]</f>
        <v>99</v>
      </c>
      <c r="P2042" s="26">
        <f>2024-Inventory[[#This Row],[EffYr]]</f>
        <v>56</v>
      </c>
      <c r="Q2042" s="25">
        <v>1925</v>
      </c>
      <c r="R2042" s="25">
        <v>1968</v>
      </c>
      <c r="S2042" s="25">
        <v>1296</v>
      </c>
      <c r="T2042" s="32">
        <v>432</v>
      </c>
      <c r="U2042" s="32">
        <v>388</v>
      </c>
      <c r="V2042" s="32">
        <f>Inventory[[#This Row],[Bsmt]]-Inventory[[#This Row],[FnBsmt]]</f>
        <v>0</v>
      </c>
      <c r="W2042" s="32">
        <v>388</v>
      </c>
      <c r="X2042" s="27"/>
      <c r="Y2042" s="27">
        <f>Inventory[[#This Row],[MainFn]]+Inventory[[#This Row],[UpprFn]]+Inventory[[#This Row],[FnBsmt]]+Inventory[[#This Row],[AddFn]]</f>
        <v>2116</v>
      </c>
      <c r="Z2042" s="27">
        <v>2500</v>
      </c>
      <c r="AA2042" s="25">
        <v>6</v>
      </c>
      <c r="AB2042" s="27"/>
      <c r="AC2042" s="27"/>
      <c r="AD2042" s="27"/>
      <c r="AE2042" s="27"/>
      <c r="AF2042" s="27"/>
      <c r="AG2042" s="27"/>
      <c r="AH2042" s="27"/>
      <c r="AI2042" s="25">
        <v>292031</v>
      </c>
      <c r="AJ2042" s="25">
        <v>192740</v>
      </c>
      <c r="AK2042" s="25">
        <v>31747</v>
      </c>
      <c r="AL2042" s="25">
        <v>376400</v>
      </c>
      <c r="AM2042" s="25">
        <v>61700</v>
      </c>
      <c r="AN2042" s="25">
        <v>314700</v>
      </c>
      <c r="AO2042" s="25">
        <v>0</v>
      </c>
      <c r="AP2042" s="25">
        <f>Lookups!$B$56*0</f>
        <v>0</v>
      </c>
      <c r="AQ2042" s="25">
        <f>Lookups!$B$56*1</f>
        <v>89850.625589999996</v>
      </c>
      <c r="AR2042" s="25">
        <f>Lookups!$B$57*Inventory[[#This Row],[LnAcres]]</f>
        <v>-47929.131559187132</v>
      </c>
      <c r="AS2042" s="25">
        <f>VLOOKUP(Inventory[[#This Row],[Qlty]],Lookups!$A$62:$E$75,2,FALSE)</f>
        <v>21557.329055999999</v>
      </c>
      <c r="AT2042" s="25">
        <f>VLOOKUP(Inventory[[#This Row],[Cnd]],Lookups!$A$76:$E$84,2,FALSE)</f>
        <v>197752.34721000001</v>
      </c>
      <c r="AU2042" s="25">
        <f>Inventory[[#This Row],[EffAge]]*Lookups!$B$85</f>
        <v>-12490.553628</v>
      </c>
      <c r="AV2042" s="25">
        <f>Inventory[[#This Row],[MainFn]]*Lookups!$B$86</f>
        <v>64033.636160592003</v>
      </c>
      <c r="AW2042" s="25">
        <f>Inventory[[#This Row],[UpprFn]]*Lookups!$B$87</f>
        <v>19347.734675952001</v>
      </c>
      <c r="AX2042" s="25">
        <f>Inventory[[#This Row],[AddFn]]*Lookups!$B$88</f>
        <v>0</v>
      </c>
      <c r="AY2042" s="25">
        <f>Inventory[[#This Row],[Bsmt]]*Lookups!$B$89</f>
        <v>11283.775355836</v>
      </c>
      <c r="AZ2042" s="25">
        <f>Inventory[[#This Row],[Fixtures]]*Lookups!$B$90</f>
        <v>22752.132631200002</v>
      </c>
      <c r="BA2042" s="25">
        <f>Inventory[[#This Row],[WdDeck]]*Lookups!$B$91</f>
        <v>0</v>
      </c>
      <c r="BB2042" s="25">
        <f>ROUND(Inventory[[#This Row],[25Det]],-2)</f>
        <v>31700</v>
      </c>
      <c r="BC2042" s="25">
        <f>ROUND(SUM(Inventory[[#This Row],[Mdl Qlty]:[Mdl WdDeck]])+Inventory[[#This Row],[Mdl Res Intercept]],-2)</f>
        <v>324200</v>
      </c>
      <c r="BD2042" s="25">
        <f>ROUND(Inventory[[#This Row],[Mdl Land Intercept]]+Inventory[[#This Row],[Mdl LnAcres]],-2)</f>
        <v>41900</v>
      </c>
      <c r="BE2042" s="25">
        <f>Inventory[[#This Row],[Unadj Res Value]]+Inventory[[#This Row],[Unadj Det Value]]+Inventory[[#This Row],[Unadj Land Value]]</f>
        <v>397800</v>
      </c>
      <c r="BF2042" s="36">
        <f>(Inventory[[#This Row],[Unadj Total Value]]-Inventory[[#This Row],[24Final]])/Inventory[[#This Row],[24Final]]</f>
        <v>5.6854410201912856E-2</v>
      </c>
      <c r="BG2042" s="25">
        <f>VLOOKUP(Inventory[[#This Row],[Nbhd]],Lookups!$Q$2:$T$4,4,FALSE)</f>
        <v>0.99970000000000003</v>
      </c>
      <c r="BH2042" s="25">
        <f>VLOOKUP(Inventory[[#This Row],[Qlty]],Lookups!$O$7:$R$21,4,FALSE)</f>
        <v>1.0067999999999999</v>
      </c>
      <c r="BI2042" s="25">
        <f>VLOOKUP(Inventory[[#This Row],[Cnd]],Lookups!$T$7:$W$16,4,FALSE)</f>
        <v>0.99650000000000005</v>
      </c>
      <c r="BJ2042" s="25">
        <f>VLOOKUP(Inventory[[#This Row],[LivArea Range]],Lookups!$T$25:$W$37,4,FALSE)</f>
        <v>0.98919999999999997</v>
      </c>
      <c r="BK2042" s="25">
        <f>VLOOKUP(Inventory[[#This Row],[Decade]],Lookups!$O$25:$R$42,4,FALSE)</f>
        <v>1.0074000000000001</v>
      </c>
      <c r="BL2042" s="25">
        <f>Inventory[[#This Row],[Nbhd Adj]]*0.95</f>
        <v>0.94971499999999998</v>
      </c>
      <c r="BM2042" s="25">
        <f>Inventory[[#This Row],[Nbhd Adj]]*Inventory[[#This Row],[Quality Adj]]*Inventory[[#This Row],[Condition Adj]]*Inventory[[#This Row],[Living Area Adj]]*Inventory[[#This Row],[Decade Adj]]*0.95</f>
        <v>0.94951069644125163</v>
      </c>
      <c r="BN2042" s="25">
        <f>ROUND(SUM(Inventory[[#This Row],[Mdl Qlty]:[Mdl WdDeck]])+Inventory[[#This Row],[Mdl Res Intercept]]*Inventory[[#This Row],[Res Adj ]],-2)</f>
        <v>324200</v>
      </c>
      <c r="BO2042" s="25">
        <f>ROUND(Inventory[[#This Row],[25Det]]*Inventory[[#This Row],[Det/Nbhd Adj]],-2)</f>
        <v>30200</v>
      </c>
      <c r="BP2042" s="25">
        <f>Inventory[[#This Row],[Adjusted Res]]+Inventory[[#This Row],[Adj Det ]]</f>
        <v>354400</v>
      </c>
      <c r="BQ2042" s="25">
        <f>ROUND((Inventory[[#This Row],[Mdl Land Intercept]]+Inventory[[#This Row],[Mdl LnAcres]])*Inventory[[#This Row],[Det/Nbhd Adj]],-2)</f>
        <v>39800</v>
      </c>
      <c r="BR2042" s="25">
        <f>Inventory[[#This Row],[Adjusted Impr Total]]+Inventory[[#This Row],[Adjusted Land Total]]</f>
        <v>394200</v>
      </c>
      <c r="BS2042" s="36">
        <f>IFERROR((Inventory[[#This Row],[Adjusted Impr Total]]-Inventory[[#This Row],[24Bldg]])/Inventory[[#This Row],[24Bldg]],0)</f>
        <v>0.1261518906895456</v>
      </c>
      <c r="BT2042" s="36">
        <f>(Inventory[[#This Row],[Adjusted Land Total]]-Inventory[[#This Row],[24Lnd]])/Inventory[[#This Row],[24Lnd]]</f>
        <v>-0.35494327390599678</v>
      </c>
      <c r="BU2042" s="36">
        <f>(Inventory[[#This Row],[Adjusted Total]]-Inventory[[#This Row],[24Final]])/Inventory[[#This Row],[24Final]]</f>
        <v>4.7290116896918172E-2</v>
      </c>
    </row>
    <row r="2043" spans="1:73" x14ac:dyDescent="0.3">
      <c r="A2043" s="25">
        <v>2025</v>
      </c>
      <c r="B2043" s="26" t="s">
        <v>1934</v>
      </c>
      <c r="C2043" s="26">
        <f>LN(Inventory[[#This Row],[Acres]])</f>
        <v>-1.4696759700589417</v>
      </c>
      <c r="D2043" s="25">
        <v>0.23</v>
      </c>
      <c r="E2043" s="27"/>
      <c r="F2043" s="26" t="s">
        <v>537</v>
      </c>
      <c r="G2043" s="26" t="s">
        <v>126</v>
      </c>
      <c r="H2043" s="26" t="s">
        <v>349</v>
      </c>
      <c r="I2043" s="26" t="s">
        <v>538</v>
      </c>
      <c r="J2043" s="26" t="s">
        <v>539</v>
      </c>
      <c r="K2043" s="26" t="s">
        <v>242</v>
      </c>
      <c r="L2043" s="26" t="s">
        <v>351</v>
      </c>
      <c r="M2043" s="26" t="s">
        <v>303</v>
      </c>
      <c r="N2043" s="26">
        <v>100</v>
      </c>
      <c r="O2043" s="26">
        <f>2024-Inventory[[#This Row],[YrBlt]]</f>
        <v>99</v>
      </c>
      <c r="P2043" s="26">
        <f>2024-Inventory[[#This Row],[EffYr]]</f>
        <v>56</v>
      </c>
      <c r="Q2043" s="25">
        <v>1925</v>
      </c>
      <c r="R2043" s="25">
        <v>1968</v>
      </c>
      <c r="S2043" s="25">
        <v>1008</v>
      </c>
      <c r="T2043" s="27"/>
      <c r="U2043" s="25">
        <v>1008</v>
      </c>
      <c r="V2043" s="25">
        <f>Inventory[[#This Row],[Bsmt]]-Inventory[[#This Row],[FnBsmt]]</f>
        <v>0</v>
      </c>
      <c r="W2043" s="25">
        <v>1008</v>
      </c>
      <c r="X2043" s="27"/>
      <c r="Y2043" s="27">
        <f>Inventory[[#This Row],[MainFn]]+Inventory[[#This Row],[UpprFn]]+Inventory[[#This Row],[FnBsmt]]+Inventory[[#This Row],[AddFn]]</f>
        <v>2016</v>
      </c>
      <c r="Z2043" s="27">
        <v>2500</v>
      </c>
      <c r="AA2043" s="25">
        <v>9</v>
      </c>
      <c r="AB2043" s="27"/>
      <c r="AC2043" s="27"/>
      <c r="AD2043" s="32">
        <v>216</v>
      </c>
      <c r="AE2043" s="27"/>
      <c r="AF2043" s="27"/>
      <c r="AG2043" s="27"/>
      <c r="AH2043" s="27"/>
      <c r="AI2043" s="25">
        <v>280208</v>
      </c>
      <c r="AJ2043" s="25">
        <v>184937</v>
      </c>
      <c r="AK2043" s="25">
        <v>6259</v>
      </c>
      <c r="AL2043" s="25">
        <v>357500</v>
      </c>
      <c r="AM2043" s="25">
        <v>63300</v>
      </c>
      <c r="AN2043" s="25">
        <v>294200</v>
      </c>
      <c r="AO2043" s="25">
        <v>0</v>
      </c>
      <c r="AP2043" s="25">
        <f>Lookups!$B$56*0</f>
        <v>0</v>
      </c>
      <c r="AQ2043" s="25">
        <f>Lookups!$B$56*1</f>
        <v>89850.625589999996</v>
      </c>
      <c r="AR2043" s="25">
        <f>Lookups!$B$57*Inventory[[#This Row],[LnAcres]]</f>
        <v>-46522.028095997222</v>
      </c>
      <c r="AS2043" s="25">
        <f>VLOOKUP(Inventory[[#This Row],[Qlty]],Lookups!$A$62:$E$75,2,FALSE)</f>
        <v>21557.329055999999</v>
      </c>
      <c r="AT2043" s="25">
        <f>VLOOKUP(Inventory[[#This Row],[Cnd]],Lookups!$A$76:$E$84,2,FALSE)</f>
        <v>197752.34721000001</v>
      </c>
      <c r="AU2043" s="25">
        <f>Inventory[[#This Row],[EffAge]]*Lookups!$B$85</f>
        <v>-12490.553628</v>
      </c>
      <c r="AV2043" s="25">
        <f>Inventory[[#This Row],[MainFn]]*Lookups!$B$86</f>
        <v>49803.939236015998</v>
      </c>
      <c r="AW2043" s="25">
        <f>Inventory[[#This Row],[UpprFn]]*Lookups!$B$87</f>
        <v>0</v>
      </c>
      <c r="AX2043" s="25">
        <f>Inventory[[#This Row],[AddFn]]*Lookups!$B$88</f>
        <v>0</v>
      </c>
      <c r="AY2043" s="25">
        <f>Inventory[[#This Row],[Bsmt]]*Lookups!$B$89</f>
        <v>29314.550408976</v>
      </c>
      <c r="AZ2043" s="25">
        <f>Inventory[[#This Row],[Fixtures]]*Lookups!$B$90</f>
        <v>34128.198946800003</v>
      </c>
      <c r="BA2043" s="25">
        <f>Inventory[[#This Row],[WdDeck]]*Lookups!$B$91</f>
        <v>7191.8312996160003</v>
      </c>
      <c r="BB2043" s="25">
        <f>ROUND(Inventory[[#This Row],[25Det]],-2)</f>
        <v>6300</v>
      </c>
      <c r="BC2043" s="25">
        <f>ROUND(SUM(Inventory[[#This Row],[Mdl Qlty]:[Mdl WdDeck]])+Inventory[[#This Row],[Mdl Res Intercept]],-2)</f>
        <v>327300</v>
      </c>
      <c r="BD2043" s="25">
        <f>ROUND(Inventory[[#This Row],[Mdl Land Intercept]]+Inventory[[#This Row],[Mdl LnAcres]],-2)</f>
        <v>43300</v>
      </c>
      <c r="BE2043" s="25">
        <f>Inventory[[#This Row],[Unadj Res Value]]+Inventory[[#This Row],[Unadj Det Value]]+Inventory[[#This Row],[Unadj Land Value]]</f>
        <v>376900</v>
      </c>
      <c r="BF2043" s="36">
        <f>(Inventory[[#This Row],[Unadj Total Value]]-Inventory[[#This Row],[24Final]])/Inventory[[#This Row],[24Final]]</f>
        <v>5.4265734265734264E-2</v>
      </c>
      <c r="BG2043" s="25">
        <f>VLOOKUP(Inventory[[#This Row],[Nbhd]],Lookups!$Q$2:$T$4,4,FALSE)</f>
        <v>0.99970000000000003</v>
      </c>
      <c r="BH2043" s="25">
        <f>VLOOKUP(Inventory[[#This Row],[Qlty]],Lookups!$O$7:$R$21,4,FALSE)</f>
        <v>1.0067999999999999</v>
      </c>
      <c r="BI2043" s="25">
        <f>VLOOKUP(Inventory[[#This Row],[Cnd]],Lookups!$T$7:$W$16,4,FALSE)</f>
        <v>0.99650000000000005</v>
      </c>
      <c r="BJ2043" s="25">
        <f>VLOOKUP(Inventory[[#This Row],[LivArea Range]],Lookups!$T$25:$W$37,4,FALSE)</f>
        <v>0.98919999999999997</v>
      </c>
      <c r="BK2043" s="25">
        <f>VLOOKUP(Inventory[[#This Row],[Decade]],Lookups!$O$25:$R$42,4,FALSE)</f>
        <v>1.0074000000000001</v>
      </c>
      <c r="BL2043" s="25">
        <f>Inventory[[#This Row],[Nbhd Adj]]*0.95</f>
        <v>0.94971499999999998</v>
      </c>
      <c r="BM2043" s="25">
        <f>Inventory[[#This Row],[Nbhd Adj]]*Inventory[[#This Row],[Quality Adj]]*Inventory[[#This Row],[Condition Adj]]*Inventory[[#This Row],[Living Area Adj]]*Inventory[[#This Row],[Decade Adj]]*0.95</f>
        <v>0.94951069644125163</v>
      </c>
      <c r="BN2043" s="25">
        <f>ROUND(SUM(Inventory[[#This Row],[Mdl Qlty]:[Mdl WdDeck]])+Inventory[[#This Row],[Mdl Res Intercept]]*Inventory[[#This Row],[Res Adj ]],-2)</f>
        <v>327300</v>
      </c>
      <c r="BO2043" s="25">
        <f>ROUND(Inventory[[#This Row],[25Det]]*Inventory[[#This Row],[Det/Nbhd Adj]],-2)</f>
        <v>5900</v>
      </c>
      <c r="BP2043" s="25">
        <f>Inventory[[#This Row],[Adjusted Res]]+Inventory[[#This Row],[Adj Det ]]</f>
        <v>333200</v>
      </c>
      <c r="BQ2043" s="25">
        <f>ROUND((Inventory[[#This Row],[Mdl Land Intercept]]+Inventory[[#This Row],[Mdl LnAcres]])*Inventory[[#This Row],[Det/Nbhd Adj]],-2)</f>
        <v>41100</v>
      </c>
      <c r="BR2043" s="25">
        <f>Inventory[[#This Row],[Adjusted Impr Total]]+Inventory[[#This Row],[Adjusted Land Total]]</f>
        <v>374300</v>
      </c>
      <c r="BS2043" s="36">
        <f>IFERROR((Inventory[[#This Row],[Adjusted Impr Total]]-Inventory[[#This Row],[24Bldg]])/Inventory[[#This Row],[24Bldg]],0)</f>
        <v>0.13256288239292999</v>
      </c>
      <c r="BT2043" s="36">
        <f>(Inventory[[#This Row],[Adjusted Land Total]]-Inventory[[#This Row],[24Lnd]])/Inventory[[#This Row],[24Lnd]]</f>
        <v>-0.35071090047393366</v>
      </c>
      <c r="BU2043" s="36">
        <f>(Inventory[[#This Row],[Adjusted Total]]-Inventory[[#This Row],[24Final]])/Inventory[[#This Row],[24Final]]</f>
        <v>4.6993006993006993E-2</v>
      </c>
    </row>
    <row r="2044" spans="1:73" x14ac:dyDescent="0.3">
      <c r="A2044" s="25">
        <v>2025</v>
      </c>
      <c r="B2044" s="26" t="s">
        <v>1151</v>
      </c>
      <c r="C2044" s="26">
        <f>LN(Inventory[[#This Row],[Acres]])</f>
        <v>-1.8971199848858813</v>
      </c>
      <c r="D2044" s="25">
        <v>0.15</v>
      </c>
      <c r="E2044" s="27"/>
      <c r="F2044" s="26" t="s">
        <v>537</v>
      </c>
      <c r="G2044" s="26" t="s">
        <v>126</v>
      </c>
      <c r="H2044" s="26" t="s">
        <v>349</v>
      </c>
      <c r="I2044" s="26" t="s">
        <v>538</v>
      </c>
      <c r="J2044" s="26" t="s">
        <v>539</v>
      </c>
      <c r="K2044" s="26" t="s">
        <v>242</v>
      </c>
      <c r="L2044" s="26" t="s">
        <v>351</v>
      </c>
      <c r="M2044" s="26" t="s">
        <v>323</v>
      </c>
      <c r="N2044" s="26">
        <v>100</v>
      </c>
      <c r="O2044" s="26">
        <f>2024-Inventory[[#This Row],[YrBlt]]</f>
        <v>99</v>
      </c>
      <c r="P2044" s="26">
        <f>2024-Inventory[[#This Row],[EffYr]]</f>
        <v>56</v>
      </c>
      <c r="Q2044" s="25">
        <v>1925</v>
      </c>
      <c r="R2044" s="25">
        <v>1968</v>
      </c>
      <c r="S2044" s="25">
        <v>829</v>
      </c>
      <c r="T2044" s="27"/>
      <c r="U2044" s="32">
        <v>415</v>
      </c>
      <c r="V2044" s="32">
        <f>Inventory[[#This Row],[Bsmt]]-Inventory[[#This Row],[FnBsmt]]</f>
        <v>0</v>
      </c>
      <c r="W2044" s="32">
        <v>415</v>
      </c>
      <c r="X2044" s="27"/>
      <c r="Y2044" s="27">
        <f>Inventory[[#This Row],[MainFn]]+Inventory[[#This Row],[UpprFn]]+Inventory[[#This Row],[FnBsmt]]+Inventory[[#This Row],[AddFn]]</f>
        <v>1244</v>
      </c>
      <c r="Z2044" s="27">
        <v>1500</v>
      </c>
      <c r="AA2044" s="25">
        <v>5</v>
      </c>
      <c r="AB2044" s="27"/>
      <c r="AC2044" s="27"/>
      <c r="AD2044" s="27"/>
      <c r="AE2044" s="27"/>
      <c r="AF2044" s="27"/>
      <c r="AG2044" s="27"/>
      <c r="AH2044" s="27"/>
      <c r="AI2044" s="25">
        <v>176090</v>
      </c>
      <c r="AJ2044" s="25">
        <v>112698</v>
      </c>
      <c r="AK2044" s="25">
        <v>4877</v>
      </c>
      <c r="AL2044" s="25">
        <v>262100</v>
      </c>
      <c r="AM2044" s="25">
        <v>48400</v>
      </c>
      <c r="AN2044" s="25">
        <v>213700</v>
      </c>
      <c r="AO2044" s="25">
        <v>0</v>
      </c>
      <c r="AP2044" s="25">
        <f>Lookups!$B$56*0</f>
        <v>0</v>
      </c>
      <c r="AQ2044" s="25">
        <f>Lookups!$B$56*1</f>
        <v>89850.625589999996</v>
      </c>
      <c r="AR2044" s="25">
        <f>Lookups!$B$57*Inventory[[#This Row],[LnAcres]]</f>
        <v>-60052.604136134301</v>
      </c>
      <c r="AS2044" s="25">
        <f>VLOOKUP(Inventory[[#This Row],[Qlty]],Lookups!$A$62:$E$75,2,FALSE)</f>
        <v>21557.329055999999</v>
      </c>
      <c r="AT2044" s="25">
        <f>VLOOKUP(Inventory[[#This Row],[Cnd]],Lookups!$A$76:$E$84,2,FALSE)</f>
        <v>160472.20319</v>
      </c>
      <c r="AU2044" s="25">
        <f>Inventory[[#This Row],[EffAge]]*Lookups!$B$85</f>
        <v>-12490.553628</v>
      </c>
      <c r="AV2044" s="25">
        <f>Inventory[[#This Row],[MainFn]]*Lookups!$B$86</f>
        <v>40959.787328033002</v>
      </c>
      <c r="AW2044" s="25">
        <f>Inventory[[#This Row],[UpprFn]]*Lookups!$B$87</f>
        <v>0</v>
      </c>
      <c r="AX2044" s="25">
        <f>Inventory[[#This Row],[AddFn]]*Lookups!$B$88</f>
        <v>0</v>
      </c>
      <c r="AY2044" s="25">
        <f>Inventory[[#This Row],[Bsmt]]*Lookups!$B$89</f>
        <v>12068.986527505</v>
      </c>
      <c r="AZ2044" s="25">
        <f>Inventory[[#This Row],[Fixtures]]*Lookups!$B$90</f>
        <v>18960.110526</v>
      </c>
      <c r="BA2044" s="25">
        <f>Inventory[[#This Row],[WdDeck]]*Lookups!$B$91</f>
        <v>0</v>
      </c>
      <c r="BB2044" s="25">
        <f>ROUND(Inventory[[#This Row],[25Det]],-2)</f>
        <v>4900</v>
      </c>
      <c r="BC2044" s="25">
        <f>ROUND(SUM(Inventory[[#This Row],[Mdl Qlty]:[Mdl WdDeck]])+Inventory[[#This Row],[Mdl Res Intercept]],-2)</f>
        <v>241500</v>
      </c>
      <c r="BD2044" s="25">
        <f>ROUND(Inventory[[#This Row],[Mdl Land Intercept]]+Inventory[[#This Row],[Mdl LnAcres]],-2)</f>
        <v>29800</v>
      </c>
      <c r="BE2044" s="25">
        <f>Inventory[[#This Row],[Unadj Res Value]]+Inventory[[#This Row],[Unadj Det Value]]+Inventory[[#This Row],[Unadj Land Value]]</f>
        <v>276200</v>
      </c>
      <c r="BF2044" s="36">
        <f>(Inventory[[#This Row],[Unadj Total Value]]-Inventory[[#This Row],[24Final]])/Inventory[[#This Row],[24Final]]</f>
        <v>5.3796260969095767E-2</v>
      </c>
      <c r="BG2044" s="25">
        <f>VLOOKUP(Inventory[[#This Row],[Nbhd]],Lookups!$Q$2:$T$4,4,FALSE)</f>
        <v>0.99970000000000003</v>
      </c>
      <c r="BH2044" s="25">
        <f>VLOOKUP(Inventory[[#This Row],[Qlty]],Lookups!$O$7:$R$21,4,FALSE)</f>
        <v>1.0067999999999999</v>
      </c>
      <c r="BI2044" s="25">
        <f>VLOOKUP(Inventory[[#This Row],[Cnd]],Lookups!$T$7:$W$16,4,FALSE)</f>
        <v>0.99729999999999996</v>
      </c>
      <c r="BJ2044" s="25">
        <f>VLOOKUP(Inventory[[#This Row],[LivArea Range]],Lookups!$T$25:$W$37,4,FALSE)</f>
        <v>1.0157</v>
      </c>
      <c r="BK2044" s="25">
        <f>VLOOKUP(Inventory[[#This Row],[Decade]],Lookups!$O$25:$R$42,4,FALSE)</f>
        <v>1.0074000000000001</v>
      </c>
      <c r="BL2044" s="25">
        <f>Inventory[[#This Row],[Nbhd Adj]]*0.95</f>
        <v>0.94971499999999998</v>
      </c>
      <c r="BM2044" s="25">
        <f>Inventory[[#This Row],[Nbhd Adj]]*Inventory[[#This Row],[Quality Adj]]*Inventory[[#This Row],[Condition Adj]]*Inventory[[#This Row],[Living Area Adj]]*Inventory[[#This Row],[Decade Adj]]*0.95</f>
        <v>0.97573014419916293</v>
      </c>
      <c r="BN2044" s="25">
        <f>ROUND(SUM(Inventory[[#This Row],[Mdl Qlty]:[Mdl WdDeck]])+Inventory[[#This Row],[Mdl Res Intercept]]*Inventory[[#This Row],[Res Adj ]],-2)</f>
        <v>241500</v>
      </c>
      <c r="BO2044" s="25">
        <f>ROUND(Inventory[[#This Row],[25Det]]*Inventory[[#This Row],[Det/Nbhd Adj]],-2)</f>
        <v>4600</v>
      </c>
      <c r="BP2044" s="25">
        <f>Inventory[[#This Row],[Adjusted Res]]+Inventory[[#This Row],[Adj Det ]]</f>
        <v>246100</v>
      </c>
      <c r="BQ2044" s="25">
        <f>ROUND((Inventory[[#This Row],[Mdl Land Intercept]]+Inventory[[#This Row],[Mdl LnAcres]])*Inventory[[#This Row],[Det/Nbhd Adj]],-2)</f>
        <v>28300</v>
      </c>
      <c r="BR2044" s="25">
        <f>Inventory[[#This Row],[Adjusted Impr Total]]+Inventory[[#This Row],[Adjusted Land Total]]</f>
        <v>274400</v>
      </c>
      <c r="BS2044" s="36">
        <f>IFERROR((Inventory[[#This Row],[Adjusted Impr Total]]-Inventory[[#This Row],[24Bldg]])/Inventory[[#This Row],[24Bldg]],0)</f>
        <v>0.15161441272812354</v>
      </c>
      <c r="BT2044" s="36">
        <f>(Inventory[[#This Row],[Adjusted Land Total]]-Inventory[[#This Row],[24Lnd]])/Inventory[[#This Row],[24Lnd]]</f>
        <v>-0.41528925619834711</v>
      </c>
      <c r="BU2044" s="36">
        <f>(Inventory[[#This Row],[Adjusted Total]]-Inventory[[#This Row],[24Final]])/Inventory[[#This Row],[24Final]]</f>
        <v>4.6928653185806947E-2</v>
      </c>
    </row>
    <row r="2045" spans="1:73" x14ac:dyDescent="0.3">
      <c r="A2045" s="25">
        <v>2025</v>
      </c>
      <c r="B2045" s="26" t="s">
        <v>2244</v>
      </c>
      <c r="C2045" s="26">
        <f>LN(Inventory[[#This Row],[Acres]])</f>
        <v>-1.1711829815029451</v>
      </c>
      <c r="D2045" s="25">
        <v>0.31</v>
      </c>
      <c r="E2045" s="32">
        <v>13286</v>
      </c>
      <c r="F2045" s="26" t="s">
        <v>537</v>
      </c>
      <c r="G2045" s="26" t="s">
        <v>126</v>
      </c>
      <c r="H2045" s="26" t="s">
        <v>349</v>
      </c>
      <c r="I2045" s="26" t="s">
        <v>538</v>
      </c>
      <c r="J2045" s="26" t="s">
        <v>539</v>
      </c>
      <c r="K2045" s="26" t="s">
        <v>269</v>
      </c>
      <c r="L2045" s="26" t="s">
        <v>148</v>
      </c>
      <c r="M2045" s="26" t="s">
        <v>303</v>
      </c>
      <c r="N2045" s="26">
        <v>100</v>
      </c>
      <c r="O2045" s="26">
        <f>2024-Inventory[[#This Row],[YrBlt]]</f>
        <v>99</v>
      </c>
      <c r="P2045" s="26">
        <f>2024-Inventory[[#This Row],[EffYr]]</f>
        <v>56</v>
      </c>
      <c r="Q2045" s="25">
        <v>1925</v>
      </c>
      <c r="R2045" s="25">
        <v>1968</v>
      </c>
      <c r="S2045" s="25">
        <v>1854</v>
      </c>
      <c r="T2045" s="31"/>
      <c r="U2045" s="32">
        <v>1120</v>
      </c>
      <c r="V2045" s="32">
        <f>Inventory[[#This Row],[Bsmt]]-Inventory[[#This Row],[FnBsmt]]</f>
        <v>320</v>
      </c>
      <c r="W2045" s="32">
        <v>800</v>
      </c>
      <c r="X2045" s="27"/>
      <c r="Y2045" s="27">
        <f>Inventory[[#This Row],[MainFn]]+Inventory[[#This Row],[UpprFn]]+Inventory[[#This Row],[FnBsmt]]+Inventory[[#This Row],[AddFn]]</f>
        <v>2654</v>
      </c>
      <c r="Z2045" s="27">
        <v>3000</v>
      </c>
      <c r="AA2045" s="25">
        <v>11</v>
      </c>
      <c r="AB2045" s="27"/>
      <c r="AC2045" s="27"/>
      <c r="AD2045" s="27"/>
      <c r="AE2045" s="27"/>
      <c r="AF2045" s="27"/>
      <c r="AG2045" s="27"/>
      <c r="AH2045" s="31"/>
      <c r="AI2045" s="25">
        <v>517565</v>
      </c>
      <c r="AJ2045" s="25">
        <v>341593</v>
      </c>
      <c r="AK2045" s="25">
        <v>20084</v>
      </c>
      <c r="AL2045" s="25">
        <v>444600</v>
      </c>
      <c r="AM2045" s="25">
        <v>73700</v>
      </c>
      <c r="AN2045" s="25">
        <v>370900</v>
      </c>
      <c r="AO2045" s="25">
        <v>0</v>
      </c>
      <c r="AP2045" s="25">
        <f>Lookups!$B$56*0</f>
        <v>0</v>
      </c>
      <c r="AQ2045" s="25">
        <f>Lookups!$B$56*1</f>
        <v>89850.625589999996</v>
      </c>
      <c r="AR2045" s="25">
        <f>Lookups!$B$57*Inventory[[#This Row],[LnAcres]]</f>
        <v>-37073.347241874442</v>
      </c>
      <c r="AS2045" s="25">
        <f>VLOOKUP(Inventory[[#This Row],[Qlty]],Lookups!$A$62:$E$75,2,FALSE)</f>
        <v>44121.038090000002</v>
      </c>
      <c r="AT2045" s="25">
        <f>VLOOKUP(Inventory[[#This Row],[Cnd]],Lookups!$A$76:$E$84,2,FALSE)</f>
        <v>197752.34721000001</v>
      </c>
      <c r="AU2045" s="25">
        <f>Inventory[[#This Row],[EffAge]]*Lookups!$B$85</f>
        <v>-12490.553628</v>
      </c>
      <c r="AV2045" s="25">
        <f>Inventory[[#This Row],[MainFn]]*Lookups!$B$86</f>
        <v>91603.673951958001</v>
      </c>
      <c r="AW2045" s="25">
        <f>Inventory[[#This Row],[UpprFn]]*Lookups!$B$87</f>
        <v>0</v>
      </c>
      <c r="AX2045" s="25">
        <f>Inventory[[#This Row],[AddFn]]*Lookups!$B$88</f>
        <v>0</v>
      </c>
      <c r="AY2045" s="25">
        <f>Inventory[[#This Row],[Bsmt]]*Lookups!$B$89</f>
        <v>32571.722676639998</v>
      </c>
      <c r="AZ2045" s="25">
        <f>Inventory[[#This Row],[Fixtures]]*Lookups!$B$90</f>
        <v>41712.243157199999</v>
      </c>
      <c r="BA2045" s="25">
        <f>Inventory[[#This Row],[WdDeck]]*Lookups!$B$91</f>
        <v>0</v>
      </c>
      <c r="BB2045" s="25">
        <f>ROUND(Inventory[[#This Row],[25Det]],-2)</f>
        <v>20100</v>
      </c>
      <c r="BC2045" s="25">
        <f>ROUND(SUM(Inventory[[#This Row],[Mdl Qlty]:[Mdl WdDeck]])+Inventory[[#This Row],[Mdl Res Intercept]],-2)</f>
        <v>395300</v>
      </c>
      <c r="BD2045" s="25">
        <f>ROUND(Inventory[[#This Row],[Mdl Land Intercept]]+Inventory[[#This Row],[Mdl LnAcres]],-2)</f>
        <v>52800</v>
      </c>
      <c r="BE2045" s="25">
        <f>Inventory[[#This Row],[Unadj Res Value]]+Inventory[[#This Row],[Unadj Det Value]]+Inventory[[#This Row],[Unadj Land Value]]</f>
        <v>468200</v>
      </c>
      <c r="BF2045" s="36">
        <f>(Inventory[[#This Row],[Unadj Total Value]]-Inventory[[#This Row],[24Final]])/Inventory[[#This Row],[24Final]]</f>
        <v>5.3081421502474135E-2</v>
      </c>
      <c r="BG2045" s="25">
        <f>VLOOKUP(Inventory[[#This Row],[Nbhd]],Lookups!$Q$2:$T$4,4,FALSE)</f>
        <v>0.99970000000000003</v>
      </c>
      <c r="BH2045" s="25">
        <f>VLOOKUP(Inventory[[#This Row],[Qlty]],Lookups!$O$7:$R$21,4,FALSE)</f>
        <v>0.98050000000000004</v>
      </c>
      <c r="BI2045" s="25">
        <f>VLOOKUP(Inventory[[#This Row],[Cnd]],Lookups!$T$7:$W$16,4,FALSE)</f>
        <v>0.99650000000000005</v>
      </c>
      <c r="BJ2045" s="25">
        <f>VLOOKUP(Inventory[[#This Row],[LivArea Range]],Lookups!$T$25:$W$37,4,FALSE)</f>
        <v>0.96179999999999999</v>
      </c>
      <c r="BK2045" s="25">
        <f>VLOOKUP(Inventory[[#This Row],[Decade]],Lookups!$O$25:$R$42,4,FALSE)</f>
        <v>1.0074000000000001</v>
      </c>
      <c r="BL2045" s="25">
        <f>Inventory[[#This Row],[Nbhd Adj]]*0.95</f>
        <v>0.94971499999999998</v>
      </c>
      <c r="BM2045" s="25">
        <f>Inventory[[#This Row],[Nbhd Adj]]*Inventory[[#This Row],[Quality Adj]]*Inventory[[#This Row],[Condition Adj]]*Inventory[[#This Row],[Living Area Adj]]*Inventory[[#This Row],[Decade Adj]]*0.95</f>
        <v>0.89909362370491519</v>
      </c>
      <c r="BN2045" s="25">
        <f>ROUND(SUM(Inventory[[#This Row],[Mdl Qlty]:[Mdl WdDeck]])+Inventory[[#This Row],[Mdl Res Intercept]]*Inventory[[#This Row],[Res Adj ]],-2)</f>
        <v>395300</v>
      </c>
      <c r="BO2045" s="25">
        <f>ROUND(Inventory[[#This Row],[25Det]]*Inventory[[#This Row],[Det/Nbhd Adj]],-2)</f>
        <v>19100</v>
      </c>
      <c r="BP2045" s="25">
        <f>Inventory[[#This Row],[Adjusted Res]]+Inventory[[#This Row],[Adj Det ]]</f>
        <v>414400</v>
      </c>
      <c r="BQ2045" s="25">
        <f>ROUND((Inventory[[#This Row],[Mdl Land Intercept]]+Inventory[[#This Row],[Mdl LnAcres]])*Inventory[[#This Row],[Det/Nbhd Adj]],-2)</f>
        <v>50100</v>
      </c>
      <c r="BR2045" s="25">
        <f>Inventory[[#This Row],[Adjusted Impr Total]]+Inventory[[#This Row],[Adjusted Land Total]]</f>
        <v>464500</v>
      </c>
      <c r="BS2045" s="36">
        <f>IFERROR((Inventory[[#This Row],[Adjusted Impr Total]]-Inventory[[#This Row],[24Bldg]])/Inventory[[#This Row],[24Bldg]],0)</f>
        <v>0.11728228633054731</v>
      </c>
      <c r="BT2045" s="36">
        <f>(Inventory[[#This Row],[Adjusted Land Total]]-Inventory[[#This Row],[24Lnd]])/Inventory[[#This Row],[24Lnd]]</f>
        <v>-0.32021709633649931</v>
      </c>
      <c r="BU2045" s="36">
        <f>(Inventory[[#This Row],[Adjusted Total]]-Inventory[[#This Row],[24Final]])/Inventory[[#This Row],[24Final]]</f>
        <v>4.4759334233018443E-2</v>
      </c>
    </row>
    <row r="2046" spans="1:73" x14ac:dyDescent="0.3">
      <c r="A2046" s="25">
        <v>2025</v>
      </c>
      <c r="B2046" s="26" t="s">
        <v>2891</v>
      </c>
      <c r="C2046" s="26">
        <f>LN(Inventory[[#This Row],[Acres]])</f>
        <v>-1.9661128563728327</v>
      </c>
      <c r="D2046" s="25">
        <v>0.14000000000000001</v>
      </c>
      <c r="E2046" s="25">
        <v>6309</v>
      </c>
      <c r="F2046" s="26" t="s">
        <v>537</v>
      </c>
      <c r="G2046" s="26" t="s">
        <v>126</v>
      </c>
      <c r="H2046" s="26" t="s">
        <v>349</v>
      </c>
      <c r="I2046" s="26" t="s">
        <v>538</v>
      </c>
      <c r="J2046" s="26" t="s">
        <v>539</v>
      </c>
      <c r="K2046" s="26" t="s">
        <v>242</v>
      </c>
      <c r="L2046" s="26" t="s">
        <v>351</v>
      </c>
      <c r="M2046" s="26" t="s">
        <v>323</v>
      </c>
      <c r="N2046" s="26">
        <v>100</v>
      </c>
      <c r="O2046" s="26">
        <f>2024-Inventory[[#This Row],[YrBlt]]</f>
        <v>99</v>
      </c>
      <c r="P2046" s="26">
        <f>2024-Inventory[[#This Row],[EffYr]]</f>
        <v>56</v>
      </c>
      <c r="Q2046" s="25">
        <v>1925</v>
      </c>
      <c r="R2046" s="25">
        <v>1968</v>
      </c>
      <c r="S2046" s="25">
        <v>1377</v>
      </c>
      <c r="T2046" s="31"/>
      <c r="U2046" s="25">
        <v>1377</v>
      </c>
      <c r="V2046" s="25">
        <f>Inventory[[#This Row],[Bsmt]]-Inventory[[#This Row],[FnBsmt]]</f>
        <v>727</v>
      </c>
      <c r="W2046" s="25">
        <v>650</v>
      </c>
      <c r="X2046" s="27"/>
      <c r="Y2046" s="27">
        <f>Inventory[[#This Row],[MainFn]]+Inventory[[#This Row],[UpprFn]]+Inventory[[#This Row],[FnBsmt]]+Inventory[[#This Row],[AddFn]]</f>
        <v>2027</v>
      </c>
      <c r="Z2046" s="27">
        <v>2500</v>
      </c>
      <c r="AA2046" s="25">
        <v>5</v>
      </c>
      <c r="AB2046" s="31"/>
      <c r="AC2046" s="27"/>
      <c r="AD2046" s="27"/>
      <c r="AE2046" s="27"/>
      <c r="AF2046" s="27"/>
      <c r="AG2046" s="27"/>
      <c r="AH2046" s="27"/>
      <c r="AI2046" s="25">
        <v>296900</v>
      </c>
      <c r="AJ2046" s="25">
        <v>190016</v>
      </c>
      <c r="AK2046" s="25">
        <v>6724</v>
      </c>
      <c r="AL2046" s="25">
        <v>315100</v>
      </c>
      <c r="AM2046" s="25">
        <v>46000</v>
      </c>
      <c r="AN2046" s="25">
        <v>269100</v>
      </c>
      <c r="AO2046" s="25">
        <v>0</v>
      </c>
      <c r="AP2046" s="25">
        <f>Lookups!$B$56*0</f>
        <v>0</v>
      </c>
      <c r="AQ2046" s="25">
        <f>Lookups!$B$56*1</f>
        <v>89850.625589999996</v>
      </c>
      <c r="AR2046" s="25">
        <f>Lookups!$B$57*Inventory[[#This Row],[LnAcres]]</f>
        <v>-62236.546971921947</v>
      </c>
      <c r="AS2046" s="25">
        <f>VLOOKUP(Inventory[[#This Row],[Qlty]],Lookups!$A$62:$E$75,2,FALSE)</f>
        <v>21557.329055999999</v>
      </c>
      <c r="AT2046" s="25">
        <f>VLOOKUP(Inventory[[#This Row],[Cnd]],Lookups!$A$76:$E$84,2,FALSE)</f>
        <v>160472.20319</v>
      </c>
      <c r="AU2046" s="25">
        <f>Inventory[[#This Row],[EffAge]]*Lookups!$B$85</f>
        <v>-12490.553628</v>
      </c>
      <c r="AV2046" s="25">
        <f>Inventory[[#This Row],[MainFn]]*Lookups!$B$86</f>
        <v>68035.738420629001</v>
      </c>
      <c r="AW2046" s="25">
        <f>Inventory[[#This Row],[UpprFn]]*Lookups!$B$87</f>
        <v>0</v>
      </c>
      <c r="AX2046" s="25">
        <f>Inventory[[#This Row],[AddFn]]*Lookups!$B$88</f>
        <v>0</v>
      </c>
      <c r="AY2046" s="25">
        <f>Inventory[[#This Row],[Bsmt]]*Lookups!$B$89</f>
        <v>40045.769755118999</v>
      </c>
      <c r="AZ2046" s="25">
        <f>Inventory[[#This Row],[Fixtures]]*Lookups!$B$90</f>
        <v>18960.110526</v>
      </c>
      <c r="BA2046" s="25">
        <f>Inventory[[#This Row],[WdDeck]]*Lookups!$B$91</f>
        <v>0</v>
      </c>
      <c r="BB2046" s="25">
        <f>ROUND(Inventory[[#This Row],[25Det]],-2)</f>
        <v>6700</v>
      </c>
      <c r="BC2046" s="25">
        <f>ROUND(SUM(Inventory[[#This Row],[Mdl Qlty]:[Mdl WdDeck]])+Inventory[[#This Row],[Mdl Res Intercept]],-2)</f>
        <v>296600</v>
      </c>
      <c r="BD2046" s="25">
        <f>ROUND(Inventory[[#This Row],[Mdl Land Intercept]]+Inventory[[#This Row],[Mdl LnAcres]],-2)</f>
        <v>27600</v>
      </c>
      <c r="BE2046" s="25">
        <f>Inventory[[#This Row],[Unadj Res Value]]+Inventory[[#This Row],[Unadj Det Value]]+Inventory[[#This Row],[Unadj Land Value]]</f>
        <v>330900</v>
      </c>
      <c r="BF2046" s="36">
        <f>(Inventory[[#This Row],[Unadj Total Value]]-Inventory[[#This Row],[24Final]])/Inventory[[#This Row],[24Final]]</f>
        <v>5.0142811805775941E-2</v>
      </c>
      <c r="BG2046" s="25">
        <f>VLOOKUP(Inventory[[#This Row],[Nbhd]],Lookups!$Q$2:$T$4,4,FALSE)</f>
        <v>0.99970000000000003</v>
      </c>
      <c r="BH2046" s="25">
        <f>VLOOKUP(Inventory[[#This Row],[Qlty]],Lookups!$O$7:$R$21,4,FALSE)</f>
        <v>1.0067999999999999</v>
      </c>
      <c r="BI2046" s="25">
        <f>VLOOKUP(Inventory[[#This Row],[Cnd]],Lookups!$T$7:$W$16,4,FALSE)</f>
        <v>0.99729999999999996</v>
      </c>
      <c r="BJ2046" s="25">
        <f>VLOOKUP(Inventory[[#This Row],[LivArea Range]],Lookups!$T$25:$W$37,4,FALSE)</f>
        <v>0.98919999999999997</v>
      </c>
      <c r="BK2046" s="25">
        <f>VLOOKUP(Inventory[[#This Row],[Decade]],Lookups!$O$25:$R$42,4,FALSE)</f>
        <v>1.0074000000000001</v>
      </c>
      <c r="BL2046" s="25">
        <f>Inventory[[#This Row],[Nbhd Adj]]*0.95</f>
        <v>0.94971499999999998</v>
      </c>
      <c r="BM2046" s="25">
        <f>Inventory[[#This Row],[Nbhd Adj]]*Inventory[[#This Row],[Quality Adj]]*Inventory[[#This Row],[Condition Adj]]*Inventory[[#This Row],[Living Area Adj]]*Inventory[[#This Row],[Decade Adj]]*0.95</f>
        <v>0.95027297296624202</v>
      </c>
      <c r="BN2046" s="25">
        <f>ROUND(SUM(Inventory[[#This Row],[Mdl Qlty]:[Mdl WdDeck]])+Inventory[[#This Row],[Mdl Res Intercept]]*Inventory[[#This Row],[Res Adj ]],-2)</f>
        <v>296600</v>
      </c>
      <c r="BO2046" s="25">
        <f>ROUND(Inventory[[#This Row],[25Det]]*Inventory[[#This Row],[Det/Nbhd Adj]],-2)</f>
        <v>6400</v>
      </c>
      <c r="BP2046" s="25">
        <f>Inventory[[#This Row],[Adjusted Res]]+Inventory[[#This Row],[Adj Det ]]</f>
        <v>303000</v>
      </c>
      <c r="BQ2046" s="25">
        <f>ROUND((Inventory[[#This Row],[Mdl Land Intercept]]+Inventory[[#This Row],[Mdl LnAcres]])*Inventory[[#This Row],[Det/Nbhd Adj]],-2)</f>
        <v>26200</v>
      </c>
      <c r="BR2046" s="25">
        <f>Inventory[[#This Row],[Adjusted Impr Total]]+Inventory[[#This Row],[Adjusted Land Total]]</f>
        <v>329200</v>
      </c>
      <c r="BS2046" s="36">
        <f>IFERROR((Inventory[[#This Row],[Adjusted Impr Total]]-Inventory[[#This Row],[24Bldg]])/Inventory[[#This Row],[24Bldg]],0)</f>
        <v>0.12597547380156077</v>
      </c>
      <c r="BT2046" s="36">
        <f>(Inventory[[#This Row],[Adjusted Land Total]]-Inventory[[#This Row],[24Lnd]])/Inventory[[#This Row],[24Lnd]]</f>
        <v>-0.43043478260869567</v>
      </c>
      <c r="BU2046" s="36">
        <f>(Inventory[[#This Row],[Adjusted Total]]-Inventory[[#This Row],[24Final]])/Inventory[[#This Row],[24Final]]</f>
        <v>4.4747699143129163E-2</v>
      </c>
    </row>
    <row r="2047" spans="1:73" x14ac:dyDescent="0.3">
      <c r="A2047" s="25">
        <v>2025</v>
      </c>
      <c r="B2047" s="26" t="s">
        <v>1141</v>
      </c>
      <c r="C2047" s="26">
        <f>LN(Inventory[[#This Row],[Acres]])</f>
        <v>-1.3093333199837622</v>
      </c>
      <c r="D2047" s="25">
        <v>0.27</v>
      </c>
      <c r="E2047" s="31"/>
      <c r="F2047" s="26" t="s">
        <v>537</v>
      </c>
      <c r="G2047" s="26" t="s">
        <v>126</v>
      </c>
      <c r="H2047" s="26" t="s">
        <v>349</v>
      </c>
      <c r="I2047" s="26" t="s">
        <v>538</v>
      </c>
      <c r="J2047" s="26" t="s">
        <v>539</v>
      </c>
      <c r="K2047" s="26" t="s">
        <v>448</v>
      </c>
      <c r="L2047" s="26" t="s">
        <v>148</v>
      </c>
      <c r="M2047" s="26" t="s">
        <v>323</v>
      </c>
      <c r="N2047" s="26">
        <v>100</v>
      </c>
      <c r="O2047" s="26">
        <f>2024-Inventory[[#This Row],[YrBlt]]</f>
        <v>99</v>
      </c>
      <c r="P2047" s="26">
        <f>2024-Inventory[[#This Row],[EffYr]]</f>
        <v>56</v>
      </c>
      <c r="Q2047" s="25">
        <v>1925</v>
      </c>
      <c r="R2047" s="25">
        <v>1968</v>
      </c>
      <c r="S2047" s="25">
        <v>1414</v>
      </c>
      <c r="T2047" s="32">
        <v>1296</v>
      </c>
      <c r="U2047" s="25">
        <v>1295</v>
      </c>
      <c r="V2047" s="25">
        <f>Inventory[[#This Row],[Bsmt]]-Inventory[[#This Row],[FnBsmt]]</f>
        <v>695</v>
      </c>
      <c r="W2047" s="25">
        <v>600</v>
      </c>
      <c r="X2047" s="27"/>
      <c r="Y2047" s="27">
        <f>Inventory[[#This Row],[MainFn]]+Inventory[[#This Row],[UpprFn]]+Inventory[[#This Row],[FnBsmt]]+Inventory[[#This Row],[AddFn]]</f>
        <v>3310</v>
      </c>
      <c r="Z2047" s="27">
        <v>3500</v>
      </c>
      <c r="AA2047" s="25">
        <v>14</v>
      </c>
      <c r="AB2047" s="27"/>
      <c r="AC2047" s="27"/>
      <c r="AD2047" s="25">
        <v>440</v>
      </c>
      <c r="AE2047" s="27"/>
      <c r="AF2047" s="27"/>
      <c r="AG2047" s="27"/>
      <c r="AH2047" s="27"/>
      <c r="AI2047" s="25">
        <v>654573</v>
      </c>
      <c r="AJ2047" s="25">
        <v>418927</v>
      </c>
      <c r="AK2047" s="25">
        <v>39539</v>
      </c>
      <c r="AL2047" s="25">
        <v>487300</v>
      </c>
      <c r="AM2047" s="25">
        <v>68900</v>
      </c>
      <c r="AN2047" s="25">
        <v>418400</v>
      </c>
      <c r="AO2047" s="25">
        <v>0</v>
      </c>
      <c r="AP2047" s="25">
        <f>Lookups!$B$56*0</f>
        <v>0</v>
      </c>
      <c r="AQ2047" s="25">
        <f>Lookups!$B$56*1</f>
        <v>89850.625589999996</v>
      </c>
      <c r="AR2047" s="25">
        <f>Lookups!$B$57*Inventory[[#This Row],[LnAcres]]</f>
        <v>-41446.443120973789</v>
      </c>
      <c r="AS2047" s="25">
        <f>VLOOKUP(Inventory[[#This Row],[Qlty]],Lookups!$A$62:$E$75,2,FALSE)</f>
        <v>44121.038090000002</v>
      </c>
      <c r="AT2047" s="25">
        <f>VLOOKUP(Inventory[[#This Row],[Cnd]],Lookups!$A$76:$E$84,2,FALSE)</f>
        <v>160472.20319</v>
      </c>
      <c r="AU2047" s="25">
        <f>Inventory[[#This Row],[EffAge]]*Lookups!$B$85</f>
        <v>-12490.553628</v>
      </c>
      <c r="AV2047" s="25">
        <f>Inventory[[#This Row],[MainFn]]*Lookups!$B$86</f>
        <v>69863.859206078007</v>
      </c>
      <c r="AW2047" s="25">
        <f>Inventory[[#This Row],[UpprFn]]*Lookups!$B$87</f>
        <v>58043.204027855994</v>
      </c>
      <c r="AX2047" s="25">
        <f>Inventory[[#This Row],[AddFn]]*Lookups!$B$88</f>
        <v>0</v>
      </c>
      <c r="AY2047" s="25">
        <f>Inventory[[#This Row],[Bsmt]]*Lookups!$B$89</f>
        <v>37661.054344864999</v>
      </c>
      <c r="AZ2047" s="25">
        <f>Inventory[[#This Row],[Fixtures]]*Lookups!$B$90</f>
        <v>53088.3094728</v>
      </c>
      <c r="BA2047" s="25">
        <f>Inventory[[#This Row],[WdDeck]]*Lookups!$B$91</f>
        <v>14650.026721440001</v>
      </c>
      <c r="BB2047" s="25">
        <f>ROUND(Inventory[[#This Row],[25Det]],-2)</f>
        <v>39500</v>
      </c>
      <c r="BC2047" s="25">
        <f>ROUND(SUM(Inventory[[#This Row],[Mdl Qlty]:[Mdl WdDeck]])+Inventory[[#This Row],[Mdl Res Intercept]],-2)</f>
        <v>425400</v>
      </c>
      <c r="BD2047" s="25">
        <f>ROUND(Inventory[[#This Row],[Mdl Land Intercept]]+Inventory[[#This Row],[Mdl LnAcres]],-2)</f>
        <v>48400</v>
      </c>
      <c r="BE2047" s="25">
        <f>Inventory[[#This Row],[Unadj Res Value]]+Inventory[[#This Row],[Unadj Det Value]]+Inventory[[#This Row],[Unadj Land Value]]</f>
        <v>513300</v>
      </c>
      <c r="BF2047" s="36">
        <f>(Inventory[[#This Row],[Unadj Total Value]]-Inventory[[#This Row],[24Final]])/Inventory[[#This Row],[24Final]]</f>
        <v>5.3355222655448391E-2</v>
      </c>
      <c r="BG2047" s="25">
        <f>VLOOKUP(Inventory[[#This Row],[Nbhd]],Lookups!$Q$2:$T$4,4,FALSE)</f>
        <v>0.99970000000000003</v>
      </c>
      <c r="BH2047" s="25">
        <f>VLOOKUP(Inventory[[#This Row],[Qlty]],Lookups!$O$7:$R$21,4,FALSE)</f>
        <v>0.98050000000000004</v>
      </c>
      <c r="BI2047" s="25">
        <f>VLOOKUP(Inventory[[#This Row],[Cnd]],Lookups!$T$7:$W$16,4,FALSE)</f>
        <v>0.99729999999999996</v>
      </c>
      <c r="BJ2047" s="25">
        <f>VLOOKUP(Inventory[[#This Row],[LivArea Range]],Lookups!$T$25:$W$37,4,FALSE)</f>
        <v>1.0126999999999999</v>
      </c>
      <c r="BK2047" s="25">
        <f>VLOOKUP(Inventory[[#This Row],[Decade]],Lookups!$O$25:$R$42,4,FALSE)</f>
        <v>1.0074000000000001</v>
      </c>
      <c r="BL2047" s="25">
        <f>Inventory[[#This Row],[Nbhd Adj]]*0.95</f>
        <v>0.94971499999999998</v>
      </c>
      <c r="BM2047" s="25">
        <f>Inventory[[#This Row],[Nbhd Adj]]*Inventory[[#This Row],[Quality Adj]]*Inventory[[#This Row],[Condition Adj]]*Inventory[[#This Row],[Living Area Adj]]*Inventory[[#This Row],[Decade Adj]]*0.95</f>
        <v>0.9474351016889403</v>
      </c>
      <c r="BN2047" s="25">
        <f>ROUND(SUM(Inventory[[#This Row],[Mdl Qlty]:[Mdl WdDeck]])+Inventory[[#This Row],[Mdl Res Intercept]]*Inventory[[#This Row],[Res Adj ]],-2)</f>
        <v>425400</v>
      </c>
      <c r="BO2047" s="25">
        <f>ROUND(Inventory[[#This Row],[25Det]]*Inventory[[#This Row],[Det/Nbhd Adj]],-2)</f>
        <v>37600</v>
      </c>
      <c r="BP2047" s="25">
        <f>Inventory[[#This Row],[Adjusted Res]]+Inventory[[#This Row],[Adj Det ]]</f>
        <v>463000</v>
      </c>
      <c r="BQ2047" s="25">
        <f>ROUND((Inventory[[#This Row],[Mdl Land Intercept]]+Inventory[[#This Row],[Mdl LnAcres]])*Inventory[[#This Row],[Det/Nbhd Adj]],-2)</f>
        <v>46000</v>
      </c>
      <c r="BR2047" s="25">
        <f>Inventory[[#This Row],[Adjusted Impr Total]]+Inventory[[#This Row],[Adjusted Land Total]]</f>
        <v>509000</v>
      </c>
      <c r="BS2047" s="36">
        <f>IFERROR((Inventory[[#This Row],[Adjusted Impr Total]]-Inventory[[#This Row],[24Bldg]])/Inventory[[#This Row],[24Bldg]],0)</f>
        <v>0.10659655831739961</v>
      </c>
      <c r="BT2047" s="36">
        <f>(Inventory[[#This Row],[Adjusted Land Total]]-Inventory[[#This Row],[24Lnd]])/Inventory[[#This Row],[24Lnd]]</f>
        <v>-0.33236574746008707</v>
      </c>
      <c r="BU2047" s="36">
        <f>(Inventory[[#This Row],[Adjusted Total]]-Inventory[[#This Row],[24Final]])/Inventory[[#This Row],[24Final]]</f>
        <v>4.4531089677816542E-2</v>
      </c>
    </row>
    <row r="2048" spans="1:73" x14ac:dyDescent="0.3">
      <c r="A2048" s="25">
        <v>2025</v>
      </c>
      <c r="B2048" s="26" t="s">
        <v>2571</v>
      </c>
      <c r="C2048" s="26">
        <f>LN(Inventory[[#This Row],[Acres]])</f>
        <v>-1.8325814637483102</v>
      </c>
      <c r="D2048" s="25">
        <v>0.16</v>
      </c>
      <c r="E2048" s="31"/>
      <c r="F2048" s="26" t="s">
        <v>537</v>
      </c>
      <c r="G2048" s="26" t="s">
        <v>126</v>
      </c>
      <c r="H2048" s="26" t="s">
        <v>349</v>
      </c>
      <c r="I2048" s="26" t="s">
        <v>538</v>
      </c>
      <c r="J2048" s="26" t="s">
        <v>539</v>
      </c>
      <c r="K2048" s="26" t="s">
        <v>269</v>
      </c>
      <c r="L2048" s="26" t="s">
        <v>148</v>
      </c>
      <c r="M2048" s="26" t="s">
        <v>303</v>
      </c>
      <c r="N2048" s="26">
        <v>100</v>
      </c>
      <c r="O2048" s="26">
        <f>2024-Inventory[[#This Row],[YrBlt]]</f>
        <v>99</v>
      </c>
      <c r="P2048" s="26">
        <f>2024-Inventory[[#This Row],[EffYr]]</f>
        <v>56</v>
      </c>
      <c r="Q2048" s="25">
        <v>1925</v>
      </c>
      <c r="R2048" s="25">
        <v>1968</v>
      </c>
      <c r="S2048" s="25">
        <v>1259</v>
      </c>
      <c r="T2048" s="31"/>
      <c r="U2048" s="25">
        <v>1153</v>
      </c>
      <c r="V2048" s="25">
        <f>Inventory[[#This Row],[Bsmt]]-Inventory[[#This Row],[FnBsmt]]</f>
        <v>0</v>
      </c>
      <c r="W2048" s="25">
        <v>1153</v>
      </c>
      <c r="X2048" s="27"/>
      <c r="Y2048" s="27">
        <f>Inventory[[#This Row],[MainFn]]+Inventory[[#This Row],[UpprFn]]+Inventory[[#This Row],[FnBsmt]]+Inventory[[#This Row],[AddFn]]</f>
        <v>2412</v>
      </c>
      <c r="Z2048" s="27">
        <v>2500</v>
      </c>
      <c r="AA2048" s="25">
        <v>11</v>
      </c>
      <c r="AB2048" s="27"/>
      <c r="AC2048" s="27"/>
      <c r="AD2048" s="31"/>
      <c r="AE2048" s="27"/>
      <c r="AF2048" s="27"/>
      <c r="AG2048" s="27"/>
      <c r="AH2048" s="27"/>
      <c r="AI2048" s="25">
        <v>412239</v>
      </c>
      <c r="AJ2048" s="25">
        <v>272078</v>
      </c>
      <c r="AK2048" s="25">
        <v>12869</v>
      </c>
      <c r="AL2048" s="25">
        <v>391800</v>
      </c>
      <c r="AM2048" s="25">
        <v>50600</v>
      </c>
      <c r="AN2048" s="25">
        <v>341200</v>
      </c>
      <c r="AO2048" s="25">
        <v>0</v>
      </c>
      <c r="AP2048" s="25">
        <f>Lookups!$B$56*0</f>
        <v>0</v>
      </c>
      <c r="AQ2048" s="25">
        <f>Lookups!$B$56*1</f>
        <v>89850.625589999996</v>
      </c>
      <c r="AR2048" s="25">
        <f>Lookups!$B$57*Inventory[[#This Row],[LnAcres]]</f>
        <v>-58009.662049032086</v>
      </c>
      <c r="AS2048" s="25">
        <f>VLOOKUP(Inventory[[#This Row],[Qlty]],Lookups!$A$62:$E$75,2,FALSE)</f>
        <v>44121.038090000002</v>
      </c>
      <c r="AT2048" s="25">
        <f>VLOOKUP(Inventory[[#This Row],[Cnd]],Lookups!$A$76:$E$84,2,FALSE)</f>
        <v>197752.34721000001</v>
      </c>
      <c r="AU2048" s="25">
        <f>Inventory[[#This Row],[EffAge]]*Lookups!$B$85</f>
        <v>-12490.553628</v>
      </c>
      <c r="AV2048" s="25">
        <f>Inventory[[#This Row],[MainFn]]*Lookups!$B$86</f>
        <v>62205.515375143004</v>
      </c>
      <c r="AW2048" s="25">
        <f>Inventory[[#This Row],[UpprFn]]*Lookups!$B$87</f>
        <v>0</v>
      </c>
      <c r="AX2048" s="25">
        <f>Inventory[[#This Row],[AddFn]]*Lookups!$B$88</f>
        <v>0</v>
      </c>
      <c r="AY2048" s="25">
        <f>Inventory[[#This Row],[Bsmt]]*Lookups!$B$89</f>
        <v>33531.425219790995</v>
      </c>
      <c r="AZ2048" s="25">
        <f>Inventory[[#This Row],[Fixtures]]*Lookups!$B$90</f>
        <v>41712.243157199999</v>
      </c>
      <c r="BA2048" s="25">
        <f>Inventory[[#This Row],[WdDeck]]*Lookups!$B$91</f>
        <v>0</v>
      </c>
      <c r="BB2048" s="25">
        <f>ROUND(Inventory[[#This Row],[25Det]],-2)</f>
        <v>12900</v>
      </c>
      <c r="BC2048" s="25">
        <f>ROUND(SUM(Inventory[[#This Row],[Mdl Qlty]:[Mdl WdDeck]])+Inventory[[#This Row],[Mdl Res Intercept]],-2)</f>
        <v>366800</v>
      </c>
      <c r="BD2048" s="25">
        <f>ROUND(Inventory[[#This Row],[Mdl Land Intercept]]+Inventory[[#This Row],[Mdl LnAcres]],-2)</f>
        <v>31800</v>
      </c>
      <c r="BE2048" s="25">
        <f>Inventory[[#This Row],[Unadj Res Value]]+Inventory[[#This Row],[Unadj Det Value]]+Inventory[[#This Row],[Unadj Land Value]]</f>
        <v>411500</v>
      </c>
      <c r="BF2048" s="36">
        <f>(Inventory[[#This Row],[Unadj Total Value]]-Inventory[[#This Row],[24Final]])/Inventory[[#This Row],[24Final]]</f>
        <v>5.0280755487493618E-2</v>
      </c>
      <c r="BG2048" s="25">
        <f>VLOOKUP(Inventory[[#This Row],[Nbhd]],Lookups!$Q$2:$T$4,4,FALSE)</f>
        <v>0.99970000000000003</v>
      </c>
      <c r="BH2048" s="25">
        <f>VLOOKUP(Inventory[[#This Row],[Qlty]],Lookups!$O$7:$R$21,4,FALSE)</f>
        <v>0.98050000000000004</v>
      </c>
      <c r="BI2048" s="25">
        <f>VLOOKUP(Inventory[[#This Row],[Cnd]],Lookups!$T$7:$W$16,4,FALSE)</f>
        <v>0.99650000000000005</v>
      </c>
      <c r="BJ2048" s="25">
        <f>VLOOKUP(Inventory[[#This Row],[LivArea Range]],Lookups!$T$25:$W$37,4,FALSE)</f>
        <v>0.98919999999999997</v>
      </c>
      <c r="BK2048" s="25">
        <f>VLOOKUP(Inventory[[#This Row],[Decade]],Lookups!$O$25:$R$42,4,FALSE)</f>
        <v>1.0074000000000001</v>
      </c>
      <c r="BL2048" s="25">
        <f>Inventory[[#This Row],[Nbhd Adj]]*0.95</f>
        <v>0.94971499999999998</v>
      </c>
      <c r="BM2048" s="25">
        <f>Inventory[[#This Row],[Nbhd Adj]]*Inventory[[#This Row],[Quality Adj]]*Inventory[[#This Row],[Condition Adj]]*Inventory[[#This Row],[Living Area Adj]]*Inventory[[#This Row],[Decade Adj]]*0.95</f>
        <v>0.9247072287054503</v>
      </c>
      <c r="BN2048" s="25">
        <f>ROUND(SUM(Inventory[[#This Row],[Mdl Qlty]:[Mdl WdDeck]])+Inventory[[#This Row],[Mdl Res Intercept]]*Inventory[[#This Row],[Res Adj ]],-2)</f>
        <v>366800</v>
      </c>
      <c r="BO2048" s="25">
        <f>ROUND(Inventory[[#This Row],[25Det]]*Inventory[[#This Row],[Det/Nbhd Adj]],-2)</f>
        <v>12200</v>
      </c>
      <c r="BP2048" s="25">
        <f>Inventory[[#This Row],[Adjusted Res]]+Inventory[[#This Row],[Adj Det ]]</f>
        <v>379000</v>
      </c>
      <c r="BQ2048" s="25">
        <f>ROUND((Inventory[[#This Row],[Mdl Land Intercept]]+Inventory[[#This Row],[Mdl LnAcres]])*Inventory[[#This Row],[Det/Nbhd Adj]],-2)</f>
        <v>30200</v>
      </c>
      <c r="BR2048" s="25">
        <f>Inventory[[#This Row],[Adjusted Impr Total]]+Inventory[[#This Row],[Adjusted Land Total]]</f>
        <v>409200</v>
      </c>
      <c r="BS2048" s="36">
        <f>IFERROR((Inventory[[#This Row],[Adjusted Impr Total]]-Inventory[[#This Row],[24Bldg]])/Inventory[[#This Row],[24Bldg]],0)</f>
        <v>0.11078546307151231</v>
      </c>
      <c r="BT2048" s="36">
        <f>(Inventory[[#This Row],[Adjusted Land Total]]-Inventory[[#This Row],[24Lnd]])/Inventory[[#This Row],[24Lnd]]</f>
        <v>-0.40316205533596838</v>
      </c>
      <c r="BU2048" s="36">
        <f>(Inventory[[#This Row],[Adjusted Total]]-Inventory[[#This Row],[24Final]])/Inventory[[#This Row],[24Final]]</f>
        <v>4.44104134762634E-2</v>
      </c>
    </row>
    <row r="2049" spans="1:73" x14ac:dyDescent="0.3">
      <c r="A2049" s="25">
        <v>2025</v>
      </c>
      <c r="B2049" s="26" t="s">
        <v>2627</v>
      </c>
      <c r="C2049" s="26">
        <f>LN(Inventory[[#This Row],[Acres]])</f>
        <v>-1.8325814637483102</v>
      </c>
      <c r="D2049" s="25">
        <v>0.16</v>
      </c>
      <c r="E2049" s="32">
        <v>7000</v>
      </c>
      <c r="F2049" s="26" t="s">
        <v>537</v>
      </c>
      <c r="G2049" s="26" t="s">
        <v>126</v>
      </c>
      <c r="H2049" s="26" t="s">
        <v>349</v>
      </c>
      <c r="I2049" s="26" t="s">
        <v>538</v>
      </c>
      <c r="J2049" s="26" t="s">
        <v>539</v>
      </c>
      <c r="K2049" s="26" t="s">
        <v>269</v>
      </c>
      <c r="L2049" s="26" t="s">
        <v>205</v>
      </c>
      <c r="M2049" s="26" t="s">
        <v>323</v>
      </c>
      <c r="N2049" s="26">
        <v>100</v>
      </c>
      <c r="O2049" s="26">
        <f>2024-Inventory[[#This Row],[YrBlt]]</f>
        <v>99</v>
      </c>
      <c r="P2049" s="26">
        <f>2024-Inventory[[#This Row],[EffYr]]</f>
        <v>56</v>
      </c>
      <c r="Q2049" s="25">
        <v>1925</v>
      </c>
      <c r="R2049" s="25">
        <v>1968</v>
      </c>
      <c r="S2049" s="25">
        <v>846</v>
      </c>
      <c r="T2049" s="27"/>
      <c r="U2049" s="25">
        <v>324</v>
      </c>
      <c r="V2049" s="25">
        <f>Inventory[[#This Row],[Bsmt]]-Inventory[[#This Row],[FnBsmt]]</f>
        <v>234</v>
      </c>
      <c r="W2049" s="25">
        <v>90</v>
      </c>
      <c r="X2049" s="27"/>
      <c r="Y2049" s="27">
        <f>Inventory[[#This Row],[MainFn]]+Inventory[[#This Row],[UpprFn]]+Inventory[[#This Row],[FnBsmt]]+Inventory[[#This Row],[AddFn]]</f>
        <v>936</v>
      </c>
      <c r="Z2049" s="27">
        <v>1000</v>
      </c>
      <c r="AA2049" s="25">
        <v>5</v>
      </c>
      <c r="AB2049" s="27"/>
      <c r="AC2049" s="27"/>
      <c r="AD2049" s="27"/>
      <c r="AE2049" s="27"/>
      <c r="AF2049" s="27"/>
      <c r="AG2049" s="27"/>
      <c r="AH2049" s="27"/>
      <c r="AI2049" s="25">
        <v>155673</v>
      </c>
      <c r="AJ2049" s="25">
        <v>99631</v>
      </c>
      <c r="AK2049" s="25">
        <v>6325</v>
      </c>
      <c r="AL2049" s="25">
        <v>243700</v>
      </c>
      <c r="AM2049" s="25">
        <v>50600</v>
      </c>
      <c r="AN2049" s="25">
        <v>193100</v>
      </c>
      <c r="AO2049" s="25">
        <v>0</v>
      </c>
      <c r="AP2049" s="25">
        <f>Lookups!$B$56*0</f>
        <v>0</v>
      </c>
      <c r="AQ2049" s="25">
        <f>Lookups!$B$56*1</f>
        <v>89850.625589999996</v>
      </c>
      <c r="AR2049" s="25">
        <f>Lookups!$B$57*Inventory[[#This Row],[LnAcres]]</f>
        <v>-58009.662049032086</v>
      </c>
      <c r="AS2049" s="25">
        <f>VLOOKUP(Inventory[[#This Row],[Qlty]],Lookups!$A$62:$E$75,2,FALSE)</f>
        <v>0</v>
      </c>
      <c r="AT2049" s="25">
        <f>VLOOKUP(Inventory[[#This Row],[Cnd]],Lookups!$A$76:$E$84,2,FALSE)</f>
        <v>160472.20319</v>
      </c>
      <c r="AU2049" s="25">
        <f>Inventory[[#This Row],[EffAge]]*Lookups!$B$85</f>
        <v>-12490.553628</v>
      </c>
      <c r="AV2049" s="25">
        <f>Inventory[[#This Row],[MainFn]]*Lookups!$B$86</f>
        <v>41799.734715942002</v>
      </c>
      <c r="AW2049" s="25">
        <f>Inventory[[#This Row],[UpprFn]]*Lookups!$B$87</f>
        <v>0</v>
      </c>
      <c r="AX2049" s="25">
        <f>Inventory[[#This Row],[AddFn]]*Lookups!$B$88</f>
        <v>0</v>
      </c>
      <c r="AY2049" s="25">
        <f>Inventory[[#This Row],[Bsmt]]*Lookups!$B$89</f>
        <v>9422.5340600279997</v>
      </c>
      <c r="AZ2049" s="25">
        <f>Inventory[[#This Row],[Fixtures]]*Lookups!$B$90</f>
        <v>18960.110526</v>
      </c>
      <c r="BA2049" s="25">
        <f>Inventory[[#This Row],[WdDeck]]*Lookups!$B$91</f>
        <v>0</v>
      </c>
      <c r="BB2049" s="25">
        <f>ROUND(Inventory[[#This Row],[25Det]],-2)</f>
        <v>6300</v>
      </c>
      <c r="BC2049" s="25">
        <f>ROUND(SUM(Inventory[[#This Row],[Mdl Qlty]:[Mdl WdDeck]])+Inventory[[#This Row],[Mdl Res Intercept]],-2)</f>
        <v>218200</v>
      </c>
      <c r="BD2049" s="25">
        <f>ROUND(Inventory[[#This Row],[Mdl Land Intercept]]+Inventory[[#This Row],[Mdl LnAcres]],-2)</f>
        <v>31800</v>
      </c>
      <c r="BE2049" s="25">
        <f>Inventory[[#This Row],[Unadj Res Value]]+Inventory[[#This Row],[Unadj Det Value]]+Inventory[[#This Row],[Unadj Land Value]]</f>
        <v>256300</v>
      </c>
      <c r="BF2049" s="36">
        <f>(Inventory[[#This Row],[Unadj Total Value]]-Inventory[[#This Row],[24Final]])/Inventory[[#This Row],[24Final]]</f>
        <v>5.1702913418137056E-2</v>
      </c>
      <c r="BG2049" s="25">
        <f>VLOOKUP(Inventory[[#This Row],[Nbhd]],Lookups!$Q$2:$T$4,4,FALSE)</f>
        <v>0.99970000000000003</v>
      </c>
      <c r="BH2049" s="25">
        <f>VLOOKUP(Inventory[[#This Row],[Qlty]],Lookups!$O$7:$R$21,4,FALSE)</f>
        <v>0.99180000000000001</v>
      </c>
      <c r="BI2049" s="25">
        <f>VLOOKUP(Inventory[[#This Row],[Cnd]],Lookups!$T$7:$W$16,4,FALSE)</f>
        <v>0.99729999999999996</v>
      </c>
      <c r="BJ2049" s="25">
        <f>VLOOKUP(Inventory[[#This Row],[LivArea Range]],Lookups!$T$25:$W$37,4,FALSE)</f>
        <v>1.0148999999999999</v>
      </c>
      <c r="BK2049" s="25">
        <f>VLOOKUP(Inventory[[#This Row],[Decade]],Lookups!$O$25:$R$42,4,FALSE)</f>
        <v>1.0074000000000001</v>
      </c>
      <c r="BL2049" s="25">
        <f>Inventory[[#This Row],[Nbhd Adj]]*0.95</f>
        <v>0.94971499999999998</v>
      </c>
      <c r="BM2049" s="25">
        <f>Inventory[[#This Row],[Nbhd Adj]]*Inventory[[#This Row],[Quality Adj]]*Inventory[[#This Row],[Condition Adj]]*Inventory[[#This Row],[Living Area Adj]]*Inventory[[#This Row],[Decade Adj]]*0.95</f>
        <v>0.96043597585476481</v>
      </c>
      <c r="BN2049" s="25">
        <f>ROUND(SUM(Inventory[[#This Row],[Mdl Qlty]:[Mdl WdDeck]])+Inventory[[#This Row],[Mdl Res Intercept]]*Inventory[[#This Row],[Res Adj ]],-2)</f>
        <v>218200</v>
      </c>
      <c r="BO2049" s="25">
        <f>ROUND(Inventory[[#This Row],[25Det]]*Inventory[[#This Row],[Det/Nbhd Adj]],-2)</f>
        <v>6000</v>
      </c>
      <c r="BP2049" s="25">
        <f>Inventory[[#This Row],[Adjusted Res]]+Inventory[[#This Row],[Adj Det ]]</f>
        <v>224200</v>
      </c>
      <c r="BQ2049" s="25">
        <f>ROUND((Inventory[[#This Row],[Mdl Land Intercept]]+Inventory[[#This Row],[Mdl LnAcres]])*Inventory[[#This Row],[Det/Nbhd Adj]],-2)</f>
        <v>30200</v>
      </c>
      <c r="BR2049" s="25">
        <f>Inventory[[#This Row],[Adjusted Impr Total]]+Inventory[[#This Row],[Adjusted Land Total]]</f>
        <v>254400</v>
      </c>
      <c r="BS2049" s="36">
        <f>IFERROR((Inventory[[#This Row],[Adjusted Impr Total]]-Inventory[[#This Row],[24Bldg]])/Inventory[[#This Row],[24Bldg]],0)</f>
        <v>0.16105644743656136</v>
      </c>
      <c r="BT2049" s="36">
        <f>(Inventory[[#This Row],[Adjusted Land Total]]-Inventory[[#This Row],[24Lnd]])/Inventory[[#This Row],[24Lnd]]</f>
        <v>-0.40316205533596838</v>
      </c>
      <c r="BU2049" s="36">
        <f>(Inventory[[#This Row],[Adjusted Total]]-Inventory[[#This Row],[24Final]])/Inventory[[#This Row],[24Final]]</f>
        <v>4.3906442347148134E-2</v>
      </c>
    </row>
    <row r="2050" spans="1:73" x14ac:dyDescent="0.3">
      <c r="A2050" s="25">
        <v>2025</v>
      </c>
      <c r="B2050" s="26" t="s">
        <v>2221</v>
      </c>
      <c r="C2050" s="26">
        <f>LN(Inventory[[#This Row],[Acres]])</f>
        <v>-1.9661128563728327</v>
      </c>
      <c r="D2050" s="25">
        <v>0.14000000000000001</v>
      </c>
      <c r="E2050" s="25">
        <v>6003</v>
      </c>
      <c r="F2050" s="26" t="s">
        <v>537</v>
      </c>
      <c r="G2050" s="26" t="s">
        <v>126</v>
      </c>
      <c r="H2050" s="26" t="s">
        <v>349</v>
      </c>
      <c r="I2050" s="26" t="s">
        <v>538</v>
      </c>
      <c r="J2050" s="26" t="s">
        <v>539</v>
      </c>
      <c r="K2050" s="26" t="s">
        <v>242</v>
      </c>
      <c r="L2050" s="26" t="s">
        <v>351</v>
      </c>
      <c r="M2050" s="26" t="s">
        <v>323</v>
      </c>
      <c r="N2050" s="26">
        <v>100</v>
      </c>
      <c r="O2050" s="26">
        <f>2024-Inventory[[#This Row],[YrBlt]]</f>
        <v>99</v>
      </c>
      <c r="P2050" s="26">
        <f>2024-Inventory[[#This Row],[EffYr]]</f>
        <v>56</v>
      </c>
      <c r="Q2050" s="25">
        <v>1925</v>
      </c>
      <c r="R2050" s="25">
        <v>1968</v>
      </c>
      <c r="S2050" s="25">
        <v>856</v>
      </c>
      <c r="T2050" s="27"/>
      <c r="U2050" s="25">
        <v>856</v>
      </c>
      <c r="V2050" s="32">
        <f>Inventory[[#This Row],[Bsmt]]-Inventory[[#This Row],[FnBsmt]]</f>
        <v>120</v>
      </c>
      <c r="W2050" s="32">
        <v>736</v>
      </c>
      <c r="X2050" s="27"/>
      <c r="Y2050" s="27">
        <f>Inventory[[#This Row],[MainFn]]+Inventory[[#This Row],[UpprFn]]+Inventory[[#This Row],[FnBsmt]]+Inventory[[#This Row],[AddFn]]</f>
        <v>1592</v>
      </c>
      <c r="Z2050" s="27">
        <v>2000</v>
      </c>
      <c r="AA2050" s="25">
        <v>5</v>
      </c>
      <c r="AB2050" s="27"/>
      <c r="AC2050" s="32">
        <v>264</v>
      </c>
      <c r="AD2050" s="27"/>
      <c r="AE2050" s="27"/>
      <c r="AF2050" s="27"/>
      <c r="AG2050" s="27"/>
      <c r="AH2050" s="27"/>
      <c r="AI2050" s="25">
        <v>220294</v>
      </c>
      <c r="AJ2050" s="25">
        <v>140988</v>
      </c>
      <c r="AK2050" s="25">
        <v>0</v>
      </c>
      <c r="AL2050" s="25">
        <v>270200</v>
      </c>
      <c r="AM2050" s="25">
        <v>46000</v>
      </c>
      <c r="AN2050" s="25">
        <v>224200</v>
      </c>
      <c r="AO2050" s="25">
        <v>0</v>
      </c>
      <c r="AP2050" s="25">
        <f>Lookups!$B$56*0</f>
        <v>0</v>
      </c>
      <c r="AQ2050" s="25">
        <f>Lookups!$B$56*1</f>
        <v>89850.625589999996</v>
      </c>
      <c r="AR2050" s="25">
        <f>Lookups!$B$57*Inventory[[#This Row],[LnAcres]]</f>
        <v>-62236.546971921947</v>
      </c>
      <c r="AS2050" s="25">
        <f>VLOOKUP(Inventory[[#This Row],[Qlty]],Lookups!$A$62:$E$75,2,FALSE)</f>
        <v>21557.329055999999</v>
      </c>
      <c r="AT2050" s="25">
        <f>VLOOKUP(Inventory[[#This Row],[Cnd]],Lookups!$A$76:$E$84,2,FALSE)</f>
        <v>160472.20319</v>
      </c>
      <c r="AU2050" s="25">
        <f>Inventory[[#This Row],[EffAge]]*Lookups!$B$85</f>
        <v>-12490.553628</v>
      </c>
      <c r="AV2050" s="25">
        <f>Inventory[[#This Row],[MainFn]]*Lookups!$B$86</f>
        <v>42293.821414712002</v>
      </c>
      <c r="AW2050" s="25">
        <f>Inventory[[#This Row],[UpprFn]]*Lookups!$B$87</f>
        <v>0</v>
      </c>
      <c r="AX2050" s="25">
        <f>Inventory[[#This Row],[AddFn]]*Lookups!$B$88</f>
        <v>0</v>
      </c>
      <c r="AY2050" s="25">
        <f>Inventory[[#This Row],[Bsmt]]*Lookups!$B$89</f>
        <v>24894.102331431997</v>
      </c>
      <c r="AZ2050" s="25">
        <f>Inventory[[#This Row],[Fixtures]]*Lookups!$B$90</f>
        <v>18960.110526</v>
      </c>
      <c r="BA2050" s="25">
        <f>Inventory[[#This Row],[WdDeck]]*Lookups!$B$91</f>
        <v>0</v>
      </c>
      <c r="BB2050" s="25">
        <f>ROUND(Inventory[[#This Row],[25Det]],-2)</f>
        <v>0</v>
      </c>
      <c r="BC2050" s="25">
        <f>ROUND(SUM(Inventory[[#This Row],[Mdl Qlty]:[Mdl WdDeck]])+Inventory[[#This Row],[Mdl Res Intercept]],-2)</f>
        <v>255700</v>
      </c>
      <c r="BD2050" s="25">
        <f>ROUND(Inventory[[#This Row],[Mdl Land Intercept]]+Inventory[[#This Row],[Mdl LnAcres]],-2)</f>
        <v>27600</v>
      </c>
      <c r="BE2050" s="25">
        <f>Inventory[[#This Row],[Unadj Res Value]]+Inventory[[#This Row],[Unadj Det Value]]+Inventory[[#This Row],[Unadj Land Value]]</f>
        <v>283300</v>
      </c>
      <c r="BF2050" s="36">
        <f>(Inventory[[#This Row],[Unadj Total Value]]-Inventory[[#This Row],[24Final]])/Inventory[[#This Row],[24Final]]</f>
        <v>4.8482605477424133E-2</v>
      </c>
      <c r="BG2050" s="25">
        <f>VLOOKUP(Inventory[[#This Row],[Nbhd]],Lookups!$Q$2:$T$4,4,FALSE)</f>
        <v>0.99970000000000003</v>
      </c>
      <c r="BH2050" s="25">
        <f>VLOOKUP(Inventory[[#This Row],[Qlty]],Lookups!$O$7:$R$21,4,FALSE)</f>
        <v>1.0067999999999999</v>
      </c>
      <c r="BI2050" s="25">
        <f>VLOOKUP(Inventory[[#This Row],[Cnd]],Lookups!$T$7:$W$16,4,FALSE)</f>
        <v>0.99729999999999996</v>
      </c>
      <c r="BJ2050" s="25">
        <f>VLOOKUP(Inventory[[#This Row],[LivArea Range]],Lookups!$T$25:$W$37,4,FALSE)</f>
        <v>1.0093000000000001</v>
      </c>
      <c r="BK2050" s="25">
        <f>VLOOKUP(Inventory[[#This Row],[Decade]],Lookups!$O$25:$R$42,4,FALSE)</f>
        <v>1.0074000000000001</v>
      </c>
      <c r="BL2050" s="25">
        <f>Inventory[[#This Row],[Nbhd Adj]]*0.95</f>
        <v>0.94971499999999998</v>
      </c>
      <c r="BM2050" s="25">
        <f>Inventory[[#This Row],[Nbhd Adj]]*Inventory[[#This Row],[Quality Adj]]*Inventory[[#This Row],[Condition Adj]]*Inventory[[#This Row],[Living Area Adj]]*Inventory[[#This Row],[Decade Adj]]*0.95</f>
        <v>0.96958199718441984</v>
      </c>
      <c r="BN2050" s="25">
        <f>ROUND(SUM(Inventory[[#This Row],[Mdl Qlty]:[Mdl WdDeck]])+Inventory[[#This Row],[Mdl Res Intercept]]*Inventory[[#This Row],[Res Adj ]],-2)</f>
        <v>255700</v>
      </c>
      <c r="BO2050" s="25">
        <f>ROUND(Inventory[[#This Row],[25Det]]*Inventory[[#This Row],[Det/Nbhd Adj]],-2)</f>
        <v>0</v>
      </c>
      <c r="BP2050" s="25">
        <f>Inventory[[#This Row],[Adjusted Res]]+Inventory[[#This Row],[Adj Det ]]</f>
        <v>255700</v>
      </c>
      <c r="BQ2050" s="25">
        <f>ROUND((Inventory[[#This Row],[Mdl Land Intercept]]+Inventory[[#This Row],[Mdl LnAcres]])*Inventory[[#This Row],[Det/Nbhd Adj]],-2)</f>
        <v>26200</v>
      </c>
      <c r="BR2050" s="25">
        <f>Inventory[[#This Row],[Adjusted Impr Total]]+Inventory[[#This Row],[Adjusted Land Total]]</f>
        <v>281900</v>
      </c>
      <c r="BS2050" s="36">
        <f>IFERROR((Inventory[[#This Row],[Adjusted Impr Total]]-Inventory[[#This Row],[24Bldg]])/Inventory[[#This Row],[24Bldg]],0)</f>
        <v>0.14049955396966993</v>
      </c>
      <c r="BT2050" s="36">
        <f>(Inventory[[#This Row],[Adjusted Land Total]]-Inventory[[#This Row],[24Lnd]])/Inventory[[#This Row],[24Lnd]]</f>
        <v>-0.43043478260869567</v>
      </c>
      <c r="BU2050" s="36">
        <f>(Inventory[[#This Row],[Adjusted Total]]-Inventory[[#This Row],[24Final]])/Inventory[[#This Row],[24Final]]</f>
        <v>4.3301258327165061E-2</v>
      </c>
    </row>
    <row r="2051" spans="1:73" x14ac:dyDescent="0.3">
      <c r="A2051" s="25">
        <v>2025</v>
      </c>
      <c r="B2051" s="26" t="s">
        <v>2075</v>
      </c>
      <c r="C2051" s="26">
        <f>LN(Inventory[[#This Row],[Acres]])</f>
        <v>-1.8971199848858813</v>
      </c>
      <c r="D2051" s="25">
        <v>0.15</v>
      </c>
      <c r="E2051" s="31"/>
      <c r="F2051" s="26" t="s">
        <v>537</v>
      </c>
      <c r="G2051" s="26" t="s">
        <v>126</v>
      </c>
      <c r="H2051" s="26" t="s">
        <v>349</v>
      </c>
      <c r="I2051" s="26" t="s">
        <v>538</v>
      </c>
      <c r="J2051" s="26" t="s">
        <v>539</v>
      </c>
      <c r="K2051" s="26" t="s">
        <v>269</v>
      </c>
      <c r="L2051" s="26" t="s">
        <v>205</v>
      </c>
      <c r="M2051" s="26" t="s">
        <v>323</v>
      </c>
      <c r="N2051" s="26">
        <v>100</v>
      </c>
      <c r="O2051" s="26">
        <f>2024-Inventory[[#This Row],[YrBlt]]</f>
        <v>99</v>
      </c>
      <c r="P2051" s="26">
        <f>2024-Inventory[[#This Row],[EffYr]]</f>
        <v>56</v>
      </c>
      <c r="Q2051" s="25">
        <v>1925</v>
      </c>
      <c r="R2051" s="25">
        <v>1968</v>
      </c>
      <c r="S2051" s="25">
        <v>792</v>
      </c>
      <c r="T2051" s="27"/>
      <c r="U2051" s="25">
        <v>336</v>
      </c>
      <c r="V2051" s="32">
        <f>Inventory[[#This Row],[Bsmt]]-Inventory[[#This Row],[FnBsmt]]</f>
        <v>336</v>
      </c>
      <c r="W2051" s="27"/>
      <c r="X2051" s="27"/>
      <c r="Y2051" s="27">
        <f>Inventory[[#This Row],[MainFn]]+Inventory[[#This Row],[UpprFn]]+Inventory[[#This Row],[FnBsmt]]+Inventory[[#This Row],[AddFn]]</f>
        <v>792</v>
      </c>
      <c r="Z2051" s="27">
        <v>1000</v>
      </c>
      <c r="AA2051" s="25">
        <v>5</v>
      </c>
      <c r="AB2051" s="27"/>
      <c r="AC2051" s="27"/>
      <c r="AD2051" s="31"/>
      <c r="AE2051" s="27"/>
      <c r="AF2051" s="27"/>
      <c r="AG2051" s="27"/>
      <c r="AH2051" s="27"/>
      <c r="AI2051" s="25">
        <v>147041</v>
      </c>
      <c r="AJ2051" s="25">
        <v>94106</v>
      </c>
      <c r="AK2051" s="25">
        <v>8886</v>
      </c>
      <c r="AL2051" s="25">
        <v>242100</v>
      </c>
      <c r="AM2051" s="25">
        <v>48400</v>
      </c>
      <c r="AN2051" s="25">
        <v>193700</v>
      </c>
      <c r="AO2051" s="25">
        <v>0</v>
      </c>
      <c r="AP2051" s="25">
        <f>Lookups!$B$56*0</f>
        <v>0</v>
      </c>
      <c r="AQ2051" s="25">
        <f>Lookups!$B$56*1</f>
        <v>89850.625589999996</v>
      </c>
      <c r="AR2051" s="25">
        <f>Lookups!$B$57*Inventory[[#This Row],[LnAcres]]</f>
        <v>-60052.604136134301</v>
      </c>
      <c r="AS2051" s="25">
        <f>VLOOKUP(Inventory[[#This Row],[Qlty]],Lookups!$A$62:$E$75,2,FALSE)</f>
        <v>0</v>
      </c>
      <c r="AT2051" s="25">
        <f>VLOOKUP(Inventory[[#This Row],[Cnd]],Lookups!$A$76:$E$84,2,FALSE)</f>
        <v>160472.20319</v>
      </c>
      <c r="AU2051" s="25">
        <f>Inventory[[#This Row],[EffAge]]*Lookups!$B$85</f>
        <v>-12490.553628</v>
      </c>
      <c r="AV2051" s="25">
        <f>Inventory[[#This Row],[MainFn]]*Lookups!$B$86</f>
        <v>39131.666542584004</v>
      </c>
      <c r="AW2051" s="25">
        <f>Inventory[[#This Row],[UpprFn]]*Lookups!$B$87</f>
        <v>0</v>
      </c>
      <c r="AX2051" s="25">
        <f>Inventory[[#This Row],[AddFn]]*Lookups!$B$88</f>
        <v>0</v>
      </c>
      <c r="AY2051" s="25">
        <f>Inventory[[#This Row],[Bsmt]]*Lookups!$B$89</f>
        <v>9771.5168029919987</v>
      </c>
      <c r="AZ2051" s="25">
        <f>Inventory[[#This Row],[Fixtures]]*Lookups!$B$90</f>
        <v>18960.110526</v>
      </c>
      <c r="BA2051" s="25">
        <f>Inventory[[#This Row],[WdDeck]]*Lookups!$B$91</f>
        <v>0</v>
      </c>
      <c r="BB2051" s="25">
        <f>ROUND(Inventory[[#This Row],[25Det]],-2)</f>
        <v>8900</v>
      </c>
      <c r="BC2051" s="25">
        <f>ROUND(SUM(Inventory[[#This Row],[Mdl Qlty]:[Mdl WdDeck]])+Inventory[[#This Row],[Mdl Res Intercept]],-2)</f>
        <v>215800</v>
      </c>
      <c r="BD2051" s="25">
        <f>ROUND(Inventory[[#This Row],[Mdl Land Intercept]]+Inventory[[#This Row],[Mdl LnAcres]],-2)</f>
        <v>29800</v>
      </c>
      <c r="BE2051" s="25">
        <f>Inventory[[#This Row],[Unadj Res Value]]+Inventory[[#This Row],[Unadj Det Value]]+Inventory[[#This Row],[Unadj Land Value]]</f>
        <v>254500</v>
      </c>
      <c r="BF2051" s="36">
        <f>(Inventory[[#This Row],[Unadj Total Value]]-Inventory[[#This Row],[24Final]])/Inventory[[#This Row],[24Final]]</f>
        <v>5.1218504750103262E-2</v>
      </c>
      <c r="BG2051" s="25">
        <f>VLOOKUP(Inventory[[#This Row],[Nbhd]],Lookups!$Q$2:$T$4,4,FALSE)</f>
        <v>0.99970000000000003</v>
      </c>
      <c r="BH2051" s="25">
        <f>VLOOKUP(Inventory[[#This Row],[Qlty]],Lookups!$O$7:$R$21,4,FALSE)</f>
        <v>0.99180000000000001</v>
      </c>
      <c r="BI2051" s="25">
        <f>VLOOKUP(Inventory[[#This Row],[Cnd]],Lookups!$T$7:$W$16,4,FALSE)</f>
        <v>0.99729999999999996</v>
      </c>
      <c r="BJ2051" s="25">
        <f>VLOOKUP(Inventory[[#This Row],[LivArea Range]],Lookups!$T$25:$W$37,4,FALSE)</f>
        <v>1.0148999999999999</v>
      </c>
      <c r="BK2051" s="25">
        <f>VLOOKUP(Inventory[[#This Row],[Decade]],Lookups!$O$25:$R$42,4,FALSE)</f>
        <v>1.0074000000000001</v>
      </c>
      <c r="BL2051" s="25">
        <f>Inventory[[#This Row],[Nbhd Adj]]*0.95</f>
        <v>0.94971499999999998</v>
      </c>
      <c r="BM2051" s="25">
        <f>Inventory[[#This Row],[Nbhd Adj]]*Inventory[[#This Row],[Quality Adj]]*Inventory[[#This Row],[Condition Adj]]*Inventory[[#This Row],[Living Area Adj]]*Inventory[[#This Row],[Decade Adj]]*0.95</f>
        <v>0.96043597585476481</v>
      </c>
      <c r="BN2051" s="25">
        <f>ROUND(SUM(Inventory[[#This Row],[Mdl Qlty]:[Mdl WdDeck]])+Inventory[[#This Row],[Mdl Res Intercept]]*Inventory[[#This Row],[Res Adj ]],-2)</f>
        <v>215800</v>
      </c>
      <c r="BO2051" s="25">
        <f>ROUND(Inventory[[#This Row],[25Det]]*Inventory[[#This Row],[Det/Nbhd Adj]],-2)</f>
        <v>8400</v>
      </c>
      <c r="BP2051" s="25">
        <f>Inventory[[#This Row],[Adjusted Res]]+Inventory[[#This Row],[Adj Det ]]</f>
        <v>224200</v>
      </c>
      <c r="BQ2051" s="25">
        <f>ROUND((Inventory[[#This Row],[Mdl Land Intercept]]+Inventory[[#This Row],[Mdl LnAcres]])*Inventory[[#This Row],[Det/Nbhd Adj]],-2)</f>
        <v>28300</v>
      </c>
      <c r="BR2051" s="25">
        <f>Inventory[[#This Row],[Adjusted Impr Total]]+Inventory[[#This Row],[Adjusted Land Total]]</f>
        <v>252500</v>
      </c>
      <c r="BS2051" s="36">
        <f>IFERROR((Inventory[[#This Row],[Adjusted Impr Total]]-Inventory[[#This Row],[24Bldg]])/Inventory[[#This Row],[24Bldg]],0)</f>
        <v>0.15745998967475477</v>
      </c>
      <c r="BT2051" s="36">
        <f>(Inventory[[#This Row],[Adjusted Land Total]]-Inventory[[#This Row],[24Lnd]])/Inventory[[#This Row],[24Lnd]]</f>
        <v>-0.41528925619834711</v>
      </c>
      <c r="BU2051" s="36">
        <f>(Inventory[[#This Row],[Adjusted Total]]-Inventory[[#This Row],[24Final]])/Inventory[[#This Row],[24Final]]</f>
        <v>4.2957455596860802E-2</v>
      </c>
    </row>
    <row r="2052" spans="1:73" x14ac:dyDescent="0.3">
      <c r="A2052" s="25">
        <v>2025</v>
      </c>
      <c r="B2052" s="26" t="s">
        <v>852</v>
      </c>
      <c r="C2052" s="26">
        <f>LN(Inventory[[#This Row],[Acres]])</f>
        <v>-1.5606477482646683</v>
      </c>
      <c r="D2052" s="25">
        <v>0.21</v>
      </c>
      <c r="E2052" s="25">
        <v>9261</v>
      </c>
      <c r="F2052" s="26" t="s">
        <v>537</v>
      </c>
      <c r="G2052" s="26" t="s">
        <v>126</v>
      </c>
      <c r="H2052" s="26" t="s">
        <v>349</v>
      </c>
      <c r="I2052" s="26" t="s">
        <v>538</v>
      </c>
      <c r="J2052" s="26" t="s">
        <v>539</v>
      </c>
      <c r="K2052" s="26" t="s">
        <v>242</v>
      </c>
      <c r="L2052" s="26" t="s">
        <v>205</v>
      </c>
      <c r="M2052" s="26" t="s">
        <v>323</v>
      </c>
      <c r="N2052" s="26">
        <v>100</v>
      </c>
      <c r="O2052" s="26">
        <f>2024-Inventory[[#This Row],[YrBlt]]</f>
        <v>99</v>
      </c>
      <c r="P2052" s="26">
        <f>2024-Inventory[[#This Row],[EffYr]]</f>
        <v>56</v>
      </c>
      <c r="Q2052" s="25">
        <v>1925</v>
      </c>
      <c r="R2052" s="25">
        <v>1968</v>
      </c>
      <c r="S2052" s="25">
        <v>960</v>
      </c>
      <c r="T2052" s="27"/>
      <c r="U2052" s="25">
        <v>650</v>
      </c>
      <c r="V2052" s="32">
        <f>Inventory[[#This Row],[Bsmt]]-Inventory[[#This Row],[FnBsmt]]</f>
        <v>650</v>
      </c>
      <c r="W2052" s="32">
        <v>0</v>
      </c>
      <c r="X2052" s="27"/>
      <c r="Y2052" s="27">
        <f>Inventory[[#This Row],[MainFn]]+Inventory[[#This Row],[UpprFn]]+Inventory[[#This Row],[FnBsmt]]+Inventory[[#This Row],[AddFn]]</f>
        <v>960</v>
      </c>
      <c r="Z2052" s="27">
        <v>1000</v>
      </c>
      <c r="AA2052" s="25">
        <v>5</v>
      </c>
      <c r="AB2052" s="27"/>
      <c r="AC2052" s="27"/>
      <c r="AD2052" s="31"/>
      <c r="AE2052" s="27"/>
      <c r="AF2052" s="27"/>
      <c r="AG2052" s="27"/>
      <c r="AH2052" s="27"/>
      <c r="AI2052" s="25">
        <v>179790</v>
      </c>
      <c r="AJ2052" s="25">
        <v>115066</v>
      </c>
      <c r="AK2052" s="25">
        <v>5934</v>
      </c>
      <c r="AL2052" s="25">
        <v>266300</v>
      </c>
      <c r="AM2052" s="25">
        <v>60100</v>
      </c>
      <c r="AN2052" s="25">
        <v>206200</v>
      </c>
      <c r="AO2052" s="25">
        <v>0</v>
      </c>
      <c r="AP2052" s="25">
        <f>Lookups!$B$56*0</f>
        <v>0</v>
      </c>
      <c r="AQ2052" s="25">
        <f>Lookups!$B$56*1</f>
        <v>89850.625589999996</v>
      </c>
      <c r="AR2052" s="25">
        <f>Lookups!$B$57*Inventory[[#This Row],[LnAcres]]</f>
        <v>-49401.70477837498</v>
      </c>
      <c r="AS2052" s="25">
        <f>VLOOKUP(Inventory[[#This Row],[Qlty]],Lookups!$A$62:$E$75,2,FALSE)</f>
        <v>0</v>
      </c>
      <c r="AT2052" s="25">
        <f>VLOOKUP(Inventory[[#This Row],[Cnd]],Lookups!$A$76:$E$84,2,FALSE)</f>
        <v>160472.20319</v>
      </c>
      <c r="AU2052" s="25">
        <f>Inventory[[#This Row],[EffAge]]*Lookups!$B$85</f>
        <v>-12490.553628</v>
      </c>
      <c r="AV2052" s="25">
        <f>Inventory[[#This Row],[MainFn]]*Lookups!$B$86</f>
        <v>47432.323081920003</v>
      </c>
      <c r="AW2052" s="25">
        <f>Inventory[[#This Row],[UpprFn]]*Lookups!$B$87</f>
        <v>0</v>
      </c>
      <c r="AX2052" s="25">
        <f>Inventory[[#This Row],[AddFn]]*Lookups!$B$88</f>
        <v>0</v>
      </c>
      <c r="AY2052" s="25">
        <f>Inventory[[#This Row],[Bsmt]]*Lookups!$B$89</f>
        <v>18903.231910549999</v>
      </c>
      <c r="AZ2052" s="25">
        <f>Inventory[[#This Row],[Fixtures]]*Lookups!$B$90</f>
        <v>18960.110526</v>
      </c>
      <c r="BA2052" s="25">
        <f>Inventory[[#This Row],[WdDeck]]*Lookups!$B$91</f>
        <v>0</v>
      </c>
      <c r="BB2052" s="25">
        <f>ROUND(Inventory[[#This Row],[25Det]],-2)</f>
        <v>5900</v>
      </c>
      <c r="BC2052" s="25">
        <f>ROUND(SUM(Inventory[[#This Row],[Mdl Qlty]:[Mdl WdDeck]])+Inventory[[#This Row],[Mdl Res Intercept]],-2)</f>
        <v>233300</v>
      </c>
      <c r="BD2052" s="25">
        <f>ROUND(Inventory[[#This Row],[Mdl Land Intercept]]+Inventory[[#This Row],[Mdl LnAcres]],-2)</f>
        <v>40400</v>
      </c>
      <c r="BE2052" s="25">
        <f>Inventory[[#This Row],[Unadj Res Value]]+Inventory[[#This Row],[Unadj Det Value]]+Inventory[[#This Row],[Unadj Land Value]]</f>
        <v>279600</v>
      </c>
      <c r="BF2052" s="36">
        <f>(Inventory[[#This Row],[Unadj Total Value]]-Inventory[[#This Row],[24Final]])/Inventory[[#This Row],[24Final]]</f>
        <v>4.9943672549755916E-2</v>
      </c>
      <c r="BG2052" s="25">
        <f>VLOOKUP(Inventory[[#This Row],[Nbhd]],Lookups!$Q$2:$T$4,4,FALSE)</f>
        <v>0.99970000000000003</v>
      </c>
      <c r="BH2052" s="25">
        <f>VLOOKUP(Inventory[[#This Row],[Qlty]],Lookups!$O$7:$R$21,4,FALSE)</f>
        <v>0.99180000000000001</v>
      </c>
      <c r="BI2052" s="25">
        <f>VLOOKUP(Inventory[[#This Row],[Cnd]],Lookups!$T$7:$W$16,4,FALSE)</f>
        <v>0.99729999999999996</v>
      </c>
      <c r="BJ2052" s="25">
        <f>VLOOKUP(Inventory[[#This Row],[LivArea Range]],Lookups!$T$25:$W$37,4,FALSE)</f>
        <v>1.0148999999999999</v>
      </c>
      <c r="BK2052" s="25">
        <f>VLOOKUP(Inventory[[#This Row],[Decade]],Lookups!$O$25:$R$42,4,FALSE)</f>
        <v>1.0074000000000001</v>
      </c>
      <c r="BL2052" s="25">
        <f>Inventory[[#This Row],[Nbhd Adj]]*0.95</f>
        <v>0.94971499999999998</v>
      </c>
      <c r="BM2052" s="25">
        <f>Inventory[[#This Row],[Nbhd Adj]]*Inventory[[#This Row],[Quality Adj]]*Inventory[[#This Row],[Condition Adj]]*Inventory[[#This Row],[Living Area Adj]]*Inventory[[#This Row],[Decade Adj]]*0.95</f>
        <v>0.96043597585476481</v>
      </c>
      <c r="BN2052" s="25">
        <f>ROUND(SUM(Inventory[[#This Row],[Mdl Qlty]:[Mdl WdDeck]])+Inventory[[#This Row],[Mdl Res Intercept]]*Inventory[[#This Row],[Res Adj ]],-2)</f>
        <v>233300</v>
      </c>
      <c r="BO2052" s="25">
        <f>ROUND(Inventory[[#This Row],[25Det]]*Inventory[[#This Row],[Det/Nbhd Adj]],-2)</f>
        <v>5600</v>
      </c>
      <c r="BP2052" s="25">
        <f>Inventory[[#This Row],[Adjusted Res]]+Inventory[[#This Row],[Adj Det ]]</f>
        <v>238900</v>
      </c>
      <c r="BQ2052" s="25">
        <f>ROUND((Inventory[[#This Row],[Mdl Land Intercept]]+Inventory[[#This Row],[Mdl LnAcres]])*Inventory[[#This Row],[Det/Nbhd Adj]],-2)</f>
        <v>38400</v>
      </c>
      <c r="BR2052" s="25">
        <f>Inventory[[#This Row],[Adjusted Impr Total]]+Inventory[[#This Row],[Adjusted Land Total]]</f>
        <v>277300</v>
      </c>
      <c r="BS2052" s="36">
        <f>IFERROR((Inventory[[#This Row],[Adjusted Impr Total]]-Inventory[[#This Row],[24Bldg]])/Inventory[[#This Row],[24Bldg]],0)</f>
        <v>0.15858389912706111</v>
      </c>
      <c r="BT2052" s="36">
        <f>(Inventory[[#This Row],[Adjusted Land Total]]-Inventory[[#This Row],[24Lnd]])/Inventory[[#This Row],[24Lnd]]</f>
        <v>-0.36106489184692181</v>
      </c>
      <c r="BU2052" s="36">
        <f>(Inventory[[#This Row],[Adjusted Total]]-Inventory[[#This Row],[24Final]])/Inventory[[#This Row],[24Final]]</f>
        <v>4.130679684566279E-2</v>
      </c>
    </row>
    <row r="2053" spans="1:73" x14ac:dyDescent="0.3">
      <c r="A2053" s="25">
        <v>2025</v>
      </c>
      <c r="B2053" s="26" t="s">
        <v>1568</v>
      </c>
      <c r="C2053" s="26">
        <f>LN(Inventory[[#This Row],[Acres]])</f>
        <v>-1.5606477482646683</v>
      </c>
      <c r="D2053" s="25">
        <v>0.21</v>
      </c>
      <c r="E2053" s="25">
        <v>9105</v>
      </c>
      <c r="F2053" s="26" t="s">
        <v>537</v>
      </c>
      <c r="G2053" s="26" t="s">
        <v>126</v>
      </c>
      <c r="H2053" s="26" t="s">
        <v>349</v>
      </c>
      <c r="I2053" s="26" t="s">
        <v>538</v>
      </c>
      <c r="J2053" s="26" t="s">
        <v>539</v>
      </c>
      <c r="K2053" s="26" t="s">
        <v>269</v>
      </c>
      <c r="L2053" s="26" t="s">
        <v>351</v>
      </c>
      <c r="M2053" s="26" t="s">
        <v>323</v>
      </c>
      <c r="N2053" s="26">
        <v>100</v>
      </c>
      <c r="O2053" s="26">
        <f>2024-Inventory[[#This Row],[YrBlt]]</f>
        <v>99</v>
      </c>
      <c r="P2053" s="26">
        <f>2024-Inventory[[#This Row],[EffYr]]</f>
        <v>56</v>
      </c>
      <c r="Q2053" s="25">
        <v>1925</v>
      </c>
      <c r="R2053" s="25">
        <v>1968</v>
      </c>
      <c r="S2053" s="25">
        <v>1086</v>
      </c>
      <c r="T2053" s="31"/>
      <c r="U2053" s="25">
        <v>815</v>
      </c>
      <c r="V2053" s="25">
        <f>Inventory[[#This Row],[Bsmt]]-Inventory[[#This Row],[FnBsmt]]</f>
        <v>407</v>
      </c>
      <c r="W2053" s="25">
        <v>408</v>
      </c>
      <c r="X2053" s="27"/>
      <c r="Y2053" s="27">
        <f>Inventory[[#This Row],[MainFn]]+Inventory[[#This Row],[UpprFn]]+Inventory[[#This Row],[FnBsmt]]+Inventory[[#This Row],[AddFn]]</f>
        <v>1494</v>
      </c>
      <c r="Z2053" s="27">
        <v>1500</v>
      </c>
      <c r="AA2053" s="25">
        <v>5</v>
      </c>
      <c r="AB2053" s="27"/>
      <c r="AC2053" s="31"/>
      <c r="AD2053" s="31"/>
      <c r="AE2053" s="27"/>
      <c r="AF2053" s="27"/>
      <c r="AG2053" s="27"/>
      <c r="AH2053" s="27"/>
      <c r="AI2053" s="25">
        <v>243453</v>
      </c>
      <c r="AJ2053" s="25">
        <v>155810</v>
      </c>
      <c r="AK2053" s="25">
        <v>6708</v>
      </c>
      <c r="AL2053" s="25">
        <v>299500</v>
      </c>
      <c r="AM2053" s="25">
        <v>60100</v>
      </c>
      <c r="AN2053" s="25">
        <v>239400</v>
      </c>
      <c r="AO2053" s="25">
        <v>0</v>
      </c>
      <c r="AP2053" s="25">
        <f>Lookups!$B$56*0</f>
        <v>0</v>
      </c>
      <c r="AQ2053" s="25">
        <f>Lookups!$B$56*1</f>
        <v>89850.625589999996</v>
      </c>
      <c r="AR2053" s="25">
        <f>Lookups!$B$57*Inventory[[#This Row],[LnAcres]]</f>
        <v>-49401.70477837498</v>
      </c>
      <c r="AS2053" s="25">
        <f>VLOOKUP(Inventory[[#This Row],[Qlty]],Lookups!$A$62:$E$75,2,FALSE)</f>
        <v>21557.329055999999</v>
      </c>
      <c r="AT2053" s="25">
        <f>VLOOKUP(Inventory[[#This Row],[Cnd]],Lookups!$A$76:$E$84,2,FALSE)</f>
        <v>160472.20319</v>
      </c>
      <c r="AU2053" s="25">
        <f>Inventory[[#This Row],[EffAge]]*Lookups!$B$85</f>
        <v>-12490.553628</v>
      </c>
      <c r="AV2053" s="25">
        <f>Inventory[[#This Row],[MainFn]]*Lookups!$B$86</f>
        <v>53657.815486421998</v>
      </c>
      <c r="AW2053" s="25">
        <f>Inventory[[#This Row],[UpprFn]]*Lookups!$B$87</f>
        <v>0</v>
      </c>
      <c r="AX2053" s="25">
        <f>Inventory[[#This Row],[AddFn]]*Lookups!$B$88</f>
        <v>0</v>
      </c>
      <c r="AY2053" s="25">
        <f>Inventory[[#This Row],[Bsmt]]*Lookups!$B$89</f>
        <v>23701.744626305001</v>
      </c>
      <c r="AZ2053" s="25">
        <f>Inventory[[#This Row],[Fixtures]]*Lookups!$B$90</f>
        <v>18960.110526</v>
      </c>
      <c r="BA2053" s="25">
        <f>Inventory[[#This Row],[WdDeck]]*Lookups!$B$91</f>
        <v>0</v>
      </c>
      <c r="BB2053" s="25">
        <f>ROUND(Inventory[[#This Row],[25Det]],-2)</f>
        <v>6700</v>
      </c>
      <c r="BC2053" s="25">
        <f>ROUND(SUM(Inventory[[#This Row],[Mdl Qlty]:[Mdl WdDeck]])+Inventory[[#This Row],[Mdl Res Intercept]],-2)</f>
        <v>265900</v>
      </c>
      <c r="BD2053" s="25">
        <f>ROUND(Inventory[[#This Row],[Mdl Land Intercept]]+Inventory[[#This Row],[Mdl LnAcres]],-2)</f>
        <v>40400</v>
      </c>
      <c r="BE2053" s="25">
        <f>Inventory[[#This Row],[Unadj Res Value]]+Inventory[[#This Row],[Unadj Det Value]]+Inventory[[#This Row],[Unadj Land Value]]</f>
        <v>313000</v>
      </c>
      <c r="BF2053" s="36">
        <f>(Inventory[[#This Row],[Unadj Total Value]]-Inventory[[#This Row],[24Final]])/Inventory[[#This Row],[24Final]]</f>
        <v>4.5075125208681135E-2</v>
      </c>
      <c r="BG2053" s="25">
        <f>VLOOKUP(Inventory[[#This Row],[Nbhd]],Lookups!$Q$2:$T$4,4,FALSE)</f>
        <v>0.99970000000000003</v>
      </c>
      <c r="BH2053" s="25">
        <f>VLOOKUP(Inventory[[#This Row],[Qlty]],Lookups!$O$7:$R$21,4,FALSE)</f>
        <v>1.0067999999999999</v>
      </c>
      <c r="BI2053" s="25">
        <f>VLOOKUP(Inventory[[#This Row],[Cnd]],Lookups!$T$7:$W$16,4,FALSE)</f>
        <v>0.99729999999999996</v>
      </c>
      <c r="BJ2053" s="25">
        <f>VLOOKUP(Inventory[[#This Row],[LivArea Range]],Lookups!$T$25:$W$37,4,FALSE)</f>
        <v>1.0157</v>
      </c>
      <c r="BK2053" s="25">
        <f>VLOOKUP(Inventory[[#This Row],[Decade]],Lookups!$O$25:$R$42,4,FALSE)</f>
        <v>1.0074000000000001</v>
      </c>
      <c r="BL2053" s="25">
        <f>Inventory[[#This Row],[Nbhd Adj]]*0.95</f>
        <v>0.94971499999999998</v>
      </c>
      <c r="BM2053" s="25">
        <f>Inventory[[#This Row],[Nbhd Adj]]*Inventory[[#This Row],[Quality Adj]]*Inventory[[#This Row],[Condition Adj]]*Inventory[[#This Row],[Living Area Adj]]*Inventory[[#This Row],[Decade Adj]]*0.95</f>
        <v>0.97573014419916293</v>
      </c>
      <c r="BN2053" s="25">
        <f>ROUND(SUM(Inventory[[#This Row],[Mdl Qlty]:[Mdl WdDeck]])+Inventory[[#This Row],[Mdl Res Intercept]]*Inventory[[#This Row],[Res Adj ]],-2)</f>
        <v>265900</v>
      </c>
      <c r="BO2053" s="25">
        <f>ROUND(Inventory[[#This Row],[25Det]]*Inventory[[#This Row],[Det/Nbhd Adj]],-2)</f>
        <v>6400</v>
      </c>
      <c r="BP2053" s="25">
        <f>Inventory[[#This Row],[Adjusted Res]]+Inventory[[#This Row],[Adj Det ]]</f>
        <v>272300</v>
      </c>
      <c r="BQ2053" s="25">
        <f>ROUND((Inventory[[#This Row],[Mdl Land Intercept]]+Inventory[[#This Row],[Mdl LnAcres]])*Inventory[[#This Row],[Det/Nbhd Adj]],-2)</f>
        <v>38400</v>
      </c>
      <c r="BR2053" s="25">
        <f>Inventory[[#This Row],[Adjusted Impr Total]]+Inventory[[#This Row],[Adjusted Land Total]]</f>
        <v>310700</v>
      </c>
      <c r="BS2053" s="36">
        <f>IFERROR((Inventory[[#This Row],[Adjusted Impr Total]]-Inventory[[#This Row],[24Bldg]])/Inventory[[#This Row],[24Bldg]],0)</f>
        <v>0.13742690058479531</v>
      </c>
      <c r="BT2053" s="36">
        <f>(Inventory[[#This Row],[Adjusted Land Total]]-Inventory[[#This Row],[24Lnd]])/Inventory[[#This Row],[24Lnd]]</f>
        <v>-0.36106489184692181</v>
      </c>
      <c r="BU2053" s="36">
        <f>(Inventory[[#This Row],[Adjusted Total]]-Inventory[[#This Row],[24Final]])/Inventory[[#This Row],[24Final]]</f>
        <v>3.7395659432387311E-2</v>
      </c>
    </row>
    <row r="2054" spans="1:73" x14ac:dyDescent="0.3">
      <c r="A2054" s="25">
        <v>2025</v>
      </c>
      <c r="B2054" s="26" t="s">
        <v>1155</v>
      </c>
      <c r="C2054" s="26">
        <f>LN(Inventory[[#This Row],[Acres]])</f>
        <v>-1.5141277326297755</v>
      </c>
      <c r="D2054" s="25">
        <v>0.22</v>
      </c>
      <c r="E2054" s="25">
        <v>9750</v>
      </c>
      <c r="F2054" s="26" t="s">
        <v>537</v>
      </c>
      <c r="G2054" s="26" t="s">
        <v>126</v>
      </c>
      <c r="H2054" s="26" t="s">
        <v>349</v>
      </c>
      <c r="I2054" s="26" t="s">
        <v>538</v>
      </c>
      <c r="J2054" s="26" t="s">
        <v>539</v>
      </c>
      <c r="K2054" s="26" t="s">
        <v>269</v>
      </c>
      <c r="L2054" s="26" t="s">
        <v>302</v>
      </c>
      <c r="M2054" s="26" t="s">
        <v>303</v>
      </c>
      <c r="N2054" s="26">
        <v>100</v>
      </c>
      <c r="O2054" s="26">
        <f>2024-Inventory[[#This Row],[YrBlt]]</f>
        <v>99</v>
      </c>
      <c r="P2054" s="26">
        <f>2024-Inventory[[#This Row],[EffYr]]</f>
        <v>56</v>
      </c>
      <c r="Q2054" s="25">
        <v>1925</v>
      </c>
      <c r="R2054" s="25">
        <v>1968</v>
      </c>
      <c r="S2054" s="25">
        <v>1317</v>
      </c>
      <c r="T2054" s="27"/>
      <c r="U2054" s="25">
        <v>990</v>
      </c>
      <c r="V2054" s="25">
        <f>Inventory[[#This Row],[Bsmt]]-Inventory[[#This Row],[FnBsmt]]</f>
        <v>0</v>
      </c>
      <c r="W2054" s="25">
        <v>990</v>
      </c>
      <c r="X2054" s="27"/>
      <c r="Y2054" s="27">
        <f>Inventory[[#This Row],[MainFn]]+Inventory[[#This Row],[UpprFn]]+Inventory[[#This Row],[FnBsmt]]+Inventory[[#This Row],[AddFn]]</f>
        <v>2307</v>
      </c>
      <c r="Z2054" s="27">
        <v>2500</v>
      </c>
      <c r="AA2054" s="25">
        <v>6</v>
      </c>
      <c r="AB2054" s="27"/>
      <c r="AC2054" s="27"/>
      <c r="AD2054" s="27"/>
      <c r="AE2054" s="27"/>
      <c r="AF2054" s="27"/>
      <c r="AG2054" s="27"/>
      <c r="AH2054" s="27"/>
      <c r="AI2054" s="25">
        <v>354283</v>
      </c>
      <c r="AJ2054" s="25">
        <v>233827</v>
      </c>
      <c r="AK2054" s="25">
        <v>11609</v>
      </c>
      <c r="AL2054" s="25">
        <v>369600</v>
      </c>
      <c r="AM2054" s="25">
        <v>61700</v>
      </c>
      <c r="AN2054" s="25">
        <v>307900</v>
      </c>
      <c r="AO2054" s="25">
        <v>0</v>
      </c>
      <c r="AP2054" s="25">
        <f>Lookups!$B$56*0</f>
        <v>0</v>
      </c>
      <c r="AQ2054" s="25">
        <f>Lookups!$B$56*1</f>
        <v>89850.625589999996</v>
      </c>
      <c r="AR2054" s="25">
        <f>Lookups!$B$57*Inventory[[#This Row],[LnAcres]]</f>
        <v>-47929.131559187132</v>
      </c>
      <c r="AS2054" s="25">
        <f>VLOOKUP(Inventory[[#This Row],[Qlty]],Lookups!$A$62:$E$75,2,FALSE)</f>
        <v>29814.093161000001</v>
      </c>
      <c r="AT2054" s="25">
        <f>VLOOKUP(Inventory[[#This Row],[Cnd]],Lookups!$A$76:$E$84,2,FALSE)</f>
        <v>197752.34721000001</v>
      </c>
      <c r="AU2054" s="25">
        <f>Inventory[[#This Row],[EffAge]]*Lookups!$B$85</f>
        <v>-12490.553628</v>
      </c>
      <c r="AV2054" s="25">
        <f>Inventory[[#This Row],[MainFn]]*Lookups!$B$86</f>
        <v>65071.218228008998</v>
      </c>
      <c r="AW2054" s="25">
        <f>Inventory[[#This Row],[UpprFn]]*Lookups!$B$87</f>
        <v>0</v>
      </c>
      <c r="AX2054" s="25">
        <f>Inventory[[#This Row],[AddFn]]*Lookups!$B$88</f>
        <v>0</v>
      </c>
      <c r="AY2054" s="25">
        <f>Inventory[[#This Row],[Bsmt]]*Lookups!$B$89</f>
        <v>28791.076294529998</v>
      </c>
      <c r="AZ2054" s="25">
        <f>Inventory[[#This Row],[Fixtures]]*Lookups!$B$90</f>
        <v>22752.132631200002</v>
      </c>
      <c r="BA2054" s="25">
        <f>Inventory[[#This Row],[WdDeck]]*Lookups!$B$91</f>
        <v>0</v>
      </c>
      <c r="BB2054" s="25">
        <f>ROUND(Inventory[[#This Row],[25Det]],-2)</f>
        <v>11600</v>
      </c>
      <c r="BC2054" s="25">
        <f>ROUND(SUM(Inventory[[#This Row],[Mdl Qlty]:[Mdl WdDeck]])+Inventory[[#This Row],[Mdl Res Intercept]],-2)</f>
        <v>331700</v>
      </c>
      <c r="BD2054" s="25">
        <f>ROUND(Inventory[[#This Row],[Mdl Land Intercept]]+Inventory[[#This Row],[Mdl LnAcres]],-2)</f>
        <v>41900</v>
      </c>
      <c r="BE2054" s="25">
        <f>Inventory[[#This Row],[Unadj Res Value]]+Inventory[[#This Row],[Unadj Det Value]]+Inventory[[#This Row],[Unadj Land Value]]</f>
        <v>385200</v>
      </c>
      <c r="BF2054" s="36">
        <f>(Inventory[[#This Row],[Unadj Total Value]]-Inventory[[#This Row],[24Final]])/Inventory[[#This Row],[24Final]]</f>
        <v>4.2207792207792208E-2</v>
      </c>
      <c r="BG2054" s="25">
        <f>VLOOKUP(Inventory[[#This Row],[Nbhd]],Lookups!$Q$2:$T$4,4,FALSE)</f>
        <v>0.99970000000000003</v>
      </c>
      <c r="BH2054" s="25">
        <f>VLOOKUP(Inventory[[#This Row],[Qlty]],Lookups!$O$7:$R$21,4,FALSE)</f>
        <v>1.0088999999999999</v>
      </c>
      <c r="BI2054" s="25">
        <f>VLOOKUP(Inventory[[#This Row],[Cnd]],Lookups!$T$7:$W$16,4,FALSE)</f>
        <v>0.99650000000000005</v>
      </c>
      <c r="BJ2054" s="25">
        <f>VLOOKUP(Inventory[[#This Row],[LivArea Range]],Lookups!$T$25:$W$37,4,FALSE)</f>
        <v>0.98919999999999997</v>
      </c>
      <c r="BK2054" s="25">
        <f>VLOOKUP(Inventory[[#This Row],[Decade]],Lookups!$O$25:$R$42,4,FALSE)</f>
        <v>1.0074000000000001</v>
      </c>
      <c r="BL2054" s="25">
        <f>Inventory[[#This Row],[Nbhd Adj]]*0.95</f>
        <v>0.94971499999999998</v>
      </c>
      <c r="BM2054" s="25">
        <f>Inventory[[#This Row],[Nbhd Adj]]*Inventory[[#This Row],[Quality Adj]]*Inventory[[#This Row],[Condition Adj]]*Inventory[[#This Row],[Living Area Adj]]*Inventory[[#This Row],[Decade Adj]]*0.95</f>
        <v>0.95149120146958555</v>
      </c>
      <c r="BN2054" s="25">
        <f>ROUND(SUM(Inventory[[#This Row],[Mdl Qlty]:[Mdl WdDeck]])+Inventory[[#This Row],[Mdl Res Intercept]]*Inventory[[#This Row],[Res Adj ]],-2)</f>
        <v>331700</v>
      </c>
      <c r="BO2054" s="25">
        <f>ROUND(Inventory[[#This Row],[25Det]]*Inventory[[#This Row],[Det/Nbhd Adj]],-2)</f>
        <v>11000</v>
      </c>
      <c r="BP2054" s="25">
        <f>Inventory[[#This Row],[Adjusted Res]]+Inventory[[#This Row],[Adj Det ]]</f>
        <v>342700</v>
      </c>
      <c r="BQ2054" s="25">
        <f>ROUND((Inventory[[#This Row],[Mdl Land Intercept]]+Inventory[[#This Row],[Mdl LnAcres]])*Inventory[[#This Row],[Det/Nbhd Adj]],-2)</f>
        <v>39800</v>
      </c>
      <c r="BR2054" s="25">
        <f>Inventory[[#This Row],[Adjusted Impr Total]]+Inventory[[#This Row],[Adjusted Land Total]]</f>
        <v>382500</v>
      </c>
      <c r="BS2054" s="36">
        <f>IFERROR((Inventory[[#This Row],[Adjusted Impr Total]]-Inventory[[#This Row],[24Bldg]])/Inventory[[#This Row],[24Bldg]],0)</f>
        <v>0.11302370899642741</v>
      </c>
      <c r="BT2054" s="36">
        <f>(Inventory[[#This Row],[Adjusted Land Total]]-Inventory[[#This Row],[24Lnd]])/Inventory[[#This Row],[24Lnd]]</f>
        <v>-0.35494327390599678</v>
      </c>
      <c r="BU2054" s="36">
        <f>(Inventory[[#This Row],[Adjusted Total]]-Inventory[[#This Row],[24Final]])/Inventory[[#This Row],[24Final]]</f>
        <v>3.49025974025974E-2</v>
      </c>
    </row>
    <row r="2055" spans="1:73" x14ac:dyDescent="0.3">
      <c r="A2055" s="25">
        <v>2025</v>
      </c>
      <c r="B2055" s="26" t="s">
        <v>1253</v>
      </c>
      <c r="C2055" s="26">
        <f>LN(Inventory[[#This Row],[Acres]])</f>
        <v>-1.8325814637483102</v>
      </c>
      <c r="D2055" s="25">
        <v>0.16</v>
      </c>
      <c r="E2055" s="32">
        <v>7140</v>
      </c>
      <c r="F2055" s="26" t="s">
        <v>537</v>
      </c>
      <c r="G2055" s="26" t="s">
        <v>126</v>
      </c>
      <c r="H2055" s="26" t="s">
        <v>349</v>
      </c>
      <c r="I2055" s="26" t="s">
        <v>538</v>
      </c>
      <c r="J2055" s="26" t="s">
        <v>539</v>
      </c>
      <c r="K2055" s="26" t="s">
        <v>242</v>
      </c>
      <c r="L2055" s="26" t="s">
        <v>351</v>
      </c>
      <c r="M2055" s="26" t="s">
        <v>323</v>
      </c>
      <c r="N2055" s="26">
        <v>100</v>
      </c>
      <c r="O2055" s="26">
        <f>2024-Inventory[[#This Row],[YrBlt]]</f>
        <v>99</v>
      </c>
      <c r="P2055" s="26">
        <f>2024-Inventory[[#This Row],[EffYr]]</f>
        <v>56</v>
      </c>
      <c r="Q2055" s="25">
        <v>1925</v>
      </c>
      <c r="R2055" s="25">
        <v>1968</v>
      </c>
      <c r="S2055" s="25">
        <v>1020</v>
      </c>
      <c r="T2055" s="27"/>
      <c r="U2055" s="25">
        <v>1020</v>
      </c>
      <c r="V2055" s="32">
        <f>Inventory[[#This Row],[Bsmt]]-Inventory[[#This Row],[FnBsmt]]</f>
        <v>50</v>
      </c>
      <c r="W2055" s="32">
        <v>970</v>
      </c>
      <c r="X2055" s="27"/>
      <c r="Y2055" s="27">
        <f>Inventory[[#This Row],[MainFn]]+Inventory[[#This Row],[UpprFn]]+Inventory[[#This Row],[FnBsmt]]+Inventory[[#This Row],[AddFn]]</f>
        <v>1990</v>
      </c>
      <c r="Z2055" s="27">
        <v>2000</v>
      </c>
      <c r="AA2055" s="25">
        <v>5</v>
      </c>
      <c r="AB2055" s="27"/>
      <c r="AC2055" s="27"/>
      <c r="AD2055" s="32">
        <v>80</v>
      </c>
      <c r="AE2055" s="27"/>
      <c r="AF2055" s="27"/>
      <c r="AG2055" s="27"/>
      <c r="AH2055" s="27"/>
      <c r="AI2055" s="25">
        <v>253475</v>
      </c>
      <c r="AJ2055" s="25">
        <v>162224</v>
      </c>
      <c r="AK2055" s="25">
        <v>0</v>
      </c>
      <c r="AL2055" s="25">
        <v>291900</v>
      </c>
      <c r="AM2055" s="25">
        <v>50600</v>
      </c>
      <c r="AN2055" s="25">
        <v>241300</v>
      </c>
      <c r="AO2055" s="25">
        <v>0</v>
      </c>
      <c r="AP2055" s="25">
        <f>Lookups!$B$56*0</f>
        <v>0</v>
      </c>
      <c r="AQ2055" s="25">
        <f>Lookups!$B$56*1</f>
        <v>89850.625589999996</v>
      </c>
      <c r="AR2055" s="25">
        <f>Lookups!$B$57*Inventory[[#This Row],[LnAcres]]</f>
        <v>-58009.662049032086</v>
      </c>
      <c r="AS2055" s="25">
        <f>VLOOKUP(Inventory[[#This Row],[Qlty]],Lookups!$A$62:$E$75,2,FALSE)</f>
        <v>21557.329055999999</v>
      </c>
      <c r="AT2055" s="25">
        <f>VLOOKUP(Inventory[[#This Row],[Cnd]],Lookups!$A$76:$E$84,2,FALSE)</f>
        <v>160472.20319</v>
      </c>
      <c r="AU2055" s="25">
        <f>Inventory[[#This Row],[EffAge]]*Lookups!$B$85</f>
        <v>-12490.553628</v>
      </c>
      <c r="AV2055" s="25">
        <f>Inventory[[#This Row],[MainFn]]*Lookups!$B$86</f>
        <v>50396.843274539999</v>
      </c>
      <c r="AW2055" s="25">
        <f>Inventory[[#This Row],[UpprFn]]*Lookups!$B$87</f>
        <v>0</v>
      </c>
      <c r="AX2055" s="25">
        <f>Inventory[[#This Row],[AddFn]]*Lookups!$B$88</f>
        <v>0</v>
      </c>
      <c r="AY2055" s="25">
        <f>Inventory[[#This Row],[Bsmt]]*Lookups!$B$89</f>
        <v>29663.533151939999</v>
      </c>
      <c r="AZ2055" s="25">
        <f>Inventory[[#This Row],[Fixtures]]*Lookups!$B$90</f>
        <v>18960.110526</v>
      </c>
      <c r="BA2055" s="25">
        <f>Inventory[[#This Row],[WdDeck]]*Lookups!$B$91</f>
        <v>2663.6412220800003</v>
      </c>
      <c r="BB2055" s="25">
        <f>ROUND(Inventory[[#This Row],[25Det]],-2)</f>
        <v>0</v>
      </c>
      <c r="BC2055" s="25">
        <f>ROUND(SUM(Inventory[[#This Row],[Mdl Qlty]:[Mdl WdDeck]])+Inventory[[#This Row],[Mdl Res Intercept]],-2)</f>
        <v>271200</v>
      </c>
      <c r="BD2055" s="25">
        <f>ROUND(Inventory[[#This Row],[Mdl Land Intercept]]+Inventory[[#This Row],[Mdl LnAcres]],-2)</f>
        <v>31800</v>
      </c>
      <c r="BE2055" s="25">
        <f>Inventory[[#This Row],[Unadj Res Value]]+Inventory[[#This Row],[Unadj Det Value]]+Inventory[[#This Row],[Unadj Land Value]]</f>
        <v>303000</v>
      </c>
      <c r="BF2055" s="36">
        <f>(Inventory[[#This Row],[Unadj Total Value]]-Inventory[[#This Row],[24Final]])/Inventory[[#This Row],[24Final]]</f>
        <v>3.8026721479958892E-2</v>
      </c>
      <c r="BG2055" s="25">
        <f>VLOOKUP(Inventory[[#This Row],[Nbhd]],Lookups!$Q$2:$T$4,4,FALSE)</f>
        <v>0.99970000000000003</v>
      </c>
      <c r="BH2055" s="25">
        <f>VLOOKUP(Inventory[[#This Row],[Qlty]],Lookups!$O$7:$R$21,4,FALSE)</f>
        <v>1.0067999999999999</v>
      </c>
      <c r="BI2055" s="25">
        <f>VLOOKUP(Inventory[[#This Row],[Cnd]],Lookups!$T$7:$W$16,4,FALSE)</f>
        <v>0.99729999999999996</v>
      </c>
      <c r="BJ2055" s="25">
        <f>VLOOKUP(Inventory[[#This Row],[LivArea Range]],Lookups!$T$25:$W$37,4,FALSE)</f>
        <v>1.0093000000000001</v>
      </c>
      <c r="BK2055" s="25">
        <f>VLOOKUP(Inventory[[#This Row],[Decade]],Lookups!$O$25:$R$42,4,FALSE)</f>
        <v>1.0074000000000001</v>
      </c>
      <c r="BL2055" s="25">
        <f>Inventory[[#This Row],[Nbhd Adj]]*0.95</f>
        <v>0.94971499999999998</v>
      </c>
      <c r="BM2055" s="25">
        <f>Inventory[[#This Row],[Nbhd Adj]]*Inventory[[#This Row],[Quality Adj]]*Inventory[[#This Row],[Condition Adj]]*Inventory[[#This Row],[Living Area Adj]]*Inventory[[#This Row],[Decade Adj]]*0.95</f>
        <v>0.96958199718441984</v>
      </c>
      <c r="BN2055" s="25">
        <f>ROUND(SUM(Inventory[[#This Row],[Mdl Qlty]:[Mdl WdDeck]])+Inventory[[#This Row],[Mdl Res Intercept]]*Inventory[[#This Row],[Res Adj ]],-2)</f>
        <v>271200</v>
      </c>
      <c r="BO2055" s="25">
        <f>ROUND(Inventory[[#This Row],[25Det]]*Inventory[[#This Row],[Det/Nbhd Adj]],-2)</f>
        <v>0</v>
      </c>
      <c r="BP2055" s="25">
        <f>Inventory[[#This Row],[Adjusted Res]]+Inventory[[#This Row],[Adj Det ]]</f>
        <v>271200</v>
      </c>
      <c r="BQ2055" s="25">
        <f>ROUND((Inventory[[#This Row],[Mdl Land Intercept]]+Inventory[[#This Row],[Mdl LnAcres]])*Inventory[[#This Row],[Det/Nbhd Adj]],-2)</f>
        <v>30200</v>
      </c>
      <c r="BR2055" s="25">
        <f>Inventory[[#This Row],[Adjusted Impr Total]]+Inventory[[#This Row],[Adjusted Land Total]]</f>
        <v>301400</v>
      </c>
      <c r="BS2055" s="36">
        <f>IFERROR((Inventory[[#This Row],[Adjusted Impr Total]]-Inventory[[#This Row],[24Bldg]])/Inventory[[#This Row],[24Bldg]],0)</f>
        <v>0.12391214256112723</v>
      </c>
      <c r="BT2055" s="36">
        <f>(Inventory[[#This Row],[Adjusted Land Total]]-Inventory[[#This Row],[24Lnd]])/Inventory[[#This Row],[24Lnd]]</f>
        <v>-0.40316205533596838</v>
      </c>
      <c r="BU2055" s="36">
        <f>(Inventory[[#This Row],[Adjusted Total]]-Inventory[[#This Row],[24Final]])/Inventory[[#This Row],[24Final]]</f>
        <v>3.2545392257622471E-2</v>
      </c>
    </row>
    <row r="2056" spans="1:73" x14ac:dyDescent="0.3">
      <c r="A2056" s="25">
        <v>2025</v>
      </c>
      <c r="B2056" s="26" t="s">
        <v>2211</v>
      </c>
      <c r="C2056" s="26">
        <f>LN(Inventory[[#This Row],[Acres]])</f>
        <v>-1.2729656758128873</v>
      </c>
      <c r="D2056" s="25">
        <v>0.28000000000000003</v>
      </c>
      <c r="E2056" s="27"/>
      <c r="F2056" s="26" t="s">
        <v>537</v>
      </c>
      <c r="G2056" s="26" t="s">
        <v>126</v>
      </c>
      <c r="H2056" s="26" t="s">
        <v>349</v>
      </c>
      <c r="I2056" s="26" t="s">
        <v>538</v>
      </c>
      <c r="J2056" s="26" t="s">
        <v>539</v>
      </c>
      <c r="K2056" s="26" t="s">
        <v>269</v>
      </c>
      <c r="L2056" s="26" t="s">
        <v>351</v>
      </c>
      <c r="M2056" s="26" t="s">
        <v>303</v>
      </c>
      <c r="N2056" s="26">
        <v>100</v>
      </c>
      <c r="O2056" s="26">
        <f>2024-Inventory[[#This Row],[YrBlt]]</f>
        <v>99</v>
      </c>
      <c r="P2056" s="26">
        <f>2024-Inventory[[#This Row],[EffYr]]</f>
        <v>56</v>
      </c>
      <c r="Q2056" s="25">
        <v>1925</v>
      </c>
      <c r="R2056" s="25">
        <v>1968</v>
      </c>
      <c r="S2056" s="25">
        <v>1426</v>
      </c>
      <c r="T2056" s="27"/>
      <c r="U2056" s="25">
        <v>1260</v>
      </c>
      <c r="V2056" s="25">
        <f>Inventory[[#This Row],[Bsmt]]-Inventory[[#This Row],[FnBsmt]]</f>
        <v>0</v>
      </c>
      <c r="W2056" s="25">
        <v>1260</v>
      </c>
      <c r="X2056" s="27"/>
      <c r="Y2056" s="27">
        <f>Inventory[[#This Row],[MainFn]]+Inventory[[#This Row],[UpprFn]]+Inventory[[#This Row],[FnBsmt]]+Inventory[[#This Row],[AddFn]]</f>
        <v>2686</v>
      </c>
      <c r="Z2056" s="27">
        <v>3000</v>
      </c>
      <c r="AA2056" s="25">
        <v>8</v>
      </c>
      <c r="AB2056" s="27"/>
      <c r="AC2056" s="27"/>
      <c r="AD2056" s="27"/>
      <c r="AE2056" s="27"/>
      <c r="AF2056" s="27"/>
      <c r="AG2056" s="27"/>
      <c r="AH2056" s="27"/>
      <c r="AI2056" s="25">
        <v>342903</v>
      </c>
      <c r="AJ2056" s="25">
        <v>226316</v>
      </c>
      <c r="AK2056" s="25">
        <v>25197</v>
      </c>
      <c r="AL2056" s="25">
        <v>403100</v>
      </c>
      <c r="AM2056" s="25">
        <v>70100</v>
      </c>
      <c r="AN2056" s="25">
        <v>333000</v>
      </c>
      <c r="AO2056" s="25">
        <v>0</v>
      </c>
      <c r="AP2056" s="25">
        <f>Lookups!$B$56*0</f>
        <v>0</v>
      </c>
      <c r="AQ2056" s="25">
        <f>Lookups!$B$56*1</f>
        <v>89850.625589999996</v>
      </c>
      <c r="AR2056" s="25">
        <f>Lookups!$B$57*Inventory[[#This Row],[LnAcres]]</f>
        <v>-40295.239319339329</v>
      </c>
      <c r="AS2056" s="25">
        <f>VLOOKUP(Inventory[[#This Row],[Qlty]],Lookups!$A$62:$E$75,2,FALSE)</f>
        <v>21557.329055999999</v>
      </c>
      <c r="AT2056" s="25">
        <f>VLOOKUP(Inventory[[#This Row],[Cnd]],Lookups!$A$76:$E$84,2,FALSE)</f>
        <v>197752.34721000001</v>
      </c>
      <c r="AU2056" s="25">
        <f>Inventory[[#This Row],[EffAge]]*Lookups!$B$85</f>
        <v>-12490.553628</v>
      </c>
      <c r="AV2056" s="25">
        <f>Inventory[[#This Row],[MainFn]]*Lookups!$B$86</f>
        <v>70456.763244602</v>
      </c>
      <c r="AW2056" s="25">
        <f>Inventory[[#This Row],[UpprFn]]*Lookups!$B$87</f>
        <v>0</v>
      </c>
      <c r="AX2056" s="25">
        <f>Inventory[[#This Row],[AddFn]]*Lookups!$B$88</f>
        <v>0</v>
      </c>
      <c r="AY2056" s="25">
        <f>Inventory[[#This Row],[Bsmt]]*Lookups!$B$89</f>
        <v>36643.188011220001</v>
      </c>
      <c r="AZ2056" s="25">
        <f>Inventory[[#This Row],[Fixtures]]*Lookups!$B$90</f>
        <v>30336.176841600001</v>
      </c>
      <c r="BA2056" s="25">
        <f>Inventory[[#This Row],[WdDeck]]*Lookups!$B$91</f>
        <v>0</v>
      </c>
      <c r="BB2056" s="25">
        <f>ROUND(Inventory[[#This Row],[25Det]],-2)</f>
        <v>25200</v>
      </c>
      <c r="BC2056" s="25">
        <f>ROUND(SUM(Inventory[[#This Row],[Mdl Qlty]:[Mdl WdDeck]])+Inventory[[#This Row],[Mdl Res Intercept]],-2)</f>
        <v>344300</v>
      </c>
      <c r="BD2056" s="25">
        <f>ROUND(Inventory[[#This Row],[Mdl Land Intercept]]+Inventory[[#This Row],[Mdl LnAcres]],-2)</f>
        <v>49600</v>
      </c>
      <c r="BE2056" s="25">
        <f>Inventory[[#This Row],[Unadj Res Value]]+Inventory[[#This Row],[Unadj Det Value]]+Inventory[[#This Row],[Unadj Land Value]]</f>
        <v>419100</v>
      </c>
      <c r="BF2056" s="36">
        <f>(Inventory[[#This Row],[Unadj Total Value]]-Inventory[[#This Row],[24Final]])/Inventory[[#This Row],[24Final]]</f>
        <v>3.9692384023815433E-2</v>
      </c>
      <c r="BG2056" s="25">
        <f>VLOOKUP(Inventory[[#This Row],[Nbhd]],Lookups!$Q$2:$T$4,4,FALSE)</f>
        <v>0.99970000000000003</v>
      </c>
      <c r="BH2056" s="25">
        <f>VLOOKUP(Inventory[[#This Row],[Qlty]],Lookups!$O$7:$R$21,4,FALSE)</f>
        <v>1.0067999999999999</v>
      </c>
      <c r="BI2056" s="25">
        <f>VLOOKUP(Inventory[[#This Row],[Cnd]],Lookups!$T$7:$W$16,4,FALSE)</f>
        <v>0.99650000000000005</v>
      </c>
      <c r="BJ2056" s="25">
        <f>VLOOKUP(Inventory[[#This Row],[LivArea Range]],Lookups!$T$25:$W$37,4,FALSE)</f>
        <v>0.96179999999999999</v>
      </c>
      <c r="BK2056" s="25">
        <f>VLOOKUP(Inventory[[#This Row],[Decade]],Lookups!$O$25:$R$42,4,FALSE)</f>
        <v>1.0074000000000001</v>
      </c>
      <c r="BL2056" s="25">
        <f>Inventory[[#This Row],[Nbhd Adj]]*0.95</f>
        <v>0.94971499999999998</v>
      </c>
      <c r="BM2056" s="25">
        <f>Inventory[[#This Row],[Nbhd Adj]]*Inventory[[#This Row],[Quality Adj]]*Inventory[[#This Row],[Condition Adj]]*Inventory[[#This Row],[Living Area Adj]]*Inventory[[#This Row],[Decade Adj]]*0.95</f>
        <v>0.92321005644682153</v>
      </c>
      <c r="BN2056" s="25">
        <f>ROUND(SUM(Inventory[[#This Row],[Mdl Qlty]:[Mdl WdDeck]])+Inventory[[#This Row],[Mdl Res Intercept]]*Inventory[[#This Row],[Res Adj ]],-2)</f>
        <v>344300</v>
      </c>
      <c r="BO2056" s="25">
        <f>ROUND(Inventory[[#This Row],[25Det]]*Inventory[[#This Row],[Det/Nbhd Adj]],-2)</f>
        <v>23900</v>
      </c>
      <c r="BP2056" s="25">
        <f>Inventory[[#This Row],[Adjusted Res]]+Inventory[[#This Row],[Adj Det ]]</f>
        <v>368200</v>
      </c>
      <c r="BQ2056" s="25">
        <f>ROUND((Inventory[[#This Row],[Mdl Land Intercept]]+Inventory[[#This Row],[Mdl LnAcres]])*Inventory[[#This Row],[Det/Nbhd Adj]],-2)</f>
        <v>47100</v>
      </c>
      <c r="BR2056" s="25">
        <f>Inventory[[#This Row],[Adjusted Impr Total]]+Inventory[[#This Row],[Adjusted Land Total]]</f>
        <v>415300</v>
      </c>
      <c r="BS2056" s="36">
        <f>IFERROR((Inventory[[#This Row],[Adjusted Impr Total]]-Inventory[[#This Row],[24Bldg]])/Inventory[[#This Row],[24Bldg]],0)</f>
        <v>0.1057057057057057</v>
      </c>
      <c r="BT2056" s="36">
        <f>(Inventory[[#This Row],[Adjusted Land Total]]-Inventory[[#This Row],[24Lnd]])/Inventory[[#This Row],[24Lnd]]</f>
        <v>-0.32810271041369471</v>
      </c>
      <c r="BU2056" s="36">
        <f>(Inventory[[#This Row],[Adjusted Total]]-Inventory[[#This Row],[24Final]])/Inventory[[#This Row],[24Final]]</f>
        <v>3.0265442818159266E-2</v>
      </c>
    </row>
    <row r="2057" spans="1:73" x14ac:dyDescent="0.3">
      <c r="A2057" s="25">
        <v>2025</v>
      </c>
      <c r="B2057" s="26" t="s">
        <v>2207</v>
      </c>
      <c r="C2057" s="26">
        <f>LN(Inventory[[#This Row],[Acres]])</f>
        <v>-1.8325814637483102</v>
      </c>
      <c r="D2057" s="25">
        <v>0.16</v>
      </c>
      <c r="E2057" s="32">
        <v>6999</v>
      </c>
      <c r="F2057" s="26" t="s">
        <v>537</v>
      </c>
      <c r="G2057" s="26" t="s">
        <v>126</v>
      </c>
      <c r="H2057" s="26" t="s">
        <v>349</v>
      </c>
      <c r="I2057" s="26" t="s">
        <v>538</v>
      </c>
      <c r="J2057" s="26" t="s">
        <v>539</v>
      </c>
      <c r="K2057" s="26" t="s">
        <v>242</v>
      </c>
      <c r="L2057" s="26" t="s">
        <v>351</v>
      </c>
      <c r="M2057" s="26" t="s">
        <v>323</v>
      </c>
      <c r="N2057" s="26">
        <v>100</v>
      </c>
      <c r="O2057" s="26">
        <f>2024-Inventory[[#This Row],[YrBlt]]</f>
        <v>99</v>
      </c>
      <c r="P2057" s="26">
        <f>2024-Inventory[[#This Row],[EffYr]]</f>
        <v>52</v>
      </c>
      <c r="Q2057" s="25">
        <v>1925</v>
      </c>
      <c r="R2057" s="25">
        <v>1972</v>
      </c>
      <c r="S2057" s="25">
        <v>954</v>
      </c>
      <c r="T2057" s="27"/>
      <c r="U2057" s="25">
        <v>300</v>
      </c>
      <c r="V2057" s="25">
        <f>Inventory[[#This Row],[Bsmt]]-Inventory[[#This Row],[FnBsmt]]</f>
        <v>300</v>
      </c>
      <c r="W2057" s="31"/>
      <c r="X2057" s="27"/>
      <c r="Y2057" s="27">
        <f>Inventory[[#This Row],[MainFn]]+Inventory[[#This Row],[UpprFn]]+Inventory[[#This Row],[FnBsmt]]+Inventory[[#This Row],[AddFn]]</f>
        <v>954</v>
      </c>
      <c r="Z2057" s="27">
        <v>1000</v>
      </c>
      <c r="AA2057" s="25">
        <v>5</v>
      </c>
      <c r="AB2057" s="27"/>
      <c r="AC2057" s="27"/>
      <c r="AD2057" s="27"/>
      <c r="AE2057" s="27"/>
      <c r="AF2057" s="27"/>
      <c r="AG2057" s="27"/>
      <c r="AH2057" s="27"/>
      <c r="AI2057" s="25">
        <v>175421</v>
      </c>
      <c r="AJ2057" s="25">
        <v>119286</v>
      </c>
      <c r="AK2057" s="25">
        <v>0</v>
      </c>
      <c r="AL2057" s="25">
        <v>267500</v>
      </c>
      <c r="AM2057" s="25">
        <v>50600</v>
      </c>
      <c r="AN2057" s="25">
        <v>216900</v>
      </c>
      <c r="AO2057" s="25">
        <v>0</v>
      </c>
      <c r="AP2057" s="25">
        <f>Lookups!$B$56*0</f>
        <v>0</v>
      </c>
      <c r="AQ2057" s="25">
        <f>Lookups!$B$56*1</f>
        <v>89850.625589999996</v>
      </c>
      <c r="AR2057" s="25">
        <f>Lookups!$B$57*Inventory[[#This Row],[LnAcres]]</f>
        <v>-58009.662049032086</v>
      </c>
      <c r="AS2057" s="25">
        <f>VLOOKUP(Inventory[[#This Row],[Qlty]],Lookups!$A$62:$E$75,2,FALSE)</f>
        <v>21557.329055999999</v>
      </c>
      <c r="AT2057" s="25">
        <f>VLOOKUP(Inventory[[#This Row],[Cnd]],Lookups!$A$76:$E$84,2,FALSE)</f>
        <v>160472.20319</v>
      </c>
      <c r="AU2057" s="25">
        <f>Inventory[[#This Row],[EffAge]]*Lookups!$B$85</f>
        <v>-11598.371226000001</v>
      </c>
      <c r="AV2057" s="25">
        <f>Inventory[[#This Row],[MainFn]]*Lookups!$B$86</f>
        <v>47135.871062658</v>
      </c>
      <c r="AW2057" s="25">
        <f>Inventory[[#This Row],[UpprFn]]*Lookups!$B$87</f>
        <v>0</v>
      </c>
      <c r="AX2057" s="25">
        <f>Inventory[[#This Row],[AddFn]]*Lookups!$B$88</f>
        <v>0</v>
      </c>
      <c r="AY2057" s="25">
        <f>Inventory[[#This Row],[Bsmt]]*Lookups!$B$89</f>
        <v>8724.5685740999998</v>
      </c>
      <c r="AZ2057" s="25">
        <f>Inventory[[#This Row],[Fixtures]]*Lookups!$B$90</f>
        <v>18960.110526</v>
      </c>
      <c r="BA2057" s="25">
        <f>Inventory[[#This Row],[WdDeck]]*Lookups!$B$91</f>
        <v>0</v>
      </c>
      <c r="BB2057" s="25">
        <f>ROUND(Inventory[[#This Row],[25Det]],-2)</f>
        <v>0</v>
      </c>
      <c r="BC2057" s="25">
        <f>ROUND(SUM(Inventory[[#This Row],[Mdl Qlty]:[Mdl WdDeck]])+Inventory[[#This Row],[Mdl Res Intercept]],-2)</f>
        <v>245300</v>
      </c>
      <c r="BD2057" s="25">
        <f>ROUND(Inventory[[#This Row],[Mdl Land Intercept]]+Inventory[[#This Row],[Mdl LnAcres]],-2)</f>
        <v>31800</v>
      </c>
      <c r="BE2057" s="25">
        <f>Inventory[[#This Row],[Unadj Res Value]]+Inventory[[#This Row],[Unadj Det Value]]+Inventory[[#This Row],[Unadj Land Value]]</f>
        <v>277100</v>
      </c>
      <c r="BF2057" s="36">
        <f>(Inventory[[#This Row],[Unadj Total Value]]-Inventory[[#This Row],[24Final]])/Inventory[[#This Row],[24Final]]</f>
        <v>3.588785046728972E-2</v>
      </c>
      <c r="BG2057" s="25">
        <f>VLOOKUP(Inventory[[#This Row],[Nbhd]],Lookups!$Q$2:$T$4,4,FALSE)</f>
        <v>0.99970000000000003</v>
      </c>
      <c r="BH2057" s="25">
        <f>VLOOKUP(Inventory[[#This Row],[Qlty]],Lookups!$O$7:$R$21,4,FALSE)</f>
        <v>1.0067999999999999</v>
      </c>
      <c r="BI2057" s="25">
        <f>VLOOKUP(Inventory[[#This Row],[Cnd]],Lookups!$T$7:$W$16,4,FALSE)</f>
        <v>0.99729999999999996</v>
      </c>
      <c r="BJ2057" s="25">
        <f>VLOOKUP(Inventory[[#This Row],[LivArea Range]],Lookups!$T$25:$W$37,4,FALSE)</f>
        <v>1.0148999999999999</v>
      </c>
      <c r="BK2057" s="25">
        <f>VLOOKUP(Inventory[[#This Row],[Decade]],Lookups!$O$25:$R$42,4,FALSE)</f>
        <v>1.0074000000000001</v>
      </c>
      <c r="BL2057" s="25">
        <f>Inventory[[#This Row],[Nbhd Adj]]*0.95</f>
        <v>0.94971499999999998</v>
      </c>
      <c r="BM2057" s="25">
        <f>Inventory[[#This Row],[Nbhd Adj]]*Inventory[[#This Row],[Quality Adj]]*Inventory[[#This Row],[Condition Adj]]*Inventory[[#This Row],[Living Area Adj]]*Inventory[[#This Row],[Decade Adj]]*0.95</f>
        <v>0.97496162582232004</v>
      </c>
      <c r="BN2057" s="25">
        <f>ROUND(SUM(Inventory[[#This Row],[Mdl Qlty]:[Mdl WdDeck]])+Inventory[[#This Row],[Mdl Res Intercept]]*Inventory[[#This Row],[Res Adj ]],-2)</f>
        <v>245300</v>
      </c>
      <c r="BO2057" s="25">
        <f>ROUND(Inventory[[#This Row],[25Det]]*Inventory[[#This Row],[Det/Nbhd Adj]],-2)</f>
        <v>0</v>
      </c>
      <c r="BP2057" s="25">
        <f>Inventory[[#This Row],[Adjusted Res]]+Inventory[[#This Row],[Adj Det ]]</f>
        <v>245300</v>
      </c>
      <c r="BQ2057" s="25">
        <f>ROUND((Inventory[[#This Row],[Mdl Land Intercept]]+Inventory[[#This Row],[Mdl LnAcres]])*Inventory[[#This Row],[Det/Nbhd Adj]],-2)</f>
        <v>30200</v>
      </c>
      <c r="BR2057" s="25">
        <f>Inventory[[#This Row],[Adjusted Impr Total]]+Inventory[[#This Row],[Adjusted Land Total]]</f>
        <v>275500</v>
      </c>
      <c r="BS2057" s="36">
        <f>IFERROR((Inventory[[#This Row],[Adjusted Impr Total]]-Inventory[[#This Row],[24Bldg]])/Inventory[[#This Row],[24Bldg]],0)</f>
        <v>0.13093591516828032</v>
      </c>
      <c r="BT2057" s="36">
        <f>(Inventory[[#This Row],[Adjusted Land Total]]-Inventory[[#This Row],[24Lnd]])/Inventory[[#This Row],[24Lnd]]</f>
        <v>-0.40316205533596838</v>
      </c>
      <c r="BU2057" s="36">
        <f>(Inventory[[#This Row],[Adjusted Total]]-Inventory[[#This Row],[24Final]])/Inventory[[#This Row],[24Final]]</f>
        <v>2.9906542056074768E-2</v>
      </c>
    </row>
    <row r="2058" spans="1:73" x14ac:dyDescent="0.3">
      <c r="A2058" s="25">
        <v>2025</v>
      </c>
      <c r="B2058" s="26" t="s">
        <v>1116</v>
      </c>
      <c r="C2058" s="26">
        <f>LN(Inventory[[#This Row],[Acres]])</f>
        <v>-1.9661128563728327</v>
      </c>
      <c r="D2058" s="25">
        <v>0.14000000000000001</v>
      </c>
      <c r="E2058" s="27"/>
      <c r="F2058" s="26" t="s">
        <v>537</v>
      </c>
      <c r="G2058" s="26" t="s">
        <v>126</v>
      </c>
      <c r="H2058" s="26" t="s">
        <v>349</v>
      </c>
      <c r="I2058" s="26" t="s">
        <v>538</v>
      </c>
      <c r="J2058" s="26" t="s">
        <v>539</v>
      </c>
      <c r="K2058" s="26" t="s">
        <v>269</v>
      </c>
      <c r="L2058" s="26" t="s">
        <v>302</v>
      </c>
      <c r="M2058" s="26" t="s">
        <v>323</v>
      </c>
      <c r="N2058" s="26">
        <v>100</v>
      </c>
      <c r="O2058" s="26">
        <f>2024-Inventory[[#This Row],[YrBlt]]</f>
        <v>99</v>
      </c>
      <c r="P2058" s="26">
        <f>2024-Inventory[[#This Row],[EffYr]]</f>
        <v>56</v>
      </c>
      <c r="Q2058" s="25">
        <v>1925</v>
      </c>
      <c r="R2058" s="25">
        <v>1968</v>
      </c>
      <c r="S2058" s="25">
        <v>984</v>
      </c>
      <c r="T2058" s="27"/>
      <c r="U2058" s="32">
        <v>780</v>
      </c>
      <c r="V2058" s="32">
        <f>Inventory[[#This Row],[Bsmt]]-Inventory[[#This Row],[FnBsmt]]</f>
        <v>0</v>
      </c>
      <c r="W2058" s="32">
        <v>780</v>
      </c>
      <c r="X2058" s="27"/>
      <c r="Y2058" s="27">
        <f>Inventory[[#This Row],[MainFn]]+Inventory[[#This Row],[UpprFn]]+Inventory[[#This Row],[FnBsmt]]+Inventory[[#This Row],[AddFn]]</f>
        <v>1764</v>
      </c>
      <c r="Z2058" s="27">
        <v>2000</v>
      </c>
      <c r="AA2058" s="25">
        <v>8</v>
      </c>
      <c r="AB2058" s="27"/>
      <c r="AC2058" s="32">
        <v>204</v>
      </c>
      <c r="AD2058" s="27"/>
      <c r="AE2058" s="27"/>
      <c r="AF2058" s="27"/>
      <c r="AG2058" s="27"/>
      <c r="AH2058" s="27"/>
      <c r="AI2058" s="25">
        <v>284225</v>
      </c>
      <c r="AJ2058" s="25">
        <v>181904</v>
      </c>
      <c r="AK2058" s="25">
        <v>0</v>
      </c>
      <c r="AL2058" s="25">
        <v>296900</v>
      </c>
      <c r="AM2058" s="25">
        <v>46000</v>
      </c>
      <c r="AN2058" s="25">
        <v>250900</v>
      </c>
      <c r="AO2058" s="25">
        <v>0</v>
      </c>
      <c r="AP2058" s="25">
        <f>Lookups!$B$56*0</f>
        <v>0</v>
      </c>
      <c r="AQ2058" s="25">
        <f>Lookups!$B$56*1</f>
        <v>89850.625589999996</v>
      </c>
      <c r="AR2058" s="25">
        <f>Lookups!$B$57*Inventory[[#This Row],[LnAcres]]</f>
        <v>-62236.546971921947</v>
      </c>
      <c r="AS2058" s="25">
        <f>VLOOKUP(Inventory[[#This Row],[Qlty]],Lookups!$A$62:$E$75,2,FALSE)</f>
        <v>29814.093161000001</v>
      </c>
      <c r="AT2058" s="25">
        <f>VLOOKUP(Inventory[[#This Row],[Cnd]],Lookups!$A$76:$E$84,2,FALSE)</f>
        <v>160472.20319</v>
      </c>
      <c r="AU2058" s="25">
        <f>Inventory[[#This Row],[EffAge]]*Lookups!$B$85</f>
        <v>-12490.553628</v>
      </c>
      <c r="AV2058" s="25">
        <f>Inventory[[#This Row],[MainFn]]*Lookups!$B$86</f>
        <v>48618.131158968004</v>
      </c>
      <c r="AW2058" s="25">
        <f>Inventory[[#This Row],[UpprFn]]*Lookups!$B$87</f>
        <v>0</v>
      </c>
      <c r="AX2058" s="25">
        <f>Inventory[[#This Row],[AddFn]]*Lookups!$B$88</f>
        <v>0</v>
      </c>
      <c r="AY2058" s="25">
        <f>Inventory[[#This Row],[Bsmt]]*Lookups!$B$89</f>
        <v>22683.87829266</v>
      </c>
      <c r="AZ2058" s="25">
        <f>Inventory[[#This Row],[Fixtures]]*Lookups!$B$90</f>
        <v>30336.176841600001</v>
      </c>
      <c r="BA2058" s="25">
        <f>Inventory[[#This Row],[WdDeck]]*Lookups!$B$91</f>
        <v>0</v>
      </c>
      <c r="BB2058" s="25">
        <f>ROUND(Inventory[[#This Row],[25Det]],-2)</f>
        <v>0</v>
      </c>
      <c r="BC2058" s="25">
        <f>ROUND(SUM(Inventory[[#This Row],[Mdl Qlty]:[Mdl WdDeck]])+Inventory[[#This Row],[Mdl Res Intercept]],-2)</f>
        <v>279400</v>
      </c>
      <c r="BD2058" s="25">
        <f>ROUND(Inventory[[#This Row],[Mdl Land Intercept]]+Inventory[[#This Row],[Mdl LnAcres]],-2)</f>
        <v>27600</v>
      </c>
      <c r="BE2058" s="25">
        <f>Inventory[[#This Row],[Unadj Res Value]]+Inventory[[#This Row],[Unadj Det Value]]+Inventory[[#This Row],[Unadj Land Value]]</f>
        <v>307000</v>
      </c>
      <c r="BF2058" s="36">
        <f>(Inventory[[#This Row],[Unadj Total Value]]-Inventory[[#This Row],[24Final]])/Inventory[[#This Row],[24Final]]</f>
        <v>3.4018187942068033E-2</v>
      </c>
      <c r="BG2058" s="25">
        <f>VLOOKUP(Inventory[[#This Row],[Nbhd]],Lookups!$Q$2:$T$4,4,FALSE)</f>
        <v>0.99970000000000003</v>
      </c>
      <c r="BH2058" s="25">
        <f>VLOOKUP(Inventory[[#This Row],[Qlty]],Lookups!$O$7:$R$21,4,FALSE)</f>
        <v>1.0088999999999999</v>
      </c>
      <c r="BI2058" s="25">
        <f>VLOOKUP(Inventory[[#This Row],[Cnd]],Lookups!$T$7:$W$16,4,FALSE)</f>
        <v>0.99729999999999996</v>
      </c>
      <c r="BJ2058" s="25">
        <f>VLOOKUP(Inventory[[#This Row],[LivArea Range]],Lookups!$T$25:$W$37,4,FALSE)</f>
        <v>1.0093000000000001</v>
      </c>
      <c r="BK2058" s="25">
        <f>VLOOKUP(Inventory[[#This Row],[Decade]],Lookups!$O$25:$R$42,4,FALSE)</f>
        <v>1.0074000000000001</v>
      </c>
      <c r="BL2058" s="25">
        <f>Inventory[[#This Row],[Nbhd Adj]]*0.95</f>
        <v>0.94971499999999998</v>
      </c>
      <c r="BM2058" s="25">
        <f>Inventory[[#This Row],[Nbhd Adj]]*Inventory[[#This Row],[Quality Adj]]*Inventory[[#This Row],[Condition Adj]]*Inventory[[#This Row],[Living Area Adj]]*Inventory[[#This Row],[Decade Adj]]*0.95</f>
        <v>0.97160436726197974</v>
      </c>
      <c r="BN2058" s="25">
        <f>ROUND(SUM(Inventory[[#This Row],[Mdl Qlty]:[Mdl WdDeck]])+Inventory[[#This Row],[Mdl Res Intercept]]*Inventory[[#This Row],[Res Adj ]],-2)</f>
        <v>279400</v>
      </c>
      <c r="BO2058" s="25">
        <f>ROUND(Inventory[[#This Row],[25Det]]*Inventory[[#This Row],[Det/Nbhd Adj]],-2)</f>
        <v>0</v>
      </c>
      <c r="BP2058" s="25">
        <f>Inventory[[#This Row],[Adjusted Res]]+Inventory[[#This Row],[Adj Det ]]</f>
        <v>279400</v>
      </c>
      <c r="BQ2058" s="25">
        <f>ROUND((Inventory[[#This Row],[Mdl Land Intercept]]+Inventory[[#This Row],[Mdl LnAcres]])*Inventory[[#This Row],[Det/Nbhd Adj]],-2)</f>
        <v>26200</v>
      </c>
      <c r="BR2058" s="25">
        <f>Inventory[[#This Row],[Adjusted Impr Total]]+Inventory[[#This Row],[Adjusted Land Total]]</f>
        <v>305600</v>
      </c>
      <c r="BS2058" s="36">
        <f>IFERROR((Inventory[[#This Row],[Adjusted Impr Total]]-Inventory[[#This Row],[24Bldg]])/Inventory[[#This Row],[24Bldg]],0)</f>
        <v>0.11359107214029494</v>
      </c>
      <c r="BT2058" s="36">
        <f>(Inventory[[#This Row],[Adjusted Land Total]]-Inventory[[#This Row],[24Lnd]])/Inventory[[#This Row],[24Lnd]]</f>
        <v>-0.43043478260869567</v>
      </c>
      <c r="BU2058" s="36">
        <f>(Inventory[[#This Row],[Adjusted Total]]-Inventory[[#This Row],[24Final]])/Inventory[[#This Row],[24Final]]</f>
        <v>2.9302795554058604E-2</v>
      </c>
    </row>
    <row r="2059" spans="1:73" x14ac:dyDescent="0.3">
      <c r="A2059" s="25">
        <v>2025</v>
      </c>
      <c r="B2059" s="26" t="s">
        <v>2226</v>
      </c>
      <c r="C2059" s="26">
        <f>LN(Inventory[[#This Row],[Acres]])</f>
        <v>-2.0402208285265546</v>
      </c>
      <c r="D2059" s="25">
        <v>0.13</v>
      </c>
      <c r="E2059" s="25">
        <v>5747</v>
      </c>
      <c r="F2059" s="26" t="s">
        <v>537</v>
      </c>
      <c r="G2059" s="26" t="s">
        <v>126</v>
      </c>
      <c r="H2059" s="26" t="s">
        <v>349</v>
      </c>
      <c r="I2059" s="26" t="s">
        <v>538</v>
      </c>
      <c r="J2059" s="26" t="s">
        <v>539</v>
      </c>
      <c r="K2059" s="26" t="s">
        <v>147</v>
      </c>
      <c r="L2059" s="26" t="s">
        <v>302</v>
      </c>
      <c r="M2059" s="26" t="s">
        <v>323</v>
      </c>
      <c r="N2059" s="26">
        <v>100</v>
      </c>
      <c r="O2059" s="26">
        <f>2024-Inventory[[#This Row],[YrBlt]]</f>
        <v>99</v>
      </c>
      <c r="P2059" s="26">
        <f>2024-Inventory[[#This Row],[EffYr]]</f>
        <v>56</v>
      </c>
      <c r="Q2059" s="25">
        <v>1925</v>
      </c>
      <c r="R2059" s="25">
        <v>1968</v>
      </c>
      <c r="S2059" s="25">
        <v>908</v>
      </c>
      <c r="T2059" s="32">
        <v>700</v>
      </c>
      <c r="U2059" s="25">
        <v>650</v>
      </c>
      <c r="V2059" s="25">
        <f>Inventory[[#This Row],[Bsmt]]-Inventory[[#This Row],[FnBsmt]]</f>
        <v>0</v>
      </c>
      <c r="W2059" s="25">
        <v>650</v>
      </c>
      <c r="X2059" s="27"/>
      <c r="Y2059" s="27">
        <f>Inventory[[#This Row],[MainFn]]+Inventory[[#This Row],[UpprFn]]+Inventory[[#This Row],[FnBsmt]]+Inventory[[#This Row],[AddFn]]</f>
        <v>2258</v>
      </c>
      <c r="Z2059" s="27">
        <v>2500</v>
      </c>
      <c r="AA2059" s="25">
        <v>5</v>
      </c>
      <c r="AB2059" s="27"/>
      <c r="AC2059" s="27"/>
      <c r="AD2059" s="27"/>
      <c r="AE2059" s="27"/>
      <c r="AF2059" s="27"/>
      <c r="AG2059" s="27"/>
      <c r="AH2059" s="27"/>
      <c r="AI2059" s="25">
        <v>336824</v>
      </c>
      <c r="AJ2059" s="25">
        <v>215567</v>
      </c>
      <c r="AK2059" s="25">
        <v>11027</v>
      </c>
      <c r="AL2059" s="25">
        <v>317200</v>
      </c>
      <c r="AM2059" s="25">
        <v>43400</v>
      </c>
      <c r="AN2059" s="25">
        <v>273800</v>
      </c>
      <c r="AO2059" s="25">
        <v>0</v>
      </c>
      <c r="AP2059" s="25">
        <f>Lookups!$B$56*0</f>
        <v>0</v>
      </c>
      <c r="AQ2059" s="25">
        <f>Lookups!$B$56*1</f>
        <v>89850.625589999996</v>
      </c>
      <c r="AR2059" s="25">
        <f>Lookups!$B$57*Inventory[[#This Row],[LnAcres]]</f>
        <v>-64582.406353792743</v>
      </c>
      <c r="AS2059" s="25">
        <f>VLOOKUP(Inventory[[#This Row],[Qlty]],Lookups!$A$62:$E$75,2,FALSE)</f>
        <v>29814.093161000001</v>
      </c>
      <c r="AT2059" s="25">
        <f>VLOOKUP(Inventory[[#This Row],[Cnd]],Lookups!$A$76:$E$84,2,FALSE)</f>
        <v>160472.20319</v>
      </c>
      <c r="AU2059" s="25">
        <f>Inventory[[#This Row],[EffAge]]*Lookups!$B$85</f>
        <v>-12490.553628</v>
      </c>
      <c r="AV2059" s="25">
        <f>Inventory[[#This Row],[MainFn]]*Lookups!$B$86</f>
        <v>44863.072248315999</v>
      </c>
      <c r="AW2059" s="25">
        <f>Inventory[[#This Row],[UpprFn]]*Lookups!$B$87</f>
        <v>31350.496002699998</v>
      </c>
      <c r="AX2059" s="25">
        <f>Inventory[[#This Row],[AddFn]]*Lookups!$B$88</f>
        <v>0</v>
      </c>
      <c r="AY2059" s="25">
        <f>Inventory[[#This Row],[Bsmt]]*Lookups!$B$89</f>
        <v>18903.231910549999</v>
      </c>
      <c r="AZ2059" s="25">
        <f>Inventory[[#This Row],[Fixtures]]*Lookups!$B$90</f>
        <v>18960.110526</v>
      </c>
      <c r="BA2059" s="25">
        <f>Inventory[[#This Row],[WdDeck]]*Lookups!$B$91</f>
        <v>0</v>
      </c>
      <c r="BB2059" s="25">
        <f>ROUND(Inventory[[#This Row],[25Det]],-2)</f>
        <v>11000</v>
      </c>
      <c r="BC2059" s="25">
        <f>ROUND(SUM(Inventory[[#This Row],[Mdl Qlty]:[Mdl WdDeck]])+Inventory[[#This Row],[Mdl Res Intercept]],-2)</f>
        <v>291900</v>
      </c>
      <c r="BD2059" s="25">
        <f>ROUND(Inventory[[#This Row],[Mdl Land Intercept]]+Inventory[[#This Row],[Mdl LnAcres]],-2)</f>
        <v>25300</v>
      </c>
      <c r="BE2059" s="25">
        <f>Inventory[[#This Row],[Unadj Res Value]]+Inventory[[#This Row],[Unadj Det Value]]+Inventory[[#This Row],[Unadj Land Value]]</f>
        <v>328200</v>
      </c>
      <c r="BF2059" s="36">
        <f>(Inventory[[#This Row],[Unadj Total Value]]-Inventory[[#This Row],[24Final]])/Inventory[[#This Row],[24Final]]</f>
        <v>3.467843631778058E-2</v>
      </c>
      <c r="BG2059" s="25">
        <f>VLOOKUP(Inventory[[#This Row],[Nbhd]],Lookups!$Q$2:$T$4,4,FALSE)</f>
        <v>0.99970000000000003</v>
      </c>
      <c r="BH2059" s="25">
        <f>VLOOKUP(Inventory[[#This Row],[Qlty]],Lookups!$O$7:$R$21,4,FALSE)</f>
        <v>1.0088999999999999</v>
      </c>
      <c r="BI2059" s="25">
        <f>VLOOKUP(Inventory[[#This Row],[Cnd]],Lookups!$T$7:$W$16,4,FALSE)</f>
        <v>0.99729999999999996</v>
      </c>
      <c r="BJ2059" s="25">
        <f>VLOOKUP(Inventory[[#This Row],[LivArea Range]],Lookups!$T$25:$W$37,4,FALSE)</f>
        <v>0.98919999999999997</v>
      </c>
      <c r="BK2059" s="25">
        <f>VLOOKUP(Inventory[[#This Row],[Decade]],Lookups!$O$25:$R$42,4,FALSE)</f>
        <v>1.0074000000000001</v>
      </c>
      <c r="BL2059" s="25">
        <f>Inventory[[#This Row],[Nbhd Adj]]*0.95</f>
        <v>0.94971499999999998</v>
      </c>
      <c r="BM2059" s="25">
        <f>Inventory[[#This Row],[Nbhd Adj]]*Inventory[[#This Row],[Quality Adj]]*Inventory[[#This Row],[Condition Adj]]*Inventory[[#This Row],[Living Area Adj]]*Inventory[[#This Row],[Decade Adj]]*0.95</f>
        <v>0.95225506796349002</v>
      </c>
      <c r="BN2059" s="25">
        <f>ROUND(SUM(Inventory[[#This Row],[Mdl Qlty]:[Mdl WdDeck]])+Inventory[[#This Row],[Mdl Res Intercept]]*Inventory[[#This Row],[Res Adj ]],-2)</f>
        <v>291900</v>
      </c>
      <c r="BO2059" s="25">
        <f>ROUND(Inventory[[#This Row],[25Det]]*Inventory[[#This Row],[Det/Nbhd Adj]],-2)</f>
        <v>10500</v>
      </c>
      <c r="BP2059" s="25">
        <f>Inventory[[#This Row],[Adjusted Res]]+Inventory[[#This Row],[Adj Det ]]</f>
        <v>302400</v>
      </c>
      <c r="BQ2059" s="25">
        <f>ROUND((Inventory[[#This Row],[Mdl Land Intercept]]+Inventory[[#This Row],[Mdl LnAcres]])*Inventory[[#This Row],[Det/Nbhd Adj]],-2)</f>
        <v>24000</v>
      </c>
      <c r="BR2059" s="25">
        <f>Inventory[[#This Row],[Adjusted Impr Total]]+Inventory[[#This Row],[Adjusted Land Total]]</f>
        <v>326400</v>
      </c>
      <c r="BS2059" s="36">
        <f>IFERROR((Inventory[[#This Row],[Adjusted Impr Total]]-Inventory[[#This Row],[24Bldg]])/Inventory[[#This Row],[24Bldg]],0)</f>
        <v>0.10445580715850986</v>
      </c>
      <c r="BT2059" s="36">
        <f>(Inventory[[#This Row],[Adjusted Land Total]]-Inventory[[#This Row],[24Lnd]])/Inventory[[#This Row],[24Lnd]]</f>
        <v>-0.44700460829493088</v>
      </c>
      <c r="BU2059" s="36">
        <f>(Inventory[[#This Row],[Adjusted Total]]-Inventory[[#This Row],[24Final]])/Inventory[[#This Row],[24Final]]</f>
        <v>2.9003783102143757E-2</v>
      </c>
    </row>
    <row r="2060" spans="1:73" x14ac:dyDescent="0.3">
      <c r="A2060" s="25">
        <v>2025</v>
      </c>
      <c r="B2060" s="26" t="s">
        <v>2596</v>
      </c>
      <c r="C2060" s="26">
        <f>LN(Inventory[[#This Row],[Acres]])</f>
        <v>-1.8325814637483102</v>
      </c>
      <c r="D2060" s="25">
        <v>0.16</v>
      </c>
      <c r="E2060" s="25">
        <v>6860</v>
      </c>
      <c r="F2060" s="26" t="s">
        <v>537</v>
      </c>
      <c r="G2060" s="26" t="s">
        <v>126</v>
      </c>
      <c r="H2060" s="26" t="s">
        <v>349</v>
      </c>
      <c r="I2060" s="26" t="s">
        <v>538</v>
      </c>
      <c r="J2060" s="26" t="s">
        <v>539</v>
      </c>
      <c r="K2060" s="26" t="s">
        <v>269</v>
      </c>
      <c r="L2060" s="26" t="s">
        <v>302</v>
      </c>
      <c r="M2060" s="26" t="s">
        <v>323</v>
      </c>
      <c r="N2060" s="26">
        <v>100</v>
      </c>
      <c r="O2060" s="26">
        <f>2024-Inventory[[#This Row],[YrBlt]]</f>
        <v>99</v>
      </c>
      <c r="P2060" s="26">
        <f>2024-Inventory[[#This Row],[EffYr]]</f>
        <v>56</v>
      </c>
      <c r="Q2060" s="25">
        <v>1925</v>
      </c>
      <c r="R2060" s="25">
        <v>1968</v>
      </c>
      <c r="S2060" s="25">
        <v>1440</v>
      </c>
      <c r="T2060" s="27"/>
      <c r="U2060" s="25">
        <v>948</v>
      </c>
      <c r="V2060" s="25">
        <f>Inventory[[#This Row],[Bsmt]]-Inventory[[#This Row],[FnBsmt]]</f>
        <v>240</v>
      </c>
      <c r="W2060" s="25">
        <v>708</v>
      </c>
      <c r="X2060" s="27"/>
      <c r="Y2060" s="27">
        <f>Inventory[[#This Row],[MainFn]]+Inventory[[#This Row],[UpprFn]]+Inventory[[#This Row],[FnBsmt]]+Inventory[[#This Row],[AddFn]]</f>
        <v>2148</v>
      </c>
      <c r="Z2060" s="27">
        <v>2500</v>
      </c>
      <c r="AA2060" s="25">
        <v>9</v>
      </c>
      <c r="AB2060" s="31"/>
      <c r="AC2060" s="27"/>
      <c r="AD2060" s="27"/>
      <c r="AE2060" s="27"/>
      <c r="AF2060" s="27"/>
      <c r="AG2060" s="27"/>
      <c r="AH2060" s="27"/>
      <c r="AI2060" s="25">
        <v>358402</v>
      </c>
      <c r="AJ2060" s="25">
        <v>229377</v>
      </c>
      <c r="AK2060" s="25">
        <v>11952</v>
      </c>
      <c r="AL2060" s="25">
        <v>342300</v>
      </c>
      <c r="AM2060" s="25">
        <v>50600</v>
      </c>
      <c r="AN2060" s="25">
        <v>291700</v>
      </c>
      <c r="AO2060" s="25">
        <v>0</v>
      </c>
      <c r="AP2060" s="25">
        <f>Lookups!$B$56*0</f>
        <v>0</v>
      </c>
      <c r="AQ2060" s="25">
        <f>Lookups!$B$56*1</f>
        <v>89850.625589999996</v>
      </c>
      <c r="AR2060" s="25">
        <f>Lookups!$B$57*Inventory[[#This Row],[LnAcres]]</f>
        <v>-58009.662049032086</v>
      </c>
      <c r="AS2060" s="25">
        <f>VLOOKUP(Inventory[[#This Row],[Qlty]],Lookups!$A$62:$E$75,2,FALSE)</f>
        <v>29814.093161000001</v>
      </c>
      <c r="AT2060" s="25">
        <f>VLOOKUP(Inventory[[#This Row],[Cnd]],Lookups!$A$76:$E$84,2,FALSE)</f>
        <v>160472.20319</v>
      </c>
      <c r="AU2060" s="25">
        <f>Inventory[[#This Row],[EffAge]]*Lookups!$B$85</f>
        <v>-12490.553628</v>
      </c>
      <c r="AV2060" s="25">
        <f>Inventory[[#This Row],[MainFn]]*Lookups!$B$86</f>
        <v>71148.484622880002</v>
      </c>
      <c r="AW2060" s="25">
        <f>Inventory[[#This Row],[UpprFn]]*Lookups!$B$87</f>
        <v>0</v>
      </c>
      <c r="AX2060" s="25">
        <f>Inventory[[#This Row],[AddFn]]*Lookups!$B$88</f>
        <v>0</v>
      </c>
      <c r="AY2060" s="25">
        <f>Inventory[[#This Row],[Bsmt]]*Lookups!$B$89</f>
        <v>27569.636694155997</v>
      </c>
      <c r="AZ2060" s="25">
        <f>Inventory[[#This Row],[Fixtures]]*Lookups!$B$90</f>
        <v>34128.198946800003</v>
      </c>
      <c r="BA2060" s="25">
        <f>Inventory[[#This Row],[WdDeck]]*Lookups!$B$91</f>
        <v>0</v>
      </c>
      <c r="BB2060" s="25">
        <f>ROUND(Inventory[[#This Row],[25Det]],-2)</f>
        <v>12000</v>
      </c>
      <c r="BC2060" s="25">
        <f>ROUND(SUM(Inventory[[#This Row],[Mdl Qlty]:[Mdl WdDeck]])+Inventory[[#This Row],[Mdl Res Intercept]],-2)</f>
        <v>310600</v>
      </c>
      <c r="BD2060" s="25">
        <f>ROUND(Inventory[[#This Row],[Mdl Land Intercept]]+Inventory[[#This Row],[Mdl LnAcres]],-2)</f>
        <v>31800</v>
      </c>
      <c r="BE2060" s="25">
        <f>Inventory[[#This Row],[Unadj Res Value]]+Inventory[[#This Row],[Unadj Det Value]]+Inventory[[#This Row],[Unadj Land Value]]</f>
        <v>354400</v>
      </c>
      <c r="BF2060" s="36">
        <f>(Inventory[[#This Row],[Unadj Total Value]]-Inventory[[#This Row],[24Final]])/Inventory[[#This Row],[24Final]]</f>
        <v>3.5349108968740869E-2</v>
      </c>
      <c r="BG2060" s="25">
        <f>VLOOKUP(Inventory[[#This Row],[Nbhd]],Lookups!$Q$2:$T$4,4,FALSE)</f>
        <v>0.99970000000000003</v>
      </c>
      <c r="BH2060" s="25">
        <f>VLOOKUP(Inventory[[#This Row],[Qlty]],Lookups!$O$7:$R$21,4,FALSE)</f>
        <v>1.0088999999999999</v>
      </c>
      <c r="BI2060" s="25">
        <f>VLOOKUP(Inventory[[#This Row],[Cnd]],Lookups!$T$7:$W$16,4,FALSE)</f>
        <v>0.99729999999999996</v>
      </c>
      <c r="BJ2060" s="25">
        <f>VLOOKUP(Inventory[[#This Row],[LivArea Range]],Lookups!$T$25:$W$37,4,FALSE)</f>
        <v>0.98919999999999997</v>
      </c>
      <c r="BK2060" s="25">
        <f>VLOOKUP(Inventory[[#This Row],[Decade]],Lookups!$O$25:$R$42,4,FALSE)</f>
        <v>1.0074000000000001</v>
      </c>
      <c r="BL2060" s="25">
        <f>Inventory[[#This Row],[Nbhd Adj]]*0.95</f>
        <v>0.94971499999999998</v>
      </c>
      <c r="BM2060" s="25">
        <f>Inventory[[#This Row],[Nbhd Adj]]*Inventory[[#This Row],[Quality Adj]]*Inventory[[#This Row],[Condition Adj]]*Inventory[[#This Row],[Living Area Adj]]*Inventory[[#This Row],[Decade Adj]]*0.95</f>
        <v>0.95225506796349002</v>
      </c>
      <c r="BN2060" s="25">
        <f>ROUND(SUM(Inventory[[#This Row],[Mdl Qlty]:[Mdl WdDeck]])+Inventory[[#This Row],[Mdl Res Intercept]]*Inventory[[#This Row],[Res Adj ]],-2)</f>
        <v>310600</v>
      </c>
      <c r="BO2060" s="25">
        <f>ROUND(Inventory[[#This Row],[25Det]]*Inventory[[#This Row],[Det/Nbhd Adj]],-2)</f>
        <v>11400</v>
      </c>
      <c r="BP2060" s="25">
        <f>Inventory[[#This Row],[Adjusted Res]]+Inventory[[#This Row],[Adj Det ]]</f>
        <v>322000</v>
      </c>
      <c r="BQ2060" s="25">
        <f>ROUND((Inventory[[#This Row],[Mdl Land Intercept]]+Inventory[[#This Row],[Mdl LnAcres]])*Inventory[[#This Row],[Det/Nbhd Adj]],-2)</f>
        <v>30200</v>
      </c>
      <c r="BR2060" s="25">
        <f>Inventory[[#This Row],[Adjusted Impr Total]]+Inventory[[#This Row],[Adjusted Land Total]]</f>
        <v>352200</v>
      </c>
      <c r="BS2060" s="36">
        <f>IFERROR((Inventory[[#This Row],[Adjusted Impr Total]]-Inventory[[#This Row],[24Bldg]])/Inventory[[#This Row],[24Bldg]],0)</f>
        <v>0.10387384298937265</v>
      </c>
      <c r="BT2060" s="36">
        <f>(Inventory[[#This Row],[Adjusted Land Total]]-Inventory[[#This Row],[24Lnd]])/Inventory[[#This Row],[24Lnd]]</f>
        <v>-0.40316205533596838</v>
      </c>
      <c r="BU2060" s="36">
        <f>(Inventory[[#This Row],[Adjusted Total]]-Inventory[[#This Row],[24Final]])/Inventory[[#This Row],[24Final]]</f>
        <v>2.8921998247151623E-2</v>
      </c>
    </row>
    <row r="2061" spans="1:73" x14ac:dyDescent="0.3">
      <c r="A2061" s="25">
        <v>2025</v>
      </c>
      <c r="B2061" s="26" t="s">
        <v>1591</v>
      </c>
      <c r="C2061" s="26">
        <f>LN(Inventory[[#This Row],[Acres]])</f>
        <v>-1.8971199848858813</v>
      </c>
      <c r="D2061" s="25">
        <v>0.15</v>
      </c>
      <c r="E2061" s="27"/>
      <c r="F2061" s="26" t="s">
        <v>537</v>
      </c>
      <c r="G2061" s="26" t="s">
        <v>126</v>
      </c>
      <c r="H2061" s="26" t="s">
        <v>349</v>
      </c>
      <c r="I2061" s="26" t="s">
        <v>538</v>
      </c>
      <c r="J2061" s="26" t="s">
        <v>539</v>
      </c>
      <c r="K2061" s="26" t="s">
        <v>242</v>
      </c>
      <c r="L2061" s="26" t="s">
        <v>205</v>
      </c>
      <c r="M2061" s="26" t="s">
        <v>323</v>
      </c>
      <c r="N2061" s="26">
        <v>100</v>
      </c>
      <c r="O2061" s="26">
        <f>2024-Inventory[[#This Row],[YrBlt]]</f>
        <v>99</v>
      </c>
      <c r="P2061" s="26">
        <f>2024-Inventory[[#This Row],[EffYr]]</f>
        <v>56</v>
      </c>
      <c r="Q2061" s="25">
        <v>1925</v>
      </c>
      <c r="R2061" s="25">
        <v>1968</v>
      </c>
      <c r="S2061" s="25">
        <v>936</v>
      </c>
      <c r="T2061" s="27"/>
      <c r="U2061" s="25">
        <v>212</v>
      </c>
      <c r="V2061" s="25">
        <f>Inventory[[#This Row],[Bsmt]]-Inventory[[#This Row],[FnBsmt]]</f>
        <v>0</v>
      </c>
      <c r="W2061" s="25">
        <v>212</v>
      </c>
      <c r="X2061" s="27"/>
      <c r="Y2061" s="27">
        <f>Inventory[[#This Row],[MainFn]]+Inventory[[#This Row],[UpprFn]]+Inventory[[#This Row],[FnBsmt]]+Inventory[[#This Row],[AddFn]]</f>
        <v>1148</v>
      </c>
      <c r="Z2061" s="27">
        <v>1500</v>
      </c>
      <c r="AA2061" s="25">
        <v>5</v>
      </c>
      <c r="AB2061" s="27"/>
      <c r="AC2061" s="27"/>
      <c r="AD2061" s="27"/>
      <c r="AE2061" s="27"/>
      <c r="AF2061" s="27"/>
      <c r="AG2061" s="27"/>
      <c r="AH2061" s="27"/>
      <c r="AI2061" s="25">
        <v>166421</v>
      </c>
      <c r="AJ2061" s="25">
        <v>106509</v>
      </c>
      <c r="AK2061" s="25">
        <v>0</v>
      </c>
      <c r="AL2061" s="25">
        <v>241000</v>
      </c>
      <c r="AM2061" s="25">
        <v>48400</v>
      </c>
      <c r="AN2061" s="25">
        <v>192600</v>
      </c>
      <c r="AO2061" s="25">
        <v>0</v>
      </c>
      <c r="AP2061" s="25">
        <f>Lookups!$B$56*0</f>
        <v>0</v>
      </c>
      <c r="AQ2061" s="25">
        <f>Lookups!$B$56*1</f>
        <v>89850.625589999996</v>
      </c>
      <c r="AR2061" s="25">
        <f>Lookups!$B$57*Inventory[[#This Row],[LnAcres]]</f>
        <v>-60052.604136134301</v>
      </c>
      <c r="AS2061" s="25">
        <f>VLOOKUP(Inventory[[#This Row],[Qlty]],Lookups!$A$62:$E$75,2,FALSE)</f>
        <v>0</v>
      </c>
      <c r="AT2061" s="25">
        <f>VLOOKUP(Inventory[[#This Row],[Cnd]],Lookups!$A$76:$E$84,2,FALSE)</f>
        <v>160472.20319</v>
      </c>
      <c r="AU2061" s="25">
        <f>Inventory[[#This Row],[EffAge]]*Lookups!$B$85</f>
        <v>-12490.553628</v>
      </c>
      <c r="AV2061" s="25">
        <f>Inventory[[#This Row],[MainFn]]*Lookups!$B$86</f>
        <v>46246.515004872002</v>
      </c>
      <c r="AW2061" s="25">
        <f>Inventory[[#This Row],[UpprFn]]*Lookups!$B$87</f>
        <v>0</v>
      </c>
      <c r="AX2061" s="25">
        <f>Inventory[[#This Row],[AddFn]]*Lookups!$B$88</f>
        <v>0</v>
      </c>
      <c r="AY2061" s="25">
        <f>Inventory[[#This Row],[Bsmt]]*Lookups!$B$89</f>
        <v>6165.3617923639995</v>
      </c>
      <c r="AZ2061" s="25">
        <f>Inventory[[#This Row],[Fixtures]]*Lookups!$B$90</f>
        <v>18960.110526</v>
      </c>
      <c r="BA2061" s="25">
        <f>Inventory[[#This Row],[WdDeck]]*Lookups!$B$91</f>
        <v>0</v>
      </c>
      <c r="BB2061" s="25">
        <f>ROUND(Inventory[[#This Row],[25Det]],-2)</f>
        <v>0</v>
      </c>
      <c r="BC2061" s="25">
        <f>ROUND(SUM(Inventory[[#This Row],[Mdl Qlty]:[Mdl WdDeck]])+Inventory[[#This Row],[Mdl Res Intercept]],-2)</f>
        <v>219400</v>
      </c>
      <c r="BD2061" s="25">
        <f>ROUND(Inventory[[#This Row],[Mdl Land Intercept]]+Inventory[[#This Row],[Mdl LnAcres]],-2)</f>
        <v>29800</v>
      </c>
      <c r="BE2061" s="25">
        <f>Inventory[[#This Row],[Unadj Res Value]]+Inventory[[#This Row],[Unadj Det Value]]+Inventory[[#This Row],[Unadj Land Value]]</f>
        <v>249200</v>
      </c>
      <c r="BF2061" s="36">
        <f>(Inventory[[#This Row],[Unadj Total Value]]-Inventory[[#This Row],[24Final]])/Inventory[[#This Row],[24Final]]</f>
        <v>3.4024896265560163E-2</v>
      </c>
      <c r="BG2061" s="25">
        <f>VLOOKUP(Inventory[[#This Row],[Nbhd]],Lookups!$Q$2:$T$4,4,FALSE)</f>
        <v>0.99970000000000003</v>
      </c>
      <c r="BH2061" s="25">
        <f>VLOOKUP(Inventory[[#This Row],[Qlty]],Lookups!$O$7:$R$21,4,FALSE)</f>
        <v>0.99180000000000001</v>
      </c>
      <c r="BI2061" s="25">
        <f>VLOOKUP(Inventory[[#This Row],[Cnd]],Lookups!$T$7:$W$16,4,FALSE)</f>
        <v>0.99729999999999996</v>
      </c>
      <c r="BJ2061" s="25">
        <f>VLOOKUP(Inventory[[#This Row],[LivArea Range]],Lookups!$T$25:$W$37,4,FALSE)</f>
        <v>1.0157</v>
      </c>
      <c r="BK2061" s="25">
        <f>VLOOKUP(Inventory[[#This Row],[Decade]],Lookups!$O$25:$R$42,4,FALSE)</f>
        <v>1.0074000000000001</v>
      </c>
      <c r="BL2061" s="25">
        <f>Inventory[[#This Row],[Nbhd Adj]]*0.95</f>
        <v>0.94971499999999998</v>
      </c>
      <c r="BM2061" s="25">
        <f>Inventory[[#This Row],[Nbhd Adj]]*Inventory[[#This Row],[Quality Adj]]*Inventory[[#This Row],[Condition Adj]]*Inventory[[#This Row],[Living Area Adj]]*Inventory[[#This Row],[Decade Adj]]*0.95</f>
        <v>0.96119304431538555</v>
      </c>
      <c r="BN2061" s="25">
        <f>ROUND(SUM(Inventory[[#This Row],[Mdl Qlty]:[Mdl WdDeck]])+Inventory[[#This Row],[Mdl Res Intercept]]*Inventory[[#This Row],[Res Adj ]],-2)</f>
        <v>219400</v>
      </c>
      <c r="BO2061" s="25">
        <f>ROUND(Inventory[[#This Row],[25Det]]*Inventory[[#This Row],[Det/Nbhd Adj]],-2)</f>
        <v>0</v>
      </c>
      <c r="BP2061" s="25">
        <f>Inventory[[#This Row],[Adjusted Res]]+Inventory[[#This Row],[Adj Det ]]</f>
        <v>219400</v>
      </c>
      <c r="BQ2061" s="25">
        <f>ROUND((Inventory[[#This Row],[Mdl Land Intercept]]+Inventory[[#This Row],[Mdl LnAcres]])*Inventory[[#This Row],[Det/Nbhd Adj]],-2)</f>
        <v>28300</v>
      </c>
      <c r="BR2061" s="25">
        <f>Inventory[[#This Row],[Adjusted Impr Total]]+Inventory[[#This Row],[Adjusted Land Total]]</f>
        <v>247700</v>
      </c>
      <c r="BS2061" s="36">
        <f>IFERROR((Inventory[[#This Row],[Adjusted Impr Total]]-Inventory[[#This Row],[24Bldg]])/Inventory[[#This Row],[24Bldg]],0)</f>
        <v>0.1391484942886812</v>
      </c>
      <c r="BT2061" s="36">
        <f>(Inventory[[#This Row],[Adjusted Land Total]]-Inventory[[#This Row],[24Lnd]])/Inventory[[#This Row],[24Lnd]]</f>
        <v>-0.41528925619834711</v>
      </c>
      <c r="BU2061" s="36">
        <f>(Inventory[[#This Row],[Adjusted Total]]-Inventory[[#This Row],[24Final]])/Inventory[[#This Row],[24Final]]</f>
        <v>2.7800829875518671E-2</v>
      </c>
    </row>
    <row r="2062" spans="1:73" x14ac:dyDescent="0.3">
      <c r="A2062" s="25">
        <v>2025</v>
      </c>
      <c r="B2062" s="26" t="s">
        <v>874</v>
      </c>
      <c r="C2062" s="26">
        <f>LN(Inventory[[#This Row],[Acres]])</f>
        <v>-1.2378743560016174</v>
      </c>
      <c r="D2062" s="25">
        <v>0.28999999999999998</v>
      </c>
      <c r="E2062" s="25">
        <v>12670</v>
      </c>
      <c r="F2062" s="26" t="s">
        <v>537</v>
      </c>
      <c r="G2062" s="26" t="s">
        <v>126</v>
      </c>
      <c r="H2062" s="26" t="s">
        <v>349</v>
      </c>
      <c r="I2062" s="26" t="s">
        <v>538</v>
      </c>
      <c r="J2062" s="26" t="s">
        <v>539</v>
      </c>
      <c r="K2062" s="26" t="s">
        <v>173</v>
      </c>
      <c r="L2062" s="26" t="s">
        <v>351</v>
      </c>
      <c r="M2062" s="26" t="s">
        <v>323</v>
      </c>
      <c r="N2062" s="26">
        <v>100</v>
      </c>
      <c r="O2062" s="26">
        <f>2024-Inventory[[#This Row],[YrBlt]]</f>
        <v>99</v>
      </c>
      <c r="P2062" s="26">
        <f>2024-Inventory[[#This Row],[EffYr]]</f>
        <v>56</v>
      </c>
      <c r="Q2062" s="25">
        <v>1925</v>
      </c>
      <c r="R2062" s="25">
        <v>1968</v>
      </c>
      <c r="S2062" s="25">
        <v>956</v>
      </c>
      <c r="T2062" s="32">
        <v>484</v>
      </c>
      <c r="U2062" s="25">
        <v>949</v>
      </c>
      <c r="V2062" s="25">
        <f>Inventory[[#This Row],[Bsmt]]-Inventory[[#This Row],[FnBsmt]]</f>
        <v>0</v>
      </c>
      <c r="W2062" s="25">
        <v>949</v>
      </c>
      <c r="X2062" s="27"/>
      <c r="Y2062" s="27">
        <f>Inventory[[#This Row],[MainFn]]+Inventory[[#This Row],[UpprFn]]+Inventory[[#This Row],[FnBsmt]]+Inventory[[#This Row],[AddFn]]</f>
        <v>2389</v>
      </c>
      <c r="Z2062" s="27">
        <v>2500</v>
      </c>
      <c r="AA2062" s="25">
        <v>8</v>
      </c>
      <c r="AB2062" s="31"/>
      <c r="AC2062" s="27"/>
      <c r="AD2062" s="25">
        <v>324</v>
      </c>
      <c r="AE2062" s="27"/>
      <c r="AF2062" s="27"/>
      <c r="AG2062" s="27"/>
      <c r="AH2062" s="27"/>
      <c r="AI2062" s="25">
        <v>313426</v>
      </c>
      <c r="AJ2062" s="25">
        <v>200593</v>
      </c>
      <c r="AK2062" s="25">
        <v>11083</v>
      </c>
      <c r="AL2062" s="25">
        <v>356400</v>
      </c>
      <c r="AM2062" s="25">
        <v>71400</v>
      </c>
      <c r="AN2062" s="25">
        <v>285000</v>
      </c>
      <c r="AO2062" s="25">
        <v>0</v>
      </c>
      <c r="AP2062" s="25">
        <f>Lookups!$B$56*0</f>
        <v>0</v>
      </c>
      <c r="AQ2062" s="25">
        <f>Lookups!$B$56*1</f>
        <v>89850.625589999996</v>
      </c>
      <c r="AR2062" s="25">
        <f>Lookups!$B$57*Inventory[[#This Row],[LnAcres]]</f>
        <v>-39184.437074869042</v>
      </c>
      <c r="AS2062" s="25">
        <f>VLOOKUP(Inventory[[#This Row],[Qlty]],Lookups!$A$62:$E$75,2,FALSE)</f>
        <v>21557.329055999999</v>
      </c>
      <c r="AT2062" s="25">
        <f>VLOOKUP(Inventory[[#This Row],[Cnd]],Lookups!$A$76:$E$84,2,FALSE)</f>
        <v>160472.20319</v>
      </c>
      <c r="AU2062" s="25">
        <f>Inventory[[#This Row],[EffAge]]*Lookups!$B$85</f>
        <v>-12490.553628</v>
      </c>
      <c r="AV2062" s="25">
        <f>Inventory[[#This Row],[MainFn]]*Lookups!$B$86</f>
        <v>47234.688402412001</v>
      </c>
      <c r="AW2062" s="25">
        <f>Inventory[[#This Row],[UpprFn]]*Lookups!$B$87</f>
        <v>21676.628664723998</v>
      </c>
      <c r="AX2062" s="25">
        <f>Inventory[[#This Row],[AddFn]]*Lookups!$B$88</f>
        <v>0</v>
      </c>
      <c r="AY2062" s="25">
        <f>Inventory[[#This Row],[Bsmt]]*Lookups!$B$89</f>
        <v>27598.718589402997</v>
      </c>
      <c r="AZ2062" s="25">
        <f>Inventory[[#This Row],[Fixtures]]*Lookups!$B$90</f>
        <v>30336.176841600001</v>
      </c>
      <c r="BA2062" s="25">
        <f>Inventory[[#This Row],[WdDeck]]*Lookups!$B$91</f>
        <v>10787.746949424001</v>
      </c>
      <c r="BB2062" s="25">
        <f>ROUND(Inventory[[#This Row],[25Det]],-2)</f>
        <v>11100</v>
      </c>
      <c r="BC2062" s="25">
        <f>ROUND(SUM(Inventory[[#This Row],[Mdl Qlty]:[Mdl WdDeck]])+Inventory[[#This Row],[Mdl Res Intercept]],-2)</f>
        <v>307200</v>
      </c>
      <c r="BD2062" s="25">
        <f>ROUND(Inventory[[#This Row],[Mdl Land Intercept]]+Inventory[[#This Row],[Mdl LnAcres]],-2)</f>
        <v>50700</v>
      </c>
      <c r="BE2062" s="25">
        <f>Inventory[[#This Row],[Unadj Res Value]]+Inventory[[#This Row],[Unadj Det Value]]+Inventory[[#This Row],[Unadj Land Value]]</f>
        <v>369000</v>
      </c>
      <c r="BF2062" s="36">
        <f>(Inventory[[#This Row],[Unadj Total Value]]-Inventory[[#This Row],[24Final]])/Inventory[[#This Row],[24Final]]</f>
        <v>3.5353535353535352E-2</v>
      </c>
      <c r="BG2062" s="25">
        <f>VLOOKUP(Inventory[[#This Row],[Nbhd]],Lookups!$Q$2:$T$4,4,FALSE)</f>
        <v>0.99970000000000003</v>
      </c>
      <c r="BH2062" s="25">
        <f>VLOOKUP(Inventory[[#This Row],[Qlty]],Lookups!$O$7:$R$21,4,FALSE)</f>
        <v>1.0067999999999999</v>
      </c>
      <c r="BI2062" s="25">
        <f>VLOOKUP(Inventory[[#This Row],[Cnd]],Lookups!$T$7:$W$16,4,FALSE)</f>
        <v>0.99729999999999996</v>
      </c>
      <c r="BJ2062" s="25">
        <f>VLOOKUP(Inventory[[#This Row],[LivArea Range]],Lookups!$T$25:$W$37,4,FALSE)</f>
        <v>0.98919999999999997</v>
      </c>
      <c r="BK2062" s="25">
        <f>VLOOKUP(Inventory[[#This Row],[Decade]],Lookups!$O$25:$R$42,4,FALSE)</f>
        <v>1.0074000000000001</v>
      </c>
      <c r="BL2062" s="25">
        <f>Inventory[[#This Row],[Nbhd Adj]]*0.95</f>
        <v>0.94971499999999998</v>
      </c>
      <c r="BM2062" s="25">
        <f>Inventory[[#This Row],[Nbhd Adj]]*Inventory[[#This Row],[Quality Adj]]*Inventory[[#This Row],[Condition Adj]]*Inventory[[#This Row],[Living Area Adj]]*Inventory[[#This Row],[Decade Adj]]*0.95</f>
        <v>0.95027297296624202</v>
      </c>
      <c r="BN2062" s="25">
        <f>ROUND(SUM(Inventory[[#This Row],[Mdl Qlty]:[Mdl WdDeck]])+Inventory[[#This Row],[Mdl Res Intercept]]*Inventory[[#This Row],[Res Adj ]],-2)</f>
        <v>307200</v>
      </c>
      <c r="BO2062" s="25">
        <f>ROUND(Inventory[[#This Row],[25Det]]*Inventory[[#This Row],[Det/Nbhd Adj]],-2)</f>
        <v>10500</v>
      </c>
      <c r="BP2062" s="25">
        <f>Inventory[[#This Row],[Adjusted Res]]+Inventory[[#This Row],[Adj Det ]]</f>
        <v>317700</v>
      </c>
      <c r="BQ2062" s="25">
        <f>ROUND((Inventory[[#This Row],[Mdl Land Intercept]]+Inventory[[#This Row],[Mdl LnAcres]])*Inventory[[#This Row],[Det/Nbhd Adj]],-2)</f>
        <v>48100</v>
      </c>
      <c r="BR2062" s="25">
        <f>Inventory[[#This Row],[Adjusted Impr Total]]+Inventory[[#This Row],[Adjusted Land Total]]</f>
        <v>365800</v>
      </c>
      <c r="BS2062" s="36">
        <f>IFERROR((Inventory[[#This Row],[Adjusted Impr Total]]-Inventory[[#This Row],[24Bldg]])/Inventory[[#This Row],[24Bldg]],0)</f>
        <v>0.11473684210526315</v>
      </c>
      <c r="BT2062" s="36">
        <f>(Inventory[[#This Row],[Adjusted Land Total]]-Inventory[[#This Row],[24Lnd]])/Inventory[[#This Row],[24Lnd]]</f>
        <v>-0.32633053221288516</v>
      </c>
      <c r="BU2062" s="36">
        <f>(Inventory[[#This Row],[Adjusted Total]]-Inventory[[#This Row],[24Final]])/Inventory[[#This Row],[24Final]]</f>
        <v>2.6374859708193043E-2</v>
      </c>
    </row>
    <row r="2063" spans="1:73" x14ac:dyDescent="0.3">
      <c r="A2063" s="25">
        <v>2025</v>
      </c>
      <c r="B2063" s="26" t="s">
        <v>2847</v>
      </c>
      <c r="C2063" s="26">
        <f>LN(Inventory[[#This Row],[Acres]])</f>
        <v>-1.8971199848858813</v>
      </c>
      <c r="D2063" s="25">
        <v>0.15</v>
      </c>
      <c r="E2063" s="25">
        <v>6485</v>
      </c>
      <c r="F2063" s="26" t="s">
        <v>537</v>
      </c>
      <c r="G2063" s="26" t="s">
        <v>126</v>
      </c>
      <c r="H2063" s="26" t="s">
        <v>349</v>
      </c>
      <c r="I2063" s="26" t="s">
        <v>538</v>
      </c>
      <c r="J2063" s="26" t="s">
        <v>539</v>
      </c>
      <c r="K2063" s="26" t="s">
        <v>269</v>
      </c>
      <c r="L2063" s="26" t="s">
        <v>351</v>
      </c>
      <c r="M2063" s="26" t="s">
        <v>323</v>
      </c>
      <c r="N2063" s="26">
        <v>100</v>
      </c>
      <c r="O2063" s="26">
        <f>2024-Inventory[[#This Row],[YrBlt]]</f>
        <v>99</v>
      </c>
      <c r="P2063" s="26">
        <f>2024-Inventory[[#This Row],[EffYr]]</f>
        <v>56</v>
      </c>
      <c r="Q2063" s="25">
        <v>1925</v>
      </c>
      <c r="R2063" s="25">
        <v>1968</v>
      </c>
      <c r="S2063" s="25">
        <v>1329</v>
      </c>
      <c r="T2063" s="31"/>
      <c r="U2063" s="32">
        <v>1100</v>
      </c>
      <c r="V2063" s="32">
        <f>Inventory[[#This Row],[Bsmt]]-Inventory[[#This Row],[FnBsmt]]</f>
        <v>600</v>
      </c>
      <c r="W2063" s="32">
        <v>500</v>
      </c>
      <c r="X2063" s="27"/>
      <c r="Y2063" s="27">
        <f>Inventory[[#This Row],[MainFn]]+Inventory[[#This Row],[UpprFn]]+Inventory[[#This Row],[FnBsmt]]+Inventory[[#This Row],[AddFn]]</f>
        <v>1829</v>
      </c>
      <c r="Z2063" s="27">
        <v>2000</v>
      </c>
      <c r="AA2063" s="25">
        <v>11</v>
      </c>
      <c r="AB2063" s="27"/>
      <c r="AC2063" s="27"/>
      <c r="AD2063" s="32">
        <v>144</v>
      </c>
      <c r="AE2063" s="27"/>
      <c r="AF2063" s="27"/>
      <c r="AG2063" s="27"/>
      <c r="AH2063" s="27"/>
      <c r="AI2063" s="25">
        <v>311177</v>
      </c>
      <c r="AJ2063" s="25">
        <v>199153</v>
      </c>
      <c r="AK2063" s="25">
        <v>4277</v>
      </c>
      <c r="AL2063" s="25">
        <v>337700</v>
      </c>
      <c r="AM2063" s="25">
        <v>48400</v>
      </c>
      <c r="AN2063" s="25">
        <v>289300</v>
      </c>
      <c r="AO2063" s="25">
        <v>0</v>
      </c>
      <c r="AP2063" s="25">
        <f>Lookups!$B$56*0</f>
        <v>0</v>
      </c>
      <c r="AQ2063" s="25">
        <f>Lookups!$B$56*1</f>
        <v>89850.625589999996</v>
      </c>
      <c r="AR2063" s="25">
        <f>Lookups!$B$57*Inventory[[#This Row],[LnAcres]]</f>
        <v>-60052.604136134301</v>
      </c>
      <c r="AS2063" s="25">
        <f>VLOOKUP(Inventory[[#This Row],[Qlty]],Lookups!$A$62:$E$75,2,FALSE)</f>
        <v>21557.329055999999</v>
      </c>
      <c r="AT2063" s="25">
        <f>VLOOKUP(Inventory[[#This Row],[Cnd]],Lookups!$A$76:$E$84,2,FALSE)</f>
        <v>160472.20319</v>
      </c>
      <c r="AU2063" s="25">
        <f>Inventory[[#This Row],[EffAge]]*Lookups!$B$85</f>
        <v>-12490.553628</v>
      </c>
      <c r="AV2063" s="25">
        <f>Inventory[[#This Row],[MainFn]]*Lookups!$B$86</f>
        <v>65664.122266532999</v>
      </c>
      <c r="AW2063" s="25">
        <f>Inventory[[#This Row],[UpprFn]]*Lookups!$B$87</f>
        <v>0</v>
      </c>
      <c r="AX2063" s="25">
        <f>Inventory[[#This Row],[AddFn]]*Lookups!$B$88</f>
        <v>0</v>
      </c>
      <c r="AY2063" s="25">
        <f>Inventory[[#This Row],[Bsmt]]*Lookups!$B$89</f>
        <v>31990.0847717</v>
      </c>
      <c r="AZ2063" s="25">
        <f>Inventory[[#This Row],[Fixtures]]*Lookups!$B$90</f>
        <v>41712.243157199999</v>
      </c>
      <c r="BA2063" s="25">
        <f>Inventory[[#This Row],[WdDeck]]*Lookups!$B$91</f>
        <v>4794.5541997440005</v>
      </c>
      <c r="BB2063" s="25">
        <f>ROUND(Inventory[[#This Row],[25Det]],-2)</f>
        <v>4300</v>
      </c>
      <c r="BC2063" s="25">
        <f>ROUND(SUM(Inventory[[#This Row],[Mdl Qlty]:[Mdl WdDeck]])+Inventory[[#This Row],[Mdl Res Intercept]],-2)</f>
        <v>313700</v>
      </c>
      <c r="BD2063" s="25">
        <f>ROUND(Inventory[[#This Row],[Mdl Land Intercept]]+Inventory[[#This Row],[Mdl LnAcres]],-2)</f>
        <v>29800</v>
      </c>
      <c r="BE2063" s="25">
        <f>Inventory[[#This Row],[Unadj Res Value]]+Inventory[[#This Row],[Unadj Det Value]]+Inventory[[#This Row],[Unadj Land Value]]</f>
        <v>347800</v>
      </c>
      <c r="BF2063" s="36">
        <f>(Inventory[[#This Row],[Unadj Total Value]]-Inventory[[#This Row],[24Final]])/Inventory[[#This Row],[24Final]]</f>
        <v>2.9908202546639027E-2</v>
      </c>
      <c r="BG2063" s="25">
        <f>VLOOKUP(Inventory[[#This Row],[Nbhd]],Lookups!$Q$2:$T$4,4,FALSE)</f>
        <v>0.99970000000000003</v>
      </c>
      <c r="BH2063" s="25">
        <f>VLOOKUP(Inventory[[#This Row],[Qlty]],Lookups!$O$7:$R$21,4,FALSE)</f>
        <v>1.0067999999999999</v>
      </c>
      <c r="BI2063" s="25">
        <f>VLOOKUP(Inventory[[#This Row],[Cnd]],Lookups!$T$7:$W$16,4,FALSE)</f>
        <v>0.99729999999999996</v>
      </c>
      <c r="BJ2063" s="25">
        <f>VLOOKUP(Inventory[[#This Row],[LivArea Range]],Lookups!$T$25:$W$37,4,FALSE)</f>
        <v>1.0093000000000001</v>
      </c>
      <c r="BK2063" s="25">
        <f>VLOOKUP(Inventory[[#This Row],[Decade]],Lookups!$O$25:$R$42,4,FALSE)</f>
        <v>1.0074000000000001</v>
      </c>
      <c r="BL2063" s="25">
        <f>Inventory[[#This Row],[Nbhd Adj]]*0.95</f>
        <v>0.94971499999999998</v>
      </c>
      <c r="BM2063" s="25">
        <f>Inventory[[#This Row],[Nbhd Adj]]*Inventory[[#This Row],[Quality Adj]]*Inventory[[#This Row],[Condition Adj]]*Inventory[[#This Row],[Living Area Adj]]*Inventory[[#This Row],[Decade Adj]]*0.95</f>
        <v>0.96958199718441984</v>
      </c>
      <c r="BN2063" s="25">
        <f>ROUND(SUM(Inventory[[#This Row],[Mdl Qlty]:[Mdl WdDeck]])+Inventory[[#This Row],[Mdl Res Intercept]]*Inventory[[#This Row],[Res Adj ]],-2)</f>
        <v>313700</v>
      </c>
      <c r="BO2063" s="25">
        <f>ROUND(Inventory[[#This Row],[25Det]]*Inventory[[#This Row],[Det/Nbhd Adj]],-2)</f>
        <v>4100</v>
      </c>
      <c r="BP2063" s="25">
        <f>Inventory[[#This Row],[Adjusted Res]]+Inventory[[#This Row],[Adj Det ]]</f>
        <v>317800</v>
      </c>
      <c r="BQ2063" s="25">
        <f>ROUND((Inventory[[#This Row],[Mdl Land Intercept]]+Inventory[[#This Row],[Mdl LnAcres]])*Inventory[[#This Row],[Det/Nbhd Adj]],-2)</f>
        <v>28300</v>
      </c>
      <c r="BR2063" s="25">
        <f>Inventory[[#This Row],[Adjusted Impr Total]]+Inventory[[#This Row],[Adjusted Land Total]]</f>
        <v>346100</v>
      </c>
      <c r="BS2063" s="36">
        <f>IFERROR((Inventory[[#This Row],[Adjusted Impr Total]]-Inventory[[#This Row],[24Bldg]])/Inventory[[#This Row],[24Bldg]],0)</f>
        <v>9.8513653646733493E-2</v>
      </c>
      <c r="BT2063" s="36">
        <f>(Inventory[[#This Row],[Adjusted Land Total]]-Inventory[[#This Row],[24Lnd]])/Inventory[[#This Row],[24Lnd]]</f>
        <v>-0.41528925619834711</v>
      </c>
      <c r="BU2063" s="36">
        <f>(Inventory[[#This Row],[Adjusted Total]]-Inventory[[#This Row],[24Final]])/Inventory[[#This Row],[24Final]]</f>
        <v>2.487414865265028E-2</v>
      </c>
    </row>
    <row r="2064" spans="1:73" x14ac:dyDescent="0.3">
      <c r="A2064" s="25">
        <v>2025</v>
      </c>
      <c r="B2064" s="26" t="s">
        <v>2394</v>
      </c>
      <c r="C2064" s="26">
        <f>LN(Inventory[[#This Row],[Acres]])</f>
        <v>-1.0788096613719298</v>
      </c>
      <c r="D2064" s="25">
        <v>0.34</v>
      </c>
      <c r="E2064" s="32">
        <v>14951</v>
      </c>
      <c r="F2064" s="26" t="s">
        <v>537</v>
      </c>
      <c r="G2064" s="26" t="s">
        <v>126</v>
      </c>
      <c r="H2064" s="26" t="s">
        <v>349</v>
      </c>
      <c r="I2064" s="26" t="s">
        <v>538</v>
      </c>
      <c r="J2064" s="26" t="s">
        <v>539</v>
      </c>
      <c r="K2064" s="26" t="s">
        <v>242</v>
      </c>
      <c r="L2064" s="26" t="s">
        <v>351</v>
      </c>
      <c r="M2064" s="26" t="s">
        <v>206</v>
      </c>
      <c r="N2064" s="26">
        <v>100</v>
      </c>
      <c r="O2064" s="26">
        <f>2024-Inventory[[#This Row],[YrBlt]]</f>
        <v>99</v>
      </c>
      <c r="P2064" s="26">
        <f>2024-Inventory[[#This Row],[EffYr]]</f>
        <v>56</v>
      </c>
      <c r="Q2064" s="25">
        <v>1925</v>
      </c>
      <c r="R2064" s="25">
        <v>1968</v>
      </c>
      <c r="S2064" s="25">
        <v>1248</v>
      </c>
      <c r="T2064" s="27"/>
      <c r="U2064" s="25">
        <v>801</v>
      </c>
      <c r="V2064" s="25">
        <f>Inventory[[#This Row],[Bsmt]]-Inventory[[#This Row],[FnBsmt]]</f>
        <v>0</v>
      </c>
      <c r="W2064" s="25">
        <v>801</v>
      </c>
      <c r="X2064" s="27"/>
      <c r="Y2064" s="27">
        <f>Inventory[[#This Row],[MainFn]]+Inventory[[#This Row],[UpprFn]]+Inventory[[#This Row],[FnBsmt]]+Inventory[[#This Row],[AddFn]]</f>
        <v>2049</v>
      </c>
      <c r="Z2064" s="27">
        <v>2500</v>
      </c>
      <c r="AA2064" s="25">
        <v>5</v>
      </c>
      <c r="AB2064" s="27"/>
      <c r="AC2064" s="27"/>
      <c r="AD2064" s="27"/>
      <c r="AE2064" s="27"/>
      <c r="AF2064" s="27"/>
      <c r="AG2064" s="27"/>
      <c r="AH2064" s="27"/>
      <c r="AI2064" s="25">
        <v>265352</v>
      </c>
      <c r="AJ2064" s="25">
        <v>164518</v>
      </c>
      <c r="AK2064" s="25">
        <v>6481</v>
      </c>
      <c r="AL2064" s="25">
        <v>298900</v>
      </c>
      <c r="AM2064" s="25">
        <v>76900</v>
      </c>
      <c r="AN2064" s="25">
        <v>222000</v>
      </c>
      <c r="AO2064" s="25">
        <v>0</v>
      </c>
      <c r="AP2064" s="25">
        <f>Lookups!$B$56*0</f>
        <v>0</v>
      </c>
      <c r="AQ2064" s="25">
        <f>Lookups!$B$56*1</f>
        <v>89850.625589999996</v>
      </c>
      <c r="AR2064" s="25">
        <f>Lookups!$B$57*Inventory[[#This Row],[LnAcres]]</f>
        <v>-34149.305288406773</v>
      </c>
      <c r="AS2064" s="25">
        <f>VLOOKUP(Inventory[[#This Row],[Qlty]],Lookups!$A$62:$E$75,2,FALSE)</f>
        <v>21557.329055999999</v>
      </c>
      <c r="AT2064" s="25">
        <f>VLOOKUP(Inventory[[#This Row],[Cnd]],Lookups!$A$76:$E$84,2,FALSE)</f>
        <v>133714.53821</v>
      </c>
      <c r="AU2064" s="25">
        <f>Inventory[[#This Row],[EffAge]]*Lookups!$B$85</f>
        <v>-12490.553628</v>
      </c>
      <c r="AV2064" s="25">
        <f>Inventory[[#This Row],[MainFn]]*Lookups!$B$86</f>
        <v>61662.020006496001</v>
      </c>
      <c r="AW2064" s="25">
        <f>Inventory[[#This Row],[UpprFn]]*Lookups!$B$87</f>
        <v>0</v>
      </c>
      <c r="AX2064" s="25">
        <f>Inventory[[#This Row],[AddFn]]*Lookups!$B$88</f>
        <v>0</v>
      </c>
      <c r="AY2064" s="25">
        <f>Inventory[[#This Row],[Bsmt]]*Lookups!$B$89</f>
        <v>23294.598092846998</v>
      </c>
      <c r="AZ2064" s="25">
        <f>Inventory[[#This Row],[Fixtures]]*Lookups!$B$90</f>
        <v>18960.110526</v>
      </c>
      <c r="BA2064" s="25">
        <f>Inventory[[#This Row],[WdDeck]]*Lookups!$B$91</f>
        <v>0</v>
      </c>
      <c r="BB2064" s="25">
        <f>ROUND(Inventory[[#This Row],[25Det]],-2)</f>
        <v>6500</v>
      </c>
      <c r="BC2064" s="25">
        <f>ROUND(SUM(Inventory[[#This Row],[Mdl Qlty]:[Mdl WdDeck]])+Inventory[[#This Row],[Mdl Res Intercept]],-2)</f>
        <v>246700</v>
      </c>
      <c r="BD2064" s="25">
        <f>ROUND(Inventory[[#This Row],[Mdl Land Intercept]]+Inventory[[#This Row],[Mdl LnAcres]],-2)</f>
        <v>55700</v>
      </c>
      <c r="BE2064" s="25">
        <f>Inventory[[#This Row],[Unadj Res Value]]+Inventory[[#This Row],[Unadj Det Value]]+Inventory[[#This Row],[Unadj Land Value]]</f>
        <v>308900</v>
      </c>
      <c r="BF2064" s="36">
        <f>(Inventory[[#This Row],[Unadj Total Value]]-Inventory[[#This Row],[24Final]])/Inventory[[#This Row],[24Final]]</f>
        <v>3.3456005352960859E-2</v>
      </c>
      <c r="BG2064" s="25">
        <f>VLOOKUP(Inventory[[#This Row],[Nbhd]],Lookups!$Q$2:$T$4,4,FALSE)</f>
        <v>0.99970000000000003</v>
      </c>
      <c r="BH2064" s="25">
        <f>VLOOKUP(Inventory[[#This Row],[Qlty]],Lookups!$O$7:$R$21,4,FALSE)</f>
        <v>1.0067999999999999</v>
      </c>
      <c r="BI2064" s="25">
        <f>VLOOKUP(Inventory[[#This Row],[Cnd]],Lookups!$T$7:$W$16,4,FALSE)</f>
        <v>0.99329999999999996</v>
      </c>
      <c r="BJ2064" s="25">
        <f>VLOOKUP(Inventory[[#This Row],[LivArea Range]],Lookups!$T$25:$W$37,4,FALSE)</f>
        <v>0.98919999999999997</v>
      </c>
      <c r="BK2064" s="25">
        <f>VLOOKUP(Inventory[[#This Row],[Decade]],Lookups!$O$25:$R$42,4,FALSE)</f>
        <v>1.0074000000000001</v>
      </c>
      <c r="BL2064" s="25">
        <f>Inventory[[#This Row],[Nbhd Adj]]*0.95</f>
        <v>0.94971499999999998</v>
      </c>
      <c r="BM2064" s="25">
        <f>Inventory[[#This Row],[Nbhd Adj]]*Inventory[[#This Row],[Quality Adj]]*Inventory[[#This Row],[Condition Adj]]*Inventory[[#This Row],[Living Area Adj]]*Inventory[[#This Row],[Decade Adj]]*0.95</f>
        <v>0.94646159034128952</v>
      </c>
      <c r="BN2064" s="25">
        <f>ROUND(SUM(Inventory[[#This Row],[Mdl Qlty]:[Mdl WdDeck]])+Inventory[[#This Row],[Mdl Res Intercept]]*Inventory[[#This Row],[Res Adj ]],-2)</f>
        <v>246700</v>
      </c>
      <c r="BO2064" s="25">
        <f>ROUND(Inventory[[#This Row],[25Det]]*Inventory[[#This Row],[Det/Nbhd Adj]],-2)</f>
        <v>6200</v>
      </c>
      <c r="BP2064" s="25">
        <f>Inventory[[#This Row],[Adjusted Res]]+Inventory[[#This Row],[Adj Det ]]</f>
        <v>252900</v>
      </c>
      <c r="BQ2064" s="25">
        <f>ROUND((Inventory[[#This Row],[Mdl Land Intercept]]+Inventory[[#This Row],[Mdl LnAcres]])*Inventory[[#This Row],[Det/Nbhd Adj]],-2)</f>
        <v>52900</v>
      </c>
      <c r="BR2064" s="25">
        <f>Inventory[[#This Row],[Adjusted Impr Total]]+Inventory[[#This Row],[Adjusted Land Total]]</f>
        <v>305800</v>
      </c>
      <c r="BS2064" s="36">
        <f>IFERROR((Inventory[[#This Row],[Adjusted Impr Total]]-Inventory[[#This Row],[24Bldg]])/Inventory[[#This Row],[24Bldg]],0)</f>
        <v>0.13918918918918918</v>
      </c>
      <c r="BT2064" s="36">
        <f>(Inventory[[#This Row],[Adjusted Land Total]]-Inventory[[#This Row],[24Lnd]])/Inventory[[#This Row],[24Lnd]]</f>
        <v>-0.31209362808842656</v>
      </c>
      <c r="BU2064" s="36">
        <f>(Inventory[[#This Row],[Adjusted Total]]-Inventory[[#This Row],[24Final]])/Inventory[[#This Row],[24Final]]</f>
        <v>2.3084643693542992E-2</v>
      </c>
    </row>
    <row r="2065" spans="1:73" x14ac:dyDescent="0.3">
      <c r="A2065" s="25">
        <v>2025</v>
      </c>
      <c r="B2065" s="26" t="s">
        <v>2719</v>
      </c>
      <c r="C2065" s="26">
        <f>LN(Inventory[[#This Row],[Acres]])</f>
        <v>-2.0402208285265546</v>
      </c>
      <c r="D2065" s="25">
        <v>0.13</v>
      </c>
      <c r="E2065" s="31"/>
      <c r="F2065" s="26" t="s">
        <v>537</v>
      </c>
      <c r="G2065" s="26" t="s">
        <v>126</v>
      </c>
      <c r="H2065" s="26" t="s">
        <v>349</v>
      </c>
      <c r="I2065" s="26" t="s">
        <v>538</v>
      </c>
      <c r="J2065" s="26" t="s">
        <v>539</v>
      </c>
      <c r="K2065" s="26" t="s">
        <v>269</v>
      </c>
      <c r="L2065" s="26" t="s">
        <v>351</v>
      </c>
      <c r="M2065" s="26" t="s">
        <v>323</v>
      </c>
      <c r="N2065" s="26">
        <v>100</v>
      </c>
      <c r="O2065" s="26">
        <f>2024-Inventory[[#This Row],[YrBlt]]</f>
        <v>99</v>
      </c>
      <c r="P2065" s="26">
        <f>2024-Inventory[[#This Row],[EffYr]]</f>
        <v>56</v>
      </c>
      <c r="Q2065" s="25">
        <v>1925</v>
      </c>
      <c r="R2065" s="25">
        <v>1968</v>
      </c>
      <c r="S2065" s="25">
        <v>1242</v>
      </c>
      <c r="T2065" s="31"/>
      <c r="U2065" s="25">
        <v>745</v>
      </c>
      <c r="V2065" s="32">
        <f>Inventory[[#This Row],[Bsmt]]-Inventory[[#This Row],[FnBsmt]]</f>
        <v>0</v>
      </c>
      <c r="W2065" s="32">
        <v>745</v>
      </c>
      <c r="X2065" s="27"/>
      <c r="Y2065" s="27">
        <f>Inventory[[#This Row],[MainFn]]+Inventory[[#This Row],[UpprFn]]+Inventory[[#This Row],[FnBsmt]]+Inventory[[#This Row],[AddFn]]</f>
        <v>1987</v>
      </c>
      <c r="Z2065" s="27">
        <v>2000</v>
      </c>
      <c r="AA2065" s="25">
        <v>9</v>
      </c>
      <c r="AB2065" s="27"/>
      <c r="AC2065" s="27"/>
      <c r="AD2065" s="27"/>
      <c r="AE2065" s="27"/>
      <c r="AF2065" s="27"/>
      <c r="AG2065" s="27"/>
      <c r="AH2065" s="27"/>
      <c r="AI2065" s="25">
        <v>278556</v>
      </c>
      <c r="AJ2065" s="25">
        <v>178276</v>
      </c>
      <c r="AK2065" s="25">
        <v>8427</v>
      </c>
      <c r="AL2065" s="25">
        <v>312200</v>
      </c>
      <c r="AM2065" s="25">
        <v>43400</v>
      </c>
      <c r="AN2065" s="25">
        <v>268800</v>
      </c>
      <c r="AO2065" s="25">
        <v>0</v>
      </c>
      <c r="AP2065" s="25">
        <f>Lookups!$B$56*0</f>
        <v>0</v>
      </c>
      <c r="AQ2065" s="25">
        <f>Lookups!$B$56*1</f>
        <v>89850.625589999996</v>
      </c>
      <c r="AR2065" s="25">
        <f>Lookups!$B$57*Inventory[[#This Row],[LnAcres]]</f>
        <v>-64582.406353792743</v>
      </c>
      <c r="AS2065" s="25">
        <f>VLOOKUP(Inventory[[#This Row],[Qlty]],Lookups!$A$62:$E$75,2,FALSE)</f>
        <v>21557.329055999999</v>
      </c>
      <c r="AT2065" s="25">
        <f>VLOOKUP(Inventory[[#This Row],[Cnd]],Lookups!$A$76:$E$84,2,FALSE)</f>
        <v>160472.20319</v>
      </c>
      <c r="AU2065" s="25">
        <f>Inventory[[#This Row],[EffAge]]*Lookups!$B$85</f>
        <v>-12490.553628</v>
      </c>
      <c r="AV2065" s="25">
        <f>Inventory[[#This Row],[MainFn]]*Lookups!$B$86</f>
        <v>61365.567987234004</v>
      </c>
      <c r="AW2065" s="25">
        <f>Inventory[[#This Row],[UpprFn]]*Lookups!$B$87</f>
        <v>0</v>
      </c>
      <c r="AX2065" s="25">
        <f>Inventory[[#This Row],[AddFn]]*Lookups!$B$88</f>
        <v>0</v>
      </c>
      <c r="AY2065" s="25">
        <f>Inventory[[#This Row],[Bsmt]]*Lookups!$B$89</f>
        <v>21666.011959014999</v>
      </c>
      <c r="AZ2065" s="25">
        <f>Inventory[[#This Row],[Fixtures]]*Lookups!$B$90</f>
        <v>34128.198946800003</v>
      </c>
      <c r="BA2065" s="25">
        <f>Inventory[[#This Row],[WdDeck]]*Lookups!$B$91</f>
        <v>0</v>
      </c>
      <c r="BB2065" s="25">
        <f>ROUND(Inventory[[#This Row],[25Det]],-2)</f>
        <v>8400</v>
      </c>
      <c r="BC2065" s="25">
        <f>ROUND(SUM(Inventory[[#This Row],[Mdl Qlty]:[Mdl WdDeck]])+Inventory[[#This Row],[Mdl Res Intercept]],-2)</f>
        <v>286700</v>
      </c>
      <c r="BD2065" s="25">
        <f>ROUND(Inventory[[#This Row],[Mdl Land Intercept]]+Inventory[[#This Row],[Mdl LnAcres]],-2)</f>
        <v>25300</v>
      </c>
      <c r="BE2065" s="25">
        <f>Inventory[[#This Row],[Unadj Res Value]]+Inventory[[#This Row],[Unadj Det Value]]+Inventory[[#This Row],[Unadj Land Value]]</f>
        <v>320400</v>
      </c>
      <c r="BF2065" s="36">
        <f>(Inventory[[#This Row],[Unadj Total Value]]-Inventory[[#This Row],[24Final]])/Inventory[[#This Row],[24Final]]</f>
        <v>2.626521460602178E-2</v>
      </c>
      <c r="BG2065" s="25">
        <f>VLOOKUP(Inventory[[#This Row],[Nbhd]],Lookups!$Q$2:$T$4,4,FALSE)</f>
        <v>0.99970000000000003</v>
      </c>
      <c r="BH2065" s="25">
        <f>VLOOKUP(Inventory[[#This Row],[Qlty]],Lookups!$O$7:$R$21,4,FALSE)</f>
        <v>1.0067999999999999</v>
      </c>
      <c r="BI2065" s="25">
        <f>VLOOKUP(Inventory[[#This Row],[Cnd]],Lookups!$T$7:$W$16,4,FALSE)</f>
        <v>0.99729999999999996</v>
      </c>
      <c r="BJ2065" s="25">
        <f>VLOOKUP(Inventory[[#This Row],[LivArea Range]],Lookups!$T$25:$W$37,4,FALSE)</f>
        <v>1.0093000000000001</v>
      </c>
      <c r="BK2065" s="25">
        <f>VLOOKUP(Inventory[[#This Row],[Decade]],Lookups!$O$25:$R$42,4,FALSE)</f>
        <v>1.0074000000000001</v>
      </c>
      <c r="BL2065" s="25">
        <f>Inventory[[#This Row],[Nbhd Adj]]*0.95</f>
        <v>0.94971499999999998</v>
      </c>
      <c r="BM2065" s="25">
        <f>Inventory[[#This Row],[Nbhd Adj]]*Inventory[[#This Row],[Quality Adj]]*Inventory[[#This Row],[Condition Adj]]*Inventory[[#This Row],[Living Area Adj]]*Inventory[[#This Row],[Decade Adj]]*0.95</f>
        <v>0.96958199718441984</v>
      </c>
      <c r="BN2065" s="25">
        <f>ROUND(SUM(Inventory[[#This Row],[Mdl Qlty]:[Mdl WdDeck]])+Inventory[[#This Row],[Mdl Res Intercept]]*Inventory[[#This Row],[Res Adj ]],-2)</f>
        <v>286700</v>
      </c>
      <c r="BO2065" s="25">
        <f>ROUND(Inventory[[#This Row],[25Det]]*Inventory[[#This Row],[Det/Nbhd Adj]],-2)</f>
        <v>8000</v>
      </c>
      <c r="BP2065" s="25">
        <f>Inventory[[#This Row],[Adjusted Res]]+Inventory[[#This Row],[Adj Det ]]</f>
        <v>294700</v>
      </c>
      <c r="BQ2065" s="25">
        <f>ROUND((Inventory[[#This Row],[Mdl Land Intercept]]+Inventory[[#This Row],[Mdl LnAcres]])*Inventory[[#This Row],[Det/Nbhd Adj]],-2)</f>
        <v>24000</v>
      </c>
      <c r="BR2065" s="25">
        <f>Inventory[[#This Row],[Adjusted Impr Total]]+Inventory[[#This Row],[Adjusted Land Total]]</f>
        <v>318700</v>
      </c>
      <c r="BS2065" s="36">
        <f>IFERROR((Inventory[[#This Row],[Adjusted Impr Total]]-Inventory[[#This Row],[24Bldg]])/Inventory[[#This Row],[24Bldg]],0)</f>
        <v>9.6354166666666671E-2</v>
      </c>
      <c r="BT2065" s="36">
        <f>(Inventory[[#This Row],[Adjusted Land Total]]-Inventory[[#This Row],[24Lnd]])/Inventory[[#This Row],[24Lnd]]</f>
        <v>-0.44700460829493088</v>
      </c>
      <c r="BU2065" s="36">
        <f>(Inventory[[#This Row],[Adjusted Total]]-Inventory[[#This Row],[24Final]])/Inventory[[#This Row],[24Final]]</f>
        <v>2.0819987187700194E-2</v>
      </c>
    </row>
    <row r="2066" spans="1:73" x14ac:dyDescent="0.3">
      <c r="A2066" s="25">
        <v>2025</v>
      </c>
      <c r="B2066" s="26" t="s">
        <v>2687</v>
      </c>
      <c r="C2066" s="26">
        <f>LN(Inventory[[#This Row],[Acres]])</f>
        <v>-1.8325814637483102</v>
      </c>
      <c r="D2066" s="25">
        <v>0.16</v>
      </c>
      <c r="E2066" s="32">
        <v>6859</v>
      </c>
      <c r="F2066" s="26" t="s">
        <v>537</v>
      </c>
      <c r="G2066" s="26" t="s">
        <v>126</v>
      </c>
      <c r="H2066" s="26" t="s">
        <v>349</v>
      </c>
      <c r="I2066" s="26" t="s">
        <v>538</v>
      </c>
      <c r="J2066" s="26" t="s">
        <v>539</v>
      </c>
      <c r="K2066" s="26" t="s">
        <v>269</v>
      </c>
      <c r="L2066" s="26" t="s">
        <v>302</v>
      </c>
      <c r="M2066" s="26" t="s">
        <v>303</v>
      </c>
      <c r="N2066" s="26">
        <v>100</v>
      </c>
      <c r="O2066" s="26">
        <f>2024-Inventory[[#This Row],[YrBlt]]</f>
        <v>99</v>
      </c>
      <c r="P2066" s="26">
        <f>2024-Inventory[[#This Row],[EffYr]]</f>
        <v>56</v>
      </c>
      <c r="Q2066" s="25">
        <v>1925</v>
      </c>
      <c r="R2066" s="25">
        <v>1968</v>
      </c>
      <c r="S2066" s="25">
        <v>1278</v>
      </c>
      <c r="T2066" s="32">
        <v>426</v>
      </c>
      <c r="U2066" s="25">
        <v>1278</v>
      </c>
      <c r="V2066" s="25">
        <f>Inventory[[#This Row],[Bsmt]]-Inventory[[#This Row],[FnBsmt]]</f>
        <v>0</v>
      </c>
      <c r="W2066" s="25">
        <v>1278</v>
      </c>
      <c r="X2066" s="27"/>
      <c r="Y2066" s="27">
        <f>Inventory[[#This Row],[MainFn]]+Inventory[[#This Row],[UpprFn]]+Inventory[[#This Row],[FnBsmt]]+Inventory[[#This Row],[AddFn]]</f>
        <v>2982</v>
      </c>
      <c r="Z2066" s="27">
        <v>3000</v>
      </c>
      <c r="AA2066" s="25">
        <v>12</v>
      </c>
      <c r="AB2066" s="32">
        <v>209</v>
      </c>
      <c r="AC2066" s="27"/>
      <c r="AD2066" s="27"/>
      <c r="AE2066" s="27"/>
      <c r="AF2066" s="27"/>
      <c r="AG2066" s="27"/>
      <c r="AH2066" s="27"/>
      <c r="AI2066" s="25">
        <v>460548</v>
      </c>
      <c r="AJ2066" s="25">
        <v>303962</v>
      </c>
      <c r="AK2066" s="25">
        <v>0</v>
      </c>
      <c r="AL2066" s="25">
        <v>402200</v>
      </c>
      <c r="AM2066" s="25">
        <v>50600</v>
      </c>
      <c r="AN2066" s="25">
        <v>351600</v>
      </c>
      <c r="AO2066" s="25">
        <v>0</v>
      </c>
      <c r="AP2066" s="25">
        <f>Lookups!$B$56*0</f>
        <v>0</v>
      </c>
      <c r="AQ2066" s="25">
        <f>Lookups!$B$56*1</f>
        <v>89850.625589999996</v>
      </c>
      <c r="AR2066" s="25">
        <f>Lookups!$B$57*Inventory[[#This Row],[LnAcres]]</f>
        <v>-58009.662049032086</v>
      </c>
      <c r="AS2066" s="25">
        <f>VLOOKUP(Inventory[[#This Row],[Qlty]],Lookups!$A$62:$E$75,2,FALSE)</f>
        <v>29814.093161000001</v>
      </c>
      <c r="AT2066" s="25">
        <f>VLOOKUP(Inventory[[#This Row],[Cnd]],Lookups!$A$76:$E$84,2,FALSE)</f>
        <v>197752.34721000001</v>
      </c>
      <c r="AU2066" s="25">
        <f>Inventory[[#This Row],[EffAge]]*Lookups!$B$85</f>
        <v>-12490.553628</v>
      </c>
      <c r="AV2066" s="25">
        <f>Inventory[[#This Row],[MainFn]]*Lookups!$B$86</f>
        <v>63144.280102805998</v>
      </c>
      <c r="AW2066" s="25">
        <f>Inventory[[#This Row],[UpprFn]]*Lookups!$B$87</f>
        <v>19079.016138785999</v>
      </c>
      <c r="AX2066" s="25">
        <f>Inventory[[#This Row],[AddFn]]*Lookups!$B$88</f>
        <v>0</v>
      </c>
      <c r="AY2066" s="25">
        <f>Inventory[[#This Row],[Bsmt]]*Lookups!$B$89</f>
        <v>37166.662125666</v>
      </c>
      <c r="AZ2066" s="25">
        <f>Inventory[[#This Row],[Fixtures]]*Lookups!$B$90</f>
        <v>45504.265262400004</v>
      </c>
      <c r="BA2066" s="25">
        <f>Inventory[[#This Row],[WdDeck]]*Lookups!$B$91</f>
        <v>0</v>
      </c>
      <c r="BB2066" s="25">
        <f>ROUND(Inventory[[#This Row],[25Det]],-2)</f>
        <v>0</v>
      </c>
      <c r="BC2066" s="25">
        <f>ROUND(SUM(Inventory[[#This Row],[Mdl Qlty]:[Mdl WdDeck]])+Inventory[[#This Row],[Mdl Res Intercept]],-2)</f>
        <v>380000</v>
      </c>
      <c r="BD2066" s="25">
        <f>ROUND(Inventory[[#This Row],[Mdl Land Intercept]]+Inventory[[#This Row],[Mdl LnAcres]],-2)</f>
        <v>31800</v>
      </c>
      <c r="BE2066" s="25">
        <f>Inventory[[#This Row],[Unadj Res Value]]+Inventory[[#This Row],[Unadj Det Value]]+Inventory[[#This Row],[Unadj Land Value]]</f>
        <v>411800</v>
      </c>
      <c r="BF2066" s="36">
        <f>(Inventory[[#This Row],[Unadj Total Value]]-Inventory[[#This Row],[24Final]])/Inventory[[#This Row],[24Final]]</f>
        <v>2.3868722028841372E-2</v>
      </c>
      <c r="BG2066" s="25">
        <f>VLOOKUP(Inventory[[#This Row],[Nbhd]],Lookups!$Q$2:$T$4,4,FALSE)</f>
        <v>0.99970000000000003</v>
      </c>
      <c r="BH2066" s="25">
        <f>VLOOKUP(Inventory[[#This Row],[Qlty]],Lookups!$O$7:$R$21,4,FALSE)</f>
        <v>1.0088999999999999</v>
      </c>
      <c r="BI2066" s="25">
        <f>VLOOKUP(Inventory[[#This Row],[Cnd]],Lookups!$T$7:$W$16,4,FALSE)</f>
        <v>0.99650000000000005</v>
      </c>
      <c r="BJ2066" s="25">
        <f>VLOOKUP(Inventory[[#This Row],[LivArea Range]],Lookups!$T$25:$W$37,4,FALSE)</f>
        <v>0.96179999999999999</v>
      </c>
      <c r="BK2066" s="25">
        <f>VLOOKUP(Inventory[[#This Row],[Decade]],Lookups!$O$25:$R$42,4,FALSE)</f>
        <v>1.0074000000000001</v>
      </c>
      <c r="BL2066" s="25">
        <f>Inventory[[#This Row],[Nbhd Adj]]*0.95</f>
        <v>0.94971499999999998</v>
      </c>
      <c r="BM2066" s="25">
        <f>Inventory[[#This Row],[Nbhd Adj]]*Inventory[[#This Row],[Quality Adj]]*Inventory[[#This Row],[Condition Adj]]*Inventory[[#This Row],[Living Area Adj]]*Inventory[[#This Row],[Decade Adj]]*0.95</f>
        <v>0.92513570316765814</v>
      </c>
      <c r="BN2066" s="25">
        <f>ROUND(SUM(Inventory[[#This Row],[Mdl Qlty]:[Mdl WdDeck]])+Inventory[[#This Row],[Mdl Res Intercept]]*Inventory[[#This Row],[Res Adj ]],-2)</f>
        <v>380000</v>
      </c>
      <c r="BO2066" s="25">
        <f>ROUND(Inventory[[#This Row],[25Det]]*Inventory[[#This Row],[Det/Nbhd Adj]],-2)</f>
        <v>0</v>
      </c>
      <c r="BP2066" s="25">
        <f>Inventory[[#This Row],[Adjusted Res]]+Inventory[[#This Row],[Adj Det ]]</f>
        <v>380000</v>
      </c>
      <c r="BQ2066" s="25">
        <f>ROUND((Inventory[[#This Row],[Mdl Land Intercept]]+Inventory[[#This Row],[Mdl LnAcres]])*Inventory[[#This Row],[Det/Nbhd Adj]],-2)</f>
        <v>30200</v>
      </c>
      <c r="BR2066" s="25">
        <f>Inventory[[#This Row],[Adjusted Impr Total]]+Inventory[[#This Row],[Adjusted Land Total]]</f>
        <v>410200</v>
      </c>
      <c r="BS2066" s="36">
        <f>IFERROR((Inventory[[#This Row],[Adjusted Impr Total]]-Inventory[[#This Row],[24Bldg]])/Inventory[[#This Row],[24Bldg]],0)</f>
        <v>8.0773606370875994E-2</v>
      </c>
      <c r="BT2066" s="36">
        <f>(Inventory[[#This Row],[Adjusted Land Total]]-Inventory[[#This Row],[24Lnd]])/Inventory[[#This Row],[24Lnd]]</f>
        <v>-0.40316205533596838</v>
      </c>
      <c r="BU2066" s="36">
        <f>(Inventory[[#This Row],[Adjusted Total]]-Inventory[[#This Row],[24Final]])/Inventory[[#This Row],[24Final]]</f>
        <v>1.9890601690701143E-2</v>
      </c>
    </row>
    <row r="2067" spans="1:73" x14ac:dyDescent="0.3">
      <c r="A2067" s="25">
        <v>2025</v>
      </c>
      <c r="B2067" s="26" t="s">
        <v>1040</v>
      </c>
      <c r="C2067" s="26">
        <f>LN(Inventory[[#This Row],[Acres]])</f>
        <v>-1.8325814637483102</v>
      </c>
      <c r="D2067" s="25">
        <v>0.16</v>
      </c>
      <c r="E2067" s="31"/>
      <c r="F2067" s="26" t="s">
        <v>537</v>
      </c>
      <c r="G2067" s="26" t="s">
        <v>126</v>
      </c>
      <c r="H2067" s="26" t="s">
        <v>349</v>
      </c>
      <c r="I2067" s="26" t="s">
        <v>538</v>
      </c>
      <c r="J2067" s="26" t="s">
        <v>539</v>
      </c>
      <c r="K2067" s="26" t="s">
        <v>242</v>
      </c>
      <c r="L2067" s="26" t="s">
        <v>302</v>
      </c>
      <c r="M2067" s="26" t="s">
        <v>323</v>
      </c>
      <c r="N2067" s="26">
        <v>100</v>
      </c>
      <c r="O2067" s="26">
        <f>2024-Inventory[[#This Row],[YrBlt]]</f>
        <v>99</v>
      </c>
      <c r="P2067" s="26">
        <f>2024-Inventory[[#This Row],[EffYr]]</f>
        <v>56</v>
      </c>
      <c r="Q2067" s="25">
        <v>1925</v>
      </c>
      <c r="R2067" s="25">
        <v>1968</v>
      </c>
      <c r="S2067" s="25">
        <v>1162</v>
      </c>
      <c r="T2067" s="27"/>
      <c r="U2067" s="32">
        <v>1132</v>
      </c>
      <c r="V2067" s="32">
        <f>Inventory[[#This Row],[Bsmt]]-Inventory[[#This Row],[FnBsmt]]</f>
        <v>0</v>
      </c>
      <c r="W2067" s="32">
        <v>1132</v>
      </c>
      <c r="X2067" s="27"/>
      <c r="Y2067" s="27">
        <f>Inventory[[#This Row],[MainFn]]+Inventory[[#This Row],[UpprFn]]+Inventory[[#This Row],[FnBsmt]]+Inventory[[#This Row],[AddFn]]</f>
        <v>2294</v>
      </c>
      <c r="Z2067" s="27">
        <v>2500</v>
      </c>
      <c r="AA2067" s="25">
        <v>8</v>
      </c>
      <c r="AB2067" s="27"/>
      <c r="AC2067" s="27"/>
      <c r="AD2067" s="27"/>
      <c r="AE2067" s="27"/>
      <c r="AF2067" s="27"/>
      <c r="AG2067" s="27"/>
      <c r="AH2067" s="27"/>
      <c r="AI2067" s="25">
        <v>331288</v>
      </c>
      <c r="AJ2067" s="25">
        <v>212024</v>
      </c>
      <c r="AK2067" s="25">
        <v>40006</v>
      </c>
      <c r="AL2067" s="25">
        <v>360700</v>
      </c>
      <c r="AM2067" s="25">
        <v>50600</v>
      </c>
      <c r="AN2067" s="25">
        <v>310100</v>
      </c>
      <c r="AO2067" s="25">
        <v>0</v>
      </c>
      <c r="AP2067" s="25">
        <f>Lookups!$B$56*0</f>
        <v>0</v>
      </c>
      <c r="AQ2067" s="25">
        <f>Lookups!$B$56*1</f>
        <v>89850.625589999996</v>
      </c>
      <c r="AR2067" s="25">
        <f>Lookups!$B$57*Inventory[[#This Row],[LnAcres]]</f>
        <v>-58009.662049032086</v>
      </c>
      <c r="AS2067" s="25">
        <f>VLOOKUP(Inventory[[#This Row],[Qlty]],Lookups!$A$62:$E$75,2,FALSE)</f>
        <v>29814.093161000001</v>
      </c>
      <c r="AT2067" s="25">
        <f>VLOOKUP(Inventory[[#This Row],[Cnd]],Lookups!$A$76:$E$84,2,FALSE)</f>
        <v>160472.20319</v>
      </c>
      <c r="AU2067" s="25">
        <f>Inventory[[#This Row],[EffAge]]*Lookups!$B$85</f>
        <v>-12490.553628</v>
      </c>
      <c r="AV2067" s="25">
        <f>Inventory[[#This Row],[MainFn]]*Lookups!$B$86</f>
        <v>57412.874397074003</v>
      </c>
      <c r="AW2067" s="25">
        <f>Inventory[[#This Row],[UpprFn]]*Lookups!$B$87</f>
        <v>0</v>
      </c>
      <c r="AX2067" s="25">
        <f>Inventory[[#This Row],[AddFn]]*Lookups!$B$88</f>
        <v>0</v>
      </c>
      <c r="AY2067" s="25">
        <f>Inventory[[#This Row],[Bsmt]]*Lookups!$B$89</f>
        <v>32920.705419603997</v>
      </c>
      <c r="AZ2067" s="25">
        <f>Inventory[[#This Row],[Fixtures]]*Lookups!$B$90</f>
        <v>30336.176841600001</v>
      </c>
      <c r="BA2067" s="25">
        <f>Inventory[[#This Row],[WdDeck]]*Lookups!$B$91</f>
        <v>0</v>
      </c>
      <c r="BB2067" s="25">
        <f>ROUND(Inventory[[#This Row],[25Det]],-2)</f>
        <v>40000</v>
      </c>
      <c r="BC2067" s="25">
        <f>ROUND(SUM(Inventory[[#This Row],[Mdl Qlty]:[Mdl WdDeck]])+Inventory[[#This Row],[Mdl Res Intercept]],-2)</f>
        <v>298500</v>
      </c>
      <c r="BD2067" s="25">
        <f>ROUND(Inventory[[#This Row],[Mdl Land Intercept]]+Inventory[[#This Row],[Mdl LnAcres]],-2)</f>
        <v>31800</v>
      </c>
      <c r="BE2067" s="25">
        <f>Inventory[[#This Row],[Unadj Res Value]]+Inventory[[#This Row],[Unadj Det Value]]+Inventory[[#This Row],[Unadj Land Value]]</f>
        <v>370300</v>
      </c>
      <c r="BF2067" s="36">
        <f>(Inventory[[#This Row],[Unadj Total Value]]-Inventory[[#This Row],[24Final]])/Inventory[[#This Row],[24Final]]</f>
        <v>2.6614915442195731E-2</v>
      </c>
      <c r="BG2067" s="25">
        <f>VLOOKUP(Inventory[[#This Row],[Nbhd]],Lookups!$Q$2:$T$4,4,FALSE)</f>
        <v>0.99970000000000003</v>
      </c>
      <c r="BH2067" s="25">
        <f>VLOOKUP(Inventory[[#This Row],[Qlty]],Lookups!$O$7:$R$21,4,FALSE)</f>
        <v>1.0088999999999999</v>
      </c>
      <c r="BI2067" s="25">
        <f>VLOOKUP(Inventory[[#This Row],[Cnd]],Lookups!$T$7:$W$16,4,FALSE)</f>
        <v>0.99729999999999996</v>
      </c>
      <c r="BJ2067" s="25">
        <f>VLOOKUP(Inventory[[#This Row],[LivArea Range]],Lookups!$T$25:$W$37,4,FALSE)</f>
        <v>0.98919999999999997</v>
      </c>
      <c r="BK2067" s="25">
        <f>VLOOKUP(Inventory[[#This Row],[Decade]],Lookups!$O$25:$R$42,4,FALSE)</f>
        <v>1.0074000000000001</v>
      </c>
      <c r="BL2067" s="25">
        <f>Inventory[[#This Row],[Nbhd Adj]]*0.95</f>
        <v>0.94971499999999998</v>
      </c>
      <c r="BM2067" s="25">
        <f>Inventory[[#This Row],[Nbhd Adj]]*Inventory[[#This Row],[Quality Adj]]*Inventory[[#This Row],[Condition Adj]]*Inventory[[#This Row],[Living Area Adj]]*Inventory[[#This Row],[Decade Adj]]*0.95</f>
        <v>0.95225506796349002</v>
      </c>
      <c r="BN2067" s="25">
        <f>ROUND(SUM(Inventory[[#This Row],[Mdl Qlty]:[Mdl WdDeck]])+Inventory[[#This Row],[Mdl Res Intercept]]*Inventory[[#This Row],[Res Adj ]],-2)</f>
        <v>298500</v>
      </c>
      <c r="BO2067" s="25">
        <f>ROUND(Inventory[[#This Row],[25Det]]*Inventory[[#This Row],[Det/Nbhd Adj]],-2)</f>
        <v>38000</v>
      </c>
      <c r="BP2067" s="25">
        <f>Inventory[[#This Row],[Adjusted Res]]+Inventory[[#This Row],[Adj Det ]]</f>
        <v>336500</v>
      </c>
      <c r="BQ2067" s="25">
        <f>ROUND((Inventory[[#This Row],[Mdl Land Intercept]]+Inventory[[#This Row],[Mdl LnAcres]])*Inventory[[#This Row],[Det/Nbhd Adj]],-2)</f>
        <v>30200</v>
      </c>
      <c r="BR2067" s="25">
        <f>Inventory[[#This Row],[Adjusted Impr Total]]+Inventory[[#This Row],[Adjusted Land Total]]</f>
        <v>366700</v>
      </c>
      <c r="BS2067" s="36">
        <f>IFERROR((Inventory[[#This Row],[Adjusted Impr Total]]-Inventory[[#This Row],[24Bldg]])/Inventory[[#This Row],[24Bldg]],0)</f>
        <v>8.5133827797484685E-2</v>
      </c>
      <c r="BT2067" s="36">
        <f>(Inventory[[#This Row],[Adjusted Land Total]]-Inventory[[#This Row],[24Lnd]])/Inventory[[#This Row],[24Lnd]]</f>
        <v>-0.40316205533596838</v>
      </c>
      <c r="BU2067" s="36">
        <f>(Inventory[[#This Row],[Adjusted Total]]-Inventory[[#This Row],[24Final]])/Inventory[[#This Row],[24Final]]</f>
        <v>1.6634322151372331E-2</v>
      </c>
    </row>
    <row r="2068" spans="1:73" x14ac:dyDescent="0.3">
      <c r="A2068" s="25">
        <v>2025</v>
      </c>
      <c r="B2068" s="26" t="s">
        <v>2537</v>
      </c>
      <c r="C2068" s="26">
        <f>LN(Inventory[[#This Row],[Acres]])</f>
        <v>-1.5141277326297755</v>
      </c>
      <c r="D2068" s="25">
        <v>0.22</v>
      </c>
      <c r="E2068" s="31"/>
      <c r="F2068" s="26" t="s">
        <v>537</v>
      </c>
      <c r="G2068" s="26" t="s">
        <v>126</v>
      </c>
      <c r="H2068" s="26" t="s">
        <v>349</v>
      </c>
      <c r="I2068" s="26" t="s">
        <v>538</v>
      </c>
      <c r="J2068" s="26" t="s">
        <v>539</v>
      </c>
      <c r="K2068" s="26" t="s">
        <v>242</v>
      </c>
      <c r="L2068" s="26" t="s">
        <v>302</v>
      </c>
      <c r="M2068" s="26" t="s">
        <v>323</v>
      </c>
      <c r="N2068" s="26">
        <v>100</v>
      </c>
      <c r="O2068" s="26">
        <f>2024-Inventory[[#This Row],[YrBlt]]</f>
        <v>99</v>
      </c>
      <c r="P2068" s="26">
        <f>2024-Inventory[[#This Row],[EffYr]]</f>
        <v>22</v>
      </c>
      <c r="Q2068" s="25">
        <v>1925</v>
      </c>
      <c r="R2068" s="25">
        <v>2002</v>
      </c>
      <c r="S2068" s="25">
        <v>1205</v>
      </c>
      <c r="T2068" s="27"/>
      <c r="U2068" s="32">
        <v>1205</v>
      </c>
      <c r="V2068" s="32">
        <f>Inventory[[#This Row],[Bsmt]]-Inventory[[#This Row],[FnBsmt]]</f>
        <v>0</v>
      </c>
      <c r="W2068" s="32">
        <v>1205</v>
      </c>
      <c r="X2068" s="27"/>
      <c r="Y2068" s="27">
        <f>Inventory[[#This Row],[MainFn]]+Inventory[[#This Row],[UpprFn]]+Inventory[[#This Row],[FnBsmt]]+Inventory[[#This Row],[AddFn]]</f>
        <v>2410</v>
      </c>
      <c r="Z2068" s="27">
        <v>2500</v>
      </c>
      <c r="AA2068" s="25">
        <v>9</v>
      </c>
      <c r="AB2068" s="27"/>
      <c r="AC2068" s="27"/>
      <c r="AD2068" s="27"/>
      <c r="AE2068" s="27"/>
      <c r="AF2068" s="27"/>
      <c r="AG2068" s="27"/>
      <c r="AH2068" s="27"/>
      <c r="AI2068" s="25">
        <v>360845</v>
      </c>
      <c r="AJ2068" s="25">
        <v>328369</v>
      </c>
      <c r="AK2068" s="25">
        <v>20449</v>
      </c>
      <c r="AL2068" s="25">
        <v>367600</v>
      </c>
      <c r="AM2068" s="25">
        <v>61700</v>
      </c>
      <c r="AN2068" s="25">
        <v>305900</v>
      </c>
      <c r="AO2068" s="25">
        <v>0</v>
      </c>
      <c r="AP2068" s="25">
        <f>Lookups!$B$56*0</f>
        <v>0</v>
      </c>
      <c r="AQ2068" s="25">
        <f>Lookups!$B$56*1</f>
        <v>89850.625589999996</v>
      </c>
      <c r="AR2068" s="25">
        <f>Lookups!$B$57*Inventory[[#This Row],[LnAcres]]</f>
        <v>-47929.131559187132</v>
      </c>
      <c r="AS2068" s="25">
        <f>VLOOKUP(Inventory[[#This Row],[Qlty]],Lookups!$A$62:$E$75,2,FALSE)</f>
        <v>29814.093161000001</v>
      </c>
      <c r="AT2068" s="25">
        <f>VLOOKUP(Inventory[[#This Row],[Cnd]],Lookups!$A$76:$E$84,2,FALSE)</f>
        <v>160472.20319</v>
      </c>
      <c r="AU2068" s="25">
        <f>Inventory[[#This Row],[EffAge]]*Lookups!$B$85</f>
        <v>-4907.0032110000002</v>
      </c>
      <c r="AV2068" s="25">
        <f>Inventory[[#This Row],[MainFn]]*Lookups!$B$86</f>
        <v>59537.447201784998</v>
      </c>
      <c r="AW2068" s="25">
        <f>Inventory[[#This Row],[UpprFn]]*Lookups!$B$87</f>
        <v>0</v>
      </c>
      <c r="AX2068" s="25">
        <f>Inventory[[#This Row],[AddFn]]*Lookups!$B$88</f>
        <v>0</v>
      </c>
      <c r="AY2068" s="25">
        <f>Inventory[[#This Row],[Bsmt]]*Lookups!$B$89</f>
        <v>35043.683772634999</v>
      </c>
      <c r="AZ2068" s="25">
        <f>Inventory[[#This Row],[Fixtures]]*Lookups!$B$90</f>
        <v>34128.198946800003</v>
      </c>
      <c r="BA2068" s="25">
        <f>Inventory[[#This Row],[WdDeck]]*Lookups!$B$91</f>
        <v>0</v>
      </c>
      <c r="BB2068" s="25">
        <f>ROUND(Inventory[[#This Row],[25Det]],-2)</f>
        <v>20400</v>
      </c>
      <c r="BC2068" s="25">
        <f>ROUND(SUM(Inventory[[#This Row],[Mdl Qlty]:[Mdl WdDeck]])+Inventory[[#This Row],[Mdl Res Intercept]],-2)</f>
        <v>314100</v>
      </c>
      <c r="BD2068" s="25">
        <f>ROUND(Inventory[[#This Row],[Mdl Land Intercept]]+Inventory[[#This Row],[Mdl LnAcres]],-2)</f>
        <v>41900</v>
      </c>
      <c r="BE2068" s="25">
        <f>Inventory[[#This Row],[Unadj Res Value]]+Inventory[[#This Row],[Unadj Det Value]]+Inventory[[#This Row],[Unadj Land Value]]</f>
        <v>376400</v>
      </c>
      <c r="BF2068" s="36">
        <f>(Inventory[[#This Row],[Unadj Total Value]]-Inventory[[#This Row],[24Final]])/Inventory[[#This Row],[24Final]]</f>
        <v>2.3939064200217627E-2</v>
      </c>
      <c r="BG2068" s="25">
        <f>VLOOKUP(Inventory[[#This Row],[Nbhd]],Lookups!$Q$2:$T$4,4,FALSE)</f>
        <v>0.99970000000000003</v>
      </c>
      <c r="BH2068" s="25">
        <f>VLOOKUP(Inventory[[#This Row],[Qlty]],Lookups!$O$7:$R$21,4,FALSE)</f>
        <v>1.0088999999999999</v>
      </c>
      <c r="BI2068" s="25">
        <f>VLOOKUP(Inventory[[#This Row],[Cnd]],Lookups!$T$7:$W$16,4,FALSE)</f>
        <v>0.99729999999999996</v>
      </c>
      <c r="BJ2068" s="25">
        <f>VLOOKUP(Inventory[[#This Row],[LivArea Range]],Lookups!$T$25:$W$37,4,FALSE)</f>
        <v>0.98919999999999997</v>
      </c>
      <c r="BK2068" s="25">
        <f>VLOOKUP(Inventory[[#This Row],[Decade]],Lookups!$O$25:$R$42,4,FALSE)</f>
        <v>1.0074000000000001</v>
      </c>
      <c r="BL2068" s="25">
        <f>Inventory[[#This Row],[Nbhd Adj]]*0.95</f>
        <v>0.94971499999999998</v>
      </c>
      <c r="BM2068" s="25">
        <f>Inventory[[#This Row],[Nbhd Adj]]*Inventory[[#This Row],[Quality Adj]]*Inventory[[#This Row],[Condition Adj]]*Inventory[[#This Row],[Living Area Adj]]*Inventory[[#This Row],[Decade Adj]]*0.95</f>
        <v>0.95225506796349002</v>
      </c>
      <c r="BN2068" s="25">
        <f>ROUND(SUM(Inventory[[#This Row],[Mdl Qlty]:[Mdl WdDeck]])+Inventory[[#This Row],[Mdl Res Intercept]]*Inventory[[#This Row],[Res Adj ]],-2)</f>
        <v>314100</v>
      </c>
      <c r="BO2068" s="25">
        <f>ROUND(Inventory[[#This Row],[25Det]]*Inventory[[#This Row],[Det/Nbhd Adj]],-2)</f>
        <v>19400</v>
      </c>
      <c r="BP2068" s="25">
        <f>Inventory[[#This Row],[Adjusted Res]]+Inventory[[#This Row],[Adj Det ]]</f>
        <v>333500</v>
      </c>
      <c r="BQ2068" s="25">
        <f>ROUND((Inventory[[#This Row],[Mdl Land Intercept]]+Inventory[[#This Row],[Mdl LnAcres]])*Inventory[[#This Row],[Det/Nbhd Adj]],-2)</f>
        <v>39800</v>
      </c>
      <c r="BR2068" s="25">
        <f>Inventory[[#This Row],[Adjusted Impr Total]]+Inventory[[#This Row],[Adjusted Land Total]]</f>
        <v>373300</v>
      </c>
      <c r="BS2068" s="36">
        <f>IFERROR((Inventory[[#This Row],[Adjusted Impr Total]]-Inventory[[#This Row],[24Bldg]])/Inventory[[#This Row],[24Bldg]],0)</f>
        <v>9.0225563909774431E-2</v>
      </c>
      <c r="BT2068" s="36">
        <f>(Inventory[[#This Row],[Adjusted Land Total]]-Inventory[[#This Row],[24Lnd]])/Inventory[[#This Row],[24Lnd]]</f>
        <v>-0.35494327390599678</v>
      </c>
      <c r="BU2068" s="36">
        <f>(Inventory[[#This Row],[Adjusted Total]]-Inventory[[#This Row],[24Final]])/Inventory[[#This Row],[24Final]]</f>
        <v>1.5505984766050054E-2</v>
      </c>
    </row>
    <row r="2069" spans="1:73" x14ac:dyDescent="0.3">
      <c r="A2069" s="25">
        <v>2025</v>
      </c>
      <c r="B2069" s="26" t="s">
        <v>2498</v>
      </c>
      <c r="C2069" s="26">
        <f>LN(Inventory[[#This Row],[Acres]])</f>
        <v>-0.79850769621777162</v>
      </c>
      <c r="D2069" s="25">
        <v>0.45</v>
      </c>
      <c r="E2069" s="32">
        <v>19670</v>
      </c>
      <c r="F2069" s="26" t="s">
        <v>537</v>
      </c>
      <c r="G2069" s="26" t="s">
        <v>126</v>
      </c>
      <c r="H2069" s="26" t="s">
        <v>349</v>
      </c>
      <c r="I2069" s="26" t="s">
        <v>538</v>
      </c>
      <c r="J2069" s="26" t="s">
        <v>539</v>
      </c>
      <c r="K2069" s="26" t="s">
        <v>242</v>
      </c>
      <c r="L2069" s="26" t="s">
        <v>205</v>
      </c>
      <c r="M2069" s="26" t="s">
        <v>323</v>
      </c>
      <c r="N2069" s="26">
        <v>100</v>
      </c>
      <c r="O2069" s="26">
        <f>2024-Inventory[[#This Row],[YrBlt]]</f>
        <v>99</v>
      </c>
      <c r="P2069" s="26">
        <f>2024-Inventory[[#This Row],[EffYr]]</f>
        <v>56</v>
      </c>
      <c r="Q2069" s="25">
        <v>1925</v>
      </c>
      <c r="R2069" s="25">
        <v>1968</v>
      </c>
      <c r="S2069" s="25">
        <v>698</v>
      </c>
      <c r="T2069" s="27"/>
      <c r="U2069" s="31"/>
      <c r="V2069" s="31">
        <f>Inventory[[#This Row],[Bsmt]]-Inventory[[#This Row],[FnBsmt]]</f>
        <v>0</v>
      </c>
      <c r="W2069" s="31"/>
      <c r="X2069" s="27"/>
      <c r="Y2069" s="27">
        <f>Inventory[[#This Row],[MainFn]]+Inventory[[#This Row],[UpprFn]]+Inventory[[#This Row],[FnBsmt]]+Inventory[[#This Row],[AddFn]]</f>
        <v>698</v>
      </c>
      <c r="Z2069" s="27">
        <v>1000</v>
      </c>
      <c r="AA2069" s="25">
        <v>5</v>
      </c>
      <c r="AB2069" s="27"/>
      <c r="AC2069" s="27"/>
      <c r="AD2069" s="27"/>
      <c r="AE2069" s="27"/>
      <c r="AF2069" s="27"/>
      <c r="AG2069" s="27"/>
      <c r="AH2069" s="27"/>
      <c r="AI2069" s="25">
        <v>120343</v>
      </c>
      <c r="AJ2069" s="25">
        <v>77020</v>
      </c>
      <c r="AK2069" s="25">
        <v>0</v>
      </c>
      <c r="AL2069" s="25">
        <v>258900</v>
      </c>
      <c r="AM2069" s="25">
        <v>86700</v>
      </c>
      <c r="AN2069" s="25">
        <v>172200</v>
      </c>
      <c r="AO2069" s="25">
        <v>0</v>
      </c>
      <c r="AP2069" s="25">
        <f>Lookups!$B$56*0</f>
        <v>0</v>
      </c>
      <c r="AQ2069" s="25">
        <f>Lookups!$B$56*1</f>
        <v>89850.625589999996</v>
      </c>
      <c r="AR2069" s="25">
        <f>Lookups!$B$57*Inventory[[#This Row],[LnAcres]]</f>
        <v>-25276.45429000472</v>
      </c>
      <c r="AS2069" s="25">
        <f>VLOOKUP(Inventory[[#This Row],[Qlty]],Lookups!$A$62:$E$75,2,FALSE)</f>
        <v>0</v>
      </c>
      <c r="AT2069" s="25">
        <f>VLOOKUP(Inventory[[#This Row],[Cnd]],Lookups!$A$76:$E$84,2,FALSE)</f>
        <v>160472.20319</v>
      </c>
      <c r="AU2069" s="25">
        <f>Inventory[[#This Row],[EffAge]]*Lookups!$B$85</f>
        <v>-12490.553628</v>
      </c>
      <c r="AV2069" s="25">
        <f>Inventory[[#This Row],[MainFn]]*Lookups!$B$86</f>
        <v>34487.251574146001</v>
      </c>
      <c r="AW2069" s="25">
        <f>Inventory[[#This Row],[UpprFn]]*Lookups!$B$87</f>
        <v>0</v>
      </c>
      <c r="AX2069" s="25">
        <f>Inventory[[#This Row],[AddFn]]*Lookups!$B$88</f>
        <v>0</v>
      </c>
      <c r="AY2069" s="25">
        <f>Inventory[[#This Row],[Bsmt]]*Lookups!$B$89</f>
        <v>0</v>
      </c>
      <c r="AZ2069" s="25">
        <f>Inventory[[#This Row],[Fixtures]]*Lookups!$B$90</f>
        <v>18960.110526</v>
      </c>
      <c r="BA2069" s="25">
        <f>Inventory[[#This Row],[WdDeck]]*Lookups!$B$91</f>
        <v>0</v>
      </c>
      <c r="BB2069" s="25">
        <f>ROUND(Inventory[[#This Row],[25Det]],-2)</f>
        <v>0</v>
      </c>
      <c r="BC2069" s="25">
        <f>ROUND(SUM(Inventory[[#This Row],[Mdl Qlty]:[Mdl WdDeck]])+Inventory[[#This Row],[Mdl Res Intercept]],-2)</f>
        <v>201400</v>
      </c>
      <c r="BD2069" s="25">
        <f>ROUND(Inventory[[#This Row],[Mdl Land Intercept]]+Inventory[[#This Row],[Mdl LnAcres]],-2)</f>
        <v>64600</v>
      </c>
      <c r="BE2069" s="25">
        <f>Inventory[[#This Row],[Unadj Res Value]]+Inventory[[#This Row],[Unadj Det Value]]+Inventory[[#This Row],[Unadj Land Value]]</f>
        <v>266000</v>
      </c>
      <c r="BF2069" s="36">
        <f>(Inventory[[#This Row],[Unadj Total Value]]-Inventory[[#This Row],[24Final]])/Inventory[[#This Row],[24Final]]</f>
        <v>2.742371572035535E-2</v>
      </c>
      <c r="BG2069" s="25">
        <f>VLOOKUP(Inventory[[#This Row],[Nbhd]],Lookups!$Q$2:$T$4,4,FALSE)</f>
        <v>0.99970000000000003</v>
      </c>
      <c r="BH2069" s="25">
        <f>VLOOKUP(Inventory[[#This Row],[Qlty]],Lookups!$O$7:$R$21,4,FALSE)</f>
        <v>0.99180000000000001</v>
      </c>
      <c r="BI2069" s="25">
        <f>VLOOKUP(Inventory[[#This Row],[Cnd]],Lookups!$T$7:$W$16,4,FALSE)</f>
        <v>0.99729999999999996</v>
      </c>
      <c r="BJ2069" s="25">
        <f>VLOOKUP(Inventory[[#This Row],[LivArea Range]],Lookups!$T$25:$W$37,4,FALSE)</f>
        <v>1.0148999999999999</v>
      </c>
      <c r="BK2069" s="25">
        <f>VLOOKUP(Inventory[[#This Row],[Decade]],Lookups!$O$25:$R$42,4,FALSE)</f>
        <v>1.0074000000000001</v>
      </c>
      <c r="BL2069" s="25">
        <f>Inventory[[#This Row],[Nbhd Adj]]*0.95</f>
        <v>0.94971499999999998</v>
      </c>
      <c r="BM2069" s="25">
        <f>Inventory[[#This Row],[Nbhd Adj]]*Inventory[[#This Row],[Quality Adj]]*Inventory[[#This Row],[Condition Adj]]*Inventory[[#This Row],[Living Area Adj]]*Inventory[[#This Row],[Decade Adj]]*0.95</f>
        <v>0.96043597585476481</v>
      </c>
      <c r="BN2069" s="25">
        <f>ROUND(SUM(Inventory[[#This Row],[Mdl Qlty]:[Mdl WdDeck]])+Inventory[[#This Row],[Mdl Res Intercept]]*Inventory[[#This Row],[Res Adj ]],-2)</f>
        <v>201400</v>
      </c>
      <c r="BO2069" s="25">
        <f>ROUND(Inventory[[#This Row],[25Det]]*Inventory[[#This Row],[Det/Nbhd Adj]],-2)</f>
        <v>0</v>
      </c>
      <c r="BP2069" s="25">
        <f>Inventory[[#This Row],[Adjusted Res]]+Inventory[[#This Row],[Adj Det ]]</f>
        <v>201400</v>
      </c>
      <c r="BQ2069" s="25">
        <f>ROUND((Inventory[[#This Row],[Mdl Land Intercept]]+Inventory[[#This Row],[Mdl LnAcres]])*Inventory[[#This Row],[Det/Nbhd Adj]],-2)</f>
        <v>61300</v>
      </c>
      <c r="BR2069" s="25">
        <f>Inventory[[#This Row],[Adjusted Impr Total]]+Inventory[[#This Row],[Adjusted Land Total]]</f>
        <v>262700</v>
      </c>
      <c r="BS2069" s="36">
        <f>IFERROR((Inventory[[#This Row],[Adjusted Impr Total]]-Inventory[[#This Row],[24Bldg]])/Inventory[[#This Row],[24Bldg]],0)</f>
        <v>0.16957026713124274</v>
      </c>
      <c r="BT2069" s="36">
        <f>(Inventory[[#This Row],[Adjusted Land Total]]-Inventory[[#This Row],[24Lnd]])/Inventory[[#This Row],[24Lnd]]</f>
        <v>-0.29296424452133796</v>
      </c>
      <c r="BU2069" s="36">
        <f>(Inventory[[#This Row],[Adjusted Total]]-Inventory[[#This Row],[24Final]])/Inventory[[#This Row],[24Final]]</f>
        <v>1.4677481653147934E-2</v>
      </c>
    </row>
    <row r="2070" spans="1:73" x14ac:dyDescent="0.3">
      <c r="A2070" s="25">
        <v>2025</v>
      </c>
      <c r="B2070" s="26" t="s">
        <v>1577</v>
      </c>
      <c r="C2070" s="26">
        <f>LN(Inventory[[#This Row],[Acres]])</f>
        <v>-1.6607312068216509</v>
      </c>
      <c r="D2070" s="25">
        <v>0.19</v>
      </c>
      <c r="E2070" s="31"/>
      <c r="F2070" s="26" t="s">
        <v>537</v>
      </c>
      <c r="G2070" s="26" t="s">
        <v>126</v>
      </c>
      <c r="H2070" s="26" t="s">
        <v>349</v>
      </c>
      <c r="I2070" s="26" t="s">
        <v>538</v>
      </c>
      <c r="J2070" s="26" t="s">
        <v>539</v>
      </c>
      <c r="K2070" s="26" t="s">
        <v>242</v>
      </c>
      <c r="L2070" s="26" t="s">
        <v>351</v>
      </c>
      <c r="M2070" s="26" t="s">
        <v>323</v>
      </c>
      <c r="N2070" s="26">
        <v>100</v>
      </c>
      <c r="O2070" s="26">
        <f>2024-Inventory[[#This Row],[YrBlt]]</f>
        <v>99</v>
      </c>
      <c r="P2070" s="26">
        <f>2024-Inventory[[#This Row],[EffYr]]</f>
        <v>56</v>
      </c>
      <c r="Q2070" s="25">
        <v>1925</v>
      </c>
      <c r="R2070" s="25">
        <v>1968</v>
      </c>
      <c r="S2070" s="25">
        <v>1588</v>
      </c>
      <c r="T2070" s="27"/>
      <c r="U2070" s="25">
        <v>1272</v>
      </c>
      <c r="V2070" s="32">
        <f>Inventory[[#This Row],[Bsmt]]-Inventory[[#This Row],[FnBsmt]]</f>
        <v>320</v>
      </c>
      <c r="W2070" s="32">
        <v>952</v>
      </c>
      <c r="X2070" s="27"/>
      <c r="Y2070" s="27">
        <f>Inventory[[#This Row],[MainFn]]+Inventory[[#This Row],[UpprFn]]+Inventory[[#This Row],[FnBsmt]]+Inventory[[#This Row],[AddFn]]</f>
        <v>2540</v>
      </c>
      <c r="Z2070" s="27">
        <v>3000</v>
      </c>
      <c r="AA2070" s="25">
        <v>7</v>
      </c>
      <c r="AB2070" s="27"/>
      <c r="AC2070" s="27"/>
      <c r="AD2070" s="27"/>
      <c r="AE2070" s="27"/>
      <c r="AF2070" s="27"/>
      <c r="AG2070" s="27"/>
      <c r="AH2070" s="27"/>
      <c r="AI2070" s="25">
        <v>329111</v>
      </c>
      <c r="AJ2070" s="25">
        <v>210631</v>
      </c>
      <c r="AK2070" s="25">
        <v>7397</v>
      </c>
      <c r="AL2070" s="25">
        <v>349100</v>
      </c>
      <c r="AM2070" s="25">
        <v>56600</v>
      </c>
      <c r="AN2070" s="25">
        <v>292500</v>
      </c>
      <c r="AO2070" s="25">
        <v>0</v>
      </c>
      <c r="AP2070" s="25">
        <f>Lookups!$B$56*0</f>
        <v>0</v>
      </c>
      <c r="AQ2070" s="25">
        <f>Lookups!$B$56*1</f>
        <v>89850.625589999996</v>
      </c>
      <c r="AR2070" s="25">
        <f>Lookups!$B$57*Inventory[[#This Row],[LnAcres]]</f>
        <v>-52569.808201026557</v>
      </c>
      <c r="AS2070" s="25">
        <f>VLOOKUP(Inventory[[#This Row],[Qlty]],Lookups!$A$62:$E$75,2,FALSE)</f>
        <v>21557.329055999999</v>
      </c>
      <c r="AT2070" s="25">
        <f>VLOOKUP(Inventory[[#This Row],[Cnd]],Lookups!$A$76:$E$84,2,FALSE)</f>
        <v>160472.20319</v>
      </c>
      <c r="AU2070" s="25">
        <f>Inventory[[#This Row],[EffAge]]*Lookups!$B$85</f>
        <v>-12490.553628</v>
      </c>
      <c r="AV2070" s="25">
        <f>Inventory[[#This Row],[MainFn]]*Lookups!$B$86</f>
        <v>78460.967764675996</v>
      </c>
      <c r="AW2070" s="25">
        <f>Inventory[[#This Row],[UpprFn]]*Lookups!$B$87</f>
        <v>0</v>
      </c>
      <c r="AX2070" s="25">
        <f>Inventory[[#This Row],[AddFn]]*Lookups!$B$88</f>
        <v>0</v>
      </c>
      <c r="AY2070" s="25">
        <f>Inventory[[#This Row],[Bsmt]]*Lookups!$B$89</f>
        <v>36992.170754184001</v>
      </c>
      <c r="AZ2070" s="25">
        <f>Inventory[[#This Row],[Fixtures]]*Lookups!$B$90</f>
        <v>26544.1547364</v>
      </c>
      <c r="BA2070" s="25">
        <f>Inventory[[#This Row],[WdDeck]]*Lookups!$B$91</f>
        <v>0</v>
      </c>
      <c r="BB2070" s="25">
        <f>ROUND(Inventory[[#This Row],[25Det]],-2)</f>
        <v>7400</v>
      </c>
      <c r="BC2070" s="25">
        <f>ROUND(SUM(Inventory[[#This Row],[Mdl Qlty]:[Mdl WdDeck]])+Inventory[[#This Row],[Mdl Res Intercept]],-2)</f>
        <v>311500</v>
      </c>
      <c r="BD2070" s="25">
        <f>ROUND(Inventory[[#This Row],[Mdl Land Intercept]]+Inventory[[#This Row],[Mdl LnAcres]],-2)</f>
        <v>37300</v>
      </c>
      <c r="BE2070" s="25">
        <f>Inventory[[#This Row],[Unadj Res Value]]+Inventory[[#This Row],[Unadj Det Value]]+Inventory[[#This Row],[Unadj Land Value]]</f>
        <v>356200</v>
      </c>
      <c r="BF2070" s="36">
        <f>(Inventory[[#This Row],[Unadj Total Value]]-Inventory[[#This Row],[24Final]])/Inventory[[#This Row],[24Final]]</f>
        <v>2.0338012030936693E-2</v>
      </c>
      <c r="BG2070" s="25">
        <f>VLOOKUP(Inventory[[#This Row],[Nbhd]],Lookups!$Q$2:$T$4,4,FALSE)</f>
        <v>0.99970000000000003</v>
      </c>
      <c r="BH2070" s="25">
        <f>VLOOKUP(Inventory[[#This Row],[Qlty]],Lookups!$O$7:$R$21,4,FALSE)</f>
        <v>1.0067999999999999</v>
      </c>
      <c r="BI2070" s="25">
        <f>VLOOKUP(Inventory[[#This Row],[Cnd]],Lookups!$T$7:$W$16,4,FALSE)</f>
        <v>0.99729999999999996</v>
      </c>
      <c r="BJ2070" s="25">
        <f>VLOOKUP(Inventory[[#This Row],[LivArea Range]],Lookups!$T$25:$W$37,4,FALSE)</f>
        <v>0.96179999999999999</v>
      </c>
      <c r="BK2070" s="25">
        <f>VLOOKUP(Inventory[[#This Row],[Decade]],Lookups!$O$25:$R$42,4,FALSE)</f>
        <v>1.0074000000000001</v>
      </c>
      <c r="BL2070" s="25">
        <f>Inventory[[#This Row],[Nbhd Adj]]*0.95</f>
        <v>0.94971499999999998</v>
      </c>
      <c r="BM2070" s="25">
        <f>Inventory[[#This Row],[Nbhd Adj]]*Inventory[[#This Row],[Quality Adj]]*Inventory[[#This Row],[Condition Adj]]*Inventory[[#This Row],[Living Area Adj]]*Inventory[[#This Row],[Decade Adj]]*0.95</f>
        <v>0.9239512185593729</v>
      </c>
      <c r="BN2070" s="25">
        <f>ROUND(SUM(Inventory[[#This Row],[Mdl Qlty]:[Mdl WdDeck]])+Inventory[[#This Row],[Mdl Res Intercept]]*Inventory[[#This Row],[Res Adj ]],-2)</f>
        <v>311500</v>
      </c>
      <c r="BO2070" s="25">
        <f>ROUND(Inventory[[#This Row],[25Det]]*Inventory[[#This Row],[Det/Nbhd Adj]],-2)</f>
        <v>7000</v>
      </c>
      <c r="BP2070" s="25">
        <f>Inventory[[#This Row],[Adjusted Res]]+Inventory[[#This Row],[Adj Det ]]</f>
        <v>318500</v>
      </c>
      <c r="BQ2070" s="25">
        <f>ROUND((Inventory[[#This Row],[Mdl Land Intercept]]+Inventory[[#This Row],[Mdl LnAcres]])*Inventory[[#This Row],[Det/Nbhd Adj]],-2)</f>
        <v>35400</v>
      </c>
      <c r="BR2070" s="25">
        <f>Inventory[[#This Row],[Adjusted Impr Total]]+Inventory[[#This Row],[Adjusted Land Total]]</f>
        <v>353900</v>
      </c>
      <c r="BS2070" s="36">
        <f>IFERROR((Inventory[[#This Row],[Adjusted Impr Total]]-Inventory[[#This Row],[24Bldg]])/Inventory[[#This Row],[24Bldg]],0)</f>
        <v>8.8888888888888892E-2</v>
      </c>
      <c r="BT2070" s="36">
        <f>(Inventory[[#This Row],[Adjusted Land Total]]-Inventory[[#This Row],[24Lnd]])/Inventory[[#This Row],[24Lnd]]</f>
        <v>-0.37455830388692579</v>
      </c>
      <c r="BU2070" s="36">
        <f>(Inventory[[#This Row],[Adjusted Total]]-Inventory[[#This Row],[24Final]])/Inventory[[#This Row],[24Final]]</f>
        <v>1.3749641936407906E-2</v>
      </c>
    </row>
    <row r="2071" spans="1:73" x14ac:dyDescent="0.3">
      <c r="A2071" s="25">
        <v>2025</v>
      </c>
      <c r="B2071" s="26" t="s">
        <v>2589</v>
      </c>
      <c r="C2071" s="26">
        <f>LN(Inventory[[#This Row],[Acres]])</f>
        <v>-1.8325814637483102</v>
      </c>
      <c r="D2071" s="25">
        <v>0.16</v>
      </c>
      <c r="E2071" s="32">
        <v>7000</v>
      </c>
      <c r="F2071" s="26" t="s">
        <v>537</v>
      </c>
      <c r="G2071" s="26" t="s">
        <v>126</v>
      </c>
      <c r="H2071" s="26" t="s">
        <v>349</v>
      </c>
      <c r="I2071" s="26" t="s">
        <v>538</v>
      </c>
      <c r="J2071" s="26" t="s">
        <v>539</v>
      </c>
      <c r="K2071" s="26" t="s">
        <v>241</v>
      </c>
      <c r="L2071" s="26" t="s">
        <v>351</v>
      </c>
      <c r="M2071" s="26" t="s">
        <v>323</v>
      </c>
      <c r="N2071" s="26">
        <v>100</v>
      </c>
      <c r="O2071" s="26">
        <f>2024-Inventory[[#This Row],[YrBlt]]</f>
        <v>99</v>
      </c>
      <c r="P2071" s="26">
        <f>2024-Inventory[[#This Row],[EffYr]]</f>
        <v>56</v>
      </c>
      <c r="Q2071" s="25">
        <v>1925</v>
      </c>
      <c r="R2071" s="25">
        <v>1968</v>
      </c>
      <c r="S2071" s="25">
        <v>1161</v>
      </c>
      <c r="T2071" s="27"/>
      <c r="U2071" s="25">
        <v>490</v>
      </c>
      <c r="V2071" s="32">
        <f>Inventory[[#This Row],[Bsmt]]-Inventory[[#This Row],[FnBsmt]]</f>
        <v>0</v>
      </c>
      <c r="W2071" s="32">
        <v>490</v>
      </c>
      <c r="X2071" s="27"/>
      <c r="Y2071" s="27">
        <f>Inventory[[#This Row],[MainFn]]+Inventory[[#This Row],[UpprFn]]+Inventory[[#This Row],[FnBsmt]]+Inventory[[#This Row],[AddFn]]</f>
        <v>1651</v>
      </c>
      <c r="Z2071" s="27">
        <v>2000</v>
      </c>
      <c r="AA2071" s="25">
        <v>5</v>
      </c>
      <c r="AB2071" s="31"/>
      <c r="AC2071" s="27"/>
      <c r="AD2071" s="27"/>
      <c r="AE2071" s="27"/>
      <c r="AF2071" s="27"/>
      <c r="AG2071" s="27"/>
      <c r="AH2071" s="27"/>
      <c r="AI2071" s="25">
        <v>242311</v>
      </c>
      <c r="AJ2071" s="25">
        <v>155079</v>
      </c>
      <c r="AK2071" s="25">
        <v>4872</v>
      </c>
      <c r="AL2071" s="25">
        <v>291200</v>
      </c>
      <c r="AM2071" s="25">
        <v>50600</v>
      </c>
      <c r="AN2071" s="25">
        <v>240600</v>
      </c>
      <c r="AO2071" s="25">
        <v>0</v>
      </c>
      <c r="AP2071" s="25">
        <f>Lookups!$B$56*0</f>
        <v>0</v>
      </c>
      <c r="AQ2071" s="25">
        <f>Lookups!$B$56*1</f>
        <v>89850.625589999996</v>
      </c>
      <c r="AR2071" s="25">
        <f>Lookups!$B$57*Inventory[[#This Row],[LnAcres]]</f>
        <v>-58009.662049032086</v>
      </c>
      <c r="AS2071" s="25">
        <f>VLOOKUP(Inventory[[#This Row],[Qlty]],Lookups!$A$62:$E$75,2,FALSE)</f>
        <v>21557.329055999999</v>
      </c>
      <c r="AT2071" s="25">
        <f>VLOOKUP(Inventory[[#This Row],[Cnd]],Lookups!$A$76:$E$84,2,FALSE)</f>
        <v>160472.20319</v>
      </c>
      <c r="AU2071" s="25">
        <f>Inventory[[#This Row],[EffAge]]*Lookups!$B$85</f>
        <v>-12490.553628</v>
      </c>
      <c r="AV2071" s="25">
        <f>Inventory[[#This Row],[MainFn]]*Lookups!$B$86</f>
        <v>57363.465727196999</v>
      </c>
      <c r="AW2071" s="25">
        <f>Inventory[[#This Row],[UpprFn]]*Lookups!$B$87</f>
        <v>0</v>
      </c>
      <c r="AX2071" s="25">
        <f>Inventory[[#This Row],[AddFn]]*Lookups!$B$88</f>
        <v>0</v>
      </c>
      <c r="AY2071" s="25">
        <f>Inventory[[#This Row],[Bsmt]]*Lookups!$B$89</f>
        <v>14250.128671029999</v>
      </c>
      <c r="AZ2071" s="25">
        <f>Inventory[[#This Row],[Fixtures]]*Lookups!$B$90</f>
        <v>18960.110526</v>
      </c>
      <c r="BA2071" s="25">
        <f>Inventory[[#This Row],[WdDeck]]*Lookups!$B$91</f>
        <v>0</v>
      </c>
      <c r="BB2071" s="25">
        <f>ROUND(Inventory[[#This Row],[25Det]],-2)</f>
        <v>4900</v>
      </c>
      <c r="BC2071" s="25">
        <f>ROUND(SUM(Inventory[[#This Row],[Mdl Qlty]:[Mdl WdDeck]])+Inventory[[#This Row],[Mdl Res Intercept]],-2)</f>
        <v>260100</v>
      </c>
      <c r="BD2071" s="25">
        <f>ROUND(Inventory[[#This Row],[Mdl Land Intercept]]+Inventory[[#This Row],[Mdl LnAcres]],-2)</f>
        <v>31800</v>
      </c>
      <c r="BE2071" s="25">
        <f>Inventory[[#This Row],[Unadj Res Value]]+Inventory[[#This Row],[Unadj Det Value]]+Inventory[[#This Row],[Unadj Land Value]]</f>
        <v>296800</v>
      </c>
      <c r="BF2071" s="36">
        <f>(Inventory[[#This Row],[Unadj Total Value]]-Inventory[[#This Row],[24Final]])/Inventory[[#This Row],[24Final]]</f>
        <v>1.9230769230769232E-2</v>
      </c>
      <c r="BG2071" s="25">
        <f>VLOOKUP(Inventory[[#This Row],[Nbhd]],Lookups!$Q$2:$T$4,4,FALSE)</f>
        <v>0.99970000000000003</v>
      </c>
      <c r="BH2071" s="25">
        <f>VLOOKUP(Inventory[[#This Row],[Qlty]],Lookups!$O$7:$R$21,4,FALSE)</f>
        <v>1.0067999999999999</v>
      </c>
      <c r="BI2071" s="25">
        <f>VLOOKUP(Inventory[[#This Row],[Cnd]],Lookups!$T$7:$W$16,4,FALSE)</f>
        <v>0.99729999999999996</v>
      </c>
      <c r="BJ2071" s="25">
        <f>VLOOKUP(Inventory[[#This Row],[LivArea Range]],Lookups!$T$25:$W$37,4,FALSE)</f>
        <v>1.0093000000000001</v>
      </c>
      <c r="BK2071" s="25">
        <f>VLOOKUP(Inventory[[#This Row],[Decade]],Lookups!$O$25:$R$42,4,FALSE)</f>
        <v>1.0074000000000001</v>
      </c>
      <c r="BL2071" s="25">
        <f>Inventory[[#This Row],[Nbhd Adj]]*0.95</f>
        <v>0.94971499999999998</v>
      </c>
      <c r="BM2071" s="25">
        <f>Inventory[[#This Row],[Nbhd Adj]]*Inventory[[#This Row],[Quality Adj]]*Inventory[[#This Row],[Condition Adj]]*Inventory[[#This Row],[Living Area Adj]]*Inventory[[#This Row],[Decade Adj]]*0.95</f>
        <v>0.96958199718441984</v>
      </c>
      <c r="BN2071" s="25">
        <f>ROUND(SUM(Inventory[[#This Row],[Mdl Qlty]:[Mdl WdDeck]])+Inventory[[#This Row],[Mdl Res Intercept]]*Inventory[[#This Row],[Res Adj ]],-2)</f>
        <v>260100</v>
      </c>
      <c r="BO2071" s="25">
        <f>ROUND(Inventory[[#This Row],[25Det]]*Inventory[[#This Row],[Det/Nbhd Adj]],-2)</f>
        <v>4600</v>
      </c>
      <c r="BP2071" s="25">
        <f>Inventory[[#This Row],[Adjusted Res]]+Inventory[[#This Row],[Adj Det ]]</f>
        <v>264700</v>
      </c>
      <c r="BQ2071" s="25">
        <f>ROUND((Inventory[[#This Row],[Mdl Land Intercept]]+Inventory[[#This Row],[Mdl LnAcres]])*Inventory[[#This Row],[Det/Nbhd Adj]],-2)</f>
        <v>30200</v>
      </c>
      <c r="BR2071" s="25">
        <f>Inventory[[#This Row],[Adjusted Impr Total]]+Inventory[[#This Row],[Adjusted Land Total]]</f>
        <v>294900</v>
      </c>
      <c r="BS2071" s="36">
        <f>IFERROR((Inventory[[#This Row],[Adjusted Impr Total]]-Inventory[[#This Row],[24Bldg]])/Inventory[[#This Row],[24Bldg]],0)</f>
        <v>0.100166251039069</v>
      </c>
      <c r="BT2071" s="36">
        <f>(Inventory[[#This Row],[Adjusted Land Total]]-Inventory[[#This Row],[24Lnd]])/Inventory[[#This Row],[24Lnd]]</f>
        <v>-0.40316205533596838</v>
      </c>
      <c r="BU2071" s="36">
        <f>(Inventory[[#This Row],[Adjusted Total]]-Inventory[[#This Row],[24Final]])/Inventory[[#This Row],[24Final]]</f>
        <v>1.2706043956043956E-2</v>
      </c>
    </row>
    <row r="2072" spans="1:73" x14ac:dyDescent="0.3">
      <c r="A2072" s="25">
        <v>2025</v>
      </c>
      <c r="B2072" s="26" t="s">
        <v>1857</v>
      </c>
      <c r="C2072" s="26">
        <f>LN(Inventory[[#This Row],[Acres]])</f>
        <v>-1.8325814637483102</v>
      </c>
      <c r="D2072" s="25">
        <v>0.16</v>
      </c>
      <c r="E2072" s="31"/>
      <c r="F2072" s="26" t="s">
        <v>537</v>
      </c>
      <c r="G2072" s="26" t="s">
        <v>126</v>
      </c>
      <c r="H2072" s="26" t="s">
        <v>349</v>
      </c>
      <c r="I2072" s="26" t="s">
        <v>538</v>
      </c>
      <c r="J2072" s="26" t="s">
        <v>539</v>
      </c>
      <c r="K2072" s="26" t="s">
        <v>269</v>
      </c>
      <c r="L2072" s="26" t="s">
        <v>351</v>
      </c>
      <c r="M2072" s="26" t="s">
        <v>323</v>
      </c>
      <c r="N2072" s="26">
        <v>100</v>
      </c>
      <c r="O2072" s="26">
        <f>2024-Inventory[[#This Row],[YrBlt]]</f>
        <v>99</v>
      </c>
      <c r="P2072" s="26">
        <f>2024-Inventory[[#This Row],[EffYr]]</f>
        <v>56</v>
      </c>
      <c r="Q2072" s="25">
        <v>1925</v>
      </c>
      <c r="R2072" s="25">
        <v>1968</v>
      </c>
      <c r="S2072" s="25">
        <v>1228</v>
      </c>
      <c r="T2072" s="31"/>
      <c r="U2072" s="25">
        <v>1228</v>
      </c>
      <c r="V2072" s="32">
        <f>Inventory[[#This Row],[Bsmt]]-Inventory[[#This Row],[FnBsmt]]</f>
        <v>0</v>
      </c>
      <c r="W2072" s="32">
        <v>1228</v>
      </c>
      <c r="X2072" s="27"/>
      <c r="Y2072" s="27">
        <f>Inventory[[#This Row],[MainFn]]+Inventory[[#This Row],[UpprFn]]+Inventory[[#This Row],[FnBsmt]]+Inventory[[#This Row],[AddFn]]</f>
        <v>2456</v>
      </c>
      <c r="Z2072" s="27">
        <v>2500</v>
      </c>
      <c r="AA2072" s="25">
        <v>5</v>
      </c>
      <c r="AB2072" s="31"/>
      <c r="AC2072" s="27"/>
      <c r="AD2072" s="27"/>
      <c r="AE2072" s="27"/>
      <c r="AF2072" s="27"/>
      <c r="AG2072" s="27"/>
      <c r="AH2072" s="27"/>
      <c r="AI2072" s="25">
        <v>294497</v>
      </c>
      <c r="AJ2072" s="25">
        <v>188478</v>
      </c>
      <c r="AK2072" s="25">
        <v>5605</v>
      </c>
      <c r="AL2072" s="25">
        <v>316400</v>
      </c>
      <c r="AM2072" s="25">
        <v>50600</v>
      </c>
      <c r="AN2072" s="25">
        <v>265800</v>
      </c>
      <c r="AO2072" s="25">
        <v>0</v>
      </c>
      <c r="AP2072" s="25">
        <f>Lookups!$B$56*0</f>
        <v>0</v>
      </c>
      <c r="AQ2072" s="25">
        <f>Lookups!$B$56*1</f>
        <v>89850.625589999996</v>
      </c>
      <c r="AR2072" s="25">
        <f>Lookups!$B$57*Inventory[[#This Row],[LnAcres]]</f>
        <v>-58009.662049032086</v>
      </c>
      <c r="AS2072" s="25">
        <f>VLOOKUP(Inventory[[#This Row],[Qlty]],Lookups!$A$62:$E$75,2,FALSE)</f>
        <v>21557.329055999999</v>
      </c>
      <c r="AT2072" s="25">
        <f>VLOOKUP(Inventory[[#This Row],[Cnd]],Lookups!$A$76:$E$84,2,FALSE)</f>
        <v>160472.20319</v>
      </c>
      <c r="AU2072" s="25">
        <f>Inventory[[#This Row],[EffAge]]*Lookups!$B$85</f>
        <v>-12490.553628</v>
      </c>
      <c r="AV2072" s="25">
        <f>Inventory[[#This Row],[MainFn]]*Lookups!$B$86</f>
        <v>60673.846608956002</v>
      </c>
      <c r="AW2072" s="25">
        <f>Inventory[[#This Row],[UpprFn]]*Lookups!$B$87</f>
        <v>0</v>
      </c>
      <c r="AX2072" s="25">
        <f>Inventory[[#This Row],[AddFn]]*Lookups!$B$88</f>
        <v>0</v>
      </c>
      <c r="AY2072" s="25">
        <f>Inventory[[#This Row],[Bsmt]]*Lookups!$B$89</f>
        <v>35712.567363315997</v>
      </c>
      <c r="AZ2072" s="25">
        <f>Inventory[[#This Row],[Fixtures]]*Lookups!$B$90</f>
        <v>18960.110526</v>
      </c>
      <c r="BA2072" s="25">
        <f>Inventory[[#This Row],[WdDeck]]*Lookups!$B$91</f>
        <v>0</v>
      </c>
      <c r="BB2072" s="25">
        <f>ROUND(Inventory[[#This Row],[25Det]],-2)</f>
        <v>5600</v>
      </c>
      <c r="BC2072" s="25">
        <f>ROUND(SUM(Inventory[[#This Row],[Mdl Qlty]:[Mdl WdDeck]])+Inventory[[#This Row],[Mdl Res Intercept]],-2)</f>
        <v>284900</v>
      </c>
      <c r="BD2072" s="25">
        <f>ROUND(Inventory[[#This Row],[Mdl Land Intercept]]+Inventory[[#This Row],[Mdl LnAcres]],-2)</f>
        <v>31800</v>
      </c>
      <c r="BE2072" s="25">
        <f>Inventory[[#This Row],[Unadj Res Value]]+Inventory[[#This Row],[Unadj Det Value]]+Inventory[[#This Row],[Unadj Land Value]]</f>
        <v>322300</v>
      </c>
      <c r="BF2072" s="36">
        <f>(Inventory[[#This Row],[Unadj Total Value]]-Inventory[[#This Row],[24Final]])/Inventory[[#This Row],[24Final]]</f>
        <v>1.8647281921618204E-2</v>
      </c>
      <c r="BG2072" s="25">
        <f>VLOOKUP(Inventory[[#This Row],[Nbhd]],Lookups!$Q$2:$T$4,4,FALSE)</f>
        <v>0.99970000000000003</v>
      </c>
      <c r="BH2072" s="25">
        <f>VLOOKUP(Inventory[[#This Row],[Qlty]],Lookups!$O$7:$R$21,4,FALSE)</f>
        <v>1.0067999999999999</v>
      </c>
      <c r="BI2072" s="25">
        <f>VLOOKUP(Inventory[[#This Row],[Cnd]],Lookups!$T$7:$W$16,4,FALSE)</f>
        <v>0.99729999999999996</v>
      </c>
      <c r="BJ2072" s="25">
        <f>VLOOKUP(Inventory[[#This Row],[LivArea Range]],Lookups!$T$25:$W$37,4,FALSE)</f>
        <v>0.98919999999999997</v>
      </c>
      <c r="BK2072" s="25">
        <f>VLOOKUP(Inventory[[#This Row],[Decade]],Lookups!$O$25:$R$42,4,FALSE)</f>
        <v>1.0074000000000001</v>
      </c>
      <c r="BL2072" s="25">
        <f>Inventory[[#This Row],[Nbhd Adj]]*0.95</f>
        <v>0.94971499999999998</v>
      </c>
      <c r="BM2072" s="25">
        <f>Inventory[[#This Row],[Nbhd Adj]]*Inventory[[#This Row],[Quality Adj]]*Inventory[[#This Row],[Condition Adj]]*Inventory[[#This Row],[Living Area Adj]]*Inventory[[#This Row],[Decade Adj]]*0.95</f>
        <v>0.95027297296624202</v>
      </c>
      <c r="BN2072" s="25">
        <f>ROUND(SUM(Inventory[[#This Row],[Mdl Qlty]:[Mdl WdDeck]])+Inventory[[#This Row],[Mdl Res Intercept]]*Inventory[[#This Row],[Res Adj ]],-2)</f>
        <v>284900</v>
      </c>
      <c r="BO2072" s="25">
        <f>ROUND(Inventory[[#This Row],[25Det]]*Inventory[[#This Row],[Det/Nbhd Adj]],-2)</f>
        <v>5300</v>
      </c>
      <c r="BP2072" s="25">
        <f>Inventory[[#This Row],[Adjusted Res]]+Inventory[[#This Row],[Adj Det ]]</f>
        <v>290200</v>
      </c>
      <c r="BQ2072" s="25">
        <f>ROUND((Inventory[[#This Row],[Mdl Land Intercept]]+Inventory[[#This Row],[Mdl LnAcres]])*Inventory[[#This Row],[Det/Nbhd Adj]],-2)</f>
        <v>30200</v>
      </c>
      <c r="BR2072" s="25">
        <f>Inventory[[#This Row],[Adjusted Impr Total]]+Inventory[[#This Row],[Adjusted Land Total]]</f>
        <v>320400</v>
      </c>
      <c r="BS2072" s="36">
        <f>IFERROR((Inventory[[#This Row],[Adjusted Impr Total]]-Inventory[[#This Row],[24Bldg]])/Inventory[[#This Row],[24Bldg]],0)</f>
        <v>9.1798344620015043E-2</v>
      </c>
      <c r="BT2072" s="36">
        <f>(Inventory[[#This Row],[Adjusted Land Total]]-Inventory[[#This Row],[24Lnd]])/Inventory[[#This Row],[24Lnd]]</f>
        <v>-0.40316205533596838</v>
      </c>
      <c r="BU2072" s="36">
        <f>(Inventory[[#This Row],[Adjusted Total]]-Inventory[[#This Row],[24Final]])/Inventory[[#This Row],[24Final]]</f>
        <v>1.2642225031605562E-2</v>
      </c>
    </row>
    <row r="2073" spans="1:73" x14ac:dyDescent="0.3">
      <c r="A2073" s="25">
        <v>2025</v>
      </c>
      <c r="B2073" s="26" t="s">
        <v>916</v>
      </c>
      <c r="C2073" s="26">
        <f>LN(Inventory[[#This Row],[Acres]])</f>
        <v>-1.1711829815029451</v>
      </c>
      <c r="D2073" s="25">
        <v>0.31</v>
      </c>
      <c r="E2073" s="25">
        <v>13698</v>
      </c>
      <c r="F2073" s="26" t="s">
        <v>537</v>
      </c>
      <c r="G2073" s="26" t="s">
        <v>126</v>
      </c>
      <c r="H2073" s="26" t="s">
        <v>349</v>
      </c>
      <c r="I2073" s="26" t="s">
        <v>538</v>
      </c>
      <c r="J2073" s="26" t="s">
        <v>539</v>
      </c>
      <c r="K2073" s="26" t="s">
        <v>416</v>
      </c>
      <c r="L2073" s="26" t="s">
        <v>302</v>
      </c>
      <c r="M2073" s="26" t="s">
        <v>323</v>
      </c>
      <c r="N2073" s="26">
        <v>100</v>
      </c>
      <c r="O2073" s="26">
        <f>2024-Inventory[[#This Row],[YrBlt]]</f>
        <v>99</v>
      </c>
      <c r="P2073" s="26">
        <f>2024-Inventory[[#This Row],[EffYr]]</f>
        <v>56</v>
      </c>
      <c r="Q2073" s="25">
        <v>1925</v>
      </c>
      <c r="R2073" s="25">
        <v>1968</v>
      </c>
      <c r="S2073" s="25">
        <v>1217</v>
      </c>
      <c r="T2073" s="25">
        <v>396</v>
      </c>
      <c r="U2073" s="25">
        <v>390</v>
      </c>
      <c r="V2073" s="25">
        <f>Inventory[[#This Row],[Bsmt]]-Inventory[[#This Row],[FnBsmt]]</f>
        <v>190</v>
      </c>
      <c r="W2073" s="25">
        <v>200</v>
      </c>
      <c r="X2073" s="27"/>
      <c r="Y2073" s="27">
        <f>Inventory[[#This Row],[MainFn]]+Inventory[[#This Row],[UpprFn]]+Inventory[[#This Row],[FnBsmt]]+Inventory[[#This Row],[AddFn]]</f>
        <v>1813</v>
      </c>
      <c r="Z2073" s="27">
        <v>2000</v>
      </c>
      <c r="AA2073" s="25">
        <v>8</v>
      </c>
      <c r="AB2073" s="31"/>
      <c r="AC2073" s="27"/>
      <c r="AD2073" s="27"/>
      <c r="AE2073" s="27"/>
      <c r="AF2073" s="27"/>
      <c r="AG2073" s="27"/>
      <c r="AH2073" s="27"/>
      <c r="AI2073" s="25">
        <v>342899</v>
      </c>
      <c r="AJ2073" s="25">
        <v>219455</v>
      </c>
      <c r="AK2073" s="25">
        <v>0</v>
      </c>
      <c r="AL2073" s="25">
        <v>344400</v>
      </c>
      <c r="AM2073" s="25">
        <v>73700</v>
      </c>
      <c r="AN2073" s="25">
        <v>270700</v>
      </c>
      <c r="AO2073" s="25">
        <v>0</v>
      </c>
      <c r="AP2073" s="25">
        <f>Lookups!$B$56*0</f>
        <v>0</v>
      </c>
      <c r="AQ2073" s="25">
        <f>Lookups!$B$56*1</f>
        <v>89850.625589999996</v>
      </c>
      <c r="AR2073" s="25">
        <f>Lookups!$B$57*Inventory[[#This Row],[LnAcres]]</f>
        <v>-37073.347241874442</v>
      </c>
      <c r="AS2073" s="25">
        <f>VLOOKUP(Inventory[[#This Row],[Qlty]],Lookups!$A$62:$E$75,2,FALSE)</f>
        <v>29814.093161000001</v>
      </c>
      <c r="AT2073" s="25">
        <f>VLOOKUP(Inventory[[#This Row],[Cnd]],Lookups!$A$76:$E$84,2,FALSE)</f>
        <v>160472.20319</v>
      </c>
      <c r="AU2073" s="25">
        <f>Inventory[[#This Row],[EffAge]]*Lookups!$B$85</f>
        <v>-12490.553628</v>
      </c>
      <c r="AV2073" s="25">
        <f>Inventory[[#This Row],[MainFn]]*Lookups!$B$86</f>
        <v>60130.351240308999</v>
      </c>
      <c r="AW2073" s="25">
        <f>Inventory[[#This Row],[UpprFn]]*Lookups!$B$87</f>
        <v>17735.423452955998</v>
      </c>
      <c r="AX2073" s="25">
        <f>Inventory[[#This Row],[AddFn]]*Lookups!$B$88</f>
        <v>0</v>
      </c>
      <c r="AY2073" s="25">
        <f>Inventory[[#This Row],[Bsmt]]*Lookups!$B$89</f>
        <v>11341.93914633</v>
      </c>
      <c r="AZ2073" s="25">
        <f>Inventory[[#This Row],[Fixtures]]*Lookups!$B$90</f>
        <v>30336.176841600001</v>
      </c>
      <c r="BA2073" s="25">
        <f>Inventory[[#This Row],[WdDeck]]*Lookups!$B$91</f>
        <v>0</v>
      </c>
      <c r="BB2073" s="25">
        <f>ROUND(Inventory[[#This Row],[25Det]],-2)</f>
        <v>0</v>
      </c>
      <c r="BC2073" s="25">
        <f>ROUND(SUM(Inventory[[#This Row],[Mdl Qlty]:[Mdl WdDeck]])+Inventory[[#This Row],[Mdl Res Intercept]],-2)</f>
        <v>297300</v>
      </c>
      <c r="BD2073" s="25">
        <f>ROUND(Inventory[[#This Row],[Mdl Land Intercept]]+Inventory[[#This Row],[Mdl LnAcres]],-2)</f>
        <v>52800</v>
      </c>
      <c r="BE2073" s="25">
        <f>Inventory[[#This Row],[Unadj Res Value]]+Inventory[[#This Row],[Unadj Det Value]]+Inventory[[#This Row],[Unadj Land Value]]</f>
        <v>350100</v>
      </c>
      <c r="BF2073" s="36">
        <f>(Inventory[[#This Row],[Unadj Total Value]]-Inventory[[#This Row],[24Final]])/Inventory[[#This Row],[24Final]]</f>
        <v>1.6550522648083623E-2</v>
      </c>
      <c r="BG2073" s="25">
        <f>VLOOKUP(Inventory[[#This Row],[Nbhd]],Lookups!$Q$2:$T$4,4,FALSE)</f>
        <v>0.99970000000000003</v>
      </c>
      <c r="BH2073" s="25">
        <f>VLOOKUP(Inventory[[#This Row],[Qlty]],Lookups!$O$7:$R$21,4,FALSE)</f>
        <v>1.0088999999999999</v>
      </c>
      <c r="BI2073" s="25">
        <f>VLOOKUP(Inventory[[#This Row],[Cnd]],Lookups!$T$7:$W$16,4,FALSE)</f>
        <v>0.99729999999999996</v>
      </c>
      <c r="BJ2073" s="25">
        <f>VLOOKUP(Inventory[[#This Row],[LivArea Range]],Lookups!$T$25:$W$37,4,FALSE)</f>
        <v>1.0093000000000001</v>
      </c>
      <c r="BK2073" s="25">
        <f>VLOOKUP(Inventory[[#This Row],[Decade]],Lookups!$O$25:$R$42,4,FALSE)</f>
        <v>1.0074000000000001</v>
      </c>
      <c r="BL2073" s="25">
        <f>Inventory[[#This Row],[Nbhd Adj]]*0.95</f>
        <v>0.94971499999999998</v>
      </c>
      <c r="BM2073" s="25">
        <f>Inventory[[#This Row],[Nbhd Adj]]*Inventory[[#This Row],[Quality Adj]]*Inventory[[#This Row],[Condition Adj]]*Inventory[[#This Row],[Living Area Adj]]*Inventory[[#This Row],[Decade Adj]]*0.95</f>
        <v>0.97160436726197974</v>
      </c>
      <c r="BN2073" s="25">
        <f>ROUND(SUM(Inventory[[#This Row],[Mdl Qlty]:[Mdl WdDeck]])+Inventory[[#This Row],[Mdl Res Intercept]]*Inventory[[#This Row],[Res Adj ]],-2)</f>
        <v>297300</v>
      </c>
      <c r="BO2073" s="25">
        <f>ROUND(Inventory[[#This Row],[25Det]]*Inventory[[#This Row],[Det/Nbhd Adj]],-2)</f>
        <v>0</v>
      </c>
      <c r="BP2073" s="25">
        <f>Inventory[[#This Row],[Adjusted Res]]+Inventory[[#This Row],[Adj Det ]]</f>
        <v>297300</v>
      </c>
      <c r="BQ2073" s="25">
        <f>ROUND((Inventory[[#This Row],[Mdl Land Intercept]]+Inventory[[#This Row],[Mdl LnAcres]])*Inventory[[#This Row],[Det/Nbhd Adj]],-2)</f>
        <v>50100</v>
      </c>
      <c r="BR2073" s="25">
        <f>Inventory[[#This Row],[Adjusted Impr Total]]+Inventory[[#This Row],[Adjusted Land Total]]</f>
        <v>347400</v>
      </c>
      <c r="BS2073" s="36">
        <f>IFERROR((Inventory[[#This Row],[Adjusted Impr Total]]-Inventory[[#This Row],[24Bldg]])/Inventory[[#This Row],[24Bldg]],0)</f>
        <v>9.8263760620613219E-2</v>
      </c>
      <c r="BT2073" s="36">
        <f>(Inventory[[#This Row],[Adjusted Land Total]]-Inventory[[#This Row],[24Lnd]])/Inventory[[#This Row],[24Lnd]]</f>
        <v>-0.32021709633649931</v>
      </c>
      <c r="BU2073" s="36">
        <f>(Inventory[[#This Row],[Adjusted Total]]-Inventory[[#This Row],[24Final]])/Inventory[[#This Row],[24Final]]</f>
        <v>8.7108013937282226E-3</v>
      </c>
    </row>
    <row r="2074" spans="1:73" x14ac:dyDescent="0.3">
      <c r="A2074" s="25">
        <v>2025</v>
      </c>
      <c r="B2074" s="26" t="s">
        <v>1578</v>
      </c>
      <c r="C2074" s="26">
        <f>LN(Inventory[[#This Row],[Acres]])</f>
        <v>-1.9661128563728327</v>
      </c>
      <c r="D2074" s="25">
        <v>0.14000000000000001</v>
      </c>
      <c r="E2074" s="27"/>
      <c r="F2074" s="26" t="s">
        <v>537</v>
      </c>
      <c r="G2074" s="26" t="s">
        <v>126</v>
      </c>
      <c r="H2074" s="26" t="s">
        <v>349</v>
      </c>
      <c r="I2074" s="26" t="s">
        <v>538</v>
      </c>
      <c r="J2074" s="26" t="s">
        <v>539</v>
      </c>
      <c r="K2074" s="26" t="s">
        <v>242</v>
      </c>
      <c r="L2074" s="26" t="s">
        <v>351</v>
      </c>
      <c r="M2074" s="26" t="s">
        <v>323</v>
      </c>
      <c r="N2074" s="26">
        <v>100</v>
      </c>
      <c r="O2074" s="26">
        <f>2024-Inventory[[#This Row],[YrBlt]]</f>
        <v>99</v>
      </c>
      <c r="P2074" s="26">
        <f>2024-Inventory[[#This Row],[EffYr]]</f>
        <v>56</v>
      </c>
      <c r="Q2074" s="25">
        <v>1925</v>
      </c>
      <c r="R2074" s="25">
        <v>1968</v>
      </c>
      <c r="S2074" s="25">
        <v>1304</v>
      </c>
      <c r="T2074" s="32">
        <v>768</v>
      </c>
      <c r="U2074" s="25">
        <v>1149</v>
      </c>
      <c r="V2074" s="25">
        <f>Inventory[[#This Row],[Bsmt]]-Inventory[[#This Row],[FnBsmt]]</f>
        <v>0</v>
      </c>
      <c r="W2074" s="25">
        <v>1149</v>
      </c>
      <c r="X2074" s="27"/>
      <c r="Y2074" s="27">
        <f>Inventory[[#This Row],[MainFn]]+Inventory[[#This Row],[UpprFn]]+Inventory[[#This Row],[FnBsmt]]+Inventory[[#This Row],[AddFn]]</f>
        <v>3221</v>
      </c>
      <c r="Z2074" s="27">
        <v>3500</v>
      </c>
      <c r="AA2074" s="25">
        <v>12</v>
      </c>
      <c r="AB2074" s="27"/>
      <c r="AC2074" s="27"/>
      <c r="AD2074" s="31"/>
      <c r="AE2074" s="27"/>
      <c r="AF2074" s="27"/>
      <c r="AG2074" s="27"/>
      <c r="AH2074" s="27"/>
      <c r="AI2074" s="25">
        <v>421898</v>
      </c>
      <c r="AJ2074" s="25">
        <v>270015</v>
      </c>
      <c r="AK2074" s="25">
        <v>0</v>
      </c>
      <c r="AL2074" s="25">
        <v>370400</v>
      </c>
      <c r="AM2074" s="25">
        <v>46000</v>
      </c>
      <c r="AN2074" s="25">
        <v>324400</v>
      </c>
      <c r="AO2074" s="25">
        <v>0</v>
      </c>
      <c r="AP2074" s="25">
        <f>Lookups!$B$56*0</f>
        <v>0</v>
      </c>
      <c r="AQ2074" s="25">
        <f>Lookups!$B$56*1</f>
        <v>89850.625589999996</v>
      </c>
      <c r="AR2074" s="25">
        <f>Lookups!$B$57*Inventory[[#This Row],[LnAcres]]</f>
        <v>-62236.546971921947</v>
      </c>
      <c r="AS2074" s="25">
        <f>VLOOKUP(Inventory[[#This Row],[Qlty]],Lookups!$A$62:$E$75,2,FALSE)</f>
        <v>21557.329055999999</v>
      </c>
      <c r="AT2074" s="25">
        <f>VLOOKUP(Inventory[[#This Row],[Cnd]],Lookups!$A$76:$E$84,2,FALSE)</f>
        <v>160472.20319</v>
      </c>
      <c r="AU2074" s="25">
        <f>Inventory[[#This Row],[EffAge]]*Lookups!$B$85</f>
        <v>-12490.553628</v>
      </c>
      <c r="AV2074" s="25">
        <f>Inventory[[#This Row],[MainFn]]*Lookups!$B$86</f>
        <v>64428.905519608001</v>
      </c>
      <c r="AW2074" s="25">
        <f>Inventory[[#This Row],[UpprFn]]*Lookups!$B$87</f>
        <v>34395.972757247997</v>
      </c>
      <c r="AX2074" s="25">
        <f>Inventory[[#This Row],[AddFn]]*Lookups!$B$88</f>
        <v>0</v>
      </c>
      <c r="AY2074" s="25">
        <f>Inventory[[#This Row],[Bsmt]]*Lookups!$B$89</f>
        <v>33415.097638802996</v>
      </c>
      <c r="AZ2074" s="25">
        <f>Inventory[[#This Row],[Fixtures]]*Lookups!$B$90</f>
        <v>45504.265262400004</v>
      </c>
      <c r="BA2074" s="25">
        <f>Inventory[[#This Row],[WdDeck]]*Lookups!$B$91</f>
        <v>0</v>
      </c>
      <c r="BB2074" s="25">
        <f>ROUND(Inventory[[#This Row],[25Det]],-2)</f>
        <v>0</v>
      </c>
      <c r="BC2074" s="25">
        <f>ROUND(SUM(Inventory[[#This Row],[Mdl Qlty]:[Mdl WdDeck]])+Inventory[[#This Row],[Mdl Res Intercept]],-2)</f>
        <v>347300</v>
      </c>
      <c r="BD2074" s="25">
        <f>ROUND(Inventory[[#This Row],[Mdl Land Intercept]]+Inventory[[#This Row],[Mdl LnAcres]],-2)</f>
        <v>27600</v>
      </c>
      <c r="BE2074" s="25">
        <f>Inventory[[#This Row],[Unadj Res Value]]+Inventory[[#This Row],[Unadj Det Value]]+Inventory[[#This Row],[Unadj Land Value]]</f>
        <v>374900</v>
      </c>
      <c r="BF2074" s="36">
        <f>(Inventory[[#This Row],[Unadj Total Value]]-Inventory[[#This Row],[24Final]])/Inventory[[#This Row],[24Final]]</f>
        <v>1.214902807775378E-2</v>
      </c>
      <c r="BG2074" s="25">
        <f>VLOOKUP(Inventory[[#This Row],[Nbhd]],Lookups!$Q$2:$T$4,4,FALSE)</f>
        <v>0.99970000000000003</v>
      </c>
      <c r="BH2074" s="25">
        <f>VLOOKUP(Inventory[[#This Row],[Qlty]],Lookups!$O$7:$R$21,4,FALSE)</f>
        <v>1.0067999999999999</v>
      </c>
      <c r="BI2074" s="25">
        <f>VLOOKUP(Inventory[[#This Row],[Cnd]],Lookups!$T$7:$W$16,4,FALSE)</f>
        <v>0.99729999999999996</v>
      </c>
      <c r="BJ2074" s="25">
        <f>VLOOKUP(Inventory[[#This Row],[LivArea Range]],Lookups!$T$25:$W$37,4,FALSE)</f>
        <v>1.0126999999999999</v>
      </c>
      <c r="BK2074" s="25">
        <f>VLOOKUP(Inventory[[#This Row],[Decade]],Lookups!$O$25:$R$42,4,FALSE)</f>
        <v>1.0074000000000001</v>
      </c>
      <c r="BL2074" s="25">
        <f>Inventory[[#This Row],[Nbhd Adj]]*0.95</f>
        <v>0.94971499999999998</v>
      </c>
      <c r="BM2074" s="25">
        <f>Inventory[[#This Row],[Nbhd Adj]]*Inventory[[#This Row],[Quality Adj]]*Inventory[[#This Row],[Condition Adj]]*Inventory[[#This Row],[Living Area Adj]]*Inventory[[#This Row],[Decade Adj]]*0.95</f>
        <v>0.97284820028600216</v>
      </c>
      <c r="BN2074" s="25">
        <f>ROUND(SUM(Inventory[[#This Row],[Mdl Qlty]:[Mdl WdDeck]])+Inventory[[#This Row],[Mdl Res Intercept]]*Inventory[[#This Row],[Res Adj ]],-2)</f>
        <v>347300</v>
      </c>
      <c r="BO2074" s="25">
        <f>ROUND(Inventory[[#This Row],[25Det]]*Inventory[[#This Row],[Det/Nbhd Adj]],-2)</f>
        <v>0</v>
      </c>
      <c r="BP2074" s="25">
        <f>Inventory[[#This Row],[Adjusted Res]]+Inventory[[#This Row],[Adj Det ]]</f>
        <v>347300</v>
      </c>
      <c r="BQ2074" s="25">
        <f>ROUND((Inventory[[#This Row],[Mdl Land Intercept]]+Inventory[[#This Row],[Mdl LnAcres]])*Inventory[[#This Row],[Det/Nbhd Adj]],-2)</f>
        <v>26200</v>
      </c>
      <c r="BR2074" s="25">
        <f>Inventory[[#This Row],[Adjusted Impr Total]]+Inventory[[#This Row],[Adjusted Land Total]]</f>
        <v>373500</v>
      </c>
      <c r="BS2074" s="36">
        <f>IFERROR((Inventory[[#This Row],[Adjusted Impr Total]]-Inventory[[#This Row],[24Bldg]])/Inventory[[#This Row],[24Bldg]],0)</f>
        <v>7.059186189889026E-2</v>
      </c>
      <c r="BT2074" s="36">
        <f>(Inventory[[#This Row],[Adjusted Land Total]]-Inventory[[#This Row],[24Lnd]])/Inventory[[#This Row],[24Lnd]]</f>
        <v>-0.43043478260869567</v>
      </c>
      <c r="BU2074" s="36">
        <f>(Inventory[[#This Row],[Adjusted Total]]-Inventory[[#This Row],[24Final]])/Inventory[[#This Row],[24Final]]</f>
        <v>8.3693304535637156E-3</v>
      </c>
    </row>
    <row r="2075" spans="1:73" x14ac:dyDescent="0.3">
      <c r="A2075" s="25">
        <v>2025</v>
      </c>
      <c r="B2075" s="26" t="s">
        <v>2224</v>
      </c>
      <c r="C2075" s="26">
        <f>LN(Inventory[[#This Row],[Acres]])</f>
        <v>-1.9661128563728327</v>
      </c>
      <c r="D2075" s="25">
        <v>0.14000000000000001</v>
      </c>
      <c r="E2075" s="32">
        <v>6003</v>
      </c>
      <c r="F2075" s="26" t="s">
        <v>537</v>
      </c>
      <c r="G2075" s="26" t="s">
        <v>126</v>
      </c>
      <c r="H2075" s="26" t="s">
        <v>349</v>
      </c>
      <c r="I2075" s="26" t="s">
        <v>538</v>
      </c>
      <c r="J2075" s="26" t="s">
        <v>539</v>
      </c>
      <c r="K2075" s="26" t="s">
        <v>269</v>
      </c>
      <c r="L2075" s="26" t="s">
        <v>351</v>
      </c>
      <c r="M2075" s="26" t="s">
        <v>323</v>
      </c>
      <c r="N2075" s="26">
        <v>100</v>
      </c>
      <c r="O2075" s="26">
        <f>2024-Inventory[[#This Row],[YrBlt]]</f>
        <v>99</v>
      </c>
      <c r="P2075" s="26">
        <f>2024-Inventory[[#This Row],[EffYr]]</f>
        <v>56</v>
      </c>
      <c r="Q2075" s="25">
        <v>1925</v>
      </c>
      <c r="R2075" s="25">
        <v>1968</v>
      </c>
      <c r="S2075" s="25">
        <v>1480</v>
      </c>
      <c r="T2075" s="25">
        <v>720</v>
      </c>
      <c r="U2075" s="25">
        <v>1440</v>
      </c>
      <c r="V2075" s="25">
        <f>Inventory[[#This Row],[Bsmt]]-Inventory[[#This Row],[FnBsmt]]</f>
        <v>360</v>
      </c>
      <c r="W2075" s="25">
        <v>1080</v>
      </c>
      <c r="X2075" s="27"/>
      <c r="Y2075" s="27">
        <f>Inventory[[#This Row],[MainFn]]+Inventory[[#This Row],[UpprFn]]+Inventory[[#This Row],[FnBsmt]]+Inventory[[#This Row],[AddFn]]</f>
        <v>3280</v>
      </c>
      <c r="Z2075" s="27">
        <v>3500</v>
      </c>
      <c r="AA2075" s="25">
        <v>8</v>
      </c>
      <c r="AB2075" s="27"/>
      <c r="AC2075" s="27"/>
      <c r="AD2075" s="31"/>
      <c r="AE2075" s="27"/>
      <c r="AF2075" s="27"/>
      <c r="AG2075" s="27"/>
      <c r="AH2075" s="27"/>
      <c r="AI2075" s="25">
        <v>401969</v>
      </c>
      <c r="AJ2075" s="25">
        <v>257260</v>
      </c>
      <c r="AK2075" s="25">
        <v>9278</v>
      </c>
      <c r="AL2075" s="25">
        <v>379200</v>
      </c>
      <c r="AM2075" s="25">
        <v>46000</v>
      </c>
      <c r="AN2075" s="25">
        <v>333200</v>
      </c>
      <c r="AO2075" s="25">
        <v>0</v>
      </c>
      <c r="AP2075" s="25">
        <f>Lookups!$B$56*0</f>
        <v>0</v>
      </c>
      <c r="AQ2075" s="25">
        <f>Lookups!$B$56*1</f>
        <v>89850.625589999996</v>
      </c>
      <c r="AR2075" s="25">
        <f>Lookups!$B$57*Inventory[[#This Row],[LnAcres]]</f>
        <v>-62236.546971921947</v>
      </c>
      <c r="AS2075" s="25">
        <f>VLOOKUP(Inventory[[#This Row],[Qlty]],Lookups!$A$62:$E$75,2,FALSE)</f>
        <v>21557.329055999999</v>
      </c>
      <c r="AT2075" s="25">
        <f>VLOOKUP(Inventory[[#This Row],[Cnd]],Lookups!$A$76:$E$84,2,FALSE)</f>
        <v>160472.20319</v>
      </c>
      <c r="AU2075" s="25">
        <f>Inventory[[#This Row],[EffAge]]*Lookups!$B$85</f>
        <v>-12490.553628</v>
      </c>
      <c r="AV2075" s="25">
        <f>Inventory[[#This Row],[MainFn]]*Lookups!$B$86</f>
        <v>73124.831417959998</v>
      </c>
      <c r="AW2075" s="25">
        <f>Inventory[[#This Row],[UpprFn]]*Lookups!$B$87</f>
        <v>32246.224459919998</v>
      </c>
      <c r="AX2075" s="25">
        <f>Inventory[[#This Row],[AddFn]]*Lookups!$B$88</f>
        <v>0</v>
      </c>
      <c r="AY2075" s="25">
        <f>Inventory[[#This Row],[Bsmt]]*Lookups!$B$89</f>
        <v>41877.929155679994</v>
      </c>
      <c r="AZ2075" s="25">
        <f>Inventory[[#This Row],[Fixtures]]*Lookups!$B$90</f>
        <v>30336.176841600001</v>
      </c>
      <c r="BA2075" s="25">
        <f>Inventory[[#This Row],[WdDeck]]*Lookups!$B$91</f>
        <v>0</v>
      </c>
      <c r="BB2075" s="25">
        <f>ROUND(Inventory[[#This Row],[25Det]],-2)</f>
        <v>9300</v>
      </c>
      <c r="BC2075" s="25">
        <f>ROUND(SUM(Inventory[[#This Row],[Mdl Qlty]:[Mdl WdDeck]])+Inventory[[#This Row],[Mdl Res Intercept]],-2)</f>
        <v>347100</v>
      </c>
      <c r="BD2075" s="25">
        <f>ROUND(Inventory[[#This Row],[Mdl Land Intercept]]+Inventory[[#This Row],[Mdl LnAcres]],-2)</f>
        <v>27600</v>
      </c>
      <c r="BE2075" s="25">
        <f>Inventory[[#This Row],[Unadj Res Value]]+Inventory[[#This Row],[Unadj Det Value]]+Inventory[[#This Row],[Unadj Land Value]]</f>
        <v>384000</v>
      </c>
      <c r="BF2075" s="36">
        <f>(Inventory[[#This Row],[Unadj Total Value]]-Inventory[[#This Row],[24Final]])/Inventory[[#This Row],[24Final]]</f>
        <v>1.2658227848101266E-2</v>
      </c>
      <c r="BG2075" s="25">
        <f>VLOOKUP(Inventory[[#This Row],[Nbhd]],Lookups!$Q$2:$T$4,4,FALSE)</f>
        <v>0.99970000000000003</v>
      </c>
      <c r="BH2075" s="25">
        <f>VLOOKUP(Inventory[[#This Row],[Qlty]],Lookups!$O$7:$R$21,4,FALSE)</f>
        <v>1.0067999999999999</v>
      </c>
      <c r="BI2075" s="25">
        <f>VLOOKUP(Inventory[[#This Row],[Cnd]],Lookups!$T$7:$W$16,4,FALSE)</f>
        <v>0.99729999999999996</v>
      </c>
      <c r="BJ2075" s="25">
        <f>VLOOKUP(Inventory[[#This Row],[LivArea Range]],Lookups!$T$25:$W$37,4,FALSE)</f>
        <v>1.0126999999999999</v>
      </c>
      <c r="BK2075" s="25">
        <f>VLOOKUP(Inventory[[#This Row],[Decade]],Lookups!$O$25:$R$42,4,FALSE)</f>
        <v>1.0074000000000001</v>
      </c>
      <c r="BL2075" s="25">
        <f>Inventory[[#This Row],[Nbhd Adj]]*0.95</f>
        <v>0.94971499999999998</v>
      </c>
      <c r="BM2075" s="25">
        <f>Inventory[[#This Row],[Nbhd Adj]]*Inventory[[#This Row],[Quality Adj]]*Inventory[[#This Row],[Condition Adj]]*Inventory[[#This Row],[Living Area Adj]]*Inventory[[#This Row],[Decade Adj]]*0.95</f>
        <v>0.97284820028600216</v>
      </c>
      <c r="BN2075" s="25">
        <f>ROUND(SUM(Inventory[[#This Row],[Mdl Qlty]:[Mdl WdDeck]])+Inventory[[#This Row],[Mdl Res Intercept]]*Inventory[[#This Row],[Res Adj ]],-2)</f>
        <v>347100</v>
      </c>
      <c r="BO2075" s="25">
        <f>ROUND(Inventory[[#This Row],[25Det]]*Inventory[[#This Row],[Det/Nbhd Adj]],-2)</f>
        <v>8800</v>
      </c>
      <c r="BP2075" s="25">
        <f>Inventory[[#This Row],[Adjusted Res]]+Inventory[[#This Row],[Adj Det ]]</f>
        <v>355900</v>
      </c>
      <c r="BQ2075" s="25">
        <f>ROUND((Inventory[[#This Row],[Mdl Land Intercept]]+Inventory[[#This Row],[Mdl LnAcres]])*Inventory[[#This Row],[Det/Nbhd Adj]],-2)</f>
        <v>26200</v>
      </c>
      <c r="BR2075" s="25">
        <f>Inventory[[#This Row],[Adjusted Impr Total]]+Inventory[[#This Row],[Adjusted Land Total]]</f>
        <v>382100</v>
      </c>
      <c r="BS2075" s="36">
        <f>IFERROR((Inventory[[#This Row],[Adjusted Impr Total]]-Inventory[[#This Row],[24Bldg]])/Inventory[[#This Row],[24Bldg]],0)</f>
        <v>6.8127250900360148E-2</v>
      </c>
      <c r="BT2075" s="36">
        <f>(Inventory[[#This Row],[Adjusted Land Total]]-Inventory[[#This Row],[24Lnd]])/Inventory[[#This Row],[24Lnd]]</f>
        <v>-0.43043478260869567</v>
      </c>
      <c r="BU2075" s="36">
        <f>(Inventory[[#This Row],[Adjusted Total]]-Inventory[[#This Row],[24Final]])/Inventory[[#This Row],[24Final]]</f>
        <v>7.647679324894515E-3</v>
      </c>
    </row>
    <row r="2076" spans="1:73" x14ac:dyDescent="0.3">
      <c r="A2076" s="25">
        <v>2025</v>
      </c>
      <c r="B2076" s="26" t="s">
        <v>2841</v>
      </c>
      <c r="C2076" s="26">
        <f>LN(Inventory[[#This Row],[Acres]])</f>
        <v>-1.9661128563728327</v>
      </c>
      <c r="D2076" s="25">
        <v>0.14000000000000001</v>
      </c>
      <c r="E2076" s="32">
        <v>6015</v>
      </c>
      <c r="F2076" s="26" t="s">
        <v>537</v>
      </c>
      <c r="G2076" s="26" t="s">
        <v>126</v>
      </c>
      <c r="H2076" s="26" t="s">
        <v>349</v>
      </c>
      <c r="I2076" s="26" t="s">
        <v>538</v>
      </c>
      <c r="J2076" s="26" t="s">
        <v>539</v>
      </c>
      <c r="K2076" s="26" t="s">
        <v>269</v>
      </c>
      <c r="L2076" s="26" t="s">
        <v>148</v>
      </c>
      <c r="M2076" s="26" t="s">
        <v>323</v>
      </c>
      <c r="N2076" s="26">
        <v>100</v>
      </c>
      <c r="O2076" s="26">
        <f>2024-Inventory[[#This Row],[YrBlt]]</f>
        <v>99</v>
      </c>
      <c r="P2076" s="26">
        <f>2024-Inventory[[#This Row],[EffYr]]</f>
        <v>56</v>
      </c>
      <c r="Q2076" s="25">
        <v>1925</v>
      </c>
      <c r="R2076" s="25">
        <v>1968</v>
      </c>
      <c r="S2076" s="25">
        <v>1218</v>
      </c>
      <c r="T2076" s="32">
        <v>540</v>
      </c>
      <c r="U2076" s="25">
        <v>994</v>
      </c>
      <c r="V2076" s="25">
        <f>Inventory[[#This Row],[Bsmt]]-Inventory[[#This Row],[FnBsmt]]</f>
        <v>0</v>
      </c>
      <c r="W2076" s="25">
        <v>994</v>
      </c>
      <c r="X2076" s="27"/>
      <c r="Y2076" s="27">
        <f>Inventory[[#This Row],[MainFn]]+Inventory[[#This Row],[UpprFn]]+Inventory[[#This Row],[FnBsmt]]+Inventory[[#This Row],[AddFn]]</f>
        <v>2752</v>
      </c>
      <c r="Z2076" s="27">
        <v>3000</v>
      </c>
      <c r="AA2076" s="25">
        <v>9</v>
      </c>
      <c r="AB2076" s="27"/>
      <c r="AC2076" s="32">
        <v>350</v>
      </c>
      <c r="AD2076" s="27"/>
      <c r="AE2076" s="27"/>
      <c r="AF2076" s="27"/>
      <c r="AG2076" s="27"/>
      <c r="AH2076" s="27"/>
      <c r="AI2076" s="25">
        <v>525795</v>
      </c>
      <c r="AJ2076" s="25">
        <v>336509</v>
      </c>
      <c r="AK2076" s="25">
        <v>0</v>
      </c>
      <c r="AL2076" s="25">
        <v>363500</v>
      </c>
      <c r="AM2076" s="25">
        <v>46000</v>
      </c>
      <c r="AN2076" s="25">
        <v>317500</v>
      </c>
      <c r="AO2076" s="25">
        <v>0</v>
      </c>
      <c r="AP2076" s="25">
        <f>Lookups!$B$56*0</f>
        <v>0</v>
      </c>
      <c r="AQ2076" s="25">
        <f>Lookups!$B$56*1</f>
        <v>89850.625589999996</v>
      </c>
      <c r="AR2076" s="25">
        <f>Lookups!$B$57*Inventory[[#This Row],[LnAcres]]</f>
        <v>-62236.546971921947</v>
      </c>
      <c r="AS2076" s="25">
        <f>VLOOKUP(Inventory[[#This Row],[Qlty]],Lookups!$A$62:$E$75,2,FALSE)</f>
        <v>44121.038090000002</v>
      </c>
      <c r="AT2076" s="25">
        <f>VLOOKUP(Inventory[[#This Row],[Cnd]],Lookups!$A$76:$E$84,2,FALSE)</f>
        <v>160472.20319</v>
      </c>
      <c r="AU2076" s="25">
        <f>Inventory[[#This Row],[EffAge]]*Lookups!$B$85</f>
        <v>-12490.553628</v>
      </c>
      <c r="AV2076" s="25">
        <f>Inventory[[#This Row],[MainFn]]*Lookups!$B$86</f>
        <v>60179.759910186003</v>
      </c>
      <c r="AW2076" s="25">
        <f>Inventory[[#This Row],[UpprFn]]*Lookups!$B$87</f>
        <v>24184.668344940001</v>
      </c>
      <c r="AX2076" s="25">
        <f>Inventory[[#This Row],[AddFn]]*Lookups!$B$88</f>
        <v>0</v>
      </c>
      <c r="AY2076" s="25">
        <f>Inventory[[#This Row],[Bsmt]]*Lookups!$B$89</f>
        <v>28907.403875517997</v>
      </c>
      <c r="AZ2076" s="25">
        <f>Inventory[[#This Row],[Fixtures]]*Lookups!$B$90</f>
        <v>34128.198946800003</v>
      </c>
      <c r="BA2076" s="25">
        <f>Inventory[[#This Row],[WdDeck]]*Lookups!$B$91</f>
        <v>0</v>
      </c>
      <c r="BB2076" s="25">
        <f>ROUND(Inventory[[#This Row],[25Det]],-2)</f>
        <v>0</v>
      </c>
      <c r="BC2076" s="25">
        <f>ROUND(SUM(Inventory[[#This Row],[Mdl Qlty]:[Mdl WdDeck]])+Inventory[[#This Row],[Mdl Res Intercept]],-2)</f>
        <v>339500</v>
      </c>
      <c r="BD2076" s="25">
        <f>ROUND(Inventory[[#This Row],[Mdl Land Intercept]]+Inventory[[#This Row],[Mdl LnAcres]],-2)</f>
        <v>27600</v>
      </c>
      <c r="BE2076" s="25">
        <f>Inventory[[#This Row],[Unadj Res Value]]+Inventory[[#This Row],[Unadj Det Value]]+Inventory[[#This Row],[Unadj Land Value]]</f>
        <v>367100</v>
      </c>
      <c r="BF2076" s="36">
        <f>(Inventory[[#This Row],[Unadj Total Value]]-Inventory[[#This Row],[24Final]])/Inventory[[#This Row],[24Final]]</f>
        <v>9.903713892709767E-3</v>
      </c>
      <c r="BG2076" s="25">
        <f>VLOOKUP(Inventory[[#This Row],[Nbhd]],Lookups!$Q$2:$T$4,4,FALSE)</f>
        <v>0.99970000000000003</v>
      </c>
      <c r="BH2076" s="25">
        <f>VLOOKUP(Inventory[[#This Row],[Qlty]],Lookups!$O$7:$R$21,4,FALSE)</f>
        <v>0.98050000000000004</v>
      </c>
      <c r="BI2076" s="25">
        <f>VLOOKUP(Inventory[[#This Row],[Cnd]],Lookups!$T$7:$W$16,4,FALSE)</f>
        <v>0.99729999999999996</v>
      </c>
      <c r="BJ2076" s="25">
        <f>VLOOKUP(Inventory[[#This Row],[LivArea Range]],Lookups!$T$25:$W$37,4,FALSE)</f>
        <v>0.96179999999999999</v>
      </c>
      <c r="BK2076" s="25">
        <f>VLOOKUP(Inventory[[#This Row],[Decade]],Lookups!$O$25:$R$42,4,FALSE)</f>
        <v>1.0074000000000001</v>
      </c>
      <c r="BL2076" s="25">
        <f>Inventory[[#This Row],[Nbhd Adj]]*0.95</f>
        <v>0.94971499999999998</v>
      </c>
      <c r="BM2076" s="25">
        <f>Inventory[[#This Row],[Nbhd Adj]]*Inventory[[#This Row],[Quality Adj]]*Inventory[[#This Row],[Condition Adj]]*Inventory[[#This Row],[Living Area Adj]]*Inventory[[#This Row],[Decade Adj]]*0.95</f>
        <v>0.89981542490809019</v>
      </c>
      <c r="BN2076" s="25">
        <f>ROUND(SUM(Inventory[[#This Row],[Mdl Qlty]:[Mdl WdDeck]])+Inventory[[#This Row],[Mdl Res Intercept]]*Inventory[[#This Row],[Res Adj ]],-2)</f>
        <v>339500</v>
      </c>
      <c r="BO2076" s="25">
        <f>ROUND(Inventory[[#This Row],[25Det]]*Inventory[[#This Row],[Det/Nbhd Adj]],-2)</f>
        <v>0</v>
      </c>
      <c r="BP2076" s="25">
        <f>Inventory[[#This Row],[Adjusted Res]]+Inventory[[#This Row],[Adj Det ]]</f>
        <v>339500</v>
      </c>
      <c r="BQ2076" s="25">
        <f>ROUND((Inventory[[#This Row],[Mdl Land Intercept]]+Inventory[[#This Row],[Mdl LnAcres]])*Inventory[[#This Row],[Det/Nbhd Adj]],-2)</f>
        <v>26200</v>
      </c>
      <c r="BR2076" s="25">
        <f>Inventory[[#This Row],[Adjusted Impr Total]]+Inventory[[#This Row],[Adjusted Land Total]]</f>
        <v>365700</v>
      </c>
      <c r="BS2076" s="36">
        <f>IFERROR((Inventory[[#This Row],[Adjusted Impr Total]]-Inventory[[#This Row],[24Bldg]])/Inventory[[#This Row],[24Bldg]],0)</f>
        <v>6.9291338582677164E-2</v>
      </c>
      <c r="BT2076" s="36">
        <f>(Inventory[[#This Row],[Adjusted Land Total]]-Inventory[[#This Row],[24Lnd]])/Inventory[[#This Row],[24Lnd]]</f>
        <v>-0.43043478260869567</v>
      </c>
      <c r="BU2076" s="36">
        <f>(Inventory[[#This Row],[Adjusted Total]]-Inventory[[#This Row],[24Final]])/Inventory[[#This Row],[24Final]]</f>
        <v>6.0522696011004124E-3</v>
      </c>
    </row>
    <row r="2077" spans="1:73" x14ac:dyDescent="0.3">
      <c r="A2077" s="25">
        <v>2025</v>
      </c>
      <c r="B2077" s="26" t="s">
        <v>2497</v>
      </c>
      <c r="C2077" s="26">
        <f>LN(Inventory[[#This Row],[Acres]])</f>
        <v>-1.3470736479666092</v>
      </c>
      <c r="D2077" s="25">
        <v>0.26</v>
      </c>
      <c r="E2077" s="32">
        <v>11470</v>
      </c>
      <c r="F2077" s="26" t="s">
        <v>537</v>
      </c>
      <c r="G2077" s="26" t="s">
        <v>126</v>
      </c>
      <c r="H2077" s="26" t="s">
        <v>349</v>
      </c>
      <c r="I2077" s="26" t="s">
        <v>538</v>
      </c>
      <c r="J2077" s="26" t="s">
        <v>539</v>
      </c>
      <c r="K2077" s="26" t="s">
        <v>242</v>
      </c>
      <c r="L2077" s="26" t="s">
        <v>205</v>
      </c>
      <c r="M2077" s="26" t="s">
        <v>323</v>
      </c>
      <c r="N2077" s="26">
        <v>100</v>
      </c>
      <c r="O2077" s="26">
        <f>2024-Inventory[[#This Row],[YrBlt]]</f>
        <v>99</v>
      </c>
      <c r="P2077" s="26">
        <f>2024-Inventory[[#This Row],[EffYr]]</f>
        <v>56</v>
      </c>
      <c r="Q2077" s="25">
        <v>1925</v>
      </c>
      <c r="R2077" s="25">
        <v>1968</v>
      </c>
      <c r="S2077" s="25">
        <v>1148</v>
      </c>
      <c r="T2077" s="31"/>
      <c r="U2077" s="25">
        <v>750</v>
      </c>
      <c r="V2077" s="25">
        <f>Inventory[[#This Row],[Bsmt]]-Inventory[[#This Row],[FnBsmt]]</f>
        <v>375</v>
      </c>
      <c r="W2077" s="25">
        <v>375</v>
      </c>
      <c r="X2077" s="27"/>
      <c r="Y2077" s="27">
        <f>Inventory[[#This Row],[MainFn]]+Inventory[[#This Row],[UpprFn]]+Inventory[[#This Row],[FnBsmt]]+Inventory[[#This Row],[AddFn]]</f>
        <v>1523</v>
      </c>
      <c r="Z2077" s="27">
        <v>2000</v>
      </c>
      <c r="AA2077" s="25">
        <v>9</v>
      </c>
      <c r="AB2077" s="27"/>
      <c r="AC2077" s="27"/>
      <c r="AD2077" s="27"/>
      <c r="AE2077" s="27"/>
      <c r="AF2077" s="27"/>
      <c r="AG2077" s="27"/>
      <c r="AH2077" s="27"/>
      <c r="AI2077" s="25">
        <v>242038</v>
      </c>
      <c r="AJ2077" s="25">
        <v>154904</v>
      </c>
      <c r="AK2077" s="25">
        <v>0</v>
      </c>
      <c r="AL2077" s="25">
        <v>303700</v>
      </c>
      <c r="AM2077" s="25">
        <v>67600</v>
      </c>
      <c r="AN2077" s="25">
        <v>236100</v>
      </c>
      <c r="AO2077" s="25">
        <v>0</v>
      </c>
      <c r="AP2077" s="25">
        <f>Lookups!$B$56*0</f>
        <v>0</v>
      </c>
      <c r="AQ2077" s="25">
        <f>Lookups!$B$56*1</f>
        <v>89850.625589999996</v>
      </c>
      <c r="AR2077" s="25">
        <f>Lookups!$B$57*Inventory[[#This Row],[LnAcres]]</f>
        <v>-42641.098701210125</v>
      </c>
      <c r="AS2077" s="25">
        <f>VLOOKUP(Inventory[[#This Row],[Qlty]],Lookups!$A$62:$E$75,2,FALSE)</f>
        <v>0</v>
      </c>
      <c r="AT2077" s="25">
        <f>VLOOKUP(Inventory[[#This Row],[Cnd]],Lookups!$A$76:$E$84,2,FALSE)</f>
        <v>160472.20319</v>
      </c>
      <c r="AU2077" s="25">
        <f>Inventory[[#This Row],[EffAge]]*Lookups!$B$85</f>
        <v>-12490.553628</v>
      </c>
      <c r="AV2077" s="25">
        <f>Inventory[[#This Row],[MainFn]]*Lookups!$B$86</f>
        <v>56721.153018796002</v>
      </c>
      <c r="AW2077" s="25">
        <f>Inventory[[#This Row],[UpprFn]]*Lookups!$B$87</f>
        <v>0</v>
      </c>
      <c r="AX2077" s="25">
        <f>Inventory[[#This Row],[AddFn]]*Lookups!$B$88</f>
        <v>0</v>
      </c>
      <c r="AY2077" s="25">
        <f>Inventory[[#This Row],[Bsmt]]*Lookups!$B$89</f>
        <v>21811.421435249998</v>
      </c>
      <c r="AZ2077" s="25">
        <f>Inventory[[#This Row],[Fixtures]]*Lookups!$B$90</f>
        <v>34128.198946800003</v>
      </c>
      <c r="BA2077" s="25">
        <f>Inventory[[#This Row],[WdDeck]]*Lookups!$B$91</f>
        <v>0</v>
      </c>
      <c r="BB2077" s="25">
        <f>ROUND(Inventory[[#This Row],[25Det]],-2)</f>
        <v>0</v>
      </c>
      <c r="BC2077" s="25">
        <f>ROUND(SUM(Inventory[[#This Row],[Mdl Qlty]:[Mdl WdDeck]])+Inventory[[#This Row],[Mdl Res Intercept]],-2)</f>
        <v>260600</v>
      </c>
      <c r="BD2077" s="25">
        <f>ROUND(Inventory[[#This Row],[Mdl Land Intercept]]+Inventory[[#This Row],[Mdl LnAcres]],-2)</f>
        <v>47200</v>
      </c>
      <c r="BE2077" s="25">
        <f>Inventory[[#This Row],[Unadj Res Value]]+Inventory[[#This Row],[Unadj Det Value]]+Inventory[[#This Row],[Unadj Land Value]]</f>
        <v>307800</v>
      </c>
      <c r="BF2077" s="36">
        <f>(Inventory[[#This Row],[Unadj Total Value]]-Inventory[[#This Row],[24Final]])/Inventory[[#This Row],[24Final]]</f>
        <v>1.35001646361541E-2</v>
      </c>
      <c r="BG2077" s="25">
        <f>VLOOKUP(Inventory[[#This Row],[Nbhd]],Lookups!$Q$2:$T$4,4,FALSE)</f>
        <v>0.99970000000000003</v>
      </c>
      <c r="BH2077" s="25">
        <f>VLOOKUP(Inventory[[#This Row],[Qlty]],Lookups!$O$7:$R$21,4,FALSE)</f>
        <v>0.99180000000000001</v>
      </c>
      <c r="BI2077" s="25">
        <f>VLOOKUP(Inventory[[#This Row],[Cnd]],Lookups!$T$7:$W$16,4,FALSE)</f>
        <v>0.99729999999999996</v>
      </c>
      <c r="BJ2077" s="25">
        <f>VLOOKUP(Inventory[[#This Row],[LivArea Range]],Lookups!$T$25:$W$37,4,FALSE)</f>
        <v>1.0093000000000001</v>
      </c>
      <c r="BK2077" s="25">
        <f>VLOOKUP(Inventory[[#This Row],[Decade]],Lookups!$O$25:$R$42,4,FALSE)</f>
        <v>1.0074000000000001</v>
      </c>
      <c r="BL2077" s="25">
        <f>Inventory[[#This Row],[Nbhd Adj]]*0.95</f>
        <v>0.94971499999999998</v>
      </c>
      <c r="BM2077" s="25">
        <f>Inventory[[#This Row],[Nbhd Adj]]*Inventory[[#This Row],[Quality Adj]]*Inventory[[#This Row],[Condition Adj]]*Inventory[[#This Row],[Living Area Adj]]*Inventory[[#This Row],[Decade Adj]]*0.95</f>
        <v>0.95513649663042099</v>
      </c>
      <c r="BN2077" s="25">
        <f>ROUND(SUM(Inventory[[#This Row],[Mdl Qlty]:[Mdl WdDeck]])+Inventory[[#This Row],[Mdl Res Intercept]]*Inventory[[#This Row],[Res Adj ]],-2)</f>
        <v>260600</v>
      </c>
      <c r="BO2077" s="25">
        <f>ROUND(Inventory[[#This Row],[25Det]]*Inventory[[#This Row],[Det/Nbhd Adj]],-2)</f>
        <v>0</v>
      </c>
      <c r="BP2077" s="25">
        <f>Inventory[[#This Row],[Adjusted Res]]+Inventory[[#This Row],[Adj Det ]]</f>
        <v>260600</v>
      </c>
      <c r="BQ2077" s="25">
        <f>ROUND((Inventory[[#This Row],[Mdl Land Intercept]]+Inventory[[#This Row],[Mdl LnAcres]])*Inventory[[#This Row],[Det/Nbhd Adj]],-2)</f>
        <v>44800</v>
      </c>
      <c r="BR2077" s="25">
        <f>Inventory[[#This Row],[Adjusted Impr Total]]+Inventory[[#This Row],[Adjusted Land Total]]</f>
        <v>305400</v>
      </c>
      <c r="BS2077" s="36">
        <f>IFERROR((Inventory[[#This Row],[Adjusted Impr Total]]-Inventory[[#This Row],[24Bldg]])/Inventory[[#This Row],[24Bldg]],0)</f>
        <v>0.10376958915713681</v>
      </c>
      <c r="BT2077" s="36">
        <f>(Inventory[[#This Row],[Adjusted Land Total]]-Inventory[[#This Row],[24Lnd]])/Inventory[[#This Row],[24Lnd]]</f>
        <v>-0.33727810650887574</v>
      </c>
      <c r="BU2077" s="36">
        <f>(Inventory[[#This Row],[Adjusted Total]]-Inventory[[#This Row],[24Final]])/Inventory[[#This Row],[24Final]]</f>
        <v>5.597629239380968E-3</v>
      </c>
    </row>
    <row r="2078" spans="1:73" x14ac:dyDescent="0.3">
      <c r="A2078" s="25">
        <v>2025</v>
      </c>
      <c r="B2078" s="26" t="s">
        <v>2619</v>
      </c>
      <c r="C2078" s="26">
        <f>LN(Inventory[[#This Row],[Acres]])</f>
        <v>-1.0788096613719298</v>
      </c>
      <c r="D2078" s="25">
        <v>0.34</v>
      </c>
      <c r="E2078" s="32">
        <v>14680</v>
      </c>
      <c r="F2078" s="26" t="s">
        <v>537</v>
      </c>
      <c r="G2078" s="26" t="s">
        <v>126</v>
      </c>
      <c r="H2078" s="26" t="s">
        <v>349</v>
      </c>
      <c r="I2078" s="26" t="s">
        <v>538</v>
      </c>
      <c r="J2078" s="26" t="s">
        <v>539</v>
      </c>
      <c r="K2078" s="26" t="s">
        <v>269</v>
      </c>
      <c r="L2078" s="26" t="s">
        <v>95</v>
      </c>
      <c r="M2078" s="26" t="s">
        <v>303</v>
      </c>
      <c r="N2078" s="26">
        <v>100</v>
      </c>
      <c r="O2078" s="26">
        <f>2024-Inventory[[#This Row],[YrBlt]]</f>
        <v>99</v>
      </c>
      <c r="P2078" s="26">
        <f>2024-Inventory[[#This Row],[EffYr]]</f>
        <v>56</v>
      </c>
      <c r="Q2078" s="25">
        <v>1925</v>
      </c>
      <c r="R2078" s="25">
        <v>1968</v>
      </c>
      <c r="S2078" s="25">
        <v>1587</v>
      </c>
      <c r="T2078" s="27"/>
      <c r="U2078" s="25">
        <v>1178</v>
      </c>
      <c r="V2078" s="25">
        <f>Inventory[[#This Row],[Bsmt]]-Inventory[[#This Row],[FnBsmt]]</f>
        <v>582</v>
      </c>
      <c r="W2078" s="25">
        <v>596</v>
      </c>
      <c r="X2078" s="27"/>
      <c r="Y2078" s="27">
        <f>Inventory[[#This Row],[MainFn]]+Inventory[[#This Row],[UpprFn]]+Inventory[[#This Row],[FnBsmt]]+Inventory[[#This Row],[AddFn]]</f>
        <v>2183</v>
      </c>
      <c r="Z2078" s="27">
        <v>2500</v>
      </c>
      <c r="AA2078" s="25">
        <v>9</v>
      </c>
      <c r="AB2078" s="27"/>
      <c r="AC2078" s="32">
        <v>409</v>
      </c>
      <c r="AD2078" s="27"/>
      <c r="AE2078" s="27"/>
      <c r="AF2078" s="27"/>
      <c r="AG2078" s="27"/>
      <c r="AH2078" s="27"/>
      <c r="AI2078" s="25">
        <v>510840</v>
      </c>
      <c r="AJ2078" s="25">
        <v>342263</v>
      </c>
      <c r="AK2078" s="25">
        <v>44942</v>
      </c>
      <c r="AL2078" s="25">
        <v>499300</v>
      </c>
      <c r="AM2078" s="25">
        <v>76900</v>
      </c>
      <c r="AN2078" s="25">
        <v>422400</v>
      </c>
      <c r="AO2078" s="25">
        <v>0</v>
      </c>
      <c r="AP2078" s="25">
        <f>Lookups!$B$56*0</f>
        <v>0</v>
      </c>
      <c r="AQ2078" s="25">
        <f>Lookups!$B$56*1</f>
        <v>89850.625589999996</v>
      </c>
      <c r="AR2078" s="25">
        <f>Lookups!$B$57*Inventory[[#This Row],[LnAcres]]</f>
        <v>-34149.305288406773</v>
      </c>
      <c r="AS2078" s="25">
        <f>VLOOKUP(Inventory[[#This Row],[Qlty]],Lookups!$A$62:$E$75,2,FALSE)</f>
        <v>74268.409664999999</v>
      </c>
      <c r="AT2078" s="25">
        <f>VLOOKUP(Inventory[[#This Row],[Cnd]],Lookups!$A$76:$E$84,2,FALSE)</f>
        <v>197752.34721000001</v>
      </c>
      <c r="AU2078" s="25">
        <f>Inventory[[#This Row],[EffAge]]*Lookups!$B$85</f>
        <v>-12490.553628</v>
      </c>
      <c r="AV2078" s="25">
        <f>Inventory[[#This Row],[MainFn]]*Lookups!$B$86</f>
        <v>78411.559094798999</v>
      </c>
      <c r="AW2078" s="25">
        <f>Inventory[[#This Row],[UpprFn]]*Lookups!$B$87</f>
        <v>0</v>
      </c>
      <c r="AX2078" s="25">
        <f>Inventory[[#This Row],[AddFn]]*Lookups!$B$88</f>
        <v>0</v>
      </c>
      <c r="AY2078" s="25">
        <f>Inventory[[#This Row],[Bsmt]]*Lookups!$B$89</f>
        <v>34258.472600966001</v>
      </c>
      <c r="AZ2078" s="25">
        <f>Inventory[[#This Row],[Fixtures]]*Lookups!$B$90</f>
        <v>34128.198946800003</v>
      </c>
      <c r="BA2078" s="25">
        <f>Inventory[[#This Row],[WdDeck]]*Lookups!$B$91</f>
        <v>0</v>
      </c>
      <c r="BB2078" s="25">
        <f>ROUND(Inventory[[#This Row],[25Det]],-2)</f>
        <v>44900</v>
      </c>
      <c r="BC2078" s="25">
        <f>ROUND(SUM(Inventory[[#This Row],[Mdl Qlty]:[Mdl WdDeck]])+Inventory[[#This Row],[Mdl Res Intercept]],-2)</f>
        <v>406300</v>
      </c>
      <c r="BD2078" s="25">
        <f>ROUND(Inventory[[#This Row],[Mdl Land Intercept]]+Inventory[[#This Row],[Mdl LnAcres]],-2)</f>
        <v>55700</v>
      </c>
      <c r="BE2078" s="25">
        <f>Inventory[[#This Row],[Unadj Res Value]]+Inventory[[#This Row],[Unadj Det Value]]+Inventory[[#This Row],[Unadj Land Value]]</f>
        <v>506900</v>
      </c>
      <c r="BF2078" s="36">
        <f>(Inventory[[#This Row],[Unadj Total Value]]-Inventory[[#This Row],[24Final]])/Inventory[[#This Row],[24Final]]</f>
        <v>1.5221309833767275E-2</v>
      </c>
      <c r="BG2078" s="25">
        <f>VLOOKUP(Inventory[[#This Row],[Nbhd]],Lookups!$Q$2:$T$4,4,FALSE)</f>
        <v>0.99970000000000003</v>
      </c>
      <c r="BH2078" s="25">
        <f>VLOOKUP(Inventory[[#This Row],[Qlty]],Lookups!$O$7:$R$21,4,FALSE)</f>
        <v>0.98380000000000001</v>
      </c>
      <c r="BI2078" s="25">
        <f>VLOOKUP(Inventory[[#This Row],[Cnd]],Lookups!$T$7:$W$16,4,FALSE)</f>
        <v>0.99650000000000005</v>
      </c>
      <c r="BJ2078" s="25">
        <f>VLOOKUP(Inventory[[#This Row],[LivArea Range]],Lookups!$T$25:$W$37,4,FALSE)</f>
        <v>0.98919999999999997</v>
      </c>
      <c r="BK2078" s="25">
        <f>VLOOKUP(Inventory[[#This Row],[Decade]],Lookups!$O$25:$R$42,4,FALSE)</f>
        <v>1.0074000000000001</v>
      </c>
      <c r="BL2078" s="25">
        <f>Inventory[[#This Row],[Nbhd Adj]]*0.95</f>
        <v>0.94971499999999998</v>
      </c>
      <c r="BM2078" s="25">
        <f>Inventory[[#This Row],[Nbhd Adj]]*Inventory[[#This Row],[Quality Adj]]*Inventory[[#This Row],[Condition Adj]]*Inventory[[#This Row],[Living Area Adj]]*Inventory[[#This Row],[Decade Adj]]*0.95</f>
        <v>0.92781945089283224</v>
      </c>
      <c r="BN2078" s="25">
        <f>ROUND(SUM(Inventory[[#This Row],[Mdl Qlty]:[Mdl WdDeck]])+Inventory[[#This Row],[Mdl Res Intercept]]*Inventory[[#This Row],[Res Adj ]],-2)</f>
        <v>406300</v>
      </c>
      <c r="BO2078" s="25">
        <f>ROUND(Inventory[[#This Row],[25Det]]*Inventory[[#This Row],[Det/Nbhd Adj]],-2)</f>
        <v>42700</v>
      </c>
      <c r="BP2078" s="25">
        <f>Inventory[[#This Row],[Adjusted Res]]+Inventory[[#This Row],[Adj Det ]]</f>
        <v>449000</v>
      </c>
      <c r="BQ2078" s="25">
        <f>ROUND((Inventory[[#This Row],[Mdl Land Intercept]]+Inventory[[#This Row],[Mdl LnAcres]])*Inventory[[#This Row],[Det/Nbhd Adj]],-2)</f>
        <v>52900</v>
      </c>
      <c r="BR2078" s="25">
        <f>Inventory[[#This Row],[Adjusted Impr Total]]+Inventory[[#This Row],[Adjusted Land Total]]</f>
        <v>501900</v>
      </c>
      <c r="BS2078" s="36">
        <f>IFERROR((Inventory[[#This Row],[Adjusted Impr Total]]-Inventory[[#This Row],[24Bldg]])/Inventory[[#This Row],[24Bldg]],0)</f>
        <v>6.2973484848484848E-2</v>
      </c>
      <c r="BT2078" s="36">
        <f>(Inventory[[#This Row],[Adjusted Land Total]]-Inventory[[#This Row],[24Lnd]])/Inventory[[#This Row],[24Lnd]]</f>
        <v>-0.31209362808842656</v>
      </c>
      <c r="BU2078" s="36">
        <f>(Inventory[[#This Row],[Adjusted Total]]-Inventory[[#This Row],[24Final]])/Inventory[[#This Row],[24Final]]</f>
        <v>5.2072902062888045E-3</v>
      </c>
    </row>
    <row r="2079" spans="1:73" x14ac:dyDescent="0.3">
      <c r="A2079" s="25">
        <v>2025</v>
      </c>
      <c r="B2079" s="26" t="s">
        <v>1156</v>
      </c>
      <c r="C2079" s="26">
        <f>LN(Inventory[[#This Row],[Acres]])</f>
        <v>-1.5141277326297755</v>
      </c>
      <c r="D2079" s="25">
        <v>0.22</v>
      </c>
      <c r="E2079" s="27"/>
      <c r="F2079" s="26" t="s">
        <v>537</v>
      </c>
      <c r="G2079" s="26" t="s">
        <v>126</v>
      </c>
      <c r="H2079" s="26" t="s">
        <v>349</v>
      </c>
      <c r="I2079" s="26" t="s">
        <v>538</v>
      </c>
      <c r="J2079" s="26" t="s">
        <v>539</v>
      </c>
      <c r="K2079" s="26" t="s">
        <v>269</v>
      </c>
      <c r="L2079" s="26" t="s">
        <v>351</v>
      </c>
      <c r="M2079" s="26" t="s">
        <v>323</v>
      </c>
      <c r="N2079" s="26">
        <v>100</v>
      </c>
      <c r="O2079" s="26">
        <f>2024-Inventory[[#This Row],[YrBlt]]</f>
        <v>99</v>
      </c>
      <c r="P2079" s="26">
        <f>2024-Inventory[[#This Row],[EffYr]]</f>
        <v>56</v>
      </c>
      <c r="Q2079" s="25">
        <v>1925</v>
      </c>
      <c r="R2079" s="25">
        <v>1968</v>
      </c>
      <c r="S2079" s="25">
        <v>1198</v>
      </c>
      <c r="T2079" s="31"/>
      <c r="U2079" s="25">
        <v>1120</v>
      </c>
      <c r="V2079" s="25">
        <f>Inventory[[#This Row],[Bsmt]]-Inventory[[#This Row],[FnBsmt]]</f>
        <v>0</v>
      </c>
      <c r="W2079" s="25">
        <v>1120</v>
      </c>
      <c r="X2079" s="27"/>
      <c r="Y2079" s="27">
        <f>Inventory[[#This Row],[MainFn]]+Inventory[[#This Row],[UpprFn]]+Inventory[[#This Row],[FnBsmt]]+Inventory[[#This Row],[AddFn]]</f>
        <v>2318</v>
      </c>
      <c r="Z2079" s="27">
        <v>2500</v>
      </c>
      <c r="AA2079" s="25">
        <v>5</v>
      </c>
      <c r="AB2079" s="27"/>
      <c r="AC2079" s="27"/>
      <c r="AD2079" s="27"/>
      <c r="AE2079" s="27"/>
      <c r="AF2079" s="27"/>
      <c r="AG2079" s="27"/>
      <c r="AH2079" s="27"/>
      <c r="AI2079" s="25">
        <v>282500</v>
      </c>
      <c r="AJ2079" s="25">
        <v>180800</v>
      </c>
      <c r="AK2079" s="25">
        <v>8845</v>
      </c>
      <c r="AL2079" s="25">
        <v>326900</v>
      </c>
      <c r="AM2079" s="25">
        <v>61700</v>
      </c>
      <c r="AN2079" s="25">
        <v>265200</v>
      </c>
      <c r="AO2079" s="25">
        <v>0</v>
      </c>
      <c r="AP2079" s="25">
        <f>Lookups!$B$56*0</f>
        <v>0</v>
      </c>
      <c r="AQ2079" s="25">
        <f>Lookups!$B$56*1</f>
        <v>89850.625589999996</v>
      </c>
      <c r="AR2079" s="25">
        <f>Lookups!$B$57*Inventory[[#This Row],[LnAcres]]</f>
        <v>-47929.131559187132</v>
      </c>
      <c r="AS2079" s="25">
        <f>VLOOKUP(Inventory[[#This Row],[Qlty]],Lookups!$A$62:$E$75,2,FALSE)</f>
        <v>21557.329055999999</v>
      </c>
      <c r="AT2079" s="25">
        <f>VLOOKUP(Inventory[[#This Row],[Cnd]],Lookups!$A$76:$E$84,2,FALSE)</f>
        <v>160472.20319</v>
      </c>
      <c r="AU2079" s="25">
        <f>Inventory[[#This Row],[EffAge]]*Lookups!$B$85</f>
        <v>-12490.553628</v>
      </c>
      <c r="AV2079" s="25">
        <f>Inventory[[#This Row],[MainFn]]*Lookups!$B$86</f>
        <v>59191.586512646005</v>
      </c>
      <c r="AW2079" s="25">
        <f>Inventory[[#This Row],[UpprFn]]*Lookups!$B$87</f>
        <v>0</v>
      </c>
      <c r="AX2079" s="25">
        <f>Inventory[[#This Row],[AddFn]]*Lookups!$B$88</f>
        <v>0</v>
      </c>
      <c r="AY2079" s="25">
        <f>Inventory[[#This Row],[Bsmt]]*Lookups!$B$89</f>
        <v>32571.722676639998</v>
      </c>
      <c r="AZ2079" s="25">
        <f>Inventory[[#This Row],[Fixtures]]*Lookups!$B$90</f>
        <v>18960.110526</v>
      </c>
      <c r="BA2079" s="25">
        <f>Inventory[[#This Row],[WdDeck]]*Lookups!$B$91</f>
        <v>0</v>
      </c>
      <c r="BB2079" s="25">
        <f>ROUND(Inventory[[#This Row],[25Det]],-2)</f>
        <v>8800</v>
      </c>
      <c r="BC2079" s="25">
        <f>ROUND(SUM(Inventory[[#This Row],[Mdl Qlty]:[Mdl WdDeck]])+Inventory[[#This Row],[Mdl Res Intercept]],-2)</f>
        <v>280300</v>
      </c>
      <c r="BD2079" s="25">
        <f>ROUND(Inventory[[#This Row],[Mdl Land Intercept]]+Inventory[[#This Row],[Mdl LnAcres]],-2)</f>
        <v>41900</v>
      </c>
      <c r="BE2079" s="25">
        <f>Inventory[[#This Row],[Unadj Res Value]]+Inventory[[#This Row],[Unadj Det Value]]+Inventory[[#This Row],[Unadj Land Value]]</f>
        <v>331000</v>
      </c>
      <c r="BF2079" s="36">
        <f>(Inventory[[#This Row],[Unadj Total Value]]-Inventory[[#This Row],[24Final]])/Inventory[[#This Row],[24Final]]</f>
        <v>1.2542061792597125E-2</v>
      </c>
      <c r="BG2079" s="25">
        <f>VLOOKUP(Inventory[[#This Row],[Nbhd]],Lookups!$Q$2:$T$4,4,FALSE)</f>
        <v>0.99970000000000003</v>
      </c>
      <c r="BH2079" s="25">
        <f>VLOOKUP(Inventory[[#This Row],[Qlty]],Lookups!$O$7:$R$21,4,FALSE)</f>
        <v>1.0067999999999999</v>
      </c>
      <c r="BI2079" s="25">
        <f>VLOOKUP(Inventory[[#This Row],[Cnd]],Lookups!$T$7:$W$16,4,FALSE)</f>
        <v>0.99729999999999996</v>
      </c>
      <c r="BJ2079" s="25">
        <f>VLOOKUP(Inventory[[#This Row],[LivArea Range]],Lookups!$T$25:$W$37,4,FALSE)</f>
        <v>0.98919999999999997</v>
      </c>
      <c r="BK2079" s="25">
        <f>VLOOKUP(Inventory[[#This Row],[Decade]],Lookups!$O$25:$R$42,4,FALSE)</f>
        <v>1.0074000000000001</v>
      </c>
      <c r="BL2079" s="25">
        <f>Inventory[[#This Row],[Nbhd Adj]]*0.95</f>
        <v>0.94971499999999998</v>
      </c>
      <c r="BM2079" s="25">
        <f>Inventory[[#This Row],[Nbhd Adj]]*Inventory[[#This Row],[Quality Adj]]*Inventory[[#This Row],[Condition Adj]]*Inventory[[#This Row],[Living Area Adj]]*Inventory[[#This Row],[Decade Adj]]*0.95</f>
        <v>0.95027297296624202</v>
      </c>
      <c r="BN2079" s="25">
        <f>ROUND(SUM(Inventory[[#This Row],[Mdl Qlty]:[Mdl WdDeck]])+Inventory[[#This Row],[Mdl Res Intercept]]*Inventory[[#This Row],[Res Adj ]],-2)</f>
        <v>280300</v>
      </c>
      <c r="BO2079" s="25">
        <f>ROUND(Inventory[[#This Row],[25Det]]*Inventory[[#This Row],[Det/Nbhd Adj]],-2)</f>
        <v>8400</v>
      </c>
      <c r="BP2079" s="25">
        <f>Inventory[[#This Row],[Adjusted Res]]+Inventory[[#This Row],[Adj Det ]]</f>
        <v>288700</v>
      </c>
      <c r="BQ2079" s="25">
        <f>ROUND((Inventory[[#This Row],[Mdl Land Intercept]]+Inventory[[#This Row],[Mdl LnAcres]])*Inventory[[#This Row],[Det/Nbhd Adj]],-2)</f>
        <v>39800</v>
      </c>
      <c r="BR2079" s="25">
        <f>Inventory[[#This Row],[Adjusted Impr Total]]+Inventory[[#This Row],[Adjusted Land Total]]</f>
        <v>328500</v>
      </c>
      <c r="BS2079" s="36">
        <f>IFERROR((Inventory[[#This Row],[Adjusted Impr Total]]-Inventory[[#This Row],[24Bldg]])/Inventory[[#This Row],[24Bldg]],0)</f>
        <v>8.8612368024132734E-2</v>
      </c>
      <c r="BT2079" s="36">
        <f>(Inventory[[#This Row],[Adjusted Land Total]]-Inventory[[#This Row],[24Lnd]])/Inventory[[#This Row],[24Lnd]]</f>
        <v>-0.35494327390599678</v>
      </c>
      <c r="BU2079" s="36">
        <f>(Inventory[[#This Row],[Adjusted Total]]-Inventory[[#This Row],[24Final]])/Inventory[[#This Row],[24Final]]</f>
        <v>4.8944631385744878E-3</v>
      </c>
    </row>
    <row r="2080" spans="1:73" x14ac:dyDescent="0.3">
      <c r="A2080" s="25">
        <v>2025</v>
      </c>
      <c r="B2080" s="26" t="s">
        <v>1038</v>
      </c>
      <c r="C2080" s="26">
        <f>LN(Inventory[[#This Row],[Acres]])</f>
        <v>-1.1394342831883648</v>
      </c>
      <c r="D2080" s="25">
        <v>0.32</v>
      </c>
      <c r="E2080" s="27"/>
      <c r="F2080" s="26" t="s">
        <v>537</v>
      </c>
      <c r="G2080" s="26" t="s">
        <v>126</v>
      </c>
      <c r="H2080" s="26" t="s">
        <v>349</v>
      </c>
      <c r="I2080" s="26" t="s">
        <v>538</v>
      </c>
      <c r="J2080" s="26" t="s">
        <v>539</v>
      </c>
      <c r="K2080" s="26" t="s">
        <v>269</v>
      </c>
      <c r="L2080" s="26" t="s">
        <v>148</v>
      </c>
      <c r="M2080" s="26" t="s">
        <v>323</v>
      </c>
      <c r="N2080" s="26">
        <v>100</v>
      </c>
      <c r="O2080" s="26">
        <f>2024-Inventory[[#This Row],[YrBlt]]</f>
        <v>99</v>
      </c>
      <c r="P2080" s="26">
        <f>2024-Inventory[[#This Row],[EffYr]]</f>
        <v>56</v>
      </c>
      <c r="Q2080" s="25">
        <v>1925</v>
      </c>
      <c r="R2080" s="25">
        <v>1968</v>
      </c>
      <c r="S2080" s="25">
        <v>1462</v>
      </c>
      <c r="T2080" s="27"/>
      <c r="U2080" s="25">
        <v>1244</v>
      </c>
      <c r="V2080" s="25">
        <f>Inventory[[#This Row],[Bsmt]]-Inventory[[#This Row],[FnBsmt]]</f>
        <v>0</v>
      </c>
      <c r="W2080" s="25">
        <v>1244</v>
      </c>
      <c r="X2080" s="27"/>
      <c r="Y2080" s="27">
        <f>Inventory[[#This Row],[MainFn]]+Inventory[[#This Row],[UpprFn]]+Inventory[[#This Row],[FnBsmt]]+Inventory[[#This Row],[AddFn]]</f>
        <v>2706</v>
      </c>
      <c r="Z2080" s="27">
        <v>3000</v>
      </c>
      <c r="AA2080" s="25">
        <v>11</v>
      </c>
      <c r="AB2080" s="27"/>
      <c r="AC2080" s="27"/>
      <c r="AD2080" s="27"/>
      <c r="AE2080" s="27"/>
      <c r="AF2080" s="27"/>
      <c r="AG2080" s="27"/>
      <c r="AH2080" s="27"/>
      <c r="AI2080" s="25">
        <v>453819</v>
      </c>
      <c r="AJ2080" s="25">
        <v>290444</v>
      </c>
      <c r="AK2080" s="25">
        <v>30668</v>
      </c>
      <c r="AL2080" s="25">
        <v>420900</v>
      </c>
      <c r="AM2080" s="25">
        <v>74800</v>
      </c>
      <c r="AN2080" s="25">
        <v>346100</v>
      </c>
      <c r="AO2080" s="25">
        <v>0</v>
      </c>
      <c r="AP2080" s="25">
        <f>Lookups!$B$56*0</f>
        <v>0</v>
      </c>
      <c r="AQ2080" s="25">
        <f>Lookups!$B$56*1</f>
        <v>89850.625589999996</v>
      </c>
      <c r="AR2080" s="25">
        <f>Lookups!$B$57*Inventory[[#This Row],[LnAcres]]</f>
        <v>-36068.354396449467</v>
      </c>
      <c r="AS2080" s="25">
        <f>VLOOKUP(Inventory[[#This Row],[Qlty]],Lookups!$A$62:$E$75,2,FALSE)</f>
        <v>44121.038090000002</v>
      </c>
      <c r="AT2080" s="25">
        <f>VLOOKUP(Inventory[[#This Row],[Cnd]],Lookups!$A$76:$E$84,2,FALSE)</f>
        <v>160472.20319</v>
      </c>
      <c r="AU2080" s="25">
        <f>Inventory[[#This Row],[EffAge]]*Lookups!$B$85</f>
        <v>-12490.553628</v>
      </c>
      <c r="AV2080" s="25">
        <f>Inventory[[#This Row],[MainFn]]*Lookups!$B$86</f>
        <v>72235.475360174009</v>
      </c>
      <c r="AW2080" s="25">
        <f>Inventory[[#This Row],[UpprFn]]*Lookups!$B$87</f>
        <v>0</v>
      </c>
      <c r="AX2080" s="25">
        <f>Inventory[[#This Row],[AddFn]]*Lookups!$B$88</f>
        <v>0</v>
      </c>
      <c r="AY2080" s="25">
        <f>Inventory[[#This Row],[Bsmt]]*Lookups!$B$89</f>
        <v>36177.877687267995</v>
      </c>
      <c r="AZ2080" s="25">
        <f>Inventory[[#This Row],[Fixtures]]*Lookups!$B$90</f>
        <v>41712.243157199999</v>
      </c>
      <c r="BA2080" s="25">
        <f>Inventory[[#This Row],[WdDeck]]*Lookups!$B$91</f>
        <v>0</v>
      </c>
      <c r="BB2080" s="25">
        <f>ROUND(Inventory[[#This Row],[25Det]],-2)</f>
        <v>30700</v>
      </c>
      <c r="BC2080" s="25">
        <f>ROUND(SUM(Inventory[[#This Row],[Mdl Qlty]:[Mdl WdDeck]])+Inventory[[#This Row],[Mdl Res Intercept]],-2)</f>
        <v>342200</v>
      </c>
      <c r="BD2080" s="25">
        <f>ROUND(Inventory[[#This Row],[Mdl Land Intercept]]+Inventory[[#This Row],[Mdl LnAcres]],-2)</f>
        <v>53800</v>
      </c>
      <c r="BE2080" s="25">
        <f>Inventory[[#This Row],[Unadj Res Value]]+Inventory[[#This Row],[Unadj Det Value]]+Inventory[[#This Row],[Unadj Land Value]]</f>
        <v>426700</v>
      </c>
      <c r="BF2080" s="36">
        <f>(Inventory[[#This Row],[Unadj Total Value]]-Inventory[[#This Row],[24Final]])/Inventory[[#This Row],[24Final]]</f>
        <v>1.3779995248277501E-2</v>
      </c>
      <c r="BG2080" s="25">
        <f>VLOOKUP(Inventory[[#This Row],[Nbhd]],Lookups!$Q$2:$T$4,4,FALSE)</f>
        <v>0.99970000000000003</v>
      </c>
      <c r="BH2080" s="25">
        <f>VLOOKUP(Inventory[[#This Row],[Qlty]],Lookups!$O$7:$R$21,4,FALSE)</f>
        <v>0.98050000000000004</v>
      </c>
      <c r="BI2080" s="25">
        <f>VLOOKUP(Inventory[[#This Row],[Cnd]],Lookups!$T$7:$W$16,4,FALSE)</f>
        <v>0.99729999999999996</v>
      </c>
      <c r="BJ2080" s="25">
        <f>VLOOKUP(Inventory[[#This Row],[LivArea Range]],Lookups!$T$25:$W$37,4,FALSE)</f>
        <v>0.96179999999999999</v>
      </c>
      <c r="BK2080" s="25">
        <f>VLOOKUP(Inventory[[#This Row],[Decade]],Lookups!$O$25:$R$42,4,FALSE)</f>
        <v>1.0074000000000001</v>
      </c>
      <c r="BL2080" s="25">
        <f>Inventory[[#This Row],[Nbhd Adj]]*0.95</f>
        <v>0.94971499999999998</v>
      </c>
      <c r="BM2080" s="25">
        <f>Inventory[[#This Row],[Nbhd Adj]]*Inventory[[#This Row],[Quality Adj]]*Inventory[[#This Row],[Condition Adj]]*Inventory[[#This Row],[Living Area Adj]]*Inventory[[#This Row],[Decade Adj]]*0.95</f>
        <v>0.89981542490809019</v>
      </c>
      <c r="BN2080" s="25">
        <f>ROUND(SUM(Inventory[[#This Row],[Mdl Qlty]:[Mdl WdDeck]])+Inventory[[#This Row],[Mdl Res Intercept]]*Inventory[[#This Row],[Res Adj ]],-2)</f>
        <v>342200</v>
      </c>
      <c r="BO2080" s="25">
        <f>ROUND(Inventory[[#This Row],[25Det]]*Inventory[[#This Row],[Det/Nbhd Adj]],-2)</f>
        <v>29100</v>
      </c>
      <c r="BP2080" s="25">
        <f>Inventory[[#This Row],[Adjusted Res]]+Inventory[[#This Row],[Adj Det ]]</f>
        <v>371300</v>
      </c>
      <c r="BQ2080" s="25">
        <f>ROUND((Inventory[[#This Row],[Mdl Land Intercept]]+Inventory[[#This Row],[Mdl LnAcres]])*Inventory[[#This Row],[Det/Nbhd Adj]],-2)</f>
        <v>51100</v>
      </c>
      <c r="BR2080" s="25">
        <f>Inventory[[#This Row],[Adjusted Impr Total]]+Inventory[[#This Row],[Adjusted Land Total]]</f>
        <v>422400</v>
      </c>
      <c r="BS2080" s="36">
        <f>IFERROR((Inventory[[#This Row],[Adjusted Impr Total]]-Inventory[[#This Row],[24Bldg]])/Inventory[[#This Row],[24Bldg]],0)</f>
        <v>7.2811326206298752E-2</v>
      </c>
      <c r="BT2080" s="36">
        <f>(Inventory[[#This Row],[Adjusted Land Total]]-Inventory[[#This Row],[24Lnd]])/Inventory[[#This Row],[24Lnd]]</f>
        <v>-0.31684491978609625</v>
      </c>
      <c r="BU2080" s="36">
        <f>(Inventory[[#This Row],[Adjusted Total]]-Inventory[[#This Row],[24Final]])/Inventory[[#This Row],[24Final]]</f>
        <v>3.5637918745545262E-3</v>
      </c>
    </row>
    <row r="2081" spans="1:73" x14ac:dyDescent="0.3">
      <c r="A2081" s="25">
        <v>2025</v>
      </c>
      <c r="B2081" s="26" t="s">
        <v>2400</v>
      </c>
      <c r="C2081" s="26">
        <f>LN(Inventory[[#This Row],[Acres]])</f>
        <v>-1.3862943611198906</v>
      </c>
      <c r="D2081" s="25">
        <v>0.25</v>
      </c>
      <c r="E2081" s="32">
        <v>11055</v>
      </c>
      <c r="F2081" s="26" t="s">
        <v>537</v>
      </c>
      <c r="G2081" s="26" t="s">
        <v>126</v>
      </c>
      <c r="H2081" s="26" t="s">
        <v>349</v>
      </c>
      <c r="I2081" s="26" t="s">
        <v>538</v>
      </c>
      <c r="J2081" s="26" t="s">
        <v>539</v>
      </c>
      <c r="K2081" s="26" t="s">
        <v>269</v>
      </c>
      <c r="L2081" s="26" t="s">
        <v>95</v>
      </c>
      <c r="M2081" s="26" t="s">
        <v>303</v>
      </c>
      <c r="N2081" s="26">
        <v>100</v>
      </c>
      <c r="O2081" s="26">
        <f>2024-Inventory[[#This Row],[YrBlt]]</f>
        <v>99</v>
      </c>
      <c r="P2081" s="26">
        <f>2024-Inventory[[#This Row],[EffYr]]</f>
        <v>56</v>
      </c>
      <c r="Q2081" s="25">
        <v>1925</v>
      </c>
      <c r="R2081" s="25">
        <v>1968</v>
      </c>
      <c r="S2081" s="25">
        <v>1378</v>
      </c>
      <c r="T2081" s="25">
        <v>780</v>
      </c>
      <c r="U2081" s="25">
        <v>1378</v>
      </c>
      <c r="V2081" s="25">
        <f>Inventory[[#This Row],[Bsmt]]-Inventory[[#This Row],[FnBsmt]]</f>
        <v>0</v>
      </c>
      <c r="W2081" s="25">
        <v>1378</v>
      </c>
      <c r="X2081" s="27"/>
      <c r="Y2081" s="27">
        <f>Inventory[[#This Row],[MainFn]]+Inventory[[#This Row],[UpprFn]]+Inventory[[#This Row],[FnBsmt]]+Inventory[[#This Row],[AddFn]]</f>
        <v>3536</v>
      </c>
      <c r="Z2081" s="27">
        <v>4000</v>
      </c>
      <c r="AA2081" s="25">
        <v>11</v>
      </c>
      <c r="AB2081" s="27"/>
      <c r="AC2081" s="27"/>
      <c r="AD2081" s="27"/>
      <c r="AE2081" s="27"/>
      <c r="AF2081" s="27"/>
      <c r="AG2081" s="27"/>
      <c r="AH2081" s="27"/>
      <c r="AI2081" s="25">
        <v>669283</v>
      </c>
      <c r="AJ2081" s="25">
        <v>448420</v>
      </c>
      <c r="AK2081" s="25">
        <v>49037</v>
      </c>
      <c r="AL2081" s="25">
        <v>534900</v>
      </c>
      <c r="AM2081" s="25">
        <v>66200</v>
      </c>
      <c r="AN2081" s="25">
        <v>468700</v>
      </c>
      <c r="AO2081" s="25">
        <v>0</v>
      </c>
      <c r="AP2081" s="25">
        <f>Lookups!$B$56*0</f>
        <v>0</v>
      </c>
      <c r="AQ2081" s="25">
        <f>Lookups!$B$56*1</f>
        <v>89850.625589999996</v>
      </c>
      <c r="AR2081" s="25">
        <f>Lookups!$B$57*Inventory[[#This Row],[LnAcres]]</f>
        <v>-43882.615305165229</v>
      </c>
      <c r="AS2081" s="25">
        <f>VLOOKUP(Inventory[[#This Row],[Qlty]],Lookups!$A$62:$E$75,2,FALSE)</f>
        <v>74268.409664999999</v>
      </c>
      <c r="AT2081" s="25">
        <f>VLOOKUP(Inventory[[#This Row],[Cnd]],Lookups!$A$76:$E$84,2,FALSE)</f>
        <v>197752.34721000001</v>
      </c>
      <c r="AU2081" s="25">
        <f>Inventory[[#This Row],[EffAge]]*Lookups!$B$85</f>
        <v>-12490.553628</v>
      </c>
      <c r="AV2081" s="25">
        <f>Inventory[[#This Row],[MainFn]]*Lookups!$B$86</f>
        <v>68085.147090505998</v>
      </c>
      <c r="AW2081" s="25">
        <f>Inventory[[#This Row],[UpprFn]]*Lookups!$B$87</f>
        <v>34933.40983158</v>
      </c>
      <c r="AX2081" s="25">
        <f>Inventory[[#This Row],[AddFn]]*Lookups!$B$88</f>
        <v>0</v>
      </c>
      <c r="AY2081" s="25">
        <f>Inventory[[#This Row],[Bsmt]]*Lookups!$B$89</f>
        <v>40074.851650365999</v>
      </c>
      <c r="AZ2081" s="25">
        <f>Inventory[[#This Row],[Fixtures]]*Lookups!$B$90</f>
        <v>41712.243157199999</v>
      </c>
      <c r="BA2081" s="25">
        <f>Inventory[[#This Row],[WdDeck]]*Lookups!$B$91</f>
        <v>0</v>
      </c>
      <c r="BB2081" s="25">
        <f>ROUND(Inventory[[#This Row],[25Det]],-2)</f>
        <v>49000</v>
      </c>
      <c r="BC2081" s="25">
        <f>ROUND(SUM(Inventory[[#This Row],[Mdl Qlty]:[Mdl WdDeck]])+Inventory[[#This Row],[Mdl Res Intercept]],-2)</f>
        <v>444300</v>
      </c>
      <c r="BD2081" s="25">
        <f>ROUND(Inventory[[#This Row],[Mdl Land Intercept]]+Inventory[[#This Row],[Mdl LnAcres]],-2)</f>
        <v>46000</v>
      </c>
      <c r="BE2081" s="25">
        <f>Inventory[[#This Row],[Unadj Res Value]]+Inventory[[#This Row],[Unadj Det Value]]+Inventory[[#This Row],[Unadj Land Value]]</f>
        <v>539300</v>
      </c>
      <c r="BF2081" s="36">
        <f>(Inventory[[#This Row],[Unadj Total Value]]-Inventory[[#This Row],[24Final]])/Inventory[[#This Row],[24Final]]</f>
        <v>8.2258366049728915E-3</v>
      </c>
      <c r="BG2081" s="25">
        <f>VLOOKUP(Inventory[[#This Row],[Nbhd]],Lookups!$Q$2:$T$4,4,FALSE)</f>
        <v>0.99970000000000003</v>
      </c>
      <c r="BH2081" s="25">
        <f>VLOOKUP(Inventory[[#This Row],[Qlty]],Lookups!$O$7:$R$21,4,FALSE)</f>
        <v>0.98380000000000001</v>
      </c>
      <c r="BI2081" s="25">
        <f>VLOOKUP(Inventory[[#This Row],[Cnd]],Lookups!$T$7:$W$16,4,FALSE)</f>
        <v>0.99650000000000005</v>
      </c>
      <c r="BJ2081" s="25">
        <f>VLOOKUP(Inventory[[#This Row],[LivArea Range]],Lookups!$T$25:$W$37,4,FALSE)</f>
        <v>0.94579999999999997</v>
      </c>
      <c r="BK2081" s="25">
        <f>VLOOKUP(Inventory[[#This Row],[Decade]],Lookups!$O$25:$R$42,4,FALSE)</f>
        <v>1.0074000000000001</v>
      </c>
      <c r="BL2081" s="25">
        <f>Inventory[[#This Row],[Nbhd Adj]]*0.95</f>
        <v>0.94971499999999998</v>
      </c>
      <c r="BM2081" s="25">
        <f>Inventory[[#This Row],[Nbhd Adj]]*Inventory[[#This Row],[Quality Adj]]*Inventory[[#This Row],[Condition Adj]]*Inventory[[#This Row],[Living Area Adj]]*Inventory[[#This Row],[Decade Adj]]*0.95</f>
        <v>0.88711245112660808</v>
      </c>
      <c r="BN2081" s="25">
        <f>ROUND(SUM(Inventory[[#This Row],[Mdl Qlty]:[Mdl WdDeck]])+Inventory[[#This Row],[Mdl Res Intercept]]*Inventory[[#This Row],[Res Adj ]],-2)</f>
        <v>444300</v>
      </c>
      <c r="BO2081" s="25">
        <f>ROUND(Inventory[[#This Row],[25Det]]*Inventory[[#This Row],[Det/Nbhd Adj]],-2)</f>
        <v>46600</v>
      </c>
      <c r="BP2081" s="25">
        <f>Inventory[[#This Row],[Adjusted Res]]+Inventory[[#This Row],[Adj Det ]]</f>
        <v>490900</v>
      </c>
      <c r="BQ2081" s="25">
        <f>ROUND((Inventory[[#This Row],[Mdl Land Intercept]]+Inventory[[#This Row],[Mdl LnAcres]])*Inventory[[#This Row],[Det/Nbhd Adj]],-2)</f>
        <v>43700</v>
      </c>
      <c r="BR2081" s="25">
        <f>Inventory[[#This Row],[Adjusted Impr Total]]+Inventory[[#This Row],[Adjusted Land Total]]</f>
        <v>534600</v>
      </c>
      <c r="BS2081" s="36">
        <f>IFERROR((Inventory[[#This Row],[Adjusted Impr Total]]-Inventory[[#This Row],[24Bldg]])/Inventory[[#This Row],[24Bldg]],0)</f>
        <v>4.7365052272242372E-2</v>
      </c>
      <c r="BT2081" s="36">
        <f>(Inventory[[#This Row],[Adjusted Land Total]]-Inventory[[#This Row],[24Lnd]])/Inventory[[#This Row],[24Lnd]]</f>
        <v>-0.33987915407854985</v>
      </c>
      <c r="BU2081" s="36">
        <f>(Inventory[[#This Row],[Adjusted Total]]-Inventory[[#This Row],[24Final]])/Inventory[[#This Row],[24Final]]</f>
        <v>-5.6085249579360629E-4</v>
      </c>
    </row>
    <row r="2082" spans="1:73" x14ac:dyDescent="0.3">
      <c r="A2082" s="25">
        <v>2025</v>
      </c>
      <c r="B2082" s="26" t="s">
        <v>2714</v>
      </c>
      <c r="C2082" s="26">
        <f>LN(Inventory[[#This Row],[Acres]])</f>
        <v>-1.8971199848858813</v>
      </c>
      <c r="D2082" s="25">
        <v>0.15</v>
      </c>
      <c r="E2082" s="25">
        <v>6462</v>
      </c>
      <c r="F2082" s="26" t="s">
        <v>537</v>
      </c>
      <c r="G2082" s="26" t="s">
        <v>126</v>
      </c>
      <c r="H2082" s="26" t="s">
        <v>349</v>
      </c>
      <c r="I2082" s="26" t="s">
        <v>538</v>
      </c>
      <c r="J2082" s="26" t="s">
        <v>539</v>
      </c>
      <c r="K2082" s="26" t="s">
        <v>269</v>
      </c>
      <c r="L2082" s="26" t="s">
        <v>302</v>
      </c>
      <c r="M2082" s="26" t="s">
        <v>323</v>
      </c>
      <c r="N2082" s="26">
        <v>100</v>
      </c>
      <c r="O2082" s="26">
        <f>2024-Inventory[[#This Row],[YrBlt]]</f>
        <v>99</v>
      </c>
      <c r="P2082" s="26">
        <f>2024-Inventory[[#This Row],[EffYr]]</f>
        <v>56</v>
      </c>
      <c r="Q2082" s="25">
        <v>1925</v>
      </c>
      <c r="R2082" s="25">
        <v>1968</v>
      </c>
      <c r="S2082" s="25">
        <v>1058</v>
      </c>
      <c r="T2082" s="25">
        <v>506</v>
      </c>
      <c r="U2082" s="25">
        <v>1012</v>
      </c>
      <c r="V2082" s="25">
        <f>Inventory[[#This Row],[Bsmt]]-Inventory[[#This Row],[FnBsmt]]</f>
        <v>0</v>
      </c>
      <c r="W2082" s="25">
        <v>1012</v>
      </c>
      <c r="X2082" s="27"/>
      <c r="Y2082" s="27">
        <f>Inventory[[#This Row],[MainFn]]+Inventory[[#This Row],[UpprFn]]+Inventory[[#This Row],[FnBsmt]]+Inventory[[#This Row],[AddFn]]</f>
        <v>2576</v>
      </c>
      <c r="Z2082" s="27">
        <v>3000</v>
      </c>
      <c r="AA2082" s="25">
        <v>9</v>
      </c>
      <c r="AB2082" s="32">
        <v>228</v>
      </c>
      <c r="AC2082" s="27"/>
      <c r="AD2082" s="27"/>
      <c r="AE2082" s="27"/>
      <c r="AF2082" s="27"/>
      <c r="AG2082" s="27"/>
      <c r="AH2082" s="27"/>
      <c r="AI2082" s="25">
        <v>413787</v>
      </c>
      <c r="AJ2082" s="25">
        <v>264824</v>
      </c>
      <c r="AK2082" s="25">
        <v>0</v>
      </c>
      <c r="AL2082" s="25">
        <v>345000</v>
      </c>
      <c r="AM2082" s="25">
        <v>48400</v>
      </c>
      <c r="AN2082" s="25">
        <v>296600</v>
      </c>
      <c r="AO2082" s="25">
        <v>0</v>
      </c>
      <c r="AP2082" s="25">
        <f>Lookups!$B$56*0</f>
        <v>0</v>
      </c>
      <c r="AQ2082" s="25">
        <f>Lookups!$B$56*1</f>
        <v>89850.625589999996</v>
      </c>
      <c r="AR2082" s="25">
        <f>Lookups!$B$57*Inventory[[#This Row],[LnAcres]]</f>
        <v>-60052.604136134301</v>
      </c>
      <c r="AS2082" s="25">
        <f>VLOOKUP(Inventory[[#This Row],[Qlty]],Lookups!$A$62:$E$75,2,FALSE)</f>
        <v>29814.093161000001</v>
      </c>
      <c r="AT2082" s="25">
        <f>VLOOKUP(Inventory[[#This Row],[Cnd]],Lookups!$A$76:$E$84,2,FALSE)</f>
        <v>160472.20319</v>
      </c>
      <c r="AU2082" s="25">
        <f>Inventory[[#This Row],[EffAge]]*Lookups!$B$85</f>
        <v>-12490.553628</v>
      </c>
      <c r="AV2082" s="25">
        <f>Inventory[[#This Row],[MainFn]]*Lookups!$B$86</f>
        <v>52274.372729866001</v>
      </c>
      <c r="AW2082" s="25">
        <f>Inventory[[#This Row],[UpprFn]]*Lookups!$B$87</f>
        <v>22661.929967665998</v>
      </c>
      <c r="AX2082" s="25">
        <f>Inventory[[#This Row],[AddFn]]*Lookups!$B$88</f>
        <v>0</v>
      </c>
      <c r="AY2082" s="25">
        <f>Inventory[[#This Row],[Bsmt]]*Lookups!$B$89</f>
        <v>29430.877989963999</v>
      </c>
      <c r="AZ2082" s="25">
        <f>Inventory[[#This Row],[Fixtures]]*Lookups!$B$90</f>
        <v>34128.198946800003</v>
      </c>
      <c r="BA2082" s="25">
        <f>Inventory[[#This Row],[WdDeck]]*Lookups!$B$91</f>
        <v>0</v>
      </c>
      <c r="BB2082" s="25">
        <f>ROUND(Inventory[[#This Row],[25Det]],-2)</f>
        <v>0</v>
      </c>
      <c r="BC2082" s="25">
        <f>ROUND(SUM(Inventory[[#This Row],[Mdl Qlty]:[Mdl WdDeck]])+Inventory[[#This Row],[Mdl Res Intercept]],-2)</f>
        <v>316300</v>
      </c>
      <c r="BD2082" s="25">
        <f>ROUND(Inventory[[#This Row],[Mdl Land Intercept]]+Inventory[[#This Row],[Mdl LnAcres]],-2)</f>
        <v>29800</v>
      </c>
      <c r="BE2082" s="25">
        <f>Inventory[[#This Row],[Unadj Res Value]]+Inventory[[#This Row],[Unadj Det Value]]+Inventory[[#This Row],[Unadj Land Value]]</f>
        <v>346100</v>
      </c>
      <c r="BF2082" s="36">
        <f>(Inventory[[#This Row],[Unadj Total Value]]-Inventory[[#This Row],[24Final]])/Inventory[[#This Row],[24Final]]</f>
        <v>3.1884057971014491E-3</v>
      </c>
      <c r="BG2082" s="25">
        <f>VLOOKUP(Inventory[[#This Row],[Nbhd]],Lookups!$Q$2:$T$4,4,FALSE)</f>
        <v>0.99970000000000003</v>
      </c>
      <c r="BH2082" s="25">
        <f>VLOOKUP(Inventory[[#This Row],[Qlty]],Lookups!$O$7:$R$21,4,FALSE)</f>
        <v>1.0088999999999999</v>
      </c>
      <c r="BI2082" s="25">
        <f>VLOOKUP(Inventory[[#This Row],[Cnd]],Lookups!$T$7:$W$16,4,FALSE)</f>
        <v>0.99729999999999996</v>
      </c>
      <c r="BJ2082" s="25">
        <f>VLOOKUP(Inventory[[#This Row],[LivArea Range]],Lookups!$T$25:$W$37,4,FALSE)</f>
        <v>0.96179999999999999</v>
      </c>
      <c r="BK2082" s="25">
        <f>VLOOKUP(Inventory[[#This Row],[Decade]],Lookups!$O$25:$R$42,4,FALSE)</f>
        <v>1.0074000000000001</v>
      </c>
      <c r="BL2082" s="25">
        <f>Inventory[[#This Row],[Nbhd Adj]]*0.95</f>
        <v>0.94971499999999998</v>
      </c>
      <c r="BM2082" s="25">
        <f>Inventory[[#This Row],[Nbhd Adj]]*Inventory[[#This Row],[Quality Adj]]*Inventory[[#This Row],[Condition Adj]]*Inventory[[#This Row],[Living Area Adj]]*Inventory[[#This Row],[Decade Adj]]*0.95</f>
        <v>0.92587841120833458</v>
      </c>
      <c r="BN2082" s="25">
        <f>ROUND(SUM(Inventory[[#This Row],[Mdl Qlty]:[Mdl WdDeck]])+Inventory[[#This Row],[Mdl Res Intercept]]*Inventory[[#This Row],[Res Adj ]],-2)</f>
        <v>316300</v>
      </c>
      <c r="BO2082" s="25">
        <f>ROUND(Inventory[[#This Row],[25Det]]*Inventory[[#This Row],[Det/Nbhd Adj]],-2)</f>
        <v>0</v>
      </c>
      <c r="BP2082" s="25">
        <f>Inventory[[#This Row],[Adjusted Res]]+Inventory[[#This Row],[Adj Det ]]</f>
        <v>316300</v>
      </c>
      <c r="BQ2082" s="25">
        <f>ROUND((Inventory[[#This Row],[Mdl Land Intercept]]+Inventory[[#This Row],[Mdl LnAcres]])*Inventory[[#This Row],[Det/Nbhd Adj]],-2)</f>
        <v>28300</v>
      </c>
      <c r="BR2082" s="25">
        <f>Inventory[[#This Row],[Adjusted Impr Total]]+Inventory[[#This Row],[Adjusted Land Total]]</f>
        <v>344600</v>
      </c>
      <c r="BS2082" s="36">
        <f>IFERROR((Inventory[[#This Row],[Adjusted Impr Total]]-Inventory[[#This Row],[24Bldg]])/Inventory[[#This Row],[24Bldg]],0)</f>
        <v>6.6419420094403242E-2</v>
      </c>
      <c r="BT2082" s="36">
        <f>(Inventory[[#This Row],[Adjusted Land Total]]-Inventory[[#This Row],[24Lnd]])/Inventory[[#This Row],[24Lnd]]</f>
        <v>-0.41528925619834711</v>
      </c>
      <c r="BU2082" s="36">
        <f>(Inventory[[#This Row],[Adjusted Total]]-Inventory[[#This Row],[24Final]])/Inventory[[#This Row],[24Final]]</f>
        <v>-1.1594202898550724E-3</v>
      </c>
    </row>
    <row r="2083" spans="1:73" x14ac:dyDescent="0.3">
      <c r="A2083" s="25">
        <v>2025</v>
      </c>
      <c r="B2083" s="26" t="s">
        <v>2198</v>
      </c>
      <c r="C2083" s="26">
        <f>LN(Inventory[[#This Row],[Acres]])</f>
        <v>-1.2729656758128873</v>
      </c>
      <c r="D2083" s="25">
        <v>0.28000000000000003</v>
      </c>
      <c r="E2083" s="25">
        <v>12046</v>
      </c>
      <c r="F2083" s="26" t="s">
        <v>537</v>
      </c>
      <c r="G2083" s="26" t="s">
        <v>126</v>
      </c>
      <c r="H2083" s="26" t="s">
        <v>349</v>
      </c>
      <c r="I2083" s="26" t="s">
        <v>538</v>
      </c>
      <c r="J2083" s="26" t="s">
        <v>539</v>
      </c>
      <c r="K2083" s="26" t="s">
        <v>269</v>
      </c>
      <c r="L2083" s="26" t="s">
        <v>95</v>
      </c>
      <c r="M2083" s="26" t="s">
        <v>303</v>
      </c>
      <c r="N2083" s="26">
        <v>100</v>
      </c>
      <c r="O2083" s="26">
        <f>2024-Inventory[[#This Row],[YrBlt]]</f>
        <v>99</v>
      </c>
      <c r="P2083" s="26">
        <f>2024-Inventory[[#This Row],[EffYr]]</f>
        <v>56</v>
      </c>
      <c r="Q2083" s="25">
        <v>1925</v>
      </c>
      <c r="R2083" s="25">
        <v>1968</v>
      </c>
      <c r="S2083" s="25">
        <v>1656</v>
      </c>
      <c r="T2083" s="27"/>
      <c r="U2083" s="25">
        <v>1544</v>
      </c>
      <c r="V2083" s="32">
        <f>Inventory[[#This Row],[Bsmt]]-Inventory[[#This Row],[FnBsmt]]</f>
        <v>694</v>
      </c>
      <c r="W2083" s="32">
        <v>850</v>
      </c>
      <c r="X2083" s="27"/>
      <c r="Y2083" s="27">
        <f>Inventory[[#This Row],[MainFn]]+Inventory[[#This Row],[UpprFn]]+Inventory[[#This Row],[FnBsmt]]+Inventory[[#This Row],[AddFn]]</f>
        <v>2506</v>
      </c>
      <c r="Z2083" s="27">
        <v>3000</v>
      </c>
      <c r="AA2083" s="25">
        <v>9</v>
      </c>
      <c r="AB2083" s="27"/>
      <c r="AC2083" s="27"/>
      <c r="AD2083" s="27"/>
      <c r="AE2083" s="27"/>
      <c r="AF2083" s="27"/>
      <c r="AG2083" s="27"/>
      <c r="AH2083" s="27"/>
      <c r="AI2083" s="25">
        <v>541135</v>
      </c>
      <c r="AJ2083" s="25">
        <v>362560</v>
      </c>
      <c r="AK2083" s="25">
        <v>0</v>
      </c>
      <c r="AL2083" s="25">
        <v>468200</v>
      </c>
      <c r="AM2083" s="25">
        <v>70100</v>
      </c>
      <c r="AN2083" s="25">
        <v>398100</v>
      </c>
      <c r="AO2083" s="25">
        <v>0</v>
      </c>
      <c r="AP2083" s="25">
        <f>Lookups!$B$56*0</f>
        <v>0</v>
      </c>
      <c r="AQ2083" s="25">
        <f>Lookups!$B$56*1</f>
        <v>89850.625589999996</v>
      </c>
      <c r="AR2083" s="25">
        <f>Lookups!$B$57*Inventory[[#This Row],[LnAcres]]</f>
        <v>-40295.239319339329</v>
      </c>
      <c r="AS2083" s="25">
        <f>VLOOKUP(Inventory[[#This Row],[Qlty]],Lookups!$A$62:$E$75,2,FALSE)</f>
        <v>74268.409664999999</v>
      </c>
      <c r="AT2083" s="25">
        <f>VLOOKUP(Inventory[[#This Row],[Cnd]],Lookups!$A$76:$E$84,2,FALSE)</f>
        <v>197752.34721000001</v>
      </c>
      <c r="AU2083" s="25">
        <f>Inventory[[#This Row],[EffAge]]*Lookups!$B$85</f>
        <v>-12490.553628</v>
      </c>
      <c r="AV2083" s="25">
        <f>Inventory[[#This Row],[MainFn]]*Lookups!$B$86</f>
        <v>81820.757316311996</v>
      </c>
      <c r="AW2083" s="25">
        <f>Inventory[[#This Row],[UpprFn]]*Lookups!$B$87</f>
        <v>0</v>
      </c>
      <c r="AX2083" s="25">
        <f>Inventory[[#This Row],[AddFn]]*Lookups!$B$88</f>
        <v>0</v>
      </c>
      <c r="AY2083" s="25">
        <f>Inventory[[#This Row],[Bsmt]]*Lookups!$B$89</f>
        <v>44902.446261368001</v>
      </c>
      <c r="AZ2083" s="25">
        <f>Inventory[[#This Row],[Fixtures]]*Lookups!$B$90</f>
        <v>34128.198946800003</v>
      </c>
      <c r="BA2083" s="25">
        <f>Inventory[[#This Row],[WdDeck]]*Lookups!$B$91</f>
        <v>0</v>
      </c>
      <c r="BB2083" s="25">
        <f>ROUND(Inventory[[#This Row],[25Det]],-2)</f>
        <v>0</v>
      </c>
      <c r="BC2083" s="25">
        <f>ROUND(SUM(Inventory[[#This Row],[Mdl Qlty]:[Mdl WdDeck]])+Inventory[[#This Row],[Mdl Res Intercept]],-2)</f>
        <v>420400</v>
      </c>
      <c r="BD2083" s="25">
        <f>ROUND(Inventory[[#This Row],[Mdl Land Intercept]]+Inventory[[#This Row],[Mdl LnAcres]],-2)</f>
        <v>49600</v>
      </c>
      <c r="BE2083" s="25">
        <f>Inventory[[#This Row],[Unadj Res Value]]+Inventory[[#This Row],[Unadj Det Value]]+Inventory[[#This Row],[Unadj Land Value]]</f>
        <v>470000</v>
      </c>
      <c r="BF2083" s="36">
        <f>(Inventory[[#This Row],[Unadj Total Value]]-Inventory[[#This Row],[24Final]])/Inventory[[#This Row],[24Final]]</f>
        <v>3.8445108927808629E-3</v>
      </c>
      <c r="BG2083" s="25">
        <f>VLOOKUP(Inventory[[#This Row],[Nbhd]],Lookups!$Q$2:$T$4,4,FALSE)</f>
        <v>0.99970000000000003</v>
      </c>
      <c r="BH2083" s="25">
        <f>VLOOKUP(Inventory[[#This Row],[Qlty]],Lookups!$O$7:$R$21,4,FALSE)</f>
        <v>0.98380000000000001</v>
      </c>
      <c r="BI2083" s="25">
        <f>VLOOKUP(Inventory[[#This Row],[Cnd]],Lookups!$T$7:$W$16,4,FALSE)</f>
        <v>0.99650000000000005</v>
      </c>
      <c r="BJ2083" s="25">
        <f>VLOOKUP(Inventory[[#This Row],[LivArea Range]],Lookups!$T$25:$W$37,4,FALSE)</f>
        <v>0.96179999999999999</v>
      </c>
      <c r="BK2083" s="25">
        <f>VLOOKUP(Inventory[[#This Row],[Decade]],Lookups!$O$25:$R$42,4,FALSE)</f>
        <v>1.0074000000000001</v>
      </c>
      <c r="BL2083" s="25">
        <f>Inventory[[#This Row],[Nbhd Adj]]*0.95</f>
        <v>0.94971499999999998</v>
      </c>
      <c r="BM2083" s="25">
        <f>Inventory[[#This Row],[Nbhd Adj]]*Inventory[[#This Row],[Quality Adj]]*Inventory[[#This Row],[Condition Adj]]*Inventory[[#This Row],[Living Area Adj]]*Inventory[[#This Row],[Decade Adj]]*0.95</f>
        <v>0.90211963998051559</v>
      </c>
      <c r="BN2083" s="25">
        <f>ROUND(SUM(Inventory[[#This Row],[Mdl Qlty]:[Mdl WdDeck]])+Inventory[[#This Row],[Mdl Res Intercept]]*Inventory[[#This Row],[Res Adj ]],-2)</f>
        <v>420400</v>
      </c>
      <c r="BO2083" s="25">
        <f>ROUND(Inventory[[#This Row],[25Det]]*Inventory[[#This Row],[Det/Nbhd Adj]],-2)</f>
        <v>0</v>
      </c>
      <c r="BP2083" s="25">
        <f>Inventory[[#This Row],[Adjusted Res]]+Inventory[[#This Row],[Adj Det ]]</f>
        <v>420400</v>
      </c>
      <c r="BQ2083" s="25">
        <f>ROUND((Inventory[[#This Row],[Mdl Land Intercept]]+Inventory[[#This Row],[Mdl LnAcres]])*Inventory[[#This Row],[Det/Nbhd Adj]],-2)</f>
        <v>47100</v>
      </c>
      <c r="BR2083" s="25">
        <f>Inventory[[#This Row],[Adjusted Impr Total]]+Inventory[[#This Row],[Adjusted Land Total]]</f>
        <v>467500</v>
      </c>
      <c r="BS2083" s="36">
        <f>IFERROR((Inventory[[#This Row],[Adjusted Impr Total]]-Inventory[[#This Row],[24Bldg]])/Inventory[[#This Row],[24Bldg]],0)</f>
        <v>5.6016076362722933E-2</v>
      </c>
      <c r="BT2083" s="36">
        <f>(Inventory[[#This Row],[Adjusted Land Total]]-Inventory[[#This Row],[24Lnd]])/Inventory[[#This Row],[24Lnd]]</f>
        <v>-0.32810271041369471</v>
      </c>
      <c r="BU2083" s="36">
        <f>(Inventory[[#This Row],[Adjusted Total]]-Inventory[[#This Row],[24Final]])/Inventory[[#This Row],[24Final]]</f>
        <v>-1.4950875694147801E-3</v>
      </c>
    </row>
    <row r="2084" spans="1:73" x14ac:dyDescent="0.3">
      <c r="A2084" s="25">
        <v>2025</v>
      </c>
      <c r="B2084" s="26" t="s">
        <v>2271</v>
      </c>
      <c r="C2084" s="26">
        <f>LN(Inventory[[#This Row],[Acres]])</f>
        <v>-1.8971199848858813</v>
      </c>
      <c r="D2084" s="25">
        <v>0.15</v>
      </c>
      <c r="E2084" s="31"/>
      <c r="F2084" s="26" t="s">
        <v>537</v>
      </c>
      <c r="G2084" s="26" t="s">
        <v>126</v>
      </c>
      <c r="H2084" s="26" t="s">
        <v>349</v>
      </c>
      <c r="I2084" s="26" t="s">
        <v>538</v>
      </c>
      <c r="J2084" s="26" t="s">
        <v>539</v>
      </c>
      <c r="K2084" s="26" t="s">
        <v>269</v>
      </c>
      <c r="L2084" s="26" t="s">
        <v>351</v>
      </c>
      <c r="M2084" s="26" t="s">
        <v>323</v>
      </c>
      <c r="N2084" s="26">
        <v>100</v>
      </c>
      <c r="O2084" s="26">
        <f>2024-Inventory[[#This Row],[YrBlt]]</f>
        <v>99</v>
      </c>
      <c r="P2084" s="26">
        <f>2024-Inventory[[#This Row],[EffYr]]</f>
        <v>56</v>
      </c>
      <c r="Q2084" s="25">
        <v>1925</v>
      </c>
      <c r="R2084" s="25">
        <v>1968</v>
      </c>
      <c r="S2084" s="25">
        <v>1052</v>
      </c>
      <c r="T2084" s="31"/>
      <c r="U2084" s="25">
        <v>1052</v>
      </c>
      <c r="V2084" s="25">
        <f>Inventory[[#This Row],[Bsmt]]-Inventory[[#This Row],[FnBsmt]]</f>
        <v>0</v>
      </c>
      <c r="W2084" s="25">
        <v>1052</v>
      </c>
      <c r="X2084" s="27"/>
      <c r="Y2084" s="27">
        <f>Inventory[[#This Row],[MainFn]]+Inventory[[#This Row],[UpprFn]]+Inventory[[#This Row],[FnBsmt]]+Inventory[[#This Row],[AddFn]]</f>
        <v>2104</v>
      </c>
      <c r="Z2084" s="27">
        <v>2500</v>
      </c>
      <c r="AA2084" s="25">
        <v>8</v>
      </c>
      <c r="AB2084" s="27"/>
      <c r="AC2084" s="27"/>
      <c r="AD2084" s="31"/>
      <c r="AE2084" s="27"/>
      <c r="AF2084" s="27"/>
      <c r="AG2084" s="27"/>
      <c r="AH2084" s="27"/>
      <c r="AI2084" s="25">
        <v>296668</v>
      </c>
      <c r="AJ2084" s="25">
        <v>189868</v>
      </c>
      <c r="AK2084" s="25">
        <v>6272</v>
      </c>
      <c r="AL2084" s="25">
        <v>319700</v>
      </c>
      <c r="AM2084" s="25">
        <v>48400</v>
      </c>
      <c r="AN2084" s="25">
        <v>271300</v>
      </c>
      <c r="AO2084" s="25">
        <v>0</v>
      </c>
      <c r="AP2084" s="25">
        <f>Lookups!$B$56*0</f>
        <v>0</v>
      </c>
      <c r="AQ2084" s="25">
        <f>Lookups!$B$56*1</f>
        <v>89850.625589999996</v>
      </c>
      <c r="AR2084" s="25">
        <f>Lookups!$B$57*Inventory[[#This Row],[LnAcres]]</f>
        <v>-60052.604136134301</v>
      </c>
      <c r="AS2084" s="25">
        <f>VLOOKUP(Inventory[[#This Row],[Qlty]],Lookups!$A$62:$E$75,2,FALSE)</f>
        <v>21557.329055999999</v>
      </c>
      <c r="AT2084" s="25">
        <f>VLOOKUP(Inventory[[#This Row],[Cnd]],Lookups!$A$76:$E$84,2,FALSE)</f>
        <v>160472.20319</v>
      </c>
      <c r="AU2084" s="25">
        <f>Inventory[[#This Row],[EffAge]]*Lookups!$B$85</f>
        <v>-12490.553628</v>
      </c>
      <c r="AV2084" s="25">
        <f>Inventory[[#This Row],[MainFn]]*Lookups!$B$86</f>
        <v>51977.920710604005</v>
      </c>
      <c r="AW2084" s="25">
        <f>Inventory[[#This Row],[UpprFn]]*Lookups!$B$87</f>
        <v>0</v>
      </c>
      <c r="AX2084" s="25">
        <f>Inventory[[#This Row],[AddFn]]*Lookups!$B$88</f>
        <v>0</v>
      </c>
      <c r="AY2084" s="25">
        <f>Inventory[[#This Row],[Bsmt]]*Lookups!$B$89</f>
        <v>30594.153799844</v>
      </c>
      <c r="AZ2084" s="25">
        <f>Inventory[[#This Row],[Fixtures]]*Lookups!$B$90</f>
        <v>30336.176841600001</v>
      </c>
      <c r="BA2084" s="25">
        <f>Inventory[[#This Row],[WdDeck]]*Lookups!$B$91</f>
        <v>0</v>
      </c>
      <c r="BB2084" s="25">
        <f>ROUND(Inventory[[#This Row],[25Det]],-2)</f>
        <v>6300</v>
      </c>
      <c r="BC2084" s="25">
        <f>ROUND(SUM(Inventory[[#This Row],[Mdl Qlty]:[Mdl WdDeck]])+Inventory[[#This Row],[Mdl Res Intercept]],-2)</f>
        <v>282400</v>
      </c>
      <c r="BD2084" s="25">
        <f>ROUND(Inventory[[#This Row],[Mdl Land Intercept]]+Inventory[[#This Row],[Mdl LnAcres]],-2)</f>
        <v>29800</v>
      </c>
      <c r="BE2084" s="25">
        <f>Inventory[[#This Row],[Unadj Res Value]]+Inventory[[#This Row],[Unadj Det Value]]+Inventory[[#This Row],[Unadj Land Value]]</f>
        <v>318500</v>
      </c>
      <c r="BF2084" s="36">
        <f>(Inventory[[#This Row],[Unadj Total Value]]-Inventory[[#This Row],[24Final]])/Inventory[[#This Row],[24Final]]</f>
        <v>-3.753518923991242E-3</v>
      </c>
      <c r="BG2084" s="25">
        <f>VLOOKUP(Inventory[[#This Row],[Nbhd]],Lookups!$Q$2:$T$4,4,FALSE)</f>
        <v>0.99970000000000003</v>
      </c>
      <c r="BH2084" s="25">
        <f>VLOOKUP(Inventory[[#This Row],[Qlty]],Lookups!$O$7:$R$21,4,FALSE)</f>
        <v>1.0067999999999999</v>
      </c>
      <c r="BI2084" s="25">
        <f>VLOOKUP(Inventory[[#This Row],[Cnd]],Lookups!$T$7:$W$16,4,FALSE)</f>
        <v>0.99729999999999996</v>
      </c>
      <c r="BJ2084" s="25">
        <f>VLOOKUP(Inventory[[#This Row],[LivArea Range]],Lookups!$T$25:$W$37,4,FALSE)</f>
        <v>0.98919999999999997</v>
      </c>
      <c r="BK2084" s="25">
        <f>VLOOKUP(Inventory[[#This Row],[Decade]],Lookups!$O$25:$R$42,4,FALSE)</f>
        <v>1.0074000000000001</v>
      </c>
      <c r="BL2084" s="25">
        <f>Inventory[[#This Row],[Nbhd Adj]]*0.95</f>
        <v>0.94971499999999998</v>
      </c>
      <c r="BM2084" s="25">
        <f>Inventory[[#This Row],[Nbhd Adj]]*Inventory[[#This Row],[Quality Adj]]*Inventory[[#This Row],[Condition Adj]]*Inventory[[#This Row],[Living Area Adj]]*Inventory[[#This Row],[Decade Adj]]*0.95</f>
        <v>0.95027297296624202</v>
      </c>
      <c r="BN2084" s="25">
        <f>ROUND(SUM(Inventory[[#This Row],[Mdl Qlty]:[Mdl WdDeck]])+Inventory[[#This Row],[Mdl Res Intercept]]*Inventory[[#This Row],[Res Adj ]],-2)</f>
        <v>282400</v>
      </c>
      <c r="BO2084" s="25">
        <f>ROUND(Inventory[[#This Row],[25Det]]*Inventory[[#This Row],[Det/Nbhd Adj]],-2)</f>
        <v>6000</v>
      </c>
      <c r="BP2084" s="25">
        <f>Inventory[[#This Row],[Adjusted Res]]+Inventory[[#This Row],[Adj Det ]]</f>
        <v>288400</v>
      </c>
      <c r="BQ2084" s="25">
        <f>ROUND((Inventory[[#This Row],[Mdl Land Intercept]]+Inventory[[#This Row],[Mdl LnAcres]])*Inventory[[#This Row],[Det/Nbhd Adj]],-2)</f>
        <v>28300</v>
      </c>
      <c r="BR2084" s="25">
        <f>Inventory[[#This Row],[Adjusted Impr Total]]+Inventory[[#This Row],[Adjusted Land Total]]</f>
        <v>316700</v>
      </c>
      <c r="BS2084" s="36">
        <f>IFERROR((Inventory[[#This Row],[Adjusted Impr Total]]-Inventory[[#This Row],[24Bldg]])/Inventory[[#This Row],[24Bldg]],0)</f>
        <v>6.3029856247696275E-2</v>
      </c>
      <c r="BT2084" s="36">
        <f>(Inventory[[#This Row],[Adjusted Land Total]]-Inventory[[#This Row],[24Lnd]])/Inventory[[#This Row],[24Lnd]]</f>
        <v>-0.41528925619834711</v>
      </c>
      <c r="BU2084" s="36">
        <f>(Inventory[[#This Row],[Adjusted Total]]-Inventory[[#This Row],[24Final]])/Inventory[[#This Row],[24Final]]</f>
        <v>-9.383797309978105E-3</v>
      </c>
    </row>
    <row r="2085" spans="1:73" x14ac:dyDescent="0.3">
      <c r="A2085" s="25">
        <v>2025</v>
      </c>
      <c r="B2085" s="26" t="s">
        <v>2120</v>
      </c>
      <c r="C2085" s="26">
        <f>LN(Inventory[[#This Row],[Acres]])</f>
        <v>-1.0788096613719298</v>
      </c>
      <c r="D2085" s="25">
        <v>0.34</v>
      </c>
      <c r="E2085" s="32">
        <v>14787</v>
      </c>
      <c r="F2085" s="26" t="s">
        <v>537</v>
      </c>
      <c r="G2085" s="26" t="s">
        <v>126</v>
      </c>
      <c r="H2085" s="26" t="s">
        <v>349</v>
      </c>
      <c r="I2085" s="26" t="s">
        <v>538</v>
      </c>
      <c r="J2085" s="26" t="s">
        <v>539</v>
      </c>
      <c r="K2085" s="26" t="s">
        <v>269</v>
      </c>
      <c r="L2085" s="26" t="s">
        <v>205</v>
      </c>
      <c r="M2085" s="26" t="s">
        <v>323</v>
      </c>
      <c r="N2085" s="26">
        <v>100</v>
      </c>
      <c r="O2085" s="26">
        <f>2024-Inventory[[#This Row],[YrBlt]]</f>
        <v>99</v>
      </c>
      <c r="P2085" s="26">
        <f>2024-Inventory[[#This Row],[EffYr]]</f>
        <v>56</v>
      </c>
      <c r="Q2085" s="25">
        <v>1925</v>
      </c>
      <c r="R2085" s="25">
        <v>1968</v>
      </c>
      <c r="S2085" s="25">
        <v>1104</v>
      </c>
      <c r="T2085" s="27"/>
      <c r="U2085" s="25">
        <v>720</v>
      </c>
      <c r="V2085" s="25">
        <f>Inventory[[#This Row],[Bsmt]]-Inventory[[#This Row],[FnBsmt]]</f>
        <v>0</v>
      </c>
      <c r="W2085" s="25">
        <v>720</v>
      </c>
      <c r="X2085" s="27"/>
      <c r="Y2085" s="27">
        <f>Inventory[[#This Row],[MainFn]]+Inventory[[#This Row],[UpprFn]]+Inventory[[#This Row],[FnBsmt]]+Inventory[[#This Row],[AddFn]]</f>
        <v>1824</v>
      </c>
      <c r="Z2085" s="27">
        <v>2000</v>
      </c>
      <c r="AA2085" s="25">
        <v>6</v>
      </c>
      <c r="AB2085" s="27"/>
      <c r="AC2085" s="27"/>
      <c r="AD2085" s="27"/>
      <c r="AE2085" s="27"/>
      <c r="AF2085" s="27"/>
      <c r="AG2085" s="27"/>
      <c r="AH2085" s="27"/>
      <c r="AI2085" s="25">
        <v>241639</v>
      </c>
      <c r="AJ2085" s="25">
        <v>154649</v>
      </c>
      <c r="AK2085" s="25">
        <v>19798</v>
      </c>
      <c r="AL2085" s="25">
        <v>321500</v>
      </c>
      <c r="AM2085" s="25">
        <v>76900</v>
      </c>
      <c r="AN2085" s="25">
        <v>244600</v>
      </c>
      <c r="AO2085" s="25">
        <v>0</v>
      </c>
      <c r="AP2085" s="25">
        <f>Lookups!$B$56*0</f>
        <v>0</v>
      </c>
      <c r="AQ2085" s="25">
        <f>Lookups!$B$56*1</f>
        <v>89850.625589999996</v>
      </c>
      <c r="AR2085" s="25">
        <f>Lookups!$B$57*Inventory[[#This Row],[LnAcres]]</f>
        <v>-34149.305288406773</v>
      </c>
      <c r="AS2085" s="25">
        <f>VLOOKUP(Inventory[[#This Row],[Qlty]],Lookups!$A$62:$E$75,2,FALSE)</f>
        <v>0</v>
      </c>
      <c r="AT2085" s="25">
        <f>VLOOKUP(Inventory[[#This Row],[Cnd]],Lookups!$A$76:$E$84,2,FALSE)</f>
        <v>160472.20319</v>
      </c>
      <c r="AU2085" s="25">
        <f>Inventory[[#This Row],[EffAge]]*Lookups!$B$85</f>
        <v>-12490.553628</v>
      </c>
      <c r="AV2085" s="25">
        <f>Inventory[[#This Row],[MainFn]]*Lookups!$B$86</f>
        <v>54547.171544208002</v>
      </c>
      <c r="AW2085" s="25">
        <f>Inventory[[#This Row],[UpprFn]]*Lookups!$B$87</f>
        <v>0</v>
      </c>
      <c r="AX2085" s="25">
        <f>Inventory[[#This Row],[AddFn]]*Lookups!$B$88</f>
        <v>0</v>
      </c>
      <c r="AY2085" s="25">
        <f>Inventory[[#This Row],[Bsmt]]*Lookups!$B$89</f>
        <v>20938.964577839997</v>
      </c>
      <c r="AZ2085" s="25">
        <f>Inventory[[#This Row],[Fixtures]]*Lookups!$B$90</f>
        <v>22752.132631200002</v>
      </c>
      <c r="BA2085" s="25">
        <f>Inventory[[#This Row],[WdDeck]]*Lookups!$B$91</f>
        <v>0</v>
      </c>
      <c r="BB2085" s="25">
        <f>ROUND(Inventory[[#This Row],[25Det]],-2)</f>
        <v>19800</v>
      </c>
      <c r="BC2085" s="25">
        <f>ROUND(SUM(Inventory[[#This Row],[Mdl Qlty]:[Mdl WdDeck]])+Inventory[[#This Row],[Mdl Res Intercept]],-2)</f>
        <v>246200</v>
      </c>
      <c r="BD2085" s="25">
        <f>ROUND(Inventory[[#This Row],[Mdl Land Intercept]]+Inventory[[#This Row],[Mdl LnAcres]],-2)</f>
        <v>55700</v>
      </c>
      <c r="BE2085" s="25">
        <f>Inventory[[#This Row],[Unadj Res Value]]+Inventory[[#This Row],[Unadj Det Value]]+Inventory[[#This Row],[Unadj Land Value]]</f>
        <v>321700</v>
      </c>
      <c r="BF2085" s="36">
        <f>(Inventory[[#This Row],[Unadj Total Value]]-Inventory[[#This Row],[24Final]])/Inventory[[#This Row],[24Final]]</f>
        <v>6.2208398133748052E-4</v>
      </c>
      <c r="BG2085" s="25">
        <f>VLOOKUP(Inventory[[#This Row],[Nbhd]],Lookups!$Q$2:$T$4,4,FALSE)</f>
        <v>0.99970000000000003</v>
      </c>
      <c r="BH2085" s="25">
        <f>VLOOKUP(Inventory[[#This Row],[Qlty]],Lookups!$O$7:$R$21,4,FALSE)</f>
        <v>0.99180000000000001</v>
      </c>
      <c r="BI2085" s="25">
        <f>VLOOKUP(Inventory[[#This Row],[Cnd]],Lookups!$T$7:$W$16,4,FALSE)</f>
        <v>0.99729999999999996</v>
      </c>
      <c r="BJ2085" s="25">
        <f>VLOOKUP(Inventory[[#This Row],[LivArea Range]],Lookups!$T$25:$W$37,4,FALSE)</f>
        <v>1.0093000000000001</v>
      </c>
      <c r="BK2085" s="25">
        <f>VLOOKUP(Inventory[[#This Row],[Decade]],Lookups!$O$25:$R$42,4,FALSE)</f>
        <v>1.0074000000000001</v>
      </c>
      <c r="BL2085" s="25">
        <f>Inventory[[#This Row],[Nbhd Adj]]*0.95</f>
        <v>0.94971499999999998</v>
      </c>
      <c r="BM2085" s="25">
        <f>Inventory[[#This Row],[Nbhd Adj]]*Inventory[[#This Row],[Quality Adj]]*Inventory[[#This Row],[Condition Adj]]*Inventory[[#This Row],[Living Area Adj]]*Inventory[[#This Row],[Decade Adj]]*0.95</f>
        <v>0.95513649663042099</v>
      </c>
      <c r="BN2085" s="25">
        <f>ROUND(SUM(Inventory[[#This Row],[Mdl Qlty]:[Mdl WdDeck]])+Inventory[[#This Row],[Mdl Res Intercept]]*Inventory[[#This Row],[Res Adj ]],-2)</f>
        <v>246200</v>
      </c>
      <c r="BO2085" s="25">
        <f>ROUND(Inventory[[#This Row],[25Det]]*Inventory[[#This Row],[Det/Nbhd Adj]],-2)</f>
        <v>18800</v>
      </c>
      <c r="BP2085" s="25">
        <f>Inventory[[#This Row],[Adjusted Res]]+Inventory[[#This Row],[Adj Det ]]</f>
        <v>265000</v>
      </c>
      <c r="BQ2085" s="25">
        <f>ROUND((Inventory[[#This Row],[Mdl Land Intercept]]+Inventory[[#This Row],[Mdl LnAcres]])*Inventory[[#This Row],[Det/Nbhd Adj]],-2)</f>
        <v>52900</v>
      </c>
      <c r="BR2085" s="25">
        <f>Inventory[[#This Row],[Adjusted Impr Total]]+Inventory[[#This Row],[Adjusted Land Total]]</f>
        <v>317900</v>
      </c>
      <c r="BS2085" s="36">
        <f>IFERROR((Inventory[[#This Row],[Adjusted Impr Total]]-Inventory[[#This Row],[24Bldg]])/Inventory[[#This Row],[24Bldg]],0)</f>
        <v>8.3401471790678652E-2</v>
      </c>
      <c r="BT2085" s="36">
        <f>(Inventory[[#This Row],[Adjusted Land Total]]-Inventory[[#This Row],[24Lnd]])/Inventory[[#This Row],[24Lnd]]</f>
        <v>-0.31209362808842656</v>
      </c>
      <c r="BU2085" s="36">
        <f>(Inventory[[#This Row],[Adjusted Total]]-Inventory[[#This Row],[24Final]])/Inventory[[#This Row],[24Final]]</f>
        <v>-1.119751166407465E-2</v>
      </c>
    </row>
    <row r="2086" spans="1:73" x14ac:dyDescent="0.3">
      <c r="A2086" s="25">
        <v>2025</v>
      </c>
      <c r="B2086" s="26" t="s">
        <v>2199</v>
      </c>
      <c r="C2086" s="26">
        <f>LN(Inventory[[#This Row],[Acres]])</f>
        <v>-1.2729656758128873</v>
      </c>
      <c r="D2086" s="25">
        <v>0.28000000000000003</v>
      </c>
      <c r="E2086" s="25">
        <v>12046</v>
      </c>
      <c r="F2086" s="26" t="s">
        <v>537</v>
      </c>
      <c r="G2086" s="26" t="s">
        <v>126</v>
      </c>
      <c r="H2086" s="26" t="s">
        <v>349</v>
      </c>
      <c r="I2086" s="26" t="s">
        <v>538</v>
      </c>
      <c r="J2086" s="26" t="s">
        <v>974</v>
      </c>
      <c r="K2086" s="26" t="s">
        <v>417</v>
      </c>
      <c r="L2086" s="26" t="s">
        <v>95</v>
      </c>
      <c r="M2086" s="26" t="s">
        <v>303</v>
      </c>
      <c r="N2086" s="26">
        <v>100</v>
      </c>
      <c r="O2086" s="26">
        <f>2024-Inventory[[#This Row],[YrBlt]]</f>
        <v>99</v>
      </c>
      <c r="P2086" s="26">
        <f>2024-Inventory[[#This Row],[EffYr]]</f>
        <v>56</v>
      </c>
      <c r="Q2086" s="25">
        <v>1925</v>
      </c>
      <c r="R2086" s="25">
        <v>1968</v>
      </c>
      <c r="S2086" s="25">
        <v>1712</v>
      </c>
      <c r="T2086" s="32">
        <v>1266</v>
      </c>
      <c r="U2086" s="25">
        <v>1238</v>
      </c>
      <c r="V2086" s="25">
        <f>Inventory[[#This Row],[Bsmt]]-Inventory[[#This Row],[FnBsmt]]</f>
        <v>1</v>
      </c>
      <c r="W2086" s="25">
        <v>1237</v>
      </c>
      <c r="X2086" s="27"/>
      <c r="Y2086" s="27">
        <f>Inventory[[#This Row],[MainFn]]+Inventory[[#This Row],[UpprFn]]+Inventory[[#This Row],[FnBsmt]]+Inventory[[#This Row],[AddFn]]</f>
        <v>4215</v>
      </c>
      <c r="Z2086" s="27">
        <v>4500</v>
      </c>
      <c r="AA2086" s="25">
        <v>10</v>
      </c>
      <c r="AB2086" s="25">
        <v>444</v>
      </c>
      <c r="AC2086" s="27"/>
      <c r="AD2086" s="31"/>
      <c r="AE2086" s="27"/>
      <c r="AF2086" s="27"/>
      <c r="AG2086" s="27"/>
      <c r="AH2086" s="27"/>
      <c r="AI2086" s="25">
        <v>837006</v>
      </c>
      <c r="AJ2086" s="25">
        <v>560794</v>
      </c>
      <c r="AK2086" s="25">
        <v>0</v>
      </c>
      <c r="AL2086" s="25">
        <v>530100</v>
      </c>
      <c r="AM2086" s="25">
        <v>70100</v>
      </c>
      <c r="AN2086" s="25">
        <v>460000</v>
      </c>
      <c r="AO2086" s="25">
        <v>0</v>
      </c>
      <c r="AP2086" s="25">
        <f>Lookups!$B$56*0</f>
        <v>0</v>
      </c>
      <c r="AQ2086" s="25">
        <f>Lookups!$B$56*1</f>
        <v>89850.625589999996</v>
      </c>
      <c r="AR2086" s="25">
        <f>Lookups!$B$57*Inventory[[#This Row],[LnAcres]]</f>
        <v>-40295.239319339329</v>
      </c>
      <c r="AS2086" s="25">
        <f>VLOOKUP(Inventory[[#This Row],[Qlty]],Lookups!$A$62:$E$75,2,FALSE)</f>
        <v>74268.409664999999</v>
      </c>
      <c r="AT2086" s="25">
        <f>VLOOKUP(Inventory[[#This Row],[Cnd]],Lookups!$A$76:$E$84,2,FALSE)</f>
        <v>197752.34721000001</v>
      </c>
      <c r="AU2086" s="25">
        <f>Inventory[[#This Row],[EffAge]]*Lookups!$B$85</f>
        <v>-12490.553628</v>
      </c>
      <c r="AV2086" s="25">
        <f>Inventory[[#This Row],[MainFn]]*Lookups!$B$86</f>
        <v>84587.642829424003</v>
      </c>
      <c r="AW2086" s="25">
        <f>Inventory[[#This Row],[UpprFn]]*Lookups!$B$87</f>
        <v>56699.611342026001</v>
      </c>
      <c r="AX2086" s="25">
        <f>Inventory[[#This Row],[AddFn]]*Lookups!$B$88</f>
        <v>0</v>
      </c>
      <c r="AY2086" s="25">
        <f>Inventory[[#This Row],[Bsmt]]*Lookups!$B$89</f>
        <v>36003.386315785996</v>
      </c>
      <c r="AZ2086" s="25">
        <f>Inventory[[#This Row],[Fixtures]]*Lookups!$B$90</f>
        <v>37920.221052000001</v>
      </c>
      <c r="BA2086" s="25">
        <f>Inventory[[#This Row],[WdDeck]]*Lookups!$B$91</f>
        <v>0</v>
      </c>
      <c r="BB2086" s="25">
        <f>ROUND(Inventory[[#This Row],[25Det]],-2)</f>
        <v>0</v>
      </c>
      <c r="BC2086" s="25">
        <f>ROUND(SUM(Inventory[[#This Row],[Mdl Qlty]:[Mdl WdDeck]])+Inventory[[#This Row],[Mdl Res Intercept]],-2)</f>
        <v>474700</v>
      </c>
      <c r="BD2086" s="25">
        <f>ROUND(Inventory[[#This Row],[Mdl Land Intercept]]+Inventory[[#This Row],[Mdl LnAcres]],-2)</f>
        <v>49600</v>
      </c>
      <c r="BE2086" s="25">
        <f>Inventory[[#This Row],[Unadj Res Value]]+Inventory[[#This Row],[Unadj Det Value]]+Inventory[[#This Row],[Unadj Land Value]]</f>
        <v>524300</v>
      </c>
      <c r="BF2086" s="36">
        <f>(Inventory[[#This Row],[Unadj Total Value]]-Inventory[[#This Row],[24Final]])/Inventory[[#This Row],[24Final]]</f>
        <v>-1.0941331824184115E-2</v>
      </c>
      <c r="BG2086" s="25">
        <f>VLOOKUP(Inventory[[#This Row],[Nbhd]],Lookups!$Q$2:$T$4,4,FALSE)</f>
        <v>0.99970000000000003</v>
      </c>
      <c r="BH2086" s="25">
        <f>VLOOKUP(Inventory[[#This Row],[Qlty]],Lookups!$O$7:$R$21,4,FALSE)</f>
        <v>0.98380000000000001</v>
      </c>
      <c r="BI2086" s="25">
        <f>VLOOKUP(Inventory[[#This Row],[Cnd]],Lookups!$T$7:$W$16,4,FALSE)</f>
        <v>0.99650000000000005</v>
      </c>
      <c r="BJ2086" s="25">
        <f>VLOOKUP(Inventory[[#This Row],[LivArea Range]],Lookups!$T$25:$W$37,4,FALSE)</f>
        <v>1</v>
      </c>
      <c r="BK2086" s="25">
        <f>VLOOKUP(Inventory[[#This Row],[Decade]],Lookups!$O$25:$R$42,4,FALSE)</f>
        <v>1.0074000000000001</v>
      </c>
      <c r="BL2086" s="25">
        <f>Inventory[[#This Row],[Nbhd Adj]]*0.95</f>
        <v>0.94971499999999998</v>
      </c>
      <c r="BM2086" s="25">
        <f>Inventory[[#This Row],[Nbhd Adj]]*Inventory[[#This Row],[Quality Adj]]*Inventory[[#This Row],[Condition Adj]]*Inventory[[#This Row],[Living Area Adj]]*Inventory[[#This Row],[Decade Adj]]*0.95</f>
        <v>0.93794930336921989</v>
      </c>
      <c r="BN2086" s="25">
        <f>ROUND(SUM(Inventory[[#This Row],[Mdl Qlty]:[Mdl WdDeck]])+Inventory[[#This Row],[Mdl Res Intercept]]*Inventory[[#This Row],[Res Adj ]],-2)</f>
        <v>474700</v>
      </c>
      <c r="BO2086" s="25">
        <f>ROUND(Inventory[[#This Row],[25Det]]*Inventory[[#This Row],[Det/Nbhd Adj]],-2)</f>
        <v>0</v>
      </c>
      <c r="BP2086" s="25">
        <f>Inventory[[#This Row],[Adjusted Res]]+Inventory[[#This Row],[Adj Det ]]</f>
        <v>474700</v>
      </c>
      <c r="BQ2086" s="25">
        <f>ROUND((Inventory[[#This Row],[Mdl Land Intercept]]+Inventory[[#This Row],[Mdl LnAcres]])*Inventory[[#This Row],[Det/Nbhd Adj]],-2)</f>
        <v>47100</v>
      </c>
      <c r="BR2086" s="25">
        <f>Inventory[[#This Row],[Adjusted Impr Total]]+Inventory[[#This Row],[Adjusted Land Total]]</f>
        <v>521800</v>
      </c>
      <c r="BS2086" s="36">
        <f>IFERROR((Inventory[[#This Row],[Adjusted Impr Total]]-Inventory[[#This Row],[24Bldg]])/Inventory[[#This Row],[24Bldg]],0)</f>
        <v>3.1956521739130432E-2</v>
      </c>
      <c r="BT2086" s="36">
        <f>(Inventory[[#This Row],[Adjusted Land Total]]-Inventory[[#This Row],[24Lnd]])/Inventory[[#This Row],[24Lnd]]</f>
        <v>-0.32810271041369471</v>
      </c>
      <c r="BU2086" s="36">
        <f>(Inventory[[#This Row],[Adjusted Total]]-Inventory[[#This Row],[24Final]])/Inventory[[#This Row],[24Final]]</f>
        <v>-1.5657423127711751E-2</v>
      </c>
    </row>
    <row r="2087" spans="1:73" x14ac:dyDescent="0.3">
      <c r="A2087" s="25">
        <v>2025</v>
      </c>
      <c r="B2087" s="26" t="s">
        <v>1267</v>
      </c>
      <c r="C2087" s="26">
        <f>LN(Inventory[[#This Row],[Acres]])</f>
        <v>-1.4271163556401458</v>
      </c>
      <c r="D2087" s="25">
        <v>0.24</v>
      </c>
      <c r="E2087" s="32">
        <v>10541</v>
      </c>
      <c r="F2087" s="26" t="s">
        <v>537</v>
      </c>
      <c r="G2087" s="26" t="s">
        <v>126</v>
      </c>
      <c r="H2087" s="26" t="s">
        <v>349</v>
      </c>
      <c r="I2087" s="26" t="s">
        <v>538</v>
      </c>
      <c r="J2087" s="26" t="s">
        <v>539</v>
      </c>
      <c r="K2087" s="26" t="s">
        <v>301</v>
      </c>
      <c r="L2087" s="26" t="s">
        <v>95</v>
      </c>
      <c r="M2087" s="26" t="s">
        <v>323</v>
      </c>
      <c r="N2087" s="26">
        <v>100</v>
      </c>
      <c r="O2087" s="26">
        <f>2024-Inventory[[#This Row],[YrBlt]]</f>
        <v>99</v>
      </c>
      <c r="P2087" s="26">
        <f>2024-Inventory[[#This Row],[EffYr]]</f>
        <v>56</v>
      </c>
      <c r="Q2087" s="25">
        <v>1925</v>
      </c>
      <c r="R2087" s="25">
        <v>1968</v>
      </c>
      <c r="S2087" s="25">
        <v>1863</v>
      </c>
      <c r="T2087" s="25">
        <v>1588</v>
      </c>
      <c r="U2087" s="25">
        <v>1203</v>
      </c>
      <c r="V2087" s="25">
        <f>Inventory[[#This Row],[Bsmt]]-Inventory[[#This Row],[FnBsmt]]</f>
        <v>603</v>
      </c>
      <c r="W2087" s="25">
        <v>600</v>
      </c>
      <c r="X2087" s="27"/>
      <c r="Y2087" s="27">
        <f>Inventory[[#This Row],[MainFn]]+Inventory[[#This Row],[UpprFn]]+Inventory[[#This Row],[FnBsmt]]+Inventory[[#This Row],[AddFn]]</f>
        <v>4051</v>
      </c>
      <c r="Z2087" s="27">
        <v>4500</v>
      </c>
      <c r="AA2087" s="25">
        <v>11</v>
      </c>
      <c r="AB2087" s="27"/>
      <c r="AC2087" s="27"/>
      <c r="AD2087" s="27"/>
      <c r="AE2087" s="27"/>
      <c r="AF2087" s="27"/>
      <c r="AG2087" s="27"/>
      <c r="AH2087" s="27"/>
      <c r="AI2087" s="25">
        <v>797920</v>
      </c>
      <c r="AJ2087" s="25">
        <v>518648</v>
      </c>
      <c r="AK2087" s="25">
        <v>15916</v>
      </c>
      <c r="AL2087" s="25">
        <v>528500</v>
      </c>
      <c r="AM2087" s="25">
        <v>64800</v>
      </c>
      <c r="AN2087" s="25">
        <v>463700</v>
      </c>
      <c r="AO2087" s="25">
        <v>0</v>
      </c>
      <c r="AP2087" s="25">
        <f>Lookups!$B$56*0</f>
        <v>0</v>
      </c>
      <c r="AQ2087" s="25">
        <f>Lookups!$B$56*1</f>
        <v>89850.625589999996</v>
      </c>
      <c r="AR2087" s="25">
        <f>Lookups!$B$57*Inventory[[#This Row],[LnAcres]]</f>
        <v>-45174.819855485119</v>
      </c>
      <c r="AS2087" s="25">
        <f>VLOOKUP(Inventory[[#This Row],[Qlty]],Lookups!$A$62:$E$75,2,FALSE)</f>
        <v>74268.409664999999</v>
      </c>
      <c r="AT2087" s="25">
        <f>VLOOKUP(Inventory[[#This Row],[Cnd]],Lookups!$A$76:$E$84,2,FALSE)</f>
        <v>160472.20319</v>
      </c>
      <c r="AU2087" s="25">
        <f>Inventory[[#This Row],[EffAge]]*Lookups!$B$85</f>
        <v>-12490.553628</v>
      </c>
      <c r="AV2087" s="25">
        <f>Inventory[[#This Row],[MainFn]]*Lookups!$B$86</f>
        <v>92048.351980851003</v>
      </c>
      <c r="AW2087" s="25">
        <f>Inventory[[#This Row],[UpprFn]]*Lookups!$B$87</f>
        <v>71120.839503267998</v>
      </c>
      <c r="AX2087" s="25">
        <f>Inventory[[#This Row],[AddFn]]*Lookups!$B$88</f>
        <v>0</v>
      </c>
      <c r="AY2087" s="25">
        <f>Inventory[[#This Row],[Bsmt]]*Lookups!$B$89</f>
        <v>34985.519982140999</v>
      </c>
      <c r="AZ2087" s="25">
        <f>Inventory[[#This Row],[Fixtures]]*Lookups!$B$90</f>
        <v>41712.243157199999</v>
      </c>
      <c r="BA2087" s="25">
        <f>Inventory[[#This Row],[WdDeck]]*Lookups!$B$91</f>
        <v>0</v>
      </c>
      <c r="BB2087" s="25">
        <f>ROUND(Inventory[[#This Row],[25Det]],-2)</f>
        <v>15900</v>
      </c>
      <c r="BC2087" s="25">
        <f>ROUND(SUM(Inventory[[#This Row],[Mdl Qlty]:[Mdl WdDeck]])+Inventory[[#This Row],[Mdl Res Intercept]],-2)</f>
        <v>462100</v>
      </c>
      <c r="BD2087" s="25">
        <f>ROUND(Inventory[[#This Row],[Mdl Land Intercept]]+Inventory[[#This Row],[Mdl LnAcres]],-2)</f>
        <v>44700</v>
      </c>
      <c r="BE2087" s="25">
        <f>Inventory[[#This Row],[Unadj Res Value]]+Inventory[[#This Row],[Unadj Det Value]]+Inventory[[#This Row],[Unadj Land Value]]</f>
        <v>522700</v>
      </c>
      <c r="BF2087" s="36">
        <f>(Inventory[[#This Row],[Unadj Total Value]]-Inventory[[#This Row],[24Final]])/Inventory[[#This Row],[24Final]]</f>
        <v>-1.097445600756859E-2</v>
      </c>
      <c r="BG2087" s="25">
        <f>VLOOKUP(Inventory[[#This Row],[Nbhd]],Lookups!$Q$2:$T$4,4,FALSE)</f>
        <v>0.99970000000000003</v>
      </c>
      <c r="BH2087" s="25">
        <f>VLOOKUP(Inventory[[#This Row],[Qlty]],Lookups!$O$7:$R$21,4,FALSE)</f>
        <v>0.98380000000000001</v>
      </c>
      <c r="BI2087" s="25">
        <f>VLOOKUP(Inventory[[#This Row],[Cnd]],Lookups!$T$7:$W$16,4,FALSE)</f>
        <v>0.99729999999999996</v>
      </c>
      <c r="BJ2087" s="25">
        <f>VLOOKUP(Inventory[[#This Row],[LivArea Range]],Lookups!$T$25:$W$37,4,FALSE)</f>
        <v>1</v>
      </c>
      <c r="BK2087" s="25">
        <f>VLOOKUP(Inventory[[#This Row],[Decade]],Lookups!$O$25:$R$42,4,FALSE)</f>
        <v>1.0074000000000001</v>
      </c>
      <c r="BL2087" s="25">
        <f>Inventory[[#This Row],[Nbhd Adj]]*0.95</f>
        <v>0.94971499999999998</v>
      </c>
      <c r="BM2087" s="25">
        <f>Inventory[[#This Row],[Nbhd Adj]]*Inventory[[#This Row],[Quality Adj]]*Inventory[[#This Row],[Condition Adj]]*Inventory[[#This Row],[Living Area Adj]]*Inventory[[#This Row],[Decade Adj]]*0.95</f>
        <v>0.9387022982941523</v>
      </c>
      <c r="BN2087" s="25">
        <f>ROUND(SUM(Inventory[[#This Row],[Mdl Qlty]:[Mdl WdDeck]])+Inventory[[#This Row],[Mdl Res Intercept]]*Inventory[[#This Row],[Res Adj ]],-2)</f>
        <v>462100</v>
      </c>
      <c r="BO2087" s="25">
        <f>ROUND(Inventory[[#This Row],[25Det]]*Inventory[[#This Row],[Det/Nbhd Adj]],-2)</f>
        <v>15100</v>
      </c>
      <c r="BP2087" s="25">
        <f>Inventory[[#This Row],[Adjusted Res]]+Inventory[[#This Row],[Adj Det ]]</f>
        <v>477200</v>
      </c>
      <c r="BQ2087" s="25">
        <f>ROUND((Inventory[[#This Row],[Mdl Land Intercept]]+Inventory[[#This Row],[Mdl LnAcres]])*Inventory[[#This Row],[Det/Nbhd Adj]],-2)</f>
        <v>42400</v>
      </c>
      <c r="BR2087" s="25">
        <f>Inventory[[#This Row],[Adjusted Impr Total]]+Inventory[[#This Row],[Adjusted Land Total]]</f>
        <v>519600</v>
      </c>
      <c r="BS2087" s="36">
        <f>IFERROR((Inventory[[#This Row],[Adjusted Impr Total]]-Inventory[[#This Row],[24Bldg]])/Inventory[[#This Row],[24Bldg]],0)</f>
        <v>2.9113651067500541E-2</v>
      </c>
      <c r="BT2087" s="36">
        <f>(Inventory[[#This Row],[Adjusted Land Total]]-Inventory[[#This Row],[24Lnd]])/Inventory[[#This Row],[24Lnd]]</f>
        <v>-0.34567901234567899</v>
      </c>
      <c r="BU2087" s="36">
        <f>(Inventory[[#This Row],[Adjusted Total]]-Inventory[[#This Row],[24Final]])/Inventory[[#This Row],[24Final]]</f>
        <v>-1.6840113528855252E-2</v>
      </c>
    </row>
    <row r="2088" spans="1:73" x14ac:dyDescent="0.3">
      <c r="A2088" s="25">
        <v>2025</v>
      </c>
      <c r="B2088" s="26" t="s">
        <v>1286</v>
      </c>
      <c r="C2088" s="26">
        <f>LN(Inventory[[#This Row],[Acres]])</f>
        <v>-1.4271163556401458</v>
      </c>
      <c r="D2088" s="25">
        <v>0.24</v>
      </c>
      <c r="E2088" s="31"/>
      <c r="F2088" s="26" t="s">
        <v>537</v>
      </c>
      <c r="G2088" s="26" t="s">
        <v>126</v>
      </c>
      <c r="H2088" s="26" t="s">
        <v>349</v>
      </c>
      <c r="I2088" s="26" t="s">
        <v>538</v>
      </c>
      <c r="J2088" s="26" t="s">
        <v>539</v>
      </c>
      <c r="K2088" s="26" t="s">
        <v>269</v>
      </c>
      <c r="L2088" s="26" t="s">
        <v>95</v>
      </c>
      <c r="M2088" s="26" t="s">
        <v>303</v>
      </c>
      <c r="N2088" s="26">
        <v>100</v>
      </c>
      <c r="O2088" s="26">
        <f>2024-Inventory[[#This Row],[YrBlt]]</f>
        <v>99</v>
      </c>
      <c r="P2088" s="26">
        <f>2024-Inventory[[#This Row],[EffYr]]</f>
        <v>56</v>
      </c>
      <c r="Q2088" s="25">
        <v>1925</v>
      </c>
      <c r="R2088" s="25">
        <v>1968</v>
      </c>
      <c r="S2088" s="25">
        <v>2339</v>
      </c>
      <c r="T2088" s="31"/>
      <c r="U2088" s="25">
        <v>669</v>
      </c>
      <c r="V2088" s="25">
        <f>Inventory[[#This Row],[Bsmt]]-Inventory[[#This Row],[FnBsmt]]</f>
        <v>0</v>
      </c>
      <c r="W2088" s="25">
        <v>669</v>
      </c>
      <c r="X2088" s="27"/>
      <c r="Y2088" s="27">
        <f>Inventory[[#This Row],[MainFn]]+Inventory[[#This Row],[UpprFn]]+Inventory[[#This Row],[FnBsmt]]+Inventory[[#This Row],[AddFn]]</f>
        <v>3008</v>
      </c>
      <c r="Z2088" s="27">
        <v>3500</v>
      </c>
      <c r="AA2088" s="25">
        <v>8</v>
      </c>
      <c r="AB2088" s="27"/>
      <c r="AC2088" s="27"/>
      <c r="AD2088" s="27"/>
      <c r="AE2088" s="27"/>
      <c r="AF2088" s="27"/>
      <c r="AG2088" s="27"/>
      <c r="AH2088" s="27"/>
      <c r="AI2088" s="25">
        <v>611561</v>
      </c>
      <c r="AJ2088" s="25">
        <v>409746</v>
      </c>
      <c r="AK2088" s="25">
        <v>11918</v>
      </c>
      <c r="AL2088" s="25">
        <v>487800</v>
      </c>
      <c r="AM2088" s="25">
        <v>64800</v>
      </c>
      <c r="AN2088" s="25">
        <v>423000</v>
      </c>
      <c r="AO2088" s="25">
        <v>0</v>
      </c>
      <c r="AP2088" s="25">
        <f>Lookups!$B$56*0</f>
        <v>0</v>
      </c>
      <c r="AQ2088" s="25">
        <f>Lookups!$B$56*1</f>
        <v>89850.625589999996</v>
      </c>
      <c r="AR2088" s="25">
        <f>Lookups!$B$57*Inventory[[#This Row],[LnAcres]]</f>
        <v>-45174.819855485119</v>
      </c>
      <c r="AS2088" s="25">
        <f>VLOOKUP(Inventory[[#This Row],[Qlty]],Lookups!$A$62:$E$75,2,FALSE)</f>
        <v>74268.409664999999</v>
      </c>
      <c r="AT2088" s="25">
        <f>VLOOKUP(Inventory[[#This Row],[Cnd]],Lookups!$A$76:$E$84,2,FALSE)</f>
        <v>197752.34721000001</v>
      </c>
      <c r="AU2088" s="25">
        <f>Inventory[[#This Row],[EffAge]]*Lookups!$B$85</f>
        <v>-12490.553628</v>
      </c>
      <c r="AV2088" s="25">
        <f>Inventory[[#This Row],[MainFn]]*Lookups!$B$86</f>
        <v>115566.87884230301</v>
      </c>
      <c r="AW2088" s="25">
        <f>Inventory[[#This Row],[UpprFn]]*Lookups!$B$87</f>
        <v>0</v>
      </c>
      <c r="AX2088" s="25">
        <f>Inventory[[#This Row],[AddFn]]*Lookups!$B$88</f>
        <v>0</v>
      </c>
      <c r="AY2088" s="25">
        <f>Inventory[[#This Row],[Bsmt]]*Lookups!$B$89</f>
        <v>19455.787920242998</v>
      </c>
      <c r="AZ2088" s="25">
        <f>Inventory[[#This Row],[Fixtures]]*Lookups!$B$90</f>
        <v>30336.176841600001</v>
      </c>
      <c r="BA2088" s="25">
        <f>Inventory[[#This Row],[WdDeck]]*Lookups!$B$91</f>
        <v>0</v>
      </c>
      <c r="BB2088" s="25">
        <f>ROUND(Inventory[[#This Row],[25Det]],-2)</f>
        <v>11900</v>
      </c>
      <c r="BC2088" s="25">
        <f>ROUND(SUM(Inventory[[#This Row],[Mdl Qlty]:[Mdl WdDeck]])+Inventory[[#This Row],[Mdl Res Intercept]],-2)</f>
        <v>424900</v>
      </c>
      <c r="BD2088" s="25">
        <f>ROUND(Inventory[[#This Row],[Mdl Land Intercept]]+Inventory[[#This Row],[Mdl LnAcres]],-2)</f>
        <v>44700</v>
      </c>
      <c r="BE2088" s="25">
        <f>Inventory[[#This Row],[Unadj Res Value]]+Inventory[[#This Row],[Unadj Det Value]]+Inventory[[#This Row],[Unadj Land Value]]</f>
        <v>481500</v>
      </c>
      <c r="BF2088" s="36">
        <f>(Inventory[[#This Row],[Unadj Total Value]]-Inventory[[#This Row],[24Final]])/Inventory[[#This Row],[24Final]]</f>
        <v>-1.2915129151291513E-2</v>
      </c>
      <c r="BG2088" s="25">
        <f>VLOOKUP(Inventory[[#This Row],[Nbhd]],Lookups!$Q$2:$T$4,4,FALSE)</f>
        <v>0.99970000000000003</v>
      </c>
      <c r="BH2088" s="25">
        <f>VLOOKUP(Inventory[[#This Row],[Qlty]],Lookups!$O$7:$R$21,4,FALSE)</f>
        <v>0.98380000000000001</v>
      </c>
      <c r="BI2088" s="25">
        <f>VLOOKUP(Inventory[[#This Row],[Cnd]],Lookups!$T$7:$W$16,4,FALSE)</f>
        <v>0.99650000000000005</v>
      </c>
      <c r="BJ2088" s="25">
        <f>VLOOKUP(Inventory[[#This Row],[LivArea Range]],Lookups!$T$25:$W$37,4,FALSE)</f>
        <v>1.0126999999999999</v>
      </c>
      <c r="BK2088" s="25">
        <f>VLOOKUP(Inventory[[#This Row],[Decade]],Lookups!$O$25:$R$42,4,FALSE)</f>
        <v>1.0074000000000001</v>
      </c>
      <c r="BL2088" s="25">
        <f>Inventory[[#This Row],[Nbhd Adj]]*0.95</f>
        <v>0.94971499999999998</v>
      </c>
      <c r="BM2088" s="25">
        <f>Inventory[[#This Row],[Nbhd Adj]]*Inventory[[#This Row],[Quality Adj]]*Inventory[[#This Row],[Condition Adj]]*Inventory[[#This Row],[Living Area Adj]]*Inventory[[#This Row],[Decade Adj]]*0.95</f>
        <v>0.94986125952200873</v>
      </c>
      <c r="BN2088" s="25">
        <f>ROUND(SUM(Inventory[[#This Row],[Mdl Qlty]:[Mdl WdDeck]])+Inventory[[#This Row],[Mdl Res Intercept]]*Inventory[[#This Row],[Res Adj ]],-2)</f>
        <v>424900</v>
      </c>
      <c r="BO2088" s="25">
        <f>ROUND(Inventory[[#This Row],[25Det]]*Inventory[[#This Row],[Det/Nbhd Adj]],-2)</f>
        <v>11300</v>
      </c>
      <c r="BP2088" s="25">
        <f>Inventory[[#This Row],[Adjusted Res]]+Inventory[[#This Row],[Adj Det ]]</f>
        <v>436200</v>
      </c>
      <c r="BQ2088" s="25">
        <f>ROUND((Inventory[[#This Row],[Mdl Land Intercept]]+Inventory[[#This Row],[Mdl LnAcres]])*Inventory[[#This Row],[Det/Nbhd Adj]],-2)</f>
        <v>42400</v>
      </c>
      <c r="BR2088" s="25">
        <f>Inventory[[#This Row],[Adjusted Impr Total]]+Inventory[[#This Row],[Adjusted Land Total]]</f>
        <v>478600</v>
      </c>
      <c r="BS2088" s="36">
        <f>IFERROR((Inventory[[#This Row],[Adjusted Impr Total]]-Inventory[[#This Row],[24Bldg]])/Inventory[[#This Row],[24Bldg]],0)</f>
        <v>3.1205673758865248E-2</v>
      </c>
      <c r="BT2088" s="36">
        <f>(Inventory[[#This Row],[Adjusted Land Total]]-Inventory[[#This Row],[24Lnd]])/Inventory[[#This Row],[24Lnd]]</f>
        <v>-0.34567901234567899</v>
      </c>
      <c r="BU2088" s="36">
        <f>(Inventory[[#This Row],[Adjusted Total]]-Inventory[[#This Row],[24Final]])/Inventory[[#This Row],[24Final]]</f>
        <v>-1.886018860188602E-2</v>
      </c>
    </row>
    <row r="2089" spans="1:73" x14ac:dyDescent="0.3">
      <c r="A2089" s="25">
        <v>2025</v>
      </c>
      <c r="B2089" s="26" t="s">
        <v>2167</v>
      </c>
      <c r="C2089" s="26">
        <f>LN(Inventory[[#This Row],[Acres]])</f>
        <v>-1.8325814637483102</v>
      </c>
      <c r="D2089" s="25">
        <v>0.16</v>
      </c>
      <c r="E2089" s="31"/>
      <c r="F2089" s="26" t="s">
        <v>537</v>
      </c>
      <c r="G2089" s="26" t="s">
        <v>126</v>
      </c>
      <c r="H2089" s="26" t="s">
        <v>349</v>
      </c>
      <c r="I2089" s="26" t="s">
        <v>538</v>
      </c>
      <c r="J2089" s="26" t="s">
        <v>539</v>
      </c>
      <c r="K2089" s="26" t="s">
        <v>147</v>
      </c>
      <c r="L2089" s="26" t="s">
        <v>351</v>
      </c>
      <c r="M2089" s="26" t="s">
        <v>206</v>
      </c>
      <c r="N2089" s="26">
        <v>100</v>
      </c>
      <c r="O2089" s="26">
        <f>2024-Inventory[[#This Row],[YrBlt]]</f>
        <v>99</v>
      </c>
      <c r="P2089" s="26">
        <f>2024-Inventory[[#This Row],[EffYr]]</f>
        <v>56</v>
      </c>
      <c r="Q2089" s="25">
        <v>1925</v>
      </c>
      <c r="R2089" s="25">
        <v>1968</v>
      </c>
      <c r="S2089" s="25">
        <v>770</v>
      </c>
      <c r="T2089" s="32">
        <v>247</v>
      </c>
      <c r="U2089" s="25">
        <v>490</v>
      </c>
      <c r="V2089" s="32">
        <f>Inventory[[#This Row],[Bsmt]]-Inventory[[#This Row],[FnBsmt]]</f>
        <v>490</v>
      </c>
      <c r="W2089" s="27"/>
      <c r="X2089" s="27"/>
      <c r="Y2089" s="27">
        <f>Inventory[[#This Row],[MainFn]]+Inventory[[#This Row],[UpprFn]]+Inventory[[#This Row],[FnBsmt]]+Inventory[[#This Row],[AddFn]]</f>
        <v>1017</v>
      </c>
      <c r="Z2089" s="27">
        <v>1500</v>
      </c>
      <c r="AA2089" s="25">
        <v>5</v>
      </c>
      <c r="AB2089" s="27"/>
      <c r="AC2089" s="27"/>
      <c r="AD2089" s="32">
        <v>172</v>
      </c>
      <c r="AE2089" s="27"/>
      <c r="AF2089" s="27"/>
      <c r="AG2089" s="27"/>
      <c r="AH2089" s="27"/>
      <c r="AI2089" s="25">
        <v>190223</v>
      </c>
      <c r="AJ2089" s="25">
        <v>117938</v>
      </c>
      <c r="AK2089" s="25">
        <v>6724</v>
      </c>
      <c r="AL2089" s="25">
        <v>272800</v>
      </c>
      <c r="AM2089" s="25">
        <v>50600</v>
      </c>
      <c r="AN2089" s="25">
        <v>222200</v>
      </c>
      <c r="AO2089" s="25">
        <v>0</v>
      </c>
      <c r="AP2089" s="25">
        <f>Lookups!$B$56*0</f>
        <v>0</v>
      </c>
      <c r="AQ2089" s="25">
        <f>Lookups!$B$56*1</f>
        <v>89850.625589999996</v>
      </c>
      <c r="AR2089" s="25">
        <f>Lookups!$B$57*Inventory[[#This Row],[LnAcres]]</f>
        <v>-58009.662049032086</v>
      </c>
      <c r="AS2089" s="25">
        <f>VLOOKUP(Inventory[[#This Row],[Qlty]],Lookups!$A$62:$E$75,2,FALSE)</f>
        <v>21557.329055999999</v>
      </c>
      <c r="AT2089" s="25">
        <f>VLOOKUP(Inventory[[#This Row],[Cnd]],Lookups!$A$76:$E$84,2,FALSE)</f>
        <v>133714.53821</v>
      </c>
      <c r="AU2089" s="25">
        <f>Inventory[[#This Row],[EffAge]]*Lookups!$B$85</f>
        <v>-12490.553628</v>
      </c>
      <c r="AV2089" s="25">
        <f>Inventory[[#This Row],[MainFn]]*Lookups!$B$86</f>
        <v>38044.675805290004</v>
      </c>
      <c r="AW2089" s="25">
        <f>Inventory[[#This Row],[UpprFn]]*Lookups!$B$87</f>
        <v>11062.246446666999</v>
      </c>
      <c r="AX2089" s="25">
        <f>Inventory[[#This Row],[AddFn]]*Lookups!$B$88</f>
        <v>0</v>
      </c>
      <c r="AY2089" s="25">
        <f>Inventory[[#This Row],[Bsmt]]*Lookups!$B$89</f>
        <v>14250.128671029999</v>
      </c>
      <c r="AZ2089" s="25">
        <f>Inventory[[#This Row],[Fixtures]]*Lookups!$B$90</f>
        <v>18960.110526</v>
      </c>
      <c r="BA2089" s="25">
        <f>Inventory[[#This Row],[WdDeck]]*Lookups!$B$91</f>
        <v>5726.8286274720003</v>
      </c>
      <c r="BB2089" s="25">
        <f>ROUND(Inventory[[#This Row],[25Det]],-2)</f>
        <v>6700</v>
      </c>
      <c r="BC2089" s="25">
        <f>ROUND(SUM(Inventory[[#This Row],[Mdl Qlty]:[Mdl WdDeck]])+Inventory[[#This Row],[Mdl Res Intercept]],-2)</f>
        <v>230800</v>
      </c>
      <c r="BD2089" s="25">
        <f>ROUND(Inventory[[#This Row],[Mdl Land Intercept]]+Inventory[[#This Row],[Mdl LnAcres]],-2)</f>
        <v>31800</v>
      </c>
      <c r="BE2089" s="25">
        <f>Inventory[[#This Row],[Unadj Res Value]]+Inventory[[#This Row],[Unadj Det Value]]+Inventory[[#This Row],[Unadj Land Value]]</f>
        <v>269300</v>
      </c>
      <c r="BF2089" s="36">
        <f>(Inventory[[#This Row],[Unadj Total Value]]-Inventory[[#This Row],[24Final]])/Inventory[[#This Row],[24Final]]</f>
        <v>-1.2829912023460411E-2</v>
      </c>
      <c r="BG2089" s="25">
        <f>VLOOKUP(Inventory[[#This Row],[Nbhd]],Lookups!$Q$2:$T$4,4,FALSE)</f>
        <v>0.99970000000000003</v>
      </c>
      <c r="BH2089" s="25">
        <f>VLOOKUP(Inventory[[#This Row],[Qlty]],Lookups!$O$7:$R$21,4,FALSE)</f>
        <v>1.0067999999999999</v>
      </c>
      <c r="BI2089" s="25">
        <f>VLOOKUP(Inventory[[#This Row],[Cnd]],Lookups!$T$7:$W$16,4,FALSE)</f>
        <v>0.99329999999999996</v>
      </c>
      <c r="BJ2089" s="25">
        <f>VLOOKUP(Inventory[[#This Row],[LivArea Range]],Lookups!$T$25:$W$37,4,FALSE)</f>
        <v>1.0157</v>
      </c>
      <c r="BK2089" s="25">
        <f>VLOOKUP(Inventory[[#This Row],[Decade]],Lookups!$O$25:$R$42,4,FALSE)</f>
        <v>1.0074000000000001</v>
      </c>
      <c r="BL2089" s="25">
        <f>Inventory[[#This Row],[Nbhd Adj]]*0.95</f>
        <v>0.94971499999999998</v>
      </c>
      <c r="BM2089" s="25">
        <f>Inventory[[#This Row],[Nbhd Adj]]*Inventory[[#This Row],[Quality Adj]]*Inventory[[#This Row],[Condition Adj]]*Inventory[[#This Row],[Living Area Adj]]*Inventory[[#This Row],[Decade Adj]]*0.95</f>
        <v>0.971816657207489</v>
      </c>
      <c r="BN2089" s="25">
        <f>ROUND(SUM(Inventory[[#This Row],[Mdl Qlty]:[Mdl WdDeck]])+Inventory[[#This Row],[Mdl Res Intercept]]*Inventory[[#This Row],[Res Adj ]],-2)</f>
        <v>230800</v>
      </c>
      <c r="BO2089" s="25">
        <f>ROUND(Inventory[[#This Row],[25Det]]*Inventory[[#This Row],[Det/Nbhd Adj]],-2)</f>
        <v>6400</v>
      </c>
      <c r="BP2089" s="25">
        <f>Inventory[[#This Row],[Adjusted Res]]+Inventory[[#This Row],[Adj Det ]]</f>
        <v>237200</v>
      </c>
      <c r="BQ2089" s="25">
        <f>ROUND((Inventory[[#This Row],[Mdl Land Intercept]]+Inventory[[#This Row],[Mdl LnAcres]])*Inventory[[#This Row],[Det/Nbhd Adj]],-2)</f>
        <v>30200</v>
      </c>
      <c r="BR2089" s="25">
        <f>Inventory[[#This Row],[Adjusted Impr Total]]+Inventory[[#This Row],[Adjusted Land Total]]</f>
        <v>267400</v>
      </c>
      <c r="BS2089" s="36">
        <f>IFERROR((Inventory[[#This Row],[Adjusted Impr Total]]-Inventory[[#This Row],[24Bldg]])/Inventory[[#This Row],[24Bldg]],0)</f>
        <v>6.7506750675067506E-2</v>
      </c>
      <c r="BT2089" s="36">
        <f>(Inventory[[#This Row],[Adjusted Land Total]]-Inventory[[#This Row],[24Lnd]])/Inventory[[#This Row],[24Lnd]]</f>
        <v>-0.40316205533596838</v>
      </c>
      <c r="BU2089" s="36">
        <f>(Inventory[[#This Row],[Adjusted Total]]-Inventory[[#This Row],[24Final]])/Inventory[[#This Row],[24Final]]</f>
        <v>-1.9794721407624633E-2</v>
      </c>
    </row>
    <row r="2090" spans="1:73" x14ac:dyDescent="0.3">
      <c r="A2090" s="25">
        <v>2025</v>
      </c>
      <c r="B2090" s="26" t="s">
        <v>2217</v>
      </c>
      <c r="C2090" s="26">
        <f>LN(Inventory[[#This Row],[Acres]])</f>
        <v>-1.2729656758128873</v>
      </c>
      <c r="D2090" s="25">
        <v>0.28000000000000003</v>
      </c>
      <c r="E2090" s="31"/>
      <c r="F2090" s="26" t="s">
        <v>537</v>
      </c>
      <c r="G2090" s="26" t="s">
        <v>126</v>
      </c>
      <c r="H2090" s="26" t="s">
        <v>349</v>
      </c>
      <c r="I2090" s="26" t="s">
        <v>538</v>
      </c>
      <c r="J2090" s="26" t="s">
        <v>539</v>
      </c>
      <c r="K2090" s="26" t="s">
        <v>300</v>
      </c>
      <c r="L2090" s="26" t="s">
        <v>64</v>
      </c>
      <c r="M2090" s="26" t="s">
        <v>323</v>
      </c>
      <c r="N2090" s="26">
        <v>100</v>
      </c>
      <c r="O2090" s="26">
        <f>2024-Inventory[[#This Row],[YrBlt]]</f>
        <v>99</v>
      </c>
      <c r="P2090" s="26">
        <f>2024-Inventory[[#This Row],[EffYr]]</f>
        <v>57</v>
      </c>
      <c r="Q2090" s="25">
        <v>1925</v>
      </c>
      <c r="R2090" s="25">
        <v>1967</v>
      </c>
      <c r="S2090" s="25">
        <v>1916</v>
      </c>
      <c r="T2090" s="27"/>
      <c r="U2090" s="25">
        <v>1916</v>
      </c>
      <c r="V2090" s="25">
        <f>Inventory[[#This Row],[Bsmt]]-Inventory[[#This Row],[FnBsmt]]</f>
        <v>651</v>
      </c>
      <c r="W2090" s="25">
        <v>1265</v>
      </c>
      <c r="X2090" s="27"/>
      <c r="Y2090" s="27">
        <f>Inventory[[#This Row],[MainFn]]+Inventory[[#This Row],[UpprFn]]+Inventory[[#This Row],[FnBsmt]]+Inventory[[#This Row],[AddFn]]</f>
        <v>3181</v>
      </c>
      <c r="Z2090" s="27">
        <v>3500</v>
      </c>
      <c r="AA2090" s="25">
        <v>10</v>
      </c>
      <c r="AB2090" s="27"/>
      <c r="AC2090" s="27"/>
      <c r="AD2090" s="31"/>
      <c r="AE2090" s="27"/>
      <c r="AF2090" s="27"/>
      <c r="AG2090" s="27"/>
      <c r="AH2090" s="27"/>
      <c r="AI2090" s="25">
        <v>615204</v>
      </c>
      <c r="AJ2090" s="25">
        <v>393731</v>
      </c>
      <c r="AK2090" s="25">
        <v>6480</v>
      </c>
      <c r="AL2090" s="25">
        <v>575200</v>
      </c>
      <c r="AM2090" s="25">
        <v>70100</v>
      </c>
      <c r="AN2090" s="25">
        <v>505100</v>
      </c>
      <c r="AO2090" s="25">
        <v>0</v>
      </c>
      <c r="AP2090" s="25">
        <f>Lookups!$B$56*0</f>
        <v>0</v>
      </c>
      <c r="AQ2090" s="25">
        <f>Lookups!$B$56*1</f>
        <v>89850.625589999996</v>
      </c>
      <c r="AR2090" s="25">
        <f>Lookups!$B$57*Inventory[[#This Row],[LnAcres]]</f>
        <v>-40295.239319339329</v>
      </c>
      <c r="AS2090" s="25">
        <f>VLOOKUP(Inventory[[#This Row],[Qlty]],Lookups!$A$62:$E$75,2,FALSE)</f>
        <v>163885.03753</v>
      </c>
      <c r="AT2090" s="25">
        <f>VLOOKUP(Inventory[[#This Row],[Cnd]],Lookups!$A$76:$E$84,2,FALSE)</f>
        <v>160472.20319</v>
      </c>
      <c r="AU2090" s="25">
        <f>Inventory[[#This Row],[EffAge]]*Lookups!$B$85</f>
        <v>-12713.599228500001</v>
      </c>
      <c r="AV2090" s="25">
        <f>Inventory[[#This Row],[MainFn]]*Lookups!$B$86</f>
        <v>94667.011484332004</v>
      </c>
      <c r="AW2090" s="25">
        <f>Inventory[[#This Row],[UpprFn]]*Lookups!$B$87</f>
        <v>0</v>
      </c>
      <c r="AX2090" s="25">
        <f>Inventory[[#This Row],[AddFn]]*Lookups!$B$88</f>
        <v>0</v>
      </c>
      <c r="AY2090" s="25">
        <f>Inventory[[#This Row],[Bsmt]]*Lookups!$B$89</f>
        <v>55720.911293252</v>
      </c>
      <c r="AZ2090" s="25">
        <f>Inventory[[#This Row],[Fixtures]]*Lookups!$B$90</f>
        <v>37920.221052000001</v>
      </c>
      <c r="BA2090" s="25">
        <f>Inventory[[#This Row],[WdDeck]]*Lookups!$B$91</f>
        <v>0</v>
      </c>
      <c r="BB2090" s="25">
        <f>ROUND(Inventory[[#This Row],[25Det]],-2)</f>
        <v>6500</v>
      </c>
      <c r="BC2090" s="25">
        <f>ROUND(SUM(Inventory[[#This Row],[Mdl Qlty]:[Mdl WdDeck]])+Inventory[[#This Row],[Mdl Res Intercept]],-2)</f>
        <v>500000</v>
      </c>
      <c r="BD2090" s="25">
        <f>ROUND(Inventory[[#This Row],[Mdl Land Intercept]]+Inventory[[#This Row],[Mdl LnAcres]],-2)</f>
        <v>49600</v>
      </c>
      <c r="BE2090" s="25">
        <f>Inventory[[#This Row],[Unadj Res Value]]+Inventory[[#This Row],[Unadj Det Value]]+Inventory[[#This Row],[Unadj Land Value]]</f>
        <v>556100</v>
      </c>
      <c r="BF2090" s="36">
        <f>(Inventory[[#This Row],[Unadj Total Value]]-Inventory[[#This Row],[24Final]])/Inventory[[#This Row],[24Final]]</f>
        <v>-3.3205841446453409E-2</v>
      </c>
      <c r="BG2090" s="25">
        <f>VLOOKUP(Inventory[[#This Row],[Nbhd]],Lookups!$Q$2:$T$4,4,FALSE)</f>
        <v>0.99970000000000003</v>
      </c>
      <c r="BH2090" s="25">
        <f>VLOOKUP(Inventory[[#This Row],[Qlty]],Lookups!$O$7:$R$21,4,FALSE)</f>
        <v>1</v>
      </c>
      <c r="BI2090" s="25">
        <f>VLOOKUP(Inventory[[#This Row],[Cnd]],Lookups!$T$7:$W$16,4,FALSE)</f>
        <v>0.99729999999999996</v>
      </c>
      <c r="BJ2090" s="25">
        <f>VLOOKUP(Inventory[[#This Row],[LivArea Range]],Lookups!$T$25:$W$37,4,FALSE)</f>
        <v>1.0126999999999999</v>
      </c>
      <c r="BK2090" s="25">
        <f>VLOOKUP(Inventory[[#This Row],[Decade]],Lookups!$O$25:$R$42,4,FALSE)</f>
        <v>1.0074000000000001</v>
      </c>
      <c r="BL2090" s="25">
        <f>Inventory[[#This Row],[Nbhd Adj]]*0.95</f>
        <v>0.94971499999999998</v>
      </c>
      <c r="BM2090" s="25">
        <f>Inventory[[#This Row],[Nbhd Adj]]*Inventory[[#This Row],[Quality Adj]]*Inventory[[#This Row],[Condition Adj]]*Inventory[[#This Row],[Living Area Adj]]*Inventory[[#This Row],[Decade Adj]]*0.95</f>
        <v>0.96627751319626753</v>
      </c>
      <c r="BN2090" s="25">
        <f>ROUND(SUM(Inventory[[#This Row],[Mdl Qlty]:[Mdl WdDeck]])+Inventory[[#This Row],[Mdl Res Intercept]]*Inventory[[#This Row],[Res Adj ]],-2)</f>
        <v>500000</v>
      </c>
      <c r="BO2090" s="25">
        <f>ROUND(Inventory[[#This Row],[25Det]]*Inventory[[#This Row],[Det/Nbhd Adj]],-2)</f>
        <v>6200</v>
      </c>
      <c r="BP2090" s="25">
        <f>Inventory[[#This Row],[Adjusted Res]]+Inventory[[#This Row],[Adj Det ]]</f>
        <v>506200</v>
      </c>
      <c r="BQ2090" s="25">
        <f>ROUND((Inventory[[#This Row],[Mdl Land Intercept]]+Inventory[[#This Row],[Mdl LnAcres]])*Inventory[[#This Row],[Det/Nbhd Adj]],-2)</f>
        <v>47100</v>
      </c>
      <c r="BR2090" s="25">
        <f>Inventory[[#This Row],[Adjusted Impr Total]]+Inventory[[#This Row],[Adjusted Land Total]]</f>
        <v>553300</v>
      </c>
      <c r="BS2090" s="36">
        <f>IFERROR((Inventory[[#This Row],[Adjusted Impr Total]]-Inventory[[#This Row],[24Bldg]])/Inventory[[#This Row],[24Bldg]],0)</f>
        <v>2.1777865769154621E-3</v>
      </c>
      <c r="BT2090" s="36">
        <f>(Inventory[[#This Row],[Adjusted Land Total]]-Inventory[[#This Row],[24Lnd]])/Inventory[[#This Row],[24Lnd]]</f>
        <v>-0.32810271041369471</v>
      </c>
      <c r="BU2090" s="36">
        <f>(Inventory[[#This Row],[Adjusted Total]]-Inventory[[#This Row],[24Final]])/Inventory[[#This Row],[24Final]]</f>
        <v>-3.8073713490959664E-2</v>
      </c>
    </row>
    <row r="2091" spans="1:73" x14ac:dyDescent="0.3">
      <c r="A2091" s="25">
        <v>2025</v>
      </c>
      <c r="B2091" s="26" t="s">
        <v>2622</v>
      </c>
      <c r="C2091" s="26">
        <f>LN(Inventory[[#This Row],[Acres]])</f>
        <v>-1.4696759700589417</v>
      </c>
      <c r="D2091" s="25">
        <v>0.23</v>
      </c>
      <c r="E2091" s="25">
        <v>9977</v>
      </c>
      <c r="F2091" s="26" t="s">
        <v>537</v>
      </c>
      <c r="G2091" s="26" t="s">
        <v>126</v>
      </c>
      <c r="H2091" s="26" t="s">
        <v>349</v>
      </c>
      <c r="I2091" s="26" t="s">
        <v>538</v>
      </c>
      <c r="J2091" s="26" t="s">
        <v>539</v>
      </c>
      <c r="K2091" s="26" t="s">
        <v>147</v>
      </c>
      <c r="L2091" s="26" t="s">
        <v>95</v>
      </c>
      <c r="M2091" s="26" t="s">
        <v>323</v>
      </c>
      <c r="N2091" s="26">
        <v>100</v>
      </c>
      <c r="O2091" s="26">
        <f>2024-Inventory[[#This Row],[YrBlt]]</f>
        <v>99</v>
      </c>
      <c r="P2091" s="26">
        <f>2024-Inventory[[#This Row],[EffYr]]</f>
        <v>56</v>
      </c>
      <c r="Q2091" s="25">
        <v>1925</v>
      </c>
      <c r="R2091" s="25">
        <v>1968</v>
      </c>
      <c r="S2091" s="25">
        <v>1219</v>
      </c>
      <c r="T2091" s="25">
        <v>970</v>
      </c>
      <c r="U2091" s="25">
        <v>818</v>
      </c>
      <c r="V2091" s="25">
        <f>Inventory[[#This Row],[Bsmt]]-Inventory[[#This Row],[FnBsmt]]</f>
        <v>0</v>
      </c>
      <c r="W2091" s="25">
        <v>818</v>
      </c>
      <c r="X2091" s="27"/>
      <c r="Y2091" s="27">
        <f>Inventory[[#This Row],[MainFn]]+Inventory[[#This Row],[UpprFn]]+Inventory[[#This Row],[FnBsmt]]+Inventory[[#This Row],[AddFn]]</f>
        <v>3007</v>
      </c>
      <c r="Z2091" s="27">
        <v>3500</v>
      </c>
      <c r="AA2091" s="25">
        <v>12</v>
      </c>
      <c r="AB2091" s="27"/>
      <c r="AC2091" s="27"/>
      <c r="AD2091" s="27"/>
      <c r="AE2091" s="27"/>
      <c r="AF2091" s="27"/>
      <c r="AG2091" s="27"/>
      <c r="AH2091" s="27"/>
      <c r="AI2091" s="25">
        <v>628468</v>
      </c>
      <c r="AJ2091" s="25">
        <v>408504</v>
      </c>
      <c r="AK2091" s="25">
        <v>0</v>
      </c>
      <c r="AL2091" s="25">
        <v>455000</v>
      </c>
      <c r="AM2091" s="25">
        <v>63300</v>
      </c>
      <c r="AN2091" s="25">
        <v>391700</v>
      </c>
      <c r="AO2091" s="25">
        <v>0</v>
      </c>
      <c r="AP2091" s="25">
        <f>Lookups!$B$56*0</f>
        <v>0</v>
      </c>
      <c r="AQ2091" s="25">
        <f>Lookups!$B$56*1</f>
        <v>89850.625589999996</v>
      </c>
      <c r="AR2091" s="25">
        <f>Lookups!$B$57*Inventory[[#This Row],[LnAcres]]</f>
        <v>-46522.028095997222</v>
      </c>
      <c r="AS2091" s="25">
        <f>VLOOKUP(Inventory[[#This Row],[Qlty]],Lookups!$A$62:$E$75,2,FALSE)</f>
        <v>74268.409664999999</v>
      </c>
      <c r="AT2091" s="25">
        <f>VLOOKUP(Inventory[[#This Row],[Cnd]],Lookups!$A$76:$E$84,2,FALSE)</f>
        <v>160472.20319</v>
      </c>
      <c r="AU2091" s="25">
        <f>Inventory[[#This Row],[EffAge]]*Lookups!$B$85</f>
        <v>-12490.553628</v>
      </c>
      <c r="AV2091" s="25">
        <f>Inventory[[#This Row],[MainFn]]*Lookups!$B$86</f>
        <v>60229.168580063</v>
      </c>
      <c r="AW2091" s="25">
        <f>Inventory[[#This Row],[UpprFn]]*Lookups!$B$87</f>
        <v>43442.830175169998</v>
      </c>
      <c r="AX2091" s="25">
        <f>Inventory[[#This Row],[AddFn]]*Lookups!$B$88</f>
        <v>0</v>
      </c>
      <c r="AY2091" s="25">
        <f>Inventory[[#This Row],[Bsmt]]*Lookups!$B$89</f>
        <v>23788.990312046</v>
      </c>
      <c r="AZ2091" s="25">
        <f>Inventory[[#This Row],[Fixtures]]*Lookups!$B$90</f>
        <v>45504.265262400004</v>
      </c>
      <c r="BA2091" s="25">
        <f>Inventory[[#This Row],[WdDeck]]*Lookups!$B$91</f>
        <v>0</v>
      </c>
      <c r="BB2091" s="25">
        <f>ROUND(Inventory[[#This Row],[25Det]],-2)</f>
        <v>0</v>
      </c>
      <c r="BC2091" s="25">
        <f>ROUND(SUM(Inventory[[#This Row],[Mdl Qlty]:[Mdl WdDeck]])+Inventory[[#This Row],[Mdl Res Intercept]],-2)</f>
        <v>395200</v>
      </c>
      <c r="BD2091" s="25">
        <f>ROUND(Inventory[[#This Row],[Mdl Land Intercept]]+Inventory[[#This Row],[Mdl LnAcres]],-2)</f>
        <v>43300</v>
      </c>
      <c r="BE2091" s="25">
        <f>Inventory[[#This Row],[Unadj Res Value]]+Inventory[[#This Row],[Unadj Det Value]]+Inventory[[#This Row],[Unadj Land Value]]</f>
        <v>438500</v>
      </c>
      <c r="BF2091" s="36">
        <f>(Inventory[[#This Row],[Unadj Total Value]]-Inventory[[#This Row],[24Final]])/Inventory[[#This Row],[24Final]]</f>
        <v>-3.6263736263736267E-2</v>
      </c>
      <c r="BG2091" s="25">
        <f>VLOOKUP(Inventory[[#This Row],[Nbhd]],Lookups!$Q$2:$T$4,4,FALSE)</f>
        <v>0.99970000000000003</v>
      </c>
      <c r="BH2091" s="25">
        <f>VLOOKUP(Inventory[[#This Row],[Qlty]],Lookups!$O$7:$R$21,4,FALSE)</f>
        <v>0.98380000000000001</v>
      </c>
      <c r="BI2091" s="25">
        <f>VLOOKUP(Inventory[[#This Row],[Cnd]],Lookups!$T$7:$W$16,4,FALSE)</f>
        <v>0.99729999999999996</v>
      </c>
      <c r="BJ2091" s="25">
        <f>VLOOKUP(Inventory[[#This Row],[LivArea Range]],Lookups!$T$25:$W$37,4,FALSE)</f>
        <v>1.0126999999999999</v>
      </c>
      <c r="BK2091" s="25">
        <f>VLOOKUP(Inventory[[#This Row],[Decade]],Lookups!$O$25:$R$42,4,FALSE)</f>
        <v>1.0074000000000001</v>
      </c>
      <c r="BL2091" s="25">
        <f>Inventory[[#This Row],[Nbhd Adj]]*0.95</f>
        <v>0.94971499999999998</v>
      </c>
      <c r="BM2091" s="25">
        <f>Inventory[[#This Row],[Nbhd Adj]]*Inventory[[#This Row],[Quality Adj]]*Inventory[[#This Row],[Condition Adj]]*Inventory[[#This Row],[Living Area Adj]]*Inventory[[#This Row],[Decade Adj]]*0.95</f>
        <v>0.95062381748248792</v>
      </c>
      <c r="BN2091" s="25">
        <f>ROUND(SUM(Inventory[[#This Row],[Mdl Qlty]:[Mdl WdDeck]])+Inventory[[#This Row],[Mdl Res Intercept]]*Inventory[[#This Row],[Res Adj ]],-2)</f>
        <v>395200</v>
      </c>
      <c r="BO2091" s="25">
        <f>ROUND(Inventory[[#This Row],[25Det]]*Inventory[[#This Row],[Det/Nbhd Adj]],-2)</f>
        <v>0</v>
      </c>
      <c r="BP2091" s="25">
        <f>Inventory[[#This Row],[Adjusted Res]]+Inventory[[#This Row],[Adj Det ]]</f>
        <v>395200</v>
      </c>
      <c r="BQ2091" s="25">
        <f>ROUND((Inventory[[#This Row],[Mdl Land Intercept]]+Inventory[[#This Row],[Mdl LnAcres]])*Inventory[[#This Row],[Det/Nbhd Adj]],-2)</f>
        <v>41100</v>
      </c>
      <c r="BR2091" s="25">
        <f>Inventory[[#This Row],[Adjusted Impr Total]]+Inventory[[#This Row],[Adjusted Land Total]]</f>
        <v>436300</v>
      </c>
      <c r="BS2091" s="36">
        <f>IFERROR((Inventory[[#This Row],[Adjusted Impr Total]]-Inventory[[#This Row],[24Bldg]])/Inventory[[#This Row],[24Bldg]],0)</f>
        <v>8.9354097523615013E-3</v>
      </c>
      <c r="BT2091" s="36">
        <f>(Inventory[[#This Row],[Adjusted Land Total]]-Inventory[[#This Row],[24Lnd]])/Inventory[[#This Row],[24Lnd]]</f>
        <v>-0.35071090047393366</v>
      </c>
      <c r="BU2091" s="36">
        <f>(Inventory[[#This Row],[Adjusted Total]]-Inventory[[#This Row],[24Final]])/Inventory[[#This Row],[24Final]]</f>
        <v>-4.1098901098901096E-2</v>
      </c>
    </row>
    <row r="2092" spans="1:73" x14ac:dyDescent="0.3">
      <c r="A2092" s="25">
        <v>2025</v>
      </c>
      <c r="B2092" s="26" t="s">
        <v>2628</v>
      </c>
      <c r="C2092" s="26">
        <f>LN(Inventory[[#This Row],[Acres]])</f>
        <v>-0.24846135929849961</v>
      </c>
      <c r="D2092" s="25">
        <v>0.78</v>
      </c>
      <c r="E2092" s="25">
        <v>34127</v>
      </c>
      <c r="F2092" s="26" t="s">
        <v>537</v>
      </c>
      <c r="G2092" s="26" t="s">
        <v>126</v>
      </c>
      <c r="H2092" s="26" t="s">
        <v>349</v>
      </c>
      <c r="I2092" s="26" t="s">
        <v>538</v>
      </c>
      <c r="J2092" s="26" t="s">
        <v>539</v>
      </c>
      <c r="K2092" s="26" t="s">
        <v>301</v>
      </c>
      <c r="L2092" s="26" t="s">
        <v>95</v>
      </c>
      <c r="M2092" s="26" t="s">
        <v>303</v>
      </c>
      <c r="N2092" s="26">
        <v>100</v>
      </c>
      <c r="O2092" s="26">
        <f>2024-Inventory[[#This Row],[YrBlt]]</f>
        <v>99</v>
      </c>
      <c r="P2092" s="26">
        <f>2024-Inventory[[#This Row],[EffYr]]</f>
        <v>56</v>
      </c>
      <c r="Q2092" s="25">
        <v>1925</v>
      </c>
      <c r="R2092" s="25">
        <v>1968</v>
      </c>
      <c r="S2092" s="25">
        <v>3488</v>
      </c>
      <c r="T2092" s="32">
        <v>1209</v>
      </c>
      <c r="U2092" s="25">
        <v>1209</v>
      </c>
      <c r="V2092" s="25">
        <f>Inventory[[#This Row],[Bsmt]]-Inventory[[#This Row],[FnBsmt]]</f>
        <v>0</v>
      </c>
      <c r="W2092" s="25">
        <v>1209</v>
      </c>
      <c r="X2092" s="27"/>
      <c r="Y2092" s="27">
        <f>Inventory[[#This Row],[MainFn]]+Inventory[[#This Row],[UpprFn]]+Inventory[[#This Row],[FnBsmt]]+Inventory[[#This Row],[AddFn]]</f>
        <v>5906</v>
      </c>
      <c r="Z2092" s="27">
        <v>5500</v>
      </c>
      <c r="AA2092" s="25">
        <v>15</v>
      </c>
      <c r="AB2092" s="27"/>
      <c r="AC2092" s="27"/>
      <c r="AD2092" s="27"/>
      <c r="AE2092" s="27"/>
      <c r="AF2092" s="27"/>
      <c r="AG2092" s="27"/>
      <c r="AH2092" s="27"/>
      <c r="AI2092" s="25">
        <v>1047010</v>
      </c>
      <c r="AJ2092" s="25">
        <v>701497</v>
      </c>
      <c r="AK2092" s="25">
        <v>175416</v>
      </c>
      <c r="AL2092" s="25">
        <v>862300</v>
      </c>
      <c r="AM2092" s="25">
        <v>105900</v>
      </c>
      <c r="AN2092" s="25">
        <v>756400</v>
      </c>
      <c r="AO2092" s="25">
        <v>0</v>
      </c>
      <c r="AP2092" s="25">
        <f>Lookups!$B$56*0</f>
        <v>0</v>
      </c>
      <c r="AQ2092" s="25">
        <f>Lookups!$B$56*1</f>
        <v>89850.625589999996</v>
      </c>
      <c r="AR2092" s="25">
        <f>Lookups!$B$57*Inventory[[#This Row],[LnAcres]]</f>
        <v>-7864.9488550805427</v>
      </c>
      <c r="AS2092" s="25">
        <f>VLOOKUP(Inventory[[#This Row],[Qlty]],Lookups!$A$62:$E$75,2,FALSE)</f>
        <v>74268.409664999999</v>
      </c>
      <c r="AT2092" s="25">
        <f>VLOOKUP(Inventory[[#This Row],[Cnd]],Lookups!$A$76:$E$84,2,FALSE)</f>
        <v>197752.34721000001</v>
      </c>
      <c r="AU2092" s="25">
        <f>Inventory[[#This Row],[EffAge]]*Lookups!$B$85</f>
        <v>-12490.553628</v>
      </c>
      <c r="AV2092" s="25">
        <f>Inventory[[#This Row],[MainFn]]*Lookups!$B$86</f>
        <v>172337.44053097602</v>
      </c>
      <c r="AW2092" s="25">
        <f>Inventory[[#This Row],[UpprFn]]*Lookups!$B$87</f>
        <v>54146.785238949</v>
      </c>
      <c r="AX2092" s="25">
        <f>Inventory[[#This Row],[AddFn]]*Lookups!$B$88</f>
        <v>0</v>
      </c>
      <c r="AY2092" s="25">
        <f>Inventory[[#This Row],[Bsmt]]*Lookups!$B$89</f>
        <v>35160.011353622998</v>
      </c>
      <c r="AZ2092" s="25">
        <f>Inventory[[#This Row],[Fixtures]]*Lookups!$B$90</f>
        <v>56880.331578000005</v>
      </c>
      <c r="BA2092" s="25">
        <f>Inventory[[#This Row],[WdDeck]]*Lookups!$B$91</f>
        <v>0</v>
      </c>
      <c r="BB2092" s="25">
        <f>ROUND(Inventory[[#This Row],[25Det]],-2)</f>
        <v>175400</v>
      </c>
      <c r="BC2092" s="25">
        <f>ROUND(SUM(Inventory[[#This Row],[Mdl Qlty]:[Mdl WdDeck]])+Inventory[[#This Row],[Mdl Res Intercept]],-2)</f>
        <v>578100</v>
      </c>
      <c r="BD2092" s="25">
        <f>ROUND(Inventory[[#This Row],[Mdl Land Intercept]]+Inventory[[#This Row],[Mdl LnAcres]],-2)</f>
        <v>82000</v>
      </c>
      <c r="BE2092" s="25">
        <f>Inventory[[#This Row],[Unadj Res Value]]+Inventory[[#This Row],[Unadj Det Value]]+Inventory[[#This Row],[Unadj Land Value]]</f>
        <v>835500</v>
      </c>
      <c r="BF2092" s="36">
        <f>(Inventory[[#This Row],[Unadj Total Value]]-Inventory[[#This Row],[24Final]])/Inventory[[#This Row],[24Final]]</f>
        <v>-3.1079670648266264E-2</v>
      </c>
      <c r="BG2092" s="25">
        <f>VLOOKUP(Inventory[[#This Row],[Nbhd]],Lookups!$Q$2:$T$4,4,FALSE)</f>
        <v>0.99970000000000003</v>
      </c>
      <c r="BH2092" s="25">
        <f>VLOOKUP(Inventory[[#This Row],[Qlty]],Lookups!$O$7:$R$21,4,FALSE)</f>
        <v>0.98380000000000001</v>
      </c>
      <c r="BI2092" s="25">
        <f>VLOOKUP(Inventory[[#This Row],[Cnd]],Lookups!$T$7:$W$16,4,FALSE)</f>
        <v>0.99650000000000005</v>
      </c>
      <c r="BJ2092" s="25">
        <f>VLOOKUP(Inventory[[#This Row],[LivArea Range]],Lookups!$T$25:$W$37,4,FALSE)</f>
        <v>1.1091</v>
      </c>
      <c r="BK2092" s="25">
        <f>VLOOKUP(Inventory[[#This Row],[Decade]],Lookups!$O$25:$R$42,4,FALSE)</f>
        <v>1.0074000000000001</v>
      </c>
      <c r="BL2092" s="25">
        <f>Inventory[[#This Row],[Nbhd Adj]]*0.95</f>
        <v>0.94971499999999998</v>
      </c>
      <c r="BM2092" s="25">
        <f>Inventory[[#This Row],[Nbhd Adj]]*Inventory[[#This Row],[Quality Adj]]*Inventory[[#This Row],[Condition Adj]]*Inventory[[#This Row],[Living Area Adj]]*Inventory[[#This Row],[Decade Adj]]*0.95</f>
        <v>1.0402795723668017</v>
      </c>
      <c r="BN2092" s="25">
        <f>ROUND(SUM(Inventory[[#This Row],[Mdl Qlty]:[Mdl WdDeck]])+Inventory[[#This Row],[Mdl Res Intercept]]*Inventory[[#This Row],[Res Adj ]],-2)</f>
        <v>578100</v>
      </c>
      <c r="BO2092" s="25">
        <f>ROUND(Inventory[[#This Row],[25Det]]*Inventory[[#This Row],[Det/Nbhd Adj]],-2)</f>
        <v>166600</v>
      </c>
      <c r="BP2092" s="25">
        <f>Inventory[[#This Row],[Adjusted Res]]+Inventory[[#This Row],[Adj Det ]]</f>
        <v>744700</v>
      </c>
      <c r="BQ2092" s="25">
        <f>ROUND((Inventory[[#This Row],[Mdl Land Intercept]]+Inventory[[#This Row],[Mdl LnAcres]])*Inventory[[#This Row],[Det/Nbhd Adj]],-2)</f>
        <v>77900</v>
      </c>
      <c r="BR2092" s="25">
        <f>Inventory[[#This Row],[Adjusted Impr Total]]+Inventory[[#This Row],[Adjusted Land Total]]</f>
        <v>822600</v>
      </c>
      <c r="BS2092" s="36">
        <f>IFERROR((Inventory[[#This Row],[Adjusted Impr Total]]-Inventory[[#This Row],[24Bldg]])/Inventory[[#This Row],[24Bldg]],0)</f>
        <v>-1.5468006345848757E-2</v>
      </c>
      <c r="BT2092" s="36">
        <f>(Inventory[[#This Row],[Adjusted Land Total]]-Inventory[[#This Row],[24Lnd]])/Inventory[[#This Row],[24Lnd]]</f>
        <v>-0.26440037771482533</v>
      </c>
      <c r="BU2092" s="36">
        <f>(Inventory[[#This Row],[Adjusted Total]]-Inventory[[#This Row],[24Final]])/Inventory[[#This Row],[24Final]]</f>
        <v>-4.6039661370752639E-2</v>
      </c>
    </row>
    <row r="2093" spans="1:73" x14ac:dyDescent="0.3">
      <c r="A2093" s="25">
        <v>2025</v>
      </c>
      <c r="B2093" s="26" t="s">
        <v>1584</v>
      </c>
      <c r="C2093" s="26">
        <f>LN(Inventory[[#This Row],[Acres]])</f>
        <v>-1.9661128563728327</v>
      </c>
      <c r="D2093" s="25">
        <v>0.14000000000000001</v>
      </c>
      <c r="E2093" s="31"/>
      <c r="F2093" s="26" t="s">
        <v>537</v>
      </c>
      <c r="G2093" s="26" t="s">
        <v>126</v>
      </c>
      <c r="H2093" s="26" t="s">
        <v>349</v>
      </c>
      <c r="I2093" s="26" t="s">
        <v>538</v>
      </c>
      <c r="J2093" s="26" t="s">
        <v>539</v>
      </c>
      <c r="K2093" s="26" t="s">
        <v>269</v>
      </c>
      <c r="L2093" s="26" t="s">
        <v>351</v>
      </c>
      <c r="M2093" s="26" t="s">
        <v>323</v>
      </c>
      <c r="N2093" s="26">
        <v>100</v>
      </c>
      <c r="O2093" s="26">
        <f>2024-Inventory[[#This Row],[YrBlt]]</f>
        <v>99</v>
      </c>
      <c r="P2093" s="26">
        <f>2024-Inventory[[#This Row],[EffYr]]</f>
        <v>56</v>
      </c>
      <c r="Q2093" s="25">
        <v>1925</v>
      </c>
      <c r="R2093" s="25">
        <v>1968</v>
      </c>
      <c r="S2093" s="25">
        <v>1320</v>
      </c>
      <c r="T2093" s="32">
        <v>660</v>
      </c>
      <c r="U2093" s="32">
        <v>1320</v>
      </c>
      <c r="V2093" s="32">
        <f>Inventory[[#This Row],[Bsmt]]-Inventory[[#This Row],[FnBsmt]]</f>
        <v>0</v>
      </c>
      <c r="W2093" s="32">
        <v>1320</v>
      </c>
      <c r="X2093" s="27"/>
      <c r="Y2093" s="27">
        <f>Inventory[[#This Row],[MainFn]]+Inventory[[#This Row],[UpprFn]]+Inventory[[#This Row],[FnBsmt]]+Inventory[[#This Row],[AddFn]]</f>
        <v>3300</v>
      </c>
      <c r="Z2093" s="27">
        <v>3500</v>
      </c>
      <c r="AA2093" s="25">
        <v>11</v>
      </c>
      <c r="AB2093" s="27"/>
      <c r="AC2093" s="27"/>
      <c r="AD2093" s="31"/>
      <c r="AE2093" s="27"/>
      <c r="AF2093" s="27"/>
      <c r="AG2093" s="27"/>
      <c r="AH2093" s="27"/>
      <c r="AI2093" s="25">
        <v>398741</v>
      </c>
      <c r="AJ2093" s="25">
        <v>255194</v>
      </c>
      <c r="AK2093" s="25">
        <v>8623</v>
      </c>
      <c r="AL2093" s="25">
        <v>401300</v>
      </c>
      <c r="AM2093" s="25">
        <v>46000</v>
      </c>
      <c r="AN2093" s="25">
        <v>355300</v>
      </c>
      <c r="AO2093" s="25">
        <v>0</v>
      </c>
      <c r="AP2093" s="25">
        <f>Lookups!$B$56*0</f>
        <v>0</v>
      </c>
      <c r="AQ2093" s="25">
        <f>Lookups!$B$56*1</f>
        <v>89850.625589999996</v>
      </c>
      <c r="AR2093" s="25">
        <f>Lookups!$B$57*Inventory[[#This Row],[LnAcres]]</f>
        <v>-62236.546971921947</v>
      </c>
      <c r="AS2093" s="25">
        <f>VLOOKUP(Inventory[[#This Row],[Qlty]],Lookups!$A$62:$E$75,2,FALSE)</f>
        <v>21557.329055999999</v>
      </c>
      <c r="AT2093" s="25">
        <f>VLOOKUP(Inventory[[#This Row],[Cnd]],Lookups!$A$76:$E$84,2,FALSE)</f>
        <v>160472.20319</v>
      </c>
      <c r="AU2093" s="25">
        <f>Inventory[[#This Row],[EffAge]]*Lookups!$B$85</f>
        <v>-12490.553628</v>
      </c>
      <c r="AV2093" s="25">
        <f>Inventory[[#This Row],[MainFn]]*Lookups!$B$86</f>
        <v>65219.444237640004</v>
      </c>
      <c r="AW2093" s="25">
        <f>Inventory[[#This Row],[UpprFn]]*Lookups!$B$87</f>
        <v>29559.03908826</v>
      </c>
      <c r="AX2093" s="25">
        <f>Inventory[[#This Row],[AddFn]]*Lookups!$B$88</f>
        <v>0</v>
      </c>
      <c r="AY2093" s="25">
        <f>Inventory[[#This Row],[Bsmt]]*Lookups!$B$89</f>
        <v>38388.101726039997</v>
      </c>
      <c r="AZ2093" s="25">
        <f>Inventory[[#This Row],[Fixtures]]*Lookups!$B$90</f>
        <v>41712.243157199999</v>
      </c>
      <c r="BA2093" s="25">
        <f>Inventory[[#This Row],[WdDeck]]*Lookups!$B$91</f>
        <v>0</v>
      </c>
      <c r="BB2093" s="25">
        <f>ROUND(Inventory[[#This Row],[25Det]],-2)</f>
        <v>8600</v>
      </c>
      <c r="BC2093" s="25">
        <f>ROUND(SUM(Inventory[[#This Row],[Mdl Qlty]:[Mdl WdDeck]])+Inventory[[#This Row],[Mdl Res Intercept]],-2)</f>
        <v>344400</v>
      </c>
      <c r="BD2093" s="25">
        <f>ROUND(Inventory[[#This Row],[Mdl Land Intercept]]+Inventory[[#This Row],[Mdl LnAcres]],-2)</f>
        <v>27600</v>
      </c>
      <c r="BE2093" s="25">
        <f>Inventory[[#This Row],[Unadj Res Value]]+Inventory[[#This Row],[Unadj Det Value]]+Inventory[[#This Row],[Unadj Land Value]]</f>
        <v>380600</v>
      </c>
      <c r="BF2093" s="36">
        <f>(Inventory[[#This Row],[Unadj Total Value]]-Inventory[[#This Row],[24Final]])/Inventory[[#This Row],[24Final]]</f>
        <v>-5.1582357338649389E-2</v>
      </c>
      <c r="BG2093" s="25">
        <f>VLOOKUP(Inventory[[#This Row],[Nbhd]],Lookups!$Q$2:$T$4,4,FALSE)</f>
        <v>0.99970000000000003</v>
      </c>
      <c r="BH2093" s="25">
        <f>VLOOKUP(Inventory[[#This Row],[Qlty]],Lookups!$O$7:$R$21,4,FALSE)</f>
        <v>1.0067999999999999</v>
      </c>
      <c r="BI2093" s="25">
        <f>VLOOKUP(Inventory[[#This Row],[Cnd]],Lookups!$T$7:$W$16,4,FALSE)</f>
        <v>0.99729999999999996</v>
      </c>
      <c r="BJ2093" s="25">
        <f>VLOOKUP(Inventory[[#This Row],[LivArea Range]],Lookups!$T$25:$W$37,4,FALSE)</f>
        <v>1.0126999999999999</v>
      </c>
      <c r="BK2093" s="25">
        <f>VLOOKUP(Inventory[[#This Row],[Decade]],Lookups!$O$25:$R$42,4,FALSE)</f>
        <v>1.0074000000000001</v>
      </c>
      <c r="BL2093" s="25">
        <f>Inventory[[#This Row],[Nbhd Adj]]*0.95</f>
        <v>0.94971499999999998</v>
      </c>
      <c r="BM2093" s="25">
        <f>Inventory[[#This Row],[Nbhd Adj]]*Inventory[[#This Row],[Quality Adj]]*Inventory[[#This Row],[Condition Adj]]*Inventory[[#This Row],[Living Area Adj]]*Inventory[[#This Row],[Decade Adj]]*0.95</f>
        <v>0.97284820028600216</v>
      </c>
      <c r="BN2093" s="25">
        <f>ROUND(SUM(Inventory[[#This Row],[Mdl Qlty]:[Mdl WdDeck]])+Inventory[[#This Row],[Mdl Res Intercept]]*Inventory[[#This Row],[Res Adj ]],-2)</f>
        <v>344400</v>
      </c>
      <c r="BO2093" s="25">
        <f>ROUND(Inventory[[#This Row],[25Det]]*Inventory[[#This Row],[Det/Nbhd Adj]],-2)</f>
        <v>8200</v>
      </c>
      <c r="BP2093" s="25">
        <f>Inventory[[#This Row],[Adjusted Res]]+Inventory[[#This Row],[Adj Det ]]</f>
        <v>352600</v>
      </c>
      <c r="BQ2093" s="25">
        <f>ROUND((Inventory[[#This Row],[Mdl Land Intercept]]+Inventory[[#This Row],[Mdl LnAcres]])*Inventory[[#This Row],[Det/Nbhd Adj]],-2)</f>
        <v>26200</v>
      </c>
      <c r="BR2093" s="25">
        <f>Inventory[[#This Row],[Adjusted Impr Total]]+Inventory[[#This Row],[Adjusted Land Total]]</f>
        <v>378800</v>
      </c>
      <c r="BS2093" s="36">
        <f>IFERROR((Inventory[[#This Row],[Adjusted Impr Total]]-Inventory[[#This Row],[24Bldg]])/Inventory[[#This Row],[24Bldg]],0)</f>
        <v>-7.5992119335772587E-3</v>
      </c>
      <c r="BT2093" s="36">
        <f>(Inventory[[#This Row],[Adjusted Land Total]]-Inventory[[#This Row],[24Lnd]])/Inventory[[#This Row],[24Lnd]]</f>
        <v>-0.43043478260869567</v>
      </c>
      <c r="BU2093" s="36">
        <f>(Inventory[[#This Row],[Adjusted Total]]-Inventory[[#This Row],[24Final]])/Inventory[[#This Row],[24Final]]</f>
        <v>-5.6067779715923249E-2</v>
      </c>
    </row>
    <row r="2094" spans="1:73" x14ac:dyDescent="0.3">
      <c r="A2094" s="25">
        <v>2025</v>
      </c>
      <c r="B2094" s="26" t="s">
        <v>1483</v>
      </c>
      <c r="C2094" s="26">
        <f>LN(Inventory[[#This Row],[Acres]])</f>
        <v>-1.7719568419318752</v>
      </c>
      <c r="D2094" s="25">
        <v>0.17</v>
      </c>
      <c r="E2094" s="25">
        <v>7386</v>
      </c>
      <c r="F2094" s="26" t="s">
        <v>537</v>
      </c>
      <c r="G2094" s="26" t="s">
        <v>126</v>
      </c>
      <c r="H2094" s="26" t="s">
        <v>349</v>
      </c>
      <c r="I2094" s="26" t="s">
        <v>538</v>
      </c>
      <c r="J2094" s="26" t="s">
        <v>638</v>
      </c>
      <c r="K2094" s="26" t="s">
        <v>242</v>
      </c>
      <c r="L2094" s="26" t="s">
        <v>31</v>
      </c>
      <c r="M2094" s="26" t="s">
        <v>323</v>
      </c>
      <c r="N2094" s="26">
        <v>100</v>
      </c>
      <c r="O2094" s="26">
        <f>2024-Inventory[[#This Row],[YrBlt]]</f>
        <v>99</v>
      </c>
      <c r="P2094" s="26">
        <f>2024-Inventory[[#This Row],[EffYr]]</f>
        <v>56</v>
      </c>
      <c r="Q2094" s="25">
        <v>1925</v>
      </c>
      <c r="R2094" s="25">
        <v>1968</v>
      </c>
      <c r="S2094" s="25">
        <v>590</v>
      </c>
      <c r="T2094" s="27"/>
      <c r="U2094" s="27"/>
      <c r="V2094" s="27">
        <f>Inventory[[#This Row],[Bsmt]]-Inventory[[#This Row],[FnBsmt]]</f>
        <v>0</v>
      </c>
      <c r="W2094" s="27"/>
      <c r="X2094" s="27"/>
      <c r="Y2094" s="27">
        <f>Inventory[[#This Row],[MainFn]]+Inventory[[#This Row],[UpprFn]]+Inventory[[#This Row],[FnBsmt]]+Inventory[[#This Row],[AddFn]]</f>
        <v>590</v>
      </c>
      <c r="Z2094" s="27">
        <v>1000</v>
      </c>
      <c r="AA2094" s="25">
        <v>5</v>
      </c>
      <c r="AB2094" s="27"/>
      <c r="AC2094" s="27"/>
      <c r="AD2094" s="32">
        <v>288</v>
      </c>
      <c r="AE2094" s="27"/>
      <c r="AF2094" s="27"/>
      <c r="AG2094" s="27"/>
      <c r="AH2094" s="27"/>
      <c r="AI2094" s="25">
        <v>93453</v>
      </c>
      <c r="AJ2094" s="25">
        <v>59810</v>
      </c>
      <c r="AK2094" s="25">
        <v>12692</v>
      </c>
      <c r="AL2094" s="25">
        <v>221000</v>
      </c>
      <c r="AM2094" s="25">
        <v>52700</v>
      </c>
      <c r="AN2094" s="25">
        <v>168300</v>
      </c>
      <c r="AO2094" s="25">
        <v>0</v>
      </c>
      <c r="AP2094" s="25">
        <f>Lookups!$B$56*0</f>
        <v>0</v>
      </c>
      <c r="AQ2094" s="25">
        <f>Lookups!$B$56*1</f>
        <v>89850.625589999996</v>
      </c>
      <c r="AR2094" s="25">
        <f>Lookups!$B$57*Inventory[[#This Row],[LnAcres]]</f>
        <v>-56090.612940989391</v>
      </c>
      <c r="AS2094" s="25">
        <f>VLOOKUP(Inventory[[#This Row],[Qlty]],Lookups!$A$62:$E$75,2,FALSE)</f>
        <v>-43578.886190266698</v>
      </c>
      <c r="AT2094" s="25">
        <f>VLOOKUP(Inventory[[#This Row],[Cnd]],Lookups!$A$76:$E$84,2,FALSE)</f>
        <v>160472.20319</v>
      </c>
      <c r="AU2094" s="25">
        <f>Inventory[[#This Row],[EffAge]]*Lookups!$B$85</f>
        <v>-12490.553628</v>
      </c>
      <c r="AV2094" s="25">
        <f>Inventory[[#This Row],[MainFn]]*Lookups!$B$86</f>
        <v>29151.11522743</v>
      </c>
      <c r="AW2094" s="25">
        <f>Inventory[[#This Row],[UpprFn]]*Lookups!$B$87</f>
        <v>0</v>
      </c>
      <c r="AX2094" s="25">
        <f>Inventory[[#This Row],[AddFn]]*Lookups!$B$88</f>
        <v>0</v>
      </c>
      <c r="AY2094" s="25">
        <f>Inventory[[#This Row],[Bsmt]]*Lookups!$B$89</f>
        <v>0</v>
      </c>
      <c r="AZ2094" s="25">
        <f>Inventory[[#This Row],[Fixtures]]*Lookups!$B$90</f>
        <v>18960.110526</v>
      </c>
      <c r="BA2094" s="25">
        <f>Inventory[[#This Row],[WdDeck]]*Lookups!$B$91</f>
        <v>9589.1083994880009</v>
      </c>
      <c r="BB2094" s="25">
        <f>ROUND(Inventory[[#This Row],[25Det]],-2)</f>
        <v>12700</v>
      </c>
      <c r="BC2094" s="25">
        <f>ROUND(SUM(Inventory[[#This Row],[Mdl Qlty]:[Mdl WdDeck]])+Inventory[[#This Row],[Mdl Res Intercept]],-2)</f>
        <v>162100</v>
      </c>
      <c r="BD2094" s="25">
        <f>ROUND(Inventory[[#This Row],[Mdl Land Intercept]]+Inventory[[#This Row],[Mdl LnAcres]],-2)</f>
        <v>33800</v>
      </c>
      <c r="BE2094" s="25">
        <f>Inventory[[#This Row],[Unadj Res Value]]+Inventory[[#This Row],[Unadj Det Value]]+Inventory[[#This Row],[Unadj Land Value]]</f>
        <v>208600</v>
      </c>
      <c r="BF2094" s="36">
        <f>(Inventory[[#This Row],[Unadj Total Value]]-Inventory[[#This Row],[24Final]])/Inventory[[#This Row],[24Final]]</f>
        <v>-5.6108597285067875E-2</v>
      </c>
      <c r="BG2094" s="25">
        <f>VLOOKUP(Inventory[[#This Row],[Nbhd]],Lookups!$Q$2:$T$4,4,FALSE)</f>
        <v>0.99970000000000003</v>
      </c>
      <c r="BH2094" s="25">
        <f>VLOOKUP(Inventory[[#This Row],[Qlty]],Lookups!$O$7:$R$21,4,FALSE)</f>
        <v>1</v>
      </c>
      <c r="BI2094" s="25">
        <f>VLOOKUP(Inventory[[#This Row],[Cnd]],Lookups!$T$7:$W$16,4,FALSE)</f>
        <v>0.99729999999999996</v>
      </c>
      <c r="BJ2094" s="25">
        <f>VLOOKUP(Inventory[[#This Row],[LivArea Range]],Lookups!$T$25:$W$37,4,FALSE)</f>
        <v>1.0148999999999999</v>
      </c>
      <c r="BK2094" s="25">
        <f>VLOOKUP(Inventory[[#This Row],[Decade]],Lookups!$O$25:$R$42,4,FALSE)</f>
        <v>1.0074000000000001</v>
      </c>
      <c r="BL2094" s="25">
        <f>Inventory[[#This Row],[Nbhd Adj]]*0.95</f>
        <v>0.94971499999999998</v>
      </c>
      <c r="BM2094" s="25">
        <f>Inventory[[#This Row],[Nbhd Adj]]*Inventory[[#This Row],[Quality Adj]]*Inventory[[#This Row],[Condition Adj]]*Inventory[[#This Row],[Living Area Adj]]*Inventory[[#This Row],[Decade Adj]]*0.95</f>
        <v>0.96837666450369497</v>
      </c>
      <c r="BN2094" s="25">
        <f>ROUND(SUM(Inventory[[#This Row],[Mdl Qlty]:[Mdl WdDeck]])+Inventory[[#This Row],[Mdl Res Intercept]]*Inventory[[#This Row],[Res Adj ]],-2)</f>
        <v>162100</v>
      </c>
      <c r="BO2094" s="25">
        <f>ROUND(Inventory[[#This Row],[25Det]]*Inventory[[#This Row],[Det/Nbhd Adj]],-2)</f>
        <v>12100</v>
      </c>
      <c r="BP2094" s="25">
        <f>Inventory[[#This Row],[Adjusted Res]]+Inventory[[#This Row],[Adj Det ]]</f>
        <v>174200</v>
      </c>
      <c r="BQ2094" s="25">
        <f>ROUND((Inventory[[#This Row],[Mdl Land Intercept]]+Inventory[[#This Row],[Mdl LnAcres]])*Inventory[[#This Row],[Det/Nbhd Adj]],-2)</f>
        <v>32100</v>
      </c>
      <c r="BR2094" s="25">
        <f>Inventory[[#This Row],[Adjusted Impr Total]]+Inventory[[#This Row],[Adjusted Land Total]]</f>
        <v>206300</v>
      </c>
      <c r="BS2094" s="36">
        <f>IFERROR((Inventory[[#This Row],[Adjusted Impr Total]]-Inventory[[#This Row],[24Bldg]])/Inventory[[#This Row],[24Bldg]],0)</f>
        <v>3.5056446821152706E-2</v>
      </c>
      <c r="BT2094" s="36">
        <f>(Inventory[[#This Row],[Adjusted Land Total]]-Inventory[[#This Row],[24Lnd]])/Inventory[[#This Row],[24Lnd]]</f>
        <v>-0.39089184060721061</v>
      </c>
      <c r="BU2094" s="36">
        <f>(Inventory[[#This Row],[Adjusted Total]]-Inventory[[#This Row],[24Final]])/Inventory[[#This Row],[24Final]]</f>
        <v>-6.6515837104072398E-2</v>
      </c>
    </row>
    <row r="2095" spans="1:73" x14ac:dyDescent="0.3">
      <c r="A2095" s="25">
        <v>2025</v>
      </c>
      <c r="B2095" s="26" t="s">
        <v>2420</v>
      </c>
      <c r="C2095" s="26">
        <f>LN(Inventory[[#This Row],[Acres]])</f>
        <v>-1.8971199848858813</v>
      </c>
      <c r="D2095" s="25">
        <v>0.15</v>
      </c>
      <c r="E2095" s="31"/>
      <c r="F2095" s="26" t="s">
        <v>537</v>
      </c>
      <c r="G2095" s="26" t="s">
        <v>126</v>
      </c>
      <c r="H2095" s="26" t="s">
        <v>349</v>
      </c>
      <c r="I2095" s="26" t="s">
        <v>538</v>
      </c>
      <c r="J2095" s="26" t="s">
        <v>539</v>
      </c>
      <c r="K2095" s="26" t="s">
        <v>242</v>
      </c>
      <c r="L2095" s="26" t="s">
        <v>31</v>
      </c>
      <c r="M2095" s="26" t="s">
        <v>323</v>
      </c>
      <c r="N2095" s="26">
        <v>100</v>
      </c>
      <c r="O2095" s="26">
        <f>2024-Inventory[[#This Row],[YrBlt]]</f>
        <v>99</v>
      </c>
      <c r="P2095" s="26">
        <f>2024-Inventory[[#This Row],[EffYr]]</f>
        <v>56</v>
      </c>
      <c r="Q2095" s="25">
        <v>1925</v>
      </c>
      <c r="R2095" s="25">
        <v>1968</v>
      </c>
      <c r="S2095" s="25">
        <v>748</v>
      </c>
      <c r="T2095" s="27"/>
      <c r="U2095" s="31"/>
      <c r="V2095" s="31">
        <f>Inventory[[#This Row],[Bsmt]]-Inventory[[#This Row],[FnBsmt]]</f>
        <v>0</v>
      </c>
      <c r="W2095" s="31"/>
      <c r="X2095" s="27"/>
      <c r="Y2095" s="27">
        <f>Inventory[[#This Row],[MainFn]]+Inventory[[#This Row],[UpprFn]]+Inventory[[#This Row],[FnBsmt]]+Inventory[[#This Row],[AddFn]]</f>
        <v>748</v>
      </c>
      <c r="Z2095" s="27">
        <v>1000</v>
      </c>
      <c r="AA2095" s="25">
        <v>5</v>
      </c>
      <c r="AB2095" s="27"/>
      <c r="AC2095" s="27"/>
      <c r="AD2095" s="31"/>
      <c r="AE2095" s="27"/>
      <c r="AF2095" s="27"/>
      <c r="AG2095" s="27"/>
      <c r="AH2095" s="27"/>
      <c r="AI2095" s="25">
        <v>108859</v>
      </c>
      <c r="AJ2095" s="25">
        <v>69670</v>
      </c>
      <c r="AK2095" s="25">
        <v>0</v>
      </c>
      <c r="AL2095" s="25">
        <v>214100</v>
      </c>
      <c r="AM2095" s="25">
        <v>48400</v>
      </c>
      <c r="AN2095" s="25">
        <v>165700</v>
      </c>
      <c r="AO2095" s="25">
        <v>0</v>
      </c>
      <c r="AP2095" s="25">
        <f>Lookups!$B$56*0</f>
        <v>0</v>
      </c>
      <c r="AQ2095" s="25">
        <f>Lookups!$B$56*1</f>
        <v>89850.625589999996</v>
      </c>
      <c r="AR2095" s="25">
        <f>Lookups!$B$57*Inventory[[#This Row],[LnAcres]]</f>
        <v>-60052.604136134301</v>
      </c>
      <c r="AS2095" s="25">
        <f>VLOOKUP(Inventory[[#This Row],[Qlty]],Lookups!$A$62:$E$75,2,FALSE)</f>
        <v>-43578.886190266698</v>
      </c>
      <c r="AT2095" s="25">
        <f>VLOOKUP(Inventory[[#This Row],[Cnd]],Lookups!$A$76:$E$84,2,FALSE)</f>
        <v>160472.20319</v>
      </c>
      <c r="AU2095" s="25">
        <f>Inventory[[#This Row],[EffAge]]*Lookups!$B$85</f>
        <v>-12490.553628</v>
      </c>
      <c r="AV2095" s="25">
        <f>Inventory[[#This Row],[MainFn]]*Lookups!$B$86</f>
        <v>36957.685067996004</v>
      </c>
      <c r="AW2095" s="25">
        <f>Inventory[[#This Row],[UpprFn]]*Lookups!$B$87</f>
        <v>0</v>
      </c>
      <c r="AX2095" s="25">
        <f>Inventory[[#This Row],[AddFn]]*Lookups!$B$88</f>
        <v>0</v>
      </c>
      <c r="AY2095" s="25">
        <f>Inventory[[#This Row],[Bsmt]]*Lookups!$B$89</f>
        <v>0</v>
      </c>
      <c r="AZ2095" s="25">
        <f>Inventory[[#This Row],[Fixtures]]*Lookups!$B$90</f>
        <v>18960.110526</v>
      </c>
      <c r="BA2095" s="25">
        <f>Inventory[[#This Row],[WdDeck]]*Lookups!$B$91</f>
        <v>0</v>
      </c>
      <c r="BB2095" s="25">
        <f>ROUND(Inventory[[#This Row],[25Det]],-2)</f>
        <v>0</v>
      </c>
      <c r="BC2095" s="25">
        <f>ROUND(SUM(Inventory[[#This Row],[Mdl Qlty]:[Mdl WdDeck]])+Inventory[[#This Row],[Mdl Res Intercept]],-2)</f>
        <v>160300</v>
      </c>
      <c r="BD2095" s="25">
        <f>ROUND(Inventory[[#This Row],[Mdl Land Intercept]]+Inventory[[#This Row],[Mdl LnAcres]],-2)</f>
        <v>29800</v>
      </c>
      <c r="BE2095" s="25">
        <f>Inventory[[#This Row],[Unadj Res Value]]+Inventory[[#This Row],[Unadj Det Value]]+Inventory[[#This Row],[Unadj Land Value]]</f>
        <v>190100</v>
      </c>
      <c r="BF2095" s="36">
        <f>(Inventory[[#This Row],[Unadj Total Value]]-Inventory[[#This Row],[24Final]])/Inventory[[#This Row],[24Final]]</f>
        <v>-0.1120971508640822</v>
      </c>
      <c r="BG2095" s="25">
        <f>VLOOKUP(Inventory[[#This Row],[Nbhd]],Lookups!$Q$2:$T$4,4,FALSE)</f>
        <v>0.99970000000000003</v>
      </c>
      <c r="BH2095" s="25">
        <f>VLOOKUP(Inventory[[#This Row],[Qlty]],Lookups!$O$7:$R$21,4,FALSE)</f>
        <v>1</v>
      </c>
      <c r="BI2095" s="25">
        <f>VLOOKUP(Inventory[[#This Row],[Cnd]],Lookups!$T$7:$W$16,4,FALSE)</f>
        <v>0.99729999999999996</v>
      </c>
      <c r="BJ2095" s="25">
        <f>VLOOKUP(Inventory[[#This Row],[LivArea Range]],Lookups!$T$25:$W$37,4,FALSE)</f>
        <v>1.0148999999999999</v>
      </c>
      <c r="BK2095" s="25">
        <f>VLOOKUP(Inventory[[#This Row],[Decade]],Lookups!$O$25:$R$42,4,FALSE)</f>
        <v>1.0074000000000001</v>
      </c>
      <c r="BL2095" s="25">
        <f>Inventory[[#This Row],[Nbhd Adj]]*0.95</f>
        <v>0.94971499999999998</v>
      </c>
      <c r="BM2095" s="25">
        <f>Inventory[[#This Row],[Nbhd Adj]]*Inventory[[#This Row],[Quality Adj]]*Inventory[[#This Row],[Condition Adj]]*Inventory[[#This Row],[Living Area Adj]]*Inventory[[#This Row],[Decade Adj]]*0.95</f>
        <v>0.96837666450369497</v>
      </c>
      <c r="BN2095" s="25">
        <f>ROUND(SUM(Inventory[[#This Row],[Mdl Qlty]:[Mdl WdDeck]])+Inventory[[#This Row],[Mdl Res Intercept]]*Inventory[[#This Row],[Res Adj ]],-2)</f>
        <v>160300</v>
      </c>
      <c r="BO2095" s="25">
        <f>ROUND(Inventory[[#This Row],[25Det]]*Inventory[[#This Row],[Det/Nbhd Adj]],-2)</f>
        <v>0</v>
      </c>
      <c r="BP2095" s="25">
        <f>Inventory[[#This Row],[Adjusted Res]]+Inventory[[#This Row],[Adj Det ]]</f>
        <v>160300</v>
      </c>
      <c r="BQ2095" s="25">
        <f>ROUND((Inventory[[#This Row],[Mdl Land Intercept]]+Inventory[[#This Row],[Mdl LnAcres]])*Inventory[[#This Row],[Det/Nbhd Adj]],-2)</f>
        <v>28300</v>
      </c>
      <c r="BR2095" s="25">
        <f>Inventory[[#This Row],[Adjusted Impr Total]]+Inventory[[#This Row],[Adjusted Land Total]]</f>
        <v>188600</v>
      </c>
      <c r="BS2095" s="36">
        <f>IFERROR((Inventory[[#This Row],[Adjusted Impr Total]]-Inventory[[#This Row],[24Bldg]])/Inventory[[#This Row],[24Bldg]],0)</f>
        <v>-3.2589016294508145E-2</v>
      </c>
      <c r="BT2095" s="36">
        <f>(Inventory[[#This Row],[Adjusted Land Total]]-Inventory[[#This Row],[24Lnd]])/Inventory[[#This Row],[24Lnd]]</f>
        <v>-0.41528925619834711</v>
      </c>
      <c r="BU2095" s="36">
        <f>(Inventory[[#This Row],[Adjusted Total]]-Inventory[[#This Row],[24Final]])/Inventory[[#This Row],[24Final]]</f>
        <v>-0.11910322279308734</v>
      </c>
    </row>
    <row r="2096" spans="1:73" x14ac:dyDescent="0.3">
      <c r="A2096" s="25">
        <v>2025</v>
      </c>
      <c r="B2096" s="26" t="s">
        <v>1715</v>
      </c>
      <c r="C2096" s="26">
        <f>LN(Inventory[[#This Row],[Acres]])</f>
        <v>-1.6094379124341003</v>
      </c>
      <c r="D2096" s="25">
        <v>0.2</v>
      </c>
      <c r="E2096" s="32">
        <v>8623</v>
      </c>
      <c r="F2096" s="26" t="s">
        <v>537</v>
      </c>
      <c r="G2096" s="26" t="s">
        <v>126</v>
      </c>
      <c r="H2096" s="26" t="s">
        <v>349</v>
      </c>
      <c r="I2096" s="26" t="s">
        <v>538</v>
      </c>
      <c r="J2096" s="26" t="s">
        <v>539</v>
      </c>
      <c r="K2096" s="26" t="s">
        <v>242</v>
      </c>
      <c r="L2096" s="26" t="s">
        <v>31</v>
      </c>
      <c r="M2096" s="26" t="s">
        <v>323</v>
      </c>
      <c r="N2096" s="26">
        <v>100</v>
      </c>
      <c r="O2096" s="26">
        <f>2024-Inventory[[#This Row],[YrBlt]]</f>
        <v>99</v>
      </c>
      <c r="P2096" s="26">
        <f>2024-Inventory[[#This Row],[EffYr]]</f>
        <v>56</v>
      </c>
      <c r="Q2096" s="25">
        <v>1925</v>
      </c>
      <c r="R2096" s="25">
        <v>1968</v>
      </c>
      <c r="S2096" s="25">
        <v>728</v>
      </c>
      <c r="T2096" s="27"/>
      <c r="U2096" s="31"/>
      <c r="V2096" s="31">
        <f>Inventory[[#This Row],[Bsmt]]-Inventory[[#This Row],[FnBsmt]]</f>
        <v>0</v>
      </c>
      <c r="W2096" s="31"/>
      <c r="X2096" s="27"/>
      <c r="Y2096" s="27">
        <f>Inventory[[#This Row],[MainFn]]+Inventory[[#This Row],[UpprFn]]+Inventory[[#This Row],[FnBsmt]]+Inventory[[#This Row],[AddFn]]</f>
        <v>728</v>
      </c>
      <c r="Z2096" s="27">
        <v>1000</v>
      </c>
      <c r="AA2096" s="25">
        <v>5</v>
      </c>
      <c r="AB2096" s="31"/>
      <c r="AC2096" s="27"/>
      <c r="AD2096" s="27"/>
      <c r="AE2096" s="27"/>
      <c r="AF2096" s="27"/>
      <c r="AG2096" s="27"/>
      <c r="AH2096" s="27"/>
      <c r="AI2096" s="25">
        <v>103440</v>
      </c>
      <c r="AJ2096" s="25">
        <v>66202</v>
      </c>
      <c r="AK2096" s="25">
        <v>0</v>
      </c>
      <c r="AL2096" s="25">
        <v>223000</v>
      </c>
      <c r="AM2096" s="25">
        <v>58400</v>
      </c>
      <c r="AN2096" s="25">
        <v>164600</v>
      </c>
      <c r="AO2096" s="25">
        <v>0</v>
      </c>
      <c r="AP2096" s="25">
        <f>Lookups!$B$56*0</f>
        <v>0</v>
      </c>
      <c r="AQ2096" s="25">
        <f>Lookups!$B$56*1</f>
        <v>89850.625589999996</v>
      </c>
      <c r="AR2096" s="25">
        <f>Lookups!$B$57*Inventory[[#This Row],[LnAcres]]</f>
        <v>-50946.13867709865</v>
      </c>
      <c r="AS2096" s="25">
        <f>VLOOKUP(Inventory[[#This Row],[Qlty]],Lookups!$A$62:$E$75,2,FALSE)</f>
        <v>-43578.886190266698</v>
      </c>
      <c r="AT2096" s="25">
        <f>VLOOKUP(Inventory[[#This Row],[Cnd]],Lookups!$A$76:$E$84,2,FALSE)</f>
        <v>160472.20319</v>
      </c>
      <c r="AU2096" s="25">
        <f>Inventory[[#This Row],[EffAge]]*Lookups!$B$85</f>
        <v>-12490.553628</v>
      </c>
      <c r="AV2096" s="25">
        <f>Inventory[[#This Row],[MainFn]]*Lookups!$B$86</f>
        <v>35969.511670455999</v>
      </c>
      <c r="AW2096" s="25">
        <f>Inventory[[#This Row],[UpprFn]]*Lookups!$B$87</f>
        <v>0</v>
      </c>
      <c r="AX2096" s="25">
        <f>Inventory[[#This Row],[AddFn]]*Lookups!$B$88</f>
        <v>0</v>
      </c>
      <c r="AY2096" s="25">
        <f>Inventory[[#This Row],[Bsmt]]*Lookups!$B$89</f>
        <v>0</v>
      </c>
      <c r="AZ2096" s="25">
        <f>Inventory[[#This Row],[Fixtures]]*Lookups!$B$90</f>
        <v>18960.110526</v>
      </c>
      <c r="BA2096" s="25">
        <f>Inventory[[#This Row],[WdDeck]]*Lookups!$B$91</f>
        <v>0</v>
      </c>
      <c r="BB2096" s="25">
        <f>ROUND(Inventory[[#This Row],[25Det]],-2)</f>
        <v>0</v>
      </c>
      <c r="BC2096" s="25">
        <f>ROUND(SUM(Inventory[[#This Row],[Mdl Qlty]:[Mdl WdDeck]])+Inventory[[#This Row],[Mdl Res Intercept]],-2)</f>
        <v>159300</v>
      </c>
      <c r="BD2096" s="25">
        <f>ROUND(Inventory[[#This Row],[Mdl Land Intercept]]+Inventory[[#This Row],[Mdl LnAcres]],-2)</f>
        <v>38900</v>
      </c>
      <c r="BE2096" s="25">
        <f>Inventory[[#This Row],[Unadj Res Value]]+Inventory[[#This Row],[Unadj Det Value]]+Inventory[[#This Row],[Unadj Land Value]]</f>
        <v>198200</v>
      </c>
      <c r="BF2096" s="36">
        <f>(Inventory[[#This Row],[Unadj Total Value]]-Inventory[[#This Row],[24Final]])/Inventory[[#This Row],[24Final]]</f>
        <v>-0.11121076233183856</v>
      </c>
      <c r="BG2096" s="25">
        <f>VLOOKUP(Inventory[[#This Row],[Nbhd]],Lookups!$Q$2:$T$4,4,FALSE)</f>
        <v>0.99970000000000003</v>
      </c>
      <c r="BH2096" s="25">
        <f>VLOOKUP(Inventory[[#This Row],[Qlty]],Lookups!$O$7:$R$21,4,FALSE)</f>
        <v>1</v>
      </c>
      <c r="BI2096" s="25">
        <f>VLOOKUP(Inventory[[#This Row],[Cnd]],Lookups!$T$7:$W$16,4,FALSE)</f>
        <v>0.99729999999999996</v>
      </c>
      <c r="BJ2096" s="25">
        <f>VLOOKUP(Inventory[[#This Row],[LivArea Range]],Lookups!$T$25:$W$37,4,FALSE)</f>
        <v>1.0148999999999999</v>
      </c>
      <c r="BK2096" s="25">
        <f>VLOOKUP(Inventory[[#This Row],[Decade]],Lookups!$O$25:$R$42,4,FALSE)</f>
        <v>1.0074000000000001</v>
      </c>
      <c r="BL2096" s="25">
        <f>Inventory[[#This Row],[Nbhd Adj]]*0.95</f>
        <v>0.94971499999999998</v>
      </c>
      <c r="BM2096" s="25">
        <f>Inventory[[#This Row],[Nbhd Adj]]*Inventory[[#This Row],[Quality Adj]]*Inventory[[#This Row],[Condition Adj]]*Inventory[[#This Row],[Living Area Adj]]*Inventory[[#This Row],[Decade Adj]]*0.95</f>
        <v>0.96837666450369497</v>
      </c>
      <c r="BN2096" s="25">
        <f>ROUND(SUM(Inventory[[#This Row],[Mdl Qlty]:[Mdl WdDeck]])+Inventory[[#This Row],[Mdl Res Intercept]]*Inventory[[#This Row],[Res Adj ]],-2)</f>
        <v>159300</v>
      </c>
      <c r="BO2096" s="25">
        <f>ROUND(Inventory[[#This Row],[25Det]]*Inventory[[#This Row],[Det/Nbhd Adj]],-2)</f>
        <v>0</v>
      </c>
      <c r="BP2096" s="25">
        <f>Inventory[[#This Row],[Adjusted Res]]+Inventory[[#This Row],[Adj Det ]]</f>
        <v>159300</v>
      </c>
      <c r="BQ2096" s="25">
        <f>ROUND((Inventory[[#This Row],[Mdl Land Intercept]]+Inventory[[#This Row],[Mdl LnAcres]])*Inventory[[#This Row],[Det/Nbhd Adj]],-2)</f>
        <v>36900</v>
      </c>
      <c r="BR2096" s="25">
        <f>Inventory[[#This Row],[Adjusted Impr Total]]+Inventory[[#This Row],[Adjusted Land Total]]</f>
        <v>196200</v>
      </c>
      <c r="BS2096" s="36">
        <f>IFERROR((Inventory[[#This Row],[Adjusted Impr Total]]-Inventory[[#This Row],[24Bldg]])/Inventory[[#This Row],[24Bldg]],0)</f>
        <v>-3.2199270959902791E-2</v>
      </c>
      <c r="BT2096" s="36">
        <f>(Inventory[[#This Row],[Adjusted Land Total]]-Inventory[[#This Row],[24Lnd]])/Inventory[[#This Row],[24Lnd]]</f>
        <v>-0.36815068493150682</v>
      </c>
      <c r="BU2096" s="36">
        <f>(Inventory[[#This Row],[Adjusted Total]]-Inventory[[#This Row],[24Final]])/Inventory[[#This Row],[24Final]]</f>
        <v>-0.12017937219730941</v>
      </c>
    </row>
    <row r="2097" spans="1:73" x14ac:dyDescent="0.3">
      <c r="A2097" s="25">
        <v>2025</v>
      </c>
      <c r="B2097" s="26" t="s">
        <v>2896</v>
      </c>
      <c r="C2097" s="26">
        <f>LN(Inventory[[#This Row],[Acres]])</f>
        <v>-2.120263536200091</v>
      </c>
      <c r="D2097" s="25">
        <v>0.12</v>
      </c>
      <c r="E2097" s="31"/>
      <c r="F2097" s="26" t="s">
        <v>537</v>
      </c>
      <c r="G2097" s="26" t="s">
        <v>126</v>
      </c>
      <c r="H2097" s="26" t="s">
        <v>349</v>
      </c>
      <c r="I2097" s="26" t="s">
        <v>538</v>
      </c>
      <c r="J2097" s="26" t="s">
        <v>539</v>
      </c>
      <c r="K2097" s="26" t="s">
        <v>242</v>
      </c>
      <c r="L2097" s="26" t="s">
        <v>31</v>
      </c>
      <c r="M2097" s="26" t="s">
        <v>323</v>
      </c>
      <c r="N2097" s="26">
        <v>100</v>
      </c>
      <c r="O2097" s="26">
        <f>2024-Inventory[[#This Row],[YrBlt]]</f>
        <v>99</v>
      </c>
      <c r="P2097" s="26">
        <f>2024-Inventory[[#This Row],[EffYr]]</f>
        <v>56</v>
      </c>
      <c r="Q2097" s="25">
        <v>1925</v>
      </c>
      <c r="R2097" s="25">
        <v>1968</v>
      </c>
      <c r="S2097" s="25">
        <v>630</v>
      </c>
      <c r="T2097" s="27"/>
      <c r="U2097" s="31"/>
      <c r="V2097" s="27">
        <f>Inventory[[#This Row],[Bsmt]]-Inventory[[#This Row],[FnBsmt]]</f>
        <v>0</v>
      </c>
      <c r="W2097" s="27"/>
      <c r="X2097" s="27"/>
      <c r="Y2097" s="27">
        <f>Inventory[[#This Row],[MainFn]]+Inventory[[#This Row],[UpprFn]]+Inventory[[#This Row],[FnBsmt]]+Inventory[[#This Row],[AddFn]]</f>
        <v>630</v>
      </c>
      <c r="Z2097" s="27">
        <v>1000</v>
      </c>
      <c r="AA2097" s="25">
        <v>6</v>
      </c>
      <c r="AB2097" s="31"/>
      <c r="AC2097" s="27"/>
      <c r="AD2097" s="27"/>
      <c r="AE2097" s="27"/>
      <c r="AF2097" s="27"/>
      <c r="AG2097" s="27"/>
      <c r="AH2097" s="27"/>
      <c r="AI2097" s="25">
        <v>97994</v>
      </c>
      <c r="AJ2097" s="25">
        <v>62716</v>
      </c>
      <c r="AK2097" s="25">
        <v>0</v>
      </c>
      <c r="AL2097" s="25">
        <v>206500</v>
      </c>
      <c r="AM2097" s="25">
        <v>40600</v>
      </c>
      <c r="AN2097" s="25">
        <v>165900</v>
      </c>
      <c r="AO2097" s="25">
        <v>0</v>
      </c>
      <c r="AP2097" s="25">
        <f>Lookups!$B$56*0</f>
        <v>0</v>
      </c>
      <c r="AQ2097" s="25">
        <f>Lookups!$B$56*1</f>
        <v>89850.625589999996</v>
      </c>
      <c r="AR2097" s="25">
        <f>Lookups!$B$57*Inventory[[#This Row],[LnAcres]]</f>
        <v>-67116.12750806773</v>
      </c>
      <c r="AS2097" s="25">
        <f>VLOOKUP(Inventory[[#This Row],[Qlty]],Lookups!$A$62:$E$75,2,FALSE)</f>
        <v>-43578.886190266698</v>
      </c>
      <c r="AT2097" s="25">
        <f>VLOOKUP(Inventory[[#This Row],[Cnd]],Lookups!$A$76:$E$84,2,FALSE)</f>
        <v>160472.20319</v>
      </c>
      <c r="AU2097" s="25">
        <f>Inventory[[#This Row],[EffAge]]*Lookups!$B$85</f>
        <v>-12490.553628</v>
      </c>
      <c r="AV2097" s="25">
        <f>Inventory[[#This Row],[MainFn]]*Lookups!$B$86</f>
        <v>31127.462022510001</v>
      </c>
      <c r="AW2097" s="25">
        <f>Inventory[[#This Row],[UpprFn]]*Lookups!$B$87</f>
        <v>0</v>
      </c>
      <c r="AX2097" s="25">
        <f>Inventory[[#This Row],[AddFn]]*Lookups!$B$88</f>
        <v>0</v>
      </c>
      <c r="AY2097" s="25">
        <f>Inventory[[#This Row],[Bsmt]]*Lookups!$B$89</f>
        <v>0</v>
      </c>
      <c r="AZ2097" s="25">
        <f>Inventory[[#This Row],[Fixtures]]*Lookups!$B$90</f>
        <v>22752.132631200002</v>
      </c>
      <c r="BA2097" s="25">
        <f>Inventory[[#This Row],[WdDeck]]*Lookups!$B$91</f>
        <v>0</v>
      </c>
      <c r="BB2097" s="25">
        <f>ROUND(Inventory[[#This Row],[25Det]],-2)</f>
        <v>0</v>
      </c>
      <c r="BC2097" s="25">
        <f>ROUND(SUM(Inventory[[#This Row],[Mdl Qlty]:[Mdl WdDeck]])+Inventory[[#This Row],[Mdl Res Intercept]],-2)</f>
        <v>158300</v>
      </c>
      <c r="BD2097" s="25">
        <f>ROUND(Inventory[[#This Row],[Mdl Land Intercept]]+Inventory[[#This Row],[Mdl LnAcres]],-2)</f>
        <v>22700</v>
      </c>
      <c r="BE2097" s="25">
        <f>Inventory[[#This Row],[Unadj Res Value]]+Inventory[[#This Row],[Unadj Det Value]]+Inventory[[#This Row],[Unadj Land Value]]</f>
        <v>181000</v>
      </c>
      <c r="BF2097" s="36">
        <f>(Inventory[[#This Row],[Unadj Total Value]]-Inventory[[#This Row],[24Final]])/Inventory[[#This Row],[24Final]]</f>
        <v>-0.12348668280871671</v>
      </c>
      <c r="BG2097" s="25">
        <f>VLOOKUP(Inventory[[#This Row],[Nbhd]],Lookups!$Q$2:$T$4,4,FALSE)</f>
        <v>0.99970000000000003</v>
      </c>
      <c r="BH2097" s="25">
        <f>VLOOKUP(Inventory[[#This Row],[Qlty]],Lookups!$O$7:$R$21,4,FALSE)</f>
        <v>1</v>
      </c>
      <c r="BI2097" s="25">
        <f>VLOOKUP(Inventory[[#This Row],[Cnd]],Lookups!$T$7:$W$16,4,FALSE)</f>
        <v>0.99729999999999996</v>
      </c>
      <c r="BJ2097" s="25">
        <f>VLOOKUP(Inventory[[#This Row],[LivArea Range]],Lookups!$T$25:$W$37,4,FALSE)</f>
        <v>1.0148999999999999</v>
      </c>
      <c r="BK2097" s="25">
        <f>VLOOKUP(Inventory[[#This Row],[Decade]],Lookups!$O$25:$R$42,4,FALSE)</f>
        <v>1.0074000000000001</v>
      </c>
      <c r="BL2097" s="25">
        <f>Inventory[[#This Row],[Nbhd Adj]]*0.95</f>
        <v>0.94971499999999998</v>
      </c>
      <c r="BM2097" s="25">
        <f>Inventory[[#This Row],[Nbhd Adj]]*Inventory[[#This Row],[Quality Adj]]*Inventory[[#This Row],[Condition Adj]]*Inventory[[#This Row],[Living Area Adj]]*Inventory[[#This Row],[Decade Adj]]*0.95</f>
        <v>0.96837666450369497</v>
      </c>
      <c r="BN2097" s="25">
        <f>ROUND(SUM(Inventory[[#This Row],[Mdl Qlty]:[Mdl WdDeck]])+Inventory[[#This Row],[Mdl Res Intercept]]*Inventory[[#This Row],[Res Adj ]],-2)</f>
        <v>158300</v>
      </c>
      <c r="BO2097" s="25">
        <f>ROUND(Inventory[[#This Row],[25Det]]*Inventory[[#This Row],[Det/Nbhd Adj]],-2)</f>
        <v>0</v>
      </c>
      <c r="BP2097" s="25">
        <f>Inventory[[#This Row],[Adjusted Res]]+Inventory[[#This Row],[Adj Det ]]</f>
        <v>158300</v>
      </c>
      <c r="BQ2097" s="25">
        <f>ROUND((Inventory[[#This Row],[Mdl Land Intercept]]+Inventory[[#This Row],[Mdl LnAcres]])*Inventory[[#This Row],[Det/Nbhd Adj]],-2)</f>
        <v>21600</v>
      </c>
      <c r="BR2097" s="25">
        <f>Inventory[[#This Row],[Adjusted Impr Total]]+Inventory[[#This Row],[Adjusted Land Total]]</f>
        <v>179900</v>
      </c>
      <c r="BS2097" s="36">
        <f>IFERROR((Inventory[[#This Row],[Adjusted Impr Total]]-Inventory[[#This Row],[24Bldg]])/Inventory[[#This Row],[24Bldg]],0)</f>
        <v>-4.581072935503315E-2</v>
      </c>
      <c r="BT2097" s="36">
        <f>(Inventory[[#This Row],[Adjusted Land Total]]-Inventory[[#This Row],[24Lnd]])/Inventory[[#This Row],[24Lnd]]</f>
        <v>-0.46798029556650245</v>
      </c>
      <c r="BU2097" s="36">
        <f>(Inventory[[#This Row],[Adjusted Total]]-Inventory[[#This Row],[24Final]])/Inventory[[#This Row],[24Final]]</f>
        <v>-0.12881355932203389</v>
      </c>
    </row>
    <row r="2098" spans="1:73" x14ac:dyDescent="0.3">
      <c r="A2098" s="25">
        <v>2025</v>
      </c>
      <c r="B2098" s="26" t="s">
        <v>2206</v>
      </c>
      <c r="C2098" s="26">
        <f>LN(Inventory[[#This Row],[Acres]])</f>
        <v>-1.7147984280919266</v>
      </c>
      <c r="D2098" s="25">
        <v>0.18</v>
      </c>
      <c r="E2098" s="32">
        <v>7699</v>
      </c>
      <c r="F2098" s="26" t="s">
        <v>537</v>
      </c>
      <c r="G2098" s="26" t="s">
        <v>126</v>
      </c>
      <c r="H2098" s="26" t="s">
        <v>349</v>
      </c>
      <c r="I2098" s="26" t="s">
        <v>538</v>
      </c>
      <c r="J2098" s="26" t="s">
        <v>539</v>
      </c>
      <c r="K2098" s="26" t="s">
        <v>269</v>
      </c>
      <c r="L2098" s="26" t="s">
        <v>31</v>
      </c>
      <c r="M2098" s="26" t="s">
        <v>323</v>
      </c>
      <c r="N2098" s="26">
        <v>100</v>
      </c>
      <c r="O2098" s="26">
        <f>2024-Inventory[[#This Row],[YrBlt]]</f>
        <v>99</v>
      </c>
      <c r="P2098" s="26">
        <f>2024-Inventory[[#This Row],[EffYr]]</f>
        <v>56</v>
      </c>
      <c r="Q2098" s="25">
        <v>1925</v>
      </c>
      <c r="R2098" s="25">
        <v>1968</v>
      </c>
      <c r="S2098" s="25">
        <v>778</v>
      </c>
      <c r="T2098" s="31"/>
      <c r="U2098" s="25">
        <v>288</v>
      </c>
      <c r="V2098" s="25">
        <f>Inventory[[#This Row],[Bsmt]]-Inventory[[#This Row],[FnBsmt]]</f>
        <v>0</v>
      </c>
      <c r="W2098" s="25">
        <v>288</v>
      </c>
      <c r="X2098" s="27"/>
      <c r="Y2098" s="27">
        <f>Inventory[[#This Row],[MainFn]]+Inventory[[#This Row],[UpprFn]]+Inventory[[#This Row],[FnBsmt]]+Inventory[[#This Row],[AddFn]]</f>
        <v>1066</v>
      </c>
      <c r="Z2098" s="27">
        <v>1500</v>
      </c>
      <c r="AA2098" s="25">
        <v>5</v>
      </c>
      <c r="AB2098" s="27"/>
      <c r="AC2098" s="27"/>
      <c r="AD2098" s="31"/>
      <c r="AE2098" s="27"/>
      <c r="AF2098" s="27"/>
      <c r="AG2098" s="27"/>
      <c r="AH2098" s="27"/>
      <c r="AI2098" s="25">
        <v>149921</v>
      </c>
      <c r="AJ2098" s="25">
        <v>95949</v>
      </c>
      <c r="AK2098" s="25">
        <v>5261</v>
      </c>
      <c r="AL2098" s="25">
        <v>241000</v>
      </c>
      <c r="AM2098" s="25">
        <v>54700</v>
      </c>
      <c r="AN2098" s="25">
        <v>186300</v>
      </c>
      <c r="AO2098" s="25">
        <v>0</v>
      </c>
      <c r="AP2098" s="25">
        <f>Lookups!$B$56*0</f>
        <v>0</v>
      </c>
      <c r="AQ2098" s="25">
        <f>Lookups!$B$56*1</f>
        <v>89850.625589999996</v>
      </c>
      <c r="AR2098" s="25">
        <f>Lookups!$B$57*Inventory[[#This Row],[LnAcres]]</f>
        <v>-54281.285314520763</v>
      </c>
      <c r="AS2098" s="25">
        <f>VLOOKUP(Inventory[[#This Row],[Qlty]],Lookups!$A$62:$E$75,2,FALSE)</f>
        <v>-43578.886190266698</v>
      </c>
      <c r="AT2098" s="25">
        <f>VLOOKUP(Inventory[[#This Row],[Cnd]],Lookups!$A$76:$E$84,2,FALSE)</f>
        <v>160472.20319</v>
      </c>
      <c r="AU2098" s="25">
        <f>Inventory[[#This Row],[EffAge]]*Lookups!$B$85</f>
        <v>-12490.553628</v>
      </c>
      <c r="AV2098" s="25">
        <f>Inventory[[#This Row],[MainFn]]*Lookups!$B$86</f>
        <v>38439.945164306002</v>
      </c>
      <c r="AW2098" s="25">
        <f>Inventory[[#This Row],[UpprFn]]*Lookups!$B$87</f>
        <v>0</v>
      </c>
      <c r="AX2098" s="25">
        <f>Inventory[[#This Row],[AddFn]]*Lookups!$B$88</f>
        <v>0</v>
      </c>
      <c r="AY2098" s="25">
        <f>Inventory[[#This Row],[Bsmt]]*Lookups!$B$89</f>
        <v>8375.5858311359989</v>
      </c>
      <c r="AZ2098" s="25">
        <f>Inventory[[#This Row],[Fixtures]]*Lookups!$B$90</f>
        <v>18960.110526</v>
      </c>
      <c r="BA2098" s="25">
        <f>Inventory[[#This Row],[WdDeck]]*Lookups!$B$91</f>
        <v>0</v>
      </c>
      <c r="BB2098" s="25">
        <f>ROUND(Inventory[[#This Row],[25Det]],-2)</f>
        <v>5300</v>
      </c>
      <c r="BC2098" s="25">
        <f>ROUND(SUM(Inventory[[#This Row],[Mdl Qlty]:[Mdl WdDeck]])+Inventory[[#This Row],[Mdl Res Intercept]],-2)</f>
        <v>170200</v>
      </c>
      <c r="BD2098" s="25">
        <f>ROUND(Inventory[[#This Row],[Mdl Land Intercept]]+Inventory[[#This Row],[Mdl LnAcres]],-2)</f>
        <v>35600</v>
      </c>
      <c r="BE2098" s="25">
        <f>Inventory[[#This Row],[Unadj Res Value]]+Inventory[[#This Row],[Unadj Det Value]]+Inventory[[#This Row],[Unadj Land Value]]</f>
        <v>211100</v>
      </c>
      <c r="BF2098" s="36">
        <f>(Inventory[[#This Row],[Unadj Total Value]]-Inventory[[#This Row],[24Final]])/Inventory[[#This Row],[24Final]]</f>
        <v>-0.12406639004149378</v>
      </c>
      <c r="BG2098" s="25">
        <f>VLOOKUP(Inventory[[#This Row],[Nbhd]],Lookups!$Q$2:$T$4,4,FALSE)</f>
        <v>0.99970000000000003</v>
      </c>
      <c r="BH2098" s="25">
        <f>VLOOKUP(Inventory[[#This Row],[Qlty]],Lookups!$O$7:$R$21,4,FALSE)</f>
        <v>1</v>
      </c>
      <c r="BI2098" s="25">
        <f>VLOOKUP(Inventory[[#This Row],[Cnd]],Lookups!$T$7:$W$16,4,FALSE)</f>
        <v>0.99729999999999996</v>
      </c>
      <c r="BJ2098" s="25">
        <f>VLOOKUP(Inventory[[#This Row],[LivArea Range]],Lookups!$T$25:$W$37,4,FALSE)</f>
        <v>1.0157</v>
      </c>
      <c r="BK2098" s="25">
        <f>VLOOKUP(Inventory[[#This Row],[Decade]],Lookups!$O$25:$R$42,4,FALSE)</f>
        <v>1.0074000000000001</v>
      </c>
      <c r="BL2098" s="25">
        <f>Inventory[[#This Row],[Nbhd Adj]]*0.95</f>
        <v>0.94971499999999998</v>
      </c>
      <c r="BM2098" s="25">
        <f>Inventory[[#This Row],[Nbhd Adj]]*Inventory[[#This Row],[Quality Adj]]*Inventory[[#This Row],[Condition Adj]]*Inventory[[#This Row],[Living Area Adj]]*Inventory[[#This Row],[Decade Adj]]*0.95</f>
        <v>0.96913999225185055</v>
      </c>
      <c r="BN2098" s="25">
        <f>ROUND(SUM(Inventory[[#This Row],[Mdl Qlty]:[Mdl WdDeck]])+Inventory[[#This Row],[Mdl Res Intercept]]*Inventory[[#This Row],[Res Adj ]],-2)</f>
        <v>170200</v>
      </c>
      <c r="BO2098" s="25">
        <f>ROUND(Inventory[[#This Row],[25Det]]*Inventory[[#This Row],[Det/Nbhd Adj]],-2)</f>
        <v>5000</v>
      </c>
      <c r="BP2098" s="25">
        <f>Inventory[[#This Row],[Adjusted Res]]+Inventory[[#This Row],[Adj Det ]]</f>
        <v>175200</v>
      </c>
      <c r="BQ2098" s="25">
        <f>ROUND((Inventory[[#This Row],[Mdl Land Intercept]]+Inventory[[#This Row],[Mdl LnAcres]])*Inventory[[#This Row],[Det/Nbhd Adj]],-2)</f>
        <v>33800</v>
      </c>
      <c r="BR2098" s="25">
        <f>Inventory[[#This Row],[Adjusted Impr Total]]+Inventory[[#This Row],[Adjusted Land Total]]</f>
        <v>209000</v>
      </c>
      <c r="BS2098" s="36">
        <f>IFERROR((Inventory[[#This Row],[Adjusted Impr Total]]-Inventory[[#This Row],[24Bldg]])/Inventory[[#This Row],[24Bldg]],0)</f>
        <v>-5.9581320450885669E-2</v>
      </c>
      <c r="BT2098" s="36">
        <f>(Inventory[[#This Row],[Adjusted Land Total]]-Inventory[[#This Row],[24Lnd]])/Inventory[[#This Row],[24Lnd]]</f>
        <v>-0.38208409506398539</v>
      </c>
      <c r="BU2098" s="36">
        <f>(Inventory[[#This Row],[Adjusted Total]]-Inventory[[#This Row],[24Final]])/Inventory[[#This Row],[24Final]]</f>
        <v>-0.13278008298755187</v>
      </c>
    </row>
    <row r="2099" spans="1:73" x14ac:dyDescent="0.3">
      <c r="A2099" s="25">
        <v>2025</v>
      </c>
      <c r="B2099" s="26" t="s">
        <v>2200</v>
      </c>
      <c r="C2099" s="26">
        <f>LN(Inventory[[#This Row],[Acres]])</f>
        <v>-1.2729656758128873</v>
      </c>
      <c r="D2099" s="25">
        <v>0.28000000000000003</v>
      </c>
      <c r="E2099" s="32">
        <v>12046</v>
      </c>
      <c r="F2099" s="26" t="s">
        <v>537</v>
      </c>
      <c r="G2099" s="26" t="s">
        <v>126</v>
      </c>
      <c r="H2099" s="26" t="s">
        <v>349</v>
      </c>
      <c r="I2099" s="26" t="s">
        <v>538</v>
      </c>
      <c r="J2099" s="26" t="s">
        <v>974</v>
      </c>
      <c r="K2099" s="26" t="s">
        <v>301</v>
      </c>
      <c r="L2099" s="26" t="s">
        <v>64</v>
      </c>
      <c r="M2099" s="26" t="s">
        <v>303</v>
      </c>
      <c r="N2099" s="26">
        <v>100</v>
      </c>
      <c r="O2099" s="26">
        <f>2024-Inventory[[#This Row],[YrBlt]]</f>
        <v>99</v>
      </c>
      <c r="P2099" s="26">
        <f>2024-Inventory[[#This Row],[EffYr]]</f>
        <v>26</v>
      </c>
      <c r="Q2099" s="25">
        <v>1925</v>
      </c>
      <c r="R2099" s="25">
        <v>1998</v>
      </c>
      <c r="S2099" s="25">
        <v>1716</v>
      </c>
      <c r="T2099" s="32">
        <v>1610</v>
      </c>
      <c r="U2099" s="32">
        <v>1196</v>
      </c>
      <c r="V2099" s="32">
        <f>Inventory[[#This Row],[Bsmt]]-Inventory[[#This Row],[FnBsmt]]</f>
        <v>954</v>
      </c>
      <c r="W2099" s="32">
        <v>242</v>
      </c>
      <c r="X2099" s="27"/>
      <c r="Y2099" s="27">
        <f>Inventory[[#This Row],[MainFn]]+Inventory[[#This Row],[UpprFn]]+Inventory[[#This Row],[FnBsmt]]+Inventory[[#This Row],[AddFn]]</f>
        <v>3568</v>
      </c>
      <c r="Z2099" s="27">
        <v>4000</v>
      </c>
      <c r="AA2099" s="25">
        <v>13</v>
      </c>
      <c r="AB2099" s="32">
        <v>209</v>
      </c>
      <c r="AC2099" s="27"/>
      <c r="AD2099" s="27"/>
      <c r="AE2099" s="27"/>
      <c r="AF2099" s="27"/>
      <c r="AG2099" s="27"/>
      <c r="AH2099" s="27"/>
      <c r="AI2099" s="25">
        <v>896868</v>
      </c>
      <c r="AJ2099" s="25">
        <v>816150</v>
      </c>
      <c r="AK2099" s="25">
        <v>31349</v>
      </c>
      <c r="AL2099" s="25">
        <v>852100</v>
      </c>
      <c r="AM2099" s="25">
        <v>70000</v>
      </c>
      <c r="AN2099" s="25">
        <v>782100</v>
      </c>
      <c r="AO2099" s="25">
        <v>0</v>
      </c>
      <c r="AP2099" s="25">
        <f>Lookups!$B$56*0</f>
        <v>0</v>
      </c>
      <c r="AQ2099" s="25">
        <f>Lookups!$B$56*1</f>
        <v>89850.625589999996</v>
      </c>
      <c r="AR2099" s="25">
        <f>Lookups!$B$57*Inventory[[#This Row],[LnAcres]]</f>
        <v>-40295.239319339329</v>
      </c>
      <c r="AS2099" s="25">
        <f>VLOOKUP(Inventory[[#This Row],[Qlty]],Lookups!$A$62:$E$75,2,FALSE)</f>
        <v>163885.03753</v>
      </c>
      <c r="AT2099" s="25">
        <f>VLOOKUP(Inventory[[#This Row],[Cnd]],Lookups!$A$76:$E$84,2,FALSE)</f>
        <v>197752.34721000001</v>
      </c>
      <c r="AU2099" s="25">
        <f>Inventory[[#This Row],[EffAge]]*Lookups!$B$85</f>
        <v>-5799.1856130000006</v>
      </c>
      <c r="AV2099" s="25">
        <f>Inventory[[#This Row],[MainFn]]*Lookups!$B$86</f>
        <v>84785.277508932006</v>
      </c>
      <c r="AW2099" s="25">
        <f>Inventory[[#This Row],[UpprFn]]*Lookups!$B$87</f>
        <v>72106.140806209994</v>
      </c>
      <c r="AX2099" s="25">
        <f>Inventory[[#This Row],[AddFn]]*Lookups!$B$88</f>
        <v>0</v>
      </c>
      <c r="AY2099" s="25">
        <f>Inventory[[#This Row],[Bsmt]]*Lookups!$B$89</f>
        <v>34781.946715411999</v>
      </c>
      <c r="AZ2099" s="25">
        <f>Inventory[[#This Row],[Fixtures]]*Lookups!$B$90</f>
        <v>49296.287367600002</v>
      </c>
      <c r="BA2099" s="25">
        <f>Inventory[[#This Row],[WdDeck]]*Lookups!$B$91</f>
        <v>0</v>
      </c>
      <c r="BB2099" s="25">
        <f>ROUND(Inventory[[#This Row],[25Det]],-2)</f>
        <v>31300</v>
      </c>
      <c r="BC2099" s="25">
        <f>ROUND(SUM(Inventory[[#This Row],[Mdl Qlty]:[Mdl WdDeck]])+Inventory[[#This Row],[Mdl Res Intercept]],-2)</f>
        <v>596800</v>
      </c>
      <c r="BD2099" s="25">
        <f>ROUND(Inventory[[#This Row],[Mdl Land Intercept]]+Inventory[[#This Row],[Mdl LnAcres]],-2)</f>
        <v>49600</v>
      </c>
      <c r="BE2099" s="25">
        <f>Inventory[[#This Row],[Unadj Res Value]]+Inventory[[#This Row],[Unadj Det Value]]+Inventory[[#This Row],[Unadj Land Value]]</f>
        <v>677700</v>
      </c>
      <c r="BF2099" s="36">
        <f>(Inventory[[#This Row],[Unadj Total Value]]-Inventory[[#This Row],[24Final]])/Inventory[[#This Row],[24Final]]</f>
        <v>-0.20467081328482573</v>
      </c>
      <c r="BG2099" s="25">
        <f>VLOOKUP(Inventory[[#This Row],[Nbhd]],Lookups!$Q$2:$T$4,4,FALSE)</f>
        <v>0.99970000000000003</v>
      </c>
      <c r="BH2099" s="25">
        <f>VLOOKUP(Inventory[[#This Row],[Qlty]],Lookups!$O$7:$R$21,4,FALSE)</f>
        <v>1</v>
      </c>
      <c r="BI2099" s="25">
        <f>VLOOKUP(Inventory[[#This Row],[Cnd]],Lookups!$T$7:$W$16,4,FALSE)</f>
        <v>0.99650000000000005</v>
      </c>
      <c r="BJ2099" s="25">
        <f>VLOOKUP(Inventory[[#This Row],[LivArea Range]],Lookups!$T$25:$W$37,4,FALSE)</f>
        <v>0.94579999999999997</v>
      </c>
      <c r="BK2099" s="25">
        <f>VLOOKUP(Inventory[[#This Row],[Decade]],Lookups!$O$25:$R$42,4,FALSE)</f>
        <v>1.0074000000000001</v>
      </c>
      <c r="BL2099" s="25">
        <f>Inventory[[#This Row],[Nbhd Adj]]*0.95</f>
        <v>0.94971499999999998</v>
      </c>
      <c r="BM2099" s="25">
        <f>Inventory[[#This Row],[Nbhd Adj]]*Inventory[[#This Row],[Quality Adj]]*Inventory[[#This Row],[Condition Adj]]*Inventory[[#This Row],[Living Area Adj]]*Inventory[[#This Row],[Decade Adj]]*0.95</f>
        <v>0.90172032031572269</v>
      </c>
      <c r="BN2099" s="25">
        <f>ROUND(SUM(Inventory[[#This Row],[Mdl Qlty]:[Mdl WdDeck]])+Inventory[[#This Row],[Mdl Res Intercept]]*Inventory[[#This Row],[Res Adj ]],-2)</f>
        <v>596800</v>
      </c>
      <c r="BO2099" s="25">
        <f>ROUND(Inventory[[#This Row],[25Det]]*Inventory[[#This Row],[Det/Nbhd Adj]],-2)</f>
        <v>29800</v>
      </c>
      <c r="BP2099" s="25">
        <f>Inventory[[#This Row],[Adjusted Res]]+Inventory[[#This Row],[Adj Det ]]</f>
        <v>626600</v>
      </c>
      <c r="BQ2099" s="25">
        <f>ROUND((Inventory[[#This Row],[Mdl Land Intercept]]+Inventory[[#This Row],[Mdl LnAcres]])*Inventory[[#This Row],[Det/Nbhd Adj]],-2)</f>
        <v>47100</v>
      </c>
      <c r="BR2099" s="25">
        <f>Inventory[[#This Row],[Adjusted Impr Total]]+Inventory[[#This Row],[Adjusted Land Total]]</f>
        <v>673700</v>
      </c>
      <c r="BS2099" s="36">
        <f>IFERROR((Inventory[[#This Row],[Adjusted Impr Total]]-Inventory[[#This Row],[24Bldg]])/Inventory[[#This Row],[24Bldg]],0)</f>
        <v>-0.19882367983633806</v>
      </c>
      <c r="BT2099" s="36">
        <f>(Inventory[[#This Row],[Adjusted Land Total]]-Inventory[[#This Row],[24Lnd]])/Inventory[[#This Row],[24Lnd]]</f>
        <v>-0.32714285714285712</v>
      </c>
      <c r="BU2099" s="36">
        <f>(Inventory[[#This Row],[Adjusted Total]]-Inventory[[#This Row],[24Final]])/Inventory[[#This Row],[24Final]]</f>
        <v>-0.20936509799319328</v>
      </c>
    </row>
    <row r="2100" spans="1:73" x14ac:dyDescent="0.3">
      <c r="A2100" s="25">
        <v>2025</v>
      </c>
      <c r="B2100" s="26" t="s">
        <v>1245</v>
      </c>
      <c r="C2100" s="26">
        <f>LN(Inventory[[#This Row],[Acres]])</f>
        <v>-1.3093333199837622</v>
      </c>
      <c r="D2100" s="25">
        <v>0.27</v>
      </c>
      <c r="E2100" s="32">
        <v>11742</v>
      </c>
      <c r="F2100" s="26" t="s">
        <v>537</v>
      </c>
      <c r="G2100" s="26" t="s">
        <v>126</v>
      </c>
      <c r="H2100" s="26" t="s">
        <v>349</v>
      </c>
      <c r="I2100" s="26" t="s">
        <v>538</v>
      </c>
      <c r="J2100" s="26" t="s">
        <v>539</v>
      </c>
      <c r="K2100" s="26" t="s">
        <v>301</v>
      </c>
      <c r="L2100" s="26" t="s">
        <v>302</v>
      </c>
      <c r="M2100" s="26" t="s">
        <v>303</v>
      </c>
      <c r="N2100" s="26">
        <v>100</v>
      </c>
      <c r="O2100" s="26">
        <f>2024-Inventory[[#This Row],[YrBlt]]</f>
        <v>100</v>
      </c>
      <c r="P2100" s="26">
        <f>2024-Inventory[[#This Row],[EffYr]]</f>
        <v>56</v>
      </c>
      <c r="Q2100" s="25">
        <v>1924</v>
      </c>
      <c r="R2100" s="25">
        <v>1968</v>
      </c>
      <c r="S2100" s="25">
        <v>1250</v>
      </c>
      <c r="T2100" s="32">
        <v>1066</v>
      </c>
      <c r="U2100" s="25">
        <v>1250</v>
      </c>
      <c r="V2100" s="25">
        <f>Inventory[[#This Row],[Bsmt]]-Inventory[[#This Row],[FnBsmt]]</f>
        <v>1250</v>
      </c>
      <c r="W2100" s="31"/>
      <c r="X2100" s="27"/>
      <c r="Y2100" s="27">
        <f>Inventory[[#This Row],[MainFn]]+Inventory[[#This Row],[UpprFn]]+Inventory[[#This Row],[FnBsmt]]+Inventory[[#This Row],[AddFn]]</f>
        <v>2316</v>
      </c>
      <c r="Z2100" s="27">
        <v>2500</v>
      </c>
      <c r="AA2100" s="25">
        <v>10</v>
      </c>
      <c r="AB2100" s="27"/>
      <c r="AC2100" s="27"/>
      <c r="AD2100" s="32">
        <v>441</v>
      </c>
      <c r="AE2100" s="27"/>
      <c r="AF2100" s="27"/>
      <c r="AG2100" s="27"/>
      <c r="AH2100" s="27"/>
      <c r="AI2100" s="25">
        <v>431749</v>
      </c>
      <c r="AJ2100" s="25">
        <v>284954</v>
      </c>
      <c r="AK2100" s="25">
        <v>45183</v>
      </c>
      <c r="AL2100" s="25">
        <v>445600</v>
      </c>
      <c r="AM2100" s="25">
        <v>68900</v>
      </c>
      <c r="AN2100" s="25">
        <v>376700</v>
      </c>
      <c r="AO2100" s="25">
        <v>0</v>
      </c>
      <c r="AP2100" s="25">
        <f>Lookups!$B$56*0</f>
        <v>0</v>
      </c>
      <c r="AQ2100" s="25">
        <f>Lookups!$B$56*1</f>
        <v>89850.625589999996</v>
      </c>
      <c r="AR2100" s="25">
        <f>Lookups!$B$57*Inventory[[#This Row],[LnAcres]]</f>
        <v>-41446.443120973789</v>
      </c>
      <c r="AS2100" s="25">
        <f>VLOOKUP(Inventory[[#This Row],[Qlty]],Lookups!$A$62:$E$75,2,FALSE)</f>
        <v>29814.093161000001</v>
      </c>
      <c r="AT2100" s="25">
        <f>VLOOKUP(Inventory[[#This Row],[Cnd]],Lookups!$A$76:$E$84,2,FALSE)</f>
        <v>197752.34721000001</v>
      </c>
      <c r="AU2100" s="25">
        <f>Inventory[[#This Row],[EffAge]]*Lookups!$B$85</f>
        <v>-12490.553628</v>
      </c>
      <c r="AV2100" s="25">
        <f>Inventory[[#This Row],[MainFn]]*Lookups!$B$86</f>
        <v>61760.837346250002</v>
      </c>
      <c r="AW2100" s="25">
        <f>Inventory[[#This Row],[UpprFn]]*Lookups!$B$87</f>
        <v>47742.326769825995</v>
      </c>
      <c r="AX2100" s="25">
        <f>Inventory[[#This Row],[AddFn]]*Lookups!$B$88</f>
        <v>0</v>
      </c>
      <c r="AY2100" s="25">
        <f>Inventory[[#This Row],[Bsmt]]*Lookups!$B$89</f>
        <v>36352.369058749995</v>
      </c>
      <c r="AZ2100" s="25">
        <f>Inventory[[#This Row],[Fixtures]]*Lookups!$B$90</f>
        <v>37920.221052000001</v>
      </c>
      <c r="BA2100" s="25">
        <f>Inventory[[#This Row],[WdDeck]]*Lookups!$B$91</f>
        <v>14683.322236716001</v>
      </c>
      <c r="BB2100" s="25">
        <f>ROUND(Inventory[[#This Row],[25Det]],-2)</f>
        <v>45200</v>
      </c>
      <c r="BC2100" s="25">
        <f>ROUND(SUM(Inventory[[#This Row],[Mdl Qlty]:[Mdl WdDeck]])+Inventory[[#This Row],[Mdl Res Intercept]],-2)</f>
        <v>413500</v>
      </c>
      <c r="BD2100" s="25">
        <f>ROUND(Inventory[[#This Row],[Mdl Land Intercept]]+Inventory[[#This Row],[Mdl LnAcres]],-2)</f>
        <v>48400</v>
      </c>
      <c r="BE2100" s="25">
        <f>Inventory[[#This Row],[Unadj Res Value]]+Inventory[[#This Row],[Unadj Det Value]]+Inventory[[#This Row],[Unadj Land Value]]</f>
        <v>507100</v>
      </c>
      <c r="BF2100" s="36">
        <f>(Inventory[[#This Row],[Unadj Total Value]]-Inventory[[#This Row],[24Final]])/Inventory[[#This Row],[24Final]]</f>
        <v>0.13801615798922801</v>
      </c>
      <c r="BG2100" s="25">
        <f>VLOOKUP(Inventory[[#This Row],[Nbhd]],Lookups!$Q$2:$T$4,4,FALSE)</f>
        <v>0.99970000000000003</v>
      </c>
      <c r="BH2100" s="25">
        <f>VLOOKUP(Inventory[[#This Row],[Qlty]],Lookups!$O$7:$R$21,4,FALSE)</f>
        <v>1.0088999999999999</v>
      </c>
      <c r="BI2100" s="25">
        <f>VLOOKUP(Inventory[[#This Row],[Cnd]],Lookups!$T$7:$W$16,4,FALSE)</f>
        <v>0.99650000000000005</v>
      </c>
      <c r="BJ2100" s="25">
        <f>VLOOKUP(Inventory[[#This Row],[LivArea Range]],Lookups!$T$25:$W$37,4,FALSE)</f>
        <v>0.98919999999999997</v>
      </c>
      <c r="BK2100" s="25">
        <f>VLOOKUP(Inventory[[#This Row],[Decade]],Lookups!$O$25:$R$42,4,FALSE)</f>
        <v>1.0074000000000001</v>
      </c>
      <c r="BL2100" s="25">
        <f>Inventory[[#This Row],[Nbhd Adj]]*0.95</f>
        <v>0.94971499999999998</v>
      </c>
      <c r="BM2100" s="25">
        <f>Inventory[[#This Row],[Nbhd Adj]]*Inventory[[#This Row],[Quality Adj]]*Inventory[[#This Row],[Condition Adj]]*Inventory[[#This Row],[Living Area Adj]]*Inventory[[#This Row],[Decade Adj]]*0.95</f>
        <v>0.95149120146958555</v>
      </c>
      <c r="BN2100" s="25">
        <f>ROUND(SUM(Inventory[[#This Row],[Mdl Qlty]:[Mdl WdDeck]])+Inventory[[#This Row],[Mdl Res Intercept]]*Inventory[[#This Row],[Res Adj ]],-2)</f>
        <v>413500</v>
      </c>
      <c r="BO2100" s="25">
        <f>ROUND(Inventory[[#This Row],[25Det]]*Inventory[[#This Row],[Det/Nbhd Adj]],-2)</f>
        <v>42900</v>
      </c>
      <c r="BP2100" s="25">
        <f>Inventory[[#This Row],[Adjusted Res]]+Inventory[[#This Row],[Adj Det ]]</f>
        <v>456400</v>
      </c>
      <c r="BQ2100" s="25">
        <f>ROUND((Inventory[[#This Row],[Mdl Land Intercept]]+Inventory[[#This Row],[Mdl LnAcres]])*Inventory[[#This Row],[Det/Nbhd Adj]],-2)</f>
        <v>46000</v>
      </c>
      <c r="BR2100" s="25">
        <f>Inventory[[#This Row],[Adjusted Impr Total]]+Inventory[[#This Row],[Adjusted Land Total]]</f>
        <v>502400</v>
      </c>
      <c r="BS2100" s="36">
        <f>IFERROR((Inventory[[#This Row],[Adjusted Impr Total]]-Inventory[[#This Row],[24Bldg]])/Inventory[[#This Row],[24Bldg]],0)</f>
        <v>0.21157419697371915</v>
      </c>
      <c r="BT2100" s="36">
        <f>(Inventory[[#This Row],[Adjusted Land Total]]-Inventory[[#This Row],[24Lnd]])/Inventory[[#This Row],[24Lnd]]</f>
        <v>-0.33236574746008707</v>
      </c>
      <c r="BU2100" s="36">
        <f>(Inventory[[#This Row],[Adjusted Total]]-Inventory[[#This Row],[24Final]])/Inventory[[#This Row],[24Final]]</f>
        <v>0.12746858168761221</v>
      </c>
    </row>
    <row r="2101" spans="1:73" x14ac:dyDescent="0.3">
      <c r="A2101" s="25">
        <v>2025</v>
      </c>
      <c r="B2101" s="26" t="s">
        <v>1264</v>
      </c>
      <c r="C2101" s="26">
        <f>LN(Inventory[[#This Row],[Acres]])</f>
        <v>-0.21072103131565253</v>
      </c>
      <c r="D2101" s="25">
        <v>0.81</v>
      </c>
      <c r="E2101" s="32">
        <v>35080</v>
      </c>
      <c r="F2101" s="26" t="s">
        <v>537</v>
      </c>
      <c r="G2101" s="26" t="s">
        <v>126</v>
      </c>
      <c r="H2101" s="26" t="s">
        <v>349</v>
      </c>
      <c r="I2101" s="26" t="s">
        <v>538</v>
      </c>
      <c r="J2101" s="26" t="s">
        <v>974</v>
      </c>
      <c r="K2101" s="26" t="s">
        <v>448</v>
      </c>
      <c r="L2101" s="26" t="s">
        <v>64</v>
      </c>
      <c r="M2101" s="26" t="s">
        <v>352</v>
      </c>
      <c r="N2101" s="26">
        <v>100</v>
      </c>
      <c r="O2101" s="26">
        <f>2024-Inventory[[#This Row],[YrBlt]]</f>
        <v>100</v>
      </c>
      <c r="P2101" s="26">
        <f>2024-Inventory[[#This Row],[EffYr]]</f>
        <v>49</v>
      </c>
      <c r="Q2101" s="25">
        <v>1924</v>
      </c>
      <c r="R2101" s="25">
        <v>1975</v>
      </c>
      <c r="S2101" s="25">
        <v>2192</v>
      </c>
      <c r="T2101" s="25">
        <v>1423</v>
      </c>
      <c r="U2101" s="32">
        <v>1616</v>
      </c>
      <c r="V2101" s="32">
        <f>Inventory[[#This Row],[Bsmt]]-Inventory[[#This Row],[FnBsmt]]</f>
        <v>1616</v>
      </c>
      <c r="W2101" s="27"/>
      <c r="X2101" s="27"/>
      <c r="Y2101" s="27">
        <f>Inventory[[#This Row],[MainFn]]+Inventory[[#This Row],[UpprFn]]+Inventory[[#This Row],[FnBsmt]]+Inventory[[#This Row],[AddFn]]</f>
        <v>3615</v>
      </c>
      <c r="Z2101" s="27">
        <v>4000</v>
      </c>
      <c r="AA2101" s="25">
        <v>11</v>
      </c>
      <c r="AB2101" s="27"/>
      <c r="AC2101" s="27"/>
      <c r="AD2101" s="31"/>
      <c r="AE2101" s="27"/>
      <c r="AF2101" s="27"/>
      <c r="AG2101" s="27"/>
      <c r="AH2101" s="27"/>
      <c r="AI2101" s="25">
        <v>836015</v>
      </c>
      <c r="AJ2101" s="25">
        <v>643732</v>
      </c>
      <c r="AK2101" s="25">
        <v>61934</v>
      </c>
      <c r="AL2101" s="25">
        <v>759400</v>
      </c>
      <c r="AM2101" s="25">
        <v>107200</v>
      </c>
      <c r="AN2101" s="25">
        <v>652200</v>
      </c>
      <c r="AO2101" s="25">
        <v>0</v>
      </c>
      <c r="AP2101" s="25">
        <f>Lookups!$B$56*0</f>
        <v>0</v>
      </c>
      <c r="AQ2101" s="25">
        <f>Lookups!$B$56*1</f>
        <v>89850.625589999996</v>
      </c>
      <c r="AR2101" s="25">
        <f>Lookups!$B$57*Inventory[[#This Row],[LnAcres]]</f>
        <v>-6670.293274844209</v>
      </c>
      <c r="AS2101" s="25">
        <f>VLOOKUP(Inventory[[#This Row],[Qlty]],Lookups!$A$62:$E$75,2,FALSE)</f>
        <v>163885.03753</v>
      </c>
      <c r="AT2101" s="25">
        <f>VLOOKUP(Inventory[[#This Row],[Cnd]],Lookups!$A$76:$E$84,2,FALSE)</f>
        <v>284810.60806</v>
      </c>
      <c r="AU2101" s="25">
        <f>Inventory[[#This Row],[EffAge]]*Lookups!$B$85</f>
        <v>-10929.2344245</v>
      </c>
      <c r="AV2101" s="25">
        <f>Inventory[[#This Row],[MainFn]]*Lookups!$B$86</f>
        <v>108303.80437038401</v>
      </c>
      <c r="AW2101" s="25">
        <f>Inventory[[#This Row],[UpprFn]]*Lookups!$B$87</f>
        <v>63731.079731202997</v>
      </c>
      <c r="AX2101" s="25">
        <f>Inventory[[#This Row],[AddFn]]*Lookups!$B$88</f>
        <v>0</v>
      </c>
      <c r="AY2101" s="25">
        <f>Inventory[[#This Row],[Bsmt]]*Lookups!$B$89</f>
        <v>46996.342719151995</v>
      </c>
      <c r="AZ2101" s="25">
        <f>Inventory[[#This Row],[Fixtures]]*Lookups!$B$90</f>
        <v>41712.243157199999</v>
      </c>
      <c r="BA2101" s="25">
        <f>Inventory[[#This Row],[WdDeck]]*Lookups!$B$91</f>
        <v>0</v>
      </c>
      <c r="BB2101" s="25">
        <f>ROUND(Inventory[[#This Row],[25Det]],-2)</f>
        <v>61900</v>
      </c>
      <c r="BC2101" s="25">
        <f>ROUND(SUM(Inventory[[#This Row],[Mdl Qlty]:[Mdl WdDeck]])+Inventory[[#This Row],[Mdl Res Intercept]],-2)</f>
        <v>698500</v>
      </c>
      <c r="BD2101" s="25">
        <f>ROUND(Inventory[[#This Row],[Mdl Land Intercept]]+Inventory[[#This Row],[Mdl LnAcres]],-2)</f>
        <v>83200</v>
      </c>
      <c r="BE2101" s="25">
        <f>Inventory[[#This Row],[Unadj Res Value]]+Inventory[[#This Row],[Unadj Det Value]]+Inventory[[#This Row],[Unadj Land Value]]</f>
        <v>843600</v>
      </c>
      <c r="BF2101" s="36">
        <f>(Inventory[[#This Row],[Unadj Total Value]]-Inventory[[#This Row],[24Final]])/Inventory[[#This Row],[24Final]]</f>
        <v>0.11087700816434026</v>
      </c>
      <c r="BG2101" s="25">
        <f>VLOOKUP(Inventory[[#This Row],[Nbhd]],Lookups!$Q$2:$T$4,4,FALSE)</f>
        <v>0.99970000000000003</v>
      </c>
      <c r="BH2101" s="25">
        <f>VLOOKUP(Inventory[[#This Row],[Qlty]],Lookups!$O$7:$R$21,4,FALSE)</f>
        <v>1</v>
      </c>
      <c r="BI2101" s="25">
        <f>VLOOKUP(Inventory[[#This Row],[Cnd]],Lookups!$T$7:$W$16,4,FALSE)</f>
        <v>1.0158</v>
      </c>
      <c r="BJ2101" s="25">
        <f>VLOOKUP(Inventory[[#This Row],[LivArea Range]],Lookups!$T$25:$W$37,4,FALSE)</f>
        <v>0.94579999999999997</v>
      </c>
      <c r="BK2101" s="25">
        <f>VLOOKUP(Inventory[[#This Row],[Decade]],Lookups!$O$25:$R$42,4,FALSE)</f>
        <v>1.0074000000000001</v>
      </c>
      <c r="BL2101" s="25">
        <f>Inventory[[#This Row],[Nbhd Adj]]*0.95</f>
        <v>0.94971499999999998</v>
      </c>
      <c r="BM2101" s="25">
        <f>Inventory[[#This Row],[Nbhd Adj]]*Inventory[[#This Row],[Quality Adj]]*Inventory[[#This Row],[Condition Adj]]*Inventory[[#This Row],[Living Area Adj]]*Inventory[[#This Row],[Decade Adj]]*0.95</f>
        <v>0.9191846476434633</v>
      </c>
      <c r="BN2101" s="25">
        <f>ROUND(SUM(Inventory[[#This Row],[Mdl Qlty]:[Mdl WdDeck]])+Inventory[[#This Row],[Mdl Res Intercept]]*Inventory[[#This Row],[Res Adj ]],-2)</f>
        <v>698500</v>
      </c>
      <c r="BO2101" s="25">
        <f>ROUND(Inventory[[#This Row],[25Det]]*Inventory[[#This Row],[Det/Nbhd Adj]],-2)</f>
        <v>58800</v>
      </c>
      <c r="BP2101" s="25">
        <f>Inventory[[#This Row],[Adjusted Res]]+Inventory[[#This Row],[Adj Det ]]</f>
        <v>757300</v>
      </c>
      <c r="BQ2101" s="25">
        <f>ROUND((Inventory[[#This Row],[Mdl Land Intercept]]+Inventory[[#This Row],[Mdl LnAcres]])*Inventory[[#This Row],[Det/Nbhd Adj]],-2)</f>
        <v>79000</v>
      </c>
      <c r="BR2101" s="25">
        <f>Inventory[[#This Row],[Adjusted Impr Total]]+Inventory[[#This Row],[Adjusted Land Total]]</f>
        <v>836300</v>
      </c>
      <c r="BS2101" s="36">
        <f>IFERROR((Inventory[[#This Row],[Adjusted Impr Total]]-Inventory[[#This Row],[24Bldg]])/Inventory[[#This Row],[24Bldg]],0)</f>
        <v>0.16114688745783501</v>
      </c>
      <c r="BT2101" s="36">
        <f>(Inventory[[#This Row],[Adjusted Land Total]]-Inventory[[#This Row],[24Lnd]])/Inventory[[#This Row],[24Lnd]]</f>
        <v>-0.26305970149253732</v>
      </c>
      <c r="BU2101" s="36">
        <f>(Inventory[[#This Row],[Adjusted Total]]-Inventory[[#This Row],[24Final]])/Inventory[[#This Row],[24Final]]</f>
        <v>0.10126415591256255</v>
      </c>
    </row>
    <row r="2102" spans="1:73" x14ac:dyDescent="0.3">
      <c r="A2102" s="25">
        <v>2025</v>
      </c>
      <c r="B2102" s="26" t="s">
        <v>1228</v>
      </c>
      <c r="C2102" s="26">
        <f>LN(Inventory[[#This Row],[Acres]])</f>
        <v>-0.84397007029452897</v>
      </c>
      <c r="D2102" s="25">
        <v>0.43</v>
      </c>
      <c r="E2102" s="32">
        <v>18787</v>
      </c>
      <c r="F2102" s="26" t="s">
        <v>537</v>
      </c>
      <c r="G2102" s="26" t="s">
        <v>126</v>
      </c>
      <c r="H2102" s="26" t="s">
        <v>349</v>
      </c>
      <c r="I2102" s="26" t="s">
        <v>538</v>
      </c>
      <c r="J2102" s="26" t="s">
        <v>539</v>
      </c>
      <c r="K2102" s="26" t="s">
        <v>301</v>
      </c>
      <c r="L2102" s="26" t="s">
        <v>64</v>
      </c>
      <c r="M2102" s="26" t="s">
        <v>352</v>
      </c>
      <c r="N2102" s="26">
        <v>100</v>
      </c>
      <c r="O2102" s="26">
        <f>2024-Inventory[[#This Row],[YrBlt]]</f>
        <v>100</v>
      </c>
      <c r="P2102" s="26">
        <f>2024-Inventory[[#This Row],[EffYr]]</f>
        <v>33</v>
      </c>
      <c r="Q2102" s="25">
        <v>1924</v>
      </c>
      <c r="R2102" s="25">
        <v>1991</v>
      </c>
      <c r="S2102" s="25">
        <v>1469</v>
      </c>
      <c r="T2102" s="25">
        <v>1364</v>
      </c>
      <c r="U2102" s="25">
        <v>878</v>
      </c>
      <c r="V2102" s="25">
        <f>Inventory[[#This Row],[Bsmt]]-Inventory[[#This Row],[FnBsmt]]</f>
        <v>878</v>
      </c>
      <c r="W2102" s="31"/>
      <c r="X2102" s="27"/>
      <c r="Y2102" s="27">
        <f>Inventory[[#This Row],[MainFn]]+Inventory[[#This Row],[UpprFn]]+Inventory[[#This Row],[FnBsmt]]+Inventory[[#This Row],[AddFn]]</f>
        <v>2833</v>
      </c>
      <c r="Z2102" s="27">
        <v>3000</v>
      </c>
      <c r="AA2102" s="25">
        <v>12</v>
      </c>
      <c r="AB2102" s="27"/>
      <c r="AC2102" s="32">
        <v>224</v>
      </c>
      <c r="AD2102" s="31"/>
      <c r="AE2102" s="27"/>
      <c r="AF2102" s="27"/>
      <c r="AG2102" s="27"/>
      <c r="AH2102" s="27"/>
      <c r="AI2102" s="25">
        <v>735193</v>
      </c>
      <c r="AJ2102" s="25">
        <v>661674</v>
      </c>
      <c r="AK2102" s="25">
        <v>0</v>
      </c>
      <c r="AL2102" s="25">
        <v>643400</v>
      </c>
      <c r="AM2102" s="25">
        <v>85100</v>
      </c>
      <c r="AN2102" s="25">
        <v>558300</v>
      </c>
      <c r="AO2102" s="25">
        <v>0</v>
      </c>
      <c r="AP2102" s="25">
        <f>Lookups!$B$56*0</f>
        <v>0</v>
      </c>
      <c r="AQ2102" s="25">
        <f>Lookups!$B$56*1</f>
        <v>89850.625589999996</v>
      </c>
      <c r="AR2102" s="25">
        <f>Lookups!$B$57*Inventory[[#This Row],[LnAcres]]</f>
        <v>-26715.548272078075</v>
      </c>
      <c r="AS2102" s="25">
        <f>VLOOKUP(Inventory[[#This Row],[Qlty]],Lookups!$A$62:$E$75,2,FALSE)</f>
        <v>163885.03753</v>
      </c>
      <c r="AT2102" s="25">
        <f>VLOOKUP(Inventory[[#This Row],[Cnd]],Lookups!$A$76:$E$84,2,FALSE)</f>
        <v>284810.60806</v>
      </c>
      <c r="AU2102" s="25">
        <f>Inventory[[#This Row],[EffAge]]*Lookups!$B$85</f>
        <v>-7360.5048164999998</v>
      </c>
      <c r="AV2102" s="25">
        <f>Inventory[[#This Row],[MainFn]]*Lookups!$B$86</f>
        <v>72581.336049313002</v>
      </c>
      <c r="AW2102" s="25">
        <f>Inventory[[#This Row],[UpprFn]]*Lookups!$B$87</f>
        <v>61088.680782404001</v>
      </c>
      <c r="AX2102" s="25">
        <f>Inventory[[#This Row],[AddFn]]*Lookups!$B$88</f>
        <v>0</v>
      </c>
      <c r="AY2102" s="25">
        <f>Inventory[[#This Row],[Bsmt]]*Lookups!$B$89</f>
        <v>25533.904026865999</v>
      </c>
      <c r="AZ2102" s="25">
        <f>Inventory[[#This Row],[Fixtures]]*Lookups!$B$90</f>
        <v>45504.265262400004</v>
      </c>
      <c r="BA2102" s="25">
        <f>Inventory[[#This Row],[WdDeck]]*Lookups!$B$91</f>
        <v>0</v>
      </c>
      <c r="BB2102" s="25">
        <f>ROUND(Inventory[[#This Row],[25Det]],-2)</f>
        <v>0</v>
      </c>
      <c r="BC2102" s="25">
        <f>ROUND(SUM(Inventory[[#This Row],[Mdl Qlty]:[Mdl WdDeck]])+Inventory[[#This Row],[Mdl Res Intercept]],-2)</f>
        <v>646000</v>
      </c>
      <c r="BD2102" s="25">
        <f>ROUND(Inventory[[#This Row],[Mdl Land Intercept]]+Inventory[[#This Row],[Mdl LnAcres]],-2)</f>
        <v>63100</v>
      </c>
      <c r="BE2102" s="25">
        <f>Inventory[[#This Row],[Unadj Res Value]]+Inventory[[#This Row],[Unadj Det Value]]+Inventory[[#This Row],[Unadj Land Value]]</f>
        <v>709100</v>
      </c>
      <c r="BF2102" s="36">
        <f>(Inventory[[#This Row],[Unadj Total Value]]-Inventory[[#This Row],[24Final]])/Inventory[[#This Row],[24Final]]</f>
        <v>0.10211377059372086</v>
      </c>
      <c r="BG2102" s="25">
        <f>VLOOKUP(Inventory[[#This Row],[Nbhd]],Lookups!$Q$2:$T$4,4,FALSE)</f>
        <v>0.99970000000000003</v>
      </c>
      <c r="BH2102" s="25">
        <f>VLOOKUP(Inventory[[#This Row],[Qlty]],Lookups!$O$7:$R$21,4,FALSE)</f>
        <v>1</v>
      </c>
      <c r="BI2102" s="25">
        <f>VLOOKUP(Inventory[[#This Row],[Cnd]],Lookups!$T$7:$W$16,4,FALSE)</f>
        <v>1.0158</v>
      </c>
      <c r="BJ2102" s="25">
        <f>VLOOKUP(Inventory[[#This Row],[LivArea Range]],Lookups!$T$25:$W$37,4,FALSE)</f>
        <v>0.96179999999999999</v>
      </c>
      <c r="BK2102" s="25">
        <f>VLOOKUP(Inventory[[#This Row],[Decade]],Lookups!$O$25:$R$42,4,FALSE)</f>
        <v>1.0074000000000001</v>
      </c>
      <c r="BL2102" s="25">
        <f>Inventory[[#This Row],[Nbhd Adj]]*0.95</f>
        <v>0.94971499999999998</v>
      </c>
      <c r="BM2102" s="25">
        <f>Inventory[[#This Row],[Nbhd Adj]]*Inventory[[#This Row],[Quality Adj]]*Inventory[[#This Row],[Condition Adj]]*Inventory[[#This Row],[Living Area Adj]]*Inventory[[#This Row],[Decade Adj]]*0.95</f>
        <v>0.93473439850230811</v>
      </c>
      <c r="BN2102" s="25">
        <f>ROUND(SUM(Inventory[[#This Row],[Mdl Qlty]:[Mdl WdDeck]])+Inventory[[#This Row],[Mdl Res Intercept]]*Inventory[[#This Row],[Res Adj ]],-2)</f>
        <v>646000</v>
      </c>
      <c r="BO2102" s="25">
        <f>ROUND(Inventory[[#This Row],[25Det]]*Inventory[[#This Row],[Det/Nbhd Adj]],-2)</f>
        <v>0</v>
      </c>
      <c r="BP2102" s="25">
        <f>Inventory[[#This Row],[Adjusted Res]]+Inventory[[#This Row],[Adj Det ]]</f>
        <v>646000</v>
      </c>
      <c r="BQ2102" s="25">
        <f>ROUND((Inventory[[#This Row],[Mdl Land Intercept]]+Inventory[[#This Row],[Mdl LnAcres]])*Inventory[[#This Row],[Det/Nbhd Adj]],-2)</f>
        <v>60000</v>
      </c>
      <c r="BR2102" s="25">
        <f>Inventory[[#This Row],[Adjusted Impr Total]]+Inventory[[#This Row],[Adjusted Land Total]]</f>
        <v>706000</v>
      </c>
      <c r="BS2102" s="36">
        <f>IFERROR((Inventory[[#This Row],[Adjusted Impr Total]]-Inventory[[#This Row],[24Bldg]])/Inventory[[#This Row],[24Bldg]],0)</f>
        <v>0.15708400501522479</v>
      </c>
      <c r="BT2102" s="36">
        <f>(Inventory[[#This Row],[Adjusted Land Total]]-Inventory[[#This Row],[24Lnd]])/Inventory[[#This Row],[24Lnd]]</f>
        <v>-0.29494712103407755</v>
      </c>
      <c r="BU2102" s="36">
        <f>(Inventory[[#This Row],[Adjusted Total]]-Inventory[[#This Row],[24Final]])/Inventory[[#This Row],[24Final]]</f>
        <v>9.7295617034504192E-2</v>
      </c>
    </row>
    <row r="2103" spans="1:73" x14ac:dyDescent="0.3">
      <c r="A2103" s="25">
        <v>2025</v>
      </c>
      <c r="B2103" s="26" t="s">
        <v>2780</v>
      </c>
      <c r="C2103" s="26">
        <f>LN(Inventory[[#This Row],[Acres]])</f>
        <v>-0.61618613942381695</v>
      </c>
      <c r="D2103" s="25">
        <v>0.54</v>
      </c>
      <c r="E2103" s="32">
        <v>23412</v>
      </c>
      <c r="F2103" s="26" t="s">
        <v>537</v>
      </c>
      <c r="G2103" s="26" t="s">
        <v>126</v>
      </c>
      <c r="H2103" s="26" t="s">
        <v>349</v>
      </c>
      <c r="I2103" s="26" t="s">
        <v>538</v>
      </c>
      <c r="J2103" s="26" t="s">
        <v>539</v>
      </c>
      <c r="K2103" s="26" t="s">
        <v>269</v>
      </c>
      <c r="L2103" s="26" t="s">
        <v>302</v>
      </c>
      <c r="M2103" s="26" t="s">
        <v>323</v>
      </c>
      <c r="N2103" s="26">
        <v>100</v>
      </c>
      <c r="O2103" s="26">
        <f>2024-Inventory[[#This Row],[YrBlt]]</f>
        <v>100</v>
      </c>
      <c r="P2103" s="26">
        <f>2024-Inventory[[#This Row],[EffYr]]</f>
        <v>56</v>
      </c>
      <c r="Q2103" s="25">
        <v>1924</v>
      </c>
      <c r="R2103" s="25">
        <v>1968</v>
      </c>
      <c r="S2103" s="25">
        <v>1216</v>
      </c>
      <c r="T2103" s="31"/>
      <c r="U2103" s="25">
        <v>1216</v>
      </c>
      <c r="V2103" s="25">
        <f>Inventory[[#This Row],[Bsmt]]-Inventory[[#This Row],[FnBsmt]]</f>
        <v>304</v>
      </c>
      <c r="W2103" s="25">
        <v>912</v>
      </c>
      <c r="X2103" s="27"/>
      <c r="Y2103" s="27">
        <f>Inventory[[#This Row],[MainFn]]+Inventory[[#This Row],[UpprFn]]+Inventory[[#This Row],[FnBsmt]]+Inventory[[#This Row],[AddFn]]</f>
        <v>2128</v>
      </c>
      <c r="Z2103" s="27">
        <v>2500</v>
      </c>
      <c r="AA2103" s="25">
        <v>8</v>
      </c>
      <c r="AB2103" s="27"/>
      <c r="AC2103" s="27"/>
      <c r="AD2103" s="27"/>
      <c r="AE2103" s="27"/>
      <c r="AF2103" s="27"/>
      <c r="AG2103" s="27"/>
      <c r="AH2103" s="27"/>
      <c r="AI2103" s="25">
        <v>354206</v>
      </c>
      <c r="AJ2103" s="25">
        <v>226692</v>
      </c>
      <c r="AK2103" s="25">
        <v>0</v>
      </c>
      <c r="AL2103" s="25">
        <v>371700</v>
      </c>
      <c r="AM2103" s="25">
        <v>93000</v>
      </c>
      <c r="AN2103" s="25">
        <v>278700</v>
      </c>
      <c r="AO2103" s="25">
        <v>0</v>
      </c>
      <c r="AP2103" s="25">
        <f>Lookups!$B$56*0</f>
        <v>0</v>
      </c>
      <c r="AQ2103" s="25">
        <f>Lookups!$B$56*1</f>
        <v>89850.625589999996</v>
      </c>
      <c r="AR2103" s="25">
        <f>Lookups!$B$57*Inventory[[#This Row],[LnAcres]]</f>
        <v>-19505.135468391178</v>
      </c>
      <c r="AS2103" s="25">
        <f>VLOOKUP(Inventory[[#This Row],[Qlty]],Lookups!$A$62:$E$75,2,FALSE)</f>
        <v>29814.093161000001</v>
      </c>
      <c r="AT2103" s="25">
        <f>VLOOKUP(Inventory[[#This Row],[Cnd]],Lookups!$A$76:$E$84,2,FALSE)</f>
        <v>160472.20319</v>
      </c>
      <c r="AU2103" s="25">
        <f>Inventory[[#This Row],[EffAge]]*Lookups!$B$85</f>
        <v>-12490.553628</v>
      </c>
      <c r="AV2103" s="25">
        <f>Inventory[[#This Row],[MainFn]]*Lookups!$B$86</f>
        <v>60080.942570432002</v>
      </c>
      <c r="AW2103" s="25">
        <f>Inventory[[#This Row],[UpprFn]]*Lookups!$B$87</f>
        <v>0</v>
      </c>
      <c r="AX2103" s="25">
        <f>Inventory[[#This Row],[AddFn]]*Lookups!$B$88</f>
        <v>0</v>
      </c>
      <c r="AY2103" s="25">
        <f>Inventory[[#This Row],[Bsmt]]*Lookups!$B$89</f>
        <v>35363.584620351998</v>
      </c>
      <c r="AZ2103" s="25">
        <f>Inventory[[#This Row],[Fixtures]]*Lookups!$B$90</f>
        <v>30336.176841600001</v>
      </c>
      <c r="BA2103" s="25">
        <f>Inventory[[#This Row],[WdDeck]]*Lookups!$B$91</f>
        <v>0</v>
      </c>
      <c r="BB2103" s="25">
        <f>ROUND(Inventory[[#This Row],[25Det]],-2)</f>
        <v>0</v>
      </c>
      <c r="BC2103" s="25">
        <f>ROUND(SUM(Inventory[[#This Row],[Mdl Qlty]:[Mdl WdDeck]])+Inventory[[#This Row],[Mdl Res Intercept]],-2)</f>
        <v>303600</v>
      </c>
      <c r="BD2103" s="25">
        <f>ROUND(Inventory[[#This Row],[Mdl Land Intercept]]+Inventory[[#This Row],[Mdl LnAcres]],-2)</f>
        <v>70300</v>
      </c>
      <c r="BE2103" s="25">
        <f>Inventory[[#This Row],[Unadj Res Value]]+Inventory[[#This Row],[Unadj Det Value]]+Inventory[[#This Row],[Unadj Land Value]]</f>
        <v>373900</v>
      </c>
      <c r="BF2103" s="36">
        <f>(Inventory[[#This Row],[Unadj Total Value]]-Inventory[[#This Row],[24Final]])/Inventory[[#This Row],[24Final]]</f>
        <v>5.9187516814635461E-3</v>
      </c>
      <c r="BG2103" s="25">
        <f>VLOOKUP(Inventory[[#This Row],[Nbhd]],Lookups!$Q$2:$T$4,4,FALSE)</f>
        <v>0.99970000000000003</v>
      </c>
      <c r="BH2103" s="25">
        <f>VLOOKUP(Inventory[[#This Row],[Qlty]],Lookups!$O$7:$R$21,4,FALSE)</f>
        <v>1.0088999999999999</v>
      </c>
      <c r="BI2103" s="25">
        <f>VLOOKUP(Inventory[[#This Row],[Cnd]],Lookups!$T$7:$W$16,4,FALSE)</f>
        <v>0.99729999999999996</v>
      </c>
      <c r="BJ2103" s="25">
        <f>VLOOKUP(Inventory[[#This Row],[LivArea Range]],Lookups!$T$25:$W$37,4,FALSE)</f>
        <v>0.98919999999999997</v>
      </c>
      <c r="BK2103" s="25">
        <f>VLOOKUP(Inventory[[#This Row],[Decade]],Lookups!$O$25:$R$42,4,FALSE)</f>
        <v>1.0074000000000001</v>
      </c>
      <c r="BL2103" s="25">
        <f>Inventory[[#This Row],[Nbhd Adj]]*0.95</f>
        <v>0.94971499999999998</v>
      </c>
      <c r="BM2103" s="25">
        <f>Inventory[[#This Row],[Nbhd Adj]]*Inventory[[#This Row],[Quality Adj]]*Inventory[[#This Row],[Condition Adj]]*Inventory[[#This Row],[Living Area Adj]]*Inventory[[#This Row],[Decade Adj]]*0.95</f>
        <v>0.95225506796349002</v>
      </c>
      <c r="BN2103" s="25">
        <f>ROUND(SUM(Inventory[[#This Row],[Mdl Qlty]:[Mdl WdDeck]])+Inventory[[#This Row],[Mdl Res Intercept]]*Inventory[[#This Row],[Res Adj ]],-2)</f>
        <v>303600</v>
      </c>
      <c r="BO2103" s="25">
        <f>ROUND(Inventory[[#This Row],[25Det]]*Inventory[[#This Row],[Det/Nbhd Adj]],-2)</f>
        <v>0</v>
      </c>
      <c r="BP2103" s="25">
        <f>Inventory[[#This Row],[Adjusted Res]]+Inventory[[#This Row],[Adj Det ]]</f>
        <v>303600</v>
      </c>
      <c r="BQ2103" s="25">
        <f>ROUND((Inventory[[#This Row],[Mdl Land Intercept]]+Inventory[[#This Row],[Mdl LnAcres]])*Inventory[[#This Row],[Det/Nbhd Adj]],-2)</f>
        <v>66800</v>
      </c>
      <c r="BR2103" s="25">
        <f>Inventory[[#This Row],[Adjusted Impr Total]]+Inventory[[#This Row],[Adjusted Land Total]]</f>
        <v>370400</v>
      </c>
      <c r="BS2103" s="36">
        <f>IFERROR((Inventory[[#This Row],[Adjusted Impr Total]]-Inventory[[#This Row],[24Bldg]])/Inventory[[#This Row],[24Bldg]],0)</f>
        <v>8.9343379978471471E-2</v>
      </c>
      <c r="BT2103" s="36">
        <f>(Inventory[[#This Row],[Adjusted Land Total]]-Inventory[[#This Row],[24Lnd]])/Inventory[[#This Row],[24Lnd]]</f>
        <v>-0.2817204301075269</v>
      </c>
      <c r="BU2103" s="36">
        <f>(Inventory[[#This Row],[Adjusted Total]]-Inventory[[#This Row],[24Final]])/Inventory[[#This Row],[24Final]]</f>
        <v>-3.4974441754102772E-3</v>
      </c>
    </row>
    <row r="2104" spans="1:73" x14ac:dyDescent="0.3">
      <c r="A2104" s="25">
        <v>2025</v>
      </c>
      <c r="B2104" s="26" t="s">
        <v>2717</v>
      </c>
      <c r="C2104" s="26">
        <f>LN(Inventory[[#This Row],[Acres]])</f>
        <v>-2.0402208285265546</v>
      </c>
      <c r="D2104" s="25">
        <v>0.13</v>
      </c>
      <c r="E2104" s="27"/>
      <c r="F2104" s="26" t="s">
        <v>537</v>
      </c>
      <c r="G2104" s="26" t="s">
        <v>126</v>
      </c>
      <c r="H2104" s="26" t="s">
        <v>349</v>
      </c>
      <c r="I2104" s="26" t="s">
        <v>538</v>
      </c>
      <c r="J2104" s="26" t="s">
        <v>539</v>
      </c>
      <c r="K2104" s="26" t="s">
        <v>269</v>
      </c>
      <c r="L2104" s="26" t="s">
        <v>351</v>
      </c>
      <c r="M2104" s="26" t="s">
        <v>303</v>
      </c>
      <c r="N2104" s="26">
        <v>110</v>
      </c>
      <c r="O2104" s="26">
        <f>2024-Inventory[[#This Row],[YrBlt]]</f>
        <v>101</v>
      </c>
      <c r="P2104" s="26">
        <f>2024-Inventory[[#This Row],[EffYr]]</f>
        <v>57</v>
      </c>
      <c r="Q2104" s="25">
        <v>1923</v>
      </c>
      <c r="R2104" s="25">
        <v>1967</v>
      </c>
      <c r="S2104" s="25">
        <v>1146</v>
      </c>
      <c r="T2104" s="27"/>
      <c r="U2104" s="25">
        <v>504</v>
      </c>
      <c r="V2104" s="25">
        <f>Inventory[[#This Row],[Bsmt]]-Inventory[[#This Row],[FnBsmt]]</f>
        <v>354</v>
      </c>
      <c r="W2104" s="25">
        <v>150</v>
      </c>
      <c r="X2104" s="27"/>
      <c r="Y2104" s="27">
        <f>Inventory[[#This Row],[MainFn]]+Inventory[[#This Row],[UpprFn]]+Inventory[[#This Row],[FnBsmt]]+Inventory[[#This Row],[AddFn]]</f>
        <v>1296</v>
      </c>
      <c r="Z2104" s="27">
        <v>1500</v>
      </c>
      <c r="AA2104" s="25">
        <v>5</v>
      </c>
      <c r="AB2104" s="27"/>
      <c r="AC2104" s="27"/>
      <c r="AD2104" s="27"/>
      <c r="AE2104" s="27"/>
      <c r="AF2104" s="27"/>
      <c r="AG2104" s="27"/>
      <c r="AH2104" s="27"/>
      <c r="AI2104" s="25">
        <v>229786</v>
      </c>
      <c r="AJ2104" s="25">
        <v>149361</v>
      </c>
      <c r="AK2104" s="25">
        <v>6684</v>
      </c>
      <c r="AL2104" s="25">
        <v>296300</v>
      </c>
      <c r="AM2104" s="25">
        <v>43400</v>
      </c>
      <c r="AN2104" s="25">
        <v>252900</v>
      </c>
      <c r="AO2104" s="25">
        <v>0</v>
      </c>
      <c r="AP2104" s="25">
        <f>Lookups!$B$56*0</f>
        <v>0</v>
      </c>
      <c r="AQ2104" s="25">
        <f>Lookups!$B$56*1</f>
        <v>89850.625589999996</v>
      </c>
      <c r="AR2104" s="25">
        <f>Lookups!$B$57*Inventory[[#This Row],[LnAcres]]</f>
        <v>-64582.406353792743</v>
      </c>
      <c r="AS2104" s="25">
        <f>VLOOKUP(Inventory[[#This Row],[Qlty]],Lookups!$A$62:$E$75,2,FALSE)</f>
        <v>21557.329055999999</v>
      </c>
      <c r="AT2104" s="25">
        <f>VLOOKUP(Inventory[[#This Row],[Cnd]],Lookups!$A$76:$E$84,2,FALSE)</f>
        <v>197752.34721000001</v>
      </c>
      <c r="AU2104" s="25">
        <f>Inventory[[#This Row],[EffAge]]*Lookups!$B$85</f>
        <v>-12713.599228500001</v>
      </c>
      <c r="AV2104" s="25">
        <f>Inventory[[#This Row],[MainFn]]*Lookups!$B$86</f>
        <v>56622.335679042</v>
      </c>
      <c r="AW2104" s="25">
        <f>Inventory[[#This Row],[UpprFn]]*Lookups!$B$87</f>
        <v>0</v>
      </c>
      <c r="AX2104" s="25">
        <f>Inventory[[#This Row],[AddFn]]*Lookups!$B$88</f>
        <v>0</v>
      </c>
      <c r="AY2104" s="25">
        <f>Inventory[[#This Row],[Bsmt]]*Lookups!$B$89</f>
        <v>14657.275204488</v>
      </c>
      <c r="AZ2104" s="25">
        <f>Inventory[[#This Row],[Fixtures]]*Lookups!$B$90</f>
        <v>18960.110526</v>
      </c>
      <c r="BA2104" s="25">
        <f>Inventory[[#This Row],[WdDeck]]*Lookups!$B$91</f>
        <v>0</v>
      </c>
      <c r="BB2104" s="25">
        <f>ROUND(Inventory[[#This Row],[25Det]],-2)</f>
        <v>6700</v>
      </c>
      <c r="BC2104" s="25">
        <f>ROUND(SUM(Inventory[[#This Row],[Mdl Qlty]:[Mdl WdDeck]])+Inventory[[#This Row],[Mdl Res Intercept]],-2)</f>
        <v>296800</v>
      </c>
      <c r="BD2104" s="25">
        <f>ROUND(Inventory[[#This Row],[Mdl Land Intercept]]+Inventory[[#This Row],[Mdl LnAcres]],-2)</f>
        <v>25300</v>
      </c>
      <c r="BE2104" s="25">
        <f>Inventory[[#This Row],[Unadj Res Value]]+Inventory[[#This Row],[Unadj Det Value]]+Inventory[[#This Row],[Unadj Land Value]]</f>
        <v>328800</v>
      </c>
      <c r="BF2104" s="36">
        <f>(Inventory[[#This Row],[Unadj Total Value]]-Inventory[[#This Row],[24Final]])/Inventory[[#This Row],[24Final]]</f>
        <v>0.10968612892338846</v>
      </c>
      <c r="BG2104" s="25">
        <f>VLOOKUP(Inventory[[#This Row],[Nbhd]],Lookups!$Q$2:$T$4,4,FALSE)</f>
        <v>0.99970000000000003</v>
      </c>
      <c r="BH2104" s="25">
        <f>VLOOKUP(Inventory[[#This Row],[Qlty]],Lookups!$O$7:$R$21,4,FALSE)</f>
        <v>1.0067999999999999</v>
      </c>
      <c r="BI2104" s="25">
        <f>VLOOKUP(Inventory[[#This Row],[Cnd]],Lookups!$T$7:$W$16,4,FALSE)</f>
        <v>0.99650000000000005</v>
      </c>
      <c r="BJ2104" s="25">
        <f>VLOOKUP(Inventory[[#This Row],[LivArea Range]],Lookups!$T$25:$W$37,4,FALSE)</f>
        <v>1.0157</v>
      </c>
      <c r="BK2104" s="25">
        <f>VLOOKUP(Inventory[[#This Row],[Decade]],Lookups!$O$25:$R$42,4,FALSE)</f>
        <v>0.96040000000000003</v>
      </c>
      <c r="BL2104" s="25">
        <f>Inventory[[#This Row],[Nbhd Adj]]*0.95</f>
        <v>0.94971499999999998</v>
      </c>
      <c r="BM2104" s="25">
        <f>Inventory[[#This Row],[Nbhd Adj]]*Inventory[[#This Row],[Quality Adj]]*Inventory[[#This Row],[Condition Adj]]*Inventory[[#This Row],[Living Area Adj]]*Inventory[[#This Row],[Decade Adj]]*0.95</f>
        <v>0.92946151271343602</v>
      </c>
      <c r="BN2104" s="25">
        <f>ROUND(SUM(Inventory[[#This Row],[Mdl Qlty]:[Mdl WdDeck]])+Inventory[[#This Row],[Mdl Res Intercept]]*Inventory[[#This Row],[Res Adj ]],-2)</f>
        <v>296800</v>
      </c>
      <c r="BO2104" s="25">
        <f>ROUND(Inventory[[#This Row],[25Det]]*Inventory[[#This Row],[Det/Nbhd Adj]],-2)</f>
        <v>6300</v>
      </c>
      <c r="BP2104" s="25">
        <f>Inventory[[#This Row],[Adjusted Res]]+Inventory[[#This Row],[Adj Det ]]</f>
        <v>303100</v>
      </c>
      <c r="BQ2104" s="25">
        <f>ROUND((Inventory[[#This Row],[Mdl Land Intercept]]+Inventory[[#This Row],[Mdl LnAcres]])*Inventory[[#This Row],[Det/Nbhd Adj]],-2)</f>
        <v>24000</v>
      </c>
      <c r="BR2104" s="25">
        <f>Inventory[[#This Row],[Adjusted Impr Total]]+Inventory[[#This Row],[Adjusted Land Total]]</f>
        <v>327100</v>
      </c>
      <c r="BS2104" s="36">
        <f>IFERROR((Inventory[[#This Row],[Adjusted Impr Total]]-Inventory[[#This Row],[24Bldg]])/Inventory[[#This Row],[24Bldg]],0)</f>
        <v>0.1984974298141558</v>
      </c>
      <c r="BT2104" s="36">
        <f>(Inventory[[#This Row],[Adjusted Land Total]]-Inventory[[#This Row],[24Lnd]])/Inventory[[#This Row],[24Lnd]]</f>
        <v>-0.44700460829493088</v>
      </c>
      <c r="BU2104" s="36">
        <f>(Inventory[[#This Row],[Adjusted Total]]-Inventory[[#This Row],[24Final]])/Inventory[[#This Row],[24Final]]</f>
        <v>0.10394870064124198</v>
      </c>
    </row>
    <row r="2105" spans="1:73" x14ac:dyDescent="0.3">
      <c r="A2105" s="25">
        <v>2025</v>
      </c>
      <c r="B2105" s="26" t="s">
        <v>1152</v>
      </c>
      <c r="C2105" s="26">
        <f>LN(Inventory[[#This Row],[Acres]])</f>
        <v>-1.8971199848858813</v>
      </c>
      <c r="D2105" s="25">
        <v>0.15</v>
      </c>
      <c r="E2105" s="27"/>
      <c r="F2105" s="26" t="s">
        <v>537</v>
      </c>
      <c r="G2105" s="26" t="s">
        <v>126</v>
      </c>
      <c r="H2105" s="26" t="s">
        <v>349</v>
      </c>
      <c r="I2105" s="26" t="s">
        <v>538</v>
      </c>
      <c r="J2105" s="26" t="s">
        <v>539</v>
      </c>
      <c r="K2105" s="26" t="s">
        <v>269</v>
      </c>
      <c r="L2105" s="26" t="s">
        <v>351</v>
      </c>
      <c r="M2105" s="26" t="s">
        <v>323</v>
      </c>
      <c r="N2105" s="26">
        <v>110</v>
      </c>
      <c r="O2105" s="26">
        <f>2024-Inventory[[#This Row],[YrBlt]]</f>
        <v>101</v>
      </c>
      <c r="P2105" s="26">
        <f>2024-Inventory[[#This Row],[EffYr]]</f>
        <v>57</v>
      </c>
      <c r="Q2105" s="25">
        <v>1923</v>
      </c>
      <c r="R2105" s="25">
        <v>1967</v>
      </c>
      <c r="S2105" s="25">
        <v>962</v>
      </c>
      <c r="T2105" s="27"/>
      <c r="U2105" s="25">
        <v>962</v>
      </c>
      <c r="V2105" s="25">
        <f>Inventory[[#This Row],[Bsmt]]-Inventory[[#This Row],[FnBsmt]]</f>
        <v>962</v>
      </c>
      <c r="W2105" s="31"/>
      <c r="X2105" s="27"/>
      <c r="Y2105" s="27">
        <f>Inventory[[#This Row],[MainFn]]+Inventory[[#This Row],[UpprFn]]+Inventory[[#This Row],[FnBsmt]]+Inventory[[#This Row],[AddFn]]</f>
        <v>962</v>
      </c>
      <c r="Z2105" s="27">
        <v>1000</v>
      </c>
      <c r="AA2105" s="25">
        <v>5</v>
      </c>
      <c r="AB2105" s="27"/>
      <c r="AC2105" s="27"/>
      <c r="AD2105" s="27"/>
      <c r="AE2105" s="27"/>
      <c r="AF2105" s="27"/>
      <c r="AG2105" s="27"/>
      <c r="AH2105" s="27"/>
      <c r="AI2105" s="25">
        <v>201648</v>
      </c>
      <c r="AJ2105" s="25">
        <v>127038</v>
      </c>
      <c r="AK2105" s="25">
        <v>9040</v>
      </c>
      <c r="AL2105" s="25">
        <v>276200</v>
      </c>
      <c r="AM2105" s="25">
        <v>48400</v>
      </c>
      <c r="AN2105" s="25">
        <v>227800</v>
      </c>
      <c r="AO2105" s="25">
        <v>0</v>
      </c>
      <c r="AP2105" s="25">
        <f>Lookups!$B$56*0</f>
        <v>0</v>
      </c>
      <c r="AQ2105" s="25">
        <f>Lookups!$B$56*1</f>
        <v>89850.625589999996</v>
      </c>
      <c r="AR2105" s="25">
        <f>Lookups!$B$57*Inventory[[#This Row],[LnAcres]]</f>
        <v>-60052.604136134301</v>
      </c>
      <c r="AS2105" s="25">
        <f>VLOOKUP(Inventory[[#This Row],[Qlty]],Lookups!$A$62:$E$75,2,FALSE)</f>
        <v>21557.329055999999</v>
      </c>
      <c r="AT2105" s="25">
        <f>VLOOKUP(Inventory[[#This Row],[Cnd]],Lookups!$A$76:$E$84,2,FALSE)</f>
        <v>160472.20319</v>
      </c>
      <c r="AU2105" s="25">
        <f>Inventory[[#This Row],[EffAge]]*Lookups!$B$85</f>
        <v>-12713.599228500001</v>
      </c>
      <c r="AV2105" s="25">
        <f>Inventory[[#This Row],[MainFn]]*Lookups!$B$86</f>
        <v>47531.140421674005</v>
      </c>
      <c r="AW2105" s="25">
        <f>Inventory[[#This Row],[UpprFn]]*Lookups!$B$87</f>
        <v>0</v>
      </c>
      <c r="AX2105" s="25">
        <f>Inventory[[#This Row],[AddFn]]*Lookups!$B$88</f>
        <v>0</v>
      </c>
      <c r="AY2105" s="25">
        <f>Inventory[[#This Row],[Bsmt]]*Lookups!$B$89</f>
        <v>27976.783227614</v>
      </c>
      <c r="AZ2105" s="25">
        <f>Inventory[[#This Row],[Fixtures]]*Lookups!$B$90</f>
        <v>18960.110526</v>
      </c>
      <c r="BA2105" s="25">
        <f>Inventory[[#This Row],[WdDeck]]*Lookups!$B$91</f>
        <v>0</v>
      </c>
      <c r="BB2105" s="25">
        <f>ROUND(Inventory[[#This Row],[25Det]],-2)</f>
        <v>9000</v>
      </c>
      <c r="BC2105" s="25">
        <f>ROUND(SUM(Inventory[[#This Row],[Mdl Qlty]:[Mdl WdDeck]])+Inventory[[#This Row],[Mdl Res Intercept]],-2)</f>
        <v>263800</v>
      </c>
      <c r="BD2105" s="25">
        <f>ROUND(Inventory[[#This Row],[Mdl Land Intercept]]+Inventory[[#This Row],[Mdl LnAcres]],-2)</f>
        <v>29800</v>
      </c>
      <c r="BE2105" s="25">
        <f>Inventory[[#This Row],[Unadj Res Value]]+Inventory[[#This Row],[Unadj Det Value]]+Inventory[[#This Row],[Unadj Land Value]]</f>
        <v>302600</v>
      </c>
      <c r="BF2105" s="36">
        <f>(Inventory[[#This Row],[Unadj Total Value]]-Inventory[[#This Row],[24Final]])/Inventory[[#This Row],[24Final]]</f>
        <v>9.5582910934105716E-2</v>
      </c>
      <c r="BG2105" s="25">
        <f>VLOOKUP(Inventory[[#This Row],[Nbhd]],Lookups!$Q$2:$T$4,4,FALSE)</f>
        <v>0.99970000000000003</v>
      </c>
      <c r="BH2105" s="25">
        <f>VLOOKUP(Inventory[[#This Row],[Qlty]],Lookups!$O$7:$R$21,4,FALSE)</f>
        <v>1.0067999999999999</v>
      </c>
      <c r="BI2105" s="25">
        <f>VLOOKUP(Inventory[[#This Row],[Cnd]],Lookups!$T$7:$W$16,4,FALSE)</f>
        <v>0.99729999999999996</v>
      </c>
      <c r="BJ2105" s="25">
        <f>VLOOKUP(Inventory[[#This Row],[LivArea Range]],Lookups!$T$25:$W$37,4,FALSE)</f>
        <v>1.0148999999999999</v>
      </c>
      <c r="BK2105" s="25">
        <f>VLOOKUP(Inventory[[#This Row],[Decade]],Lookups!$O$25:$R$42,4,FALSE)</f>
        <v>0.96040000000000003</v>
      </c>
      <c r="BL2105" s="25">
        <f>Inventory[[#This Row],[Nbhd Adj]]*0.95</f>
        <v>0.94971499999999998</v>
      </c>
      <c r="BM2105" s="25">
        <f>Inventory[[#This Row],[Nbhd Adj]]*Inventory[[#This Row],[Quality Adj]]*Inventory[[#This Row],[Condition Adj]]*Inventory[[#This Row],[Living Area Adj]]*Inventory[[#This Row],[Decade Adj]]*0.95</f>
        <v>0.92947503021615663</v>
      </c>
      <c r="BN2105" s="25">
        <f>ROUND(SUM(Inventory[[#This Row],[Mdl Qlty]:[Mdl WdDeck]])+Inventory[[#This Row],[Mdl Res Intercept]]*Inventory[[#This Row],[Res Adj ]],-2)</f>
        <v>263800</v>
      </c>
      <c r="BO2105" s="25">
        <f>ROUND(Inventory[[#This Row],[25Det]]*Inventory[[#This Row],[Det/Nbhd Adj]],-2)</f>
        <v>8600</v>
      </c>
      <c r="BP2105" s="25">
        <f>Inventory[[#This Row],[Adjusted Res]]+Inventory[[#This Row],[Adj Det ]]</f>
        <v>272400</v>
      </c>
      <c r="BQ2105" s="25">
        <f>ROUND((Inventory[[#This Row],[Mdl Land Intercept]]+Inventory[[#This Row],[Mdl LnAcres]])*Inventory[[#This Row],[Det/Nbhd Adj]],-2)</f>
        <v>28300</v>
      </c>
      <c r="BR2105" s="25">
        <f>Inventory[[#This Row],[Adjusted Impr Total]]+Inventory[[#This Row],[Adjusted Land Total]]</f>
        <v>300700</v>
      </c>
      <c r="BS2105" s="36">
        <f>IFERROR((Inventory[[#This Row],[Adjusted Impr Total]]-Inventory[[#This Row],[24Bldg]])/Inventory[[#This Row],[24Bldg]],0)</f>
        <v>0.1957857769973661</v>
      </c>
      <c r="BT2105" s="36">
        <f>(Inventory[[#This Row],[Adjusted Land Total]]-Inventory[[#This Row],[24Lnd]])/Inventory[[#This Row],[24Lnd]]</f>
        <v>-0.41528925619834711</v>
      </c>
      <c r="BU2105" s="36">
        <f>(Inventory[[#This Row],[Adjusted Total]]-Inventory[[#This Row],[24Final]])/Inventory[[#This Row],[24Final]]</f>
        <v>8.8703837798696603E-2</v>
      </c>
    </row>
    <row r="2106" spans="1:73" x14ac:dyDescent="0.3">
      <c r="A2106" s="25">
        <v>2025</v>
      </c>
      <c r="B2106" s="26" t="s">
        <v>1221</v>
      </c>
      <c r="C2106" s="26">
        <f>LN(Inventory[[#This Row],[Acres]])</f>
        <v>-0.9942522733438669</v>
      </c>
      <c r="D2106" s="25">
        <v>0.37</v>
      </c>
      <c r="E2106" s="32">
        <v>15950</v>
      </c>
      <c r="F2106" s="26" t="s">
        <v>537</v>
      </c>
      <c r="G2106" s="26" t="s">
        <v>126</v>
      </c>
      <c r="H2106" s="26" t="s">
        <v>349</v>
      </c>
      <c r="I2106" s="26" t="s">
        <v>538</v>
      </c>
      <c r="J2106" s="26" t="s">
        <v>539</v>
      </c>
      <c r="K2106" s="26" t="s">
        <v>147</v>
      </c>
      <c r="L2106" s="26" t="s">
        <v>351</v>
      </c>
      <c r="M2106" s="26" t="s">
        <v>206</v>
      </c>
      <c r="N2106" s="26">
        <v>110</v>
      </c>
      <c r="O2106" s="26">
        <f>2024-Inventory[[#This Row],[YrBlt]]</f>
        <v>101</v>
      </c>
      <c r="P2106" s="26">
        <f>2024-Inventory[[#This Row],[EffYr]]</f>
        <v>57</v>
      </c>
      <c r="Q2106" s="25">
        <v>1923</v>
      </c>
      <c r="R2106" s="25">
        <v>1967</v>
      </c>
      <c r="S2106" s="25">
        <v>1008</v>
      </c>
      <c r="T2106" s="32">
        <v>675</v>
      </c>
      <c r="U2106" s="25">
        <v>1008</v>
      </c>
      <c r="V2106" s="25">
        <f>Inventory[[#This Row],[Bsmt]]-Inventory[[#This Row],[FnBsmt]]</f>
        <v>906</v>
      </c>
      <c r="W2106" s="25">
        <v>102</v>
      </c>
      <c r="X2106" s="27"/>
      <c r="Y2106" s="27">
        <f>Inventory[[#This Row],[MainFn]]+Inventory[[#This Row],[UpprFn]]+Inventory[[#This Row],[FnBsmt]]+Inventory[[#This Row],[AddFn]]</f>
        <v>1785</v>
      </c>
      <c r="Z2106" s="27">
        <v>2000</v>
      </c>
      <c r="AA2106" s="25">
        <v>7</v>
      </c>
      <c r="AB2106" s="27"/>
      <c r="AC2106" s="27"/>
      <c r="AD2106" s="32">
        <v>280</v>
      </c>
      <c r="AE2106" s="27"/>
      <c r="AF2106" s="27"/>
      <c r="AG2106" s="27"/>
      <c r="AH2106" s="27"/>
      <c r="AI2106" s="25">
        <v>299104</v>
      </c>
      <c r="AJ2106" s="25">
        <v>182453</v>
      </c>
      <c r="AK2106" s="25">
        <v>23837</v>
      </c>
      <c r="AL2106" s="25">
        <v>336100</v>
      </c>
      <c r="AM2106" s="25">
        <v>79900</v>
      </c>
      <c r="AN2106" s="25">
        <v>256200</v>
      </c>
      <c r="AO2106" s="25">
        <v>0</v>
      </c>
      <c r="AP2106" s="25">
        <f>Lookups!$B$56*0</f>
        <v>0</v>
      </c>
      <c r="AQ2106" s="25">
        <f>Lookups!$B$56*1</f>
        <v>89850.625589999996</v>
      </c>
      <c r="AR2106" s="25">
        <f>Lookups!$B$57*Inventory[[#This Row],[LnAcres]]</f>
        <v>-31472.673662315807</v>
      </c>
      <c r="AS2106" s="25">
        <f>VLOOKUP(Inventory[[#This Row],[Qlty]],Lookups!$A$62:$E$75,2,FALSE)</f>
        <v>21557.329055999999</v>
      </c>
      <c r="AT2106" s="25">
        <f>VLOOKUP(Inventory[[#This Row],[Cnd]],Lookups!$A$76:$E$84,2,FALSE)</f>
        <v>133714.53821</v>
      </c>
      <c r="AU2106" s="25">
        <f>Inventory[[#This Row],[EffAge]]*Lookups!$B$85</f>
        <v>-12713.599228500001</v>
      </c>
      <c r="AV2106" s="25">
        <f>Inventory[[#This Row],[MainFn]]*Lookups!$B$86</f>
        <v>49803.939236015998</v>
      </c>
      <c r="AW2106" s="25">
        <f>Inventory[[#This Row],[UpprFn]]*Lookups!$B$87</f>
        <v>30230.835431174997</v>
      </c>
      <c r="AX2106" s="25">
        <f>Inventory[[#This Row],[AddFn]]*Lookups!$B$88</f>
        <v>0</v>
      </c>
      <c r="AY2106" s="25">
        <f>Inventory[[#This Row],[Bsmt]]*Lookups!$B$89</f>
        <v>29314.550408976</v>
      </c>
      <c r="AZ2106" s="25">
        <f>Inventory[[#This Row],[Fixtures]]*Lookups!$B$90</f>
        <v>26544.1547364</v>
      </c>
      <c r="BA2106" s="25">
        <f>Inventory[[#This Row],[WdDeck]]*Lookups!$B$91</f>
        <v>9322.7442772800005</v>
      </c>
      <c r="BB2106" s="25">
        <f>ROUND(Inventory[[#This Row],[25Det]],-2)</f>
        <v>23800</v>
      </c>
      <c r="BC2106" s="25">
        <f>ROUND(SUM(Inventory[[#This Row],[Mdl Qlty]:[Mdl WdDeck]])+Inventory[[#This Row],[Mdl Res Intercept]],-2)</f>
        <v>287800</v>
      </c>
      <c r="BD2106" s="25">
        <f>ROUND(Inventory[[#This Row],[Mdl Land Intercept]]+Inventory[[#This Row],[Mdl LnAcres]],-2)</f>
        <v>58400</v>
      </c>
      <c r="BE2106" s="25">
        <f>Inventory[[#This Row],[Unadj Res Value]]+Inventory[[#This Row],[Unadj Det Value]]+Inventory[[#This Row],[Unadj Land Value]]</f>
        <v>370000</v>
      </c>
      <c r="BF2106" s="36">
        <f>(Inventory[[#This Row],[Unadj Total Value]]-Inventory[[#This Row],[24Final]])/Inventory[[#This Row],[24Final]]</f>
        <v>0.1008628384409402</v>
      </c>
      <c r="BG2106" s="25">
        <f>VLOOKUP(Inventory[[#This Row],[Nbhd]],Lookups!$Q$2:$T$4,4,FALSE)</f>
        <v>0.99970000000000003</v>
      </c>
      <c r="BH2106" s="25">
        <f>VLOOKUP(Inventory[[#This Row],[Qlty]],Lookups!$O$7:$R$21,4,FALSE)</f>
        <v>1.0067999999999999</v>
      </c>
      <c r="BI2106" s="25">
        <f>VLOOKUP(Inventory[[#This Row],[Cnd]],Lookups!$T$7:$W$16,4,FALSE)</f>
        <v>0.99329999999999996</v>
      </c>
      <c r="BJ2106" s="25">
        <f>VLOOKUP(Inventory[[#This Row],[LivArea Range]],Lookups!$T$25:$W$37,4,FALSE)</f>
        <v>1.0093000000000001</v>
      </c>
      <c r="BK2106" s="25">
        <f>VLOOKUP(Inventory[[#This Row],[Decade]],Lookups!$O$25:$R$42,4,FALSE)</f>
        <v>0.96040000000000003</v>
      </c>
      <c r="BL2106" s="25">
        <f>Inventory[[#This Row],[Nbhd Adj]]*0.95</f>
        <v>0.94971499999999998</v>
      </c>
      <c r="BM2106" s="25">
        <f>Inventory[[#This Row],[Nbhd Adj]]*Inventory[[#This Row],[Quality Adj]]*Inventory[[#This Row],[Condition Adj]]*Inventory[[#This Row],[Living Area Adj]]*Inventory[[#This Row],[Decade Adj]]*0.95</f>
        <v>0.92063899131812543</v>
      </c>
      <c r="BN2106" s="25">
        <f>ROUND(SUM(Inventory[[#This Row],[Mdl Qlty]:[Mdl WdDeck]])+Inventory[[#This Row],[Mdl Res Intercept]]*Inventory[[#This Row],[Res Adj ]],-2)</f>
        <v>287800</v>
      </c>
      <c r="BO2106" s="25">
        <f>ROUND(Inventory[[#This Row],[25Det]]*Inventory[[#This Row],[Det/Nbhd Adj]],-2)</f>
        <v>22600</v>
      </c>
      <c r="BP2106" s="25">
        <f>Inventory[[#This Row],[Adjusted Res]]+Inventory[[#This Row],[Adj Det ]]</f>
        <v>310400</v>
      </c>
      <c r="BQ2106" s="25">
        <f>ROUND((Inventory[[#This Row],[Mdl Land Intercept]]+Inventory[[#This Row],[Mdl LnAcres]])*Inventory[[#This Row],[Det/Nbhd Adj]],-2)</f>
        <v>55400</v>
      </c>
      <c r="BR2106" s="25">
        <f>Inventory[[#This Row],[Adjusted Impr Total]]+Inventory[[#This Row],[Adjusted Land Total]]</f>
        <v>365800</v>
      </c>
      <c r="BS2106" s="36">
        <f>IFERROR((Inventory[[#This Row],[Adjusted Impr Total]]-Inventory[[#This Row],[24Bldg]])/Inventory[[#This Row],[24Bldg]],0)</f>
        <v>0.21155347384855583</v>
      </c>
      <c r="BT2106" s="36">
        <f>(Inventory[[#This Row],[Adjusted Land Total]]-Inventory[[#This Row],[24Lnd]])/Inventory[[#This Row],[24Lnd]]</f>
        <v>-0.30663329161451813</v>
      </c>
      <c r="BU2106" s="36">
        <f>(Inventory[[#This Row],[Adjusted Total]]-Inventory[[#This Row],[24Final]])/Inventory[[#This Row],[24Final]]</f>
        <v>8.8366557572151144E-2</v>
      </c>
    </row>
    <row r="2107" spans="1:73" x14ac:dyDescent="0.3">
      <c r="A2107" s="25">
        <v>2025</v>
      </c>
      <c r="B2107" s="26" t="s">
        <v>2146</v>
      </c>
      <c r="C2107" s="26">
        <f>LN(Inventory[[#This Row],[Acres]])</f>
        <v>-1.8971199848858813</v>
      </c>
      <c r="D2107" s="25">
        <v>0.15</v>
      </c>
      <c r="E2107" s="32">
        <v>6641</v>
      </c>
      <c r="F2107" s="26" t="s">
        <v>537</v>
      </c>
      <c r="G2107" s="26" t="s">
        <v>126</v>
      </c>
      <c r="H2107" s="26" t="s">
        <v>349</v>
      </c>
      <c r="I2107" s="26" t="s">
        <v>538</v>
      </c>
      <c r="J2107" s="26" t="s">
        <v>539</v>
      </c>
      <c r="K2107" s="26" t="s">
        <v>242</v>
      </c>
      <c r="L2107" s="26" t="s">
        <v>205</v>
      </c>
      <c r="M2107" s="26" t="s">
        <v>303</v>
      </c>
      <c r="N2107" s="26">
        <v>110</v>
      </c>
      <c r="O2107" s="26">
        <f>2024-Inventory[[#This Row],[YrBlt]]</f>
        <v>101</v>
      </c>
      <c r="P2107" s="26">
        <f>2024-Inventory[[#This Row],[EffYr]]</f>
        <v>57</v>
      </c>
      <c r="Q2107" s="25">
        <v>1923</v>
      </c>
      <c r="R2107" s="25">
        <v>1967</v>
      </c>
      <c r="S2107" s="25">
        <v>830</v>
      </c>
      <c r="T2107" s="27"/>
      <c r="U2107" s="32">
        <v>315</v>
      </c>
      <c r="V2107" s="32">
        <f>Inventory[[#This Row],[Bsmt]]-Inventory[[#This Row],[FnBsmt]]</f>
        <v>0</v>
      </c>
      <c r="W2107" s="32">
        <v>315</v>
      </c>
      <c r="X2107" s="27"/>
      <c r="Y2107" s="27">
        <f>Inventory[[#This Row],[MainFn]]+Inventory[[#This Row],[UpprFn]]+Inventory[[#This Row],[FnBsmt]]+Inventory[[#This Row],[AddFn]]</f>
        <v>1145</v>
      </c>
      <c r="Z2107" s="27">
        <v>1500</v>
      </c>
      <c r="AA2107" s="25">
        <v>5</v>
      </c>
      <c r="AB2107" s="31"/>
      <c r="AC2107" s="27"/>
      <c r="AD2107" s="27"/>
      <c r="AE2107" s="27"/>
      <c r="AF2107" s="27"/>
      <c r="AG2107" s="27"/>
      <c r="AH2107" s="27"/>
      <c r="AI2107" s="25">
        <v>161449</v>
      </c>
      <c r="AJ2107" s="25">
        <v>104942</v>
      </c>
      <c r="AK2107" s="25">
        <v>0</v>
      </c>
      <c r="AL2107" s="25">
        <v>263500</v>
      </c>
      <c r="AM2107" s="25">
        <v>48400</v>
      </c>
      <c r="AN2107" s="25">
        <v>215100</v>
      </c>
      <c r="AO2107" s="25">
        <v>0</v>
      </c>
      <c r="AP2107" s="25">
        <f>Lookups!$B$56*0</f>
        <v>0</v>
      </c>
      <c r="AQ2107" s="25">
        <f>Lookups!$B$56*1</f>
        <v>89850.625589999996</v>
      </c>
      <c r="AR2107" s="25">
        <f>Lookups!$B$57*Inventory[[#This Row],[LnAcres]]</f>
        <v>-60052.604136134301</v>
      </c>
      <c r="AS2107" s="25">
        <f>VLOOKUP(Inventory[[#This Row],[Qlty]],Lookups!$A$62:$E$75,2,FALSE)</f>
        <v>0</v>
      </c>
      <c r="AT2107" s="25">
        <f>VLOOKUP(Inventory[[#This Row],[Cnd]],Lookups!$A$76:$E$84,2,FALSE)</f>
        <v>197752.34721000001</v>
      </c>
      <c r="AU2107" s="25">
        <f>Inventory[[#This Row],[EffAge]]*Lookups!$B$85</f>
        <v>-12713.599228500001</v>
      </c>
      <c r="AV2107" s="25">
        <f>Inventory[[#This Row],[MainFn]]*Lookups!$B$86</f>
        <v>41009.195997909999</v>
      </c>
      <c r="AW2107" s="25">
        <f>Inventory[[#This Row],[UpprFn]]*Lookups!$B$87</f>
        <v>0</v>
      </c>
      <c r="AX2107" s="25">
        <f>Inventory[[#This Row],[AddFn]]*Lookups!$B$88</f>
        <v>0</v>
      </c>
      <c r="AY2107" s="25">
        <f>Inventory[[#This Row],[Bsmt]]*Lookups!$B$89</f>
        <v>9160.7970028050004</v>
      </c>
      <c r="AZ2107" s="25">
        <f>Inventory[[#This Row],[Fixtures]]*Lookups!$B$90</f>
        <v>18960.110526</v>
      </c>
      <c r="BA2107" s="25">
        <f>Inventory[[#This Row],[WdDeck]]*Lookups!$B$91</f>
        <v>0</v>
      </c>
      <c r="BB2107" s="25">
        <f>ROUND(Inventory[[#This Row],[25Det]],-2)</f>
        <v>0</v>
      </c>
      <c r="BC2107" s="25">
        <f>ROUND(SUM(Inventory[[#This Row],[Mdl Qlty]:[Mdl WdDeck]])+Inventory[[#This Row],[Mdl Res Intercept]],-2)</f>
        <v>254200</v>
      </c>
      <c r="BD2107" s="25">
        <f>ROUND(Inventory[[#This Row],[Mdl Land Intercept]]+Inventory[[#This Row],[Mdl LnAcres]],-2)</f>
        <v>29800</v>
      </c>
      <c r="BE2107" s="25">
        <f>Inventory[[#This Row],[Unadj Res Value]]+Inventory[[#This Row],[Unadj Det Value]]+Inventory[[#This Row],[Unadj Land Value]]</f>
        <v>284000</v>
      </c>
      <c r="BF2107" s="36">
        <f>(Inventory[[#This Row],[Unadj Total Value]]-Inventory[[#This Row],[24Final]])/Inventory[[#This Row],[24Final]]</f>
        <v>7.7798861480075907E-2</v>
      </c>
      <c r="BG2107" s="25">
        <f>VLOOKUP(Inventory[[#This Row],[Nbhd]],Lookups!$Q$2:$T$4,4,FALSE)</f>
        <v>0.99970000000000003</v>
      </c>
      <c r="BH2107" s="25">
        <f>VLOOKUP(Inventory[[#This Row],[Qlty]],Lookups!$O$7:$R$21,4,FALSE)</f>
        <v>0.99180000000000001</v>
      </c>
      <c r="BI2107" s="25">
        <f>VLOOKUP(Inventory[[#This Row],[Cnd]],Lookups!$T$7:$W$16,4,FALSE)</f>
        <v>0.99650000000000005</v>
      </c>
      <c r="BJ2107" s="25">
        <f>VLOOKUP(Inventory[[#This Row],[LivArea Range]],Lookups!$T$25:$W$37,4,FALSE)</f>
        <v>1.0157</v>
      </c>
      <c r="BK2107" s="25">
        <f>VLOOKUP(Inventory[[#This Row],[Decade]],Lookups!$O$25:$R$42,4,FALSE)</f>
        <v>0.96040000000000003</v>
      </c>
      <c r="BL2107" s="25">
        <f>Inventory[[#This Row],[Nbhd Adj]]*0.95</f>
        <v>0.94971499999999998</v>
      </c>
      <c r="BM2107" s="25">
        <f>Inventory[[#This Row],[Nbhd Adj]]*Inventory[[#This Row],[Quality Adj]]*Inventory[[#This Row],[Condition Adj]]*Inventory[[#This Row],[Living Area Adj]]*Inventory[[#This Row],[Decade Adj]]*0.95</f>
        <v>0.91561375477670459</v>
      </c>
      <c r="BN2107" s="25">
        <f>ROUND(SUM(Inventory[[#This Row],[Mdl Qlty]:[Mdl WdDeck]])+Inventory[[#This Row],[Mdl Res Intercept]]*Inventory[[#This Row],[Res Adj ]],-2)</f>
        <v>254200</v>
      </c>
      <c r="BO2107" s="25">
        <f>ROUND(Inventory[[#This Row],[25Det]]*Inventory[[#This Row],[Det/Nbhd Adj]],-2)</f>
        <v>0</v>
      </c>
      <c r="BP2107" s="25">
        <f>Inventory[[#This Row],[Adjusted Res]]+Inventory[[#This Row],[Adj Det ]]</f>
        <v>254200</v>
      </c>
      <c r="BQ2107" s="25">
        <f>ROUND((Inventory[[#This Row],[Mdl Land Intercept]]+Inventory[[#This Row],[Mdl LnAcres]])*Inventory[[#This Row],[Det/Nbhd Adj]],-2)</f>
        <v>28300</v>
      </c>
      <c r="BR2107" s="25">
        <f>Inventory[[#This Row],[Adjusted Impr Total]]+Inventory[[#This Row],[Adjusted Land Total]]</f>
        <v>282500</v>
      </c>
      <c r="BS2107" s="36">
        <f>IFERROR((Inventory[[#This Row],[Adjusted Impr Total]]-Inventory[[#This Row],[24Bldg]])/Inventory[[#This Row],[24Bldg]],0)</f>
        <v>0.18177591817759181</v>
      </c>
      <c r="BT2107" s="36">
        <f>(Inventory[[#This Row],[Adjusted Land Total]]-Inventory[[#This Row],[24Lnd]])/Inventory[[#This Row],[24Lnd]]</f>
        <v>-0.41528925619834711</v>
      </c>
      <c r="BU2107" s="36">
        <f>(Inventory[[#This Row],[Adjusted Total]]-Inventory[[#This Row],[24Final]])/Inventory[[#This Row],[24Final]]</f>
        <v>7.2106261859582549E-2</v>
      </c>
    </row>
    <row r="2108" spans="1:73" x14ac:dyDescent="0.3">
      <c r="A2108" s="25">
        <v>2025</v>
      </c>
      <c r="B2108" s="26" t="s">
        <v>992</v>
      </c>
      <c r="C2108" s="26">
        <f>LN(Inventory[[#This Row],[Acres]])</f>
        <v>0.53649337051456847</v>
      </c>
      <c r="D2108" s="25">
        <v>1.71</v>
      </c>
      <c r="E2108" s="32">
        <v>74279</v>
      </c>
      <c r="F2108" s="26" t="s">
        <v>537</v>
      </c>
      <c r="G2108" s="26" t="s">
        <v>126</v>
      </c>
      <c r="H2108" s="26" t="s">
        <v>349</v>
      </c>
      <c r="I2108" s="26" t="s">
        <v>538</v>
      </c>
      <c r="J2108" s="26" t="s">
        <v>539</v>
      </c>
      <c r="K2108" s="26" t="s">
        <v>416</v>
      </c>
      <c r="L2108" s="26" t="s">
        <v>95</v>
      </c>
      <c r="M2108" s="26" t="s">
        <v>303</v>
      </c>
      <c r="N2108" s="26">
        <v>110</v>
      </c>
      <c r="O2108" s="26">
        <f>2024-Inventory[[#This Row],[YrBlt]]</f>
        <v>101</v>
      </c>
      <c r="P2108" s="26">
        <f>2024-Inventory[[#This Row],[EffYr]]</f>
        <v>57</v>
      </c>
      <c r="Q2108" s="25">
        <v>1923</v>
      </c>
      <c r="R2108" s="25">
        <v>1967</v>
      </c>
      <c r="S2108" s="25">
        <v>2239</v>
      </c>
      <c r="T2108" s="25">
        <v>1158</v>
      </c>
      <c r="U2108" s="25">
        <v>680</v>
      </c>
      <c r="V2108" s="25">
        <f>Inventory[[#This Row],[Bsmt]]-Inventory[[#This Row],[FnBsmt]]</f>
        <v>680</v>
      </c>
      <c r="W2108" s="31"/>
      <c r="X2108" s="27"/>
      <c r="Y2108" s="27">
        <f>Inventory[[#This Row],[MainFn]]+Inventory[[#This Row],[UpprFn]]+Inventory[[#This Row],[FnBsmt]]+Inventory[[#This Row],[AddFn]]</f>
        <v>3397</v>
      </c>
      <c r="Z2108" s="27">
        <v>3500</v>
      </c>
      <c r="AA2108" s="25">
        <v>14</v>
      </c>
      <c r="AB2108" s="31"/>
      <c r="AC2108" s="27"/>
      <c r="AD2108" s="27"/>
      <c r="AE2108" s="27"/>
      <c r="AF2108" s="27"/>
      <c r="AG2108" s="27"/>
      <c r="AH2108" s="27"/>
      <c r="AI2108" s="25">
        <v>739194</v>
      </c>
      <c r="AJ2108" s="25">
        <v>487868</v>
      </c>
      <c r="AK2108" s="25">
        <v>54607</v>
      </c>
      <c r="AL2108" s="25">
        <v>659900</v>
      </c>
      <c r="AM2108" s="25">
        <v>133200</v>
      </c>
      <c r="AN2108" s="25">
        <v>526700</v>
      </c>
      <c r="AO2108" s="25">
        <v>0</v>
      </c>
      <c r="AP2108" s="25">
        <f>Lookups!$B$56*0</f>
        <v>0</v>
      </c>
      <c r="AQ2108" s="25">
        <f>Lookups!$B$56*1</f>
        <v>89850.625589999996</v>
      </c>
      <c r="AR2108" s="25">
        <f>Lookups!$B$57*Inventory[[#This Row],[LnAcres]]</f>
        <v>16982.491491232606</v>
      </c>
      <c r="AS2108" s="25">
        <f>VLOOKUP(Inventory[[#This Row],[Qlty]],Lookups!$A$62:$E$75,2,FALSE)</f>
        <v>74268.409664999999</v>
      </c>
      <c r="AT2108" s="25">
        <f>VLOOKUP(Inventory[[#This Row],[Cnd]],Lookups!$A$76:$E$84,2,FALSE)</f>
        <v>197752.34721000001</v>
      </c>
      <c r="AU2108" s="25">
        <f>Inventory[[#This Row],[EffAge]]*Lookups!$B$85</f>
        <v>-12713.599228500001</v>
      </c>
      <c r="AV2108" s="25">
        <f>Inventory[[#This Row],[MainFn]]*Lookups!$B$86</f>
        <v>110626.011854603</v>
      </c>
      <c r="AW2108" s="25">
        <f>Inventory[[#This Row],[UpprFn]]*Lookups!$B$87</f>
        <v>51862.677673038001</v>
      </c>
      <c r="AX2108" s="25">
        <f>Inventory[[#This Row],[AddFn]]*Lookups!$B$88</f>
        <v>0</v>
      </c>
      <c r="AY2108" s="25">
        <f>Inventory[[#This Row],[Bsmt]]*Lookups!$B$89</f>
        <v>19775.68876796</v>
      </c>
      <c r="AZ2108" s="25">
        <f>Inventory[[#This Row],[Fixtures]]*Lookups!$B$90</f>
        <v>53088.3094728</v>
      </c>
      <c r="BA2108" s="25">
        <f>Inventory[[#This Row],[WdDeck]]*Lookups!$B$91</f>
        <v>0</v>
      </c>
      <c r="BB2108" s="25">
        <f>ROUND(Inventory[[#This Row],[25Det]],-2)</f>
        <v>54600</v>
      </c>
      <c r="BC2108" s="25">
        <f>ROUND(SUM(Inventory[[#This Row],[Mdl Qlty]:[Mdl WdDeck]])+Inventory[[#This Row],[Mdl Res Intercept]],-2)</f>
        <v>494700</v>
      </c>
      <c r="BD2108" s="25">
        <f>ROUND(Inventory[[#This Row],[Mdl Land Intercept]]+Inventory[[#This Row],[Mdl LnAcres]],-2)</f>
        <v>106800</v>
      </c>
      <c r="BE2108" s="25">
        <f>Inventory[[#This Row],[Unadj Res Value]]+Inventory[[#This Row],[Unadj Det Value]]+Inventory[[#This Row],[Unadj Land Value]]</f>
        <v>656100</v>
      </c>
      <c r="BF2108" s="36">
        <f>(Inventory[[#This Row],[Unadj Total Value]]-Inventory[[#This Row],[24Final]])/Inventory[[#This Row],[24Final]]</f>
        <v>-5.7584482497348086E-3</v>
      </c>
      <c r="BG2108" s="25">
        <f>VLOOKUP(Inventory[[#This Row],[Nbhd]],Lookups!$Q$2:$T$4,4,FALSE)</f>
        <v>0.99970000000000003</v>
      </c>
      <c r="BH2108" s="25">
        <f>VLOOKUP(Inventory[[#This Row],[Qlty]],Lookups!$O$7:$R$21,4,FALSE)</f>
        <v>0.98380000000000001</v>
      </c>
      <c r="BI2108" s="25">
        <f>VLOOKUP(Inventory[[#This Row],[Cnd]],Lookups!$T$7:$W$16,4,FALSE)</f>
        <v>0.99650000000000005</v>
      </c>
      <c r="BJ2108" s="25">
        <f>VLOOKUP(Inventory[[#This Row],[LivArea Range]],Lookups!$T$25:$W$37,4,FALSE)</f>
        <v>1.0126999999999999</v>
      </c>
      <c r="BK2108" s="25">
        <f>VLOOKUP(Inventory[[#This Row],[Decade]],Lookups!$O$25:$R$42,4,FALSE)</f>
        <v>0.96040000000000003</v>
      </c>
      <c r="BL2108" s="25">
        <f>Inventory[[#This Row],[Nbhd Adj]]*0.95</f>
        <v>0.94971499999999998</v>
      </c>
      <c r="BM2108" s="25">
        <f>Inventory[[#This Row],[Nbhd Adj]]*Inventory[[#This Row],[Quality Adj]]*Inventory[[#This Row],[Condition Adj]]*Inventory[[#This Row],[Living Area Adj]]*Inventory[[#This Row],[Decade Adj]]*0.95</f>
        <v>0.90554571535133732</v>
      </c>
      <c r="BN2108" s="25">
        <f>ROUND(SUM(Inventory[[#This Row],[Mdl Qlty]:[Mdl WdDeck]])+Inventory[[#This Row],[Mdl Res Intercept]]*Inventory[[#This Row],[Res Adj ]],-2)</f>
        <v>494700</v>
      </c>
      <c r="BO2108" s="25">
        <f>ROUND(Inventory[[#This Row],[25Det]]*Inventory[[#This Row],[Det/Nbhd Adj]],-2)</f>
        <v>51900</v>
      </c>
      <c r="BP2108" s="25">
        <f>Inventory[[#This Row],[Adjusted Res]]+Inventory[[#This Row],[Adj Det ]]</f>
        <v>546600</v>
      </c>
      <c r="BQ2108" s="25">
        <f>ROUND((Inventory[[#This Row],[Mdl Land Intercept]]+Inventory[[#This Row],[Mdl LnAcres]])*Inventory[[#This Row],[Det/Nbhd Adj]],-2)</f>
        <v>101500</v>
      </c>
      <c r="BR2108" s="25">
        <f>Inventory[[#This Row],[Adjusted Impr Total]]+Inventory[[#This Row],[Adjusted Land Total]]</f>
        <v>648100</v>
      </c>
      <c r="BS2108" s="36">
        <f>IFERROR((Inventory[[#This Row],[Adjusted Impr Total]]-Inventory[[#This Row],[24Bldg]])/Inventory[[#This Row],[24Bldg]],0)</f>
        <v>3.7782418834251E-2</v>
      </c>
      <c r="BT2108" s="36">
        <f>(Inventory[[#This Row],[Adjusted Land Total]]-Inventory[[#This Row],[24Lnd]])/Inventory[[#This Row],[24Lnd]]</f>
        <v>-0.23798798798798798</v>
      </c>
      <c r="BU2108" s="36">
        <f>(Inventory[[#This Row],[Adjusted Total]]-Inventory[[#This Row],[24Final]])/Inventory[[#This Row],[24Final]]</f>
        <v>-1.7881497196544933E-2</v>
      </c>
    </row>
    <row r="2109" spans="1:73" x14ac:dyDescent="0.3">
      <c r="A2109" s="25">
        <v>2025</v>
      </c>
      <c r="B2109" s="26" t="s">
        <v>2558</v>
      </c>
      <c r="C2109" s="26">
        <f>LN(Inventory[[#This Row],[Acres]])</f>
        <v>-1.8971199848858813</v>
      </c>
      <c r="D2109" s="25">
        <v>0.15</v>
      </c>
      <c r="E2109" s="31"/>
      <c r="F2109" s="26" t="s">
        <v>537</v>
      </c>
      <c r="G2109" s="26" t="s">
        <v>126</v>
      </c>
      <c r="H2109" s="26" t="s">
        <v>349</v>
      </c>
      <c r="I2109" s="26" t="s">
        <v>538</v>
      </c>
      <c r="J2109" s="26" t="s">
        <v>539</v>
      </c>
      <c r="K2109" s="26" t="s">
        <v>269</v>
      </c>
      <c r="L2109" s="26" t="s">
        <v>351</v>
      </c>
      <c r="M2109" s="26" t="s">
        <v>323</v>
      </c>
      <c r="N2109" s="26">
        <v>110</v>
      </c>
      <c r="O2109" s="26">
        <f>2024-Inventory[[#This Row],[YrBlt]]</f>
        <v>101</v>
      </c>
      <c r="P2109" s="26">
        <f>2024-Inventory[[#This Row],[EffYr]]</f>
        <v>57</v>
      </c>
      <c r="Q2109" s="25">
        <v>1923</v>
      </c>
      <c r="R2109" s="25">
        <v>1967</v>
      </c>
      <c r="S2109" s="25">
        <v>1228</v>
      </c>
      <c r="T2109" s="27"/>
      <c r="U2109" s="25">
        <v>615</v>
      </c>
      <c r="V2109" s="32">
        <f>Inventory[[#This Row],[Bsmt]]-Inventory[[#This Row],[FnBsmt]]</f>
        <v>0</v>
      </c>
      <c r="W2109" s="32">
        <v>615</v>
      </c>
      <c r="X2109" s="27"/>
      <c r="Y2109" s="27">
        <f>Inventory[[#This Row],[MainFn]]+Inventory[[#This Row],[UpprFn]]+Inventory[[#This Row],[FnBsmt]]+Inventory[[#This Row],[AddFn]]</f>
        <v>1843</v>
      </c>
      <c r="Z2109" s="27">
        <v>2000</v>
      </c>
      <c r="AA2109" s="25">
        <v>8</v>
      </c>
      <c r="AB2109" s="27"/>
      <c r="AC2109" s="27"/>
      <c r="AD2109" s="27"/>
      <c r="AE2109" s="27"/>
      <c r="AF2109" s="27"/>
      <c r="AG2109" s="27"/>
      <c r="AH2109" s="27"/>
      <c r="AI2109" s="25">
        <v>270711</v>
      </c>
      <c r="AJ2109" s="25">
        <v>175962</v>
      </c>
      <c r="AK2109" s="25">
        <v>6227</v>
      </c>
      <c r="AL2109" s="25">
        <v>328000</v>
      </c>
      <c r="AM2109" s="25">
        <v>48400</v>
      </c>
      <c r="AN2109" s="25">
        <v>279600</v>
      </c>
      <c r="AO2109" s="25">
        <v>0</v>
      </c>
      <c r="AP2109" s="25">
        <f>Lookups!$B$56*0</f>
        <v>0</v>
      </c>
      <c r="AQ2109" s="25">
        <f>Lookups!$B$56*1</f>
        <v>89850.625589999996</v>
      </c>
      <c r="AR2109" s="25">
        <f>Lookups!$B$57*Inventory[[#This Row],[LnAcres]]</f>
        <v>-60052.604136134301</v>
      </c>
      <c r="AS2109" s="25">
        <f>VLOOKUP(Inventory[[#This Row],[Qlty]],Lookups!$A$62:$E$75,2,FALSE)</f>
        <v>21557.329055999999</v>
      </c>
      <c r="AT2109" s="25">
        <f>VLOOKUP(Inventory[[#This Row],[Cnd]],Lookups!$A$76:$E$84,2,FALSE)</f>
        <v>160472.20319</v>
      </c>
      <c r="AU2109" s="25">
        <f>Inventory[[#This Row],[EffAge]]*Lookups!$B$85</f>
        <v>-12713.599228500001</v>
      </c>
      <c r="AV2109" s="25">
        <f>Inventory[[#This Row],[MainFn]]*Lookups!$B$86</f>
        <v>60673.846608956002</v>
      </c>
      <c r="AW2109" s="25">
        <f>Inventory[[#This Row],[UpprFn]]*Lookups!$B$87</f>
        <v>0</v>
      </c>
      <c r="AX2109" s="25">
        <f>Inventory[[#This Row],[AddFn]]*Lookups!$B$88</f>
        <v>0</v>
      </c>
      <c r="AY2109" s="25">
        <f>Inventory[[#This Row],[Bsmt]]*Lookups!$B$89</f>
        <v>17885.365576904998</v>
      </c>
      <c r="AZ2109" s="25">
        <f>Inventory[[#This Row],[Fixtures]]*Lookups!$B$90</f>
        <v>30336.176841600001</v>
      </c>
      <c r="BA2109" s="25">
        <f>Inventory[[#This Row],[WdDeck]]*Lookups!$B$91</f>
        <v>0</v>
      </c>
      <c r="BB2109" s="25">
        <f>ROUND(Inventory[[#This Row],[25Det]],-2)</f>
        <v>6200</v>
      </c>
      <c r="BC2109" s="25">
        <f>ROUND(SUM(Inventory[[#This Row],[Mdl Qlty]:[Mdl WdDeck]])+Inventory[[#This Row],[Mdl Res Intercept]],-2)</f>
        <v>278200</v>
      </c>
      <c r="BD2109" s="25">
        <f>ROUND(Inventory[[#This Row],[Mdl Land Intercept]]+Inventory[[#This Row],[Mdl LnAcres]],-2)</f>
        <v>29800</v>
      </c>
      <c r="BE2109" s="25">
        <f>Inventory[[#This Row],[Unadj Res Value]]+Inventory[[#This Row],[Unadj Det Value]]+Inventory[[#This Row],[Unadj Land Value]]</f>
        <v>314200</v>
      </c>
      <c r="BF2109" s="36">
        <f>(Inventory[[#This Row],[Unadj Total Value]]-Inventory[[#This Row],[24Final]])/Inventory[[#This Row],[24Final]]</f>
        <v>-4.207317073170732E-2</v>
      </c>
      <c r="BG2109" s="25">
        <f>VLOOKUP(Inventory[[#This Row],[Nbhd]],Lookups!$Q$2:$T$4,4,FALSE)</f>
        <v>0.99970000000000003</v>
      </c>
      <c r="BH2109" s="25">
        <f>VLOOKUP(Inventory[[#This Row],[Qlty]],Lookups!$O$7:$R$21,4,FALSE)</f>
        <v>1.0067999999999999</v>
      </c>
      <c r="BI2109" s="25">
        <f>VLOOKUP(Inventory[[#This Row],[Cnd]],Lookups!$T$7:$W$16,4,FALSE)</f>
        <v>0.99729999999999996</v>
      </c>
      <c r="BJ2109" s="25">
        <f>VLOOKUP(Inventory[[#This Row],[LivArea Range]],Lookups!$T$25:$W$37,4,FALSE)</f>
        <v>1.0093000000000001</v>
      </c>
      <c r="BK2109" s="25">
        <f>VLOOKUP(Inventory[[#This Row],[Decade]],Lookups!$O$25:$R$42,4,FALSE)</f>
        <v>0.96040000000000003</v>
      </c>
      <c r="BL2109" s="25">
        <f>Inventory[[#This Row],[Nbhd Adj]]*0.95</f>
        <v>0.94971499999999998</v>
      </c>
      <c r="BM2109" s="25">
        <f>Inventory[[#This Row],[Nbhd Adj]]*Inventory[[#This Row],[Quality Adj]]*Inventory[[#This Row],[Condition Adj]]*Inventory[[#This Row],[Living Area Adj]]*Inventory[[#This Row],[Decade Adj]]*0.95</f>
        <v>0.92434638683335013</v>
      </c>
      <c r="BN2109" s="25">
        <f>ROUND(SUM(Inventory[[#This Row],[Mdl Qlty]:[Mdl WdDeck]])+Inventory[[#This Row],[Mdl Res Intercept]]*Inventory[[#This Row],[Res Adj ]],-2)</f>
        <v>278200</v>
      </c>
      <c r="BO2109" s="25">
        <f>ROUND(Inventory[[#This Row],[25Det]]*Inventory[[#This Row],[Det/Nbhd Adj]],-2)</f>
        <v>5900</v>
      </c>
      <c r="BP2109" s="25">
        <f>Inventory[[#This Row],[Adjusted Res]]+Inventory[[#This Row],[Adj Det ]]</f>
        <v>284100</v>
      </c>
      <c r="BQ2109" s="25">
        <f>ROUND((Inventory[[#This Row],[Mdl Land Intercept]]+Inventory[[#This Row],[Mdl LnAcres]])*Inventory[[#This Row],[Det/Nbhd Adj]],-2)</f>
        <v>28300</v>
      </c>
      <c r="BR2109" s="25">
        <f>Inventory[[#This Row],[Adjusted Impr Total]]+Inventory[[#This Row],[Adjusted Land Total]]</f>
        <v>312400</v>
      </c>
      <c r="BS2109" s="36">
        <f>IFERROR((Inventory[[#This Row],[Adjusted Impr Total]]-Inventory[[#This Row],[24Bldg]])/Inventory[[#This Row],[24Bldg]],0)</f>
        <v>1.6094420600858368E-2</v>
      </c>
      <c r="BT2109" s="36">
        <f>(Inventory[[#This Row],[Adjusted Land Total]]-Inventory[[#This Row],[24Lnd]])/Inventory[[#This Row],[24Lnd]]</f>
        <v>-0.41528925619834711</v>
      </c>
      <c r="BU2109" s="36">
        <f>(Inventory[[#This Row],[Adjusted Total]]-Inventory[[#This Row],[24Final]])/Inventory[[#This Row],[24Final]]</f>
        <v>-4.7560975609756098E-2</v>
      </c>
    </row>
    <row r="2110" spans="1:73" x14ac:dyDescent="0.3">
      <c r="A2110" s="25">
        <v>2025</v>
      </c>
      <c r="B2110" s="26" t="s">
        <v>1569</v>
      </c>
      <c r="C2110" s="26">
        <f>LN(Inventory[[#This Row],[Acres]])</f>
        <v>-1.5606477482646683</v>
      </c>
      <c r="D2110" s="25">
        <v>0.21</v>
      </c>
      <c r="E2110" s="25">
        <v>9105</v>
      </c>
      <c r="F2110" s="26" t="s">
        <v>537</v>
      </c>
      <c r="G2110" s="26" t="s">
        <v>126</v>
      </c>
      <c r="H2110" s="26" t="s">
        <v>349</v>
      </c>
      <c r="I2110" s="26" t="s">
        <v>538</v>
      </c>
      <c r="J2110" s="26" t="s">
        <v>539</v>
      </c>
      <c r="K2110" s="26" t="s">
        <v>242</v>
      </c>
      <c r="L2110" s="26" t="s">
        <v>351</v>
      </c>
      <c r="M2110" s="26" t="s">
        <v>352</v>
      </c>
      <c r="N2110" s="26">
        <v>110</v>
      </c>
      <c r="O2110" s="26">
        <f>2024-Inventory[[#This Row],[YrBlt]]</f>
        <v>102</v>
      </c>
      <c r="P2110" s="26">
        <f>2024-Inventory[[#This Row],[EffYr]]</f>
        <v>49</v>
      </c>
      <c r="Q2110" s="25">
        <v>1922</v>
      </c>
      <c r="R2110" s="25">
        <v>1975</v>
      </c>
      <c r="S2110" s="25">
        <v>1282</v>
      </c>
      <c r="T2110" s="31"/>
      <c r="U2110" s="25">
        <v>936</v>
      </c>
      <c r="V2110" s="25">
        <f>Inventory[[#This Row],[Bsmt]]-Inventory[[#This Row],[FnBsmt]]</f>
        <v>0</v>
      </c>
      <c r="W2110" s="25">
        <v>936</v>
      </c>
      <c r="X2110" s="27"/>
      <c r="Y2110" s="27">
        <f>Inventory[[#This Row],[MainFn]]+Inventory[[#This Row],[UpprFn]]+Inventory[[#This Row],[FnBsmt]]+Inventory[[#This Row],[AddFn]]</f>
        <v>2218</v>
      </c>
      <c r="Z2110" s="27">
        <v>2500</v>
      </c>
      <c r="AA2110" s="25">
        <v>5</v>
      </c>
      <c r="AB2110" s="27"/>
      <c r="AC2110" s="27"/>
      <c r="AD2110" s="27"/>
      <c r="AE2110" s="27"/>
      <c r="AF2110" s="27"/>
      <c r="AG2110" s="27"/>
      <c r="AH2110" s="27"/>
      <c r="AI2110" s="25">
        <v>288510</v>
      </c>
      <c r="AJ2110" s="25">
        <v>213497</v>
      </c>
      <c r="AK2110" s="25">
        <v>8025</v>
      </c>
      <c r="AL2110" s="25">
        <v>377100</v>
      </c>
      <c r="AM2110" s="25">
        <v>60100</v>
      </c>
      <c r="AN2110" s="25">
        <v>317000</v>
      </c>
      <c r="AO2110" s="25">
        <v>0</v>
      </c>
      <c r="AP2110" s="25">
        <f>Lookups!$B$56*0</f>
        <v>0</v>
      </c>
      <c r="AQ2110" s="25">
        <f>Lookups!$B$56*1</f>
        <v>89850.625589999996</v>
      </c>
      <c r="AR2110" s="25">
        <f>Lookups!$B$57*Inventory[[#This Row],[LnAcres]]</f>
        <v>-49401.70477837498</v>
      </c>
      <c r="AS2110" s="25">
        <f>VLOOKUP(Inventory[[#This Row],[Qlty]],Lookups!$A$62:$E$75,2,FALSE)</f>
        <v>21557.329055999999</v>
      </c>
      <c r="AT2110" s="25">
        <f>VLOOKUP(Inventory[[#This Row],[Cnd]],Lookups!$A$76:$E$84,2,FALSE)</f>
        <v>284810.60806</v>
      </c>
      <c r="AU2110" s="25">
        <f>Inventory[[#This Row],[EffAge]]*Lookups!$B$85</f>
        <v>-10929.2344245</v>
      </c>
      <c r="AV2110" s="25">
        <f>Inventory[[#This Row],[MainFn]]*Lookups!$B$86</f>
        <v>63341.914782314001</v>
      </c>
      <c r="AW2110" s="25">
        <f>Inventory[[#This Row],[UpprFn]]*Lookups!$B$87</f>
        <v>0</v>
      </c>
      <c r="AX2110" s="25">
        <f>Inventory[[#This Row],[AddFn]]*Lookups!$B$88</f>
        <v>0</v>
      </c>
      <c r="AY2110" s="25">
        <f>Inventory[[#This Row],[Bsmt]]*Lookups!$B$89</f>
        <v>27220.653951191998</v>
      </c>
      <c r="AZ2110" s="25">
        <f>Inventory[[#This Row],[Fixtures]]*Lookups!$B$90</f>
        <v>18960.110526</v>
      </c>
      <c r="BA2110" s="25">
        <f>Inventory[[#This Row],[WdDeck]]*Lookups!$B$91</f>
        <v>0</v>
      </c>
      <c r="BB2110" s="25">
        <f>ROUND(Inventory[[#This Row],[25Det]],-2)</f>
        <v>8000</v>
      </c>
      <c r="BC2110" s="25">
        <f>ROUND(SUM(Inventory[[#This Row],[Mdl Qlty]:[Mdl WdDeck]])+Inventory[[#This Row],[Mdl Res Intercept]],-2)</f>
        <v>405000</v>
      </c>
      <c r="BD2110" s="25">
        <f>ROUND(Inventory[[#This Row],[Mdl Land Intercept]]+Inventory[[#This Row],[Mdl LnAcres]],-2)</f>
        <v>40400</v>
      </c>
      <c r="BE2110" s="25">
        <f>Inventory[[#This Row],[Unadj Res Value]]+Inventory[[#This Row],[Unadj Det Value]]+Inventory[[#This Row],[Unadj Land Value]]</f>
        <v>453400</v>
      </c>
      <c r="BF2110" s="36">
        <f>(Inventory[[#This Row],[Unadj Total Value]]-Inventory[[#This Row],[24Final]])/Inventory[[#This Row],[24Final]]</f>
        <v>0.20233359851498275</v>
      </c>
      <c r="BG2110" s="25">
        <f>VLOOKUP(Inventory[[#This Row],[Nbhd]],Lookups!$Q$2:$T$4,4,FALSE)</f>
        <v>0.99970000000000003</v>
      </c>
      <c r="BH2110" s="25">
        <f>VLOOKUP(Inventory[[#This Row],[Qlty]],Lookups!$O$7:$R$21,4,FALSE)</f>
        <v>1.0067999999999999</v>
      </c>
      <c r="BI2110" s="25">
        <f>VLOOKUP(Inventory[[#This Row],[Cnd]],Lookups!$T$7:$W$16,4,FALSE)</f>
        <v>1.0158</v>
      </c>
      <c r="BJ2110" s="25">
        <f>VLOOKUP(Inventory[[#This Row],[LivArea Range]],Lookups!$T$25:$W$37,4,FALSE)</f>
        <v>0.98919999999999997</v>
      </c>
      <c r="BK2110" s="25">
        <f>VLOOKUP(Inventory[[#This Row],[Decade]],Lookups!$O$25:$R$42,4,FALSE)</f>
        <v>0.96040000000000003</v>
      </c>
      <c r="BL2110" s="25">
        <f>Inventory[[#This Row],[Nbhd Adj]]*0.95</f>
        <v>0.94971499999999998</v>
      </c>
      <c r="BM2110" s="25">
        <f>Inventory[[#This Row],[Nbhd Adj]]*Inventory[[#This Row],[Quality Adj]]*Inventory[[#This Row],[Condition Adj]]*Inventory[[#This Row],[Living Area Adj]]*Inventory[[#This Row],[Decade Adj]]*0.95</f>
        <v>0.92274345160752769</v>
      </c>
      <c r="BN2110" s="25">
        <f>ROUND(SUM(Inventory[[#This Row],[Mdl Qlty]:[Mdl WdDeck]])+Inventory[[#This Row],[Mdl Res Intercept]]*Inventory[[#This Row],[Res Adj ]],-2)</f>
        <v>405000</v>
      </c>
      <c r="BO2110" s="25">
        <f>ROUND(Inventory[[#This Row],[25Det]]*Inventory[[#This Row],[Det/Nbhd Adj]],-2)</f>
        <v>7600</v>
      </c>
      <c r="BP2110" s="25">
        <f>Inventory[[#This Row],[Adjusted Res]]+Inventory[[#This Row],[Adj Det ]]</f>
        <v>412600</v>
      </c>
      <c r="BQ2110" s="25">
        <f>ROUND((Inventory[[#This Row],[Mdl Land Intercept]]+Inventory[[#This Row],[Mdl LnAcres]])*Inventory[[#This Row],[Det/Nbhd Adj]],-2)</f>
        <v>38400</v>
      </c>
      <c r="BR2110" s="25">
        <f>Inventory[[#This Row],[Adjusted Impr Total]]+Inventory[[#This Row],[Adjusted Land Total]]</f>
        <v>451000</v>
      </c>
      <c r="BS2110" s="36">
        <f>IFERROR((Inventory[[#This Row],[Adjusted Impr Total]]-Inventory[[#This Row],[24Bldg]])/Inventory[[#This Row],[24Bldg]],0)</f>
        <v>0.30157728706624604</v>
      </c>
      <c r="BT2110" s="36">
        <f>(Inventory[[#This Row],[Adjusted Land Total]]-Inventory[[#This Row],[24Lnd]])/Inventory[[#This Row],[24Lnd]]</f>
        <v>-0.36106489184692181</v>
      </c>
      <c r="BU2110" s="36">
        <f>(Inventory[[#This Row],[Adjusted Total]]-Inventory[[#This Row],[24Final]])/Inventory[[#This Row],[24Final]]</f>
        <v>0.19596923892866613</v>
      </c>
    </row>
    <row r="2111" spans="1:73" x14ac:dyDescent="0.3">
      <c r="A2111" s="25">
        <v>2025</v>
      </c>
      <c r="B2111" s="26" t="s">
        <v>2216</v>
      </c>
      <c r="C2111" s="26">
        <f>LN(Inventory[[#This Row],[Acres]])</f>
        <v>-1.9661128563728327</v>
      </c>
      <c r="D2111" s="25">
        <v>0.14000000000000001</v>
      </c>
      <c r="E2111" s="25">
        <v>6003</v>
      </c>
      <c r="F2111" s="26" t="s">
        <v>537</v>
      </c>
      <c r="G2111" s="26" t="s">
        <v>126</v>
      </c>
      <c r="H2111" s="26" t="s">
        <v>349</v>
      </c>
      <c r="I2111" s="26" t="s">
        <v>538</v>
      </c>
      <c r="J2111" s="26" t="s">
        <v>539</v>
      </c>
      <c r="K2111" s="26" t="s">
        <v>269</v>
      </c>
      <c r="L2111" s="26" t="s">
        <v>351</v>
      </c>
      <c r="M2111" s="26" t="s">
        <v>303</v>
      </c>
      <c r="N2111" s="26">
        <v>110</v>
      </c>
      <c r="O2111" s="26">
        <f>2024-Inventory[[#This Row],[YrBlt]]</f>
        <v>102</v>
      </c>
      <c r="P2111" s="26">
        <f>2024-Inventory[[#This Row],[EffYr]]</f>
        <v>57</v>
      </c>
      <c r="Q2111" s="25">
        <v>1922</v>
      </c>
      <c r="R2111" s="25">
        <v>1967</v>
      </c>
      <c r="S2111" s="25">
        <v>1090</v>
      </c>
      <c r="T2111" s="31"/>
      <c r="U2111" s="25">
        <v>1090</v>
      </c>
      <c r="V2111" s="32">
        <f>Inventory[[#This Row],[Bsmt]]-Inventory[[#This Row],[FnBsmt]]</f>
        <v>1090</v>
      </c>
      <c r="W2111" s="27"/>
      <c r="X2111" s="27"/>
      <c r="Y2111" s="27">
        <f>Inventory[[#This Row],[MainFn]]+Inventory[[#This Row],[UpprFn]]+Inventory[[#This Row],[FnBsmt]]+Inventory[[#This Row],[AddFn]]</f>
        <v>1090</v>
      </c>
      <c r="Z2111" s="27">
        <v>1500</v>
      </c>
      <c r="AA2111" s="25">
        <v>5</v>
      </c>
      <c r="AB2111" s="27"/>
      <c r="AC2111" s="27"/>
      <c r="AD2111" s="27"/>
      <c r="AE2111" s="27"/>
      <c r="AF2111" s="27"/>
      <c r="AG2111" s="27"/>
      <c r="AH2111" s="27"/>
      <c r="AI2111" s="25">
        <v>220813</v>
      </c>
      <c r="AJ2111" s="25">
        <v>143528</v>
      </c>
      <c r="AK2111" s="25">
        <v>17300</v>
      </c>
      <c r="AL2111" s="25">
        <v>311700</v>
      </c>
      <c r="AM2111" s="25">
        <v>46000</v>
      </c>
      <c r="AN2111" s="25">
        <v>265700</v>
      </c>
      <c r="AO2111" s="25">
        <v>0</v>
      </c>
      <c r="AP2111" s="25">
        <f>Lookups!$B$56*0</f>
        <v>0</v>
      </c>
      <c r="AQ2111" s="25">
        <f>Lookups!$B$56*1</f>
        <v>89850.625589999996</v>
      </c>
      <c r="AR2111" s="25">
        <f>Lookups!$B$57*Inventory[[#This Row],[LnAcres]]</f>
        <v>-62236.546971921947</v>
      </c>
      <c r="AS2111" s="25">
        <f>VLOOKUP(Inventory[[#This Row],[Qlty]],Lookups!$A$62:$E$75,2,FALSE)</f>
        <v>21557.329055999999</v>
      </c>
      <c r="AT2111" s="25">
        <f>VLOOKUP(Inventory[[#This Row],[Cnd]],Lookups!$A$76:$E$84,2,FALSE)</f>
        <v>197752.34721000001</v>
      </c>
      <c r="AU2111" s="25">
        <f>Inventory[[#This Row],[EffAge]]*Lookups!$B$85</f>
        <v>-12713.599228500001</v>
      </c>
      <c r="AV2111" s="25">
        <f>Inventory[[#This Row],[MainFn]]*Lookups!$B$86</f>
        <v>53855.45016593</v>
      </c>
      <c r="AW2111" s="25">
        <f>Inventory[[#This Row],[UpprFn]]*Lookups!$B$87</f>
        <v>0</v>
      </c>
      <c r="AX2111" s="25">
        <f>Inventory[[#This Row],[AddFn]]*Lookups!$B$88</f>
        <v>0</v>
      </c>
      <c r="AY2111" s="25">
        <f>Inventory[[#This Row],[Bsmt]]*Lookups!$B$89</f>
        <v>31699.265819229997</v>
      </c>
      <c r="AZ2111" s="25">
        <f>Inventory[[#This Row],[Fixtures]]*Lookups!$B$90</f>
        <v>18960.110526</v>
      </c>
      <c r="BA2111" s="25">
        <f>Inventory[[#This Row],[WdDeck]]*Lookups!$B$91</f>
        <v>0</v>
      </c>
      <c r="BB2111" s="25">
        <f>ROUND(Inventory[[#This Row],[25Det]],-2)</f>
        <v>17300</v>
      </c>
      <c r="BC2111" s="25">
        <f>ROUND(SUM(Inventory[[#This Row],[Mdl Qlty]:[Mdl WdDeck]])+Inventory[[#This Row],[Mdl Res Intercept]],-2)</f>
        <v>311100</v>
      </c>
      <c r="BD2111" s="25">
        <f>ROUND(Inventory[[#This Row],[Mdl Land Intercept]]+Inventory[[#This Row],[Mdl LnAcres]],-2)</f>
        <v>27600</v>
      </c>
      <c r="BE2111" s="25">
        <f>Inventory[[#This Row],[Unadj Res Value]]+Inventory[[#This Row],[Unadj Det Value]]+Inventory[[#This Row],[Unadj Land Value]]</f>
        <v>356000</v>
      </c>
      <c r="BF2111" s="36">
        <f>(Inventory[[#This Row],[Unadj Total Value]]-Inventory[[#This Row],[24Final]])/Inventory[[#This Row],[24Final]]</f>
        <v>0.14212383702277831</v>
      </c>
      <c r="BG2111" s="25">
        <f>VLOOKUP(Inventory[[#This Row],[Nbhd]],Lookups!$Q$2:$T$4,4,FALSE)</f>
        <v>0.99970000000000003</v>
      </c>
      <c r="BH2111" s="25">
        <f>VLOOKUP(Inventory[[#This Row],[Qlty]],Lookups!$O$7:$R$21,4,FALSE)</f>
        <v>1.0067999999999999</v>
      </c>
      <c r="BI2111" s="25">
        <f>VLOOKUP(Inventory[[#This Row],[Cnd]],Lookups!$T$7:$W$16,4,FALSE)</f>
        <v>0.99650000000000005</v>
      </c>
      <c r="BJ2111" s="25">
        <f>VLOOKUP(Inventory[[#This Row],[LivArea Range]],Lookups!$T$25:$W$37,4,FALSE)</f>
        <v>1.0157</v>
      </c>
      <c r="BK2111" s="25">
        <f>VLOOKUP(Inventory[[#This Row],[Decade]],Lookups!$O$25:$R$42,4,FALSE)</f>
        <v>0.96040000000000003</v>
      </c>
      <c r="BL2111" s="25">
        <f>Inventory[[#This Row],[Nbhd Adj]]*0.95</f>
        <v>0.94971499999999998</v>
      </c>
      <c r="BM2111" s="25">
        <f>Inventory[[#This Row],[Nbhd Adj]]*Inventory[[#This Row],[Quality Adj]]*Inventory[[#This Row],[Condition Adj]]*Inventory[[#This Row],[Living Area Adj]]*Inventory[[#This Row],[Decade Adj]]*0.95</f>
        <v>0.92946151271343602</v>
      </c>
      <c r="BN2111" s="25">
        <f>ROUND(SUM(Inventory[[#This Row],[Mdl Qlty]:[Mdl WdDeck]])+Inventory[[#This Row],[Mdl Res Intercept]]*Inventory[[#This Row],[Res Adj ]],-2)</f>
        <v>311100</v>
      </c>
      <c r="BO2111" s="25">
        <f>ROUND(Inventory[[#This Row],[25Det]]*Inventory[[#This Row],[Det/Nbhd Adj]],-2)</f>
        <v>16400</v>
      </c>
      <c r="BP2111" s="25">
        <f>Inventory[[#This Row],[Adjusted Res]]+Inventory[[#This Row],[Adj Det ]]</f>
        <v>327500</v>
      </c>
      <c r="BQ2111" s="25">
        <f>ROUND((Inventory[[#This Row],[Mdl Land Intercept]]+Inventory[[#This Row],[Mdl LnAcres]])*Inventory[[#This Row],[Det/Nbhd Adj]],-2)</f>
        <v>26200</v>
      </c>
      <c r="BR2111" s="25">
        <f>Inventory[[#This Row],[Adjusted Impr Total]]+Inventory[[#This Row],[Adjusted Land Total]]</f>
        <v>353700</v>
      </c>
      <c r="BS2111" s="36">
        <f>IFERROR((Inventory[[#This Row],[Adjusted Impr Total]]-Inventory[[#This Row],[24Bldg]])/Inventory[[#This Row],[24Bldg]],0)</f>
        <v>0.23259315016936394</v>
      </c>
      <c r="BT2111" s="36">
        <f>(Inventory[[#This Row],[Adjusted Land Total]]-Inventory[[#This Row],[24Lnd]])/Inventory[[#This Row],[24Lnd]]</f>
        <v>-0.43043478260869567</v>
      </c>
      <c r="BU2111" s="36">
        <f>(Inventory[[#This Row],[Adjusted Total]]-Inventory[[#This Row],[24Final]])/Inventory[[#This Row],[24Final]]</f>
        <v>0.13474494706448509</v>
      </c>
    </row>
    <row r="2112" spans="1:73" x14ac:dyDescent="0.3">
      <c r="A2112" s="25">
        <v>2025</v>
      </c>
      <c r="B2112" s="26" t="s">
        <v>1653</v>
      </c>
      <c r="C2112" s="26">
        <f>LN(Inventory[[#This Row],[Acres]])</f>
        <v>-1.0788096613719298</v>
      </c>
      <c r="D2112" s="25">
        <v>0.34</v>
      </c>
      <c r="E2112" s="31"/>
      <c r="F2112" s="26" t="s">
        <v>537</v>
      </c>
      <c r="G2112" s="26" t="s">
        <v>126</v>
      </c>
      <c r="H2112" s="26" t="s">
        <v>349</v>
      </c>
      <c r="I2112" s="26" t="s">
        <v>538</v>
      </c>
      <c r="J2112" s="26" t="s">
        <v>539</v>
      </c>
      <c r="K2112" s="26" t="s">
        <v>448</v>
      </c>
      <c r="L2112" s="26" t="s">
        <v>64</v>
      </c>
      <c r="M2112" s="26" t="s">
        <v>352</v>
      </c>
      <c r="N2112" s="26">
        <v>110</v>
      </c>
      <c r="O2112" s="26">
        <f>2024-Inventory[[#This Row],[YrBlt]]</f>
        <v>102</v>
      </c>
      <c r="P2112" s="26">
        <f>2024-Inventory[[#This Row],[EffYr]]</f>
        <v>57</v>
      </c>
      <c r="Q2112" s="25">
        <v>1922</v>
      </c>
      <c r="R2112" s="25">
        <v>1967</v>
      </c>
      <c r="S2112" s="25">
        <v>1788</v>
      </c>
      <c r="T2112" s="32">
        <v>1380</v>
      </c>
      <c r="U2112" s="25">
        <v>870</v>
      </c>
      <c r="V2112" s="32">
        <f>Inventory[[#This Row],[Bsmt]]-Inventory[[#This Row],[FnBsmt]]</f>
        <v>397</v>
      </c>
      <c r="W2112" s="32">
        <v>473</v>
      </c>
      <c r="X2112" s="27"/>
      <c r="Y2112" s="27">
        <f>Inventory[[#This Row],[MainFn]]+Inventory[[#This Row],[UpprFn]]+Inventory[[#This Row],[FnBsmt]]+Inventory[[#This Row],[AddFn]]</f>
        <v>3641</v>
      </c>
      <c r="Z2112" s="27">
        <v>4000</v>
      </c>
      <c r="AA2112" s="25">
        <v>11</v>
      </c>
      <c r="AB2112" s="32">
        <v>550</v>
      </c>
      <c r="AC2112" s="27"/>
      <c r="AD2112" s="27"/>
      <c r="AE2112" s="27"/>
      <c r="AF2112" s="27"/>
      <c r="AG2112" s="27"/>
      <c r="AH2112" s="27"/>
      <c r="AI2112" s="25">
        <v>832714</v>
      </c>
      <c r="AJ2112" s="25">
        <v>566246</v>
      </c>
      <c r="AK2112" s="25">
        <v>31533</v>
      </c>
      <c r="AL2112" s="25">
        <v>673500</v>
      </c>
      <c r="AM2112" s="25">
        <v>76900</v>
      </c>
      <c r="AN2112" s="25">
        <v>596600</v>
      </c>
      <c r="AO2112" s="25">
        <v>0</v>
      </c>
      <c r="AP2112" s="25">
        <f>Lookups!$B$56*0</f>
        <v>0</v>
      </c>
      <c r="AQ2112" s="25">
        <f>Lookups!$B$56*1</f>
        <v>89850.625589999996</v>
      </c>
      <c r="AR2112" s="25">
        <f>Lookups!$B$57*Inventory[[#This Row],[LnAcres]]</f>
        <v>-34149.305288406773</v>
      </c>
      <c r="AS2112" s="25">
        <f>VLOOKUP(Inventory[[#This Row],[Qlty]],Lookups!$A$62:$E$75,2,FALSE)</f>
        <v>163885.03753</v>
      </c>
      <c r="AT2112" s="25">
        <f>VLOOKUP(Inventory[[#This Row],[Cnd]],Lookups!$A$76:$E$84,2,FALSE)</f>
        <v>284810.60806</v>
      </c>
      <c r="AU2112" s="25">
        <f>Inventory[[#This Row],[EffAge]]*Lookups!$B$85</f>
        <v>-12713.599228500001</v>
      </c>
      <c r="AV2112" s="25">
        <f>Inventory[[#This Row],[MainFn]]*Lookups!$B$86</f>
        <v>88342.701740076009</v>
      </c>
      <c r="AW2112" s="25">
        <f>Inventory[[#This Row],[UpprFn]]*Lookups!$B$87</f>
        <v>61805.263548179995</v>
      </c>
      <c r="AX2112" s="25">
        <f>Inventory[[#This Row],[AddFn]]*Lookups!$B$88</f>
        <v>0</v>
      </c>
      <c r="AY2112" s="25">
        <f>Inventory[[#This Row],[Bsmt]]*Lookups!$B$89</f>
        <v>25301.24886489</v>
      </c>
      <c r="AZ2112" s="25">
        <f>Inventory[[#This Row],[Fixtures]]*Lookups!$B$90</f>
        <v>41712.243157199999</v>
      </c>
      <c r="BA2112" s="25">
        <f>Inventory[[#This Row],[WdDeck]]*Lookups!$B$91</f>
        <v>0</v>
      </c>
      <c r="BB2112" s="25">
        <f>ROUND(Inventory[[#This Row],[25Det]],-2)</f>
        <v>31500</v>
      </c>
      <c r="BC2112" s="25">
        <f>ROUND(SUM(Inventory[[#This Row],[Mdl Qlty]:[Mdl WdDeck]])+Inventory[[#This Row],[Mdl Res Intercept]],-2)</f>
        <v>653100</v>
      </c>
      <c r="BD2112" s="25">
        <f>ROUND(Inventory[[#This Row],[Mdl Land Intercept]]+Inventory[[#This Row],[Mdl LnAcres]],-2)</f>
        <v>55700</v>
      </c>
      <c r="BE2112" s="25">
        <f>Inventory[[#This Row],[Unadj Res Value]]+Inventory[[#This Row],[Unadj Det Value]]+Inventory[[#This Row],[Unadj Land Value]]</f>
        <v>740300</v>
      </c>
      <c r="BF2112" s="36">
        <f>(Inventory[[#This Row],[Unadj Total Value]]-Inventory[[#This Row],[24Final]])/Inventory[[#This Row],[24Final]]</f>
        <v>9.9183370452858202E-2</v>
      </c>
      <c r="BG2112" s="25">
        <f>VLOOKUP(Inventory[[#This Row],[Nbhd]],Lookups!$Q$2:$T$4,4,FALSE)</f>
        <v>0.99970000000000003</v>
      </c>
      <c r="BH2112" s="25">
        <f>VLOOKUP(Inventory[[#This Row],[Qlty]],Lookups!$O$7:$R$21,4,FALSE)</f>
        <v>1</v>
      </c>
      <c r="BI2112" s="25">
        <f>VLOOKUP(Inventory[[#This Row],[Cnd]],Lookups!$T$7:$W$16,4,FALSE)</f>
        <v>1.0158</v>
      </c>
      <c r="BJ2112" s="25">
        <f>VLOOKUP(Inventory[[#This Row],[LivArea Range]],Lookups!$T$25:$W$37,4,FALSE)</f>
        <v>0.94579999999999997</v>
      </c>
      <c r="BK2112" s="25">
        <f>VLOOKUP(Inventory[[#This Row],[Decade]],Lookups!$O$25:$R$42,4,FALSE)</f>
        <v>0.96040000000000003</v>
      </c>
      <c r="BL2112" s="25">
        <f>Inventory[[#This Row],[Nbhd Adj]]*0.95</f>
        <v>0.94971499999999998</v>
      </c>
      <c r="BM2112" s="25">
        <f>Inventory[[#This Row],[Nbhd Adj]]*Inventory[[#This Row],[Quality Adj]]*Inventory[[#This Row],[Condition Adj]]*Inventory[[#This Row],[Living Area Adj]]*Inventory[[#This Row],[Decade Adj]]*0.95</f>
        <v>0.87630031327852098</v>
      </c>
      <c r="BN2112" s="25">
        <f>ROUND(SUM(Inventory[[#This Row],[Mdl Qlty]:[Mdl WdDeck]])+Inventory[[#This Row],[Mdl Res Intercept]]*Inventory[[#This Row],[Res Adj ]],-2)</f>
        <v>653100</v>
      </c>
      <c r="BO2112" s="25">
        <f>ROUND(Inventory[[#This Row],[25Det]]*Inventory[[#This Row],[Det/Nbhd Adj]],-2)</f>
        <v>29900</v>
      </c>
      <c r="BP2112" s="25">
        <f>Inventory[[#This Row],[Adjusted Res]]+Inventory[[#This Row],[Adj Det ]]</f>
        <v>683000</v>
      </c>
      <c r="BQ2112" s="25">
        <f>ROUND((Inventory[[#This Row],[Mdl Land Intercept]]+Inventory[[#This Row],[Mdl LnAcres]])*Inventory[[#This Row],[Det/Nbhd Adj]],-2)</f>
        <v>52900</v>
      </c>
      <c r="BR2112" s="25">
        <f>Inventory[[#This Row],[Adjusted Impr Total]]+Inventory[[#This Row],[Adjusted Land Total]]</f>
        <v>735900</v>
      </c>
      <c r="BS2112" s="36">
        <f>IFERROR((Inventory[[#This Row],[Adjusted Impr Total]]-Inventory[[#This Row],[24Bldg]])/Inventory[[#This Row],[24Bldg]],0)</f>
        <v>0.14482065035199462</v>
      </c>
      <c r="BT2112" s="36">
        <f>(Inventory[[#This Row],[Adjusted Land Total]]-Inventory[[#This Row],[24Lnd]])/Inventory[[#This Row],[24Lnd]]</f>
        <v>-0.31209362808842656</v>
      </c>
      <c r="BU2112" s="36">
        <f>(Inventory[[#This Row],[Adjusted Total]]-Inventory[[#This Row],[24Final]])/Inventory[[#This Row],[24Final]]</f>
        <v>9.2650334075723831E-2</v>
      </c>
    </row>
    <row r="2113" spans="1:73" x14ac:dyDescent="0.3">
      <c r="A2113" s="25">
        <v>2025</v>
      </c>
      <c r="B2113" s="26" t="s">
        <v>2037</v>
      </c>
      <c r="C2113" s="26">
        <f>LN(Inventory[[#This Row],[Acres]])</f>
        <v>-1.8325814637483102</v>
      </c>
      <c r="D2113" s="25">
        <v>0.16</v>
      </c>
      <c r="E2113" s="25">
        <v>7064</v>
      </c>
      <c r="F2113" s="26" t="s">
        <v>537</v>
      </c>
      <c r="G2113" s="26" t="s">
        <v>126</v>
      </c>
      <c r="H2113" s="26" t="s">
        <v>349</v>
      </c>
      <c r="I2113" s="26" t="s">
        <v>538</v>
      </c>
      <c r="J2113" s="26" t="s">
        <v>539</v>
      </c>
      <c r="K2113" s="26" t="s">
        <v>147</v>
      </c>
      <c r="L2113" s="26" t="s">
        <v>148</v>
      </c>
      <c r="M2113" s="26" t="s">
        <v>303</v>
      </c>
      <c r="N2113" s="26">
        <v>110</v>
      </c>
      <c r="O2113" s="26">
        <f>2024-Inventory[[#This Row],[YrBlt]]</f>
        <v>102</v>
      </c>
      <c r="P2113" s="26">
        <f>2024-Inventory[[#This Row],[EffYr]]</f>
        <v>57</v>
      </c>
      <c r="Q2113" s="25">
        <v>1922</v>
      </c>
      <c r="R2113" s="25">
        <v>1967</v>
      </c>
      <c r="S2113" s="25">
        <v>1390</v>
      </c>
      <c r="T2113" s="32">
        <v>684</v>
      </c>
      <c r="U2113" s="25">
        <v>1064</v>
      </c>
      <c r="V2113" s="25">
        <f>Inventory[[#This Row],[Bsmt]]-Inventory[[#This Row],[FnBsmt]]</f>
        <v>1064</v>
      </c>
      <c r="W2113" s="31"/>
      <c r="X2113" s="27"/>
      <c r="Y2113" s="27">
        <f>Inventory[[#This Row],[MainFn]]+Inventory[[#This Row],[UpprFn]]+Inventory[[#This Row],[FnBsmt]]+Inventory[[#This Row],[AddFn]]</f>
        <v>2074</v>
      </c>
      <c r="Z2113" s="27">
        <v>2500</v>
      </c>
      <c r="AA2113" s="25">
        <v>12</v>
      </c>
      <c r="AB2113" s="27"/>
      <c r="AC2113" s="27"/>
      <c r="AD2113" s="27"/>
      <c r="AE2113" s="27"/>
      <c r="AF2113" s="27"/>
      <c r="AG2113" s="27"/>
      <c r="AH2113" s="27"/>
      <c r="AI2113" s="25">
        <v>449977</v>
      </c>
      <c r="AJ2113" s="25">
        <v>292485</v>
      </c>
      <c r="AK2113" s="25">
        <v>12190</v>
      </c>
      <c r="AL2113" s="25">
        <v>411200</v>
      </c>
      <c r="AM2113" s="25">
        <v>50600</v>
      </c>
      <c r="AN2113" s="25">
        <v>360600</v>
      </c>
      <c r="AO2113" s="25">
        <v>0</v>
      </c>
      <c r="AP2113" s="25">
        <f>Lookups!$B$56*0</f>
        <v>0</v>
      </c>
      <c r="AQ2113" s="25">
        <f>Lookups!$B$56*1</f>
        <v>89850.625589999996</v>
      </c>
      <c r="AR2113" s="25">
        <f>Lookups!$B$57*Inventory[[#This Row],[LnAcres]]</f>
        <v>-58009.662049032086</v>
      </c>
      <c r="AS2113" s="25">
        <f>VLOOKUP(Inventory[[#This Row],[Qlty]],Lookups!$A$62:$E$75,2,FALSE)</f>
        <v>44121.038090000002</v>
      </c>
      <c r="AT2113" s="25">
        <f>VLOOKUP(Inventory[[#This Row],[Cnd]],Lookups!$A$76:$E$84,2,FALSE)</f>
        <v>197752.34721000001</v>
      </c>
      <c r="AU2113" s="25">
        <f>Inventory[[#This Row],[EffAge]]*Lookups!$B$85</f>
        <v>-12713.599228500001</v>
      </c>
      <c r="AV2113" s="25">
        <f>Inventory[[#This Row],[MainFn]]*Lookups!$B$86</f>
        <v>68678.051129030006</v>
      </c>
      <c r="AW2113" s="25">
        <f>Inventory[[#This Row],[UpprFn]]*Lookups!$B$87</f>
        <v>30633.913236924</v>
      </c>
      <c r="AX2113" s="25">
        <f>Inventory[[#This Row],[AddFn]]*Lookups!$B$88</f>
        <v>0</v>
      </c>
      <c r="AY2113" s="25">
        <f>Inventory[[#This Row],[Bsmt]]*Lookups!$B$89</f>
        <v>30943.136542807999</v>
      </c>
      <c r="AZ2113" s="25">
        <f>Inventory[[#This Row],[Fixtures]]*Lookups!$B$90</f>
        <v>45504.265262400004</v>
      </c>
      <c r="BA2113" s="25">
        <f>Inventory[[#This Row],[WdDeck]]*Lookups!$B$91</f>
        <v>0</v>
      </c>
      <c r="BB2113" s="25">
        <f>ROUND(Inventory[[#This Row],[25Det]],-2)</f>
        <v>12200</v>
      </c>
      <c r="BC2113" s="25">
        <f>ROUND(SUM(Inventory[[#This Row],[Mdl Qlty]:[Mdl WdDeck]])+Inventory[[#This Row],[Mdl Res Intercept]],-2)</f>
        <v>404900</v>
      </c>
      <c r="BD2113" s="25">
        <f>ROUND(Inventory[[#This Row],[Mdl Land Intercept]]+Inventory[[#This Row],[Mdl LnAcres]],-2)</f>
        <v>31800</v>
      </c>
      <c r="BE2113" s="25">
        <f>Inventory[[#This Row],[Unadj Res Value]]+Inventory[[#This Row],[Unadj Det Value]]+Inventory[[#This Row],[Unadj Land Value]]</f>
        <v>448900</v>
      </c>
      <c r="BF2113" s="36">
        <f>(Inventory[[#This Row],[Unadj Total Value]]-Inventory[[#This Row],[24Final]])/Inventory[[#This Row],[24Final]]</f>
        <v>9.16828793774319E-2</v>
      </c>
      <c r="BG2113" s="25">
        <f>VLOOKUP(Inventory[[#This Row],[Nbhd]],Lookups!$Q$2:$T$4,4,FALSE)</f>
        <v>0.99970000000000003</v>
      </c>
      <c r="BH2113" s="25">
        <f>VLOOKUP(Inventory[[#This Row],[Qlty]],Lookups!$O$7:$R$21,4,FALSE)</f>
        <v>0.98050000000000004</v>
      </c>
      <c r="BI2113" s="25">
        <f>VLOOKUP(Inventory[[#This Row],[Cnd]],Lookups!$T$7:$W$16,4,FALSE)</f>
        <v>0.99650000000000005</v>
      </c>
      <c r="BJ2113" s="25">
        <f>VLOOKUP(Inventory[[#This Row],[LivArea Range]],Lookups!$T$25:$W$37,4,FALSE)</f>
        <v>0.98919999999999997</v>
      </c>
      <c r="BK2113" s="25">
        <f>VLOOKUP(Inventory[[#This Row],[Decade]],Lookups!$O$25:$R$42,4,FALSE)</f>
        <v>0.96040000000000003</v>
      </c>
      <c r="BL2113" s="25">
        <f>Inventory[[#This Row],[Nbhd Adj]]*0.95</f>
        <v>0.94971499999999998</v>
      </c>
      <c r="BM2113" s="25">
        <f>Inventory[[#This Row],[Nbhd Adj]]*Inventory[[#This Row],[Quality Adj]]*Inventory[[#This Row],[Condition Adj]]*Inventory[[#This Row],[Living Area Adj]]*Inventory[[#This Row],[Decade Adj]]*0.95</f>
        <v>0.88156523967511857</v>
      </c>
      <c r="BN2113" s="25">
        <f>ROUND(SUM(Inventory[[#This Row],[Mdl Qlty]:[Mdl WdDeck]])+Inventory[[#This Row],[Mdl Res Intercept]]*Inventory[[#This Row],[Res Adj ]],-2)</f>
        <v>404900</v>
      </c>
      <c r="BO2113" s="25">
        <f>ROUND(Inventory[[#This Row],[25Det]]*Inventory[[#This Row],[Det/Nbhd Adj]],-2)</f>
        <v>11600</v>
      </c>
      <c r="BP2113" s="25">
        <f>Inventory[[#This Row],[Adjusted Res]]+Inventory[[#This Row],[Adj Det ]]</f>
        <v>416500</v>
      </c>
      <c r="BQ2113" s="25">
        <f>ROUND((Inventory[[#This Row],[Mdl Land Intercept]]+Inventory[[#This Row],[Mdl LnAcres]])*Inventory[[#This Row],[Det/Nbhd Adj]],-2)</f>
        <v>30200</v>
      </c>
      <c r="BR2113" s="25">
        <f>Inventory[[#This Row],[Adjusted Impr Total]]+Inventory[[#This Row],[Adjusted Land Total]]</f>
        <v>446700</v>
      </c>
      <c r="BS2113" s="36">
        <f>IFERROR((Inventory[[#This Row],[Adjusted Impr Total]]-Inventory[[#This Row],[24Bldg]])/Inventory[[#This Row],[24Bldg]],0)</f>
        <v>0.15501941209095951</v>
      </c>
      <c r="BT2113" s="36">
        <f>(Inventory[[#This Row],[Adjusted Land Total]]-Inventory[[#This Row],[24Lnd]])/Inventory[[#This Row],[24Lnd]]</f>
        <v>-0.40316205533596838</v>
      </c>
      <c r="BU2113" s="36">
        <f>(Inventory[[#This Row],[Adjusted Total]]-Inventory[[#This Row],[24Final]])/Inventory[[#This Row],[24Final]]</f>
        <v>8.6332684824902722E-2</v>
      </c>
    </row>
    <row r="2114" spans="1:73" x14ac:dyDescent="0.3">
      <c r="A2114" s="25">
        <v>2025</v>
      </c>
      <c r="B2114" s="26" t="s">
        <v>1683</v>
      </c>
      <c r="C2114" s="26">
        <f>LN(Inventory[[#This Row],[Acres]])</f>
        <v>-1.0216512475319814</v>
      </c>
      <c r="D2114" s="25">
        <v>0.36</v>
      </c>
      <c r="E2114" s="25">
        <v>15500</v>
      </c>
      <c r="F2114" s="26" t="s">
        <v>537</v>
      </c>
      <c r="G2114" s="26" t="s">
        <v>126</v>
      </c>
      <c r="H2114" s="26" t="s">
        <v>349</v>
      </c>
      <c r="I2114" s="26" t="s">
        <v>538</v>
      </c>
      <c r="J2114" s="26" t="s">
        <v>539</v>
      </c>
      <c r="K2114" s="26" t="s">
        <v>147</v>
      </c>
      <c r="L2114" s="26" t="s">
        <v>302</v>
      </c>
      <c r="M2114" s="26" t="s">
        <v>303</v>
      </c>
      <c r="N2114" s="26">
        <v>110</v>
      </c>
      <c r="O2114" s="26">
        <f>2024-Inventory[[#This Row],[YrBlt]]</f>
        <v>102</v>
      </c>
      <c r="P2114" s="26">
        <f>2024-Inventory[[#This Row],[EffYr]]</f>
        <v>56</v>
      </c>
      <c r="Q2114" s="25">
        <v>1922</v>
      </c>
      <c r="R2114" s="25">
        <v>1968</v>
      </c>
      <c r="S2114" s="25">
        <v>1520</v>
      </c>
      <c r="T2114" s="32">
        <v>1170</v>
      </c>
      <c r="U2114" s="25">
        <v>1132</v>
      </c>
      <c r="V2114" s="32">
        <f>Inventory[[#This Row],[Bsmt]]-Inventory[[#This Row],[FnBsmt]]</f>
        <v>1132</v>
      </c>
      <c r="W2114" s="27"/>
      <c r="X2114" s="27"/>
      <c r="Y2114" s="27">
        <f>Inventory[[#This Row],[MainFn]]+Inventory[[#This Row],[UpprFn]]+Inventory[[#This Row],[FnBsmt]]+Inventory[[#This Row],[AddFn]]</f>
        <v>2690</v>
      </c>
      <c r="Z2114" s="27">
        <v>3000</v>
      </c>
      <c r="AA2114" s="25">
        <v>8</v>
      </c>
      <c r="AB2114" s="31"/>
      <c r="AC2114" s="32">
        <v>360</v>
      </c>
      <c r="AD2114" s="27"/>
      <c r="AE2114" s="27"/>
      <c r="AF2114" s="27"/>
      <c r="AG2114" s="27"/>
      <c r="AH2114" s="27"/>
      <c r="AI2114" s="25">
        <v>482282</v>
      </c>
      <c r="AJ2114" s="25">
        <v>318306</v>
      </c>
      <c r="AK2114" s="25">
        <v>0</v>
      </c>
      <c r="AL2114" s="25">
        <v>424900</v>
      </c>
      <c r="AM2114" s="25">
        <v>78900</v>
      </c>
      <c r="AN2114" s="25">
        <v>346000</v>
      </c>
      <c r="AO2114" s="25">
        <v>0</v>
      </c>
      <c r="AP2114" s="25">
        <f>Lookups!$B$56*0</f>
        <v>0</v>
      </c>
      <c r="AQ2114" s="25">
        <f>Lookups!$B$56*1</f>
        <v>89850.625589999996</v>
      </c>
      <c r="AR2114" s="25">
        <f>Lookups!$B$57*Inventory[[#This Row],[LnAcres]]</f>
        <v>-32339.977661938148</v>
      </c>
      <c r="AS2114" s="25">
        <f>VLOOKUP(Inventory[[#This Row],[Qlty]],Lookups!$A$62:$E$75,2,FALSE)</f>
        <v>29814.093161000001</v>
      </c>
      <c r="AT2114" s="25">
        <f>VLOOKUP(Inventory[[#This Row],[Cnd]],Lookups!$A$76:$E$84,2,FALSE)</f>
        <v>197752.34721000001</v>
      </c>
      <c r="AU2114" s="25">
        <f>Inventory[[#This Row],[EffAge]]*Lookups!$B$85</f>
        <v>-12490.553628</v>
      </c>
      <c r="AV2114" s="25">
        <f>Inventory[[#This Row],[MainFn]]*Lookups!$B$86</f>
        <v>75101.178213039995</v>
      </c>
      <c r="AW2114" s="25">
        <f>Inventory[[#This Row],[UpprFn]]*Lookups!$B$87</f>
        <v>52400.114747369997</v>
      </c>
      <c r="AX2114" s="25">
        <f>Inventory[[#This Row],[AddFn]]*Lookups!$B$88</f>
        <v>0</v>
      </c>
      <c r="AY2114" s="25">
        <f>Inventory[[#This Row],[Bsmt]]*Lookups!$B$89</f>
        <v>32920.705419603997</v>
      </c>
      <c r="AZ2114" s="25">
        <f>Inventory[[#This Row],[Fixtures]]*Lookups!$B$90</f>
        <v>30336.176841600001</v>
      </c>
      <c r="BA2114" s="25">
        <f>Inventory[[#This Row],[WdDeck]]*Lookups!$B$91</f>
        <v>0</v>
      </c>
      <c r="BB2114" s="25">
        <f>ROUND(Inventory[[#This Row],[25Det]],-2)</f>
        <v>0</v>
      </c>
      <c r="BC2114" s="25">
        <f>ROUND(SUM(Inventory[[#This Row],[Mdl Qlty]:[Mdl WdDeck]])+Inventory[[#This Row],[Mdl Res Intercept]],-2)</f>
        <v>405800</v>
      </c>
      <c r="BD2114" s="25">
        <f>ROUND(Inventory[[#This Row],[Mdl Land Intercept]]+Inventory[[#This Row],[Mdl LnAcres]],-2)</f>
        <v>57500</v>
      </c>
      <c r="BE2114" s="25">
        <f>Inventory[[#This Row],[Unadj Res Value]]+Inventory[[#This Row],[Unadj Det Value]]+Inventory[[#This Row],[Unadj Land Value]]</f>
        <v>463300</v>
      </c>
      <c r="BF2114" s="36">
        <f>(Inventory[[#This Row],[Unadj Total Value]]-Inventory[[#This Row],[24Final]])/Inventory[[#This Row],[24Final]]</f>
        <v>9.037420569545776E-2</v>
      </c>
      <c r="BG2114" s="25">
        <f>VLOOKUP(Inventory[[#This Row],[Nbhd]],Lookups!$Q$2:$T$4,4,FALSE)</f>
        <v>0.99970000000000003</v>
      </c>
      <c r="BH2114" s="25">
        <f>VLOOKUP(Inventory[[#This Row],[Qlty]],Lookups!$O$7:$R$21,4,FALSE)</f>
        <v>1.0088999999999999</v>
      </c>
      <c r="BI2114" s="25">
        <f>VLOOKUP(Inventory[[#This Row],[Cnd]],Lookups!$T$7:$W$16,4,FALSE)</f>
        <v>0.99650000000000005</v>
      </c>
      <c r="BJ2114" s="25">
        <f>VLOOKUP(Inventory[[#This Row],[LivArea Range]],Lookups!$T$25:$W$37,4,FALSE)</f>
        <v>0.96179999999999999</v>
      </c>
      <c r="BK2114" s="25">
        <f>VLOOKUP(Inventory[[#This Row],[Decade]],Lookups!$O$25:$R$42,4,FALSE)</f>
        <v>0.96040000000000003</v>
      </c>
      <c r="BL2114" s="25">
        <f>Inventory[[#This Row],[Nbhd Adj]]*0.95</f>
        <v>0.94971499999999998</v>
      </c>
      <c r="BM2114" s="25">
        <f>Inventory[[#This Row],[Nbhd Adj]]*Inventory[[#This Row],[Quality Adj]]*Inventory[[#This Row],[Condition Adj]]*Inventory[[#This Row],[Living Area Adj]]*Inventory[[#This Row],[Decade Adj]]*0.95</f>
        <v>0.88197372376634775</v>
      </c>
      <c r="BN2114" s="25">
        <f>ROUND(SUM(Inventory[[#This Row],[Mdl Qlty]:[Mdl WdDeck]])+Inventory[[#This Row],[Mdl Res Intercept]]*Inventory[[#This Row],[Res Adj ]],-2)</f>
        <v>405800</v>
      </c>
      <c r="BO2114" s="25">
        <f>ROUND(Inventory[[#This Row],[25Det]]*Inventory[[#This Row],[Det/Nbhd Adj]],-2)</f>
        <v>0</v>
      </c>
      <c r="BP2114" s="25">
        <f>Inventory[[#This Row],[Adjusted Res]]+Inventory[[#This Row],[Adj Det ]]</f>
        <v>405800</v>
      </c>
      <c r="BQ2114" s="25">
        <f>ROUND((Inventory[[#This Row],[Mdl Land Intercept]]+Inventory[[#This Row],[Mdl LnAcres]])*Inventory[[#This Row],[Det/Nbhd Adj]],-2)</f>
        <v>54600</v>
      </c>
      <c r="BR2114" s="25">
        <f>Inventory[[#This Row],[Adjusted Impr Total]]+Inventory[[#This Row],[Adjusted Land Total]]</f>
        <v>460400</v>
      </c>
      <c r="BS2114" s="36">
        <f>IFERROR((Inventory[[#This Row],[Adjusted Impr Total]]-Inventory[[#This Row],[24Bldg]])/Inventory[[#This Row],[24Bldg]],0)</f>
        <v>0.17283236994219653</v>
      </c>
      <c r="BT2114" s="36">
        <f>(Inventory[[#This Row],[Adjusted Land Total]]-Inventory[[#This Row],[24Lnd]])/Inventory[[#This Row],[24Lnd]]</f>
        <v>-0.30798479087452474</v>
      </c>
      <c r="BU2114" s="36">
        <f>(Inventory[[#This Row],[Adjusted Total]]-Inventory[[#This Row],[24Final]])/Inventory[[#This Row],[24Final]]</f>
        <v>8.3549070369498712E-2</v>
      </c>
    </row>
    <row r="2115" spans="1:73" x14ac:dyDescent="0.3">
      <c r="A2115" s="25">
        <v>2025</v>
      </c>
      <c r="B2115" s="26" t="s">
        <v>2842</v>
      </c>
      <c r="C2115" s="26">
        <f>LN(Inventory[[#This Row],[Acres]])</f>
        <v>-1.8971199848858813</v>
      </c>
      <c r="D2115" s="25">
        <v>0.15</v>
      </c>
      <c r="E2115" s="25">
        <v>6347</v>
      </c>
      <c r="F2115" s="26" t="s">
        <v>537</v>
      </c>
      <c r="G2115" s="26" t="s">
        <v>126</v>
      </c>
      <c r="H2115" s="26" t="s">
        <v>349</v>
      </c>
      <c r="I2115" s="26" t="s">
        <v>538</v>
      </c>
      <c r="J2115" s="26" t="s">
        <v>539</v>
      </c>
      <c r="K2115" s="26" t="s">
        <v>269</v>
      </c>
      <c r="L2115" s="26" t="s">
        <v>302</v>
      </c>
      <c r="M2115" s="26" t="s">
        <v>206</v>
      </c>
      <c r="N2115" s="26">
        <v>110</v>
      </c>
      <c r="O2115" s="26">
        <f>2024-Inventory[[#This Row],[YrBlt]]</f>
        <v>102</v>
      </c>
      <c r="P2115" s="26">
        <f>2024-Inventory[[#This Row],[EffYr]]</f>
        <v>57</v>
      </c>
      <c r="Q2115" s="25">
        <v>1922</v>
      </c>
      <c r="R2115" s="25">
        <v>1967</v>
      </c>
      <c r="S2115" s="25">
        <v>1372</v>
      </c>
      <c r="T2115" s="32">
        <v>700</v>
      </c>
      <c r="U2115" s="25">
        <v>720</v>
      </c>
      <c r="V2115" s="32">
        <f>Inventory[[#This Row],[Bsmt]]-Inventory[[#This Row],[FnBsmt]]</f>
        <v>520</v>
      </c>
      <c r="W2115" s="32">
        <v>200</v>
      </c>
      <c r="X2115" s="27"/>
      <c r="Y2115" s="27">
        <f>Inventory[[#This Row],[MainFn]]+Inventory[[#This Row],[UpprFn]]+Inventory[[#This Row],[FnBsmt]]+Inventory[[#This Row],[AddFn]]</f>
        <v>2272</v>
      </c>
      <c r="Z2115" s="27">
        <v>2500</v>
      </c>
      <c r="AA2115" s="25">
        <v>8</v>
      </c>
      <c r="AB2115" s="27"/>
      <c r="AC2115" s="27"/>
      <c r="AD2115" s="27"/>
      <c r="AE2115" s="27"/>
      <c r="AF2115" s="27"/>
      <c r="AG2115" s="27"/>
      <c r="AH2115" s="27"/>
      <c r="AI2115" s="25">
        <v>387435</v>
      </c>
      <c r="AJ2115" s="25">
        <v>236335</v>
      </c>
      <c r="AK2115" s="25">
        <v>6227</v>
      </c>
      <c r="AL2115" s="25">
        <v>315300</v>
      </c>
      <c r="AM2115" s="25">
        <v>48400</v>
      </c>
      <c r="AN2115" s="25">
        <v>266900</v>
      </c>
      <c r="AO2115" s="25">
        <v>0</v>
      </c>
      <c r="AP2115" s="25">
        <f>Lookups!$B$56*0</f>
        <v>0</v>
      </c>
      <c r="AQ2115" s="25">
        <f>Lookups!$B$56*1</f>
        <v>89850.625589999996</v>
      </c>
      <c r="AR2115" s="25">
        <f>Lookups!$B$57*Inventory[[#This Row],[LnAcres]]</f>
        <v>-60052.604136134301</v>
      </c>
      <c r="AS2115" s="25">
        <f>VLOOKUP(Inventory[[#This Row],[Qlty]],Lookups!$A$62:$E$75,2,FALSE)</f>
        <v>29814.093161000001</v>
      </c>
      <c r="AT2115" s="25">
        <f>VLOOKUP(Inventory[[#This Row],[Cnd]],Lookups!$A$76:$E$84,2,FALSE)</f>
        <v>133714.53821</v>
      </c>
      <c r="AU2115" s="25">
        <f>Inventory[[#This Row],[EffAge]]*Lookups!$B$85</f>
        <v>-12713.599228500001</v>
      </c>
      <c r="AV2115" s="25">
        <f>Inventory[[#This Row],[MainFn]]*Lookups!$B$86</f>
        <v>67788.695071244001</v>
      </c>
      <c r="AW2115" s="25">
        <f>Inventory[[#This Row],[UpprFn]]*Lookups!$B$87</f>
        <v>31350.496002699998</v>
      </c>
      <c r="AX2115" s="25">
        <f>Inventory[[#This Row],[AddFn]]*Lookups!$B$88</f>
        <v>0</v>
      </c>
      <c r="AY2115" s="25">
        <f>Inventory[[#This Row],[Bsmt]]*Lookups!$B$89</f>
        <v>20938.964577839997</v>
      </c>
      <c r="AZ2115" s="25">
        <f>Inventory[[#This Row],[Fixtures]]*Lookups!$B$90</f>
        <v>30336.176841600001</v>
      </c>
      <c r="BA2115" s="25">
        <f>Inventory[[#This Row],[WdDeck]]*Lookups!$B$91</f>
        <v>0</v>
      </c>
      <c r="BB2115" s="25">
        <f>ROUND(Inventory[[#This Row],[25Det]],-2)</f>
        <v>6200</v>
      </c>
      <c r="BC2115" s="25">
        <f>ROUND(SUM(Inventory[[#This Row],[Mdl Qlty]:[Mdl WdDeck]])+Inventory[[#This Row],[Mdl Res Intercept]],-2)</f>
        <v>301200</v>
      </c>
      <c r="BD2115" s="25">
        <f>ROUND(Inventory[[#This Row],[Mdl Land Intercept]]+Inventory[[#This Row],[Mdl LnAcres]],-2)</f>
        <v>29800</v>
      </c>
      <c r="BE2115" s="25">
        <f>Inventory[[#This Row],[Unadj Res Value]]+Inventory[[#This Row],[Unadj Det Value]]+Inventory[[#This Row],[Unadj Land Value]]</f>
        <v>337200</v>
      </c>
      <c r="BF2115" s="36">
        <f>(Inventory[[#This Row],[Unadj Total Value]]-Inventory[[#This Row],[24Final]])/Inventory[[#This Row],[24Final]]</f>
        <v>6.9457659372026637E-2</v>
      </c>
      <c r="BG2115" s="25">
        <f>VLOOKUP(Inventory[[#This Row],[Nbhd]],Lookups!$Q$2:$T$4,4,FALSE)</f>
        <v>0.99970000000000003</v>
      </c>
      <c r="BH2115" s="25">
        <f>VLOOKUP(Inventory[[#This Row],[Qlty]],Lookups!$O$7:$R$21,4,FALSE)</f>
        <v>1.0088999999999999</v>
      </c>
      <c r="BI2115" s="25">
        <f>VLOOKUP(Inventory[[#This Row],[Cnd]],Lookups!$T$7:$W$16,4,FALSE)</f>
        <v>0.99329999999999996</v>
      </c>
      <c r="BJ2115" s="25">
        <f>VLOOKUP(Inventory[[#This Row],[LivArea Range]],Lookups!$T$25:$W$37,4,FALSE)</f>
        <v>0.98919999999999997</v>
      </c>
      <c r="BK2115" s="25">
        <f>VLOOKUP(Inventory[[#This Row],[Decade]],Lookups!$O$25:$R$42,4,FALSE)</f>
        <v>0.96040000000000003</v>
      </c>
      <c r="BL2115" s="25">
        <f>Inventory[[#This Row],[Nbhd Adj]]*0.95</f>
        <v>0.94971499999999998</v>
      </c>
      <c r="BM2115" s="25">
        <f>Inventory[[#This Row],[Nbhd Adj]]*Inventory[[#This Row],[Quality Adj]]*Inventory[[#This Row],[Condition Adj]]*Inventory[[#This Row],[Living Area Adj]]*Inventory[[#This Row],[Decade Adj]]*0.95</f>
        <v>0.90418669879730684</v>
      </c>
      <c r="BN2115" s="25">
        <f>ROUND(SUM(Inventory[[#This Row],[Mdl Qlty]:[Mdl WdDeck]])+Inventory[[#This Row],[Mdl Res Intercept]]*Inventory[[#This Row],[Res Adj ]],-2)</f>
        <v>301200</v>
      </c>
      <c r="BO2115" s="25">
        <f>ROUND(Inventory[[#This Row],[25Det]]*Inventory[[#This Row],[Det/Nbhd Adj]],-2)</f>
        <v>5900</v>
      </c>
      <c r="BP2115" s="25">
        <f>Inventory[[#This Row],[Adjusted Res]]+Inventory[[#This Row],[Adj Det ]]</f>
        <v>307100</v>
      </c>
      <c r="BQ2115" s="25">
        <f>ROUND((Inventory[[#This Row],[Mdl Land Intercept]]+Inventory[[#This Row],[Mdl LnAcres]])*Inventory[[#This Row],[Det/Nbhd Adj]],-2)</f>
        <v>28300</v>
      </c>
      <c r="BR2115" s="25">
        <f>Inventory[[#This Row],[Adjusted Impr Total]]+Inventory[[#This Row],[Adjusted Land Total]]</f>
        <v>335400</v>
      </c>
      <c r="BS2115" s="36">
        <f>IFERROR((Inventory[[#This Row],[Adjusted Impr Total]]-Inventory[[#This Row],[24Bldg]])/Inventory[[#This Row],[24Bldg]],0)</f>
        <v>0.15061820906706633</v>
      </c>
      <c r="BT2115" s="36">
        <f>(Inventory[[#This Row],[Adjusted Land Total]]-Inventory[[#This Row],[24Lnd]])/Inventory[[#This Row],[24Lnd]]</f>
        <v>-0.41528925619834711</v>
      </c>
      <c r="BU2115" s="36">
        <f>(Inventory[[#This Row],[Adjusted Total]]-Inventory[[#This Row],[24Final]])/Inventory[[#This Row],[24Final]]</f>
        <v>6.3748810656517607E-2</v>
      </c>
    </row>
    <row r="2116" spans="1:73" x14ac:dyDescent="0.3">
      <c r="A2116" s="25">
        <v>2025</v>
      </c>
      <c r="B2116" s="26" t="s">
        <v>1651</v>
      </c>
      <c r="C2116" s="26">
        <f>LN(Inventory[[#This Row],[Acres]])</f>
        <v>-1.3862943611198906</v>
      </c>
      <c r="D2116" s="25">
        <v>0.25</v>
      </c>
      <c r="E2116" s="25">
        <v>10764</v>
      </c>
      <c r="F2116" s="26" t="s">
        <v>537</v>
      </c>
      <c r="G2116" s="26" t="s">
        <v>126</v>
      </c>
      <c r="H2116" s="26" t="s">
        <v>349</v>
      </c>
      <c r="I2116" s="26" t="s">
        <v>538</v>
      </c>
      <c r="J2116" s="26" t="s">
        <v>539</v>
      </c>
      <c r="K2116" s="26" t="s">
        <v>301</v>
      </c>
      <c r="L2116" s="26" t="s">
        <v>64</v>
      </c>
      <c r="M2116" s="26" t="s">
        <v>352</v>
      </c>
      <c r="N2116" s="26">
        <v>110</v>
      </c>
      <c r="O2116" s="26">
        <f>2024-Inventory[[#This Row],[YrBlt]]</f>
        <v>102</v>
      </c>
      <c r="P2116" s="26">
        <f>2024-Inventory[[#This Row],[EffYr]]</f>
        <v>57</v>
      </c>
      <c r="Q2116" s="25">
        <v>1922</v>
      </c>
      <c r="R2116" s="25">
        <v>1967</v>
      </c>
      <c r="S2116" s="25">
        <v>2485</v>
      </c>
      <c r="T2116" s="32">
        <v>1829</v>
      </c>
      <c r="U2116" s="25">
        <v>1620</v>
      </c>
      <c r="V2116" s="25">
        <f>Inventory[[#This Row],[Bsmt]]-Inventory[[#This Row],[FnBsmt]]</f>
        <v>0</v>
      </c>
      <c r="W2116" s="25">
        <v>1620</v>
      </c>
      <c r="X2116" s="27"/>
      <c r="Y2116" s="27">
        <f>Inventory[[#This Row],[MainFn]]+Inventory[[#This Row],[UpprFn]]+Inventory[[#This Row],[FnBsmt]]+Inventory[[#This Row],[AddFn]]</f>
        <v>5934</v>
      </c>
      <c r="Z2116" s="27">
        <v>5500</v>
      </c>
      <c r="AA2116" s="25">
        <v>17</v>
      </c>
      <c r="AB2116" s="27"/>
      <c r="AC2116" s="27"/>
      <c r="AD2116" s="27"/>
      <c r="AE2116" s="27"/>
      <c r="AF2116" s="27"/>
      <c r="AG2116" s="27"/>
      <c r="AH2116" s="27"/>
      <c r="AI2116" s="25">
        <v>1186386</v>
      </c>
      <c r="AJ2116" s="25">
        <v>806742</v>
      </c>
      <c r="AK2116" s="25">
        <v>49851</v>
      </c>
      <c r="AL2116" s="25">
        <v>825500</v>
      </c>
      <c r="AM2116" s="25">
        <v>66200</v>
      </c>
      <c r="AN2116" s="25">
        <v>759300</v>
      </c>
      <c r="AO2116" s="25">
        <v>0</v>
      </c>
      <c r="AP2116" s="25">
        <f>Lookups!$B$56*0</f>
        <v>0</v>
      </c>
      <c r="AQ2116" s="25">
        <f>Lookups!$B$56*1</f>
        <v>89850.625589999996</v>
      </c>
      <c r="AR2116" s="25">
        <f>Lookups!$B$57*Inventory[[#This Row],[LnAcres]]</f>
        <v>-43882.615305165229</v>
      </c>
      <c r="AS2116" s="25">
        <f>VLOOKUP(Inventory[[#This Row],[Qlty]],Lookups!$A$62:$E$75,2,FALSE)</f>
        <v>163885.03753</v>
      </c>
      <c r="AT2116" s="25">
        <f>VLOOKUP(Inventory[[#This Row],[Cnd]],Lookups!$A$76:$E$84,2,FALSE)</f>
        <v>284810.60806</v>
      </c>
      <c r="AU2116" s="25">
        <f>Inventory[[#This Row],[EffAge]]*Lookups!$B$85</f>
        <v>-12713.599228500001</v>
      </c>
      <c r="AV2116" s="25">
        <f>Inventory[[#This Row],[MainFn]]*Lookups!$B$86</f>
        <v>122780.54464434501</v>
      </c>
      <c r="AW2116" s="25">
        <f>Inventory[[#This Row],[UpprFn]]*Lookups!$B$87</f>
        <v>81914.367412769003</v>
      </c>
      <c r="AX2116" s="25">
        <f>Inventory[[#This Row],[AddFn]]*Lookups!$B$88</f>
        <v>0</v>
      </c>
      <c r="AY2116" s="25">
        <f>Inventory[[#This Row],[Bsmt]]*Lookups!$B$89</f>
        <v>47112.670300139995</v>
      </c>
      <c r="AZ2116" s="25">
        <f>Inventory[[#This Row],[Fixtures]]*Lookups!$B$90</f>
        <v>64464.375788400001</v>
      </c>
      <c r="BA2116" s="25">
        <f>Inventory[[#This Row],[WdDeck]]*Lookups!$B$91</f>
        <v>0</v>
      </c>
      <c r="BB2116" s="25">
        <f>ROUND(Inventory[[#This Row],[25Det]],-2)</f>
        <v>49900</v>
      </c>
      <c r="BC2116" s="25">
        <f>ROUND(SUM(Inventory[[#This Row],[Mdl Qlty]:[Mdl WdDeck]])+Inventory[[#This Row],[Mdl Res Intercept]],-2)</f>
        <v>752300</v>
      </c>
      <c r="BD2116" s="25">
        <f>ROUND(Inventory[[#This Row],[Mdl Land Intercept]]+Inventory[[#This Row],[Mdl LnAcres]],-2)</f>
        <v>46000</v>
      </c>
      <c r="BE2116" s="25">
        <f>Inventory[[#This Row],[Unadj Res Value]]+Inventory[[#This Row],[Unadj Det Value]]+Inventory[[#This Row],[Unadj Land Value]]</f>
        <v>848200</v>
      </c>
      <c r="BF2116" s="36">
        <f>(Inventory[[#This Row],[Unadj Total Value]]-Inventory[[#This Row],[24Final]])/Inventory[[#This Row],[24Final]]</f>
        <v>2.7498485766202303E-2</v>
      </c>
      <c r="BG2116" s="25">
        <f>VLOOKUP(Inventory[[#This Row],[Nbhd]],Lookups!$Q$2:$T$4,4,FALSE)</f>
        <v>0.99970000000000003</v>
      </c>
      <c r="BH2116" s="25">
        <f>VLOOKUP(Inventory[[#This Row],[Qlty]],Lookups!$O$7:$R$21,4,FALSE)</f>
        <v>1</v>
      </c>
      <c r="BI2116" s="25">
        <f>VLOOKUP(Inventory[[#This Row],[Cnd]],Lookups!$T$7:$W$16,4,FALSE)</f>
        <v>1.0158</v>
      </c>
      <c r="BJ2116" s="25">
        <f>VLOOKUP(Inventory[[#This Row],[LivArea Range]],Lookups!$T$25:$W$37,4,FALSE)</f>
        <v>1.1091</v>
      </c>
      <c r="BK2116" s="25">
        <f>VLOOKUP(Inventory[[#This Row],[Decade]],Lookups!$O$25:$R$42,4,FALSE)</f>
        <v>0.96040000000000003</v>
      </c>
      <c r="BL2116" s="25">
        <f>Inventory[[#This Row],[Nbhd Adj]]*0.95</f>
        <v>0.94971499999999998</v>
      </c>
      <c r="BM2116" s="25">
        <f>Inventory[[#This Row],[Nbhd Adj]]*Inventory[[#This Row],[Quality Adj]]*Inventory[[#This Row],[Condition Adj]]*Inventory[[#This Row],[Living Area Adj]]*Inventory[[#This Row],[Decade Adj]]*0.95</f>
        <v>1.027600631695081</v>
      </c>
      <c r="BN2116" s="25">
        <f>ROUND(SUM(Inventory[[#This Row],[Mdl Qlty]:[Mdl WdDeck]])+Inventory[[#This Row],[Mdl Res Intercept]]*Inventory[[#This Row],[Res Adj ]],-2)</f>
        <v>752300</v>
      </c>
      <c r="BO2116" s="25">
        <f>ROUND(Inventory[[#This Row],[25Det]]*Inventory[[#This Row],[Det/Nbhd Adj]],-2)</f>
        <v>47300</v>
      </c>
      <c r="BP2116" s="25">
        <f>Inventory[[#This Row],[Adjusted Res]]+Inventory[[#This Row],[Adj Det ]]</f>
        <v>799600</v>
      </c>
      <c r="BQ2116" s="25">
        <f>ROUND((Inventory[[#This Row],[Mdl Land Intercept]]+Inventory[[#This Row],[Mdl LnAcres]])*Inventory[[#This Row],[Det/Nbhd Adj]],-2)</f>
        <v>43700</v>
      </c>
      <c r="BR2116" s="25">
        <f>Inventory[[#This Row],[Adjusted Impr Total]]+Inventory[[#This Row],[Adjusted Land Total]]</f>
        <v>843300</v>
      </c>
      <c r="BS2116" s="36">
        <f>IFERROR((Inventory[[#This Row],[Adjusted Impr Total]]-Inventory[[#This Row],[24Bldg]])/Inventory[[#This Row],[24Bldg]],0)</f>
        <v>5.3075200842881601E-2</v>
      </c>
      <c r="BT2116" s="36">
        <f>(Inventory[[#This Row],[Adjusted Land Total]]-Inventory[[#This Row],[24Lnd]])/Inventory[[#This Row],[24Lnd]]</f>
        <v>-0.33987915407854985</v>
      </c>
      <c r="BU2116" s="36">
        <f>(Inventory[[#This Row],[Adjusted Total]]-Inventory[[#This Row],[24Final]])/Inventory[[#This Row],[24Final]]</f>
        <v>2.1562689279224712E-2</v>
      </c>
    </row>
    <row r="2117" spans="1:73" x14ac:dyDescent="0.3">
      <c r="A2117" s="25">
        <v>2025</v>
      </c>
      <c r="B2117" s="26" t="s">
        <v>2210</v>
      </c>
      <c r="C2117" s="26">
        <f>LN(Inventory[[#This Row],[Acres]])</f>
        <v>-0.9942522733438669</v>
      </c>
      <c r="D2117" s="25">
        <v>0.37</v>
      </c>
      <c r="E2117" s="32">
        <v>16061</v>
      </c>
      <c r="F2117" s="26" t="s">
        <v>537</v>
      </c>
      <c r="G2117" s="26" t="s">
        <v>126</v>
      </c>
      <c r="H2117" s="26" t="s">
        <v>349</v>
      </c>
      <c r="I2117" s="26" t="s">
        <v>538</v>
      </c>
      <c r="J2117" s="26" t="s">
        <v>539</v>
      </c>
      <c r="K2117" s="26" t="s">
        <v>301</v>
      </c>
      <c r="L2117" s="26" t="s">
        <v>148</v>
      </c>
      <c r="M2117" s="26" t="s">
        <v>303</v>
      </c>
      <c r="N2117" s="26">
        <v>110</v>
      </c>
      <c r="O2117" s="26">
        <f>2024-Inventory[[#This Row],[YrBlt]]</f>
        <v>103</v>
      </c>
      <c r="P2117" s="26">
        <f>2024-Inventory[[#This Row],[EffYr]]</f>
        <v>58</v>
      </c>
      <c r="Q2117" s="25">
        <v>1921</v>
      </c>
      <c r="R2117" s="25">
        <v>1966</v>
      </c>
      <c r="S2117" s="25">
        <v>1932</v>
      </c>
      <c r="T2117" s="25">
        <v>1366</v>
      </c>
      <c r="U2117" s="25">
        <v>1289</v>
      </c>
      <c r="V2117" s="32">
        <f>Inventory[[#This Row],[Bsmt]]-Inventory[[#This Row],[FnBsmt]]</f>
        <v>999</v>
      </c>
      <c r="W2117" s="32">
        <v>290</v>
      </c>
      <c r="X2117" s="27"/>
      <c r="Y2117" s="27">
        <f>Inventory[[#This Row],[MainFn]]+Inventory[[#This Row],[UpprFn]]+Inventory[[#This Row],[FnBsmt]]+Inventory[[#This Row],[AddFn]]</f>
        <v>3588</v>
      </c>
      <c r="Z2117" s="27">
        <v>4000</v>
      </c>
      <c r="AA2117" s="25">
        <v>18</v>
      </c>
      <c r="AB2117" s="27"/>
      <c r="AC2117" s="27"/>
      <c r="AD2117" s="32">
        <v>361</v>
      </c>
      <c r="AE2117" s="27"/>
      <c r="AF2117" s="27"/>
      <c r="AG2117" s="27"/>
      <c r="AH2117" s="27"/>
      <c r="AI2117" s="25">
        <v>688654</v>
      </c>
      <c r="AJ2117" s="25">
        <v>440739</v>
      </c>
      <c r="AK2117" s="25">
        <v>79114</v>
      </c>
      <c r="AL2117" s="25">
        <v>579500</v>
      </c>
      <c r="AM2117" s="25">
        <v>79900</v>
      </c>
      <c r="AN2117" s="25">
        <v>499600</v>
      </c>
      <c r="AO2117" s="25">
        <v>0</v>
      </c>
      <c r="AP2117" s="25">
        <f>Lookups!$B$56*0</f>
        <v>0</v>
      </c>
      <c r="AQ2117" s="25">
        <f>Lookups!$B$56*1</f>
        <v>89850.625589999996</v>
      </c>
      <c r="AR2117" s="25">
        <f>Lookups!$B$57*Inventory[[#This Row],[LnAcres]]</f>
        <v>-31472.673662315807</v>
      </c>
      <c r="AS2117" s="25">
        <f>VLOOKUP(Inventory[[#This Row],[Qlty]],Lookups!$A$62:$E$75,2,FALSE)</f>
        <v>44121.038090000002</v>
      </c>
      <c r="AT2117" s="25">
        <f>VLOOKUP(Inventory[[#This Row],[Cnd]],Lookups!$A$76:$E$84,2,FALSE)</f>
        <v>197752.34721000001</v>
      </c>
      <c r="AU2117" s="25">
        <f>Inventory[[#This Row],[EffAge]]*Lookups!$B$85</f>
        <v>-12936.644829000001</v>
      </c>
      <c r="AV2117" s="25">
        <f>Inventory[[#This Row],[MainFn]]*Lookups!$B$86</f>
        <v>95457.550202364</v>
      </c>
      <c r="AW2117" s="25">
        <f>Inventory[[#This Row],[UpprFn]]*Lookups!$B$87</f>
        <v>61178.253628125996</v>
      </c>
      <c r="AX2117" s="25">
        <f>Inventory[[#This Row],[AddFn]]*Lookups!$B$88</f>
        <v>0</v>
      </c>
      <c r="AY2117" s="25">
        <f>Inventory[[#This Row],[Bsmt]]*Lookups!$B$89</f>
        <v>37486.562973382999</v>
      </c>
      <c r="AZ2117" s="25">
        <f>Inventory[[#This Row],[Fixtures]]*Lookups!$B$90</f>
        <v>68256.397893600006</v>
      </c>
      <c r="BA2117" s="25">
        <f>Inventory[[#This Row],[WdDeck]]*Lookups!$B$91</f>
        <v>12019.681014636</v>
      </c>
      <c r="BB2117" s="25">
        <f>ROUND(Inventory[[#This Row],[25Det]],-2)</f>
        <v>79100</v>
      </c>
      <c r="BC2117" s="25">
        <f>ROUND(SUM(Inventory[[#This Row],[Mdl Qlty]:[Mdl WdDeck]])+Inventory[[#This Row],[Mdl Res Intercept]],-2)</f>
        <v>503300</v>
      </c>
      <c r="BD2117" s="25">
        <f>ROUND(Inventory[[#This Row],[Mdl Land Intercept]]+Inventory[[#This Row],[Mdl LnAcres]],-2)</f>
        <v>58400</v>
      </c>
      <c r="BE2117" s="25">
        <f>Inventory[[#This Row],[Unadj Res Value]]+Inventory[[#This Row],[Unadj Det Value]]+Inventory[[#This Row],[Unadj Land Value]]</f>
        <v>640800</v>
      </c>
      <c r="BF2117" s="36">
        <f>(Inventory[[#This Row],[Unadj Total Value]]-Inventory[[#This Row],[24Final]])/Inventory[[#This Row],[24Final]]</f>
        <v>0.10578084555651424</v>
      </c>
      <c r="BG2117" s="25">
        <f>VLOOKUP(Inventory[[#This Row],[Nbhd]],Lookups!$Q$2:$T$4,4,FALSE)</f>
        <v>0.99970000000000003</v>
      </c>
      <c r="BH2117" s="25">
        <f>VLOOKUP(Inventory[[#This Row],[Qlty]],Lookups!$O$7:$R$21,4,FALSE)</f>
        <v>0.98050000000000004</v>
      </c>
      <c r="BI2117" s="25">
        <f>VLOOKUP(Inventory[[#This Row],[Cnd]],Lookups!$T$7:$W$16,4,FALSE)</f>
        <v>0.99650000000000005</v>
      </c>
      <c r="BJ2117" s="25">
        <f>VLOOKUP(Inventory[[#This Row],[LivArea Range]],Lookups!$T$25:$W$37,4,FALSE)</f>
        <v>0.94579999999999997</v>
      </c>
      <c r="BK2117" s="25">
        <f>VLOOKUP(Inventory[[#This Row],[Decade]],Lookups!$O$25:$R$42,4,FALSE)</f>
        <v>0.96040000000000003</v>
      </c>
      <c r="BL2117" s="25">
        <f>Inventory[[#This Row],[Nbhd Adj]]*0.95</f>
        <v>0.94971499999999998</v>
      </c>
      <c r="BM2117" s="25">
        <f>Inventory[[#This Row],[Nbhd Adj]]*Inventory[[#This Row],[Quality Adj]]*Inventory[[#This Row],[Condition Adj]]*Inventory[[#This Row],[Living Area Adj]]*Inventory[[#This Row],[Decade Adj]]*0.95</f>
        <v>0.84288758965297927</v>
      </c>
      <c r="BN2117" s="25">
        <f>ROUND(SUM(Inventory[[#This Row],[Mdl Qlty]:[Mdl WdDeck]])+Inventory[[#This Row],[Mdl Res Intercept]]*Inventory[[#This Row],[Res Adj ]],-2)</f>
        <v>503300</v>
      </c>
      <c r="BO2117" s="25">
        <f>ROUND(Inventory[[#This Row],[25Det]]*Inventory[[#This Row],[Det/Nbhd Adj]],-2)</f>
        <v>75100</v>
      </c>
      <c r="BP2117" s="25">
        <f>Inventory[[#This Row],[Adjusted Res]]+Inventory[[#This Row],[Adj Det ]]</f>
        <v>578400</v>
      </c>
      <c r="BQ2117" s="25">
        <f>ROUND((Inventory[[#This Row],[Mdl Land Intercept]]+Inventory[[#This Row],[Mdl LnAcres]])*Inventory[[#This Row],[Det/Nbhd Adj]],-2)</f>
        <v>55400</v>
      </c>
      <c r="BR2117" s="25">
        <f>Inventory[[#This Row],[Adjusted Impr Total]]+Inventory[[#This Row],[Adjusted Land Total]]</f>
        <v>633800</v>
      </c>
      <c r="BS2117" s="36">
        <f>IFERROR((Inventory[[#This Row],[Adjusted Impr Total]]-Inventory[[#This Row],[24Bldg]])/Inventory[[#This Row],[24Bldg]],0)</f>
        <v>0.15772618094475579</v>
      </c>
      <c r="BT2117" s="36">
        <f>(Inventory[[#This Row],[Adjusted Land Total]]-Inventory[[#This Row],[24Lnd]])/Inventory[[#This Row],[24Lnd]]</f>
        <v>-0.30663329161451813</v>
      </c>
      <c r="BU2117" s="36">
        <f>(Inventory[[#This Row],[Adjusted Total]]-Inventory[[#This Row],[24Final]])/Inventory[[#This Row],[24Final]]</f>
        <v>9.3701466781708376E-2</v>
      </c>
    </row>
    <row r="2118" spans="1:73" x14ac:dyDescent="0.3">
      <c r="A2118" s="25">
        <v>2025</v>
      </c>
      <c r="B2118" s="26" t="s">
        <v>968</v>
      </c>
      <c r="C2118" s="26">
        <f>LN(Inventory[[#This Row],[Acres]])</f>
        <v>-1.3862943611198906</v>
      </c>
      <c r="D2118" s="25">
        <v>0.25</v>
      </c>
      <c r="E2118" s="25">
        <v>10943</v>
      </c>
      <c r="F2118" s="26" t="s">
        <v>537</v>
      </c>
      <c r="G2118" s="26" t="s">
        <v>126</v>
      </c>
      <c r="H2118" s="26" t="s">
        <v>349</v>
      </c>
      <c r="I2118" s="26" t="s">
        <v>538</v>
      </c>
      <c r="J2118" s="26" t="s">
        <v>539</v>
      </c>
      <c r="K2118" s="26" t="s">
        <v>269</v>
      </c>
      <c r="L2118" s="26" t="s">
        <v>302</v>
      </c>
      <c r="M2118" s="26" t="s">
        <v>303</v>
      </c>
      <c r="N2118" s="26">
        <v>110</v>
      </c>
      <c r="O2118" s="26">
        <f>2024-Inventory[[#This Row],[YrBlt]]</f>
        <v>103</v>
      </c>
      <c r="P2118" s="26">
        <f>2024-Inventory[[#This Row],[EffYr]]</f>
        <v>58</v>
      </c>
      <c r="Q2118" s="25">
        <v>1921</v>
      </c>
      <c r="R2118" s="25">
        <v>1966</v>
      </c>
      <c r="S2118" s="25">
        <v>1348</v>
      </c>
      <c r="T2118" s="32">
        <v>504</v>
      </c>
      <c r="U2118" s="32">
        <v>1170</v>
      </c>
      <c r="V2118" s="32">
        <f>Inventory[[#This Row],[Bsmt]]-Inventory[[#This Row],[FnBsmt]]</f>
        <v>570</v>
      </c>
      <c r="W2118" s="32">
        <v>600</v>
      </c>
      <c r="X2118" s="27"/>
      <c r="Y2118" s="27">
        <f>Inventory[[#This Row],[MainFn]]+Inventory[[#This Row],[UpprFn]]+Inventory[[#This Row],[FnBsmt]]+Inventory[[#This Row],[AddFn]]</f>
        <v>2452</v>
      </c>
      <c r="Z2118" s="27">
        <v>2500</v>
      </c>
      <c r="AA2118" s="25">
        <v>10</v>
      </c>
      <c r="AB2118" s="27"/>
      <c r="AC2118" s="27"/>
      <c r="AD2118" s="27"/>
      <c r="AE2118" s="27"/>
      <c r="AF2118" s="27"/>
      <c r="AG2118" s="27"/>
      <c r="AH2118" s="27"/>
      <c r="AI2118" s="25">
        <v>418100</v>
      </c>
      <c r="AJ2118" s="25">
        <v>267584</v>
      </c>
      <c r="AK2118" s="25">
        <v>9380</v>
      </c>
      <c r="AL2118" s="25">
        <v>404300</v>
      </c>
      <c r="AM2118" s="25">
        <v>66200</v>
      </c>
      <c r="AN2118" s="25">
        <v>338100</v>
      </c>
      <c r="AO2118" s="25">
        <v>0</v>
      </c>
      <c r="AP2118" s="25">
        <f>Lookups!$B$56*0</f>
        <v>0</v>
      </c>
      <c r="AQ2118" s="25">
        <f>Lookups!$B$56*1</f>
        <v>89850.625589999996</v>
      </c>
      <c r="AR2118" s="25">
        <f>Lookups!$B$57*Inventory[[#This Row],[LnAcres]]</f>
        <v>-43882.615305165229</v>
      </c>
      <c r="AS2118" s="25">
        <f>VLOOKUP(Inventory[[#This Row],[Qlty]],Lookups!$A$62:$E$75,2,FALSE)</f>
        <v>29814.093161000001</v>
      </c>
      <c r="AT2118" s="25">
        <f>VLOOKUP(Inventory[[#This Row],[Cnd]],Lookups!$A$76:$E$84,2,FALSE)</f>
        <v>197752.34721000001</v>
      </c>
      <c r="AU2118" s="25">
        <f>Inventory[[#This Row],[EffAge]]*Lookups!$B$85</f>
        <v>-12936.644829000001</v>
      </c>
      <c r="AV2118" s="25">
        <f>Inventory[[#This Row],[MainFn]]*Lookups!$B$86</f>
        <v>66602.886994196</v>
      </c>
      <c r="AW2118" s="25">
        <f>Inventory[[#This Row],[UpprFn]]*Lookups!$B$87</f>
        <v>22572.357121943998</v>
      </c>
      <c r="AX2118" s="25">
        <f>Inventory[[#This Row],[AddFn]]*Lookups!$B$88</f>
        <v>0</v>
      </c>
      <c r="AY2118" s="25">
        <f>Inventory[[#This Row],[Bsmt]]*Lookups!$B$89</f>
        <v>34025.817438990001</v>
      </c>
      <c r="AZ2118" s="25">
        <f>Inventory[[#This Row],[Fixtures]]*Lookups!$B$90</f>
        <v>37920.221052000001</v>
      </c>
      <c r="BA2118" s="25">
        <f>Inventory[[#This Row],[WdDeck]]*Lookups!$B$91</f>
        <v>0</v>
      </c>
      <c r="BB2118" s="25">
        <f>ROUND(Inventory[[#This Row],[25Det]],-2)</f>
        <v>9400</v>
      </c>
      <c r="BC2118" s="25">
        <f>ROUND(SUM(Inventory[[#This Row],[Mdl Qlty]:[Mdl WdDeck]])+Inventory[[#This Row],[Mdl Res Intercept]],-2)</f>
        <v>375800</v>
      </c>
      <c r="BD2118" s="25">
        <f>ROUND(Inventory[[#This Row],[Mdl Land Intercept]]+Inventory[[#This Row],[Mdl LnAcres]],-2)</f>
        <v>46000</v>
      </c>
      <c r="BE2118" s="25">
        <f>Inventory[[#This Row],[Unadj Res Value]]+Inventory[[#This Row],[Unadj Det Value]]+Inventory[[#This Row],[Unadj Land Value]]</f>
        <v>431200</v>
      </c>
      <c r="BF2118" s="36">
        <f>(Inventory[[#This Row],[Unadj Total Value]]-Inventory[[#This Row],[24Final]])/Inventory[[#This Row],[24Final]]</f>
        <v>6.6534751422211227E-2</v>
      </c>
      <c r="BG2118" s="25">
        <f>VLOOKUP(Inventory[[#This Row],[Nbhd]],Lookups!$Q$2:$T$4,4,FALSE)</f>
        <v>0.99970000000000003</v>
      </c>
      <c r="BH2118" s="25">
        <f>VLOOKUP(Inventory[[#This Row],[Qlty]],Lookups!$O$7:$R$21,4,FALSE)</f>
        <v>1.0088999999999999</v>
      </c>
      <c r="BI2118" s="25">
        <f>VLOOKUP(Inventory[[#This Row],[Cnd]],Lookups!$T$7:$W$16,4,FALSE)</f>
        <v>0.99650000000000005</v>
      </c>
      <c r="BJ2118" s="25">
        <f>VLOOKUP(Inventory[[#This Row],[LivArea Range]],Lookups!$T$25:$W$37,4,FALSE)</f>
        <v>0.98919999999999997</v>
      </c>
      <c r="BK2118" s="25">
        <f>VLOOKUP(Inventory[[#This Row],[Decade]],Lookups!$O$25:$R$42,4,FALSE)</f>
        <v>0.96040000000000003</v>
      </c>
      <c r="BL2118" s="25">
        <f>Inventory[[#This Row],[Nbhd Adj]]*0.95</f>
        <v>0.94971499999999998</v>
      </c>
      <c r="BM2118" s="25">
        <f>Inventory[[#This Row],[Nbhd Adj]]*Inventory[[#This Row],[Quality Adj]]*Inventory[[#This Row],[Condition Adj]]*Inventory[[#This Row],[Living Area Adj]]*Inventory[[#This Row],[Decade Adj]]*0.95</f>
        <v>0.90709961275698836</v>
      </c>
      <c r="BN2118" s="25">
        <f>ROUND(SUM(Inventory[[#This Row],[Mdl Qlty]:[Mdl WdDeck]])+Inventory[[#This Row],[Mdl Res Intercept]]*Inventory[[#This Row],[Res Adj ]],-2)</f>
        <v>375800</v>
      </c>
      <c r="BO2118" s="25">
        <f>ROUND(Inventory[[#This Row],[25Det]]*Inventory[[#This Row],[Det/Nbhd Adj]],-2)</f>
        <v>8900</v>
      </c>
      <c r="BP2118" s="25">
        <f>Inventory[[#This Row],[Adjusted Res]]+Inventory[[#This Row],[Adj Det ]]</f>
        <v>384700</v>
      </c>
      <c r="BQ2118" s="25">
        <f>ROUND((Inventory[[#This Row],[Mdl Land Intercept]]+Inventory[[#This Row],[Mdl LnAcres]])*Inventory[[#This Row],[Det/Nbhd Adj]],-2)</f>
        <v>43700</v>
      </c>
      <c r="BR2118" s="25">
        <f>Inventory[[#This Row],[Adjusted Impr Total]]+Inventory[[#This Row],[Adjusted Land Total]]</f>
        <v>428400</v>
      </c>
      <c r="BS2118" s="36">
        <f>IFERROR((Inventory[[#This Row],[Adjusted Impr Total]]-Inventory[[#This Row],[24Bldg]])/Inventory[[#This Row],[24Bldg]],0)</f>
        <v>0.1378290446613428</v>
      </c>
      <c r="BT2118" s="36">
        <f>(Inventory[[#This Row],[Adjusted Land Total]]-Inventory[[#This Row],[24Lnd]])/Inventory[[#This Row],[24Lnd]]</f>
        <v>-0.33987915407854985</v>
      </c>
      <c r="BU2118" s="36">
        <f>(Inventory[[#This Row],[Adjusted Total]]-Inventory[[#This Row],[24Final]])/Inventory[[#This Row],[24Final]]</f>
        <v>5.960920108830077E-2</v>
      </c>
    </row>
    <row r="2119" spans="1:73" x14ac:dyDescent="0.3">
      <c r="A2119" s="25">
        <v>2025</v>
      </c>
      <c r="B2119" s="26" t="s">
        <v>2680</v>
      </c>
      <c r="C2119" s="26">
        <f>LN(Inventory[[#This Row],[Acres]])</f>
        <v>-1.5141277326297755</v>
      </c>
      <c r="D2119" s="25">
        <v>0.22</v>
      </c>
      <c r="E2119" s="25">
        <v>9500</v>
      </c>
      <c r="F2119" s="26" t="s">
        <v>537</v>
      </c>
      <c r="G2119" s="26" t="s">
        <v>126</v>
      </c>
      <c r="H2119" s="26" t="s">
        <v>349</v>
      </c>
      <c r="I2119" s="26" t="s">
        <v>538</v>
      </c>
      <c r="J2119" s="26" t="s">
        <v>539</v>
      </c>
      <c r="K2119" s="26" t="s">
        <v>269</v>
      </c>
      <c r="L2119" s="26" t="s">
        <v>351</v>
      </c>
      <c r="M2119" s="26" t="s">
        <v>323</v>
      </c>
      <c r="N2119" s="26">
        <v>110</v>
      </c>
      <c r="O2119" s="26">
        <f>2024-Inventory[[#This Row],[YrBlt]]</f>
        <v>103</v>
      </c>
      <c r="P2119" s="26">
        <f>2024-Inventory[[#This Row],[EffYr]]</f>
        <v>58</v>
      </c>
      <c r="Q2119" s="25">
        <v>1921</v>
      </c>
      <c r="R2119" s="25">
        <v>1966</v>
      </c>
      <c r="S2119" s="25">
        <v>910</v>
      </c>
      <c r="T2119" s="25">
        <v>455</v>
      </c>
      <c r="U2119" s="25">
        <v>455</v>
      </c>
      <c r="V2119" s="25">
        <f>Inventory[[#This Row],[Bsmt]]-Inventory[[#This Row],[FnBsmt]]</f>
        <v>455</v>
      </c>
      <c r="W2119" s="31"/>
      <c r="X2119" s="27"/>
      <c r="Y2119" s="27">
        <f>Inventory[[#This Row],[MainFn]]+Inventory[[#This Row],[UpprFn]]+Inventory[[#This Row],[FnBsmt]]+Inventory[[#This Row],[AddFn]]</f>
        <v>1365</v>
      </c>
      <c r="Z2119" s="27">
        <v>1500</v>
      </c>
      <c r="AA2119" s="25">
        <v>7</v>
      </c>
      <c r="AB2119" s="27"/>
      <c r="AC2119" s="27"/>
      <c r="AD2119" s="31"/>
      <c r="AE2119" s="27"/>
      <c r="AF2119" s="27"/>
      <c r="AG2119" s="27"/>
      <c r="AH2119" s="27"/>
      <c r="AI2119" s="25">
        <v>235480</v>
      </c>
      <c r="AJ2119" s="25">
        <v>145998</v>
      </c>
      <c r="AK2119" s="25">
        <v>5286</v>
      </c>
      <c r="AL2119" s="25">
        <v>306100</v>
      </c>
      <c r="AM2119" s="25">
        <v>61700</v>
      </c>
      <c r="AN2119" s="25">
        <v>244400</v>
      </c>
      <c r="AO2119" s="25">
        <v>0</v>
      </c>
      <c r="AP2119" s="25">
        <f>Lookups!$B$56*0</f>
        <v>0</v>
      </c>
      <c r="AQ2119" s="25">
        <f>Lookups!$B$56*1</f>
        <v>89850.625589999996</v>
      </c>
      <c r="AR2119" s="25">
        <f>Lookups!$B$57*Inventory[[#This Row],[LnAcres]]</f>
        <v>-47929.131559187132</v>
      </c>
      <c r="AS2119" s="25">
        <f>VLOOKUP(Inventory[[#This Row],[Qlty]],Lookups!$A$62:$E$75,2,FALSE)</f>
        <v>21557.329055999999</v>
      </c>
      <c r="AT2119" s="25">
        <f>VLOOKUP(Inventory[[#This Row],[Cnd]],Lookups!$A$76:$E$84,2,FALSE)</f>
        <v>160472.20319</v>
      </c>
      <c r="AU2119" s="25">
        <f>Inventory[[#This Row],[EffAge]]*Lookups!$B$85</f>
        <v>-12936.644829000001</v>
      </c>
      <c r="AV2119" s="25">
        <f>Inventory[[#This Row],[MainFn]]*Lookups!$B$86</f>
        <v>44961.88958807</v>
      </c>
      <c r="AW2119" s="25">
        <f>Inventory[[#This Row],[UpprFn]]*Lookups!$B$87</f>
        <v>20377.822401754998</v>
      </c>
      <c r="AX2119" s="25">
        <f>Inventory[[#This Row],[AddFn]]*Lookups!$B$88</f>
        <v>0</v>
      </c>
      <c r="AY2119" s="25">
        <f>Inventory[[#This Row],[Bsmt]]*Lookups!$B$89</f>
        <v>13232.262337385</v>
      </c>
      <c r="AZ2119" s="25">
        <f>Inventory[[#This Row],[Fixtures]]*Lookups!$B$90</f>
        <v>26544.1547364</v>
      </c>
      <c r="BA2119" s="25">
        <f>Inventory[[#This Row],[WdDeck]]*Lookups!$B$91</f>
        <v>0</v>
      </c>
      <c r="BB2119" s="25">
        <f>ROUND(Inventory[[#This Row],[25Det]],-2)</f>
        <v>5300</v>
      </c>
      <c r="BC2119" s="25">
        <f>ROUND(SUM(Inventory[[#This Row],[Mdl Qlty]:[Mdl WdDeck]])+Inventory[[#This Row],[Mdl Res Intercept]],-2)</f>
        <v>274200</v>
      </c>
      <c r="BD2119" s="25">
        <f>ROUND(Inventory[[#This Row],[Mdl Land Intercept]]+Inventory[[#This Row],[Mdl LnAcres]],-2)</f>
        <v>41900</v>
      </c>
      <c r="BE2119" s="25">
        <f>Inventory[[#This Row],[Unadj Res Value]]+Inventory[[#This Row],[Unadj Det Value]]+Inventory[[#This Row],[Unadj Land Value]]</f>
        <v>321400</v>
      </c>
      <c r="BF2119" s="36">
        <f>(Inventory[[#This Row],[Unadj Total Value]]-Inventory[[#This Row],[24Final]])/Inventory[[#This Row],[24Final]]</f>
        <v>4.9983665468801043E-2</v>
      </c>
      <c r="BG2119" s="25">
        <f>VLOOKUP(Inventory[[#This Row],[Nbhd]],Lookups!$Q$2:$T$4,4,FALSE)</f>
        <v>0.99970000000000003</v>
      </c>
      <c r="BH2119" s="25">
        <f>VLOOKUP(Inventory[[#This Row],[Qlty]],Lookups!$O$7:$R$21,4,FALSE)</f>
        <v>1.0067999999999999</v>
      </c>
      <c r="BI2119" s="25">
        <f>VLOOKUP(Inventory[[#This Row],[Cnd]],Lookups!$T$7:$W$16,4,FALSE)</f>
        <v>0.99729999999999996</v>
      </c>
      <c r="BJ2119" s="25">
        <f>VLOOKUP(Inventory[[#This Row],[LivArea Range]],Lookups!$T$25:$W$37,4,FALSE)</f>
        <v>1.0157</v>
      </c>
      <c r="BK2119" s="25">
        <f>VLOOKUP(Inventory[[#This Row],[Decade]],Lookups!$O$25:$R$42,4,FALSE)</f>
        <v>0.96040000000000003</v>
      </c>
      <c r="BL2119" s="25">
        <f>Inventory[[#This Row],[Nbhd Adj]]*0.95</f>
        <v>0.94971499999999998</v>
      </c>
      <c r="BM2119" s="25">
        <f>Inventory[[#This Row],[Nbhd Adj]]*Inventory[[#This Row],[Quality Adj]]*Inventory[[#This Row],[Condition Adj]]*Inventory[[#This Row],[Living Area Adj]]*Inventory[[#This Row],[Decade Adj]]*0.95</f>
        <v>0.93020769355655764</v>
      </c>
      <c r="BN2119" s="25">
        <f>ROUND(SUM(Inventory[[#This Row],[Mdl Qlty]:[Mdl WdDeck]])+Inventory[[#This Row],[Mdl Res Intercept]]*Inventory[[#This Row],[Res Adj ]],-2)</f>
        <v>274200</v>
      </c>
      <c r="BO2119" s="25">
        <f>ROUND(Inventory[[#This Row],[25Det]]*Inventory[[#This Row],[Det/Nbhd Adj]],-2)</f>
        <v>5000</v>
      </c>
      <c r="BP2119" s="25">
        <f>Inventory[[#This Row],[Adjusted Res]]+Inventory[[#This Row],[Adj Det ]]</f>
        <v>279200</v>
      </c>
      <c r="BQ2119" s="25">
        <f>ROUND((Inventory[[#This Row],[Mdl Land Intercept]]+Inventory[[#This Row],[Mdl LnAcres]])*Inventory[[#This Row],[Det/Nbhd Adj]],-2)</f>
        <v>39800</v>
      </c>
      <c r="BR2119" s="25">
        <f>Inventory[[#This Row],[Adjusted Impr Total]]+Inventory[[#This Row],[Adjusted Land Total]]</f>
        <v>319000</v>
      </c>
      <c r="BS2119" s="36">
        <f>IFERROR((Inventory[[#This Row],[Adjusted Impr Total]]-Inventory[[#This Row],[24Bldg]])/Inventory[[#This Row],[24Bldg]],0)</f>
        <v>0.14238952536824878</v>
      </c>
      <c r="BT2119" s="36">
        <f>(Inventory[[#This Row],[Adjusted Land Total]]-Inventory[[#This Row],[24Lnd]])/Inventory[[#This Row],[24Lnd]]</f>
        <v>-0.35494327390599678</v>
      </c>
      <c r="BU2119" s="36">
        <f>(Inventory[[#This Row],[Adjusted Total]]-Inventory[[#This Row],[24Final]])/Inventory[[#This Row],[24Final]]</f>
        <v>4.2143090493302844E-2</v>
      </c>
    </row>
    <row r="2120" spans="1:73" x14ac:dyDescent="0.3">
      <c r="A2120" s="25">
        <v>2025</v>
      </c>
      <c r="B2120" s="26" t="s">
        <v>2617</v>
      </c>
      <c r="C2120" s="26">
        <f>LN(Inventory[[#This Row],[Acres]])</f>
        <v>-1.3093333199837622</v>
      </c>
      <c r="D2120" s="25">
        <v>0.27</v>
      </c>
      <c r="E2120" s="25">
        <v>11903</v>
      </c>
      <c r="F2120" s="26" t="s">
        <v>537</v>
      </c>
      <c r="G2120" s="26" t="s">
        <v>126</v>
      </c>
      <c r="H2120" s="26" t="s">
        <v>349</v>
      </c>
      <c r="I2120" s="26" t="s">
        <v>538</v>
      </c>
      <c r="J2120" s="26" t="s">
        <v>539</v>
      </c>
      <c r="K2120" s="26" t="s">
        <v>301</v>
      </c>
      <c r="L2120" s="26" t="s">
        <v>302</v>
      </c>
      <c r="M2120" s="26" t="s">
        <v>206</v>
      </c>
      <c r="N2120" s="26">
        <v>110</v>
      </c>
      <c r="O2120" s="26">
        <f>2024-Inventory[[#This Row],[YrBlt]]</f>
        <v>103</v>
      </c>
      <c r="P2120" s="26">
        <f>2024-Inventory[[#This Row],[EffYr]]</f>
        <v>58</v>
      </c>
      <c r="Q2120" s="25">
        <v>1921</v>
      </c>
      <c r="R2120" s="25">
        <v>1966</v>
      </c>
      <c r="S2120" s="25">
        <v>1236</v>
      </c>
      <c r="T2120" s="32">
        <v>1088</v>
      </c>
      <c r="U2120" s="25">
        <v>896</v>
      </c>
      <c r="V2120" s="25">
        <f>Inventory[[#This Row],[Bsmt]]-Inventory[[#This Row],[FnBsmt]]</f>
        <v>0</v>
      </c>
      <c r="W2120" s="25">
        <v>896</v>
      </c>
      <c r="X2120" s="27"/>
      <c r="Y2120" s="27">
        <f>Inventory[[#This Row],[MainFn]]+Inventory[[#This Row],[UpprFn]]+Inventory[[#This Row],[FnBsmt]]+Inventory[[#This Row],[AddFn]]</f>
        <v>3220</v>
      </c>
      <c r="Z2120" s="27">
        <v>3500</v>
      </c>
      <c r="AA2120" s="25">
        <v>11</v>
      </c>
      <c r="AB2120" s="27"/>
      <c r="AC2120" s="31"/>
      <c r="AD2120" s="25">
        <v>192</v>
      </c>
      <c r="AE2120" s="27"/>
      <c r="AF2120" s="27"/>
      <c r="AG2120" s="27"/>
      <c r="AH2120" s="27"/>
      <c r="AI2120" s="25">
        <v>498292</v>
      </c>
      <c r="AJ2120" s="25">
        <v>298975</v>
      </c>
      <c r="AK2120" s="25">
        <v>11709</v>
      </c>
      <c r="AL2120" s="25">
        <v>380300</v>
      </c>
      <c r="AM2120" s="25">
        <v>68900</v>
      </c>
      <c r="AN2120" s="25">
        <v>311400</v>
      </c>
      <c r="AO2120" s="25">
        <v>0</v>
      </c>
      <c r="AP2120" s="25">
        <f>Lookups!$B$56*0</f>
        <v>0</v>
      </c>
      <c r="AQ2120" s="25">
        <f>Lookups!$B$56*1</f>
        <v>89850.625589999996</v>
      </c>
      <c r="AR2120" s="25">
        <f>Lookups!$B$57*Inventory[[#This Row],[LnAcres]]</f>
        <v>-41446.443120973789</v>
      </c>
      <c r="AS2120" s="25">
        <f>VLOOKUP(Inventory[[#This Row],[Qlty]],Lookups!$A$62:$E$75,2,FALSE)</f>
        <v>29814.093161000001</v>
      </c>
      <c r="AT2120" s="25">
        <f>VLOOKUP(Inventory[[#This Row],[Cnd]],Lookups!$A$76:$E$84,2,FALSE)</f>
        <v>133714.53821</v>
      </c>
      <c r="AU2120" s="25">
        <f>Inventory[[#This Row],[EffAge]]*Lookups!$B$85</f>
        <v>-12936.644829000001</v>
      </c>
      <c r="AV2120" s="25">
        <f>Inventory[[#This Row],[MainFn]]*Lookups!$B$86</f>
        <v>61069.115967972</v>
      </c>
      <c r="AW2120" s="25">
        <f>Inventory[[#This Row],[UpprFn]]*Lookups!$B$87</f>
        <v>48727.628072767999</v>
      </c>
      <c r="AX2120" s="25">
        <f>Inventory[[#This Row],[AddFn]]*Lookups!$B$88</f>
        <v>0</v>
      </c>
      <c r="AY2120" s="25">
        <f>Inventory[[#This Row],[Bsmt]]*Lookups!$B$89</f>
        <v>26057.378141311998</v>
      </c>
      <c r="AZ2120" s="25">
        <f>Inventory[[#This Row],[Fixtures]]*Lookups!$B$90</f>
        <v>41712.243157199999</v>
      </c>
      <c r="BA2120" s="25">
        <f>Inventory[[#This Row],[WdDeck]]*Lookups!$B$91</f>
        <v>6392.7389329920006</v>
      </c>
      <c r="BB2120" s="25">
        <f>ROUND(Inventory[[#This Row],[25Det]],-2)</f>
        <v>11700</v>
      </c>
      <c r="BC2120" s="25">
        <f>ROUND(SUM(Inventory[[#This Row],[Mdl Qlty]:[Mdl WdDeck]])+Inventory[[#This Row],[Mdl Res Intercept]],-2)</f>
        <v>334600</v>
      </c>
      <c r="BD2120" s="25">
        <f>ROUND(Inventory[[#This Row],[Mdl Land Intercept]]+Inventory[[#This Row],[Mdl LnAcres]],-2)</f>
        <v>48400</v>
      </c>
      <c r="BE2120" s="25">
        <f>Inventory[[#This Row],[Unadj Res Value]]+Inventory[[#This Row],[Unadj Det Value]]+Inventory[[#This Row],[Unadj Land Value]]</f>
        <v>394700</v>
      </c>
      <c r="BF2120" s="36">
        <f>(Inventory[[#This Row],[Unadj Total Value]]-Inventory[[#This Row],[24Final]])/Inventory[[#This Row],[24Final]]</f>
        <v>3.7864843544570079E-2</v>
      </c>
      <c r="BG2120" s="25">
        <f>VLOOKUP(Inventory[[#This Row],[Nbhd]],Lookups!$Q$2:$T$4,4,FALSE)</f>
        <v>0.99970000000000003</v>
      </c>
      <c r="BH2120" s="25">
        <f>VLOOKUP(Inventory[[#This Row],[Qlty]],Lookups!$O$7:$R$21,4,FALSE)</f>
        <v>1.0088999999999999</v>
      </c>
      <c r="BI2120" s="25">
        <f>VLOOKUP(Inventory[[#This Row],[Cnd]],Lookups!$T$7:$W$16,4,FALSE)</f>
        <v>0.99329999999999996</v>
      </c>
      <c r="BJ2120" s="25">
        <f>VLOOKUP(Inventory[[#This Row],[LivArea Range]],Lookups!$T$25:$W$37,4,FALSE)</f>
        <v>1.0126999999999999</v>
      </c>
      <c r="BK2120" s="25">
        <f>VLOOKUP(Inventory[[#This Row],[Decade]],Lookups!$O$25:$R$42,4,FALSE)</f>
        <v>0.96040000000000003</v>
      </c>
      <c r="BL2120" s="25">
        <f>Inventory[[#This Row],[Nbhd Adj]]*0.95</f>
        <v>0.94971499999999998</v>
      </c>
      <c r="BM2120" s="25">
        <f>Inventory[[#This Row],[Nbhd Adj]]*Inventory[[#This Row],[Quality Adj]]*Inventory[[#This Row],[Condition Adj]]*Inventory[[#This Row],[Living Area Adj]]*Inventory[[#This Row],[Decade Adj]]*0.95</f>
        <v>0.92566707427419392</v>
      </c>
      <c r="BN2120" s="25">
        <f>ROUND(SUM(Inventory[[#This Row],[Mdl Qlty]:[Mdl WdDeck]])+Inventory[[#This Row],[Mdl Res Intercept]]*Inventory[[#This Row],[Res Adj ]],-2)</f>
        <v>334600</v>
      </c>
      <c r="BO2120" s="25">
        <f>ROUND(Inventory[[#This Row],[25Det]]*Inventory[[#This Row],[Det/Nbhd Adj]],-2)</f>
        <v>11100</v>
      </c>
      <c r="BP2120" s="25">
        <f>Inventory[[#This Row],[Adjusted Res]]+Inventory[[#This Row],[Adj Det ]]</f>
        <v>345700</v>
      </c>
      <c r="BQ2120" s="25">
        <f>ROUND((Inventory[[#This Row],[Mdl Land Intercept]]+Inventory[[#This Row],[Mdl LnAcres]])*Inventory[[#This Row],[Det/Nbhd Adj]],-2)</f>
        <v>46000</v>
      </c>
      <c r="BR2120" s="25">
        <f>Inventory[[#This Row],[Adjusted Impr Total]]+Inventory[[#This Row],[Adjusted Land Total]]</f>
        <v>391700</v>
      </c>
      <c r="BS2120" s="36">
        <f>IFERROR((Inventory[[#This Row],[Adjusted Impr Total]]-Inventory[[#This Row],[24Bldg]])/Inventory[[#This Row],[24Bldg]],0)</f>
        <v>0.11014771997430957</v>
      </c>
      <c r="BT2120" s="36">
        <f>(Inventory[[#This Row],[Adjusted Land Total]]-Inventory[[#This Row],[24Lnd]])/Inventory[[#This Row],[24Lnd]]</f>
        <v>-0.33236574746008707</v>
      </c>
      <c r="BU2120" s="36">
        <f>(Inventory[[#This Row],[Adjusted Total]]-Inventory[[#This Row],[24Final]])/Inventory[[#This Row],[24Final]]</f>
        <v>2.9976334472784645E-2</v>
      </c>
    </row>
    <row r="2121" spans="1:73" x14ac:dyDescent="0.3">
      <c r="A2121" s="25">
        <v>2025</v>
      </c>
      <c r="B2121" s="26" t="s">
        <v>922</v>
      </c>
      <c r="C2121" s="26">
        <f>LN(Inventory[[#This Row],[Acres]])</f>
        <v>-1.5141277326297755</v>
      </c>
      <c r="D2121" s="25">
        <v>0.22</v>
      </c>
      <c r="E2121" s="25">
        <v>9567</v>
      </c>
      <c r="F2121" s="26" t="s">
        <v>537</v>
      </c>
      <c r="G2121" s="26" t="s">
        <v>126</v>
      </c>
      <c r="H2121" s="26" t="s">
        <v>349</v>
      </c>
      <c r="I2121" s="26" t="s">
        <v>538</v>
      </c>
      <c r="J2121" s="26" t="s">
        <v>539</v>
      </c>
      <c r="K2121" s="26" t="s">
        <v>242</v>
      </c>
      <c r="L2121" s="26" t="s">
        <v>205</v>
      </c>
      <c r="M2121" s="26" t="s">
        <v>323</v>
      </c>
      <c r="N2121" s="26">
        <v>110</v>
      </c>
      <c r="O2121" s="26">
        <f>2024-Inventory[[#This Row],[YrBlt]]</f>
        <v>103</v>
      </c>
      <c r="P2121" s="26">
        <f>2024-Inventory[[#This Row],[EffYr]]</f>
        <v>58</v>
      </c>
      <c r="Q2121" s="25">
        <v>1921</v>
      </c>
      <c r="R2121" s="25">
        <v>1966</v>
      </c>
      <c r="S2121" s="25">
        <v>881</v>
      </c>
      <c r="T2121" s="27"/>
      <c r="U2121" s="25">
        <v>885</v>
      </c>
      <c r="V2121" s="25">
        <f>Inventory[[#This Row],[Bsmt]]-Inventory[[#This Row],[FnBsmt]]</f>
        <v>221</v>
      </c>
      <c r="W2121" s="25">
        <v>664</v>
      </c>
      <c r="X2121" s="27"/>
      <c r="Y2121" s="27">
        <f>Inventory[[#This Row],[MainFn]]+Inventory[[#This Row],[UpprFn]]+Inventory[[#This Row],[FnBsmt]]+Inventory[[#This Row],[AddFn]]</f>
        <v>1545</v>
      </c>
      <c r="Z2121" s="27">
        <v>2000</v>
      </c>
      <c r="AA2121" s="25">
        <v>5</v>
      </c>
      <c r="AB2121" s="27"/>
      <c r="AC2121" s="27"/>
      <c r="AD2121" s="27"/>
      <c r="AE2121" s="27"/>
      <c r="AF2121" s="27"/>
      <c r="AG2121" s="27"/>
      <c r="AH2121" s="27"/>
      <c r="AI2121" s="25">
        <v>197877</v>
      </c>
      <c r="AJ2121" s="25">
        <v>122684</v>
      </c>
      <c r="AK2121" s="25">
        <v>5077</v>
      </c>
      <c r="AL2121" s="25">
        <v>277900</v>
      </c>
      <c r="AM2121" s="25">
        <v>61700</v>
      </c>
      <c r="AN2121" s="25">
        <v>216200</v>
      </c>
      <c r="AO2121" s="25">
        <v>0</v>
      </c>
      <c r="AP2121" s="25">
        <f>Lookups!$B$56*0</f>
        <v>0</v>
      </c>
      <c r="AQ2121" s="25">
        <f>Lookups!$B$56*1</f>
        <v>89850.625589999996</v>
      </c>
      <c r="AR2121" s="25">
        <f>Lookups!$B$57*Inventory[[#This Row],[LnAcres]]</f>
        <v>-47929.131559187132</v>
      </c>
      <c r="AS2121" s="25">
        <f>VLOOKUP(Inventory[[#This Row],[Qlty]],Lookups!$A$62:$E$75,2,FALSE)</f>
        <v>0</v>
      </c>
      <c r="AT2121" s="25">
        <f>VLOOKUP(Inventory[[#This Row],[Cnd]],Lookups!$A$76:$E$84,2,FALSE)</f>
        <v>160472.20319</v>
      </c>
      <c r="AU2121" s="25">
        <f>Inventory[[#This Row],[EffAge]]*Lookups!$B$85</f>
        <v>-12936.644829000001</v>
      </c>
      <c r="AV2121" s="25">
        <f>Inventory[[#This Row],[MainFn]]*Lookups!$B$86</f>
        <v>43529.038161637</v>
      </c>
      <c r="AW2121" s="25">
        <f>Inventory[[#This Row],[UpprFn]]*Lookups!$B$87</f>
        <v>0</v>
      </c>
      <c r="AX2121" s="25">
        <f>Inventory[[#This Row],[AddFn]]*Lookups!$B$88</f>
        <v>0</v>
      </c>
      <c r="AY2121" s="25">
        <f>Inventory[[#This Row],[Bsmt]]*Lookups!$B$89</f>
        <v>25737.477293594999</v>
      </c>
      <c r="AZ2121" s="25">
        <f>Inventory[[#This Row],[Fixtures]]*Lookups!$B$90</f>
        <v>18960.110526</v>
      </c>
      <c r="BA2121" s="25">
        <f>Inventory[[#This Row],[WdDeck]]*Lookups!$B$91</f>
        <v>0</v>
      </c>
      <c r="BB2121" s="25">
        <f>ROUND(Inventory[[#This Row],[25Det]],-2)</f>
        <v>5100</v>
      </c>
      <c r="BC2121" s="25">
        <f>ROUND(SUM(Inventory[[#This Row],[Mdl Qlty]:[Mdl WdDeck]])+Inventory[[#This Row],[Mdl Res Intercept]],-2)</f>
        <v>235800</v>
      </c>
      <c r="BD2121" s="25">
        <f>ROUND(Inventory[[#This Row],[Mdl Land Intercept]]+Inventory[[#This Row],[Mdl LnAcres]],-2)</f>
        <v>41900</v>
      </c>
      <c r="BE2121" s="25">
        <f>Inventory[[#This Row],[Unadj Res Value]]+Inventory[[#This Row],[Unadj Det Value]]+Inventory[[#This Row],[Unadj Land Value]]</f>
        <v>282800</v>
      </c>
      <c r="BF2121" s="36">
        <f>(Inventory[[#This Row],[Unadj Total Value]]-Inventory[[#This Row],[24Final]])/Inventory[[#This Row],[24Final]]</f>
        <v>1.7632241813602016E-2</v>
      </c>
      <c r="BG2121" s="25">
        <f>VLOOKUP(Inventory[[#This Row],[Nbhd]],Lookups!$Q$2:$T$4,4,FALSE)</f>
        <v>0.99970000000000003</v>
      </c>
      <c r="BH2121" s="25">
        <f>VLOOKUP(Inventory[[#This Row],[Qlty]],Lookups!$O$7:$R$21,4,FALSE)</f>
        <v>0.99180000000000001</v>
      </c>
      <c r="BI2121" s="25">
        <f>VLOOKUP(Inventory[[#This Row],[Cnd]],Lookups!$T$7:$W$16,4,FALSE)</f>
        <v>0.99729999999999996</v>
      </c>
      <c r="BJ2121" s="25">
        <f>VLOOKUP(Inventory[[#This Row],[LivArea Range]],Lookups!$T$25:$W$37,4,FALSE)</f>
        <v>1.0093000000000001</v>
      </c>
      <c r="BK2121" s="25">
        <f>VLOOKUP(Inventory[[#This Row],[Decade]],Lookups!$O$25:$R$42,4,FALSE)</f>
        <v>0.96040000000000003</v>
      </c>
      <c r="BL2121" s="25">
        <f>Inventory[[#This Row],[Nbhd Adj]]*0.95</f>
        <v>0.94971499999999998</v>
      </c>
      <c r="BM2121" s="25">
        <f>Inventory[[#This Row],[Nbhd Adj]]*Inventory[[#This Row],[Quality Adj]]*Inventory[[#This Row],[Condition Adj]]*Inventory[[#This Row],[Living Area Adj]]*Inventory[[#This Row],[Decade Adj]]*0.95</f>
        <v>0.91057483756586888</v>
      </c>
      <c r="BN2121" s="25">
        <f>ROUND(SUM(Inventory[[#This Row],[Mdl Qlty]:[Mdl WdDeck]])+Inventory[[#This Row],[Mdl Res Intercept]]*Inventory[[#This Row],[Res Adj ]],-2)</f>
        <v>235800</v>
      </c>
      <c r="BO2121" s="25">
        <f>ROUND(Inventory[[#This Row],[25Det]]*Inventory[[#This Row],[Det/Nbhd Adj]],-2)</f>
        <v>4800</v>
      </c>
      <c r="BP2121" s="25">
        <f>Inventory[[#This Row],[Adjusted Res]]+Inventory[[#This Row],[Adj Det ]]</f>
        <v>240600</v>
      </c>
      <c r="BQ2121" s="25">
        <f>ROUND((Inventory[[#This Row],[Mdl Land Intercept]]+Inventory[[#This Row],[Mdl LnAcres]])*Inventory[[#This Row],[Det/Nbhd Adj]],-2)</f>
        <v>39800</v>
      </c>
      <c r="BR2121" s="25">
        <f>Inventory[[#This Row],[Adjusted Impr Total]]+Inventory[[#This Row],[Adjusted Land Total]]</f>
        <v>280400</v>
      </c>
      <c r="BS2121" s="36">
        <f>IFERROR((Inventory[[#This Row],[Adjusted Impr Total]]-Inventory[[#This Row],[24Bldg]])/Inventory[[#This Row],[24Bldg]],0)</f>
        <v>0.11285846438482887</v>
      </c>
      <c r="BT2121" s="36">
        <f>(Inventory[[#This Row],[Adjusted Land Total]]-Inventory[[#This Row],[24Lnd]])/Inventory[[#This Row],[24Lnd]]</f>
        <v>-0.35494327390599678</v>
      </c>
      <c r="BU2121" s="36">
        <f>(Inventory[[#This Row],[Adjusted Total]]-Inventory[[#This Row],[24Final]])/Inventory[[#This Row],[24Final]]</f>
        <v>8.9960417416336813E-3</v>
      </c>
    </row>
    <row r="2122" spans="1:73" x14ac:dyDescent="0.3">
      <c r="A2122" s="25">
        <v>2025</v>
      </c>
      <c r="B2122" s="26" t="s">
        <v>2425</v>
      </c>
      <c r="C2122" s="26">
        <f>LN(Inventory[[#This Row],[Acres]])</f>
        <v>-1.2039728043259361</v>
      </c>
      <c r="D2122" s="25">
        <v>0.3</v>
      </c>
      <c r="E2122" s="25">
        <v>13068</v>
      </c>
      <c r="F2122" s="26" t="s">
        <v>624</v>
      </c>
      <c r="G2122" s="26" t="s">
        <v>544</v>
      </c>
      <c r="H2122" s="26" t="s">
        <v>349</v>
      </c>
      <c r="I2122" s="26" t="s">
        <v>625</v>
      </c>
      <c r="J2122" s="26" t="s">
        <v>2426</v>
      </c>
      <c r="K2122" s="26" t="s">
        <v>448</v>
      </c>
      <c r="L2122" s="26" t="s">
        <v>64</v>
      </c>
      <c r="M2122" s="26" t="s">
        <v>323</v>
      </c>
      <c r="N2122" s="26">
        <v>110</v>
      </c>
      <c r="O2122" s="26">
        <f>2024-Inventory[[#This Row],[YrBlt]]</f>
        <v>104</v>
      </c>
      <c r="P2122" s="26">
        <f>2024-Inventory[[#This Row],[EffYr]]</f>
        <v>58</v>
      </c>
      <c r="Q2122" s="25">
        <v>1920</v>
      </c>
      <c r="R2122" s="25">
        <v>1966</v>
      </c>
      <c r="S2122" s="25">
        <v>2176</v>
      </c>
      <c r="T2122" s="25">
        <v>728</v>
      </c>
      <c r="U2122" s="25">
        <v>1008</v>
      </c>
      <c r="V2122" s="25">
        <f>Inventory[[#This Row],[Bsmt]]-Inventory[[#This Row],[FnBsmt]]</f>
        <v>408</v>
      </c>
      <c r="W2122" s="25">
        <v>600</v>
      </c>
      <c r="X2122" s="27"/>
      <c r="Y2122" s="27">
        <f>Inventory[[#This Row],[MainFn]]+Inventory[[#This Row],[UpprFn]]+Inventory[[#This Row],[FnBsmt]]+Inventory[[#This Row],[AddFn]]</f>
        <v>3504</v>
      </c>
      <c r="Z2122" s="27">
        <v>4000</v>
      </c>
      <c r="AA2122" s="25">
        <v>14</v>
      </c>
      <c r="AB2122" s="32">
        <v>342</v>
      </c>
      <c r="AC2122" s="27"/>
      <c r="AD2122" s="32">
        <v>1216</v>
      </c>
      <c r="AE2122" s="32">
        <v>90</v>
      </c>
      <c r="AF2122" s="27"/>
      <c r="AG2122" s="32">
        <v>87</v>
      </c>
      <c r="AH2122" s="27"/>
      <c r="AI2122" s="25">
        <v>841375</v>
      </c>
      <c r="AJ2122" s="25">
        <v>412274</v>
      </c>
      <c r="AK2122" s="25">
        <v>0</v>
      </c>
      <c r="AL2122" s="25">
        <v>435200</v>
      </c>
      <c r="AM2122" s="25">
        <v>58300</v>
      </c>
      <c r="AN2122" s="25">
        <v>376900</v>
      </c>
      <c r="AO2122" s="25">
        <v>0</v>
      </c>
      <c r="AP2122" s="25">
        <f>Lookups!$B$56*0</f>
        <v>0</v>
      </c>
      <c r="AQ2122" s="25">
        <f>Lookups!$B$56*1</f>
        <v>89850.625589999996</v>
      </c>
      <c r="AR2122" s="25">
        <f>Lookups!$B$57*Inventory[[#This Row],[LnAcres]]</f>
        <v>-38111.29648355169</v>
      </c>
      <c r="AS2122" s="25">
        <f>VLOOKUP(Inventory[[#This Row],[Qlty]],Lookups!$A$62:$E$75,2,FALSE)</f>
        <v>163885.03753</v>
      </c>
      <c r="AT2122" s="25">
        <f>VLOOKUP(Inventory[[#This Row],[Cnd]],Lookups!$A$76:$E$84,2,FALSE)</f>
        <v>160472.20319</v>
      </c>
      <c r="AU2122" s="25">
        <f>Inventory[[#This Row],[EffAge]]*Lookups!$B$85</f>
        <v>-12936.644829000001</v>
      </c>
      <c r="AV2122" s="25">
        <f>Inventory[[#This Row],[MainFn]]*Lookups!$B$86</f>
        <v>107513.265652352</v>
      </c>
      <c r="AW2122" s="25">
        <f>Inventory[[#This Row],[UpprFn]]*Lookups!$B$87</f>
        <v>32604.515842807999</v>
      </c>
      <c r="AX2122" s="25">
        <f>Inventory[[#This Row],[AddFn]]*Lookups!$B$88</f>
        <v>0</v>
      </c>
      <c r="AY2122" s="25">
        <f>Inventory[[#This Row],[Bsmt]]*Lookups!$B$89</f>
        <v>29314.550408976</v>
      </c>
      <c r="AZ2122" s="25">
        <f>Inventory[[#This Row],[Fixtures]]*Lookups!$B$90</f>
        <v>53088.3094728</v>
      </c>
      <c r="BA2122" s="25">
        <f>Inventory[[#This Row],[WdDeck]]*Lookups!$B$91</f>
        <v>40487.346575616</v>
      </c>
      <c r="BB2122" s="25">
        <f>ROUND(Inventory[[#This Row],[25Det]],-2)</f>
        <v>0</v>
      </c>
      <c r="BC2122" s="25">
        <f>ROUND(SUM(Inventory[[#This Row],[Mdl Qlty]:[Mdl WdDeck]])+Inventory[[#This Row],[Mdl Res Intercept]],-2)</f>
        <v>574400</v>
      </c>
      <c r="BD2122" s="25">
        <f>ROUND(Inventory[[#This Row],[Mdl Land Intercept]]+Inventory[[#This Row],[Mdl LnAcres]],-2)</f>
        <v>51700</v>
      </c>
      <c r="BE2122" s="25">
        <f>Inventory[[#This Row],[Unadj Res Value]]+Inventory[[#This Row],[Unadj Det Value]]+Inventory[[#This Row],[Unadj Land Value]]</f>
        <v>626100</v>
      </c>
      <c r="BF2122" s="36">
        <f>(Inventory[[#This Row],[Unadj Total Value]]-Inventory[[#This Row],[24Final]])/Inventory[[#This Row],[24Final]]</f>
        <v>0.43864889705882354</v>
      </c>
      <c r="BG2122" s="25">
        <f>VLOOKUP(Inventory[[#This Row],[Nbhd]],Lookups!$Q$2:$T$4,4,FALSE)</f>
        <v>0.99970000000000003</v>
      </c>
      <c r="BH2122" s="25">
        <f>VLOOKUP(Inventory[[#This Row],[Qlty]],Lookups!$O$7:$R$21,4,FALSE)</f>
        <v>1</v>
      </c>
      <c r="BI2122" s="25">
        <f>VLOOKUP(Inventory[[#This Row],[Cnd]],Lookups!$T$7:$W$16,4,FALSE)</f>
        <v>0.99729999999999996</v>
      </c>
      <c r="BJ2122" s="25">
        <f>VLOOKUP(Inventory[[#This Row],[LivArea Range]],Lookups!$T$25:$W$37,4,FALSE)</f>
        <v>0.94579999999999997</v>
      </c>
      <c r="BK2122" s="25">
        <f>VLOOKUP(Inventory[[#This Row],[Decade]],Lookups!$O$25:$R$42,4,FALSE)</f>
        <v>0.96040000000000003</v>
      </c>
      <c r="BL2122" s="25">
        <f>Inventory[[#This Row],[Nbhd Adj]]*0.95</f>
        <v>0.94971499999999998</v>
      </c>
      <c r="BM2122" s="25">
        <f>Inventory[[#This Row],[Nbhd Adj]]*Inventory[[#This Row],[Quality Adj]]*Inventory[[#This Row],[Condition Adj]]*Inventory[[#This Row],[Living Area Adj]]*Inventory[[#This Row],[Decade Adj]]*0.95</f>
        <v>0.86034091596049311</v>
      </c>
      <c r="BN2122" s="25">
        <f>ROUND(SUM(Inventory[[#This Row],[Mdl Qlty]:[Mdl WdDeck]])+Inventory[[#This Row],[Mdl Res Intercept]]*Inventory[[#This Row],[Res Adj ]],-2)</f>
        <v>574400</v>
      </c>
      <c r="BO2122" s="25">
        <f>ROUND(Inventory[[#This Row],[25Det]]*Inventory[[#This Row],[Det/Nbhd Adj]],-2)</f>
        <v>0</v>
      </c>
      <c r="BP2122" s="25">
        <f>Inventory[[#This Row],[Adjusted Res]]+Inventory[[#This Row],[Adj Det ]]</f>
        <v>574400</v>
      </c>
      <c r="BQ2122" s="25">
        <f>ROUND((Inventory[[#This Row],[Mdl Land Intercept]]+Inventory[[#This Row],[Mdl LnAcres]])*Inventory[[#This Row],[Det/Nbhd Adj]],-2)</f>
        <v>49100</v>
      </c>
      <c r="BR2122" s="25">
        <f>Inventory[[#This Row],[Adjusted Impr Total]]+Inventory[[#This Row],[Adjusted Land Total]]</f>
        <v>623500</v>
      </c>
      <c r="BS2122" s="36">
        <f>IFERROR((Inventory[[#This Row],[Adjusted Impr Total]]-Inventory[[#This Row],[24Bldg]])/Inventory[[#This Row],[24Bldg]],0)</f>
        <v>0.52401167418413375</v>
      </c>
      <c r="BT2122" s="36">
        <f>(Inventory[[#This Row],[Adjusted Land Total]]-Inventory[[#This Row],[24Lnd]])/Inventory[[#This Row],[24Lnd]]</f>
        <v>-0.15780445969125215</v>
      </c>
      <c r="BU2122" s="36">
        <f>(Inventory[[#This Row],[Adjusted Total]]-Inventory[[#This Row],[24Final]])/Inventory[[#This Row],[24Final]]</f>
        <v>0.43267463235294118</v>
      </c>
    </row>
    <row r="2123" spans="1:73" x14ac:dyDescent="0.3">
      <c r="A2123" s="25">
        <v>2025</v>
      </c>
      <c r="B2123" s="26" t="s">
        <v>600</v>
      </c>
      <c r="C2123" s="26">
        <f>LN(Inventory[[#This Row],[Acres]])</f>
        <v>-1.1711829815029451</v>
      </c>
      <c r="D2123" s="25">
        <v>0.31</v>
      </c>
      <c r="E2123" s="32">
        <v>13696</v>
      </c>
      <c r="F2123" s="26" t="s">
        <v>601</v>
      </c>
      <c r="G2123" s="26" t="s">
        <v>544</v>
      </c>
      <c r="H2123" s="26" t="s">
        <v>349</v>
      </c>
      <c r="I2123" s="26" t="s">
        <v>602</v>
      </c>
      <c r="J2123" s="26" t="s">
        <v>603</v>
      </c>
      <c r="K2123" s="26" t="s">
        <v>147</v>
      </c>
      <c r="L2123" s="26" t="s">
        <v>351</v>
      </c>
      <c r="M2123" s="26" t="s">
        <v>206</v>
      </c>
      <c r="N2123" s="26">
        <v>110</v>
      </c>
      <c r="O2123" s="26">
        <f>2024-Inventory[[#This Row],[YrBlt]]</f>
        <v>104</v>
      </c>
      <c r="P2123" s="26">
        <f>2024-Inventory[[#This Row],[EffYr]]</f>
        <v>58</v>
      </c>
      <c r="Q2123" s="25">
        <v>1920</v>
      </c>
      <c r="R2123" s="25">
        <v>1966</v>
      </c>
      <c r="S2123" s="25">
        <v>1570</v>
      </c>
      <c r="T2123" s="32">
        <v>780</v>
      </c>
      <c r="U2123" s="32">
        <v>800</v>
      </c>
      <c r="V2123" s="32">
        <f>Inventory[[#This Row],[Bsmt]]-Inventory[[#This Row],[FnBsmt]]</f>
        <v>800</v>
      </c>
      <c r="W2123" s="27"/>
      <c r="X2123" s="27"/>
      <c r="Y2123" s="27">
        <f>Inventory[[#This Row],[MainFn]]+Inventory[[#This Row],[UpprFn]]+Inventory[[#This Row],[FnBsmt]]+Inventory[[#This Row],[AddFn]]</f>
        <v>2350</v>
      </c>
      <c r="Z2123" s="27">
        <v>2500</v>
      </c>
      <c r="AA2123" s="25">
        <v>8</v>
      </c>
      <c r="AB2123" s="27"/>
      <c r="AC2123" s="27"/>
      <c r="AD2123" s="27"/>
      <c r="AE2123" s="27"/>
      <c r="AF2123" s="27"/>
      <c r="AG2123" s="32">
        <v>200</v>
      </c>
      <c r="AH2123" s="27"/>
      <c r="AI2123" s="25">
        <v>355806</v>
      </c>
      <c r="AJ2123" s="25">
        <v>426967</v>
      </c>
      <c r="AK2123" s="25">
        <v>7181</v>
      </c>
      <c r="AL2123" s="25">
        <v>297550</v>
      </c>
      <c r="AM2123" s="25">
        <v>147950</v>
      </c>
      <c r="AN2123" s="25">
        <v>149600</v>
      </c>
      <c r="AO2123" s="25">
        <v>0</v>
      </c>
      <c r="AP2123" s="25">
        <f>Lookups!$B$56*0</f>
        <v>0</v>
      </c>
      <c r="AQ2123" s="25">
        <f>Lookups!$B$56*1</f>
        <v>89850.625589999996</v>
      </c>
      <c r="AR2123" s="25">
        <f>Lookups!$B$57*Inventory[[#This Row],[LnAcres]]</f>
        <v>-37073.347241874442</v>
      </c>
      <c r="AS2123" s="25">
        <f>VLOOKUP(Inventory[[#This Row],[Qlty]],Lookups!$A$62:$E$75,2,FALSE)</f>
        <v>21557.329055999999</v>
      </c>
      <c r="AT2123" s="25">
        <f>VLOOKUP(Inventory[[#This Row],[Cnd]],Lookups!$A$76:$E$84,2,FALSE)</f>
        <v>133714.53821</v>
      </c>
      <c r="AU2123" s="25">
        <f>Inventory[[#This Row],[EffAge]]*Lookups!$B$85</f>
        <v>-12936.644829000001</v>
      </c>
      <c r="AV2123" s="25">
        <f>Inventory[[#This Row],[MainFn]]*Lookups!$B$86</f>
        <v>77571.611706890006</v>
      </c>
      <c r="AW2123" s="25">
        <f>Inventory[[#This Row],[UpprFn]]*Lookups!$B$87</f>
        <v>34933.40983158</v>
      </c>
      <c r="AX2123" s="25">
        <f>Inventory[[#This Row],[AddFn]]*Lookups!$B$88</f>
        <v>0</v>
      </c>
      <c r="AY2123" s="25">
        <f>Inventory[[#This Row],[Bsmt]]*Lookups!$B$89</f>
        <v>23265.516197599998</v>
      </c>
      <c r="AZ2123" s="25">
        <f>Inventory[[#This Row],[Fixtures]]*Lookups!$B$90</f>
        <v>30336.176841600001</v>
      </c>
      <c r="BA2123" s="25">
        <f>Inventory[[#This Row],[WdDeck]]*Lookups!$B$91</f>
        <v>0</v>
      </c>
      <c r="BB2123" s="25">
        <f>ROUND(Inventory[[#This Row],[25Det]],-2)</f>
        <v>7200</v>
      </c>
      <c r="BC2123" s="25">
        <f>ROUND(SUM(Inventory[[#This Row],[Mdl Qlty]:[Mdl WdDeck]])+Inventory[[#This Row],[Mdl Res Intercept]],-2)</f>
        <v>308400</v>
      </c>
      <c r="BD2123" s="25">
        <f>ROUND(Inventory[[#This Row],[Mdl Land Intercept]]+Inventory[[#This Row],[Mdl LnAcres]],-2)</f>
        <v>52800</v>
      </c>
      <c r="BE2123" s="25">
        <f>Inventory[[#This Row],[Unadj Res Value]]+Inventory[[#This Row],[Unadj Det Value]]+Inventory[[#This Row],[Unadj Land Value]]</f>
        <v>368400</v>
      </c>
      <c r="BF2123" s="36">
        <f>(Inventory[[#This Row],[Unadj Total Value]]-Inventory[[#This Row],[24Final]])/Inventory[[#This Row],[24Final]]</f>
        <v>0.23811124180809948</v>
      </c>
      <c r="BG2123" s="25">
        <f>VLOOKUP(Inventory[[#This Row],[Nbhd]],Lookups!$Q$2:$T$4,4,FALSE)</f>
        <v>0.99970000000000003</v>
      </c>
      <c r="BH2123" s="25">
        <f>VLOOKUP(Inventory[[#This Row],[Qlty]],Lookups!$O$7:$R$21,4,FALSE)</f>
        <v>1.0067999999999999</v>
      </c>
      <c r="BI2123" s="25">
        <f>VLOOKUP(Inventory[[#This Row],[Cnd]],Lookups!$T$7:$W$16,4,FALSE)</f>
        <v>0.99329999999999996</v>
      </c>
      <c r="BJ2123" s="25">
        <f>VLOOKUP(Inventory[[#This Row],[LivArea Range]],Lookups!$T$25:$W$37,4,FALSE)</f>
        <v>0.98919999999999997</v>
      </c>
      <c r="BK2123" s="25">
        <f>VLOOKUP(Inventory[[#This Row],[Decade]],Lookups!$O$25:$R$42,4,FALSE)</f>
        <v>0.96040000000000003</v>
      </c>
      <c r="BL2123" s="25">
        <f>Inventory[[#This Row],[Nbhd Adj]]*0.95</f>
        <v>0.94971499999999998</v>
      </c>
      <c r="BM2123" s="25">
        <f>Inventory[[#This Row],[Nbhd Adj]]*Inventory[[#This Row],[Quality Adj]]*Inventory[[#This Row],[Condition Adj]]*Inventory[[#This Row],[Living Area Adj]]*Inventory[[#This Row],[Decade Adj]]*0.95</f>
        <v>0.90230465690269457</v>
      </c>
      <c r="BN2123" s="25">
        <f>ROUND(SUM(Inventory[[#This Row],[Mdl Qlty]:[Mdl WdDeck]])+Inventory[[#This Row],[Mdl Res Intercept]]*Inventory[[#This Row],[Res Adj ]],-2)</f>
        <v>308400</v>
      </c>
      <c r="BO2123" s="25">
        <f>ROUND(Inventory[[#This Row],[25Det]]*Inventory[[#This Row],[Det/Nbhd Adj]],-2)</f>
        <v>6800</v>
      </c>
      <c r="BP2123" s="25">
        <f>Inventory[[#This Row],[Adjusted Res]]+Inventory[[#This Row],[Adj Det ]]</f>
        <v>315200</v>
      </c>
      <c r="BQ2123" s="25">
        <f>ROUND((Inventory[[#This Row],[Mdl Land Intercept]]+Inventory[[#This Row],[Mdl LnAcres]])*Inventory[[#This Row],[Det/Nbhd Adj]],-2)</f>
        <v>50100</v>
      </c>
      <c r="BR2123" s="25">
        <f>Inventory[[#This Row],[Adjusted Impr Total]]+Inventory[[#This Row],[Adjusted Land Total]]</f>
        <v>365300</v>
      </c>
      <c r="BS2123" s="36">
        <f>IFERROR((Inventory[[#This Row],[Adjusted Impr Total]]-Inventory[[#This Row],[24Bldg]])/Inventory[[#This Row],[24Bldg]],0)</f>
        <v>1.106951871657754</v>
      </c>
      <c r="BT2123" s="36">
        <f>(Inventory[[#This Row],[Adjusted Land Total]]-Inventory[[#This Row],[24Lnd]])/Inventory[[#This Row],[24Lnd]]</f>
        <v>-0.66137208516390678</v>
      </c>
      <c r="BU2123" s="36">
        <f>(Inventory[[#This Row],[Adjusted Total]]-Inventory[[#This Row],[24Final]])/Inventory[[#This Row],[24Final]]</f>
        <v>0.22769282473533861</v>
      </c>
    </row>
    <row r="2124" spans="1:73" x14ac:dyDescent="0.3">
      <c r="A2124" s="25">
        <v>2025</v>
      </c>
      <c r="B2124" s="26" t="s">
        <v>1986</v>
      </c>
      <c r="C2124" s="26">
        <f>LN(Inventory[[#This Row],[Acres]])</f>
        <v>-1.8971199848858813</v>
      </c>
      <c r="D2124" s="25">
        <v>0.15</v>
      </c>
      <c r="E2124" s="31"/>
      <c r="F2124" s="26" t="s">
        <v>537</v>
      </c>
      <c r="G2124" s="26" t="s">
        <v>126</v>
      </c>
      <c r="H2124" s="26" t="s">
        <v>349</v>
      </c>
      <c r="I2124" s="26" t="s">
        <v>538</v>
      </c>
      <c r="J2124" s="26" t="s">
        <v>539</v>
      </c>
      <c r="K2124" s="26" t="s">
        <v>242</v>
      </c>
      <c r="L2124" s="26" t="s">
        <v>302</v>
      </c>
      <c r="M2124" s="26" t="s">
        <v>352</v>
      </c>
      <c r="N2124" s="26">
        <v>110</v>
      </c>
      <c r="O2124" s="26">
        <f>2024-Inventory[[#This Row],[YrBlt]]</f>
        <v>104</v>
      </c>
      <c r="P2124" s="26">
        <f>2024-Inventory[[#This Row],[EffYr]]</f>
        <v>58</v>
      </c>
      <c r="Q2124" s="25">
        <v>1920</v>
      </c>
      <c r="R2124" s="25">
        <v>1966</v>
      </c>
      <c r="S2124" s="25">
        <v>1660</v>
      </c>
      <c r="T2124" s="25">
        <v>500</v>
      </c>
      <c r="U2124" s="25">
        <v>300</v>
      </c>
      <c r="V2124" s="25">
        <f>Inventory[[#This Row],[Bsmt]]-Inventory[[#This Row],[FnBsmt]]</f>
        <v>300</v>
      </c>
      <c r="W2124" s="25">
        <v>0</v>
      </c>
      <c r="X2124" s="31"/>
      <c r="Y2124" s="31">
        <f>Inventory[[#This Row],[MainFn]]+Inventory[[#This Row],[UpprFn]]+Inventory[[#This Row],[FnBsmt]]+Inventory[[#This Row],[AddFn]]</f>
        <v>2160</v>
      </c>
      <c r="Z2124" s="27">
        <v>2500</v>
      </c>
      <c r="AA2124" s="25">
        <v>10</v>
      </c>
      <c r="AB2124" s="31"/>
      <c r="AC2124" s="27"/>
      <c r="AD2124" s="27"/>
      <c r="AE2124" s="27"/>
      <c r="AF2124" s="27"/>
      <c r="AG2124" s="27"/>
      <c r="AH2124" s="27"/>
      <c r="AI2124" s="25">
        <v>381618</v>
      </c>
      <c r="AJ2124" s="25">
        <v>251868</v>
      </c>
      <c r="AK2124" s="25">
        <v>642</v>
      </c>
      <c r="AL2124" s="25">
        <v>399900</v>
      </c>
      <c r="AM2124" s="25">
        <v>48400</v>
      </c>
      <c r="AN2124" s="25">
        <v>351500</v>
      </c>
      <c r="AO2124" s="25">
        <v>0</v>
      </c>
      <c r="AP2124" s="25">
        <f>Lookups!$B$56*0</f>
        <v>0</v>
      </c>
      <c r="AQ2124" s="25">
        <f>Lookups!$B$56*1</f>
        <v>89850.625589999996</v>
      </c>
      <c r="AR2124" s="25">
        <f>Lookups!$B$57*Inventory[[#This Row],[LnAcres]]</f>
        <v>-60052.604136134301</v>
      </c>
      <c r="AS2124" s="25">
        <f>VLOOKUP(Inventory[[#This Row],[Qlty]],Lookups!$A$62:$E$75,2,FALSE)</f>
        <v>29814.093161000001</v>
      </c>
      <c r="AT2124" s="25">
        <f>VLOOKUP(Inventory[[#This Row],[Cnd]],Lookups!$A$76:$E$84,2,FALSE)</f>
        <v>284810.60806</v>
      </c>
      <c r="AU2124" s="25">
        <f>Inventory[[#This Row],[EffAge]]*Lookups!$B$85</f>
        <v>-12936.644829000001</v>
      </c>
      <c r="AV2124" s="25">
        <f>Inventory[[#This Row],[MainFn]]*Lookups!$B$86</f>
        <v>82018.391995819999</v>
      </c>
      <c r="AW2124" s="25">
        <f>Inventory[[#This Row],[UpprFn]]*Lookups!$B$87</f>
        <v>22393.2114305</v>
      </c>
      <c r="AX2124" s="25">
        <f>Inventory[[#This Row],[AddFn]]*Lookups!$B$88</f>
        <v>0</v>
      </c>
      <c r="AY2124" s="25">
        <f>Inventory[[#This Row],[Bsmt]]*Lookups!$B$89</f>
        <v>8724.5685740999998</v>
      </c>
      <c r="AZ2124" s="25">
        <f>Inventory[[#This Row],[Fixtures]]*Lookups!$B$90</f>
        <v>37920.221052000001</v>
      </c>
      <c r="BA2124" s="25">
        <f>Inventory[[#This Row],[WdDeck]]*Lookups!$B$91</f>
        <v>0</v>
      </c>
      <c r="BB2124" s="25">
        <f>ROUND(Inventory[[#This Row],[25Det]],-2)</f>
        <v>600</v>
      </c>
      <c r="BC2124" s="25">
        <f>ROUND(SUM(Inventory[[#This Row],[Mdl Qlty]:[Mdl WdDeck]])+Inventory[[#This Row],[Mdl Res Intercept]],-2)</f>
        <v>452700</v>
      </c>
      <c r="BD2124" s="25">
        <f>ROUND(Inventory[[#This Row],[Mdl Land Intercept]]+Inventory[[#This Row],[Mdl LnAcres]],-2)</f>
        <v>29800</v>
      </c>
      <c r="BE2124" s="25">
        <f>Inventory[[#This Row],[Unadj Res Value]]+Inventory[[#This Row],[Unadj Det Value]]+Inventory[[#This Row],[Unadj Land Value]]</f>
        <v>483100</v>
      </c>
      <c r="BF2124" s="36">
        <f>(Inventory[[#This Row],[Unadj Total Value]]-Inventory[[#This Row],[24Final]])/Inventory[[#This Row],[24Final]]</f>
        <v>0.20805201300325082</v>
      </c>
      <c r="BG2124" s="25">
        <f>VLOOKUP(Inventory[[#This Row],[Nbhd]],Lookups!$Q$2:$T$4,4,FALSE)</f>
        <v>0.99970000000000003</v>
      </c>
      <c r="BH2124" s="25">
        <f>VLOOKUP(Inventory[[#This Row],[Qlty]],Lookups!$O$7:$R$21,4,FALSE)</f>
        <v>1.0088999999999999</v>
      </c>
      <c r="BI2124" s="25">
        <f>VLOOKUP(Inventory[[#This Row],[Cnd]],Lookups!$T$7:$W$16,4,FALSE)</f>
        <v>1.0158</v>
      </c>
      <c r="BJ2124" s="25">
        <f>VLOOKUP(Inventory[[#This Row],[LivArea Range]],Lookups!$T$25:$W$37,4,FALSE)</f>
        <v>0.98919999999999997</v>
      </c>
      <c r="BK2124" s="25">
        <f>VLOOKUP(Inventory[[#This Row],[Decade]],Lookups!$O$25:$R$42,4,FALSE)</f>
        <v>0.96040000000000003</v>
      </c>
      <c r="BL2124" s="25">
        <f>Inventory[[#This Row],[Nbhd Adj]]*0.95</f>
        <v>0.94971499999999998</v>
      </c>
      <c r="BM2124" s="25">
        <f>Inventory[[#This Row],[Nbhd Adj]]*Inventory[[#This Row],[Quality Adj]]*Inventory[[#This Row],[Condition Adj]]*Inventory[[#This Row],[Living Area Adj]]*Inventory[[#This Row],[Decade Adj]]*0.95</f>
        <v>0.92466812507631579</v>
      </c>
      <c r="BN2124" s="25">
        <f>ROUND(SUM(Inventory[[#This Row],[Mdl Qlty]:[Mdl WdDeck]])+Inventory[[#This Row],[Mdl Res Intercept]]*Inventory[[#This Row],[Res Adj ]],-2)</f>
        <v>452700</v>
      </c>
      <c r="BO2124" s="25">
        <f>ROUND(Inventory[[#This Row],[25Det]]*Inventory[[#This Row],[Det/Nbhd Adj]],-2)</f>
        <v>600</v>
      </c>
      <c r="BP2124" s="25">
        <f>Inventory[[#This Row],[Adjusted Res]]+Inventory[[#This Row],[Adj Det ]]</f>
        <v>453300</v>
      </c>
      <c r="BQ2124" s="25">
        <f>ROUND((Inventory[[#This Row],[Mdl Land Intercept]]+Inventory[[#This Row],[Mdl LnAcres]])*Inventory[[#This Row],[Det/Nbhd Adj]],-2)</f>
        <v>28300</v>
      </c>
      <c r="BR2124" s="25">
        <f>Inventory[[#This Row],[Adjusted Impr Total]]+Inventory[[#This Row],[Adjusted Land Total]]</f>
        <v>481600</v>
      </c>
      <c r="BS2124" s="36">
        <f>IFERROR((Inventory[[#This Row],[Adjusted Impr Total]]-Inventory[[#This Row],[24Bldg]])/Inventory[[#This Row],[24Bldg]],0)</f>
        <v>0.28961593172119487</v>
      </c>
      <c r="BT2124" s="36">
        <f>(Inventory[[#This Row],[Adjusted Land Total]]-Inventory[[#This Row],[24Lnd]])/Inventory[[#This Row],[24Lnd]]</f>
        <v>-0.41528925619834711</v>
      </c>
      <c r="BU2124" s="36">
        <f>(Inventory[[#This Row],[Adjusted Total]]-Inventory[[#This Row],[24Final]])/Inventory[[#This Row],[24Final]]</f>
        <v>0.20430107526881722</v>
      </c>
    </row>
    <row r="2125" spans="1:73" x14ac:dyDescent="0.3">
      <c r="A2125" s="25">
        <v>2025</v>
      </c>
      <c r="B2125" s="26" t="s">
        <v>2176</v>
      </c>
      <c r="C2125" s="26">
        <f>LN(Inventory[[#This Row],[Acres]])</f>
        <v>-1.6607312068216509</v>
      </c>
      <c r="D2125" s="25">
        <v>0.19</v>
      </c>
      <c r="E2125" s="25">
        <v>8423</v>
      </c>
      <c r="F2125" s="26" t="s">
        <v>537</v>
      </c>
      <c r="G2125" s="26" t="s">
        <v>126</v>
      </c>
      <c r="H2125" s="26" t="s">
        <v>349</v>
      </c>
      <c r="I2125" s="26" t="s">
        <v>538</v>
      </c>
      <c r="J2125" s="26" t="s">
        <v>539</v>
      </c>
      <c r="K2125" s="26" t="s">
        <v>416</v>
      </c>
      <c r="L2125" s="26" t="s">
        <v>302</v>
      </c>
      <c r="M2125" s="26" t="s">
        <v>352</v>
      </c>
      <c r="N2125" s="26">
        <v>110</v>
      </c>
      <c r="O2125" s="26">
        <f>2024-Inventory[[#This Row],[YrBlt]]</f>
        <v>104</v>
      </c>
      <c r="P2125" s="26">
        <f>2024-Inventory[[#This Row],[EffYr]]</f>
        <v>58</v>
      </c>
      <c r="Q2125" s="25">
        <v>1920</v>
      </c>
      <c r="R2125" s="25">
        <v>1966</v>
      </c>
      <c r="S2125" s="25">
        <v>1232</v>
      </c>
      <c r="T2125" s="32">
        <v>672</v>
      </c>
      <c r="U2125" s="25">
        <v>540</v>
      </c>
      <c r="V2125" s="25">
        <f>Inventory[[#This Row],[Bsmt]]-Inventory[[#This Row],[FnBsmt]]</f>
        <v>540</v>
      </c>
      <c r="W2125" s="31"/>
      <c r="X2125" s="27"/>
      <c r="Y2125" s="27">
        <f>Inventory[[#This Row],[MainFn]]+Inventory[[#This Row],[UpprFn]]+Inventory[[#This Row],[FnBsmt]]+Inventory[[#This Row],[AddFn]]</f>
        <v>1904</v>
      </c>
      <c r="Z2125" s="27">
        <v>2000</v>
      </c>
      <c r="AA2125" s="25">
        <v>10</v>
      </c>
      <c r="AB2125" s="27"/>
      <c r="AC2125" s="27"/>
      <c r="AD2125" s="27"/>
      <c r="AE2125" s="27"/>
      <c r="AF2125" s="27"/>
      <c r="AG2125" s="27"/>
      <c r="AH2125" s="27"/>
      <c r="AI2125" s="25">
        <v>367443</v>
      </c>
      <c r="AJ2125" s="25">
        <v>242512</v>
      </c>
      <c r="AK2125" s="25">
        <v>49731</v>
      </c>
      <c r="AL2125" s="25">
        <v>439400</v>
      </c>
      <c r="AM2125" s="25">
        <v>56600</v>
      </c>
      <c r="AN2125" s="25">
        <v>382800</v>
      </c>
      <c r="AO2125" s="25">
        <v>0</v>
      </c>
      <c r="AP2125" s="25">
        <f>Lookups!$B$56*0</f>
        <v>0</v>
      </c>
      <c r="AQ2125" s="25">
        <f>Lookups!$B$56*1</f>
        <v>89850.625589999996</v>
      </c>
      <c r="AR2125" s="25">
        <f>Lookups!$B$57*Inventory[[#This Row],[LnAcres]]</f>
        <v>-52569.808201026557</v>
      </c>
      <c r="AS2125" s="25">
        <f>VLOOKUP(Inventory[[#This Row],[Qlty]],Lookups!$A$62:$E$75,2,FALSE)</f>
        <v>29814.093161000001</v>
      </c>
      <c r="AT2125" s="25">
        <f>VLOOKUP(Inventory[[#This Row],[Cnd]],Lookups!$A$76:$E$84,2,FALSE)</f>
        <v>284810.60806</v>
      </c>
      <c r="AU2125" s="25">
        <f>Inventory[[#This Row],[EffAge]]*Lookups!$B$85</f>
        <v>-12936.644829000001</v>
      </c>
      <c r="AV2125" s="25">
        <f>Inventory[[#This Row],[MainFn]]*Lookups!$B$86</f>
        <v>60871.481288464005</v>
      </c>
      <c r="AW2125" s="25">
        <f>Inventory[[#This Row],[UpprFn]]*Lookups!$B$87</f>
        <v>30096.476162592</v>
      </c>
      <c r="AX2125" s="25">
        <f>Inventory[[#This Row],[AddFn]]*Lookups!$B$88</f>
        <v>0</v>
      </c>
      <c r="AY2125" s="25">
        <f>Inventory[[#This Row],[Bsmt]]*Lookups!$B$89</f>
        <v>15704.223433379999</v>
      </c>
      <c r="AZ2125" s="25">
        <f>Inventory[[#This Row],[Fixtures]]*Lookups!$B$90</f>
        <v>37920.221052000001</v>
      </c>
      <c r="BA2125" s="25">
        <f>Inventory[[#This Row],[WdDeck]]*Lookups!$B$91</f>
        <v>0</v>
      </c>
      <c r="BB2125" s="25">
        <f>ROUND(Inventory[[#This Row],[25Det]],-2)</f>
        <v>49700</v>
      </c>
      <c r="BC2125" s="25">
        <f>ROUND(SUM(Inventory[[#This Row],[Mdl Qlty]:[Mdl WdDeck]])+Inventory[[#This Row],[Mdl Res Intercept]],-2)</f>
        <v>446300</v>
      </c>
      <c r="BD2125" s="25">
        <f>ROUND(Inventory[[#This Row],[Mdl Land Intercept]]+Inventory[[#This Row],[Mdl LnAcres]],-2)</f>
        <v>37300</v>
      </c>
      <c r="BE2125" s="25">
        <f>Inventory[[#This Row],[Unadj Res Value]]+Inventory[[#This Row],[Unadj Det Value]]+Inventory[[#This Row],[Unadj Land Value]]</f>
        <v>533300</v>
      </c>
      <c r="BF2125" s="36">
        <f>(Inventory[[#This Row],[Unadj Total Value]]-Inventory[[#This Row],[24Final]])/Inventory[[#This Row],[24Final]]</f>
        <v>0.21370050068274921</v>
      </c>
      <c r="BG2125" s="25">
        <f>VLOOKUP(Inventory[[#This Row],[Nbhd]],Lookups!$Q$2:$T$4,4,FALSE)</f>
        <v>0.99970000000000003</v>
      </c>
      <c r="BH2125" s="25">
        <f>VLOOKUP(Inventory[[#This Row],[Qlty]],Lookups!$O$7:$R$21,4,FALSE)</f>
        <v>1.0088999999999999</v>
      </c>
      <c r="BI2125" s="25">
        <f>VLOOKUP(Inventory[[#This Row],[Cnd]],Lookups!$T$7:$W$16,4,FALSE)</f>
        <v>1.0158</v>
      </c>
      <c r="BJ2125" s="25">
        <f>VLOOKUP(Inventory[[#This Row],[LivArea Range]],Lookups!$T$25:$W$37,4,FALSE)</f>
        <v>1.0093000000000001</v>
      </c>
      <c r="BK2125" s="25">
        <f>VLOOKUP(Inventory[[#This Row],[Decade]],Lookups!$O$25:$R$42,4,FALSE)</f>
        <v>0.96040000000000003</v>
      </c>
      <c r="BL2125" s="25">
        <f>Inventory[[#This Row],[Nbhd Adj]]*0.95</f>
        <v>0.94971499999999998</v>
      </c>
      <c r="BM2125" s="25">
        <f>Inventory[[#This Row],[Nbhd Adj]]*Inventory[[#This Row],[Quality Adj]]*Inventory[[#This Row],[Condition Adj]]*Inventory[[#This Row],[Living Area Adj]]*Inventory[[#This Row],[Decade Adj]]*0.95</f>
        <v>0.94345687286648372</v>
      </c>
      <c r="BN2125" s="25">
        <f>ROUND(SUM(Inventory[[#This Row],[Mdl Qlty]:[Mdl WdDeck]])+Inventory[[#This Row],[Mdl Res Intercept]]*Inventory[[#This Row],[Res Adj ]],-2)</f>
        <v>446300</v>
      </c>
      <c r="BO2125" s="25">
        <f>ROUND(Inventory[[#This Row],[25Det]]*Inventory[[#This Row],[Det/Nbhd Adj]],-2)</f>
        <v>47200</v>
      </c>
      <c r="BP2125" s="25">
        <f>Inventory[[#This Row],[Adjusted Res]]+Inventory[[#This Row],[Adj Det ]]</f>
        <v>493500</v>
      </c>
      <c r="BQ2125" s="25">
        <f>ROUND((Inventory[[#This Row],[Mdl Land Intercept]]+Inventory[[#This Row],[Mdl LnAcres]])*Inventory[[#This Row],[Det/Nbhd Adj]],-2)</f>
        <v>35400</v>
      </c>
      <c r="BR2125" s="25">
        <f>Inventory[[#This Row],[Adjusted Impr Total]]+Inventory[[#This Row],[Adjusted Land Total]]</f>
        <v>528900</v>
      </c>
      <c r="BS2125" s="36">
        <f>IFERROR((Inventory[[#This Row],[Adjusted Impr Total]]-Inventory[[#This Row],[24Bldg]])/Inventory[[#This Row],[24Bldg]],0)</f>
        <v>0.28918495297805641</v>
      </c>
      <c r="BT2125" s="36">
        <f>(Inventory[[#This Row],[Adjusted Land Total]]-Inventory[[#This Row],[24Lnd]])/Inventory[[#This Row],[24Lnd]]</f>
        <v>-0.37455830388692579</v>
      </c>
      <c r="BU2125" s="36">
        <f>(Inventory[[#This Row],[Adjusted Total]]-Inventory[[#This Row],[24Final]])/Inventory[[#This Row],[24Final]]</f>
        <v>0.20368684569868001</v>
      </c>
    </row>
    <row r="2126" spans="1:73" x14ac:dyDescent="0.3">
      <c r="A2126" s="25">
        <v>2025</v>
      </c>
      <c r="B2126" s="26" t="s">
        <v>2427</v>
      </c>
      <c r="C2126" s="26">
        <f>LN(Inventory[[#This Row],[Acres]])</f>
        <v>-1.8971199848858813</v>
      </c>
      <c r="D2126" s="25">
        <v>0.15</v>
      </c>
      <c r="E2126" s="31"/>
      <c r="F2126" s="26" t="s">
        <v>537</v>
      </c>
      <c r="G2126" s="26" t="s">
        <v>126</v>
      </c>
      <c r="H2126" s="26" t="s">
        <v>349</v>
      </c>
      <c r="I2126" s="26" t="s">
        <v>538</v>
      </c>
      <c r="J2126" s="26" t="s">
        <v>539</v>
      </c>
      <c r="K2126" s="26" t="s">
        <v>173</v>
      </c>
      <c r="L2126" s="26" t="s">
        <v>351</v>
      </c>
      <c r="M2126" s="26" t="s">
        <v>303</v>
      </c>
      <c r="N2126" s="26">
        <v>110</v>
      </c>
      <c r="O2126" s="26">
        <f>2024-Inventory[[#This Row],[YrBlt]]</f>
        <v>104</v>
      </c>
      <c r="P2126" s="26">
        <f>2024-Inventory[[#This Row],[EffYr]]</f>
        <v>58</v>
      </c>
      <c r="Q2126" s="25">
        <v>1920</v>
      </c>
      <c r="R2126" s="25">
        <v>1966</v>
      </c>
      <c r="S2126" s="25">
        <v>1320</v>
      </c>
      <c r="T2126" s="27"/>
      <c r="U2126" s="25">
        <v>1320</v>
      </c>
      <c r="V2126" s="25">
        <f>Inventory[[#This Row],[Bsmt]]-Inventory[[#This Row],[FnBsmt]]</f>
        <v>330</v>
      </c>
      <c r="W2126" s="25">
        <v>990</v>
      </c>
      <c r="X2126" s="27"/>
      <c r="Y2126" s="27">
        <f>Inventory[[#This Row],[MainFn]]+Inventory[[#This Row],[UpprFn]]+Inventory[[#This Row],[FnBsmt]]+Inventory[[#This Row],[AddFn]]</f>
        <v>2310</v>
      </c>
      <c r="Z2126" s="27">
        <v>2500</v>
      </c>
      <c r="AA2126" s="25">
        <v>12</v>
      </c>
      <c r="AB2126" s="27"/>
      <c r="AC2126" s="27"/>
      <c r="AD2126" s="27"/>
      <c r="AE2126" s="27"/>
      <c r="AF2126" s="27"/>
      <c r="AG2126" s="27"/>
      <c r="AH2126" s="27"/>
      <c r="AI2126" s="25">
        <v>318363</v>
      </c>
      <c r="AJ2126" s="25">
        <v>203752</v>
      </c>
      <c r="AK2126" s="25">
        <v>11191</v>
      </c>
      <c r="AL2126" s="25">
        <v>329400</v>
      </c>
      <c r="AM2126" s="25">
        <v>48400</v>
      </c>
      <c r="AN2126" s="25">
        <v>281000</v>
      </c>
      <c r="AO2126" s="25">
        <v>0</v>
      </c>
      <c r="AP2126" s="25">
        <f>Lookups!$B$56*0</f>
        <v>0</v>
      </c>
      <c r="AQ2126" s="25">
        <f>Lookups!$B$56*1</f>
        <v>89850.625589999996</v>
      </c>
      <c r="AR2126" s="25">
        <f>Lookups!$B$57*Inventory[[#This Row],[LnAcres]]</f>
        <v>-60052.604136134301</v>
      </c>
      <c r="AS2126" s="25">
        <f>VLOOKUP(Inventory[[#This Row],[Qlty]],Lookups!$A$62:$E$75,2,FALSE)</f>
        <v>21557.329055999999</v>
      </c>
      <c r="AT2126" s="25">
        <f>VLOOKUP(Inventory[[#This Row],[Cnd]],Lookups!$A$76:$E$84,2,FALSE)</f>
        <v>197752.34721000001</v>
      </c>
      <c r="AU2126" s="25">
        <f>Inventory[[#This Row],[EffAge]]*Lookups!$B$85</f>
        <v>-12936.644829000001</v>
      </c>
      <c r="AV2126" s="25">
        <f>Inventory[[#This Row],[MainFn]]*Lookups!$B$86</f>
        <v>65219.444237640004</v>
      </c>
      <c r="AW2126" s="25">
        <f>Inventory[[#This Row],[UpprFn]]*Lookups!$B$87</f>
        <v>0</v>
      </c>
      <c r="AX2126" s="25">
        <f>Inventory[[#This Row],[AddFn]]*Lookups!$B$88</f>
        <v>0</v>
      </c>
      <c r="AY2126" s="25">
        <f>Inventory[[#This Row],[Bsmt]]*Lookups!$B$89</f>
        <v>38388.101726039997</v>
      </c>
      <c r="AZ2126" s="25">
        <f>Inventory[[#This Row],[Fixtures]]*Lookups!$B$90</f>
        <v>45504.265262400004</v>
      </c>
      <c r="BA2126" s="25">
        <f>Inventory[[#This Row],[WdDeck]]*Lookups!$B$91</f>
        <v>0</v>
      </c>
      <c r="BB2126" s="25">
        <f>ROUND(Inventory[[#This Row],[25Det]],-2)</f>
        <v>11200</v>
      </c>
      <c r="BC2126" s="25">
        <f>ROUND(SUM(Inventory[[#This Row],[Mdl Qlty]:[Mdl WdDeck]])+Inventory[[#This Row],[Mdl Res Intercept]],-2)</f>
        <v>355500</v>
      </c>
      <c r="BD2126" s="25">
        <f>ROUND(Inventory[[#This Row],[Mdl Land Intercept]]+Inventory[[#This Row],[Mdl LnAcres]],-2)</f>
        <v>29800</v>
      </c>
      <c r="BE2126" s="25">
        <f>Inventory[[#This Row],[Unadj Res Value]]+Inventory[[#This Row],[Unadj Det Value]]+Inventory[[#This Row],[Unadj Land Value]]</f>
        <v>396500</v>
      </c>
      <c r="BF2126" s="36">
        <f>(Inventory[[#This Row],[Unadj Total Value]]-Inventory[[#This Row],[24Final]])/Inventory[[#This Row],[24Final]]</f>
        <v>0.20370370370370369</v>
      </c>
      <c r="BG2126" s="25">
        <f>VLOOKUP(Inventory[[#This Row],[Nbhd]],Lookups!$Q$2:$T$4,4,FALSE)</f>
        <v>0.99970000000000003</v>
      </c>
      <c r="BH2126" s="25">
        <f>VLOOKUP(Inventory[[#This Row],[Qlty]],Lookups!$O$7:$R$21,4,FALSE)</f>
        <v>1.0067999999999999</v>
      </c>
      <c r="BI2126" s="25">
        <f>VLOOKUP(Inventory[[#This Row],[Cnd]],Lookups!$T$7:$W$16,4,FALSE)</f>
        <v>0.99650000000000005</v>
      </c>
      <c r="BJ2126" s="25">
        <f>VLOOKUP(Inventory[[#This Row],[LivArea Range]],Lookups!$T$25:$W$37,4,FALSE)</f>
        <v>0.98919999999999997</v>
      </c>
      <c r="BK2126" s="25">
        <f>VLOOKUP(Inventory[[#This Row],[Decade]],Lookups!$O$25:$R$42,4,FALSE)</f>
        <v>0.96040000000000003</v>
      </c>
      <c r="BL2126" s="25">
        <f>Inventory[[#This Row],[Nbhd Adj]]*0.95</f>
        <v>0.94971499999999998</v>
      </c>
      <c r="BM2126" s="25">
        <f>Inventory[[#This Row],[Nbhd Adj]]*Inventory[[#This Row],[Quality Adj]]*Inventory[[#This Row],[Condition Adj]]*Inventory[[#This Row],[Living Area Adj]]*Inventory[[#This Row],[Decade Adj]]*0.95</f>
        <v>0.90521150770515979</v>
      </c>
      <c r="BN2126" s="25">
        <f>ROUND(SUM(Inventory[[#This Row],[Mdl Qlty]:[Mdl WdDeck]])+Inventory[[#This Row],[Mdl Res Intercept]]*Inventory[[#This Row],[Res Adj ]],-2)</f>
        <v>355500</v>
      </c>
      <c r="BO2126" s="25">
        <f>ROUND(Inventory[[#This Row],[25Det]]*Inventory[[#This Row],[Det/Nbhd Adj]],-2)</f>
        <v>10600</v>
      </c>
      <c r="BP2126" s="25">
        <f>Inventory[[#This Row],[Adjusted Res]]+Inventory[[#This Row],[Adj Det ]]</f>
        <v>366100</v>
      </c>
      <c r="BQ2126" s="25">
        <f>ROUND((Inventory[[#This Row],[Mdl Land Intercept]]+Inventory[[#This Row],[Mdl LnAcres]])*Inventory[[#This Row],[Det/Nbhd Adj]],-2)</f>
        <v>28300</v>
      </c>
      <c r="BR2126" s="25">
        <f>Inventory[[#This Row],[Adjusted Impr Total]]+Inventory[[#This Row],[Adjusted Land Total]]</f>
        <v>394400</v>
      </c>
      <c r="BS2126" s="36">
        <f>IFERROR((Inventory[[#This Row],[Adjusted Impr Total]]-Inventory[[#This Row],[24Bldg]])/Inventory[[#This Row],[24Bldg]],0)</f>
        <v>0.30284697508896796</v>
      </c>
      <c r="BT2126" s="36">
        <f>(Inventory[[#This Row],[Adjusted Land Total]]-Inventory[[#This Row],[24Lnd]])/Inventory[[#This Row],[24Lnd]]</f>
        <v>-0.41528925619834711</v>
      </c>
      <c r="BU2126" s="36">
        <f>(Inventory[[#This Row],[Adjusted Total]]-Inventory[[#This Row],[24Final]])/Inventory[[#This Row],[24Final]]</f>
        <v>0.1973284760170006</v>
      </c>
    </row>
    <row r="2127" spans="1:73" x14ac:dyDescent="0.3">
      <c r="A2127" s="25">
        <v>2025</v>
      </c>
      <c r="B2127" s="26" t="s">
        <v>1193</v>
      </c>
      <c r="C2127" s="26">
        <f>LN(Inventory[[#This Row],[Acres]])</f>
        <v>-1.4696759700589417</v>
      </c>
      <c r="D2127" s="25">
        <v>0.23</v>
      </c>
      <c r="E2127" s="32">
        <v>9861</v>
      </c>
      <c r="F2127" s="26" t="s">
        <v>537</v>
      </c>
      <c r="G2127" s="26" t="s">
        <v>126</v>
      </c>
      <c r="H2127" s="26" t="s">
        <v>349</v>
      </c>
      <c r="I2127" s="26" t="s">
        <v>538</v>
      </c>
      <c r="J2127" s="26" t="s">
        <v>539</v>
      </c>
      <c r="K2127" s="26" t="s">
        <v>173</v>
      </c>
      <c r="L2127" s="26" t="s">
        <v>302</v>
      </c>
      <c r="M2127" s="26" t="s">
        <v>352</v>
      </c>
      <c r="N2127" s="26">
        <v>110</v>
      </c>
      <c r="O2127" s="26">
        <f>2024-Inventory[[#This Row],[YrBlt]]</f>
        <v>104</v>
      </c>
      <c r="P2127" s="26">
        <f>2024-Inventory[[#This Row],[EffYr]]</f>
        <v>58</v>
      </c>
      <c r="Q2127" s="25">
        <v>1920</v>
      </c>
      <c r="R2127" s="25">
        <v>1966</v>
      </c>
      <c r="S2127" s="25">
        <v>1070</v>
      </c>
      <c r="T2127" s="25">
        <v>644</v>
      </c>
      <c r="U2127" s="25">
        <v>1056</v>
      </c>
      <c r="V2127" s="25">
        <f>Inventory[[#This Row],[Bsmt]]-Inventory[[#This Row],[FnBsmt]]</f>
        <v>0</v>
      </c>
      <c r="W2127" s="25">
        <v>1056</v>
      </c>
      <c r="X2127" s="27"/>
      <c r="Y2127" s="27">
        <f>Inventory[[#This Row],[MainFn]]+Inventory[[#This Row],[UpprFn]]+Inventory[[#This Row],[FnBsmt]]+Inventory[[#This Row],[AddFn]]</f>
        <v>2770</v>
      </c>
      <c r="Z2127" s="27">
        <v>3000</v>
      </c>
      <c r="AA2127" s="25">
        <v>10</v>
      </c>
      <c r="AB2127" s="27"/>
      <c r="AC2127" s="27"/>
      <c r="AD2127" s="32">
        <v>324</v>
      </c>
      <c r="AE2127" s="27"/>
      <c r="AF2127" s="27"/>
      <c r="AG2127" s="27"/>
      <c r="AH2127" s="27"/>
      <c r="AI2127" s="25">
        <v>419161</v>
      </c>
      <c r="AJ2127" s="25">
        <v>276646</v>
      </c>
      <c r="AK2127" s="25">
        <v>0</v>
      </c>
      <c r="AL2127" s="25">
        <v>426300</v>
      </c>
      <c r="AM2127" s="25">
        <v>63300</v>
      </c>
      <c r="AN2127" s="25">
        <v>363000</v>
      </c>
      <c r="AO2127" s="25">
        <v>0</v>
      </c>
      <c r="AP2127" s="25">
        <f>Lookups!$B$56*0</f>
        <v>0</v>
      </c>
      <c r="AQ2127" s="25">
        <f>Lookups!$B$56*1</f>
        <v>89850.625589999996</v>
      </c>
      <c r="AR2127" s="25">
        <f>Lookups!$B$57*Inventory[[#This Row],[LnAcres]]</f>
        <v>-46522.028095997222</v>
      </c>
      <c r="AS2127" s="25">
        <f>VLOOKUP(Inventory[[#This Row],[Qlty]],Lookups!$A$62:$E$75,2,FALSE)</f>
        <v>29814.093161000001</v>
      </c>
      <c r="AT2127" s="25">
        <f>VLOOKUP(Inventory[[#This Row],[Cnd]],Lookups!$A$76:$E$84,2,FALSE)</f>
        <v>284810.60806</v>
      </c>
      <c r="AU2127" s="25">
        <f>Inventory[[#This Row],[EffAge]]*Lookups!$B$85</f>
        <v>-12936.644829000001</v>
      </c>
      <c r="AV2127" s="25">
        <f>Inventory[[#This Row],[MainFn]]*Lookups!$B$86</f>
        <v>52867.276768390002</v>
      </c>
      <c r="AW2127" s="25">
        <f>Inventory[[#This Row],[UpprFn]]*Lookups!$B$87</f>
        <v>28842.456322483999</v>
      </c>
      <c r="AX2127" s="25">
        <f>Inventory[[#This Row],[AddFn]]*Lookups!$B$88</f>
        <v>0</v>
      </c>
      <c r="AY2127" s="25">
        <f>Inventory[[#This Row],[Bsmt]]*Lookups!$B$89</f>
        <v>30710.481380832</v>
      </c>
      <c r="AZ2127" s="25">
        <f>Inventory[[#This Row],[Fixtures]]*Lookups!$B$90</f>
        <v>37920.221052000001</v>
      </c>
      <c r="BA2127" s="25">
        <f>Inventory[[#This Row],[WdDeck]]*Lookups!$B$91</f>
        <v>10787.746949424001</v>
      </c>
      <c r="BB2127" s="25">
        <f>ROUND(Inventory[[#This Row],[25Det]],-2)</f>
        <v>0</v>
      </c>
      <c r="BC2127" s="25">
        <f>ROUND(SUM(Inventory[[#This Row],[Mdl Qlty]:[Mdl WdDeck]])+Inventory[[#This Row],[Mdl Res Intercept]],-2)</f>
        <v>462800</v>
      </c>
      <c r="BD2127" s="25">
        <f>ROUND(Inventory[[#This Row],[Mdl Land Intercept]]+Inventory[[#This Row],[Mdl LnAcres]],-2)</f>
        <v>43300</v>
      </c>
      <c r="BE2127" s="25">
        <f>Inventory[[#This Row],[Unadj Res Value]]+Inventory[[#This Row],[Unadj Det Value]]+Inventory[[#This Row],[Unadj Land Value]]</f>
        <v>506100</v>
      </c>
      <c r="BF2127" s="36">
        <f>(Inventory[[#This Row],[Unadj Total Value]]-Inventory[[#This Row],[24Final]])/Inventory[[#This Row],[24Final]]</f>
        <v>0.18719211822660098</v>
      </c>
      <c r="BG2127" s="25">
        <f>VLOOKUP(Inventory[[#This Row],[Nbhd]],Lookups!$Q$2:$T$4,4,FALSE)</f>
        <v>0.99970000000000003</v>
      </c>
      <c r="BH2127" s="25">
        <f>VLOOKUP(Inventory[[#This Row],[Qlty]],Lookups!$O$7:$R$21,4,FALSE)</f>
        <v>1.0088999999999999</v>
      </c>
      <c r="BI2127" s="25">
        <f>VLOOKUP(Inventory[[#This Row],[Cnd]],Lookups!$T$7:$W$16,4,FALSE)</f>
        <v>1.0158</v>
      </c>
      <c r="BJ2127" s="25">
        <f>VLOOKUP(Inventory[[#This Row],[LivArea Range]],Lookups!$T$25:$W$37,4,FALSE)</f>
        <v>0.96179999999999999</v>
      </c>
      <c r="BK2127" s="25">
        <f>VLOOKUP(Inventory[[#This Row],[Decade]],Lookups!$O$25:$R$42,4,FALSE)</f>
        <v>0.96040000000000003</v>
      </c>
      <c r="BL2127" s="25">
        <f>Inventory[[#This Row],[Nbhd Adj]]*0.95</f>
        <v>0.94971499999999998</v>
      </c>
      <c r="BM2127" s="25">
        <f>Inventory[[#This Row],[Nbhd Adj]]*Inventory[[#This Row],[Quality Adj]]*Inventory[[#This Row],[Condition Adj]]*Inventory[[#This Row],[Living Area Adj]]*Inventory[[#This Row],[Decade Adj]]*0.95</f>
        <v>0.89905560321310196</v>
      </c>
      <c r="BN2127" s="25">
        <f>ROUND(SUM(Inventory[[#This Row],[Mdl Qlty]:[Mdl WdDeck]])+Inventory[[#This Row],[Mdl Res Intercept]]*Inventory[[#This Row],[Res Adj ]],-2)</f>
        <v>462800</v>
      </c>
      <c r="BO2127" s="25">
        <f>ROUND(Inventory[[#This Row],[25Det]]*Inventory[[#This Row],[Det/Nbhd Adj]],-2)</f>
        <v>0</v>
      </c>
      <c r="BP2127" s="25">
        <f>Inventory[[#This Row],[Adjusted Res]]+Inventory[[#This Row],[Adj Det ]]</f>
        <v>462800</v>
      </c>
      <c r="BQ2127" s="25">
        <f>ROUND((Inventory[[#This Row],[Mdl Land Intercept]]+Inventory[[#This Row],[Mdl LnAcres]])*Inventory[[#This Row],[Det/Nbhd Adj]],-2)</f>
        <v>41100</v>
      </c>
      <c r="BR2127" s="25">
        <f>Inventory[[#This Row],[Adjusted Impr Total]]+Inventory[[#This Row],[Adjusted Land Total]]</f>
        <v>503900</v>
      </c>
      <c r="BS2127" s="36">
        <f>IFERROR((Inventory[[#This Row],[Adjusted Impr Total]]-Inventory[[#This Row],[24Bldg]])/Inventory[[#This Row],[24Bldg]],0)</f>
        <v>0.27493112947658405</v>
      </c>
      <c r="BT2127" s="36">
        <f>(Inventory[[#This Row],[Adjusted Land Total]]-Inventory[[#This Row],[24Lnd]])/Inventory[[#This Row],[24Lnd]]</f>
        <v>-0.35071090047393366</v>
      </c>
      <c r="BU2127" s="36">
        <f>(Inventory[[#This Row],[Adjusted Total]]-Inventory[[#This Row],[24Final]])/Inventory[[#This Row],[24Final]]</f>
        <v>0.18203143326296037</v>
      </c>
    </row>
    <row r="2128" spans="1:73" x14ac:dyDescent="0.3">
      <c r="A2128" s="25">
        <v>2025</v>
      </c>
      <c r="B2128" s="26" t="s">
        <v>2712</v>
      </c>
      <c r="C2128" s="26">
        <f>LN(Inventory[[#This Row],[Acres]])</f>
        <v>-1.8971199848858813</v>
      </c>
      <c r="D2128" s="25">
        <v>0.15</v>
      </c>
      <c r="E2128" s="27"/>
      <c r="F2128" s="26" t="s">
        <v>537</v>
      </c>
      <c r="G2128" s="26" t="s">
        <v>126</v>
      </c>
      <c r="H2128" s="26" t="s">
        <v>349</v>
      </c>
      <c r="I2128" s="26" t="s">
        <v>538</v>
      </c>
      <c r="J2128" s="26" t="s">
        <v>638</v>
      </c>
      <c r="K2128" s="26" t="s">
        <v>269</v>
      </c>
      <c r="L2128" s="26" t="s">
        <v>351</v>
      </c>
      <c r="M2128" s="26" t="s">
        <v>303</v>
      </c>
      <c r="N2128" s="26">
        <v>110</v>
      </c>
      <c r="O2128" s="26">
        <f>2024-Inventory[[#This Row],[YrBlt]]</f>
        <v>104</v>
      </c>
      <c r="P2128" s="26">
        <f>2024-Inventory[[#This Row],[EffYr]]</f>
        <v>58</v>
      </c>
      <c r="Q2128" s="25">
        <v>1920</v>
      </c>
      <c r="R2128" s="25">
        <v>1966</v>
      </c>
      <c r="S2128" s="25">
        <v>1044</v>
      </c>
      <c r="T2128" s="27"/>
      <c r="U2128" s="25">
        <v>432</v>
      </c>
      <c r="V2128" s="25">
        <f>Inventory[[#This Row],[Bsmt]]-Inventory[[#This Row],[FnBsmt]]</f>
        <v>432</v>
      </c>
      <c r="W2128" s="31"/>
      <c r="X2128" s="27"/>
      <c r="Y2128" s="27">
        <f>Inventory[[#This Row],[MainFn]]+Inventory[[#This Row],[UpprFn]]+Inventory[[#This Row],[FnBsmt]]+Inventory[[#This Row],[AddFn]]</f>
        <v>1044</v>
      </c>
      <c r="Z2128" s="27">
        <v>1500</v>
      </c>
      <c r="AA2128" s="25">
        <v>5</v>
      </c>
      <c r="AB2128" s="25">
        <v>198</v>
      </c>
      <c r="AC2128" s="27"/>
      <c r="AD2128" s="27"/>
      <c r="AE2128" s="27"/>
      <c r="AF2128" s="27"/>
      <c r="AG2128" s="27"/>
      <c r="AH2128" s="27"/>
      <c r="AI2128" s="25">
        <v>223688</v>
      </c>
      <c r="AJ2128" s="25">
        <v>143160</v>
      </c>
      <c r="AK2128" s="25">
        <v>0</v>
      </c>
      <c r="AL2128" s="25">
        <v>282000</v>
      </c>
      <c r="AM2128" s="25">
        <v>48400</v>
      </c>
      <c r="AN2128" s="25">
        <v>233600</v>
      </c>
      <c r="AO2128" s="25">
        <v>0</v>
      </c>
      <c r="AP2128" s="25">
        <f>Lookups!$B$56*0</f>
        <v>0</v>
      </c>
      <c r="AQ2128" s="25">
        <f>Lookups!$B$56*1</f>
        <v>89850.625589999996</v>
      </c>
      <c r="AR2128" s="25">
        <f>Lookups!$B$57*Inventory[[#This Row],[LnAcres]]</f>
        <v>-60052.604136134301</v>
      </c>
      <c r="AS2128" s="25">
        <f>VLOOKUP(Inventory[[#This Row],[Qlty]],Lookups!$A$62:$E$75,2,FALSE)</f>
        <v>21557.329055999999</v>
      </c>
      <c r="AT2128" s="25">
        <f>VLOOKUP(Inventory[[#This Row],[Cnd]],Lookups!$A$76:$E$84,2,FALSE)</f>
        <v>197752.34721000001</v>
      </c>
      <c r="AU2128" s="25">
        <f>Inventory[[#This Row],[EffAge]]*Lookups!$B$85</f>
        <v>-12936.644829000001</v>
      </c>
      <c r="AV2128" s="25">
        <f>Inventory[[#This Row],[MainFn]]*Lookups!$B$86</f>
        <v>51582.651351588</v>
      </c>
      <c r="AW2128" s="25">
        <f>Inventory[[#This Row],[UpprFn]]*Lookups!$B$87</f>
        <v>0</v>
      </c>
      <c r="AX2128" s="25">
        <f>Inventory[[#This Row],[AddFn]]*Lookups!$B$88</f>
        <v>0</v>
      </c>
      <c r="AY2128" s="25">
        <f>Inventory[[#This Row],[Bsmt]]*Lookups!$B$89</f>
        <v>12563.378746704</v>
      </c>
      <c r="AZ2128" s="25">
        <f>Inventory[[#This Row],[Fixtures]]*Lookups!$B$90</f>
        <v>18960.110526</v>
      </c>
      <c r="BA2128" s="25">
        <f>Inventory[[#This Row],[WdDeck]]*Lookups!$B$91</f>
        <v>0</v>
      </c>
      <c r="BB2128" s="25">
        <f>ROUND(Inventory[[#This Row],[25Det]],-2)</f>
        <v>0</v>
      </c>
      <c r="BC2128" s="25">
        <f>ROUND(SUM(Inventory[[#This Row],[Mdl Qlty]:[Mdl WdDeck]])+Inventory[[#This Row],[Mdl Res Intercept]],-2)</f>
        <v>289500</v>
      </c>
      <c r="BD2128" s="25">
        <f>ROUND(Inventory[[#This Row],[Mdl Land Intercept]]+Inventory[[#This Row],[Mdl LnAcres]],-2)</f>
        <v>29800</v>
      </c>
      <c r="BE2128" s="25">
        <f>Inventory[[#This Row],[Unadj Res Value]]+Inventory[[#This Row],[Unadj Det Value]]+Inventory[[#This Row],[Unadj Land Value]]</f>
        <v>319300</v>
      </c>
      <c r="BF2128" s="36">
        <f>(Inventory[[#This Row],[Unadj Total Value]]-Inventory[[#This Row],[24Final]])/Inventory[[#This Row],[24Final]]</f>
        <v>0.13226950354609929</v>
      </c>
      <c r="BG2128" s="25">
        <f>VLOOKUP(Inventory[[#This Row],[Nbhd]],Lookups!$Q$2:$T$4,4,FALSE)</f>
        <v>0.99970000000000003</v>
      </c>
      <c r="BH2128" s="25">
        <f>VLOOKUP(Inventory[[#This Row],[Qlty]],Lookups!$O$7:$R$21,4,FALSE)</f>
        <v>1.0067999999999999</v>
      </c>
      <c r="BI2128" s="25">
        <f>VLOOKUP(Inventory[[#This Row],[Cnd]],Lookups!$T$7:$W$16,4,FALSE)</f>
        <v>0.99650000000000005</v>
      </c>
      <c r="BJ2128" s="25">
        <f>VLOOKUP(Inventory[[#This Row],[LivArea Range]],Lookups!$T$25:$W$37,4,FALSE)</f>
        <v>1.0157</v>
      </c>
      <c r="BK2128" s="25">
        <f>VLOOKUP(Inventory[[#This Row],[Decade]],Lookups!$O$25:$R$42,4,FALSE)</f>
        <v>0.96040000000000003</v>
      </c>
      <c r="BL2128" s="25">
        <f>Inventory[[#This Row],[Nbhd Adj]]*0.95</f>
        <v>0.94971499999999998</v>
      </c>
      <c r="BM2128" s="25">
        <f>Inventory[[#This Row],[Nbhd Adj]]*Inventory[[#This Row],[Quality Adj]]*Inventory[[#This Row],[Condition Adj]]*Inventory[[#This Row],[Living Area Adj]]*Inventory[[#This Row],[Decade Adj]]*0.95</f>
        <v>0.92946151271343602</v>
      </c>
      <c r="BN2128" s="25">
        <f>ROUND(SUM(Inventory[[#This Row],[Mdl Qlty]:[Mdl WdDeck]])+Inventory[[#This Row],[Mdl Res Intercept]]*Inventory[[#This Row],[Res Adj ]],-2)</f>
        <v>289500</v>
      </c>
      <c r="BO2128" s="25">
        <f>ROUND(Inventory[[#This Row],[25Det]]*Inventory[[#This Row],[Det/Nbhd Adj]],-2)</f>
        <v>0</v>
      </c>
      <c r="BP2128" s="25">
        <f>Inventory[[#This Row],[Adjusted Res]]+Inventory[[#This Row],[Adj Det ]]</f>
        <v>289500</v>
      </c>
      <c r="BQ2128" s="25">
        <f>ROUND((Inventory[[#This Row],[Mdl Land Intercept]]+Inventory[[#This Row],[Mdl LnAcres]])*Inventory[[#This Row],[Det/Nbhd Adj]],-2)</f>
        <v>28300</v>
      </c>
      <c r="BR2128" s="25">
        <f>Inventory[[#This Row],[Adjusted Impr Total]]+Inventory[[#This Row],[Adjusted Land Total]]</f>
        <v>317800</v>
      </c>
      <c r="BS2128" s="36">
        <f>IFERROR((Inventory[[#This Row],[Adjusted Impr Total]]-Inventory[[#This Row],[24Bldg]])/Inventory[[#This Row],[24Bldg]],0)</f>
        <v>0.23929794520547945</v>
      </c>
      <c r="BT2128" s="36">
        <f>(Inventory[[#This Row],[Adjusted Land Total]]-Inventory[[#This Row],[24Lnd]])/Inventory[[#This Row],[24Lnd]]</f>
        <v>-0.41528925619834711</v>
      </c>
      <c r="BU2128" s="36">
        <f>(Inventory[[#This Row],[Adjusted Total]]-Inventory[[#This Row],[24Final]])/Inventory[[#This Row],[24Final]]</f>
        <v>0.12695035460992907</v>
      </c>
    </row>
    <row r="2129" spans="1:73" x14ac:dyDescent="0.3">
      <c r="A2129" s="25">
        <v>2025</v>
      </c>
      <c r="B2129" s="26" t="s">
        <v>2335</v>
      </c>
      <c r="C2129" s="26">
        <f>LN(Inventory[[#This Row],[Acres]])</f>
        <v>-1.6094379124341003</v>
      </c>
      <c r="D2129" s="25">
        <v>0.2</v>
      </c>
      <c r="E2129" s="27"/>
      <c r="F2129" s="26" t="s">
        <v>537</v>
      </c>
      <c r="G2129" s="26" t="s">
        <v>126</v>
      </c>
      <c r="H2129" s="26" t="s">
        <v>349</v>
      </c>
      <c r="I2129" s="26" t="s">
        <v>538</v>
      </c>
      <c r="J2129" s="26" t="s">
        <v>539</v>
      </c>
      <c r="K2129" s="26" t="s">
        <v>173</v>
      </c>
      <c r="L2129" s="26" t="s">
        <v>302</v>
      </c>
      <c r="M2129" s="26" t="s">
        <v>303</v>
      </c>
      <c r="N2129" s="26">
        <v>110</v>
      </c>
      <c r="O2129" s="26">
        <f>2024-Inventory[[#This Row],[YrBlt]]</f>
        <v>104</v>
      </c>
      <c r="P2129" s="26">
        <f>2024-Inventory[[#This Row],[EffYr]]</f>
        <v>58</v>
      </c>
      <c r="Q2129" s="25">
        <v>1920</v>
      </c>
      <c r="R2129" s="25">
        <v>1966</v>
      </c>
      <c r="S2129" s="25">
        <v>1152</v>
      </c>
      <c r="T2129" s="32">
        <v>1172</v>
      </c>
      <c r="U2129" s="32">
        <v>1136</v>
      </c>
      <c r="V2129" s="32">
        <f>Inventory[[#This Row],[Bsmt]]-Inventory[[#This Row],[FnBsmt]]</f>
        <v>1136</v>
      </c>
      <c r="W2129" s="27"/>
      <c r="X2129" s="27"/>
      <c r="Y2129" s="27">
        <f>Inventory[[#This Row],[MainFn]]+Inventory[[#This Row],[UpprFn]]+Inventory[[#This Row],[FnBsmt]]+Inventory[[#This Row],[AddFn]]</f>
        <v>2324</v>
      </c>
      <c r="Z2129" s="27">
        <v>2500</v>
      </c>
      <c r="AA2129" s="25">
        <v>8</v>
      </c>
      <c r="AB2129" s="27"/>
      <c r="AC2129" s="27"/>
      <c r="AD2129" s="32">
        <v>224</v>
      </c>
      <c r="AE2129" s="27"/>
      <c r="AF2129" s="27"/>
      <c r="AG2129" s="27"/>
      <c r="AH2129" s="27"/>
      <c r="AI2129" s="25">
        <v>406433</v>
      </c>
      <c r="AJ2129" s="25">
        <v>260117</v>
      </c>
      <c r="AK2129" s="25">
        <v>6312</v>
      </c>
      <c r="AL2129" s="25">
        <v>390100</v>
      </c>
      <c r="AM2129" s="25">
        <v>58400</v>
      </c>
      <c r="AN2129" s="25">
        <v>331700</v>
      </c>
      <c r="AO2129" s="25">
        <v>0</v>
      </c>
      <c r="AP2129" s="25">
        <f>Lookups!$B$56*0</f>
        <v>0</v>
      </c>
      <c r="AQ2129" s="25">
        <f>Lookups!$B$56*1</f>
        <v>89850.625589999996</v>
      </c>
      <c r="AR2129" s="25">
        <f>Lookups!$B$57*Inventory[[#This Row],[LnAcres]]</f>
        <v>-50946.13867709865</v>
      </c>
      <c r="AS2129" s="25">
        <f>VLOOKUP(Inventory[[#This Row],[Qlty]],Lookups!$A$62:$E$75,2,FALSE)</f>
        <v>29814.093161000001</v>
      </c>
      <c r="AT2129" s="25">
        <f>VLOOKUP(Inventory[[#This Row],[Cnd]],Lookups!$A$76:$E$84,2,FALSE)</f>
        <v>197752.34721000001</v>
      </c>
      <c r="AU2129" s="25">
        <f>Inventory[[#This Row],[EffAge]]*Lookups!$B$85</f>
        <v>-12936.644829000001</v>
      </c>
      <c r="AV2129" s="25">
        <f>Inventory[[#This Row],[MainFn]]*Lookups!$B$86</f>
        <v>56918.787698304004</v>
      </c>
      <c r="AW2129" s="25">
        <f>Inventory[[#This Row],[UpprFn]]*Lookups!$B$87</f>
        <v>52489.687593092</v>
      </c>
      <c r="AX2129" s="25">
        <f>Inventory[[#This Row],[AddFn]]*Lookups!$B$88</f>
        <v>0</v>
      </c>
      <c r="AY2129" s="25">
        <f>Inventory[[#This Row],[Bsmt]]*Lookups!$B$89</f>
        <v>33037.033000591997</v>
      </c>
      <c r="AZ2129" s="25">
        <f>Inventory[[#This Row],[Fixtures]]*Lookups!$B$90</f>
        <v>30336.176841600001</v>
      </c>
      <c r="BA2129" s="25">
        <f>Inventory[[#This Row],[WdDeck]]*Lookups!$B$91</f>
        <v>7458.1954218240007</v>
      </c>
      <c r="BB2129" s="25">
        <f>ROUND(Inventory[[#This Row],[25Det]],-2)</f>
        <v>6300</v>
      </c>
      <c r="BC2129" s="25">
        <f>ROUND(SUM(Inventory[[#This Row],[Mdl Qlty]:[Mdl WdDeck]])+Inventory[[#This Row],[Mdl Res Intercept]],-2)</f>
        <v>394900</v>
      </c>
      <c r="BD2129" s="25">
        <f>ROUND(Inventory[[#This Row],[Mdl Land Intercept]]+Inventory[[#This Row],[Mdl LnAcres]],-2)</f>
        <v>38900</v>
      </c>
      <c r="BE2129" s="25">
        <f>Inventory[[#This Row],[Unadj Res Value]]+Inventory[[#This Row],[Unadj Det Value]]+Inventory[[#This Row],[Unadj Land Value]]</f>
        <v>440100</v>
      </c>
      <c r="BF2129" s="36">
        <f>(Inventory[[#This Row],[Unadj Total Value]]-Inventory[[#This Row],[24Final]])/Inventory[[#This Row],[24Final]]</f>
        <v>0.12817226352217381</v>
      </c>
      <c r="BG2129" s="25">
        <f>VLOOKUP(Inventory[[#This Row],[Nbhd]],Lookups!$Q$2:$T$4,4,FALSE)</f>
        <v>0.99970000000000003</v>
      </c>
      <c r="BH2129" s="25">
        <f>VLOOKUP(Inventory[[#This Row],[Qlty]],Lookups!$O$7:$R$21,4,FALSE)</f>
        <v>1.0088999999999999</v>
      </c>
      <c r="BI2129" s="25">
        <f>VLOOKUP(Inventory[[#This Row],[Cnd]],Lookups!$T$7:$W$16,4,FALSE)</f>
        <v>0.99650000000000005</v>
      </c>
      <c r="BJ2129" s="25">
        <f>VLOOKUP(Inventory[[#This Row],[LivArea Range]],Lookups!$T$25:$W$37,4,FALSE)</f>
        <v>0.98919999999999997</v>
      </c>
      <c r="BK2129" s="25">
        <f>VLOOKUP(Inventory[[#This Row],[Decade]],Lookups!$O$25:$R$42,4,FALSE)</f>
        <v>0.96040000000000003</v>
      </c>
      <c r="BL2129" s="25">
        <f>Inventory[[#This Row],[Nbhd Adj]]*0.95</f>
        <v>0.94971499999999998</v>
      </c>
      <c r="BM2129" s="25">
        <f>Inventory[[#This Row],[Nbhd Adj]]*Inventory[[#This Row],[Quality Adj]]*Inventory[[#This Row],[Condition Adj]]*Inventory[[#This Row],[Living Area Adj]]*Inventory[[#This Row],[Decade Adj]]*0.95</f>
        <v>0.90709961275698836</v>
      </c>
      <c r="BN2129" s="25">
        <f>ROUND(SUM(Inventory[[#This Row],[Mdl Qlty]:[Mdl WdDeck]])+Inventory[[#This Row],[Mdl Res Intercept]]*Inventory[[#This Row],[Res Adj ]],-2)</f>
        <v>394900</v>
      </c>
      <c r="BO2129" s="25">
        <f>ROUND(Inventory[[#This Row],[25Det]]*Inventory[[#This Row],[Det/Nbhd Adj]],-2)</f>
        <v>6000</v>
      </c>
      <c r="BP2129" s="25">
        <f>Inventory[[#This Row],[Adjusted Res]]+Inventory[[#This Row],[Adj Det ]]</f>
        <v>400900</v>
      </c>
      <c r="BQ2129" s="25">
        <f>ROUND((Inventory[[#This Row],[Mdl Land Intercept]]+Inventory[[#This Row],[Mdl LnAcres]])*Inventory[[#This Row],[Det/Nbhd Adj]],-2)</f>
        <v>36900</v>
      </c>
      <c r="BR2129" s="25">
        <f>Inventory[[#This Row],[Adjusted Impr Total]]+Inventory[[#This Row],[Adjusted Land Total]]</f>
        <v>437800</v>
      </c>
      <c r="BS2129" s="36">
        <f>IFERROR((Inventory[[#This Row],[Adjusted Impr Total]]-Inventory[[#This Row],[24Bldg]])/Inventory[[#This Row],[24Bldg]],0)</f>
        <v>0.20862224902019896</v>
      </c>
      <c r="BT2129" s="36">
        <f>(Inventory[[#This Row],[Adjusted Land Total]]-Inventory[[#This Row],[24Lnd]])/Inventory[[#This Row],[24Lnd]]</f>
        <v>-0.36815068493150682</v>
      </c>
      <c r="BU2129" s="36">
        <f>(Inventory[[#This Row],[Adjusted Total]]-Inventory[[#This Row],[24Final]])/Inventory[[#This Row],[24Final]]</f>
        <v>0.12227633940015381</v>
      </c>
    </row>
    <row r="2130" spans="1:73" x14ac:dyDescent="0.3">
      <c r="A2130" s="25">
        <v>2025</v>
      </c>
      <c r="B2130" s="26" t="s">
        <v>1855</v>
      </c>
      <c r="C2130" s="26">
        <f>LN(Inventory[[#This Row],[Acres]])</f>
        <v>-1.8325814637483102</v>
      </c>
      <c r="D2130" s="25">
        <v>0.16</v>
      </c>
      <c r="E2130" s="27"/>
      <c r="F2130" s="26" t="s">
        <v>537</v>
      </c>
      <c r="G2130" s="26" t="s">
        <v>126</v>
      </c>
      <c r="H2130" s="26" t="s">
        <v>349</v>
      </c>
      <c r="I2130" s="26" t="s">
        <v>538</v>
      </c>
      <c r="J2130" s="26" t="s">
        <v>539</v>
      </c>
      <c r="K2130" s="26" t="s">
        <v>242</v>
      </c>
      <c r="L2130" s="26" t="s">
        <v>351</v>
      </c>
      <c r="M2130" s="26" t="s">
        <v>303</v>
      </c>
      <c r="N2130" s="26">
        <v>110</v>
      </c>
      <c r="O2130" s="26">
        <f>2024-Inventory[[#This Row],[YrBlt]]</f>
        <v>104</v>
      </c>
      <c r="P2130" s="26">
        <f>2024-Inventory[[#This Row],[EffYr]]</f>
        <v>58</v>
      </c>
      <c r="Q2130" s="25">
        <v>1920</v>
      </c>
      <c r="R2130" s="25">
        <v>1966</v>
      </c>
      <c r="S2130" s="25">
        <v>1160</v>
      </c>
      <c r="T2130" s="31"/>
      <c r="U2130" s="32">
        <v>580</v>
      </c>
      <c r="V2130" s="32">
        <f>Inventory[[#This Row],[Bsmt]]-Inventory[[#This Row],[FnBsmt]]</f>
        <v>580</v>
      </c>
      <c r="W2130" s="27"/>
      <c r="X2130" s="27"/>
      <c r="Y2130" s="27">
        <f>Inventory[[#This Row],[MainFn]]+Inventory[[#This Row],[UpprFn]]+Inventory[[#This Row],[FnBsmt]]+Inventory[[#This Row],[AddFn]]</f>
        <v>1160</v>
      </c>
      <c r="Z2130" s="27">
        <v>1500</v>
      </c>
      <c r="AA2130" s="25">
        <v>5</v>
      </c>
      <c r="AB2130" s="27"/>
      <c r="AC2130" s="31"/>
      <c r="AD2130" s="27"/>
      <c r="AE2130" s="27"/>
      <c r="AF2130" s="27"/>
      <c r="AG2130" s="27"/>
      <c r="AH2130" s="27"/>
      <c r="AI2130" s="25">
        <v>212982</v>
      </c>
      <c r="AJ2130" s="25">
        <v>136308</v>
      </c>
      <c r="AK2130" s="25">
        <v>4419</v>
      </c>
      <c r="AL2130" s="25">
        <v>298200</v>
      </c>
      <c r="AM2130" s="25">
        <v>50600</v>
      </c>
      <c r="AN2130" s="25">
        <v>247600</v>
      </c>
      <c r="AO2130" s="25">
        <v>0</v>
      </c>
      <c r="AP2130" s="25">
        <f>Lookups!$B$56*0</f>
        <v>0</v>
      </c>
      <c r="AQ2130" s="25">
        <f>Lookups!$B$56*1</f>
        <v>89850.625589999996</v>
      </c>
      <c r="AR2130" s="25">
        <f>Lookups!$B$57*Inventory[[#This Row],[LnAcres]]</f>
        <v>-58009.662049032086</v>
      </c>
      <c r="AS2130" s="25">
        <f>VLOOKUP(Inventory[[#This Row],[Qlty]],Lookups!$A$62:$E$75,2,FALSE)</f>
        <v>21557.329055999999</v>
      </c>
      <c r="AT2130" s="25">
        <f>VLOOKUP(Inventory[[#This Row],[Cnd]],Lookups!$A$76:$E$84,2,FALSE)</f>
        <v>197752.34721000001</v>
      </c>
      <c r="AU2130" s="25">
        <f>Inventory[[#This Row],[EffAge]]*Lookups!$B$85</f>
        <v>-12936.644829000001</v>
      </c>
      <c r="AV2130" s="25">
        <f>Inventory[[#This Row],[MainFn]]*Lookups!$B$86</f>
        <v>57314.057057320002</v>
      </c>
      <c r="AW2130" s="25">
        <f>Inventory[[#This Row],[UpprFn]]*Lookups!$B$87</f>
        <v>0</v>
      </c>
      <c r="AX2130" s="25">
        <f>Inventory[[#This Row],[AddFn]]*Lookups!$B$88</f>
        <v>0</v>
      </c>
      <c r="AY2130" s="25">
        <f>Inventory[[#This Row],[Bsmt]]*Lookups!$B$89</f>
        <v>16867.499243259997</v>
      </c>
      <c r="AZ2130" s="25">
        <f>Inventory[[#This Row],[Fixtures]]*Lookups!$B$90</f>
        <v>18960.110526</v>
      </c>
      <c r="BA2130" s="25">
        <f>Inventory[[#This Row],[WdDeck]]*Lookups!$B$91</f>
        <v>0</v>
      </c>
      <c r="BB2130" s="25">
        <f>ROUND(Inventory[[#This Row],[25Det]],-2)</f>
        <v>4400</v>
      </c>
      <c r="BC2130" s="25">
        <f>ROUND(SUM(Inventory[[#This Row],[Mdl Qlty]:[Mdl WdDeck]])+Inventory[[#This Row],[Mdl Res Intercept]],-2)</f>
        <v>299500</v>
      </c>
      <c r="BD2130" s="25">
        <f>ROUND(Inventory[[#This Row],[Mdl Land Intercept]]+Inventory[[#This Row],[Mdl LnAcres]],-2)</f>
        <v>31800</v>
      </c>
      <c r="BE2130" s="25">
        <f>Inventory[[#This Row],[Unadj Res Value]]+Inventory[[#This Row],[Unadj Det Value]]+Inventory[[#This Row],[Unadj Land Value]]</f>
        <v>335700</v>
      </c>
      <c r="BF2130" s="36">
        <f>(Inventory[[#This Row],[Unadj Total Value]]-Inventory[[#This Row],[24Final]])/Inventory[[#This Row],[24Final]]</f>
        <v>0.12575452716297786</v>
      </c>
      <c r="BG2130" s="25">
        <f>VLOOKUP(Inventory[[#This Row],[Nbhd]],Lookups!$Q$2:$T$4,4,FALSE)</f>
        <v>0.99970000000000003</v>
      </c>
      <c r="BH2130" s="25">
        <f>VLOOKUP(Inventory[[#This Row],[Qlty]],Lookups!$O$7:$R$21,4,FALSE)</f>
        <v>1.0067999999999999</v>
      </c>
      <c r="BI2130" s="25">
        <f>VLOOKUP(Inventory[[#This Row],[Cnd]],Lookups!$T$7:$W$16,4,FALSE)</f>
        <v>0.99650000000000005</v>
      </c>
      <c r="BJ2130" s="25">
        <f>VLOOKUP(Inventory[[#This Row],[LivArea Range]],Lookups!$T$25:$W$37,4,FALSE)</f>
        <v>1.0157</v>
      </c>
      <c r="BK2130" s="25">
        <f>VLOOKUP(Inventory[[#This Row],[Decade]],Lookups!$O$25:$R$42,4,FALSE)</f>
        <v>0.96040000000000003</v>
      </c>
      <c r="BL2130" s="25">
        <f>Inventory[[#This Row],[Nbhd Adj]]*0.95</f>
        <v>0.94971499999999998</v>
      </c>
      <c r="BM2130" s="25">
        <f>Inventory[[#This Row],[Nbhd Adj]]*Inventory[[#This Row],[Quality Adj]]*Inventory[[#This Row],[Condition Adj]]*Inventory[[#This Row],[Living Area Adj]]*Inventory[[#This Row],[Decade Adj]]*0.95</f>
        <v>0.92946151271343602</v>
      </c>
      <c r="BN2130" s="25">
        <f>ROUND(SUM(Inventory[[#This Row],[Mdl Qlty]:[Mdl WdDeck]])+Inventory[[#This Row],[Mdl Res Intercept]]*Inventory[[#This Row],[Res Adj ]],-2)</f>
        <v>299500</v>
      </c>
      <c r="BO2130" s="25">
        <f>ROUND(Inventory[[#This Row],[25Det]]*Inventory[[#This Row],[Det/Nbhd Adj]],-2)</f>
        <v>4200</v>
      </c>
      <c r="BP2130" s="25">
        <f>Inventory[[#This Row],[Adjusted Res]]+Inventory[[#This Row],[Adj Det ]]</f>
        <v>303700</v>
      </c>
      <c r="BQ2130" s="25">
        <f>ROUND((Inventory[[#This Row],[Mdl Land Intercept]]+Inventory[[#This Row],[Mdl LnAcres]])*Inventory[[#This Row],[Det/Nbhd Adj]],-2)</f>
        <v>30200</v>
      </c>
      <c r="BR2130" s="25">
        <f>Inventory[[#This Row],[Adjusted Impr Total]]+Inventory[[#This Row],[Adjusted Land Total]]</f>
        <v>333900</v>
      </c>
      <c r="BS2130" s="36">
        <f>IFERROR((Inventory[[#This Row],[Adjusted Impr Total]]-Inventory[[#This Row],[24Bldg]])/Inventory[[#This Row],[24Bldg]],0)</f>
        <v>0.22657512116316639</v>
      </c>
      <c r="BT2130" s="36">
        <f>(Inventory[[#This Row],[Adjusted Land Total]]-Inventory[[#This Row],[24Lnd]])/Inventory[[#This Row],[24Lnd]]</f>
        <v>-0.40316205533596838</v>
      </c>
      <c r="BU2130" s="36">
        <f>(Inventory[[#This Row],[Adjusted Total]]-Inventory[[#This Row],[24Final]])/Inventory[[#This Row],[24Final]]</f>
        <v>0.11971830985915492</v>
      </c>
    </row>
    <row r="2131" spans="1:73" x14ac:dyDescent="0.3">
      <c r="A2131" s="25">
        <v>2025</v>
      </c>
      <c r="B2131" s="26" t="s">
        <v>1115</v>
      </c>
      <c r="C2131" s="26">
        <f>LN(Inventory[[#This Row],[Acres]])</f>
        <v>-1.2729656758128873</v>
      </c>
      <c r="D2131" s="25">
        <v>0.28000000000000003</v>
      </c>
      <c r="E2131" s="27"/>
      <c r="F2131" s="26" t="s">
        <v>537</v>
      </c>
      <c r="G2131" s="26" t="s">
        <v>126</v>
      </c>
      <c r="H2131" s="26" t="s">
        <v>349</v>
      </c>
      <c r="I2131" s="26" t="s">
        <v>538</v>
      </c>
      <c r="J2131" s="26" t="s">
        <v>539</v>
      </c>
      <c r="K2131" s="26" t="s">
        <v>173</v>
      </c>
      <c r="L2131" s="26" t="s">
        <v>302</v>
      </c>
      <c r="M2131" s="26" t="s">
        <v>303</v>
      </c>
      <c r="N2131" s="26">
        <v>110</v>
      </c>
      <c r="O2131" s="26">
        <f>2024-Inventory[[#This Row],[YrBlt]]</f>
        <v>104</v>
      </c>
      <c r="P2131" s="26">
        <f>2024-Inventory[[#This Row],[EffYr]]</f>
        <v>58</v>
      </c>
      <c r="Q2131" s="25">
        <v>1920</v>
      </c>
      <c r="R2131" s="25">
        <v>1966</v>
      </c>
      <c r="S2131" s="25">
        <v>1866</v>
      </c>
      <c r="T2131" s="25">
        <v>1410</v>
      </c>
      <c r="U2131" s="32">
        <v>1482</v>
      </c>
      <c r="V2131" s="32">
        <f>Inventory[[#This Row],[Bsmt]]-Inventory[[#This Row],[FnBsmt]]</f>
        <v>1482</v>
      </c>
      <c r="W2131" s="27"/>
      <c r="X2131" s="27"/>
      <c r="Y2131" s="27">
        <f>Inventory[[#This Row],[MainFn]]+Inventory[[#This Row],[UpprFn]]+Inventory[[#This Row],[FnBsmt]]+Inventory[[#This Row],[AddFn]]</f>
        <v>3276</v>
      </c>
      <c r="Z2131" s="27">
        <v>3500</v>
      </c>
      <c r="AA2131" s="25">
        <v>10</v>
      </c>
      <c r="AB2131" s="27"/>
      <c r="AC2131" s="25">
        <v>384</v>
      </c>
      <c r="AD2131" s="25">
        <v>384</v>
      </c>
      <c r="AE2131" s="27"/>
      <c r="AF2131" s="27"/>
      <c r="AG2131" s="27"/>
      <c r="AH2131" s="27"/>
      <c r="AI2131" s="25">
        <v>597256</v>
      </c>
      <c r="AJ2131" s="25">
        <v>382244</v>
      </c>
      <c r="AK2131" s="25">
        <v>0</v>
      </c>
      <c r="AL2131" s="25">
        <v>457400</v>
      </c>
      <c r="AM2131" s="25">
        <v>70100</v>
      </c>
      <c r="AN2131" s="25">
        <v>387300</v>
      </c>
      <c r="AO2131" s="25">
        <v>0</v>
      </c>
      <c r="AP2131" s="25">
        <f>Lookups!$B$56*0</f>
        <v>0</v>
      </c>
      <c r="AQ2131" s="25">
        <f>Lookups!$B$56*1</f>
        <v>89850.625589999996</v>
      </c>
      <c r="AR2131" s="25">
        <f>Lookups!$B$57*Inventory[[#This Row],[LnAcres]]</f>
        <v>-40295.239319339329</v>
      </c>
      <c r="AS2131" s="25">
        <f>VLOOKUP(Inventory[[#This Row],[Qlty]],Lookups!$A$62:$E$75,2,FALSE)</f>
        <v>29814.093161000001</v>
      </c>
      <c r="AT2131" s="25">
        <f>VLOOKUP(Inventory[[#This Row],[Cnd]],Lookups!$A$76:$E$84,2,FALSE)</f>
        <v>197752.34721000001</v>
      </c>
      <c r="AU2131" s="25">
        <f>Inventory[[#This Row],[EffAge]]*Lookups!$B$85</f>
        <v>-12936.644829000001</v>
      </c>
      <c r="AV2131" s="25">
        <f>Inventory[[#This Row],[MainFn]]*Lookups!$B$86</f>
        <v>92196.577990482008</v>
      </c>
      <c r="AW2131" s="25">
        <f>Inventory[[#This Row],[UpprFn]]*Lookups!$B$87</f>
        <v>63148.856234009996</v>
      </c>
      <c r="AX2131" s="25">
        <f>Inventory[[#This Row],[AddFn]]*Lookups!$B$88</f>
        <v>0</v>
      </c>
      <c r="AY2131" s="25">
        <f>Inventory[[#This Row],[Bsmt]]*Lookups!$B$89</f>
        <v>43099.368756053998</v>
      </c>
      <c r="AZ2131" s="25">
        <f>Inventory[[#This Row],[Fixtures]]*Lookups!$B$90</f>
        <v>37920.221052000001</v>
      </c>
      <c r="BA2131" s="25">
        <f>Inventory[[#This Row],[WdDeck]]*Lookups!$B$91</f>
        <v>12785.477865984001</v>
      </c>
      <c r="BB2131" s="25">
        <f>ROUND(Inventory[[#This Row],[25Det]],-2)</f>
        <v>0</v>
      </c>
      <c r="BC2131" s="25">
        <f>ROUND(SUM(Inventory[[#This Row],[Mdl Qlty]:[Mdl WdDeck]])+Inventory[[#This Row],[Mdl Res Intercept]],-2)</f>
        <v>463800</v>
      </c>
      <c r="BD2131" s="25">
        <f>ROUND(Inventory[[#This Row],[Mdl Land Intercept]]+Inventory[[#This Row],[Mdl LnAcres]],-2)</f>
        <v>49600</v>
      </c>
      <c r="BE2131" s="25">
        <f>Inventory[[#This Row],[Unadj Res Value]]+Inventory[[#This Row],[Unadj Det Value]]+Inventory[[#This Row],[Unadj Land Value]]</f>
        <v>513400</v>
      </c>
      <c r="BF2131" s="36">
        <f>(Inventory[[#This Row],[Unadj Total Value]]-Inventory[[#This Row],[24Final]])/Inventory[[#This Row],[24Final]]</f>
        <v>0.12243113248797552</v>
      </c>
      <c r="BG2131" s="25">
        <f>VLOOKUP(Inventory[[#This Row],[Nbhd]],Lookups!$Q$2:$T$4,4,FALSE)</f>
        <v>0.99970000000000003</v>
      </c>
      <c r="BH2131" s="25">
        <f>VLOOKUP(Inventory[[#This Row],[Qlty]],Lookups!$O$7:$R$21,4,FALSE)</f>
        <v>1.0088999999999999</v>
      </c>
      <c r="BI2131" s="25">
        <f>VLOOKUP(Inventory[[#This Row],[Cnd]],Lookups!$T$7:$W$16,4,FALSE)</f>
        <v>0.99650000000000005</v>
      </c>
      <c r="BJ2131" s="25">
        <f>VLOOKUP(Inventory[[#This Row],[LivArea Range]],Lookups!$T$25:$W$37,4,FALSE)</f>
        <v>1.0126999999999999</v>
      </c>
      <c r="BK2131" s="25">
        <f>VLOOKUP(Inventory[[#This Row],[Decade]],Lookups!$O$25:$R$42,4,FALSE)</f>
        <v>0.96040000000000003</v>
      </c>
      <c r="BL2131" s="25">
        <f>Inventory[[#This Row],[Nbhd Adj]]*0.95</f>
        <v>0.94971499999999998</v>
      </c>
      <c r="BM2131" s="25">
        <f>Inventory[[#This Row],[Nbhd Adj]]*Inventory[[#This Row],[Quality Adj]]*Inventory[[#This Row],[Condition Adj]]*Inventory[[#This Row],[Living Area Adj]]*Inventory[[#This Row],[Decade Adj]]*0.95</f>
        <v>0.92864918908107752</v>
      </c>
      <c r="BN2131" s="25">
        <f>ROUND(SUM(Inventory[[#This Row],[Mdl Qlty]:[Mdl WdDeck]])+Inventory[[#This Row],[Mdl Res Intercept]]*Inventory[[#This Row],[Res Adj ]],-2)</f>
        <v>463800</v>
      </c>
      <c r="BO2131" s="25">
        <f>ROUND(Inventory[[#This Row],[25Det]]*Inventory[[#This Row],[Det/Nbhd Adj]],-2)</f>
        <v>0</v>
      </c>
      <c r="BP2131" s="25">
        <f>Inventory[[#This Row],[Adjusted Res]]+Inventory[[#This Row],[Adj Det ]]</f>
        <v>463800</v>
      </c>
      <c r="BQ2131" s="25">
        <f>ROUND((Inventory[[#This Row],[Mdl Land Intercept]]+Inventory[[#This Row],[Mdl LnAcres]])*Inventory[[#This Row],[Det/Nbhd Adj]],-2)</f>
        <v>47100</v>
      </c>
      <c r="BR2131" s="25">
        <f>Inventory[[#This Row],[Adjusted Impr Total]]+Inventory[[#This Row],[Adjusted Land Total]]</f>
        <v>510900</v>
      </c>
      <c r="BS2131" s="36">
        <f>IFERROR((Inventory[[#This Row],[Adjusted Impr Total]]-Inventory[[#This Row],[24Bldg]])/Inventory[[#This Row],[24Bldg]],0)</f>
        <v>0.19752130131680867</v>
      </c>
      <c r="BT2131" s="36">
        <f>(Inventory[[#This Row],[Adjusted Land Total]]-Inventory[[#This Row],[24Lnd]])/Inventory[[#This Row],[24Lnd]]</f>
        <v>-0.32810271041369471</v>
      </c>
      <c r="BU2131" s="36">
        <f>(Inventory[[#This Row],[Adjusted Total]]-Inventory[[#This Row],[24Final]])/Inventory[[#This Row],[24Final]]</f>
        <v>0.11696545693047661</v>
      </c>
    </row>
    <row r="2132" spans="1:73" x14ac:dyDescent="0.3">
      <c r="A2132" s="25">
        <v>2025</v>
      </c>
      <c r="B2132" s="26" t="s">
        <v>1654</v>
      </c>
      <c r="C2132" s="26">
        <f>LN(Inventory[[#This Row],[Acres]])</f>
        <v>-0.9942522733438669</v>
      </c>
      <c r="D2132" s="25">
        <v>0.37</v>
      </c>
      <c r="E2132" s="31"/>
      <c r="F2132" s="26" t="s">
        <v>537</v>
      </c>
      <c r="G2132" s="26" t="s">
        <v>126</v>
      </c>
      <c r="H2132" s="26" t="s">
        <v>349</v>
      </c>
      <c r="I2132" s="26" t="s">
        <v>538</v>
      </c>
      <c r="J2132" s="26" t="s">
        <v>539</v>
      </c>
      <c r="K2132" s="26" t="s">
        <v>301</v>
      </c>
      <c r="L2132" s="26" t="s">
        <v>95</v>
      </c>
      <c r="M2132" s="26" t="s">
        <v>352</v>
      </c>
      <c r="N2132" s="26">
        <v>110</v>
      </c>
      <c r="O2132" s="26">
        <f>2024-Inventory[[#This Row],[YrBlt]]</f>
        <v>104</v>
      </c>
      <c r="P2132" s="26">
        <f>2024-Inventory[[#This Row],[EffYr]]</f>
        <v>58</v>
      </c>
      <c r="Q2132" s="25">
        <v>1920</v>
      </c>
      <c r="R2132" s="25">
        <v>1966</v>
      </c>
      <c r="S2132" s="25">
        <v>2267</v>
      </c>
      <c r="T2132" s="32">
        <v>1572</v>
      </c>
      <c r="U2132" s="25">
        <v>1600</v>
      </c>
      <c r="V2132" s="32">
        <f>Inventory[[#This Row],[Bsmt]]-Inventory[[#This Row],[FnBsmt]]</f>
        <v>1600</v>
      </c>
      <c r="W2132" s="27"/>
      <c r="X2132" s="27"/>
      <c r="Y2132" s="27">
        <f>Inventory[[#This Row],[MainFn]]+Inventory[[#This Row],[UpprFn]]+Inventory[[#This Row],[FnBsmt]]+Inventory[[#This Row],[AddFn]]</f>
        <v>3839</v>
      </c>
      <c r="Z2132" s="27">
        <v>4000</v>
      </c>
      <c r="AA2132" s="25">
        <v>14</v>
      </c>
      <c r="AB2132" s="27"/>
      <c r="AC2132" s="27"/>
      <c r="AD2132" s="27"/>
      <c r="AE2132" s="27"/>
      <c r="AF2132" s="27"/>
      <c r="AG2132" s="27"/>
      <c r="AH2132" s="27"/>
      <c r="AI2132" s="25">
        <v>828525</v>
      </c>
      <c r="AJ2132" s="25">
        <v>555112</v>
      </c>
      <c r="AK2132" s="25">
        <v>47804</v>
      </c>
      <c r="AL2132" s="25">
        <v>655300</v>
      </c>
      <c r="AM2132" s="25">
        <v>79900</v>
      </c>
      <c r="AN2132" s="25">
        <v>575400</v>
      </c>
      <c r="AO2132" s="25">
        <v>0</v>
      </c>
      <c r="AP2132" s="25">
        <f>Lookups!$B$56*0</f>
        <v>0</v>
      </c>
      <c r="AQ2132" s="25">
        <f>Lookups!$B$56*1</f>
        <v>89850.625589999996</v>
      </c>
      <c r="AR2132" s="25">
        <f>Lookups!$B$57*Inventory[[#This Row],[LnAcres]]</f>
        <v>-31472.673662315807</v>
      </c>
      <c r="AS2132" s="25">
        <f>VLOOKUP(Inventory[[#This Row],[Qlty]],Lookups!$A$62:$E$75,2,FALSE)</f>
        <v>74268.409664999999</v>
      </c>
      <c r="AT2132" s="25">
        <f>VLOOKUP(Inventory[[#This Row],[Cnd]],Lookups!$A$76:$E$84,2,FALSE)</f>
        <v>284810.60806</v>
      </c>
      <c r="AU2132" s="25">
        <f>Inventory[[#This Row],[EffAge]]*Lookups!$B$85</f>
        <v>-12936.644829000001</v>
      </c>
      <c r="AV2132" s="25">
        <f>Inventory[[#This Row],[MainFn]]*Lookups!$B$86</f>
        <v>112009.454611159</v>
      </c>
      <c r="AW2132" s="25">
        <f>Inventory[[#This Row],[UpprFn]]*Lookups!$B$87</f>
        <v>70404.256737492004</v>
      </c>
      <c r="AX2132" s="25">
        <f>Inventory[[#This Row],[AddFn]]*Lookups!$B$88</f>
        <v>0</v>
      </c>
      <c r="AY2132" s="25">
        <f>Inventory[[#This Row],[Bsmt]]*Lookups!$B$89</f>
        <v>46531.032395199996</v>
      </c>
      <c r="AZ2132" s="25">
        <f>Inventory[[#This Row],[Fixtures]]*Lookups!$B$90</f>
        <v>53088.3094728</v>
      </c>
      <c r="BA2132" s="25">
        <f>Inventory[[#This Row],[WdDeck]]*Lookups!$B$91</f>
        <v>0</v>
      </c>
      <c r="BB2132" s="25">
        <f>ROUND(Inventory[[#This Row],[25Det]],-2)</f>
        <v>47800</v>
      </c>
      <c r="BC2132" s="25">
        <f>ROUND(SUM(Inventory[[#This Row],[Mdl Qlty]:[Mdl WdDeck]])+Inventory[[#This Row],[Mdl Res Intercept]],-2)</f>
        <v>628200</v>
      </c>
      <c r="BD2132" s="25">
        <f>ROUND(Inventory[[#This Row],[Mdl Land Intercept]]+Inventory[[#This Row],[Mdl LnAcres]],-2)</f>
        <v>58400</v>
      </c>
      <c r="BE2132" s="25">
        <f>Inventory[[#This Row],[Unadj Res Value]]+Inventory[[#This Row],[Unadj Det Value]]+Inventory[[#This Row],[Unadj Land Value]]</f>
        <v>734400</v>
      </c>
      <c r="BF2132" s="36">
        <f>(Inventory[[#This Row],[Unadj Total Value]]-Inventory[[#This Row],[24Final]])/Inventory[[#This Row],[24Final]]</f>
        <v>0.12070807263848619</v>
      </c>
      <c r="BG2132" s="25">
        <f>VLOOKUP(Inventory[[#This Row],[Nbhd]],Lookups!$Q$2:$T$4,4,FALSE)</f>
        <v>0.99970000000000003</v>
      </c>
      <c r="BH2132" s="25">
        <f>VLOOKUP(Inventory[[#This Row],[Qlty]],Lookups!$O$7:$R$21,4,FALSE)</f>
        <v>0.98380000000000001</v>
      </c>
      <c r="BI2132" s="25">
        <f>VLOOKUP(Inventory[[#This Row],[Cnd]],Lookups!$T$7:$W$16,4,FALSE)</f>
        <v>1.0158</v>
      </c>
      <c r="BJ2132" s="25">
        <f>VLOOKUP(Inventory[[#This Row],[LivArea Range]],Lookups!$T$25:$W$37,4,FALSE)</f>
        <v>0.94579999999999997</v>
      </c>
      <c r="BK2132" s="25">
        <f>VLOOKUP(Inventory[[#This Row],[Decade]],Lookups!$O$25:$R$42,4,FALSE)</f>
        <v>0.96040000000000003</v>
      </c>
      <c r="BL2132" s="25">
        <f>Inventory[[#This Row],[Nbhd Adj]]*0.95</f>
        <v>0.94971499999999998</v>
      </c>
      <c r="BM2132" s="25">
        <f>Inventory[[#This Row],[Nbhd Adj]]*Inventory[[#This Row],[Quality Adj]]*Inventory[[#This Row],[Condition Adj]]*Inventory[[#This Row],[Living Area Adj]]*Inventory[[#This Row],[Decade Adj]]*0.95</f>
        <v>0.86210424820340892</v>
      </c>
      <c r="BN2132" s="25">
        <f>ROUND(SUM(Inventory[[#This Row],[Mdl Qlty]:[Mdl WdDeck]])+Inventory[[#This Row],[Mdl Res Intercept]]*Inventory[[#This Row],[Res Adj ]],-2)</f>
        <v>628200</v>
      </c>
      <c r="BO2132" s="25">
        <f>ROUND(Inventory[[#This Row],[25Det]]*Inventory[[#This Row],[Det/Nbhd Adj]],-2)</f>
        <v>45400</v>
      </c>
      <c r="BP2132" s="25">
        <f>Inventory[[#This Row],[Adjusted Res]]+Inventory[[#This Row],[Adj Det ]]</f>
        <v>673600</v>
      </c>
      <c r="BQ2132" s="25">
        <f>ROUND((Inventory[[#This Row],[Mdl Land Intercept]]+Inventory[[#This Row],[Mdl LnAcres]])*Inventory[[#This Row],[Det/Nbhd Adj]],-2)</f>
        <v>55400</v>
      </c>
      <c r="BR2132" s="25">
        <f>Inventory[[#This Row],[Adjusted Impr Total]]+Inventory[[#This Row],[Adjusted Land Total]]</f>
        <v>729000</v>
      </c>
      <c r="BS2132" s="36">
        <f>IFERROR((Inventory[[#This Row],[Adjusted Impr Total]]-Inventory[[#This Row],[24Bldg]])/Inventory[[#This Row],[24Bldg]],0)</f>
        <v>0.17066388599235316</v>
      </c>
      <c r="BT2132" s="36">
        <f>(Inventory[[#This Row],[Adjusted Land Total]]-Inventory[[#This Row],[24Lnd]])/Inventory[[#This Row],[24Lnd]]</f>
        <v>-0.30663329161451813</v>
      </c>
      <c r="BU2132" s="36">
        <f>(Inventory[[#This Row],[Adjusted Total]]-Inventory[[#This Row],[24Final]])/Inventory[[#This Row],[24Final]]</f>
        <v>0.11246757210437967</v>
      </c>
    </row>
    <row r="2133" spans="1:73" x14ac:dyDescent="0.3">
      <c r="A2133" s="25">
        <v>2025</v>
      </c>
      <c r="B2133" s="26" t="s">
        <v>2689</v>
      </c>
      <c r="C2133" s="26">
        <f>LN(Inventory[[#This Row],[Acres]])</f>
        <v>-1.3862943611198906</v>
      </c>
      <c r="D2133" s="25">
        <v>0.25</v>
      </c>
      <c r="E2133" s="25">
        <v>10751</v>
      </c>
      <c r="F2133" s="26" t="s">
        <v>537</v>
      </c>
      <c r="G2133" s="26" t="s">
        <v>126</v>
      </c>
      <c r="H2133" s="26" t="s">
        <v>349</v>
      </c>
      <c r="I2133" s="26" t="s">
        <v>538</v>
      </c>
      <c r="J2133" s="26" t="s">
        <v>539</v>
      </c>
      <c r="K2133" s="26" t="s">
        <v>173</v>
      </c>
      <c r="L2133" s="26" t="s">
        <v>302</v>
      </c>
      <c r="M2133" s="26" t="s">
        <v>303</v>
      </c>
      <c r="N2133" s="26">
        <v>110</v>
      </c>
      <c r="O2133" s="26">
        <f>2024-Inventory[[#This Row],[YrBlt]]</f>
        <v>104</v>
      </c>
      <c r="P2133" s="26">
        <f>2024-Inventory[[#This Row],[EffYr]]</f>
        <v>58</v>
      </c>
      <c r="Q2133" s="25">
        <v>1920</v>
      </c>
      <c r="R2133" s="25">
        <v>1966</v>
      </c>
      <c r="S2133" s="25">
        <v>770</v>
      </c>
      <c r="T2133" s="25">
        <v>792</v>
      </c>
      <c r="U2133" s="25">
        <v>770</v>
      </c>
      <c r="V2133" s="25">
        <f>Inventory[[#This Row],[Bsmt]]-Inventory[[#This Row],[FnBsmt]]</f>
        <v>539</v>
      </c>
      <c r="W2133" s="25">
        <v>231</v>
      </c>
      <c r="X2133" s="27"/>
      <c r="Y2133" s="27">
        <f>Inventory[[#This Row],[MainFn]]+Inventory[[#This Row],[UpprFn]]+Inventory[[#This Row],[FnBsmt]]+Inventory[[#This Row],[AddFn]]</f>
        <v>1793</v>
      </c>
      <c r="Z2133" s="27">
        <v>2000</v>
      </c>
      <c r="AA2133" s="25">
        <v>8</v>
      </c>
      <c r="AB2133" s="27"/>
      <c r="AC2133" s="27"/>
      <c r="AD2133" s="25">
        <v>404</v>
      </c>
      <c r="AE2133" s="27"/>
      <c r="AF2133" s="27"/>
      <c r="AG2133" s="27"/>
      <c r="AH2133" s="27"/>
      <c r="AI2133" s="25">
        <v>341716</v>
      </c>
      <c r="AJ2133" s="25">
        <v>218698</v>
      </c>
      <c r="AK2133" s="25">
        <v>8886</v>
      </c>
      <c r="AL2133" s="25">
        <v>365900</v>
      </c>
      <c r="AM2133" s="25">
        <v>66200</v>
      </c>
      <c r="AN2133" s="25">
        <v>299700</v>
      </c>
      <c r="AO2133" s="25">
        <v>0</v>
      </c>
      <c r="AP2133" s="25">
        <f>Lookups!$B$56*0</f>
        <v>0</v>
      </c>
      <c r="AQ2133" s="25">
        <f>Lookups!$B$56*1</f>
        <v>89850.625589999996</v>
      </c>
      <c r="AR2133" s="25">
        <f>Lookups!$B$57*Inventory[[#This Row],[LnAcres]]</f>
        <v>-43882.615305165229</v>
      </c>
      <c r="AS2133" s="25">
        <f>VLOOKUP(Inventory[[#This Row],[Qlty]],Lookups!$A$62:$E$75,2,FALSE)</f>
        <v>29814.093161000001</v>
      </c>
      <c r="AT2133" s="25">
        <f>VLOOKUP(Inventory[[#This Row],[Cnd]],Lookups!$A$76:$E$84,2,FALSE)</f>
        <v>197752.34721000001</v>
      </c>
      <c r="AU2133" s="25">
        <f>Inventory[[#This Row],[EffAge]]*Lookups!$B$85</f>
        <v>-12936.644829000001</v>
      </c>
      <c r="AV2133" s="25">
        <f>Inventory[[#This Row],[MainFn]]*Lookups!$B$86</f>
        <v>38044.675805290004</v>
      </c>
      <c r="AW2133" s="25">
        <f>Inventory[[#This Row],[UpprFn]]*Lookups!$B$87</f>
        <v>35470.846905911996</v>
      </c>
      <c r="AX2133" s="25">
        <f>Inventory[[#This Row],[AddFn]]*Lookups!$B$88</f>
        <v>0</v>
      </c>
      <c r="AY2133" s="25">
        <f>Inventory[[#This Row],[Bsmt]]*Lookups!$B$89</f>
        <v>22393.059340190001</v>
      </c>
      <c r="AZ2133" s="25">
        <f>Inventory[[#This Row],[Fixtures]]*Lookups!$B$90</f>
        <v>30336.176841600001</v>
      </c>
      <c r="BA2133" s="25">
        <f>Inventory[[#This Row],[WdDeck]]*Lookups!$B$91</f>
        <v>13451.388171504001</v>
      </c>
      <c r="BB2133" s="25">
        <f>ROUND(Inventory[[#This Row],[25Det]],-2)</f>
        <v>8900</v>
      </c>
      <c r="BC2133" s="25">
        <f>ROUND(SUM(Inventory[[#This Row],[Mdl Qlty]:[Mdl WdDeck]])+Inventory[[#This Row],[Mdl Res Intercept]],-2)</f>
        <v>354300</v>
      </c>
      <c r="BD2133" s="25">
        <f>ROUND(Inventory[[#This Row],[Mdl Land Intercept]]+Inventory[[#This Row],[Mdl LnAcres]],-2)</f>
        <v>46000</v>
      </c>
      <c r="BE2133" s="25">
        <f>Inventory[[#This Row],[Unadj Res Value]]+Inventory[[#This Row],[Unadj Det Value]]+Inventory[[#This Row],[Unadj Land Value]]</f>
        <v>409200</v>
      </c>
      <c r="BF2133" s="36">
        <f>(Inventory[[#This Row],[Unadj Total Value]]-Inventory[[#This Row],[24Final]])/Inventory[[#This Row],[24Final]]</f>
        <v>0.1183383438097841</v>
      </c>
      <c r="BG2133" s="25">
        <f>VLOOKUP(Inventory[[#This Row],[Nbhd]],Lookups!$Q$2:$T$4,4,FALSE)</f>
        <v>0.99970000000000003</v>
      </c>
      <c r="BH2133" s="25">
        <f>VLOOKUP(Inventory[[#This Row],[Qlty]],Lookups!$O$7:$R$21,4,FALSE)</f>
        <v>1.0088999999999999</v>
      </c>
      <c r="BI2133" s="25">
        <f>VLOOKUP(Inventory[[#This Row],[Cnd]],Lookups!$T$7:$W$16,4,FALSE)</f>
        <v>0.99650000000000005</v>
      </c>
      <c r="BJ2133" s="25">
        <f>VLOOKUP(Inventory[[#This Row],[LivArea Range]],Lookups!$T$25:$W$37,4,FALSE)</f>
        <v>1.0093000000000001</v>
      </c>
      <c r="BK2133" s="25">
        <f>VLOOKUP(Inventory[[#This Row],[Decade]],Lookups!$O$25:$R$42,4,FALSE)</f>
        <v>0.96040000000000003</v>
      </c>
      <c r="BL2133" s="25">
        <f>Inventory[[#This Row],[Nbhd Adj]]*0.95</f>
        <v>0.94971499999999998</v>
      </c>
      <c r="BM2133" s="25">
        <f>Inventory[[#This Row],[Nbhd Adj]]*Inventory[[#This Row],[Quality Adj]]*Inventory[[#This Row],[Condition Adj]]*Inventory[[#This Row],[Living Area Adj]]*Inventory[[#This Row],[Decade Adj]]*0.95</f>
        <v>0.92553137803844354</v>
      </c>
      <c r="BN2133" s="25">
        <f>ROUND(SUM(Inventory[[#This Row],[Mdl Qlty]:[Mdl WdDeck]])+Inventory[[#This Row],[Mdl Res Intercept]]*Inventory[[#This Row],[Res Adj ]],-2)</f>
        <v>354300</v>
      </c>
      <c r="BO2133" s="25">
        <f>ROUND(Inventory[[#This Row],[25Det]]*Inventory[[#This Row],[Det/Nbhd Adj]],-2)</f>
        <v>8400</v>
      </c>
      <c r="BP2133" s="25">
        <f>Inventory[[#This Row],[Adjusted Res]]+Inventory[[#This Row],[Adj Det ]]</f>
        <v>362700</v>
      </c>
      <c r="BQ2133" s="25">
        <f>ROUND((Inventory[[#This Row],[Mdl Land Intercept]]+Inventory[[#This Row],[Mdl LnAcres]])*Inventory[[#This Row],[Det/Nbhd Adj]],-2)</f>
        <v>43700</v>
      </c>
      <c r="BR2133" s="25">
        <f>Inventory[[#This Row],[Adjusted Impr Total]]+Inventory[[#This Row],[Adjusted Land Total]]</f>
        <v>406400</v>
      </c>
      <c r="BS2133" s="36">
        <f>IFERROR((Inventory[[#This Row],[Adjusted Impr Total]]-Inventory[[#This Row],[24Bldg]])/Inventory[[#This Row],[24Bldg]],0)</f>
        <v>0.21021021021021022</v>
      </c>
      <c r="BT2133" s="36">
        <f>(Inventory[[#This Row],[Adjusted Land Total]]-Inventory[[#This Row],[24Lnd]])/Inventory[[#This Row],[24Lnd]]</f>
        <v>-0.33987915407854985</v>
      </c>
      <c r="BU2133" s="36">
        <f>(Inventory[[#This Row],[Adjusted Total]]-Inventory[[#This Row],[24Final]])/Inventory[[#This Row],[24Final]]</f>
        <v>0.11068597977589505</v>
      </c>
    </row>
    <row r="2134" spans="1:73" x14ac:dyDescent="0.3">
      <c r="A2134" s="25">
        <v>2025</v>
      </c>
      <c r="B2134" s="26" t="s">
        <v>1983</v>
      </c>
      <c r="C2134" s="26">
        <f>LN(Inventory[[#This Row],[Acres]])</f>
        <v>-1.8971199848858813</v>
      </c>
      <c r="D2134" s="25">
        <v>0.15</v>
      </c>
      <c r="E2134" s="31"/>
      <c r="F2134" s="26" t="s">
        <v>537</v>
      </c>
      <c r="G2134" s="26" t="s">
        <v>126</v>
      </c>
      <c r="H2134" s="26" t="s">
        <v>349</v>
      </c>
      <c r="I2134" s="26" t="s">
        <v>538</v>
      </c>
      <c r="J2134" s="26" t="s">
        <v>539</v>
      </c>
      <c r="K2134" s="26" t="s">
        <v>242</v>
      </c>
      <c r="L2134" s="26" t="s">
        <v>205</v>
      </c>
      <c r="M2134" s="26" t="s">
        <v>303</v>
      </c>
      <c r="N2134" s="26">
        <v>110</v>
      </c>
      <c r="O2134" s="26">
        <f>2024-Inventory[[#This Row],[YrBlt]]</f>
        <v>104</v>
      </c>
      <c r="P2134" s="26">
        <f>2024-Inventory[[#This Row],[EffYr]]</f>
        <v>58</v>
      </c>
      <c r="Q2134" s="25">
        <v>1920</v>
      </c>
      <c r="R2134" s="25">
        <v>1966</v>
      </c>
      <c r="S2134" s="25">
        <v>988</v>
      </c>
      <c r="T2134" s="27"/>
      <c r="U2134" s="32">
        <v>650</v>
      </c>
      <c r="V2134" s="32">
        <f>Inventory[[#This Row],[Bsmt]]-Inventory[[#This Row],[FnBsmt]]</f>
        <v>650</v>
      </c>
      <c r="W2134" s="27"/>
      <c r="X2134" s="27"/>
      <c r="Y2134" s="27">
        <f>Inventory[[#This Row],[MainFn]]+Inventory[[#This Row],[UpprFn]]+Inventory[[#This Row],[FnBsmt]]+Inventory[[#This Row],[AddFn]]</f>
        <v>988</v>
      </c>
      <c r="Z2134" s="27">
        <v>1000</v>
      </c>
      <c r="AA2134" s="25">
        <v>5</v>
      </c>
      <c r="AB2134" s="31"/>
      <c r="AC2134" s="27"/>
      <c r="AD2134" s="27"/>
      <c r="AE2134" s="27"/>
      <c r="AF2134" s="27"/>
      <c r="AG2134" s="27"/>
      <c r="AH2134" s="27"/>
      <c r="AI2134" s="25">
        <v>179421</v>
      </c>
      <c r="AJ2134" s="25">
        <v>114829</v>
      </c>
      <c r="AK2134" s="25">
        <v>4598</v>
      </c>
      <c r="AL2134" s="25">
        <v>274100</v>
      </c>
      <c r="AM2134" s="25">
        <v>48400</v>
      </c>
      <c r="AN2134" s="25">
        <v>225700</v>
      </c>
      <c r="AO2134" s="25">
        <v>0</v>
      </c>
      <c r="AP2134" s="25">
        <f>Lookups!$B$56*0</f>
        <v>0</v>
      </c>
      <c r="AQ2134" s="25">
        <f>Lookups!$B$56*1</f>
        <v>89850.625589999996</v>
      </c>
      <c r="AR2134" s="25">
        <f>Lookups!$B$57*Inventory[[#This Row],[LnAcres]]</f>
        <v>-60052.604136134301</v>
      </c>
      <c r="AS2134" s="25">
        <f>VLOOKUP(Inventory[[#This Row],[Qlty]],Lookups!$A$62:$E$75,2,FALSE)</f>
        <v>0</v>
      </c>
      <c r="AT2134" s="25">
        <f>VLOOKUP(Inventory[[#This Row],[Cnd]],Lookups!$A$76:$E$84,2,FALSE)</f>
        <v>197752.34721000001</v>
      </c>
      <c r="AU2134" s="25">
        <f>Inventory[[#This Row],[EffAge]]*Lookups!$B$85</f>
        <v>-12936.644829000001</v>
      </c>
      <c r="AV2134" s="25">
        <f>Inventory[[#This Row],[MainFn]]*Lookups!$B$86</f>
        <v>48815.765838476</v>
      </c>
      <c r="AW2134" s="25">
        <f>Inventory[[#This Row],[UpprFn]]*Lookups!$B$87</f>
        <v>0</v>
      </c>
      <c r="AX2134" s="25">
        <f>Inventory[[#This Row],[AddFn]]*Lookups!$B$88</f>
        <v>0</v>
      </c>
      <c r="AY2134" s="25">
        <f>Inventory[[#This Row],[Bsmt]]*Lookups!$B$89</f>
        <v>18903.231910549999</v>
      </c>
      <c r="AZ2134" s="25">
        <f>Inventory[[#This Row],[Fixtures]]*Lookups!$B$90</f>
        <v>18960.110526</v>
      </c>
      <c r="BA2134" s="25">
        <f>Inventory[[#This Row],[WdDeck]]*Lookups!$B$91</f>
        <v>0</v>
      </c>
      <c r="BB2134" s="25">
        <f>ROUND(Inventory[[#This Row],[25Det]],-2)</f>
        <v>4600</v>
      </c>
      <c r="BC2134" s="25">
        <f>ROUND(SUM(Inventory[[#This Row],[Mdl Qlty]:[Mdl WdDeck]])+Inventory[[#This Row],[Mdl Res Intercept]],-2)</f>
        <v>271500</v>
      </c>
      <c r="BD2134" s="25">
        <f>ROUND(Inventory[[#This Row],[Mdl Land Intercept]]+Inventory[[#This Row],[Mdl LnAcres]],-2)</f>
        <v>29800</v>
      </c>
      <c r="BE2134" s="25">
        <f>Inventory[[#This Row],[Unadj Res Value]]+Inventory[[#This Row],[Unadj Det Value]]+Inventory[[#This Row],[Unadj Land Value]]</f>
        <v>305900</v>
      </c>
      <c r="BF2134" s="36">
        <f>(Inventory[[#This Row],[Unadj Total Value]]-Inventory[[#This Row],[24Final]])/Inventory[[#This Row],[24Final]]</f>
        <v>0.11601605253557096</v>
      </c>
      <c r="BG2134" s="25">
        <f>VLOOKUP(Inventory[[#This Row],[Nbhd]],Lookups!$Q$2:$T$4,4,FALSE)</f>
        <v>0.99970000000000003</v>
      </c>
      <c r="BH2134" s="25">
        <f>VLOOKUP(Inventory[[#This Row],[Qlty]],Lookups!$O$7:$R$21,4,FALSE)</f>
        <v>0.99180000000000001</v>
      </c>
      <c r="BI2134" s="25">
        <f>VLOOKUP(Inventory[[#This Row],[Cnd]],Lookups!$T$7:$W$16,4,FALSE)</f>
        <v>0.99650000000000005</v>
      </c>
      <c r="BJ2134" s="25">
        <f>VLOOKUP(Inventory[[#This Row],[LivArea Range]],Lookups!$T$25:$W$37,4,FALSE)</f>
        <v>1.0148999999999999</v>
      </c>
      <c r="BK2134" s="25">
        <f>VLOOKUP(Inventory[[#This Row],[Decade]],Lookups!$O$25:$R$42,4,FALSE)</f>
        <v>0.96040000000000003</v>
      </c>
      <c r="BL2134" s="25">
        <f>Inventory[[#This Row],[Nbhd Adj]]*0.95</f>
        <v>0.94971499999999998</v>
      </c>
      <c r="BM2134" s="25">
        <f>Inventory[[#This Row],[Nbhd Adj]]*Inventory[[#This Row],[Quality Adj]]*Inventory[[#This Row],[Condition Adj]]*Inventory[[#This Row],[Living Area Adj]]*Inventory[[#This Row],[Decade Adj]]*0.95</f>
        <v>0.91489258612078095</v>
      </c>
      <c r="BN2134" s="25">
        <f>ROUND(SUM(Inventory[[#This Row],[Mdl Qlty]:[Mdl WdDeck]])+Inventory[[#This Row],[Mdl Res Intercept]]*Inventory[[#This Row],[Res Adj ]],-2)</f>
        <v>271500</v>
      </c>
      <c r="BO2134" s="25">
        <f>ROUND(Inventory[[#This Row],[25Det]]*Inventory[[#This Row],[Det/Nbhd Adj]],-2)</f>
        <v>4400</v>
      </c>
      <c r="BP2134" s="25">
        <f>Inventory[[#This Row],[Adjusted Res]]+Inventory[[#This Row],[Adj Det ]]</f>
        <v>275900</v>
      </c>
      <c r="BQ2134" s="25">
        <f>ROUND((Inventory[[#This Row],[Mdl Land Intercept]]+Inventory[[#This Row],[Mdl LnAcres]])*Inventory[[#This Row],[Det/Nbhd Adj]],-2)</f>
        <v>28300</v>
      </c>
      <c r="BR2134" s="25">
        <f>Inventory[[#This Row],[Adjusted Impr Total]]+Inventory[[#This Row],[Adjusted Land Total]]</f>
        <v>304200</v>
      </c>
      <c r="BS2134" s="36">
        <f>IFERROR((Inventory[[#This Row],[Adjusted Impr Total]]-Inventory[[#This Row],[24Bldg]])/Inventory[[#This Row],[24Bldg]],0)</f>
        <v>0.22241914045192734</v>
      </c>
      <c r="BT2134" s="36">
        <f>(Inventory[[#This Row],[Adjusted Land Total]]-Inventory[[#This Row],[24Lnd]])/Inventory[[#This Row],[24Lnd]]</f>
        <v>-0.41528925619834711</v>
      </c>
      <c r="BU2134" s="36">
        <f>(Inventory[[#This Row],[Adjusted Total]]-Inventory[[#This Row],[24Final]])/Inventory[[#This Row],[24Final]]</f>
        <v>0.10981393651951843</v>
      </c>
    </row>
    <row r="2135" spans="1:73" x14ac:dyDescent="0.3">
      <c r="A2135" s="25">
        <v>2025</v>
      </c>
      <c r="B2135" s="26" t="s">
        <v>2417</v>
      </c>
      <c r="C2135" s="26">
        <f>LN(Inventory[[#This Row],[Acres]])</f>
        <v>-1.8325814637483102</v>
      </c>
      <c r="D2135" s="25">
        <v>0.16</v>
      </c>
      <c r="E2135" s="27"/>
      <c r="F2135" s="26" t="s">
        <v>537</v>
      </c>
      <c r="G2135" s="26" t="s">
        <v>126</v>
      </c>
      <c r="H2135" s="26" t="s">
        <v>349</v>
      </c>
      <c r="I2135" s="26" t="s">
        <v>538</v>
      </c>
      <c r="J2135" s="26" t="s">
        <v>539</v>
      </c>
      <c r="K2135" s="26" t="s">
        <v>269</v>
      </c>
      <c r="L2135" s="26" t="s">
        <v>351</v>
      </c>
      <c r="M2135" s="26" t="s">
        <v>303</v>
      </c>
      <c r="N2135" s="26">
        <v>110</v>
      </c>
      <c r="O2135" s="26">
        <f>2024-Inventory[[#This Row],[YrBlt]]</f>
        <v>104</v>
      </c>
      <c r="P2135" s="26">
        <f>2024-Inventory[[#This Row],[EffYr]]</f>
        <v>58</v>
      </c>
      <c r="Q2135" s="25">
        <v>1920</v>
      </c>
      <c r="R2135" s="25">
        <v>1966</v>
      </c>
      <c r="S2135" s="25">
        <v>1280</v>
      </c>
      <c r="T2135" s="27"/>
      <c r="U2135" s="32">
        <v>864</v>
      </c>
      <c r="V2135" s="32">
        <f>Inventory[[#This Row],[Bsmt]]-Inventory[[#This Row],[FnBsmt]]</f>
        <v>864</v>
      </c>
      <c r="W2135" s="27"/>
      <c r="X2135" s="27"/>
      <c r="Y2135" s="27">
        <f>Inventory[[#This Row],[MainFn]]+Inventory[[#This Row],[UpprFn]]+Inventory[[#This Row],[FnBsmt]]+Inventory[[#This Row],[AddFn]]</f>
        <v>1280</v>
      </c>
      <c r="Z2135" s="27">
        <v>1500</v>
      </c>
      <c r="AA2135" s="25">
        <v>5</v>
      </c>
      <c r="AB2135" s="31"/>
      <c r="AC2135" s="27"/>
      <c r="AD2135" s="27"/>
      <c r="AE2135" s="27"/>
      <c r="AF2135" s="27"/>
      <c r="AG2135" s="27"/>
      <c r="AH2135" s="27"/>
      <c r="AI2135" s="25">
        <v>248657</v>
      </c>
      <c r="AJ2135" s="25">
        <v>159140</v>
      </c>
      <c r="AK2135" s="25">
        <v>32609</v>
      </c>
      <c r="AL2135" s="25">
        <v>339900</v>
      </c>
      <c r="AM2135" s="25">
        <v>50600</v>
      </c>
      <c r="AN2135" s="25">
        <v>289300</v>
      </c>
      <c r="AO2135" s="25">
        <v>0</v>
      </c>
      <c r="AP2135" s="25">
        <f>Lookups!$B$56*0</f>
        <v>0</v>
      </c>
      <c r="AQ2135" s="25">
        <f>Lookups!$B$56*1</f>
        <v>89850.625589999996</v>
      </c>
      <c r="AR2135" s="25">
        <f>Lookups!$B$57*Inventory[[#This Row],[LnAcres]]</f>
        <v>-58009.662049032086</v>
      </c>
      <c r="AS2135" s="25">
        <f>VLOOKUP(Inventory[[#This Row],[Qlty]],Lookups!$A$62:$E$75,2,FALSE)</f>
        <v>21557.329055999999</v>
      </c>
      <c r="AT2135" s="25">
        <f>VLOOKUP(Inventory[[#This Row],[Cnd]],Lookups!$A$76:$E$84,2,FALSE)</f>
        <v>197752.34721000001</v>
      </c>
      <c r="AU2135" s="25">
        <f>Inventory[[#This Row],[EffAge]]*Lookups!$B$85</f>
        <v>-12936.644829000001</v>
      </c>
      <c r="AV2135" s="25">
        <f>Inventory[[#This Row],[MainFn]]*Lookups!$B$86</f>
        <v>63243.09744256</v>
      </c>
      <c r="AW2135" s="25">
        <f>Inventory[[#This Row],[UpprFn]]*Lookups!$B$87</f>
        <v>0</v>
      </c>
      <c r="AX2135" s="25">
        <f>Inventory[[#This Row],[AddFn]]*Lookups!$B$88</f>
        <v>0</v>
      </c>
      <c r="AY2135" s="25">
        <f>Inventory[[#This Row],[Bsmt]]*Lookups!$B$89</f>
        <v>25126.757493408</v>
      </c>
      <c r="AZ2135" s="25">
        <f>Inventory[[#This Row],[Fixtures]]*Lookups!$B$90</f>
        <v>18960.110526</v>
      </c>
      <c r="BA2135" s="25">
        <f>Inventory[[#This Row],[WdDeck]]*Lookups!$B$91</f>
        <v>0</v>
      </c>
      <c r="BB2135" s="25">
        <f>ROUND(Inventory[[#This Row],[25Det]],-2)</f>
        <v>32600</v>
      </c>
      <c r="BC2135" s="25">
        <f>ROUND(SUM(Inventory[[#This Row],[Mdl Qlty]:[Mdl WdDeck]])+Inventory[[#This Row],[Mdl Res Intercept]],-2)</f>
        <v>313700</v>
      </c>
      <c r="BD2135" s="25">
        <f>ROUND(Inventory[[#This Row],[Mdl Land Intercept]]+Inventory[[#This Row],[Mdl LnAcres]],-2)</f>
        <v>31800</v>
      </c>
      <c r="BE2135" s="25">
        <f>Inventory[[#This Row],[Unadj Res Value]]+Inventory[[#This Row],[Unadj Det Value]]+Inventory[[#This Row],[Unadj Land Value]]</f>
        <v>378100</v>
      </c>
      <c r="BF2135" s="36">
        <f>(Inventory[[#This Row],[Unadj Total Value]]-Inventory[[#This Row],[24Final]])/Inventory[[#This Row],[24Final]]</f>
        <v>0.11238599588114151</v>
      </c>
      <c r="BG2135" s="25">
        <f>VLOOKUP(Inventory[[#This Row],[Nbhd]],Lookups!$Q$2:$T$4,4,FALSE)</f>
        <v>0.99970000000000003</v>
      </c>
      <c r="BH2135" s="25">
        <f>VLOOKUP(Inventory[[#This Row],[Qlty]],Lookups!$O$7:$R$21,4,FALSE)</f>
        <v>1.0067999999999999</v>
      </c>
      <c r="BI2135" s="25">
        <f>VLOOKUP(Inventory[[#This Row],[Cnd]],Lookups!$T$7:$W$16,4,FALSE)</f>
        <v>0.99650000000000005</v>
      </c>
      <c r="BJ2135" s="25">
        <f>VLOOKUP(Inventory[[#This Row],[LivArea Range]],Lookups!$T$25:$W$37,4,FALSE)</f>
        <v>1.0157</v>
      </c>
      <c r="BK2135" s="25">
        <f>VLOOKUP(Inventory[[#This Row],[Decade]],Lookups!$O$25:$R$42,4,FALSE)</f>
        <v>0.96040000000000003</v>
      </c>
      <c r="BL2135" s="25">
        <f>Inventory[[#This Row],[Nbhd Adj]]*0.95</f>
        <v>0.94971499999999998</v>
      </c>
      <c r="BM2135" s="25">
        <f>Inventory[[#This Row],[Nbhd Adj]]*Inventory[[#This Row],[Quality Adj]]*Inventory[[#This Row],[Condition Adj]]*Inventory[[#This Row],[Living Area Adj]]*Inventory[[#This Row],[Decade Adj]]*0.95</f>
        <v>0.92946151271343602</v>
      </c>
      <c r="BN2135" s="25">
        <f>ROUND(SUM(Inventory[[#This Row],[Mdl Qlty]:[Mdl WdDeck]])+Inventory[[#This Row],[Mdl Res Intercept]]*Inventory[[#This Row],[Res Adj ]],-2)</f>
        <v>313700</v>
      </c>
      <c r="BO2135" s="25">
        <f>ROUND(Inventory[[#This Row],[25Det]]*Inventory[[#This Row],[Det/Nbhd Adj]],-2)</f>
        <v>31000</v>
      </c>
      <c r="BP2135" s="25">
        <f>Inventory[[#This Row],[Adjusted Res]]+Inventory[[#This Row],[Adj Det ]]</f>
        <v>344700</v>
      </c>
      <c r="BQ2135" s="25">
        <f>ROUND((Inventory[[#This Row],[Mdl Land Intercept]]+Inventory[[#This Row],[Mdl LnAcres]])*Inventory[[#This Row],[Det/Nbhd Adj]],-2)</f>
        <v>30200</v>
      </c>
      <c r="BR2135" s="25">
        <f>Inventory[[#This Row],[Adjusted Impr Total]]+Inventory[[#This Row],[Adjusted Land Total]]</f>
        <v>374900</v>
      </c>
      <c r="BS2135" s="36">
        <f>IFERROR((Inventory[[#This Row],[Adjusted Impr Total]]-Inventory[[#This Row],[24Bldg]])/Inventory[[#This Row],[24Bldg]],0)</f>
        <v>0.1914967162115451</v>
      </c>
      <c r="BT2135" s="36">
        <f>(Inventory[[#This Row],[Adjusted Land Total]]-Inventory[[#This Row],[24Lnd]])/Inventory[[#This Row],[24Lnd]]</f>
        <v>-0.40316205533596838</v>
      </c>
      <c r="BU2135" s="36">
        <f>(Inventory[[#This Row],[Adjusted Total]]-Inventory[[#This Row],[24Final]])/Inventory[[#This Row],[24Final]]</f>
        <v>0.10297146219476316</v>
      </c>
    </row>
    <row r="2136" spans="1:73" x14ac:dyDescent="0.3">
      <c r="A2136" s="25">
        <v>2025</v>
      </c>
      <c r="B2136" s="26" t="s">
        <v>2730</v>
      </c>
      <c r="C2136" s="26">
        <f>LN(Inventory[[#This Row],[Acres]])</f>
        <v>-1.5141277326297755</v>
      </c>
      <c r="D2136" s="25">
        <v>0.22</v>
      </c>
      <c r="E2136" s="25">
        <v>9741</v>
      </c>
      <c r="F2136" s="26" t="s">
        <v>537</v>
      </c>
      <c r="G2136" s="26" t="s">
        <v>126</v>
      </c>
      <c r="H2136" s="26" t="s">
        <v>349</v>
      </c>
      <c r="I2136" s="26" t="s">
        <v>538</v>
      </c>
      <c r="J2136" s="26" t="s">
        <v>539</v>
      </c>
      <c r="K2136" s="26" t="s">
        <v>269</v>
      </c>
      <c r="L2136" s="26" t="s">
        <v>351</v>
      </c>
      <c r="M2136" s="26" t="s">
        <v>303</v>
      </c>
      <c r="N2136" s="26">
        <v>110</v>
      </c>
      <c r="O2136" s="26">
        <f>2024-Inventory[[#This Row],[YrBlt]]</f>
        <v>104</v>
      </c>
      <c r="P2136" s="26">
        <f>2024-Inventory[[#This Row],[EffYr]]</f>
        <v>58</v>
      </c>
      <c r="Q2136" s="25">
        <v>1920</v>
      </c>
      <c r="R2136" s="25">
        <v>1966</v>
      </c>
      <c r="S2136" s="25">
        <v>1192</v>
      </c>
      <c r="T2136" s="27"/>
      <c r="U2136" s="32">
        <v>895</v>
      </c>
      <c r="V2136" s="32">
        <f>Inventory[[#This Row],[Bsmt]]-Inventory[[#This Row],[FnBsmt]]</f>
        <v>895</v>
      </c>
      <c r="W2136" s="27"/>
      <c r="X2136" s="27"/>
      <c r="Y2136" s="27">
        <f>Inventory[[#This Row],[MainFn]]+Inventory[[#This Row],[UpprFn]]+Inventory[[#This Row],[FnBsmt]]+Inventory[[#This Row],[AddFn]]</f>
        <v>1192</v>
      </c>
      <c r="Z2136" s="27">
        <v>1500</v>
      </c>
      <c r="AA2136" s="25">
        <v>6</v>
      </c>
      <c r="AB2136" s="31"/>
      <c r="AC2136" s="27"/>
      <c r="AD2136" s="27"/>
      <c r="AE2136" s="27"/>
      <c r="AF2136" s="27"/>
      <c r="AG2136" s="27"/>
      <c r="AH2136" s="27"/>
      <c r="AI2136" s="25">
        <v>241809</v>
      </c>
      <c r="AJ2136" s="25">
        <v>154758</v>
      </c>
      <c r="AK2136" s="25">
        <v>6724</v>
      </c>
      <c r="AL2136" s="25">
        <v>328200</v>
      </c>
      <c r="AM2136" s="25">
        <v>61700</v>
      </c>
      <c r="AN2136" s="25">
        <v>266500</v>
      </c>
      <c r="AO2136" s="25">
        <v>0</v>
      </c>
      <c r="AP2136" s="25">
        <f>Lookups!$B$56*0</f>
        <v>0</v>
      </c>
      <c r="AQ2136" s="25">
        <f>Lookups!$B$56*1</f>
        <v>89850.625589999996</v>
      </c>
      <c r="AR2136" s="25">
        <f>Lookups!$B$57*Inventory[[#This Row],[LnAcres]]</f>
        <v>-47929.131559187132</v>
      </c>
      <c r="AS2136" s="25">
        <f>VLOOKUP(Inventory[[#This Row],[Qlty]],Lookups!$A$62:$E$75,2,FALSE)</f>
        <v>21557.329055999999</v>
      </c>
      <c r="AT2136" s="25">
        <f>VLOOKUP(Inventory[[#This Row],[Cnd]],Lookups!$A$76:$E$84,2,FALSE)</f>
        <v>197752.34721000001</v>
      </c>
      <c r="AU2136" s="25">
        <f>Inventory[[#This Row],[EffAge]]*Lookups!$B$85</f>
        <v>-12936.644829000001</v>
      </c>
      <c r="AV2136" s="25">
        <f>Inventory[[#This Row],[MainFn]]*Lookups!$B$86</f>
        <v>58895.134493384001</v>
      </c>
      <c r="AW2136" s="25">
        <f>Inventory[[#This Row],[UpprFn]]*Lookups!$B$87</f>
        <v>0</v>
      </c>
      <c r="AX2136" s="25">
        <f>Inventory[[#This Row],[AddFn]]*Lookups!$B$88</f>
        <v>0</v>
      </c>
      <c r="AY2136" s="25">
        <f>Inventory[[#This Row],[Bsmt]]*Lookups!$B$89</f>
        <v>26028.296246064998</v>
      </c>
      <c r="AZ2136" s="25">
        <f>Inventory[[#This Row],[Fixtures]]*Lookups!$B$90</f>
        <v>22752.132631200002</v>
      </c>
      <c r="BA2136" s="25">
        <f>Inventory[[#This Row],[WdDeck]]*Lookups!$B$91</f>
        <v>0</v>
      </c>
      <c r="BB2136" s="25">
        <f>ROUND(Inventory[[#This Row],[25Det]],-2)</f>
        <v>6700</v>
      </c>
      <c r="BC2136" s="25">
        <f>ROUND(SUM(Inventory[[#This Row],[Mdl Qlty]:[Mdl WdDeck]])+Inventory[[#This Row],[Mdl Res Intercept]],-2)</f>
        <v>314000</v>
      </c>
      <c r="BD2136" s="25">
        <f>ROUND(Inventory[[#This Row],[Mdl Land Intercept]]+Inventory[[#This Row],[Mdl LnAcres]],-2)</f>
        <v>41900</v>
      </c>
      <c r="BE2136" s="25">
        <f>Inventory[[#This Row],[Unadj Res Value]]+Inventory[[#This Row],[Unadj Det Value]]+Inventory[[#This Row],[Unadj Land Value]]</f>
        <v>362600</v>
      </c>
      <c r="BF2136" s="36">
        <f>(Inventory[[#This Row],[Unadj Total Value]]-Inventory[[#This Row],[24Final]])/Inventory[[#This Row],[24Final]]</f>
        <v>0.1048141377209019</v>
      </c>
      <c r="BG2136" s="25">
        <f>VLOOKUP(Inventory[[#This Row],[Nbhd]],Lookups!$Q$2:$T$4,4,FALSE)</f>
        <v>0.99970000000000003</v>
      </c>
      <c r="BH2136" s="25">
        <f>VLOOKUP(Inventory[[#This Row],[Qlty]],Lookups!$O$7:$R$21,4,FALSE)</f>
        <v>1.0067999999999999</v>
      </c>
      <c r="BI2136" s="25">
        <f>VLOOKUP(Inventory[[#This Row],[Cnd]],Lookups!$T$7:$W$16,4,FALSE)</f>
        <v>0.99650000000000005</v>
      </c>
      <c r="BJ2136" s="25">
        <f>VLOOKUP(Inventory[[#This Row],[LivArea Range]],Lookups!$T$25:$W$37,4,FALSE)</f>
        <v>1.0157</v>
      </c>
      <c r="BK2136" s="25">
        <f>VLOOKUP(Inventory[[#This Row],[Decade]],Lookups!$O$25:$R$42,4,FALSE)</f>
        <v>0.96040000000000003</v>
      </c>
      <c r="BL2136" s="25">
        <f>Inventory[[#This Row],[Nbhd Adj]]*0.95</f>
        <v>0.94971499999999998</v>
      </c>
      <c r="BM2136" s="25">
        <f>Inventory[[#This Row],[Nbhd Adj]]*Inventory[[#This Row],[Quality Adj]]*Inventory[[#This Row],[Condition Adj]]*Inventory[[#This Row],[Living Area Adj]]*Inventory[[#This Row],[Decade Adj]]*0.95</f>
        <v>0.92946151271343602</v>
      </c>
      <c r="BN2136" s="25">
        <f>ROUND(SUM(Inventory[[#This Row],[Mdl Qlty]:[Mdl WdDeck]])+Inventory[[#This Row],[Mdl Res Intercept]]*Inventory[[#This Row],[Res Adj ]],-2)</f>
        <v>314000</v>
      </c>
      <c r="BO2136" s="25">
        <f>ROUND(Inventory[[#This Row],[25Det]]*Inventory[[#This Row],[Det/Nbhd Adj]],-2)</f>
        <v>6400</v>
      </c>
      <c r="BP2136" s="25">
        <f>Inventory[[#This Row],[Adjusted Res]]+Inventory[[#This Row],[Adj Det ]]</f>
        <v>320400</v>
      </c>
      <c r="BQ2136" s="25">
        <f>ROUND((Inventory[[#This Row],[Mdl Land Intercept]]+Inventory[[#This Row],[Mdl LnAcres]])*Inventory[[#This Row],[Det/Nbhd Adj]],-2)</f>
        <v>39800</v>
      </c>
      <c r="BR2136" s="25">
        <f>Inventory[[#This Row],[Adjusted Impr Total]]+Inventory[[#This Row],[Adjusted Land Total]]</f>
        <v>360200</v>
      </c>
      <c r="BS2136" s="36">
        <f>IFERROR((Inventory[[#This Row],[Adjusted Impr Total]]-Inventory[[#This Row],[24Bldg]])/Inventory[[#This Row],[24Bldg]],0)</f>
        <v>0.20225140712945591</v>
      </c>
      <c r="BT2136" s="36">
        <f>(Inventory[[#This Row],[Adjusted Land Total]]-Inventory[[#This Row],[24Lnd]])/Inventory[[#This Row],[24Lnd]]</f>
        <v>-0.35494327390599678</v>
      </c>
      <c r="BU2136" s="36">
        <f>(Inventory[[#This Row],[Adjusted Total]]-Inventory[[#This Row],[24Final]])/Inventory[[#This Row],[24Final]]</f>
        <v>9.7501523461304085E-2</v>
      </c>
    </row>
    <row r="2137" spans="1:73" x14ac:dyDescent="0.3">
      <c r="A2137" s="25">
        <v>2025</v>
      </c>
      <c r="B2137" s="26" t="s">
        <v>2073</v>
      </c>
      <c r="C2137" s="26">
        <f>LN(Inventory[[#This Row],[Acres]])</f>
        <v>-1.8971199848858813</v>
      </c>
      <c r="D2137" s="25">
        <v>0.15</v>
      </c>
      <c r="E2137" s="27"/>
      <c r="F2137" s="26" t="s">
        <v>537</v>
      </c>
      <c r="G2137" s="26" t="s">
        <v>126</v>
      </c>
      <c r="H2137" s="26" t="s">
        <v>349</v>
      </c>
      <c r="I2137" s="26" t="s">
        <v>538</v>
      </c>
      <c r="J2137" s="26" t="s">
        <v>539</v>
      </c>
      <c r="K2137" s="26" t="s">
        <v>242</v>
      </c>
      <c r="L2137" s="26" t="s">
        <v>351</v>
      </c>
      <c r="M2137" s="26" t="s">
        <v>323</v>
      </c>
      <c r="N2137" s="26">
        <v>110</v>
      </c>
      <c r="O2137" s="26">
        <f>2024-Inventory[[#This Row],[YrBlt]]</f>
        <v>104</v>
      </c>
      <c r="P2137" s="26">
        <f>2024-Inventory[[#This Row],[EffYr]]</f>
        <v>58</v>
      </c>
      <c r="Q2137" s="25">
        <v>1920</v>
      </c>
      <c r="R2137" s="25">
        <v>1966</v>
      </c>
      <c r="S2137" s="25">
        <v>1494</v>
      </c>
      <c r="T2137" s="27"/>
      <c r="U2137" s="32">
        <v>1080</v>
      </c>
      <c r="V2137" s="32">
        <f>Inventory[[#This Row],[Bsmt]]-Inventory[[#This Row],[FnBsmt]]</f>
        <v>1080</v>
      </c>
      <c r="W2137" s="27"/>
      <c r="X2137" s="27"/>
      <c r="Y2137" s="27">
        <f>Inventory[[#This Row],[MainFn]]+Inventory[[#This Row],[UpprFn]]+Inventory[[#This Row],[FnBsmt]]+Inventory[[#This Row],[AddFn]]</f>
        <v>1494</v>
      </c>
      <c r="Z2137" s="27">
        <v>1500</v>
      </c>
      <c r="AA2137" s="25">
        <v>5</v>
      </c>
      <c r="AB2137" s="27"/>
      <c r="AC2137" s="27"/>
      <c r="AD2137" s="27"/>
      <c r="AE2137" s="27"/>
      <c r="AF2137" s="27"/>
      <c r="AG2137" s="27"/>
      <c r="AH2137" s="27"/>
      <c r="AI2137" s="25">
        <v>265886</v>
      </c>
      <c r="AJ2137" s="25">
        <v>164849</v>
      </c>
      <c r="AK2137" s="25">
        <v>6957</v>
      </c>
      <c r="AL2137" s="25">
        <v>300400</v>
      </c>
      <c r="AM2137" s="25">
        <v>48400</v>
      </c>
      <c r="AN2137" s="25">
        <v>252000</v>
      </c>
      <c r="AO2137" s="25">
        <v>0</v>
      </c>
      <c r="AP2137" s="25">
        <f>Lookups!$B$56*0</f>
        <v>0</v>
      </c>
      <c r="AQ2137" s="25">
        <f>Lookups!$B$56*1</f>
        <v>89850.625589999996</v>
      </c>
      <c r="AR2137" s="25">
        <f>Lookups!$B$57*Inventory[[#This Row],[LnAcres]]</f>
        <v>-60052.604136134301</v>
      </c>
      <c r="AS2137" s="25">
        <f>VLOOKUP(Inventory[[#This Row],[Qlty]],Lookups!$A$62:$E$75,2,FALSE)</f>
        <v>21557.329055999999</v>
      </c>
      <c r="AT2137" s="25">
        <f>VLOOKUP(Inventory[[#This Row],[Cnd]],Lookups!$A$76:$E$84,2,FALSE)</f>
        <v>160472.20319</v>
      </c>
      <c r="AU2137" s="25">
        <f>Inventory[[#This Row],[EffAge]]*Lookups!$B$85</f>
        <v>-12936.644829000001</v>
      </c>
      <c r="AV2137" s="25">
        <f>Inventory[[#This Row],[MainFn]]*Lookups!$B$86</f>
        <v>73816.552796238</v>
      </c>
      <c r="AW2137" s="25">
        <f>Inventory[[#This Row],[UpprFn]]*Lookups!$B$87</f>
        <v>0</v>
      </c>
      <c r="AX2137" s="25">
        <f>Inventory[[#This Row],[AddFn]]*Lookups!$B$88</f>
        <v>0</v>
      </c>
      <c r="AY2137" s="25">
        <f>Inventory[[#This Row],[Bsmt]]*Lookups!$B$89</f>
        <v>31408.446866759998</v>
      </c>
      <c r="AZ2137" s="25">
        <f>Inventory[[#This Row],[Fixtures]]*Lookups!$B$90</f>
        <v>18960.110526</v>
      </c>
      <c r="BA2137" s="25">
        <f>Inventory[[#This Row],[WdDeck]]*Lookups!$B$91</f>
        <v>0</v>
      </c>
      <c r="BB2137" s="25">
        <f>ROUND(Inventory[[#This Row],[25Det]],-2)</f>
        <v>7000</v>
      </c>
      <c r="BC2137" s="25">
        <f>ROUND(SUM(Inventory[[#This Row],[Mdl Qlty]:[Mdl WdDeck]])+Inventory[[#This Row],[Mdl Res Intercept]],-2)</f>
        <v>293300</v>
      </c>
      <c r="BD2137" s="25">
        <f>ROUND(Inventory[[#This Row],[Mdl Land Intercept]]+Inventory[[#This Row],[Mdl LnAcres]],-2)</f>
        <v>29800</v>
      </c>
      <c r="BE2137" s="25">
        <f>Inventory[[#This Row],[Unadj Res Value]]+Inventory[[#This Row],[Unadj Det Value]]+Inventory[[#This Row],[Unadj Land Value]]</f>
        <v>330100</v>
      </c>
      <c r="BF2137" s="36">
        <f>(Inventory[[#This Row],[Unadj Total Value]]-Inventory[[#This Row],[24Final]])/Inventory[[#This Row],[24Final]]</f>
        <v>9.8868175765645799E-2</v>
      </c>
      <c r="BG2137" s="25">
        <f>VLOOKUP(Inventory[[#This Row],[Nbhd]],Lookups!$Q$2:$T$4,4,FALSE)</f>
        <v>0.99970000000000003</v>
      </c>
      <c r="BH2137" s="25">
        <f>VLOOKUP(Inventory[[#This Row],[Qlty]],Lookups!$O$7:$R$21,4,FALSE)</f>
        <v>1.0067999999999999</v>
      </c>
      <c r="BI2137" s="25">
        <f>VLOOKUP(Inventory[[#This Row],[Cnd]],Lookups!$T$7:$W$16,4,FALSE)</f>
        <v>0.99729999999999996</v>
      </c>
      <c r="BJ2137" s="25">
        <f>VLOOKUP(Inventory[[#This Row],[LivArea Range]],Lookups!$T$25:$W$37,4,FALSE)</f>
        <v>1.0157</v>
      </c>
      <c r="BK2137" s="25">
        <f>VLOOKUP(Inventory[[#This Row],[Decade]],Lookups!$O$25:$R$42,4,FALSE)</f>
        <v>0.96040000000000003</v>
      </c>
      <c r="BL2137" s="25">
        <f>Inventory[[#This Row],[Nbhd Adj]]*0.95</f>
        <v>0.94971499999999998</v>
      </c>
      <c r="BM2137" s="25">
        <f>Inventory[[#This Row],[Nbhd Adj]]*Inventory[[#This Row],[Quality Adj]]*Inventory[[#This Row],[Condition Adj]]*Inventory[[#This Row],[Living Area Adj]]*Inventory[[#This Row],[Decade Adj]]*0.95</f>
        <v>0.93020769355655764</v>
      </c>
      <c r="BN2137" s="25">
        <f>ROUND(SUM(Inventory[[#This Row],[Mdl Qlty]:[Mdl WdDeck]])+Inventory[[#This Row],[Mdl Res Intercept]]*Inventory[[#This Row],[Res Adj ]],-2)</f>
        <v>293300</v>
      </c>
      <c r="BO2137" s="25">
        <f>ROUND(Inventory[[#This Row],[25Det]]*Inventory[[#This Row],[Det/Nbhd Adj]],-2)</f>
        <v>6600</v>
      </c>
      <c r="BP2137" s="25">
        <f>Inventory[[#This Row],[Adjusted Res]]+Inventory[[#This Row],[Adj Det ]]</f>
        <v>299900</v>
      </c>
      <c r="BQ2137" s="25">
        <f>ROUND((Inventory[[#This Row],[Mdl Land Intercept]]+Inventory[[#This Row],[Mdl LnAcres]])*Inventory[[#This Row],[Det/Nbhd Adj]],-2)</f>
        <v>28300</v>
      </c>
      <c r="BR2137" s="25">
        <f>Inventory[[#This Row],[Adjusted Impr Total]]+Inventory[[#This Row],[Adjusted Land Total]]</f>
        <v>328200</v>
      </c>
      <c r="BS2137" s="36">
        <f>IFERROR((Inventory[[#This Row],[Adjusted Impr Total]]-Inventory[[#This Row],[24Bldg]])/Inventory[[#This Row],[24Bldg]],0)</f>
        <v>0.19007936507936507</v>
      </c>
      <c r="BT2137" s="36">
        <f>(Inventory[[#This Row],[Adjusted Land Total]]-Inventory[[#This Row],[24Lnd]])/Inventory[[#This Row],[24Lnd]]</f>
        <v>-0.41528925619834711</v>
      </c>
      <c r="BU2137" s="36">
        <f>(Inventory[[#This Row],[Adjusted Total]]-Inventory[[#This Row],[24Final]])/Inventory[[#This Row],[24Final]]</f>
        <v>9.2543275632490013E-2</v>
      </c>
    </row>
    <row r="2138" spans="1:73" x14ac:dyDescent="0.3">
      <c r="A2138" s="25">
        <v>2025</v>
      </c>
      <c r="B2138" s="26" t="s">
        <v>1100</v>
      </c>
      <c r="C2138" s="26">
        <f>LN(Inventory[[#This Row],[Acres]])</f>
        <v>-1.6094379124341003</v>
      </c>
      <c r="D2138" s="25">
        <v>0.2</v>
      </c>
      <c r="E2138" s="31"/>
      <c r="F2138" s="26" t="s">
        <v>537</v>
      </c>
      <c r="G2138" s="26" t="s">
        <v>126</v>
      </c>
      <c r="H2138" s="26" t="s">
        <v>349</v>
      </c>
      <c r="I2138" s="26" t="s">
        <v>538</v>
      </c>
      <c r="J2138" s="26" t="s">
        <v>539</v>
      </c>
      <c r="K2138" s="26" t="s">
        <v>269</v>
      </c>
      <c r="L2138" s="26" t="s">
        <v>351</v>
      </c>
      <c r="M2138" s="26" t="s">
        <v>303</v>
      </c>
      <c r="N2138" s="26">
        <v>110</v>
      </c>
      <c r="O2138" s="26">
        <f>2024-Inventory[[#This Row],[YrBlt]]</f>
        <v>104</v>
      </c>
      <c r="P2138" s="26">
        <f>2024-Inventory[[#This Row],[EffYr]]</f>
        <v>58</v>
      </c>
      <c r="Q2138" s="25">
        <v>1920</v>
      </c>
      <c r="R2138" s="25">
        <v>1966</v>
      </c>
      <c r="S2138" s="25">
        <v>1102</v>
      </c>
      <c r="T2138" s="31"/>
      <c r="U2138" s="25">
        <v>1102</v>
      </c>
      <c r="V2138" s="25">
        <f>Inventory[[#This Row],[Bsmt]]-Inventory[[#This Row],[FnBsmt]]</f>
        <v>902</v>
      </c>
      <c r="W2138" s="25">
        <v>200</v>
      </c>
      <c r="X2138" s="27"/>
      <c r="Y2138" s="27">
        <f>Inventory[[#This Row],[MainFn]]+Inventory[[#This Row],[UpprFn]]+Inventory[[#This Row],[FnBsmt]]+Inventory[[#This Row],[AddFn]]</f>
        <v>1302</v>
      </c>
      <c r="Z2138" s="27">
        <v>1500</v>
      </c>
      <c r="AA2138" s="25">
        <v>8</v>
      </c>
      <c r="AB2138" s="27"/>
      <c r="AC2138" s="27"/>
      <c r="AD2138" s="27"/>
      <c r="AE2138" s="27"/>
      <c r="AF2138" s="27"/>
      <c r="AG2138" s="27"/>
      <c r="AH2138" s="27"/>
      <c r="AI2138" s="25">
        <v>247852</v>
      </c>
      <c r="AJ2138" s="25">
        <v>158625</v>
      </c>
      <c r="AK2138" s="25">
        <v>3195</v>
      </c>
      <c r="AL2138" s="25">
        <v>332800</v>
      </c>
      <c r="AM2138" s="25">
        <v>58400</v>
      </c>
      <c r="AN2138" s="25">
        <v>274400</v>
      </c>
      <c r="AO2138" s="25">
        <v>0</v>
      </c>
      <c r="AP2138" s="25">
        <f>Lookups!$B$56*0</f>
        <v>0</v>
      </c>
      <c r="AQ2138" s="25">
        <f>Lookups!$B$56*1</f>
        <v>89850.625589999996</v>
      </c>
      <c r="AR2138" s="25">
        <f>Lookups!$B$57*Inventory[[#This Row],[LnAcres]]</f>
        <v>-50946.13867709865</v>
      </c>
      <c r="AS2138" s="25">
        <f>VLOOKUP(Inventory[[#This Row],[Qlty]],Lookups!$A$62:$E$75,2,FALSE)</f>
        <v>21557.329055999999</v>
      </c>
      <c r="AT2138" s="25">
        <f>VLOOKUP(Inventory[[#This Row],[Cnd]],Lookups!$A$76:$E$84,2,FALSE)</f>
        <v>197752.34721000001</v>
      </c>
      <c r="AU2138" s="25">
        <f>Inventory[[#This Row],[EffAge]]*Lookups!$B$85</f>
        <v>-12936.644829000001</v>
      </c>
      <c r="AV2138" s="25">
        <f>Inventory[[#This Row],[MainFn]]*Lookups!$B$86</f>
        <v>54448.354204454001</v>
      </c>
      <c r="AW2138" s="25">
        <f>Inventory[[#This Row],[UpprFn]]*Lookups!$B$87</f>
        <v>0</v>
      </c>
      <c r="AX2138" s="25">
        <f>Inventory[[#This Row],[AddFn]]*Lookups!$B$88</f>
        <v>0</v>
      </c>
      <c r="AY2138" s="25">
        <f>Inventory[[#This Row],[Bsmt]]*Lookups!$B$89</f>
        <v>32048.248562194</v>
      </c>
      <c r="AZ2138" s="25">
        <f>Inventory[[#This Row],[Fixtures]]*Lookups!$B$90</f>
        <v>30336.176841600001</v>
      </c>
      <c r="BA2138" s="25">
        <f>Inventory[[#This Row],[WdDeck]]*Lookups!$B$91</f>
        <v>0</v>
      </c>
      <c r="BB2138" s="25">
        <f>ROUND(Inventory[[#This Row],[25Det]],-2)</f>
        <v>3200</v>
      </c>
      <c r="BC2138" s="25">
        <f>ROUND(SUM(Inventory[[#This Row],[Mdl Qlty]:[Mdl WdDeck]])+Inventory[[#This Row],[Mdl Res Intercept]],-2)</f>
        <v>323200</v>
      </c>
      <c r="BD2138" s="25">
        <f>ROUND(Inventory[[#This Row],[Mdl Land Intercept]]+Inventory[[#This Row],[Mdl LnAcres]],-2)</f>
        <v>38900</v>
      </c>
      <c r="BE2138" s="25">
        <f>Inventory[[#This Row],[Unadj Res Value]]+Inventory[[#This Row],[Unadj Det Value]]+Inventory[[#This Row],[Unadj Land Value]]</f>
        <v>365300</v>
      </c>
      <c r="BF2138" s="36">
        <f>(Inventory[[#This Row],[Unadj Total Value]]-Inventory[[#This Row],[24Final]])/Inventory[[#This Row],[24Final]]</f>
        <v>9.765625E-2</v>
      </c>
      <c r="BG2138" s="25">
        <f>VLOOKUP(Inventory[[#This Row],[Nbhd]],Lookups!$Q$2:$T$4,4,FALSE)</f>
        <v>0.99970000000000003</v>
      </c>
      <c r="BH2138" s="25">
        <f>VLOOKUP(Inventory[[#This Row],[Qlty]],Lookups!$O$7:$R$21,4,FALSE)</f>
        <v>1.0067999999999999</v>
      </c>
      <c r="BI2138" s="25">
        <f>VLOOKUP(Inventory[[#This Row],[Cnd]],Lookups!$T$7:$W$16,4,FALSE)</f>
        <v>0.99650000000000005</v>
      </c>
      <c r="BJ2138" s="25">
        <f>VLOOKUP(Inventory[[#This Row],[LivArea Range]],Lookups!$T$25:$W$37,4,FALSE)</f>
        <v>1.0157</v>
      </c>
      <c r="BK2138" s="25">
        <f>VLOOKUP(Inventory[[#This Row],[Decade]],Lookups!$O$25:$R$42,4,FALSE)</f>
        <v>0.96040000000000003</v>
      </c>
      <c r="BL2138" s="25">
        <f>Inventory[[#This Row],[Nbhd Adj]]*0.95</f>
        <v>0.94971499999999998</v>
      </c>
      <c r="BM2138" s="25">
        <f>Inventory[[#This Row],[Nbhd Adj]]*Inventory[[#This Row],[Quality Adj]]*Inventory[[#This Row],[Condition Adj]]*Inventory[[#This Row],[Living Area Adj]]*Inventory[[#This Row],[Decade Adj]]*0.95</f>
        <v>0.92946151271343602</v>
      </c>
      <c r="BN2138" s="25">
        <f>ROUND(SUM(Inventory[[#This Row],[Mdl Qlty]:[Mdl WdDeck]])+Inventory[[#This Row],[Mdl Res Intercept]]*Inventory[[#This Row],[Res Adj ]],-2)</f>
        <v>323200</v>
      </c>
      <c r="BO2138" s="25">
        <f>ROUND(Inventory[[#This Row],[25Det]]*Inventory[[#This Row],[Det/Nbhd Adj]],-2)</f>
        <v>3000</v>
      </c>
      <c r="BP2138" s="25">
        <f>Inventory[[#This Row],[Adjusted Res]]+Inventory[[#This Row],[Adj Det ]]</f>
        <v>326200</v>
      </c>
      <c r="BQ2138" s="25">
        <f>ROUND((Inventory[[#This Row],[Mdl Land Intercept]]+Inventory[[#This Row],[Mdl LnAcres]])*Inventory[[#This Row],[Det/Nbhd Adj]],-2)</f>
        <v>36900</v>
      </c>
      <c r="BR2138" s="25">
        <f>Inventory[[#This Row],[Adjusted Impr Total]]+Inventory[[#This Row],[Adjusted Land Total]]</f>
        <v>363100</v>
      </c>
      <c r="BS2138" s="36">
        <f>IFERROR((Inventory[[#This Row],[Adjusted Impr Total]]-Inventory[[#This Row],[24Bldg]])/Inventory[[#This Row],[24Bldg]],0)</f>
        <v>0.18877551020408162</v>
      </c>
      <c r="BT2138" s="36">
        <f>(Inventory[[#This Row],[Adjusted Land Total]]-Inventory[[#This Row],[24Lnd]])/Inventory[[#This Row],[24Lnd]]</f>
        <v>-0.36815068493150682</v>
      </c>
      <c r="BU2138" s="36">
        <f>(Inventory[[#This Row],[Adjusted Total]]-Inventory[[#This Row],[24Final]])/Inventory[[#This Row],[24Final]]</f>
        <v>9.1045673076923073E-2</v>
      </c>
    </row>
    <row r="2139" spans="1:73" x14ac:dyDescent="0.3">
      <c r="A2139" s="25">
        <v>2025</v>
      </c>
      <c r="B2139" s="26" t="s">
        <v>2549</v>
      </c>
      <c r="C2139" s="26">
        <f>LN(Inventory[[#This Row],[Acres]])</f>
        <v>-1.8971199848858813</v>
      </c>
      <c r="D2139" s="25">
        <v>0.15</v>
      </c>
      <c r="E2139" s="25">
        <v>6500</v>
      </c>
      <c r="F2139" s="26" t="s">
        <v>537</v>
      </c>
      <c r="G2139" s="26" t="s">
        <v>126</v>
      </c>
      <c r="H2139" s="26" t="s">
        <v>349</v>
      </c>
      <c r="I2139" s="26" t="s">
        <v>538</v>
      </c>
      <c r="J2139" s="26" t="s">
        <v>539</v>
      </c>
      <c r="K2139" s="26" t="s">
        <v>242</v>
      </c>
      <c r="L2139" s="26" t="s">
        <v>351</v>
      </c>
      <c r="M2139" s="26" t="s">
        <v>323</v>
      </c>
      <c r="N2139" s="26">
        <v>110</v>
      </c>
      <c r="O2139" s="26">
        <f>2024-Inventory[[#This Row],[YrBlt]]</f>
        <v>104</v>
      </c>
      <c r="P2139" s="26">
        <f>2024-Inventory[[#This Row],[EffYr]]</f>
        <v>58</v>
      </c>
      <c r="Q2139" s="25">
        <v>1920</v>
      </c>
      <c r="R2139" s="25">
        <v>1966</v>
      </c>
      <c r="S2139" s="25">
        <v>960</v>
      </c>
      <c r="T2139" s="27"/>
      <c r="U2139" s="25">
        <v>144</v>
      </c>
      <c r="V2139" s="25">
        <f>Inventory[[#This Row],[Bsmt]]-Inventory[[#This Row],[FnBsmt]]</f>
        <v>144</v>
      </c>
      <c r="W2139" s="31"/>
      <c r="X2139" s="27"/>
      <c r="Y2139" s="27">
        <f>Inventory[[#This Row],[MainFn]]+Inventory[[#This Row],[UpprFn]]+Inventory[[#This Row],[FnBsmt]]+Inventory[[#This Row],[AddFn]]</f>
        <v>960</v>
      </c>
      <c r="Z2139" s="27">
        <v>1000</v>
      </c>
      <c r="AA2139" s="25">
        <v>7</v>
      </c>
      <c r="AB2139" s="27"/>
      <c r="AC2139" s="27"/>
      <c r="AD2139" s="32">
        <v>224</v>
      </c>
      <c r="AE2139" s="27"/>
      <c r="AF2139" s="27"/>
      <c r="AG2139" s="27"/>
      <c r="AH2139" s="27"/>
      <c r="AI2139" s="25">
        <v>185797</v>
      </c>
      <c r="AJ2139" s="25">
        <v>115194</v>
      </c>
      <c r="AK2139" s="25">
        <v>25357</v>
      </c>
      <c r="AL2139" s="25">
        <v>281900</v>
      </c>
      <c r="AM2139" s="25">
        <v>48400</v>
      </c>
      <c r="AN2139" s="25">
        <v>233500</v>
      </c>
      <c r="AO2139" s="25">
        <v>0</v>
      </c>
      <c r="AP2139" s="25">
        <f>Lookups!$B$56*0</f>
        <v>0</v>
      </c>
      <c r="AQ2139" s="25">
        <f>Lookups!$B$56*1</f>
        <v>89850.625589999996</v>
      </c>
      <c r="AR2139" s="25">
        <f>Lookups!$B$57*Inventory[[#This Row],[LnAcres]]</f>
        <v>-60052.604136134301</v>
      </c>
      <c r="AS2139" s="25">
        <f>VLOOKUP(Inventory[[#This Row],[Qlty]],Lookups!$A$62:$E$75,2,FALSE)</f>
        <v>21557.329055999999</v>
      </c>
      <c r="AT2139" s="25">
        <f>VLOOKUP(Inventory[[#This Row],[Cnd]],Lookups!$A$76:$E$84,2,FALSE)</f>
        <v>160472.20319</v>
      </c>
      <c r="AU2139" s="25">
        <f>Inventory[[#This Row],[EffAge]]*Lookups!$B$85</f>
        <v>-12936.644829000001</v>
      </c>
      <c r="AV2139" s="25">
        <f>Inventory[[#This Row],[MainFn]]*Lookups!$B$86</f>
        <v>47432.323081920003</v>
      </c>
      <c r="AW2139" s="25">
        <f>Inventory[[#This Row],[UpprFn]]*Lookups!$B$87</f>
        <v>0</v>
      </c>
      <c r="AX2139" s="25">
        <f>Inventory[[#This Row],[AddFn]]*Lookups!$B$88</f>
        <v>0</v>
      </c>
      <c r="AY2139" s="25">
        <f>Inventory[[#This Row],[Bsmt]]*Lookups!$B$89</f>
        <v>4187.7929155679994</v>
      </c>
      <c r="AZ2139" s="25">
        <f>Inventory[[#This Row],[Fixtures]]*Lookups!$B$90</f>
        <v>26544.1547364</v>
      </c>
      <c r="BA2139" s="25">
        <f>Inventory[[#This Row],[WdDeck]]*Lookups!$B$91</f>
        <v>7458.1954218240007</v>
      </c>
      <c r="BB2139" s="25">
        <f>ROUND(Inventory[[#This Row],[25Det]],-2)</f>
        <v>25400</v>
      </c>
      <c r="BC2139" s="25">
        <f>ROUND(SUM(Inventory[[#This Row],[Mdl Qlty]:[Mdl WdDeck]])+Inventory[[#This Row],[Mdl Res Intercept]],-2)</f>
        <v>254700</v>
      </c>
      <c r="BD2139" s="25">
        <f>ROUND(Inventory[[#This Row],[Mdl Land Intercept]]+Inventory[[#This Row],[Mdl LnAcres]],-2)</f>
        <v>29800</v>
      </c>
      <c r="BE2139" s="25">
        <f>Inventory[[#This Row],[Unadj Res Value]]+Inventory[[#This Row],[Unadj Det Value]]+Inventory[[#This Row],[Unadj Land Value]]</f>
        <v>309900</v>
      </c>
      <c r="BF2139" s="36">
        <f>(Inventory[[#This Row],[Unadj Total Value]]-Inventory[[#This Row],[24Final]])/Inventory[[#This Row],[24Final]]</f>
        <v>9.9326002128414331E-2</v>
      </c>
      <c r="BG2139" s="25">
        <f>VLOOKUP(Inventory[[#This Row],[Nbhd]],Lookups!$Q$2:$T$4,4,FALSE)</f>
        <v>0.99970000000000003</v>
      </c>
      <c r="BH2139" s="25">
        <f>VLOOKUP(Inventory[[#This Row],[Qlty]],Lookups!$O$7:$R$21,4,FALSE)</f>
        <v>1.0067999999999999</v>
      </c>
      <c r="BI2139" s="25">
        <f>VLOOKUP(Inventory[[#This Row],[Cnd]],Lookups!$T$7:$W$16,4,FALSE)</f>
        <v>0.99729999999999996</v>
      </c>
      <c r="BJ2139" s="25">
        <f>VLOOKUP(Inventory[[#This Row],[LivArea Range]],Lookups!$T$25:$W$37,4,FALSE)</f>
        <v>1.0148999999999999</v>
      </c>
      <c r="BK2139" s="25">
        <f>VLOOKUP(Inventory[[#This Row],[Decade]],Lookups!$O$25:$R$42,4,FALSE)</f>
        <v>0.96040000000000003</v>
      </c>
      <c r="BL2139" s="25">
        <f>Inventory[[#This Row],[Nbhd Adj]]*0.95</f>
        <v>0.94971499999999998</v>
      </c>
      <c r="BM2139" s="25">
        <f>Inventory[[#This Row],[Nbhd Adj]]*Inventory[[#This Row],[Quality Adj]]*Inventory[[#This Row],[Condition Adj]]*Inventory[[#This Row],[Living Area Adj]]*Inventory[[#This Row],[Decade Adj]]*0.95</f>
        <v>0.92947503021615663</v>
      </c>
      <c r="BN2139" s="25">
        <f>ROUND(SUM(Inventory[[#This Row],[Mdl Qlty]:[Mdl WdDeck]])+Inventory[[#This Row],[Mdl Res Intercept]]*Inventory[[#This Row],[Res Adj ]],-2)</f>
        <v>254700</v>
      </c>
      <c r="BO2139" s="25">
        <f>ROUND(Inventory[[#This Row],[25Det]]*Inventory[[#This Row],[Det/Nbhd Adj]],-2)</f>
        <v>24100</v>
      </c>
      <c r="BP2139" s="25">
        <f>Inventory[[#This Row],[Adjusted Res]]+Inventory[[#This Row],[Adj Det ]]</f>
        <v>278800</v>
      </c>
      <c r="BQ2139" s="25">
        <f>ROUND((Inventory[[#This Row],[Mdl Land Intercept]]+Inventory[[#This Row],[Mdl LnAcres]])*Inventory[[#This Row],[Det/Nbhd Adj]],-2)</f>
        <v>28300</v>
      </c>
      <c r="BR2139" s="25">
        <f>Inventory[[#This Row],[Adjusted Impr Total]]+Inventory[[#This Row],[Adjusted Land Total]]</f>
        <v>307100</v>
      </c>
      <c r="BS2139" s="36">
        <f>IFERROR((Inventory[[#This Row],[Adjusted Impr Total]]-Inventory[[#This Row],[24Bldg]])/Inventory[[#This Row],[24Bldg]],0)</f>
        <v>0.19400428265524625</v>
      </c>
      <c r="BT2139" s="36">
        <f>(Inventory[[#This Row],[Adjusted Land Total]]-Inventory[[#This Row],[24Lnd]])/Inventory[[#This Row],[24Lnd]]</f>
        <v>-0.41528925619834711</v>
      </c>
      <c r="BU2139" s="36">
        <f>(Inventory[[#This Row],[Adjusted Total]]-Inventory[[#This Row],[24Final]])/Inventory[[#This Row],[24Final]]</f>
        <v>8.9393401915572893E-2</v>
      </c>
    </row>
    <row r="2140" spans="1:73" x14ac:dyDescent="0.3">
      <c r="A2140" s="25">
        <v>2025</v>
      </c>
      <c r="B2140" s="26" t="s">
        <v>2892</v>
      </c>
      <c r="C2140" s="26">
        <f>LN(Inventory[[#This Row],[Acres]])</f>
        <v>-1.8971199848858813</v>
      </c>
      <c r="D2140" s="25">
        <v>0.15</v>
      </c>
      <c r="E2140" s="31"/>
      <c r="F2140" s="26" t="s">
        <v>537</v>
      </c>
      <c r="G2140" s="26" t="s">
        <v>126</v>
      </c>
      <c r="H2140" s="26" t="s">
        <v>349</v>
      </c>
      <c r="I2140" s="26" t="s">
        <v>538</v>
      </c>
      <c r="J2140" s="26" t="s">
        <v>539</v>
      </c>
      <c r="K2140" s="26" t="s">
        <v>269</v>
      </c>
      <c r="L2140" s="26" t="s">
        <v>351</v>
      </c>
      <c r="M2140" s="26" t="s">
        <v>323</v>
      </c>
      <c r="N2140" s="26">
        <v>110</v>
      </c>
      <c r="O2140" s="26">
        <f>2024-Inventory[[#This Row],[YrBlt]]</f>
        <v>104</v>
      </c>
      <c r="P2140" s="26">
        <f>2024-Inventory[[#This Row],[EffYr]]</f>
        <v>58</v>
      </c>
      <c r="Q2140" s="25">
        <v>1920</v>
      </c>
      <c r="R2140" s="25">
        <v>1966</v>
      </c>
      <c r="S2140" s="25">
        <v>1302</v>
      </c>
      <c r="T2140" s="31"/>
      <c r="U2140" s="25">
        <v>1302</v>
      </c>
      <c r="V2140" s="25">
        <f>Inventory[[#This Row],[Bsmt]]-Inventory[[#This Row],[FnBsmt]]</f>
        <v>1302</v>
      </c>
      <c r="W2140" s="31"/>
      <c r="X2140" s="27"/>
      <c r="Y2140" s="27">
        <f>Inventory[[#This Row],[MainFn]]+Inventory[[#This Row],[UpprFn]]+Inventory[[#This Row],[FnBsmt]]+Inventory[[#This Row],[AddFn]]</f>
        <v>1302</v>
      </c>
      <c r="Z2140" s="27">
        <v>1500</v>
      </c>
      <c r="AA2140" s="25">
        <v>7</v>
      </c>
      <c r="AB2140" s="27"/>
      <c r="AC2140" s="27"/>
      <c r="AD2140" s="31"/>
      <c r="AE2140" s="27"/>
      <c r="AF2140" s="27"/>
      <c r="AG2140" s="27"/>
      <c r="AH2140" s="27"/>
      <c r="AI2140" s="25">
        <v>260704</v>
      </c>
      <c r="AJ2140" s="25">
        <v>161636</v>
      </c>
      <c r="AK2140" s="25">
        <v>6724</v>
      </c>
      <c r="AL2140" s="25">
        <v>305500</v>
      </c>
      <c r="AM2140" s="25">
        <v>48400</v>
      </c>
      <c r="AN2140" s="25">
        <v>257100</v>
      </c>
      <c r="AO2140" s="25">
        <v>0</v>
      </c>
      <c r="AP2140" s="25">
        <f>Lookups!$B$56*0</f>
        <v>0</v>
      </c>
      <c r="AQ2140" s="25">
        <f>Lookups!$B$56*1</f>
        <v>89850.625589999996</v>
      </c>
      <c r="AR2140" s="25">
        <f>Lookups!$B$57*Inventory[[#This Row],[LnAcres]]</f>
        <v>-60052.604136134301</v>
      </c>
      <c r="AS2140" s="25">
        <f>VLOOKUP(Inventory[[#This Row],[Qlty]],Lookups!$A$62:$E$75,2,FALSE)</f>
        <v>21557.329055999999</v>
      </c>
      <c r="AT2140" s="25">
        <f>VLOOKUP(Inventory[[#This Row],[Cnd]],Lookups!$A$76:$E$84,2,FALSE)</f>
        <v>160472.20319</v>
      </c>
      <c r="AU2140" s="25">
        <f>Inventory[[#This Row],[EffAge]]*Lookups!$B$85</f>
        <v>-12936.644829000001</v>
      </c>
      <c r="AV2140" s="25">
        <f>Inventory[[#This Row],[MainFn]]*Lookups!$B$86</f>
        <v>64330.088179853999</v>
      </c>
      <c r="AW2140" s="25">
        <f>Inventory[[#This Row],[UpprFn]]*Lookups!$B$87</f>
        <v>0</v>
      </c>
      <c r="AX2140" s="25">
        <f>Inventory[[#This Row],[AddFn]]*Lookups!$B$88</f>
        <v>0</v>
      </c>
      <c r="AY2140" s="25">
        <f>Inventory[[#This Row],[Bsmt]]*Lookups!$B$89</f>
        <v>37864.627611593998</v>
      </c>
      <c r="AZ2140" s="25">
        <f>Inventory[[#This Row],[Fixtures]]*Lookups!$B$90</f>
        <v>26544.1547364</v>
      </c>
      <c r="BA2140" s="25">
        <f>Inventory[[#This Row],[WdDeck]]*Lookups!$B$91</f>
        <v>0</v>
      </c>
      <c r="BB2140" s="25">
        <f>ROUND(Inventory[[#This Row],[25Det]],-2)</f>
        <v>6700</v>
      </c>
      <c r="BC2140" s="25">
        <f>ROUND(SUM(Inventory[[#This Row],[Mdl Qlty]:[Mdl WdDeck]])+Inventory[[#This Row],[Mdl Res Intercept]],-2)</f>
        <v>297800</v>
      </c>
      <c r="BD2140" s="25">
        <f>ROUND(Inventory[[#This Row],[Mdl Land Intercept]]+Inventory[[#This Row],[Mdl LnAcres]],-2)</f>
        <v>29800</v>
      </c>
      <c r="BE2140" s="25">
        <f>Inventory[[#This Row],[Unadj Res Value]]+Inventory[[#This Row],[Unadj Det Value]]+Inventory[[#This Row],[Unadj Land Value]]</f>
        <v>334300</v>
      </c>
      <c r="BF2140" s="36">
        <f>(Inventory[[#This Row],[Unadj Total Value]]-Inventory[[#This Row],[24Final]])/Inventory[[#This Row],[24Final]]</f>
        <v>9.4271685761047469E-2</v>
      </c>
      <c r="BG2140" s="25">
        <f>VLOOKUP(Inventory[[#This Row],[Nbhd]],Lookups!$Q$2:$T$4,4,FALSE)</f>
        <v>0.99970000000000003</v>
      </c>
      <c r="BH2140" s="25">
        <f>VLOOKUP(Inventory[[#This Row],[Qlty]],Lookups!$O$7:$R$21,4,FALSE)</f>
        <v>1.0067999999999999</v>
      </c>
      <c r="BI2140" s="25">
        <f>VLOOKUP(Inventory[[#This Row],[Cnd]],Lookups!$T$7:$W$16,4,FALSE)</f>
        <v>0.99729999999999996</v>
      </c>
      <c r="BJ2140" s="25">
        <f>VLOOKUP(Inventory[[#This Row],[LivArea Range]],Lookups!$T$25:$W$37,4,FALSE)</f>
        <v>1.0157</v>
      </c>
      <c r="BK2140" s="25">
        <f>VLOOKUP(Inventory[[#This Row],[Decade]],Lookups!$O$25:$R$42,4,FALSE)</f>
        <v>0.96040000000000003</v>
      </c>
      <c r="BL2140" s="25">
        <f>Inventory[[#This Row],[Nbhd Adj]]*0.95</f>
        <v>0.94971499999999998</v>
      </c>
      <c r="BM2140" s="25">
        <f>Inventory[[#This Row],[Nbhd Adj]]*Inventory[[#This Row],[Quality Adj]]*Inventory[[#This Row],[Condition Adj]]*Inventory[[#This Row],[Living Area Adj]]*Inventory[[#This Row],[Decade Adj]]*0.95</f>
        <v>0.93020769355655764</v>
      </c>
      <c r="BN2140" s="25">
        <f>ROUND(SUM(Inventory[[#This Row],[Mdl Qlty]:[Mdl WdDeck]])+Inventory[[#This Row],[Mdl Res Intercept]]*Inventory[[#This Row],[Res Adj ]],-2)</f>
        <v>297800</v>
      </c>
      <c r="BO2140" s="25">
        <f>ROUND(Inventory[[#This Row],[25Det]]*Inventory[[#This Row],[Det/Nbhd Adj]],-2)</f>
        <v>6400</v>
      </c>
      <c r="BP2140" s="25">
        <f>Inventory[[#This Row],[Adjusted Res]]+Inventory[[#This Row],[Adj Det ]]</f>
        <v>304200</v>
      </c>
      <c r="BQ2140" s="25">
        <f>ROUND((Inventory[[#This Row],[Mdl Land Intercept]]+Inventory[[#This Row],[Mdl LnAcres]])*Inventory[[#This Row],[Det/Nbhd Adj]],-2)</f>
        <v>28300</v>
      </c>
      <c r="BR2140" s="25">
        <f>Inventory[[#This Row],[Adjusted Impr Total]]+Inventory[[#This Row],[Adjusted Land Total]]</f>
        <v>332500</v>
      </c>
      <c r="BS2140" s="36">
        <f>IFERROR((Inventory[[#This Row],[Adjusted Impr Total]]-Inventory[[#This Row],[24Bldg]])/Inventory[[#This Row],[24Bldg]],0)</f>
        <v>0.18319719953325556</v>
      </c>
      <c r="BT2140" s="36">
        <f>(Inventory[[#This Row],[Adjusted Land Total]]-Inventory[[#This Row],[24Lnd]])/Inventory[[#This Row],[24Lnd]]</f>
        <v>-0.41528925619834711</v>
      </c>
      <c r="BU2140" s="36">
        <f>(Inventory[[#This Row],[Adjusted Total]]-Inventory[[#This Row],[24Final]])/Inventory[[#This Row],[24Final]]</f>
        <v>8.8379705400982E-2</v>
      </c>
    </row>
    <row r="2141" spans="1:73" x14ac:dyDescent="0.3">
      <c r="A2141" s="25">
        <v>2025</v>
      </c>
      <c r="B2141" s="26" t="s">
        <v>930</v>
      </c>
      <c r="C2141" s="26">
        <f>LN(Inventory[[#This Row],[Acres]])</f>
        <v>-1.4271163556401458</v>
      </c>
      <c r="D2141" s="25">
        <v>0.24</v>
      </c>
      <c r="E2141" s="31"/>
      <c r="F2141" s="26" t="s">
        <v>537</v>
      </c>
      <c r="G2141" s="26" t="s">
        <v>126</v>
      </c>
      <c r="H2141" s="26" t="s">
        <v>349</v>
      </c>
      <c r="I2141" s="26" t="s">
        <v>538</v>
      </c>
      <c r="J2141" s="26" t="s">
        <v>539</v>
      </c>
      <c r="K2141" s="26" t="s">
        <v>242</v>
      </c>
      <c r="L2141" s="26" t="s">
        <v>205</v>
      </c>
      <c r="M2141" s="26" t="s">
        <v>303</v>
      </c>
      <c r="N2141" s="26">
        <v>110</v>
      </c>
      <c r="O2141" s="26">
        <f>2024-Inventory[[#This Row],[YrBlt]]</f>
        <v>104</v>
      </c>
      <c r="P2141" s="26">
        <f>2024-Inventory[[#This Row],[EffYr]]</f>
        <v>58</v>
      </c>
      <c r="Q2141" s="25">
        <v>1920</v>
      </c>
      <c r="R2141" s="25">
        <v>1966</v>
      </c>
      <c r="S2141" s="25">
        <v>1113</v>
      </c>
      <c r="T2141" s="31"/>
      <c r="U2141" s="25">
        <v>847</v>
      </c>
      <c r="V2141" s="25">
        <f>Inventory[[#This Row],[Bsmt]]-Inventory[[#This Row],[FnBsmt]]</f>
        <v>847</v>
      </c>
      <c r="W2141" s="31"/>
      <c r="X2141" s="27"/>
      <c r="Y2141" s="27">
        <f>Inventory[[#This Row],[MainFn]]+Inventory[[#This Row],[UpprFn]]+Inventory[[#This Row],[FnBsmt]]+Inventory[[#This Row],[AddFn]]</f>
        <v>1113</v>
      </c>
      <c r="Z2141" s="27">
        <v>1500</v>
      </c>
      <c r="AA2141" s="25">
        <v>8</v>
      </c>
      <c r="AB2141" s="27"/>
      <c r="AC2141" s="27"/>
      <c r="AD2141" s="27"/>
      <c r="AE2141" s="27"/>
      <c r="AF2141" s="27"/>
      <c r="AG2141" s="27"/>
      <c r="AH2141" s="27"/>
      <c r="AI2141" s="25">
        <v>214326</v>
      </c>
      <c r="AJ2141" s="25">
        <v>137169</v>
      </c>
      <c r="AK2141" s="25">
        <v>1215</v>
      </c>
      <c r="AL2141" s="25">
        <v>311300</v>
      </c>
      <c r="AM2141" s="25">
        <v>64800</v>
      </c>
      <c r="AN2141" s="25">
        <v>246500</v>
      </c>
      <c r="AO2141" s="25">
        <v>0</v>
      </c>
      <c r="AP2141" s="25">
        <f>Lookups!$B$56*0</f>
        <v>0</v>
      </c>
      <c r="AQ2141" s="25">
        <f>Lookups!$B$56*1</f>
        <v>89850.625589999996</v>
      </c>
      <c r="AR2141" s="25">
        <f>Lookups!$B$57*Inventory[[#This Row],[LnAcres]]</f>
        <v>-45174.819855485119</v>
      </c>
      <c r="AS2141" s="25">
        <f>VLOOKUP(Inventory[[#This Row],[Qlty]],Lookups!$A$62:$E$75,2,FALSE)</f>
        <v>0</v>
      </c>
      <c r="AT2141" s="25">
        <f>VLOOKUP(Inventory[[#This Row],[Cnd]],Lookups!$A$76:$E$84,2,FALSE)</f>
        <v>197752.34721000001</v>
      </c>
      <c r="AU2141" s="25">
        <f>Inventory[[#This Row],[EffAge]]*Lookups!$B$85</f>
        <v>-12936.644829000001</v>
      </c>
      <c r="AV2141" s="25">
        <f>Inventory[[#This Row],[MainFn]]*Lookups!$B$86</f>
        <v>54991.849573101004</v>
      </c>
      <c r="AW2141" s="25">
        <f>Inventory[[#This Row],[UpprFn]]*Lookups!$B$87</f>
        <v>0</v>
      </c>
      <c r="AX2141" s="25">
        <f>Inventory[[#This Row],[AddFn]]*Lookups!$B$88</f>
        <v>0</v>
      </c>
      <c r="AY2141" s="25">
        <f>Inventory[[#This Row],[Bsmt]]*Lookups!$B$89</f>
        <v>24632.365274208998</v>
      </c>
      <c r="AZ2141" s="25">
        <f>Inventory[[#This Row],[Fixtures]]*Lookups!$B$90</f>
        <v>30336.176841600001</v>
      </c>
      <c r="BA2141" s="25">
        <f>Inventory[[#This Row],[WdDeck]]*Lookups!$B$91</f>
        <v>0</v>
      </c>
      <c r="BB2141" s="25">
        <f>ROUND(Inventory[[#This Row],[25Det]],-2)</f>
        <v>1200</v>
      </c>
      <c r="BC2141" s="25">
        <f>ROUND(SUM(Inventory[[#This Row],[Mdl Qlty]:[Mdl WdDeck]])+Inventory[[#This Row],[Mdl Res Intercept]],-2)</f>
        <v>294800</v>
      </c>
      <c r="BD2141" s="25">
        <f>ROUND(Inventory[[#This Row],[Mdl Land Intercept]]+Inventory[[#This Row],[Mdl LnAcres]],-2)</f>
        <v>44700</v>
      </c>
      <c r="BE2141" s="25">
        <f>Inventory[[#This Row],[Unadj Res Value]]+Inventory[[#This Row],[Unadj Det Value]]+Inventory[[#This Row],[Unadj Land Value]]</f>
        <v>340700</v>
      </c>
      <c r="BF2141" s="36">
        <f>(Inventory[[#This Row],[Unadj Total Value]]-Inventory[[#This Row],[24Final]])/Inventory[[#This Row],[24Final]]</f>
        <v>9.4442659813684549E-2</v>
      </c>
      <c r="BG2141" s="25">
        <f>VLOOKUP(Inventory[[#This Row],[Nbhd]],Lookups!$Q$2:$T$4,4,FALSE)</f>
        <v>0.99970000000000003</v>
      </c>
      <c r="BH2141" s="25">
        <f>VLOOKUP(Inventory[[#This Row],[Qlty]],Lookups!$O$7:$R$21,4,FALSE)</f>
        <v>0.99180000000000001</v>
      </c>
      <c r="BI2141" s="25">
        <f>VLOOKUP(Inventory[[#This Row],[Cnd]],Lookups!$T$7:$W$16,4,FALSE)</f>
        <v>0.99650000000000005</v>
      </c>
      <c r="BJ2141" s="25">
        <f>VLOOKUP(Inventory[[#This Row],[LivArea Range]],Lookups!$T$25:$W$37,4,FALSE)</f>
        <v>1.0157</v>
      </c>
      <c r="BK2141" s="25">
        <f>VLOOKUP(Inventory[[#This Row],[Decade]],Lookups!$O$25:$R$42,4,FALSE)</f>
        <v>0.96040000000000003</v>
      </c>
      <c r="BL2141" s="25">
        <f>Inventory[[#This Row],[Nbhd Adj]]*0.95</f>
        <v>0.94971499999999998</v>
      </c>
      <c r="BM2141" s="25">
        <f>Inventory[[#This Row],[Nbhd Adj]]*Inventory[[#This Row],[Quality Adj]]*Inventory[[#This Row],[Condition Adj]]*Inventory[[#This Row],[Living Area Adj]]*Inventory[[#This Row],[Decade Adj]]*0.95</f>
        <v>0.91561375477670459</v>
      </c>
      <c r="BN2141" s="25">
        <f>ROUND(SUM(Inventory[[#This Row],[Mdl Qlty]:[Mdl WdDeck]])+Inventory[[#This Row],[Mdl Res Intercept]]*Inventory[[#This Row],[Res Adj ]],-2)</f>
        <v>294800</v>
      </c>
      <c r="BO2141" s="25">
        <f>ROUND(Inventory[[#This Row],[25Det]]*Inventory[[#This Row],[Det/Nbhd Adj]],-2)</f>
        <v>1200</v>
      </c>
      <c r="BP2141" s="25">
        <f>Inventory[[#This Row],[Adjusted Res]]+Inventory[[#This Row],[Adj Det ]]</f>
        <v>296000</v>
      </c>
      <c r="BQ2141" s="25">
        <f>ROUND((Inventory[[#This Row],[Mdl Land Intercept]]+Inventory[[#This Row],[Mdl LnAcres]])*Inventory[[#This Row],[Det/Nbhd Adj]],-2)</f>
        <v>42400</v>
      </c>
      <c r="BR2141" s="25">
        <f>Inventory[[#This Row],[Adjusted Impr Total]]+Inventory[[#This Row],[Adjusted Land Total]]</f>
        <v>338400</v>
      </c>
      <c r="BS2141" s="36">
        <f>IFERROR((Inventory[[#This Row],[Adjusted Impr Total]]-Inventory[[#This Row],[24Bldg]])/Inventory[[#This Row],[24Bldg]],0)</f>
        <v>0.20081135902636918</v>
      </c>
      <c r="BT2141" s="36">
        <f>(Inventory[[#This Row],[Adjusted Land Total]]-Inventory[[#This Row],[24Lnd]])/Inventory[[#This Row],[24Lnd]]</f>
        <v>-0.34567901234567899</v>
      </c>
      <c r="BU2141" s="36">
        <f>(Inventory[[#This Row],[Adjusted Total]]-Inventory[[#This Row],[24Final]])/Inventory[[#This Row],[24Final]]</f>
        <v>8.7054288467716026E-2</v>
      </c>
    </row>
    <row r="2142" spans="1:73" x14ac:dyDescent="0.3">
      <c r="A2142" s="25">
        <v>2025</v>
      </c>
      <c r="B2142" s="26" t="s">
        <v>2136</v>
      </c>
      <c r="C2142" s="26">
        <f>LN(Inventory[[#This Row],[Acres]])</f>
        <v>-1.7147984280919266</v>
      </c>
      <c r="D2142" s="25">
        <v>0.18</v>
      </c>
      <c r="E2142" s="25">
        <v>7837</v>
      </c>
      <c r="F2142" s="26" t="s">
        <v>537</v>
      </c>
      <c r="G2142" s="26" t="s">
        <v>126</v>
      </c>
      <c r="H2142" s="26" t="s">
        <v>349</v>
      </c>
      <c r="I2142" s="26" t="s">
        <v>538</v>
      </c>
      <c r="J2142" s="26" t="s">
        <v>539</v>
      </c>
      <c r="K2142" s="26" t="s">
        <v>173</v>
      </c>
      <c r="L2142" s="26" t="s">
        <v>351</v>
      </c>
      <c r="M2142" s="26" t="s">
        <v>303</v>
      </c>
      <c r="N2142" s="26">
        <v>110</v>
      </c>
      <c r="O2142" s="26">
        <f>2024-Inventory[[#This Row],[YrBlt]]</f>
        <v>104</v>
      </c>
      <c r="P2142" s="26">
        <f>2024-Inventory[[#This Row],[EffYr]]</f>
        <v>58</v>
      </c>
      <c r="Q2142" s="25">
        <v>1920</v>
      </c>
      <c r="R2142" s="25">
        <v>1966</v>
      </c>
      <c r="S2142" s="25">
        <v>1133</v>
      </c>
      <c r="T2142" s="32">
        <v>450</v>
      </c>
      <c r="U2142" s="25">
        <v>1133</v>
      </c>
      <c r="V2142" s="32">
        <f>Inventory[[#This Row],[Bsmt]]-Inventory[[#This Row],[FnBsmt]]</f>
        <v>0</v>
      </c>
      <c r="W2142" s="32">
        <v>1133</v>
      </c>
      <c r="X2142" s="27"/>
      <c r="Y2142" s="27">
        <f>Inventory[[#This Row],[MainFn]]+Inventory[[#This Row],[UpprFn]]+Inventory[[#This Row],[FnBsmt]]+Inventory[[#This Row],[AddFn]]</f>
        <v>2716</v>
      </c>
      <c r="Z2142" s="27">
        <v>3000</v>
      </c>
      <c r="AA2142" s="25">
        <v>8</v>
      </c>
      <c r="AB2142" s="27"/>
      <c r="AC2142" s="27"/>
      <c r="AD2142" s="32">
        <v>506</v>
      </c>
      <c r="AE2142" s="27"/>
      <c r="AF2142" s="27"/>
      <c r="AG2142" s="27"/>
      <c r="AH2142" s="27"/>
      <c r="AI2142" s="25">
        <v>337102</v>
      </c>
      <c r="AJ2142" s="25">
        <v>215745</v>
      </c>
      <c r="AK2142" s="25">
        <v>0</v>
      </c>
      <c r="AL2142" s="25">
        <v>365400</v>
      </c>
      <c r="AM2142" s="25">
        <v>54700</v>
      </c>
      <c r="AN2142" s="25">
        <v>310700</v>
      </c>
      <c r="AO2142" s="25">
        <v>0</v>
      </c>
      <c r="AP2142" s="25">
        <f>Lookups!$B$56*0</f>
        <v>0</v>
      </c>
      <c r="AQ2142" s="25">
        <f>Lookups!$B$56*1</f>
        <v>89850.625589999996</v>
      </c>
      <c r="AR2142" s="25">
        <f>Lookups!$B$57*Inventory[[#This Row],[LnAcres]]</f>
        <v>-54281.285314520763</v>
      </c>
      <c r="AS2142" s="25">
        <f>VLOOKUP(Inventory[[#This Row],[Qlty]],Lookups!$A$62:$E$75,2,FALSE)</f>
        <v>21557.329055999999</v>
      </c>
      <c r="AT2142" s="25">
        <f>VLOOKUP(Inventory[[#This Row],[Cnd]],Lookups!$A$76:$E$84,2,FALSE)</f>
        <v>197752.34721000001</v>
      </c>
      <c r="AU2142" s="25">
        <f>Inventory[[#This Row],[EffAge]]*Lookups!$B$85</f>
        <v>-12936.644829000001</v>
      </c>
      <c r="AV2142" s="25">
        <f>Inventory[[#This Row],[MainFn]]*Lookups!$B$86</f>
        <v>55980.022970641003</v>
      </c>
      <c r="AW2142" s="25">
        <f>Inventory[[#This Row],[UpprFn]]*Lookups!$B$87</f>
        <v>20153.890287449998</v>
      </c>
      <c r="AX2142" s="25">
        <f>Inventory[[#This Row],[AddFn]]*Lookups!$B$88</f>
        <v>0</v>
      </c>
      <c r="AY2142" s="25">
        <f>Inventory[[#This Row],[Bsmt]]*Lookups!$B$89</f>
        <v>32949.787314850997</v>
      </c>
      <c r="AZ2142" s="25">
        <f>Inventory[[#This Row],[Fixtures]]*Lookups!$B$90</f>
        <v>30336.176841600001</v>
      </c>
      <c r="BA2142" s="25">
        <f>Inventory[[#This Row],[WdDeck]]*Lookups!$B$91</f>
        <v>16847.530729656002</v>
      </c>
      <c r="BB2142" s="25">
        <f>ROUND(Inventory[[#This Row],[25Det]],-2)</f>
        <v>0</v>
      </c>
      <c r="BC2142" s="25">
        <f>ROUND(SUM(Inventory[[#This Row],[Mdl Qlty]:[Mdl WdDeck]])+Inventory[[#This Row],[Mdl Res Intercept]],-2)</f>
        <v>362600</v>
      </c>
      <c r="BD2142" s="25">
        <f>ROUND(Inventory[[#This Row],[Mdl Land Intercept]]+Inventory[[#This Row],[Mdl LnAcres]],-2)</f>
        <v>35600</v>
      </c>
      <c r="BE2142" s="25">
        <f>Inventory[[#This Row],[Unadj Res Value]]+Inventory[[#This Row],[Unadj Det Value]]+Inventory[[#This Row],[Unadj Land Value]]</f>
        <v>398200</v>
      </c>
      <c r="BF2142" s="36">
        <f>(Inventory[[#This Row],[Unadj Total Value]]-Inventory[[#This Row],[24Final]])/Inventory[[#This Row],[24Final]]</f>
        <v>8.9764641488779426E-2</v>
      </c>
      <c r="BG2142" s="25">
        <f>VLOOKUP(Inventory[[#This Row],[Nbhd]],Lookups!$Q$2:$T$4,4,FALSE)</f>
        <v>0.99970000000000003</v>
      </c>
      <c r="BH2142" s="25">
        <f>VLOOKUP(Inventory[[#This Row],[Qlty]],Lookups!$O$7:$R$21,4,FALSE)</f>
        <v>1.0067999999999999</v>
      </c>
      <c r="BI2142" s="25">
        <f>VLOOKUP(Inventory[[#This Row],[Cnd]],Lookups!$T$7:$W$16,4,FALSE)</f>
        <v>0.99650000000000005</v>
      </c>
      <c r="BJ2142" s="25">
        <f>VLOOKUP(Inventory[[#This Row],[LivArea Range]],Lookups!$T$25:$W$37,4,FALSE)</f>
        <v>0.96179999999999999</v>
      </c>
      <c r="BK2142" s="25">
        <f>VLOOKUP(Inventory[[#This Row],[Decade]],Lookups!$O$25:$R$42,4,FALSE)</f>
        <v>0.96040000000000003</v>
      </c>
      <c r="BL2142" s="25">
        <f>Inventory[[#This Row],[Nbhd Adj]]*0.95</f>
        <v>0.94971499999999998</v>
      </c>
      <c r="BM2142" s="25">
        <f>Inventory[[#This Row],[Nbhd Adj]]*Inventory[[#This Row],[Quality Adj]]*Inventory[[#This Row],[Condition Adj]]*Inventory[[#This Row],[Living Area Adj]]*Inventory[[#This Row],[Decade Adj]]*0.95</f>
        <v>0.88013791762113103</v>
      </c>
      <c r="BN2142" s="25">
        <f>ROUND(SUM(Inventory[[#This Row],[Mdl Qlty]:[Mdl WdDeck]])+Inventory[[#This Row],[Mdl Res Intercept]]*Inventory[[#This Row],[Res Adj ]],-2)</f>
        <v>362600</v>
      </c>
      <c r="BO2142" s="25">
        <f>ROUND(Inventory[[#This Row],[25Det]]*Inventory[[#This Row],[Det/Nbhd Adj]],-2)</f>
        <v>0</v>
      </c>
      <c r="BP2142" s="25">
        <f>Inventory[[#This Row],[Adjusted Res]]+Inventory[[#This Row],[Adj Det ]]</f>
        <v>362600</v>
      </c>
      <c r="BQ2142" s="25">
        <f>ROUND((Inventory[[#This Row],[Mdl Land Intercept]]+Inventory[[#This Row],[Mdl LnAcres]])*Inventory[[#This Row],[Det/Nbhd Adj]],-2)</f>
        <v>33800</v>
      </c>
      <c r="BR2142" s="25">
        <f>Inventory[[#This Row],[Adjusted Impr Total]]+Inventory[[#This Row],[Adjusted Land Total]]</f>
        <v>396400</v>
      </c>
      <c r="BS2142" s="36">
        <f>IFERROR((Inventory[[#This Row],[Adjusted Impr Total]]-Inventory[[#This Row],[24Bldg]])/Inventory[[#This Row],[24Bldg]],0)</f>
        <v>0.16704216285806245</v>
      </c>
      <c r="BT2142" s="36">
        <f>(Inventory[[#This Row],[Adjusted Land Total]]-Inventory[[#This Row],[24Lnd]])/Inventory[[#This Row],[24Lnd]]</f>
        <v>-0.38208409506398539</v>
      </c>
      <c r="BU2142" s="36">
        <f>(Inventory[[#This Row],[Adjusted Total]]-Inventory[[#This Row],[24Final]])/Inventory[[#This Row],[24Final]]</f>
        <v>8.4838533114395182E-2</v>
      </c>
    </row>
    <row r="2143" spans="1:73" x14ac:dyDescent="0.3">
      <c r="A2143" s="25">
        <v>2025</v>
      </c>
      <c r="B2143" s="26" t="s">
        <v>2041</v>
      </c>
      <c r="C2143" s="26">
        <f>LN(Inventory[[#This Row],[Acres]])</f>
        <v>-1.3862943611198906</v>
      </c>
      <c r="D2143" s="25">
        <v>0.25</v>
      </c>
      <c r="E2143" s="31"/>
      <c r="F2143" s="26" t="s">
        <v>537</v>
      </c>
      <c r="G2143" s="26" t="s">
        <v>126</v>
      </c>
      <c r="H2143" s="26" t="s">
        <v>349</v>
      </c>
      <c r="I2143" s="26" t="s">
        <v>538</v>
      </c>
      <c r="J2143" s="26" t="s">
        <v>539</v>
      </c>
      <c r="K2143" s="26" t="s">
        <v>416</v>
      </c>
      <c r="L2143" s="26" t="s">
        <v>302</v>
      </c>
      <c r="M2143" s="26" t="s">
        <v>303</v>
      </c>
      <c r="N2143" s="26">
        <v>110</v>
      </c>
      <c r="O2143" s="26">
        <f>2024-Inventory[[#This Row],[YrBlt]]</f>
        <v>104</v>
      </c>
      <c r="P2143" s="26">
        <f>2024-Inventory[[#This Row],[EffYr]]</f>
        <v>58</v>
      </c>
      <c r="Q2143" s="25">
        <v>1920</v>
      </c>
      <c r="R2143" s="25">
        <v>1966</v>
      </c>
      <c r="S2143" s="25">
        <v>956</v>
      </c>
      <c r="T2143" s="32">
        <v>1002</v>
      </c>
      <c r="U2143" s="25">
        <v>336</v>
      </c>
      <c r="V2143" s="32">
        <f>Inventory[[#This Row],[Bsmt]]-Inventory[[#This Row],[FnBsmt]]</f>
        <v>336</v>
      </c>
      <c r="W2143" s="27"/>
      <c r="X2143" s="27"/>
      <c r="Y2143" s="27">
        <f>Inventory[[#This Row],[MainFn]]+Inventory[[#This Row],[UpprFn]]+Inventory[[#This Row],[FnBsmt]]+Inventory[[#This Row],[AddFn]]</f>
        <v>1958</v>
      </c>
      <c r="Z2143" s="27">
        <v>2000</v>
      </c>
      <c r="AA2143" s="25">
        <v>7</v>
      </c>
      <c r="AB2143" s="27"/>
      <c r="AC2143" s="27"/>
      <c r="AD2143" s="32">
        <v>66</v>
      </c>
      <c r="AE2143" s="27"/>
      <c r="AF2143" s="27"/>
      <c r="AG2143" s="27"/>
      <c r="AH2143" s="27"/>
      <c r="AI2143" s="25">
        <v>379009</v>
      </c>
      <c r="AJ2143" s="25">
        <v>242566</v>
      </c>
      <c r="AK2143" s="25">
        <v>8156</v>
      </c>
      <c r="AL2143" s="25">
        <v>366300</v>
      </c>
      <c r="AM2143" s="25">
        <v>66200</v>
      </c>
      <c r="AN2143" s="25">
        <v>300100</v>
      </c>
      <c r="AO2143" s="25">
        <v>0</v>
      </c>
      <c r="AP2143" s="25">
        <f>Lookups!$B$56*0</f>
        <v>0</v>
      </c>
      <c r="AQ2143" s="25">
        <f>Lookups!$B$56*1</f>
        <v>89850.625589999996</v>
      </c>
      <c r="AR2143" s="25">
        <f>Lookups!$B$57*Inventory[[#This Row],[LnAcres]]</f>
        <v>-43882.615305165229</v>
      </c>
      <c r="AS2143" s="25">
        <f>VLOOKUP(Inventory[[#This Row],[Qlty]],Lookups!$A$62:$E$75,2,FALSE)</f>
        <v>29814.093161000001</v>
      </c>
      <c r="AT2143" s="25">
        <f>VLOOKUP(Inventory[[#This Row],[Cnd]],Lookups!$A$76:$E$84,2,FALSE)</f>
        <v>197752.34721000001</v>
      </c>
      <c r="AU2143" s="25">
        <f>Inventory[[#This Row],[EffAge]]*Lookups!$B$85</f>
        <v>-12936.644829000001</v>
      </c>
      <c r="AV2143" s="25">
        <f>Inventory[[#This Row],[MainFn]]*Lookups!$B$86</f>
        <v>47234.688402412001</v>
      </c>
      <c r="AW2143" s="25">
        <f>Inventory[[#This Row],[UpprFn]]*Lookups!$B$87</f>
        <v>44875.995706721995</v>
      </c>
      <c r="AX2143" s="25">
        <f>Inventory[[#This Row],[AddFn]]*Lookups!$B$88</f>
        <v>0</v>
      </c>
      <c r="AY2143" s="25">
        <f>Inventory[[#This Row],[Bsmt]]*Lookups!$B$89</f>
        <v>9771.5168029919987</v>
      </c>
      <c r="AZ2143" s="25">
        <f>Inventory[[#This Row],[Fixtures]]*Lookups!$B$90</f>
        <v>26544.1547364</v>
      </c>
      <c r="BA2143" s="25">
        <f>Inventory[[#This Row],[WdDeck]]*Lookups!$B$91</f>
        <v>2197.5040082160003</v>
      </c>
      <c r="BB2143" s="25">
        <f>ROUND(Inventory[[#This Row],[25Det]],-2)</f>
        <v>8200</v>
      </c>
      <c r="BC2143" s="25">
        <f>ROUND(SUM(Inventory[[#This Row],[Mdl Qlty]:[Mdl WdDeck]])+Inventory[[#This Row],[Mdl Res Intercept]],-2)</f>
        <v>345300</v>
      </c>
      <c r="BD2143" s="25">
        <f>ROUND(Inventory[[#This Row],[Mdl Land Intercept]]+Inventory[[#This Row],[Mdl LnAcres]],-2)</f>
        <v>46000</v>
      </c>
      <c r="BE2143" s="25">
        <f>Inventory[[#This Row],[Unadj Res Value]]+Inventory[[#This Row],[Unadj Det Value]]+Inventory[[#This Row],[Unadj Land Value]]</f>
        <v>399500</v>
      </c>
      <c r="BF2143" s="36">
        <f>(Inventory[[#This Row],[Unadj Total Value]]-Inventory[[#This Row],[24Final]])/Inventory[[#This Row],[24Final]]</f>
        <v>9.0636090636090641E-2</v>
      </c>
      <c r="BG2143" s="25">
        <f>VLOOKUP(Inventory[[#This Row],[Nbhd]],Lookups!$Q$2:$T$4,4,FALSE)</f>
        <v>0.99970000000000003</v>
      </c>
      <c r="BH2143" s="25">
        <f>VLOOKUP(Inventory[[#This Row],[Qlty]],Lookups!$O$7:$R$21,4,FALSE)</f>
        <v>1.0088999999999999</v>
      </c>
      <c r="BI2143" s="25">
        <f>VLOOKUP(Inventory[[#This Row],[Cnd]],Lookups!$T$7:$W$16,4,FALSE)</f>
        <v>0.99650000000000005</v>
      </c>
      <c r="BJ2143" s="25">
        <f>VLOOKUP(Inventory[[#This Row],[LivArea Range]],Lookups!$T$25:$W$37,4,FALSE)</f>
        <v>1.0093000000000001</v>
      </c>
      <c r="BK2143" s="25">
        <f>VLOOKUP(Inventory[[#This Row],[Decade]],Lookups!$O$25:$R$42,4,FALSE)</f>
        <v>0.96040000000000003</v>
      </c>
      <c r="BL2143" s="25">
        <f>Inventory[[#This Row],[Nbhd Adj]]*0.95</f>
        <v>0.94971499999999998</v>
      </c>
      <c r="BM2143" s="25">
        <f>Inventory[[#This Row],[Nbhd Adj]]*Inventory[[#This Row],[Quality Adj]]*Inventory[[#This Row],[Condition Adj]]*Inventory[[#This Row],[Living Area Adj]]*Inventory[[#This Row],[Decade Adj]]*0.95</f>
        <v>0.92553137803844354</v>
      </c>
      <c r="BN2143" s="25">
        <f>ROUND(SUM(Inventory[[#This Row],[Mdl Qlty]:[Mdl WdDeck]])+Inventory[[#This Row],[Mdl Res Intercept]]*Inventory[[#This Row],[Res Adj ]],-2)</f>
        <v>345300</v>
      </c>
      <c r="BO2143" s="25">
        <f>ROUND(Inventory[[#This Row],[25Det]]*Inventory[[#This Row],[Det/Nbhd Adj]],-2)</f>
        <v>7700</v>
      </c>
      <c r="BP2143" s="25">
        <f>Inventory[[#This Row],[Adjusted Res]]+Inventory[[#This Row],[Adj Det ]]</f>
        <v>353000</v>
      </c>
      <c r="BQ2143" s="25">
        <f>ROUND((Inventory[[#This Row],[Mdl Land Intercept]]+Inventory[[#This Row],[Mdl LnAcres]])*Inventory[[#This Row],[Det/Nbhd Adj]],-2)</f>
        <v>43700</v>
      </c>
      <c r="BR2143" s="25">
        <f>Inventory[[#This Row],[Adjusted Impr Total]]+Inventory[[#This Row],[Adjusted Land Total]]</f>
        <v>396700</v>
      </c>
      <c r="BS2143" s="36">
        <f>IFERROR((Inventory[[#This Row],[Adjusted Impr Total]]-Inventory[[#This Row],[24Bldg]])/Inventory[[#This Row],[24Bldg]],0)</f>
        <v>0.17627457514161946</v>
      </c>
      <c r="BT2143" s="36">
        <f>(Inventory[[#This Row],[Adjusted Land Total]]-Inventory[[#This Row],[24Lnd]])/Inventory[[#This Row],[24Lnd]]</f>
        <v>-0.33987915407854985</v>
      </c>
      <c r="BU2143" s="36">
        <f>(Inventory[[#This Row],[Adjusted Total]]-Inventory[[#This Row],[24Final]])/Inventory[[#This Row],[24Final]]</f>
        <v>8.2992082992082994E-2</v>
      </c>
    </row>
    <row r="2144" spans="1:73" x14ac:dyDescent="0.3">
      <c r="A2144" s="25">
        <v>2025</v>
      </c>
      <c r="B2144" s="26" t="s">
        <v>1856</v>
      </c>
      <c r="C2144" s="26">
        <f>LN(Inventory[[#This Row],[Acres]])</f>
        <v>-1.8325814637483102</v>
      </c>
      <c r="D2144" s="25">
        <v>0.16</v>
      </c>
      <c r="E2144" s="31"/>
      <c r="F2144" s="26" t="s">
        <v>537</v>
      </c>
      <c r="G2144" s="26" t="s">
        <v>126</v>
      </c>
      <c r="H2144" s="26" t="s">
        <v>349</v>
      </c>
      <c r="I2144" s="26" t="s">
        <v>538</v>
      </c>
      <c r="J2144" s="26" t="s">
        <v>539</v>
      </c>
      <c r="K2144" s="26" t="s">
        <v>269</v>
      </c>
      <c r="L2144" s="26" t="s">
        <v>351</v>
      </c>
      <c r="M2144" s="26" t="s">
        <v>303</v>
      </c>
      <c r="N2144" s="26">
        <v>110</v>
      </c>
      <c r="O2144" s="26">
        <f>2024-Inventory[[#This Row],[YrBlt]]</f>
        <v>104</v>
      </c>
      <c r="P2144" s="26">
        <f>2024-Inventory[[#This Row],[EffYr]]</f>
        <v>58</v>
      </c>
      <c r="Q2144" s="25">
        <v>1920</v>
      </c>
      <c r="R2144" s="25">
        <v>1966</v>
      </c>
      <c r="S2144" s="25">
        <v>987</v>
      </c>
      <c r="T2144" s="27"/>
      <c r="U2144" s="25">
        <v>494</v>
      </c>
      <c r="V2144" s="32">
        <f>Inventory[[#This Row],[Bsmt]]-Inventory[[#This Row],[FnBsmt]]</f>
        <v>0</v>
      </c>
      <c r="W2144" s="32">
        <v>494</v>
      </c>
      <c r="X2144" s="27"/>
      <c r="Y2144" s="27">
        <f>Inventory[[#This Row],[MainFn]]+Inventory[[#This Row],[UpprFn]]+Inventory[[#This Row],[FnBsmt]]+Inventory[[#This Row],[AddFn]]</f>
        <v>1481</v>
      </c>
      <c r="Z2144" s="27">
        <v>1500</v>
      </c>
      <c r="AA2144" s="25">
        <v>5</v>
      </c>
      <c r="AB2144" s="27"/>
      <c r="AC2144" s="27"/>
      <c r="AD2144" s="27"/>
      <c r="AE2144" s="27"/>
      <c r="AF2144" s="27"/>
      <c r="AG2144" s="27"/>
      <c r="AH2144" s="27"/>
      <c r="AI2144" s="25">
        <v>214682</v>
      </c>
      <c r="AJ2144" s="25">
        <v>137396</v>
      </c>
      <c r="AK2144" s="25">
        <v>6988</v>
      </c>
      <c r="AL2144" s="25">
        <v>300400</v>
      </c>
      <c r="AM2144" s="25">
        <v>50600</v>
      </c>
      <c r="AN2144" s="25">
        <v>249800</v>
      </c>
      <c r="AO2144" s="25">
        <v>0</v>
      </c>
      <c r="AP2144" s="25">
        <f>Lookups!$B$56*0</f>
        <v>0</v>
      </c>
      <c r="AQ2144" s="25">
        <f>Lookups!$B$56*1</f>
        <v>89850.625589999996</v>
      </c>
      <c r="AR2144" s="25">
        <f>Lookups!$B$57*Inventory[[#This Row],[LnAcres]]</f>
        <v>-58009.662049032086</v>
      </c>
      <c r="AS2144" s="25">
        <f>VLOOKUP(Inventory[[#This Row],[Qlty]],Lookups!$A$62:$E$75,2,FALSE)</f>
        <v>21557.329055999999</v>
      </c>
      <c r="AT2144" s="25">
        <f>VLOOKUP(Inventory[[#This Row],[Cnd]],Lookups!$A$76:$E$84,2,FALSE)</f>
        <v>197752.34721000001</v>
      </c>
      <c r="AU2144" s="25">
        <f>Inventory[[#This Row],[EffAge]]*Lookups!$B$85</f>
        <v>-12936.644829000001</v>
      </c>
      <c r="AV2144" s="25">
        <f>Inventory[[#This Row],[MainFn]]*Lookups!$B$86</f>
        <v>48766.357168599003</v>
      </c>
      <c r="AW2144" s="25">
        <f>Inventory[[#This Row],[UpprFn]]*Lookups!$B$87</f>
        <v>0</v>
      </c>
      <c r="AX2144" s="25">
        <f>Inventory[[#This Row],[AddFn]]*Lookups!$B$88</f>
        <v>0</v>
      </c>
      <c r="AY2144" s="25">
        <f>Inventory[[#This Row],[Bsmt]]*Lookups!$B$89</f>
        <v>14366.456252017999</v>
      </c>
      <c r="AZ2144" s="25">
        <f>Inventory[[#This Row],[Fixtures]]*Lookups!$B$90</f>
        <v>18960.110526</v>
      </c>
      <c r="BA2144" s="25">
        <f>Inventory[[#This Row],[WdDeck]]*Lookups!$B$91</f>
        <v>0</v>
      </c>
      <c r="BB2144" s="25">
        <f>ROUND(Inventory[[#This Row],[25Det]],-2)</f>
        <v>7000</v>
      </c>
      <c r="BC2144" s="25">
        <f>ROUND(SUM(Inventory[[#This Row],[Mdl Qlty]:[Mdl WdDeck]])+Inventory[[#This Row],[Mdl Res Intercept]],-2)</f>
        <v>288500</v>
      </c>
      <c r="BD2144" s="25">
        <f>ROUND(Inventory[[#This Row],[Mdl Land Intercept]]+Inventory[[#This Row],[Mdl LnAcres]],-2)</f>
        <v>31800</v>
      </c>
      <c r="BE2144" s="25">
        <f>Inventory[[#This Row],[Unadj Res Value]]+Inventory[[#This Row],[Unadj Det Value]]+Inventory[[#This Row],[Unadj Land Value]]</f>
        <v>327300</v>
      </c>
      <c r="BF2144" s="36">
        <f>(Inventory[[#This Row],[Unadj Total Value]]-Inventory[[#This Row],[24Final]])/Inventory[[#This Row],[24Final]]</f>
        <v>8.9547270306258323E-2</v>
      </c>
      <c r="BG2144" s="25">
        <f>VLOOKUP(Inventory[[#This Row],[Nbhd]],Lookups!$Q$2:$T$4,4,FALSE)</f>
        <v>0.99970000000000003</v>
      </c>
      <c r="BH2144" s="25">
        <f>VLOOKUP(Inventory[[#This Row],[Qlty]],Lookups!$O$7:$R$21,4,FALSE)</f>
        <v>1.0067999999999999</v>
      </c>
      <c r="BI2144" s="25">
        <f>VLOOKUP(Inventory[[#This Row],[Cnd]],Lookups!$T$7:$W$16,4,FALSE)</f>
        <v>0.99650000000000005</v>
      </c>
      <c r="BJ2144" s="25">
        <f>VLOOKUP(Inventory[[#This Row],[LivArea Range]],Lookups!$T$25:$W$37,4,FALSE)</f>
        <v>1.0157</v>
      </c>
      <c r="BK2144" s="25">
        <f>VLOOKUP(Inventory[[#This Row],[Decade]],Lookups!$O$25:$R$42,4,FALSE)</f>
        <v>0.96040000000000003</v>
      </c>
      <c r="BL2144" s="25">
        <f>Inventory[[#This Row],[Nbhd Adj]]*0.95</f>
        <v>0.94971499999999998</v>
      </c>
      <c r="BM2144" s="25">
        <f>Inventory[[#This Row],[Nbhd Adj]]*Inventory[[#This Row],[Quality Adj]]*Inventory[[#This Row],[Condition Adj]]*Inventory[[#This Row],[Living Area Adj]]*Inventory[[#This Row],[Decade Adj]]*0.95</f>
        <v>0.92946151271343602</v>
      </c>
      <c r="BN2144" s="25">
        <f>ROUND(SUM(Inventory[[#This Row],[Mdl Qlty]:[Mdl WdDeck]])+Inventory[[#This Row],[Mdl Res Intercept]]*Inventory[[#This Row],[Res Adj ]],-2)</f>
        <v>288500</v>
      </c>
      <c r="BO2144" s="25">
        <f>ROUND(Inventory[[#This Row],[25Det]]*Inventory[[#This Row],[Det/Nbhd Adj]],-2)</f>
        <v>6600</v>
      </c>
      <c r="BP2144" s="25">
        <f>Inventory[[#This Row],[Adjusted Res]]+Inventory[[#This Row],[Adj Det ]]</f>
        <v>295100</v>
      </c>
      <c r="BQ2144" s="25">
        <f>ROUND((Inventory[[#This Row],[Mdl Land Intercept]]+Inventory[[#This Row],[Mdl LnAcres]])*Inventory[[#This Row],[Det/Nbhd Adj]],-2)</f>
        <v>30200</v>
      </c>
      <c r="BR2144" s="25">
        <f>Inventory[[#This Row],[Adjusted Impr Total]]+Inventory[[#This Row],[Adjusted Land Total]]</f>
        <v>325300</v>
      </c>
      <c r="BS2144" s="36">
        <f>IFERROR((Inventory[[#This Row],[Adjusted Impr Total]]-Inventory[[#This Row],[24Bldg]])/Inventory[[#This Row],[24Bldg]],0)</f>
        <v>0.18134507606084868</v>
      </c>
      <c r="BT2144" s="36">
        <f>(Inventory[[#This Row],[Adjusted Land Total]]-Inventory[[#This Row],[24Lnd]])/Inventory[[#This Row],[24Lnd]]</f>
        <v>-0.40316205533596838</v>
      </c>
      <c r="BU2144" s="36">
        <f>(Inventory[[#This Row],[Adjusted Total]]-Inventory[[#This Row],[24Final]])/Inventory[[#This Row],[24Final]]</f>
        <v>8.2889480692410117E-2</v>
      </c>
    </row>
    <row r="2145" spans="1:73" x14ac:dyDescent="0.3">
      <c r="A2145" s="25">
        <v>2025</v>
      </c>
      <c r="B2145" s="26" t="s">
        <v>1660</v>
      </c>
      <c r="C2145" s="26">
        <f>LN(Inventory[[#This Row],[Acres]])</f>
        <v>-0.89159811928378363</v>
      </c>
      <c r="D2145" s="25">
        <v>0.41</v>
      </c>
      <c r="E2145" s="32">
        <v>17946</v>
      </c>
      <c r="F2145" s="26" t="s">
        <v>537</v>
      </c>
      <c r="G2145" s="26" t="s">
        <v>126</v>
      </c>
      <c r="H2145" s="26" t="s">
        <v>349</v>
      </c>
      <c r="I2145" s="26" t="s">
        <v>538</v>
      </c>
      <c r="J2145" s="26" t="s">
        <v>539</v>
      </c>
      <c r="K2145" s="26" t="s">
        <v>269</v>
      </c>
      <c r="L2145" s="26" t="s">
        <v>148</v>
      </c>
      <c r="M2145" s="26" t="s">
        <v>303</v>
      </c>
      <c r="N2145" s="26">
        <v>110</v>
      </c>
      <c r="O2145" s="26">
        <f>2024-Inventory[[#This Row],[YrBlt]]</f>
        <v>104</v>
      </c>
      <c r="P2145" s="26">
        <f>2024-Inventory[[#This Row],[EffYr]]</f>
        <v>58</v>
      </c>
      <c r="Q2145" s="25">
        <v>1920</v>
      </c>
      <c r="R2145" s="25">
        <v>1966</v>
      </c>
      <c r="S2145" s="25">
        <v>1653</v>
      </c>
      <c r="T2145" s="25">
        <v>962</v>
      </c>
      <c r="U2145" s="25">
        <v>1184</v>
      </c>
      <c r="V2145" s="32">
        <f>Inventory[[#This Row],[Bsmt]]-Inventory[[#This Row],[FnBsmt]]</f>
        <v>0</v>
      </c>
      <c r="W2145" s="32">
        <v>1184</v>
      </c>
      <c r="X2145" s="27"/>
      <c r="Y2145" s="27">
        <f>Inventory[[#This Row],[MainFn]]+Inventory[[#This Row],[UpprFn]]+Inventory[[#This Row],[FnBsmt]]+Inventory[[#This Row],[AddFn]]</f>
        <v>3799</v>
      </c>
      <c r="Z2145" s="27">
        <v>4000</v>
      </c>
      <c r="AA2145" s="25">
        <v>14</v>
      </c>
      <c r="AB2145" s="27"/>
      <c r="AC2145" s="27"/>
      <c r="AD2145" s="32">
        <v>646</v>
      </c>
      <c r="AE2145" s="27"/>
      <c r="AF2145" s="27"/>
      <c r="AG2145" s="27"/>
      <c r="AH2145" s="27"/>
      <c r="AI2145" s="25">
        <v>650316</v>
      </c>
      <c r="AJ2145" s="25">
        <v>416202</v>
      </c>
      <c r="AK2145" s="25">
        <v>54494</v>
      </c>
      <c r="AL2145" s="25">
        <v>529200</v>
      </c>
      <c r="AM2145" s="25">
        <v>83400</v>
      </c>
      <c r="AN2145" s="25">
        <v>445800</v>
      </c>
      <c r="AO2145" s="25">
        <v>0</v>
      </c>
      <c r="AP2145" s="25">
        <f>Lookups!$B$56*0</f>
        <v>0</v>
      </c>
      <c r="AQ2145" s="25">
        <f>Lookups!$B$56*1</f>
        <v>89850.625589999996</v>
      </c>
      <c r="AR2145" s="25">
        <f>Lookups!$B$57*Inventory[[#This Row],[LnAcres]]</f>
        <v>-28223.195861326454</v>
      </c>
      <c r="AS2145" s="25">
        <f>VLOOKUP(Inventory[[#This Row],[Qlty]],Lookups!$A$62:$E$75,2,FALSE)</f>
        <v>44121.038090000002</v>
      </c>
      <c r="AT2145" s="25">
        <f>VLOOKUP(Inventory[[#This Row],[Cnd]],Lookups!$A$76:$E$84,2,FALSE)</f>
        <v>197752.34721000001</v>
      </c>
      <c r="AU2145" s="25">
        <f>Inventory[[#This Row],[EffAge]]*Lookups!$B$85</f>
        <v>-12936.644829000001</v>
      </c>
      <c r="AV2145" s="25">
        <f>Inventory[[#This Row],[MainFn]]*Lookups!$B$86</f>
        <v>81672.531306681005</v>
      </c>
      <c r="AW2145" s="25">
        <f>Inventory[[#This Row],[UpprFn]]*Lookups!$B$87</f>
        <v>43084.538792282001</v>
      </c>
      <c r="AX2145" s="25">
        <f>Inventory[[#This Row],[AddFn]]*Lookups!$B$88</f>
        <v>0</v>
      </c>
      <c r="AY2145" s="25">
        <f>Inventory[[#This Row],[Bsmt]]*Lookups!$B$89</f>
        <v>34432.963972448</v>
      </c>
      <c r="AZ2145" s="25">
        <f>Inventory[[#This Row],[Fixtures]]*Lookups!$B$90</f>
        <v>53088.3094728</v>
      </c>
      <c r="BA2145" s="25">
        <f>Inventory[[#This Row],[WdDeck]]*Lookups!$B$91</f>
        <v>21508.902868296002</v>
      </c>
      <c r="BB2145" s="25">
        <f>ROUND(Inventory[[#This Row],[25Det]],-2)</f>
        <v>54500</v>
      </c>
      <c r="BC2145" s="25">
        <f>ROUND(SUM(Inventory[[#This Row],[Mdl Qlty]:[Mdl WdDeck]])+Inventory[[#This Row],[Mdl Res Intercept]],-2)</f>
        <v>462700</v>
      </c>
      <c r="BD2145" s="25">
        <f>ROUND(Inventory[[#This Row],[Mdl Land Intercept]]+Inventory[[#This Row],[Mdl LnAcres]],-2)</f>
        <v>61600</v>
      </c>
      <c r="BE2145" s="25">
        <f>Inventory[[#This Row],[Unadj Res Value]]+Inventory[[#This Row],[Unadj Det Value]]+Inventory[[#This Row],[Unadj Land Value]]</f>
        <v>578800</v>
      </c>
      <c r="BF2145" s="36">
        <f>(Inventory[[#This Row],[Unadj Total Value]]-Inventory[[#This Row],[24Final]])/Inventory[[#This Row],[24Final]]</f>
        <v>9.3726379440665156E-2</v>
      </c>
      <c r="BG2145" s="25">
        <f>VLOOKUP(Inventory[[#This Row],[Nbhd]],Lookups!$Q$2:$T$4,4,FALSE)</f>
        <v>0.99970000000000003</v>
      </c>
      <c r="BH2145" s="25">
        <f>VLOOKUP(Inventory[[#This Row],[Qlty]],Lookups!$O$7:$R$21,4,FALSE)</f>
        <v>0.98050000000000004</v>
      </c>
      <c r="BI2145" s="25">
        <f>VLOOKUP(Inventory[[#This Row],[Cnd]],Lookups!$T$7:$W$16,4,FALSE)</f>
        <v>0.99650000000000005</v>
      </c>
      <c r="BJ2145" s="25">
        <f>VLOOKUP(Inventory[[#This Row],[LivArea Range]],Lookups!$T$25:$W$37,4,FALSE)</f>
        <v>0.94579999999999997</v>
      </c>
      <c r="BK2145" s="25">
        <f>VLOOKUP(Inventory[[#This Row],[Decade]],Lookups!$O$25:$R$42,4,FALSE)</f>
        <v>0.96040000000000003</v>
      </c>
      <c r="BL2145" s="25">
        <f>Inventory[[#This Row],[Nbhd Adj]]*0.95</f>
        <v>0.94971499999999998</v>
      </c>
      <c r="BM2145" s="25">
        <f>Inventory[[#This Row],[Nbhd Adj]]*Inventory[[#This Row],[Quality Adj]]*Inventory[[#This Row],[Condition Adj]]*Inventory[[#This Row],[Living Area Adj]]*Inventory[[#This Row],[Decade Adj]]*0.95</f>
        <v>0.84288758965297927</v>
      </c>
      <c r="BN2145" s="25">
        <f>ROUND(SUM(Inventory[[#This Row],[Mdl Qlty]:[Mdl WdDeck]])+Inventory[[#This Row],[Mdl Res Intercept]]*Inventory[[#This Row],[Res Adj ]],-2)</f>
        <v>462700</v>
      </c>
      <c r="BO2145" s="25">
        <f>ROUND(Inventory[[#This Row],[25Det]]*Inventory[[#This Row],[Det/Nbhd Adj]],-2)</f>
        <v>51800</v>
      </c>
      <c r="BP2145" s="25">
        <f>Inventory[[#This Row],[Adjusted Res]]+Inventory[[#This Row],[Adj Det ]]</f>
        <v>514500</v>
      </c>
      <c r="BQ2145" s="25">
        <f>ROUND((Inventory[[#This Row],[Mdl Land Intercept]]+Inventory[[#This Row],[Mdl LnAcres]])*Inventory[[#This Row],[Det/Nbhd Adj]],-2)</f>
        <v>58500</v>
      </c>
      <c r="BR2145" s="25">
        <f>Inventory[[#This Row],[Adjusted Impr Total]]+Inventory[[#This Row],[Adjusted Land Total]]</f>
        <v>573000</v>
      </c>
      <c r="BS2145" s="36">
        <f>IFERROR((Inventory[[#This Row],[Adjusted Impr Total]]-Inventory[[#This Row],[24Bldg]])/Inventory[[#This Row],[24Bldg]],0)</f>
        <v>0.1541049798115747</v>
      </c>
      <c r="BT2145" s="36">
        <f>(Inventory[[#This Row],[Adjusted Land Total]]-Inventory[[#This Row],[24Lnd]])/Inventory[[#This Row],[24Lnd]]</f>
        <v>-0.29856115107913667</v>
      </c>
      <c r="BU2145" s="36">
        <f>(Inventory[[#This Row],[Adjusted Total]]-Inventory[[#This Row],[24Final]])/Inventory[[#This Row],[24Final]]</f>
        <v>8.2766439909297052E-2</v>
      </c>
    </row>
    <row r="2146" spans="1:73" x14ac:dyDescent="0.3">
      <c r="A2146" s="25">
        <v>2025</v>
      </c>
      <c r="B2146" s="26" t="s">
        <v>2716</v>
      </c>
      <c r="C2146" s="26">
        <f>LN(Inventory[[#This Row],[Acres]])</f>
        <v>-2.0402208285265546</v>
      </c>
      <c r="D2146" s="25">
        <v>0.13</v>
      </c>
      <c r="E2146" s="31"/>
      <c r="F2146" s="26" t="s">
        <v>537</v>
      </c>
      <c r="G2146" s="26" t="s">
        <v>126</v>
      </c>
      <c r="H2146" s="26" t="s">
        <v>349</v>
      </c>
      <c r="I2146" s="26" t="s">
        <v>538</v>
      </c>
      <c r="J2146" s="26" t="s">
        <v>539</v>
      </c>
      <c r="K2146" s="26" t="s">
        <v>269</v>
      </c>
      <c r="L2146" s="26" t="s">
        <v>351</v>
      </c>
      <c r="M2146" s="26" t="s">
        <v>303</v>
      </c>
      <c r="N2146" s="26">
        <v>110</v>
      </c>
      <c r="O2146" s="26">
        <f>2024-Inventory[[#This Row],[YrBlt]]</f>
        <v>104</v>
      </c>
      <c r="P2146" s="26">
        <f>2024-Inventory[[#This Row],[EffYr]]</f>
        <v>58</v>
      </c>
      <c r="Q2146" s="25">
        <v>1920</v>
      </c>
      <c r="R2146" s="25">
        <v>1966</v>
      </c>
      <c r="S2146" s="25">
        <v>1296</v>
      </c>
      <c r="T2146" s="32">
        <v>377</v>
      </c>
      <c r="U2146" s="25">
        <v>1192</v>
      </c>
      <c r="V2146" s="25">
        <f>Inventory[[#This Row],[Bsmt]]-Inventory[[#This Row],[FnBsmt]]</f>
        <v>0</v>
      </c>
      <c r="W2146" s="25">
        <v>1192</v>
      </c>
      <c r="X2146" s="27"/>
      <c r="Y2146" s="27">
        <f>Inventory[[#This Row],[MainFn]]+Inventory[[#This Row],[UpprFn]]+Inventory[[#This Row],[FnBsmt]]+Inventory[[#This Row],[AddFn]]</f>
        <v>2865</v>
      </c>
      <c r="Z2146" s="27">
        <v>3000</v>
      </c>
      <c r="AA2146" s="25">
        <v>10</v>
      </c>
      <c r="AB2146" s="27"/>
      <c r="AC2146" s="27"/>
      <c r="AD2146" s="32">
        <v>348</v>
      </c>
      <c r="AE2146" s="27"/>
      <c r="AF2146" s="27"/>
      <c r="AG2146" s="27"/>
      <c r="AH2146" s="27"/>
      <c r="AI2146" s="25">
        <v>356372</v>
      </c>
      <c r="AJ2146" s="25">
        <v>228078</v>
      </c>
      <c r="AK2146" s="25">
        <v>6542</v>
      </c>
      <c r="AL2146" s="25">
        <v>371400</v>
      </c>
      <c r="AM2146" s="25">
        <v>43400</v>
      </c>
      <c r="AN2146" s="25">
        <v>328000</v>
      </c>
      <c r="AO2146" s="25">
        <v>0</v>
      </c>
      <c r="AP2146" s="25">
        <f>Lookups!$B$56*0</f>
        <v>0</v>
      </c>
      <c r="AQ2146" s="25">
        <f>Lookups!$B$56*1</f>
        <v>89850.625589999996</v>
      </c>
      <c r="AR2146" s="25">
        <f>Lookups!$B$57*Inventory[[#This Row],[LnAcres]]</f>
        <v>-64582.406353792743</v>
      </c>
      <c r="AS2146" s="25">
        <f>VLOOKUP(Inventory[[#This Row],[Qlty]],Lookups!$A$62:$E$75,2,FALSE)</f>
        <v>21557.329055999999</v>
      </c>
      <c r="AT2146" s="25">
        <f>VLOOKUP(Inventory[[#This Row],[Cnd]],Lookups!$A$76:$E$84,2,FALSE)</f>
        <v>197752.34721000001</v>
      </c>
      <c r="AU2146" s="25">
        <f>Inventory[[#This Row],[EffAge]]*Lookups!$B$85</f>
        <v>-12936.644829000001</v>
      </c>
      <c r="AV2146" s="25">
        <f>Inventory[[#This Row],[MainFn]]*Lookups!$B$86</f>
        <v>64033.636160592003</v>
      </c>
      <c r="AW2146" s="25">
        <f>Inventory[[#This Row],[UpprFn]]*Lookups!$B$87</f>
        <v>16884.481418596999</v>
      </c>
      <c r="AX2146" s="25">
        <f>Inventory[[#This Row],[AddFn]]*Lookups!$B$88</f>
        <v>0</v>
      </c>
      <c r="AY2146" s="25">
        <f>Inventory[[#This Row],[Bsmt]]*Lookups!$B$89</f>
        <v>34665.619134424</v>
      </c>
      <c r="AZ2146" s="25">
        <f>Inventory[[#This Row],[Fixtures]]*Lookups!$B$90</f>
        <v>37920.221052000001</v>
      </c>
      <c r="BA2146" s="25">
        <f>Inventory[[#This Row],[WdDeck]]*Lookups!$B$91</f>
        <v>11586.839316048001</v>
      </c>
      <c r="BB2146" s="25">
        <f>ROUND(Inventory[[#This Row],[25Det]],-2)</f>
        <v>6500</v>
      </c>
      <c r="BC2146" s="25">
        <f>ROUND(SUM(Inventory[[#This Row],[Mdl Qlty]:[Mdl WdDeck]])+Inventory[[#This Row],[Mdl Res Intercept]],-2)</f>
        <v>371500</v>
      </c>
      <c r="BD2146" s="25">
        <f>ROUND(Inventory[[#This Row],[Mdl Land Intercept]]+Inventory[[#This Row],[Mdl LnAcres]],-2)</f>
        <v>25300</v>
      </c>
      <c r="BE2146" s="25">
        <f>Inventory[[#This Row],[Unadj Res Value]]+Inventory[[#This Row],[Unadj Det Value]]+Inventory[[#This Row],[Unadj Land Value]]</f>
        <v>403300</v>
      </c>
      <c r="BF2146" s="36">
        <f>(Inventory[[#This Row],[Unadj Total Value]]-Inventory[[#This Row],[24Final]])/Inventory[[#This Row],[24Final]]</f>
        <v>8.5891222401723213E-2</v>
      </c>
      <c r="BG2146" s="25">
        <f>VLOOKUP(Inventory[[#This Row],[Nbhd]],Lookups!$Q$2:$T$4,4,FALSE)</f>
        <v>0.99970000000000003</v>
      </c>
      <c r="BH2146" s="25">
        <f>VLOOKUP(Inventory[[#This Row],[Qlty]],Lookups!$O$7:$R$21,4,FALSE)</f>
        <v>1.0067999999999999</v>
      </c>
      <c r="BI2146" s="25">
        <f>VLOOKUP(Inventory[[#This Row],[Cnd]],Lookups!$T$7:$W$16,4,FALSE)</f>
        <v>0.99650000000000005</v>
      </c>
      <c r="BJ2146" s="25">
        <f>VLOOKUP(Inventory[[#This Row],[LivArea Range]],Lookups!$T$25:$W$37,4,FALSE)</f>
        <v>0.96179999999999999</v>
      </c>
      <c r="BK2146" s="25">
        <f>VLOOKUP(Inventory[[#This Row],[Decade]],Lookups!$O$25:$R$42,4,FALSE)</f>
        <v>0.96040000000000003</v>
      </c>
      <c r="BL2146" s="25">
        <f>Inventory[[#This Row],[Nbhd Adj]]*0.95</f>
        <v>0.94971499999999998</v>
      </c>
      <c r="BM2146" s="25">
        <f>Inventory[[#This Row],[Nbhd Adj]]*Inventory[[#This Row],[Quality Adj]]*Inventory[[#This Row],[Condition Adj]]*Inventory[[#This Row],[Living Area Adj]]*Inventory[[#This Row],[Decade Adj]]*0.95</f>
        <v>0.88013791762113103</v>
      </c>
      <c r="BN2146" s="25">
        <f>ROUND(SUM(Inventory[[#This Row],[Mdl Qlty]:[Mdl WdDeck]])+Inventory[[#This Row],[Mdl Res Intercept]]*Inventory[[#This Row],[Res Adj ]],-2)</f>
        <v>371500</v>
      </c>
      <c r="BO2146" s="25">
        <f>ROUND(Inventory[[#This Row],[25Det]]*Inventory[[#This Row],[Det/Nbhd Adj]],-2)</f>
        <v>6200</v>
      </c>
      <c r="BP2146" s="25">
        <f>Inventory[[#This Row],[Adjusted Res]]+Inventory[[#This Row],[Adj Det ]]</f>
        <v>377700</v>
      </c>
      <c r="BQ2146" s="25">
        <f>ROUND((Inventory[[#This Row],[Mdl Land Intercept]]+Inventory[[#This Row],[Mdl LnAcres]])*Inventory[[#This Row],[Det/Nbhd Adj]],-2)</f>
        <v>24000</v>
      </c>
      <c r="BR2146" s="25">
        <f>Inventory[[#This Row],[Adjusted Impr Total]]+Inventory[[#This Row],[Adjusted Land Total]]</f>
        <v>401700</v>
      </c>
      <c r="BS2146" s="36">
        <f>IFERROR((Inventory[[#This Row],[Adjusted Impr Total]]-Inventory[[#This Row],[24Bldg]])/Inventory[[#This Row],[24Bldg]],0)</f>
        <v>0.15152439024390243</v>
      </c>
      <c r="BT2146" s="36">
        <f>(Inventory[[#This Row],[Adjusted Land Total]]-Inventory[[#This Row],[24Lnd]])/Inventory[[#This Row],[24Lnd]]</f>
        <v>-0.44700460829493088</v>
      </c>
      <c r="BU2146" s="36">
        <f>(Inventory[[#This Row],[Adjusted Total]]-Inventory[[#This Row],[24Final]])/Inventory[[#This Row],[24Final]]</f>
        <v>8.1583198707592897E-2</v>
      </c>
    </row>
    <row r="2147" spans="1:73" x14ac:dyDescent="0.3">
      <c r="A2147" s="25">
        <v>2025</v>
      </c>
      <c r="B2147" s="26" t="s">
        <v>1843</v>
      </c>
      <c r="C2147" s="26">
        <f>LN(Inventory[[#This Row],[Acres]])</f>
        <v>-1.8971199848858813</v>
      </c>
      <c r="D2147" s="25">
        <v>0.15</v>
      </c>
      <c r="E2147" s="31"/>
      <c r="F2147" s="26" t="s">
        <v>537</v>
      </c>
      <c r="G2147" s="26" t="s">
        <v>126</v>
      </c>
      <c r="H2147" s="26" t="s">
        <v>349</v>
      </c>
      <c r="I2147" s="26" t="s">
        <v>538</v>
      </c>
      <c r="J2147" s="26" t="s">
        <v>539</v>
      </c>
      <c r="K2147" s="26" t="s">
        <v>269</v>
      </c>
      <c r="L2147" s="26" t="s">
        <v>205</v>
      </c>
      <c r="M2147" s="26" t="s">
        <v>303</v>
      </c>
      <c r="N2147" s="26">
        <v>110</v>
      </c>
      <c r="O2147" s="26">
        <f>2024-Inventory[[#This Row],[YrBlt]]</f>
        <v>104</v>
      </c>
      <c r="P2147" s="26">
        <f>2024-Inventory[[#This Row],[EffYr]]</f>
        <v>58</v>
      </c>
      <c r="Q2147" s="25">
        <v>1920</v>
      </c>
      <c r="R2147" s="25">
        <v>1966</v>
      </c>
      <c r="S2147" s="25">
        <v>736</v>
      </c>
      <c r="T2147" s="31"/>
      <c r="U2147" s="25">
        <v>72</v>
      </c>
      <c r="V2147" s="25">
        <f>Inventory[[#This Row],[Bsmt]]-Inventory[[#This Row],[FnBsmt]]</f>
        <v>0</v>
      </c>
      <c r="W2147" s="25">
        <v>72</v>
      </c>
      <c r="X2147" s="27"/>
      <c r="Y2147" s="27">
        <f>Inventory[[#This Row],[MainFn]]+Inventory[[#This Row],[UpprFn]]+Inventory[[#This Row],[FnBsmt]]+Inventory[[#This Row],[AddFn]]</f>
        <v>808</v>
      </c>
      <c r="Z2147" s="27">
        <v>1000</v>
      </c>
      <c r="AA2147" s="25">
        <v>6</v>
      </c>
      <c r="AB2147" s="27"/>
      <c r="AC2147" s="31"/>
      <c r="AD2147" s="27"/>
      <c r="AE2147" s="27"/>
      <c r="AF2147" s="27"/>
      <c r="AG2147" s="27"/>
      <c r="AH2147" s="27"/>
      <c r="AI2147" s="25">
        <v>126308</v>
      </c>
      <c r="AJ2147" s="25">
        <v>80837</v>
      </c>
      <c r="AK2147" s="25">
        <v>9040</v>
      </c>
      <c r="AL2147" s="25">
        <v>261600</v>
      </c>
      <c r="AM2147" s="25">
        <v>48400</v>
      </c>
      <c r="AN2147" s="25">
        <v>213200</v>
      </c>
      <c r="AO2147" s="25">
        <v>0</v>
      </c>
      <c r="AP2147" s="25">
        <f>Lookups!$B$56*0</f>
        <v>0</v>
      </c>
      <c r="AQ2147" s="25">
        <f>Lookups!$B$56*1</f>
        <v>89850.625589999996</v>
      </c>
      <c r="AR2147" s="25">
        <f>Lookups!$B$57*Inventory[[#This Row],[LnAcres]]</f>
        <v>-60052.604136134301</v>
      </c>
      <c r="AS2147" s="25">
        <f>VLOOKUP(Inventory[[#This Row],[Qlty]],Lookups!$A$62:$E$75,2,FALSE)</f>
        <v>0</v>
      </c>
      <c r="AT2147" s="25">
        <f>VLOOKUP(Inventory[[#This Row],[Cnd]],Lookups!$A$76:$E$84,2,FALSE)</f>
        <v>197752.34721000001</v>
      </c>
      <c r="AU2147" s="25">
        <f>Inventory[[#This Row],[EffAge]]*Lookups!$B$85</f>
        <v>-12936.644829000001</v>
      </c>
      <c r="AV2147" s="25">
        <f>Inventory[[#This Row],[MainFn]]*Lookups!$B$86</f>
        <v>36364.781029472004</v>
      </c>
      <c r="AW2147" s="25">
        <f>Inventory[[#This Row],[UpprFn]]*Lookups!$B$87</f>
        <v>0</v>
      </c>
      <c r="AX2147" s="25">
        <f>Inventory[[#This Row],[AddFn]]*Lookups!$B$88</f>
        <v>0</v>
      </c>
      <c r="AY2147" s="25">
        <f>Inventory[[#This Row],[Bsmt]]*Lookups!$B$89</f>
        <v>2093.8964577839997</v>
      </c>
      <c r="AZ2147" s="25">
        <f>Inventory[[#This Row],[Fixtures]]*Lookups!$B$90</f>
        <v>22752.132631200002</v>
      </c>
      <c r="BA2147" s="25">
        <f>Inventory[[#This Row],[WdDeck]]*Lookups!$B$91</f>
        <v>0</v>
      </c>
      <c r="BB2147" s="25">
        <f>ROUND(Inventory[[#This Row],[25Det]],-2)</f>
        <v>9000</v>
      </c>
      <c r="BC2147" s="25">
        <f>ROUND(SUM(Inventory[[#This Row],[Mdl Qlty]:[Mdl WdDeck]])+Inventory[[#This Row],[Mdl Res Intercept]],-2)</f>
        <v>246000</v>
      </c>
      <c r="BD2147" s="25">
        <f>ROUND(Inventory[[#This Row],[Mdl Land Intercept]]+Inventory[[#This Row],[Mdl LnAcres]],-2)</f>
        <v>29800</v>
      </c>
      <c r="BE2147" s="25">
        <f>Inventory[[#This Row],[Unadj Res Value]]+Inventory[[#This Row],[Unadj Det Value]]+Inventory[[#This Row],[Unadj Land Value]]</f>
        <v>284800</v>
      </c>
      <c r="BF2147" s="36">
        <f>(Inventory[[#This Row],[Unadj Total Value]]-Inventory[[#This Row],[24Final]])/Inventory[[#This Row],[24Final]]</f>
        <v>8.8685015290519878E-2</v>
      </c>
      <c r="BG2147" s="25">
        <f>VLOOKUP(Inventory[[#This Row],[Nbhd]],Lookups!$Q$2:$T$4,4,FALSE)</f>
        <v>0.99970000000000003</v>
      </c>
      <c r="BH2147" s="25">
        <f>VLOOKUP(Inventory[[#This Row],[Qlty]],Lookups!$O$7:$R$21,4,FALSE)</f>
        <v>0.99180000000000001</v>
      </c>
      <c r="BI2147" s="25">
        <f>VLOOKUP(Inventory[[#This Row],[Cnd]],Lookups!$T$7:$W$16,4,FALSE)</f>
        <v>0.99650000000000005</v>
      </c>
      <c r="BJ2147" s="25">
        <f>VLOOKUP(Inventory[[#This Row],[LivArea Range]],Lookups!$T$25:$W$37,4,FALSE)</f>
        <v>1.0148999999999999</v>
      </c>
      <c r="BK2147" s="25">
        <f>VLOOKUP(Inventory[[#This Row],[Decade]],Lookups!$O$25:$R$42,4,FALSE)</f>
        <v>0.96040000000000003</v>
      </c>
      <c r="BL2147" s="25">
        <f>Inventory[[#This Row],[Nbhd Adj]]*0.95</f>
        <v>0.94971499999999998</v>
      </c>
      <c r="BM2147" s="25">
        <f>Inventory[[#This Row],[Nbhd Adj]]*Inventory[[#This Row],[Quality Adj]]*Inventory[[#This Row],[Condition Adj]]*Inventory[[#This Row],[Living Area Adj]]*Inventory[[#This Row],[Decade Adj]]*0.95</f>
        <v>0.91489258612078095</v>
      </c>
      <c r="BN2147" s="25">
        <f>ROUND(SUM(Inventory[[#This Row],[Mdl Qlty]:[Mdl WdDeck]])+Inventory[[#This Row],[Mdl Res Intercept]]*Inventory[[#This Row],[Res Adj ]],-2)</f>
        <v>246000</v>
      </c>
      <c r="BO2147" s="25">
        <f>ROUND(Inventory[[#This Row],[25Det]]*Inventory[[#This Row],[Det/Nbhd Adj]],-2)</f>
        <v>8600</v>
      </c>
      <c r="BP2147" s="25">
        <f>Inventory[[#This Row],[Adjusted Res]]+Inventory[[#This Row],[Adj Det ]]</f>
        <v>254600</v>
      </c>
      <c r="BQ2147" s="25">
        <f>ROUND((Inventory[[#This Row],[Mdl Land Intercept]]+Inventory[[#This Row],[Mdl LnAcres]])*Inventory[[#This Row],[Det/Nbhd Adj]],-2)</f>
        <v>28300</v>
      </c>
      <c r="BR2147" s="25">
        <f>Inventory[[#This Row],[Adjusted Impr Total]]+Inventory[[#This Row],[Adjusted Land Total]]</f>
        <v>282900</v>
      </c>
      <c r="BS2147" s="36">
        <f>IFERROR((Inventory[[#This Row],[Adjusted Impr Total]]-Inventory[[#This Row],[24Bldg]])/Inventory[[#This Row],[24Bldg]],0)</f>
        <v>0.19418386491557224</v>
      </c>
      <c r="BT2147" s="36">
        <f>(Inventory[[#This Row],[Adjusted Land Total]]-Inventory[[#This Row],[24Lnd]])/Inventory[[#This Row],[24Lnd]]</f>
        <v>-0.41528925619834711</v>
      </c>
      <c r="BU2147" s="36">
        <f>(Inventory[[#This Row],[Adjusted Total]]-Inventory[[#This Row],[24Final]])/Inventory[[#This Row],[24Final]]</f>
        <v>8.1422018348623851E-2</v>
      </c>
    </row>
    <row r="2148" spans="1:73" x14ac:dyDescent="0.3">
      <c r="A2148" s="25">
        <v>2025</v>
      </c>
      <c r="B2148" s="26" t="s">
        <v>1415</v>
      </c>
      <c r="C2148" s="26">
        <f>LN(Inventory[[#This Row],[Acres]])</f>
        <v>-1.1394342831883648</v>
      </c>
      <c r="D2148" s="25">
        <v>0.32</v>
      </c>
      <c r="E2148" s="25">
        <v>13772</v>
      </c>
      <c r="F2148" s="26" t="s">
        <v>537</v>
      </c>
      <c r="G2148" s="26" t="s">
        <v>126</v>
      </c>
      <c r="H2148" s="26" t="s">
        <v>349</v>
      </c>
      <c r="I2148" s="26" t="s">
        <v>538</v>
      </c>
      <c r="J2148" s="26" t="s">
        <v>539</v>
      </c>
      <c r="K2148" s="26" t="s">
        <v>416</v>
      </c>
      <c r="L2148" s="26" t="s">
        <v>351</v>
      </c>
      <c r="M2148" s="26" t="s">
        <v>323</v>
      </c>
      <c r="N2148" s="26">
        <v>110</v>
      </c>
      <c r="O2148" s="26">
        <f>2024-Inventory[[#This Row],[YrBlt]]</f>
        <v>104</v>
      </c>
      <c r="P2148" s="26">
        <f>2024-Inventory[[#This Row],[EffYr]]</f>
        <v>58</v>
      </c>
      <c r="Q2148" s="25">
        <v>1920</v>
      </c>
      <c r="R2148" s="25">
        <v>1966</v>
      </c>
      <c r="S2148" s="25">
        <v>972</v>
      </c>
      <c r="T2148" s="32">
        <v>780</v>
      </c>
      <c r="U2148" s="31"/>
      <c r="V2148" s="31">
        <f>Inventory[[#This Row],[Bsmt]]-Inventory[[#This Row],[FnBsmt]]</f>
        <v>0</v>
      </c>
      <c r="W2148" s="31"/>
      <c r="X2148" s="27"/>
      <c r="Y2148" s="27">
        <f>Inventory[[#This Row],[MainFn]]+Inventory[[#This Row],[UpprFn]]+Inventory[[#This Row],[FnBsmt]]+Inventory[[#This Row],[AddFn]]</f>
        <v>1752</v>
      </c>
      <c r="Z2148" s="27">
        <v>2000</v>
      </c>
      <c r="AA2148" s="25">
        <v>9</v>
      </c>
      <c r="AB2148" s="27"/>
      <c r="AC2148" s="27"/>
      <c r="AD2148" s="32">
        <v>432</v>
      </c>
      <c r="AE2148" s="27"/>
      <c r="AF2148" s="27"/>
      <c r="AG2148" s="27"/>
      <c r="AH2148" s="27"/>
      <c r="AI2148" s="25">
        <v>270144</v>
      </c>
      <c r="AJ2148" s="25">
        <v>167489</v>
      </c>
      <c r="AK2148" s="25">
        <v>0</v>
      </c>
      <c r="AL2148" s="25">
        <v>325300</v>
      </c>
      <c r="AM2148" s="25">
        <v>74800</v>
      </c>
      <c r="AN2148" s="25">
        <v>250500</v>
      </c>
      <c r="AO2148" s="25">
        <v>0</v>
      </c>
      <c r="AP2148" s="25">
        <f>Lookups!$B$56*0</f>
        <v>0</v>
      </c>
      <c r="AQ2148" s="25">
        <f>Lookups!$B$56*1</f>
        <v>89850.625589999996</v>
      </c>
      <c r="AR2148" s="25">
        <f>Lookups!$B$57*Inventory[[#This Row],[LnAcres]]</f>
        <v>-36068.354396449467</v>
      </c>
      <c r="AS2148" s="25">
        <f>VLOOKUP(Inventory[[#This Row],[Qlty]],Lookups!$A$62:$E$75,2,FALSE)</f>
        <v>21557.329055999999</v>
      </c>
      <c r="AT2148" s="25">
        <f>VLOOKUP(Inventory[[#This Row],[Cnd]],Lookups!$A$76:$E$84,2,FALSE)</f>
        <v>160472.20319</v>
      </c>
      <c r="AU2148" s="25">
        <f>Inventory[[#This Row],[EffAge]]*Lookups!$B$85</f>
        <v>-12936.644829000001</v>
      </c>
      <c r="AV2148" s="25">
        <f>Inventory[[#This Row],[MainFn]]*Lookups!$B$86</f>
        <v>48025.227120444004</v>
      </c>
      <c r="AW2148" s="25">
        <f>Inventory[[#This Row],[UpprFn]]*Lookups!$B$87</f>
        <v>34933.40983158</v>
      </c>
      <c r="AX2148" s="25">
        <f>Inventory[[#This Row],[AddFn]]*Lookups!$B$88</f>
        <v>0</v>
      </c>
      <c r="AY2148" s="25">
        <f>Inventory[[#This Row],[Bsmt]]*Lookups!$B$89</f>
        <v>0</v>
      </c>
      <c r="AZ2148" s="25">
        <f>Inventory[[#This Row],[Fixtures]]*Lookups!$B$90</f>
        <v>34128.198946800003</v>
      </c>
      <c r="BA2148" s="25">
        <f>Inventory[[#This Row],[WdDeck]]*Lookups!$B$91</f>
        <v>14383.662599232001</v>
      </c>
      <c r="BB2148" s="25">
        <f>ROUND(Inventory[[#This Row],[25Det]],-2)</f>
        <v>0</v>
      </c>
      <c r="BC2148" s="25">
        <f>ROUND(SUM(Inventory[[#This Row],[Mdl Qlty]:[Mdl WdDeck]])+Inventory[[#This Row],[Mdl Res Intercept]],-2)</f>
        <v>300600</v>
      </c>
      <c r="BD2148" s="25">
        <f>ROUND(Inventory[[#This Row],[Mdl Land Intercept]]+Inventory[[#This Row],[Mdl LnAcres]],-2)</f>
        <v>53800</v>
      </c>
      <c r="BE2148" s="25">
        <f>Inventory[[#This Row],[Unadj Res Value]]+Inventory[[#This Row],[Unadj Det Value]]+Inventory[[#This Row],[Unadj Land Value]]</f>
        <v>354400</v>
      </c>
      <c r="BF2148" s="36">
        <f>(Inventory[[#This Row],[Unadj Total Value]]-Inventory[[#This Row],[24Final]])/Inventory[[#This Row],[24Final]]</f>
        <v>8.9455886873655091E-2</v>
      </c>
      <c r="BG2148" s="25">
        <f>VLOOKUP(Inventory[[#This Row],[Nbhd]],Lookups!$Q$2:$T$4,4,FALSE)</f>
        <v>0.99970000000000003</v>
      </c>
      <c r="BH2148" s="25">
        <f>VLOOKUP(Inventory[[#This Row],[Qlty]],Lookups!$O$7:$R$21,4,FALSE)</f>
        <v>1.0067999999999999</v>
      </c>
      <c r="BI2148" s="25">
        <f>VLOOKUP(Inventory[[#This Row],[Cnd]],Lookups!$T$7:$W$16,4,FALSE)</f>
        <v>0.99729999999999996</v>
      </c>
      <c r="BJ2148" s="25">
        <f>VLOOKUP(Inventory[[#This Row],[LivArea Range]],Lookups!$T$25:$W$37,4,FALSE)</f>
        <v>1.0093000000000001</v>
      </c>
      <c r="BK2148" s="25">
        <f>VLOOKUP(Inventory[[#This Row],[Decade]],Lookups!$O$25:$R$42,4,FALSE)</f>
        <v>0.96040000000000003</v>
      </c>
      <c r="BL2148" s="25">
        <f>Inventory[[#This Row],[Nbhd Adj]]*0.95</f>
        <v>0.94971499999999998</v>
      </c>
      <c r="BM2148" s="25">
        <f>Inventory[[#This Row],[Nbhd Adj]]*Inventory[[#This Row],[Quality Adj]]*Inventory[[#This Row],[Condition Adj]]*Inventory[[#This Row],[Living Area Adj]]*Inventory[[#This Row],[Decade Adj]]*0.95</f>
        <v>0.92434638683335013</v>
      </c>
      <c r="BN2148" s="25">
        <f>ROUND(SUM(Inventory[[#This Row],[Mdl Qlty]:[Mdl WdDeck]])+Inventory[[#This Row],[Mdl Res Intercept]]*Inventory[[#This Row],[Res Adj ]],-2)</f>
        <v>300600</v>
      </c>
      <c r="BO2148" s="25">
        <f>ROUND(Inventory[[#This Row],[25Det]]*Inventory[[#This Row],[Det/Nbhd Adj]],-2)</f>
        <v>0</v>
      </c>
      <c r="BP2148" s="25">
        <f>Inventory[[#This Row],[Adjusted Res]]+Inventory[[#This Row],[Adj Det ]]</f>
        <v>300600</v>
      </c>
      <c r="BQ2148" s="25">
        <f>ROUND((Inventory[[#This Row],[Mdl Land Intercept]]+Inventory[[#This Row],[Mdl LnAcres]])*Inventory[[#This Row],[Det/Nbhd Adj]],-2)</f>
        <v>51100</v>
      </c>
      <c r="BR2148" s="25">
        <f>Inventory[[#This Row],[Adjusted Impr Total]]+Inventory[[#This Row],[Adjusted Land Total]]</f>
        <v>351700</v>
      </c>
      <c r="BS2148" s="36">
        <f>IFERROR((Inventory[[#This Row],[Adjusted Impr Total]]-Inventory[[#This Row],[24Bldg]])/Inventory[[#This Row],[24Bldg]],0)</f>
        <v>0.2</v>
      </c>
      <c r="BT2148" s="36">
        <f>(Inventory[[#This Row],[Adjusted Land Total]]-Inventory[[#This Row],[24Lnd]])/Inventory[[#This Row],[24Lnd]]</f>
        <v>-0.31684491978609625</v>
      </c>
      <c r="BU2148" s="36">
        <f>(Inventory[[#This Row],[Adjusted Total]]-Inventory[[#This Row],[24Final]])/Inventory[[#This Row],[24Final]]</f>
        <v>8.1155856132800491E-2</v>
      </c>
    </row>
    <row r="2149" spans="1:73" x14ac:dyDescent="0.3">
      <c r="A2149" s="25">
        <v>2025</v>
      </c>
      <c r="B2149" s="26" t="s">
        <v>2223</v>
      </c>
      <c r="C2149" s="26">
        <f>LN(Inventory[[#This Row],[Acres]])</f>
        <v>-1.9661128563728327</v>
      </c>
      <c r="D2149" s="25">
        <v>0.14000000000000001</v>
      </c>
      <c r="E2149" s="27"/>
      <c r="F2149" s="26" t="s">
        <v>537</v>
      </c>
      <c r="G2149" s="26" t="s">
        <v>126</v>
      </c>
      <c r="H2149" s="26" t="s">
        <v>349</v>
      </c>
      <c r="I2149" s="26" t="s">
        <v>538</v>
      </c>
      <c r="J2149" s="26" t="s">
        <v>539</v>
      </c>
      <c r="K2149" s="26" t="s">
        <v>4</v>
      </c>
      <c r="L2149" s="26" t="s">
        <v>351</v>
      </c>
      <c r="M2149" s="26" t="s">
        <v>323</v>
      </c>
      <c r="N2149" s="26">
        <v>110</v>
      </c>
      <c r="O2149" s="26">
        <f>2024-Inventory[[#This Row],[YrBlt]]</f>
        <v>104</v>
      </c>
      <c r="P2149" s="26">
        <f>2024-Inventory[[#This Row],[EffYr]]</f>
        <v>58</v>
      </c>
      <c r="Q2149" s="25">
        <v>1920</v>
      </c>
      <c r="R2149" s="25">
        <v>1966</v>
      </c>
      <c r="S2149" s="25">
        <v>884</v>
      </c>
      <c r="T2149" s="27"/>
      <c r="U2149" s="25">
        <v>884</v>
      </c>
      <c r="V2149" s="25">
        <f>Inventory[[#This Row],[Bsmt]]-Inventory[[#This Row],[FnBsmt]]</f>
        <v>442</v>
      </c>
      <c r="W2149" s="25">
        <v>442</v>
      </c>
      <c r="X2149" s="27"/>
      <c r="Y2149" s="27">
        <f>Inventory[[#This Row],[MainFn]]+Inventory[[#This Row],[UpprFn]]+Inventory[[#This Row],[FnBsmt]]+Inventory[[#This Row],[AddFn]]</f>
        <v>1326</v>
      </c>
      <c r="Z2149" s="27">
        <v>1500</v>
      </c>
      <c r="AA2149" s="25">
        <v>5</v>
      </c>
      <c r="AB2149" s="27"/>
      <c r="AC2149" s="27"/>
      <c r="AD2149" s="32">
        <v>105</v>
      </c>
      <c r="AE2149" s="27"/>
      <c r="AF2149" s="27"/>
      <c r="AG2149" s="27"/>
      <c r="AH2149" s="27"/>
      <c r="AI2149" s="25">
        <v>220195</v>
      </c>
      <c r="AJ2149" s="25">
        <v>136521</v>
      </c>
      <c r="AK2149" s="25">
        <v>0</v>
      </c>
      <c r="AL2149" s="25">
        <v>265600</v>
      </c>
      <c r="AM2149" s="25">
        <v>46000</v>
      </c>
      <c r="AN2149" s="25">
        <v>219600</v>
      </c>
      <c r="AO2149" s="25">
        <v>0</v>
      </c>
      <c r="AP2149" s="25">
        <f>Lookups!$B$56*0</f>
        <v>0</v>
      </c>
      <c r="AQ2149" s="25">
        <f>Lookups!$B$56*1</f>
        <v>89850.625589999996</v>
      </c>
      <c r="AR2149" s="25">
        <f>Lookups!$B$57*Inventory[[#This Row],[LnAcres]]</f>
        <v>-62236.546971921947</v>
      </c>
      <c r="AS2149" s="25">
        <f>VLOOKUP(Inventory[[#This Row],[Qlty]],Lookups!$A$62:$E$75,2,FALSE)</f>
        <v>21557.329055999999</v>
      </c>
      <c r="AT2149" s="25">
        <f>VLOOKUP(Inventory[[#This Row],[Cnd]],Lookups!$A$76:$E$84,2,FALSE)</f>
        <v>160472.20319</v>
      </c>
      <c r="AU2149" s="25">
        <f>Inventory[[#This Row],[EffAge]]*Lookups!$B$85</f>
        <v>-12936.644829000001</v>
      </c>
      <c r="AV2149" s="25">
        <f>Inventory[[#This Row],[MainFn]]*Lookups!$B$86</f>
        <v>43677.264171267998</v>
      </c>
      <c r="AW2149" s="25">
        <f>Inventory[[#This Row],[UpprFn]]*Lookups!$B$87</f>
        <v>0</v>
      </c>
      <c r="AX2149" s="25">
        <f>Inventory[[#This Row],[AddFn]]*Lookups!$B$88</f>
        <v>0</v>
      </c>
      <c r="AY2149" s="25">
        <f>Inventory[[#This Row],[Bsmt]]*Lookups!$B$89</f>
        <v>25708.395398347999</v>
      </c>
      <c r="AZ2149" s="25">
        <f>Inventory[[#This Row],[Fixtures]]*Lookups!$B$90</f>
        <v>18960.110526</v>
      </c>
      <c r="BA2149" s="25">
        <f>Inventory[[#This Row],[WdDeck]]*Lookups!$B$91</f>
        <v>3496.0291039800004</v>
      </c>
      <c r="BB2149" s="25">
        <f>ROUND(Inventory[[#This Row],[25Det]],-2)</f>
        <v>0</v>
      </c>
      <c r="BC2149" s="25">
        <f>ROUND(SUM(Inventory[[#This Row],[Mdl Qlty]:[Mdl WdDeck]])+Inventory[[#This Row],[Mdl Res Intercept]],-2)</f>
        <v>260900</v>
      </c>
      <c r="BD2149" s="25">
        <f>ROUND(Inventory[[#This Row],[Mdl Land Intercept]]+Inventory[[#This Row],[Mdl LnAcres]],-2)</f>
        <v>27600</v>
      </c>
      <c r="BE2149" s="25">
        <f>Inventory[[#This Row],[Unadj Res Value]]+Inventory[[#This Row],[Unadj Det Value]]+Inventory[[#This Row],[Unadj Land Value]]</f>
        <v>288500</v>
      </c>
      <c r="BF2149" s="36">
        <f>(Inventory[[#This Row],[Unadj Total Value]]-Inventory[[#This Row],[24Final]])/Inventory[[#This Row],[24Final]]</f>
        <v>8.6219879518072293E-2</v>
      </c>
      <c r="BG2149" s="25">
        <f>VLOOKUP(Inventory[[#This Row],[Nbhd]],Lookups!$Q$2:$T$4,4,FALSE)</f>
        <v>0.99970000000000003</v>
      </c>
      <c r="BH2149" s="25">
        <f>VLOOKUP(Inventory[[#This Row],[Qlty]],Lookups!$O$7:$R$21,4,FALSE)</f>
        <v>1.0067999999999999</v>
      </c>
      <c r="BI2149" s="25">
        <f>VLOOKUP(Inventory[[#This Row],[Cnd]],Lookups!$T$7:$W$16,4,FALSE)</f>
        <v>0.99729999999999996</v>
      </c>
      <c r="BJ2149" s="25">
        <f>VLOOKUP(Inventory[[#This Row],[LivArea Range]],Lookups!$T$25:$W$37,4,FALSE)</f>
        <v>1.0157</v>
      </c>
      <c r="BK2149" s="25">
        <f>VLOOKUP(Inventory[[#This Row],[Decade]],Lookups!$O$25:$R$42,4,FALSE)</f>
        <v>0.96040000000000003</v>
      </c>
      <c r="BL2149" s="25">
        <f>Inventory[[#This Row],[Nbhd Adj]]*0.95</f>
        <v>0.94971499999999998</v>
      </c>
      <c r="BM2149" s="25">
        <f>Inventory[[#This Row],[Nbhd Adj]]*Inventory[[#This Row],[Quality Adj]]*Inventory[[#This Row],[Condition Adj]]*Inventory[[#This Row],[Living Area Adj]]*Inventory[[#This Row],[Decade Adj]]*0.95</f>
        <v>0.93020769355655764</v>
      </c>
      <c r="BN2149" s="25">
        <f>ROUND(SUM(Inventory[[#This Row],[Mdl Qlty]:[Mdl WdDeck]])+Inventory[[#This Row],[Mdl Res Intercept]]*Inventory[[#This Row],[Res Adj ]],-2)</f>
        <v>260900</v>
      </c>
      <c r="BO2149" s="25">
        <f>ROUND(Inventory[[#This Row],[25Det]]*Inventory[[#This Row],[Det/Nbhd Adj]],-2)</f>
        <v>0</v>
      </c>
      <c r="BP2149" s="25">
        <f>Inventory[[#This Row],[Adjusted Res]]+Inventory[[#This Row],[Adj Det ]]</f>
        <v>260900</v>
      </c>
      <c r="BQ2149" s="25">
        <f>ROUND((Inventory[[#This Row],[Mdl Land Intercept]]+Inventory[[#This Row],[Mdl LnAcres]])*Inventory[[#This Row],[Det/Nbhd Adj]],-2)</f>
        <v>26200</v>
      </c>
      <c r="BR2149" s="25">
        <f>Inventory[[#This Row],[Adjusted Impr Total]]+Inventory[[#This Row],[Adjusted Land Total]]</f>
        <v>287100</v>
      </c>
      <c r="BS2149" s="36">
        <f>IFERROR((Inventory[[#This Row],[Adjusted Impr Total]]-Inventory[[#This Row],[24Bldg]])/Inventory[[#This Row],[24Bldg]],0)</f>
        <v>0.18806921675774135</v>
      </c>
      <c r="BT2149" s="36">
        <f>(Inventory[[#This Row],[Adjusted Land Total]]-Inventory[[#This Row],[24Lnd]])/Inventory[[#This Row],[24Lnd]]</f>
        <v>-0.43043478260869567</v>
      </c>
      <c r="BU2149" s="36">
        <f>(Inventory[[#This Row],[Adjusted Total]]-Inventory[[#This Row],[24Final]])/Inventory[[#This Row],[24Final]]</f>
        <v>8.0948795180722885E-2</v>
      </c>
    </row>
    <row r="2150" spans="1:73" x14ac:dyDescent="0.3">
      <c r="A2150" s="25">
        <v>2025</v>
      </c>
      <c r="B2150" s="26" t="s">
        <v>2710</v>
      </c>
      <c r="C2150" s="26">
        <f>LN(Inventory[[#This Row],[Acres]])</f>
        <v>-1.8971199848858813</v>
      </c>
      <c r="D2150" s="25">
        <v>0.15</v>
      </c>
      <c r="E2150" s="31"/>
      <c r="F2150" s="26" t="s">
        <v>537</v>
      </c>
      <c r="G2150" s="26" t="s">
        <v>126</v>
      </c>
      <c r="H2150" s="26" t="s">
        <v>349</v>
      </c>
      <c r="I2150" s="26" t="s">
        <v>538</v>
      </c>
      <c r="J2150" s="26" t="s">
        <v>539</v>
      </c>
      <c r="K2150" s="26" t="s">
        <v>269</v>
      </c>
      <c r="L2150" s="26" t="s">
        <v>351</v>
      </c>
      <c r="M2150" s="26" t="s">
        <v>303</v>
      </c>
      <c r="N2150" s="26">
        <v>110</v>
      </c>
      <c r="O2150" s="26">
        <f>2024-Inventory[[#This Row],[YrBlt]]</f>
        <v>104</v>
      </c>
      <c r="P2150" s="26">
        <f>2024-Inventory[[#This Row],[EffYr]]</f>
        <v>58</v>
      </c>
      <c r="Q2150" s="25">
        <v>1920</v>
      </c>
      <c r="R2150" s="25">
        <v>1966</v>
      </c>
      <c r="S2150" s="25">
        <v>920</v>
      </c>
      <c r="T2150" s="27"/>
      <c r="U2150" s="32">
        <v>460</v>
      </c>
      <c r="V2150" s="32">
        <f>Inventory[[#This Row],[Bsmt]]-Inventory[[#This Row],[FnBsmt]]</f>
        <v>0</v>
      </c>
      <c r="W2150" s="32">
        <v>460</v>
      </c>
      <c r="X2150" s="27"/>
      <c r="Y2150" s="27">
        <f>Inventory[[#This Row],[MainFn]]+Inventory[[#This Row],[UpprFn]]+Inventory[[#This Row],[FnBsmt]]+Inventory[[#This Row],[AddFn]]</f>
        <v>1380</v>
      </c>
      <c r="Z2150" s="27">
        <v>1500</v>
      </c>
      <c r="AA2150" s="25">
        <v>5</v>
      </c>
      <c r="AB2150" s="27"/>
      <c r="AC2150" s="27"/>
      <c r="AD2150" s="27"/>
      <c r="AE2150" s="27"/>
      <c r="AF2150" s="27"/>
      <c r="AG2150" s="27"/>
      <c r="AH2150" s="31"/>
      <c r="AI2150" s="25">
        <v>199305</v>
      </c>
      <c r="AJ2150" s="25">
        <v>127555</v>
      </c>
      <c r="AK2150" s="25">
        <v>10334</v>
      </c>
      <c r="AL2150" s="25">
        <v>298200</v>
      </c>
      <c r="AM2150" s="25">
        <v>48400</v>
      </c>
      <c r="AN2150" s="25">
        <v>249800</v>
      </c>
      <c r="AO2150" s="25">
        <v>0</v>
      </c>
      <c r="AP2150" s="25">
        <f>Lookups!$B$56*0</f>
        <v>0</v>
      </c>
      <c r="AQ2150" s="25">
        <f>Lookups!$B$56*1</f>
        <v>89850.625589999996</v>
      </c>
      <c r="AR2150" s="25">
        <f>Lookups!$B$57*Inventory[[#This Row],[LnAcres]]</f>
        <v>-60052.604136134301</v>
      </c>
      <c r="AS2150" s="25">
        <f>VLOOKUP(Inventory[[#This Row],[Qlty]],Lookups!$A$62:$E$75,2,FALSE)</f>
        <v>21557.329055999999</v>
      </c>
      <c r="AT2150" s="25">
        <f>VLOOKUP(Inventory[[#This Row],[Cnd]],Lookups!$A$76:$E$84,2,FALSE)</f>
        <v>197752.34721000001</v>
      </c>
      <c r="AU2150" s="25">
        <f>Inventory[[#This Row],[EffAge]]*Lookups!$B$85</f>
        <v>-12936.644829000001</v>
      </c>
      <c r="AV2150" s="25">
        <f>Inventory[[#This Row],[MainFn]]*Lookups!$B$86</f>
        <v>45455.976286839999</v>
      </c>
      <c r="AW2150" s="25">
        <f>Inventory[[#This Row],[UpprFn]]*Lookups!$B$87</f>
        <v>0</v>
      </c>
      <c r="AX2150" s="25">
        <f>Inventory[[#This Row],[AddFn]]*Lookups!$B$88</f>
        <v>0</v>
      </c>
      <c r="AY2150" s="25">
        <f>Inventory[[#This Row],[Bsmt]]*Lookups!$B$89</f>
        <v>13377.67181362</v>
      </c>
      <c r="AZ2150" s="25">
        <f>Inventory[[#This Row],[Fixtures]]*Lookups!$B$90</f>
        <v>18960.110526</v>
      </c>
      <c r="BA2150" s="25">
        <f>Inventory[[#This Row],[WdDeck]]*Lookups!$B$91</f>
        <v>0</v>
      </c>
      <c r="BB2150" s="25">
        <f>ROUND(Inventory[[#This Row],[25Det]],-2)</f>
        <v>10300</v>
      </c>
      <c r="BC2150" s="25">
        <f>ROUND(SUM(Inventory[[#This Row],[Mdl Qlty]:[Mdl WdDeck]])+Inventory[[#This Row],[Mdl Res Intercept]],-2)</f>
        <v>284200</v>
      </c>
      <c r="BD2150" s="25">
        <f>ROUND(Inventory[[#This Row],[Mdl Land Intercept]]+Inventory[[#This Row],[Mdl LnAcres]],-2)</f>
        <v>29800</v>
      </c>
      <c r="BE2150" s="25">
        <f>Inventory[[#This Row],[Unadj Res Value]]+Inventory[[#This Row],[Unadj Det Value]]+Inventory[[#This Row],[Unadj Land Value]]</f>
        <v>324300</v>
      </c>
      <c r="BF2150" s="36">
        <f>(Inventory[[#This Row],[Unadj Total Value]]-Inventory[[#This Row],[24Final]])/Inventory[[#This Row],[24Final]]</f>
        <v>8.75251509054326E-2</v>
      </c>
      <c r="BG2150" s="25">
        <f>VLOOKUP(Inventory[[#This Row],[Nbhd]],Lookups!$Q$2:$T$4,4,FALSE)</f>
        <v>0.99970000000000003</v>
      </c>
      <c r="BH2150" s="25">
        <f>VLOOKUP(Inventory[[#This Row],[Qlty]],Lookups!$O$7:$R$21,4,FALSE)</f>
        <v>1.0067999999999999</v>
      </c>
      <c r="BI2150" s="25">
        <f>VLOOKUP(Inventory[[#This Row],[Cnd]],Lookups!$T$7:$W$16,4,FALSE)</f>
        <v>0.99650000000000005</v>
      </c>
      <c r="BJ2150" s="25">
        <f>VLOOKUP(Inventory[[#This Row],[LivArea Range]],Lookups!$T$25:$W$37,4,FALSE)</f>
        <v>1.0157</v>
      </c>
      <c r="BK2150" s="25">
        <f>VLOOKUP(Inventory[[#This Row],[Decade]],Lookups!$O$25:$R$42,4,FALSE)</f>
        <v>0.96040000000000003</v>
      </c>
      <c r="BL2150" s="25">
        <f>Inventory[[#This Row],[Nbhd Adj]]*0.95</f>
        <v>0.94971499999999998</v>
      </c>
      <c r="BM2150" s="25">
        <f>Inventory[[#This Row],[Nbhd Adj]]*Inventory[[#This Row],[Quality Adj]]*Inventory[[#This Row],[Condition Adj]]*Inventory[[#This Row],[Living Area Adj]]*Inventory[[#This Row],[Decade Adj]]*0.95</f>
        <v>0.92946151271343602</v>
      </c>
      <c r="BN2150" s="25">
        <f>ROUND(SUM(Inventory[[#This Row],[Mdl Qlty]:[Mdl WdDeck]])+Inventory[[#This Row],[Mdl Res Intercept]]*Inventory[[#This Row],[Res Adj ]],-2)</f>
        <v>284200</v>
      </c>
      <c r="BO2150" s="25">
        <f>ROUND(Inventory[[#This Row],[25Det]]*Inventory[[#This Row],[Det/Nbhd Adj]],-2)</f>
        <v>9800</v>
      </c>
      <c r="BP2150" s="25">
        <f>Inventory[[#This Row],[Adjusted Res]]+Inventory[[#This Row],[Adj Det ]]</f>
        <v>294000</v>
      </c>
      <c r="BQ2150" s="25">
        <f>ROUND((Inventory[[#This Row],[Mdl Land Intercept]]+Inventory[[#This Row],[Mdl LnAcres]])*Inventory[[#This Row],[Det/Nbhd Adj]],-2)</f>
        <v>28300</v>
      </c>
      <c r="BR2150" s="25">
        <f>Inventory[[#This Row],[Adjusted Impr Total]]+Inventory[[#This Row],[Adjusted Land Total]]</f>
        <v>322300</v>
      </c>
      <c r="BS2150" s="36">
        <f>IFERROR((Inventory[[#This Row],[Adjusted Impr Total]]-Inventory[[#This Row],[24Bldg]])/Inventory[[#This Row],[24Bldg]],0)</f>
        <v>0.17694155324259409</v>
      </c>
      <c r="BT2150" s="36">
        <f>(Inventory[[#This Row],[Adjusted Land Total]]-Inventory[[#This Row],[24Lnd]])/Inventory[[#This Row],[24Lnd]]</f>
        <v>-0.41528925619834711</v>
      </c>
      <c r="BU2150" s="36">
        <f>(Inventory[[#This Row],[Adjusted Total]]-Inventory[[#This Row],[24Final]])/Inventory[[#This Row],[24Final]]</f>
        <v>8.0818242790073783E-2</v>
      </c>
    </row>
    <row r="2151" spans="1:73" x14ac:dyDescent="0.3">
      <c r="A2151" s="25">
        <v>2025</v>
      </c>
      <c r="B2151" s="26" t="s">
        <v>2820</v>
      </c>
      <c r="C2151" s="26">
        <f>LN(Inventory[[#This Row],[Acres]])</f>
        <v>-1.7719568419318752</v>
      </c>
      <c r="D2151" s="25">
        <v>0.17</v>
      </c>
      <c r="E2151" s="32">
        <v>7190</v>
      </c>
      <c r="F2151" s="26" t="s">
        <v>537</v>
      </c>
      <c r="G2151" s="26" t="s">
        <v>126</v>
      </c>
      <c r="H2151" s="26" t="s">
        <v>349</v>
      </c>
      <c r="I2151" s="26" t="s">
        <v>538</v>
      </c>
      <c r="J2151" s="26" t="s">
        <v>539</v>
      </c>
      <c r="K2151" s="26" t="s">
        <v>269</v>
      </c>
      <c r="L2151" s="26" t="s">
        <v>351</v>
      </c>
      <c r="M2151" s="26" t="s">
        <v>323</v>
      </c>
      <c r="N2151" s="26">
        <v>110</v>
      </c>
      <c r="O2151" s="26">
        <f>2024-Inventory[[#This Row],[YrBlt]]</f>
        <v>104</v>
      </c>
      <c r="P2151" s="26">
        <f>2024-Inventory[[#This Row],[EffYr]]</f>
        <v>58</v>
      </c>
      <c r="Q2151" s="25">
        <v>1920</v>
      </c>
      <c r="R2151" s="25">
        <v>1966</v>
      </c>
      <c r="S2151" s="25">
        <v>1080</v>
      </c>
      <c r="T2151" s="25">
        <v>300</v>
      </c>
      <c r="U2151" s="25">
        <v>1080</v>
      </c>
      <c r="V2151" s="25">
        <f>Inventory[[#This Row],[Bsmt]]-Inventory[[#This Row],[FnBsmt]]</f>
        <v>1080</v>
      </c>
      <c r="W2151" s="31"/>
      <c r="X2151" s="27"/>
      <c r="Y2151" s="27">
        <f>Inventory[[#This Row],[MainFn]]+Inventory[[#This Row],[UpprFn]]+Inventory[[#This Row],[FnBsmt]]+Inventory[[#This Row],[AddFn]]</f>
        <v>1380</v>
      </c>
      <c r="Z2151" s="27">
        <v>1500</v>
      </c>
      <c r="AA2151" s="25">
        <v>5</v>
      </c>
      <c r="AB2151" s="27"/>
      <c r="AC2151" s="27"/>
      <c r="AD2151" s="31"/>
      <c r="AE2151" s="27"/>
      <c r="AF2151" s="27"/>
      <c r="AG2151" s="27"/>
      <c r="AH2151" s="27"/>
      <c r="AI2151" s="25">
        <v>259184</v>
      </c>
      <c r="AJ2151" s="25">
        <v>160694</v>
      </c>
      <c r="AK2151" s="25">
        <v>1760</v>
      </c>
      <c r="AL2151" s="25">
        <v>296700</v>
      </c>
      <c r="AM2151" s="25">
        <v>52700</v>
      </c>
      <c r="AN2151" s="25">
        <v>244000</v>
      </c>
      <c r="AO2151" s="25">
        <v>0</v>
      </c>
      <c r="AP2151" s="25">
        <f>Lookups!$B$56*0</f>
        <v>0</v>
      </c>
      <c r="AQ2151" s="25">
        <f>Lookups!$B$56*1</f>
        <v>89850.625589999996</v>
      </c>
      <c r="AR2151" s="25">
        <f>Lookups!$B$57*Inventory[[#This Row],[LnAcres]]</f>
        <v>-56090.612940989391</v>
      </c>
      <c r="AS2151" s="25">
        <f>VLOOKUP(Inventory[[#This Row],[Qlty]],Lookups!$A$62:$E$75,2,FALSE)</f>
        <v>21557.329055999999</v>
      </c>
      <c r="AT2151" s="25">
        <f>VLOOKUP(Inventory[[#This Row],[Cnd]],Lookups!$A$76:$E$84,2,FALSE)</f>
        <v>160472.20319</v>
      </c>
      <c r="AU2151" s="25">
        <f>Inventory[[#This Row],[EffAge]]*Lookups!$B$85</f>
        <v>-12936.644829000001</v>
      </c>
      <c r="AV2151" s="25">
        <f>Inventory[[#This Row],[MainFn]]*Lookups!$B$86</f>
        <v>53361.363467160001</v>
      </c>
      <c r="AW2151" s="25">
        <f>Inventory[[#This Row],[UpprFn]]*Lookups!$B$87</f>
        <v>13435.926858299999</v>
      </c>
      <c r="AX2151" s="25">
        <f>Inventory[[#This Row],[AddFn]]*Lookups!$B$88</f>
        <v>0</v>
      </c>
      <c r="AY2151" s="25">
        <f>Inventory[[#This Row],[Bsmt]]*Lookups!$B$89</f>
        <v>31408.446866759998</v>
      </c>
      <c r="AZ2151" s="25">
        <f>Inventory[[#This Row],[Fixtures]]*Lookups!$B$90</f>
        <v>18960.110526</v>
      </c>
      <c r="BA2151" s="25">
        <f>Inventory[[#This Row],[WdDeck]]*Lookups!$B$91</f>
        <v>0</v>
      </c>
      <c r="BB2151" s="25">
        <f>ROUND(Inventory[[#This Row],[25Det]],-2)</f>
        <v>1800</v>
      </c>
      <c r="BC2151" s="25">
        <f>ROUND(SUM(Inventory[[#This Row],[Mdl Qlty]:[Mdl WdDeck]])+Inventory[[#This Row],[Mdl Res Intercept]],-2)</f>
        <v>286300</v>
      </c>
      <c r="BD2151" s="25">
        <f>ROUND(Inventory[[#This Row],[Mdl Land Intercept]]+Inventory[[#This Row],[Mdl LnAcres]],-2)</f>
        <v>33800</v>
      </c>
      <c r="BE2151" s="25">
        <f>Inventory[[#This Row],[Unadj Res Value]]+Inventory[[#This Row],[Unadj Det Value]]+Inventory[[#This Row],[Unadj Land Value]]</f>
        <v>321900</v>
      </c>
      <c r="BF2151" s="36">
        <f>(Inventory[[#This Row],[Unadj Total Value]]-Inventory[[#This Row],[24Final]])/Inventory[[#This Row],[24Final]]</f>
        <v>8.4934277047522752E-2</v>
      </c>
      <c r="BG2151" s="25">
        <f>VLOOKUP(Inventory[[#This Row],[Nbhd]],Lookups!$Q$2:$T$4,4,FALSE)</f>
        <v>0.99970000000000003</v>
      </c>
      <c r="BH2151" s="25">
        <f>VLOOKUP(Inventory[[#This Row],[Qlty]],Lookups!$O$7:$R$21,4,FALSE)</f>
        <v>1.0067999999999999</v>
      </c>
      <c r="BI2151" s="25">
        <f>VLOOKUP(Inventory[[#This Row],[Cnd]],Lookups!$T$7:$W$16,4,FALSE)</f>
        <v>0.99729999999999996</v>
      </c>
      <c r="BJ2151" s="25">
        <f>VLOOKUP(Inventory[[#This Row],[LivArea Range]],Lookups!$T$25:$W$37,4,FALSE)</f>
        <v>1.0157</v>
      </c>
      <c r="BK2151" s="25">
        <f>VLOOKUP(Inventory[[#This Row],[Decade]],Lookups!$O$25:$R$42,4,FALSE)</f>
        <v>0.96040000000000003</v>
      </c>
      <c r="BL2151" s="25">
        <f>Inventory[[#This Row],[Nbhd Adj]]*0.95</f>
        <v>0.94971499999999998</v>
      </c>
      <c r="BM2151" s="25">
        <f>Inventory[[#This Row],[Nbhd Adj]]*Inventory[[#This Row],[Quality Adj]]*Inventory[[#This Row],[Condition Adj]]*Inventory[[#This Row],[Living Area Adj]]*Inventory[[#This Row],[Decade Adj]]*0.95</f>
        <v>0.93020769355655764</v>
      </c>
      <c r="BN2151" s="25">
        <f>ROUND(SUM(Inventory[[#This Row],[Mdl Qlty]:[Mdl WdDeck]])+Inventory[[#This Row],[Mdl Res Intercept]]*Inventory[[#This Row],[Res Adj ]],-2)</f>
        <v>286300</v>
      </c>
      <c r="BO2151" s="25">
        <f>ROUND(Inventory[[#This Row],[25Det]]*Inventory[[#This Row],[Det/Nbhd Adj]],-2)</f>
        <v>1700</v>
      </c>
      <c r="BP2151" s="25">
        <f>Inventory[[#This Row],[Adjusted Res]]+Inventory[[#This Row],[Adj Det ]]</f>
        <v>288000</v>
      </c>
      <c r="BQ2151" s="25">
        <f>ROUND((Inventory[[#This Row],[Mdl Land Intercept]]+Inventory[[#This Row],[Mdl LnAcres]])*Inventory[[#This Row],[Det/Nbhd Adj]],-2)</f>
        <v>32100</v>
      </c>
      <c r="BR2151" s="25">
        <f>Inventory[[#This Row],[Adjusted Impr Total]]+Inventory[[#This Row],[Adjusted Land Total]]</f>
        <v>320100</v>
      </c>
      <c r="BS2151" s="36">
        <f>IFERROR((Inventory[[#This Row],[Adjusted Impr Total]]-Inventory[[#This Row],[24Bldg]])/Inventory[[#This Row],[24Bldg]],0)</f>
        <v>0.18032786885245902</v>
      </c>
      <c r="BT2151" s="36">
        <f>(Inventory[[#This Row],[Adjusted Land Total]]-Inventory[[#This Row],[24Lnd]])/Inventory[[#This Row],[24Lnd]]</f>
        <v>-0.39089184060721061</v>
      </c>
      <c r="BU2151" s="36">
        <f>(Inventory[[#This Row],[Adjusted Total]]-Inventory[[#This Row],[24Final]])/Inventory[[#This Row],[24Final]]</f>
        <v>7.8867542972699697E-2</v>
      </c>
    </row>
    <row r="2152" spans="1:73" x14ac:dyDescent="0.3">
      <c r="A2152" s="25">
        <v>2025</v>
      </c>
      <c r="B2152" s="26" t="s">
        <v>2076</v>
      </c>
      <c r="C2152" s="26">
        <f>LN(Inventory[[#This Row],[Acres]])</f>
        <v>-1.8971199848858813</v>
      </c>
      <c r="D2152" s="25">
        <v>0.15</v>
      </c>
      <c r="E2152" s="31"/>
      <c r="F2152" s="26" t="s">
        <v>537</v>
      </c>
      <c r="G2152" s="26" t="s">
        <v>126</v>
      </c>
      <c r="H2152" s="26" t="s">
        <v>349</v>
      </c>
      <c r="I2152" s="26" t="s">
        <v>538</v>
      </c>
      <c r="J2152" s="26" t="s">
        <v>539</v>
      </c>
      <c r="K2152" s="26" t="s">
        <v>269</v>
      </c>
      <c r="L2152" s="26" t="s">
        <v>351</v>
      </c>
      <c r="M2152" s="26" t="s">
        <v>303</v>
      </c>
      <c r="N2152" s="26">
        <v>110</v>
      </c>
      <c r="O2152" s="26">
        <f>2024-Inventory[[#This Row],[YrBlt]]</f>
        <v>104</v>
      </c>
      <c r="P2152" s="26">
        <f>2024-Inventory[[#This Row],[EffYr]]</f>
        <v>58</v>
      </c>
      <c r="Q2152" s="25">
        <v>1920</v>
      </c>
      <c r="R2152" s="25">
        <v>1966</v>
      </c>
      <c r="S2152" s="25">
        <v>1294</v>
      </c>
      <c r="T2152" s="32">
        <v>420</v>
      </c>
      <c r="U2152" s="25">
        <v>320</v>
      </c>
      <c r="V2152" s="25">
        <f>Inventory[[#This Row],[Bsmt]]-Inventory[[#This Row],[FnBsmt]]</f>
        <v>0</v>
      </c>
      <c r="W2152" s="25">
        <v>320</v>
      </c>
      <c r="X2152" s="32">
        <v>320</v>
      </c>
      <c r="Y2152" s="32">
        <f>Inventory[[#This Row],[MainFn]]+Inventory[[#This Row],[UpprFn]]+Inventory[[#This Row],[FnBsmt]]+Inventory[[#This Row],[AddFn]]</f>
        <v>2354</v>
      </c>
      <c r="Z2152" s="27">
        <v>2500</v>
      </c>
      <c r="AA2152" s="25">
        <v>8</v>
      </c>
      <c r="AB2152" s="25">
        <v>404</v>
      </c>
      <c r="AC2152" s="27"/>
      <c r="AD2152" s="27"/>
      <c r="AE2152" s="27"/>
      <c r="AF2152" s="27"/>
      <c r="AG2152" s="27"/>
      <c r="AH2152" s="27"/>
      <c r="AI2152" s="25">
        <v>359309</v>
      </c>
      <c r="AJ2152" s="25">
        <v>229958</v>
      </c>
      <c r="AK2152" s="25">
        <v>12536</v>
      </c>
      <c r="AL2152" s="25">
        <v>362200</v>
      </c>
      <c r="AM2152" s="25">
        <v>48400</v>
      </c>
      <c r="AN2152" s="25">
        <v>313800</v>
      </c>
      <c r="AO2152" s="25">
        <v>0</v>
      </c>
      <c r="AP2152" s="25">
        <f>Lookups!$B$56*0</f>
        <v>0</v>
      </c>
      <c r="AQ2152" s="25">
        <f>Lookups!$B$56*1</f>
        <v>89850.625589999996</v>
      </c>
      <c r="AR2152" s="25">
        <f>Lookups!$B$57*Inventory[[#This Row],[LnAcres]]</f>
        <v>-60052.604136134301</v>
      </c>
      <c r="AS2152" s="25">
        <f>VLOOKUP(Inventory[[#This Row],[Qlty]],Lookups!$A$62:$E$75,2,FALSE)</f>
        <v>21557.329055999999</v>
      </c>
      <c r="AT2152" s="25">
        <f>VLOOKUP(Inventory[[#This Row],[Cnd]],Lookups!$A$76:$E$84,2,FALSE)</f>
        <v>197752.34721000001</v>
      </c>
      <c r="AU2152" s="25">
        <f>Inventory[[#This Row],[EffAge]]*Lookups!$B$85</f>
        <v>-12936.644829000001</v>
      </c>
      <c r="AV2152" s="25">
        <f>Inventory[[#This Row],[MainFn]]*Lookups!$B$86</f>
        <v>63934.818820838002</v>
      </c>
      <c r="AW2152" s="25">
        <f>Inventory[[#This Row],[UpprFn]]*Lookups!$B$87</f>
        <v>18810.297601620001</v>
      </c>
      <c r="AX2152" s="25">
        <f>Inventory[[#This Row],[AddFn]]*Lookups!$B$88</f>
        <v>20830.29473632</v>
      </c>
      <c r="AY2152" s="25">
        <f>Inventory[[#This Row],[Bsmt]]*Lookups!$B$89</f>
        <v>9306.20647904</v>
      </c>
      <c r="AZ2152" s="25">
        <f>Inventory[[#This Row],[Fixtures]]*Lookups!$B$90</f>
        <v>30336.176841600001</v>
      </c>
      <c r="BA2152" s="25">
        <f>Inventory[[#This Row],[WdDeck]]*Lookups!$B$91</f>
        <v>0</v>
      </c>
      <c r="BB2152" s="25">
        <f>ROUND(Inventory[[#This Row],[25Det]],-2)</f>
        <v>12500</v>
      </c>
      <c r="BC2152" s="25">
        <f>ROUND(SUM(Inventory[[#This Row],[Mdl Qlty]:[Mdl WdDeck]])+Inventory[[#This Row],[Mdl Res Intercept]],-2)</f>
        <v>349600</v>
      </c>
      <c r="BD2152" s="25">
        <f>ROUND(Inventory[[#This Row],[Mdl Land Intercept]]+Inventory[[#This Row],[Mdl LnAcres]],-2)</f>
        <v>29800</v>
      </c>
      <c r="BE2152" s="25">
        <f>Inventory[[#This Row],[Unadj Res Value]]+Inventory[[#This Row],[Unadj Det Value]]+Inventory[[#This Row],[Unadj Land Value]]</f>
        <v>391900</v>
      </c>
      <c r="BF2152" s="36">
        <f>(Inventory[[#This Row],[Unadj Total Value]]-Inventory[[#This Row],[24Final]])/Inventory[[#This Row],[24Final]]</f>
        <v>8.1998895637769187E-2</v>
      </c>
      <c r="BG2152" s="25">
        <f>VLOOKUP(Inventory[[#This Row],[Nbhd]],Lookups!$Q$2:$T$4,4,FALSE)</f>
        <v>0.99970000000000003</v>
      </c>
      <c r="BH2152" s="25">
        <f>VLOOKUP(Inventory[[#This Row],[Qlty]],Lookups!$O$7:$R$21,4,FALSE)</f>
        <v>1.0067999999999999</v>
      </c>
      <c r="BI2152" s="25">
        <f>VLOOKUP(Inventory[[#This Row],[Cnd]],Lookups!$T$7:$W$16,4,FALSE)</f>
        <v>0.99650000000000005</v>
      </c>
      <c r="BJ2152" s="25">
        <f>VLOOKUP(Inventory[[#This Row],[LivArea Range]],Lookups!$T$25:$W$37,4,FALSE)</f>
        <v>0.98919999999999997</v>
      </c>
      <c r="BK2152" s="25">
        <f>VLOOKUP(Inventory[[#This Row],[Decade]],Lookups!$O$25:$R$42,4,FALSE)</f>
        <v>0.96040000000000003</v>
      </c>
      <c r="BL2152" s="25">
        <f>Inventory[[#This Row],[Nbhd Adj]]*0.95</f>
        <v>0.94971499999999998</v>
      </c>
      <c r="BM2152" s="25">
        <f>Inventory[[#This Row],[Nbhd Adj]]*Inventory[[#This Row],[Quality Adj]]*Inventory[[#This Row],[Condition Adj]]*Inventory[[#This Row],[Living Area Adj]]*Inventory[[#This Row],[Decade Adj]]*0.95</f>
        <v>0.90521150770515979</v>
      </c>
      <c r="BN2152" s="25">
        <f>ROUND(SUM(Inventory[[#This Row],[Mdl Qlty]:[Mdl WdDeck]])+Inventory[[#This Row],[Mdl Res Intercept]]*Inventory[[#This Row],[Res Adj ]],-2)</f>
        <v>349600</v>
      </c>
      <c r="BO2152" s="25">
        <f>ROUND(Inventory[[#This Row],[25Det]]*Inventory[[#This Row],[Det/Nbhd Adj]],-2)</f>
        <v>11900</v>
      </c>
      <c r="BP2152" s="25">
        <f>Inventory[[#This Row],[Adjusted Res]]+Inventory[[#This Row],[Adj Det ]]</f>
        <v>361500</v>
      </c>
      <c r="BQ2152" s="25">
        <f>ROUND((Inventory[[#This Row],[Mdl Land Intercept]]+Inventory[[#This Row],[Mdl LnAcres]])*Inventory[[#This Row],[Det/Nbhd Adj]],-2)</f>
        <v>28300</v>
      </c>
      <c r="BR2152" s="25">
        <f>Inventory[[#This Row],[Adjusted Impr Total]]+Inventory[[#This Row],[Adjusted Land Total]]</f>
        <v>389800</v>
      </c>
      <c r="BS2152" s="36">
        <f>IFERROR((Inventory[[#This Row],[Adjusted Impr Total]]-Inventory[[#This Row],[24Bldg]])/Inventory[[#This Row],[24Bldg]],0)</f>
        <v>0.15200764818355642</v>
      </c>
      <c r="BT2152" s="36">
        <f>(Inventory[[#This Row],[Adjusted Land Total]]-Inventory[[#This Row],[24Lnd]])/Inventory[[#This Row],[24Lnd]]</f>
        <v>-0.41528925619834711</v>
      </c>
      <c r="BU2152" s="36">
        <f>(Inventory[[#This Row],[Adjusted Total]]-Inventory[[#This Row],[24Final]])/Inventory[[#This Row],[24Final]]</f>
        <v>7.6200993926007737E-2</v>
      </c>
    </row>
    <row r="2153" spans="1:73" x14ac:dyDescent="0.3">
      <c r="A2153" s="25">
        <v>2025</v>
      </c>
      <c r="B2153" s="26" t="s">
        <v>833</v>
      </c>
      <c r="C2153" s="26">
        <f>LN(Inventory[[#This Row],[Acres]])</f>
        <v>-0.73396917508020043</v>
      </c>
      <c r="D2153" s="25">
        <v>0.48</v>
      </c>
      <c r="E2153" s="32">
        <v>20904</v>
      </c>
      <c r="F2153" s="26" t="s">
        <v>537</v>
      </c>
      <c r="G2153" s="26" t="s">
        <v>126</v>
      </c>
      <c r="H2153" s="26" t="s">
        <v>349</v>
      </c>
      <c r="I2153" s="26" t="s">
        <v>538</v>
      </c>
      <c r="J2153" s="26" t="s">
        <v>539</v>
      </c>
      <c r="K2153" s="26" t="s">
        <v>147</v>
      </c>
      <c r="L2153" s="26" t="s">
        <v>302</v>
      </c>
      <c r="M2153" s="26" t="s">
        <v>303</v>
      </c>
      <c r="N2153" s="26">
        <v>110</v>
      </c>
      <c r="O2153" s="26">
        <f>2024-Inventory[[#This Row],[YrBlt]]</f>
        <v>104</v>
      </c>
      <c r="P2153" s="26">
        <f>2024-Inventory[[#This Row],[EffYr]]</f>
        <v>58</v>
      </c>
      <c r="Q2153" s="25">
        <v>1920</v>
      </c>
      <c r="R2153" s="25">
        <v>1966</v>
      </c>
      <c r="S2153" s="25">
        <v>1599</v>
      </c>
      <c r="T2153" s="32">
        <v>1050</v>
      </c>
      <c r="U2153" s="32">
        <v>1073</v>
      </c>
      <c r="V2153" s="32">
        <f>Inventory[[#This Row],[Bsmt]]-Inventory[[#This Row],[FnBsmt]]</f>
        <v>0</v>
      </c>
      <c r="W2153" s="32">
        <v>1073</v>
      </c>
      <c r="X2153" s="27"/>
      <c r="Y2153" s="27">
        <f>Inventory[[#This Row],[MainFn]]+Inventory[[#This Row],[UpprFn]]+Inventory[[#This Row],[FnBsmt]]+Inventory[[#This Row],[AddFn]]</f>
        <v>3722</v>
      </c>
      <c r="Z2153" s="27">
        <v>4000</v>
      </c>
      <c r="AA2153" s="25">
        <v>14</v>
      </c>
      <c r="AB2153" s="27"/>
      <c r="AC2153" s="27"/>
      <c r="AD2153" s="32">
        <v>626</v>
      </c>
      <c r="AE2153" s="27"/>
      <c r="AF2153" s="27"/>
      <c r="AG2153" s="27"/>
      <c r="AH2153" s="27"/>
      <c r="AI2153" s="25">
        <v>549139</v>
      </c>
      <c r="AJ2153" s="25">
        <v>351449</v>
      </c>
      <c r="AK2153" s="25">
        <v>0</v>
      </c>
      <c r="AL2153" s="25">
        <v>473600</v>
      </c>
      <c r="AM2153" s="25">
        <v>88900</v>
      </c>
      <c r="AN2153" s="25">
        <v>384700</v>
      </c>
      <c r="AO2153" s="25">
        <v>0</v>
      </c>
      <c r="AP2153" s="25">
        <f>Lookups!$B$56*0</f>
        <v>0</v>
      </c>
      <c r="AQ2153" s="25">
        <f>Lookups!$B$56*1</f>
        <v>89850.625589999996</v>
      </c>
      <c r="AR2153" s="25">
        <f>Lookups!$B$57*Inventory[[#This Row],[LnAcres]]</f>
        <v>-23233.512202902497</v>
      </c>
      <c r="AS2153" s="25">
        <f>VLOOKUP(Inventory[[#This Row],[Qlty]],Lookups!$A$62:$E$75,2,FALSE)</f>
        <v>29814.093161000001</v>
      </c>
      <c r="AT2153" s="25">
        <f>VLOOKUP(Inventory[[#This Row],[Cnd]],Lookups!$A$76:$E$84,2,FALSE)</f>
        <v>197752.34721000001</v>
      </c>
      <c r="AU2153" s="25">
        <f>Inventory[[#This Row],[EffAge]]*Lookups!$B$85</f>
        <v>-12936.644829000001</v>
      </c>
      <c r="AV2153" s="25">
        <f>Inventory[[#This Row],[MainFn]]*Lookups!$B$86</f>
        <v>79004.463133323006</v>
      </c>
      <c r="AW2153" s="25">
        <f>Inventory[[#This Row],[UpprFn]]*Lookups!$B$87</f>
        <v>47025.744004050001</v>
      </c>
      <c r="AX2153" s="25">
        <f>Inventory[[#This Row],[AddFn]]*Lookups!$B$88</f>
        <v>0</v>
      </c>
      <c r="AY2153" s="25">
        <f>Inventory[[#This Row],[Bsmt]]*Lookups!$B$89</f>
        <v>31204.873600030998</v>
      </c>
      <c r="AZ2153" s="25">
        <f>Inventory[[#This Row],[Fixtures]]*Lookups!$B$90</f>
        <v>53088.3094728</v>
      </c>
      <c r="BA2153" s="25">
        <f>Inventory[[#This Row],[WdDeck]]*Lookups!$B$91</f>
        <v>20842.992562776002</v>
      </c>
      <c r="BB2153" s="25">
        <f>ROUND(Inventory[[#This Row],[25Det]],-2)</f>
        <v>0</v>
      </c>
      <c r="BC2153" s="25">
        <f>ROUND(SUM(Inventory[[#This Row],[Mdl Qlty]:[Mdl WdDeck]])+Inventory[[#This Row],[Mdl Res Intercept]],-2)</f>
        <v>445800</v>
      </c>
      <c r="BD2153" s="25">
        <f>ROUND(Inventory[[#This Row],[Mdl Land Intercept]]+Inventory[[#This Row],[Mdl LnAcres]],-2)</f>
        <v>66600</v>
      </c>
      <c r="BE2153" s="25">
        <f>Inventory[[#This Row],[Unadj Res Value]]+Inventory[[#This Row],[Unadj Det Value]]+Inventory[[#This Row],[Unadj Land Value]]</f>
        <v>512400</v>
      </c>
      <c r="BF2153" s="36">
        <f>(Inventory[[#This Row],[Unadj Total Value]]-Inventory[[#This Row],[24Final]])/Inventory[[#This Row],[24Final]]</f>
        <v>8.1925675675675672E-2</v>
      </c>
      <c r="BG2153" s="25">
        <f>VLOOKUP(Inventory[[#This Row],[Nbhd]],Lookups!$Q$2:$T$4,4,FALSE)</f>
        <v>0.99970000000000003</v>
      </c>
      <c r="BH2153" s="25">
        <f>VLOOKUP(Inventory[[#This Row],[Qlty]],Lookups!$O$7:$R$21,4,FALSE)</f>
        <v>1.0088999999999999</v>
      </c>
      <c r="BI2153" s="25">
        <f>VLOOKUP(Inventory[[#This Row],[Cnd]],Lookups!$T$7:$W$16,4,FALSE)</f>
        <v>0.99650000000000005</v>
      </c>
      <c r="BJ2153" s="25">
        <f>VLOOKUP(Inventory[[#This Row],[LivArea Range]],Lookups!$T$25:$W$37,4,FALSE)</f>
        <v>0.94579999999999997</v>
      </c>
      <c r="BK2153" s="25">
        <f>VLOOKUP(Inventory[[#This Row],[Decade]],Lookups!$O$25:$R$42,4,FALSE)</f>
        <v>0.96040000000000003</v>
      </c>
      <c r="BL2153" s="25">
        <f>Inventory[[#This Row],[Nbhd Adj]]*0.95</f>
        <v>0.94971499999999998</v>
      </c>
      <c r="BM2153" s="25">
        <f>Inventory[[#This Row],[Nbhd Adj]]*Inventory[[#This Row],[Quality Adj]]*Inventory[[#This Row],[Condition Adj]]*Inventory[[#This Row],[Living Area Adj]]*Inventory[[#This Row],[Decade Adj]]*0.95</f>
        <v>0.86730167180101037</v>
      </c>
      <c r="BN2153" s="25">
        <f>ROUND(SUM(Inventory[[#This Row],[Mdl Qlty]:[Mdl WdDeck]])+Inventory[[#This Row],[Mdl Res Intercept]]*Inventory[[#This Row],[Res Adj ]],-2)</f>
        <v>445800</v>
      </c>
      <c r="BO2153" s="25">
        <f>ROUND(Inventory[[#This Row],[25Det]]*Inventory[[#This Row],[Det/Nbhd Adj]],-2)</f>
        <v>0</v>
      </c>
      <c r="BP2153" s="25">
        <f>Inventory[[#This Row],[Adjusted Res]]+Inventory[[#This Row],[Adj Det ]]</f>
        <v>445800</v>
      </c>
      <c r="BQ2153" s="25">
        <f>ROUND((Inventory[[#This Row],[Mdl Land Intercept]]+Inventory[[#This Row],[Mdl LnAcres]])*Inventory[[#This Row],[Det/Nbhd Adj]],-2)</f>
        <v>63300</v>
      </c>
      <c r="BR2153" s="25">
        <f>Inventory[[#This Row],[Adjusted Impr Total]]+Inventory[[#This Row],[Adjusted Land Total]]</f>
        <v>509100</v>
      </c>
      <c r="BS2153" s="36">
        <f>IFERROR((Inventory[[#This Row],[Adjusted Impr Total]]-Inventory[[#This Row],[24Bldg]])/Inventory[[#This Row],[24Bldg]],0)</f>
        <v>0.15882505848713283</v>
      </c>
      <c r="BT2153" s="36">
        <f>(Inventory[[#This Row],[Adjusted Land Total]]-Inventory[[#This Row],[24Lnd]])/Inventory[[#This Row],[24Lnd]]</f>
        <v>-0.2879640044994376</v>
      </c>
      <c r="BU2153" s="36">
        <f>(Inventory[[#This Row],[Adjusted Total]]-Inventory[[#This Row],[24Final]])/Inventory[[#This Row],[24Final]]</f>
        <v>7.4957770270270271E-2</v>
      </c>
    </row>
    <row r="2154" spans="1:73" x14ac:dyDescent="0.3">
      <c r="A2154" s="25">
        <v>2025</v>
      </c>
      <c r="B2154" s="26" t="s">
        <v>1806</v>
      </c>
      <c r="C2154" s="26">
        <f>LN(Inventory[[#This Row],[Acres]])</f>
        <v>-1.4696759700589417</v>
      </c>
      <c r="D2154" s="25">
        <v>0.23</v>
      </c>
      <c r="E2154" s="25">
        <v>9926</v>
      </c>
      <c r="F2154" s="26" t="s">
        <v>537</v>
      </c>
      <c r="G2154" s="26" t="s">
        <v>126</v>
      </c>
      <c r="H2154" s="26" t="s">
        <v>349</v>
      </c>
      <c r="I2154" s="26" t="s">
        <v>538</v>
      </c>
      <c r="J2154" s="26" t="s">
        <v>539</v>
      </c>
      <c r="K2154" s="26" t="s">
        <v>301</v>
      </c>
      <c r="L2154" s="26" t="s">
        <v>302</v>
      </c>
      <c r="M2154" s="26" t="s">
        <v>323</v>
      </c>
      <c r="N2154" s="26">
        <v>110</v>
      </c>
      <c r="O2154" s="26">
        <f>2024-Inventory[[#This Row],[YrBlt]]</f>
        <v>104</v>
      </c>
      <c r="P2154" s="26">
        <f>2024-Inventory[[#This Row],[EffYr]]</f>
        <v>58</v>
      </c>
      <c r="Q2154" s="25">
        <v>1920</v>
      </c>
      <c r="R2154" s="25">
        <v>1966</v>
      </c>
      <c r="S2154" s="25">
        <v>1156</v>
      </c>
      <c r="T2154" s="32">
        <v>888</v>
      </c>
      <c r="U2154" s="25">
        <v>1156</v>
      </c>
      <c r="V2154" s="25">
        <f>Inventory[[#This Row],[Bsmt]]-Inventory[[#This Row],[FnBsmt]]</f>
        <v>1156</v>
      </c>
      <c r="W2154" s="31"/>
      <c r="X2154" s="27"/>
      <c r="Y2154" s="27">
        <f>Inventory[[#This Row],[MainFn]]+Inventory[[#This Row],[UpprFn]]+Inventory[[#This Row],[FnBsmt]]+Inventory[[#This Row],[AddFn]]</f>
        <v>2044</v>
      </c>
      <c r="Z2154" s="27">
        <v>2500</v>
      </c>
      <c r="AA2154" s="25">
        <v>7</v>
      </c>
      <c r="AB2154" s="31"/>
      <c r="AC2154" s="27"/>
      <c r="AD2154" s="27"/>
      <c r="AE2154" s="27"/>
      <c r="AF2154" s="27"/>
      <c r="AG2154" s="27"/>
      <c r="AH2154" s="27"/>
      <c r="AI2154" s="25">
        <v>377122</v>
      </c>
      <c r="AJ2154" s="25">
        <v>233816</v>
      </c>
      <c r="AK2154" s="25">
        <v>10436</v>
      </c>
      <c r="AL2154" s="25">
        <v>358900</v>
      </c>
      <c r="AM2154" s="25">
        <v>63300</v>
      </c>
      <c r="AN2154" s="25">
        <v>295600</v>
      </c>
      <c r="AO2154" s="25">
        <v>0</v>
      </c>
      <c r="AP2154" s="25">
        <f>Lookups!$B$56*0</f>
        <v>0</v>
      </c>
      <c r="AQ2154" s="25">
        <f>Lookups!$B$56*1</f>
        <v>89850.625589999996</v>
      </c>
      <c r="AR2154" s="25">
        <f>Lookups!$B$57*Inventory[[#This Row],[LnAcres]]</f>
        <v>-46522.028095997222</v>
      </c>
      <c r="AS2154" s="25">
        <f>VLOOKUP(Inventory[[#This Row],[Qlty]],Lookups!$A$62:$E$75,2,FALSE)</f>
        <v>29814.093161000001</v>
      </c>
      <c r="AT2154" s="25">
        <f>VLOOKUP(Inventory[[#This Row],[Cnd]],Lookups!$A$76:$E$84,2,FALSE)</f>
        <v>160472.20319</v>
      </c>
      <c r="AU2154" s="25">
        <f>Inventory[[#This Row],[EffAge]]*Lookups!$B$85</f>
        <v>-12936.644829000001</v>
      </c>
      <c r="AV2154" s="25">
        <f>Inventory[[#This Row],[MainFn]]*Lookups!$B$86</f>
        <v>57116.422377811999</v>
      </c>
      <c r="AW2154" s="25">
        <f>Inventory[[#This Row],[UpprFn]]*Lookups!$B$87</f>
        <v>39770.343500568</v>
      </c>
      <c r="AX2154" s="25">
        <f>Inventory[[#This Row],[AddFn]]*Lookups!$B$88</f>
        <v>0</v>
      </c>
      <c r="AY2154" s="25">
        <f>Inventory[[#This Row],[Bsmt]]*Lookups!$B$89</f>
        <v>33618.670905531995</v>
      </c>
      <c r="AZ2154" s="25">
        <f>Inventory[[#This Row],[Fixtures]]*Lookups!$B$90</f>
        <v>26544.1547364</v>
      </c>
      <c r="BA2154" s="25">
        <f>Inventory[[#This Row],[WdDeck]]*Lookups!$B$91</f>
        <v>0</v>
      </c>
      <c r="BB2154" s="25">
        <f>ROUND(Inventory[[#This Row],[25Det]],-2)</f>
        <v>10400</v>
      </c>
      <c r="BC2154" s="25">
        <f>ROUND(SUM(Inventory[[#This Row],[Mdl Qlty]:[Mdl WdDeck]])+Inventory[[#This Row],[Mdl Res Intercept]],-2)</f>
        <v>334400</v>
      </c>
      <c r="BD2154" s="25">
        <f>ROUND(Inventory[[#This Row],[Mdl Land Intercept]]+Inventory[[#This Row],[Mdl LnAcres]],-2)</f>
        <v>43300</v>
      </c>
      <c r="BE2154" s="25">
        <f>Inventory[[#This Row],[Unadj Res Value]]+Inventory[[#This Row],[Unadj Det Value]]+Inventory[[#This Row],[Unadj Land Value]]</f>
        <v>388100</v>
      </c>
      <c r="BF2154" s="36">
        <f>(Inventory[[#This Row],[Unadj Total Value]]-Inventory[[#This Row],[24Final]])/Inventory[[#This Row],[24Final]]</f>
        <v>8.1359710225689608E-2</v>
      </c>
      <c r="BG2154" s="25">
        <f>VLOOKUP(Inventory[[#This Row],[Nbhd]],Lookups!$Q$2:$T$4,4,FALSE)</f>
        <v>0.99970000000000003</v>
      </c>
      <c r="BH2154" s="25">
        <f>VLOOKUP(Inventory[[#This Row],[Qlty]],Lookups!$O$7:$R$21,4,FALSE)</f>
        <v>1.0088999999999999</v>
      </c>
      <c r="BI2154" s="25">
        <f>VLOOKUP(Inventory[[#This Row],[Cnd]],Lookups!$T$7:$W$16,4,FALSE)</f>
        <v>0.99729999999999996</v>
      </c>
      <c r="BJ2154" s="25">
        <f>VLOOKUP(Inventory[[#This Row],[LivArea Range]],Lookups!$T$25:$W$37,4,FALSE)</f>
        <v>0.98919999999999997</v>
      </c>
      <c r="BK2154" s="25">
        <f>VLOOKUP(Inventory[[#This Row],[Decade]],Lookups!$O$25:$R$42,4,FALSE)</f>
        <v>0.96040000000000003</v>
      </c>
      <c r="BL2154" s="25">
        <f>Inventory[[#This Row],[Nbhd Adj]]*0.95</f>
        <v>0.94971499999999998</v>
      </c>
      <c r="BM2154" s="25">
        <f>Inventory[[#This Row],[Nbhd Adj]]*Inventory[[#This Row],[Quality Adj]]*Inventory[[#This Row],[Condition Adj]]*Inventory[[#This Row],[Living Area Adj]]*Inventory[[#This Row],[Decade Adj]]*0.95</f>
        <v>0.90782784124690863</v>
      </c>
      <c r="BN2154" s="25">
        <f>ROUND(SUM(Inventory[[#This Row],[Mdl Qlty]:[Mdl WdDeck]])+Inventory[[#This Row],[Mdl Res Intercept]]*Inventory[[#This Row],[Res Adj ]],-2)</f>
        <v>334400</v>
      </c>
      <c r="BO2154" s="25">
        <f>ROUND(Inventory[[#This Row],[25Det]]*Inventory[[#This Row],[Det/Nbhd Adj]],-2)</f>
        <v>9900</v>
      </c>
      <c r="BP2154" s="25">
        <f>Inventory[[#This Row],[Adjusted Res]]+Inventory[[#This Row],[Adj Det ]]</f>
        <v>344300</v>
      </c>
      <c r="BQ2154" s="25">
        <f>ROUND((Inventory[[#This Row],[Mdl Land Intercept]]+Inventory[[#This Row],[Mdl LnAcres]])*Inventory[[#This Row],[Det/Nbhd Adj]],-2)</f>
        <v>41100</v>
      </c>
      <c r="BR2154" s="25">
        <f>Inventory[[#This Row],[Adjusted Impr Total]]+Inventory[[#This Row],[Adjusted Land Total]]</f>
        <v>385400</v>
      </c>
      <c r="BS2154" s="36">
        <f>IFERROR((Inventory[[#This Row],[Adjusted Impr Total]]-Inventory[[#This Row],[24Bldg]])/Inventory[[#This Row],[24Bldg]],0)</f>
        <v>0.16474966170500677</v>
      </c>
      <c r="BT2154" s="36">
        <f>(Inventory[[#This Row],[Adjusted Land Total]]-Inventory[[#This Row],[24Lnd]])/Inventory[[#This Row],[24Lnd]]</f>
        <v>-0.35071090047393366</v>
      </c>
      <c r="BU2154" s="36">
        <f>(Inventory[[#This Row],[Adjusted Total]]-Inventory[[#This Row],[24Final]])/Inventory[[#This Row],[24Final]]</f>
        <v>7.3836723321259401E-2</v>
      </c>
    </row>
    <row r="2155" spans="1:73" x14ac:dyDescent="0.3">
      <c r="A2155" s="25">
        <v>2025</v>
      </c>
      <c r="B2155" s="26" t="s">
        <v>2074</v>
      </c>
      <c r="C2155" s="26">
        <f>LN(Inventory[[#This Row],[Acres]])</f>
        <v>-1.8971199848858813</v>
      </c>
      <c r="D2155" s="25">
        <v>0.15</v>
      </c>
      <c r="E2155" s="27"/>
      <c r="F2155" s="26" t="s">
        <v>537</v>
      </c>
      <c r="G2155" s="26" t="s">
        <v>126</v>
      </c>
      <c r="H2155" s="26" t="s">
        <v>349</v>
      </c>
      <c r="I2155" s="26" t="s">
        <v>538</v>
      </c>
      <c r="J2155" s="26" t="s">
        <v>539</v>
      </c>
      <c r="K2155" s="26" t="s">
        <v>269</v>
      </c>
      <c r="L2155" s="26" t="s">
        <v>351</v>
      </c>
      <c r="M2155" s="26" t="s">
        <v>303</v>
      </c>
      <c r="N2155" s="26">
        <v>110</v>
      </c>
      <c r="O2155" s="26">
        <f>2024-Inventory[[#This Row],[YrBlt]]</f>
        <v>104</v>
      </c>
      <c r="P2155" s="26">
        <f>2024-Inventory[[#This Row],[EffYr]]</f>
        <v>58</v>
      </c>
      <c r="Q2155" s="25">
        <v>1920</v>
      </c>
      <c r="R2155" s="25">
        <v>1966</v>
      </c>
      <c r="S2155" s="25">
        <v>952</v>
      </c>
      <c r="T2155" s="27"/>
      <c r="U2155" s="32">
        <v>392</v>
      </c>
      <c r="V2155" s="32">
        <f>Inventory[[#This Row],[Bsmt]]-Inventory[[#This Row],[FnBsmt]]</f>
        <v>0</v>
      </c>
      <c r="W2155" s="32">
        <v>392</v>
      </c>
      <c r="X2155" s="27"/>
      <c r="Y2155" s="27">
        <f>Inventory[[#This Row],[MainFn]]+Inventory[[#This Row],[UpprFn]]+Inventory[[#This Row],[FnBsmt]]+Inventory[[#This Row],[AddFn]]</f>
        <v>1344</v>
      </c>
      <c r="Z2155" s="27">
        <v>1500</v>
      </c>
      <c r="AA2155" s="25">
        <v>5</v>
      </c>
      <c r="AB2155" s="31"/>
      <c r="AC2155" s="27"/>
      <c r="AD2155" s="27"/>
      <c r="AE2155" s="27"/>
      <c r="AF2155" s="27"/>
      <c r="AG2155" s="27"/>
      <c r="AH2155" s="27"/>
      <c r="AI2155" s="25">
        <v>215239</v>
      </c>
      <c r="AJ2155" s="25">
        <v>137753</v>
      </c>
      <c r="AK2155" s="25">
        <v>2661</v>
      </c>
      <c r="AL2155" s="25">
        <v>293300</v>
      </c>
      <c r="AM2155" s="25">
        <v>48400</v>
      </c>
      <c r="AN2155" s="25">
        <v>244900</v>
      </c>
      <c r="AO2155" s="25">
        <v>0</v>
      </c>
      <c r="AP2155" s="25">
        <f>Lookups!$B$56*0</f>
        <v>0</v>
      </c>
      <c r="AQ2155" s="25">
        <f>Lookups!$B$56*1</f>
        <v>89850.625589999996</v>
      </c>
      <c r="AR2155" s="25">
        <f>Lookups!$B$57*Inventory[[#This Row],[LnAcres]]</f>
        <v>-60052.604136134301</v>
      </c>
      <c r="AS2155" s="25">
        <f>VLOOKUP(Inventory[[#This Row],[Qlty]],Lookups!$A$62:$E$75,2,FALSE)</f>
        <v>21557.329055999999</v>
      </c>
      <c r="AT2155" s="25">
        <f>VLOOKUP(Inventory[[#This Row],[Cnd]],Lookups!$A$76:$E$84,2,FALSE)</f>
        <v>197752.34721000001</v>
      </c>
      <c r="AU2155" s="25">
        <f>Inventory[[#This Row],[EffAge]]*Lookups!$B$85</f>
        <v>-12936.644829000001</v>
      </c>
      <c r="AV2155" s="25">
        <f>Inventory[[#This Row],[MainFn]]*Lookups!$B$86</f>
        <v>47037.053722903998</v>
      </c>
      <c r="AW2155" s="25">
        <f>Inventory[[#This Row],[UpprFn]]*Lookups!$B$87</f>
        <v>0</v>
      </c>
      <c r="AX2155" s="25">
        <f>Inventory[[#This Row],[AddFn]]*Lookups!$B$88</f>
        <v>0</v>
      </c>
      <c r="AY2155" s="25">
        <f>Inventory[[#This Row],[Bsmt]]*Lookups!$B$89</f>
        <v>11400.102936824</v>
      </c>
      <c r="AZ2155" s="25">
        <f>Inventory[[#This Row],[Fixtures]]*Lookups!$B$90</f>
        <v>18960.110526</v>
      </c>
      <c r="BA2155" s="25">
        <f>Inventory[[#This Row],[WdDeck]]*Lookups!$B$91</f>
        <v>0</v>
      </c>
      <c r="BB2155" s="25">
        <f>ROUND(Inventory[[#This Row],[25Det]],-2)</f>
        <v>2700</v>
      </c>
      <c r="BC2155" s="25">
        <f>ROUND(SUM(Inventory[[#This Row],[Mdl Qlty]:[Mdl WdDeck]])+Inventory[[#This Row],[Mdl Res Intercept]],-2)</f>
        <v>283800</v>
      </c>
      <c r="BD2155" s="25">
        <f>ROUND(Inventory[[#This Row],[Mdl Land Intercept]]+Inventory[[#This Row],[Mdl LnAcres]],-2)</f>
        <v>29800</v>
      </c>
      <c r="BE2155" s="25">
        <f>Inventory[[#This Row],[Unadj Res Value]]+Inventory[[#This Row],[Unadj Det Value]]+Inventory[[#This Row],[Unadj Land Value]]</f>
        <v>316300</v>
      </c>
      <c r="BF2155" s="36">
        <f>(Inventory[[#This Row],[Unadj Total Value]]-Inventory[[#This Row],[24Final]])/Inventory[[#This Row],[24Final]]</f>
        <v>7.841800204568701E-2</v>
      </c>
      <c r="BG2155" s="25">
        <f>VLOOKUP(Inventory[[#This Row],[Nbhd]],Lookups!$Q$2:$T$4,4,FALSE)</f>
        <v>0.99970000000000003</v>
      </c>
      <c r="BH2155" s="25">
        <f>VLOOKUP(Inventory[[#This Row],[Qlty]],Lookups!$O$7:$R$21,4,FALSE)</f>
        <v>1.0067999999999999</v>
      </c>
      <c r="BI2155" s="25">
        <f>VLOOKUP(Inventory[[#This Row],[Cnd]],Lookups!$T$7:$W$16,4,FALSE)</f>
        <v>0.99650000000000005</v>
      </c>
      <c r="BJ2155" s="25">
        <f>VLOOKUP(Inventory[[#This Row],[LivArea Range]],Lookups!$T$25:$W$37,4,FALSE)</f>
        <v>1.0157</v>
      </c>
      <c r="BK2155" s="25">
        <f>VLOOKUP(Inventory[[#This Row],[Decade]],Lookups!$O$25:$R$42,4,FALSE)</f>
        <v>0.96040000000000003</v>
      </c>
      <c r="BL2155" s="25">
        <f>Inventory[[#This Row],[Nbhd Adj]]*0.95</f>
        <v>0.94971499999999998</v>
      </c>
      <c r="BM2155" s="25">
        <f>Inventory[[#This Row],[Nbhd Adj]]*Inventory[[#This Row],[Quality Adj]]*Inventory[[#This Row],[Condition Adj]]*Inventory[[#This Row],[Living Area Adj]]*Inventory[[#This Row],[Decade Adj]]*0.95</f>
        <v>0.92946151271343602</v>
      </c>
      <c r="BN2155" s="25">
        <f>ROUND(SUM(Inventory[[#This Row],[Mdl Qlty]:[Mdl WdDeck]])+Inventory[[#This Row],[Mdl Res Intercept]]*Inventory[[#This Row],[Res Adj ]],-2)</f>
        <v>283800</v>
      </c>
      <c r="BO2155" s="25">
        <f>ROUND(Inventory[[#This Row],[25Det]]*Inventory[[#This Row],[Det/Nbhd Adj]],-2)</f>
        <v>2500</v>
      </c>
      <c r="BP2155" s="25">
        <f>Inventory[[#This Row],[Adjusted Res]]+Inventory[[#This Row],[Adj Det ]]</f>
        <v>286300</v>
      </c>
      <c r="BQ2155" s="25">
        <f>ROUND((Inventory[[#This Row],[Mdl Land Intercept]]+Inventory[[#This Row],[Mdl LnAcres]])*Inventory[[#This Row],[Det/Nbhd Adj]],-2)</f>
        <v>28300</v>
      </c>
      <c r="BR2155" s="25">
        <f>Inventory[[#This Row],[Adjusted Impr Total]]+Inventory[[#This Row],[Adjusted Land Total]]</f>
        <v>314600</v>
      </c>
      <c r="BS2155" s="36">
        <f>IFERROR((Inventory[[#This Row],[Adjusted Impr Total]]-Inventory[[#This Row],[24Bldg]])/Inventory[[#This Row],[24Bldg]],0)</f>
        <v>0.16904859126173949</v>
      </c>
      <c r="BT2155" s="36">
        <f>(Inventory[[#This Row],[Adjusted Land Total]]-Inventory[[#This Row],[24Lnd]])/Inventory[[#This Row],[24Lnd]]</f>
        <v>-0.41528925619834711</v>
      </c>
      <c r="BU2155" s="36">
        <f>(Inventory[[#This Row],[Adjusted Total]]-Inventory[[#This Row],[24Final]])/Inventory[[#This Row],[24Final]]</f>
        <v>7.2621888851005803E-2</v>
      </c>
    </row>
    <row r="2156" spans="1:73" x14ac:dyDescent="0.3">
      <c r="A2156" s="25">
        <v>2025</v>
      </c>
      <c r="B2156" s="26" t="s">
        <v>972</v>
      </c>
      <c r="C2156" s="26">
        <f>LN(Inventory[[#This Row],[Acres]])</f>
        <v>-0.86750056770472306</v>
      </c>
      <c r="D2156" s="25">
        <v>0.42</v>
      </c>
      <c r="E2156" s="32">
        <v>18135</v>
      </c>
      <c r="F2156" s="26" t="s">
        <v>537</v>
      </c>
      <c r="G2156" s="26" t="s">
        <v>126</v>
      </c>
      <c r="H2156" s="26" t="s">
        <v>349</v>
      </c>
      <c r="I2156" s="26" t="s">
        <v>538</v>
      </c>
      <c r="J2156" s="26" t="s">
        <v>539</v>
      </c>
      <c r="K2156" s="26" t="s">
        <v>241</v>
      </c>
      <c r="L2156" s="26" t="s">
        <v>148</v>
      </c>
      <c r="M2156" s="26" t="s">
        <v>303</v>
      </c>
      <c r="N2156" s="26">
        <v>110</v>
      </c>
      <c r="O2156" s="26">
        <f>2024-Inventory[[#This Row],[YrBlt]]</f>
        <v>104</v>
      </c>
      <c r="P2156" s="26">
        <f>2024-Inventory[[#This Row],[EffYr]]</f>
        <v>58</v>
      </c>
      <c r="Q2156" s="25">
        <v>1920</v>
      </c>
      <c r="R2156" s="25">
        <v>1966</v>
      </c>
      <c r="S2156" s="25">
        <v>1748</v>
      </c>
      <c r="T2156" s="27"/>
      <c r="U2156" s="31"/>
      <c r="V2156" s="31">
        <f>Inventory[[#This Row],[Bsmt]]-Inventory[[#This Row],[FnBsmt]]</f>
        <v>0</v>
      </c>
      <c r="W2156" s="31"/>
      <c r="X2156" s="27"/>
      <c r="Y2156" s="27">
        <f>Inventory[[#This Row],[MainFn]]+Inventory[[#This Row],[UpprFn]]+Inventory[[#This Row],[FnBsmt]]+Inventory[[#This Row],[AddFn]]</f>
        <v>1748</v>
      </c>
      <c r="Z2156" s="27">
        <v>2000</v>
      </c>
      <c r="AA2156" s="25">
        <v>9</v>
      </c>
      <c r="AB2156" s="31"/>
      <c r="AC2156" s="27"/>
      <c r="AD2156" s="27"/>
      <c r="AE2156" s="27"/>
      <c r="AF2156" s="27"/>
      <c r="AG2156" s="27"/>
      <c r="AH2156" s="27"/>
      <c r="AI2156" s="25">
        <v>370121</v>
      </c>
      <c r="AJ2156" s="25">
        <v>236877</v>
      </c>
      <c r="AK2156" s="25">
        <v>26297</v>
      </c>
      <c r="AL2156" s="25">
        <v>404700</v>
      </c>
      <c r="AM2156" s="25">
        <v>84300</v>
      </c>
      <c r="AN2156" s="25">
        <v>320400</v>
      </c>
      <c r="AO2156" s="25">
        <v>0</v>
      </c>
      <c r="AP2156" s="25">
        <f>Lookups!$B$56*0</f>
        <v>0</v>
      </c>
      <c r="AQ2156" s="25">
        <f>Lookups!$B$56*1</f>
        <v>89850.625589999996</v>
      </c>
      <c r="AR2156" s="25">
        <f>Lookups!$B$57*Inventory[[#This Row],[LnAcres]]</f>
        <v>-27460.397125792362</v>
      </c>
      <c r="AS2156" s="25">
        <f>VLOOKUP(Inventory[[#This Row],[Qlty]],Lookups!$A$62:$E$75,2,FALSE)</f>
        <v>44121.038090000002</v>
      </c>
      <c r="AT2156" s="25">
        <f>VLOOKUP(Inventory[[#This Row],[Cnd]],Lookups!$A$76:$E$84,2,FALSE)</f>
        <v>197752.34721000001</v>
      </c>
      <c r="AU2156" s="25">
        <f>Inventory[[#This Row],[EffAge]]*Lookups!$B$85</f>
        <v>-12936.644829000001</v>
      </c>
      <c r="AV2156" s="25">
        <f>Inventory[[#This Row],[MainFn]]*Lookups!$B$86</f>
        <v>86366.354944995997</v>
      </c>
      <c r="AW2156" s="25">
        <f>Inventory[[#This Row],[UpprFn]]*Lookups!$B$87</f>
        <v>0</v>
      </c>
      <c r="AX2156" s="25">
        <f>Inventory[[#This Row],[AddFn]]*Lookups!$B$88</f>
        <v>0</v>
      </c>
      <c r="AY2156" s="25">
        <f>Inventory[[#This Row],[Bsmt]]*Lookups!$B$89</f>
        <v>0</v>
      </c>
      <c r="AZ2156" s="25">
        <f>Inventory[[#This Row],[Fixtures]]*Lookups!$B$90</f>
        <v>34128.198946800003</v>
      </c>
      <c r="BA2156" s="25">
        <f>Inventory[[#This Row],[WdDeck]]*Lookups!$B$91</f>
        <v>0</v>
      </c>
      <c r="BB2156" s="25">
        <f>ROUND(Inventory[[#This Row],[25Det]],-2)</f>
        <v>26300</v>
      </c>
      <c r="BC2156" s="25">
        <f>ROUND(SUM(Inventory[[#This Row],[Mdl Qlty]:[Mdl WdDeck]])+Inventory[[#This Row],[Mdl Res Intercept]],-2)</f>
        <v>349400</v>
      </c>
      <c r="BD2156" s="25">
        <f>ROUND(Inventory[[#This Row],[Mdl Land Intercept]]+Inventory[[#This Row],[Mdl LnAcres]],-2)</f>
        <v>62400</v>
      </c>
      <c r="BE2156" s="25">
        <f>Inventory[[#This Row],[Unadj Res Value]]+Inventory[[#This Row],[Unadj Det Value]]+Inventory[[#This Row],[Unadj Land Value]]</f>
        <v>438100</v>
      </c>
      <c r="BF2156" s="36">
        <f>(Inventory[[#This Row],[Unadj Total Value]]-Inventory[[#This Row],[24Final]])/Inventory[[#This Row],[24Final]]</f>
        <v>8.2530269335310102E-2</v>
      </c>
      <c r="BG2156" s="25">
        <f>VLOOKUP(Inventory[[#This Row],[Nbhd]],Lookups!$Q$2:$T$4,4,FALSE)</f>
        <v>0.99970000000000003</v>
      </c>
      <c r="BH2156" s="25">
        <f>VLOOKUP(Inventory[[#This Row],[Qlty]],Lookups!$O$7:$R$21,4,FALSE)</f>
        <v>0.98050000000000004</v>
      </c>
      <c r="BI2156" s="25">
        <f>VLOOKUP(Inventory[[#This Row],[Cnd]],Lookups!$T$7:$W$16,4,FALSE)</f>
        <v>0.99650000000000005</v>
      </c>
      <c r="BJ2156" s="25">
        <f>VLOOKUP(Inventory[[#This Row],[LivArea Range]],Lookups!$T$25:$W$37,4,FALSE)</f>
        <v>1.0093000000000001</v>
      </c>
      <c r="BK2156" s="25">
        <f>VLOOKUP(Inventory[[#This Row],[Decade]],Lookups!$O$25:$R$42,4,FALSE)</f>
        <v>0.96040000000000003</v>
      </c>
      <c r="BL2156" s="25">
        <f>Inventory[[#This Row],[Nbhd Adj]]*0.95</f>
        <v>0.94971499999999998</v>
      </c>
      <c r="BM2156" s="25">
        <f>Inventory[[#This Row],[Nbhd Adj]]*Inventory[[#This Row],[Quality Adj]]*Inventory[[#This Row],[Condition Adj]]*Inventory[[#This Row],[Living Area Adj]]*Inventory[[#This Row],[Decade Adj]]*0.95</f>
        <v>0.89947816053790663</v>
      </c>
      <c r="BN2156" s="25">
        <f>ROUND(SUM(Inventory[[#This Row],[Mdl Qlty]:[Mdl WdDeck]])+Inventory[[#This Row],[Mdl Res Intercept]]*Inventory[[#This Row],[Res Adj ]],-2)</f>
        <v>349400</v>
      </c>
      <c r="BO2156" s="25">
        <f>ROUND(Inventory[[#This Row],[25Det]]*Inventory[[#This Row],[Det/Nbhd Adj]],-2)</f>
        <v>25000</v>
      </c>
      <c r="BP2156" s="25">
        <f>Inventory[[#This Row],[Adjusted Res]]+Inventory[[#This Row],[Adj Det ]]</f>
        <v>374400</v>
      </c>
      <c r="BQ2156" s="25">
        <f>ROUND((Inventory[[#This Row],[Mdl Land Intercept]]+Inventory[[#This Row],[Mdl LnAcres]])*Inventory[[#This Row],[Det/Nbhd Adj]],-2)</f>
        <v>59300</v>
      </c>
      <c r="BR2156" s="25">
        <f>Inventory[[#This Row],[Adjusted Impr Total]]+Inventory[[#This Row],[Adjusted Land Total]]</f>
        <v>433700</v>
      </c>
      <c r="BS2156" s="36">
        <f>IFERROR((Inventory[[#This Row],[Adjusted Impr Total]]-Inventory[[#This Row],[24Bldg]])/Inventory[[#This Row],[24Bldg]],0)</f>
        <v>0.16853932584269662</v>
      </c>
      <c r="BT2156" s="36">
        <f>(Inventory[[#This Row],[Adjusted Land Total]]-Inventory[[#This Row],[24Lnd]])/Inventory[[#This Row],[24Lnd]]</f>
        <v>-0.29655990510083036</v>
      </c>
      <c r="BU2156" s="36">
        <f>(Inventory[[#This Row],[Adjusted Total]]-Inventory[[#This Row],[24Final]])/Inventory[[#This Row],[24Final]]</f>
        <v>7.1658018285149491E-2</v>
      </c>
    </row>
    <row r="2157" spans="1:73" x14ac:dyDescent="0.3">
      <c r="A2157" s="25">
        <v>2025</v>
      </c>
      <c r="B2157" s="26" t="s">
        <v>2143</v>
      </c>
      <c r="C2157" s="26">
        <f>LN(Inventory[[#This Row],[Acres]])</f>
        <v>-1.8971199848858813</v>
      </c>
      <c r="D2157" s="25">
        <v>0.15</v>
      </c>
      <c r="E2157" s="25">
        <v>6369</v>
      </c>
      <c r="F2157" s="26" t="s">
        <v>537</v>
      </c>
      <c r="G2157" s="26" t="s">
        <v>126</v>
      </c>
      <c r="H2157" s="26" t="s">
        <v>349</v>
      </c>
      <c r="I2157" s="26" t="s">
        <v>538</v>
      </c>
      <c r="J2157" s="26" t="s">
        <v>539</v>
      </c>
      <c r="K2157" s="26" t="s">
        <v>269</v>
      </c>
      <c r="L2157" s="26" t="s">
        <v>351</v>
      </c>
      <c r="M2157" s="26" t="s">
        <v>303</v>
      </c>
      <c r="N2157" s="26">
        <v>110</v>
      </c>
      <c r="O2157" s="26">
        <f>2024-Inventory[[#This Row],[YrBlt]]</f>
        <v>104</v>
      </c>
      <c r="P2157" s="26">
        <f>2024-Inventory[[#This Row],[EffYr]]</f>
        <v>58</v>
      </c>
      <c r="Q2157" s="25">
        <v>1920</v>
      </c>
      <c r="R2157" s="25">
        <v>1966</v>
      </c>
      <c r="S2157" s="25">
        <v>1188</v>
      </c>
      <c r="T2157" s="27"/>
      <c r="U2157" s="25">
        <v>392</v>
      </c>
      <c r="V2157" s="25">
        <f>Inventory[[#This Row],[Bsmt]]-Inventory[[#This Row],[FnBsmt]]</f>
        <v>0</v>
      </c>
      <c r="W2157" s="25">
        <v>392</v>
      </c>
      <c r="X2157" s="27"/>
      <c r="Y2157" s="27">
        <f>Inventory[[#This Row],[MainFn]]+Inventory[[#This Row],[UpprFn]]+Inventory[[#This Row],[FnBsmt]]+Inventory[[#This Row],[AddFn]]</f>
        <v>1580</v>
      </c>
      <c r="Z2157" s="27">
        <v>2000</v>
      </c>
      <c r="AA2157" s="25">
        <v>6</v>
      </c>
      <c r="AB2157" s="27"/>
      <c r="AC2157" s="27"/>
      <c r="AD2157" s="27"/>
      <c r="AE2157" s="27"/>
      <c r="AF2157" s="27"/>
      <c r="AG2157" s="27"/>
      <c r="AH2157" s="27"/>
      <c r="AI2157" s="25">
        <v>250561</v>
      </c>
      <c r="AJ2157" s="25">
        <v>160359</v>
      </c>
      <c r="AK2157" s="25">
        <v>4877</v>
      </c>
      <c r="AL2157" s="25">
        <v>310100</v>
      </c>
      <c r="AM2157" s="25">
        <v>48400</v>
      </c>
      <c r="AN2157" s="25">
        <v>261700</v>
      </c>
      <c r="AO2157" s="25">
        <v>0</v>
      </c>
      <c r="AP2157" s="25">
        <f>Lookups!$B$56*0</f>
        <v>0</v>
      </c>
      <c r="AQ2157" s="25">
        <f>Lookups!$B$56*1</f>
        <v>89850.625589999996</v>
      </c>
      <c r="AR2157" s="25">
        <f>Lookups!$B$57*Inventory[[#This Row],[LnAcres]]</f>
        <v>-60052.604136134301</v>
      </c>
      <c r="AS2157" s="25">
        <f>VLOOKUP(Inventory[[#This Row],[Qlty]],Lookups!$A$62:$E$75,2,FALSE)</f>
        <v>21557.329055999999</v>
      </c>
      <c r="AT2157" s="25">
        <f>VLOOKUP(Inventory[[#This Row],[Cnd]],Lookups!$A$76:$E$84,2,FALSE)</f>
        <v>197752.34721000001</v>
      </c>
      <c r="AU2157" s="25">
        <f>Inventory[[#This Row],[EffAge]]*Lookups!$B$85</f>
        <v>-12936.644829000001</v>
      </c>
      <c r="AV2157" s="25">
        <f>Inventory[[#This Row],[MainFn]]*Lookups!$B$86</f>
        <v>58697.499813875998</v>
      </c>
      <c r="AW2157" s="25">
        <f>Inventory[[#This Row],[UpprFn]]*Lookups!$B$87</f>
        <v>0</v>
      </c>
      <c r="AX2157" s="25">
        <f>Inventory[[#This Row],[AddFn]]*Lookups!$B$88</f>
        <v>0</v>
      </c>
      <c r="AY2157" s="25">
        <f>Inventory[[#This Row],[Bsmt]]*Lookups!$B$89</f>
        <v>11400.102936824</v>
      </c>
      <c r="AZ2157" s="25">
        <f>Inventory[[#This Row],[Fixtures]]*Lookups!$B$90</f>
        <v>22752.132631200002</v>
      </c>
      <c r="BA2157" s="25">
        <f>Inventory[[#This Row],[WdDeck]]*Lookups!$B$91</f>
        <v>0</v>
      </c>
      <c r="BB2157" s="25">
        <f>ROUND(Inventory[[#This Row],[25Det]],-2)</f>
        <v>4900</v>
      </c>
      <c r="BC2157" s="25">
        <f>ROUND(SUM(Inventory[[#This Row],[Mdl Qlty]:[Mdl WdDeck]])+Inventory[[#This Row],[Mdl Res Intercept]],-2)</f>
        <v>299200</v>
      </c>
      <c r="BD2157" s="25">
        <f>ROUND(Inventory[[#This Row],[Mdl Land Intercept]]+Inventory[[#This Row],[Mdl LnAcres]],-2)</f>
        <v>29800</v>
      </c>
      <c r="BE2157" s="25">
        <f>Inventory[[#This Row],[Unadj Res Value]]+Inventory[[#This Row],[Unadj Det Value]]+Inventory[[#This Row],[Unadj Land Value]]</f>
        <v>333900</v>
      </c>
      <c r="BF2157" s="36">
        <f>(Inventory[[#This Row],[Unadj Total Value]]-Inventory[[#This Row],[24Final]])/Inventory[[#This Row],[24Final]]</f>
        <v>7.6749435665914217E-2</v>
      </c>
      <c r="BG2157" s="25">
        <f>VLOOKUP(Inventory[[#This Row],[Nbhd]],Lookups!$Q$2:$T$4,4,FALSE)</f>
        <v>0.99970000000000003</v>
      </c>
      <c r="BH2157" s="25">
        <f>VLOOKUP(Inventory[[#This Row],[Qlty]],Lookups!$O$7:$R$21,4,FALSE)</f>
        <v>1.0067999999999999</v>
      </c>
      <c r="BI2157" s="25">
        <f>VLOOKUP(Inventory[[#This Row],[Cnd]],Lookups!$T$7:$W$16,4,FALSE)</f>
        <v>0.99650000000000005</v>
      </c>
      <c r="BJ2157" s="25">
        <f>VLOOKUP(Inventory[[#This Row],[LivArea Range]],Lookups!$T$25:$W$37,4,FALSE)</f>
        <v>1.0093000000000001</v>
      </c>
      <c r="BK2157" s="25">
        <f>VLOOKUP(Inventory[[#This Row],[Decade]],Lookups!$O$25:$R$42,4,FALSE)</f>
        <v>0.96040000000000003</v>
      </c>
      <c r="BL2157" s="25">
        <f>Inventory[[#This Row],[Nbhd Adj]]*0.95</f>
        <v>0.94971499999999998</v>
      </c>
      <c r="BM2157" s="25">
        <f>Inventory[[#This Row],[Nbhd Adj]]*Inventory[[#This Row],[Quality Adj]]*Inventory[[#This Row],[Condition Adj]]*Inventory[[#This Row],[Living Area Adj]]*Inventory[[#This Row],[Decade Adj]]*0.95</f>
        <v>0.92360490773030512</v>
      </c>
      <c r="BN2157" s="25">
        <f>ROUND(SUM(Inventory[[#This Row],[Mdl Qlty]:[Mdl WdDeck]])+Inventory[[#This Row],[Mdl Res Intercept]]*Inventory[[#This Row],[Res Adj ]],-2)</f>
        <v>299200</v>
      </c>
      <c r="BO2157" s="25">
        <f>ROUND(Inventory[[#This Row],[25Det]]*Inventory[[#This Row],[Det/Nbhd Adj]],-2)</f>
        <v>4600</v>
      </c>
      <c r="BP2157" s="25">
        <f>Inventory[[#This Row],[Adjusted Res]]+Inventory[[#This Row],[Adj Det ]]</f>
        <v>303800</v>
      </c>
      <c r="BQ2157" s="25">
        <f>ROUND((Inventory[[#This Row],[Mdl Land Intercept]]+Inventory[[#This Row],[Mdl LnAcres]])*Inventory[[#This Row],[Det/Nbhd Adj]],-2)</f>
        <v>28300</v>
      </c>
      <c r="BR2157" s="25">
        <f>Inventory[[#This Row],[Adjusted Impr Total]]+Inventory[[#This Row],[Adjusted Land Total]]</f>
        <v>332100</v>
      </c>
      <c r="BS2157" s="36">
        <f>IFERROR((Inventory[[#This Row],[Adjusted Impr Total]]-Inventory[[#This Row],[24Bldg]])/Inventory[[#This Row],[24Bldg]],0)</f>
        <v>0.16087122659533817</v>
      </c>
      <c r="BT2157" s="36">
        <f>(Inventory[[#This Row],[Adjusted Land Total]]-Inventory[[#This Row],[24Lnd]])/Inventory[[#This Row],[24Lnd]]</f>
        <v>-0.41528925619834711</v>
      </c>
      <c r="BU2157" s="36">
        <f>(Inventory[[#This Row],[Adjusted Total]]-Inventory[[#This Row],[24Final]])/Inventory[[#This Row],[24Final]]</f>
        <v>7.0944856497903899E-2</v>
      </c>
    </row>
    <row r="2158" spans="1:73" x14ac:dyDescent="0.3">
      <c r="A2158" s="25">
        <v>2025</v>
      </c>
      <c r="B2158" s="26" t="s">
        <v>1982</v>
      </c>
      <c r="C2158" s="26">
        <f>LN(Inventory[[#This Row],[Acres]])</f>
        <v>-1.8971199848858813</v>
      </c>
      <c r="D2158" s="25">
        <v>0.15</v>
      </c>
      <c r="E2158" s="31"/>
      <c r="F2158" s="26" t="s">
        <v>537</v>
      </c>
      <c r="G2158" s="26" t="s">
        <v>126</v>
      </c>
      <c r="H2158" s="26" t="s">
        <v>349</v>
      </c>
      <c r="I2158" s="26" t="s">
        <v>538</v>
      </c>
      <c r="J2158" s="26" t="s">
        <v>638</v>
      </c>
      <c r="K2158" s="26" t="s">
        <v>269</v>
      </c>
      <c r="L2158" s="26" t="s">
        <v>351</v>
      </c>
      <c r="M2158" s="26" t="s">
        <v>303</v>
      </c>
      <c r="N2158" s="26">
        <v>110</v>
      </c>
      <c r="O2158" s="26">
        <f>2024-Inventory[[#This Row],[YrBlt]]</f>
        <v>104</v>
      </c>
      <c r="P2158" s="26">
        <f>2024-Inventory[[#This Row],[EffYr]]</f>
        <v>58</v>
      </c>
      <c r="Q2158" s="25">
        <v>1920</v>
      </c>
      <c r="R2158" s="25">
        <v>1966</v>
      </c>
      <c r="S2158" s="25">
        <v>928</v>
      </c>
      <c r="T2158" s="27"/>
      <c r="U2158" s="25">
        <v>720</v>
      </c>
      <c r="V2158" s="25">
        <f>Inventory[[#This Row],[Bsmt]]-Inventory[[#This Row],[FnBsmt]]</f>
        <v>0</v>
      </c>
      <c r="W2158" s="25">
        <v>720</v>
      </c>
      <c r="X2158" s="27"/>
      <c r="Y2158" s="27">
        <f>Inventory[[#This Row],[MainFn]]+Inventory[[#This Row],[UpprFn]]+Inventory[[#This Row],[FnBsmt]]+Inventory[[#This Row],[AddFn]]</f>
        <v>1648</v>
      </c>
      <c r="Z2158" s="27">
        <v>2000</v>
      </c>
      <c r="AA2158" s="25">
        <v>5</v>
      </c>
      <c r="AB2158" s="31"/>
      <c r="AC2158" s="27"/>
      <c r="AD2158" s="27"/>
      <c r="AE2158" s="27"/>
      <c r="AF2158" s="27"/>
      <c r="AG2158" s="27"/>
      <c r="AH2158" s="27"/>
      <c r="AI2158" s="25">
        <v>221368</v>
      </c>
      <c r="AJ2158" s="25">
        <v>141676</v>
      </c>
      <c r="AK2158" s="25">
        <v>4877</v>
      </c>
      <c r="AL2158" s="25">
        <v>303600</v>
      </c>
      <c r="AM2158" s="25">
        <v>48400</v>
      </c>
      <c r="AN2158" s="25">
        <v>255200</v>
      </c>
      <c r="AO2158" s="25">
        <v>0</v>
      </c>
      <c r="AP2158" s="25">
        <f>Lookups!$B$56*0</f>
        <v>0</v>
      </c>
      <c r="AQ2158" s="25">
        <f>Lookups!$B$56*1</f>
        <v>89850.625589999996</v>
      </c>
      <c r="AR2158" s="25">
        <f>Lookups!$B$57*Inventory[[#This Row],[LnAcres]]</f>
        <v>-60052.604136134301</v>
      </c>
      <c r="AS2158" s="25">
        <f>VLOOKUP(Inventory[[#This Row],[Qlty]],Lookups!$A$62:$E$75,2,FALSE)</f>
        <v>21557.329055999999</v>
      </c>
      <c r="AT2158" s="25">
        <f>VLOOKUP(Inventory[[#This Row],[Cnd]],Lookups!$A$76:$E$84,2,FALSE)</f>
        <v>197752.34721000001</v>
      </c>
      <c r="AU2158" s="25">
        <f>Inventory[[#This Row],[EffAge]]*Lookups!$B$85</f>
        <v>-12936.644829000001</v>
      </c>
      <c r="AV2158" s="25">
        <f>Inventory[[#This Row],[MainFn]]*Lookups!$B$86</f>
        <v>45851.245645856005</v>
      </c>
      <c r="AW2158" s="25">
        <f>Inventory[[#This Row],[UpprFn]]*Lookups!$B$87</f>
        <v>0</v>
      </c>
      <c r="AX2158" s="25">
        <f>Inventory[[#This Row],[AddFn]]*Lookups!$B$88</f>
        <v>0</v>
      </c>
      <c r="AY2158" s="25">
        <f>Inventory[[#This Row],[Bsmt]]*Lookups!$B$89</f>
        <v>20938.964577839997</v>
      </c>
      <c r="AZ2158" s="25">
        <f>Inventory[[#This Row],[Fixtures]]*Lookups!$B$90</f>
        <v>18960.110526</v>
      </c>
      <c r="BA2158" s="25">
        <f>Inventory[[#This Row],[WdDeck]]*Lookups!$B$91</f>
        <v>0</v>
      </c>
      <c r="BB2158" s="25">
        <f>ROUND(Inventory[[#This Row],[25Det]],-2)</f>
        <v>4900</v>
      </c>
      <c r="BC2158" s="25">
        <f>ROUND(SUM(Inventory[[#This Row],[Mdl Qlty]:[Mdl WdDeck]])+Inventory[[#This Row],[Mdl Res Intercept]],-2)</f>
        <v>292100</v>
      </c>
      <c r="BD2158" s="25">
        <f>ROUND(Inventory[[#This Row],[Mdl Land Intercept]]+Inventory[[#This Row],[Mdl LnAcres]],-2)</f>
        <v>29800</v>
      </c>
      <c r="BE2158" s="25">
        <f>Inventory[[#This Row],[Unadj Res Value]]+Inventory[[#This Row],[Unadj Det Value]]+Inventory[[#This Row],[Unadj Land Value]]</f>
        <v>326800</v>
      </c>
      <c r="BF2158" s="36">
        <f>(Inventory[[#This Row],[Unadj Total Value]]-Inventory[[#This Row],[24Final]])/Inventory[[#This Row],[24Final]]</f>
        <v>7.6416337285902497E-2</v>
      </c>
      <c r="BG2158" s="25">
        <f>VLOOKUP(Inventory[[#This Row],[Nbhd]],Lookups!$Q$2:$T$4,4,FALSE)</f>
        <v>0.99970000000000003</v>
      </c>
      <c r="BH2158" s="25">
        <f>VLOOKUP(Inventory[[#This Row],[Qlty]],Lookups!$O$7:$R$21,4,FALSE)</f>
        <v>1.0067999999999999</v>
      </c>
      <c r="BI2158" s="25">
        <f>VLOOKUP(Inventory[[#This Row],[Cnd]],Lookups!$T$7:$W$16,4,FALSE)</f>
        <v>0.99650000000000005</v>
      </c>
      <c r="BJ2158" s="25">
        <f>VLOOKUP(Inventory[[#This Row],[LivArea Range]],Lookups!$T$25:$W$37,4,FALSE)</f>
        <v>1.0093000000000001</v>
      </c>
      <c r="BK2158" s="25">
        <f>VLOOKUP(Inventory[[#This Row],[Decade]],Lookups!$O$25:$R$42,4,FALSE)</f>
        <v>0.96040000000000003</v>
      </c>
      <c r="BL2158" s="25">
        <f>Inventory[[#This Row],[Nbhd Adj]]*0.95</f>
        <v>0.94971499999999998</v>
      </c>
      <c r="BM2158" s="25">
        <f>Inventory[[#This Row],[Nbhd Adj]]*Inventory[[#This Row],[Quality Adj]]*Inventory[[#This Row],[Condition Adj]]*Inventory[[#This Row],[Living Area Adj]]*Inventory[[#This Row],[Decade Adj]]*0.95</f>
        <v>0.92360490773030512</v>
      </c>
      <c r="BN2158" s="25">
        <f>ROUND(SUM(Inventory[[#This Row],[Mdl Qlty]:[Mdl WdDeck]])+Inventory[[#This Row],[Mdl Res Intercept]]*Inventory[[#This Row],[Res Adj ]],-2)</f>
        <v>292100</v>
      </c>
      <c r="BO2158" s="25">
        <f>ROUND(Inventory[[#This Row],[25Det]]*Inventory[[#This Row],[Det/Nbhd Adj]],-2)</f>
        <v>4600</v>
      </c>
      <c r="BP2158" s="25">
        <f>Inventory[[#This Row],[Adjusted Res]]+Inventory[[#This Row],[Adj Det ]]</f>
        <v>296700</v>
      </c>
      <c r="BQ2158" s="25">
        <f>ROUND((Inventory[[#This Row],[Mdl Land Intercept]]+Inventory[[#This Row],[Mdl LnAcres]])*Inventory[[#This Row],[Det/Nbhd Adj]],-2)</f>
        <v>28300</v>
      </c>
      <c r="BR2158" s="25">
        <f>Inventory[[#This Row],[Adjusted Impr Total]]+Inventory[[#This Row],[Adjusted Land Total]]</f>
        <v>325000</v>
      </c>
      <c r="BS2158" s="36">
        <f>IFERROR((Inventory[[#This Row],[Adjusted Impr Total]]-Inventory[[#This Row],[24Bldg]])/Inventory[[#This Row],[24Bldg]],0)</f>
        <v>0.16261755485893417</v>
      </c>
      <c r="BT2158" s="36">
        <f>(Inventory[[#This Row],[Adjusted Land Total]]-Inventory[[#This Row],[24Lnd]])/Inventory[[#This Row],[24Lnd]]</f>
        <v>-0.41528925619834711</v>
      </c>
      <c r="BU2158" s="36">
        <f>(Inventory[[#This Row],[Adjusted Total]]-Inventory[[#This Row],[24Final]])/Inventory[[#This Row],[24Final]]</f>
        <v>7.0487483530961792E-2</v>
      </c>
    </row>
    <row r="2159" spans="1:73" x14ac:dyDescent="0.3">
      <c r="A2159" s="25">
        <v>2025</v>
      </c>
      <c r="B2159" s="26" t="s">
        <v>1043</v>
      </c>
      <c r="C2159" s="26">
        <f>LN(Inventory[[#This Row],[Acres]])</f>
        <v>-1.6094379124341003</v>
      </c>
      <c r="D2159" s="25">
        <v>0.2</v>
      </c>
      <c r="E2159" s="27"/>
      <c r="F2159" s="26" t="s">
        <v>537</v>
      </c>
      <c r="G2159" s="26" t="s">
        <v>126</v>
      </c>
      <c r="H2159" s="26" t="s">
        <v>349</v>
      </c>
      <c r="I2159" s="26" t="s">
        <v>538</v>
      </c>
      <c r="J2159" s="26" t="s">
        <v>539</v>
      </c>
      <c r="K2159" s="26" t="s">
        <v>416</v>
      </c>
      <c r="L2159" s="26" t="s">
        <v>148</v>
      </c>
      <c r="M2159" s="26" t="s">
        <v>303</v>
      </c>
      <c r="N2159" s="26">
        <v>110</v>
      </c>
      <c r="O2159" s="26">
        <f>2024-Inventory[[#This Row],[YrBlt]]</f>
        <v>104</v>
      </c>
      <c r="P2159" s="26">
        <f>2024-Inventory[[#This Row],[EffYr]]</f>
        <v>58</v>
      </c>
      <c r="Q2159" s="25">
        <v>1920</v>
      </c>
      <c r="R2159" s="25">
        <v>1966</v>
      </c>
      <c r="S2159" s="25">
        <v>1348</v>
      </c>
      <c r="T2159" s="32">
        <v>1348</v>
      </c>
      <c r="U2159" s="32">
        <v>1348</v>
      </c>
      <c r="V2159" s="32">
        <f>Inventory[[#This Row],[Bsmt]]-Inventory[[#This Row],[FnBsmt]]</f>
        <v>1348</v>
      </c>
      <c r="W2159" s="27"/>
      <c r="X2159" s="27"/>
      <c r="Y2159" s="27">
        <f>Inventory[[#This Row],[MainFn]]+Inventory[[#This Row],[UpprFn]]+Inventory[[#This Row],[FnBsmt]]+Inventory[[#This Row],[AddFn]]</f>
        <v>2696</v>
      </c>
      <c r="Z2159" s="27">
        <v>3000</v>
      </c>
      <c r="AA2159" s="25">
        <v>8</v>
      </c>
      <c r="AB2159" s="31"/>
      <c r="AC2159" s="27"/>
      <c r="AD2159" s="27"/>
      <c r="AE2159" s="27"/>
      <c r="AF2159" s="27"/>
      <c r="AG2159" s="27"/>
      <c r="AH2159" s="27"/>
      <c r="AI2159" s="25">
        <v>543063</v>
      </c>
      <c r="AJ2159" s="25">
        <v>347560</v>
      </c>
      <c r="AK2159" s="25">
        <v>6724</v>
      </c>
      <c r="AL2159" s="25">
        <v>438200</v>
      </c>
      <c r="AM2159" s="25">
        <v>58400</v>
      </c>
      <c r="AN2159" s="25">
        <v>379800</v>
      </c>
      <c r="AO2159" s="25">
        <v>0</v>
      </c>
      <c r="AP2159" s="25">
        <f>Lookups!$B$56*0</f>
        <v>0</v>
      </c>
      <c r="AQ2159" s="25">
        <f>Lookups!$B$56*1</f>
        <v>89850.625589999996</v>
      </c>
      <c r="AR2159" s="25">
        <f>Lookups!$B$57*Inventory[[#This Row],[LnAcres]]</f>
        <v>-50946.13867709865</v>
      </c>
      <c r="AS2159" s="25">
        <f>VLOOKUP(Inventory[[#This Row],[Qlty]],Lookups!$A$62:$E$75,2,FALSE)</f>
        <v>44121.038090000002</v>
      </c>
      <c r="AT2159" s="25">
        <f>VLOOKUP(Inventory[[#This Row],[Cnd]],Lookups!$A$76:$E$84,2,FALSE)</f>
        <v>197752.34721000001</v>
      </c>
      <c r="AU2159" s="25">
        <f>Inventory[[#This Row],[EffAge]]*Lookups!$B$85</f>
        <v>-12936.644829000001</v>
      </c>
      <c r="AV2159" s="25">
        <f>Inventory[[#This Row],[MainFn]]*Lookups!$B$86</f>
        <v>66602.886994196</v>
      </c>
      <c r="AW2159" s="25">
        <f>Inventory[[#This Row],[UpprFn]]*Lookups!$B$87</f>
        <v>60372.098016627999</v>
      </c>
      <c r="AX2159" s="25">
        <f>Inventory[[#This Row],[AddFn]]*Lookups!$B$88</f>
        <v>0</v>
      </c>
      <c r="AY2159" s="25">
        <f>Inventory[[#This Row],[Bsmt]]*Lookups!$B$89</f>
        <v>39202.394792955994</v>
      </c>
      <c r="AZ2159" s="25">
        <f>Inventory[[#This Row],[Fixtures]]*Lookups!$B$90</f>
        <v>30336.176841600001</v>
      </c>
      <c r="BA2159" s="25">
        <f>Inventory[[#This Row],[WdDeck]]*Lookups!$B$91</f>
        <v>0</v>
      </c>
      <c r="BB2159" s="25">
        <f>ROUND(Inventory[[#This Row],[25Det]],-2)</f>
        <v>6700</v>
      </c>
      <c r="BC2159" s="25">
        <f>ROUND(SUM(Inventory[[#This Row],[Mdl Qlty]:[Mdl WdDeck]])+Inventory[[#This Row],[Mdl Res Intercept]],-2)</f>
        <v>425500</v>
      </c>
      <c r="BD2159" s="25">
        <f>ROUND(Inventory[[#This Row],[Mdl Land Intercept]]+Inventory[[#This Row],[Mdl LnAcres]],-2)</f>
        <v>38900</v>
      </c>
      <c r="BE2159" s="25">
        <f>Inventory[[#This Row],[Unadj Res Value]]+Inventory[[#This Row],[Unadj Det Value]]+Inventory[[#This Row],[Unadj Land Value]]</f>
        <v>471100</v>
      </c>
      <c r="BF2159" s="36">
        <f>(Inventory[[#This Row],[Unadj Total Value]]-Inventory[[#This Row],[24Final]])/Inventory[[#This Row],[24Final]]</f>
        <v>7.5079872204472847E-2</v>
      </c>
      <c r="BG2159" s="25">
        <f>VLOOKUP(Inventory[[#This Row],[Nbhd]],Lookups!$Q$2:$T$4,4,FALSE)</f>
        <v>0.99970000000000003</v>
      </c>
      <c r="BH2159" s="25">
        <f>VLOOKUP(Inventory[[#This Row],[Qlty]],Lookups!$O$7:$R$21,4,FALSE)</f>
        <v>0.98050000000000004</v>
      </c>
      <c r="BI2159" s="25">
        <f>VLOOKUP(Inventory[[#This Row],[Cnd]],Lookups!$T$7:$W$16,4,FALSE)</f>
        <v>0.99650000000000005</v>
      </c>
      <c r="BJ2159" s="25">
        <f>VLOOKUP(Inventory[[#This Row],[LivArea Range]],Lookups!$T$25:$W$37,4,FALSE)</f>
        <v>0.96179999999999999</v>
      </c>
      <c r="BK2159" s="25">
        <f>VLOOKUP(Inventory[[#This Row],[Decade]],Lookups!$O$25:$R$42,4,FALSE)</f>
        <v>0.96040000000000003</v>
      </c>
      <c r="BL2159" s="25">
        <f>Inventory[[#This Row],[Nbhd Adj]]*0.95</f>
        <v>0.94971499999999998</v>
      </c>
      <c r="BM2159" s="25">
        <f>Inventory[[#This Row],[Nbhd Adj]]*Inventory[[#This Row],[Quality Adj]]*Inventory[[#This Row],[Condition Adj]]*Inventory[[#This Row],[Living Area Adj]]*Inventory[[#This Row],[Decade Adj]]*0.95</f>
        <v>0.85714663113579559</v>
      </c>
      <c r="BN2159" s="25">
        <f>ROUND(SUM(Inventory[[#This Row],[Mdl Qlty]:[Mdl WdDeck]])+Inventory[[#This Row],[Mdl Res Intercept]]*Inventory[[#This Row],[Res Adj ]],-2)</f>
        <v>425500</v>
      </c>
      <c r="BO2159" s="25">
        <f>ROUND(Inventory[[#This Row],[25Det]]*Inventory[[#This Row],[Det/Nbhd Adj]],-2)</f>
        <v>6400</v>
      </c>
      <c r="BP2159" s="25">
        <f>Inventory[[#This Row],[Adjusted Res]]+Inventory[[#This Row],[Adj Det ]]</f>
        <v>431900</v>
      </c>
      <c r="BQ2159" s="25">
        <f>ROUND((Inventory[[#This Row],[Mdl Land Intercept]]+Inventory[[#This Row],[Mdl LnAcres]])*Inventory[[#This Row],[Det/Nbhd Adj]],-2)</f>
        <v>36900</v>
      </c>
      <c r="BR2159" s="25">
        <f>Inventory[[#This Row],[Adjusted Impr Total]]+Inventory[[#This Row],[Adjusted Land Total]]</f>
        <v>468800</v>
      </c>
      <c r="BS2159" s="36">
        <f>IFERROR((Inventory[[#This Row],[Adjusted Impr Total]]-Inventory[[#This Row],[24Bldg]])/Inventory[[#This Row],[24Bldg]],0)</f>
        <v>0.1371774618220116</v>
      </c>
      <c r="BT2159" s="36">
        <f>(Inventory[[#This Row],[Adjusted Land Total]]-Inventory[[#This Row],[24Lnd]])/Inventory[[#This Row],[24Lnd]]</f>
        <v>-0.36815068493150682</v>
      </c>
      <c r="BU2159" s="36">
        <f>(Inventory[[#This Row],[Adjusted Total]]-Inventory[[#This Row],[24Final]])/Inventory[[#This Row],[24Final]]</f>
        <v>6.9831127339114563E-2</v>
      </c>
    </row>
    <row r="2160" spans="1:73" x14ac:dyDescent="0.3">
      <c r="A2160" s="25">
        <v>2025</v>
      </c>
      <c r="B2160" s="26" t="s">
        <v>825</v>
      </c>
      <c r="C2160" s="26">
        <f>LN(Inventory[[#This Row],[Acres]])</f>
        <v>-1.7147984280919266</v>
      </c>
      <c r="D2160" s="25">
        <v>0.18</v>
      </c>
      <c r="E2160" s="32">
        <v>8036</v>
      </c>
      <c r="F2160" s="26" t="s">
        <v>537</v>
      </c>
      <c r="G2160" s="26" t="s">
        <v>126</v>
      </c>
      <c r="H2160" s="26" t="s">
        <v>349</v>
      </c>
      <c r="I2160" s="26" t="s">
        <v>538</v>
      </c>
      <c r="J2160" s="26" t="s">
        <v>539</v>
      </c>
      <c r="K2160" s="26" t="s">
        <v>173</v>
      </c>
      <c r="L2160" s="26" t="s">
        <v>205</v>
      </c>
      <c r="M2160" s="26" t="s">
        <v>303</v>
      </c>
      <c r="N2160" s="26">
        <v>110</v>
      </c>
      <c r="O2160" s="26">
        <f>2024-Inventory[[#This Row],[YrBlt]]</f>
        <v>104</v>
      </c>
      <c r="P2160" s="26">
        <f>2024-Inventory[[#This Row],[EffYr]]</f>
        <v>58</v>
      </c>
      <c r="Q2160" s="25">
        <v>1920</v>
      </c>
      <c r="R2160" s="25">
        <v>1966</v>
      </c>
      <c r="S2160" s="25">
        <v>1344</v>
      </c>
      <c r="T2160" s="32">
        <v>544</v>
      </c>
      <c r="U2160" s="25">
        <v>800</v>
      </c>
      <c r="V2160" s="25">
        <f>Inventory[[#This Row],[Bsmt]]-Inventory[[#This Row],[FnBsmt]]</f>
        <v>400</v>
      </c>
      <c r="W2160" s="25">
        <v>400</v>
      </c>
      <c r="X2160" s="27"/>
      <c r="Y2160" s="27">
        <f>Inventory[[#This Row],[MainFn]]+Inventory[[#This Row],[UpprFn]]+Inventory[[#This Row],[FnBsmt]]+Inventory[[#This Row],[AddFn]]</f>
        <v>2288</v>
      </c>
      <c r="Z2160" s="27">
        <v>2500</v>
      </c>
      <c r="AA2160" s="25">
        <v>10</v>
      </c>
      <c r="AB2160" s="25">
        <v>252</v>
      </c>
      <c r="AC2160" s="27"/>
      <c r="AD2160" s="32">
        <v>144</v>
      </c>
      <c r="AE2160" s="27"/>
      <c r="AF2160" s="27"/>
      <c r="AG2160" s="27"/>
      <c r="AH2160" s="27"/>
      <c r="AI2160" s="25">
        <v>305719</v>
      </c>
      <c r="AJ2160" s="25">
        <v>195660</v>
      </c>
      <c r="AK2160" s="25">
        <v>0</v>
      </c>
      <c r="AL2160" s="25">
        <v>350900</v>
      </c>
      <c r="AM2160" s="25">
        <v>54700</v>
      </c>
      <c r="AN2160" s="25">
        <v>296200</v>
      </c>
      <c r="AO2160" s="25">
        <v>0</v>
      </c>
      <c r="AP2160" s="25">
        <f>Lookups!$B$56*0</f>
        <v>0</v>
      </c>
      <c r="AQ2160" s="25">
        <f>Lookups!$B$56*1</f>
        <v>89850.625589999996</v>
      </c>
      <c r="AR2160" s="25">
        <f>Lookups!$B$57*Inventory[[#This Row],[LnAcres]]</f>
        <v>-54281.285314520763</v>
      </c>
      <c r="AS2160" s="25">
        <f>VLOOKUP(Inventory[[#This Row],[Qlty]],Lookups!$A$62:$E$75,2,FALSE)</f>
        <v>0</v>
      </c>
      <c r="AT2160" s="25">
        <f>VLOOKUP(Inventory[[#This Row],[Cnd]],Lookups!$A$76:$E$84,2,FALSE)</f>
        <v>197752.34721000001</v>
      </c>
      <c r="AU2160" s="25">
        <f>Inventory[[#This Row],[EffAge]]*Lookups!$B$85</f>
        <v>-12936.644829000001</v>
      </c>
      <c r="AV2160" s="25">
        <f>Inventory[[#This Row],[MainFn]]*Lookups!$B$86</f>
        <v>66405.252314687998</v>
      </c>
      <c r="AW2160" s="25">
        <f>Inventory[[#This Row],[UpprFn]]*Lookups!$B$87</f>
        <v>24363.814036383999</v>
      </c>
      <c r="AX2160" s="25">
        <f>Inventory[[#This Row],[AddFn]]*Lookups!$B$88</f>
        <v>0</v>
      </c>
      <c r="AY2160" s="25">
        <f>Inventory[[#This Row],[Bsmt]]*Lookups!$B$89</f>
        <v>23265.516197599998</v>
      </c>
      <c r="AZ2160" s="25">
        <f>Inventory[[#This Row],[Fixtures]]*Lookups!$B$90</f>
        <v>37920.221052000001</v>
      </c>
      <c r="BA2160" s="25">
        <f>Inventory[[#This Row],[WdDeck]]*Lookups!$B$91</f>
        <v>4794.5541997440005</v>
      </c>
      <c r="BB2160" s="25">
        <f>ROUND(Inventory[[#This Row],[25Det]],-2)</f>
        <v>0</v>
      </c>
      <c r="BC2160" s="25">
        <f>ROUND(SUM(Inventory[[#This Row],[Mdl Qlty]:[Mdl WdDeck]])+Inventory[[#This Row],[Mdl Res Intercept]],-2)</f>
        <v>341600</v>
      </c>
      <c r="BD2160" s="25">
        <f>ROUND(Inventory[[#This Row],[Mdl Land Intercept]]+Inventory[[#This Row],[Mdl LnAcres]],-2)</f>
        <v>35600</v>
      </c>
      <c r="BE2160" s="25">
        <f>Inventory[[#This Row],[Unadj Res Value]]+Inventory[[#This Row],[Unadj Det Value]]+Inventory[[#This Row],[Unadj Land Value]]</f>
        <v>377200</v>
      </c>
      <c r="BF2160" s="36">
        <f>(Inventory[[#This Row],[Unadj Total Value]]-Inventory[[#This Row],[24Final]])/Inventory[[#This Row],[24Final]]</f>
        <v>7.4950128241664291E-2</v>
      </c>
      <c r="BG2160" s="25">
        <f>VLOOKUP(Inventory[[#This Row],[Nbhd]],Lookups!$Q$2:$T$4,4,FALSE)</f>
        <v>0.99970000000000003</v>
      </c>
      <c r="BH2160" s="25">
        <f>VLOOKUP(Inventory[[#This Row],[Qlty]],Lookups!$O$7:$R$21,4,FALSE)</f>
        <v>0.99180000000000001</v>
      </c>
      <c r="BI2160" s="25">
        <f>VLOOKUP(Inventory[[#This Row],[Cnd]],Lookups!$T$7:$W$16,4,FALSE)</f>
        <v>0.99650000000000005</v>
      </c>
      <c r="BJ2160" s="25">
        <f>VLOOKUP(Inventory[[#This Row],[LivArea Range]],Lookups!$T$25:$W$37,4,FALSE)</f>
        <v>0.98919999999999997</v>
      </c>
      <c r="BK2160" s="25">
        <f>VLOOKUP(Inventory[[#This Row],[Decade]],Lookups!$O$25:$R$42,4,FALSE)</f>
        <v>0.96040000000000003</v>
      </c>
      <c r="BL2160" s="25">
        <f>Inventory[[#This Row],[Nbhd Adj]]*0.95</f>
        <v>0.94971499999999998</v>
      </c>
      <c r="BM2160" s="25">
        <f>Inventory[[#This Row],[Nbhd Adj]]*Inventory[[#This Row],[Quality Adj]]*Inventory[[#This Row],[Condition Adj]]*Inventory[[#This Row],[Living Area Adj]]*Inventory[[#This Row],[Decade Adj]]*0.95</f>
        <v>0.89172504304924294</v>
      </c>
      <c r="BN2160" s="25">
        <f>ROUND(SUM(Inventory[[#This Row],[Mdl Qlty]:[Mdl WdDeck]])+Inventory[[#This Row],[Mdl Res Intercept]]*Inventory[[#This Row],[Res Adj ]],-2)</f>
        <v>341600</v>
      </c>
      <c r="BO2160" s="25">
        <f>ROUND(Inventory[[#This Row],[25Det]]*Inventory[[#This Row],[Det/Nbhd Adj]],-2)</f>
        <v>0</v>
      </c>
      <c r="BP2160" s="25">
        <f>Inventory[[#This Row],[Adjusted Res]]+Inventory[[#This Row],[Adj Det ]]</f>
        <v>341600</v>
      </c>
      <c r="BQ2160" s="25">
        <f>ROUND((Inventory[[#This Row],[Mdl Land Intercept]]+Inventory[[#This Row],[Mdl LnAcres]])*Inventory[[#This Row],[Det/Nbhd Adj]],-2)</f>
        <v>33800</v>
      </c>
      <c r="BR2160" s="25">
        <f>Inventory[[#This Row],[Adjusted Impr Total]]+Inventory[[#This Row],[Adjusted Land Total]]</f>
        <v>375400</v>
      </c>
      <c r="BS2160" s="36">
        <f>IFERROR((Inventory[[#This Row],[Adjusted Impr Total]]-Inventory[[#This Row],[24Bldg]])/Inventory[[#This Row],[24Bldg]],0)</f>
        <v>0.15327481431465226</v>
      </c>
      <c r="BT2160" s="36">
        <f>(Inventory[[#This Row],[Adjusted Land Total]]-Inventory[[#This Row],[24Lnd]])/Inventory[[#This Row],[24Lnd]]</f>
        <v>-0.38208409506398539</v>
      </c>
      <c r="BU2160" s="36">
        <f>(Inventory[[#This Row],[Adjusted Total]]-Inventory[[#This Row],[24Final]])/Inventory[[#This Row],[24Final]]</f>
        <v>6.9820461669991452E-2</v>
      </c>
    </row>
    <row r="2161" spans="1:73" x14ac:dyDescent="0.3">
      <c r="A2161" s="25">
        <v>2025</v>
      </c>
      <c r="B2161" s="26" t="s">
        <v>2707</v>
      </c>
      <c r="C2161" s="26">
        <f>LN(Inventory[[#This Row],[Acres]])</f>
        <v>-1.8971199848858813</v>
      </c>
      <c r="D2161" s="25">
        <v>0.15</v>
      </c>
      <c r="E2161" s="27"/>
      <c r="F2161" s="26" t="s">
        <v>537</v>
      </c>
      <c r="G2161" s="26" t="s">
        <v>126</v>
      </c>
      <c r="H2161" s="26" t="s">
        <v>349</v>
      </c>
      <c r="I2161" s="26" t="s">
        <v>538</v>
      </c>
      <c r="J2161" s="26" t="s">
        <v>539</v>
      </c>
      <c r="K2161" s="26" t="s">
        <v>269</v>
      </c>
      <c r="L2161" s="26" t="s">
        <v>351</v>
      </c>
      <c r="M2161" s="26" t="s">
        <v>323</v>
      </c>
      <c r="N2161" s="26">
        <v>110</v>
      </c>
      <c r="O2161" s="26">
        <f>2024-Inventory[[#This Row],[YrBlt]]</f>
        <v>104</v>
      </c>
      <c r="P2161" s="26">
        <f>2024-Inventory[[#This Row],[EffYr]]</f>
        <v>58</v>
      </c>
      <c r="Q2161" s="25">
        <v>1920</v>
      </c>
      <c r="R2161" s="25">
        <v>1966</v>
      </c>
      <c r="S2161" s="25">
        <v>1064</v>
      </c>
      <c r="T2161" s="27"/>
      <c r="U2161" s="25">
        <v>534</v>
      </c>
      <c r="V2161" s="25">
        <f>Inventory[[#This Row],[Bsmt]]-Inventory[[#This Row],[FnBsmt]]</f>
        <v>534</v>
      </c>
      <c r="W2161" s="25">
        <v>0</v>
      </c>
      <c r="X2161" s="27"/>
      <c r="Y2161" s="27">
        <f>Inventory[[#This Row],[MainFn]]+Inventory[[#This Row],[UpprFn]]+Inventory[[#This Row],[FnBsmt]]+Inventory[[#This Row],[AddFn]]</f>
        <v>1064</v>
      </c>
      <c r="Z2161" s="27">
        <v>1500</v>
      </c>
      <c r="AA2161" s="25">
        <v>5</v>
      </c>
      <c r="AB2161" s="31"/>
      <c r="AC2161" s="27"/>
      <c r="AD2161" s="31"/>
      <c r="AE2161" s="27"/>
      <c r="AF2161" s="27"/>
      <c r="AG2161" s="27"/>
      <c r="AH2161" s="27"/>
      <c r="AI2161" s="25">
        <v>192855</v>
      </c>
      <c r="AJ2161" s="25">
        <v>119570</v>
      </c>
      <c r="AK2161" s="25">
        <v>8502</v>
      </c>
      <c r="AL2161" s="25">
        <v>273700</v>
      </c>
      <c r="AM2161" s="25">
        <v>48400</v>
      </c>
      <c r="AN2161" s="25">
        <v>225300</v>
      </c>
      <c r="AO2161" s="25">
        <v>0</v>
      </c>
      <c r="AP2161" s="25">
        <f>Lookups!$B$56*0</f>
        <v>0</v>
      </c>
      <c r="AQ2161" s="25">
        <f>Lookups!$B$56*1</f>
        <v>89850.625589999996</v>
      </c>
      <c r="AR2161" s="25">
        <f>Lookups!$B$57*Inventory[[#This Row],[LnAcres]]</f>
        <v>-60052.604136134301</v>
      </c>
      <c r="AS2161" s="25">
        <f>VLOOKUP(Inventory[[#This Row],[Qlty]],Lookups!$A$62:$E$75,2,FALSE)</f>
        <v>21557.329055999999</v>
      </c>
      <c r="AT2161" s="25">
        <f>VLOOKUP(Inventory[[#This Row],[Cnd]],Lookups!$A$76:$E$84,2,FALSE)</f>
        <v>160472.20319</v>
      </c>
      <c r="AU2161" s="25">
        <f>Inventory[[#This Row],[EffAge]]*Lookups!$B$85</f>
        <v>-12936.644829000001</v>
      </c>
      <c r="AV2161" s="25">
        <f>Inventory[[#This Row],[MainFn]]*Lookups!$B$86</f>
        <v>52570.824749127998</v>
      </c>
      <c r="AW2161" s="25">
        <f>Inventory[[#This Row],[UpprFn]]*Lookups!$B$87</f>
        <v>0</v>
      </c>
      <c r="AX2161" s="25">
        <f>Inventory[[#This Row],[AddFn]]*Lookups!$B$88</f>
        <v>0</v>
      </c>
      <c r="AY2161" s="25">
        <f>Inventory[[#This Row],[Bsmt]]*Lookups!$B$89</f>
        <v>15529.732061897999</v>
      </c>
      <c r="AZ2161" s="25">
        <f>Inventory[[#This Row],[Fixtures]]*Lookups!$B$90</f>
        <v>18960.110526</v>
      </c>
      <c r="BA2161" s="25">
        <f>Inventory[[#This Row],[WdDeck]]*Lookups!$B$91</f>
        <v>0</v>
      </c>
      <c r="BB2161" s="25">
        <f>ROUND(Inventory[[#This Row],[25Det]],-2)</f>
        <v>8500</v>
      </c>
      <c r="BC2161" s="25">
        <f>ROUND(SUM(Inventory[[#This Row],[Mdl Qlty]:[Mdl WdDeck]])+Inventory[[#This Row],[Mdl Res Intercept]],-2)</f>
        <v>256200</v>
      </c>
      <c r="BD2161" s="25">
        <f>ROUND(Inventory[[#This Row],[Mdl Land Intercept]]+Inventory[[#This Row],[Mdl LnAcres]],-2)</f>
        <v>29800</v>
      </c>
      <c r="BE2161" s="25">
        <f>Inventory[[#This Row],[Unadj Res Value]]+Inventory[[#This Row],[Unadj Det Value]]+Inventory[[#This Row],[Unadj Land Value]]</f>
        <v>294500</v>
      </c>
      <c r="BF2161" s="36">
        <f>(Inventory[[#This Row],[Unadj Total Value]]-Inventory[[#This Row],[24Final]])/Inventory[[#This Row],[24Final]]</f>
        <v>7.5995615637559369E-2</v>
      </c>
      <c r="BG2161" s="25">
        <f>VLOOKUP(Inventory[[#This Row],[Nbhd]],Lookups!$Q$2:$T$4,4,FALSE)</f>
        <v>0.99970000000000003</v>
      </c>
      <c r="BH2161" s="25">
        <f>VLOOKUP(Inventory[[#This Row],[Qlty]],Lookups!$O$7:$R$21,4,FALSE)</f>
        <v>1.0067999999999999</v>
      </c>
      <c r="BI2161" s="25">
        <f>VLOOKUP(Inventory[[#This Row],[Cnd]],Lookups!$T$7:$W$16,4,FALSE)</f>
        <v>0.99729999999999996</v>
      </c>
      <c r="BJ2161" s="25">
        <f>VLOOKUP(Inventory[[#This Row],[LivArea Range]],Lookups!$T$25:$W$37,4,FALSE)</f>
        <v>1.0157</v>
      </c>
      <c r="BK2161" s="25">
        <f>VLOOKUP(Inventory[[#This Row],[Decade]],Lookups!$O$25:$R$42,4,FALSE)</f>
        <v>0.96040000000000003</v>
      </c>
      <c r="BL2161" s="25">
        <f>Inventory[[#This Row],[Nbhd Adj]]*0.95</f>
        <v>0.94971499999999998</v>
      </c>
      <c r="BM2161" s="25">
        <f>Inventory[[#This Row],[Nbhd Adj]]*Inventory[[#This Row],[Quality Adj]]*Inventory[[#This Row],[Condition Adj]]*Inventory[[#This Row],[Living Area Adj]]*Inventory[[#This Row],[Decade Adj]]*0.95</f>
        <v>0.93020769355655764</v>
      </c>
      <c r="BN2161" s="25">
        <f>ROUND(SUM(Inventory[[#This Row],[Mdl Qlty]:[Mdl WdDeck]])+Inventory[[#This Row],[Mdl Res Intercept]]*Inventory[[#This Row],[Res Adj ]],-2)</f>
        <v>256200</v>
      </c>
      <c r="BO2161" s="25">
        <f>ROUND(Inventory[[#This Row],[25Det]]*Inventory[[#This Row],[Det/Nbhd Adj]],-2)</f>
        <v>8100</v>
      </c>
      <c r="BP2161" s="25">
        <f>Inventory[[#This Row],[Adjusted Res]]+Inventory[[#This Row],[Adj Det ]]</f>
        <v>264300</v>
      </c>
      <c r="BQ2161" s="25">
        <f>ROUND((Inventory[[#This Row],[Mdl Land Intercept]]+Inventory[[#This Row],[Mdl LnAcres]])*Inventory[[#This Row],[Det/Nbhd Adj]],-2)</f>
        <v>28300</v>
      </c>
      <c r="BR2161" s="25">
        <f>Inventory[[#This Row],[Adjusted Impr Total]]+Inventory[[#This Row],[Adjusted Land Total]]</f>
        <v>292600</v>
      </c>
      <c r="BS2161" s="36">
        <f>IFERROR((Inventory[[#This Row],[Adjusted Impr Total]]-Inventory[[#This Row],[24Bldg]])/Inventory[[#This Row],[24Bldg]],0)</f>
        <v>0.17310252996005326</v>
      </c>
      <c r="BT2161" s="36">
        <f>(Inventory[[#This Row],[Adjusted Land Total]]-Inventory[[#This Row],[24Lnd]])/Inventory[[#This Row],[24Lnd]]</f>
        <v>-0.41528925619834711</v>
      </c>
      <c r="BU2161" s="36">
        <f>(Inventory[[#This Row],[Adjusted Total]]-Inventory[[#This Row],[24Final]])/Inventory[[#This Row],[24Final]]</f>
        <v>6.9053708439897693E-2</v>
      </c>
    </row>
    <row r="2162" spans="1:73" x14ac:dyDescent="0.3">
      <c r="A2162" s="25">
        <v>2025</v>
      </c>
      <c r="B2162" s="26" t="s">
        <v>1271</v>
      </c>
      <c r="C2162" s="26">
        <f>LN(Inventory[[#This Row],[Acres]])</f>
        <v>-1.1394342831883648</v>
      </c>
      <c r="D2162" s="25">
        <v>0.32</v>
      </c>
      <c r="E2162" s="32">
        <v>14000</v>
      </c>
      <c r="F2162" s="26" t="s">
        <v>537</v>
      </c>
      <c r="G2162" s="26" t="s">
        <v>126</v>
      </c>
      <c r="H2162" s="26" t="s">
        <v>349</v>
      </c>
      <c r="I2162" s="26" t="s">
        <v>538</v>
      </c>
      <c r="J2162" s="26" t="s">
        <v>539</v>
      </c>
      <c r="K2162" s="26" t="s">
        <v>301</v>
      </c>
      <c r="L2162" s="26" t="s">
        <v>148</v>
      </c>
      <c r="M2162" s="26" t="s">
        <v>303</v>
      </c>
      <c r="N2162" s="26">
        <v>110</v>
      </c>
      <c r="O2162" s="26">
        <f>2024-Inventory[[#This Row],[YrBlt]]</f>
        <v>104</v>
      </c>
      <c r="P2162" s="26">
        <f>2024-Inventory[[#This Row],[EffYr]]</f>
        <v>58</v>
      </c>
      <c r="Q2162" s="25">
        <v>1920</v>
      </c>
      <c r="R2162" s="25">
        <v>1966</v>
      </c>
      <c r="S2162" s="25">
        <v>1630</v>
      </c>
      <c r="T2162" s="32">
        <v>1408</v>
      </c>
      <c r="U2162" s="25">
        <v>1408</v>
      </c>
      <c r="V2162" s="25">
        <f>Inventory[[#This Row],[Bsmt]]-Inventory[[#This Row],[FnBsmt]]</f>
        <v>704</v>
      </c>
      <c r="W2162" s="25">
        <v>704</v>
      </c>
      <c r="X2162" s="27"/>
      <c r="Y2162" s="27">
        <f>Inventory[[#This Row],[MainFn]]+Inventory[[#This Row],[UpprFn]]+Inventory[[#This Row],[FnBsmt]]+Inventory[[#This Row],[AddFn]]</f>
        <v>3742</v>
      </c>
      <c r="Z2162" s="27">
        <v>4000</v>
      </c>
      <c r="AA2162" s="25">
        <v>15</v>
      </c>
      <c r="AB2162" s="25">
        <v>717</v>
      </c>
      <c r="AC2162" s="27"/>
      <c r="AD2162" s="27"/>
      <c r="AE2162" s="27"/>
      <c r="AF2162" s="27"/>
      <c r="AG2162" s="27"/>
      <c r="AH2162" s="27"/>
      <c r="AI2162" s="25">
        <v>705174</v>
      </c>
      <c r="AJ2162" s="25">
        <v>451311</v>
      </c>
      <c r="AK2162" s="25">
        <v>58593</v>
      </c>
      <c r="AL2162" s="25">
        <v>540300</v>
      </c>
      <c r="AM2162" s="25">
        <v>74800</v>
      </c>
      <c r="AN2162" s="25">
        <v>465500</v>
      </c>
      <c r="AO2162" s="25">
        <v>0</v>
      </c>
      <c r="AP2162" s="25">
        <f>Lookups!$B$56*0</f>
        <v>0</v>
      </c>
      <c r="AQ2162" s="25">
        <f>Lookups!$B$56*1</f>
        <v>89850.625589999996</v>
      </c>
      <c r="AR2162" s="25">
        <f>Lookups!$B$57*Inventory[[#This Row],[LnAcres]]</f>
        <v>-36068.354396449467</v>
      </c>
      <c r="AS2162" s="25">
        <f>VLOOKUP(Inventory[[#This Row],[Qlty]],Lookups!$A$62:$E$75,2,FALSE)</f>
        <v>44121.038090000002</v>
      </c>
      <c r="AT2162" s="25">
        <f>VLOOKUP(Inventory[[#This Row],[Cnd]],Lookups!$A$76:$E$84,2,FALSE)</f>
        <v>197752.34721000001</v>
      </c>
      <c r="AU2162" s="25">
        <f>Inventory[[#This Row],[EffAge]]*Lookups!$B$85</f>
        <v>-12936.644829000001</v>
      </c>
      <c r="AV2162" s="25">
        <f>Inventory[[#This Row],[MainFn]]*Lookups!$B$86</f>
        <v>80536.131899510001</v>
      </c>
      <c r="AW2162" s="25">
        <f>Inventory[[#This Row],[UpprFn]]*Lookups!$B$87</f>
        <v>63059.283388288</v>
      </c>
      <c r="AX2162" s="25">
        <f>Inventory[[#This Row],[AddFn]]*Lookups!$B$88</f>
        <v>0</v>
      </c>
      <c r="AY2162" s="25">
        <f>Inventory[[#This Row],[Bsmt]]*Lookups!$B$89</f>
        <v>40947.308507775997</v>
      </c>
      <c r="AZ2162" s="25">
        <f>Inventory[[#This Row],[Fixtures]]*Lookups!$B$90</f>
        <v>56880.331578000005</v>
      </c>
      <c r="BA2162" s="25">
        <f>Inventory[[#This Row],[WdDeck]]*Lookups!$B$91</f>
        <v>0</v>
      </c>
      <c r="BB2162" s="25">
        <f>ROUND(Inventory[[#This Row],[25Det]],-2)</f>
        <v>58600</v>
      </c>
      <c r="BC2162" s="25">
        <f>ROUND(SUM(Inventory[[#This Row],[Mdl Qlty]:[Mdl WdDeck]])+Inventory[[#This Row],[Mdl Res Intercept]],-2)</f>
        <v>470400</v>
      </c>
      <c r="BD2162" s="25">
        <f>ROUND(Inventory[[#This Row],[Mdl Land Intercept]]+Inventory[[#This Row],[Mdl LnAcres]],-2)</f>
        <v>53800</v>
      </c>
      <c r="BE2162" s="25">
        <f>Inventory[[#This Row],[Unadj Res Value]]+Inventory[[#This Row],[Unadj Det Value]]+Inventory[[#This Row],[Unadj Land Value]]</f>
        <v>582800</v>
      </c>
      <c r="BF2162" s="36">
        <f>(Inventory[[#This Row],[Unadj Total Value]]-Inventory[[#This Row],[24Final]])/Inventory[[#This Row],[24Final]]</f>
        <v>7.8660003701647233E-2</v>
      </c>
      <c r="BG2162" s="25">
        <f>VLOOKUP(Inventory[[#This Row],[Nbhd]],Lookups!$Q$2:$T$4,4,FALSE)</f>
        <v>0.99970000000000003</v>
      </c>
      <c r="BH2162" s="25">
        <f>VLOOKUP(Inventory[[#This Row],[Qlty]],Lookups!$O$7:$R$21,4,FALSE)</f>
        <v>0.98050000000000004</v>
      </c>
      <c r="BI2162" s="25">
        <f>VLOOKUP(Inventory[[#This Row],[Cnd]],Lookups!$T$7:$W$16,4,FALSE)</f>
        <v>0.99650000000000005</v>
      </c>
      <c r="BJ2162" s="25">
        <f>VLOOKUP(Inventory[[#This Row],[LivArea Range]],Lookups!$T$25:$W$37,4,FALSE)</f>
        <v>0.94579999999999997</v>
      </c>
      <c r="BK2162" s="25">
        <f>VLOOKUP(Inventory[[#This Row],[Decade]],Lookups!$O$25:$R$42,4,FALSE)</f>
        <v>0.96040000000000003</v>
      </c>
      <c r="BL2162" s="25">
        <f>Inventory[[#This Row],[Nbhd Adj]]*0.95</f>
        <v>0.94971499999999998</v>
      </c>
      <c r="BM2162" s="25">
        <f>Inventory[[#This Row],[Nbhd Adj]]*Inventory[[#This Row],[Quality Adj]]*Inventory[[#This Row],[Condition Adj]]*Inventory[[#This Row],[Living Area Adj]]*Inventory[[#This Row],[Decade Adj]]*0.95</f>
        <v>0.84288758965297927</v>
      </c>
      <c r="BN2162" s="25">
        <f>ROUND(SUM(Inventory[[#This Row],[Mdl Qlty]:[Mdl WdDeck]])+Inventory[[#This Row],[Mdl Res Intercept]]*Inventory[[#This Row],[Res Adj ]],-2)</f>
        <v>470400</v>
      </c>
      <c r="BO2162" s="25">
        <f>ROUND(Inventory[[#This Row],[25Det]]*Inventory[[#This Row],[Det/Nbhd Adj]],-2)</f>
        <v>55600</v>
      </c>
      <c r="BP2162" s="25">
        <f>Inventory[[#This Row],[Adjusted Res]]+Inventory[[#This Row],[Adj Det ]]</f>
        <v>526000</v>
      </c>
      <c r="BQ2162" s="25">
        <f>ROUND((Inventory[[#This Row],[Mdl Land Intercept]]+Inventory[[#This Row],[Mdl LnAcres]])*Inventory[[#This Row],[Det/Nbhd Adj]],-2)</f>
        <v>51100</v>
      </c>
      <c r="BR2162" s="25">
        <f>Inventory[[#This Row],[Adjusted Impr Total]]+Inventory[[#This Row],[Adjusted Land Total]]</f>
        <v>577100</v>
      </c>
      <c r="BS2162" s="36">
        <f>IFERROR((Inventory[[#This Row],[Adjusted Impr Total]]-Inventory[[#This Row],[24Bldg]])/Inventory[[#This Row],[24Bldg]],0)</f>
        <v>0.12996777658431793</v>
      </c>
      <c r="BT2162" s="36">
        <f>(Inventory[[#This Row],[Adjusted Land Total]]-Inventory[[#This Row],[24Lnd]])/Inventory[[#This Row],[24Lnd]]</f>
        <v>-0.31684491978609625</v>
      </c>
      <c r="BU2162" s="36">
        <f>(Inventory[[#This Row],[Adjusted Total]]-Inventory[[#This Row],[24Final]])/Inventory[[#This Row],[24Final]]</f>
        <v>6.8110309087543952E-2</v>
      </c>
    </row>
    <row r="2163" spans="1:73" x14ac:dyDescent="0.3">
      <c r="A2163" s="25">
        <v>2025</v>
      </c>
      <c r="B2163" s="26" t="s">
        <v>1981</v>
      </c>
      <c r="C2163" s="26">
        <f>LN(Inventory[[#This Row],[Acres]])</f>
        <v>-1.8971199848858813</v>
      </c>
      <c r="D2163" s="25">
        <v>0.15</v>
      </c>
      <c r="E2163" s="27"/>
      <c r="F2163" s="26" t="s">
        <v>537</v>
      </c>
      <c r="G2163" s="26" t="s">
        <v>126</v>
      </c>
      <c r="H2163" s="26" t="s">
        <v>349</v>
      </c>
      <c r="I2163" s="26" t="s">
        <v>538</v>
      </c>
      <c r="J2163" s="26" t="s">
        <v>539</v>
      </c>
      <c r="K2163" s="26" t="s">
        <v>269</v>
      </c>
      <c r="L2163" s="26" t="s">
        <v>351</v>
      </c>
      <c r="M2163" s="26" t="s">
        <v>303</v>
      </c>
      <c r="N2163" s="26">
        <v>110</v>
      </c>
      <c r="O2163" s="26">
        <f>2024-Inventory[[#This Row],[YrBlt]]</f>
        <v>104</v>
      </c>
      <c r="P2163" s="26">
        <f>2024-Inventory[[#This Row],[EffYr]]</f>
        <v>58</v>
      </c>
      <c r="Q2163" s="25">
        <v>1920</v>
      </c>
      <c r="R2163" s="25">
        <v>1966</v>
      </c>
      <c r="S2163" s="25">
        <v>1588</v>
      </c>
      <c r="T2163" s="32">
        <v>600</v>
      </c>
      <c r="U2163" s="32">
        <v>312</v>
      </c>
      <c r="V2163" s="32">
        <f>Inventory[[#This Row],[Bsmt]]-Inventory[[#This Row],[FnBsmt]]</f>
        <v>0</v>
      </c>
      <c r="W2163" s="32">
        <v>312</v>
      </c>
      <c r="X2163" s="27"/>
      <c r="Y2163" s="27">
        <f>Inventory[[#This Row],[MainFn]]+Inventory[[#This Row],[UpprFn]]+Inventory[[#This Row],[FnBsmt]]+Inventory[[#This Row],[AddFn]]</f>
        <v>2500</v>
      </c>
      <c r="Z2163" s="27">
        <v>3000</v>
      </c>
      <c r="AA2163" s="25">
        <v>8</v>
      </c>
      <c r="AB2163" s="31"/>
      <c r="AC2163" s="27"/>
      <c r="AD2163" s="25">
        <v>192</v>
      </c>
      <c r="AE2163" s="27"/>
      <c r="AF2163" s="27"/>
      <c r="AG2163" s="27"/>
      <c r="AH2163" s="27"/>
      <c r="AI2163" s="25">
        <v>348504</v>
      </c>
      <c r="AJ2163" s="25">
        <v>223043</v>
      </c>
      <c r="AK2163" s="25">
        <v>4877</v>
      </c>
      <c r="AL2163" s="25">
        <v>365900</v>
      </c>
      <c r="AM2163" s="25">
        <v>48400</v>
      </c>
      <c r="AN2163" s="25">
        <v>317500</v>
      </c>
      <c r="AO2163" s="25">
        <v>0</v>
      </c>
      <c r="AP2163" s="25">
        <f>Lookups!$B$56*0</f>
        <v>0</v>
      </c>
      <c r="AQ2163" s="25">
        <f>Lookups!$B$56*1</f>
        <v>89850.625589999996</v>
      </c>
      <c r="AR2163" s="25">
        <f>Lookups!$B$57*Inventory[[#This Row],[LnAcres]]</f>
        <v>-60052.604136134301</v>
      </c>
      <c r="AS2163" s="25">
        <f>VLOOKUP(Inventory[[#This Row],[Qlty]],Lookups!$A$62:$E$75,2,FALSE)</f>
        <v>21557.329055999999</v>
      </c>
      <c r="AT2163" s="25">
        <f>VLOOKUP(Inventory[[#This Row],[Cnd]],Lookups!$A$76:$E$84,2,FALSE)</f>
        <v>197752.34721000001</v>
      </c>
      <c r="AU2163" s="25">
        <f>Inventory[[#This Row],[EffAge]]*Lookups!$B$85</f>
        <v>-12936.644829000001</v>
      </c>
      <c r="AV2163" s="25">
        <f>Inventory[[#This Row],[MainFn]]*Lookups!$B$86</f>
        <v>78460.967764675996</v>
      </c>
      <c r="AW2163" s="25">
        <f>Inventory[[#This Row],[UpprFn]]*Lookups!$B$87</f>
        <v>26871.853716599999</v>
      </c>
      <c r="AX2163" s="25">
        <f>Inventory[[#This Row],[AddFn]]*Lookups!$B$88</f>
        <v>0</v>
      </c>
      <c r="AY2163" s="25">
        <f>Inventory[[#This Row],[Bsmt]]*Lookups!$B$89</f>
        <v>9073.5513170639988</v>
      </c>
      <c r="AZ2163" s="25">
        <f>Inventory[[#This Row],[Fixtures]]*Lookups!$B$90</f>
        <v>30336.176841600001</v>
      </c>
      <c r="BA2163" s="25">
        <f>Inventory[[#This Row],[WdDeck]]*Lookups!$B$91</f>
        <v>6392.7389329920006</v>
      </c>
      <c r="BB2163" s="25">
        <f>ROUND(Inventory[[#This Row],[25Det]],-2)</f>
        <v>4900</v>
      </c>
      <c r="BC2163" s="25">
        <f>ROUND(SUM(Inventory[[#This Row],[Mdl Qlty]:[Mdl WdDeck]])+Inventory[[#This Row],[Mdl Res Intercept]],-2)</f>
        <v>357500</v>
      </c>
      <c r="BD2163" s="25">
        <f>ROUND(Inventory[[#This Row],[Mdl Land Intercept]]+Inventory[[#This Row],[Mdl LnAcres]],-2)</f>
        <v>29800</v>
      </c>
      <c r="BE2163" s="25">
        <f>Inventory[[#This Row],[Unadj Res Value]]+Inventory[[#This Row],[Unadj Det Value]]+Inventory[[#This Row],[Unadj Land Value]]</f>
        <v>392200</v>
      </c>
      <c r="BF2163" s="36">
        <f>(Inventory[[#This Row],[Unadj Total Value]]-Inventory[[#This Row],[24Final]])/Inventory[[#This Row],[24Final]]</f>
        <v>7.1877562175457779E-2</v>
      </c>
      <c r="BG2163" s="25">
        <f>VLOOKUP(Inventory[[#This Row],[Nbhd]],Lookups!$Q$2:$T$4,4,FALSE)</f>
        <v>0.99970000000000003</v>
      </c>
      <c r="BH2163" s="25">
        <f>VLOOKUP(Inventory[[#This Row],[Qlty]],Lookups!$O$7:$R$21,4,FALSE)</f>
        <v>1.0067999999999999</v>
      </c>
      <c r="BI2163" s="25">
        <f>VLOOKUP(Inventory[[#This Row],[Cnd]],Lookups!$T$7:$W$16,4,FALSE)</f>
        <v>0.99650000000000005</v>
      </c>
      <c r="BJ2163" s="25">
        <f>VLOOKUP(Inventory[[#This Row],[LivArea Range]],Lookups!$T$25:$W$37,4,FALSE)</f>
        <v>0.96179999999999999</v>
      </c>
      <c r="BK2163" s="25">
        <f>VLOOKUP(Inventory[[#This Row],[Decade]],Lookups!$O$25:$R$42,4,FALSE)</f>
        <v>0.96040000000000003</v>
      </c>
      <c r="BL2163" s="25">
        <f>Inventory[[#This Row],[Nbhd Adj]]*0.95</f>
        <v>0.94971499999999998</v>
      </c>
      <c r="BM2163" s="25">
        <f>Inventory[[#This Row],[Nbhd Adj]]*Inventory[[#This Row],[Quality Adj]]*Inventory[[#This Row],[Condition Adj]]*Inventory[[#This Row],[Living Area Adj]]*Inventory[[#This Row],[Decade Adj]]*0.95</f>
        <v>0.88013791762113103</v>
      </c>
      <c r="BN2163" s="25">
        <f>ROUND(SUM(Inventory[[#This Row],[Mdl Qlty]:[Mdl WdDeck]])+Inventory[[#This Row],[Mdl Res Intercept]]*Inventory[[#This Row],[Res Adj ]],-2)</f>
        <v>357500</v>
      </c>
      <c r="BO2163" s="25">
        <f>ROUND(Inventory[[#This Row],[25Det]]*Inventory[[#This Row],[Det/Nbhd Adj]],-2)</f>
        <v>4600</v>
      </c>
      <c r="BP2163" s="25">
        <f>Inventory[[#This Row],[Adjusted Res]]+Inventory[[#This Row],[Adj Det ]]</f>
        <v>362100</v>
      </c>
      <c r="BQ2163" s="25">
        <f>ROUND((Inventory[[#This Row],[Mdl Land Intercept]]+Inventory[[#This Row],[Mdl LnAcres]])*Inventory[[#This Row],[Det/Nbhd Adj]],-2)</f>
        <v>28300</v>
      </c>
      <c r="BR2163" s="25">
        <f>Inventory[[#This Row],[Adjusted Impr Total]]+Inventory[[#This Row],[Adjusted Land Total]]</f>
        <v>390400</v>
      </c>
      <c r="BS2163" s="36">
        <f>IFERROR((Inventory[[#This Row],[Adjusted Impr Total]]-Inventory[[#This Row],[24Bldg]])/Inventory[[#This Row],[24Bldg]],0)</f>
        <v>0.1404724409448819</v>
      </c>
      <c r="BT2163" s="36">
        <f>(Inventory[[#This Row],[Adjusted Land Total]]-Inventory[[#This Row],[24Lnd]])/Inventory[[#This Row],[24Lnd]]</f>
        <v>-0.41528925619834711</v>
      </c>
      <c r="BU2163" s="36">
        <f>(Inventory[[#This Row],[Adjusted Total]]-Inventory[[#This Row],[24Final]])/Inventory[[#This Row],[24Final]]</f>
        <v>6.695818529652911E-2</v>
      </c>
    </row>
    <row r="2164" spans="1:73" x14ac:dyDescent="0.3">
      <c r="A2164" s="25">
        <v>2025</v>
      </c>
      <c r="B2164" s="26" t="s">
        <v>1335</v>
      </c>
      <c r="C2164" s="26">
        <f>LN(Inventory[[#This Row],[Acres]])</f>
        <v>-1.3862943611198906</v>
      </c>
      <c r="D2164" s="25">
        <v>0.25</v>
      </c>
      <c r="E2164" s="32">
        <v>10764</v>
      </c>
      <c r="F2164" s="26" t="s">
        <v>537</v>
      </c>
      <c r="G2164" s="26" t="s">
        <v>126</v>
      </c>
      <c r="H2164" s="26" t="s">
        <v>349</v>
      </c>
      <c r="I2164" s="26" t="s">
        <v>538</v>
      </c>
      <c r="J2164" s="26" t="s">
        <v>539</v>
      </c>
      <c r="K2164" s="26" t="s">
        <v>416</v>
      </c>
      <c r="L2164" s="26" t="s">
        <v>205</v>
      </c>
      <c r="M2164" s="26" t="s">
        <v>303</v>
      </c>
      <c r="N2164" s="26">
        <v>110</v>
      </c>
      <c r="O2164" s="26">
        <f>2024-Inventory[[#This Row],[YrBlt]]</f>
        <v>104</v>
      </c>
      <c r="P2164" s="26">
        <f>2024-Inventory[[#This Row],[EffYr]]</f>
        <v>58</v>
      </c>
      <c r="Q2164" s="25">
        <v>1920</v>
      </c>
      <c r="R2164" s="25">
        <v>1966</v>
      </c>
      <c r="S2164" s="25">
        <v>1048</v>
      </c>
      <c r="T2164" s="32">
        <v>785</v>
      </c>
      <c r="U2164" s="25">
        <v>1048</v>
      </c>
      <c r="V2164" s="25">
        <f>Inventory[[#This Row],[Bsmt]]-Inventory[[#This Row],[FnBsmt]]</f>
        <v>1048</v>
      </c>
      <c r="W2164" s="31"/>
      <c r="X2164" s="27"/>
      <c r="Y2164" s="27">
        <f>Inventory[[#This Row],[MainFn]]+Inventory[[#This Row],[UpprFn]]+Inventory[[#This Row],[FnBsmt]]+Inventory[[#This Row],[AddFn]]</f>
        <v>1833</v>
      </c>
      <c r="Z2164" s="27">
        <v>2000</v>
      </c>
      <c r="AA2164" s="25">
        <v>8</v>
      </c>
      <c r="AB2164" s="31"/>
      <c r="AC2164" s="27"/>
      <c r="AD2164" s="31"/>
      <c r="AE2164" s="27"/>
      <c r="AF2164" s="27"/>
      <c r="AG2164" s="27"/>
      <c r="AH2164" s="27"/>
      <c r="AI2164" s="25">
        <v>298957</v>
      </c>
      <c r="AJ2164" s="25">
        <v>191332</v>
      </c>
      <c r="AK2164" s="25">
        <v>32004</v>
      </c>
      <c r="AL2164" s="25">
        <v>381600</v>
      </c>
      <c r="AM2164" s="25">
        <v>66200</v>
      </c>
      <c r="AN2164" s="25">
        <v>315400</v>
      </c>
      <c r="AO2164" s="25">
        <v>0</v>
      </c>
      <c r="AP2164" s="25">
        <f>Lookups!$B$56*0</f>
        <v>0</v>
      </c>
      <c r="AQ2164" s="25">
        <f>Lookups!$B$56*1</f>
        <v>89850.625589999996</v>
      </c>
      <c r="AR2164" s="25">
        <f>Lookups!$B$57*Inventory[[#This Row],[LnAcres]]</f>
        <v>-43882.615305165229</v>
      </c>
      <c r="AS2164" s="25">
        <f>VLOOKUP(Inventory[[#This Row],[Qlty]],Lookups!$A$62:$E$75,2,FALSE)</f>
        <v>0</v>
      </c>
      <c r="AT2164" s="25">
        <f>VLOOKUP(Inventory[[#This Row],[Cnd]],Lookups!$A$76:$E$84,2,FALSE)</f>
        <v>197752.34721000001</v>
      </c>
      <c r="AU2164" s="25">
        <f>Inventory[[#This Row],[EffAge]]*Lookups!$B$85</f>
        <v>-12936.644829000001</v>
      </c>
      <c r="AV2164" s="25">
        <f>Inventory[[#This Row],[MainFn]]*Lookups!$B$86</f>
        <v>51780.286031096002</v>
      </c>
      <c r="AW2164" s="25">
        <f>Inventory[[#This Row],[UpprFn]]*Lookups!$B$87</f>
        <v>35157.341945884997</v>
      </c>
      <c r="AX2164" s="25">
        <f>Inventory[[#This Row],[AddFn]]*Lookups!$B$88</f>
        <v>0</v>
      </c>
      <c r="AY2164" s="25">
        <f>Inventory[[#This Row],[Bsmt]]*Lookups!$B$89</f>
        <v>30477.826218856</v>
      </c>
      <c r="AZ2164" s="25">
        <f>Inventory[[#This Row],[Fixtures]]*Lookups!$B$90</f>
        <v>30336.176841600001</v>
      </c>
      <c r="BA2164" s="25">
        <f>Inventory[[#This Row],[WdDeck]]*Lookups!$B$91</f>
        <v>0</v>
      </c>
      <c r="BB2164" s="25">
        <f>ROUND(Inventory[[#This Row],[25Det]],-2)</f>
        <v>32000</v>
      </c>
      <c r="BC2164" s="25">
        <f>ROUND(SUM(Inventory[[#This Row],[Mdl Qlty]:[Mdl WdDeck]])+Inventory[[#This Row],[Mdl Res Intercept]],-2)</f>
        <v>332600</v>
      </c>
      <c r="BD2164" s="25">
        <f>ROUND(Inventory[[#This Row],[Mdl Land Intercept]]+Inventory[[#This Row],[Mdl LnAcres]],-2)</f>
        <v>46000</v>
      </c>
      <c r="BE2164" s="25">
        <f>Inventory[[#This Row],[Unadj Res Value]]+Inventory[[#This Row],[Unadj Det Value]]+Inventory[[#This Row],[Unadj Land Value]]</f>
        <v>410600</v>
      </c>
      <c r="BF2164" s="36">
        <f>(Inventory[[#This Row],[Unadj Total Value]]-Inventory[[#This Row],[24Final]])/Inventory[[#This Row],[24Final]]</f>
        <v>7.5995807127882606E-2</v>
      </c>
      <c r="BG2164" s="25">
        <f>VLOOKUP(Inventory[[#This Row],[Nbhd]],Lookups!$Q$2:$T$4,4,FALSE)</f>
        <v>0.99970000000000003</v>
      </c>
      <c r="BH2164" s="25">
        <f>VLOOKUP(Inventory[[#This Row],[Qlty]],Lookups!$O$7:$R$21,4,FALSE)</f>
        <v>0.99180000000000001</v>
      </c>
      <c r="BI2164" s="25">
        <f>VLOOKUP(Inventory[[#This Row],[Cnd]],Lookups!$T$7:$W$16,4,FALSE)</f>
        <v>0.99650000000000005</v>
      </c>
      <c r="BJ2164" s="25">
        <f>VLOOKUP(Inventory[[#This Row],[LivArea Range]],Lookups!$T$25:$W$37,4,FALSE)</f>
        <v>1.0093000000000001</v>
      </c>
      <c r="BK2164" s="25">
        <f>VLOOKUP(Inventory[[#This Row],[Decade]],Lookups!$O$25:$R$42,4,FALSE)</f>
        <v>0.96040000000000003</v>
      </c>
      <c r="BL2164" s="25">
        <f>Inventory[[#This Row],[Nbhd Adj]]*0.95</f>
        <v>0.94971499999999998</v>
      </c>
      <c r="BM2164" s="25">
        <f>Inventory[[#This Row],[Nbhd Adj]]*Inventory[[#This Row],[Quality Adj]]*Inventory[[#This Row],[Condition Adj]]*Inventory[[#This Row],[Living Area Adj]]*Inventory[[#This Row],[Decade Adj]]*0.95</f>
        <v>0.90984440552931756</v>
      </c>
      <c r="BN2164" s="25">
        <f>ROUND(SUM(Inventory[[#This Row],[Mdl Qlty]:[Mdl WdDeck]])+Inventory[[#This Row],[Mdl Res Intercept]]*Inventory[[#This Row],[Res Adj ]],-2)</f>
        <v>332600</v>
      </c>
      <c r="BO2164" s="25">
        <f>ROUND(Inventory[[#This Row],[25Det]]*Inventory[[#This Row],[Det/Nbhd Adj]],-2)</f>
        <v>30400</v>
      </c>
      <c r="BP2164" s="25">
        <f>Inventory[[#This Row],[Adjusted Res]]+Inventory[[#This Row],[Adj Det ]]</f>
        <v>363000</v>
      </c>
      <c r="BQ2164" s="25">
        <f>ROUND((Inventory[[#This Row],[Mdl Land Intercept]]+Inventory[[#This Row],[Mdl LnAcres]])*Inventory[[#This Row],[Det/Nbhd Adj]],-2)</f>
        <v>43700</v>
      </c>
      <c r="BR2164" s="25">
        <f>Inventory[[#This Row],[Adjusted Impr Total]]+Inventory[[#This Row],[Adjusted Land Total]]</f>
        <v>406700</v>
      </c>
      <c r="BS2164" s="36">
        <f>IFERROR((Inventory[[#This Row],[Adjusted Impr Total]]-Inventory[[#This Row],[24Bldg]])/Inventory[[#This Row],[24Bldg]],0)</f>
        <v>0.15091946734305645</v>
      </c>
      <c r="BT2164" s="36">
        <f>(Inventory[[#This Row],[Adjusted Land Total]]-Inventory[[#This Row],[24Lnd]])/Inventory[[#This Row],[24Lnd]]</f>
        <v>-0.33987915407854985</v>
      </c>
      <c r="BU2164" s="36">
        <f>(Inventory[[#This Row],[Adjusted Total]]-Inventory[[#This Row],[24Final]])/Inventory[[#This Row],[24Final]]</f>
        <v>6.5775681341719072E-2</v>
      </c>
    </row>
    <row r="2165" spans="1:73" x14ac:dyDescent="0.3">
      <c r="A2165" s="25">
        <v>2025</v>
      </c>
      <c r="B2165" s="26" t="s">
        <v>1717</v>
      </c>
      <c r="C2165" s="26">
        <f>LN(Inventory[[#This Row],[Acres]])</f>
        <v>-1.5141277326297755</v>
      </c>
      <c r="D2165" s="25">
        <v>0.22</v>
      </c>
      <c r="E2165" s="32">
        <v>9535</v>
      </c>
      <c r="F2165" s="26" t="s">
        <v>537</v>
      </c>
      <c r="G2165" s="26" t="s">
        <v>126</v>
      </c>
      <c r="H2165" s="26" t="s">
        <v>349</v>
      </c>
      <c r="I2165" s="26" t="s">
        <v>538</v>
      </c>
      <c r="J2165" s="26" t="s">
        <v>539</v>
      </c>
      <c r="K2165" s="26" t="s">
        <v>269</v>
      </c>
      <c r="L2165" s="26" t="s">
        <v>205</v>
      </c>
      <c r="M2165" s="26" t="s">
        <v>303</v>
      </c>
      <c r="N2165" s="26">
        <v>110</v>
      </c>
      <c r="O2165" s="26">
        <f>2024-Inventory[[#This Row],[YrBlt]]</f>
        <v>104</v>
      </c>
      <c r="P2165" s="26">
        <f>2024-Inventory[[#This Row],[EffYr]]</f>
        <v>58</v>
      </c>
      <c r="Q2165" s="25">
        <v>1920</v>
      </c>
      <c r="R2165" s="25">
        <v>1966</v>
      </c>
      <c r="S2165" s="25">
        <v>1488</v>
      </c>
      <c r="T2165" s="31"/>
      <c r="U2165" s="25">
        <v>280</v>
      </c>
      <c r="V2165" s="32">
        <f>Inventory[[#This Row],[Bsmt]]-Inventory[[#This Row],[FnBsmt]]</f>
        <v>280</v>
      </c>
      <c r="W2165" s="27"/>
      <c r="X2165" s="27"/>
      <c r="Y2165" s="27">
        <f>Inventory[[#This Row],[MainFn]]+Inventory[[#This Row],[UpprFn]]+Inventory[[#This Row],[FnBsmt]]+Inventory[[#This Row],[AddFn]]</f>
        <v>1488</v>
      </c>
      <c r="Z2165" s="27">
        <v>1500</v>
      </c>
      <c r="AA2165" s="25">
        <v>8</v>
      </c>
      <c r="AB2165" s="27"/>
      <c r="AC2165" s="27"/>
      <c r="AD2165" s="31"/>
      <c r="AE2165" s="27"/>
      <c r="AF2165" s="27"/>
      <c r="AG2165" s="27"/>
      <c r="AH2165" s="27"/>
      <c r="AI2165" s="25">
        <v>237242</v>
      </c>
      <c r="AJ2165" s="25">
        <v>151835</v>
      </c>
      <c r="AK2165" s="25">
        <v>7609</v>
      </c>
      <c r="AL2165" s="25">
        <v>322800</v>
      </c>
      <c r="AM2165" s="25">
        <v>61700</v>
      </c>
      <c r="AN2165" s="25">
        <v>261100</v>
      </c>
      <c r="AO2165" s="25">
        <v>0</v>
      </c>
      <c r="AP2165" s="25">
        <f>Lookups!$B$56*0</f>
        <v>0</v>
      </c>
      <c r="AQ2165" s="25">
        <f>Lookups!$B$56*1</f>
        <v>89850.625589999996</v>
      </c>
      <c r="AR2165" s="25">
        <f>Lookups!$B$57*Inventory[[#This Row],[LnAcres]]</f>
        <v>-47929.131559187132</v>
      </c>
      <c r="AS2165" s="25">
        <f>VLOOKUP(Inventory[[#This Row],[Qlty]],Lookups!$A$62:$E$75,2,FALSE)</f>
        <v>0</v>
      </c>
      <c r="AT2165" s="25">
        <f>VLOOKUP(Inventory[[#This Row],[Cnd]],Lookups!$A$76:$E$84,2,FALSE)</f>
        <v>197752.34721000001</v>
      </c>
      <c r="AU2165" s="25">
        <f>Inventory[[#This Row],[EffAge]]*Lookups!$B$85</f>
        <v>-12936.644829000001</v>
      </c>
      <c r="AV2165" s="25">
        <f>Inventory[[#This Row],[MainFn]]*Lookups!$B$86</f>
        <v>73520.100776976004</v>
      </c>
      <c r="AW2165" s="25">
        <f>Inventory[[#This Row],[UpprFn]]*Lookups!$B$87</f>
        <v>0</v>
      </c>
      <c r="AX2165" s="25">
        <f>Inventory[[#This Row],[AddFn]]*Lookups!$B$88</f>
        <v>0</v>
      </c>
      <c r="AY2165" s="25">
        <f>Inventory[[#This Row],[Bsmt]]*Lookups!$B$89</f>
        <v>8142.9306691599995</v>
      </c>
      <c r="AZ2165" s="25">
        <f>Inventory[[#This Row],[Fixtures]]*Lookups!$B$90</f>
        <v>30336.176841600001</v>
      </c>
      <c r="BA2165" s="25">
        <f>Inventory[[#This Row],[WdDeck]]*Lookups!$B$91</f>
        <v>0</v>
      </c>
      <c r="BB2165" s="25">
        <f>ROUND(Inventory[[#This Row],[25Det]],-2)</f>
        <v>7600</v>
      </c>
      <c r="BC2165" s="25">
        <f>ROUND(SUM(Inventory[[#This Row],[Mdl Qlty]:[Mdl WdDeck]])+Inventory[[#This Row],[Mdl Res Intercept]],-2)</f>
        <v>296800</v>
      </c>
      <c r="BD2165" s="25">
        <f>ROUND(Inventory[[#This Row],[Mdl Land Intercept]]+Inventory[[#This Row],[Mdl LnAcres]],-2)</f>
        <v>41900</v>
      </c>
      <c r="BE2165" s="25">
        <f>Inventory[[#This Row],[Unadj Res Value]]+Inventory[[#This Row],[Unadj Det Value]]+Inventory[[#This Row],[Unadj Land Value]]</f>
        <v>346300</v>
      </c>
      <c r="BF2165" s="36">
        <f>(Inventory[[#This Row],[Unadj Total Value]]-Inventory[[#This Row],[24Final]])/Inventory[[#This Row],[24Final]]</f>
        <v>7.2800495662949188E-2</v>
      </c>
      <c r="BG2165" s="25">
        <f>VLOOKUP(Inventory[[#This Row],[Nbhd]],Lookups!$Q$2:$T$4,4,FALSE)</f>
        <v>0.99970000000000003</v>
      </c>
      <c r="BH2165" s="25">
        <f>VLOOKUP(Inventory[[#This Row],[Qlty]],Lookups!$O$7:$R$21,4,FALSE)</f>
        <v>0.99180000000000001</v>
      </c>
      <c r="BI2165" s="25">
        <f>VLOOKUP(Inventory[[#This Row],[Cnd]],Lookups!$T$7:$W$16,4,FALSE)</f>
        <v>0.99650000000000005</v>
      </c>
      <c r="BJ2165" s="25">
        <f>VLOOKUP(Inventory[[#This Row],[LivArea Range]],Lookups!$T$25:$W$37,4,FALSE)</f>
        <v>1.0157</v>
      </c>
      <c r="BK2165" s="25">
        <f>VLOOKUP(Inventory[[#This Row],[Decade]],Lookups!$O$25:$R$42,4,FALSE)</f>
        <v>0.96040000000000003</v>
      </c>
      <c r="BL2165" s="25">
        <f>Inventory[[#This Row],[Nbhd Adj]]*0.95</f>
        <v>0.94971499999999998</v>
      </c>
      <c r="BM2165" s="25">
        <f>Inventory[[#This Row],[Nbhd Adj]]*Inventory[[#This Row],[Quality Adj]]*Inventory[[#This Row],[Condition Adj]]*Inventory[[#This Row],[Living Area Adj]]*Inventory[[#This Row],[Decade Adj]]*0.95</f>
        <v>0.91561375477670459</v>
      </c>
      <c r="BN2165" s="25">
        <f>ROUND(SUM(Inventory[[#This Row],[Mdl Qlty]:[Mdl WdDeck]])+Inventory[[#This Row],[Mdl Res Intercept]]*Inventory[[#This Row],[Res Adj ]],-2)</f>
        <v>296800</v>
      </c>
      <c r="BO2165" s="25">
        <f>ROUND(Inventory[[#This Row],[25Det]]*Inventory[[#This Row],[Det/Nbhd Adj]],-2)</f>
        <v>7200</v>
      </c>
      <c r="BP2165" s="25">
        <f>Inventory[[#This Row],[Adjusted Res]]+Inventory[[#This Row],[Adj Det ]]</f>
        <v>304000</v>
      </c>
      <c r="BQ2165" s="25">
        <f>ROUND((Inventory[[#This Row],[Mdl Land Intercept]]+Inventory[[#This Row],[Mdl LnAcres]])*Inventory[[#This Row],[Det/Nbhd Adj]],-2)</f>
        <v>39800</v>
      </c>
      <c r="BR2165" s="25">
        <f>Inventory[[#This Row],[Adjusted Impr Total]]+Inventory[[#This Row],[Adjusted Land Total]]</f>
        <v>343800</v>
      </c>
      <c r="BS2165" s="36">
        <f>IFERROR((Inventory[[#This Row],[Adjusted Impr Total]]-Inventory[[#This Row],[24Bldg]])/Inventory[[#This Row],[24Bldg]],0)</f>
        <v>0.16430486403676753</v>
      </c>
      <c r="BT2165" s="36">
        <f>(Inventory[[#This Row],[Adjusted Land Total]]-Inventory[[#This Row],[24Lnd]])/Inventory[[#This Row],[24Lnd]]</f>
        <v>-0.35494327390599678</v>
      </c>
      <c r="BU2165" s="36">
        <f>(Inventory[[#This Row],[Adjusted Total]]-Inventory[[#This Row],[24Final]])/Inventory[[#This Row],[24Final]]</f>
        <v>6.5055762081784388E-2</v>
      </c>
    </row>
    <row r="2166" spans="1:73" x14ac:dyDescent="0.3">
      <c r="A2166" s="25">
        <v>2025</v>
      </c>
      <c r="B2166" s="26" t="s">
        <v>1117</v>
      </c>
      <c r="C2166" s="26">
        <f>LN(Inventory[[#This Row],[Acres]])</f>
        <v>-1.9661128563728327</v>
      </c>
      <c r="D2166" s="25">
        <v>0.14000000000000001</v>
      </c>
      <c r="E2166" s="27"/>
      <c r="F2166" s="26" t="s">
        <v>537</v>
      </c>
      <c r="G2166" s="26" t="s">
        <v>126</v>
      </c>
      <c r="H2166" s="26" t="s">
        <v>349</v>
      </c>
      <c r="I2166" s="26" t="s">
        <v>538</v>
      </c>
      <c r="J2166" s="26" t="s">
        <v>539</v>
      </c>
      <c r="K2166" s="26" t="s">
        <v>173</v>
      </c>
      <c r="L2166" s="26" t="s">
        <v>351</v>
      </c>
      <c r="M2166" s="26" t="s">
        <v>323</v>
      </c>
      <c r="N2166" s="26">
        <v>110</v>
      </c>
      <c r="O2166" s="26">
        <f>2024-Inventory[[#This Row],[YrBlt]]</f>
        <v>104</v>
      </c>
      <c r="P2166" s="26">
        <f>2024-Inventory[[#This Row],[EffYr]]</f>
        <v>58</v>
      </c>
      <c r="Q2166" s="25">
        <v>1920</v>
      </c>
      <c r="R2166" s="25">
        <v>1966</v>
      </c>
      <c r="S2166" s="25">
        <v>958</v>
      </c>
      <c r="T2166" s="32">
        <v>958</v>
      </c>
      <c r="U2166" s="32">
        <v>958</v>
      </c>
      <c r="V2166" s="32">
        <f>Inventory[[#This Row],[Bsmt]]-Inventory[[#This Row],[FnBsmt]]</f>
        <v>958</v>
      </c>
      <c r="W2166" s="27"/>
      <c r="X2166" s="27"/>
      <c r="Y2166" s="27">
        <f>Inventory[[#This Row],[MainFn]]+Inventory[[#This Row],[UpprFn]]+Inventory[[#This Row],[FnBsmt]]+Inventory[[#This Row],[AddFn]]</f>
        <v>1916</v>
      </c>
      <c r="Z2166" s="27">
        <v>2000</v>
      </c>
      <c r="AA2166" s="25">
        <v>10</v>
      </c>
      <c r="AB2166" s="31"/>
      <c r="AC2166" s="27"/>
      <c r="AD2166" s="27"/>
      <c r="AE2166" s="27"/>
      <c r="AF2166" s="27"/>
      <c r="AG2166" s="27"/>
      <c r="AH2166" s="27"/>
      <c r="AI2166" s="25">
        <v>311025</v>
      </c>
      <c r="AJ2166" s="25">
        <v>192836</v>
      </c>
      <c r="AK2166" s="25">
        <v>25066</v>
      </c>
      <c r="AL2166" s="25">
        <v>352300</v>
      </c>
      <c r="AM2166" s="25">
        <v>46000</v>
      </c>
      <c r="AN2166" s="25">
        <v>306300</v>
      </c>
      <c r="AO2166" s="25">
        <v>0</v>
      </c>
      <c r="AP2166" s="25">
        <f>Lookups!$B$56*0</f>
        <v>0</v>
      </c>
      <c r="AQ2166" s="25">
        <f>Lookups!$B$56*1</f>
        <v>89850.625589999996</v>
      </c>
      <c r="AR2166" s="25">
        <f>Lookups!$B$57*Inventory[[#This Row],[LnAcres]]</f>
        <v>-62236.546971921947</v>
      </c>
      <c r="AS2166" s="25">
        <f>VLOOKUP(Inventory[[#This Row],[Qlty]],Lookups!$A$62:$E$75,2,FALSE)</f>
        <v>21557.329055999999</v>
      </c>
      <c r="AT2166" s="25">
        <f>VLOOKUP(Inventory[[#This Row],[Cnd]],Lookups!$A$76:$E$84,2,FALSE)</f>
        <v>160472.20319</v>
      </c>
      <c r="AU2166" s="25">
        <f>Inventory[[#This Row],[EffAge]]*Lookups!$B$85</f>
        <v>-12936.644829000001</v>
      </c>
      <c r="AV2166" s="25">
        <f>Inventory[[#This Row],[MainFn]]*Lookups!$B$86</f>
        <v>47333.505742166002</v>
      </c>
      <c r="AW2166" s="25">
        <f>Inventory[[#This Row],[UpprFn]]*Lookups!$B$87</f>
        <v>42905.393100837995</v>
      </c>
      <c r="AX2166" s="25">
        <f>Inventory[[#This Row],[AddFn]]*Lookups!$B$88</f>
        <v>0</v>
      </c>
      <c r="AY2166" s="25">
        <f>Inventory[[#This Row],[Bsmt]]*Lookups!$B$89</f>
        <v>27860.455646626</v>
      </c>
      <c r="AZ2166" s="25">
        <f>Inventory[[#This Row],[Fixtures]]*Lookups!$B$90</f>
        <v>37920.221052000001</v>
      </c>
      <c r="BA2166" s="25">
        <f>Inventory[[#This Row],[WdDeck]]*Lookups!$B$91</f>
        <v>0</v>
      </c>
      <c r="BB2166" s="25">
        <f>ROUND(Inventory[[#This Row],[25Det]],-2)</f>
        <v>25100</v>
      </c>
      <c r="BC2166" s="25">
        <f>ROUND(SUM(Inventory[[#This Row],[Mdl Qlty]:[Mdl WdDeck]])+Inventory[[#This Row],[Mdl Res Intercept]],-2)</f>
        <v>325100</v>
      </c>
      <c r="BD2166" s="25">
        <f>ROUND(Inventory[[#This Row],[Mdl Land Intercept]]+Inventory[[#This Row],[Mdl LnAcres]],-2)</f>
        <v>27600</v>
      </c>
      <c r="BE2166" s="25">
        <f>Inventory[[#This Row],[Unadj Res Value]]+Inventory[[#This Row],[Unadj Det Value]]+Inventory[[#This Row],[Unadj Land Value]]</f>
        <v>377800</v>
      </c>
      <c r="BF2166" s="36">
        <f>(Inventory[[#This Row],[Unadj Total Value]]-Inventory[[#This Row],[24Final]])/Inventory[[#This Row],[24Final]]</f>
        <v>7.2381493045699685E-2</v>
      </c>
      <c r="BG2166" s="25">
        <f>VLOOKUP(Inventory[[#This Row],[Nbhd]],Lookups!$Q$2:$T$4,4,FALSE)</f>
        <v>0.99970000000000003</v>
      </c>
      <c r="BH2166" s="25">
        <f>VLOOKUP(Inventory[[#This Row],[Qlty]],Lookups!$O$7:$R$21,4,FALSE)</f>
        <v>1.0067999999999999</v>
      </c>
      <c r="BI2166" s="25">
        <f>VLOOKUP(Inventory[[#This Row],[Cnd]],Lookups!$T$7:$W$16,4,FALSE)</f>
        <v>0.99729999999999996</v>
      </c>
      <c r="BJ2166" s="25">
        <f>VLOOKUP(Inventory[[#This Row],[LivArea Range]],Lookups!$T$25:$W$37,4,FALSE)</f>
        <v>1.0093000000000001</v>
      </c>
      <c r="BK2166" s="25">
        <f>VLOOKUP(Inventory[[#This Row],[Decade]],Lookups!$O$25:$R$42,4,FALSE)</f>
        <v>0.96040000000000003</v>
      </c>
      <c r="BL2166" s="25">
        <f>Inventory[[#This Row],[Nbhd Adj]]*0.95</f>
        <v>0.94971499999999998</v>
      </c>
      <c r="BM2166" s="25">
        <f>Inventory[[#This Row],[Nbhd Adj]]*Inventory[[#This Row],[Quality Adj]]*Inventory[[#This Row],[Condition Adj]]*Inventory[[#This Row],[Living Area Adj]]*Inventory[[#This Row],[Decade Adj]]*0.95</f>
        <v>0.92434638683335013</v>
      </c>
      <c r="BN2166" s="25">
        <f>ROUND(SUM(Inventory[[#This Row],[Mdl Qlty]:[Mdl WdDeck]])+Inventory[[#This Row],[Mdl Res Intercept]]*Inventory[[#This Row],[Res Adj ]],-2)</f>
        <v>325100</v>
      </c>
      <c r="BO2166" s="25">
        <f>ROUND(Inventory[[#This Row],[25Det]]*Inventory[[#This Row],[Det/Nbhd Adj]],-2)</f>
        <v>23800</v>
      </c>
      <c r="BP2166" s="25">
        <f>Inventory[[#This Row],[Adjusted Res]]+Inventory[[#This Row],[Adj Det ]]</f>
        <v>348900</v>
      </c>
      <c r="BQ2166" s="25">
        <f>ROUND((Inventory[[#This Row],[Mdl Land Intercept]]+Inventory[[#This Row],[Mdl LnAcres]])*Inventory[[#This Row],[Det/Nbhd Adj]],-2)</f>
        <v>26200</v>
      </c>
      <c r="BR2166" s="25">
        <f>Inventory[[#This Row],[Adjusted Impr Total]]+Inventory[[#This Row],[Adjusted Land Total]]</f>
        <v>375100</v>
      </c>
      <c r="BS2166" s="36">
        <f>IFERROR((Inventory[[#This Row],[Adjusted Impr Total]]-Inventory[[#This Row],[24Bldg]])/Inventory[[#This Row],[24Bldg]],0)</f>
        <v>0.13907933398628794</v>
      </c>
      <c r="BT2166" s="36">
        <f>(Inventory[[#This Row],[Adjusted Land Total]]-Inventory[[#This Row],[24Lnd]])/Inventory[[#This Row],[24Lnd]]</f>
        <v>-0.43043478260869567</v>
      </c>
      <c r="BU2166" s="36">
        <f>(Inventory[[#This Row],[Adjusted Total]]-Inventory[[#This Row],[24Final]])/Inventory[[#This Row],[24Final]]</f>
        <v>6.4717570252625603E-2</v>
      </c>
    </row>
    <row r="2167" spans="1:73" x14ac:dyDescent="0.3">
      <c r="A2167" s="25">
        <v>2025</v>
      </c>
      <c r="B2167" s="26" t="s">
        <v>1566</v>
      </c>
      <c r="C2167" s="26">
        <f>LN(Inventory[[#This Row],[Acres]])</f>
        <v>-1.5141277326297755</v>
      </c>
      <c r="D2167" s="25">
        <v>0.22</v>
      </c>
      <c r="E2167" s="25">
        <v>9695</v>
      </c>
      <c r="F2167" s="26" t="s">
        <v>537</v>
      </c>
      <c r="G2167" s="26" t="s">
        <v>126</v>
      </c>
      <c r="H2167" s="26" t="s">
        <v>349</v>
      </c>
      <c r="I2167" s="26" t="s">
        <v>538</v>
      </c>
      <c r="J2167" s="26" t="s">
        <v>539</v>
      </c>
      <c r="K2167" s="26" t="s">
        <v>269</v>
      </c>
      <c r="L2167" s="26" t="s">
        <v>351</v>
      </c>
      <c r="M2167" s="26" t="s">
        <v>323</v>
      </c>
      <c r="N2167" s="26">
        <v>110</v>
      </c>
      <c r="O2167" s="26">
        <f>2024-Inventory[[#This Row],[YrBlt]]</f>
        <v>104</v>
      </c>
      <c r="P2167" s="26">
        <f>2024-Inventory[[#This Row],[EffYr]]</f>
        <v>58</v>
      </c>
      <c r="Q2167" s="25">
        <v>1920</v>
      </c>
      <c r="R2167" s="25">
        <v>1966</v>
      </c>
      <c r="S2167" s="25">
        <v>920</v>
      </c>
      <c r="T2167" s="27"/>
      <c r="U2167" s="32">
        <v>238</v>
      </c>
      <c r="V2167" s="32">
        <f>Inventory[[#This Row],[Bsmt]]-Inventory[[#This Row],[FnBsmt]]</f>
        <v>238</v>
      </c>
      <c r="W2167" s="27"/>
      <c r="X2167" s="27"/>
      <c r="Y2167" s="27">
        <f>Inventory[[#This Row],[MainFn]]+Inventory[[#This Row],[UpprFn]]+Inventory[[#This Row],[FnBsmt]]+Inventory[[#This Row],[AddFn]]</f>
        <v>920</v>
      </c>
      <c r="Z2167" s="27">
        <v>1000</v>
      </c>
      <c r="AA2167" s="25">
        <v>5</v>
      </c>
      <c r="AB2167" s="27"/>
      <c r="AC2167" s="27"/>
      <c r="AD2167" s="27"/>
      <c r="AE2167" s="27"/>
      <c r="AF2167" s="27"/>
      <c r="AG2167" s="27"/>
      <c r="AH2167" s="27"/>
      <c r="AI2167" s="25">
        <v>166336</v>
      </c>
      <c r="AJ2167" s="25">
        <v>103128</v>
      </c>
      <c r="AK2167" s="25">
        <v>6227</v>
      </c>
      <c r="AL2167" s="25">
        <v>269300</v>
      </c>
      <c r="AM2167" s="25">
        <v>61700</v>
      </c>
      <c r="AN2167" s="25">
        <v>207600</v>
      </c>
      <c r="AO2167" s="25">
        <v>0</v>
      </c>
      <c r="AP2167" s="25">
        <f>Lookups!$B$56*0</f>
        <v>0</v>
      </c>
      <c r="AQ2167" s="25">
        <f>Lookups!$B$56*1</f>
        <v>89850.625589999996</v>
      </c>
      <c r="AR2167" s="25">
        <f>Lookups!$B$57*Inventory[[#This Row],[LnAcres]]</f>
        <v>-47929.131559187132</v>
      </c>
      <c r="AS2167" s="25">
        <f>VLOOKUP(Inventory[[#This Row],[Qlty]],Lookups!$A$62:$E$75,2,FALSE)</f>
        <v>21557.329055999999</v>
      </c>
      <c r="AT2167" s="25">
        <f>VLOOKUP(Inventory[[#This Row],[Cnd]],Lookups!$A$76:$E$84,2,FALSE)</f>
        <v>160472.20319</v>
      </c>
      <c r="AU2167" s="25">
        <f>Inventory[[#This Row],[EffAge]]*Lookups!$B$85</f>
        <v>-12936.644829000001</v>
      </c>
      <c r="AV2167" s="25">
        <f>Inventory[[#This Row],[MainFn]]*Lookups!$B$86</f>
        <v>45455.976286839999</v>
      </c>
      <c r="AW2167" s="25">
        <f>Inventory[[#This Row],[UpprFn]]*Lookups!$B$87</f>
        <v>0</v>
      </c>
      <c r="AX2167" s="25">
        <f>Inventory[[#This Row],[AddFn]]*Lookups!$B$88</f>
        <v>0</v>
      </c>
      <c r="AY2167" s="25">
        <f>Inventory[[#This Row],[Bsmt]]*Lookups!$B$89</f>
        <v>6921.4910687859992</v>
      </c>
      <c r="AZ2167" s="25">
        <f>Inventory[[#This Row],[Fixtures]]*Lookups!$B$90</f>
        <v>18960.110526</v>
      </c>
      <c r="BA2167" s="25">
        <f>Inventory[[#This Row],[WdDeck]]*Lookups!$B$91</f>
        <v>0</v>
      </c>
      <c r="BB2167" s="25">
        <f>ROUND(Inventory[[#This Row],[25Det]],-2)</f>
        <v>6200</v>
      </c>
      <c r="BC2167" s="25">
        <f>ROUND(SUM(Inventory[[#This Row],[Mdl Qlty]:[Mdl WdDeck]])+Inventory[[#This Row],[Mdl Res Intercept]],-2)</f>
        <v>240400</v>
      </c>
      <c r="BD2167" s="25">
        <f>ROUND(Inventory[[#This Row],[Mdl Land Intercept]]+Inventory[[#This Row],[Mdl LnAcres]],-2)</f>
        <v>41900</v>
      </c>
      <c r="BE2167" s="25">
        <f>Inventory[[#This Row],[Unadj Res Value]]+Inventory[[#This Row],[Unadj Det Value]]+Inventory[[#This Row],[Unadj Land Value]]</f>
        <v>288500</v>
      </c>
      <c r="BF2167" s="36">
        <f>(Inventory[[#This Row],[Unadj Total Value]]-Inventory[[#This Row],[24Final]])/Inventory[[#This Row],[24Final]]</f>
        <v>7.1295952469365015E-2</v>
      </c>
      <c r="BG2167" s="25">
        <f>VLOOKUP(Inventory[[#This Row],[Nbhd]],Lookups!$Q$2:$T$4,4,FALSE)</f>
        <v>0.99970000000000003</v>
      </c>
      <c r="BH2167" s="25">
        <f>VLOOKUP(Inventory[[#This Row],[Qlty]],Lookups!$O$7:$R$21,4,FALSE)</f>
        <v>1.0067999999999999</v>
      </c>
      <c r="BI2167" s="25">
        <f>VLOOKUP(Inventory[[#This Row],[Cnd]],Lookups!$T$7:$W$16,4,FALSE)</f>
        <v>0.99729999999999996</v>
      </c>
      <c r="BJ2167" s="25">
        <f>VLOOKUP(Inventory[[#This Row],[LivArea Range]],Lookups!$T$25:$W$37,4,FALSE)</f>
        <v>1.0148999999999999</v>
      </c>
      <c r="BK2167" s="25">
        <f>VLOOKUP(Inventory[[#This Row],[Decade]],Lookups!$O$25:$R$42,4,FALSE)</f>
        <v>0.96040000000000003</v>
      </c>
      <c r="BL2167" s="25">
        <f>Inventory[[#This Row],[Nbhd Adj]]*0.95</f>
        <v>0.94971499999999998</v>
      </c>
      <c r="BM2167" s="25">
        <f>Inventory[[#This Row],[Nbhd Adj]]*Inventory[[#This Row],[Quality Adj]]*Inventory[[#This Row],[Condition Adj]]*Inventory[[#This Row],[Living Area Adj]]*Inventory[[#This Row],[Decade Adj]]*0.95</f>
        <v>0.92947503021615663</v>
      </c>
      <c r="BN2167" s="25">
        <f>ROUND(SUM(Inventory[[#This Row],[Mdl Qlty]:[Mdl WdDeck]])+Inventory[[#This Row],[Mdl Res Intercept]]*Inventory[[#This Row],[Res Adj ]],-2)</f>
        <v>240400</v>
      </c>
      <c r="BO2167" s="25">
        <f>ROUND(Inventory[[#This Row],[25Det]]*Inventory[[#This Row],[Det/Nbhd Adj]],-2)</f>
        <v>5900</v>
      </c>
      <c r="BP2167" s="25">
        <f>Inventory[[#This Row],[Adjusted Res]]+Inventory[[#This Row],[Adj Det ]]</f>
        <v>246300</v>
      </c>
      <c r="BQ2167" s="25">
        <f>ROUND((Inventory[[#This Row],[Mdl Land Intercept]]+Inventory[[#This Row],[Mdl LnAcres]])*Inventory[[#This Row],[Det/Nbhd Adj]],-2)</f>
        <v>39800</v>
      </c>
      <c r="BR2167" s="25">
        <f>Inventory[[#This Row],[Adjusted Impr Total]]+Inventory[[#This Row],[Adjusted Land Total]]</f>
        <v>286100</v>
      </c>
      <c r="BS2167" s="36">
        <f>IFERROR((Inventory[[#This Row],[Adjusted Impr Total]]-Inventory[[#This Row],[24Bldg]])/Inventory[[#This Row],[24Bldg]],0)</f>
        <v>0.18641618497109827</v>
      </c>
      <c r="BT2167" s="36">
        <f>(Inventory[[#This Row],[Adjusted Land Total]]-Inventory[[#This Row],[24Lnd]])/Inventory[[#This Row],[24Lnd]]</f>
        <v>-0.35494327390599678</v>
      </c>
      <c r="BU2167" s="36">
        <f>(Inventory[[#This Row],[Adjusted Total]]-Inventory[[#This Row],[24Final]])/Inventory[[#This Row],[24Final]]</f>
        <v>6.2383958410694391E-2</v>
      </c>
    </row>
    <row r="2168" spans="1:73" x14ac:dyDescent="0.3">
      <c r="A2168" s="25">
        <v>2025</v>
      </c>
      <c r="B2168" s="26" t="s">
        <v>1984</v>
      </c>
      <c r="C2168" s="26">
        <f>LN(Inventory[[#This Row],[Acres]])</f>
        <v>-1.8971199848858813</v>
      </c>
      <c r="D2168" s="25">
        <v>0.15</v>
      </c>
      <c r="E2168" s="27"/>
      <c r="F2168" s="26" t="s">
        <v>537</v>
      </c>
      <c r="G2168" s="26" t="s">
        <v>126</v>
      </c>
      <c r="H2168" s="26" t="s">
        <v>349</v>
      </c>
      <c r="I2168" s="26" t="s">
        <v>538</v>
      </c>
      <c r="J2168" s="26" t="s">
        <v>539</v>
      </c>
      <c r="K2168" s="26" t="s">
        <v>269</v>
      </c>
      <c r="L2168" s="26" t="s">
        <v>205</v>
      </c>
      <c r="M2168" s="26" t="s">
        <v>303</v>
      </c>
      <c r="N2168" s="26">
        <v>110</v>
      </c>
      <c r="O2168" s="26">
        <f>2024-Inventory[[#This Row],[YrBlt]]</f>
        <v>104</v>
      </c>
      <c r="P2168" s="26">
        <f>2024-Inventory[[#This Row],[EffYr]]</f>
        <v>58</v>
      </c>
      <c r="Q2168" s="25">
        <v>1920</v>
      </c>
      <c r="R2168" s="25">
        <v>1966</v>
      </c>
      <c r="S2168" s="25">
        <v>1288</v>
      </c>
      <c r="T2168" s="32">
        <v>760</v>
      </c>
      <c r="U2168" s="27"/>
      <c r="V2168" s="27">
        <f>Inventory[[#This Row],[Bsmt]]-Inventory[[#This Row],[FnBsmt]]</f>
        <v>0</v>
      </c>
      <c r="W2168" s="27"/>
      <c r="X2168" s="27"/>
      <c r="Y2168" s="27">
        <f>Inventory[[#This Row],[MainFn]]+Inventory[[#This Row],[UpprFn]]+Inventory[[#This Row],[FnBsmt]]+Inventory[[#This Row],[AddFn]]</f>
        <v>2048</v>
      </c>
      <c r="Z2168" s="27">
        <v>2500</v>
      </c>
      <c r="AA2168" s="25">
        <v>5</v>
      </c>
      <c r="AB2168" s="31"/>
      <c r="AC2168" s="27"/>
      <c r="AD2168" s="32">
        <v>160</v>
      </c>
      <c r="AE2168" s="27"/>
      <c r="AF2168" s="27"/>
      <c r="AG2168" s="27"/>
      <c r="AH2168" s="27"/>
      <c r="AI2168" s="25">
        <v>283282</v>
      </c>
      <c r="AJ2168" s="25">
        <v>181300</v>
      </c>
      <c r="AK2168" s="25">
        <v>4598</v>
      </c>
      <c r="AL2168" s="25">
        <v>319900</v>
      </c>
      <c r="AM2168" s="25">
        <v>48400</v>
      </c>
      <c r="AN2168" s="25">
        <v>271500</v>
      </c>
      <c r="AO2168" s="25">
        <v>0</v>
      </c>
      <c r="AP2168" s="25">
        <f>Lookups!$B$56*0</f>
        <v>0</v>
      </c>
      <c r="AQ2168" s="25">
        <f>Lookups!$B$56*1</f>
        <v>89850.625589999996</v>
      </c>
      <c r="AR2168" s="25">
        <f>Lookups!$B$57*Inventory[[#This Row],[LnAcres]]</f>
        <v>-60052.604136134301</v>
      </c>
      <c r="AS2168" s="25">
        <f>VLOOKUP(Inventory[[#This Row],[Qlty]],Lookups!$A$62:$E$75,2,FALSE)</f>
        <v>0</v>
      </c>
      <c r="AT2168" s="25">
        <f>VLOOKUP(Inventory[[#This Row],[Cnd]],Lookups!$A$76:$E$84,2,FALSE)</f>
        <v>197752.34721000001</v>
      </c>
      <c r="AU2168" s="25">
        <f>Inventory[[#This Row],[EffAge]]*Lookups!$B$85</f>
        <v>-12936.644829000001</v>
      </c>
      <c r="AV2168" s="25">
        <f>Inventory[[#This Row],[MainFn]]*Lookups!$B$86</f>
        <v>63638.366801576005</v>
      </c>
      <c r="AW2168" s="25">
        <f>Inventory[[#This Row],[UpprFn]]*Lookups!$B$87</f>
        <v>34037.68137436</v>
      </c>
      <c r="AX2168" s="25">
        <f>Inventory[[#This Row],[AddFn]]*Lookups!$B$88</f>
        <v>0</v>
      </c>
      <c r="AY2168" s="25">
        <f>Inventory[[#This Row],[Bsmt]]*Lookups!$B$89</f>
        <v>0</v>
      </c>
      <c r="AZ2168" s="25">
        <f>Inventory[[#This Row],[Fixtures]]*Lookups!$B$90</f>
        <v>18960.110526</v>
      </c>
      <c r="BA2168" s="25">
        <f>Inventory[[#This Row],[WdDeck]]*Lookups!$B$91</f>
        <v>5327.2824441600005</v>
      </c>
      <c r="BB2168" s="25">
        <f>ROUND(Inventory[[#This Row],[25Det]],-2)</f>
        <v>4600</v>
      </c>
      <c r="BC2168" s="25">
        <f>ROUND(SUM(Inventory[[#This Row],[Mdl Qlty]:[Mdl WdDeck]])+Inventory[[#This Row],[Mdl Res Intercept]],-2)</f>
        <v>306800</v>
      </c>
      <c r="BD2168" s="25">
        <f>ROUND(Inventory[[#This Row],[Mdl Land Intercept]]+Inventory[[#This Row],[Mdl LnAcres]],-2)</f>
        <v>29800</v>
      </c>
      <c r="BE2168" s="25">
        <f>Inventory[[#This Row],[Unadj Res Value]]+Inventory[[#This Row],[Unadj Det Value]]+Inventory[[#This Row],[Unadj Land Value]]</f>
        <v>341200</v>
      </c>
      <c r="BF2168" s="36">
        <f>(Inventory[[#This Row],[Unadj Total Value]]-Inventory[[#This Row],[24Final]])/Inventory[[#This Row],[24Final]]</f>
        <v>6.65833072835261E-2</v>
      </c>
      <c r="BG2168" s="25">
        <f>VLOOKUP(Inventory[[#This Row],[Nbhd]],Lookups!$Q$2:$T$4,4,FALSE)</f>
        <v>0.99970000000000003</v>
      </c>
      <c r="BH2168" s="25">
        <f>VLOOKUP(Inventory[[#This Row],[Qlty]],Lookups!$O$7:$R$21,4,FALSE)</f>
        <v>0.99180000000000001</v>
      </c>
      <c r="BI2168" s="25">
        <f>VLOOKUP(Inventory[[#This Row],[Cnd]],Lookups!$T$7:$W$16,4,FALSE)</f>
        <v>0.99650000000000005</v>
      </c>
      <c r="BJ2168" s="25">
        <f>VLOOKUP(Inventory[[#This Row],[LivArea Range]],Lookups!$T$25:$W$37,4,FALSE)</f>
        <v>0.98919999999999997</v>
      </c>
      <c r="BK2168" s="25">
        <f>VLOOKUP(Inventory[[#This Row],[Decade]],Lookups!$O$25:$R$42,4,FALSE)</f>
        <v>0.96040000000000003</v>
      </c>
      <c r="BL2168" s="25">
        <f>Inventory[[#This Row],[Nbhd Adj]]*0.95</f>
        <v>0.94971499999999998</v>
      </c>
      <c r="BM2168" s="25">
        <f>Inventory[[#This Row],[Nbhd Adj]]*Inventory[[#This Row],[Quality Adj]]*Inventory[[#This Row],[Condition Adj]]*Inventory[[#This Row],[Living Area Adj]]*Inventory[[#This Row],[Decade Adj]]*0.95</f>
        <v>0.89172504304924294</v>
      </c>
      <c r="BN2168" s="25">
        <f>ROUND(SUM(Inventory[[#This Row],[Mdl Qlty]:[Mdl WdDeck]])+Inventory[[#This Row],[Mdl Res Intercept]]*Inventory[[#This Row],[Res Adj ]],-2)</f>
        <v>306800</v>
      </c>
      <c r="BO2168" s="25">
        <f>ROUND(Inventory[[#This Row],[25Det]]*Inventory[[#This Row],[Det/Nbhd Adj]],-2)</f>
        <v>4400</v>
      </c>
      <c r="BP2168" s="25">
        <f>Inventory[[#This Row],[Adjusted Res]]+Inventory[[#This Row],[Adj Det ]]</f>
        <v>311200</v>
      </c>
      <c r="BQ2168" s="25">
        <f>ROUND((Inventory[[#This Row],[Mdl Land Intercept]]+Inventory[[#This Row],[Mdl LnAcres]])*Inventory[[#This Row],[Det/Nbhd Adj]],-2)</f>
        <v>28300</v>
      </c>
      <c r="BR2168" s="25">
        <f>Inventory[[#This Row],[Adjusted Impr Total]]+Inventory[[#This Row],[Adjusted Land Total]]</f>
        <v>339500</v>
      </c>
      <c r="BS2168" s="36">
        <f>IFERROR((Inventory[[#This Row],[Adjusted Impr Total]]-Inventory[[#This Row],[24Bldg]])/Inventory[[#This Row],[24Bldg]],0)</f>
        <v>0.14622467771639042</v>
      </c>
      <c r="BT2168" s="36">
        <f>(Inventory[[#This Row],[Adjusted Land Total]]-Inventory[[#This Row],[24Lnd]])/Inventory[[#This Row],[24Lnd]]</f>
        <v>-0.41528925619834711</v>
      </c>
      <c r="BU2168" s="36">
        <f>(Inventory[[#This Row],[Adjusted Total]]-Inventory[[#This Row],[24Final]])/Inventory[[#This Row],[24Final]]</f>
        <v>6.1269146608315096E-2</v>
      </c>
    </row>
    <row r="2169" spans="1:73" x14ac:dyDescent="0.3">
      <c r="A2169" s="25">
        <v>2025</v>
      </c>
      <c r="B2169" s="26" t="s">
        <v>2711</v>
      </c>
      <c r="C2169" s="26">
        <f>LN(Inventory[[#This Row],[Acres]])</f>
        <v>-1.8971199848858813</v>
      </c>
      <c r="D2169" s="25">
        <v>0.15</v>
      </c>
      <c r="E2169" s="32">
        <v>6402</v>
      </c>
      <c r="F2169" s="26" t="s">
        <v>537</v>
      </c>
      <c r="G2169" s="26" t="s">
        <v>126</v>
      </c>
      <c r="H2169" s="26" t="s">
        <v>349</v>
      </c>
      <c r="I2169" s="26" t="s">
        <v>538</v>
      </c>
      <c r="J2169" s="26" t="s">
        <v>539</v>
      </c>
      <c r="K2169" s="26" t="s">
        <v>242</v>
      </c>
      <c r="L2169" s="26" t="s">
        <v>205</v>
      </c>
      <c r="M2169" s="26" t="s">
        <v>323</v>
      </c>
      <c r="N2169" s="26">
        <v>110</v>
      </c>
      <c r="O2169" s="26">
        <f>2024-Inventory[[#This Row],[YrBlt]]</f>
        <v>104</v>
      </c>
      <c r="P2169" s="26">
        <f>2024-Inventory[[#This Row],[EffYr]]</f>
        <v>58</v>
      </c>
      <c r="Q2169" s="25">
        <v>1920</v>
      </c>
      <c r="R2169" s="25">
        <v>1966</v>
      </c>
      <c r="S2169" s="25">
        <v>1134</v>
      </c>
      <c r="T2169" s="27"/>
      <c r="U2169" s="32">
        <v>1134</v>
      </c>
      <c r="V2169" s="32">
        <f>Inventory[[#This Row],[Bsmt]]-Inventory[[#This Row],[FnBsmt]]</f>
        <v>1134</v>
      </c>
      <c r="W2169" s="27"/>
      <c r="X2169" s="27"/>
      <c r="Y2169" s="27">
        <f>Inventory[[#This Row],[MainFn]]+Inventory[[#This Row],[UpprFn]]+Inventory[[#This Row],[FnBsmt]]+Inventory[[#This Row],[AddFn]]</f>
        <v>1134</v>
      </c>
      <c r="Z2169" s="27">
        <v>1500</v>
      </c>
      <c r="AA2169" s="25">
        <v>5</v>
      </c>
      <c r="AB2169" s="27"/>
      <c r="AC2169" s="27"/>
      <c r="AD2169" s="27"/>
      <c r="AE2169" s="27"/>
      <c r="AF2169" s="27"/>
      <c r="AG2169" s="27"/>
      <c r="AH2169" s="27"/>
      <c r="AI2169" s="25">
        <v>213533</v>
      </c>
      <c r="AJ2169" s="25">
        <v>132390</v>
      </c>
      <c r="AK2169" s="25">
        <v>9004</v>
      </c>
      <c r="AL2169" s="25">
        <v>276000</v>
      </c>
      <c r="AM2169" s="25">
        <v>48400</v>
      </c>
      <c r="AN2169" s="25">
        <v>227600</v>
      </c>
      <c r="AO2169" s="25">
        <v>0</v>
      </c>
      <c r="AP2169" s="25">
        <f>Lookups!$B$56*0</f>
        <v>0</v>
      </c>
      <c r="AQ2169" s="25">
        <f>Lookups!$B$56*1</f>
        <v>89850.625589999996</v>
      </c>
      <c r="AR2169" s="25">
        <f>Lookups!$B$57*Inventory[[#This Row],[LnAcres]]</f>
        <v>-60052.604136134301</v>
      </c>
      <c r="AS2169" s="25">
        <f>VLOOKUP(Inventory[[#This Row],[Qlty]],Lookups!$A$62:$E$75,2,FALSE)</f>
        <v>0</v>
      </c>
      <c r="AT2169" s="25">
        <f>VLOOKUP(Inventory[[#This Row],[Cnd]],Lookups!$A$76:$E$84,2,FALSE)</f>
        <v>160472.20319</v>
      </c>
      <c r="AU2169" s="25">
        <f>Inventory[[#This Row],[EffAge]]*Lookups!$B$85</f>
        <v>-12936.644829000001</v>
      </c>
      <c r="AV2169" s="25">
        <f>Inventory[[#This Row],[MainFn]]*Lookups!$B$86</f>
        <v>56029.431640518</v>
      </c>
      <c r="AW2169" s="25">
        <f>Inventory[[#This Row],[UpprFn]]*Lookups!$B$87</f>
        <v>0</v>
      </c>
      <c r="AX2169" s="25">
        <f>Inventory[[#This Row],[AddFn]]*Lookups!$B$88</f>
        <v>0</v>
      </c>
      <c r="AY2169" s="25">
        <f>Inventory[[#This Row],[Bsmt]]*Lookups!$B$89</f>
        <v>32978.869210097997</v>
      </c>
      <c r="AZ2169" s="25">
        <f>Inventory[[#This Row],[Fixtures]]*Lookups!$B$90</f>
        <v>18960.110526</v>
      </c>
      <c r="BA2169" s="25">
        <f>Inventory[[#This Row],[WdDeck]]*Lookups!$B$91</f>
        <v>0</v>
      </c>
      <c r="BB2169" s="25">
        <f>ROUND(Inventory[[#This Row],[25Det]],-2)</f>
        <v>9000</v>
      </c>
      <c r="BC2169" s="25">
        <f>ROUND(SUM(Inventory[[#This Row],[Mdl Qlty]:[Mdl WdDeck]])+Inventory[[#This Row],[Mdl Res Intercept]],-2)</f>
        <v>255500</v>
      </c>
      <c r="BD2169" s="25">
        <f>ROUND(Inventory[[#This Row],[Mdl Land Intercept]]+Inventory[[#This Row],[Mdl LnAcres]],-2)</f>
        <v>29800</v>
      </c>
      <c r="BE2169" s="25">
        <f>Inventory[[#This Row],[Unadj Res Value]]+Inventory[[#This Row],[Unadj Det Value]]+Inventory[[#This Row],[Unadj Land Value]]</f>
        <v>294300</v>
      </c>
      <c r="BF2169" s="36">
        <f>(Inventory[[#This Row],[Unadj Total Value]]-Inventory[[#This Row],[24Final]])/Inventory[[#This Row],[24Final]]</f>
        <v>6.6304347826086962E-2</v>
      </c>
      <c r="BG2169" s="25">
        <f>VLOOKUP(Inventory[[#This Row],[Nbhd]],Lookups!$Q$2:$T$4,4,FALSE)</f>
        <v>0.99970000000000003</v>
      </c>
      <c r="BH2169" s="25">
        <f>VLOOKUP(Inventory[[#This Row],[Qlty]],Lookups!$O$7:$R$21,4,FALSE)</f>
        <v>0.99180000000000001</v>
      </c>
      <c r="BI2169" s="25">
        <f>VLOOKUP(Inventory[[#This Row],[Cnd]],Lookups!$T$7:$W$16,4,FALSE)</f>
        <v>0.99729999999999996</v>
      </c>
      <c r="BJ2169" s="25">
        <f>VLOOKUP(Inventory[[#This Row],[LivArea Range]],Lookups!$T$25:$W$37,4,FALSE)</f>
        <v>1.0157</v>
      </c>
      <c r="BK2169" s="25">
        <f>VLOOKUP(Inventory[[#This Row],[Decade]],Lookups!$O$25:$R$42,4,FALSE)</f>
        <v>0.96040000000000003</v>
      </c>
      <c r="BL2169" s="25">
        <f>Inventory[[#This Row],[Nbhd Adj]]*0.95</f>
        <v>0.94971499999999998</v>
      </c>
      <c r="BM2169" s="25">
        <f>Inventory[[#This Row],[Nbhd Adj]]*Inventory[[#This Row],[Quality Adj]]*Inventory[[#This Row],[Condition Adj]]*Inventory[[#This Row],[Living Area Adj]]*Inventory[[#This Row],[Decade Adj]]*0.95</f>
        <v>0.91634881850356975</v>
      </c>
      <c r="BN2169" s="25">
        <f>ROUND(SUM(Inventory[[#This Row],[Mdl Qlty]:[Mdl WdDeck]])+Inventory[[#This Row],[Mdl Res Intercept]]*Inventory[[#This Row],[Res Adj ]],-2)</f>
        <v>255500</v>
      </c>
      <c r="BO2169" s="25">
        <f>ROUND(Inventory[[#This Row],[25Det]]*Inventory[[#This Row],[Det/Nbhd Adj]],-2)</f>
        <v>8600</v>
      </c>
      <c r="BP2169" s="25">
        <f>Inventory[[#This Row],[Adjusted Res]]+Inventory[[#This Row],[Adj Det ]]</f>
        <v>264100</v>
      </c>
      <c r="BQ2169" s="25">
        <f>ROUND((Inventory[[#This Row],[Mdl Land Intercept]]+Inventory[[#This Row],[Mdl LnAcres]])*Inventory[[#This Row],[Det/Nbhd Adj]],-2)</f>
        <v>28300</v>
      </c>
      <c r="BR2169" s="25">
        <f>Inventory[[#This Row],[Adjusted Impr Total]]+Inventory[[#This Row],[Adjusted Land Total]]</f>
        <v>292400</v>
      </c>
      <c r="BS2169" s="36">
        <f>IFERROR((Inventory[[#This Row],[Adjusted Impr Total]]-Inventory[[#This Row],[24Bldg]])/Inventory[[#This Row],[24Bldg]],0)</f>
        <v>0.16036906854130054</v>
      </c>
      <c r="BT2169" s="36">
        <f>(Inventory[[#This Row],[Adjusted Land Total]]-Inventory[[#This Row],[24Lnd]])/Inventory[[#This Row],[24Lnd]]</f>
        <v>-0.41528925619834711</v>
      </c>
      <c r="BU2169" s="36">
        <f>(Inventory[[#This Row],[Adjusted Total]]-Inventory[[#This Row],[24Final]])/Inventory[[#This Row],[24Final]]</f>
        <v>5.9420289855072465E-2</v>
      </c>
    </row>
    <row r="2170" spans="1:73" x14ac:dyDescent="0.3">
      <c r="A2170" s="25">
        <v>2025</v>
      </c>
      <c r="B2170" s="26" t="s">
        <v>1039</v>
      </c>
      <c r="C2170" s="26">
        <f>LN(Inventory[[#This Row],[Acres]])</f>
        <v>-1.8325814637483102</v>
      </c>
      <c r="D2170" s="25">
        <v>0.16</v>
      </c>
      <c r="E2170" s="31"/>
      <c r="F2170" s="26" t="s">
        <v>537</v>
      </c>
      <c r="G2170" s="26" t="s">
        <v>126</v>
      </c>
      <c r="H2170" s="26" t="s">
        <v>349</v>
      </c>
      <c r="I2170" s="26" t="s">
        <v>538</v>
      </c>
      <c r="J2170" s="26" t="s">
        <v>539</v>
      </c>
      <c r="K2170" s="26" t="s">
        <v>173</v>
      </c>
      <c r="L2170" s="26" t="s">
        <v>351</v>
      </c>
      <c r="M2170" s="26" t="s">
        <v>303</v>
      </c>
      <c r="N2170" s="26">
        <v>110</v>
      </c>
      <c r="O2170" s="26">
        <f>2024-Inventory[[#This Row],[YrBlt]]</f>
        <v>104</v>
      </c>
      <c r="P2170" s="26">
        <f>2024-Inventory[[#This Row],[EffYr]]</f>
        <v>39</v>
      </c>
      <c r="Q2170" s="25">
        <v>1920</v>
      </c>
      <c r="R2170" s="25">
        <v>1985</v>
      </c>
      <c r="S2170" s="25">
        <v>1048</v>
      </c>
      <c r="T2170" s="32">
        <v>390</v>
      </c>
      <c r="U2170" s="32">
        <v>1048</v>
      </c>
      <c r="V2170" s="32">
        <f>Inventory[[#This Row],[Bsmt]]-Inventory[[#This Row],[FnBsmt]]</f>
        <v>0</v>
      </c>
      <c r="W2170" s="32">
        <v>1048</v>
      </c>
      <c r="X2170" s="27"/>
      <c r="Y2170" s="27">
        <f>Inventory[[#This Row],[MainFn]]+Inventory[[#This Row],[UpprFn]]+Inventory[[#This Row],[FnBsmt]]+Inventory[[#This Row],[AddFn]]</f>
        <v>2486</v>
      </c>
      <c r="Z2170" s="27">
        <v>2500</v>
      </c>
      <c r="AA2170" s="25">
        <v>10</v>
      </c>
      <c r="AB2170" s="27"/>
      <c r="AC2170" s="27"/>
      <c r="AD2170" s="27"/>
      <c r="AE2170" s="27"/>
      <c r="AF2170" s="27"/>
      <c r="AG2170" s="27"/>
      <c r="AH2170" s="27"/>
      <c r="AI2170" s="25">
        <v>314163</v>
      </c>
      <c r="AJ2170" s="25">
        <v>254472</v>
      </c>
      <c r="AK2170" s="25">
        <v>0</v>
      </c>
      <c r="AL2170" s="25">
        <v>357900</v>
      </c>
      <c r="AM2170" s="25">
        <v>50600</v>
      </c>
      <c r="AN2170" s="25">
        <v>307300</v>
      </c>
      <c r="AO2170" s="25">
        <v>0</v>
      </c>
      <c r="AP2170" s="25">
        <f>Lookups!$B$56*0</f>
        <v>0</v>
      </c>
      <c r="AQ2170" s="25">
        <f>Lookups!$B$56*1</f>
        <v>89850.625589999996</v>
      </c>
      <c r="AR2170" s="25">
        <f>Lookups!$B$57*Inventory[[#This Row],[LnAcres]]</f>
        <v>-58009.662049032086</v>
      </c>
      <c r="AS2170" s="25">
        <f>VLOOKUP(Inventory[[#This Row],[Qlty]],Lookups!$A$62:$E$75,2,FALSE)</f>
        <v>21557.329055999999</v>
      </c>
      <c r="AT2170" s="25">
        <f>VLOOKUP(Inventory[[#This Row],[Cnd]],Lookups!$A$76:$E$84,2,FALSE)</f>
        <v>197752.34721000001</v>
      </c>
      <c r="AU2170" s="25">
        <f>Inventory[[#This Row],[EffAge]]*Lookups!$B$85</f>
        <v>-8698.7784195000004</v>
      </c>
      <c r="AV2170" s="25">
        <f>Inventory[[#This Row],[MainFn]]*Lookups!$B$86</f>
        <v>51780.286031096002</v>
      </c>
      <c r="AW2170" s="25">
        <f>Inventory[[#This Row],[UpprFn]]*Lookups!$B$87</f>
        <v>17466.70491579</v>
      </c>
      <c r="AX2170" s="25">
        <f>Inventory[[#This Row],[AddFn]]*Lookups!$B$88</f>
        <v>0</v>
      </c>
      <c r="AY2170" s="25">
        <f>Inventory[[#This Row],[Bsmt]]*Lookups!$B$89</f>
        <v>30477.826218856</v>
      </c>
      <c r="AZ2170" s="25">
        <f>Inventory[[#This Row],[Fixtures]]*Lookups!$B$90</f>
        <v>37920.221052000001</v>
      </c>
      <c r="BA2170" s="25">
        <f>Inventory[[#This Row],[WdDeck]]*Lookups!$B$91</f>
        <v>0</v>
      </c>
      <c r="BB2170" s="25">
        <f>ROUND(Inventory[[#This Row],[25Det]],-2)</f>
        <v>0</v>
      </c>
      <c r="BC2170" s="25">
        <f>ROUND(SUM(Inventory[[#This Row],[Mdl Qlty]:[Mdl WdDeck]])+Inventory[[#This Row],[Mdl Res Intercept]],-2)</f>
        <v>348300</v>
      </c>
      <c r="BD2170" s="25">
        <f>ROUND(Inventory[[#This Row],[Mdl Land Intercept]]+Inventory[[#This Row],[Mdl LnAcres]],-2)</f>
        <v>31800</v>
      </c>
      <c r="BE2170" s="25">
        <f>Inventory[[#This Row],[Unadj Res Value]]+Inventory[[#This Row],[Unadj Det Value]]+Inventory[[#This Row],[Unadj Land Value]]</f>
        <v>380100</v>
      </c>
      <c r="BF2170" s="36">
        <f>(Inventory[[#This Row],[Unadj Total Value]]-Inventory[[#This Row],[24Final]])/Inventory[[#This Row],[24Final]]</f>
        <v>6.2028499580888519E-2</v>
      </c>
      <c r="BG2170" s="25">
        <f>VLOOKUP(Inventory[[#This Row],[Nbhd]],Lookups!$Q$2:$T$4,4,FALSE)</f>
        <v>0.99970000000000003</v>
      </c>
      <c r="BH2170" s="25">
        <f>VLOOKUP(Inventory[[#This Row],[Qlty]],Lookups!$O$7:$R$21,4,FALSE)</f>
        <v>1.0067999999999999</v>
      </c>
      <c r="BI2170" s="25">
        <f>VLOOKUP(Inventory[[#This Row],[Cnd]],Lookups!$T$7:$W$16,4,FALSE)</f>
        <v>0.99650000000000005</v>
      </c>
      <c r="BJ2170" s="25">
        <f>VLOOKUP(Inventory[[#This Row],[LivArea Range]],Lookups!$T$25:$W$37,4,FALSE)</f>
        <v>0.98919999999999997</v>
      </c>
      <c r="BK2170" s="25">
        <f>VLOOKUP(Inventory[[#This Row],[Decade]],Lookups!$O$25:$R$42,4,FALSE)</f>
        <v>0.96040000000000003</v>
      </c>
      <c r="BL2170" s="25">
        <f>Inventory[[#This Row],[Nbhd Adj]]*0.95</f>
        <v>0.94971499999999998</v>
      </c>
      <c r="BM2170" s="25">
        <f>Inventory[[#This Row],[Nbhd Adj]]*Inventory[[#This Row],[Quality Adj]]*Inventory[[#This Row],[Condition Adj]]*Inventory[[#This Row],[Living Area Adj]]*Inventory[[#This Row],[Decade Adj]]*0.95</f>
        <v>0.90521150770515979</v>
      </c>
      <c r="BN2170" s="25">
        <f>ROUND(SUM(Inventory[[#This Row],[Mdl Qlty]:[Mdl WdDeck]])+Inventory[[#This Row],[Mdl Res Intercept]]*Inventory[[#This Row],[Res Adj ]],-2)</f>
        <v>348300</v>
      </c>
      <c r="BO2170" s="25">
        <f>ROUND(Inventory[[#This Row],[25Det]]*Inventory[[#This Row],[Det/Nbhd Adj]],-2)</f>
        <v>0</v>
      </c>
      <c r="BP2170" s="25">
        <f>Inventory[[#This Row],[Adjusted Res]]+Inventory[[#This Row],[Adj Det ]]</f>
        <v>348300</v>
      </c>
      <c r="BQ2170" s="25">
        <f>ROUND((Inventory[[#This Row],[Mdl Land Intercept]]+Inventory[[#This Row],[Mdl LnAcres]])*Inventory[[#This Row],[Det/Nbhd Adj]],-2)</f>
        <v>30200</v>
      </c>
      <c r="BR2170" s="25">
        <f>Inventory[[#This Row],[Adjusted Impr Total]]+Inventory[[#This Row],[Adjusted Land Total]]</f>
        <v>378500</v>
      </c>
      <c r="BS2170" s="36">
        <f>IFERROR((Inventory[[#This Row],[Adjusted Impr Total]]-Inventory[[#This Row],[24Bldg]])/Inventory[[#This Row],[24Bldg]],0)</f>
        <v>0.13342011064106737</v>
      </c>
      <c r="BT2170" s="36">
        <f>(Inventory[[#This Row],[Adjusted Land Total]]-Inventory[[#This Row],[24Lnd]])/Inventory[[#This Row],[24Lnd]]</f>
        <v>-0.40316205533596838</v>
      </c>
      <c r="BU2170" s="36">
        <f>(Inventory[[#This Row],[Adjusted Total]]-Inventory[[#This Row],[24Final]])/Inventory[[#This Row],[24Final]]</f>
        <v>5.7557977088572229E-2</v>
      </c>
    </row>
    <row r="2171" spans="1:73" x14ac:dyDescent="0.3">
      <c r="A2171" s="25">
        <v>2025</v>
      </c>
      <c r="B2171" s="26" t="s">
        <v>2683</v>
      </c>
      <c r="C2171" s="26">
        <f>LN(Inventory[[#This Row],[Acres]])</f>
        <v>-1.5141277326297755</v>
      </c>
      <c r="D2171" s="25">
        <v>0.22</v>
      </c>
      <c r="E2171" s="25">
        <v>9699</v>
      </c>
      <c r="F2171" s="26" t="s">
        <v>537</v>
      </c>
      <c r="G2171" s="26" t="s">
        <v>126</v>
      </c>
      <c r="H2171" s="26" t="s">
        <v>349</v>
      </c>
      <c r="I2171" s="26" t="s">
        <v>538</v>
      </c>
      <c r="J2171" s="26" t="s">
        <v>539</v>
      </c>
      <c r="K2171" s="26" t="s">
        <v>242</v>
      </c>
      <c r="L2171" s="26" t="s">
        <v>351</v>
      </c>
      <c r="M2171" s="26" t="s">
        <v>323</v>
      </c>
      <c r="N2171" s="26">
        <v>110</v>
      </c>
      <c r="O2171" s="26">
        <f>2024-Inventory[[#This Row],[YrBlt]]</f>
        <v>104</v>
      </c>
      <c r="P2171" s="26">
        <f>2024-Inventory[[#This Row],[EffYr]]</f>
        <v>58</v>
      </c>
      <c r="Q2171" s="25">
        <v>1920</v>
      </c>
      <c r="R2171" s="25">
        <v>1966</v>
      </c>
      <c r="S2171" s="25">
        <v>950</v>
      </c>
      <c r="T2171" s="27"/>
      <c r="U2171" s="27"/>
      <c r="V2171" s="27">
        <f>Inventory[[#This Row],[Bsmt]]-Inventory[[#This Row],[FnBsmt]]</f>
        <v>0</v>
      </c>
      <c r="W2171" s="27"/>
      <c r="X2171" s="27"/>
      <c r="Y2171" s="27">
        <f>Inventory[[#This Row],[MainFn]]+Inventory[[#This Row],[UpprFn]]+Inventory[[#This Row],[FnBsmt]]+Inventory[[#This Row],[AddFn]]</f>
        <v>950</v>
      </c>
      <c r="Z2171" s="27">
        <v>1000</v>
      </c>
      <c r="AA2171" s="25">
        <v>6</v>
      </c>
      <c r="AB2171" s="27"/>
      <c r="AC2171" s="27"/>
      <c r="AD2171" s="27"/>
      <c r="AE2171" s="27"/>
      <c r="AF2171" s="27"/>
      <c r="AG2171" s="27"/>
      <c r="AH2171" s="27"/>
      <c r="AI2171" s="25">
        <v>157187</v>
      </c>
      <c r="AJ2171" s="25">
        <v>97456</v>
      </c>
      <c r="AK2171" s="25">
        <v>0</v>
      </c>
      <c r="AL2171" s="25">
        <v>263700</v>
      </c>
      <c r="AM2171" s="25">
        <v>61700</v>
      </c>
      <c r="AN2171" s="25">
        <v>202000</v>
      </c>
      <c r="AO2171" s="25">
        <v>0</v>
      </c>
      <c r="AP2171" s="25">
        <f>Lookups!$B$56*0</f>
        <v>0</v>
      </c>
      <c r="AQ2171" s="25">
        <f>Lookups!$B$56*1</f>
        <v>89850.625589999996</v>
      </c>
      <c r="AR2171" s="25">
        <f>Lookups!$B$57*Inventory[[#This Row],[LnAcres]]</f>
        <v>-47929.131559187132</v>
      </c>
      <c r="AS2171" s="25">
        <f>VLOOKUP(Inventory[[#This Row],[Qlty]],Lookups!$A$62:$E$75,2,FALSE)</f>
        <v>21557.329055999999</v>
      </c>
      <c r="AT2171" s="25">
        <f>VLOOKUP(Inventory[[#This Row],[Cnd]],Lookups!$A$76:$E$84,2,FALSE)</f>
        <v>160472.20319</v>
      </c>
      <c r="AU2171" s="25">
        <f>Inventory[[#This Row],[EffAge]]*Lookups!$B$85</f>
        <v>-12936.644829000001</v>
      </c>
      <c r="AV2171" s="25">
        <f>Inventory[[#This Row],[MainFn]]*Lookups!$B$86</f>
        <v>46938.236383150004</v>
      </c>
      <c r="AW2171" s="25">
        <f>Inventory[[#This Row],[UpprFn]]*Lookups!$B$87</f>
        <v>0</v>
      </c>
      <c r="AX2171" s="25">
        <f>Inventory[[#This Row],[AddFn]]*Lookups!$B$88</f>
        <v>0</v>
      </c>
      <c r="AY2171" s="25">
        <f>Inventory[[#This Row],[Bsmt]]*Lookups!$B$89</f>
        <v>0</v>
      </c>
      <c r="AZ2171" s="25">
        <f>Inventory[[#This Row],[Fixtures]]*Lookups!$B$90</f>
        <v>22752.132631200002</v>
      </c>
      <c r="BA2171" s="25">
        <f>Inventory[[#This Row],[WdDeck]]*Lookups!$B$91</f>
        <v>0</v>
      </c>
      <c r="BB2171" s="25">
        <f>ROUND(Inventory[[#This Row],[25Det]],-2)</f>
        <v>0</v>
      </c>
      <c r="BC2171" s="25">
        <f>ROUND(SUM(Inventory[[#This Row],[Mdl Qlty]:[Mdl WdDeck]])+Inventory[[#This Row],[Mdl Res Intercept]],-2)</f>
        <v>238800</v>
      </c>
      <c r="BD2171" s="25">
        <f>ROUND(Inventory[[#This Row],[Mdl Land Intercept]]+Inventory[[#This Row],[Mdl LnAcres]],-2)</f>
        <v>41900</v>
      </c>
      <c r="BE2171" s="25">
        <f>Inventory[[#This Row],[Unadj Res Value]]+Inventory[[#This Row],[Unadj Det Value]]+Inventory[[#This Row],[Unadj Land Value]]</f>
        <v>280700</v>
      </c>
      <c r="BF2171" s="36">
        <f>(Inventory[[#This Row],[Unadj Total Value]]-Inventory[[#This Row],[24Final]])/Inventory[[#This Row],[24Final]]</f>
        <v>6.4467197572999624E-2</v>
      </c>
      <c r="BG2171" s="25">
        <f>VLOOKUP(Inventory[[#This Row],[Nbhd]],Lookups!$Q$2:$T$4,4,FALSE)</f>
        <v>0.99970000000000003</v>
      </c>
      <c r="BH2171" s="25">
        <f>VLOOKUP(Inventory[[#This Row],[Qlty]],Lookups!$O$7:$R$21,4,FALSE)</f>
        <v>1.0067999999999999</v>
      </c>
      <c r="BI2171" s="25">
        <f>VLOOKUP(Inventory[[#This Row],[Cnd]],Lookups!$T$7:$W$16,4,FALSE)</f>
        <v>0.99729999999999996</v>
      </c>
      <c r="BJ2171" s="25">
        <f>VLOOKUP(Inventory[[#This Row],[LivArea Range]],Lookups!$T$25:$W$37,4,FALSE)</f>
        <v>1.0148999999999999</v>
      </c>
      <c r="BK2171" s="25">
        <f>VLOOKUP(Inventory[[#This Row],[Decade]],Lookups!$O$25:$R$42,4,FALSE)</f>
        <v>0.96040000000000003</v>
      </c>
      <c r="BL2171" s="25">
        <f>Inventory[[#This Row],[Nbhd Adj]]*0.95</f>
        <v>0.94971499999999998</v>
      </c>
      <c r="BM2171" s="25">
        <f>Inventory[[#This Row],[Nbhd Adj]]*Inventory[[#This Row],[Quality Adj]]*Inventory[[#This Row],[Condition Adj]]*Inventory[[#This Row],[Living Area Adj]]*Inventory[[#This Row],[Decade Adj]]*0.95</f>
        <v>0.92947503021615663</v>
      </c>
      <c r="BN2171" s="25">
        <f>ROUND(SUM(Inventory[[#This Row],[Mdl Qlty]:[Mdl WdDeck]])+Inventory[[#This Row],[Mdl Res Intercept]]*Inventory[[#This Row],[Res Adj ]],-2)</f>
        <v>238800</v>
      </c>
      <c r="BO2171" s="25">
        <f>ROUND(Inventory[[#This Row],[25Det]]*Inventory[[#This Row],[Det/Nbhd Adj]],-2)</f>
        <v>0</v>
      </c>
      <c r="BP2171" s="25">
        <f>Inventory[[#This Row],[Adjusted Res]]+Inventory[[#This Row],[Adj Det ]]</f>
        <v>238800</v>
      </c>
      <c r="BQ2171" s="25">
        <f>ROUND((Inventory[[#This Row],[Mdl Land Intercept]]+Inventory[[#This Row],[Mdl LnAcres]])*Inventory[[#This Row],[Det/Nbhd Adj]],-2)</f>
        <v>39800</v>
      </c>
      <c r="BR2171" s="25">
        <f>Inventory[[#This Row],[Adjusted Impr Total]]+Inventory[[#This Row],[Adjusted Land Total]]</f>
        <v>278600</v>
      </c>
      <c r="BS2171" s="36">
        <f>IFERROR((Inventory[[#This Row],[Adjusted Impr Total]]-Inventory[[#This Row],[24Bldg]])/Inventory[[#This Row],[24Bldg]],0)</f>
        <v>0.18217821782178217</v>
      </c>
      <c r="BT2171" s="36">
        <f>(Inventory[[#This Row],[Adjusted Land Total]]-Inventory[[#This Row],[24Lnd]])/Inventory[[#This Row],[24Lnd]]</f>
        <v>-0.35494327390599678</v>
      </c>
      <c r="BU2171" s="36">
        <f>(Inventory[[#This Row],[Adjusted Total]]-Inventory[[#This Row],[24Final]])/Inventory[[#This Row],[24Final]]</f>
        <v>5.6503602578687903E-2</v>
      </c>
    </row>
    <row r="2172" spans="1:73" x14ac:dyDescent="0.3">
      <c r="A2172" s="25">
        <v>2025</v>
      </c>
      <c r="B2172" s="26" t="s">
        <v>2172</v>
      </c>
      <c r="C2172" s="26">
        <f>LN(Inventory[[#This Row],[Acres]])</f>
        <v>-1.2378743560016174</v>
      </c>
      <c r="D2172" s="25">
        <v>0.28999999999999998</v>
      </c>
      <c r="E2172" s="25">
        <v>12505</v>
      </c>
      <c r="F2172" s="26" t="s">
        <v>537</v>
      </c>
      <c r="G2172" s="26" t="s">
        <v>126</v>
      </c>
      <c r="H2172" s="26" t="s">
        <v>349</v>
      </c>
      <c r="I2172" s="26" t="s">
        <v>538</v>
      </c>
      <c r="J2172" s="26" t="s">
        <v>539</v>
      </c>
      <c r="K2172" s="26" t="s">
        <v>269</v>
      </c>
      <c r="L2172" s="26" t="s">
        <v>351</v>
      </c>
      <c r="M2172" s="26" t="s">
        <v>303</v>
      </c>
      <c r="N2172" s="26">
        <v>110</v>
      </c>
      <c r="O2172" s="26">
        <f>2024-Inventory[[#This Row],[YrBlt]]</f>
        <v>104</v>
      </c>
      <c r="P2172" s="26">
        <f>2024-Inventory[[#This Row],[EffYr]]</f>
        <v>58</v>
      </c>
      <c r="Q2172" s="25">
        <v>1920</v>
      </c>
      <c r="R2172" s="25">
        <v>1966</v>
      </c>
      <c r="S2172" s="25">
        <v>1280</v>
      </c>
      <c r="T2172" s="32">
        <v>510</v>
      </c>
      <c r="U2172" s="32">
        <v>630</v>
      </c>
      <c r="V2172" s="32">
        <f>Inventory[[#This Row],[Bsmt]]-Inventory[[#This Row],[FnBsmt]]</f>
        <v>230</v>
      </c>
      <c r="W2172" s="32">
        <v>400</v>
      </c>
      <c r="X2172" s="27"/>
      <c r="Y2172" s="27">
        <f>Inventory[[#This Row],[MainFn]]+Inventory[[#This Row],[UpprFn]]+Inventory[[#This Row],[FnBsmt]]+Inventory[[#This Row],[AddFn]]</f>
        <v>2190</v>
      </c>
      <c r="Z2172" s="27">
        <v>2500</v>
      </c>
      <c r="AA2172" s="25">
        <v>10</v>
      </c>
      <c r="AB2172" s="27"/>
      <c r="AC2172" s="27"/>
      <c r="AD2172" s="32">
        <v>108</v>
      </c>
      <c r="AE2172" s="27"/>
      <c r="AF2172" s="27"/>
      <c r="AG2172" s="27"/>
      <c r="AH2172" s="27"/>
      <c r="AI2172" s="25">
        <v>328785</v>
      </c>
      <c r="AJ2172" s="25">
        <v>210422</v>
      </c>
      <c r="AK2172" s="25">
        <v>10830</v>
      </c>
      <c r="AL2172" s="25">
        <v>389100</v>
      </c>
      <c r="AM2172" s="25">
        <v>71400</v>
      </c>
      <c r="AN2172" s="25">
        <v>317700</v>
      </c>
      <c r="AO2172" s="25">
        <v>0</v>
      </c>
      <c r="AP2172" s="25">
        <f>Lookups!$B$56*0</f>
        <v>0</v>
      </c>
      <c r="AQ2172" s="25">
        <f>Lookups!$B$56*1</f>
        <v>89850.625589999996</v>
      </c>
      <c r="AR2172" s="25">
        <f>Lookups!$B$57*Inventory[[#This Row],[LnAcres]]</f>
        <v>-39184.437074869042</v>
      </c>
      <c r="AS2172" s="25">
        <f>VLOOKUP(Inventory[[#This Row],[Qlty]],Lookups!$A$62:$E$75,2,FALSE)</f>
        <v>21557.329055999999</v>
      </c>
      <c r="AT2172" s="25">
        <f>VLOOKUP(Inventory[[#This Row],[Cnd]],Lookups!$A$76:$E$84,2,FALSE)</f>
        <v>197752.34721000001</v>
      </c>
      <c r="AU2172" s="25">
        <f>Inventory[[#This Row],[EffAge]]*Lookups!$B$85</f>
        <v>-12936.644829000001</v>
      </c>
      <c r="AV2172" s="25">
        <f>Inventory[[#This Row],[MainFn]]*Lookups!$B$86</f>
        <v>63243.09744256</v>
      </c>
      <c r="AW2172" s="25">
        <f>Inventory[[#This Row],[UpprFn]]*Lookups!$B$87</f>
        <v>22841.07565911</v>
      </c>
      <c r="AX2172" s="25">
        <f>Inventory[[#This Row],[AddFn]]*Lookups!$B$88</f>
        <v>0</v>
      </c>
      <c r="AY2172" s="25">
        <f>Inventory[[#This Row],[Bsmt]]*Lookups!$B$89</f>
        <v>18321.594005610001</v>
      </c>
      <c r="AZ2172" s="25">
        <f>Inventory[[#This Row],[Fixtures]]*Lookups!$B$90</f>
        <v>37920.221052000001</v>
      </c>
      <c r="BA2172" s="25">
        <f>Inventory[[#This Row],[WdDeck]]*Lookups!$B$91</f>
        <v>3595.9156498080001</v>
      </c>
      <c r="BB2172" s="25">
        <f>ROUND(Inventory[[#This Row],[25Det]],-2)</f>
        <v>10800</v>
      </c>
      <c r="BC2172" s="25">
        <f>ROUND(SUM(Inventory[[#This Row],[Mdl Qlty]:[Mdl WdDeck]])+Inventory[[#This Row],[Mdl Res Intercept]],-2)</f>
        <v>352300</v>
      </c>
      <c r="BD2172" s="25">
        <f>ROUND(Inventory[[#This Row],[Mdl Land Intercept]]+Inventory[[#This Row],[Mdl LnAcres]],-2)</f>
        <v>50700</v>
      </c>
      <c r="BE2172" s="25">
        <f>Inventory[[#This Row],[Unadj Res Value]]+Inventory[[#This Row],[Unadj Det Value]]+Inventory[[#This Row],[Unadj Land Value]]</f>
        <v>413800</v>
      </c>
      <c r="BF2172" s="36">
        <f>(Inventory[[#This Row],[Unadj Total Value]]-Inventory[[#This Row],[24Final]])/Inventory[[#This Row],[24Final]]</f>
        <v>6.3479825237728091E-2</v>
      </c>
      <c r="BG2172" s="25">
        <f>VLOOKUP(Inventory[[#This Row],[Nbhd]],Lookups!$Q$2:$T$4,4,FALSE)</f>
        <v>0.99970000000000003</v>
      </c>
      <c r="BH2172" s="25">
        <f>VLOOKUP(Inventory[[#This Row],[Qlty]],Lookups!$O$7:$R$21,4,FALSE)</f>
        <v>1.0067999999999999</v>
      </c>
      <c r="BI2172" s="25">
        <f>VLOOKUP(Inventory[[#This Row],[Cnd]],Lookups!$T$7:$W$16,4,FALSE)</f>
        <v>0.99650000000000005</v>
      </c>
      <c r="BJ2172" s="25">
        <f>VLOOKUP(Inventory[[#This Row],[LivArea Range]],Lookups!$T$25:$W$37,4,FALSE)</f>
        <v>0.98919999999999997</v>
      </c>
      <c r="BK2172" s="25">
        <f>VLOOKUP(Inventory[[#This Row],[Decade]],Lookups!$O$25:$R$42,4,FALSE)</f>
        <v>0.96040000000000003</v>
      </c>
      <c r="BL2172" s="25">
        <f>Inventory[[#This Row],[Nbhd Adj]]*0.95</f>
        <v>0.94971499999999998</v>
      </c>
      <c r="BM2172" s="25">
        <f>Inventory[[#This Row],[Nbhd Adj]]*Inventory[[#This Row],[Quality Adj]]*Inventory[[#This Row],[Condition Adj]]*Inventory[[#This Row],[Living Area Adj]]*Inventory[[#This Row],[Decade Adj]]*0.95</f>
        <v>0.90521150770515979</v>
      </c>
      <c r="BN2172" s="25">
        <f>ROUND(SUM(Inventory[[#This Row],[Mdl Qlty]:[Mdl WdDeck]])+Inventory[[#This Row],[Mdl Res Intercept]]*Inventory[[#This Row],[Res Adj ]],-2)</f>
        <v>352300</v>
      </c>
      <c r="BO2172" s="25">
        <f>ROUND(Inventory[[#This Row],[25Det]]*Inventory[[#This Row],[Det/Nbhd Adj]],-2)</f>
        <v>10300</v>
      </c>
      <c r="BP2172" s="25">
        <f>Inventory[[#This Row],[Adjusted Res]]+Inventory[[#This Row],[Adj Det ]]</f>
        <v>362600</v>
      </c>
      <c r="BQ2172" s="25">
        <f>ROUND((Inventory[[#This Row],[Mdl Land Intercept]]+Inventory[[#This Row],[Mdl LnAcres]])*Inventory[[#This Row],[Det/Nbhd Adj]],-2)</f>
        <v>48100</v>
      </c>
      <c r="BR2172" s="25">
        <f>Inventory[[#This Row],[Adjusted Impr Total]]+Inventory[[#This Row],[Adjusted Land Total]]</f>
        <v>410700</v>
      </c>
      <c r="BS2172" s="36">
        <f>IFERROR((Inventory[[#This Row],[Adjusted Impr Total]]-Inventory[[#This Row],[24Bldg]])/Inventory[[#This Row],[24Bldg]],0)</f>
        <v>0.14132829713566258</v>
      </c>
      <c r="BT2172" s="36">
        <f>(Inventory[[#This Row],[Adjusted Land Total]]-Inventory[[#This Row],[24Lnd]])/Inventory[[#This Row],[24Lnd]]</f>
        <v>-0.32633053221288516</v>
      </c>
      <c r="BU2172" s="36">
        <f>(Inventory[[#This Row],[Adjusted Total]]-Inventory[[#This Row],[24Final]])/Inventory[[#This Row],[24Final]]</f>
        <v>5.5512721665381647E-2</v>
      </c>
    </row>
    <row r="2173" spans="1:73" x14ac:dyDescent="0.3">
      <c r="A2173" s="25">
        <v>2025</v>
      </c>
      <c r="B2173" s="26" t="s">
        <v>2661</v>
      </c>
      <c r="C2173" s="26">
        <f>LN(Inventory[[#This Row],[Acres]])</f>
        <v>-1.8325814637483102</v>
      </c>
      <c r="D2173" s="25">
        <v>0.16</v>
      </c>
      <c r="E2173" s="31"/>
      <c r="F2173" s="26" t="s">
        <v>537</v>
      </c>
      <c r="G2173" s="26" t="s">
        <v>126</v>
      </c>
      <c r="H2173" s="26" t="s">
        <v>349</v>
      </c>
      <c r="I2173" s="26" t="s">
        <v>538</v>
      </c>
      <c r="J2173" s="26" t="s">
        <v>539</v>
      </c>
      <c r="K2173" s="26" t="s">
        <v>269</v>
      </c>
      <c r="L2173" s="26" t="s">
        <v>148</v>
      </c>
      <c r="M2173" s="26" t="s">
        <v>303</v>
      </c>
      <c r="N2173" s="26">
        <v>110</v>
      </c>
      <c r="O2173" s="26">
        <f>2024-Inventory[[#This Row],[YrBlt]]</f>
        <v>104</v>
      </c>
      <c r="P2173" s="26">
        <f>2024-Inventory[[#This Row],[EffYr]]</f>
        <v>58</v>
      </c>
      <c r="Q2173" s="25">
        <v>1920</v>
      </c>
      <c r="R2173" s="25">
        <v>1966</v>
      </c>
      <c r="S2173" s="25">
        <v>1084</v>
      </c>
      <c r="T2173" s="27"/>
      <c r="U2173" s="32">
        <v>1064</v>
      </c>
      <c r="V2173" s="32">
        <f>Inventory[[#This Row],[Bsmt]]-Inventory[[#This Row],[FnBsmt]]</f>
        <v>0</v>
      </c>
      <c r="W2173" s="32">
        <v>1064</v>
      </c>
      <c r="X2173" s="27"/>
      <c r="Y2173" s="27">
        <f>Inventory[[#This Row],[MainFn]]+Inventory[[#This Row],[UpprFn]]+Inventory[[#This Row],[FnBsmt]]+Inventory[[#This Row],[AddFn]]</f>
        <v>2148</v>
      </c>
      <c r="Z2173" s="27">
        <v>2500</v>
      </c>
      <c r="AA2173" s="25">
        <v>9</v>
      </c>
      <c r="AB2173" s="31"/>
      <c r="AC2173" s="27"/>
      <c r="AD2173" s="31"/>
      <c r="AE2173" s="27"/>
      <c r="AF2173" s="27"/>
      <c r="AG2173" s="27"/>
      <c r="AH2173" s="27"/>
      <c r="AI2173" s="25">
        <v>381763</v>
      </c>
      <c r="AJ2173" s="25">
        <v>244328</v>
      </c>
      <c r="AK2173" s="25">
        <v>6724</v>
      </c>
      <c r="AL2173" s="25">
        <v>364500</v>
      </c>
      <c r="AM2173" s="25">
        <v>50600</v>
      </c>
      <c r="AN2173" s="25">
        <v>313900</v>
      </c>
      <c r="AO2173" s="25">
        <v>0</v>
      </c>
      <c r="AP2173" s="25">
        <f>Lookups!$B$56*0</f>
        <v>0</v>
      </c>
      <c r="AQ2173" s="25">
        <f>Lookups!$B$56*1</f>
        <v>89850.625589999996</v>
      </c>
      <c r="AR2173" s="25">
        <f>Lookups!$B$57*Inventory[[#This Row],[LnAcres]]</f>
        <v>-58009.662049032086</v>
      </c>
      <c r="AS2173" s="25">
        <f>VLOOKUP(Inventory[[#This Row],[Qlty]],Lookups!$A$62:$E$75,2,FALSE)</f>
        <v>44121.038090000002</v>
      </c>
      <c r="AT2173" s="25">
        <f>VLOOKUP(Inventory[[#This Row],[Cnd]],Lookups!$A$76:$E$84,2,FALSE)</f>
        <v>197752.34721000001</v>
      </c>
      <c r="AU2173" s="25">
        <f>Inventory[[#This Row],[EffAge]]*Lookups!$B$85</f>
        <v>-12936.644829000001</v>
      </c>
      <c r="AV2173" s="25">
        <f>Inventory[[#This Row],[MainFn]]*Lookups!$B$86</f>
        <v>53558.998146668004</v>
      </c>
      <c r="AW2173" s="25">
        <f>Inventory[[#This Row],[UpprFn]]*Lookups!$B$87</f>
        <v>0</v>
      </c>
      <c r="AX2173" s="25">
        <f>Inventory[[#This Row],[AddFn]]*Lookups!$B$88</f>
        <v>0</v>
      </c>
      <c r="AY2173" s="25">
        <f>Inventory[[#This Row],[Bsmt]]*Lookups!$B$89</f>
        <v>30943.136542807999</v>
      </c>
      <c r="AZ2173" s="25">
        <f>Inventory[[#This Row],[Fixtures]]*Lookups!$B$90</f>
        <v>34128.198946800003</v>
      </c>
      <c r="BA2173" s="25">
        <f>Inventory[[#This Row],[WdDeck]]*Lookups!$B$91</f>
        <v>0</v>
      </c>
      <c r="BB2173" s="25">
        <f>ROUND(Inventory[[#This Row],[25Det]],-2)</f>
        <v>6700</v>
      </c>
      <c r="BC2173" s="25">
        <f>ROUND(SUM(Inventory[[#This Row],[Mdl Qlty]:[Mdl WdDeck]])+Inventory[[#This Row],[Mdl Res Intercept]],-2)</f>
        <v>347600</v>
      </c>
      <c r="BD2173" s="25">
        <f>ROUND(Inventory[[#This Row],[Mdl Land Intercept]]+Inventory[[#This Row],[Mdl LnAcres]],-2)</f>
        <v>31800</v>
      </c>
      <c r="BE2173" s="25">
        <f>Inventory[[#This Row],[Unadj Res Value]]+Inventory[[#This Row],[Unadj Det Value]]+Inventory[[#This Row],[Unadj Land Value]]</f>
        <v>386100</v>
      </c>
      <c r="BF2173" s="36">
        <f>(Inventory[[#This Row],[Unadj Total Value]]-Inventory[[#This Row],[24Final]])/Inventory[[#This Row],[24Final]]</f>
        <v>5.9259259259259262E-2</v>
      </c>
      <c r="BG2173" s="25">
        <f>VLOOKUP(Inventory[[#This Row],[Nbhd]],Lookups!$Q$2:$T$4,4,FALSE)</f>
        <v>0.99970000000000003</v>
      </c>
      <c r="BH2173" s="25">
        <f>VLOOKUP(Inventory[[#This Row],[Qlty]],Lookups!$O$7:$R$21,4,FALSE)</f>
        <v>0.98050000000000004</v>
      </c>
      <c r="BI2173" s="25">
        <f>VLOOKUP(Inventory[[#This Row],[Cnd]],Lookups!$T$7:$W$16,4,FALSE)</f>
        <v>0.99650000000000005</v>
      </c>
      <c r="BJ2173" s="25">
        <f>VLOOKUP(Inventory[[#This Row],[LivArea Range]],Lookups!$T$25:$W$37,4,FALSE)</f>
        <v>0.98919999999999997</v>
      </c>
      <c r="BK2173" s="25">
        <f>VLOOKUP(Inventory[[#This Row],[Decade]],Lookups!$O$25:$R$42,4,FALSE)</f>
        <v>0.96040000000000003</v>
      </c>
      <c r="BL2173" s="25">
        <f>Inventory[[#This Row],[Nbhd Adj]]*0.95</f>
        <v>0.94971499999999998</v>
      </c>
      <c r="BM2173" s="25">
        <f>Inventory[[#This Row],[Nbhd Adj]]*Inventory[[#This Row],[Quality Adj]]*Inventory[[#This Row],[Condition Adj]]*Inventory[[#This Row],[Living Area Adj]]*Inventory[[#This Row],[Decade Adj]]*0.95</f>
        <v>0.88156523967511857</v>
      </c>
      <c r="BN2173" s="25">
        <f>ROUND(SUM(Inventory[[#This Row],[Mdl Qlty]:[Mdl WdDeck]])+Inventory[[#This Row],[Mdl Res Intercept]]*Inventory[[#This Row],[Res Adj ]],-2)</f>
        <v>347600</v>
      </c>
      <c r="BO2173" s="25">
        <f>ROUND(Inventory[[#This Row],[25Det]]*Inventory[[#This Row],[Det/Nbhd Adj]],-2)</f>
        <v>6400</v>
      </c>
      <c r="BP2173" s="25">
        <f>Inventory[[#This Row],[Adjusted Res]]+Inventory[[#This Row],[Adj Det ]]</f>
        <v>354000</v>
      </c>
      <c r="BQ2173" s="25">
        <f>ROUND((Inventory[[#This Row],[Mdl Land Intercept]]+Inventory[[#This Row],[Mdl LnAcres]])*Inventory[[#This Row],[Det/Nbhd Adj]],-2)</f>
        <v>30200</v>
      </c>
      <c r="BR2173" s="25">
        <f>Inventory[[#This Row],[Adjusted Impr Total]]+Inventory[[#This Row],[Adjusted Land Total]]</f>
        <v>384200</v>
      </c>
      <c r="BS2173" s="36">
        <f>IFERROR((Inventory[[#This Row],[Adjusted Impr Total]]-Inventory[[#This Row],[24Bldg]])/Inventory[[#This Row],[24Bldg]],0)</f>
        <v>0.12774769034724434</v>
      </c>
      <c r="BT2173" s="36">
        <f>(Inventory[[#This Row],[Adjusted Land Total]]-Inventory[[#This Row],[24Lnd]])/Inventory[[#This Row],[24Lnd]]</f>
        <v>-0.40316205533596838</v>
      </c>
      <c r="BU2173" s="36">
        <f>(Inventory[[#This Row],[Adjusted Total]]-Inventory[[#This Row],[24Final]])/Inventory[[#This Row],[24Final]]</f>
        <v>5.4046639231824414E-2</v>
      </c>
    </row>
    <row r="2174" spans="1:73" x14ac:dyDescent="0.3">
      <c r="A2174" s="25">
        <v>2025</v>
      </c>
      <c r="B2174" s="26" t="s">
        <v>2222</v>
      </c>
      <c r="C2174" s="26">
        <f>LN(Inventory[[#This Row],[Acres]])</f>
        <v>-1.9661128563728327</v>
      </c>
      <c r="D2174" s="25">
        <v>0.14000000000000001</v>
      </c>
      <c r="E2174" s="27"/>
      <c r="F2174" s="26" t="s">
        <v>537</v>
      </c>
      <c r="G2174" s="26" t="s">
        <v>126</v>
      </c>
      <c r="H2174" s="26" t="s">
        <v>349</v>
      </c>
      <c r="I2174" s="26" t="s">
        <v>538</v>
      </c>
      <c r="J2174" s="26" t="s">
        <v>638</v>
      </c>
      <c r="K2174" s="26" t="s">
        <v>173</v>
      </c>
      <c r="L2174" s="26" t="s">
        <v>351</v>
      </c>
      <c r="M2174" s="26" t="s">
        <v>323</v>
      </c>
      <c r="N2174" s="26">
        <v>110</v>
      </c>
      <c r="O2174" s="26">
        <f>2024-Inventory[[#This Row],[YrBlt]]</f>
        <v>104</v>
      </c>
      <c r="P2174" s="26">
        <f>2024-Inventory[[#This Row],[EffYr]]</f>
        <v>58</v>
      </c>
      <c r="Q2174" s="25">
        <v>1920</v>
      </c>
      <c r="R2174" s="25">
        <v>1966</v>
      </c>
      <c r="S2174" s="25">
        <v>1080</v>
      </c>
      <c r="T2174" s="32">
        <v>522</v>
      </c>
      <c r="U2174" s="25">
        <v>1080</v>
      </c>
      <c r="V2174" s="25">
        <f>Inventory[[#This Row],[Bsmt]]-Inventory[[#This Row],[FnBsmt]]</f>
        <v>540</v>
      </c>
      <c r="W2174" s="25">
        <v>540</v>
      </c>
      <c r="X2174" s="27"/>
      <c r="Y2174" s="27">
        <f>Inventory[[#This Row],[MainFn]]+Inventory[[#This Row],[UpprFn]]+Inventory[[#This Row],[FnBsmt]]+Inventory[[#This Row],[AddFn]]</f>
        <v>2142</v>
      </c>
      <c r="Z2174" s="27">
        <v>2500</v>
      </c>
      <c r="AA2174" s="25">
        <v>8</v>
      </c>
      <c r="AB2174" s="27"/>
      <c r="AC2174" s="27"/>
      <c r="AD2174" s="25">
        <v>120</v>
      </c>
      <c r="AE2174" s="27"/>
      <c r="AF2174" s="27"/>
      <c r="AG2174" s="27"/>
      <c r="AH2174" s="27"/>
      <c r="AI2174" s="25">
        <v>309411</v>
      </c>
      <c r="AJ2174" s="25">
        <v>191835</v>
      </c>
      <c r="AK2174" s="25">
        <v>0</v>
      </c>
      <c r="AL2174" s="25">
        <v>320600</v>
      </c>
      <c r="AM2174" s="25">
        <v>46000</v>
      </c>
      <c r="AN2174" s="25">
        <v>274600</v>
      </c>
      <c r="AO2174" s="25">
        <v>0</v>
      </c>
      <c r="AP2174" s="25">
        <f>Lookups!$B$56*0</f>
        <v>0</v>
      </c>
      <c r="AQ2174" s="25">
        <f>Lookups!$B$56*1</f>
        <v>89850.625589999996</v>
      </c>
      <c r="AR2174" s="25">
        <f>Lookups!$B$57*Inventory[[#This Row],[LnAcres]]</f>
        <v>-62236.546971921947</v>
      </c>
      <c r="AS2174" s="25">
        <f>VLOOKUP(Inventory[[#This Row],[Qlty]],Lookups!$A$62:$E$75,2,FALSE)</f>
        <v>21557.329055999999</v>
      </c>
      <c r="AT2174" s="25">
        <f>VLOOKUP(Inventory[[#This Row],[Cnd]],Lookups!$A$76:$E$84,2,FALSE)</f>
        <v>160472.20319</v>
      </c>
      <c r="AU2174" s="25">
        <f>Inventory[[#This Row],[EffAge]]*Lookups!$B$85</f>
        <v>-12936.644829000001</v>
      </c>
      <c r="AV2174" s="25">
        <f>Inventory[[#This Row],[MainFn]]*Lookups!$B$86</f>
        <v>53361.363467160001</v>
      </c>
      <c r="AW2174" s="25">
        <f>Inventory[[#This Row],[UpprFn]]*Lookups!$B$87</f>
        <v>23378.512733441999</v>
      </c>
      <c r="AX2174" s="25">
        <f>Inventory[[#This Row],[AddFn]]*Lookups!$B$88</f>
        <v>0</v>
      </c>
      <c r="AY2174" s="25">
        <f>Inventory[[#This Row],[Bsmt]]*Lookups!$B$89</f>
        <v>31408.446866759998</v>
      </c>
      <c r="AZ2174" s="25">
        <f>Inventory[[#This Row],[Fixtures]]*Lookups!$B$90</f>
        <v>30336.176841600001</v>
      </c>
      <c r="BA2174" s="25">
        <f>Inventory[[#This Row],[WdDeck]]*Lookups!$B$91</f>
        <v>3995.4618331200004</v>
      </c>
      <c r="BB2174" s="25">
        <f>ROUND(Inventory[[#This Row],[25Det]],-2)</f>
        <v>0</v>
      </c>
      <c r="BC2174" s="25">
        <f>ROUND(SUM(Inventory[[#This Row],[Mdl Qlty]:[Mdl WdDeck]])+Inventory[[#This Row],[Mdl Res Intercept]],-2)</f>
        <v>311600</v>
      </c>
      <c r="BD2174" s="25">
        <f>ROUND(Inventory[[#This Row],[Mdl Land Intercept]]+Inventory[[#This Row],[Mdl LnAcres]],-2)</f>
        <v>27600</v>
      </c>
      <c r="BE2174" s="25">
        <f>Inventory[[#This Row],[Unadj Res Value]]+Inventory[[#This Row],[Unadj Det Value]]+Inventory[[#This Row],[Unadj Land Value]]</f>
        <v>339200</v>
      </c>
      <c r="BF2174" s="36">
        <f>(Inventory[[#This Row],[Unadj Total Value]]-Inventory[[#This Row],[24Final]])/Inventory[[#This Row],[24Final]]</f>
        <v>5.8016219588271987E-2</v>
      </c>
      <c r="BG2174" s="25">
        <f>VLOOKUP(Inventory[[#This Row],[Nbhd]],Lookups!$Q$2:$T$4,4,FALSE)</f>
        <v>0.99970000000000003</v>
      </c>
      <c r="BH2174" s="25">
        <f>VLOOKUP(Inventory[[#This Row],[Qlty]],Lookups!$O$7:$R$21,4,FALSE)</f>
        <v>1.0067999999999999</v>
      </c>
      <c r="BI2174" s="25">
        <f>VLOOKUP(Inventory[[#This Row],[Cnd]],Lookups!$T$7:$W$16,4,FALSE)</f>
        <v>0.99729999999999996</v>
      </c>
      <c r="BJ2174" s="25">
        <f>VLOOKUP(Inventory[[#This Row],[LivArea Range]],Lookups!$T$25:$W$37,4,FALSE)</f>
        <v>0.98919999999999997</v>
      </c>
      <c r="BK2174" s="25">
        <f>VLOOKUP(Inventory[[#This Row],[Decade]],Lookups!$O$25:$R$42,4,FALSE)</f>
        <v>0.96040000000000003</v>
      </c>
      <c r="BL2174" s="25">
        <f>Inventory[[#This Row],[Nbhd Adj]]*0.95</f>
        <v>0.94971499999999998</v>
      </c>
      <c r="BM2174" s="25">
        <f>Inventory[[#This Row],[Nbhd Adj]]*Inventory[[#This Row],[Quality Adj]]*Inventory[[#This Row],[Condition Adj]]*Inventory[[#This Row],[Living Area Adj]]*Inventory[[#This Row],[Decade Adj]]*0.95</f>
        <v>0.90593822040577598</v>
      </c>
      <c r="BN2174" s="25">
        <f>ROUND(SUM(Inventory[[#This Row],[Mdl Qlty]:[Mdl WdDeck]])+Inventory[[#This Row],[Mdl Res Intercept]]*Inventory[[#This Row],[Res Adj ]],-2)</f>
        <v>311600</v>
      </c>
      <c r="BO2174" s="25">
        <f>ROUND(Inventory[[#This Row],[25Det]]*Inventory[[#This Row],[Det/Nbhd Adj]],-2)</f>
        <v>0</v>
      </c>
      <c r="BP2174" s="25">
        <f>Inventory[[#This Row],[Adjusted Res]]+Inventory[[#This Row],[Adj Det ]]</f>
        <v>311600</v>
      </c>
      <c r="BQ2174" s="25">
        <f>ROUND((Inventory[[#This Row],[Mdl Land Intercept]]+Inventory[[#This Row],[Mdl LnAcres]])*Inventory[[#This Row],[Det/Nbhd Adj]],-2)</f>
        <v>26200</v>
      </c>
      <c r="BR2174" s="25">
        <f>Inventory[[#This Row],[Adjusted Impr Total]]+Inventory[[#This Row],[Adjusted Land Total]]</f>
        <v>337800</v>
      </c>
      <c r="BS2174" s="36">
        <f>IFERROR((Inventory[[#This Row],[Adjusted Impr Total]]-Inventory[[#This Row],[24Bldg]])/Inventory[[#This Row],[24Bldg]],0)</f>
        <v>0.1347414420975965</v>
      </c>
      <c r="BT2174" s="36">
        <f>(Inventory[[#This Row],[Adjusted Land Total]]-Inventory[[#This Row],[24Lnd]])/Inventory[[#This Row],[24Lnd]]</f>
        <v>-0.43043478260869567</v>
      </c>
      <c r="BU2174" s="36">
        <f>(Inventory[[#This Row],[Adjusted Total]]-Inventory[[#This Row],[24Final]])/Inventory[[#This Row],[24Final]]</f>
        <v>5.3649407361197755E-2</v>
      </c>
    </row>
    <row r="2175" spans="1:73" x14ac:dyDescent="0.3">
      <c r="A2175" s="25">
        <v>2025</v>
      </c>
      <c r="B2175" s="26" t="s">
        <v>1990</v>
      </c>
      <c r="C2175" s="26">
        <f>LN(Inventory[[#This Row],[Acres]])</f>
        <v>-1.1394342831883648</v>
      </c>
      <c r="D2175" s="25">
        <v>0.32</v>
      </c>
      <c r="E2175" s="27"/>
      <c r="F2175" s="26" t="s">
        <v>537</v>
      </c>
      <c r="G2175" s="26" t="s">
        <v>126</v>
      </c>
      <c r="H2175" s="26" t="s">
        <v>349</v>
      </c>
      <c r="I2175" s="26" t="s">
        <v>538</v>
      </c>
      <c r="J2175" s="26" t="s">
        <v>539</v>
      </c>
      <c r="K2175" s="26" t="s">
        <v>173</v>
      </c>
      <c r="L2175" s="26" t="s">
        <v>148</v>
      </c>
      <c r="M2175" s="26" t="s">
        <v>303</v>
      </c>
      <c r="N2175" s="26">
        <v>110</v>
      </c>
      <c r="O2175" s="26">
        <f>2024-Inventory[[#This Row],[YrBlt]]</f>
        <v>104</v>
      </c>
      <c r="P2175" s="26">
        <f>2024-Inventory[[#This Row],[EffYr]]</f>
        <v>58</v>
      </c>
      <c r="Q2175" s="25">
        <v>1920</v>
      </c>
      <c r="R2175" s="25">
        <v>1966</v>
      </c>
      <c r="S2175" s="25">
        <v>1595</v>
      </c>
      <c r="T2175" s="32">
        <v>752</v>
      </c>
      <c r="U2175" s="32">
        <v>1595</v>
      </c>
      <c r="V2175" s="32">
        <f>Inventory[[#This Row],[Bsmt]]-Inventory[[#This Row],[FnBsmt]]</f>
        <v>301</v>
      </c>
      <c r="W2175" s="32">
        <v>1294</v>
      </c>
      <c r="X2175" s="27"/>
      <c r="Y2175" s="27">
        <f>Inventory[[#This Row],[MainFn]]+Inventory[[#This Row],[UpprFn]]+Inventory[[#This Row],[FnBsmt]]+Inventory[[#This Row],[AddFn]]</f>
        <v>3641</v>
      </c>
      <c r="Z2175" s="27">
        <v>4000</v>
      </c>
      <c r="AA2175" s="25">
        <v>8</v>
      </c>
      <c r="AB2175" s="31"/>
      <c r="AC2175" s="27"/>
      <c r="AD2175" s="27"/>
      <c r="AE2175" s="27"/>
      <c r="AF2175" s="27"/>
      <c r="AG2175" s="27"/>
      <c r="AH2175" s="27"/>
      <c r="AI2175" s="25">
        <v>649629</v>
      </c>
      <c r="AJ2175" s="25">
        <v>415763</v>
      </c>
      <c r="AK2175" s="25">
        <v>12110</v>
      </c>
      <c r="AL2175" s="25">
        <v>457700</v>
      </c>
      <c r="AM2175" s="25">
        <v>74800</v>
      </c>
      <c r="AN2175" s="25">
        <v>382900</v>
      </c>
      <c r="AO2175" s="25">
        <v>0</v>
      </c>
      <c r="AP2175" s="25">
        <f>Lookups!$B$56*0</f>
        <v>0</v>
      </c>
      <c r="AQ2175" s="25">
        <f>Lookups!$B$56*1</f>
        <v>89850.625589999996</v>
      </c>
      <c r="AR2175" s="25">
        <f>Lookups!$B$57*Inventory[[#This Row],[LnAcres]]</f>
        <v>-36068.354396449467</v>
      </c>
      <c r="AS2175" s="25">
        <f>VLOOKUP(Inventory[[#This Row],[Qlty]],Lookups!$A$62:$E$75,2,FALSE)</f>
        <v>44121.038090000002</v>
      </c>
      <c r="AT2175" s="25">
        <f>VLOOKUP(Inventory[[#This Row],[Cnd]],Lookups!$A$76:$E$84,2,FALSE)</f>
        <v>197752.34721000001</v>
      </c>
      <c r="AU2175" s="25">
        <f>Inventory[[#This Row],[EffAge]]*Lookups!$B$85</f>
        <v>-12936.644829000001</v>
      </c>
      <c r="AV2175" s="25">
        <f>Inventory[[#This Row],[MainFn]]*Lookups!$B$86</f>
        <v>78806.828453815004</v>
      </c>
      <c r="AW2175" s="25">
        <f>Inventory[[#This Row],[UpprFn]]*Lookups!$B$87</f>
        <v>33679.389991472002</v>
      </c>
      <c r="AX2175" s="25">
        <f>Inventory[[#This Row],[AddFn]]*Lookups!$B$88</f>
        <v>0</v>
      </c>
      <c r="AY2175" s="25">
        <f>Inventory[[#This Row],[Bsmt]]*Lookups!$B$89</f>
        <v>46385.622918964997</v>
      </c>
      <c r="AZ2175" s="25">
        <f>Inventory[[#This Row],[Fixtures]]*Lookups!$B$90</f>
        <v>30336.176841600001</v>
      </c>
      <c r="BA2175" s="25">
        <f>Inventory[[#This Row],[WdDeck]]*Lookups!$B$91</f>
        <v>0</v>
      </c>
      <c r="BB2175" s="25">
        <f>ROUND(Inventory[[#This Row],[25Det]],-2)</f>
        <v>12100</v>
      </c>
      <c r="BC2175" s="25">
        <f>ROUND(SUM(Inventory[[#This Row],[Mdl Qlty]:[Mdl WdDeck]])+Inventory[[#This Row],[Mdl Res Intercept]],-2)</f>
        <v>418100</v>
      </c>
      <c r="BD2175" s="25">
        <f>ROUND(Inventory[[#This Row],[Mdl Land Intercept]]+Inventory[[#This Row],[Mdl LnAcres]],-2)</f>
        <v>53800</v>
      </c>
      <c r="BE2175" s="25">
        <f>Inventory[[#This Row],[Unadj Res Value]]+Inventory[[#This Row],[Unadj Det Value]]+Inventory[[#This Row],[Unadj Land Value]]</f>
        <v>484000</v>
      </c>
      <c r="BF2175" s="36">
        <f>(Inventory[[#This Row],[Unadj Total Value]]-Inventory[[#This Row],[24Final]])/Inventory[[#This Row],[24Final]]</f>
        <v>5.7461219139174131E-2</v>
      </c>
      <c r="BG2175" s="25">
        <f>VLOOKUP(Inventory[[#This Row],[Nbhd]],Lookups!$Q$2:$T$4,4,FALSE)</f>
        <v>0.99970000000000003</v>
      </c>
      <c r="BH2175" s="25">
        <f>VLOOKUP(Inventory[[#This Row],[Qlty]],Lookups!$O$7:$R$21,4,FALSE)</f>
        <v>0.98050000000000004</v>
      </c>
      <c r="BI2175" s="25">
        <f>VLOOKUP(Inventory[[#This Row],[Cnd]],Lookups!$T$7:$W$16,4,FALSE)</f>
        <v>0.99650000000000005</v>
      </c>
      <c r="BJ2175" s="25">
        <f>VLOOKUP(Inventory[[#This Row],[LivArea Range]],Lookups!$T$25:$W$37,4,FALSE)</f>
        <v>0.94579999999999997</v>
      </c>
      <c r="BK2175" s="25">
        <f>VLOOKUP(Inventory[[#This Row],[Decade]],Lookups!$O$25:$R$42,4,FALSE)</f>
        <v>0.96040000000000003</v>
      </c>
      <c r="BL2175" s="25">
        <f>Inventory[[#This Row],[Nbhd Adj]]*0.95</f>
        <v>0.94971499999999998</v>
      </c>
      <c r="BM2175" s="25">
        <f>Inventory[[#This Row],[Nbhd Adj]]*Inventory[[#This Row],[Quality Adj]]*Inventory[[#This Row],[Condition Adj]]*Inventory[[#This Row],[Living Area Adj]]*Inventory[[#This Row],[Decade Adj]]*0.95</f>
        <v>0.84288758965297927</v>
      </c>
      <c r="BN2175" s="25">
        <f>ROUND(SUM(Inventory[[#This Row],[Mdl Qlty]:[Mdl WdDeck]])+Inventory[[#This Row],[Mdl Res Intercept]]*Inventory[[#This Row],[Res Adj ]],-2)</f>
        <v>418100</v>
      </c>
      <c r="BO2175" s="25">
        <f>ROUND(Inventory[[#This Row],[25Det]]*Inventory[[#This Row],[Det/Nbhd Adj]],-2)</f>
        <v>11500</v>
      </c>
      <c r="BP2175" s="25">
        <f>Inventory[[#This Row],[Adjusted Res]]+Inventory[[#This Row],[Adj Det ]]</f>
        <v>429600</v>
      </c>
      <c r="BQ2175" s="25">
        <f>ROUND((Inventory[[#This Row],[Mdl Land Intercept]]+Inventory[[#This Row],[Mdl LnAcres]])*Inventory[[#This Row],[Det/Nbhd Adj]],-2)</f>
        <v>51100</v>
      </c>
      <c r="BR2175" s="25">
        <f>Inventory[[#This Row],[Adjusted Impr Total]]+Inventory[[#This Row],[Adjusted Land Total]]</f>
        <v>480700</v>
      </c>
      <c r="BS2175" s="36">
        <f>IFERROR((Inventory[[#This Row],[Adjusted Impr Total]]-Inventory[[#This Row],[24Bldg]])/Inventory[[#This Row],[24Bldg]],0)</f>
        <v>0.12196395925829198</v>
      </c>
      <c r="BT2175" s="36">
        <f>(Inventory[[#This Row],[Adjusted Land Total]]-Inventory[[#This Row],[24Lnd]])/Inventory[[#This Row],[24Lnd]]</f>
        <v>-0.31684491978609625</v>
      </c>
      <c r="BU2175" s="36">
        <f>(Inventory[[#This Row],[Adjusted Total]]-Inventory[[#This Row],[24Final]])/Inventory[[#This Row],[24Final]]</f>
        <v>5.0251256281407038E-2</v>
      </c>
    </row>
    <row r="2176" spans="1:73" x14ac:dyDescent="0.3">
      <c r="A2176" s="25">
        <v>2025</v>
      </c>
      <c r="B2176" s="26" t="s">
        <v>774</v>
      </c>
      <c r="C2176" s="26">
        <f>LN(Inventory[[#This Row],[Acres]])</f>
        <v>-1.6094379124341003</v>
      </c>
      <c r="D2176" s="25">
        <v>0.2</v>
      </c>
      <c r="E2176" s="32">
        <v>8916</v>
      </c>
      <c r="F2176" s="26" t="s">
        <v>537</v>
      </c>
      <c r="G2176" s="26" t="s">
        <v>126</v>
      </c>
      <c r="H2176" s="26" t="s">
        <v>349</v>
      </c>
      <c r="I2176" s="26" t="s">
        <v>538</v>
      </c>
      <c r="J2176" s="26" t="s">
        <v>638</v>
      </c>
      <c r="K2176" s="26" t="s">
        <v>269</v>
      </c>
      <c r="L2176" s="26" t="s">
        <v>205</v>
      </c>
      <c r="M2176" s="26" t="s">
        <v>323</v>
      </c>
      <c r="N2176" s="26">
        <v>110</v>
      </c>
      <c r="O2176" s="26">
        <f>2024-Inventory[[#This Row],[YrBlt]]</f>
        <v>104</v>
      </c>
      <c r="P2176" s="26">
        <f>2024-Inventory[[#This Row],[EffYr]]</f>
        <v>58</v>
      </c>
      <c r="Q2176" s="25">
        <v>1920</v>
      </c>
      <c r="R2176" s="25">
        <v>1966</v>
      </c>
      <c r="S2176" s="25">
        <v>816</v>
      </c>
      <c r="T2176" s="27"/>
      <c r="U2176" s="32">
        <v>816</v>
      </c>
      <c r="V2176" s="32">
        <f>Inventory[[#This Row],[Bsmt]]-Inventory[[#This Row],[FnBsmt]]</f>
        <v>816</v>
      </c>
      <c r="W2176" s="27"/>
      <c r="X2176" s="27"/>
      <c r="Y2176" s="27">
        <f>Inventory[[#This Row],[MainFn]]+Inventory[[#This Row],[UpprFn]]+Inventory[[#This Row],[FnBsmt]]+Inventory[[#This Row],[AddFn]]</f>
        <v>816</v>
      </c>
      <c r="Z2176" s="27">
        <v>1000</v>
      </c>
      <c r="AA2176" s="25">
        <v>5</v>
      </c>
      <c r="AB2176" s="32">
        <v>576</v>
      </c>
      <c r="AC2176" s="27"/>
      <c r="AD2176" s="31"/>
      <c r="AE2176" s="27"/>
      <c r="AF2176" s="27"/>
      <c r="AG2176" s="27"/>
      <c r="AH2176" s="27"/>
      <c r="AI2176" s="25">
        <v>195607</v>
      </c>
      <c r="AJ2176" s="25">
        <v>121276</v>
      </c>
      <c r="AK2176" s="25">
        <v>0</v>
      </c>
      <c r="AL2176" s="25">
        <v>254700</v>
      </c>
      <c r="AM2176" s="25">
        <v>58400</v>
      </c>
      <c r="AN2176" s="25">
        <v>196300</v>
      </c>
      <c r="AO2176" s="25">
        <v>0</v>
      </c>
      <c r="AP2176" s="25">
        <f>Lookups!$B$56*0</f>
        <v>0</v>
      </c>
      <c r="AQ2176" s="25">
        <f>Lookups!$B$56*1</f>
        <v>89850.625589999996</v>
      </c>
      <c r="AR2176" s="25">
        <f>Lookups!$B$57*Inventory[[#This Row],[LnAcres]]</f>
        <v>-50946.13867709865</v>
      </c>
      <c r="AS2176" s="25">
        <f>VLOOKUP(Inventory[[#This Row],[Qlty]],Lookups!$A$62:$E$75,2,FALSE)</f>
        <v>0</v>
      </c>
      <c r="AT2176" s="25">
        <f>VLOOKUP(Inventory[[#This Row],[Cnd]],Lookups!$A$76:$E$84,2,FALSE)</f>
        <v>160472.20319</v>
      </c>
      <c r="AU2176" s="25">
        <f>Inventory[[#This Row],[EffAge]]*Lookups!$B$85</f>
        <v>-12936.644829000001</v>
      </c>
      <c r="AV2176" s="25">
        <f>Inventory[[#This Row],[MainFn]]*Lookups!$B$86</f>
        <v>40317.474619631997</v>
      </c>
      <c r="AW2176" s="25">
        <f>Inventory[[#This Row],[UpprFn]]*Lookups!$B$87</f>
        <v>0</v>
      </c>
      <c r="AX2176" s="25">
        <f>Inventory[[#This Row],[AddFn]]*Lookups!$B$88</f>
        <v>0</v>
      </c>
      <c r="AY2176" s="25">
        <f>Inventory[[#This Row],[Bsmt]]*Lookups!$B$89</f>
        <v>23730.826521552</v>
      </c>
      <c r="AZ2176" s="25">
        <f>Inventory[[#This Row],[Fixtures]]*Lookups!$B$90</f>
        <v>18960.110526</v>
      </c>
      <c r="BA2176" s="25">
        <f>Inventory[[#This Row],[WdDeck]]*Lookups!$B$91</f>
        <v>0</v>
      </c>
      <c r="BB2176" s="25">
        <f>ROUND(Inventory[[#This Row],[25Det]],-2)</f>
        <v>0</v>
      </c>
      <c r="BC2176" s="25">
        <f>ROUND(SUM(Inventory[[#This Row],[Mdl Qlty]:[Mdl WdDeck]])+Inventory[[#This Row],[Mdl Res Intercept]],-2)</f>
        <v>230500</v>
      </c>
      <c r="BD2176" s="25">
        <f>ROUND(Inventory[[#This Row],[Mdl Land Intercept]]+Inventory[[#This Row],[Mdl LnAcres]],-2)</f>
        <v>38900</v>
      </c>
      <c r="BE2176" s="25">
        <f>Inventory[[#This Row],[Unadj Res Value]]+Inventory[[#This Row],[Unadj Det Value]]+Inventory[[#This Row],[Unadj Land Value]]</f>
        <v>269400</v>
      </c>
      <c r="BF2176" s="36">
        <f>(Inventory[[#This Row],[Unadj Total Value]]-Inventory[[#This Row],[24Final]])/Inventory[[#This Row],[24Final]]</f>
        <v>5.7714958775029447E-2</v>
      </c>
      <c r="BG2176" s="25">
        <f>VLOOKUP(Inventory[[#This Row],[Nbhd]],Lookups!$Q$2:$T$4,4,FALSE)</f>
        <v>0.99970000000000003</v>
      </c>
      <c r="BH2176" s="25">
        <f>VLOOKUP(Inventory[[#This Row],[Qlty]],Lookups!$O$7:$R$21,4,FALSE)</f>
        <v>0.99180000000000001</v>
      </c>
      <c r="BI2176" s="25">
        <f>VLOOKUP(Inventory[[#This Row],[Cnd]],Lookups!$T$7:$W$16,4,FALSE)</f>
        <v>0.99729999999999996</v>
      </c>
      <c r="BJ2176" s="25">
        <f>VLOOKUP(Inventory[[#This Row],[LivArea Range]],Lookups!$T$25:$W$37,4,FALSE)</f>
        <v>1.0148999999999999</v>
      </c>
      <c r="BK2176" s="25">
        <f>VLOOKUP(Inventory[[#This Row],[Decade]],Lookups!$O$25:$R$42,4,FALSE)</f>
        <v>0.96040000000000003</v>
      </c>
      <c r="BL2176" s="25">
        <f>Inventory[[#This Row],[Nbhd Adj]]*0.95</f>
        <v>0.94971499999999998</v>
      </c>
      <c r="BM2176" s="25">
        <f>Inventory[[#This Row],[Nbhd Adj]]*Inventory[[#This Row],[Quality Adj]]*Inventory[[#This Row],[Condition Adj]]*Inventory[[#This Row],[Living Area Adj]]*Inventory[[#This Row],[Decade Adj]]*0.95</f>
        <v>0.91562707088635698</v>
      </c>
      <c r="BN2176" s="25">
        <f>ROUND(SUM(Inventory[[#This Row],[Mdl Qlty]:[Mdl WdDeck]])+Inventory[[#This Row],[Mdl Res Intercept]]*Inventory[[#This Row],[Res Adj ]],-2)</f>
        <v>230500</v>
      </c>
      <c r="BO2176" s="25">
        <f>ROUND(Inventory[[#This Row],[25Det]]*Inventory[[#This Row],[Det/Nbhd Adj]],-2)</f>
        <v>0</v>
      </c>
      <c r="BP2176" s="25">
        <f>Inventory[[#This Row],[Adjusted Res]]+Inventory[[#This Row],[Adj Det ]]</f>
        <v>230500</v>
      </c>
      <c r="BQ2176" s="25">
        <f>ROUND((Inventory[[#This Row],[Mdl Land Intercept]]+Inventory[[#This Row],[Mdl LnAcres]])*Inventory[[#This Row],[Det/Nbhd Adj]],-2)</f>
        <v>36900</v>
      </c>
      <c r="BR2176" s="25">
        <f>Inventory[[#This Row],[Adjusted Impr Total]]+Inventory[[#This Row],[Adjusted Land Total]]</f>
        <v>267400</v>
      </c>
      <c r="BS2176" s="36">
        <f>IFERROR((Inventory[[#This Row],[Adjusted Impr Total]]-Inventory[[#This Row],[24Bldg]])/Inventory[[#This Row],[24Bldg]],0)</f>
        <v>0.17422312786551197</v>
      </c>
      <c r="BT2176" s="36">
        <f>(Inventory[[#This Row],[Adjusted Land Total]]-Inventory[[#This Row],[24Lnd]])/Inventory[[#This Row],[24Lnd]]</f>
        <v>-0.36815068493150682</v>
      </c>
      <c r="BU2176" s="36">
        <f>(Inventory[[#This Row],[Adjusted Total]]-Inventory[[#This Row],[24Final]])/Inventory[[#This Row],[24Final]]</f>
        <v>4.9862583431488028E-2</v>
      </c>
    </row>
    <row r="2177" spans="1:73" x14ac:dyDescent="0.3">
      <c r="A2177" s="25">
        <v>2025</v>
      </c>
      <c r="B2177" s="26" t="s">
        <v>1935</v>
      </c>
      <c r="C2177" s="26">
        <f>LN(Inventory[[#This Row],[Acres]])</f>
        <v>-1.5141277326297755</v>
      </c>
      <c r="D2177" s="25">
        <v>0.22</v>
      </c>
      <c r="E2177" s="31"/>
      <c r="F2177" s="26" t="s">
        <v>537</v>
      </c>
      <c r="G2177" s="26" t="s">
        <v>126</v>
      </c>
      <c r="H2177" s="26" t="s">
        <v>349</v>
      </c>
      <c r="I2177" s="26" t="s">
        <v>538</v>
      </c>
      <c r="J2177" s="26" t="s">
        <v>539</v>
      </c>
      <c r="K2177" s="26" t="s">
        <v>269</v>
      </c>
      <c r="L2177" s="26" t="s">
        <v>205</v>
      </c>
      <c r="M2177" s="26" t="s">
        <v>303</v>
      </c>
      <c r="N2177" s="26">
        <v>110</v>
      </c>
      <c r="O2177" s="26">
        <f>2024-Inventory[[#This Row],[YrBlt]]</f>
        <v>104</v>
      </c>
      <c r="P2177" s="26">
        <f>2024-Inventory[[#This Row],[EffYr]]</f>
        <v>58</v>
      </c>
      <c r="Q2177" s="25">
        <v>1920</v>
      </c>
      <c r="R2177" s="25">
        <v>1966</v>
      </c>
      <c r="S2177" s="25">
        <v>1232</v>
      </c>
      <c r="T2177" s="27"/>
      <c r="U2177" s="27"/>
      <c r="V2177" s="27">
        <f>Inventory[[#This Row],[Bsmt]]-Inventory[[#This Row],[FnBsmt]]</f>
        <v>0</v>
      </c>
      <c r="W2177" s="27"/>
      <c r="X2177" s="27"/>
      <c r="Y2177" s="27">
        <f>Inventory[[#This Row],[MainFn]]+Inventory[[#This Row],[UpprFn]]+Inventory[[#This Row],[FnBsmt]]+Inventory[[#This Row],[AddFn]]</f>
        <v>1232</v>
      </c>
      <c r="Z2177" s="27">
        <v>1500</v>
      </c>
      <c r="AA2177" s="25">
        <v>8</v>
      </c>
      <c r="AB2177" s="27"/>
      <c r="AC2177" s="27"/>
      <c r="AD2177" s="31"/>
      <c r="AE2177" s="27"/>
      <c r="AF2177" s="27"/>
      <c r="AG2177" s="27"/>
      <c r="AH2177" s="27"/>
      <c r="AI2177" s="25">
        <v>211111</v>
      </c>
      <c r="AJ2177" s="25">
        <v>135111</v>
      </c>
      <c r="AK2177" s="25">
        <v>5642</v>
      </c>
      <c r="AL2177" s="25">
        <v>306400</v>
      </c>
      <c r="AM2177" s="25">
        <v>61700</v>
      </c>
      <c r="AN2177" s="25">
        <v>244700</v>
      </c>
      <c r="AO2177" s="25">
        <v>0</v>
      </c>
      <c r="AP2177" s="25">
        <f>Lookups!$B$56*0</f>
        <v>0</v>
      </c>
      <c r="AQ2177" s="25">
        <f>Lookups!$B$56*1</f>
        <v>89850.625589999996</v>
      </c>
      <c r="AR2177" s="25">
        <f>Lookups!$B$57*Inventory[[#This Row],[LnAcres]]</f>
        <v>-47929.131559187132</v>
      </c>
      <c r="AS2177" s="25">
        <f>VLOOKUP(Inventory[[#This Row],[Qlty]],Lookups!$A$62:$E$75,2,FALSE)</f>
        <v>0</v>
      </c>
      <c r="AT2177" s="25">
        <f>VLOOKUP(Inventory[[#This Row],[Cnd]],Lookups!$A$76:$E$84,2,FALSE)</f>
        <v>197752.34721000001</v>
      </c>
      <c r="AU2177" s="25">
        <f>Inventory[[#This Row],[EffAge]]*Lookups!$B$85</f>
        <v>-12936.644829000001</v>
      </c>
      <c r="AV2177" s="25">
        <f>Inventory[[#This Row],[MainFn]]*Lookups!$B$86</f>
        <v>60871.481288464005</v>
      </c>
      <c r="AW2177" s="25">
        <f>Inventory[[#This Row],[UpprFn]]*Lookups!$B$87</f>
        <v>0</v>
      </c>
      <c r="AX2177" s="25">
        <f>Inventory[[#This Row],[AddFn]]*Lookups!$B$88</f>
        <v>0</v>
      </c>
      <c r="AY2177" s="25">
        <f>Inventory[[#This Row],[Bsmt]]*Lookups!$B$89</f>
        <v>0</v>
      </c>
      <c r="AZ2177" s="25">
        <f>Inventory[[#This Row],[Fixtures]]*Lookups!$B$90</f>
        <v>30336.176841600001</v>
      </c>
      <c r="BA2177" s="25">
        <f>Inventory[[#This Row],[WdDeck]]*Lookups!$B$91</f>
        <v>0</v>
      </c>
      <c r="BB2177" s="25">
        <f>ROUND(Inventory[[#This Row],[25Det]],-2)</f>
        <v>5600</v>
      </c>
      <c r="BC2177" s="25">
        <f>ROUND(SUM(Inventory[[#This Row],[Mdl Qlty]:[Mdl WdDeck]])+Inventory[[#This Row],[Mdl Res Intercept]],-2)</f>
        <v>276000</v>
      </c>
      <c r="BD2177" s="25">
        <f>ROUND(Inventory[[#This Row],[Mdl Land Intercept]]+Inventory[[#This Row],[Mdl LnAcres]],-2)</f>
        <v>41900</v>
      </c>
      <c r="BE2177" s="25">
        <f>Inventory[[#This Row],[Unadj Res Value]]+Inventory[[#This Row],[Unadj Det Value]]+Inventory[[#This Row],[Unadj Land Value]]</f>
        <v>323500</v>
      </c>
      <c r="BF2177" s="36">
        <f>(Inventory[[#This Row],[Unadj Total Value]]-Inventory[[#This Row],[24Final]])/Inventory[[#This Row],[24Final]]</f>
        <v>5.580939947780679E-2</v>
      </c>
      <c r="BG2177" s="25">
        <f>VLOOKUP(Inventory[[#This Row],[Nbhd]],Lookups!$Q$2:$T$4,4,FALSE)</f>
        <v>0.99970000000000003</v>
      </c>
      <c r="BH2177" s="25">
        <f>VLOOKUP(Inventory[[#This Row],[Qlty]],Lookups!$O$7:$R$21,4,FALSE)</f>
        <v>0.99180000000000001</v>
      </c>
      <c r="BI2177" s="25">
        <f>VLOOKUP(Inventory[[#This Row],[Cnd]],Lookups!$T$7:$W$16,4,FALSE)</f>
        <v>0.99650000000000005</v>
      </c>
      <c r="BJ2177" s="25">
        <f>VLOOKUP(Inventory[[#This Row],[LivArea Range]],Lookups!$T$25:$W$37,4,FALSE)</f>
        <v>1.0157</v>
      </c>
      <c r="BK2177" s="25">
        <f>VLOOKUP(Inventory[[#This Row],[Decade]],Lookups!$O$25:$R$42,4,FALSE)</f>
        <v>0.96040000000000003</v>
      </c>
      <c r="BL2177" s="25">
        <f>Inventory[[#This Row],[Nbhd Adj]]*0.95</f>
        <v>0.94971499999999998</v>
      </c>
      <c r="BM2177" s="25">
        <f>Inventory[[#This Row],[Nbhd Adj]]*Inventory[[#This Row],[Quality Adj]]*Inventory[[#This Row],[Condition Adj]]*Inventory[[#This Row],[Living Area Adj]]*Inventory[[#This Row],[Decade Adj]]*0.95</f>
        <v>0.91561375477670459</v>
      </c>
      <c r="BN2177" s="25">
        <f>ROUND(SUM(Inventory[[#This Row],[Mdl Qlty]:[Mdl WdDeck]])+Inventory[[#This Row],[Mdl Res Intercept]]*Inventory[[#This Row],[Res Adj ]],-2)</f>
        <v>276000</v>
      </c>
      <c r="BO2177" s="25">
        <f>ROUND(Inventory[[#This Row],[25Det]]*Inventory[[#This Row],[Det/Nbhd Adj]],-2)</f>
        <v>5400</v>
      </c>
      <c r="BP2177" s="25">
        <f>Inventory[[#This Row],[Adjusted Res]]+Inventory[[#This Row],[Adj Det ]]</f>
        <v>281400</v>
      </c>
      <c r="BQ2177" s="25">
        <f>ROUND((Inventory[[#This Row],[Mdl Land Intercept]]+Inventory[[#This Row],[Mdl LnAcres]])*Inventory[[#This Row],[Det/Nbhd Adj]],-2)</f>
        <v>39800</v>
      </c>
      <c r="BR2177" s="25">
        <f>Inventory[[#This Row],[Adjusted Impr Total]]+Inventory[[#This Row],[Adjusted Land Total]]</f>
        <v>321200</v>
      </c>
      <c r="BS2177" s="36">
        <f>IFERROR((Inventory[[#This Row],[Adjusted Impr Total]]-Inventory[[#This Row],[24Bldg]])/Inventory[[#This Row],[24Bldg]],0)</f>
        <v>0.14997956681651001</v>
      </c>
      <c r="BT2177" s="36">
        <f>(Inventory[[#This Row],[Adjusted Land Total]]-Inventory[[#This Row],[24Lnd]])/Inventory[[#This Row],[24Lnd]]</f>
        <v>-0.35494327390599678</v>
      </c>
      <c r="BU2177" s="36">
        <f>(Inventory[[#This Row],[Adjusted Total]]-Inventory[[#This Row],[24Final]])/Inventory[[#This Row],[24Final]]</f>
        <v>4.8302872062663184E-2</v>
      </c>
    </row>
    <row r="2178" spans="1:73" x14ac:dyDescent="0.3">
      <c r="A2178" s="25">
        <v>2025</v>
      </c>
      <c r="B2178" s="26" t="s">
        <v>1090</v>
      </c>
      <c r="C2178" s="26">
        <f>LN(Inventory[[#This Row],[Acres]])</f>
        <v>-1.0788096613719298</v>
      </c>
      <c r="D2178" s="25">
        <v>0.34</v>
      </c>
      <c r="E2178" s="32">
        <v>14671</v>
      </c>
      <c r="F2178" s="26" t="s">
        <v>537</v>
      </c>
      <c r="G2178" s="26" t="s">
        <v>126</v>
      </c>
      <c r="H2178" s="26" t="s">
        <v>349</v>
      </c>
      <c r="I2178" s="26" t="s">
        <v>538</v>
      </c>
      <c r="J2178" s="26" t="s">
        <v>539</v>
      </c>
      <c r="K2178" s="26" t="s">
        <v>301</v>
      </c>
      <c r="L2178" s="26" t="s">
        <v>148</v>
      </c>
      <c r="M2178" s="26" t="s">
        <v>303</v>
      </c>
      <c r="N2178" s="26">
        <v>110</v>
      </c>
      <c r="O2178" s="26">
        <f>2024-Inventory[[#This Row],[YrBlt]]</f>
        <v>104</v>
      </c>
      <c r="P2178" s="26">
        <f>2024-Inventory[[#This Row],[EffYr]]</f>
        <v>58</v>
      </c>
      <c r="Q2178" s="25">
        <v>1920</v>
      </c>
      <c r="R2178" s="25">
        <v>1966</v>
      </c>
      <c r="S2178" s="25">
        <v>1702</v>
      </c>
      <c r="T2178" s="25">
        <v>1650</v>
      </c>
      <c r="U2178" s="25">
        <v>1590</v>
      </c>
      <c r="V2178" s="32">
        <f>Inventory[[#This Row],[Bsmt]]-Inventory[[#This Row],[FnBsmt]]</f>
        <v>397</v>
      </c>
      <c r="W2178" s="32">
        <v>1193</v>
      </c>
      <c r="X2178" s="27"/>
      <c r="Y2178" s="27">
        <f>Inventory[[#This Row],[MainFn]]+Inventory[[#This Row],[UpprFn]]+Inventory[[#This Row],[FnBsmt]]+Inventory[[#This Row],[AddFn]]</f>
        <v>4545</v>
      </c>
      <c r="Z2178" s="27">
        <v>4500</v>
      </c>
      <c r="AA2178" s="25">
        <v>16</v>
      </c>
      <c r="AB2178" s="27"/>
      <c r="AC2178" s="27"/>
      <c r="AD2178" s="32">
        <v>75</v>
      </c>
      <c r="AE2178" s="27"/>
      <c r="AF2178" s="27"/>
      <c r="AG2178" s="27"/>
      <c r="AH2178" s="27"/>
      <c r="AI2178" s="25">
        <v>772888</v>
      </c>
      <c r="AJ2178" s="25">
        <v>494648</v>
      </c>
      <c r="AK2178" s="25">
        <v>78016</v>
      </c>
      <c r="AL2178" s="25">
        <v>594900</v>
      </c>
      <c r="AM2178" s="25">
        <v>76900</v>
      </c>
      <c r="AN2178" s="25">
        <v>518000</v>
      </c>
      <c r="AO2178" s="25">
        <v>0</v>
      </c>
      <c r="AP2178" s="25">
        <f>Lookups!$B$56*0</f>
        <v>0</v>
      </c>
      <c r="AQ2178" s="25">
        <f>Lookups!$B$56*1</f>
        <v>89850.625589999996</v>
      </c>
      <c r="AR2178" s="25">
        <f>Lookups!$B$57*Inventory[[#This Row],[LnAcres]]</f>
        <v>-34149.305288406773</v>
      </c>
      <c r="AS2178" s="25">
        <f>VLOOKUP(Inventory[[#This Row],[Qlty]],Lookups!$A$62:$E$75,2,FALSE)</f>
        <v>44121.038090000002</v>
      </c>
      <c r="AT2178" s="25">
        <f>VLOOKUP(Inventory[[#This Row],[Cnd]],Lookups!$A$76:$E$84,2,FALSE)</f>
        <v>197752.34721000001</v>
      </c>
      <c r="AU2178" s="25">
        <f>Inventory[[#This Row],[EffAge]]*Lookups!$B$85</f>
        <v>-12936.644829000001</v>
      </c>
      <c r="AV2178" s="25">
        <f>Inventory[[#This Row],[MainFn]]*Lookups!$B$86</f>
        <v>84093.556130654004</v>
      </c>
      <c r="AW2178" s="25">
        <f>Inventory[[#This Row],[UpprFn]]*Lookups!$B$87</f>
        <v>73897.597720649996</v>
      </c>
      <c r="AX2178" s="25">
        <f>Inventory[[#This Row],[AddFn]]*Lookups!$B$88</f>
        <v>0</v>
      </c>
      <c r="AY2178" s="25">
        <f>Inventory[[#This Row],[Bsmt]]*Lookups!$B$89</f>
        <v>46240.213442729997</v>
      </c>
      <c r="AZ2178" s="25">
        <f>Inventory[[#This Row],[Fixtures]]*Lookups!$B$90</f>
        <v>60672.353683200003</v>
      </c>
      <c r="BA2178" s="25">
        <f>Inventory[[#This Row],[WdDeck]]*Lookups!$B$91</f>
        <v>2497.1636457000004</v>
      </c>
      <c r="BB2178" s="25">
        <f>ROUND(Inventory[[#This Row],[25Det]],-2)</f>
        <v>78000</v>
      </c>
      <c r="BC2178" s="25">
        <f>ROUND(SUM(Inventory[[#This Row],[Mdl Qlty]:[Mdl WdDeck]])+Inventory[[#This Row],[Mdl Res Intercept]],-2)</f>
        <v>496300</v>
      </c>
      <c r="BD2178" s="25">
        <f>ROUND(Inventory[[#This Row],[Mdl Land Intercept]]+Inventory[[#This Row],[Mdl LnAcres]],-2)</f>
        <v>55700</v>
      </c>
      <c r="BE2178" s="25">
        <f>Inventory[[#This Row],[Unadj Res Value]]+Inventory[[#This Row],[Unadj Det Value]]+Inventory[[#This Row],[Unadj Land Value]]</f>
        <v>630000</v>
      </c>
      <c r="BF2178" s="36">
        <f>(Inventory[[#This Row],[Unadj Total Value]]-Inventory[[#This Row],[24Final]])/Inventory[[#This Row],[24Final]]</f>
        <v>5.9001512859304085E-2</v>
      </c>
      <c r="BG2178" s="25">
        <f>VLOOKUP(Inventory[[#This Row],[Nbhd]],Lookups!$Q$2:$T$4,4,FALSE)</f>
        <v>0.99970000000000003</v>
      </c>
      <c r="BH2178" s="25">
        <f>VLOOKUP(Inventory[[#This Row],[Qlty]],Lookups!$O$7:$R$21,4,FALSE)</f>
        <v>0.98050000000000004</v>
      </c>
      <c r="BI2178" s="25">
        <f>VLOOKUP(Inventory[[#This Row],[Cnd]],Lookups!$T$7:$W$16,4,FALSE)</f>
        <v>0.99650000000000005</v>
      </c>
      <c r="BJ2178" s="25">
        <f>VLOOKUP(Inventory[[#This Row],[LivArea Range]],Lookups!$T$25:$W$37,4,FALSE)</f>
        <v>1</v>
      </c>
      <c r="BK2178" s="25">
        <f>VLOOKUP(Inventory[[#This Row],[Decade]],Lookups!$O$25:$R$42,4,FALSE)</f>
        <v>0.96040000000000003</v>
      </c>
      <c r="BL2178" s="25">
        <f>Inventory[[#This Row],[Nbhd Adj]]*0.95</f>
        <v>0.94971499999999998</v>
      </c>
      <c r="BM2178" s="25">
        <f>Inventory[[#This Row],[Nbhd Adj]]*Inventory[[#This Row],[Quality Adj]]*Inventory[[#This Row],[Condition Adj]]*Inventory[[#This Row],[Living Area Adj]]*Inventory[[#This Row],[Decade Adj]]*0.95</f>
        <v>0.89119009267601956</v>
      </c>
      <c r="BN2178" s="25">
        <f>ROUND(SUM(Inventory[[#This Row],[Mdl Qlty]:[Mdl WdDeck]])+Inventory[[#This Row],[Mdl Res Intercept]]*Inventory[[#This Row],[Res Adj ]],-2)</f>
        <v>496300</v>
      </c>
      <c r="BO2178" s="25">
        <f>ROUND(Inventory[[#This Row],[25Det]]*Inventory[[#This Row],[Det/Nbhd Adj]],-2)</f>
        <v>74100</v>
      </c>
      <c r="BP2178" s="25">
        <f>Inventory[[#This Row],[Adjusted Res]]+Inventory[[#This Row],[Adj Det ]]</f>
        <v>570400</v>
      </c>
      <c r="BQ2178" s="25">
        <f>ROUND((Inventory[[#This Row],[Mdl Land Intercept]]+Inventory[[#This Row],[Mdl LnAcres]])*Inventory[[#This Row],[Det/Nbhd Adj]],-2)</f>
        <v>52900</v>
      </c>
      <c r="BR2178" s="25">
        <f>Inventory[[#This Row],[Adjusted Impr Total]]+Inventory[[#This Row],[Adjusted Land Total]]</f>
        <v>623300</v>
      </c>
      <c r="BS2178" s="36">
        <f>IFERROR((Inventory[[#This Row],[Adjusted Impr Total]]-Inventory[[#This Row],[24Bldg]])/Inventory[[#This Row],[24Bldg]],0)</f>
        <v>0.10115830115830116</v>
      </c>
      <c r="BT2178" s="36">
        <f>(Inventory[[#This Row],[Adjusted Land Total]]-Inventory[[#This Row],[24Lnd]])/Inventory[[#This Row],[24Lnd]]</f>
        <v>-0.31209362808842656</v>
      </c>
      <c r="BU2178" s="36">
        <f>(Inventory[[#This Row],[Adjusted Total]]-Inventory[[#This Row],[24Final]])/Inventory[[#This Row],[24Final]]</f>
        <v>4.7739115817784498E-2</v>
      </c>
    </row>
    <row r="2179" spans="1:73" x14ac:dyDescent="0.3">
      <c r="A2179" s="25">
        <v>2025</v>
      </c>
      <c r="B2179" s="26" t="s">
        <v>2650</v>
      </c>
      <c r="C2179" s="26">
        <f>LN(Inventory[[#This Row],[Acres]])</f>
        <v>-1.8971199848858813</v>
      </c>
      <c r="D2179" s="25">
        <v>0.15</v>
      </c>
      <c r="E2179" s="25">
        <v>6520</v>
      </c>
      <c r="F2179" s="26" t="s">
        <v>537</v>
      </c>
      <c r="G2179" s="26" t="s">
        <v>126</v>
      </c>
      <c r="H2179" s="26" t="s">
        <v>349</v>
      </c>
      <c r="I2179" s="26" t="s">
        <v>538</v>
      </c>
      <c r="J2179" s="26" t="s">
        <v>539</v>
      </c>
      <c r="K2179" s="26" t="s">
        <v>242</v>
      </c>
      <c r="L2179" s="26" t="s">
        <v>351</v>
      </c>
      <c r="M2179" s="26" t="s">
        <v>323</v>
      </c>
      <c r="N2179" s="26">
        <v>110</v>
      </c>
      <c r="O2179" s="26">
        <f>2024-Inventory[[#This Row],[YrBlt]]</f>
        <v>104</v>
      </c>
      <c r="P2179" s="26">
        <f>2024-Inventory[[#This Row],[EffYr]]</f>
        <v>58</v>
      </c>
      <c r="Q2179" s="25">
        <v>1920</v>
      </c>
      <c r="R2179" s="25">
        <v>1966</v>
      </c>
      <c r="S2179" s="25">
        <v>1298</v>
      </c>
      <c r="T2179" s="31"/>
      <c r="U2179" s="25">
        <v>1066</v>
      </c>
      <c r="V2179" s="32">
        <f>Inventory[[#This Row],[Bsmt]]-Inventory[[#This Row],[FnBsmt]]</f>
        <v>100</v>
      </c>
      <c r="W2179" s="32">
        <v>966</v>
      </c>
      <c r="X2179" s="27"/>
      <c r="Y2179" s="27">
        <f>Inventory[[#This Row],[MainFn]]+Inventory[[#This Row],[UpprFn]]+Inventory[[#This Row],[FnBsmt]]+Inventory[[#This Row],[AddFn]]</f>
        <v>2264</v>
      </c>
      <c r="Z2179" s="27">
        <v>2500</v>
      </c>
      <c r="AA2179" s="25">
        <v>8</v>
      </c>
      <c r="AB2179" s="27"/>
      <c r="AC2179" s="27"/>
      <c r="AD2179" s="32">
        <v>240</v>
      </c>
      <c r="AE2179" s="27"/>
      <c r="AF2179" s="27"/>
      <c r="AG2179" s="27"/>
      <c r="AH2179" s="27"/>
      <c r="AI2179" s="25">
        <v>308888</v>
      </c>
      <c r="AJ2179" s="25">
        <v>191511</v>
      </c>
      <c r="AK2179" s="25">
        <v>5613</v>
      </c>
      <c r="AL2179" s="25">
        <v>321600</v>
      </c>
      <c r="AM2179" s="25">
        <v>48400</v>
      </c>
      <c r="AN2179" s="25">
        <v>273200</v>
      </c>
      <c r="AO2179" s="25">
        <v>0</v>
      </c>
      <c r="AP2179" s="25">
        <f>Lookups!$B$56*0</f>
        <v>0</v>
      </c>
      <c r="AQ2179" s="25">
        <f>Lookups!$B$56*1</f>
        <v>89850.625589999996</v>
      </c>
      <c r="AR2179" s="25">
        <f>Lookups!$B$57*Inventory[[#This Row],[LnAcres]]</f>
        <v>-60052.604136134301</v>
      </c>
      <c r="AS2179" s="25">
        <f>VLOOKUP(Inventory[[#This Row],[Qlty]],Lookups!$A$62:$E$75,2,FALSE)</f>
        <v>21557.329055999999</v>
      </c>
      <c r="AT2179" s="25">
        <f>VLOOKUP(Inventory[[#This Row],[Cnd]],Lookups!$A$76:$E$84,2,FALSE)</f>
        <v>160472.20319</v>
      </c>
      <c r="AU2179" s="25">
        <f>Inventory[[#This Row],[EffAge]]*Lookups!$B$85</f>
        <v>-12936.644829000001</v>
      </c>
      <c r="AV2179" s="25">
        <f>Inventory[[#This Row],[MainFn]]*Lookups!$B$86</f>
        <v>64132.453500346004</v>
      </c>
      <c r="AW2179" s="25">
        <f>Inventory[[#This Row],[UpprFn]]*Lookups!$B$87</f>
        <v>0</v>
      </c>
      <c r="AX2179" s="25">
        <f>Inventory[[#This Row],[AddFn]]*Lookups!$B$88</f>
        <v>0</v>
      </c>
      <c r="AY2179" s="25">
        <f>Inventory[[#This Row],[Bsmt]]*Lookups!$B$89</f>
        <v>31001.300333301999</v>
      </c>
      <c r="AZ2179" s="25">
        <f>Inventory[[#This Row],[Fixtures]]*Lookups!$B$90</f>
        <v>30336.176841600001</v>
      </c>
      <c r="BA2179" s="25">
        <f>Inventory[[#This Row],[WdDeck]]*Lookups!$B$91</f>
        <v>7990.9236662400008</v>
      </c>
      <c r="BB2179" s="25">
        <f>ROUND(Inventory[[#This Row],[25Det]],-2)</f>
        <v>5600</v>
      </c>
      <c r="BC2179" s="25">
        <f>ROUND(SUM(Inventory[[#This Row],[Mdl Qlty]:[Mdl WdDeck]])+Inventory[[#This Row],[Mdl Res Intercept]],-2)</f>
        <v>302600</v>
      </c>
      <c r="BD2179" s="25">
        <f>ROUND(Inventory[[#This Row],[Mdl Land Intercept]]+Inventory[[#This Row],[Mdl LnAcres]],-2)</f>
        <v>29800</v>
      </c>
      <c r="BE2179" s="25">
        <f>Inventory[[#This Row],[Unadj Res Value]]+Inventory[[#This Row],[Unadj Det Value]]+Inventory[[#This Row],[Unadj Land Value]]</f>
        <v>338000</v>
      </c>
      <c r="BF2179" s="36">
        <f>(Inventory[[#This Row],[Unadj Total Value]]-Inventory[[#This Row],[24Final]])/Inventory[[#This Row],[24Final]]</f>
        <v>5.0995024875621887E-2</v>
      </c>
      <c r="BG2179" s="25">
        <f>VLOOKUP(Inventory[[#This Row],[Nbhd]],Lookups!$Q$2:$T$4,4,FALSE)</f>
        <v>0.99970000000000003</v>
      </c>
      <c r="BH2179" s="25">
        <f>VLOOKUP(Inventory[[#This Row],[Qlty]],Lookups!$O$7:$R$21,4,FALSE)</f>
        <v>1.0067999999999999</v>
      </c>
      <c r="BI2179" s="25">
        <f>VLOOKUP(Inventory[[#This Row],[Cnd]],Lookups!$T$7:$W$16,4,FALSE)</f>
        <v>0.99729999999999996</v>
      </c>
      <c r="BJ2179" s="25">
        <f>VLOOKUP(Inventory[[#This Row],[LivArea Range]],Lookups!$T$25:$W$37,4,FALSE)</f>
        <v>0.98919999999999997</v>
      </c>
      <c r="BK2179" s="25">
        <f>VLOOKUP(Inventory[[#This Row],[Decade]],Lookups!$O$25:$R$42,4,FALSE)</f>
        <v>0.96040000000000003</v>
      </c>
      <c r="BL2179" s="25">
        <f>Inventory[[#This Row],[Nbhd Adj]]*0.95</f>
        <v>0.94971499999999998</v>
      </c>
      <c r="BM2179" s="25">
        <f>Inventory[[#This Row],[Nbhd Adj]]*Inventory[[#This Row],[Quality Adj]]*Inventory[[#This Row],[Condition Adj]]*Inventory[[#This Row],[Living Area Adj]]*Inventory[[#This Row],[Decade Adj]]*0.95</f>
        <v>0.90593822040577598</v>
      </c>
      <c r="BN2179" s="25">
        <f>ROUND(SUM(Inventory[[#This Row],[Mdl Qlty]:[Mdl WdDeck]])+Inventory[[#This Row],[Mdl Res Intercept]]*Inventory[[#This Row],[Res Adj ]],-2)</f>
        <v>302600</v>
      </c>
      <c r="BO2179" s="25">
        <f>ROUND(Inventory[[#This Row],[25Det]]*Inventory[[#This Row],[Det/Nbhd Adj]],-2)</f>
        <v>5300</v>
      </c>
      <c r="BP2179" s="25">
        <f>Inventory[[#This Row],[Adjusted Res]]+Inventory[[#This Row],[Adj Det ]]</f>
        <v>307900</v>
      </c>
      <c r="BQ2179" s="25">
        <f>ROUND((Inventory[[#This Row],[Mdl Land Intercept]]+Inventory[[#This Row],[Mdl LnAcres]])*Inventory[[#This Row],[Det/Nbhd Adj]],-2)</f>
        <v>28300</v>
      </c>
      <c r="BR2179" s="25">
        <f>Inventory[[#This Row],[Adjusted Impr Total]]+Inventory[[#This Row],[Adjusted Land Total]]</f>
        <v>336200</v>
      </c>
      <c r="BS2179" s="36">
        <f>IFERROR((Inventory[[#This Row],[Adjusted Impr Total]]-Inventory[[#This Row],[24Bldg]])/Inventory[[#This Row],[24Bldg]],0)</f>
        <v>0.12701317715959004</v>
      </c>
      <c r="BT2179" s="36">
        <f>(Inventory[[#This Row],[Adjusted Land Total]]-Inventory[[#This Row],[24Lnd]])/Inventory[[#This Row],[24Lnd]]</f>
        <v>-0.41528925619834711</v>
      </c>
      <c r="BU2179" s="36">
        <f>(Inventory[[#This Row],[Adjusted Total]]-Inventory[[#This Row],[24Final]])/Inventory[[#This Row],[24Final]]</f>
        <v>4.5398009950248758E-2</v>
      </c>
    </row>
    <row r="2180" spans="1:73" x14ac:dyDescent="0.3">
      <c r="A2180" s="25">
        <v>2025</v>
      </c>
      <c r="B2180" s="26" t="s">
        <v>2067</v>
      </c>
      <c r="C2180" s="26">
        <f>LN(Inventory[[#This Row],[Acres]])</f>
        <v>-1.8325814637483102</v>
      </c>
      <c r="D2180" s="25">
        <v>0.16</v>
      </c>
      <c r="E2180" s="25">
        <v>6805</v>
      </c>
      <c r="F2180" s="26" t="s">
        <v>537</v>
      </c>
      <c r="G2180" s="26" t="s">
        <v>126</v>
      </c>
      <c r="H2180" s="26" t="s">
        <v>349</v>
      </c>
      <c r="I2180" s="26" t="s">
        <v>538</v>
      </c>
      <c r="J2180" s="26" t="s">
        <v>539</v>
      </c>
      <c r="K2180" s="26" t="s">
        <v>269</v>
      </c>
      <c r="L2180" s="26" t="s">
        <v>351</v>
      </c>
      <c r="M2180" s="26" t="s">
        <v>323</v>
      </c>
      <c r="N2180" s="26">
        <v>110</v>
      </c>
      <c r="O2180" s="26">
        <f>2024-Inventory[[#This Row],[YrBlt]]</f>
        <v>104</v>
      </c>
      <c r="P2180" s="26">
        <f>2024-Inventory[[#This Row],[EffYr]]</f>
        <v>58</v>
      </c>
      <c r="Q2180" s="25">
        <v>1920</v>
      </c>
      <c r="R2180" s="25">
        <v>1966</v>
      </c>
      <c r="S2180" s="25">
        <v>1176</v>
      </c>
      <c r="T2180" s="25">
        <v>392</v>
      </c>
      <c r="U2180" s="25">
        <v>1176</v>
      </c>
      <c r="V2180" s="25">
        <f>Inventory[[#This Row],[Bsmt]]-Inventory[[#This Row],[FnBsmt]]</f>
        <v>588</v>
      </c>
      <c r="W2180" s="25">
        <v>588</v>
      </c>
      <c r="X2180" s="27"/>
      <c r="Y2180" s="27">
        <f>Inventory[[#This Row],[MainFn]]+Inventory[[#This Row],[UpprFn]]+Inventory[[#This Row],[FnBsmt]]+Inventory[[#This Row],[AddFn]]</f>
        <v>2156</v>
      </c>
      <c r="Z2180" s="27">
        <v>2500</v>
      </c>
      <c r="AA2180" s="25">
        <v>7</v>
      </c>
      <c r="AB2180" s="32">
        <v>392</v>
      </c>
      <c r="AC2180" s="27"/>
      <c r="AD2180" s="27"/>
      <c r="AE2180" s="27"/>
      <c r="AF2180" s="27"/>
      <c r="AG2180" s="27"/>
      <c r="AH2180" s="27"/>
      <c r="AI2180" s="25">
        <v>323195</v>
      </c>
      <c r="AJ2180" s="25">
        <v>200381</v>
      </c>
      <c r="AK2180" s="25">
        <v>0</v>
      </c>
      <c r="AL2180" s="25">
        <v>323600</v>
      </c>
      <c r="AM2180" s="25">
        <v>50600</v>
      </c>
      <c r="AN2180" s="25">
        <v>273000</v>
      </c>
      <c r="AO2180" s="25">
        <v>0</v>
      </c>
      <c r="AP2180" s="25">
        <f>Lookups!$B$56*0</f>
        <v>0</v>
      </c>
      <c r="AQ2180" s="25">
        <f>Lookups!$B$56*1</f>
        <v>89850.625589999996</v>
      </c>
      <c r="AR2180" s="25">
        <f>Lookups!$B$57*Inventory[[#This Row],[LnAcres]]</f>
        <v>-58009.662049032086</v>
      </c>
      <c r="AS2180" s="25">
        <f>VLOOKUP(Inventory[[#This Row],[Qlty]],Lookups!$A$62:$E$75,2,FALSE)</f>
        <v>21557.329055999999</v>
      </c>
      <c r="AT2180" s="25">
        <f>VLOOKUP(Inventory[[#This Row],[Cnd]],Lookups!$A$76:$E$84,2,FALSE)</f>
        <v>160472.20319</v>
      </c>
      <c r="AU2180" s="25">
        <f>Inventory[[#This Row],[EffAge]]*Lookups!$B$85</f>
        <v>-12936.644829000001</v>
      </c>
      <c r="AV2180" s="25">
        <f>Inventory[[#This Row],[MainFn]]*Lookups!$B$86</f>
        <v>58104.595775351998</v>
      </c>
      <c r="AW2180" s="25">
        <f>Inventory[[#This Row],[UpprFn]]*Lookups!$B$87</f>
        <v>17556.277761511999</v>
      </c>
      <c r="AX2180" s="25">
        <f>Inventory[[#This Row],[AddFn]]*Lookups!$B$88</f>
        <v>0</v>
      </c>
      <c r="AY2180" s="25">
        <f>Inventory[[#This Row],[Bsmt]]*Lookups!$B$89</f>
        <v>34200.308810472001</v>
      </c>
      <c r="AZ2180" s="25">
        <f>Inventory[[#This Row],[Fixtures]]*Lookups!$B$90</f>
        <v>26544.1547364</v>
      </c>
      <c r="BA2180" s="25">
        <f>Inventory[[#This Row],[WdDeck]]*Lookups!$B$91</f>
        <v>0</v>
      </c>
      <c r="BB2180" s="25">
        <f>ROUND(Inventory[[#This Row],[25Det]],-2)</f>
        <v>0</v>
      </c>
      <c r="BC2180" s="25">
        <f>ROUND(SUM(Inventory[[#This Row],[Mdl Qlty]:[Mdl WdDeck]])+Inventory[[#This Row],[Mdl Res Intercept]],-2)</f>
        <v>305500</v>
      </c>
      <c r="BD2180" s="25">
        <f>ROUND(Inventory[[#This Row],[Mdl Land Intercept]]+Inventory[[#This Row],[Mdl LnAcres]],-2)</f>
        <v>31800</v>
      </c>
      <c r="BE2180" s="25">
        <f>Inventory[[#This Row],[Unadj Res Value]]+Inventory[[#This Row],[Unadj Det Value]]+Inventory[[#This Row],[Unadj Land Value]]</f>
        <v>337300</v>
      </c>
      <c r="BF2180" s="36">
        <f>(Inventory[[#This Row],[Unadj Total Value]]-Inventory[[#This Row],[24Final]])/Inventory[[#This Row],[24Final]]</f>
        <v>4.2336217552533993E-2</v>
      </c>
      <c r="BG2180" s="25">
        <f>VLOOKUP(Inventory[[#This Row],[Nbhd]],Lookups!$Q$2:$T$4,4,FALSE)</f>
        <v>0.99970000000000003</v>
      </c>
      <c r="BH2180" s="25">
        <f>VLOOKUP(Inventory[[#This Row],[Qlty]],Lookups!$O$7:$R$21,4,FALSE)</f>
        <v>1.0067999999999999</v>
      </c>
      <c r="BI2180" s="25">
        <f>VLOOKUP(Inventory[[#This Row],[Cnd]],Lookups!$T$7:$W$16,4,FALSE)</f>
        <v>0.99729999999999996</v>
      </c>
      <c r="BJ2180" s="25">
        <f>VLOOKUP(Inventory[[#This Row],[LivArea Range]],Lookups!$T$25:$W$37,4,FALSE)</f>
        <v>0.98919999999999997</v>
      </c>
      <c r="BK2180" s="25">
        <f>VLOOKUP(Inventory[[#This Row],[Decade]],Lookups!$O$25:$R$42,4,FALSE)</f>
        <v>0.96040000000000003</v>
      </c>
      <c r="BL2180" s="25">
        <f>Inventory[[#This Row],[Nbhd Adj]]*0.95</f>
        <v>0.94971499999999998</v>
      </c>
      <c r="BM2180" s="25">
        <f>Inventory[[#This Row],[Nbhd Adj]]*Inventory[[#This Row],[Quality Adj]]*Inventory[[#This Row],[Condition Adj]]*Inventory[[#This Row],[Living Area Adj]]*Inventory[[#This Row],[Decade Adj]]*0.95</f>
        <v>0.90593822040577598</v>
      </c>
      <c r="BN2180" s="25">
        <f>ROUND(SUM(Inventory[[#This Row],[Mdl Qlty]:[Mdl WdDeck]])+Inventory[[#This Row],[Mdl Res Intercept]]*Inventory[[#This Row],[Res Adj ]],-2)</f>
        <v>305500</v>
      </c>
      <c r="BO2180" s="25">
        <f>ROUND(Inventory[[#This Row],[25Det]]*Inventory[[#This Row],[Det/Nbhd Adj]],-2)</f>
        <v>0</v>
      </c>
      <c r="BP2180" s="25">
        <f>Inventory[[#This Row],[Adjusted Res]]+Inventory[[#This Row],[Adj Det ]]</f>
        <v>305500</v>
      </c>
      <c r="BQ2180" s="25">
        <f>ROUND((Inventory[[#This Row],[Mdl Land Intercept]]+Inventory[[#This Row],[Mdl LnAcres]])*Inventory[[#This Row],[Det/Nbhd Adj]],-2)</f>
        <v>30200</v>
      </c>
      <c r="BR2180" s="25">
        <f>Inventory[[#This Row],[Adjusted Impr Total]]+Inventory[[#This Row],[Adjusted Land Total]]</f>
        <v>335700</v>
      </c>
      <c r="BS2180" s="36">
        <f>IFERROR((Inventory[[#This Row],[Adjusted Impr Total]]-Inventory[[#This Row],[24Bldg]])/Inventory[[#This Row],[24Bldg]],0)</f>
        <v>0.11904761904761904</v>
      </c>
      <c r="BT2180" s="36">
        <f>(Inventory[[#This Row],[Adjusted Land Total]]-Inventory[[#This Row],[24Lnd]])/Inventory[[#This Row],[24Lnd]]</f>
        <v>-0.40316205533596838</v>
      </c>
      <c r="BU2180" s="36">
        <f>(Inventory[[#This Row],[Adjusted Total]]-Inventory[[#This Row],[24Final]])/Inventory[[#This Row],[24Final]]</f>
        <v>3.7391841779975281E-2</v>
      </c>
    </row>
    <row r="2181" spans="1:73" x14ac:dyDescent="0.3">
      <c r="A2181" s="25">
        <v>2025</v>
      </c>
      <c r="B2181" s="26" t="s">
        <v>1931</v>
      </c>
      <c r="C2181" s="26">
        <f>LN(Inventory[[#This Row],[Acres]])</f>
        <v>-1.7719568419318752</v>
      </c>
      <c r="D2181" s="25">
        <v>0.17</v>
      </c>
      <c r="E2181" s="32">
        <v>7198</v>
      </c>
      <c r="F2181" s="26" t="s">
        <v>537</v>
      </c>
      <c r="G2181" s="26" t="s">
        <v>126</v>
      </c>
      <c r="H2181" s="26" t="s">
        <v>349</v>
      </c>
      <c r="I2181" s="26" t="s">
        <v>538</v>
      </c>
      <c r="J2181" s="26" t="s">
        <v>539</v>
      </c>
      <c r="K2181" s="26" t="s">
        <v>242</v>
      </c>
      <c r="L2181" s="26" t="s">
        <v>205</v>
      </c>
      <c r="M2181" s="26" t="s">
        <v>303</v>
      </c>
      <c r="N2181" s="26">
        <v>110</v>
      </c>
      <c r="O2181" s="26">
        <f>2024-Inventory[[#This Row],[YrBlt]]</f>
        <v>104</v>
      </c>
      <c r="P2181" s="26">
        <f>2024-Inventory[[#This Row],[EffYr]]</f>
        <v>58</v>
      </c>
      <c r="Q2181" s="25">
        <v>1920</v>
      </c>
      <c r="R2181" s="25">
        <v>1966</v>
      </c>
      <c r="S2181" s="25">
        <v>1187</v>
      </c>
      <c r="T2181" s="27"/>
      <c r="U2181" s="25">
        <v>864</v>
      </c>
      <c r="V2181" s="25">
        <f>Inventory[[#This Row],[Bsmt]]-Inventory[[#This Row],[FnBsmt]]</f>
        <v>0</v>
      </c>
      <c r="W2181" s="25">
        <v>864</v>
      </c>
      <c r="X2181" s="27"/>
      <c r="Y2181" s="27">
        <f>Inventory[[#This Row],[MainFn]]+Inventory[[#This Row],[UpprFn]]+Inventory[[#This Row],[FnBsmt]]+Inventory[[#This Row],[AddFn]]</f>
        <v>2051</v>
      </c>
      <c r="Z2181" s="27">
        <v>2500</v>
      </c>
      <c r="AA2181" s="25">
        <v>7</v>
      </c>
      <c r="AB2181" s="27"/>
      <c r="AC2181" s="27"/>
      <c r="AD2181" s="27"/>
      <c r="AE2181" s="27"/>
      <c r="AF2181" s="27"/>
      <c r="AG2181" s="27"/>
      <c r="AH2181" s="27"/>
      <c r="AI2181" s="25">
        <v>248182</v>
      </c>
      <c r="AJ2181" s="25">
        <v>158836</v>
      </c>
      <c r="AK2181" s="25">
        <v>6480</v>
      </c>
      <c r="AL2181" s="25">
        <v>322100</v>
      </c>
      <c r="AM2181" s="25">
        <v>52700</v>
      </c>
      <c r="AN2181" s="25">
        <v>269400</v>
      </c>
      <c r="AO2181" s="25">
        <v>0</v>
      </c>
      <c r="AP2181" s="25">
        <f>Lookups!$B$56*0</f>
        <v>0</v>
      </c>
      <c r="AQ2181" s="25">
        <f>Lookups!$B$56*1</f>
        <v>89850.625589999996</v>
      </c>
      <c r="AR2181" s="25">
        <f>Lookups!$B$57*Inventory[[#This Row],[LnAcres]]</f>
        <v>-56090.612940989391</v>
      </c>
      <c r="AS2181" s="25">
        <f>VLOOKUP(Inventory[[#This Row],[Qlty]],Lookups!$A$62:$E$75,2,FALSE)</f>
        <v>0</v>
      </c>
      <c r="AT2181" s="25">
        <f>VLOOKUP(Inventory[[#This Row],[Cnd]],Lookups!$A$76:$E$84,2,FALSE)</f>
        <v>197752.34721000001</v>
      </c>
      <c r="AU2181" s="25">
        <f>Inventory[[#This Row],[EffAge]]*Lookups!$B$85</f>
        <v>-12936.644829000001</v>
      </c>
      <c r="AV2181" s="25">
        <f>Inventory[[#This Row],[MainFn]]*Lookups!$B$86</f>
        <v>58648.091143999001</v>
      </c>
      <c r="AW2181" s="25">
        <f>Inventory[[#This Row],[UpprFn]]*Lookups!$B$87</f>
        <v>0</v>
      </c>
      <c r="AX2181" s="25">
        <f>Inventory[[#This Row],[AddFn]]*Lookups!$B$88</f>
        <v>0</v>
      </c>
      <c r="AY2181" s="25">
        <f>Inventory[[#This Row],[Bsmt]]*Lookups!$B$89</f>
        <v>25126.757493408</v>
      </c>
      <c r="AZ2181" s="25">
        <f>Inventory[[#This Row],[Fixtures]]*Lookups!$B$90</f>
        <v>26544.1547364</v>
      </c>
      <c r="BA2181" s="25">
        <f>Inventory[[#This Row],[WdDeck]]*Lookups!$B$91</f>
        <v>0</v>
      </c>
      <c r="BB2181" s="25">
        <f>ROUND(Inventory[[#This Row],[25Det]],-2)</f>
        <v>6500</v>
      </c>
      <c r="BC2181" s="25">
        <f>ROUND(SUM(Inventory[[#This Row],[Mdl Qlty]:[Mdl WdDeck]])+Inventory[[#This Row],[Mdl Res Intercept]],-2)</f>
        <v>295100</v>
      </c>
      <c r="BD2181" s="25">
        <f>ROUND(Inventory[[#This Row],[Mdl Land Intercept]]+Inventory[[#This Row],[Mdl LnAcres]],-2)</f>
        <v>33800</v>
      </c>
      <c r="BE2181" s="25">
        <f>Inventory[[#This Row],[Unadj Res Value]]+Inventory[[#This Row],[Unadj Det Value]]+Inventory[[#This Row],[Unadj Land Value]]</f>
        <v>335400</v>
      </c>
      <c r="BF2181" s="36">
        <f>(Inventory[[#This Row],[Unadj Total Value]]-Inventory[[#This Row],[24Final]])/Inventory[[#This Row],[24Final]]</f>
        <v>4.1291524371313254E-2</v>
      </c>
      <c r="BG2181" s="25">
        <f>VLOOKUP(Inventory[[#This Row],[Nbhd]],Lookups!$Q$2:$T$4,4,FALSE)</f>
        <v>0.99970000000000003</v>
      </c>
      <c r="BH2181" s="25">
        <f>VLOOKUP(Inventory[[#This Row],[Qlty]],Lookups!$O$7:$R$21,4,FALSE)</f>
        <v>0.99180000000000001</v>
      </c>
      <c r="BI2181" s="25">
        <f>VLOOKUP(Inventory[[#This Row],[Cnd]],Lookups!$T$7:$W$16,4,FALSE)</f>
        <v>0.99650000000000005</v>
      </c>
      <c r="BJ2181" s="25">
        <f>VLOOKUP(Inventory[[#This Row],[LivArea Range]],Lookups!$T$25:$W$37,4,FALSE)</f>
        <v>0.98919999999999997</v>
      </c>
      <c r="BK2181" s="25">
        <f>VLOOKUP(Inventory[[#This Row],[Decade]],Lookups!$O$25:$R$42,4,FALSE)</f>
        <v>0.96040000000000003</v>
      </c>
      <c r="BL2181" s="25">
        <f>Inventory[[#This Row],[Nbhd Adj]]*0.95</f>
        <v>0.94971499999999998</v>
      </c>
      <c r="BM2181" s="25">
        <f>Inventory[[#This Row],[Nbhd Adj]]*Inventory[[#This Row],[Quality Adj]]*Inventory[[#This Row],[Condition Adj]]*Inventory[[#This Row],[Living Area Adj]]*Inventory[[#This Row],[Decade Adj]]*0.95</f>
        <v>0.89172504304924294</v>
      </c>
      <c r="BN2181" s="25">
        <f>ROUND(SUM(Inventory[[#This Row],[Mdl Qlty]:[Mdl WdDeck]])+Inventory[[#This Row],[Mdl Res Intercept]]*Inventory[[#This Row],[Res Adj ]],-2)</f>
        <v>295100</v>
      </c>
      <c r="BO2181" s="25">
        <f>ROUND(Inventory[[#This Row],[25Det]]*Inventory[[#This Row],[Det/Nbhd Adj]],-2)</f>
        <v>6200</v>
      </c>
      <c r="BP2181" s="25">
        <f>Inventory[[#This Row],[Adjusted Res]]+Inventory[[#This Row],[Adj Det ]]</f>
        <v>301300</v>
      </c>
      <c r="BQ2181" s="25">
        <f>ROUND((Inventory[[#This Row],[Mdl Land Intercept]]+Inventory[[#This Row],[Mdl LnAcres]])*Inventory[[#This Row],[Det/Nbhd Adj]],-2)</f>
        <v>32100</v>
      </c>
      <c r="BR2181" s="25">
        <f>Inventory[[#This Row],[Adjusted Impr Total]]+Inventory[[#This Row],[Adjusted Land Total]]</f>
        <v>333400</v>
      </c>
      <c r="BS2181" s="36">
        <f>IFERROR((Inventory[[#This Row],[Adjusted Impr Total]]-Inventory[[#This Row],[24Bldg]])/Inventory[[#This Row],[24Bldg]],0)</f>
        <v>0.1184112843355605</v>
      </c>
      <c r="BT2181" s="36">
        <f>(Inventory[[#This Row],[Adjusted Land Total]]-Inventory[[#This Row],[24Lnd]])/Inventory[[#This Row],[24Lnd]]</f>
        <v>-0.39089184060721061</v>
      </c>
      <c r="BU2181" s="36">
        <f>(Inventory[[#This Row],[Adjusted Total]]-Inventory[[#This Row],[24Final]])/Inventory[[#This Row],[24Final]]</f>
        <v>3.5082272586153367E-2</v>
      </c>
    </row>
    <row r="2182" spans="1:73" x14ac:dyDescent="0.3">
      <c r="A2182" s="25">
        <v>2025</v>
      </c>
      <c r="B2182" s="26" t="s">
        <v>1919</v>
      </c>
      <c r="C2182" s="26">
        <f>LN(Inventory[[#This Row],[Acres]])</f>
        <v>-1.5141277326297755</v>
      </c>
      <c r="D2182" s="25">
        <v>0.22</v>
      </c>
      <c r="E2182" s="31"/>
      <c r="F2182" s="26" t="s">
        <v>537</v>
      </c>
      <c r="G2182" s="26" t="s">
        <v>126</v>
      </c>
      <c r="H2182" s="26" t="s">
        <v>349</v>
      </c>
      <c r="I2182" s="26" t="s">
        <v>538</v>
      </c>
      <c r="J2182" s="26" t="s">
        <v>539</v>
      </c>
      <c r="K2182" s="26" t="s">
        <v>416</v>
      </c>
      <c r="L2182" s="26" t="s">
        <v>351</v>
      </c>
      <c r="M2182" s="26" t="s">
        <v>323</v>
      </c>
      <c r="N2182" s="26">
        <v>110</v>
      </c>
      <c r="O2182" s="26">
        <f>2024-Inventory[[#This Row],[YrBlt]]</f>
        <v>104</v>
      </c>
      <c r="P2182" s="26">
        <f>2024-Inventory[[#This Row],[EffYr]]</f>
        <v>58</v>
      </c>
      <c r="Q2182" s="25">
        <v>1920</v>
      </c>
      <c r="R2182" s="25">
        <v>1966</v>
      </c>
      <c r="S2182" s="25">
        <v>1349</v>
      </c>
      <c r="T2182" s="32">
        <v>500</v>
      </c>
      <c r="U2182" s="25">
        <v>485</v>
      </c>
      <c r="V2182" s="25">
        <f>Inventory[[#This Row],[Bsmt]]-Inventory[[#This Row],[FnBsmt]]</f>
        <v>485</v>
      </c>
      <c r="W2182" s="31"/>
      <c r="X2182" s="27"/>
      <c r="Y2182" s="27">
        <f>Inventory[[#This Row],[MainFn]]+Inventory[[#This Row],[UpprFn]]+Inventory[[#This Row],[FnBsmt]]+Inventory[[#This Row],[AddFn]]</f>
        <v>1849</v>
      </c>
      <c r="Z2182" s="27">
        <v>2000</v>
      </c>
      <c r="AA2182" s="25">
        <v>7</v>
      </c>
      <c r="AB2182" s="31"/>
      <c r="AC2182" s="27"/>
      <c r="AD2182" s="27"/>
      <c r="AE2182" s="27"/>
      <c r="AF2182" s="27"/>
      <c r="AG2182" s="27"/>
      <c r="AH2182" s="27"/>
      <c r="AI2182" s="25">
        <v>294291</v>
      </c>
      <c r="AJ2182" s="25">
        <v>182460</v>
      </c>
      <c r="AK2182" s="25">
        <v>7573</v>
      </c>
      <c r="AL2182" s="25">
        <v>334700</v>
      </c>
      <c r="AM2182" s="25">
        <v>61700</v>
      </c>
      <c r="AN2182" s="25">
        <v>273000</v>
      </c>
      <c r="AO2182" s="25">
        <v>0</v>
      </c>
      <c r="AP2182" s="25">
        <f>Lookups!$B$56*0</f>
        <v>0</v>
      </c>
      <c r="AQ2182" s="25">
        <f>Lookups!$B$56*1</f>
        <v>89850.625589999996</v>
      </c>
      <c r="AR2182" s="25">
        <f>Lookups!$B$57*Inventory[[#This Row],[LnAcres]]</f>
        <v>-47929.131559187132</v>
      </c>
      <c r="AS2182" s="25">
        <f>VLOOKUP(Inventory[[#This Row],[Qlty]],Lookups!$A$62:$E$75,2,FALSE)</f>
        <v>21557.329055999999</v>
      </c>
      <c r="AT2182" s="25">
        <f>VLOOKUP(Inventory[[#This Row],[Cnd]],Lookups!$A$76:$E$84,2,FALSE)</f>
        <v>160472.20319</v>
      </c>
      <c r="AU2182" s="25">
        <f>Inventory[[#This Row],[EffAge]]*Lookups!$B$85</f>
        <v>-12936.644829000001</v>
      </c>
      <c r="AV2182" s="25">
        <f>Inventory[[#This Row],[MainFn]]*Lookups!$B$86</f>
        <v>66652.295664072997</v>
      </c>
      <c r="AW2182" s="25">
        <f>Inventory[[#This Row],[UpprFn]]*Lookups!$B$87</f>
        <v>22393.2114305</v>
      </c>
      <c r="AX2182" s="25">
        <f>Inventory[[#This Row],[AddFn]]*Lookups!$B$88</f>
        <v>0</v>
      </c>
      <c r="AY2182" s="25">
        <f>Inventory[[#This Row],[Bsmt]]*Lookups!$B$89</f>
        <v>14104.719194795</v>
      </c>
      <c r="AZ2182" s="25">
        <f>Inventory[[#This Row],[Fixtures]]*Lookups!$B$90</f>
        <v>26544.1547364</v>
      </c>
      <c r="BA2182" s="25">
        <f>Inventory[[#This Row],[WdDeck]]*Lookups!$B$91</f>
        <v>0</v>
      </c>
      <c r="BB2182" s="25">
        <f>ROUND(Inventory[[#This Row],[25Det]],-2)</f>
        <v>7600</v>
      </c>
      <c r="BC2182" s="25">
        <f>ROUND(SUM(Inventory[[#This Row],[Mdl Qlty]:[Mdl WdDeck]])+Inventory[[#This Row],[Mdl Res Intercept]],-2)</f>
        <v>298800</v>
      </c>
      <c r="BD2182" s="25">
        <f>ROUND(Inventory[[#This Row],[Mdl Land Intercept]]+Inventory[[#This Row],[Mdl LnAcres]],-2)</f>
        <v>41900</v>
      </c>
      <c r="BE2182" s="25">
        <f>Inventory[[#This Row],[Unadj Res Value]]+Inventory[[#This Row],[Unadj Det Value]]+Inventory[[#This Row],[Unadj Land Value]]</f>
        <v>348300</v>
      </c>
      <c r="BF2182" s="36">
        <f>(Inventory[[#This Row],[Unadj Total Value]]-Inventory[[#This Row],[24Final]])/Inventory[[#This Row],[24Final]]</f>
        <v>4.0633403047505227E-2</v>
      </c>
      <c r="BG2182" s="25">
        <f>VLOOKUP(Inventory[[#This Row],[Nbhd]],Lookups!$Q$2:$T$4,4,FALSE)</f>
        <v>0.99970000000000003</v>
      </c>
      <c r="BH2182" s="25">
        <f>VLOOKUP(Inventory[[#This Row],[Qlty]],Lookups!$O$7:$R$21,4,FALSE)</f>
        <v>1.0067999999999999</v>
      </c>
      <c r="BI2182" s="25">
        <f>VLOOKUP(Inventory[[#This Row],[Cnd]],Lookups!$T$7:$W$16,4,FALSE)</f>
        <v>0.99729999999999996</v>
      </c>
      <c r="BJ2182" s="25">
        <f>VLOOKUP(Inventory[[#This Row],[LivArea Range]],Lookups!$T$25:$W$37,4,FALSE)</f>
        <v>1.0093000000000001</v>
      </c>
      <c r="BK2182" s="25">
        <f>VLOOKUP(Inventory[[#This Row],[Decade]],Lookups!$O$25:$R$42,4,FALSE)</f>
        <v>0.96040000000000003</v>
      </c>
      <c r="BL2182" s="25">
        <f>Inventory[[#This Row],[Nbhd Adj]]*0.95</f>
        <v>0.94971499999999998</v>
      </c>
      <c r="BM2182" s="25">
        <f>Inventory[[#This Row],[Nbhd Adj]]*Inventory[[#This Row],[Quality Adj]]*Inventory[[#This Row],[Condition Adj]]*Inventory[[#This Row],[Living Area Adj]]*Inventory[[#This Row],[Decade Adj]]*0.95</f>
        <v>0.92434638683335013</v>
      </c>
      <c r="BN2182" s="25">
        <f>ROUND(SUM(Inventory[[#This Row],[Mdl Qlty]:[Mdl WdDeck]])+Inventory[[#This Row],[Mdl Res Intercept]]*Inventory[[#This Row],[Res Adj ]],-2)</f>
        <v>298800</v>
      </c>
      <c r="BO2182" s="25">
        <f>ROUND(Inventory[[#This Row],[25Det]]*Inventory[[#This Row],[Det/Nbhd Adj]],-2)</f>
        <v>7200</v>
      </c>
      <c r="BP2182" s="25">
        <f>Inventory[[#This Row],[Adjusted Res]]+Inventory[[#This Row],[Adj Det ]]</f>
        <v>306000</v>
      </c>
      <c r="BQ2182" s="25">
        <f>ROUND((Inventory[[#This Row],[Mdl Land Intercept]]+Inventory[[#This Row],[Mdl LnAcres]])*Inventory[[#This Row],[Det/Nbhd Adj]],-2)</f>
        <v>39800</v>
      </c>
      <c r="BR2182" s="25">
        <f>Inventory[[#This Row],[Adjusted Impr Total]]+Inventory[[#This Row],[Adjusted Land Total]]</f>
        <v>345800</v>
      </c>
      <c r="BS2182" s="36">
        <f>IFERROR((Inventory[[#This Row],[Adjusted Impr Total]]-Inventory[[#This Row],[24Bldg]])/Inventory[[#This Row],[24Bldg]],0)</f>
        <v>0.12087912087912088</v>
      </c>
      <c r="BT2182" s="36">
        <f>(Inventory[[#This Row],[Adjusted Land Total]]-Inventory[[#This Row],[24Lnd]])/Inventory[[#This Row],[24Lnd]]</f>
        <v>-0.35494327390599678</v>
      </c>
      <c r="BU2182" s="36">
        <f>(Inventory[[#This Row],[Adjusted Total]]-Inventory[[#This Row],[24Final]])/Inventory[[#This Row],[24Final]]</f>
        <v>3.3164027487302059E-2</v>
      </c>
    </row>
    <row r="2183" spans="1:73" x14ac:dyDescent="0.3">
      <c r="A2183" s="25">
        <v>2025</v>
      </c>
      <c r="B2183" s="26" t="s">
        <v>2581</v>
      </c>
      <c r="C2183" s="26">
        <f>LN(Inventory[[#This Row],[Acres]])</f>
        <v>-1.2378743560016174</v>
      </c>
      <c r="D2183" s="25">
        <v>0.28999999999999998</v>
      </c>
      <c r="E2183" s="25">
        <v>12815</v>
      </c>
      <c r="F2183" s="26" t="s">
        <v>537</v>
      </c>
      <c r="G2183" s="26" t="s">
        <v>126</v>
      </c>
      <c r="H2183" s="26" t="s">
        <v>349</v>
      </c>
      <c r="I2183" s="26" t="s">
        <v>538</v>
      </c>
      <c r="J2183" s="26" t="s">
        <v>539</v>
      </c>
      <c r="K2183" s="26" t="s">
        <v>269</v>
      </c>
      <c r="L2183" s="26" t="s">
        <v>205</v>
      </c>
      <c r="M2183" s="26" t="s">
        <v>323</v>
      </c>
      <c r="N2183" s="26">
        <v>110</v>
      </c>
      <c r="O2183" s="26">
        <f>2024-Inventory[[#This Row],[YrBlt]]</f>
        <v>104</v>
      </c>
      <c r="P2183" s="26">
        <f>2024-Inventory[[#This Row],[EffYr]]</f>
        <v>58</v>
      </c>
      <c r="Q2183" s="25">
        <v>1920</v>
      </c>
      <c r="R2183" s="25">
        <v>1966</v>
      </c>
      <c r="S2183" s="25">
        <v>1552</v>
      </c>
      <c r="T2183" s="32">
        <v>430</v>
      </c>
      <c r="U2183" s="25">
        <v>1364</v>
      </c>
      <c r="V2183" s="25">
        <f>Inventory[[#This Row],[Bsmt]]-Inventory[[#This Row],[FnBsmt]]</f>
        <v>1364</v>
      </c>
      <c r="W2183" s="25">
        <v>0</v>
      </c>
      <c r="X2183" s="27"/>
      <c r="Y2183" s="27">
        <f>Inventory[[#This Row],[MainFn]]+Inventory[[#This Row],[UpprFn]]+Inventory[[#This Row],[FnBsmt]]+Inventory[[#This Row],[AddFn]]</f>
        <v>1982</v>
      </c>
      <c r="Z2183" s="27">
        <v>2000</v>
      </c>
      <c r="AA2183" s="25">
        <v>10</v>
      </c>
      <c r="AB2183" s="27"/>
      <c r="AC2183" s="27"/>
      <c r="AD2183" s="27"/>
      <c r="AE2183" s="27"/>
      <c r="AF2183" s="27"/>
      <c r="AG2183" s="27"/>
      <c r="AH2183" s="27"/>
      <c r="AI2183" s="25">
        <v>338344</v>
      </c>
      <c r="AJ2183" s="25">
        <v>209773</v>
      </c>
      <c r="AK2183" s="25">
        <v>35172</v>
      </c>
      <c r="AL2183" s="25">
        <v>389700</v>
      </c>
      <c r="AM2183" s="25">
        <v>71400</v>
      </c>
      <c r="AN2183" s="25">
        <v>318300</v>
      </c>
      <c r="AO2183" s="25">
        <v>0</v>
      </c>
      <c r="AP2183" s="25">
        <f>Lookups!$B$56*0</f>
        <v>0</v>
      </c>
      <c r="AQ2183" s="25">
        <f>Lookups!$B$56*1</f>
        <v>89850.625589999996</v>
      </c>
      <c r="AR2183" s="25">
        <f>Lookups!$B$57*Inventory[[#This Row],[LnAcres]]</f>
        <v>-39184.437074869042</v>
      </c>
      <c r="AS2183" s="25">
        <f>VLOOKUP(Inventory[[#This Row],[Qlty]],Lookups!$A$62:$E$75,2,FALSE)</f>
        <v>0</v>
      </c>
      <c r="AT2183" s="25">
        <f>VLOOKUP(Inventory[[#This Row],[Cnd]],Lookups!$A$76:$E$84,2,FALSE)</f>
        <v>160472.20319</v>
      </c>
      <c r="AU2183" s="25">
        <f>Inventory[[#This Row],[EffAge]]*Lookups!$B$85</f>
        <v>-12936.644829000001</v>
      </c>
      <c r="AV2183" s="25">
        <f>Inventory[[#This Row],[MainFn]]*Lookups!$B$86</f>
        <v>76682.255649104001</v>
      </c>
      <c r="AW2183" s="25">
        <f>Inventory[[#This Row],[UpprFn]]*Lookups!$B$87</f>
        <v>19258.161830229998</v>
      </c>
      <c r="AX2183" s="25">
        <f>Inventory[[#This Row],[AddFn]]*Lookups!$B$88</f>
        <v>0</v>
      </c>
      <c r="AY2183" s="25">
        <f>Inventory[[#This Row],[Bsmt]]*Lookups!$B$89</f>
        <v>39667.705116908</v>
      </c>
      <c r="AZ2183" s="25">
        <f>Inventory[[#This Row],[Fixtures]]*Lookups!$B$90</f>
        <v>37920.221052000001</v>
      </c>
      <c r="BA2183" s="25">
        <f>Inventory[[#This Row],[WdDeck]]*Lookups!$B$91</f>
        <v>0</v>
      </c>
      <c r="BB2183" s="25">
        <f>ROUND(Inventory[[#This Row],[25Det]],-2)</f>
        <v>35200</v>
      </c>
      <c r="BC2183" s="25">
        <f>ROUND(SUM(Inventory[[#This Row],[Mdl Qlty]:[Mdl WdDeck]])+Inventory[[#This Row],[Mdl Res Intercept]],-2)</f>
        <v>321100</v>
      </c>
      <c r="BD2183" s="25">
        <f>ROUND(Inventory[[#This Row],[Mdl Land Intercept]]+Inventory[[#This Row],[Mdl LnAcres]],-2)</f>
        <v>50700</v>
      </c>
      <c r="BE2183" s="25">
        <f>Inventory[[#This Row],[Unadj Res Value]]+Inventory[[#This Row],[Unadj Det Value]]+Inventory[[#This Row],[Unadj Land Value]]</f>
        <v>407000</v>
      </c>
      <c r="BF2183" s="36">
        <f>(Inventory[[#This Row],[Unadj Total Value]]-Inventory[[#This Row],[24Final]])/Inventory[[#This Row],[24Final]]</f>
        <v>4.4393122915062866E-2</v>
      </c>
      <c r="BG2183" s="25">
        <f>VLOOKUP(Inventory[[#This Row],[Nbhd]],Lookups!$Q$2:$T$4,4,FALSE)</f>
        <v>0.99970000000000003</v>
      </c>
      <c r="BH2183" s="25">
        <f>VLOOKUP(Inventory[[#This Row],[Qlty]],Lookups!$O$7:$R$21,4,FALSE)</f>
        <v>0.99180000000000001</v>
      </c>
      <c r="BI2183" s="25">
        <f>VLOOKUP(Inventory[[#This Row],[Cnd]],Lookups!$T$7:$W$16,4,FALSE)</f>
        <v>0.99729999999999996</v>
      </c>
      <c r="BJ2183" s="25">
        <f>VLOOKUP(Inventory[[#This Row],[LivArea Range]],Lookups!$T$25:$W$37,4,FALSE)</f>
        <v>1.0093000000000001</v>
      </c>
      <c r="BK2183" s="25">
        <f>VLOOKUP(Inventory[[#This Row],[Decade]],Lookups!$O$25:$R$42,4,FALSE)</f>
        <v>0.96040000000000003</v>
      </c>
      <c r="BL2183" s="25">
        <f>Inventory[[#This Row],[Nbhd Adj]]*0.95</f>
        <v>0.94971499999999998</v>
      </c>
      <c r="BM2183" s="25">
        <f>Inventory[[#This Row],[Nbhd Adj]]*Inventory[[#This Row],[Quality Adj]]*Inventory[[#This Row],[Condition Adj]]*Inventory[[#This Row],[Living Area Adj]]*Inventory[[#This Row],[Decade Adj]]*0.95</f>
        <v>0.91057483756586888</v>
      </c>
      <c r="BN2183" s="25">
        <f>ROUND(SUM(Inventory[[#This Row],[Mdl Qlty]:[Mdl WdDeck]])+Inventory[[#This Row],[Mdl Res Intercept]]*Inventory[[#This Row],[Res Adj ]],-2)</f>
        <v>321100</v>
      </c>
      <c r="BO2183" s="25">
        <f>ROUND(Inventory[[#This Row],[25Det]]*Inventory[[#This Row],[Det/Nbhd Adj]],-2)</f>
        <v>33400</v>
      </c>
      <c r="BP2183" s="25">
        <f>Inventory[[#This Row],[Adjusted Res]]+Inventory[[#This Row],[Adj Det ]]</f>
        <v>354500</v>
      </c>
      <c r="BQ2183" s="25">
        <f>ROUND((Inventory[[#This Row],[Mdl Land Intercept]]+Inventory[[#This Row],[Mdl LnAcres]])*Inventory[[#This Row],[Det/Nbhd Adj]],-2)</f>
        <v>48100</v>
      </c>
      <c r="BR2183" s="25">
        <f>Inventory[[#This Row],[Adjusted Impr Total]]+Inventory[[#This Row],[Adjusted Land Total]]</f>
        <v>402600</v>
      </c>
      <c r="BS2183" s="36">
        <f>IFERROR((Inventory[[#This Row],[Adjusted Impr Total]]-Inventory[[#This Row],[24Bldg]])/Inventory[[#This Row],[24Bldg]],0)</f>
        <v>0.1137291863022306</v>
      </c>
      <c r="BT2183" s="36">
        <f>(Inventory[[#This Row],[Adjusted Land Total]]-Inventory[[#This Row],[24Lnd]])/Inventory[[#This Row],[24Lnd]]</f>
        <v>-0.32633053221288516</v>
      </c>
      <c r="BU2183" s="36">
        <f>(Inventory[[#This Row],[Adjusted Total]]-Inventory[[#This Row],[24Final]])/Inventory[[#This Row],[24Final]]</f>
        <v>3.3102386451116246E-2</v>
      </c>
    </row>
    <row r="2184" spans="1:73" x14ac:dyDescent="0.3">
      <c r="A2184" s="25">
        <v>2025</v>
      </c>
      <c r="B2184" s="26" t="s">
        <v>1231</v>
      </c>
      <c r="C2184" s="26">
        <f>LN(Inventory[[#This Row],[Acres]])</f>
        <v>-1.6607312068216509</v>
      </c>
      <c r="D2184" s="25">
        <v>0.19</v>
      </c>
      <c r="E2184" s="32">
        <v>8158</v>
      </c>
      <c r="F2184" s="26" t="s">
        <v>537</v>
      </c>
      <c r="G2184" s="26" t="s">
        <v>126</v>
      </c>
      <c r="H2184" s="26" t="s">
        <v>349</v>
      </c>
      <c r="I2184" s="26" t="s">
        <v>538</v>
      </c>
      <c r="J2184" s="26" t="s">
        <v>539</v>
      </c>
      <c r="K2184" s="26" t="s">
        <v>269</v>
      </c>
      <c r="L2184" s="26" t="s">
        <v>351</v>
      </c>
      <c r="M2184" s="26" t="s">
        <v>303</v>
      </c>
      <c r="N2184" s="26">
        <v>110</v>
      </c>
      <c r="O2184" s="26">
        <f>2024-Inventory[[#This Row],[YrBlt]]</f>
        <v>104</v>
      </c>
      <c r="P2184" s="26">
        <f>2024-Inventory[[#This Row],[EffYr]]</f>
        <v>58</v>
      </c>
      <c r="Q2184" s="25">
        <v>1920</v>
      </c>
      <c r="R2184" s="25">
        <v>1966</v>
      </c>
      <c r="S2184" s="25">
        <v>1288</v>
      </c>
      <c r="T2184" s="31"/>
      <c r="U2184" s="25">
        <v>1112</v>
      </c>
      <c r="V2184" s="25">
        <f>Inventory[[#This Row],[Bsmt]]-Inventory[[#This Row],[FnBsmt]]</f>
        <v>0</v>
      </c>
      <c r="W2184" s="25">
        <v>1112</v>
      </c>
      <c r="X2184" s="27"/>
      <c r="Y2184" s="27">
        <f>Inventory[[#This Row],[MainFn]]+Inventory[[#This Row],[UpprFn]]+Inventory[[#This Row],[FnBsmt]]+Inventory[[#This Row],[AddFn]]</f>
        <v>2400</v>
      </c>
      <c r="Z2184" s="27">
        <v>2500</v>
      </c>
      <c r="AA2184" s="25">
        <v>9</v>
      </c>
      <c r="AB2184" s="27"/>
      <c r="AC2184" s="27"/>
      <c r="AD2184" s="27"/>
      <c r="AE2184" s="27"/>
      <c r="AF2184" s="27"/>
      <c r="AG2184" s="27"/>
      <c r="AH2184" s="27"/>
      <c r="AI2184" s="25">
        <v>312564</v>
      </c>
      <c r="AJ2184" s="25">
        <v>200041</v>
      </c>
      <c r="AK2184" s="25">
        <v>9486</v>
      </c>
      <c r="AL2184" s="25">
        <v>368800</v>
      </c>
      <c r="AM2184" s="25">
        <v>56600</v>
      </c>
      <c r="AN2184" s="25">
        <v>312200</v>
      </c>
      <c r="AO2184" s="25">
        <v>0</v>
      </c>
      <c r="AP2184" s="25">
        <f>Lookups!$B$56*0</f>
        <v>0</v>
      </c>
      <c r="AQ2184" s="25">
        <f>Lookups!$B$56*1</f>
        <v>89850.625589999996</v>
      </c>
      <c r="AR2184" s="25">
        <f>Lookups!$B$57*Inventory[[#This Row],[LnAcres]]</f>
        <v>-52569.808201026557</v>
      </c>
      <c r="AS2184" s="25">
        <f>VLOOKUP(Inventory[[#This Row],[Qlty]],Lookups!$A$62:$E$75,2,FALSE)</f>
        <v>21557.329055999999</v>
      </c>
      <c r="AT2184" s="25">
        <f>VLOOKUP(Inventory[[#This Row],[Cnd]],Lookups!$A$76:$E$84,2,FALSE)</f>
        <v>197752.34721000001</v>
      </c>
      <c r="AU2184" s="25">
        <f>Inventory[[#This Row],[EffAge]]*Lookups!$B$85</f>
        <v>-12936.644829000001</v>
      </c>
      <c r="AV2184" s="25">
        <f>Inventory[[#This Row],[MainFn]]*Lookups!$B$86</f>
        <v>63638.366801576005</v>
      </c>
      <c r="AW2184" s="25">
        <f>Inventory[[#This Row],[UpprFn]]*Lookups!$B$87</f>
        <v>0</v>
      </c>
      <c r="AX2184" s="25">
        <f>Inventory[[#This Row],[AddFn]]*Lookups!$B$88</f>
        <v>0</v>
      </c>
      <c r="AY2184" s="25">
        <f>Inventory[[#This Row],[Bsmt]]*Lookups!$B$89</f>
        <v>32339.067514663999</v>
      </c>
      <c r="AZ2184" s="25">
        <f>Inventory[[#This Row],[Fixtures]]*Lookups!$B$90</f>
        <v>34128.198946800003</v>
      </c>
      <c r="BA2184" s="25">
        <f>Inventory[[#This Row],[WdDeck]]*Lookups!$B$91</f>
        <v>0</v>
      </c>
      <c r="BB2184" s="25">
        <f>ROUND(Inventory[[#This Row],[25Det]],-2)</f>
        <v>9500</v>
      </c>
      <c r="BC2184" s="25">
        <f>ROUND(SUM(Inventory[[#This Row],[Mdl Qlty]:[Mdl WdDeck]])+Inventory[[#This Row],[Mdl Res Intercept]],-2)</f>
        <v>336500</v>
      </c>
      <c r="BD2184" s="25">
        <f>ROUND(Inventory[[#This Row],[Mdl Land Intercept]]+Inventory[[#This Row],[Mdl LnAcres]],-2)</f>
        <v>37300</v>
      </c>
      <c r="BE2184" s="25">
        <f>Inventory[[#This Row],[Unadj Res Value]]+Inventory[[#This Row],[Unadj Det Value]]+Inventory[[#This Row],[Unadj Land Value]]</f>
        <v>383300</v>
      </c>
      <c r="BF2184" s="36">
        <f>(Inventory[[#This Row],[Unadj Total Value]]-Inventory[[#This Row],[24Final]])/Inventory[[#This Row],[24Final]]</f>
        <v>3.9316702819956618E-2</v>
      </c>
      <c r="BG2184" s="25">
        <f>VLOOKUP(Inventory[[#This Row],[Nbhd]],Lookups!$Q$2:$T$4,4,FALSE)</f>
        <v>0.99970000000000003</v>
      </c>
      <c r="BH2184" s="25">
        <f>VLOOKUP(Inventory[[#This Row],[Qlty]],Lookups!$O$7:$R$21,4,FALSE)</f>
        <v>1.0067999999999999</v>
      </c>
      <c r="BI2184" s="25">
        <f>VLOOKUP(Inventory[[#This Row],[Cnd]],Lookups!$T$7:$W$16,4,FALSE)</f>
        <v>0.99650000000000005</v>
      </c>
      <c r="BJ2184" s="25">
        <f>VLOOKUP(Inventory[[#This Row],[LivArea Range]],Lookups!$T$25:$W$37,4,FALSE)</f>
        <v>0.98919999999999997</v>
      </c>
      <c r="BK2184" s="25">
        <f>VLOOKUP(Inventory[[#This Row],[Decade]],Lookups!$O$25:$R$42,4,FALSE)</f>
        <v>0.96040000000000003</v>
      </c>
      <c r="BL2184" s="25">
        <f>Inventory[[#This Row],[Nbhd Adj]]*0.95</f>
        <v>0.94971499999999998</v>
      </c>
      <c r="BM2184" s="25">
        <f>Inventory[[#This Row],[Nbhd Adj]]*Inventory[[#This Row],[Quality Adj]]*Inventory[[#This Row],[Condition Adj]]*Inventory[[#This Row],[Living Area Adj]]*Inventory[[#This Row],[Decade Adj]]*0.95</f>
        <v>0.90521150770515979</v>
      </c>
      <c r="BN2184" s="25">
        <f>ROUND(SUM(Inventory[[#This Row],[Mdl Qlty]:[Mdl WdDeck]])+Inventory[[#This Row],[Mdl Res Intercept]]*Inventory[[#This Row],[Res Adj ]],-2)</f>
        <v>336500</v>
      </c>
      <c r="BO2184" s="25">
        <f>ROUND(Inventory[[#This Row],[25Det]]*Inventory[[#This Row],[Det/Nbhd Adj]],-2)</f>
        <v>9000</v>
      </c>
      <c r="BP2184" s="25">
        <f>Inventory[[#This Row],[Adjusted Res]]+Inventory[[#This Row],[Adj Det ]]</f>
        <v>345500</v>
      </c>
      <c r="BQ2184" s="25">
        <f>ROUND((Inventory[[#This Row],[Mdl Land Intercept]]+Inventory[[#This Row],[Mdl LnAcres]])*Inventory[[#This Row],[Det/Nbhd Adj]],-2)</f>
        <v>35400</v>
      </c>
      <c r="BR2184" s="25">
        <f>Inventory[[#This Row],[Adjusted Impr Total]]+Inventory[[#This Row],[Adjusted Land Total]]</f>
        <v>380900</v>
      </c>
      <c r="BS2184" s="36">
        <f>IFERROR((Inventory[[#This Row],[Adjusted Impr Total]]-Inventory[[#This Row],[24Bldg]])/Inventory[[#This Row],[24Bldg]],0)</f>
        <v>0.10666239590006406</v>
      </c>
      <c r="BT2184" s="36">
        <f>(Inventory[[#This Row],[Adjusted Land Total]]-Inventory[[#This Row],[24Lnd]])/Inventory[[#This Row],[24Lnd]]</f>
        <v>-0.37455830388692579</v>
      </c>
      <c r="BU2184" s="36">
        <f>(Inventory[[#This Row],[Adjusted Total]]-Inventory[[#This Row],[24Final]])/Inventory[[#This Row],[24Final]]</f>
        <v>3.2809110629067245E-2</v>
      </c>
    </row>
    <row r="2185" spans="1:73" x14ac:dyDescent="0.3">
      <c r="A2185" s="25">
        <v>2025</v>
      </c>
      <c r="B2185" s="26" t="s">
        <v>2238</v>
      </c>
      <c r="C2185" s="26">
        <f>LN(Inventory[[#This Row],[Acres]])</f>
        <v>-1.7147984280919266</v>
      </c>
      <c r="D2185" s="25">
        <v>0.18</v>
      </c>
      <c r="E2185" s="31"/>
      <c r="F2185" s="26" t="s">
        <v>537</v>
      </c>
      <c r="G2185" s="26" t="s">
        <v>126</v>
      </c>
      <c r="H2185" s="26" t="s">
        <v>349</v>
      </c>
      <c r="I2185" s="26" t="s">
        <v>538</v>
      </c>
      <c r="J2185" s="26" t="s">
        <v>539</v>
      </c>
      <c r="K2185" s="26" t="s">
        <v>269</v>
      </c>
      <c r="L2185" s="26" t="s">
        <v>351</v>
      </c>
      <c r="M2185" s="26" t="s">
        <v>323</v>
      </c>
      <c r="N2185" s="26">
        <v>110</v>
      </c>
      <c r="O2185" s="26">
        <f>2024-Inventory[[#This Row],[YrBlt]]</f>
        <v>104</v>
      </c>
      <c r="P2185" s="26">
        <f>2024-Inventory[[#This Row],[EffYr]]</f>
        <v>58</v>
      </c>
      <c r="Q2185" s="25">
        <v>1920</v>
      </c>
      <c r="R2185" s="25">
        <v>1966</v>
      </c>
      <c r="S2185" s="25">
        <v>1247</v>
      </c>
      <c r="T2185" s="27"/>
      <c r="U2185" s="25">
        <v>1247</v>
      </c>
      <c r="V2185" s="25">
        <f>Inventory[[#This Row],[Bsmt]]-Inventory[[#This Row],[FnBsmt]]</f>
        <v>615</v>
      </c>
      <c r="W2185" s="25">
        <v>632</v>
      </c>
      <c r="X2185" s="27"/>
      <c r="Y2185" s="27">
        <f>Inventory[[#This Row],[MainFn]]+Inventory[[#This Row],[UpprFn]]+Inventory[[#This Row],[FnBsmt]]+Inventory[[#This Row],[AddFn]]</f>
        <v>1879</v>
      </c>
      <c r="Z2185" s="27">
        <v>2000</v>
      </c>
      <c r="AA2185" s="25">
        <v>8</v>
      </c>
      <c r="AB2185" s="25">
        <v>504</v>
      </c>
      <c r="AC2185" s="27"/>
      <c r="AD2185" s="27"/>
      <c r="AE2185" s="27"/>
      <c r="AF2185" s="27"/>
      <c r="AG2185" s="27"/>
      <c r="AH2185" s="27"/>
      <c r="AI2185" s="25">
        <v>306877</v>
      </c>
      <c r="AJ2185" s="25">
        <v>190264</v>
      </c>
      <c r="AK2185" s="25">
        <v>0</v>
      </c>
      <c r="AL2185" s="25">
        <v>322500</v>
      </c>
      <c r="AM2185" s="25">
        <v>54700</v>
      </c>
      <c r="AN2185" s="25">
        <v>267800</v>
      </c>
      <c r="AO2185" s="25">
        <v>0</v>
      </c>
      <c r="AP2185" s="25">
        <f>Lookups!$B$56*0</f>
        <v>0</v>
      </c>
      <c r="AQ2185" s="25">
        <f>Lookups!$B$56*1</f>
        <v>89850.625589999996</v>
      </c>
      <c r="AR2185" s="25">
        <f>Lookups!$B$57*Inventory[[#This Row],[LnAcres]]</f>
        <v>-54281.285314520763</v>
      </c>
      <c r="AS2185" s="25">
        <f>VLOOKUP(Inventory[[#This Row],[Qlty]],Lookups!$A$62:$E$75,2,FALSE)</f>
        <v>21557.329055999999</v>
      </c>
      <c r="AT2185" s="25">
        <f>VLOOKUP(Inventory[[#This Row],[Cnd]],Lookups!$A$76:$E$84,2,FALSE)</f>
        <v>160472.20319</v>
      </c>
      <c r="AU2185" s="25">
        <f>Inventory[[#This Row],[EffAge]]*Lookups!$B$85</f>
        <v>-12936.644829000001</v>
      </c>
      <c r="AV2185" s="25">
        <f>Inventory[[#This Row],[MainFn]]*Lookups!$B$86</f>
        <v>61612.611336619004</v>
      </c>
      <c r="AW2185" s="25">
        <f>Inventory[[#This Row],[UpprFn]]*Lookups!$B$87</f>
        <v>0</v>
      </c>
      <c r="AX2185" s="25">
        <f>Inventory[[#This Row],[AddFn]]*Lookups!$B$88</f>
        <v>0</v>
      </c>
      <c r="AY2185" s="25">
        <f>Inventory[[#This Row],[Bsmt]]*Lookups!$B$89</f>
        <v>36265.123373008995</v>
      </c>
      <c r="AZ2185" s="25">
        <f>Inventory[[#This Row],[Fixtures]]*Lookups!$B$90</f>
        <v>30336.176841600001</v>
      </c>
      <c r="BA2185" s="25">
        <f>Inventory[[#This Row],[WdDeck]]*Lookups!$B$91</f>
        <v>0</v>
      </c>
      <c r="BB2185" s="25">
        <f>ROUND(Inventory[[#This Row],[25Det]],-2)</f>
        <v>0</v>
      </c>
      <c r="BC2185" s="25">
        <f>ROUND(SUM(Inventory[[#This Row],[Mdl Qlty]:[Mdl WdDeck]])+Inventory[[#This Row],[Mdl Res Intercept]],-2)</f>
        <v>297300</v>
      </c>
      <c r="BD2185" s="25">
        <f>ROUND(Inventory[[#This Row],[Mdl Land Intercept]]+Inventory[[#This Row],[Mdl LnAcres]],-2)</f>
        <v>35600</v>
      </c>
      <c r="BE2185" s="25">
        <f>Inventory[[#This Row],[Unadj Res Value]]+Inventory[[#This Row],[Unadj Det Value]]+Inventory[[#This Row],[Unadj Land Value]]</f>
        <v>332900</v>
      </c>
      <c r="BF2185" s="36">
        <f>(Inventory[[#This Row],[Unadj Total Value]]-Inventory[[#This Row],[24Final]])/Inventory[[#This Row],[24Final]]</f>
        <v>3.2248062015503877E-2</v>
      </c>
      <c r="BG2185" s="25">
        <f>VLOOKUP(Inventory[[#This Row],[Nbhd]],Lookups!$Q$2:$T$4,4,FALSE)</f>
        <v>0.99970000000000003</v>
      </c>
      <c r="BH2185" s="25">
        <f>VLOOKUP(Inventory[[#This Row],[Qlty]],Lookups!$O$7:$R$21,4,FALSE)</f>
        <v>1.0067999999999999</v>
      </c>
      <c r="BI2185" s="25">
        <f>VLOOKUP(Inventory[[#This Row],[Cnd]],Lookups!$T$7:$W$16,4,FALSE)</f>
        <v>0.99729999999999996</v>
      </c>
      <c r="BJ2185" s="25">
        <f>VLOOKUP(Inventory[[#This Row],[LivArea Range]],Lookups!$T$25:$W$37,4,FALSE)</f>
        <v>1.0093000000000001</v>
      </c>
      <c r="BK2185" s="25">
        <f>VLOOKUP(Inventory[[#This Row],[Decade]],Lookups!$O$25:$R$42,4,FALSE)</f>
        <v>0.96040000000000003</v>
      </c>
      <c r="BL2185" s="25">
        <f>Inventory[[#This Row],[Nbhd Adj]]*0.95</f>
        <v>0.94971499999999998</v>
      </c>
      <c r="BM2185" s="25">
        <f>Inventory[[#This Row],[Nbhd Adj]]*Inventory[[#This Row],[Quality Adj]]*Inventory[[#This Row],[Condition Adj]]*Inventory[[#This Row],[Living Area Adj]]*Inventory[[#This Row],[Decade Adj]]*0.95</f>
        <v>0.92434638683335013</v>
      </c>
      <c r="BN2185" s="25">
        <f>ROUND(SUM(Inventory[[#This Row],[Mdl Qlty]:[Mdl WdDeck]])+Inventory[[#This Row],[Mdl Res Intercept]]*Inventory[[#This Row],[Res Adj ]],-2)</f>
        <v>297300</v>
      </c>
      <c r="BO2185" s="25">
        <f>ROUND(Inventory[[#This Row],[25Det]]*Inventory[[#This Row],[Det/Nbhd Adj]],-2)</f>
        <v>0</v>
      </c>
      <c r="BP2185" s="25">
        <f>Inventory[[#This Row],[Adjusted Res]]+Inventory[[#This Row],[Adj Det ]]</f>
        <v>297300</v>
      </c>
      <c r="BQ2185" s="25">
        <f>ROUND((Inventory[[#This Row],[Mdl Land Intercept]]+Inventory[[#This Row],[Mdl LnAcres]])*Inventory[[#This Row],[Det/Nbhd Adj]],-2)</f>
        <v>33800</v>
      </c>
      <c r="BR2185" s="25">
        <f>Inventory[[#This Row],[Adjusted Impr Total]]+Inventory[[#This Row],[Adjusted Land Total]]</f>
        <v>331100</v>
      </c>
      <c r="BS2185" s="36">
        <f>IFERROR((Inventory[[#This Row],[Adjusted Impr Total]]-Inventory[[#This Row],[24Bldg]])/Inventory[[#This Row],[24Bldg]],0)</f>
        <v>0.11015683345780433</v>
      </c>
      <c r="BT2185" s="36">
        <f>(Inventory[[#This Row],[Adjusted Land Total]]-Inventory[[#This Row],[24Lnd]])/Inventory[[#This Row],[24Lnd]]</f>
        <v>-0.38208409506398539</v>
      </c>
      <c r="BU2185" s="36">
        <f>(Inventory[[#This Row],[Adjusted Total]]-Inventory[[#This Row],[24Final]])/Inventory[[#This Row],[24Final]]</f>
        <v>2.6666666666666668E-2</v>
      </c>
    </row>
    <row r="2186" spans="1:73" x14ac:dyDescent="0.3">
      <c r="A2186" s="25">
        <v>2025</v>
      </c>
      <c r="B2186" s="26" t="s">
        <v>2705</v>
      </c>
      <c r="C2186" s="26">
        <f>LN(Inventory[[#This Row],[Acres]])</f>
        <v>-1.2729656758128873</v>
      </c>
      <c r="D2186" s="25">
        <v>0.28000000000000003</v>
      </c>
      <c r="E2186" s="27"/>
      <c r="F2186" s="26" t="s">
        <v>537</v>
      </c>
      <c r="G2186" s="26" t="s">
        <v>126</v>
      </c>
      <c r="H2186" s="26" t="s">
        <v>349</v>
      </c>
      <c r="I2186" s="26" t="s">
        <v>538</v>
      </c>
      <c r="J2186" s="26" t="s">
        <v>539</v>
      </c>
      <c r="K2186" s="26" t="s">
        <v>242</v>
      </c>
      <c r="L2186" s="26" t="s">
        <v>351</v>
      </c>
      <c r="M2186" s="26" t="s">
        <v>323</v>
      </c>
      <c r="N2186" s="26">
        <v>110</v>
      </c>
      <c r="O2186" s="26">
        <f>2024-Inventory[[#This Row],[YrBlt]]</f>
        <v>104</v>
      </c>
      <c r="P2186" s="26">
        <f>2024-Inventory[[#This Row],[EffYr]]</f>
        <v>58</v>
      </c>
      <c r="Q2186" s="25">
        <v>1920</v>
      </c>
      <c r="R2186" s="25">
        <v>1966</v>
      </c>
      <c r="S2186" s="25">
        <v>1432</v>
      </c>
      <c r="T2186" s="27"/>
      <c r="U2186" s="32">
        <v>477</v>
      </c>
      <c r="V2186" s="32">
        <f>Inventory[[#This Row],[Bsmt]]-Inventory[[#This Row],[FnBsmt]]</f>
        <v>1</v>
      </c>
      <c r="W2186" s="32">
        <v>476</v>
      </c>
      <c r="X2186" s="27"/>
      <c r="Y2186" s="27">
        <f>Inventory[[#This Row],[MainFn]]+Inventory[[#This Row],[UpprFn]]+Inventory[[#This Row],[FnBsmt]]+Inventory[[#This Row],[AddFn]]</f>
        <v>1908</v>
      </c>
      <c r="Z2186" s="27">
        <v>2000</v>
      </c>
      <c r="AA2186" s="25">
        <v>6</v>
      </c>
      <c r="AB2186" s="31"/>
      <c r="AC2186" s="27"/>
      <c r="AD2186" s="27"/>
      <c r="AE2186" s="27"/>
      <c r="AF2186" s="27"/>
      <c r="AG2186" s="27"/>
      <c r="AH2186" s="27"/>
      <c r="AI2186" s="25">
        <v>287242</v>
      </c>
      <c r="AJ2186" s="25">
        <v>178090</v>
      </c>
      <c r="AK2186" s="25">
        <v>13191</v>
      </c>
      <c r="AL2186" s="25">
        <v>327600</v>
      </c>
      <c r="AM2186" s="25">
        <v>70100</v>
      </c>
      <c r="AN2186" s="25">
        <v>257500</v>
      </c>
      <c r="AO2186" s="25">
        <v>0</v>
      </c>
      <c r="AP2186" s="25">
        <f>Lookups!$B$56*0</f>
        <v>0</v>
      </c>
      <c r="AQ2186" s="25">
        <f>Lookups!$B$56*1</f>
        <v>89850.625589999996</v>
      </c>
      <c r="AR2186" s="25">
        <f>Lookups!$B$57*Inventory[[#This Row],[LnAcres]]</f>
        <v>-40295.239319339329</v>
      </c>
      <c r="AS2186" s="25">
        <f>VLOOKUP(Inventory[[#This Row],[Qlty]],Lookups!$A$62:$E$75,2,FALSE)</f>
        <v>21557.329055999999</v>
      </c>
      <c r="AT2186" s="25">
        <f>VLOOKUP(Inventory[[#This Row],[Cnd]],Lookups!$A$76:$E$84,2,FALSE)</f>
        <v>160472.20319</v>
      </c>
      <c r="AU2186" s="25">
        <f>Inventory[[#This Row],[EffAge]]*Lookups!$B$85</f>
        <v>-12936.644829000001</v>
      </c>
      <c r="AV2186" s="25">
        <f>Inventory[[#This Row],[MainFn]]*Lookups!$B$86</f>
        <v>70753.215263863996</v>
      </c>
      <c r="AW2186" s="25">
        <f>Inventory[[#This Row],[UpprFn]]*Lookups!$B$87</f>
        <v>0</v>
      </c>
      <c r="AX2186" s="25">
        <f>Inventory[[#This Row],[AddFn]]*Lookups!$B$88</f>
        <v>0</v>
      </c>
      <c r="AY2186" s="25">
        <f>Inventory[[#This Row],[Bsmt]]*Lookups!$B$89</f>
        <v>13872.064032818998</v>
      </c>
      <c r="AZ2186" s="25">
        <f>Inventory[[#This Row],[Fixtures]]*Lookups!$B$90</f>
        <v>22752.132631200002</v>
      </c>
      <c r="BA2186" s="25">
        <f>Inventory[[#This Row],[WdDeck]]*Lookups!$B$91</f>
        <v>0</v>
      </c>
      <c r="BB2186" s="25">
        <f>ROUND(Inventory[[#This Row],[25Det]],-2)</f>
        <v>13200</v>
      </c>
      <c r="BC2186" s="25">
        <f>ROUND(SUM(Inventory[[#This Row],[Mdl Qlty]:[Mdl WdDeck]])+Inventory[[#This Row],[Mdl Res Intercept]],-2)</f>
        <v>276500</v>
      </c>
      <c r="BD2186" s="25">
        <f>ROUND(Inventory[[#This Row],[Mdl Land Intercept]]+Inventory[[#This Row],[Mdl LnAcres]],-2)</f>
        <v>49600</v>
      </c>
      <c r="BE2186" s="25">
        <f>Inventory[[#This Row],[Unadj Res Value]]+Inventory[[#This Row],[Unadj Det Value]]+Inventory[[#This Row],[Unadj Land Value]]</f>
        <v>339300</v>
      </c>
      <c r="BF2186" s="36">
        <f>(Inventory[[#This Row],[Unadj Total Value]]-Inventory[[#This Row],[24Final]])/Inventory[[#This Row],[24Final]]</f>
        <v>3.5714285714285712E-2</v>
      </c>
      <c r="BG2186" s="25">
        <f>VLOOKUP(Inventory[[#This Row],[Nbhd]],Lookups!$Q$2:$T$4,4,FALSE)</f>
        <v>0.99970000000000003</v>
      </c>
      <c r="BH2186" s="25">
        <f>VLOOKUP(Inventory[[#This Row],[Qlty]],Lookups!$O$7:$R$21,4,FALSE)</f>
        <v>1.0067999999999999</v>
      </c>
      <c r="BI2186" s="25">
        <f>VLOOKUP(Inventory[[#This Row],[Cnd]],Lookups!$T$7:$W$16,4,FALSE)</f>
        <v>0.99729999999999996</v>
      </c>
      <c r="BJ2186" s="25">
        <f>VLOOKUP(Inventory[[#This Row],[LivArea Range]],Lookups!$T$25:$W$37,4,FALSE)</f>
        <v>1.0093000000000001</v>
      </c>
      <c r="BK2186" s="25">
        <f>VLOOKUP(Inventory[[#This Row],[Decade]],Lookups!$O$25:$R$42,4,FALSE)</f>
        <v>0.96040000000000003</v>
      </c>
      <c r="BL2186" s="25">
        <f>Inventory[[#This Row],[Nbhd Adj]]*0.95</f>
        <v>0.94971499999999998</v>
      </c>
      <c r="BM2186" s="25">
        <f>Inventory[[#This Row],[Nbhd Adj]]*Inventory[[#This Row],[Quality Adj]]*Inventory[[#This Row],[Condition Adj]]*Inventory[[#This Row],[Living Area Adj]]*Inventory[[#This Row],[Decade Adj]]*0.95</f>
        <v>0.92434638683335013</v>
      </c>
      <c r="BN2186" s="25">
        <f>ROUND(SUM(Inventory[[#This Row],[Mdl Qlty]:[Mdl WdDeck]])+Inventory[[#This Row],[Mdl Res Intercept]]*Inventory[[#This Row],[Res Adj ]],-2)</f>
        <v>276500</v>
      </c>
      <c r="BO2186" s="25">
        <f>ROUND(Inventory[[#This Row],[25Det]]*Inventory[[#This Row],[Det/Nbhd Adj]],-2)</f>
        <v>12500</v>
      </c>
      <c r="BP2186" s="25">
        <f>Inventory[[#This Row],[Adjusted Res]]+Inventory[[#This Row],[Adj Det ]]</f>
        <v>289000</v>
      </c>
      <c r="BQ2186" s="25">
        <f>ROUND((Inventory[[#This Row],[Mdl Land Intercept]]+Inventory[[#This Row],[Mdl LnAcres]])*Inventory[[#This Row],[Det/Nbhd Adj]],-2)</f>
        <v>47100</v>
      </c>
      <c r="BR2186" s="25">
        <f>Inventory[[#This Row],[Adjusted Impr Total]]+Inventory[[#This Row],[Adjusted Land Total]]</f>
        <v>336100</v>
      </c>
      <c r="BS2186" s="36">
        <f>IFERROR((Inventory[[#This Row],[Adjusted Impr Total]]-Inventory[[#This Row],[24Bldg]])/Inventory[[#This Row],[24Bldg]],0)</f>
        <v>0.12233009708737864</v>
      </c>
      <c r="BT2186" s="36">
        <f>(Inventory[[#This Row],[Adjusted Land Total]]-Inventory[[#This Row],[24Lnd]])/Inventory[[#This Row],[24Lnd]]</f>
        <v>-0.32810271041369471</v>
      </c>
      <c r="BU2186" s="36">
        <f>(Inventory[[#This Row],[Adjusted Total]]-Inventory[[#This Row],[24Final]])/Inventory[[#This Row],[24Final]]</f>
        <v>2.5946275946275948E-2</v>
      </c>
    </row>
    <row r="2187" spans="1:73" x14ac:dyDescent="0.3">
      <c r="A2187" s="25">
        <v>2025</v>
      </c>
      <c r="B2187" s="26" t="s">
        <v>932</v>
      </c>
      <c r="C2187" s="26">
        <f>LN(Inventory[[#This Row],[Acres]])</f>
        <v>-0.89159811928378363</v>
      </c>
      <c r="D2187" s="25">
        <v>0.41</v>
      </c>
      <c r="E2187" s="25">
        <v>17922</v>
      </c>
      <c r="F2187" s="26" t="s">
        <v>537</v>
      </c>
      <c r="G2187" s="26" t="s">
        <v>126</v>
      </c>
      <c r="H2187" s="26" t="s">
        <v>349</v>
      </c>
      <c r="I2187" s="26" t="s">
        <v>538</v>
      </c>
      <c r="J2187" s="26" t="s">
        <v>539</v>
      </c>
      <c r="K2187" s="26" t="s">
        <v>242</v>
      </c>
      <c r="L2187" s="26" t="s">
        <v>205</v>
      </c>
      <c r="M2187" s="26" t="s">
        <v>323</v>
      </c>
      <c r="N2187" s="26">
        <v>110</v>
      </c>
      <c r="O2187" s="26">
        <f>2024-Inventory[[#This Row],[YrBlt]]</f>
        <v>104</v>
      </c>
      <c r="P2187" s="26">
        <f>2024-Inventory[[#This Row],[EffYr]]</f>
        <v>58</v>
      </c>
      <c r="Q2187" s="25">
        <v>1920</v>
      </c>
      <c r="R2187" s="25">
        <v>1966</v>
      </c>
      <c r="S2187" s="25">
        <v>1392</v>
      </c>
      <c r="T2187" s="27"/>
      <c r="U2187" s="25">
        <v>576</v>
      </c>
      <c r="V2187" s="25">
        <f>Inventory[[#This Row],[Bsmt]]-Inventory[[#This Row],[FnBsmt]]</f>
        <v>476</v>
      </c>
      <c r="W2187" s="25">
        <v>100</v>
      </c>
      <c r="X2187" s="27"/>
      <c r="Y2187" s="27">
        <f>Inventory[[#This Row],[MainFn]]+Inventory[[#This Row],[UpprFn]]+Inventory[[#This Row],[FnBsmt]]+Inventory[[#This Row],[AddFn]]</f>
        <v>1492</v>
      </c>
      <c r="Z2187" s="27">
        <v>1500</v>
      </c>
      <c r="AA2187" s="25">
        <v>8</v>
      </c>
      <c r="AB2187" s="31"/>
      <c r="AC2187" s="27"/>
      <c r="AD2187" s="27"/>
      <c r="AE2187" s="27"/>
      <c r="AF2187" s="27"/>
      <c r="AG2187" s="27"/>
      <c r="AH2187" s="27"/>
      <c r="AI2187" s="25">
        <v>236654</v>
      </c>
      <c r="AJ2187" s="25">
        <v>146725</v>
      </c>
      <c r="AK2187" s="25">
        <v>24426</v>
      </c>
      <c r="AL2187" s="25">
        <v>337200</v>
      </c>
      <c r="AM2187" s="25">
        <v>83400</v>
      </c>
      <c r="AN2187" s="25">
        <v>253800</v>
      </c>
      <c r="AO2187" s="25">
        <v>0</v>
      </c>
      <c r="AP2187" s="25">
        <f>Lookups!$B$56*0</f>
        <v>0</v>
      </c>
      <c r="AQ2187" s="25">
        <f>Lookups!$B$56*1</f>
        <v>89850.625589999996</v>
      </c>
      <c r="AR2187" s="25">
        <f>Lookups!$B$57*Inventory[[#This Row],[LnAcres]]</f>
        <v>-28223.195861326454</v>
      </c>
      <c r="AS2187" s="25">
        <f>VLOOKUP(Inventory[[#This Row],[Qlty]],Lookups!$A$62:$E$75,2,FALSE)</f>
        <v>0</v>
      </c>
      <c r="AT2187" s="25">
        <f>VLOOKUP(Inventory[[#This Row],[Cnd]],Lookups!$A$76:$E$84,2,FALSE)</f>
        <v>160472.20319</v>
      </c>
      <c r="AU2187" s="25">
        <f>Inventory[[#This Row],[EffAge]]*Lookups!$B$85</f>
        <v>-12936.644829000001</v>
      </c>
      <c r="AV2187" s="25">
        <f>Inventory[[#This Row],[MainFn]]*Lookups!$B$86</f>
        <v>68776.868468784</v>
      </c>
      <c r="AW2187" s="25">
        <f>Inventory[[#This Row],[UpprFn]]*Lookups!$B$87</f>
        <v>0</v>
      </c>
      <c r="AX2187" s="25">
        <f>Inventory[[#This Row],[AddFn]]*Lookups!$B$88</f>
        <v>0</v>
      </c>
      <c r="AY2187" s="25">
        <f>Inventory[[#This Row],[Bsmt]]*Lookups!$B$89</f>
        <v>16751.171662271998</v>
      </c>
      <c r="AZ2187" s="25">
        <f>Inventory[[#This Row],[Fixtures]]*Lookups!$B$90</f>
        <v>30336.176841600001</v>
      </c>
      <c r="BA2187" s="25">
        <f>Inventory[[#This Row],[WdDeck]]*Lookups!$B$91</f>
        <v>0</v>
      </c>
      <c r="BB2187" s="25">
        <f>ROUND(Inventory[[#This Row],[25Det]],-2)</f>
        <v>24400</v>
      </c>
      <c r="BC2187" s="25">
        <f>ROUND(SUM(Inventory[[#This Row],[Mdl Qlty]:[Mdl WdDeck]])+Inventory[[#This Row],[Mdl Res Intercept]],-2)</f>
        <v>263400</v>
      </c>
      <c r="BD2187" s="25">
        <f>ROUND(Inventory[[#This Row],[Mdl Land Intercept]]+Inventory[[#This Row],[Mdl LnAcres]],-2)</f>
        <v>61600</v>
      </c>
      <c r="BE2187" s="25">
        <f>Inventory[[#This Row],[Unadj Res Value]]+Inventory[[#This Row],[Unadj Det Value]]+Inventory[[#This Row],[Unadj Land Value]]</f>
        <v>349400</v>
      </c>
      <c r="BF2187" s="36">
        <f>(Inventory[[#This Row],[Unadj Total Value]]-Inventory[[#This Row],[24Final]])/Inventory[[#This Row],[24Final]]</f>
        <v>3.6180308422301306E-2</v>
      </c>
      <c r="BG2187" s="25">
        <f>VLOOKUP(Inventory[[#This Row],[Nbhd]],Lookups!$Q$2:$T$4,4,FALSE)</f>
        <v>0.99970000000000003</v>
      </c>
      <c r="BH2187" s="25">
        <f>VLOOKUP(Inventory[[#This Row],[Qlty]],Lookups!$O$7:$R$21,4,FALSE)</f>
        <v>0.99180000000000001</v>
      </c>
      <c r="BI2187" s="25">
        <f>VLOOKUP(Inventory[[#This Row],[Cnd]],Lookups!$T$7:$W$16,4,FALSE)</f>
        <v>0.99729999999999996</v>
      </c>
      <c r="BJ2187" s="25">
        <f>VLOOKUP(Inventory[[#This Row],[LivArea Range]],Lookups!$T$25:$W$37,4,FALSE)</f>
        <v>1.0157</v>
      </c>
      <c r="BK2187" s="25">
        <f>VLOOKUP(Inventory[[#This Row],[Decade]],Lookups!$O$25:$R$42,4,FALSE)</f>
        <v>0.96040000000000003</v>
      </c>
      <c r="BL2187" s="25">
        <f>Inventory[[#This Row],[Nbhd Adj]]*0.95</f>
        <v>0.94971499999999998</v>
      </c>
      <c r="BM2187" s="25">
        <f>Inventory[[#This Row],[Nbhd Adj]]*Inventory[[#This Row],[Quality Adj]]*Inventory[[#This Row],[Condition Adj]]*Inventory[[#This Row],[Living Area Adj]]*Inventory[[#This Row],[Decade Adj]]*0.95</f>
        <v>0.91634881850356975</v>
      </c>
      <c r="BN2187" s="25">
        <f>ROUND(SUM(Inventory[[#This Row],[Mdl Qlty]:[Mdl WdDeck]])+Inventory[[#This Row],[Mdl Res Intercept]]*Inventory[[#This Row],[Res Adj ]],-2)</f>
        <v>263400</v>
      </c>
      <c r="BO2187" s="25">
        <f>ROUND(Inventory[[#This Row],[25Det]]*Inventory[[#This Row],[Det/Nbhd Adj]],-2)</f>
        <v>23200</v>
      </c>
      <c r="BP2187" s="25">
        <f>Inventory[[#This Row],[Adjusted Res]]+Inventory[[#This Row],[Adj Det ]]</f>
        <v>286600</v>
      </c>
      <c r="BQ2187" s="25">
        <f>ROUND((Inventory[[#This Row],[Mdl Land Intercept]]+Inventory[[#This Row],[Mdl LnAcres]])*Inventory[[#This Row],[Det/Nbhd Adj]],-2)</f>
        <v>58500</v>
      </c>
      <c r="BR2187" s="25">
        <f>Inventory[[#This Row],[Adjusted Impr Total]]+Inventory[[#This Row],[Adjusted Land Total]]</f>
        <v>345100</v>
      </c>
      <c r="BS2187" s="36">
        <f>IFERROR((Inventory[[#This Row],[Adjusted Impr Total]]-Inventory[[#This Row],[24Bldg]])/Inventory[[#This Row],[24Bldg]],0)</f>
        <v>0.12923561859732072</v>
      </c>
      <c r="BT2187" s="36">
        <f>(Inventory[[#This Row],[Adjusted Land Total]]-Inventory[[#This Row],[24Lnd]])/Inventory[[#This Row],[24Lnd]]</f>
        <v>-0.29856115107913667</v>
      </c>
      <c r="BU2187" s="36">
        <f>(Inventory[[#This Row],[Adjusted Total]]-Inventory[[#This Row],[24Final]])/Inventory[[#This Row],[24Final]]</f>
        <v>2.34282325029656E-2</v>
      </c>
    </row>
    <row r="2188" spans="1:73" x14ac:dyDescent="0.3">
      <c r="A2188" s="25">
        <v>2025</v>
      </c>
      <c r="B2188" s="26" t="s">
        <v>2483</v>
      </c>
      <c r="C2188" s="26">
        <f>LN(Inventory[[#This Row],[Acres]])</f>
        <v>-1.0216512475319814</v>
      </c>
      <c r="D2188" s="25">
        <v>0.36</v>
      </c>
      <c r="E2188" s="25">
        <v>15772</v>
      </c>
      <c r="F2188" s="26" t="s">
        <v>537</v>
      </c>
      <c r="G2188" s="26" t="s">
        <v>126</v>
      </c>
      <c r="H2188" s="26" t="s">
        <v>349</v>
      </c>
      <c r="I2188" s="26" t="s">
        <v>538</v>
      </c>
      <c r="J2188" s="26" t="s">
        <v>539</v>
      </c>
      <c r="K2188" s="26" t="s">
        <v>269</v>
      </c>
      <c r="L2188" s="26" t="s">
        <v>351</v>
      </c>
      <c r="M2188" s="26" t="s">
        <v>323</v>
      </c>
      <c r="N2188" s="26">
        <v>110</v>
      </c>
      <c r="O2188" s="26">
        <f>2024-Inventory[[#This Row],[YrBlt]]</f>
        <v>104</v>
      </c>
      <c r="P2188" s="26">
        <f>2024-Inventory[[#This Row],[EffYr]]</f>
        <v>58</v>
      </c>
      <c r="Q2188" s="25">
        <v>1920</v>
      </c>
      <c r="R2188" s="25">
        <v>1966</v>
      </c>
      <c r="S2188" s="25">
        <v>1567</v>
      </c>
      <c r="T2188" s="27"/>
      <c r="U2188" s="32">
        <v>160</v>
      </c>
      <c r="V2188" s="32">
        <f>Inventory[[#This Row],[Bsmt]]-Inventory[[#This Row],[FnBsmt]]</f>
        <v>160</v>
      </c>
      <c r="W2188" s="27"/>
      <c r="X2188" s="27"/>
      <c r="Y2188" s="27">
        <f>Inventory[[#This Row],[MainFn]]+Inventory[[#This Row],[UpprFn]]+Inventory[[#This Row],[FnBsmt]]+Inventory[[#This Row],[AddFn]]</f>
        <v>1567</v>
      </c>
      <c r="Z2188" s="27">
        <v>2000</v>
      </c>
      <c r="AA2188" s="25">
        <v>6</v>
      </c>
      <c r="AB2188" s="31"/>
      <c r="AC2188" s="27"/>
      <c r="AD2188" s="32">
        <v>180</v>
      </c>
      <c r="AE2188" s="27"/>
      <c r="AF2188" s="27"/>
      <c r="AG2188" s="27"/>
      <c r="AH2188" s="27"/>
      <c r="AI2188" s="25">
        <v>275898</v>
      </c>
      <c r="AJ2188" s="25">
        <v>171057</v>
      </c>
      <c r="AK2188" s="25">
        <v>5618</v>
      </c>
      <c r="AL2188" s="25">
        <v>332100</v>
      </c>
      <c r="AM2188" s="25">
        <v>78900</v>
      </c>
      <c r="AN2188" s="25">
        <v>253200</v>
      </c>
      <c r="AO2188" s="25">
        <v>0</v>
      </c>
      <c r="AP2188" s="25">
        <f>Lookups!$B$56*0</f>
        <v>0</v>
      </c>
      <c r="AQ2188" s="25">
        <f>Lookups!$B$56*1</f>
        <v>89850.625589999996</v>
      </c>
      <c r="AR2188" s="25">
        <f>Lookups!$B$57*Inventory[[#This Row],[LnAcres]]</f>
        <v>-32339.977661938148</v>
      </c>
      <c r="AS2188" s="25">
        <f>VLOOKUP(Inventory[[#This Row],[Qlty]],Lookups!$A$62:$E$75,2,FALSE)</f>
        <v>21557.329055999999</v>
      </c>
      <c r="AT2188" s="25">
        <f>VLOOKUP(Inventory[[#This Row],[Cnd]],Lookups!$A$76:$E$84,2,FALSE)</f>
        <v>160472.20319</v>
      </c>
      <c r="AU2188" s="25">
        <f>Inventory[[#This Row],[EffAge]]*Lookups!$B$85</f>
        <v>-12936.644829000001</v>
      </c>
      <c r="AV2188" s="25">
        <f>Inventory[[#This Row],[MainFn]]*Lookups!$B$86</f>
        <v>77423.385697259</v>
      </c>
      <c r="AW2188" s="25">
        <f>Inventory[[#This Row],[UpprFn]]*Lookups!$B$87</f>
        <v>0</v>
      </c>
      <c r="AX2188" s="25">
        <f>Inventory[[#This Row],[AddFn]]*Lookups!$B$88</f>
        <v>0</v>
      </c>
      <c r="AY2188" s="25">
        <f>Inventory[[#This Row],[Bsmt]]*Lookups!$B$89</f>
        <v>4653.10323952</v>
      </c>
      <c r="AZ2188" s="25">
        <f>Inventory[[#This Row],[Fixtures]]*Lookups!$B$90</f>
        <v>22752.132631200002</v>
      </c>
      <c r="BA2188" s="25">
        <f>Inventory[[#This Row],[WdDeck]]*Lookups!$B$91</f>
        <v>5993.1927496800008</v>
      </c>
      <c r="BB2188" s="25">
        <f>ROUND(Inventory[[#This Row],[25Det]],-2)</f>
        <v>5600</v>
      </c>
      <c r="BC2188" s="25">
        <f>ROUND(SUM(Inventory[[#This Row],[Mdl Qlty]:[Mdl WdDeck]])+Inventory[[#This Row],[Mdl Res Intercept]],-2)</f>
        <v>279900</v>
      </c>
      <c r="BD2188" s="25">
        <f>ROUND(Inventory[[#This Row],[Mdl Land Intercept]]+Inventory[[#This Row],[Mdl LnAcres]],-2)</f>
        <v>57500</v>
      </c>
      <c r="BE2188" s="25">
        <f>Inventory[[#This Row],[Unadj Res Value]]+Inventory[[#This Row],[Unadj Det Value]]+Inventory[[#This Row],[Unadj Land Value]]</f>
        <v>343000</v>
      </c>
      <c r="BF2188" s="36">
        <f>(Inventory[[#This Row],[Unadj Total Value]]-Inventory[[#This Row],[24Final]])/Inventory[[#This Row],[24Final]]</f>
        <v>3.2821439325504367E-2</v>
      </c>
      <c r="BG2188" s="25">
        <f>VLOOKUP(Inventory[[#This Row],[Nbhd]],Lookups!$Q$2:$T$4,4,FALSE)</f>
        <v>0.99970000000000003</v>
      </c>
      <c r="BH2188" s="25">
        <f>VLOOKUP(Inventory[[#This Row],[Qlty]],Lookups!$O$7:$R$21,4,FALSE)</f>
        <v>1.0067999999999999</v>
      </c>
      <c r="BI2188" s="25">
        <f>VLOOKUP(Inventory[[#This Row],[Cnd]],Lookups!$T$7:$W$16,4,FALSE)</f>
        <v>0.99729999999999996</v>
      </c>
      <c r="BJ2188" s="25">
        <f>VLOOKUP(Inventory[[#This Row],[LivArea Range]],Lookups!$T$25:$W$37,4,FALSE)</f>
        <v>1.0093000000000001</v>
      </c>
      <c r="BK2188" s="25">
        <f>VLOOKUP(Inventory[[#This Row],[Decade]],Lookups!$O$25:$R$42,4,FALSE)</f>
        <v>0.96040000000000003</v>
      </c>
      <c r="BL2188" s="25">
        <f>Inventory[[#This Row],[Nbhd Adj]]*0.95</f>
        <v>0.94971499999999998</v>
      </c>
      <c r="BM2188" s="25">
        <f>Inventory[[#This Row],[Nbhd Adj]]*Inventory[[#This Row],[Quality Adj]]*Inventory[[#This Row],[Condition Adj]]*Inventory[[#This Row],[Living Area Adj]]*Inventory[[#This Row],[Decade Adj]]*0.95</f>
        <v>0.92434638683335013</v>
      </c>
      <c r="BN2188" s="25">
        <f>ROUND(SUM(Inventory[[#This Row],[Mdl Qlty]:[Mdl WdDeck]])+Inventory[[#This Row],[Mdl Res Intercept]]*Inventory[[#This Row],[Res Adj ]],-2)</f>
        <v>279900</v>
      </c>
      <c r="BO2188" s="25">
        <f>ROUND(Inventory[[#This Row],[25Det]]*Inventory[[#This Row],[Det/Nbhd Adj]],-2)</f>
        <v>5300</v>
      </c>
      <c r="BP2188" s="25">
        <f>Inventory[[#This Row],[Adjusted Res]]+Inventory[[#This Row],[Adj Det ]]</f>
        <v>285200</v>
      </c>
      <c r="BQ2188" s="25">
        <f>ROUND((Inventory[[#This Row],[Mdl Land Intercept]]+Inventory[[#This Row],[Mdl LnAcres]])*Inventory[[#This Row],[Det/Nbhd Adj]],-2)</f>
        <v>54600</v>
      </c>
      <c r="BR2188" s="25">
        <f>Inventory[[#This Row],[Adjusted Impr Total]]+Inventory[[#This Row],[Adjusted Land Total]]</f>
        <v>339800</v>
      </c>
      <c r="BS2188" s="36">
        <f>IFERROR((Inventory[[#This Row],[Adjusted Impr Total]]-Inventory[[#This Row],[24Bldg]])/Inventory[[#This Row],[24Bldg]],0)</f>
        <v>0.1263823064770932</v>
      </c>
      <c r="BT2188" s="36">
        <f>(Inventory[[#This Row],[Adjusted Land Total]]-Inventory[[#This Row],[24Lnd]])/Inventory[[#This Row],[24Lnd]]</f>
        <v>-0.30798479087452474</v>
      </c>
      <c r="BU2188" s="36">
        <f>(Inventory[[#This Row],[Adjusted Total]]-Inventory[[#This Row],[24Final]])/Inventory[[#This Row],[24Final]]</f>
        <v>2.3185787413429689E-2</v>
      </c>
    </row>
    <row r="2189" spans="1:73" x14ac:dyDescent="0.3">
      <c r="A2189" s="25">
        <v>2025</v>
      </c>
      <c r="B2189" s="26" t="s">
        <v>1664</v>
      </c>
      <c r="C2189" s="26">
        <f>LN(Inventory[[#This Row],[Acres]])</f>
        <v>-0.96758402626170559</v>
      </c>
      <c r="D2189" s="25">
        <v>0.38</v>
      </c>
      <c r="E2189" s="32">
        <v>16400</v>
      </c>
      <c r="F2189" s="26" t="s">
        <v>537</v>
      </c>
      <c r="G2189" s="26" t="s">
        <v>126</v>
      </c>
      <c r="H2189" s="26" t="s">
        <v>349</v>
      </c>
      <c r="I2189" s="26" t="s">
        <v>538</v>
      </c>
      <c r="J2189" s="26" t="s">
        <v>539</v>
      </c>
      <c r="K2189" s="26" t="s">
        <v>269</v>
      </c>
      <c r="L2189" s="26" t="s">
        <v>351</v>
      </c>
      <c r="M2189" s="26" t="s">
        <v>303</v>
      </c>
      <c r="N2189" s="26">
        <v>110</v>
      </c>
      <c r="O2189" s="26">
        <f>2024-Inventory[[#This Row],[YrBlt]]</f>
        <v>104</v>
      </c>
      <c r="P2189" s="26">
        <f>2024-Inventory[[#This Row],[EffYr]]</f>
        <v>58</v>
      </c>
      <c r="Q2189" s="25">
        <v>1920</v>
      </c>
      <c r="R2189" s="25">
        <v>1966</v>
      </c>
      <c r="S2189" s="25">
        <v>1680</v>
      </c>
      <c r="T2189" s="27"/>
      <c r="U2189" s="25">
        <v>1056</v>
      </c>
      <c r="V2189" s="32">
        <f>Inventory[[#This Row],[Bsmt]]-Inventory[[#This Row],[FnBsmt]]</f>
        <v>56</v>
      </c>
      <c r="W2189" s="32">
        <v>1000</v>
      </c>
      <c r="X2189" s="27"/>
      <c r="Y2189" s="27">
        <f>Inventory[[#This Row],[MainFn]]+Inventory[[#This Row],[UpprFn]]+Inventory[[#This Row],[FnBsmt]]+Inventory[[#This Row],[AddFn]]</f>
        <v>2680</v>
      </c>
      <c r="Z2189" s="27">
        <v>3000</v>
      </c>
      <c r="AA2189" s="25">
        <v>11</v>
      </c>
      <c r="AB2189" s="27"/>
      <c r="AC2189" s="27"/>
      <c r="AD2189" s="32">
        <v>80</v>
      </c>
      <c r="AE2189" s="27"/>
      <c r="AF2189" s="27"/>
      <c r="AG2189" s="27"/>
      <c r="AH2189" s="27"/>
      <c r="AI2189" s="25">
        <v>353785</v>
      </c>
      <c r="AJ2189" s="25">
        <v>226422</v>
      </c>
      <c r="AK2189" s="25">
        <v>9004</v>
      </c>
      <c r="AL2189" s="25">
        <v>421700</v>
      </c>
      <c r="AM2189" s="25">
        <v>80800</v>
      </c>
      <c r="AN2189" s="25">
        <v>340900</v>
      </c>
      <c r="AO2189" s="25">
        <v>0</v>
      </c>
      <c r="AP2189" s="25">
        <f>Lookups!$B$56*0</f>
        <v>0</v>
      </c>
      <c r="AQ2189" s="25">
        <f>Lookups!$B$56*1</f>
        <v>89850.625589999996</v>
      </c>
      <c r="AR2189" s="25">
        <f>Lookups!$B$57*Inventory[[#This Row],[LnAcres]]</f>
        <v>-30628.500548443946</v>
      </c>
      <c r="AS2189" s="25">
        <f>VLOOKUP(Inventory[[#This Row],[Qlty]],Lookups!$A$62:$E$75,2,FALSE)</f>
        <v>21557.329055999999</v>
      </c>
      <c r="AT2189" s="25">
        <f>VLOOKUP(Inventory[[#This Row],[Cnd]],Lookups!$A$76:$E$84,2,FALSE)</f>
        <v>197752.34721000001</v>
      </c>
      <c r="AU2189" s="25">
        <f>Inventory[[#This Row],[EffAge]]*Lookups!$B$85</f>
        <v>-12936.644829000001</v>
      </c>
      <c r="AV2189" s="25">
        <f>Inventory[[#This Row],[MainFn]]*Lookups!$B$86</f>
        <v>83006.565393359997</v>
      </c>
      <c r="AW2189" s="25">
        <f>Inventory[[#This Row],[UpprFn]]*Lookups!$B$87</f>
        <v>0</v>
      </c>
      <c r="AX2189" s="25">
        <f>Inventory[[#This Row],[AddFn]]*Lookups!$B$88</f>
        <v>0</v>
      </c>
      <c r="AY2189" s="25">
        <f>Inventory[[#This Row],[Bsmt]]*Lookups!$B$89</f>
        <v>30710.481380832</v>
      </c>
      <c r="AZ2189" s="25">
        <f>Inventory[[#This Row],[Fixtures]]*Lookups!$B$90</f>
        <v>41712.243157199999</v>
      </c>
      <c r="BA2189" s="25">
        <f>Inventory[[#This Row],[WdDeck]]*Lookups!$B$91</f>
        <v>2663.6412220800003</v>
      </c>
      <c r="BB2189" s="25">
        <f>ROUND(Inventory[[#This Row],[25Det]],-2)</f>
        <v>9000</v>
      </c>
      <c r="BC2189" s="25">
        <f>ROUND(SUM(Inventory[[#This Row],[Mdl Qlty]:[Mdl WdDeck]])+Inventory[[#This Row],[Mdl Res Intercept]],-2)</f>
        <v>364500</v>
      </c>
      <c r="BD2189" s="25">
        <f>ROUND(Inventory[[#This Row],[Mdl Land Intercept]]+Inventory[[#This Row],[Mdl LnAcres]],-2)</f>
        <v>59200</v>
      </c>
      <c r="BE2189" s="25">
        <f>Inventory[[#This Row],[Unadj Res Value]]+Inventory[[#This Row],[Unadj Det Value]]+Inventory[[#This Row],[Unadj Land Value]]</f>
        <v>432700</v>
      </c>
      <c r="BF2189" s="36">
        <f>(Inventory[[#This Row],[Unadj Total Value]]-Inventory[[#This Row],[24Final]])/Inventory[[#This Row],[24Final]]</f>
        <v>2.6084894474745081E-2</v>
      </c>
      <c r="BG2189" s="25">
        <f>VLOOKUP(Inventory[[#This Row],[Nbhd]],Lookups!$Q$2:$T$4,4,FALSE)</f>
        <v>0.99970000000000003</v>
      </c>
      <c r="BH2189" s="25">
        <f>VLOOKUP(Inventory[[#This Row],[Qlty]],Lookups!$O$7:$R$21,4,FALSE)</f>
        <v>1.0067999999999999</v>
      </c>
      <c r="BI2189" s="25">
        <f>VLOOKUP(Inventory[[#This Row],[Cnd]],Lookups!$T$7:$W$16,4,FALSE)</f>
        <v>0.99650000000000005</v>
      </c>
      <c r="BJ2189" s="25">
        <f>VLOOKUP(Inventory[[#This Row],[LivArea Range]],Lookups!$T$25:$W$37,4,FALSE)</f>
        <v>0.96179999999999999</v>
      </c>
      <c r="BK2189" s="25">
        <f>VLOOKUP(Inventory[[#This Row],[Decade]],Lookups!$O$25:$R$42,4,FALSE)</f>
        <v>0.96040000000000003</v>
      </c>
      <c r="BL2189" s="25">
        <f>Inventory[[#This Row],[Nbhd Adj]]*0.95</f>
        <v>0.94971499999999998</v>
      </c>
      <c r="BM2189" s="25">
        <f>Inventory[[#This Row],[Nbhd Adj]]*Inventory[[#This Row],[Quality Adj]]*Inventory[[#This Row],[Condition Adj]]*Inventory[[#This Row],[Living Area Adj]]*Inventory[[#This Row],[Decade Adj]]*0.95</f>
        <v>0.88013791762113103</v>
      </c>
      <c r="BN2189" s="25">
        <f>ROUND(SUM(Inventory[[#This Row],[Mdl Qlty]:[Mdl WdDeck]])+Inventory[[#This Row],[Mdl Res Intercept]]*Inventory[[#This Row],[Res Adj ]],-2)</f>
        <v>364500</v>
      </c>
      <c r="BO2189" s="25">
        <f>ROUND(Inventory[[#This Row],[25Det]]*Inventory[[#This Row],[Det/Nbhd Adj]],-2)</f>
        <v>8600</v>
      </c>
      <c r="BP2189" s="25">
        <f>Inventory[[#This Row],[Adjusted Res]]+Inventory[[#This Row],[Adj Det ]]</f>
        <v>373100</v>
      </c>
      <c r="BQ2189" s="25">
        <f>ROUND((Inventory[[#This Row],[Mdl Land Intercept]]+Inventory[[#This Row],[Mdl LnAcres]])*Inventory[[#This Row],[Det/Nbhd Adj]],-2)</f>
        <v>56200</v>
      </c>
      <c r="BR2189" s="25">
        <f>Inventory[[#This Row],[Adjusted Impr Total]]+Inventory[[#This Row],[Adjusted Land Total]]</f>
        <v>429300</v>
      </c>
      <c r="BS2189" s="36">
        <f>IFERROR((Inventory[[#This Row],[Adjusted Impr Total]]-Inventory[[#This Row],[24Bldg]])/Inventory[[#This Row],[24Bldg]],0)</f>
        <v>9.4455852156057493E-2</v>
      </c>
      <c r="BT2189" s="36">
        <f>(Inventory[[#This Row],[Adjusted Land Total]]-Inventory[[#This Row],[24Lnd]])/Inventory[[#This Row],[24Lnd]]</f>
        <v>-0.30445544554455445</v>
      </c>
      <c r="BU2189" s="36">
        <f>(Inventory[[#This Row],[Adjusted Total]]-Inventory[[#This Row],[24Final]])/Inventory[[#This Row],[24Final]]</f>
        <v>1.802229072800569E-2</v>
      </c>
    </row>
    <row r="2190" spans="1:73" x14ac:dyDescent="0.3">
      <c r="A2190" s="25">
        <v>2025</v>
      </c>
      <c r="B2190" s="26" t="s">
        <v>2824</v>
      </c>
      <c r="C2190" s="26">
        <f>LN(Inventory[[#This Row],[Acres]])</f>
        <v>-1.1711829815029451</v>
      </c>
      <c r="D2190" s="25">
        <v>0.31</v>
      </c>
      <c r="E2190" s="25">
        <v>13286</v>
      </c>
      <c r="F2190" s="26" t="s">
        <v>537</v>
      </c>
      <c r="G2190" s="26" t="s">
        <v>126</v>
      </c>
      <c r="H2190" s="26" t="s">
        <v>349</v>
      </c>
      <c r="I2190" s="26" t="s">
        <v>538</v>
      </c>
      <c r="J2190" s="26" t="s">
        <v>539</v>
      </c>
      <c r="K2190" s="26" t="s">
        <v>242</v>
      </c>
      <c r="L2190" s="26" t="s">
        <v>351</v>
      </c>
      <c r="M2190" s="26" t="s">
        <v>323</v>
      </c>
      <c r="N2190" s="26">
        <v>110</v>
      </c>
      <c r="O2190" s="26">
        <f>2024-Inventory[[#This Row],[YrBlt]]</f>
        <v>104</v>
      </c>
      <c r="P2190" s="26">
        <f>2024-Inventory[[#This Row],[EffYr]]</f>
        <v>58</v>
      </c>
      <c r="Q2190" s="25">
        <v>1920</v>
      </c>
      <c r="R2190" s="25">
        <v>1966</v>
      </c>
      <c r="S2190" s="25">
        <v>1494</v>
      </c>
      <c r="T2190" s="31"/>
      <c r="U2190" s="25">
        <v>546</v>
      </c>
      <c r="V2190" s="25">
        <f>Inventory[[#This Row],[Bsmt]]-Inventory[[#This Row],[FnBsmt]]</f>
        <v>0</v>
      </c>
      <c r="W2190" s="25">
        <v>546</v>
      </c>
      <c r="X2190" s="27"/>
      <c r="Y2190" s="27">
        <f>Inventory[[#This Row],[MainFn]]+Inventory[[#This Row],[UpprFn]]+Inventory[[#This Row],[FnBsmt]]+Inventory[[#This Row],[AddFn]]</f>
        <v>2040</v>
      </c>
      <c r="Z2190" s="27">
        <v>2500</v>
      </c>
      <c r="AA2190" s="25">
        <v>5</v>
      </c>
      <c r="AB2190" s="27"/>
      <c r="AC2190" s="27"/>
      <c r="AD2190" s="31"/>
      <c r="AE2190" s="27"/>
      <c r="AF2190" s="27"/>
      <c r="AG2190" s="27"/>
      <c r="AH2190" s="27"/>
      <c r="AI2190" s="25">
        <v>286710</v>
      </c>
      <c r="AJ2190" s="25">
        <v>177760</v>
      </c>
      <c r="AK2190" s="25">
        <v>4877</v>
      </c>
      <c r="AL2190" s="25">
        <v>327800</v>
      </c>
      <c r="AM2190" s="25">
        <v>73700</v>
      </c>
      <c r="AN2190" s="25">
        <v>254100</v>
      </c>
      <c r="AO2190" s="25">
        <v>0</v>
      </c>
      <c r="AP2190" s="25">
        <f>Lookups!$B$56*0</f>
        <v>0</v>
      </c>
      <c r="AQ2190" s="25">
        <f>Lookups!$B$56*1</f>
        <v>89850.625589999996</v>
      </c>
      <c r="AR2190" s="25">
        <f>Lookups!$B$57*Inventory[[#This Row],[LnAcres]]</f>
        <v>-37073.347241874442</v>
      </c>
      <c r="AS2190" s="25">
        <f>VLOOKUP(Inventory[[#This Row],[Qlty]],Lookups!$A$62:$E$75,2,FALSE)</f>
        <v>21557.329055999999</v>
      </c>
      <c r="AT2190" s="25">
        <f>VLOOKUP(Inventory[[#This Row],[Cnd]],Lookups!$A$76:$E$84,2,FALSE)</f>
        <v>160472.20319</v>
      </c>
      <c r="AU2190" s="25">
        <f>Inventory[[#This Row],[EffAge]]*Lookups!$B$85</f>
        <v>-12936.644829000001</v>
      </c>
      <c r="AV2190" s="25">
        <f>Inventory[[#This Row],[MainFn]]*Lookups!$B$86</f>
        <v>73816.552796238</v>
      </c>
      <c r="AW2190" s="25">
        <f>Inventory[[#This Row],[UpprFn]]*Lookups!$B$87</f>
        <v>0</v>
      </c>
      <c r="AX2190" s="25">
        <f>Inventory[[#This Row],[AddFn]]*Lookups!$B$88</f>
        <v>0</v>
      </c>
      <c r="AY2190" s="25">
        <f>Inventory[[#This Row],[Bsmt]]*Lookups!$B$89</f>
        <v>15878.714804861998</v>
      </c>
      <c r="AZ2190" s="25">
        <f>Inventory[[#This Row],[Fixtures]]*Lookups!$B$90</f>
        <v>18960.110526</v>
      </c>
      <c r="BA2190" s="25">
        <f>Inventory[[#This Row],[WdDeck]]*Lookups!$B$91</f>
        <v>0</v>
      </c>
      <c r="BB2190" s="25">
        <f>ROUND(Inventory[[#This Row],[25Det]],-2)</f>
        <v>4900</v>
      </c>
      <c r="BC2190" s="25">
        <f>ROUND(SUM(Inventory[[#This Row],[Mdl Qlty]:[Mdl WdDeck]])+Inventory[[#This Row],[Mdl Res Intercept]],-2)</f>
        <v>277700</v>
      </c>
      <c r="BD2190" s="25">
        <f>ROUND(Inventory[[#This Row],[Mdl Land Intercept]]+Inventory[[#This Row],[Mdl LnAcres]],-2)</f>
        <v>52800</v>
      </c>
      <c r="BE2190" s="25">
        <f>Inventory[[#This Row],[Unadj Res Value]]+Inventory[[#This Row],[Unadj Det Value]]+Inventory[[#This Row],[Unadj Land Value]]</f>
        <v>335400</v>
      </c>
      <c r="BF2190" s="36">
        <f>(Inventory[[#This Row],[Unadj Total Value]]-Inventory[[#This Row],[24Final]])/Inventory[[#This Row],[24Final]]</f>
        <v>2.3184868822452714E-2</v>
      </c>
      <c r="BG2190" s="25">
        <f>VLOOKUP(Inventory[[#This Row],[Nbhd]],Lookups!$Q$2:$T$4,4,FALSE)</f>
        <v>0.99970000000000003</v>
      </c>
      <c r="BH2190" s="25">
        <f>VLOOKUP(Inventory[[#This Row],[Qlty]],Lookups!$O$7:$R$21,4,FALSE)</f>
        <v>1.0067999999999999</v>
      </c>
      <c r="BI2190" s="25">
        <f>VLOOKUP(Inventory[[#This Row],[Cnd]],Lookups!$T$7:$W$16,4,FALSE)</f>
        <v>0.99729999999999996</v>
      </c>
      <c r="BJ2190" s="25">
        <f>VLOOKUP(Inventory[[#This Row],[LivArea Range]],Lookups!$T$25:$W$37,4,FALSE)</f>
        <v>0.98919999999999997</v>
      </c>
      <c r="BK2190" s="25">
        <f>VLOOKUP(Inventory[[#This Row],[Decade]],Lookups!$O$25:$R$42,4,FALSE)</f>
        <v>0.96040000000000003</v>
      </c>
      <c r="BL2190" s="25">
        <f>Inventory[[#This Row],[Nbhd Adj]]*0.95</f>
        <v>0.94971499999999998</v>
      </c>
      <c r="BM2190" s="25">
        <f>Inventory[[#This Row],[Nbhd Adj]]*Inventory[[#This Row],[Quality Adj]]*Inventory[[#This Row],[Condition Adj]]*Inventory[[#This Row],[Living Area Adj]]*Inventory[[#This Row],[Decade Adj]]*0.95</f>
        <v>0.90593822040577598</v>
      </c>
      <c r="BN2190" s="25">
        <f>ROUND(SUM(Inventory[[#This Row],[Mdl Qlty]:[Mdl WdDeck]])+Inventory[[#This Row],[Mdl Res Intercept]]*Inventory[[#This Row],[Res Adj ]],-2)</f>
        <v>277700</v>
      </c>
      <c r="BO2190" s="25">
        <f>ROUND(Inventory[[#This Row],[25Det]]*Inventory[[#This Row],[Det/Nbhd Adj]],-2)</f>
        <v>4600</v>
      </c>
      <c r="BP2190" s="25">
        <f>Inventory[[#This Row],[Adjusted Res]]+Inventory[[#This Row],[Adj Det ]]</f>
        <v>282300</v>
      </c>
      <c r="BQ2190" s="25">
        <f>ROUND((Inventory[[#This Row],[Mdl Land Intercept]]+Inventory[[#This Row],[Mdl LnAcres]])*Inventory[[#This Row],[Det/Nbhd Adj]],-2)</f>
        <v>50100</v>
      </c>
      <c r="BR2190" s="25">
        <f>Inventory[[#This Row],[Adjusted Impr Total]]+Inventory[[#This Row],[Adjusted Land Total]]</f>
        <v>332400</v>
      </c>
      <c r="BS2190" s="36">
        <f>IFERROR((Inventory[[#This Row],[Adjusted Impr Total]]-Inventory[[#This Row],[24Bldg]])/Inventory[[#This Row],[24Bldg]],0)</f>
        <v>0.11097992916174734</v>
      </c>
      <c r="BT2190" s="36">
        <f>(Inventory[[#This Row],[Adjusted Land Total]]-Inventory[[#This Row],[24Lnd]])/Inventory[[#This Row],[24Lnd]]</f>
        <v>-0.32021709633649931</v>
      </c>
      <c r="BU2190" s="36">
        <f>(Inventory[[#This Row],[Adjusted Total]]-Inventory[[#This Row],[24Final]])/Inventory[[#This Row],[24Final]]</f>
        <v>1.4032946918852958E-2</v>
      </c>
    </row>
    <row r="2191" spans="1:73" x14ac:dyDescent="0.3">
      <c r="A2191" s="25">
        <v>2025</v>
      </c>
      <c r="B2191" s="26" t="s">
        <v>851</v>
      </c>
      <c r="C2191" s="26">
        <f>LN(Inventory[[#This Row],[Acres]])</f>
        <v>-1.5606477482646683</v>
      </c>
      <c r="D2191" s="25">
        <v>0.21</v>
      </c>
      <c r="E2191" s="32">
        <v>9044</v>
      </c>
      <c r="F2191" s="26" t="s">
        <v>537</v>
      </c>
      <c r="G2191" s="26" t="s">
        <v>126</v>
      </c>
      <c r="H2191" s="26" t="s">
        <v>349</v>
      </c>
      <c r="I2191" s="26" t="s">
        <v>538</v>
      </c>
      <c r="J2191" s="26" t="s">
        <v>539</v>
      </c>
      <c r="K2191" s="26" t="s">
        <v>242</v>
      </c>
      <c r="L2191" s="26" t="s">
        <v>205</v>
      </c>
      <c r="M2191" s="26" t="s">
        <v>323</v>
      </c>
      <c r="N2191" s="26">
        <v>110</v>
      </c>
      <c r="O2191" s="26">
        <f>2024-Inventory[[#This Row],[YrBlt]]</f>
        <v>104</v>
      </c>
      <c r="P2191" s="26">
        <f>2024-Inventory[[#This Row],[EffYr]]</f>
        <v>58</v>
      </c>
      <c r="Q2191" s="25">
        <v>1920</v>
      </c>
      <c r="R2191" s="25">
        <v>1966</v>
      </c>
      <c r="S2191" s="25">
        <v>828</v>
      </c>
      <c r="T2191" s="31"/>
      <c r="U2191" s="25">
        <v>828</v>
      </c>
      <c r="V2191" s="32">
        <f>Inventory[[#This Row],[Bsmt]]-Inventory[[#This Row],[FnBsmt]]</f>
        <v>166</v>
      </c>
      <c r="W2191" s="32">
        <v>662</v>
      </c>
      <c r="X2191" s="27"/>
      <c r="Y2191" s="27">
        <f>Inventory[[#This Row],[MainFn]]+Inventory[[#This Row],[UpprFn]]+Inventory[[#This Row],[FnBsmt]]+Inventory[[#This Row],[AddFn]]</f>
        <v>1490</v>
      </c>
      <c r="Z2191" s="27">
        <v>1500</v>
      </c>
      <c r="AA2191" s="25">
        <v>5</v>
      </c>
      <c r="AB2191" s="27"/>
      <c r="AC2191" s="31"/>
      <c r="AD2191" s="31"/>
      <c r="AE2191" s="27"/>
      <c r="AF2191" s="27"/>
      <c r="AG2191" s="27"/>
      <c r="AH2191" s="27"/>
      <c r="AI2191" s="25">
        <v>186315</v>
      </c>
      <c r="AJ2191" s="25">
        <v>115515</v>
      </c>
      <c r="AK2191" s="25">
        <v>4603</v>
      </c>
      <c r="AL2191" s="25">
        <v>272500</v>
      </c>
      <c r="AM2191" s="25">
        <v>60100</v>
      </c>
      <c r="AN2191" s="25">
        <v>212400</v>
      </c>
      <c r="AO2191" s="25">
        <v>0</v>
      </c>
      <c r="AP2191" s="25">
        <f>Lookups!$B$56*0</f>
        <v>0</v>
      </c>
      <c r="AQ2191" s="25">
        <f>Lookups!$B$56*1</f>
        <v>89850.625589999996</v>
      </c>
      <c r="AR2191" s="25">
        <f>Lookups!$B$57*Inventory[[#This Row],[LnAcres]]</f>
        <v>-49401.70477837498</v>
      </c>
      <c r="AS2191" s="25">
        <f>VLOOKUP(Inventory[[#This Row],[Qlty]],Lookups!$A$62:$E$75,2,FALSE)</f>
        <v>0</v>
      </c>
      <c r="AT2191" s="25">
        <f>VLOOKUP(Inventory[[#This Row],[Cnd]],Lookups!$A$76:$E$84,2,FALSE)</f>
        <v>160472.20319</v>
      </c>
      <c r="AU2191" s="25">
        <f>Inventory[[#This Row],[EffAge]]*Lookups!$B$85</f>
        <v>-12936.644829000001</v>
      </c>
      <c r="AV2191" s="25">
        <f>Inventory[[#This Row],[MainFn]]*Lookups!$B$86</f>
        <v>40910.378658155998</v>
      </c>
      <c r="AW2191" s="25">
        <f>Inventory[[#This Row],[UpprFn]]*Lookups!$B$87</f>
        <v>0</v>
      </c>
      <c r="AX2191" s="25">
        <f>Inventory[[#This Row],[AddFn]]*Lookups!$B$88</f>
        <v>0</v>
      </c>
      <c r="AY2191" s="25">
        <f>Inventory[[#This Row],[Bsmt]]*Lookups!$B$89</f>
        <v>24079.809264516</v>
      </c>
      <c r="AZ2191" s="25">
        <f>Inventory[[#This Row],[Fixtures]]*Lookups!$B$90</f>
        <v>18960.110526</v>
      </c>
      <c r="BA2191" s="25">
        <f>Inventory[[#This Row],[WdDeck]]*Lookups!$B$91</f>
        <v>0</v>
      </c>
      <c r="BB2191" s="25">
        <f>ROUND(Inventory[[#This Row],[25Det]],-2)</f>
        <v>4600</v>
      </c>
      <c r="BC2191" s="25">
        <f>ROUND(SUM(Inventory[[#This Row],[Mdl Qlty]:[Mdl WdDeck]])+Inventory[[#This Row],[Mdl Res Intercept]],-2)</f>
        <v>231500</v>
      </c>
      <c r="BD2191" s="25">
        <f>ROUND(Inventory[[#This Row],[Mdl Land Intercept]]+Inventory[[#This Row],[Mdl LnAcres]],-2)</f>
        <v>40400</v>
      </c>
      <c r="BE2191" s="25">
        <f>Inventory[[#This Row],[Unadj Res Value]]+Inventory[[#This Row],[Unadj Det Value]]+Inventory[[#This Row],[Unadj Land Value]]</f>
        <v>276500</v>
      </c>
      <c r="BF2191" s="36">
        <f>(Inventory[[#This Row],[Unadj Total Value]]-Inventory[[#This Row],[24Final]])/Inventory[[#This Row],[24Final]]</f>
        <v>1.4678899082568808E-2</v>
      </c>
      <c r="BG2191" s="25">
        <f>VLOOKUP(Inventory[[#This Row],[Nbhd]],Lookups!$Q$2:$T$4,4,FALSE)</f>
        <v>0.99970000000000003</v>
      </c>
      <c r="BH2191" s="25">
        <f>VLOOKUP(Inventory[[#This Row],[Qlty]],Lookups!$O$7:$R$21,4,FALSE)</f>
        <v>0.99180000000000001</v>
      </c>
      <c r="BI2191" s="25">
        <f>VLOOKUP(Inventory[[#This Row],[Cnd]],Lookups!$T$7:$W$16,4,FALSE)</f>
        <v>0.99729999999999996</v>
      </c>
      <c r="BJ2191" s="25">
        <f>VLOOKUP(Inventory[[#This Row],[LivArea Range]],Lookups!$T$25:$W$37,4,FALSE)</f>
        <v>1.0157</v>
      </c>
      <c r="BK2191" s="25">
        <f>VLOOKUP(Inventory[[#This Row],[Decade]],Lookups!$O$25:$R$42,4,FALSE)</f>
        <v>0.96040000000000003</v>
      </c>
      <c r="BL2191" s="25">
        <f>Inventory[[#This Row],[Nbhd Adj]]*0.95</f>
        <v>0.94971499999999998</v>
      </c>
      <c r="BM2191" s="25">
        <f>Inventory[[#This Row],[Nbhd Adj]]*Inventory[[#This Row],[Quality Adj]]*Inventory[[#This Row],[Condition Adj]]*Inventory[[#This Row],[Living Area Adj]]*Inventory[[#This Row],[Decade Adj]]*0.95</f>
        <v>0.91634881850356975</v>
      </c>
      <c r="BN2191" s="25">
        <f>ROUND(SUM(Inventory[[#This Row],[Mdl Qlty]:[Mdl WdDeck]])+Inventory[[#This Row],[Mdl Res Intercept]]*Inventory[[#This Row],[Res Adj ]],-2)</f>
        <v>231500</v>
      </c>
      <c r="BO2191" s="25">
        <f>ROUND(Inventory[[#This Row],[25Det]]*Inventory[[#This Row],[Det/Nbhd Adj]],-2)</f>
        <v>4400</v>
      </c>
      <c r="BP2191" s="25">
        <f>Inventory[[#This Row],[Adjusted Res]]+Inventory[[#This Row],[Adj Det ]]</f>
        <v>235900</v>
      </c>
      <c r="BQ2191" s="25">
        <f>ROUND((Inventory[[#This Row],[Mdl Land Intercept]]+Inventory[[#This Row],[Mdl LnAcres]])*Inventory[[#This Row],[Det/Nbhd Adj]],-2)</f>
        <v>38400</v>
      </c>
      <c r="BR2191" s="25">
        <f>Inventory[[#This Row],[Adjusted Impr Total]]+Inventory[[#This Row],[Adjusted Land Total]]</f>
        <v>274300</v>
      </c>
      <c r="BS2191" s="36">
        <f>IFERROR((Inventory[[#This Row],[Adjusted Impr Total]]-Inventory[[#This Row],[24Bldg]])/Inventory[[#This Row],[24Bldg]],0)</f>
        <v>0.11064030131826742</v>
      </c>
      <c r="BT2191" s="36">
        <f>(Inventory[[#This Row],[Adjusted Land Total]]-Inventory[[#This Row],[24Lnd]])/Inventory[[#This Row],[24Lnd]]</f>
        <v>-0.36106489184692181</v>
      </c>
      <c r="BU2191" s="36">
        <f>(Inventory[[#This Row],[Adjusted Total]]-Inventory[[#This Row],[24Final]])/Inventory[[#This Row],[24Final]]</f>
        <v>6.6055045871559635E-3</v>
      </c>
    </row>
    <row r="2192" spans="1:73" x14ac:dyDescent="0.3">
      <c r="A2192" s="25">
        <v>2025</v>
      </c>
      <c r="B2192" s="26" t="s">
        <v>1055</v>
      </c>
      <c r="C2192" s="26">
        <f>LN(Inventory[[#This Row],[Acres]])</f>
        <v>-1.8325814637483102</v>
      </c>
      <c r="D2192" s="25">
        <v>0.16</v>
      </c>
      <c r="E2192" s="27"/>
      <c r="F2192" s="26" t="s">
        <v>537</v>
      </c>
      <c r="G2192" s="26" t="s">
        <v>126</v>
      </c>
      <c r="H2192" s="26" t="s">
        <v>349</v>
      </c>
      <c r="I2192" s="26" t="s">
        <v>538</v>
      </c>
      <c r="J2192" s="26" t="s">
        <v>539</v>
      </c>
      <c r="K2192" s="26" t="s">
        <v>242</v>
      </c>
      <c r="L2192" s="26" t="s">
        <v>302</v>
      </c>
      <c r="M2192" s="26" t="s">
        <v>323</v>
      </c>
      <c r="N2192" s="26">
        <v>110</v>
      </c>
      <c r="O2192" s="26">
        <f>2024-Inventory[[#This Row],[YrBlt]]</f>
        <v>104</v>
      </c>
      <c r="P2192" s="26">
        <f>2024-Inventory[[#This Row],[EffYr]]</f>
        <v>58</v>
      </c>
      <c r="Q2192" s="25">
        <v>1920</v>
      </c>
      <c r="R2192" s="25">
        <v>1966</v>
      </c>
      <c r="S2192" s="25">
        <v>1194</v>
      </c>
      <c r="T2192" s="27"/>
      <c r="U2192" s="25">
        <v>1194</v>
      </c>
      <c r="V2192" s="25">
        <f>Inventory[[#This Row],[Bsmt]]-Inventory[[#This Row],[FnBsmt]]</f>
        <v>0</v>
      </c>
      <c r="W2192" s="25">
        <v>1194</v>
      </c>
      <c r="X2192" s="27"/>
      <c r="Y2192" s="27">
        <f>Inventory[[#This Row],[MainFn]]+Inventory[[#This Row],[UpprFn]]+Inventory[[#This Row],[FnBsmt]]+Inventory[[#This Row],[AddFn]]</f>
        <v>2388</v>
      </c>
      <c r="Z2192" s="27">
        <v>2500</v>
      </c>
      <c r="AA2192" s="25">
        <v>8</v>
      </c>
      <c r="AB2192" s="32">
        <v>240</v>
      </c>
      <c r="AC2192" s="27"/>
      <c r="AD2192" s="27"/>
      <c r="AE2192" s="27"/>
      <c r="AF2192" s="27"/>
      <c r="AG2192" s="27"/>
      <c r="AH2192" s="27"/>
      <c r="AI2192" s="25">
        <v>355027</v>
      </c>
      <c r="AJ2192" s="25">
        <v>220117</v>
      </c>
      <c r="AK2192" s="25">
        <v>0</v>
      </c>
      <c r="AL2192" s="25">
        <v>329700</v>
      </c>
      <c r="AM2192" s="25">
        <v>50600</v>
      </c>
      <c r="AN2192" s="25">
        <v>279100</v>
      </c>
      <c r="AO2192" s="25">
        <v>0</v>
      </c>
      <c r="AP2192" s="25">
        <f>Lookups!$B$56*0</f>
        <v>0</v>
      </c>
      <c r="AQ2192" s="25">
        <f>Lookups!$B$56*1</f>
        <v>89850.625589999996</v>
      </c>
      <c r="AR2192" s="25">
        <f>Lookups!$B$57*Inventory[[#This Row],[LnAcres]]</f>
        <v>-58009.662049032086</v>
      </c>
      <c r="AS2192" s="25">
        <f>VLOOKUP(Inventory[[#This Row],[Qlty]],Lookups!$A$62:$E$75,2,FALSE)</f>
        <v>29814.093161000001</v>
      </c>
      <c r="AT2192" s="25">
        <f>VLOOKUP(Inventory[[#This Row],[Cnd]],Lookups!$A$76:$E$84,2,FALSE)</f>
        <v>160472.20319</v>
      </c>
      <c r="AU2192" s="25">
        <f>Inventory[[#This Row],[EffAge]]*Lookups!$B$85</f>
        <v>-12936.644829000001</v>
      </c>
      <c r="AV2192" s="25">
        <f>Inventory[[#This Row],[MainFn]]*Lookups!$B$86</f>
        <v>58993.951833138002</v>
      </c>
      <c r="AW2192" s="25">
        <f>Inventory[[#This Row],[UpprFn]]*Lookups!$B$87</f>
        <v>0</v>
      </c>
      <c r="AX2192" s="25">
        <f>Inventory[[#This Row],[AddFn]]*Lookups!$B$88</f>
        <v>0</v>
      </c>
      <c r="AY2192" s="25">
        <f>Inventory[[#This Row],[Bsmt]]*Lookups!$B$89</f>
        <v>34723.782924917999</v>
      </c>
      <c r="AZ2192" s="25">
        <f>Inventory[[#This Row],[Fixtures]]*Lookups!$B$90</f>
        <v>30336.176841600001</v>
      </c>
      <c r="BA2192" s="25">
        <f>Inventory[[#This Row],[WdDeck]]*Lookups!$B$91</f>
        <v>0</v>
      </c>
      <c r="BB2192" s="25">
        <f>ROUND(Inventory[[#This Row],[25Det]],-2)</f>
        <v>0</v>
      </c>
      <c r="BC2192" s="25">
        <f>ROUND(SUM(Inventory[[#This Row],[Mdl Qlty]:[Mdl WdDeck]])+Inventory[[#This Row],[Mdl Res Intercept]],-2)</f>
        <v>301400</v>
      </c>
      <c r="BD2192" s="25">
        <f>ROUND(Inventory[[#This Row],[Mdl Land Intercept]]+Inventory[[#This Row],[Mdl LnAcres]],-2)</f>
        <v>31800</v>
      </c>
      <c r="BE2192" s="25">
        <f>Inventory[[#This Row],[Unadj Res Value]]+Inventory[[#This Row],[Unadj Det Value]]+Inventory[[#This Row],[Unadj Land Value]]</f>
        <v>333200</v>
      </c>
      <c r="BF2192" s="36">
        <f>(Inventory[[#This Row],[Unadj Total Value]]-Inventory[[#This Row],[24Final]])/Inventory[[#This Row],[24Final]]</f>
        <v>1.0615711252653927E-2</v>
      </c>
      <c r="BG2192" s="25">
        <f>VLOOKUP(Inventory[[#This Row],[Nbhd]],Lookups!$Q$2:$T$4,4,FALSE)</f>
        <v>0.99970000000000003</v>
      </c>
      <c r="BH2192" s="25">
        <f>VLOOKUP(Inventory[[#This Row],[Qlty]],Lookups!$O$7:$R$21,4,FALSE)</f>
        <v>1.0088999999999999</v>
      </c>
      <c r="BI2192" s="25">
        <f>VLOOKUP(Inventory[[#This Row],[Cnd]],Lookups!$T$7:$W$16,4,FALSE)</f>
        <v>0.99729999999999996</v>
      </c>
      <c r="BJ2192" s="25">
        <f>VLOOKUP(Inventory[[#This Row],[LivArea Range]],Lookups!$T$25:$W$37,4,FALSE)</f>
        <v>0.98919999999999997</v>
      </c>
      <c r="BK2192" s="25">
        <f>VLOOKUP(Inventory[[#This Row],[Decade]],Lookups!$O$25:$R$42,4,FALSE)</f>
        <v>0.96040000000000003</v>
      </c>
      <c r="BL2192" s="25">
        <f>Inventory[[#This Row],[Nbhd Adj]]*0.95</f>
        <v>0.94971499999999998</v>
      </c>
      <c r="BM2192" s="25">
        <f>Inventory[[#This Row],[Nbhd Adj]]*Inventory[[#This Row],[Quality Adj]]*Inventory[[#This Row],[Condition Adj]]*Inventory[[#This Row],[Living Area Adj]]*Inventory[[#This Row],[Decade Adj]]*0.95</f>
        <v>0.90782784124690863</v>
      </c>
      <c r="BN2192" s="25">
        <f>ROUND(SUM(Inventory[[#This Row],[Mdl Qlty]:[Mdl WdDeck]])+Inventory[[#This Row],[Mdl Res Intercept]]*Inventory[[#This Row],[Res Adj ]],-2)</f>
        <v>301400</v>
      </c>
      <c r="BO2192" s="25">
        <f>ROUND(Inventory[[#This Row],[25Det]]*Inventory[[#This Row],[Det/Nbhd Adj]],-2)</f>
        <v>0</v>
      </c>
      <c r="BP2192" s="25">
        <f>Inventory[[#This Row],[Adjusted Res]]+Inventory[[#This Row],[Adj Det ]]</f>
        <v>301400</v>
      </c>
      <c r="BQ2192" s="25">
        <f>ROUND((Inventory[[#This Row],[Mdl Land Intercept]]+Inventory[[#This Row],[Mdl LnAcres]])*Inventory[[#This Row],[Det/Nbhd Adj]],-2)</f>
        <v>30200</v>
      </c>
      <c r="BR2192" s="25">
        <f>Inventory[[#This Row],[Adjusted Impr Total]]+Inventory[[#This Row],[Adjusted Land Total]]</f>
        <v>331600</v>
      </c>
      <c r="BS2192" s="36">
        <f>IFERROR((Inventory[[#This Row],[Adjusted Impr Total]]-Inventory[[#This Row],[24Bldg]])/Inventory[[#This Row],[24Bldg]],0)</f>
        <v>7.9899677534933711E-2</v>
      </c>
      <c r="BT2192" s="36">
        <f>(Inventory[[#This Row],[Adjusted Land Total]]-Inventory[[#This Row],[24Lnd]])/Inventory[[#This Row],[24Lnd]]</f>
        <v>-0.40316205533596838</v>
      </c>
      <c r="BU2192" s="36">
        <f>(Inventory[[#This Row],[Adjusted Total]]-Inventory[[#This Row],[24Final]])/Inventory[[#This Row],[24Final]]</f>
        <v>5.7628146800121323E-3</v>
      </c>
    </row>
    <row r="2193" spans="1:73" x14ac:dyDescent="0.3">
      <c r="A2193" s="25">
        <v>2025</v>
      </c>
      <c r="B2193" s="26" t="s">
        <v>2283</v>
      </c>
      <c r="C2193" s="26">
        <f>LN(Inventory[[#This Row],[Acres]])</f>
        <v>-1.2378743560016174</v>
      </c>
      <c r="D2193" s="25">
        <v>0.28999999999999998</v>
      </c>
      <c r="E2193" s="32">
        <v>12844</v>
      </c>
      <c r="F2193" s="26" t="s">
        <v>537</v>
      </c>
      <c r="G2193" s="26" t="s">
        <v>126</v>
      </c>
      <c r="H2193" s="26" t="s">
        <v>349</v>
      </c>
      <c r="I2193" s="26" t="s">
        <v>538</v>
      </c>
      <c r="J2193" s="26" t="s">
        <v>539</v>
      </c>
      <c r="K2193" s="26" t="s">
        <v>4</v>
      </c>
      <c r="L2193" s="26" t="s">
        <v>148</v>
      </c>
      <c r="M2193" s="26" t="s">
        <v>206</v>
      </c>
      <c r="N2193" s="26">
        <v>110</v>
      </c>
      <c r="O2193" s="26">
        <f>2024-Inventory[[#This Row],[YrBlt]]</f>
        <v>104</v>
      </c>
      <c r="P2193" s="26">
        <f>2024-Inventory[[#This Row],[EffYr]]</f>
        <v>58</v>
      </c>
      <c r="Q2193" s="25">
        <v>1920</v>
      </c>
      <c r="R2193" s="25">
        <v>1966</v>
      </c>
      <c r="S2193" s="25">
        <v>1875</v>
      </c>
      <c r="T2193" s="27"/>
      <c r="U2193" s="25">
        <v>1875</v>
      </c>
      <c r="V2193" s="25">
        <f>Inventory[[#This Row],[Bsmt]]-Inventory[[#This Row],[FnBsmt]]</f>
        <v>395</v>
      </c>
      <c r="W2193" s="25">
        <v>1480</v>
      </c>
      <c r="X2193" s="27"/>
      <c r="Y2193" s="27">
        <f>Inventory[[#This Row],[MainFn]]+Inventory[[#This Row],[UpprFn]]+Inventory[[#This Row],[FnBsmt]]+Inventory[[#This Row],[AddFn]]</f>
        <v>3355</v>
      </c>
      <c r="Z2193" s="27">
        <v>3500</v>
      </c>
      <c r="AA2193" s="25">
        <v>11</v>
      </c>
      <c r="AB2193" s="32">
        <v>483</v>
      </c>
      <c r="AC2193" s="32">
        <v>176</v>
      </c>
      <c r="AD2193" s="31"/>
      <c r="AE2193" s="27"/>
      <c r="AF2193" s="27"/>
      <c r="AG2193" s="27"/>
      <c r="AH2193" s="27"/>
      <c r="AI2193" s="25">
        <v>639296</v>
      </c>
      <c r="AJ2193" s="25">
        <v>383578</v>
      </c>
      <c r="AK2193" s="25">
        <v>0</v>
      </c>
      <c r="AL2193" s="25">
        <v>402000</v>
      </c>
      <c r="AM2193" s="25">
        <v>71400</v>
      </c>
      <c r="AN2193" s="25">
        <v>330600</v>
      </c>
      <c r="AO2193" s="25">
        <v>0</v>
      </c>
      <c r="AP2193" s="25">
        <f>Lookups!$B$56*0</f>
        <v>0</v>
      </c>
      <c r="AQ2193" s="25">
        <f>Lookups!$B$56*1</f>
        <v>89850.625589999996</v>
      </c>
      <c r="AR2193" s="25">
        <f>Lookups!$B$57*Inventory[[#This Row],[LnAcres]]</f>
        <v>-39184.437074869042</v>
      </c>
      <c r="AS2193" s="25">
        <f>VLOOKUP(Inventory[[#This Row],[Qlty]],Lookups!$A$62:$E$75,2,FALSE)</f>
        <v>44121.038090000002</v>
      </c>
      <c r="AT2193" s="25">
        <f>VLOOKUP(Inventory[[#This Row],[Cnd]],Lookups!$A$76:$E$84,2,FALSE)</f>
        <v>133714.53821</v>
      </c>
      <c r="AU2193" s="25">
        <f>Inventory[[#This Row],[EffAge]]*Lookups!$B$85</f>
        <v>-12936.644829000001</v>
      </c>
      <c r="AV2193" s="25">
        <f>Inventory[[#This Row],[MainFn]]*Lookups!$B$86</f>
        <v>92641.256019374996</v>
      </c>
      <c r="AW2193" s="25">
        <f>Inventory[[#This Row],[UpprFn]]*Lookups!$B$87</f>
        <v>0</v>
      </c>
      <c r="AX2193" s="25">
        <f>Inventory[[#This Row],[AddFn]]*Lookups!$B$88</f>
        <v>0</v>
      </c>
      <c r="AY2193" s="25">
        <f>Inventory[[#This Row],[Bsmt]]*Lookups!$B$89</f>
        <v>54528.553588124996</v>
      </c>
      <c r="AZ2193" s="25">
        <f>Inventory[[#This Row],[Fixtures]]*Lookups!$B$90</f>
        <v>41712.243157199999</v>
      </c>
      <c r="BA2193" s="25">
        <f>Inventory[[#This Row],[WdDeck]]*Lookups!$B$91</f>
        <v>0</v>
      </c>
      <c r="BB2193" s="25">
        <f>ROUND(Inventory[[#This Row],[25Det]],-2)</f>
        <v>0</v>
      </c>
      <c r="BC2193" s="25">
        <f>ROUND(SUM(Inventory[[#This Row],[Mdl Qlty]:[Mdl WdDeck]])+Inventory[[#This Row],[Mdl Res Intercept]],-2)</f>
        <v>353800</v>
      </c>
      <c r="BD2193" s="25">
        <f>ROUND(Inventory[[#This Row],[Mdl Land Intercept]]+Inventory[[#This Row],[Mdl LnAcres]],-2)</f>
        <v>50700</v>
      </c>
      <c r="BE2193" s="25">
        <f>Inventory[[#This Row],[Unadj Res Value]]+Inventory[[#This Row],[Unadj Det Value]]+Inventory[[#This Row],[Unadj Land Value]]</f>
        <v>404500</v>
      </c>
      <c r="BF2193" s="36">
        <f>(Inventory[[#This Row],[Unadj Total Value]]-Inventory[[#This Row],[24Final]])/Inventory[[#This Row],[24Final]]</f>
        <v>6.2189054726368162E-3</v>
      </c>
      <c r="BG2193" s="25">
        <f>VLOOKUP(Inventory[[#This Row],[Nbhd]],Lookups!$Q$2:$T$4,4,FALSE)</f>
        <v>0.99970000000000003</v>
      </c>
      <c r="BH2193" s="25">
        <f>VLOOKUP(Inventory[[#This Row],[Qlty]],Lookups!$O$7:$R$21,4,FALSE)</f>
        <v>0.98050000000000004</v>
      </c>
      <c r="BI2193" s="25">
        <f>VLOOKUP(Inventory[[#This Row],[Cnd]],Lookups!$T$7:$W$16,4,FALSE)</f>
        <v>0.99329999999999996</v>
      </c>
      <c r="BJ2193" s="25">
        <f>VLOOKUP(Inventory[[#This Row],[LivArea Range]],Lookups!$T$25:$W$37,4,FALSE)</f>
        <v>1.0126999999999999</v>
      </c>
      <c r="BK2193" s="25">
        <f>VLOOKUP(Inventory[[#This Row],[Decade]],Lookups!$O$25:$R$42,4,FALSE)</f>
        <v>0.96040000000000003</v>
      </c>
      <c r="BL2193" s="25">
        <f>Inventory[[#This Row],[Nbhd Adj]]*0.95</f>
        <v>0.94971499999999998</v>
      </c>
      <c r="BM2193" s="25">
        <f>Inventory[[#This Row],[Nbhd Adj]]*Inventory[[#This Row],[Quality Adj]]*Inventory[[#This Row],[Condition Adj]]*Inventory[[#This Row],[Living Area Adj]]*Inventory[[#This Row],[Decade Adj]]*0.95</f>
        <v>0.89961003699657771</v>
      </c>
      <c r="BN2193" s="25">
        <f>ROUND(SUM(Inventory[[#This Row],[Mdl Qlty]:[Mdl WdDeck]])+Inventory[[#This Row],[Mdl Res Intercept]]*Inventory[[#This Row],[Res Adj ]],-2)</f>
        <v>353800</v>
      </c>
      <c r="BO2193" s="25">
        <f>ROUND(Inventory[[#This Row],[25Det]]*Inventory[[#This Row],[Det/Nbhd Adj]],-2)</f>
        <v>0</v>
      </c>
      <c r="BP2193" s="25">
        <f>Inventory[[#This Row],[Adjusted Res]]+Inventory[[#This Row],[Adj Det ]]</f>
        <v>353800</v>
      </c>
      <c r="BQ2193" s="25">
        <f>ROUND((Inventory[[#This Row],[Mdl Land Intercept]]+Inventory[[#This Row],[Mdl LnAcres]])*Inventory[[#This Row],[Det/Nbhd Adj]],-2)</f>
        <v>48100</v>
      </c>
      <c r="BR2193" s="25">
        <f>Inventory[[#This Row],[Adjusted Impr Total]]+Inventory[[#This Row],[Adjusted Land Total]]</f>
        <v>401900</v>
      </c>
      <c r="BS2193" s="36">
        <f>IFERROR((Inventory[[#This Row],[Adjusted Impr Total]]-Inventory[[#This Row],[24Bldg]])/Inventory[[#This Row],[24Bldg]],0)</f>
        <v>7.0175438596491224E-2</v>
      </c>
      <c r="BT2193" s="36">
        <f>(Inventory[[#This Row],[Adjusted Land Total]]-Inventory[[#This Row],[24Lnd]])/Inventory[[#This Row],[24Lnd]]</f>
        <v>-0.32633053221288516</v>
      </c>
      <c r="BU2193" s="36">
        <f>(Inventory[[#This Row],[Adjusted Total]]-Inventory[[#This Row],[24Final]])/Inventory[[#This Row],[24Final]]</f>
        <v>-2.4875621890547262E-4</v>
      </c>
    </row>
    <row r="2194" spans="1:73" x14ac:dyDescent="0.3">
      <c r="A2194" s="25">
        <v>2025</v>
      </c>
      <c r="B2194" s="26" t="s">
        <v>1251</v>
      </c>
      <c r="C2194" s="26">
        <f>LN(Inventory[[#This Row],[Acres]])</f>
        <v>-1.3093333199837622</v>
      </c>
      <c r="D2194" s="25">
        <v>0.27</v>
      </c>
      <c r="E2194" s="32">
        <v>11742</v>
      </c>
      <c r="F2194" s="26" t="s">
        <v>537</v>
      </c>
      <c r="G2194" s="26" t="s">
        <v>126</v>
      </c>
      <c r="H2194" s="26" t="s">
        <v>349</v>
      </c>
      <c r="I2194" s="26" t="s">
        <v>538</v>
      </c>
      <c r="J2194" s="26" t="s">
        <v>539</v>
      </c>
      <c r="K2194" s="26" t="s">
        <v>147</v>
      </c>
      <c r="L2194" s="26" t="s">
        <v>95</v>
      </c>
      <c r="M2194" s="26" t="s">
        <v>303</v>
      </c>
      <c r="N2194" s="26">
        <v>110</v>
      </c>
      <c r="O2194" s="26">
        <f>2024-Inventory[[#This Row],[YrBlt]]</f>
        <v>104</v>
      </c>
      <c r="P2194" s="26">
        <f>2024-Inventory[[#This Row],[EffYr]]</f>
        <v>58</v>
      </c>
      <c r="Q2194" s="25">
        <v>1920</v>
      </c>
      <c r="R2194" s="25">
        <v>1966</v>
      </c>
      <c r="S2194" s="25">
        <v>2350</v>
      </c>
      <c r="T2194" s="32">
        <v>680</v>
      </c>
      <c r="U2194" s="25">
        <v>2047</v>
      </c>
      <c r="V2194" s="32">
        <f>Inventory[[#This Row],[Bsmt]]-Inventory[[#This Row],[FnBsmt]]</f>
        <v>0</v>
      </c>
      <c r="W2194" s="32">
        <v>2047</v>
      </c>
      <c r="X2194" s="27"/>
      <c r="Y2194" s="27">
        <f>Inventory[[#This Row],[MainFn]]+Inventory[[#This Row],[UpprFn]]+Inventory[[#This Row],[FnBsmt]]+Inventory[[#This Row],[AddFn]]</f>
        <v>5077</v>
      </c>
      <c r="Z2194" s="27">
        <v>5000</v>
      </c>
      <c r="AA2194" s="25">
        <v>14</v>
      </c>
      <c r="AB2194" s="27"/>
      <c r="AC2194" s="27"/>
      <c r="AD2194" s="32">
        <v>113</v>
      </c>
      <c r="AE2194" s="27"/>
      <c r="AF2194" s="27"/>
      <c r="AG2194" s="27"/>
      <c r="AH2194" s="27"/>
      <c r="AI2194" s="25">
        <v>870987</v>
      </c>
      <c r="AJ2194" s="25">
        <v>566142</v>
      </c>
      <c r="AK2194" s="25">
        <v>0</v>
      </c>
      <c r="AL2194" s="25">
        <v>587400</v>
      </c>
      <c r="AM2194" s="25">
        <v>68900</v>
      </c>
      <c r="AN2194" s="25">
        <v>518500</v>
      </c>
      <c r="AO2194" s="25">
        <v>0</v>
      </c>
      <c r="AP2194" s="25">
        <f>Lookups!$B$56*0</f>
        <v>0</v>
      </c>
      <c r="AQ2194" s="25">
        <f>Lookups!$B$56*1</f>
        <v>89850.625589999996</v>
      </c>
      <c r="AR2194" s="25">
        <f>Lookups!$B$57*Inventory[[#This Row],[LnAcres]]</f>
        <v>-41446.443120973789</v>
      </c>
      <c r="AS2194" s="25">
        <f>VLOOKUP(Inventory[[#This Row],[Qlty]],Lookups!$A$62:$E$75,2,FALSE)</f>
        <v>74268.409664999999</v>
      </c>
      <c r="AT2194" s="25">
        <f>VLOOKUP(Inventory[[#This Row],[Cnd]],Lookups!$A$76:$E$84,2,FALSE)</f>
        <v>197752.34721000001</v>
      </c>
      <c r="AU2194" s="25">
        <f>Inventory[[#This Row],[EffAge]]*Lookups!$B$85</f>
        <v>-12936.644829000001</v>
      </c>
      <c r="AV2194" s="25">
        <f>Inventory[[#This Row],[MainFn]]*Lookups!$B$86</f>
        <v>116110.37421095</v>
      </c>
      <c r="AW2194" s="25">
        <f>Inventory[[#This Row],[UpprFn]]*Lookups!$B$87</f>
        <v>30454.767545479997</v>
      </c>
      <c r="AX2194" s="25">
        <f>Inventory[[#This Row],[AddFn]]*Lookups!$B$88</f>
        <v>0</v>
      </c>
      <c r="AY2194" s="25">
        <f>Inventory[[#This Row],[Bsmt]]*Lookups!$B$89</f>
        <v>59530.639570608997</v>
      </c>
      <c r="AZ2194" s="25">
        <f>Inventory[[#This Row],[Fixtures]]*Lookups!$B$90</f>
        <v>53088.3094728</v>
      </c>
      <c r="BA2194" s="25">
        <f>Inventory[[#This Row],[WdDeck]]*Lookups!$B$91</f>
        <v>3762.3932261880004</v>
      </c>
      <c r="BB2194" s="25">
        <f>ROUND(Inventory[[#This Row],[25Det]],-2)</f>
        <v>0</v>
      </c>
      <c r="BC2194" s="25">
        <f>ROUND(SUM(Inventory[[#This Row],[Mdl Qlty]:[Mdl WdDeck]])+Inventory[[#This Row],[Mdl Res Intercept]],-2)</f>
        <v>522000</v>
      </c>
      <c r="BD2194" s="25">
        <f>ROUND(Inventory[[#This Row],[Mdl Land Intercept]]+Inventory[[#This Row],[Mdl LnAcres]],-2)</f>
        <v>48400</v>
      </c>
      <c r="BE2194" s="25">
        <f>Inventory[[#This Row],[Unadj Res Value]]+Inventory[[#This Row],[Unadj Det Value]]+Inventory[[#This Row],[Unadj Land Value]]</f>
        <v>570400</v>
      </c>
      <c r="BF2194" s="36">
        <f>(Inventory[[#This Row],[Unadj Total Value]]-Inventory[[#This Row],[24Final]])/Inventory[[#This Row],[24Final]]</f>
        <v>-2.8941096356826693E-2</v>
      </c>
      <c r="BG2194" s="25">
        <f>VLOOKUP(Inventory[[#This Row],[Nbhd]],Lookups!$Q$2:$T$4,4,FALSE)</f>
        <v>0.99970000000000003</v>
      </c>
      <c r="BH2194" s="25">
        <f>VLOOKUP(Inventory[[#This Row],[Qlty]],Lookups!$O$7:$R$21,4,FALSE)</f>
        <v>0.98380000000000001</v>
      </c>
      <c r="BI2194" s="25">
        <f>VLOOKUP(Inventory[[#This Row],[Cnd]],Lookups!$T$7:$W$16,4,FALSE)</f>
        <v>0.99650000000000005</v>
      </c>
      <c r="BJ2194" s="25">
        <f>VLOOKUP(Inventory[[#This Row],[LivArea Range]],Lookups!$T$25:$W$37,4,FALSE)</f>
        <v>1</v>
      </c>
      <c r="BK2194" s="25">
        <f>VLOOKUP(Inventory[[#This Row],[Decade]],Lookups!$O$25:$R$42,4,FALSE)</f>
        <v>0.96040000000000003</v>
      </c>
      <c r="BL2194" s="25">
        <f>Inventory[[#This Row],[Nbhd Adj]]*0.95</f>
        <v>0.94971499999999998</v>
      </c>
      <c r="BM2194" s="25">
        <f>Inventory[[#This Row],[Nbhd Adj]]*Inventory[[#This Row],[Quality Adj]]*Inventory[[#This Row],[Condition Adj]]*Inventory[[#This Row],[Living Area Adj]]*Inventory[[#This Row],[Decade Adj]]*0.95</f>
        <v>0.89418950859221624</v>
      </c>
      <c r="BN2194" s="25">
        <f>ROUND(SUM(Inventory[[#This Row],[Mdl Qlty]:[Mdl WdDeck]])+Inventory[[#This Row],[Mdl Res Intercept]]*Inventory[[#This Row],[Res Adj ]],-2)</f>
        <v>522000</v>
      </c>
      <c r="BO2194" s="25">
        <f>ROUND(Inventory[[#This Row],[25Det]]*Inventory[[#This Row],[Det/Nbhd Adj]],-2)</f>
        <v>0</v>
      </c>
      <c r="BP2194" s="25">
        <f>Inventory[[#This Row],[Adjusted Res]]+Inventory[[#This Row],[Adj Det ]]</f>
        <v>522000</v>
      </c>
      <c r="BQ2194" s="25">
        <f>ROUND((Inventory[[#This Row],[Mdl Land Intercept]]+Inventory[[#This Row],[Mdl LnAcres]])*Inventory[[#This Row],[Det/Nbhd Adj]],-2)</f>
        <v>46000</v>
      </c>
      <c r="BR2194" s="25">
        <f>Inventory[[#This Row],[Adjusted Impr Total]]+Inventory[[#This Row],[Adjusted Land Total]]</f>
        <v>568000</v>
      </c>
      <c r="BS2194" s="36">
        <f>IFERROR((Inventory[[#This Row],[Adjusted Impr Total]]-Inventory[[#This Row],[24Bldg]])/Inventory[[#This Row],[24Bldg]],0)</f>
        <v>6.7502410800385727E-3</v>
      </c>
      <c r="BT2194" s="36">
        <f>(Inventory[[#This Row],[Adjusted Land Total]]-Inventory[[#This Row],[24Lnd]])/Inventory[[#This Row],[24Lnd]]</f>
        <v>-0.33236574746008707</v>
      </c>
      <c r="BU2194" s="36">
        <f>(Inventory[[#This Row],[Adjusted Total]]-Inventory[[#This Row],[24Final]])/Inventory[[#This Row],[24Final]]</f>
        <v>-3.3026898195437519E-2</v>
      </c>
    </row>
    <row r="2195" spans="1:73" x14ac:dyDescent="0.3">
      <c r="A2195" s="25">
        <v>2025</v>
      </c>
      <c r="B2195" s="26" t="s">
        <v>2470</v>
      </c>
      <c r="C2195" s="26">
        <f>LN(Inventory[[#This Row],[Acres]])</f>
        <v>-1.2039728043259361</v>
      </c>
      <c r="D2195" s="25">
        <v>0.3</v>
      </c>
      <c r="E2195" s="27"/>
      <c r="F2195" s="26" t="s">
        <v>537</v>
      </c>
      <c r="G2195" s="26" t="s">
        <v>126</v>
      </c>
      <c r="H2195" s="26" t="s">
        <v>349</v>
      </c>
      <c r="I2195" s="26" t="s">
        <v>538</v>
      </c>
      <c r="J2195" s="26" t="s">
        <v>539</v>
      </c>
      <c r="K2195" s="26" t="s">
        <v>416</v>
      </c>
      <c r="L2195" s="26" t="s">
        <v>351</v>
      </c>
      <c r="M2195" s="26" t="s">
        <v>206</v>
      </c>
      <c r="N2195" s="26">
        <v>110</v>
      </c>
      <c r="O2195" s="26">
        <f>2024-Inventory[[#This Row],[YrBlt]]</f>
        <v>104</v>
      </c>
      <c r="P2195" s="26">
        <f>2024-Inventory[[#This Row],[EffYr]]</f>
        <v>58</v>
      </c>
      <c r="Q2195" s="25">
        <v>1920</v>
      </c>
      <c r="R2195" s="25">
        <v>1966</v>
      </c>
      <c r="S2195" s="25">
        <v>1252</v>
      </c>
      <c r="T2195" s="32">
        <v>1252</v>
      </c>
      <c r="U2195" s="32">
        <v>1252</v>
      </c>
      <c r="V2195" s="32">
        <f>Inventory[[#This Row],[Bsmt]]-Inventory[[#This Row],[FnBsmt]]</f>
        <v>0</v>
      </c>
      <c r="W2195" s="32">
        <v>1252</v>
      </c>
      <c r="X2195" s="27"/>
      <c r="Y2195" s="27">
        <f>Inventory[[#This Row],[MainFn]]+Inventory[[#This Row],[UpprFn]]+Inventory[[#This Row],[FnBsmt]]+Inventory[[#This Row],[AddFn]]</f>
        <v>3756</v>
      </c>
      <c r="Z2195" s="27">
        <v>4000</v>
      </c>
      <c r="AA2195" s="25">
        <v>10</v>
      </c>
      <c r="AB2195" s="27"/>
      <c r="AC2195" s="27"/>
      <c r="AD2195" s="27"/>
      <c r="AE2195" s="27"/>
      <c r="AF2195" s="27"/>
      <c r="AG2195" s="27"/>
      <c r="AH2195" s="27"/>
      <c r="AI2195" s="25">
        <v>466403</v>
      </c>
      <c r="AJ2195" s="25">
        <v>279842</v>
      </c>
      <c r="AK2195" s="25">
        <v>7693</v>
      </c>
      <c r="AL2195" s="25">
        <v>409500</v>
      </c>
      <c r="AM2195" s="25">
        <v>72500</v>
      </c>
      <c r="AN2195" s="25">
        <v>337000</v>
      </c>
      <c r="AO2195" s="25">
        <v>0</v>
      </c>
      <c r="AP2195" s="25">
        <f>Lookups!$B$56*0</f>
        <v>0</v>
      </c>
      <c r="AQ2195" s="25">
        <f>Lookups!$B$56*1</f>
        <v>89850.625589999996</v>
      </c>
      <c r="AR2195" s="25">
        <f>Lookups!$B$57*Inventory[[#This Row],[LnAcres]]</f>
        <v>-38111.29648355169</v>
      </c>
      <c r="AS2195" s="25">
        <f>VLOOKUP(Inventory[[#This Row],[Qlty]],Lookups!$A$62:$E$75,2,FALSE)</f>
        <v>21557.329055999999</v>
      </c>
      <c r="AT2195" s="25">
        <f>VLOOKUP(Inventory[[#This Row],[Cnd]],Lookups!$A$76:$E$84,2,FALSE)</f>
        <v>133714.53821</v>
      </c>
      <c r="AU2195" s="25">
        <f>Inventory[[#This Row],[EffAge]]*Lookups!$B$85</f>
        <v>-12936.644829000001</v>
      </c>
      <c r="AV2195" s="25">
        <f>Inventory[[#This Row],[MainFn]]*Lookups!$B$86</f>
        <v>61859.654686004003</v>
      </c>
      <c r="AW2195" s="25">
        <f>Inventory[[#This Row],[UpprFn]]*Lookups!$B$87</f>
        <v>56072.601421971995</v>
      </c>
      <c r="AX2195" s="25">
        <f>Inventory[[#This Row],[AddFn]]*Lookups!$B$88</f>
        <v>0</v>
      </c>
      <c r="AY2195" s="25">
        <f>Inventory[[#This Row],[Bsmt]]*Lookups!$B$89</f>
        <v>36410.532849243995</v>
      </c>
      <c r="AZ2195" s="25">
        <f>Inventory[[#This Row],[Fixtures]]*Lookups!$B$90</f>
        <v>37920.221052000001</v>
      </c>
      <c r="BA2195" s="25">
        <f>Inventory[[#This Row],[WdDeck]]*Lookups!$B$91</f>
        <v>0</v>
      </c>
      <c r="BB2195" s="25">
        <f>ROUND(Inventory[[#This Row],[25Det]],-2)</f>
        <v>7700</v>
      </c>
      <c r="BC2195" s="25">
        <f>ROUND(SUM(Inventory[[#This Row],[Mdl Qlty]:[Mdl WdDeck]])+Inventory[[#This Row],[Mdl Res Intercept]],-2)</f>
        <v>334600</v>
      </c>
      <c r="BD2195" s="25">
        <f>ROUND(Inventory[[#This Row],[Mdl Land Intercept]]+Inventory[[#This Row],[Mdl LnAcres]],-2)</f>
        <v>51700</v>
      </c>
      <c r="BE2195" s="25">
        <f>Inventory[[#This Row],[Unadj Res Value]]+Inventory[[#This Row],[Unadj Det Value]]+Inventory[[#This Row],[Unadj Land Value]]</f>
        <v>394000</v>
      </c>
      <c r="BF2195" s="36">
        <f>(Inventory[[#This Row],[Unadj Total Value]]-Inventory[[#This Row],[24Final]])/Inventory[[#This Row],[24Final]]</f>
        <v>-3.7851037851037848E-2</v>
      </c>
      <c r="BG2195" s="25">
        <f>VLOOKUP(Inventory[[#This Row],[Nbhd]],Lookups!$Q$2:$T$4,4,FALSE)</f>
        <v>0.99970000000000003</v>
      </c>
      <c r="BH2195" s="25">
        <f>VLOOKUP(Inventory[[#This Row],[Qlty]],Lookups!$O$7:$R$21,4,FALSE)</f>
        <v>1.0067999999999999</v>
      </c>
      <c r="BI2195" s="25">
        <f>VLOOKUP(Inventory[[#This Row],[Cnd]],Lookups!$T$7:$W$16,4,FALSE)</f>
        <v>0.99329999999999996</v>
      </c>
      <c r="BJ2195" s="25">
        <f>VLOOKUP(Inventory[[#This Row],[LivArea Range]],Lookups!$T$25:$W$37,4,FALSE)</f>
        <v>0.94579999999999997</v>
      </c>
      <c r="BK2195" s="25">
        <f>VLOOKUP(Inventory[[#This Row],[Decade]],Lookups!$O$25:$R$42,4,FALSE)</f>
        <v>0.96040000000000003</v>
      </c>
      <c r="BL2195" s="25">
        <f>Inventory[[#This Row],[Nbhd Adj]]*0.95</f>
        <v>0.94971499999999998</v>
      </c>
      <c r="BM2195" s="25">
        <f>Inventory[[#This Row],[Nbhd Adj]]*Inventory[[#This Row],[Quality Adj]]*Inventory[[#This Row],[Condition Adj]]*Inventory[[#This Row],[Living Area Adj]]*Inventory[[#This Row],[Decade Adj]]*0.95</f>
        <v>0.86271708906042111</v>
      </c>
      <c r="BN2195" s="25">
        <f>ROUND(SUM(Inventory[[#This Row],[Mdl Qlty]:[Mdl WdDeck]])+Inventory[[#This Row],[Mdl Res Intercept]]*Inventory[[#This Row],[Res Adj ]],-2)</f>
        <v>334600</v>
      </c>
      <c r="BO2195" s="25">
        <f>ROUND(Inventory[[#This Row],[25Det]]*Inventory[[#This Row],[Det/Nbhd Adj]],-2)</f>
        <v>7300</v>
      </c>
      <c r="BP2195" s="25">
        <f>Inventory[[#This Row],[Adjusted Res]]+Inventory[[#This Row],[Adj Det ]]</f>
        <v>341900</v>
      </c>
      <c r="BQ2195" s="25">
        <f>ROUND((Inventory[[#This Row],[Mdl Land Intercept]]+Inventory[[#This Row],[Mdl LnAcres]])*Inventory[[#This Row],[Det/Nbhd Adj]],-2)</f>
        <v>49100</v>
      </c>
      <c r="BR2195" s="25">
        <f>Inventory[[#This Row],[Adjusted Impr Total]]+Inventory[[#This Row],[Adjusted Land Total]]</f>
        <v>391000</v>
      </c>
      <c r="BS2195" s="36">
        <f>IFERROR((Inventory[[#This Row],[Adjusted Impr Total]]-Inventory[[#This Row],[24Bldg]])/Inventory[[#This Row],[24Bldg]],0)</f>
        <v>1.4540059347181009E-2</v>
      </c>
      <c r="BT2195" s="36">
        <f>(Inventory[[#This Row],[Adjusted Land Total]]-Inventory[[#This Row],[24Lnd]])/Inventory[[#This Row],[24Lnd]]</f>
        <v>-0.32275862068965516</v>
      </c>
      <c r="BU2195" s="36">
        <f>(Inventory[[#This Row],[Adjusted Total]]-Inventory[[#This Row],[24Final]])/Inventory[[#This Row],[24Final]]</f>
        <v>-4.5177045177045176E-2</v>
      </c>
    </row>
    <row r="2196" spans="1:73" x14ac:dyDescent="0.3">
      <c r="A2196" s="25">
        <v>2025</v>
      </c>
      <c r="B2196" s="26" t="s">
        <v>2416</v>
      </c>
      <c r="C2196" s="26">
        <f>LN(Inventory[[#This Row],[Acres]])</f>
        <v>-1.8325814637483102</v>
      </c>
      <c r="D2196" s="25">
        <v>0.16</v>
      </c>
      <c r="E2196" s="27"/>
      <c r="F2196" s="26" t="s">
        <v>537</v>
      </c>
      <c r="G2196" s="26" t="s">
        <v>126</v>
      </c>
      <c r="H2196" s="26" t="s">
        <v>349</v>
      </c>
      <c r="I2196" s="26" t="s">
        <v>538</v>
      </c>
      <c r="J2196" s="26" t="s">
        <v>539</v>
      </c>
      <c r="K2196" s="26" t="s">
        <v>269</v>
      </c>
      <c r="L2196" s="26" t="s">
        <v>351</v>
      </c>
      <c r="M2196" s="26" t="s">
        <v>323</v>
      </c>
      <c r="N2196" s="26">
        <v>110</v>
      </c>
      <c r="O2196" s="26">
        <f>2024-Inventory[[#This Row],[YrBlt]]</f>
        <v>104</v>
      </c>
      <c r="P2196" s="26">
        <f>2024-Inventory[[#This Row],[EffYr]]</f>
        <v>58</v>
      </c>
      <c r="Q2196" s="25">
        <v>1920</v>
      </c>
      <c r="R2196" s="25">
        <v>1966</v>
      </c>
      <c r="S2196" s="25">
        <v>1390</v>
      </c>
      <c r="T2196" s="27"/>
      <c r="U2196" s="25">
        <v>700</v>
      </c>
      <c r="V2196" s="25">
        <f>Inventory[[#This Row],[Bsmt]]-Inventory[[#This Row],[FnBsmt]]</f>
        <v>700</v>
      </c>
      <c r="W2196" s="31"/>
      <c r="X2196" s="27"/>
      <c r="Y2196" s="27">
        <f>Inventory[[#This Row],[MainFn]]+Inventory[[#This Row],[UpprFn]]+Inventory[[#This Row],[FnBsmt]]+Inventory[[#This Row],[AddFn]]</f>
        <v>1390</v>
      </c>
      <c r="Z2196" s="27">
        <v>1500</v>
      </c>
      <c r="AA2196" s="25">
        <v>5</v>
      </c>
      <c r="AB2196" s="27"/>
      <c r="AC2196" s="27"/>
      <c r="AD2196" s="32">
        <v>50</v>
      </c>
      <c r="AE2196" s="27"/>
      <c r="AF2196" s="27"/>
      <c r="AG2196" s="27"/>
      <c r="AH2196" s="27"/>
      <c r="AI2196" s="25">
        <v>259798</v>
      </c>
      <c r="AJ2196" s="25">
        <v>161075</v>
      </c>
      <c r="AK2196" s="25">
        <v>1247</v>
      </c>
      <c r="AL2196" s="25">
        <v>332400</v>
      </c>
      <c r="AM2196" s="25">
        <v>50600</v>
      </c>
      <c r="AN2196" s="25">
        <v>281800</v>
      </c>
      <c r="AO2196" s="25">
        <v>0</v>
      </c>
      <c r="AP2196" s="25">
        <f>Lookups!$B$56*0</f>
        <v>0</v>
      </c>
      <c r="AQ2196" s="25">
        <f>Lookups!$B$56*1</f>
        <v>89850.625589999996</v>
      </c>
      <c r="AR2196" s="25">
        <f>Lookups!$B$57*Inventory[[#This Row],[LnAcres]]</f>
        <v>-58009.662049032086</v>
      </c>
      <c r="AS2196" s="25">
        <f>VLOOKUP(Inventory[[#This Row],[Qlty]],Lookups!$A$62:$E$75,2,FALSE)</f>
        <v>21557.329055999999</v>
      </c>
      <c r="AT2196" s="25">
        <f>VLOOKUP(Inventory[[#This Row],[Cnd]],Lookups!$A$76:$E$84,2,FALSE)</f>
        <v>160472.20319</v>
      </c>
      <c r="AU2196" s="25">
        <f>Inventory[[#This Row],[EffAge]]*Lookups!$B$85</f>
        <v>-12936.644829000001</v>
      </c>
      <c r="AV2196" s="25">
        <f>Inventory[[#This Row],[MainFn]]*Lookups!$B$86</f>
        <v>68678.051129030006</v>
      </c>
      <c r="AW2196" s="25">
        <f>Inventory[[#This Row],[UpprFn]]*Lookups!$B$87</f>
        <v>0</v>
      </c>
      <c r="AX2196" s="25">
        <f>Inventory[[#This Row],[AddFn]]*Lookups!$B$88</f>
        <v>0</v>
      </c>
      <c r="AY2196" s="25">
        <f>Inventory[[#This Row],[Bsmt]]*Lookups!$B$89</f>
        <v>20357.326672899999</v>
      </c>
      <c r="AZ2196" s="25">
        <f>Inventory[[#This Row],[Fixtures]]*Lookups!$B$90</f>
        <v>18960.110526</v>
      </c>
      <c r="BA2196" s="25">
        <f>Inventory[[#This Row],[WdDeck]]*Lookups!$B$91</f>
        <v>1664.7757638000003</v>
      </c>
      <c r="BB2196" s="25">
        <f>ROUND(Inventory[[#This Row],[25Det]],-2)</f>
        <v>1200</v>
      </c>
      <c r="BC2196" s="25">
        <f>ROUND(SUM(Inventory[[#This Row],[Mdl Qlty]:[Mdl WdDeck]])+Inventory[[#This Row],[Mdl Res Intercept]],-2)</f>
        <v>278800</v>
      </c>
      <c r="BD2196" s="25">
        <f>ROUND(Inventory[[#This Row],[Mdl Land Intercept]]+Inventory[[#This Row],[Mdl LnAcres]],-2)</f>
        <v>31800</v>
      </c>
      <c r="BE2196" s="25">
        <f>Inventory[[#This Row],[Unadj Res Value]]+Inventory[[#This Row],[Unadj Det Value]]+Inventory[[#This Row],[Unadj Land Value]]</f>
        <v>311800</v>
      </c>
      <c r="BF2196" s="36">
        <f>(Inventory[[#This Row],[Unadj Total Value]]-Inventory[[#This Row],[24Final]])/Inventory[[#This Row],[24Final]]</f>
        <v>-6.1973525872442842E-2</v>
      </c>
      <c r="BG2196" s="25">
        <f>VLOOKUP(Inventory[[#This Row],[Nbhd]],Lookups!$Q$2:$T$4,4,FALSE)</f>
        <v>0.99970000000000003</v>
      </c>
      <c r="BH2196" s="25">
        <f>VLOOKUP(Inventory[[#This Row],[Qlty]],Lookups!$O$7:$R$21,4,FALSE)</f>
        <v>1.0067999999999999</v>
      </c>
      <c r="BI2196" s="25">
        <f>VLOOKUP(Inventory[[#This Row],[Cnd]],Lookups!$T$7:$W$16,4,FALSE)</f>
        <v>0.99729999999999996</v>
      </c>
      <c r="BJ2196" s="25">
        <f>VLOOKUP(Inventory[[#This Row],[LivArea Range]],Lookups!$T$25:$W$37,4,FALSE)</f>
        <v>1.0157</v>
      </c>
      <c r="BK2196" s="25">
        <f>VLOOKUP(Inventory[[#This Row],[Decade]],Lookups!$O$25:$R$42,4,FALSE)</f>
        <v>0.96040000000000003</v>
      </c>
      <c r="BL2196" s="25">
        <f>Inventory[[#This Row],[Nbhd Adj]]*0.95</f>
        <v>0.94971499999999998</v>
      </c>
      <c r="BM2196" s="25">
        <f>Inventory[[#This Row],[Nbhd Adj]]*Inventory[[#This Row],[Quality Adj]]*Inventory[[#This Row],[Condition Adj]]*Inventory[[#This Row],[Living Area Adj]]*Inventory[[#This Row],[Decade Adj]]*0.95</f>
        <v>0.93020769355655764</v>
      </c>
      <c r="BN2196" s="25">
        <f>ROUND(SUM(Inventory[[#This Row],[Mdl Qlty]:[Mdl WdDeck]])+Inventory[[#This Row],[Mdl Res Intercept]]*Inventory[[#This Row],[Res Adj ]],-2)</f>
        <v>278800</v>
      </c>
      <c r="BO2196" s="25">
        <f>ROUND(Inventory[[#This Row],[25Det]]*Inventory[[#This Row],[Det/Nbhd Adj]],-2)</f>
        <v>1200</v>
      </c>
      <c r="BP2196" s="25">
        <f>Inventory[[#This Row],[Adjusted Res]]+Inventory[[#This Row],[Adj Det ]]</f>
        <v>280000</v>
      </c>
      <c r="BQ2196" s="25">
        <f>ROUND((Inventory[[#This Row],[Mdl Land Intercept]]+Inventory[[#This Row],[Mdl LnAcres]])*Inventory[[#This Row],[Det/Nbhd Adj]],-2)</f>
        <v>30200</v>
      </c>
      <c r="BR2196" s="25">
        <f>Inventory[[#This Row],[Adjusted Impr Total]]+Inventory[[#This Row],[Adjusted Land Total]]</f>
        <v>310200</v>
      </c>
      <c r="BS2196" s="36">
        <f>IFERROR((Inventory[[#This Row],[Adjusted Impr Total]]-Inventory[[#This Row],[24Bldg]])/Inventory[[#This Row],[24Bldg]],0)</f>
        <v>-6.3875088715400997E-3</v>
      </c>
      <c r="BT2196" s="36">
        <f>(Inventory[[#This Row],[Adjusted Land Total]]-Inventory[[#This Row],[24Lnd]])/Inventory[[#This Row],[24Lnd]]</f>
        <v>-0.40316205533596838</v>
      </c>
      <c r="BU2196" s="36">
        <f>(Inventory[[#This Row],[Adjusted Total]]-Inventory[[#This Row],[24Final]])/Inventory[[#This Row],[24Final]]</f>
        <v>-6.6787003610108309E-2</v>
      </c>
    </row>
    <row r="2197" spans="1:73" x14ac:dyDescent="0.3">
      <c r="A2197" s="25">
        <v>2025</v>
      </c>
      <c r="B2197" s="26" t="s">
        <v>2247</v>
      </c>
      <c r="C2197" s="26">
        <f>LN(Inventory[[#This Row],[Acres]])</f>
        <v>-2.3025850929940455</v>
      </c>
      <c r="D2197" s="25">
        <v>0.1</v>
      </c>
      <c r="E2197" s="27"/>
      <c r="F2197" s="26" t="s">
        <v>537</v>
      </c>
      <c r="G2197" s="26" t="s">
        <v>126</v>
      </c>
      <c r="H2197" s="26" t="s">
        <v>349</v>
      </c>
      <c r="I2197" s="26" t="s">
        <v>538</v>
      </c>
      <c r="J2197" s="26" t="s">
        <v>539</v>
      </c>
      <c r="K2197" s="26" t="s">
        <v>173</v>
      </c>
      <c r="L2197" s="26" t="s">
        <v>31</v>
      </c>
      <c r="M2197" s="26" t="s">
        <v>323</v>
      </c>
      <c r="N2197" s="26">
        <v>110</v>
      </c>
      <c r="O2197" s="26">
        <f>2024-Inventory[[#This Row],[YrBlt]]</f>
        <v>104</v>
      </c>
      <c r="P2197" s="26">
        <f>2024-Inventory[[#This Row],[EffYr]]</f>
        <v>58</v>
      </c>
      <c r="Q2197" s="25">
        <v>1920</v>
      </c>
      <c r="R2197" s="25">
        <v>1966</v>
      </c>
      <c r="S2197" s="25">
        <v>861</v>
      </c>
      <c r="T2197" s="32">
        <v>432</v>
      </c>
      <c r="U2197" s="32">
        <v>861</v>
      </c>
      <c r="V2197" s="32">
        <f>Inventory[[#This Row],[Bsmt]]-Inventory[[#This Row],[FnBsmt]]</f>
        <v>586</v>
      </c>
      <c r="W2197" s="32">
        <v>275</v>
      </c>
      <c r="X2197" s="27"/>
      <c r="Y2197" s="27">
        <f>Inventory[[#This Row],[MainFn]]+Inventory[[#This Row],[UpprFn]]+Inventory[[#This Row],[FnBsmt]]+Inventory[[#This Row],[AddFn]]</f>
        <v>1568</v>
      </c>
      <c r="Z2197" s="27">
        <v>2000</v>
      </c>
      <c r="AA2197" s="25">
        <v>8</v>
      </c>
      <c r="AB2197" s="27"/>
      <c r="AC2197" s="27"/>
      <c r="AD2197" s="27"/>
      <c r="AE2197" s="27"/>
      <c r="AF2197" s="27"/>
      <c r="AG2197" s="27"/>
      <c r="AH2197" s="27"/>
      <c r="AI2197" s="25">
        <v>216973</v>
      </c>
      <c r="AJ2197" s="25">
        <v>134523</v>
      </c>
      <c r="AK2197" s="25">
        <v>0</v>
      </c>
      <c r="AL2197" s="25">
        <v>259900</v>
      </c>
      <c r="AM2197" s="25">
        <v>34200</v>
      </c>
      <c r="AN2197" s="25">
        <v>225700</v>
      </c>
      <c r="AO2197" s="25">
        <v>0</v>
      </c>
      <c r="AP2197" s="25">
        <f>Lookups!$B$56*0</f>
        <v>0</v>
      </c>
      <c r="AQ2197" s="25">
        <f>Lookups!$B$56*1</f>
        <v>89850.625589999996</v>
      </c>
      <c r="AR2197" s="25">
        <f>Lookups!$B$57*Inventory[[#This Row],[LnAcres]]</f>
        <v>-72887.446329681261</v>
      </c>
      <c r="AS2197" s="25">
        <f>VLOOKUP(Inventory[[#This Row],[Qlty]],Lookups!$A$62:$E$75,2,FALSE)</f>
        <v>-43578.886190266698</v>
      </c>
      <c r="AT2197" s="25">
        <f>VLOOKUP(Inventory[[#This Row],[Cnd]],Lookups!$A$76:$E$84,2,FALSE)</f>
        <v>160472.20319</v>
      </c>
      <c r="AU2197" s="25">
        <f>Inventory[[#This Row],[EffAge]]*Lookups!$B$85</f>
        <v>-12936.644829000001</v>
      </c>
      <c r="AV2197" s="25">
        <f>Inventory[[#This Row],[MainFn]]*Lookups!$B$86</f>
        <v>42540.864764097001</v>
      </c>
      <c r="AW2197" s="25">
        <f>Inventory[[#This Row],[UpprFn]]*Lookups!$B$87</f>
        <v>19347.734675952001</v>
      </c>
      <c r="AX2197" s="25">
        <f>Inventory[[#This Row],[AddFn]]*Lookups!$B$88</f>
        <v>0</v>
      </c>
      <c r="AY2197" s="25">
        <f>Inventory[[#This Row],[Bsmt]]*Lookups!$B$89</f>
        <v>25039.511807666997</v>
      </c>
      <c r="AZ2197" s="25">
        <f>Inventory[[#This Row],[Fixtures]]*Lookups!$B$90</f>
        <v>30336.176841600001</v>
      </c>
      <c r="BA2197" s="25">
        <f>Inventory[[#This Row],[WdDeck]]*Lookups!$B$91</f>
        <v>0</v>
      </c>
      <c r="BB2197" s="25">
        <f>ROUND(Inventory[[#This Row],[25Det]],-2)</f>
        <v>0</v>
      </c>
      <c r="BC2197" s="25">
        <f>ROUND(SUM(Inventory[[#This Row],[Mdl Qlty]:[Mdl WdDeck]])+Inventory[[#This Row],[Mdl Res Intercept]],-2)</f>
        <v>221200</v>
      </c>
      <c r="BD2197" s="25">
        <f>ROUND(Inventory[[#This Row],[Mdl Land Intercept]]+Inventory[[#This Row],[Mdl LnAcres]],-2)</f>
        <v>17000</v>
      </c>
      <c r="BE2197" s="25">
        <f>Inventory[[#This Row],[Unadj Res Value]]+Inventory[[#This Row],[Unadj Det Value]]+Inventory[[#This Row],[Unadj Land Value]]</f>
        <v>238200</v>
      </c>
      <c r="BF2197" s="36">
        <f>(Inventory[[#This Row],[Unadj Total Value]]-Inventory[[#This Row],[24Final]])/Inventory[[#This Row],[24Final]]</f>
        <v>-8.3493651404386304E-2</v>
      </c>
      <c r="BG2197" s="25">
        <f>VLOOKUP(Inventory[[#This Row],[Nbhd]],Lookups!$Q$2:$T$4,4,FALSE)</f>
        <v>0.99970000000000003</v>
      </c>
      <c r="BH2197" s="25">
        <f>VLOOKUP(Inventory[[#This Row],[Qlty]],Lookups!$O$7:$R$21,4,FALSE)</f>
        <v>1</v>
      </c>
      <c r="BI2197" s="25">
        <f>VLOOKUP(Inventory[[#This Row],[Cnd]],Lookups!$T$7:$W$16,4,FALSE)</f>
        <v>0.99729999999999996</v>
      </c>
      <c r="BJ2197" s="25">
        <f>VLOOKUP(Inventory[[#This Row],[LivArea Range]],Lookups!$T$25:$W$37,4,FALSE)</f>
        <v>1.0093000000000001</v>
      </c>
      <c r="BK2197" s="25">
        <f>VLOOKUP(Inventory[[#This Row],[Decade]],Lookups!$O$25:$R$42,4,FALSE)</f>
        <v>0.96040000000000003</v>
      </c>
      <c r="BL2197" s="25">
        <f>Inventory[[#This Row],[Nbhd Adj]]*0.95</f>
        <v>0.94971499999999998</v>
      </c>
      <c r="BM2197" s="25">
        <f>Inventory[[#This Row],[Nbhd Adj]]*Inventory[[#This Row],[Quality Adj]]*Inventory[[#This Row],[Condition Adj]]*Inventory[[#This Row],[Living Area Adj]]*Inventory[[#This Row],[Decade Adj]]*0.95</f>
        <v>0.91810328449875866</v>
      </c>
      <c r="BN2197" s="25">
        <f>ROUND(SUM(Inventory[[#This Row],[Mdl Qlty]:[Mdl WdDeck]])+Inventory[[#This Row],[Mdl Res Intercept]]*Inventory[[#This Row],[Res Adj ]],-2)</f>
        <v>221200</v>
      </c>
      <c r="BO2197" s="25">
        <f>ROUND(Inventory[[#This Row],[25Det]]*Inventory[[#This Row],[Det/Nbhd Adj]],-2)</f>
        <v>0</v>
      </c>
      <c r="BP2197" s="25">
        <f>Inventory[[#This Row],[Adjusted Res]]+Inventory[[#This Row],[Adj Det ]]</f>
        <v>221200</v>
      </c>
      <c r="BQ2197" s="25">
        <f>ROUND((Inventory[[#This Row],[Mdl Land Intercept]]+Inventory[[#This Row],[Mdl LnAcres]])*Inventory[[#This Row],[Det/Nbhd Adj]],-2)</f>
        <v>16100</v>
      </c>
      <c r="BR2197" s="25">
        <f>Inventory[[#This Row],[Adjusted Impr Total]]+Inventory[[#This Row],[Adjusted Land Total]]</f>
        <v>237300</v>
      </c>
      <c r="BS2197" s="36">
        <f>IFERROR((Inventory[[#This Row],[Adjusted Impr Total]]-Inventory[[#This Row],[24Bldg]])/Inventory[[#This Row],[24Bldg]],0)</f>
        <v>-1.9937970757642889E-2</v>
      </c>
      <c r="BT2197" s="36">
        <f>(Inventory[[#This Row],[Adjusted Land Total]]-Inventory[[#This Row],[24Lnd]])/Inventory[[#This Row],[24Lnd]]</f>
        <v>-0.5292397660818714</v>
      </c>
      <c r="BU2197" s="36">
        <f>(Inventory[[#This Row],[Adjusted Total]]-Inventory[[#This Row],[24Final]])/Inventory[[#This Row],[24Final]]</f>
        <v>-8.6956521739130432E-2</v>
      </c>
    </row>
    <row r="2198" spans="1:73" x14ac:dyDescent="0.3">
      <c r="A2198" s="25">
        <v>2025</v>
      </c>
      <c r="B2198" s="26" t="s">
        <v>1722</v>
      </c>
      <c r="C2198" s="26">
        <f>LN(Inventory[[#This Row],[Acres]])</f>
        <v>-1.5141277326297755</v>
      </c>
      <c r="D2198" s="25">
        <v>0.22</v>
      </c>
      <c r="E2198" s="32">
        <v>9555</v>
      </c>
      <c r="F2198" s="26" t="s">
        <v>537</v>
      </c>
      <c r="G2198" s="26" t="s">
        <v>126</v>
      </c>
      <c r="H2198" s="26" t="s">
        <v>349</v>
      </c>
      <c r="I2198" s="26" t="s">
        <v>538</v>
      </c>
      <c r="J2198" s="26" t="s">
        <v>539</v>
      </c>
      <c r="K2198" s="26" t="s">
        <v>242</v>
      </c>
      <c r="L2198" s="26" t="s">
        <v>31</v>
      </c>
      <c r="M2198" s="26" t="s">
        <v>206</v>
      </c>
      <c r="N2198" s="26">
        <v>110</v>
      </c>
      <c r="O2198" s="26">
        <f>2024-Inventory[[#This Row],[YrBlt]]</f>
        <v>104</v>
      </c>
      <c r="P2198" s="26">
        <f>2024-Inventory[[#This Row],[EffYr]]</f>
        <v>58</v>
      </c>
      <c r="Q2198" s="25">
        <v>1920</v>
      </c>
      <c r="R2198" s="25">
        <v>1966</v>
      </c>
      <c r="S2198" s="25">
        <v>564</v>
      </c>
      <c r="T2198" s="27"/>
      <c r="U2198" s="25">
        <v>396</v>
      </c>
      <c r="V2198" s="25">
        <f>Inventory[[#This Row],[Bsmt]]-Inventory[[#This Row],[FnBsmt]]</f>
        <v>396</v>
      </c>
      <c r="W2198" s="31"/>
      <c r="X2198" s="27"/>
      <c r="Y2198" s="27">
        <f>Inventory[[#This Row],[MainFn]]+Inventory[[#This Row],[UpprFn]]+Inventory[[#This Row],[FnBsmt]]+Inventory[[#This Row],[AddFn]]</f>
        <v>564</v>
      </c>
      <c r="Z2198" s="27">
        <v>1000</v>
      </c>
      <c r="AA2198" s="25">
        <v>5</v>
      </c>
      <c r="AB2198" s="31"/>
      <c r="AC2198" s="27"/>
      <c r="AD2198" s="27"/>
      <c r="AE2198" s="27"/>
      <c r="AF2198" s="27"/>
      <c r="AG2198" s="27"/>
      <c r="AH2198" s="27"/>
      <c r="AI2198" s="25">
        <v>105359</v>
      </c>
      <c r="AJ2198" s="25">
        <v>63215</v>
      </c>
      <c r="AK2198" s="25">
        <v>0</v>
      </c>
      <c r="AL2198" s="25">
        <v>194300</v>
      </c>
      <c r="AM2198" s="25">
        <v>61700</v>
      </c>
      <c r="AN2198" s="25">
        <v>132600</v>
      </c>
      <c r="AO2198" s="25">
        <v>0</v>
      </c>
      <c r="AP2198" s="25">
        <f>Lookups!$B$56*0</f>
        <v>0</v>
      </c>
      <c r="AQ2198" s="25">
        <f>Lookups!$B$56*1</f>
        <v>89850.625589999996</v>
      </c>
      <c r="AR2198" s="25">
        <f>Lookups!$B$57*Inventory[[#This Row],[LnAcres]]</f>
        <v>-47929.131559187132</v>
      </c>
      <c r="AS2198" s="25">
        <f>VLOOKUP(Inventory[[#This Row],[Qlty]],Lookups!$A$62:$E$75,2,FALSE)</f>
        <v>-43578.886190266698</v>
      </c>
      <c r="AT2198" s="25">
        <f>VLOOKUP(Inventory[[#This Row],[Cnd]],Lookups!$A$76:$E$84,2,FALSE)</f>
        <v>133714.53821</v>
      </c>
      <c r="AU2198" s="25">
        <f>Inventory[[#This Row],[EffAge]]*Lookups!$B$85</f>
        <v>-12936.644829000001</v>
      </c>
      <c r="AV2198" s="25">
        <f>Inventory[[#This Row],[MainFn]]*Lookups!$B$86</f>
        <v>27866.489810628002</v>
      </c>
      <c r="AW2198" s="25">
        <f>Inventory[[#This Row],[UpprFn]]*Lookups!$B$87</f>
        <v>0</v>
      </c>
      <c r="AX2198" s="25">
        <f>Inventory[[#This Row],[AddFn]]*Lookups!$B$88</f>
        <v>0</v>
      </c>
      <c r="AY2198" s="25">
        <f>Inventory[[#This Row],[Bsmt]]*Lookups!$B$89</f>
        <v>11516.430517811999</v>
      </c>
      <c r="AZ2198" s="25">
        <f>Inventory[[#This Row],[Fixtures]]*Lookups!$B$90</f>
        <v>18960.110526</v>
      </c>
      <c r="BA2198" s="25">
        <f>Inventory[[#This Row],[WdDeck]]*Lookups!$B$91</f>
        <v>0</v>
      </c>
      <c r="BB2198" s="25">
        <f>ROUND(Inventory[[#This Row],[25Det]],-2)</f>
        <v>0</v>
      </c>
      <c r="BC2198" s="25">
        <f>ROUND(SUM(Inventory[[#This Row],[Mdl Qlty]:[Mdl WdDeck]])+Inventory[[#This Row],[Mdl Res Intercept]],-2)</f>
        <v>135500</v>
      </c>
      <c r="BD2198" s="25">
        <f>ROUND(Inventory[[#This Row],[Mdl Land Intercept]]+Inventory[[#This Row],[Mdl LnAcres]],-2)</f>
        <v>41900</v>
      </c>
      <c r="BE2198" s="25">
        <f>Inventory[[#This Row],[Unadj Res Value]]+Inventory[[#This Row],[Unadj Det Value]]+Inventory[[#This Row],[Unadj Land Value]]</f>
        <v>177400</v>
      </c>
      <c r="BF2198" s="36">
        <f>(Inventory[[#This Row],[Unadj Total Value]]-Inventory[[#This Row],[24Final]])/Inventory[[#This Row],[24Final]]</f>
        <v>-8.6978898610396288E-2</v>
      </c>
      <c r="BG2198" s="25">
        <f>VLOOKUP(Inventory[[#This Row],[Nbhd]],Lookups!$Q$2:$T$4,4,FALSE)</f>
        <v>0.99970000000000003</v>
      </c>
      <c r="BH2198" s="25">
        <f>VLOOKUP(Inventory[[#This Row],[Qlty]],Lookups!$O$7:$R$21,4,FALSE)</f>
        <v>1</v>
      </c>
      <c r="BI2198" s="25">
        <f>VLOOKUP(Inventory[[#This Row],[Cnd]],Lookups!$T$7:$W$16,4,FALSE)</f>
        <v>0.99329999999999996</v>
      </c>
      <c r="BJ2198" s="25">
        <f>VLOOKUP(Inventory[[#This Row],[LivArea Range]],Lookups!$T$25:$W$37,4,FALSE)</f>
        <v>1.0148999999999999</v>
      </c>
      <c r="BK2198" s="25">
        <f>VLOOKUP(Inventory[[#This Row],[Decade]],Lookups!$O$25:$R$42,4,FALSE)</f>
        <v>0.96040000000000003</v>
      </c>
      <c r="BL2198" s="25">
        <f>Inventory[[#This Row],[Nbhd Adj]]*0.95</f>
        <v>0.94971499999999998</v>
      </c>
      <c r="BM2198" s="25">
        <f>Inventory[[#This Row],[Nbhd Adj]]*Inventory[[#This Row],[Quality Adj]]*Inventory[[#This Row],[Condition Adj]]*Inventory[[#This Row],[Living Area Adj]]*Inventory[[#This Row],[Decade Adj]]*0.95</f>
        <v>0.91949450197466853</v>
      </c>
      <c r="BN2198" s="25">
        <f>ROUND(SUM(Inventory[[#This Row],[Mdl Qlty]:[Mdl WdDeck]])+Inventory[[#This Row],[Mdl Res Intercept]]*Inventory[[#This Row],[Res Adj ]],-2)</f>
        <v>135500</v>
      </c>
      <c r="BO2198" s="25">
        <f>ROUND(Inventory[[#This Row],[25Det]]*Inventory[[#This Row],[Det/Nbhd Adj]],-2)</f>
        <v>0</v>
      </c>
      <c r="BP2198" s="25">
        <f>Inventory[[#This Row],[Adjusted Res]]+Inventory[[#This Row],[Adj Det ]]</f>
        <v>135500</v>
      </c>
      <c r="BQ2198" s="25">
        <f>ROUND((Inventory[[#This Row],[Mdl Land Intercept]]+Inventory[[#This Row],[Mdl LnAcres]])*Inventory[[#This Row],[Det/Nbhd Adj]],-2)</f>
        <v>39800</v>
      </c>
      <c r="BR2198" s="25">
        <f>Inventory[[#This Row],[Adjusted Impr Total]]+Inventory[[#This Row],[Adjusted Land Total]]</f>
        <v>175300</v>
      </c>
      <c r="BS2198" s="36">
        <f>IFERROR((Inventory[[#This Row],[Adjusted Impr Total]]-Inventory[[#This Row],[24Bldg]])/Inventory[[#This Row],[24Bldg]],0)</f>
        <v>2.1870286576168928E-2</v>
      </c>
      <c r="BT2198" s="36">
        <f>(Inventory[[#This Row],[Adjusted Land Total]]-Inventory[[#This Row],[24Lnd]])/Inventory[[#This Row],[24Lnd]]</f>
        <v>-0.35494327390599678</v>
      </c>
      <c r="BU2198" s="36">
        <f>(Inventory[[#This Row],[Adjusted Total]]-Inventory[[#This Row],[24Final]])/Inventory[[#This Row],[24Final]]</f>
        <v>-9.7786927431806489E-2</v>
      </c>
    </row>
    <row r="2199" spans="1:73" x14ac:dyDescent="0.3">
      <c r="A2199" s="25">
        <v>2025</v>
      </c>
      <c r="B2199" s="26" t="s">
        <v>2708</v>
      </c>
      <c r="C2199" s="26">
        <f>LN(Inventory[[#This Row],[Acres]])</f>
        <v>-1.8971199848858813</v>
      </c>
      <c r="D2199" s="25">
        <v>0.15</v>
      </c>
      <c r="E2199" s="25">
        <v>6728</v>
      </c>
      <c r="F2199" s="26" t="s">
        <v>537</v>
      </c>
      <c r="G2199" s="26" t="s">
        <v>126</v>
      </c>
      <c r="H2199" s="26" t="s">
        <v>349</v>
      </c>
      <c r="I2199" s="26" t="s">
        <v>538</v>
      </c>
      <c r="J2199" s="26" t="s">
        <v>539</v>
      </c>
      <c r="K2199" s="26" t="s">
        <v>242</v>
      </c>
      <c r="L2199" s="26" t="s">
        <v>31</v>
      </c>
      <c r="M2199" s="26" t="s">
        <v>323</v>
      </c>
      <c r="N2199" s="26">
        <v>110</v>
      </c>
      <c r="O2199" s="26">
        <f>2024-Inventory[[#This Row],[YrBlt]]</f>
        <v>104</v>
      </c>
      <c r="P2199" s="26">
        <f>2024-Inventory[[#This Row],[EffYr]]</f>
        <v>58</v>
      </c>
      <c r="Q2199" s="25">
        <v>1920</v>
      </c>
      <c r="R2199" s="25">
        <v>1966</v>
      </c>
      <c r="S2199" s="25">
        <v>1100</v>
      </c>
      <c r="T2199" s="27"/>
      <c r="U2199" s="31"/>
      <c r="V2199" s="27">
        <f>Inventory[[#This Row],[Bsmt]]-Inventory[[#This Row],[FnBsmt]]</f>
        <v>0</v>
      </c>
      <c r="W2199" s="27"/>
      <c r="X2199" s="27"/>
      <c r="Y2199" s="27">
        <f>Inventory[[#This Row],[MainFn]]+Inventory[[#This Row],[UpprFn]]+Inventory[[#This Row],[FnBsmt]]+Inventory[[#This Row],[AddFn]]</f>
        <v>1100</v>
      </c>
      <c r="Z2199" s="27">
        <v>1500</v>
      </c>
      <c r="AA2199" s="25">
        <v>5</v>
      </c>
      <c r="AB2199" s="27"/>
      <c r="AC2199" s="27"/>
      <c r="AD2199" s="27"/>
      <c r="AE2199" s="27"/>
      <c r="AF2199" s="27"/>
      <c r="AG2199" s="27"/>
      <c r="AH2199" s="27"/>
      <c r="AI2199" s="25">
        <v>157566</v>
      </c>
      <c r="AJ2199" s="25">
        <v>97691</v>
      </c>
      <c r="AK2199" s="25">
        <v>7919</v>
      </c>
      <c r="AL2199" s="25">
        <v>238800</v>
      </c>
      <c r="AM2199" s="25">
        <v>48400</v>
      </c>
      <c r="AN2199" s="25">
        <v>190400</v>
      </c>
      <c r="AO2199" s="25">
        <v>0</v>
      </c>
      <c r="AP2199" s="25">
        <f>Lookups!$B$56*0</f>
        <v>0</v>
      </c>
      <c r="AQ2199" s="25">
        <f>Lookups!$B$56*1</f>
        <v>89850.625589999996</v>
      </c>
      <c r="AR2199" s="25">
        <f>Lookups!$B$57*Inventory[[#This Row],[LnAcres]]</f>
        <v>-60052.604136134301</v>
      </c>
      <c r="AS2199" s="25">
        <f>VLOOKUP(Inventory[[#This Row],[Qlty]],Lookups!$A$62:$E$75,2,FALSE)</f>
        <v>-43578.886190266698</v>
      </c>
      <c r="AT2199" s="25">
        <f>VLOOKUP(Inventory[[#This Row],[Cnd]],Lookups!$A$76:$E$84,2,FALSE)</f>
        <v>160472.20319</v>
      </c>
      <c r="AU2199" s="25">
        <f>Inventory[[#This Row],[EffAge]]*Lookups!$B$85</f>
        <v>-12936.644829000001</v>
      </c>
      <c r="AV2199" s="25">
        <f>Inventory[[#This Row],[MainFn]]*Lookups!$B$86</f>
        <v>54349.5368647</v>
      </c>
      <c r="AW2199" s="25">
        <f>Inventory[[#This Row],[UpprFn]]*Lookups!$B$87</f>
        <v>0</v>
      </c>
      <c r="AX2199" s="25">
        <f>Inventory[[#This Row],[AddFn]]*Lookups!$B$88</f>
        <v>0</v>
      </c>
      <c r="AY2199" s="25">
        <f>Inventory[[#This Row],[Bsmt]]*Lookups!$B$89</f>
        <v>0</v>
      </c>
      <c r="AZ2199" s="25">
        <f>Inventory[[#This Row],[Fixtures]]*Lookups!$B$90</f>
        <v>18960.110526</v>
      </c>
      <c r="BA2199" s="25">
        <f>Inventory[[#This Row],[WdDeck]]*Lookups!$B$91</f>
        <v>0</v>
      </c>
      <c r="BB2199" s="25">
        <f>ROUND(Inventory[[#This Row],[25Det]],-2)</f>
        <v>7900</v>
      </c>
      <c r="BC2199" s="25">
        <f>ROUND(SUM(Inventory[[#This Row],[Mdl Qlty]:[Mdl WdDeck]])+Inventory[[#This Row],[Mdl Res Intercept]],-2)</f>
        <v>177300</v>
      </c>
      <c r="BD2199" s="25">
        <f>ROUND(Inventory[[#This Row],[Mdl Land Intercept]]+Inventory[[#This Row],[Mdl LnAcres]],-2)</f>
        <v>29800</v>
      </c>
      <c r="BE2199" s="25">
        <f>Inventory[[#This Row],[Unadj Res Value]]+Inventory[[#This Row],[Unadj Det Value]]+Inventory[[#This Row],[Unadj Land Value]]</f>
        <v>215000</v>
      </c>
      <c r="BF2199" s="36">
        <f>(Inventory[[#This Row],[Unadj Total Value]]-Inventory[[#This Row],[24Final]])/Inventory[[#This Row],[24Final]]</f>
        <v>-9.9664991624790616E-2</v>
      </c>
      <c r="BG2199" s="25">
        <f>VLOOKUP(Inventory[[#This Row],[Nbhd]],Lookups!$Q$2:$T$4,4,FALSE)</f>
        <v>0.99970000000000003</v>
      </c>
      <c r="BH2199" s="25">
        <f>VLOOKUP(Inventory[[#This Row],[Qlty]],Lookups!$O$7:$R$21,4,FALSE)</f>
        <v>1</v>
      </c>
      <c r="BI2199" s="25">
        <f>VLOOKUP(Inventory[[#This Row],[Cnd]],Lookups!$T$7:$W$16,4,FALSE)</f>
        <v>0.99729999999999996</v>
      </c>
      <c r="BJ2199" s="25">
        <f>VLOOKUP(Inventory[[#This Row],[LivArea Range]],Lookups!$T$25:$W$37,4,FALSE)</f>
        <v>1.0157</v>
      </c>
      <c r="BK2199" s="25">
        <f>VLOOKUP(Inventory[[#This Row],[Decade]],Lookups!$O$25:$R$42,4,FALSE)</f>
        <v>0.96040000000000003</v>
      </c>
      <c r="BL2199" s="25">
        <f>Inventory[[#This Row],[Nbhd Adj]]*0.95</f>
        <v>0.94971499999999998</v>
      </c>
      <c r="BM2199" s="25">
        <f>Inventory[[#This Row],[Nbhd Adj]]*Inventory[[#This Row],[Quality Adj]]*Inventory[[#This Row],[Condition Adj]]*Inventory[[#This Row],[Living Area Adj]]*Inventory[[#This Row],[Decade Adj]]*0.95</f>
        <v>0.92392500353253648</v>
      </c>
      <c r="BN2199" s="25">
        <f>ROUND(SUM(Inventory[[#This Row],[Mdl Qlty]:[Mdl WdDeck]])+Inventory[[#This Row],[Mdl Res Intercept]]*Inventory[[#This Row],[Res Adj ]],-2)</f>
        <v>177300</v>
      </c>
      <c r="BO2199" s="25">
        <f>ROUND(Inventory[[#This Row],[25Det]]*Inventory[[#This Row],[Det/Nbhd Adj]],-2)</f>
        <v>7500</v>
      </c>
      <c r="BP2199" s="25">
        <f>Inventory[[#This Row],[Adjusted Res]]+Inventory[[#This Row],[Adj Det ]]</f>
        <v>184800</v>
      </c>
      <c r="BQ2199" s="25">
        <f>ROUND((Inventory[[#This Row],[Mdl Land Intercept]]+Inventory[[#This Row],[Mdl LnAcres]])*Inventory[[#This Row],[Det/Nbhd Adj]],-2)</f>
        <v>28300</v>
      </c>
      <c r="BR2199" s="25">
        <f>Inventory[[#This Row],[Adjusted Impr Total]]+Inventory[[#This Row],[Adjusted Land Total]]</f>
        <v>213100</v>
      </c>
      <c r="BS2199" s="36">
        <f>IFERROR((Inventory[[#This Row],[Adjusted Impr Total]]-Inventory[[#This Row],[24Bldg]])/Inventory[[#This Row],[24Bldg]],0)</f>
        <v>-2.9411764705882353E-2</v>
      </c>
      <c r="BT2199" s="36">
        <f>(Inventory[[#This Row],[Adjusted Land Total]]-Inventory[[#This Row],[24Lnd]])/Inventory[[#This Row],[24Lnd]]</f>
        <v>-0.41528925619834711</v>
      </c>
      <c r="BU2199" s="36">
        <f>(Inventory[[#This Row],[Adjusted Total]]-Inventory[[#This Row],[24Final]])/Inventory[[#This Row],[24Final]]</f>
        <v>-0.1076214405360134</v>
      </c>
    </row>
    <row r="2200" spans="1:73" x14ac:dyDescent="0.3">
      <c r="A2200" s="25">
        <v>2025</v>
      </c>
      <c r="B2200" s="26" t="s">
        <v>2334</v>
      </c>
      <c r="C2200" s="26">
        <f>LN(Inventory[[#This Row],[Acres]])</f>
        <v>-1.8325814637483102</v>
      </c>
      <c r="D2200" s="25">
        <v>0.16</v>
      </c>
      <c r="E2200" s="31"/>
      <c r="F2200" s="26" t="s">
        <v>537</v>
      </c>
      <c r="G2200" s="26" t="s">
        <v>126</v>
      </c>
      <c r="H2200" s="26" t="s">
        <v>349</v>
      </c>
      <c r="I2200" s="26" t="s">
        <v>538</v>
      </c>
      <c r="J2200" s="26" t="s">
        <v>539</v>
      </c>
      <c r="K2200" s="26" t="s">
        <v>269</v>
      </c>
      <c r="L2200" s="26" t="s">
        <v>31</v>
      </c>
      <c r="M2200" s="26" t="s">
        <v>323</v>
      </c>
      <c r="N2200" s="26">
        <v>110</v>
      </c>
      <c r="O2200" s="26">
        <f>2024-Inventory[[#This Row],[YrBlt]]</f>
        <v>104</v>
      </c>
      <c r="P2200" s="26">
        <f>2024-Inventory[[#This Row],[EffYr]]</f>
        <v>58</v>
      </c>
      <c r="Q2200" s="25">
        <v>1920</v>
      </c>
      <c r="R2200" s="25">
        <v>1966</v>
      </c>
      <c r="S2200" s="25">
        <v>860</v>
      </c>
      <c r="T2200" s="31"/>
      <c r="U2200" s="31"/>
      <c r="V2200" s="31">
        <f>Inventory[[#This Row],[Bsmt]]-Inventory[[#This Row],[FnBsmt]]</f>
        <v>0</v>
      </c>
      <c r="W2200" s="31"/>
      <c r="X2200" s="27"/>
      <c r="Y2200" s="27">
        <f>Inventory[[#This Row],[MainFn]]+Inventory[[#This Row],[UpprFn]]+Inventory[[#This Row],[FnBsmt]]+Inventory[[#This Row],[AddFn]]</f>
        <v>860</v>
      </c>
      <c r="Z2200" s="27">
        <v>1000</v>
      </c>
      <c r="AA2200" s="25">
        <v>5</v>
      </c>
      <c r="AB2200" s="27"/>
      <c r="AC2200" s="31"/>
      <c r="AD2200" s="27"/>
      <c r="AE2200" s="27"/>
      <c r="AF2200" s="27"/>
      <c r="AG2200" s="27"/>
      <c r="AH2200" s="27"/>
      <c r="AI2200" s="25">
        <v>119482</v>
      </c>
      <c r="AJ2200" s="25">
        <v>74079</v>
      </c>
      <c r="AK2200" s="25">
        <v>6681</v>
      </c>
      <c r="AL2200" s="25">
        <v>227300</v>
      </c>
      <c r="AM2200" s="25">
        <v>50600</v>
      </c>
      <c r="AN2200" s="25">
        <v>176700</v>
      </c>
      <c r="AO2200" s="25">
        <v>0</v>
      </c>
      <c r="AP2200" s="25">
        <f>Lookups!$B$56*0</f>
        <v>0</v>
      </c>
      <c r="AQ2200" s="25">
        <f>Lookups!$B$56*1</f>
        <v>89850.625589999996</v>
      </c>
      <c r="AR2200" s="25">
        <f>Lookups!$B$57*Inventory[[#This Row],[LnAcres]]</f>
        <v>-58009.662049032086</v>
      </c>
      <c r="AS2200" s="25">
        <f>VLOOKUP(Inventory[[#This Row],[Qlty]],Lookups!$A$62:$E$75,2,FALSE)</f>
        <v>-43578.886190266698</v>
      </c>
      <c r="AT2200" s="25">
        <f>VLOOKUP(Inventory[[#This Row],[Cnd]],Lookups!$A$76:$E$84,2,FALSE)</f>
        <v>160472.20319</v>
      </c>
      <c r="AU2200" s="25">
        <f>Inventory[[#This Row],[EffAge]]*Lookups!$B$85</f>
        <v>-12936.644829000001</v>
      </c>
      <c r="AV2200" s="25">
        <f>Inventory[[#This Row],[MainFn]]*Lookups!$B$86</f>
        <v>42491.456094220004</v>
      </c>
      <c r="AW2200" s="25">
        <f>Inventory[[#This Row],[UpprFn]]*Lookups!$B$87</f>
        <v>0</v>
      </c>
      <c r="AX2200" s="25">
        <f>Inventory[[#This Row],[AddFn]]*Lookups!$B$88</f>
        <v>0</v>
      </c>
      <c r="AY2200" s="25">
        <f>Inventory[[#This Row],[Bsmt]]*Lookups!$B$89</f>
        <v>0</v>
      </c>
      <c r="AZ2200" s="25">
        <f>Inventory[[#This Row],[Fixtures]]*Lookups!$B$90</f>
        <v>18960.110526</v>
      </c>
      <c r="BA2200" s="25">
        <f>Inventory[[#This Row],[WdDeck]]*Lookups!$B$91</f>
        <v>0</v>
      </c>
      <c r="BB2200" s="25">
        <f>ROUND(Inventory[[#This Row],[25Det]],-2)</f>
        <v>6700</v>
      </c>
      <c r="BC2200" s="25">
        <f>ROUND(SUM(Inventory[[#This Row],[Mdl Qlty]:[Mdl WdDeck]])+Inventory[[#This Row],[Mdl Res Intercept]],-2)</f>
        <v>165400</v>
      </c>
      <c r="BD2200" s="25">
        <f>ROUND(Inventory[[#This Row],[Mdl Land Intercept]]+Inventory[[#This Row],[Mdl LnAcres]],-2)</f>
        <v>31800</v>
      </c>
      <c r="BE2200" s="25">
        <f>Inventory[[#This Row],[Unadj Res Value]]+Inventory[[#This Row],[Unadj Det Value]]+Inventory[[#This Row],[Unadj Land Value]]</f>
        <v>203900</v>
      </c>
      <c r="BF2200" s="36">
        <f>(Inventory[[#This Row],[Unadj Total Value]]-Inventory[[#This Row],[24Final]])/Inventory[[#This Row],[24Final]]</f>
        <v>-0.10294764628244611</v>
      </c>
      <c r="BG2200" s="25">
        <f>VLOOKUP(Inventory[[#This Row],[Nbhd]],Lookups!$Q$2:$T$4,4,FALSE)</f>
        <v>0.99970000000000003</v>
      </c>
      <c r="BH2200" s="25">
        <f>VLOOKUP(Inventory[[#This Row],[Qlty]],Lookups!$O$7:$R$21,4,FALSE)</f>
        <v>1</v>
      </c>
      <c r="BI2200" s="25">
        <f>VLOOKUP(Inventory[[#This Row],[Cnd]],Lookups!$T$7:$W$16,4,FALSE)</f>
        <v>0.99729999999999996</v>
      </c>
      <c r="BJ2200" s="25">
        <f>VLOOKUP(Inventory[[#This Row],[LivArea Range]],Lookups!$T$25:$W$37,4,FALSE)</f>
        <v>1.0148999999999999</v>
      </c>
      <c r="BK2200" s="25">
        <f>VLOOKUP(Inventory[[#This Row],[Decade]],Lookups!$O$25:$R$42,4,FALSE)</f>
        <v>0.96040000000000003</v>
      </c>
      <c r="BL2200" s="25">
        <f>Inventory[[#This Row],[Nbhd Adj]]*0.95</f>
        <v>0.94971499999999998</v>
      </c>
      <c r="BM2200" s="25">
        <f>Inventory[[#This Row],[Nbhd Adj]]*Inventory[[#This Row],[Quality Adj]]*Inventory[[#This Row],[Condition Adj]]*Inventory[[#This Row],[Living Area Adj]]*Inventory[[#This Row],[Decade Adj]]*0.95</f>
        <v>0.92319728865331407</v>
      </c>
      <c r="BN2200" s="25">
        <f>ROUND(SUM(Inventory[[#This Row],[Mdl Qlty]:[Mdl WdDeck]])+Inventory[[#This Row],[Mdl Res Intercept]]*Inventory[[#This Row],[Res Adj ]],-2)</f>
        <v>165400</v>
      </c>
      <c r="BO2200" s="25">
        <f>ROUND(Inventory[[#This Row],[25Det]]*Inventory[[#This Row],[Det/Nbhd Adj]],-2)</f>
        <v>6300</v>
      </c>
      <c r="BP2200" s="25">
        <f>Inventory[[#This Row],[Adjusted Res]]+Inventory[[#This Row],[Adj Det ]]</f>
        <v>171700</v>
      </c>
      <c r="BQ2200" s="25">
        <f>ROUND((Inventory[[#This Row],[Mdl Land Intercept]]+Inventory[[#This Row],[Mdl LnAcres]])*Inventory[[#This Row],[Det/Nbhd Adj]],-2)</f>
        <v>30200</v>
      </c>
      <c r="BR2200" s="25">
        <f>Inventory[[#This Row],[Adjusted Impr Total]]+Inventory[[#This Row],[Adjusted Land Total]]</f>
        <v>201900</v>
      </c>
      <c r="BS2200" s="36">
        <f>IFERROR((Inventory[[#This Row],[Adjusted Impr Total]]-Inventory[[#This Row],[24Bldg]])/Inventory[[#This Row],[24Bldg]],0)</f>
        <v>-2.8296547821165818E-2</v>
      </c>
      <c r="BT2200" s="36">
        <f>(Inventory[[#This Row],[Adjusted Land Total]]-Inventory[[#This Row],[24Lnd]])/Inventory[[#This Row],[24Lnd]]</f>
        <v>-0.40316205533596838</v>
      </c>
      <c r="BU2200" s="36">
        <f>(Inventory[[#This Row],[Adjusted Total]]-Inventory[[#This Row],[24Final]])/Inventory[[#This Row],[24Final]]</f>
        <v>-0.1117465904091509</v>
      </c>
    </row>
    <row r="2201" spans="1:73" x14ac:dyDescent="0.3">
      <c r="A2201" s="25">
        <v>2025</v>
      </c>
      <c r="B2201" s="26" t="s">
        <v>1851</v>
      </c>
      <c r="C2201" s="26">
        <f>LN(Inventory[[#This Row],[Acres]])</f>
        <v>-2.0402208285265546</v>
      </c>
      <c r="D2201" s="25">
        <v>0.13</v>
      </c>
      <c r="E2201" s="25">
        <v>5750</v>
      </c>
      <c r="F2201" s="26" t="s">
        <v>537</v>
      </c>
      <c r="G2201" s="26" t="s">
        <v>126</v>
      </c>
      <c r="H2201" s="26" t="s">
        <v>349</v>
      </c>
      <c r="I2201" s="26" t="s">
        <v>538</v>
      </c>
      <c r="J2201" s="26" t="s">
        <v>638</v>
      </c>
      <c r="K2201" s="26" t="s">
        <v>242</v>
      </c>
      <c r="L2201" s="26" t="s">
        <v>31</v>
      </c>
      <c r="M2201" s="26" t="s">
        <v>323</v>
      </c>
      <c r="N2201" s="26">
        <v>110</v>
      </c>
      <c r="O2201" s="26">
        <f>2024-Inventory[[#This Row],[YrBlt]]</f>
        <v>104</v>
      </c>
      <c r="P2201" s="26">
        <f>2024-Inventory[[#This Row],[EffYr]]</f>
        <v>58</v>
      </c>
      <c r="Q2201" s="25">
        <v>1920</v>
      </c>
      <c r="R2201" s="25">
        <v>1966</v>
      </c>
      <c r="S2201" s="25">
        <v>569</v>
      </c>
      <c r="T2201" s="27"/>
      <c r="U2201" s="31"/>
      <c r="V2201" s="31">
        <f>Inventory[[#This Row],[Bsmt]]-Inventory[[#This Row],[FnBsmt]]</f>
        <v>0</v>
      </c>
      <c r="W2201" s="31"/>
      <c r="X2201" s="27"/>
      <c r="Y2201" s="27">
        <f>Inventory[[#This Row],[MainFn]]+Inventory[[#This Row],[UpprFn]]+Inventory[[#This Row],[FnBsmt]]+Inventory[[#This Row],[AddFn]]</f>
        <v>569</v>
      </c>
      <c r="Z2201" s="27">
        <v>1000</v>
      </c>
      <c r="AA2201" s="25">
        <v>5</v>
      </c>
      <c r="AB2201" s="27"/>
      <c r="AC2201" s="27"/>
      <c r="AD2201" s="27"/>
      <c r="AE2201" s="27"/>
      <c r="AF2201" s="27"/>
      <c r="AG2201" s="27"/>
      <c r="AH2201" s="27"/>
      <c r="AI2201" s="25">
        <v>83969</v>
      </c>
      <c r="AJ2201" s="25">
        <v>52061</v>
      </c>
      <c r="AK2201" s="25">
        <v>0</v>
      </c>
      <c r="AL2201" s="25">
        <v>199000</v>
      </c>
      <c r="AM2201" s="25">
        <v>43400</v>
      </c>
      <c r="AN2201" s="25">
        <v>155600</v>
      </c>
      <c r="AO2201" s="25">
        <v>0</v>
      </c>
      <c r="AP2201" s="25">
        <f>Lookups!$B$56*0</f>
        <v>0</v>
      </c>
      <c r="AQ2201" s="25">
        <f>Lookups!$B$56*1</f>
        <v>89850.625589999996</v>
      </c>
      <c r="AR2201" s="25">
        <f>Lookups!$B$57*Inventory[[#This Row],[LnAcres]]</f>
        <v>-64582.406353792743</v>
      </c>
      <c r="AS2201" s="25">
        <f>VLOOKUP(Inventory[[#This Row],[Qlty]],Lookups!$A$62:$E$75,2,FALSE)</f>
        <v>-43578.886190266698</v>
      </c>
      <c r="AT2201" s="25">
        <f>VLOOKUP(Inventory[[#This Row],[Cnd]],Lookups!$A$76:$E$84,2,FALSE)</f>
        <v>160472.20319</v>
      </c>
      <c r="AU2201" s="25">
        <f>Inventory[[#This Row],[EffAge]]*Lookups!$B$85</f>
        <v>-12936.644829000001</v>
      </c>
      <c r="AV2201" s="25">
        <f>Inventory[[#This Row],[MainFn]]*Lookups!$B$86</f>
        <v>28113.533160013001</v>
      </c>
      <c r="AW2201" s="25">
        <f>Inventory[[#This Row],[UpprFn]]*Lookups!$B$87</f>
        <v>0</v>
      </c>
      <c r="AX2201" s="25">
        <f>Inventory[[#This Row],[AddFn]]*Lookups!$B$88</f>
        <v>0</v>
      </c>
      <c r="AY2201" s="25">
        <f>Inventory[[#This Row],[Bsmt]]*Lookups!$B$89</f>
        <v>0</v>
      </c>
      <c r="AZ2201" s="25">
        <f>Inventory[[#This Row],[Fixtures]]*Lookups!$B$90</f>
        <v>18960.110526</v>
      </c>
      <c r="BA2201" s="25">
        <f>Inventory[[#This Row],[WdDeck]]*Lookups!$B$91</f>
        <v>0</v>
      </c>
      <c r="BB2201" s="25">
        <f>ROUND(Inventory[[#This Row],[25Det]],-2)</f>
        <v>0</v>
      </c>
      <c r="BC2201" s="25">
        <f>ROUND(SUM(Inventory[[#This Row],[Mdl Qlty]:[Mdl WdDeck]])+Inventory[[#This Row],[Mdl Res Intercept]],-2)</f>
        <v>151000</v>
      </c>
      <c r="BD2201" s="25">
        <f>ROUND(Inventory[[#This Row],[Mdl Land Intercept]]+Inventory[[#This Row],[Mdl LnAcres]],-2)</f>
        <v>25300</v>
      </c>
      <c r="BE2201" s="25">
        <f>Inventory[[#This Row],[Unadj Res Value]]+Inventory[[#This Row],[Unadj Det Value]]+Inventory[[#This Row],[Unadj Land Value]]</f>
        <v>176300</v>
      </c>
      <c r="BF2201" s="36">
        <f>(Inventory[[#This Row],[Unadj Total Value]]-Inventory[[#This Row],[24Final]])/Inventory[[#This Row],[24Final]]</f>
        <v>-0.11407035175879397</v>
      </c>
      <c r="BG2201" s="25">
        <f>VLOOKUP(Inventory[[#This Row],[Nbhd]],Lookups!$Q$2:$T$4,4,FALSE)</f>
        <v>0.99970000000000003</v>
      </c>
      <c r="BH2201" s="25">
        <f>VLOOKUP(Inventory[[#This Row],[Qlty]],Lookups!$O$7:$R$21,4,FALSE)</f>
        <v>1</v>
      </c>
      <c r="BI2201" s="25">
        <f>VLOOKUP(Inventory[[#This Row],[Cnd]],Lookups!$T$7:$W$16,4,FALSE)</f>
        <v>0.99729999999999996</v>
      </c>
      <c r="BJ2201" s="25">
        <f>VLOOKUP(Inventory[[#This Row],[LivArea Range]],Lookups!$T$25:$W$37,4,FALSE)</f>
        <v>1.0148999999999999</v>
      </c>
      <c r="BK2201" s="25">
        <f>VLOOKUP(Inventory[[#This Row],[Decade]],Lookups!$O$25:$R$42,4,FALSE)</f>
        <v>0.96040000000000003</v>
      </c>
      <c r="BL2201" s="25">
        <f>Inventory[[#This Row],[Nbhd Adj]]*0.95</f>
        <v>0.94971499999999998</v>
      </c>
      <c r="BM2201" s="25">
        <f>Inventory[[#This Row],[Nbhd Adj]]*Inventory[[#This Row],[Quality Adj]]*Inventory[[#This Row],[Condition Adj]]*Inventory[[#This Row],[Living Area Adj]]*Inventory[[#This Row],[Decade Adj]]*0.95</f>
        <v>0.92319728865331407</v>
      </c>
      <c r="BN2201" s="25">
        <f>ROUND(SUM(Inventory[[#This Row],[Mdl Qlty]:[Mdl WdDeck]])+Inventory[[#This Row],[Mdl Res Intercept]]*Inventory[[#This Row],[Res Adj ]],-2)</f>
        <v>151000</v>
      </c>
      <c r="BO2201" s="25">
        <f>ROUND(Inventory[[#This Row],[25Det]]*Inventory[[#This Row],[Det/Nbhd Adj]],-2)</f>
        <v>0</v>
      </c>
      <c r="BP2201" s="25">
        <f>Inventory[[#This Row],[Adjusted Res]]+Inventory[[#This Row],[Adj Det ]]</f>
        <v>151000</v>
      </c>
      <c r="BQ2201" s="25">
        <f>ROUND((Inventory[[#This Row],[Mdl Land Intercept]]+Inventory[[#This Row],[Mdl LnAcres]])*Inventory[[#This Row],[Det/Nbhd Adj]],-2)</f>
        <v>24000</v>
      </c>
      <c r="BR2201" s="25">
        <f>Inventory[[#This Row],[Adjusted Impr Total]]+Inventory[[#This Row],[Adjusted Land Total]]</f>
        <v>175000</v>
      </c>
      <c r="BS2201" s="36">
        <f>IFERROR((Inventory[[#This Row],[Adjusted Impr Total]]-Inventory[[#This Row],[24Bldg]])/Inventory[[#This Row],[24Bldg]],0)</f>
        <v>-2.9562982005141389E-2</v>
      </c>
      <c r="BT2201" s="36">
        <f>(Inventory[[#This Row],[Adjusted Land Total]]-Inventory[[#This Row],[24Lnd]])/Inventory[[#This Row],[24Lnd]]</f>
        <v>-0.44700460829493088</v>
      </c>
      <c r="BU2201" s="36">
        <f>(Inventory[[#This Row],[Adjusted Total]]-Inventory[[#This Row],[24Final]])/Inventory[[#This Row],[24Final]]</f>
        <v>-0.12060301507537688</v>
      </c>
    </row>
    <row r="2202" spans="1:73" x14ac:dyDescent="0.3">
      <c r="A2202" s="25">
        <v>2025</v>
      </c>
      <c r="B2202" s="26" t="s">
        <v>1852</v>
      </c>
      <c r="C2202" s="26">
        <f>LN(Inventory[[#This Row],[Acres]])</f>
        <v>-3.912023005428146</v>
      </c>
      <c r="D2202" s="25">
        <v>0.02</v>
      </c>
      <c r="E2202" s="25">
        <v>750</v>
      </c>
      <c r="F2202" s="26" t="s">
        <v>537</v>
      </c>
      <c r="G2202" s="26" t="s">
        <v>126</v>
      </c>
      <c r="H2202" s="26" t="s">
        <v>349</v>
      </c>
      <c r="I2202" s="26" t="s">
        <v>538</v>
      </c>
      <c r="J2202" s="26" t="s">
        <v>638</v>
      </c>
      <c r="K2202" s="26" t="s">
        <v>613</v>
      </c>
      <c r="L2202" s="26" t="s">
        <v>449</v>
      </c>
      <c r="M2202" s="26" t="s">
        <v>206</v>
      </c>
      <c r="N2202" s="26">
        <v>110</v>
      </c>
      <c r="O2202" s="26">
        <f>2024-Inventory[[#This Row],[YrBlt]]</f>
        <v>104</v>
      </c>
      <c r="P2202" s="26">
        <f>2024-Inventory[[#This Row],[EffYr]]</f>
        <v>58</v>
      </c>
      <c r="Q2202" s="25">
        <v>1920</v>
      </c>
      <c r="R2202" s="25">
        <v>1966</v>
      </c>
      <c r="S2202" s="25">
        <v>360</v>
      </c>
      <c r="T2202" s="31"/>
      <c r="U2202" s="31"/>
      <c r="V2202" s="31">
        <f>Inventory[[#This Row],[Bsmt]]-Inventory[[#This Row],[FnBsmt]]</f>
        <v>0</v>
      </c>
      <c r="W2202" s="31"/>
      <c r="X2202" s="27"/>
      <c r="Y2202" s="27">
        <f>Inventory[[#This Row],[MainFn]]+Inventory[[#This Row],[UpprFn]]+Inventory[[#This Row],[FnBsmt]]+Inventory[[#This Row],[AddFn]]</f>
        <v>360</v>
      </c>
      <c r="Z2202" s="27">
        <v>500</v>
      </c>
      <c r="AA2202" s="25">
        <v>5</v>
      </c>
      <c r="AB2202" s="27"/>
      <c r="AC2202" s="31"/>
      <c r="AD2202" s="27"/>
      <c r="AE2202" s="27"/>
      <c r="AF2202" s="27"/>
      <c r="AG2202" s="27"/>
      <c r="AH2202" s="27"/>
      <c r="AI2202" s="25">
        <v>45959</v>
      </c>
      <c r="AJ2202" s="25">
        <v>27575</v>
      </c>
      <c r="AK2202" s="25">
        <v>0</v>
      </c>
      <c r="AL2202" s="25">
        <v>120100</v>
      </c>
      <c r="AM2202" s="25">
        <v>15000</v>
      </c>
      <c r="AN2202" s="25">
        <v>105100</v>
      </c>
      <c r="AO2202" s="25">
        <v>0</v>
      </c>
      <c r="AP2202" s="25">
        <f>Lookups!$B$56*0</f>
        <v>0</v>
      </c>
      <c r="AQ2202" s="25">
        <f>Lookups!$B$56*1</f>
        <v>89850.625589999996</v>
      </c>
      <c r="AR2202" s="25">
        <f>Lookups!$B$57*Inventory[[#This Row],[LnAcres]]</f>
        <v>-123833.58500677992</v>
      </c>
      <c r="AS2202" s="25">
        <f>VLOOKUP(Inventory[[#This Row],[Qlty]],Lookups!$A$62:$E$75,2,FALSE)</f>
        <v>-71917.896887580995</v>
      </c>
      <c r="AT2202" s="25">
        <f>VLOOKUP(Inventory[[#This Row],[Cnd]],Lookups!$A$76:$E$84,2,FALSE)</f>
        <v>133714.53821</v>
      </c>
      <c r="AU2202" s="25">
        <f>Inventory[[#This Row],[EffAge]]*Lookups!$B$85</f>
        <v>-12936.644829000001</v>
      </c>
      <c r="AV2202" s="25">
        <f>Inventory[[#This Row],[MainFn]]*Lookups!$B$86</f>
        <v>17787.12115572</v>
      </c>
      <c r="AW2202" s="25">
        <f>Inventory[[#This Row],[UpprFn]]*Lookups!$B$87</f>
        <v>0</v>
      </c>
      <c r="AX2202" s="25">
        <f>Inventory[[#This Row],[AddFn]]*Lookups!$B$88</f>
        <v>0</v>
      </c>
      <c r="AY2202" s="25">
        <f>Inventory[[#This Row],[Bsmt]]*Lookups!$B$89</f>
        <v>0</v>
      </c>
      <c r="AZ2202" s="25">
        <f>Inventory[[#This Row],[Fixtures]]*Lookups!$B$90</f>
        <v>18960.110526</v>
      </c>
      <c r="BA2202" s="25">
        <f>Inventory[[#This Row],[WdDeck]]*Lookups!$B$91</f>
        <v>0</v>
      </c>
      <c r="BB2202" s="25">
        <f>ROUND(Inventory[[#This Row],[25Det]],-2)</f>
        <v>0</v>
      </c>
      <c r="BC2202" s="25">
        <f>ROUND(SUM(Inventory[[#This Row],[Mdl Qlty]:[Mdl WdDeck]])+Inventory[[#This Row],[Mdl Res Intercept]],-2)</f>
        <v>85600</v>
      </c>
      <c r="BD2202" s="25">
        <f>ROUND(Inventory[[#This Row],[Mdl Land Intercept]]+Inventory[[#This Row],[Mdl LnAcres]],-2)</f>
        <v>-34000</v>
      </c>
      <c r="BE2202" s="25">
        <f>Inventory[[#This Row],[Unadj Res Value]]+Inventory[[#This Row],[Unadj Det Value]]+Inventory[[#This Row],[Unadj Land Value]]</f>
        <v>51600</v>
      </c>
      <c r="BF2202" s="36">
        <f>(Inventory[[#This Row],[Unadj Total Value]]-Inventory[[#This Row],[24Final]])/Inventory[[#This Row],[24Final]]</f>
        <v>-0.57035803497085757</v>
      </c>
      <c r="BG2202" s="25">
        <f>VLOOKUP(Inventory[[#This Row],[Nbhd]],Lookups!$Q$2:$T$4,4,FALSE)</f>
        <v>0.99970000000000003</v>
      </c>
      <c r="BH2202" s="25">
        <f>VLOOKUP(Inventory[[#This Row],[Qlty]],Lookups!$O$7:$R$21,4,FALSE)</f>
        <v>1</v>
      </c>
      <c r="BI2202" s="25">
        <f>VLOOKUP(Inventory[[#This Row],[Cnd]],Lookups!$T$7:$W$16,4,FALSE)</f>
        <v>0.99329999999999996</v>
      </c>
      <c r="BJ2202" s="25">
        <f>VLOOKUP(Inventory[[#This Row],[LivArea Range]],Lookups!$T$25:$W$37,4,FALSE)</f>
        <v>1</v>
      </c>
      <c r="BK2202" s="25">
        <f>VLOOKUP(Inventory[[#This Row],[Decade]],Lookups!$O$25:$R$42,4,FALSE)</f>
        <v>0.96040000000000003</v>
      </c>
      <c r="BL2202" s="25">
        <f>Inventory[[#This Row],[Nbhd Adj]]*0.95</f>
        <v>0.94971499999999998</v>
      </c>
      <c r="BM2202" s="25">
        <f>Inventory[[#This Row],[Nbhd Adj]]*Inventory[[#This Row],[Quality Adj]]*Inventory[[#This Row],[Condition Adj]]*Inventory[[#This Row],[Living Area Adj]]*Inventory[[#This Row],[Decade Adj]]*0.95</f>
        <v>0.90599517388379991</v>
      </c>
      <c r="BN2202" s="25">
        <f>ROUND(SUM(Inventory[[#This Row],[Mdl Qlty]:[Mdl WdDeck]])+Inventory[[#This Row],[Mdl Res Intercept]]*Inventory[[#This Row],[Res Adj ]],-2)</f>
        <v>85600</v>
      </c>
      <c r="BO2202" s="25">
        <f>ROUND(Inventory[[#This Row],[25Det]]*Inventory[[#This Row],[Det/Nbhd Adj]],-2)</f>
        <v>0</v>
      </c>
      <c r="BP2202" s="25">
        <f>Inventory[[#This Row],[Adjusted Res]]+Inventory[[#This Row],[Adj Det ]]</f>
        <v>85600</v>
      </c>
      <c r="BQ2202" s="25">
        <f>ROUND((Inventory[[#This Row],[Mdl Land Intercept]]+Inventory[[#This Row],[Mdl LnAcres]])*Inventory[[#This Row],[Det/Nbhd Adj]],-2)</f>
        <v>-32300</v>
      </c>
      <c r="BR2202" s="25">
        <f>Inventory[[#This Row],[Adjusted Impr Total]]+Inventory[[#This Row],[Adjusted Land Total]]</f>
        <v>53300</v>
      </c>
      <c r="BS2202" s="36">
        <f>IFERROR((Inventory[[#This Row],[Adjusted Impr Total]]-Inventory[[#This Row],[24Bldg]])/Inventory[[#This Row],[24Bldg]],0)</f>
        <v>-0.18553758325404376</v>
      </c>
      <c r="BT2202" s="36">
        <f>(Inventory[[#This Row],[Adjusted Land Total]]-Inventory[[#This Row],[24Lnd]])/Inventory[[#This Row],[24Lnd]]</f>
        <v>-3.1533333333333333</v>
      </c>
      <c r="BU2202" s="36">
        <f>(Inventory[[#This Row],[Adjusted Total]]-Inventory[[#This Row],[24Final]])/Inventory[[#This Row],[24Final]]</f>
        <v>-0.55620316402997505</v>
      </c>
    </row>
    <row r="2203" spans="1:73" x14ac:dyDescent="0.3">
      <c r="A2203" s="25">
        <v>2025</v>
      </c>
      <c r="B2203" s="26" t="s">
        <v>2606</v>
      </c>
      <c r="C2203" s="26">
        <f>LN(Inventory[[#This Row],[Acres]])</f>
        <v>-1.7719568419318752</v>
      </c>
      <c r="D2203" s="25">
        <v>0.17</v>
      </c>
      <c r="E2203" s="25">
        <v>7348</v>
      </c>
      <c r="F2203" s="26" t="s">
        <v>537</v>
      </c>
      <c r="G2203" s="26" t="s">
        <v>126</v>
      </c>
      <c r="H2203" s="26" t="s">
        <v>349</v>
      </c>
      <c r="I2203" s="26" t="s">
        <v>538</v>
      </c>
      <c r="J2203" s="26" t="s">
        <v>539</v>
      </c>
      <c r="K2203" s="26" t="s">
        <v>241</v>
      </c>
      <c r="L2203" s="26" t="s">
        <v>351</v>
      </c>
      <c r="M2203" s="26" t="s">
        <v>303</v>
      </c>
      <c r="N2203" s="26">
        <v>110</v>
      </c>
      <c r="O2203" s="26">
        <f>2024-Inventory[[#This Row],[YrBlt]]</f>
        <v>105</v>
      </c>
      <c r="P2203" s="26">
        <f>2024-Inventory[[#This Row],[EffYr]]</f>
        <v>59</v>
      </c>
      <c r="Q2203" s="25">
        <v>1919</v>
      </c>
      <c r="R2203" s="25">
        <v>1965</v>
      </c>
      <c r="S2203" s="25">
        <v>1168</v>
      </c>
      <c r="T2203" s="31"/>
      <c r="U2203" s="31"/>
      <c r="V2203" s="31">
        <f>Inventory[[#This Row],[Bsmt]]-Inventory[[#This Row],[FnBsmt]]</f>
        <v>0</v>
      </c>
      <c r="W2203" s="31"/>
      <c r="X2203" s="27"/>
      <c r="Y2203" s="27">
        <f>Inventory[[#This Row],[MainFn]]+Inventory[[#This Row],[UpprFn]]+Inventory[[#This Row],[FnBsmt]]+Inventory[[#This Row],[AddFn]]</f>
        <v>1168</v>
      </c>
      <c r="Z2203" s="27">
        <v>1500</v>
      </c>
      <c r="AA2203" s="25">
        <v>8</v>
      </c>
      <c r="AB2203" s="27"/>
      <c r="AC2203" s="27"/>
      <c r="AD2203" s="27"/>
      <c r="AE2203" s="27"/>
      <c r="AF2203" s="27"/>
      <c r="AG2203" s="27"/>
      <c r="AH2203" s="27"/>
      <c r="AI2203" s="25">
        <v>204329</v>
      </c>
      <c r="AJ2203" s="25">
        <v>128727</v>
      </c>
      <c r="AK2203" s="25">
        <v>0</v>
      </c>
      <c r="AL2203" s="25">
        <v>299000</v>
      </c>
      <c r="AM2203" s="25">
        <v>52700</v>
      </c>
      <c r="AN2203" s="25">
        <v>246300</v>
      </c>
      <c r="AO2203" s="25">
        <v>0</v>
      </c>
      <c r="AP2203" s="25">
        <f>Lookups!$B$56*0</f>
        <v>0</v>
      </c>
      <c r="AQ2203" s="25">
        <f>Lookups!$B$56*1</f>
        <v>89850.625589999996</v>
      </c>
      <c r="AR2203" s="25">
        <f>Lookups!$B$57*Inventory[[#This Row],[LnAcres]]</f>
        <v>-56090.612940989391</v>
      </c>
      <c r="AS2203" s="25">
        <f>VLOOKUP(Inventory[[#This Row],[Qlty]],Lookups!$A$62:$E$75,2,FALSE)</f>
        <v>21557.329055999999</v>
      </c>
      <c r="AT2203" s="25">
        <f>VLOOKUP(Inventory[[#This Row],[Cnd]],Lookups!$A$76:$E$84,2,FALSE)</f>
        <v>197752.34721000001</v>
      </c>
      <c r="AU2203" s="25">
        <f>Inventory[[#This Row],[EffAge]]*Lookups!$B$85</f>
        <v>-13159.6904295</v>
      </c>
      <c r="AV2203" s="25">
        <f>Inventory[[#This Row],[MainFn]]*Lookups!$B$86</f>
        <v>57709.326416336</v>
      </c>
      <c r="AW2203" s="25">
        <f>Inventory[[#This Row],[UpprFn]]*Lookups!$B$87</f>
        <v>0</v>
      </c>
      <c r="AX2203" s="25">
        <f>Inventory[[#This Row],[AddFn]]*Lookups!$B$88</f>
        <v>0</v>
      </c>
      <c r="AY2203" s="25">
        <f>Inventory[[#This Row],[Bsmt]]*Lookups!$B$89</f>
        <v>0</v>
      </c>
      <c r="AZ2203" s="25">
        <f>Inventory[[#This Row],[Fixtures]]*Lookups!$B$90</f>
        <v>30336.176841600001</v>
      </c>
      <c r="BA2203" s="25">
        <f>Inventory[[#This Row],[WdDeck]]*Lookups!$B$91</f>
        <v>0</v>
      </c>
      <c r="BB2203" s="25">
        <f>ROUND(Inventory[[#This Row],[25Det]],-2)</f>
        <v>0</v>
      </c>
      <c r="BC2203" s="25">
        <f>ROUND(SUM(Inventory[[#This Row],[Mdl Qlty]:[Mdl WdDeck]])+Inventory[[#This Row],[Mdl Res Intercept]],-2)</f>
        <v>294200</v>
      </c>
      <c r="BD2203" s="25">
        <f>ROUND(Inventory[[#This Row],[Mdl Land Intercept]]+Inventory[[#This Row],[Mdl LnAcres]],-2)</f>
        <v>33800</v>
      </c>
      <c r="BE2203" s="25">
        <f>Inventory[[#This Row],[Unadj Res Value]]+Inventory[[#This Row],[Unadj Det Value]]+Inventory[[#This Row],[Unadj Land Value]]</f>
        <v>328000</v>
      </c>
      <c r="BF2203" s="36">
        <f>(Inventory[[#This Row],[Unadj Total Value]]-Inventory[[#This Row],[24Final]])/Inventory[[#This Row],[24Final]]</f>
        <v>9.6989966555183951E-2</v>
      </c>
      <c r="BG2203" s="25">
        <f>VLOOKUP(Inventory[[#This Row],[Nbhd]],Lookups!$Q$2:$T$4,4,FALSE)</f>
        <v>0.99970000000000003</v>
      </c>
      <c r="BH2203" s="25">
        <f>VLOOKUP(Inventory[[#This Row],[Qlty]],Lookups!$O$7:$R$21,4,FALSE)</f>
        <v>1.0067999999999999</v>
      </c>
      <c r="BI2203" s="25">
        <f>VLOOKUP(Inventory[[#This Row],[Cnd]],Lookups!$T$7:$W$16,4,FALSE)</f>
        <v>0.99650000000000005</v>
      </c>
      <c r="BJ2203" s="25">
        <f>VLOOKUP(Inventory[[#This Row],[LivArea Range]],Lookups!$T$25:$W$37,4,FALSE)</f>
        <v>1.0157</v>
      </c>
      <c r="BK2203" s="25">
        <f>VLOOKUP(Inventory[[#This Row],[Decade]],Lookups!$O$25:$R$42,4,FALSE)</f>
        <v>0.96040000000000003</v>
      </c>
      <c r="BL2203" s="25">
        <f>Inventory[[#This Row],[Nbhd Adj]]*0.95</f>
        <v>0.94971499999999998</v>
      </c>
      <c r="BM2203" s="25">
        <f>Inventory[[#This Row],[Nbhd Adj]]*Inventory[[#This Row],[Quality Adj]]*Inventory[[#This Row],[Condition Adj]]*Inventory[[#This Row],[Living Area Adj]]*Inventory[[#This Row],[Decade Adj]]*0.95</f>
        <v>0.92946151271343602</v>
      </c>
      <c r="BN2203" s="25">
        <f>ROUND(SUM(Inventory[[#This Row],[Mdl Qlty]:[Mdl WdDeck]])+Inventory[[#This Row],[Mdl Res Intercept]]*Inventory[[#This Row],[Res Adj ]],-2)</f>
        <v>294200</v>
      </c>
      <c r="BO2203" s="25">
        <f>ROUND(Inventory[[#This Row],[25Det]]*Inventory[[#This Row],[Det/Nbhd Adj]],-2)</f>
        <v>0</v>
      </c>
      <c r="BP2203" s="25">
        <f>Inventory[[#This Row],[Adjusted Res]]+Inventory[[#This Row],[Adj Det ]]</f>
        <v>294200</v>
      </c>
      <c r="BQ2203" s="25">
        <f>ROUND((Inventory[[#This Row],[Mdl Land Intercept]]+Inventory[[#This Row],[Mdl LnAcres]])*Inventory[[#This Row],[Det/Nbhd Adj]],-2)</f>
        <v>32100</v>
      </c>
      <c r="BR2203" s="25">
        <f>Inventory[[#This Row],[Adjusted Impr Total]]+Inventory[[#This Row],[Adjusted Land Total]]</f>
        <v>326300</v>
      </c>
      <c r="BS2203" s="36">
        <f>IFERROR((Inventory[[#This Row],[Adjusted Impr Total]]-Inventory[[#This Row],[24Bldg]])/Inventory[[#This Row],[24Bldg]],0)</f>
        <v>0.19447827852212748</v>
      </c>
      <c r="BT2203" s="36">
        <f>(Inventory[[#This Row],[Adjusted Land Total]]-Inventory[[#This Row],[24Lnd]])/Inventory[[#This Row],[24Lnd]]</f>
        <v>-0.39089184060721061</v>
      </c>
      <c r="BU2203" s="36">
        <f>(Inventory[[#This Row],[Adjusted Total]]-Inventory[[#This Row],[24Final]])/Inventory[[#This Row],[24Final]]</f>
        <v>9.1304347826086957E-2</v>
      </c>
    </row>
    <row r="2204" spans="1:73" x14ac:dyDescent="0.3">
      <c r="A2204" s="25">
        <v>2025</v>
      </c>
      <c r="B2204" s="26" t="s">
        <v>2114</v>
      </c>
      <c r="C2204" s="26">
        <f>LN(Inventory[[#This Row],[Acres]])</f>
        <v>-1.5606477482646683</v>
      </c>
      <c r="D2204" s="25">
        <v>0.21</v>
      </c>
      <c r="E2204" s="25">
        <v>9106</v>
      </c>
      <c r="F2204" s="26" t="s">
        <v>537</v>
      </c>
      <c r="G2204" s="26" t="s">
        <v>126</v>
      </c>
      <c r="H2204" s="26" t="s">
        <v>349</v>
      </c>
      <c r="I2204" s="26" t="s">
        <v>538</v>
      </c>
      <c r="J2204" s="26" t="s">
        <v>539</v>
      </c>
      <c r="K2204" s="26" t="s">
        <v>416</v>
      </c>
      <c r="L2204" s="26" t="s">
        <v>351</v>
      </c>
      <c r="M2204" s="26" t="s">
        <v>303</v>
      </c>
      <c r="N2204" s="26">
        <v>110</v>
      </c>
      <c r="O2204" s="26">
        <f>2024-Inventory[[#This Row],[YrBlt]]</f>
        <v>105</v>
      </c>
      <c r="P2204" s="26">
        <f>2024-Inventory[[#This Row],[EffYr]]</f>
        <v>59</v>
      </c>
      <c r="Q2204" s="25">
        <v>1919</v>
      </c>
      <c r="R2204" s="25">
        <v>1965</v>
      </c>
      <c r="S2204" s="25">
        <v>1269</v>
      </c>
      <c r="T2204" s="32">
        <v>1148</v>
      </c>
      <c r="U2204" s="25">
        <v>774</v>
      </c>
      <c r="V2204" s="32">
        <f>Inventory[[#This Row],[Bsmt]]-Inventory[[#This Row],[FnBsmt]]</f>
        <v>774</v>
      </c>
      <c r="W2204" s="27"/>
      <c r="X2204" s="27"/>
      <c r="Y2204" s="27">
        <f>Inventory[[#This Row],[MainFn]]+Inventory[[#This Row],[UpprFn]]+Inventory[[#This Row],[FnBsmt]]+Inventory[[#This Row],[AddFn]]</f>
        <v>2417</v>
      </c>
      <c r="Z2204" s="27">
        <v>2500</v>
      </c>
      <c r="AA2204" s="25">
        <v>9</v>
      </c>
      <c r="AB2204" s="27"/>
      <c r="AC2204" s="27"/>
      <c r="AD2204" s="31"/>
      <c r="AE2204" s="27"/>
      <c r="AF2204" s="27"/>
      <c r="AG2204" s="27"/>
      <c r="AH2204" s="27"/>
      <c r="AI2204" s="25">
        <v>355771</v>
      </c>
      <c r="AJ2204" s="25">
        <v>224136</v>
      </c>
      <c r="AK2204" s="25">
        <v>13256</v>
      </c>
      <c r="AL2204" s="25">
        <v>402800</v>
      </c>
      <c r="AM2204" s="25">
        <v>60100</v>
      </c>
      <c r="AN2204" s="25">
        <v>342700</v>
      </c>
      <c r="AO2204" s="25">
        <v>0</v>
      </c>
      <c r="AP2204" s="25">
        <f>Lookups!$B$56*0</f>
        <v>0</v>
      </c>
      <c r="AQ2204" s="25">
        <f>Lookups!$B$56*1</f>
        <v>89850.625589999996</v>
      </c>
      <c r="AR2204" s="25">
        <f>Lookups!$B$57*Inventory[[#This Row],[LnAcres]]</f>
        <v>-49401.70477837498</v>
      </c>
      <c r="AS2204" s="25">
        <f>VLOOKUP(Inventory[[#This Row],[Qlty]],Lookups!$A$62:$E$75,2,FALSE)</f>
        <v>21557.329055999999</v>
      </c>
      <c r="AT2204" s="25">
        <f>VLOOKUP(Inventory[[#This Row],[Cnd]],Lookups!$A$76:$E$84,2,FALSE)</f>
        <v>197752.34721000001</v>
      </c>
      <c r="AU2204" s="25">
        <f>Inventory[[#This Row],[EffAge]]*Lookups!$B$85</f>
        <v>-13159.6904295</v>
      </c>
      <c r="AV2204" s="25">
        <f>Inventory[[#This Row],[MainFn]]*Lookups!$B$86</f>
        <v>62699.602073913004</v>
      </c>
      <c r="AW2204" s="25">
        <f>Inventory[[#This Row],[UpprFn]]*Lookups!$B$87</f>
        <v>51414.813444428</v>
      </c>
      <c r="AX2204" s="25">
        <f>Inventory[[#This Row],[AddFn]]*Lookups!$B$88</f>
        <v>0</v>
      </c>
      <c r="AY2204" s="25">
        <f>Inventory[[#This Row],[Bsmt]]*Lookups!$B$89</f>
        <v>22509.386921178</v>
      </c>
      <c r="AZ2204" s="25">
        <f>Inventory[[#This Row],[Fixtures]]*Lookups!$B$90</f>
        <v>34128.198946800003</v>
      </c>
      <c r="BA2204" s="25">
        <f>Inventory[[#This Row],[WdDeck]]*Lookups!$B$91</f>
        <v>0</v>
      </c>
      <c r="BB2204" s="25">
        <f>ROUND(Inventory[[#This Row],[25Det]],-2)</f>
        <v>13300</v>
      </c>
      <c r="BC2204" s="25">
        <f>ROUND(SUM(Inventory[[#This Row],[Mdl Qlty]:[Mdl WdDeck]])+Inventory[[#This Row],[Mdl Res Intercept]],-2)</f>
        <v>376900</v>
      </c>
      <c r="BD2204" s="25">
        <f>ROUND(Inventory[[#This Row],[Mdl Land Intercept]]+Inventory[[#This Row],[Mdl LnAcres]],-2)</f>
        <v>40400</v>
      </c>
      <c r="BE2204" s="25">
        <f>Inventory[[#This Row],[Unadj Res Value]]+Inventory[[#This Row],[Unadj Det Value]]+Inventory[[#This Row],[Unadj Land Value]]</f>
        <v>430600</v>
      </c>
      <c r="BF2204" s="36">
        <f>(Inventory[[#This Row],[Unadj Total Value]]-Inventory[[#This Row],[24Final]])/Inventory[[#This Row],[24Final]]</f>
        <v>6.9016881827209539E-2</v>
      </c>
      <c r="BG2204" s="25">
        <f>VLOOKUP(Inventory[[#This Row],[Nbhd]],Lookups!$Q$2:$T$4,4,FALSE)</f>
        <v>0.99970000000000003</v>
      </c>
      <c r="BH2204" s="25">
        <f>VLOOKUP(Inventory[[#This Row],[Qlty]],Lookups!$O$7:$R$21,4,FALSE)</f>
        <v>1.0067999999999999</v>
      </c>
      <c r="BI2204" s="25">
        <f>VLOOKUP(Inventory[[#This Row],[Cnd]],Lookups!$T$7:$W$16,4,FALSE)</f>
        <v>0.99650000000000005</v>
      </c>
      <c r="BJ2204" s="25">
        <f>VLOOKUP(Inventory[[#This Row],[LivArea Range]],Lookups!$T$25:$W$37,4,FALSE)</f>
        <v>0.98919999999999997</v>
      </c>
      <c r="BK2204" s="25">
        <f>VLOOKUP(Inventory[[#This Row],[Decade]],Lookups!$O$25:$R$42,4,FALSE)</f>
        <v>0.96040000000000003</v>
      </c>
      <c r="BL2204" s="25">
        <f>Inventory[[#This Row],[Nbhd Adj]]*0.95</f>
        <v>0.94971499999999998</v>
      </c>
      <c r="BM2204" s="25">
        <f>Inventory[[#This Row],[Nbhd Adj]]*Inventory[[#This Row],[Quality Adj]]*Inventory[[#This Row],[Condition Adj]]*Inventory[[#This Row],[Living Area Adj]]*Inventory[[#This Row],[Decade Adj]]*0.95</f>
        <v>0.90521150770515979</v>
      </c>
      <c r="BN2204" s="25">
        <f>ROUND(SUM(Inventory[[#This Row],[Mdl Qlty]:[Mdl WdDeck]])+Inventory[[#This Row],[Mdl Res Intercept]]*Inventory[[#This Row],[Res Adj ]],-2)</f>
        <v>376900</v>
      </c>
      <c r="BO2204" s="25">
        <f>ROUND(Inventory[[#This Row],[25Det]]*Inventory[[#This Row],[Det/Nbhd Adj]],-2)</f>
        <v>12600</v>
      </c>
      <c r="BP2204" s="25">
        <f>Inventory[[#This Row],[Adjusted Res]]+Inventory[[#This Row],[Adj Det ]]</f>
        <v>389500</v>
      </c>
      <c r="BQ2204" s="25">
        <f>ROUND((Inventory[[#This Row],[Mdl Land Intercept]]+Inventory[[#This Row],[Mdl LnAcres]])*Inventory[[#This Row],[Det/Nbhd Adj]],-2)</f>
        <v>38400</v>
      </c>
      <c r="BR2204" s="25">
        <f>Inventory[[#This Row],[Adjusted Impr Total]]+Inventory[[#This Row],[Adjusted Land Total]]</f>
        <v>427900</v>
      </c>
      <c r="BS2204" s="36">
        <f>IFERROR((Inventory[[#This Row],[Adjusted Impr Total]]-Inventory[[#This Row],[24Bldg]])/Inventory[[#This Row],[24Bldg]],0)</f>
        <v>0.13656259118762767</v>
      </c>
      <c r="BT2204" s="36">
        <f>(Inventory[[#This Row],[Adjusted Land Total]]-Inventory[[#This Row],[24Lnd]])/Inventory[[#This Row],[24Lnd]]</f>
        <v>-0.36106489184692181</v>
      </c>
      <c r="BU2204" s="36">
        <f>(Inventory[[#This Row],[Adjusted Total]]-Inventory[[#This Row],[24Final]])/Inventory[[#This Row],[24Final]]</f>
        <v>6.231380337636544E-2</v>
      </c>
    </row>
    <row r="2205" spans="1:73" x14ac:dyDescent="0.3">
      <c r="A2205" s="25">
        <v>2025</v>
      </c>
      <c r="B2205" s="26" t="s">
        <v>2890</v>
      </c>
      <c r="C2205" s="26">
        <f>LN(Inventory[[#This Row],[Acres]])</f>
        <v>-1.8971199848858813</v>
      </c>
      <c r="D2205" s="25">
        <v>0.15</v>
      </c>
      <c r="E2205" s="31"/>
      <c r="F2205" s="26" t="s">
        <v>537</v>
      </c>
      <c r="G2205" s="26" t="s">
        <v>126</v>
      </c>
      <c r="H2205" s="26" t="s">
        <v>349</v>
      </c>
      <c r="I2205" s="26" t="s">
        <v>538</v>
      </c>
      <c r="J2205" s="26" t="s">
        <v>539</v>
      </c>
      <c r="K2205" s="26" t="s">
        <v>173</v>
      </c>
      <c r="L2205" s="26" t="s">
        <v>148</v>
      </c>
      <c r="M2205" s="26" t="s">
        <v>303</v>
      </c>
      <c r="N2205" s="26">
        <v>110</v>
      </c>
      <c r="O2205" s="26">
        <f>2024-Inventory[[#This Row],[YrBlt]]</f>
        <v>105</v>
      </c>
      <c r="P2205" s="26">
        <f>2024-Inventory[[#This Row],[EffYr]]</f>
        <v>59</v>
      </c>
      <c r="Q2205" s="25">
        <v>1919</v>
      </c>
      <c r="R2205" s="25">
        <v>1965</v>
      </c>
      <c r="S2205" s="25">
        <v>1402</v>
      </c>
      <c r="T2205" s="32">
        <v>964</v>
      </c>
      <c r="U2205" s="32">
        <v>702</v>
      </c>
      <c r="V2205" s="32">
        <f>Inventory[[#This Row],[Bsmt]]-Inventory[[#This Row],[FnBsmt]]</f>
        <v>0</v>
      </c>
      <c r="W2205" s="32">
        <v>702</v>
      </c>
      <c r="X2205" s="27"/>
      <c r="Y2205" s="27">
        <f>Inventory[[#This Row],[MainFn]]+Inventory[[#This Row],[UpprFn]]+Inventory[[#This Row],[FnBsmt]]+Inventory[[#This Row],[AddFn]]</f>
        <v>3068</v>
      </c>
      <c r="Z2205" s="27">
        <v>3500</v>
      </c>
      <c r="AA2205" s="25">
        <v>12</v>
      </c>
      <c r="AB2205" s="27"/>
      <c r="AC2205" s="27"/>
      <c r="AD2205" s="27"/>
      <c r="AE2205" s="27"/>
      <c r="AF2205" s="27"/>
      <c r="AG2205" s="27"/>
      <c r="AH2205" s="27"/>
      <c r="AI2205" s="25">
        <v>531279</v>
      </c>
      <c r="AJ2205" s="25">
        <v>334706</v>
      </c>
      <c r="AK2205" s="25">
        <v>8845</v>
      </c>
      <c r="AL2205" s="25">
        <v>421300</v>
      </c>
      <c r="AM2205" s="25">
        <v>48400</v>
      </c>
      <c r="AN2205" s="25">
        <v>372900</v>
      </c>
      <c r="AO2205" s="25">
        <v>0</v>
      </c>
      <c r="AP2205" s="25">
        <f>Lookups!$B$56*0</f>
        <v>0</v>
      </c>
      <c r="AQ2205" s="25">
        <f>Lookups!$B$56*1</f>
        <v>89850.625589999996</v>
      </c>
      <c r="AR2205" s="25">
        <f>Lookups!$B$57*Inventory[[#This Row],[LnAcres]]</f>
        <v>-60052.604136134301</v>
      </c>
      <c r="AS2205" s="25">
        <f>VLOOKUP(Inventory[[#This Row],[Qlty]],Lookups!$A$62:$E$75,2,FALSE)</f>
        <v>44121.038090000002</v>
      </c>
      <c r="AT2205" s="25">
        <f>VLOOKUP(Inventory[[#This Row],[Cnd]],Lookups!$A$76:$E$84,2,FALSE)</f>
        <v>197752.34721000001</v>
      </c>
      <c r="AU2205" s="25">
        <f>Inventory[[#This Row],[EffAge]]*Lookups!$B$85</f>
        <v>-13159.6904295</v>
      </c>
      <c r="AV2205" s="25">
        <f>Inventory[[#This Row],[MainFn]]*Lookups!$B$86</f>
        <v>69270.955167553999</v>
      </c>
      <c r="AW2205" s="25">
        <f>Inventory[[#This Row],[UpprFn]]*Lookups!$B$87</f>
        <v>43174.111638003997</v>
      </c>
      <c r="AX2205" s="25">
        <f>Inventory[[#This Row],[AddFn]]*Lookups!$B$88</f>
        <v>0</v>
      </c>
      <c r="AY2205" s="25">
        <f>Inventory[[#This Row],[Bsmt]]*Lookups!$B$89</f>
        <v>20415.490463393999</v>
      </c>
      <c r="AZ2205" s="25">
        <f>Inventory[[#This Row],[Fixtures]]*Lookups!$B$90</f>
        <v>45504.265262400004</v>
      </c>
      <c r="BA2205" s="25">
        <f>Inventory[[#This Row],[WdDeck]]*Lookups!$B$91</f>
        <v>0</v>
      </c>
      <c r="BB2205" s="25">
        <f>ROUND(Inventory[[#This Row],[25Det]],-2)</f>
        <v>8800</v>
      </c>
      <c r="BC2205" s="25">
        <f>ROUND(SUM(Inventory[[#This Row],[Mdl Qlty]:[Mdl WdDeck]])+Inventory[[#This Row],[Mdl Res Intercept]],-2)</f>
        <v>407100</v>
      </c>
      <c r="BD2205" s="25">
        <f>ROUND(Inventory[[#This Row],[Mdl Land Intercept]]+Inventory[[#This Row],[Mdl LnAcres]],-2)</f>
        <v>29800</v>
      </c>
      <c r="BE2205" s="25">
        <f>Inventory[[#This Row],[Unadj Res Value]]+Inventory[[#This Row],[Unadj Det Value]]+Inventory[[#This Row],[Unadj Land Value]]</f>
        <v>445700</v>
      </c>
      <c r="BF2205" s="36">
        <f>(Inventory[[#This Row],[Unadj Total Value]]-Inventory[[#This Row],[24Final]])/Inventory[[#This Row],[24Final]]</f>
        <v>5.7915974365060525E-2</v>
      </c>
      <c r="BG2205" s="25">
        <f>VLOOKUP(Inventory[[#This Row],[Nbhd]],Lookups!$Q$2:$T$4,4,FALSE)</f>
        <v>0.99970000000000003</v>
      </c>
      <c r="BH2205" s="25">
        <f>VLOOKUP(Inventory[[#This Row],[Qlty]],Lookups!$O$7:$R$21,4,FALSE)</f>
        <v>0.98050000000000004</v>
      </c>
      <c r="BI2205" s="25">
        <f>VLOOKUP(Inventory[[#This Row],[Cnd]],Lookups!$T$7:$W$16,4,FALSE)</f>
        <v>0.99650000000000005</v>
      </c>
      <c r="BJ2205" s="25">
        <f>VLOOKUP(Inventory[[#This Row],[LivArea Range]],Lookups!$T$25:$W$37,4,FALSE)</f>
        <v>1.0126999999999999</v>
      </c>
      <c r="BK2205" s="25">
        <f>VLOOKUP(Inventory[[#This Row],[Decade]],Lookups!$O$25:$R$42,4,FALSE)</f>
        <v>0.96040000000000003</v>
      </c>
      <c r="BL2205" s="25">
        <f>Inventory[[#This Row],[Nbhd Adj]]*0.95</f>
        <v>0.94971499999999998</v>
      </c>
      <c r="BM2205" s="25">
        <f>Inventory[[#This Row],[Nbhd Adj]]*Inventory[[#This Row],[Quality Adj]]*Inventory[[#This Row],[Condition Adj]]*Inventory[[#This Row],[Living Area Adj]]*Inventory[[#This Row],[Decade Adj]]*0.95</f>
        <v>0.90250820685300492</v>
      </c>
      <c r="BN2205" s="25">
        <f>ROUND(SUM(Inventory[[#This Row],[Mdl Qlty]:[Mdl WdDeck]])+Inventory[[#This Row],[Mdl Res Intercept]]*Inventory[[#This Row],[Res Adj ]],-2)</f>
        <v>407100</v>
      </c>
      <c r="BO2205" s="25">
        <f>ROUND(Inventory[[#This Row],[25Det]]*Inventory[[#This Row],[Det/Nbhd Adj]],-2)</f>
        <v>8400</v>
      </c>
      <c r="BP2205" s="25">
        <f>Inventory[[#This Row],[Adjusted Res]]+Inventory[[#This Row],[Adj Det ]]</f>
        <v>415500</v>
      </c>
      <c r="BQ2205" s="25">
        <f>ROUND((Inventory[[#This Row],[Mdl Land Intercept]]+Inventory[[#This Row],[Mdl LnAcres]])*Inventory[[#This Row],[Det/Nbhd Adj]],-2)</f>
        <v>28300</v>
      </c>
      <c r="BR2205" s="25">
        <f>Inventory[[#This Row],[Adjusted Impr Total]]+Inventory[[#This Row],[Adjusted Land Total]]</f>
        <v>443800</v>
      </c>
      <c r="BS2205" s="36">
        <f>IFERROR((Inventory[[#This Row],[Adjusted Impr Total]]-Inventory[[#This Row],[24Bldg]])/Inventory[[#This Row],[24Bldg]],0)</f>
        <v>0.11423974255832663</v>
      </c>
      <c r="BT2205" s="36">
        <f>(Inventory[[#This Row],[Adjusted Land Total]]-Inventory[[#This Row],[24Lnd]])/Inventory[[#This Row],[24Lnd]]</f>
        <v>-0.41528925619834711</v>
      </c>
      <c r="BU2205" s="36">
        <f>(Inventory[[#This Row],[Adjusted Total]]-Inventory[[#This Row],[24Final]])/Inventory[[#This Row],[24Final]]</f>
        <v>5.3406123902207454E-2</v>
      </c>
    </row>
    <row r="2206" spans="1:73" x14ac:dyDescent="0.3">
      <c r="A2206" s="25">
        <v>2025</v>
      </c>
      <c r="B2206" s="26" t="s">
        <v>1468</v>
      </c>
      <c r="C2206" s="26">
        <f>LN(Inventory[[#This Row],[Acres]])</f>
        <v>-0.9942522733438669</v>
      </c>
      <c r="D2206" s="25">
        <v>0.37</v>
      </c>
      <c r="E2206" s="25">
        <v>16259</v>
      </c>
      <c r="F2206" s="26" t="s">
        <v>537</v>
      </c>
      <c r="G2206" s="26" t="s">
        <v>126</v>
      </c>
      <c r="H2206" s="26" t="s">
        <v>349</v>
      </c>
      <c r="I2206" s="26" t="s">
        <v>538</v>
      </c>
      <c r="J2206" s="26" t="s">
        <v>539</v>
      </c>
      <c r="K2206" s="26" t="s">
        <v>416</v>
      </c>
      <c r="L2206" s="26" t="s">
        <v>351</v>
      </c>
      <c r="M2206" s="26" t="s">
        <v>303</v>
      </c>
      <c r="N2206" s="26">
        <v>110</v>
      </c>
      <c r="O2206" s="26">
        <f>2024-Inventory[[#This Row],[YrBlt]]</f>
        <v>105</v>
      </c>
      <c r="P2206" s="26">
        <f>2024-Inventory[[#This Row],[EffYr]]</f>
        <v>39</v>
      </c>
      <c r="Q2206" s="25">
        <v>1919</v>
      </c>
      <c r="R2206" s="25">
        <v>1985</v>
      </c>
      <c r="S2206" s="25">
        <v>1482</v>
      </c>
      <c r="T2206" s="32">
        <v>480</v>
      </c>
      <c r="U2206" s="25">
        <v>800</v>
      </c>
      <c r="V2206" s="25">
        <f>Inventory[[#This Row],[Bsmt]]-Inventory[[#This Row],[FnBsmt]]</f>
        <v>0</v>
      </c>
      <c r="W2206" s="25">
        <v>800</v>
      </c>
      <c r="X2206" s="27"/>
      <c r="Y2206" s="27">
        <f>Inventory[[#This Row],[MainFn]]+Inventory[[#This Row],[UpprFn]]+Inventory[[#This Row],[FnBsmt]]+Inventory[[#This Row],[AddFn]]</f>
        <v>2762</v>
      </c>
      <c r="Z2206" s="27">
        <v>3000</v>
      </c>
      <c r="AA2206" s="25">
        <v>9</v>
      </c>
      <c r="AB2206" s="27"/>
      <c r="AC2206" s="27"/>
      <c r="AD2206" s="27"/>
      <c r="AE2206" s="27"/>
      <c r="AF2206" s="27"/>
      <c r="AG2206" s="27"/>
      <c r="AH2206" s="27"/>
      <c r="AI2206" s="25">
        <v>366188</v>
      </c>
      <c r="AJ2206" s="25">
        <v>296612</v>
      </c>
      <c r="AK2206" s="25">
        <v>39331</v>
      </c>
      <c r="AL2206" s="25">
        <v>437600</v>
      </c>
      <c r="AM2206" s="25">
        <v>79900</v>
      </c>
      <c r="AN2206" s="25">
        <v>357700</v>
      </c>
      <c r="AO2206" s="25">
        <v>0</v>
      </c>
      <c r="AP2206" s="25">
        <f>Lookups!$B$56*0</f>
        <v>0</v>
      </c>
      <c r="AQ2206" s="25">
        <f>Lookups!$B$56*1</f>
        <v>89850.625589999996</v>
      </c>
      <c r="AR2206" s="25">
        <f>Lookups!$B$57*Inventory[[#This Row],[LnAcres]]</f>
        <v>-31472.673662315807</v>
      </c>
      <c r="AS2206" s="25">
        <f>VLOOKUP(Inventory[[#This Row],[Qlty]],Lookups!$A$62:$E$75,2,FALSE)</f>
        <v>21557.329055999999</v>
      </c>
      <c r="AT2206" s="25">
        <f>VLOOKUP(Inventory[[#This Row],[Cnd]],Lookups!$A$76:$E$84,2,FALSE)</f>
        <v>197752.34721000001</v>
      </c>
      <c r="AU2206" s="25">
        <f>Inventory[[#This Row],[EffAge]]*Lookups!$B$85</f>
        <v>-8698.7784195000004</v>
      </c>
      <c r="AV2206" s="25">
        <f>Inventory[[#This Row],[MainFn]]*Lookups!$B$86</f>
        <v>73223.648757714007</v>
      </c>
      <c r="AW2206" s="25">
        <f>Inventory[[#This Row],[UpprFn]]*Lookups!$B$87</f>
        <v>21497.482973279999</v>
      </c>
      <c r="AX2206" s="25">
        <f>Inventory[[#This Row],[AddFn]]*Lookups!$B$88</f>
        <v>0</v>
      </c>
      <c r="AY2206" s="25">
        <f>Inventory[[#This Row],[Bsmt]]*Lookups!$B$89</f>
        <v>23265.516197599998</v>
      </c>
      <c r="AZ2206" s="25">
        <f>Inventory[[#This Row],[Fixtures]]*Lookups!$B$90</f>
        <v>34128.198946800003</v>
      </c>
      <c r="BA2206" s="25">
        <f>Inventory[[#This Row],[WdDeck]]*Lookups!$B$91</f>
        <v>0</v>
      </c>
      <c r="BB2206" s="25">
        <f>ROUND(Inventory[[#This Row],[25Det]],-2)</f>
        <v>39300</v>
      </c>
      <c r="BC2206" s="25">
        <f>ROUND(SUM(Inventory[[#This Row],[Mdl Qlty]:[Mdl WdDeck]])+Inventory[[#This Row],[Mdl Res Intercept]],-2)</f>
        <v>362700</v>
      </c>
      <c r="BD2206" s="25">
        <f>ROUND(Inventory[[#This Row],[Mdl Land Intercept]]+Inventory[[#This Row],[Mdl LnAcres]],-2)</f>
        <v>58400</v>
      </c>
      <c r="BE2206" s="25">
        <f>Inventory[[#This Row],[Unadj Res Value]]+Inventory[[#This Row],[Unadj Det Value]]+Inventory[[#This Row],[Unadj Land Value]]</f>
        <v>460400</v>
      </c>
      <c r="BF2206" s="36">
        <f>(Inventory[[#This Row],[Unadj Total Value]]-Inventory[[#This Row],[24Final]])/Inventory[[#This Row],[24Final]]</f>
        <v>5.2102376599634369E-2</v>
      </c>
      <c r="BG2206" s="25">
        <f>VLOOKUP(Inventory[[#This Row],[Nbhd]],Lookups!$Q$2:$T$4,4,FALSE)</f>
        <v>0.99970000000000003</v>
      </c>
      <c r="BH2206" s="25">
        <f>VLOOKUP(Inventory[[#This Row],[Qlty]],Lookups!$O$7:$R$21,4,FALSE)</f>
        <v>1.0067999999999999</v>
      </c>
      <c r="BI2206" s="25">
        <f>VLOOKUP(Inventory[[#This Row],[Cnd]],Lookups!$T$7:$W$16,4,FALSE)</f>
        <v>0.99650000000000005</v>
      </c>
      <c r="BJ2206" s="25">
        <f>VLOOKUP(Inventory[[#This Row],[LivArea Range]],Lookups!$T$25:$W$37,4,FALSE)</f>
        <v>0.96179999999999999</v>
      </c>
      <c r="BK2206" s="25">
        <f>VLOOKUP(Inventory[[#This Row],[Decade]],Lookups!$O$25:$R$42,4,FALSE)</f>
        <v>0.96040000000000003</v>
      </c>
      <c r="BL2206" s="25">
        <f>Inventory[[#This Row],[Nbhd Adj]]*0.95</f>
        <v>0.94971499999999998</v>
      </c>
      <c r="BM2206" s="25">
        <f>Inventory[[#This Row],[Nbhd Adj]]*Inventory[[#This Row],[Quality Adj]]*Inventory[[#This Row],[Condition Adj]]*Inventory[[#This Row],[Living Area Adj]]*Inventory[[#This Row],[Decade Adj]]*0.95</f>
        <v>0.88013791762113103</v>
      </c>
      <c r="BN2206" s="25">
        <f>ROUND(SUM(Inventory[[#This Row],[Mdl Qlty]:[Mdl WdDeck]])+Inventory[[#This Row],[Mdl Res Intercept]]*Inventory[[#This Row],[Res Adj ]],-2)</f>
        <v>362700</v>
      </c>
      <c r="BO2206" s="25">
        <f>ROUND(Inventory[[#This Row],[25Det]]*Inventory[[#This Row],[Det/Nbhd Adj]],-2)</f>
        <v>37400</v>
      </c>
      <c r="BP2206" s="25">
        <f>Inventory[[#This Row],[Adjusted Res]]+Inventory[[#This Row],[Adj Det ]]</f>
        <v>400100</v>
      </c>
      <c r="BQ2206" s="25">
        <f>ROUND((Inventory[[#This Row],[Mdl Land Intercept]]+Inventory[[#This Row],[Mdl LnAcres]])*Inventory[[#This Row],[Det/Nbhd Adj]],-2)</f>
        <v>55400</v>
      </c>
      <c r="BR2206" s="25">
        <f>Inventory[[#This Row],[Adjusted Impr Total]]+Inventory[[#This Row],[Adjusted Land Total]]</f>
        <v>455500</v>
      </c>
      <c r="BS2206" s="36">
        <f>IFERROR((Inventory[[#This Row],[Adjusted Impr Total]]-Inventory[[#This Row],[24Bldg]])/Inventory[[#This Row],[24Bldg]],0)</f>
        <v>0.1185350852669835</v>
      </c>
      <c r="BT2206" s="36">
        <f>(Inventory[[#This Row],[Adjusted Land Total]]-Inventory[[#This Row],[24Lnd]])/Inventory[[#This Row],[24Lnd]]</f>
        <v>-0.30663329161451813</v>
      </c>
      <c r="BU2206" s="36">
        <f>(Inventory[[#This Row],[Adjusted Total]]-Inventory[[#This Row],[24Final]])/Inventory[[#This Row],[24Final]]</f>
        <v>4.0904936014625227E-2</v>
      </c>
    </row>
    <row r="2207" spans="1:73" x14ac:dyDescent="0.3">
      <c r="A2207" s="25">
        <v>2025</v>
      </c>
      <c r="B2207" s="26" t="s">
        <v>1655</v>
      </c>
      <c r="C2207" s="26">
        <f>LN(Inventory[[#This Row],[Acres]])</f>
        <v>-0.9942522733438669</v>
      </c>
      <c r="D2207" s="31">
        <f>ROUND(Inventory[[#This Row],[Sqft]]/43560,2)</f>
        <v>0.37</v>
      </c>
      <c r="E2207" s="25">
        <v>16207</v>
      </c>
      <c r="F2207" s="26" t="s">
        <v>537</v>
      </c>
      <c r="G2207" s="26" t="s">
        <v>126</v>
      </c>
      <c r="H2207" s="26" t="s">
        <v>349</v>
      </c>
      <c r="I2207" s="26" t="s">
        <v>538</v>
      </c>
      <c r="J2207" s="26" t="s">
        <v>539</v>
      </c>
      <c r="K2207" s="26" t="s">
        <v>4</v>
      </c>
      <c r="L2207" s="26" t="s">
        <v>95</v>
      </c>
      <c r="M2207" s="26" t="s">
        <v>303</v>
      </c>
      <c r="N2207" s="26">
        <v>110</v>
      </c>
      <c r="O2207" s="26">
        <f>2024-Inventory[[#This Row],[YrBlt]]</f>
        <v>105</v>
      </c>
      <c r="P2207" s="26">
        <f>2024-Inventory[[#This Row],[EffYr]]</f>
        <v>49</v>
      </c>
      <c r="Q2207" s="25">
        <v>1919</v>
      </c>
      <c r="R2207" s="25">
        <v>1975</v>
      </c>
      <c r="S2207" s="25">
        <v>2223</v>
      </c>
      <c r="T2207" s="32">
        <v>256</v>
      </c>
      <c r="U2207" s="25">
        <v>2223</v>
      </c>
      <c r="V2207" s="25">
        <f>Inventory[[#This Row],[Bsmt]]-Inventory[[#This Row],[FnBsmt]]</f>
        <v>0</v>
      </c>
      <c r="W2207" s="25">
        <v>2223</v>
      </c>
      <c r="X2207" s="27"/>
      <c r="Y2207" s="27">
        <f>Inventory[[#This Row],[MainFn]]+Inventory[[#This Row],[UpprFn]]+Inventory[[#This Row],[FnBsmt]]+Inventory[[#This Row],[AddFn]]</f>
        <v>4702</v>
      </c>
      <c r="Z2207" s="27">
        <v>4500</v>
      </c>
      <c r="AA2207" s="25">
        <v>14</v>
      </c>
      <c r="AB2207" s="27"/>
      <c r="AC2207" s="27"/>
      <c r="AD2207" s="27"/>
      <c r="AE2207" s="27"/>
      <c r="AF2207" s="27"/>
      <c r="AG2207" s="27"/>
      <c r="AH2207" s="27"/>
      <c r="AI2207" s="25">
        <v>886662</v>
      </c>
      <c r="AJ2207" s="25">
        <v>656130</v>
      </c>
      <c r="AK2207" s="25">
        <v>70888</v>
      </c>
      <c r="AL2207" s="25">
        <v>651800</v>
      </c>
      <c r="AM2207" s="25">
        <v>79900</v>
      </c>
      <c r="AN2207" s="25">
        <v>571900</v>
      </c>
      <c r="AO2207" s="25">
        <v>0</v>
      </c>
      <c r="AP2207" s="25">
        <f>Lookups!$B$56*0</f>
        <v>0</v>
      </c>
      <c r="AQ2207" s="25">
        <f>Lookups!$B$56*1</f>
        <v>89850.625589999996</v>
      </c>
      <c r="AR2207" s="25">
        <f>Lookups!$B$57*Inventory[[#This Row],[LnAcres]]</f>
        <v>-31472.673662315807</v>
      </c>
      <c r="AS2207" s="25">
        <f>VLOOKUP(Inventory[[#This Row],[Qlty]],Lookups!$A$62:$E$75,2,FALSE)</f>
        <v>74268.409664999999</v>
      </c>
      <c r="AT2207" s="25">
        <f>VLOOKUP(Inventory[[#This Row],[Cnd]],Lookups!$A$76:$E$84,2,FALSE)</f>
        <v>197752.34721000001</v>
      </c>
      <c r="AU2207" s="25">
        <f>Inventory[[#This Row],[EffAge]]*Lookups!$B$85</f>
        <v>-10929.2344245</v>
      </c>
      <c r="AV2207" s="25">
        <f>Inventory[[#This Row],[MainFn]]*Lookups!$B$86</f>
        <v>109835.473136571</v>
      </c>
      <c r="AW2207" s="25">
        <f>Inventory[[#This Row],[UpprFn]]*Lookups!$B$87</f>
        <v>11465.324252416</v>
      </c>
      <c r="AX2207" s="25">
        <f>Inventory[[#This Row],[AddFn]]*Lookups!$B$88</f>
        <v>0</v>
      </c>
      <c r="AY2207" s="25">
        <f>Inventory[[#This Row],[Bsmt]]*Lookups!$B$89</f>
        <v>64649.053134080998</v>
      </c>
      <c r="AZ2207" s="25">
        <f>Inventory[[#This Row],[Fixtures]]*Lookups!$B$90</f>
        <v>53088.3094728</v>
      </c>
      <c r="BA2207" s="25">
        <f>Inventory[[#This Row],[WdDeck]]*Lookups!$B$91</f>
        <v>0</v>
      </c>
      <c r="BB2207" s="25">
        <f>ROUND(Inventory[[#This Row],[25Det]],-2)</f>
        <v>70900</v>
      </c>
      <c r="BC2207" s="25">
        <f>ROUND(SUM(Inventory[[#This Row],[Mdl Qlty]:[Mdl WdDeck]])+Inventory[[#This Row],[Mdl Res Intercept]],-2)</f>
        <v>500100</v>
      </c>
      <c r="BD2207" s="25">
        <f>ROUND(Inventory[[#This Row],[Mdl Land Intercept]]+Inventory[[#This Row],[Mdl LnAcres]],-2)</f>
        <v>58400</v>
      </c>
      <c r="BE2207" s="25">
        <f>Inventory[[#This Row],[Unadj Res Value]]+Inventory[[#This Row],[Unadj Det Value]]+Inventory[[#This Row],[Unadj Land Value]]</f>
        <v>629400</v>
      </c>
      <c r="BF2207" s="36">
        <f>(Inventory[[#This Row],[Unadj Total Value]]-Inventory[[#This Row],[24Final]])/Inventory[[#This Row],[24Final]]</f>
        <v>-3.4366370052163239E-2</v>
      </c>
      <c r="BG2207" s="25">
        <f>VLOOKUP(Inventory[[#This Row],[Nbhd]],Lookups!$Q$2:$T$4,4,FALSE)</f>
        <v>0.99970000000000003</v>
      </c>
      <c r="BH2207" s="25">
        <f>VLOOKUP(Inventory[[#This Row],[Qlty]],Lookups!$O$7:$R$21,4,FALSE)</f>
        <v>0.98380000000000001</v>
      </c>
      <c r="BI2207" s="25">
        <f>VLOOKUP(Inventory[[#This Row],[Cnd]],Lookups!$T$7:$W$16,4,FALSE)</f>
        <v>0.99650000000000005</v>
      </c>
      <c r="BJ2207" s="25">
        <f>VLOOKUP(Inventory[[#This Row],[LivArea Range]],Lookups!$T$25:$W$37,4,FALSE)</f>
        <v>1</v>
      </c>
      <c r="BK2207" s="25">
        <f>VLOOKUP(Inventory[[#This Row],[Decade]],Lookups!$O$25:$R$42,4,FALSE)</f>
        <v>0.96040000000000003</v>
      </c>
      <c r="BL2207" s="25">
        <f>Inventory[[#This Row],[Nbhd Adj]]*0.95</f>
        <v>0.94971499999999998</v>
      </c>
      <c r="BM2207" s="25">
        <f>Inventory[[#This Row],[Nbhd Adj]]*Inventory[[#This Row],[Quality Adj]]*Inventory[[#This Row],[Condition Adj]]*Inventory[[#This Row],[Living Area Adj]]*Inventory[[#This Row],[Decade Adj]]*0.95</f>
        <v>0.89418950859221624</v>
      </c>
      <c r="BN2207" s="25">
        <f>ROUND(SUM(Inventory[[#This Row],[Mdl Qlty]:[Mdl WdDeck]])+Inventory[[#This Row],[Mdl Res Intercept]]*Inventory[[#This Row],[Res Adj ]],-2)</f>
        <v>500100</v>
      </c>
      <c r="BO2207" s="25">
        <f>ROUND(Inventory[[#This Row],[25Det]]*Inventory[[#This Row],[Det/Nbhd Adj]],-2)</f>
        <v>67300</v>
      </c>
      <c r="BP2207" s="25">
        <f>Inventory[[#This Row],[Adjusted Res]]+Inventory[[#This Row],[Adj Det ]]</f>
        <v>567400</v>
      </c>
      <c r="BQ2207" s="25">
        <f>ROUND((Inventory[[#This Row],[Mdl Land Intercept]]+Inventory[[#This Row],[Mdl LnAcres]])*Inventory[[#This Row],[Det/Nbhd Adj]],-2)</f>
        <v>55400</v>
      </c>
      <c r="BR2207" s="25">
        <f>Inventory[[#This Row],[Adjusted Impr Total]]+Inventory[[#This Row],[Adjusted Land Total]]</f>
        <v>622800</v>
      </c>
      <c r="BS2207" s="36">
        <f>IFERROR((Inventory[[#This Row],[Adjusted Impr Total]]-Inventory[[#This Row],[24Bldg]])/Inventory[[#This Row],[24Bldg]],0)</f>
        <v>-7.8685084805035846E-3</v>
      </c>
      <c r="BT2207" s="36">
        <f>(Inventory[[#This Row],[Adjusted Land Total]]-Inventory[[#This Row],[24Lnd]])/Inventory[[#This Row],[24Lnd]]</f>
        <v>-0.30663329161451813</v>
      </c>
      <c r="BU2207" s="36">
        <f>(Inventory[[#This Row],[Adjusted Total]]-Inventory[[#This Row],[24Final]])/Inventory[[#This Row],[24Final]]</f>
        <v>-4.4492175513961341E-2</v>
      </c>
    </row>
    <row r="2208" spans="1:73" x14ac:dyDescent="0.3">
      <c r="A2208" s="25">
        <v>2025</v>
      </c>
      <c r="B2208" s="26" t="s">
        <v>2289</v>
      </c>
      <c r="C2208" s="26">
        <f>LN(Inventory[[#This Row],[Acres]])</f>
        <v>-1.5606477482646683</v>
      </c>
      <c r="D2208" s="25">
        <v>0.21</v>
      </c>
      <c r="E2208" s="25">
        <v>8970</v>
      </c>
      <c r="F2208" s="26" t="s">
        <v>537</v>
      </c>
      <c r="G2208" s="26" t="s">
        <v>126</v>
      </c>
      <c r="H2208" s="26" t="s">
        <v>349</v>
      </c>
      <c r="I2208" s="26" t="s">
        <v>538</v>
      </c>
      <c r="J2208" s="26" t="s">
        <v>539</v>
      </c>
      <c r="K2208" s="26" t="s">
        <v>301</v>
      </c>
      <c r="L2208" s="26" t="s">
        <v>302</v>
      </c>
      <c r="M2208" s="26" t="s">
        <v>352</v>
      </c>
      <c r="N2208" s="26">
        <v>110</v>
      </c>
      <c r="O2208" s="26">
        <f>2024-Inventory[[#This Row],[YrBlt]]</f>
        <v>106</v>
      </c>
      <c r="P2208" s="26">
        <f>2024-Inventory[[#This Row],[EffYr]]</f>
        <v>49</v>
      </c>
      <c r="Q2208" s="25">
        <v>1918</v>
      </c>
      <c r="R2208" s="25">
        <v>1975</v>
      </c>
      <c r="S2208" s="25">
        <v>1264</v>
      </c>
      <c r="T2208" s="32">
        <v>1120</v>
      </c>
      <c r="U2208" s="25">
        <v>1264</v>
      </c>
      <c r="V2208" s="25">
        <f>Inventory[[#This Row],[Bsmt]]-Inventory[[#This Row],[FnBsmt]]</f>
        <v>0</v>
      </c>
      <c r="W2208" s="25">
        <v>1264</v>
      </c>
      <c r="X2208" s="27"/>
      <c r="Y2208" s="27">
        <f>Inventory[[#This Row],[MainFn]]+Inventory[[#This Row],[UpprFn]]+Inventory[[#This Row],[FnBsmt]]+Inventory[[#This Row],[AddFn]]</f>
        <v>3648</v>
      </c>
      <c r="Z2208" s="27">
        <v>4000</v>
      </c>
      <c r="AA2208" s="25">
        <v>14</v>
      </c>
      <c r="AB2208" s="27"/>
      <c r="AC2208" s="27"/>
      <c r="AD2208" s="31"/>
      <c r="AE2208" s="27"/>
      <c r="AF2208" s="27"/>
      <c r="AG2208" s="27"/>
      <c r="AH2208" s="27"/>
      <c r="AI2208" s="25">
        <v>529020</v>
      </c>
      <c r="AJ2208" s="25">
        <v>391475</v>
      </c>
      <c r="AK2208" s="25">
        <v>70433</v>
      </c>
      <c r="AL2208" s="25">
        <v>531500</v>
      </c>
      <c r="AM2208" s="25">
        <v>60100</v>
      </c>
      <c r="AN2208" s="25">
        <v>471400</v>
      </c>
      <c r="AO2208" s="25">
        <v>0</v>
      </c>
      <c r="AP2208" s="25">
        <f>Lookups!$B$56*0</f>
        <v>0</v>
      </c>
      <c r="AQ2208" s="25">
        <f>Lookups!$B$56*1</f>
        <v>89850.625589999996</v>
      </c>
      <c r="AR2208" s="25">
        <f>Lookups!$B$57*Inventory[[#This Row],[LnAcres]]</f>
        <v>-49401.70477837498</v>
      </c>
      <c r="AS2208" s="25">
        <f>VLOOKUP(Inventory[[#This Row],[Qlty]],Lookups!$A$62:$E$75,2,FALSE)</f>
        <v>29814.093161000001</v>
      </c>
      <c r="AT2208" s="25">
        <f>VLOOKUP(Inventory[[#This Row],[Cnd]],Lookups!$A$76:$E$84,2,FALSE)</f>
        <v>284810.60806</v>
      </c>
      <c r="AU2208" s="25">
        <f>Inventory[[#This Row],[EffAge]]*Lookups!$B$85</f>
        <v>-10929.2344245</v>
      </c>
      <c r="AV2208" s="25">
        <f>Inventory[[#This Row],[MainFn]]*Lookups!$B$86</f>
        <v>62452.558724528004</v>
      </c>
      <c r="AW2208" s="25">
        <f>Inventory[[#This Row],[UpprFn]]*Lookups!$B$87</f>
        <v>50160.793604319995</v>
      </c>
      <c r="AX2208" s="25">
        <f>Inventory[[#This Row],[AddFn]]*Lookups!$B$88</f>
        <v>0</v>
      </c>
      <c r="AY2208" s="25">
        <f>Inventory[[#This Row],[Bsmt]]*Lookups!$B$89</f>
        <v>36759.515592208001</v>
      </c>
      <c r="AZ2208" s="25">
        <f>Inventory[[#This Row],[Fixtures]]*Lookups!$B$90</f>
        <v>53088.3094728</v>
      </c>
      <c r="BA2208" s="25">
        <f>Inventory[[#This Row],[WdDeck]]*Lookups!$B$91</f>
        <v>0</v>
      </c>
      <c r="BB2208" s="25">
        <f>ROUND(Inventory[[#This Row],[25Det]],-2)</f>
        <v>70400</v>
      </c>
      <c r="BC2208" s="25">
        <f>ROUND(SUM(Inventory[[#This Row],[Mdl Qlty]:[Mdl WdDeck]])+Inventory[[#This Row],[Mdl Res Intercept]],-2)</f>
        <v>506200</v>
      </c>
      <c r="BD2208" s="25">
        <f>ROUND(Inventory[[#This Row],[Mdl Land Intercept]]+Inventory[[#This Row],[Mdl LnAcres]],-2)</f>
        <v>40400</v>
      </c>
      <c r="BE2208" s="25">
        <f>Inventory[[#This Row],[Unadj Res Value]]+Inventory[[#This Row],[Unadj Det Value]]+Inventory[[#This Row],[Unadj Land Value]]</f>
        <v>617000</v>
      </c>
      <c r="BF2208" s="36">
        <f>(Inventory[[#This Row],[Unadj Total Value]]-Inventory[[#This Row],[24Final]])/Inventory[[#This Row],[24Final]]</f>
        <v>0.16086547507055504</v>
      </c>
      <c r="BG2208" s="25">
        <f>VLOOKUP(Inventory[[#This Row],[Nbhd]],Lookups!$Q$2:$T$4,4,FALSE)</f>
        <v>0.99970000000000003</v>
      </c>
      <c r="BH2208" s="25">
        <f>VLOOKUP(Inventory[[#This Row],[Qlty]],Lookups!$O$7:$R$21,4,FALSE)</f>
        <v>1.0088999999999999</v>
      </c>
      <c r="BI2208" s="25">
        <f>VLOOKUP(Inventory[[#This Row],[Cnd]],Lookups!$T$7:$W$16,4,FALSE)</f>
        <v>1.0158</v>
      </c>
      <c r="BJ2208" s="25">
        <f>VLOOKUP(Inventory[[#This Row],[LivArea Range]],Lookups!$T$25:$W$37,4,FALSE)</f>
        <v>0.94579999999999997</v>
      </c>
      <c r="BK2208" s="25">
        <f>VLOOKUP(Inventory[[#This Row],[Decade]],Lookups!$O$25:$R$42,4,FALSE)</f>
        <v>0.96040000000000003</v>
      </c>
      <c r="BL2208" s="25">
        <f>Inventory[[#This Row],[Nbhd Adj]]*0.95</f>
        <v>0.94971499999999998</v>
      </c>
      <c r="BM2208" s="25">
        <f>Inventory[[#This Row],[Nbhd Adj]]*Inventory[[#This Row],[Quality Adj]]*Inventory[[#This Row],[Condition Adj]]*Inventory[[#This Row],[Living Area Adj]]*Inventory[[#This Row],[Decade Adj]]*0.95</f>
        <v>0.8840993860666998</v>
      </c>
      <c r="BN2208" s="25">
        <f>ROUND(SUM(Inventory[[#This Row],[Mdl Qlty]:[Mdl WdDeck]])+Inventory[[#This Row],[Mdl Res Intercept]]*Inventory[[#This Row],[Res Adj ]],-2)</f>
        <v>506200</v>
      </c>
      <c r="BO2208" s="25">
        <f>ROUND(Inventory[[#This Row],[25Det]]*Inventory[[#This Row],[Det/Nbhd Adj]],-2)</f>
        <v>66900</v>
      </c>
      <c r="BP2208" s="25">
        <f>Inventory[[#This Row],[Adjusted Res]]+Inventory[[#This Row],[Adj Det ]]</f>
        <v>573100</v>
      </c>
      <c r="BQ2208" s="25">
        <f>ROUND((Inventory[[#This Row],[Mdl Land Intercept]]+Inventory[[#This Row],[Mdl LnAcres]])*Inventory[[#This Row],[Det/Nbhd Adj]],-2)</f>
        <v>38400</v>
      </c>
      <c r="BR2208" s="25">
        <f>Inventory[[#This Row],[Adjusted Impr Total]]+Inventory[[#This Row],[Adjusted Land Total]]</f>
        <v>611500</v>
      </c>
      <c r="BS2208" s="36">
        <f>IFERROR((Inventory[[#This Row],[Adjusted Impr Total]]-Inventory[[#This Row],[24Bldg]])/Inventory[[#This Row],[24Bldg]],0)</f>
        <v>0.21574034789987273</v>
      </c>
      <c r="BT2208" s="36">
        <f>(Inventory[[#This Row],[Adjusted Land Total]]-Inventory[[#This Row],[24Lnd]])/Inventory[[#This Row],[24Lnd]]</f>
        <v>-0.36106489184692181</v>
      </c>
      <c r="BU2208" s="36">
        <f>(Inventory[[#This Row],[Adjusted Total]]-Inventory[[#This Row],[24Final]])/Inventory[[#This Row],[24Final]]</f>
        <v>0.15051740357478832</v>
      </c>
    </row>
    <row r="2209" spans="1:73" x14ac:dyDescent="0.3">
      <c r="A2209" s="25">
        <v>2025</v>
      </c>
      <c r="B2209" s="26" t="s">
        <v>1280</v>
      </c>
      <c r="C2209" s="26">
        <f>LN(Inventory[[#This Row],[Acres]])</f>
        <v>-1.6607312068216509</v>
      </c>
      <c r="D2209" s="25">
        <v>0.19</v>
      </c>
      <c r="E2209" s="31"/>
      <c r="F2209" s="26" t="s">
        <v>537</v>
      </c>
      <c r="G2209" s="26" t="s">
        <v>126</v>
      </c>
      <c r="H2209" s="26" t="s">
        <v>349</v>
      </c>
      <c r="I2209" s="26" t="s">
        <v>538</v>
      </c>
      <c r="J2209" s="26" t="s">
        <v>539</v>
      </c>
      <c r="K2209" s="26" t="s">
        <v>147</v>
      </c>
      <c r="L2209" s="26" t="s">
        <v>302</v>
      </c>
      <c r="M2209" s="26" t="s">
        <v>323</v>
      </c>
      <c r="N2209" s="26">
        <v>110</v>
      </c>
      <c r="O2209" s="26">
        <f>2024-Inventory[[#This Row],[YrBlt]]</f>
        <v>107</v>
      </c>
      <c r="P2209" s="26">
        <f>2024-Inventory[[#This Row],[EffYr]]</f>
        <v>59</v>
      </c>
      <c r="Q2209" s="25">
        <v>1917</v>
      </c>
      <c r="R2209" s="25">
        <v>1965</v>
      </c>
      <c r="S2209" s="25">
        <v>1518</v>
      </c>
      <c r="T2209" s="32">
        <v>600</v>
      </c>
      <c r="U2209" s="25">
        <v>755</v>
      </c>
      <c r="V2209" s="25">
        <f>Inventory[[#This Row],[Bsmt]]-Inventory[[#This Row],[FnBsmt]]</f>
        <v>755</v>
      </c>
      <c r="W2209" s="31"/>
      <c r="X2209" s="27"/>
      <c r="Y2209" s="27">
        <f>Inventory[[#This Row],[MainFn]]+Inventory[[#This Row],[UpprFn]]+Inventory[[#This Row],[FnBsmt]]+Inventory[[#This Row],[AddFn]]</f>
        <v>2118</v>
      </c>
      <c r="Z2209" s="27">
        <v>2500</v>
      </c>
      <c r="AA2209" s="25">
        <v>8</v>
      </c>
      <c r="AB2209" s="27"/>
      <c r="AC2209" s="27"/>
      <c r="AD2209" s="27"/>
      <c r="AE2209" s="27"/>
      <c r="AF2209" s="27"/>
      <c r="AG2209" s="27"/>
      <c r="AH2209" s="27"/>
      <c r="AI2209" s="25">
        <v>385086</v>
      </c>
      <c r="AJ2209" s="25">
        <v>234902</v>
      </c>
      <c r="AK2209" s="25">
        <v>29583</v>
      </c>
      <c r="AL2209" s="25">
        <v>375400</v>
      </c>
      <c r="AM2209" s="25">
        <v>56600</v>
      </c>
      <c r="AN2209" s="25">
        <v>318800</v>
      </c>
      <c r="AO2209" s="25">
        <v>0</v>
      </c>
      <c r="AP2209" s="25">
        <f>Lookups!$B$56*0</f>
        <v>0</v>
      </c>
      <c r="AQ2209" s="25">
        <f>Lookups!$B$56*1</f>
        <v>89850.625589999996</v>
      </c>
      <c r="AR2209" s="25">
        <f>Lookups!$B$57*Inventory[[#This Row],[LnAcres]]</f>
        <v>-52569.808201026557</v>
      </c>
      <c r="AS2209" s="25">
        <f>VLOOKUP(Inventory[[#This Row],[Qlty]],Lookups!$A$62:$E$75,2,FALSE)</f>
        <v>29814.093161000001</v>
      </c>
      <c r="AT2209" s="25">
        <f>VLOOKUP(Inventory[[#This Row],[Cnd]],Lookups!$A$76:$E$84,2,FALSE)</f>
        <v>160472.20319</v>
      </c>
      <c r="AU2209" s="25">
        <f>Inventory[[#This Row],[EffAge]]*Lookups!$B$85</f>
        <v>-13159.6904295</v>
      </c>
      <c r="AV2209" s="25">
        <f>Inventory[[#This Row],[MainFn]]*Lookups!$B$86</f>
        <v>75002.360873286001</v>
      </c>
      <c r="AW2209" s="25">
        <f>Inventory[[#This Row],[UpprFn]]*Lookups!$B$87</f>
        <v>26871.853716599999</v>
      </c>
      <c r="AX2209" s="25">
        <f>Inventory[[#This Row],[AddFn]]*Lookups!$B$88</f>
        <v>0</v>
      </c>
      <c r="AY2209" s="25">
        <f>Inventory[[#This Row],[Bsmt]]*Lookups!$B$89</f>
        <v>21956.830911484998</v>
      </c>
      <c r="AZ2209" s="25">
        <f>Inventory[[#This Row],[Fixtures]]*Lookups!$B$90</f>
        <v>30336.176841600001</v>
      </c>
      <c r="BA2209" s="25">
        <f>Inventory[[#This Row],[WdDeck]]*Lookups!$B$91</f>
        <v>0</v>
      </c>
      <c r="BB2209" s="25">
        <f>ROUND(Inventory[[#This Row],[25Det]],-2)</f>
        <v>29600</v>
      </c>
      <c r="BC2209" s="25">
        <f>ROUND(SUM(Inventory[[#This Row],[Mdl Qlty]:[Mdl WdDeck]])+Inventory[[#This Row],[Mdl Res Intercept]],-2)</f>
        <v>331300</v>
      </c>
      <c r="BD2209" s="25">
        <f>ROUND(Inventory[[#This Row],[Mdl Land Intercept]]+Inventory[[#This Row],[Mdl LnAcres]],-2)</f>
        <v>37300</v>
      </c>
      <c r="BE2209" s="25">
        <f>Inventory[[#This Row],[Unadj Res Value]]+Inventory[[#This Row],[Unadj Det Value]]+Inventory[[#This Row],[Unadj Land Value]]</f>
        <v>398200</v>
      </c>
      <c r="BF2209" s="36">
        <f>(Inventory[[#This Row],[Unadj Total Value]]-Inventory[[#This Row],[24Final]])/Inventory[[#This Row],[24Final]]</f>
        <v>6.0735215769845495E-2</v>
      </c>
      <c r="BG2209" s="25">
        <f>VLOOKUP(Inventory[[#This Row],[Nbhd]],Lookups!$Q$2:$T$4,4,FALSE)</f>
        <v>0.99970000000000003</v>
      </c>
      <c r="BH2209" s="25">
        <f>VLOOKUP(Inventory[[#This Row],[Qlty]],Lookups!$O$7:$R$21,4,FALSE)</f>
        <v>1.0088999999999999</v>
      </c>
      <c r="BI2209" s="25">
        <f>VLOOKUP(Inventory[[#This Row],[Cnd]],Lookups!$T$7:$W$16,4,FALSE)</f>
        <v>0.99729999999999996</v>
      </c>
      <c r="BJ2209" s="25">
        <f>VLOOKUP(Inventory[[#This Row],[LivArea Range]],Lookups!$T$25:$W$37,4,FALSE)</f>
        <v>0.98919999999999997</v>
      </c>
      <c r="BK2209" s="25">
        <f>VLOOKUP(Inventory[[#This Row],[Decade]],Lookups!$O$25:$R$42,4,FALSE)</f>
        <v>0.96040000000000003</v>
      </c>
      <c r="BL2209" s="25">
        <f>Inventory[[#This Row],[Nbhd Adj]]*0.95</f>
        <v>0.94971499999999998</v>
      </c>
      <c r="BM2209" s="25">
        <f>Inventory[[#This Row],[Nbhd Adj]]*Inventory[[#This Row],[Quality Adj]]*Inventory[[#This Row],[Condition Adj]]*Inventory[[#This Row],[Living Area Adj]]*Inventory[[#This Row],[Decade Adj]]*0.95</f>
        <v>0.90782784124690863</v>
      </c>
      <c r="BN2209" s="25">
        <f>ROUND(SUM(Inventory[[#This Row],[Mdl Qlty]:[Mdl WdDeck]])+Inventory[[#This Row],[Mdl Res Intercept]]*Inventory[[#This Row],[Res Adj ]],-2)</f>
        <v>331300</v>
      </c>
      <c r="BO2209" s="25">
        <f>ROUND(Inventory[[#This Row],[25Det]]*Inventory[[#This Row],[Det/Nbhd Adj]],-2)</f>
        <v>28100</v>
      </c>
      <c r="BP2209" s="25">
        <f>Inventory[[#This Row],[Adjusted Res]]+Inventory[[#This Row],[Adj Det ]]</f>
        <v>359400</v>
      </c>
      <c r="BQ2209" s="25">
        <f>ROUND((Inventory[[#This Row],[Mdl Land Intercept]]+Inventory[[#This Row],[Mdl LnAcres]])*Inventory[[#This Row],[Det/Nbhd Adj]],-2)</f>
        <v>35400</v>
      </c>
      <c r="BR2209" s="25">
        <f>Inventory[[#This Row],[Adjusted Impr Total]]+Inventory[[#This Row],[Adjusted Land Total]]</f>
        <v>394800</v>
      </c>
      <c r="BS2209" s="36">
        <f>IFERROR((Inventory[[#This Row],[Adjusted Impr Total]]-Inventory[[#This Row],[24Bldg]])/Inventory[[#This Row],[24Bldg]],0)</f>
        <v>0.12735257214554579</v>
      </c>
      <c r="BT2209" s="36">
        <f>(Inventory[[#This Row],[Adjusted Land Total]]-Inventory[[#This Row],[24Lnd]])/Inventory[[#This Row],[24Lnd]]</f>
        <v>-0.37455830388692579</v>
      </c>
      <c r="BU2209" s="36">
        <f>(Inventory[[#This Row],[Adjusted Total]]-Inventory[[#This Row],[24Final]])/Inventory[[#This Row],[24Final]]</f>
        <v>5.1678209909429944E-2</v>
      </c>
    </row>
    <row r="2210" spans="1:73" x14ac:dyDescent="0.3">
      <c r="A2210" s="25">
        <v>2025</v>
      </c>
      <c r="B2210" s="26" t="s">
        <v>1572</v>
      </c>
      <c r="C2210" s="26">
        <f>LN(Inventory[[#This Row],[Acres]])</f>
        <v>-1.7719568419318752</v>
      </c>
      <c r="D2210" s="25">
        <v>0.17</v>
      </c>
      <c r="E2210" s="31"/>
      <c r="F2210" s="26" t="s">
        <v>537</v>
      </c>
      <c r="G2210" s="26" t="s">
        <v>126</v>
      </c>
      <c r="H2210" s="26" t="s">
        <v>349</v>
      </c>
      <c r="I2210" s="26" t="s">
        <v>538</v>
      </c>
      <c r="J2210" s="26" t="s">
        <v>539</v>
      </c>
      <c r="K2210" s="26" t="s">
        <v>269</v>
      </c>
      <c r="L2210" s="26" t="s">
        <v>205</v>
      </c>
      <c r="M2210" s="26" t="s">
        <v>323</v>
      </c>
      <c r="N2210" s="26">
        <v>110</v>
      </c>
      <c r="O2210" s="26">
        <f>2024-Inventory[[#This Row],[YrBlt]]</f>
        <v>107</v>
      </c>
      <c r="P2210" s="26">
        <f>2024-Inventory[[#This Row],[EffYr]]</f>
        <v>59</v>
      </c>
      <c r="Q2210" s="25">
        <v>1917</v>
      </c>
      <c r="R2210" s="25">
        <v>1965</v>
      </c>
      <c r="S2210" s="25">
        <v>1314</v>
      </c>
      <c r="T2210" s="32">
        <v>187</v>
      </c>
      <c r="U2210" s="31"/>
      <c r="V2210" s="31">
        <f>Inventory[[#This Row],[Bsmt]]-Inventory[[#This Row],[FnBsmt]]</f>
        <v>0</v>
      </c>
      <c r="W2210" s="31"/>
      <c r="X2210" s="27"/>
      <c r="Y2210" s="27">
        <f>Inventory[[#This Row],[MainFn]]+Inventory[[#This Row],[UpprFn]]+Inventory[[#This Row],[FnBsmt]]+Inventory[[#This Row],[AddFn]]</f>
        <v>1501</v>
      </c>
      <c r="Z2210" s="27">
        <v>2000</v>
      </c>
      <c r="AA2210" s="25">
        <v>8</v>
      </c>
      <c r="AB2210" s="27"/>
      <c r="AC2210" s="27"/>
      <c r="AD2210" s="27"/>
      <c r="AE2210" s="27"/>
      <c r="AF2210" s="27"/>
      <c r="AG2210" s="27"/>
      <c r="AH2210" s="27"/>
      <c r="AI2210" s="25">
        <v>211353</v>
      </c>
      <c r="AJ2210" s="25">
        <v>128925</v>
      </c>
      <c r="AK2210" s="25">
        <v>0</v>
      </c>
      <c r="AL2210" s="25">
        <v>276400</v>
      </c>
      <c r="AM2210" s="25">
        <v>52700</v>
      </c>
      <c r="AN2210" s="25">
        <v>223700</v>
      </c>
      <c r="AO2210" s="25">
        <v>0</v>
      </c>
      <c r="AP2210" s="25">
        <f>Lookups!$B$56*0</f>
        <v>0</v>
      </c>
      <c r="AQ2210" s="25">
        <f>Lookups!$B$56*1</f>
        <v>89850.625589999996</v>
      </c>
      <c r="AR2210" s="25">
        <f>Lookups!$B$57*Inventory[[#This Row],[LnAcres]]</f>
        <v>-56090.612940989391</v>
      </c>
      <c r="AS2210" s="25">
        <f>VLOOKUP(Inventory[[#This Row],[Qlty]],Lookups!$A$62:$E$75,2,FALSE)</f>
        <v>0</v>
      </c>
      <c r="AT2210" s="25">
        <f>VLOOKUP(Inventory[[#This Row],[Cnd]],Lookups!$A$76:$E$84,2,FALSE)</f>
        <v>160472.20319</v>
      </c>
      <c r="AU2210" s="25">
        <f>Inventory[[#This Row],[EffAge]]*Lookups!$B$85</f>
        <v>-13159.6904295</v>
      </c>
      <c r="AV2210" s="25">
        <f>Inventory[[#This Row],[MainFn]]*Lookups!$B$86</f>
        <v>64922.992218378</v>
      </c>
      <c r="AW2210" s="25">
        <f>Inventory[[#This Row],[UpprFn]]*Lookups!$B$87</f>
        <v>8375.0610750069991</v>
      </c>
      <c r="AX2210" s="25">
        <f>Inventory[[#This Row],[AddFn]]*Lookups!$B$88</f>
        <v>0</v>
      </c>
      <c r="AY2210" s="25">
        <f>Inventory[[#This Row],[Bsmt]]*Lookups!$B$89</f>
        <v>0</v>
      </c>
      <c r="AZ2210" s="25">
        <f>Inventory[[#This Row],[Fixtures]]*Lookups!$B$90</f>
        <v>30336.176841600001</v>
      </c>
      <c r="BA2210" s="25">
        <f>Inventory[[#This Row],[WdDeck]]*Lookups!$B$91</f>
        <v>0</v>
      </c>
      <c r="BB2210" s="25">
        <f>ROUND(Inventory[[#This Row],[25Det]],-2)</f>
        <v>0</v>
      </c>
      <c r="BC2210" s="25">
        <f>ROUND(SUM(Inventory[[#This Row],[Mdl Qlty]:[Mdl WdDeck]])+Inventory[[#This Row],[Mdl Res Intercept]],-2)</f>
        <v>250900</v>
      </c>
      <c r="BD2210" s="25">
        <f>ROUND(Inventory[[#This Row],[Mdl Land Intercept]]+Inventory[[#This Row],[Mdl LnAcres]],-2)</f>
        <v>33800</v>
      </c>
      <c r="BE2210" s="25">
        <f>Inventory[[#This Row],[Unadj Res Value]]+Inventory[[#This Row],[Unadj Det Value]]+Inventory[[#This Row],[Unadj Land Value]]</f>
        <v>284700</v>
      </c>
      <c r="BF2210" s="36">
        <f>(Inventory[[#This Row],[Unadj Total Value]]-Inventory[[#This Row],[24Final]])/Inventory[[#This Row],[24Final]]</f>
        <v>3.0028943560057888E-2</v>
      </c>
      <c r="BG2210" s="25">
        <f>VLOOKUP(Inventory[[#This Row],[Nbhd]],Lookups!$Q$2:$T$4,4,FALSE)</f>
        <v>0.99970000000000003</v>
      </c>
      <c r="BH2210" s="25">
        <f>VLOOKUP(Inventory[[#This Row],[Qlty]],Lookups!$O$7:$R$21,4,FALSE)</f>
        <v>0.99180000000000001</v>
      </c>
      <c r="BI2210" s="25">
        <f>VLOOKUP(Inventory[[#This Row],[Cnd]],Lookups!$T$7:$W$16,4,FALSE)</f>
        <v>0.99729999999999996</v>
      </c>
      <c r="BJ2210" s="25">
        <f>VLOOKUP(Inventory[[#This Row],[LivArea Range]],Lookups!$T$25:$W$37,4,FALSE)</f>
        <v>1.0093000000000001</v>
      </c>
      <c r="BK2210" s="25">
        <f>VLOOKUP(Inventory[[#This Row],[Decade]],Lookups!$O$25:$R$42,4,FALSE)</f>
        <v>0.96040000000000003</v>
      </c>
      <c r="BL2210" s="25">
        <f>Inventory[[#This Row],[Nbhd Adj]]*0.95</f>
        <v>0.94971499999999998</v>
      </c>
      <c r="BM2210" s="25">
        <f>Inventory[[#This Row],[Nbhd Adj]]*Inventory[[#This Row],[Quality Adj]]*Inventory[[#This Row],[Condition Adj]]*Inventory[[#This Row],[Living Area Adj]]*Inventory[[#This Row],[Decade Adj]]*0.95</f>
        <v>0.91057483756586888</v>
      </c>
      <c r="BN2210" s="25">
        <f>ROUND(SUM(Inventory[[#This Row],[Mdl Qlty]:[Mdl WdDeck]])+Inventory[[#This Row],[Mdl Res Intercept]]*Inventory[[#This Row],[Res Adj ]],-2)</f>
        <v>250900</v>
      </c>
      <c r="BO2210" s="25">
        <f>ROUND(Inventory[[#This Row],[25Det]]*Inventory[[#This Row],[Det/Nbhd Adj]],-2)</f>
        <v>0</v>
      </c>
      <c r="BP2210" s="25">
        <f>Inventory[[#This Row],[Adjusted Res]]+Inventory[[#This Row],[Adj Det ]]</f>
        <v>250900</v>
      </c>
      <c r="BQ2210" s="25">
        <f>ROUND((Inventory[[#This Row],[Mdl Land Intercept]]+Inventory[[#This Row],[Mdl LnAcres]])*Inventory[[#This Row],[Det/Nbhd Adj]],-2)</f>
        <v>32100</v>
      </c>
      <c r="BR2210" s="25">
        <f>Inventory[[#This Row],[Adjusted Impr Total]]+Inventory[[#This Row],[Adjusted Land Total]]</f>
        <v>283000</v>
      </c>
      <c r="BS2210" s="36">
        <f>IFERROR((Inventory[[#This Row],[Adjusted Impr Total]]-Inventory[[#This Row],[24Bldg]])/Inventory[[#This Row],[24Bldg]],0)</f>
        <v>0.12159141707644167</v>
      </c>
      <c r="BT2210" s="36">
        <f>(Inventory[[#This Row],[Adjusted Land Total]]-Inventory[[#This Row],[24Lnd]])/Inventory[[#This Row],[24Lnd]]</f>
        <v>-0.39089184060721061</v>
      </c>
      <c r="BU2210" s="36">
        <f>(Inventory[[#This Row],[Adjusted Total]]-Inventory[[#This Row],[24Final]])/Inventory[[#This Row],[24Final]]</f>
        <v>2.3878437047756874E-2</v>
      </c>
    </row>
    <row r="2211" spans="1:73" x14ac:dyDescent="0.3">
      <c r="A2211" s="25">
        <v>2025</v>
      </c>
      <c r="B2211" s="26" t="s">
        <v>963</v>
      </c>
      <c r="C2211" s="26">
        <f>LN(Inventory[[#This Row],[Acres]])</f>
        <v>-1.2378743560016174</v>
      </c>
      <c r="D2211" s="25">
        <v>0.28999999999999998</v>
      </c>
      <c r="E2211" s="25">
        <v>12575</v>
      </c>
      <c r="F2211" s="26" t="s">
        <v>537</v>
      </c>
      <c r="G2211" s="26" t="s">
        <v>126</v>
      </c>
      <c r="H2211" s="26" t="s">
        <v>349</v>
      </c>
      <c r="I2211" s="26" t="s">
        <v>538</v>
      </c>
      <c r="J2211" s="26" t="s">
        <v>539</v>
      </c>
      <c r="K2211" s="26" t="s">
        <v>269</v>
      </c>
      <c r="L2211" s="26" t="s">
        <v>351</v>
      </c>
      <c r="M2211" s="26" t="s">
        <v>323</v>
      </c>
      <c r="N2211" s="26">
        <v>110</v>
      </c>
      <c r="O2211" s="26">
        <f>2024-Inventory[[#This Row],[YrBlt]]</f>
        <v>107</v>
      </c>
      <c r="P2211" s="26">
        <f>2024-Inventory[[#This Row],[EffYr]]</f>
        <v>59</v>
      </c>
      <c r="Q2211" s="25">
        <v>1917</v>
      </c>
      <c r="R2211" s="25">
        <v>1965</v>
      </c>
      <c r="S2211" s="25">
        <v>1278</v>
      </c>
      <c r="T2211" s="27"/>
      <c r="U2211" s="25">
        <v>904</v>
      </c>
      <c r="V2211" s="32">
        <f>Inventory[[#This Row],[Bsmt]]-Inventory[[#This Row],[FnBsmt]]</f>
        <v>0</v>
      </c>
      <c r="W2211" s="32">
        <v>904</v>
      </c>
      <c r="X2211" s="27"/>
      <c r="Y2211" s="27">
        <f>Inventory[[#This Row],[MainFn]]+Inventory[[#This Row],[UpprFn]]+Inventory[[#This Row],[FnBsmt]]+Inventory[[#This Row],[AddFn]]</f>
        <v>2182</v>
      </c>
      <c r="Z2211" s="27">
        <v>2500</v>
      </c>
      <c r="AA2211" s="25">
        <v>8</v>
      </c>
      <c r="AB2211" s="27"/>
      <c r="AC2211" s="27"/>
      <c r="AD2211" s="27"/>
      <c r="AE2211" s="27"/>
      <c r="AF2211" s="27"/>
      <c r="AG2211" s="27"/>
      <c r="AH2211" s="27"/>
      <c r="AI2211" s="25">
        <v>305862</v>
      </c>
      <c r="AJ2211" s="25">
        <v>186576</v>
      </c>
      <c r="AK2211" s="25">
        <v>56817</v>
      </c>
      <c r="AL2211" s="25">
        <v>390100</v>
      </c>
      <c r="AM2211" s="25">
        <v>71400</v>
      </c>
      <c r="AN2211" s="25">
        <v>318700</v>
      </c>
      <c r="AO2211" s="25">
        <v>0</v>
      </c>
      <c r="AP2211" s="25">
        <f>Lookups!$B$56*0</f>
        <v>0</v>
      </c>
      <c r="AQ2211" s="25">
        <f>Lookups!$B$56*1</f>
        <v>89850.625589999996</v>
      </c>
      <c r="AR2211" s="25">
        <f>Lookups!$B$57*Inventory[[#This Row],[LnAcres]]</f>
        <v>-39184.437074869042</v>
      </c>
      <c r="AS2211" s="25">
        <f>VLOOKUP(Inventory[[#This Row],[Qlty]],Lookups!$A$62:$E$75,2,FALSE)</f>
        <v>21557.329055999999</v>
      </c>
      <c r="AT2211" s="25">
        <f>VLOOKUP(Inventory[[#This Row],[Cnd]],Lookups!$A$76:$E$84,2,FALSE)</f>
        <v>160472.20319</v>
      </c>
      <c r="AU2211" s="25">
        <f>Inventory[[#This Row],[EffAge]]*Lookups!$B$85</f>
        <v>-13159.6904295</v>
      </c>
      <c r="AV2211" s="25">
        <f>Inventory[[#This Row],[MainFn]]*Lookups!$B$86</f>
        <v>63144.280102805998</v>
      </c>
      <c r="AW2211" s="25">
        <f>Inventory[[#This Row],[UpprFn]]*Lookups!$B$87</f>
        <v>0</v>
      </c>
      <c r="AX2211" s="25">
        <f>Inventory[[#This Row],[AddFn]]*Lookups!$B$88</f>
        <v>0</v>
      </c>
      <c r="AY2211" s="25">
        <f>Inventory[[#This Row],[Bsmt]]*Lookups!$B$89</f>
        <v>26290.033303287997</v>
      </c>
      <c r="AZ2211" s="25">
        <f>Inventory[[#This Row],[Fixtures]]*Lookups!$B$90</f>
        <v>30336.176841600001</v>
      </c>
      <c r="BA2211" s="25">
        <f>Inventory[[#This Row],[WdDeck]]*Lookups!$B$91</f>
        <v>0</v>
      </c>
      <c r="BB2211" s="25">
        <f>ROUND(Inventory[[#This Row],[25Det]],-2)</f>
        <v>56800</v>
      </c>
      <c r="BC2211" s="25">
        <f>ROUND(SUM(Inventory[[#This Row],[Mdl Qlty]:[Mdl WdDeck]])+Inventory[[#This Row],[Mdl Res Intercept]],-2)</f>
        <v>288600</v>
      </c>
      <c r="BD2211" s="25">
        <f>ROUND(Inventory[[#This Row],[Mdl Land Intercept]]+Inventory[[#This Row],[Mdl LnAcres]],-2)</f>
        <v>50700</v>
      </c>
      <c r="BE2211" s="25">
        <f>Inventory[[#This Row],[Unadj Res Value]]+Inventory[[#This Row],[Unadj Det Value]]+Inventory[[#This Row],[Unadj Land Value]]</f>
        <v>396100</v>
      </c>
      <c r="BF2211" s="36">
        <f>(Inventory[[#This Row],[Unadj Total Value]]-Inventory[[#This Row],[24Final]])/Inventory[[#This Row],[24Final]]</f>
        <v>1.5380671622660855E-2</v>
      </c>
      <c r="BG2211" s="25">
        <f>VLOOKUP(Inventory[[#This Row],[Nbhd]],Lookups!$Q$2:$T$4,4,FALSE)</f>
        <v>0.99970000000000003</v>
      </c>
      <c r="BH2211" s="25">
        <f>VLOOKUP(Inventory[[#This Row],[Qlty]],Lookups!$O$7:$R$21,4,FALSE)</f>
        <v>1.0067999999999999</v>
      </c>
      <c r="BI2211" s="25">
        <f>VLOOKUP(Inventory[[#This Row],[Cnd]],Lookups!$T$7:$W$16,4,FALSE)</f>
        <v>0.99729999999999996</v>
      </c>
      <c r="BJ2211" s="25">
        <f>VLOOKUP(Inventory[[#This Row],[LivArea Range]],Lookups!$T$25:$W$37,4,FALSE)</f>
        <v>0.98919999999999997</v>
      </c>
      <c r="BK2211" s="25">
        <f>VLOOKUP(Inventory[[#This Row],[Decade]],Lookups!$O$25:$R$42,4,FALSE)</f>
        <v>0.96040000000000003</v>
      </c>
      <c r="BL2211" s="25">
        <f>Inventory[[#This Row],[Nbhd Adj]]*0.95</f>
        <v>0.94971499999999998</v>
      </c>
      <c r="BM2211" s="25">
        <f>Inventory[[#This Row],[Nbhd Adj]]*Inventory[[#This Row],[Quality Adj]]*Inventory[[#This Row],[Condition Adj]]*Inventory[[#This Row],[Living Area Adj]]*Inventory[[#This Row],[Decade Adj]]*0.95</f>
        <v>0.90593822040577598</v>
      </c>
      <c r="BN2211" s="25">
        <f>ROUND(SUM(Inventory[[#This Row],[Mdl Qlty]:[Mdl WdDeck]])+Inventory[[#This Row],[Mdl Res Intercept]]*Inventory[[#This Row],[Res Adj ]],-2)</f>
        <v>288600</v>
      </c>
      <c r="BO2211" s="25">
        <f>ROUND(Inventory[[#This Row],[25Det]]*Inventory[[#This Row],[Det/Nbhd Adj]],-2)</f>
        <v>54000</v>
      </c>
      <c r="BP2211" s="25">
        <f>Inventory[[#This Row],[Adjusted Res]]+Inventory[[#This Row],[Adj Det ]]</f>
        <v>342600</v>
      </c>
      <c r="BQ2211" s="25">
        <f>ROUND((Inventory[[#This Row],[Mdl Land Intercept]]+Inventory[[#This Row],[Mdl LnAcres]])*Inventory[[#This Row],[Det/Nbhd Adj]],-2)</f>
        <v>48100</v>
      </c>
      <c r="BR2211" s="25">
        <f>Inventory[[#This Row],[Adjusted Impr Total]]+Inventory[[#This Row],[Adjusted Land Total]]</f>
        <v>390700</v>
      </c>
      <c r="BS2211" s="36">
        <f>IFERROR((Inventory[[#This Row],[Adjusted Impr Total]]-Inventory[[#This Row],[24Bldg]])/Inventory[[#This Row],[24Bldg]],0)</f>
        <v>7.4992155632256044E-2</v>
      </c>
      <c r="BT2211" s="36">
        <f>(Inventory[[#This Row],[Adjusted Land Total]]-Inventory[[#This Row],[24Lnd]])/Inventory[[#This Row],[24Lnd]]</f>
        <v>-0.32633053221288516</v>
      </c>
      <c r="BU2211" s="36">
        <f>(Inventory[[#This Row],[Adjusted Total]]-Inventory[[#This Row],[24Final]])/Inventory[[#This Row],[24Final]]</f>
        <v>1.5380671622660857E-3</v>
      </c>
    </row>
    <row r="2212" spans="1:73" x14ac:dyDescent="0.3">
      <c r="A2212" s="25">
        <v>2025</v>
      </c>
      <c r="B2212" s="26" t="s">
        <v>1417</v>
      </c>
      <c r="C2212" s="26">
        <f>LN(Inventory[[#This Row],[Acres]])</f>
        <v>-1.4696759700589417</v>
      </c>
      <c r="D2212" s="25">
        <v>0.23</v>
      </c>
      <c r="E2212" s="25">
        <v>10072</v>
      </c>
      <c r="F2212" s="26" t="s">
        <v>537</v>
      </c>
      <c r="G2212" s="26" t="s">
        <v>126</v>
      </c>
      <c r="H2212" s="26" t="s">
        <v>349</v>
      </c>
      <c r="I2212" s="26" t="s">
        <v>538</v>
      </c>
      <c r="J2212" s="26" t="s">
        <v>638</v>
      </c>
      <c r="K2212" s="26" t="s">
        <v>416</v>
      </c>
      <c r="L2212" s="26" t="s">
        <v>302</v>
      </c>
      <c r="M2212" s="26" t="s">
        <v>206</v>
      </c>
      <c r="N2212" s="26">
        <v>110</v>
      </c>
      <c r="O2212" s="26">
        <f>2024-Inventory[[#This Row],[YrBlt]]</f>
        <v>109</v>
      </c>
      <c r="P2212" s="26">
        <f>2024-Inventory[[#This Row],[EffYr]]</f>
        <v>61</v>
      </c>
      <c r="Q2212" s="25">
        <v>1915</v>
      </c>
      <c r="R2212" s="25">
        <v>1963</v>
      </c>
      <c r="S2212" s="25">
        <v>1475</v>
      </c>
      <c r="T2212" s="25">
        <v>472</v>
      </c>
      <c r="U2212" s="25">
        <v>696</v>
      </c>
      <c r="V2212" s="25">
        <f>Inventory[[#This Row],[Bsmt]]-Inventory[[#This Row],[FnBsmt]]</f>
        <v>696</v>
      </c>
      <c r="W2212" s="31"/>
      <c r="X2212" s="27"/>
      <c r="Y2212" s="27">
        <f>Inventory[[#This Row],[MainFn]]+Inventory[[#This Row],[UpprFn]]+Inventory[[#This Row],[FnBsmt]]+Inventory[[#This Row],[AddFn]]</f>
        <v>1947</v>
      </c>
      <c r="Z2212" s="27">
        <v>2000</v>
      </c>
      <c r="AA2212" s="25">
        <v>8</v>
      </c>
      <c r="AB2212" s="27"/>
      <c r="AC2212" s="32">
        <v>720</v>
      </c>
      <c r="AD2212" s="32">
        <v>416</v>
      </c>
      <c r="AE2212" s="27"/>
      <c r="AF2212" s="27"/>
      <c r="AG2212" s="27"/>
      <c r="AH2212" s="27"/>
      <c r="AI2212" s="25">
        <v>384426</v>
      </c>
      <c r="AJ2212" s="25">
        <v>219123</v>
      </c>
      <c r="AK2212" s="25">
        <v>0</v>
      </c>
      <c r="AL2212" s="25">
        <v>311100</v>
      </c>
      <c r="AM2212" s="25">
        <v>63300</v>
      </c>
      <c r="AN2212" s="25">
        <v>247800</v>
      </c>
      <c r="AO2212" s="25">
        <v>0</v>
      </c>
      <c r="AP2212" s="25">
        <f>Lookups!$B$56*0</f>
        <v>0</v>
      </c>
      <c r="AQ2212" s="25">
        <f>Lookups!$B$56*1</f>
        <v>89850.625589999996</v>
      </c>
      <c r="AR2212" s="25">
        <f>Lookups!$B$57*Inventory[[#This Row],[LnAcres]]</f>
        <v>-46522.028095997222</v>
      </c>
      <c r="AS2212" s="25">
        <f>VLOOKUP(Inventory[[#This Row],[Qlty]],Lookups!$A$62:$E$75,2,FALSE)</f>
        <v>29814.093161000001</v>
      </c>
      <c r="AT2212" s="25">
        <f>VLOOKUP(Inventory[[#This Row],[Cnd]],Lookups!$A$76:$E$84,2,FALSE)</f>
        <v>133714.53821</v>
      </c>
      <c r="AU2212" s="25">
        <f>Inventory[[#This Row],[EffAge]]*Lookups!$B$85</f>
        <v>-13605.7816305</v>
      </c>
      <c r="AV2212" s="25">
        <f>Inventory[[#This Row],[MainFn]]*Lookups!$B$86</f>
        <v>72877.788068574999</v>
      </c>
      <c r="AW2212" s="25">
        <f>Inventory[[#This Row],[UpprFn]]*Lookups!$B$87</f>
        <v>21139.191590391998</v>
      </c>
      <c r="AX2212" s="25">
        <f>Inventory[[#This Row],[AddFn]]*Lookups!$B$88</f>
        <v>0</v>
      </c>
      <c r="AY2212" s="25">
        <f>Inventory[[#This Row],[Bsmt]]*Lookups!$B$89</f>
        <v>20240.999091911999</v>
      </c>
      <c r="AZ2212" s="25">
        <f>Inventory[[#This Row],[Fixtures]]*Lookups!$B$90</f>
        <v>30336.176841600001</v>
      </c>
      <c r="BA2212" s="25">
        <f>Inventory[[#This Row],[WdDeck]]*Lookups!$B$91</f>
        <v>13850.934354816001</v>
      </c>
      <c r="BB2212" s="25">
        <f>ROUND(Inventory[[#This Row],[25Det]],-2)</f>
        <v>0</v>
      </c>
      <c r="BC2212" s="25">
        <f>ROUND(SUM(Inventory[[#This Row],[Mdl Qlty]:[Mdl WdDeck]])+Inventory[[#This Row],[Mdl Res Intercept]],-2)</f>
        <v>308400</v>
      </c>
      <c r="BD2212" s="25">
        <f>ROUND(Inventory[[#This Row],[Mdl Land Intercept]]+Inventory[[#This Row],[Mdl LnAcres]],-2)</f>
        <v>43300</v>
      </c>
      <c r="BE2212" s="25">
        <f>Inventory[[#This Row],[Unadj Res Value]]+Inventory[[#This Row],[Unadj Det Value]]+Inventory[[#This Row],[Unadj Land Value]]</f>
        <v>351700</v>
      </c>
      <c r="BF2212" s="36">
        <f>(Inventory[[#This Row],[Unadj Total Value]]-Inventory[[#This Row],[24Final]])/Inventory[[#This Row],[24Final]]</f>
        <v>0.13050466088074575</v>
      </c>
      <c r="BG2212" s="25">
        <f>VLOOKUP(Inventory[[#This Row],[Nbhd]],Lookups!$Q$2:$T$4,4,FALSE)</f>
        <v>0.99970000000000003</v>
      </c>
      <c r="BH2212" s="25">
        <f>VLOOKUP(Inventory[[#This Row],[Qlty]],Lookups!$O$7:$R$21,4,FALSE)</f>
        <v>1.0088999999999999</v>
      </c>
      <c r="BI2212" s="25">
        <f>VLOOKUP(Inventory[[#This Row],[Cnd]],Lookups!$T$7:$W$16,4,FALSE)</f>
        <v>0.99329999999999996</v>
      </c>
      <c r="BJ2212" s="25">
        <f>VLOOKUP(Inventory[[#This Row],[LivArea Range]],Lookups!$T$25:$W$37,4,FALSE)</f>
        <v>1.0093000000000001</v>
      </c>
      <c r="BK2212" s="25">
        <f>VLOOKUP(Inventory[[#This Row],[Decade]],Lookups!$O$25:$R$42,4,FALSE)</f>
        <v>0.96040000000000003</v>
      </c>
      <c r="BL2212" s="25">
        <f>Inventory[[#This Row],[Nbhd Adj]]*0.95</f>
        <v>0.94971499999999998</v>
      </c>
      <c r="BM2212" s="25">
        <f>Inventory[[#This Row],[Nbhd Adj]]*Inventory[[#This Row],[Quality Adj]]*Inventory[[#This Row],[Condition Adj]]*Inventory[[#This Row],[Living Area Adj]]*Inventory[[#This Row],[Decade Adj]]*0.95</f>
        <v>0.92255927526902759</v>
      </c>
      <c r="BN2212" s="25">
        <f>ROUND(SUM(Inventory[[#This Row],[Mdl Qlty]:[Mdl WdDeck]])+Inventory[[#This Row],[Mdl Res Intercept]]*Inventory[[#This Row],[Res Adj ]],-2)</f>
        <v>308400</v>
      </c>
      <c r="BO2212" s="25">
        <f>ROUND(Inventory[[#This Row],[25Det]]*Inventory[[#This Row],[Det/Nbhd Adj]],-2)</f>
        <v>0</v>
      </c>
      <c r="BP2212" s="25">
        <f>Inventory[[#This Row],[Adjusted Res]]+Inventory[[#This Row],[Adj Det ]]</f>
        <v>308400</v>
      </c>
      <c r="BQ2212" s="25">
        <f>ROUND((Inventory[[#This Row],[Mdl Land Intercept]]+Inventory[[#This Row],[Mdl LnAcres]])*Inventory[[#This Row],[Det/Nbhd Adj]],-2)</f>
        <v>41100</v>
      </c>
      <c r="BR2212" s="25">
        <f>Inventory[[#This Row],[Adjusted Impr Total]]+Inventory[[#This Row],[Adjusted Land Total]]</f>
        <v>349500</v>
      </c>
      <c r="BS2212" s="36">
        <f>IFERROR((Inventory[[#This Row],[Adjusted Impr Total]]-Inventory[[#This Row],[24Bldg]])/Inventory[[#This Row],[24Bldg]],0)</f>
        <v>0.24455205811138014</v>
      </c>
      <c r="BT2212" s="36">
        <f>(Inventory[[#This Row],[Adjusted Land Total]]-Inventory[[#This Row],[24Lnd]])/Inventory[[#This Row],[24Lnd]]</f>
        <v>-0.35071090047393366</v>
      </c>
      <c r="BU2212" s="36">
        <f>(Inventory[[#This Row],[Adjusted Total]]-Inventory[[#This Row],[24Final]])/Inventory[[#This Row],[24Final]]</f>
        <v>0.12343297974927676</v>
      </c>
    </row>
    <row r="2213" spans="1:73" x14ac:dyDescent="0.3">
      <c r="A2213" s="25">
        <v>2025</v>
      </c>
      <c r="B2213" s="26" t="s">
        <v>2553</v>
      </c>
      <c r="C2213" s="26">
        <f>LN(Inventory[[#This Row],[Acres]])</f>
        <v>-1.8971199848858813</v>
      </c>
      <c r="D2213" s="25">
        <v>0.15</v>
      </c>
      <c r="E2213" s="32">
        <v>6500</v>
      </c>
      <c r="F2213" s="26" t="s">
        <v>537</v>
      </c>
      <c r="G2213" s="26" t="s">
        <v>126</v>
      </c>
      <c r="H2213" s="26" t="s">
        <v>349</v>
      </c>
      <c r="I2213" s="26" t="s">
        <v>538</v>
      </c>
      <c r="J2213" s="26" t="s">
        <v>539</v>
      </c>
      <c r="K2213" s="26" t="s">
        <v>173</v>
      </c>
      <c r="L2213" s="26" t="s">
        <v>351</v>
      </c>
      <c r="M2213" s="26" t="s">
        <v>303</v>
      </c>
      <c r="N2213" s="26">
        <v>110</v>
      </c>
      <c r="O2213" s="26">
        <f>2024-Inventory[[#This Row],[YrBlt]]</f>
        <v>109</v>
      </c>
      <c r="P2213" s="26">
        <f>2024-Inventory[[#This Row],[EffYr]]</f>
        <v>39</v>
      </c>
      <c r="Q2213" s="25">
        <v>1915</v>
      </c>
      <c r="R2213" s="25">
        <v>1985</v>
      </c>
      <c r="S2213" s="25">
        <v>1194</v>
      </c>
      <c r="T2213" s="32">
        <v>575</v>
      </c>
      <c r="U2213" s="25">
        <v>650</v>
      </c>
      <c r="V2213" s="25">
        <f>Inventory[[#This Row],[Bsmt]]-Inventory[[#This Row],[FnBsmt]]</f>
        <v>650</v>
      </c>
      <c r="W2213" s="31"/>
      <c r="X2213" s="27"/>
      <c r="Y2213" s="27">
        <f>Inventory[[#This Row],[MainFn]]+Inventory[[#This Row],[UpprFn]]+Inventory[[#This Row],[FnBsmt]]+Inventory[[#This Row],[AddFn]]</f>
        <v>1769</v>
      </c>
      <c r="Z2213" s="27">
        <v>2000</v>
      </c>
      <c r="AA2213" s="25">
        <v>11</v>
      </c>
      <c r="AB2213" s="31"/>
      <c r="AC2213" s="27"/>
      <c r="AD2213" s="27"/>
      <c r="AE2213" s="27"/>
      <c r="AF2213" s="27"/>
      <c r="AG2213" s="27"/>
      <c r="AH2213" s="27"/>
      <c r="AI2213" s="25">
        <v>295179</v>
      </c>
      <c r="AJ2213" s="25">
        <v>239095</v>
      </c>
      <c r="AK2213" s="25">
        <v>5647</v>
      </c>
      <c r="AL2213" s="25">
        <v>352000</v>
      </c>
      <c r="AM2213" s="25">
        <v>48400</v>
      </c>
      <c r="AN2213" s="25">
        <v>303600</v>
      </c>
      <c r="AO2213" s="25">
        <v>0</v>
      </c>
      <c r="AP2213" s="25">
        <f>Lookups!$B$56*0</f>
        <v>0</v>
      </c>
      <c r="AQ2213" s="25">
        <f>Lookups!$B$56*1</f>
        <v>89850.625589999996</v>
      </c>
      <c r="AR2213" s="25">
        <f>Lookups!$B$57*Inventory[[#This Row],[LnAcres]]</f>
        <v>-60052.604136134301</v>
      </c>
      <c r="AS2213" s="25">
        <f>VLOOKUP(Inventory[[#This Row],[Qlty]],Lookups!$A$62:$E$75,2,FALSE)</f>
        <v>21557.329055999999</v>
      </c>
      <c r="AT2213" s="25">
        <f>VLOOKUP(Inventory[[#This Row],[Cnd]],Lookups!$A$76:$E$84,2,FALSE)</f>
        <v>197752.34721000001</v>
      </c>
      <c r="AU2213" s="25">
        <f>Inventory[[#This Row],[EffAge]]*Lookups!$B$85</f>
        <v>-8698.7784195000004</v>
      </c>
      <c r="AV2213" s="25">
        <f>Inventory[[#This Row],[MainFn]]*Lookups!$B$86</f>
        <v>58993.951833138002</v>
      </c>
      <c r="AW2213" s="25">
        <f>Inventory[[#This Row],[UpprFn]]*Lookups!$B$87</f>
        <v>25752.193145074998</v>
      </c>
      <c r="AX2213" s="25">
        <f>Inventory[[#This Row],[AddFn]]*Lookups!$B$88</f>
        <v>0</v>
      </c>
      <c r="AY2213" s="25">
        <f>Inventory[[#This Row],[Bsmt]]*Lookups!$B$89</f>
        <v>18903.231910549999</v>
      </c>
      <c r="AZ2213" s="25">
        <f>Inventory[[#This Row],[Fixtures]]*Lookups!$B$90</f>
        <v>41712.243157199999</v>
      </c>
      <c r="BA2213" s="25">
        <f>Inventory[[#This Row],[WdDeck]]*Lookups!$B$91</f>
        <v>0</v>
      </c>
      <c r="BB2213" s="25">
        <f>ROUND(Inventory[[#This Row],[25Det]],-2)</f>
        <v>5600</v>
      </c>
      <c r="BC2213" s="25">
        <f>ROUND(SUM(Inventory[[#This Row],[Mdl Qlty]:[Mdl WdDeck]])+Inventory[[#This Row],[Mdl Res Intercept]],-2)</f>
        <v>356000</v>
      </c>
      <c r="BD2213" s="25">
        <f>ROUND(Inventory[[#This Row],[Mdl Land Intercept]]+Inventory[[#This Row],[Mdl LnAcres]],-2)</f>
        <v>29800</v>
      </c>
      <c r="BE2213" s="25">
        <f>Inventory[[#This Row],[Unadj Res Value]]+Inventory[[#This Row],[Unadj Det Value]]+Inventory[[#This Row],[Unadj Land Value]]</f>
        <v>391400</v>
      </c>
      <c r="BF2213" s="36">
        <f>(Inventory[[#This Row],[Unadj Total Value]]-Inventory[[#This Row],[24Final]])/Inventory[[#This Row],[24Final]]</f>
        <v>0.11193181818181819</v>
      </c>
      <c r="BG2213" s="25">
        <f>VLOOKUP(Inventory[[#This Row],[Nbhd]],Lookups!$Q$2:$T$4,4,FALSE)</f>
        <v>0.99970000000000003</v>
      </c>
      <c r="BH2213" s="25">
        <f>VLOOKUP(Inventory[[#This Row],[Qlty]],Lookups!$O$7:$R$21,4,FALSE)</f>
        <v>1.0067999999999999</v>
      </c>
      <c r="BI2213" s="25">
        <f>VLOOKUP(Inventory[[#This Row],[Cnd]],Lookups!$T$7:$W$16,4,FALSE)</f>
        <v>0.99650000000000005</v>
      </c>
      <c r="BJ2213" s="25">
        <f>VLOOKUP(Inventory[[#This Row],[LivArea Range]],Lookups!$T$25:$W$37,4,FALSE)</f>
        <v>1.0093000000000001</v>
      </c>
      <c r="BK2213" s="25">
        <f>VLOOKUP(Inventory[[#This Row],[Decade]],Lookups!$O$25:$R$42,4,FALSE)</f>
        <v>0.96040000000000003</v>
      </c>
      <c r="BL2213" s="25">
        <f>Inventory[[#This Row],[Nbhd Adj]]*0.95</f>
        <v>0.94971499999999998</v>
      </c>
      <c r="BM2213" s="25">
        <f>Inventory[[#This Row],[Nbhd Adj]]*Inventory[[#This Row],[Quality Adj]]*Inventory[[#This Row],[Condition Adj]]*Inventory[[#This Row],[Living Area Adj]]*Inventory[[#This Row],[Decade Adj]]*0.95</f>
        <v>0.92360490773030512</v>
      </c>
      <c r="BN2213" s="25">
        <f>ROUND(SUM(Inventory[[#This Row],[Mdl Qlty]:[Mdl WdDeck]])+Inventory[[#This Row],[Mdl Res Intercept]]*Inventory[[#This Row],[Res Adj ]],-2)</f>
        <v>356000</v>
      </c>
      <c r="BO2213" s="25">
        <f>ROUND(Inventory[[#This Row],[25Det]]*Inventory[[#This Row],[Det/Nbhd Adj]],-2)</f>
        <v>5400</v>
      </c>
      <c r="BP2213" s="25">
        <f>Inventory[[#This Row],[Adjusted Res]]+Inventory[[#This Row],[Adj Det ]]</f>
        <v>361400</v>
      </c>
      <c r="BQ2213" s="25">
        <f>ROUND((Inventory[[#This Row],[Mdl Land Intercept]]+Inventory[[#This Row],[Mdl LnAcres]])*Inventory[[#This Row],[Det/Nbhd Adj]],-2)</f>
        <v>28300</v>
      </c>
      <c r="BR2213" s="25">
        <f>Inventory[[#This Row],[Adjusted Impr Total]]+Inventory[[#This Row],[Adjusted Land Total]]</f>
        <v>389700</v>
      </c>
      <c r="BS2213" s="36">
        <f>IFERROR((Inventory[[#This Row],[Adjusted Impr Total]]-Inventory[[#This Row],[24Bldg]])/Inventory[[#This Row],[24Bldg]],0)</f>
        <v>0.19038208168642951</v>
      </c>
      <c r="BT2213" s="36">
        <f>(Inventory[[#This Row],[Adjusted Land Total]]-Inventory[[#This Row],[24Lnd]])/Inventory[[#This Row],[24Lnd]]</f>
        <v>-0.41528925619834711</v>
      </c>
      <c r="BU2213" s="36">
        <f>(Inventory[[#This Row],[Adjusted Total]]-Inventory[[#This Row],[24Final]])/Inventory[[#This Row],[24Final]]</f>
        <v>0.10710227272727273</v>
      </c>
    </row>
    <row r="2214" spans="1:73" x14ac:dyDescent="0.3">
      <c r="A2214" s="25">
        <v>2025</v>
      </c>
      <c r="B2214" s="26" t="s">
        <v>2322</v>
      </c>
      <c r="C2214" s="26">
        <f>LN(Inventory[[#This Row],[Acres]])</f>
        <v>-1.3470736479666092</v>
      </c>
      <c r="D2214" s="25">
        <v>0.26</v>
      </c>
      <c r="E2214" s="31"/>
      <c r="F2214" s="26" t="s">
        <v>537</v>
      </c>
      <c r="G2214" s="26" t="s">
        <v>126</v>
      </c>
      <c r="H2214" s="26" t="s">
        <v>349</v>
      </c>
      <c r="I2214" s="26" t="s">
        <v>538</v>
      </c>
      <c r="J2214" s="26" t="s">
        <v>539</v>
      </c>
      <c r="K2214" s="26" t="s">
        <v>269</v>
      </c>
      <c r="L2214" s="26" t="s">
        <v>351</v>
      </c>
      <c r="M2214" s="26" t="s">
        <v>323</v>
      </c>
      <c r="N2214" s="26">
        <v>110</v>
      </c>
      <c r="O2214" s="26">
        <f>2024-Inventory[[#This Row],[YrBlt]]</f>
        <v>109</v>
      </c>
      <c r="P2214" s="26">
        <f>2024-Inventory[[#This Row],[EffYr]]</f>
        <v>61</v>
      </c>
      <c r="Q2214" s="25">
        <v>1915</v>
      </c>
      <c r="R2214" s="25">
        <v>1963</v>
      </c>
      <c r="S2214" s="25">
        <v>1158</v>
      </c>
      <c r="T2214" s="31"/>
      <c r="U2214" s="25">
        <v>1158</v>
      </c>
      <c r="V2214" s="32">
        <f>Inventory[[#This Row],[Bsmt]]-Inventory[[#This Row],[FnBsmt]]</f>
        <v>1158</v>
      </c>
      <c r="W2214" s="27"/>
      <c r="X2214" s="27"/>
      <c r="Y2214" s="27">
        <f>Inventory[[#This Row],[MainFn]]+Inventory[[#This Row],[UpprFn]]+Inventory[[#This Row],[FnBsmt]]+Inventory[[#This Row],[AddFn]]</f>
        <v>1158</v>
      </c>
      <c r="Z2214" s="27">
        <v>1500</v>
      </c>
      <c r="AA2214" s="25">
        <v>7</v>
      </c>
      <c r="AB2214" s="31"/>
      <c r="AC2214" s="27"/>
      <c r="AD2214" s="31"/>
      <c r="AE2214" s="27"/>
      <c r="AF2214" s="27"/>
      <c r="AG2214" s="27"/>
      <c r="AH2214" s="27"/>
      <c r="AI2214" s="25">
        <v>251042</v>
      </c>
      <c r="AJ2214" s="25">
        <v>148115</v>
      </c>
      <c r="AK2214" s="25">
        <v>6050</v>
      </c>
      <c r="AL2214" s="25">
        <v>313000</v>
      </c>
      <c r="AM2214" s="25">
        <v>67600</v>
      </c>
      <c r="AN2214" s="25">
        <v>245400</v>
      </c>
      <c r="AO2214" s="25">
        <v>0</v>
      </c>
      <c r="AP2214" s="25">
        <f>Lookups!$B$56*0</f>
        <v>0</v>
      </c>
      <c r="AQ2214" s="25">
        <f>Lookups!$B$56*1</f>
        <v>89850.625589999996</v>
      </c>
      <c r="AR2214" s="25">
        <f>Lookups!$B$57*Inventory[[#This Row],[LnAcres]]</f>
        <v>-42641.098701210125</v>
      </c>
      <c r="AS2214" s="25">
        <f>VLOOKUP(Inventory[[#This Row],[Qlty]],Lookups!$A$62:$E$75,2,FALSE)</f>
        <v>21557.329055999999</v>
      </c>
      <c r="AT2214" s="25">
        <f>VLOOKUP(Inventory[[#This Row],[Cnd]],Lookups!$A$76:$E$84,2,FALSE)</f>
        <v>160472.20319</v>
      </c>
      <c r="AU2214" s="25">
        <f>Inventory[[#This Row],[EffAge]]*Lookups!$B$85</f>
        <v>-13605.7816305</v>
      </c>
      <c r="AV2214" s="25">
        <f>Inventory[[#This Row],[MainFn]]*Lookups!$B$86</f>
        <v>57215.239717566001</v>
      </c>
      <c r="AW2214" s="25">
        <f>Inventory[[#This Row],[UpprFn]]*Lookups!$B$87</f>
        <v>0</v>
      </c>
      <c r="AX2214" s="25">
        <f>Inventory[[#This Row],[AddFn]]*Lookups!$B$88</f>
        <v>0</v>
      </c>
      <c r="AY2214" s="25">
        <f>Inventory[[#This Row],[Bsmt]]*Lookups!$B$89</f>
        <v>33676.834696025995</v>
      </c>
      <c r="AZ2214" s="25">
        <f>Inventory[[#This Row],[Fixtures]]*Lookups!$B$90</f>
        <v>26544.1547364</v>
      </c>
      <c r="BA2214" s="25">
        <f>Inventory[[#This Row],[WdDeck]]*Lookups!$B$91</f>
        <v>0</v>
      </c>
      <c r="BB2214" s="25">
        <f>ROUND(Inventory[[#This Row],[25Det]],-2)</f>
        <v>6100</v>
      </c>
      <c r="BC2214" s="25">
        <f>ROUND(SUM(Inventory[[#This Row],[Mdl Qlty]:[Mdl WdDeck]])+Inventory[[#This Row],[Mdl Res Intercept]],-2)</f>
        <v>285900</v>
      </c>
      <c r="BD2214" s="25">
        <f>ROUND(Inventory[[#This Row],[Mdl Land Intercept]]+Inventory[[#This Row],[Mdl LnAcres]],-2)</f>
        <v>47200</v>
      </c>
      <c r="BE2214" s="25">
        <f>Inventory[[#This Row],[Unadj Res Value]]+Inventory[[#This Row],[Unadj Det Value]]+Inventory[[#This Row],[Unadj Land Value]]</f>
        <v>339200</v>
      </c>
      <c r="BF2214" s="36">
        <f>(Inventory[[#This Row],[Unadj Total Value]]-Inventory[[#This Row],[24Final]])/Inventory[[#This Row],[24Final]]</f>
        <v>8.370607028753993E-2</v>
      </c>
      <c r="BG2214" s="25">
        <f>VLOOKUP(Inventory[[#This Row],[Nbhd]],Lookups!$Q$2:$T$4,4,FALSE)</f>
        <v>0.99970000000000003</v>
      </c>
      <c r="BH2214" s="25">
        <f>VLOOKUP(Inventory[[#This Row],[Qlty]],Lookups!$O$7:$R$21,4,FALSE)</f>
        <v>1.0067999999999999</v>
      </c>
      <c r="BI2214" s="25">
        <f>VLOOKUP(Inventory[[#This Row],[Cnd]],Lookups!$T$7:$W$16,4,FALSE)</f>
        <v>0.99729999999999996</v>
      </c>
      <c r="BJ2214" s="25">
        <f>VLOOKUP(Inventory[[#This Row],[LivArea Range]],Lookups!$T$25:$W$37,4,FALSE)</f>
        <v>1.0157</v>
      </c>
      <c r="BK2214" s="25">
        <f>VLOOKUP(Inventory[[#This Row],[Decade]],Lookups!$O$25:$R$42,4,FALSE)</f>
        <v>0.96040000000000003</v>
      </c>
      <c r="BL2214" s="25">
        <f>Inventory[[#This Row],[Nbhd Adj]]*0.95</f>
        <v>0.94971499999999998</v>
      </c>
      <c r="BM2214" s="25">
        <f>Inventory[[#This Row],[Nbhd Adj]]*Inventory[[#This Row],[Quality Adj]]*Inventory[[#This Row],[Condition Adj]]*Inventory[[#This Row],[Living Area Adj]]*Inventory[[#This Row],[Decade Adj]]*0.95</f>
        <v>0.93020769355655764</v>
      </c>
      <c r="BN2214" s="25">
        <f>ROUND(SUM(Inventory[[#This Row],[Mdl Qlty]:[Mdl WdDeck]])+Inventory[[#This Row],[Mdl Res Intercept]]*Inventory[[#This Row],[Res Adj ]],-2)</f>
        <v>285900</v>
      </c>
      <c r="BO2214" s="25">
        <f>ROUND(Inventory[[#This Row],[25Det]]*Inventory[[#This Row],[Det/Nbhd Adj]],-2)</f>
        <v>5700</v>
      </c>
      <c r="BP2214" s="25">
        <f>Inventory[[#This Row],[Adjusted Res]]+Inventory[[#This Row],[Adj Det ]]</f>
        <v>291600</v>
      </c>
      <c r="BQ2214" s="25">
        <f>ROUND((Inventory[[#This Row],[Mdl Land Intercept]]+Inventory[[#This Row],[Mdl LnAcres]])*Inventory[[#This Row],[Det/Nbhd Adj]],-2)</f>
        <v>44800</v>
      </c>
      <c r="BR2214" s="25">
        <f>Inventory[[#This Row],[Adjusted Impr Total]]+Inventory[[#This Row],[Adjusted Land Total]]</f>
        <v>336400</v>
      </c>
      <c r="BS2214" s="36">
        <f>IFERROR((Inventory[[#This Row],[Adjusted Impr Total]]-Inventory[[#This Row],[24Bldg]])/Inventory[[#This Row],[24Bldg]],0)</f>
        <v>0.18826405867970661</v>
      </c>
      <c r="BT2214" s="36">
        <f>(Inventory[[#This Row],[Adjusted Land Total]]-Inventory[[#This Row],[24Lnd]])/Inventory[[#This Row],[24Lnd]]</f>
        <v>-0.33727810650887574</v>
      </c>
      <c r="BU2214" s="36">
        <f>(Inventory[[#This Row],[Adjusted Total]]-Inventory[[#This Row],[24Final]])/Inventory[[#This Row],[24Final]]</f>
        <v>7.4760383386581475E-2</v>
      </c>
    </row>
    <row r="2215" spans="1:73" x14ac:dyDescent="0.3">
      <c r="A2215" s="25">
        <v>2025</v>
      </c>
      <c r="B2215" s="26" t="s">
        <v>2109</v>
      </c>
      <c r="C2215" s="26">
        <f>LN(Inventory[[#This Row],[Acres]])</f>
        <v>-0.6348782724359695</v>
      </c>
      <c r="D2215" s="25">
        <v>0.53</v>
      </c>
      <c r="E2215" s="25">
        <v>23074</v>
      </c>
      <c r="F2215" s="26" t="s">
        <v>537</v>
      </c>
      <c r="G2215" s="26" t="s">
        <v>126</v>
      </c>
      <c r="H2215" s="26" t="s">
        <v>349</v>
      </c>
      <c r="I2215" s="26" t="s">
        <v>538</v>
      </c>
      <c r="J2215" s="26" t="s">
        <v>539</v>
      </c>
      <c r="K2215" s="26" t="s">
        <v>417</v>
      </c>
      <c r="L2215" s="26" t="s">
        <v>148</v>
      </c>
      <c r="M2215" s="26" t="s">
        <v>303</v>
      </c>
      <c r="N2215" s="26">
        <v>110</v>
      </c>
      <c r="O2215" s="26">
        <f>2024-Inventory[[#This Row],[YrBlt]]</f>
        <v>109</v>
      </c>
      <c r="P2215" s="26">
        <f>2024-Inventory[[#This Row],[EffYr]]</f>
        <v>61</v>
      </c>
      <c r="Q2215" s="25">
        <v>1915</v>
      </c>
      <c r="R2215" s="25">
        <v>1963</v>
      </c>
      <c r="S2215" s="25">
        <v>1230</v>
      </c>
      <c r="T2215" s="25">
        <v>922</v>
      </c>
      <c r="U2215" s="25">
        <v>1230</v>
      </c>
      <c r="V2215" s="25">
        <f>Inventory[[#This Row],[Bsmt]]-Inventory[[#This Row],[FnBsmt]]</f>
        <v>1230</v>
      </c>
      <c r="W2215" s="31"/>
      <c r="X2215" s="27"/>
      <c r="Y2215" s="27">
        <f>Inventory[[#This Row],[MainFn]]+Inventory[[#This Row],[UpprFn]]+Inventory[[#This Row],[FnBsmt]]+Inventory[[#This Row],[AddFn]]</f>
        <v>2152</v>
      </c>
      <c r="Z2215" s="27">
        <v>2500</v>
      </c>
      <c r="AA2215" s="25">
        <v>9</v>
      </c>
      <c r="AB2215" s="31"/>
      <c r="AC2215" s="27"/>
      <c r="AD2215" s="31"/>
      <c r="AE2215" s="27"/>
      <c r="AF2215" s="27"/>
      <c r="AG2215" s="27"/>
      <c r="AH2215" s="27"/>
      <c r="AI2215" s="25">
        <v>514229</v>
      </c>
      <c r="AJ2215" s="25">
        <v>313680</v>
      </c>
      <c r="AK2215" s="25">
        <v>9963</v>
      </c>
      <c r="AL2215" s="25">
        <v>444400</v>
      </c>
      <c r="AM2215" s="25">
        <v>92400</v>
      </c>
      <c r="AN2215" s="25">
        <v>352000</v>
      </c>
      <c r="AO2215" s="25">
        <v>0</v>
      </c>
      <c r="AP2215" s="25">
        <f>Lookups!$B$56*0</f>
        <v>0</v>
      </c>
      <c r="AQ2215" s="25">
        <f>Lookups!$B$56*1</f>
        <v>89850.625589999996</v>
      </c>
      <c r="AR2215" s="25">
        <f>Lookups!$B$57*Inventory[[#This Row],[LnAcres]]</f>
        <v>-20096.827756270526</v>
      </c>
      <c r="AS2215" s="25">
        <f>VLOOKUP(Inventory[[#This Row],[Qlty]],Lookups!$A$62:$E$75,2,FALSE)</f>
        <v>44121.038090000002</v>
      </c>
      <c r="AT2215" s="25">
        <f>VLOOKUP(Inventory[[#This Row],[Cnd]],Lookups!$A$76:$E$84,2,FALSE)</f>
        <v>197752.34721000001</v>
      </c>
      <c r="AU2215" s="25">
        <f>Inventory[[#This Row],[EffAge]]*Lookups!$B$85</f>
        <v>-13605.7816305</v>
      </c>
      <c r="AV2215" s="25">
        <f>Inventory[[#This Row],[MainFn]]*Lookups!$B$86</f>
        <v>60772.663948710004</v>
      </c>
      <c r="AW2215" s="25">
        <f>Inventory[[#This Row],[UpprFn]]*Lookups!$B$87</f>
        <v>41293.081877842</v>
      </c>
      <c r="AX2215" s="25">
        <f>Inventory[[#This Row],[AddFn]]*Lookups!$B$88</f>
        <v>0</v>
      </c>
      <c r="AY2215" s="25">
        <f>Inventory[[#This Row],[Bsmt]]*Lookups!$B$89</f>
        <v>35770.731153809997</v>
      </c>
      <c r="AZ2215" s="25">
        <f>Inventory[[#This Row],[Fixtures]]*Lookups!$B$90</f>
        <v>34128.198946800003</v>
      </c>
      <c r="BA2215" s="25">
        <f>Inventory[[#This Row],[WdDeck]]*Lookups!$B$91</f>
        <v>0</v>
      </c>
      <c r="BB2215" s="25">
        <f>ROUND(Inventory[[#This Row],[25Det]],-2)</f>
        <v>10000</v>
      </c>
      <c r="BC2215" s="25">
        <f>ROUND(SUM(Inventory[[#This Row],[Mdl Qlty]:[Mdl WdDeck]])+Inventory[[#This Row],[Mdl Res Intercept]],-2)</f>
        <v>400200</v>
      </c>
      <c r="BD2215" s="25">
        <f>ROUND(Inventory[[#This Row],[Mdl Land Intercept]]+Inventory[[#This Row],[Mdl LnAcres]],-2)</f>
        <v>69800</v>
      </c>
      <c r="BE2215" s="25">
        <f>Inventory[[#This Row],[Unadj Res Value]]+Inventory[[#This Row],[Unadj Det Value]]+Inventory[[#This Row],[Unadj Land Value]]</f>
        <v>480000</v>
      </c>
      <c r="BF2215" s="36">
        <f>(Inventory[[#This Row],[Unadj Total Value]]-Inventory[[#This Row],[24Final]])/Inventory[[#This Row],[24Final]]</f>
        <v>8.0108010801080112E-2</v>
      </c>
      <c r="BG2215" s="25">
        <f>VLOOKUP(Inventory[[#This Row],[Nbhd]],Lookups!$Q$2:$T$4,4,FALSE)</f>
        <v>0.99970000000000003</v>
      </c>
      <c r="BH2215" s="25">
        <f>VLOOKUP(Inventory[[#This Row],[Qlty]],Lookups!$O$7:$R$21,4,FALSE)</f>
        <v>0.98050000000000004</v>
      </c>
      <c r="BI2215" s="25">
        <f>VLOOKUP(Inventory[[#This Row],[Cnd]],Lookups!$T$7:$W$16,4,FALSE)</f>
        <v>0.99650000000000005</v>
      </c>
      <c r="BJ2215" s="25">
        <f>VLOOKUP(Inventory[[#This Row],[LivArea Range]],Lookups!$T$25:$W$37,4,FALSE)</f>
        <v>0.98919999999999997</v>
      </c>
      <c r="BK2215" s="25">
        <f>VLOOKUP(Inventory[[#This Row],[Decade]],Lookups!$O$25:$R$42,4,FALSE)</f>
        <v>0.96040000000000003</v>
      </c>
      <c r="BL2215" s="25">
        <f>Inventory[[#This Row],[Nbhd Adj]]*0.95</f>
        <v>0.94971499999999998</v>
      </c>
      <c r="BM2215" s="25">
        <f>Inventory[[#This Row],[Nbhd Adj]]*Inventory[[#This Row],[Quality Adj]]*Inventory[[#This Row],[Condition Adj]]*Inventory[[#This Row],[Living Area Adj]]*Inventory[[#This Row],[Decade Adj]]*0.95</f>
        <v>0.88156523967511857</v>
      </c>
      <c r="BN2215" s="25">
        <f>ROUND(SUM(Inventory[[#This Row],[Mdl Qlty]:[Mdl WdDeck]])+Inventory[[#This Row],[Mdl Res Intercept]]*Inventory[[#This Row],[Res Adj ]],-2)</f>
        <v>400200</v>
      </c>
      <c r="BO2215" s="25">
        <f>ROUND(Inventory[[#This Row],[25Det]]*Inventory[[#This Row],[Det/Nbhd Adj]],-2)</f>
        <v>9500</v>
      </c>
      <c r="BP2215" s="25">
        <f>Inventory[[#This Row],[Adjusted Res]]+Inventory[[#This Row],[Adj Det ]]</f>
        <v>409700</v>
      </c>
      <c r="BQ2215" s="25">
        <f>ROUND((Inventory[[#This Row],[Mdl Land Intercept]]+Inventory[[#This Row],[Mdl LnAcres]])*Inventory[[#This Row],[Det/Nbhd Adj]],-2)</f>
        <v>66200</v>
      </c>
      <c r="BR2215" s="25">
        <f>Inventory[[#This Row],[Adjusted Impr Total]]+Inventory[[#This Row],[Adjusted Land Total]]</f>
        <v>475900</v>
      </c>
      <c r="BS2215" s="36">
        <f>IFERROR((Inventory[[#This Row],[Adjusted Impr Total]]-Inventory[[#This Row],[24Bldg]])/Inventory[[#This Row],[24Bldg]],0)</f>
        <v>0.16392045454545454</v>
      </c>
      <c r="BT2215" s="36">
        <f>(Inventory[[#This Row],[Adjusted Land Total]]-Inventory[[#This Row],[24Lnd]])/Inventory[[#This Row],[24Lnd]]</f>
        <v>-0.28354978354978355</v>
      </c>
      <c r="BU2215" s="36">
        <f>(Inventory[[#This Row],[Adjusted Total]]-Inventory[[#This Row],[24Final]])/Inventory[[#This Row],[24Final]]</f>
        <v>7.0882088208820887E-2</v>
      </c>
    </row>
    <row r="2216" spans="1:73" x14ac:dyDescent="0.3">
      <c r="A2216" s="25">
        <v>2025</v>
      </c>
      <c r="B2216" s="26" t="s">
        <v>1985</v>
      </c>
      <c r="C2216" s="26">
        <f>LN(Inventory[[#This Row],[Acres]])</f>
        <v>-1.8971199848858813</v>
      </c>
      <c r="D2216" s="25">
        <v>0.15</v>
      </c>
      <c r="E2216" s="31"/>
      <c r="F2216" s="26" t="s">
        <v>537</v>
      </c>
      <c r="G2216" s="26" t="s">
        <v>126</v>
      </c>
      <c r="H2216" s="26" t="s">
        <v>349</v>
      </c>
      <c r="I2216" s="26" t="s">
        <v>538</v>
      </c>
      <c r="J2216" s="26" t="s">
        <v>539</v>
      </c>
      <c r="K2216" s="26" t="s">
        <v>269</v>
      </c>
      <c r="L2216" s="26" t="s">
        <v>351</v>
      </c>
      <c r="M2216" s="26" t="s">
        <v>303</v>
      </c>
      <c r="N2216" s="26">
        <v>110</v>
      </c>
      <c r="O2216" s="26">
        <f>2024-Inventory[[#This Row],[YrBlt]]</f>
        <v>109</v>
      </c>
      <c r="P2216" s="26">
        <f>2024-Inventory[[#This Row],[EffYr]]</f>
        <v>61</v>
      </c>
      <c r="Q2216" s="25">
        <v>1915</v>
      </c>
      <c r="R2216" s="25">
        <v>1963</v>
      </c>
      <c r="S2216" s="25">
        <v>1184</v>
      </c>
      <c r="T2216" s="32">
        <v>416</v>
      </c>
      <c r="U2216" s="32">
        <v>600</v>
      </c>
      <c r="V2216" s="32">
        <f>Inventory[[#This Row],[Bsmt]]-Inventory[[#This Row],[FnBsmt]]</f>
        <v>360</v>
      </c>
      <c r="W2216" s="32">
        <v>240</v>
      </c>
      <c r="X2216" s="27"/>
      <c r="Y2216" s="27">
        <f>Inventory[[#This Row],[MainFn]]+Inventory[[#This Row],[UpprFn]]+Inventory[[#This Row],[FnBsmt]]+Inventory[[#This Row],[AddFn]]</f>
        <v>1840</v>
      </c>
      <c r="Z2216" s="27">
        <v>2000</v>
      </c>
      <c r="AA2216" s="25">
        <v>7</v>
      </c>
      <c r="AB2216" s="31"/>
      <c r="AC2216" s="27"/>
      <c r="AD2216" s="31"/>
      <c r="AE2216" s="27"/>
      <c r="AF2216" s="27"/>
      <c r="AG2216" s="27"/>
      <c r="AH2216" s="27"/>
      <c r="AI2216" s="25">
        <v>288983</v>
      </c>
      <c r="AJ2216" s="25">
        <v>176280</v>
      </c>
      <c r="AK2216" s="25">
        <v>10689</v>
      </c>
      <c r="AL2216" s="25">
        <v>342400</v>
      </c>
      <c r="AM2216" s="25">
        <v>48400</v>
      </c>
      <c r="AN2216" s="25">
        <v>294000</v>
      </c>
      <c r="AO2216" s="25">
        <v>0</v>
      </c>
      <c r="AP2216" s="25">
        <f>Lookups!$B$56*0</f>
        <v>0</v>
      </c>
      <c r="AQ2216" s="25">
        <f>Lookups!$B$56*1</f>
        <v>89850.625589999996</v>
      </c>
      <c r="AR2216" s="25">
        <f>Lookups!$B$57*Inventory[[#This Row],[LnAcres]]</f>
        <v>-60052.604136134301</v>
      </c>
      <c r="AS2216" s="25">
        <f>VLOOKUP(Inventory[[#This Row],[Qlty]],Lookups!$A$62:$E$75,2,FALSE)</f>
        <v>21557.329055999999</v>
      </c>
      <c r="AT2216" s="25">
        <f>VLOOKUP(Inventory[[#This Row],[Cnd]],Lookups!$A$76:$E$84,2,FALSE)</f>
        <v>197752.34721000001</v>
      </c>
      <c r="AU2216" s="25">
        <f>Inventory[[#This Row],[EffAge]]*Lookups!$B$85</f>
        <v>-13605.7816305</v>
      </c>
      <c r="AV2216" s="25">
        <f>Inventory[[#This Row],[MainFn]]*Lookups!$B$86</f>
        <v>58499.865134368003</v>
      </c>
      <c r="AW2216" s="25">
        <f>Inventory[[#This Row],[UpprFn]]*Lookups!$B$87</f>
        <v>18631.151910175999</v>
      </c>
      <c r="AX2216" s="25">
        <f>Inventory[[#This Row],[AddFn]]*Lookups!$B$88</f>
        <v>0</v>
      </c>
      <c r="AY2216" s="25">
        <f>Inventory[[#This Row],[Bsmt]]*Lookups!$B$89</f>
        <v>17449.1371482</v>
      </c>
      <c r="AZ2216" s="25">
        <f>Inventory[[#This Row],[Fixtures]]*Lookups!$B$90</f>
        <v>26544.1547364</v>
      </c>
      <c r="BA2216" s="25">
        <f>Inventory[[#This Row],[WdDeck]]*Lookups!$B$91</f>
        <v>0</v>
      </c>
      <c r="BB2216" s="25">
        <f>ROUND(Inventory[[#This Row],[25Det]],-2)</f>
        <v>10700</v>
      </c>
      <c r="BC2216" s="25">
        <f>ROUND(SUM(Inventory[[#This Row],[Mdl Qlty]:[Mdl WdDeck]])+Inventory[[#This Row],[Mdl Res Intercept]],-2)</f>
        <v>326800</v>
      </c>
      <c r="BD2216" s="25">
        <f>ROUND(Inventory[[#This Row],[Mdl Land Intercept]]+Inventory[[#This Row],[Mdl LnAcres]],-2)</f>
        <v>29800</v>
      </c>
      <c r="BE2216" s="25">
        <f>Inventory[[#This Row],[Unadj Res Value]]+Inventory[[#This Row],[Unadj Det Value]]+Inventory[[#This Row],[Unadj Land Value]]</f>
        <v>367300</v>
      </c>
      <c r="BF2216" s="36">
        <f>(Inventory[[#This Row],[Unadj Total Value]]-Inventory[[#This Row],[24Final]])/Inventory[[#This Row],[24Final]]</f>
        <v>7.2721962616822428E-2</v>
      </c>
      <c r="BG2216" s="25">
        <f>VLOOKUP(Inventory[[#This Row],[Nbhd]],Lookups!$Q$2:$T$4,4,FALSE)</f>
        <v>0.99970000000000003</v>
      </c>
      <c r="BH2216" s="25">
        <f>VLOOKUP(Inventory[[#This Row],[Qlty]],Lookups!$O$7:$R$21,4,FALSE)</f>
        <v>1.0067999999999999</v>
      </c>
      <c r="BI2216" s="25">
        <f>VLOOKUP(Inventory[[#This Row],[Cnd]],Lookups!$T$7:$W$16,4,FALSE)</f>
        <v>0.99650000000000005</v>
      </c>
      <c r="BJ2216" s="25">
        <f>VLOOKUP(Inventory[[#This Row],[LivArea Range]],Lookups!$T$25:$W$37,4,FALSE)</f>
        <v>1.0093000000000001</v>
      </c>
      <c r="BK2216" s="25">
        <f>VLOOKUP(Inventory[[#This Row],[Decade]],Lookups!$O$25:$R$42,4,FALSE)</f>
        <v>0.96040000000000003</v>
      </c>
      <c r="BL2216" s="25">
        <f>Inventory[[#This Row],[Nbhd Adj]]*0.95</f>
        <v>0.94971499999999998</v>
      </c>
      <c r="BM2216" s="25">
        <f>Inventory[[#This Row],[Nbhd Adj]]*Inventory[[#This Row],[Quality Adj]]*Inventory[[#This Row],[Condition Adj]]*Inventory[[#This Row],[Living Area Adj]]*Inventory[[#This Row],[Decade Adj]]*0.95</f>
        <v>0.92360490773030512</v>
      </c>
      <c r="BN2216" s="25">
        <f>ROUND(SUM(Inventory[[#This Row],[Mdl Qlty]:[Mdl WdDeck]])+Inventory[[#This Row],[Mdl Res Intercept]]*Inventory[[#This Row],[Res Adj ]],-2)</f>
        <v>326800</v>
      </c>
      <c r="BO2216" s="25">
        <f>ROUND(Inventory[[#This Row],[25Det]]*Inventory[[#This Row],[Det/Nbhd Adj]],-2)</f>
        <v>10200</v>
      </c>
      <c r="BP2216" s="25">
        <f>Inventory[[#This Row],[Adjusted Res]]+Inventory[[#This Row],[Adj Det ]]</f>
        <v>337000</v>
      </c>
      <c r="BQ2216" s="25">
        <f>ROUND((Inventory[[#This Row],[Mdl Land Intercept]]+Inventory[[#This Row],[Mdl LnAcres]])*Inventory[[#This Row],[Det/Nbhd Adj]],-2)</f>
        <v>28300</v>
      </c>
      <c r="BR2216" s="25">
        <f>Inventory[[#This Row],[Adjusted Impr Total]]+Inventory[[#This Row],[Adjusted Land Total]]</f>
        <v>365300</v>
      </c>
      <c r="BS2216" s="36">
        <f>IFERROR((Inventory[[#This Row],[Adjusted Impr Total]]-Inventory[[#This Row],[24Bldg]])/Inventory[[#This Row],[24Bldg]],0)</f>
        <v>0.14625850340136054</v>
      </c>
      <c r="BT2216" s="36">
        <f>(Inventory[[#This Row],[Adjusted Land Total]]-Inventory[[#This Row],[24Lnd]])/Inventory[[#This Row],[24Lnd]]</f>
        <v>-0.41528925619834711</v>
      </c>
      <c r="BU2216" s="36">
        <f>(Inventory[[#This Row],[Adjusted Total]]-Inventory[[#This Row],[24Final]])/Inventory[[#This Row],[24Final]]</f>
        <v>6.6880841121495324E-2</v>
      </c>
    </row>
    <row r="2217" spans="1:73" x14ac:dyDescent="0.3">
      <c r="A2217" s="25">
        <v>2025</v>
      </c>
      <c r="B2217" s="26" t="s">
        <v>1146</v>
      </c>
      <c r="C2217" s="26">
        <f>LN(Inventory[[#This Row],[Acres]])</f>
        <v>-1.8971199848858813</v>
      </c>
      <c r="D2217" s="25">
        <v>0.15</v>
      </c>
      <c r="E2217" s="31"/>
      <c r="F2217" s="26" t="s">
        <v>537</v>
      </c>
      <c r="G2217" s="26" t="s">
        <v>126</v>
      </c>
      <c r="H2217" s="26" t="s">
        <v>349</v>
      </c>
      <c r="I2217" s="26" t="s">
        <v>538</v>
      </c>
      <c r="J2217" s="26" t="s">
        <v>539</v>
      </c>
      <c r="K2217" s="26" t="s">
        <v>269</v>
      </c>
      <c r="L2217" s="26" t="s">
        <v>351</v>
      </c>
      <c r="M2217" s="26" t="s">
        <v>303</v>
      </c>
      <c r="N2217" s="26">
        <v>110</v>
      </c>
      <c r="O2217" s="26">
        <f>2024-Inventory[[#This Row],[YrBlt]]</f>
        <v>109</v>
      </c>
      <c r="P2217" s="26">
        <f>2024-Inventory[[#This Row],[EffYr]]</f>
        <v>61</v>
      </c>
      <c r="Q2217" s="25">
        <v>1915</v>
      </c>
      <c r="R2217" s="25">
        <v>1963</v>
      </c>
      <c r="S2217" s="25">
        <v>1353</v>
      </c>
      <c r="T2217" s="32">
        <v>819</v>
      </c>
      <c r="U2217" s="25">
        <v>448</v>
      </c>
      <c r="V2217" s="25">
        <f>Inventory[[#This Row],[Bsmt]]-Inventory[[#This Row],[FnBsmt]]</f>
        <v>152</v>
      </c>
      <c r="W2217" s="25">
        <v>296</v>
      </c>
      <c r="X2217" s="27"/>
      <c r="Y2217" s="27">
        <f>Inventory[[#This Row],[MainFn]]+Inventory[[#This Row],[UpprFn]]+Inventory[[#This Row],[FnBsmt]]+Inventory[[#This Row],[AddFn]]</f>
        <v>2468</v>
      </c>
      <c r="Z2217" s="27">
        <v>2500</v>
      </c>
      <c r="AA2217" s="25">
        <v>10</v>
      </c>
      <c r="AB2217" s="27"/>
      <c r="AC2217" s="31"/>
      <c r="AD2217" s="31"/>
      <c r="AE2217" s="27"/>
      <c r="AF2217" s="27"/>
      <c r="AG2217" s="27"/>
      <c r="AH2217" s="27"/>
      <c r="AI2217" s="25">
        <v>353916</v>
      </c>
      <c r="AJ2217" s="25">
        <v>215889</v>
      </c>
      <c r="AK2217" s="25">
        <v>8623</v>
      </c>
      <c r="AL2217" s="25">
        <v>373200</v>
      </c>
      <c r="AM2217" s="25">
        <v>48400</v>
      </c>
      <c r="AN2217" s="25">
        <v>324800</v>
      </c>
      <c r="AO2217" s="25">
        <v>0</v>
      </c>
      <c r="AP2217" s="25">
        <f>Lookups!$B$56*0</f>
        <v>0</v>
      </c>
      <c r="AQ2217" s="25">
        <f>Lookups!$B$56*1</f>
        <v>89850.625589999996</v>
      </c>
      <c r="AR2217" s="25">
        <f>Lookups!$B$57*Inventory[[#This Row],[LnAcres]]</f>
        <v>-60052.604136134301</v>
      </c>
      <c r="AS2217" s="25">
        <f>VLOOKUP(Inventory[[#This Row],[Qlty]],Lookups!$A$62:$E$75,2,FALSE)</f>
        <v>21557.329055999999</v>
      </c>
      <c r="AT2217" s="25">
        <f>VLOOKUP(Inventory[[#This Row],[Cnd]],Lookups!$A$76:$E$84,2,FALSE)</f>
        <v>197752.34721000001</v>
      </c>
      <c r="AU2217" s="25">
        <f>Inventory[[#This Row],[EffAge]]*Lookups!$B$85</f>
        <v>-13605.7816305</v>
      </c>
      <c r="AV2217" s="25">
        <f>Inventory[[#This Row],[MainFn]]*Lookups!$B$86</f>
        <v>66849.930343581</v>
      </c>
      <c r="AW2217" s="25">
        <f>Inventory[[#This Row],[UpprFn]]*Lookups!$B$87</f>
        <v>36680.080323158996</v>
      </c>
      <c r="AX2217" s="25">
        <f>Inventory[[#This Row],[AddFn]]*Lookups!$B$88</f>
        <v>0</v>
      </c>
      <c r="AY2217" s="25">
        <f>Inventory[[#This Row],[Bsmt]]*Lookups!$B$89</f>
        <v>13028.689070655999</v>
      </c>
      <c r="AZ2217" s="25">
        <f>Inventory[[#This Row],[Fixtures]]*Lookups!$B$90</f>
        <v>37920.221052000001</v>
      </c>
      <c r="BA2217" s="25">
        <f>Inventory[[#This Row],[WdDeck]]*Lookups!$B$91</f>
        <v>0</v>
      </c>
      <c r="BB2217" s="25">
        <f>ROUND(Inventory[[#This Row],[25Det]],-2)</f>
        <v>8600</v>
      </c>
      <c r="BC2217" s="25">
        <f>ROUND(SUM(Inventory[[#This Row],[Mdl Qlty]:[Mdl WdDeck]])+Inventory[[#This Row],[Mdl Res Intercept]],-2)</f>
        <v>360200</v>
      </c>
      <c r="BD2217" s="25">
        <f>ROUND(Inventory[[#This Row],[Mdl Land Intercept]]+Inventory[[#This Row],[Mdl LnAcres]],-2)</f>
        <v>29800</v>
      </c>
      <c r="BE2217" s="25">
        <f>Inventory[[#This Row],[Unadj Res Value]]+Inventory[[#This Row],[Unadj Det Value]]+Inventory[[#This Row],[Unadj Land Value]]</f>
        <v>398600</v>
      </c>
      <c r="BF2217" s="36">
        <f>(Inventory[[#This Row],[Unadj Total Value]]-Inventory[[#This Row],[24Final]])/Inventory[[#This Row],[24Final]]</f>
        <v>6.8060021436227219E-2</v>
      </c>
      <c r="BG2217" s="25">
        <f>VLOOKUP(Inventory[[#This Row],[Nbhd]],Lookups!$Q$2:$T$4,4,FALSE)</f>
        <v>0.99970000000000003</v>
      </c>
      <c r="BH2217" s="25">
        <f>VLOOKUP(Inventory[[#This Row],[Qlty]],Lookups!$O$7:$R$21,4,FALSE)</f>
        <v>1.0067999999999999</v>
      </c>
      <c r="BI2217" s="25">
        <f>VLOOKUP(Inventory[[#This Row],[Cnd]],Lookups!$T$7:$W$16,4,FALSE)</f>
        <v>0.99650000000000005</v>
      </c>
      <c r="BJ2217" s="25">
        <f>VLOOKUP(Inventory[[#This Row],[LivArea Range]],Lookups!$T$25:$W$37,4,FALSE)</f>
        <v>0.98919999999999997</v>
      </c>
      <c r="BK2217" s="25">
        <f>VLOOKUP(Inventory[[#This Row],[Decade]],Lookups!$O$25:$R$42,4,FALSE)</f>
        <v>0.96040000000000003</v>
      </c>
      <c r="BL2217" s="25">
        <f>Inventory[[#This Row],[Nbhd Adj]]*0.95</f>
        <v>0.94971499999999998</v>
      </c>
      <c r="BM2217" s="25">
        <f>Inventory[[#This Row],[Nbhd Adj]]*Inventory[[#This Row],[Quality Adj]]*Inventory[[#This Row],[Condition Adj]]*Inventory[[#This Row],[Living Area Adj]]*Inventory[[#This Row],[Decade Adj]]*0.95</f>
        <v>0.90521150770515979</v>
      </c>
      <c r="BN2217" s="25">
        <f>ROUND(SUM(Inventory[[#This Row],[Mdl Qlty]:[Mdl WdDeck]])+Inventory[[#This Row],[Mdl Res Intercept]]*Inventory[[#This Row],[Res Adj ]],-2)</f>
        <v>360200</v>
      </c>
      <c r="BO2217" s="25">
        <f>ROUND(Inventory[[#This Row],[25Det]]*Inventory[[#This Row],[Det/Nbhd Adj]],-2)</f>
        <v>8200</v>
      </c>
      <c r="BP2217" s="25">
        <f>Inventory[[#This Row],[Adjusted Res]]+Inventory[[#This Row],[Adj Det ]]</f>
        <v>368400</v>
      </c>
      <c r="BQ2217" s="25">
        <f>ROUND((Inventory[[#This Row],[Mdl Land Intercept]]+Inventory[[#This Row],[Mdl LnAcres]])*Inventory[[#This Row],[Det/Nbhd Adj]],-2)</f>
        <v>28300</v>
      </c>
      <c r="BR2217" s="25">
        <f>Inventory[[#This Row],[Adjusted Impr Total]]+Inventory[[#This Row],[Adjusted Land Total]]</f>
        <v>396700</v>
      </c>
      <c r="BS2217" s="36">
        <f>IFERROR((Inventory[[#This Row],[Adjusted Impr Total]]-Inventory[[#This Row],[24Bldg]])/Inventory[[#This Row],[24Bldg]],0)</f>
        <v>0.13423645320197045</v>
      </c>
      <c r="BT2217" s="36">
        <f>(Inventory[[#This Row],[Adjusted Land Total]]-Inventory[[#This Row],[24Lnd]])/Inventory[[#This Row],[24Lnd]]</f>
        <v>-0.41528925619834711</v>
      </c>
      <c r="BU2217" s="36">
        <f>(Inventory[[#This Row],[Adjusted Total]]-Inventory[[#This Row],[24Final]])/Inventory[[#This Row],[24Final]]</f>
        <v>6.2968917470525188E-2</v>
      </c>
    </row>
    <row r="2218" spans="1:73" x14ac:dyDescent="0.3">
      <c r="A2218" s="25">
        <v>2025</v>
      </c>
      <c r="B2218" s="26" t="s">
        <v>2396</v>
      </c>
      <c r="C2218" s="26">
        <f>LN(Inventory[[#This Row],[Acres]])</f>
        <v>-0.75502258427803282</v>
      </c>
      <c r="D2218" s="25">
        <v>0.47</v>
      </c>
      <c r="E2218" s="31"/>
      <c r="F2218" s="26" t="s">
        <v>537</v>
      </c>
      <c r="G2218" s="26" t="s">
        <v>126</v>
      </c>
      <c r="H2218" s="26" t="s">
        <v>349</v>
      </c>
      <c r="I2218" s="26" t="s">
        <v>538</v>
      </c>
      <c r="J2218" s="26" t="s">
        <v>539</v>
      </c>
      <c r="K2218" s="26" t="s">
        <v>269</v>
      </c>
      <c r="L2218" s="26" t="s">
        <v>205</v>
      </c>
      <c r="M2218" s="26" t="s">
        <v>303</v>
      </c>
      <c r="N2218" s="26">
        <v>110</v>
      </c>
      <c r="O2218" s="26">
        <f>2024-Inventory[[#This Row],[YrBlt]]</f>
        <v>109</v>
      </c>
      <c r="P2218" s="26">
        <f>2024-Inventory[[#This Row],[EffYr]]</f>
        <v>61</v>
      </c>
      <c r="Q2218" s="25">
        <v>1915</v>
      </c>
      <c r="R2218" s="25">
        <v>1963</v>
      </c>
      <c r="S2218" s="25">
        <v>1444</v>
      </c>
      <c r="T2218" s="32">
        <v>729</v>
      </c>
      <c r="U2218" s="25">
        <v>1584</v>
      </c>
      <c r="V2218" s="25">
        <f>Inventory[[#This Row],[Bsmt]]-Inventory[[#This Row],[FnBsmt]]</f>
        <v>1584</v>
      </c>
      <c r="W2218" s="31"/>
      <c r="X2218" s="27"/>
      <c r="Y2218" s="27">
        <f>Inventory[[#This Row],[MainFn]]+Inventory[[#This Row],[UpprFn]]+Inventory[[#This Row],[FnBsmt]]+Inventory[[#This Row],[AddFn]]</f>
        <v>2173</v>
      </c>
      <c r="Z2218" s="27">
        <v>2500</v>
      </c>
      <c r="AA2218" s="25">
        <v>5</v>
      </c>
      <c r="AB2218" s="27"/>
      <c r="AC2218" s="31"/>
      <c r="AD2218" s="31"/>
      <c r="AE2218" s="27"/>
      <c r="AF2218" s="27"/>
      <c r="AG2218" s="27"/>
      <c r="AH2218" s="27"/>
      <c r="AI2218" s="25">
        <v>326512</v>
      </c>
      <c r="AJ2218" s="25">
        <v>199172</v>
      </c>
      <c r="AK2218" s="25">
        <v>11109</v>
      </c>
      <c r="AL2218" s="25">
        <v>403800</v>
      </c>
      <c r="AM2218" s="25">
        <v>88200</v>
      </c>
      <c r="AN2218" s="25">
        <v>315600</v>
      </c>
      <c r="AO2218" s="25">
        <v>0</v>
      </c>
      <c r="AP2218" s="25">
        <f>Lookups!$B$56*0</f>
        <v>0</v>
      </c>
      <c r="AQ2218" s="25">
        <f>Lookups!$B$56*1</f>
        <v>89850.625589999996</v>
      </c>
      <c r="AR2218" s="25">
        <f>Lookups!$B$57*Inventory[[#This Row],[LnAcres]]</f>
        <v>-23899.949781097919</v>
      </c>
      <c r="AS2218" s="25">
        <f>VLOOKUP(Inventory[[#This Row],[Qlty]],Lookups!$A$62:$E$75,2,FALSE)</f>
        <v>0</v>
      </c>
      <c r="AT2218" s="25">
        <f>VLOOKUP(Inventory[[#This Row],[Cnd]],Lookups!$A$76:$E$84,2,FALSE)</f>
        <v>197752.34721000001</v>
      </c>
      <c r="AU2218" s="25">
        <f>Inventory[[#This Row],[EffAge]]*Lookups!$B$85</f>
        <v>-13605.7816305</v>
      </c>
      <c r="AV2218" s="25">
        <f>Inventory[[#This Row],[MainFn]]*Lookups!$B$86</f>
        <v>71346.119302388004</v>
      </c>
      <c r="AW2218" s="25">
        <f>Inventory[[#This Row],[UpprFn]]*Lookups!$B$87</f>
        <v>32649.302265668997</v>
      </c>
      <c r="AX2218" s="25">
        <f>Inventory[[#This Row],[AddFn]]*Lookups!$B$88</f>
        <v>0</v>
      </c>
      <c r="AY2218" s="25">
        <f>Inventory[[#This Row],[Bsmt]]*Lookups!$B$89</f>
        <v>46065.722071247998</v>
      </c>
      <c r="AZ2218" s="25">
        <f>Inventory[[#This Row],[Fixtures]]*Lookups!$B$90</f>
        <v>18960.110526</v>
      </c>
      <c r="BA2218" s="25">
        <f>Inventory[[#This Row],[WdDeck]]*Lookups!$B$91</f>
        <v>0</v>
      </c>
      <c r="BB2218" s="25">
        <f>ROUND(Inventory[[#This Row],[25Det]],-2)</f>
        <v>11100</v>
      </c>
      <c r="BC2218" s="25">
        <f>ROUND(SUM(Inventory[[#This Row],[Mdl Qlty]:[Mdl WdDeck]])+Inventory[[#This Row],[Mdl Res Intercept]],-2)</f>
        <v>353200</v>
      </c>
      <c r="BD2218" s="25">
        <f>ROUND(Inventory[[#This Row],[Mdl Land Intercept]]+Inventory[[#This Row],[Mdl LnAcres]],-2)</f>
        <v>66000</v>
      </c>
      <c r="BE2218" s="25">
        <f>Inventory[[#This Row],[Unadj Res Value]]+Inventory[[#This Row],[Unadj Det Value]]+Inventory[[#This Row],[Unadj Land Value]]</f>
        <v>430300</v>
      </c>
      <c r="BF2218" s="36">
        <f>(Inventory[[#This Row],[Unadj Total Value]]-Inventory[[#This Row],[24Final]])/Inventory[[#This Row],[24Final]]</f>
        <v>6.5626547795938586E-2</v>
      </c>
      <c r="BG2218" s="25">
        <f>VLOOKUP(Inventory[[#This Row],[Nbhd]],Lookups!$Q$2:$T$4,4,FALSE)</f>
        <v>0.99970000000000003</v>
      </c>
      <c r="BH2218" s="25">
        <f>VLOOKUP(Inventory[[#This Row],[Qlty]],Lookups!$O$7:$R$21,4,FALSE)</f>
        <v>0.99180000000000001</v>
      </c>
      <c r="BI2218" s="25">
        <f>VLOOKUP(Inventory[[#This Row],[Cnd]],Lookups!$T$7:$W$16,4,FALSE)</f>
        <v>0.99650000000000005</v>
      </c>
      <c r="BJ2218" s="25">
        <f>VLOOKUP(Inventory[[#This Row],[LivArea Range]],Lookups!$T$25:$W$37,4,FALSE)</f>
        <v>0.98919999999999997</v>
      </c>
      <c r="BK2218" s="25">
        <f>VLOOKUP(Inventory[[#This Row],[Decade]],Lookups!$O$25:$R$42,4,FALSE)</f>
        <v>0.96040000000000003</v>
      </c>
      <c r="BL2218" s="25">
        <f>Inventory[[#This Row],[Nbhd Adj]]*0.95</f>
        <v>0.94971499999999998</v>
      </c>
      <c r="BM2218" s="25">
        <f>Inventory[[#This Row],[Nbhd Adj]]*Inventory[[#This Row],[Quality Adj]]*Inventory[[#This Row],[Condition Adj]]*Inventory[[#This Row],[Living Area Adj]]*Inventory[[#This Row],[Decade Adj]]*0.95</f>
        <v>0.89172504304924294</v>
      </c>
      <c r="BN2218" s="25">
        <f>ROUND(SUM(Inventory[[#This Row],[Mdl Qlty]:[Mdl WdDeck]])+Inventory[[#This Row],[Mdl Res Intercept]]*Inventory[[#This Row],[Res Adj ]],-2)</f>
        <v>353200</v>
      </c>
      <c r="BO2218" s="25">
        <f>ROUND(Inventory[[#This Row],[25Det]]*Inventory[[#This Row],[Det/Nbhd Adj]],-2)</f>
        <v>10600</v>
      </c>
      <c r="BP2218" s="25">
        <f>Inventory[[#This Row],[Adjusted Res]]+Inventory[[#This Row],[Adj Det ]]</f>
        <v>363800</v>
      </c>
      <c r="BQ2218" s="25">
        <f>ROUND((Inventory[[#This Row],[Mdl Land Intercept]]+Inventory[[#This Row],[Mdl LnAcres]])*Inventory[[#This Row],[Det/Nbhd Adj]],-2)</f>
        <v>62600</v>
      </c>
      <c r="BR2218" s="25">
        <f>Inventory[[#This Row],[Adjusted Impr Total]]+Inventory[[#This Row],[Adjusted Land Total]]</f>
        <v>426400</v>
      </c>
      <c r="BS2218" s="36">
        <f>IFERROR((Inventory[[#This Row],[Adjusted Impr Total]]-Inventory[[#This Row],[24Bldg]])/Inventory[[#This Row],[24Bldg]],0)</f>
        <v>0.15272496831432192</v>
      </c>
      <c r="BT2218" s="36">
        <f>(Inventory[[#This Row],[Adjusted Land Total]]-Inventory[[#This Row],[24Lnd]])/Inventory[[#This Row],[24Lnd]]</f>
        <v>-0.29024943310657597</v>
      </c>
      <c r="BU2218" s="36">
        <f>(Inventory[[#This Row],[Adjusted Total]]-Inventory[[#This Row],[24Final]])/Inventory[[#This Row],[24Final]]</f>
        <v>5.5968301139177813E-2</v>
      </c>
    </row>
    <row r="2219" spans="1:73" x14ac:dyDescent="0.3">
      <c r="A2219" s="25">
        <v>2025</v>
      </c>
      <c r="B2219" s="26" t="s">
        <v>2325</v>
      </c>
      <c r="C2219" s="26">
        <f>LN(Inventory[[#This Row],[Acres]])</f>
        <v>-1.3470736479666092</v>
      </c>
      <c r="D2219" s="25">
        <v>0.26</v>
      </c>
      <c r="E2219" s="31"/>
      <c r="F2219" s="26" t="s">
        <v>537</v>
      </c>
      <c r="G2219" s="26" t="s">
        <v>126</v>
      </c>
      <c r="H2219" s="26" t="s">
        <v>349</v>
      </c>
      <c r="I2219" s="26" t="s">
        <v>538</v>
      </c>
      <c r="J2219" s="26" t="s">
        <v>539</v>
      </c>
      <c r="K2219" s="26" t="s">
        <v>269</v>
      </c>
      <c r="L2219" s="26" t="s">
        <v>302</v>
      </c>
      <c r="M2219" s="26" t="s">
        <v>303</v>
      </c>
      <c r="N2219" s="26">
        <v>110</v>
      </c>
      <c r="O2219" s="26">
        <f>2024-Inventory[[#This Row],[YrBlt]]</f>
        <v>109</v>
      </c>
      <c r="P2219" s="26">
        <f>2024-Inventory[[#This Row],[EffYr]]</f>
        <v>61</v>
      </c>
      <c r="Q2219" s="25">
        <v>1915</v>
      </c>
      <c r="R2219" s="25">
        <v>1963</v>
      </c>
      <c r="S2219" s="25">
        <v>1893</v>
      </c>
      <c r="T2219" s="32">
        <v>631</v>
      </c>
      <c r="U2219" s="25">
        <v>473</v>
      </c>
      <c r="V2219" s="25">
        <f>Inventory[[#This Row],[Bsmt]]-Inventory[[#This Row],[FnBsmt]]</f>
        <v>473</v>
      </c>
      <c r="W2219" s="31"/>
      <c r="X2219" s="27"/>
      <c r="Y2219" s="27">
        <f>Inventory[[#This Row],[MainFn]]+Inventory[[#This Row],[UpprFn]]+Inventory[[#This Row],[FnBsmt]]+Inventory[[#This Row],[AddFn]]</f>
        <v>2524</v>
      </c>
      <c r="Z2219" s="27">
        <v>3000</v>
      </c>
      <c r="AA2219" s="25">
        <v>10</v>
      </c>
      <c r="AB2219" s="27"/>
      <c r="AC2219" s="31"/>
      <c r="AD2219" s="27"/>
      <c r="AE2219" s="27"/>
      <c r="AF2219" s="27"/>
      <c r="AG2219" s="27"/>
      <c r="AH2219" s="27"/>
      <c r="AI2219" s="25">
        <v>462835</v>
      </c>
      <c r="AJ2219" s="25">
        <v>282329</v>
      </c>
      <c r="AK2219" s="25">
        <v>0</v>
      </c>
      <c r="AL2219" s="25">
        <v>409700</v>
      </c>
      <c r="AM2219" s="25">
        <v>67600</v>
      </c>
      <c r="AN2219" s="25">
        <v>342100</v>
      </c>
      <c r="AO2219" s="25">
        <v>0</v>
      </c>
      <c r="AP2219" s="25">
        <f>Lookups!$B$56*0</f>
        <v>0</v>
      </c>
      <c r="AQ2219" s="25">
        <f>Lookups!$B$56*1</f>
        <v>89850.625589999996</v>
      </c>
      <c r="AR2219" s="25">
        <f>Lookups!$B$57*Inventory[[#This Row],[LnAcres]]</f>
        <v>-42641.098701210125</v>
      </c>
      <c r="AS2219" s="25">
        <f>VLOOKUP(Inventory[[#This Row],[Qlty]],Lookups!$A$62:$E$75,2,FALSE)</f>
        <v>29814.093161000001</v>
      </c>
      <c r="AT2219" s="25">
        <f>VLOOKUP(Inventory[[#This Row],[Cnd]],Lookups!$A$76:$E$84,2,FALSE)</f>
        <v>197752.34721000001</v>
      </c>
      <c r="AU2219" s="25">
        <f>Inventory[[#This Row],[EffAge]]*Lookups!$B$85</f>
        <v>-13605.7816305</v>
      </c>
      <c r="AV2219" s="25">
        <f>Inventory[[#This Row],[MainFn]]*Lookups!$B$86</f>
        <v>93530.612077161</v>
      </c>
      <c r="AW2219" s="25">
        <f>Inventory[[#This Row],[UpprFn]]*Lookups!$B$87</f>
        <v>28260.232825290997</v>
      </c>
      <c r="AX2219" s="25">
        <f>Inventory[[#This Row],[AddFn]]*Lookups!$B$88</f>
        <v>0</v>
      </c>
      <c r="AY2219" s="25">
        <f>Inventory[[#This Row],[Bsmt]]*Lookups!$B$89</f>
        <v>13755.736451830999</v>
      </c>
      <c r="AZ2219" s="25">
        <f>Inventory[[#This Row],[Fixtures]]*Lookups!$B$90</f>
        <v>37920.221052000001</v>
      </c>
      <c r="BA2219" s="25">
        <f>Inventory[[#This Row],[WdDeck]]*Lookups!$B$91</f>
        <v>0</v>
      </c>
      <c r="BB2219" s="25">
        <f>ROUND(Inventory[[#This Row],[25Det]],-2)</f>
        <v>0</v>
      </c>
      <c r="BC2219" s="25">
        <f>ROUND(SUM(Inventory[[#This Row],[Mdl Qlty]:[Mdl WdDeck]])+Inventory[[#This Row],[Mdl Res Intercept]],-2)</f>
        <v>387400</v>
      </c>
      <c r="BD2219" s="25">
        <f>ROUND(Inventory[[#This Row],[Mdl Land Intercept]]+Inventory[[#This Row],[Mdl LnAcres]],-2)</f>
        <v>47200</v>
      </c>
      <c r="BE2219" s="25">
        <f>Inventory[[#This Row],[Unadj Res Value]]+Inventory[[#This Row],[Unadj Det Value]]+Inventory[[#This Row],[Unadj Land Value]]</f>
        <v>434600</v>
      </c>
      <c r="BF2219" s="36">
        <f>(Inventory[[#This Row],[Unadj Total Value]]-Inventory[[#This Row],[24Final]])/Inventory[[#This Row],[24Final]]</f>
        <v>6.0776177690993409E-2</v>
      </c>
      <c r="BG2219" s="25">
        <f>VLOOKUP(Inventory[[#This Row],[Nbhd]],Lookups!$Q$2:$T$4,4,FALSE)</f>
        <v>0.99970000000000003</v>
      </c>
      <c r="BH2219" s="25">
        <f>VLOOKUP(Inventory[[#This Row],[Qlty]],Lookups!$O$7:$R$21,4,FALSE)</f>
        <v>1.0088999999999999</v>
      </c>
      <c r="BI2219" s="25">
        <f>VLOOKUP(Inventory[[#This Row],[Cnd]],Lookups!$T$7:$W$16,4,FALSE)</f>
        <v>0.99650000000000005</v>
      </c>
      <c r="BJ2219" s="25">
        <f>VLOOKUP(Inventory[[#This Row],[LivArea Range]],Lookups!$T$25:$W$37,4,FALSE)</f>
        <v>0.96179999999999999</v>
      </c>
      <c r="BK2219" s="25">
        <f>VLOOKUP(Inventory[[#This Row],[Decade]],Lookups!$O$25:$R$42,4,FALSE)</f>
        <v>0.96040000000000003</v>
      </c>
      <c r="BL2219" s="25">
        <f>Inventory[[#This Row],[Nbhd Adj]]*0.95</f>
        <v>0.94971499999999998</v>
      </c>
      <c r="BM2219" s="25">
        <f>Inventory[[#This Row],[Nbhd Adj]]*Inventory[[#This Row],[Quality Adj]]*Inventory[[#This Row],[Condition Adj]]*Inventory[[#This Row],[Living Area Adj]]*Inventory[[#This Row],[Decade Adj]]*0.95</f>
        <v>0.88197372376634775</v>
      </c>
      <c r="BN2219" s="25">
        <f>ROUND(SUM(Inventory[[#This Row],[Mdl Qlty]:[Mdl WdDeck]])+Inventory[[#This Row],[Mdl Res Intercept]]*Inventory[[#This Row],[Res Adj ]],-2)</f>
        <v>387400</v>
      </c>
      <c r="BO2219" s="25">
        <f>ROUND(Inventory[[#This Row],[25Det]]*Inventory[[#This Row],[Det/Nbhd Adj]],-2)</f>
        <v>0</v>
      </c>
      <c r="BP2219" s="25">
        <f>Inventory[[#This Row],[Adjusted Res]]+Inventory[[#This Row],[Adj Det ]]</f>
        <v>387400</v>
      </c>
      <c r="BQ2219" s="25">
        <f>ROUND((Inventory[[#This Row],[Mdl Land Intercept]]+Inventory[[#This Row],[Mdl LnAcres]])*Inventory[[#This Row],[Det/Nbhd Adj]],-2)</f>
        <v>44800</v>
      </c>
      <c r="BR2219" s="25">
        <f>Inventory[[#This Row],[Adjusted Impr Total]]+Inventory[[#This Row],[Adjusted Land Total]]</f>
        <v>432200</v>
      </c>
      <c r="BS2219" s="36">
        <f>IFERROR((Inventory[[#This Row],[Adjusted Impr Total]]-Inventory[[#This Row],[24Bldg]])/Inventory[[#This Row],[24Bldg]],0)</f>
        <v>0.13241742180648933</v>
      </c>
      <c r="BT2219" s="36">
        <f>(Inventory[[#This Row],[Adjusted Land Total]]-Inventory[[#This Row],[24Lnd]])/Inventory[[#This Row],[24Lnd]]</f>
        <v>-0.33727810650887574</v>
      </c>
      <c r="BU2219" s="36">
        <f>(Inventory[[#This Row],[Adjusted Total]]-Inventory[[#This Row],[24Final]])/Inventory[[#This Row],[24Final]]</f>
        <v>5.4918232853307297E-2</v>
      </c>
    </row>
    <row r="2220" spans="1:73" x14ac:dyDescent="0.3">
      <c r="A2220" s="25">
        <v>2025</v>
      </c>
      <c r="B2220" s="26" t="s">
        <v>1987</v>
      </c>
      <c r="C2220" s="26">
        <f>LN(Inventory[[#This Row],[Acres]])</f>
        <v>-1.8971199848858813</v>
      </c>
      <c r="D2220" s="25">
        <v>0.15</v>
      </c>
      <c r="E2220" s="31"/>
      <c r="F2220" s="26" t="s">
        <v>537</v>
      </c>
      <c r="G2220" s="26" t="s">
        <v>126</v>
      </c>
      <c r="H2220" s="26" t="s">
        <v>349</v>
      </c>
      <c r="I2220" s="26" t="s">
        <v>538</v>
      </c>
      <c r="J2220" s="26" t="s">
        <v>539</v>
      </c>
      <c r="K2220" s="26" t="s">
        <v>416</v>
      </c>
      <c r="L2220" s="26" t="s">
        <v>351</v>
      </c>
      <c r="M2220" s="26" t="s">
        <v>323</v>
      </c>
      <c r="N2220" s="26">
        <v>110</v>
      </c>
      <c r="O2220" s="26">
        <f>2024-Inventory[[#This Row],[YrBlt]]</f>
        <v>109</v>
      </c>
      <c r="P2220" s="26">
        <f>2024-Inventory[[#This Row],[EffYr]]</f>
        <v>61</v>
      </c>
      <c r="Q2220" s="25">
        <v>1915</v>
      </c>
      <c r="R2220" s="25">
        <v>1963</v>
      </c>
      <c r="S2220" s="25">
        <v>1140</v>
      </c>
      <c r="T2220" s="32">
        <v>1040</v>
      </c>
      <c r="U2220" s="25">
        <v>520</v>
      </c>
      <c r="V2220" s="25">
        <f>Inventory[[#This Row],[Bsmt]]-Inventory[[#This Row],[FnBsmt]]</f>
        <v>520</v>
      </c>
      <c r="W2220" s="25">
        <v>0</v>
      </c>
      <c r="X2220" s="27"/>
      <c r="Y2220" s="27">
        <f>Inventory[[#This Row],[MainFn]]+Inventory[[#This Row],[UpprFn]]+Inventory[[#This Row],[FnBsmt]]+Inventory[[#This Row],[AddFn]]</f>
        <v>2180</v>
      </c>
      <c r="Z2220" s="27">
        <v>2500</v>
      </c>
      <c r="AA2220" s="25">
        <v>7</v>
      </c>
      <c r="AB2220" s="27"/>
      <c r="AC2220" s="27"/>
      <c r="AD2220" s="31"/>
      <c r="AE2220" s="27"/>
      <c r="AF2220" s="27"/>
      <c r="AG2220" s="27"/>
      <c r="AH2220" s="27"/>
      <c r="AI2220" s="25">
        <v>326028</v>
      </c>
      <c r="AJ2220" s="25">
        <v>192357</v>
      </c>
      <c r="AK2220" s="25">
        <v>21503</v>
      </c>
      <c r="AL2220" s="25">
        <v>343300</v>
      </c>
      <c r="AM2220" s="25">
        <v>48400</v>
      </c>
      <c r="AN2220" s="25">
        <v>294900</v>
      </c>
      <c r="AO2220" s="25">
        <v>0</v>
      </c>
      <c r="AP2220" s="25">
        <f>Lookups!$B$56*0</f>
        <v>0</v>
      </c>
      <c r="AQ2220" s="25">
        <f>Lookups!$B$56*1</f>
        <v>89850.625589999996</v>
      </c>
      <c r="AR2220" s="25">
        <f>Lookups!$B$57*Inventory[[#This Row],[LnAcres]]</f>
        <v>-60052.604136134301</v>
      </c>
      <c r="AS2220" s="25">
        <f>VLOOKUP(Inventory[[#This Row],[Qlty]],Lookups!$A$62:$E$75,2,FALSE)</f>
        <v>21557.329055999999</v>
      </c>
      <c r="AT2220" s="25">
        <f>VLOOKUP(Inventory[[#This Row],[Cnd]],Lookups!$A$76:$E$84,2,FALSE)</f>
        <v>160472.20319</v>
      </c>
      <c r="AU2220" s="25">
        <f>Inventory[[#This Row],[EffAge]]*Lookups!$B$85</f>
        <v>-13605.7816305</v>
      </c>
      <c r="AV2220" s="25">
        <f>Inventory[[#This Row],[MainFn]]*Lookups!$B$86</f>
        <v>56325.883659780004</v>
      </c>
      <c r="AW2220" s="25">
        <f>Inventory[[#This Row],[UpprFn]]*Lookups!$B$87</f>
        <v>46577.87977544</v>
      </c>
      <c r="AX2220" s="25">
        <f>Inventory[[#This Row],[AddFn]]*Lookups!$B$88</f>
        <v>0</v>
      </c>
      <c r="AY2220" s="25">
        <f>Inventory[[#This Row],[Bsmt]]*Lookups!$B$89</f>
        <v>15122.585528439999</v>
      </c>
      <c r="AZ2220" s="25">
        <f>Inventory[[#This Row],[Fixtures]]*Lookups!$B$90</f>
        <v>26544.1547364</v>
      </c>
      <c r="BA2220" s="25">
        <f>Inventory[[#This Row],[WdDeck]]*Lookups!$B$91</f>
        <v>0</v>
      </c>
      <c r="BB2220" s="25">
        <f>ROUND(Inventory[[#This Row],[25Det]],-2)</f>
        <v>21500</v>
      </c>
      <c r="BC2220" s="25">
        <f>ROUND(SUM(Inventory[[#This Row],[Mdl Qlty]:[Mdl WdDeck]])+Inventory[[#This Row],[Mdl Res Intercept]],-2)</f>
        <v>313000</v>
      </c>
      <c r="BD2220" s="25">
        <f>ROUND(Inventory[[#This Row],[Mdl Land Intercept]]+Inventory[[#This Row],[Mdl LnAcres]],-2)</f>
        <v>29800</v>
      </c>
      <c r="BE2220" s="25">
        <f>Inventory[[#This Row],[Unadj Res Value]]+Inventory[[#This Row],[Unadj Det Value]]+Inventory[[#This Row],[Unadj Land Value]]</f>
        <v>364300</v>
      </c>
      <c r="BF2220" s="36">
        <f>(Inventory[[#This Row],[Unadj Total Value]]-Inventory[[#This Row],[24Final]])/Inventory[[#This Row],[24Final]]</f>
        <v>6.1170987474512085E-2</v>
      </c>
      <c r="BG2220" s="25">
        <f>VLOOKUP(Inventory[[#This Row],[Nbhd]],Lookups!$Q$2:$T$4,4,FALSE)</f>
        <v>0.99970000000000003</v>
      </c>
      <c r="BH2220" s="25">
        <f>VLOOKUP(Inventory[[#This Row],[Qlty]],Lookups!$O$7:$R$21,4,FALSE)</f>
        <v>1.0067999999999999</v>
      </c>
      <c r="BI2220" s="25">
        <f>VLOOKUP(Inventory[[#This Row],[Cnd]],Lookups!$T$7:$W$16,4,FALSE)</f>
        <v>0.99729999999999996</v>
      </c>
      <c r="BJ2220" s="25">
        <f>VLOOKUP(Inventory[[#This Row],[LivArea Range]],Lookups!$T$25:$W$37,4,FALSE)</f>
        <v>0.98919999999999997</v>
      </c>
      <c r="BK2220" s="25">
        <f>VLOOKUP(Inventory[[#This Row],[Decade]],Lookups!$O$25:$R$42,4,FALSE)</f>
        <v>0.96040000000000003</v>
      </c>
      <c r="BL2220" s="25">
        <f>Inventory[[#This Row],[Nbhd Adj]]*0.95</f>
        <v>0.94971499999999998</v>
      </c>
      <c r="BM2220" s="25">
        <f>Inventory[[#This Row],[Nbhd Adj]]*Inventory[[#This Row],[Quality Adj]]*Inventory[[#This Row],[Condition Adj]]*Inventory[[#This Row],[Living Area Adj]]*Inventory[[#This Row],[Decade Adj]]*0.95</f>
        <v>0.90593822040577598</v>
      </c>
      <c r="BN2220" s="25">
        <f>ROUND(SUM(Inventory[[#This Row],[Mdl Qlty]:[Mdl WdDeck]])+Inventory[[#This Row],[Mdl Res Intercept]]*Inventory[[#This Row],[Res Adj ]],-2)</f>
        <v>313000</v>
      </c>
      <c r="BO2220" s="25">
        <f>ROUND(Inventory[[#This Row],[25Det]]*Inventory[[#This Row],[Det/Nbhd Adj]],-2)</f>
        <v>20400</v>
      </c>
      <c r="BP2220" s="25">
        <f>Inventory[[#This Row],[Adjusted Res]]+Inventory[[#This Row],[Adj Det ]]</f>
        <v>333400</v>
      </c>
      <c r="BQ2220" s="25">
        <f>ROUND((Inventory[[#This Row],[Mdl Land Intercept]]+Inventory[[#This Row],[Mdl LnAcres]])*Inventory[[#This Row],[Det/Nbhd Adj]],-2)</f>
        <v>28300</v>
      </c>
      <c r="BR2220" s="25">
        <f>Inventory[[#This Row],[Adjusted Impr Total]]+Inventory[[#This Row],[Adjusted Land Total]]</f>
        <v>361700</v>
      </c>
      <c r="BS2220" s="36">
        <f>IFERROR((Inventory[[#This Row],[Adjusted Impr Total]]-Inventory[[#This Row],[24Bldg]])/Inventory[[#This Row],[24Bldg]],0)</f>
        <v>0.13055272973889454</v>
      </c>
      <c r="BT2220" s="36">
        <f>(Inventory[[#This Row],[Adjusted Land Total]]-Inventory[[#This Row],[24Lnd]])/Inventory[[#This Row],[24Lnd]]</f>
        <v>-0.41528925619834711</v>
      </c>
      <c r="BU2220" s="36">
        <f>(Inventory[[#This Row],[Adjusted Total]]-Inventory[[#This Row],[24Final]])/Inventory[[#This Row],[24Final]]</f>
        <v>5.3597436644334404E-2</v>
      </c>
    </row>
    <row r="2221" spans="1:73" x14ac:dyDescent="0.3">
      <c r="A2221" s="25">
        <v>2025</v>
      </c>
      <c r="B2221" s="26" t="s">
        <v>1471</v>
      </c>
      <c r="C2221" s="26">
        <f>LN(Inventory[[#This Row],[Acres]])</f>
        <v>-0.94160853985844495</v>
      </c>
      <c r="D2221" s="25">
        <v>0.39</v>
      </c>
      <c r="E2221" s="31"/>
      <c r="F2221" s="26" t="s">
        <v>537</v>
      </c>
      <c r="G2221" s="26" t="s">
        <v>126</v>
      </c>
      <c r="H2221" s="26" t="s">
        <v>349</v>
      </c>
      <c r="I2221" s="26" t="s">
        <v>538</v>
      </c>
      <c r="J2221" s="26" t="s">
        <v>539</v>
      </c>
      <c r="K2221" s="26" t="s">
        <v>173</v>
      </c>
      <c r="L2221" s="26" t="s">
        <v>351</v>
      </c>
      <c r="M2221" s="26" t="s">
        <v>303</v>
      </c>
      <c r="N2221" s="26">
        <v>110</v>
      </c>
      <c r="O2221" s="26">
        <f>2024-Inventory[[#This Row],[YrBlt]]</f>
        <v>109</v>
      </c>
      <c r="P2221" s="26">
        <f>2024-Inventory[[#This Row],[EffYr]]</f>
        <v>61</v>
      </c>
      <c r="Q2221" s="25">
        <v>1915</v>
      </c>
      <c r="R2221" s="25">
        <v>1963</v>
      </c>
      <c r="S2221" s="25">
        <v>1469</v>
      </c>
      <c r="T2221" s="32">
        <v>1037</v>
      </c>
      <c r="U2221" s="25">
        <v>518</v>
      </c>
      <c r="V2221" s="25">
        <f>Inventory[[#This Row],[Bsmt]]-Inventory[[#This Row],[FnBsmt]]</f>
        <v>518</v>
      </c>
      <c r="W2221" s="31"/>
      <c r="X2221" s="27"/>
      <c r="Y2221" s="27">
        <f>Inventory[[#This Row],[MainFn]]+Inventory[[#This Row],[UpprFn]]+Inventory[[#This Row],[FnBsmt]]+Inventory[[#This Row],[AddFn]]</f>
        <v>2506</v>
      </c>
      <c r="Z2221" s="27">
        <v>3000</v>
      </c>
      <c r="AA2221" s="25">
        <v>8</v>
      </c>
      <c r="AB2221" s="32">
        <v>650</v>
      </c>
      <c r="AC2221" s="31"/>
      <c r="AD2221" s="27"/>
      <c r="AE2221" s="27"/>
      <c r="AF2221" s="27"/>
      <c r="AG2221" s="27"/>
      <c r="AH2221" s="27"/>
      <c r="AI2221" s="25">
        <v>404506</v>
      </c>
      <c r="AJ2221" s="25">
        <v>246749</v>
      </c>
      <c r="AK2221" s="25">
        <v>0</v>
      </c>
      <c r="AL2221" s="25">
        <v>405400</v>
      </c>
      <c r="AM2221" s="25">
        <v>81700</v>
      </c>
      <c r="AN2221" s="25">
        <v>323700</v>
      </c>
      <c r="AO2221" s="25">
        <v>0</v>
      </c>
      <c r="AP2221" s="25">
        <f>Lookups!$B$56*0</f>
        <v>0</v>
      </c>
      <c r="AQ2221" s="25">
        <f>Lookups!$B$56*1</f>
        <v>89850.625589999996</v>
      </c>
      <c r="AR2221" s="25">
        <f>Lookups!$B$57*Inventory[[#This Row],[LnAcres]]</f>
        <v>-29806.256507663158</v>
      </c>
      <c r="AS2221" s="25">
        <f>VLOOKUP(Inventory[[#This Row],[Qlty]],Lookups!$A$62:$E$75,2,FALSE)</f>
        <v>21557.329055999999</v>
      </c>
      <c r="AT2221" s="25">
        <f>VLOOKUP(Inventory[[#This Row],[Cnd]],Lookups!$A$76:$E$84,2,FALSE)</f>
        <v>197752.34721000001</v>
      </c>
      <c r="AU2221" s="25">
        <f>Inventory[[#This Row],[EffAge]]*Lookups!$B$85</f>
        <v>-13605.7816305</v>
      </c>
      <c r="AV2221" s="25">
        <f>Inventory[[#This Row],[MainFn]]*Lookups!$B$86</f>
        <v>72581.336049313002</v>
      </c>
      <c r="AW2221" s="25">
        <f>Inventory[[#This Row],[UpprFn]]*Lookups!$B$87</f>
        <v>46443.520506856999</v>
      </c>
      <c r="AX2221" s="25">
        <f>Inventory[[#This Row],[AddFn]]*Lookups!$B$88</f>
        <v>0</v>
      </c>
      <c r="AY2221" s="25">
        <f>Inventory[[#This Row],[Bsmt]]*Lookups!$B$89</f>
        <v>15064.421737945999</v>
      </c>
      <c r="AZ2221" s="25">
        <f>Inventory[[#This Row],[Fixtures]]*Lookups!$B$90</f>
        <v>30336.176841600001</v>
      </c>
      <c r="BA2221" s="25">
        <f>Inventory[[#This Row],[WdDeck]]*Lookups!$B$91</f>
        <v>0</v>
      </c>
      <c r="BB2221" s="25">
        <f>ROUND(Inventory[[#This Row],[25Det]],-2)</f>
        <v>0</v>
      </c>
      <c r="BC2221" s="25">
        <f>ROUND(SUM(Inventory[[#This Row],[Mdl Qlty]:[Mdl WdDeck]])+Inventory[[#This Row],[Mdl Res Intercept]],-2)</f>
        <v>370100</v>
      </c>
      <c r="BD2221" s="25">
        <f>ROUND(Inventory[[#This Row],[Mdl Land Intercept]]+Inventory[[#This Row],[Mdl LnAcres]],-2)</f>
        <v>60000</v>
      </c>
      <c r="BE2221" s="25">
        <f>Inventory[[#This Row],[Unadj Res Value]]+Inventory[[#This Row],[Unadj Det Value]]+Inventory[[#This Row],[Unadj Land Value]]</f>
        <v>430100</v>
      </c>
      <c r="BF2221" s="36">
        <f>(Inventory[[#This Row],[Unadj Total Value]]-Inventory[[#This Row],[24Final]])/Inventory[[#This Row],[24Final]]</f>
        <v>6.0927479033053775E-2</v>
      </c>
      <c r="BG2221" s="25">
        <f>VLOOKUP(Inventory[[#This Row],[Nbhd]],Lookups!$Q$2:$T$4,4,FALSE)</f>
        <v>0.99970000000000003</v>
      </c>
      <c r="BH2221" s="25">
        <f>VLOOKUP(Inventory[[#This Row],[Qlty]],Lookups!$O$7:$R$21,4,FALSE)</f>
        <v>1.0067999999999999</v>
      </c>
      <c r="BI2221" s="25">
        <f>VLOOKUP(Inventory[[#This Row],[Cnd]],Lookups!$T$7:$W$16,4,FALSE)</f>
        <v>0.99650000000000005</v>
      </c>
      <c r="BJ2221" s="25">
        <f>VLOOKUP(Inventory[[#This Row],[LivArea Range]],Lookups!$T$25:$W$37,4,FALSE)</f>
        <v>0.96179999999999999</v>
      </c>
      <c r="BK2221" s="25">
        <f>VLOOKUP(Inventory[[#This Row],[Decade]],Lookups!$O$25:$R$42,4,FALSE)</f>
        <v>0.96040000000000003</v>
      </c>
      <c r="BL2221" s="25">
        <f>Inventory[[#This Row],[Nbhd Adj]]*0.95</f>
        <v>0.94971499999999998</v>
      </c>
      <c r="BM2221" s="25">
        <f>Inventory[[#This Row],[Nbhd Adj]]*Inventory[[#This Row],[Quality Adj]]*Inventory[[#This Row],[Condition Adj]]*Inventory[[#This Row],[Living Area Adj]]*Inventory[[#This Row],[Decade Adj]]*0.95</f>
        <v>0.88013791762113103</v>
      </c>
      <c r="BN2221" s="25">
        <f>ROUND(SUM(Inventory[[#This Row],[Mdl Qlty]:[Mdl WdDeck]])+Inventory[[#This Row],[Mdl Res Intercept]]*Inventory[[#This Row],[Res Adj ]],-2)</f>
        <v>370100</v>
      </c>
      <c r="BO2221" s="25">
        <f>ROUND(Inventory[[#This Row],[25Det]]*Inventory[[#This Row],[Det/Nbhd Adj]],-2)</f>
        <v>0</v>
      </c>
      <c r="BP2221" s="25">
        <f>Inventory[[#This Row],[Adjusted Res]]+Inventory[[#This Row],[Adj Det ]]</f>
        <v>370100</v>
      </c>
      <c r="BQ2221" s="25">
        <f>ROUND((Inventory[[#This Row],[Mdl Land Intercept]]+Inventory[[#This Row],[Mdl LnAcres]])*Inventory[[#This Row],[Det/Nbhd Adj]],-2)</f>
        <v>57000</v>
      </c>
      <c r="BR2221" s="25">
        <f>Inventory[[#This Row],[Adjusted Impr Total]]+Inventory[[#This Row],[Adjusted Land Total]]</f>
        <v>427100</v>
      </c>
      <c r="BS2221" s="36">
        <f>IFERROR((Inventory[[#This Row],[Adjusted Impr Total]]-Inventory[[#This Row],[24Bldg]])/Inventory[[#This Row],[24Bldg]],0)</f>
        <v>0.14334260117392647</v>
      </c>
      <c r="BT2221" s="36">
        <f>(Inventory[[#This Row],[Adjusted Land Total]]-Inventory[[#This Row],[24Lnd]])/Inventory[[#This Row],[24Lnd]]</f>
        <v>-0.30232558139534882</v>
      </c>
      <c r="BU2221" s="36">
        <f>(Inventory[[#This Row],[Adjusted Total]]-Inventory[[#This Row],[24Final]])/Inventory[[#This Row],[24Final]]</f>
        <v>5.3527380365071535E-2</v>
      </c>
    </row>
    <row r="2222" spans="1:73" x14ac:dyDescent="0.3">
      <c r="A2222" s="25">
        <v>2025</v>
      </c>
      <c r="B2222" s="26" t="s">
        <v>2078</v>
      </c>
      <c r="C2222" s="26">
        <f>LN(Inventory[[#This Row],[Acres]])</f>
        <v>-1.5141277326297755</v>
      </c>
      <c r="D2222" s="25">
        <v>0.22</v>
      </c>
      <c r="E2222" s="27"/>
      <c r="F2222" s="26" t="s">
        <v>537</v>
      </c>
      <c r="G2222" s="26" t="s">
        <v>126</v>
      </c>
      <c r="H2222" s="26" t="s">
        <v>349</v>
      </c>
      <c r="I2222" s="26" t="s">
        <v>538</v>
      </c>
      <c r="J2222" s="26" t="s">
        <v>539</v>
      </c>
      <c r="K2222" s="26" t="s">
        <v>269</v>
      </c>
      <c r="L2222" s="26" t="s">
        <v>302</v>
      </c>
      <c r="M2222" s="26" t="s">
        <v>323</v>
      </c>
      <c r="N2222" s="26">
        <v>110</v>
      </c>
      <c r="O2222" s="26">
        <f>2024-Inventory[[#This Row],[YrBlt]]</f>
        <v>109</v>
      </c>
      <c r="P2222" s="26">
        <f>2024-Inventory[[#This Row],[EffYr]]</f>
        <v>61</v>
      </c>
      <c r="Q2222" s="25">
        <v>1915</v>
      </c>
      <c r="R2222" s="25">
        <v>1963</v>
      </c>
      <c r="S2222" s="25">
        <v>1466</v>
      </c>
      <c r="T2222" s="32">
        <v>840</v>
      </c>
      <c r="U2222" s="32">
        <v>1466</v>
      </c>
      <c r="V2222" s="32">
        <f>Inventory[[#This Row],[Bsmt]]-Inventory[[#This Row],[FnBsmt]]</f>
        <v>1466</v>
      </c>
      <c r="W2222" s="27"/>
      <c r="X2222" s="27"/>
      <c r="Y2222" s="27">
        <f>Inventory[[#This Row],[MainFn]]+Inventory[[#This Row],[UpprFn]]+Inventory[[#This Row],[FnBsmt]]+Inventory[[#This Row],[AddFn]]</f>
        <v>2306</v>
      </c>
      <c r="Z2222" s="27">
        <v>2500</v>
      </c>
      <c r="AA2222" s="25">
        <v>8</v>
      </c>
      <c r="AB2222" s="27"/>
      <c r="AC2222" s="27"/>
      <c r="AD2222" s="27"/>
      <c r="AE2222" s="27"/>
      <c r="AF2222" s="27"/>
      <c r="AG2222" s="27"/>
      <c r="AH2222" s="27"/>
      <c r="AI2222" s="25">
        <v>438401</v>
      </c>
      <c r="AJ2222" s="25">
        <v>258657</v>
      </c>
      <c r="AK2222" s="25">
        <v>7465</v>
      </c>
      <c r="AL2222" s="25">
        <v>388900</v>
      </c>
      <c r="AM2222" s="25">
        <v>61700</v>
      </c>
      <c r="AN2222" s="25">
        <v>327200</v>
      </c>
      <c r="AO2222" s="25">
        <v>0</v>
      </c>
      <c r="AP2222" s="25">
        <f>Lookups!$B$56*0</f>
        <v>0</v>
      </c>
      <c r="AQ2222" s="25">
        <f>Lookups!$B$56*1</f>
        <v>89850.625589999996</v>
      </c>
      <c r="AR2222" s="25">
        <f>Lookups!$B$57*Inventory[[#This Row],[LnAcres]]</f>
        <v>-47929.131559187132</v>
      </c>
      <c r="AS2222" s="25">
        <f>VLOOKUP(Inventory[[#This Row],[Qlty]],Lookups!$A$62:$E$75,2,FALSE)</f>
        <v>29814.093161000001</v>
      </c>
      <c r="AT2222" s="25">
        <f>VLOOKUP(Inventory[[#This Row],[Cnd]],Lookups!$A$76:$E$84,2,FALSE)</f>
        <v>160472.20319</v>
      </c>
      <c r="AU2222" s="25">
        <f>Inventory[[#This Row],[EffAge]]*Lookups!$B$85</f>
        <v>-13605.7816305</v>
      </c>
      <c r="AV2222" s="25">
        <f>Inventory[[#This Row],[MainFn]]*Lookups!$B$86</f>
        <v>72433.110039681997</v>
      </c>
      <c r="AW2222" s="25">
        <f>Inventory[[#This Row],[UpprFn]]*Lookups!$B$87</f>
        <v>37620.595203240002</v>
      </c>
      <c r="AX2222" s="25">
        <f>Inventory[[#This Row],[AddFn]]*Lookups!$B$88</f>
        <v>0</v>
      </c>
      <c r="AY2222" s="25">
        <f>Inventory[[#This Row],[Bsmt]]*Lookups!$B$89</f>
        <v>42634.058432102</v>
      </c>
      <c r="AZ2222" s="25">
        <f>Inventory[[#This Row],[Fixtures]]*Lookups!$B$90</f>
        <v>30336.176841600001</v>
      </c>
      <c r="BA2222" s="25">
        <f>Inventory[[#This Row],[WdDeck]]*Lookups!$B$91</f>
        <v>0</v>
      </c>
      <c r="BB2222" s="25">
        <f>ROUND(Inventory[[#This Row],[25Det]],-2)</f>
        <v>7500</v>
      </c>
      <c r="BC2222" s="25">
        <f>ROUND(SUM(Inventory[[#This Row],[Mdl Qlty]:[Mdl WdDeck]])+Inventory[[#This Row],[Mdl Res Intercept]],-2)</f>
        <v>359700</v>
      </c>
      <c r="BD2222" s="25">
        <f>ROUND(Inventory[[#This Row],[Mdl Land Intercept]]+Inventory[[#This Row],[Mdl LnAcres]],-2)</f>
        <v>41900</v>
      </c>
      <c r="BE2222" s="25">
        <f>Inventory[[#This Row],[Unadj Res Value]]+Inventory[[#This Row],[Unadj Det Value]]+Inventory[[#This Row],[Unadj Land Value]]</f>
        <v>409100</v>
      </c>
      <c r="BF2222" s="36">
        <f>(Inventory[[#This Row],[Unadj Total Value]]-Inventory[[#This Row],[24Final]])/Inventory[[#This Row],[24Final]]</f>
        <v>5.1941373103625614E-2</v>
      </c>
      <c r="BG2222" s="25">
        <f>VLOOKUP(Inventory[[#This Row],[Nbhd]],Lookups!$Q$2:$T$4,4,FALSE)</f>
        <v>0.99970000000000003</v>
      </c>
      <c r="BH2222" s="25">
        <f>VLOOKUP(Inventory[[#This Row],[Qlty]],Lookups!$O$7:$R$21,4,FALSE)</f>
        <v>1.0088999999999999</v>
      </c>
      <c r="BI2222" s="25">
        <f>VLOOKUP(Inventory[[#This Row],[Cnd]],Lookups!$T$7:$W$16,4,FALSE)</f>
        <v>0.99729999999999996</v>
      </c>
      <c r="BJ2222" s="25">
        <f>VLOOKUP(Inventory[[#This Row],[LivArea Range]],Lookups!$T$25:$W$37,4,FALSE)</f>
        <v>0.98919999999999997</v>
      </c>
      <c r="BK2222" s="25">
        <f>VLOOKUP(Inventory[[#This Row],[Decade]],Lookups!$O$25:$R$42,4,FALSE)</f>
        <v>0.96040000000000003</v>
      </c>
      <c r="BL2222" s="25">
        <f>Inventory[[#This Row],[Nbhd Adj]]*0.95</f>
        <v>0.94971499999999998</v>
      </c>
      <c r="BM2222" s="25">
        <f>Inventory[[#This Row],[Nbhd Adj]]*Inventory[[#This Row],[Quality Adj]]*Inventory[[#This Row],[Condition Adj]]*Inventory[[#This Row],[Living Area Adj]]*Inventory[[#This Row],[Decade Adj]]*0.95</f>
        <v>0.90782784124690863</v>
      </c>
      <c r="BN2222" s="25">
        <f>ROUND(SUM(Inventory[[#This Row],[Mdl Qlty]:[Mdl WdDeck]])+Inventory[[#This Row],[Mdl Res Intercept]]*Inventory[[#This Row],[Res Adj ]],-2)</f>
        <v>359700</v>
      </c>
      <c r="BO2222" s="25">
        <f>ROUND(Inventory[[#This Row],[25Det]]*Inventory[[#This Row],[Det/Nbhd Adj]],-2)</f>
        <v>7100</v>
      </c>
      <c r="BP2222" s="25">
        <f>Inventory[[#This Row],[Adjusted Res]]+Inventory[[#This Row],[Adj Det ]]</f>
        <v>366800</v>
      </c>
      <c r="BQ2222" s="25">
        <f>ROUND((Inventory[[#This Row],[Mdl Land Intercept]]+Inventory[[#This Row],[Mdl LnAcres]])*Inventory[[#This Row],[Det/Nbhd Adj]],-2)</f>
        <v>39800</v>
      </c>
      <c r="BR2222" s="25">
        <f>Inventory[[#This Row],[Adjusted Impr Total]]+Inventory[[#This Row],[Adjusted Land Total]]</f>
        <v>406600</v>
      </c>
      <c r="BS2222" s="36">
        <f>IFERROR((Inventory[[#This Row],[Adjusted Impr Total]]-Inventory[[#This Row],[24Bldg]])/Inventory[[#This Row],[24Bldg]],0)</f>
        <v>0.12102689486552567</v>
      </c>
      <c r="BT2222" s="36">
        <f>(Inventory[[#This Row],[Adjusted Land Total]]-Inventory[[#This Row],[24Lnd]])/Inventory[[#This Row],[24Lnd]]</f>
        <v>-0.35494327390599678</v>
      </c>
      <c r="BU2222" s="36">
        <f>(Inventory[[#This Row],[Adjusted Total]]-Inventory[[#This Row],[24Final]])/Inventory[[#This Row],[24Final]]</f>
        <v>4.5512985343275907E-2</v>
      </c>
    </row>
    <row r="2223" spans="1:73" x14ac:dyDescent="0.3">
      <c r="A2223" s="25">
        <v>2025</v>
      </c>
      <c r="B2223" s="26" t="s">
        <v>2704</v>
      </c>
      <c r="C2223" s="26">
        <f>LN(Inventory[[#This Row],[Acres]])</f>
        <v>-1.5141277326297755</v>
      </c>
      <c r="D2223" s="25">
        <v>0.22</v>
      </c>
      <c r="E2223" s="25">
        <v>9509</v>
      </c>
      <c r="F2223" s="26" t="s">
        <v>537</v>
      </c>
      <c r="G2223" s="26" t="s">
        <v>126</v>
      </c>
      <c r="H2223" s="26" t="s">
        <v>349</v>
      </c>
      <c r="I2223" s="26" t="s">
        <v>538</v>
      </c>
      <c r="J2223" s="26" t="s">
        <v>539</v>
      </c>
      <c r="K2223" s="26" t="s">
        <v>416</v>
      </c>
      <c r="L2223" s="26" t="s">
        <v>351</v>
      </c>
      <c r="M2223" s="26" t="s">
        <v>323</v>
      </c>
      <c r="N2223" s="26">
        <v>110</v>
      </c>
      <c r="O2223" s="26">
        <f>2024-Inventory[[#This Row],[YrBlt]]</f>
        <v>109</v>
      </c>
      <c r="P2223" s="26">
        <f>2024-Inventory[[#This Row],[EffYr]]</f>
        <v>61</v>
      </c>
      <c r="Q2223" s="25">
        <v>1915</v>
      </c>
      <c r="R2223" s="25">
        <v>1963</v>
      </c>
      <c r="S2223" s="25">
        <v>1201</v>
      </c>
      <c r="T2223" s="32">
        <v>611</v>
      </c>
      <c r="U2223" s="31"/>
      <c r="V2223" s="31">
        <f>Inventory[[#This Row],[Bsmt]]-Inventory[[#This Row],[FnBsmt]]</f>
        <v>0</v>
      </c>
      <c r="W2223" s="31"/>
      <c r="X2223" s="27"/>
      <c r="Y2223" s="27">
        <f>Inventory[[#This Row],[MainFn]]+Inventory[[#This Row],[UpprFn]]+Inventory[[#This Row],[FnBsmt]]+Inventory[[#This Row],[AddFn]]</f>
        <v>1812</v>
      </c>
      <c r="Z2223" s="27">
        <v>2000</v>
      </c>
      <c r="AA2223" s="25">
        <v>8</v>
      </c>
      <c r="AB2223" s="31"/>
      <c r="AC2223" s="27"/>
      <c r="AD2223" s="27"/>
      <c r="AE2223" s="27"/>
      <c r="AF2223" s="27"/>
      <c r="AG2223" s="27"/>
      <c r="AH2223" s="27"/>
      <c r="AI2223" s="25">
        <v>282183</v>
      </c>
      <c r="AJ2223" s="25">
        <v>166488</v>
      </c>
      <c r="AK2223" s="25">
        <v>0</v>
      </c>
      <c r="AL2223" s="25">
        <v>313900</v>
      </c>
      <c r="AM2223" s="25">
        <v>61700</v>
      </c>
      <c r="AN2223" s="25">
        <v>252200</v>
      </c>
      <c r="AO2223" s="25">
        <v>0</v>
      </c>
      <c r="AP2223" s="25">
        <f>Lookups!$B$56*0</f>
        <v>0</v>
      </c>
      <c r="AQ2223" s="25">
        <f>Lookups!$B$56*1</f>
        <v>89850.625589999996</v>
      </c>
      <c r="AR2223" s="25">
        <f>Lookups!$B$57*Inventory[[#This Row],[LnAcres]]</f>
        <v>-47929.131559187132</v>
      </c>
      <c r="AS2223" s="25">
        <f>VLOOKUP(Inventory[[#This Row],[Qlty]],Lookups!$A$62:$E$75,2,FALSE)</f>
        <v>21557.329055999999</v>
      </c>
      <c r="AT2223" s="25">
        <f>VLOOKUP(Inventory[[#This Row],[Cnd]],Lookups!$A$76:$E$84,2,FALSE)</f>
        <v>160472.20319</v>
      </c>
      <c r="AU2223" s="25">
        <f>Inventory[[#This Row],[EffAge]]*Lookups!$B$85</f>
        <v>-13605.7816305</v>
      </c>
      <c r="AV2223" s="25">
        <f>Inventory[[#This Row],[MainFn]]*Lookups!$B$86</f>
        <v>59339.812522277003</v>
      </c>
      <c r="AW2223" s="25">
        <f>Inventory[[#This Row],[UpprFn]]*Lookups!$B$87</f>
        <v>27364.504368071</v>
      </c>
      <c r="AX2223" s="25">
        <f>Inventory[[#This Row],[AddFn]]*Lookups!$B$88</f>
        <v>0</v>
      </c>
      <c r="AY2223" s="25">
        <f>Inventory[[#This Row],[Bsmt]]*Lookups!$B$89</f>
        <v>0</v>
      </c>
      <c r="AZ2223" s="25">
        <f>Inventory[[#This Row],[Fixtures]]*Lookups!$B$90</f>
        <v>30336.176841600001</v>
      </c>
      <c r="BA2223" s="25">
        <f>Inventory[[#This Row],[WdDeck]]*Lookups!$B$91</f>
        <v>0</v>
      </c>
      <c r="BB2223" s="25">
        <f>ROUND(Inventory[[#This Row],[25Det]],-2)</f>
        <v>0</v>
      </c>
      <c r="BC2223" s="25">
        <f>ROUND(SUM(Inventory[[#This Row],[Mdl Qlty]:[Mdl WdDeck]])+Inventory[[#This Row],[Mdl Res Intercept]],-2)</f>
        <v>285500</v>
      </c>
      <c r="BD2223" s="25">
        <f>ROUND(Inventory[[#This Row],[Mdl Land Intercept]]+Inventory[[#This Row],[Mdl LnAcres]],-2)</f>
        <v>41900</v>
      </c>
      <c r="BE2223" s="25">
        <f>Inventory[[#This Row],[Unadj Res Value]]+Inventory[[#This Row],[Unadj Det Value]]+Inventory[[#This Row],[Unadj Land Value]]</f>
        <v>327400</v>
      </c>
      <c r="BF2223" s="36">
        <f>(Inventory[[#This Row],[Unadj Total Value]]-Inventory[[#This Row],[24Final]])/Inventory[[#This Row],[24Final]]</f>
        <v>4.300732717425932E-2</v>
      </c>
      <c r="BG2223" s="25">
        <f>VLOOKUP(Inventory[[#This Row],[Nbhd]],Lookups!$Q$2:$T$4,4,FALSE)</f>
        <v>0.99970000000000003</v>
      </c>
      <c r="BH2223" s="25">
        <f>VLOOKUP(Inventory[[#This Row],[Qlty]],Lookups!$O$7:$R$21,4,FALSE)</f>
        <v>1.0067999999999999</v>
      </c>
      <c r="BI2223" s="25">
        <f>VLOOKUP(Inventory[[#This Row],[Cnd]],Lookups!$T$7:$W$16,4,FALSE)</f>
        <v>0.99729999999999996</v>
      </c>
      <c r="BJ2223" s="25">
        <f>VLOOKUP(Inventory[[#This Row],[LivArea Range]],Lookups!$T$25:$W$37,4,FALSE)</f>
        <v>1.0093000000000001</v>
      </c>
      <c r="BK2223" s="25">
        <f>VLOOKUP(Inventory[[#This Row],[Decade]],Lookups!$O$25:$R$42,4,FALSE)</f>
        <v>0.96040000000000003</v>
      </c>
      <c r="BL2223" s="25">
        <f>Inventory[[#This Row],[Nbhd Adj]]*0.95</f>
        <v>0.94971499999999998</v>
      </c>
      <c r="BM2223" s="25">
        <f>Inventory[[#This Row],[Nbhd Adj]]*Inventory[[#This Row],[Quality Adj]]*Inventory[[#This Row],[Condition Adj]]*Inventory[[#This Row],[Living Area Adj]]*Inventory[[#This Row],[Decade Adj]]*0.95</f>
        <v>0.92434638683335013</v>
      </c>
      <c r="BN2223" s="25">
        <f>ROUND(SUM(Inventory[[#This Row],[Mdl Qlty]:[Mdl WdDeck]])+Inventory[[#This Row],[Mdl Res Intercept]]*Inventory[[#This Row],[Res Adj ]],-2)</f>
        <v>285500</v>
      </c>
      <c r="BO2223" s="25">
        <f>ROUND(Inventory[[#This Row],[25Det]]*Inventory[[#This Row],[Det/Nbhd Adj]],-2)</f>
        <v>0</v>
      </c>
      <c r="BP2223" s="25">
        <f>Inventory[[#This Row],[Adjusted Res]]+Inventory[[#This Row],[Adj Det ]]</f>
        <v>285500</v>
      </c>
      <c r="BQ2223" s="25">
        <f>ROUND((Inventory[[#This Row],[Mdl Land Intercept]]+Inventory[[#This Row],[Mdl LnAcres]])*Inventory[[#This Row],[Det/Nbhd Adj]],-2)</f>
        <v>39800</v>
      </c>
      <c r="BR2223" s="25">
        <f>Inventory[[#This Row],[Adjusted Impr Total]]+Inventory[[#This Row],[Adjusted Land Total]]</f>
        <v>325300</v>
      </c>
      <c r="BS2223" s="36">
        <f>IFERROR((Inventory[[#This Row],[Adjusted Impr Total]]-Inventory[[#This Row],[24Bldg]])/Inventory[[#This Row],[24Bldg]],0)</f>
        <v>0.13203806502775575</v>
      </c>
      <c r="BT2223" s="36">
        <f>(Inventory[[#This Row],[Adjusted Land Total]]-Inventory[[#This Row],[24Lnd]])/Inventory[[#This Row],[24Lnd]]</f>
        <v>-0.35494327390599678</v>
      </c>
      <c r="BU2223" s="36">
        <f>(Inventory[[#This Row],[Adjusted Total]]-Inventory[[#This Row],[24Final]])/Inventory[[#This Row],[24Final]]</f>
        <v>3.6317298502707866E-2</v>
      </c>
    </row>
    <row r="2224" spans="1:73" x14ac:dyDescent="0.3">
      <c r="A2224" s="25">
        <v>2025</v>
      </c>
      <c r="B2224" s="26" t="s">
        <v>1207</v>
      </c>
      <c r="C2224" s="26">
        <f>LN(Inventory[[#This Row],[Acres]])</f>
        <v>-1.5141277326297755</v>
      </c>
      <c r="D2224" s="25">
        <v>0.22</v>
      </c>
      <c r="E2224" s="32">
        <v>9746</v>
      </c>
      <c r="F2224" s="26" t="s">
        <v>537</v>
      </c>
      <c r="G2224" s="26" t="s">
        <v>126</v>
      </c>
      <c r="H2224" s="26" t="s">
        <v>349</v>
      </c>
      <c r="I2224" s="26" t="s">
        <v>538</v>
      </c>
      <c r="J2224" s="26" t="s">
        <v>539</v>
      </c>
      <c r="K2224" s="26" t="s">
        <v>269</v>
      </c>
      <c r="L2224" s="26" t="s">
        <v>351</v>
      </c>
      <c r="M2224" s="26" t="s">
        <v>323</v>
      </c>
      <c r="N2224" s="26">
        <v>110</v>
      </c>
      <c r="O2224" s="26">
        <f>2024-Inventory[[#This Row],[YrBlt]]</f>
        <v>109</v>
      </c>
      <c r="P2224" s="26">
        <f>2024-Inventory[[#This Row],[EffYr]]</f>
        <v>61</v>
      </c>
      <c r="Q2224" s="25">
        <v>1915</v>
      </c>
      <c r="R2224" s="25">
        <v>1963</v>
      </c>
      <c r="S2224" s="25">
        <v>1307</v>
      </c>
      <c r="T2224" s="32">
        <v>660</v>
      </c>
      <c r="U2224" s="25">
        <v>1307</v>
      </c>
      <c r="V2224" s="25">
        <f>Inventory[[#This Row],[Bsmt]]-Inventory[[#This Row],[FnBsmt]]</f>
        <v>907</v>
      </c>
      <c r="W2224" s="25">
        <v>400</v>
      </c>
      <c r="X2224" s="27"/>
      <c r="Y2224" s="27">
        <f>Inventory[[#This Row],[MainFn]]+Inventory[[#This Row],[UpprFn]]+Inventory[[#This Row],[FnBsmt]]+Inventory[[#This Row],[AddFn]]</f>
        <v>2367</v>
      </c>
      <c r="Z2224" s="27">
        <v>2500</v>
      </c>
      <c r="AA2224" s="25">
        <v>5</v>
      </c>
      <c r="AB2224" s="27"/>
      <c r="AC2224" s="27"/>
      <c r="AD2224" s="31"/>
      <c r="AE2224" s="27"/>
      <c r="AF2224" s="27"/>
      <c r="AG2224" s="27"/>
      <c r="AH2224" s="27"/>
      <c r="AI2224" s="25">
        <v>341674</v>
      </c>
      <c r="AJ2224" s="25">
        <v>201588</v>
      </c>
      <c r="AK2224" s="25">
        <v>8141</v>
      </c>
      <c r="AL2224" s="25">
        <v>354400</v>
      </c>
      <c r="AM2224" s="25">
        <v>61700</v>
      </c>
      <c r="AN2224" s="25">
        <v>292700</v>
      </c>
      <c r="AO2224" s="25">
        <v>0</v>
      </c>
      <c r="AP2224" s="25">
        <f>Lookups!$B$56*0</f>
        <v>0</v>
      </c>
      <c r="AQ2224" s="25">
        <f>Lookups!$B$56*1</f>
        <v>89850.625589999996</v>
      </c>
      <c r="AR2224" s="25">
        <f>Lookups!$B$57*Inventory[[#This Row],[LnAcres]]</f>
        <v>-47929.131559187132</v>
      </c>
      <c r="AS2224" s="25">
        <f>VLOOKUP(Inventory[[#This Row],[Qlty]],Lookups!$A$62:$E$75,2,FALSE)</f>
        <v>21557.329055999999</v>
      </c>
      <c r="AT2224" s="25">
        <f>VLOOKUP(Inventory[[#This Row],[Cnd]],Lookups!$A$76:$E$84,2,FALSE)</f>
        <v>160472.20319</v>
      </c>
      <c r="AU2224" s="25">
        <f>Inventory[[#This Row],[EffAge]]*Lookups!$B$85</f>
        <v>-13605.7816305</v>
      </c>
      <c r="AV2224" s="25">
        <f>Inventory[[#This Row],[MainFn]]*Lookups!$B$86</f>
        <v>64577.131529238999</v>
      </c>
      <c r="AW2224" s="25">
        <f>Inventory[[#This Row],[UpprFn]]*Lookups!$B$87</f>
        <v>29559.03908826</v>
      </c>
      <c r="AX2224" s="25">
        <f>Inventory[[#This Row],[AddFn]]*Lookups!$B$88</f>
        <v>0</v>
      </c>
      <c r="AY2224" s="25">
        <f>Inventory[[#This Row],[Bsmt]]*Lookups!$B$89</f>
        <v>38010.037087828998</v>
      </c>
      <c r="AZ2224" s="25">
        <f>Inventory[[#This Row],[Fixtures]]*Lookups!$B$90</f>
        <v>18960.110526</v>
      </c>
      <c r="BA2224" s="25">
        <f>Inventory[[#This Row],[WdDeck]]*Lookups!$B$91</f>
        <v>0</v>
      </c>
      <c r="BB2224" s="25">
        <f>ROUND(Inventory[[#This Row],[25Det]],-2)</f>
        <v>8100</v>
      </c>
      <c r="BC2224" s="25">
        <f>ROUND(SUM(Inventory[[#This Row],[Mdl Qlty]:[Mdl WdDeck]])+Inventory[[#This Row],[Mdl Res Intercept]],-2)</f>
        <v>319500</v>
      </c>
      <c r="BD2224" s="25">
        <f>ROUND(Inventory[[#This Row],[Mdl Land Intercept]]+Inventory[[#This Row],[Mdl LnAcres]],-2)</f>
        <v>41900</v>
      </c>
      <c r="BE2224" s="25">
        <f>Inventory[[#This Row],[Unadj Res Value]]+Inventory[[#This Row],[Unadj Det Value]]+Inventory[[#This Row],[Unadj Land Value]]</f>
        <v>369500</v>
      </c>
      <c r="BF2224" s="36">
        <f>(Inventory[[#This Row],[Unadj Total Value]]-Inventory[[#This Row],[24Final]])/Inventory[[#This Row],[24Final]]</f>
        <v>4.2607223476297966E-2</v>
      </c>
      <c r="BG2224" s="25">
        <f>VLOOKUP(Inventory[[#This Row],[Nbhd]],Lookups!$Q$2:$T$4,4,FALSE)</f>
        <v>0.99970000000000003</v>
      </c>
      <c r="BH2224" s="25">
        <f>VLOOKUP(Inventory[[#This Row],[Qlty]],Lookups!$O$7:$R$21,4,FALSE)</f>
        <v>1.0067999999999999</v>
      </c>
      <c r="BI2224" s="25">
        <f>VLOOKUP(Inventory[[#This Row],[Cnd]],Lookups!$T$7:$W$16,4,FALSE)</f>
        <v>0.99729999999999996</v>
      </c>
      <c r="BJ2224" s="25">
        <f>VLOOKUP(Inventory[[#This Row],[LivArea Range]],Lookups!$T$25:$W$37,4,FALSE)</f>
        <v>0.98919999999999997</v>
      </c>
      <c r="BK2224" s="25">
        <f>VLOOKUP(Inventory[[#This Row],[Decade]],Lookups!$O$25:$R$42,4,FALSE)</f>
        <v>0.96040000000000003</v>
      </c>
      <c r="BL2224" s="25">
        <f>Inventory[[#This Row],[Nbhd Adj]]*0.95</f>
        <v>0.94971499999999998</v>
      </c>
      <c r="BM2224" s="25">
        <f>Inventory[[#This Row],[Nbhd Adj]]*Inventory[[#This Row],[Quality Adj]]*Inventory[[#This Row],[Condition Adj]]*Inventory[[#This Row],[Living Area Adj]]*Inventory[[#This Row],[Decade Adj]]*0.95</f>
        <v>0.90593822040577598</v>
      </c>
      <c r="BN2224" s="25">
        <f>ROUND(SUM(Inventory[[#This Row],[Mdl Qlty]:[Mdl WdDeck]])+Inventory[[#This Row],[Mdl Res Intercept]]*Inventory[[#This Row],[Res Adj ]],-2)</f>
        <v>319500</v>
      </c>
      <c r="BO2224" s="25">
        <f>ROUND(Inventory[[#This Row],[25Det]]*Inventory[[#This Row],[Det/Nbhd Adj]],-2)</f>
        <v>7700</v>
      </c>
      <c r="BP2224" s="25">
        <f>Inventory[[#This Row],[Adjusted Res]]+Inventory[[#This Row],[Adj Det ]]</f>
        <v>327200</v>
      </c>
      <c r="BQ2224" s="25">
        <f>ROUND((Inventory[[#This Row],[Mdl Land Intercept]]+Inventory[[#This Row],[Mdl LnAcres]])*Inventory[[#This Row],[Det/Nbhd Adj]],-2)</f>
        <v>39800</v>
      </c>
      <c r="BR2224" s="25">
        <f>Inventory[[#This Row],[Adjusted Impr Total]]+Inventory[[#This Row],[Adjusted Land Total]]</f>
        <v>367000</v>
      </c>
      <c r="BS2224" s="36">
        <f>IFERROR((Inventory[[#This Row],[Adjusted Impr Total]]-Inventory[[#This Row],[24Bldg]])/Inventory[[#This Row],[24Bldg]],0)</f>
        <v>0.11786812435941237</v>
      </c>
      <c r="BT2224" s="36">
        <f>(Inventory[[#This Row],[Adjusted Land Total]]-Inventory[[#This Row],[24Lnd]])/Inventory[[#This Row],[24Lnd]]</f>
        <v>-0.35494327390599678</v>
      </c>
      <c r="BU2224" s="36">
        <f>(Inventory[[#This Row],[Adjusted Total]]-Inventory[[#This Row],[24Final]])/Inventory[[#This Row],[24Final]]</f>
        <v>3.5553047404063204E-2</v>
      </c>
    </row>
    <row r="2225" spans="1:73" x14ac:dyDescent="0.3">
      <c r="A2225" s="25">
        <v>2025</v>
      </c>
      <c r="B2225" s="26" t="s">
        <v>1562</v>
      </c>
      <c r="C2225" s="26">
        <f>LN(Inventory[[#This Row],[Acres]])</f>
        <v>-1.4271163556401458</v>
      </c>
      <c r="D2225" s="25">
        <v>0.24</v>
      </c>
      <c r="E2225" s="32">
        <v>10322</v>
      </c>
      <c r="F2225" s="26" t="s">
        <v>537</v>
      </c>
      <c r="G2225" s="26" t="s">
        <v>126</v>
      </c>
      <c r="H2225" s="26" t="s">
        <v>349</v>
      </c>
      <c r="I2225" s="26" t="s">
        <v>538</v>
      </c>
      <c r="J2225" s="26" t="s">
        <v>539</v>
      </c>
      <c r="K2225" s="26" t="s">
        <v>242</v>
      </c>
      <c r="L2225" s="26" t="s">
        <v>351</v>
      </c>
      <c r="M2225" s="26" t="s">
        <v>323</v>
      </c>
      <c r="N2225" s="26">
        <v>110</v>
      </c>
      <c r="O2225" s="26">
        <f>2024-Inventory[[#This Row],[YrBlt]]</f>
        <v>109</v>
      </c>
      <c r="P2225" s="26">
        <f>2024-Inventory[[#This Row],[EffYr]]</f>
        <v>61</v>
      </c>
      <c r="Q2225" s="25">
        <v>1915</v>
      </c>
      <c r="R2225" s="25">
        <v>1963</v>
      </c>
      <c r="S2225" s="25">
        <v>1408</v>
      </c>
      <c r="T2225" s="27"/>
      <c r="U2225" s="25">
        <v>1116</v>
      </c>
      <c r="V2225" s="25">
        <f>Inventory[[#This Row],[Bsmt]]-Inventory[[#This Row],[FnBsmt]]</f>
        <v>266</v>
      </c>
      <c r="W2225" s="25">
        <v>850</v>
      </c>
      <c r="X2225" s="27"/>
      <c r="Y2225" s="27">
        <f>Inventory[[#This Row],[MainFn]]+Inventory[[#This Row],[UpprFn]]+Inventory[[#This Row],[FnBsmt]]+Inventory[[#This Row],[AddFn]]</f>
        <v>2258</v>
      </c>
      <c r="Z2225" s="27">
        <v>2500</v>
      </c>
      <c r="AA2225" s="25">
        <v>8</v>
      </c>
      <c r="AB2225" s="31"/>
      <c r="AC2225" s="27"/>
      <c r="AD2225" s="27"/>
      <c r="AE2225" s="27"/>
      <c r="AF2225" s="27"/>
      <c r="AG2225" s="27"/>
      <c r="AH2225" s="27"/>
      <c r="AI2225" s="25">
        <v>297575</v>
      </c>
      <c r="AJ2225" s="25">
        <v>175569</v>
      </c>
      <c r="AK2225" s="25">
        <v>6313</v>
      </c>
      <c r="AL2225" s="25">
        <v>341700</v>
      </c>
      <c r="AM2225" s="25">
        <v>64800</v>
      </c>
      <c r="AN2225" s="25">
        <v>276900</v>
      </c>
      <c r="AO2225" s="25">
        <v>0</v>
      </c>
      <c r="AP2225" s="25">
        <f>Lookups!$B$56*0</f>
        <v>0</v>
      </c>
      <c r="AQ2225" s="25">
        <f>Lookups!$B$56*1</f>
        <v>89850.625589999996</v>
      </c>
      <c r="AR2225" s="25">
        <f>Lookups!$B$57*Inventory[[#This Row],[LnAcres]]</f>
        <v>-45174.819855485119</v>
      </c>
      <c r="AS2225" s="25">
        <f>VLOOKUP(Inventory[[#This Row],[Qlty]],Lookups!$A$62:$E$75,2,FALSE)</f>
        <v>21557.329055999999</v>
      </c>
      <c r="AT2225" s="25">
        <f>VLOOKUP(Inventory[[#This Row],[Cnd]],Lookups!$A$76:$E$84,2,FALSE)</f>
        <v>160472.20319</v>
      </c>
      <c r="AU2225" s="25">
        <f>Inventory[[#This Row],[EffAge]]*Lookups!$B$85</f>
        <v>-13605.7816305</v>
      </c>
      <c r="AV2225" s="25">
        <f>Inventory[[#This Row],[MainFn]]*Lookups!$B$86</f>
        <v>69567.407186815995</v>
      </c>
      <c r="AW2225" s="25">
        <f>Inventory[[#This Row],[UpprFn]]*Lookups!$B$87</f>
        <v>0</v>
      </c>
      <c r="AX2225" s="25">
        <f>Inventory[[#This Row],[AddFn]]*Lookups!$B$88</f>
        <v>0</v>
      </c>
      <c r="AY2225" s="25">
        <f>Inventory[[#This Row],[Bsmt]]*Lookups!$B$89</f>
        <v>32455.395095651998</v>
      </c>
      <c r="AZ2225" s="25">
        <f>Inventory[[#This Row],[Fixtures]]*Lookups!$B$90</f>
        <v>30336.176841600001</v>
      </c>
      <c r="BA2225" s="25">
        <f>Inventory[[#This Row],[WdDeck]]*Lookups!$B$91</f>
        <v>0</v>
      </c>
      <c r="BB2225" s="25">
        <f>ROUND(Inventory[[#This Row],[25Det]],-2)</f>
        <v>6300</v>
      </c>
      <c r="BC2225" s="25">
        <f>ROUND(SUM(Inventory[[#This Row],[Mdl Qlty]:[Mdl WdDeck]])+Inventory[[#This Row],[Mdl Res Intercept]],-2)</f>
        <v>300800</v>
      </c>
      <c r="BD2225" s="25">
        <f>ROUND(Inventory[[#This Row],[Mdl Land Intercept]]+Inventory[[#This Row],[Mdl LnAcres]],-2)</f>
        <v>44700</v>
      </c>
      <c r="BE2225" s="25">
        <f>Inventory[[#This Row],[Unadj Res Value]]+Inventory[[#This Row],[Unadj Det Value]]+Inventory[[#This Row],[Unadj Land Value]]</f>
        <v>351800</v>
      </c>
      <c r="BF2225" s="36">
        <f>(Inventory[[#This Row],[Unadj Total Value]]-Inventory[[#This Row],[24Final]])/Inventory[[#This Row],[24Final]]</f>
        <v>2.9558091893473807E-2</v>
      </c>
      <c r="BG2225" s="25">
        <f>VLOOKUP(Inventory[[#This Row],[Nbhd]],Lookups!$Q$2:$T$4,4,FALSE)</f>
        <v>0.99970000000000003</v>
      </c>
      <c r="BH2225" s="25">
        <f>VLOOKUP(Inventory[[#This Row],[Qlty]],Lookups!$O$7:$R$21,4,FALSE)</f>
        <v>1.0067999999999999</v>
      </c>
      <c r="BI2225" s="25">
        <f>VLOOKUP(Inventory[[#This Row],[Cnd]],Lookups!$T$7:$W$16,4,FALSE)</f>
        <v>0.99729999999999996</v>
      </c>
      <c r="BJ2225" s="25">
        <f>VLOOKUP(Inventory[[#This Row],[LivArea Range]],Lookups!$T$25:$W$37,4,FALSE)</f>
        <v>0.98919999999999997</v>
      </c>
      <c r="BK2225" s="25">
        <f>VLOOKUP(Inventory[[#This Row],[Decade]],Lookups!$O$25:$R$42,4,FALSE)</f>
        <v>0.96040000000000003</v>
      </c>
      <c r="BL2225" s="25">
        <f>Inventory[[#This Row],[Nbhd Adj]]*0.95</f>
        <v>0.94971499999999998</v>
      </c>
      <c r="BM2225" s="25">
        <f>Inventory[[#This Row],[Nbhd Adj]]*Inventory[[#This Row],[Quality Adj]]*Inventory[[#This Row],[Condition Adj]]*Inventory[[#This Row],[Living Area Adj]]*Inventory[[#This Row],[Decade Adj]]*0.95</f>
        <v>0.90593822040577598</v>
      </c>
      <c r="BN2225" s="25">
        <f>ROUND(SUM(Inventory[[#This Row],[Mdl Qlty]:[Mdl WdDeck]])+Inventory[[#This Row],[Mdl Res Intercept]]*Inventory[[#This Row],[Res Adj ]],-2)</f>
        <v>300800</v>
      </c>
      <c r="BO2225" s="25">
        <f>ROUND(Inventory[[#This Row],[25Det]]*Inventory[[#This Row],[Det/Nbhd Adj]],-2)</f>
        <v>6000</v>
      </c>
      <c r="BP2225" s="25">
        <f>Inventory[[#This Row],[Adjusted Res]]+Inventory[[#This Row],[Adj Det ]]</f>
        <v>306800</v>
      </c>
      <c r="BQ2225" s="25">
        <f>ROUND((Inventory[[#This Row],[Mdl Land Intercept]]+Inventory[[#This Row],[Mdl LnAcres]])*Inventory[[#This Row],[Det/Nbhd Adj]],-2)</f>
        <v>42400</v>
      </c>
      <c r="BR2225" s="25">
        <f>Inventory[[#This Row],[Adjusted Impr Total]]+Inventory[[#This Row],[Adjusted Land Total]]</f>
        <v>349200</v>
      </c>
      <c r="BS2225" s="36">
        <f>IFERROR((Inventory[[#This Row],[Adjusted Impr Total]]-Inventory[[#This Row],[24Bldg]])/Inventory[[#This Row],[24Bldg]],0)</f>
        <v>0.107981220657277</v>
      </c>
      <c r="BT2225" s="36">
        <f>(Inventory[[#This Row],[Adjusted Land Total]]-Inventory[[#This Row],[24Lnd]])/Inventory[[#This Row],[24Lnd]]</f>
        <v>-0.34567901234567899</v>
      </c>
      <c r="BU2225" s="36">
        <f>(Inventory[[#This Row],[Adjusted Total]]-Inventory[[#This Row],[24Final]])/Inventory[[#This Row],[24Final]]</f>
        <v>2.1949078138718173E-2</v>
      </c>
    </row>
    <row r="2226" spans="1:73" x14ac:dyDescent="0.3">
      <c r="A2226" s="25">
        <v>2025</v>
      </c>
      <c r="B2226" s="26" t="s">
        <v>2556</v>
      </c>
      <c r="C2226" s="26">
        <f>LN(Inventory[[#This Row],[Acres]])</f>
        <v>-2.0402208285265546</v>
      </c>
      <c r="D2226" s="25">
        <v>0.13</v>
      </c>
      <c r="E2226" s="25">
        <v>5850</v>
      </c>
      <c r="F2226" s="26" t="s">
        <v>537</v>
      </c>
      <c r="G2226" s="26" t="s">
        <v>126</v>
      </c>
      <c r="H2226" s="26" t="s">
        <v>349</v>
      </c>
      <c r="I2226" s="26" t="s">
        <v>538</v>
      </c>
      <c r="J2226" s="26" t="s">
        <v>539</v>
      </c>
      <c r="K2226" s="26" t="s">
        <v>269</v>
      </c>
      <c r="L2226" s="26" t="s">
        <v>351</v>
      </c>
      <c r="M2226" s="26" t="s">
        <v>323</v>
      </c>
      <c r="N2226" s="26">
        <v>110</v>
      </c>
      <c r="O2226" s="26">
        <f>2024-Inventory[[#This Row],[YrBlt]]</f>
        <v>109</v>
      </c>
      <c r="P2226" s="26">
        <f>2024-Inventory[[#This Row],[EffYr]]</f>
        <v>61</v>
      </c>
      <c r="Q2226" s="25">
        <v>1915</v>
      </c>
      <c r="R2226" s="25">
        <v>1963</v>
      </c>
      <c r="S2226" s="25">
        <v>1068</v>
      </c>
      <c r="T2226" s="27"/>
      <c r="U2226" s="25">
        <v>1068</v>
      </c>
      <c r="V2226" s="25">
        <f>Inventory[[#This Row],[Bsmt]]-Inventory[[#This Row],[FnBsmt]]</f>
        <v>168</v>
      </c>
      <c r="W2226" s="25">
        <v>900</v>
      </c>
      <c r="X2226" s="27"/>
      <c r="Y2226" s="27">
        <f>Inventory[[#This Row],[MainFn]]+Inventory[[#This Row],[UpprFn]]+Inventory[[#This Row],[FnBsmt]]+Inventory[[#This Row],[AddFn]]</f>
        <v>1968</v>
      </c>
      <c r="Z2226" s="27">
        <v>2000</v>
      </c>
      <c r="AA2226" s="25">
        <v>7</v>
      </c>
      <c r="AB2226" s="32">
        <v>216</v>
      </c>
      <c r="AC2226" s="27"/>
      <c r="AD2226" s="27"/>
      <c r="AE2226" s="27"/>
      <c r="AF2226" s="27"/>
      <c r="AG2226" s="27"/>
      <c r="AH2226" s="27"/>
      <c r="AI2226" s="25">
        <v>282332</v>
      </c>
      <c r="AJ2226" s="25">
        <v>166576</v>
      </c>
      <c r="AK2226" s="25">
        <v>0</v>
      </c>
      <c r="AL2226" s="25">
        <v>297500</v>
      </c>
      <c r="AM2226" s="25">
        <v>43400</v>
      </c>
      <c r="AN2226" s="25">
        <v>254100</v>
      </c>
      <c r="AO2226" s="25">
        <v>0</v>
      </c>
      <c r="AP2226" s="25">
        <f>Lookups!$B$56*0</f>
        <v>0</v>
      </c>
      <c r="AQ2226" s="25">
        <f>Lookups!$B$56*1</f>
        <v>89850.625589999996</v>
      </c>
      <c r="AR2226" s="25">
        <f>Lookups!$B$57*Inventory[[#This Row],[LnAcres]]</f>
        <v>-64582.406353792743</v>
      </c>
      <c r="AS2226" s="25">
        <f>VLOOKUP(Inventory[[#This Row],[Qlty]],Lookups!$A$62:$E$75,2,FALSE)</f>
        <v>21557.329055999999</v>
      </c>
      <c r="AT2226" s="25">
        <f>VLOOKUP(Inventory[[#This Row],[Cnd]],Lookups!$A$76:$E$84,2,FALSE)</f>
        <v>160472.20319</v>
      </c>
      <c r="AU2226" s="25">
        <f>Inventory[[#This Row],[EffAge]]*Lookups!$B$85</f>
        <v>-13605.7816305</v>
      </c>
      <c r="AV2226" s="25">
        <f>Inventory[[#This Row],[MainFn]]*Lookups!$B$86</f>
        <v>52768.459428636001</v>
      </c>
      <c r="AW2226" s="25">
        <f>Inventory[[#This Row],[UpprFn]]*Lookups!$B$87</f>
        <v>0</v>
      </c>
      <c r="AX2226" s="25">
        <f>Inventory[[#This Row],[AddFn]]*Lookups!$B$88</f>
        <v>0</v>
      </c>
      <c r="AY2226" s="25">
        <f>Inventory[[#This Row],[Bsmt]]*Lookups!$B$89</f>
        <v>31059.464123795999</v>
      </c>
      <c r="AZ2226" s="25">
        <f>Inventory[[#This Row],[Fixtures]]*Lookups!$B$90</f>
        <v>26544.1547364</v>
      </c>
      <c r="BA2226" s="25">
        <f>Inventory[[#This Row],[WdDeck]]*Lookups!$B$91</f>
        <v>0</v>
      </c>
      <c r="BB2226" s="25">
        <f>ROUND(Inventory[[#This Row],[25Det]],-2)</f>
        <v>0</v>
      </c>
      <c r="BC2226" s="25">
        <f>ROUND(SUM(Inventory[[#This Row],[Mdl Qlty]:[Mdl WdDeck]])+Inventory[[#This Row],[Mdl Res Intercept]],-2)</f>
        <v>278800</v>
      </c>
      <c r="BD2226" s="25">
        <f>ROUND(Inventory[[#This Row],[Mdl Land Intercept]]+Inventory[[#This Row],[Mdl LnAcres]],-2)</f>
        <v>25300</v>
      </c>
      <c r="BE2226" s="25">
        <f>Inventory[[#This Row],[Unadj Res Value]]+Inventory[[#This Row],[Unadj Det Value]]+Inventory[[#This Row],[Unadj Land Value]]</f>
        <v>304100</v>
      </c>
      <c r="BF2226" s="36">
        <f>(Inventory[[#This Row],[Unadj Total Value]]-Inventory[[#This Row],[24Final]])/Inventory[[#This Row],[24Final]]</f>
        <v>2.2184873949579832E-2</v>
      </c>
      <c r="BG2226" s="25">
        <f>VLOOKUP(Inventory[[#This Row],[Nbhd]],Lookups!$Q$2:$T$4,4,FALSE)</f>
        <v>0.99970000000000003</v>
      </c>
      <c r="BH2226" s="25">
        <f>VLOOKUP(Inventory[[#This Row],[Qlty]],Lookups!$O$7:$R$21,4,FALSE)</f>
        <v>1.0067999999999999</v>
      </c>
      <c r="BI2226" s="25">
        <f>VLOOKUP(Inventory[[#This Row],[Cnd]],Lookups!$T$7:$W$16,4,FALSE)</f>
        <v>0.99729999999999996</v>
      </c>
      <c r="BJ2226" s="25">
        <f>VLOOKUP(Inventory[[#This Row],[LivArea Range]],Lookups!$T$25:$W$37,4,FALSE)</f>
        <v>1.0093000000000001</v>
      </c>
      <c r="BK2226" s="25">
        <f>VLOOKUP(Inventory[[#This Row],[Decade]],Lookups!$O$25:$R$42,4,FALSE)</f>
        <v>0.96040000000000003</v>
      </c>
      <c r="BL2226" s="25">
        <f>Inventory[[#This Row],[Nbhd Adj]]*0.95</f>
        <v>0.94971499999999998</v>
      </c>
      <c r="BM2226" s="25">
        <f>Inventory[[#This Row],[Nbhd Adj]]*Inventory[[#This Row],[Quality Adj]]*Inventory[[#This Row],[Condition Adj]]*Inventory[[#This Row],[Living Area Adj]]*Inventory[[#This Row],[Decade Adj]]*0.95</f>
        <v>0.92434638683335013</v>
      </c>
      <c r="BN2226" s="25">
        <f>ROUND(SUM(Inventory[[#This Row],[Mdl Qlty]:[Mdl WdDeck]])+Inventory[[#This Row],[Mdl Res Intercept]]*Inventory[[#This Row],[Res Adj ]],-2)</f>
        <v>278800</v>
      </c>
      <c r="BO2226" s="25">
        <f>ROUND(Inventory[[#This Row],[25Det]]*Inventory[[#This Row],[Det/Nbhd Adj]],-2)</f>
        <v>0</v>
      </c>
      <c r="BP2226" s="25">
        <f>Inventory[[#This Row],[Adjusted Res]]+Inventory[[#This Row],[Adj Det ]]</f>
        <v>278800</v>
      </c>
      <c r="BQ2226" s="25">
        <f>ROUND((Inventory[[#This Row],[Mdl Land Intercept]]+Inventory[[#This Row],[Mdl LnAcres]])*Inventory[[#This Row],[Det/Nbhd Adj]],-2)</f>
        <v>24000</v>
      </c>
      <c r="BR2226" s="25">
        <f>Inventory[[#This Row],[Adjusted Impr Total]]+Inventory[[#This Row],[Adjusted Land Total]]</f>
        <v>302800</v>
      </c>
      <c r="BS2226" s="36">
        <f>IFERROR((Inventory[[#This Row],[Adjusted Impr Total]]-Inventory[[#This Row],[24Bldg]])/Inventory[[#This Row],[24Bldg]],0)</f>
        <v>9.720582447855175E-2</v>
      </c>
      <c r="BT2226" s="36">
        <f>(Inventory[[#This Row],[Adjusted Land Total]]-Inventory[[#This Row],[24Lnd]])/Inventory[[#This Row],[24Lnd]]</f>
        <v>-0.44700460829493088</v>
      </c>
      <c r="BU2226" s="36">
        <f>(Inventory[[#This Row],[Adjusted Total]]-Inventory[[#This Row],[24Final]])/Inventory[[#This Row],[24Final]]</f>
        <v>1.7815126050420169E-2</v>
      </c>
    </row>
    <row r="2227" spans="1:73" x14ac:dyDescent="0.3">
      <c r="A2227" s="25">
        <v>2025</v>
      </c>
      <c r="B2227" s="26" t="s">
        <v>2324</v>
      </c>
      <c r="C2227" s="26">
        <f>LN(Inventory[[#This Row],[Acres]])</f>
        <v>-1.1394342831883648</v>
      </c>
      <c r="D2227" s="25">
        <v>0.32</v>
      </c>
      <c r="E2227" s="27"/>
      <c r="F2227" s="26" t="s">
        <v>537</v>
      </c>
      <c r="G2227" s="26" t="s">
        <v>126</v>
      </c>
      <c r="H2227" s="26" t="s">
        <v>349</v>
      </c>
      <c r="I2227" s="26" t="s">
        <v>538</v>
      </c>
      <c r="J2227" s="26" t="s">
        <v>539</v>
      </c>
      <c r="K2227" s="26" t="s">
        <v>173</v>
      </c>
      <c r="L2227" s="26" t="s">
        <v>302</v>
      </c>
      <c r="M2227" s="26" t="s">
        <v>323</v>
      </c>
      <c r="N2227" s="26">
        <v>110</v>
      </c>
      <c r="O2227" s="26">
        <f>2024-Inventory[[#This Row],[YrBlt]]</f>
        <v>109</v>
      </c>
      <c r="P2227" s="26">
        <f>2024-Inventory[[#This Row],[EffYr]]</f>
        <v>61</v>
      </c>
      <c r="Q2227" s="25">
        <v>1915</v>
      </c>
      <c r="R2227" s="25">
        <v>1963</v>
      </c>
      <c r="S2227" s="25">
        <v>1842</v>
      </c>
      <c r="T2227" s="32">
        <v>1080</v>
      </c>
      <c r="U2227" s="25">
        <v>256</v>
      </c>
      <c r="V2227" s="25">
        <f>Inventory[[#This Row],[Bsmt]]-Inventory[[#This Row],[FnBsmt]]</f>
        <v>1</v>
      </c>
      <c r="W2227" s="25">
        <v>255</v>
      </c>
      <c r="X2227" s="27"/>
      <c r="Y2227" s="27">
        <f>Inventory[[#This Row],[MainFn]]+Inventory[[#This Row],[UpprFn]]+Inventory[[#This Row],[FnBsmt]]+Inventory[[#This Row],[AddFn]]</f>
        <v>3177</v>
      </c>
      <c r="Z2227" s="27">
        <v>3500</v>
      </c>
      <c r="AA2227" s="25">
        <v>11</v>
      </c>
      <c r="AB2227" s="27"/>
      <c r="AC2227" s="27"/>
      <c r="AD2227" s="27"/>
      <c r="AE2227" s="27"/>
      <c r="AF2227" s="27"/>
      <c r="AG2227" s="27"/>
      <c r="AH2227" s="27"/>
      <c r="AI2227" s="25">
        <v>500163</v>
      </c>
      <c r="AJ2227" s="25">
        <v>295096</v>
      </c>
      <c r="AK2227" s="25">
        <v>24344</v>
      </c>
      <c r="AL2227" s="25">
        <v>439700</v>
      </c>
      <c r="AM2227" s="25">
        <v>74800</v>
      </c>
      <c r="AN2227" s="25">
        <v>364900</v>
      </c>
      <c r="AO2227" s="25">
        <v>0</v>
      </c>
      <c r="AP2227" s="25">
        <f>Lookups!$B$56*0</f>
        <v>0</v>
      </c>
      <c r="AQ2227" s="25">
        <f>Lookups!$B$56*1</f>
        <v>89850.625589999996</v>
      </c>
      <c r="AR2227" s="25">
        <f>Lookups!$B$57*Inventory[[#This Row],[LnAcres]]</f>
        <v>-36068.354396449467</v>
      </c>
      <c r="AS2227" s="25">
        <f>VLOOKUP(Inventory[[#This Row],[Qlty]],Lookups!$A$62:$E$75,2,FALSE)</f>
        <v>29814.093161000001</v>
      </c>
      <c r="AT2227" s="25">
        <f>VLOOKUP(Inventory[[#This Row],[Cnd]],Lookups!$A$76:$E$84,2,FALSE)</f>
        <v>160472.20319</v>
      </c>
      <c r="AU2227" s="25">
        <f>Inventory[[#This Row],[EffAge]]*Lookups!$B$85</f>
        <v>-13605.7816305</v>
      </c>
      <c r="AV2227" s="25">
        <f>Inventory[[#This Row],[MainFn]]*Lookups!$B$86</f>
        <v>91010.769913434007</v>
      </c>
      <c r="AW2227" s="25">
        <f>Inventory[[#This Row],[UpprFn]]*Lookups!$B$87</f>
        <v>48369.336689880001</v>
      </c>
      <c r="AX2227" s="25">
        <f>Inventory[[#This Row],[AddFn]]*Lookups!$B$88</f>
        <v>0</v>
      </c>
      <c r="AY2227" s="25">
        <f>Inventory[[#This Row],[Bsmt]]*Lookups!$B$89</f>
        <v>7444.9651832319996</v>
      </c>
      <c r="AZ2227" s="25">
        <f>Inventory[[#This Row],[Fixtures]]*Lookups!$B$90</f>
        <v>41712.243157199999</v>
      </c>
      <c r="BA2227" s="25">
        <f>Inventory[[#This Row],[WdDeck]]*Lookups!$B$91</f>
        <v>0</v>
      </c>
      <c r="BB2227" s="25">
        <f>ROUND(Inventory[[#This Row],[25Det]],-2)</f>
        <v>24300</v>
      </c>
      <c r="BC2227" s="25">
        <f>ROUND(SUM(Inventory[[#This Row],[Mdl Qlty]:[Mdl WdDeck]])+Inventory[[#This Row],[Mdl Res Intercept]],-2)</f>
        <v>365200</v>
      </c>
      <c r="BD2227" s="25">
        <f>ROUND(Inventory[[#This Row],[Mdl Land Intercept]]+Inventory[[#This Row],[Mdl LnAcres]],-2)</f>
        <v>53800</v>
      </c>
      <c r="BE2227" s="25">
        <f>Inventory[[#This Row],[Unadj Res Value]]+Inventory[[#This Row],[Unadj Det Value]]+Inventory[[#This Row],[Unadj Land Value]]</f>
        <v>443300</v>
      </c>
      <c r="BF2227" s="36">
        <f>(Inventory[[#This Row],[Unadj Total Value]]-Inventory[[#This Row],[24Final]])/Inventory[[#This Row],[24Final]]</f>
        <v>8.187400500341141E-3</v>
      </c>
      <c r="BG2227" s="25">
        <f>VLOOKUP(Inventory[[#This Row],[Nbhd]],Lookups!$Q$2:$T$4,4,FALSE)</f>
        <v>0.99970000000000003</v>
      </c>
      <c r="BH2227" s="25">
        <f>VLOOKUP(Inventory[[#This Row],[Qlty]],Lookups!$O$7:$R$21,4,FALSE)</f>
        <v>1.0088999999999999</v>
      </c>
      <c r="BI2227" s="25">
        <f>VLOOKUP(Inventory[[#This Row],[Cnd]],Lookups!$T$7:$W$16,4,FALSE)</f>
        <v>0.99729999999999996</v>
      </c>
      <c r="BJ2227" s="25">
        <f>VLOOKUP(Inventory[[#This Row],[LivArea Range]],Lookups!$T$25:$W$37,4,FALSE)</f>
        <v>1.0126999999999999</v>
      </c>
      <c r="BK2227" s="25">
        <f>VLOOKUP(Inventory[[#This Row],[Decade]],Lookups!$O$25:$R$42,4,FALSE)</f>
        <v>0.96040000000000003</v>
      </c>
      <c r="BL2227" s="25">
        <f>Inventory[[#This Row],[Nbhd Adj]]*0.95</f>
        <v>0.94971499999999998</v>
      </c>
      <c r="BM2227" s="25">
        <f>Inventory[[#This Row],[Nbhd Adj]]*Inventory[[#This Row],[Quality Adj]]*Inventory[[#This Row],[Condition Adj]]*Inventory[[#This Row],[Living Area Adj]]*Inventory[[#This Row],[Decade Adj]]*0.95</f>
        <v>0.92939471778279859</v>
      </c>
      <c r="BN2227" s="25">
        <f>ROUND(SUM(Inventory[[#This Row],[Mdl Qlty]:[Mdl WdDeck]])+Inventory[[#This Row],[Mdl Res Intercept]]*Inventory[[#This Row],[Res Adj ]],-2)</f>
        <v>365200</v>
      </c>
      <c r="BO2227" s="25">
        <f>ROUND(Inventory[[#This Row],[25Det]]*Inventory[[#This Row],[Det/Nbhd Adj]],-2)</f>
        <v>23100</v>
      </c>
      <c r="BP2227" s="25">
        <f>Inventory[[#This Row],[Adjusted Res]]+Inventory[[#This Row],[Adj Det ]]</f>
        <v>388300</v>
      </c>
      <c r="BQ2227" s="25">
        <f>ROUND((Inventory[[#This Row],[Mdl Land Intercept]]+Inventory[[#This Row],[Mdl LnAcres]])*Inventory[[#This Row],[Det/Nbhd Adj]],-2)</f>
        <v>51100</v>
      </c>
      <c r="BR2227" s="25">
        <f>Inventory[[#This Row],[Adjusted Impr Total]]+Inventory[[#This Row],[Adjusted Land Total]]</f>
        <v>439400</v>
      </c>
      <c r="BS2227" s="36">
        <f>IFERROR((Inventory[[#This Row],[Adjusted Impr Total]]-Inventory[[#This Row],[24Bldg]])/Inventory[[#This Row],[24Bldg]],0)</f>
        <v>6.4127158125513839E-2</v>
      </c>
      <c r="BT2227" s="36">
        <f>(Inventory[[#This Row],[Adjusted Land Total]]-Inventory[[#This Row],[24Lnd]])/Inventory[[#This Row],[24Lnd]]</f>
        <v>-0.31684491978609625</v>
      </c>
      <c r="BU2227" s="36">
        <f>(Inventory[[#This Row],[Adjusted Total]]-Inventory[[#This Row],[24Final]])/Inventory[[#This Row],[24Final]]</f>
        <v>-6.8228337502842845E-4</v>
      </c>
    </row>
    <row r="2228" spans="1:73" x14ac:dyDescent="0.3">
      <c r="A2228" s="25">
        <v>2025</v>
      </c>
      <c r="B2228" s="26" t="s">
        <v>2246</v>
      </c>
      <c r="C2228" s="26">
        <f>LN(Inventory[[#This Row],[Acres]])</f>
        <v>-1.2039728043259361</v>
      </c>
      <c r="D2228" s="25">
        <v>0.3</v>
      </c>
      <c r="E2228" s="32">
        <v>12855</v>
      </c>
      <c r="F2228" s="26" t="s">
        <v>537</v>
      </c>
      <c r="G2228" s="26" t="s">
        <v>126</v>
      </c>
      <c r="H2228" s="26" t="s">
        <v>349</v>
      </c>
      <c r="I2228" s="26" t="s">
        <v>538</v>
      </c>
      <c r="J2228" s="26" t="s">
        <v>539</v>
      </c>
      <c r="K2228" s="26" t="s">
        <v>269</v>
      </c>
      <c r="L2228" s="26" t="s">
        <v>351</v>
      </c>
      <c r="M2228" s="26" t="s">
        <v>303</v>
      </c>
      <c r="N2228" s="26">
        <v>110</v>
      </c>
      <c r="O2228" s="26">
        <f>2024-Inventory[[#This Row],[YrBlt]]</f>
        <v>110</v>
      </c>
      <c r="P2228" s="26">
        <f>2024-Inventory[[#This Row],[EffYr]]</f>
        <v>62</v>
      </c>
      <c r="Q2228" s="25">
        <v>1914</v>
      </c>
      <c r="R2228" s="25">
        <v>1962</v>
      </c>
      <c r="S2228" s="25">
        <v>1417</v>
      </c>
      <c r="T2228" s="27"/>
      <c r="U2228" s="32">
        <v>1250</v>
      </c>
      <c r="V2228" s="32">
        <f>Inventory[[#This Row],[Bsmt]]-Inventory[[#This Row],[FnBsmt]]</f>
        <v>1250</v>
      </c>
      <c r="W2228" s="27"/>
      <c r="X2228" s="27"/>
      <c r="Y2228" s="27">
        <f>Inventory[[#This Row],[MainFn]]+Inventory[[#This Row],[UpprFn]]+Inventory[[#This Row],[FnBsmt]]+Inventory[[#This Row],[AddFn]]</f>
        <v>1417</v>
      </c>
      <c r="Z2228" s="27">
        <v>1500</v>
      </c>
      <c r="AA2228" s="25">
        <v>8</v>
      </c>
      <c r="AB2228" s="27"/>
      <c r="AC2228" s="27"/>
      <c r="AD2228" s="32">
        <v>196</v>
      </c>
      <c r="AE2228" s="27"/>
      <c r="AF2228" s="27"/>
      <c r="AG2228" s="27"/>
      <c r="AH2228" s="27"/>
      <c r="AI2228" s="25">
        <v>284147</v>
      </c>
      <c r="AJ2228" s="25">
        <v>170488</v>
      </c>
      <c r="AK2228" s="25">
        <v>6724</v>
      </c>
      <c r="AL2228" s="25">
        <v>361100</v>
      </c>
      <c r="AM2228" s="25">
        <v>72500</v>
      </c>
      <c r="AN2228" s="25">
        <v>288600</v>
      </c>
      <c r="AO2228" s="25">
        <v>0</v>
      </c>
      <c r="AP2228" s="25">
        <f>Lookups!$B$56*0</f>
        <v>0</v>
      </c>
      <c r="AQ2228" s="25">
        <f>Lookups!$B$56*1</f>
        <v>89850.625589999996</v>
      </c>
      <c r="AR2228" s="25">
        <f>Lookups!$B$57*Inventory[[#This Row],[LnAcres]]</f>
        <v>-38111.29648355169</v>
      </c>
      <c r="AS2228" s="25">
        <f>VLOOKUP(Inventory[[#This Row],[Qlty]],Lookups!$A$62:$E$75,2,FALSE)</f>
        <v>21557.329055999999</v>
      </c>
      <c r="AT2228" s="25">
        <f>VLOOKUP(Inventory[[#This Row],[Cnd]],Lookups!$A$76:$E$84,2,FALSE)</f>
        <v>197752.34721000001</v>
      </c>
      <c r="AU2228" s="25">
        <f>Inventory[[#This Row],[EffAge]]*Lookups!$B$85</f>
        <v>-13828.827231000001</v>
      </c>
      <c r="AV2228" s="25">
        <f>Inventory[[#This Row],[MainFn]]*Lookups!$B$86</f>
        <v>70012.085215708998</v>
      </c>
      <c r="AW2228" s="25">
        <f>Inventory[[#This Row],[UpprFn]]*Lookups!$B$87</f>
        <v>0</v>
      </c>
      <c r="AX2228" s="25">
        <f>Inventory[[#This Row],[AddFn]]*Lookups!$B$88</f>
        <v>0</v>
      </c>
      <c r="AY2228" s="25">
        <f>Inventory[[#This Row],[Bsmt]]*Lookups!$B$89</f>
        <v>36352.369058749995</v>
      </c>
      <c r="AZ2228" s="25">
        <f>Inventory[[#This Row],[Fixtures]]*Lookups!$B$90</f>
        <v>30336.176841600001</v>
      </c>
      <c r="BA2228" s="25">
        <f>Inventory[[#This Row],[WdDeck]]*Lookups!$B$91</f>
        <v>6525.9209940960009</v>
      </c>
      <c r="BB2228" s="25">
        <f>ROUND(Inventory[[#This Row],[25Det]],-2)</f>
        <v>6700</v>
      </c>
      <c r="BC2228" s="25">
        <f>ROUND(SUM(Inventory[[#This Row],[Mdl Qlty]:[Mdl WdDeck]])+Inventory[[#This Row],[Mdl Res Intercept]],-2)</f>
        <v>348700</v>
      </c>
      <c r="BD2228" s="25">
        <f>ROUND(Inventory[[#This Row],[Mdl Land Intercept]]+Inventory[[#This Row],[Mdl LnAcres]],-2)</f>
        <v>51700</v>
      </c>
      <c r="BE2228" s="25">
        <f>Inventory[[#This Row],[Unadj Res Value]]+Inventory[[#This Row],[Unadj Det Value]]+Inventory[[#This Row],[Unadj Land Value]]</f>
        <v>407100</v>
      </c>
      <c r="BF2228" s="36">
        <f>(Inventory[[#This Row],[Unadj Total Value]]-Inventory[[#This Row],[24Final]])/Inventory[[#This Row],[24Final]]</f>
        <v>0.12738853503184713</v>
      </c>
      <c r="BG2228" s="25">
        <f>VLOOKUP(Inventory[[#This Row],[Nbhd]],Lookups!$Q$2:$T$4,4,FALSE)</f>
        <v>0.99970000000000003</v>
      </c>
      <c r="BH2228" s="25">
        <f>VLOOKUP(Inventory[[#This Row],[Qlty]],Lookups!$O$7:$R$21,4,FALSE)</f>
        <v>1.0067999999999999</v>
      </c>
      <c r="BI2228" s="25">
        <f>VLOOKUP(Inventory[[#This Row],[Cnd]],Lookups!$T$7:$W$16,4,FALSE)</f>
        <v>0.99650000000000005</v>
      </c>
      <c r="BJ2228" s="25">
        <f>VLOOKUP(Inventory[[#This Row],[LivArea Range]],Lookups!$T$25:$W$37,4,FALSE)</f>
        <v>1.0157</v>
      </c>
      <c r="BK2228" s="25">
        <f>VLOOKUP(Inventory[[#This Row],[Decade]],Lookups!$O$25:$R$42,4,FALSE)</f>
        <v>0.96040000000000003</v>
      </c>
      <c r="BL2228" s="25">
        <f>Inventory[[#This Row],[Nbhd Adj]]*0.95</f>
        <v>0.94971499999999998</v>
      </c>
      <c r="BM2228" s="25">
        <f>Inventory[[#This Row],[Nbhd Adj]]*Inventory[[#This Row],[Quality Adj]]*Inventory[[#This Row],[Condition Adj]]*Inventory[[#This Row],[Living Area Adj]]*Inventory[[#This Row],[Decade Adj]]*0.95</f>
        <v>0.92946151271343602</v>
      </c>
      <c r="BN2228" s="25">
        <f>ROUND(SUM(Inventory[[#This Row],[Mdl Qlty]:[Mdl WdDeck]])+Inventory[[#This Row],[Mdl Res Intercept]]*Inventory[[#This Row],[Res Adj ]],-2)</f>
        <v>348700</v>
      </c>
      <c r="BO2228" s="25">
        <f>ROUND(Inventory[[#This Row],[25Det]]*Inventory[[#This Row],[Det/Nbhd Adj]],-2)</f>
        <v>6400</v>
      </c>
      <c r="BP2228" s="25">
        <f>Inventory[[#This Row],[Adjusted Res]]+Inventory[[#This Row],[Adj Det ]]</f>
        <v>355100</v>
      </c>
      <c r="BQ2228" s="25">
        <f>ROUND((Inventory[[#This Row],[Mdl Land Intercept]]+Inventory[[#This Row],[Mdl LnAcres]])*Inventory[[#This Row],[Det/Nbhd Adj]],-2)</f>
        <v>49100</v>
      </c>
      <c r="BR2228" s="25">
        <f>Inventory[[#This Row],[Adjusted Impr Total]]+Inventory[[#This Row],[Adjusted Land Total]]</f>
        <v>404200</v>
      </c>
      <c r="BS2228" s="36">
        <f>IFERROR((Inventory[[#This Row],[Adjusted Impr Total]]-Inventory[[#This Row],[24Bldg]])/Inventory[[#This Row],[24Bldg]],0)</f>
        <v>0.23042273042273043</v>
      </c>
      <c r="BT2228" s="36">
        <f>(Inventory[[#This Row],[Adjusted Land Total]]-Inventory[[#This Row],[24Lnd]])/Inventory[[#This Row],[24Lnd]]</f>
        <v>-0.32275862068965516</v>
      </c>
      <c r="BU2228" s="36">
        <f>(Inventory[[#This Row],[Adjusted Total]]-Inventory[[#This Row],[24Final]])/Inventory[[#This Row],[24Final]]</f>
        <v>0.11935751869288286</v>
      </c>
    </row>
    <row r="2229" spans="1:73" x14ac:dyDescent="0.3">
      <c r="A2229" s="25">
        <v>2025</v>
      </c>
      <c r="B2229" s="26" t="s">
        <v>1585</v>
      </c>
      <c r="C2229" s="26">
        <f>LN(Inventory[[#This Row],[Acres]])</f>
        <v>-1.9661128563728327</v>
      </c>
      <c r="D2229" s="25">
        <v>0.14000000000000001</v>
      </c>
      <c r="E2229" s="27"/>
      <c r="F2229" s="26" t="s">
        <v>537</v>
      </c>
      <c r="G2229" s="26" t="s">
        <v>126</v>
      </c>
      <c r="H2229" s="26" t="s">
        <v>349</v>
      </c>
      <c r="I2229" s="26" t="s">
        <v>538</v>
      </c>
      <c r="J2229" s="26" t="s">
        <v>539</v>
      </c>
      <c r="K2229" s="26" t="s">
        <v>242</v>
      </c>
      <c r="L2229" s="26" t="s">
        <v>351</v>
      </c>
      <c r="M2229" s="26" t="s">
        <v>323</v>
      </c>
      <c r="N2229" s="26">
        <v>110</v>
      </c>
      <c r="O2229" s="26">
        <f>2024-Inventory[[#This Row],[YrBlt]]</f>
        <v>110</v>
      </c>
      <c r="P2229" s="26">
        <f>2024-Inventory[[#This Row],[EffYr]]</f>
        <v>62</v>
      </c>
      <c r="Q2229" s="25">
        <v>1914</v>
      </c>
      <c r="R2229" s="25">
        <v>1962</v>
      </c>
      <c r="S2229" s="25">
        <v>1215</v>
      </c>
      <c r="T2229" s="27"/>
      <c r="U2229" s="32">
        <v>1065</v>
      </c>
      <c r="V2229" s="32">
        <f>Inventory[[#This Row],[Bsmt]]-Inventory[[#This Row],[FnBsmt]]</f>
        <v>999</v>
      </c>
      <c r="W2229" s="32">
        <v>66</v>
      </c>
      <c r="X2229" s="27"/>
      <c r="Y2229" s="27">
        <f>Inventory[[#This Row],[MainFn]]+Inventory[[#This Row],[UpprFn]]+Inventory[[#This Row],[FnBsmt]]+Inventory[[#This Row],[AddFn]]</f>
        <v>1281</v>
      </c>
      <c r="Z2229" s="27">
        <v>1500</v>
      </c>
      <c r="AA2229" s="25">
        <v>5</v>
      </c>
      <c r="AB2229" s="31"/>
      <c r="AC2229" s="27"/>
      <c r="AD2229" s="32">
        <v>216</v>
      </c>
      <c r="AE2229" s="27"/>
      <c r="AF2229" s="27"/>
      <c r="AG2229" s="27"/>
      <c r="AH2229" s="27"/>
      <c r="AI2229" s="25">
        <v>247986</v>
      </c>
      <c r="AJ2229" s="25">
        <v>143832</v>
      </c>
      <c r="AK2229" s="25">
        <v>4419</v>
      </c>
      <c r="AL2229" s="25">
        <v>284900</v>
      </c>
      <c r="AM2229" s="25">
        <v>46000</v>
      </c>
      <c r="AN2229" s="25">
        <v>238900</v>
      </c>
      <c r="AO2229" s="25">
        <v>0</v>
      </c>
      <c r="AP2229" s="25">
        <f>Lookups!$B$56*0</f>
        <v>0</v>
      </c>
      <c r="AQ2229" s="25">
        <f>Lookups!$B$56*1</f>
        <v>89850.625589999996</v>
      </c>
      <c r="AR2229" s="25">
        <f>Lookups!$B$57*Inventory[[#This Row],[LnAcres]]</f>
        <v>-62236.546971921947</v>
      </c>
      <c r="AS2229" s="25">
        <f>VLOOKUP(Inventory[[#This Row],[Qlty]],Lookups!$A$62:$E$75,2,FALSE)</f>
        <v>21557.329055999999</v>
      </c>
      <c r="AT2229" s="25">
        <f>VLOOKUP(Inventory[[#This Row],[Cnd]],Lookups!$A$76:$E$84,2,FALSE)</f>
        <v>160472.20319</v>
      </c>
      <c r="AU2229" s="25">
        <f>Inventory[[#This Row],[EffAge]]*Lookups!$B$85</f>
        <v>-13828.827231000001</v>
      </c>
      <c r="AV2229" s="25">
        <f>Inventory[[#This Row],[MainFn]]*Lookups!$B$86</f>
        <v>60031.533900555005</v>
      </c>
      <c r="AW2229" s="25">
        <f>Inventory[[#This Row],[UpprFn]]*Lookups!$B$87</f>
        <v>0</v>
      </c>
      <c r="AX2229" s="25">
        <f>Inventory[[#This Row],[AddFn]]*Lookups!$B$88</f>
        <v>0</v>
      </c>
      <c r="AY2229" s="25">
        <f>Inventory[[#This Row],[Bsmt]]*Lookups!$B$89</f>
        <v>30972.218438054999</v>
      </c>
      <c r="AZ2229" s="25">
        <f>Inventory[[#This Row],[Fixtures]]*Lookups!$B$90</f>
        <v>18960.110526</v>
      </c>
      <c r="BA2229" s="25">
        <f>Inventory[[#This Row],[WdDeck]]*Lookups!$B$91</f>
        <v>7191.8312996160003</v>
      </c>
      <c r="BB2229" s="25">
        <f>ROUND(Inventory[[#This Row],[25Det]],-2)</f>
        <v>4400</v>
      </c>
      <c r="BC2229" s="25">
        <f>ROUND(SUM(Inventory[[#This Row],[Mdl Qlty]:[Mdl WdDeck]])+Inventory[[#This Row],[Mdl Res Intercept]],-2)</f>
        <v>285400</v>
      </c>
      <c r="BD2229" s="25">
        <f>ROUND(Inventory[[#This Row],[Mdl Land Intercept]]+Inventory[[#This Row],[Mdl LnAcres]],-2)</f>
        <v>27600</v>
      </c>
      <c r="BE2229" s="25">
        <f>Inventory[[#This Row],[Unadj Res Value]]+Inventory[[#This Row],[Unadj Det Value]]+Inventory[[#This Row],[Unadj Land Value]]</f>
        <v>317400</v>
      </c>
      <c r="BF2229" s="36">
        <f>(Inventory[[#This Row],[Unadj Total Value]]-Inventory[[#This Row],[24Final]])/Inventory[[#This Row],[24Final]]</f>
        <v>0.11407511407511407</v>
      </c>
      <c r="BG2229" s="25">
        <f>VLOOKUP(Inventory[[#This Row],[Nbhd]],Lookups!$Q$2:$T$4,4,FALSE)</f>
        <v>0.99970000000000003</v>
      </c>
      <c r="BH2229" s="25">
        <f>VLOOKUP(Inventory[[#This Row],[Qlty]],Lookups!$O$7:$R$21,4,FALSE)</f>
        <v>1.0067999999999999</v>
      </c>
      <c r="BI2229" s="25">
        <f>VLOOKUP(Inventory[[#This Row],[Cnd]],Lookups!$T$7:$W$16,4,FALSE)</f>
        <v>0.99729999999999996</v>
      </c>
      <c r="BJ2229" s="25">
        <f>VLOOKUP(Inventory[[#This Row],[LivArea Range]],Lookups!$T$25:$W$37,4,FALSE)</f>
        <v>1.0157</v>
      </c>
      <c r="BK2229" s="25">
        <f>VLOOKUP(Inventory[[#This Row],[Decade]],Lookups!$O$25:$R$42,4,FALSE)</f>
        <v>0.96040000000000003</v>
      </c>
      <c r="BL2229" s="25">
        <f>Inventory[[#This Row],[Nbhd Adj]]*0.95</f>
        <v>0.94971499999999998</v>
      </c>
      <c r="BM2229" s="25">
        <f>Inventory[[#This Row],[Nbhd Adj]]*Inventory[[#This Row],[Quality Adj]]*Inventory[[#This Row],[Condition Adj]]*Inventory[[#This Row],[Living Area Adj]]*Inventory[[#This Row],[Decade Adj]]*0.95</f>
        <v>0.93020769355655764</v>
      </c>
      <c r="BN2229" s="25">
        <f>ROUND(SUM(Inventory[[#This Row],[Mdl Qlty]:[Mdl WdDeck]])+Inventory[[#This Row],[Mdl Res Intercept]]*Inventory[[#This Row],[Res Adj ]],-2)</f>
        <v>285400</v>
      </c>
      <c r="BO2229" s="25">
        <f>ROUND(Inventory[[#This Row],[25Det]]*Inventory[[#This Row],[Det/Nbhd Adj]],-2)</f>
        <v>4200</v>
      </c>
      <c r="BP2229" s="25">
        <f>Inventory[[#This Row],[Adjusted Res]]+Inventory[[#This Row],[Adj Det ]]</f>
        <v>289600</v>
      </c>
      <c r="BQ2229" s="25">
        <f>ROUND((Inventory[[#This Row],[Mdl Land Intercept]]+Inventory[[#This Row],[Mdl LnAcres]])*Inventory[[#This Row],[Det/Nbhd Adj]],-2)</f>
        <v>26200</v>
      </c>
      <c r="BR2229" s="25">
        <f>Inventory[[#This Row],[Adjusted Impr Total]]+Inventory[[#This Row],[Adjusted Land Total]]</f>
        <v>315800</v>
      </c>
      <c r="BS2229" s="36">
        <f>IFERROR((Inventory[[#This Row],[Adjusted Impr Total]]-Inventory[[#This Row],[24Bldg]])/Inventory[[#This Row],[24Bldg]],0)</f>
        <v>0.212222687316869</v>
      </c>
      <c r="BT2229" s="36">
        <f>(Inventory[[#This Row],[Adjusted Land Total]]-Inventory[[#This Row],[24Lnd]])/Inventory[[#This Row],[24Lnd]]</f>
        <v>-0.43043478260869567</v>
      </c>
      <c r="BU2229" s="36">
        <f>(Inventory[[#This Row],[Adjusted Total]]-Inventory[[#This Row],[24Final]])/Inventory[[#This Row],[24Final]]</f>
        <v>0.10845910845910846</v>
      </c>
    </row>
    <row r="2230" spans="1:73" x14ac:dyDescent="0.3">
      <c r="A2230" s="25">
        <v>2025</v>
      </c>
      <c r="B2230" s="26" t="s">
        <v>1624</v>
      </c>
      <c r="C2230" s="26">
        <f>LN(Inventory[[#This Row],[Acres]])</f>
        <v>-0.82098055206983023</v>
      </c>
      <c r="D2230" s="25">
        <v>0.44</v>
      </c>
      <c r="E2230" s="32">
        <v>19155</v>
      </c>
      <c r="F2230" s="26" t="s">
        <v>537</v>
      </c>
      <c r="G2230" s="26" t="s">
        <v>126</v>
      </c>
      <c r="H2230" s="26" t="s">
        <v>349</v>
      </c>
      <c r="I2230" s="26" t="s">
        <v>538</v>
      </c>
      <c r="J2230" s="26" t="s">
        <v>546</v>
      </c>
      <c r="K2230" s="26" t="s">
        <v>417</v>
      </c>
      <c r="L2230" s="26" t="s">
        <v>148</v>
      </c>
      <c r="M2230" s="26" t="s">
        <v>303</v>
      </c>
      <c r="N2230" s="26">
        <v>110</v>
      </c>
      <c r="O2230" s="26">
        <f>2024-Inventory[[#This Row],[YrBlt]]</f>
        <v>110</v>
      </c>
      <c r="P2230" s="26">
        <f>2024-Inventory[[#This Row],[EffYr]]</f>
        <v>62</v>
      </c>
      <c r="Q2230" s="25">
        <v>1914</v>
      </c>
      <c r="R2230" s="25">
        <v>1962</v>
      </c>
      <c r="S2230" s="25">
        <v>1851</v>
      </c>
      <c r="T2230" s="32">
        <v>1755</v>
      </c>
      <c r="U2230" s="32">
        <v>600</v>
      </c>
      <c r="V2230" s="32">
        <f>Inventory[[#This Row],[Bsmt]]-Inventory[[#This Row],[FnBsmt]]</f>
        <v>600</v>
      </c>
      <c r="W2230" s="27"/>
      <c r="X2230" s="27"/>
      <c r="Y2230" s="27">
        <f>Inventory[[#This Row],[MainFn]]+Inventory[[#This Row],[UpprFn]]+Inventory[[#This Row],[FnBsmt]]+Inventory[[#This Row],[AddFn]]</f>
        <v>3606</v>
      </c>
      <c r="Z2230" s="27">
        <v>4000</v>
      </c>
      <c r="AA2230" s="25">
        <v>8</v>
      </c>
      <c r="AB2230" s="27"/>
      <c r="AC2230" s="27"/>
      <c r="AD2230" s="27"/>
      <c r="AE2230" s="27"/>
      <c r="AF2230" s="27"/>
      <c r="AG2230" s="27"/>
      <c r="AH2230" s="27"/>
      <c r="AI2230" s="25">
        <v>650170</v>
      </c>
      <c r="AJ2230" s="25">
        <v>390102</v>
      </c>
      <c r="AK2230" s="25">
        <v>11952</v>
      </c>
      <c r="AL2230" s="25">
        <v>480000</v>
      </c>
      <c r="AM2230" s="25">
        <v>85900</v>
      </c>
      <c r="AN2230" s="25">
        <v>394100</v>
      </c>
      <c r="AO2230" s="25">
        <v>0</v>
      </c>
      <c r="AP2230" s="25">
        <f>Lookups!$B$56*0</f>
        <v>0</v>
      </c>
      <c r="AQ2230" s="25">
        <f>Lookups!$B$56*1</f>
        <v>89850.625589999996</v>
      </c>
      <c r="AR2230" s="25">
        <f>Lookups!$B$57*Inventory[[#This Row],[LnAcres]]</f>
        <v>-25987.823906604521</v>
      </c>
      <c r="AS2230" s="25">
        <f>VLOOKUP(Inventory[[#This Row],[Qlty]],Lookups!$A$62:$E$75,2,FALSE)</f>
        <v>44121.038090000002</v>
      </c>
      <c r="AT2230" s="25">
        <f>VLOOKUP(Inventory[[#This Row],[Cnd]],Lookups!$A$76:$E$84,2,FALSE)</f>
        <v>197752.34721000001</v>
      </c>
      <c r="AU2230" s="25">
        <f>Inventory[[#This Row],[EffAge]]*Lookups!$B$85</f>
        <v>-13828.827231000001</v>
      </c>
      <c r="AV2230" s="25">
        <f>Inventory[[#This Row],[MainFn]]*Lookups!$B$86</f>
        <v>91455.44794232701</v>
      </c>
      <c r="AW2230" s="25">
        <f>Inventory[[#This Row],[UpprFn]]*Lookups!$B$87</f>
        <v>78600.172121055002</v>
      </c>
      <c r="AX2230" s="25">
        <f>Inventory[[#This Row],[AddFn]]*Lookups!$B$88</f>
        <v>0</v>
      </c>
      <c r="AY2230" s="25">
        <f>Inventory[[#This Row],[Bsmt]]*Lookups!$B$89</f>
        <v>17449.1371482</v>
      </c>
      <c r="AZ2230" s="25">
        <f>Inventory[[#This Row],[Fixtures]]*Lookups!$B$90</f>
        <v>30336.176841600001</v>
      </c>
      <c r="BA2230" s="25">
        <f>Inventory[[#This Row],[WdDeck]]*Lookups!$B$91</f>
        <v>0</v>
      </c>
      <c r="BB2230" s="25">
        <f>ROUND(Inventory[[#This Row],[25Det]],-2)</f>
        <v>12000</v>
      </c>
      <c r="BC2230" s="25">
        <f>ROUND(SUM(Inventory[[#This Row],[Mdl Qlty]:[Mdl WdDeck]])+Inventory[[#This Row],[Mdl Res Intercept]],-2)</f>
        <v>445900</v>
      </c>
      <c r="BD2230" s="25">
        <f>ROUND(Inventory[[#This Row],[Mdl Land Intercept]]+Inventory[[#This Row],[Mdl LnAcres]],-2)</f>
        <v>63900</v>
      </c>
      <c r="BE2230" s="25">
        <f>Inventory[[#This Row],[Unadj Res Value]]+Inventory[[#This Row],[Unadj Det Value]]+Inventory[[#This Row],[Unadj Land Value]]</f>
        <v>521800</v>
      </c>
      <c r="BF2230" s="36">
        <f>(Inventory[[#This Row],[Unadj Total Value]]-Inventory[[#This Row],[24Final]])/Inventory[[#This Row],[24Final]]</f>
        <v>8.7083333333333332E-2</v>
      </c>
      <c r="BG2230" s="25">
        <f>VLOOKUP(Inventory[[#This Row],[Nbhd]],Lookups!$Q$2:$T$4,4,FALSE)</f>
        <v>0.99970000000000003</v>
      </c>
      <c r="BH2230" s="25">
        <f>VLOOKUP(Inventory[[#This Row],[Qlty]],Lookups!$O$7:$R$21,4,FALSE)</f>
        <v>0.98050000000000004</v>
      </c>
      <c r="BI2230" s="25">
        <f>VLOOKUP(Inventory[[#This Row],[Cnd]],Lookups!$T$7:$W$16,4,FALSE)</f>
        <v>0.99650000000000005</v>
      </c>
      <c r="BJ2230" s="25">
        <f>VLOOKUP(Inventory[[#This Row],[LivArea Range]],Lookups!$T$25:$W$37,4,FALSE)</f>
        <v>0.94579999999999997</v>
      </c>
      <c r="BK2230" s="25">
        <f>VLOOKUP(Inventory[[#This Row],[Decade]],Lookups!$O$25:$R$42,4,FALSE)</f>
        <v>0.96040000000000003</v>
      </c>
      <c r="BL2230" s="25">
        <f>Inventory[[#This Row],[Nbhd Adj]]*0.95</f>
        <v>0.94971499999999998</v>
      </c>
      <c r="BM2230" s="25">
        <f>Inventory[[#This Row],[Nbhd Adj]]*Inventory[[#This Row],[Quality Adj]]*Inventory[[#This Row],[Condition Adj]]*Inventory[[#This Row],[Living Area Adj]]*Inventory[[#This Row],[Decade Adj]]*0.95</f>
        <v>0.84288758965297927</v>
      </c>
      <c r="BN2230" s="25">
        <f>ROUND(SUM(Inventory[[#This Row],[Mdl Qlty]:[Mdl WdDeck]])+Inventory[[#This Row],[Mdl Res Intercept]]*Inventory[[#This Row],[Res Adj ]],-2)</f>
        <v>445900</v>
      </c>
      <c r="BO2230" s="25">
        <f>ROUND(Inventory[[#This Row],[25Det]]*Inventory[[#This Row],[Det/Nbhd Adj]],-2)</f>
        <v>11400</v>
      </c>
      <c r="BP2230" s="25">
        <f>Inventory[[#This Row],[Adjusted Res]]+Inventory[[#This Row],[Adj Det ]]</f>
        <v>457300</v>
      </c>
      <c r="BQ2230" s="25">
        <f>ROUND((Inventory[[#This Row],[Mdl Land Intercept]]+Inventory[[#This Row],[Mdl LnAcres]])*Inventory[[#This Row],[Det/Nbhd Adj]],-2)</f>
        <v>60700</v>
      </c>
      <c r="BR2230" s="25">
        <f>Inventory[[#This Row],[Adjusted Impr Total]]+Inventory[[#This Row],[Adjusted Land Total]]</f>
        <v>518000</v>
      </c>
      <c r="BS2230" s="36">
        <f>IFERROR((Inventory[[#This Row],[Adjusted Impr Total]]-Inventory[[#This Row],[24Bldg]])/Inventory[[#This Row],[24Bldg]],0)</f>
        <v>0.16036538949505202</v>
      </c>
      <c r="BT2230" s="36">
        <f>(Inventory[[#This Row],[Adjusted Land Total]]-Inventory[[#This Row],[24Lnd]])/Inventory[[#This Row],[24Lnd]]</f>
        <v>-0.29336437718277064</v>
      </c>
      <c r="BU2230" s="36">
        <f>(Inventory[[#This Row],[Adjusted Total]]-Inventory[[#This Row],[24Final]])/Inventory[[#This Row],[24Final]]</f>
        <v>7.9166666666666663E-2</v>
      </c>
    </row>
    <row r="2231" spans="1:73" x14ac:dyDescent="0.3">
      <c r="A2231" s="25">
        <v>2025</v>
      </c>
      <c r="B2231" s="26" t="s">
        <v>2779</v>
      </c>
      <c r="C2231" s="26">
        <f>LN(Inventory[[#This Row],[Acres]])</f>
        <v>-1.7719568419318752</v>
      </c>
      <c r="D2231" s="25">
        <v>0.17</v>
      </c>
      <c r="E2231" s="32">
        <v>7285</v>
      </c>
      <c r="F2231" s="26" t="s">
        <v>537</v>
      </c>
      <c r="G2231" s="26" t="s">
        <v>126</v>
      </c>
      <c r="H2231" s="26" t="s">
        <v>349</v>
      </c>
      <c r="I2231" s="26" t="s">
        <v>538</v>
      </c>
      <c r="J2231" s="26" t="s">
        <v>539</v>
      </c>
      <c r="K2231" s="26" t="s">
        <v>269</v>
      </c>
      <c r="L2231" s="26" t="s">
        <v>351</v>
      </c>
      <c r="M2231" s="26" t="s">
        <v>303</v>
      </c>
      <c r="N2231" s="26">
        <v>120</v>
      </c>
      <c r="O2231" s="26">
        <f>2024-Inventory[[#This Row],[YrBlt]]</f>
        <v>111</v>
      </c>
      <c r="P2231" s="26">
        <f>2024-Inventory[[#This Row],[EffYr]]</f>
        <v>63</v>
      </c>
      <c r="Q2231" s="25">
        <v>1913</v>
      </c>
      <c r="R2231" s="25">
        <v>1961</v>
      </c>
      <c r="S2231" s="25">
        <v>884</v>
      </c>
      <c r="T2231" s="32">
        <v>390</v>
      </c>
      <c r="U2231" s="25">
        <v>300</v>
      </c>
      <c r="V2231" s="32">
        <f>Inventory[[#This Row],[Bsmt]]-Inventory[[#This Row],[FnBsmt]]</f>
        <v>0</v>
      </c>
      <c r="W2231" s="32">
        <v>300</v>
      </c>
      <c r="X2231" s="27"/>
      <c r="Y2231" s="27">
        <f>Inventory[[#This Row],[MainFn]]+Inventory[[#This Row],[UpprFn]]+Inventory[[#This Row],[FnBsmt]]+Inventory[[#This Row],[AddFn]]</f>
        <v>1574</v>
      </c>
      <c r="Z2231" s="27">
        <v>2000</v>
      </c>
      <c r="AA2231" s="25">
        <v>10</v>
      </c>
      <c r="AB2231" s="27"/>
      <c r="AC2231" s="27"/>
      <c r="AD2231" s="27"/>
      <c r="AE2231" s="27"/>
      <c r="AF2231" s="27"/>
      <c r="AG2231" s="27"/>
      <c r="AH2231" s="27"/>
      <c r="AI2231" s="25">
        <v>256707</v>
      </c>
      <c r="AJ2231" s="25">
        <v>151457</v>
      </c>
      <c r="AK2231" s="25">
        <v>11400</v>
      </c>
      <c r="AL2231" s="25">
        <v>339800</v>
      </c>
      <c r="AM2231" s="25">
        <v>52700</v>
      </c>
      <c r="AN2231" s="25">
        <v>287100</v>
      </c>
      <c r="AO2231" s="25">
        <v>0</v>
      </c>
      <c r="AP2231" s="25">
        <f>Lookups!$B$56*0</f>
        <v>0</v>
      </c>
      <c r="AQ2231" s="25">
        <f>Lookups!$B$56*1</f>
        <v>89850.625589999996</v>
      </c>
      <c r="AR2231" s="25">
        <f>Lookups!$B$57*Inventory[[#This Row],[LnAcres]]</f>
        <v>-56090.612940989391</v>
      </c>
      <c r="AS2231" s="25">
        <f>VLOOKUP(Inventory[[#This Row],[Qlty]],Lookups!$A$62:$E$75,2,FALSE)</f>
        <v>21557.329055999999</v>
      </c>
      <c r="AT2231" s="25">
        <f>VLOOKUP(Inventory[[#This Row],[Cnd]],Lookups!$A$76:$E$84,2,FALSE)</f>
        <v>197752.34721000001</v>
      </c>
      <c r="AU2231" s="25">
        <f>Inventory[[#This Row],[EffAge]]*Lookups!$B$85</f>
        <v>-14051.872831500001</v>
      </c>
      <c r="AV2231" s="25">
        <f>Inventory[[#This Row],[MainFn]]*Lookups!$B$86</f>
        <v>43677.264171267998</v>
      </c>
      <c r="AW2231" s="25">
        <f>Inventory[[#This Row],[UpprFn]]*Lookups!$B$87</f>
        <v>17466.70491579</v>
      </c>
      <c r="AX2231" s="25">
        <f>Inventory[[#This Row],[AddFn]]*Lookups!$B$88</f>
        <v>0</v>
      </c>
      <c r="AY2231" s="25">
        <f>Inventory[[#This Row],[Bsmt]]*Lookups!$B$89</f>
        <v>8724.5685740999998</v>
      </c>
      <c r="AZ2231" s="25">
        <f>Inventory[[#This Row],[Fixtures]]*Lookups!$B$90</f>
        <v>37920.221052000001</v>
      </c>
      <c r="BA2231" s="25">
        <f>Inventory[[#This Row],[WdDeck]]*Lookups!$B$91</f>
        <v>0</v>
      </c>
      <c r="BB2231" s="25">
        <f>ROUND(Inventory[[#This Row],[25Det]],-2)</f>
        <v>11400</v>
      </c>
      <c r="BC2231" s="25">
        <f>ROUND(SUM(Inventory[[#This Row],[Mdl Qlty]:[Mdl WdDeck]])+Inventory[[#This Row],[Mdl Res Intercept]],-2)</f>
        <v>313000</v>
      </c>
      <c r="BD2231" s="25">
        <f>ROUND(Inventory[[#This Row],[Mdl Land Intercept]]+Inventory[[#This Row],[Mdl LnAcres]],-2)</f>
        <v>33800</v>
      </c>
      <c r="BE2231" s="25">
        <f>Inventory[[#This Row],[Unadj Res Value]]+Inventory[[#This Row],[Unadj Det Value]]+Inventory[[#This Row],[Unadj Land Value]]</f>
        <v>358200</v>
      </c>
      <c r="BF2231" s="36">
        <f>(Inventory[[#This Row],[Unadj Total Value]]-Inventory[[#This Row],[24Final]])/Inventory[[#This Row],[24Final]]</f>
        <v>5.4149499705709238E-2</v>
      </c>
      <c r="BG2231" s="25">
        <f>VLOOKUP(Inventory[[#This Row],[Nbhd]],Lookups!$Q$2:$T$4,4,FALSE)</f>
        <v>0.99970000000000003</v>
      </c>
      <c r="BH2231" s="25">
        <f>VLOOKUP(Inventory[[#This Row],[Qlty]],Lookups!$O$7:$R$21,4,FALSE)</f>
        <v>1.0067999999999999</v>
      </c>
      <c r="BI2231" s="25">
        <f>VLOOKUP(Inventory[[#This Row],[Cnd]],Lookups!$T$7:$W$16,4,FALSE)</f>
        <v>0.99650000000000005</v>
      </c>
      <c r="BJ2231" s="25">
        <f>VLOOKUP(Inventory[[#This Row],[LivArea Range]],Lookups!$T$25:$W$37,4,FALSE)</f>
        <v>1.0093000000000001</v>
      </c>
      <c r="BK2231" s="25">
        <f>VLOOKUP(Inventory[[#This Row],[Decade]],Lookups!$O$25:$R$42,4,FALSE)</f>
        <v>0.93389999999999995</v>
      </c>
      <c r="BL2231" s="25">
        <f>Inventory[[#This Row],[Nbhd Adj]]*0.95</f>
        <v>0.94971499999999998</v>
      </c>
      <c r="BM2231" s="25">
        <f>Inventory[[#This Row],[Nbhd Adj]]*Inventory[[#This Row],[Quality Adj]]*Inventory[[#This Row],[Condition Adj]]*Inventory[[#This Row],[Living Area Adj]]*Inventory[[#This Row],[Decade Adj]]*0.95</f>
        <v>0.89812018255865456</v>
      </c>
      <c r="BN2231" s="25">
        <f>ROUND(SUM(Inventory[[#This Row],[Mdl Qlty]:[Mdl WdDeck]])+Inventory[[#This Row],[Mdl Res Intercept]]*Inventory[[#This Row],[Res Adj ]],-2)</f>
        <v>313000</v>
      </c>
      <c r="BO2231" s="25">
        <f>ROUND(Inventory[[#This Row],[25Det]]*Inventory[[#This Row],[Det/Nbhd Adj]],-2)</f>
        <v>10800</v>
      </c>
      <c r="BP2231" s="25">
        <f>Inventory[[#This Row],[Adjusted Res]]+Inventory[[#This Row],[Adj Det ]]</f>
        <v>323800</v>
      </c>
      <c r="BQ2231" s="25">
        <f>ROUND((Inventory[[#This Row],[Mdl Land Intercept]]+Inventory[[#This Row],[Mdl LnAcres]])*Inventory[[#This Row],[Det/Nbhd Adj]],-2)</f>
        <v>32100</v>
      </c>
      <c r="BR2231" s="25">
        <f>Inventory[[#This Row],[Adjusted Impr Total]]+Inventory[[#This Row],[Adjusted Land Total]]</f>
        <v>355900</v>
      </c>
      <c r="BS2231" s="36">
        <f>IFERROR((Inventory[[#This Row],[Adjusted Impr Total]]-Inventory[[#This Row],[24Bldg]])/Inventory[[#This Row],[24Bldg]],0)</f>
        <v>0.12783002438174851</v>
      </c>
      <c r="BT2231" s="36">
        <f>(Inventory[[#This Row],[Adjusted Land Total]]-Inventory[[#This Row],[24Lnd]])/Inventory[[#This Row],[24Lnd]]</f>
        <v>-0.39089184060721061</v>
      </c>
      <c r="BU2231" s="36">
        <f>(Inventory[[#This Row],[Adjusted Total]]-Inventory[[#This Row],[24Final]])/Inventory[[#This Row],[24Final]]</f>
        <v>4.7380812242495587E-2</v>
      </c>
    </row>
    <row r="2232" spans="1:73" x14ac:dyDescent="0.3">
      <c r="A2232" s="25">
        <v>2025</v>
      </c>
      <c r="B2232" s="26" t="s">
        <v>1663</v>
      </c>
      <c r="C2232" s="26">
        <f>LN(Inventory[[#This Row],[Acres]])</f>
        <v>-0.18632957819149348</v>
      </c>
      <c r="D2232" s="25">
        <v>0.83</v>
      </c>
      <c r="E2232" s="25">
        <v>36254</v>
      </c>
      <c r="F2232" s="26" t="s">
        <v>537</v>
      </c>
      <c r="G2232" s="26" t="s">
        <v>126</v>
      </c>
      <c r="H2232" s="26" t="s">
        <v>349</v>
      </c>
      <c r="I2232" s="26" t="s">
        <v>538</v>
      </c>
      <c r="J2232" s="26" t="s">
        <v>539</v>
      </c>
      <c r="K2232" s="26" t="s">
        <v>416</v>
      </c>
      <c r="L2232" s="26" t="s">
        <v>95</v>
      </c>
      <c r="M2232" s="26" t="s">
        <v>323</v>
      </c>
      <c r="N2232" s="26">
        <v>120</v>
      </c>
      <c r="O2232" s="26">
        <f>2024-Inventory[[#This Row],[YrBlt]]</f>
        <v>111</v>
      </c>
      <c r="P2232" s="26">
        <f>2024-Inventory[[#This Row],[EffYr]]</f>
        <v>63</v>
      </c>
      <c r="Q2232" s="25">
        <v>1913</v>
      </c>
      <c r="R2232" s="25">
        <v>1961</v>
      </c>
      <c r="S2232" s="25">
        <v>1364</v>
      </c>
      <c r="T2232" s="32">
        <v>1331</v>
      </c>
      <c r="U2232" s="25">
        <v>1331</v>
      </c>
      <c r="V2232" s="25">
        <f>Inventory[[#This Row],[Bsmt]]-Inventory[[#This Row],[FnBsmt]]</f>
        <v>399</v>
      </c>
      <c r="W2232" s="25">
        <v>932</v>
      </c>
      <c r="X2232" s="27"/>
      <c r="Y2232" s="27">
        <f>Inventory[[#This Row],[MainFn]]+Inventory[[#This Row],[UpprFn]]+Inventory[[#This Row],[FnBsmt]]+Inventory[[#This Row],[AddFn]]</f>
        <v>3627</v>
      </c>
      <c r="Z2232" s="27">
        <v>4000</v>
      </c>
      <c r="AA2232" s="25">
        <v>15</v>
      </c>
      <c r="AB2232" s="27"/>
      <c r="AC2232" s="27"/>
      <c r="AD2232" s="27"/>
      <c r="AE2232" s="27"/>
      <c r="AF2232" s="27"/>
      <c r="AG2232" s="27"/>
      <c r="AH2232" s="27"/>
      <c r="AI2232" s="25">
        <v>680192</v>
      </c>
      <c r="AJ2232" s="25">
        <v>394511</v>
      </c>
      <c r="AK2232" s="25">
        <v>20167</v>
      </c>
      <c r="AL2232" s="25">
        <v>562400</v>
      </c>
      <c r="AM2232" s="25">
        <v>108000</v>
      </c>
      <c r="AN2232" s="25">
        <v>454400</v>
      </c>
      <c r="AO2232" s="25">
        <v>0</v>
      </c>
      <c r="AP2232" s="25">
        <f>Lookups!$B$56*0</f>
        <v>0</v>
      </c>
      <c r="AQ2232" s="25">
        <f>Lookups!$B$56*1</f>
        <v>89850.625589999996</v>
      </c>
      <c r="AR2232" s="25">
        <f>Lookups!$B$57*Inventory[[#This Row],[LnAcres]]</f>
        <v>-5898.19119883434</v>
      </c>
      <c r="AS2232" s="25">
        <f>VLOOKUP(Inventory[[#This Row],[Qlty]],Lookups!$A$62:$E$75,2,FALSE)</f>
        <v>74268.409664999999</v>
      </c>
      <c r="AT2232" s="25">
        <f>VLOOKUP(Inventory[[#This Row],[Cnd]],Lookups!$A$76:$E$84,2,FALSE)</f>
        <v>160472.20319</v>
      </c>
      <c r="AU2232" s="25">
        <f>Inventory[[#This Row],[EffAge]]*Lookups!$B$85</f>
        <v>-14051.872831500001</v>
      </c>
      <c r="AV2232" s="25">
        <f>Inventory[[#This Row],[MainFn]]*Lookups!$B$86</f>
        <v>67393.425712227996</v>
      </c>
      <c r="AW2232" s="25">
        <f>Inventory[[#This Row],[UpprFn]]*Lookups!$B$87</f>
        <v>59610.728827990999</v>
      </c>
      <c r="AX2232" s="25">
        <f>Inventory[[#This Row],[AddFn]]*Lookups!$B$88</f>
        <v>0</v>
      </c>
      <c r="AY2232" s="25">
        <f>Inventory[[#This Row],[Bsmt]]*Lookups!$B$89</f>
        <v>38708.002573756996</v>
      </c>
      <c r="AZ2232" s="25">
        <f>Inventory[[#This Row],[Fixtures]]*Lookups!$B$90</f>
        <v>56880.331578000005</v>
      </c>
      <c r="BA2232" s="25">
        <f>Inventory[[#This Row],[WdDeck]]*Lookups!$B$91</f>
        <v>0</v>
      </c>
      <c r="BB2232" s="25">
        <f>ROUND(Inventory[[#This Row],[25Det]],-2)</f>
        <v>20200</v>
      </c>
      <c r="BC2232" s="25">
        <f>ROUND(SUM(Inventory[[#This Row],[Mdl Qlty]:[Mdl WdDeck]])+Inventory[[#This Row],[Mdl Res Intercept]],-2)</f>
        <v>443300</v>
      </c>
      <c r="BD2232" s="25">
        <f>ROUND(Inventory[[#This Row],[Mdl Land Intercept]]+Inventory[[#This Row],[Mdl LnAcres]],-2)</f>
        <v>84000</v>
      </c>
      <c r="BE2232" s="25">
        <f>Inventory[[#This Row],[Unadj Res Value]]+Inventory[[#This Row],[Unadj Det Value]]+Inventory[[#This Row],[Unadj Land Value]]</f>
        <v>547500</v>
      </c>
      <c r="BF2232" s="36">
        <f>(Inventory[[#This Row],[Unadj Total Value]]-Inventory[[#This Row],[24Final]])/Inventory[[#This Row],[24Final]]</f>
        <v>-2.6493598862019914E-2</v>
      </c>
      <c r="BG2232" s="25">
        <f>VLOOKUP(Inventory[[#This Row],[Nbhd]],Lookups!$Q$2:$T$4,4,FALSE)</f>
        <v>0.99970000000000003</v>
      </c>
      <c r="BH2232" s="25">
        <f>VLOOKUP(Inventory[[#This Row],[Qlty]],Lookups!$O$7:$R$21,4,FALSE)</f>
        <v>0.98380000000000001</v>
      </c>
      <c r="BI2232" s="25">
        <f>VLOOKUP(Inventory[[#This Row],[Cnd]],Lookups!$T$7:$W$16,4,FALSE)</f>
        <v>0.99729999999999996</v>
      </c>
      <c r="BJ2232" s="25">
        <f>VLOOKUP(Inventory[[#This Row],[LivArea Range]],Lookups!$T$25:$W$37,4,FALSE)</f>
        <v>0.94579999999999997</v>
      </c>
      <c r="BK2232" s="25">
        <f>VLOOKUP(Inventory[[#This Row],[Decade]],Lookups!$O$25:$R$42,4,FALSE)</f>
        <v>0.93389999999999995</v>
      </c>
      <c r="BL2232" s="25">
        <f>Inventory[[#This Row],[Nbhd Adj]]*0.95</f>
        <v>0.94971499999999998</v>
      </c>
      <c r="BM2232" s="25">
        <f>Inventory[[#This Row],[Nbhd Adj]]*Inventory[[#This Row],[Quality Adj]]*Inventory[[#This Row],[Condition Adj]]*Inventory[[#This Row],[Living Area Adj]]*Inventory[[#This Row],[Decade Adj]]*0.95</f>
        <v>0.82304886384482856</v>
      </c>
      <c r="BN2232" s="25">
        <f>ROUND(SUM(Inventory[[#This Row],[Mdl Qlty]:[Mdl WdDeck]])+Inventory[[#This Row],[Mdl Res Intercept]]*Inventory[[#This Row],[Res Adj ]],-2)</f>
        <v>443300</v>
      </c>
      <c r="BO2232" s="25">
        <f>ROUND(Inventory[[#This Row],[25Det]]*Inventory[[#This Row],[Det/Nbhd Adj]],-2)</f>
        <v>19200</v>
      </c>
      <c r="BP2232" s="25">
        <f>Inventory[[#This Row],[Adjusted Res]]+Inventory[[#This Row],[Adj Det ]]</f>
        <v>462500</v>
      </c>
      <c r="BQ2232" s="25">
        <f>ROUND((Inventory[[#This Row],[Mdl Land Intercept]]+Inventory[[#This Row],[Mdl LnAcres]])*Inventory[[#This Row],[Det/Nbhd Adj]],-2)</f>
        <v>79700</v>
      </c>
      <c r="BR2232" s="25">
        <f>Inventory[[#This Row],[Adjusted Impr Total]]+Inventory[[#This Row],[Adjusted Land Total]]</f>
        <v>542200</v>
      </c>
      <c r="BS2232" s="36">
        <f>IFERROR((Inventory[[#This Row],[Adjusted Impr Total]]-Inventory[[#This Row],[24Bldg]])/Inventory[[#This Row],[24Bldg]],0)</f>
        <v>1.7825704225352113E-2</v>
      </c>
      <c r="BT2232" s="36">
        <f>(Inventory[[#This Row],[Adjusted Land Total]]-Inventory[[#This Row],[24Lnd]])/Inventory[[#This Row],[24Lnd]]</f>
        <v>-0.26203703703703701</v>
      </c>
      <c r="BU2232" s="36">
        <f>(Inventory[[#This Row],[Adjusted Total]]-Inventory[[#This Row],[24Final]])/Inventory[[#This Row],[24Final]]</f>
        <v>-3.591749644381223E-2</v>
      </c>
    </row>
    <row r="2233" spans="1:73" x14ac:dyDescent="0.3">
      <c r="A2233" s="25">
        <v>2025</v>
      </c>
      <c r="B2233" s="26" t="s">
        <v>2601</v>
      </c>
      <c r="C2233" s="26">
        <f>LN(Inventory[[#This Row],[Acres]])</f>
        <v>-1.3862943611198906</v>
      </c>
      <c r="D2233" s="25">
        <v>0.25</v>
      </c>
      <c r="E2233" s="32">
        <v>10920</v>
      </c>
      <c r="F2233" s="26" t="s">
        <v>537</v>
      </c>
      <c r="G2233" s="26" t="s">
        <v>126</v>
      </c>
      <c r="H2233" s="26" t="s">
        <v>349</v>
      </c>
      <c r="I2233" s="26" t="s">
        <v>538</v>
      </c>
      <c r="J2233" s="26" t="s">
        <v>539</v>
      </c>
      <c r="K2233" s="26" t="s">
        <v>242</v>
      </c>
      <c r="L2233" s="26" t="s">
        <v>148</v>
      </c>
      <c r="M2233" s="26" t="s">
        <v>303</v>
      </c>
      <c r="N2233" s="26">
        <v>120</v>
      </c>
      <c r="O2233" s="26">
        <f>2024-Inventory[[#This Row],[YrBlt]]</f>
        <v>112</v>
      </c>
      <c r="P2233" s="26">
        <f>2024-Inventory[[#This Row],[EffYr]]</f>
        <v>64</v>
      </c>
      <c r="Q2233" s="25">
        <v>1912</v>
      </c>
      <c r="R2233" s="25">
        <v>1960</v>
      </c>
      <c r="S2233" s="25">
        <v>1667</v>
      </c>
      <c r="T2233" s="32">
        <v>1256</v>
      </c>
      <c r="U2233" s="25">
        <v>1536</v>
      </c>
      <c r="V2233" s="32">
        <f>Inventory[[#This Row],[Bsmt]]-Inventory[[#This Row],[FnBsmt]]</f>
        <v>768</v>
      </c>
      <c r="W2233" s="32">
        <v>768</v>
      </c>
      <c r="X2233" s="31"/>
      <c r="Y2233" s="31">
        <f>Inventory[[#This Row],[MainFn]]+Inventory[[#This Row],[UpprFn]]+Inventory[[#This Row],[FnBsmt]]+Inventory[[#This Row],[AddFn]]</f>
        <v>3691</v>
      </c>
      <c r="Z2233" s="27">
        <v>4000</v>
      </c>
      <c r="AA2233" s="25">
        <v>17</v>
      </c>
      <c r="AB2233" s="31"/>
      <c r="AC2233" s="27"/>
      <c r="AD2233" s="27"/>
      <c r="AE2233" s="27"/>
      <c r="AF2233" s="27"/>
      <c r="AG2233" s="27"/>
      <c r="AH2233" s="27"/>
      <c r="AI2233" s="25">
        <v>691359</v>
      </c>
      <c r="AJ2233" s="25">
        <v>400988</v>
      </c>
      <c r="AK2233" s="25">
        <v>11621</v>
      </c>
      <c r="AL2233" s="25">
        <v>497800</v>
      </c>
      <c r="AM2233" s="25">
        <v>66200</v>
      </c>
      <c r="AN2233" s="25">
        <v>431600</v>
      </c>
      <c r="AO2233" s="25">
        <v>0</v>
      </c>
      <c r="AP2233" s="25">
        <f>Lookups!$B$56*0</f>
        <v>0</v>
      </c>
      <c r="AQ2233" s="25">
        <f>Lookups!$B$56*1</f>
        <v>89850.625589999996</v>
      </c>
      <c r="AR2233" s="25">
        <f>Lookups!$B$57*Inventory[[#This Row],[LnAcres]]</f>
        <v>-43882.615305165229</v>
      </c>
      <c r="AS2233" s="25">
        <f>VLOOKUP(Inventory[[#This Row],[Qlty]],Lookups!$A$62:$E$75,2,FALSE)</f>
        <v>44121.038090000002</v>
      </c>
      <c r="AT2233" s="25">
        <f>VLOOKUP(Inventory[[#This Row],[Cnd]],Lookups!$A$76:$E$84,2,FALSE)</f>
        <v>197752.34721000001</v>
      </c>
      <c r="AU2233" s="25">
        <f>Inventory[[#This Row],[EffAge]]*Lookups!$B$85</f>
        <v>-14274.918432</v>
      </c>
      <c r="AV2233" s="25">
        <f>Inventory[[#This Row],[MainFn]]*Lookups!$B$86</f>
        <v>82364.252684959007</v>
      </c>
      <c r="AW2233" s="25">
        <f>Inventory[[#This Row],[UpprFn]]*Lookups!$B$87</f>
        <v>56251.747113416001</v>
      </c>
      <c r="AX2233" s="25">
        <f>Inventory[[#This Row],[AddFn]]*Lookups!$B$88</f>
        <v>0</v>
      </c>
      <c r="AY2233" s="25">
        <f>Inventory[[#This Row],[Bsmt]]*Lookups!$B$89</f>
        <v>44669.791099391994</v>
      </c>
      <c r="AZ2233" s="25">
        <f>Inventory[[#This Row],[Fixtures]]*Lookups!$B$90</f>
        <v>64464.375788400001</v>
      </c>
      <c r="BA2233" s="25">
        <f>Inventory[[#This Row],[WdDeck]]*Lookups!$B$91</f>
        <v>0</v>
      </c>
      <c r="BB2233" s="25">
        <f>ROUND(Inventory[[#This Row],[25Det]],-2)</f>
        <v>11600</v>
      </c>
      <c r="BC2233" s="25">
        <f>ROUND(SUM(Inventory[[#This Row],[Mdl Qlty]:[Mdl WdDeck]])+Inventory[[#This Row],[Mdl Res Intercept]],-2)</f>
        <v>475300</v>
      </c>
      <c r="BD2233" s="25">
        <f>ROUND(Inventory[[#This Row],[Mdl Land Intercept]]+Inventory[[#This Row],[Mdl LnAcres]],-2)</f>
        <v>46000</v>
      </c>
      <c r="BE2233" s="25">
        <f>Inventory[[#This Row],[Unadj Res Value]]+Inventory[[#This Row],[Unadj Det Value]]+Inventory[[#This Row],[Unadj Land Value]]</f>
        <v>532900</v>
      </c>
      <c r="BF2233" s="36">
        <f>(Inventory[[#This Row],[Unadj Total Value]]-Inventory[[#This Row],[24Final]])/Inventory[[#This Row],[24Final]]</f>
        <v>7.0510245078344719E-2</v>
      </c>
      <c r="BG2233" s="25">
        <f>VLOOKUP(Inventory[[#This Row],[Nbhd]],Lookups!$Q$2:$T$4,4,FALSE)</f>
        <v>0.99970000000000003</v>
      </c>
      <c r="BH2233" s="25">
        <f>VLOOKUP(Inventory[[#This Row],[Qlty]],Lookups!$O$7:$R$21,4,FALSE)</f>
        <v>0.98050000000000004</v>
      </c>
      <c r="BI2233" s="25">
        <f>VLOOKUP(Inventory[[#This Row],[Cnd]],Lookups!$T$7:$W$16,4,FALSE)</f>
        <v>0.99650000000000005</v>
      </c>
      <c r="BJ2233" s="25">
        <f>VLOOKUP(Inventory[[#This Row],[LivArea Range]],Lookups!$T$25:$W$37,4,FALSE)</f>
        <v>0.94579999999999997</v>
      </c>
      <c r="BK2233" s="25">
        <f>VLOOKUP(Inventory[[#This Row],[Decade]],Lookups!$O$25:$R$42,4,FALSE)</f>
        <v>0.93389999999999995</v>
      </c>
      <c r="BL2233" s="25">
        <f>Inventory[[#This Row],[Nbhd Adj]]*0.95</f>
        <v>0.94971499999999998</v>
      </c>
      <c r="BM2233" s="25">
        <f>Inventory[[#This Row],[Nbhd Adj]]*Inventory[[#This Row],[Quality Adj]]*Inventory[[#This Row],[Condition Adj]]*Inventory[[#This Row],[Living Area Adj]]*Inventory[[#This Row],[Decade Adj]]*0.95</f>
        <v>0.81963007077979733</v>
      </c>
      <c r="BN2233" s="25">
        <f>ROUND(SUM(Inventory[[#This Row],[Mdl Qlty]:[Mdl WdDeck]])+Inventory[[#This Row],[Mdl Res Intercept]]*Inventory[[#This Row],[Res Adj ]],-2)</f>
        <v>475300</v>
      </c>
      <c r="BO2233" s="25">
        <f>ROUND(Inventory[[#This Row],[25Det]]*Inventory[[#This Row],[Det/Nbhd Adj]],-2)</f>
        <v>11000</v>
      </c>
      <c r="BP2233" s="25">
        <f>Inventory[[#This Row],[Adjusted Res]]+Inventory[[#This Row],[Adj Det ]]</f>
        <v>486300</v>
      </c>
      <c r="BQ2233" s="25">
        <f>ROUND((Inventory[[#This Row],[Mdl Land Intercept]]+Inventory[[#This Row],[Mdl LnAcres]])*Inventory[[#This Row],[Det/Nbhd Adj]],-2)</f>
        <v>43700</v>
      </c>
      <c r="BR2233" s="25">
        <f>Inventory[[#This Row],[Adjusted Impr Total]]+Inventory[[#This Row],[Adjusted Land Total]]</f>
        <v>530000</v>
      </c>
      <c r="BS2233" s="36">
        <f>IFERROR((Inventory[[#This Row],[Adjusted Impr Total]]-Inventory[[#This Row],[24Bldg]])/Inventory[[#This Row],[24Bldg]],0)</f>
        <v>0.12673772011121409</v>
      </c>
      <c r="BT2233" s="36">
        <f>(Inventory[[#This Row],[Adjusted Land Total]]-Inventory[[#This Row],[24Lnd]])/Inventory[[#This Row],[24Lnd]]</f>
        <v>-0.33987915407854985</v>
      </c>
      <c r="BU2233" s="36">
        <f>(Inventory[[#This Row],[Adjusted Total]]-Inventory[[#This Row],[24Final]])/Inventory[[#This Row],[24Final]]</f>
        <v>6.4684612294094015E-2</v>
      </c>
    </row>
    <row r="2234" spans="1:73" x14ac:dyDescent="0.3">
      <c r="A2234" s="25">
        <v>2025</v>
      </c>
      <c r="B2234" s="26" t="s">
        <v>1680</v>
      </c>
      <c r="C2234" s="26">
        <f>LN(Inventory[[#This Row],[Acres]])</f>
        <v>-1.2378743560016174</v>
      </c>
      <c r="D2234" s="25">
        <v>0.28999999999999998</v>
      </c>
      <c r="E2234" s="27"/>
      <c r="F2234" s="26" t="s">
        <v>537</v>
      </c>
      <c r="G2234" s="26" t="s">
        <v>126</v>
      </c>
      <c r="H2234" s="26" t="s">
        <v>349</v>
      </c>
      <c r="I2234" s="26" t="s">
        <v>538</v>
      </c>
      <c r="J2234" s="26" t="s">
        <v>539</v>
      </c>
      <c r="K2234" s="26" t="s">
        <v>416</v>
      </c>
      <c r="L2234" s="26" t="s">
        <v>351</v>
      </c>
      <c r="M2234" s="26" t="s">
        <v>303</v>
      </c>
      <c r="N2234" s="26">
        <v>120</v>
      </c>
      <c r="O2234" s="26">
        <f>2024-Inventory[[#This Row],[YrBlt]]</f>
        <v>113</v>
      </c>
      <c r="P2234" s="26">
        <f>2024-Inventory[[#This Row],[EffYr]]</f>
        <v>65</v>
      </c>
      <c r="Q2234" s="25">
        <v>1911</v>
      </c>
      <c r="R2234" s="25">
        <v>1959</v>
      </c>
      <c r="S2234" s="25">
        <v>1101</v>
      </c>
      <c r="T2234" s="25">
        <v>990</v>
      </c>
      <c r="U2234" s="32">
        <v>930</v>
      </c>
      <c r="V2234" s="32">
        <f>Inventory[[#This Row],[Bsmt]]-Inventory[[#This Row],[FnBsmt]]</f>
        <v>930</v>
      </c>
      <c r="W2234" s="27"/>
      <c r="X2234" s="27"/>
      <c r="Y2234" s="27">
        <f>Inventory[[#This Row],[MainFn]]+Inventory[[#This Row],[UpprFn]]+Inventory[[#This Row],[FnBsmt]]+Inventory[[#This Row],[AddFn]]</f>
        <v>2091</v>
      </c>
      <c r="Z2234" s="27">
        <v>2500</v>
      </c>
      <c r="AA2234" s="25">
        <v>8</v>
      </c>
      <c r="AB2234" s="27"/>
      <c r="AC2234" s="27"/>
      <c r="AD2234" s="32">
        <v>160</v>
      </c>
      <c r="AE2234" s="27"/>
      <c r="AF2234" s="27"/>
      <c r="AG2234" s="27"/>
      <c r="AH2234" s="27"/>
      <c r="AI2234" s="25">
        <v>338756</v>
      </c>
      <c r="AJ2234" s="25">
        <v>193091</v>
      </c>
      <c r="AK2234" s="25">
        <v>0</v>
      </c>
      <c r="AL2234" s="25">
        <v>378800</v>
      </c>
      <c r="AM2234" s="25">
        <v>71400</v>
      </c>
      <c r="AN2234" s="25">
        <v>307400</v>
      </c>
      <c r="AO2234" s="25">
        <v>0</v>
      </c>
      <c r="AP2234" s="25">
        <f>Lookups!$B$56*0</f>
        <v>0</v>
      </c>
      <c r="AQ2234" s="25">
        <f>Lookups!$B$56*1</f>
        <v>89850.625589999996</v>
      </c>
      <c r="AR2234" s="25">
        <f>Lookups!$B$57*Inventory[[#This Row],[LnAcres]]</f>
        <v>-39184.437074869042</v>
      </c>
      <c r="AS2234" s="25">
        <f>VLOOKUP(Inventory[[#This Row],[Qlty]],Lookups!$A$62:$E$75,2,FALSE)</f>
        <v>21557.329055999999</v>
      </c>
      <c r="AT2234" s="25">
        <f>VLOOKUP(Inventory[[#This Row],[Cnd]],Lookups!$A$76:$E$84,2,FALSE)</f>
        <v>197752.34721000001</v>
      </c>
      <c r="AU2234" s="25">
        <f>Inventory[[#This Row],[EffAge]]*Lookups!$B$85</f>
        <v>-14497.9640325</v>
      </c>
      <c r="AV2234" s="25">
        <f>Inventory[[#This Row],[MainFn]]*Lookups!$B$86</f>
        <v>54398.945534577004</v>
      </c>
      <c r="AW2234" s="25">
        <f>Inventory[[#This Row],[UpprFn]]*Lookups!$B$87</f>
        <v>44338.558632389999</v>
      </c>
      <c r="AX2234" s="25">
        <f>Inventory[[#This Row],[AddFn]]*Lookups!$B$88</f>
        <v>0</v>
      </c>
      <c r="AY2234" s="25">
        <f>Inventory[[#This Row],[Bsmt]]*Lookups!$B$89</f>
        <v>27046.162579709999</v>
      </c>
      <c r="AZ2234" s="25">
        <f>Inventory[[#This Row],[Fixtures]]*Lookups!$B$90</f>
        <v>30336.176841600001</v>
      </c>
      <c r="BA2234" s="25">
        <f>Inventory[[#This Row],[WdDeck]]*Lookups!$B$91</f>
        <v>5327.2824441600005</v>
      </c>
      <c r="BB2234" s="25">
        <f>ROUND(Inventory[[#This Row],[25Det]],-2)</f>
        <v>0</v>
      </c>
      <c r="BC2234" s="25">
        <f>ROUND(SUM(Inventory[[#This Row],[Mdl Qlty]:[Mdl WdDeck]])+Inventory[[#This Row],[Mdl Res Intercept]],-2)</f>
        <v>366300</v>
      </c>
      <c r="BD2234" s="25">
        <f>ROUND(Inventory[[#This Row],[Mdl Land Intercept]]+Inventory[[#This Row],[Mdl LnAcres]],-2)</f>
        <v>50700</v>
      </c>
      <c r="BE2234" s="25">
        <f>Inventory[[#This Row],[Unadj Res Value]]+Inventory[[#This Row],[Unadj Det Value]]+Inventory[[#This Row],[Unadj Land Value]]</f>
        <v>417000</v>
      </c>
      <c r="BF2234" s="36">
        <f>(Inventory[[#This Row],[Unadj Total Value]]-Inventory[[#This Row],[24Final]])/Inventory[[#This Row],[24Final]]</f>
        <v>0.10084477296726505</v>
      </c>
      <c r="BG2234" s="25">
        <f>VLOOKUP(Inventory[[#This Row],[Nbhd]],Lookups!$Q$2:$T$4,4,FALSE)</f>
        <v>0.99970000000000003</v>
      </c>
      <c r="BH2234" s="25">
        <f>VLOOKUP(Inventory[[#This Row],[Qlty]],Lookups!$O$7:$R$21,4,FALSE)</f>
        <v>1.0067999999999999</v>
      </c>
      <c r="BI2234" s="25">
        <f>VLOOKUP(Inventory[[#This Row],[Cnd]],Lookups!$T$7:$W$16,4,FALSE)</f>
        <v>0.99650000000000005</v>
      </c>
      <c r="BJ2234" s="25">
        <f>VLOOKUP(Inventory[[#This Row],[LivArea Range]],Lookups!$T$25:$W$37,4,FALSE)</f>
        <v>0.98919999999999997</v>
      </c>
      <c r="BK2234" s="25">
        <f>VLOOKUP(Inventory[[#This Row],[Decade]],Lookups!$O$25:$R$42,4,FALSE)</f>
        <v>0.93389999999999995</v>
      </c>
      <c r="BL2234" s="25">
        <f>Inventory[[#This Row],[Nbhd Adj]]*0.95</f>
        <v>0.94971499999999998</v>
      </c>
      <c r="BM2234" s="25">
        <f>Inventory[[#This Row],[Nbhd Adj]]*Inventory[[#This Row],[Quality Adj]]*Inventory[[#This Row],[Condition Adj]]*Inventory[[#This Row],[Living Area Adj]]*Inventory[[#This Row],[Decade Adj]]*0.95</f>
        <v>0.88023430554544835</v>
      </c>
      <c r="BN2234" s="25">
        <f>ROUND(SUM(Inventory[[#This Row],[Mdl Qlty]:[Mdl WdDeck]])+Inventory[[#This Row],[Mdl Res Intercept]]*Inventory[[#This Row],[Res Adj ]],-2)</f>
        <v>366300</v>
      </c>
      <c r="BO2234" s="25">
        <f>ROUND(Inventory[[#This Row],[25Det]]*Inventory[[#This Row],[Det/Nbhd Adj]],-2)</f>
        <v>0</v>
      </c>
      <c r="BP2234" s="25">
        <f>Inventory[[#This Row],[Adjusted Res]]+Inventory[[#This Row],[Adj Det ]]</f>
        <v>366300</v>
      </c>
      <c r="BQ2234" s="25">
        <f>ROUND((Inventory[[#This Row],[Mdl Land Intercept]]+Inventory[[#This Row],[Mdl LnAcres]])*Inventory[[#This Row],[Det/Nbhd Adj]],-2)</f>
        <v>48100</v>
      </c>
      <c r="BR2234" s="25">
        <f>Inventory[[#This Row],[Adjusted Impr Total]]+Inventory[[#This Row],[Adjusted Land Total]]</f>
        <v>414400</v>
      </c>
      <c r="BS2234" s="36">
        <f>IFERROR((Inventory[[#This Row],[Adjusted Impr Total]]-Inventory[[#This Row],[24Bldg]])/Inventory[[#This Row],[24Bldg]],0)</f>
        <v>0.19160702667534157</v>
      </c>
      <c r="BT2234" s="36">
        <f>(Inventory[[#This Row],[Adjusted Land Total]]-Inventory[[#This Row],[24Lnd]])/Inventory[[#This Row],[24Lnd]]</f>
        <v>-0.32633053221288516</v>
      </c>
      <c r="BU2234" s="36">
        <f>(Inventory[[#This Row],[Adjusted Total]]-Inventory[[#This Row],[24Final]])/Inventory[[#This Row],[24Final]]</f>
        <v>9.398099260823653E-2</v>
      </c>
    </row>
    <row r="2235" spans="1:73" x14ac:dyDescent="0.3">
      <c r="A2235" s="25">
        <v>2025</v>
      </c>
      <c r="B2235" s="26" t="s">
        <v>1656</v>
      </c>
      <c r="C2235" s="26">
        <f>LN(Inventory[[#This Row],[Acres]])</f>
        <v>-0.77652878949899629</v>
      </c>
      <c r="D2235" s="25">
        <v>0.46</v>
      </c>
      <c r="E2235" s="32">
        <v>19841</v>
      </c>
      <c r="F2235" s="26" t="s">
        <v>537</v>
      </c>
      <c r="G2235" s="26" t="s">
        <v>126</v>
      </c>
      <c r="H2235" s="26" t="s">
        <v>349</v>
      </c>
      <c r="I2235" s="26" t="s">
        <v>538</v>
      </c>
      <c r="J2235" s="26" t="s">
        <v>539</v>
      </c>
      <c r="K2235" s="26" t="s">
        <v>448</v>
      </c>
      <c r="L2235" s="26" t="s">
        <v>302</v>
      </c>
      <c r="M2235" s="26" t="s">
        <v>303</v>
      </c>
      <c r="N2235" s="26">
        <v>120</v>
      </c>
      <c r="O2235" s="26">
        <f>2024-Inventory[[#This Row],[YrBlt]]</f>
        <v>113</v>
      </c>
      <c r="P2235" s="26">
        <f>2024-Inventory[[#This Row],[EffYr]]</f>
        <v>45</v>
      </c>
      <c r="Q2235" s="25">
        <v>1911</v>
      </c>
      <c r="R2235" s="25">
        <v>1979</v>
      </c>
      <c r="S2235" s="25">
        <v>1267</v>
      </c>
      <c r="T2235" s="32">
        <v>1056</v>
      </c>
      <c r="U2235" s="32">
        <v>840</v>
      </c>
      <c r="V2235" s="32">
        <f>Inventory[[#This Row],[Bsmt]]-Inventory[[#This Row],[FnBsmt]]</f>
        <v>840</v>
      </c>
      <c r="W2235" s="32">
        <v>0</v>
      </c>
      <c r="X2235" s="27"/>
      <c r="Y2235" s="27">
        <f>Inventory[[#This Row],[MainFn]]+Inventory[[#This Row],[UpprFn]]+Inventory[[#This Row],[FnBsmt]]+Inventory[[#This Row],[AddFn]]</f>
        <v>2323</v>
      </c>
      <c r="Z2235" s="27">
        <v>2500</v>
      </c>
      <c r="AA2235" s="25">
        <v>8</v>
      </c>
      <c r="AB2235" s="31"/>
      <c r="AC2235" s="27"/>
      <c r="AD2235" s="27"/>
      <c r="AE2235" s="27"/>
      <c r="AF2235" s="27"/>
      <c r="AG2235" s="27"/>
      <c r="AH2235" s="27"/>
      <c r="AI2235" s="25">
        <v>438793</v>
      </c>
      <c r="AJ2235" s="25">
        <v>342259</v>
      </c>
      <c r="AK2235" s="25">
        <v>10297</v>
      </c>
      <c r="AL2235" s="25">
        <v>421200</v>
      </c>
      <c r="AM2235" s="25">
        <v>87500</v>
      </c>
      <c r="AN2235" s="25">
        <v>333700</v>
      </c>
      <c r="AO2235" s="25">
        <v>0</v>
      </c>
      <c r="AP2235" s="25">
        <f>Lookups!$B$56*0</f>
        <v>0</v>
      </c>
      <c r="AQ2235" s="25">
        <f>Lookups!$B$56*1</f>
        <v>89850.625589999996</v>
      </c>
      <c r="AR2235" s="25">
        <f>Lookups!$B$57*Inventory[[#This Row],[LnAcres]]</f>
        <v>-24580.720443414604</v>
      </c>
      <c r="AS2235" s="25">
        <f>VLOOKUP(Inventory[[#This Row],[Qlty]],Lookups!$A$62:$E$75,2,FALSE)</f>
        <v>29814.093161000001</v>
      </c>
      <c r="AT2235" s="25">
        <f>VLOOKUP(Inventory[[#This Row],[Cnd]],Lookups!$A$76:$E$84,2,FALSE)</f>
        <v>197752.34721000001</v>
      </c>
      <c r="AU2235" s="25">
        <f>Inventory[[#This Row],[EffAge]]*Lookups!$B$85</f>
        <v>-10037.0520225</v>
      </c>
      <c r="AV2235" s="25">
        <f>Inventory[[#This Row],[MainFn]]*Lookups!$B$86</f>
        <v>62600.784734159002</v>
      </c>
      <c r="AW2235" s="25">
        <f>Inventory[[#This Row],[UpprFn]]*Lookups!$B$87</f>
        <v>47294.462541215995</v>
      </c>
      <c r="AX2235" s="25">
        <f>Inventory[[#This Row],[AddFn]]*Lookups!$B$88</f>
        <v>0</v>
      </c>
      <c r="AY2235" s="25">
        <f>Inventory[[#This Row],[Bsmt]]*Lookups!$B$89</f>
        <v>24428.792007479999</v>
      </c>
      <c r="AZ2235" s="25">
        <f>Inventory[[#This Row],[Fixtures]]*Lookups!$B$90</f>
        <v>30336.176841600001</v>
      </c>
      <c r="BA2235" s="25">
        <f>Inventory[[#This Row],[WdDeck]]*Lookups!$B$91</f>
        <v>0</v>
      </c>
      <c r="BB2235" s="25">
        <f>ROUND(Inventory[[#This Row],[25Det]],-2)</f>
        <v>10300</v>
      </c>
      <c r="BC2235" s="25">
        <f>ROUND(SUM(Inventory[[#This Row],[Mdl Qlty]:[Mdl WdDeck]])+Inventory[[#This Row],[Mdl Res Intercept]],-2)</f>
        <v>382200</v>
      </c>
      <c r="BD2235" s="25">
        <f>ROUND(Inventory[[#This Row],[Mdl Land Intercept]]+Inventory[[#This Row],[Mdl LnAcres]],-2)</f>
        <v>65300</v>
      </c>
      <c r="BE2235" s="25">
        <f>Inventory[[#This Row],[Unadj Res Value]]+Inventory[[#This Row],[Unadj Det Value]]+Inventory[[#This Row],[Unadj Land Value]]</f>
        <v>457800</v>
      </c>
      <c r="BF2235" s="36">
        <f>(Inventory[[#This Row],[Unadj Total Value]]-Inventory[[#This Row],[24Final]])/Inventory[[#This Row],[24Final]]</f>
        <v>8.68945868945869E-2</v>
      </c>
      <c r="BG2235" s="25">
        <f>VLOOKUP(Inventory[[#This Row],[Nbhd]],Lookups!$Q$2:$T$4,4,FALSE)</f>
        <v>0.99970000000000003</v>
      </c>
      <c r="BH2235" s="25">
        <f>VLOOKUP(Inventory[[#This Row],[Qlty]],Lookups!$O$7:$R$21,4,FALSE)</f>
        <v>1.0088999999999999</v>
      </c>
      <c r="BI2235" s="25">
        <f>VLOOKUP(Inventory[[#This Row],[Cnd]],Lookups!$T$7:$W$16,4,FALSE)</f>
        <v>0.99650000000000005</v>
      </c>
      <c r="BJ2235" s="25">
        <f>VLOOKUP(Inventory[[#This Row],[LivArea Range]],Lookups!$T$25:$W$37,4,FALSE)</f>
        <v>0.98919999999999997</v>
      </c>
      <c r="BK2235" s="25">
        <f>VLOOKUP(Inventory[[#This Row],[Decade]],Lookups!$O$25:$R$42,4,FALSE)</f>
        <v>0.93389999999999995</v>
      </c>
      <c r="BL2235" s="25">
        <f>Inventory[[#This Row],[Nbhd Adj]]*0.95</f>
        <v>0.94971499999999998</v>
      </c>
      <c r="BM2235" s="25">
        <f>Inventory[[#This Row],[Nbhd Adj]]*Inventory[[#This Row],[Quality Adj]]*Inventory[[#This Row],[Condition Adj]]*Inventory[[#This Row],[Living Area Adj]]*Inventory[[#This Row],[Decade Adj]]*0.95</f>
        <v>0.88207031273818337</v>
      </c>
      <c r="BN2235" s="25">
        <f>ROUND(SUM(Inventory[[#This Row],[Mdl Qlty]:[Mdl WdDeck]])+Inventory[[#This Row],[Mdl Res Intercept]]*Inventory[[#This Row],[Res Adj ]],-2)</f>
        <v>382200</v>
      </c>
      <c r="BO2235" s="25">
        <f>ROUND(Inventory[[#This Row],[25Det]]*Inventory[[#This Row],[Det/Nbhd Adj]],-2)</f>
        <v>9800</v>
      </c>
      <c r="BP2235" s="25">
        <f>Inventory[[#This Row],[Adjusted Res]]+Inventory[[#This Row],[Adj Det ]]</f>
        <v>392000</v>
      </c>
      <c r="BQ2235" s="25">
        <f>ROUND((Inventory[[#This Row],[Mdl Land Intercept]]+Inventory[[#This Row],[Mdl LnAcres]])*Inventory[[#This Row],[Det/Nbhd Adj]],-2)</f>
        <v>62000</v>
      </c>
      <c r="BR2235" s="25">
        <f>Inventory[[#This Row],[Adjusted Impr Total]]+Inventory[[#This Row],[Adjusted Land Total]]</f>
        <v>454000</v>
      </c>
      <c r="BS2235" s="36">
        <f>IFERROR((Inventory[[#This Row],[Adjusted Impr Total]]-Inventory[[#This Row],[24Bldg]])/Inventory[[#This Row],[24Bldg]],0)</f>
        <v>0.1747078213964639</v>
      </c>
      <c r="BT2235" s="36">
        <f>(Inventory[[#This Row],[Adjusted Land Total]]-Inventory[[#This Row],[24Lnd]])/Inventory[[#This Row],[24Lnd]]</f>
        <v>-0.29142857142857143</v>
      </c>
      <c r="BU2235" s="36">
        <f>(Inventory[[#This Row],[Adjusted Total]]-Inventory[[#This Row],[24Final]])/Inventory[[#This Row],[24Final]]</f>
        <v>7.7872744539411204E-2</v>
      </c>
    </row>
    <row r="2236" spans="1:73" x14ac:dyDescent="0.3">
      <c r="A2236" s="25">
        <v>2025</v>
      </c>
      <c r="B2236" s="26" t="s">
        <v>1120</v>
      </c>
      <c r="C2236" s="26">
        <f>LN(Inventory[[#This Row],[Acres]])</f>
        <v>-1.5606477482646683</v>
      </c>
      <c r="D2236" s="25">
        <v>0.21</v>
      </c>
      <c r="E2236" s="27"/>
      <c r="F2236" s="26" t="s">
        <v>537</v>
      </c>
      <c r="G2236" s="26" t="s">
        <v>126</v>
      </c>
      <c r="H2236" s="26" t="s">
        <v>349</v>
      </c>
      <c r="I2236" s="26" t="s">
        <v>538</v>
      </c>
      <c r="J2236" s="26" t="s">
        <v>539</v>
      </c>
      <c r="K2236" s="26" t="s">
        <v>301</v>
      </c>
      <c r="L2236" s="26" t="s">
        <v>95</v>
      </c>
      <c r="M2236" s="26" t="s">
        <v>303</v>
      </c>
      <c r="N2236" s="26">
        <v>120</v>
      </c>
      <c r="O2236" s="26">
        <f>2024-Inventory[[#This Row],[YrBlt]]</f>
        <v>113</v>
      </c>
      <c r="P2236" s="26">
        <f>2024-Inventory[[#This Row],[EffYr]]</f>
        <v>65</v>
      </c>
      <c r="Q2236" s="25">
        <v>1911</v>
      </c>
      <c r="R2236" s="25">
        <v>1959</v>
      </c>
      <c r="S2236" s="25">
        <v>1378</v>
      </c>
      <c r="T2236" s="32">
        <v>1056</v>
      </c>
      <c r="U2236" s="25">
        <v>1056</v>
      </c>
      <c r="V2236" s="25">
        <f>Inventory[[#This Row],[Bsmt]]-Inventory[[#This Row],[FnBsmt]]</f>
        <v>1056</v>
      </c>
      <c r="W2236" s="31"/>
      <c r="X2236" s="27"/>
      <c r="Y2236" s="27">
        <f>Inventory[[#This Row],[MainFn]]+Inventory[[#This Row],[UpprFn]]+Inventory[[#This Row],[FnBsmt]]+Inventory[[#This Row],[AddFn]]</f>
        <v>2434</v>
      </c>
      <c r="Z2236" s="27">
        <v>2500</v>
      </c>
      <c r="AA2236" s="25">
        <v>11</v>
      </c>
      <c r="AB2236" s="27"/>
      <c r="AC2236" s="27"/>
      <c r="AD2236" s="31"/>
      <c r="AE2236" s="27"/>
      <c r="AF2236" s="27"/>
      <c r="AG2236" s="27"/>
      <c r="AH2236" s="27"/>
      <c r="AI2236" s="25">
        <v>577082</v>
      </c>
      <c r="AJ2236" s="25">
        <v>334708</v>
      </c>
      <c r="AK2236" s="25">
        <v>10143</v>
      </c>
      <c r="AL2236" s="25">
        <v>476600</v>
      </c>
      <c r="AM2236" s="25">
        <v>60100</v>
      </c>
      <c r="AN2236" s="25">
        <v>416500</v>
      </c>
      <c r="AO2236" s="25">
        <v>0</v>
      </c>
      <c r="AP2236" s="25">
        <f>Lookups!$B$56*0</f>
        <v>0</v>
      </c>
      <c r="AQ2236" s="25">
        <f>Lookups!$B$56*1</f>
        <v>89850.625589999996</v>
      </c>
      <c r="AR2236" s="25">
        <f>Lookups!$B$57*Inventory[[#This Row],[LnAcres]]</f>
        <v>-49401.70477837498</v>
      </c>
      <c r="AS2236" s="25">
        <f>VLOOKUP(Inventory[[#This Row],[Qlty]],Lookups!$A$62:$E$75,2,FALSE)</f>
        <v>74268.409664999999</v>
      </c>
      <c r="AT2236" s="25">
        <f>VLOOKUP(Inventory[[#This Row],[Cnd]],Lookups!$A$76:$E$84,2,FALSE)</f>
        <v>197752.34721000001</v>
      </c>
      <c r="AU2236" s="25">
        <f>Inventory[[#This Row],[EffAge]]*Lookups!$B$85</f>
        <v>-14497.9640325</v>
      </c>
      <c r="AV2236" s="25">
        <f>Inventory[[#This Row],[MainFn]]*Lookups!$B$86</f>
        <v>68085.147090505998</v>
      </c>
      <c r="AW2236" s="25">
        <f>Inventory[[#This Row],[UpprFn]]*Lookups!$B$87</f>
        <v>47294.462541215995</v>
      </c>
      <c r="AX2236" s="25">
        <f>Inventory[[#This Row],[AddFn]]*Lookups!$B$88</f>
        <v>0</v>
      </c>
      <c r="AY2236" s="25">
        <f>Inventory[[#This Row],[Bsmt]]*Lookups!$B$89</f>
        <v>30710.481380832</v>
      </c>
      <c r="AZ2236" s="25">
        <f>Inventory[[#This Row],[Fixtures]]*Lookups!$B$90</f>
        <v>41712.243157199999</v>
      </c>
      <c r="BA2236" s="25">
        <f>Inventory[[#This Row],[WdDeck]]*Lookups!$B$91</f>
        <v>0</v>
      </c>
      <c r="BB2236" s="25">
        <f>ROUND(Inventory[[#This Row],[25Det]],-2)</f>
        <v>10100</v>
      </c>
      <c r="BC2236" s="25">
        <f>ROUND(SUM(Inventory[[#This Row],[Mdl Qlty]:[Mdl WdDeck]])+Inventory[[#This Row],[Mdl Res Intercept]],-2)</f>
        <v>445300</v>
      </c>
      <c r="BD2236" s="25">
        <f>ROUND(Inventory[[#This Row],[Mdl Land Intercept]]+Inventory[[#This Row],[Mdl LnAcres]],-2)</f>
        <v>40400</v>
      </c>
      <c r="BE2236" s="25">
        <f>Inventory[[#This Row],[Unadj Res Value]]+Inventory[[#This Row],[Unadj Det Value]]+Inventory[[#This Row],[Unadj Land Value]]</f>
        <v>495800</v>
      </c>
      <c r="BF2236" s="36">
        <f>(Inventory[[#This Row],[Unadj Total Value]]-Inventory[[#This Row],[24Final]])/Inventory[[#This Row],[24Final]]</f>
        <v>4.0285354595048256E-2</v>
      </c>
      <c r="BG2236" s="25">
        <f>VLOOKUP(Inventory[[#This Row],[Nbhd]],Lookups!$Q$2:$T$4,4,FALSE)</f>
        <v>0.99970000000000003</v>
      </c>
      <c r="BH2236" s="25">
        <f>VLOOKUP(Inventory[[#This Row],[Qlty]],Lookups!$O$7:$R$21,4,FALSE)</f>
        <v>0.98380000000000001</v>
      </c>
      <c r="BI2236" s="25">
        <f>VLOOKUP(Inventory[[#This Row],[Cnd]],Lookups!$T$7:$W$16,4,FALSE)</f>
        <v>0.99650000000000005</v>
      </c>
      <c r="BJ2236" s="25">
        <f>VLOOKUP(Inventory[[#This Row],[LivArea Range]],Lookups!$T$25:$W$37,4,FALSE)</f>
        <v>0.98919999999999997</v>
      </c>
      <c r="BK2236" s="25">
        <f>VLOOKUP(Inventory[[#This Row],[Decade]],Lookups!$O$25:$R$42,4,FALSE)</f>
        <v>0.93389999999999995</v>
      </c>
      <c r="BL2236" s="25">
        <f>Inventory[[#This Row],[Nbhd Adj]]*0.95</f>
        <v>0.94971499999999998</v>
      </c>
      <c r="BM2236" s="25">
        <f>Inventory[[#This Row],[Nbhd Adj]]*Inventory[[#This Row],[Quality Adj]]*Inventory[[#This Row],[Condition Adj]]*Inventory[[#This Row],[Living Area Adj]]*Inventory[[#This Row],[Decade Adj]]*0.95</f>
        <v>0.86012565533930507</v>
      </c>
      <c r="BN2236" s="25">
        <f>ROUND(SUM(Inventory[[#This Row],[Mdl Qlty]:[Mdl WdDeck]])+Inventory[[#This Row],[Mdl Res Intercept]]*Inventory[[#This Row],[Res Adj ]],-2)</f>
        <v>445300</v>
      </c>
      <c r="BO2236" s="25">
        <f>ROUND(Inventory[[#This Row],[25Det]]*Inventory[[#This Row],[Det/Nbhd Adj]],-2)</f>
        <v>9600</v>
      </c>
      <c r="BP2236" s="25">
        <f>Inventory[[#This Row],[Adjusted Res]]+Inventory[[#This Row],[Adj Det ]]</f>
        <v>454900</v>
      </c>
      <c r="BQ2236" s="25">
        <f>ROUND((Inventory[[#This Row],[Mdl Land Intercept]]+Inventory[[#This Row],[Mdl LnAcres]])*Inventory[[#This Row],[Det/Nbhd Adj]],-2)</f>
        <v>38400</v>
      </c>
      <c r="BR2236" s="25">
        <f>Inventory[[#This Row],[Adjusted Impr Total]]+Inventory[[#This Row],[Adjusted Land Total]]</f>
        <v>493300</v>
      </c>
      <c r="BS2236" s="36">
        <f>IFERROR((Inventory[[#This Row],[Adjusted Impr Total]]-Inventory[[#This Row],[24Bldg]])/Inventory[[#This Row],[24Bldg]],0)</f>
        <v>9.2196878751500594E-2</v>
      </c>
      <c r="BT2236" s="36">
        <f>(Inventory[[#This Row],[Adjusted Land Total]]-Inventory[[#This Row],[24Lnd]])/Inventory[[#This Row],[24Lnd]]</f>
        <v>-0.36106489184692181</v>
      </c>
      <c r="BU2236" s="36">
        <f>(Inventory[[#This Row],[Adjusted Total]]-Inventory[[#This Row],[24Final]])/Inventory[[#This Row],[24Final]]</f>
        <v>3.5039865715484682E-2</v>
      </c>
    </row>
    <row r="2237" spans="1:73" x14ac:dyDescent="0.3">
      <c r="A2237" s="25">
        <v>2025</v>
      </c>
      <c r="B2237" s="26" t="s">
        <v>623</v>
      </c>
      <c r="C2237" s="26">
        <f>LN(Inventory[[#This Row],[Acres]])</f>
        <v>-1.2378743560016174</v>
      </c>
      <c r="D2237" s="25">
        <v>0.28999999999999998</v>
      </c>
      <c r="E2237" s="32">
        <v>12632</v>
      </c>
      <c r="F2237" s="26" t="s">
        <v>624</v>
      </c>
      <c r="G2237" s="26" t="s">
        <v>544</v>
      </c>
      <c r="H2237" s="26" t="s">
        <v>349</v>
      </c>
      <c r="I2237" s="26" t="s">
        <v>625</v>
      </c>
      <c r="J2237" s="26" t="s">
        <v>626</v>
      </c>
      <c r="K2237" s="26" t="s">
        <v>269</v>
      </c>
      <c r="L2237" s="26" t="s">
        <v>31</v>
      </c>
      <c r="M2237" s="26" t="s">
        <v>323</v>
      </c>
      <c r="N2237" s="26">
        <v>120</v>
      </c>
      <c r="O2237" s="26">
        <f>2024-Inventory[[#This Row],[YrBlt]]</f>
        <v>114</v>
      </c>
      <c r="P2237" s="26">
        <f>2024-Inventory[[#This Row],[EffYr]]</f>
        <v>66</v>
      </c>
      <c r="Q2237" s="25">
        <v>1910</v>
      </c>
      <c r="R2237" s="25">
        <v>1958</v>
      </c>
      <c r="S2237" s="25">
        <v>736</v>
      </c>
      <c r="T2237" s="27"/>
      <c r="U2237" s="25">
        <v>736</v>
      </c>
      <c r="V2237" s="25">
        <f>Inventory[[#This Row],[Bsmt]]-Inventory[[#This Row],[FnBsmt]]</f>
        <v>0</v>
      </c>
      <c r="W2237" s="25">
        <v>736</v>
      </c>
      <c r="X2237" s="27"/>
      <c r="Y2237" s="27">
        <f>Inventory[[#This Row],[MainFn]]+Inventory[[#This Row],[UpprFn]]+Inventory[[#This Row],[FnBsmt]]+Inventory[[#This Row],[AddFn]]</f>
        <v>1472</v>
      </c>
      <c r="Z2237" s="27">
        <v>1500</v>
      </c>
      <c r="AA2237" s="25">
        <v>7</v>
      </c>
      <c r="AB2237" s="27"/>
      <c r="AC2237" s="27"/>
      <c r="AD2237" s="27"/>
      <c r="AE2237" s="27"/>
      <c r="AF2237" s="27"/>
      <c r="AG2237" s="27"/>
      <c r="AH2237" s="27"/>
      <c r="AI2237" s="25">
        <v>167656</v>
      </c>
      <c r="AJ2237" s="25">
        <v>92211</v>
      </c>
      <c r="AK2237" s="25">
        <v>5184</v>
      </c>
      <c r="AL2237" s="25">
        <v>189750</v>
      </c>
      <c r="AM2237" s="25">
        <v>102350</v>
      </c>
      <c r="AN2237" s="25">
        <v>87400</v>
      </c>
      <c r="AO2237" s="25">
        <v>0</v>
      </c>
      <c r="AP2237" s="25">
        <f>Lookups!$B$56*0</f>
        <v>0</v>
      </c>
      <c r="AQ2237" s="25">
        <f>Lookups!$B$56*1</f>
        <v>89850.625589999996</v>
      </c>
      <c r="AR2237" s="25">
        <f>Lookups!$B$57*Inventory[[#This Row],[LnAcres]]</f>
        <v>-39184.437074869042</v>
      </c>
      <c r="AS2237" s="25">
        <f>VLOOKUP(Inventory[[#This Row],[Qlty]],Lookups!$A$62:$E$75,2,FALSE)</f>
        <v>-43578.886190266698</v>
      </c>
      <c r="AT2237" s="25">
        <f>VLOOKUP(Inventory[[#This Row],[Cnd]],Lookups!$A$76:$E$84,2,FALSE)</f>
        <v>160472.20319</v>
      </c>
      <c r="AU2237" s="25">
        <f>Inventory[[#This Row],[EffAge]]*Lookups!$B$85</f>
        <v>-14721.009633</v>
      </c>
      <c r="AV2237" s="25">
        <f>Inventory[[#This Row],[MainFn]]*Lookups!$B$86</f>
        <v>36364.781029472004</v>
      </c>
      <c r="AW2237" s="25">
        <f>Inventory[[#This Row],[UpprFn]]*Lookups!$B$87</f>
        <v>0</v>
      </c>
      <c r="AX2237" s="25">
        <f>Inventory[[#This Row],[AddFn]]*Lookups!$B$88</f>
        <v>0</v>
      </c>
      <c r="AY2237" s="25">
        <f>Inventory[[#This Row],[Bsmt]]*Lookups!$B$89</f>
        <v>21404.274901792</v>
      </c>
      <c r="AZ2237" s="25">
        <f>Inventory[[#This Row],[Fixtures]]*Lookups!$B$90</f>
        <v>26544.1547364</v>
      </c>
      <c r="BA2237" s="25">
        <f>Inventory[[#This Row],[WdDeck]]*Lookups!$B$91</f>
        <v>0</v>
      </c>
      <c r="BB2237" s="25">
        <f>ROUND(Inventory[[#This Row],[25Det]],-2)</f>
        <v>5200</v>
      </c>
      <c r="BC2237" s="25">
        <f>ROUND(SUM(Inventory[[#This Row],[Mdl Qlty]:[Mdl WdDeck]])+Inventory[[#This Row],[Mdl Res Intercept]],-2)</f>
        <v>186500</v>
      </c>
      <c r="BD2237" s="25">
        <f>ROUND(Inventory[[#This Row],[Mdl Land Intercept]]+Inventory[[#This Row],[Mdl LnAcres]],-2)</f>
        <v>50700</v>
      </c>
      <c r="BE2237" s="25">
        <f>Inventory[[#This Row],[Unadj Res Value]]+Inventory[[#This Row],[Unadj Det Value]]+Inventory[[#This Row],[Unadj Land Value]]</f>
        <v>242400</v>
      </c>
      <c r="BF2237" s="36">
        <f>(Inventory[[#This Row],[Unadj Total Value]]-Inventory[[#This Row],[24Final]])/Inventory[[#This Row],[24Final]]</f>
        <v>0.2774703557312253</v>
      </c>
      <c r="BG2237" s="25">
        <f>VLOOKUP(Inventory[[#This Row],[Nbhd]],Lookups!$Q$2:$T$4,4,FALSE)</f>
        <v>0.99970000000000003</v>
      </c>
      <c r="BH2237" s="25">
        <f>VLOOKUP(Inventory[[#This Row],[Qlty]],Lookups!$O$7:$R$21,4,FALSE)</f>
        <v>1</v>
      </c>
      <c r="BI2237" s="25">
        <f>VLOOKUP(Inventory[[#This Row],[Cnd]],Lookups!$T$7:$W$16,4,FALSE)</f>
        <v>0.99729999999999996</v>
      </c>
      <c r="BJ2237" s="25">
        <f>VLOOKUP(Inventory[[#This Row],[LivArea Range]],Lookups!$T$25:$W$37,4,FALSE)</f>
        <v>1.0157</v>
      </c>
      <c r="BK2237" s="25">
        <f>VLOOKUP(Inventory[[#This Row],[Decade]],Lookups!$O$25:$R$42,4,FALSE)</f>
        <v>0.93389999999999995</v>
      </c>
      <c r="BL2237" s="25">
        <f>Inventory[[#This Row],[Nbhd Adj]]*0.95</f>
        <v>0.94971499999999998</v>
      </c>
      <c r="BM2237" s="25">
        <f>Inventory[[#This Row],[Nbhd Adj]]*Inventory[[#This Row],[Quality Adj]]*Inventory[[#This Row],[Condition Adj]]*Inventory[[#This Row],[Living Area Adj]]*Inventory[[#This Row],[Decade Adj]]*0.95</f>
        <v>0.89843144606313596</v>
      </c>
      <c r="BN2237" s="25">
        <f>ROUND(SUM(Inventory[[#This Row],[Mdl Qlty]:[Mdl WdDeck]])+Inventory[[#This Row],[Mdl Res Intercept]]*Inventory[[#This Row],[Res Adj ]],-2)</f>
        <v>186500</v>
      </c>
      <c r="BO2237" s="25">
        <f>ROUND(Inventory[[#This Row],[25Det]]*Inventory[[#This Row],[Det/Nbhd Adj]],-2)</f>
        <v>4900</v>
      </c>
      <c r="BP2237" s="25">
        <f>Inventory[[#This Row],[Adjusted Res]]+Inventory[[#This Row],[Adj Det ]]</f>
        <v>191400</v>
      </c>
      <c r="BQ2237" s="25">
        <f>ROUND((Inventory[[#This Row],[Mdl Land Intercept]]+Inventory[[#This Row],[Mdl LnAcres]])*Inventory[[#This Row],[Det/Nbhd Adj]],-2)</f>
        <v>48100</v>
      </c>
      <c r="BR2237" s="25">
        <f>Inventory[[#This Row],[Adjusted Impr Total]]+Inventory[[#This Row],[Adjusted Land Total]]</f>
        <v>239500</v>
      </c>
      <c r="BS2237" s="36">
        <f>IFERROR((Inventory[[#This Row],[Adjusted Impr Total]]-Inventory[[#This Row],[24Bldg]])/Inventory[[#This Row],[24Bldg]],0)</f>
        <v>1.1899313501144164</v>
      </c>
      <c r="BT2237" s="36">
        <f>(Inventory[[#This Row],[Adjusted Land Total]]-Inventory[[#This Row],[24Lnd]])/Inventory[[#This Row],[24Lnd]]</f>
        <v>-0.53004396678065457</v>
      </c>
      <c r="BU2237" s="36">
        <f>(Inventory[[#This Row],[Adjusted Total]]-Inventory[[#This Row],[24Final]])/Inventory[[#This Row],[24Final]]</f>
        <v>0.2621870882740448</v>
      </c>
    </row>
    <row r="2238" spans="1:73" x14ac:dyDescent="0.3">
      <c r="A2238" s="25">
        <v>2025</v>
      </c>
      <c r="B2238" s="26" t="s">
        <v>2033</v>
      </c>
      <c r="C2238" s="26">
        <f>LN(Inventory[[#This Row],[Acres]])</f>
        <v>-1.7719568419318752</v>
      </c>
      <c r="D2238" s="25">
        <v>0.17</v>
      </c>
      <c r="E2238" s="32">
        <v>7423</v>
      </c>
      <c r="F2238" s="26" t="s">
        <v>537</v>
      </c>
      <c r="G2238" s="26" t="s">
        <v>126</v>
      </c>
      <c r="H2238" s="26" t="s">
        <v>349</v>
      </c>
      <c r="I2238" s="26" t="s">
        <v>538</v>
      </c>
      <c r="J2238" s="26" t="s">
        <v>539</v>
      </c>
      <c r="K2238" s="26" t="s">
        <v>173</v>
      </c>
      <c r="L2238" s="26" t="s">
        <v>205</v>
      </c>
      <c r="M2238" s="26" t="s">
        <v>303</v>
      </c>
      <c r="N2238" s="26">
        <v>120</v>
      </c>
      <c r="O2238" s="26">
        <f>2024-Inventory[[#This Row],[YrBlt]]</f>
        <v>114</v>
      </c>
      <c r="P2238" s="26">
        <f>2024-Inventory[[#This Row],[EffYr]]</f>
        <v>49</v>
      </c>
      <c r="Q2238" s="25">
        <v>1910</v>
      </c>
      <c r="R2238" s="25">
        <v>1975</v>
      </c>
      <c r="S2238" s="25">
        <v>756</v>
      </c>
      <c r="T2238" s="32">
        <v>532</v>
      </c>
      <c r="U2238" s="31"/>
      <c r="V2238" s="31">
        <f>Inventory[[#This Row],[Bsmt]]-Inventory[[#This Row],[FnBsmt]]</f>
        <v>0</v>
      </c>
      <c r="W2238" s="31"/>
      <c r="X2238" s="27"/>
      <c r="Y2238" s="27">
        <f>Inventory[[#This Row],[MainFn]]+Inventory[[#This Row],[UpprFn]]+Inventory[[#This Row],[FnBsmt]]+Inventory[[#This Row],[AddFn]]</f>
        <v>1288</v>
      </c>
      <c r="Z2238" s="27">
        <v>1500</v>
      </c>
      <c r="AA2238" s="25">
        <v>7</v>
      </c>
      <c r="AB2238" s="27"/>
      <c r="AC2238" s="27"/>
      <c r="AD2238" s="27"/>
      <c r="AE2238" s="27"/>
      <c r="AF2238" s="27"/>
      <c r="AG2238" s="27"/>
      <c r="AH2238" s="27"/>
      <c r="AI2238" s="25">
        <v>183739</v>
      </c>
      <c r="AJ2238" s="25">
        <v>132292</v>
      </c>
      <c r="AK2238" s="25">
        <v>2316</v>
      </c>
      <c r="AL2238" s="25">
        <v>280100</v>
      </c>
      <c r="AM2238" s="25">
        <v>52700</v>
      </c>
      <c r="AN2238" s="25">
        <v>227400</v>
      </c>
      <c r="AO2238" s="25">
        <v>0</v>
      </c>
      <c r="AP2238" s="25">
        <f>Lookups!$B$56*0</f>
        <v>0</v>
      </c>
      <c r="AQ2238" s="25">
        <f>Lookups!$B$56*1</f>
        <v>89850.625589999996</v>
      </c>
      <c r="AR2238" s="25">
        <f>Lookups!$B$57*Inventory[[#This Row],[LnAcres]]</f>
        <v>-56090.612940989391</v>
      </c>
      <c r="AS2238" s="25">
        <f>VLOOKUP(Inventory[[#This Row],[Qlty]],Lookups!$A$62:$E$75,2,FALSE)</f>
        <v>0</v>
      </c>
      <c r="AT2238" s="25">
        <f>VLOOKUP(Inventory[[#This Row],[Cnd]],Lookups!$A$76:$E$84,2,FALSE)</f>
        <v>197752.34721000001</v>
      </c>
      <c r="AU2238" s="25">
        <f>Inventory[[#This Row],[EffAge]]*Lookups!$B$85</f>
        <v>-10929.2344245</v>
      </c>
      <c r="AV2238" s="25">
        <f>Inventory[[#This Row],[MainFn]]*Lookups!$B$86</f>
        <v>37352.954427012002</v>
      </c>
      <c r="AW2238" s="25">
        <f>Inventory[[#This Row],[UpprFn]]*Lookups!$B$87</f>
        <v>23826.376962052</v>
      </c>
      <c r="AX2238" s="25">
        <f>Inventory[[#This Row],[AddFn]]*Lookups!$B$88</f>
        <v>0</v>
      </c>
      <c r="AY2238" s="25">
        <f>Inventory[[#This Row],[Bsmt]]*Lookups!$B$89</f>
        <v>0</v>
      </c>
      <c r="AZ2238" s="25">
        <f>Inventory[[#This Row],[Fixtures]]*Lookups!$B$90</f>
        <v>26544.1547364</v>
      </c>
      <c r="BA2238" s="25">
        <f>Inventory[[#This Row],[WdDeck]]*Lookups!$B$91</f>
        <v>0</v>
      </c>
      <c r="BB2238" s="25">
        <f>ROUND(Inventory[[#This Row],[25Det]],-2)</f>
        <v>2300</v>
      </c>
      <c r="BC2238" s="25">
        <f>ROUND(SUM(Inventory[[#This Row],[Mdl Qlty]:[Mdl WdDeck]])+Inventory[[#This Row],[Mdl Res Intercept]],-2)</f>
        <v>274500</v>
      </c>
      <c r="BD2238" s="25">
        <f>ROUND(Inventory[[#This Row],[Mdl Land Intercept]]+Inventory[[#This Row],[Mdl LnAcres]],-2)</f>
        <v>33800</v>
      </c>
      <c r="BE2238" s="25">
        <f>Inventory[[#This Row],[Unadj Res Value]]+Inventory[[#This Row],[Unadj Det Value]]+Inventory[[#This Row],[Unadj Land Value]]</f>
        <v>310600</v>
      </c>
      <c r="BF2238" s="36">
        <f>(Inventory[[#This Row],[Unadj Total Value]]-Inventory[[#This Row],[24Final]])/Inventory[[#This Row],[24Final]]</f>
        <v>0.10888968225633702</v>
      </c>
      <c r="BG2238" s="25">
        <f>VLOOKUP(Inventory[[#This Row],[Nbhd]],Lookups!$Q$2:$T$4,4,FALSE)</f>
        <v>0.99970000000000003</v>
      </c>
      <c r="BH2238" s="25">
        <f>VLOOKUP(Inventory[[#This Row],[Qlty]],Lookups!$O$7:$R$21,4,FALSE)</f>
        <v>0.99180000000000001</v>
      </c>
      <c r="BI2238" s="25">
        <f>VLOOKUP(Inventory[[#This Row],[Cnd]],Lookups!$T$7:$W$16,4,FALSE)</f>
        <v>0.99650000000000005</v>
      </c>
      <c r="BJ2238" s="25">
        <f>VLOOKUP(Inventory[[#This Row],[LivArea Range]],Lookups!$T$25:$W$37,4,FALSE)</f>
        <v>1.0157</v>
      </c>
      <c r="BK2238" s="25">
        <f>VLOOKUP(Inventory[[#This Row],[Decade]],Lookups!$O$25:$R$42,4,FALSE)</f>
        <v>0.93389999999999995</v>
      </c>
      <c r="BL2238" s="25">
        <f>Inventory[[#This Row],[Nbhd Adj]]*0.95</f>
        <v>0.94971499999999998</v>
      </c>
      <c r="BM2238" s="25">
        <f>Inventory[[#This Row],[Nbhd Adj]]*Inventory[[#This Row],[Quality Adj]]*Inventory[[#This Row],[Condition Adj]]*Inventory[[#This Row],[Living Area Adj]]*Inventory[[#This Row],[Decade Adj]]*0.95</f>
        <v>0.89034952684919233</v>
      </c>
      <c r="BN2238" s="25">
        <f>ROUND(SUM(Inventory[[#This Row],[Mdl Qlty]:[Mdl WdDeck]])+Inventory[[#This Row],[Mdl Res Intercept]]*Inventory[[#This Row],[Res Adj ]],-2)</f>
        <v>274500</v>
      </c>
      <c r="BO2238" s="25">
        <f>ROUND(Inventory[[#This Row],[25Det]]*Inventory[[#This Row],[Det/Nbhd Adj]],-2)</f>
        <v>2200</v>
      </c>
      <c r="BP2238" s="25">
        <f>Inventory[[#This Row],[Adjusted Res]]+Inventory[[#This Row],[Adj Det ]]</f>
        <v>276700</v>
      </c>
      <c r="BQ2238" s="25">
        <f>ROUND((Inventory[[#This Row],[Mdl Land Intercept]]+Inventory[[#This Row],[Mdl LnAcres]])*Inventory[[#This Row],[Det/Nbhd Adj]],-2)</f>
        <v>32100</v>
      </c>
      <c r="BR2238" s="25">
        <f>Inventory[[#This Row],[Adjusted Impr Total]]+Inventory[[#This Row],[Adjusted Land Total]]</f>
        <v>308800</v>
      </c>
      <c r="BS2238" s="36">
        <f>IFERROR((Inventory[[#This Row],[Adjusted Impr Total]]-Inventory[[#This Row],[24Bldg]])/Inventory[[#This Row],[24Bldg]],0)</f>
        <v>0.2167985927880387</v>
      </c>
      <c r="BT2238" s="36">
        <f>(Inventory[[#This Row],[Adjusted Land Total]]-Inventory[[#This Row],[24Lnd]])/Inventory[[#This Row],[24Lnd]]</f>
        <v>-0.39089184060721061</v>
      </c>
      <c r="BU2238" s="36">
        <f>(Inventory[[#This Row],[Adjusted Total]]-Inventory[[#This Row],[24Final]])/Inventory[[#This Row],[24Final]]</f>
        <v>0.10246340592645484</v>
      </c>
    </row>
    <row r="2239" spans="1:73" x14ac:dyDescent="0.3">
      <c r="A2239" s="25">
        <v>2025</v>
      </c>
      <c r="B2239" s="26" t="s">
        <v>2175</v>
      </c>
      <c r="C2239" s="26">
        <f>LN(Inventory[[#This Row],[Acres]])</f>
        <v>-1.5606477482646683</v>
      </c>
      <c r="D2239" s="25">
        <v>0.21</v>
      </c>
      <c r="E2239" s="31"/>
      <c r="F2239" s="26" t="s">
        <v>537</v>
      </c>
      <c r="G2239" s="26" t="s">
        <v>126</v>
      </c>
      <c r="H2239" s="26" t="s">
        <v>349</v>
      </c>
      <c r="I2239" s="26" t="s">
        <v>538</v>
      </c>
      <c r="J2239" s="26" t="s">
        <v>539</v>
      </c>
      <c r="K2239" s="26" t="s">
        <v>269</v>
      </c>
      <c r="L2239" s="26" t="s">
        <v>351</v>
      </c>
      <c r="M2239" s="26" t="s">
        <v>303</v>
      </c>
      <c r="N2239" s="26">
        <v>120</v>
      </c>
      <c r="O2239" s="26">
        <f>2024-Inventory[[#This Row],[YrBlt]]</f>
        <v>114</v>
      </c>
      <c r="P2239" s="26">
        <f>2024-Inventory[[#This Row],[EffYr]]</f>
        <v>66</v>
      </c>
      <c r="Q2239" s="25">
        <v>1910</v>
      </c>
      <c r="R2239" s="25">
        <v>1958</v>
      </c>
      <c r="S2239" s="25">
        <v>1260</v>
      </c>
      <c r="T2239" s="32">
        <v>950</v>
      </c>
      <c r="U2239" s="25">
        <v>646</v>
      </c>
      <c r="V2239" s="25">
        <f>Inventory[[#This Row],[Bsmt]]-Inventory[[#This Row],[FnBsmt]]</f>
        <v>646</v>
      </c>
      <c r="W2239" s="31"/>
      <c r="X2239" s="27"/>
      <c r="Y2239" s="27">
        <f>Inventory[[#This Row],[MainFn]]+Inventory[[#This Row],[UpprFn]]+Inventory[[#This Row],[FnBsmt]]+Inventory[[#This Row],[AddFn]]</f>
        <v>2210</v>
      </c>
      <c r="Z2239" s="27">
        <v>2500</v>
      </c>
      <c r="AA2239" s="25">
        <v>8</v>
      </c>
      <c r="AB2239" s="27"/>
      <c r="AC2239" s="27"/>
      <c r="AD2239" s="32">
        <v>192</v>
      </c>
      <c r="AE2239" s="27"/>
      <c r="AF2239" s="27"/>
      <c r="AG2239" s="27"/>
      <c r="AH2239" s="27"/>
      <c r="AI2239" s="25">
        <v>353508</v>
      </c>
      <c r="AJ2239" s="25">
        <v>201500</v>
      </c>
      <c r="AK2239" s="25">
        <v>9040</v>
      </c>
      <c r="AL2239" s="25">
        <v>375600</v>
      </c>
      <c r="AM2239" s="25">
        <v>60100</v>
      </c>
      <c r="AN2239" s="25">
        <v>315500</v>
      </c>
      <c r="AO2239" s="25">
        <v>0</v>
      </c>
      <c r="AP2239" s="25">
        <f>Lookups!$B$56*0</f>
        <v>0</v>
      </c>
      <c r="AQ2239" s="25">
        <f>Lookups!$B$56*1</f>
        <v>89850.625589999996</v>
      </c>
      <c r="AR2239" s="25">
        <f>Lookups!$B$57*Inventory[[#This Row],[LnAcres]]</f>
        <v>-49401.70477837498</v>
      </c>
      <c r="AS2239" s="25">
        <f>VLOOKUP(Inventory[[#This Row],[Qlty]],Lookups!$A$62:$E$75,2,FALSE)</f>
        <v>21557.329055999999</v>
      </c>
      <c r="AT2239" s="25">
        <f>VLOOKUP(Inventory[[#This Row],[Cnd]],Lookups!$A$76:$E$84,2,FALSE)</f>
        <v>197752.34721000001</v>
      </c>
      <c r="AU2239" s="25">
        <f>Inventory[[#This Row],[EffAge]]*Lookups!$B$85</f>
        <v>-14721.009633</v>
      </c>
      <c r="AV2239" s="25">
        <f>Inventory[[#This Row],[MainFn]]*Lookups!$B$86</f>
        <v>62254.924045020001</v>
      </c>
      <c r="AW2239" s="25">
        <f>Inventory[[#This Row],[UpprFn]]*Lookups!$B$87</f>
        <v>42547.101717949998</v>
      </c>
      <c r="AX2239" s="25">
        <f>Inventory[[#This Row],[AddFn]]*Lookups!$B$88</f>
        <v>0</v>
      </c>
      <c r="AY2239" s="25">
        <f>Inventory[[#This Row],[Bsmt]]*Lookups!$B$89</f>
        <v>18786.904329561999</v>
      </c>
      <c r="AZ2239" s="25">
        <f>Inventory[[#This Row],[Fixtures]]*Lookups!$B$90</f>
        <v>30336.176841600001</v>
      </c>
      <c r="BA2239" s="25">
        <f>Inventory[[#This Row],[WdDeck]]*Lookups!$B$91</f>
        <v>6392.7389329920006</v>
      </c>
      <c r="BB2239" s="25">
        <f>ROUND(Inventory[[#This Row],[25Det]],-2)</f>
        <v>9000</v>
      </c>
      <c r="BC2239" s="25">
        <f>ROUND(SUM(Inventory[[#This Row],[Mdl Qlty]:[Mdl WdDeck]])+Inventory[[#This Row],[Mdl Res Intercept]],-2)</f>
        <v>364900</v>
      </c>
      <c r="BD2239" s="25">
        <f>ROUND(Inventory[[#This Row],[Mdl Land Intercept]]+Inventory[[#This Row],[Mdl LnAcres]],-2)</f>
        <v>40400</v>
      </c>
      <c r="BE2239" s="25">
        <f>Inventory[[#This Row],[Unadj Res Value]]+Inventory[[#This Row],[Unadj Det Value]]+Inventory[[#This Row],[Unadj Land Value]]</f>
        <v>414300</v>
      </c>
      <c r="BF2239" s="36">
        <f>(Inventory[[#This Row],[Unadj Total Value]]-Inventory[[#This Row],[24Final]])/Inventory[[#This Row],[24Final]]</f>
        <v>0.10303514376996806</v>
      </c>
      <c r="BG2239" s="25">
        <f>VLOOKUP(Inventory[[#This Row],[Nbhd]],Lookups!$Q$2:$T$4,4,FALSE)</f>
        <v>0.99970000000000003</v>
      </c>
      <c r="BH2239" s="25">
        <f>VLOOKUP(Inventory[[#This Row],[Qlty]],Lookups!$O$7:$R$21,4,FALSE)</f>
        <v>1.0067999999999999</v>
      </c>
      <c r="BI2239" s="25">
        <f>VLOOKUP(Inventory[[#This Row],[Cnd]],Lookups!$T$7:$W$16,4,FALSE)</f>
        <v>0.99650000000000005</v>
      </c>
      <c r="BJ2239" s="25">
        <f>VLOOKUP(Inventory[[#This Row],[LivArea Range]],Lookups!$T$25:$W$37,4,FALSE)</f>
        <v>0.98919999999999997</v>
      </c>
      <c r="BK2239" s="25">
        <f>VLOOKUP(Inventory[[#This Row],[Decade]],Lookups!$O$25:$R$42,4,FALSE)</f>
        <v>0.93389999999999995</v>
      </c>
      <c r="BL2239" s="25">
        <f>Inventory[[#This Row],[Nbhd Adj]]*0.95</f>
        <v>0.94971499999999998</v>
      </c>
      <c r="BM2239" s="25">
        <f>Inventory[[#This Row],[Nbhd Adj]]*Inventory[[#This Row],[Quality Adj]]*Inventory[[#This Row],[Condition Adj]]*Inventory[[#This Row],[Living Area Adj]]*Inventory[[#This Row],[Decade Adj]]*0.95</f>
        <v>0.88023430554544835</v>
      </c>
      <c r="BN2239" s="25">
        <f>ROUND(SUM(Inventory[[#This Row],[Mdl Qlty]:[Mdl WdDeck]])+Inventory[[#This Row],[Mdl Res Intercept]]*Inventory[[#This Row],[Res Adj ]],-2)</f>
        <v>364900</v>
      </c>
      <c r="BO2239" s="25">
        <f>ROUND(Inventory[[#This Row],[25Det]]*Inventory[[#This Row],[Det/Nbhd Adj]],-2)</f>
        <v>8600</v>
      </c>
      <c r="BP2239" s="25">
        <f>Inventory[[#This Row],[Adjusted Res]]+Inventory[[#This Row],[Adj Det ]]</f>
        <v>373500</v>
      </c>
      <c r="BQ2239" s="25">
        <f>ROUND((Inventory[[#This Row],[Mdl Land Intercept]]+Inventory[[#This Row],[Mdl LnAcres]])*Inventory[[#This Row],[Det/Nbhd Adj]],-2)</f>
        <v>38400</v>
      </c>
      <c r="BR2239" s="25">
        <f>Inventory[[#This Row],[Adjusted Impr Total]]+Inventory[[#This Row],[Adjusted Land Total]]</f>
        <v>411900</v>
      </c>
      <c r="BS2239" s="36">
        <f>IFERROR((Inventory[[#This Row],[Adjusted Impr Total]]-Inventory[[#This Row],[24Bldg]])/Inventory[[#This Row],[24Bldg]],0)</f>
        <v>0.18383518225039619</v>
      </c>
      <c r="BT2239" s="36">
        <f>(Inventory[[#This Row],[Adjusted Land Total]]-Inventory[[#This Row],[24Lnd]])/Inventory[[#This Row],[24Lnd]]</f>
        <v>-0.36106489184692181</v>
      </c>
      <c r="BU2239" s="36">
        <f>(Inventory[[#This Row],[Adjusted Total]]-Inventory[[#This Row],[24Final]])/Inventory[[#This Row],[24Final]]</f>
        <v>9.6645367412140581E-2</v>
      </c>
    </row>
    <row r="2240" spans="1:73" x14ac:dyDescent="0.3">
      <c r="A2240" s="25">
        <v>2025</v>
      </c>
      <c r="B2240" s="26" t="s">
        <v>2435</v>
      </c>
      <c r="C2240" s="26">
        <f>LN(Inventory[[#This Row],[Acres]])</f>
        <v>-1.7719568419318752</v>
      </c>
      <c r="D2240" s="25">
        <v>0.17</v>
      </c>
      <c r="E2240" s="32">
        <v>7375</v>
      </c>
      <c r="F2240" s="26" t="s">
        <v>537</v>
      </c>
      <c r="G2240" s="26" t="s">
        <v>126</v>
      </c>
      <c r="H2240" s="26" t="s">
        <v>349</v>
      </c>
      <c r="I2240" s="26" t="s">
        <v>538</v>
      </c>
      <c r="J2240" s="26" t="s">
        <v>539</v>
      </c>
      <c r="K2240" s="26" t="s">
        <v>416</v>
      </c>
      <c r="L2240" s="26" t="s">
        <v>148</v>
      </c>
      <c r="M2240" s="26" t="s">
        <v>323</v>
      </c>
      <c r="N2240" s="26">
        <v>120</v>
      </c>
      <c r="O2240" s="26">
        <f>2024-Inventory[[#This Row],[YrBlt]]</f>
        <v>114</v>
      </c>
      <c r="P2240" s="26">
        <f>2024-Inventory[[#This Row],[EffYr]]</f>
        <v>66</v>
      </c>
      <c r="Q2240" s="25">
        <v>1910</v>
      </c>
      <c r="R2240" s="25">
        <v>1958</v>
      </c>
      <c r="S2240" s="25">
        <v>1319</v>
      </c>
      <c r="T2240" s="32">
        <v>1257</v>
      </c>
      <c r="U2240" s="32">
        <v>1270</v>
      </c>
      <c r="V2240" s="32">
        <f>Inventory[[#This Row],[Bsmt]]-Inventory[[#This Row],[FnBsmt]]</f>
        <v>1270</v>
      </c>
      <c r="W2240" s="27"/>
      <c r="X2240" s="27"/>
      <c r="Y2240" s="27">
        <f>Inventory[[#This Row],[MainFn]]+Inventory[[#This Row],[UpprFn]]+Inventory[[#This Row],[FnBsmt]]+Inventory[[#This Row],[AddFn]]</f>
        <v>2576</v>
      </c>
      <c r="Z2240" s="27">
        <v>3000</v>
      </c>
      <c r="AA2240" s="25">
        <v>8</v>
      </c>
      <c r="AB2240" s="32">
        <v>758</v>
      </c>
      <c r="AC2240" s="27"/>
      <c r="AD2240" s="32">
        <v>63</v>
      </c>
      <c r="AE2240" s="27"/>
      <c r="AF2240" s="27"/>
      <c r="AG2240" s="27"/>
      <c r="AH2240" s="27"/>
      <c r="AI2240" s="25">
        <v>581470</v>
      </c>
      <c r="AJ2240" s="25">
        <v>319809</v>
      </c>
      <c r="AK2240" s="25">
        <v>0</v>
      </c>
      <c r="AL2240" s="25">
        <v>379100</v>
      </c>
      <c r="AM2240" s="25">
        <v>52700</v>
      </c>
      <c r="AN2240" s="25">
        <v>326400</v>
      </c>
      <c r="AO2240" s="25">
        <v>0</v>
      </c>
      <c r="AP2240" s="25">
        <f>Lookups!$B$56*0</f>
        <v>0</v>
      </c>
      <c r="AQ2240" s="25">
        <f>Lookups!$B$56*1</f>
        <v>89850.625589999996</v>
      </c>
      <c r="AR2240" s="25">
        <f>Lookups!$B$57*Inventory[[#This Row],[LnAcres]]</f>
        <v>-56090.612940989391</v>
      </c>
      <c r="AS2240" s="25">
        <f>VLOOKUP(Inventory[[#This Row],[Qlty]],Lookups!$A$62:$E$75,2,FALSE)</f>
        <v>44121.038090000002</v>
      </c>
      <c r="AT2240" s="25">
        <f>VLOOKUP(Inventory[[#This Row],[Cnd]],Lookups!$A$76:$E$84,2,FALSE)</f>
        <v>160472.20319</v>
      </c>
      <c r="AU2240" s="25">
        <f>Inventory[[#This Row],[EffAge]]*Lookups!$B$85</f>
        <v>-14721.009633</v>
      </c>
      <c r="AV2240" s="25">
        <f>Inventory[[#This Row],[MainFn]]*Lookups!$B$86</f>
        <v>65170.035567763</v>
      </c>
      <c r="AW2240" s="25">
        <f>Inventory[[#This Row],[UpprFn]]*Lookups!$B$87</f>
        <v>56296.533536276998</v>
      </c>
      <c r="AX2240" s="25">
        <f>Inventory[[#This Row],[AddFn]]*Lookups!$B$88</f>
        <v>0</v>
      </c>
      <c r="AY2240" s="25">
        <f>Inventory[[#This Row],[Bsmt]]*Lookups!$B$89</f>
        <v>36934.006963690001</v>
      </c>
      <c r="AZ2240" s="25">
        <f>Inventory[[#This Row],[Fixtures]]*Lookups!$B$90</f>
        <v>30336.176841600001</v>
      </c>
      <c r="BA2240" s="25">
        <f>Inventory[[#This Row],[WdDeck]]*Lookups!$B$91</f>
        <v>2097.6174623880001</v>
      </c>
      <c r="BB2240" s="25">
        <f>ROUND(Inventory[[#This Row],[25Det]],-2)</f>
        <v>0</v>
      </c>
      <c r="BC2240" s="25">
        <f>ROUND(SUM(Inventory[[#This Row],[Mdl Qlty]:[Mdl WdDeck]])+Inventory[[#This Row],[Mdl Res Intercept]],-2)</f>
        <v>380700</v>
      </c>
      <c r="BD2240" s="25">
        <f>ROUND(Inventory[[#This Row],[Mdl Land Intercept]]+Inventory[[#This Row],[Mdl LnAcres]],-2)</f>
        <v>33800</v>
      </c>
      <c r="BE2240" s="25">
        <f>Inventory[[#This Row],[Unadj Res Value]]+Inventory[[#This Row],[Unadj Det Value]]+Inventory[[#This Row],[Unadj Land Value]]</f>
        <v>414500</v>
      </c>
      <c r="BF2240" s="36">
        <f>(Inventory[[#This Row],[Unadj Total Value]]-Inventory[[#This Row],[24Final]])/Inventory[[#This Row],[24Final]]</f>
        <v>9.33790556581377E-2</v>
      </c>
      <c r="BG2240" s="25">
        <f>VLOOKUP(Inventory[[#This Row],[Nbhd]],Lookups!$Q$2:$T$4,4,FALSE)</f>
        <v>0.99970000000000003</v>
      </c>
      <c r="BH2240" s="25">
        <f>VLOOKUP(Inventory[[#This Row],[Qlty]],Lookups!$O$7:$R$21,4,FALSE)</f>
        <v>0.98050000000000004</v>
      </c>
      <c r="BI2240" s="25">
        <f>VLOOKUP(Inventory[[#This Row],[Cnd]],Lookups!$T$7:$W$16,4,FALSE)</f>
        <v>0.99729999999999996</v>
      </c>
      <c r="BJ2240" s="25">
        <f>VLOOKUP(Inventory[[#This Row],[LivArea Range]],Lookups!$T$25:$W$37,4,FALSE)</f>
        <v>0.96179999999999999</v>
      </c>
      <c r="BK2240" s="25">
        <f>VLOOKUP(Inventory[[#This Row],[Decade]],Lookups!$O$25:$R$42,4,FALSE)</f>
        <v>0.93389999999999995</v>
      </c>
      <c r="BL2240" s="25">
        <f>Inventory[[#This Row],[Nbhd Adj]]*0.95</f>
        <v>0.94971499999999998</v>
      </c>
      <c r="BM2240" s="25">
        <f>Inventory[[#This Row],[Nbhd Adj]]*Inventory[[#This Row],[Quality Adj]]*Inventory[[#This Row],[Condition Adj]]*Inventory[[#This Row],[Living Area Adj]]*Inventory[[#This Row],[Decade Adj]]*0.95</f>
        <v>0.83416480575904839</v>
      </c>
      <c r="BN2240" s="25">
        <f>ROUND(SUM(Inventory[[#This Row],[Mdl Qlty]:[Mdl WdDeck]])+Inventory[[#This Row],[Mdl Res Intercept]]*Inventory[[#This Row],[Res Adj ]],-2)</f>
        <v>380700</v>
      </c>
      <c r="BO2240" s="25">
        <f>ROUND(Inventory[[#This Row],[25Det]]*Inventory[[#This Row],[Det/Nbhd Adj]],-2)</f>
        <v>0</v>
      </c>
      <c r="BP2240" s="25">
        <f>Inventory[[#This Row],[Adjusted Res]]+Inventory[[#This Row],[Adj Det ]]</f>
        <v>380700</v>
      </c>
      <c r="BQ2240" s="25">
        <f>ROUND((Inventory[[#This Row],[Mdl Land Intercept]]+Inventory[[#This Row],[Mdl LnAcres]])*Inventory[[#This Row],[Det/Nbhd Adj]],-2)</f>
        <v>32100</v>
      </c>
      <c r="BR2240" s="25">
        <f>Inventory[[#This Row],[Adjusted Impr Total]]+Inventory[[#This Row],[Adjusted Land Total]]</f>
        <v>412800</v>
      </c>
      <c r="BS2240" s="36">
        <f>IFERROR((Inventory[[#This Row],[Adjusted Impr Total]]-Inventory[[#This Row],[24Bldg]])/Inventory[[#This Row],[24Bldg]],0)</f>
        <v>0.16636029411764705</v>
      </c>
      <c r="BT2240" s="36">
        <f>(Inventory[[#This Row],[Adjusted Land Total]]-Inventory[[#This Row],[24Lnd]])/Inventory[[#This Row],[24Lnd]]</f>
        <v>-0.39089184060721061</v>
      </c>
      <c r="BU2240" s="36">
        <f>(Inventory[[#This Row],[Adjusted Total]]-Inventory[[#This Row],[24Final]])/Inventory[[#This Row],[24Final]]</f>
        <v>8.8894750725402275E-2</v>
      </c>
    </row>
    <row r="2241" spans="1:73" x14ac:dyDescent="0.3">
      <c r="A2241" s="25">
        <v>2025</v>
      </c>
      <c r="B2241" s="26" t="s">
        <v>1932</v>
      </c>
      <c r="C2241" s="26">
        <f>LN(Inventory[[#This Row],[Acres]])</f>
        <v>-1.3093333199837622</v>
      </c>
      <c r="D2241" s="25">
        <v>0.27</v>
      </c>
      <c r="E2241" s="27"/>
      <c r="F2241" s="26" t="s">
        <v>537</v>
      </c>
      <c r="G2241" s="26" t="s">
        <v>126</v>
      </c>
      <c r="H2241" s="26" t="s">
        <v>349</v>
      </c>
      <c r="I2241" s="26" t="s">
        <v>538</v>
      </c>
      <c r="J2241" s="26" t="s">
        <v>539</v>
      </c>
      <c r="K2241" s="26" t="s">
        <v>269</v>
      </c>
      <c r="L2241" s="26" t="s">
        <v>302</v>
      </c>
      <c r="M2241" s="26" t="s">
        <v>303</v>
      </c>
      <c r="N2241" s="26">
        <v>120</v>
      </c>
      <c r="O2241" s="26">
        <f>2024-Inventory[[#This Row],[YrBlt]]</f>
        <v>114</v>
      </c>
      <c r="P2241" s="26">
        <f>2024-Inventory[[#This Row],[EffYr]]</f>
        <v>66</v>
      </c>
      <c r="Q2241" s="25">
        <v>1910</v>
      </c>
      <c r="R2241" s="25">
        <v>1958</v>
      </c>
      <c r="S2241" s="25">
        <v>1022</v>
      </c>
      <c r="T2241" s="32">
        <v>600</v>
      </c>
      <c r="U2241" s="32">
        <v>780</v>
      </c>
      <c r="V2241" s="32">
        <f>Inventory[[#This Row],[Bsmt]]-Inventory[[#This Row],[FnBsmt]]</f>
        <v>0</v>
      </c>
      <c r="W2241" s="32">
        <v>780</v>
      </c>
      <c r="X2241" s="27"/>
      <c r="Y2241" s="27">
        <f>Inventory[[#This Row],[MainFn]]+Inventory[[#This Row],[UpprFn]]+Inventory[[#This Row],[FnBsmt]]+Inventory[[#This Row],[AddFn]]</f>
        <v>2402</v>
      </c>
      <c r="Z2241" s="27">
        <v>2500</v>
      </c>
      <c r="AA2241" s="25">
        <v>9</v>
      </c>
      <c r="AB2241" s="27"/>
      <c r="AC2241" s="27"/>
      <c r="AD2241" s="32">
        <v>296</v>
      </c>
      <c r="AE2241" s="27"/>
      <c r="AF2241" s="27"/>
      <c r="AG2241" s="27"/>
      <c r="AH2241" s="27"/>
      <c r="AI2241" s="25">
        <v>405026</v>
      </c>
      <c r="AJ2241" s="25">
        <v>230865</v>
      </c>
      <c r="AK2241" s="25">
        <v>7601</v>
      </c>
      <c r="AL2241" s="25">
        <v>381600</v>
      </c>
      <c r="AM2241" s="25">
        <v>68900</v>
      </c>
      <c r="AN2241" s="25">
        <v>312700</v>
      </c>
      <c r="AO2241" s="25">
        <v>0</v>
      </c>
      <c r="AP2241" s="25">
        <f>Lookups!$B$56*0</f>
        <v>0</v>
      </c>
      <c r="AQ2241" s="25">
        <f>Lookups!$B$56*1</f>
        <v>89850.625589999996</v>
      </c>
      <c r="AR2241" s="25">
        <f>Lookups!$B$57*Inventory[[#This Row],[LnAcres]]</f>
        <v>-41446.443120973789</v>
      </c>
      <c r="AS2241" s="25">
        <f>VLOOKUP(Inventory[[#This Row],[Qlty]],Lookups!$A$62:$E$75,2,FALSE)</f>
        <v>29814.093161000001</v>
      </c>
      <c r="AT2241" s="25">
        <f>VLOOKUP(Inventory[[#This Row],[Cnd]],Lookups!$A$76:$E$84,2,FALSE)</f>
        <v>197752.34721000001</v>
      </c>
      <c r="AU2241" s="25">
        <f>Inventory[[#This Row],[EffAge]]*Lookups!$B$85</f>
        <v>-14721.009633</v>
      </c>
      <c r="AV2241" s="25">
        <f>Inventory[[#This Row],[MainFn]]*Lookups!$B$86</f>
        <v>50495.660614294</v>
      </c>
      <c r="AW2241" s="25">
        <f>Inventory[[#This Row],[UpprFn]]*Lookups!$B$87</f>
        <v>26871.853716599999</v>
      </c>
      <c r="AX2241" s="25">
        <f>Inventory[[#This Row],[AddFn]]*Lookups!$B$88</f>
        <v>0</v>
      </c>
      <c r="AY2241" s="25">
        <f>Inventory[[#This Row],[Bsmt]]*Lookups!$B$89</f>
        <v>22683.87829266</v>
      </c>
      <c r="AZ2241" s="25">
        <f>Inventory[[#This Row],[Fixtures]]*Lookups!$B$90</f>
        <v>34128.198946800003</v>
      </c>
      <c r="BA2241" s="25">
        <f>Inventory[[#This Row],[WdDeck]]*Lookups!$B$91</f>
        <v>9855.4725216960014</v>
      </c>
      <c r="BB2241" s="25">
        <f>ROUND(Inventory[[#This Row],[25Det]],-2)</f>
        <v>7600</v>
      </c>
      <c r="BC2241" s="25">
        <f>ROUND(SUM(Inventory[[#This Row],[Mdl Qlty]:[Mdl WdDeck]])+Inventory[[#This Row],[Mdl Res Intercept]],-2)</f>
        <v>356900</v>
      </c>
      <c r="BD2241" s="25">
        <f>ROUND(Inventory[[#This Row],[Mdl Land Intercept]]+Inventory[[#This Row],[Mdl LnAcres]],-2)</f>
        <v>48400</v>
      </c>
      <c r="BE2241" s="25">
        <f>Inventory[[#This Row],[Unadj Res Value]]+Inventory[[#This Row],[Unadj Det Value]]+Inventory[[#This Row],[Unadj Land Value]]</f>
        <v>412900</v>
      </c>
      <c r="BF2241" s="36">
        <f>(Inventory[[#This Row],[Unadj Total Value]]-Inventory[[#This Row],[24Final]])/Inventory[[#This Row],[24Final]]</f>
        <v>8.2023060796645703E-2</v>
      </c>
      <c r="BG2241" s="25">
        <f>VLOOKUP(Inventory[[#This Row],[Nbhd]],Lookups!$Q$2:$T$4,4,FALSE)</f>
        <v>0.99970000000000003</v>
      </c>
      <c r="BH2241" s="25">
        <f>VLOOKUP(Inventory[[#This Row],[Qlty]],Lookups!$O$7:$R$21,4,FALSE)</f>
        <v>1.0088999999999999</v>
      </c>
      <c r="BI2241" s="25">
        <f>VLOOKUP(Inventory[[#This Row],[Cnd]],Lookups!$T$7:$W$16,4,FALSE)</f>
        <v>0.99650000000000005</v>
      </c>
      <c r="BJ2241" s="25">
        <f>VLOOKUP(Inventory[[#This Row],[LivArea Range]],Lookups!$T$25:$W$37,4,FALSE)</f>
        <v>0.98919999999999997</v>
      </c>
      <c r="BK2241" s="25">
        <f>VLOOKUP(Inventory[[#This Row],[Decade]],Lookups!$O$25:$R$42,4,FALSE)</f>
        <v>0.93389999999999995</v>
      </c>
      <c r="BL2241" s="25">
        <f>Inventory[[#This Row],[Nbhd Adj]]*0.95</f>
        <v>0.94971499999999998</v>
      </c>
      <c r="BM2241" s="25">
        <f>Inventory[[#This Row],[Nbhd Adj]]*Inventory[[#This Row],[Quality Adj]]*Inventory[[#This Row],[Condition Adj]]*Inventory[[#This Row],[Living Area Adj]]*Inventory[[#This Row],[Decade Adj]]*0.95</f>
        <v>0.88207031273818337</v>
      </c>
      <c r="BN2241" s="25">
        <f>ROUND(SUM(Inventory[[#This Row],[Mdl Qlty]:[Mdl WdDeck]])+Inventory[[#This Row],[Mdl Res Intercept]]*Inventory[[#This Row],[Res Adj ]],-2)</f>
        <v>356900</v>
      </c>
      <c r="BO2241" s="25">
        <f>ROUND(Inventory[[#This Row],[25Det]]*Inventory[[#This Row],[Det/Nbhd Adj]],-2)</f>
        <v>7200</v>
      </c>
      <c r="BP2241" s="25">
        <f>Inventory[[#This Row],[Adjusted Res]]+Inventory[[#This Row],[Adj Det ]]</f>
        <v>364100</v>
      </c>
      <c r="BQ2241" s="25">
        <f>ROUND((Inventory[[#This Row],[Mdl Land Intercept]]+Inventory[[#This Row],[Mdl LnAcres]])*Inventory[[#This Row],[Det/Nbhd Adj]],-2)</f>
        <v>46000</v>
      </c>
      <c r="BR2241" s="25">
        <f>Inventory[[#This Row],[Adjusted Impr Total]]+Inventory[[#This Row],[Adjusted Land Total]]</f>
        <v>410100</v>
      </c>
      <c r="BS2241" s="36">
        <f>IFERROR((Inventory[[#This Row],[Adjusted Impr Total]]-Inventory[[#This Row],[24Bldg]])/Inventory[[#This Row],[24Bldg]],0)</f>
        <v>0.16437480012791814</v>
      </c>
      <c r="BT2241" s="36">
        <f>(Inventory[[#This Row],[Adjusted Land Total]]-Inventory[[#This Row],[24Lnd]])/Inventory[[#This Row],[24Lnd]]</f>
        <v>-0.33236574746008707</v>
      </c>
      <c r="BU2241" s="36">
        <f>(Inventory[[#This Row],[Adjusted Total]]-Inventory[[#This Row],[24Final]])/Inventory[[#This Row],[24Final]]</f>
        <v>7.4685534591194966E-2</v>
      </c>
    </row>
    <row r="2242" spans="1:73" x14ac:dyDescent="0.3">
      <c r="A2242" s="25">
        <v>2025</v>
      </c>
      <c r="B2242" s="26" t="s">
        <v>1541</v>
      </c>
      <c r="C2242" s="26">
        <f>LN(Inventory[[#This Row],[Acres]])</f>
        <v>-0.96758402626170559</v>
      </c>
      <c r="D2242" s="25">
        <v>0.38</v>
      </c>
      <c r="E2242" s="32">
        <v>16378</v>
      </c>
      <c r="F2242" s="26" t="s">
        <v>537</v>
      </c>
      <c r="G2242" s="26" t="s">
        <v>126</v>
      </c>
      <c r="H2242" s="26" t="s">
        <v>349</v>
      </c>
      <c r="I2242" s="26" t="s">
        <v>538</v>
      </c>
      <c r="J2242" s="26" t="s">
        <v>539</v>
      </c>
      <c r="K2242" s="26" t="s">
        <v>173</v>
      </c>
      <c r="L2242" s="26" t="s">
        <v>351</v>
      </c>
      <c r="M2242" s="26" t="s">
        <v>206</v>
      </c>
      <c r="N2242" s="26">
        <v>120</v>
      </c>
      <c r="O2242" s="26">
        <f>2024-Inventory[[#This Row],[YrBlt]]</f>
        <v>114</v>
      </c>
      <c r="P2242" s="26">
        <f>2024-Inventory[[#This Row],[EffYr]]</f>
        <v>59</v>
      </c>
      <c r="Q2242" s="25">
        <v>1910</v>
      </c>
      <c r="R2242" s="25">
        <v>1965</v>
      </c>
      <c r="S2242" s="25">
        <v>901</v>
      </c>
      <c r="T2242" s="32">
        <v>650</v>
      </c>
      <c r="U2242" s="31"/>
      <c r="V2242" s="31">
        <f>Inventory[[#This Row],[Bsmt]]-Inventory[[#This Row],[FnBsmt]]</f>
        <v>0</v>
      </c>
      <c r="W2242" s="31"/>
      <c r="X2242" s="27"/>
      <c r="Y2242" s="27">
        <f>Inventory[[#This Row],[MainFn]]+Inventory[[#This Row],[UpprFn]]+Inventory[[#This Row],[FnBsmt]]+Inventory[[#This Row],[AddFn]]</f>
        <v>1551</v>
      </c>
      <c r="Z2242" s="27">
        <v>2000</v>
      </c>
      <c r="AA2242" s="25">
        <v>7</v>
      </c>
      <c r="AB2242" s="27"/>
      <c r="AC2242" s="31"/>
      <c r="AD2242" s="25">
        <v>108</v>
      </c>
      <c r="AE2242" s="27"/>
      <c r="AF2242" s="27"/>
      <c r="AG2242" s="27"/>
      <c r="AH2242" s="27"/>
      <c r="AI2242" s="25">
        <v>228305</v>
      </c>
      <c r="AJ2242" s="25">
        <v>134700</v>
      </c>
      <c r="AK2242" s="25">
        <v>22594</v>
      </c>
      <c r="AL2242" s="25">
        <v>302300</v>
      </c>
      <c r="AM2242" s="25">
        <v>80800</v>
      </c>
      <c r="AN2242" s="25">
        <v>221500</v>
      </c>
      <c r="AO2242" s="25">
        <v>0</v>
      </c>
      <c r="AP2242" s="25">
        <f>Lookups!$B$56*0</f>
        <v>0</v>
      </c>
      <c r="AQ2242" s="25">
        <f>Lookups!$B$56*1</f>
        <v>89850.625589999996</v>
      </c>
      <c r="AR2242" s="25">
        <f>Lookups!$B$57*Inventory[[#This Row],[LnAcres]]</f>
        <v>-30628.500548443946</v>
      </c>
      <c r="AS2242" s="25">
        <f>VLOOKUP(Inventory[[#This Row],[Qlty]],Lookups!$A$62:$E$75,2,FALSE)</f>
        <v>21557.329055999999</v>
      </c>
      <c r="AT2242" s="25">
        <f>VLOOKUP(Inventory[[#This Row],[Cnd]],Lookups!$A$76:$E$84,2,FALSE)</f>
        <v>133714.53821</v>
      </c>
      <c r="AU2242" s="25">
        <f>Inventory[[#This Row],[EffAge]]*Lookups!$B$85</f>
        <v>-13159.6904295</v>
      </c>
      <c r="AV2242" s="25">
        <f>Inventory[[#This Row],[MainFn]]*Lookups!$B$86</f>
        <v>44517.211559176998</v>
      </c>
      <c r="AW2242" s="25">
        <f>Inventory[[#This Row],[UpprFn]]*Lookups!$B$87</f>
        <v>29111.17485965</v>
      </c>
      <c r="AX2242" s="25">
        <f>Inventory[[#This Row],[AddFn]]*Lookups!$B$88</f>
        <v>0</v>
      </c>
      <c r="AY2242" s="25">
        <f>Inventory[[#This Row],[Bsmt]]*Lookups!$B$89</f>
        <v>0</v>
      </c>
      <c r="AZ2242" s="25">
        <f>Inventory[[#This Row],[Fixtures]]*Lookups!$B$90</f>
        <v>26544.1547364</v>
      </c>
      <c r="BA2242" s="25">
        <f>Inventory[[#This Row],[WdDeck]]*Lookups!$B$91</f>
        <v>3595.9156498080001</v>
      </c>
      <c r="BB2242" s="25">
        <f>ROUND(Inventory[[#This Row],[25Det]],-2)</f>
        <v>22600</v>
      </c>
      <c r="BC2242" s="25">
        <f>ROUND(SUM(Inventory[[#This Row],[Mdl Qlty]:[Mdl WdDeck]])+Inventory[[#This Row],[Mdl Res Intercept]],-2)</f>
        <v>245900</v>
      </c>
      <c r="BD2242" s="25">
        <f>ROUND(Inventory[[#This Row],[Mdl Land Intercept]]+Inventory[[#This Row],[Mdl LnAcres]],-2)</f>
        <v>59200</v>
      </c>
      <c r="BE2242" s="25">
        <f>Inventory[[#This Row],[Unadj Res Value]]+Inventory[[#This Row],[Unadj Det Value]]+Inventory[[#This Row],[Unadj Land Value]]</f>
        <v>327700</v>
      </c>
      <c r="BF2242" s="36">
        <f>(Inventory[[#This Row],[Unadj Total Value]]-Inventory[[#This Row],[24Final]])/Inventory[[#This Row],[24Final]]</f>
        <v>8.4022494211048626E-2</v>
      </c>
      <c r="BG2242" s="25">
        <f>VLOOKUP(Inventory[[#This Row],[Nbhd]],Lookups!$Q$2:$T$4,4,FALSE)</f>
        <v>0.99970000000000003</v>
      </c>
      <c r="BH2242" s="25">
        <f>VLOOKUP(Inventory[[#This Row],[Qlty]],Lookups!$O$7:$R$21,4,FALSE)</f>
        <v>1.0067999999999999</v>
      </c>
      <c r="BI2242" s="25">
        <f>VLOOKUP(Inventory[[#This Row],[Cnd]],Lookups!$T$7:$W$16,4,FALSE)</f>
        <v>0.99329999999999996</v>
      </c>
      <c r="BJ2242" s="25">
        <f>VLOOKUP(Inventory[[#This Row],[LivArea Range]],Lookups!$T$25:$W$37,4,FALSE)</f>
        <v>1.0093000000000001</v>
      </c>
      <c r="BK2242" s="25">
        <f>VLOOKUP(Inventory[[#This Row],[Decade]],Lookups!$O$25:$R$42,4,FALSE)</f>
        <v>0.93389999999999995</v>
      </c>
      <c r="BL2242" s="25">
        <f>Inventory[[#This Row],[Nbhd Adj]]*0.95</f>
        <v>0.94971499999999998</v>
      </c>
      <c r="BM2242" s="25">
        <f>Inventory[[#This Row],[Nbhd Adj]]*Inventory[[#This Row],[Quality Adj]]*Inventory[[#This Row],[Condition Adj]]*Inventory[[#This Row],[Living Area Adj]]*Inventory[[#This Row],[Decade Adj]]*0.95</f>
        <v>0.89523610369845619</v>
      </c>
      <c r="BN2242" s="25">
        <f>ROUND(SUM(Inventory[[#This Row],[Mdl Qlty]:[Mdl WdDeck]])+Inventory[[#This Row],[Mdl Res Intercept]]*Inventory[[#This Row],[Res Adj ]],-2)</f>
        <v>245900</v>
      </c>
      <c r="BO2242" s="25">
        <f>ROUND(Inventory[[#This Row],[25Det]]*Inventory[[#This Row],[Det/Nbhd Adj]],-2)</f>
        <v>21500</v>
      </c>
      <c r="BP2242" s="25">
        <f>Inventory[[#This Row],[Adjusted Res]]+Inventory[[#This Row],[Adj Det ]]</f>
        <v>267400</v>
      </c>
      <c r="BQ2242" s="25">
        <f>ROUND((Inventory[[#This Row],[Mdl Land Intercept]]+Inventory[[#This Row],[Mdl LnAcres]])*Inventory[[#This Row],[Det/Nbhd Adj]],-2)</f>
        <v>56200</v>
      </c>
      <c r="BR2242" s="25">
        <f>Inventory[[#This Row],[Adjusted Impr Total]]+Inventory[[#This Row],[Adjusted Land Total]]</f>
        <v>323600</v>
      </c>
      <c r="BS2242" s="36">
        <f>IFERROR((Inventory[[#This Row],[Adjusted Impr Total]]-Inventory[[#This Row],[24Bldg]])/Inventory[[#This Row],[24Bldg]],0)</f>
        <v>0.20722347629796839</v>
      </c>
      <c r="BT2242" s="36">
        <f>(Inventory[[#This Row],[Adjusted Land Total]]-Inventory[[#This Row],[24Lnd]])/Inventory[[#This Row],[24Lnd]]</f>
        <v>-0.30445544554455445</v>
      </c>
      <c r="BU2242" s="36">
        <f>(Inventory[[#This Row],[Adjusted Total]]-Inventory[[#This Row],[24Final]])/Inventory[[#This Row],[24Final]]</f>
        <v>7.0459808137611643E-2</v>
      </c>
    </row>
    <row r="2243" spans="1:73" x14ac:dyDescent="0.3">
      <c r="A2243" s="25">
        <v>2025</v>
      </c>
      <c r="B2243" s="26" t="s">
        <v>2550</v>
      </c>
      <c r="C2243" s="26">
        <f>LN(Inventory[[#This Row],[Acres]])</f>
        <v>-1.8971199848858813</v>
      </c>
      <c r="D2243" s="25">
        <v>0.15</v>
      </c>
      <c r="E2243" s="32">
        <v>6500</v>
      </c>
      <c r="F2243" s="26" t="s">
        <v>537</v>
      </c>
      <c r="G2243" s="26" t="s">
        <v>126</v>
      </c>
      <c r="H2243" s="26" t="s">
        <v>349</v>
      </c>
      <c r="I2243" s="26" t="s">
        <v>538</v>
      </c>
      <c r="J2243" s="26" t="s">
        <v>539</v>
      </c>
      <c r="K2243" s="26" t="s">
        <v>416</v>
      </c>
      <c r="L2243" s="26" t="s">
        <v>351</v>
      </c>
      <c r="M2243" s="26" t="s">
        <v>303</v>
      </c>
      <c r="N2243" s="26">
        <v>120</v>
      </c>
      <c r="O2243" s="26">
        <f>2024-Inventory[[#This Row],[YrBlt]]</f>
        <v>114</v>
      </c>
      <c r="P2243" s="26">
        <f>2024-Inventory[[#This Row],[EffYr]]</f>
        <v>66</v>
      </c>
      <c r="Q2243" s="25">
        <v>1910</v>
      </c>
      <c r="R2243" s="25">
        <v>1958</v>
      </c>
      <c r="S2243" s="25">
        <v>1494</v>
      </c>
      <c r="T2243" s="32">
        <v>600</v>
      </c>
      <c r="U2243" s="32">
        <v>530</v>
      </c>
      <c r="V2243" s="32">
        <f>Inventory[[#This Row],[Bsmt]]-Inventory[[#This Row],[FnBsmt]]</f>
        <v>0</v>
      </c>
      <c r="W2243" s="32">
        <v>530</v>
      </c>
      <c r="X2243" s="27"/>
      <c r="Y2243" s="27">
        <f>Inventory[[#This Row],[MainFn]]+Inventory[[#This Row],[UpprFn]]+Inventory[[#This Row],[FnBsmt]]+Inventory[[#This Row],[AddFn]]</f>
        <v>2624</v>
      </c>
      <c r="Z2243" s="27">
        <v>3000</v>
      </c>
      <c r="AA2243" s="25">
        <v>11</v>
      </c>
      <c r="AB2243" s="27"/>
      <c r="AC2243" s="27"/>
      <c r="AD2243" s="27"/>
      <c r="AE2243" s="27"/>
      <c r="AF2243" s="27"/>
      <c r="AG2243" s="27"/>
      <c r="AH2243" s="27"/>
      <c r="AI2243" s="25">
        <v>356983</v>
      </c>
      <c r="AJ2243" s="25">
        <v>203480</v>
      </c>
      <c r="AK2243" s="25">
        <v>4462</v>
      </c>
      <c r="AL2243" s="25">
        <v>370200</v>
      </c>
      <c r="AM2243" s="25">
        <v>48400</v>
      </c>
      <c r="AN2243" s="25">
        <v>321800</v>
      </c>
      <c r="AO2243" s="25">
        <v>0</v>
      </c>
      <c r="AP2243" s="25">
        <f>Lookups!$B$56*0</f>
        <v>0</v>
      </c>
      <c r="AQ2243" s="25">
        <f>Lookups!$B$56*1</f>
        <v>89850.625589999996</v>
      </c>
      <c r="AR2243" s="25">
        <f>Lookups!$B$57*Inventory[[#This Row],[LnAcres]]</f>
        <v>-60052.604136134301</v>
      </c>
      <c r="AS2243" s="25">
        <f>VLOOKUP(Inventory[[#This Row],[Qlty]],Lookups!$A$62:$E$75,2,FALSE)</f>
        <v>21557.329055999999</v>
      </c>
      <c r="AT2243" s="25">
        <f>VLOOKUP(Inventory[[#This Row],[Cnd]],Lookups!$A$76:$E$84,2,FALSE)</f>
        <v>197752.34721000001</v>
      </c>
      <c r="AU2243" s="25">
        <f>Inventory[[#This Row],[EffAge]]*Lookups!$B$85</f>
        <v>-14721.009633</v>
      </c>
      <c r="AV2243" s="25">
        <f>Inventory[[#This Row],[MainFn]]*Lookups!$B$86</f>
        <v>73816.552796238</v>
      </c>
      <c r="AW2243" s="25">
        <f>Inventory[[#This Row],[UpprFn]]*Lookups!$B$87</f>
        <v>26871.853716599999</v>
      </c>
      <c r="AX2243" s="25">
        <f>Inventory[[#This Row],[AddFn]]*Lookups!$B$88</f>
        <v>0</v>
      </c>
      <c r="AY2243" s="25">
        <f>Inventory[[#This Row],[Bsmt]]*Lookups!$B$89</f>
        <v>15413.40448091</v>
      </c>
      <c r="AZ2243" s="25">
        <f>Inventory[[#This Row],[Fixtures]]*Lookups!$B$90</f>
        <v>41712.243157199999</v>
      </c>
      <c r="BA2243" s="25">
        <f>Inventory[[#This Row],[WdDeck]]*Lookups!$B$91</f>
        <v>0</v>
      </c>
      <c r="BB2243" s="25">
        <f>ROUND(Inventory[[#This Row],[25Det]],-2)</f>
        <v>4500</v>
      </c>
      <c r="BC2243" s="25">
        <f>ROUND(SUM(Inventory[[#This Row],[Mdl Qlty]:[Mdl WdDeck]])+Inventory[[#This Row],[Mdl Res Intercept]],-2)</f>
        <v>362400</v>
      </c>
      <c r="BD2243" s="25">
        <f>ROUND(Inventory[[#This Row],[Mdl Land Intercept]]+Inventory[[#This Row],[Mdl LnAcres]],-2)</f>
        <v>29800</v>
      </c>
      <c r="BE2243" s="25">
        <f>Inventory[[#This Row],[Unadj Res Value]]+Inventory[[#This Row],[Unadj Det Value]]+Inventory[[#This Row],[Unadj Land Value]]</f>
        <v>396700</v>
      </c>
      <c r="BF2243" s="36">
        <f>(Inventory[[#This Row],[Unadj Total Value]]-Inventory[[#This Row],[24Final]])/Inventory[[#This Row],[24Final]]</f>
        <v>7.1582928146947597E-2</v>
      </c>
      <c r="BG2243" s="25">
        <f>VLOOKUP(Inventory[[#This Row],[Nbhd]],Lookups!$Q$2:$T$4,4,FALSE)</f>
        <v>0.99970000000000003</v>
      </c>
      <c r="BH2243" s="25">
        <f>VLOOKUP(Inventory[[#This Row],[Qlty]],Lookups!$O$7:$R$21,4,FALSE)</f>
        <v>1.0067999999999999</v>
      </c>
      <c r="BI2243" s="25">
        <f>VLOOKUP(Inventory[[#This Row],[Cnd]],Lookups!$T$7:$W$16,4,FALSE)</f>
        <v>0.99650000000000005</v>
      </c>
      <c r="BJ2243" s="25">
        <f>VLOOKUP(Inventory[[#This Row],[LivArea Range]],Lookups!$T$25:$W$37,4,FALSE)</f>
        <v>0.96179999999999999</v>
      </c>
      <c r="BK2243" s="25">
        <f>VLOOKUP(Inventory[[#This Row],[Decade]],Lookups!$O$25:$R$42,4,FALSE)</f>
        <v>0.93389999999999995</v>
      </c>
      <c r="BL2243" s="25">
        <f>Inventory[[#This Row],[Nbhd Adj]]*0.95</f>
        <v>0.94971499999999998</v>
      </c>
      <c r="BM2243" s="25">
        <f>Inventory[[#This Row],[Nbhd Adj]]*Inventory[[#This Row],[Quality Adj]]*Inventory[[#This Row],[Condition Adj]]*Inventory[[#This Row],[Living Area Adj]]*Inventory[[#This Row],[Decade Adj]]*0.95</f>
        <v>0.85585256275132671</v>
      </c>
      <c r="BN2243" s="25">
        <f>ROUND(SUM(Inventory[[#This Row],[Mdl Qlty]:[Mdl WdDeck]])+Inventory[[#This Row],[Mdl Res Intercept]]*Inventory[[#This Row],[Res Adj ]],-2)</f>
        <v>362400</v>
      </c>
      <c r="BO2243" s="25">
        <f>ROUND(Inventory[[#This Row],[25Det]]*Inventory[[#This Row],[Det/Nbhd Adj]],-2)</f>
        <v>4200</v>
      </c>
      <c r="BP2243" s="25">
        <f>Inventory[[#This Row],[Adjusted Res]]+Inventory[[#This Row],[Adj Det ]]</f>
        <v>366600</v>
      </c>
      <c r="BQ2243" s="25">
        <f>ROUND((Inventory[[#This Row],[Mdl Land Intercept]]+Inventory[[#This Row],[Mdl LnAcres]])*Inventory[[#This Row],[Det/Nbhd Adj]],-2)</f>
        <v>28300</v>
      </c>
      <c r="BR2243" s="25">
        <f>Inventory[[#This Row],[Adjusted Impr Total]]+Inventory[[#This Row],[Adjusted Land Total]]</f>
        <v>394900</v>
      </c>
      <c r="BS2243" s="36">
        <f>IFERROR((Inventory[[#This Row],[Adjusted Impr Total]]-Inventory[[#This Row],[24Bldg]])/Inventory[[#This Row],[24Bldg]],0)</f>
        <v>0.13921690490988192</v>
      </c>
      <c r="BT2243" s="36">
        <f>(Inventory[[#This Row],[Adjusted Land Total]]-Inventory[[#This Row],[24Lnd]])/Inventory[[#This Row],[24Lnd]]</f>
        <v>-0.41528925619834711</v>
      </c>
      <c r="BU2243" s="36">
        <f>(Inventory[[#This Row],[Adjusted Total]]-Inventory[[#This Row],[24Final]])/Inventory[[#This Row],[24Final]]</f>
        <v>6.6720691518098327E-2</v>
      </c>
    </row>
    <row r="2244" spans="1:73" x14ac:dyDescent="0.3">
      <c r="A2244" s="25">
        <v>2025</v>
      </c>
      <c r="B2244" s="26" t="s">
        <v>921</v>
      </c>
      <c r="C2244" s="26">
        <f>LN(Inventory[[#This Row],[Acres]])</f>
        <v>-1.3862943611198906</v>
      </c>
      <c r="D2244" s="25">
        <v>0.25</v>
      </c>
      <c r="E2244" s="32">
        <v>9749</v>
      </c>
      <c r="F2244" s="26" t="s">
        <v>537</v>
      </c>
      <c r="G2244" s="26" t="s">
        <v>126</v>
      </c>
      <c r="H2244" s="26" t="s">
        <v>349</v>
      </c>
      <c r="I2244" s="26" t="s">
        <v>538</v>
      </c>
      <c r="J2244" s="26" t="s">
        <v>539</v>
      </c>
      <c r="K2244" s="26" t="s">
        <v>173</v>
      </c>
      <c r="L2244" s="26" t="s">
        <v>351</v>
      </c>
      <c r="M2244" s="26" t="s">
        <v>303</v>
      </c>
      <c r="N2244" s="26">
        <v>120</v>
      </c>
      <c r="O2244" s="26">
        <f>2024-Inventory[[#This Row],[YrBlt]]</f>
        <v>114</v>
      </c>
      <c r="P2244" s="26">
        <f>2024-Inventory[[#This Row],[EffYr]]</f>
        <v>66</v>
      </c>
      <c r="Q2244" s="25">
        <v>1910</v>
      </c>
      <c r="R2244" s="25">
        <v>1958</v>
      </c>
      <c r="S2244" s="25">
        <v>1028</v>
      </c>
      <c r="T2244" s="32">
        <v>697</v>
      </c>
      <c r="U2244" s="25">
        <v>784</v>
      </c>
      <c r="V2244" s="25">
        <f>Inventory[[#This Row],[Bsmt]]-Inventory[[#This Row],[FnBsmt]]</f>
        <v>0</v>
      </c>
      <c r="W2244" s="25">
        <v>784</v>
      </c>
      <c r="X2244" s="27"/>
      <c r="Y2244" s="27">
        <f>Inventory[[#This Row],[MainFn]]+Inventory[[#This Row],[UpprFn]]+Inventory[[#This Row],[FnBsmt]]+Inventory[[#This Row],[AddFn]]</f>
        <v>2509</v>
      </c>
      <c r="Z2244" s="27">
        <v>3000</v>
      </c>
      <c r="AA2244" s="25">
        <v>10</v>
      </c>
      <c r="AB2244" s="27"/>
      <c r="AC2244" s="27"/>
      <c r="AD2244" s="27"/>
      <c r="AE2244" s="27"/>
      <c r="AF2244" s="27"/>
      <c r="AG2244" s="27"/>
      <c r="AH2244" s="27"/>
      <c r="AI2244" s="25">
        <v>339192</v>
      </c>
      <c r="AJ2244" s="25">
        <v>193339</v>
      </c>
      <c r="AK2244" s="25">
        <v>8578</v>
      </c>
      <c r="AL2244" s="25">
        <v>375300</v>
      </c>
      <c r="AM2244" s="25">
        <v>66200</v>
      </c>
      <c r="AN2244" s="25">
        <v>309100</v>
      </c>
      <c r="AO2244" s="25">
        <v>0</v>
      </c>
      <c r="AP2244" s="25">
        <f>Lookups!$B$56*0</f>
        <v>0</v>
      </c>
      <c r="AQ2244" s="25">
        <f>Lookups!$B$56*1</f>
        <v>89850.625589999996</v>
      </c>
      <c r="AR2244" s="25">
        <f>Lookups!$B$57*Inventory[[#This Row],[LnAcres]]</f>
        <v>-43882.615305165229</v>
      </c>
      <c r="AS2244" s="25">
        <f>VLOOKUP(Inventory[[#This Row],[Qlty]],Lookups!$A$62:$E$75,2,FALSE)</f>
        <v>21557.329055999999</v>
      </c>
      <c r="AT2244" s="25">
        <f>VLOOKUP(Inventory[[#This Row],[Cnd]],Lookups!$A$76:$E$84,2,FALSE)</f>
        <v>197752.34721000001</v>
      </c>
      <c r="AU2244" s="25">
        <f>Inventory[[#This Row],[EffAge]]*Lookups!$B$85</f>
        <v>-14721.009633</v>
      </c>
      <c r="AV2244" s="25">
        <f>Inventory[[#This Row],[MainFn]]*Lookups!$B$86</f>
        <v>50792.112633556004</v>
      </c>
      <c r="AW2244" s="25">
        <f>Inventory[[#This Row],[UpprFn]]*Lookups!$B$87</f>
        <v>31216.136734116997</v>
      </c>
      <c r="AX2244" s="25">
        <f>Inventory[[#This Row],[AddFn]]*Lookups!$B$88</f>
        <v>0</v>
      </c>
      <c r="AY2244" s="25">
        <f>Inventory[[#This Row],[Bsmt]]*Lookups!$B$89</f>
        <v>22800.205873647999</v>
      </c>
      <c r="AZ2244" s="25">
        <f>Inventory[[#This Row],[Fixtures]]*Lookups!$B$90</f>
        <v>37920.221052000001</v>
      </c>
      <c r="BA2244" s="25">
        <f>Inventory[[#This Row],[WdDeck]]*Lookups!$B$91</f>
        <v>0</v>
      </c>
      <c r="BB2244" s="25">
        <f>ROUND(Inventory[[#This Row],[25Det]],-2)</f>
        <v>8600</v>
      </c>
      <c r="BC2244" s="25">
        <f>ROUND(SUM(Inventory[[#This Row],[Mdl Qlty]:[Mdl WdDeck]])+Inventory[[#This Row],[Mdl Res Intercept]],-2)</f>
        <v>347300</v>
      </c>
      <c r="BD2244" s="25">
        <f>ROUND(Inventory[[#This Row],[Mdl Land Intercept]]+Inventory[[#This Row],[Mdl LnAcres]],-2)</f>
        <v>46000</v>
      </c>
      <c r="BE2244" s="25">
        <f>Inventory[[#This Row],[Unadj Res Value]]+Inventory[[#This Row],[Unadj Det Value]]+Inventory[[#This Row],[Unadj Land Value]]</f>
        <v>401900</v>
      </c>
      <c r="BF2244" s="36">
        <f>(Inventory[[#This Row],[Unadj Total Value]]-Inventory[[#This Row],[24Final]])/Inventory[[#This Row],[24Final]]</f>
        <v>7.0876632027711162E-2</v>
      </c>
      <c r="BG2244" s="25">
        <f>VLOOKUP(Inventory[[#This Row],[Nbhd]],Lookups!$Q$2:$T$4,4,FALSE)</f>
        <v>0.99970000000000003</v>
      </c>
      <c r="BH2244" s="25">
        <f>VLOOKUP(Inventory[[#This Row],[Qlty]],Lookups!$O$7:$R$21,4,FALSE)</f>
        <v>1.0067999999999999</v>
      </c>
      <c r="BI2244" s="25">
        <f>VLOOKUP(Inventory[[#This Row],[Cnd]],Lookups!$T$7:$W$16,4,FALSE)</f>
        <v>0.99650000000000005</v>
      </c>
      <c r="BJ2244" s="25">
        <f>VLOOKUP(Inventory[[#This Row],[LivArea Range]],Lookups!$T$25:$W$37,4,FALSE)</f>
        <v>0.96179999999999999</v>
      </c>
      <c r="BK2244" s="25">
        <f>VLOOKUP(Inventory[[#This Row],[Decade]],Lookups!$O$25:$R$42,4,FALSE)</f>
        <v>0.93389999999999995</v>
      </c>
      <c r="BL2244" s="25">
        <f>Inventory[[#This Row],[Nbhd Adj]]*0.95</f>
        <v>0.94971499999999998</v>
      </c>
      <c r="BM2244" s="25">
        <f>Inventory[[#This Row],[Nbhd Adj]]*Inventory[[#This Row],[Quality Adj]]*Inventory[[#This Row],[Condition Adj]]*Inventory[[#This Row],[Living Area Adj]]*Inventory[[#This Row],[Decade Adj]]*0.95</f>
        <v>0.85585256275132671</v>
      </c>
      <c r="BN2244" s="25">
        <f>ROUND(SUM(Inventory[[#This Row],[Mdl Qlty]:[Mdl WdDeck]])+Inventory[[#This Row],[Mdl Res Intercept]]*Inventory[[#This Row],[Res Adj ]],-2)</f>
        <v>347300</v>
      </c>
      <c r="BO2244" s="25">
        <f>ROUND(Inventory[[#This Row],[25Det]]*Inventory[[#This Row],[Det/Nbhd Adj]],-2)</f>
        <v>8100</v>
      </c>
      <c r="BP2244" s="25">
        <f>Inventory[[#This Row],[Adjusted Res]]+Inventory[[#This Row],[Adj Det ]]</f>
        <v>355400</v>
      </c>
      <c r="BQ2244" s="25">
        <f>ROUND((Inventory[[#This Row],[Mdl Land Intercept]]+Inventory[[#This Row],[Mdl LnAcres]])*Inventory[[#This Row],[Det/Nbhd Adj]],-2)</f>
        <v>43700</v>
      </c>
      <c r="BR2244" s="25">
        <f>Inventory[[#This Row],[Adjusted Impr Total]]+Inventory[[#This Row],[Adjusted Land Total]]</f>
        <v>399100</v>
      </c>
      <c r="BS2244" s="36">
        <f>IFERROR((Inventory[[#This Row],[Adjusted Impr Total]]-Inventory[[#This Row],[24Bldg]])/Inventory[[#This Row],[24Bldg]],0)</f>
        <v>0.14978971206729214</v>
      </c>
      <c r="BT2244" s="36">
        <f>(Inventory[[#This Row],[Adjusted Land Total]]-Inventory[[#This Row],[24Lnd]])/Inventory[[#This Row],[24Lnd]]</f>
        <v>-0.33987915407854985</v>
      </c>
      <c r="BU2244" s="36">
        <f>(Inventory[[#This Row],[Adjusted Total]]-Inventory[[#This Row],[24Final]])/Inventory[[#This Row],[24Final]]</f>
        <v>6.3415933919531042E-2</v>
      </c>
    </row>
    <row r="2245" spans="1:73" x14ac:dyDescent="0.3">
      <c r="A2245" s="25">
        <v>2025</v>
      </c>
      <c r="B2245" s="26" t="s">
        <v>1652</v>
      </c>
      <c r="C2245" s="26">
        <f>LN(Inventory[[#This Row],[Acres]])</f>
        <v>-1.8325814637483102</v>
      </c>
      <c r="D2245" s="25">
        <v>0.16</v>
      </c>
      <c r="E2245" s="25">
        <v>7176</v>
      </c>
      <c r="F2245" s="26" t="s">
        <v>537</v>
      </c>
      <c r="G2245" s="26" t="s">
        <v>126</v>
      </c>
      <c r="H2245" s="26" t="s">
        <v>349</v>
      </c>
      <c r="I2245" s="26" t="s">
        <v>538</v>
      </c>
      <c r="J2245" s="26" t="s">
        <v>539</v>
      </c>
      <c r="K2245" s="26" t="s">
        <v>269</v>
      </c>
      <c r="L2245" s="26" t="s">
        <v>351</v>
      </c>
      <c r="M2245" s="26" t="s">
        <v>303</v>
      </c>
      <c r="N2245" s="26">
        <v>120</v>
      </c>
      <c r="O2245" s="26">
        <f>2024-Inventory[[#This Row],[YrBlt]]</f>
        <v>114</v>
      </c>
      <c r="P2245" s="26">
        <f>2024-Inventory[[#This Row],[EffYr]]</f>
        <v>56</v>
      </c>
      <c r="Q2245" s="25">
        <v>1910</v>
      </c>
      <c r="R2245" s="25">
        <v>1968</v>
      </c>
      <c r="S2245" s="25">
        <v>1224</v>
      </c>
      <c r="T2245" s="32">
        <v>936</v>
      </c>
      <c r="U2245" s="25">
        <v>936</v>
      </c>
      <c r="V2245" s="25">
        <f>Inventory[[#This Row],[Bsmt]]-Inventory[[#This Row],[FnBsmt]]</f>
        <v>0</v>
      </c>
      <c r="W2245" s="25">
        <v>936</v>
      </c>
      <c r="X2245" s="27"/>
      <c r="Y2245" s="27">
        <f>Inventory[[#This Row],[MainFn]]+Inventory[[#This Row],[UpprFn]]+Inventory[[#This Row],[FnBsmt]]+Inventory[[#This Row],[AddFn]]</f>
        <v>3096</v>
      </c>
      <c r="Z2245" s="27">
        <v>3500</v>
      </c>
      <c r="AA2245" s="25">
        <v>10</v>
      </c>
      <c r="AB2245" s="31"/>
      <c r="AC2245" s="27"/>
      <c r="AD2245" s="27"/>
      <c r="AE2245" s="27"/>
      <c r="AF2245" s="27"/>
      <c r="AG2245" s="27"/>
      <c r="AH2245" s="27"/>
      <c r="AI2245" s="25">
        <v>395231</v>
      </c>
      <c r="AJ2245" s="25">
        <v>260852</v>
      </c>
      <c r="AK2245" s="25">
        <v>7465</v>
      </c>
      <c r="AL2245" s="25">
        <v>388500</v>
      </c>
      <c r="AM2245" s="25">
        <v>50600</v>
      </c>
      <c r="AN2245" s="25">
        <v>337900</v>
      </c>
      <c r="AO2245" s="25">
        <v>0</v>
      </c>
      <c r="AP2245" s="25">
        <f>Lookups!$B$56*0</f>
        <v>0</v>
      </c>
      <c r="AQ2245" s="25">
        <f>Lookups!$B$56*1</f>
        <v>89850.625589999996</v>
      </c>
      <c r="AR2245" s="25">
        <f>Lookups!$B$57*Inventory[[#This Row],[LnAcres]]</f>
        <v>-58009.662049032086</v>
      </c>
      <c r="AS2245" s="25">
        <f>VLOOKUP(Inventory[[#This Row],[Qlty]],Lookups!$A$62:$E$75,2,FALSE)</f>
        <v>21557.329055999999</v>
      </c>
      <c r="AT2245" s="25">
        <f>VLOOKUP(Inventory[[#This Row],[Cnd]],Lookups!$A$76:$E$84,2,FALSE)</f>
        <v>197752.34721000001</v>
      </c>
      <c r="AU2245" s="25">
        <f>Inventory[[#This Row],[EffAge]]*Lookups!$B$85</f>
        <v>-12490.553628</v>
      </c>
      <c r="AV2245" s="25">
        <f>Inventory[[#This Row],[MainFn]]*Lookups!$B$86</f>
        <v>60476.211929448</v>
      </c>
      <c r="AW2245" s="25">
        <f>Inventory[[#This Row],[UpprFn]]*Lookups!$B$87</f>
        <v>41920.091797895999</v>
      </c>
      <c r="AX2245" s="25">
        <f>Inventory[[#This Row],[AddFn]]*Lookups!$B$88</f>
        <v>0</v>
      </c>
      <c r="AY2245" s="25">
        <f>Inventory[[#This Row],[Bsmt]]*Lookups!$B$89</f>
        <v>27220.653951191998</v>
      </c>
      <c r="AZ2245" s="25">
        <f>Inventory[[#This Row],[Fixtures]]*Lookups!$B$90</f>
        <v>37920.221052000001</v>
      </c>
      <c r="BA2245" s="25">
        <f>Inventory[[#This Row],[WdDeck]]*Lookups!$B$91</f>
        <v>0</v>
      </c>
      <c r="BB2245" s="25">
        <f>ROUND(Inventory[[#This Row],[25Det]],-2)</f>
        <v>7500</v>
      </c>
      <c r="BC2245" s="25">
        <f>ROUND(SUM(Inventory[[#This Row],[Mdl Qlty]:[Mdl WdDeck]])+Inventory[[#This Row],[Mdl Res Intercept]],-2)</f>
        <v>374400</v>
      </c>
      <c r="BD2245" s="25">
        <f>ROUND(Inventory[[#This Row],[Mdl Land Intercept]]+Inventory[[#This Row],[Mdl LnAcres]],-2)</f>
        <v>31800</v>
      </c>
      <c r="BE2245" s="25">
        <f>Inventory[[#This Row],[Unadj Res Value]]+Inventory[[#This Row],[Unadj Det Value]]+Inventory[[#This Row],[Unadj Land Value]]</f>
        <v>413700</v>
      </c>
      <c r="BF2245" s="36">
        <f>(Inventory[[#This Row],[Unadj Total Value]]-Inventory[[#This Row],[24Final]])/Inventory[[#This Row],[24Final]]</f>
        <v>6.4864864864864868E-2</v>
      </c>
      <c r="BG2245" s="25">
        <f>VLOOKUP(Inventory[[#This Row],[Nbhd]],Lookups!$Q$2:$T$4,4,FALSE)</f>
        <v>0.99970000000000003</v>
      </c>
      <c r="BH2245" s="25">
        <f>VLOOKUP(Inventory[[#This Row],[Qlty]],Lookups!$O$7:$R$21,4,FALSE)</f>
        <v>1.0067999999999999</v>
      </c>
      <c r="BI2245" s="25">
        <f>VLOOKUP(Inventory[[#This Row],[Cnd]],Lookups!$T$7:$W$16,4,FALSE)</f>
        <v>0.99650000000000005</v>
      </c>
      <c r="BJ2245" s="25">
        <f>VLOOKUP(Inventory[[#This Row],[LivArea Range]],Lookups!$T$25:$W$37,4,FALSE)</f>
        <v>1.0126999999999999</v>
      </c>
      <c r="BK2245" s="25">
        <f>VLOOKUP(Inventory[[#This Row],[Decade]],Lookups!$O$25:$R$42,4,FALSE)</f>
        <v>0.93389999999999995</v>
      </c>
      <c r="BL2245" s="25">
        <f>Inventory[[#This Row],[Nbhd Adj]]*0.95</f>
        <v>0.94971499999999998</v>
      </c>
      <c r="BM2245" s="25">
        <f>Inventory[[#This Row],[Nbhd Adj]]*Inventory[[#This Row],[Quality Adj]]*Inventory[[#This Row],[Condition Adj]]*Inventory[[#This Row],[Living Area Adj]]*Inventory[[#This Row],[Decade Adj]]*0.95</f>
        <v>0.9011456542922317</v>
      </c>
      <c r="BN2245" s="25">
        <f>ROUND(SUM(Inventory[[#This Row],[Mdl Qlty]:[Mdl WdDeck]])+Inventory[[#This Row],[Mdl Res Intercept]]*Inventory[[#This Row],[Res Adj ]],-2)</f>
        <v>374400</v>
      </c>
      <c r="BO2245" s="25">
        <f>ROUND(Inventory[[#This Row],[25Det]]*Inventory[[#This Row],[Det/Nbhd Adj]],-2)</f>
        <v>7100</v>
      </c>
      <c r="BP2245" s="25">
        <f>Inventory[[#This Row],[Adjusted Res]]+Inventory[[#This Row],[Adj Det ]]</f>
        <v>381500</v>
      </c>
      <c r="BQ2245" s="25">
        <f>ROUND((Inventory[[#This Row],[Mdl Land Intercept]]+Inventory[[#This Row],[Mdl LnAcres]])*Inventory[[#This Row],[Det/Nbhd Adj]],-2)</f>
        <v>30200</v>
      </c>
      <c r="BR2245" s="25">
        <f>Inventory[[#This Row],[Adjusted Impr Total]]+Inventory[[#This Row],[Adjusted Land Total]]</f>
        <v>411700</v>
      </c>
      <c r="BS2245" s="36">
        <f>IFERROR((Inventory[[#This Row],[Adjusted Impr Total]]-Inventory[[#This Row],[24Bldg]])/Inventory[[#This Row],[24Bldg]],0)</f>
        <v>0.12903225806451613</v>
      </c>
      <c r="BT2245" s="36">
        <f>(Inventory[[#This Row],[Adjusted Land Total]]-Inventory[[#This Row],[24Lnd]])/Inventory[[#This Row],[24Lnd]]</f>
        <v>-0.40316205533596838</v>
      </c>
      <c r="BU2245" s="36">
        <f>(Inventory[[#This Row],[Adjusted Total]]-Inventory[[#This Row],[24Final]])/Inventory[[#This Row],[24Final]]</f>
        <v>5.9716859716859715E-2</v>
      </c>
    </row>
    <row r="2246" spans="1:73" x14ac:dyDescent="0.3">
      <c r="A2246" s="25">
        <v>2025</v>
      </c>
      <c r="B2246" s="26" t="s">
        <v>2723</v>
      </c>
      <c r="C2246" s="26">
        <f>LN(Inventory[[#This Row],[Acres]])</f>
        <v>-1.1394342831883648</v>
      </c>
      <c r="D2246" s="25">
        <v>0.32</v>
      </c>
      <c r="E2246" s="25">
        <v>13730</v>
      </c>
      <c r="F2246" s="26" t="s">
        <v>537</v>
      </c>
      <c r="G2246" s="26" t="s">
        <v>126</v>
      </c>
      <c r="H2246" s="26" t="s">
        <v>349</v>
      </c>
      <c r="I2246" s="26" t="s">
        <v>538</v>
      </c>
      <c r="J2246" s="26" t="s">
        <v>539</v>
      </c>
      <c r="K2246" s="26" t="s">
        <v>269</v>
      </c>
      <c r="L2246" s="26" t="s">
        <v>351</v>
      </c>
      <c r="M2246" s="26" t="s">
        <v>303</v>
      </c>
      <c r="N2246" s="26">
        <v>120</v>
      </c>
      <c r="O2246" s="26">
        <f>2024-Inventory[[#This Row],[YrBlt]]</f>
        <v>114</v>
      </c>
      <c r="P2246" s="26">
        <f>2024-Inventory[[#This Row],[EffYr]]</f>
        <v>66</v>
      </c>
      <c r="Q2246" s="25">
        <v>1910</v>
      </c>
      <c r="R2246" s="25">
        <v>1958</v>
      </c>
      <c r="S2246" s="25">
        <v>1248</v>
      </c>
      <c r="T2246" s="32">
        <v>384</v>
      </c>
      <c r="U2246" s="25">
        <v>546</v>
      </c>
      <c r="V2246" s="25">
        <f>Inventory[[#This Row],[Bsmt]]-Inventory[[#This Row],[FnBsmt]]</f>
        <v>0</v>
      </c>
      <c r="W2246" s="25">
        <v>546</v>
      </c>
      <c r="X2246" s="27"/>
      <c r="Y2246" s="27">
        <f>Inventory[[#This Row],[MainFn]]+Inventory[[#This Row],[UpprFn]]+Inventory[[#This Row],[FnBsmt]]+Inventory[[#This Row],[AddFn]]</f>
        <v>2178</v>
      </c>
      <c r="Z2246" s="27">
        <v>2500</v>
      </c>
      <c r="AA2246" s="25">
        <v>8</v>
      </c>
      <c r="AB2246" s="27"/>
      <c r="AC2246" s="27"/>
      <c r="AD2246" s="27"/>
      <c r="AE2246" s="27"/>
      <c r="AF2246" s="27"/>
      <c r="AG2246" s="31"/>
      <c r="AH2246" s="27"/>
      <c r="AI2246" s="25">
        <v>303796</v>
      </c>
      <c r="AJ2246" s="25">
        <v>173164</v>
      </c>
      <c r="AK2246" s="25">
        <v>13149</v>
      </c>
      <c r="AL2246" s="25">
        <v>371300</v>
      </c>
      <c r="AM2246" s="25">
        <v>74800</v>
      </c>
      <c r="AN2246" s="25">
        <v>296500</v>
      </c>
      <c r="AO2246" s="25">
        <v>0</v>
      </c>
      <c r="AP2246" s="25">
        <f>Lookups!$B$56*0</f>
        <v>0</v>
      </c>
      <c r="AQ2246" s="25">
        <f>Lookups!$B$56*1</f>
        <v>89850.625589999996</v>
      </c>
      <c r="AR2246" s="25">
        <f>Lookups!$B$57*Inventory[[#This Row],[LnAcres]]</f>
        <v>-36068.354396449467</v>
      </c>
      <c r="AS2246" s="25">
        <f>VLOOKUP(Inventory[[#This Row],[Qlty]],Lookups!$A$62:$E$75,2,FALSE)</f>
        <v>21557.329055999999</v>
      </c>
      <c r="AT2246" s="25">
        <f>VLOOKUP(Inventory[[#This Row],[Cnd]],Lookups!$A$76:$E$84,2,FALSE)</f>
        <v>197752.34721000001</v>
      </c>
      <c r="AU2246" s="25">
        <f>Inventory[[#This Row],[EffAge]]*Lookups!$B$85</f>
        <v>-14721.009633</v>
      </c>
      <c r="AV2246" s="25">
        <f>Inventory[[#This Row],[MainFn]]*Lookups!$B$86</f>
        <v>61662.020006496001</v>
      </c>
      <c r="AW2246" s="25">
        <f>Inventory[[#This Row],[UpprFn]]*Lookups!$B$87</f>
        <v>17197.986378623998</v>
      </c>
      <c r="AX2246" s="25">
        <f>Inventory[[#This Row],[AddFn]]*Lookups!$B$88</f>
        <v>0</v>
      </c>
      <c r="AY2246" s="25">
        <f>Inventory[[#This Row],[Bsmt]]*Lookups!$B$89</f>
        <v>15878.714804861998</v>
      </c>
      <c r="AZ2246" s="25">
        <f>Inventory[[#This Row],[Fixtures]]*Lookups!$B$90</f>
        <v>30336.176841600001</v>
      </c>
      <c r="BA2246" s="25">
        <f>Inventory[[#This Row],[WdDeck]]*Lookups!$B$91</f>
        <v>0</v>
      </c>
      <c r="BB2246" s="25">
        <f>ROUND(Inventory[[#This Row],[25Det]],-2)</f>
        <v>13100</v>
      </c>
      <c r="BC2246" s="25">
        <f>ROUND(SUM(Inventory[[#This Row],[Mdl Qlty]:[Mdl WdDeck]])+Inventory[[#This Row],[Mdl Res Intercept]],-2)</f>
        <v>329700</v>
      </c>
      <c r="BD2246" s="25">
        <f>ROUND(Inventory[[#This Row],[Mdl Land Intercept]]+Inventory[[#This Row],[Mdl LnAcres]],-2)</f>
        <v>53800</v>
      </c>
      <c r="BE2246" s="25">
        <f>Inventory[[#This Row],[Unadj Res Value]]+Inventory[[#This Row],[Unadj Det Value]]+Inventory[[#This Row],[Unadj Land Value]]</f>
        <v>396600</v>
      </c>
      <c r="BF2246" s="36">
        <f>(Inventory[[#This Row],[Unadj Total Value]]-Inventory[[#This Row],[24Final]])/Inventory[[#This Row],[24Final]]</f>
        <v>6.813897118233235E-2</v>
      </c>
      <c r="BG2246" s="25">
        <f>VLOOKUP(Inventory[[#This Row],[Nbhd]],Lookups!$Q$2:$T$4,4,FALSE)</f>
        <v>0.99970000000000003</v>
      </c>
      <c r="BH2246" s="25">
        <f>VLOOKUP(Inventory[[#This Row],[Qlty]],Lookups!$O$7:$R$21,4,FALSE)</f>
        <v>1.0067999999999999</v>
      </c>
      <c r="BI2246" s="25">
        <f>VLOOKUP(Inventory[[#This Row],[Cnd]],Lookups!$T$7:$W$16,4,FALSE)</f>
        <v>0.99650000000000005</v>
      </c>
      <c r="BJ2246" s="25">
        <f>VLOOKUP(Inventory[[#This Row],[LivArea Range]],Lookups!$T$25:$W$37,4,FALSE)</f>
        <v>0.98919999999999997</v>
      </c>
      <c r="BK2246" s="25">
        <f>VLOOKUP(Inventory[[#This Row],[Decade]],Lookups!$O$25:$R$42,4,FALSE)</f>
        <v>0.93389999999999995</v>
      </c>
      <c r="BL2246" s="25">
        <f>Inventory[[#This Row],[Nbhd Adj]]*0.95</f>
        <v>0.94971499999999998</v>
      </c>
      <c r="BM2246" s="25">
        <f>Inventory[[#This Row],[Nbhd Adj]]*Inventory[[#This Row],[Quality Adj]]*Inventory[[#This Row],[Condition Adj]]*Inventory[[#This Row],[Living Area Adj]]*Inventory[[#This Row],[Decade Adj]]*0.95</f>
        <v>0.88023430554544835</v>
      </c>
      <c r="BN2246" s="25">
        <f>ROUND(SUM(Inventory[[#This Row],[Mdl Qlty]:[Mdl WdDeck]])+Inventory[[#This Row],[Mdl Res Intercept]]*Inventory[[#This Row],[Res Adj ]],-2)</f>
        <v>329700</v>
      </c>
      <c r="BO2246" s="25">
        <f>ROUND(Inventory[[#This Row],[25Det]]*Inventory[[#This Row],[Det/Nbhd Adj]],-2)</f>
        <v>12500</v>
      </c>
      <c r="BP2246" s="25">
        <f>Inventory[[#This Row],[Adjusted Res]]+Inventory[[#This Row],[Adj Det ]]</f>
        <v>342200</v>
      </c>
      <c r="BQ2246" s="25">
        <f>ROUND((Inventory[[#This Row],[Mdl Land Intercept]]+Inventory[[#This Row],[Mdl LnAcres]])*Inventory[[#This Row],[Det/Nbhd Adj]],-2)</f>
        <v>51100</v>
      </c>
      <c r="BR2246" s="25">
        <f>Inventory[[#This Row],[Adjusted Impr Total]]+Inventory[[#This Row],[Adjusted Land Total]]</f>
        <v>393300</v>
      </c>
      <c r="BS2246" s="36">
        <f>IFERROR((Inventory[[#This Row],[Adjusted Impr Total]]-Inventory[[#This Row],[24Bldg]])/Inventory[[#This Row],[24Bldg]],0)</f>
        <v>0.15413153456998313</v>
      </c>
      <c r="BT2246" s="36">
        <f>(Inventory[[#This Row],[Adjusted Land Total]]-Inventory[[#This Row],[24Lnd]])/Inventory[[#This Row],[24Lnd]]</f>
        <v>-0.31684491978609625</v>
      </c>
      <c r="BU2246" s="36">
        <f>(Inventory[[#This Row],[Adjusted Total]]-Inventory[[#This Row],[24Final]])/Inventory[[#This Row],[24Final]]</f>
        <v>5.9251279288984646E-2</v>
      </c>
    </row>
    <row r="2247" spans="1:73" x14ac:dyDescent="0.3">
      <c r="A2247" s="25">
        <v>2025</v>
      </c>
      <c r="B2247" s="26" t="s">
        <v>1426</v>
      </c>
      <c r="C2247" s="26">
        <f>LN(Inventory[[#This Row],[Acres]])</f>
        <v>-1.6094379124341003</v>
      </c>
      <c r="D2247" s="25">
        <v>0.2</v>
      </c>
      <c r="E2247" s="32">
        <v>8058</v>
      </c>
      <c r="F2247" s="26" t="s">
        <v>537</v>
      </c>
      <c r="G2247" s="26" t="s">
        <v>126</v>
      </c>
      <c r="H2247" s="26" t="s">
        <v>349</v>
      </c>
      <c r="I2247" s="26" t="s">
        <v>538</v>
      </c>
      <c r="J2247" s="26" t="s">
        <v>638</v>
      </c>
      <c r="K2247" s="26" t="s">
        <v>242</v>
      </c>
      <c r="L2247" s="26" t="s">
        <v>205</v>
      </c>
      <c r="M2247" s="26" t="s">
        <v>303</v>
      </c>
      <c r="N2247" s="26">
        <v>120</v>
      </c>
      <c r="O2247" s="26">
        <f>2024-Inventory[[#This Row],[YrBlt]]</f>
        <v>114</v>
      </c>
      <c r="P2247" s="26">
        <f>2024-Inventory[[#This Row],[EffYr]]</f>
        <v>66</v>
      </c>
      <c r="Q2247" s="25">
        <v>1910</v>
      </c>
      <c r="R2247" s="25">
        <v>1958</v>
      </c>
      <c r="S2247" s="25">
        <v>776</v>
      </c>
      <c r="T2247" s="27"/>
      <c r="U2247" s="25">
        <v>560</v>
      </c>
      <c r="V2247" s="25">
        <f>Inventory[[#This Row],[Bsmt]]-Inventory[[#This Row],[FnBsmt]]</f>
        <v>0</v>
      </c>
      <c r="W2247" s="25">
        <v>560</v>
      </c>
      <c r="X2247" s="27"/>
      <c r="Y2247" s="27">
        <f>Inventory[[#This Row],[MainFn]]+Inventory[[#This Row],[UpprFn]]+Inventory[[#This Row],[FnBsmt]]+Inventory[[#This Row],[AddFn]]</f>
        <v>1336</v>
      </c>
      <c r="Z2247" s="27">
        <v>1500</v>
      </c>
      <c r="AA2247" s="25">
        <v>9</v>
      </c>
      <c r="AB2247" s="27"/>
      <c r="AC2247" s="27"/>
      <c r="AD2247" s="27"/>
      <c r="AE2247" s="27"/>
      <c r="AF2247" s="27"/>
      <c r="AG2247" s="27"/>
      <c r="AH2247" s="27"/>
      <c r="AI2247" s="25">
        <v>187414</v>
      </c>
      <c r="AJ2247" s="25">
        <v>106826</v>
      </c>
      <c r="AK2247" s="25">
        <v>2186</v>
      </c>
      <c r="AL2247" s="25">
        <v>294500</v>
      </c>
      <c r="AM2247" s="25">
        <v>58400</v>
      </c>
      <c r="AN2247" s="25">
        <v>236100</v>
      </c>
      <c r="AO2247" s="25">
        <v>0</v>
      </c>
      <c r="AP2247" s="25">
        <f>Lookups!$B$56*0</f>
        <v>0</v>
      </c>
      <c r="AQ2247" s="25">
        <f>Lookups!$B$56*1</f>
        <v>89850.625589999996</v>
      </c>
      <c r="AR2247" s="25">
        <f>Lookups!$B$57*Inventory[[#This Row],[LnAcres]]</f>
        <v>-50946.13867709865</v>
      </c>
      <c r="AS2247" s="25">
        <f>VLOOKUP(Inventory[[#This Row],[Qlty]],Lookups!$A$62:$E$75,2,FALSE)</f>
        <v>0</v>
      </c>
      <c r="AT2247" s="25">
        <f>VLOOKUP(Inventory[[#This Row],[Cnd]],Lookups!$A$76:$E$84,2,FALSE)</f>
        <v>197752.34721000001</v>
      </c>
      <c r="AU2247" s="25">
        <f>Inventory[[#This Row],[EffAge]]*Lookups!$B$85</f>
        <v>-14721.009633</v>
      </c>
      <c r="AV2247" s="25">
        <f>Inventory[[#This Row],[MainFn]]*Lookups!$B$86</f>
        <v>38341.127824552001</v>
      </c>
      <c r="AW2247" s="25">
        <f>Inventory[[#This Row],[UpprFn]]*Lookups!$B$87</f>
        <v>0</v>
      </c>
      <c r="AX2247" s="25">
        <f>Inventory[[#This Row],[AddFn]]*Lookups!$B$88</f>
        <v>0</v>
      </c>
      <c r="AY2247" s="25">
        <f>Inventory[[#This Row],[Bsmt]]*Lookups!$B$89</f>
        <v>16285.861338319999</v>
      </c>
      <c r="AZ2247" s="25">
        <f>Inventory[[#This Row],[Fixtures]]*Lookups!$B$90</f>
        <v>34128.198946800003</v>
      </c>
      <c r="BA2247" s="25">
        <f>Inventory[[#This Row],[WdDeck]]*Lookups!$B$91</f>
        <v>0</v>
      </c>
      <c r="BB2247" s="25">
        <f>ROUND(Inventory[[#This Row],[25Det]],-2)</f>
        <v>2200</v>
      </c>
      <c r="BC2247" s="25">
        <f>ROUND(SUM(Inventory[[#This Row],[Mdl Qlty]:[Mdl WdDeck]])+Inventory[[#This Row],[Mdl Res Intercept]],-2)</f>
        <v>271800</v>
      </c>
      <c r="BD2247" s="25">
        <f>ROUND(Inventory[[#This Row],[Mdl Land Intercept]]+Inventory[[#This Row],[Mdl LnAcres]],-2)</f>
        <v>38900</v>
      </c>
      <c r="BE2247" s="25">
        <f>Inventory[[#This Row],[Unadj Res Value]]+Inventory[[#This Row],[Unadj Det Value]]+Inventory[[#This Row],[Unadj Land Value]]</f>
        <v>312900</v>
      </c>
      <c r="BF2247" s="36">
        <f>(Inventory[[#This Row],[Unadj Total Value]]-Inventory[[#This Row],[24Final]])/Inventory[[#This Row],[24Final]]</f>
        <v>6.2478777589134123E-2</v>
      </c>
      <c r="BG2247" s="25">
        <f>VLOOKUP(Inventory[[#This Row],[Nbhd]],Lookups!$Q$2:$T$4,4,FALSE)</f>
        <v>0.99970000000000003</v>
      </c>
      <c r="BH2247" s="25">
        <f>VLOOKUP(Inventory[[#This Row],[Qlty]],Lookups!$O$7:$R$21,4,FALSE)</f>
        <v>0.99180000000000001</v>
      </c>
      <c r="BI2247" s="25">
        <f>VLOOKUP(Inventory[[#This Row],[Cnd]],Lookups!$T$7:$W$16,4,FALSE)</f>
        <v>0.99650000000000005</v>
      </c>
      <c r="BJ2247" s="25">
        <f>VLOOKUP(Inventory[[#This Row],[LivArea Range]],Lookups!$T$25:$W$37,4,FALSE)</f>
        <v>1.0157</v>
      </c>
      <c r="BK2247" s="25">
        <f>VLOOKUP(Inventory[[#This Row],[Decade]],Lookups!$O$25:$R$42,4,FALSE)</f>
        <v>0.93389999999999995</v>
      </c>
      <c r="BL2247" s="25">
        <f>Inventory[[#This Row],[Nbhd Adj]]*0.95</f>
        <v>0.94971499999999998</v>
      </c>
      <c r="BM2247" s="25">
        <f>Inventory[[#This Row],[Nbhd Adj]]*Inventory[[#This Row],[Quality Adj]]*Inventory[[#This Row],[Condition Adj]]*Inventory[[#This Row],[Living Area Adj]]*Inventory[[#This Row],[Decade Adj]]*0.95</f>
        <v>0.89034952684919233</v>
      </c>
      <c r="BN2247" s="25">
        <f>ROUND(SUM(Inventory[[#This Row],[Mdl Qlty]:[Mdl WdDeck]])+Inventory[[#This Row],[Mdl Res Intercept]]*Inventory[[#This Row],[Res Adj ]],-2)</f>
        <v>271800</v>
      </c>
      <c r="BO2247" s="25">
        <f>ROUND(Inventory[[#This Row],[25Det]]*Inventory[[#This Row],[Det/Nbhd Adj]],-2)</f>
        <v>2100</v>
      </c>
      <c r="BP2247" s="25">
        <f>Inventory[[#This Row],[Adjusted Res]]+Inventory[[#This Row],[Adj Det ]]</f>
        <v>273900</v>
      </c>
      <c r="BQ2247" s="25">
        <f>ROUND((Inventory[[#This Row],[Mdl Land Intercept]]+Inventory[[#This Row],[Mdl LnAcres]])*Inventory[[#This Row],[Det/Nbhd Adj]],-2)</f>
        <v>36900</v>
      </c>
      <c r="BR2247" s="25">
        <f>Inventory[[#This Row],[Adjusted Impr Total]]+Inventory[[#This Row],[Adjusted Land Total]]</f>
        <v>310800</v>
      </c>
      <c r="BS2247" s="36">
        <f>IFERROR((Inventory[[#This Row],[Adjusted Impr Total]]-Inventory[[#This Row],[24Bldg]])/Inventory[[#This Row],[24Bldg]],0)</f>
        <v>0.16010165184243966</v>
      </c>
      <c r="BT2247" s="36">
        <f>(Inventory[[#This Row],[Adjusted Land Total]]-Inventory[[#This Row],[24Lnd]])/Inventory[[#This Row],[24Lnd]]</f>
        <v>-0.36815068493150682</v>
      </c>
      <c r="BU2247" s="36">
        <f>(Inventory[[#This Row],[Adjusted Total]]-Inventory[[#This Row],[24Final]])/Inventory[[#This Row],[24Final]]</f>
        <v>5.5348047538200343E-2</v>
      </c>
    </row>
    <row r="2248" spans="1:73" x14ac:dyDescent="0.3">
      <c r="A2248" s="25">
        <v>2025</v>
      </c>
      <c r="B2248" s="26" t="s">
        <v>943</v>
      </c>
      <c r="C2248" s="26">
        <f>LN(Inventory[[#This Row],[Acres]])</f>
        <v>-1.3862943611198906</v>
      </c>
      <c r="D2248" s="25">
        <v>0.25</v>
      </c>
      <c r="E2248" s="25">
        <v>11043</v>
      </c>
      <c r="F2248" s="26" t="s">
        <v>537</v>
      </c>
      <c r="G2248" s="26" t="s">
        <v>126</v>
      </c>
      <c r="H2248" s="26" t="s">
        <v>349</v>
      </c>
      <c r="I2248" s="26" t="s">
        <v>538</v>
      </c>
      <c r="J2248" s="26" t="s">
        <v>539</v>
      </c>
      <c r="K2248" s="26" t="s">
        <v>173</v>
      </c>
      <c r="L2248" s="26" t="s">
        <v>351</v>
      </c>
      <c r="M2248" s="26" t="s">
        <v>323</v>
      </c>
      <c r="N2248" s="26">
        <v>120</v>
      </c>
      <c r="O2248" s="26">
        <f>2024-Inventory[[#This Row],[YrBlt]]</f>
        <v>114</v>
      </c>
      <c r="P2248" s="26">
        <f>2024-Inventory[[#This Row],[EffYr]]</f>
        <v>66</v>
      </c>
      <c r="Q2248" s="25">
        <v>1910</v>
      </c>
      <c r="R2248" s="25">
        <v>1958</v>
      </c>
      <c r="S2248" s="25">
        <v>1090</v>
      </c>
      <c r="T2248" s="25">
        <v>727</v>
      </c>
      <c r="U2248" s="25">
        <v>1090</v>
      </c>
      <c r="V2248" s="25">
        <f>Inventory[[#This Row],[Bsmt]]-Inventory[[#This Row],[FnBsmt]]</f>
        <v>981</v>
      </c>
      <c r="W2248" s="25">
        <v>109</v>
      </c>
      <c r="X2248" s="27"/>
      <c r="Y2248" s="27">
        <f>Inventory[[#This Row],[MainFn]]+Inventory[[#This Row],[UpprFn]]+Inventory[[#This Row],[FnBsmt]]+Inventory[[#This Row],[AddFn]]</f>
        <v>1926</v>
      </c>
      <c r="Z2248" s="27">
        <v>2000</v>
      </c>
      <c r="AA2248" s="25">
        <v>8</v>
      </c>
      <c r="AB2248" s="27"/>
      <c r="AC2248" s="31"/>
      <c r="AD2248" s="27"/>
      <c r="AE2248" s="27"/>
      <c r="AF2248" s="27"/>
      <c r="AG2248" s="31"/>
      <c r="AH2248" s="27"/>
      <c r="AI2248" s="25">
        <v>338200</v>
      </c>
      <c r="AJ2248" s="25">
        <v>186010</v>
      </c>
      <c r="AK2248" s="25">
        <v>10354</v>
      </c>
      <c r="AL2248" s="25">
        <v>350600</v>
      </c>
      <c r="AM2248" s="25">
        <v>66200</v>
      </c>
      <c r="AN2248" s="25">
        <v>284400</v>
      </c>
      <c r="AO2248" s="25">
        <v>0</v>
      </c>
      <c r="AP2248" s="25">
        <f>Lookups!$B$56*0</f>
        <v>0</v>
      </c>
      <c r="AQ2248" s="25">
        <f>Lookups!$B$56*1</f>
        <v>89850.625589999996</v>
      </c>
      <c r="AR2248" s="25">
        <f>Lookups!$B$57*Inventory[[#This Row],[LnAcres]]</f>
        <v>-43882.615305165229</v>
      </c>
      <c r="AS2248" s="25">
        <f>VLOOKUP(Inventory[[#This Row],[Qlty]],Lookups!$A$62:$E$75,2,FALSE)</f>
        <v>21557.329055999999</v>
      </c>
      <c r="AT2248" s="25">
        <f>VLOOKUP(Inventory[[#This Row],[Cnd]],Lookups!$A$76:$E$84,2,FALSE)</f>
        <v>160472.20319</v>
      </c>
      <c r="AU2248" s="25">
        <f>Inventory[[#This Row],[EffAge]]*Lookups!$B$85</f>
        <v>-14721.009633</v>
      </c>
      <c r="AV2248" s="25">
        <f>Inventory[[#This Row],[MainFn]]*Lookups!$B$86</f>
        <v>53855.45016593</v>
      </c>
      <c r="AW2248" s="25">
        <f>Inventory[[#This Row],[UpprFn]]*Lookups!$B$87</f>
        <v>32559.729419946998</v>
      </c>
      <c r="AX2248" s="25">
        <f>Inventory[[#This Row],[AddFn]]*Lookups!$B$88</f>
        <v>0</v>
      </c>
      <c r="AY2248" s="25">
        <f>Inventory[[#This Row],[Bsmt]]*Lookups!$B$89</f>
        <v>31699.265819229997</v>
      </c>
      <c r="AZ2248" s="25">
        <f>Inventory[[#This Row],[Fixtures]]*Lookups!$B$90</f>
        <v>30336.176841600001</v>
      </c>
      <c r="BA2248" s="25">
        <f>Inventory[[#This Row],[WdDeck]]*Lookups!$B$91</f>
        <v>0</v>
      </c>
      <c r="BB2248" s="25">
        <f>ROUND(Inventory[[#This Row],[25Det]],-2)</f>
        <v>10400</v>
      </c>
      <c r="BC2248" s="25">
        <f>ROUND(SUM(Inventory[[#This Row],[Mdl Qlty]:[Mdl WdDeck]])+Inventory[[#This Row],[Mdl Res Intercept]],-2)</f>
        <v>315800</v>
      </c>
      <c r="BD2248" s="25">
        <f>ROUND(Inventory[[#This Row],[Mdl Land Intercept]]+Inventory[[#This Row],[Mdl LnAcres]],-2)</f>
        <v>46000</v>
      </c>
      <c r="BE2248" s="25">
        <f>Inventory[[#This Row],[Unadj Res Value]]+Inventory[[#This Row],[Unadj Det Value]]+Inventory[[#This Row],[Unadj Land Value]]</f>
        <v>372200</v>
      </c>
      <c r="BF2248" s="36">
        <f>(Inventory[[#This Row],[Unadj Total Value]]-Inventory[[#This Row],[24Final]])/Inventory[[#This Row],[24Final]]</f>
        <v>6.1608670849971479E-2</v>
      </c>
      <c r="BG2248" s="25">
        <f>VLOOKUP(Inventory[[#This Row],[Nbhd]],Lookups!$Q$2:$T$4,4,FALSE)</f>
        <v>0.99970000000000003</v>
      </c>
      <c r="BH2248" s="25">
        <f>VLOOKUP(Inventory[[#This Row],[Qlty]],Lookups!$O$7:$R$21,4,FALSE)</f>
        <v>1.0067999999999999</v>
      </c>
      <c r="BI2248" s="25">
        <f>VLOOKUP(Inventory[[#This Row],[Cnd]],Lookups!$T$7:$W$16,4,FALSE)</f>
        <v>0.99729999999999996</v>
      </c>
      <c r="BJ2248" s="25">
        <f>VLOOKUP(Inventory[[#This Row],[LivArea Range]],Lookups!$T$25:$W$37,4,FALSE)</f>
        <v>1.0093000000000001</v>
      </c>
      <c r="BK2248" s="25">
        <f>VLOOKUP(Inventory[[#This Row],[Decade]],Lookups!$O$25:$R$42,4,FALSE)</f>
        <v>0.93389999999999995</v>
      </c>
      <c r="BL2248" s="25">
        <f>Inventory[[#This Row],[Nbhd Adj]]*0.95</f>
        <v>0.94971499999999998</v>
      </c>
      <c r="BM2248" s="25">
        <f>Inventory[[#This Row],[Nbhd Adj]]*Inventory[[#This Row],[Quality Adj]]*Inventory[[#This Row],[Condition Adj]]*Inventory[[#This Row],[Living Area Adj]]*Inventory[[#This Row],[Decade Adj]]*0.95</f>
        <v>0.89884120227370423</v>
      </c>
      <c r="BN2248" s="25">
        <f>ROUND(SUM(Inventory[[#This Row],[Mdl Qlty]:[Mdl WdDeck]])+Inventory[[#This Row],[Mdl Res Intercept]]*Inventory[[#This Row],[Res Adj ]],-2)</f>
        <v>315800</v>
      </c>
      <c r="BO2248" s="25">
        <f>ROUND(Inventory[[#This Row],[25Det]]*Inventory[[#This Row],[Det/Nbhd Adj]],-2)</f>
        <v>9800</v>
      </c>
      <c r="BP2248" s="25">
        <f>Inventory[[#This Row],[Adjusted Res]]+Inventory[[#This Row],[Adj Det ]]</f>
        <v>325600</v>
      </c>
      <c r="BQ2248" s="25">
        <f>ROUND((Inventory[[#This Row],[Mdl Land Intercept]]+Inventory[[#This Row],[Mdl LnAcres]])*Inventory[[#This Row],[Det/Nbhd Adj]],-2)</f>
        <v>43700</v>
      </c>
      <c r="BR2248" s="25">
        <f>Inventory[[#This Row],[Adjusted Impr Total]]+Inventory[[#This Row],[Adjusted Land Total]]</f>
        <v>369300</v>
      </c>
      <c r="BS2248" s="36">
        <f>IFERROR((Inventory[[#This Row],[Adjusted Impr Total]]-Inventory[[#This Row],[24Bldg]])/Inventory[[#This Row],[24Bldg]],0)</f>
        <v>0.14486638537271448</v>
      </c>
      <c r="BT2248" s="36">
        <f>(Inventory[[#This Row],[Adjusted Land Total]]-Inventory[[#This Row],[24Lnd]])/Inventory[[#This Row],[24Lnd]]</f>
        <v>-0.33987915407854985</v>
      </c>
      <c r="BU2248" s="36">
        <f>(Inventory[[#This Row],[Adjusted Total]]-Inventory[[#This Row],[24Final]])/Inventory[[#This Row],[24Final]]</f>
        <v>5.3337136337706786E-2</v>
      </c>
    </row>
    <row r="2249" spans="1:73" x14ac:dyDescent="0.3">
      <c r="A2249" s="25">
        <v>2025</v>
      </c>
      <c r="B2249" s="26" t="s">
        <v>818</v>
      </c>
      <c r="C2249" s="26">
        <f>LN(Inventory[[#This Row],[Acres]])</f>
        <v>-1.5141277326297755</v>
      </c>
      <c r="D2249" s="25">
        <v>0.22</v>
      </c>
      <c r="E2249" s="25">
        <v>9383</v>
      </c>
      <c r="F2249" s="26" t="s">
        <v>537</v>
      </c>
      <c r="G2249" s="26" t="s">
        <v>126</v>
      </c>
      <c r="H2249" s="26" t="s">
        <v>349</v>
      </c>
      <c r="I2249" s="26" t="s">
        <v>538</v>
      </c>
      <c r="J2249" s="26" t="s">
        <v>539</v>
      </c>
      <c r="K2249" s="26" t="s">
        <v>416</v>
      </c>
      <c r="L2249" s="26" t="s">
        <v>351</v>
      </c>
      <c r="M2249" s="26" t="s">
        <v>323</v>
      </c>
      <c r="N2249" s="26">
        <v>120</v>
      </c>
      <c r="O2249" s="26">
        <f>2024-Inventory[[#This Row],[YrBlt]]</f>
        <v>114</v>
      </c>
      <c r="P2249" s="26">
        <f>2024-Inventory[[#This Row],[EffYr]]</f>
        <v>66</v>
      </c>
      <c r="Q2249" s="25">
        <v>1910</v>
      </c>
      <c r="R2249" s="25">
        <v>1958</v>
      </c>
      <c r="S2249" s="25">
        <v>1166</v>
      </c>
      <c r="T2249" s="32">
        <v>933</v>
      </c>
      <c r="U2249" s="25">
        <v>576</v>
      </c>
      <c r="V2249" s="25">
        <f>Inventory[[#This Row],[Bsmt]]-Inventory[[#This Row],[FnBsmt]]</f>
        <v>576</v>
      </c>
      <c r="W2249" s="31"/>
      <c r="X2249" s="27"/>
      <c r="Y2249" s="27">
        <f>Inventory[[#This Row],[MainFn]]+Inventory[[#This Row],[UpprFn]]+Inventory[[#This Row],[FnBsmt]]+Inventory[[#This Row],[AddFn]]</f>
        <v>2099</v>
      </c>
      <c r="Z2249" s="27">
        <v>2500</v>
      </c>
      <c r="AA2249" s="25">
        <v>7</v>
      </c>
      <c r="AB2249" s="27"/>
      <c r="AC2249" s="27"/>
      <c r="AD2249" s="27"/>
      <c r="AE2249" s="27"/>
      <c r="AF2249" s="27"/>
      <c r="AG2249" s="27"/>
      <c r="AH2249" s="27"/>
      <c r="AI2249" s="25">
        <v>322182</v>
      </c>
      <c r="AJ2249" s="25">
        <v>177200</v>
      </c>
      <c r="AK2249" s="25">
        <v>8098</v>
      </c>
      <c r="AL2249" s="25">
        <v>339600</v>
      </c>
      <c r="AM2249" s="25">
        <v>61700</v>
      </c>
      <c r="AN2249" s="25">
        <v>277900</v>
      </c>
      <c r="AO2249" s="25">
        <v>0</v>
      </c>
      <c r="AP2249" s="25">
        <f>Lookups!$B$56*0</f>
        <v>0</v>
      </c>
      <c r="AQ2249" s="25">
        <f>Lookups!$B$56*1</f>
        <v>89850.625589999996</v>
      </c>
      <c r="AR2249" s="25">
        <f>Lookups!$B$57*Inventory[[#This Row],[LnAcres]]</f>
        <v>-47929.131559187132</v>
      </c>
      <c r="AS2249" s="25">
        <f>VLOOKUP(Inventory[[#This Row],[Qlty]],Lookups!$A$62:$E$75,2,FALSE)</f>
        <v>21557.329055999999</v>
      </c>
      <c r="AT2249" s="25">
        <f>VLOOKUP(Inventory[[#This Row],[Cnd]],Lookups!$A$76:$E$84,2,FALSE)</f>
        <v>160472.20319</v>
      </c>
      <c r="AU2249" s="25">
        <f>Inventory[[#This Row],[EffAge]]*Lookups!$B$85</f>
        <v>-14721.009633</v>
      </c>
      <c r="AV2249" s="25">
        <f>Inventory[[#This Row],[MainFn]]*Lookups!$B$86</f>
        <v>57610.509076581999</v>
      </c>
      <c r="AW2249" s="25">
        <f>Inventory[[#This Row],[UpprFn]]*Lookups!$B$87</f>
        <v>41785.732529312998</v>
      </c>
      <c r="AX2249" s="25">
        <f>Inventory[[#This Row],[AddFn]]*Lookups!$B$88</f>
        <v>0</v>
      </c>
      <c r="AY2249" s="25">
        <f>Inventory[[#This Row],[Bsmt]]*Lookups!$B$89</f>
        <v>16751.171662271998</v>
      </c>
      <c r="AZ2249" s="25">
        <f>Inventory[[#This Row],[Fixtures]]*Lookups!$B$90</f>
        <v>26544.1547364</v>
      </c>
      <c r="BA2249" s="25">
        <f>Inventory[[#This Row],[WdDeck]]*Lookups!$B$91</f>
        <v>0</v>
      </c>
      <c r="BB2249" s="25">
        <f>ROUND(Inventory[[#This Row],[25Det]],-2)</f>
        <v>8100</v>
      </c>
      <c r="BC2249" s="25">
        <f>ROUND(SUM(Inventory[[#This Row],[Mdl Qlty]:[Mdl WdDeck]])+Inventory[[#This Row],[Mdl Res Intercept]],-2)</f>
        <v>310000</v>
      </c>
      <c r="BD2249" s="25">
        <f>ROUND(Inventory[[#This Row],[Mdl Land Intercept]]+Inventory[[#This Row],[Mdl LnAcres]],-2)</f>
        <v>41900</v>
      </c>
      <c r="BE2249" s="25">
        <f>Inventory[[#This Row],[Unadj Res Value]]+Inventory[[#This Row],[Unadj Det Value]]+Inventory[[#This Row],[Unadj Land Value]]</f>
        <v>360000</v>
      </c>
      <c r="BF2249" s="36">
        <f>(Inventory[[#This Row],[Unadj Total Value]]-Inventory[[#This Row],[24Final]])/Inventory[[#This Row],[24Final]]</f>
        <v>6.0070671378091869E-2</v>
      </c>
      <c r="BG2249" s="25">
        <f>VLOOKUP(Inventory[[#This Row],[Nbhd]],Lookups!$Q$2:$T$4,4,FALSE)</f>
        <v>0.99970000000000003</v>
      </c>
      <c r="BH2249" s="25">
        <f>VLOOKUP(Inventory[[#This Row],[Qlty]],Lookups!$O$7:$R$21,4,FALSE)</f>
        <v>1.0067999999999999</v>
      </c>
      <c r="BI2249" s="25">
        <f>VLOOKUP(Inventory[[#This Row],[Cnd]],Lookups!$T$7:$W$16,4,FALSE)</f>
        <v>0.99729999999999996</v>
      </c>
      <c r="BJ2249" s="25">
        <f>VLOOKUP(Inventory[[#This Row],[LivArea Range]],Lookups!$T$25:$W$37,4,FALSE)</f>
        <v>0.98919999999999997</v>
      </c>
      <c r="BK2249" s="25">
        <f>VLOOKUP(Inventory[[#This Row],[Decade]],Lookups!$O$25:$R$42,4,FALSE)</f>
        <v>0.93389999999999995</v>
      </c>
      <c r="BL2249" s="25">
        <f>Inventory[[#This Row],[Nbhd Adj]]*0.95</f>
        <v>0.94971499999999998</v>
      </c>
      <c r="BM2249" s="25">
        <f>Inventory[[#This Row],[Nbhd Adj]]*Inventory[[#This Row],[Quality Adj]]*Inventory[[#This Row],[Condition Adj]]*Inventory[[#This Row],[Living Area Adj]]*Inventory[[#This Row],[Decade Adj]]*0.95</f>
        <v>0.88094096630253449</v>
      </c>
      <c r="BN2249" s="25">
        <f>ROUND(SUM(Inventory[[#This Row],[Mdl Qlty]:[Mdl WdDeck]])+Inventory[[#This Row],[Mdl Res Intercept]]*Inventory[[#This Row],[Res Adj ]],-2)</f>
        <v>310000</v>
      </c>
      <c r="BO2249" s="25">
        <f>ROUND(Inventory[[#This Row],[25Det]]*Inventory[[#This Row],[Det/Nbhd Adj]],-2)</f>
        <v>7700</v>
      </c>
      <c r="BP2249" s="25">
        <f>Inventory[[#This Row],[Adjusted Res]]+Inventory[[#This Row],[Adj Det ]]</f>
        <v>317700</v>
      </c>
      <c r="BQ2249" s="25">
        <f>ROUND((Inventory[[#This Row],[Mdl Land Intercept]]+Inventory[[#This Row],[Mdl LnAcres]])*Inventory[[#This Row],[Det/Nbhd Adj]],-2)</f>
        <v>39800</v>
      </c>
      <c r="BR2249" s="25">
        <f>Inventory[[#This Row],[Adjusted Impr Total]]+Inventory[[#This Row],[Adjusted Land Total]]</f>
        <v>357500</v>
      </c>
      <c r="BS2249" s="36">
        <f>IFERROR((Inventory[[#This Row],[Adjusted Impr Total]]-Inventory[[#This Row],[24Bldg]])/Inventory[[#This Row],[24Bldg]],0)</f>
        <v>0.1432169845268082</v>
      </c>
      <c r="BT2249" s="36">
        <f>(Inventory[[#This Row],[Adjusted Land Total]]-Inventory[[#This Row],[24Lnd]])/Inventory[[#This Row],[24Lnd]]</f>
        <v>-0.35494327390599678</v>
      </c>
      <c r="BU2249" s="36">
        <f>(Inventory[[#This Row],[Adjusted Total]]-Inventory[[#This Row],[24Final]])/Inventory[[#This Row],[24Final]]</f>
        <v>5.270906949352179E-2</v>
      </c>
    </row>
    <row r="2250" spans="1:73" x14ac:dyDescent="0.3">
      <c r="A2250" s="25">
        <v>2025</v>
      </c>
      <c r="B2250" s="26" t="s">
        <v>2674</v>
      </c>
      <c r="C2250" s="26">
        <f>LN(Inventory[[#This Row],[Acres]])</f>
        <v>-1.3862943611198906</v>
      </c>
      <c r="D2250" s="25">
        <v>0.25</v>
      </c>
      <c r="E2250" s="32">
        <v>10950</v>
      </c>
      <c r="F2250" s="26" t="s">
        <v>537</v>
      </c>
      <c r="G2250" s="26" t="s">
        <v>126</v>
      </c>
      <c r="H2250" s="26" t="s">
        <v>349</v>
      </c>
      <c r="I2250" s="26" t="s">
        <v>538</v>
      </c>
      <c r="J2250" s="26" t="s">
        <v>539</v>
      </c>
      <c r="K2250" s="26" t="s">
        <v>417</v>
      </c>
      <c r="L2250" s="26" t="s">
        <v>95</v>
      </c>
      <c r="M2250" s="26" t="s">
        <v>303</v>
      </c>
      <c r="N2250" s="26">
        <v>120</v>
      </c>
      <c r="O2250" s="26">
        <f>2024-Inventory[[#This Row],[YrBlt]]</f>
        <v>114</v>
      </c>
      <c r="P2250" s="26">
        <f>2024-Inventory[[#This Row],[EffYr]]</f>
        <v>66</v>
      </c>
      <c r="Q2250" s="25">
        <v>1910</v>
      </c>
      <c r="R2250" s="25">
        <v>1958</v>
      </c>
      <c r="S2250" s="25">
        <v>1107</v>
      </c>
      <c r="T2250" s="25">
        <v>443</v>
      </c>
      <c r="U2250" s="25">
        <v>1107</v>
      </c>
      <c r="V2250" s="25">
        <f>Inventory[[#This Row],[Bsmt]]-Inventory[[#This Row],[FnBsmt]]</f>
        <v>553</v>
      </c>
      <c r="W2250" s="25">
        <v>554</v>
      </c>
      <c r="X2250" s="27"/>
      <c r="Y2250" s="27">
        <f>Inventory[[#This Row],[MainFn]]+Inventory[[#This Row],[UpprFn]]+Inventory[[#This Row],[FnBsmt]]+Inventory[[#This Row],[AddFn]]</f>
        <v>2104</v>
      </c>
      <c r="Z2250" s="27">
        <v>2500</v>
      </c>
      <c r="AA2250" s="25">
        <v>10</v>
      </c>
      <c r="AB2250" s="32">
        <v>741</v>
      </c>
      <c r="AC2250" s="27"/>
      <c r="AD2250" s="32">
        <v>161</v>
      </c>
      <c r="AE2250" s="27"/>
      <c r="AF2250" s="27"/>
      <c r="AG2250" s="27"/>
      <c r="AH2250" s="27"/>
      <c r="AI2250" s="25">
        <v>559972</v>
      </c>
      <c r="AJ2250" s="25">
        <v>324784</v>
      </c>
      <c r="AK2250" s="25">
        <v>0</v>
      </c>
      <c r="AL2250" s="25">
        <v>437100</v>
      </c>
      <c r="AM2250" s="25">
        <v>66200</v>
      </c>
      <c r="AN2250" s="25">
        <v>370900</v>
      </c>
      <c r="AO2250" s="25">
        <v>0</v>
      </c>
      <c r="AP2250" s="25">
        <f>Lookups!$B$56*0</f>
        <v>0</v>
      </c>
      <c r="AQ2250" s="25">
        <f>Lookups!$B$56*1</f>
        <v>89850.625589999996</v>
      </c>
      <c r="AR2250" s="25">
        <f>Lookups!$B$57*Inventory[[#This Row],[LnAcres]]</f>
        <v>-43882.615305165229</v>
      </c>
      <c r="AS2250" s="25">
        <f>VLOOKUP(Inventory[[#This Row],[Qlty]],Lookups!$A$62:$E$75,2,FALSE)</f>
        <v>74268.409664999999</v>
      </c>
      <c r="AT2250" s="25">
        <f>VLOOKUP(Inventory[[#This Row],[Cnd]],Lookups!$A$76:$E$84,2,FALSE)</f>
        <v>197752.34721000001</v>
      </c>
      <c r="AU2250" s="25">
        <f>Inventory[[#This Row],[EffAge]]*Lookups!$B$85</f>
        <v>-14721.009633</v>
      </c>
      <c r="AV2250" s="25">
        <f>Inventory[[#This Row],[MainFn]]*Lookups!$B$86</f>
        <v>54695.397553839</v>
      </c>
      <c r="AW2250" s="25">
        <f>Inventory[[#This Row],[UpprFn]]*Lookups!$B$87</f>
        <v>19840.385327422999</v>
      </c>
      <c r="AX2250" s="25">
        <f>Inventory[[#This Row],[AddFn]]*Lookups!$B$88</f>
        <v>0</v>
      </c>
      <c r="AY2250" s="25">
        <f>Inventory[[#This Row],[Bsmt]]*Lookups!$B$89</f>
        <v>32193.658038428999</v>
      </c>
      <c r="AZ2250" s="25">
        <f>Inventory[[#This Row],[Fixtures]]*Lookups!$B$90</f>
        <v>37920.221052000001</v>
      </c>
      <c r="BA2250" s="25">
        <f>Inventory[[#This Row],[WdDeck]]*Lookups!$B$91</f>
        <v>5360.5779594360001</v>
      </c>
      <c r="BB2250" s="25">
        <f>ROUND(Inventory[[#This Row],[25Det]],-2)</f>
        <v>0</v>
      </c>
      <c r="BC2250" s="25">
        <f>ROUND(SUM(Inventory[[#This Row],[Mdl Qlty]:[Mdl WdDeck]])+Inventory[[#This Row],[Mdl Res Intercept]],-2)</f>
        <v>407300</v>
      </c>
      <c r="BD2250" s="25">
        <f>ROUND(Inventory[[#This Row],[Mdl Land Intercept]]+Inventory[[#This Row],[Mdl LnAcres]],-2)</f>
        <v>46000</v>
      </c>
      <c r="BE2250" s="25">
        <f>Inventory[[#This Row],[Unadj Res Value]]+Inventory[[#This Row],[Unadj Det Value]]+Inventory[[#This Row],[Unadj Land Value]]</f>
        <v>453300</v>
      </c>
      <c r="BF2250" s="36">
        <f>(Inventory[[#This Row],[Unadj Total Value]]-Inventory[[#This Row],[24Final]])/Inventory[[#This Row],[24Final]]</f>
        <v>3.7062457103637612E-2</v>
      </c>
      <c r="BG2250" s="25">
        <f>VLOOKUP(Inventory[[#This Row],[Nbhd]],Lookups!$Q$2:$T$4,4,FALSE)</f>
        <v>0.99970000000000003</v>
      </c>
      <c r="BH2250" s="25">
        <f>VLOOKUP(Inventory[[#This Row],[Qlty]],Lookups!$O$7:$R$21,4,FALSE)</f>
        <v>0.98380000000000001</v>
      </c>
      <c r="BI2250" s="25">
        <f>VLOOKUP(Inventory[[#This Row],[Cnd]],Lookups!$T$7:$W$16,4,FALSE)</f>
        <v>0.99650000000000005</v>
      </c>
      <c r="BJ2250" s="25">
        <f>VLOOKUP(Inventory[[#This Row],[LivArea Range]],Lookups!$T$25:$W$37,4,FALSE)</f>
        <v>0.98919999999999997</v>
      </c>
      <c r="BK2250" s="25">
        <f>VLOOKUP(Inventory[[#This Row],[Decade]],Lookups!$O$25:$R$42,4,FALSE)</f>
        <v>0.93389999999999995</v>
      </c>
      <c r="BL2250" s="25">
        <f>Inventory[[#This Row],[Nbhd Adj]]*0.95</f>
        <v>0.94971499999999998</v>
      </c>
      <c r="BM2250" s="25">
        <f>Inventory[[#This Row],[Nbhd Adj]]*Inventory[[#This Row],[Quality Adj]]*Inventory[[#This Row],[Condition Adj]]*Inventory[[#This Row],[Living Area Adj]]*Inventory[[#This Row],[Decade Adj]]*0.95</f>
        <v>0.86012565533930507</v>
      </c>
      <c r="BN2250" s="25">
        <f>ROUND(SUM(Inventory[[#This Row],[Mdl Qlty]:[Mdl WdDeck]])+Inventory[[#This Row],[Mdl Res Intercept]]*Inventory[[#This Row],[Res Adj ]],-2)</f>
        <v>407300</v>
      </c>
      <c r="BO2250" s="25">
        <f>ROUND(Inventory[[#This Row],[25Det]]*Inventory[[#This Row],[Det/Nbhd Adj]],-2)</f>
        <v>0</v>
      </c>
      <c r="BP2250" s="25">
        <f>Inventory[[#This Row],[Adjusted Res]]+Inventory[[#This Row],[Adj Det ]]</f>
        <v>407300</v>
      </c>
      <c r="BQ2250" s="25">
        <f>ROUND((Inventory[[#This Row],[Mdl Land Intercept]]+Inventory[[#This Row],[Mdl LnAcres]])*Inventory[[#This Row],[Det/Nbhd Adj]],-2)</f>
        <v>43700</v>
      </c>
      <c r="BR2250" s="25">
        <f>Inventory[[#This Row],[Adjusted Impr Total]]+Inventory[[#This Row],[Adjusted Land Total]]</f>
        <v>451000</v>
      </c>
      <c r="BS2250" s="36">
        <f>IFERROR((Inventory[[#This Row],[Adjusted Impr Total]]-Inventory[[#This Row],[24Bldg]])/Inventory[[#This Row],[24Bldg]],0)</f>
        <v>9.8139660285791325E-2</v>
      </c>
      <c r="BT2250" s="36">
        <f>(Inventory[[#This Row],[Adjusted Land Total]]-Inventory[[#This Row],[24Lnd]])/Inventory[[#This Row],[24Lnd]]</f>
        <v>-0.33987915407854985</v>
      </c>
      <c r="BU2250" s="36">
        <f>(Inventory[[#This Row],[Adjusted Total]]-Inventory[[#This Row],[24Final]])/Inventory[[#This Row],[24Final]]</f>
        <v>3.1800503317318693E-2</v>
      </c>
    </row>
    <row r="2251" spans="1:73" x14ac:dyDescent="0.3">
      <c r="A2251" s="25">
        <v>2025</v>
      </c>
      <c r="B2251" s="26" t="s">
        <v>923</v>
      </c>
      <c r="C2251" s="26">
        <f>LN(Inventory[[#This Row],[Acres]])</f>
        <v>-0.73396917508020043</v>
      </c>
      <c r="D2251" s="25">
        <v>0.48</v>
      </c>
      <c r="E2251" s="25">
        <v>20800</v>
      </c>
      <c r="F2251" s="26" t="s">
        <v>537</v>
      </c>
      <c r="G2251" s="26" t="s">
        <v>126</v>
      </c>
      <c r="H2251" s="26" t="s">
        <v>349</v>
      </c>
      <c r="I2251" s="26" t="s">
        <v>538</v>
      </c>
      <c r="J2251" s="26" t="s">
        <v>539</v>
      </c>
      <c r="K2251" s="26" t="s">
        <v>416</v>
      </c>
      <c r="L2251" s="26" t="s">
        <v>351</v>
      </c>
      <c r="M2251" s="26" t="s">
        <v>206</v>
      </c>
      <c r="N2251" s="26">
        <v>120</v>
      </c>
      <c r="O2251" s="26">
        <f>2024-Inventory[[#This Row],[YrBlt]]</f>
        <v>114</v>
      </c>
      <c r="P2251" s="26">
        <f>2024-Inventory[[#This Row],[EffYr]]</f>
        <v>66</v>
      </c>
      <c r="Q2251" s="25">
        <v>1910</v>
      </c>
      <c r="R2251" s="25">
        <v>1958</v>
      </c>
      <c r="S2251" s="25">
        <v>1073</v>
      </c>
      <c r="T2251" s="32">
        <v>1073</v>
      </c>
      <c r="U2251" s="25">
        <v>1073</v>
      </c>
      <c r="V2251" s="25">
        <f>Inventory[[#This Row],[Bsmt]]-Inventory[[#This Row],[FnBsmt]]</f>
        <v>244</v>
      </c>
      <c r="W2251" s="25">
        <v>829</v>
      </c>
      <c r="X2251" s="27"/>
      <c r="Y2251" s="27">
        <f>Inventory[[#This Row],[MainFn]]+Inventory[[#This Row],[UpprFn]]+Inventory[[#This Row],[FnBsmt]]+Inventory[[#This Row],[AddFn]]</f>
        <v>2975</v>
      </c>
      <c r="Z2251" s="27">
        <v>3000</v>
      </c>
      <c r="AA2251" s="25">
        <v>7</v>
      </c>
      <c r="AB2251" s="27"/>
      <c r="AC2251" s="27"/>
      <c r="AD2251" s="32">
        <v>132</v>
      </c>
      <c r="AE2251" s="27"/>
      <c r="AF2251" s="27"/>
      <c r="AG2251" s="27"/>
      <c r="AH2251" s="27"/>
      <c r="AI2251" s="25">
        <v>392755</v>
      </c>
      <c r="AJ2251" s="25">
        <v>208160</v>
      </c>
      <c r="AK2251" s="25">
        <v>36386</v>
      </c>
      <c r="AL2251" s="25">
        <v>390800</v>
      </c>
      <c r="AM2251" s="25">
        <v>88900</v>
      </c>
      <c r="AN2251" s="25">
        <v>301900</v>
      </c>
      <c r="AO2251" s="25">
        <v>0</v>
      </c>
      <c r="AP2251" s="25">
        <f>Lookups!$B$56*0</f>
        <v>0</v>
      </c>
      <c r="AQ2251" s="25">
        <f>Lookups!$B$56*1</f>
        <v>89850.625589999996</v>
      </c>
      <c r="AR2251" s="25">
        <f>Lookups!$B$57*Inventory[[#This Row],[LnAcres]]</f>
        <v>-23233.512202902497</v>
      </c>
      <c r="AS2251" s="25">
        <f>VLOOKUP(Inventory[[#This Row],[Qlty]],Lookups!$A$62:$E$75,2,FALSE)</f>
        <v>21557.329055999999</v>
      </c>
      <c r="AT2251" s="25">
        <f>VLOOKUP(Inventory[[#This Row],[Cnd]],Lookups!$A$76:$E$84,2,FALSE)</f>
        <v>133714.53821</v>
      </c>
      <c r="AU2251" s="25">
        <f>Inventory[[#This Row],[EffAge]]*Lookups!$B$85</f>
        <v>-14721.009633</v>
      </c>
      <c r="AV2251" s="25">
        <f>Inventory[[#This Row],[MainFn]]*Lookups!$B$86</f>
        <v>53015.502778021</v>
      </c>
      <c r="AW2251" s="25">
        <f>Inventory[[#This Row],[UpprFn]]*Lookups!$B$87</f>
        <v>48055.831729852995</v>
      </c>
      <c r="AX2251" s="25">
        <f>Inventory[[#This Row],[AddFn]]*Lookups!$B$88</f>
        <v>0</v>
      </c>
      <c r="AY2251" s="25">
        <f>Inventory[[#This Row],[Bsmt]]*Lookups!$B$89</f>
        <v>31204.873600030998</v>
      </c>
      <c r="AZ2251" s="25">
        <f>Inventory[[#This Row],[Fixtures]]*Lookups!$B$90</f>
        <v>26544.1547364</v>
      </c>
      <c r="BA2251" s="25">
        <f>Inventory[[#This Row],[WdDeck]]*Lookups!$B$91</f>
        <v>4395.0080164320007</v>
      </c>
      <c r="BB2251" s="25">
        <f>ROUND(Inventory[[#This Row],[25Det]],-2)</f>
        <v>36400</v>
      </c>
      <c r="BC2251" s="25">
        <f>ROUND(SUM(Inventory[[#This Row],[Mdl Qlty]:[Mdl WdDeck]])+Inventory[[#This Row],[Mdl Res Intercept]],-2)</f>
        <v>303800</v>
      </c>
      <c r="BD2251" s="25">
        <f>ROUND(Inventory[[#This Row],[Mdl Land Intercept]]+Inventory[[#This Row],[Mdl LnAcres]],-2)</f>
        <v>66600</v>
      </c>
      <c r="BE2251" s="25">
        <f>Inventory[[#This Row],[Unadj Res Value]]+Inventory[[#This Row],[Unadj Det Value]]+Inventory[[#This Row],[Unadj Land Value]]</f>
        <v>406800</v>
      </c>
      <c r="BF2251" s="36">
        <f>(Inventory[[#This Row],[Unadj Total Value]]-Inventory[[#This Row],[24Final]])/Inventory[[#This Row],[24Final]]</f>
        <v>4.0941658137154557E-2</v>
      </c>
      <c r="BG2251" s="25">
        <f>VLOOKUP(Inventory[[#This Row],[Nbhd]],Lookups!$Q$2:$T$4,4,FALSE)</f>
        <v>0.99970000000000003</v>
      </c>
      <c r="BH2251" s="25">
        <f>VLOOKUP(Inventory[[#This Row],[Qlty]],Lookups!$O$7:$R$21,4,FALSE)</f>
        <v>1.0067999999999999</v>
      </c>
      <c r="BI2251" s="25">
        <f>VLOOKUP(Inventory[[#This Row],[Cnd]],Lookups!$T$7:$W$16,4,FALSE)</f>
        <v>0.99329999999999996</v>
      </c>
      <c r="BJ2251" s="25">
        <f>VLOOKUP(Inventory[[#This Row],[LivArea Range]],Lookups!$T$25:$W$37,4,FALSE)</f>
        <v>0.96179999999999999</v>
      </c>
      <c r="BK2251" s="25">
        <f>VLOOKUP(Inventory[[#This Row],[Decade]],Lookups!$O$25:$R$42,4,FALSE)</f>
        <v>0.93389999999999995</v>
      </c>
      <c r="BL2251" s="25">
        <f>Inventory[[#This Row],[Nbhd Adj]]*0.95</f>
        <v>0.94971499999999998</v>
      </c>
      <c r="BM2251" s="25">
        <f>Inventory[[#This Row],[Nbhd Adj]]*Inventory[[#This Row],[Quality Adj]]*Inventory[[#This Row],[Condition Adj]]*Inventory[[#This Row],[Living Area Adj]]*Inventory[[#This Row],[Decade Adj]]*0.95</f>
        <v>0.85310421533456371</v>
      </c>
      <c r="BN2251" s="25">
        <f>ROUND(SUM(Inventory[[#This Row],[Mdl Qlty]:[Mdl WdDeck]])+Inventory[[#This Row],[Mdl Res Intercept]]*Inventory[[#This Row],[Res Adj ]],-2)</f>
        <v>303800</v>
      </c>
      <c r="BO2251" s="25">
        <f>ROUND(Inventory[[#This Row],[25Det]]*Inventory[[#This Row],[Det/Nbhd Adj]],-2)</f>
        <v>34600</v>
      </c>
      <c r="BP2251" s="25">
        <f>Inventory[[#This Row],[Adjusted Res]]+Inventory[[#This Row],[Adj Det ]]</f>
        <v>338400</v>
      </c>
      <c r="BQ2251" s="25">
        <f>ROUND((Inventory[[#This Row],[Mdl Land Intercept]]+Inventory[[#This Row],[Mdl LnAcres]])*Inventory[[#This Row],[Det/Nbhd Adj]],-2)</f>
        <v>63300</v>
      </c>
      <c r="BR2251" s="25">
        <f>Inventory[[#This Row],[Adjusted Impr Total]]+Inventory[[#This Row],[Adjusted Land Total]]</f>
        <v>401700</v>
      </c>
      <c r="BS2251" s="36">
        <f>IFERROR((Inventory[[#This Row],[Adjusted Impr Total]]-Inventory[[#This Row],[24Bldg]])/Inventory[[#This Row],[24Bldg]],0)</f>
        <v>0.12090096058297449</v>
      </c>
      <c r="BT2251" s="36">
        <f>(Inventory[[#This Row],[Adjusted Land Total]]-Inventory[[#This Row],[24Lnd]])/Inventory[[#This Row],[24Lnd]]</f>
        <v>-0.2879640044994376</v>
      </c>
      <c r="BU2251" s="36">
        <f>(Inventory[[#This Row],[Adjusted Total]]-Inventory[[#This Row],[24Final]])/Inventory[[#This Row],[24Final]]</f>
        <v>2.7891504605936542E-2</v>
      </c>
    </row>
    <row r="2252" spans="1:73" x14ac:dyDescent="0.3">
      <c r="A2252" s="25">
        <v>2025</v>
      </c>
      <c r="B2252" s="26" t="s">
        <v>2320</v>
      </c>
      <c r="C2252" s="26">
        <f>LN(Inventory[[#This Row],[Acres]])</f>
        <v>-0.916290731874155</v>
      </c>
      <c r="D2252" s="25">
        <v>0.4</v>
      </c>
      <c r="E2252" s="32">
        <v>17552</v>
      </c>
      <c r="F2252" s="26" t="s">
        <v>537</v>
      </c>
      <c r="G2252" s="26" t="s">
        <v>126</v>
      </c>
      <c r="H2252" s="26" t="s">
        <v>349</v>
      </c>
      <c r="I2252" s="26" t="s">
        <v>538</v>
      </c>
      <c r="J2252" s="26" t="s">
        <v>539</v>
      </c>
      <c r="K2252" s="26" t="s">
        <v>416</v>
      </c>
      <c r="L2252" s="26" t="s">
        <v>302</v>
      </c>
      <c r="M2252" s="26" t="s">
        <v>323</v>
      </c>
      <c r="N2252" s="26">
        <v>120</v>
      </c>
      <c r="O2252" s="26">
        <f>2024-Inventory[[#This Row],[YrBlt]]</f>
        <v>114</v>
      </c>
      <c r="P2252" s="26">
        <f>2024-Inventory[[#This Row],[EffYr]]</f>
        <v>66</v>
      </c>
      <c r="Q2252" s="25">
        <v>1910</v>
      </c>
      <c r="R2252" s="25">
        <v>1958</v>
      </c>
      <c r="S2252" s="25">
        <v>1684</v>
      </c>
      <c r="T2252" s="32">
        <v>754</v>
      </c>
      <c r="U2252" s="25">
        <v>759</v>
      </c>
      <c r="V2252" s="32">
        <f>Inventory[[#This Row],[Bsmt]]-Inventory[[#This Row],[FnBsmt]]</f>
        <v>5</v>
      </c>
      <c r="W2252" s="32">
        <v>754</v>
      </c>
      <c r="X2252" s="27"/>
      <c r="Y2252" s="27">
        <f>Inventory[[#This Row],[MainFn]]+Inventory[[#This Row],[UpprFn]]+Inventory[[#This Row],[FnBsmt]]+Inventory[[#This Row],[AddFn]]</f>
        <v>3192</v>
      </c>
      <c r="Z2252" s="27">
        <v>3500</v>
      </c>
      <c r="AA2252" s="25">
        <v>9</v>
      </c>
      <c r="AB2252" s="27"/>
      <c r="AC2252" s="27"/>
      <c r="AD2252" s="32">
        <v>84</v>
      </c>
      <c r="AE2252" s="27"/>
      <c r="AF2252" s="27"/>
      <c r="AG2252" s="27"/>
      <c r="AH2252" s="27"/>
      <c r="AI2252" s="25">
        <v>477825</v>
      </c>
      <c r="AJ2252" s="25">
        <v>262804</v>
      </c>
      <c r="AK2252" s="25">
        <v>18765</v>
      </c>
      <c r="AL2252" s="25">
        <v>420000</v>
      </c>
      <c r="AM2252" s="25">
        <v>82600</v>
      </c>
      <c r="AN2252" s="25">
        <v>337400</v>
      </c>
      <c r="AO2252" s="25">
        <v>0</v>
      </c>
      <c r="AP2252" s="25">
        <f>Lookups!$B$56*0</f>
        <v>0</v>
      </c>
      <c r="AQ2252" s="25">
        <f>Lookups!$B$56*1</f>
        <v>89850.625589999996</v>
      </c>
      <c r="AR2252" s="25">
        <f>Lookups!$B$57*Inventory[[#This Row],[LnAcres]]</f>
        <v>-29004.831024516039</v>
      </c>
      <c r="AS2252" s="25">
        <f>VLOOKUP(Inventory[[#This Row],[Qlty]],Lookups!$A$62:$E$75,2,FALSE)</f>
        <v>29814.093161000001</v>
      </c>
      <c r="AT2252" s="25">
        <f>VLOOKUP(Inventory[[#This Row],[Cnd]],Lookups!$A$76:$E$84,2,FALSE)</f>
        <v>160472.20319</v>
      </c>
      <c r="AU2252" s="25">
        <f>Inventory[[#This Row],[EffAge]]*Lookups!$B$85</f>
        <v>-14721.009633</v>
      </c>
      <c r="AV2252" s="25">
        <f>Inventory[[#This Row],[MainFn]]*Lookups!$B$86</f>
        <v>83204.200072868</v>
      </c>
      <c r="AW2252" s="25">
        <f>Inventory[[#This Row],[UpprFn]]*Lookups!$B$87</f>
        <v>33768.962837193998</v>
      </c>
      <c r="AX2252" s="25">
        <f>Inventory[[#This Row],[AddFn]]*Lookups!$B$88</f>
        <v>0</v>
      </c>
      <c r="AY2252" s="25">
        <f>Inventory[[#This Row],[Bsmt]]*Lookups!$B$89</f>
        <v>22073.158492472998</v>
      </c>
      <c r="AZ2252" s="25">
        <f>Inventory[[#This Row],[Fixtures]]*Lookups!$B$90</f>
        <v>34128.198946800003</v>
      </c>
      <c r="BA2252" s="25">
        <f>Inventory[[#This Row],[WdDeck]]*Lookups!$B$91</f>
        <v>2796.8232831840005</v>
      </c>
      <c r="BB2252" s="25">
        <f>ROUND(Inventory[[#This Row],[25Det]],-2)</f>
        <v>18800</v>
      </c>
      <c r="BC2252" s="25">
        <f>ROUND(SUM(Inventory[[#This Row],[Mdl Qlty]:[Mdl WdDeck]])+Inventory[[#This Row],[Mdl Res Intercept]],-2)</f>
        <v>351500</v>
      </c>
      <c r="BD2252" s="25">
        <f>ROUND(Inventory[[#This Row],[Mdl Land Intercept]]+Inventory[[#This Row],[Mdl LnAcres]],-2)</f>
        <v>60800</v>
      </c>
      <c r="BE2252" s="25">
        <f>Inventory[[#This Row],[Unadj Res Value]]+Inventory[[#This Row],[Unadj Det Value]]+Inventory[[#This Row],[Unadj Land Value]]</f>
        <v>431100</v>
      </c>
      <c r="BF2252" s="36">
        <f>(Inventory[[#This Row],[Unadj Total Value]]-Inventory[[#This Row],[24Final]])/Inventory[[#This Row],[24Final]]</f>
        <v>2.642857142857143E-2</v>
      </c>
      <c r="BG2252" s="25">
        <f>VLOOKUP(Inventory[[#This Row],[Nbhd]],Lookups!$Q$2:$T$4,4,FALSE)</f>
        <v>0.99970000000000003</v>
      </c>
      <c r="BH2252" s="25">
        <f>VLOOKUP(Inventory[[#This Row],[Qlty]],Lookups!$O$7:$R$21,4,FALSE)</f>
        <v>1.0088999999999999</v>
      </c>
      <c r="BI2252" s="25">
        <f>VLOOKUP(Inventory[[#This Row],[Cnd]],Lookups!$T$7:$W$16,4,FALSE)</f>
        <v>0.99729999999999996</v>
      </c>
      <c r="BJ2252" s="25">
        <f>VLOOKUP(Inventory[[#This Row],[LivArea Range]],Lookups!$T$25:$W$37,4,FALSE)</f>
        <v>1.0126999999999999</v>
      </c>
      <c r="BK2252" s="25">
        <f>VLOOKUP(Inventory[[#This Row],[Decade]],Lookups!$O$25:$R$42,4,FALSE)</f>
        <v>0.93389999999999995</v>
      </c>
      <c r="BL2252" s="25">
        <f>Inventory[[#This Row],[Nbhd Adj]]*0.95</f>
        <v>0.94971499999999998</v>
      </c>
      <c r="BM2252" s="25">
        <f>Inventory[[#This Row],[Nbhd Adj]]*Inventory[[#This Row],[Quality Adj]]*Inventory[[#This Row],[Condition Adj]]*Inventory[[#This Row],[Living Area Adj]]*Inventory[[#This Row],[Decade Adj]]*0.95</f>
        <v>0.9037502362946227</v>
      </c>
      <c r="BN2252" s="25">
        <f>ROUND(SUM(Inventory[[#This Row],[Mdl Qlty]:[Mdl WdDeck]])+Inventory[[#This Row],[Mdl Res Intercept]]*Inventory[[#This Row],[Res Adj ]],-2)</f>
        <v>351500</v>
      </c>
      <c r="BO2252" s="25">
        <f>ROUND(Inventory[[#This Row],[25Det]]*Inventory[[#This Row],[Det/Nbhd Adj]],-2)</f>
        <v>17800</v>
      </c>
      <c r="BP2252" s="25">
        <f>Inventory[[#This Row],[Adjusted Res]]+Inventory[[#This Row],[Adj Det ]]</f>
        <v>369300</v>
      </c>
      <c r="BQ2252" s="25">
        <f>ROUND((Inventory[[#This Row],[Mdl Land Intercept]]+Inventory[[#This Row],[Mdl LnAcres]])*Inventory[[#This Row],[Det/Nbhd Adj]],-2)</f>
        <v>57800</v>
      </c>
      <c r="BR2252" s="25">
        <f>Inventory[[#This Row],[Adjusted Impr Total]]+Inventory[[#This Row],[Adjusted Land Total]]</f>
        <v>427100</v>
      </c>
      <c r="BS2252" s="36">
        <f>IFERROR((Inventory[[#This Row],[Adjusted Impr Total]]-Inventory[[#This Row],[24Bldg]])/Inventory[[#This Row],[24Bldg]],0)</f>
        <v>9.4546532305868403E-2</v>
      </c>
      <c r="BT2252" s="36">
        <f>(Inventory[[#This Row],[Adjusted Land Total]]-Inventory[[#This Row],[24Lnd]])/Inventory[[#This Row],[24Lnd]]</f>
        <v>-0.30024213075060535</v>
      </c>
      <c r="BU2252" s="36">
        <f>(Inventory[[#This Row],[Adjusted Total]]-Inventory[[#This Row],[24Final]])/Inventory[[#This Row],[24Final]]</f>
        <v>1.6904761904761905E-2</v>
      </c>
    </row>
    <row r="2253" spans="1:73" x14ac:dyDescent="0.3">
      <c r="A2253" s="25">
        <v>2025</v>
      </c>
      <c r="B2253" s="26" t="s">
        <v>1894</v>
      </c>
      <c r="C2253" s="26">
        <f>LN(Inventory[[#This Row],[Acres]])</f>
        <v>-1.1086626245216111</v>
      </c>
      <c r="D2253" s="25">
        <v>0.33</v>
      </c>
      <c r="E2253" s="32">
        <v>14254</v>
      </c>
      <c r="F2253" s="26" t="s">
        <v>537</v>
      </c>
      <c r="G2253" s="26" t="s">
        <v>126</v>
      </c>
      <c r="H2253" s="26" t="s">
        <v>349</v>
      </c>
      <c r="I2253" s="26" t="s">
        <v>538</v>
      </c>
      <c r="J2253" s="26" t="s">
        <v>539</v>
      </c>
      <c r="K2253" s="26" t="s">
        <v>416</v>
      </c>
      <c r="L2253" s="26" t="s">
        <v>351</v>
      </c>
      <c r="M2253" s="26" t="s">
        <v>323</v>
      </c>
      <c r="N2253" s="26">
        <v>120</v>
      </c>
      <c r="O2253" s="26">
        <f>2024-Inventory[[#This Row],[YrBlt]]</f>
        <v>114</v>
      </c>
      <c r="P2253" s="26">
        <f>2024-Inventory[[#This Row],[EffYr]]</f>
        <v>66</v>
      </c>
      <c r="Q2253" s="25">
        <v>1910</v>
      </c>
      <c r="R2253" s="25">
        <v>1958</v>
      </c>
      <c r="S2253" s="25">
        <v>1540</v>
      </c>
      <c r="T2253" s="25">
        <v>1110</v>
      </c>
      <c r="U2253" s="25">
        <v>300</v>
      </c>
      <c r="V2253" s="25">
        <f>Inventory[[#This Row],[Bsmt]]-Inventory[[#This Row],[FnBsmt]]</f>
        <v>300</v>
      </c>
      <c r="W2253" s="31"/>
      <c r="X2253" s="27"/>
      <c r="Y2253" s="27">
        <f>Inventory[[#This Row],[MainFn]]+Inventory[[#This Row],[UpprFn]]+Inventory[[#This Row],[FnBsmt]]+Inventory[[#This Row],[AddFn]]</f>
        <v>2650</v>
      </c>
      <c r="Z2253" s="27">
        <v>3000</v>
      </c>
      <c r="AA2253" s="25">
        <v>9</v>
      </c>
      <c r="AB2253" s="27"/>
      <c r="AC2253" s="27"/>
      <c r="AD2253" s="27"/>
      <c r="AE2253" s="27"/>
      <c r="AF2253" s="27"/>
      <c r="AG2253" s="27"/>
      <c r="AH2253" s="27"/>
      <c r="AI2253" s="25">
        <v>392555</v>
      </c>
      <c r="AJ2253" s="25">
        <v>215905</v>
      </c>
      <c r="AK2253" s="25">
        <v>10334</v>
      </c>
      <c r="AL2253" s="25">
        <v>399600</v>
      </c>
      <c r="AM2253" s="25">
        <v>75900</v>
      </c>
      <c r="AN2253" s="25">
        <v>323700</v>
      </c>
      <c r="AO2253" s="25">
        <v>0</v>
      </c>
      <c r="AP2253" s="25">
        <f>Lookups!$B$56*0</f>
        <v>0</v>
      </c>
      <c r="AQ2253" s="25">
        <f>Lookups!$B$56*1</f>
        <v>89850.625589999996</v>
      </c>
      <c r="AR2253" s="25">
        <f>Lookups!$B$57*Inventory[[#This Row],[LnAcres]]</f>
        <v>-35094.289365640165</v>
      </c>
      <c r="AS2253" s="25">
        <f>VLOOKUP(Inventory[[#This Row],[Qlty]],Lookups!$A$62:$E$75,2,FALSE)</f>
        <v>21557.329055999999</v>
      </c>
      <c r="AT2253" s="25">
        <f>VLOOKUP(Inventory[[#This Row],[Cnd]],Lookups!$A$76:$E$84,2,FALSE)</f>
        <v>160472.20319</v>
      </c>
      <c r="AU2253" s="25">
        <f>Inventory[[#This Row],[EffAge]]*Lookups!$B$85</f>
        <v>-14721.009633</v>
      </c>
      <c r="AV2253" s="25">
        <f>Inventory[[#This Row],[MainFn]]*Lookups!$B$86</f>
        <v>76089.351610580008</v>
      </c>
      <c r="AW2253" s="25">
        <f>Inventory[[#This Row],[UpprFn]]*Lookups!$B$87</f>
        <v>49712.929375709995</v>
      </c>
      <c r="AX2253" s="25">
        <f>Inventory[[#This Row],[AddFn]]*Lookups!$B$88</f>
        <v>0</v>
      </c>
      <c r="AY2253" s="25">
        <f>Inventory[[#This Row],[Bsmt]]*Lookups!$B$89</f>
        <v>8724.5685740999998</v>
      </c>
      <c r="AZ2253" s="25">
        <f>Inventory[[#This Row],[Fixtures]]*Lookups!$B$90</f>
        <v>34128.198946800003</v>
      </c>
      <c r="BA2253" s="25">
        <f>Inventory[[#This Row],[WdDeck]]*Lookups!$B$91</f>
        <v>0</v>
      </c>
      <c r="BB2253" s="25">
        <f>ROUND(Inventory[[#This Row],[25Det]],-2)</f>
        <v>10300</v>
      </c>
      <c r="BC2253" s="25">
        <f>ROUND(SUM(Inventory[[#This Row],[Mdl Qlty]:[Mdl WdDeck]])+Inventory[[#This Row],[Mdl Res Intercept]],-2)</f>
        <v>336000</v>
      </c>
      <c r="BD2253" s="25">
        <f>ROUND(Inventory[[#This Row],[Mdl Land Intercept]]+Inventory[[#This Row],[Mdl LnAcres]],-2)</f>
        <v>54800</v>
      </c>
      <c r="BE2253" s="25">
        <f>Inventory[[#This Row],[Unadj Res Value]]+Inventory[[#This Row],[Unadj Det Value]]+Inventory[[#This Row],[Unadj Land Value]]</f>
        <v>401100</v>
      </c>
      <c r="BF2253" s="36">
        <f>(Inventory[[#This Row],[Unadj Total Value]]-Inventory[[#This Row],[24Final]])/Inventory[[#This Row],[24Final]]</f>
        <v>3.7537537537537537E-3</v>
      </c>
      <c r="BG2253" s="25">
        <f>VLOOKUP(Inventory[[#This Row],[Nbhd]],Lookups!$Q$2:$T$4,4,FALSE)</f>
        <v>0.99970000000000003</v>
      </c>
      <c r="BH2253" s="25">
        <f>VLOOKUP(Inventory[[#This Row],[Qlty]],Lookups!$O$7:$R$21,4,FALSE)</f>
        <v>1.0067999999999999</v>
      </c>
      <c r="BI2253" s="25">
        <f>VLOOKUP(Inventory[[#This Row],[Cnd]],Lookups!$T$7:$W$16,4,FALSE)</f>
        <v>0.99729999999999996</v>
      </c>
      <c r="BJ2253" s="25">
        <f>VLOOKUP(Inventory[[#This Row],[LivArea Range]],Lookups!$T$25:$W$37,4,FALSE)</f>
        <v>0.96179999999999999</v>
      </c>
      <c r="BK2253" s="25">
        <f>VLOOKUP(Inventory[[#This Row],[Decade]],Lookups!$O$25:$R$42,4,FALSE)</f>
        <v>0.93389999999999995</v>
      </c>
      <c r="BL2253" s="25">
        <f>Inventory[[#This Row],[Nbhd Adj]]*0.95</f>
        <v>0.94971499999999998</v>
      </c>
      <c r="BM2253" s="25">
        <f>Inventory[[#This Row],[Nbhd Adj]]*Inventory[[#This Row],[Quality Adj]]*Inventory[[#This Row],[Condition Adj]]*Inventory[[#This Row],[Living Area Adj]]*Inventory[[#This Row],[Decade Adj]]*0.95</f>
        <v>0.85653964960551732</v>
      </c>
      <c r="BN2253" s="25">
        <f>ROUND(SUM(Inventory[[#This Row],[Mdl Qlty]:[Mdl WdDeck]])+Inventory[[#This Row],[Mdl Res Intercept]]*Inventory[[#This Row],[Res Adj ]],-2)</f>
        <v>336000</v>
      </c>
      <c r="BO2253" s="25">
        <f>ROUND(Inventory[[#This Row],[25Det]]*Inventory[[#This Row],[Det/Nbhd Adj]],-2)</f>
        <v>9800</v>
      </c>
      <c r="BP2253" s="25">
        <f>Inventory[[#This Row],[Adjusted Res]]+Inventory[[#This Row],[Adj Det ]]</f>
        <v>345800</v>
      </c>
      <c r="BQ2253" s="25">
        <f>ROUND((Inventory[[#This Row],[Mdl Land Intercept]]+Inventory[[#This Row],[Mdl LnAcres]])*Inventory[[#This Row],[Det/Nbhd Adj]],-2)</f>
        <v>52000</v>
      </c>
      <c r="BR2253" s="25">
        <f>Inventory[[#This Row],[Adjusted Impr Total]]+Inventory[[#This Row],[Adjusted Land Total]]</f>
        <v>397800</v>
      </c>
      <c r="BS2253" s="36">
        <f>IFERROR((Inventory[[#This Row],[Adjusted Impr Total]]-Inventory[[#This Row],[24Bldg]])/Inventory[[#This Row],[24Bldg]],0)</f>
        <v>6.8273092369477914E-2</v>
      </c>
      <c r="BT2253" s="36">
        <f>(Inventory[[#This Row],[Adjusted Land Total]]-Inventory[[#This Row],[24Lnd]])/Inventory[[#This Row],[24Lnd]]</f>
        <v>-0.31488801054018445</v>
      </c>
      <c r="BU2253" s="36">
        <f>(Inventory[[#This Row],[Adjusted Total]]-Inventory[[#This Row],[24Final]])/Inventory[[#This Row],[24Final]]</f>
        <v>-4.5045045045045045E-3</v>
      </c>
    </row>
    <row r="2254" spans="1:73" x14ac:dyDescent="0.3">
      <c r="A2254" s="25">
        <v>2025</v>
      </c>
      <c r="B2254" s="26" t="s">
        <v>1140</v>
      </c>
      <c r="C2254" s="26">
        <f>LN(Inventory[[#This Row],[Acres]])</f>
        <v>-1.5141277326297755</v>
      </c>
      <c r="D2254" s="25">
        <v>0.22</v>
      </c>
      <c r="E2254" s="32">
        <v>9750</v>
      </c>
      <c r="F2254" s="26" t="s">
        <v>537</v>
      </c>
      <c r="G2254" s="26" t="s">
        <v>126</v>
      </c>
      <c r="H2254" s="26" t="s">
        <v>349</v>
      </c>
      <c r="I2254" s="26" t="s">
        <v>538</v>
      </c>
      <c r="J2254" s="26" t="s">
        <v>539</v>
      </c>
      <c r="K2254" s="26" t="s">
        <v>173</v>
      </c>
      <c r="L2254" s="26" t="s">
        <v>148</v>
      </c>
      <c r="M2254" s="26" t="s">
        <v>303</v>
      </c>
      <c r="N2254" s="26">
        <v>120</v>
      </c>
      <c r="O2254" s="26">
        <f>2024-Inventory[[#This Row],[YrBlt]]</f>
        <v>114</v>
      </c>
      <c r="P2254" s="26">
        <f>2024-Inventory[[#This Row],[EffYr]]</f>
        <v>66</v>
      </c>
      <c r="Q2254" s="25">
        <v>1910</v>
      </c>
      <c r="R2254" s="25">
        <v>1958</v>
      </c>
      <c r="S2254" s="25">
        <v>1890</v>
      </c>
      <c r="T2254" s="32">
        <v>1890</v>
      </c>
      <c r="U2254" s="25">
        <v>1890</v>
      </c>
      <c r="V2254" s="25">
        <f>Inventory[[#This Row],[Bsmt]]-Inventory[[#This Row],[FnBsmt]]</f>
        <v>643</v>
      </c>
      <c r="W2254" s="25">
        <v>1247</v>
      </c>
      <c r="X2254" s="27"/>
      <c r="Y2254" s="27">
        <f>Inventory[[#This Row],[MainFn]]+Inventory[[#This Row],[UpprFn]]+Inventory[[#This Row],[FnBsmt]]+Inventory[[#This Row],[AddFn]]</f>
        <v>5027</v>
      </c>
      <c r="Z2254" s="27">
        <v>5000</v>
      </c>
      <c r="AA2254" s="25">
        <v>12</v>
      </c>
      <c r="AB2254" s="27"/>
      <c r="AC2254" s="27"/>
      <c r="AD2254" s="27"/>
      <c r="AE2254" s="27"/>
      <c r="AF2254" s="27"/>
      <c r="AG2254" s="27"/>
      <c r="AH2254" s="27"/>
      <c r="AI2254" s="25">
        <v>786253</v>
      </c>
      <c r="AJ2254" s="25">
        <v>471752</v>
      </c>
      <c r="AK2254" s="25">
        <v>11621</v>
      </c>
      <c r="AL2254" s="25">
        <v>560600</v>
      </c>
      <c r="AM2254" s="25">
        <v>61700</v>
      </c>
      <c r="AN2254" s="25">
        <v>498900</v>
      </c>
      <c r="AO2254" s="25">
        <v>0</v>
      </c>
      <c r="AP2254" s="25">
        <f>Lookups!$B$56*0</f>
        <v>0</v>
      </c>
      <c r="AQ2254" s="25">
        <f>Lookups!$B$56*1</f>
        <v>89850.625589999996</v>
      </c>
      <c r="AR2254" s="25">
        <f>Lookups!$B$57*Inventory[[#This Row],[LnAcres]]</f>
        <v>-47929.131559187132</v>
      </c>
      <c r="AS2254" s="25">
        <f>VLOOKUP(Inventory[[#This Row],[Qlty]],Lookups!$A$62:$E$75,2,FALSE)</f>
        <v>44121.038090000002</v>
      </c>
      <c r="AT2254" s="25">
        <f>VLOOKUP(Inventory[[#This Row],[Cnd]],Lookups!$A$76:$E$84,2,FALSE)</f>
        <v>197752.34721000001</v>
      </c>
      <c r="AU2254" s="25">
        <f>Inventory[[#This Row],[EffAge]]*Lookups!$B$85</f>
        <v>-14721.009633</v>
      </c>
      <c r="AV2254" s="25">
        <f>Inventory[[#This Row],[MainFn]]*Lookups!$B$86</f>
        <v>93382.386067530009</v>
      </c>
      <c r="AW2254" s="25">
        <f>Inventory[[#This Row],[UpprFn]]*Lookups!$B$87</f>
        <v>84646.339207290002</v>
      </c>
      <c r="AX2254" s="25">
        <f>Inventory[[#This Row],[AddFn]]*Lookups!$B$88</f>
        <v>0</v>
      </c>
      <c r="AY2254" s="25">
        <f>Inventory[[#This Row],[Bsmt]]*Lookups!$B$89</f>
        <v>54964.782016829995</v>
      </c>
      <c r="AZ2254" s="25">
        <f>Inventory[[#This Row],[Fixtures]]*Lookups!$B$90</f>
        <v>45504.265262400004</v>
      </c>
      <c r="BA2254" s="25">
        <f>Inventory[[#This Row],[WdDeck]]*Lookups!$B$91</f>
        <v>0</v>
      </c>
      <c r="BB2254" s="25">
        <f>ROUND(Inventory[[#This Row],[25Det]],-2)</f>
        <v>11600</v>
      </c>
      <c r="BC2254" s="25">
        <f>ROUND(SUM(Inventory[[#This Row],[Mdl Qlty]:[Mdl WdDeck]])+Inventory[[#This Row],[Mdl Res Intercept]],-2)</f>
        <v>505700</v>
      </c>
      <c r="BD2254" s="25">
        <f>ROUND(Inventory[[#This Row],[Mdl Land Intercept]]+Inventory[[#This Row],[Mdl LnAcres]],-2)</f>
        <v>41900</v>
      </c>
      <c r="BE2254" s="25">
        <f>Inventory[[#This Row],[Unadj Res Value]]+Inventory[[#This Row],[Unadj Det Value]]+Inventory[[#This Row],[Unadj Land Value]]</f>
        <v>559200</v>
      </c>
      <c r="BF2254" s="36">
        <f>(Inventory[[#This Row],[Unadj Total Value]]-Inventory[[#This Row],[24Final]])/Inventory[[#This Row],[24Final]]</f>
        <v>-2.4973242953977882E-3</v>
      </c>
      <c r="BG2254" s="25">
        <f>VLOOKUP(Inventory[[#This Row],[Nbhd]],Lookups!$Q$2:$T$4,4,FALSE)</f>
        <v>0.99970000000000003</v>
      </c>
      <c r="BH2254" s="25">
        <f>VLOOKUP(Inventory[[#This Row],[Qlty]],Lookups!$O$7:$R$21,4,FALSE)</f>
        <v>0.98050000000000004</v>
      </c>
      <c r="BI2254" s="25">
        <f>VLOOKUP(Inventory[[#This Row],[Cnd]],Lookups!$T$7:$W$16,4,FALSE)</f>
        <v>0.99650000000000005</v>
      </c>
      <c r="BJ2254" s="25">
        <f>VLOOKUP(Inventory[[#This Row],[LivArea Range]],Lookups!$T$25:$W$37,4,FALSE)</f>
        <v>1</v>
      </c>
      <c r="BK2254" s="25">
        <f>VLOOKUP(Inventory[[#This Row],[Decade]],Lookups!$O$25:$R$42,4,FALSE)</f>
        <v>0.93389999999999995</v>
      </c>
      <c r="BL2254" s="25">
        <f>Inventory[[#This Row],[Nbhd Adj]]*0.95</f>
        <v>0.94971499999999998</v>
      </c>
      <c r="BM2254" s="25">
        <f>Inventory[[#This Row],[Nbhd Adj]]*Inventory[[#This Row],[Quality Adj]]*Inventory[[#This Row],[Condition Adj]]*Inventory[[#This Row],[Living Area Adj]]*Inventory[[#This Row],[Decade Adj]]*0.95</f>
        <v>0.86659977879022765</v>
      </c>
      <c r="BN2254" s="25">
        <f>ROUND(SUM(Inventory[[#This Row],[Mdl Qlty]:[Mdl WdDeck]])+Inventory[[#This Row],[Mdl Res Intercept]]*Inventory[[#This Row],[Res Adj ]],-2)</f>
        <v>505700</v>
      </c>
      <c r="BO2254" s="25">
        <f>ROUND(Inventory[[#This Row],[25Det]]*Inventory[[#This Row],[Det/Nbhd Adj]],-2)</f>
        <v>11000</v>
      </c>
      <c r="BP2254" s="25">
        <f>Inventory[[#This Row],[Adjusted Res]]+Inventory[[#This Row],[Adj Det ]]</f>
        <v>516700</v>
      </c>
      <c r="BQ2254" s="25">
        <f>ROUND((Inventory[[#This Row],[Mdl Land Intercept]]+Inventory[[#This Row],[Mdl LnAcres]])*Inventory[[#This Row],[Det/Nbhd Adj]],-2)</f>
        <v>39800</v>
      </c>
      <c r="BR2254" s="25">
        <f>Inventory[[#This Row],[Adjusted Impr Total]]+Inventory[[#This Row],[Adjusted Land Total]]</f>
        <v>556500</v>
      </c>
      <c r="BS2254" s="36">
        <f>IFERROR((Inventory[[#This Row],[Adjusted Impr Total]]-Inventory[[#This Row],[24Bldg]])/Inventory[[#This Row],[24Bldg]],0)</f>
        <v>3.5678492683904592E-2</v>
      </c>
      <c r="BT2254" s="36">
        <f>(Inventory[[#This Row],[Adjusted Land Total]]-Inventory[[#This Row],[24Lnd]])/Inventory[[#This Row],[24Lnd]]</f>
        <v>-0.35494327390599678</v>
      </c>
      <c r="BU2254" s="36">
        <f>(Inventory[[#This Row],[Adjusted Total]]-Inventory[[#This Row],[24Final]])/Inventory[[#This Row],[24Final]]</f>
        <v>-7.3135925793792363E-3</v>
      </c>
    </row>
    <row r="2255" spans="1:73" x14ac:dyDescent="0.3">
      <c r="A2255" s="25">
        <v>2025</v>
      </c>
      <c r="B2255" s="26" t="s">
        <v>1525</v>
      </c>
      <c r="C2255" s="26">
        <f>LN(Inventory[[#This Row],[Acres]])</f>
        <v>-1.7147984280919266</v>
      </c>
      <c r="D2255" s="25">
        <v>0.18</v>
      </c>
      <c r="E2255" s="32">
        <v>7853</v>
      </c>
      <c r="F2255" s="26" t="s">
        <v>537</v>
      </c>
      <c r="G2255" s="26" t="s">
        <v>126</v>
      </c>
      <c r="H2255" s="26" t="s">
        <v>349</v>
      </c>
      <c r="I2255" s="26" t="s">
        <v>538</v>
      </c>
      <c r="J2255" s="26" t="s">
        <v>638</v>
      </c>
      <c r="K2255" s="26" t="s">
        <v>242</v>
      </c>
      <c r="L2255" s="26" t="s">
        <v>31</v>
      </c>
      <c r="M2255" s="26" t="s">
        <v>206</v>
      </c>
      <c r="N2255" s="26">
        <v>120</v>
      </c>
      <c r="O2255" s="26">
        <f>2024-Inventory[[#This Row],[YrBlt]]</f>
        <v>114</v>
      </c>
      <c r="P2255" s="26">
        <f>2024-Inventory[[#This Row],[EffYr]]</f>
        <v>66</v>
      </c>
      <c r="Q2255" s="25">
        <v>1910</v>
      </c>
      <c r="R2255" s="25">
        <v>1958</v>
      </c>
      <c r="S2255" s="25">
        <v>768</v>
      </c>
      <c r="T2255" s="31"/>
      <c r="U2255" s="25">
        <v>768</v>
      </c>
      <c r="V2255" s="25">
        <f>Inventory[[#This Row],[Bsmt]]-Inventory[[#This Row],[FnBsmt]]</f>
        <v>768</v>
      </c>
      <c r="W2255" s="31"/>
      <c r="X2255" s="27"/>
      <c r="Y2255" s="27">
        <f>Inventory[[#This Row],[MainFn]]+Inventory[[#This Row],[UpprFn]]+Inventory[[#This Row],[FnBsmt]]+Inventory[[#This Row],[AddFn]]</f>
        <v>768</v>
      </c>
      <c r="Z2255" s="27">
        <v>1000</v>
      </c>
      <c r="AA2255" s="25">
        <v>5</v>
      </c>
      <c r="AB2255" s="27"/>
      <c r="AC2255" s="27"/>
      <c r="AD2255" s="27"/>
      <c r="AE2255" s="27"/>
      <c r="AF2255" s="27"/>
      <c r="AG2255" s="27"/>
      <c r="AH2255" s="27"/>
      <c r="AI2255" s="25">
        <v>143283</v>
      </c>
      <c r="AJ2255" s="25">
        <v>75940</v>
      </c>
      <c r="AK2255" s="25">
        <v>4598</v>
      </c>
      <c r="AL2255" s="25">
        <v>205200</v>
      </c>
      <c r="AM2255" s="25">
        <v>54700</v>
      </c>
      <c r="AN2255" s="25">
        <v>150500</v>
      </c>
      <c r="AO2255" s="25">
        <v>0</v>
      </c>
      <c r="AP2255" s="25">
        <f>Lookups!$B$56*0</f>
        <v>0</v>
      </c>
      <c r="AQ2255" s="25">
        <f>Lookups!$B$56*1</f>
        <v>89850.625589999996</v>
      </c>
      <c r="AR2255" s="25">
        <f>Lookups!$B$57*Inventory[[#This Row],[LnAcres]]</f>
        <v>-54281.285314520763</v>
      </c>
      <c r="AS2255" s="25">
        <f>VLOOKUP(Inventory[[#This Row],[Qlty]],Lookups!$A$62:$E$75,2,FALSE)</f>
        <v>-43578.886190266698</v>
      </c>
      <c r="AT2255" s="25">
        <f>VLOOKUP(Inventory[[#This Row],[Cnd]],Lookups!$A$76:$E$84,2,FALSE)</f>
        <v>133714.53821</v>
      </c>
      <c r="AU2255" s="25">
        <f>Inventory[[#This Row],[EffAge]]*Lookups!$B$85</f>
        <v>-14721.009633</v>
      </c>
      <c r="AV2255" s="25">
        <f>Inventory[[#This Row],[MainFn]]*Lookups!$B$86</f>
        <v>37945.858465536003</v>
      </c>
      <c r="AW2255" s="25">
        <f>Inventory[[#This Row],[UpprFn]]*Lookups!$B$87</f>
        <v>0</v>
      </c>
      <c r="AX2255" s="25">
        <f>Inventory[[#This Row],[AddFn]]*Lookups!$B$88</f>
        <v>0</v>
      </c>
      <c r="AY2255" s="25">
        <f>Inventory[[#This Row],[Bsmt]]*Lookups!$B$89</f>
        <v>22334.895549695997</v>
      </c>
      <c r="AZ2255" s="25">
        <f>Inventory[[#This Row],[Fixtures]]*Lookups!$B$90</f>
        <v>18960.110526</v>
      </c>
      <c r="BA2255" s="25">
        <f>Inventory[[#This Row],[WdDeck]]*Lookups!$B$91</f>
        <v>0</v>
      </c>
      <c r="BB2255" s="25">
        <f>ROUND(Inventory[[#This Row],[25Det]],-2)</f>
        <v>4600</v>
      </c>
      <c r="BC2255" s="25">
        <f>ROUND(SUM(Inventory[[#This Row],[Mdl Qlty]:[Mdl WdDeck]])+Inventory[[#This Row],[Mdl Res Intercept]],-2)</f>
        <v>154700</v>
      </c>
      <c r="BD2255" s="25">
        <f>ROUND(Inventory[[#This Row],[Mdl Land Intercept]]+Inventory[[#This Row],[Mdl LnAcres]],-2)</f>
        <v>35600</v>
      </c>
      <c r="BE2255" s="25">
        <f>Inventory[[#This Row],[Unadj Res Value]]+Inventory[[#This Row],[Unadj Det Value]]+Inventory[[#This Row],[Unadj Land Value]]</f>
        <v>194900</v>
      </c>
      <c r="BF2255" s="36">
        <f>(Inventory[[#This Row],[Unadj Total Value]]-Inventory[[#This Row],[24Final]])/Inventory[[#This Row],[24Final]]</f>
        <v>-5.019493177387914E-2</v>
      </c>
      <c r="BG2255" s="25">
        <f>VLOOKUP(Inventory[[#This Row],[Nbhd]],Lookups!$Q$2:$T$4,4,FALSE)</f>
        <v>0.99970000000000003</v>
      </c>
      <c r="BH2255" s="25">
        <f>VLOOKUP(Inventory[[#This Row],[Qlty]],Lookups!$O$7:$R$21,4,FALSE)</f>
        <v>1</v>
      </c>
      <c r="BI2255" s="25">
        <f>VLOOKUP(Inventory[[#This Row],[Cnd]],Lookups!$T$7:$W$16,4,FALSE)</f>
        <v>0.99329999999999996</v>
      </c>
      <c r="BJ2255" s="25">
        <f>VLOOKUP(Inventory[[#This Row],[LivArea Range]],Lookups!$T$25:$W$37,4,FALSE)</f>
        <v>1.0148999999999999</v>
      </c>
      <c r="BK2255" s="25">
        <f>VLOOKUP(Inventory[[#This Row],[Decade]],Lookups!$O$25:$R$42,4,FALSE)</f>
        <v>0.93389999999999995</v>
      </c>
      <c r="BL2255" s="25">
        <f>Inventory[[#This Row],[Nbhd Adj]]*0.95</f>
        <v>0.94971499999999998</v>
      </c>
      <c r="BM2255" s="25">
        <f>Inventory[[#This Row],[Nbhd Adj]]*Inventory[[#This Row],[Quality Adj]]*Inventory[[#This Row],[Condition Adj]]*Inventory[[#This Row],[Living Area Adj]]*Inventory[[#This Row],[Decade Adj]]*0.95</f>
        <v>0.89412319387145245</v>
      </c>
      <c r="BN2255" s="25">
        <f>ROUND(SUM(Inventory[[#This Row],[Mdl Qlty]:[Mdl WdDeck]])+Inventory[[#This Row],[Mdl Res Intercept]]*Inventory[[#This Row],[Res Adj ]],-2)</f>
        <v>154700</v>
      </c>
      <c r="BO2255" s="25">
        <f>ROUND(Inventory[[#This Row],[25Det]]*Inventory[[#This Row],[Det/Nbhd Adj]],-2)</f>
        <v>4400</v>
      </c>
      <c r="BP2255" s="25">
        <f>Inventory[[#This Row],[Adjusted Res]]+Inventory[[#This Row],[Adj Det ]]</f>
        <v>159100</v>
      </c>
      <c r="BQ2255" s="25">
        <f>ROUND((Inventory[[#This Row],[Mdl Land Intercept]]+Inventory[[#This Row],[Mdl LnAcres]])*Inventory[[#This Row],[Det/Nbhd Adj]],-2)</f>
        <v>33800</v>
      </c>
      <c r="BR2255" s="25">
        <f>Inventory[[#This Row],[Adjusted Impr Total]]+Inventory[[#This Row],[Adjusted Land Total]]</f>
        <v>192900</v>
      </c>
      <c r="BS2255" s="36">
        <f>IFERROR((Inventory[[#This Row],[Adjusted Impr Total]]-Inventory[[#This Row],[24Bldg]])/Inventory[[#This Row],[24Bldg]],0)</f>
        <v>5.7142857142857141E-2</v>
      </c>
      <c r="BT2255" s="36">
        <f>(Inventory[[#This Row],[Adjusted Land Total]]-Inventory[[#This Row],[24Lnd]])/Inventory[[#This Row],[24Lnd]]</f>
        <v>-0.38208409506398539</v>
      </c>
      <c r="BU2255" s="36">
        <f>(Inventory[[#This Row],[Adjusted Total]]-Inventory[[#This Row],[24Final]])/Inventory[[#This Row],[24Final]]</f>
        <v>-5.9941520467836254E-2</v>
      </c>
    </row>
    <row r="2256" spans="1:73" x14ac:dyDescent="0.3">
      <c r="A2256" s="25">
        <v>2025</v>
      </c>
      <c r="B2256" s="26" t="s">
        <v>2173</v>
      </c>
      <c r="C2256" s="26">
        <f>LN(Inventory[[#This Row],[Acres]])</f>
        <v>-1.3470736479666092</v>
      </c>
      <c r="D2256" s="25">
        <v>0.26</v>
      </c>
      <c r="E2256" s="32">
        <v>11182</v>
      </c>
      <c r="F2256" s="26" t="s">
        <v>537</v>
      </c>
      <c r="G2256" s="26" t="s">
        <v>126</v>
      </c>
      <c r="H2256" s="26" t="s">
        <v>349</v>
      </c>
      <c r="I2256" s="26" t="s">
        <v>538</v>
      </c>
      <c r="J2256" s="26" t="s">
        <v>539</v>
      </c>
      <c r="K2256" s="26" t="s">
        <v>173</v>
      </c>
      <c r="L2256" s="26" t="s">
        <v>31</v>
      </c>
      <c r="M2256" s="26" t="s">
        <v>206</v>
      </c>
      <c r="N2256" s="26">
        <v>120</v>
      </c>
      <c r="O2256" s="26">
        <f>2024-Inventory[[#This Row],[YrBlt]]</f>
        <v>114</v>
      </c>
      <c r="P2256" s="26">
        <f>2024-Inventory[[#This Row],[EffYr]]</f>
        <v>66</v>
      </c>
      <c r="Q2256" s="25">
        <v>1910</v>
      </c>
      <c r="R2256" s="25">
        <v>1958</v>
      </c>
      <c r="S2256" s="25">
        <v>1478</v>
      </c>
      <c r="T2256" s="32">
        <v>396</v>
      </c>
      <c r="U2256" s="32">
        <v>396</v>
      </c>
      <c r="V2256" s="32">
        <f>Inventory[[#This Row],[Bsmt]]-Inventory[[#This Row],[FnBsmt]]</f>
        <v>396</v>
      </c>
      <c r="W2256" s="32">
        <v>0</v>
      </c>
      <c r="X2256" s="27"/>
      <c r="Y2256" s="27">
        <f>Inventory[[#This Row],[MainFn]]+Inventory[[#This Row],[UpprFn]]+Inventory[[#This Row],[FnBsmt]]+Inventory[[#This Row],[AddFn]]</f>
        <v>1874</v>
      </c>
      <c r="Z2256" s="27">
        <v>2000</v>
      </c>
      <c r="AA2256" s="25">
        <v>8</v>
      </c>
      <c r="AB2256" s="27"/>
      <c r="AC2256" s="27"/>
      <c r="AD2256" s="27"/>
      <c r="AE2256" s="27"/>
      <c r="AF2256" s="27"/>
      <c r="AG2256" s="27"/>
      <c r="AH2256" s="27"/>
      <c r="AI2256" s="25">
        <v>250773</v>
      </c>
      <c r="AJ2256" s="25">
        <v>132910</v>
      </c>
      <c r="AK2256" s="25">
        <v>8635</v>
      </c>
      <c r="AL2256" s="25">
        <v>281000</v>
      </c>
      <c r="AM2256" s="25">
        <v>67600</v>
      </c>
      <c r="AN2256" s="25">
        <v>213400</v>
      </c>
      <c r="AO2256" s="25">
        <v>0</v>
      </c>
      <c r="AP2256" s="25">
        <f>Lookups!$B$56*0</f>
        <v>0</v>
      </c>
      <c r="AQ2256" s="25">
        <f>Lookups!$B$56*1</f>
        <v>89850.625589999996</v>
      </c>
      <c r="AR2256" s="25">
        <f>Lookups!$B$57*Inventory[[#This Row],[LnAcres]]</f>
        <v>-42641.098701210125</v>
      </c>
      <c r="AS2256" s="25">
        <f>VLOOKUP(Inventory[[#This Row],[Qlty]],Lookups!$A$62:$E$75,2,FALSE)</f>
        <v>-43578.886190266698</v>
      </c>
      <c r="AT2256" s="25">
        <f>VLOOKUP(Inventory[[#This Row],[Cnd]],Lookups!$A$76:$E$84,2,FALSE)</f>
        <v>133714.53821</v>
      </c>
      <c r="AU2256" s="25">
        <f>Inventory[[#This Row],[EffAge]]*Lookups!$B$85</f>
        <v>-14721.009633</v>
      </c>
      <c r="AV2256" s="25">
        <f>Inventory[[#This Row],[MainFn]]*Lookups!$B$86</f>
        <v>73026.014078206004</v>
      </c>
      <c r="AW2256" s="25">
        <f>Inventory[[#This Row],[UpprFn]]*Lookups!$B$87</f>
        <v>17735.423452955998</v>
      </c>
      <c r="AX2256" s="25">
        <f>Inventory[[#This Row],[AddFn]]*Lookups!$B$88</f>
        <v>0</v>
      </c>
      <c r="AY2256" s="25">
        <f>Inventory[[#This Row],[Bsmt]]*Lookups!$B$89</f>
        <v>11516.430517811999</v>
      </c>
      <c r="AZ2256" s="25">
        <f>Inventory[[#This Row],[Fixtures]]*Lookups!$B$90</f>
        <v>30336.176841600001</v>
      </c>
      <c r="BA2256" s="25">
        <f>Inventory[[#This Row],[WdDeck]]*Lookups!$B$91</f>
        <v>0</v>
      </c>
      <c r="BB2256" s="25">
        <f>ROUND(Inventory[[#This Row],[25Det]],-2)</f>
        <v>8600</v>
      </c>
      <c r="BC2256" s="25">
        <f>ROUND(SUM(Inventory[[#This Row],[Mdl Qlty]:[Mdl WdDeck]])+Inventory[[#This Row],[Mdl Res Intercept]],-2)</f>
        <v>208000</v>
      </c>
      <c r="BD2256" s="25">
        <f>ROUND(Inventory[[#This Row],[Mdl Land Intercept]]+Inventory[[#This Row],[Mdl LnAcres]],-2)</f>
        <v>47200</v>
      </c>
      <c r="BE2256" s="25">
        <f>Inventory[[#This Row],[Unadj Res Value]]+Inventory[[#This Row],[Unadj Det Value]]+Inventory[[#This Row],[Unadj Land Value]]</f>
        <v>263800</v>
      </c>
      <c r="BF2256" s="36">
        <f>(Inventory[[#This Row],[Unadj Total Value]]-Inventory[[#This Row],[24Final]])/Inventory[[#This Row],[24Final]]</f>
        <v>-6.1209964412811388E-2</v>
      </c>
      <c r="BG2256" s="25">
        <f>VLOOKUP(Inventory[[#This Row],[Nbhd]],Lookups!$Q$2:$T$4,4,FALSE)</f>
        <v>0.99970000000000003</v>
      </c>
      <c r="BH2256" s="25">
        <f>VLOOKUP(Inventory[[#This Row],[Qlty]],Lookups!$O$7:$R$21,4,FALSE)</f>
        <v>1</v>
      </c>
      <c r="BI2256" s="25">
        <f>VLOOKUP(Inventory[[#This Row],[Cnd]],Lookups!$T$7:$W$16,4,FALSE)</f>
        <v>0.99329999999999996</v>
      </c>
      <c r="BJ2256" s="25">
        <f>VLOOKUP(Inventory[[#This Row],[LivArea Range]],Lookups!$T$25:$W$37,4,FALSE)</f>
        <v>1.0093000000000001</v>
      </c>
      <c r="BK2256" s="25">
        <f>VLOOKUP(Inventory[[#This Row],[Decade]],Lookups!$O$25:$R$42,4,FALSE)</f>
        <v>0.93389999999999995</v>
      </c>
      <c r="BL2256" s="25">
        <f>Inventory[[#This Row],[Nbhd Adj]]*0.95</f>
        <v>0.94971499999999998</v>
      </c>
      <c r="BM2256" s="25">
        <f>Inventory[[#This Row],[Nbhd Adj]]*Inventory[[#This Row],[Quality Adj]]*Inventory[[#This Row],[Condition Adj]]*Inventory[[#This Row],[Living Area Adj]]*Inventory[[#This Row],[Decade Adj]]*0.95</f>
        <v>0.88918961432107313</v>
      </c>
      <c r="BN2256" s="25">
        <f>ROUND(SUM(Inventory[[#This Row],[Mdl Qlty]:[Mdl WdDeck]])+Inventory[[#This Row],[Mdl Res Intercept]]*Inventory[[#This Row],[Res Adj ]],-2)</f>
        <v>208000</v>
      </c>
      <c r="BO2256" s="25">
        <f>ROUND(Inventory[[#This Row],[25Det]]*Inventory[[#This Row],[Det/Nbhd Adj]],-2)</f>
        <v>8200</v>
      </c>
      <c r="BP2256" s="25">
        <f>Inventory[[#This Row],[Adjusted Res]]+Inventory[[#This Row],[Adj Det ]]</f>
        <v>216200</v>
      </c>
      <c r="BQ2256" s="25">
        <f>ROUND((Inventory[[#This Row],[Mdl Land Intercept]]+Inventory[[#This Row],[Mdl LnAcres]])*Inventory[[#This Row],[Det/Nbhd Adj]],-2)</f>
        <v>44800</v>
      </c>
      <c r="BR2256" s="25">
        <f>Inventory[[#This Row],[Adjusted Impr Total]]+Inventory[[#This Row],[Adjusted Land Total]]</f>
        <v>261000</v>
      </c>
      <c r="BS2256" s="36">
        <f>IFERROR((Inventory[[#This Row],[Adjusted Impr Total]]-Inventory[[#This Row],[24Bldg]])/Inventory[[#This Row],[24Bldg]],0)</f>
        <v>1.3120899718837863E-2</v>
      </c>
      <c r="BT2256" s="36">
        <f>(Inventory[[#This Row],[Adjusted Land Total]]-Inventory[[#This Row],[24Lnd]])/Inventory[[#This Row],[24Lnd]]</f>
        <v>-0.33727810650887574</v>
      </c>
      <c r="BU2256" s="36">
        <f>(Inventory[[#This Row],[Adjusted Total]]-Inventory[[#This Row],[24Final]])/Inventory[[#This Row],[24Final]]</f>
        <v>-7.1174377224199295E-2</v>
      </c>
    </row>
    <row r="2257" spans="1:73" x14ac:dyDescent="0.3">
      <c r="A2257" s="25">
        <v>2025</v>
      </c>
      <c r="B2257" s="26" t="s">
        <v>1658</v>
      </c>
      <c r="C2257" s="26">
        <f>LN(Inventory[[#This Row],[Acres]])</f>
        <v>-0.6348782724359695</v>
      </c>
      <c r="D2257" s="25">
        <v>0.53</v>
      </c>
      <c r="E2257" s="25">
        <v>22890</v>
      </c>
      <c r="F2257" s="26" t="s">
        <v>537</v>
      </c>
      <c r="G2257" s="26" t="s">
        <v>126</v>
      </c>
      <c r="H2257" s="26" t="s">
        <v>349</v>
      </c>
      <c r="I2257" s="26" t="s">
        <v>538</v>
      </c>
      <c r="J2257" s="26" t="s">
        <v>539</v>
      </c>
      <c r="K2257" s="26" t="s">
        <v>416</v>
      </c>
      <c r="L2257" s="26" t="s">
        <v>64</v>
      </c>
      <c r="M2257" s="26" t="s">
        <v>96</v>
      </c>
      <c r="N2257" s="26">
        <v>120</v>
      </c>
      <c r="O2257" s="26">
        <f>2024-Inventory[[#This Row],[YrBlt]]</f>
        <v>115</v>
      </c>
      <c r="P2257" s="26">
        <f>2024-Inventory[[#This Row],[EffYr]]</f>
        <v>14</v>
      </c>
      <c r="Q2257" s="25">
        <v>1909</v>
      </c>
      <c r="R2257" s="25">
        <v>2010</v>
      </c>
      <c r="S2257" s="25">
        <v>2377</v>
      </c>
      <c r="T2257" s="32">
        <v>1635</v>
      </c>
      <c r="U2257" s="25">
        <v>1600</v>
      </c>
      <c r="V2257" s="25">
        <f>Inventory[[#This Row],[Bsmt]]-Inventory[[#This Row],[FnBsmt]]</f>
        <v>0</v>
      </c>
      <c r="W2257" s="25">
        <v>1600</v>
      </c>
      <c r="X2257" s="27"/>
      <c r="Y2257" s="27">
        <f>Inventory[[#This Row],[MainFn]]+Inventory[[#This Row],[UpprFn]]+Inventory[[#This Row],[FnBsmt]]+Inventory[[#This Row],[AddFn]]</f>
        <v>5612</v>
      </c>
      <c r="Z2257" s="27">
        <v>5500</v>
      </c>
      <c r="AA2257" s="25">
        <v>14</v>
      </c>
      <c r="AB2257" s="27"/>
      <c r="AC2257" s="31"/>
      <c r="AD2257" s="27"/>
      <c r="AE2257" s="27"/>
      <c r="AF2257" s="27"/>
      <c r="AG2257" s="27"/>
      <c r="AH2257" s="27"/>
      <c r="AI2257" s="25">
        <v>1053431</v>
      </c>
      <c r="AJ2257" s="25">
        <v>1011294</v>
      </c>
      <c r="AK2257" s="25">
        <v>55555</v>
      </c>
      <c r="AL2257" s="25">
        <v>837200</v>
      </c>
      <c r="AM2257" s="25">
        <v>92400</v>
      </c>
      <c r="AN2257" s="25">
        <v>744800</v>
      </c>
      <c r="AO2257" s="25">
        <v>0</v>
      </c>
      <c r="AP2257" s="25">
        <f>Lookups!$B$56*0</f>
        <v>0</v>
      </c>
      <c r="AQ2257" s="25">
        <f>Lookups!$B$56*1</f>
        <v>89850.625589999996</v>
      </c>
      <c r="AR2257" s="25">
        <f>Lookups!$B$57*Inventory[[#This Row],[LnAcres]]</f>
        <v>-20096.827756270526</v>
      </c>
      <c r="AS2257" s="25">
        <f>VLOOKUP(Inventory[[#This Row],[Qlty]],Lookups!$A$62:$E$75,2,FALSE)</f>
        <v>163885.03753</v>
      </c>
      <c r="AT2257" s="25">
        <f>VLOOKUP(Inventory[[#This Row],[Cnd]],Lookups!$A$76:$E$84,2,FALSE)</f>
        <v>354070.39217000001</v>
      </c>
      <c r="AU2257" s="25">
        <f>Inventory[[#This Row],[EffAge]]*Lookups!$B$85</f>
        <v>-3122.6384069999999</v>
      </c>
      <c r="AV2257" s="25">
        <f>Inventory[[#This Row],[MainFn]]*Lookups!$B$86</f>
        <v>117444.40829762901</v>
      </c>
      <c r="AW2257" s="25">
        <f>Inventory[[#This Row],[UpprFn]]*Lookups!$B$87</f>
        <v>73225.801377734999</v>
      </c>
      <c r="AX2257" s="25">
        <f>Inventory[[#This Row],[AddFn]]*Lookups!$B$88</f>
        <v>0</v>
      </c>
      <c r="AY2257" s="25">
        <f>Inventory[[#This Row],[Bsmt]]*Lookups!$B$89</f>
        <v>46531.032395199996</v>
      </c>
      <c r="AZ2257" s="25">
        <f>Inventory[[#This Row],[Fixtures]]*Lookups!$B$90</f>
        <v>53088.3094728</v>
      </c>
      <c r="BA2257" s="25">
        <f>Inventory[[#This Row],[WdDeck]]*Lookups!$B$91</f>
        <v>0</v>
      </c>
      <c r="BB2257" s="25">
        <f>ROUND(Inventory[[#This Row],[25Det]],-2)</f>
        <v>55600</v>
      </c>
      <c r="BC2257" s="25">
        <f>ROUND(SUM(Inventory[[#This Row],[Mdl Qlty]:[Mdl WdDeck]])+Inventory[[#This Row],[Mdl Res Intercept]],-2)</f>
        <v>805100</v>
      </c>
      <c r="BD2257" s="25">
        <f>ROUND(Inventory[[#This Row],[Mdl Land Intercept]]+Inventory[[#This Row],[Mdl LnAcres]],-2)</f>
        <v>69800</v>
      </c>
      <c r="BE2257" s="25">
        <f>Inventory[[#This Row],[Unadj Res Value]]+Inventory[[#This Row],[Unadj Det Value]]+Inventory[[#This Row],[Unadj Land Value]]</f>
        <v>930500</v>
      </c>
      <c r="BF2257" s="36">
        <f>(Inventory[[#This Row],[Unadj Total Value]]-Inventory[[#This Row],[24Final]])/Inventory[[#This Row],[24Final]]</f>
        <v>0.11144290492116579</v>
      </c>
      <c r="BG2257" s="25">
        <f>VLOOKUP(Inventory[[#This Row],[Nbhd]],Lookups!$Q$2:$T$4,4,FALSE)</f>
        <v>0.99970000000000003</v>
      </c>
      <c r="BH2257" s="25">
        <f>VLOOKUP(Inventory[[#This Row],[Qlty]],Lookups!$O$7:$R$21,4,FALSE)</f>
        <v>1</v>
      </c>
      <c r="BI2257" s="25">
        <f>VLOOKUP(Inventory[[#This Row],[Cnd]],Lookups!$T$7:$W$16,4,FALSE)</f>
        <v>1.1303000000000001</v>
      </c>
      <c r="BJ2257" s="25">
        <f>VLOOKUP(Inventory[[#This Row],[LivArea Range]],Lookups!$T$25:$W$37,4,FALSE)</f>
        <v>1.1091</v>
      </c>
      <c r="BK2257" s="25">
        <f>VLOOKUP(Inventory[[#This Row],[Decade]],Lookups!$O$25:$R$42,4,FALSE)</f>
        <v>0.93389999999999995</v>
      </c>
      <c r="BL2257" s="25">
        <f>Inventory[[#This Row],[Nbhd Adj]]*0.95</f>
        <v>0.94971499999999998</v>
      </c>
      <c r="BM2257" s="25">
        <f>Inventory[[#This Row],[Nbhd Adj]]*Inventory[[#This Row],[Quality Adj]]*Inventory[[#This Row],[Condition Adj]]*Inventory[[#This Row],[Living Area Adj]]*Inventory[[#This Row],[Decade Adj]]*0.95</f>
        <v>1.1118804794915296</v>
      </c>
      <c r="BN2257" s="25">
        <f>ROUND(SUM(Inventory[[#This Row],[Mdl Qlty]:[Mdl WdDeck]])+Inventory[[#This Row],[Mdl Res Intercept]]*Inventory[[#This Row],[Res Adj ]],-2)</f>
        <v>805100</v>
      </c>
      <c r="BO2257" s="25">
        <f>ROUND(Inventory[[#This Row],[25Det]]*Inventory[[#This Row],[Det/Nbhd Adj]],-2)</f>
        <v>52800</v>
      </c>
      <c r="BP2257" s="25">
        <f>Inventory[[#This Row],[Adjusted Res]]+Inventory[[#This Row],[Adj Det ]]</f>
        <v>857900</v>
      </c>
      <c r="BQ2257" s="25">
        <f>ROUND((Inventory[[#This Row],[Mdl Land Intercept]]+Inventory[[#This Row],[Mdl LnAcres]])*Inventory[[#This Row],[Det/Nbhd Adj]],-2)</f>
        <v>66200</v>
      </c>
      <c r="BR2257" s="25">
        <f>Inventory[[#This Row],[Adjusted Impr Total]]+Inventory[[#This Row],[Adjusted Land Total]]</f>
        <v>924100</v>
      </c>
      <c r="BS2257" s="36">
        <f>IFERROR((Inventory[[#This Row],[Adjusted Impr Total]]-Inventory[[#This Row],[24Bldg]])/Inventory[[#This Row],[24Bldg]],0)</f>
        <v>0.15185284640171859</v>
      </c>
      <c r="BT2257" s="36">
        <f>(Inventory[[#This Row],[Adjusted Land Total]]-Inventory[[#This Row],[24Lnd]])/Inventory[[#This Row],[24Lnd]]</f>
        <v>-0.28354978354978355</v>
      </c>
      <c r="BU2257" s="36">
        <f>(Inventory[[#This Row],[Adjusted Total]]-Inventory[[#This Row],[24Final]])/Inventory[[#This Row],[24Final]]</f>
        <v>0.10379837553750597</v>
      </c>
    </row>
    <row r="2258" spans="1:73" x14ac:dyDescent="0.3">
      <c r="A2258" s="25">
        <v>2025</v>
      </c>
      <c r="B2258" s="26" t="s">
        <v>1430</v>
      </c>
      <c r="C2258" s="26">
        <f>LN(Inventory[[#This Row],[Acres]])</f>
        <v>-1.3093333199837622</v>
      </c>
      <c r="D2258" s="25">
        <v>0.27</v>
      </c>
      <c r="E2258" s="25">
        <v>11760</v>
      </c>
      <c r="F2258" s="26" t="s">
        <v>537</v>
      </c>
      <c r="G2258" s="26" t="s">
        <v>126</v>
      </c>
      <c r="H2258" s="26" t="s">
        <v>349</v>
      </c>
      <c r="I2258" s="26" t="s">
        <v>538</v>
      </c>
      <c r="J2258" s="26" t="s">
        <v>539</v>
      </c>
      <c r="K2258" s="26" t="s">
        <v>416</v>
      </c>
      <c r="L2258" s="26" t="s">
        <v>351</v>
      </c>
      <c r="M2258" s="26" t="s">
        <v>303</v>
      </c>
      <c r="N2258" s="26">
        <v>120</v>
      </c>
      <c r="O2258" s="26">
        <f>2024-Inventory[[#This Row],[YrBlt]]</f>
        <v>115</v>
      </c>
      <c r="P2258" s="26">
        <f>2024-Inventory[[#This Row],[EffYr]]</f>
        <v>67</v>
      </c>
      <c r="Q2258" s="25">
        <v>1909</v>
      </c>
      <c r="R2258" s="25">
        <v>1957</v>
      </c>
      <c r="S2258" s="25">
        <v>1024</v>
      </c>
      <c r="T2258" s="32">
        <v>600</v>
      </c>
      <c r="U2258" s="25">
        <v>560</v>
      </c>
      <c r="V2258" s="25">
        <f>Inventory[[#This Row],[Bsmt]]-Inventory[[#This Row],[FnBsmt]]</f>
        <v>560</v>
      </c>
      <c r="W2258" s="25">
        <v>0</v>
      </c>
      <c r="X2258" s="27"/>
      <c r="Y2258" s="27">
        <f>Inventory[[#This Row],[MainFn]]+Inventory[[#This Row],[UpprFn]]+Inventory[[#This Row],[FnBsmt]]+Inventory[[#This Row],[AddFn]]</f>
        <v>1624</v>
      </c>
      <c r="Z2258" s="27">
        <v>2000</v>
      </c>
      <c r="AA2258" s="25">
        <v>7</v>
      </c>
      <c r="AB2258" s="27"/>
      <c r="AC2258" s="31"/>
      <c r="AD2258" s="31"/>
      <c r="AE2258" s="27"/>
      <c r="AF2258" s="27"/>
      <c r="AG2258" s="27"/>
      <c r="AH2258" s="27"/>
      <c r="AI2258" s="25">
        <v>276654</v>
      </c>
      <c r="AJ2258" s="25">
        <v>157693</v>
      </c>
      <c r="AK2258" s="25">
        <v>3923</v>
      </c>
      <c r="AL2258" s="25">
        <v>346800</v>
      </c>
      <c r="AM2258" s="25">
        <v>68900</v>
      </c>
      <c r="AN2258" s="25">
        <v>277900</v>
      </c>
      <c r="AO2258" s="25">
        <v>0</v>
      </c>
      <c r="AP2258" s="25">
        <f>Lookups!$B$56*0</f>
        <v>0</v>
      </c>
      <c r="AQ2258" s="25">
        <f>Lookups!$B$56*1</f>
        <v>89850.625589999996</v>
      </c>
      <c r="AR2258" s="25">
        <f>Lookups!$B$57*Inventory[[#This Row],[LnAcres]]</f>
        <v>-41446.443120973789</v>
      </c>
      <c r="AS2258" s="25">
        <f>VLOOKUP(Inventory[[#This Row],[Qlty]],Lookups!$A$62:$E$75,2,FALSE)</f>
        <v>21557.329055999999</v>
      </c>
      <c r="AT2258" s="25">
        <f>VLOOKUP(Inventory[[#This Row],[Cnd]],Lookups!$A$76:$E$84,2,FALSE)</f>
        <v>197752.34721000001</v>
      </c>
      <c r="AU2258" s="25">
        <f>Inventory[[#This Row],[EffAge]]*Lookups!$B$85</f>
        <v>-14944.055233500001</v>
      </c>
      <c r="AV2258" s="25">
        <f>Inventory[[#This Row],[MainFn]]*Lookups!$B$86</f>
        <v>50594.477954048001</v>
      </c>
      <c r="AW2258" s="25">
        <f>Inventory[[#This Row],[UpprFn]]*Lookups!$B$87</f>
        <v>26871.853716599999</v>
      </c>
      <c r="AX2258" s="25">
        <f>Inventory[[#This Row],[AddFn]]*Lookups!$B$88</f>
        <v>0</v>
      </c>
      <c r="AY2258" s="25">
        <f>Inventory[[#This Row],[Bsmt]]*Lookups!$B$89</f>
        <v>16285.861338319999</v>
      </c>
      <c r="AZ2258" s="25">
        <f>Inventory[[#This Row],[Fixtures]]*Lookups!$B$90</f>
        <v>26544.1547364</v>
      </c>
      <c r="BA2258" s="25">
        <f>Inventory[[#This Row],[WdDeck]]*Lookups!$B$91</f>
        <v>0</v>
      </c>
      <c r="BB2258" s="25">
        <f>ROUND(Inventory[[#This Row],[25Det]],-2)</f>
        <v>3900</v>
      </c>
      <c r="BC2258" s="25">
        <f>ROUND(SUM(Inventory[[#This Row],[Mdl Qlty]:[Mdl WdDeck]])+Inventory[[#This Row],[Mdl Res Intercept]],-2)</f>
        <v>324700</v>
      </c>
      <c r="BD2258" s="25">
        <f>ROUND(Inventory[[#This Row],[Mdl Land Intercept]]+Inventory[[#This Row],[Mdl LnAcres]],-2)</f>
        <v>48400</v>
      </c>
      <c r="BE2258" s="25">
        <f>Inventory[[#This Row],[Unadj Res Value]]+Inventory[[#This Row],[Unadj Det Value]]+Inventory[[#This Row],[Unadj Land Value]]</f>
        <v>377000</v>
      </c>
      <c r="BF2258" s="36">
        <f>(Inventory[[#This Row],[Unadj Total Value]]-Inventory[[#This Row],[24Final]])/Inventory[[#This Row],[24Final]]</f>
        <v>8.7081891580161483E-2</v>
      </c>
      <c r="BG2258" s="25">
        <f>VLOOKUP(Inventory[[#This Row],[Nbhd]],Lookups!$Q$2:$T$4,4,FALSE)</f>
        <v>0.99970000000000003</v>
      </c>
      <c r="BH2258" s="25">
        <f>VLOOKUP(Inventory[[#This Row],[Qlty]],Lookups!$O$7:$R$21,4,FALSE)</f>
        <v>1.0067999999999999</v>
      </c>
      <c r="BI2258" s="25">
        <f>VLOOKUP(Inventory[[#This Row],[Cnd]],Lookups!$T$7:$W$16,4,FALSE)</f>
        <v>0.99650000000000005</v>
      </c>
      <c r="BJ2258" s="25">
        <f>VLOOKUP(Inventory[[#This Row],[LivArea Range]],Lookups!$T$25:$W$37,4,FALSE)</f>
        <v>1.0093000000000001</v>
      </c>
      <c r="BK2258" s="25">
        <f>VLOOKUP(Inventory[[#This Row],[Decade]],Lookups!$O$25:$R$42,4,FALSE)</f>
        <v>0.93389999999999995</v>
      </c>
      <c r="BL2258" s="25">
        <f>Inventory[[#This Row],[Nbhd Adj]]*0.95</f>
        <v>0.94971499999999998</v>
      </c>
      <c r="BM2258" s="25">
        <f>Inventory[[#This Row],[Nbhd Adj]]*Inventory[[#This Row],[Quality Adj]]*Inventory[[#This Row],[Condition Adj]]*Inventory[[#This Row],[Living Area Adj]]*Inventory[[#This Row],[Decade Adj]]*0.95</f>
        <v>0.89812018255865456</v>
      </c>
      <c r="BN2258" s="25">
        <f>ROUND(SUM(Inventory[[#This Row],[Mdl Qlty]:[Mdl WdDeck]])+Inventory[[#This Row],[Mdl Res Intercept]]*Inventory[[#This Row],[Res Adj ]],-2)</f>
        <v>324700</v>
      </c>
      <c r="BO2258" s="25">
        <f>ROUND(Inventory[[#This Row],[25Det]]*Inventory[[#This Row],[Det/Nbhd Adj]],-2)</f>
        <v>3700</v>
      </c>
      <c r="BP2258" s="25">
        <f>Inventory[[#This Row],[Adjusted Res]]+Inventory[[#This Row],[Adj Det ]]</f>
        <v>328400</v>
      </c>
      <c r="BQ2258" s="25">
        <f>ROUND((Inventory[[#This Row],[Mdl Land Intercept]]+Inventory[[#This Row],[Mdl LnAcres]])*Inventory[[#This Row],[Det/Nbhd Adj]],-2)</f>
        <v>46000</v>
      </c>
      <c r="BR2258" s="25">
        <f>Inventory[[#This Row],[Adjusted Impr Total]]+Inventory[[#This Row],[Adjusted Land Total]]</f>
        <v>374400</v>
      </c>
      <c r="BS2258" s="36">
        <f>IFERROR((Inventory[[#This Row],[Adjusted Impr Total]]-Inventory[[#This Row],[24Bldg]])/Inventory[[#This Row],[24Bldg]],0)</f>
        <v>0.18172004318100035</v>
      </c>
      <c r="BT2258" s="36">
        <f>(Inventory[[#This Row],[Adjusted Land Total]]-Inventory[[#This Row],[24Lnd]])/Inventory[[#This Row],[24Lnd]]</f>
        <v>-0.33236574746008707</v>
      </c>
      <c r="BU2258" s="36">
        <f>(Inventory[[#This Row],[Adjusted Total]]-Inventory[[#This Row],[24Final]])/Inventory[[#This Row],[24Final]]</f>
        <v>7.9584775086505188E-2</v>
      </c>
    </row>
    <row r="2259" spans="1:73" x14ac:dyDescent="0.3">
      <c r="A2259" s="25">
        <v>2025</v>
      </c>
      <c r="B2259" s="26" t="s">
        <v>1367</v>
      </c>
      <c r="C2259" s="26">
        <f>LN(Inventory[[#This Row],[Acres]])</f>
        <v>-0.86750056770472306</v>
      </c>
      <c r="D2259" s="25">
        <v>0.42</v>
      </c>
      <c r="E2259" s="25">
        <v>18116</v>
      </c>
      <c r="F2259" s="26" t="s">
        <v>537</v>
      </c>
      <c r="G2259" s="26" t="s">
        <v>126</v>
      </c>
      <c r="H2259" s="26" t="s">
        <v>349</v>
      </c>
      <c r="I2259" s="26" t="s">
        <v>538</v>
      </c>
      <c r="J2259" s="26" t="s">
        <v>539</v>
      </c>
      <c r="K2259" s="26" t="s">
        <v>416</v>
      </c>
      <c r="L2259" s="26" t="s">
        <v>95</v>
      </c>
      <c r="M2259" s="26" t="s">
        <v>303</v>
      </c>
      <c r="N2259" s="26">
        <v>120</v>
      </c>
      <c r="O2259" s="26">
        <f>2024-Inventory[[#This Row],[YrBlt]]</f>
        <v>115</v>
      </c>
      <c r="P2259" s="26">
        <f>2024-Inventory[[#This Row],[EffYr]]</f>
        <v>67</v>
      </c>
      <c r="Q2259" s="25">
        <v>1909</v>
      </c>
      <c r="R2259" s="25">
        <v>1957</v>
      </c>
      <c r="S2259" s="25">
        <v>1216</v>
      </c>
      <c r="T2259" s="32">
        <v>1216</v>
      </c>
      <c r="U2259" s="25">
        <v>1168</v>
      </c>
      <c r="V2259" s="25">
        <f>Inventory[[#This Row],[Bsmt]]-Inventory[[#This Row],[FnBsmt]]</f>
        <v>292</v>
      </c>
      <c r="W2259" s="25">
        <v>876</v>
      </c>
      <c r="X2259" s="27"/>
      <c r="Y2259" s="27">
        <f>Inventory[[#This Row],[MainFn]]+Inventory[[#This Row],[UpprFn]]+Inventory[[#This Row],[FnBsmt]]+Inventory[[#This Row],[AddFn]]</f>
        <v>3308</v>
      </c>
      <c r="Z2259" s="27">
        <v>3500</v>
      </c>
      <c r="AA2259" s="25">
        <v>11</v>
      </c>
      <c r="AB2259" s="27"/>
      <c r="AC2259" s="27"/>
      <c r="AD2259" s="32">
        <v>687</v>
      </c>
      <c r="AE2259" s="27"/>
      <c r="AF2259" s="27"/>
      <c r="AG2259" s="27"/>
      <c r="AH2259" s="27"/>
      <c r="AI2259" s="25">
        <v>647522</v>
      </c>
      <c r="AJ2259" s="25">
        <v>375563</v>
      </c>
      <c r="AK2259" s="25">
        <v>33193</v>
      </c>
      <c r="AL2259" s="25">
        <v>539900</v>
      </c>
      <c r="AM2259" s="25">
        <v>84300</v>
      </c>
      <c r="AN2259" s="25">
        <v>455600</v>
      </c>
      <c r="AO2259" s="25">
        <v>0</v>
      </c>
      <c r="AP2259" s="25">
        <f>Lookups!$B$56*0</f>
        <v>0</v>
      </c>
      <c r="AQ2259" s="25">
        <f>Lookups!$B$56*1</f>
        <v>89850.625589999996</v>
      </c>
      <c r="AR2259" s="25">
        <f>Lookups!$B$57*Inventory[[#This Row],[LnAcres]]</f>
        <v>-27460.397125792362</v>
      </c>
      <c r="AS2259" s="25">
        <f>VLOOKUP(Inventory[[#This Row],[Qlty]],Lookups!$A$62:$E$75,2,FALSE)</f>
        <v>74268.409664999999</v>
      </c>
      <c r="AT2259" s="25">
        <f>VLOOKUP(Inventory[[#This Row],[Cnd]],Lookups!$A$76:$E$84,2,FALSE)</f>
        <v>197752.34721000001</v>
      </c>
      <c r="AU2259" s="25">
        <f>Inventory[[#This Row],[EffAge]]*Lookups!$B$85</f>
        <v>-14944.055233500001</v>
      </c>
      <c r="AV2259" s="25">
        <f>Inventory[[#This Row],[MainFn]]*Lookups!$B$86</f>
        <v>60080.942570432002</v>
      </c>
      <c r="AW2259" s="25">
        <f>Inventory[[#This Row],[UpprFn]]*Lookups!$B$87</f>
        <v>54460.290198975999</v>
      </c>
      <c r="AX2259" s="25">
        <f>Inventory[[#This Row],[AddFn]]*Lookups!$B$88</f>
        <v>0</v>
      </c>
      <c r="AY2259" s="25">
        <f>Inventory[[#This Row],[Bsmt]]*Lookups!$B$89</f>
        <v>33967.653648496002</v>
      </c>
      <c r="AZ2259" s="25">
        <f>Inventory[[#This Row],[Fixtures]]*Lookups!$B$90</f>
        <v>41712.243157199999</v>
      </c>
      <c r="BA2259" s="25">
        <f>Inventory[[#This Row],[WdDeck]]*Lookups!$B$91</f>
        <v>22874.018994612001</v>
      </c>
      <c r="BB2259" s="25">
        <f>ROUND(Inventory[[#This Row],[25Det]],-2)</f>
        <v>33200</v>
      </c>
      <c r="BC2259" s="25">
        <f>ROUND(SUM(Inventory[[#This Row],[Mdl Qlty]:[Mdl WdDeck]])+Inventory[[#This Row],[Mdl Res Intercept]],-2)</f>
        <v>470200</v>
      </c>
      <c r="BD2259" s="25">
        <f>ROUND(Inventory[[#This Row],[Mdl Land Intercept]]+Inventory[[#This Row],[Mdl LnAcres]],-2)</f>
        <v>62400</v>
      </c>
      <c r="BE2259" s="25">
        <f>Inventory[[#This Row],[Unadj Res Value]]+Inventory[[#This Row],[Unadj Det Value]]+Inventory[[#This Row],[Unadj Land Value]]</f>
        <v>565800</v>
      </c>
      <c r="BF2259" s="36">
        <f>(Inventory[[#This Row],[Unadj Total Value]]-Inventory[[#This Row],[24Final]])/Inventory[[#This Row],[24Final]]</f>
        <v>4.7971846638266348E-2</v>
      </c>
      <c r="BG2259" s="25">
        <f>VLOOKUP(Inventory[[#This Row],[Nbhd]],Lookups!$Q$2:$T$4,4,FALSE)</f>
        <v>0.99970000000000003</v>
      </c>
      <c r="BH2259" s="25">
        <f>VLOOKUP(Inventory[[#This Row],[Qlty]],Lookups!$O$7:$R$21,4,FALSE)</f>
        <v>0.98380000000000001</v>
      </c>
      <c r="BI2259" s="25">
        <f>VLOOKUP(Inventory[[#This Row],[Cnd]],Lookups!$T$7:$W$16,4,FALSE)</f>
        <v>0.99650000000000005</v>
      </c>
      <c r="BJ2259" s="25">
        <f>VLOOKUP(Inventory[[#This Row],[LivArea Range]],Lookups!$T$25:$W$37,4,FALSE)</f>
        <v>1.0126999999999999</v>
      </c>
      <c r="BK2259" s="25">
        <f>VLOOKUP(Inventory[[#This Row],[Decade]],Lookups!$O$25:$R$42,4,FALSE)</f>
        <v>0.93389999999999995</v>
      </c>
      <c r="BL2259" s="25">
        <f>Inventory[[#This Row],[Nbhd Adj]]*0.95</f>
        <v>0.94971499999999998</v>
      </c>
      <c r="BM2259" s="25">
        <f>Inventory[[#This Row],[Nbhd Adj]]*Inventory[[#This Row],[Quality Adj]]*Inventory[[#This Row],[Condition Adj]]*Inventory[[#This Row],[Living Area Adj]]*Inventory[[#This Row],[Decade Adj]]*0.95</f>
        <v>0.88055929151042678</v>
      </c>
      <c r="BN2259" s="25">
        <f>ROUND(SUM(Inventory[[#This Row],[Mdl Qlty]:[Mdl WdDeck]])+Inventory[[#This Row],[Mdl Res Intercept]]*Inventory[[#This Row],[Res Adj ]],-2)</f>
        <v>470200</v>
      </c>
      <c r="BO2259" s="25">
        <f>ROUND(Inventory[[#This Row],[25Det]]*Inventory[[#This Row],[Det/Nbhd Adj]],-2)</f>
        <v>31500</v>
      </c>
      <c r="BP2259" s="25">
        <f>Inventory[[#This Row],[Adjusted Res]]+Inventory[[#This Row],[Adj Det ]]</f>
        <v>501700</v>
      </c>
      <c r="BQ2259" s="25">
        <f>ROUND((Inventory[[#This Row],[Mdl Land Intercept]]+Inventory[[#This Row],[Mdl LnAcres]])*Inventory[[#This Row],[Det/Nbhd Adj]],-2)</f>
        <v>59300</v>
      </c>
      <c r="BR2259" s="25">
        <f>Inventory[[#This Row],[Adjusted Impr Total]]+Inventory[[#This Row],[Adjusted Land Total]]</f>
        <v>561000</v>
      </c>
      <c r="BS2259" s="36">
        <f>IFERROR((Inventory[[#This Row],[Adjusted Impr Total]]-Inventory[[#This Row],[24Bldg]])/Inventory[[#This Row],[24Bldg]],0)</f>
        <v>0.10118525021949078</v>
      </c>
      <c r="BT2259" s="36">
        <f>(Inventory[[#This Row],[Adjusted Land Total]]-Inventory[[#This Row],[24Lnd]])/Inventory[[#This Row],[24Lnd]]</f>
        <v>-0.29655990510083036</v>
      </c>
      <c r="BU2259" s="36">
        <f>(Inventory[[#This Row],[Adjusted Total]]-Inventory[[#This Row],[24Final]])/Inventory[[#This Row],[24Final]]</f>
        <v>3.9081311353954436E-2</v>
      </c>
    </row>
    <row r="2260" spans="1:73" x14ac:dyDescent="0.3">
      <c r="A2260" s="25">
        <v>2025</v>
      </c>
      <c r="B2260" s="26" t="s">
        <v>2432</v>
      </c>
      <c r="C2260" s="26">
        <f>LN(Inventory[[#This Row],[Acres]])</f>
        <v>0.18232155679395459</v>
      </c>
      <c r="D2260" s="25">
        <v>1.2</v>
      </c>
      <c r="E2260" s="31"/>
      <c r="F2260" s="26" t="s">
        <v>537</v>
      </c>
      <c r="G2260" s="26" t="s">
        <v>126</v>
      </c>
      <c r="H2260" s="26" t="s">
        <v>349</v>
      </c>
      <c r="I2260" s="26" t="s">
        <v>538</v>
      </c>
      <c r="J2260" s="26" t="s">
        <v>974</v>
      </c>
      <c r="K2260" s="26" t="s">
        <v>448</v>
      </c>
      <c r="L2260" s="26" t="s">
        <v>64</v>
      </c>
      <c r="M2260" s="26" t="s">
        <v>303</v>
      </c>
      <c r="N2260" s="26">
        <v>120</v>
      </c>
      <c r="O2260" s="26">
        <f>2024-Inventory[[#This Row],[YrBlt]]</f>
        <v>115</v>
      </c>
      <c r="P2260" s="26">
        <f>2024-Inventory[[#This Row],[EffYr]]</f>
        <v>59</v>
      </c>
      <c r="Q2260" s="25">
        <v>1909</v>
      </c>
      <c r="R2260" s="25">
        <v>1965</v>
      </c>
      <c r="S2260" s="25">
        <v>2510</v>
      </c>
      <c r="T2260" s="32">
        <v>2705</v>
      </c>
      <c r="U2260" s="25">
        <v>2216</v>
      </c>
      <c r="V2260" s="25">
        <f>Inventory[[#This Row],[Bsmt]]-Inventory[[#This Row],[FnBsmt]]</f>
        <v>1662</v>
      </c>
      <c r="W2260" s="25">
        <v>554</v>
      </c>
      <c r="X2260" s="27"/>
      <c r="Y2260" s="27">
        <f>Inventory[[#This Row],[MainFn]]+Inventory[[#This Row],[UpprFn]]+Inventory[[#This Row],[FnBsmt]]+Inventory[[#This Row],[AddFn]]</f>
        <v>5769</v>
      </c>
      <c r="Z2260" s="27">
        <v>5500</v>
      </c>
      <c r="AA2260" s="25">
        <v>17</v>
      </c>
      <c r="AB2260" s="27"/>
      <c r="AC2260" s="31"/>
      <c r="AD2260" s="32">
        <v>184</v>
      </c>
      <c r="AE2260" s="27"/>
      <c r="AF2260" s="27"/>
      <c r="AG2260" s="27"/>
      <c r="AH2260" s="27"/>
      <c r="AI2260" s="25">
        <v>1360821</v>
      </c>
      <c r="AJ2260" s="25">
        <v>870925</v>
      </c>
      <c r="AK2260" s="25">
        <v>0</v>
      </c>
      <c r="AL2260" s="25">
        <v>1007400</v>
      </c>
      <c r="AM2260" s="25">
        <v>120000</v>
      </c>
      <c r="AN2260" s="25">
        <v>887400</v>
      </c>
      <c r="AO2260" s="25">
        <v>0</v>
      </c>
      <c r="AP2260" s="25">
        <f>Lookups!$B$56*0</f>
        <v>0</v>
      </c>
      <c r="AQ2260" s="25">
        <f>Lookups!$B$56*1</f>
        <v>89850.625589999996</v>
      </c>
      <c r="AR2260" s="25">
        <f>Lookups!$B$57*Inventory[[#This Row],[LnAcres]]</f>
        <v>5771.3188216135404</v>
      </c>
      <c r="AS2260" s="25">
        <f>VLOOKUP(Inventory[[#This Row],[Qlty]],Lookups!$A$62:$E$75,2,FALSE)</f>
        <v>163885.03753</v>
      </c>
      <c r="AT2260" s="25">
        <f>VLOOKUP(Inventory[[#This Row],[Cnd]],Lookups!$A$76:$E$84,2,FALSE)</f>
        <v>197752.34721000001</v>
      </c>
      <c r="AU2260" s="25">
        <f>Inventory[[#This Row],[EffAge]]*Lookups!$B$85</f>
        <v>-13159.6904295</v>
      </c>
      <c r="AV2260" s="25">
        <f>Inventory[[#This Row],[MainFn]]*Lookups!$B$86</f>
        <v>124015.76139127</v>
      </c>
      <c r="AW2260" s="25">
        <f>Inventory[[#This Row],[UpprFn]]*Lookups!$B$87</f>
        <v>121147.27383900499</v>
      </c>
      <c r="AX2260" s="25">
        <f>Inventory[[#This Row],[AddFn]]*Lookups!$B$88</f>
        <v>0</v>
      </c>
      <c r="AY2260" s="25">
        <f>Inventory[[#This Row],[Bsmt]]*Lookups!$B$89</f>
        <v>64445.479867351998</v>
      </c>
      <c r="AZ2260" s="25">
        <f>Inventory[[#This Row],[Fixtures]]*Lookups!$B$90</f>
        <v>64464.375788400001</v>
      </c>
      <c r="BA2260" s="25">
        <f>Inventory[[#This Row],[WdDeck]]*Lookups!$B$91</f>
        <v>6126.3748107840001</v>
      </c>
      <c r="BB2260" s="25">
        <f>ROUND(Inventory[[#This Row],[25Det]],-2)</f>
        <v>0</v>
      </c>
      <c r="BC2260" s="25">
        <f>ROUND(SUM(Inventory[[#This Row],[Mdl Qlty]:[Mdl WdDeck]])+Inventory[[#This Row],[Mdl Res Intercept]],-2)</f>
        <v>728700</v>
      </c>
      <c r="BD2260" s="25">
        <f>ROUND(Inventory[[#This Row],[Mdl Land Intercept]]+Inventory[[#This Row],[Mdl LnAcres]],-2)</f>
        <v>95600</v>
      </c>
      <c r="BE2260" s="25">
        <f>Inventory[[#This Row],[Unadj Res Value]]+Inventory[[#This Row],[Unadj Det Value]]+Inventory[[#This Row],[Unadj Land Value]]</f>
        <v>824300</v>
      </c>
      <c r="BF2260" s="36">
        <f>(Inventory[[#This Row],[Unadj Total Value]]-Inventory[[#This Row],[24Final]])/Inventory[[#This Row],[24Final]]</f>
        <v>-0.18175501290450666</v>
      </c>
      <c r="BG2260" s="25">
        <f>VLOOKUP(Inventory[[#This Row],[Nbhd]],Lookups!$Q$2:$T$4,4,FALSE)</f>
        <v>0.99970000000000003</v>
      </c>
      <c r="BH2260" s="25">
        <f>VLOOKUP(Inventory[[#This Row],[Qlty]],Lookups!$O$7:$R$21,4,FALSE)</f>
        <v>1</v>
      </c>
      <c r="BI2260" s="25">
        <f>VLOOKUP(Inventory[[#This Row],[Cnd]],Lookups!$T$7:$W$16,4,FALSE)</f>
        <v>0.99650000000000005</v>
      </c>
      <c r="BJ2260" s="25">
        <f>VLOOKUP(Inventory[[#This Row],[LivArea Range]],Lookups!$T$25:$W$37,4,FALSE)</f>
        <v>1.1091</v>
      </c>
      <c r="BK2260" s="25">
        <f>VLOOKUP(Inventory[[#This Row],[Decade]],Lookups!$O$25:$R$42,4,FALSE)</f>
        <v>0.93389999999999995</v>
      </c>
      <c r="BL2260" s="25">
        <f>Inventory[[#This Row],[Nbhd Adj]]*0.95</f>
        <v>0.94971499999999998</v>
      </c>
      <c r="BM2260" s="25">
        <f>Inventory[[#This Row],[Nbhd Adj]]*Inventory[[#This Row],[Quality Adj]]*Inventory[[#This Row],[Condition Adj]]*Inventory[[#This Row],[Living Area Adj]]*Inventory[[#This Row],[Decade Adj]]*0.95</f>
        <v>0.98026090225011864</v>
      </c>
      <c r="BN2260" s="25">
        <f>ROUND(SUM(Inventory[[#This Row],[Mdl Qlty]:[Mdl WdDeck]])+Inventory[[#This Row],[Mdl Res Intercept]]*Inventory[[#This Row],[Res Adj ]],-2)</f>
        <v>728700</v>
      </c>
      <c r="BO2260" s="25">
        <f>ROUND(Inventory[[#This Row],[25Det]]*Inventory[[#This Row],[Det/Nbhd Adj]],-2)</f>
        <v>0</v>
      </c>
      <c r="BP2260" s="25">
        <f>Inventory[[#This Row],[Adjusted Res]]+Inventory[[#This Row],[Adj Det ]]</f>
        <v>728700</v>
      </c>
      <c r="BQ2260" s="25">
        <f>ROUND((Inventory[[#This Row],[Mdl Land Intercept]]+Inventory[[#This Row],[Mdl LnAcres]])*Inventory[[#This Row],[Det/Nbhd Adj]],-2)</f>
        <v>90800</v>
      </c>
      <c r="BR2260" s="25">
        <f>Inventory[[#This Row],[Adjusted Impr Total]]+Inventory[[#This Row],[Adjusted Land Total]]</f>
        <v>819500</v>
      </c>
      <c r="BS2260" s="36">
        <f>IFERROR((Inventory[[#This Row],[Adjusted Impr Total]]-Inventory[[#This Row],[24Bldg]])/Inventory[[#This Row],[24Bldg]],0)</f>
        <v>-0.17883705206220418</v>
      </c>
      <c r="BT2260" s="36">
        <f>(Inventory[[#This Row],[Adjusted Land Total]]-Inventory[[#This Row],[24Lnd]])/Inventory[[#This Row],[24Lnd]]</f>
        <v>-0.24333333333333335</v>
      </c>
      <c r="BU2260" s="36">
        <f>(Inventory[[#This Row],[Adjusted Total]]-Inventory[[#This Row],[24Final]])/Inventory[[#This Row],[24Final]]</f>
        <v>-0.18651975382171929</v>
      </c>
    </row>
    <row r="2261" spans="1:73" x14ac:dyDescent="0.3">
      <c r="A2261" s="25">
        <v>2025</v>
      </c>
      <c r="B2261" s="26" t="s">
        <v>1659</v>
      </c>
      <c r="C2261" s="26">
        <f>LN(Inventory[[#This Row],[Acres]])</f>
        <v>-0.96758402626170559</v>
      </c>
      <c r="D2261" s="25">
        <v>0.38</v>
      </c>
      <c r="E2261" s="25">
        <v>16552</v>
      </c>
      <c r="F2261" s="26" t="s">
        <v>537</v>
      </c>
      <c r="G2261" s="26" t="s">
        <v>126</v>
      </c>
      <c r="H2261" s="26" t="s">
        <v>349</v>
      </c>
      <c r="I2261" s="26" t="s">
        <v>538</v>
      </c>
      <c r="J2261" s="26" t="s">
        <v>539</v>
      </c>
      <c r="K2261" s="26" t="s">
        <v>269</v>
      </c>
      <c r="L2261" s="26" t="s">
        <v>302</v>
      </c>
      <c r="M2261" s="26" t="s">
        <v>303</v>
      </c>
      <c r="N2261" s="26">
        <v>120</v>
      </c>
      <c r="O2261" s="26">
        <f>2024-Inventory[[#This Row],[YrBlt]]</f>
        <v>116</v>
      </c>
      <c r="P2261" s="26">
        <f>2024-Inventory[[#This Row],[EffYr]]</f>
        <v>68</v>
      </c>
      <c r="Q2261" s="25">
        <v>1908</v>
      </c>
      <c r="R2261" s="25">
        <v>1956</v>
      </c>
      <c r="S2261" s="25">
        <v>1902</v>
      </c>
      <c r="T2261" s="27"/>
      <c r="U2261" s="32">
        <v>1360</v>
      </c>
      <c r="V2261" s="32">
        <f>Inventory[[#This Row],[Bsmt]]-Inventory[[#This Row],[FnBsmt]]</f>
        <v>1360</v>
      </c>
      <c r="W2261" s="27"/>
      <c r="X2261" s="27"/>
      <c r="Y2261" s="27">
        <f>Inventory[[#This Row],[MainFn]]+Inventory[[#This Row],[UpprFn]]+Inventory[[#This Row],[FnBsmt]]+Inventory[[#This Row],[AddFn]]</f>
        <v>1902</v>
      </c>
      <c r="Z2261" s="27">
        <v>2000</v>
      </c>
      <c r="AA2261" s="25">
        <v>5</v>
      </c>
      <c r="AB2261" s="31"/>
      <c r="AC2261" s="27"/>
      <c r="AD2261" s="27"/>
      <c r="AE2261" s="27"/>
      <c r="AF2261" s="27"/>
      <c r="AG2261" s="27"/>
      <c r="AH2261" s="27"/>
      <c r="AI2261" s="25">
        <v>404464</v>
      </c>
      <c r="AJ2261" s="25">
        <v>230544</v>
      </c>
      <c r="AK2261" s="25">
        <v>57671</v>
      </c>
      <c r="AL2261" s="25">
        <v>434100</v>
      </c>
      <c r="AM2261" s="25">
        <v>80800</v>
      </c>
      <c r="AN2261" s="25">
        <v>353300</v>
      </c>
      <c r="AO2261" s="25">
        <v>0</v>
      </c>
      <c r="AP2261" s="25">
        <f>Lookups!$B$56*0</f>
        <v>0</v>
      </c>
      <c r="AQ2261" s="25">
        <f>Lookups!$B$56*1</f>
        <v>89850.625589999996</v>
      </c>
      <c r="AR2261" s="25">
        <f>Lookups!$B$57*Inventory[[#This Row],[LnAcres]]</f>
        <v>-30628.500548443946</v>
      </c>
      <c r="AS2261" s="25">
        <f>VLOOKUP(Inventory[[#This Row],[Qlty]],Lookups!$A$62:$E$75,2,FALSE)</f>
        <v>29814.093161000001</v>
      </c>
      <c r="AT2261" s="25">
        <f>VLOOKUP(Inventory[[#This Row],[Cnd]],Lookups!$A$76:$E$84,2,FALSE)</f>
        <v>197752.34721000001</v>
      </c>
      <c r="AU2261" s="25">
        <f>Inventory[[#This Row],[EffAge]]*Lookups!$B$85</f>
        <v>-15167.100834000001</v>
      </c>
      <c r="AV2261" s="25">
        <f>Inventory[[#This Row],[MainFn]]*Lookups!$B$86</f>
        <v>93975.290106054003</v>
      </c>
      <c r="AW2261" s="25">
        <f>Inventory[[#This Row],[UpprFn]]*Lookups!$B$87</f>
        <v>0</v>
      </c>
      <c r="AX2261" s="25">
        <f>Inventory[[#This Row],[AddFn]]*Lookups!$B$88</f>
        <v>0</v>
      </c>
      <c r="AY2261" s="25">
        <f>Inventory[[#This Row],[Bsmt]]*Lookups!$B$89</f>
        <v>39551.377535920001</v>
      </c>
      <c r="AZ2261" s="25">
        <f>Inventory[[#This Row],[Fixtures]]*Lookups!$B$90</f>
        <v>18960.110526</v>
      </c>
      <c r="BA2261" s="25">
        <f>Inventory[[#This Row],[WdDeck]]*Lookups!$B$91</f>
        <v>0</v>
      </c>
      <c r="BB2261" s="25">
        <f>ROUND(Inventory[[#This Row],[25Det]],-2)</f>
        <v>57700</v>
      </c>
      <c r="BC2261" s="25">
        <f>ROUND(SUM(Inventory[[#This Row],[Mdl Qlty]:[Mdl WdDeck]])+Inventory[[#This Row],[Mdl Res Intercept]],-2)</f>
        <v>364900</v>
      </c>
      <c r="BD2261" s="25">
        <f>ROUND(Inventory[[#This Row],[Mdl Land Intercept]]+Inventory[[#This Row],[Mdl LnAcres]],-2)</f>
        <v>59200</v>
      </c>
      <c r="BE2261" s="25">
        <f>Inventory[[#This Row],[Unadj Res Value]]+Inventory[[#This Row],[Unadj Det Value]]+Inventory[[#This Row],[Unadj Land Value]]</f>
        <v>481800</v>
      </c>
      <c r="BF2261" s="36">
        <f>(Inventory[[#This Row],[Unadj Total Value]]-Inventory[[#This Row],[24Final]])/Inventory[[#This Row],[24Final]]</f>
        <v>0.10988251554941257</v>
      </c>
      <c r="BG2261" s="25">
        <f>VLOOKUP(Inventory[[#This Row],[Nbhd]],Lookups!$Q$2:$T$4,4,FALSE)</f>
        <v>0.99970000000000003</v>
      </c>
      <c r="BH2261" s="25">
        <f>VLOOKUP(Inventory[[#This Row],[Qlty]],Lookups!$O$7:$R$21,4,FALSE)</f>
        <v>1.0088999999999999</v>
      </c>
      <c r="BI2261" s="25">
        <f>VLOOKUP(Inventory[[#This Row],[Cnd]],Lookups!$T$7:$W$16,4,FALSE)</f>
        <v>0.99650000000000005</v>
      </c>
      <c r="BJ2261" s="25">
        <f>VLOOKUP(Inventory[[#This Row],[LivArea Range]],Lookups!$T$25:$W$37,4,FALSE)</f>
        <v>1.0093000000000001</v>
      </c>
      <c r="BK2261" s="25">
        <f>VLOOKUP(Inventory[[#This Row],[Decade]],Lookups!$O$25:$R$42,4,FALSE)</f>
        <v>0.93389999999999995</v>
      </c>
      <c r="BL2261" s="25">
        <f>Inventory[[#This Row],[Nbhd Adj]]*0.95</f>
        <v>0.94971499999999998</v>
      </c>
      <c r="BM2261" s="25">
        <f>Inventory[[#This Row],[Nbhd Adj]]*Inventory[[#This Row],[Quality Adj]]*Inventory[[#This Row],[Condition Adj]]*Inventory[[#This Row],[Living Area Adj]]*Inventory[[#This Row],[Decade Adj]]*0.95</f>
        <v>0.89999349640785331</v>
      </c>
      <c r="BN2261" s="25">
        <f>ROUND(SUM(Inventory[[#This Row],[Mdl Qlty]:[Mdl WdDeck]])+Inventory[[#This Row],[Mdl Res Intercept]]*Inventory[[#This Row],[Res Adj ]],-2)</f>
        <v>364900</v>
      </c>
      <c r="BO2261" s="25">
        <f>ROUND(Inventory[[#This Row],[25Det]]*Inventory[[#This Row],[Det/Nbhd Adj]],-2)</f>
        <v>54800</v>
      </c>
      <c r="BP2261" s="25">
        <f>Inventory[[#This Row],[Adjusted Res]]+Inventory[[#This Row],[Adj Det ]]</f>
        <v>419700</v>
      </c>
      <c r="BQ2261" s="25">
        <f>ROUND((Inventory[[#This Row],[Mdl Land Intercept]]+Inventory[[#This Row],[Mdl LnAcres]])*Inventory[[#This Row],[Det/Nbhd Adj]],-2)</f>
        <v>56200</v>
      </c>
      <c r="BR2261" s="25">
        <f>Inventory[[#This Row],[Adjusted Impr Total]]+Inventory[[#This Row],[Adjusted Land Total]]</f>
        <v>475900</v>
      </c>
      <c r="BS2261" s="36">
        <f>IFERROR((Inventory[[#This Row],[Adjusted Impr Total]]-Inventory[[#This Row],[24Bldg]])/Inventory[[#This Row],[24Bldg]],0)</f>
        <v>0.18794225870365128</v>
      </c>
      <c r="BT2261" s="36">
        <f>(Inventory[[#This Row],[Adjusted Land Total]]-Inventory[[#This Row],[24Lnd]])/Inventory[[#This Row],[24Lnd]]</f>
        <v>-0.30445544554455445</v>
      </c>
      <c r="BU2261" s="36">
        <f>(Inventory[[#This Row],[Adjusted Total]]-Inventory[[#This Row],[24Final]])/Inventory[[#This Row],[24Final]]</f>
        <v>9.6291177148122548E-2</v>
      </c>
    </row>
    <row r="2262" spans="1:73" x14ac:dyDescent="0.3">
      <c r="A2262" s="25">
        <v>2025</v>
      </c>
      <c r="B2262" s="26" t="s">
        <v>1801</v>
      </c>
      <c r="C2262" s="26">
        <f>LN(Inventory[[#This Row],[Acres]])</f>
        <v>-0.94160853985844495</v>
      </c>
      <c r="D2262" s="25">
        <v>0.39</v>
      </c>
      <c r="E2262" s="25">
        <v>16813</v>
      </c>
      <c r="F2262" s="26" t="s">
        <v>537</v>
      </c>
      <c r="G2262" s="26" t="s">
        <v>126</v>
      </c>
      <c r="H2262" s="26" t="s">
        <v>349</v>
      </c>
      <c r="I2262" s="26" t="s">
        <v>538</v>
      </c>
      <c r="J2262" s="26" t="s">
        <v>539</v>
      </c>
      <c r="K2262" s="26" t="s">
        <v>416</v>
      </c>
      <c r="L2262" s="26" t="s">
        <v>205</v>
      </c>
      <c r="M2262" s="26" t="s">
        <v>303</v>
      </c>
      <c r="N2262" s="26">
        <v>120</v>
      </c>
      <c r="O2262" s="26">
        <f>2024-Inventory[[#This Row],[YrBlt]]</f>
        <v>116</v>
      </c>
      <c r="P2262" s="26">
        <f>2024-Inventory[[#This Row],[EffYr]]</f>
        <v>68</v>
      </c>
      <c r="Q2262" s="25">
        <v>1908</v>
      </c>
      <c r="R2262" s="25">
        <v>1956</v>
      </c>
      <c r="S2262" s="25">
        <v>1504</v>
      </c>
      <c r="T2262" s="32">
        <v>1504</v>
      </c>
      <c r="U2262" s="32">
        <v>1504</v>
      </c>
      <c r="V2262" s="32">
        <f>Inventory[[#This Row],[Bsmt]]-Inventory[[#This Row],[FnBsmt]]</f>
        <v>1504</v>
      </c>
      <c r="W2262" s="27"/>
      <c r="X2262" s="27"/>
      <c r="Y2262" s="27">
        <f>Inventory[[#This Row],[MainFn]]+Inventory[[#This Row],[UpprFn]]+Inventory[[#This Row],[FnBsmt]]+Inventory[[#This Row],[AddFn]]</f>
        <v>3008</v>
      </c>
      <c r="Z2262" s="27">
        <v>3500</v>
      </c>
      <c r="AA2262" s="25">
        <v>10</v>
      </c>
      <c r="AB2262" s="27"/>
      <c r="AC2262" s="27"/>
      <c r="AD2262" s="27"/>
      <c r="AE2262" s="27"/>
      <c r="AF2262" s="27"/>
      <c r="AG2262" s="27"/>
      <c r="AH2262" s="27"/>
      <c r="AI2262" s="25">
        <v>461994</v>
      </c>
      <c r="AJ2262" s="25">
        <v>263337</v>
      </c>
      <c r="AK2262" s="25">
        <v>43188</v>
      </c>
      <c r="AL2262" s="25">
        <v>477600</v>
      </c>
      <c r="AM2262" s="25">
        <v>81700</v>
      </c>
      <c r="AN2262" s="25">
        <v>395900</v>
      </c>
      <c r="AO2262" s="25">
        <v>0</v>
      </c>
      <c r="AP2262" s="25">
        <f>Lookups!$B$56*0</f>
        <v>0</v>
      </c>
      <c r="AQ2262" s="25">
        <f>Lookups!$B$56*1</f>
        <v>89850.625589999996</v>
      </c>
      <c r="AR2262" s="25">
        <f>Lookups!$B$57*Inventory[[#This Row],[LnAcres]]</f>
        <v>-29806.256507663158</v>
      </c>
      <c r="AS2262" s="25">
        <f>VLOOKUP(Inventory[[#This Row],[Qlty]],Lookups!$A$62:$E$75,2,FALSE)</f>
        <v>0</v>
      </c>
      <c r="AT2262" s="25">
        <f>VLOOKUP(Inventory[[#This Row],[Cnd]],Lookups!$A$76:$E$84,2,FALSE)</f>
        <v>197752.34721000001</v>
      </c>
      <c r="AU2262" s="25">
        <f>Inventory[[#This Row],[EffAge]]*Lookups!$B$85</f>
        <v>-15167.100834000001</v>
      </c>
      <c r="AV2262" s="25">
        <f>Inventory[[#This Row],[MainFn]]*Lookups!$B$86</f>
        <v>74310.639495007999</v>
      </c>
      <c r="AW2262" s="25">
        <f>Inventory[[#This Row],[UpprFn]]*Lookups!$B$87</f>
        <v>67358.779982944005</v>
      </c>
      <c r="AX2262" s="25">
        <f>Inventory[[#This Row],[AddFn]]*Lookups!$B$88</f>
        <v>0</v>
      </c>
      <c r="AY2262" s="25">
        <f>Inventory[[#This Row],[Bsmt]]*Lookups!$B$89</f>
        <v>43739.170451487997</v>
      </c>
      <c r="AZ2262" s="25">
        <f>Inventory[[#This Row],[Fixtures]]*Lookups!$B$90</f>
        <v>37920.221052000001</v>
      </c>
      <c r="BA2262" s="25">
        <f>Inventory[[#This Row],[WdDeck]]*Lookups!$B$91</f>
        <v>0</v>
      </c>
      <c r="BB2262" s="25">
        <f>ROUND(Inventory[[#This Row],[25Det]],-2)</f>
        <v>43200</v>
      </c>
      <c r="BC2262" s="25">
        <f>ROUND(SUM(Inventory[[#This Row],[Mdl Qlty]:[Mdl WdDeck]])+Inventory[[#This Row],[Mdl Res Intercept]],-2)</f>
        <v>405900</v>
      </c>
      <c r="BD2262" s="25">
        <f>ROUND(Inventory[[#This Row],[Mdl Land Intercept]]+Inventory[[#This Row],[Mdl LnAcres]],-2)</f>
        <v>60000</v>
      </c>
      <c r="BE2262" s="25">
        <f>Inventory[[#This Row],[Unadj Res Value]]+Inventory[[#This Row],[Unadj Det Value]]+Inventory[[#This Row],[Unadj Land Value]]</f>
        <v>509100</v>
      </c>
      <c r="BF2262" s="36">
        <f>(Inventory[[#This Row],[Unadj Total Value]]-Inventory[[#This Row],[24Final]])/Inventory[[#This Row],[24Final]]</f>
        <v>6.5954773869346728E-2</v>
      </c>
      <c r="BG2262" s="25">
        <f>VLOOKUP(Inventory[[#This Row],[Nbhd]],Lookups!$Q$2:$T$4,4,FALSE)</f>
        <v>0.99970000000000003</v>
      </c>
      <c r="BH2262" s="25">
        <f>VLOOKUP(Inventory[[#This Row],[Qlty]],Lookups!$O$7:$R$21,4,FALSE)</f>
        <v>0.99180000000000001</v>
      </c>
      <c r="BI2262" s="25">
        <f>VLOOKUP(Inventory[[#This Row],[Cnd]],Lookups!$T$7:$W$16,4,FALSE)</f>
        <v>0.99650000000000005</v>
      </c>
      <c r="BJ2262" s="25">
        <f>VLOOKUP(Inventory[[#This Row],[LivArea Range]],Lookups!$T$25:$W$37,4,FALSE)</f>
        <v>1.0126999999999999</v>
      </c>
      <c r="BK2262" s="25">
        <f>VLOOKUP(Inventory[[#This Row],[Decade]],Lookups!$O$25:$R$42,4,FALSE)</f>
        <v>0.93389999999999995</v>
      </c>
      <c r="BL2262" s="25">
        <f>Inventory[[#This Row],[Nbhd Adj]]*0.95</f>
        <v>0.94971499999999998</v>
      </c>
      <c r="BM2262" s="25">
        <f>Inventory[[#This Row],[Nbhd Adj]]*Inventory[[#This Row],[Quality Adj]]*Inventory[[#This Row],[Condition Adj]]*Inventory[[#This Row],[Living Area Adj]]*Inventory[[#This Row],[Decade Adj]]*0.95</f>
        <v>0.88771976552148957</v>
      </c>
      <c r="BN2262" s="25">
        <f>ROUND(SUM(Inventory[[#This Row],[Mdl Qlty]:[Mdl WdDeck]])+Inventory[[#This Row],[Mdl Res Intercept]]*Inventory[[#This Row],[Res Adj ]],-2)</f>
        <v>405900</v>
      </c>
      <c r="BO2262" s="25">
        <f>ROUND(Inventory[[#This Row],[25Det]]*Inventory[[#This Row],[Det/Nbhd Adj]],-2)</f>
        <v>41000</v>
      </c>
      <c r="BP2262" s="25">
        <f>Inventory[[#This Row],[Adjusted Res]]+Inventory[[#This Row],[Adj Det ]]</f>
        <v>446900</v>
      </c>
      <c r="BQ2262" s="25">
        <f>ROUND((Inventory[[#This Row],[Mdl Land Intercept]]+Inventory[[#This Row],[Mdl LnAcres]])*Inventory[[#This Row],[Det/Nbhd Adj]],-2)</f>
        <v>57000</v>
      </c>
      <c r="BR2262" s="25">
        <f>Inventory[[#This Row],[Adjusted Impr Total]]+Inventory[[#This Row],[Adjusted Land Total]]</f>
        <v>503900</v>
      </c>
      <c r="BS2262" s="36">
        <f>IFERROR((Inventory[[#This Row],[Adjusted Impr Total]]-Inventory[[#This Row],[24Bldg]])/Inventory[[#This Row],[24Bldg]],0)</f>
        <v>0.12882040919424098</v>
      </c>
      <c r="BT2262" s="36">
        <f>(Inventory[[#This Row],[Adjusted Land Total]]-Inventory[[#This Row],[24Lnd]])/Inventory[[#This Row],[24Lnd]]</f>
        <v>-0.30232558139534882</v>
      </c>
      <c r="BU2262" s="36">
        <f>(Inventory[[#This Row],[Adjusted Total]]-Inventory[[#This Row],[24Final]])/Inventory[[#This Row],[24Final]]</f>
        <v>5.5067001675041874E-2</v>
      </c>
    </row>
    <row r="2263" spans="1:73" x14ac:dyDescent="0.3">
      <c r="A2263" s="25">
        <v>2025</v>
      </c>
      <c r="B2263" s="26" t="s">
        <v>1907</v>
      </c>
      <c r="C2263" s="26">
        <f>LN(Inventory[[#This Row],[Acres]])</f>
        <v>-1.6607312068216509</v>
      </c>
      <c r="D2263" s="25">
        <v>0.19</v>
      </c>
      <c r="E2263" s="25">
        <v>8416</v>
      </c>
      <c r="F2263" s="26" t="s">
        <v>537</v>
      </c>
      <c r="G2263" s="26" t="s">
        <v>126</v>
      </c>
      <c r="H2263" s="26" t="s">
        <v>349</v>
      </c>
      <c r="I2263" s="26" t="s">
        <v>538</v>
      </c>
      <c r="J2263" s="26" t="s">
        <v>539</v>
      </c>
      <c r="K2263" s="26" t="s">
        <v>147</v>
      </c>
      <c r="L2263" s="26" t="s">
        <v>302</v>
      </c>
      <c r="M2263" s="26" t="s">
        <v>323</v>
      </c>
      <c r="N2263" s="26">
        <v>120</v>
      </c>
      <c r="O2263" s="26">
        <f>2024-Inventory[[#This Row],[YrBlt]]</f>
        <v>117</v>
      </c>
      <c r="P2263" s="26">
        <f>2024-Inventory[[#This Row],[EffYr]]</f>
        <v>69</v>
      </c>
      <c r="Q2263" s="25">
        <v>1907</v>
      </c>
      <c r="R2263" s="25">
        <v>1955</v>
      </c>
      <c r="S2263" s="25">
        <v>1388</v>
      </c>
      <c r="T2263" s="32">
        <v>416</v>
      </c>
      <c r="U2263" s="32">
        <v>1008</v>
      </c>
      <c r="V2263" s="32">
        <f>Inventory[[#This Row],[Bsmt]]-Inventory[[#This Row],[FnBsmt]]</f>
        <v>1008</v>
      </c>
      <c r="W2263" s="27"/>
      <c r="X2263" s="27"/>
      <c r="Y2263" s="27">
        <f>Inventory[[#This Row],[MainFn]]+Inventory[[#This Row],[UpprFn]]+Inventory[[#This Row],[FnBsmt]]+Inventory[[#This Row],[AddFn]]</f>
        <v>1804</v>
      </c>
      <c r="Z2263" s="27">
        <v>2000</v>
      </c>
      <c r="AA2263" s="25">
        <v>11</v>
      </c>
      <c r="AB2263" s="31"/>
      <c r="AC2263" s="27"/>
      <c r="AD2263" s="32">
        <v>496</v>
      </c>
      <c r="AE2263" s="27"/>
      <c r="AF2263" s="27"/>
      <c r="AG2263" s="27"/>
      <c r="AH2263" s="27"/>
      <c r="AI2263" s="25">
        <v>362508</v>
      </c>
      <c r="AJ2263" s="25">
        <v>199379</v>
      </c>
      <c r="AK2263" s="25">
        <v>21922</v>
      </c>
      <c r="AL2263" s="25">
        <v>359600</v>
      </c>
      <c r="AM2263" s="25">
        <v>56600</v>
      </c>
      <c r="AN2263" s="25">
        <v>303000</v>
      </c>
      <c r="AO2263" s="25">
        <v>0</v>
      </c>
      <c r="AP2263" s="25">
        <f>Lookups!$B$56*0</f>
        <v>0</v>
      </c>
      <c r="AQ2263" s="25">
        <f>Lookups!$B$56*1</f>
        <v>89850.625589999996</v>
      </c>
      <c r="AR2263" s="25">
        <f>Lookups!$B$57*Inventory[[#This Row],[LnAcres]]</f>
        <v>-52569.808201026557</v>
      </c>
      <c r="AS2263" s="25">
        <f>VLOOKUP(Inventory[[#This Row],[Qlty]],Lookups!$A$62:$E$75,2,FALSE)</f>
        <v>29814.093161000001</v>
      </c>
      <c r="AT2263" s="25">
        <f>VLOOKUP(Inventory[[#This Row],[Cnd]],Lookups!$A$76:$E$84,2,FALSE)</f>
        <v>160472.20319</v>
      </c>
      <c r="AU2263" s="25">
        <f>Inventory[[#This Row],[EffAge]]*Lookups!$B$85</f>
        <v>-15390.1464345</v>
      </c>
      <c r="AV2263" s="25">
        <f>Inventory[[#This Row],[MainFn]]*Lookups!$B$86</f>
        <v>68579.233789275997</v>
      </c>
      <c r="AW2263" s="25">
        <f>Inventory[[#This Row],[UpprFn]]*Lookups!$B$87</f>
        <v>18631.151910175999</v>
      </c>
      <c r="AX2263" s="25">
        <f>Inventory[[#This Row],[AddFn]]*Lookups!$B$88</f>
        <v>0</v>
      </c>
      <c r="AY2263" s="25">
        <f>Inventory[[#This Row],[Bsmt]]*Lookups!$B$89</f>
        <v>29314.550408976</v>
      </c>
      <c r="AZ2263" s="25">
        <f>Inventory[[#This Row],[Fixtures]]*Lookups!$B$90</f>
        <v>41712.243157199999</v>
      </c>
      <c r="BA2263" s="25">
        <f>Inventory[[#This Row],[WdDeck]]*Lookups!$B$91</f>
        <v>16514.575576896001</v>
      </c>
      <c r="BB2263" s="25">
        <f>ROUND(Inventory[[#This Row],[25Det]],-2)</f>
        <v>21900</v>
      </c>
      <c r="BC2263" s="25">
        <f>ROUND(SUM(Inventory[[#This Row],[Mdl Qlty]:[Mdl WdDeck]])+Inventory[[#This Row],[Mdl Res Intercept]],-2)</f>
        <v>349600</v>
      </c>
      <c r="BD2263" s="25">
        <f>ROUND(Inventory[[#This Row],[Mdl Land Intercept]]+Inventory[[#This Row],[Mdl LnAcres]],-2)</f>
        <v>37300</v>
      </c>
      <c r="BE2263" s="25">
        <f>Inventory[[#This Row],[Unadj Res Value]]+Inventory[[#This Row],[Unadj Det Value]]+Inventory[[#This Row],[Unadj Land Value]]</f>
        <v>408800</v>
      </c>
      <c r="BF2263" s="36">
        <f>(Inventory[[#This Row],[Unadj Total Value]]-Inventory[[#This Row],[24Final]])/Inventory[[#This Row],[24Final]]</f>
        <v>0.13681868743047831</v>
      </c>
      <c r="BG2263" s="25">
        <f>VLOOKUP(Inventory[[#This Row],[Nbhd]],Lookups!$Q$2:$T$4,4,FALSE)</f>
        <v>0.99970000000000003</v>
      </c>
      <c r="BH2263" s="25">
        <f>VLOOKUP(Inventory[[#This Row],[Qlty]],Lookups!$O$7:$R$21,4,FALSE)</f>
        <v>1.0088999999999999</v>
      </c>
      <c r="BI2263" s="25">
        <f>VLOOKUP(Inventory[[#This Row],[Cnd]],Lookups!$T$7:$W$16,4,FALSE)</f>
        <v>0.99729999999999996</v>
      </c>
      <c r="BJ2263" s="25">
        <f>VLOOKUP(Inventory[[#This Row],[LivArea Range]],Lookups!$T$25:$W$37,4,FALSE)</f>
        <v>1.0093000000000001</v>
      </c>
      <c r="BK2263" s="25">
        <f>VLOOKUP(Inventory[[#This Row],[Decade]],Lookups!$O$25:$R$42,4,FALSE)</f>
        <v>0.93389999999999995</v>
      </c>
      <c r="BL2263" s="25">
        <f>Inventory[[#This Row],[Nbhd Adj]]*0.95</f>
        <v>0.94971499999999998</v>
      </c>
      <c r="BM2263" s="25">
        <f>Inventory[[#This Row],[Nbhd Adj]]*Inventory[[#This Row],[Quality Adj]]*Inventory[[#This Row],[Condition Adj]]*Inventory[[#This Row],[Living Area Adj]]*Inventory[[#This Row],[Decade Adj]]*0.95</f>
        <v>0.90071602003768403</v>
      </c>
      <c r="BN2263" s="25">
        <f>ROUND(SUM(Inventory[[#This Row],[Mdl Qlty]:[Mdl WdDeck]])+Inventory[[#This Row],[Mdl Res Intercept]]*Inventory[[#This Row],[Res Adj ]],-2)</f>
        <v>349600</v>
      </c>
      <c r="BO2263" s="25">
        <f>ROUND(Inventory[[#This Row],[25Det]]*Inventory[[#This Row],[Det/Nbhd Adj]],-2)</f>
        <v>20800</v>
      </c>
      <c r="BP2263" s="25">
        <f>Inventory[[#This Row],[Adjusted Res]]+Inventory[[#This Row],[Adj Det ]]</f>
        <v>370400</v>
      </c>
      <c r="BQ2263" s="25">
        <f>ROUND((Inventory[[#This Row],[Mdl Land Intercept]]+Inventory[[#This Row],[Mdl LnAcres]])*Inventory[[#This Row],[Det/Nbhd Adj]],-2)</f>
        <v>35400</v>
      </c>
      <c r="BR2263" s="25">
        <f>Inventory[[#This Row],[Adjusted Impr Total]]+Inventory[[#This Row],[Adjusted Land Total]]</f>
        <v>405800</v>
      </c>
      <c r="BS2263" s="36">
        <f>IFERROR((Inventory[[#This Row],[Adjusted Impr Total]]-Inventory[[#This Row],[24Bldg]])/Inventory[[#This Row],[24Bldg]],0)</f>
        <v>0.22244224422442244</v>
      </c>
      <c r="BT2263" s="36">
        <f>(Inventory[[#This Row],[Adjusted Land Total]]-Inventory[[#This Row],[24Lnd]])/Inventory[[#This Row],[24Lnd]]</f>
        <v>-0.37455830388692579</v>
      </c>
      <c r="BU2263" s="36">
        <f>(Inventory[[#This Row],[Adjusted Total]]-Inventory[[#This Row],[24Final]])/Inventory[[#This Row],[24Final]]</f>
        <v>0.12847608453837597</v>
      </c>
    </row>
    <row r="2264" spans="1:73" x14ac:dyDescent="0.3">
      <c r="A2264" s="25">
        <v>2025</v>
      </c>
      <c r="B2264" s="26" t="s">
        <v>1567</v>
      </c>
      <c r="C2264" s="26">
        <f>LN(Inventory[[#This Row],[Acres]])</f>
        <v>-0.86750056770472306</v>
      </c>
      <c r="D2264" s="25">
        <v>0.42</v>
      </c>
      <c r="E2264" s="25">
        <v>18210</v>
      </c>
      <c r="F2264" s="26" t="s">
        <v>537</v>
      </c>
      <c r="G2264" s="26" t="s">
        <v>126</v>
      </c>
      <c r="H2264" s="26" t="s">
        <v>349</v>
      </c>
      <c r="I2264" s="26" t="s">
        <v>538</v>
      </c>
      <c r="J2264" s="26" t="s">
        <v>539</v>
      </c>
      <c r="K2264" s="26" t="s">
        <v>63</v>
      </c>
      <c r="L2264" s="26" t="s">
        <v>302</v>
      </c>
      <c r="M2264" s="26" t="s">
        <v>303</v>
      </c>
      <c r="N2264" s="26">
        <v>120</v>
      </c>
      <c r="O2264" s="26">
        <f>2024-Inventory[[#This Row],[YrBlt]]</f>
        <v>118</v>
      </c>
      <c r="P2264" s="26">
        <f>2024-Inventory[[#This Row],[EffYr]]</f>
        <v>71</v>
      </c>
      <c r="Q2264" s="25">
        <v>1906</v>
      </c>
      <c r="R2264" s="25">
        <v>1953</v>
      </c>
      <c r="S2264" s="25">
        <v>851</v>
      </c>
      <c r="T2264" s="32">
        <v>1388</v>
      </c>
      <c r="U2264" s="27"/>
      <c r="V2264" s="27">
        <f>Inventory[[#This Row],[Bsmt]]-Inventory[[#This Row],[FnBsmt]]</f>
        <v>0</v>
      </c>
      <c r="W2264" s="27"/>
      <c r="X2264" s="27"/>
      <c r="Y2264" s="27">
        <f>Inventory[[#This Row],[MainFn]]+Inventory[[#This Row],[UpprFn]]+Inventory[[#This Row],[FnBsmt]]+Inventory[[#This Row],[AddFn]]</f>
        <v>2239</v>
      </c>
      <c r="Z2264" s="27">
        <v>2500</v>
      </c>
      <c r="AA2264" s="25">
        <v>8</v>
      </c>
      <c r="AB2264" s="27"/>
      <c r="AC2264" s="27"/>
      <c r="AD2264" s="27"/>
      <c r="AE2264" s="27"/>
      <c r="AF2264" s="27"/>
      <c r="AG2264" s="27"/>
      <c r="AH2264" s="27"/>
      <c r="AI2264" s="25">
        <v>356090</v>
      </c>
      <c r="AJ2264" s="25">
        <v>202971</v>
      </c>
      <c r="AK2264" s="25">
        <v>50069</v>
      </c>
      <c r="AL2264" s="25">
        <v>424800</v>
      </c>
      <c r="AM2264" s="25">
        <v>84300</v>
      </c>
      <c r="AN2264" s="25">
        <v>340500</v>
      </c>
      <c r="AO2264" s="25">
        <v>0</v>
      </c>
      <c r="AP2264" s="25">
        <f>Lookups!$B$56*0</f>
        <v>0</v>
      </c>
      <c r="AQ2264" s="25">
        <f>Lookups!$B$56*1</f>
        <v>89850.625589999996</v>
      </c>
      <c r="AR2264" s="25">
        <f>Lookups!$B$57*Inventory[[#This Row],[LnAcres]]</f>
        <v>-27460.397125792362</v>
      </c>
      <c r="AS2264" s="25">
        <f>VLOOKUP(Inventory[[#This Row],[Qlty]],Lookups!$A$62:$E$75,2,FALSE)</f>
        <v>29814.093161000001</v>
      </c>
      <c r="AT2264" s="25">
        <f>VLOOKUP(Inventory[[#This Row],[Cnd]],Lookups!$A$76:$E$84,2,FALSE)</f>
        <v>197752.34721000001</v>
      </c>
      <c r="AU2264" s="25">
        <f>Inventory[[#This Row],[EffAge]]*Lookups!$B$85</f>
        <v>-15836.2376355</v>
      </c>
      <c r="AV2264" s="25">
        <f>Inventory[[#This Row],[MainFn]]*Lookups!$B$86</f>
        <v>42046.778065327002</v>
      </c>
      <c r="AW2264" s="25">
        <f>Inventory[[#This Row],[UpprFn]]*Lookups!$B$87</f>
        <v>62163.554931068</v>
      </c>
      <c r="AX2264" s="25">
        <f>Inventory[[#This Row],[AddFn]]*Lookups!$B$88</f>
        <v>0</v>
      </c>
      <c r="AY2264" s="25">
        <f>Inventory[[#This Row],[Bsmt]]*Lookups!$B$89</f>
        <v>0</v>
      </c>
      <c r="AZ2264" s="25">
        <f>Inventory[[#This Row],[Fixtures]]*Lookups!$B$90</f>
        <v>30336.176841600001</v>
      </c>
      <c r="BA2264" s="25">
        <f>Inventory[[#This Row],[WdDeck]]*Lookups!$B$91</f>
        <v>0</v>
      </c>
      <c r="BB2264" s="25">
        <f>ROUND(Inventory[[#This Row],[25Det]],-2)</f>
        <v>50100</v>
      </c>
      <c r="BC2264" s="25">
        <f>ROUND(SUM(Inventory[[#This Row],[Mdl Qlty]:[Mdl WdDeck]])+Inventory[[#This Row],[Mdl Res Intercept]],-2)</f>
        <v>346300</v>
      </c>
      <c r="BD2264" s="25">
        <f>ROUND(Inventory[[#This Row],[Mdl Land Intercept]]+Inventory[[#This Row],[Mdl LnAcres]],-2)</f>
        <v>62400</v>
      </c>
      <c r="BE2264" s="25">
        <f>Inventory[[#This Row],[Unadj Res Value]]+Inventory[[#This Row],[Unadj Det Value]]+Inventory[[#This Row],[Unadj Land Value]]</f>
        <v>458800</v>
      </c>
      <c r="BF2264" s="36">
        <f>(Inventory[[#This Row],[Unadj Total Value]]-Inventory[[#This Row],[24Final]])/Inventory[[#This Row],[24Final]]</f>
        <v>8.0037664783427498E-2</v>
      </c>
      <c r="BG2264" s="25">
        <f>VLOOKUP(Inventory[[#This Row],[Nbhd]],Lookups!$Q$2:$T$4,4,FALSE)</f>
        <v>0.99970000000000003</v>
      </c>
      <c r="BH2264" s="25">
        <f>VLOOKUP(Inventory[[#This Row],[Qlty]],Lookups!$O$7:$R$21,4,FALSE)</f>
        <v>1.0088999999999999</v>
      </c>
      <c r="BI2264" s="25">
        <f>VLOOKUP(Inventory[[#This Row],[Cnd]],Lookups!$T$7:$W$16,4,FALSE)</f>
        <v>0.99650000000000005</v>
      </c>
      <c r="BJ2264" s="25">
        <f>VLOOKUP(Inventory[[#This Row],[LivArea Range]],Lookups!$T$25:$W$37,4,FALSE)</f>
        <v>0.98919999999999997</v>
      </c>
      <c r="BK2264" s="25">
        <f>VLOOKUP(Inventory[[#This Row],[Decade]],Lookups!$O$25:$R$42,4,FALSE)</f>
        <v>0.93389999999999995</v>
      </c>
      <c r="BL2264" s="25">
        <f>Inventory[[#This Row],[Nbhd Adj]]*0.95</f>
        <v>0.94971499999999998</v>
      </c>
      <c r="BM2264" s="25">
        <f>Inventory[[#This Row],[Nbhd Adj]]*Inventory[[#This Row],[Quality Adj]]*Inventory[[#This Row],[Condition Adj]]*Inventory[[#This Row],[Living Area Adj]]*Inventory[[#This Row],[Decade Adj]]*0.95</f>
        <v>0.88207031273818337</v>
      </c>
      <c r="BN2264" s="25">
        <f>ROUND(SUM(Inventory[[#This Row],[Mdl Qlty]:[Mdl WdDeck]])+Inventory[[#This Row],[Mdl Res Intercept]]*Inventory[[#This Row],[Res Adj ]],-2)</f>
        <v>346300</v>
      </c>
      <c r="BO2264" s="25">
        <f>ROUND(Inventory[[#This Row],[25Det]]*Inventory[[#This Row],[Det/Nbhd Adj]],-2)</f>
        <v>47600</v>
      </c>
      <c r="BP2264" s="25">
        <f>Inventory[[#This Row],[Adjusted Res]]+Inventory[[#This Row],[Adj Det ]]</f>
        <v>393900</v>
      </c>
      <c r="BQ2264" s="25">
        <f>ROUND((Inventory[[#This Row],[Mdl Land Intercept]]+Inventory[[#This Row],[Mdl LnAcres]])*Inventory[[#This Row],[Det/Nbhd Adj]],-2)</f>
        <v>59300</v>
      </c>
      <c r="BR2264" s="25">
        <f>Inventory[[#This Row],[Adjusted Impr Total]]+Inventory[[#This Row],[Adjusted Land Total]]</f>
        <v>453200</v>
      </c>
      <c r="BS2264" s="36">
        <f>IFERROR((Inventory[[#This Row],[Adjusted Impr Total]]-Inventory[[#This Row],[24Bldg]])/Inventory[[#This Row],[24Bldg]],0)</f>
        <v>0.15682819383259911</v>
      </c>
      <c r="BT2264" s="36">
        <f>(Inventory[[#This Row],[Adjusted Land Total]]-Inventory[[#This Row],[24Lnd]])/Inventory[[#This Row],[24Lnd]]</f>
        <v>-0.29655990510083036</v>
      </c>
      <c r="BU2264" s="36">
        <f>(Inventory[[#This Row],[Adjusted Total]]-Inventory[[#This Row],[24Final]])/Inventory[[#This Row],[24Final]]</f>
        <v>6.6854990583804147E-2</v>
      </c>
    </row>
    <row r="2265" spans="1:73" x14ac:dyDescent="0.3">
      <c r="A2265" s="25">
        <v>2025</v>
      </c>
      <c r="B2265" s="26" t="s">
        <v>1940</v>
      </c>
      <c r="C2265" s="26">
        <f>LN(Inventory[[#This Row],[Acres]])</f>
        <v>-1.0788096613719298</v>
      </c>
      <c r="D2265" s="25">
        <v>0.34</v>
      </c>
      <c r="E2265" s="25">
        <v>14696</v>
      </c>
      <c r="F2265" s="26" t="s">
        <v>537</v>
      </c>
      <c r="G2265" s="26" t="s">
        <v>126</v>
      </c>
      <c r="H2265" s="26" t="s">
        <v>349</v>
      </c>
      <c r="I2265" s="26" t="s">
        <v>538</v>
      </c>
      <c r="J2265" s="26" t="s">
        <v>539</v>
      </c>
      <c r="K2265" s="26" t="s">
        <v>63</v>
      </c>
      <c r="L2265" s="26" t="s">
        <v>148</v>
      </c>
      <c r="M2265" s="26" t="s">
        <v>303</v>
      </c>
      <c r="N2265" s="26">
        <v>120</v>
      </c>
      <c r="O2265" s="26">
        <f>2024-Inventory[[#This Row],[YrBlt]]</f>
        <v>118</v>
      </c>
      <c r="P2265" s="26">
        <f>2024-Inventory[[#This Row],[EffYr]]</f>
        <v>70</v>
      </c>
      <c r="Q2265" s="25">
        <v>1906</v>
      </c>
      <c r="R2265" s="25">
        <v>1954</v>
      </c>
      <c r="S2265" s="25">
        <v>1887</v>
      </c>
      <c r="T2265" s="32">
        <v>1068</v>
      </c>
      <c r="U2265" s="31"/>
      <c r="V2265" s="27">
        <f>Inventory[[#This Row],[Bsmt]]-Inventory[[#This Row],[FnBsmt]]</f>
        <v>0</v>
      </c>
      <c r="W2265" s="27"/>
      <c r="X2265" s="27"/>
      <c r="Y2265" s="27">
        <f>Inventory[[#This Row],[MainFn]]+Inventory[[#This Row],[UpprFn]]+Inventory[[#This Row],[FnBsmt]]+Inventory[[#This Row],[AddFn]]</f>
        <v>2955</v>
      </c>
      <c r="Z2265" s="27">
        <v>3000</v>
      </c>
      <c r="AA2265" s="25">
        <v>8</v>
      </c>
      <c r="AB2265" s="27"/>
      <c r="AC2265" s="31"/>
      <c r="AD2265" s="31"/>
      <c r="AE2265" s="27"/>
      <c r="AF2265" s="27"/>
      <c r="AG2265" s="27"/>
      <c r="AH2265" s="27"/>
      <c r="AI2265" s="25">
        <v>544523</v>
      </c>
      <c r="AJ2265" s="25">
        <v>310378</v>
      </c>
      <c r="AK2265" s="25">
        <v>28306</v>
      </c>
      <c r="AL2265" s="25">
        <v>453300</v>
      </c>
      <c r="AM2265" s="25">
        <v>76900</v>
      </c>
      <c r="AN2265" s="25">
        <v>376400</v>
      </c>
      <c r="AO2265" s="25">
        <v>0</v>
      </c>
      <c r="AP2265" s="25">
        <f>Lookups!$B$56*0</f>
        <v>0</v>
      </c>
      <c r="AQ2265" s="25">
        <f>Lookups!$B$56*1</f>
        <v>89850.625589999996</v>
      </c>
      <c r="AR2265" s="25">
        <f>Lookups!$B$57*Inventory[[#This Row],[LnAcres]]</f>
        <v>-34149.305288406773</v>
      </c>
      <c r="AS2265" s="25">
        <f>VLOOKUP(Inventory[[#This Row],[Qlty]],Lookups!$A$62:$E$75,2,FALSE)</f>
        <v>44121.038090000002</v>
      </c>
      <c r="AT2265" s="25">
        <f>VLOOKUP(Inventory[[#This Row],[Cnd]],Lookups!$A$76:$E$84,2,FALSE)</f>
        <v>197752.34721000001</v>
      </c>
      <c r="AU2265" s="25">
        <f>Inventory[[#This Row],[EffAge]]*Lookups!$B$85</f>
        <v>-15613.192035</v>
      </c>
      <c r="AV2265" s="25">
        <f>Inventory[[#This Row],[MainFn]]*Lookups!$B$86</f>
        <v>93234.160057899004</v>
      </c>
      <c r="AW2265" s="25">
        <f>Inventory[[#This Row],[UpprFn]]*Lookups!$B$87</f>
        <v>47831.899615547998</v>
      </c>
      <c r="AX2265" s="25">
        <f>Inventory[[#This Row],[AddFn]]*Lookups!$B$88</f>
        <v>0</v>
      </c>
      <c r="AY2265" s="25">
        <f>Inventory[[#This Row],[Bsmt]]*Lookups!$B$89</f>
        <v>0</v>
      </c>
      <c r="AZ2265" s="25">
        <f>Inventory[[#This Row],[Fixtures]]*Lookups!$B$90</f>
        <v>30336.176841600001</v>
      </c>
      <c r="BA2265" s="25">
        <f>Inventory[[#This Row],[WdDeck]]*Lookups!$B$91</f>
        <v>0</v>
      </c>
      <c r="BB2265" s="25">
        <f>ROUND(Inventory[[#This Row],[25Det]],-2)</f>
        <v>28300</v>
      </c>
      <c r="BC2265" s="25">
        <f>ROUND(SUM(Inventory[[#This Row],[Mdl Qlty]:[Mdl WdDeck]])+Inventory[[#This Row],[Mdl Res Intercept]],-2)</f>
        <v>397700</v>
      </c>
      <c r="BD2265" s="25">
        <f>ROUND(Inventory[[#This Row],[Mdl Land Intercept]]+Inventory[[#This Row],[Mdl LnAcres]],-2)</f>
        <v>55700</v>
      </c>
      <c r="BE2265" s="25">
        <f>Inventory[[#This Row],[Unadj Res Value]]+Inventory[[#This Row],[Unadj Det Value]]+Inventory[[#This Row],[Unadj Land Value]]</f>
        <v>481700</v>
      </c>
      <c r="BF2265" s="36">
        <f>(Inventory[[#This Row],[Unadj Total Value]]-Inventory[[#This Row],[24Final]])/Inventory[[#This Row],[24Final]]</f>
        <v>6.265166556364439E-2</v>
      </c>
      <c r="BG2265" s="25">
        <f>VLOOKUP(Inventory[[#This Row],[Nbhd]],Lookups!$Q$2:$T$4,4,FALSE)</f>
        <v>0.99970000000000003</v>
      </c>
      <c r="BH2265" s="25">
        <f>VLOOKUP(Inventory[[#This Row],[Qlty]],Lookups!$O$7:$R$21,4,FALSE)</f>
        <v>0.98050000000000004</v>
      </c>
      <c r="BI2265" s="25">
        <f>VLOOKUP(Inventory[[#This Row],[Cnd]],Lookups!$T$7:$W$16,4,FALSE)</f>
        <v>0.99650000000000005</v>
      </c>
      <c r="BJ2265" s="25">
        <f>VLOOKUP(Inventory[[#This Row],[LivArea Range]],Lookups!$T$25:$W$37,4,FALSE)</f>
        <v>0.96179999999999999</v>
      </c>
      <c r="BK2265" s="25">
        <f>VLOOKUP(Inventory[[#This Row],[Decade]],Lookups!$O$25:$R$42,4,FALSE)</f>
        <v>0.93389999999999995</v>
      </c>
      <c r="BL2265" s="25">
        <f>Inventory[[#This Row],[Nbhd Adj]]*0.95</f>
        <v>0.94971499999999998</v>
      </c>
      <c r="BM2265" s="25">
        <f>Inventory[[#This Row],[Nbhd Adj]]*Inventory[[#This Row],[Quality Adj]]*Inventory[[#This Row],[Condition Adj]]*Inventory[[#This Row],[Living Area Adj]]*Inventory[[#This Row],[Decade Adj]]*0.95</f>
        <v>0.83349566724044089</v>
      </c>
      <c r="BN2265" s="25">
        <f>ROUND(SUM(Inventory[[#This Row],[Mdl Qlty]:[Mdl WdDeck]])+Inventory[[#This Row],[Mdl Res Intercept]]*Inventory[[#This Row],[Res Adj ]],-2)</f>
        <v>397700</v>
      </c>
      <c r="BO2265" s="25">
        <f>ROUND(Inventory[[#This Row],[25Det]]*Inventory[[#This Row],[Det/Nbhd Adj]],-2)</f>
        <v>26900</v>
      </c>
      <c r="BP2265" s="25">
        <f>Inventory[[#This Row],[Adjusted Res]]+Inventory[[#This Row],[Adj Det ]]</f>
        <v>424600</v>
      </c>
      <c r="BQ2265" s="25">
        <f>ROUND((Inventory[[#This Row],[Mdl Land Intercept]]+Inventory[[#This Row],[Mdl LnAcres]])*Inventory[[#This Row],[Det/Nbhd Adj]],-2)</f>
        <v>52900</v>
      </c>
      <c r="BR2265" s="25">
        <f>Inventory[[#This Row],[Adjusted Impr Total]]+Inventory[[#This Row],[Adjusted Land Total]]</f>
        <v>477500</v>
      </c>
      <c r="BS2265" s="36">
        <f>IFERROR((Inventory[[#This Row],[Adjusted Impr Total]]-Inventory[[#This Row],[24Bldg]])/Inventory[[#This Row],[24Bldg]],0)</f>
        <v>0.12805526036131776</v>
      </c>
      <c r="BT2265" s="36">
        <f>(Inventory[[#This Row],[Adjusted Land Total]]-Inventory[[#This Row],[24Lnd]])/Inventory[[#This Row],[24Lnd]]</f>
        <v>-0.31209362808842656</v>
      </c>
      <c r="BU2265" s="36">
        <f>(Inventory[[#This Row],[Adjusted Total]]-Inventory[[#This Row],[24Final]])/Inventory[[#This Row],[24Final]]</f>
        <v>5.3386278402823735E-2</v>
      </c>
    </row>
    <row r="2266" spans="1:73" x14ac:dyDescent="0.3">
      <c r="A2266" s="25">
        <v>2025</v>
      </c>
      <c r="B2266" s="26" t="s">
        <v>1863</v>
      </c>
      <c r="C2266" s="26">
        <f>LN(Inventory[[#This Row],[Acres]])</f>
        <v>-1.2729656758128873</v>
      </c>
      <c r="D2266" s="25">
        <v>0.28000000000000003</v>
      </c>
      <c r="E2266" s="31"/>
      <c r="F2266" s="26" t="s">
        <v>537</v>
      </c>
      <c r="G2266" s="26" t="s">
        <v>126</v>
      </c>
      <c r="H2266" s="26" t="s">
        <v>349</v>
      </c>
      <c r="I2266" s="26" t="s">
        <v>538</v>
      </c>
      <c r="J2266" s="26" t="s">
        <v>539</v>
      </c>
      <c r="K2266" s="26" t="s">
        <v>147</v>
      </c>
      <c r="L2266" s="26" t="s">
        <v>351</v>
      </c>
      <c r="M2266" s="26" t="s">
        <v>323</v>
      </c>
      <c r="N2266" s="26">
        <v>120</v>
      </c>
      <c r="O2266" s="26">
        <f>2024-Inventory[[#This Row],[YrBlt]]</f>
        <v>119</v>
      </c>
      <c r="P2266" s="26">
        <f>2024-Inventory[[#This Row],[EffYr]]</f>
        <v>71</v>
      </c>
      <c r="Q2266" s="25">
        <v>1905</v>
      </c>
      <c r="R2266" s="25">
        <v>1953</v>
      </c>
      <c r="S2266" s="25">
        <v>696</v>
      </c>
      <c r="T2266" s="32">
        <v>456</v>
      </c>
      <c r="U2266" s="25">
        <v>696</v>
      </c>
      <c r="V2266" s="25">
        <f>Inventory[[#This Row],[Bsmt]]-Inventory[[#This Row],[FnBsmt]]</f>
        <v>696</v>
      </c>
      <c r="W2266" s="31"/>
      <c r="X2266" s="27"/>
      <c r="Y2266" s="27">
        <f>Inventory[[#This Row],[MainFn]]+Inventory[[#This Row],[UpprFn]]+Inventory[[#This Row],[FnBsmt]]+Inventory[[#This Row],[AddFn]]</f>
        <v>1152</v>
      </c>
      <c r="Z2266" s="27">
        <v>1500</v>
      </c>
      <c r="AA2266" s="25">
        <v>5</v>
      </c>
      <c r="AB2266" s="31"/>
      <c r="AC2266" s="27"/>
      <c r="AD2266" s="31"/>
      <c r="AE2266" s="27"/>
      <c r="AF2266" s="27"/>
      <c r="AG2266" s="27"/>
      <c r="AH2266" s="27"/>
      <c r="AI2266" s="25">
        <v>221529</v>
      </c>
      <c r="AJ2266" s="25">
        <v>121841</v>
      </c>
      <c r="AK2266" s="25">
        <v>43914</v>
      </c>
      <c r="AL2266" s="25">
        <v>322100</v>
      </c>
      <c r="AM2266" s="25">
        <v>70100</v>
      </c>
      <c r="AN2266" s="25">
        <v>252000</v>
      </c>
      <c r="AO2266" s="25">
        <v>0</v>
      </c>
      <c r="AP2266" s="25">
        <f>Lookups!$B$56*0</f>
        <v>0</v>
      </c>
      <c r="AQ2266" s="25">
        <f>Lookups!$B$56*1</f>
        <v>89850.625589999996</v>
      </c>
      <c r="AR2266" s="25">
        <f>Lookups!$B$57*Inventory[[#This Row],[LnAcres]]</f>
        <v>-40295.239319339329</v>
      </c>
      <c r="AS2266" s="25">
        <f>VLOOKUP(Inventory[[#This Row],[Qlty]],Lookups!$A$62:$E$75,2,FALSE)</f>
        <v>21557.329055999999</v>
      </c>
      <c r="AT2266" s="25">
        <f>VLOOKUP(Inventory[[#This Row],[Cnd]],Lookups!$A$76:$E$84,2,FALSE)</f>
        <v>160472.20319</v>
      </c>
      <c r="AU2266" s="25">
        <f>Inventory[[#This Row],[EffAge]]*Lookups!$B$85</f>
        <v>-15836.2376355</v>
      </c>
      <c r="AV2266" s="25">
        <f>Inventory[[#This Row],[MainFn]]*Lookups!$B$86</f>
        <v>34388.434234392</v>
      </c>
      <c r="AW2266" s="25">
        <f>Inventory[[#This Row],[UpprFn]]*Lookups!$B$87</f>
        <v>20422.608824616</v>
      </c>
      <c r="AX2266" s="25">
        <f>Inventory[[#This Row],[AddFn]]*Lookups!$B$88</f>
        <v>0</v>
      </c>
      <c r="AY2266" s="25">
        <f>Inventory[[#This Row],[Bsmt]]*Lookups!$B$89</f>
        <v>20240.999091911999</v>
      </c>
      <c r="AZ2266" s="25">
        <f>Inventory[[#This Row],[Fixtures]]*Lookups!$B$90</f>
        <v>18960.110526</v>
      </c>
      <c r="BA2266" s="25">
        <f>Inventory[[#This Row],[WdDeck]]*Lookups!$B$91</f>
        <v>0</v>
      </c>
      <c r="BB2266" s="25">
        <f>ROUND(Inventory[[#This Row],[25Det]],-2)</f>
        <v>43900</v>
      </c>
      <c r="BC2266" s="25">
        <f>ROUND(SUM(Inventory[[#This Row],[Mdl Qlty]:[Mdl WdDeck]])+Inventory[[#This Row],[Mdl Res Intercept]],-2)</f>
        <v>260200</v>
      </c>
      <c r="BD2266" s="25">
        <f>ROUND(Inventory[[#This Row],[Mdl Land Intercept]]+Inventory[[#This Row],[Mdl LnAcres]],-2)</f>
        <v>49600</v>
      </c>
      <c r="BE2266" s="25">
        <f>Inventory[[#This Row],[Unadj Res Value]]+Inventory[[#This Row],[Unadj Det Value]]+Inventory[[#This Row],[Unadj Land Value]]</f>
        <v>353700</v>
      </c>
      <c r="BF2266" s="36">
        <f>(Inventory[[#This Row],[Unadj Total Value]]-Inventory[[#This Row],[24Final]])/Inventory[[#This Row],[24Final]]</f>
        <v>9.8106178205526237E-2</v>
      </c>
      <c r="BG2266" s="25">
        <f>VLOOKUP(Inventory[[#This Row],[Nbhd]],Lookups!$Q$2:$T$4,4,FALSE)</f>
        <v>0.99970000000000003</v>
      </c>
      <c r="BH2266" s="25">
        <f>VLOOKUP(Inventory[[#This Row],[Qlty]],Lookups!$O$7:$R$21,4,FALSE)</f>
        <v>1.0067999999999999</v>
      </c>
      <c r="BI2266" s="25">
        <f>VLOOKUP(Inventory[[#This Row],[Cnd]],Lookups!$T$7:$W$16,4,FALSE)</f>
        <v>0.99729999999999996</v>
      </c>
      <c r="BJ2266" s="25">
        <f>VLOOKUP(Inventory[[#This Row],[LivArea Range]],Lookups!$T$25:$W$37,4,FALSE)</f>
        <v>1.0157</v>
      </c>
      <c r="BK2266" s="25">
        <f>VLOOKUP(Inventory[[#This Row],[Decade]],Lookups!$O$25:$R$42,4,FALSE)</f>
        <v>0.93389999999999995</v>
      </c>
      <c r="BL2266" s="25">
        <f>Inventory[[#This Row],[Nbhd Adj]]*0.95</f>
        <v>0.94971499999999998</v>
      </c>
      <c r="BM2266" s="25">
        <f>Inventory[[#This Row],[Nbhd Adj]]*Inventory[[#This Row],[Quality Adj]]*Inventory[[#This Row],[Condition Adj]]*Inventory[[#This Row],[Living Area Adj]]*Inventory[[#This Row],[Decade Adj]]*0.95</f>
        <v>0.90454077989636505</v>
      </c>
      <c r="BN2266" s="25">
        <f>ROUND(SUM(Inventory[[#This Row],[Mdl Qlty]:[Mdl WdDeck]])+Inventory[[#This Row],[Mdl Res Intercept]]*Inventory[[#This Row],[Res Adj ]],-2)</f>
        <v>260200</v>
      </c>
      <c r="BO2266" s="25">
        <f>ROUND(Inventory[[#This Row],[25Det]]*Inventory[[#This Row],[Det/Nbhd Adj]],-2)</f>
        <v>41700</v>
      </c>
      <c r="BP2266" s="25">
        <f>Inventory[[#This Row],[Adjusted Res]]+Inventory[[#This Row],[Adj Det ]]</f>
        <v>301900</v>
      </c>
      <c r="BQ2266" s="25">
        <f>ROUND((Inventory[[#This Row],[Mdl Land Intercept]]+Inventory[[#This Row],[Mdl LnAcres]])*Inventory[[#This Row],[Det/Nbhd Adj]],-2)</f>
        <v>47100</v>
      </c>
      <c r="BR2266" s="25">
        <f>Inventory[[#This Row],[Adjusted Impr Total]]+Inventory[[#This Row],[Adjusted Land Total]]</f>
        <v>349000</v>
      </c>
      <c r="BS2266" s="36">
        <f>IFERROR((Inventory[[#This Row],[Adjusted Impr Total]]-Inventory[[#This Row],[24Bldg]])/Inventory[[#This Row],[24Bldg]],0)</f>
        <v>0.19801587301587301</v>
      </c>
      <c r="BT2266" s="36">
        <f>(Inventory[[#This Row],[Adjusted Land Total]]-Inventory[[#This Row],[24Lnd]])/Inventory[[#This Row],[24Lnd]]</f>
        <v>-0.32810271041369471</v>
      </c>
      <c r="BU2266" s="36">
        <f>(Inventory[[#This Row],[Adjusted Total]]-Inventory[[#This Row],[24Final]])/Inventory[[#This Row],[24Final]]</f>
        <v>8.3514436510400497E-2</v>
      </c>
    </row>
    <row r="2267" spans="1:73" x14ac:dyDescent="0.3">
      <c r="A2267" s="25">
        <v>2025</v>
      </c>
      <c r="B2267" s="26" t="s">
        <v>1905</v>
      </c>
      <c r="C2267" s="26">
        <f>LN(Inventory[[#This Row],[Acres]])</f>
        <v>-1.2729656758128873</v>
      </c>
      <c r="D2267" s="25">
        <v>0.28000000000000003</v>
      </c>
      <c r="E2267" s="25">
        <v>12069</v>
      </c>
      <c r="F2267" s="26" t="s">
        <v>537</v>
      </c>
      <c r="G2267" s="26" t="s">
        <v>126</v>
      </c>
      <c r="H2267" s="26" t="s">
        <v>349</v>
      </c>
      <c r="I2267" s="26" t="s">
        <v>538</v>
      </c>
      <c r="J2267" s="26" t="s">
        <v>539</v>
      </c>
      <c r="K2267" s="26" t="s">
        <v>416</v>
      </c>
      <c r="L2267" s="26" t="s">
        <v>148</v>
      </c>
      <c r="M2267" s="26" t="s">
        <v>323</v>
      </c>
      <c r="N2267" s="26">
        <v>120</v>
      </c>
      <c r="O2267" s="26">
        <f>2024-Inventory[[#This Row],[YrBlt]]</f>
        <v>120</v>
      </c>
      <c r="P2267" s="26">
        <f>2024-Inventory[[#This Row],[EffYr]]</f>
        <v>72</v>
      </c>
      <c r="Q2267" s="25">
        <v>1904</v>
      </c>
      <c r="R2267" s="25">
        <v>1952</v>
      </c>
      <c r="S2267" s="25">
        <v>1015</v>
      </c>
      <c r="T2267" s="32">
        <v>1414</v>
      </c>
      <c r="U2267" s="25">
        <v>1015</v>
      </c>
      <c r="V2267" s="25">
        <f>Inventory[[#This Row],[Bsmt]]-Inventory[[#This Row],[FnBsmt]]</f>
        <v>1015</v>
      </c>
      <c r="W2267" s="31"/>
      <c r="X2267" s="27"/>
      <c r="Y2267" s="27">
        <f>Inventory[[#This Row],[MainFn]]+Inventory[[#This Row],[UpprFn]]+Inventory[[#This Row],[FnBsmt]]+Inventory[[#This Row],[AddFn]]</f>
        <v>2429</v>
      </c>
      <c r="Z2267" s="27">
        <v>2500</v>
      </c>
      <c r="AA2267" s="25">
        <v>7</v>
      </c>
      <c r="AB2267" s="31"/>
      <c r="AC2267" s="27"/>
      <c r="AD2267" s="31"/>
      <c r="AE2267" s="27"/>
      <c r="AF2267" s="27"/>
      <c r="AG2267" s="27"/>
      <c r="AH2267" s="27"/>
      <c r="AI2267" s="25">
        <v>483912</v>
      </c>
      <c r="AJ2267" s="25">
        <v>266152</v>
      </c>
      <c r="AK2267" s="25">
        <v>23819</v>
      </c>
      <c r="AL2267" s="25">
        <v>408300</v>
      </c>
      <c r="AM2267" s="25">
        <v>70100</v>
      </c>
      <c r="AN2267" s="25">
        <v>338200</v>
      </c>
      <c r="AO2267" s="25">
        <v>0</v>
      </c>
      <c r="AP2267" s="25">
        <f>Lookups!$B$56*0</f>
        <v>0</v>
      </c>
      <c r="AQ2267" s="25">
        <f>Lookups!$B$56*1</f>
        <v>89850.625589999996</v>
      </c>
      <c r="AR2267" s="25">
        <f>Lookups!$B$57*Inventory[[#This Row],[LnAcres]]</f>
        <v>-40295.239319339329</v>
      </c>
      <c r="AS2267" s="25">
        <f>VLOOKUP(Inventory[[#This Row],[Qlty]],Lookups!$A$62:$E$75,2,FALSE)</f>
        <v>44121.038090000002</v>
      </c>
      <c r="AT2267" s="25">
        <f>VLOOKUP(Inventory[[#This Row],[Cnd]],Lookups!$A$76:$E$84,2,FALSE)</f>
        <v>160472.20319</v>
      </c>
      <c r="AU2267" s="25">
        <f>Inventory[[#This Row],[EffAge]]*Lookups!$B$85</f>
        <v>-16059.283236000001</v>
      </c>
      <c r="AV2267" s="25">
        <f>Inventory[[#This Row],[MainFn]]*Lookups!$B$86</f>
        <v>50149.799925154999</v>
      </c>
      <c r="AW2267" s="25">
        <f>Inventory[[#This Row],[UpprFn]]*Lookups!$B$87</f>
        <v>63328.001925453995</v>
      </c>
      <c r="AX2267" s="25">
        <f>Inventory[[#This Row],[AddFn]]*Lookups!$B$88</f>
        <v>0</v>
      </c>
      <c r="AY2267" s="25">
        <f>Inventory[[#This Row],[Bsmt]]*Lookups!$B$89</f>
        <v>29518.123675704999</v>
      </c>
      <c r="AZ2267" s="25">
        <f>Inventory[[#This Row],[Fixtures]]*Lookups!$B$90</f>
        <v>26544.1547364</v>
      </c>
      <c r="BA2267" s="25">
        <f>Inventory[[#This Row],[WdDeck]]*Lookups!$B$91</f>
        <v>0</v>
      </c>
      <c r="BB2267" s="25">
        <f>ROUND(Inventory[[#This Row],[25Det]],-2)</f>
        <v>23800</v>
      </c>
      <c r="BC2267" s="25">
        <f>ROUND(SUM(Inventory[[#This Row],[Mdl Qlty]:[Mdl WdDeck]])+Inventory[[#This Row],[Mdl Res Intercept]],-2)</f>
        <v>358100</v>
      </c>
      <c r="BD2267" s="25">
        <f>ROUND(Inventory[[#This Row],[Mdl Land Intercept]]+Inventory[[#This Row],[Mdl LnAcres]],-2)</f>
        <v>49600</v>
      </c>
      <c r="BE2267" s="25">
        <f>Inventory[[#This Row],[Unadj Res Value]]+Inventory[[#This Row],[Unadj Det Value]]+Inventory[[#This Row],[Unadj Land Value]]</f>
        <v>431500</v>
      </c>
      <c r="BF2267" s="36">
        <f>(Inventory[[#This Row],[Unadj Total Value]]-Inventory[[#This Row],[24Final]])/Inventory[[#This Row],[24Final]]</f>
        <v>5.6820964976732793E-2</v>
      </c>
      <c r="BG2267" s="25">
        <f>VLOOKUP(Inventory[[#This Row],[Nbhd]],Lookups!$Q$2:$T$4,4,FALSE)</f>
        <v>0.99970000000000003</v>
      </c>
      <c r="BH2267" s="25">
        <f>VLOOKUP(Inventory[[#This Row],[Qlty]],Lookups!$O$7:$R$21,4,FALSE)</f>
        <v>0.98050000000000004</v>
      </c>
      <c r="BI2267" s="25">
        <f>VLOOKUP(Inventory[[#This Row],[Cnd]],Lookups!$T$7:$W$16,4,FALSE)</f>
        <v>0.99729999999999996</v>
      </c>
      <c r="BJ2267" s="25">
        <f>VLOOKUP(Inventory[[#This Row],[LivArea Range]],Lookups!$T$25:$W$37,4,FALSE)</f>
        <v>0.98919999999999997</v>
      </c>
      <c r="BK2267" s="25">
        <f>VLOOKUP(Inventory[[#This Row],[Decade]],Lookups!$O$25:$R$42,4,FALSE)</f>
        <v>0.93389999999999995</v>
      </c>
      <c r="BL2267" s="25">
        <f>Inventory[[#This Row],[Nbhd Adj]]*0.95</f>
        <v>0.94971499999999998</v>
      </c>
      <c r="BM2267" s="25">
        <f>Inventory[[#This Row],[Nbhd Adj]]*Inventory[[#This Row],[Quality Adj]]*Inventory[[#This Row],[Condition Adj]]*Inventory[[#This Row],[Living Area Adj]]*Inventory[[#This Row],[Decade Adj]]*0.95</f>
        <v>0.85792870228410323</v>
      </c>
      <c r="BN2267" s="25">
        <f>ROUND(SUM(Inventory[[#This Row],[Mdl Qlty]:[Mdl WdDeck]])+Inventory[[#This Row],[Mdl Res Intercept]]*Inventory[[#This Row],[Res Adj ]],-2)</f>
        <v>358100</v>
      </c>
      <c r="BO2267" s="25">
        <f>ROUND(Inventory[[#This Row],[25Det]]*Inventory[[#This Row],[Det/Nbhd Adj]],-2)</f>
        <v>22600</v>
      </c>
      <c r="BP2267" s="25">
        <f>Inventory[[#This Row],[Adjusted Res]]+Inventory[[#This Row],[Adj Det ]]</f>
        <v>380700</v>
      </c>
      <c r="BQ2267" s="25">
        <f>ROUND((Inventory[[#This Row],[Mdl Land Intercept]]+Inventory[[#This Row],[Mdl LnAcres]])*Inventory[[#This Row],[Det/Nbhd Adj]],-2)</f>
        <v>47100</v>
      </c>
      <c r="BR2267" s="25">
        <f>Inventory[[#This Row],[Adjusted Impr Total]]+Inventory[[#This Row],[Adjusted Land Total]]</f>
        <v>427800</v>
      </c>
      <c r="BS2267" s="36">
        <f>IFERROR((Inventory[[#This Row],[Adjusted Impr Total]]-Inventory[[#This Row],[24Bldg]])/Inventory[[#This Row],[24Bldg]],0)</f>
        <v>0.12566528681253697</v>
      </c>
      <c r="BT2267" s="36">
        <f>(Inventory[[#This Row],[Adjusted Land Total]]-Inventory[[#This Row],[24Lnd]])/Inventory[[#This Row],[24Lnd]]</f>
        <v>-0.32810271041369471</v>
      </c>
      <c r="BU2267" s="36">
        <f>(Inventory[[#This Row],[Adjusted Total]]-Inventory[[#This Row],[24Final]])/Inventory[[#This Row],[24Final]]</f>
        <v>4.7759000734753858E-2</v>
      </c>
    </row>
    <row r="2268" spans="1:73" x14ac:dyDescent="0.3">
      <c r="A2268" s="25">
        <v>2025</v>
      </c>
      <c r="B2268" s="26" t="s">
        <v>2431</v>
      </c>
      <c r="C2268" s="26">
        <f>LN(Inventory[[#This Row],[Acres]])</f>
        <v>-1.2039728043259361</v>
      </c>
      <c r="D2268" s="25">
        <v>0.3</v>
      </c>
      <c r="E2268" s="31"/>
      <c r="F2268" s="26" t="s">
        <v>537</v>
      </c>
      <c r="G2268" s="26" t="s">
        <v>126</v>
      </c>
      <c r="H2268" s="26" t="s">
        <v>349</v>
      </c>
      <c r="I2268" s="26" t="s">
        <v>538</v>
      </c>
      <c r="J2268" s="26" t="s">
        <v>546</v>
      </c>
      <c r="K2268" s="26" t="s">
        <v>242</v>
      </c>
      <c r="L2268" s="26" t="s">
        <v>351</v>
      </c>
      <c r="M2268" s="26" t="s">
        <v>352</v>
      </c>
      <c r="N2268" s="26">
        <v>130</v>
      </c>
      <c r="O2268" s="26">
        <f>2024-Inventory[[#This Row],[YrBlt]]</f>
        <v>122</v>
      </c>
      <c r="P2268" s="26">
        <f>2024-Inventory[[#This Row],[EffYr]]</f>
        <v>64</v>
      </c>
      <c r="Q2268" s="25">
        <v>1902</v>
      </c>
      <c r="R2268" s="25">
        <v>1960</v>
      </c>
      <c r="S2268" s="25">
        <v>1198</v>
      </c>
      <c r="T2268" s="25">
        <v>449</v>
      </c>
      <c r="U2268" s="31"/>
      <c r="V2268" s="31">
        <f>Inventory[[#This Row],[Bsmt]]-Inventory[[#This Row],[FnBsmt]]</f>
        <v>0</v>
      </c>
      <c r="W2268" s="31"/>
      <c r="X2268" s="27"/>
      <c r="Y2268" s="27">
        <f>Inventory[[#This Row],[MainFn]]+Inventory[[#This Row],[UpprFn]]+Inventory[[#This Row],[FnBsmt]]+Inventory[[#This Row],[AddFn]]</f>
        <v>1647</v>
      </c>
      <c r="Z2268" s="27">
        <v>2000</v>
      </c>
      <c r="AA2268" s="25">
        <v>8</v>
      </c>
      <c r="AB2268" s="27"/>
      <c r="AC2268" s="32">
        <v>1198</v>
      </c>
      <c r="AD2268" s="31"/>
      <c r="AE2268" s="27"/>
      <c r="AF2268" s="27"/>
      <c r="AG2268" s="27"/>
      <c r="AH2268" s="27"/>
      <c r="AI2268" s="25">
        <v>279082</v>
      </c>
      <c r="AJ2268" s="25">
        <v>167449</v>
      </c>
      <c r="AK2268" s="25">
        <v>0</v>
      </c>
      <c r="AL2268" s="25">
        <v>377800</v>
      </c>
      <c r="AM2268" s="25">
        <v>72500</v>
      </c>
      <c r="AN2268" s="25">
        <v>305300</v>
      </c>
      <c r="AO2268" s="25">
        <v>0</v>
      </c>
      <c r="AP2268" s="25">
        <f>Lookups!$B$56*0</f>
        <v>0</v>
      </c>
      <c r="AQ2268" s="25">
        <f>Lookups!$B$56*1</f>
        <v>89850.625589999996</v>
      </c>
      <c r="AR2268" s="25">
        <f>Lookups!$B$57*Inventory[[#This Row],[LnAcres]]</f>
        <v>-38111.29648355169</v>
      </c>
      <c r="AS2268" s="25">
        <f>VLOOKUP(Inventory[[#This Row],[Qlty]],Lookups!$A$62:$E$75,2,FALSE)</f>
        <v>21557.329055999999</v>
      </c>
      <c r="AT2268" s="25">
        <f>VLOOKUP(Inventory[[#This Row],[Cnd]],Lookups!$A$76:$E$84,2,FALSE)</f>
        <v>284810.60806</v>
      </c>
      <c r="AU2268" s="25">
        <f>Inventory[[#This Row],[EffAge]]*Lookups!$B$85</f>
        <v>-14274.918432</v>
      </c>
      <c r="AV2268" s="25">
        <f>Inventory[[#This Row],[MainFn]]*Lookups!$B$86</f>
        <v>59191.586512646005</v>
      </c>
      <c r="AW2268" s="25">
        <f>Inventory[[#This Row],[UpprFn]]*Lookups!$B$87</f>
        <v>20109.103864589</v>
      </c>
      <c r="AX2268" s="25">
        <f>Inventory[[#This Row],[AddFn]]*Lookups!$B$88</f>
        <v>0</v>
      </c>
      <c r="AY2268" s="25">
        <f>Inventory[[#This Row],[Bsmt]]*Lookups!$B$89</f>
        <v>0</v>
      </c>
      <c r="AZ2268" s="25">
        <f>Inventory[[#This Row],[Fixtures]]*Lookups!$B$90</f>
        <v>30336.176841600001</v>
      </c>
      <c r="BA2268" s="25">
        <f>Inventory[[#This Row],[WdDeck]]*Lookups!$B$91</f>
        <v>0</v>
      </c>
      <c r="BB2268" s="25">
        <f>ROUND(Inventory[[#This Row],[25Det]],-2)</f>
        <v>0</v>
      </c>
      <c r="BC2268" s="25">
        <f>ROUND(SUM(Inventory[[#This Row],[Mdl Qlty]:[Mdl WdDeck]])+Inventory[[#This Row],[Mdl Res Intercept]],-2)</f>
        <v>401700</v>
      </c>
      <c r="BD2268" s="25">
        <f>ROUND(Inventory[[#This Row],[Mdl Land Intercept]]+Inventory[[#This Row],[Mdl LnAcres]],-2)</f>
        <v>51700</v>
      </c>
      <c r="BE2268" s="25">
        <f>Inventory[[#This Row],[Unadj Res Value]]+Inventory[[#This Row],[Unadj Det Value]]+Inventory[[#This Row],[Unadj Land Value]]</f>
        <v>453400</v>
      </c>
      <c r="BF2268" s="36">
        <f>(Inventory[[#This Row],[Unadj Total Value]]-Inventory[[#This Row],[24Final]])/Inventory[[#This Row],[24Final]]</f>
        <v>0.20010587612493383</v>
      </c>
      <c r="BG2268" s="25">
        <f>VLOOKUP(Inventory[[#This Row],[Nbhd]],Lookups!$Q$2:$T$4,4,FALSE)</f>
        <v>0.99970000000000003</v>
      </c>
      <c r="BH2268" s="25">
        <f>VLOOKUP(Inventory[[#This Row],[Qlty]],Lookups!$O$7:$R$21,4,FALSE)</f>
        <v>1.0067999999999999</v>
      </c>
      <c r="BI2268" s="25">
        <f>VLOOKUP(Inventory[[#This Row],[Cnd]],Lookups!$T$7:$W$16,4,FALSE)</f>
        <v>1.0158</v>
      </c>
      <c r="BJ2268" s="25">
        <f>VLOOKUP(Inventory[[#This Row],[LivArea Range]],Lookups!$T$25:$W$37,4,FALSE)</f>
        <v>1.0093000000000001</v>
      </c>
      <c r="BK2268" s="25">
        <f>VLOOKUP(Inventory[[#This Row],[Decade]],Lookups!$O$25:$R$42,4,FALSE)</f>
        <v>0.74960000000000004</v>
      </c>
      <c r="BL2268" s="25">
        <f>Inventory[[#This Row],[Nbhd Adj]]*0.95</f>
        <v>0.94971499999999998</v>
      </c>
      <c r="BM2268" s="25">
        <f>Inventory[[#This Row],[Nbhd Adj]]*Inventory[[#This Row],[Quality Adj]]*Inventory[[#This Row],[Condition Adj]]*Inventory[[#This Row],[Living Area Adj]]*Inventory[[#This Row],[Decade Adj]]*0.95</f>
        <v>0.73484300404207736</v>
      </c>
      <c r="BN2268" s="25">
        <f>ROUND(SUM(Inventory[[#This Row],[Mdl Qlty]:[Mdl WdDeck]])+Inventory[[#This Row],[Mdl Res Intercept]]*Inventory[[#This Row],[Res Adj ]],-2)</f>
        <v>401700</v>
      </c>
      <c r="BO2268" s="25">
        <f>ROUND(Inventory[[#This Row],[25Det]]*Inventory[[#This Row],[Det/Nbhd Adj]],-2)</f>
        <v>0</v>
      </c>
      <c r="BP2268" s="25">
        <f>Inventory[[#This Row],[Adjusted Res]]+Inventory[[#This Row],[Adj Det ]]</f>
        <v>401700</v>
      </c>
      <c r="BQ2268" s="25">
        <f>ROUND((Inventory[[#This Row],[Mdl Land Intercept]]+Inventory[[#This Row],[Mdl LnAcres]])*Inventory[[#This Row],[Det/Nbhd Adj]],-2)</f>
        <v>49100</v>
      </c>
      <c r="BR2268" s="25">
        <f>Inventory[[#This Row],[Adjusted Impr Total]]+Inventory[[#This Row],[Adjusted Land Total]]</f>
        <v>450800</v>
      </c>
      <c r="BS2268" s="36">
        <f>IFERROR((Inventory[[#This Row],[Adjusted Impr Total]]-Inventory[[#This Row],[24Bldg]])/Inventory[[#This Row],[24Bldg]],0)</f>
        <v>0.31575499508679988</v>
      </c>
      <c r="BT2268" s="36">
        <f>(Inventory[[#This Row],[Adjusted Land Total]]-Inventory[[#This Row],[24Lnd]])/Inventory[[#This Row],[24Lnd]]</f>
        <v>-0.32275862068965516</v>
      </c>
      <c r="BU2268" s="36">
        <f>(Inventory[[#This Row],[Adjusted Total]]-Inventory[[#This Row],[24Final]])/Inventory[[#This Row],[24Final]]</f>
        <v>0.19322392800423505</v>
      </c>
    </row>
    <row r="2269" spans="1:73" x14ac:dyDescent="0.3">
      <c r="A2269" s="25">
        <v>2025</v>
      </c>
      <c r="B2269" s="26" t="s">
        <v>2189</v>
      </c>
      <c r="C2269" s="26">
        <f>LN(Inventory[[#This Row],[Acres]])</f>
        <v>-1.8971199848858813</v>
      </c>
      <c r="D2269" s="25">
        <v>0.15</v>
      </c>
      <c r="E2269" s="25">
        <v>6630</v>
      </c>
      <c r="F2269" s="26" t="s">
        <v>537</v>
      </c>
      <c r="G2269" s="26" t="s">
        <v>126</v>
      </c>
      <c r="H2269" s="26" t="s">
        <v>349</v>
      </c>
      <c r="I2269" s="26" t="s">
        <v>538</v>
      </c>
      <c r="J2269" s="26" t="s">
        <v>539</v>
      </c>
      <c r="K2269" s="26" t="s">
        <v>269</v>
      </c>
      <c r="L2269" s="26" t="s">
        <v>351</v>
      </c>
      <c r="M2269" s="26" t="s">
        <v>303</v>
      </c>
      <c r="N2269" s="26">
        <v>130</v>
      </c>
      <c r="O2269" s="26">
        <f>2024-Inventory[[#This Row],[YrBlt]]</f>
        <v>122</v>
      </c>
      <c r="P2269" s="26">
        <f>2024-Inventory[[#This Row],[EffYr]]</f>
        <v>74</v>
      </c>
      <c r="Q2269" s="25">
        <v>1902</v>
      </c>
      <c r="R2269" s="25">
        <v>1950</v>
      </c>
      <c r="S2269" s="25">
        <v>1502</v>
      </c>
      <c r="T2269" s="32">
        <v>504</v>
      </c>
      <c r="U2269" s="25">
        <v>516</v>
      </c>
      <c r="V2269" s="25">
        <f>Inventory[[#This Row],[Bsmt]]-Inventory[[#This Row],[FnBsmt]]</f>
        <v>516</v>
      </c>
      <c r="W2269" s="25">
        <v>0</v>
      </c>
      <c r="X2269" s="27"/>
      <c r="Y2269" s="27">
        <f>Inventory[[#This Row],[MainFn]]+Inventory[[#This Row],[UpprFn]]+Inventory[[#This Row],[FnBsmt]]+Inventory[[#This Row],[AddFn]]</f>
        <v>2006</v>
      </c>
      <c r="Z2269" s="27">
        <v>2500</v>
      </c>
      <c r="AA2269" s="25">
        <v>8</v>
      </c>
      <c r="AB2269" s="27"/>
      <c r="AC2269" s="27"/>
      <c r="AD2269" s="31"/>
      <c r="AE2269" s="27"/>
      <c r="AF2269" s="27"/>
      <c r="AG2269" s="27"/>
      <c r="AH2269" s="27"/>
      <c r="AI2269" s="25">
        <v>386365</v>
      </c>
      <c r="AJ2269" s="25">
        <v>220228</v>
      </c>
      <c r="AK2269" s="25">
        <v>11333</v>
      </c>
      <c r="AL2269" s="25">
        <v>362100</v>
      </c>
      <c r="AM2269" s="25">
        <v>48400</v>
      </c>
      <c r="AN2269" s="25">
        <v>313700</v>
      </c>
      <c r="AO2269" s="25">
        <v>0</v>
      </c>
      <c r="AP2269" s="25">
        <f>Lookups!$B$56*0</f>
        <v>0</v>
      </c>
      <c r="AQ2269" s="25">
        <f>Lookups!$B$56*1</f>
        <v>89850.625589999996</v>
      </c>
      <c r="AR2269" s="25">
        <f>Lookups!$B$57*Inventory[[#This Row],[LnAcres]]</f>
        <v>-60052.604136134301</v>
      </c>
      <c r="AS2269" s="25">
        <f>VLOOKUP(Inventory[[#This Row],[Qlty]],Lookups!$A$62:$E$75,2,FALSE)</f>
        <v>21557.329055999999</v>
      </c>
      <c r="AT2269" s="25">
        <f>VLOOKUP(Inventory[[#This Row],[Cnd]],Lookups!$A$76:$E$84,2,FALSE)</f>
        <v>197752.34721000001</v>
      </c>
      <c r="AU2269" s="25">
        <f>Inventory[[#This Row],[EffAge]]*Lookups!$B$85</f>
        <v>-16505.374437000002</v>
      </c>
      <c r="AV2269" s="25">
        <f>Inventory[[#This Row],[MainFn]]*Lookups!$B$86</f>
        <v>74211.822155254005</v>
      </c>
      <c r="AW2269" s="25">
        <f>Inventory[[#This Row],[UpprFn]]*Lookups!$B$87</f>
        <v>22572.357121943998</v>
      </c>
      <c r="AX2269" s="25">
        <f>Inventory[[#This Row],[AddFn]]*Lookups!$B$88</f>
        <v>0</v>
      </c>
      <c r="AY2269" s="25">
        <f>Inventory[[#This Row],[Bsmt]]*Lookups!$B$89</f>
        <v>15006.257947451999</v>
      </c>
      <c r="AZ2269" s="25">
        <f>Inventory[[#This Row],[Fixtures]]*Lookups!$B$90</f>
        <v>30336.176841600001</v>
      </c>
      <c r="BA2269" s="25">
        <f>Inventory[[#This Row],[WdDeck]]*Lookups!$B$91</f>
        <v>0</v>
      </c>
      <c r="BB2269" s="25">
        <f>ROUND(Inventory[[#This Row],[25Det]],-2)</f>
        <v>11300</v>
      </c>
      <c r="BC2269" s="25">
        <f>ROUND(SUM(Inventory[[#This Row],[Mdl Qlty]:[Mdl WdDeck]])+Inventory[[#This Row],[Mdl Res Intercept]],-2)</f>
        <v>344900</v>
      </c>
      <c r="BD2269" s="25">
        <f>ROUND(Inventory[[#This Row],[Mdl Land Intercept]]+Inventory[[#This Row],[Mdl LnAcres]],-2)</f>
        <v>29800</v>
      </c>
      <c r="BE2269" s="25">
        <f>Inventory[[#This Row],[Unadj Res Value]]+Inventory[[#This Row],[Unadj Det Value]]+Inventory[[#This Row],[Unadj Land Value]]</f>
        <v>386000</v>
      </c>
      <c r="BF2269" s="36">
        <f>(Inventory[[#This Row],[Unadj Total Value]]-Inventory[[#This Row],[24Final]])/Inventory[[#This Row],[24Final]]</f>
        <v>6.6003866335266503E-2</v>
      </c>
      <c r="BG2269" s="25">
        <f>VLOOKUP(Inventory[[#This Row],[Nbhd]],Lookups!$Q$2:$T$4,4,FALSE)</f>
        <v>0.99970000000000003</v>
      </c>
      <c r="BH2269" s="25">
        <f>VLOOKUP(Inventory[[#This Row],[Qlty]],Lookups!$O$7:$R$21,4,FALSE)</f>
        <v>1.0067999999999999</v>
      </c>
      <c r="BI2269" s="25">
        <f>VLOOKUP(Inventory[[#This Row],[Cnd]],Lookups!$T$7:$W$16,4,FALSE)</f>
        <v>0.99650000000000005</v>
      </c>
      <c r="BJ2269" s="25">
        <f>VLOOKUP(Inventory[[#This Row],[LivArea Range]],Lookups!$T$25:$W$37,4,FALSE)</f>
        <v>0.98919999999999997</v>
      </c>
      <c r="BK2269" s="25">
        <f>VLOOKUP(Inventory[[#This Row],[Decade]],Lookups!$O$25:$R$42,4,FALSE)</f>
        <v>0.74960000000000004</v>
      </c>
      <c r="BL2269" s="25">
        <f>Inventory[[#This Row],[Nbhd Adj]]*0.95</f>
        <v>0.94971499999999998</v>
      </c>
      <c r="BM2269" s="25">
        <f>Inventory[[#This Row],[Nbhd Adj]]*Inventory[[#This Row],[Quality Adj]]*Inventory[[#This Row],[Condition Adj]]*Inventory[[#This Row],[Living Area Adj]]*Inventory[[#This Row],[Decade Adj]]*0.95</f>
        <v>0.70652493354413559</v>
      </c>
      <c r="BN2269" s="25">
        <f>ROUND(SUM(Inventory[[#This Row],[Mdl Qlty]:[Mdl WdDeck]])+Inventory[[#This Row],[Mdl Res Intercept]]*Inventory[[#This Row],[Res Adj ]],-2)</f>
        <v>344900</v>
      </c>
      <c r="BO2269" s="25">
        <f>ROUND(Inventory[[#This Row],[25Det]]*Inventory[[#This Row],[Det/Nbhd Adj]],-2)</f>
        <v>10800</v>
      </c>
      <c r="BP2269" s="25">
        <f>Inventory[[#This Row],[Adjusted Res]]+Inventory[[#This Row],[Adj Det ]]</f>
        <v>355700</v>
      </c>
      <c r="BQ2269" s="25">
        <f>ROUND((Inventory[[#This Row],[Mdl Land Intercept]]+Inventory[[#This Row],[Mdl LnAcres]])*Inventory[[#This Row],[Det/Nbhd Adj]],-2)</f>
        <v>28300</v>
      </c>
      <c r="BR2269" s="25">
        <f>Inventory[[#This Row],[Adjusted Impr Total]]+Inventory[[#This Row],[Adjusted Land Total]]</f>
        <v>384000</v>
      </c>
      <c r="BS2269" s="36">
        <f>IFERROR((Inventory[[#This Row],[Adjusted Impr Total]]-Inventory[[#This Row],[24Bldg]])/Inventory[[#This Row],[24Bldg]],0)</f>
        <v>0.133885878227606</v>
      </c>
      <c r="BT2269" s="36">
        <f>(Inventory[[#This Row],[Adjusted Land Total]]-Inventory[[#This Row],[24Lnd]])/Inventory[[#This Row],[24Lnd]]</f>
        <v>-0.41528925619834711</v>
      </c>
      <c r="BU2269" s="36">
        <f>(Inventory[[#This Row],[Adjusted Total]]-Inventory[[#This Row],[24Final]])/Inventory[[#This Row],[24Final]]</f>
        <v>6.0480530240265118E-2</v>
      </c>
    </row>
    <row r="2270" spans="1:73" x14ac:dyDescent="0.3">
      <c r="A2270" s="25">
        <v>2025</v>
      </c>
      <c r="B2270" s="26" t="s">
        <v>870</v>
      </c>
      <c r="C2270" s="26">
        <f>LN(Inventory[[#This Row],[Acres]])</f>
        <v>-1.3093333199837622</v>
      </c>
      <c r="D2270" s="25">
        <v>0.27</v>
      </c>
      <c r="E2270" s="25">
        <v>11685</v>
      </c>
      <c r="F2270" s="26" t="s">
        <v>537</v>
      </c>
      <c r="G2270" s="26" t="s">
        <v>126</v>
      </c>
      <c r="H2270" s="26" t="s">
        <v>349</v>
      </c>
      <c r="I2270" s="26" t="s">
        <v>538</v>
      </c>
      <c r="J2270" s="26" t="s">
        <v>539</v>
      </c>
      <c r="K2270" s="26" t="s">
        <v>63</v>
      </c>
      <c r="L2270" s="26" t="s">
        <v>351</v>
      </c>
      <c r="M2270" s="26" t="s">
        <v>303</v>
      </c>
      <c r="N2270" s="26">
        <v>130</v>
      </c>
      <c r="O2270" s="26">
        <f>2024-Inventory[[#This Row],[YrBlt]]</f>
        <v>122</v>
      </c>
      <c r="P2270" s="26">
        <f>2024-Inventory[[#This Row],[EffYr]]</f>
        <v>54</v>
      </c>
      <c r="Q2270" s="25">
        <v>1902</v>
      </c>
      <c r="R2270" s="25">
        <v>1970</v>
      </c>
      <c r="S2270" s="25">
        <v>1116</v>
      </c>
      <c r="T2270" s="25">
        <v>390</v>
      </c>
      <c r="U2270" s="31"/>
      <c r="V2270" s="31">
        <f>Inventory[[#This Row],[Bsmt]]-Inventory[[#This Row],[FnBsmt]]</f>
        <v>0</v>
      </c>
      <c r="W2270" s="31"/>
      <c r="X2270" s="27"/>
      <c r="Y2270" s="27">
        <f>Inventory[[#This Row],[MainFn]]+Inventory[[#This Row],[UpprFn]]+Inventory[[#This Row],[FnBsmt]]+Inventory[[#This Row],[AddFn]]</f>
        <v>1506</v>
      </c>
      <c r="Z2270" s="27">
        <v>2000</v>
      </c>
      <c r="AA2270" s="25">
        <v>8</v>
      </c>
      <c r="AB2270" s="31"/>
      <c r="AC2270" s="27"/>
      <c r="AD2270" s="27"/>
      <c r="AE2270" s="27"/>
      <c r="AF2270" s="27"/>
      <c r="AG2270" s="27"/>
      <c r="AH2270" s="27"/>
      <c r="AI2270" s="25">
        <v>254932</v>
      </c>
      <c r="AJ2270" s="25">
        <v>173354</v>
      </c>
      <c r="AK2270" s="25">
        <v>23506</v>
      </c>
      <c r="AL2270" s="25">
        <v>361500</v>
      </c>
      <c r="AM2270" s="25">
        <v>68900</v>
      </c>
      <c r="AN2270" s="25">
        <v>292600</v>
      </c>
      <c r="AO2270" s="25">
        <v>0</v>
      </c>
      <c r="AP2270" s="25">
        <f>Lookups!$B$56*0</f>
        <v>0</v>
      </c>
      <c r="AQ2270" s="25">
        <f>Lookups!$B$56*1</f>
        <v>89850.625589999996</v>
      </c>
      <c r="AR2270" s="25">
        <f>Lookups!$B$57*Inventory[[#This Row],[LnAcres]]</f>
        <v>-41446.443120973789</v>
      </c>
      <c r="AS2270" s="25">
        <f>VLOOKUP(Inventory[[#This Row],[Qlty]],Lookups!$A$62:$E$75,2,FALSE)</f>
        <v>21557.329055999999</v>
      </c>
      <c r="AT2270" s="25">
        <f>VLOOKUP(Inventory[[#This Row],[Cnd]],Lookups!$A$76:$E$84,2,FALSE)</f>
        <v>197752.34721000001</v>
      </c>
      <c r="AU2270" s="25">
        <f>Inventory[[#This Row],[EffAge]]*Lookups!$B$85</f>
        <v>-12044.462427</v>
      </c>
      <c r="AV2270" s="25">
        <f>Inventory[[#This Row],[MainFn]]*Lookups!$B$86</f>
        <v>55140.075582732003</v>
      </c>
      <c r="AW2270" s="25">
        <f>Inventory[[#This Row],[UpprFn]]*Lookups!$B$87</f>
        <v>17466.70491579</v>
      </c>
      <c r="AX2270" s="25">
        <f>Inventory[[#This Row],[AddFn]]*Lookups!$B$88</f>
        <v>0</v>
      </c>
      <c r="AY2270" s="25">
        <f>Inventory[[#This Row],[Bsmt]]*Lookups!$B$89</f>
        <v>0</v>
      </c>
      <c r="AZ2270" s="25">
        <f>Inventory[[#This Row],[Fixtures]]*Lookups!$B$90</f>
        <v>30336.176841600001</v>
      </c>
      <c r="BA2270" s="25">
        <f>Inventory[[#This Row],[WdDeck]]*Lookups!$B$91</f>
        <v>0</v>
      </c>
      <c r="BB2270" s="25">
        <f>ROUND(Inventory[[#This Row],[25Det]],-2)</f>
        <v>23500</v>
      </c>
      <c r="BC2270" s="25">
        <f>ROUND(SUM(Inventory[[#This Row],[Mdl Qlty]:[Mdl WdDeck]])+Inventory[[#This Row],[Mdl Res Intercept]],-2)</f>
        <v>310200</v>
      </c>
      <c r="BD2270" s="25">
        <f>ROUND(Inventory[[#This Row],[Mdl Land Intercept]]+Inventory[[#This Row],[Mdl LnAcres]],-2)</f>
        <v>48400</v>
      </c>
      <c r="BE2270" s="25">
        <f>Inventory[[#This Row],[Unadj Res Value]]+Inventory[[#This Row],[Unadj Det Value]]+Inventory[[#This Row],[Unadj Land Value]]</f>
        <v>382100</v>
      </c>
      <c r="BF2270" s="36">
        <f>(Inventory[[#This Row],[Unadj Total Value]]-Inventory[[#This Row],[24Final]])/Inventory[[#This Row],[24Final]]</f>
        <v>5.6984785615491008E-2</v>
      </c>
      <c r="BG2270" s="25">
        <f>VLOOKUP(Inventory[[#This Row],[Nbhd]],Lookups!$Q$2:$T$4,4,FALSE)</f>
        <v>0.99970000000000003</v>
      </c>
      <c r="BH2270" s="25">
        <f>VLOOKUP(Inventory[[#This Row],[Qlty]],Lookups!$O$7:$R$21,4,FALSE)</f>
        <v>1.0067999999999999</v>
      </c>
      <c r="BI2270" s="25">
        <f>VLOOKUP(Inventory[[#This Row],[Cnd]],Lookups!$T$7:$W$16,4,FALSE)</f>
        <v>0.99650000000000005</v>
      </c>
      <c r="BJ2270" s="25">
        <f>VLOOKUP(Inventory[[#This Row],[LivArea Range]],Lookups!$T$25:$W$37,4,FALSE)</f>
        <v>1.0093000000000001</v>
      </c>
      <c r="BK2270" s="25">
        <f>VLOOKUP(Inventory[[#This Row],[Decade]],Lookups!$O$25:$R$42,4,FALSE)</f>
        <v>0.74960000000000004</v>
      </c>
      <c r="BL2270" s="25">
        <f>Inventory[[#This Row],[Nbhd Adj]]*0.95</f>
        <v>0.94971499999999998</v>
      </c>
      <c r="BM2270" s="25">
        <f>Inventory[[#This Row],[Nbhd Adj]]*Inventory[[#This Row],[Quality Adj]]*Inventory[[#This Row],[Condition Adj]]*Inventory[[#This Row],[Living Area Adj]]*Inventory[[#This Row],[Decade Adj]]*0.95</f>
        <v>0.72088113164789325</v>
      </c>
      <c r="BN2270" s="25">
        <f>ROUND(SUM(Inventory[[#This Row],[Mdl Qlty]:[Mdl WdDeck]])+Inventory[[#This Row],[Mdl Res Intercept]]*Inventory[[#This Row],[Res Adj ]],-2)</f>
        <v>310200</v>
      </c>
      <c r="BO2270" s="25">
        <f>ROUND(Inventory[[#This Row],[25Det]]*Inventory[[#This Row],[Det/Nbhd Adj]],-2)</f>
        <v>22300</v>
      </c>
      <c r="BP2270" s="25">
        <f>Inventory[[#This Row],[Adjusted Res]]+Inventory[[#This Row],[Adj Det ]]</f>
        <v>332500</v>
      </c>
      <c r="BQ2270" s="25">
        <f>ROUND((Inventory[[#This Row],[Mdl Land Intercept]]+Inventory[[#This Row],[Mdl LnAcres]])*Inventory[[#This Row],[Det/Nbhd Adj]],-2)</f>
        <v>46000</v>
      </c>
      <c r="BR2270" s="25">
        <f>Inventory[[#This Row],[Adjusted Impr Total]]+Inventory[[#This Row],[Adjusted Land Total]]</f>
        <v>378500</v>
      </c>
      <c r="BS2270" s="36">
        <f>IFERROR((Inventory[[#This Row],[Adjusted Impr Total]]-Inventory[[#This Row],[24Bldg]])/Inventory[[#This Row],[24Bldg]],0)</f>
        <v>0.13636363636363635</v>
      </c>
      <c r="BT2270" s="36">
        <f>(Inventory[[#This Row],[Adjusted Land Total]]-Inventory[[#This Row],[24Lnd]])/Inventory[[#This Row],[24Lnd]]</f>
        <v>-0.33236574746008707</v>
      </c>
      <c r="BU2270" s="36">
        <f>(Inventory[[#This Row],[Adjusted Total]]-Inventory[[#This Row],[24Final]])/Inventory[[#This Row],[24Final]]</f>
        <v>4.7026279391424619E-2</v>
      </c>
    </row>
    <row r="2271" spans="1:73" x14ac:dyDescent="0.3">
      <c r="A2271" s="25">
        <v>2025</v>
      </c>
      <c r="B2271" s="26" t="s">
        <v>1351</v>
      </c>
      <c r="C2271" s="26">
        <f>LN(Inventory[[#This Row],[Acres]])</f>
        <v>-0.89159811928378363</v>
      </c>
      <c r="D2271" s="25">
        <v>0.41</v>
      </c>
      <c r="E2271" s="25">
        <v>17828</v>
      </c>
      <c r="F2271" s="26" t="s">
        <v>537</v>
      </c>
      <c r="G2271" s="26" t="s">
        <v>126</v>
      </c>
      <c r="H2271" s="26" t="s">
        <v>349</v>
      </c>
      <c r="I2271" s="26" t="s">
        <v>538</v>
      </c>
      <c r="J2271" s="26" t="s">
        <v>539</v>
      </c>
      <c r="K2271" s="26" t="s">
        <v>416</v>
      </c>
      <c r="L2271" s="26" t="s">
        <v>302</v>
      </c>
      <c r="M2271" s="26" t="s">
        <v>323</v>
      </c>
      <c r="N2271" s="26">
        <v>130</v>
      </c>
      <c r="O2271" s="26">
        <f>2024-Inventory[[#This Row],[YrBlt]]</f>
        <v>122</v>
      </c>
      <c r="P2271" s="26">
        <f>2024-Inventory[[#This Row],[EffYr]]</f>
        <v>74</v>
      </c>
      <c r="Q2271" s="25">
        <v>1902</v>
      </c>
      <c r="R2271" s="25">
        <v>1950</v>
      </c>
      <c r="S2271" s="25">
        <v>1552</v>
      </c>
      <c r="T2271" s="32">
        <v>1159</v>
      </c>
      <c r="U2271" s="25">
        <v>64</v>
      </c>
      <c r="V2271" s="25">
        <f>Inventory[[#This Row],[Bsmt]]-Inventory[[#This Row],[FnBsmt]]</f>
        <v>64</v>
      </c>
      <c r="W2271" s="31"/>
      <c r="X2271" s="27"/>
      <c r="Y2271" s="27">
        <f>Inventory[[#This Row],[MainFn]]+Inventory[[#This Row],[UpprFn]]+Inventory[[#This Row],[FnBsmt]]+Inventory[[#This Row],[AddFn]]</f>
        <v>2711</v>
      </c>
      <c r="Z2271" s="27">
        <v>3000</v>
      </c>
      <c r="AA2271" s="25">
        <v>11</v>
      </c>
      <c r="AB2271" s="31"/>
      <c r="AC2271" s="27"/>
      <c r="AD2271" s="32">
        <v>451</v>
      </c>
      <c r="AE2271" s="27"/>
      <c r="AF2271" s="27"/>
      <c r="AG2271" s="27"/>
      <c r="AH2271" s="27"/>
      <c r="AI2271" s="25">
        <v>441330</v>
      </c>
      <c r="AJ2271" s="25">
        <v>242732</v>
      </c>
      <c r="AK2271" s="25">
        <v>0</v>
      </c>
      <c r="AL2271" s="25">
        <v>404700</v>
      </c>
      <c r="AM2271" s="25">
        <v>83400</v>
      </c>
      <c r="AN2271" s="25">
        <v>321300</v>
      </c>
      <c r="AO2271" s="25">
        <v>0</v>
      </c>
      <c r="AP2271" s="25">
        <f>Lookups!$B$56*0</f>
        <v>0</v>
      </c>
      <c r="AQ2271" s="25">
        <f>Lookups!$B$56*1</f>
        <v>89850.625589999996</v>
      </c>
      <c r="AR2271" s="25">
        <f>Lookups!$B$57*Inventory[[#This Row],[LnAcres]]</f>
        <v>-28223.195861326454</v>
      </c>
      <c r="AS2271" s="25">
        <f>VLOOKUP(Inventory[[#This Row],[Qlty]],Lookups!$A$62:$E$75,2,FALSE)</f>
        <v>29814.093161000001</v>
      </c>
      <c r="AT2271" s="25">
        <f>VLOOKUP(Inventory[[#This Row],[Cnd]],Lookups!$A$76:$E$84,2,FALSE)</f>
        <v>160472.20319</v>
      </c>
      <c r="AU2271" s="25">
        <f>Inventory[[#This Row],[EffAge]]*Lookups!$B$85</f>
        <v>-16505.374437000002</v>
      </c>
      <c r="AV2271" s="25">
        <f>Inventory[[#This Row],[MainFn]]*Lookups!$B$86</f>
        <v>76682.255649104001</v>
      </c>
      <c r="AW2271" s="25">
        <f>Inventory[[#This Row],[UpprFn]]*Lookups!$B$87</f>
        <v>51907.464095898998</v>
      </c>
      <c r="AX2271" s="25">
        <f>Inventory[[#This Row],[AddFn]]*Lookups!$B$88</f>
        <v>0</v>
      </c>
      <c r="AY2271" s="25">
        <f>Inventory[[#This Row],[Bsmt]]*Lookups!$B$89</f>
        <v>1861.2412958079999</v>
      </c>
      <c r="AZ2271" s="25">
        <f>Inventory[[#This Row],[Fixtures]]*Lookups!$B$90</f>
        <v>41712.243157199999</v>
      </c>
      <c r="BA2271" s="25">
        <f>Inventory[[#This Row],[WdDeck]]*Lookups!$B$91</f>
        <v>15016.277389476001</v>
      </c>
      <c r="BB2271" s="25">
        <f>ROUND(Inventory[[#This Row],[25Det]],-2)</f>
        <v>0</v>
      </c>
      <c r="BC2271" s="25">
        <f>ROUND(SUM(Inventory[[#This Row],[Mdl Qlty]:[Mdl WdDeck]])+Inventory[[#This Row],[Mdl Res Intercept]],-2)</f>
        <v>361000</v>
      </c>
      <c r="BD2271" s="25">
        <f>ROUND(Inventory[[#This Row],[Mdl Land Intercept]]+Inventory[[#This Row],[Mdl LnAcres]],-2)</f>
        <v>61600</v>
      </c>
      <c r="BE2271" s="25">
        <f>Inventory[[#This Row],[Unadj Res Value]]+Inventory[[#This Row],[Unadj Det Value]]+Inventory[[#This Row],[Unadj Land Value]]</f>
        <v>422600</v>
      </c>
      <c r="BF2271" s="36">
        <f>(Inventory[[#This Row],[Unadj Total Value]]-Inventory[[#This Row],[24Final]])/Inventory[[#This Row],[24Final]]</f>
        <v>4.4230294044971585E-2</v>
      </c>
      <c r="BG2271" s="25">
        <f>VLOOKUP(Inventory[[#This Row],[Nbhd]],Lookups!$Q$2:$T$4,4,FALSE)</f>
        <v>0.99970000000000003</v>
      </c>
      <c r="BH2271" s="25">
        <f>VLOOKUP(Inventory[[#This Row],[Qlty]],Lookups!$O$7:$R$21,4,FALSE)</f>
        <v>1.0088999999999999</v>
      </c>
      <c r="BI2271" s="25">
        <f>VLOOKUP(Inventory[[#This Row],[Cnd]],Lookups!$T$7:$W$16,4,FALSE)</f>
        <v>0.99729999999999996</v>
      </c>
      <c r="BJ2271" s="25">
        <f>VLOOKUP(Inventory[[#This Row],[LivArea Range]],Lookups!$T$25:$W$37,4,FALSE)</f>
        <v>0.96179999999999999</v>
      </c>
      <c r="BK2271" s="25">
        <f>VLOOKUP(Inventory[[#This Row],[Decade]],Lookups!$O$25:$R$42,4,FALSE)</f>
        <v>0.74960000000000004</v>
      </c>
      <c r="BL2271" s="25">
        <f>Inventory[[#This Row],[Nbhd Adj]]*0.95</f>
        <v>0.94971499999999998</v>
      </c>
      <c r="BM2271" s="25">
        <f>Inventory[[#This Row],[Nbhd Adj]]*Inventory[[#This Row],[Quality Adj]]*Inventory[[#This Row],[Condition Adj]]*Inventory[[#This Row],[Living Area Adj]]*Inventory[[#This Row],[Decade Adj]]*0.95</f>
        <v>0.68894029883042252</v>
      </c>
      <c r="BN2271" s="25">
        <f>ROUND(SUM(Inventory[[#This Row],[Mdl Qlty]:[Mdl WdDeck]])+Inventory[[#This Row],[Mdl Res Intercept]]*Inventory[[#This Row],[Res Adj ]],-2)</f>
        <v>361000</v>
      </c>
      <c r="BO2271" s="25">
        <f>ROUND(Inventory[[#This Row],[25Det]]*Inventory[[#This Row],[Det/Nbhd Adj]],-2)</f>
        <v>0</v>
      </c>
      <c r="BP2271" s="25">
        <f>Inventory[[#This Row],[Adjusted Res]]+Inventory[[#This Row],[Adj Det ]]</f>
        <v>361000</v>
      </c>
      <c r="BQ2271" s="25">
        <f>ROUND((Inventory[[#This Row],[Mdl Land Intercept]]+Inventory[[#This Row],[Mdl LnAcres]])*Inventory[[#This Row],[Det/Nbhd Adj]],-2)</f>
        <v>58500</v>
      </c>
      <c r="BR2271" s="25">
        <f>Inventory[[#This Row],[Adjusted Impr Total]]+Inventory[[#This Row],[Adjusted Land Total]]</f>
        <v>419500</v>
      </c>
      <c r="BS2271" s="36">
        <f>IFERROR((Inventory[[#This Row],[Adjusted Impr Total]]-Inventory[[#This Row],[24Bldg]])/Inventory[[#This Row],[24Bldg]],0)</f>
        <v>0.12356053532524121</v>
      </c>
      <c r="BT2271" s="36">
        <f>(Inventory[[#This Row],[Adjusted Land Total]]-Inventory[[#This Row],[24Lnd]])/Inventory[[#This Row],[24Lnd]]</f>
        <v>-0.29856115107913667</v>
      </c>
      <c r="BU2271" s="36">
        <f>(Inventory[[#This Row],[Adjusted Total]]-Inventory[[#This Row],[24Final]])/Inventory[[#This Row],[24Final]]</f>
        <v>3.6570298986903879E-2</v>
      </c>
    </row>
    <row r="2272" spans="1:73" x14ac:dyDescent="0.3">
      <c r="A2272" s="25">
        <v>2025</v>
      </c>
      <c r="B2272" s="26" t="s">
        <v>1716</v>
      </c>
      <c r="C2272" s="26">
        <f>LN(Inventory[[#This Row],[Acres]])</f>
        <v>-1.2039728043259361</v>
      </c>
      <c r="D2272" s="25">
        <v>0.3</v>
      </c>
      <c r="E2272" s="25">
        <v>12946</v>
      </c>
      <c r="F2272" s="26" t="s">
        <v>537</v>
      </c>
      <c r="G2272" s="26" t="s">
        <v>126</v>
      </c>
      <c r="H2272" s="26" t="s">
        <v>349</v>
      </c>
      <c r="I2272" s="26" t="s">
        <v>538</v>
      </c>
      <c r="J2272" s="26" t="s">
        <v>539</v>
      </c>
      <c r="K2272" s="26" t="s">
        <v>416</v>
      </c>
      <c r="L2272" s="26" t="s">
        <v>351</v>
      </c>
      <c r="M2272" s="26" t="s">
        <v>303</v>
      </c>
      <c r="N2272" s="26">
        <v>130</v>
      </c>
      <c r="O2272" s="26">
        <f>2024-Inventory[[#This Row],[YrBlt]]</f>
        <v>123</v>
      </c>
      <c r="P2272" s="26">
        <f>2024-Inventory[[#This Row],[EffYr]]</f>
        <v>75</v>
      </c>
      <c r="Q2272" s="25">
        <v>1901</v>
      </c>
      <c r="R2272" s="25">
        <v>1949</v>
      </c>
      <c r="S2272" s="25">
        <v>1368</v>
      </c>
      <c r="T2272" s="25">
        <v>793</v>
      </c>
      <c r="U2272" s="25">
        <v>1356</v>
      </c>
      <c r="V2272" s="25">
        <f>Inventory[[#This Row],[Bsmt]]-Inventory[[#This Row],[FnBsmt]]</f>
        <v>325</v>
      </c>
      <c r="W2272" s="25">
        <v>1031</v>
      </c>
      <c r="X2272" s="27"/>
      <c r="Y2272" s="27">
        <f>Inventory[[#This Row],[MainFn]]+Inventory[[#This Row],[UpprFn]]+Inventory[[#This Row],[FnBsmt]]+Inventory[[#This Row],[AddFn]]</f>
        <v>3192</v>
      </c>
      <c r="Z2272" s="27">
        <v>3500</v>
      </c>
      <c r="AA2272" s="25">
        <v>7</v>
      </c>
      <c r="AB2272" s="32">
        <v>550</v>
      </c>
      <c r="AC2272" s="27"/>
      <c r="AD2272" s="25">
        <v>360</v>
      </c>
      <c r="AE2272" s="27"/>
      <c r="AF2272" s="27"/>
      <c r="AG2272" s="27"/>
      <c r="AH2272" s="27"/>
      <c r="AI2272" s="25">
        <v>425797</v>
      </c>
      <c r="AJ2272" s="25">
        <v>242704</v>
      </c>
      <c r="AK2272" s="25">
        <v>0</v>
      </c>
      <c r="AL2272" s="25">
        <v>412900</v>
      </c>
      <c r="AM2272" s="25">
        <v>72500</v>
      </c>
      <c r="AN2272" s="25">
        <v>340400</v>
      </c>
      <c r="AO2272" s="25">
        <v>0</v>
      </c>
      <c r="AP2272" s="25">
        <f>Lookups!$B$56*0</f>
        <v>0</v>
      </c>
      <c r="AQ2272" s="25">
        <f>Lookups!$B$56*1</f>
        <v>89850.625589999996</v>
      </c>
      <c r="AR2272" s="25">
        <f>Lookups!$B$57*Inventory[[#This Row],[LnAcres]]</f>
        <v>-38111.29648355169</v>
      </c>
      <c r="AS2272" s="25">
        <f>VLOOKUP(Inventory[[#This Row],[Qlty]],Lookups!$A$62:$E$75,2,FALSE)</f>
        <v>21557.329055999999</v>
      </c>
      <c r="AT2272" s="25">
        <f>VLOOKUP(Inventory[[#This Row],[Cnd]],Lookups!$A$76:$E$84,2,FALSE)</f>
        <v>197752.34721000001</v>
      </c>
      <c r="AU2272" s="25">
        <f>Inventory[[#This Row],[EffAge]]*Lookups!$B$85</f>
        <v>-16728.4200375</v>
      </c>
      <c r="AV2272" s="25">
        <f>Inventory[[#This Row],[MainFn]]*Lookups!$B$86</f>
        <v>67591.060391735999</v>
      </c>
      <c r="AW2272" s="25">
        <f>Inventory[[#This Row],[UpprFn]]*Lookups!$B$87</f>
        <v>35515.633328773001</v>
      </c>
      <c r="AX2272" s="25">
        <f>Inventory[[#This Row],[AddFn]]*Lookups!$B$88</f>
        <v>0</v>
      </c>
      <c r="AY2272" s="25">
        <f>Inventory[[#This Row],[Bsmt]]*Lookups!$B$89</f>
        <v>39435.049954932001</v>
      </c>
      <c r="AZ2272" s="25">
        <f>Inventory[[#This Row],[Fixtures]]*Lookups!$B$90</f>
        <v>26544.1547364</v>
      </c>
      <c r="BA2272" s="25">
        <f>Inventory[[#This Row],[WdDeck]]*Lookups!$B$91</f>
        <v>11986.385499360002</v>
      </c>
      <c r="BB2272" s="25">
        <f>ROUND(Inventory[[#This Row],[25Det]],-2)</f>
        <v>0</v>
      </c>
      <c r="BC2272" s="25">
        <f>ROUND(SUM(Inventory[[#This Row],[Mdl Qlty]:[Mdl WdDeck]])+Inventory[[#This Row],[Mdl Res Intercept]],-2)</f>
        <v>383700</v>
      </c>
      <c r="BD2272" s="25">
        <f>ROUND(Inventory[[#This Row],[Mdl Land Intercept]]+Inventory[[#This Row],[Mdl LnAcres]],-2)</f>
        <v>51700</v>
      </c>
      <c r="BE2272" s="25">
        <f>Inventory[[#This Row],[Unadj Res Value]]+Inventory[[#This Row],[Unadj Det Value]]+Inventory[[#This Row],[Unadj Land Value]]</f>
        <v>435400</v>
      </c>
      <c r="BF2272" s="36">
        <f>(Inventory[[#This Row],[Unadj Total Value]]-Inventory[[#This Row],[24Final]])/Inventory[[#This Row],[24Final]]</f>
        <v>5.4492613223540806E-2</v>
      </c>
      <c r="BG2272" s="25">
        <f>VLOOKUP(Inventory[[#This Row],[Nbhd]],Lookups!$Q$2:$T$4,4,FALSE)</f>
        <v>0.99970000000000003</v>
      </c>
      <c r="BH2272" s="25">
        <f>VLOOKUP(Inventory[[#This Row],[Qlty]],Lookups!$O$7:$R$21,4,FALSE)</f>
        <v>1.0067999999999999</v>
      </c>
      <c r="BI2272" s="25">
        <f>VLOOKUP(Inventory[[#This Row],[Cnd]],Lookups!$T$7:$W$16,4,FALSE)</f>
        <v>0.99650000000000005</v>
      </c>
      <c r="BJ2272" s="25">
        <f>VLOOKUP(Inventory[[#This Row],[LivArea Range]],Lookups!$T$25:$W$37,4,FALSE)</f>
        <v>1.0126999999999999</v>
      </c>
      <c r="BK2272" s="25">
        <f>VLOOKUP(Inventory[[#This Row],[Decade]],Lookups!$O$25:$R$42,4,FALSE)</f>
        <v>0.74960000000000004</v>
      </c>
      <c r="BL2272" s="25">
        <f>Inventory[[#This Row],[Nbhd Adj]]*0.95</f>
        <v>0.94971499999999998</v>
      </c>
      <c r="BM2272" s="25">
        <f>Inventory[[#This Row],[Nbhd Adj]]*Inventory[[#This Row],[Quality Adj]]*Inventory[[#This Row],[Condition Adj]]*Inventory[[#This Row],[Living Area Adj]]*Inventory[[#This Row],[Decade Adj]]*0.95</f>
        <v>0.72330954326743446</v>
      </c>
      <c r="BN2272" s="25">
        <f>ROUND(SUM(Inventory[[#This Row],[Mdl Qlty]:[Mdl WdDeck]])+Inventory[[#This Row],[Mdl Res Intercept]]*Inventory[[#This Row],[Res Adj ]],-2)</f>
        <v>383700</v>
      </c>
      <c r="BO2272" s="25">
        <f>ROUND(Inventory[[#This Row],[25Det]]*Inventory[[#This Row],[Det/Nbhd Adj]],-2)</f>
        <v>0</v>
      </c>
      <c r="BP2272" s="25">
        <f>Inventory[[#This Row],[Adjusted Res]]+Inventory[[#This Row],[Adj Det ]]</f>
        <v>383700</v>
      </c>
      <c r="BQ2272" s="25">
        <f>ROUND((Inventory[[#This Row],[Mdl Land Intercept]]+Inventory[[#This Row],[Mdl LnAcres]])*Inventory[[#This Row],[Det/Nbhd Adj]],-2)</f>
        <v>49100</v>
      </c>
      <c r="BR2272" s="25">
        <f>Inventory[[#This Row],[Adjusted Impr Total]]+Inventory[[#This Row],[Adjusted Land Total]]</f>
        <v>432800</v>
      </c>
      <c r="BS2272" s="36">
        <f>IFERROR((Inventory[[#This Row],[Adjusted Impr Total]]-Inventory[[#This Row],[24Bldg]])/Inventory[[#This Row],[24Bldg]],0)</f>
        <v>0.12720329024676852</v>
      </c>
      <c r="BT2272" s="36">
        <f>(Inventory[[#This Row],[Adjusted Land Total]]-Inventory[[#This Row],[24Lnd]])/Inventory[[#This Row],[24Lnd]]</f>
        <v>-0.32275862068965516</v>
      </c>
      <c r="BU2272" s="36">
        <f>(Inventory[[#This Row],[Adjusted Total]]-Inventory[[#This Row],[24Final]])/Inventory[[#This Row],[24Final]]</f>
        <v>4.8195689028820536E-2</v>
      </c>
    </row>
    <row r="2273" spans="1:73" x14ac:dyDescent="0.3">
      <c r="A2273" s="25">
        <v>2025</v>
      </c>
      <c r="B2273" s="26" t="s">
        <v>1464</v>
      </c>
      <c r="C2273" s="26">
        <f>LN(Inventory[[#This Row],[Acres]])</f>
        <v>-1.3470736479666092</v>
      </c>
      <c r="D2273" s="25">
        <v>0.26</v>
      </c>
      <c r="E2273" s="25">
        <v>11401</v>
      </c>
      <c r="F2273" s="26" t="s">
        <v>537</v>
      </c>
      <c r="G2273" s="26" t="s">
        <v>126</v>
      </c>
      <c r="H2273" s="26" t="s">
        <v>349</v>
      </c>
      <c r="I2273" s="26" t="s">
        <v>538</v>
      </c>
      <c r="J2273" s="26" t="s">
        <v>539</v>
      </c>
      <c r="K2273" s="26" t="s">
        <v>63</v>
      </c>
      <c r="L2273" s="26" t="s">
        <v>351</v>
      </c>
      <c r="M2273" s="26" t="s">
        <v>303</v>
      </c>
      <c r="N2273" s="26">
        <v>130</v>
      </c>
      <c r="O2273" s="26">
        <f>2024-Inventory[[#This Row],[YrBlt]]</f>
        <v>123</v>
      </c>
      <c r="P2273" s="26">
        <f>2024-Inventory[[#This Row],[EffYr]]</f>
        <v>75</v>
      </c>
      <c r="Q2273" s="25">
        <v>1901</v>
      </c>
      <c r="R2273" s="25">
        <v>1949</v>
      </c>
      <c r="S2273" s="25">
        <v>1300</v>
      </c>
      <c r="T2273" s="25">
        <v>1188</v>
      </c>
      <c r="U2273" s="25">
        <v>576</v>
      </c>
      <c r="V2273" s="25">
        <f>Inventory[[#This Row],[Bsmt]]-Inventory[[#This Row],[FnBsmt]]</f>
        <v>576</v>
      </c>
      <c r="W2273" s="31"/>
      <c r="X2273" s="27"/>
      <c r="Y2273" s="27">
        <f>Inventory[[#This Row],[MainFn]]+Inventory[[#This Row],[UpprFn]]+Inventory[[#This Row],[FnBsmt]]+Inventory[[#This Row],[AddFn]]</f>
        <v>2488</v>
      </c>
      <c r="Z2273" s="27">
        <v>2500</v>
      </c>
      <c r="AA2273" s="25">
        <v>8</v>
      </c>
      <c r="AB2273" s="31"/>
      <c r="AC2273" s="27"/>
      <c r="AD2273" s="31"/>
      <c r="AE2273" s="27"/>
      <c r="AF2273" s="27"/>
      <c r="AG2273" s="27"/>
      <c r="AH2273" s="27"/>
      <c r="AI2273" s="25">
        <v>370552</v>
      </c>
      <c r="AJ2273" s="25">
        <v>211215</v>
      </c>
      <c r="AK2273" s="25">
        <v>10334</v>
      </c>
      <c r="AL2273" s="25">
        <v>404700</v>
      </c>
      <c r="AM2273" s="25">
        <v>67600</v>
      </c>
      <c r="AN2273" s="25">
        <v>337100</v>
      </c>
      <c r="AO2273" s="25">
        <v>0</v>
      </c>
      <c r="AP2273" s="25">
        <f>Lookups!$B$56*0</f>
        <v>0</v>
      </c>
      <c r="AQ2273" s="25">
        <f>Lookups!$B$56*1</f>
        <v>89850.625589999996</v>
      </c>
      <c r="AR2273" s="25">
        <f>Lookups!$B$57*Inventory[[#This Row],[LnAcres]]</f>
        <v>-42641.098701210125</v>
      </c>
      <c r="AS2273" s="25">
        <f>VLOOKUP(Inventory[[#This Row],[Qlty]],Lookups!$A$62:$E$75,2,FALSE)</f>
        <v>21557.329055999999</v>
      </c>
      <c r="AT2273" s="25">
        <f>VLOOKUP(Inventory[[#This Row],[Cnd]],Lookups!$A$76:$E$84,2,FALSE)</f>
        <v>197752.34721000001</v>
      </c>
      <c r="AU2273" s="25">
        <f>Inventory[[#This Row],[EffAge]]*Lookups!$B$85</f>
        <v>-16728.4200375</v>
      </c>
      <c r="AV2273" s="25">
        <f>Inventory[[#This Row],[MainFn]]*Lookups!$B$86</f>
        <v>64231.270840099998</v>
      </c>
      <c r="AW2273" s="25">
        <f>Inventory[[#This Row],[UpprFn]]*Lookups!$B$87</f>
        <v>53206.270358868001</v>
      </c>
      <c r="AX2273" s="25">
        <f>Inventory[[#This Row],[AddFn]]*Lookups!$B$88</f>
        <v>0</v>
      </c>
      <c r="AY2273" s="25">
        <f>Inventory[[#This Row],[Bsmt]]*Lookups!$B$89</f>
        <v>16751.171662271998</v>
      </c>
      <c r="AZ2273" s="25">
        <f>Inventory[[#This Row],[Fixtures]]*Lookups!$B$90</f>
        <v>30336.176841600001</v>
      </c>
      <c r="BA2273" s="25">
        <f>Inventory[[#This Row],[WdDeck]]*Lookups!$B$91</f>
        <v>0</v>
      </c>
      <c r="BB2273" s="25">
        <f>ROUND(Inventory[[#This Row],[25Det]],-2)</f>
        <v>10300</v>
      </c>
      <c r="BC2273" s="25">
        <f>ROUND(SUM(Inventory[[#This Row],[Mdl Qlty]:[Mdl WdDeck]])+Inventory[[#This Row],[Mdl Res Intercept]],-2)</f>
        <v>367100</v>
      </c>
      <c r="BD2273" s="25">
        <f>ROUND(Inventory[[#This Row],[Mdl Land Intercept]]+Inventory[[#This Row],[Mdl LnAcres]],-2)</f>
        <v>47200</v>
      </c>
      <c r="BE2273" s="25">
        <f>Inventory[[#This Row],[Unadj Res Value]]+Inventory[[#This Row],[Unadj Det Value]]+Inventory[[#This Row],[Unadj Land Value]]</f>
        <v>424600</v>
      </c>
      <c r="BF2273" s="36">
        <f>(Inventory[[#This Row],[Unadj Total Value]]-Inventory[[#This Row],[24Final]])/Inventory[[#This Row],[24Final]]</f>
        <v>4.9172226340499135E-2</v>
      </c>
      <c r="BG2273" s="25">
        <f>VLOOKUP(Inventory[[#This Row],[Nbhd]],Lookups!$Q$2:$T$4,4,FALSE)</f>
        <v>0.99970000000000003</v>
      </c>
      <c r="BH2273" s="25">
        <f>VLOOKUP(Inventory[[#This Row],[Qlty]],Lookups!$O$7:$R$21,4,FALSE)</f>
        <v>1.0067999999999999</v>
      </c>
      <c r="BI2273" s="25">
        <f>VLOOKUP(Inventory[[#This Row],[Cnd]],Lookups!$T$7:$W$16,4,FALSE)</f>
        <v>0.99650000000000005</v>
      </c>
      <c r="BJ2273" s="25">
        <f>VLOOKUP(Inventory[[#This Row],[LivArea Range]],Lookups!$T$25:$W$37,4,FALSE)</f>
        <v>0.98919999999999997</v>
      </c>
      <c r="BK2273" s="25">
        <f>VLOOKUP(Inventory[[#This Row],[Decade]],Lookups!$O$25:$R$42,4,FALSE)</f>
        <v>0.74960000000000004</v>
      </c>
      <c r="BL2273" s="25">
        <f>Inventory[[#This Row],[Nbhd Adj]]*0.95</f>
        <v>0.94971499999999998</v>
      </c>
      <c r="BM2273" s="25">
        <f>Inventory[[#This Row],[Nbhd Adj]]*Inventory[[#This Row],[Quality Adj]]*Inventory[[#This Row],[Condition Adj]]*Inventory[[#This Row],[Living Area Adj]]*Inventory[[#This Row],[Decade Adj]]*0.95</f>
        <v>0.70652493354413559</v>
      </c>
      <c r="BN2273" s="25">
        <f>ROUND(SUM(Inventory[[#This Row],[Mdl Qlty]:[Mdl WdDeck]])+Inventory[[#This Row],[Mdl Res Intercept]]*Inventory[[#This Row],[Res Adj ]],-2)</f>
        <v>367100</v>
      </c>
      <c r="BO2273" s="25">
        <f>ROUND(Inventory[[#This Row],[25Det]]*Inventory[[#This Row],[Det/Nbhd Adj]],-2)</f>
        <v>9800</v>
      </c>
      <c r="BP2273" s="25">
        <f>Inventory[[#This Row],[Adjusted Res]]+Inventory[[#This Row],[Adj Det ]]</f>
        <v>376900</v>
      </c>
      <c r="BQ2273" s="25">
        <f>ROUND((Inventory[[#This Row],[Mdl Land Intercept]]+Inventory[[#This Row],[Mdl LnAcres]])*Inventory[[#This Row],[Det/Nbhd Adj]],-2)</f>
        <v>44800</v>
      </c>
      <c r="BR2273" s="25">
        <f>Inventory[[#This Row],[Adjusted Impr Total]]+Inventory[[#This Row],[Adjusted Land Total]]</f>
        <v>421700</v>
      </c>
      <c r="BS2273" s="36">
        <f>IFERROR((Inventory[[#This Row],[Adjusted Impr Total]]-Inventory[[#This Row],[24Bldg]])/Inventory[[#This Row],[24Bldg]],0)</f>
        <v>0.11806585582913082</v>
      </c>
      <c r="BT2273" s="36">
        <f>(Inventory[[#This Row],[Adjusted Land Total]]-Inventory[[#This Row],[24Lnd]])/Inventory[[#This Row],[24Lnd]]</f>
        <v>-0.33727810650887574</v>
      </c>
      <c r="BU2273" s="36">
        <f>(Inventory[[#This Row],[Adjusted Total]]-Inventory[[#This Row],[24Final]])/Inventory[[#This Row],[24Final]]</f>
        <v>4.2006424511984185E-2</v>
      </c>
    </row>
    <row r="2274" spans="1:73" x14ac:dyDescent="0.3">
      <c r="A2274" s="25">
        <v>2025</v>
      </c>
      <c r="B2274" s="26" t="s">
        <v>2063</v>
      </c>
      <c r="C2274" s="26">
        <f>LN(Inventory[[#This Row],[Acres]])</f>
        <v>-0.73396917508020043</v>
      </c>
      <c r="D2274" s="25">
        <v>0.48</v>
      </c>
      <c r="E2274" s="25">
        <v>20720</v>
      </c>
      <c r="F2274" s="26" t="s">
        <v>537</v>
      </c>
      <c r="G2274" s="26" t="s">
        <v>126</v>
      </c>
      <c r="H2274" s="26" t="s">
        <v>349</v>
      </c>
      <c r="I2274" s="26" t="s">
        <v>538</v>
      </c>
      <c r="J2274" s="26" t="s">
        <v>539</v>
      </c>
      <c r="K2274" s="26" t="s">
        <v>173</v>
      </c>
      <c r="L2274" s="26" t="s">
        <v>148</v>
      </c>
      <c r="M2274" s="26" t="s">
        <v>303</v>
      </c>
      <c r="N2274" s="26">
        <v>130</v>
      </c>
      <c r="O2274" s="26">
        <f>2024-Inventory[[#This Row],[YrBlt]]</f>
        <v>123</v>
      </c>
      <c r="P2274" s="26">
        <f>2024-Inventory[[#This Row],[EffYr]]</f>
        <v>75</v>
      </c>
      <c r="Q2274" s="25">
        <v>1901</v>
      </c>
      <c r="R2274" s="25">
        <v>1949</v>
      </c>
      <c r="S2274" s="25">
        <v>1860</v>
      </c>
      <c r="T2274" s="32">
        <v>1309</v>
      </c>
      <c r="U2274" s="25">
        <v>198</v>
      </c>
      <c r="V2274" s="25">
        <f>Inventory[[#This Row],[Bsmt]]-Inventory[[#This Row],[FnBsmt]]</f>
        <v>198</v>
      </c>
      <c r="W2274" s="25">
        <v>0</v>
      </c>
      <c r="X2274" s="27"/>
      <c r="Y2274" s="27">
        <f>Inventory[[#This Row],[MainFn]]+Inventory[[#This Row],[UpprFn]]+Inventory[[#This Row],[FnBsmt]]+Inventory[[#This Row],[AddFn]]</f>
        <v>3169</v>
      </c>
      <c r="Z2274" s="27">
        <v>3500</v>
      </c>
      <c r="AA2274" s="25">
        <v>11</v>
      </c>
      <c r="AB2274" s="27"/>
      <c r="AC2274" s="27"/>
      <c r="AD2274" s="27"/>
      <c r="AE2274" s="27"/>
      <c r="AF2274" s="27"/>
      <c r="AG2274" s="27"/>
      <c r="AH2274" s="27"/>
      <c r="AI2274" s="25">
        <v>592042</v>
      </c>
      <c r="AJ2274" s="25">
        <v>337464</v>
      </c>
      <c r="AK2274" s="25">
        <v>0</v>
      </c>
      <c r="AL2274" s="25">
        <v>477600</v>
      </c>
      <c r="AM2274" s="25">
        <v>88900</v>
      </c>
      <c r="AN2274" s="25">
        <v>388700</v>
      </c>
      <c r="AO2274" s="25">
        <v>0</v>
      </c>
      <c r="AP2274" s="25">
        <f>Lookups!$B$56*0</f>
        <v>0</v>
      </c>
      <c r="AQ2274" s="25">
        <f>Lookups!$B$56*1</f>
        <v>89850.625589999996</v>
      </c>
      <c r="AR2274" s="25">
        <f>Lookups!$B$57*Inventory[[#This Row],[LnAcres]]</f>
        <v>-23233.512202902497</v>
      </c>
      <c r="AS2274" s="25">
        <f>VLOOKUP(Inventory[[#This Row],[Qlty]],Lookups!$A$62:$E$75,2,FALSE)</f>
        <v>44121.038090000002</v>
      </c>
      <c r="AT2274" s="25">
        <f>VLOOKUP(Inventory[[#This Row],[Cnd]],Lookups!$A$76:$E$84,2,FALSE)</f>
        <v>197752.34721000001</v>
      </c>
      <c r="AU2274" s="25">
        <f>Inventory[[#This Row],[EffAge]]*Lookups!$B$85</f>
        <v>-16728.4200375</v>
      </c>
      <c r="AV2274" s="25">
        <f>Inventory[[#This Row],[MainFn]]*Lookups!$B$86</f>
        <v>91900.125971219997</v>
      </c>
      <c r="AW2274" s="25">
        <f>Inventory[[#This Row],[UpprFn]]*Lookups!$B$87</f>
        <v>58625.427525048995</v>
      </c>
      <c r="AX2274" s="25">
        <f>Inventory[[#This Row],[AddFn]]*Lookups!$B$88</f>
        <v>0</v>
      </c>
      <c r="AY2274" s="25">
        <f>Inventory[[#This Row],[Bsmt]]*Lookups!$B$89</f>
        <v>5758.2152589059997</v>
      </c>
      <c r="AZ2274" s="25">
        <f>Inventory[[#This Row],[Fixtures]]*Lookups!$B$90</f>
        <v>41712.243157199999</v>
      </c>
      <c r="BA2274" s="25">
        <f>Inventory[[#This Row],[WdDeck]]*Lookups!$B$91</f>
        <v>0</v>
      </c>
      <c r="BB2274" s="25">
        <f>ROUND(Inventory[[#This Row],[25Det]],-2)</f>
        <v>0</v>
      </c>
      <c r="BC2274" s="25">
        <f>ROUND(SUM(Inventory[[#This Row],[Mdl Qlty]:[Mdl WdDeck]])+Inventory[[#This Row],[Mdl Res Intercept]],-2)</f>
        <v>423100</v>
      </c>
      <c r="BD2274" s="25">
        <f>ROUND(Inventory[[#This Row],[Mdl Land Intercept]]+Inventory[[#This Row],[Mdl LnAcres]],-2)</f>
        <v>66600</v>
      </c>
      <c r="BE2274" s="25">
        <f>Inventory[[#This Row],[Unadj Res Value]]+Inventory[[#This Row],[Unadj Det Value]]+Inventory[[#This Row],[Unadj Land Value]]</f>
        <v>489700</v>
      </c>
      <c r="BF2274" s="36">
        <f>(Inventory[[#This Row],[Unadj Total Value]]-Inventory[[#This Row],[24Final]])/Inventory[[#This Row],[24Final]]</f>
        <v>2.533500837520938E-2</v>
      </c>
      <c r="BG2274" s="25">
        <f>VLOOKUP(Inventory[[#This Row],[Nbhd]],Lookups!$Q$2:$T$4,4,FALSE)</f>
        <v>0.99970000000000003</v>
      </c>
      <c r="BH2274" s="25">
        <f>VLOOKUP(Inventory[[#This Row],[Qlty]],Lookups!$O$7:$R$21,4,FALSE)</f>
        <v>0.98050000000000004</v>
      </c>
      <c r="BI2274" s="25">
        <f>VLOOKUP(Inventory[[#This Row],[Cnd]],Lookups!$T$7:$W$16,4,FALSE)</f>
        <v>0.99650000000000005</v>
      </c>
      <c r="BJ2274" s="25">
        <f>VLOOKUP(Inventory[[#This Row],[LivArea Range]],Lookups!$T$25:$W$37,4,FALSE)</f>
        <v>1.0126999999999999</v>
      </c>
      <c r="BK2274" s="25">
        <f>VLOOKUP(Inventory[[#This Row],[Decade]],Lookups!$O$25:$R$42,4,FALSE)</f>
        <v>0.74960000000000004</v>
      </c>
      <c r="BL2274" s="25">
        <f>Inventory[[#This Row],[Nbhd Adj]]*0.95</f>
        <v>0.94971499999999998</v>
      </c>
      <c r="BM2274" s="25">
        <f>Inventory[[#This Row],[Nbhd Adj]]*Inventory[[#This Row],[Quality Adj]]*Inventory[[#This Row],[Condition Adj]]*Inventory[[#This Row],[Living Area Adj]]*Inventory[[#This Row],[Decade Adj]]*0.95</f>
        <v>0.70441498527385726</v>
      </c>
      <c r="BN2274" s="25">
        <f>ROUND(SUM(Inventory[[#This Row],[Mdl Qlty]:[Mdl WdDeck]])+Inventory[[#This Row],[Mdl Res Intercept]]*Inventory[[#This Row],[Res Adj ]],-2)</f>
        <v>423100</v>
      </c>
      <c r="BO2274" s="25">
        <f>ROUND(Inventory[[#This Row],[25Det]]*Inventory[[#This Row],[Det/Nbhd Adj]],-2)</f>
        <v>0</v>
      </c>
      <c r="BP2274" s="25">
        <f>Inventory[[#This Row],[Adjusted Res]]+Inventory[[#This Row],[Adj Det ]]</f>
        <v>423100</v>
      </c>
      <c r="BQ2274" s="25">
        <f>ROUND((Inventory[[#This Row],[Mdl Land Intercept]]+Inventory[[#This Row],[Mdl LnAcres]])*Inventory[[#This Row],[Det/Nbhd Adj]],-2)</f>
        <v>63300</v>
      </c>
      <c r="BR2274" s="25">
        <f>Inventory[[#This Row],[Adjusted Impr Total]]+Inventory[[#This Row],[Adjusted Land Total]]</f>
        <v>486400</v>
      </c>
      <c r="BS2274" s="36">
        <f>IFERROR((Inventory[[#This Row],[Adjusted Impr Total]]-Inventory[[#This Row],[24Bldg]])/Inventory[[#This Row],[24Bldg]],0)</f>
        <v>8.8500128633907896E-2</v>
      </c>
      <c r="BT2274" s="36">
        <f>(Inventory[[#This Row],[Adjusted Land Total]]-Inventory[[#This Row],[24Lnd]])/Inventory[[#This Row],[24Lnd]]</f>
        <v>-0.2879640044994376</v>
      </c>
      <c r="BU2274" s="36">
        <f>(Inventory[[#This Row],[Adjusted Total]]-Inventory[[#This Row],[24Final]])/Inventory[[#This Row],[24Final]]</f>
        <v>1.8425460636515914E-2</v>
      </c>
    </row>
    <row r="2275" spans="1:73" x14ac:dyDescent="0.3">
      <c r="A2275" s="25">
        <v>2025</v>
      </c>
      <c r="B2275" s="26" t="s">
        <v>2117</v>
      </c>
      <c r="C2275" s="26">
        <f>LN(Inventory[[#This Row],[Acres]])</f>
        <v>-1.0216512475319814</v>
      </c>
      <c r="D2275" s="25">
        <v>0.36</v>
      </c>
      <c r="E2275" s="25">
        <v>15807</v>
      </c>
      <c r="F2275" s="26" t="s">
        <v>537</v>
      </c>
      <c r="G2275" s="26" t="s">
        <v>126</v>
      </c>
      <c r="H2275" s="26" t="s">
        <v>349</v>
      </c>
      <c r="I2275" s="26" t="s">
        <v>538</v>
      </c>
      <c r="J2275" s="26" t="s">
        <v>539</v>
      </c>
      <c r="K2275" s="26" t="s">
        <v>173</v>
      </c>
      <c r="L2275" s="26" t="s">
        <v>31</v>
      </c>
      <c r="M2275" s="26" t="s">
        <v>323</v>
      </c>
      <c r="N2275" s="26">
        <v>130</v>
      </c>
      <c r="O2275" s="26">
        <f>2024-Inventory[[#This Row],[YrBlt]]</f>
        <v>123</v>
      </c>
      <c r="P2275" s="26">
        <f>2024-Inventory[[#This Row],[EffYr]]</f>
        <v>75</v>
      </c>
      <c r="Q2275" s="25">
        <v>1901</v>
      </c>
      <c r="R2275" s="25">
        <v>1949</v>
      </c>
      <c r="S2275" s="25">
        <v>696</v>
      </c>
      <c r="T2275" s="32">
        <v>523</v>
      </c>
      <c r="U2275" s="25">
        <v>696</v>
      </c>
      <c r="V2275" s="25">
        <f>Inventory[[#This Row],[Bsmt]]-Inventory[[#This Row],[FnBsmt]]</f>
        <v>696</v>
      </c>
      <c r="W2275" s="31"/>
      <c r="X2275" s="27"/>
      <c r="Y2275" s="27">
        <f>Inventory[[#This Row],[MainFn]]+Inventory[[#This Row],[UpprFn]]+Inventory[[#This Row],[FnBsmt]]+Inventory[[#This Row],[AddFn]]</f>
        <v>1219</v>
      </c>
      <c r="Z2275" s="27">
        <v>1500</v>
      </c>
      <c r="AA2275" s="25">
        <v>6</v>
      </c>
      <c r="AB2275" s="31"/>
      <c r="AC2275" s="27"/>
      <c r="AD2275" s="27"/>
      <c r="AE2275" s="27"/>
      <c r="AF2275" s="27"/>
      <c r="AG2275" s="27"/>
      <c r="AH2275" s="27"/>
      <c r="AI2275" s="25">
        <v>198564</v>
      </c>
      <c r="AJ2275" s="25">
        <v>109210</v>
      </c>
      <c r="AK2275" s="25">
        <v>33228</v>
      </c>
      <c r="AL2275" s="25">
        <v>321100</v>
      </c>
      <c r="AM2275" s="25">
        <v>78900</v>
      </c>
      <c r="AN2275" s="25">
        <v>242200</v>
      </c>
      <c r="AO2275" s="25">
        <v>0</v>
      </c>
      <c r="AP2275" s="25">
        <f>Lookups!$B$56*0</f>
        <v>0</v>
      </c>
      <c r="AQ2275" s="25">
        <f>Lookups!$B$56*1</f>
        <v>89850.625589999996</v>
      </c>
      <c r="AR2275" s="25">
        <f>Lookups!$B$57*Inventory[[#This Row],[LnAcres]]</f>
        <v>-32339.977661938148</v>
      </c>
      <c r="AS2275" s="25">
        <f>VLOOKUP(Inventory[[#This Row],[Qlty]],Lookups!$A$62:$E$75,2,FALSE)</f>
        <v>-43578.886190266698</v>
      </c>
      <c r="AT2275" s="25">
        <f>VLOOKUP(Inventory[[#This Row],[Cnd]],Lookups!$A$76:$E$84,2,FALSE)</f>
        <v>160472.20319</v>
      </c>
      <c r="AU2275" s="25">
        <f>Inventory[[#This Row],[EffAge]]*Lookups!$B$85</f>
        <v>-16728.4200375</v>
      </c>
      <c r="AV2275" s="25">
        <f>Inventory[[#This Row],[MainFn]]*Lookups!$B$86</f>
        <v>34388.434234392</v>
      </c>
      <c r="AW2275" s="25">
        <f>Inventory[[#This Row],[UpprFn]]*Lookups!$B$87</f>
        <v>23423.299156303001</v>
      </c>
      <c r="AX2275" s="25">
        <f>Inventory[[#This Row],[AddFn]]*Lookups!$B$88</f>
        <v>0</v>
      </c>
      <c r="AY2275" s="25">
        <f>Inventory[[#This Row],[Bsmt]]*Lookups!$B$89</f>
        <v>20240.999091911999</v>
      </c>
      <c r="AZ2275" s="25">
        <f>Inventory[[#This Row],[Fixtures]]*Lookups!$B$90</f>
        <v>22752.132631200002</v>
      </c>
      <c r="BA2275" s="25">
        <f>Inventory[[#This Row],[WdDeck]]*Lookups!$B$91</f>
        <v>0</v>
      </c>
      <c r="BB2275" s="25">
        <f>ROUND(Inventory[[#This Row],[25Det]],-2)</f>
        <v>33200</v>
      </c>
      <c r="BC2275" s="25">
        <f>ROUND(SUM(Inventory[[#This Row],[Mdl Qlty]:[Mdl WdDeck]])+Inventory[[#This Row],[Mdl Res Intercept]],-2)</f>
        <v>201000</v>
      </c>
      <c r="BD2275" s="25">
        <f>ROUND(Inventory[[#This Row],[Mdl Land Intercept]]+Inventory[[#This Row],[Mdl LnAcres]],-2)</f>
        <v>57500</v>
      </c>
      <c r="BE2275" s="25">
        <f>Inventory[[#This Row],[Unadj Res Value]]+Inventory[[#This Row],[Unadj Det Value]]+Inventory[[#This Row],[Unadj Land Value]]</f>
        <v>291700</v>
      </c>
      <c r="BF2275" s="36">
        <f>(Inventory[[#This Row],[Unadj Total Value]]-Inventory[[#This Row],[24Final]])/Inventory[[#This Row],[24Final]]</f>
        <v>-9.1560261600747428E-2</v>
      </c>
      <c r="BG2275" s="25">
        <f>VLOOKUP(Inventory[[#This Row],[Nbhd]],Lookups!$Q$2:$T$4,4,FALSE)</f>
        <v>0.99970000000000003</v>
      </c>
      <c r="BH2275" s="25">
        <f>VLOOKUP(Inventory[[#This Row],[Qlty]],Lookups!$O$7:$R$21,4,FALSE)</f>
        <v>1</v>
      </c>
      <c r="BI2275" s="25">
        <f>VLOOKUP(Inventory[[#This Row],[Cnd]],Lookups!$T$7:$W$16,4,FALSE)</f>
        <v>0.99729999999999996</v>
      </c>
      <c r="BJ2275" s="25">
        <f>VLOOKUP(Inventory[[#This Row],[LivArea Range]],Lookups!$T$25:$W$37,4,FALSE)</f>
        <v>1.0157</v>
      </c>
      <c r="BK2275" s="25">
        <f>VLOOKUP(Inventory[[#This Row],[Decade]],Lookups!$O$25:$R$42,4,FALSE)</f>
        <v>0.74960000000000004</v>
      </c>
      <c r="BL2275" s="25">
        <f>Inventory[[#This Row],[Nbhd Adj]]*0.95</f>
        <v>0.94971499999999998</v>
      </c>
      <c r="BM2275" s="25">
        <f>Inventory[[#This Row],[Nbhd Adj]]*Inventory[[#This Row],[Quality Adj]]*Inventory[[#This Row],[Condition Adj]]*Inventory[[#This Row],[Living Area Adj]]*Inventory[[#This Row],[Decade Adj]]*0.95</f>
        <v>0.72113096902123008</v>
      </c>
      <c r="BN2275" s="25">
        <f>ROUND(SUM(Inventory[[#This Row],[Mdl Qlty]:[Mdl WdDeck]])+Inventory[[#This Row],[Mdl Res Intercept]]*Inventory[[#This Row],[Res Adj ]],-2)</f>
        <v>201000</v>
      </c>
      <c r="BO2275" s="25">
        <f>ROUND(Inventory[[#This Row],[25Det]]*Inventory[[#This Row],[Det/Nbhd Adj]],-2)</f>
        <v>31600</v>
      </c>
      <c r="BP2275" s="25">
        <f>Inventory[[#This Row],[Adjusted Res]]+Inventory[[#This Row],[Adj Det ]]</f>
        <v>232600</v>
      </c>
      <c r="BQ2275" s="25">
        <f>ROUND((Inventory[[#This Row],[Mdl Land Intercept]]+Inventory[[#This Row],[Mdl LnAcres]])*Inventory[[#This Row],[Det/Nbhd Adj]],-2)</f>
        <v>54600</v>
      </c>
      <c r="BR2275" s="25">
        <f>Inventory[[#This Row],[Adjusted Impr Total]]+Inventory[[#This Row],[Adjusted Land Total]]</f>
        <v>287200</v>
      </c>
      <c r="BS2275" s="36">
        <f>IFERROR((Inventory[[#This Row],[Adjusted Impr Total]]-Inventory[[#This Row],[24Bldg]])/Inventory[[#This Row],[24Bldg]],0)</f>
        <v>-3.963666391412056E-2</v>
      </c>
      <c r="BT2275" s="36">
        <f>(Inventory[[#This Row],[Adjusted Land Total]]-Inventory[[#This Row],[24Lnd]])/Inventory[[#This Row],[24Lnd]]</f>
        <v>-0.30798479087452474</v>
      </c>
      <c r="BU2275" s="36">
        <f>(Inventory[[#This Row],[Adjusted Total]]-Inventory[[#This Row],[24Final]])/Inventory[[#This Row],[24Final]]</f>
        <v>-0.10557458735596388</v>
      </c>
    </row>
    <row r="2276" spans="1:73" x14ac:dyDescent="0.3">
      <c r="A2276" s="25">
        <v>2025</v>
      </c>
      <c r="B2276" s="26" t="s">
        <v>1503</v>
      </c>
      <c r="C2276" s="26">
        <f>LN(Inventory[[#This Row],[Acres]])</f>
        <v>4.8790164169432049E-2</v>
      </c>
      <c r="D2276" s="25">
        <v>1.05</v>
      </c>
      <c r="E2276" s="31"/>
      <c r="F2276" s="26" t="s">
        <v>537</v>
      </c>
      <c r="G2276" s="26" t="s">
        <v>126</v>
      </c>
      <c r="H2276" s="26" t="s">
        <v>349</v>
      </c>
      <c r="I2276" s="26" t="s">
        <v>538</v>
      </c>
      <c r="J2276" s="26" t="s">
        <v>539</v>
      </c>
      <c r="K2276" s="26" t="s">
        <v>173</v>
      </c>
      <c r="L2276" s="26" t="s">
        <v>302</v>
      </c>
      <c r="M2276" s="26" t="s">
        <v>303</v>
      </c>
      <c r="N2276" s="26">
        <v>130</v>
      </c>
      <c r="O2276" s="26">
        <f>2024-Inventory[[#This Row],[YrBlt]]</f>
        <v>124</v>
      </c>
      <c r="P2276" s="26">
        <f>2024-Inventory[[#This Row],[EffYr]]</f>
        <v>76</v>
      </c>
      <c r="Q2276" s="25">
        <v>1900</v>
      </c>
      <c r="R2276" s="25">
        <v>1948</v>
      </c>
      <c r="S2276" s="25">
        <v>1335</v>
      </c>
      <c r="T2276" s="32">
        <v>1112</v>
      </c>
      <c r="U2276" s="25">
        <v>724</v>
      </c>
      <c r="V2276" s="25">
        <f>Inventory[[#This Row],[Bsmt]]-Inventory[[#This Row],[FnBsmt]]</f>
        <v>724</v>
      </c>
      <c r="W2276" s="31"/>
      <c r="X2276" s="27"/>
      <c r="Y2276" s="27">
        <f>Inventory[[#This Row],[MainFn]]+Inventory[[#This Row],[UpprFn]]+Inventory[[#This Row],[FnBsmt]]+Inventory[[#This Row],[AddFn]]</f>
        <v>2447</v>
      </c>
      <c r="Z2276" s="27">
        <v>2500</v>
      </c>
      <c r="AA2276" s="25">
        <v>13</v>
      </c>
      <c r="AB2276" s="31"/>
      <c r="AC2276" s="32">
        <v>962</v>
      </c>
      <c r="AD2276" s="32">
        <v>208</v>
      </c>
      <c r="AE2276" s="27"/>
      <c r="AF2276" s="27"/>
      <c r="AG2276" s="27"/>
      <c r="AH2276" s="27"/>
      <c r="AI2276" s="25">
        <v>492468</v>
      </c>
      <c r="AJ2276" s="25">
        <v>280707</v>
      </c>
      <c r="AK2276" s="25">
        <v>156921</v>
      </c>
      <c r="AL2276" s="25">
        <v>616400</v>
      </c>
      <c r="AM2276" s="25">
        <v>116200</v>
      </c>
      <c r="AN2276" s="25">
        <v>500200</v>
      </c>
      <c r="AO2276" s="25">
        <v>0</v>
      </c>
      <c r="AP2276" s="25">
        <f>Lookups!$B$56*0</f>
        <v>0</v>
      </c>
      <c r="AQ2276" s="25">
        <f>Lookups!$B$56*1</f>
        <v>89850.625589999996</v>
      </c>
      <c r="AR2276" s="25">
        <f>Lookups!$B$57*Inventory[[#This Row],[LnAcres]]</f>
        <v>1544.4338987236779</v>
      </c>
      <c r="AS2276" s="25">
        <f>VLOOKUP(Inventory[[#This Row],[Qlty]],Lookups!$A$62:$E$75,2,FALSE)</f>
        <v>29814.093161000001</v>
      </c>
      <c r="AT2276" s="25">
        <f>VLOOKUP(Inventory[[#This Row],[Cnd]],Lookups!$A$76:$E$84,2,FALSE)</f>
        <v>197752.34721000001</v>
      </c>
      <c r="AU2276" s="25">
        <f>Inventory[[#This Row],[EffAge]]*Lookups!$B$85</f>
        <v>-16951.465638000001</v>
      </c>
      <c r="AV2276" s="25">
        <f>Inventory[[#This Row],[MainFn]]*Lookups!$B$86</f>
        <v>65960.574285794995</v>
      </c>
      <c r="AW2276" s="25">
        <f>Inventory[[#This Row],[UpprFn]]*Lookups!$B$87</f>
        <v>49802.502221431998</v>
      </c>
      <c r="AX2276" s="25">
        <f>Inventory[[#This Row],[AddFn]]*Lookups!$B$88</f>
        <v>0</v>
      </c>
      <c r="AY2276" s="25">
        <f>Inventory[[#This Row],[Bsmt]]*Lookups!$B$89</f>
        <v>21055.292158828001</v>
      </c>
      <c r="AZ2276" s="25">
        <f>Inventory[[#This Row],[Fixtures]]*Lookups!$B$90</f>
        <v>49296.287367600002</v>
      </c>
      <c r="BA2276" s="25">
        <f>Inventory[[#This Row],[WdDeck]]*Lookups!$B$91</f>
        <v>6925.4671774080007</v>
      </c>
      <c r="BB2276" s="25">
        <f>ROUND(Inventory[[#This Row],[25Det]],-2)</f>
        <v>156900</v>
      </c>
      <c r="BC2276" s="25">
        <f>ROUND(SUM(Inventory[[#This Row],[Mdl Qlty]:[Mdl WdDeck]])+Inventory[[#This Row],[Mdl Res Intercept]],-2)</f>
        <v>403700</v>
      </c>
      <c r="BD2276" s="25">
        <f>ROUND(Inventory[[#This Row],[Mdl Land Intercept]]+Inventory[[#This Row],[Mdl LnAcres]],-2)</f>
        <v>91400</v>
      </c>
      <c r="BE2276" s="25">
        <f>Inventory[[#This Row],[Unadj Res Value]]+Inventory[[#This Row],[Unadj Det Value]]+Inventory[[#This Row],[Unadj Land Value]]</f>
        <v>652000</v>
      </c>
      <c r="BF2276" s="36">
        <f>(Inventory[[#This Row],[Unadj Total Value]]-Inventory[[#This Row],[24Final]])/Inventory[[#This Row],[24Final]]</f>
        <v>5.7754704737183644E-2</v>
      </c>
      <c r="BG2276" s="25">
        <f>VLOOKUP(Inventory[[#This Row],[Nbhd]],Lookups!$Q$2:$T$4,4,FALSE)</f>
        <v>0.99970000000000003</v>
      </c>
      <c r="BH2276" s="25">
        <f>VLOOKUP(Inventory[[#This Row],[Qlty]],Lookups!$O$7:$R$21,4,FALSE)</f>
        <v>1.0088999999999999</v>
      </c>
      <c r="BI2276" s="25">
        <f>VLOOKUP(Inventory[[#This Row],[Cnd]],Lookups!$T$7:$W$16,4,FALSE)</f>
        <v>0.99650000000000005</v>
      </c>
      <c r="BJ2276" s="25">
        <f>VLOOKUP(Inventory[[#This Row],[LivArea Range]],Lookups!$T$25:$W$37,4,FALSE)</f>
        <v>0.98919999999999997</v>
      </c>
      <c r="BK2276" s="25">
        <f>VLOOKUP(Inventory[[#This Row],[Decade]],Lookups!$O$25:$R$42,4,FALSE)</f>
        <v>0.74960000000000004</v>
      </c>
      <c r="BL2276" s="25">
        <f>Inventory[[#This Row],[Nbhd Adj]]*0.95</f>
        <v>0.94971499999999998</v>
      </c>
      <c r="BM2276" s="25">
        <f>Inventory[[#This Row],[Nbhd Adj]]*Inventory[[#This Row],[Quality Adj]]*Inventory[[#This Row],[Condition Adj]]*Inventory[[#This Row],[Living Area Adj]]*Inventory[[#This Row],[Decade Adj]]*0.95</f>
        <v>0.70799861487155191</v>
      </c>
      <c r="BN2276" s="25">
        <f>ROUND(SUM(Inventory[[#This Row],[Mdl Qlty]:[Mdl WdDeck]])+Inventory[[#This Row],[Mdl Res Intercept]]*Inventory[[#This Row],[Res Adj ]],-2)</f>
        <v>403700</v>
      </c>
      <c r="BO2276" s="25">
        <f>ROUND(Inventory[[#This Row],[25Det]]*Inventory[[#This Row],[Det/Nbhd Adj]],-2)</f>
        <v>149000</v>
      </c>
      <c r="BP2276" s="25">
        <f>Inventory[[#This Row],[Adjusted Res]]+Inventory[[#This Row],[Adj Det ]]</f>
        <v>552700</v>
      </c>
      <c r="BQ2276" s="25">
        <f>ROUND((Inventory[[#This Row],[Mdl Land Intercept]]+Inventory[[#This Row],[Mdl LnAcres]])*Inventory[[#This Row],[Det/Nbhd Adj]],-2)</f>
        <v>86800</v>
      </c>
      <c r="BR2276" s="25">
        <f>Inventory[[#This Row],[Adjusted Impr Total]]+Inventory[[#This Row],[Adjusted Land Total]]</f>
        <v>639500</v>
      </c>
      <c r="BS2276" s="36">
        <f>IFERROR((Inventory[[#This Row],[Adjusted Impr Total]]-Inventory[[#This Row],[24Bldg]])/Inventory[[#This Row],[24Bldg]],0)</f>
        <v>0.10495801679328269</v>
      </c>
      <c r="BT2276" s="36">
        <f>(Inventory[[#This Row],[Adjusted Land Total]]-Inventory[[#This Row],[24Lnd]])/Inventory[[#This Row],[24Lnd]]</f>
        <v>-0.25301204819277107</v>
      </c>
      <c r="BU2276" s="36">
        <f>(Inventory[[#This Row],[Adjusted Total]]-Inventory[[#This Row],[24Final]])/Inventory[[#This Row],[24Final]]</f>
        <v>3.747566515249838E-2</v>
      </c>
    </row>
    <row r="2277" spans="1:73" x14ac:dyDescent="0.3">
      <c r="A2277" s="25">
        <v>2025</v>
      </c>
      <c r="B2277" s="26" t="s">
        <v>2064</v>
      </c>
      <c r="C2277" s="26">
        <f>LN(Inventory[[#This Row],[Acres]])</f>
        <v>-1.1394342831883648</v>
      </c>
      <c r="D2277" s="25">
        <v>0.32</v>
      </c>
      <c r="E2277" s="25">
        <v>13738</v>
      </c>
      <c r="F2277" s="26" t="s">
        <v>537</v>
      </c>
      <c r="G2277" s="26" t="s">
        <v>126</v>
      </c>
      <c r="H2277" s="26" t="s">
        <v>349</v>
      </c>
      <c r="I2277" s="26" t="s">
        <v>538</v>
      </c>
      <c r="J2277" s="26" t="s">
        <v>539</v>
      </c>
      <c r="K2277" s="26" t="s">
        <v>173</v>
      </c>
      <c r="L2277" s="26" t="s">
        <v>302</v>
      </c>
      <c r="M2277" s="26" t="s">
        <v>303</v>
      </c>
      <c r="N2277" s="26">
        <v>130</v>
      </c>
      <c r="O2277" s="26">
        <f>2024-Inventory[[#This Row],[YrBlt]]</f>
        <v>124</v>
      </c>
      <c r="P2277" s="26">
        <f>2024-Inventory[[#This Row],[EffYr]]</f>
        <v>76</v>
      </c>
      <c r="Q2277" s="25">
        <v>1900</v>
      </c>
      <c r="R2277" s="25">
        <v>1948</v>
      </c>
      <c r="S2277" s="25">
        <v>1336</v>
      </c>
      <c r="T2277" s="32">
        <v>972</v>
      </c>
      <c r="U2277" s="25">
        <v>972</v>
      </c>
      <c r="V2277" s="25">
        <f>Inventory[[#This Row],[Bsmt]]-Inventory[[#This Row],[FnBsmt]]</f>
        <v>0</v>
      </c>
      <c r="W2277" s="25">
        <v>972</v>
      </c>
      <c r="X2277" s="27"/>
      <c r="Y2277" s="27">
        <f>Inventory[[#This Row],[MainFn]]+Inventory[[#This Row],[UpprFn]]+Inventory[[#This Row],[FnBsmt]]+Inventory[[#This Row],[AddFn]]</f>
        <v>3280</v>
      </c>
      <c r="Z2277" s="27">
        <v>3500</v>
      </c>
      <c r="AA2277" s="25">
        <v>11</v>
      </c>
      <c r="AB2277" s="27"/>
      <c r="AC2277" s="25">
        <v>306</v>
      </c>
      <c r="AD2277" s="32">
        <v>324</v>
      </c>
      <c r="AE2277" s="27"/>
      <c r="AF2277" s="27"/>
      <c r="AG2277" s="27"/>
      <c r="AH2277" s="27"/>
      <c r="AI2277" s="25">
        <v>537690</v>
      </c>
      <c r="AJ2277" s="25">
        <v>306483</v>
      </c>
      <c r="AK2277" s="25">
        <v>6957</v>
      </c>
      <c r="AL2277" s="25">
        <v>456800</v>
      </c>
      <c r="AM2277" s="25">
        <v>74800</v>
      </c>
      <c r="AN2277" s="25">
        <v>382000</v>
      </c>
      <c r="AO2277" s="25">
        <v>0</v>
      </c>
      <c r="AP2277" s="25">
        <f>Lookups!$B$56*0</f>
        <v>0</v>
      </c>
      <c r="AQ2277" s="25">
        <f>Lookups!$B$56*1</f>
        <v>89850.625589999996</v>
      </c>
      <c r="AR2277" s="25">
        <f>Lookups!$B$57*Inventory[[#This Row],[LnAcres]]</f>
        <v>-36068.354396449467</v>
      </c>
      <c r="AS2277" s="25">
        <f>VLOOKUP(Inventory[[#This Row],[Qlty]],Lookups!$A$62:$E$75,2,FALSE)</f>
        <v>29814.093161000001</v>
      </c>
      <c r="AT2277" s="25">
        <f>VLOOKUP(Inventory[[#This Row],[Cnd]],Lookups!$A$76:$E$84,2,FALSE)</f>
        <v>197752.34721000001</v>
      </c>
      <c r="AU2277" s="25">
        <f>Inventory[[#This Row],[EffAge]]*Lookups!$B$85</f>
        <v>-16951.465638000001</v>
      </c>
      <c r="AV2277" s="25">
        <f>Inventory[[#This Row],[MainFn]]*Lookups!$B$86</f>
        <v>66009.982955672007</v>
      </c>
      <c r="AW2277" s="25">
        <f>Inventory[[#This Row],[UpprFn]]*Lookups!$B$87</f>
        <v>43532.403020892001</v>
      </c>
      <c r="AX2277" s="25">
        <f>Inventory[[#This Row],[AddFn]]*Lookups!$B$88</f>
        <v>0</v>
      </c>
      <c r="AY2277" s="25">
        <f>Inventory[[#This Row],[Bsmt]]*Lookups!$B$89</f>
        <v>28267.602180083999</v>
      </c>
      <c r="AZ2277" s="25">
        <f>Inventory[[#This Row],[Fixtures]]*Lookups!$B$90</f>
        <v>41712.243157199999</v>
      </c>
      <c r="BA2277" s="25">
        <f>Inventory[[#This Row],[WdDeck]]*Lookups!$B$91</f>
        <v>10787.746949424001</v>
      </c>
      <c r="BB2277" s="25">
        <f>ROUND(Inventory[[#This Row],[25Det]],-2)</f>
        <v>7000</v>
      </c>
      <c r="BC2277" s="25">
        <f>ROUND(SUM(Inventory[[#This Row],[Mdl Qlty]:[Mdl WdDeck]])+Inventory[[#This Row],[Mdl Res Intercept]],-2)</f>
        <v>400900</v>
      </c>
      <c r="BD2277" s="25">
        <f>ROUND(Inventory[[#This Row],[Mdl Land Intercept]]+Inventory[[#This Row],[Mdl LnAcres]],-2)</f>
        <v>53800</v>
      </c>
      <c r="BE2277" s="25">
        <f>Inventory[[#This Row],[Unadj Res Value]]+Inventory[[#This Row],[Unadj Det Value]]+Inventory[[#This Row],[Unadj Land Value]]</f>
        <v>461700</v>
      </c>
      <c r="BF2277" s="36">
        <f>(Inventory[[#This Row],[Unadj Total Value]]-Inventory[[#This Row],[24Final]])/Inventory[[#This Row],[24Final]]</f>
        <v>1.0726795096322241E-2</v>
      </c>
      <c r="BG2277" s="25">
        <f>VLOOKUP(Inventory[[#This Row],[Nbhd]],Lookups!$Q$2:$T$4,4,FALSE)</f>
        <v>0.99970000000000003</v>
      </c>
      <c r="BH2277" s="25">
        <f>VLOOKUP(Inventory[[#This Row],[Qlty]],Lookups!$O$7:$R$21,4,FALSE)</f>
        <v>1.0088999999999999</v>
      </c>
      <c r="BI2277" s="25">
        <f>VLOOKUP(Inventory[[#This Row],[Cnd]],Lookups!$T$7:$W$16,4,FALSE)</f>
        <v>0.99650000000000005</v>
      </c>
      <c r="BJ2277" s="25">
        <f>VLOOKUP(Inventory[[#This Row],[LivArea Range]],Lookups!$T$25:$W$37,4,FALSE)</f>
        <v>1.0126999999999999</v>
      </c>
      <c r="BK2277" s="25">
        <f>VLOOKUP(Inventory[[#This Row],[Decade]],Lookups!$O$25:$R$42,4,FALSE)</f>
        <v>0.74960000000000004</v>
      </c>
      <c r="BL2277" s="25">
        <f>Inventory[[#This Row],[Nbhd Adj]]*0.95</f>
        <v>0.94971499999999998</v>
      </c>
      <c r="BM2277" s="25">
        <f>Inventory[[#This Row],[Nbhd Adj]]*Inventory[[#This Row],[Quality Adj]]*Inventory[[#This Row],[Condition Adj]]*Inventory[[#This Row],[Living Area Adj]]*Inventory[[#This Row],[Decade Adj]]*0.95</f>
        <v>0.72481823420988734</v>
      </c>
      <c r="BN2277" s="25">
        <f>ROUND(SUM(Inventory[[#This Row],[Mdl Qlty]:[Mdl WdDeck]])+Inventory[[#This Row],[Mdl Res Intercept]]*Inventory[[#This Row],[Res Adj ]],-2)</f>
        <v>400900</v>
      </c>
      <c r="BO2277" s="25">
        <f>ROUND(Inventory[[#This Row],[25Det]]*Inventory[[#This Row],[Det/Nbhd Adj]],-2)</f>
        <v>6600</v>
      </c>
      <c r="BP2277" s="25">
        <f>Inventory[[#This Row],[Adjusted Res]]+Inventory[[#This Row],[Adj Det ]]</f>
        <v>407500</v>
      </c>
      <c r="BQ2277" s="25">
        <f>ROUND((Inventory[[#This Row],[Mdl Land Intercept]]+Inventory[[#This Row],[Mdl LnAcres]])*Inventory[[#This Row],[Det/Nbhd Adj]],-2)</f>
        <v>51100</v>
      </c>
      <c r="BR2277" s="25">
        <f>Inventory[[#This Row],[Adjusted Impr Total]]+Inventory[[#This Row],[Adjusted Land Total]]</f>
        <v>458600</v>
      </c>
      <c r="BS2277" s="36">
        <f>IFERROR((Inventory[[#This Row],[Adjusted Impr Total]]-Inventory[[#This Row],[24Bldg]])/Inventory[[#This Row],[24Bldg]],0)</f>
        <v>6.6753926701570682E-2</v>
      </c>
      <c r="BT2277" s="36">
        <f>(Inventory[[#This Row],[Adjusted Land Total]]-Inventory[[#This Row],[24Lnd]])/Inventory[[#This Row],[24Lnd]]</f>
        <v>-0.31684491978609625</v>
      </c>
      <c r="BU2277" s="36">
        <f>(Inventory[[#This Row],[Adjusted Total]]-Inventory[[#This Row],[24Final]])/Inventory[[#This Row],[24Final]]</f>
        <v>3.9404553415061296E-3</v>
      </c>
    </row>
    <row r="2278" spans="1:73" x14ac:dyDescent="0.3">
      <c r="A2278" s="25">
        <v>2025</v>
      </c>
      <c r="B2278" s="26" t="s">
        <v>2060</v>
      </c>
      <c r="C2278" s="26">
        <f>LN(Inventory[[#This Row],[Acres]])</f>
        <v>-1.4271163556401458</v>
      </c>
      <c r="D2278" s="25">
        <v>0.24</v>
      </c>
      <c r="E2278" s="31"/>
      <c r="F2278" s="26" t="s">
        <v>537</v>
      </c>
      <c r="G2278" s="26" t="s">
        <v>126</v>
      </c>
      <c r="H2278" s="26" t="s">
        <v>349</v>
      </c>
      <c r="I2278" s="26" t="s">
        <v>538</v>
      </c>
      <c r="J2278" s="26" t="s">
        <v>539</v>
      </c>
      <c r="K2278" s="26" t="s">
        <v>269</v>
      </c>
      <c r="L2278" s="26" t="s">
        <v>351</v>
      </c>
      <c r="M2278" s="26" t="s">
        <v>303</v>
      </c>
      <c r="N2278" s="26">
        <v>130</v>
      </c>
      <c r="O2278" s="26">
        <f>2024-Inventory[[#This Row],[YrBlt]]</f>
        <v>128</v>
      </c>
      <c r="P2278" s="26">
        <f>2024-Inventory[[#This Row],[EffYr]]</f>
        <v>79</v>
      </c>
      <c r="Q2278" s="25">
        <v>1896</v>
      </c>
      <c r="R2278" s="25">
        <v>1945</v>
      </c>
      <c r="S2278" s="25">
        <v>1244</v>
      </c>
      <c r="T2278" s="32">
        <v>600</v>
      </c>
      <c r="U2278" s="25">
        <v>648</v>
      </c>
      <c r="V2278" s="25">
        <f>Inventory[[#This Row],[Bsmt]]-Inventory[[#This Row],[FnBsmt]]</f>
        <v>648</v>
      </c>
      <c r="W2278" s="31"/>
      <c r="X2278" s="27"/>
      <c r="Y2278" s="27">
        <f>Inventory[[#This Row],[MainFn]]+Inventory[[#This Row],[UpprFn]]+Inventory[[#This Row],[FnBsmt]]+Inventory[[#This Row],[AddFn]]</f>
        <v>1844</v>
      </c>
      <c r="Z2278" s="27">
        <v>2000</v>
      </c>
      <c r="AA2278" s="25">
        <v>10</v>
      </c>
      <c r="AB2278" s="27"/>
      <c r="AC2278" s="27"/>
      <c r="AD2278" s="27"/>
      <c r="AE2278" s="27"/>
      <c r="AF2278" s="27"/>
      <c r="AG2278" s="27"/>
      <c r="AH2278" s="27"/>
      <c r="AI2278" s="25">
        <v>298542</v>
      </c>
      <c r="AJ2278" s="25">
        <v>170169</v>
      </c>
      <c r="AK2278" s="25">
        <v>6903</v>
      </c>
      <c r="AL2278" s="25">
        <v>374900</v>
      </c>
      <c r="AM2278" s="25">
        <v>64800</v>
      </c>
      <c r="AN2278" s="25">
        <v>310100</v>
      </c>
      <c r="AO2278" s="25">
        <v>0</v>
      </c>
      <c r="AP2278" s="25">
        <f>Lookups!$B$56*0</f>
        <v>0</v>
      </c>
      <c r="AQ2278" s="25">
        <f>Lookups!$B$56*1</f>
        <v>89850.625589999996</v>
      </c>
      <c r="AR2278" s="25">
        <f>Lookups!$B$57*Inventory[[#This Row],[LnAcres]]</f>
        <v>-45174.819855485119</v>
      </c>
      <c r="AS2278" s="25">
        <f>VLOOKUP(Inventory[[#This Row],[Qlty]],Lookups!$A$62:$E$75,2,FALSE)</f>
        <v>21557.329055999999</v>
      </c>
      <c r="AT2278" s="25">
        <f>VLOOKUP(Inventory[[#This Row],[Cnd]],Lookups!$A$76:$E$84,2,FALSE)</f>
        <v>197752.34721000001</v>
      </c>
      <c r="AU2278" s="25">
        <f>Inventory[[#This Row],[EffAge]]*Lookups!$B$85</f>
        <v>-17620.602439500002</v>
      </c>
      <c r="AV2278" s="25">
        <f>Inventory[[#This Row],[MainFn]]*Lookups!$B$86</f>
        <v>61464.385326987998</v>
      </c>
      <c r="AW2278" s="25">
        <f>Inventory[[#This Row],[UpprFn]]*Lookups!$B$87</f>
        <v>26871.853716599999</v>
      </c>
      <c r="AX2278" s="25">
        <f>Inventory[[#This Row],[AddFn]]*Lookups!$B$88</f>
        <v>0</v>
      </c>
      <c r="AY2278" s="25">
        <f>Inventory[[#This Row],[Bsmt]]*Lookups!$B$89</f>
        <v>18845.068120055999</v>
      </c>
      <c r="AZ2278" s="25">
        <f>Inventory[[#This Row],[Fixtures]]*Lookups!$B$90</f>
        <v>37920.221052000001</v>
      </c>
      <c r="BA2278" s="25">
        <f>Inventory[[#This Row],[WdDeck]]*Lookups!$B$91</f>
        <v>0</v>
      </c>
      <c r="BB2278" s="25">
        <f>ROUND(Inventory[[#This Row],[25Det]],-2)</f>
        <v>6900</v>
      </c>
      <c r="BC2278" s="25">
        <f>ROUND(SUM(Inventory[[#This Row],[Mdl Qlty]:[Mdl WdDeck]])+Inventory[[#This Row],[Mdl Res Intercept]],-2)</f>
        <v>346800</v>
      </c>
      <c r="BD2278" s="25">
        <f>ROUND(Inventory[[#This Row],[Mdl Land Intercept]]+Inventory[[#This Row],[Mdl LnAcres]],-2)</f>
        <v>44700</v>
      </c>
      <c r="BE2278" s="25">
        <f>Inventory[[#This Row],[Unadj Res Value]]+Inventory[[#This Row],[Unadj Det Value]]+Inventory[[#This Row],[Unadj Land Value]]</f>
        <v>398400</v>
      </c>
      <c r="BF2278" s="36">
        <f>(Inventory[[#This Row],[Unadj Total Value]]-Inventory[[#This Row],[24Final]])/Inventory[[#This Row],[24Final]]</f>
        <v>6.2683382235262736E-2</v>
      </c>
      <c r="BG2278" s="25">
        <f>VLOOKUP(Inventory[[#This Row],[Nbhd]],Lookups!$Q$2:$T$4,4,FALSE)</f>
        <v>0.99970000000000003</v>
      </c>
      <c r="BH2278" s="25">
        <f>VLOOKUP(Inventory[[#This Row],[Qlty]],Lookups!$O$7:$R$21,4,FALSE)</f>
        <v>1.0067999999999999</v>
      </c>
      <c r="BI2278" s="25">
        <f>VLOOKUP(Inventory[[#This Row],[Cnd]],Lookups!$T$7:$W$16,4,FALSE)</f>
        <v>0.99650000000000005</v>
      </c>
      <c r="BJ2278" s="25">
        <f>VLOOKUP(Inventory[[#This Row],[LivArea Range]],Lookups!$T$25:$W$37,4,FALSE)</f>
        <v>1.0093000000000001</v>
      </c>
      <c r="BK2278" s="25">
        <f>VLOOKUP(Inventory[[#This Row],[Decade]],Lookups!$O$25:$R$42,4,FALSE)</f>
        <v>0.74960000000000004</v>
      </c>
      <c r="BL2278" s="25">
        <f>Inventory[[#This Row],[Nbhd Adj]]*0.95</f>
        <v>0.94971499999999998</v>
      </c>
      <c r="BM2278" s="25">
        <f>Inventory[[#This Row],[Nbhd Adj]]*Inventory[[#This Row],[Quality Adj]]*Inventory[[#This Row],[Condition Adj]]*Inventory[[#This Row],[Living Area Adj]]*Inventory[[#This Row],[Decade Adj]]*0.95</f>
        <v>0.72088113164789325</v>
      </c>
      <c r="BN2278" s="25">
        <f>ROUND(SUM(Inventory[[#This Row],[Mdl Qlty]:[Mdl WdDeck]])+Inventory[[#This Row],[Mdl Res Intercept]]*Inventory[[#This Row],[Res Adj ]],-2)</f>
        <v>346800</v>
      </c>
      <c r="BO2278" s="25">
        <f>ROUND(Inventory[[#This Row],[25Det]]*Inventory[[#This Row],[Det/Nbhd Adj]],-2)</f>
        <v>6600</v>
      </c>
      <c r="BP2278" s="25">
        <f>Inventory[[#This Row],[Adjusted Res]]+Inventory[[#This Row],[Adj Det ]]</f>
        <v>353400</v>
      </c>
      <c r="BQ2278" s="25">
        <f>ROUND((Inventory[[#This Row],[Mdl Land Intercept]]+Inventory[[#This Row],[Mdl LnAcres]])*Inventory[[#This Row],[Det/Nbhd Adj]],-2)</f>
        <v>42400</v>
      </c>
      <c r="BR2278" s="25">
        <f>Inventory[[#This Row],[Adjusted Impr Total]]+Inventory[[#This Row],[Adjusted Land Total]]</f>
        <v>395800</v>
      </c>
      <c r="BS2278" s="36">
        <f>IFERROR((Inventory[[#This Row],[Adjusted Impr Total]]-Inventory[[#This Row],[24Bldg]])/Inventory[[#This Row],[24Bldg]],0)</f>
        <v>0.13963237665269268</v>
      </c>
      <c r="BT2278" s="36">
        <f>(Inventory[[#This Row],[Adjusted Land Total]]-Inventory[[#This Row],[24Lnd]])/Inventory[[#This Row],[24Lnd]]</f>
        <v>-0.34567901234567899</v>
      </c>
      <c r="BU2278" s="36">
        <f>(Inventory[[#This Row],[Adjusted Total]]-Inventory[[#This Row],[24Final]])/Inventory[[#This Row],[24Final]]</f>
        <v>5.5748199519871963E-2</v>
      </c>
    </row>
    <row r="2279" spans="1:73" x14ac:dyDescent="0.3">
      <c r="A2279" s="25">
        <v>2025</v>
      </c>
      <c r="B2279" s="26" t="s">
        <v>1991</v>
      </c>
      <c r="C2279" s="26">
        <f>LN(Inventory[[#This Row],[Acres]])</f>
        <v>-1.4271163556401458</v>
      </c>
      <c r="D2279" s="25">
        <v>0.24</v>
      </c>
      <c r="E2279" s="31"/>
      <c r="F2279" s="26" t="s">
        <v>537</v>
      </c>
      <c r="G2279" s="26" t="s">
        <v>126</v>
      </c>
      <c r="H2279" s="26" t="s">
        <v>349</v>
      </c>
      <c r="I2279" s="26" t="s">
        <v>538</v>
      </c>
      <c r="J2279" s="26" t="s">
        <v>539</v>
      </c>
      <c r="K2279" s="26" t="s">
        <v>173</v>
      </c>
      <c r="L2279" s="26" t="s">
        <v>351</v>
      </c>
      <c r="M2279" s="26" t="s">
        <v>323</v>
      </c>
      <c r="N2279" s="26">
        <v>130</v>
      </c>
      <c r="O2279" s="26">
        <f>2024-Inventory[[#This Row],[YrBlt]]</f>
        <v>128</v>
      </c>
      <c r="P2279" s="26">
        <f>2024-Inventory[[#This Row],[EffYr]]</f>
        <v>79</v>
      </c>
      <c r="Q2279" s="25">
        <v>1896</v>
      </c>
      <c r="R2279" s="25">
        <v>1945</v>
      </c>
      <c r="S2279" s="25">
        <v>1196</v>
      </c>
      <c r="T2279" s="25">
        <v>690</v>
      </c>
      <c r="U2279" s="32">
        <v>800</v>
      </c>
      <c r="V2279" s="32">
        <f>Inventory[[#This Row],[Bsmt]]-Inventory[[#This Row],[FnBsmt]]</f>
        <v>800</v>
      </c>
      <c r="W2279" s="27"/>
      <c r="X2279" s="27"/>
      <c r="Y2279" s="27">
        <f>Inventory[[#This Row],[MainFn]]+Inventory[[#This Row],[UpprFn]]+Inventory[[#This Row],[FnBsmt]]+Inventory[[#This Row],[AddFn]]</f>
        <v>1886</v>
      </c>
      <c r="Z2279" s="27">
        <v>2000</v>
      </c>
      <c r="AA2279" s="25">
        <v>8</v>
      </c>
      <c r="AB2279" s="31"/>
      <c r="AC2279" s="27"/>
      <c r="AD2279" s="27"/>
      <c r="AE2279" s="27"/>
      <c r="AF2279" s="27"/>
      <c r="AG2279" s="27"/>
      <c r="AH2279" s="27"/>
      <c r="AI2279" s="25">
        <v>314333</v>
      </c>
      <c r="AJ2279" s="25">
        <v>172883</v>
      </c>
      <c r="AK2279" s="25">
        <v>6472</v>
      </c>
      <c r="AL2279" s="25">
        <v>347700</v>
      </c>
      <c r="AM2279" s="25">
        <v>64800</v>
      </c>
      <c r="AN2279" s="25">
        <v>282900</v>
      </c>
      <c r="AO2279" s="25">
        <v>0</v>
      </c>
      <c r="AP2279" s="25">
        <f>Lookups!$B$56*0</f>
        <v>0</v>
      </c>
      <c r="AQ2279" s="25">
        <f>Lookups!$B$56*1</f>
        <v>89850.625589999996</v>
      </c>
      <c r="AR2279" s="25">
        <f>Lookups!$B$57*Inventory[[#This Row],[LnAcres]]</f>
        <v>-45174.819855485119</v>
      </c>
      <c r="AS2279" s="25">
        <f>VLOOKUP(Inventory[[#This Row],[Qlty]],Lookups!$A$62:$E$75,2,FALSE)</f>
        <v>21557.329055999999</v>
      </c>
      <c r="AT2279" s="25">
        <f>VLOOKUP(Inventory[[#This Row],[Cnd]],Lookups!$A$76:$E$84,2,FALSE)</f>
        <v>160472.20319</v>
      </c>
      <c r="AU2279" s="25">
        <f>Inventory[[#This Row],[EffAge]]*Lookups!$B$85</f>
        <v>-17620.602439500002</v>
      </c>
      <c r="AV2279" s="25">
        <f>Inventory[[#This Row],[MainFn]]*Lookups!$B$86</f>
        <v>59092.769172892004</v>
      </c>
      <c r="AW2279" s="25">
        <f>Inventory[[#This Row],[UpprFn]]*Lookups!$B$87</f>
        <v>30902.631774089998</v>
      </c>
      <c r="AX2279" s="25">
        <f>Inventory[[#This Row],[AddFn]]*Lookups!$B$88</f>
        <v>0</v>
      </c>
      <c r="AY2279" s="25">
        <f>Inventory[[#This Row],[Bsmt]]*Lookups!$B$89</f>
        <v>23265.516197599998</v>
      </c>
      <c r="AZ2279" s="25">
        <f>Inventory[[#This Row],[Fixtures]]*Lookups!$B$90</f>
        <v>30336.176841600001</v>
      </c>
      <c r="BA2279" s="25">
        <f>Inventory[[#This Row],[WdDeck]]*Lookups!$B$91</f>
        <v>0</v>
      </c>
      <c r="BB2279" s="25">
        <f>ROUND(Inventory[[#This Row],[25Det]],-2)</f>
        <v>6500</v>
      </c>
      <c r="BC2279" s="25">
        <f>ROUND(SUM(Inventory[[#This Row],[Mdl Qlty]:[Mdl WdDeck]])+Inventory[[#This Row],[Mdl Res Intercept]],-2)</f>
        <v>308000</v>
      </c>
      <c r="BD2279" s="25">
        <f>ROUND(Inventory[[#This Row],[Mdl Land Intercept]]+Inventory[[#This Row],[Mdl LnAcres]],-2)</f>
        <v>44700</v>
      </c>
      <c r="BE2279" s="25">
        <f>Inventory[[#This Row],[Unadj Res Value]]+Inventory[[#This Row],[Unadj Det Value]]+Inventory[[#This Row],[Unadj Land Value]]</f>
        <v>359200</v>
      </c>
      <c r="BF2279" s="36">
        <f>(Inventory[[#This Row],[Unadj Total Value]]-Inventory[[#This Row],[24Final]])/Inventory[[#This Row],[24Final]]</f>
        <v>3.3074489502444633E-2</v>
      </c>
      <c r="BG2279" s="25">
        <f>VLOOKUP(Inventory[[#This Row],[Nbhd]],Lookups!$Q$2:$T$4,4,FALSE)</f>
        <v>0.99970000000000003</v>
      </c>
      <c r="BH2279" s="25">
        <f>VLOOKUP(Inventory[[#This Row],[Qlty]],Lookups!$O$7:$R$21,4,FALSE)</f>
        <v>1.0067999999999999</v>
      </c>
      <c r="BI2279" s="25">
        <f>VLOOKUP(Inventory[[#This Row],[Cnd]],Lookups!$T$7:$W$16,4,FALSE)</f>
        <v>0.99729999999999996</v>
      </c>
      <c r="BJ2279" s="25">
        <f>VLOOKUP(Inventory[[#This Row],[LivArea Range]],Lookups!$T$25:$W$37,4,FALSE)</f>
        <v>1.0093000000000001</v>
      </c>
      <c r="BK2279" s="25">
        <f>VLOOKUP(Inventory[[#This Row],[Decade]],Lookups!$O$25:$R$42,4,FALSE)</f>
        <v>0.74960000000000004</v>
      </c>
      <c r="BL2279" s="25">
        <f>Inventory[[#This Row],[Nbhd Adj]]*0.95</f>
        <v>0.94971499999999998</v>
      </c>
      <c r="BM2279" s="25">
        <f>Inventory[[#This Row],[Nbhd Adj]]*Inventory[[#This Row],[Quality Adj]]*Inventory[[#This Row],[Condition Adj]]*Inventory[[#This Row],[Living Area Adj]]*Inventory[[#This Row],[Decade Adj]]*0.95</f>
        <v>0.72145986210982838</v>
      </c>
      <c r="BN2279" s="25">
        <f>ROUND(SUM(Inventory[[#This Row],[Mdl Qlty]:[Mdl WdDeck]])+Inventory[[#This Row],[Mdl Res Intercept]]*Inventory[[#This Row],[Res Adj ]],-2)</f>
        <v>308000</v>
      </c>
      <c r="BO2279" s="25">
        <f>ROUND(Inventory[[#This Row],[25Det]]*Inventory[[#This Row],[Det/Nbhd Adj]],-2)</f>
        <v>6100</v>
      </c>
      <c r="BP2279" s="25">
        <f>Inventory[[#This Row],[Adjusted Res]]+Inventory[[#This Row],[Adj Det ]]</f>
        <v>314100</v>
      </c>
      <c r="BQ2279" s="25">
        <f>ROUND((Inventory[[#This Row],[Mdl Land Intercept]]+Inventory[[#This Row],[Mdl LnAcres]])*Inventory[[#This Row],[Det/Nbhd Adj]],-2)</f>
        <v>42400</v>
      </c>
      <c r="BR2279" s="25">
        <f>Inventory[[#This Row],[Adjusted Impr Total]]+Inventory[[#This Row],[Adjusted Land Total]]</f>
        <v>356500</v>
      </c>
      <c r="BS2279" s="36">
        <f>IFERROR((Inventory[[#This Row],[Adjusted Impr Total]]-Inventory[[#This Row],[24Bldg]])/Inventory[[#This Row],[24Bldg]],0)</f>
        <v>0.11028632025450689</v>
      </c>
      <c r="BT2279" s="36">
        <f>(Inventory[[#This Row],[Adjusted Land Total]]-Inventory[[#This Row],[24Lnd]])/Inventory[[#This Row],[24Lnd]]</f>
        <v>-0.34567901234567899</v>
      </c>
      <c r="BU2279" s="36">
        <f>(Inventory[[#This Row],[Adjusted Total]]-Inventory[[#This Row],[24Final]])/Inventory[[#This Row],[24Final]]</f>
        <v>2.5309174575783723E-2</v>
      </c>
    </row>
    <row r="2280" spans="1:73" x14ac:dyDescent="0.3">
      <c r="A2280" s="25">
        <v>2025</v>
      </c>
      <c r="B2280" s="26" t="s">
        <v>2399</v>
      </c>
      <c r="C2280" s="26">
        <f>LN(Inventory[[#This Row],[Acres]])</f>
        <v>-0.3285040669720361</v>
      </c>
      <c r="D2280" s="25">
        <v>0.72</v>
      </c>
      <c r="E2280" s="31"/>
      <c r="F2280" s="26" t="s">
        <v>537</v>
      </c>
      <c r="G2280" s="26" t="s">
        <v>126</v>
      </c>
      <c r="H2280" s="26" t="s">
        <v>349</v>
      </c>
      <c r="I2280" s="26" t="s">
        <v>538</v>
      </c>
      <c r="J2280" s="26" t="s">
        <v>539</v>
      </c>
      <c r="K2280" s="26" t="s">
        <v>242</v>
      </c>
      <c r="L2280" s="26" t="s">
        <v>351</v>
      </c>
      <c r="M2280" s="26" t="s">
        <v>323</v>
      </c>
      <c r="N2280" s="26">
        <v>130</v>
      </c>
      <c r="O2280" s="26">
        <f>2024-Inventory[[#This Row],[YrBlt]]</f>
        <v>128</v>
      </c>
      <c r="P2280" s="26">
        <f>2024-Inventory[[#This Row],[EffYr]]</f>
        <v>79</v>
      </c>
      <c r="Q2280" s="25">
        <v>1896</v>
      </c>
      <c r="R2280" s="25">
        <v>1945</v>
      </c>
      <c r="S2280" s="25">
        <v>1441</v>
      </c>
      <c r="T2280" s="27"/>
      <c r="U2280" s="31"/>
      <c r="V2280" s="31">
        <f>Inventory[[#This Row],[Bsmt]]-Inventory[[#This Row],[FnBsmt]]</f>
        <v>0</v>
      </c>
      <c r="W2280" s="31"/>
      <c r="X2280" s="27"/>
      <c r="Y2280" s="27">
        <f>Inventory[[#This Row],[MainFn]]+Inventory[[#This Row],[UpprFn]]+Inventory[[#This Row],[FnBsmt]]+Inventory[[#This Row],[AddFn]]</f>
        <v>1441</v>
      </c>
      <c r="Z2280" s="27">
        <v>1500</v>
      </c>
      <c r="AA2280" s="25">
        <v>7</v>
      </c>
      <c r="AB2280" s="27"/>
      <c r="AC2280" s="27"/>
      <c r="AD2280" s="27"/>
      <c r="AE2280" s="27"/>
      <c r="AF2280" s="27"/>
      <c r="AG2280" s="27"/>
      <c r="AH2280" s="27"/>
      <c r="AI2280" s="25">
        <v>227065</v>
      </c>
      <c r="AJ2280" s="25">
        <v>124886</v>
      </c>
      <c r="AK2280" s="25">
        <v>31493</v>
      </c>
      <c r="AL2280" s="25">
        <v>366100</v>
      </c>
      <c r="AM2280" s="25">
        <v>103100</v>
      </c>
      <c r="AN2280" s="25">
        <v>263000</v>
      </c>
      <c r="AO2280" s="25">
        <v>0</v>
      </c>
      <c r="AP2280" s="25">
        <f>Lookups!$B$56*0</f>
        <v>0</v>
      </c>
      <c r="AQ2280" s="25">
        <f>Lookups!$B$56*1</f>
        <v>89850.625589999996</v>
      </c>
      <c r="AR2280" s="25">
        <f>Lookups!$B$57*Inventory[[#This Row],[LnAcres]]</f>
        <v>-10398.670009355532</v>
      </c>
      <c r="AS2280" s="25">
        <f>VLOOKUP(Inventory[[#This Row],[Qlty]],Lookups!$A$62:$E$75,2,FALSE)</f>
        <v>21557.329055999999</v>
      </c>
      <c r="AT2280" s="25">
        <f>VLOOKUP(Inventory[[#This Row],[Cnd]],Lookups!$A$76:$E$84,2,FALSE)</f>
        <v>160472.20319</v>
      </c>
      <c r="AU2280" s="25">
        <f>Inventory[[#This Row],[EffAge]]*Lookups!$B$85</f>
        <v>-17620.602439500002</v>
      </c>
      <c r="AV2280" s="25">
        <f>Inventory[[#This Row],[MainFn]]*Lookups!$B$86</f>
        <v>71197.893292756999</v>
      </c>
      <c r="AW2280" s="25">
        <f>Inventory[[#This Row],[UpprFn]]*Lookups!$B$87</f>
        <v>0</v>
      </c>
      <c r="AX2280" s="25">
        <f>Inventory[[#This Row],[AddFn]]*Lookups!$B$88</f>
        <v>0</v>
      </c>
      <c r="AY2280" s="25">
        <f>Inventory[[#This Row],[Bsmt]]*Lookups!$B$89</f>
        <v>0</v>
      </c>
      <c r="AZ2280" s="25">
        <f>Inventory[[#This Row],[Fixtures]]*Lookups!$B$90</f>
        <v>26544.1547364</v>
      </c>
      <c r="BA2280" s="25">
        <f>Inventory[[#This Row],[WdDeck]]*Lookups!$B$91</f>
        <v>0</v>
      </c>
      <c r="BB2280" s="25">
        <f>ROUND(Inventory[[#This Row],[25Det]],-2)</f>
        <v>31500</v>
      </c>
      <c r="BC2280" s="25">
        <f>ROUND(SUM(Inventory[[#This Row],[Mdl Qlty]:[Mdl WdDeck]])+Inventory[[#This Row],[Mdl Res Intercept]],-2)</f>
        <v>262200</v>
      </c>
      <c r="BD2280" s="25">
        <f>ROUND(Inventory[[#This Row],[Mdl Land Intercept]]+Inventory[[#This Row],[Mdl LnAcres]],-2)</f>
        <v>79500</v>
      </c>
      <c r="BE2280" s="25">
        <f>Inventory[[#This Row],[Unadj Res Value]]+Inventory[[#This Row],[Unadj Det Value]]+Inventory[[#This Row],[Unadj Land Value]]</f>
        <v>373200</v>
      </c>
      <c r="BF2280" s="36">
        <f>(Inventory[[#This Row],[Unadj Total Value]]-Inventory[[#This Row],[24Final]])/Inventory[[#This Row],[24Final]]</f>
        <v>1.9393608303742146E-2</v>
      </c>
      <c r="BG2280" s="25">
        <f>VLOOKUP(Inventory[[#This Row],[Nbhd]],Lookups!$Q$2:$T$4,4,FALSE)</f>
        <v>0.99970000000000003</v>
      </c>
      <c r="BH2280" s="25">
        <f>VLOOKUP(Inventory[[#This Row],[Qlty]],Lookups!$O$7:$R$21,4,FALSE)</f>
        <v>1.0067999999999999</v>
      </c>
      <c r="BI2280" s="25">
        <f>VLOOKUP(Inventory[[#This Row],[Cnd]],Lookups!$T$7:$W$16,4,FALSE)</f>
        <v>0.99729999999999996</v>
      </c>
      <c r="BJ2280" s="25">
        <f>VLOOKUP(Inventory[[#This Row],[LivArea Range]],Lookups!$T$25:$W$37,4,FALSE)</f>
        <v>1.0157</v>
      </c>
      <c r="BK2280" s="25">
        <f>VLOOKUP(Inventory[[#This Row],[Decade]],Lookups!$O$25:$R$42,4,FALSE)</f>
        <v>0.74960000000000004</v>
      </c>
      <c r="BL2280" s="25">
        <f>Inventory[[#This Row],[Nbhd Adj]]*0.95</f>
        <v>0.94971499999999998</v>
      </c>
      <c r="BM2280" s="25">
        <f>Inventory[[#This Row],[Nbhd Adj]]*Inventory[[#This Row],[Quality Adj]]*Inventory[[#This Row],[Condition Adj]]*Inventory[[#This Row],[Living Area Adj]]*Inventory[[#This Row],[Decade Adj]]*0.95</f>
        <v>0.72603465961057434</v>
      </c>
      <c r="BN2280" s="25">
        <f>ROUND(SUM(Inventory[[#This Row],[Mdl Qlty]:[Mdl WdDeck]])+Inventory[[#This Row],[Mdl Res Intercept]]*Inventory[[#This Row],[Res Adj ]],-2)</f>
        <v>262200</v>
      </c>
      <c r="BO2280" s="25">
        <f>ROUND(Inventory[[#This Row],[25Det]]*Inventory[[#This Row],[Det/Nbhd Adj]],-2)</f>
        <v>29900</v>
      </c>
      <c r="BP2280" s="25">
        <f>Inventory[[#This Row],[Adjusted Res]]+Inventory[[#This Row],[Adj Det ]]</f>
        <v>292100</v>
      </c>
      <c r="BQ2280" s="25">
        <f>ROUND((Inventory[[#This Row],[Mdl Land Intercept]]+Inventory[[#This Row],[Mdl LnAcres]])*Inventory[[#This Row],[Det/Nbhd Adj]],-2)</f>
        <v>75500</v>
      </c>
      <c r="BR2280" s="25">
        <f>Inventory[[#This Row],[Adjusted Impr Total]]+Inventory[[#This Row],[Adjusted Land Total]]</f>
        <v>367600</v>
      </c>
      <c r="BS2280" s="36">
        <f>IFERROR((Inventory[[#This Row],[Adjusted Impr Total]]-Inventory[[#This Row],[24Bldg]])/Inventory[[#This Row],[24Bldg]],0)</f>
        <v>0.11064638783269962</v>
      </c>
      <c r="BT2280" s="36">
        <f>(Inventory[[#This Row],[Adjusted Land Total]]-Inventory[[#This Row],[24Lnd]])/Inventory[[#This Row],[24Lnd]]</f>
        <v>-0.26770126091173618</v>
      </c>
      <c r="BU2280" s="36">
        <f>(Inventory[[#This Row],[Adjusted Total]]-Inventory[[#This Row],[24Final]])/Inventory[[#This Row],[24Final]]</f>
        <v>4.0972411909314397E-3</v>
      </c>
    </row>
    <row r="2281" spans="1:73" x14ac:dyDescent="0.3">
      <c r="A2281" s="25">
        <v>2025</v>
      </c>
      <c r="B2281" s="26" t="s">
        <v>832</v>
      </c>
      <c r="C2281" s="26">
        <f>LN(Inventory[[#This Row],[Acres]])</f>
        <v>-0.89159811928378363</v>
      </c>
      <c r="D2281" s="25">
        <v>0.41</v>
      </c>
      <c r="E2281" s="25">
        <v>17869</v>
      </c>
      <c r="F2281" s="26" t="s">
        <v>537</v>
      </c>
      <c r="G2281" s="26" t="s">
        <v>126</v>
      </c>
      <c r="H2281" s="26" t="s">
        <v>349</v>
      </c>
      <c r="I2281" s="26" t="s">
        <v>538</v>
      </c>
      <c r="J2281" s="26" t="s">
        <v>539</v>
      </c>
      <c r="K2281" s="26" t="s">
        <v>63</v>
      </c>
      <c r="L2281" s="26" t="s">
        <v>302</v>
      </c>
      <c r="M2281" s="26" t="s">
        <v>323</v>
      </c>
      <c r="N2281" s="26">
        <v>140</v>
      </c>
      <c r="O2281" s="26">
        <f>2024-Inventory[[#This Row],[YrBlt]]</f>
        <v>135</v>
      </c>
      <c r="P2281" s="26">
        <f>2024-Inventory[[#This Row],[EffYr]]</f>
        <v>77</v>
      </c>
      <c r="Q2281" s="25">
        <v>1889</v>
      </c>
      <c r="R2281" s="25">
        <v>1947</v>
      </c>
      <c r="S2281" s="25">
        <v>1056</v>
      </c>
      <c r="T2281" s="25">
        <v>750</v>
      </c>
      <c r="U2281" s="31"/>
      <c r="V2281" s="31">
        <f>Inventory[[#This Row],[Bsmt]]-Inventory[[#This Row],[FnBsmt]]</f>
        <v>0</v>
      </c>
      <c r="W2281" s="31"/>
      <c r="X2281" s="27"/>
      <c r="Y2281" s="27">
        <f>Inventory[[#This Row],[MainFn]]+Inventory[[#This Row],[UpprFn]]+Inventory[[#This Row],[FnBsmt]]+Inventory[[#This Row],[AddFn]]</f>
        <v>1806</v>
      </c>
      <c r="Z2281" s="27">
        <v>2000</v>
      </c>
      <c r="AA2281" s="25">
        <v>7</v>
      </c>
      <c r="AB2281" s="31"/>
      <c r="AC2281" s="27"/>
      <c r="AD2281" s="27"/>
      <c r="AE2281" s="27"/>
      <c r="AF2281" s="27"/>
      <c r="AG2281" s="27"/>
      <c r="AH2281" s="27"/>
      <c r="AI2281" s="25">
        <v>312076</v>
      </c>
      <c r="AJ2281" s="25">
        <v>171642</v>
      </c>
      <c r="AK2281" s="25">
        <v>11351</v>
      </c>
      <c r="AL2281" s="25">
        <v>352900</v>
      </c>
      <c r="AM2281" s="25">
        <v>83400</v>
      </c>
      <c r="AN2281" s="25">
        <v>269500</v>
      </c>
      <c r="AO2281" s="25">
        <v>0</v>
      </c>
      <c r="AP2281" s="25">
        <f>Lookups!$B$56*0</f>
        <v>0</v>
      </c>
      <c r="AQ2281" s="25">
        <f>Lookups!$B$56*1</f>
        <v>89850.625589999996</v>
      </c>
      <c r="AR2281" s="25">
        <f>Lookups!$B$57*Inventory[[#This Row],[LnAcres]]</f>
        <v>-28223.195861326454</v>
      </c>
      <c r="AS2281" s="25">
        <f>VLOOKUP(Inventory[[#This Row],[Qlty]],Lookups!$A$62:$E$75,2,FALSE)</f>
        <v>29814.093161000001</v>
      </c>
      <c r="AT2281" s="25">
        <f>VLOOKUP(Inventory[[#This Row],[Cnd]],Lookups!$A$76:$E$84,2,FALSE)</f>
        <v>160472.20319</v>
      </c>
      <c r="AU2281" s="25">
        <f>Inventory[[#This Row],[EffAge]]*Lookups!$B$85</f>
        <v>-17174.511238499999</v>
      </c>
      <c r="AV2281" s="25">
        <f>Inventory[[#This Row],[MainFn]]*Lookups!$B$86</f>
        <v>52175.555390112</v>
      </c>
      <c r="AW2281" s="25">
        <f>Inventory[[#This Row],[UpprFn]]*Lookups!$B$87</f>
        <v>33589.817145749999</v>
      </c>
      <c r="AX2281" s="25">
        <f>Inventory[[#This Row],[AddFn]]*Lookups!$B$88</f>
        <v>0</v>
      </c>
      <c r="AY2281" s="25">
        <f>Inventory[[#This Row],[Bsmt]]*Lookups!$B$89</f>
        <v>0</v>
      </c>
      <c r="AZ2281" s="25">
        <f>Inventory[[#This Row],[Fixtures]]*Lookups!$B$90</f>
        <v>26544.1547364</v>
      </c>
      <c r="BA2281" s="25">
        <f>Inventory[[#This Row],[WdDeck]]*Lookups!$B$91</f>
        <v>0</v>
      </c>
      <c r="BB2281" s="25">
        <f>ROUND(Inventory[[#This Row],[25Det]],-2)</f>
        <v>11400</v>
      </c>
      <c r="BC2281" s="25">
        <f>ROUND(SUM(Inventory[[#This Row],[Mdl Qlty]:[Mdl WdDeck]])+Inventory[[#This Row],[Mdl Res Intercept]],-2)</f>
        <v>285400</v>
      </c>
      <c r="BD2281" s="25">
        <f>ROUND(Inventory[[#This Row],[Mdl Land Intercept]]+Inventory[[#This Row],[Mdl LnAcres]],-2)</f>
        <v>61600</v>
      </c>
      <c r="BE2281" s="25">
        <f>Inventory[[#This Row],[Unadj Res Value]]+Inventory[[#This Row],[Unadj Det Value]]+Inventory[[#This Row],[Unadj Land Value]]</f>
        <v>358400</v>
      </c>
      <c r="BF2281" s="36">
        <f>(Inventory[[#This Row],[Unadj Total Value]]-Inventory[[#This Row],[24Final]])/Inventory[[#This Row],[24Final]]</f>
        <v>1.5585151601020119E-2</v>
      </c>
      <c r="BG2281" s="25">
        <f>VLOOKUP(Inventory[[#This Row],[Nbhd]],Lookups!$Q$2:$T$4,4,FALSE)</f>
        <v>0.99970000000000003</v>
      </c>
      <c r="BH2281" s="25">
        <f>VLOOKUP(Inventory[[#This Row],[Qlty]],Lookups!$O$7:$R$21,4,FALSE)</f>
        <v>1.0088999999999999</v>
      </c>
      <c r="BI2281" s="25">
        <f>VLOOKUP(Inventory[[#This Row],[Cnd]],Lookups!$T$7:$W$16,4,FALSE)</f>
        <v>0.99729999999999996</v>
      </c>
      <c r="BJ2281" s="25">
        <f>VLOOKUP(Inventory[[#This Row],[LivArea Range]],Lookups!$T$25:$W$37,4,FALSE)</f>
        <v>1.0093000000000001</v>
      </c>
      <c r="BK2281" s="25">
        <f>VLOOKUP(Inventory[[#This Row],[Decade]],Lookups!$O$25:$R$42,4,FALSE)</f>
        <v>1</v>
      </c>
      <c r="BL2281" s="25">
        <f>Inventory[[#This Row],[Nbhd Adj]]*0.95</f>
        <v>0.94971499999999998</v>
      </c>
      <c r="BM2281" s="25">
        <f>Inventory[[#This Row],[Nbhd Adj]]*Inventory[[#This Row],[Quality Adj]]*Inventory[[#This Row],[Condition Adj]]*Inventory[[#This Row],[Living Area Adj]]*Inventory[[#This Row],[Decade Adj]]*0.95</f>
        <v>0.96446730917409151</v>
      </c>
      <c r="BN2281" s="25">
        <f>ROUND(SUM(Inventory[[#This Row],[Mdl Qlty]:[Mdl WdDeck]])+Inventory[[#This Row],[Mdl Res Intercept]]*Inventory[[#This Row],[Res Adj ]],-2)</f>
        <v>285400</v>
      </c>
      <c r="BO2281" s="25">
        <f>ROUND(Inventory[[#This Row],[25Det]]*Inventory[[#This Row],[Det/Nbhd Adj]],-2)</f>
        <v>10800</v>
      </c>
      <c r="BP2281" s="25">
        <f>Inventory[[#This Row],[Adjusted Res]]+Inventory[[#This Row],[Adj Det ]]</f>
        <v>296200</v>
      </c>
      <c r="BQ2281" s="25">
        <f>ROUND((Inventory[[#This Row],[Mdl Land Intercept]]+Inventory[[#This Row],[Mdl LnAcres]])*Inventory[[#This Row],[Det/Nbhd Adj]],-2)</f>
        <v>58500</v>
      </c>
      <c r="BR2281" s="25">
        <f>Inventory[[#This Row],[Adjusted Impr Total]]+Inventory[[#This Row],[Adjusted Land Total]]</f>
        <v>354700</v>
      </c>
      <c r="BS2281" s="36">
        <f>IFERROR((Inventory[[#This Row],[Adjusted Impr Total]]-Inventory[[#This Row],[24Bldg]])/Inventory[[#This Row],[24Bldg]],0)</f>
        <v>9.9072356215213361E-2</v>
      </c>
      <c r="BT2281" s="36">
        <f>(Inventory[[#This Row],[Adjusted Land Total]]-Inventory[[#This Row],[24Lnd]])/Inventory[[#This Row],[24Lnd]]</f>
        <v>-0.29856115107913667</v>
      </c>
      <c r="BU2281" s="36">
        <f>(Inventory[[#This Row],[Adjusted Total]]-Inventory[[#This Row],[24Final]])/Inventory[[#This Row],[24Final]]</f>
        <v>5.1005950694247666E-3</v>
      </c>
    </row>
    <row r="2282" spans="1:73" x14ac:dyDescent="0.3">
      <c r="A2282" s="25">
        <v>2025</v>
      </c>
      <c r="B2282" s="26" t="s">
        <v>871</v>
      </c>
      <c r="C2282" s="26">
        <f>LN(Inventory[[#This Row],[Acres]])</f>
        <v>-1.8325814637483102</v>
      </c>
      <c r="D2282" s="25">
        <v>0.16</v>
      </c>
      <c r="E2282" s="25">
        <v>7118</v>
      </c>
      <c r="F2282" s="26" t="s">
        <v>537</v>
      </c>
      <c r="G2282" s="26" t="s">
        <v>126</v>
      </c>
      <c r="H2282" s="26" t="s">
        <v>349</v>
      </c>
      <c r="I2282" s="26" t="s">
        <v>538</v>
      </c>
      <c r="J2282" s="26" t="s">
        <v>539</v>
      </c>
      <c r="K2282" s="26" t="s">
        <v>63</v>
      </c>
      <c r="L2282" s="26" t="s">
        <v>351</v>
      </c>
      <c r="M2282" s="26" t="s">
        <v>303</v>
      </c>
      <c r="N2282" s="26">
        <v>150</v>
      </c>
      <c r="O2282" s="26">
        <f>2024-Inventory[[#This Row],[YrBlt]]</f>
        <v>144</v>
      </c>
      <c r="P2282" s="26">
        <f>2024-Inventory[[#This Row],[EffYr]]</f>
        <v>89</v>
      </c>
      <c r="Q2282" s="25">
        <v>1880</v>
      </c>
      <c r="R2282" s="25">
        <v>1935</v>
      </c>
      <c r="S2282" s="25">
        <v>1047</v>
      </c>
      <c r="T2282" s="31"/>
      <c r="U2282" s="31"/>
      <c r="V2282" s="31">
        <f>Inventory[[#This Row],[Bsmt]]-Inventory[[#This Row],[FnBsmt]]</f>
        <v>0</v>
      </c>
      <c r="W2282" s="31"/>
      <c r="X2282" s="27"/>
      <c r="Y2282" s="27">
        <f>Inventory[[#This Row],[MainFn]]+Inventory[[#This Row],[UpprFn]]+Inventory[[#This Row],[FnBsmt]]+Inventory[[#This Row],[AddFn]]</f>
        <v>1047</v>
      </c>
      <c r="Z2282" s="27">
        <v>1500</v>
      </c>
      <c r="AA2282" s="25">
        <v>7</v>
      </c>
      <c r="AB2282" s="25">
        <v>198</v>
      </c>
      <c r="AC2282" s="27"/>
      <c r="AD2282" s="32">
        <v>192</v>
      </c>
      <c r="AE2282" s="27"/>
      <c r="AF2282" s="27"/>
      <c r="AG2282" s="27"/>
      <c r="AH2282" s="27"/>
      <c r="AI2282" s="25">
        <v>189607</v>
      </c>
      <c r="AJ2282" s="25">
        <v>108076</v>
      </c>
      <c r="AK2282" s="25">
        <v>0</v>
      </c>
      <c r="AL2282" s="25">
        <v>287600</v>
      </c>
      <c r="AM2282" s="25">
        <v>50600</v>
      </c>
      <c r="AN2282" s="25">
        <v>237000</v>
      </c>
      <c r="AO2282" s="25">
        <v>0</v>
      </c>
      <c r="AP2282" s="25">
        <f>Lookups!$B$56*0</f>
        <v>0</v>
      </c>
      <c r="AQ2282" s="25">
        <f>Lookups!$B$56*1</f>
        <v>89850.625589999996</v>
      </c>
      <c r="AR2282" s="25">
        <f>Lookups!$B$57*Inventory[[#This Row],[LnAcres]]</f>
        <v>-58009.662049032086</v>
      </c>
      <c r="AS2282" s="25">
        <f>VLOOKUP(Inventory[[#This Row],[Qlty]],Lookups!$A$62:$E$75,2,FALSE)</f>
        <v>21557.329055999999</v>
      </c>
      <c r="AT2282" s="25">
        <f>VLOOKUP(Inventory[[#This Row],[Cnd]],Lookups!$A$76:$E$84,2,FALSE)</f>
        <v>197752.34721000001</v>
      </c>
      <c r="AU2282" s="25">
        <f>Inventory[[#This Row],[EffAge]]*Lookups!$B$85</f>
        <v>-19851.058444500002</v>
      </c>
      <c r="AV2282" s="25">
        <f>Inventory[[#This Row],[MainFn]]*Lookups!$B$86</f>
        <v>51730.877361218998</v>
      </c>
      <c r="AW2282" s="25">
        <f>Inventory[[#This Row],[UpprFn]]*Lookups!$B$87</f>
        <v>0</v>
      </c>
      <c r="AX2282" s="25">
        <f>Inventory[[#This Row],[AddFn]]*Lookups!$B$88</f>
        <v>0</v>
      </c>
      <c r="AY2282" s="25">
        <f>Inventory[[#This Row],[Bsmt]]*Lookups!$B$89</f>
        <v>0</v>
      </c>
      <c r="AZ2282" s="25">
        <f>Inventory[[#This Row],[Fixtures]]*Lookups!$B$90</f>
        <v>26544.1547364</v>
      </c>
      <c r="BA2282" s="25">
        <f>Inventory[[#This Row],[WdDeck]]*Lookups!$B$91</f>
        <v>6392.7389329920006</v>
      </c>
      <c r="BB2282" s="25">
        <f>ROUND(Inventory[[#This Row],[25Det]],-2)</f>
        <v>0</v>
      </c>
      <c r="BC2282" s="25">
        <f>ROUND(SUM(Inventory[[#This Row],[Mdl Qlty]:[Mdl WdDeck]])+Inventory[[#This Row],[Mdl Res Intercept]],-2)</f>
        <v>284100</v>
      </c>
      <c r="BD2282" s="25">
        <f>ROUND(Inventory[[#This Row],[Mdl Land Intercept]]+Inventory[[#This Row],[Mdl LnAcres]],-2)</f>
        <v>31800</v>
      </c>
      <c r="BE2282" s="25">
        <f>Inventory[[#This Row],[Unadj Res Value]]+Inventory[[#This Row],[Unadj Det Value]]+Inventory[[#This Row],[Unadj Land Value]]</f>
        <v>315900</v>
      </c>
      <c r="BF2282" s="36">
        <f>(Inventory[[#This Row],[Unadj Total Value]]-Inventory[[#This Row],[24Final]])/Inventory[[#This Row],[24Final]]</f>
        <v>9.8400556328233663E-2</v>
      </c>
      <c r="BG2282" s="25">
        <f>VLOOKUP(Inventory[[#This Row],[Nbhd]],Lookups!$Q$2:$T$4,4,FALSE)</f>
        <v>0.99970000000000003</v>
      </c>
      <c r="BH2282" s="25">
        <f>VLOOKUP(Inventory[[#This Row],[Qlty]],Lookups!$O$7:$R$21,4,FALSE)</f>
        <v>1.0067999999999999</v>
      </c>
      <c r="BI2282" s="25">
        <f>VLOOKUP(Inventory[[#This Row],[Cnd]],Lookups!$T$7:$W$16,4,FALSE)</f>
        <v>0.99650000000000005</v>
      </c>
      <c r="BJ2282" s="25">
        <f>VLOOKUP(Inventory[[#This Row],[LivArea Range]],Lookups!$T$25:$W$37,4,FALSE)</f>
        <v>1.0157</v>
      </c>
      <c r="BK2282" s="25">
        <f>VLOOKUP(Inventory[[#This Row],[Decade]],Lookups!$O$25:$R$42,4,FALSE)</f>
        <v>1.0606</v>
      </c>
      <c r="BL2282" s="25">
        <f>Inventory[[#This Row],[Nbhd Adj]]*0.95</f>
        <v>0.94971499999999998</v>
      </c>
      <c r="BM2282" s="25">
        <f>Inventory[[#This Row],[Nbhd Adj]]*Inventory[[#This Row],[Quality Adj]]*Inventory[[#This Row],[Condition Adj]]*Inventory[[#This Row],[Living Area Adj]]*Inventory[[#This Row],[Decade Adj]]*0.95</f>
        <v>1.0264336530444296</v>
      </c>
      <c r="BN2282" s="25">
        <f>ROUND(SUM(Inventory[[#This Row],[Mdl Qlty]:[Mdl WdDeck]])+Inventory[[#This Row],[Mdl Res Intercept]]*Inventory[[#This Row],[Res Adj ]],-2)</f>
        <v>284100</v>
      </c>
      <c r="BO2282" s="25">
        <f>ROUND(Inventory[[#This Row],[25Det]]*Inventory[[#This Row],[Det/Nbhd Adj]],-2)</f>
        <v>0</v>
      </c>
      <c r="BP2282" s="25">
        <f>Inventory[[#This Row],[Adjusted Res]]+Inventory[[#This Row],[Adj Det ]]</f>
        <v>284100</v>
      </c>
      <c r="BQ2282" s="25">
        <f>ROUND((Inventory[[#This Row],[Mdl Land Intercept]]+Inventory[[#This Row],[Mdl LnAcres]])*Inventory[[#This Row],[Det/Nbhd Adj]],-2)</f>
        <v>30200</v>
      </c>
      <c r="BR2282" s="25">
        <f>Inventory[[#This Row],[Adjusted Impr Total]]+Inventory[[#This Row],[Adjusted Land Total]]</f>
        <v>314300</v>
      </c>
      <c r="BS2282" s="36">
        <f>IFERROR((Inventory[[#This Row],[Adjusted Impr Total]]-Inventory[[#This Row],[24Bldg]])/Inventory[[#This Row],[24Bldg]],0)</f>
        <v>0.19873417721518988</v>
      </c>
      <c r="BT2282" s="36">
        <f>(Inventory[[#This Row],[Adjusted Land Total]]-Inventory[[#This Row],[24Lnd]])/Inventory[[#This Row],[24Lnd]]</f>
        <v>-0.40316205533596838</v>
      </c>
      <c r="BU2282" s="36">
        <f>(Inventory[[#This Row],[Adjusted Total]]-Inventory[[#This Row],[24Final]])/Inventory[[#This Row],[24Final]]</f>
        <v>9.2837273991655075E-2</v>
      </c>
    </row>
    <row r="2283" spans="1:73" x14ac:dyDescent="0.3">
      <c r="A2283" s="25">
        <v>2025</v>
      </c>
      <c r="B2283" s="26" t="s">
        <v>1276</v>
      </c>
      <c r="C2283" s="26">
        <f>LN(Inventory[[#This Row],[Acres]])</f>
        <v>-0.57981849525294205</v>
      </c>
      <c r="D2283" s="25">
        <v>0.56000000000000005</v>
      </c>
      <c r="E2283" s="25">
        <v>24364</v>
      </c>
      <c r="F2283" s="26" t="s">
        <v>537</v>
      </c>
      <c r="G2283" s="26" t="s">
        <v>126</v>
      </c>
      <c r="H2283" s="26" t="s">
        <v>349</v>
      </c>
      <c r="I2283" s="26" t="s">
        <v>538</v>
      </c>
      <c r="J2283" s="26" t="s">
        <v>546</v>
      </c>
      <c r="K2283" s="26" t="s">
        <v>63</v>
      </c>
      <c r="L2283" s="26" t="s">
        <v>148</v>
      </c>
      <c r="M2283" s="26" t="s">
        <v>303</v>
      </c>
      <c r="N2283" s="26">
        <v>150</v>
      </c>
      <c r="O2283" s="26">
        <f>2024-Inventory[[#This Row],[YrBlt]]</f>
        <v>146</v>
      </c>
      <c r="P2283" s="26">
        <f>2024-Inventory[[#This Row],[EffYr]]</f>
        <v>89</v>
      </c>
      <c r="Q2283" s="25">
        <v>1878</v>
      </c>
      <c r="R2283" s="25">
        <v>1935</v>
      </c>
      <c r="S2283" s="25">
        <v>1868</v>
      </c>
      <c r="T2283" s="32">
        <v>759</v>
      </c>
      <c r="U2283" s="25">
        <v>572</v>
      </c>
      <c r="V2283" s="25">
        <f>Inventory[[#This Row],[Bsmt]]-Inventory[[#This Row],[FnBsmt]]</f>
        <v>572</v>
      </c>
      <c r="W2283" s="31"/>
      <c r="X2283" s="31"/>
      <c r="Y2283" s="31">
        <f>Inventory[[#This Row],[MainFn]]+Inventory[[#This Row],[UpprFn]]+Inventory[[#This Row],[FnBsmt]]+Inventory[[#This Row],[AddFn]]</f>
        <v>2627</v>
      </c>
      <c r="Z2283" s="27">
        <v>3000</v>
      </c>
      <c r="AA2283" s="25">
        <v>9</v>
      </c>
      <c r="AB2283" s="31"/>
      <c r="AC2283" s="27"/>
      <c r="AD2283" s="32">
        <v>588</v>
      </c>
      <c r="AE2283" s="27"/>
      <c r="AF2283" s="27"/>
      <c r="AG2283" s="27"/>
      <c r="AH2283" s="27"/>
      <c r="AI2283" s="25">
        <v>613661</v>
      </c>
      <c r="AJ2283" s="25">
        <v>349787</v>
      </c>
      <c r="AK2283" s="25">
        <v>0</v>
      </c>
      <c r="AL2283" s="25">
        <v>446200</v>
      </c>
      <c r="AM2283" s="25">
        <v>94300</v>
      </c>
      <c r="AN2283" s="25">
        <v>351900</v>
      </c>
      <c r="AO2283" s="25">
        <v>0</v>
      </c>
      <c r="AP2283" s="30">
        <f>Lookups!$B$56*0</f>
        <v>0</v>
      </c>
      <c r="AQ2283" s="30">
        <f>Lookups!$B$56*1</f>
        <v>89850.625589999996</v>
      </c>
      <c r="AR2283" s="30">
        <f>Lookups!$B$57*Inventory[[#This Row],[LnAcres]]</f>
        <v>-18353.931666756715</v>
      </c>
      <c r="AS2283" s="30">
        <f>VLOOKUP(Inventory[[#This Row],[Qlty]],Lookups!$A$62:$E$75,2,FALSE)</f>
        <v>44121.038090000002</v>
      </c>
      <c r="AT2283" s="30">
        <f>VLOOKUP(Inventory[[#This Row],[Cnd]],Lookups!$A$76:$E$84,2,FALSE)</f>
        <v>197752.34721000001</v>
      </c>
      <c r="AU2283" s="30">
        <f>Inventory[[#This Row],[EffAge]]*Lookups!$B$85</f>
        <v>-19851.058444500002</v>
      </c>
      <c r="AV2283" s="30">
        <f>Inventory[[#This Row],[MainFn]]*Lookups!$B$86</f>
        <v>92295.395330236002</v>
      </c>
      <c r="AW2283" s="30">
        <f>Inventory[[#This Row],[UpprFn]]*Lookups!$B$87</f>
        <v>33992.894951499002</v>
      </c>
      <c r="AX2283" s="30">
        <f>Inventory[[#This Row],[AddFn]]*Lookups!$B$88</f>
        <v>0</v>
      </c>
      <c r="AY2283" s="30">
        <f>Inventory[[#This Row],[Bsmt]]*Lookups!$B$89</f>
        <v>16634.844081283998</v>
      </c>
      <c r="AZ2283" s="30">
        <f>Inventory[[#This Row],[Fixtures]]*Lookups!$B$90</f>
        <v>34128.198946800003</v>
      </c>
      <c r="BA2283" s="30">
        <f>Inventory[[#This Row],[WdDeck]]*Lookups!$B$91</f>
        <v>19577.762982288001</v>
      </c>
      <c r="BB2283" s="30">
        <f>ROUND(Inventory[[#This Row],[25Det]],-2)</f>
        <v>0</v>
      </c>
      <c r="BC2283" s="30">
        <f>ROUND(SUM(Inventory[[#This Row],[Mdl Qlty]:[Mdl WdDeck]])+Inventory[[#This Row],[Mdl Res Intercept]],-2)</f>
        <v>418700</v>
      </c>
      <c r="BD2283" s="30">
        <f>ROUND(Inventory[[#This Row],[Mdl Land Intercept]]+Inventory[[#This Row],[Mdl LnAcres]],-2)</f>
        <v>71500</v>
      </c>
      <c r="BE2283" s="30">
        <f>Inventory[[#This Row],[Unadj Res Value]]+Inventory[[#This Row],[Unadj Det Value]]+Inventory[[#This Row],[Unadj Land Value]]</f>
        <v>490200</v>
      </c>
      <c r="BF2283" s="37">
        <f>(Inventory[[#This Row],[Unadj Total Value]]-Inventory[[#This Row],[24Final]])/Inventory[[#This Row],[24Final]]</f>
        <v>9.8610488570147911E-2</v>
      </c>
      <c r="BG2283" s="30">
        <f>VLOOKUP(Inventory[[#This Row],[Nbhd]],Lookups!$Q$2:$T$4,4,FALSE)</f>
        <v>0.99970000000000003</v>
      </c>
      <c r="BH2283" s="30">
        <f>VLOOKUP(Inventory[[#This Row],[Qlty]],Lookups!$O$7:$R$21,4,FALSE)</f>
        <v>0.98050000000000004</v>
      </c>
      <c r="BI2283" s="30">
        <f>VLOOKUP(Inventory[[#This Row],[Cnd]],Lookups!$T$7:$W$16,4,FALSE)</f>
        <v>0.99650000000000005</v>
      </c>
      <c r="BJ2283" s="30">
        <f>VLOOKUP(Inventory[[#This Row],[LivArea Range]],Lookups!$T$25:$W$37,4,FALSE)</f>
        <v>0.96179999999999999</v>
      </c>
      <c r="BK2283" s="30">
        <f>VLOOKUP(Inventory[[#This Row],[Decade]],Lookups!$O$25:$R$42,4,FALSE)</f>
        <v>1.0606</v>
      </c>
      <c r="BL2283" s="30">
        <f>Inventory[[#This Row],[Nbhd Adj]]*0.95</f>
        <v>0.94971499999999998</v>
      </c>
      <c r="BM2283" s="25">
        <f>Inventory[[#This Row],[Nbhd Adj]]*Inventory[[#This Row],[Quality Adj]]*Inventory[[#This Row],[Condition Adj]]*Inventory[[#This Row],[Living Area Adj]]*Inventory[[#This Row],[Decade Adj]]*0.95</f>
        <v>0.94657404933634404</v>
      </c>
      <c r="BN2283" s="30">
        <f>ROUND(SUM(Inventory[[#This Row],[Mdl Qlty]:[Mdl WdDeck]])+Inventory[[#This Row],[Mdl Res Intercept]]*Inventory[[#This Row],[Res Adj ]],-2)</f>
        <v>418700</v>
      </c>
      <c r="BO2283" s="30">
        <f>ROUND(Inventory[[#This Row],[25Det]]*Inventory[[#This Row],[Det/Nbhd Adj]],-2)</f>
        <v>0</v>
      </c>
      <c r="BP2283" s="30">
        <f>Inventory[[#This Row],[Adjusted Res]]+Inventory[[#This Row],[Adj Det ]]</f>
        <v>418700</v>
      </c>
      <c r="BQ2283" s="30">
        <f>ROUND((Inventory[[#This Row],[Mdl Land Intercept]]+Inventory[[#This Row],[Mdl LnAcres]])*Inventory[[#This Row],[Det/Nbhd Adj]],-2)</f>
        <v>67900</v>
      </c>
      <c r="BR2283" s="30">
        <f>Inventory[[#This Row],[Adjusted Impr Total]]+Inventory[[#This Row],[Adjusted Land Total]]</f>
        <v>486600</v>
      </c>
      <c r="BS2283" s="37">
        <f>IFERROR((Inventory[[#This Row],[Adjusted Impr Total]]-Inventory[[#This Row],[24Bldg]])/Inventory[[#This Row],[24Bldg]],0)</f>
        <v>0.18982665529980108</v>
      </c>
      <c r="BT2283" s="37">
        <f>(Inventory[[#This Row],[Adjusted Land Total]]-Inventory[[#This Row],[24Lnd]])/Inventory[[#This Row],[24Lnd]]</f>
        <v>-0.27995758218451749</v>
      </c>
      <c r="BU2283" s="37">
        <f>(Inventory[[#This Row],[Adjusted Total]]-Inventory[[#This Row],[24Final]])/Inventory[[#This Row],[24Final]]</f>
        <v>9.054235768713581E-2</v>
      </c>
    </row>
  </sheetData>
  <phoneticPr fontId="8" type="noConversion"/>
  <conditionalFormatting sqref="B1">
    <cfRule type="duplicateValues" dxfId="5" priority="1"/>
  </conditionalFormatting>
  <conditionalFormatting sqref="B2:B1048576">
    <cfRule type="duplicateValues" dxfId="4" priority="2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6AC47-7AF9-451F-8B59-5F2CCA5B7148}">
  <dimension ref="A1:BU105"/>
  <sheetViews>
    <sheetView topLeftCell="AS1" workbookViewId="0">
      <selection activeCell="BV2" sqref="BV2"/>
    </sheetView>
  </sheetViews>
  <sheetFormatPr defaultRowHeight="14.4" x14ac:dyDescent="0.3"/>
  <cols>
    <col min="2" max="2" width="12" bestFit="1" customWidth="1"/>
  </cols>
  <sheetData>
    <row r="1" spans="1:73" s="18" customFormat="1" ht="45" customHeight="1" x14ac:dyDescent="0.3">
      <c r="A1" s="28" t="s">
        <v>121</v>
      </c>
      <c r="B1" s="28" t="s">
        <v>407</v>
      </c>
      <c r="C1" s="28" t="s">
        <v>264</v>
      </c>
      <c r="D1" s="28" t="s">
        <v>345</v>
      </c>
      <c r="E1" s="28" t="s">
        <v>0</v>
      </c>
      <c r="F1" s="28" t="s">
        <v>122</v>
      </c>
      <c r="G1" s="28" t="s">
        <v>320</v>
      </c>
      <c r="H1" s="28" t="s">
        <v>90</v>
      </c>
      <c r="I1" s="28" t="s">
        <v>168</v>
      </c>
      <c r="J1" s="28" t="s">
        <v>21</v>
      </c>
      <c r="K1" s="28" t="s">
        <v>169</v>
      </c>
      <c r="L1" s="28" t="s">
        <v>265</v>
      </c>
      <c r="M1" s="28" t="s">
        <v>123</v>
      </c>
      <c r="N1" s="28" t="s">
        <v>58</v>
      </c>
      <c r="O1" s="28" t="s">
        <v>91</v>
      </c>
      <c r="P1" s="28" t="s">
        <v>408</v>
      </c>
      <c r="Q1" s="28" t="s">
        <v>145</v>
      </c>
      <c r="R1" s="28" t="s">
        <v>377</v>
      </c>
      <c r="S1" s="28" t="s">
        <v>236</v>
      </c>
      <c r="T1" s="28" t="s">
        <v>202</v>
      </c>
      <c r="U1" s="28" t="s">
        <v>237</v>
      </c>
      <c r="V1" s="28" t="s">
        <v>1</v>
      </c>
      <c r="W1" s="28" t="s">
        <v>59</v>
      </c>
      <c r="X1" s="28" t="s">
        <v>378</v>
      </c>
      <c r="Y1" s="33" t="s">
        <v>2928</v>
      </c>
      <c r="Z1" s="33" t="s">
        <v>238</v>
      </c>
      <c r="AA1" s="28" t="s">
        <v>24</v>
      </c>
      <c r="AB1" s="28" t="s">
        <v>125</v>
      </c>
      <c r="AC1" s="28" t="s">
        <v>379</v>
      </c>
      <c r="AD1" s="28" t="s">
        <v>410</v>
      </c>
      <c r="AE1" s="28" t="s">
        <v>2924</v>
      </c>
      <c r="AF1" s="28" t="s">
        <v>2925</v>
      </c>
      <c r="AG1" s="28" t="s">
        <v>239</v>
      </c>
      <c r="AH1" s="28" t="s">
        <v>2926</v>
      </c>
      <c r="AI1" s="28" t="s">
        <v>2</v>
      </c>
      <c r="AJ1" s="28" t="s">
        <v>411</v>
      </c>
      <c r="AK1" s="28" t="s">
        <v>172</v>
      </c>
      <c r="AL1" s="28" t="s">
        <v>62</v>
      </c>
      <c r="AM1" s="28" t="s">
        <v>94</v>
      </c>
      <c r="AN1" s="28" t="s">
        <v>240</v>
      </c>
      <c r="AO1" s="28" t="s">
        <v>2927</v>
      </c>
      <c r="AP1" s="28" t="s">
        <v>494</v>
      </c>
      <c r="AQ1" s="28" t="s">
        <v>495</v>
      </c>
      <c r="AR1" s="28" t="s">
        <v>496</v>
      </c>
      <c r="AS1" s="28" t="s">
        <v>497</v>
      </c>
      <c r="AT1" s="28" t="s">
        <v>498</v>
      </c>
      <c r="AU1" s="33" t="s">
        <v>2929</v>
      </c>
      <c r="AV1" s="28" t="s">
        <v>500</v>
      </c>
      <c r="AW1" s="28" t="s">
        <v>501</v>
      </c>
      <c r="AX1" s="28" t="s">
        <v>502</v>
      </c>
      <c r="AY1" s="28" t="s">
        <v>527</v>
      </c>
      <c r="AZ1" s="28" t="s">
        <v>503</v>
      </c>
      <c r="BA1" s="28" t="s">
        <v>528</v>
      </c>
      <c r="BB1" s="28" t="s">
        <v>505</v>
      </c>
      <c r="BC1" s="28" t="s">
        <v>506</v>
      </c>
      <c r="BD1" s="28" t="s">
        <v>507</v>
      </c>
      <c r="BE1" s="28" t="s">
        <v>508</v>
      </c>
      <c r="BF1" s="34" t="s">
        <v>510</v>
      </c>
      <c r="BG1" s="28" t="s">
        <v>511</v>
      </c>
      <c r="BH1" s="28" t="s">
        <v>512</v>
      </c>
      <c r="BI1" s="28" t="s">
        <v>513</v>
      </c>
      <c r="BJ1" s="28" t="s">
        <v>514</v>
      </c>
      <c r="BK1" s="28" t="s">
        <v>515</v>
      </c>
      <c r="BL1" s="28" t="s">
        <v>516</v>
      </c>
      <c r="BM1" s="28" t="s">
        <v>517</v>
      </c>
      <c r="BN1" s="28" t="s">
        <v>518</v>
      </c>
      <c r="BO1" s="28" t="s">
        <v>519</v>
      </c>
      <c r="BP1" s="28" t="s">
        <v>520</v>
      </c>
      <c r="BQ1" s="28" t="s">
        <v>521</v>
      </c>
      <c r="BR1" s="28" t="s">
        <v>522</v>
      </c>
      <c r="BS1" s="34" t="s">
        <v>523</v>
      </c>
      <c r="BT1" s="34" t="s">
        <v>524</v>
      </c>
      <c r="BU1" s="34" t="s">
        <v>525</v>
      </c>
    </row>
    <row r="2" spans="1:73" x14ac:dyDescent="0.3">
      <c r="A2" s="25">
        <v>2025</v>
      </c>
      <c r="B2" s="26" t="s">
        <v>2515</v>
      </c>
      <c r="C2" s="26">
        <f>LN(Inventory[[#This Row],[Acres]])</f>
        <v>-1.7719568419318752</v>
      </c>
      <c r="D2" s="25">
        <v>0.77</v>
      </c>
      <c r="E2" s="25">
        <v>33541</v>
      </c>
      <c r="F2" s="26" t="s">
        <v>543</v>
      </c>
      <c r="G2" s="26" t="s">
        <v>544</v>
      </c>
      <c r="H2" s="26" t="s">
        <v>349</v>
      </c>
      <c r="I2" s="26" t="s">
        <v>545</v>
      </c>
      <c r="J2" s="26" t="s">
        <v>606</v>
      </c>
      <c r="K2" s="26" t="s">
        <v>241</v>
      </c>
      <c r="L2" s="26" t="s">
        <v>351</v>
      </c>
      <c r="M2" s="26" t="s">
        <v>323</v>
      </c>
      <c r="N2" s="26">
        <v>60</v>
      </c>
      <c r="O2" s="26">
        <f>2024-Inventory[[#This Row],[YrBlt]]</f>
        <v>1</v>
      </c>
      <c r="P2" s="26">
        <f>2024-Inventory[[#This Row],[EffYr]]</f>
        <v>1</v>
      </c>
      <c r="Q2" s="25">
        <v>1960</v>
      </c>
      <c r="R2" s="25">
        <v>1975</v>
      </c>
      <c r="S2" s="25">
        <v>896</v>
      </c>
      <c r="T2" s="27"/>
      <c r="U2" s="31"/>
      <c r="V2" s="31">
        <f>Inventory[[#This Row],[Bsmt]]-Inventory[[#This Row],[FnBsmt]]</f>
        <v>0</v>
      </c>
      <c r="W2" s="31"/>
      <c r="X2" s="27"/>
      <c r="Y2" s="27">
        <f>Inventory[[#This Row],[MainFn]]+Inventory[[#This Row],[UpprFn]]+Inventory[[#This Row],[FnBsmt]]+Inventory[[#This Row],[AddFn]]</f>
        <v>2028</v>
      </c>
      <c r="Z2" s="27">
        <v>1000</v>
      </c>
      <c r="AA2" s="25">
        <v>5</v>
      </c>
      <c r="AB2" s="31"/>
      <c r="AC2" s="27"/>
      <c r="AD2" s="31"/>
      <c r="AE2" s="27"/>
      <c r="AF2" s="27"/>
      <c r="AG2" s="27"/>
      <c r="AH2" s="27"/>
      <c r="AI2" s="25">
        <v>169981</v>
      </c>
      <c r="AJ2" s="25">
        <v>120687</v>
      </c>
      <c r="AK2" s="25">
        <v>9134</v>
      </c>
      <c r="AL2" s="25">
        <v>701400</v>
      </c>
      <c r="AM2" s="25">
        <v>121200</v>
      </c>
      <c r="AN2" s="25">
        <v>580200</v>
      </c>
      <c r="AO2" s="25">
        <v>0</v>
      </c>
      <c r="AP2" s="29">
        <f>Lookups!$B$56*0</f>
        <v>0</v>
      </c>
      <c r="AQ2" s="29">
        <f>Lookups!$B$56*1</f>
        <v>89850.625589999996</v>
      </c>
      <c r="AR2" s="29">
        <f>Lookups!$B$57*Inventory[[#This Row],[LnAcres]]</f>
        <v>-56090.612940989391</v>
      </c>
      <c r="AS2" s="29">
        <f>VLOOKUP(Inventory[[#This Row],[Qlty]],Lookups!$A$62:$E$75,2,FALSE)</f>
        <v>29814.093161000001</v>
      </c>
      <c r="AT2" s="29">
        <f>VLOOKUP(Inventory[[#This Row],[Cnd]],Lookups!$A$76:$E$84,2,FALSE)</f>
        <v>354070.39217000001</v>
      </c>
      <c r="AU2" s="29">
        <f>Inventory[[#This Row],[EffAge]]*Lookups!$B$85</f>
        <v>-223.04560050000001</v>
      </c>
      <c r="AV2" s="29">
        <f>Inventory[[#This Row],[MainFn]]*Lookups!$B$86</f>
        <v>69567.407186815995</v>
      </c>
      <c r="AW2" s="29">
        <f>Inventory[[#This Row],[UpprFn]]*Lookups!$B$87</f>
        <v>27767.582173819999</v>
      </c>
      <c r="AX2" s="29">
        <f>Inventory[[#This Row],[AddFn]]*Lookups!$B$88</f>
        <v>0</v>
      </c>
      <c r="AY2" s="29">
        <f>Inventory[[#This Row],[Bsmt]]*Lookups!$B$89</f>
        <v>0</v>
      </c>
      <c r="AZ2" s="29">
        <f>Inventory[[#This Row],[Fixtures]]*Lookups!$B$90</f>
        <v>30336.176841600001</v>
      </c>
      <c r="BA2" s="29">
        <f>Inventory[[#This Row],[WdDeck]]*Lookups!$B$91</f>
        <v>0</v>
      </c>
      <c r="BB2" s="29">
        <f>ROUND(Inventory[[#This Row],[25Det]],-2)</f>
        <v>35200</v>
      </c>
      <c r="BC2" s="29">
        <f>ROUND(SUM(Inventory[[#This Row],[Mdl Qlty]:[Mdl WdDeck]])+Inventory[[#This Row],[Mdl Res Intercept]],-2)</f>
        <v>511300</v>
      </c>
      <c r="BD2" s="29">
        <f>ROUND(Inventory[[#This Row],[Mdl Land Intercept]]+Inventory[[#This Row],[Mdl LnAcres]],-2)</f>
        <v>33800</v>
      </c>
      <c r="BE2" s="29">
        <f>Inventory[[#This Row],[Unadj Res Value]]+Inventory[[#This Row],[Unadj Det Value]]+Inventory[[#This Row],[Unadj Land Value]]</f>
        <v>580300</v>
      </c>
      <c r="BF2" s="35">
        <f>(Inventory[[#This Row],[Unadj Total Value]]-Inventory[[#This Row],[24Final]])/Inventory[[#This Row],[24Final]]</f>
        <v>2.5298053527980535</v>
      </c>
      <c r="BG2" s="29">
        <f>VLOOKUP(Inventory[[#This Row],[Nbhd]],Lookups!$Q$2:$T$4,4,FALSE)</f>
        <v>0.99970000000000003</v>
      </c>
      <c r="BH2" s="29">
        <f>VLOOKUP(Inventory[[#This Row],[Qlty]],Lookups!$O$7:$R$21,4,FALSE)</f>
        <v>1.0088999999999999</v>
      </c>
      <c r="BI2" s="29">
        <f>VLOOKUP(Inventory[[#This Row],[Cnd]],Lookups!$T$7:$W$16,4,FALSE)</f>
        <v>1.1303000000000001</v>
      </c>
      <c r="BJ2" s="29">
        <f>VLOOKUP(Inventory[[#This Row],[LivArea Range]],Lookups!$T$25:$W$37,4,FALSE)</f>
        <v>0.98919999999999997</v>
      </c>
      <c r="BK2" s="29">
        <f>VLOOKUP(Inventory[[#This Row],[Decade]],Lookups!$O$25:$R$42,4,FALSE)</f>
        <v>1</v>
      </c>
      <c r="BL2" s="29">
        <f>Inventory[[#This Row],[Nbhd Adj]]*0.95</f>
        <v>0.94971499999999998</v>
      </c>
      <c r="BM2" s="29">
        <f>Inventory[[#This Row],[Nbhd Adj]]*Inventory[[#This Row],[Quality Adj]]*Inventory[[#This Row],[Condition Adj]]*Inventory[[#This Row],[Living Area Adj]]*Inventory[[#This Row],[Decade Adj]]*0.95</f>
        <v>1.0713201038069142</v>
      </c>
      <c r="BN2" s="29">
        <f>ROUND(SUM(Inventory[[#This Row],[Mdl Qlty]:[Mdl WdDeck]])+Inventory[[#This Row],[Mdl Res Intercept]]*Inventory[[#This Row],[Res Adj ]],-2)</f>
        <v>511300</v>
      </c>
      <c r="BO2" s="29">
        <f>ROUND(Inventory[[#This Row],[25Det]]*Inventory[[#This Row],[Det/Nbhd Adj]],-2)</f>
        <v>33400</v>
      </c>
      <c r="BP2" s="29">
        <f>Inventory[[#This Row],[Adjusted Res]]+Inventory[[#This Row],[Adj Det ]]</f>
        <v>544700</v>
      </c>
      <c r="BQ2" s="29">
        <f>ROUND((Inventory[[#This Row],[Mdl Land Intercept]]+Inventory[[#This Row],[Mdl LnAcres]])*Inventory[[#This Row],[Det/Nbhd Adj]],-2)</f>
        <v>32100</v>
      </c>
      <c r="BR2" s="29">
        <f>Inventory[[#This Row],[Adjusted Impr Total]]+Inventory[[#This Row],[Adjusted Land Total]]</f>
        <v>576800</v>
      </c>
      <c r="BS2" s="35">
        <f>IFERROR((Inventory[[#This Row],[Adjusted Impr Total]]-Inventory[[#This Row],[24Bldg]])/Inventory[[#This Row],[24Bldg]],0)</f>
        <v>3.8764547896150403</v>
      </c>
      <c r="BT2" s="35">
        <f>(Inventory[[#This Row],[Adjusted Land Total]]-Inventory[[#This Row],[24Lnd]])/Inventory[[#This Row],[24Lnd]]</f>
        <v>-0.39089184060721061</v>
      </c>
      <c r="BU2" s="35">
        <f>(Inventory[[#This Row],[Adjusted Total]]-Inventory[[#This Row],[24Final]])/Inventory[[#This Row],[24Final]]</f>
        <v>2.5085158150851581</v>
      </c>
    </row>
    <row r="3" spans="1:73" x14ac:dyDescent="0.3">
      <c r="A3" s="25">
        <v>2025</v>
      </c>
      <c r="B3" s="26" t="s">
        <v>1124</v>
      </c>
      <c r="C3" s="26">
        <f>LN(Inventory[[#This Row],[Acres]])</f>
        <v>-3.5065578973199818</v>
      </c>
      <c r="D3" s="25">
        <v>0.27</v>
      </c>
      <c r="E3" s="25">
        <v>11761</v>
      </c>
      <c r="F3" s="26" t="s">
        <v>543</v>
      </c>
      <c r="G3" s="26" t="s">
        <v>544</v>
      </c>
      <c r="H3" s="26" t="s">
        <v>349</v>
      </c>
      <c r="I3" s="26" t="s">
        <v>545</v>
      </c>
      <c r="J3" s="26" t="s">
        <v>606</v>
      </c>
      <c r="K3" s="26" t="s">
        <v>269</v>
      </c>
      <c r="L3" s="26" t="s">
        <v>351</v>
      </c>
      <c r="M3" s="26" t="s">
        <v>206</v>
      </c>
      <c r="N3" s="26">
        <v>100</v>
      </c>
      <c r="O3" s="26">
        <f>2024-Inventory[[#This Row],[YrBlt]]</f>
        <v>1</v>
      </c>
      <c r="P3" s="26">
        <f>2024-Inventory[[#This Row],[EffYr]]</f>
        <v>1</v>
      </c>
      <c r="Q3" s="25">
        <v>1920</v>
      </c>
      <c r="R3" s="25">
        <v>1966</v>
      </c>
      <c r="S3" s="25">
        <v>1008</v>
      </c>
      <c r="T3" s="27"/>
      <c r="U3" s="32">
        <v>1008</v>
      </c>
      <c r="V3" s="32">
        <f>Inventory[[#This Row],[Bsmt]]-Inventory[[#This Row],[FnBsmt]]</f>
        <v>66</v>
      </c>
      <c r="W3" s="27"/>
      <c r="X3" s="27"/>
      <c r="Y3" s="27">
        <f>Inventory[[#This Row],[MainFn]]+Inventory[[#This Row],[UpprFn]]+Inventory[[#This Row],[FnBsmt]]+Inventory[[#This Row],[AddFn]]</f>
        <v>2275</v>
      </c>
      <c r="Z3" s="27">
        <v>1500</v>
      </c>
      <c r="AA3" s="25">
        <v>5</v>
      </c>
      <c r="AB3" s="31"/>
      <c r="AC3" s="27"/>
      <c r="AD3" s="27"/>
      <c r="AE3" s="27"/>
      <c r="AF3" s="27"/>
      <c r="AG3" s="32">
        <v>130</v>
      </c>
      <c r="AH3" s="27"/>
      <c r="AI3" s="25">
        <v>205636</v>
      </c>
      <c r="AJ3" s="25">
        <v>160396</v>
      </c>
      <c r="AK3" s="25">
        <v>0</v>
      </c>
      <c r="AL3" s="25">
        <v>545250</v>
      </c>
      <c r="AM3" s="25">
        <v>79250</v>
      </c>
      <c r="AN3" s="25">
        <v>466000</v>
      </c>
      <c r="AO3" s="25">
        <v>0</v>
      </c>
      <c r="AP3" s="25">
        <f>Lookups!$B$56*0</f>
        <v>0</v>
      </c>
      <c r="AQ3" s="25">
        <f>Lookups!$B$56*1</f>
        <v>89850.625589999996</v>
      </c>
      <c r="AR3" s="25">
        <f>Lookups!$B$57*Inventory[[#This Row],[LnAcres]]</f>
        <v>-110998.74281323297</v>
      </c>
      <c r="AS3" s="25">
        <f>VLOOKUP(Inventory[[#This Row],[Qlty]],Lookups!$A$62:$E$75,2,FALSE)</f>
        <v>44121.038090000002</v>
      </c>
      <c r="AT3" s="25">
        <f>VLOOKUP(Inventory[[#This Row],[Cnd]],Lookups!$A$76:$E$84,2,FALSE)</f>
        <v>354070.39217000001</v>
      </c>
      <c r="AU3" s="25">
        <f>Inventory[[#This Row],[EffAge]]*Lookups!$B$85</f>
        <v>-223.04560050000001</v>
      </c>
      <c r="AV3" s="25">
        <f>Inventory[[#This Row],[MainFn]]*Lookups!$B$86</f>
        <v>44517.211559176998</v>
      </c>
      <c r="AW3" s="25">
        <f>Inventory[[#This Row],[UpprFn]]*Lookups!$B$87</f>
        <v>40128.634883455998</v>
      </c>
      <c r="AX3" s="25">
        <f>Inventory[[#This Row],[AddFn]]*Lookups!$B$88</f>
        <v>0</v>
      </c>
      <c r="AY3" s="25">
        <f>Inventory[[#This Row],[Bsmt]]*Lookups!$B$89</f>
        <v>15820.551014367999</v>
      </c>
      <c r="AZ3" s="25">
        <f>Inventory[[#This Row],[Fixtures]]*Lookups!$B$90</f>
        <v>56880.331578000005</v>
      </c>
      <c r="BA3" s="25">
        <f>Inventory[[#This Row],[WdDeck]]*Lookups!$B$91</f>
        <v>13318.206110400002</v>
      </c>
      <c r="BB3" s="25">
        <f>ROUND(Inventory[[#This Row],[25Det]],-2)</f>
        <v>0</v>
      </c>
      <c r="BC3" s="25">
        <f>ROUND(SUM(Inventory[[#This Row],[Mdl Qlty]:[Mdl WdDeck]])+Inventory[[#This Row],[Mdl Res Intercept]],-2)</f>
        <v>568600</v>
      </c>
      <c r="BD3" s="25">
        <f>ROUND(Inventory[[#This Row],[Mdl Land Intercept]]+Inventory[[#This Row],[Mdl LnAcres]],-2)</f>
        <v>-21100</v>
      </c>
      <c r="BE3" s="25">
        <f>Inventory[[#This Row],[Unadj Res Value]]+Inventory[[#This Row],[Unadj Det Value]]+Inventory[[#This Row],[Unadj Land Value]]</f>
        <v>547500</v>
      </c>
      <c r="BF3" s="36">
        <f>(Inventory[[#This Row],[Unadj Total Value]]-Inventory[[#This Row],[24Final]])/Inventory[[#This Row],[24Final]]</f>
        <v>1.2456931911402789</v>
      </c>
      <c r="BG3" s="25">
        <f>VLOOKUP(Inventory[[#This Row],[Nbhd]],Lookups!$Q$2:$T$4,4,FALSE)</f>
        <v>0.99970000000000003</v>
      </c>
      <c r="BH3" s="25">
        <f>VLOOKUP(Inventory[[#This Row],[Qlty]],Lookups!$O$7:$R$21,4,FALSE)</f>
        <v>0.98050000000000004</v>
      </c>
      <c r="BI3" s="29">
        <f>VLOOKUP(Inventory[[#This Row],[Cnd]],Lookups!$T$7:$W$16,4,FALSE)</f>
        <v>1.1303000000000001</v>
      </c>
      <c r="BJ3" s="25">
        <f>VLOOKUP(Inventory[[#This Row],[LivArea Range]],Lookups!$T$25:$W$37,4,FALSE)</f>
        <v>0.98919999999999997</v>
      </c>
      <c r="BK3" s="25">
        <f>VLOOKUP(Inventory[[#This Row],[Decade]],Lookups!$O$25:$R$42,4,FALSE)</f>
        <v>1</v>
      </c>
      <c r="BL3" s="25">
        <f>Inventory[[#This Row],[Nbhd Adj]]*0.95</f>
        <v>0.94971499999999998</v>
      </c>
      <c r="BM3" s="25">
        <f>Inventory[[#This Row],[Nbhd Adj]]*Inventory[[#This Row],[Quality Adj]]*Inventory[[#This Row],[Condition Adj]]*Inventory[[#This Row],[Living Area Adj]]*Inventory[[#This Row],[Decade Adj]]*0.95</f>
        <v>1.0411630109849137</v>
      </c>
      <c r="BN3" s="25">
        <f>ROUND(SUM(Inventory[[#This Row],[Mdl Qlty]:[Mdl WdDeck]])+Inventory[[#This Row],[Mdl Res Intercept]]*Inventory[[#This Row],[Res Adj ]],-2)</f>
        <v>568600</v>
      </c>
      <c r="BO3" s="25">
        <f>ROUND(Inventory[[#This Row],[25Det]]*Inventory[[#This Row],[Det/Nbhd Adj]],-2)</f>
        <v>0</v>
      </c>
      <c r="BP3" s="25">
        <f>Inventory[[#This Row],[Adjusted Res]]+Inventory[[#This Row],[Adj Det ]]</f>
        <v>568600</v>
      </c>
      <c r="BQ3" s="25">
        <f>ROUND((Inventory[[#This Row],[Mdl Land Intercept]]+Inventory[[#This Row],[Mdl LnAcres]])*Inventory[[#This Row],[Det/Nbhd Adj]],-2)</f>
        <v>-20100</v>
      </c>
      <c r="BR3" s="25">
        <f>Inventory[[#This Row],[Adjusted Impr Total]]+Inventory[[#This Row],[Adjusted Land Total]]</f>
        <v>548500</v>
      </c>
      <c r="BS3" s="36">
        <f>IFERROR((Inventory[[#This Row],[Adjusted Impr Total]]-Inventory[[#This Row],[24Bldg]])/Inventory[[#This Row],[24Bldg]],0)</f>
        <v>1.9754055468341183</v>
      </c>
      <c r="BT3" s="36">
        <f>(Inventory[[#This Row],[Adjusted Land Total]]-Inventory[[#This Row],[24Lnd]])/Inventory[[#This Row],[24Lnd]]</f>
        <v>-1.381404174573055</v>
      </c>
      <c r="BU3" s="36">
        <f>(Inventory[[#This Row],[Adjusted Total]]-Inventory[[#This Row],[24Final]])/Inventory[[#This Row],[24Final]]</f>
        <v>1.2497949138638229</v>
      </c>
    </row>
    <row r="4" spans="1:73" x14ac:dyDescent="0.3">
      <c r="A4" s="25">
        <v>2025</v>
      </c>
      <c r="B4" s="26" t="s">
        <v>1416</v>
      </c>
      <c r="C4" s="26">
        <f>LN(Inventory[[#This Row],[Acres]])</f>
        <v>-3.912023005428146</v>
      </c>
      <c r="D4" s="25">
        <v>0.31</v>
      </c>
      <c r="E4" s="25">
        <v>13508</v>
      </c>
      <c r="F4" s="26" t="s">
        <v>537</v>
      </c>
      <c r="G4" s="26" t="s">
        <v>126</v>
      </c>
      <c r="H4" s="26" t="s">
        <v>349</v>
      </c>
      <c r="I4" s="26" t="s">
        <v>538</v>
      </c>
      <c r="J4" s="26" t="s">
        <v>608</v>
      </c>
      <c r="K4" s="26" t="s">
        <v>242</v>
      </c>
      <c r="L4" s="26" t="s">
        <v>351</v>
      </c>
      <c r="M4" s="26" t="s">
        <v>323</v>
      </c>
      <c r="N4" s="26">
        <v>80</v>
      </c>
      <c r="O4" s="26">
        <f>2024-Inventory[[#This Row],[YrBlt]]</f>
        <v>1</v>
      </c>
      <c r="P4" s="26">
        <f>2024-Inventory[[#This Row],[EffYr]]</f>
        <v>1</v>
      </c>
      <c r="Q4" s="25">
        <v>1940</v>
      </c>
      <c r="R4" s="25">
        <v>1972</v>
      </c>
      <c r="S4" s="25">
        <v>1014</v>
      </c>
      <c r="T4" s="27"/>
      <c r="U4" s="25">
        <v>1014</v>
      </c>
      <c r="V4" s="25">
        <f>Inventory[[#This Row],[Bsmt]]-Inventory[[#This Row],[FnBsmt]]</f>
        <v>0</v>
      </c>
      <c r="W4" s="25">
        <v>507</v>
      </c>
      <c r="X4" s="27"/>
      <c r="Y4" s="27">
        <f>Inventory[[#This Row],[MainFn]]+Inventory[[#This Row],[UpprFn]]+Inventory[[#This Row],[FnBsmt]]+Inventory[[#This Row],[AddFn]]</f>
        <v>2341</v>
      </c>
      <c r="Z4" s="27">
        <v>2000</v>
      </c>
      <c r="AA4" s="25">
        <v>7</v>
      </c>
      <c r="AB4" s="31"/>
      <c r="AC4" s="27"/>
      <c r="AD4" s="31"/>
      <c r="AE4" s="27"/>
      <c r="AF4" s="27"/>
      <c r="AG4" s="27"/>
      <c r="AH4" s="27"/>
      <c r="AI4" s="25">
        <v>254546</v>
      </c>
      <c r="AJ4" s="25">
        <v>173091</v>
      </c>
      <c r="AK4" s="25">
        <v>0</v>
      </c>
      <c r="AL4" s="25">
        <v>381800</v>
      </c>
      <c r="AM4" s="25">
        <v>73700</v>
      </c>
      <c r="AN4" s="25">
        <v>308100</v>
      </c>
      <c r="AO4" s="25">
        <v>0</v>
      </c>
      <c r="AP4" s="25">
        <f>Lookups!$B$56*0</f>
        <v>0</v>
      </c>
      <c r="AQ4" s="25">
        <f>Lookups!$B$56*1</f>
        <v>89850.625589999996</v>
      </c>
      <c r="AR4" s="25">
        <f>Lookups!$B$57*Inventory[[#This Row],[LnAcres]]</f>
        <v>-123833.58500677992</v>
      </c>
      <c r="AS4" s="25">
        <f>VLOOKUP(Inventory[[#This Row],[Qlty]],Lookups!$A$62:$E$75,2,FALSE)</f>
        <v>44121.038090000002</v>
      </c>
      <c r="AT4" s="25">
        <f>VLOOKUP(Inventory[[#This Row],[Cnd]],Lookups!$A$76:$E$84,2,FALSE)</f>
        <v>354070.39217000001</v>
      </c>
      <c r="AU4" s="25">
        <f>Inventory[[#This Row],[EffAge]]*Lookups!$B$85</f>
        <v>-223.04560050000001</v>
      </c>
      <c r="AV4" s="25">
        <f>Inventory[[#This Row],[MainFn]]*Lookups!$B$86</f>
        <v>44517.211559176998</v>
      </c>
      <c r="AW4" s="25">
        <f>Inventory[[#This Row],[UpprFn]]*Lookups!$B$87</f>
        <v>40128.634883455998</v>
      </c>
      <c r="AX4" s="25">
        <f>Inventory[[#This Row],[AddFn]]*Lookups!$B$88</f>
        <v>0</v>
      </c>
      <c r="AY4" s="25">
        <f>Inventory[[#This Row],[Bsmt]]*Lookups!$B$89</f>
        <v>15820.551014367999</v>
      </c>
      <c r="AZ4" s="25">
        <f>Inventory[[#This Row],[Fixtures]]*Lookups!$B$90</f>
        <v>53088.3094728</v>
      </c>
      <c r="BA4" s="25">
        <f>Inventory[[#This Row],[WdDeck]]*Lookups!$B$91</f>
        <v>13318.206110400002</v>
      </c>
      <c r="BB4" s="25">
        <f>ROUND(Inventory[[#This Row],[25Det]],-2)</f>
        <v>0</v>
      </c>
      <c r="BC4" s="25">
        <f>ROUND(SUM(Inventory[[#This Row],[Mdl Qlty]:[Mdl WdDeck]])+Inventory[[#This Row],[Mdl Res Intercept]],-2)</f>
        <v>564800</v>
      </c>
      <c r="BD4" s="25">
        <f>ROUND(Inventory[[#This Row],[Mdl Land Intercept]]+Inventory[[#This Row],[Mdl LnAcres]],-2)</f>
        <v>-34000</v>
      </c>
      <c r="BE4" s="25">
        <f>Inventory[[#This Row],[Unadj Res Value]]+Inventory[[#This Row],[Unadj Det Value]]+Inventory[[#This Row],[Unadj Land Value]]</f>
        <v>530800</v>
      </c>
      <c r="BF4" s="36">
        <f>(Inventory[[#This Row],[Unadj Total Value]]-Inventory[[#This Row],[24Final]])/Inventory[[#This Row],[24Final]]</f>
        <v>1.1736281736281737</v>
      </c>
      <c r="BG4" s="25">
        <f>VLOOKUP(Inventory[[#This Row],[Nbhd]],Lookups!$Q$2:$T$4,4,FALSE)</f>
        <v>0.99970000000000003</v>
      </c>
      <c r="BH4" s="25">
        <f>VLOOKUP(Inventory[[#This Row],[Qlty]],Lookups!$O$7:$R$21,4,FALSE)</f>
        <v>0.98050000000000004</v>
      </c>
      <c r="BI4" s="29">
        <f>VLOOKUP(Inventory[[#This Row],[Cnd]],Lookups!$T$7:$W$16,4,FALSE)</f>
        <v>1.1303000000000001</v>
      </c>
      <c r="BJ4" s="25">
        <f>VLOOKUP(Inventory[[#This Row],[LivArea Range]],Lookups!$T$25:$W$37,4,FALSE)</f>
        <v>0.98919999999999997</v>
      </c>
      <c r="BK4" s="25">
        <f>VLOOKUP(Inventory[[#This Row],[Decade]],Lookups!$O$25:$R$42,4,FALSE)</f>
        <v>1</v>
      </c>
      <c r="BL4" s="25">
        <f>Inventory[[#This Row],[Nbhd Adj]]*0.95</f>
        <v>0.94971499999999998</v>
      </c>
      <c r="BM4" s="25">
        <f>Inventory[[#This Row],[Nbhd Adj]]*Inventory[[#This Row],[Quality Adj]]*Inventory[[#This Row],[Condition Adj]]*Inventory[[#This Row],[Living Area Adj]]*Inventory[[#This Row],[Decade Adj]]*0.95</f>
        <v>1.0411630109849137</v>
      </c>
      <c r="BN4" s="25">
        <f>ROUND(SUM(Inventory[[#This Row],[Mdl Qlty]:[Mdl WdDeck]])+Inventory[[#This Row],[Mdl Res Intercept]]*Inventory[[#This Row],[Res Adj ]],-2)</f>
        <v>564800</v>
      </c>
      <c r="BO4" s="25">
        <f>ROUND(Inventory[[#This Row],[25Det]]*Inventory[[#This Row],[Det/Nbhd Adj]],-2)</f>
        <v>0</v>
      </c>
      <c r="BP4" s="25">
        <f>Inventory[[#This Row],[Adjusted Res]]+Inventory[[#This Row],[Adj Det ]]</f>
        <v>564800</v>
      </c>
      <c r="BQ4" s="25">
        <f>ROUND((Inventory[[#This Row],[Mdl Land Intercept]]+Inventory[[#This Row],[Mdl LnAcres]])*Inventory[[#This Row],[Det/Nbhd Adj]],-2)</f>
        <v>-32300</v>
      </c>
      <c r="BR4" s="25">
        <f>Inventory[[#This Row],[Adjusted Impr Total]]+Inventory[[#This Row],[Adjusted Land Total]]</f>
        <v>532500</v>
      </c>
      <c r="BS4" s="36">
        <f>IFERROR((Inventory[[#This Row],[Adjusted Impr Total]]-Inventory[[#This Row],[24Bldg]])/Inventory[[#This Row],[24Bldg]],0)</f>
        <v>1.9508881922675025</v>
      </c>
      <c r="BT4" s="36">
        <f>(Inventory[[#This Row],[Adjusted Land Total]]-Inventory[[#This Row],[24Lnd]])/Inventory[[#This Row],[24Lnd]]</f>
        <v>-1.6117424242424243</v>
      </c>
      <c r="BU4" s="36">
        <f>(Inventory[[#This Row],[Adjusted Total]]-Inventory[[#This Row],[24Final]])/Inventory[[#This Row],[24Final]]</f>
        <v>1.1805896805896805</v>
      </c>
    </row>
    <row r="5" spans="1:73" x14ac:dyDescent="0.3">
      <c r="A5" s="25">
        <v>2025</v>
      </c>
      <c r="B5" s="26" t="s">
        <v>1124</v>
      </c>
      <c r="C5" s="26">
        <f>LN(Inventory[[#This Row],[Acres]])</f>
        <v>-3.5065578973199818</v>
      </c>
      <c r="D5" s="25">
        <v>0.27</v>
      </c>
      <c r="E5" s="25">
        <v>11761</v>
      </c>
      <c r="F5" s="26" t="s">
        <v>543</v>
      </c>
      <c r="G5" s="26" t="s">
        <v>544</v>
      </c>
      <c r="H5" s="26" t="s">
        <v>349</v>
      </c>
      <c r="I5" s="26" t="s">
        <v>545</v>
      </c>
      <c r="J5" s="26" t="s">
        <v>606</v>
      </c>
      <c r="K5" s="26" t="s">
        <v>547</v>
      </c>
      <c r="L5" s="26" t="s">
        <v>351</v>
      </c>
      <c r="M5" s="26" t="s">
        <v>323</v>
      </c>
      <c r="N5" s="26">
        <v>90</v>
      </c>
      <c r="O5" s="26">
        <f>2024-Inventory[[#This Row],[YrBlt]]</f>
        <v>1</v>
      </c>
      <c r="P5" s="26">
        <f>2024-Inventory[[#This Row],[EffYr]]</f>
        <v>1</v>
      </c>
      <c r="Q5" s="25">
        <v>1930</v>
      </c>
      <c r="R5" s="25">
        <v>1970</v>
      </c>
      <c r="S5" s="25">
        <v>1555</v>
      </c>
      <c r="T5" s="31"/>
      <c r="U5" s="32">
        <v>1555</v>
      </c>
      <c r="V5" s="32">
        <f>Inventory[[#This Row],[Bsmt]]-Inventory[[#This Row],[FnBsmt]]</f>
        <v>0</v>
      </c>
      <c r="W5" s="27"/>
      <c r="X5" s="27"/>
      <c r="Y5" s="27">
        <f>Inventory[[#This Row],[MainFn]]+Inventory[[#This Row],[UpprFn]]+Inventory[[#This Row],[FnBsmt]]+Inventory[[#This Row],[AddFn]]</f>
        <v>1985</v>
      </c>
      <c r="Z5" s="27">
        <v>2000</v>
      </c>
      <c r="AA5" s="25">
        <v>10</v>
      </c>
      <c r="AB5" s="27"/>
      <c r="AC5" s="27"/>
      <c r="AD5" s="27"/>
      <c r="AE5" s="27"/>
      <c r="AF5" s="27"/>
      <c r="AG5" s="25">
        <v>125</v>
      </c>
      <c r="AH5" s="27"/>
      <c r="AI5" s="25">
        <v>233758</v>
      </c>
      <c r="AJ5" s="25">
        <v>194019</v>
      </c>
      <c r="AK5" s="25">
        <v>0</v>
      </c>
      <c r="AL5" s="25">
        <v>545250</v>
      </c>
      <c r="AM5" s="25">
        <v>79250</v>
      </c>
      <c r="AN5" s="25">
        <v>466000</v>
      </c>
      <c r="AO5" s="25">
        <v>0</v>
      </c>
      <c r="AP5" s="25">
        <f>Lookups!$B$56*0</f>
        <v>0</v>
      </c>
      <c r="AQ5" s="25">
        <f>Lookups!$B$56*1</f>
        <v>89850.625589999996</v>
      </c>
      <c r="AR5" s="25">
        <f>Lookups!$B$57*Inventory[[#This Row],[LnAcres]]</f>
        <v>-110998.74281323297</v>
      </c>
      <c r="AS5" s="25">
        <f>VLOOKUP(Inventory[[#This Row],[Qlty]],Lookups!$A$62:$E$75,2,FALSE)</f>
        <v>44121.038090000002</v>
      </c>
      <c r="AT5" s="25">
        <f>VLOOKUP(Inventory[[#This Row],[Cnd]],Lookups!$A$76:$E$84,2,FALSE)</f>
        <v>354070.39217000001</v>
      </c>
      <c r="AU5" s="25">
        <f>Inventory[[#This Row],[EffAge]]*Lookups!$B$85</f>
        <v>-223.04560050000001</v>
      </c>
      <c r="AV5" s="25">
        <f>Inventory[[#This Row],[MainFn]]*Lookups!$B$86</f>
        <v>79053.871803200003</v>
      </c>
      <c r="AW5" s="25">
        <f>Inventory[[#This Row],[UpprFn]]*Lookups!$B$87</f>
        <v>0</v>
      </c>
      <c r="AX5" s="25">
        <f>Inventory[[#This Row],[AddFn]]*Lookups!$B$88</f>
        <v>0</v>
      </c>
      <c r="AY5" s="25">
        <f>Inventory[[#This Row],[Bsmt]]*Lookups!$B$89</f>
        <v>11196.529670095</v>
      </c>
      <c r="AZ5" s="25">
        <f>Inventory[[#This Row],[Fixtures]]*Lookups!$B$90</f>
        <v>34128.198946800003</v>
      </c>
      <c r="BA5" s="25">
        <f>Inventory[[#This Row],[WdDeck]]*Lookups!$B$91</f>
        <v>8956.4936092440003</v>
      </c>
      <c r="BB5" s="25">
        <f>ROUND(Inventory[[#This Row],[25Det]],-2)</f>
        <v>0</v>
      </c>
      <c r="BC5" s="25">
        <f>ROUND(SUM(Inventory[[#This Row],[Mdl Qlty]:[Mdl WdDeck]])+Inventory[[#This Row],[Mdl Res Intercept]],-2)</f>
        <v>531300</v>
      </c>
      <c r="BD5" s="25">
        <f>ROUND(Inventory[[#This Row],[Mdl Land Intercept]]+Inventory[[#This Row],[Mdl LnAcres]],-2)</f>
        <v>-21100</v>
      </c>
      <c r="BE5" s="25">
        <f>Inventory[[#This Row],[Unadj Res Value]]+Inventory[[#This Row],[Unadj Det Value]]+Inventory[[#This Row],[Unadj Land Value]]</f>
        <v>510200</v>
      </c>
      <c r="BF5" s="36">
        <f>(Inventory[[#This Row],[Unadj Total Value]]-Inventory[[#This Row],[24Final]])/Inventory[[#This Row],[24Final]]</f>
        <v>0.89032975175991103</v>
      </c>
      <c r="BG5" s="25">
        <f>VLOOKUP(Inventory[[#This Row],[Nbhd]],Lookups!$Q$2:$T$4,4,FALSE)</f>
        <v>0.99970000000000003</v>
      </c>
      <c r="BH5" s="25">
        <f>VLOOKUP(Inventory[[#This Row],[Qlty]],Lookups!$O$7:$R$21,4,FALSE)</f>
        <v>0.98050000000000004</v>
      </c>
      <c r="BI5" s="29">
        <f>VLOOKUP(Inventory[[#This Row],[Cnd]],Lookups!$T$7:$W$16,4,FALSE)</f>
        <v>1.1303000000000001</v>
      </c>
      <c r="BJ5" s="25">
        <f>VLOOKUP(Inventory[[#This Row],[LivArea Range]],Lookups!$T$25:$W$37,4,FALSE)</f>
        <v>1.0093000000000001</v>
      </c>
      <c r="BK5" s="25">
        <f>VLOOKUP(Inventory[[#This Row],[Decade]],Lookups!$O$25:$R$42,4,FALSE)</f>
        <v>1</v>
      </c>
      <c r="BL5" s="25">
        <f>Inventory[[#This Row],[Nbhd Adj]]*0.95</f>
        <v>0.94971499999999998</v>
      </c>
      <c r="BM5" s="25">
        <f>Inventory[[#This Row],[Nbhd Adj]]*Inventory[[#This Row],[Quality Adj]]*Inventory[[#This Row],[Condition Adj]]*Inventory[[#This Row],[Living Area Adj]]*Inventory[[#This Row],[Decade Adj]]*0.95</f>
        <v>1.0623188707916231</v>
      </c>
      <c r="BN5" s="25">
        <f>ROUND(SUM(Inventory[[#This Row],[Mdl Qlty]:[Mdl WdDeck]])+Inventory[[#This Row],[Mdl Res Intercept]]*Inventory[[#This Row],[Res Adj ]],-2)</f>
        <v>531300</v>
      </c>
      <c r="BO5" s="25">
        <f>ROUND(Inventory[[#This Row],[25Det]]*Inventory[[#This Row],[Det/Nbhd Adj]],-2)</f>
        <v>0</v>
      </c>
      <c r="BP5" s="25">
        <f>Inventory[[#This Row],[Adjusted Res]]+Inventory[[#This Row],[Adj Det ]]</f>
        <v>531300</v>
      </c>
      <c r="BQ5" s="25">
        <f>ROUND((Inventory[[#This Row],[Mdl Land Intercept]]+Inventory[[#This Row],[Mdl LnAcres]])*Inventory[[#This Row],[Det/Nbhd Adj]],-2)</f>
        <v>-20100</v>
      </c>
      <c r="BR5" s="25">
        <f>Inventory[[#This Row],[Adjusted Impr Total]]+Inventory[[#This Row],[Adjusted Land Total]]</f>
        <v>511200</v>
      </c>
      <c r="BS5" s="36">
        <f>IFERROR((Inventory[[#This Row],[Adjusted Impr Total]]-Inventory[[#This Row],[24Bldg]])/Inventory[[#This Row],[24Bldg]],0)</f>
        <v>1.3634341637010676</v>
      </c>
      <c r="BT5" s="36">
        <f>(Inventory[[#This Row],[Adjusted Land Total]]-Inventory[[#This Row],[24Lnd]])/Inventory[[#This Row],[24Lnd]]</f>
        <v>-1.4456762749445675</v>
      </c>
      <c r="BU5" s="36">
        <f>(Inventory[[#This Row],[Adjusted Total]]-Inventory[[#This Row],[24Final]])/Inventory[[#This Row],[24Final]]</f>
        <v>0.89403482771396814</v>
      </c>
    </row>
    <row r="6" spans="1:73" x14ac:dyDescent="0.3">
      <c r="A6" s="25">
        <v>2025</v>
      </c>
      <c r="B6" s="26" t="s">
        <v>2515</v>
      </c>
      <c r="C6" s="26">
        <f>LN(Inventory[[#This Row],[Acres]])</f>
        <v>-3.5065578973199818</v>
      </c>
      <c r="D6" s="25">
        <v>0.77</v>
      </c>
      <c r="E6" s="25">
        <v>33541</v>
      </c>
      <c r="F6" s="26" t="s">
        <v>543</v>
      </c>
      <c r="G6" s="26" t="s">
        <v>544</v>
      </c>
      <c r="H6" s="26" t="s">
        <v>349</v>
      </c>
      <c r="I6" s="26" t="s">
        <v>545</v>
      </c>
      <c r="J6" s="26" t="s">
        <v>606</v>
      </c>
      <c r="K6" s="26" t="s">
        <v>547</v>
      </c>
      <c r="L6" s="26" t="s">
        <v>351</v>
      </c>
      <c r="M6" s="26" t="s">
        <v>323</v>
      </c>
      <c r="N6" s="26">
        <v>60</v>
      </c>
      <c r="O6" s="26">
        <f>2024-Inventory[[#This Row],[YrBlt]]</f>
        <v>1</v>
      </c>
      <c r="P6" s="26">
        <f>2024-Inventory[[#This Row],[EffYr]]</f>
        <v>1</v>
      </c>
      <c r="Q6" s="25">
        <v>1960</v>
      </c>
      <c r="R6" s="25">
        <v>1975</v>
      </c>
      <c r="S6" s="25">
        <v>1560</v>
      </c>
      <c r="T6" s="31"/>
      <c r="U6" s="27"/>
      <c r="V6" s="27">
        <f>Inventory[[#This Row],[Bsmt]]-Inventory[[#This Row],[FnBsmt]]</f>
        <v>0</v>
      </c>
      <c r="W6" s="27"/>
      <c r="X6" s="27"/>
      <c r="Y6" s="27">
        <f>Inventory[[#This Row],[MainFn]]+Inventory[[#This Row],[UpprFn]]+Inventory[[#This Row],[FnBsmt]]+Inventory[[#This Row],[AddFn]]</f>
        <v>3217</v>
      </c>
      <c r="Z6" s="27">
        <v>2000</v>
      </c>
      <c r="AA6" s="25">
        <v>10</v>
      </c>
      <c r="AB6" s="27"/>
      <c r="AC6" s="27"/>
      <c r="AD6" s="27"/>
      <c r="AE6" s="27"/>
      <c r="AF6" s="27"/>
      <c r="AG6" s="25">
        <v>125</v>
      </c>
      <c r="AH6" s="27"/>
      <c r="AI6" s="25">
        <v>186479</v>
      </c>
      <c r="AJ6" s="25">
        <v>165966</v>
      </c>
      <c r="AK6" s="25">
        <v>9134</v>
      </c>
      <c r="AL6" s="25">
        <v>701400</v>
      </c>
      <c r="AM6" s="25">
        <v>121200</v>
      </c>
      <c r="AN6" s="25">
        <v>580200</v>
      </c>
      <c r="AO6" s="25">
        <v>0</v>
      </c>
      <c r="AP6" s="25">
        <f>Lookups!$B$56*0</f>
        <v>0</v>
      </c>
      <c r="AQ6" s="25">
        <f>Lookups!$B$56*1</f>
        <v>89850.625589999996</v>
      </c>
      <c r="AR6" s="25">
        <f>Lookups!$B$57*Inventory[[#This Row],[LnAcres]]</f>
        <v>-110998.74281323297</v>
      </c>
      <c r="AS6" s="25">
        <f>VLOOKUP(Inventory[[#This Row],[Qlty]],Lookups!$A$62:$E$75,2,FALSE)</f>
        <v>44121.038090000002</v>
      </c>
      <c r="AT6" s="25">
        <f>VLOOKUP(Inventory[[#This Row],[Cnd]],Lookups!$A$76:$E$84,2,FALSE)</f>
        <v>354070.39217000001</v>
      </c>
      <c r="AU6" s="25">
        <f>Inventory[[#This Row],[EffAge]]*Lookups!$B$85</f>
        <v>-223.04560050000001</v>
      </c>
      <c r="AV6" s="25">
        <f>Inventory[[#This Row],[MainFn]]*Lookups!$B$86</f>
        <v>98866.748423876998</v>
      </c>
      <c r="AW6" s="25">
        <f>Inventory[[#This Row],[UpprFn]]*Lookups!$B$87</f>
        <v>0</v>
      </c>
      <c r="AX6" s="25">
        <f>Inventory[[#This Row],[AddFn]]*Lookups!$B$88</f>
        <v>0</v>
      </c>
      <c r="AY6" s="25">
        <f>Inventory[[#This Row],[Bsmt]]*Lookups!$B$89</f>
        <v>35363.584620351998</v>
      </c>
      <c r="AZ6" s="25">
        <f>Inventory[[#This Row],[Fixtures]]*Lookups!$B$90</f>
        <v>37920.221052000001</v>
      </c>
      <c r="BA6" s="25">
        <f>Inventory[[#This Row],[WdDeck]]*Lookups!$B$91</f>
        <v>8457.0608801040016</v>
      </c>
      <c r="BB6" s="25">
        <f>ROUND(Inventory[[#This Row],[25Det]],-2)</f>
        <v>0</v>
      </c>
      <c r="BC6" s="25">
        <f>ROUND(SUM(Inventory[[#This Row],[Mdl Qlty]:[Mdl WdDeck]])+Inventory[[#This Row],[Mdl Res Intercept]],-2)</f>
        <v>578600</v>
      </c>
      <c r="BD6" s="25">
        <f>ROUND(Inventory[[#This Row],[Mdl Land Intercept]]+Inventory[[#This Row],[Mdl LnAcres]],-2)</f>
        <v>-21100</v>
      </c>
      <c r="BE6" s="25">
        <f>Inventory[[#This Row],[Unadj Res Value]]+Inventory[[#This Row],[Unadj Det Value]]+Inventory[[#This Row],[Unadj Land Value]]</f>
        <v>557500</v>
      </c>
      <c r="BF6" s="36">
        <f>(Inventory[[#This Row],[Unadj Total Value]]-Inventory[[#This Row],[24Final]])/Inventory[[#This Row],[24Final]]</f>
        <v>0.6001722158438576</v>
      </c>
      <c r="BG6" s="25">
        <f>VLOOKUP(Inventory[[#This Row],[Nbhd]],Lookups!$Q$2:$T$4,4,FALSE)</f>
        <v>0.99970000000000003</v>
      </c>
      <c r="BH6" s="25">
        <f>VLOOKUP(Inventory[[#This Row],[Qlty]],Lookups!$O$7:$R$21,4,FALSE)</f>
        <v>0.98050000000000004</v>
      </c>
      <c r="BI6" s="29">
        <f>VLOOKUP(Inventory[[#This Row],[Cnd]],Lookups!$T$7:$W$16,4,FALSE)</f>
        <v>1.1303000000000001</v>
      </c>
      <c r="BJ6" s="25">
        <f>VLOOKUP(Inventory[[#This Row],[LivArea Range]],Lookups!$T$25:$W$37,4,FALSE)</f>
        <v>1.0126999999999999</v>
      </c>
      <c r="BK6" s="25">
        <f>VLOOKUP(Inventory[[#This Row],[Decade]],Lookups!$O$25:$R$42,4,FALSE)</f>
        <v>1</v>
      </c>
      <c r="BL6" s="25">
        <f>Inventory[[#This Row],[Nbhd Adj]]*0.95</f>
        <v>0.94971499999999998</v>
      </c>
      <c r="BM6" s="25">
        <f>Inventory[[#This Row],[Nbhd Adj]]*Inventory[[#This Row],[Quality Adj]]*Inventory[[#This Row],[Condition Adj]]*Inventory[[#This Row],[Living Area Adj]]*Inventory[[#This Row],[Decade Adj]]*0.95</f>
        <v>1.0658974739430065</v>
      </c>
      <c r="BN6" s="25">
        <f>ROUND(SUM(Inventory[[#This Row],[Mdl Qlty]:[Mdl WdDeck]])+Inventory[[#This Row],[Mdl Res Intercept]]*Inventory[[#This Row],[Res Adj ]],-2)</f>
        <v>578600</v>
      </c>
      <c r="BO6" s="25">
        <f>ROUND(Inventory[[#This Row],[25Det]]*Inventory[[#This Row],[Det/Nbhd Adj]],-2)</f>
        <v>0</v>
      </c>
      <c r="BP6" s="25">
        <f>Inventory[[#This Row],[Adjusted Res]]+Inventory[[#This Row],[Adj Det ]]</f>
        <v>578600</v>
      </c>
      <c r="BQ6" s="25">
        <f>ROUND((Inventory[[#This Row],[Mdl Land Intercept]]+Inventory[[#This Row],[Mdl LnAcres]])*Inventory[[#This Row],[Det/Nbhd Adj]],-2)</f>
        <v>-20100</v>
      </c>
      <c r="BR6" s="25">
        <f>Inventory[[#This Row],[Adjusted Impr Total]]+Inventory[[#This Row],[Adjusted Land Total]]</f>
        <v>558500</v>
      </c>
      <c r="BS6" s="36">
        <f>IFERROR((Inventory[[#This Row],[Adjusted Impr Total]]-Inventory[[#This Row],[24Bldg]])/Inventory[[#This Row],[24Bldg]],0)</f>
        <v>0.99379738111647142</v>
      </c>
      <c r="BT6" s="36">
        <f>(Inventory[[#This Row],[Adjusted Land Total]]-Inventory[[#This Row],[24Lnd]])/Inventory[[#This Row],[24Lnd]]</f>
        <v>-1.3453608247422681</v>
      </c>
      <c r="BU6" s="36">
        <f>(Inventory[[#This Row],[Adjusted Total]]-Inventory[[#This Row],[24Final]])/Inventory[[#This Row],[24Final]]</f>
        <v>0.60304247990815152</v>
      </c>
    </row>
    <row r="7" spans="1:73" x14ac:dyDescent="0.3">
      <c r="A7" s="25">
        <v>2025</v>
      </c>
      <c r="B7" s="26" t="s">
        <v>2515</v>
      </c>
      <c r="C7" s="26">
        <f>LN(Inventory[[#This Row],[Acres]])</f>
        <v>-2.0402208285265546</v>
      </c>
      <c r="D7" s="25">
        <v>0.77</v>
      </c>
      <c r="E7" s="25">
        <v>33541</v>
      </c>
      <c r="F7" s="26" t="s">
        <v>543</v>
      </c>
      <c r="G7" s="26" t="s">
        <v>544</v>
      </c>
      <c r="H7" s="26" t="s">
        <v>349</v>
      </c>
      <c r="I7" s="26" t="s">
        <v>545</v>
      </c>
      <c r="J7" s="26" t="s">
        <v>606</v>
      </c>
      <c r="K7" s="26" t="s">
        <v>547</v>
      </c>
      <c r="L7" s="26" t="s">
        <v>351</v>
      </c>
      <c r="M7" s="26" t="s">
        <v>323</v>
      </c>
      <c r="N7" s="26">
        <v>60</v>
      </c>
      <c r="O7" s="26">
        <f>2024-Inventory[[#This Row],[YrBlt]]</f>
        <v>1</v>
      </c>
      <c r="P7" s="26">
        <f>2024-Inventory[[#This Row],[EffYr]]</f>
        <v>1</v>
      </c>
      <c r="Q7" s="25">
        <v>1960</v>
      </c>
      <c r="R7" s="25">
        <v>1975</v>
      </c>
      <c r="S7" s="25">
        <v>1560</v>
      </c>
      <c r="T7" s="31"/>
      <c r="U7" s="27"/>
      <c r="V7" s="27">
        <f>Inventory[[#This Row],[Bsmt]]-Inventory[[#This Row],[FnBsmt]]</f>
        <v>0</v>
      </c>
      <c r="W7" s="27"/>
      <c r="X7" s="27"/>
      <c r="Y7" s="27">
        <f>Inventory[[#This Row],[MainFn]]+Inventory[[#This Row],[UpprFn]]+Inventory[[#This Row],[FnBsmt]]+Inventory[[#This Row],[AddFn]]</f>
        <v>1288</v>
      </c>
      <c r="Z7" s="27">
        <v>2000</v>
      </c>
      <c r="AA7" s="25">
        <v>10</v>
      </c>
      <c r="AB7" s="27"/>
      <c r="AC7" s="27"/>
      <c r="AD7" s="27"/>
      <c r="AE7" s="27"/>
      <c r="AF7" s="27"/>
      <c r="AG7" s="25">
        <v>125</v>
      </c>
      <c r="AH7" s="27"/>
      <c r="AI7" s="25">
        <v>186566</v>
      </c>
      <c r="AJ7" s="25">
        <v>166044</v>
      </c>
      <c r="AK7" s="25">
        <v>9134</v>
      </c>
      <c r="AL7" s="25">
        <v>701400</v>
      </c>
      <c r="AM7" s="25">
        <v>121200</v>
      </c>
      <c r="AN7" s="25">
        <v>580200</v>
      </c>
      <c r="AO7" s="25">
        <v>0</v>
      </c>
      <c r="AP7" s="25">
        <f>Lookups!$B$56*0</f>
        <v>0</v>
      </c>
      <c r="AQ7" s="25">
        <f>Lookups!$B$56*1</f>
        <v>89850.625589999996</v>
      </c>
      <c r="AR7" s="25">
        <f>Lookups!$B$57*Inventory[[#This Row],[LnAcres]]</f>
        <v>-64582.406353792743</v>
      </c>
      <c r="AS7" s="25">
        <f>VLOOKUP(Inventory[[#This Row],[Qlty]],Lookups!$A$62:$E$75,2,FALSE)</f>
        <v>21557.329055999999</v>
      </c>
      <c r="AT7" s="25">
        <f>VLOOKUP(Inventory[[#This Row],[Cnd]],Lookups!$A$76:$E$84,2,FALSE)</f>
        <v>354070.39217000001</v>
      </c>
      <c r="AU7" s="25">
        <f>Inventory[[#This Row],[EffAge]]*Lookups!$B$85</f>
        <v>-223.04560050000001</v>
      </c>
      <c r="AV7" s="25">
        <f>Inventory[[#This Row],[MainFn]]*Lookups!$B$86</f>
        <v>63638.366801576005</v>
      </c>
      <c r="AW7" s="25">
        <f>Inventory[[#This Row],[UpprFn]]*Lookups!$B$87</f>
        <v>0</v>
      </c>
      <c r="AX7" s="25">
        <f>Inventory[[#This Row],[AddFn]]*Lookups!$B$88</f>
        <v>0</v>
      </c>
      <c r="AY7" s="25">
        <f>Inventory[[#This Row],[Bsmt]]*Lookups!$B$89</f>
        <v>0</v>
      </c>
      <c r="AZ7" s="25">
        <f>Inventory[[#This Row],[Fixtures]]*Lookups!$B$90</f>
        <v>30336.176841600001</v>
      </c>
      <c r="BA7" s="25">
        <f>Inventory[[#This Row],[WdDeck]]*Lookups!$B$91</f>
        <v>0</v>
      </c>
      <c r="BB7" s="25">
        <f>ROUND(Inventory[[#This Row],[25Det]],-2)</f>
        <v>0</v>
      </c>
      <c r="BC7" s="25">
        <f>ROUND(SUM(Inventory[[#This Row],[Mdl Qlty]:[Mdl WdDeck]])+Inventory[[#This Row],[Mdl Res Intercept]],-2)</f>
        <v>469400</v>
      </c>
      <c r="BD7" s="25">
        <f>ROUND(Inventory[[#This Row],[Mdl Land Intercept]]+Inventory[[#This Row],[Mdl LnAcres]],-2)</f>
        <v>25300</v>
      </c>
      <c r="BE7" s="25">
        <f>Inventory[[#This Row],[Unadj Res Value]]+Inventory[[#This Row],[Unadj Det Value]]+Inventory[[#This Row],[Unadj Land Value]]</f>
        <v>494700</v>
      </c>
      <c r="BF7" s="36">
        <f>(Inventory[[#This Row],[Unadj Total Value]]-Inventory[[#This Row],[24Final]])/Inventory[[#This Row],[24Final]]</f>
        <v>0.48424842484248426</v>
      </c>
      <c r="BG7" s="25">
        <f>VLOOKUP(Inventory[[#This Row],[Nbhd]],Lookups!$Q$2:$T$4,4,FALSE)</f>
        <v>0.99970000000000003</v>
      </c>
      <c r="BH7" s="25">
        <f>VLOOKUP(Inventory[[#This Row],[Qlty]],Lookups!$O$7:$R$21,4,FALSE)</f>
        <v>1.0067999999999999</v>
      </c>
      <c r="BI7" s="29">
        <f>VLOOKUP(Inventory[[#This Row],[Cnd]],Lookups!$T$7:$W$16,4,FALSE)</f>
        <v>1.1303000000000001</v>
      </c>
      <c r="BJ7" s="25">
        <f>VLOOKUP(Inventory[[#This Row],[LivArea Range]],Lookups!$T$25:$W$37,4,FALSE)</f>
        <v>1.0157</v>
      </c>
      <c r="BK7" s="25">
        <f>VLOOKUP(Inventory[[#This Row],[Decade]],Lookups!$O$25:$R$42,4,FALSE)</f>
        <v>1</v>
      </c>
      <c r="BL7" s="25">
        <f>Inventory[[#This Row],[Nbhd Adj]]*0.95</f>
        <v>0.94971499999999998</v>
      </c>
      <c r="BM7" s="25">
        <f>Inventory[[#This Row],[Nbhd Adj]]*Inventory[[#This Row],[Quality Adj]]*Inventory[[#This Row],[Condition Adj]]*Inventory[[#This Row],[Living Area Adj]]*Inventory[[#This Row],[Decade Adj]]*0.95</f>
        <v>1.0977303818466639</v>
      </c>
      <c r="BN7" s="25">
        <f>ROUND(SUM(Inventory[[#This Row],[Mdl Qlty]:[Mdl WdDeck]])+Inventory[[#This Row],[Mdl Res Intercept]]*Inventory[[#This Row],[Res Adj ]],-2)</f>
        <v>469400</v>
      </c>
      <c r="BO7" s="25">
        <f>ROUND(Inventory[[#This Row],[25Det]]*Inventory[[#This Row],[Det/Nbhd Adj]],-2)</f>
        <v>0</v>
      </c>
      <c r="BP7" s="25">
        <f>Inventory[[#This Row],[Adjusted Res]]+Inventory[[#This Row],[Adj Det ]]</f>
        <v>469400</v>
      </c>
      <c r="BQ7" s="25">
        <f>ROUND((Inventory[[#This Row],[Mdl Land Intercept]]+Inventory[[#This Row],[Mdl LnAcres]])*Inventory[[#This Row],[Det/Nbhd Adj]],-2)</f>
        <v>24000</v>
      </c>
      <c r="BR7" s="25">
        <f>Inventory[[#This Row],[Adjusted Impr Total]]+Inventory[[#This Row],[Adjusted Land Total]]</f>
        <v>493400</v>
      </c>
      <c r="BS7" s="36">
        <f>IFERROR((Inventory[[#This Row],[Adjusted Impr Total]]-Inventory[[#This Row],[24Bldg]])/Inventory[[#This Row],[24Bldg]],0)</f>
        <v>0.61917902725077612</v>
      </c>
      <c r="BT7" s="36">
        <f>(Inventory[[#This Row],[Adjusted Land Total]]-Inventory[[#This Row],[24Lnd]])/Inventory[[#This Row],[24Lnd]]</f>
        <v>-0.44700460829493088</v>
      </c>
      <c r="BU7" s="36">
        <f>(Inventory[[#This Row],[Adjusted Total]]-Inventory[[#This Row],[24Final]])/Inventory[[#This Row],[24Final]]</f>
        <v>0.48034803480348037</v>
      </c>
    </row>
    <row r="8" spans="1:73" x14ac:dyDescent="0.3">
      <c r="A8" s="25">
        <v>2025</v>
      </c>
      <c r="B8" s="26" t="s">
        <v>2515</v>
      </c>
      <c r="C8" s="26">
        <f>LN(Inventory[[#This Row],[Acres]])</f>
        <v>-0.69314718055994529</v>
      </c>
      <c r="D8" s="25">
        <v>0.77</v>
      </c>
      <c r="E8" s="25">
        <v>33541</v>
      </c>
      <c r="F8" s="26" t="s">
        <v>543</v>
      </c>
      <c r="G8" s="26" t="s">
        <v>544</v>
      </c>
      <c r="H8" s="26" t="s">
        <v>349</v>
      </c>
      <c r="I8" s="26" t="s">
        <v>545</v>
      </c>
      <c r="J8" s="26" t="s">
        <v>606</v>
      </c>
      <c r="K8" s="26" t="s">
        <v>547</v>
      </c>
      <c r="L8" s="26" t="s">
        <v>351</v>
      </c>
      <c r="M8" s="26" t="s">
        <v>323</v>
      </c>
      <c r="N8" s="26">
        <v>60</v>
      </c>
      <c r="O8" s="26">
        <f>2024-Inventory[[#This Row],[YrBlt]]</f>
        <v>3</v>
      </c>
      <c r="P8" s="26">
        <f>2024-Inventory[[#This Row],[EffYr]]</f>
        <v>3</v>
      </c>
      <c r="Q8" s="25">
        <v>1960</v>
      </c>
      <c r="R8" s="25">
        <v>1975</v>
      </c>
      <c r="S8" s="25">
        <v>1560</v>
      </c>
      <c r="T8" s="31"/>
      <c r="U8" s="27"/>
      <c r="V8" s="27">
        <f>Inventory[[#This Row],[Bsmt]]-Inventory[[#This Row],[FnBsmt]]</f>
        <v>0</v>
      </c>
      <c r="W8" s="27"/>
      <c r="X8" s="27"/>
      <c r="Y8" s="27">
        <f>Inventory[[#This Row],[MainFn]]+Inventory[[#This Row],[UpprFn]]+Inventory[[#This Row],[FnBsmt]]+Inventory[[#This Row],[AddFn]]</f>
        <v>2949</v>
      </c>
      <c r="Z8" s="27">
        <v>2000</v>
      </c>
      <c r="AA8" s="25">
        <v>10</v>
      </c>
      <c r="AB8" s="27"/>
      <c r="AC8" s="27"/>
      <c r="AD8" s="27"/>
      <c r="AE8" s="27"/>
      <c r="AF8" s="27"/>
      <c r="AG8" s="25">
        <v>125</v>
      </c>
      <c r="AH8" s="27"/>
      <c r="AI8" s="25">
        <v>187115</v>
      </c>
      <c r="AJ8" s="25">
        <v>166532</v>
      </c>
      <c r="AK8" s="25">
        <v>9134</v>
      </c>
      <c r="AL8" s="25">
        <v>701400</v>
      </c>
      <c r="AM8" s="25">
        <v>121200</v>
      </c>
      <c r="AN8" s="25">
        <v>580200</v>
      </c>
      <c r="AO8" s="25">
        <v>0</v>
      </c>
      <c r="AP8" s="25">
        <f>Lookups!$B$56*0</f>
        <v>0</v>
      </c>
      <c r="AQ8" s="25">
        <f>Lookups!$B$56*1</f>
        <v>89850.625589999996</v>
      </c>
      <c r="AR8" s="25">
        <f>Lookups!$B$57*Inventory[[#This Row],[LnAcres]]</f>
        <v>-21941.307652582615</v>
      </c>
      <c r="AS8" s="25">
        <f>VLOOKUP(Inventory[[#This Row],[Qlty]],Lookups!$A$62:$E$75,2,FALSE)</f>
        <v>29814.093161000001</v>
      </c>
      <c r="AT8" s="25">
        <f>VLOOKUP(Inventory[[#This Row],[Cnd]],Lookups!$A$76:$E$84,2,FALSE)</f>
        <v>354070.39217000001</v>
      </c>
      <c r="AU8" s="25">
        <f>Inventory[[#This Row],[EffAge]]*Lookups!$B$85</f>
        <v>-669.13680150000005</v>
      </c>
      <c r="AV8" s="25">
        <f>Inventory[[#This Row],[MainFn]]*Lookups!$B$86</f>
        <v>145706.16746727302</v>
      </c>
      <c r="AW8" s="25">
        <f>Inventory[[#This Row],[UpprFn]]*Lookups!$B$87</f>
        <v>0</v>
      </c>
      <c r="AX8" s="25">
        <f>Inventory[[#This Row],[AddFn]]*Lookups!$B$88</f>
        <v>0</v>
      </c>
      <c r="AY8" s="25">
        <f>Inventory[[#This Row],[Bsmt]]*Lookups!$B$89</f>
        <v>0</v>
      </c>
      <c r="AZ8" s="25">
        <f>Inventory[[#This Row],[Fixtures]]*Lookups!$B$90</f>
        <v>49296.287367600002</v>
      </c>
      <c r="BA8" s="25">
        <f>Inventory[[#This Row],[WdDeck]]*Lookups!$B$91</f>
        <v>0</v>
      </c>
      <c r="BB8" s="25">
        <f>ROUND(Inventory[[#This Row],[25Det]],-2)</f>
        <v>0</v>
      </c>
      <c r="BC8" s="25">
        <f>ROUND(SUM(Inventory[[#This Row],[Mdl Qlty]:[Mdl WdDeck]])+Inventory[[#This Row],[Mdl Res Intercept]],-2)</f>
        <v>578200</v>
      </c>
      <c r="BD8" s="25">
        <f>ROUND(Inventory[[#This Row],[Mdl Land Intercept]]+Inventory[[#This Row],[Mdl LnAcres]],-2)</f>
        <v>67900</v>
      </c>
      <c r="BE8" s="25">
        <f>Inventory[[#This Row],[Unadj Res Value]]+Inventory[[#This Row],[Unadj Det Value]]+Inventory[[#This Row],[Unadj Land Value]]</f>
        <v>646100</v>
      </c>
      <c r="BF8" s="36">
        <f>(Inventory[[#This Row],[Unadj Total Value]]-Inventory[[#This Row],[24Final]])/Inventory[[#This Row],[24Final]]</f>
        <v>0.31161185546082015</v>
      </c>
      <c r="BG8" s="25">
        <f>VLOOKUP(Inventory[[#This Row],[Nbhd]],Lookups!$Q$2:$T$4,4,FALSE)</f>
        <v>0.99970000000000003</v>
      </c>
      <c r="BH8" s="25">
        <f>VLOOKUP(Inventory[[#This Row],[Qlty]],Lookups!$O$7:$R$21,4,FALSE)</f>
        <v>1.0088999999999999</v>
      </c>
      <c r="BI8" s="29">
        <f>VLOOKUP(Inventory[[#This Row],[Cnd]],Lookups!$T$7:$W$16,4,FALSE)</f>
        <v>1.1303000000000001</v>
      </c>
      <c r="BJ8" s="25">
        <f>VLOOKUP(Inventory[[#This Row],[LivArea Range]],Lookups!$T$25:$W$37,4,FALSE)</f>
        <v>0.96179999999999999</v>
      </c>
      <c r="BK8" s="25">
        <f>VLOOKUP(Inventory[[#This Row],[Decade]],Lookups!$O$25:$R$42,4,FALSE)</f>
        <v>1</v>
      </c>
      <c r="BL8" s="25">
        <f>Inventory[[#This Row],[Nbhd Adj]]*0.95</f>
        <v>0.94971499999999998</v>
      </c>
      <c r="BM8" s="25">
        <f>Inventory[[#This Row],[Nbhd Adj]]*Inventory[[#This Row],[Quality Adj]]*Inventory[[#This Row],[Condition Adj]]*Inventory[[#This Row],[Living Area Adj]]*Inventory[[#This Row],[Decade Adj]]*0.95</f>
        <v>1.0416454466654774</v>
      </c>
      <c r="BN8" s="25">
        <f>ROUND(SUM(Inventory[[#This Row],[Mdl Qlty]:[Mdl WdDeck]])+Inventory[[#This Row],[Mdl Res Intercept]]*Inventory[[#This Row],[Res Adj ]],-2)</f>
        <v>578200</v>
      </c>
      <c r="BO8" s="25">
        <f>ROUND(Inventory[[#This Row],[25Det]]*Inventory[[#This Row],[Det/Nbhd Adj]],-2)</f>
        <v>0</v>
      </c>
      <c r="BP8" s="25">
        <f>Inventory[[#This Row],[Adjusted Res]]+Inventory[[#This Row],[Adj Det ]]</f>
        <v>578200</v>
      </c>
      <c r="BQ8" s="25">
        <f>ROUND((Inventory[[#This Row],[Mdl Land Intercept]]+Inventory[[#This Row],[Mdl LnAcres]])*Inventory[[#This Row],[Det/Nbhd Adj]],-2)</f>
        <v>64500</v>
      </c>
      <c r="BR8" s="25">
        <f>Inventory[[#This Row],[Adjusted Impr Total]]+Inventory[[#This Row],[Adjusted Land Total]]</f>
        <v>642700</v>
      </c>
      <c r="BS8" s="36">
        <f>IFERROR((Inventory[[#This Row],[Adjusted Impr Total]]-Inventory[[#This Row],[24Bldg]])/Inventory[[#This Row],[24Bldg]],0)</f>
        <v>0.43759323719542514</v>
      </c>
      <c r="BT8" s="36">
        <f>(Inventory[[#This Row],[Adjusted Land Total]]-Inventory[[#This Row],[24Lnd]])/Inventory[[#This Row],[24Lnd]]</f>
        <v>-0.28650442477876104</v>
      </c>
      <c r="BU8" s="36">
        <f>(Inventory[[#This Row],[Adjusted Total]]-Inventory[[#This Row],[24Final]])/Inventory[[#This Row],[24Final]]</f>
        <v>0.30470970361347949</v>
      </c>
    </row>
    <row r="9" spans="1:73" x14ac:dyDescent="0.3">
      <c r="A9" s="25">
        <v>2025</v>
      </c>
      <c r="B9" s="26" t="s">
        <v>607</v>
      </c>
      <c r="C9" s="26">
        <f>LN(Inventory[[#This Row],[Acres]])</f>
        <v>-1.7719568419318752</v>
      </c>
      <c r="D9" s="25">
        <v>0.63</v>
      </c>
      <c r="E9" s="25">
        <v>27319</v>
      </c>
      <c r="F9" s="26" t="s">
        <v>537</v>
      </c>
      <c r="G9" s="26" t="s">
        <v>126</v>
      </c>
      <c r="H9" s="26" t="s">
        <v>349</v>
      </c>
      <c r="I9" s="26" t="s">
        <v>538</v>
      </c>
      <c r="J9" s="26" t="s">
        <v>608</v>
      </c>
      <c r="K9" s="26" t="s">
        <v>242</v>
      </c>
      <c r="L9" s="26" t="s">
        <v>351</v>
      </c>
      <c r="M9" s="26" t="s">
        <v>206</v>
      </c>
      <c r="N9" s="26">
        <v>80</v>
      </c>
      <c r="O9" s="26">
        <f>2024-Inventory[[#This Row],[YrBlt]]</f>
        <v>5</v>
      </c>
      <c r="P9" s="26">
        <f>2024-Inventory[[#This Row],[EffYr]]</f>
        <v>5</v>
      </c>
      <c r="Q9" s="25">
        <v>1940</v>
      </c>
      <c r="R9" s="25">
        <v>1972</v>
      </c>
      <c r="S9" s="25">
        <v>1590</v>
      </c>
      <c r="T9" s="31"/>
      <c r="U9" s="27"/>
      <c r="V9" s="27">
        <f>Inventory[[#This Row],[Bsmt]]-Inventory[[#This Row],[FnBsmt]]</f>
        <v>0</v>
      </c>
      <c r="W9" s="27"/>
      <c r="X9" s="27"/>
      <c r="Y9" s="27">
        <f>Inventory[[#This Row],[MainFn]]+Inventory[[#This Row],[UpprFn]]+Inventory[[#This Row],[FnBsmt]]+Inventory[[#This Row],[AddFn]]</f>
        <v>1680</v>
      </c>
      <c r="Z9" s="27">
        <v>2000</v>
      </c>
      <c r="AA9" s="25">
        <v>5</v>
      </c>
      <c r="AB9" s="27"/>
      <c r="AC9" s="27"/>
      <c r="AD9" s="27"/>
      <c r="AE9" s="27"/>
      <c r="AF9" s="27"/>
      <c r="AG9" s="31"/>
      <c r="AH9" s="27"/>
      <c r="AI9" s="25">
        <v>246718</v>
      </c>
      <c r="AJ9" s="25">
        <v>162834</v>
      </c>
      <c r="AK9" s="25">
        <v>53341</v>
      </c>
      <c r="AL9" s="25">
        <v>384600</v>
      </c>
      <c r="AM9" s="25">
        <v>98400</v>
      </c>
      <c r="AN9" s="25">
        <v>286200</v>
      </c>
      <c r="AO9" s="25">
        <v>0</v>
      </c>
      <c r="AP9" s="25">
        <f>Lookups!$B$56*0</f>
        <v>0</v>
      </c>
      <c r="AQ9" s="25">
        <f>Lookups!$B$56*1</f>
        <v>89850.625589999996</v>
      </c>
      <c r="AR9" s="25">
        <f>Lookups!$B$57*Inventory[[#This Row],[LnAcres]]</f>
        <v>-56090.612940989391</v>
      </c>
      <c r="AS9" s="25">
        <f>VLOOKUP(Inventory[[#This Row],[Qlty]],Lookups!$A$62:$E$75,2,FALSE)</f>
        <v>21557.329055999999</v>
      </c>
      <c r="AT9" s="25">
        <f>VLOOKUP(Inventory[[#This Row],[Cnd]],Lookups!$A$76:$E$84,2,FALSE)</f>
        <v>354070.39217000001</v>
      </c>
      <c r="AU9" s="25">
        <f>Inventory[[#This Row],[EffAge]]*Lookups!$B$85</f>
        <v>-1115.2280025</v>
      </c>
      <c r="AV9" s="25">
        <f>Inventory[[#This Row],[MainFn]]*Lookups!$B$86</f>
        <v>83006.565393359997</v>
      </c>
      <c r="AW9" s="25">
        <f>Inventory[[#This Row],[UpprFn]]*Lookups!$B$87</f>
        <v>0</v>
      </c>
      <c r="AX9" s="25">
        <f>Inventory[[#This Row],[AddFn]]*Lookups!$B$88</f>
        <v>0</v>
      </c>
      <c r="AY9" s="25">
        <f>Inventory[[#This Row],[Bsmt]]*Lookups!$B$89</f>
        <v>0</v>
      </c>
      <c r="AZ9" s="25">
        <f>Inventory[[#This Row],[Fixtures]]*Lookups!$B$90</f>
        <v>34128.198946800003</v>
      </c>
      <c r="BA9" s="25">
        <f>Inventory[[#This Row],[WdDeck]]*Lookups!$B$91</f>
        <v>0</v>
      </c>
      <c r="BB9" s="25">
        <f>ROUND(Inventory[[#This Row],[25Det]],-2)</f>
        <v>23500</v>
      </c>
      <c r="BC9" s="25">
        <f>ROUND(SUM(Inventory[[#This Row],[Mdl Qlty]:[Mdl WdDeck]])+Inventory[[#This Row],[Mdl Res Intercept]],-2)</f>
        <v>491600</v>
      </c>
      <c r="BD9" s="25">
        <f>ROUND(Inventory[[#This Row],[Mdl Land Intercept]]+Inventory[[#This Row],[Mdl LnAcres]],-2)</f>
        <v>33800</v>
      </c>
      <c r="BE9" s="25">
        <f>Inventory[[#This Row],[Unadj Res Value]]+Inventory[[#This Row],[Unadj Det Value]]+Inventory[[#This Row],[Unadj Land Value]]</f>
        <v>548900</v>
      </c>
      <c r="BF9" s="36">
        <f>(Inventory[[#This Row],[Unadj Total Value]]-Inventory[[#This Row],[24Final]])/Inventory[[#This Row],[24Final]]</f>
        <v>0.37122158381214088</v>
      </c>
      <c r="BG9" s="25">
        <f>VLOOKUP(Inventory[[#This Row],[Nbhd]],Lookups!$Q$2:$T$4,4,FALSE)</f>
        <v>0.99970000000000003</v>
      </c>
      <c r="BH9" s="25">
        <f>VLOOKUP(Inventory[[#This Row],[Qlty]],Lookups!$O$7:$R$21,4,FALSE)</f>
        <v>1.0067999999999999</v>
      </c>
      <c r="BI9" s="29">
        <f>VLOOKUP(Inventory[[#This Row],[Cnd]],Lookups!$T$7:$W$16,4,FALSE)</f>
        <v>1.1303000000000001</v>
      </c>
      <c r="BJ9" s="25">
        <f>VLOOKUP(Inventory[[#This Row],[LivArea Range]],Lookups!$T$25:$W$37,4,FALSE)</f>
        <v>1.0093000000000001</v>
      </c>
      <c r="BK9" s="25">
        <f>VLOOKUP(Inventory[[#This Row],[Decade]],Lookups!$O$25:$R$42,4,FALSE)</f>
        <v>1</v>
      </c>
      <c r="BL9" s="25">
        <f>Inventory[[#This Row],[Nbhd Adj]]*0.95</f>
        <v>0.94971499999999998</v>
      </c>
      <c r="BM9" s="25">
        <f>Inventory[[#This Row],[Nbhd Adj]]*Inventory[[#This Row],[Quality Adj]]*Inventory[[#This Row],[Condition Adj]]*Inventory[[#This Row],[Living Area Adj]]*Inventory[[#This Row],[Decade Adj]]*0.95</f>
        <v>1.090813502410001</v>
      </c>
      <c r="BN9" s="25">
        <f>ROUND(SUM(Inventory[[#This Row],[Mdl Qlty]:[Mdl WdDeck]])+Inventory[[#This Row],[Mdl Res Intercept]]*Inventory[[#This Row],[Res Adj ]],-2)</f>
        <v>491600</v>
      </c>
      <c r="BO9" s="25">
        <f>ROUND(Inventory[[#This Row],[25Det]]*Inventory[[#This Row],[Det/Nbhd Adj]],-2)</f>
        <v>22400</v>
      </c>
      <c r="BP9" s="25">
        <f>Inventory[[#This Row],[Adjusted Res]]+Inventory[[#This Row],[Adj Det ]]</f>
        <v>514000</v>
      </c>
      <c r="BQ9" s="25">
        <f>ROUND((Inventory[[#This Row],[Mdl Land Intercept]]+Inventory[[#This Row],[Mdl LnAcres]])*Inventory[[#This Row],[Det/Nbhd Adj]],-2)</f>
        <v>32100</v>
      </c>
      <c r="BR9" s="25">
        <f>Inventory[[#This Row],[Adjusted Impr Total]]+Inventory[[#This Row],[Adjusted Land Total]]</f>
        <v>546100</v>
      </c>
      <c r="BS9" s="36">
        <f>IFERROR((Inventory[[#This Row],[Adjusted Impr Total]]-Inventory[[#This Row],[24Bldg]])/Inventory[[#This Row],[24Bldg]],0)</f>
        <v>0.47871116225546606</v>
      </c>
      <c r="BT9" s="36">
        <f>(Inventory[[#This Row],[Adjusted Land Total]]-Inventory[[#This Row],[24Lnd]])/Inventory[[#This Row],[24Lnd]]</f>
        <v>-0.39089184060721061</v>
      </c>
      <c r="BU9" s="36">
        <f>(Inventory[[#This Row],[Adjusted Total]]-Inventory[[#This Row],[24Final]])/Inventory[[#This Row],[24Final]]</f>
        <v>0.36422682987759181</v>
      </c>
    </row>
    <row r="10" spans="1:73" x14ac:dyDescent="0.3">
      <c r="A10" s="25">
        <v>2025</v>
      </c>
      <c r="B10" s="26" t="s">
        <v>2828</v>
      </c>
      <c r="C10" s="26">
        <f>LN(Inventory[[#This Row],[Acres]])</f>
        <v>-1.6094379124341003</v>
      </c>
      <c r="D10" s="25">
        <v>0.16</v>
      </c>
      <c r="E10" s="25">
        <v>6810</v>
      </c>
      <c r="F10" s="26" t="s">
        <v>537</v>
      </c>
      <c r="G10" s="26" t="s">
        <v>126</v>
      </c>
      <c r="H10" s="26" t="s">
        <v>349</v>
      </c>
      <c r="I10" s="26" t="s">
        <v>538</v>
      </c>
      <c r="J10" s="26" t="s">
        <v>608</v>
      </c>
      <c r="K10" s="26" t="s">
        <v>269</v>
      </c>
      <c r="L10" s="26" t="s">
        <v>351</v>
      </c>
      <c r="M10" s="26" t="s">
        <v>323</v>
      </c>
      <c r="N10" s="26">
        <v>80</v>
      </c>
      <c r="O10" s="26">
        <f>2024-Inventory[[#This Row],[YrBlt]]</f>
        <v>7</v>
      </c>
      <c r="P10" s="26">
        <f>2024-Inventory[[#This Row],[EffYr]]</f>
        <v>7</v>
      </c>
      <c r="Q10" s="25">
        <v>1935</v>
      </c>
      <c r="R10" s="25">
        <v>1971</v>
      </c>
      <c r="S10" s="25">
        <v>872</v>
      </c>
      <c r="T10" s="27"/>
      <c r="U10" s="32">
        <v>720</v>
      </c>
      <c r="V10" s="32">
        <f>Inventory[[#This Row],[Bsmt]]-Inventory[[#This Row],[FnBsmt]]</f>
        <v>0</v>
      </c>
      <c r="W10" s="32">
        <v>720</v>
      </c>
      <c r="X10" s="27"/>
      <c r="Y10" s="27">
        <f>Inventory[[#This Row],[MainFn]]+Inventory[[#This Row],[UpprFn]]+Inventory[[#This Row],[FnBsmt]]+Inventory[[#This Row],[AddFn]]</f>
        <v>1420</v>
      </c>
      <c r="Z10" s="27">
        <v>2000</v>
      </c>
      <c r="AA10" s="25">
        <v>5</v>
      </c>
      <c r="AB10" s="32">
        <v>270</v>
      </c>
      <c r="AC10" s="27"/>
      <c r="AD10" s="27"/>
      <c r="AE10" s="27"/>
      <c r="AF10" s="27"/>
      <c r="AG10" s="27"/>
      <c r="AH10" s="27"/>
      <c r="AI10" s="25">
        <v>221169</v>
      </c>
      <c r="AJ10" s="25">
        <v>148183</v>
      </c>
      <c r="AK10" s="25">
        <v>0</v>
      </c>
      <c r="AL10" s="25">
        <v>334200</v>
      </c>
      <c r="AM10" s="25">
        <v>50600</v>
      </c>
      <c r="AN10" s="25">
        <v>283600</v>
      </c>
      <c r="AO10" s="25">
        <v>0</v>
      </c>
      <c r="AP10" s="25">
        <f>Lookups!$B$56*0</f>
        <v>0</v>
      </c>
      <c r="AQ10" s="25">
        <f>Lookups!$B$56*1</f>
        <v>89850.625589999996</v>
      </c>
      <c r="AR10" s="25">
        <f>Lookups!$B$57*Inventory[[#This Row],[LnAcres]]</f>
        <v>-50946.13867709865</v>
      </c>
      <c r="AS10" s="25">
        <f>VLOOKUP(Inventory[[#This Row],[Qlty]],Lookups!$A$62:$E$75,2,FALSE)</f>
        <v>29814.093161000001</v>
      </c>
      <c r="AT10" s="25">
        <f>VLOOKUP(Inventory[[#This Row],[Cnd]],Lookups!$A$76:$E$84,2,FALSE)</f>
        <v>354070.39217000001</v>
      </c>
      <c r="AU10" s="25">
        <f>Inventory[[#This Row],[EffAge]]*Lookups!$B$85</f>
        <v>-1561.3192035</v>
      </c>
      <c r="AV10" s="25">
        <f>Inventory[[#This Row],[MainFn]]*Lookups!$B$86</f>
        <v>70160.311225340003</v>
      </c>
      <c r="AW10" s="25">
        <f>Inventory[[#This Row],[UpprFn]]*Lookups!$B$87</f>
        <v>0</v>
      </c>
      <c r="AX10" s="25">
        <f>Inventory[[#This Row],[AddFn]]*Lookups!$B$88</f>
        <v>0</v>
      </c>
      <c r="AY10" s="25">
        <f>Inventory[[#This Row],[Bsmt]]*Lookups!$B$89</f>
        <v>0</v>
      </c>
      <c r="AZ10" s="25">
        <f>Inventory[[#This Row],[Fixtures]]*Lookups!$B$90</f>
        <v>30336.176841600001</v>
      </c>
      <c r="BA10" s="25">
        <f>Inventory[[#This Row],[WdDeck]]*Lookups!$B$91</f>
        <v>0</v>
      </c>
      <c r="BB10" s="25">
        <f>ROUND(Inventory[[#This Row],[25Det]],-2)</f>
        <v>0</v>
      </c>
      <c r="BC10" s="25">
        <f>ROUND(SUM(Inventory[[#This Row],[Mdl Qlty]:[Mdl WdDeck]])+Inventory[[#This Row],[Mdl Res Intercept]],-2)</f>
        <v>482800</v>
      </c>
      <c r="BD10" s="25">
        <f>ROUND(Inventory[[#This Row],[Mdl Land Intercept]]+Inventory[[#This Row],[Mdl LnAcres]],-2)</f>
        <v>38900</v>
      </c>
      <c r="BE10" s="25">
        <f>Inventory[[#This Row],[Unadj Res Value]]+Inventory[[#This Row],[Unadj Det Value]]+Inventory[[#This Row],[Unadj Land Value]]</f>
        <v>521700</v>
      </c>
      <c r="BF10" s="36">
        <f>(Inventory[[#This Row],[Unadj Total Value]]-Inventory[[#This Row],[24Final]])/Inventory[[#This Row],[24Final]]</f>
        <v>0.43758611187655</v>
      </c>
      <c r="BG10" s="25">
        <f>VLOOKUP(Inventory[[#This Row],[Nbhd]],Lookups!$Q$2:$T$4,4,FALSE)</f>
        <v>0.99970000000000003</v>
      </c>
      <c r="BH10" s="25">
        <f>VLOOKUP(Inventory[[#This Row],[Qlty]],Lookups!$O$7:$R$21,4,FALSE)</f>
        <v>1.0088999999999999</v>
      </c>
      <c r="BI10" s="29">
        <f>VLOOKUP(Inventory[[#This Row],[Cnd]],Lookups!$T$7:$W$16,4,FALSE)</f>
        <v>1.1303000000000001</v>
      </c>
      <c r="BJ10" s="25">
        <f>VLOOKUP(Inventory[[#This Row],[LivArea Range]],Lookups!$T$25:$W$37,4,FALSE)</f>
        <v>1.0157</v>
      </c>
      <c r="BK10" s="25">
        <f>VLOOKUP(Inventory[[#This Row],[Decade]],Lookups!$O$25:$R$42,4,FALSE)</f>
        <v>1</v>
      </c>
      <c r="BL10" s="25">
        <f>Inventory[[#This Row],[Nbhd Adj]]*0.95</f>
        <v>0.94971499999999998</v>
      </c>
      <c r="BM10" s="25">
        <f>Inventory[[#This Row],[Nbhd Adj]]*Inventory[[#This Row],[Quality Adj]]*Inventory[[#This Row],[Condition Adj]]*Inventory[[#This Row],[Living Area Adj]]*Inventory[[#This Row],[Decade Adj]]*0.95</f>
        <v>1.1000200459327567</v>
      </c>
      <c r="BN10" s="25">
        <f>ROUND(SUM(Inventory[[#This Row],[Mdl Qlty]:[Mdl WdDeck]])+Inventory[[#This Row],[Mdl Res Intercept]]*Inventory[[#This Row],[Res Adj ]],-2)</f>
        <v>482800</v>
      </c>
      <c r="BO10" s="25">
        <f>ROUND(Inventory[[#This Row],[25Det]]*Inventory[[#This Row],[Det/Nbhd Adj]],-2)</f>
        <v>0</v>
      </c>
      <c r="BP10" s="25">
        <f>Inventory[[#This Row],[Adjusted Res]]+Inventory[[#This Row],[Adj Det ]]</f>
        <v>482800</v>
      </c>
      <c r="BQ10" s="25">
        <f>ROUND((Inventory[[#This Row],[Mdl Land Intercept]]+Inventory[[#This Row],[Mdl LnAcres]])*Inventory[[#This Row],[Det/Nbhd Adj]],-2)</f>
        <v>36900</v>
      </c>
      <c r="BR10" s="25">
        <f>Inventory[[#This Row],[Adjusted Impr Total]]+Inventory[[#This Row],[Adjusted Land Total]]</f>
        <v>519700</v>
      </c>
      <c r="BS10" s="36">
        <f>IFERROR((Inventory[[#This Row],[Adjusted Impr Total]]-Inventory[[#This Row],[24Bldg]])/Inventory[[#This Row],[24Bldg]],0)</f>
        <v>0.58555008210180626</v>
      </c>
      <c r="BT10" s="36">
        <f>(Inventory[[#This Row],[Adjusted Land Total]]-Inventory[[#This Row],[24Lnd]])/Inventory[[#This Row],[24Lnd]]</f>
        <v>-0.36815068493150682</v>
      </c>
      <c r="BU10" s="36">
        <f>(Inventory[[#This Row],[Adjusted Total]]-Inventory[[#This Row],[24Final]])/Inventory[[#This Row],[24Final]]</f>
        <v>0.43207495177734911</v>
      </c>
    </row>
    <row r="11" spans="1:73" x14ac:dyDescent="0.3">
      <c r="A11" s="25">
        <v>2025</v>
      </c>
      <c r="B11" s="26" t="s">
        <v>1124</v>
      </c>
      <c r="C11" s="26">
        <f>LN(Inventory[[#This Row],[Acres]])</f>
        <v>-1.8971199848858813</v>
      </c>
      <c r="D11" s="25">
        <v>0.27</v>
      </c>
      <c r="E11" s="25">
        <v>11761</v>
      </c>
      <c r="F11" s="26" t="s">
        <v>543</v>
      </c>
      <c r="G11" s="26" t="s">
        <v>544</v>
      </c>
      <c r="H11" s="26" t="s">
        <v>349</v>
      </c>
      <c r="I11" s="26" t="s">
        <v>545</v>
      </c>
      <c r="J11" s="26" t="s">
        <v>606</v>
      </c>
      <c r="K11" s="26" t="s">
        <v>547</v>
      </c>
      <c r="L11" s="26" t="s">
        <v>351</v>
      </c>
      <c r="M11" s="26" t="s">
        <v>323</v>
      </c>
      <c r="N11" s="26">
        <v>90</v>
      </c>
      <c r="O11" s="26">
        <f>2024-Inventory[[#This Row],[YrBlt]]</f>
        <v>7</v>
      </c>
      <c r="P11" s="26">
        <f>2024-Inventory[[#This Row],[EffYr]]</f>
        <v>7</v>
      </c>
      <c r="Q11" s="25">
        <v>1930</v>
      </c>
      <c r="R11" s="25">
        <v>1970</v>
      </c>
      <c r="S11" s="25">
        <v>1632</v>
      </c>
      <c r="T11" s="27"/>
      <c r="U11" s="32">
        <v>1632</v>
      </c>
      <c r="V11" s="32">
        <f>Inventory[[#This Row],[Bsmt]]-Inventory[[#This Row],[FnBsmt]]</f>
        <v>0</v>
      </c>
      <c r="W11" s="27"/>
      <c r="X11" s="27"/>
      <c r="Y11" s="27">
        <f>Inventory[[#This Row],[MainFn]]+Inventory[[#This Row],[UpprFn]]+Inventory[[#This Row],[FnBsmt]]+Inventory[[#This Row],[AddFn]]</f>
        <v>2260</v>
      </c>
      <c r="Z11" s="27">
        <v>2000</v>
      </c>
      <c r="AA11" s="25">
        <v>10</v>
      </c>
      <c r="AB11" s="27"/>
      <c r="AC11" s="27"/>
      <c r="AD11" s="27"/>
      <c r="AE11" s="27"/>
      <c r="AF11" s="27"/>
      <c r="AG11" s="32">
        <v>125</v>
      </c>
      <c r="AH11" s="27"/>
      <c r="AI11" s="25">
        <v>243000</v>
      </c>
      <c r="AJ11" s="25">
        <v>201690</v>
      </c>
      <c r="AK11" s="25">
        <v>0</v>
      </c>
      <c r="AL11" s="25">
        <v>545250</v>
      </c>
      <c r="AM11" s="25">
        <v>79250</v>
      </c>
      <c r="AN11" s="25">
        <v>466000</v>
      </c>
      <c r="AO11" s="25">
        <v>0</v>
      </c>
      <c r="AP11" s="25">
        <f>Lookups!$B$56*0</f>
        <v>0</v>
      </c>
      <c r="AQ11" s="25">
        <f>Lookups!$B$56*1</f>
        <v>89850.625589999996</v>
      </c>
      <c r="AR11" s="25">
        <f>Lookups!$B$57*Inventory[[#This Row],[LnAcres]]</f>
        <v>-60052.604136134301</v>
      </c>
      <c r="AS11" s="25">
        <f>VLOOKUP(Inventory[[#This Row],[Qlty]],Lookups!$A$62:$E$75,2,FALSE)</f>
        <v>44121.038090000002</v>
      </c>
      <c r="AT11" s="25">
        <f>VLOOKUP(Inventory[[#This Row],[Cnd]],Lookups!$A$76:$E$84,2,FALSE)</f>
        <v>354070.39217000001</v>
      </c>
      <c r="AU11" s="25">
        <f>Inventory[[#This Row],[EffAge]]*Lookups!$B$85</f>
        <v>-1561.3192035</v>
      </c>
      <c r="AV11" s="25">
        <f>Inventory[[#This Row],[MainFn]]*Lookups!$B$86</f>
        <v>61662.020006496001</v>
      </c>
      <c r="AW11" s="25">
        <f>Inventory[[#This Row],[UpprFn]]*Lookups!$B$87</f>
        <v>45323.859935331995</v>
      </c>
      <c r="AX11" s="25">
        <f>Inventory[[#This Row],[AddFn]]*Lookups!$B$88</f>
        <v>0</v>
      </c>
      <c r="AY11" s="25">
        <f>Inventory[[#This Row],[Bsmt]]*Lookups!$B$89</f>
        <v>0</v>
      </c>
      <c r="AZ11" s="25">
        <f>Inventory[[#This Row],[Fixtures]]*Lookups!$B$90</f>
        <v>64464.375788400001</v>
      </c>
      <c r="BA11" s="25">
        <f>Inventory[[#This Row],[WdDeck]]*Lookups!$B$91</f>
        <v>0</v>
      </c>
      <c r="BB11" s="25">
        <f>ROUND(Inventory[[#This Row],[25Det]],-2)</f>
        <v>0</v>
      </c>
      <c r="BC11" s="25">
        <f>ROUND(SUM(Inventory[[#This Row],[Mdl Qlty]:[Mdl WdDeck]])+Inventory[[#This Row],[Mdl Res Intercept]],-2)</f>
        <v>568100</v>
      </c>
      <c r="BD11" s="25">
        <f>ROUND(Inventory[[#This Row],[Mdl Land Intercept]]+Inventory[[#This Row],[Mdl LnAcres]],-2)</f>
        <v>29800</v>
      </c>
      <c r="BE11" s="25">
        <f>Inventory[[#This Row],[Unadj Res Value]]+Inventory[[#This Row],[Unadj Det Value]]+Inventory[[#This Row],[Unadj Land Value]]</f>
        <v>597900</v>
      </c>
      <c r="BF11" s="36">
        <f>(Inventory[[#This Row],[Unadj Total Value]]-Inventory[[#This Row],[24Final]])/Inventory[[#This Row],[24Final]]</f>
        <v>0.3713302752293578</v>
      </c>
      <c r="BG11" s="25">
        <f>VLOOKUP(Inventory[[#This Row],[Nbhd]],Lookups!$Q$2:$T$4,4,FALSE)</f>
        <v>0.99970000000000003</v>
      </c>
      <c r="BH11" s="25">
        <f>VLOOKUP(Inventory[[#This Row],[Qlty]],Lookups!$O$7:$R$21,4,FALSE)</f>
        <v>0.98050000000000004</v>
      </c>
      <c r="BI11" s="29">
        <f>VLOOKUP(Inventory[[#This Row],[Cnd]],Lookups!$T$7:$W$16,4,FALSE)</f>
        <v>1.1303000000000001</v>
      </c>
      <c r="BJ11" s="25">
        <f>VLOOKUP(Inventory[[#This Row],[LivArea Range]],Lookups!$T$25:$W$37,4,FALSE)</f>
        <v>0.98919999999999997</v>
      </c>
      <c r="BK11" s="25">
        <f>VLOOKUP(Inventory[[#This Row],[Decade]],Lookups!$O$25:$R$42,4,FALSE)</f>
        <v>1</v>
      </c>
      <c r="BL11" s="25">
        <f>Inventory[[#This Row],[Nbhd Adj]]*0.95</f>
        <v>0.94971499999999998</v>
      </c>
      <c r="BM11" s="25">
        <f>Inventory[[#This Row],[Nbhd Adj]]*Inventory[[#This Row],[Quality Adj]]*Inventory[[#This Row],[Condition Adj]]*Inventory[[#This Row],[Living Area Adj]]*Inventory[[#This Row],[Decade Adj]]*0.95</f>
        <v>1.0411630109849137</v>
      </c>
      <c r="BN11" s="25">
        <f>ROUND(SUM(Inventory[[#This Row],[Mdl Qlty]:[Mdl WdDeck]])+Inventory[[#This Row],[Mdl Res Intercept]]*Inventory[[#This Row],[Res Adj ]],-2)</f>
        <v>568100</v>
      </c>
      <c r="BO11" s="25">
        <f>ROUND(Inventory[[#This Row],[25Det]]*Inventory[[#This Row],[Det/Nbhd Adj]],-2)</f>
        <v>0</v>
      </c>
      <c r="BP11" s="25">
        <f>Inventory[[#This Row],[Adjusted Res]]+Inventory[[#This Row],[Adj Det ]]</f>
        <v>568100</v>
      </c>
      <c r="BQ11" s="25">
        <f>ROUND((Inventory[[#This Row],[Mdl Land Intercept]]+Inventory[[#This Row],[Mdl LnAcres]])*Inventory[[#This Row],[Det/Nbhd Adj]],-2)</f>
        <v>28300</v>
      </c>
      <c r="BR11" s="25">
        <f>Inventory[[#This Row],[Adjusted Impr Total]]+Inventory[[#This Row],[Adjusted Land Total]]</f>
        <v>596400</v>
      </c>
      <c r="BS11" s="36">
        <f>IFERROR((Inventory[[#This Row],[Adjusted Impr Total]]-Inventory[[#This Row],[24Bldg]])/Inventory[[#This Row],[24Bldg]],0)</f>
        <v>0.46568627450980393</v>
      </c>
      <c r="BT11" s="36">
        <f>(Inventory[[#This Row],[Adjusted Land Total]]-Inventory[[#This Row],[24Lnd]])/Inventory[[#This Row],[24Lnd]]</f>
        <v>-0.41528925619834711</v>
      </c>
      <c r="BU11" s="36">
        <f>(Inventory[[#This Row],[Adjusted Total]]-Inventory[[#This Row],[24Final]])/Inventory[[#This Row],[24Final]]</f>
        <v>0.36788990825688073</v>
      </c>
    </row>
    <row r="12" spans="1:73" x14ac:dyDescent="0.3">
      <c r="A12" s="25">
        <v>2025</v>
      </c>
      <c r="B12" s="26" t="s">
        <v>604</v>
      </c>
      <c r="C12" s="26">
        <f>LN(Inventory[[#This Row],[Acres]])</f>
        <v>-1.6607312068216509</v>
      </c>
      <c r="D12" s="25">
        <v>0.79</v>
      </c>
      <c r="E12" s="25">
        <v>34412</v>
      </c>
      <c r="F12" s="26" t="s">
        <v>543</v>
      </c>
      <c r="G12" s="26" t="s">
        <v>544</v>
      </c>
      <c r="H12" s="26" t="s">
        <v>349</v>
      </c>
      <c r="I12" s="26" t="s">
        <v>605</v>
      </c>
      <c r="J12" s="26" t="s">
        <v>606</v>
      </c>
      <c r="K12" s="26" t="s">
        <v>547</v>
      </c>
      <c r="L12" s="26" t="s">
        <v>351</v>
      </c>
      <c r="M12" s="26" t="s">
        <v>323</v>
      </c>
      <c r="N12" s="26">
        <v>50</v>
      </c>
      <c r="O12" s="26">
        <f>2024-Inventory[[#This Row],[YrBlt]]</f>
        <v>12</v>
      </c>
      <c r="P12" s="26">
        <f>2024-Inventory[[#This Row],[EffYr]]</f>
        <v>12</v>
      </c>
      <c r="Q12" s="25">
        <v>1970</v>
      </c>
      <c r="R12" s="25">
        <v>1990</v>
      </c>
      <c r="S12" s="25">
        <v>1702</v>
      </c>
      <c r="T12" s="27"/>
      <c r="U12" s="27"/>
      <c r="V12" s="27">
        <f>Inventory[[#This Row],[Bsmt]]-Inventory[[#This Row],[FnBsmt]]</f>
        <v>0</v>
      </c>
      <c r="W12" s="27"/>
      <c r="X12" s="27"/>
      <c r="Y12" s="27">
        <f>Inventory[[#This Row],[MainFn]]+Inventory[[#This Row],[UpprFn]]+Inventory[[#This Row],[FnBsmt]]+Inventory[[#This Row],[AddFn]]</f>
        <v>1528</v>
      </c>
      <c r="Z12" s="27">
        <v>2000</v>
      </c>
      <c r="AA12" s="25">
        <v>10</v>
      </c>
      <c r="AB12" s="27"/>
      <c r="AC12" s="27"/>
      <c r="AD12" s="27"/>
      <c r="AE12" s="27"/>
      <c r="AF12" s="27"/>
      <c r="AG12" s="32">
        <v>125</v>
      </c>
      <c r="AH12" s="27"/>
      <c r="AI12" s="25">
        <v>203110</v>
      </c>
      <c r="AJ12" s="25">
        <v>213266</v>
      </c>
      <c r="AK12" s="25">
        <v>191136</v>
      </c>
      <c r="AL12" s="25">
        <v>550650</v>
      </c>
      <c r="AM12" s="25">
        <v>122250</v>
      </c>
      <c r="AN12" s="25">
        <v>428400</v>
      </c>
      <c r="AO12" s="25">
        <v>0</v>
      </c>
      <c r="AP12" s="25">
        <f>Lookups!$B$56*0</f>
        <v>0</v>
      </c>
      <c r="AQ12" s="25">
        <f>Lookups!$B$56*1</f>
        <v>89850.625589999996</v>
      </c>
      <c r="AR12" s="25">
        <f>Lookups!$B$57*Inventory[[#This Row],[LnAcres]]</f>
        <v>-52569.808201026557</v>
      </c>
      <c r="AS12" s="25">
        <f>VLOOKUP(Inventory[[#This Row],[Qlty]],Lookups!$A$62:$E$75,2,FALSE)</f>
        <v>29814.093161000001</v>
      </c>
      <c r="AT12" s="25">
        <f>VLOOKUP(Inventory[[#This Row],[Cnd]],Lookups!$A$76:$E$84,2,FALSE)</f>
        <v>354070.39217000001</v>
      </c>
      <c r="AU12" s="25">
        <f>Inventory[[#This Row],[EffAge]]*Lookups!$B$85</f>
        <v>-2676.5472060000002</v>
      </c>
      <c r="AV12" s="25">
        <f>Inventory[[#This Row],[MainFn]]*Lookups!$B$86</f>
        <v>75496.447572056</v>
      </c>
      <c r="AW12" s="25">
        <f>Inventory[[#This Row],[UpprFn]]*Lookups!$B$87</f>
        <v>0</v>
      </c>
      <c r="AX12" s="25">
        <f>Inventory[[#This Row],[AddFn]]*Lookups!$B$88</f>
        <v>0</v>
      </c>
      <c r="AY12" s="25">
        <f>Inventory[[#This Row],[Bsmt]]*Lookups!$B$89</f>
        <v>0</v>
      </c>
      <c r="AZ12" s="25">
        <f>Inventory[[#This Row],[Fixtures]]*Lookups!$B$90</f>
        <v>30336.176841600001</v>
      </c>
      <c r="BA12" s="25">
        <f>Inventory[[#This Row],[WdDeck]]*Lookups!$B$91</f>
        <v>0</v>
      </c>
      <c r="BB12" s="25">
        <f>ROUND(Inventory[[#This Row],[25Det]],-2)</f>
        <v>0</v>
      </c>
      <c r="BC12" s="25">
        <f>ROUND(SUM(Inventory[[#This Row],[Mdl Qlty]:[Mdl WdDeck]])+Inventory[[#This Row],[Mdl Res Intercept]],-2)</f>
        <v>487000</v>
      </c>
      <c r="BD12" s="25">
        <f>ROUND(Inventory[[#This Row],[Mdl Land Intercept]]+Inventory[[#This Row],[Mdl LnAcres]],-2)</f>
        <v>37300</v>
      </c>
      <c r="BE12" s="25">
        <f>Inventory[[#This Row],[Unadj Res Value]]+Inventory[[#This Row],[Unadj Det Value]]+Inventory[[#This Row],[Unadj Land Value]]</f>
        <v>524300</v>
      </c>
      <c r="BF12" s="36">
        <f>(Inventory[[#This Row],[Unadj Total Value]]-Inventory[[#This Row],[24Final]])/Inventory[[#This Row],[24Final]]</f>
        <v>0.42202332519663682</v>
      </c>
      <c r="BG12" s="25">
        <f>VLOOKUP(Inventory[[#This Row],[Nbhd]],Lookups!$Q$2:$T$4,4,FALSE)</f>
        <v>0.99970000000000003</v>
      </c>
      <c r="BH12" s="25">
        <f>VLOOKUP(Inventory[[#This Row],[Qlty]],Lookups!$O$7:$R$21,4,FALSE)</f>
        <v>1.0088999999999999</v>
      </c>
      <c r="BI12" s="29">
        <f>VLOOKUP(Inventory[[#This Row],[Cnd]],Lookups!$T$7:$W$16,4,FALSE)</f>
        <v>1.1303000000000001</v>
      </c>
      <c r="BJ12" s="25">
        <f>VLOOKUP(Inventory[[#This Row],[LivArea Range]],Lookups!$T$25:$W$37,4,FALSE)</f>
        <v>1.0093000000000001</v>
      </c>
      <c r="BK12" s="25">
        <f>VLOOKUP(Inventory[[#This Row],[Decade]],Lookups!$O$25:$R$42,4,FALSE)</f>
        <v>1</v>
      </c>
      <c r="BL12" s="25">
        <f>Inventory[[#This Row],[Nbhd Adj]]*0.95</f>
        <v>0.94971499999999998</v>
      </c>
      <c r="BM12" s="25">
        <f>Inventory[[#This Row],[Nbhd Adj]]*Inventory[[#This Row],[Quality Adj]]*Inventory[[#This Row],[Condition Adj]]*Inventory[[#This Row],[Living Area Adj]]*Inventory[[#This Row],[Decade Adj]]*0.95</f>
        <v>1.0930887391551949</v>
      </c>
      <c r="BN12" s="25">
        <f>ROUND(SUM(Inventory[[#This Row],[Mdl Qlty]:[Mdl WdDeck]])+Inventory[[#This Row],[Mdl Res Intercept]]*Inventory[[#This Row],[Res Adj ]],-2)</f>
        <v>487000</v>
      </c>
      <c r="BO12" s="25">
        <f>ROUND(Inventory[[#This Row],[25Det]]*Inventory[[#This Row],[Det/Nbhd Adj]],-2)</f>
        <v>0</v>
      </c>
      <c r="BP12" s="25">
        <f>Inventory[[#This Row],[Adjusted Res]]+Inventory[[#This Row],[Adj Det ]]</f>
        <v>487000</v>
      </c>
      <c r="BQ12" s="25">
        <f>ROUND((Inventory[[#This Row],[Mdl Land Intercept]]+Inventory[[#This Row],[Mdl LnAcres]])*Inventory[[#This Row],[Det/Nbhd Adj]],-2)</f>
        <v>35400</v>
      </c>
      <c r="BR12" s="25">
        <f>Inventory[[#This Row],[Adjusted Impr Total]]+Inventory[[#This Row],[Adjusted Land Total]]</f>
        <v>522400</v>
      </c>
      <c r="BS12" s="36">
        <f>IFERROR((Inventory[[#This Row],[Adjusted Impr Total]]-Inventory[[#This Row],[24Bldg]])/Inventory[[#This Row],[24Bldg]],0)</f>
        <v>0.56039730855495029</v>
      </c>
      <c r="BT12" s="36">
        <f>(Inventory[[#This Row],[Adjusted Land Total]]-Inventory[[#This Row],[24Lnd]])/Inventory[[#This Row],[24Lnd]]</f>
        <v>-0.37455830388692579</v>
      </c>
      <c r="BU12" s="36">
        <f>(Inventory[[#This Row],[Adjusted Total]]-Inventory[[#This Row],[24Final]])/Inventory[[#This Row],[24Final]]</f>
        <v>0.41687008407919718</v>
      </c>
    </row>
    <row r="13" spans="1:73" x14ac:dyDescent="0.3">
      <c r="A13" s="25">
        <v>2025</v>
      </c>
      <c r="B13" s="26" t="s">
        <v>2149</v>
      </c>
      <c r="C13" s="26">
        <f>LN(Inventory[[#This Row],[Acres]])</f>
        <v>-1.5141277326297755</v>
      </c>
      <c r="D13" s="25">
        <v>0.2</v>
      </c>
      <c r="E13" s="31"/>
      <c r="F13" s="26" t="s">
        <v>537</v>
      </c>
      <c r="G13" s="26" t="s">
        <v>126</v>
      </c>
      <c r="H13" s="26" t="s">
        <v>349</v>
      </c>
      <c r="I13" s="26" t="s">
        <v>538</v>
      </c>
      <c r="J13" s="26" t="s">
        <v>608</v>
      </c>
      <c r="K13" s="26" t="s">
        <v>242</v>
      </c>
      <c r="L13" s="26" t="s">
        <v>351</v>
      </c>
      <c r="M13" s="26" t="s">
        <v>303</v>
      </c>
      <c r="N13" s="26">
        <v>80</v>
      </c>
      <c r="O13" s="26">
        <f>2024-Inventory[[#This Row],[YrBlt]]</f>
        <v>12</v>
      </c>
      <c r="P13" s="26">
        <f>2024-Inventory[[#This Row],[EffYr]]</f>
        <v>12</v>
      </c>
      <c r="Q13" s="25">
        <v>1939</v>
      </c>
      <c r="R13" s="25">
        <v>1971</v>
      </c>
      <c r="S13" s="25">
        <v>910</v>
      </c>
      <c r="T13" s="32">
        <v>512</v>
      </c>
      <c r="U13" s="32">
        <v>910</v>
      </c>
      <c r="V13" s="32">
        <f>Inventory[[#This Row],[Bsmt]]-Inventory[[#This Row],[FnBsmt]]</f>
        <v>0</v>
      </c>
      <c r="W13" s="32">
        <v>910</v>
      </c>
      <c r="X13" s="27"/>
      <c r="Y13" s="27">
        <f>Inventory[[#This Row],[MainFn]]+Inventory[[#This Row],[UpprFn]]+Inventory[[#This Row],[FnBsmt]]+Inventory[[#This Row],[AddFn]]</f>
        <v>1928</v>
      </c>
      <c r="Z13" s="27">
        <v>2500</v>
      </c>
      <c r="AA13" s="25">
        <v>8</v>
      </c>
      <c r="AB13" s="27"/>
      <c r="AC13" s="27"/>
      <c r="AD13" s="27"/>
      <c r="AE13" s="27"/>
      <c r="AF13" s="27"/>
      <c r="AG13" s="27"/>
      <c r="AH13" s="27"/>
      <c r="AI13" s="25">
        <v>296567</v>
      </c>
      <c r="AJ13" s="25">
        <v>204631</v>
      </c>
      <c r="AK13" s="25">
        <v>10083</v>
      </c>
      <c r="AL13" s="25">
        <v>376300</v>
      </c>
      <c r="AM13" s="25">
        <v>58400</v>
      </c>
      <c r="AN13" s="25">
        <v>317900</v>
      </c>
      <c r="AO13" s="25">
        <v>0</v>
      </c>
      <c r="AP13" s="25">
        <f>Lookups!$B$56*0</f>
        <v>0</v>
      </c>
      <c r="AQ13" s="25">
        <f>Lookups!$B$56*1</f>
        <v>89850.625589999996</v>
      </c>
      <c r="AR13" s="25">
        <f>Lookups!$B$57*Inventory[[#This Row],[LnAcres]]</f>
        <v>-47929.131559187132</v>
      </c>
      <c r="AS13" s="25">
        <f>VLOOKUP(Inventory[[#This Row],[Qlty]],Lookups!$A$62:$E$75,2,FALSE)</f>
        <v>44121.038090000002</v>
      </c>
      <c r="AT13" s="25">
        <f>VLOOKUP(Inventory[[#This Row],[Cnd]],Lookups!$A$76:$E$84,2,FALSE)</f>
        <v>284810.60806</v>
      </c>
      <c r="AU13" s="25">
        <f>Inventory[[#This Row],[EffAge]]*Lookups!$B$85</f>
        <v>-2676.5472060000002</v>
      </c>
      <c r="AV13" s="25">
        <f>Inventory[[#This Row],[MainFn]]*Lookups!$B$86</f>
        <v>80486.723229633004</v>
      </c>
      <c r="AW13" s="25">
        <f>Inventory[[#This Row],[UpprFn]]*Lookups!$B$87</f>
        <v>0</v>
      </c>
      <c r="AX13" s="25">
        <f>Inventory[[#This Row],[AddFn]]*Lookups!$B$88</f>
        <v>19463.306644249002</v>
      </c>
      <c r="AY13" s="25">
        <f>Inventory[[#This Row],[Bsmt]]*Lookups!$B$89</f>
        <v>0</v>
      </c>
      <c r="AZ13" s="25">
        <f>Inventory[[#This Row],[Fixtures]]*Lookups!$B$90</f>
        <v>37920.221052000001</v>
      </c>
      <c r="BA13" s="25">
        <f>Inventory[[#This Row],[WdDeck]]*Lookups!$B$91</f>
        <v>0</v>
      </c>
      <c r="BB13" s="25">
        <f>ROUND(Inventory[[#This Row],[25Det]],-2)</f>
        <v>0</v>
      </c>
      <c r="BC13" s="25">
        <f>ROUND(SUM(Inventory[[#This Row],[Mdl Qlty]:[Mdl WdDeck]])+Inventory[[#This Row],[Mdl Res Intercept]],-2)</f>
        <v>464100</v>
      </c>
      <c r="BD13" s="25">
        <f>ROUND(Inventory[[#This Row],[Mdl Land Intercept]]+Inventory[[#This Row],[Mdl LnAcres]],-2)</f>
        <v>41900</v>
      </c>
      <c r="BE13" s="25">
        <f>Inventory[[#This Row],[Unadj Res Value]]+Inventory[[#This Row],[Unadj Det Value]]+Inventory[[#This Row],[Unadj Land Value]]</f>
        <v>506000</v>
      </c>
      <c r="BF13" s="36">
        <f>(Inventory[[#This Row],[Unadj Total Value]]-Inventory[[#This Row],[24Final]])/Inventory[[#This Row],[24Final]]</f>
        <v>0.21810303322099181</v>
      </c>
      <c r="BG13" s="25">
        <f>VLOOKUP(Inventory[[#This Row],[Nbhd]],Lookups!$Q$2:$T$4,4,FALSE)</f>
        <v>0.99970000000000003</v>
      </c>
      <c r="BH13" s="25">
        <f>VLOOKUP(Inventory[[#This Row],[Qlty]],Lookups!$O$7:$R$21,4,FALSE)</f>
        <v>0.98050000000000004</v>
      </c>
      <c r="BI13" s="29">
        <f>VLOOKUP(Inventory[[#This Row],[Cnd]],Lookups!$T$7:$W$16,4,FALSE)</f>
        <v>1.0158</v>
      </c>
      <c r="BJ13" s="25">
        <f>VLOOKUP(Inventory[[#This Row],[LivArea Range]],Lookups!$T$25:$W$37,4,FALSE)</f>
        <v>1.0093000000000001</v>
      </c>
      <c r="BK13" s="25">
        <f>VLOOKUP(Inventory[[#This Row],[Decade]],Lookups!$O$25:$R$42,4,FALSE)</f>
        <v>1</v>
      </c>
      <c r="BL13" s="25">
        <f>Inventory[[#This Row],[Nbhd Adj]]*0.95</f>
        <v>0.94971499999999998</v>
      </c>
      <c r="BM13" s="25">
        <f>Inventory[[#This Row],[Nbhd Adj]]*Inventory[[#This Row],[Quality Adj]]*Inventory[[#This Row],[Condition Adj]]*Inventory[[#This Row],[Living Area Adj]]*Inventory[[#This Row],[Decade Adj]]*0.95</f>
        <v>0.95470539586846925</v>
      </c>
      <c r="BN13" s="25">
        <f>ROUND(SUM(Inventory[[#This Row],[Mdl Qlty]:[Mdl WdDeck]])+Inventory[[#This Row],[Mdl Res Intercept]]*Inventory[[#This Row],[Res Adj ]],-2)</f>
        <v>464100</v>
      </c>
      <c r="BO13" s="25">
        <f>ROUND(Inventory[[#This Row],[25Det]]*Inventory[[#This Row],[Det/Nbhd Adj]],-2)</f>
        <v>0</v>
      </c>
      <c r="BP13" s="25">
        <f>Inventory[[#This Row],[Adjusted Res]]+Inventory[[#This Row],[Adj Det ]]</f>
        <v>464100</v>
      </c>
      <c r="BQ13" s="25">
        <f>ROUND((Inventory[[#This Row],[Mdl Land Intercept]]+Inventory[[#This Row],[Mdl LnAcres]])*Inventory[[#This Row],[Det/Nbhd Adj]],-2)</f>
        <v>39800</v>
      </c>
      <c r="BR13" s="25">
        <f>Inventory[[#This Row],[Adjusted Impr Total]]+Inventory[[#This Row],[Adjusted Land Total]]</f>
        <v>503900</v>
      </c>
      <c r="BS13" s="36">
        <f>IFERROR((Inventory[[#This Row],[Adjusted Impr Total]]-Inventory[[#This Row],[24Bldg]])/Inventory[[#This Row],[24Bldg]],0)</f>
        <v>0.31212892281594573</v>
      </c>
      <c r="BT13" s="36">
        <f>(Inventory[[#This Row],[Adjusted Land Total]]-Inventory[[#This Row],[24Lnd]])/Inventory[[#This Row],[24Lnd]]</f>
        <v>-0.35494327390599678</v>
      </c>
      <c r="BU13" s="36">
        <f>(Inventory[[#This Row],[Adjusted Total]]-Inventory[[#This Row],[24Final]])/Inventory[[#This Row],[24Final]]</f>
        <v>0.21304766490129995</v>
      </c>
    </row>
    <row r="14" spans="1:73" x14ac:dyDescent="0.3">
      <c r="A14" s="25">
        <v>2025</v>
      </c>
      <c r="B14" s="26" t="s">
        <v>2098</v>
      </c>
      <c r="C14" s="26">
        <f>LN(Inventory[[#This Row],[Acres]])</f>
        <v>-1.5141277326297755</v>
      </c>
      <c r="D14" s="25">
        <v>0.38</v>
      </c>
      <c r="E14" s="25">
        <v>16724</v>
      </c>
      <c r="F14" s="26" t="s">
        <v>537</v>
      </c>
      <c r="G14" s="26" t="s">
        <v>126</v>
      </c>
      <c r="H14" s="26" t="s">
        <v>349</v>
      </c>
      <c r="I14" s="26" t="s">
        <v>538</v>
      </c>
      <c r="J14" s="26" t="s">
        <v>608</v>
      </c>
      <c r="K14" s="26" t="s">
        <v>173</v>
      </c>
      <c r="L14" s="26" t="s">
        <v>351</v>
      </c>
      <c r="M14" s="26" t="s">
        <v>323</v>
      </c>
      <c r="N14" s="26">
        <v>80</v>
      </c>
      <c r="O14" s="26">
        <f>2024-Inventory[[#This Row],[YrBlt]]</f>
        <v>13</v>
      </c>
      <c r="P14" s="26">
        <f>2024-Inventory[[#This Row],[EffYr]]</f>
        <v>13</v>
      </c>
      <c r="Q14" s="25">
        <v>1940</v>
      </c>
      <c r="R14" s="25">
        <v>1972</v>
      </c>
      <c r="S14" s="25">
        <v>1150</v>
      </c>
      <c r="T14" s="32">
        <v>437</v>
      </c>
      <c r="U14" s="32">
        <v>1150</v>
      </c>
      <c r="V14" s="32">
        <f>Inventory[[#This Row],[Bsmt]]-Inventory[[#This Row],[FnBsmt]]</f>
        <v>0</v>
      </c>
      <c r="W14" s="32">
        <v>1150</v>
      </c>
      <c r="X14" s="27"/>
      <c r="Y14" s="27">
        <f>Inventory[[#This Row],[MainFn]]+Inventory[[#This Row],[UpprFn]]+Inventory[[#This Row],[FnBsmt]]+Inventory[[#This Row],[AddFn]]</f>
        <v>1793</v>
      </c>
      <c r="Z14" s="27">
        <v>3000</v>
      </c>
      <c r="AA14" s="25">
        <v>9</v>
      </c>
      <c r="AB14" s="27"/>
      <c r="AC14" s="27"/>
      <c r="AD14" s="32">
        <v>216</v>
      </c>
      <c r="AE14" s="27"/>
      <c r="AF14" s="27"/>
      <c r="AG14" s="27"/>
      <c r="AH14" s="27"/>
      <c r="AI14" s="25">
        <v>355116</v>
      </c>
      <c r="AJ14" s="25">
        <v>241479</v>
      </c>
      <c r="AK14" s="25">
        <v>1563</v>
      </c>
      <c r="AL14" s="25">
        <v>442800</v>
      </c>
      <c r="AM14" s="25">
        <v>80800</v>
      </c>
      <c r="AN14" s="25">
        <v>362000</v>
      </c>
      <c r="AO14" s="25">
        <v>0</v>
      </c>
      <c r="AP14" s="25">
        <f>Lookups!$B$56*0</f>
        <v>0</v>
      </c>
      <c r="AQ14" s="25">
        <f>Lookups!$B$56*1</f>
        <v>89850.625589999996</v>
      </c>
      <c r="AR14" s="25">
        <f>Lookups!$B$57*Inventory[[#This Row],[LnAcres]]</f>
        <v>-47929.131559187132</v>
      </c>
      <c r="AS14" s="25">
        <f>VLOOKUP(Inventory[[#This Row],[Qlty]],Lookups!$A$62:$E$75,2,FALSE)</f>
        <v>29814.093161000001</v>
      </c>
      <c r="AT14" s="25">
        <f>VLOOKUP(Inventory[[#This Row],[Cnd]],Lookups!$A$76:$E$84,2,FALSE)</f>
        <v>284810.60806</v>
      </c>
      <c r="AU14" s="25">
        <f>Inventory[[#This Row],[EffAge]]*Lookups!$B$85</f>
        <v>-2899.5928065000003</v>
      </c>
      <c r="AV14" s="25">
        <f>Inventory[[#This Row],[MainFn]]*Lookups!$B$86</f>
        <v>59043.360503014999</v>
      </c>
      <c r="AW14" s="25">
        <f>Inventory[[#This Row],[UpprFn]]*Lookups!$B$87</f>
        <v>0</v>
      </c>
      <c r="AX14" s="25">
        <f>Inventory[[#This Row],[AddFn]]*Lookups!$B$88</f>
        <v>0</v>
      </c>
      <c r="AY14" s="25">
        <f>Inventory[[#This Row],[Bsmt]]*Lookups!$B$89</f>
        <v>17390.973357706</v>
      </c>
      <c r="AZ14" s="25">
        <f>Inventory[[#This Row],[Fixtures]]*Lookups!$B$90</f>
        <v>41712.243157199999</v>
      </c>
      <c r="BA14" s="25">
        <f>Inventory[[#This Row],[WdDeck]]*Lookups!$B$91</f>
        <v>6392.7389329920006</v>
      </c>
      <c r="BB14" s="25">
        <f>ROUND(Inventory[[#This Row],[25Det]],-2)</f>
        <v>38900</v>
      </c>
      <c r="BC14" s="25">
        <f>ROUND(SUM(Inventory[[#This Row],[Mdl Qlty]:[Mdl WdDeck]])+Inventory[[#This Row],[Mdl Res Intercept]],-2)</f>
        <v>436300</v>
      </c>
      <c r="BD14" s="25">
        <f>ROUND(Inventory[[#This Row],[Mdl Land Intercept]]+Inventory[[#This Row],[Mdl LnAcres]],-2)</f>
        <v>41900</v>
      </c>
      <c r="BE14" s="25">
        <f>Inventory[[#This Row],[Unadj Res Value]]+Inventory[[#This Row],[Unadj Det Value]]+Inventory[[#This Row],[Unadj Land Value]]</f>
        <v>517100</v>
      </c>
      <c r="BF14" s="36">
        <f>(Inventory[[#This Row],[Unadj Total Value]]-Inventory[[#This Row],[24Final]])/Inventory[[#This Row],[24Final]]</f>
        <v>0.21641966596095036</v>
      </c>
      <c r="BG14" s="25">
        <f>VLOOKUP(Inventory[[#This Row],[Nbhd]],Lookups!$Q$2:$T$4,4,FALSE)</f>
        <v>0.99970000000000003</v>
      </c>
      <c r="BH14" s="25">
        <f>VLOOKUP(Inventory[[#This Row],[Qlty]],Lookups!$O$7:$R$21,4,FALSE)</f>
        <v>1.0088999999999999</v>
      </c>
      <c r="BI14" s="29">
        <f>VLOOKUP(Inventory[[#This Row],[Cnd]],Lookups!$T$7:$W$16,4,FALSE)</f>
        <v>1.0158</v>
      </c>
      <c r="BJ14" s="25">
        <f>VLOOKUP(Inventory[[#This Row],[LivArea Range]],Lookups!$T$25:$W$37,4,FALSE)</f>
        <v>1.0093000000000001</v>
      </c>
      <c r="BK14" s="25">
        <f>VLOOKUP(Inventory[[#This Row],[Decade]],Lookups!$O$25:$R$42,4,FALSE)</f>
        <v>1</v>
      </c>
      <c r="BL14" s="25">
        <f>Inventory[[#This Row],[Nbhd Adj]]*0.95</f>
        <v>0.94971499999999998</v>
      </c>
      <c r="BM14" s="25">
        <f>Inventory[[#This Row],[Nbhd Adj]]*Inventory[[#This Row],[Quality Adj]]*Inventory[[#This Row],[Condition Adj]]*Inventory[[#This Row],[Living Area Adj]]*Inventory[[#This Row],[Decade Adj]]*0.95</f>
        <v>0.98235825996093673</v>
      </c>
      <c r="BN14" s="25">
        <f>ROUND(SUM(Inventory[[#This Row],[Mdl Qlty]:[Mdl WdDeck]])+Inventory[[#This Row],[Mdl Res Intercept]]*Inventory[[#This Row],[Res Adj ]],-2)</f>
        <v>436300</v>
      </c>
      <c r="BO14" s="25">
        <f>ROUND(Inventory[[#This Row],[25Det]]*Inventory[[#This Row],[Det/Nbhd Adj]],-2)</f>
        <v>36900</v>
      </c>
      <c r="BP14" s="25">
        <f>Inventory[[#This Row],[Adjusted Res]]+Inventory[[#This Row],[Adj Det ]]</f>
        <v>473200</v>
      </c>
      <c r="BQ14" s="25">
        <f>ROUND((Inventory[[#This Row],[Mdl Land Intercept]]+Inventory[[#This Row],[Mdl LnAcres]])*Inventory[[#This Row],[Det/Nbhd Adj]],-2)</f>
        <v>39800</v>
      </c>
      <c r="BR14" s="25">
        <f>Inventory[[#This Row],[Adjusted Impr Total]]+Inventory[[#This Row],[Adjusted Land Total]]</f>
        <v>513000</v>
      </c>
      <c r="BS14" s="36">
        <f>IFERROR((Inventory[[#This Row],[Adjusted Impr Total]]-Inventory[[#This Row],[24Bldg]])/Inventory[[#This Row],[24Bldg]],0)</f>
        <v>0.30214639515685193</v>
      </c>
      <c r="BT14" s="36">
        <f>(Inventory[[#This Row],[Adjusted Land Total]]-Inventory[[#This Row],[24Lnd]])/Inventory[[#This Row],[24Lnd]]</f>
        <v>-0.35494327390599678</v>
      </c>
      <c r="BU14" s="36">
        <f>(Inventory[[#This Row],[Adjusted Total]]-Inventory[[#This Row],[24Final]])/Inventory[[#This Row],[24Final]]</f>
        <v>0.20677487649964715</v>
      </c>
    </row>
    <row r="15" spans="1:73" x14ac:dyDescent="0.3">
      <c r="A15" s="25">
        <v>2025</v>
      </c>
      <c r="B15" s="26" t="s">
        <v>542</v>
      </c>
      <c r="C15" s="26">
        <f>LN(Inventory[[#This Row],[Acres]])</f>
        <v>-0.96758402626170559</v>
      </c>
      <c r="D15" s="25">
        <v>2.74</v>
      </c>
      <c r="E15" s="25">
        <v>119354</v>
      </c>
      <c r="F15" s="26" t="s">
        <v>543</v>
      </c>
      <c r="G15" s="26" t="s">
        <v>544</v>
      </c>
      <c r="H15" s="26" t="s">
        <v>349</v>
      </c>
      <c r="I15" s="26" t="s">
        <v>545</v>
      </c>
      <c r="J15" s="26" t="s">
        <v>546</v>
      </c>
      <c r="K15" s="26" t="s">
        <v>547</v>
      </c>
      <c r="L15" s="26" t="s">
        <v>351</v>
      </c>
      <c r="M15" s="26" t="s">
        <v>303</v>
      </c>
      <c r="N15" s="26">
        <v>10</v>
      </c>
      <c r="O15" s="26">
        <f>2024-Inventory[[#This Row],[YrBlt]]</f>
        <v>13</v>
      </c>
      <c r="P15" s="26">
        <f>2024-Inventory[[#This Row],[EffYr]]</f>
        <v>13</v>
      </c>
      <c r="Q15" s="25">
        <v>2009</v>
      </c>
      <c r="R15" s="25">
        <v>2009</v>
      </c>
      <c r="S15" s="25">
        <v>1860</v>
      </c>
      <c r="T15" s="32">
        <v>1758</v>
      </c>
      <c r="U15" s="27"/>
      <c r="V15" s="27">
        <f>Inventory[[#This Row],[Bsmt]]-Inventory[[#This Row],[FnBsmt]]</f>
        <v>0</v>
      </c>
      <c r="W15" s="27"/>
      <c r="X15" s="27"/>
      <c r="Y15" s="27">
        <f>Inventory[[#This Row],[MainFn]]+Inventory[[#This Row],[UpprFn]]+Inventory[[#This Row],[FnBsmt]]+Inventory[[#This Row],[AddFn]]</f>
        <v>1786</v>
      </c>
      <c r="Z15" s="27">
        <v>4000</v>
      </c>
      <c r="AA15" s="25">
        <v>17</v>
      </c>
      <c r="AB15" s="27"/>
      <c r="AC15" s="27"/>
      <c r="AD15" s="27"/>
      <c r="AE15" s="27"/>
      <c r="AF15" s="27"/>
      <c r="AG15" s="32">
        <v>125</v>
      </c>
      <c r="AH15" s="27"/>
      <c r="AI15" s="25">
        <v>388669</v>
      </c>
      <c r="AJ15" s="25">
        <v>450856</v>
      </c>
      <c r="AK15" s="25">
        <v>235968</v>
      </c>
      <c r="AL15" s="25">
        <v>4718900</v>
      </c>
      <c r="AM15" s="25">
        <v>417800</v>
      </c>
      <c r="AN15" s="25">
        <v>4301100</v>
      </c>
      <c r="AO15" s="25">
        <v>0</v>
      </c>
      <c r="AP15" s="25">
        <f>Lookups!$B$56*0</f>
        <v>0</v>
      </c>
      <c r="AQ15" s="25">
        <f>Lookups!$B$56*1</f>
        <v>89850.625589999996</v>
      </c>
      <c r="AR15" s="25">
        <f>Lookups!$B$57*Inventory[[#This Row],[LnAcres]]</f>
        <v>-30628.500548443946</v>
      </c>
      <c r="AS15" s="25">
        <f>VLOOKUP(Inventory[[#This Row],[Qlty]],Lookups!$A$62:$E$75,2,FALSE)</f>
        <v>21557.329055999999</v>
      </c>
      <c r="AT15" s="25">
        <f>VLOOKUP(Inventory[[#This Row],[Cnd]],Lookups!$A$76:$E$84,2,FALSE)</f>
        <v>284810.60806</v>
      </c>
      <c r="AU15" s="25">
        <f>Inventory[[#This Row],[EffAge]]*Lookups!$B$85</f>
        <v>-2899.5928065000003</v>
      </c>
      <c r="AV15" s="25">
        <f>Inventory[[#This Row],[MainFn]]*Lookups!$B$86</f>
        <v>88243.884400322</v>
      </c>
      <c r="AW15" s="25">
        <f>Inventory[[#This Row],[UpprFn]]*Lookups!$B$87</f>
        <v>0</v>
      </c>
      <c r="AX15" s="25">
        <f>Inventory[[#This Row],[AddFn]]*Lookups!$B$88</f>
        <v>0</v>
      </c>
      <c r="AY15" s="25">
        <f>Inventory[[#This Row],[Bsmt]]*Lookups!$B$89</f>
        <v>0</v>
      </c>
      <c r="AZ15" s="25">
        <f>Inventory[[#This Row],[Fixtures]]*Lookups!$B$90</f>
        <v>30336.176841600001</v>
      </c>
      <c r="BA15" s="25">
        <f>Inventory[[#This Row],[WdDeck]]*Lookups!$B$91</f>
        <v>0</v>
      </c>
      <c r="BB15" s="25">
        <f>ROUND(Inventory[[#This Row],[25Det]],-2)</f>
        <v>0</v>
      </c>
      <c r="BC15" s="25">
        <f>ROUND(SUM(Inventory[[#This Row],[Mdl Qlty]:[Mdl WdDeck]])+Inventory[[#This Row],[Mdl Res Intercept]],-2)</f>
        <v>422000</v>
      </c>
      <c r="BD15" s="25">
        <f>ROUND(Inventory[[#This Row],[Mdl Land Intercept]]+Inventory[[#This Row],[Mdl LnAcres]],-2)</f>
        <v>59200</v>
      </c>
      <c r="BE15" s="25">
        <f>Inventory[[#This Row],[Unadj Res Value]]+Inventory[[#This Row],[Unadj Det Value]]+Inventory[[#This Row],[Unadj Land Value]]</f>
        <v>481200</v>
      </c>
      <c r="BF15" s="36">
        <f>(Inventory[[#This Row],[Unadj Total Value]]-Inventory[[#This Row],[24Final]])/Inventory[[#This Row],[24Final]]</f>
        <v>0.21392532795156408</v>
      </c>
      <c r="BG15" s="25">
        <f>VLOOKUP(Inventory[[#This Row],[Nbhd]],Lookups!$Q$2:$T$4,4,FALSE)</f>
        <v>0.99970000000000003</v>
      </c>
      <c r="BH15" s="25">
        <f>VLOOKUP(Inventory[[#This Row],[Qlty]],Lookups!$O$7:$R$21,4,FALSE)</f>
        <v>1.0067999999999999</v>
      </c>
      <c r="BI15" s="29">
        <f>VLOOKUP(Inventory[[#This Row],[Cnd]],Lookups!$T$7:$W$16,4,FALSE)</f>
        <v>1.0158</v>
      </c>
      <c r="BJ15" s="25">
        <f>VLOOKUP(Inventory[[#This Row],[LivArea Range]],Lookups!$T$25:$W$37,4,FALSE)</f>
        <v>1.0093000000000001</v>
      </c>
      <c r="BK15" s="25">
        <f>VLOOKUP(Inventory[[#This Row],[Decade]],Lookups!$O$25:$R$42,4,FALSE)</f>
        <v>1</v>
      </c>
      <c r="BL15" s="25">
        <f>Inventory[[#This Row],[Nbhd Adj]]*0.95</f>
        <v>0.94971499999999998</v>
      </c>
      <c r="BM15" s="25">
        <f>Inventory[[#This Row],[Nbhd Adj]]*Inventory[[#This Row],[Quality Adj]]*Inventory[[#This Row],[Condition Adj]]*Inventory[[#This Row],[Living Area Adj]]*Inventory[[#This Row],[Decade Adj]]*0.95</f>
        <v>0.98031350592593025</v>
      </c>
      <c r="BN15" s="25">
        <f>ROUND(SUM(Inventory[[#This Row],[Mdl Qlty]:[Mdl WdDeck]])+Inventory[[#This Row],[Mdl Res Intercept]]*Inventory[[#This Row],[Res Adj ]],-2)</f>
        <v>422000</v>
      </c>
      <c r="BO15" s="25">
        <f>ROUND(Inventory[[#This Row],[25Det]]*Inventory[[#This Row],[Det/Nbhd Adj]],-2)</f>
        <v>0</v>
      </c>
      <c r="BP15" s="25">
        <f>Inventory[[#This Row],[Adjusted Res]]+Inventory[[#This Row],[Adj Det ]]</f>
        <v>422000</v>
      </c>
      <c r="BQ15" s="25">
        <f>ROUND((Inventory[[#This Row],[Mdl Land Intercept]]+Inventory[[#This Row],[Mdl LnAcres]])*Inventory[[#This Row],[Det/Nbhd Adj]],-2)</f>
        <v>56200</v>
      </c>
      <c r="BR15" s="25">
        <f>Inventory[[#This Row],[Adjusted Impr Total]]+Inventory[[#This Row],[Adjusted Land Total]]</f>
        <v>478200</v>
      </c>
      <c r="BS15" s="36">
        <f>IFERROR((Inventory[[#This Row],[Adjusted Impr Total]]-Inventory[[#This Row],[24Bldg]])/Inventory[[#This Row],[24Bldg]],0)</f>
        <v>0.33713561470215464</v>
      </c>
      <c r="BT15" s="36">
        <f>(Inventory[[#This Row],[Adjusted Land Total]]-Inventory[[#This Row],[24Lnd]])/Inventory[[#This Row],[24Lnd]]</f>
        <v>-0.30445544554455445</v>
      </c>
      <c r="BU15" s="36">
        <f>(Inventory[[#This Row],[Adjusted Total]]-Inventory[[#This Row],[24Final]])/Inventory[[#This Row],[24Final]]</f>
        <v>0.2063572149344097</v>
      </c>
    </row>
    <row r="16" spans="1:73" x14ac:dyDescent="0.3">
      <c r="A16" s="25">
        <v>2025</v>
      </c>
      <c r="B16" s="26" t="s">
        <v>542</v>
      </c>
      <c r="C16" s="26">
        <f>LN(Inventory[[#This Row],[Acres]])</f>
        <v>-1.5141277326297755</v>
      </c>
      <c r="D16" s="25">
        <v>2.74</v>
      </c>
      <c r="E16" s="25">
        <v>119354</v>
      </c>
      <c r="F16" s="26" t="s">
        <v>543</v>
      </c>
      <c r="G16" s="26" t="s">
        <v>544</v>
      </c>
      <c r="H16" s="26" t="s">
        <v>349</v>
      </c>
      <c r="I16" s="26" t="s">
        <v>545</v>
      </c>
      <c r="J16" s="26" t="s">
        <v>546</v>
      </c>
      <c r="K16" s="26" t="s">
        <v>547</v>
      </c>
      <c r="L16" s="26" t="s">
        <v>351</v>
      </c>
      <c r="M16" s="26" t="s">
        <v>303</v>
      </c>
      <c r="N16" s="26">
        <v>10</v>
      </c>
      <c r="O16" s="26">
        <f>2024-Inventory[[#This Row],[YrBlt]]</f>
        <v>14</v>
      </c>
      <c r="P16" s="26">
        <f>2024-Inventory[[#This Row],[EffYr]]</f>
        <v>14</v>
      </c>
      <c r="Q16" s="25">
        <v>2009</v>
      </c>
      <c r="R16" s="25">
        <v>2009</v>
      </c>
      <c r="S16" s="25">
        <v>1860</v>
      </c>
      <c r="T16" s="32">
        <v>1758</v>
      </c>
      <c r="U16" s="27"/>
      <c r="V16" s="27">
        <f>Inventory[[#This Row],[Bsmt]]-Inventory[[#This Row],[FnBsmt]]</f>
        <v>0</v>
      </c>
      <c r="W16" s="27"/>
      <c r="X16" s="27"/>
      <c r="Y16" s="27">
        <f>Inventory[[#This Row],[MainFn]]+Inventory[[#This Row],[UpprFn]]+Inventory[[#This Row],[FnBsmt]]+Inventory[[#This Row],[AddFn]]</f>
        <v>1976</v>
      </c>
      <c r="Z16" s="27">
        <v>4000</v>
      </c>
      <c r="AA16" s="25">
        <v>17</v>
      </c>
      <c r="AB16" s="27"/>
      <c r="AC16" s="27"/>
      <c r="AD16" s="27"/>
      <c r="AE16" s="27"/>
      <c r="AF16" s="27"/>
      <c r="AG16" s="32">
        <v>125</v>
      </c>
      <c r="AH16" s="27"/>
      <c r="AI16" s="25">
        <v>388669</v>
      </c>
      <c r="AJ16" s="25">
        <v>450856</v>
      </c>
      <c r="AK16" s="25">
        <v>235968</v>
      </c>
      <c r="AL16" s="25">
        <v>4718900</v>
      </c>
      <c r="AM16" s="25">
        <v>417800</v>
      </c>
      <c r="AN16" s="25">
        <v>4301100</v>
      </c>
      <c r="AO16" s="25">
        <v>0</v>
      </c>
      <c r="AP16" s="25">
        <f>Lookups!$B$56*0</f>
        <v>0</v>
      </c>
      <c r="AQ16" s="25">
        <f>Lookups!$B$56*1</f>
        <v>89850.625589999996</v>
      </c>
      <c r="AR16" s="25">
        <f>Lookups!$B$57*Inventory[[#This Row],[LnAcres]]</f>
        <v>-47929.131559187132</v>
      </c>
      <c r="AS16" s="25">
        <f>VLOOKUP(Inventory[[#This Row],[Qlty]],Lookups!$A$62:$E$75,2,FALSE)</f>
        <v>44121.038090000002</v>
      </c>
      <c r="AT16" s="25">
        <f>VLOOKUP(Inventory[[#This Row],[Cnd]],Lookups!$A$76:$E$84,2,FALSE)</f>
        <v>354070.39217000001</v>
      </c>
      <c r="AU16" s="25">
        <f>Inventory[[#This Row],[EffAge]]*Lookups!$B$85</f>
        <v>-3122.6384069999999</v>
      </c>
      <c r="AV16" s="25">
        <f>Inventory[[#This Row],[MainFn]]*Lookups!$B$86</f>
        <v>48815.765838476</v>
      </c>
      <c r="AW16" s="25">
        <f>Inventory[[#This Row],[UpprFn]]*Lookups!$B$87</f>
        <v>44248.985786667996</v>
      </c>
      <c r="AX16" s="25">
        <f>Inventory[[#This Row],[AddFn]]*Lookups!$B$88</f>
        <v>0</v>
      </c>
      <c r="AY16" s="25">
        <f>Inventory[[#This Row],[Bsmt]]*Lookups!$B$89</f>
        <v>0</v>
      </c>
      <c r="AZ16" s="25">
        <f>Inventory[[#This Row],[Fixtures]]*Lookups!$B$90</f>
        <v>37920.221052000001</v>
      </c>
      <c r="BA16" s="25">
        <f>Inventory[[#This Row],[WdDeck]]*Lookups!$B$91</f>
        <v>0</v>
      </c>
      <c r="BB16" s="25">
        <f>ROUND(Inventory[[#This Row],[25Det]],-2)</f>
        <v>0</v>
      </c>
      <c r="BC16" s="25">
        <f>ROUND(SUM(Inventory[[#This Row],[Mdl Qlty]:[Mdl WdDeck]])+Inventory[[#This Row],[Mdl Res Intercept]],-2)</f>
        <v>526100</v>
      </c>
      <c r="BD16" s="25">
        <f>ROUND(Inventory[[#This Row],[Mdl Land Intercept]]+Inventory[[#This Row],[Mdl LnAcres]],-2)</f>
        <v>41900</v>
      </c>
      <c r="BE16" s="25">
        <f>Inventory[[#This Row],[Unadj Res Value]]+Inventory[[#This Row],[Unadj Det Value]]+Inventory[[#This Row],[Unadj Land Value]]</f>
        <v>568000</v>
      </c>
      <c r="BF16" s="36">
        <f>(Inventory[[#This Row],[Unadj Total Value]]-Inventory[[#This Row],[24Final]])/Inventory[[#This Row],[24Final]]</f>
        <v>0.38199513381995132</v>
      </c>
      <c r="BG16" s="25">
        <f>VLOOKUP(Inventory[[#This Row],[Nbhd]],Lookups!$Q$2:$T$4,4,FALSE)</f>
        <v>0.99970000000000003</v>
      </c>
      <c r="BH16" s="25">
        <f>VLOOKUP(Inventory[[#This Row],[Qlty]],Lookups!$O$7:$R$21,4,FALSE)</f>
        <v>0.98050000000000004</v>
      </c>
      <c r="BI16" s="29">
        <f>VLOOKUP(Inventory[[#This Row],[Cnd]],Lookups!$T$7:$W$16,4,FALSE)</f>
        <v>1.1303000000000001</v>
      </c>
      <c r="BJ16" s="25">
        <f>VLOOKUP(Inventory[[#This Row],[LivArea Range]],Lookups!$T$25:$W$37,4,FALSE)</f>
        <v>1.0093000000000001</v>
      </c>
      <c r="BK16" s="25">
        <f>VLOOKUP(Inventory[[#This Row],[Decade]],Lookups!$O$25:$R$42,4,FALSE)</f>
        <v>1</v>
      </c>
      <c r="BL16" s="25">
        <f>Inventory[[#This Row],[Nbhd Adj]]*0.95</f>
        <v>0.94971499999999998</v>
      </c>
      <c r="BM16" s="25">
        <f>Inventory[[#This Row],[Nbhd Adj]]*Inventory[[#This Row],[Quality Adj]]*Inventory[[#This Row],[Condition Adj]]*Inventory[[#This Row],[Living Area Adj]]*Inventory[[#This Row],[Decade Adj]]*0.95</f>
        <v>1.0623188707916231</v>
      </c>
      <c r="BN16" s="25">
        <f>ROUND(SUM(Inventory[[#This Row],[Mdl Qlty]:[Mdl WdDeck]])+Inventory[[#This Row],[Mdl Res Intercept]]*Inventory[[#This Row],[Res Adj ]],-2)</f>
        <v>526100</v>
      </c>
      <c r="BO16" s="25">
        <f>ROUND(Inventory[[#This Row],[25Det]]*Inventory[[#This Row],[Det/Nbhd Adj]],-2)</f>
        <v>0</v>
      </c>
      <c r="BP16" s="25">
        <f>Inventory[[#This Row],[Adjusted Res]]+Inventory[[#This Row],[Adj Det ]]</f>
        <v>526100</v>
      </c>
      <c r="BQ16" s="25">
        <f>ROUND((Inventory[[#This Row],[Mdl Land Intercept]]+Inventory[[#This Row],[Mdl LnAcres]])*Inventory[[#This Row],[Det/Nbhd Adj]],-2)</f>
        <v>39800</v>
      </c>
      <c r="BR16" s="25">
        <f>Inventory[[#This Row],[Adjusted Impr Total]]+Inventory[[#This Row],[Adjusted Land Total]]</f>
        <v>565900</v>
      </c>
      <c r="BS16" s="36">
        <f>IFERROR((Inventory[[#This Row],[Adjusted Impr Total]]-Inventory[[#This Row],[24Bldg]])/Inventory[[#This Row],[24Bldg]],0)</f>
        <v>0.50615516747781275</v>
      </c>
      <c r="BT16" s="36">
        <f>(Inventory[[#This Row],[Adjusted Land Total]]-Inventory[[#This Row],[24Lnd]])/Inventory[[#This Row],[24Lnd]]</f>
        <v>-0.35494327390599678</v>
      </c>
      <c r="BU16" s="36">
        <f>(Inventory[[#This Row],[Adjusted Total]]-Inventory[[#This Row],[24Final]])/Inventory[[#This Row],[24Final]]</f>
        <v>0.37688564476885644</v>
      </c>
    </row>
    <row r="17" spans="1:73" x14ac:dyDescent="0.3">
      <c r="A17" s="25">
        <v>2025</v>
      </c>
      <c r="B17" s="26" t="s">
        <v>542</v>
      </c>
      <c r="C17" s="26">
        <f>LN(Inventory[[#This Row],[Acres]])</f>
        <v>-1.0498221244986778</v>
      </c>
      <c r="D17" s="25">
        <v>2.74</v>
      </c>
      <c r="E17" s="25">
        <v>119354</v>
      </c>
      <c r="F17" s="26" t="s">
        <v>543</v>
      </c>
      <c r="G17" s="26" t="s">
        <v>544</v>
      </c>
      <c r="H17" s="26" t="s">
        <v>349</v>
      </c>
      <c r="I17" s="26" t="s">
        <v>545</v>
      </c>
      <c r="J17" s="26" t="s">
        <v>546</v>
      </c>
      <c r="K17" s="26" t="s">
        <v>547</v>
      </c>
      <c r="L17" s="26" t="s">
        <v>351</v>
      </c>
      <c r="M17" s="26" t="s">
        <v>303</v>
      </c>
      <c r="N17" s="26">
        <v>10</v>
      </c>
      <c r="O17" s="26">
        <f>2024-Inventory[[#This Row],[YrBlt]]</f>
        <v>16</v>
      </c>
      <c r="P17" s="26">
        <f>2024-Inventory[[#This Row],[EffYr]]</f>
        <v>16</v>
      </c>
      <c r="Q17" s="25">
        <v>2009</v>
      </c>
      <c r="R17" s="25">
        <v>2009</v>
      </c>
      <c r="S17" s="25">
        <v>1860</v>
      </c>
      <c r="T17" s="32">
        <v>1758</v>
      </c>
      <c r="U17" s="27"/>
      <c r="V17" s="27">
        <f>Inventory[[#This Row],[Bsmt]]-Inventory[[#This Row],[FnBsmt]]</f>
        <v>0</v>
      </c>
      <c r="W17" s="27"/>
      <c r="X17" s="27"/>
      <c r="Y17" s="27">
        <f>Inventory[[#This Row],[MainFn]]+Inventory[[#This Row],[UpprFn]]+Inventory[[#This Row],[FnBsmt]]+Inventory[[#This Row],[AddFn]]</f>
        <v>1380</v>
      </c>
      <c r="Z17" s="27">
        <v>4000</v>
      </c>
      <c r="AA17" s="25">
        <v>17</v>
      </c>
      <c r="AB17" s="27"/>
      <c r="AC17" s="27"/>
      <c r="AD17" s="27"/>
      <c r="AE17" s="27"/>
      <c r="AF17" s="27"/>
      <c r="AG17" s="32">
        <v>125</v>
      </c>
      <c r="AH17" s="27"/>
      <c r="AI17" s="25">
        <v>388669</v>
      </c>
      <c r="AJ17" s="25">
        <v>450856</v>
      </c>
      <c r="AK17" s="25">
        <v>235968</v>
      </c>
      <c r="AL17" s="25">
        <v>4718900</v>
      </c>
      <c r="AM17" s="25">
        <v>417800</v>
      </c>
      <c r="AN17" s="25">
        <v>4301100</v>
      </c>
      <c r="AO17" s="25">
        <v>0</v>
      </c>
      <c r="AP17" s="25">
        <f>Lookups!$B$56*0</f>
        <v>0</v>
      </c>
      <c r="AQ17" s="25">
        <f>Lookups!$B$56*1</f>
        <v>89850.625589999996</v>
      </c>
      <c r="AR17" s="25">
        <f>Lookups!$B$57*Inventory[[#This Row],[LnAcres]]</f>
        <v>-33231.715947405908</v>
      </c>
      <c r="AS17" s="25">
        <f>VLOOKUP(Inventory[[#This Row],[Qlty]],Lookups!$A$62:$E$75,2,FALSE)</f>
        <v>29814.093161000001</v>
      </c>
      <c r="AT17" s="25">
        <f>VLOOKUP(Inventory[[#This Row],[Cnd]],Lookups!$A$76:$E$84,2,FALSE)</f>
        <v>284810.60806</v>
      </c>
      <c r="AU17" s="25">
        <f>Inventory[[#This Row],[EffAge]]*Lookups!$B$85</f>
        <v>-3568.7296080000001</v>
      </c>
      <c r="AV17" s="25">
        <f>Inventory[[#This Row],[MainFn]]*Lookups!$B$86</f>
        <v>68183.964430260006</v>
      </c>
      <c r="AW17" s="25">
        <f>Inventory[[#This Row],[UpprFn]]*Lookups!$B$87</f>
        <v>0</v>
      </c>
      <c r="AX17" s="25">
        <f>Inventory[[#This Row],[AddFn]]*Lookups!$B$88</f>
        <v>0</v>
      </c>
      <c r="AY17" s="25">
        <f>Inventory[[#This Row],[Bsmt]]*Lookups!$B$89</f>
        <v>0</v>
      </c>
      <c r="AZ17" s="25">
        <f>Inventory[[#This Row],[Fixtures]]*Lookups!$B$90</f>
        <v>30336.176841600001</v>
      </c>
      <c r="BA17" s="25">
        <f>Inventory[[#This Row],[WdDeck]]*Lookups!$B$91</f>
        <v>10887.633495252001</v>
      </c>
      <c r="BB17" s="25">
        <f>ROUND(Inventory[[#This Row],[25Det]],-2)</f>
        <v>46300</v>
      </c>
      <c r="BC17" s="25">
        <f>ROUND(SUM(Inventory[[#This Row],[Mdl Qlty]:[Mdl WdDeck]])+Inventory[[#This Row],[Mdl Res Intercept]],-2)</f>
        <v>420500</v>
      </c>
      <c r="BD17" s="25">
        <f>ROUND(Inventory[[#This Row],[Mdl Land Intercept]]+Inventory[[#This Row],[Mdl LnAcres]],-2)</f>
        <v>56600</v>
      </c>
      <c r="BE17" s="25">
        <f>Inventory[[#This Row],[Unadj Res Value]]+Inventory[[#This Row],[Unadj Det Value]]+Inventory[[#This Row],[Unadj Land Value]]</f>
        <v>523400</v>
      </c>
      <c r="BF17" s="36">
        <f>(Inventory[[#This Row],[Unadj Total Value]]-Inventory[[#This Row],[24Final]])/Inventory[[#This Row],[24Final]]</f>
        <v>0.24470868014268729</v>
      </c>
      <c r="BG17" s="25">
        <f>VLOOKUP(Inventory[[#This Row],[Nbhd]],Lookups!$Q$2:$T$4,4,FALSE)</f>
        <v>0.99970000000000003</v>
      </c>
      <c r="BH17" s="25">
        <f>VLOOKUP(Inventory[[#This Row],[Qlty]],Lookups!$O$7:$R$21,4,FALSE)</f>
        <v>1.0088999999999999</v>
      </c>
      <c r="BI17" s="29">
        <f>VLOOKUP(Inventory[[#This Row],[Cnd]],Lookups!$T$7:$W$16,4,FALSE)</f>
        <v>1.0158</v>
      </c>
      <c r="BJ17" s="25">
        <f>VLOOKUP(Inventory[[#This Row],[LivArea Range]],Lookups!$T$25:$W$37,4,FALSE)</f>
        <v>1.0157</v>
      </c>
      <c r="BK17" s="25">
        <f>VLOOKUP(Inventory[[#This Row],[Decade]],Lookups!$O$25:$R$42,4,FALSE)</f>
        <v>1</v>
      </c>
      <c r="BL17" s="25">
        <f>Inventory[[#This Row],[Nbhd Adj]]*0.95</f>
        <v>0.94971499999999998</v>
      </c>
      <c r="BM17" s="25">
        <f>Inventory[[#This Row],[Nbhd Adj]]*Inventory[[#This Row],[Quality Adj]]*Inventory[[#This Row],[Condition Adj]]*Inventory[[#This Row],[Living Area Adj]]*Inventory[[#This Row],[Decade Adj]]*0.95</f>
        <v>0.9885874216212458</v>
      </c>
      <c r="BN17" s="25">
        <f>ROUND(SUM(Inventory[[#This Row],[Mdl Qlty]:[Mdl WdDeck]])+Inventory[[#This Row],[Mdl Res Intercept]]*Inventory[[#This Row],[Res Adj ]],-2)</f>
        <v>420500</v>
      </c>
      <c r="BO17" s="25">
        <f>ROUND(Inventory[[#This Row],[25Det]]*Inventory[[#This Row],[Det/Nbhd Adj]],-2)</f>
        <v>43900</v>
      </c>
      <c r="BP17" s="25">
        <f>Inventory[[#This Row],[Adjusted Res]]+Inventory[[#This Row],[Adj Det ]]</f>
        <v>464400</v>
      </c>
      <c r="BQ17" s="25">
        <f>ROUND((Inventory[[#This Row],[Mdl Land Intercept]]+Inventory[[#This Row],[Mdl LnAcres]])*Inventory[[#This Row],[Det/Nbhd Adj]],-2)</f>
        <v>53800</v>
      </c>
      <c r="BR17" s="25">
        <f>Inventory[[#This Row],[Adjusted Impr Total]]+Inventory[[#This Row],[Adjusted Land Total]]</f>
        <v>518200</v>
      </c>
      <c r="BS17" s="36">
        <f>IFERROR((Inventory[[#This Row],[Adjusted Impr Total]]-Inventory[[#This Row],[24Bldg]])/Inventory[[#This Row],[24Bldg]],0)</f>
        <v>0.35551663747810858</v>
      </c>
      <c r="BT17" s="36">
        <f>(Inventory[[#This Row],[Adjusted Land Total]]-Inventory[[#This Row],[24Lnd]])/Inventory[[#This Row],[24Lnd]]</f>
        <v>-0.30937098844672656</v>
      </c>
      <c r="BU17" s="36">
        <f>(Inventory[[#This Row],[Adjusted Total]]-Inventory[[#This Row],[24Final]])/Inventory[[#This Row],[24Final]]</f>
        <v>0.23234244946492272</v>
      </c>
    </row>
    <row r="18" spans="1:73" x14ac:dyDescent="0.3">
      <c r="A18" s="25">
        <v>2025</v>
      </c>
      <c r="B18" s="26" t="s">
        <v>542</v>
      </c>
      <c r="C18" s="26">
        <f>LN(Inventory[[#This Row],[Acres]])</f>
        <v>-1.5141277326297755</v>
      </c>
      <c r="D18" s="25">
        <v>2.74</v>
      </c>
      <c r="E18" s="25">
        <v>119354</v>
      </c>
      <c r="F18" s="26" t="s">
        <v>543</v>
      </c>
      <c r="G18" s="26" t="s">
        <v>544</v>
      </c>
      <c r="H18" s="26" t="s">
        <v>349</v>
      </c>
      <c r="I18" s="26" t="s">
        <v>545</v>
      </c>
      <c r="J18" s="26" t="s">
        <v>546</v>
      </c>
      <c r="K18" s="26" t="s">
        <v>547</v>
      </c>
      <c r="L18" s="26" t="s">
        <v>351</v>
      </c>
      <c r="M18" s="26" t="s">
        <v>303</v>
      </c>
      <c r="N18" s="26">
        <v>10</v>
      </c>
      <c r="O18" s="26">
        <f>2024-Inventory[[#This Row],[YrBlt]]</f>
        <v>18</v>
      </c>
      <c r="P18" s="26">
        <f>2024-Inventory[[#This Row],[EffYr]]</f>
        <v>18</v>
      </c>
      <c r="Q18" s="25">
        <v>2009</v>
      </c>
      <c r="R18" s="25">
        <v>2009</v>
      </c>
      <c r="S18" s="25">
        <v>1860</v>
      </c>
      <c r="T18" s="32">
        <v>1758</v>
      </c>
      <c r="U18" s="27"/>
      <c r="V18" s="27">
        <f>Inventory[[#This Row],[Bsmt]]-Inventory[[#This Row],[FnBsmt]]</f>
        <v>0</v>
      </c>
      <c r="W18" s="27"/>
      <c r="X18" s="27"/>
      <c r="Y18" s="27">
        <f>Inventory[[#This Row],[MainFn]]+Inventory[[#This Row],[UpprFn]]+Inventory[[#This Row],[FnBsmt]]+Inventory[[#This Row],[AddFn]]</f>
        <v>2048</v>
      </c>
      <c r="Z18" s="27">
        <v>4000</v>
      </c>
      <c r="AA18" s="25">
        <v>17</v>
      </c>
      <c r="AB18" s="27"/>
      <c r="AC18" s="27"/>
      <c r="AD18" s="27"/>
      <c r="AE18" s="27"/>
      <c r="AF18" s="27"/>
      <c r="AG18" s="32">
        <v>125</v>
      </c>
      <c r="AH18" s="27"/>
      <c r="AI18" s="25">
        <v>388669</v>
      </c>
      <c r="AJ18" s="25">
        <v>450856</v>
      </c>
      <c r="AK18" s="25">
        <v>235968</v>
      </c>
      <c r="AL18" s="25">
        <v>4718900</v>
      </c>
      <c r="AM18" s="25">
        <v>417800</v>
      </c>
      <c r="AN18" s="25">
        <v>4301100</v>
      </c>
      <c r="AO18" s="25">
        <v>0</v>
      </c>
      <c r="AP18" s="25">
        <f>Lookups!$B$56*0</f>
        <v>0</v>
      </c>
      <c r="AQ18" s="25">
        <f>Lookups!$B$56*1</f>
        <v>89850.625589999996</v>
      </c>
      <c r="AR18" s="25">
        <f>Lookups!$B$57*Inventory[[#This Row],[LnAcres]]</f>
        <v>-47929.131559187132</v>
      </c>
      <c r="AS18" s="25">
        <f>VLOOKUP(Inventory[[#This Row],[Qlty]],Lookups!$A$62:$E$75,2,FALSE)</f>
        <v>21557.329055999999</v>
      </c>
      <c r="AT18" s="25">
        <f>VLOOKUP(Inventory[[#This Row],[Cnd]],Lookups!$A$76:$E$84,2,FALSE)</f>
        <v>284810.60806</v>
      </c>
      <c r="AU18" s="25">
        <f>Inventory[[#This Row],[EffAge]]*Lookups!$B$85</f>
        <v>-4014.8208090000003</v>
      </c>
      <c r="AV18" s="25">
        <f>Inventory[[#This Row],[MainFn]]*Lookups!$B$86</f>
        <v>101188.955908096</v>
      </c>
      <c r="AW18" s="25">
        <f>Inventory[[#This Row],[UpprFn]]*Lookups!$B$87</f>
        <v>0</v>
      </c>
      <c r="AX18" s="25">
        <f>Inventory[[#This Row],[AddFn]]*Lookups!$B$88</f>
        <v>0</v>
      </c>
      <c r="AY18" s="25">
        <f>Inventory[[#This Row],[Bsmt]]*Lookups!$B$89</f>
        <v>0</v>
      </c>
      <c r="AZ18" s="25">
        <f>Inventory[[#This Row],[Fixtures]]*Lookups!$B$90</f>
        <v>37920.221052000001</v>
      </c>
      <c r="BA18" s="25">
        <f>Inventory[[#This Row],[WdDeck]]*Lookups!$B$91</f>
        <v>0</v>
      </c>
      <c r="BB18" s="25">
        <f>ROUND(Inventory[[#This Row],[25Det]],-2)</f>
        <v>0</v>
      </c>
      <c r="BC18" s="25">
        <f>ROUND(SUM(Inventory[[#This Row],[Mdl Qlty]:[Mdl WdDeck]])+Inventory[[#This Row],[Mdl Res Intercept]],-2)</f>
        <v>441500</v>
      </c>
      <c r="BD18" s="25">
        <f>ROUND(Inventory[[#This Row],[Mdl Land Intercept]]+Inventory[[#This Row],[Mdl LnAcres]],-2)</f>
        <v>41900</v>
      </c>
      <c r="BE18" s="25">
        <f>Inventory[[#This Row],[Unadj Res Value]]+Inventory[[#This Row],[Unadj Det Value]]+Inventory[[#This Row],[Unadj Land Value]]</f>
        <v>483400</v>
      </c>
      <c r="BF18" s="36">
        <f>(Inventory[[#This Row],[Unadj Total Value]]-Inventory[[#This Row],[24Final]])/Inventory[[#This Row],[24Final]]</f>
        <v>0.21213640922768304</v>
      </c>
      <c r="BG18" s="25">
        <f>VLOOKUP(Inventory[[#This Row],[Nbhd]],Lookups!$Q$2:$T$4,4,FALSE)</f>
        <v>0.99970000000000003</v>
      </c>
      <c r="BH18" s="25">
        <f>VLOOKUP(Inventory[[#This Row],[Qlty]],Lookups!$O$7:$R$21,4,FALSE)</f>
        <v>1.0067999999999999</v>
      </c>
      <c r="BI18" s="29">
        <f>VLOOKUP(Inventory[[#This Row],[Cnd]],Lookups!$T$7:$W$16,4,FALSE)</f>
        <v>1.0158</v>
      </c>
      <c r="BJ18" s="25">
        <f>VLOOKUP(Inventory[[#This Row],[LivArea Range]],Lookups!$T$25:$W$37,4,FALSE)</f>
        <v>0.98919999999999997</v>
      </c>
      <c r="BK18" s="25">
        <f>VLOOKUP(Inventory[[#This Row],[Decade]],Lookups!$O$25:$R$42,4,FALSE)</f>
        <v>1</v>
      </c>
      <c r="BL18" s="25">
        <f>Inventory[[#This Row],[Nbhd Adj]]*0.95</f>
        <v>0.94971499999999998</v>
      </c>
      <c r="BM18" s="25">
        <f>Inventory[[#This Row],[Nbhd Adj]]*Inventory[[#This Row],[Quality Adj]]*Inventory[[#This Row],[Condition Adj]]*Inventory[[#This Row],[Living Area Adj]]*Inventory[[#This Row],[Decade Adj]]*0.95</f>
        <v>0.96079076593870016</v>
      </c>
      <c r="BN18" s="25">
        <f>ROUND(SUM(Inventory[[#This Row],[Mdl Qlty]:[Mdl WdDeck]])+Inventory[[#This Row],[Mdl Res Intercept]]*Inventory[[#This Row],[Res Adj ]],-2)</f>
        <v>441500</v>
      </c>
      <c r="BO18" s="25">
        <f>ROUND(Inventory[[#This Row],[25Det]]*Inventory[[#This Row],[Det/Nbhd Adj]],-2)</f>
        <v>0</v>
      </c>
      <c r="BP18" s="25">
        <f>Inventory[[#This Row],[Adjusted Res]]+Inventory[[#This Row],[Adj Det ]]</f>
        <v>441500</v>
      </c>
      <c r="BQ18" s="25">
        <f>ROUND((Inventory[[#This Row],[Mdl Land Intercept]]+Inventory[[#This Row],[Mdl LnAcres]])*Inventory[[#This Row],[Det/Nbhd Adj]],-2)</f>
        <v>39800</v>
      </c>
      <c r="BR18" s="25">
        <f>Inventory[[#This Row],[Adjusted Impr Total]]+Inventory[[#This Row],[Adjusted Land Total]]</f>
        <v>481300</v>
      </c>
      <c r="BS18" s="36">
        <f>IFERROR((Inventory[[#This Row],[Adjusted Impr Total]]-Inventory[[#This Row],[24Bldg]])/Inventory[[#This Row],[24Bldg]],0)</f>
        <v>0.30970038564224267</v>
      </c>
      <c r="BT18" s="36">
        <f>(Inventory[[#This Row],[Adjusted Land Total]]-Inventory[[#This Row],[24Lnd]])/Inventory[[#This Row],[24Lnd]]</f>
        <v>-0.35494327390599678</v>
      </c>
      <c r="BU18" s="36">
        <f>(Inventory[[#This Row],[Adjusted Total]]-Inventory[[#This Row],[24Final]])/Inventory[[#This Row],[24Final]]</f>
        <v>0.20687061183550651</v>
      </c>
    </row>
    <row r="19" spans="1:73" x14ac:dyDescent="0.3">
      <c r="A19" s="25">
        <v>2025</v>
      </c>
      <c r="B19" s="26" t="s">
        <v>938</v>
      </c>
      <c r="C19" s="26">
        <f>LN(Inventory[[#This Row],[Acres]])</f>
        <v>-1.7719568419318752</v>
      </c>
      <c r="D19" s="25">
        <v>2</v>
      </c>
      <c r="E19" s="25">
        <v>87120</v>
      </c>
      <c r="F19" s="26" t="s">
        <v>543</v>
      </c>
      <c r="G19" s="26" t="s">
        <v>544</v>
      </c>
      <c r="H19" s="26" t="s">
        <v>349</v>
      </c>
      <c r="I19" s="26" t="s">
        <v>545</v>
      </c>
      <c r="J19" s="26" t="s">
        <v>621</v>
      </c>
      <c r="K19" s="26" t="s">
        <v>547</v>
      </c>
      <c r="L19" s="26" t="s">
        <v>302</v>
      </c>
      <c r="M19" s="26" t="s">
        <v>303</v>
      </c>
      <c r="N19" s="26">
        <v>60</v>
      </c>
      <c r="O19" s="26">
        <f>2024-Inventory[[#This Row],[YrBlt]]</f>
        <v>18</v>
      </c>
      <c r="P19" s="26">
        <f>2024-Inventory[[#This Row],[EffYr]]</f>
        <v>18</v>
      </c>
      <c r="Q19" s="25">
        <v>1960</v>
      </c>
      <c r="R19" s="25">
        <v>1975</v>
      </c>
      <c r="S19" s="25">
        <v>1964</v>
      </c>
      <c r="T19" s="27"/>
      <c r="U19" s="27"/>
      <c r="V19" s="27">
        <f>Inventory[[#This Row],[Bsmt]]-Inventory[[#This Row],[FnBsmt]]</f>
        <v>0</v>
      </c>
      <c r="W19" s="27"/>
      <c r="X19" s="27"/>
      <c r="Y19" s="27">
        <f>Inventory[[#This Row],[MainFn]]+Inventory[[#This Row],[UpprFn]]+Inventory[[#This Row],[FnBsmt]]+Inventory[[#This Row],[AddFn]]</f>
        <v>2016</v>
      </c>
      <c r="Z19" s="27">
        <v>2000</v>
      </c>
      <c r="AA19" s="25">
        <v>10</v>
      </c>
      <c r="AB19" s="32">
        <v>750</v>
      </c>
      <c r="AC19" s="27"/>
      <c r="AD19" s="27"/>
      <c r="AE19" s="27"/>
      <c r="AF19" s="27"/>
      <c r="AG19" s="32">
        <v>125</v>
      </c>
      <c r="AH19" s="27"/>
      <c r="AI19" s="25">
        <v>315617</v>
      </c>
      <c r="AJ19" s="25">
        <v>284055</v>
      </c>
      <c r="AK19" s="25">
        <v>12956</v>
      </c>
      <c r="AL19" s="25">
        <v>1808700</v>
      </c>
      <c r="AM19" s="25">
        <v>159500</v>
      </c>
      <c r="AN19" s="25">
        <v>1649200</v>
      </c>
      <c r="AO19" s="25">
        <v>0</v>
      </c>
      <c r="AP19" s="25">
        <f>Lookups!$B$56*0</f>
        <v>0</v>
      </c>
      <c r="AQ19" s="25">
        <f>Lookups!$B$56*1</f>
        <v>89850.625589999996</v>
      </c>
      <c r="AR19" s="25">
        <f>Lookups!$B$57*Inventory[[#This Row],[LnAcres]]</f>
        <v>-56090.612940989391</v>
      </c>
      <c r="AS19" s="25">
        <f>VLOOKUP(Inventory[[#This Row],[Qlty]],Lookups!$A$62:$E$75,2,FALSE)</f>
        <v>21557.329055999999</v>
      </c>
      <c r="AT19" s="25">
        <f>VLOOKUP(Inventory[[#This Row],[Cnd]],Lookups!$A$76:$E$84,2,FALSE)</f>
        <v>284810.60806</v>
      </c>
      <c r="AU19" s="25">
        <f>Inventory[[#This Row],[EffAge]]*Lookups!$B$85</f>
        <v>-4014.8208090000003</v>
      </c>
      <c r="AV19" s="25">
        <f>Inventory[[#This Row],[MainFn]]*Lookups!$B$86</f>
        <v>75891.716931072006</v>
      </c>
      <c r="AW19" s="25">
        <f>Inventory[[#This Row],[UpprFn]]*Lookups!$B$87</f>
        <v>21497.482973279999</v>
      </c>
      <c r="AX19" s="25">
        <f>Inventory[[#This Row],[AddFn]]*Lookups!$B$88</f>
        <v>0</v>
      </c>
      <c r="AY19" s="25">
        <f>Inventory[[#This Row],[Bsmt]]*Lookups!$B$89</f>
        <v>0</v>
      </c>
      <c r="AZ19" s="25">
        <f>Inventory[[#This Row],[Fixtures]]*Lookups!$B$90</f>
        <v>34128.198946800003</v>
      </c>
      <c r="BA19" s="25">
        <f>Inventory[[#This Row],[WdDeck]]*Lookups!$B$91</f>
        <v>0</v>
      </c>
      <c r="BB19" s="25">
        <f>ROUND(Inventory[[#This Row],[25Det]],-2)</f>
        <v>0</v>
      </c>
      <c r="BC19" s="25">
        <f>ROUND(SUM(Inventory[[#This Row],[Mdl Qlty]:[Mdl WdDeck]])+Inventory[[#This Row],[Mdl Res Intercept]],-2)</f>
        <v>433900</v>
      </c>
      <c r="BD19" s="25">
        <f>ROUND(Inventory[[#This Row],[Mdl Land Intercept]]+Inventory[[#This Row],[Mdl LnAcres]],-2)</f>
        <v>33800</v>
      </c>
      <c r="BE19" s="25">
        <f>Inventory[[#This Row],[Unadj Res Value]]+Inventory[[#This Row],[Unadj Det Value]]+Inventory[[#This Row],[Unadj Land Value]]</f>
        <v>467700</v>
      </c>
      <c r="BF19" s="36">
        <f>(Inventory[[#This Row],[Unadj Total Value]]-Inventory[[#This Row],[24Final]])/Inventory[[#This Row],[24Final]]</f>
        <v>0.20046201232032854</v>
      </c>
      <c r="BG19" s="25">
        <f>VLOOKUP(Inventory[[#This Row],[Nbhd]],Lookups!$Q$2:$T$4,4,FALSE)</f>
        <v>0.99970000000000003</v>
      </c>
      <c r="BH19" s="25">
        <f>VLOOKUP(Inventory[[#This Row],[Qlty]],Lookups!$O$7:$R$21,4,FALSE)</f>
        <v>1.0067999999999999</v>
      </c>
      <c r="BI19" s="29">
        <f>VLOOKUP(Inventory[[#This Row],[Cnd]],Lookups!$T$7:$W$16,4,FALSE)</f>
        <v>1.0158</v>
      </c>
      <c r="BJ19" s="25">
        <f>VLOOKUP(Inventory[[#This Row],[LivArea Range]],Lookups!$T$25:$W$37,4,FALSE)</f>
        <v>0.98919999999999997</v>
      </c>
      <c r="BK19" s="25">
        <f>VLOOKUP(Inventory[[#This Row],[Decade]],Lookups!$O$25:$R$42,4,FALSE)</f>
        <v>1</v>
      </c>
      <c r="BL19" s="25">
        <f>Inventory[[#This Row],[Nbhd Adj]]*0.95</f>
        <v>0.94971499999999998</v>
      </c>
      <c r="BM19" s="25">
        <f>Inventory[[#This Row],[Nbhd Adj]]*Inventory[[#This Row],[Quality Adj]]*Inventory[[#This Row],[Condition Adj]]*Inventory[[#This Row],[Living Area Adj]]*Inventory[[#This Row],[Decade Adj]]*0.95</f>
        <v>0.96079076593870016</v>
      </c>
      <c r="BN19" s="25">
        <f>ROUND(SUM(Inventory[[#This Row],[Mdl Qlty]:[Mdl WdDeck]])+Inventory[[#This Row],[Mdl Res Intercept]]*Inventory[[#This Row],[Res Adj ]],-2)</f>
        <v>433900</v>
      </c>
      <c r="BO19" s="25">
        <f>ROUND(Inventory[[#This Row],[25Det]]*Inventory[[#This Row],[Det/Nbhd Adj]],-2)</f>
        <v>0</v>
      </c>
      <c r="BP19" s="25">
        <f>Inventory[[#This Row],[Adjusted Res]]+Inventory[[#This Row],[Adj Det ]]</f>
        <v>433900</v>
      </c>
      <c r="BQ19" s="25">
        <f>ROUND((Inventory[[#This Row],[Mdl Land Intercept]]+Inventory[[#This Row],[Mdl LnAcres]])*Inventory[[#This Row],[Det/Nbhd Adj]],-2)</f>
        <v>32100</v>
      </c>
      <c r="BR19" s="25">
        <f>Inventory[[#This Row],[Adjusted Impr Total]]+Inventory[[#This Row],[Adjusted Land Total]]</f>
        <v>466000</v>
      </c>
      <c r="BS19" s="36">
        <f>IFERROR((Inventory[[#This Row],[Adjusted Impr Total]]-Inventory[[#This Row],[24Bldg]])/Inventory[[#This Row],[24Bldg]],0)</f>
        <v>0.28791926387652123</v>
      </c>
      <c r="BT19" s="36">
        <f>(Inventory[[#This Row],[Adjusted Land Total]]-Inventory[[#This Row],[24Lnd]])/Inventory[[#This Row],[24Lnd]]</f>
        <v>-0.39089184060721061</v>
      </c>
      <c r="BU19" s="36">
        <f>(Inventory[[#This Row],[Adjusted Total]]-Inventory[[#This Row],[24Final]])/Inventory[[#This Row],[24Final]]</f>
        <v>0.19609856262833675</v>
      </c>
    </row>
    <row r="20" spans="1:73" x14ac:dyDescent="0.3">
      <c r="A20" s="25">
        <v>2025</v>
      </c>
      <c r="B20" s="26" t="s">
        <v>938</v>
      </c>
      <c r="C20" s="26">
        <f>LN(Inventory[[#This Row],[Acres]])</f>
        <v>-2.120263536200091</v>
      </c>
      <c r="D20" s="25">
        <v>2</v>
      </c>
      <c r="E20" s="25">
        <v>87120</v>
      </c>
      <c r="F20" s="26" t="s">
        <v>543</v>
      </c>
      <c r="G20" s="26" t="s">
        <v>544</v>
      </c>
      <c r="H20" s="26" t="s">
        <v>349</v>
      </c>
      <c r="I20" s="26" t="s">
        <v>545</v>
      </c>
      <c r="J20" s="26" t="s">
        <v>621</v>
      </c>
      <c r="K20" s="26" t="s">
        <v>547</v>
      </c>
      <c r="L20" s="26" t="s">
        <v>302</v>
      </c>
      <c r="M20" s="26" t="s">
        <v>303</v>
      </c>
      <c r="N20" s="26">
        <v>60</v>
      </c>
      <c r="O20" s="26">
        <f>2024-Inventory[[#This Row],[YrBlt]]</f>
        <v>19</v>
      </c>
      <c r="P20" s="26">
        <f>2024-Inventory[[#This Row],[EffYr]]</f>
        <v>19</v>
      </c>
      <c r="Q20" s="25">
        <v>1960</v>
      </c>
      <c r="R20" s="25">
        <v>1975</v>
      </c>
      <c r="S20" s="25">
        <v>2112</v>
      </c>
      <c r="T20" s="27"/>
      <c r="U20" s="27"/>
      <c r="V20" s="27">
        <f>Inventory[[#This Row],[Bsmt]]-Inventory[[#This Row],[FnBsmt]]</f>
        <v>0</v>
      </c>
      <c r="W20" s="27"/>
      <c r="X20" s="27"/>
      <c r="Y20" s="27">
        <f>Inventory[[#This Row],[MainFn]]+Inventory[[#This Row],[UpprFn]]+Inventory[[#This Row],[FnBsmt]]+Inventory[[#This Row],[AddFn]]</f>
        <v>1555</v>
      </c>
      <c r="Z20" s="27">
        <v>2500</v>
      </c>
      <c r="AA20" s="25">
        <v>10</v>
      </c>
      <c r="AB20" s="32">
        <v>891</v>
      </c>
      <c r="AC20" s="27"/>
      <c r="AD20" s="27"/>
      <c r="AE20" s="27"/>
      <c r="AF20" s="27"/>
      <c r="AG20" s="32">
        <v>105</v>
      </c>
      <c r="AH20" s="27"/>
      <c r="AI20" s="25">
        <v>328412</v>
      </c>
      <c r="AJ20" s="25">
        <v>249593</v>
      </c>
      <c r="AK20" s="25">
        <v>12956</v>
      </c>
      <c r="AL20" s="25">
        <v>1808700</v>
      </c>
      <c r="AM20" s="25">
        <v>159500</v>
      </c>
      <c r="AN20" s="25">
        <v>1649200</v>
      </c>
      <c r="AO20" s="25">
        <v>0</v>
      </c>
      <c r="AP20" s="25">
        <f>Lookups!$B$56*0</f>
        <v>0</v>
      </c>
      <c r="AQ20" s="25">
        <f>Lookups!$B$56*1</f>
        <v>89850.625589999996</v>
      </c>
      <c r="AR20" s="25">
        <f>Lookups!$B$57*Inventory[[#This Row],[LnAcres]]</f>
        <v>-67116.12750806773</v>
      </c>
      <c r="AS20" s="25">
        <f>VLOOKUP(Inventory[[#This Row],[Qlty]],Lookups!$A$62:$E$75,2,FALSE)</f>
        <v>29814.093161000001</v>
      </c>
      <c r="AT20" s="25">
        <f>VLOOKUP(Inventory[[#This Row],[Cnd]],Lookups!$A$76:$E$84,2,FALSE)</f>
        <v>197752.34721000001</v>
      </c>
      <c r="AU20" s="25">
        <f>Inventory[[#This Row],[EffAge]]*Lookups!$B$85</f>
        <v>-4237.8664095000004</v>
      </c>
      <c r="AV20" s="25">
        <f>Inventory[[#This Row],[MainFn]]*Lookups!$B$86</f>
        <v>76830.481658735007</v>
      </c>
      <c r="AW20" s="25">
        <f>Inventory[[#This Row],[UpprFn]]*Lookups!$B$87</f>
        <v>0</v>
      </c>
      <c r="AX20" s="25">
        <f>Inventory[[#This Row],[AddFn]]*Lookups!$B$88</f>
        <v>0</v>
      </c>
      <c r="AY20" s="25">
        <f>Inventory[[#This Row],[Bsmt]]*Lookups!$B$89</f>
        <v>0</v>
      </c>
      <c r="AZ20" s="25">
        <f>Inventory[[#This Row],[Fixtures]]*Lookups!$B$90</f>
        <v>30336.176841600001</v>
      </c>
      <c r="BA20" s="25">
        <f>Inventory[[#This Row],[WdDeck]]*Lookups!$B$91</f>
        <v>0</v>
      </c>
      <c r="BB20" s="25">
        <f>ROUND(Inventory[[#This Row],[25Det]],-2)</f>
        <v>0</v>
      </c>
      <c r="BC20" s="25">
        <f>ROUND(SUM(Inventory[[#This Row],[Mdl Qlty]:[Mdl WdDeck]])+Inventory[[#This Row],[Mdl Res Intercept]],-2)</f>
        <v>330500</v>
      </c>
      <c r="BD20" s="25">
        <f>ROUND(Inventory[[#This Row],[Mdl Land Intercept]]+Inventory[[#This Row],[Mdl LnAcres]],-2)</f>
        <v>22700</v>
      </c>
      <c r="BE20" s="25">
        <f>Inventory[[#This Row],[Unadj Res Value]]+Inventory[[#This Row],[Unadj Det Value]]+Inventory[[#This Row],[Unadj Land Value]]</f>
        <v>353200</v>
      </c>
      <c r="BF20" s="36">
        <f>(Inventory[[#This Row],[Unadj Total Value]]-Inventory[[#This Row],[24Final]])/Inventory[[#This Row],[24Final]]</f>
        <v>0.30284028033935817</v>
      </c>
      <c r="BG20" s="25">
        <f>VLOOKUP(Inventory[[#This Row],[Nbhd]],Lookups!$Q$2:$T$4,4,FALSE)</f>
        <v>0.99970000000000003</v>
      </c>
      <c r="BH20" s="25">
        <f>VLOOKUP(Inventory[[#This Row],[Qlty]],Lookups!$O$7:$R$21,4,FALSE)</f>
        <v>1.0088999999999999</v>
      </c>
      <c r="BI20" s="29">
        <f>VLOOKUP(Inventory[[#This Row],[Cnd]],Lookups!$T$7:$W$16,4,FALSE)</f>
        <v>0.99650000000000005</v>
      </c>
      <c r="BJ20" s="25">
        <f>VLOOKUP(Inventory[[#This Row],[LivArea Range]],Lookups!$T$25:$W$37,4,FALSE)</f>
        <v>1.0093000000000001</v>
      </c>
      <c r="BK20" s="25">
        <f>VLOOKUP(Inventory[[#This Row],[Decade]],Lookups!$O$25:$R$42,4,FALSE)</f>
        <v>1</v>
      </c>
      <c r="BL20" s="25">
        <f>Inventory[[#This Row],[Nbhd Adj]]*0.95</f>
        <v>0.94971499999999998</v>
      </c>
      <c r="BM20" s="25">
        <f>Inventory[[#This Row],[Nbhd Adj]]*Inventory[[#This Row],[Quality Adj]]*Inventory[[#This Row],[Condition Adj]]*Inventory[[#This Row],[Living Area Adj]]*Inventory[[#This Row],[Decade Adj]]*0.95</f>
        <v>0.96369364643736299</v>
      </c>
      <c r="BN20" s="25">
        <f>ROUND(SUM(Inventory[[#This Row],[Mdl Qlty]:[Mdl WdDeck]])+Inventory[[#This Row],[Mdl Res Intercept]]*Inventory[[#This Row],[Res Adj ]],-2)</f>
        <v>330500</v>
      </c>
      <c r="BO20" s="25">
        <f>ROUND(Inventory[[#This Row],[25Det]]*Inventory[[#This Row],[Det/Nbhd Adj]],-2)</f>
        <v>0</v>
      </c>
      <c r="BP20" s="25">
        <f>Inventory[[#This Row],[Adjusted Res]]+Inventory[[#This Row],[Adj Det ]]</f>
        <v>330500</v>
      </c>
      <c r="BQ20" s="25">
        <f>ROUND((Inventory[[#This Row],[Mdl Land Intercept]]+Inventory[[#This Row],[Mdl LnAcres]])*Inventory[[#This Row],[Det/Nbhd Adj]],-2)</f>
        <v>21600</v>
      </c>
      <c r="BR20" s="25">
        <f>Inventory[[#This Row],[Adjusted Impr Total]]+Inventory[[#This Row],[Adjusted Land Total]]</f>
        <v>352100</v>
      </c>
      <c r="BS20" s="36">
        <f>IFERROR((Inventory[[#This Row],[Adjusted Impr Total]]-Inventory[[#This Row],[24Bldg]])/Inventory[[#This Row],[24Bldg]],0)</f>
        <v>0.42949826989619377</v>
      </c>
      <c r="BT20" s="36">
        <f>(Inventory[[#This Row],[Adjusted Land Total]]-Inventory[[#This Row],[24Lnd]])/Inventory[[#This Row],[24Lnd]]</f>
        <v>-0.45864661654135336</v>
      </c>
      <c r="BU20" s="36">
        <f>(Inventory[[#This Row],[Adjusted Total]]-Inventory[[#This Row],[24Final]])/Inventory[[#This Row],[24Final]]</f>
        <v>0.29878273699741792</v>
      </c>
    </row>
    <row r="21" spans="1:73" x14ac:dyDescent="0.3">
      <c r="A21" s="25">
        <v>2025</v>
      </c>
      <c r="B21" s="26" t="s">
        <v>938</v>
      </c>
      <c r="C21" s="26">
        <f>LN(Inventory[[#This Row],[Acres]])</f>
        <v>-2.120263536200091</v>
      </c>
      <c r="D21" s="25">
        <v>2</v>
      </c>
      <c r="E21" s="25">
        <v>87120</v>
      </c>
      <c r="F21" s="26" t="s">
        <v>543</v>
      </c>
      <c r="G21" s="26" t="s">
        <v>544</v>
      </c>
      <c r="H21" s="26" t="s">
        <v>349</v>
      </c>
      <c r="I21" s="26" t="s">
        <v>545</v>
      </c>
      <c r="J21" s="26" t="s">
        <v>621</v>
      </c>
      <c r="K21" s="26" t="s">
        <v>547</v>
      </c>
      <c r="L21" s="26" t="s">
        <v>302</v>
      </c>
      <c r="M21" s="26" t="s">
        <v>303</v>
      </c>
      <c r="N21" s="26">
        <v>60</v>
      </c>
      <c r="O21" s="26">
        <f>2024-Inventory[[#This Row],[YrBlt]]</f>
        <v>19</v>
      </c>
      <c r="P21" s="26">
        <f>2024-Inventory[[#This Row],[EffYr]]</f>
        <v>19</v>
      </c>
      <c r="Q21" s="25">
        <v>1960</v>
      </c>
      <c r="R21" s="25">
        <v>1975</v>
      </c>
      <c r="S21" s="25">
        <v>2112</v>
      </c>
      <c r="T21" s="27"/>
      <c r="U21" s="27"/>
      <c r="V21" s="27">
        <f>Inventory[[#This Row],[Bsmt]]-Inventory[[#This Row],[FnBsmt]]</f>
        <v>0</v>
      </c>
      <c r="W21" s="27"/>
      <c r="X21" s="27"/>
      <c r="Y21" s="27">
        <f>Inventory[[#This Row],[MainFn]]+Inventory[[#This Row],[UpprFn]]+Inventory[[#This Row],[FnBsmt]]+Inventory[[#This Row],[AddFn]]</f>
        <v>1557</v>
      </c>
      <c r="Z21" s="27">
        <v>2500</v>
      </c>
      <c r="AA21" s="25">
        <v>10</v>
      </c>
      <c r="AB21" s="32">
        <v>744</v>
      </c>
      <c r="AC21" s="27"/>
      <c r="AD21" s="27"/>
      <c r="AE21" s="27"/>
      <c r="AF21" s="27"/>
      <c r="AG21" s="32">
        <v>105</v>
      </c>
      <c r="AH21" s="27"/>
      <c r="AI21" s="25">
        <v>316312</v>
      </c>
      <c r="AJ21" s="25">
        <v>240397</v>
      </c>
      <c r="AK21" s="25">
        <v>12956</v>
      </c>
      <c r="AL21" s="25">
        <v>1808700</v>
      </c>
      <c r="AM21" s="25">
        <v>159500</v>
      </c>
      <c r="AN21" s="25">
        <v>1649200</v>
      </c>
      <c r="AO21" s="25">
        <v>0</v>
      </c>
      <c r="AP21" s="25">
        <f>Lookups!$B$56*0</f>
        <v>0</v>
      </c>
      <c r="AQ21" s="25">
        <f>Lookups!$B$56*1</f>
        <v>89850.625589999996</v>
      </c>
      <c r="AR21" s="25">
        <f>Lookups!$B$57*Inventory[[#This Row],[LnAcres]]</f>
        <v>-67116.12750806773</v>
      </c>
      <c r="AS21" s="25">
        <f>VLOOKUP(Inventory[[#This Row],[Qlty]],Lookups!$A$62:$E$75,2,FALSE)</f>
        <v>29814.093161000001</v>
      </c>
      <c r="AT21" s="25">
        <f>VLOOKUP(Inventory[[#This Row],[Cnd]],Lookups!$A$76:$E$84,2,FALSE)</f>
        <v>197752.34721000001</v>
      </c>
      <c r="AU21" s="25">
        <f>Inventory[[#This Row],[EffAge]]*Lookups!$B$85</f>
        <v>-4237.8664095000004</v>
      </c>
      <c r="AV21" s="25">
        <f>Inventory[[#This Row],[MainFn]]*Lookups!$B$86</f>
        <v>76929.298998489001</v>
      </c>
      <c r="AW21" s="25">
        <f>Inventory[[#This Row],[UpprFn]]*Lookups!$B$87</f>
        <v>0</v>
      </c>
      <c r="AX21" s="25">
        <f>Inventory[[#This Row],[AddFn]]*Lookups!$B$88</f>
        <v>0</v>
      </c>
      <c r="AY21" s="25">
        <f>Inventory[[#This Row],[Bsmt]]*Lookups!$B$89</f>
        <v>0</v>
      </c>
      <c r="AZ21" s="25">
        <f>Inventory[[#This Row],[Fixtures]]*Lookups!$B$90</f>
        <v>30336.176841600001</v>
      </c>
      <c r="BA21" s="25">
        <f>Inventory[[#This Row],[WdDeck]]*Lookups!$B$91</f>
        <v>0</v>
      </c>
      <c r="BB21" s="25">
        <f>ROUND(Inventory[[#This Row],[25Det]],-2)</f>
        <v>0</v>
      </c>
      <c r="BC21" s="25">
        <f>ROUND(SUM(Inventory[[#This Row],[Mdl Qlty]:[Mdl WdDeck]])+Inventory[[#This Row],[Mdl Res Intercept]],-2)</f>
        <v>330600</v>
      </c>
      <c r="BD21" s="25">
        <f>ROUND(Inventory[[#This Row],[Mdl Land Intercept]]+Inventory[[#This Row],[Mdl LnAcres]],-2)</f>
        <v>22700</v>
      </c>
      <c r="BE21" s="25">
        <f>Inventory[[#This Row],[Unadj Res Value]]+Inventory[[#This Row],[Unadj Det Value]]+Inventory[[#This Row],[Unadj Land Value]]</f>
        <v>353300</v>
      </c>
      <c r="BF21" s="36">
        <f>(Inventory[[#This Row],[Unadj Total Value]]-Inventory[[#This Row],[24Final]])/Inventory[[#This Row],[24Final]]</f>
        <v>0.29603815113719734</v>
      </c>
      <c r="BG21" s="25">
        <f>VLOOKUP(Inventory[[#This Row],[Nbhd]],Lookups!$Q$2:$T$4,4,FALSE)</f>
        <v>0.99970000000000003</v>
      </c>
      <c r="BH21" s="25">
        <f>VLOOKUP(Inventory[[#This Row],[Qlty]],Lookups!$O$7:$R$21,4,FALSE)</f>
        <v>1.0088999999999999</v>
      </c>
      <c r="BI21" s="29">
        <f>VLOOKUP(Inventory[[#This Row],[Cnd]],Lookups!$T$7:$W$16,4,FALSE)</f>
        <v>0.99650000000000005</v>
      </c>
      <c r="BJ21" s="25">
        <f>VLOOKUP(Inventory[[#This Row],[LivArea Range]],Lookups!$T$25:$W$37,4,FALSE)</f>
        <v>1.0093000000000001</v>
      </c>
      <c r="BK21" s="25">
        <f>VLOOKUP(Inventory[[#This Row],[Decade]],Lookups!$O$25:$R$42,4,FALSE)</f>
        <v>1</v>
      </c>
      <c r="BL21" s="25">
        <f>Inventory[[#This Row],[Nbhd Adj]]*0.95</f>
        <v>0.94971499999999998</v>
      </c>
      <c r="BM21" s="25">
        <f>Inventory[[#This Row],[Nbhd Adj]]*Inventory[[#This Row],[Quality Adj]]*Inventory[[#This Row],[Condition Adj]]*Inventory[[#This Row],[Living Area Adj]]*Inventory[[#This Row],[Decade Adj]]*0.95</f>
        <v>0.96369364643736299</v>
      </c>
      <c r="BN21" s="25">
        <f>ROUND(SUM(Inventory[[#This Row],[Mdl Qlty]:[Mdl WdDeck]])+Inventory[[#This Row],[Mdl Res Intercept]]*Inventory[[#This Row],[Res Adj ]],-2)</f>
        <v>330600</v>
      </c>
      <c r="BO21" s="25">
        <f>ROUND(Inventory[[#This Row],[25Det]]*Inventory[[#This Row],[Det/Nbhd Adj]],-2)</f>
        <v>0</v>
      </c>
      <c r="BP21" s="25">
        <f>Inventory[[#This Row],[Adjusted Res]]+Inventory[[#This Row],[Adj Det ]]</f>
        <v>330600</v>
      </c>
      <c r="BQ21" s="25">
        <f>ROUND((Inventory[[#This Row],[Mdl Land Intercept]]+Inventory[[#This Row],[Mdl LnAcres]])*Inventory[[#This Row],[Det/Nbhd Adj]],-2)</f>
        <v>21600</v>
      </c>
      <c r="BR21" s="25">
        <f>Inventory[[#This Row],[Adjusted Impr Total]]+Inventory[[#This Row],[Adjusted Land Total]]</f>
        <v>352200</v>
      </c>
      <c r="BS21" s="36">
        <f>IFERROR((Inventory[[#This Row],[Adjusted Impr Total]]-Inventory[[#This Row],[24Bldg]])/Inventory[[#This Row],[24Bldg]],0)</f>
        <v>0.42132416165090286</v>
      </c>
      <c r="BT21" s="36">
        <f>(Inventory[[#This Row],[Adjusted Land Total]]-Inventory[[#This Row],[24Lnd]])/Inventory[[#This Row],[24Lnd]]</f>
        <v>-0.46</v>
      </c>
      <c r="BU21" s="36">
        <f>(Inventory[[#This Row],[Adjusted Total]]-Inventory[[#This Row],[24Final]])/Inventory[[#This Row],[24Final]]</f>
        <v>0.29200293470286132</v>
      </c>
    </row>
    <row r="22" spans="1:73" x14ac:dyDescent="0.3">
      <c r="A22" s="25">
        <v>2025</v>
      </c>
      <c r="B22" s="26" t="s">
        <v>938</v>
      </c>
      <c r="C22" s="26">
        <f>LN(Inventory[[#This Row],[Acres]])</f>
        <v>-2.0402208285265546</v>
      </c>
      <c r="D22" s="25">
        <v>2</v>
      </c>
      <c r="E22" s="25">
        <v>87120</v>
      </c>
      <c r="F22" s="26" t="s">
        <v>543</v>
      </c>
      <c r="G22" s="26" t="s">
        <v>544</v>
      </c>
      <c r="H22" s="26" t="s">
        <v>349</v>
      </c>
      <c r="I22" s="26" t="s">
        <v>545</v>
      </c>
      <c r="J22" s="26" t="s">
        <v>621</v>
      </c>
      <c r="K22" s="26" t="s">
        <v>547</v>
      </c>
      <c r="L22" s="26" t="s">
        <v>302</v>
      </c>
      <c r="M22" s="26" t="s">
        <v>303</v>
      </c>
      <c r="N22" s="26">
        <v>60</v>
      </c>
      <c r="O22" s="26">
        <f>2024-Inventory[[#This Row],[YrBlt]]</f>
        <v>19</v>
      </c>
      <c r="P22" s="26">
        <f>2024-Inventory[[#This Row],[EffYr]]</f>
        <v>19</v>
      </c>
      <c r="Q22" s="25">
        <v>1960</v>
      </c>
      <c r="R22" s="25">
        <v>1975</v>
      </c>
      <c r="S22" s="25">
        <v>2122</v>
      </c>
      <c r="T22" s="27"/>
      <c r="U22" s="27"/>
      <c r="V22" s="27">
        <f>Inventory[[#This Row],[Bsmt]]-Inventory[[#This Row],[FnBsmt]]</f>
        <v>0</v>
      </c>
      <c r="W22" s="27"/>
      <c r="X22" s="27"/>
      <c r="Y22" s="27">
        <f>Inventory[[#This Row],[MainFn]]+Inventory[[#This Row],[UpprFn]]+Inventory[[#This Row],[FnBsmt]]+Inventory[[#This Row],[AddFn]]</f>
        <v>1612</v>
      </c>
      <c r="Z22" s="27">
        <v>2500</v>
      </c>
      <c r="AA22" s="25">
        <v>10</v>
      </c>
      <c r="AB22" s="25">
        <v>720</v>
      </c>
      <c r="AC22" s="27"/>
      <c r="AD22" s="31"/>
      <c r="AE22" s="27"/>
      <c r="AF22" s="27"/>
      <c r="AG22" s="32">
        <v>105</v>
      </c>
      <c r="AH22" s="27"/>
      <c r="AI22" s="25">
        <v>294044</v>
      </c>
      <c r="AJ22" s="25">
        <v>223473</v>
      </c>
      <c r="AK22" s="25">
        <v>12956</v>
      </c>
      <c r="AL22" s="25">
        <v>1808700</v>
      </c>
      <c r="AM22" s="25">
        <v>159500</v>
      </c>
      <c r="AN22" s="25">
        <v>1649200</v>
      </c>
      <c r="AO22" s="25">
        <v>0</v>
      </c>
      <c r="AP22" s="25">
        <f>Lookups!$B$56*0</f>
        <v>0</v>
      </c>
      <c r="AQ22" s="25">
        <f>Lookups!$B$56*1</f>
        <v>89850.625589999996</v>
      </c>
      <c r="AR22" s="25">
        <f>Lookups!$B$57*Inventory[[#This Row],[LnAcres]]</f>
        <v>-64582.406353792743</v>
      </c>
      <c r="AS22" s="25">
        <f>VLOOKUP(Inventory[[#This Row],[Qlty]],Lookups!$A$62:$E$75,2,FALSE)</f>
        <v>29814.093161000001</v>
      </c>
      <c r="AT22" s="25">
        <f>VLOOKUP(Inventory[[#This Row],[Cnd]],Lookups!$A$76:$E$84,2,FALSE)</f>
        <v>197752.34721000001</v>
      </c>
      <c r="AU22" s="25">
        <f>Inventory[[#This Row],[EffAge]]*Lookups!$B$85</f>
        <v>-4237.8664095000004</v>
      </c>
      <c r="AV22" s="25">
        <f>Inventory[[#This Row],[MainFn]]*Lookups!$B$86</f>
        <v>79646.775841723997</v>
      </c>
      <c r="AW22" s="25">
        <f>Inventory[[#This Row],[UpprFn]]*Lookups!$B$87</f>
        <v>0</v>
      </c>
      <c r="AX22" s="25">
        <f>Inventory[[#This Row],[AddFn]]*Lookups!$B$88</f>
        <v>0</v>
      </c>
      <c r="AY22" s="25">
        <f>Inventory[[#This Row],[Bsmt]]*Lookups!$B$89</f>
        <v>0</v>
      </c>
      <c r="AZ22" s="25">
        <f>Inventory[[#This Row],[Fixtures]]*Lookups!$B$90</f>
        <v>37920.221052000001</v>
      </c>
      <c r="BA22" s="25">
        <f>Inventory[[#This Row],[WdDeck]]*Lookups!$B$91</f>
        <v>0</v>
      </c>
      <c r="BB22" s="25">
        <f>ROUND(Inventory[[#This Row],[25Det]],-2)</f>
        <v>0</v>
      </c>
      <c r="BC22" s="25">
        <f>ROUND(SUM(Inventory[[#This Row],[Mdl Qlty]:[Mdl WdDeck]])+Inventory[[#This Row],[Mdl Res Intercept]],-2)</f>
        <v>340900</v>
      </c>
      <c r="BD22" s="25">
        <f>ROUND(Inventory[[#This Row],[Mdl Land Intercept]]+Inventory[[#This Row],[Mdl LnAcres]],-2)</f>
        <v>25300</v>
      </c>
      <c r="BE22" s="25">
        <f>Inventory[[#This Row],[Unadj Res Value]]+Inventory[[#This Row],[Unadj Det Value]]+Inventory[[#This Row],[Unadj Land Value]]</f>
        <v>366200</v>
      </c>
      <c r="BF22" s="36">
        <f>(Inventory[[#This Row],[Unadj Total Value]]-Inventory[[#This Row],[24Final]])/Inventory[[#This Row],[24Final]]</f>
        <v>0.26800554016620498</v>
      </c>
      <c r="BG22" s="25">
        <f>VLOOKUP(Inventory[[#This Row],[Nbhd]],Lookups!$Q$2:$T$4,4,FALSE)</f>
        <v>0.99970000000000003</v>
      </c>
      <c r="BH22" s="25">
        <f>VLOOKUP(Inventory[[#This Row],[Qlty]],Lookups!$O$7:$R$21,4,FALSE)</f>
        <v>1.0088999999999999</v>
      </c>
      <c r="BI22" s="29">
        <f>VLOOKUP(Inventory[[#This Row],[Cnd]],Lookups!$T$7:$W$16,4,FALSE)</f>
        <v>0.99650000000000005</v>
      </c>
      <c r="BJ22" s="25">
        <f>VLOOKUP(Inventory[[#This Row],[LivArea Range]],Lookups!$T$25:$W$37,4,FALSE)</f>
        <v>1.0093000000000001</v>
      </c>
      <c r="BK22" s="25">
        <f>VLOOKUP(Inventory[[#This Row],[Decade]],Lookups!$O$25:$R$42,4,FALSE)</f>
        <v>1</v>
      </c>
      <c r="BL22" s="25">
        <f>Inventory[[#This Row],[Nbhd Adj]]*0.95</f>
        <v>0.94971499999999998</v>
      </c>
      <c r="BM22" s="25">
        <f>Inventory[[#This Row],[Nbhd Adj]]*Inventory[[#This Row],[Quality Adj]]*Inventory[[#This Row],[Condition Adj]]*Inventory[[#This Row],[Living Area Adj]]*Inventory[[#This Row],[Decade Adj]]*0.95</f>
        <v>0.96369364643736299</v>
      </c>
      <c r="BN22" s="25">
        <f>ROUND(SUM(Inventory[[#This Row],[Mdl Qlty]:[Mdl WdDeck]])+Inventory[[#This Row],[Mdl Res Intercept]]*Inventory[[#This Row],[Res Adj ]],-2)</f>
        <v>340900</v>
      </c>
      <c r="BO22" s="25">
        <f>ROUND(Inventory[[#This Row],[25Det]]*Inventory[[#This Row],[Det/Nbhd Adj]],-2)</f>
        <v>0</v>
      </c>
      <c r="BP22" s="25">
        <f>Inventory[[#This Row],[Adjusted Res]]+Inventory[[#This Row],[Adj Det ]]</f>
        <v>340900</v>
      </c>
      <c r="BQ22" s="25">
        <f>ROUND((Inventory[[#This Row],[Mdl Land Intercept]]+Inventory[[#This Row],[Mdl LnAcres]])*Inventory[[#This Row],[Det/Nbhd Adj]],-2)</f>
        <v>24000</v>
      </c>
      <c r="BR22" s="25">
        <f>Inventory[[#This Row],[Adjusted Impr Total]]+Inventory[[#This Row],[Adjusted Land Total]]</f>
        <v>364900</v>
      </c>
      <c r="BS22" s="36">
        <f>IFERROR((Inventory[[#This Row],[Adjusted Impr Total]]-Inventory[[#This Row],[24Bldg]])/Inventory[[#This Row],[24Bldg]],0)</f>
        <v>0.37127916331456157</v>
      </c>
      <c r="BT22" s="36">
        <f>(Inventory[[#This Row],[Adjusted Land Total]]-Inventory[[#This Row],[24Lnd]])/Inventory[[#This Row],[24Lnd]]</f>
        <v>-0.40298507462686567</v>
      </c>
      <c r="BU22" s="36">
        <f>(Inventory[[#This Row],[Adjusted Total]]-Inventory[[#This Row],[24Final]])/Inventory[[#This Row],[24Final]]</f>
        <v>0.26350415512465375</v>
      </c>
    </row>
    <row r="23" spans="1:73" x14ac:dyDescent="0.3">
      <c r="A23" s="25">
        <v>2025</v>
      </c>
      <c r="B23" s="26" t="s">
        <v>620</v>
      </c>
      <c r="C23" s="26">
        <f>LN(Inventory[[#This Row],[Acres]])</f>
        <v>-2.120263536200091</v>
      </c>
      <c r="D23" s="25">
        <v>1.49</v>
      </c>
      <c r="E23" s="25">
        <v>64904</v>
      </c>
      <c r="F23" s="26" t="s">
        <v>543</v>
      </c>
      <c r="G23" s="26" t="s">
        <v>544</v>
      </c>
      <c r="H23" s="26" t="s">
        <v>349</v>
      </c>
      <c r="I23" s="26" t="s">
        <v>545</v>
      </c>
      <c r="J23" s="26" t="s">
        <v>621</v>
      </c>
      <c r="K23" s="26" t="s">
        <v>547</v>
      </c>
      <c r="L23" s="26" t="s">
        <v>302</v>
      </c>
      <c r="M23" s="26" t="s">
        <v>303</v>
      </c>
      <c r="N23" s="26">
        <v>60</v>
      </c>
      <c r="O23" s="26">
        <f>2024-Inventory[[#This Row],[YrBlt]]</f>
        <v>19</v>
      </c>
      <c r="P23" s="26">
        <f>2024-Inventory[[#This Row],[EffYr]]</f>
        <v>19</v>
      </c>
      <c r="Q23" s="25">
        <v>1958</v>
      </c>
      <c r="R23" s="25">
        <v>1974</v>
      </c>
      <c r="S23" s="25">
        <v>2176</v>
      </c>
      <c r="T23" s="27"/>
      <c r="U23" s="27"/>
      <c r="V23" s="27">
        <f>Inventory[[#This Row],[Bsmt]]-Inventory[[#This Row],[FnBsmt]]</f>
        <v>0</v>
      </c>
      <c r="W23" s="27"/>
      <c r="X23" s="27"/>
      <c r="Y23" s="27">
        <f>Inventory[[#This Row],[MainFn]]+Inventory[[#This Row],[UpprFn]]+Inventory[[#This Row],[FnBsmt]]+Inventory[[#This Row],[AddFn]]</f>
        <v>1612</v>
      </c>
      <c r="Z23" s="27">
        <v>2500</v>
      </c>
      <c r="AA23" s="25">
        <v>10</v>
      </c>
      <c r="AB23" s="25">
        <v>840</v>
      </c>
      <c r="AC23" s="27"/>
      <c r="AD23" s="31"/>
      <c r="AE23" s="27"/>
      <c r="AF23" s="27"/>
      <c r="AG23" s="32">
        <v>105</v>
      </c>
      <c r="AH23" s="27"/>
      <c r="AI23" s="25">
        <v>311157</v>
      </c>
      <c r="AJ23" s="25">
        <v>236479</v>
      </c>
      <c r="AK23" s="25">
        <v>14830</v>
      </c>
      <c r="AL23" s="25">
        <v>1259550</v>
      </c>
      <c r="AM23" s="25">
        <v>147650</v>
      </c>
      <c r="AN23" s="25">
        <v>1111900</v>
      </c>
      <c r="AO23" s="25">
        <v>0</v>
      </c>
      <c r="AP23" s="25">
        <f>Lookups!$B$56*0</f>
        <v>0</v>
      </c>
      <c r="AQ23" s="25">
        <f>Lookups!$B$56*1</f>
        <v>89850.625589999996</v>
      </c>
      <c r="AR23" s="25">
        <f>Lookups!$B$57*Inventory[[#This Row],[LnAcres]]</f>
        <v>-67116.12750806773</v>
      </c>
      <c r="AS23" s="25">
        <f>VLOOKUP(Inventory[[#This Row],[Qlty]],Lookups!$A$62:$E$75,2,FALSE)</f>
        <v>29814.093161000001</v>
      </c>
      <c r="AT23" s="25">
        <f>VLOOKUP(Inventory[[#This Row],[Cnd]],Lookups!$A$76:$E$84,2,FALSE)</f>
        <v>197752.34721000001</v>
      </c>
      <c r="AU23" s="25">
        <f>Inventory[[#This Row],[EffAge]]*Lookups!$B$85</f>
        <v>-4237.8664095000004</v>
      </c>
      <c r="AV23" s="25">
        <f>Inventory[[#This Row],[MainFn]]*Lookups!$B$86</f>
        <v>79646.775841723997</v>
      </c>
      <c r="AW23" s="25">
        <f>Inventory[[#This Row],[UpprFn]]*Lookups!$B$87</f>
        <v>0</v>
      </c>
      <c r="AX23" s="25">
        <f>Inventory[[#This Row],[AddFn]]*Lookups!$B$88</f>
        <v>0</v>
      </c>
      <c r="AY23" s="25">
        <f>Inventory[[#This Row],[Bsmt]]*Lookups!$B$89</f>
        <v>0</v>
      </c>
      <c r="AZ23" s="25">
        <f>Inventory[[#This Row],[Fixtures]]*Lookups!$B$90</f>
        <v>37920.221052000001</v>
      </c>
      <c r="BA23" s="25">
        <f>Inventory[[#This Row],[WdDeck]]*Lookups!$B$91</f>
        <v>0</v>
      </c>
      <c r="BB23" s="25">
        <f>ROUND(Inventory[[#This Row],[25Det]],-2)</f>
        <v>0</v>
      </c>
      <c r="BC23" s="25">
        <f>ROUND(SUM(Inventory[[#This Row],[Mdl Qlty]:[Mdl WdDeck]])+Inventory[[#This Row],[Mdl Res Intercept]],-2)</f>
        <v>340900</v>
      </c>
      <c r="BD23" s="25">
        <f>ROUND(Inventory[[#This Row],[Mdl Land Intercept]]+Inventory[[#This Row],[Mdl LnAcres]],-2)</f>
        <v>22700</v>
      </c>
      <c r="BE23" s="25">
        <f>Inventory[[#This Row],[Unadj Res Value]]+Inventory[[#This Row],[Unadj Det Value]]+Inventory[[#This Row],[Unadj Land Value]]</f>
        <v>363600</v>
      </c>
      <c r="BF23" s="36">
        <f>(Inventory[[#This Row],[Unadj Total Value]]-Inventory[[#This Row],[24Final]])/Inventory[[#This Row],[24Final]]</f>
        <v>0.26074895977808599</v>
      </c>
      <c r="BG23" s="25">
        <f>VLOOKUP(Inventory[[#This Row],[Nbhd]],Lookups!$Q$2:$T$4,4,FALSE)</f>
        <v>0.99970000000000003</v>
      </c>
      <c r="BH23" s="25">
        <f>VLOOKUP(Inventory[[#This Row],[Qlty]],Lookups!$O$7:$R$21,4,FALSE)</f>
        <v>1.0088999999999999</v>
      </c>
      <c r="BI23" s="29">
        <f>VLOOKUP(Inventory[[#This Row],[Cnd]],Lookups!$T$7:$W$16,4,FALSE)</f>
        <v>0.99650000000000005</v>
      </c>
      <c r="BJ23" s="25">
        <f>VLOOKUP(Inventory[[#This Row],[LivArea Range]],Lookups!$T$25:$W$37,4,FALSE)</f>
        <v>1.0093000000000001</v>
      </c>
      <c r="BK23" s="25">
        <f>VLOOKUP(Inventory[[#This Row],[Decade]],Lookups!$O$25:$R$42,4,FALSE)</f>
        <v>1</v>
      </c>
      <c r="BL23" s="25">
        <f>Inventory[[#This Row],[Nbhd Adj]]*0.95</f>
        <v>0.94971499999999998</v>
      </c>
      <c r="BM23" s="25">
        <f>Inventory[[#This Row],[Nbhd Adj]]*Inventory[[#This Row],[Quality Adj]]*Inventory[[#This Row],[Condition Adj]]*Inventory[[#This Row],[Living Area Adj]]*Inventory[[#This Row],[Decade Adj]]*0.95</f>
        <v>0.96369364643736299</v>
      </c>
      <c r="BN23" s="25">
        <f>ROUND(SUM(Inventory[[#This Row],[Mdl Qlty]:[Mdl WdDeck]])+Inventory[[#This Row],[Mdl Res Intercept]]*Inventory[[#This Row],[Res Adj ]],-2)</f>
        <v>340900</v>
      </c>
      <c r="BO23" s="25">
        <f>ROUND(Inventory[[#This Row],[25Det]]*Inventory[[#This Row],[Det/Nbhd Adj]],-2)</f>
        <v>0</v>
      </c>
      <c r="BP23" s="25">
        <f>Inventory[[#This Row],[Adjusted Res]]+Inventory[[#This Row],[Adj Det ]]</f>
        <v>340900</v>
      </c>
      <c r="BQ23" s="25">
        <f>ROUND((Inventory[[#This Row],[Mdl Land Intercept]]+Inventory[[#This Row],[Mdl LnAcres]])*Inventory[[#This Row],[Det/Nbhd Adj]],-2)</f>
        <v>21600</v>
      </c>
      <c r="BR23" s="25">
        <f>Inventory[[#This Row],[Adjusted Impr Total]]+Inventory[[#This Row],[Adjusted Land Total]]</f>
        <v>362500</v>
      </c>
      <c r="BS23" s="36">
        <f>IFERROR((Inventory[[#This Row],[Adjusted Impr Total]]-Inventory[[#This Row],[24Bldg]])/Inventory[[#This Row],[24Bldg]],0)</f>
        <v>0.37127916331456157</v>
      </c>
      <c r="BT23" s="36">
        <f>(Inventory[[#This Row],[Adjusted Land Total]]-Inventory[[#This Row],[24Lnd]])/Inventory[[#This Row],[24Lnd]]</f>
        <v>-0.457286432160804</v>
      </c>
      <c r="BU23" s="36">
        <f>(Inventory[[#This Row],[Adjusted Total]]-Inventory[[#This Row],[24Final]])/Inventory[[#This Row],[24Final]]</f>
        <v>0.25693481276005548</v>
      </c>
    </row>
    <row r="24" spans="1:73" x14ac:dyDescent="0.3">
      <c r="A24" s="25">
        <v>2025</v>
      </c>
      <c r="B24" s="26" t="s">
        <v>938</v>
      </c>
      <c r="C24" s="26">
        <f>LN(Inventory[[#This Row],[Acres]])</f>
        <v>-2.2072749131897207</v>
      </c>
      <c r="D24" s="25">
        <v>2</v>
      </c>
      <c r="E24" s="25">
        <v>87120</v>
      </c>
      <c r="F24" s="26" t="s">
        <v>543</v>
      </c>
      <c r="G24" s="26" t="s">
        <v>544</v>
      </c>
      <c r="H24" s="26" t="s">
        <v>349</v>
      </c>
      <c r="I24" s="26" t="s">
        <v>545</v>
      </c>
      <c r="J24" s="26" t="s">
        <v>621</v>
      </c>
      <c r="K24" s="26" t="s">
        <v>547</v>
      </c>
      <c r="L24" s="26" t="s">
        <v>302</v>
      </c>
      <c r="M24" s="26" t="s">
        <v>303</v>
      </c>
      <c r="N24" s="26">
        <v>60</v>
      </c>
      <c r="O24" s="26">
        <f>2024-Inventory[[#This Row],[YrBlt]]</f>
        <v>22</v>
      </c>
      <c r="P24" s="26">
        <f>2024-Inventory[[#This Row],[EffYr]]</f>
        <v>22</v>
      </c>
      <c r="Q24" s="25">
        <v>1960</v>
      </c>
      <c r="R24" s="25">
        <v>1975</v>
      </c>
      <c r="S24" s="25">
        <v>2460</v>
      </c>
      <c r="T24" s="27"/>
      <c r="U24" s="27"/>
      <c r="V24" s="27">
        <f>Inventory[[#This Row],[Bsmt]]-Inventory[[#This Row],[FnBsmt]]</f>
        <v>0</v>
      </c>
      <c r="W24" s="27"/>
      <c r="X24" s="27"/>
      <c r="Y24" s="27">
        <f>Inventory[[#This Row],[MainFn]]+Inventory[[#This Row],[UpprFn]]+Inventory[[#This Row],[FnBsmt]]+Inventory[[#This Row],[AddFn]]</f>
        <v>1274</v>
      </c>
      <c r="Z24" s="27">
        <v>2500</v>
      </c>
      <c r="AA24" s="25">
        <v>14</v>
      </c>
      <c r="AB24" s="32">
        <v>1020</v>
      </c>
      <c r="AC24" s="27"/>
      <c r="AD24" s="27"/>
      <c r="AE24" s="27"/>
      <c r="AF24" s="27"/>
      <c r="AG24" s="32">
        <v>105</v>
      </c>
      <c r="AH24" s="27"/>
      <c r="AI24" s="25">
        <v>369805</v>
      </c>
      <c r="AJ24" s="25">
        <v>281052</v>
      </c>
      <c r="AK24" s="25">
        <v>12956</v>
      </c>
      <c r="AL24" s="25">
        <v>1808700</v>
      </c>
      <c r="AM24" s="25">
        <v>159500</v>
      </c>
      <c r="AN24" s="25">
        <v>1649200</v>
      </c>
      <c r="AO24" s="25">
        <v>0</v>
      </c>
      <c r="AP24" s="25">
        <f>Lookups!$B$56*0</f>
        <v>0</v>
      </c>
      <c r="AQ24" s="25">
        <f>Lookups!$B$56*1</f>
        <v>89850.625589999996</v>
      </c>
      <c r="AR24" s="25">
        <f>Lookups!$B$57*Inventory[[#This Row],[LnAcres]]</f>
        <v>-69870.439211769743</v>
      </c>
      <c r="AS24" s="25">
        <f>VLOOKUP(Inventory[[#This Row],[Qlty]],Lookups!$A$62:$E$75,2,FALSE)</f>
        <v>44121.038090000002</v>
      </c>
      <c r="AT24" s="25">
        <f>VLOOKUP(Inventory[[#This Row],[Cnd]],Lookups!$A$76:$E$84,2,FALSE)</f>
        <v>197752.34721000001</v>
      </c>
      <c r="AU24" s="25">
        <f>Inventory[[#This Row],[EffAge]]*Lookups!$B$85</f>
        <v>-4907.0032110000002</v>
      </c>
      <c r="AV24" s="25">
        <f>Inventory[[#This Row],[MainFn]]*Lookups!$B$86</f>
        <v>62946.645423298003</v>
      </c>
      <c r="AW24" s="25">
        <f>Inventory[[#This Row],[UpprFn]]*Lookups!$B$87</f>
        <v>0</v>
      </c>
      <c r="AX24" s="25">
        <f>Inventory[[#This Row],[AddFn]]*Lookups!$B$88</f>
        <v>0</v>
      </c>
      <c r="AY24" s="25">
        <f>Inventory[[#This Row],[Bsmt]]*Lookups!$B$89</f>
        <v>0</v>
      </c>
      <c r="AZ24" s="25">
        <f>Inventory[[#This Row],[Fixtures]]*Lookups!$B$90</f>
        <v>30336.176841600001</v>
      </c>
      <c r="BA24" s="25">
        <f>Inventory[[#This Row],[WdDeck]]*Lookups!$B$91</f>
        <v>6026.4882649560004</v>
      </c>
      <c r="BB24" s="25">
        <f>ROUND(Inventory[[#This Row],[25Det]],-2)</f>
        <v>0</v>
      </c>
      <c r="BC24" s="25">
        <f>ROUND(SUM(Inventory[[#This Row],[Mdl Qlty]:[Mdl WdDeck]])+Inventory[[#This Row],[Mdl Res Intercept]],-2)</f>
        <v>336300</v>
      </c>
      <c r="BD24" s="25">
        <f>ROUND(Inventory[[#This Row],[Mdl Land Intercept]]+Inventory[[#This Row],[Mdl LnAcres]],-2)</f>
        <v>20000</v>
      </c>
      <c r="BE24" s="25">
        <f>Inventory[[#This Row],[Unadj Res Value]]+Inventory[[#This Row],[Unadj Det Value]]+Inventory[[#This Row],[Unadj Land Value]]</f>
        <v>356300</v>
      </c>
      <c r="BF24" s="36">
        <f>(Inventory[[#This Row],[Unadj Total Value]]-Inventory[[#This Row],[24Final]])/Inventory[[#This Row],[24Final]]</f>
        <v>-3.4417344173441736E-2</v>
      </c>
      <c r="BG24" s="25">
        <f>VLOOKUP(Inventory[[#This Row],[Nbhd]],Lookups!$Q$2:$T$4,4,FALSE)</f>
        <v>0.99970000000000003</v>
      </c>
      <c r="BH24" s="25">
        <f>VLOOKUP(Inventory[[#This Row],[Qlty]],Lookups!$O$7:$R$21,4,FALSE)</f>
        <v>0.98050000000000004</v>
      </c>
      <c r="BI24" s="29">
        <f>VLOOKUP(Inventory[[#This Row],[Cnd]],Lookups!$T$7:$W$16,4,FALSE)</f>
        <v>0.99650000000000005</v>
      </c>
      <c r="BJ24" s="25">
        <f>VLOOKUP(Inventory[[#This Row],[LivArea Range]],Lookups!$T$25:$W$37,4,FALSE)</f>
        <v>1.0157</v>
      </c>
      <c r="BK24" s="25">
        <f>VLOOKUP(Inventory[[#This Row],[Decade]],Lookups!$O$25:$R$42,4,FALSE)</f>
        <v>0.97319999999999995</v>
      </c>
      <c r="BL24" s="25">
        <f>Inventory[[#This Row],[Nbhd Adj]]*0.95</f>
        <v>0.94971499999999998</v>
      </c>
      <c r="BM24" s="25">
        <f>Inventory[[#This Row],[Nbhd Adj]]*Inventory[[#This Row],[Quality Adj]]*Inventory[[#This Row],[Condition Adj]]*Inventory[[#This Row],[Living Area Adj]]*Inventory[[#This Row],[Decade Adj]]*0.95</f>
        <v>0.91724584079958493</v>
      </c>
      <c r="BN24" s="25">
        <f>ROUND(SUM(Inventory[[#This Row],[Mdl Qlty]:[Mdl WdDeck]])+Inventory[[#This Row],[Mdl Res Intercept]]*Inventory[[#This Row],[Res Adj ]],-2)</f>
        <v>336300</v>
      </c>
      <c r="BO24" s="25">
        <f>ROUND(Inventory[[#This Row],[25Det]]*Inventory[[#This Row],[Det/Nbhd Adj]],-2)</f>
        <v>0</v>
      </c>
      <c r="BP24" s="25">
        <f>Inventory[[#This Row],[Adjusted Res]]+Inventory[[#This Row],[Adj Det ]]</f>
        <v>336300</v>
      </c>
      <c r="BQ24" s="25">
        <f>ROUND((Inventory[[#This Row],[Mdl Land Intercept]]+Inventory[[#This Row],[Mdl LnAcres]])*Inventory[[#This Row],[Det/Nbhd Adj]],-2)</f>
        <v>19000</v>
      </c>
      <c r="BR24" s="25">
        <f>Inventory[[#This Row],[Adjusted Impr Total]]+Inventory[[#This Row],[Adjusted Land Total]]</f>
        <v>355300</v>
      </c>
      <c r="BS24" s="36">
        <f>IFERROR((Inventory[[#This Row],[Adjusted Impr Total]]-Inventory[[#This Row],[24Bldg]])/Inventory[[#This Row],[24Bldg]],0)</f>
        <v>3.1278748850046001E-2</v>
      </c>
      <c r="BT24" s="36">
        <f>(Inventory[[#This Row],[Adjusted Land Total]]-Inventory[[#This Row],[24Lnd]])/Inventory[[#This Row],[24Lnd]]</f>
        <v>-0.55710955710955712</v>
      </c>
      <c r="BU24" s="36">
        <f>(Inventory[[#This Row],[Adjusted Total]]-Inventory[[#This Row],[24Final]])/Inventory[[#This Row],[24Final]]</f>
        <v>-3.7127371273712739E-2</v>
      </c>
    </row>
    <row r="25" spans="1:73" x14ac:dyDescent="0.3">
      <c r="A25" s="25">
        <v>2025</v>
      </c>
      <c r="B25" s="26" t="s">
        <v>620</v>
      </c>
      <c r="C25" s="26">
        <f>LN(Inventory[[#This Row],[Acres]])</f>
        <v>-2.2072749131897207</v>
      </c>
      <c r="D25" s="25">
        <v>1.49</v>
      </c>
      <c r="E25" s="25">
        <v>64904</v>
      </c>
      <c r="F25" s="26" t="s">
        <v>543</v>
      </c>
      <c r="G25" s="26" t="s">
        <v>544</v>
      </c>
      <c r="H25" s="26" t="s">
        <v>349</v>
      </c>
      <c r="I25" s="26" t="s">
        <v>545</v>
      </c>
      <c r="J25" s="26" t="s">
        <v>621</v>
      </c>
      <c r="K25" s="26" t="s">
        <v>547</v>
      </c>
      <c r="L25" s="26" t="s">
        <v>302</v>
      </c>
      <c r="M25" s="26" t="s">
        <v>303</v>
      </c>
      <c r="N25" s="26">
        <v>60</v>
      </c>
      <c r="O25" s="26">
        <f>2024-Inventory[[#This Row],[YrBlt]]</f>
        <v>22</v>
      </c>
      <c r="P25" s="26">
        <f>2024-Inventory[[#This Row],[EffYr]]</f>
        <v>22</v>
      </c>
      <c r="Q25" s="25">
        <v>1958</v>
      </c>
      <c r="R25" s="25">
        <v>1974</v>
      </c>
      <c r="S25" s="25">
        <v>2550</v>
      </c>
      <c r="T25" s="27"/>
      <c r="U25" s="27"/>
      <c r="V25" s="27">
        <f>Inventory[[#This Row],[Bsmt]]-Inventory[[#This Row],[FnBsmt]]</f>
        <v>0</v>
      </c>
      <c r="W25" s="27"/>
      <c r="X25" s="27"/>
      <c r="Y25" s="27">
        <f>Inventory[[#This Row],[MainFn]]+Inventory[[#This Row],[UpprFn]]+Inventory[[#This Row],[FnBsmt]]+Inventory[[#This Row],[AddFn]]</f>
        <v>1444</v>
      </c>
      <c r="Z25" s="27">
        <v>3000</v>
      </c>
      <c r="AA25" s="25">
        <v>12</v>
      </c>
      <c r="AB25" s="32">
        <v>990</v>
      </c>
      <c r="AC25" s="27"/>
      <c r="AD25" s="27"/>
      <c r="AE25" s="27"/>
      <c r="AF25" s="27"/>
      <c r="AG25" s="32">
        <v>105</v>
      </c>
      <c r="AH25" s="27"/>
      <c r="AI25" s="25">
        <v>371202</v>
      </c>
      <c r="AJ25" s="25">
        <v>282114</v>
      </c>
      <c r="AK25" s="25">
        <v>14830</v>
      </c>
      <c r="AL25" s="25">
        <v>1259550</v>
      </c>
      <c r="AM25" s="25">
        <v>147650</v>
      </c>
      <c r="AN25" s="25">
        <v>1111900</v>
      </c>
      <c r="AO25" s="25">
        <v>0</v>
      </c>
      <c r="AP25" s="25">
        <f>Lookups!$B$56*0</f>
        <v>0</v>
      </c>
      <c r="AQ25" s="25">
        <f>Lookups!$B$56*1</f>
        <v>89850.625589999996</v>
      </c>
      <c r="AR25" s="25">
        <f>Lookups!$B$57*Inventory[[#This Row],[LnAcres]]</f>
        <v>-69870.439211769743</v>
      </c>
      <c r="AS25" s="25">
        <f>VLOOKUP(Inventory[[#This Row],[Qlty]],Lookups!$A$62:$E$75,2,FALSE)</f>
        <v>44121.038090000002</v>
      </c>
      <c r="AT25" s="25">
        <f>VLOOKUP(Inventory[[#This Row],[Cnd]],Lookups!$A$76:$E$84,2,FALSE)</f>
        <v>197752.34721000001</v>
      </c>
      <c r="AU25" s="25">
        <f>Inventory[[#This Row],[EffAge]]*Lookups!$B$85</f>
        <v>-4907.0032110000002</v>
      </c>
      <c r="AV25" s="25">
        <f>Inventory[[#This Row],[MainFn]]*Lookups!$B$86</f>
        <v>71346.119302388004</v>
      </c>
      <c r="AW25" s="25">
        <f>Inventory[[#This Row],[UpprFn]]*Lookups!$B$87</f>
        <v>0</v>
      </c>
      <c r="AX25" s="25">
        <f>Inventory[[#This Row],[AddFn]]*Lookups!$B$88</f>
        <v>0</v>
      </c>
      <c r="AY25" s="25">
        <f>Inventory[[#This Row],[Bsmt]]*Lookups!$B$89</f>
        <v>0</v>
      </c>
      <c r="AZ25" s="25">
        <f>Inventory[[#This Row],[Fixtures]]*Lookups!$B$90</f>
        <v>37920.221052000001</v>
      </c>
      <c r="BA25" s="25">
        <f>Inventory[[#This Row],[WdDeck]]*Lookups!$B$91</f>
        <v>5560.3510510920005</v>
      </c>
      <c r="BB25" s="25">
        <f>ROUND(Inventory[[#This Row],[25Det]],-2)</f>
        <v>0</v>
      </c>
      <c r="BC25" s="25">
        <f>ROUND(SUM(Inventory[[#This Row],[Mdl Qlty]:[Mdl WdDeck]])+Inventory[[#This Row],[Mdl Res Intercept]],-2)</f>
        <v>351800</v>
      </c>
      <c r="BD25" s="25">
        <f>ROUND(Inventory[[#This Row],[Mdl Land Intercept]]+Inventory[[#This Row],[Mdl LnAcres]],-2)</f>
        <v>20000</v>
      </c>
      <c r="BE25" s="25">
        <f>Inventory[[#This Row],[Unadj Res Value]]+Inventory[[#This Row],[Unadj Det Value]]+Inventory[[#This Row],[Unadj Land Value]]</f>
        <v>371800</v>
      </c>
      <c r="BF25" s="36">
        <f>(Inventory[[#This Row],[Unadj Total Value]]-Inventory[[#This Row],[24Final]])/Inventory[[#This Row],[24Final]]</f>
        <v>-0.12743487444261911</v>
      </c>
      <c r="BG25" s="25">
        <f>VLOOKUP(Inventory[[#This Row],[Nbhd]],Lookups!$Q$2:$T$4,4,FALSE)</f>
        <v>0.99970000000000003</v>
      </c>
      <c r="BH25" s="25">
        <f>VLOOKUP(Inventory[[#This Row],[Qlty]],Lookups!$O$7:$R$21,4,FALSE)</f>
        <v>0.98050000000000004</v>
      </c>
      <c r="BI25" s="29">
        <f>VLOOKUP(Inventory[[#This Row],[Cnd]],Lookups!$T$7:$W$16,4,FALSE)</f>
        <v>0.99650000000000005</v>
      </c>
      <c r="BJ25" s="25">
        <f>VLOOKUP(Inventory[[#This Row],[LivArea Range]],Lookups!$T$25:$W$37,4,FALSE)</f>
        <v>1.0157</v>
      </c>
      <c r="BK25" s="25">
        <f>VLOOKUP(Inventory[[#This Row],[Decade]],Lookups!$O$25:$R$42,4,FALSE)</f>
        <v>0.97319999999999995</v>
      </c>
      <c r="BL25" s="25">
        <f>Inventory[[#This Row],[Nbhd Adj]]*0.95</f>
        <v>0.94971499999999998</v>
      </c>
      <c r="BM25" s="25">
        <f>Inventory[[#This Row],[Nbhd Adj]]*Inventory[[#This Row],[Quality Adj]]*Inventory[[#This Row],[Condition Adj]]*Inventory[[#This Row],[Living Area Adj]]*Inventory[[#This Row],[Decade Adj]]*0.95</f>
        <v>0.91724584079958493</v>
      </c>
      <c r="BN25" s="25">
        <f>ROUND(SUM(Inventory[[#This Row],[Mdl Qlty]:[Mdl WdDeck]])+Inventory[[#This Row],[Mdl Res Intercept]]*Inventory[[#This Row],[Res Adj ]],-2)</f>
        <v>351800</v>
      </c>
      <c r="BO25" s="25">
        <f>ROUND(Inventory[[#This Row],[25Det]]*Inventory[[#This Row],[Det/Nbhd Adj]],-2)</f>
        <v>0</v>
      </c>
      <c r="BP25" s="25">
        <f>Inventory[[#This Row],[Adjusted Res]]+Inventory[[#This Row],[Adj Det ]]</f>
        <v>351800</v>
      </c>
      <c r="BQ25" s="25">
        <f>ROUND((Inventory[[#This Row],[Mdl Land Intercept]]+Inventory[[#This Row],[Mdl LnAcres]])*Inventory[[#This Row],[Det/Nbhd Adj]],-2)</f>
        <v>19000</v>
      </c>
      <c r="BR25" s="25">
        <f>Inventory[[#This Row],[Adjusted Impr Total]]+Inventory[[#This Row],[Adjusted Land Total]]</f>
        <v>370800</v>
      </c>
      <c r="BS25" s="36">
        <f>IFERROR((Inventory[[#This Row],[Adjusted Impr Total]]-Inventory[[#This Row],[24Bldg]])/Inventory[[#This Row],[24Bldg]],0)</f>
        <v>-8.0261437908496727E-2</v>
      </c>
      <c r="BT25" s="36">
        <f>(Inventory[[#This Row],[Adjusted Land Total]]-Inventory[[#This Row],[24Lnd]])/Inventory[[#This Row],[24Lnd]]</f>
        <v>-0.56422018348623848</v>
      </c>
      <c r="BU25" s="36">
        <f>(Inventory[[#This Row],[Adjusted Total]]-Inventory[[#This Row],[24Final]])/Inventory[[#This Row],[24Final]]</f>
        <v>-0.12978174137526402</v>
      </c>
    </row>
    <row r="26" spans="1:73" x14ac:dyDescent="0.3">
      <c r="A26" s="25">
        <v>2025</v>
      </c>
      <c r="B26" s="26" t="s">
        <v>941</v>
      </c>
      <c r="C26" s="26">
        <f>LN(Inventory[[#This Row],[Acres]])</f>
        <v>-3.5065578973199818</v>
      </c>
      <c r="D26" s="25">
        <v>0.71</v>
      </c>
      <c r="E26" s="25">
        <v>30928</v>
      </c>
      <c r="F26" s="26" t="s">
        <v>543</v>
      </c>
      <c r="G26" s="26" t="s">
        <v>544</v>
      </c>
      <c r="H26" s="26" t="s">
        <v>349</v>
      </c>
      <c r="I26" s="26" t="s">
        <v>545</v>
      </c>
      <c r="J26" s="26" t="s">
        <v>621</v>
      </c>
      <c r="K26" s="26" t="s">
        <v>547</v>
      </c>
      <c r="L26" s="26" t="s">
        <v>302</v>
      </c>
      <c r="M26" s="26" t="s">
        <v>303</v>
      </c>
      <c r="N26" s="26">
        <v>60</v>
      </c>
      <c r="O26" s="26">
        <f>2024-Inventory[[#This Row],[YrBlt]]</f>
        <v>23</v>
      </c>
      <c r="P26" s="26">
        <f>2024-Inventory[[#This Row],[EffYr]]</f>
        <v>23</v>
      </c>
      <c r="Q26" s="25">
        <v>1958</v>
      </c>
      <c r="R26" s="25">
        <v>1974</v>
      </c>
      <c r="S26" s="25">
        <v>2134</v>
      </c>
      <c r="T26" s="27"/>
      <c r="U26" s="32">
        <v>1428</v>
      </c>
      <c r="V26" s="32">
        <f>Inventory[[#This Row],[Bsmt]]-Inventory[[#This Row],[FnBsmt]]</f>
        <v>0</v>
      </c>
      <c r="W26" s="32">
        <v>476</v>
      </c>
      <c r="X26" s="27"/>
      <c r="Y26" s="27">
        <f>Inventory[[#This Row],[MainFn]]+Inventory[[#This Row],[UpprFn]]+Inventory[[#This Row],[FnBsmt]]+Inventory[[#This Row],[AddFn]]</f>
        <v>1391</v>
      </c>
      <c r="Z26" s="27">
        <v>3000</v>
      </c>
      <c r="AA26" s="25">
        <v>10</v>
      </c>
      <c r="AB26" s="32">
        <v>576</v>
      </c>
      <c r="AC26" s="27"/>
      <c r="AD26" s="27"/>
      <c r="AE26" s="27"/>
      <c r="AF26" s="27"/>
      <c r="AG26" s="32">
        <v>115</v>
      </c>
      <c r="AH26" s="27"/>
      <c r="AI26" s="25">
        <v>361851</v>
      </c>
      <c r="AJ26" s="25">
        <v>300336</v>
      </c>
      <c r="AK26" s="25">
        <v>0</v>
      </c>
      <c r="AL26" s="25">
        <v>831900</v>
      </c>
      <c r="AM26" s="25">
        <v>118000</v>
      </c>
      <c r="AN26" s="25">
        <v>713900</v>
      </c>
      <c r="AO26" s="25">
        <v>0</v>
      </c>
      <c r="AP26" s="25">
        <f>Lookups!$B$56*0</f>
        <v>0</v>
      </c>
      <c r="AQ26" s="25">
        <f>Lookups!$B$56*1</f>
        <v>89850.625589999996</v>
      </c>
      <c r="AR26" s="25">
        <f>Lookups!$B$57*Inventory[[#This Row],[LnAcres]]</f>
        <v>-110998.74281323297</v>
      </c>
      <c r="AS26" s="25">
        <f>VLOOKUP(Inventory[[#This Row],[Qlty]],Lookups!$A$62:$E$75,2,FALSE)</f>
        <v>29814.093161000001</v>
      </c>
      <c r="AT26" s="25">
        <f>VLOOKUP(Inventory[[#This Row],[Cnd]],Lookups!$A$76:$E$84,2,FALSE)</f>
        <v>160472.20319</v>
      </c>
      <c r="AU26" s="25">
        <f>Inventory[[#This Row],[EffAge]]*Lookups!$B$85</f>
        <v>-5130.0488114999998</v>
      </c>
      <c r="AV26" s="25">
        <f>Inventory[[#This Row],[MainFn]]*Lookups!$B$86</f>
        <v>28706.437198537002</v>
      </c>
      <c r="AW26" s="25">
        <f>Inventory[[#This Row],[UpprFn]]*Lookups!$B$87</f>
        <v>36277.002517410001</v>
      </c>
      <c r="AX26" s="25">
        <f>Inventory[[#This Row],[AddFn]]*Lookups!$B$88</f>
        <v>0</v>
      </c>
      <c r="AY26" s="25">
        <f>Inventory[[#This Row],[Bsmt]]*Lookups!$B$89</f>
        <v>0</v>
      </c>
      <c r="AZ26" s="25">
        <f>Inventory[[#This Row],[Fixtures]]*Lookups!$B$90</f>
        <v>37920.221052000001</v>
      </c>
      <c r="BA26" s="25">
        <f>Inventory[[#This Row],[WdDeck]]*Lookups!$B$91</f>
        <v>0</v>
      </c>
      <c r="BB26" s="25">
        <f>ROUND(Inventory[[#This Row],[25Det]],-2)</f>
        <v>0</v>
      </c>
      <c r="BC26" s="25">
        <f>ROUND(SUM(Inventory[[#This Row],[Mdl Qlty]:[Mdl WdDeck]])+Inventory[[#This Row],[Mdl Res Intercept]],-2)</f>
        <v>288100</v>
      </c>
      <c r="BD26" s="25">
        <f>ROUND(Inventory[[#This Row],[Mdl Land Intercept]]+Inventory[[#This Row],[Mdl LnAcres]],-2)</f>
        <v>-21100</v>
      </c>
      <c r="BE26" s="25">
        <f>Inventory[[#This Row],[Unadj Res Value]]+Inventory[[#This Row],[Unadj Det Value]]+Inventory[[#This Row],[Unadj Land Value]]</f>
        <v>267000</v>
      </c>
      <c r="BF26" s="36">
        <f>(Inventory[[#This Row],[Unadj Total Value]]-Inventory[[#This Row],[24Final]])/Inventory[[#This Row],[24Final]]</f>
        <v>0.12753378378378377</v>
      </c>
      <c r="BG26" s="25">
        <f>VLOOKUP(Inventory[[#This Row],[Nbhd]],Lookups!$Q$2:$T$4,4,FALSE)</f>
        <v>0.99970000000000003</v>
      </c>
      <c r="BH26" s="25">
        <f>VLOOKUP(Inventory[[#This Row],[Qlty]],Lookups!$O$7:$R$21,4,FALSE)</f>
        <v>1.0088999999999999</v>
      </c>
      <c r="BI26" s="29">
        <f>VLOOKUP(Inventory[[#This Row],[Cnd]],Lookups!$T$7:$W$16,4,FALSE)</f>
        <v>0.99729999999999996</v>
      </c>
      <c r="BJ26" s="25">
        <f>VLOOKUP(Inventory[[#This Row],[LivArea Range]],Lookups!$T$25:$W$37,4,FALSE)</f>
        <v>1.0157</v>
      </c>
      <c r="BK26" s="25">
        <f>VLOOKUP(Inventory[[#This Row],[Decade]],Lookups!$O$25:$R$42,4,FALSE)</f>
        <v>0.97319999999999995</v>
      </c>
      <c r="BL26" s="25">
        <f>Inventory[[#This Row],[Nbhd Adj]]*0.95</f>
        <v>0.94971499999999998</v>
      </c>
      <c r="BM26" s="25">
        <f>Inventory[[#This Row],[Nbhd Adj]]*Inventory[[#This Row],[Quality Adj]]*Inventory[[#This Row],[Condition Adj]]*Inventory[[#This Row],[Living Area Adj]]*Inventory[[#This Row],[Decade Adj]]*0.95</f>
        <v>0.944571398768702</v>
      </c>
      <c r="BN26" s="25">
        <f>ROUND(SUM(Inventory[[#This Row],[Mdl Qlty]:[Mdl WdDeck]])+Inventory[[#This Row],[Mdl Res Intercept]]*Inventory[[#This Row],[Res Adj ]],-2)</f>
        <v>288100</v>
      </c>
      <c r="BO26" s="25">
        <f>ROUND(Inventory[[#This Row],[25Det]]*Inventory[[#This Row],[Det/Nbhd Adj]],-2)</f>
        <v>0</v>
      </c>
      <c r="BP26" s="25">
        <f>Inventory[[#This Row],[Adjusted Res]]+Inventory[[#This Row],[Adj Det ]]</f>
        <v>288100</v>
      </c>
      <c r="BQ26" s="25">
        <f>ROUND((Inventory[[#This Row],[Mdl Land Intercept]]+Inventory[[#This Row],[Mdl LnAcres]])*Inventory[[#This Row],[Det/Nbhd Adj]],-2)</f>
        <v>-20100</v>
      </c>
      <c r="BR26" s="25">
        <f>Inventory[[#This Row],[Adjusted Impr Total]]+Inventory[[#This Row],[Adjusted Land Total]]</f>
        <v>268000</v>
      </c>
      <c r="BS26" s="36">
        <f>IFERROR((Inventory[[#This Row],[Adjusted Impr Total]]-Inventory[[#This Row],[24Bldg]])/Inventory[[#This Row],[24Bldg]],0)</f>
        <v>0.43119721808246397</v>
      </c>
      <c r="BT26" s="36">
        <f>(Inventory[[#This Row],[Adjusted Land Total]]-Inventory[[#This Row],[24Lnd]])/Inventory[[#This Row],[24Lnd]]</f>
        <v>-1.5661971830985915</v>
      </c>
      <c r="BU26" s="36">
        <f>(Inventory[[#This Row],[Adjusted Total]]-Inventory[[#This Row],[24Final]])/Inventory[[#This Row],[24Final]]</f>
        <v>0.13175675675675674</v>
      </c>
    </row>
    <row r="27" spans="1:73" x14ac:dyDescent="0.3">
      <c r="A27" s="25">
        <v>2025</v>
      </c>
      <c r="B27" s="26" t="s">
        <v>620</v>
      </c>
      <c r="C27" s="26">
        <f>LN(Inventory[[#This Row],[Acres]])</f>
        <v>-3.5065578973199818</v>
      </c>
      <c r="D27" s="25">
        <v>1.49</v>
      </c>
      <c r="E27" s="25">
        <v>64904</v>
      </c>
      <c r="F27" s="26" t="s">
        <v>543</v>
      </c>
      <c r="G27" s="26" t="s">
        <v>544</v>
      </c>
      <c r="H27" s="26" t="s">
        <v>349</v>
      </c>
      <c r="I27" s="26" t="s">
        <v>545</v>
      </c>
      <c r="J27" s="26" t="s">
        <v>621</v>
      </c>
      <c r="K27" s="26" t="s">
        <v>547</v>
      </c>
      <c r="L27" s="26" t="s">
        <v>302</v>
      </c>
      <c r="M27" s="26" t="s">
        <v>303</v>
      </c>
      <c r="N27" s="26">
        <v>60</v>
      </c>
      <c r="O27" s="26">
        <f>2024-Inventory[[#This Row],[YrBlt]]</f>
        <v>23</v>
      </c>
      <c r="P27" s="26">
        <f>2024-Inventory[[#This Row],[EffYr]]</f>
        <v>23</v>
      </c>
      <c r="Q27" s="25">
        <v>1958</v>
      </c>
      <c r="R27" s="25">
        <v>1974</v>
      </c>
      <c r="S27" s="25">
        <v>2615</v>
      </c>
      <c r="T27" s="27"/>
      <c r="U27" s="27"/>
      <c r="V27" s="27">
        <f>Inventory[[#This Row],[Bsmt]]-Inventory[[#This Row],[FnBsmt]]</f>
        <v>0</v>
      </c>
      <c r="W27" s="27"/>
      <c r="X27" s="27"/>
      <c r="Y27" s="27">
        <f>Inventory[[#This Row],[MainFn]]+Inventory[[#This Row],[UpprFn]]+Inventory[[#This Row],[FnBsmt]]+Inventory[[#This Row],[AddFn]]</f>
        <v>1391</v>
      </c>
      <c r="Z27" s="27">
        <v>3000</v>
      </c>
      <c r="AA27" s="25">
        <v>10</v>
      </c>
      <c r="AB27" s="32">
        <v>838</v>
      </c>
      <c r="AC27" s="27"/>
      <c r="AD27" s="27"/>
      <c r="AE27" s="27"/>
      <c r="AF27" s="27"/>
      <c r="AG27" s="32">
        <v>105</v>
      </c>
      <c r="AH27" s="27"/>
      <c r="AI27" s="25">
        <v>354353</v>
      </c>
      <c r="AJ27" s="25">
        <v>269308</v>
      </c>
      <c r="AK27" s="25">
        <v>14830</v>
      </c>
      <c r="AL27" s="25">
        <v>1259550</v>
      </c>
      <c r="AM27" s="25">
        <v>147650</v>
      </c>
      <c r="AN27" s="25">
        <v>1111900</v>
      </c>
      <c r="AO27" s="25">
        <v>0</v>
      </c>
      <c r="AP27" s="25">
        <f>Lookups!$B$56*0</f>
        <v>0</v>
      </c>
      <c r="AQ27" s="25">
        <f>Lookups!$B$56*1</f>
        <v>89850.625589999996</v>
      </c>
      <c r="AR27" s="25">
        <f>Lookups!$B$57*Inventory[[#This Row],[LnAcres]]</f>
        <v>-110998.74281323297</v>
      </c>
      <c r="AS27" s="25">
        <f>VLOOKUP(Inventory[[#This Row],[Qlty]],Lookups!$A$62:$E$75,2,FALSE)</f>
        <v>29814.093161000001</v>
      </c>
      <c r="AT27" s="25">
        <f>VLOOKUP(Inventory[[#This Row],[Cnd]],Lookups!$A$76:$E$84,2,FALSE)</f>
        <v>160472.20319</v>
      </c>
      <c r="AU27" s="25">
        <f>Inventory[[#This Row],[EffAge]]*Lookups!$B$85</f>
        <v>-5130.0488114999998</v>
      </c>
      <c r="AV27" s="25">
        <f>Inventory[[#This Row],[MainFn]]*Lookups!$B$86</f>
        <v>28706.437198537002</v>
      </c>
      <c r="AW27" s="25">
        <f>Inventory[[#This Row],[UpprFn]]*Lookups!$B$87</f>
        <v>36277.002517410001</v>
      </c>
      <c r="AX27" s="25">
        <f>Inventory[[#This Row],[AddFn]]*Lookups!$B$88</f>
        <v>0</v>
      </c>
      <c r="AY27" s="25">
        <f>Inventory[[#This Row],[Bsmt]]*Lookups!$B$89</f>
        <v>0</v>
      </c>
      <c r="AZ27" s="25">
        <f>Inventory[[#This Row],[Fixtures]]*Lookups!$B$90</f>
        <v>37920.221052000001</v>
      </c>
      <c r="BA27" s="25">
        <f>Inventory[[#This Row],[WdDeck]]*Lookups!$B$91</f>
        <v>0</v>
      </c>
      <c r="BB27" s="25">
        <f>ROUND(Inventory[[#This Row],[25Det]],-2)</f>
        <v>0</v>
      </c>
      <c r="BC27" s="25">
        <f>ROUND(SUM(Inventory[[#This Row],[Mdl Qlty]:[Mdl WdDeck]])+Inventory[[#This Row],[Mdl Res Intercept]],-2)</f>
        <v>288100</v>
      </c>
      <c r="BD27" s="25">
        <f>ROUND(Inventory[[#This Row],[Mdl Land Intercept]]+Inventory[[#This Row],[Mdl LnAcres]],-2)</f>
        <v>-21100</v>
      </c>
      <c r="BE27" s="25">
        <f>Inventory[[#This Row],[Unadj Res Value]]+Inventory[[#This Row],[Unadj Det Value]]+Inventory[[#This Row],[Unadj Land Value]]</f>
        <v>267000</v>
      </c>
      <c r="BF27" s="36">
        <f>(Inventory[[#This Row],[Unadj Total Value]]-Inventory[[#This Row],[24Final]])/Inventory[[#This Row],[24Final]]</f>
        <v>-3.1204644412191583E-2</v>
      </c>
      <c r="BG27" s="25">
        <f>VLOOKUP(Inventory[[#This Row],[Nbhd]],Lookups!$Q$2:$T$4,4,FALSE)</f>
        <v>0.99970000000000003</v>
      </c>
      <c r="BH27" s="25">
        <f>VLOOKUP(Inventory[[#This Row],[Qlty]],Lookups!$O$7:$R$21,4,FALSE)</f>
        <v>1.0088999999999999</v>
      </c>
      <c r="BI27" s="29">
        <f>VLOOKUP(Inventory[[#This Row],[Cnd]],Lookups!$T$7:$W$16,4,FALSE)</f>
        <v>0.99729999999999996</v>
      </c>
      <c r="BJ27" s="25">
        <f>VLOOKUP(Inventory[[#This Row],[LivArea Range]],Lookups!$T$25:$W$37,4,FALSE)</f>
        <v>1.0157</v>
      </c>
      <c r="BK27" s="25">
        <f>VLOOKUP(Inventory[[#This Row],[Decade]],Lookups!$O$25:$R$42,4,FALSE)</f>
        <v>0.97319999999999995</v>
      </c>
      <c r="BL27" s="25">
        <f>Inventory[[#This Row],[Nbhd Adj]]*0.95</f>
        <v>0.94971499999999998</v>
      </c>
      <c r="BM27" s="25">
        <f>Inventory[[#This Row],[Nbhd Adj]]*Inventory[[#This Row],[Quality Adj]]*Inventory[[#This Row],[Condition Adj]]*Inventory[[#This Row],[Living Area Adj]]*Inventory[[#This Row],[Decade Adj]]*0.95</f>
        <v>0.944571398768702</v>
      </c>
      <c r="BN27" s="25">
        <f>ROUND(SUM(Inventory[[#This Row],[Mdl Qlty]:[Mdl WdDeck]])+Inventory[[#This Row],[Mdl Res Intercept]]*Inventory[[#This Row],[Res Adj ]],-2)</f>
        <v>288100</v>
      </c>
      <c r="BO27" s="25">
        <f>ROUND(Inventory[[#This Row],[25Det]]*Inventory[[#This Row],[Det/Nbhd Adj]],-2)</f>
        <v>0</v>
      </c>
      <c r="BP27" s="25">
        <f>Inventory[[#This Row],[Adjusted Res]]+Inventory[[#This Row],[Adj Det ]]</f>
        <v>288100</v>
      </c>
      <c r="BQ27" s="25">
        <f>ROUND((Inventory[[#This Row],[Mdl Land Intercept]]+Inventory[[#This Row],[Mdl LnAcres]])*Inventory[[#This Row],[Det/Nbhd Adj]],-2)</f>
        <v>-20100</v>
      </c>
      <c r="BR27" s="25">
        <f>Inventory[[#This Row],[Adjusted Impr Total]]+Inventory[[#This Row],[Adjusted Land Total]]</f>
        <v>268000</v>
      </c>
      <c r="BS27" s="36">
        <f>IFERROR((Inventory[[#This Row],[Adjusted Impr Total]]-Inventory[[#This Row],[24Bldg]])/Inventory[[#This Row],[24Bldg]],0)</f>
        <v>0.22962014511310286</v>
      </c>
      <c r="BT27" s="36">
        <f>(Inventory[[#This Row],[Adjusted Land Total]]-Inventory[[#This Row],[24Lnd]])/Inventory[[#This Row],[24Lnd]]</f>
        <v>-1.486682808716707</v>
      </c>
      <c r="BU27" s="36">
        <f>(Inventory[[#This Row],[Adjusted Total]]-Inventory[[#This Row],[24Final]])/Inventory[[#This Row],[24Final]]</f>
        <v>-2.7576197387518143E-2</v>
      </c>
    </row>
    <row r="28" spans="1:73" x14ac:dyDescent="0.3">
      <c r="A28" s="25">
        <v>2025</v>
      </c>
      <c r="B28" s="26" t="s">
        <v>620</v>
      </c>
      <c r="C28" s="26">
        <f>LN(Inventory[[#This Row],[Acres]])</f>
        <v>-3.5065578973199818</v>
      </c>
      <c r="D28" s="25">
        <v>1.49</v>
      </c>
      <c r="E28" s="25">
        <v>64904</v>
      </c>
      <c r="F28" s="26" t="s">
        <v>543</v>
      </c>
      <c r="G28" s="26" t="s">
        <v>544</v>
      </c>
      <c r="H28" s="26" t="s">
        <v>349</v>
      </c>
      <c r="I28" s="26" t="s">
        <v>545</v>
      </c>
      <c r="J28" s="26" t="s">
        <v>621</v>
      </c>
      <c r="K28" s="26" t="s">
        <v>547</v>
      </c>
      <c r="L28" s="26" t="s">
        <v>302</v>
      </c>
      <c r="M28" s="26" t="s">
        <v>303</v>
      </c>
      <c r="N28" s="26">
        <v>60</v>
      </c>
      <c r="O28" s="26">
        <f>2024-Inventory[[#This Row],[YrBlt]]</f>
        <v>23</v>
      </c>
      <c r="P28" s="26">
        <f>2024-Inventory[[#This Row],[EffYr]]</f>
        <v>23</v>
      </c>
      <c r="Q28" s="25">
        <v>1958</v>
      </c>
      <c r="R28" s="25">
        <v>1974</v>
      </c>
      <c r="S28" s="25">
        <v>2722</v>
      </c>
      <c r="T28" s="27"/>
      <c r="U28" s="27"/>
      <c r="V28" s="27">
        <f>Inventory[[#This Row],[Bsmt]]-Inventory[[#This Row],[FnBsmt]]</f>
        <v>0</v>
      </c>
      <c r="W28" s="27"/>
      <c r="X28" s="27"/>
      <c r="Y28" s="27">
        <f>Inventory[[#This Row],[MainFn]]+Inventory[[#This Row],[UpprFn]]+Inventory[[#This Row],[FnBsmt]]+Inventory[[#This Row],[AddFn]]</f>
        <v>1391</v>
      </c>
      <c r="Z28" s="27">
        <v>3000</v>
      </c>
      <c r="AA28" s="25">
        <v>10</v>
      </c>
      <c r="AB28" s="32">
        <v>1035</v>
      </c>
      <c r="AC28" s="27"/>
      <c r="AD28" s="27"/>
      <c r="AE28" s="27"/>
      <c r="AF28" s="27"/>
      <c r="AG28" s="32">
        <v>105</v>
      </c>
      <c r="AH28" s="27"/>
      <c r="AI28" s="25">
        <v>376843</v>
      </c>
      <c r="AJ28" s="25">
        <v>286401</v>
      </c>
      <c r="AK28" s="25">
        <v>14830</v>
      </c>
      <c r="AL28" s="25">
        <v>1259550</v>
      </c>
      <c r="AM28" s="25">
        <v>147650</v>
      </c>
      <c r="AN28" s="25">
        <v>1111900</v>
      </c>
      <c r="AO28" s="25">
        <v>0</v>
      </c>
      <c r="AP28" s="25">
        <f>Lookups!$B$56*0</f>
        <v>0</v>
      </c>
      <c r="AQ28" s="25">
        <f>Lookups!$B$56*1</f>
        <v>89850.625589999996</v>
      </c>
      <c r="AR28" s="25">
        <f>Lookups!$B$57*Inventory[[#This Row],[LnAcres]]</f>
        <v>-110998.74281323297</v>
      </c>
      <c r="AS28" s="25">
        <f>VLOOKUP(Inventory[[#This Row],[Qlty]],Lookups!$A$62:$E$75,2,FALSE)</f>
        <v>29814.093161000001</v>
      </c>
      <c r="AT28" s="25">
        <f>VLOOKUP(Inventory[[#This Row],[Cnd]],Lookups!$A$76:$E$84,2,FALSE)</f>
        <v>160472.20319</v>
      </c>
      <c r="AU28" s="25">
        <f>Inventory[[#This Row],[EffAge]]*Lookups!$B$85</f>
        <v>-5130.0488114999998</v>
      </c>
      <c r="AV28" s="25">
        <f>Inventory[[#This Row],[MainFn]]*Lookups!$B$86</f>
        <v>28706.437198537002</v>
      </c>
      <c r="AW28" s="25">
        <f>Inventory[[#This Row],[UpprFn]]*Lookups!$B$87</f>
        <v>36277.002517410001</v>
      </c>
      <c r="AX28" s="25">
        <f>Inventory[[#This Row],[AddFn]]*Lookups!$B$88</f>
        <v>0</v>
      </c>
      <c r="AY28" s="25">
        <f>Inventory[[#This Row],[Bsmt]]*Lookups!$B$89</f>
        <v>0</v>
      </c>
      <c r="AZ28" s="25">
        <f>Inventory[[#This Row],[Fixtures]]*Lookups!$B$90</f>
        <v>37920.221052000001</v>
      </c>
      <c r="BA28" s="25">
        <f>Inventory[[#This Row],[WdDeck]]*Lookups!$B$91</f>
        <v>0</v>
      </c>
      <c r="BB28" s="25">
        <f>ROUND(Inventory[[#This Row],[25Det]],-2)</f>
        <v>0</v>
      </c>
      <c r="BC28" s="25">
        <f>ROUND(SUM(Inventory[[#This Row],[Mdl Qlty]:[Mdl WdDeck]])+Inventory[[#This Row],[Mdl Res Intercept]],-2)</f>
        <v>288100</v>
      </c>
      <c r="BD28" s="25">
        <f>ROUND(Inventory[[#This Row],[Mdl Land Intercept]]+Inventory[[#This Row],[Mdl LnAcres]],-2)</f>
        <v>-21100</v>
      </c>
      <c r="BE28" s="25">
        <f>Inventory[[#This Row],[Unadj Res Value]]+Inventory[[#This Row],[Unadj Det Value]]+Inventory[[#This Row],[Unadj Land Value]]</f>
        <v>267000</v>
      </c>
      <c r="BF28" s="36">
        <f>(Inventory[[#This Row],[Unadj Total Value]]-Inventory[[#This Row],[24Final]])/Inventory[[#This Row],[24Final]]</f>
        <v>-3.1204644412191583E-2</v>
      </c>
      <c r="BG28" s="25">
        <f>VLOOKUP(Inventory[[#This Row],[Nbhd]],Lookups!$Q$2:$T$4,4,FALSE)</f>
        <v>0.99970000000000003</v>
      </c>
      <c r="BH28" s="25">
        <f>VLOOKUP(Inventory[[#This Row],[Qlty]],Lookups!$O$7:$R$21,4,FALSE)</f>
        <v>1.0088999999999999</v>
      </c>
      <c r="BI28" s="29">
        <f>VLOOKUP(Inventory[[#This Row],[Cnd]],Lookups!$T$7:$W$16,4,FALSE)</f>
        <v>0.99729999999999996</v>
      </c>
      <c r="BJ28" s="25">
        <f>VLOOKUP(Inventory[[#This Row],[LivArea Range]],Lookups!$T$25:$W$37,4,FALSE)</f>
        <v>1.0157</v>
      </c>
      <c r="BK28" s="25">
        <f>VLOOKUP(Inventory[[#This Row],[Decade]],Lookups!$O$25:$R$42,4,FALSE)</f>
        <v>0.97319999999999995</v>
      </c>
      <c r="BL28" s="25">
        <f>Inventory[[#This Row],[Nbhd Adj]]*0.95</f>
        <v>0.94971499999999998</v>
      </c>
      <c r="BM28" s="25">
        <f>Inventory[[#This Row],[Nbhd Adj]]*Inventory[[#This Row],[Quality Adj]]*Inventory[[#This Row],[Condition Adj]]*Inventory[[#This Row],[Living Area Adj]]*Inventory[[#This Row],[Decade Adj]]*0.95</f>
        <v>0.944571398768702</v>
      </c>
      <c r="BN28" s="25">
        <f>ROUND(SUM(Inventory[[#This Row],[Mdl Qlty]:[Mdl WdDeck]])+Inventory[[#This Row],[Mdl Res Intercept]]*Inventory[[#This Row],[Res Adj ]],-2)</f>
        <v>288100</v>
      </c>
      <c r="BO28" s="25">
        <f>ROUND(Inventory[[#This Row],[25Det]]*Inventory[[#This Row],[Det/Nbhd Adj]],-2)</f>
        <v>0</v>
      </c>
      <c r="BP28" s="25">
        <f>Inventory[[#This Row],[Adjusted Res]]+Inventory[[#This Row],[Adj Det ]]</f>
        <v>288100</v>
      </c>
      <c r="BQ28" s="25">
        <f>ROUND((Inventory[[#This Row],[Mdl Land Intercept]]+Inventory[[#This Row],[Mdl LnAcres]])*Inventory[[#This Row],[Det/Nbhd Adj]],-2)</f>
        <v>-20100</v>
      </c>
      <c r="BR28" s="25">
        <f>Inventory[[#This Row],[Adjusted Impr Total]]+Inventory[[#This Row],[Adjusted Land Total]]</f>
        <v>268000</v>
      </c>
      <c r="BS28" s="36">
        <f>IFERROR((Inventory[[#This Row],[Adjusted Impr Total]]-Inventory[[#This Row],[24Bldg]])/Inventory[[#This Row],[24Bldg]],0)</f>
        <v>0.22962014511310286</v>
      </c>
      <c r="BT28" s="36">
        <f>(Inventory[[#This Row],[Adjusted Land Total]]-Inventory[[#This Row],[24Lnd]])/Inventory[[#This Row],[24Lnd]]</f>
        <v>-1.486682808716707</v>
      </c>
      <c r="BU28" s="36">
        <f>(Inventory[[#This Row],[Adjusted Total]]-Inventory[[#This Row],[24Final]])/Inventory[[#This Row],[24Final]]</f>
        <v>-2.7576197387518143E-2</v>
      </c>
    </row>
    <row r="29" spans="1:73" x14ac:dyDescent="0.3">
      <c r="A29" s="25">
        <v>2025</v>
      </c>
      <c r="B29" s="26" t="s">
        <v>938</v>
      </c>
      <c r="C29" s="26">
        <f>LN(Inventory[[#This Row],[Acres]])</f>
        <v>-3.5065578973199818</v>
      </c>
      <c r="D29" s="25">
        <v>2</v>
      </c>
      <c r="E29" s="25">
        <v>87120</v>
      </c>
      <c r="F29" s="26" t="s">
        <v>543</v>
      </c>
      <c r="G29" s="26" t="s">
        <v>544</v>
      </c>
      <c r="H29" s="26" t="s">
        <v>349</v>
      </c>
      <c r="I29" s="26" t="s">
        <v>545</v>
      </c>
      <c r="J29" s="26" t="s">
        <v>621</v>
      </c>
      <c r="K29" s="26" t="s">
        <v>547</v>
      </c>
      <c r="L29" s="26" t="s">
        <v>302</v>
      </c>
      <c r="M29" s="26" t="s">
        <v>303</v>
      </c>
      <c r="N29" s="26">
        <v>60</v>
      </c>
      <c r="O29" s="26">
        <f>2024-Inventory[[#This Row],[YrBlt]]</f>
        <v>23</v>
      </c>
      <c r="P29" s="26">
        <f>2024-Inventory[[#This Row],[EffYr]]</f>
        <v>23</v>
      </c>
      <c r="Q29" s="25">
        <v>1960</v>
      </c>
      <c r="R29" s="25">
        <v>1975</v>
      </c>
      <c r="S29" s="25">
        <v>2811</v>
      </c>
      <c r="T29" s="27"/>
      <c r="U29" s="27"/>
      <c r="V29" s="27">
        <f>Inventory[[#This Row],[Bsmt]]-Inventory[[#This Row],[FnBsmt]]</f>
        <v>0</v>
      </c>
      <c r="W29" s="27"/>
      <c r="X29" s="27"/>
      <c r="Y29" s="27">
        <f>Inventory[[#This Row],[MainFn]]+Inventory[[#This Row],[UpprFn]]+Inventory[[#This Row],[FnBsmt]]+Inventory[[#This Row],[AddFn]]</f>
        <v>1391</v>
      </c>
      <c r="Z29" s="27">
        <v>3000</v>
      </c>
      <c r="AA29" s="25">
        <v>14</v>
      </c>
      <c r="AB29" s="32">
        <v>747</v>
      </c>
      <c r="AC29" s="27"/>
      <c r="AD29" s="27"/>
      <c r="AE29" s="27"/>
      <c r="AF29" s="27"/>
      <c r="AG29" s="32">
        <v>105</v>
      </c>
      <c r="AH29" s="27"/>
      <c r="AI29" s="25">
        <v>408537</v>
      </c>
      <c r="AJ29" s="25">
        <v>310488</v>
      </c>
      <c r="AK29" s="25">
        <v>12956</v>
      </c>
      <c r="AL29" s="25">
        <v>1808700</v>
      </c>
      <c r="AM29" s="25">
        <v>159500</v>
      </c>
      <c r="AN29" s="25">
        <v>1649200</v>
      </c>
      <c r="AO29" s="25">
        <v>0</v>
      </c>
      <c r="AP29" s="25">
        <f>Lookups!$B$56*0</f>
        <v>0</v>
      </c>
      <c r="AQ29" s="25">
        <f>Lookups!$B$56*1</f>
        <v>89850.625589999996</v>
      </c>
      <c r="AR29" s="25">
        <f>Lookups!$B$57*Inventory[[#This Row],[LnAcres]]</f>
        <v>-110998.74281323297</v>
      </c>
      <c r="AS29" s="25">
        <f>VLOOKUP(Inventory[[#This Row],[Qlty]],Lookups!$A$62:$E$75,2,FALSE)</f>
        <v>29814.093161000001</v>
      </c>
      <c r="AT29" s="25">
        <f>VLOOKUP(Inventory[[#This Row],[Cnd]],Lookups!$A$76:$E$84,2,FALSE)</f>
        <v>160472.20319</v>
      </c>
      <c r="AU29" s="25">
        <f>Inventory[[#This Row],[EffAge]]*Lookups!$B$85</f>
        <v>-5130.0488114999998</v>
      </c>
      <c r="AV29" s="25">
        <f>Inventory[[#This Row],[MainFn]]*Lookups!$B$86</f>
        <v>28706.437198537002</v>
      </c>
      <c r="AW29" s="25">
        <f>Inventory[[#This Row],[UpprFn]]*Lookups!$B$87</f>
        <v>36277.002517410001</v>
      </c>
      <c r="AX29" s="25">
        <f>Inventory[[#This Row],[AddFn]]*Lookups!$B$88</f>
        <v>0</v>
      </c>
      <c r="AY29" s="25">
        <f>Inventory[[#This Row],[Bsmt]]*Lookups!$B$89</f>
        <v>0</v>
      </c>
      <c r="AZ29" s="25">
        <f>Inventory[[#This Row],[Fixtures]]*Lookups!$B$90</f>
        <v>37920.221052000001</v>
      </c>
      <c r="BA29" s="25">
        <f>Inventory[[#This Row],[WdDeck]]*Lookups!$B$91</f>
        <v>0</v>
      </c>
      <c r="BB29" s="25">
        <f>ROUND(Inventory[[#This Row],[25Det]],-2)</f>
        <v>0</v>
      </c>
      <c r="BC29" s="25">
        <f>ROUND(SUM(Inventory[[#This Row],[Mdl Qlty]:[Mdl WdDeck]])+Inventory[[#This Row],[Mdl Res Intercept]],-2)</f>
        <v>288100</v>
      </c>
      <c r="BD29" s="25">
        <f>ROUND(Inventory[[#This Row],[Mdl Land Intercept]]+Inventory[[#This Row],[Mdl LnAcres]],-2)</f>
        <v>-21100</v>
      </c>
      <c r="BE29" s="25">
        <f>Inventory[[#This Row],[Unadj Res Value]]+Inventory[[#This Row],[Unadj Det Value]]+Inventory[[#This Row],[Unadj Land Value]]</f>
        <v>267000</v>
      </c>
      <c r="BF29" s="36">
        <f>(Inventory[[#This Row],[Unadj Total Value]]-Inventory[[#This Row],[24Final]])/Inventory[[#This Row],[24Final]]</f>
        <v>-3.1204644412191583E-2</v>
      </c>
      <c r="BG29" s="25">
        <f>VLOOKUP(Inventory[[#This Row],[Nbhd]],Lookups!$Q$2:$T$4,4,FALSE)</f>
        <v>0.99970000000000003</v>
      </c>
      <c r="BH29" s="25">
        <f>VLOOKUP(Inventory[[#This Row],[Qlty]],Lookups!$O$7:$R$21,4,FALSE)</f>
        <v>1.0088999999999999</v>
      </c>
      <c r="BI29" s="29">
        <f>VLOOKUP(Inventory[[#This Row],[Cnd]],Lookups!$T$7:$W$16,4,FALSE)</f>
        <v>0.99729999999999996</v>
      </c>
      <c r="BJ29" s="25">
        <f>VLOOKUP(Inventory[[#This Row],[LivArea Range]],Lookups!$T$25:$W$37,4,FALSE)</f>
        <v>1.0157</v>
      </c>
      <c r="BK29" s="25">
        <f>VLOOKUP(Inventory[[#This Row],[Decade]],Lookups!$O$25:$R$42,4,FALSE)</f>
        <v>0.97319999999999995</v>
      </c>
      <c r="BL29" s="25">
        <f>Inventory[[#This Row],[Nbhd Adj]]*0.95</f>
        <v>0.94971499999999998</v>
      </c>
      <c r="BM29" s="25">
        <f>Inventory[[#This Row],[Nbhd Adj]]*Inventory[[#This Row],[Quality Adj]]*Inventory[[#This Row],[Condition Adj]]*Inventory[[#This Row],[Living Area Adj]]*Inventory[[#This Row],[Decade Adj]]*0.95</f>
        <v>0.944571398768702</v>
      </c>
      <c r="BN29" s="25">
        <f>ROUND(SUM(Inventory[[#This Row],[Mdl Qlty]:[Mdl WdDeck]])+Inventory[[#This Row],[Mdl Res Intercept]]*Inventory[[#This Row],[Res Adj ]],-2)</f>
        <v>288100</v>
      </c>
      <c r="BO29" s="25">
        <f>ROUND(Inventory[[#This Row],[25Det]]*Inventory[[#This Row],[Det/Nbhd Adj]],-2)</f>
        <v>0</v>
      </c>
      <c r="BP29" s="25">
        <f>Inventory[[#This Row],[Adjusted Res]]+Inventory[[#This Row],[Adj Det ]]</f>
        <v>288100</v>
      </c>
      <c r="BQ29" s="25">
        <f>ROUND((Inventory[[#This Row],[Mdl Land Intercept]]+Inventory[[#This Row],[Mdl LnAcres]])*Inventory[[#This Row],[Det/Nbhd Adj]],-2)</f>
        <v>-20100</v>
      </c>
      <c r="BR29" s="25">
        <f>Inventory[[#This Row],[Adjusted Impr Total]]+Inventory[[#This Row],[Adjusted Land Total]]</f>
        <v>268000</v>
      </c>
      <c r="BS29" s="36">
        <f>IFERROR((Inventory[[#This Row],[Adjusted Impr Total]]-Inventory[[#This Row],[24Bldg]])/Inventory[[#This Row],[24Bldg]],0)</f>
        <v>0.22962014511310286</v>
      </c>
      <c r="BT29" s="36">
        <f>(Inventory[[#This Row],[Adjusted Land Total]]-Inventory[[#This Row],[24Lnd]])/Inventory[[#This Row],[24Lnd]]</f>
        <v>-1.486682808716707</v>
      </c>
      <c r="BU29" s="36">
        <f>(Inventory[[#This Row],[Adjusted Total]]-Inventory[[#This Row],[24Final]])/Inventory[[#This Row],[24Final]]</f>
        <v>-2.7576197387518143E-2</v>
      </c>
    </row>
    <row r="30" spans="1:73" x14ac:dyDescent="0.3">
      <c r="A30" s="25">
        <v>2025</v>
      </c>
      <c r="B30" s="26" t="s">
        <v>622</v>
      </c>
      <c r="C30" s="26">
        <f>LN(Inventory[[#This Row],[Acres]])</f>
        <v>-3.5065578973199818</v>
      </c>
      <c r="D30" s="25">
        <v>1.49</v>
      </c>
      <c r="E30" s="25">
        <v>64904</v>
      </c>
      <c r="F30" s="26" t="s">
        <v>543</v>
      </c>
      <c r="G30" s="26" t="s">
        <v>544</v>
      </c>
      <c r="H30" s="26" t="s">
        <v>349</v>
      </c>
      <c r="I30" s="26" t="s">
        <v>545</v>
      </c>
      <c r="J30" s="26" t="s">
        <v>621</v>
      </c>
      <c r="K30" s="26" t="s">
        <v>547</v>
      </c>
      <c r="L30" s="26" t="s">
        <v>302</v>
      </c>
      <c r="M30" s="26" t="s">
        <v>303</v>
      </c>
      <c r="N30" s="26">
        <v>60</v>
      </c>
      <c r="O30" s="26">
        <f>2024-Inventory[[#This Row],[YrBlt]]</f>
        <v>23</v>
      </c>
      <c r="P30" s="26">
        <f>2024-Inventory[[#This Row],[EffYr]]</f>
        <v>23</v>
      </c>
      <c r="Q30" s="25">
        <v>1958</v>
      </c>
      <c r="R30" s="25">
        <v>1974</v>
      </c>
      <c r="S30" s="25">
        <v>2813</v>
      </c>
      <c r="T30" s="27"/>
      <c r="U30" s="27"/>
      <c r="V30" s="27">
        <f>Inventory[[#This Row],[Bsmt]]-Inventory[[#This Row],[FnBsmt]]</f>
        <v>0</v>
      </c>
      <c r="W30" s="27"/>
      <c r="X30" s="27"/>
      <c r="Y30" s="27">
        <f>Inventory[[#This Row],[MainFn]]+Inventory[[#This Row],[UpprFn]]+Inventory[[#This Row],[FnBsmt]]+Inventory[[#This Row],[AddFn]]</f>
        <v>1391</v>
      </c>
      <c r="Z30" s="27">
        <v>3000</v>
      </c>
      <c r="AA30" s="25">
        <v>14</v>
      </c>
      <c r="AB30" s="32">
        <v>1073</v>
      </c>
      <c r="AC30" s="27"/>
      <c r="AD30" s="27"/>
      <c r="AE30" s="27"/>
      <c r="AF30" s="27"/>
      <c r="AG30" s="32">
        <v>105</v>
      </c>
      <c r="AH30" s="27"/>
      <c r="AI30" s="25">
        <v>430661</v>
      </c>
      <c r="AJ30" s="25">
        <v>353142</v>
      </c>
      <c r="AK30" s="25">
        <v>6580</v>
      </c>
      <c r="AL30" s="25">
        <v>1195150</v>
      </c>
      <c r="AM30" s="25">
        <v>147650</v>
      </c>
      <c r="AN30" s="25">
        <v>1047500</v>
      </c>
      <c r="AO30" s="25">
        <v>0</v>
      </c>
      <c r="AP30" s="25">
        <f>Lookups!$B$56*0</f>
        <v>0</v>
      </c>
      <c r="AQ30" s="25">
        <f>Lookups!$B$56*1</f>
        <v>89850.625589999996</v>
      </c>
      <c r="AR30" s="25">
        <f>Lookups!$B$57*Inventory[[#This Row],[LnAcres]]</f>
        <v>-110998.74281323297</v>
      </c>
      <c r="AS30" s="25">
        <f>VLOOKUP(Inventory[[#This Row],[Qlty]],Lookups!$A$62:$E$75,2,FALSE)</f>
        <v>29814.093161000001</v>
      </c>
      <c r="AT30" s="25">
        <f>VLOOKUP(Inventory[[#This Row],[Cnd]],Lookups!$A$76:$E$84,2,FALSE)</f>
        <v>160472.20319</v>
      </c>
      <c r="AU30" s="25">
        <f>Inventory[[#This Row],[EffAge]]*Lookups!$B$85</f>
        <v>-5130.0488114999998</v>
      </c>
      <c r="AV30" s="25">
        <f>Inventory[[#This Row],[MainFn]]*Lookups!$B$86</f>
        <v>28706.437198537002</v>
      </c>
      <c r="AW30" s="25">
        <f>Inventory[[#This Row],[UpprFn]]*Lookups!$B$87</f>
        <v>36277.002517410001</v>
      </c>
      <c r="AX30" s="25">
        <f>Inventory[[#This Row],[AddFn]]*Lookups!$B$88</f>
        <v>0</v>
      </c>
      <c r="AY30" s="25">
        <f>Inventory[[#This Row],[Bsmt]]*Lookups!$B$89</f>
        <v>0</v>
      </c>
      <c r="AZ30" s="25">
        <f>Inventory[[#This Row],[Fixtures]]*Lookups!$B$90</f>
        <v>37920.221052000001</v>
      </c>
      <c r="BA30" s="25">
        <f>Inventory[[#This Row],[WdDeck]]*Lookups!$B$91</f>
        <v>0</v>
      </c>
      <c r="BB30" s="25">
        <f>ROUND(Inventory[[#This Row],[25Det]],-2)</f>
        <v>0</v>
      </c>
      <c r="BC30" s="25">
        <f>ROUND(SUM(Inventory[[#This Row],[Mdl Qlty]:[Mdl WdDeck]])+Inventory[[#This Row],[Mdl Res Intercept]],-2)</f>
        <v>288100</v>
      </c>
      <c r="BD30" s="25">
        <f>ROUND(Inventory[[#This Row],[Mdl Land Intercept]]+Inventory[[#This Row],[Mdl LnAcres]],-2)</f>
        <v>-21100</v>
      </c>
      <c r="BE30" s="25">
        <f>Inventory[[#This Row],[Unadj Res Value]]+Inventory[[#This Row],[Unadj Det Value]]+Inventory[[#This Row],[Unadj Land Value]]</f>
        <v>267000</v>
      </c>
      <c r="BF30" s="36">
        <f>(Inventory[[#This Row],[Unadj Total Value]]-Inventory[[#This Row],[24Final]])/Inventory[[#This Row],[24Final]]</f>
        <v>-3.1204644412191583E-2</v>
      </c>
      <c r="BG30" s="25">
        <f>VLOOKUP(Inventory[[#This Row],[Nbhd]],Lookups!$Q$2:$T$4,4,FALSE)</f>
        <v>0.99970000000000003</v>
      </c>
      <c r="BH30" s="25">
        <f>VLOOKUP(Inventory[[#This Row],[Qlty]],Lookups!$O$7:$R$21,4,FALSE)</f>
        <v>1.0088999999999999</v>
      </c>
      <c r="BI30" s="29">
        <f>VLOOKUP(Inventory[[#This Row],[Cnd]],Lookups!$T$7:$W$16,4,FALSE)</f>
        <v>0.99729999999999996</v>
      </c>
      <c r="BJ30" s="25">
        <f>VLOOKUP(Inventory[[#This Row],[LivArea Range]],Lookups!$T$25:$W$37,4,FALSE)</f>
        <v>1.0157</v>
      </c>
      <c r="BK30" s="25">
        <f>VLOOKUP(Inventory[[#This Row],[Decade]],Lookups!$O$25:$R$42,4,FALSE)</f>
        <v>0.97319999999999995</v>
      </c>
      <c r="BL30" s="25">
        <f>Inventory[[#This Row],[Nbhd Adj]]*0.95</f>
        <v>0.94971499999999998</v>
      </c>
      <c r="BM30" s="25">
        <f>Inventory[[#This Row],[Nbhd Adj]]*Inventory[[#This Row],[Quality Adj]]*Inventory[[#This Row],[Condition Adj]]*Inventory[[#This Row],[Living Area Adj]]*Inventory[[#This Row],[Decade Adj]]*0.95</f>
        <v>0.944571398768702</v>
      </c>
      <c r="BN30" s="25">
        <f>ROUND(SUM(Inventory[[#This Row],[Mdl Qlty]:[Mdl WdDeck]])+Inventory[[#This Row],[Mdl Res Intercept]]*Inventory[[#This Row],[Res Adj ]],-2)</f>
        <v>288100</v>
      </c>
      <c r="BO30" s="25">
        <f>ROUND(Inventory[[#This Row],[25Det]]*Inventory[[#This Row],[Det/Nbhd Adj]],-2)</f>
        <v>0</v>
      </c>
      <c r="BP30" s="25">
        <f>Inventory[[#This Row],[Adjusted Res]]+Inventory[[#This Row],[Adj Det ]]</f>
        <v>288100</v>
      </c>
      <c r="BQ30" s="25">
        <f>ROUND((Inventory[[#This Row],[Mdl Land Intercept]]+Inventory[[#This Row],[Mdl LnAcres]])*Inventory[[#This Row],[Det/Nbhd Adj]],-2)</f>
        <v>-20100</v>
      </c>
      <c r="BR30" s="25">
        <f>Inventory[[#This Row],[Adjusted Impr Total]]+Inventory[[#This Row],[Adjusted Land Total]]</f>
        <v>268000</v>
      </c>
      <c r="BS30" s="36">
        <f>IFERROR((Inventory[[#This Row],[Adjusted Impr Total]]-Inventory[[#This Row],[24Bldg]])/Inventory[[#This Row],[24Bldg]],0)</f>
        <v>0.22962014511310286</v>
      </c>
      <c r="BT30" s="36">
        <f>(Inventory[[#This Row],[Adjusted Land Total]]-Inventory[[#This Row],[24Lnd]])/Inventory[[#This Row],[24Lnd]]</f>
        <v>-1.486682808716707</v>
      </c>
      <c r="BU30" s="36">
        <f>(Inventory[[#This Row],[Adjusted Total]]-Inventory[[#This Row],[24Final]])/Inventory[[#This Row],[24Final]]</f>
        <v>-2.7576197387518143E-2</v>
      </c>
    </row>
    <row r="31" spans="1:73" x14ac:dyDescent="0.3">
      <c r="A31" s="25">
        <v>2025</v>
      </c>
      <c r="B31" s="26" t="s">
        <v>622</v>
      </c>
      <c r="C31" s="26">
        <f>LN(Inventory[[#This Row],[Acres]])</f>
        <v>-3.5065578973199818</v>
      </c>
      <c r="D31" s="25">
        <v>1.49</v>
      </c>
      <c r="E31" s="25">
        <v>64904</v>
      </c>
      <c r="F31" s="26" t="s">
        <v>543</v>
      </c>
      <c r="G31" s="26" t="s">
        <v>544</v>
      </c>
      <c r="H31" s="26" t="s">
        <v>349</v>
      </c>
      <c r="I31" s="26" t="s">
        <v>545</v>
      </c>
      <c r="J31" s="26" t="s">
        <v>621</v>
      </c>
      <c r="K31" s="26" t="s">
        <v>547</v>
      </c>
      <c r="L31" s="26" t="s">
        <v>302</v>
      </c>
      <c r="M31" s="26" t="s">
        <v>303</v>
      </c>
      <c r="N31" s="26">
        <v>60</v>
      </c>
      <c r="O31" s="26">
        <f>2024-Inventory[[#This Row],[YrBlt]]</f>
        <v>23</v>
      </c>
      <c r="P31" s="26">
        <f>2024-Inventory[[#This Row],[EffYr]]</f>
        <v>23</v>
      </c>
      <c r="Q31" s="25">
        <v>1958</v>
      </c>
      <c r="R31" s="25">
        <v>1974</v>
      </c>
      <c r="S31" s="25">
        <v>2976</v>
      </c>
      <c r="T31" s="27"/>
      <c r="U31" s="27"/>
      <c r="V31" s="27">
        <f>Inventory[[#This Row],[Bsmt]]-Inventory[[#This Row],[FnBsmt]]</f>
        <v>0</v>
      </c>
      <c r="W31" s="27"/>
      <c r="X31" s="27"/>
      <c r="Y31" s="27">
        <f>Inventory[[#This Row],[MainFn]]+Inventory[[#This Row],[UpprFn]]+Inventory[[#This Row],[FnBsmt]]+Inventory[[#This Row],[AddFn]]</f>
        <v>1391</v>
      </c>
      <c r="Z31" s="27">
        <v>3000</v>
      </c>
      <c r="AA31" s="25">
        <v>14</v>
      </c>
      <c r="AB31" s="32">
        <v>1412</v>
      </c>
      <c r="AC31" s="27"/>
      <c r="AD31" s="27"/>
      <c r="AE31" s="27"/>
      <c r="AF31" s="27"/>
      <c r="AG31" s="32">
        <v>105</v>
      </c>
      <c r="AH31" s="27"/>
      <c r="AI31" s="25">
        <v>455796</v>
      </c>
      <c r="AJ31" s="25">
        <v>373753</v>
      </c>
      <c r="AK31" s="25">
        <v>6580</v>
      </c>
      <c r="AL31" s="25">
        <v>1195150</v>
      </c>
      <c r="AM31" s="25">
        <v>147650</v>
      </c>
      <c r="AN31" s="25">
        <v>1047500</v>
      </c>
      <c r="AO31" s="25">
        <v>0</v>
      </c>
      <c r="AP31" s="25">
        <f>Lookups!$B$56*0</f>
        <v>0</v>
      </c>
      <c r="AQ31" s="25">
        <f>Lookups!$B$56*1</f>
        <v>89850.625589999996</v>
      </c>
      <c r="AR31" s="25">
        <f>Lookups!$B$57*Inventory[[#This Row],[LnAcres]]</f>
        <v>-110998.74281323297</v>
      </c>
      <c r="AS31" s="25">
        <f>VLOOKUP(Inventory[[#This Row],[Qlty]],Lookups!$A$62:$E$75,2,FALSE)</f>
        <v>29814.093161000001</v>
      </c>
      <c r="AT31" s="25">
        <f>VLOOKUP(Inventory[[#This Row],[Cnd]],Lookups!$A$76:$E$84,2,FALSE)</f>
        <v>160472.20319</v>
      </c>
      <c r="AU31" s="25">
        <f>Inventory[[#This Row],[EffAge]]*Lookups!$B$85</f>
        <v>-5130.0488114999998</v>
      </c>
      <c r="AV31" s="25">
        <f>Inventory[[#This Row],[MainFn]]*Lookups!$B$86</f>
        <v>28706.437198537002</v>
      </c>
      <c r="AW31" s="25">
        <f>Inventory[[#This Row],[UpprFn]]*Lookups!$B$87</f>
        <v>36277.002517410001</v>
      </c>
      <c r="AX31" s="25">
        <f>Inventory[[#This Row],[AddFn]]*Lookups!$B$88</f>
        <v>0</v>
      </c>
      <c r="AY31" s="25">
        <f>Inventory[[#This Row],[Bsmt]]*Lookups!$B$89</f>
        <v>0</v>
      </c>
      <c r="AZ31" s="25">
        <f>Inventory[[#This Row],[Fixtures]]*Lookups!$B$90</f>
        <v>37920.221052000001</v>
      </c>
      <c r="BA31" s="25">
        <f>Inventory[[#This Row],[WdDeck]]*Lookups!$B$91</f>
        <v>0</v>
      </c>
      <c r="BB31" s="25">
        <f>ROUND(Inventory[[#This Row],[25Det]],-2)</f>
        <v>0</v>
      </c>
      <c r="BC31" s="25">
        <f>ROUND(SUM(Inventory[[#This Row],[Mdl Qlty]:[Mdl WdDeck]])+Inventory[[#This Row],[Mdl Res Intercept]],-2)</f>
        <v>288100</v>
      </c>
      <c r="BD31" s="25">
        <f>ROUND(Inventory[[#This Row],[Mdl Land Intercept]]+Inventory[[#This Row],[Mdl LnAcres]],-2)</f>
        <v>-21100</v>
      </c>
      <c r="BE31" s="25">
        <f>Inventory[[#This Row],[Unadj Res Value]]+Inventory[[#This Row],[Unadj Det Value]]+Inventory[[#This Row],[Unadj Land Value]]</f>
        <v>267000</v>
      </c>
      <c r="BF31" s="36">
        <f>(Inventory[[#This Row],[Unadj Total Value]]-Inventory[[#This Row],[24Final]])/Inventory[[#This Row],[24Final]]</f>
        <v>-3.1204644412191583E-2</v>
      </c>
      <c r="BG31" s="25">
        <f>VLOOKUP(Inventory[[#This Row],[Nbhd]],Lookups!$Q$2:$T$4,4,FALSE)</f>
        <v>0.99970000000000003</v>
      </c>
      <c r="BH31" s="25">
        <f>VLOOKUP(Inventory[[#This Row],[Qlty]],Lookups!$O$7:$R$21,4,FALSE)</f>
        <v>1.0088999999999999</v>
      </c>
      <c r="BI31" s="29">
        <f>VLOOKUP(Inventory[[#This Row],[Cnd]],Lookups!$T$7:$W$16,4,FALSE)</f>
        <v>0.99729999999999996</v>
      </c>
      <c r="BJ31" s="25">
        <f>VLOOKUP(Inventory[[#This Row],[LivArea Range]],Lookups!$T$25:$W$37,4,FALSE)</f>
        <v>1.0157</v>
      </c>
      <c r="BK31" s="25">
        <f>VLOOKUP(Inventory[[#This Row],[Decade]],Lookups!$O$25:$R$42,4,FALSE)</f>
        <v>0.97319999999999995</v>
      </c>
      <c r="BL31" s="25">
        <f>Inventory[[#This Row],[Nbhd Adj]]*0.95</f>
        <v>0.94971499999999998</v>
      </c>
      <c r="BM31" s="25">
        <f>Inventory[[#This Row],[Nbhd Adj]]*Inventory[[#This Row],[Quality Adj]]*Inventory[[#This Row],[Condition Adj]]*Inventory[[#This Row],[Living Area Adj]]*Inventory[[#This Row],[Decade Adj]]*0.95</f>
        <v>0.944571398768702</v>
      </c>
      <c r="BN31" s="25">
        <f>ROUND(SUM(Inventory[[#This Row],[Mdl Qlty]:[Mdl WdDeck]])+Inventory[[#This Row],[Mdl Res Intercept]]*Inventory[[#This Row],[Res Adj ]],-2)</f>
        <v>288100</v>
      </c>
      <c r="BO31" s="25">
        <f>ROUND(Inventory[[#This Row],[25Det]]*Inventory[[#This Row],[Det/Nbhd Adj]],-2)</f>
        <v>0</v>
      </c>
      <c r="BP31" s="25">
        <f>Inventory[[#This Row],[Adjusted Res]]+Inventory[[#This Row],[Adj Det ]]</f>
        <v>288100</v>
      </c>
      <c r="BQ31" s="25">
        <f>ROUND((Inventory[[#This Row],[Mdl Land Intercept]]+Inventory[[#This Row],[Mdl LnAcres]])*Inventory[[#This Row],[Det/Nbhd Adj]],-2)</f>
        <v>-20100</v>
      </c>
      <c r="BR31" s="25">
        <f>Inventory[[#This Row],[Adjusted Impr Total]]+Inventory[[#This Row],[Adjusted Land Total]]</f>
        <v>268000</v>
      </c>
      <c r="BS31" s="36">
        <f>IFERROR((Inventory[[#This Row],[Adjusted Impr Total]]-Inventory[[#This Row],[24Bldg]])/Inventory[[#This Row],[24Bldg]],0)</f>
        <v>0.22962014511310286</v>
      </c>
      <c r="BT31" s="36">
        <f>(Inventory[[#This Row],[Adjusted Land Total]]-Inventory[[#This Row],[24Lnd]])/Inventory[[#This Row],[24Lnd]]</f>
        <v>-1.486682808716707</v>
      </c>
      <c r="BU31" s="36">
        <f>(Inventory[[#This Row],[Adjusted Total]]-Inventory[[#This Row],[24Final]])/Inventory[[#This Row],[24Final]]</f>
        <v>-2.7576197387518143E-2</v>
      </c>
    </row>
    <row r="32" spans="1:73" x14ac:dyDescent="0.3">
      <c r="A32" s="25">
        <v>2025</v>
      </c>
      <c r="B32" s="26" t="s">
        <v>622</v>
      </c>
      <c r="C32" s="26">
        <f>LN(Inventory[[#This Row],[Acres]])</f>
        <v>-3.5065578973199818</v>
      </c>
      <c r="D32" s="25">
        <v>1.49</v>
      </c>
      <c r="E32" s="25">
        <v>64904</v>
      </c>
      <c r="F32" s="26" t="s">
        <v>543</v>
      </c>
      <c r="G32" s="26" t="s">
        <v>544</v>
      </c>
      <c r="H32" s="26" t="s">
        <v>349</v>
      </c>
      <c r="I32" s="26" t="s">
        <v>545</v>
      </c>
      <c r="J32" s="26" t="s">
        <v>621</v>
      </c>
      <c r="K32" s="26" t="s">
        <v>547</v>
      </c>
      <c r="L32" s="26" t="s">
        <v>302</v>
      </c>
      <c r="M32" s="26" t="s">
        <v>303</v>
      </c>
      <c r="N32" s="26">
        <v>60</v>
      </c>
      <c r="O32" s="26">
        <f>2024-Inventory[[#This Row],[YrBlt]]</f>
        <v>23</v>
      </c>
      <c r="P32" s="26">
        <f>2024-Inventory[[#This Row],[EffYr]]</f>
        <v>23</v>
      </c>
      <c r="Q32" s="25">
        <v>1958</v>
      </c>
      <c r="R32" s="25">
        <v>1974</v>
      </c>
      <c r="S32" s="25">
        <v>3200</v>
      </c>
      <c r="T32" s="27"/>
      <c r="U32" s="27"/>
      <c r="V32" s="27">
        <f>Inventory[[#This Row],[Bsmt]]-Inventory[[#This Row],[FnBsmt]]</f>
        <v>0</v>
      </c>
      <c r="W32" s="27"/>
      <c r="X32" s="27"/>
      <c r="Y32" s="27">
        <f>Inventory[[#This Row],[MainFn]]+Inventory[[#This Row],[UpprFn]]+Inventory[[#This Row],[FnBsmt]]+Inventory[[#This Row],[AddFn]]</f>
        <v>1391</v>
      </c>
      <c r="Z32" s="27">
        <v>3500</v>
      </c>
      <c r="AA32" s="25">
        <v>15</v>
      </c>
      <c r="AB32" s="25">
        <v>1102</v>
      </c>
      <c r="AC32" s="27"/>
      <c r="AD32" s="27"/>
      <c r="AE32" s="27"/>
      <c r="AF32" s="27"/>
      <c r="AG32" s="32">
        <v>105</v>
      </c>
      <c r="AH32" s="27"/>
      <c r="AI32" s="25">
        <v>486400</v>
      </c>
      <c r="AJ32" s="25">
        <v>398848</v>
      </c>
      <c r="AK32" s="25">
        <v>6580</v>
      </c>
      <c r="AL32" s="25">
        <v>1195150</v>
      </c>
      <c r="AM32" s="25">
        <v>147650</v>
      </c>
      <c r="AN32" s="25">
        <v>1047500</v>
      </c>
      <c r="AO32" s="25">
        <v>0</v>
      </c>
      <c r="AP32" s="25">
        <f>Lookups!$B$56*0</f>
        <v>0</v>
      </c>
      <c r="AQ32" s="25">
        <f>Lookups!$B$56*1</f>
        <v>89850.625589999996</v>
      </c>
      <c r="AR32" s="25">
        <f>Lookups!$B$57*Inventory[[#This Row],[LnAcres]]</f>
        <v>-110998.74281323297</v>
      </c>
      <c r="AS32" s="25">
        <f>VLOOKUP(Inventory[[#This Row],[Qlty]],Lookups!$A$62:$E$75,2,FALSE)</f>
        <v>29814.093161000001</v>
      </c>
      <c r="AT32" s="25">
        <f>VLOOKUP(Inventory[[#This Row],[Cnd]],Lookups!$A$76:$E$84,2,FALSE)</f>
        <v>160472.20319</v>
      </c>
      <c r="AU32" s="25">
        <f>Inventory[[#This Row],[EffAge]]*Lookups!$B$85</f>
        <v>-5130.0488114999998</v>
      </c>
      <c r="AV32" s="25">
        <f>Inventory[[#This Row],[MainFn]]*Lookups!$B$86</f>
        <v>28706.437198537002</v>
      </c>
      <c r="AW32" s="25">
        <f>Inventory[[#This Row],[UpprFn]]*Lookups!$B$87</f>
        <v>36277.002517410001</v>
      </c>
      <c r="AX32" s="25">
        <f>Inventory[[#This Row],[AddFn]]*Lookups!$B$88</f>
        <v>0</v>
      </c>
      <c r="AY32" s="25">
        <f>Inventory[[#This Row],[Bsmt]]*Lookups!$B$89</f>
        <v>0</v>
      </c>
      <c r="AZ32" s="25">
        <f>Inventory[[#This Row],[Fixtures]]*Lookups!$B$90</f>
        <v>37920.221052000001</v>
      </c>
      <c r="BA32" s="25">
        <f>Inventory[[#This Row],[WdDeck]]*Lookups!$B$91</f>
        <v>0</v>
      </c>
      <c r="BB32" s="25">
        <f>ROUND(Inventory[[#This Row],[25Det]],-2)</f>
        <v>0</v>
      </c>
      <c r="BC32" s="25">
        <f>ROUND(SUM(Inventory[[#This Row],[Mdl Qlty]:[Mdl WdDeck]])+Inventory[[#This Row],[Mdl Res Intercept]],-2)</f>
        <v>288100</v>
      </c>
      <c r="BD32" s="25">
        <f>ROUND(Inventory[[#This Row],[Mdl Land Intercept]]+Inventory[[#This Row],[Mdl LnAcres]],-2)</f>
        <v>-21100</v>
      </c>
      <c r="BE32" s="25">
        <f>Inventory[[#This Row],[Unadj Res Value]]+Inventory[[#This Row],[Unadj Det Value]]+Inventory[[#This Row],[Unadj Land Value]]</f>
        <v>267000</v>
      </c>
      <c r="BF32" s="36">
        <f>(Inventory[[#This Row],[Unadj Total Value]]-Inventory[[#This Row],[24Final]])/Inventory[[#This Row],[24Final]]</f>
        <v>-3.1204644412191583E-2</v>
      </c>
      <c r="BG32" s="25">
        <f>VLOOKUP(Inventory[[#This Row],[Nbhd]],Lookups!$Q$2:$T$4,4,FALSE)</f>
        <v>0.99970000000000003</v>
      </c>
      <c r="BH32" s="25">
        <f>VLOOKUP(Inventory[[#This Row],[Qlty]],Lookups!$O$7:$R$21,4,FALSE)</f>
        <v>1.0088999999999999</v>
      </c>
      <c r="BI32" s="29">
        <f>VLOOKUP(Inventory[[#This Row],[Cnd]],Lookups!$T$7:$W$16,4,FALSE)</f>
        <v>0.99729999999999996</v>
      </c>
      <c r="BJ32" s="25">
        <f>VLOOKUP(Inventory[[#This Row],[LivArea Range]],Lookups!$T$25:$W$37,4,FALSE)</f>
        <v>1.0157</v>
      </c>
      <c r="BK32" s="25">
        <f>VLOOKUP(Inventory[[#This Row],[Decade]],Lookups!$O$25:$R$42,4,FALSE)</f>
        <v>0.97319999999999995</v>
      </c>
      <c r="BL32" s="25">
        <f>Inventory[[#This Row],[Nbhd Adj]]*0.95</f>
        <v>0.94971499999999998</v>
      </c>
      <c r="BM32" s="25">
        <f>Inventory[[#This Row],[Nbhd Adj]]*Inventory[[#This Row],[Quality Adj]]*Inventory[[#This Row],[Condition Adj]]*Inventory[[#This Row],[Living Area Adj]]*Inventory[[#This Row],[Decade Adj]]*0.95</f>
        <v>0.944571398768702</v>
      </c>
      <c r="BN32" s="25">
        <f>ROUND(SUM(Inventory[[#This Row],[Mdl Qlty]:[Mdl WdDeck]])+Inventory[[#This Row],[Mdl Res Intercept]]*Inventory[[#This Row],[Res Adj ]],-2)</f>
        <v>288100</v>
      </c>
      <c r="BO32" s="25">
        <f>ROUND(Inventory[[#This Row],[25Det]]*Inventory[[#This Row],[Det/Nbhd Adj]],-2)</f>
        <v>0</v>
      </c>
      <c r="BP32" s="25">
        <f>Inventory[[#This Row],[Adjusted Res]]+Inventory[[#This Row],[Adj Det ]]</f>
        <v>288100</v>
      </c>
      <c r="BQ32" s="25">
        <f>ROUND((Inventory[[#This Row],[Mdl Land Intercept]]+Inventory[[#This Row],[Mdl LnAcres]])*Inventory[[#This Row],[Det/Nbhd Adj]],-2)</f>
        <v>-20100</v>
      </c>
      <c r="BR32" s="25">
        <f>Inventory[[#This Row],[Adjusted Impr Total]]+Inventory[[#This Row],[Adjusted Land Total]]</f>
        <v>268000</v>
      </c>
      <c r="BS32" s="36">
        <f>IFERROR((Inventory[[#This Row],[Adjusted Impr Total]]-Inventory[[#This Row],[24Bldg]])/Inventory[[#This Row],[24Bldg]],0)</f>
        <v>0.22962014511310286</v>
      </c>
      <c r="BT32" s="36">
        <f>(Inventory[[#This Row],[Adjusted Land Total]]-Inventory[[#This Row],[24Lnd]])/Inventory[[#This Row],[24Lnd]]</f>
        <v>-1.486682808716707</v>
      </c>
      <c r="BU32" s="36">
        <f>(Inventory[[#This Row],[Adjusted Total]]-Inventory[[#This Row],[24Final]])/Inventory[[#This Row],[24Final]]</f>
        <v>-2.7576197387518143E-2</v>
      </c>
    </row>
    <row r="33" spans="1:73" x14ac:dyDescent="0.3">
      <c r="A33" s="25">
        <v>2025</v>
      </c>
      <c r="B33" s="26" t="s">
        <v>941</v>
      </c>
      <c r="C33" s="26">
        <f>LN(Inventory[[#This Row],[Acres]])</f>
        <v>-3.5065578973199818</v>
      </c>
      <c r="D33" s="25">
        <v>0.71</v>
      </c>
      <c r="E33" s="25">
        <v>30928</v>
      </c>
      <c r="F33" s="26" t="s">
        <v>543</v>
      </c>
      <c r="G33" s="26" t="s">
        <v>544</v>
      </c>
      <c r="H33" s="26" t="s">
        <v>349</v>
      </c>
      <c r="I33" s="26" t="s">
        <v>545</v>
      </c>
      <c r="J33" s="26" t="s">
        <v>621</v>
      </c>
      <c r="K33" s="26" t="s">
        <v>547</v>
      </c>
      <c r="L33" s="26" t="s">
        <v>302</v>
      </c>
      <c r="M33" s="26" t="s">
        <v>303</v>
      </c>
      <c r="N33" s="26">
        <v>60</v>
      </c>
      <c r="O33" s="26">
        <f>2024-Inventory[[#This Row],[YrBlt]]</f>
        <v>23</v>
      </c>
      <c r="P33" s="26">
        <f>2024-Inventory[[#This Row],[EffYr]]</f>
        <v>23</v>
      </c>
      <c r="Q33" s="25">
        <v>1958</v>
      </c>
      <c r="R33" s="25">
        <v>1974</v>
      </c>
      <c r="S33" s="25">
        <v>3529</v>
      </c>
      <c r="T33" s="27"/>
      <c r="U33" s="27"/>
      <c r="V33" s="27">
        <f>Inventory[[#This Row],[Bsmt]]-Inventory[[#This Row],[FnBsmt]]</f>
        <v>0</v>
      </c>
      <c r="W33" s="27"/>
      <c r="X33" s="27"/>
      <c r="Y33" s="27">
        <f>Inventory[[#This Row],[MainFn]]+Inventory[[#This Row],[UpprFn]]+Inventory[[#This Row],[FnBsmt]]+Inventory[[#This Row],[AddFn]]</f>
        <v>1391</v>
      </c>
      <c r="Z33" s="27">
        <v>4000</v>
      </c>
      <c r="AA33" s="25">
        <v>15</v>
      </c>
      <c r="AB33" s="25">
        <v>960</v>
      </c>
      <c r="AC33" s="27"/>
      <c r="AD33" s="27"/>
      <c r="AE33" s="27"/>
      <c r="AF33" s="27"/>
      <c r="AG33" s="32">
        <v>115</v>
      </c>
      <c r="AH33" s="27"/>
      <c r="AI33" s="25">
        <v>479239</v>
      </c>
      <c r="AJ33" s="25">
        <v>397768</v>
      </c>
      <c r="AK33" s="25">
        <v>0</v>
      </c>
      <c r="AL33" s="25">
        <v>831900</v>
      </c>
      <c r="AM33" s="25">
        <v>118000</v>
      </c>
      <c r="AN33" s="25">
        <v>713900</v>
      </c>
      <c r="AO33" s="25">
        <v>0</v>
      </c>
      <c r="AP33" s="25">
        <f>Lookups!$B$56*0</f>
        <v>0</v>
      </c>
      <c r="AQ33" s="25">
        <f>Lookups!$B$56*1</f>
        <v>89850.625589999996</v>
      </c>
      <c r="AR33" s="25">
        <f>Lookups!$B$57*Inventory[[#This Row],[LnAcres]]</f>
        <v>-110998.74281323297</v>
      </c>
      <c r="AS33" s="25">
        <f>VLOOKUP(Inventory[[#This Row],[Qlty]],Lookups!$A$62:$E$75,2,FALSE)</f>
        <v>29814.093161000001</v>
      </c>
      <c r="AT33" s="25">
        <f>VLOOKUP(Inventory[[#This Row],[Cnd]],Lookups!$A$76:$E$84,2,FALSE)</f>
        <v>160472.20319</v>
      </c>
      <c r="AU33" s="25">
        <f>Inventory[[#This Row],[EffAge]]*Lookups!$B$85</f>
        <v>-5130.0488114999998</v>
      </c>
      <c r="AV33" s="25">
        <f>Inventory[[#This Row],[MainFn]]*Lookups!$B$86</f>
        <v>28706.437198537002</v>
      </c>
      <c r="AW33" s="25">
        <f>Inventory[[#This Row],[UpprFn]]*Lookups!$B$87</f>
        <v>36277.002517410001</v>
      </c>
      <c r="AX33" s="25">
        <f>Inventory[[#This Row],[AddFn]]*Lookups!$B$88</f>
        <v>0</v>
      </c>
      <c r="AY33" s="25">
        <f>Inventory[[#This Row],[Bsmt]]*Lookups!$B$89</f>
        <v>0</v>
      </c>
      <c r="AZ33" s="25">
        <f>Inventory[[#This Row],[Fixtures]]*Lookups!$B$90</f>
        <v>37920.221052000001</v>
      </c>
      <c r="BA33" s="25">
        <f>Inventory[[#This Row],[WdDeck]]*Lookups!$B$91</f>
        <v>0</v>
      </c>
      <c r="BB33" s="25">
        <f>ROUND(Inventory[[#This Row],[25Det]],-2)</f>
        <v>0</v>
      </c>
      <c r="BC33" s="25">
        <f>ROUND(SUM(Inventory[[#This Row],[Mdl Qlty]:[Mdl WdDeck]])+Inventory[[#This Row],[Mdl Res Intercept]],-2)</f>
        <v>288100</v>
      </c>
      <c r="BD33" s="25">
        <f>ROUND(Inventory[[#This Row],[Mdl Land Intercept]]+Inventory[[#This Row],[Mdl LnAcres]],-2)</f>
        <v>-21100</v>
      </c>
      <c r="BE33" s="25">
        <f>Inventory[[#This Row],[Unadj Res Value]]+Inventory[[#This Row],[Unadj Det Value]]+Inventory[[#This Row],[Unadj Land Value]]</f>
        <v>267000</v>
      </c>
      <c r="BF33" s="36">
        <f>(Inventory[[#This Row],[Unadj Total Value]]-Inventory[[#This Row],[24Final]])/Inventory[[#This Row],[24Final]]</f>
        <v>-3.1204644412191583E-2</v>
      </c>
      <c r="BG33" s="25">
        <f>VLOOKUP(Inventory[[#This Row],[Nbhd]],Lookups!$Q$2:$T$4,4,FALSE)</f>
        <v>0.99970000000000003</v>
      </c>
      <c r="BH33" s="25">
        <f>VLOOKUP(Inventory[[#This Row],[Qlty]],Lookups!$O$7:$R$21,4,FALSE)</f>
        <v>1.0088999999999999</v>
      </c>
      <c r="BI33" s="29">
        <f>VLOOKUP(Inventory[[#This Row],[Cnd]],Lookups!$T$7:$W$16,4,FALSE)</f>
        <v>0.99729999999999996</v>
      </c>
      <c r="BJ33" s="25">
        <f>VLOOKUP(Inventory[[#This Row],[LivArea Range]],Lookups!$T$25:$W$37,4,FALSE)</f>
        <v>1.0157</v>
      </c>
      <c r="BK33" s="25">
        <f>VLOOKUP(Inventory[[#This Row],[Decade]],Lookups!$O$25:$R$42,4,FALSE)</f>
        <v>0.97319999999999995</v>
      </c>
      <c r="BL33" s="25">
        <f>Inventory[[#This Row],[Nbhd Adj]]*0.95</f>
        <v>0.94971499999999998</v>
      </c>
      <c r="BM33" s="25">
        <f>Inventory[[#This Row],[Nbhd Adj]]*Inventory[[#This Row],[Quality Adj]]*Inventory[[#This Row],[Condition Adj]]*Inventory[[#This Row],[Living Area Adj]]*Inventory[[#This Row],[Decade Adj]]*0.95</f>
        <v>0.944571398768702</v>
      </c>
      <c r="BN33" s="25">
        <f>ROUND(SUM(Inventory[[#This Row],[Mdl Qlty]:[Mdl WdDeck]])+Inventory[[#This Row],[Mdl Res Intercept]]*Inventory[[#This Row],[Res Adj ]],-2)</f>
        <v>288100</v>
      </c>
      <c r="BO33" s="25">
        <f>ROUND(Inventory[[#This Row],[25Det]]*Inventory[[#This Row],[Det/Nbhd Adj]],-2)</f>
        <v>0</v>
      </c>
      <c r="BP33" s="25">
        <f>Inventory[[#This Row],[Adjusted Res]]+Inventory[[#This Row],[Adj Det ]]</f>
        <v>288100</v>
      </c>
      <c r="BQ33" s="25">
        <f>ROUND((Inventory[[#This Row],[Mdl Land Intercept]]+Inventory[[#This Row],[Mdl LnAcres]])*Inventory[[#This Row],[Det/Nbhd Adj]],-2)</f>
        <v>-20100</v>
      </c>
      <c r="BR33" s="25">
        <f>Inventory[[#This Row],[Adjusted Impr Total]]+Inventory[[#This Row],[Adjusted Land Total]]</f>
        <v>268000</v>
      </c>
      <c r="BS33" s="36">
        <f>IFERROR((Inventory[[#This Row],[Adjusted Impr Total]]-Inventory[[#This Row],[24Bldg]])/Inventory[[#This Row],[24Bldg]],0)</f>
        <v>0.22962014511310286</v>
      </c>
      <c r="BT33" s="36">
        <f>(Inventory[[#This Row],[Adjusted Land Total]]-Inventory[[#This Row],[24Lnd]])/Inventory[[#This Row],[24Lnd]]</f>
        <v>-1.486682808716707</v>
      </c>
      <c r="BU33" s="36">
        <f>(Inventory[[#This Row],[Adjusted Total]]-Inventory[[#This Row],[24Final]])/Inventory[[#This Row],[24Final]]</f>
        <v>-2.7576197387518143E-2</v>
      </c>
    </row>
    <row r="34" spans="1:73" x14ac:dyDescent="0.3">
      <c r="A34" s="25">
        <v>2025</v>
      </c>
      <c r="B34" s="26" t="s">
        <v>2828</v>
      </c>
      <c r="C34" s="26">
        <f>LN(Inventory[[#This Row],[Acres]])</f>
        <v>-3.5065578973199818</v>
      </c>
      <c r="D34" s="25">
        <v>0.16</v>
      </c>
      <c r="E34" s="25">
        <v>6810</v>
      </c>
      <c r="F34" s="26" t="s">
        <v>537</v>
      </c>
      <c r="G34" s="26" t="s">
        <v>126</v>
      </c>
      <c r="H34" s="26" t="s">
        <v>349</v>
      </c>
      <c r="I34" s="26" t="s">
        <v>538</v>
      </c>
      <c r="J34" s="26" t="s">
        <v>608</v>
      </c>
      <c r="K34" s="26" t="s">
        <v>242</v>
      </c>
      <c r="L34" s="26" t="s">
        <v>31</v>
      </c>
      <c r="M34" s="26" t="s">
        <v>303</v>
      </c>
      <c r="N34" s="26">
        <v>90</v>
      </c>
      <c r="O34" s="26">
        <f>2024-Inventory[[#This Row],[YrBlt]]</f>
        <v>23</v>
      </c>
      <c r="P34" s="26">
        <f>2024-Inventory[[#This Row],[EffYr]]</f>
        <v>23</v>
      </c>
      <c r="Q34" s="25">
        <v>1930</v>
      </c>
      <c r="R34" s="25">
        <v>1970</v>
      </c>
      <c r="S34" s="25">
        <v>572</v>
      </c>
      <c r="T34" s="27"/>
      <c r="U34" s="27"/>
      <c r="V34" s="27">
        <f>Inventory[[#This Row],[Bsmt]]-Inventory[[#This Row],[FnBsmt]]</f>
        <v>0</v>
      </c>
      <c r="W34" s="27"/>
      <c r="X34" s="27"/>
      <c r="Y34" s="27">
        <f>Inventory[[#This Row],[MainFn]]+Inventory[[#This Row],[UpprFn]]+Inventory[[#This Row],[FnBsmt]]+Inventory[[#This Row],[AddFn]]</f>
        <v>1391</v>
      </c>
      <c r="Z34" s="27">
        <v>1000</v>
      </c>
      <c r="AA34" s="25">
        <v>5</v>
      </c>
      <c r="AB34" s="25">
        <v>180</v>
      </c>
      <c r="AC34" s="27"/>
      <c r="AD34" s="27"/>
      <c r="AE34" s="27"/>
      <c r="AF34" s="27"/>
      <c r="AG34" s="27"/>
      <c r="AH34" s="27"/>
      <c r="AI34" s="25">
        <v>93850</v>
      </c>
      <c r="AJ34" s="25">
        <v>63818</v>
      </c>
      <c r="AK34" s="25">
        <v>0</v>
      </c>
      <c r="AL34" s="25">
        <v>334200</v>
      </c>
      <c r="AM34" s="25">
        <v>50600</v>
      </c>
      <c r="AN34" s="25">
        <v>283600</v>
      </c>
      <c r="AO34" s="25">
        <v>0</v>
      </c>
      <c r="AP34" s="25">
        <f>Lookups!$B$56*0</f>
        <v>0</v>
      </c>
      <c r="AQ34" s="25">
        <f>Lookups!$B$56*1</f>
        <v>89850.625589999996</v>
      </c>
      <c r="AR34" s="25">
        <f>Lookups!$B$57*Inventory[[#This Row],[LnAcres]]</f>
        <v>-110998.74281323297</v>
      </c>
      <c r="AS34" s="25">
        <f>VLOOKUP(Inventory[[#This Row],[Qlty]],Lookups!$A$62:$E$75,2,FALSE)</f>
        <v>29814.093161000001</v>
      </c>
      <c r="AT34" s="25">
        <f>VLOOKUP(Inventory[[#This Row],[Cnd]],Lookups!$A$76:$E$84,2,FALSE)</f>
        <v>160472.20319</v>
      </c>
      <c r="AU34" s="25">
        <f>Inventory[[#This Row],[EffAge]]*Lookups!$B$85</f>
        <v>-5130.0488114999998</v>
      </c>
      <c r="AV34" s="25">
        <f>Inventory[[#This Row],[MainFn]]*Lookups!$B$86</f>
        <v>28706.437198537002</v>
      </c>
      <c r="AW34" s="25">
        <f>Inventory[[#This Row],[UpprFn]]*Lookups!$B$87</f>
        <v>36277.002517410001</v>
      </c>
      <c r="AX34" s="25">
        <f>Inventory[[#This Row],[AddFn]]*Lookups!$B$88</f>
        <v>0</v>
      </c>
      <c r="AY34" s="25">
        <f>Inventory[[#This Row],[Bsmt]]*Lookups!$B$89</f>
        <v>0</v>
      </c>
      <c r="AZ34" s="25">
        <f>Inventory[[#This Row],[Fixtures]]*Lookups!$B$90</f>
        <v>37920.221052000001</v>
      </c>
      <c r="BA34" s="25">
        <f>Inventory[[#This Row],[WdDeck]]*Lookups!$B$91</f>
        <v>0</v>
      </c>
      <c r="BB34" s="25">
        <f>ROUND(Inventory[[#This Row],[25Det]],-2)</f>
        <v>0</v>
      </c>
      <c r="BC34" s="25">
        <f>ROUND(SUM(Inventory[[#This Row],[Mdl Qlty]:[Mdl WdDeck]])+Inventory[[#This Row],[Mdl Res Intercept]],-2)</f>
        <v>288100</v>
      </c>
      <c r="BD34" s="25">
        <f>ROUND(Inventory[[#This Row],[Mdl Land Intercept]]+Inventory[[#This Row],[Mdl LnAcres]],-2)</f>
        <v>-21100</v>
      </c>
      <c r="BE34" s="25">
        <f>Inventory[[#This Row],[Unadj Res Value]]+Inventory[[#This Row],[Unadj Det Value]]+Inventory[[#This Row],[Unadj Land Value]]</f>
        <v>267000</v>
      </c>
      <c r="BF34" s="36">
        <f>(Inventory[[#This Row],[Unadj Total Value]]-Inventory[[#This Row],[24Final]])/Inventory[[#This Row],[24Final]]</f>
        <v>-3.1204644412191583E-2</v>
      </c>
      <c r="BG34" s="25">
        <f>VLOOKUP(Inventory[[#This Row],[Nbhd]],Lookups!$Q$2:$T$4,4,FALSE)</f>
        <v>0.99970000000000003</v>
      </c>
      <c r="BH34" s="25">
        <f>VLOOKUP(Inventory[[#This Row],[Qlty]],Lookups!$O$7:$R$21,4,FALSE)</f>
        <v>1.0088999999999999</v>
      </c>
      <c r="BI34" s="29">
        <f>VLOOKUP(Inventory[[#This Row],[Cnd]],Lookups!$T$7:$W$16,4,FALSE)</f>
        <v>0.99729999999999996</v>
      </c>
      <c r="BJ34" s="25">
        <f>VLOOKUP(Inventory[[#This Row],[LivArea Range]],Lookups!$T$25:$W$37,4,FALSE)</f>
        <v>1.0157</v>
      </c>
      <c r="BK34" s="25">
        <f>VLOOKUP(Inventory[[#This Row],[Decade]],Lookups!$O$25:$R$42,4,FALSE)</f>
        <v>0.97319999999999995</v>
      </c>
      <c r="BL34" s="25">
        <f>Inventory[[#This Row],[Nbhd Adj]]*0.95</f>
        <v>0.94971499999999998</v>
      </c>
      <c r="BM34" s="25">
        <f>Inventory[[#This Row],[Nbhd Adj]]*Inventory[[#This Row],[Quality Adj]]*Inventory[[#This Row],[Condition Adj]]*Inventory[[#This Row],[Living Area Adj]]*Inventory[[#This Row],[Decade Adj]]*0.95</f>
        <v>0.944571398768702</v>
      </c>
      <c r="BN34" s="25">
        <f>ROUND(SUM(Inventory[[#This Row],[Mdl Qlty]:[Mdl WdDeck]])+Inventory[[#This Row],[Mdl Res Intercept]]*Inventory[[#This Row],[Res Adj ]],-2)</f>
        <v>288100</v>
      </c>
      <c r="BO34" s="25">
        <f>ROUND(Inventory[[#This Row],[25Det]]*Inventory[[#This Row],[Det/Nbhd Adj]],-2)</f>
        <v>0</v>
      </c>
      <c r="BP34" s="25">
        <f>Inventory[[#This Row],[Adjusted Res]]+Inventory[[#This Row],[Adj Det ]]</f>
        <v>288100</v>
      </c>
      <c r="BQ34" s="25">
        <f>ROUND((Inventory[[#This Row],[Mdl Land Intercept]]+Inventory[[#This Row],[Mdl LnAcres]])*Inventory[[#This Row],[Det/Nbhd Adj]],-2)</f>
        <v>-20100</v>
      </c>
      <c r="BR34" s="25">
        <f>Inventory[[#This Row],[Adjusted Impr Total]]+Inventory[[#This Row],[Adjusted Land Total]]</f>
        <v>268000</v>
      </c>
      <c r="BS34" s="36">
        <f>IFERROR((Inventory[[#This Row],[Adjusted Impr Total]]-Inventory[[#This Row],[24Bldg]])/Inventory[[#This Row],[24Bldg]],0)</f>
        <v>0.22962014511310286</v>
      </c>
      <c r="BT34" s="36">
        <f>(Inventory[[#This Row],[Adjusted Land Total]]-Inventory[[#This Row],[24Lnd]])/Inventory[[#This Row],[24Lnd]]</f>
        <v>-1.486682808716707</v>
      </c>
      <c r="BU34" s="36">
        <f>(Inventory[[#This Row],[Adjusted Total]]-Inventory[[#This Row],[24Final]])/Inventory[[#This Row],[24Final]]</f>
        <v>-2.7576197387518143E-2</v>
      </c>
    </row>
    <row r="35" spans="1:73" x14ac:dyDescent="0.3">
      <c r="A35" s="25">
        <v>2025</v>
      </c>
      <c r="B35" s="26" t="s">
        <v>1416</v>
      </c>
      <c r="C35" s="26">
        <f>LN(Inventory[[#This Row],[Acres]])</f>
        <v>-3.5065578973199818</v>
      </c>
      <c r="D35" s="25">
        <v>0.31</v>
      </c>
      <c r="E35" s="25">
        <v>13508</v>
      </c>
      <c r="F35" s="26" t="s">
        <v>537</v>
      </c>
      <c r="G35" s="26" t="s">
        <v>126</v>
      </c>
      <c r="H35" s="26" t="s">
        <v>349</v>
      </c>
      <c r="I35" s="26" t="s">
        <v>538</v>
      </c>
      <c r="J35" s="26" t="s">
        <v>608</v>
      </c>
      <c r="K35" s="26" t="s">
        <v>242</v>
      </c>
      <c r="L35" s="26" t="s">
        <v>31</v>
      </c>
      <c r="M35" s="26" t="s">
        <v>323</v>
      </c>
      <c r="N35" s="26">
        <v>70</v>
      </c>
      <c r="O35" s="26">
        <f>2024-Inventory[[#This Row],[YrBlt]]</f>
        <v>23</v>
      </c>
      <c r="P35" s="26">
        <f>2024-Inventory[[#This Row],[EffYr]]</f>
        <v>23</v>
      </c>
      <c r="Q35" s="25">
        <v>1945</v>
      </c>
      <c r="R35" s="25">
        <v>1972</v>
      </c>
      <c r="S35" s="25">
        <v>600</v>
      </c>
      <c r="T35" s="27"/>
      <c r="U35" s="27"/>
      <c r="V35" s="27">
        <f>Inventory[[#This Row],[Bsmt]]-Inventory[[#This Row],[FnBsmt]]</f>
        <v>0</v>
      </c>
      <c r="W35" s="27"/>
      <c r="X35" s="27"/>
      <c r="Y35" s="27">
        <f>Inventory[[#This Row],[MainFn]]+Inventory[[#This Row],[UpprFn]]+Inventory[[#This Row],[FnBsmt]]+Inventory[[#This Row],[AddFn]]</f>
        <v>1391</v>
      </c>
      <c r="Z35" s="27">
        <v>1000</v>
      </c>
      <c r="AA35" s="25">
        <v>5</v>
      </c>
      <c r="AB35" s="25">
        <v>600</v>
      </c>
      <c r="AC35" s="27"/>
      <c r="AD35" s="27"/>
      <c r="AE35" s="27"/>
      <c r="AF35" s="27"/>
      <c r="AG35" s="27"/>
      <c r="AH35" s="27"/>
      <c r="AI35" s="25">
        <v>110816</v>
      </c>
      <c r="AJ35" s="25">
        <v>75355</v>
      </c>
      <c r="AK35" s="25">
        <v>0</v>
      </c>
      <c r="AL35" s="25">
        <v>381800</v>
      </c>
      <c r="AM35" s="25">
        <v>73700</v>
      </c>
      <c r="AN35" s="25">
        <v>308100</v>
      </c>
      <c r="AO35" s="25">
        <v>0</v>
      </c>
      <c r="AP35" s="25">
        <f>Lookups!$B$56*0</f>
        <v>0</v>
      </c>
      <c r="AQ35" s="25">
        <f>Lookups!$B$56*1</f>
        <v>89850.625589999996</v>
      </c>
      <c r="AR35" s="25">
        <f>Lookups!$B$57*Inventory[[#This Row],[LnAcres]]</f>
        <v>-110998.74281323297</v>
      </c>
      <c r="AS35" s="25">
        <f>VLOOKUP(Inventory[[#This Row],[Qlty]],Lookups!$A$62:$E$75,2,FALSE)</f>
        <v>29814.093161000001</v>
      </c>
      <c r="AT35" s="25">
        <f>VLOOKUP(Inventory[[#This Row],[Cnd]],Lookups!$A$76:$E$84,2,FALSE)</f>
        <v>160472.20319</v>
      </c>
      <c r="AU35" s="25">
        <f>Inventory[[#This Row],[EffAge]]*Lookups!$B$85</f>
        <v>-5130.0488114999998</v>
      </c>
      <c r="AV35" s="25">
        <f>Inventory[[#This Row],[MainFn]]*Lookups!$B$86</f>
        <v>28706.437198537002</v>
      </c>
      <c r="AW35" s="25">
        <f>Inventory[[#This Row],[UpprFn]]*Lookups!$B$87</f>
        <v>36277.002517410001</v>
      </c>
      <c r="AX35" s="25">
        <f>Inventory[[#This Row],[AddFn]]*Lookups!$B$88</f>
        <v>0</v>
      </c>
      <c r="AY35" s="25">
        <f>Inventory[[#This Row],[Bsmt]]*Lookups!$B$89</f>
        <v>0</v>
      </c>
      <c r="AZ35" s="25">
        <f>Inventory[[#This Row],[Fixtures]]*Lookups!$B$90</f>
        <v>37920.221052000001</v>
      </c>
      <c r="BA35" s="25">
        <f>Inventory[[#This Row],[WdDeck]]*Lookups!$B$91</f>
        <v>0</v>
      </c>
      <c r="BB35" s="25">
        <f>ROUND(Inventory[[#This Row],[25Det]],-2)</f>
        <v>0</v>
      </c>
      <c r="BC35" s="25">
        <f>ROUND(SUM(Inventory[[#This Row],[Mdl Qlty]:[Mdl WdDeck]])+Inventory[[#This Row],[Mdl Res Intercept]],-2)</f>
        <v>288100</v>
      </c>
      <c r="BD35" s="25">
        <f>ROUND(Inventory[[#This Row],[Mdl Land Intercept]]+Inventory[[#This Row],[Mdl LnAcres]],-2)</f>
        <v>-21100</v>
      </c>
      <c r="BE35" s="25">
        <f>Inventory[[#This Row],[Unadj Res Value]]+Inventory[[#This Row],[Unadj Det Value]]+Inventory[[#This Row],[Unadj Land Value]]</f>
        <v>267000</v>
      </c>
      <c r="BF35" s="36">
        <f>(Inventory[[#This Row],[Unadj Total Value]]-Inventory[[#This Row],[24Final]])/Inventory[[#This Row],[24Final]]</f>
        <v>-3.1204644412191583E-2</v>
      </c>
      <c r="BG35" s="25">
        <f>VLOOKUP(Inventory[[#This Row],[Nbhd]],Lookups!$Q$2:$T$4,4,FALSE)</f>
        <v>0.99970000000000003</v>
      </c>
      <c r="BH35" s="25">
        <f>VLOOKUP(Inventory[[#This Row],[Qlty]],Lookups!$O$7:$R$21,4,FALSE)</f>
        <v>1.0088999999999999</v>
      </c>
      <c r="BI35" s="29">
        <f>VLOOKUP(Inventory[[#This Row],[Cnd]],Lookups!$T$7:$W$16,4,FALSE)</f>
        <v>0.99729999999999996</v>
      </c>
      <c r="BJ35" s="25">
        <f>VLOOKUP(Inventory[[#This Row],[LivArea Range]],Lookups!$T$25:$W$37,4,FALSE)</f>
        <v>1.0157</v>
      </c>
      <c r="BK35" s="25">
        <f>VLOOKUP(Inventory[[#This Row],[Decade]],Lookups!$O$25:$R$42,4,FALSE)</f>
        <v>0.97319999999999995</v>
      </c>
      <c r="BL35" s="25">
        <f>Inventory[[#This Row],[Nbhd Adj]]*0.95</f>
        <v>0.94971499999999998</v>
      </c>
      <c r="BM35" s="25">
        <f>Inventory[[#This Row],[Nbhd Adj]]*Inventory[[#This Row],[Quality Adj]]*Inventory[[#This Row],[Condition Adj]]*Inventory[[#This Row],[Living Area Adj]]*Inventory[[#This Row],[Decade Adj]]*0.95</f>
        <v>0.944571398768702</v>
      </c>
      <c r="BN35" s="25">
        <f>ROUND(SUM(Inventory[[#This Row],[Mdl Qlty]:[Mdl WdDeck]])+Inventory[[#This Row],[Mdl Res Intercept]]*Inventory[[#This Row],[Res Adj ]],-2)</f>
        <v>288100</v>
      </c>
      <c r="BO35" s="25">
        <f>ROUND(Inventory[[#This Row],[25Det]]*Inventory[[#This Row],[Det/Nbhd Adj]],-2)</f>
        <v>0</v>
      </c>
      <c r="BP35" s="25">
        <f>Inventory[[#This Row],[Adjusted Res]]+Inventory[[#This Row],[Adj Det ]]</f>
        <v>288100</v>
      </c>
      <c r="BQ35" s="25">
        <f>ROUND((Inventory[[#This Row],[Mdl Land Intercept]]+Inventory[[#This Row],[Mdl LnAcres]])*Inventory[[#This Row],[Det/Nbhd Adj]],-2)</f>
        <v>-20100</v>
      </c>
      <c r="BR35" s="25">
        <f>Inventory[[#This Row],[Adjusted Impr Total]]+Inventory[[#This Row],[Adjusted Land Total]]</f>
        <v>268000</v>
      </c>
      <c r="BS35" s="36">
        <f>IFERROR((Inventory[[#This Row],[Adjusted Impr Total]]-Inventory[[#This Row],[24Bldg]])/Inventory[[#This Row],[24Bldg]],0)</f>
        <v>0.22962014511310286</v>
      </c>
      <c r="BT35" s="36">
        <f>(Inventory[[#This Row],[Adjusted Land Total]]-Inventory[[#This Row],[24Lnd]])/Inventory[[#This Row],[24Lnd]]</f>
        <v>-1.486682808716707</v>
      </c>
      <c r="BU35" s="36">
        <f>(Inventory[[#This Row],[Adjusted Total]]-Inventory[[#This Row],[24Final]])/Inventory[[#This Row],[24Final]]</f>
        <v>-2.7576197387518143E-2</v>
      </c>
    </row>
    <row r="36" spans="1:73" x14ac:dyDescent="0.3">
      <c r="A36" s="25">
        <v>2025</v>
      </c>
      <c r="B36" s="26" t="s">
        <v>2034</v>
      </c>
      <c r="C36" s="26">
        <f>LN(Inventory[[#This Row],[Acres]])</f>
        <v>-3.5065578973199818</v>
      </c>
      <c r="D36" s="25">
        <v>0.31</v>
      </c>
      <c r="E36" s="25">
        <v>13647</v>
      </c>
      <c r="F36" s="26" t="s">
        <v>537</v>
      </c>
      <c r="G36" s="26" t="s">
        <v>126</v>
      </c>
      <c r="H36" s="26" t="s">
        <v>349</v>
      </c>
      <c r="I36" s="26" t="s">
        <v>538</v>
      </c>
      <c r="J36" s="26" t="s">
        <v>608</v>
      </c>
      <c r="K36" s="26" t="s">
        <v>242</v>
      </c>
      <c r="L36" s="26" t="s">
        <v>31</v>
      </c>
      <c r="M36" s="26" t="s">
        <v>303</v>
      </c>
      <c r="N36" s="26">
        <v>100</v>
      </c>
      <c r="O36" s="26">
        <f>2024-Inventory[[#This Row],[YrBlt]]</f>
        <v>23</v>
      </c>
      <c r="P36" s="26">
        <f>2024-Inventory[[#This Row],[EffYr]]</f>
        <v>23</v>
      </c>
      <c r="Q36" s="25">
        <v>1920</v>
      </c>
      <c r="R36" s="25">
        <v>1966</v>
      </c>
      <c r="S36" s="25">
        <v>624</v>
      </c>
      <c r="T36" s="27"/>
      <c r="U36" s="27"/>
      <c r="V36" s="27">
        <f>Inventory[[#This Row],[Bsmt]]-Inventory[[#This Row],[FnBsmt]]</f>
        <v>0</v>
      </c>
      <c r="W36" s="27"/>
      <c r="X36" s="27"/>
      <c r="Y36" s="27">
        <f>Inventory[[#This Row],[MainFn]]+Inventory[[#This Row],[UpprFn]]+Inventory[[#This Row],[FnBsmt]]+Inventory[[#This Row],[AddFn]]</f>
        <v>1391</v>
      </c>
      <c r="Z36" s="27">
        <v>1000</v>
      </c>
      <c r="AA36" s="25">
        <v>5</v>
      </c>
      <c r="AB36" s="27"/>
      <c r="AC36" s="27"/>
      <c r="AD36" s="27"/>
      <c r="AE36" s="27"/>
      <c r="AF36" s="27"/>
      <c r="AG36" s="27"/>
      <c r="AH36" s="27"/>
      <c r="AI36" s="25">
        <v>103555</v>
      </c>
      <c r="AJ36" s="25">
        <v>66275</v>
      </c>
      <c r="AK36" s="25">
        <v>11290</v>
      </c>
      <c r="AL36" s="25">
        <v>480600</v>
      </c>
      <c r="AM36" s="25">
        <v>73700</v>
      </c>
      <c r="AN36" s="25">
        <v>406900</v>
      </c>
      <c r="AO36" s="25">
        <v>0</v>
      </c>
      <c r="AP36" s="25">
        <f>Lookups!$B$56*0</f>
        <v>0</v>
      </c>
      <c r="AQ36" s="25">
        <f>Lookups!$B$56*1</f>
        <v>89850.625589999996</v>
      </c>
      <c r="AR36" s="25">
        <f>Lookups!$B$57*Inventory[[#This Row],[LnAcres]]</f>
        <v>-110998.74281323297</v>
      </c>
      <c r="AS36" s="25">
        <f>VLOOKUP(Inventory[[#This Row],[Qlty]],Lookups!$A$62:$E$75,2,FALSE)</f>
        <v>29814.093161000001</v>
      </c>
      <c r="AT36" s="25">
        <f>VLOOKUP(Inventory[[#This Row],[Cnd]],Lookups!$A$76:$E$84,2,FALSE)</f>
        <v>160472.20319</v>
      </c>
      <c r="AU36" s="25">
        <f>Inventory[[#This Row],[EffAge]]*Lookups!$B$85</f>
        <v>-5130.0488114999998</v>
      </c>
      <c r="AV36" s="25">
        <f>Inventory[[#This Row],[MainFn]]*Lookups!$B$86</f>
        <v>28706.437198537002</v>
      </c>
      <c r="AW36" s="25">
        <f>Inventory[[#This Row],[UpprFn]]*Lookups!$B$87</f>
        <v>36277.002517410001</v>
      </c>
      <c r="AX36" s="25">
        <f>Inventory[[#This Row],[AddFn]]*Lookups!$B$88</f>
        <v>0</v>
      </c>
      <c r="AY36" s="25">
        <f>Inventory[[#This Row],[Bsmt]]*Lookups!$B$89</f>
        <v>0</v>
      </c>
      <c r="AZ36" s="25">
        <f>Inventory[[#This Row],[Fixtures]]*Lookups!$B$90</f>
        <v>37920.221052000001</v>
      </c>
      <c r="BA36" s="25">
        <f>Inventory[[#This Row],[WdDeck]]*Lookups!$B$91</f>
        <v>0</v>
      </c>
      <c r="BB36" s="25">
        <f>ROUND(Inventory[[#This Row],[25Det]],-2)</f>
        <v>0</v>
      </c>
      <c r="BC36" s="25">
        <f>ROUND(SUM(Inventory[[#This Row],[Mdl Qlty]:[Mdl WdDeck]])+Inventory[[#This Row],[Mdl Res Intercept]],-2)</f>
        <v>288100</v>
      </c>
      <c r="BD36" s="25">
        <f>ROUND(Inventory[[#This Row],[Mdl Land Intercept]]+Inventory[[#This Row],[Mdl LnAcres]],-2)</f>
        <v>-21100</v>
      </c>
      <c r="BE36" s="25">
        <f>Inventory[[#This Row],[Unadj Res Value]]+Inventory[[#This Row],[Unadj Det Value]]+Inventory[[#This Row],[Unadj Land Value]]</f>
        <v>267000</v>
      </c>
      <c r="BF36" s="36">
        <f>(Inventory[[#This Row],[Unadj Total Value]]-Inventory[[#This Row],[24Final]])/Inventory[[#This Row],[24Final]]</f>
        <v>-3.1204644412191583E-2</v>
      </c>
      <c r="BG36" s="25">
        <f>VLOOKUP(Inventory[[#This Row],[Nbhd]],Lookups!$Q$2:$T$4,4,FALSE)</f>
        <v>0.99970000000000003</v>
      </c>
      <c r="BH36" s="25">
        <f>VLOOKUP(Inventory[[#This Row],[Qlty]],Lookups!$O$7:$R$21,4,FALSE)</f>
        <v>1.0088999999999999</v>
      </c>
      <c r="BI36" s="29">
        <f>VLOOKUP(Inventory[[#This Row],[Cnd]],Lookups!$T$7:$W$16,4,FALSE)</f>
        <v>0.99729999999999996</v>
      </c>
      <c r="BJ36" s="25">
        <f>VLOOKUP(Inventory[[#This Row],[LivArea Range]],Lookups!$T$25:$W$37,4,FALSE)</f>
        <v>1.0157</v>
      </c>
      <c r="BK36" s="25">
        <f>VLOOKUP(Inventory[[#This Row],[Decade]],Lookups!$O$25:$R$42,4,FALSE)</f>
        <v>0.97319999999999995</v>
      </c>
      <c r="BL36" s="25">
        <f>Inventory[[#This Row],[Nbhd Adj]]*0.95</f>
        <v>0.94971499999999998</v>
      </c>
      <c r="BM36" s="25">
        <f>Inventory[[#This Row],[Nbhd Adj]]*Inventory[[#This Row],[Quality Adj]]*Inventory[[#This Row],[Condition Adj]]*Inventory[[#This Row],[Living Area Adj]]*Inventory[[#This Row],[Decade Adj]]*0.95</f>
        <v>0.944571398768702</v>
      </c>
      <c r="BN36" s="25">
        <f>ROUND(SUM(Inventory[[#This Row],[Mdl Qlty]:[Mdl WdDeck]])+Inventory[[#This Row],[Mdl Res Intercept]]*Inventory[[#This Row],[Res Adj ]],-2)</f>
        <v>288100</v>
      </c>
      <c r="BO36" s="25">
        <f>ROUND(Inventory[[#This Row],[25Det]]*Inventory[[#This Row],[Det/Nbhd Adj]],-2)</f>
        <v>0</v>
      </c>
      <c r="BP36" s="25">
        <f>Inventory[[#This Row],[Adjusted Res]]+Inventory[[#This Row],[Adj Det ]]</f>
        <v>288100</v>
      </c>
      <c r="BQ36" s="25">
        <f>ROUND((Inventory[[#This Row],[Mdl Land Intercept]]+Inventory[[#This Row],[Mdl LnAcres]])*Inventory[[#This Row],[Det/Nbhd Adj]],-2)</f>
        <v>-20100</v>
      </c>
      <c r="BR36" s="25">
        <f>Inventory[[#This Row],[Adjusted Impr Total]]+Inventory[[#This Row],[Adjusted Land Total]]</f>
        <v>268000</v>
      </c>
      <c r="BS36" s="36">
        <f>IFERROR((Inventory[[#This Row],[Adjusted Impr Total]]-Inventory[[#This Row],[24Bldg]])/Inventory[[#This Row],[24Bldg]],0)</f>
        <v>0.22962014511310286</v>
      </c>
      <c r="BT36" s="36">
        <f>(Inventory[[#This Row],[Adjusted Land Total]]-Inventory[[#This Row],[24Lnd]])/Inventory[[#This Row],[24Lnd]]</f>
        <v>-1.486682808716707</v>
      </c>
      <c r="BU36" s="36">
        <f>(Inventory[[#This Row],[Adjusted Total]]-Inventory[[#This Row],[24Final]])/Inventory[[#This Row],[24Final]]</f>
        <v>-2.7576197387518143E-2</v>
      </c>
    </row>
    <row r="37" spans="1:73" x14ac:dyDescent="0.3">
      <c r="A37" s="25">
        <v>2025</v>
      </c>
      <c r="B37" s="26" t="s">
        <v>2098</v>
      </c>
      <c r="C37" s="26">
        <f>LN(Inventory[[#This Row],[Acres]])</f>
        <v>-3.5065578973199818</v>
      </c>
      <c r="D37" s="25">
        <v>0.38</v>
      </c>
      <c r="E37" s="25">
        <v>16724</v>
      </c>
      <c r="F37" s="26" t="s">
        <v>537</v>
      </c>
      <c r="G37" s="26" t="s">
        <v>126</v>
      </c>
      <c r="H37" s="26" t="s">
        <v>349</v>
      </c>
      <c r="I37" s="26" t="s">
        <v>538</v>
      </c>
      <c r="J37" s="26" t="s">
        <v>608</v>
      </c>
      <c r="K37" s="26" t="s">
        <v>269</v>
      </c>
      <c r="L37" s="26" t="s">
        <v>31</v>
      </c>
      <c r="M37" s="26" t="s">
        <v>323</v>
      </c>
      <c r="N37" s="26">
        <v>80</v>
      </c>
      <c r="O37" s="26">
        <f>2024-Inventory[[#This Row],[YrBlt]]</f>
        <v>23</v>
      </c>
      <c r="P37" s="26">
        <f>2024-Inventory[[#This Row],[EffYr]]</f>
        <v>23</v>
      </c>
      <c r="Q37" s="25">
        <v>1940</v>
      </c>
      <c r="R37" s="25">
        <v>1972</v>
      </c>
      <c r="S37" s="25">
        <v>696</v>
      </c>
      <c r="T37" s="27"/>
      <c r="U37" s="27"/>
      <c r="V37" s="27">
        <f>Inventory[[#This Row],[Bsmt]]-Inventory[[#This Row],[FnBsmt]]</f>
        <v>0</v>
      </c>
      <c r="W37" s="27"/>
      <c r="X37" s="27"/>
      <c r="Y37" s="27">
        <f>Inventory[[#This Row],[MainFn]]+Inventory[[#This Row],[UpprFn]]+Inventory[[#This Row],[FnBsmt]]+Inventory[[#This Row],[AddFn]]</f>
        <v>1391</v>
      </c>
      <c r="Z37" s="27">
        <v>1000</v>
      </c>
      <c r="AA37" s="25">
        <v>5</v>
      </c>
      <c r="AB37" s="27"/>
      <c r="AC37" s="27"/>
      <c r="AD37" s="27"/>
      <c r="AE37" s="27"/>
      <c r="AF37" s="27"/>
      <c r="AG37" s="27"/>
      <c r="AH37" s="27"/>
      <c r="AI37" s="25">
        <v>111711</v>
      </c>
      <c r="AJ37" s="25">
        <v>75963</v>
      </c>
      <c r="AK37" s="25">
        <v>1563</v>
      </c>
      <c r="AL37" s="25">
        <v>442800</v>
      </c>
      <c r="AM37" s="25">
        <v>80800</v>
      </c>
      <c r="AN37" s="25">
        <v>362000</v>
      </c>
      <c r="AO37" s="25">
        <v>0</v>
      </c>
      <c r="AP37" s="25">
        <f>Lookups!$B$56*0</f>
        <v>0</v>
      </c>
      <c r="AQ37" s="25">
        <f>Lookups!$B$56*1</f>
        <v>89850.625589999996</v>
      </c>
      <c r="AR37" s="25">
        <f>Lookups!$B$57*Inventory[[#This Row],[LnAcres]]</f>
        <v>-110998.74281323297</v>
      </c>
      <c r="AS37" s="25">
        <f>VLOOKUP(Inventory[[#This Row],[Qlty]],Lookups!$A$62:$E$75,2,FALSE)</f>
        <v>29814.093161000001</v>
      </c>
      <c r="AT37" s="25">
        <f>VLOOKUP(Inventory[[#This Row],[Cnd]],Lookups!$A$76:$E$84,2,FALSE)</f>
        <v>160472.20319</v>
      </c>
      <c r="AU37" s="25">
        <f>Inventory[[#This Row],[EffAge]]*Lookups!$B$85</f>
        <v>-5130.0488114999998</v>
      </c>
      <c r="AV37" s="25">
        <f>Inventory[[#This Row],[MainFn]]*Lookups!$B$86</f>
        <v>28706.437198537002</v>
      </c>
      <c r="AW37" s="25">
        <f>Inventory[[#This Row],[UpprFn]]*Lookups!$B$87</f>
        <v>36277.002517410001</v>
      </c>
      <c r="AX37" s="25">
        <f>Inventory[[#This Row],[AddFn]]*Lookups!$B$88</f>
        <v>0</v>
      </c>
      <c r="AY37" s="25">
        <f>Inventory[[#This Row],[Bsmt]]*Lookups!$B$89</f>
        <v>0</v>
      </c>
      <c r="AZ37" s="25">
        <f>Inventory[[#This Row],[Fixtures]]*Lookups!$B$90</f>
        <v>37920.221052000001</v>
      </c>
      <c r="BA37" s="25">
        <f>Inventory[[#This Row],[WdDeck]]*Lookups!$B$91</f>
        <v>0</v>
      </c>
      <c r="BB37" s="25">
        <f>ROUND(Inventory[[#This Row],[25Det]],-2)</f>
        <v>0</v>
      </c>
      <c r="BC37" s="25">
        <f>ROUND(SUM(Inventory[[#This Row],[Mdl Qlty]:[Mdl WdDeck]])+Inventory[[#This Row],[Mdl Res Intercept]],-2)</f>
        <v>288100</v>
      </c>
      <c r="BD37" s="25">
        <f>ROUND(Inventory[[#This Row],[Mdl Land Intercept]]+Inventory[[#This Row],[Mdl LnAcres]],-2)</f>
        <v>-21100</v>
      </c>
      <c r="BE37" s="25">
        <f>Inventory[[#This Row],[Unadj Res Value]]+Inventory[[#This Row],[Unadj Det Value]]+Inventory[[#This Row],[Unadj Land Value]]</f>
        <v>267000</v>
      </c>
      <c r="BF37" s="36">
        <f>(Inventory[[#This Row],[Unadj Total Value]]-Inventory[[#This Row],[24Final]])/Inventory[[#This Row],[24Final]]</f>
        <v>-3.1204644412191583E-2</v>
      </c>
      <c r="BG37" s="25">
        <f>VLOOKUP(Inventory[[#This Row],[Nbhd]],Lookups!$Q$2:$T$4,4,FALSE)</f>
        <v>0.99970000000000003</v>
      </c>
      <c r="BH37" s="25">
        <f>VLOOKUP(Inventory[[#This Row],[Qlty]],Lookups!$O$7:$R$21,4,FALSE)</f>
        <v>1.0088999999999999</v>
      </c>
      <c r="BI37" s="29">
        <f>VLOOKUP(Inventory[[#This Row],[Cnd]],Lookups!$T$7:$W$16,4,FALSE)</f>
        <v>0.99729999999999996</v>
      </c>
      <c r="BJ37" s="25">
        <f>VLOOKUP(Inventory[[#This Row],[LivArea Range]],Lookups!$T$25:$W$37,4,FALSE)</f>
        <v>1.0157</v>
      </c>
      <c r="BK37" s="25">
        <f>VLOOKUP(Inventory[[#This Row],[Decade]],Lookups!$O$25:$R$42,4,FALSE)</f>
        <v>0.97319999999999995</v>
      </c>
      <c r="BL37" s="25">
        <f>Inventory[[#This Row],[Nbhd Adj]]*0.95</f>
        <v>0.94971499999999998</v>
      </c>
      <c r="BM37" s="25">
        <f>Inventory[[#This Row],[Nbhd Adj]]*Inventory[[#This Row],[Quality Adj]]*Inventory[[#This Row],[Condition Adj]]*Inventory[[#This Row],[Living Area Adj]]*Inventory[[#This Row],[Decade Adj]]*0.95</f>
        <v>0.944571398768702</v>
      </c>
      <c r="BN37" s="25">
        <f>ROUND(SUM(Inventory[[#This Row],[Mdl Qlty]:[Mdl WdDeck]])+Inventory[[#This Row],[Mdl Res Intercept]]*Inventory[[#This Row],[Res Adj ]],-2)</f>
        <v>288100</v>
      </c>
      <c r="BO37" s="25">
        <f>ROUND(Inventory[[#This Row],[25Det]]*Inventory[[#This Row],[Det/Nbhd Adj]],-2)</f>
        <v>0</v>
      </c>
      <c r="BP37" s="25">
        <f>Inventory[[#This Row],[Adjusted Res]]+Inventory[[#This Row],[Adj Det ]]</f>
        <v>288100</v>
      </c>
      <c r="BQ37" s="25">
        <f>ROUND((Inventory[[#This Row],[Mdl Land Intercept]]+Inventory[[#This Row],[Mdl LnAcres]])*Inventory[[#This Row],[Det/Nbhd Adj]],-2)</f>
        <v>-20100</v>
      </c>
      <c r="BR37" s="25">
        <f>Inventory[[#This Row],[Adjusted Impr Total]]+Inventory[[#This Row],[Adjusted Land Total]]</f>
        <v>268000</v>
      </c>
      <c r="BS37" s="36">
        <f>IFERROR((Inventory[[#This Row],[Adjusted Impr Total]]-Inventory[[#This Row],[24Bldg]])/Inventory[[#This Row],[24Bldg]],0)</f>
        <v>0.22962014511310286</v>
      </c>
      <c r="BT37" s="36">
        <f>(Inventory[[#This Row],[Adjusted Land Total]]-Inventory[[#This Row],[24Lnd]])/Inventory[[#This Row],[24Lnd]]</f>
        <v>-1.486682808716707</v>
      </c>
      <c r="BU37" s="36">
        <f>(Inventory[[#This Row],[Adjusted Total]]-Inventory[[#This Row],[24Final]])/Inventory[[#This Row],[24Final]]</f>
        <v>-2.7576197387518143E-2</v>
      </c>
    </row>
    <row r="38" spans="1:73" x14ac:dyDescent="0.3">
      <c r="A38" s="25">
        <v>2025</v>
      </c>
      <c r="B38" s="26" t="s">
        <v>1662</v>
      </c>
      <c r="C38" s="26">
        <f>LN(Inventory[[#This Row],[Acres]])</f>
        <v>-3.5065578973199818</v>
      </c>
      <c r="D38" s="25">
        <v>0.85</v>
      </c>
      <c r="E38" s="25">
        <v>36971</v>
      </c>
      <c r="F38" s="26" t="s">
        <v>537</v>
      </c>
      <c r="G38" s="26" t="s">
        <v>126</v>
      </c>
      <c r="H38" s="26" t="s">
        <v>349</v>
      </c>
      <c r="I38" s="26" t="s">
        <v>538</v>
      </c>
      <c r="J38" s="26" t="s">
        <v>608</v>
      </c>
      <c r="K38" s="26" t="s">
        <v>242</v>
      </c>
      <c r="L38" s="26" t="s">
        <v>31</v>
      </c>
      <c r="M38" s="26" t="s">
        <v>303</v>
      </c>
      <c r="N38" s="26">
        <v>90</v>
      </c>
      <c r="O38" s="26">
        <f>2024-Inventory[[#This Row],[YrBlt]]</f>
        <v>23</v>
      </c>
      <c r="P38" s="26">
        <f>2024-Inventory[[#This Row],[EffYr]]</f>
        <v>23</v>
      </c>
      <c r="Q38" s="25">
        <v>1930</v>
      </c>
      <c r="R38" s="25">
        <v>1970</v>
      </c>
      <c r="S38" s="25">
        <v>720</v>
      </c>
      <c r="T38" s="27"/>
      <c r="U38" s="32">
        <v>475</v>
      </c>
      <c r="V38" s="32">
        <f>Inventory[[#This Row],[Bsmt]]-Inventory[[#This Row],[FnBsmt]]</f>
        <v>0</v>
      </c>
      <c r="W38" s="27"/>
      <c r="X38" s="27"/>
      <c r="Y38" s="27">
        <f>Inventory[[#This Row],[MainFn]]+Inventory[[#This Row],[UpprFn]]+Inventory[[#This Row],[FnBsmt]]+Inventory[[#This Row],[AddFn]]</f>
        <v>1391</v>
      </c>
      <c r="Z38" s="27">
        <v>1000</v>
      </c>
      <c r="AA38" s="25">
        <v>5</v>
      </c>
      <c r="AB38" s="27"/>
      <c r="AC38" s="27"/>
      <c r="AD38" s="32">
        <v>68</v>
      </c>
      <c r="AE38" s="27"/>
      <c r="AF38" s="27"/>
      <c r="AG38" s="27"/>
      <c r="AH38" s="27"/>
      <c r="AI38" s="25">
        <v>125528</v>
      </c>
      <c r="AJ38" s="25">
        <v>85359</v>
      </c>
      <c r="AK38" s="25">
        <v>74175</v>
      </c>
      <c r="AL38" s="25">
        <v>770100</v>
      </c>
      <c r="AM38" s="25">
        <v>108900</v>
      </c>
      <c r="AN38" s="25">
        <v>661200</v>
      </c>
      <c r="AO38" s="25">
        <v>0</v>
      </c>
      <c r="AP38" s="25">
        <f>Lookups!$B$56*0</f>
        <v>0</v>
      </c>
      <c r="AQ38" s="25">
        <f>Lookups!$B$56*1</f>
        <v>89850.625589999996</v>
      </c>
      <c r="AR38" s="25">
        <f>Lookups!$B$57*Inventory[[#This Row],[LnAcres]]</f>
        <v>-110998.74281323297</v>
      </c>
      <c r="AS38" s="25">
        <f>VLOOKUP(Inventory[[#This Row],[Qlty]],Lookups!$A$62:$E$75,2,FALSE)</f>
        <v>29814.093161000001</v>
      </c>
      <c r="AT38" s="25">
        <f>VLOOKUP(Inventory[[#This Row],[Cnd]],Lookups!$A$76:$E$84,2,FALSE)</f>
        <v>160472.20319</v>
      </c>
      <c r="AU38" s="25">
        <f>Inventory[[#This Row],[EffAge]]*Lookups!$B$85</f>
        <v>-5130.0488114999998</v>
      </c>
      <c r="AV38" s="25">
        <f>Inventory[[#This Row],[MainFn]]*Lookups!$B$86</f>
        <v>28706.437198537002</v>
      </c>
      <c r="AW38" s="25">
        <f>Inventory[[#This Row],[UpprFn]]*Lookups!$B$87</f>
        <v>36277.002517410001</v>
      </c>
      <c r="AX38" s="25">
        <f>Inventory[[#This Row],[AddFn]]*Lookups!$B$88</f>
        <v>0</v>
      </c>
      <c r="AY38" s="25">
        <f>Inventory[[#This Row],[Bsmt]]*Lookups!$B$89</f>
        <v>0</v>
      </c>
      <c r="AZ38" s="25">
        <f>Inventory[[#This Row],[Fixtures]]*Lookups!$B$90</f>
        <v>37920.221052000001</v>
      </c>
      <c r="BA38" s="25">
        <f>Inventory[[#This Row],[WdDeck]]*Lookups!$B$91</f>
        <v>0</v>
      </c>
      <c r="BB38" s="25">
        <f>ROUND(Inventory[[#This Row],[25Det]],-2)</f>
        <v>0</v>
      </c>
      <c r="BC38" s="25">
        <f>ROUND(SUM(Inventory[[#This Row],[Mdl Qlty]:[Mdl WdDeck]])+Inventory[[#This Row],[Mdl Res Intercept]],-2)</f>
        <v>288100</v>
      </c>
      <c r="BD38" s="25">
        <f>ROUND(Inventory[[#This Row],[Mdl Land Intercept]]+Inventory[[#This Row],[Mdl LnAcres]],-2)</f>
        <v>-21100</v>
      </c>
      <c r="BE38" s="25">
        <f>Inventory[[#This Row],[Unadj Res Value]]+Inventory[[#This Row],[Unadj Det Value]]+Inventory[[#This Row],[Unadj Land Value]]</f>
        <v>267000</v>
      </c>
      <c r="BF38" s="36">
        <f>(Inventory[[#This Row],[Unadj Total Value]]-Inventory[[#This Row],[24Final]])/Inventory[[#This Row],[24Final]]</f>
        <v>-3.1204644412191583E-2</v>
      </c>
      <c r="BG38" s="25">
        <f>VLOOKUP(Inventory[[#This Row],[Nbhd]],Lookups!$Q$2:$T$4,4,FALSE)</f>
        <v>0.99970000000000003</v>
      </c>
      <c r="BH38" s="25">
        <f>VLOOKUP(Inventory[[#This Row],[Qlty]],Lookups!$O$7:$R$21,4,FALSE)</f>
        <v>1.0088999999999999</v>
      </c>
      <c r="BI38" s="29">
        <f>VLOOKUP(Inventory[[#This Row],[Cnd]],Lookups!$T$7:$W$16,4,FALSE)</f>
        <v>0.99729999999999996</v>
      </c>
      <c r="BJ38" s="25">
        <f>VLOOKUP(Inventory[[#This Row],[LivArea Range]],Lookups!$T$25:$W$37,4,FALSE)</f>
        <v>1.0157</v>
      </c>
      <c r="BK38" s="25">
        <f>VLOOKUP(Inventory[[#This Row],[Decade]],Lookups!$O$25:$R$42,4,FALSE)</f>
        <v>0.97319999999999995</v>
      </c>
      <c r="BL38" s="25">
        <f>Inventory[[#This Row],[Nbhd Adj]]*0.95</f>
        <v>0.94971499999999998</v>
      </c>
      <c r="BM38" s="25">
        <f>Inventory[[#This Row],[Nbhd Adj]]*Inventory[[#This Row],[Quality Adj]]*Inventory[[#This Row],[Condition Adj]]*Inventory[[#This Row],[Living Area Adj]]*Inventory[[#This Row],[Decade Adj]]*0.95</f>
        <v>0.944571398768702</v>
      </c>
      <c r="BN38" s="25">
        <f>ROUND(SUM(Inventory[[#This Row],[Mdl Qlty]:[Mdl WdDeck]])+Inventory[[#This Row],[Mdl Res Intercept]]*Inventory[[#This Row],[Res Adj ]],-2)</f>
        <v>288100</v>
      </c>
      <c r="BO38" s="25">
        <f>ROUND(Inventory[[#This Row],[25Det]]*Inventory[[#This Row],[Det/Nbhd Adj]],-2)</f>
        <v>0</v>
      </c>
      <c r="BP38" s="25">
        <f>Inventory[[#This Row],[Adjusted Res]]+Inventory[[#This Row],[Adj Det ]]</f>
        <v>288100</v>
      </c>
      <c r="BQ38" s="25">
        <f>ROUND((Inventory[[#This Row],[Mdl Land Intercept]]+Inventory[[#This Row],[Mdl LnAcres]])*Inventory[[#This Row],[Det/Nbhd Adj]],-2)</f>
        <v>-20100</v>
      </c>
      <c r="BR38" s="25">
        <f>Inventory[[#This Row],[Adjusted Impr Total]]+Inventory[[#This Row],[Adjusted Land Total]]</f>
        <v>268000</v>
      </c>
      <c r="BS38" s="36">
        <f>IFERROR((Inventory[[#This Row],[Adjusted Impr Total]]-Inventory[[#This Row],[24Bldg]])/Inventory[[#This Row],[24Bldg]],0)</f>
        <v>0.22962014511310286</v>
      </c>
      <c r="BT38" s="36">
        <f>(Inventory[[#This Row],[Adjusted Land Total]]-Inventory[[#This Row],[24Lnd]])/Inventory[[#This Row],[24Lnd]]</f>
        <v>-1.486682808716707</v>
      </c>
      <c r="BU38" s="36">
        <f>(Inventory[[#This Row],[Adjusted Total]]-Inventory[[#This Row],[24Final]])/Inventory[[#This Row],[24Final]]</f>
        <v>-2.7576197387518143E-2</v>
      </c>
    </row>
    <row r="39" spans="1:73" x14ac:dyDescent="0.3">
      <c r="A39" s="25">
        <v>2025</v>
      </c>
      <c r="B39" s="26" t="s">
        <v>607</v>
      </c>
      <c r="C39" s="26">
        <f>LN(Inventory[[#This Row],[Acres]])</f>
        <v>-3.5065578973199818</v>
      </c>
      <c r="D39" s="25">
        <v>0.63</v>
      </c>
      <c r="E39" s="25">
        <v>27319</v>
      </c>
      <c r="F39" s="26" t="s">
        <v>537</v>
      </c>
      <c r="G39" s="26" t="s">
        <v>126</v>
      </c>
      <c r="H39" s="26" t="s">
        <v>349</v>
      </c>
      <c r="I39" s="26" t="s">
        <v>538</v>
      </c>
      <c r="J39" s="26" t="s">
        <v>608</v>
      </c>
      <c r="K39" s="26" t="s">
        <v>242</v>
      </c>
      <c r="L39" s="26" t="s">
        <v>449</v>
      </c>
      <c r="M39" s="26" t="s">
        <v>206</v>
      </c>
      <c r="N39" s="26">
        <v>70</v>
      </c>
      <c r="O39" s="26">
        <f>2024-Inventory[[#This Row],[YrBlt]]</f>
        <v>23</v>
      </c>
      <c r="P39" s="26">
        <f>2024-Inventory[[#This Row],[EffYr]]</f>
        <v>23</v>
      </c>
      <c r="Q39" s="25">
        <v>1950</v>
      </c>
      <c r="R39" s="25">
        <v>1973</v>
      </c>
      <c r="S39" s="25">
        <v>483</v>
      </c>
      <c r="T39" s="27"/>
      <c r="U39" s="27"/>
      <c r="V39" s="27">
        <f>Inventory[[#This Row],[Bsmt]]-Inventory[[#This Row],[FnBsmt]]</f>
        <v>0</v>
      </c>
      <c r="W39" s="27"/>
      <c r="X39" s="27"/>
      <c r="Y39" s="27">
        <f>Inventory[[#This Row],[MainFn]]+Inventory[[#This Row],[UpprFn]]+Inventory[[#This Row],[FnBsmt]]+Inventory[[#This Row],[AddFn]]</f>
        <v>1391</v>
      </c>
      <c r="Z39" s="27">
        <v>500</v>
      </c>
      <c r="AA39" s="25">
        <v>5</v>
      </c>
      <c r="AB39" s="27"/>
      <c r="AC39" s="27"/>
      <c r="AD39" s="27"/>
      <c r="AE39" s="27"/>
      <c r="AF39" s="27"/>
      <c r="AG39" s="27"/>
      <c r="AH39" s="27"/>
      <c r="AI39" s="25">
        <v>69865</v>
      </c>
      <c r="AJ39" s="25">
        <v>46810</v>
      </c>
      <c r="AK39" s="25">
        <v>53341</v>
      </c>
      <c r="AL39" s="25">
        <v>384600</v>
      </c>
      <c r="AM39" s="25">
        <v>98400</v>
      </c>
      <c r="AN39" s="25">
        <v>286200</v>
      </c>
      <c r="AO39" s="25">
        <v>0</v>
      </c>
      <c r="AP39" s="25">
        <f>Lookups!$B$56*0</f>
        <v>0</v>
      </c>
      <c r="AQ39" s="25">
        <f>Lookups!$B$56*1</f>
        <v>89850.625589999996</v>
      </c>
      <c r="AR39" s="25">
        <f>Lookups!$B$57*Inventory[[#This Row],[LnAcres]]</f>
        <v>-110998.74281323297</v>
      </c>
      <c r="AS39" s="25">
        <f>VLOOKUP(Inventory[[#This Row],[Qlty]],Lookups!$A$62:$E$75,2,FALSE)</f>
        <v>29814.093161000001</v>
      </c>
      <c r="AT39" s="25">
        <f>VLOOKUP(Inventory[[#This Row],[Cnd]],Lookups!$A$76:$E$84,2,FALSE)</f>
        <v>160472.20319</v>
      </c>
      <c r="AU39" s="25">
        <f>Inventory[[#This Row],[EffAge]]*Lookups!$B$85</f>
        <v>-5130.0488114999998</v>
      </c>
      <c r="AV39" s="25">
        <f>Inventory[[#This Row],[MainFn]]*Lookups!$B$86</f>
        <v>28706.437198537002</v>
      </c>
      <c r="AW39" s="25">
        <f>Inventory[[#This Row],[UpprFn]]*Lookups!$B$87</f>
        <v>36277.002517410001</v>
      </c>
      <c r="AX39" s="25">
        <f>Inventory[[#This Row],[AddFn]]*Lookups!$B$88</f>
        <v>0</v>
      </c>
      <c r="AY39" s="25">
        <f>Inventory[[#This Row],[Bsmt]]*Lookups!$B$89</f>
        <v>0</v>
      </c>
      <c r="AZ39" s="25">
        <f>Inventory[[#This Row],[Fixtures]]*Lookups!$B$90</f>
        <v>37920.221052000001</v>
      </c>
      <c r="BA39" s="25">
        <f>Inventory[[#This Row],[WdDeck]]*Lookups!$B$91</f>
        <v>0</v>
      </c>
      <c r="BB39" s="25">
        <f>ROUND(Inventory[[#This Row],[25Det]],-2)</f>
        <v>0</v>
      </c>
      <c r="BC39" s="25">
        <f>ROUND(SUM(Inventory[[#This Row],[Mdl Qlty]:[Mdl WdDeck]])+Inventory[[#This Row],[Mdl Res Intercept]],-2)</f>
        <v>288100</v>
      </c>
      <c r="BD39" s="25">
        <f>ROUND(Inventory[[#This Row],[Mdl Land Intercept]]+Inventory[[#This Row],[Mdl LnAcres]],-2)</f>
        <v>-21100</v>
      </c>
      <c r="BE39" s="25">
        <f>Inventory[[#This Row],[Unadj Res Value]]+Inventory[[#This Row],[Unadj Det Value]]+Inventory[[#This Row],[Unadj Land Value]]</f>
        <v>267000</v>
      </c>
      <c r="BF39" s="36">
        <f>(Inventory[[#This Row],[Unadj Total Value]]-Inventory[[#This Row],[24Final]])/Inventory[[#This Row],[24Final]]</f>
        <v>-3.1204644412191583E-2</v>
      </c>
      <c r="BG39" s="25">
        <f>VLOOKUP(Inventory[[#This Row],[Nbhd]],Lookups!$Q$2:$T$4,4,FALSE)</f>
        <v>0.99970000000000003</v>
      </c>
      <c r="BH39" s="25">
        <f>VLOOKUP(Inventory[[#This Row],[Qlty]],Lookups!$O$7:$R$21,4,FALSE)</f>
        <v>1.0088999999999999</v>
      </c>
      <c r="BI39" s="29">
        <f>VLOOKUP(Inventory[[#This Row],[Cnd]],Lookups!$T$7:$W$16,4,FALSE)</f>
        <v>0.99729999999999996</v>
      </c>
      <c r="BJ39" s="25">
        <f>VLOOKUP(Inventory[[#This Row],[LivArea Range]],Lookups!$T$25:$W$37,4,FALSE)</f>
        <v>1.0157</v>
      </c>
      <c r="BK39" s="25">
        <f>VLOOKUP(Inventory[[#This Row],[Decade]],Lookups!$O$25:$R$42,4,FALSE)</f>
        <v>0.97319999999999995</v>
      </c>
      <c r="BL39" s="25">
        <f>Inventory[[#This Row],[Nbhd Adj]]*0.95</f>
        <v>0.94971499999999998</v>
      </c>
      <c r="BM39" s="25">
        <f>Inventory[[#This Row],[Nbhd Adj]]*Inventory[[#This Row],[Quality Adj]]*Inventory[[#This Row],[Condition Adj]]*Inventory[[#This Row],[Living Area Adj]]*Inventory[[#This Row],[Decade Adj]]*0.95</f>
        <v>0.944571398768702</v>
      </c>
      <c r="BN39" s="25">
        <f>ROUND(SUM(Inventory[[#This Row],[Mdl Qlty]:[Mdl WdDeck]])+Inventory[[#This Row],[Mdl Res Intercept]]*Inventory[[#This Row],[Res Adj ]],-2)</f>
        <v>288100</v>
      </c>
      <c r="BO39" s="25">
        <f>ROUND(Inventory[[#This Row],[25Det]]*Inventory[[#This Row],[Det/Nbhd Adj]],-2)</f>
        <v>0</v>
      </c>
      <c r="BP39" s="25">
        <f>Inventory[[#This Row],[Adjusted Res]]+Inventory[[#This Row],[Adj Det ]]</f>
        <v>288100</v>
      </c>
      <c r="BQ39" s="25">
        <f>ROUND((Inventory[[#This Row],[Mdl Land Intercept]]+Inventory[[#This Row],[Mdl LnAcres]])*Inventory[[#This Row],[Det/Nbhd Adj]],-2)</f>
        <v>-20100</v>
      </c>
      <c r="BR39" s="25">
        <f>Inventory[[#This Row],[Adjusted Impr Total]]+Inventory[[#This Row],[Adjusted Land Total]]</f>
        <v>268000</v>
      </c>
      <c r="BS39" s="36">
        <f>IFERROR((Inventory[[#This Row],[Adjusted Impr Total]]-Inventory[[#This Row],[24Bldg]])/Inventory[[#This Row],[24Bldg]],0)</f>
        <v>0.22962014511310286</v>
      </c>
      <c r="BT39" s="36">
        <f>(Inventory[[#This Row],[Adjusted Land Total]]-Inventory[[#This Row],[24Lnd]])/Inventory[[#This Row],[24Lnd]]</f>
        <v>-1.486682808716707</v>
      </c>
      <c r="BU39" s="36">
        <f>(Inventory[[#This Row],[Adjusted Total]]-Inventory[[#This Row],[24Final]])/Inventory[[#This Row],[24Final]]</f>
        <v>-2.7576197387518143E-2</v>
      </c>
    </row>
    <row r="40" spans="1:73" x14ac:dyDescent="0.3">
      <c r="A40" s="25">
        <v>2025</v>
      </c>
      <c r="B40" s="26" t="s">
        <v>1159</v>
      </c>
      <c r="C40" s="26">
        <f>LN(Inventory[[#This Row],[Acres]])</f>
        <v>-3.5065578973199818</v>
      </c>
      <c r="D40" s="25">
        <v>0.2</v>
      </c>
      <c r="E40" s="31"/>
      <c r="F40" s="26" t="s">
        <v>537</v>
      </c>
      <c r="G40" s="26" t="s">
        <v>126</v>
      </c>
      <c r="H40" s="26" t="s">
        <v>349</v>
      </c>
      <c r="I40" s="26" t="s">
        <v>538</v>
      </c>
      <c r="J40" s="26" t="s">
        <v>608</v>
      </c>
      <c r="K40" s="26" t="s">
        <v>173</v>
      </c>
      <c r="L40" s="26" t="s">
        <v>449</v>
      </c>
      <c r="M40" s="26" t="s">
        <v>206</v>
      </c>
      <c r="N40" s="26">
        <v>50</v>
      </c>
      <c r="O40" s="26">
        <f>2024-Inventory[[#This Row],[YrBlt]]</f>
        <v>23</v>
      </c>
      <c r="P40" s="26">
        <f>2024-Inventory[[#This Row],[EffYr]]</f>
        <v>23</v>
      </c>
      <c r="Q40" s="25">
        <v>1970</v>
      </c>
      <c r="R40" s="25">
        <v>1977</v>
      </c>
      <c r="S40" s="25">
        <v>242</v>
      </c>
      <c r="T40" s="32">
        <v>312</v>
      </c>
      <c r="U40" s="27"/>
      <c r="V40" s="27">
        <f>Inventory[[#This Row],[Bsmt]]-Inventory[[#This Row],[FnBsmt]]</f>
        <v>0</v>
      </c>
      <c r="W40" s="27"/>
      <c r="X40" s="27"/>
      <c r="Y40" s="27">
        <f>Inventory[[#This Row],[MainFn]]+Inventory[[#This Row],[UpprFn]]+Inventory[[#This Row],[FnBsmt]]+Inventory[[#This Row],[AddFn]]</f>
        <v>1391</v>
      </c>
      <c r="Z40" s="27">
        <v>1000</v>
      </c>
      <c r="AA40" s="25">
        <v>4</v>
      </c>
      <c r="AB40" s="31"/>
      <c r="AC40" s="27"/>
      <c r="AD40" s="27"/>
      <c r="AE40" s="27"/>
      <c r="AF40" s="27"/>
      <c r="AG40" s="27"/>
      <c r="AH40" s="27"/>
      <c r="AI40" s="25">
        <v>74189</v>
      </c>
      <c r="AJ40" s="25">
        <v>54158</v>
      </c>
      <c r="AK40" s="25">
        <v>0</v>
      </c>
      <c r="AL40" s="25">
        <v>294700</v>
      </c>
      <c r="AM40" s="25">
        <v>58400</v>
      </c>
      <c r="AN40" s="25">
        <v>236300</v>
      </c>
      <c r="AO40" s="25">
        <v>0</v>
      </c>
      <c r="AP40" s="25">
        <f>Lookups!$B$56*0</f>
        <v>0</v>
      </c>
      <c r="AQ40" s="25">
        <f>Lookups!$B$56*1</f>
        <v>89850.625589999996</v>
      </c>
      <c r="AR40" s="25">
        <f>Lookups!$B$57*Inventory[[#This Row],[LnAcres]]</f>
        <v>-110998.74281323297</v>
      </c>
      <c r="AS40" s="25">
        <f>VLOOKUP(Inventory[[#This Row],[Qlty]],Lookups!$A$62:$E$75,2,FALSE)</f>
        <v>29814.093161000001</v>
      </c>
      <c r="AT40" s="25">
        <f>VLOOKUP(Inventory[[#This Row],[Cnd]],Lookups!$A$76:$E$84,2,FALSE)</f>
        <v>160472.20319</v>
      </c>
      <c r="AU40" s="25">
        <f>Inventory[[#This Row],[EffAge]]*Lookups!$B$85</f>
        <v>-5130.0488114999998</v>
      </c>
      <c r="AV40" s="25">
        <f>Inventory[[#This Row],[MainFn]]*Lookups!$B$86</f>
        <v>28706.437198537002</v>
      </c>
      <c r="AW40" s="25">
        <f>Inventory[[#This Row],[UpprFn]]*Lookups!$B$87</f>
        <v>36277.002517410001</v>
      </c>
      <c r="AX40" s="25">
        <f>Inventory[[#This Row],[AddFn]]*Lookups!$B$88</f>
        <v>0</v>
      </c>
      <c r="AY40" s="25">
        <f>Inventory[[#This Row],[Bsmt]]*Lookups!$B$89</f>
        <v>0</v>
      </c>
      <c r="AZ40" s="25">
        <f>Inventory[[#This Row],[Fixtures]]*Lookups!$B$90</f>
        <v>37920.221052000001</v>
      </c>
      <c r="BA40" s="25">
        <f>Inventory[[#This Row],[WdDeck]]*Lookups!$B$91</f>
        <v>0</v>
      </c>
      <c r="BB40" s="25">
        <f>ROUND(Inventory[[#This Row],[25Det]],-2)</f>
        <v>0</v>
      </c>
      <c r="BC40" s="25">
        <f>ROUND(SUM(Inventory[[#This Row],[Mdl Qlty]:[Mdl WdDeck]])+Inventory[[#This Row],[Mdl Res Intercept]],-2)</f>
        <v>288100</v>
      </c>
      <c r="BD40" s="25">
        <f>ROUND(Inventory[[#This Row],[Mdl Land Intercept]]+Inventory[[#This Row],[Mdl LnAcres]],-2)</f>
        <v>-21100</v>
      </c>
      <c r="BE40" s="25">
        <f>Inventory[[#This Row],[Unadj Res Value]]+Inventory[[#This Row],[Unadj Det Value]]+Inventory[[#This Row],[Unadj Land Value]]</f>
        <v>267000</v>
      </c>
      <c r="BF40" s="36">
        <f>(Inventory[[#This Row],[Unadj Total Value]]-Inventory[[#This Row],[24Final]])/Inventory[[#This Row],[24Final]]</f>
        <v>-3.1204644412191583E-2</v>
      </c>
      <c r="BG40" s="25">
        <f>VLOOKUP(Inventory[[#This Row],[Nbhd]],Lookups!$Q$2:$T$4,4,FALSE)</f>
        <v>0.99970000000000003</v>
      </c>
      <c r="BH40" s="25">
        <f>VLOOKUP(Inventory[[#This Row],[Qlty]],Lookups!$O$7:$R$21,4,FALSE)</f>
        <v>1.0088999999999999</v>
      </c>
      <c r="BI40" s="29">
        <f>VLOOKUP(Inventory[[#This Row],[Cnd]],Lookups!$T$7:$W$16,4,FALSE)</f>
        <v>0.99729999999999996</v>
      </c>
      <c r="BJ40" s="25">
        <f>VLOOKUP(Inventory[[#This Row],[LivArea Range]],Lookups!$T$25:$W$37,4,FALSE)</f>
        <v>1.0157</v>
      </c>
      <c r="BK40" s="25">
        <f>VLOOKUP(Inventory[[#This Row],[Decade]],Lookups!$O$25:$R$42,4,FALSE)</f>
        <v>0.97319999999999995</v>
      </c>
      <c r="BL40" s="25">
        <f>Inventory[[#This Row],[Nbhd Adj]]*0.95</f>
        <v>0.94971499999999998</v>
      </c>
      <c r="BM40" s="25">
        <f>Inventory[[#This Row],[Nbhd Adj]]*Inventory[[#This Row],[Quality Adj]]*Inventory[[#This Row],[Condition Adj]]*Inventory[[#This Row],[Living Area Adj]]*Inventory[[#This Row],[Decade Adj]]*0.95</f>
        <v>0.944571398768702</v>
      </c>
      <c r="BN40" s="25">
        <f>ROUND(SUM(Inventory[[#This Row],[Mdl Qlty]:[Mdl WdDeck]])+Inventory[[#This Row],[Mdl Res Intercept]]*Inventory[[#This Row],[Res Adj ]],-2)</f>
        <v>288100</v>
      </c>
      <c r="BO40" s="25">
        <f>ROUND(Inventory[[#This Row],[25Det]]*Inventory[[#This Row],[Det/Nbhd Adj]],-2)</f>
        <v>0</v>
      </c>
      <c r="BP40" s="25">
        <f>Inventory[[#This Row],[Adjusted Res]]+Inventory[[#This Row],[Adj Det ]]</f>
        <v>288100</v>
      </c>
      <c r="BQ40" s="25">
        <f>ROUND((Inventory[[#This Row],[Mdl Land Intercept]]+Inventory[[#This Row],[Mdl LnAcres]])*Inventory[[#This Row],[Det/Nbhd Adj]],-2)</f>
        <v>-20100</v>
      </c>
      <c r="BR40" s="25">
        <f>Inventory[[#This Row],[Adjusted Impr Total]]+Inventory[[#This Row],[Adjusted Land Total]]</f>
        <v>268000</v>
      </c>
      <c r="BS40" s="36">
        <f>IFERROR((Inventory[[#This Row],[Adjusted Impr Total]]-Inventory[[#This Row],[24Bldg]])/Inventory[[#This Row],[24Bldg]],0)</f>
        <v>0.22962014511310286</v>
      </c>
      <c r="BT40" s="36">
        <f>(Inventory[[#This Row],[Adjusted Land Total]]-Inventory[[#This Row],[24Lnd]])/Inventory[[#This Row],[24Lnd]]</f>
        <v>-1.486682808716707</v>
      </c>
      <c r="BU40" s="36">
        <f>(Inventory[[#This Row],[Adjusted Total]]-Inventory[[#This Row],[24Final]])/Inventory[[#This Row],[24Final]]</f>
        <v>-2.7576197387518143E-2</v>
      </c>
    </row>
    <row r="41" spans="1:73" x14ac:dyDescent="0.3">
      <c r="A41" s="25">
        <v>2025</v>
      </c>
      <c r="B41" s="26" t="s">
        <v>2419</v>
      </c>
      <c r="C41" s="26">
        <f>LN(Inventory[[#This Row],[Acres]])</f>
        <v>-3.5065578973199818</v>
      </c>
      <c r="D41" s="25">
        <v>0.15</v>
      </c>
      <c r="E41" s="31"/>
      <c r="F41" s="26" t="s">
        <v>537</v>
      </c>
      <c r="G41" s="26" t="s">
        <v>126</v>
      </c>
      <c r="H41" s="26" t="s">
        <v>349</v>
      </c>
      <c r="I41" s="26" t="s">
        <v>538</v>
      </c>
      <c r="J41" s="26" t="s">
        <v>608</v>
      </c>
      <c r="K41" s="26" t="s">
        <v>613</v>
      </c>
      <c r="L41" s="26" t="s">
        <v>449</v>
      </c>
      <c r="M41" s="26" t="s">
        <v>206</v>
      </c>
      <c r="N41" s="26">
        <v>80</v>
      </c>
      <c r="O41" s="26">
        <f>2024-Inventory[[#This Row],[YrBlt]]</f>
        <v>23</v>
      </c>
      <c r="P41" s="26">
        <f>2024-Inventory[[#This Row],[EffYr]]</f>
        <v>23</v>
      </c>
      <c r="Q41" s="25">
        <v>1935</v>
      </c>
      <c r="R41" s="25">
        <v>1971</v>
      </c>
      <c r="S41" s="25">
        <v>706</v>
      </c>
      <c r="T41" s="27"/>
      <c r="U41" s="27"/>
      <c r="V41" s="27">
        <f>Inventory[[#This Row],[Bsmt]]-Inventory[[#This Row],[FnBsmt]]</f>
        <v>0</v>
      </c>
      <c r="W41" s="27"/>
      <c r="X41" s="27"/>
      <c r="Y41" s="27">
        <f>Inventory[[#This Row],[MainFn]]+Inventory[[#This Row],[UpprFn]]+Inventory[[#This Row],[FnBsmt]]+Inventory[[#This Row],[AddFn]]</f>
        <v>1391</v>
      </c>
      <c r="Z41" s="27">
        <v>1000</v>
      </c>
      <c r="AA41" s="25">
        <v>5</v>
      </c>
      <c r="AB41" s="31"/>
      <c r="AC41" s="27"/>
      <c r="AD41" s="27"/>
      <c r="AE41" s="27"/>
      <c r="AF41" s="27"/>
      <c r="AG41" s="27"/>
      <c r="AH41" s="27"/>
      <c r="AI41" s="25">
        <v>74435</v>
      </c>
      <c r="AJ41" s="25">
        <v>48383</v>
      </c>
      <c r="AK41" s="25">
        <v>0</v>
      </c>
      <c r="AL41" s="25">
        <v>280500</v>
      </c>
      <c r="AM41" s="25">
        <v>48400</v>
      </c>
      <c r="AN41" s="25">
        <v>232100</v>
      </c>
      <c r="AO41" s="25">
        <v>0</v>
      </c>
      <c r="AP41" s="25">
        <f>Lookups!$B$56*0</f>
        <v>0</v>
      </c>
      <c r="AQ41" s="25">
        <f>Lookups!$B$56*1</f>
        <v>89850.625589999996</v>
      </c>
      <c r="AR41" s="25">
        <f>Lookups!$B$57*Inventory[[#This Row],[LnAcres]]</f>
        <v>-110998.74281323297</v>
      </c>
      <c r="AS41" s="25">
        <f>VLOOKUP(Inventory[[#This Row],[Qlty]],Lookups!$A$62:$E$75,2,FALSE)</f>
        <v>29814.093161000001</v>
      </c>
      <c r="AT41" s="25">
        <f>VLOOKUP(Inventory[[#This Row],[Cnd]],Lookups!$A$76:$E$84,2,FALSE)</f>
        <v>160472.20319</v>
      </c>
      <c r="AU41" s="25">
        <f>Inventory[[#This Row],[EffAge]]*Lookups!$B$85</f>
        <v>-5130.0488114999998</v>
      </c>
      <c r="AV41" s="25">
        <f>Inventory[[#This Row],[MainFn]]*Lookups!$B$86</f>
        <v>28706.437198537002</v>
      </c>
      <c r="AW41" s="25">
        <f>Inventory[[#This Row],[UpprFn]]*Lookups!$B$87</f>
        <v>36277.002517410001</v>
      </c>
      <c r="AX41" s="25">
        <f>Inventory[[#This Row],[AddFn]]*Lookups!$B$88</f>
        <v>0</v>
      </c>
      <c r="AY41" s="25">
        <f>Inventory[[#This Row],[Bsmt]]*Lookups!$B$89</f>
        <v>0</v>
      </c>
      <c r="AZ41" s="25">
        <f>Inventory[[#This Row],[Fixtures]]*Lookups!$B$90</f>
        <v>37920.221052000001</v>
      </c>
      <c r="BA41" s="25">
        <f>Inventory[[#This Row],[WdDeck]]*Lookups!$B$91</f>
        <v>0</v>
      </c>
      <c r="BB41" s="25">
        <f>ROUND(Inventory[[#This Row],[25Det]],-2)</f>
        <v>0</v>
      </c>
      <c r="BC41" s="25">
        <f>ROUND(SUM(Inventory[[#This Row],[Mdl Qlty]:[Mdl WdDeck]])+Inventory[[#This Row],[Mdl Res Intercept]],-2)</f>
        <v>288100</v>
      </c>
      <c r="BD41" s="25">
        <f>ROUND(Inventory[[#This Row],[Mdl Land Intercept]]+Inventory[[#This Row],[Mdl LnAcres]],-2)</f>
        <v>-21100</v>
      </c>
      <c r="BE41" s="25">
        <f>Inventory[[#This Row],[Unadj Res Value]]+Inventory[[#This Row],[Unadj Det Value]]+Inventory[[#This Row],[Unadj Land Value]]</f>
        <v>267000</v>
      </c>
      <c r="BF41" s="36">
        <f>(Inventory[[#This Row],[Unadj Total Value]]-Inventory[[#This Row],[24Final]])/Inventory[[#This Row],[24Final]]</f>
        <v>-3.1204644412191583E-2</v>
      </c>
      <c r="BG41" s="25">
        <f>VLOOKUP(Inventory[[#This Row],[Nbhd]],Lookups!$Q$2:$T$4,4,FALSE)</f>
        <v>0.99970000000000003</v>
      </c>
      <c r="BH41" s="25">
        <f>VLOOKUP(Inventory[[#This Row],[Qlty]],Lookups!$O$7:$R$21,4,FALSE)</f>
        <v>1.0088999999999999</v>
      </c>
      <c r="BI41" s="29">
        <f>VLOOKUP(Inventory[[#This Row],[Cnd]],Lookups!$T$7:$W$16,4,FALSE)</f>
        <v>0.99729999999999996</v>
      </c>
      <c r="BJ41" s="25">
        <f>VLOOKUP(Inventory[[#This Row],[LivArea Range]],Lookups!$T$25:$W$37,4,FALSE)</f>
        <v>1.0157</v>
      </c>
      <c r="BK41" s="25">
        <f>VLOOKUP(Inventory[[#This Row],[Decade]],Lookups!$O$25:$R$42,4,FALSE)</f>
        <v>0.97319999999999995</v>
      </c>
      <c r="BL41" s="25">
        <f>Inventory[[#This Row],[Nbhd Adj]]*0.95</f>
        <v>0.94971499999999998</v>
      </c>
      <c r="BM41" s="25">
        <f>Inventory[[#This Row],[Nbhd Adj]]*Inventory[[#This Row],[Quality Adj]]*Inventory[[#This Row],[Condition Adj]]*Inventory[[#This Row],[Living Area Adj]]*Inventory[[#This Row],[Decade Adj]]*0.95</f>
        <v>0.944571398768702</v>
      </c>
      <c r="BN41" s="25">
        <f>ROUND(SUM(Inventory[[#This Row],[Mdl Qlty]:[Mdl WdDeck]])+Inventory[[#This Row],[Mdl Res Intercept]]*Inventory[[#This Row],[Res Adj ]],-2)</f>
        <v>288100</v>
      </c>
      <c r="BO41" s="25">
        <f>ROUND(Inventory[[#This Row],[25Det]]*Inventory[[#This Row],[Det/Nbhd Adj]],-2)</f>
        <v>0</v>
      </c>
      <c r="BP41" s="25">
        <f>Inventory[[#This Row],[Adjusted Res]]+Inventory[[#This Row],[Adj Det ]]</f>
        <v>288100</v>
      </c>
      <c r="BQ41" s="25">
        <f>ROUND((Inventory[[#This Row],[Mdl Land Intercept]]+Inventory[[#This Row],[Mdl LnAcres]])*Inventory[[#This Row],[Det/Nbhd Adj]],-2)</f>
        <v>-20100</v>
      </c>
      <c r="BR41" s="25">
        <f>Inventory[[#This Row],[Adjusted Impr Total]]+Inventory[[#This Row],[Adjusted Land Total]]</f>
        <v>268000</v>
      </c>
      <c r="BS41" s="36">
        <f>IFERROR((Inventory[[#This Row],[Adjusted Impr Total]]-Inventory[[#This Row],[24Bldg]])/Inventory[[#This Row],[24Bldg]],0)</f>
        <v>0.22962014511310286</v>
      </c>
      <c r="BT41" s="36">
        <f>(Inventory[[#This Row],[Adjusted Land Total]]-Inventory[[#This Row],[24Lnd]])/Inventory[[#This Row],[24Lnd]]</f>
        <v>-1.486682808716707</v>
      </c>
      <c r="BU41" s="36">
        <f>(Inventory[[#This Row],[Adjusted Total]]-Inventory[[#This Row],[24Final]])/Inventory[[#This Row],[24Final]]</f>
        <v>-2.7576197387518143E-2</v>
      </c>
    </row>
    <row r="42" spans="1:73" x14ac:dyDescent="0.3">
      <c r="A42" s="25">
        <v>2025</v>
      </c>
      <c r="B42" s="26" t="s">
        <v>2154</v>
      </c>
      <c r="C42" s="26">
        <f>LN(Inventory[[#This Row],[Acres]])</f>
        <v>-1.5141277326297755</v>
      </c>
      <c r="D42" s="25">
        <v>0.22</v>
      </c>
      <c r="E42" s="31"/>
      <c r="F42" s="26" t="s">
        <v>537</v>
      </c>
      <c r="G42" s="26" t="s">
        <v>126</v>
      </c>
      <c r="H42" s="26" t="s">
        <v>349</v>
      </c>
      <c r="I42" s="26" t="s">
        <v>538</v>
      </c>
      <c r="J42" s="26" t="s">
        <v>608</v>
      </c>
      <c r="K42" s="26" t="s">
        <v>613</v>
      </c>
      <c r="L42" s="26" t="s">
        <v>449</v>
      </c>
      <c r="M42" s="26" t="s">
        <v>323</v>
      </c>
      <c r="N42" s="26">
        <v>90</v>
      </c>
      <c r="O42" s="26">
        <f>2024-Inventory[[#This Row],[YrBlt]]</f>
        <v>24</v>
      </c>
      <c r="P42" s="26">
        <f>2024-Inventory[[#This Row],[EffYr]]</f>
        <v>24</v>
      </c>
      <c r="Q42" s="25">
        <v>1930</v>
      </c>
      <c r="R42" s="25">
        <v>1970</v>
      </c>
      <c r="S42" s="25">
        <v>808</v>
      </c>
      <c r="T42" s="27"/>
      <c r="U42" s="27"/>
      <c r="V42" s="27">
        <f>Inventory[[#This Row],[Bsmt]]-Inventory[[#This Row],[FnBsmt]]</f>
        <v>0</v>
      </c>
      <c r="W42" s="27"/>
      <c r="X42" s="27"/>
      <c r="Y42" s="27">
        <f>Inventory[[#This Row],[MainFn]]+Inventory[[#This Row],[UpprFn]]+Inventory[[#This Row],[FnBsmt]]+Inventory[[#This Row],[AddFn]]</f>
        <v>1912</v>
      </c>
      <c r="Z42" s="27">
        <v>1000</v>
      </c>
      <c r="AA42" s="25">
        <v>5</v>
      </c>
      <c r="AB42" s="31"/>
      <c r="AC42" s="27"/>
      <c r="AD42" s="27"/>
      <c r="AE42" s="27"/>
      <c r="AF42" s="27"/>
      <c r="AG42" s="27"/>
      <c r="AH42" s="27"/>
      <c r="AI42" s="25">
        <v>89158</v>
      </c>
      <c r="AJ42" s="25">
        <v>58844</v>
      </c>
      <c r="AK42" s="25">
        <v>0</v>
      </c>
      <c r="AL42" s="25">
        <v>366100</v>
      </c>
      <c r="AM42" s="25">
        <v>61700</v>
      </c>
      <c r="AN42" s="25">
        <v>304400</v>
      </c>
      <c r="AO42" s="25">
        <v>0</v>
      </c>
      <c r="AP42" s="25">
        <f>Lookups!$B$56*0</f>
        <v>0</v>
      </c>
      <c r="AQ42" s="25">
        <f>Lookups!$B$56*1</f>
        <v>89850.625589999996</v>
      </c>
      <c r="AR42" s="25">
        <f>Lookups!$B$57*Inventory[[#This Row],[LnAcres]]</f>
        <v>-47929.131559187132</v>
      </c>
      <c r="AS42" s="25">
        <f>VLOOKUP(Inventory[[#This Row],[Qlty]],Lookups!$A$62:$E$75,2,FALSE)</f>
        <v>44121.038090000002</v>
      </c>
      <c r="AT42" s="25">
        <f>VLOOKUP(Inventory[[#This Row],[Cnd]],Lookups!$A$76:$E$84,2,FALSE)</f>
        <v>197752.34721000001</v>
      </c>
      <c r="AU42" s="25">
        <f>Inventory[[#This Row],[EffAge]]*Lookups!$B$85</f>
        <v>-5353.0944120000004</v>
      </c>
      <c r="AV42" s="25">
        <f>Inventory[[#This Row],[MainFn]]*Lookups!$B$86</f>
        <v>94469.376804824002</v>
      </c>
      <c r="AW42" s="25">
        <f>Inventory[[#This Row],[UpprFn]]*Lookups!$B$87</f>
        <v>0</v>
      </c>
      <c r="AX42" s="25">
        <f>Inventory[[#This Row],[AddFn]]*Lookups!$B$88</f>
        <v>0</v>
      </c>
      <c r="AY42" s="25">
        <f>Inventory[[#This Row],[Bsmt]]*Lookups!$B$89</f>
        <v>0</v>
      </c>
      <c r="AZ42" s="25">
        <f>Inventory[[#This Row],[Fixtures]]*Lookups!$B$90</f>
        <v>34128.198946800003</v>
      </c>
      <c r="BA42" s="25">
        <f>Inventory[[#This Row],[WdDeck]]*Lookups!$B$91</f>
        <v>12785.477865984001</v>
      </c>
      <c r="BB42" s="25">
        <f>ROUND(Inventory[[#This Row],[25Det]],-2)</f>
        <v>0</v>
      </c>
      <c r="BC42" s="25">
        <f>ROUND(SUM(Inventory[[#This Row],[Mdl Qlty]:[Mdl WdDeck]])+Inventory[[#This Row],[Mdl Res Intercept]],-2)</f>
        <v>377900</v>
      </c>
      <c r="BD42" s="25">
        <f>ROUND(Inventory[[#This Row],[Mdl Land Intercept]]+Inventory[[#This Row],[Mdl LnAcres]],-2)</f>
        <v>41900</v>
      </c>
      <c r="BE42" s="25">
        <f>Inventory[[#This Row],[Unadj Res Value]]+Inventory[[#This Row],[Unadj Det Value]]+Inventory[[#This Row],[Unadj Land Value]]</f>
        <v>419800</v>
      </c>
      <c r="BF42" s="36">
        <f>(Inventory[[#This Row],[Unadj Total Value]]-Inventory[[#This Row],[24Final]])/Inventory[[#This Row],[24Final]]</f>
        <v>8.5315408479834542E-2</v>
      </c>
      <c r="BG42" s="25">
        <f>VLOOKUP(Inventory[[#This Row],[Nbhd]],Lookups!$Q$2:$T$4,4,FALSE)</f>
        <v>0.99970000000000003</v>
      </c>
      <c r="BH42" s="25">
        <f>VLOOKUP(Inventory[[#This Row],[Qlty]],Lookups!$O$7:$R$21,4,FALSE)</f>
        <v>0.98050000000000004</v>
      </c>
      <c r="BI42" s="29">
        <f>VLOOKUP(Inventory[[#This Row],[Cnd]],Lookups!$T$7:$W$16,4,FALSE)</f>
        <v>0.99650000000000005</v>
      </c>
      <c r="BJ42" s="25">
        <f>VLOOKUP(Inventory[[#This Row],[LivArea Range]],Lookups!$T$25:$W$37,4,FALSE)</f>
        <v>1.0093000000000001</v>
      </c>
      <c r="BK42" s="25">
        <f>VLOOKUP(Inventory[[#This Row],[Decade]],Lookups!$O$25:$R$42,4,FALSE)</f>
        <v>0.97319999999999995</v>
      </c>
      <c r="BL42" s="25">
        <f>Inventory[[#This Row],[Nbhd Adj]]*0.95</f>
        <v>0.94971499999999998</v>
      </c>
      <c r="BM42" s="25">
        <f>Inventory[[#This Row],[Nbhd Adj]]*Inventory[[#This Row],[Quality Adj]]*Inventory[[#This Row],[Condition Adj]]*Inventory[[#This Row],[Living Area Adj]]*Inventory[[#This Row],[Decade Adj]]*0.95</f>
        <v>0.91146620765877828</v>
      </c>
      <c r="BN42" s="25">
        <f>ROUND(SUM(Inventory[[#This Row],[Mdl Qlty]:[Mdl WdDeck]])+Inventory[[#This Row],[Mdl Res Intercept]]*Inventory[[#This Row],[Res Adj ]],-2)</f>
        <v>377900</v>
      </c>
      <c r="BO42" s="25">
        <f>ROUND(Inventory[[#This Row],[25Det]]*Inventory[[#This Row],[Det/Nbhd Adj]],-2)</f>
        <v>0</v>
      </c>
      <c r="BP42" s="25">
        <f>Inventory[[#This Row],[Adjusted Res]]+Inventory[[#This Row],[Adj Det ]]</f>
        <v>377900</v>
      </c>
      <c r="BQ42" s="25">
        <f>ROUND((Inventory[[#This Row],[Mdl Land Intercept]]+Inventory[[#This Row],[Mdl LnAcres]])*Inventory[[#This Row],[Det/Nbhd Adj]],-2)</f>
        <v>39800</v>
      </c>
      <c r="BR42" s="25">
        <f>Inventory[[#This Row],[Adjusted Impr Total]]+Inventory[[#This Row],[Adjusted Land Total]]</f>
        <v>417700</v>
      </c>
      <c r="BS42" s="36">
        <f>IFERROR((Inventory[[#This Row],[Adjusted Impr Total]]-Inventory[[#This Row],[24Bldg]])/Inventory[[#This Row],[24Bldg]],0)</f>
        <v>0.16241156567210088</v>
      </c>
      <c r="BT42" s="36">
        <f>(Inventory[[#This Row],[Adjusted Land Total]]-Inventory[[#This Row],[24Lnd]])/Inventory[[#This Row],[24Lnd]]</f>
        <v>-0.35494327390599678</v>
      </c>
      <c r="BU42" s="36">
        <f>(Inventory[[#This Row],[Adjusted Total]]-Inventory[[#This Row],[24Final]])/Inventory[[#This Row],[24Final]]</f>
        <v>7.9886246122026883E-2</v>
      </c>
    </row>
    <row r="43" spans="1:73" x14ac:dyDescent="0.3">
      <c r="A43" s="25">
        <v>2025</v>
      </c>
      <c r="B43" s="26" t="s">
        <v>2834</v>
      </c>
      <c r="C43" s="26">
        <f>LN(Inventory[[#This Row],[Acres]])</f>
        <v>-0.61618613942381695</v>
      </c>
      <c r="D43" s="25">
        <v>0.22</v>
      </c>
      <c r="E43" s="31"/>
      <c r="F43" s="26" t="s">
        <v>537</v>
      </c>
      <c r="G43" s="26" t="s">
        <v>126</v>
      </c>
      <c r="H43" s="26" t="s">
        <v>349</v>
      </c>
      <c r="I43" s="26" t="s">
        <v>538</v>
      </c>
      <c r="J43" s="26" t="s">
        <v>608</v>
      </c>
      <c r="K43" s="26" t="s">
        <v>269</v>
      </c>
      <c r="L43" s="26" t="s">
        <v>205</v>
      </c>
      <c r="M43" s="26" t="s">
        <v>323</v>
      </c>
      <c r="N43" s="26">
        <v>90</v>
      </c>
      <c r="O43" s="26">
        <f>2024-Inventory[[#This Row],[YrBlt]]</f>
        <v>24</v>
      </c>
      <c r="P43" s="26">
        <f>2024-Inventory[[#This Row],[EffYr]]</f>
        <v>24</v>
      </c>
      <c r="Q43" s="25">
        <v>1930</v>
      </c>
      <c r="R43" s="25">
        <v>1970</v>
      </c>
      <c r="S43" s="25">
        <v>720</v>
      </c>
      <c r="T43" s="27"/>
      <c r="U43" s="32">
        <v>720</v>
      </c>
      <c r="V43" s="32">
        <f>Inventory[[#This Row],[Bsmt]]-Inventory[[#This Row],[FnBsmt]]</f>
        <v>0</v>
      </c>
      <c r="W43" s="27"/>
      <c r="X43" s="27"/>
      <c r="Y43" s="27">
        <f>Inventory[[#This Row],[MainFn]]+Inventory[[#This Row],[UpprFn]]+Inventory[[#This Row],[FnBsmt]]+Inventory[[#This Row],[AddFn]]</f>
        <v>1886</v>
      </c>
      <c r="Z43" s="27">
        <v>1000</v>
      </c>
      <c r="AA43" s="25">
        <v>5</v>
      </c>
      <c r="AB43" s="31"/>
      <c r="AC43" s="27"/>
      <c r="AD43" s="27"/>
      <c r="AE43" s="27"/>
      <c r="AF43" s="27"/>
      <c r="AG43" s="27"/>
      <c r="AH43" s="27"/>
      <c r="AI43" s="25">
        <v>159743</v>
      </c>
      <c r="AJ43" s="25">
        <v>105430</v>
      </c>
      <c r="AK43" s="25">
        <v>0</v>
      </c>
      <c r="AL43" s="25">
        <v>266100</v>
      </c>
      <c r="AM43" s="25">
        <v>61700</v>
      </c>
      <c r="AN43" s="25">
        <v>204400</v>
      </c>
      <c r="AO43" s="25">
        <v>0</v>
      </c>
      <c r="AP43" s="25">
        <f>Lookups!$B$56*0</f>
        <v>0</v>
      </c>
      <c r="AQ43" s="25">
        <f>Lookups!$B$56*1</f>
        <v>89850.625589999996</v>
      </c>
      <c r="AR43" s="25">
        <f>Lookups!$B$57*Inventory[[#This Row],[LnAcres]]</f>
        <v>-19505.135468391178</v>
      </c>
      <c r="AS43" s="25">
        <f>VLOOKUP(Inventory[[#This Row],[Qlty]],Lookups!$A$62:$E$75,2,FALSE)</f>
        <v>44121.038090000002</v>
      </c>
      <c r="AT43" s="25">
        <f>VLOOKUP(Inventory[[#This Row],[Cnd]],Lookups!$A$76:$E$84,2,FALSE)</f>
        <v>160472.20319</v>
      </c>
      <c r="AU43" s="25">
        <f>Inventory[[#This Row],[EffAge]]*Lookups!$B$85</f>
        <v>-5353.0944120000004</v>
      </c>
      <c r="AV43" s="25">
        <f>Inventory[[#This Row],[MainFn]]*Lookups!$B$86</f>
        <v>93184.751388022007</v>
      </c>
      <c r="AW43" s="25">
        <f>Inventory[[#This Row],[UpprFn]]*Lookups!$B$87</f>
        <v>0</v>
      </c>
      <c r="AX43" s="25">
        <f>Inventory[[#This Row],[AddFn]]*Lookups!$B$88</f>
        <v>0</v>
      </c>
      <c r="AY43" s="25">
        <f>Inventory[[#This Row],[Bsmt]]*Lookups!$B$89</f>
        <v>0</v>
      </c>
      <c r="AZ43" s="25">
        <f>Inventory[[#This Row],[Fixtures]]*Lookups!$B$90</f>
        <v>30336.176841600001</v>
      </c>
      <c r="BA43" s="25">
        <f>Inventory[[#This Row],[WdDeck]]*Lookups!$B$91</f>
        <v>0</v>
      </c>
      <c r="BB43" s="25">
        <f>ROUND(Inventory[[#This Row],[25Det]],-2)</f>
        <v>9700</v>
      </c>
      <c r="BC43" s="25">
        <f>ROUND(SUM(Inventory[[#This Row],[Mdl Qlty]:[Mdl WdDeck]])+Inventory[[#This Row],[Mdl Res Intercept]],-2)</f>
        <v>322800</v>
      </c>
      <c r="BD43" s="25">
        <f>ROUND(Inventory[[#This Row],[Mdl Land Intercept]]+Inventory[[#This Row],[Mdl LnAcres]],-2)</f>
        <v>70300</v>
      </c>
      <c r="BE43" s="25">
        <f>Inventory[[#This Row],[Unadj Res Value]]+Inventory[[#This Row],[Unadj Det Value]]+Inventory[[#This Row],[Unadj Land Value]]</f>
        <v>402800</v>
      </c>
      <c r="BF43" s="36">
        <f>(Inventory[[#This Row],[Unadj Total Value]]-Inventory[[#This Row],[24Final]])/Inventory[[#This Row],[24Final]]</f>
        <v>1.0283421118635566E-2</v>
      </c>
      <c r="BG43" s="25">
        <f>VLOOKUP(Inventory[[#This Row],[Nbhd]],Lookups!$Q$2:$T$4,4,FALSE)</f>
        <v>0.99970000000000003</v>
      </c>
      <c r="BH43" s="25">
        <f>VLOOKUP(Inventory[[#This Row],[Qlty]],Lookups!$O$7:$R$21,4,FALSE)</f>
        <v>0.98050000000000004</v>
      </c>
      <c r="BI43" s="29">
        <f>VLOOKUP(Inventory[[#This Row],[Cnd]],Lookups!$T$7:$W$16,4,FALSE)</f>
        <v>0.99729999999999996</v>
      </c>
      <c r="BJ43" s="25">
        <f>VLOOKUP(Inventory[[#This Row],[LivArea Range]],Lookups!$T$25:$W$37,4,FALSE)</f>
        <v>1.0093000000000001</v>
      </c>
      <c r="BK43" s="25">
        <f>VLOOKUP(Inventory[[#This Row],[Decade]],Lookups!$O$25:$R$42,4,FALSE)</f>
        <v>0.97319999999999995</v>
      </c>
      <c r="BL43" s="25">
        <f>Inventory[[#This Row],[Nbhd Adj]]*0.95</f>
        <v>0.94971499999999998</v>
      </c>
      <c r="BM43" s="25">
        <f>Inventory[[#This Row],[Nbhd Adj]]*Inventory[[#This Row],[Quality Adj]]*Inventory[[#This Row],[Condition Adj]]*Inventory[[#This Row],[Living Area Adj]]*Inventory[[#This Row],[Decade Adj]]*0.95</f>
        <v>0.91219794169402857</v>
      </c>
      <c r="BN43" s="25">
        <f>ROUND(SUM(Inventory[[#This Row],[Mdl Qlty]:[Mdl WdDeck]])+Inventory[[#This Row],[Mdl Res Intercept]]*Inventory[[#This Row],[Res Adj ]],-2)</f>
        <v>322800</v>
      </c>
      <c r="BO43" s="25">
        <f>ROUND(Inventory[[#This Row],[25Det]]*Inventory[[#This Row],[Det/Nbhd Adj]],-2)</f>
        <v>9200</v>
      </c>
      <c r="BP43" s="25">
        <f>Inventory[[#This Row],[Adjusted Res]]+Inventory[[#This Row],[Adj Det ]]</f>
        <v>332000</v>
      </c>
      <c r="BQ43" s="25">
        <f>ROUND((Inventory[[#This Row],[Mdl Land Intercept]]+Inventory[[#This Row],[Mdl LnAcres]])*Inventory[[#This Row],[Det/Nbhd Adj]],-2)</f>
        <v>66800</v>
      </c>
      <c r="BR43" s="25">
        <f>Inventory[[#This Row],[Adjusted Impr Total]]+Inventory[[#This Row],[Adjusted Land Total]]</f>
        <v>398800</v>
      </c>
      <c r="BS43" s="36">
        <f>IFERROR((Inventory[[#This Row],[Adjusted Impr Total]]-Inventory[[#This Row],[24Bldg]])/Inventory[[#This Row],[24Bldg]],0)</f>
        <v>8.6032057572783774E-2</v>
      </c>
      <c r="BT43" s="36">
        <f>(Inventory[[#This Row],[Adjusted Land Total]]-Inventory[[#This Row],[24Lnd]])/Inventory[[#This Row],[24Lnd]]</f>
        <v>-0.2817204301075269</v>
      </c>
      <c r="BU43" s="36">
        <f>(Inventory[[#This Row],[Adjusted Total]]-Inventory[[#This Row],[24Final]])/Inventory[[#This Row],[24Final]]</f>
        <v>2.5081514923501377E-4</v>
      </c>
    </row>
    <row r="44" spans="1:73" x14ac:dyDescent="0.3">
      <c r="A44" s="25">
        <v>2025</v>
      </c>
      <c r="B44" s="26" t="s">
        <v>799</v>
      </c>
      <c r="C44" s="26">
        <f>LN(Inventory[[#This Row],[Acres]])</f>
        <v>-2.120263536200091</v>
      </c>
      <c r="D44" s="25">
        <v>0.19</v>
      </c>
      <c r="E44" s="25">
        <v>8143</v>
      </c>
      <c r="F44" s="26" t="s">
        <v>537</v>
      </c>
      <c r="G44" s="26" t="s">
        <v>126</v>
      </c>
      <c r="H44" s="26" t="s">
        <v>349</v>
      </c>
      <c r="I44" s="26" t="s">
        <v>538</v>
      </c>
      <c r="J44" s="26" t="s">
        <v>608</v>
      </c>
      <c r="K44" s="26" t="s">
        <v>242</v>
      </c>
      <c r="L44" s="26" t="s">
        <v>205</v>
      </c>
      <c r="M44" s="26" t="s">
        <v>323</v>
      </c>
      <c r="N44" s="26">
        <v>80</v>
      </c>
      <c r="O44" s="26">
        <f>2024-Inventory[[#This Row],[YrBlt]]</f>
        <v>25</v>
      </c>
      <c r="P44" s="26">
        <f>2024-Inventory[[#This Row],[EffYr]]</f>
        <v>25</v>
      </c>
      <c r="Q44" s="25">
        <v>1940</v>
      </c>
      <c r="R44" s="25">
        <v>1972</v>
      </c>
      <c r="S44" s="25">
        <v>832</v>
      </c>
      <c r="T44" s="31"/>
      <c r="U44" s="27"/>
      <c r="V44" s="27">
        <f>Inventory[[#This Row],[Bsmt]]-Inventory[[#This Row],[FnBsmt]]</f>
        <v>0</v>
      </c>
      <c r="W44" s="27"/>
      <c r="X44" s="27"/>
      <c r="Y44" s="27">
        <f>Inventory[[#This Row],[MainFn]]+Inventory[[#This Row],[UpprFn]]+Inventory[[#This Row],[FnBsmt]]+Inventory[[#This Row],[AddFn]]</f>
        <v>1546</v>
      </c>
      <c r="Z44" s="27">
        <v>1000</v>
      </c>
      <c r="AA44" s="25">
        <v>5</v>
      </c>
      <c r="AB44" s="25">
        <v>280</v>
      </c>
      <c r="AC44" s="27"/>
      <c r="AD44" s="31"/>
      <c r="AE44" s="27"/>
      <c r="AF44" s="27"/>
      <c r="AG44" s="27"/>
      <c r="AH44" s="27"/>
      <c r="AI44" s="25">
        <v>138628</v>
      </c>
      <c r="AJ44" s="25">
        <v>94267</v>
      </c>
      <c r="AK44" s="25">
        <v>0</v>
      </c>
      <c r="AL44" s="25">
        <v>320600</v>
      </c>
      <c r="AM44" s="25">
        <v>56600</v>
      </c>
      <c r="AN44" s="25">
        <v>264000</v>
      </c>
      <c r="AO44" s="25">
        <v>0</v>
      </c>
      <c r="AP44" s="25">
        <f>Lookups!$B$56*0</f>
        <v>0</v>
      </c>
      <c r="AQ44" s="25">
        <f>Lookups!$B$56*1</f>
        <v>89850.625589999996</v>
      </c>
      <c r="AR44" s="25">
        <f>Lookups!$B$57*Inventory[[#This Row],[LnAcres]]</f>
        <v>-67116.12750806773</v>
      </c>
      <c r="AS44" s="25">
        <f>VLOOKUP(Inventory[[#This Row],[Qlty]],Lookups!$A$62:$E$75,2,FALSE)</f>
        <v>44121.038090000002</v>
      </c>
      <c r="AT44" s="25">
        <f>VLOOKUP(Inventory[[#This Row],[Cnd]],Lookups!$A$76:$E$84,2,FALSE)</f>
        <v>197752.34721000001</v>
      </c>
      <c r="AU44" s="25">
        <f>Inventory[[#This Row],[EffAge]]*Lookups!$B$85</f>
        <v>-5576.1400125</v>
      </c>
      <c r="AV44" s="25">
        <f>Inventory[[#This Row],[MainFn]]*Lookups!$B$86</f>
        <v>52768.459428636001</v>
      </c>
      <c r="AW44" s="25">
        <f>Inventory[[#This Row],[UpprFn]]*Lookups!$B$87</f>
        <v>21407.910127558</v>
      </c>
      <c r="AX44" s="25">
        <f>Inventory[[#This Row],[AddFn]]*Lookups!$B$88</f>
        <v>0</v>
      </c>
      <c r="AY44" s="25">
        <f>Inventory[[#This Row],[Bsmt]]*Lookups!$B$89</f>
        <v>0</v>
      </c>
      <c r="AZ44" s="25">
        <f>Inventory[[#This Row],[Fixtures]]*Lookups!$B$90</f>
        <v>45504.265262400004</v>
      </c>
      <c r="BA44" s="25">
        <f>Inventory[[#This Row],[WdDeck]]*Lookups!$B$91</f>
        <v>4794.5541997440005</v>
      </c>
      <c r="BB44" s="25">
        <f>ROUND(Inventory[[#This Row],[25Det]],-2)</f>
        <v>0</v>
      </c>
      <c r="BC44" s="25">
        <f>ROUND(SUM(Inventory[[#This Row],[Mdl Qlty]:[Mdl WdDeck]])+Inventory[[#This Row],[Mdl Res Intercept]],-2)</f>
        <v>360800</v>
      </c>
      <c r="BD44" s="25">
        <f>ROUND(Inventory[[#This Row],[Mdl Land Intercept]]+Inventory[[#This Row],[Mdl LnAcres]],-2)</f>
        <v>22700</v>
      </c>
      <c r="BE44" s="25">
        <f>Inventory[[#This Row],[Unadj Res Value]]+Inventory[[#This Row],[Unadj Det Value]]+Inventory[[#This Row],[Unadj Land Value]]</f>
        <v>383500</v>
      </c>
      <c r="BF44" s="36">
        <f>(Inventory[[#This Row],[Unadj Total Value]]-Inventory[[#This Row],[24Final]])/Inventory[[#This Row],[24Final]]</f>
        <v>2.5949705724986623E-2</v>
      </c>
      <c r="BG44" s="25">
        <f>VLOOKUP(Inventory[[#This Row],[Nbhd]],Lookups!$Q$2:$T$4,4,FALSE)</f>
        <v>0.99970000000000003</v>
      </c>
      <c r="BH44" s="25">
        <f>VLOOKUP(Inventory[[#This Row],[Qlty]],Lookups!$O$7:$R$21,4,FALSE)</f>
        <v>0.98050000000000004</v>
      </c>
      <c r="BI44" s="29">
        <f>VLOOKUP(Inventory[[#This Row],[Cnd]],Lookups!$T$7:$W$16,4,FALSE)</f>
        <v>0.99650000000000005</v>
      </c>
      <c r="BJ44" s="25">
        <f>VLOOKUP(Inventory[[#This Row],[LivArea Range]],Lookups!$T$25:$W$37,4,FALSE)</f>
        <v>1.0093000000000001</v>
      </c>
      <c r="BK44" s="25">
        <f>VLOOKUP(Inventory[[#This Row],[Decade]],Lookups!$O$25:$R$42,4,FALSE)</f>
        <v>0.97319999999999995</v>
      </c>
      <c r="BL44" s="25">
        <f>Inventory[[#This Row],[Nbhd Adj]]*0.95</f>
        <v>0.94971499999999998</v>
      </c>
      <c r="BM44" s="25">
        <f>Inventory[[#This Row],[Nbhd Adj]]*Inventory[[#This Row],[Quality Adj]]*Inventory[[#This Row],[Condition Adj]]*Inventory[[#This Row],[Living Area Adj]]*Inventory[[#This Row],[Decade Adj]]*0.95</f>
        <v>0.91146620765877828</v>
      </c>
      <c r="BN44" s="25">
        <f>ROUND(SUM(Inventory[[#This Row],[Mdl Qlty]:[Mdl WdDeck]])+Inventory[[#This Row],[Mdl Res Intercept]]*Inventory[[#This Row],[Res Adj ]],-2)</f>
        <v>360800</v>
      </c>
      <c r="BO44" s="25">
        <f>ROUND(Inventory[[#This Row],[25Det]]*Inventory[[#This Row],[Det/Nbhd Adj]],-2)</f>
        <v>0</v>
      </c>
      <c r="BP44" s="25">
        <f>Inventory[[#This Row],[Adjusted Res]]+Inventory[[#This Row],[Adj Det ]]</f>
        <v>360800</v>
      </c>
      <c r="BQ44" s="25">
        <f>ROUND((Inventory[[#This Row],[Mdl Land Intercept]]+Inventory[[#This Row],[Mdl LnAcres]])*Inventory[[#This Row],[Det/Nbhd Adj]],-2)</f>
        <v>21600</v>
      </c>
      <c r="BR44" s="25">
        <f>Inventory[[#This Row],[Adjusted Impr Total]]+Inventory[[#This Row],[Adjusted Land Total]]</f>
        <v>382400</v>
      </c>
      <c r="BS44" s="36">
        <f>IFERROR((Inventory[[#This Row],[Adjusted Impr Total]]-Inventory[[#This Row],[24Bldg]])/Inventory[[#This Row],[24Bldg]],0)</f>
        <v>9.3664746892997877E-2</v>
      </c>
      <c r="BT44" s="36">
        <f>(Inventory[[#This Row],[Adjusted Land Total]]-Inventory[[#This Row],[24Lnd]])/Inventory[[#This Row],[24Lnd]]</f>
        <v>-0.50797266514806383</v>
      </c>
      <c r="BU44" s="36">
        <f>(Inventory[[#This Row],[Adjusted Total]]-Inventory[[#This Row],[24Final]])/Inventory[[#This Row],[24Final]]</f>
        <v>2.3006955591225255E-2</v>
      </c>
    </row>
    <row r="45" spans="1:73" x14ac:dyDescent="0.3">
      <c r="A45" s="25">
        <v>2025</v>
      </c>
      <c r="B45" s="26" t="s">
        <v>799</v>
      </c>
      <c r="C45" s="26">
        <f>LN(Inventory[[#This Row],[Acres]])</f>
        <v>-2.2072749131897207</v>
      </c>
      <c r="D45" s="25">
        <v>0.19</v>
      </c>
      <c r="E45" s="25">
        <v>8143</v>
      </c>
      <c r="F45" s="26" t="s">
        <v>537</v>
      </c>
      <c r="G45" s="26" t="s">
        <v>126</v>
      </c>
      <c r="H45" s="26" t="s">
        <v>349</v>
      </c>
      <c r="I45" s="26" t="s">
        <v>538</v>
      </c>
      <c r="J45" s="26" t="s">
        <v>608</v>
      </c>
      <c r="K45" s="26" t="s">
        <v>242</v>
      </c>
      <c r="L45" s="26" t="s">
        <v>205</v>
      </c>
      <c r="M45" s="26" t="s">
        <v>323</v>
      </c>
      <c r="N45" s="26">
        <v>80</v>
      </c>
      <c r="O45" s="26">
        <f>2024-Inventory[[#This Row],[YrBlt]]</f>
        <v>25</v>
      </c>
      <c r="P45" s="26">
        <f>2024-Inventory[[#This Row],[EffYr]]</f>
        <v>25</v>
      </c>
      <c r="Q45" s="25">
        <v>1940</v>
      </c>
      <c r="R45" s="25">
        <v>1972</v>
      </c>
      <c r="S45" s="25">
        <v>832</v>
      </c>
      <c r="T45" s="31"/>
      <c r="U45" s="27"/>
      <c r="V45" s="27">
        <f>Inventory[[#This Row],[Bsmt]]-Inventory[[#This Row],[FnBsmt]]</f>
        <v>0</v>
      </c>
      <c r="W45" s="27"/>
      <c r="X45" s="27"/>
      <c r="Y45" s="27">
        <f>Inventory[[#This Row],[MainFn]]+Inventory[[#This Row],[UpprFn]]+Inventory[[#This Row],[FnBsmt]]+Inventory[[#This Row],[AddFn]]</f>
        <v>1797</v>
      </c>
      <c r="Z45" s="27">
        <v>1000</v>
      </c>
      <c r="AA45" s="25">
        <v>5</v>
      </c>
      <c r="AB45" s="25">
        <v>294</v>
      </c>
      <c r="AC45" s="27"/>
      <c r="AD45" s="31"/>
      <c r="AE45" s="27"/>
      <c r="AF45" s="27"/>
      <c r="AG45" s="27"/>
      <c r="AH45" s="27"/>
      <c r="AI45" s="25">
        <v>140408</v>
      </c>
      <c r="AJ45" s="25">
        <v>95477</v>
      </c>
      <c r="AK45" s="25">
        <v>0</v>
      </c>
      <c r="AL45" s="25">
        <v>320600</v>
      </c>
      <c r="AM45" s="25">
        <v>56600</v>
      </c>
      <c r="AN45" s="25">
        <v>264000</v>
      </c>
      <c r="AO45" s="25">
        <v>0</v>
      </c>
      <c r="AP45" s="25">
        <f>Lookups!$B$56*0</f>
        <v>0</v>
      </c>
      <c r="AQ45" s="25">
        <f>Lookups!$B$56*1</f>
        <v>89850.625589999996</v>
      </c>
      <c r="AR45" s="25">
        <f>Lookups!$B$57*Inventory[[#This Row],[LnAcres]]</f>
        <v>-69870.439211769743</v>
      </c>
      <c r="AS45" s="25">
        <f>VLOOKUP(Inventory[[#This Row],[Qlty]],Lookups!$A$62:$E$75,2,FALSE)</f>
        <v>44121.038090000002</v>
      </c>
      <c r="AT45" s="25">
        <f>VLOOKUP(Inventory[[#This Row],[Cnd]],Lookups!$A$76:$E$84,2,FALSE)</f>
        <v>197752.34721000001</v>
      </c>
      <c r="AU45" s="25">
        <f>Inventory[[#This Row],[EffAge]]*Lookups!$B$85</f>
        <v>-5576.1400125</v>
      </c>
      <c r="AV45" s="25">
        <f>Inventory[[#This Row],[MainFn]]*Lookups!$B$86</f>
        <v>62254.924045020001</v>
      </c>
      <c r="AW45" s="25">
        <f>Inventory[[#This Row],[UpprFn]]*Lookups!$B$87</f>
        <v>24050.309076357</v>
      </c>
      <c r="AX45" s="25">
        <f>Inventory[[#This Row],[AddFn]]*Lookups!$B$88</f>
        <v>0</v>
      </c>
      <c r="AY45" s="25">
        <f>Inventory[[#This Row],[Bsmt]]*Lookups!$B$89</f>
        <v>0</v>
      </c>
      <c r="AZ45" s="25">
        <f>Inventory[[#This Row],[Fixtures]]*Lookups!$B$90</f>
        <v>37920.221052000001</v>
      </c>
      <c r="BA45" s="25">
        <f>Inventory[[#This Row],[WdDeck]]*Lookups!$B$91</f>
        <v>8790.0160328640013</v>
      </c>
      <c r="BB45" s="25">
        <f>ROUND(Inventory[[#This Row],[25Det]],-2)</f>
        <v>0</v>
      </c>
      <c r="BC45" s="25">
        <f>ROUND(SUM(Inventory[[#This Row],[Mdl Qlty]:[Mdl WdDeck]])+Inventory[[#This Row],[Mdl Res Intercept]],-2)</f>
        <v>369300</v>
      </c>
      <c r="BD45" s="25">
        <f>ROUND(Inventory[[#This Row],[Mdl Land Intercept]]+Inventory[[#This Row],[Mdl LnAcres]],-2)</f>
        <v>20000</v>
      </c>
      <c r="BE45" s="25">
        <f>Inventory[[#This Row],[Unadj Res Value]]+Inventory[[#This Row],[Unadj Det Value]]+Inventory[[#This Row],[Unadj Land Value]]</f>
        <v>389300</v>
      </c>
      <c r="BF45" s="36">
        <f>(Inventory[[#This Row],[Unadj Total Value]]-Inventory[[#This Row],[24Final]])/Inventory[[#This Row],[24Final]]</f>
        <v>-3.8528031612743888E-2</v>
      </c>
      <c r="BG45" s="25">
        <f>VLOOKUP(Inventory[[#This Row],[Nbhd]],Lookups!$Q$2:$T$4,4,FALSE)</f>
        <v>0.99970000000000003</v>
      </c>
      <c r="BH45" s="25">
        <f>VLOOKUP(Inventory[[#This Row],[Qlty]],Lookups!$O$7:$R$21,4,FALSE)</f>
        <v>0.98050000000000004</v>
      </c>
      <c r="BI45" s="29">
        <f>VLOOKUP(Inventory[[#This Row],[Cnd]],Lookups!$T$7:$W$16,4,FALSE)</f>
        <v>0.99650000000000005</v>
      </c>
      <c r="BJ45" s="25">
        <f>VLOOKUP(Inventory[[#This Row],[LivArea Range]],Lookups!$T$25:$W$37,4,FALSE)</f>
        <v>1.0093000000000001</v>
      </c>
      <c r="BK45" s="25">
        <f>VLOOKUP(Inventory[[#This Row],[Decade]],Lookups!$O$25:$R$42,4,FALSE)</f>
        <v>0.97319999999999995</v>
      </c>
      <c r="BL45" s="25">
        <f>Inventory[[#This Row],[Nbhd Adj]]*0.95</f>
        <v>0.94971499999999998</v>
      </c>
      <c r="BM45" s="25">
        <f>Inventory[[#This Row],[Nbhd Adj]]*Inventory[[#This Row],[Quality Adj]]*Inventory[[#This Row],[Condition Adj]]*Inventory[[#This Row],[Living Area Adj]]*Inventory[[#This Row],[Decade Adj]]*0.95</f>
        <v>0.91146620765877828</v>
      </c>
      <c r="BN45" s="25">
        <f>ROUND(SUM(Inventory[[#This Row],[Mdl Qlty]:[Mdl WdDeck]])+Inventory[[#This Row],[Mdl Res Intercept]]*Inventory[[#This Row],[Res Adj ]],-2)</f>
        <v>369300</v>
      </c>
      <c r="BO45" s="25">
        <f>ROUND(Inventory[[#This Row],[25Det]]*Inventory[[#This Row],[Det/Nbhd Adj]],-2)</f>
        <v>0</v>
      </c>
      <c r="BP45" s="25">
        <f>Inventory[[#This Row],[Adjusted Res]]+Inventory[[#This Row],[Adj Det ]]</f>
        <v>369300</v>
      </c>
      <c r="BQ45" s="25">
        <f>ROUND((Inventory[[#This Row],[Mdl Land Intercept]]+Inventory[[#This Row],[Mdl LnAcres]])*Inventory[[#This Row],[Det/Nbhd Adj]],-2)</f>
        <v>19000</v>
      </c>
      <c r="BR45" s="25">
        <f>Inventory[[#This Row],[Adjusted Impr Total]]+Inventory[[#This Row],[Adjusted Land Total]]</f>
        <v>388300</v>
      </c>
      <c r="BS45" s="36">
        <f>IFERROR((Inventory[[#This Row],[Adjusted Impr Total]]-Inventory[[#This Row],[24Bldg]])/Inventory[[#This Row],[24Bldg]],0)</f>
        <v>2.1294247787610618E-2</v>
      </c>
      <c r="BT45" s="36">
        <f>(Inventory[[#This Row],[Adjusted Land Total]]-Inventory[[#This Row],[24Lnd]])/Inventory[[#This Row],[24Lnd]]</f>
        <v>-0.56120092378752884</v>
      </c>
      <c r="BU45" s="36">
        <f>(Inventory[[#This Row],[Adjusted Total]]-Inventory[[#This Row],[24Final]])/Inventory[[#This Row],[24Final]]</f>
        <v>-4.0997777228945417E-2</v>
      </c>
    </row>
    <row r="46" spans="1:73" x14ac:dyDescent="0.3">
      <c r="A46" s="25">
        <v>2025</v>
      </c>
      <c r="B46" s="26" t="s">
        <v>2419</v>
      </c>
      <c r="C46" s="26">
        <f>LN(Inventory[[#This Row],[Acres]])</f>
        <v>-3.2188758248682006</v>
      </c>
      <c r="D46" s="25">
        <v>0.15</v>
      </c>
      <c r="E46" s="31"/>
      <c r="F46" s="26" t="s">
        <v>537</v>
      </c>
      <c r="G46" s="26" t="s">
        <v>126</v>
      </c>
      <c r="H46" s="26" t="s">
        <v>349</v>
      </c>
      <c r="I46" s="26" t="s">
        <v>538</v>
      </c>
      <c r="J46" s="26" t="s">
        <v>608</v>
      </c>
      <c r="K46" s="26" t="s">
        <v>242</v>
      </c>
      <c r="L46" s="26" t="s">
        <v>205</v>
      </c>
      <c r="M46" s="26" t="s">
        <v>323</v>
      </c>
      <c r="N46" s="26">
        <v>80</v>
      </c>
      <c r="O46" s="26">
        <f>2024-Inventory[[#This Row],[YrBlt]]</f>
        <v>25</v>
      </c>
      <c r="P46" s="26">
        <f>2024-Inventory[[#This Row],[EffYr]]</f>
        <v>25</v>
      </c>
      <c r="Q46" s="25">
        <v>1935</v>
      </c>
      <c r="R46" s="25">
        <v>1971</v>
      </c>
      <c r="S46" s="25">
        <v>888</v>
      </c>
      <c r="T46" s="31"/>
      <c r="U46" s="32">
        <v>888</v>
      </c>
      <c r="V46" s="32">
        <f>Inventory[[#This Row],[Bsmt]]-Inventory[[#This Row],[FnBsmt]]</f>
        <v>0</v>
      </c>
      <c r="W46" s="27"/>
      <c r="X46" s="27"/>
      <c r="Y46" s="27">
        <f>Inventory[[#This Row],[MainFn]]+Inventory[[#This Row],[UpprFn]]+Inventory[[#This Row],[FnBsmt]]+Inventory[[#This Row],[AddFn]]</f>
        <v>1560</v>
      </c>
      <c r="Z46" s="27">
        <v>1000</v>
      </c>
      <c r="AA46" s="25">
        <v>5</v>
      </c>
      <c r="AB46" s="31"/>
      <c r="AC46" s="27"/>
      <c r="AD46" s="31"/>
      <c r="AE46" s="27"/>
      <c r="AF46" s="27"/>
      <c r="AG46" s="27"/>
      <c r="AH46" s="27"/>
      <c r="AI46" s="25">
        <v>170075</v>
      </c>
      <c r="AJ46" s="25">
        <v>113950</v>
      </c>
      <c r="AK46" s="25">
        <v>0</v>
      </c>
      <c r="AL46" s="25">
        <v>280500</v>
      </c>
      <c r="AM46" s="25">
        <v>48400</v>
      </c>
      <c r="AN46" s="25">
        <v>232100</v>
      </c>
      <c r="AO46" s="25">
        <v>0</v>
      </c>
      <c r="AP46" s="25">
        <f>Lookups!$B$56*0</f>
        <v>0</v>
      </c>
      <c r="AQ46" s="25">
        <f>Lookups!$B$56*1</f>
        <v>89850.625589999996</v>
      </c>
      <c r="AR46" s="25">
        <f>Lookups!$B$57*Inventory[[#This Row],[LnAcres]]</f>
        <v>-101892.2773541973</v>
      </c>
      <c r="AS46" s="25">
        <f>VLOOKUP(Inventory[[#This Row],[Qlty]],Lookups!$A$62:$E$75,2,FALSE)</f>
        <v>29814.093161000001</v>
      </c>
      <c r="AT46" s="25">
        <f>VLOOKUP(Inventory[[#This Row],[Cnd]],Lookups!$A$76:$E$84,2,FALSE)</f>
        <v>160472.20319</v>
      </c>
      <c r="AU46" s="25">
        <f>Inventory[[#This Row],[EffAge]]*Lookups!$B$85</f>
        <v>-5576.1400125</v>
      </c>
      <c r="AV46" s="25">
        <f>Inventory[[#This Row],[MainFn]]*Lookups!$B$86</f>
        <v>77077.525008120007</v>
      </c>
      <c r="AW46" s="25">
        <f>Inventory[[#This Row],[UpprFn]]*Lookups!$B$87</f>
        <v>0</v>
      </c>
      <c r="AX46" s="25">
        <f>Inventory[[#This Row],[AddFn]]*Lookups!$B$88</f>
        <v>0</v>
      </c>
      <c r="AY46" s="25">
        <f>Inventory[[#This Row],[Bsmt]]*Lookups!$B$89</f>
        <v>0</v>
      </c>
      <c r="AZ46" s="25">
        <f>Inventory[[#This Row],[Fixtures]]*Lookups!$B$90</f>
        <v>30336.176841600001</v>
      </c>
      <c r="BA46" s="25">
        <f>Inventory[[#This Row],[WdDeck]]*Lookups!$B$91</f>
        <v>0</v>
      </c>
      <c r="BB46" s="25">
        <f>ROUND(Inventory[[#This Row],[25Det]],-2)</f>
        <v>0</v>
      </c>
      <c r="BC46" s="25">
        <f>ROUND(SUM(Inventory[[#This Row],[Mdl Qlty]:[Mdl WdDeck]])+Inventory[[#This Row],[Mdl Res Intercept]],-2)</f>
        <v>292100</v>
      </c>
      <c r="BD46" s="25">
        <f>ROUND(Inventory[[#This Row],[Mdl Land Intercept]]+Inventory[[#This Row],[Mdl LnAcres]],-2)</f>
        <v>-12000</v>
      </c>
      <c r="BE46" s="25">
        <f>Inventory[[#This Row],[Unadj Res Value]]+Inventory[[#This Row],[Unadj Det Value]]+Inventory[[#This Row],[Unadj Land Value]]</f>
        <v>280100</v>
      </c>
      <c r="BF46" s="36">
        <f>(Inventory[[#This Row],[Unadj Total Value]]-Inventory[[#This Row],[24Final]])/Inventory[[#This Row],[24Final]]</f>
        <v>-9.2058346839546196E-2</v>
      </c>
      <c r="BG46" s="25">
        <f>VLOOKUP(Inventory[[#This Row],[Nbhd]],Lookups!$Q$2:$T$4,4,FALSE)</f>
        <v>0.99970000000000003</v>
      </c>
      <c r="BH46" s="25">
        <f>VLOOKUP(Inventory[[#This Row],[Qlty]],Lookups!$O$7:$R$21,4,FALSE)</f>
        <v>1.0088999999999999</v>
      </c>
      <c r="BI46" s="29">
        <f>VLOOKUP(Inventory[[#This Row],[Cnd]],Lookups!$T$7:$W$16,4,FALSE)</f>
        <v>0.99729999999999996</v>
      </c>
      <c r="BJ46" s="25">
        <f>VLOOKUP(Inventory[[#This Row],[LivArea Range]],Lookups!$T$25:$W$37,4,FALSE)</f>
        <v>1.0093000000000001</v>
      </c>
      <c r="BK46" s="25">
        <f>VLOOKUP(Inventory[[#This Row],[Decade]],Lookups!$O$25:$R$42,4,FALSE)</f>
        <v>0.97319999999999995</v>
      </c>
      <c r="BL46" s="25">
        <f>Inventory[[#This Row],[Nbhd Adj]]*0.95</f>
        <v>0.94971499999999998</v>
      </c>
      <c r="BM46" s="25">
        <f>Inventory[[#This Row],[Nbhd Adj]]*Inventory[[#This Row],[Quality Adj]]*Inventory[[#This Row],[Condition Adj]]*Inventory[[#This Row],[Living Area Adj]]*Inventory[[#This Row],[Decade Adj]]*0.95</f>
        <v>0.93861958528822576</v>
      </c>
      <c r="BN46" s="25">
        <f>ROUND(SUM(Inventory[[#This Row],[Mdl Qlty]:[Mdl WdDeck]])+Inventory[[#This Row],[Mdl Res Intercept]]*Inventory[[#This Row],[Res Adj ]],-2)</f>
        <v>292100</v>
      </c>
      <c r="BO46" s="25">
        <f>ROUND(Inventory[[#This Row],[25Det]]*Inventory[[#This Row],[Det/Nbhd Adj]],-2)</f>
        <v>0</v>
      </c>
      <c r="BP46" s="25">
        <f>Inventory[[#This Row],[Adjusted Res]]+Inventory[[#This Row],[Adj Det ]]</f>
        <v>292100</v>
      </c>
      <c r="BQ46" s="25">
        <f>ROUND((Inventory[[#This Row],[Mdl Land Intercept]]+Inventory[[#This Row],[Mdl LnAcres]])*Inventory[[#This Row],[Det/Nbhd Adj]],-2)</f>
        <v>-11400</v>
      </c>
      <c r="BR46" s="25">
        <f>Inventory[[#This Row],[Adjusted Impr Total]]+Inventory[[#This Row],[Adjusted Land Total]]</f>
        <v>280700</v>
      </c>
      <c r="BS46" s="36">
        <f>IFERROR((Inventory[[#This Row],[Adjusted Impr Total]]-Inventory[[#This Row],[24Bldg]])/Inventory[[#This Row],[24Bldg]],0)</f>
        <v>0.11403508771929824</v>
      </c>
      <c r="BT46" s="36">
        <f>(Inventory[[#This Row],[Adjusted Land Total]]-Inventory[[#This Row],[24Lnd]])/Inventory[[#This Row],[24Lnd]]</f>
        <v>-1.2462203023758098</v>
      </c>
      <c r="BU46" s="36">
        <f>(Inventory[[#This Row],[Adjusted Total]]-Inventory[[#This Row],[24Final]])/Inventory[[#This Row],[24Final]]</f>
        <v>-9.0113452188006482E-2</v>
      </c>
    </row>
    <row r="47" spans="1:73" x14ac:dyDescent="0.3">
      <c r="A47" s="25">
        <v>2025</v>
      </c>
      <c r="B47" s="26" t="s">
        <v>1159</v>
      </c>
      <c r="C47" s="26">
        <f>LN(Inventory[[#This Row],[Acres]])</f>
        <v>-3.5065578973199818</v>
      </c>
      <c r="D47" s="25">
        <v>0.2</v>
      </c>
      <c r="E47" s="31"/>
      <c r="F47" s="26" t="s">
        <v>537</v>
      </c>
      <c r="G47" s="26" t="s">
        <v>126</v>
      </c>
      <c r="H47" s="26" t="s">
        <v>349</v>
      </c>
      <c r="I47" s="26" t="s">
        <v>538</v>
      </c>
      <c r="J47" s="26" t="s">
        <v>608</v>
      </c>
      <c r="K47" s="26" t="s">
        <v>241</v>
      </c>
      <c r="L47" s="26" t="s">
        <v>205</v>
      </c>
      <c r="M47" s="26" t="s">
        <v>323</v>
      </c>
      <c r="N47" s="26">
        <v>70</v>
      </c>
      <c r="O47" s="26">
        <f>2024-Inventory[[#This Row],[YrBlt]]</f>
        <v>25</v>
      </c>
      <c r="P47" s="26">
        <f>2024-Inventory[[#This Row],[EffYr]]</f>
        <v>25</v>
      </c>
      <c r="Q47" s="25">
        <v>1945</v>
      </c>
      <c r="R47" s="25">
        <v>1972</v>
      </c>
      <c r="S47" s="25">
        <v>981</v>
      </c>
      <c r="T47" s="31"/>
      <c r="U47" s="27"/>
      <c r="V47" s="27">
        <f>Inventory[[#This Row],[Bsmt]]-Inventory[[#This Row],[FnBsmt]]</f>
        <v>0</v>
      </c>
      <c r="W47" s="27"/>
      <c r="X47" s="27"/>
      <c r="Y47" s="27">
        <f>Inventory[[#This Row],[MainFn]]+Inventory[[#This Row],[UpprFn]]+Inventory[[#This Row],[FnBsmt]]+Inventory[[#This Row],[AddFn]]</f>
        <v>1560</v>
      </c>
      <c r="Z47" s="27">
        <v>1000</v>
      </c>
      <c r="AA47" s="25">
        <v>5</v>
      </c>
      <c r="AB47" s="31"/>
      <c r="AC47" s="27"/>
      <c r="AD47" s="31"/>
      <c r="AE47" s="27"/>
      <c r="AF47" s="27"/>
      <c r="AG47" s="27"/>
      <c r="AH47" s="27"/>
      <c r="AI47" s="25">
        <v>163063</v>
      </c>
      <c r="AJ47" s="25">
        <v>110883</v>
      </c>
      <c r="AK47" s="25">
        <v>0</v>
      </c>
      <c r="AL47" s="25">
        <v>294700</v>
      </c>
      <c r="AM47" s="25">
        <v>58400</v>
      </c>
      <c r="AN47" s="25">
        <v>236300</v>
      </c>
      <c r="AO47" s="25">
        <v>0</v>
      </c>
      <c r="AP47" s="25">
        <f>Lookups!$B$56*0</f>
        <v>0</v>
      </c>
      <c r="AQ47" s="25">
        <f>Lookups!$B$56*1</f>
        <v>89850.625589999996</v>
      </c>
      <c r="AR47" s="25">
        <f>Lookups!$B$57*Inventory[[#This Row],[LnAcres]]</f>
        <v>-110998.74281323297</v>
      </c>
      <c r="AS47" s="25">
        <f>VLOOKUP(Inventory[[#This Row],[Qlty]],Lookups!$A$62:$E$75,2,FALSE)</f>
        <v>29814.093161000001</v>
      </c>
      <c r="AT47" s="25">
        <f>VLOOKUP(Inventory[[#This Row],[Cnd]],Lookups!$A$76:$E$84,2,FALSE)</f>
        <v>160472.20319</v>
      </c>
      <c r="AU47" s="25">
        <f>Inventory[[#This Row],[EffAge]]*Lookups!$B$85</f>
        <v>-5576.1400125</v>
      </c>
      <c r="AV47" s="25">
        <f>Inventory[[#This Row],[MainFn]]*Lookups!$B$86</f>
        <v>77077.525008120007</v>
      </c>
      <c r="AW47" s="25">
        <f>Inventory[[#This Row],[UpprFn]]*Lookups!$B$87</f>
        <v>0</v>
      </c>
      <c r="AX47" s="25">
        <f>Inventory[[#This Row],[AddFn]]*Lookups!$B$88</f>
        <v>0</v>
      </c>
      <c r="AY47" s="25">
        <f>Inventory[[#This Row],[Bsmt]]*Lookups!$B$89</f>
        <v>0</v>
      </c>
      <c r="AZ47" s="25">
        <f>Inventory[[#This Row],[Fixtures]]*Lookups!$B$90</f>
        <v>30336.176841600001</v>
      </c>
      <c r="BA47" s="25">
        <f>Inventory[[#This Row],[WdDeck]]*Lookups!$B$91</f>
        <v>0</v>
      </c>
      <c r="BB47" s="25">
        <f>ROUND(Inventory[[#This Row],[25Det]],-2)</f>
        <v>0</v>
      </c>
      <c r="BC47" s="25">
        <f>ROUND(SUM(Inventory[[#This Row],[Mdl Qlty]:[Mdl WdDeck]])+Inventory[[#This Row],[Mdl Res Intercept]],-2)</f>
        <v>292100</v>
      </c>
      <c r="BD47" s="25">
        <f>ROUND(Inventory[[#This Row],[Mdl Land Intercept]]+Inventory[[#This Row],[Mdl LnAcres]],-2)</f>
        <v>-21100</v>
      </c>
      <c r="BE47" s="25">
        <f>Inventory[[#This Row],[Unadj Res Value]]+Inventory[[#This Row],[Unadj Det Value]]+Inventory[[#This Row],[Unadj Land Value]]</f>
        <v>271000</v>
      </c>
      <c r="BF47" s="36">
        <f>(Inventory[[#This Row],[Unadj Total Value]]-Inventory[[#This Row],[24Final]])/Inventory[[#This Row],[24Final]]</f>
        <v>-0.12155591572123177</v>
      </c>
      <c r="BG47" s="25">
        <f>VLOOKUP(Inventory[[#This Row],[Nbhd]],Lookups!$Q$2:$T$4,4,FALSE)</f>
        <v>0.99970000000000003</v>
      </c>
      <c r="BH47" s="25">
        <f>VLOOKUP(Inventory[[#This Row],[Qlty]],Lookups!$O$7:$R$21,4,FALSE)</f>
        <v>1.0088999999999999</v>
      </c>
      <c r="BI47" s="29">
        <f>VLOOKUP(Inventory[[#This Row],[Cnd]],Lookups!$T$7:$W$16,4,FALSE)</f>
        <v>0.99729999999999996</v>
      </c>
      <c r="BJ47" s="25">
        <f>VLOOKUP(Inventory[[#This Row],[LivArea Range]],Lookups!$T$25:$W$37,4,FALSE)</f>
        <v>1.0093000000000001</v>
      </c>
      <c r="BK47" s="25">
        <f>VLOOKUP(Inventory[[#This Row],[Decade]],Lookups!$O$25:$R$42,4,FALSE)</f>
        <v>0.97319999999999995</v>
      </c>
      <c r="BL47" s="25">
        <f>Inventory[[#This Row],[Nbhd Adj]]*0.95</f>
        <v>0.94971499999999998</v>
      </c>
      <c r="BM47" s="25">
        <f>Inventory[[#This Row],[Nbhd Adj]]*Inventory[[#This Row],[Quality Adj]]*Inventory[[#This Row],[Condition Adj]]*Inventory[[#This Row],[Living Area Adj]]*Inventory[[#This Row],[Decade Adj]]*0.95</f>
        <v>0.93861958528822576</v>
      </c>
      <c r="BN47" s="25">
        <f>ROUND(SUM(Inventory[[#This Row],[Mdl Qlty]:[Mdl WdDeck]])+Inventory[[#This Row],[Mdl Res Intercept]]*Inventory[[#This Row],[Res Adj ]],-2)</f>
        <v>292100</v>
      </c>
      <c r="BO47" s="25">
        <f>ROUND(Inventory[[#This Row],[25Det]]*Inventory[[#This Row],[Det/Nbhd Adj]],-2)</f>
        <v>0</v>
      </c>
      <c r="BP47" s="25">
        <f>Inventory[[#This Row],[Adjusted Res]]+Inventory[[#This Row],[Adj Det ]]</f>
        <v>292100</v>
      </c>
      <c r="BQ47" s="25">
        <f>ROUND((Inventory[[#This Row],[Mdl Land Intercept]]+Inventory[[#This Row],[Mdl LnAcres]])*Inventory[[#This Row],[Det/Nbhd Adj]],-2)</f>
        <v>-20100</v>
      </c>
      <c r="BR47" s="25">
        <f>Inventory[[#This Row],[Adjusted Impr Total]]+Inventory[[#This Row],[Adjusted Land Total]]</f>
        <v>272000</v>
      </c>
      <c r="BS47" s="36">
        <f>IFERROR((Inventory[[#This Row],[Adjusted Impr Total]]-Inventory[[#This Row],[24Bldg]])/Inventory[[#This Row],[24Bldg]],0)</f>
        <v>0.11403508771929824</v>
      </c>
      <c r="BT47" s="36">
        <f>(Inventory[[#This Row],[Adjusted Land Total]]-Inventory[[#This Row],[24Lnd]])/Inventory[[#This Row],[24Lnd]]</f>
        <v>-1.4341252699784017</v>
      </c>
      <c r="BU47" s="36">
        <f>(Inventory[[#This Row],[Adjusted Total]]-Inventory[[#This Row],[24Final]])/Inventory[[#This Row],[24Final]]</f>
        <v>-0.11831442463533225</v>
      </c>
    </row>
    <row r="48" spans="1:73" x14ac:dyDescent="0.3">
      <c r="A48" s="25">
        <v>2025</v>
      </c>
      <c r="B48" s="26" t="s">
        <v>2561</v>
      </c>
      <c r="C48" s="26">
        <f>LN(Inventory[[#This Row],[Acres]])</f>
        <v>-3.2188758248682006</v>
      </c>
      <c r="D48" s="25">
        <v>0.44</v>
      </c>
      <c r="E48" s="25">
        <v>19166</v>
      </c>
      <c r="F48" s="26" t="s">
        <v>543</v>
      </c>
      <c r="G48" s="26" t="s">
        <v>544</v>
      </c>
      <c r="H48" s="26" t="s">
        <v>349</v>
      </c>
      <c r="I48" s="26" t="s">
        <v>545</v>
      </c>
      <c r="J48" s="26" t="s">
        <v>606</v>
      </c>
      <c r="K48" s="26" t="s">
        <v>547</v>
      </c>
      <c r="L48" s="26" t="s">
        <v>205</v>
      </c>
      <c r="M48" s="26" t="s">
        <v>323</v>
      </c>
      <c r="N48" s="26">
        <v>70</v>
      </c>
      <c r="O48" s="26">
        <f>2024-Inventory[[#This Row],[YrBlt]]</f>
        <v>26</v>
      </c>
      <c r="P48" s="26">
        <f>2024-Inventory[[#This Row],[EffYr]]</f>
        <v>26</v>
      </c>
      <c r="Q48" s="25">
        <v>1948</v>
      </c>
      <c r="R48" s="25">
        <v>1973</v>
      </c>
      <c r="S48" s="25">
        <v>1080</v>
      </c>
      <c r="T48" s="27"/>
      <c r="U48" s="27"/>
      <c r="V48" s="27">
        <f>Inventory[[#This Row],[Bsmt]]-Inventory[[#This Row],[FnBsmt]]</f>
        <v>0</v>
      </c>
      <c r="W48" s="27"/>
      <c r="X48" s="27"/>
      <c r="Y48" s="27">
        <f>Inventory[[#This Row],[MainFn]]+Inventory[[#This Row],[UpprFn]]+Inventory[[#This Row],[FnBsmt]]+Inventory[[#This Row],[AddFn]]</f>
        <v>1198</v>
      </c>
      <c r="Z48" s="27">
        <v>1500</v>
      </c>
      <c r="AA48" s="25">
        <v>10</v>
      </c>
      <c r="AB48" s="31"/>
      <c r="AC48" s="32">
        <v>1080</v>
      </c>
      <c r="AD48" s="31"/>
      <c r="AE48" s="27"/>
      <c r="AF48" s="27"/>
      <c r="AG48" s="32">
        <v>125</v>
      </c>
      <c r="AH48" s="27"/>
      <c r="AI48" s="25">
        <v>226094</v>
      </c>
      <c r="AJ48" s="25">
        <v>194441</v>
      </c>
      <c r="AK48" s="25">
        <v>5916</v>
      </c>
      <c r="AL48" s="25">
        <v>555400</v>
      </c>
      <c r="AM48" s="25">
        <v>98800</v>
      </c>
      <c r="AN48" s="25">
        <v>456600</v>
      </c>
      <c r="AO48" s="25">
        <v>0</v>
      </c>
      <c r="AP48" s="25">
        <f>Lookups!$B$56*0</f>
        <v>0</v>
      </c>
      <c r="AQ48" s="25">
        <f>Lookups!$B$56*1</f>
        <v>89850.625589999996</v>
      </c>
      <c r="AR48" s="25">
        <f>Lookups!$B$57*Inventory[[#This Row],[LnAcres]]</f>
        <v>-101892.2773541973</v>
      </c>
      <c r="AS48" s="25">
        <f>VLOOKUP(Inventory[[#This Row],[Qlty]],Lookups!$A$62:$E$75,2,FALSE)</f>
        <v>29814.093161000001</v>
      </c>
      <c r="AT48" s="25">
        <f>VLOOKUP(Inventory[[#This Row],[Cnd]],Lookups!$A$76:$E$84,2,FALSE)</f>
        <v>160472.20319</v>
      </c>
      <c r="AU48" s="25">
        <f>Inventory[[#This Row],[EffAge]]*Lookups!$B$85</f>
        <v>-5799.1856130000006</v>
      </c>
      <c r="AV48" s="25">
        <f>Inventory[[#This Row],[MainFn]]*Lookups!$B$86</f>
        <v>59191.586512646005</v>
      </c>
      <c r="AW48" s="25">
        <f>Inventory[[#This Row],[UpprFn]]*Lookups!$B$87</f>
        <v>0</v>
      </c>
      <c r="AX48" s="25">
        <f>Inventory[[#This Row],[AddFn]]*Lookups!$B$88</f>
        <v>0</v>
      </c>
      <c r="AY48" s="25">
        <f>Inventory[[#This Row],[Bsmt]]*Lookups!$B$89</f>
        <v>0</v>
      </c>
      <c r="AZ48" s="25">
        <f>Inventory[[#This Row],[Fixtures]]*Lookups!$B$90</f>
        <v>34128.198946800003</v>
      </c>
      <c r="BA48" s="25">
        <f>Inventory[[#This Row],[WdDeck]]*Lookups!$B$91</f>
        <v>0</v>
      </c>
      <c r="BB48" s="25">
        <f>ROUND(Inventory[[#This Row],[25Det]],-2)</f>
        <v>0</v>
      </c>
      <c r="BC48" s="25">
        <f>ROUND(SUM(Inventory[[#This Row],[Mdl Qlty]:[Mdl WdDeck]])+Inventory[[#This Row],[Mdl Res Intercept]],-2)</f>
        <v>277800</v>
      </c>
      <c r="BD48" s="25">
        <f>ROUND(Inventory[[#This Row],[Mdl Land Intercept]]+Inventory[[#This Row],[Mdl LnAcres]],-2)</f>
        <v>-12000</v>
      </c>
      <c r="BE48" s="25">
        <f>Inventory[[#This Row],[Unadj Res Value]]+Inventory[[#This Row],[Unadj Det Value]]+Inventory[[#This Row],[Unadj Land Value]]</f>
        <v>265800</v>
      </c>
      <c r="BF48" s="36">
        <f>(Inventory[[#This Row],[Unadj Total Value]]-Inventory[[#This Row],[24Final]])/Inventory[[#This Row],[24Final]]</f>
        <v>7.0910556003223213E-2</v>
      </c>
      <c r="BG48" s="25">
        <f>VLOOKUP(Inventory[[#This Row],[Nbhd]],Lookups!$Q$2:$T$4,4,FALSE)</f>
        <v>0.99970000000000003</v>
      </c>
      <c r="BH48" s="25">
        <f>VLOOKUP(Inventory[[#This Row],[Qlty]],Lookups!$O$7:$R$21,4,FALSE)</f>
        <v>1.0088999999999999</v>
      </c>
      <c r="BI48" s="29">
        <f>VLOOKUP(Inventory[[#This Row],[Cnd]],Lookups!$T$7:$W$16,4,FALSE)</f>
        <v>0.99729999999999996</v>
      </c>
      <c r="BJ48" s="25">
        <f>VLOOKUP(Inventory[[#This Row],[LivArea Range]],Lookups!$T$25:$W$37,4,FALSE)</f>
        <v>1.0157</v>
      </c>
      <c r="BK48" s="25">
        <f>VLOOKUP(Inventory[[#This Row],[Decade]],Lookups!$O$25:$R$42,4,FALSE)</f>
        <v>0.97319999999999995</v>
      </c>
      <c r="BL48" s="25">
        <f>Inventory[[#This Row],[Nbhd Adj]]*0.95</f>
        <v>0.94971499999999998</v>
      </c>
      <c r="BM48" s="25">
        <f>Inventory[[#This Row],[Nbhd Adj]]*Inventory[[#This Row],[Quality Adj]]*Inventory[[#This Row],[Condition Adj]]*Inventory[[#This Row],[Living Area Adj]]*Inventory[[#This Row],[Decade Adj]]*0.95</f>
        <v>0.944571398768702</v>
      </c>
      <c r="BN48" s="25">
        <f>ROUND(SUM(Inventory[[#This Row],[Mdl Qlty]:[Mdl WdDeck]])+Inventory[[#This Row],[Mdl Res Intercept]]*Inventory[[#This Row],[Res Adj ]],-2)</f>
        <v>277800</v>
      </c>
      <c r="BO48" s="25">
        <f>ROUND(Inventory[[#This Row],[25Det]]*Inventory[[#This Row],[Det/Nbhd Adj]],-2)</f>
        <v>0</v>
      </c>
      <c r="BP48" s="25">
        <f>Inventory[[#This Row],[Adjusted Res]]+Inventory[[#This Row],[Adj Det ]]</f>
        <v>277800</v>
      </c>
      <c r="BQ48" s="25">
        <f>ROUND((Inventory[[#This Row],[Mdl Land Intercept]]+Inventory[[#This Row],[Mdl LnAcres]])*Inventory[[#This Row],[Det/Nbhd Adj]],-2)</f>
        <v>-11400</v>
      </c>
      <c r="BR48" s="25">
        <f>Inventory[[#This Row],[Adjusted Impr Total]]+Inventory[[#This Row],[Adjusted Land Total]]</f>
        <v>266400</v>
      </c>
      <c r="BS48" s="36">
        <f>IFERROR((Inventory[[#This Row],[Adjusted Impr Total]]-Inventory[[#This Row],[24Bldg]])/Inventory[[#This Row],[24Bldg]],0)</f>
        <v>0.31658767772511848</v>
      </c>
      <c r="BT48" s="36">
        <f>(Inventory[[#This Row],[Adjusted Land Total]]-Inventory[[#This Row],[24Lnd]])/Inventory[[#This Row],[24Lnd]]</f>
        <v>-1.3064516129032258</v>
      </c>
      <c r="BU48" s="36">
        <f>(Inventory[[#This Row],[Adjusted Total]]-Inventory[[#This Row],[24Final]])/Inventory[[#This Row],[24Final]]</f>
        <v>7.3327961321514909E-2</v>
      </c>
    </row>
    <row r="49" spans="1:73" x14ac:dyDescent="0.3">
      <c r="A49" s="25">
        <v>2025</v>
      </c>
      <c r="B49" s="26" t="s">
        <v>1679</v>
      </c>
      <c r="C49" s="26">
        <f>LN(Inventory[[#This Row],[Acres]])</f>
        <v>-1.8325814637483102</v>
      </c>
      <c r="D49" s="25">
        <v>0.23</v>
      </c>
      <c r="E49" s="25">
        <v>10019</v>
      </c>
      <c r="F49" s="26" t="s">
        <v>543</v>
      </c>
      <c r="G49" s="26" t="s">
        <v>544</v>
      </c>
      <c r="H49" s="26" t="s">
        <v>349</v>
      </c>
      <c r="I49" s="26" t="s">
        <v>605</v>
      </c>
      <c r="J49" s="26" t="s">
        <v>606</v>
      </c>
      <c r="K49" s="26" t="s">
        <v>242</v>
      </c>
      <c r="L49" s="26" t="s">
        <v>205</v>
      </c>
      <c r="M49" s="26" t="s">
        <v>323</v>
      </c>
      <c r="N49" s="26">
        <v>70</v>
      </c>
      <c r="O49" s="26">
        <f>2024-Inventory[[#This Row],[YrBlt]]</f>
        <v>26</v>
      </c>
      <c r="P49" s="26">
        <f>2024-Inventory[[#This Row],[EffYr]]</f>
        <v>26</v>
      </c>
      <c r="Q49" s="25">
        <v>1951</v>
      </c>
      <c r="R49" s="25">
        <v>1973</v>
      </c>
      <c r="S49" s="25">
        <v>1124</v>
      </c>
      <c r="T49" s="27"/>
      <c r="U49" s="32">
        <v>1124</v>
      </c>
      <c r="V49" s="32">
        <f>Inventory[[#This Row],[Bsmt]]-Inventory[[#This Row],[FnBsmt]]</f>
        <v>0</v>
      </c>
      <c r="W49" s="32">
        <v>0</v>
      </c>
      <c r="X49" s="27"/>
      <c r="Y49" s="27">
        <f>Inventory[[#This Row],[MainFn]]+Inventory[[#This Row],[UpprFn]]+Inventory[[#This Row],[FnBsmt]]+Inventory[[#This Row],[AddFn]]</f>
        <v>2432</v>
      </c>
      <c r="Z49" s="27">
        <v>1500</v>
      </c>
      <c r="AA49" s="25">
        <v>5</v>
      </c>
      <c r="AB49" s="31"/>
      <c r="AC49" s="27"/>
      <c r="AD49" s="31"/>
      <c r="AE49" s="27"/>
      <c r="AF49" s="27"/>
      <c r="AG49" s="32">
        <v>125</v>
      </c>
      <c r="AH49" s="27"/>
      <c r="AI49" s="25">
        <v>204651</v>
      </c>
      <c r="AJ49" s="25">
        <v>176000</v>
      </c>
      <c r="AK49" s="25">
        <v>0</v>
      </c>
      <c r="AL49" s="25">
        <v>382300</v>
      </c>
      <c r="AM49" s="25">
        <v>72800</v>
      </c>
      <c r="AN49" s="25">
        <v>309500</v>
      </c>
      <c r="AO49" s="25">
        <v>0</v>
      </c>
      <c r="AP49" s="25">
        <f>Lookups!$B$56*0</f>
        <v>0</v>
      </c>
      <c r="AQ49" s="25">
        <f>Lookups!$B$56*1</f>
        <v>89850.625589999996</v>
      </c>
      <c r="AR49" s="25">
        <f>Lookups!$B$57*Inventory[[#This Row],[LnAcres]]</f>
        <v>-58009.662049032086</v>
      </c>
      <c r="AS49" s="25">
        <f>VLOOKUP(Inventory[[#This Row],[Qlty]],Lookups!$A$62:$E$75,2,FALSE)</f>
        <v>29814.093161000001</v>
      </c>
      <c r="AT49" s="25">
        <f>VLOOKUP(Inventory[[#This Row],[Cnd]],Lookups!$A$76:$E$84,2,FALSE)</f>
        <v>197752.34721000001</v>
      </c>
      <c r="AU49" s="25">
        <f>Inventory[[#This Row],[EffAge]]*Lookups!$B$85</f>
        <v>-5799.1856130000006</v>
      </c>
      <c r="AV49" s="25">
        <f>Inventory[[#This Row],[MainFn]]*Lookups!$B$86</f>
        <v>69517.998516938998</v>
      </c>
      <c r="AW49" s="25">
        <f>Inventory[[#This Row],[UpprFn]]*Lookups!$B$87</f>
        <v>31619.214539866</v>
      </c>
      <c r="AX49" s="25">
        <f>Inventory[[#This Row],[AddFn]]*Lookups!$B$88</f>
        <v>20765.200065269</v>
      </c>
      <c r="AY49" s="25">
        <f>Inventory[[#This Row],[Bsmt]]*Lookups!$B$89</f>
        <v>0</v>
      </c>
      <c r="AZ49" s="25">
        <f>Inventory[[#This Row],[Fixtures]]*Lookups!$B$90</f>
        <v>41712.243157199999</v>
      </c>
      <c r="BA49" s="25">
        <f>Inventory[[#This Row],[WdDeck]]*Lookups!$B$91</f>
        <v>0</v>
      </c>
      <c r="BB49" s="25">
        <f>ROUND(Inventory[[#This Row],[25Det]],-2)</f>
        <v>0</v>
      </c>
      <c r="BC49" s="25">
        <f>ROUND(SUM(Inventory[[#This Row],[Mdl Qlty]:[Mdl WdDeck]])+Inventory[[#This Row],[Mdl Res Intercept]],-2)</f>
        <v>385400</v>
      </c>
      <c r="BD49" s="25">
        <f>ROUND(Inventory[[#This Row],[Mdl Land Intercept]]+Inventory[[#This Row],[Mdl LnAcres]],-2)</f>
        <v>31800</v>
      </c>
      <c r="BE49" s="25">
        <f>Inventory[[#This Row],[Unadj Res Value]]+Inventory[[#This Row],[Unadj Det Value]]+Inventory[[#This Row],[Unadj Land Value]]</f>
        <v>417200</v>
      </c>
      <c r="BF49" s="36">
        <f>(Inventory[[#This Row],[Unadj Total Value]]-Inventory[[#This Row],[24Final]])/Inventory[[#This Row],[24Final]]</f>
        <v>7.1391884951206991E-2</v>
      </c>
      <c r="BG49" s="25">
        <f>VLOOKUP(Inventory[[#This Row],[Nbhd]],Lookups!$Q$2:$T$4,4,FALSE)</f>
        <v>0.99970000000000003</v>
      </c>
      <c r="BH49" s="25">
        <f>VLOOKUP(Inventory[[#This Row],[Qlty]],Lookups!$O$7:$R$21,4,FALSE)</f>
        <v>1.0088999999999999</v>
      </c>
      <c r="BI49" s="29">
        <f>VLOOKUP(Inventory[[#This Row],[Cnd]],Lookups!$T$7:$W$16,4,FALSE)</f>
        <v>0.99650000000000005</v>
      </c>
      <c r="BJ49" s="25">
        <f>VLOOKUP(Inventory[[#This Row],[LivArea Range]],Lookups!$T$25:$W$37,4,FALSE)</f>
        <v>0.98919999999999997</v>
      </c>
      <c r="BK49" s="25">
        <f>VLOOKUP(Inventory[[#This Row],[Decade]],Lookups!$O$25:$R$42,4,FALSE)</f>
        <v>0.97319999999999995</v>
      </c>
      <c r="BL49" s="25">
        <f>Inventory[[#This Row],[Nbhd Adj]]*0.95</f>
        <v>0.94971499999999998</v>
      </c>
      <c r="BM49" s="25">
        <f>Inventory[[#This Row],[Nbhd Adj]]*Inventory[[#This Row],[Quality Adj]]*Inventory[[#This Row],[Condition Adj]]*Inventory[[#This Row],[Living Area Adj]]*Inventory[[#This Row],[Decade Adj]]*0.95</f>
        <v>0.91918923691701471</v>
      </c>
      <c r="BN49" s="25">
        <f>ROUND(SUM(Inventory[[#This Row],[Mdl Qlty]:[Mdl WdDeck]])+Inventory[[#This Row],[Mdl Res Intercept]]*Inventory[[#This Row],[Res Adj ]],-2)</f>
        <v>385400</v>
      </c>
      <c r="BO49" s="25">
        <f>ROUND(Inventory[[#This Row],[25Det]]*Inventory[[#This Row],[Det/Nbhd Adj]],-2)</f>
        <v>0</v>
      </c>
      <c r="BP49" s="25">
        <f>Inventory[[#This Row],[Adjusted Res]]+Inventory[[#This Row],[Adj Det ]]</f>
        <v>385400</v>
      </c>
      <c r="BQ49" s="25">
        <f>ROUND((Inventory[[#This Row],[Mdl Land Intercept]]+Inventory[[#This Row],[Mdl LnAcres]])*Inventory[[#This Row],[Det/Nbhd Adj]],-2)</f>
        <v>30200</v>
      </c>
      <c r="BR49" s="25">
        <f>Inventory[[#This Row],[Adjusted Impr Total]]+Inventory[[#This Row],[Adjusted Land Total]]</f>
        <v>415600</v>
      </c>
      <c r="BS49" s="36">
        <f>IFERROR((Inventory[[#This Row],[Adjusted Impr Total]]-Inventory[[#This Row],[24Bldg]])/Inventory[[#This Row],[24Bldg]],0)</f>
        <v>0.13754427390791027</v>
      </c>
      <c r="BT49" s="36">
        <f>(Inventory[[#This Row],[Adjusted Land Total]]-Inventory[[#This Row],[24Lnd]])/Inventory[[#This Row],[24Lnd]]</f>
        <v>-0.40316205533596838</v>
      </c>
      <c r="BU49" s="36">
        <f>(Inventory[[#This Row],[Adjusted Total]]-Inventory[[#This Row],[24Final]])/Inventory[[#This Row],[24Final]]</f>
        <v>6.7282999486389314E-2</v>
      </c>
    </row>
    <row r="50" spans="1:73" x14ac:dyDescent="0.3">
      <c r="A50" s="25">
        <v>2025</v>
      </c>
      <c r="B50" s="26" t="s">
        <v>604</v>
      </c>
      <c r="C50" s="26">
        <f>LN(Inventory[[#This Row],[Acres]])</f>
        <v>-3.2188758248682006</v>
      </c>
      <c r="D50" s="25">
        <v>0.79</v>
      </c>
      <c r="E50" s="25">
        <v>34412</v>
      </c>
      <c r="F50" s="26" t="s">
        <v>543</v>
      </c>
      <c r="G50" s="26" t="s">
        <v>544</v>
      </c>
      <c r="H50" s="26" t="s">
        <v>349</v>
      </c>
      <c r="I50" s="26" t="s">
        <v>605</v>
      </c>
      <c r="J50" s="26" t="s">
        <v>606</v>
      </c>
      <c r="K50" s="26" t="s">
        <v>269</v>
      </c>
      <c r="L50" s="26" t="s">
        <v>205</v>
      </c>
      <c r="M50" s="26" t="s">
        <v>323</v>
      </c>
      <c r="N50" s="26">
        <v>80</v>
      </c>
      <c r="O50" s="26">
        <f>2024-Inventory[[#This Row],[YrBlt]]</f>
        <v>26</v>
      </c>
      <c r="P50" s="26">
        <f>2024-Inventory[[#This Row],[EffYr]]</f>
        <v>26</v>
      </c>
      <c r="Q50" s="25">
        <v>1935</v>
      </c>
      <c r="R50" s="25">
        <v>1990</v>
      </c>
      <c r="S50" s="25">
        <v>1250</v>
      </c>
      <c r="T50" s="31"/>
      <c r="U50" s="27"/>
      <c r="V50" s="27">
        <f>Inventory[[#This Row],[Bsmt]]-Inventory[[#This Row],[FnBsmt]]</f>
        <v>0</v>
      </c>
      <c r="W50" s="27"/>
      <c r="X50" s="27"/>
      <c r="Y50" s="27">
        <f>Inventory[[#This Row],[MainFn]]+Inventory[[#This Row],[UpprFn]]+Inventory[[#This Row],[FnBsmt]]+Inventory[[#This Row],[AddFn]]</f>
        <v>1275</v>
      </c>
      <c r="Z50" s="27">
        <v>1500</v>
      </c>
      <c r="AA50" s="25">
        <v>5</v>
      </c>
      <c r="AB50" s="31"/>
      <c r="AC50" s="27"/>
      <c r="AD50" s="31"/>
      <c r="AE50" s="27"/>
      <c r="AF50" s="27"/>
      <c r="AG50" s="32">
        <v>125</v>
      </c>
      <c r="AH50" s="27"/>
      <c r="AI50" s="25">
        <v>180830</v>
      </c>
      <c r="AJ50" s="25">
        <v>189872</v>
      </c>
      <c r="AK50" s="25">
        <v>191136</v>
      </c>
      <c r="AL50" s="25">
        <v>550650</v>
      </c>
      <c r="AM50" s="25">
        <v>122250</v>
      </c>
      <c r="AN50" s="25">
        <v>428400</v>
      </c>
      <c r="AO50" s="25">
        <v>0</v>
      </c>
      <c r="AP50" s="25">
        <f>Lookups!$B$56*0</f>
        <v>0</v>
      </c>
      <c r="AQ50" s="25">
        <f>Lookups!$B$56*1</f>
        <v>89850.625589999996</v>
      </c>
      <c r="AR50" s="25">
        <f>Lookups!$B$57*Inventory[[#This Row],[LnAcres]]</f>
        <v>-101892.2773541973</v>
      </c>
      <c r="AS50" s="25">
        <f>VLOOKUP(Inventory[[#This Row],[Qlty]],Lookups!$A$62:$E$75,2,FALSE)</f>
        <v>29814.093161000001</v>
      </c>
      <c r="AT50" s="25">
        <f>VLOOKUP(Inventory[[#This Row],[Cnd]],Lookups!$A$76:$E$84,2,FALSE)</f>
        <v>160472.20319</v>
      </c>
      <c r="AU50" s="25">
        <f>Inventory[[#This Row],[EffAge]]*Lookups!$B$85</f>
        <v>-5799.1856130000006</v>
      </c>
      <c r="AV50" s="25">
        <f>Inventory[[#This Row],[MainFn]]*Lookups!$B$86</f>
        <v>62996.054093175</v>
      </c>
      <c r="AW50" s="25">
        <f>Inventory[[#This Row],[UpprFn]]*Lookups!$B$87</f>
        <v>0</v>
      </c>
      <c r="AX50" s="25">
        <f>Inventory[[#This Row],[AddFn]]*Lookups!$B$88</f>
        <v>0</v>
      </c>
      <c r="AY50" s="25">
        <f>Inventory[[#This Row],[Bsmt]]*Lookups!$B$89</f>
        <v>0</v>
      </c>
      <c r="AZ50" s="25">
        <f>Inventory[[#This Row],[Fixtures]]*Lookups!$B$90</f>
        <v>34128.198946800003</v>
      </c>
      <c r="BA50" s="25">
        <f>Inventory[[#This Row],[WdDeck]]*Lookups!$B$91</f>
        <v>0</v>
      </c>
      <c r="BB50" s="25">
        <f>ROUND(Inventory[[#This Row],[25Det]],-2)</f>
        <v>0</v>
      </c>
      <c r="BC50" s="25">
        <f>ROUND(SUM(Inventory[[#This Row],[Mdl Qlty]:[Mdl WdDeck]])+Inventory[[#This Row],[Mdl Res Intercept]],-2)</f>
        <v>281600</v>
      </c>
      <c r="BD50" s="25">
        <f>ROUND(Inventory[[#This Row],[Mdl Land Intercept]]+Inventory[[#This Row],[Mdl LnAcres]],-2)</f>
        <v>-12000</v>
      </c>
      <c r="BE50" s="25">
        <f>Inventory[[#This Row],[Unadj Res Value]]+Inventory[[#This Row],[Unadj Det Value]]+Inventory[[#This Row],[Unadj Land Value]]</f>
        <v>269600</v>
      </c>
      <c r="BF50" s="36">
        <f>(Inventory[[#This Row],[Unadj Total Value]]-Inventory[[#This Row],[24Final]])/Inventory[[#This Row],[24Final]]</f>
        <v>5.6840454723637787E-2</v>
      </c>
      <c r="BG50" s="25">
        <f>VLOOKUP(Inventory[[#This Row],[Nbhd]],Lookups!$Q$2:$T$4,4,FALSE)</f>
        <v>0.99970000000000003</v>
      </c>
      <c r="BH50" s="25">
        <f>VLOOKUP(Inventory[[#This Row],[Qlty]],Lookups!$O$7:$R$21,4,FALSE)</f>
        <v>1.0088999999999999</v>
      </c>
      <c r="BI50" s="29">
        <f>VLOOKUP(Inventory[[#This Row],[Cnd]],Lookups!$T$7:$W$16,4,FALSE)</f>
        <v>0.99729999999999996</v>
      </c>
      <c r="BJ50" s="25">
        <f>VLOOKUP(Inventory[[#This Row],[LivArea Range]],Lookups!$T$25:$W$37,4,FALSE)</f>
        <v>1.0157</v>
      </c>
      <c r="BK50" s="25">
        <f>VLOOKUP(Inventory[[#This Row],[Decade]],Lookups!$O$25:$R$42,4,FALSE)</f>
        <v>0.97319999999999995</v>
      </c>
      <c r="BL50" s="25">
        <f>Inventory[[#This Row],[Nbhd Adj]]*0.95</f>
        <v>0.94971499999999998</v>
      </c>
      <c r="BM50" s="25">
        <f>Inventory[[#This Row],[Nbhd Adj]]*Inventory[[#This Row],[Quality Adj]]*Inventory[[#This Row],[Condition Adj]]*Inventory[[#This Row],[Living Area Adj]]*Inventory[[#This Row],[Decade Adj]]*0.95</f>
        <v>0.944571398768702</v>
      </c>
      <c r="BN50" s="25">
        <f>ROUND(SUM(Inventory[[#This Row],[Mdl Qlty]:[Mdl WdDeck]])+Inventory[[#This Row],[Mdl Res Intercept]]*Inventory[[#This Row],[Res Adj ]],-2)</f>
        <v>281600</v>
      </c>
      <c r="BO50" s="25">
        <f>ROUND(Inventory[[#This Row],[25Det]]*Inventory[[#This Row],[Det/Nbhd Adj]],-2)</f>
        <v>0</v>
      </c>
      <c r="BP50" s="25">
        <f>Inventory[[#This Row],[Adjusted Res]]+Inventory[[#This Row],[Adj Det ]]</f>
        <v>281600</v>
      </c>
      <c r="BQ50" s="25">
        <f>ROUND((Inventory[[#This Row],[Mdl Land Intercept]]+Inventory[[#This Row],[Mdl LnAcres]])*Inventory[[#This Row],[Det/Nbhd Adj]],-2)</f>
        <v>-11400</v>
      </c>
      <c r="BR50" s="25">
        <f>Inventory[[#This Row],[Adjusted Impr Total]]+Inventory[[#This Row],[Adjusted Land Total]]</f>
        <v>270200</v>
      </c>
      <c r="BS50" s="36">
        <f>IFERROR((Inventory[[#This Row],[Adjusted Impr Total]]-Inventory[[#This Row],[24Bldg]])/Inventory[[#This Row],[24Bldg]],0)</f>
        <v>0.2988929889298893</v>
      </c>
      <c r="BT50" s="36">
        <f>(Inventory[[#This Row],[Adjusted Land Total]]-Inventory[[#This Row],[24Lnd]])/Inventory[[#This Row],[24Lnd]]</f>
        <v>-1.2976501305483028</v>
      </c>
      <c r="BU50" s="36">
        <f>(Inventory[[#This Row],[Adjusted Total]]-Inventory[[#This Row],[24Final]])/Inventory[[#This Row],[24Final]]</f>
        <v>5.9192473539788321E-2</v>
      </c>
    </row>
    <row r="51" spans="1:73" x14ac:dyDescent="0.3">
      <c r="A51" s="25">
        <v>2025</v>
      </c>
      <c r="B51" s="26" t="s">
        <v>612</v>
      </c>
      <c r="C51" s="26">
        <f>LN(Inventory[[#This Row],[Acres]])</f>
        <v>-3.2188758248682006</v>
      </c>
      <c r="D51" s="25">
        <v>0.81</v>
      </c>
      <c r="E51" s="25">
        <v>35429</v>
      </c>
      <c r="F51" s="26" t="s">
        <v>537</v>
      </c>
      <c r="G51" s="26" t="s">
        <v>126</v>
      </c>
      <c r="H51" s="26" t="s">
        <v>349</v>
      </c>
      <c r="I51" s="26" t="s">
        <v>538</v>
      </c>
      <c r="J51" s="26" t="s">
        <v>608</v>
      </c>
      <c r="K51" s="26" t="s">
        <v>173</v>
      </c>
      <c r="L51" s="26" t="s">
        <v>205</v>
      </c>
      <c r="M51" s="26" t="s">
        <v>206</v>
      </c>
      <c r="N51" s="26">
        <v>100</v>
      </c>
      <c r="O51" s="26">
        <f>2024-Inventory[[#This Row],[YrBlt]]</f>
        <v>26</v>
      </c>
      <c r="P51" s="26">
        <f>2024-Inventory[[#This Row],[EffYr]]</f>
        <v>26</v>
      </c>
      <c r="Q51" s="25">
        <v>1920</v>
      </c>
      <c r="R51" s="25">
        <v>1966</v>
      </c>
      <c r="S51" s="25">
        <v>1050</v>
      </c>
      <c r="T51" s="25">
        <v>360</v>
      </c>
      <c r="U51" s="27"/>
      <c r="V51" s="27">
        <f>Inventory[[#This Row],[Bsmt]]-Inventory[[#This Row],[FnBsmt]]</f>
        <v>0</v>
      </c>
      <c r="W51" s="27"/>
      <c r="X51" s="27"/>
      <c r="Y51" s="27">
        <f>Inventory[[#This Row],[MainFn]]+Inventory[[#This Row],[UpprFn]]+Inventory[[#This Row],[FnBsmt]]+Inventory[[#This Row],[AddFn]]</f>
        <v>1310</v>
      </c>
      <c r="Z51" s="27">
        <v>1500</v>
      </c>
      <c r="AA51" s="25">
        <v>5</v>
      </c>
      <c r="AB51" s="31"/>
      <c r="AC51" s="27"/>
      <c r="AD51" s="31"/>
      <c r="AE51" s="27"/>
      <c r="AF51" s="27"/>
      <c r="AG51" s="27"/>
      <c r="AH51" s="27"/>
      <c r="AI51" s="25">
        <v>194536</v>
      </c>
      <c r="AJ51" s="25">
        <v>116722</v>
      </c>
      <c r="AK51" s="25">
        <v>6289</v>
      </c>
      <c r="AL51" s="25">
        <v>301600</v>
      </c>
      <c r="AM51" s="25">
        <v>107200</v>
      </c>
      <c r="AN51" s="25">
        <v>194400</v>
      </c>
      <c r="AO51" s="25">
        <v>0</v>
      </c>
      <c r="AP51" s="25">
        <f>Lookups!$B$56*0</f>
        <v>0</v>
      </c>
      <c r="AQ51" s="25">
        <f>Lookups!$B$56*1</f>
        <v>89850.625589999996</v>
      </c>
      <c r="AR51" s="25">
        <f>Lookups!$B$57*Inventory[[#This Row],[LnAcres]]</f>
        <v>-101892.2773541973</v>
      </c>
      <c r="AS51" s="25">
        <f>VLOOKUP(Inventory[[#This Row],[Qlty]],Lookups!$A$62:$E$75,2,FALSE)</f>
        <v>29814.093161000001</v>
      </c>
      <c r="AT51" s="25">
        <f>VLOOKUP(Inventory[[#This Row],[Cnd]],Lookups!$A$76:$E$84,2,FALSE)</f>
        <v>160472.20319</v>
      </c>
      <c r="AU51" s="25">
        <f>Inventory[[#This Row],[EffAge]]*Lookups!$B$85</f>
        <v>-5799.1856130000006</v>
      </c>
      <c r="AV51" s="25">
        <f>Inventory[[#This Row],[MainFn]]*Lookups!$B$86</f>
        <v>64725.357538870005</v>
      </c>
      <c r="AW51" s="25">
        <f>Inventory[[#This Row],[UpprFn]]*Lookups!$B$87</f>
        <v>0</v>
      </c>
      <c r="AX51" s="25">
        <f>Inventory[[#This Row],[AddFn]]*Lookups!$B$88</f>
        <v>0</v>
      </c>
      <c r="AY51" s="25">
        <f>Inventory[[#This Row],[Bsmt]]*Lookups!$B$89</f>
        <v>0</v>
      </c>
      <c r="AZ51" s="25">
        <f>Inventory[[#This Row],[Fixtures]]*Lookups!$B$90</f>
        <v>41712.243157199999</v>
      </c>
      <c r="BA51" s="25">
        <f>Inventory[[#This Row],[WdDeck]]*Lookups!$B$91</f>
        <v>0</v>
      </c>
      <c r="BB51" s="25">
        <f>ROUND(Inventory[[#This Row],[25Det]],-2)</f>
        <v>0</v>
      </c>
      <c r="BC51" s="25">
        <f>ROUND(SUM(Inventory[[#This Row],[Mdl Qlty]:[Mdl WdDeck]])+Inventory[[#This Row],[Mdl Res Intercept]],-2)</f>
        <v>290900</v>
      </c>
      <c r="BD51" s="25">
        <f>ROUND(Inventory[[#This Row],[Mdl Land Intercept]]+Inventory[[#This Row],[Mdl LnAcres]],-2)</f>
        <v>-12000</v>
      </c>
      <c r="BE51" s="25">
        <f>Inventory[[#This Row],[Unadj Res Value]]+Inventory[[#This Row],[Unadj Det Value]]+Inventory[[#This Row],[Unadj Land Value]]</f>
        <v>278900</v>
      </c>
      <c r="BF51" s="36">
        <f>(Inventory[[#This Row],[Unadj Total Value]]-Inventory[[#This Row],[24Final]])/Inventory[[#This Row],[24Final]]</f>
        <v>2.6122148638704931E-2</v>
      </c>
      <c r="BG51" s="25">
        <f>VLOOKUP(Inventory[[#This Row],[Nbhd]],Lookups!$Q$2:$T$4,4,FALSE)</f>
        <v>0.99970000000000003</v>
      </c>
      <c r="BH51" s="25">
        <f>VLOOKUP(Inventory[[#This Row],[Qlty]],Lookups!$O$7:$R$21,4,FALSE)</f>
        <v>1.0088999999999999</v>
      </c>
      <c r="BI51" s="29">
        <f>VLOOKUP(Inventory[[#This Row],[Cnd]],Lookups!$T$7:$W$16,4,FALSE)</f>
        <v>0.99729999999999996</v>
      </c>
      <c r="BJ51" s="25">
        <f>VLOOKUP(Inventory[[#This Row],[LivArea Range]],Lookups!$T$25:$W$37,4,FALSE)</f>
        <v>1.0157</v>
      </c>
      <c r="BK51" s="25">
        <f>VLOOKUP(Inventory[[#This Row],[Decade]],Lookups!$O$25:$R$42,4,FALSE)</f>
        <v>0.97319999999999995</v>
      </c>
      <c r="BL51" s="25">
        <f>Inventory[[#This Row],[Nbhd Adj]]*0.95</f>
        <v>0.94971499999999998</v>
      </c>
      <c r="BM51" s="25">
        <f>Inventory[[#This Row],[Nbhd Adj]]*Inventory[[#This Row],[Quality Adj]]*Inventory[[#This Row],[Condition Adj]]*Inventory[[#This Row],[Living Area Adj]]*Inventory[[#This Row],[Decade Adj]]*0.95</f>
        <v>0.944571398768702</v>
      </c>
      <c r="BN51" s="25">
        <f>ROUND(SUM(Inventory[[#This Row],[Mdl Qlty]:[Mdl WdDeck]])+Inventory[[#This Row],[Mdl Res Intercept]]*Inventory[[#This Row],[Res Adj ]],-2)</f>
        <v>290900</v>
      </c>
      <c r="BO51" s="25">
        <f>ROUND(Inventory[[#This Row],[25Det]]*Inventory[[#This Row],[Det/Nbhd Adj]],-2)</f>
        <v>0</v>
      </c>
      <c r="BP51" s="25">
        <f>Inventory[[#This Row],[Adjusted Res]]+Inventory[[#This Row],[Adj Det ]]</f>
        <v>290900</v>
      </c>
      <c r="BQ51" s="25">
        <f>ROUND((Inventory[[#This Row],[Mdl Land Intercept]]+Inventory[[#This Row],[Mdl LnAcres]])*Inventory[[#This Row],[Det/Nbhd Adj]],-2)</f>
        <v>-11400</v>
      </c>
      <c r="BR51" s="25">
        <f>Inventory[[#This Row],[Adjusted Impr Total]]+Inventory[[#This Row],[Adjusted Land Total]]</f>
        <v>279500</v>
      </c>
      <c r="BS51" s="36">
        <f>IFERROR((Inventory[[#This Row],[Adjusted Impr Total]]-Inventory[[#This Row],[24Bldg]])/Inventory[[#This Row],[24Bldg]],0)</f>
        <v>0.25930735930735932</v>
      </c>
      <c r="BT51" s="36">
        <f>(Inventory[[#This Row],[Adjusted Land Total]]-Inventory[[#This Row],[24Lnd]])/Inventory[[#This Row],[24Lnd]]</f>
        <v>-1.2794117647058822</v>
      </c>
      <c r="BU51" s="36">
        <f>(Inventory[[#This Row],[Adjusted Total]]-Inventory[[#This Row],[24Final]])/Inventory[[#This Row],[24Final]]</f>
        <v>2.8329654157468728E-2</v>
      </c>
    </row>
    <row r="52" spans="1:73" x14ac:dyDescent="0.3">
      <c r="A52" s="25">
        <v>2025</v>
      </c>
      <c r="B52" s="26" t="s">
        <v>2561</v>
      </c>
      <c r="C52" s="26">
        <f>LN(Inventory[[#This Row],[Acres]])</f>
        <v>-3.2188758248682006</v>
      </c>
      <c r="D52" s="25">
        <v>0.44</v>
      </c>
      <c r="E52" s="25">
        <v>19166</v>
      </c>
      <c r="F52" s="26" t="s">
        <v>543</v>
      </c>
      <c r="G52" s="26" t="s">
        <v>544</v>
      </c>
      <c r="H52" s="26" t="s">
        <v>349</v>
      </c>
      <c r="I52" s="26" t="s">
        <v>545</v>
      </c>
      <c r="J52" s="26" t="s">
        <v>606</v>
      </c>
      <c r="K52" s="26" t="s">
        <v>547</v>
      </c>
      <c r="L52" s="26" t="s">
        <v>205</v>
      </c>
      <c r="M52" s="26" t="s">
        <v>323</v>
      </c>
      <c r="N52" s="26">
        <v>70</v>
      </c>
      <c r="O52" s="26">
        <f>2024-Inventory[[#This Row],[YrBlt]]</f>
        <v>26</v>
      </c>
      <c r="P52" s="26">
        <f>2024-Inventory[[#This Row],[EffYr]]</f>
        <v>26</v>
      </c>
      <c r="Q52" s="25">
        <v>1948</v>
      </c>
      <c r="R52" s="25">
        <v>1973</v>
      </c>
      <c r="S52" s="25">
        <v>1700</v>
      </c>
      <c r="T52" s="31"/>
      <c r="U52" s="27"/>
      <c r="V52" s="27">
        <f>Inventory[[#This Row],[Bsmt]]-Inventory[[#This Row],[FnBsmt]]</f>
        <v>0</v>
      </c>
      <c r="W52" s="27"/>
      <c r="X52" s="27"/>
      <c r="Y52" s="27">
        <f>Inventory[[#This Row],[MainFn]]+Inventory[[#This Row],[UpprFn]]+Inventory[[#This Row],[FnBsmt]]+Inventory[[#This Row],[AddFn]]</f>
        <v>1258</v>
      </c>
      <c r="Z52" s="27">
        <v>2000</v>
      </c>
      <c r="AA52" s="25">
        <v>10</v>
      </c>
      <c r="AB52" s="31"/>
      <c r="AC52" s="27"/>
      <c r="AD52" s="31"/>
      <c r="AE52" s="27"/>
      <c r="AF52" s="27"/>
      <c r="AG52" s="32">
        <v>125</v>
      </c>
      <c r="AH52" s="27"/>
      <c r="AI52" s="25">
        <v>170976</v>
      </c>
      <c r="AJ52" s="25">
        <v>147039</v>
      </c>
      <c r="AK52" s="25">
        <v>5916</v>
      </c>
      <c r="AL52" s="25">
        <v>555400</v>
      </c>
      <c r="AM52" s="25">
        <v>98800</v>
      </c>
      <c r="AN52" s="25">
        <v>456600</v>
      </c>
      <c r="AO52" s="25">
        <v>0</v>
      </c>
      <c r="AP52" s="25">
        <f>Lookups!$B$56*0</f>
        <v>0</v>
      </c>
      <c r="AQ52" s="25">
        <f>Lookups!$B$56*1</f>
        <v>89850.625589999996</v>
      </c>
      <c r="AR52" s="25">
        <f>Lookups!$B$57*Inventory[[#This Row],[LnAcres]]</f>
        <v>-101892.2773541973</v>
      </c>
      <c r="AS52" s="25">
        <f>VLOOKUP(Inventory[[#This Row],[Qlty]],Lookups!$A$62:$E$75,2,FALSE)</f>
        <v>21557.329055999999</v>
      </c>
      <c r="AT52" s="25">
        <f>VLOOKUP(Inventory[[#This Row],[Cnd]],Lookups!$A$76:$E$84,2,FALSE)</f>
        <v>160472.20319</v>
      </c>
      <c r="AU52" s="25">
        <f>Inventory[[#This Row],[EffAge]]*Lookups!$B$85</f>
        <v>-5799.1856130000006</v>
      </c>
      <c r="AV52" s="25">
        <f>Inventory[[#This Row],[MainFn]]*Lookups!$B$86</f>
        <v>62156.106705266</v>
      </c>
      <c r="AW52" s="25">
        <f>Inventory[[#This Row],[UpprFn]]*Lookups!$B$87</f>
        <v>0</v>
      </c>
      <c r="AX52" s="25">
        <f>Inventory[[#This Row],[AddFn]]*Lookups!$B$88</f>
        <v>0</v>
      </c>
      <c r="AY52" s="25">
        <f>Inventory[[#This Row],[Bsmt]]*Lookups!$B$89</f>
        <v>0</v>
      </c>
      <c r="AZ52" s="25">
        <f>Inventory[[#This Row],[Fixtures]]*Lookups!$B$90</f>
        <v>34128.198946800003</v>
      </c>
      <c r="BA52" s="25">
        <f>Inventory[[#This Row],[WdDeck]]*Lookups!$B$91</f>
        <v>0</v>
      </c>
      <c r="BB52" s="25">
        <f>ROUND(Inventory[[#This Row],[25Det]],-2)</f>
        <v>0</v>
      </c>
      <c r="BC52" s="25">
        <f>ROUND(SUM(Inventory[[#This Row],[Mdl Qlty]:[Mdl WdDeck]])+Inventory[[#This Row],[Mdl Res Intercept]],-2)</f>
        <v>272500</v>
      </c>
      <c r="BD52" s="25">
        <f>ROUND(Inventory[[#This Row],[Mdl Land Intercept]]+Inventory[[#This Row],[Mdl LnAcres]],-2)</f>
        <v>-12000</v>
      </c>
      <c r="BE52" s="25">
        <f>Inventory[[#This Row],[Unadj Res Value]]+Inventory[[#This Row],[Unadj Det Value]]+Inventory[[#This Row],[Unadj Land Value]]</f>
        <v>260500</v>
      </c>
      <c r="BF52" s="36">
        <f>(Inventory[[#This Row],[Unadj Total Value]]-Inventory[[#This Row],[24Final]])/Inventory[[#This Row],[24Final]]</f>
        <v>-2.288072018004501E-2</v>
      </c>
      <c r="BG52" s="25">
        <f>VLOOKUP(Inventory[[#This Row],[Nbhd]],Lookups!$Q$2:$T$4,4,FALSE)</f>
        <v>0.99970000000000003</v>
      </c>
      <c r="BH52" s="25">
        <f>VLOOKUP(Inventory[[#This Row],[Qlty]],Lookups!$O$7:$R$21,4,FALSE)</f>
        <v>1.0067999999999999</v>
      </c>
      <c r="BI52" s="29">
        <f>VLOOKUP(Inventory[[#This Row],[Cnd]],Lookups!$T$7:$W$16,4,FALSE)</f>
        <v>0.99729999999999996</v>
      </c>
      <c r="BJ52" s="25">
        <f>VLOOKUP(Inventory[[#This Row],[LivArea Range]],Lookups!$T$25:$W$37,4,FALSE)</f>
        <v>1.0157</v>
      </c>
      <c r="BK52" s="25">
        <f>VLOOKUP(Inventory[[#This Row],[Decade]],Lookups!$O$25:$R$42,4,FALSE)</f>
        <v>0.97319999999999995</v>
      </c>
      <c r="BL52" s="25">
        <f>Inventory[[#This Row],[Nbhd Adj]]*0.95</f>
        <v>0.94971499999999998</v>
      </c>
      <c r="BM52" s="25">
        <f>Inventory[[#This Row],[Nbhd Adj]]*Inventory[[#This Row],[Quality Adj]]*Inventory[[#This Row],[Condition Adj]]*Inventory[[#This Row],[Living Area Adj]]*Inventory[[#This Row],[Decade Adj]]*0.95</f>
        <v>0.9426052971358202</v>
      </c>
      <c r="BN52" s="25">
        <f>ROUND(SUM(Inventory[[#This Row],[Mdl Qlty]:[Mdl WdDeck]])+Inventory[[#This Row],[Mdl Res Intercept]]*Inventory[[#This Row],[Res Adj ]],-2)</f>
        <v>272500</v>
      </c>
      <c r="BO52" s="25">
        <f>ROUND(Inventory[[#This Row],[25Det]]*Inventory[[#This Row],[Det/Nbhd Adj]],-2)</f>
        <v>0</v>
      </c>
      <c r="BP52" s="25">
        <f>Inventory[[#This Row],[Adjusted Res]]+Inventory[[#This Row],[Adj Det ]]</f>
        <v>272500</v>
      </c>
      <c r="BQ52" s="25">
        <f>ROUND((Inventory[[#This Row],[Mdl Land Intercept]]+Inventory[[#This Row],[Mdl LnAcres]])*Inventory[[#This Row],[Det/Nbhd Adj]],-2)</f>
        <v>-11400</v>
      </c>
      <c r="BR52" s="25">
        <f>Inventory[[#This Row],[Adjusted Impr Total]]+Inventory[[#This Row],[Adjusted Land Total]]</f>
        <v>261100</v>
      </c>
      <c r="BS52" s="36">
        <f>IFERROR((Inventory[[#This Row],[Adjusted Impr Total]]-Inventory[[#This Row],[24Bldg]])/Inventory[[#This Row],[24Bldg]],0)</f>
        <v>0.20255957634598412</v>
      </c>
      <c r="BT52" s="36">
        <f>(Inventory[[#This Row],[Adjusted Land Total]]-Inventory[[#This Row],[24Lnd]])/Inventory[[#This Row],[24Lnd]]</f>
        <v>-1.2849999999999999</v>
      </c>
      <c r="BU52" s="36">
        <f>(Inventory[[#This Row],[Adjusted Total]]-Inventory[[#This Row],[24Final]])/Inventory[[#This Row],[24Final]]</f>
        <v>-2.0630157539384845E-2</v>
      </c>
    </row>
    <row r="53" spans="1:73" x14ac:dyDescent="0.3">
      <c r="A53" s="25">
        <v>2025</v>
      </c>
      <c r="B53" s="26" t="s">
        <v>2561</v>
      </c>
      <c r="C53" s="26">
        <f>LN(Inventory[[#This Row],[Acres]])</f>
        <v>-3.2188758248682006</v>
      </c>
      <c r="D53" s="25">
        <v>0.44</v>
      </c>
      <c r="E53" s="25">
        <v>19166</v>
      </c>
      <c r="F53" s="26" t="s">
        <v>543</v>
      </c>
      <c r="G53" s="26" t="s">
        <v>544</v>
      </c>
      <c r="H53" s="26" t="s">
        <v>349</v>
      </c>
      <c r="I53" s="26" t="s">
        <v>545</v>
      </c>
      <c r="J53" s="26" t="s">
        <v>606</v>
      </c>
      <c r="K53" s="26" t="s">
        <v>547</v>
      </c>
      <c r="L53" s="26" t="s">
        <v>205</v>
      </c>
      <c r="M53" s="26" t="s">
        <v>323</v>
      </c>
      <c r="N53" s="26">
        <v>70</v>
      </c>
      <c r="O53" s="26">
        <f>2024-Inventory[[#This Row],[YrBlt]]</f>
        <v>26</v>
      </c>
      <c r="P53" s="26">
        <f>2024-Inventory[[#This Row],[EffYr]]</f>
        <v>26</v>
      </c>
      <c r="Q53" s="25">
        <v>1948</v>
      </c>
      <c r="R53" s="25">
        <v>1973</v>
      </c>
      <c r="S53" s="25">
        <v>1700</v>
      </c>
      <c r="T53" s="31"/>
      <c r="U53" s="27"/>
      <c r="V53" s="27">
        <f>Inventory[[#This Row],[Bsmt]]-Inventory[[#This Row],[FnBsmt]]</f>
        <v>0</v>
      </c>
      <c r="W53" s="27"/>
      <c r="X53" s="27"/>
      <c r="Y53" s="27">
        <f>Inventory[[#This Row],[MainFn]]+Inventory[[#This Row],[UpprFn]]+Inventory[[#This Row],[FnBsmt]]+Inventory[[#This Row],[AddFn]]</f>
        <v>1560</v>
      </c>
      <c r="Z53" s="27">
        <v>2000</v>
      </c>
      <c r="AA53" s="25">
        <v>10</v>
      </c>
      <c r="AB53" s="31"/>
      <c r="AC53" s="27"/>
      <c r="AD53" s="31"/>
      <c r="AE53" s="27"/>
      <c r="AF53" s="27"/>
      <c r="AG53" s="32">
        <v>125</v>
      </c>
      <c r="AH53" s="27"/>
      <c r="AI53" s="25">
        <v>170976</v>
      </c>
      <c r="AJ53" s="25">
        <v>147039</v>
      </c>
      <c r="AK53" s="25">
        <v>5916</v>
      </c>
      <c r="AL53" s="25">
        <v>555400</v>
      </c>
      <c r="AM53" s="25">
        <v>98800</v>
      </c>
      <c r="AN53" s="25">
        <v>456600</v>
      </c>
      <c r="AO53" s="25">
        <v>0</v>
      </c>
      <c r="AP53" s="25">
        <f>Lookups!$B$56*0</f>
        <v>0</v>
      </c>
      <c r="AQ53" s="25">
        <f>Lookups!$B$56*1</f>
        <v>89850.625589999996</v>
      </c>
      <c r="AR53" s="25">
        <f>Lookups!$B$57*Inventory[[#This Row],[LnAcres]]</f>
        <v>-101892.2773541973</v>
      </c>
      <c r="AS53" s="25">
        <f>VLOOKUP(Inventory[[#This Row],[Qlty]],Lookups!$A$62:$E$75,2,FALSE)</f>
        <v>29814.093161000001</v>
      </c>
      <c r="AT53" s="25">
        <f>VLOOKUP(Inventory[[#This Row],[Cnd]],Lookups!$A$76:$E$84,2,FALSE)</f>
        <v>160472.20319</v>
      </c>
      <c r="AU53" s="25">
        <f>Inventory[[#This Row],[EffAge]]*Lookups!$B$85</f>
        <v>-5799.1856130000006</v>
      </c>
      <c r="AV53" s="25">
        <f>Inventory[[#This Row],[MainFn]]*Lookups!$B$86</f>
        <v>77077.525008120007</v>
      </c>
      <c r="AW53" s="25">
        <f>Inventory[[#This Row],[UpprFn]]*Lookups!$B$87</f>
        <v>0</v>
      </c>
      <c r="AX53" s="25">
        <f>Inventory[[#This Row],[AddFn]]*Lookups!$B$88</f>
        <v>0</v>
      </c>
      <c r="AY53" s="25">
        <f>Inventory[[#This Row],[Bsmt]]*Lookups!$B$89</f>
        <v>0</v>
      </c>
      <c r="AZ53" s="25">
        <f>Inventory[[#This Row],[Fixtures]]*Lookups!$B$90</f>
        <v>30336.176841600001</v>
      </c>
      <c r="BA53" s="25">
        <f>Inventory[[#This Row],[WdDeck]]*Lookups!$B$91</f>
        <v>0</v>
      </c>
      <c r="BB53" s="25">
        <f>ROUND(Inventory[[#This Row],[25Det]],-2)</f>
        <v>0</v>
      </c>
      <c r="BC53" s="25">
        <f>ROUND(SUM(Inventory[[#This Row],[Mdl Qlty]:[Mdl WdDeck]])+Inventory[[#This Row],[Mdl Res Intercept]],-2)</f>
        <v>291900</v>
      </c>
      <c r="BD53" s="25">
        <f>ROUND(Inventory[[#This Row],[Mdl Land Intercept]]+Inventory[[#This Row],[Mdl LnAcres]],-2)</f>
        <v>-12000</v>
      </c>
      <c r="BE53" s="25">
        <f>Inventory[[#This Row],[Unadj Res Value]]+Inventory[[#This Row],[Unadj Det Value]]+Inventory[[#This Row],[Unadj Land Value]]</f>
        <v>279900</v>
      </c>
      <c r="BF53" s="36">
        <f>(Inventory[[#This Row],[Unadj Total Value]]-Inventory[[#This Row],[24Final]])/Inventory[[#This Row],[24Final]]</f>
        <v>-9.27066450567261E-2</v>
      </c>
      <c r="BG53" s="25">
        <f>VLOOKUP(Inventory[[#This Row],[Nbhd]],Lookups!$Q$2:$T$4,4,FALSE)</f>
        <v>0.99970000000000003</v>
      </c>
      <c r="BH53" s="25">
        <f>VLOOKUP(Inventory[[#This Row],[Qlty]],Lookups!$O$7:$R$21,4,FALSE)</f>
        <v>1.0088999999999999</v>
      </c>
      <c r="BI53" s="29">
        <f>VLOOKUP(Inventory[[#This Row],[Cnd]],Lookups!$T$7:$W$16,4,FALSE)</f>
        <v>0.99729999999999996</v>
      </c>
      <c r="BJ53" s="25">
        <f>VLOOKUP(Inventory[[#This Row],[LivArea Range]],Lookups!$T$25:$W$37,4,FALSE)</f>
        <v>1.0093000000000001</v>
      </c>
      <c r="BK53" s="25">
        <f>VLOOKUP(Inventory[[#This Row],[Decade]],Lookups!$O$25:$R$42,4,FALSE)</f>
        <v>0.97319999999999995</v>
      </c>
      <c r="BL53" s="25">
        <f>Inventory[[#This Row],[Nbhd Adj]]*0.95</f>
        <v>0.94971499999999998</v>
      </c>
      <c r="BM53" s="25">
        <f>Inventory[[#This Row],[Nbhd Adj]]*Inventory[[#This Row],[Quality Adj]]*Inventory[[#This Row],[Condition Adj]]*Inventory[[#This Row],[Living Area Adj]]*Inventory[[#This Row],[Decade Adj]]*0.95</f>
        <v>0.93861958528822576</v>
      </c>
      <c r="BN53" s="25">
        <f>ROUND(SUM(Inventory[[#This Row],[Mdl Qlty]:[Mdl WdDeck]])+Inventory[[#This Row],[Mdl Res Intercept]]*Inventory[[#This Row],[Res Adj ]],-2)</f>
        <v>291900</v>
      </c>
      <c r="BO53" s="25">
        <f>ROUND(Inventory[[#This Row],[25Det]]*Inventory[[#This Row],[Det/Nbhd Adj]],-2)</f>
        <v>0</v>
      </c>
      <c r="BP53" s="25">
        <f>Inventory[[#This Row],[Adjusted Res]]+Inventory[[#This Row],[Adj Det ]]</f>
        <v>291900</v>
      </c>
      <c r="BQ53" s="25">
        <f>ROUND((Inventory[[#This Row],[Mdl Land Intercept]]+Inventory[[#This Row],[Mdl LnAcres]])*Inventory[[#This Row],[Det/Nbhd Adj]],-2)</f>
        <v>-11400</v>
      </c>
      <c r="BR53" s="25">
        <f>Inventory[[#This Row],[Adjusted Impr Total]]+Inventory[[#This Row],[Adjusted Land Total]]</f>
        <v>280500</v>
      </c>
      <c r="BS53" s="36">
        <f>IFERROR((Inventory[[#This Row],[Adjusted Impr Total]]-Inventory[[#This Row],[24Bldg]])/Inventory[[#This Row],[24Bldg]],0)</f>
        <v>0.11327231121281464</v>
      </c>
      <c r="BT53" s="36">
        <f>(Inventory[[#This Row],[Adjusted Land Total]]-Inventory[[#This Row],[24Lnd]])/Inventory[[#This Row],[24Lnd]]</f>
        <v>-1.2462203023758098</v>
      </c>
      <c r="BU53" s="36">
        <f>(Inventory[[#This Row],[Adjusted Total]]-Inventory[[#This Row],[24Final]])/Inventory[[#This Row],[24Final]]</f>
        <v>-9.0761750405186387E-2</v>
      </c>
    </row>
    <row r="54" spans="1:73" x14ac:dyDescent="0.3">
      <c r="A54" s="25">
        <v>2025</v>
      </c>
      <c r="B54" s="26" t="s">
        <v>1679</v>
      </c>
      <c r="C54" s="26">
        <f>LN(Inventory[[#This Row],[Acres]])</f>
        <v>-3.5065578973199818</v>
      </c>
      <c r="D54" s="25">
        <v>0.23</v>
      </c>
      <c r="E54" s="25">
        <v>10019</v>
      </c>
      <c r="F54" s="26" t="s">
        <v>543</v>
      </c>
      <c r="G54" s="26" t="s">
        <v>544</v>
      </c>
      <c r="H54" s="26" t="s">
        <v>349</v>
      </c>
      <c r="I54" s="26" t="s">
        <v>605</v>
      </c>
      <c r="J54" s="26" t="s">
        <v>606</v>
      </c>
      <c r="K54" s="26" t="s">
        <v>547</v>
      </c>
      <c r="L54" s="26" t="s">
        <v>205</v>
      </c>
      <c r="M54" s="26" t="s">
        <v>323</v>
      </c>
      <c r="N54" s="26">
        <v>40</v>
      </c>
      <c r="O54" s="26">
        <f>2024-Inventory[[#This Row],[YrBlt]]</f>
        <v>26</v>
      </c>
      <c r="P54" s="26">
        <f>2024-Inventory[[#This Row],[EffYr]]</f>
        <v>26</v>
      </c>
      <c r="Q54" s="25">
        <v>1977</v>
      </c>
      <c r="R54" s="25">
        <v>1979</v>
      </c>
      <c r="S54" s="25">
        <v>900</v>
      </c>
      <c r="T54" s="25">
        <v>900</v>
      </c>
      <c r="U54" s="27"/>
      <c r="V54" s="27">
        <f>Inventory[[#This Row],[Bsmt]]-Inventory[[#This Row],[FnBsmt]]</f>
        <v>0</v>
      </c>
      <c r="W54" s="27"/>
      <c r="X54" s="27"/>
      <c r="Y54" s="27">
        <f>Inventory[[#This Row],[MainFn]]+Inventory[[#This Row],[UpprFn]]+Inventory[[#This Row],[FnBsmt]]+Inventory[[#This Row],[AddFn]]</f>
        <v>1560</v>
      </c>
      <c r="Z54" s="27">
        <v>2000</v>
      </c>
      <c r="AA54" s="25">
        <v>10</v>
      </c>
      <c r="AB54" s="31"/>
      <c r="AC54" s="27"/>
      <c r="AD54" s="25">
        <v>164</v>
      </c>
      <c r="AE54" s="27"/>
      <c r="AF54" s="27"/>
      <c r="AG54" s="32">
        <v>125</v>
      </c>
      <c r="AH54" s="27"/>
      <c r="AI54" s="25">
        <v>170062</v>
      </c>
      <c r="AJ54" s="25">
        <v>163260</v>
      </c>
      <c r="AK54" s="25">
        <v>0</v>
      </c>
      <c r="AL54" s="25">
        <v>382300</v>
      </c>
      <c r="AM54" s="25">
        <v>72800</v>
      </c>
      <c r="AN54" s="25">
        <v>309500</v>
      </c>
      <c r="AO54" s="25">
        <v>0</v>
      </c>
      <c r="AP54" s="25">
        <f>Lookups!$B$56*0</f>
        <v>0</v>
      </c>
      <c r="AQ54" s="25">
        <f>Lookups!$B$56*1</f>
        <v>89850.625589999996</v>
      </c>
      <c r="AR54" s="25">
        <f>Lookups!$B$57*Inventory[[#This Row],[LnAcres]]</f>
        <v>-110998.74281323297</v>
      </c>
      <c r="AS54" s="25">
        <f>VLOOKUP(Inventory[[#This Row],[Qlty]],Lookups!$A$62:$E$75,2,FALSE)</f>
        <v>29814.093161000001</v>
      </c>
      <c r="AT54" s="25">
        <f>VLOOKUP(Inventory[[#This Row],[Cnd]],Lookups!$A$76:$E$84,2,FALSE)</f>
        <v>160472.20319</v>
      </c>
      <c r="AU54" s="25">
        <f>Inventory[[#This Row],[EffAge]]*Lookups!$B$85</f>
        <v>-5799.1856130000006</v>
      </c>
      <c r="AV54" s="25">
        <f>Inventory[[#This Row],[MainFn]]*Lookups!$B$86</f>
        <v>77077.525008120007</v>
      </c>
      <c r="AW54" s="25">
        <f>Inventory[[#This Row],[UpprFn]]*Lookups!$B$87</f>
        <v>0</v>
      </c>
      <c r="AX54" s="25">
        <f>Inventory[[#This Row],[AddFn]]*Lookups!$B$88</f>
        <v>0</v>
      </c>
      <c r="AY54" s="25">
        <f>Inventory[[#This Row],[Bsmt]]*Lookups!$B$89</f>
        <v>0</v>
      </c>
      <c r="AZ54" s="25">
        <f>Inventory[[#This Row],[Fixtures]]*Lookups!$B$90</f>
        <v>30336.176841600001</v>
      </c>
      <c r="BA54" s="25">
        <f>Inventory[[#This Row],[WdDeck]]*Lookups!$B$91</f>
        <v>0</v>
      </c>
      <c r="BB54" s="25">
        <f>ROUND(Inventory[[#This Row],[25Det]],-2)</f>
        <v>0</v>
      </c>
      <c r="BC54" s="25">
        <f>ROUND(SUM(Inventory[[#This Row],[Mdl Qlty]:[Mdl WdDeck]])+Inventory[[#This Row],[Mdl Res Intercept]],-2)</f>
        <v>291900</v>
      </c>
      <c r="BD54" s="25">
        <f>ROUND(Inventory[[#This Row],[Mdl Land Intercept]]+Inventory[[#This Row],[Mdl LnAcres]],-2)</f>
        <v>-21100</v>
      </c>
      <c r="BE54" s="25">
        <f>Inventory[[#This Row],[Unadj Res Value]]+Inventory[[#This Row],[Unadj Det Value]]+Inventory[[#This Row],[Unadj Land Value]]</f>
        <v>270800</v>
      </c>
      <c r="BF54" s="36">
        <f>(Inventory[[#This Row],[Unadj Total Value]]-Inventory[[#This Row],[24Final]])/Inventory[[#This Row],[24Final]]</f>
        <v>-0.12220421393841167</v>
      </c>
      <c r="BG54" s="25">
        <f>VLOOKUP(Inventory[[#This Row],[Nbhd]],Lookups!$Q$2:$T$4,4,FALSE)</f>
        <v>0.99970000000000003</v>
      </c>
      <c r="BH54" s="25">
        <f>VLOOKUP(Inventory[[#This Row],[Qlty]],Lookups!$O$7:$R$21,4,FALSE)</f>
        <v>1.0088999999999999</v>
      </c>
      <c r="BI54" s="29">
        <f>VLOOKUP(Inventory[[#This Row],[Cnd]],Lookups!$T$7:$W$16,4,FALSE)</f>
        <v>0.99729999999999996</v>
      </c>
      <c r="BJ54" s="25">
        <f>VLOOKUP(Inventory[[#This Row],[LivArea Range]],Lookups!$T$25:$W$37,4,FALSE)</f>
        <v>1.0093000000000001</v>
      </c>
      <c r="BK54" s="25">
        <f>VLOOKUP(Inventory[[#This Row],[Decade]],Lookups!$O$25:$R$42,4,FALSE)</f>
        <v>0.97319999999999995</v>
      </c>
      <c r="BL54" s="25">
        <f>Inventory[[#This Row],[Nbhd Adj]]*0.95</f>
        <v>0.94971499999999998</v>
      </c>
      <c r="BM54" s="25">
        <f>Inventory[[#This Row],[Nbhd Adj]]*Inventory[[#This Row],[Quality Adj]]*Inventory[[#This Row],[Condition Adj]]*Inventory[[#This Row],[Living Area Adj]]*Inventory[[#This Row],[Decade Adj]]*0.95</f>
        <v>0.93861958528822576</v>
      </c>
      <c r="BN54" s="25">
        <f>ROUND(SUM(Inventory[[#This Row],[Mdl Qlty]:[Mdl WdDeck]])+Inventory[[#This Row],[Mdl Res Intercept]]*Inventory[[#This Row],[Res Adj ]],-2)</f>
        <v>291900</v>
      </c>
      <c r="BO54" s="25">
        <f>ROUND(Inventory[[#This Row],[25Det]]*Inventory[[#This Row],[Det/Nbhd Adj]],-2)</f>
        <v>0</v>
      </c>
      <c r="BP54" s="25">
        <f>Inventory[[#This Row],[Adjusted Res]]+Inventory[[#This Row],[Adj Det ]]</f>
        <v>291900</v>
      </c>
      <c r="BQ54" s="25">
        <f>ROUND((Inventory[[#This Row],[Mdl Land Intercept]]+Inventory[[#This Row],[Mdl LnAcres]])*Inventory[[#This Row],[Det/Nbhd Adj]],-2)</f>
        <v>-20100</v>
      </c>
      <c r="BR54" s="25">
        <f>Inventory[[#This Row],[Adjusted Impr Total]]+Inventory[[#This Row],[Adjusted Land Total]]</f>
        <v>271800</v>
      </c>
      <c r="BS54" s="36">
        <f>IFERROR((Inventory[[#This Row],[Adjusted Impr Total]]-Inventory[[#This Row],[24Bldg]])/Inventory[[#This Row],[24Bldg]],0)</f>
        <v>0.11327231121281464</v>
      </c>
      <c r="BT54" s="36">
        <f>(Inventory[[#This Row],[Adjusted Land Total]]-Inventory[[#This Row],[24Lnd]])/Inventory[[#This Row],[24Lnd]]</f>
        <v>-1.4341252699784017</v>
      </c>
      <c r="BU54" s="36">
        <f>(Inventory[[#This Row],[Adjusted Total]]-Inventory[[#This Row],[24Final]])/Inventory[[#This Row],[24Final]]</f>
        <v>-0.11896272285251215</v>
      </c>
    </row>
    <row r="55" spans="1:73" x14ac:dyDescent="0.3">
      <c r="A55" s="25">
        <v>2025</v>
      </c>
      <c r="B55" s="26" t="s">
        <v>2154</v>
      </c>
      <c r="C55" s="26">
        <f>LN(Inventory[[#This Row],[Acres]])</f>
        <v>-1.5606477482646683</v>
      </c>
      <c r="D55" s="25">
        <v>0.22</v>
      </c>
      <c r="E55" s="31"/>
      <c r="F55" s="26" t="s">
        <v>537</v>
      </c>
      <c r="G55" s="26" t="s">
        <v>126</v>
      </c>
      <c r="H55" s="26" t="s">
        <v>349</v>
      </c>
      <c r="I55" s="26" t="s">
        <v>538</v>
      </c>
      <c r="J55" s="26" t="s">
        <v>608</v>
      </c>
      <c r="K55" s="26" t="s">
        <v>173</v>
      </c>
      <c r="L55" s="26" t="s">
        <v>148</v>
      </c>
      <c r="M55" s="26" t="s">
        <v>323</v>
      </c>
      <c r="N55" s="26">
        <v>90</v>
      </c>
      <c r="O55" s="26">
        <f>2024-Inventory[[#This Row],[YrBlt]]</f>
        <v>27</v>
      </c>
      <c r="P55" s="26">
        <f>2024-Inventory[[#This Row],[EffYr]]</f>
        <v>27</v>
      </c>
      <c r="Q55" s="25">
        <v>1930</v>
      </c>
      <c r="R55" s="25">
        <v>1970</v>
      </c>
      <c r="S55" s="25">
        <v>1128</v>
      </c>
      <c r="T55" s="25">
        <v>120</v>
      </c>
      <c r="U55" s="32">
        <v>1139</v>
      </c>
      <c r="V55" s="32">
        <f>Inventory[[#This Row],[Bsmt]]-Inventory[[#This Row],[FnBsmt]]</f>
        <v>0</v>
      </c>
      <c r="W55" s="27"/>
      <c r="X55" s="27"/>
      <c r="Y55" s="27">
        <f>Inventory[[#This Row],[MainFn]]+Inventory[[#This Row],[UpprFn]]+Inventory[[#This Row],[FnBsmt]]+Inventory[[#This Row],[AddFn]]</f>
        <v>1092</v>
      </c>
      <c r="Z55" s="27">
        <v>1500</v>
      </c>
      <c r="AA55" s="25">
        <v>5</v>
      </c>
      <c r="AB55" s="25">
        <v>380</v>
      </c>
      <c r="AC55" s="27"/>
      <c r="AD55" s="31"/>
      <c r="AE55" s="27"/>
      <c r="AF55" s="27"/>
      <c r="AG55" s="27"/>
      <c r="AH55" s="27"/>
      <c r="AI55" s="25">
        <v>376882</v>
      </c>
      <c r="AJ55" s="25">
        <v>248742</v>
      </c>
      <c r="AK55" s="25">
        <v>0</v>
      </c>
      <c r="AL55" s="25">
        <v>366100</v>
      </c>
      <c r="AM55" s="25">
        <v>61700</v>
      </c>
      <c r="AN55" s="25">
        <v>304400</v>
      </c>
      <c r="AO55" s="25">
        <v>0</v>
      </c>
      <c r="AP55" s="25">
        <f>Lookups!$B$56*0</f>
        <v>0</v>
      </c>
      <c r="AQ55" s="25">
        <f>Lookups!$B$56*1</f>
        <v>89850.625589999996</v>
      </c>
      <c r="AR55" s="25">
        <f>Lookups!$B$57*Inventory[[#This Row],[LnAcres]]</f>
        <v>-49401.70477837498</v>
      </c>
      <c r="AS55" s="25">
        <f>VLOOKUP(Inventory[[#This Row],[Qlty]],Lookups!$A$62:$E$75,2,FALSE)</f>
        <v>21557.329055999999</v>
      </c>
      <c r="AT55" s="25">
        <f>VLOOKUP(Inventory[[#This Row],[Cnd]],Lookups!$A$76:$E$84,2,FALSE)</f>
        <v>197752.34721000001</v>
      </c>
      <c r="AU55" s="25">
        <f>Inventory[[#This Row],[EffAge]]*Lookups!$B$85</f>
        <v>-6022.2312135000002</v>
      </c>
      <c r="AV55" s="25">
        <f>Inventory[[#This Row],[MainFn]]*Lookups!$B$86</f>
        <v>53954.267505684002</v>
      </c>
      <c r="AW55" s="25">
        <f>Inventory[[#This Row],[UpprFn]]*Lookups!$B$87</f>
        <v>0</v>
      </c>
      <c r="AX55" s="25">
        <f>Inventory[[#This Row],[AddFn]]*Lookups!$B$88</f>
        <v>0</v>
      </c>
      <c r="AY55" s="25">
        <f>Inventory[[#This Row],[Bsmt]]*Lookups!$B$89</f>
        <v>0</v>
      </c>
      <c r="AZ55" s="25">
        <f>Inventory[[#This Row],[Fixtures]]*Lookups!$B$90</f>
        <v>30336.176841600001</v>
      </c>
      <c r="BA55" s="25">
        <f>Inventory[[#This Row],[WdDeck]]*Lookups!$B$91</f>
        <v>3329.5515276000006</v>
      </c>
      <c r="BB55" s="25">
        <f>ROUND(Inventory[[#This Row],[25Det]],-2)</f>
        <v>0</v>
      </c>
      <c r="BC55" s="25">
        <f>ROUND(SUM(Inventory[[#This Row],[Mdl Qlty]:[Mdl WdDeck]])+Inventory[[#This Row],[Mdl Res Intercept]],-2)</f>
        <v>300900</v>
      </c>
      <c r="BD55" s="25">
        <f>ROUND(Inventory[[#This Row],[Mdl Land Intercept]]+Inventory[[#This Row],[Mdl LnAcres]],-2)</f>
        <v>40400</v>
      </c>
      <c r="BE55" s="25">
        <f>Inventory[[#This Row],[Unadj Res Value]]+Inventory[[#This Row],[Unadj Det Value]]+Inventory[[#This Row],[Unadj Land Value]]</f>
        <v>341300</v>
      </c>
      <c r="BF55" s="36">
        <f>(Inventory[[#This Row],[Unadj Total Value]]-Inventory[[#This Row],[24Final]])/Inventory[[#This Row],[24Final]]</f>
        <v>9.3209481101857783E-2</v>
      </c>
      <c r="BG55" s="25">
        <f>VLOOKUP(Inventory[[#This Row],[Nbhd]],Lookups!$Q$2:$T$4,4,FALSE)</f>
        <v>0.99970000000000003</v>
      </c>
      <c r="BH55" s="25">
        <f>VLOOKUP(Inventory[[#This Row],[Qlty]],Lookups!$O$7:$R$21,4,FALSE)</f>
        <v>1.0067999999999999</v>
      </c>
      <c r="BI55" s="29">
        <f>VLOOKUP(Inventory[[#This Row],[Cnd]],Lookups!$T$7:$W$16,4,FALSE)</f>
        <v>0.99650000000000005</v>
      </c>
      <c r="BJ55" s="25">
        <f>VLOOKUP(Inventory[[#This Row],[LivArea Range]],Lookups!$T$25:$W$37,4,FALSE)</f>
        <v>1.0157</v>
      </c>
      <c r="BK55" s="25">
        <f>VLOOKUP(Inventory[[#This Row],[Decade]],Lookups!$O$25:$R$42,4,FALSE)</f>
        <v>0.97319999999999995</v>
      </c>
      <c r="BL55" s="25">
        <f>Inventory[[#This Row],[Nbhd Adj]]*0.95</f>
        <v>0.94971499999999998</v>
      </c>
      <c r="BM55" s="25">
        <f>Inventory[[#This Row],[Nbhd Adj]]*Inventory[[#This Row],[Quality Adj]]*Inventory[[#This Row],[Condition Adj]]*Inventory[[#This Row],[Living Area Adj]]*Inventory[[#This Row],[Decade Adj]]*0.95</f>
        <v>0.94184917135851298</v>
      </c>
      <c r="BN55" s="25">
        <f>ROUND(SUM(Inventory[[#This Row],[Mdl Qlty]:[Mdl WdDeck]])+Inventory[[#This Row],[Mdl Res Intercept]]*Inventory[[#This Row],[Res Adj ]],-2)</f>
        <v>300900</v>
      </c>
      <c r="BO55" s="25">
        <f>ROUND(Inventory[[#This Row],[25Det]]*Inventory[[#This Row],[Det/Nbhd Adj]],-2)</f>
        <v>0</v>
      </c>
      <c r="BP55" s="25">
        <f>Inventory[[#This Row],[Adjusted Res]]+Inventory[[#This Row],[Adj Det ]]</f>
        <v>300900</v>
      </c>
      <c r="BQ55" s="25">
        <f>ROUND((Inventory[[#This Row],[Mdl Land Intercept]]+Inventory[[#This Row],[Mdl LnAcres]])*Inventory[[#This Row],[Det/Nbhd Adj]],-2)</f>
        <v>38400</v>
      </c>
      <c r="BR55" s="25">
        <f>Inventory[[#This Row],[Adjusted Impr Total]]+Inventory[[#This Row],[Adjusted Land Total]]</f>
        <v>339300</v>
      </c>
      <c r="BS55" s="36">
        <f>IFERROR((Inventory[[#This Row],[Adjusted Impr Total]]-Inventory[[#This Row],[24Bldg]])/Inventory[[#This Row],[24Bldg]],0)</f>
        <v>0.19357397857992861</v>
      </c>
      <c r="BT55" s="36">
        <f>(Inventory[[#This Row],[Adjusted Land Total]]-Inventory[[#This Row],[24Lnd]])/Inventory[[#This Row],[24Lnd]]</f>
        <v>-0.36106489184692181</v>
      </c>
      <c r="BU55" s="36">
        <f>(Inventory[[#This Row],[Adjusted Total]]-Inventory[[#This Row],[24Final]])/Inventory[[#This Row],[24Final]]</f>
        <v>8.6803331197950029E-2</v>
      </c>
    </row>
    <row r="56" spans="1:73" x14ac:dyDescent="0.3">
      <c r="A56" s="25">
        <v>2025</v>
      </c>
      <c r="B56" s="26" t="s">
        <v>2034</v>
      </c>
      <c r="C56" s="26">
        <f>LN(Inventory[[#This Row],[Acres]])</f>
        <v>-2.2072749131897207</v>
      </c>
      <c r="D56" s="25">
        <v>0.31</v>
      </c>
      <c r="E56" s="25">
        <v>13647</v>
      </c>
      <c r="F56" s="26" t="s">
        <v>537</v>
      </c>
      <c r="G56" s="26" t="s">
        <v>126</v>
      </c>
      <c r="H56" s="26" t="s">
        <v>349</v>
      </c>
      <c r="I56" s="26" t="s">
        <v>538</v>
      </c>
      <c r="J56" s="26" t="s">
        <v>608</v>
      </c>
      <c r="K56" s="26" t="s">
        <v>269</v>
      </c>
      <c r="L56" s="26" t="s">
        <v>148</v>
      </c>
      <c r="M56" s="26" t="s">
        <v>323</v>
      </c>
      <c r="N56" s="26">
        <v>120</v>
      </c>
      <c r="O56" s="26">
        <f>2024-Inventory[[#This Row],[YrBlt]]</f>
        <v>27</v>
      </c>
      <c r="P56" s="26">
        <f>2024-Inventory[[#This Row],[EffYr]]</f>
        <v>27</v>
      </c>
      <c r="Q56" s="25">
        <v>1902</v>
      </c>
      <c r="R56" s="25">
        <v>1950</v>
      </c>
      <c r="S56" s="25">
        <v>1532</v>
      </c>
      <c r="T56" s="31"/>
      <c r="U56" s="25">
        <v>1505</v>
      </c>
      <c r="V56" s="32">
        <f>Inventory[[#This Row],[Bsmt]]-Inventory[[#This Row],[FnBsmt]]</f>
        <v>0</v>
      </c>
      <c r="W56" s="32">
        <v>1505</v>
      </c>
      <c r="X56" s="27"/>
      <c r="Y56" s="27">
        <f>Inventory[[#This Row],[MainFn]]+Inventory[[#This Row],[UpprFn]]+Inventory[[#This Row],[FnBsmt]]+Inventory[[#This Row],[AddFn]]</f>
        <v>1581</v>
      </c>
      <c r="Z56" s="27">
        <v>3500</v>
      </c>
      <c r="AA56" s="25">
        <v>9</v>
      </c>
      <c r="AB56" s="27"/>
      <c r="AC56" s="27"/>
      <c r="AD56" s="27"/>
      <c r="AE56" s="27"/>
      <c r="AF56" s="27"/>
      <c r="AG56" s="31"/>
      <c r="AH56" s="27"/>
      <c r="AI56" s="25">
        <v>523334</v>
      </c>
      <c r="AJ56" s="25">
        <v>287834</v>
      </c>
      <c r="AK56" s="25">
        <v>11290</v>
      </c>
      <c r="AL56" s="25">
        <v>480600</v>
      </c>
      <c r="AM56" s="25">
        <v>73700</v>
      </c>
      <c r="AN56" s="25">
        <v>406900</v>
      </c>
      <c r="AO56" s="25">
        <v>0</v>
      </c>
      <c r="AP56" s="25">
        <f>Lookups!$B$56*0</f>
        <v>0</v>
      </c>
      <c r="AQ56" s="25">
        <f>Lookups!$B$56*1</f>
        <v>89850.625589999996</v>
      </c>
      <c r="AR56" s="25">
        <f>Lookups!$B$57*Inventory[[#This Row],[LnAcres]]</f>
        <v>-69870.439211769743</v>
      </c>
      <c r="AS56" s="25">
        <f>VLOOKUP(Inventory[[#This Row],[Qlty]],Lookups!$A$62:$E$75,2,FALSE)</f>
        <v>44121.038090000002</v>
      </c>
      <c r="AT56" s="25">
        <f>VLOOKUP(Inventory[[#This Row],[Cnd]],Lookups!$A$76:$E$84,2,FALSE)</f>
        <v>197752.34721000001</v>
      </c>
      <c r="AU56" s="25">
        <f>Inventory[[#This Row],[EffAge]]*Lookups!$B$85</f>
        <v>-6022.2312135000002</v>
      </c>
      <c r="AV56" s="25">
        <f>Inventory[[#This Row],[MainFn]]*Lookups!$B$86</f>
        <v>52274.372729866001</v>
      </c>
      <c r="AW56" s="25">
        <f>Inventory[[#This Row],[UpprFn]]*Lookups!$B$87</f>
        <v>23423.299156303001</v>
      </c>
      <c r="AX56" s="25">
        <f>Inventory[[#This Row],[AddFn]]*Lookups!$B$88</f>
        <v>0</v>
      </c>
      <c r="AY56" s="25">
        <f>Inventory[[#This Row],[Bsmt]]*Lookups!$B$89</f>
        <v>0</v>
      </c>
      <c r="AZ56" s="25">
        <f>Inventory[[#This Row],[Fixtures]]*Lookups!$B$90</f>
        <v>45504.265262400004</v>
      </c>
      <c r="BA56" s="25">
        <f>Inventory[[#This Row],[WdDeck]]*Lookups!$B$91</f>
        <v>3396.1425581520002</v>
      </c>
      <c r="BB56" s="25">
        <f>ROUND(Inventory[[#This Row],[25Det]],-2)</f>
        <v>0</v>
      </c>
      <c r="BC56" s="25">
        <f>ROUND(SUM(Inventory[[#This Row],[Mdl Qlty]:[Mdl WdDeck]])+Inventory[[#This Row],[Mdl Res Intercept]],-2)</f>
        <v>360400</v>
      </c>
      <c r="BD56" s="25">
        <f>ROUND(Inventory[[#This Row],[Mdl Land Intercept]]+Inventory[[#This Row],[Mdl LnAcres]],-2)</f>
        <v>20000</v>
      </c>
      <c r="BE56" s="25">
        <f>Inventory[[#This Row],[Unadj Res Value]]+Inventory[[#This Row],[Unadj Det Value]]+Inventory[[#This Row],[Unadj Land Value]]</f>
        <v>380400</v>
      </c>
      <c r="BF56" s="36">
        <f>(Inventory[[#This Row],[Unadj Total Value]]-Inventory[[#This Row],[24Final]])/Inventory[[#This Row],[24Final]]</f>
        <v>1.1702127659574468E-2</v>
      </c>
      <c r="BG56" s="25">
        <f>VLOOKUP(Inventory[[#This Row],[Nbhd]],Lookups!$Q$2:$T$4,4,FALSE)</f>
        <v>0.99970000000000003</v>
      </c>
      <c r="BH56" s="25">
        <f>VLOOKUP(Inventory[[#This Row],[Qlty]],Lookups!$O$7:$R$21,4,FALSE)</f>
        <v>0.98050000000000004</v>
      </c>
      <c r="BI56" s="29">
        <f>VLOOKUP(Inventory[[#This Row],[Cnd]],Lookups!$T$7:$W$16,4,FALSE)</f>
        <v>0.99650000000000005</v>
      </c>
      <c r="BJ56" s="25">
        <f>VLOOKUP(Inventory[[#This Row],[LivArea Range]],Lookups!$T$25:$W$37,4,FALSE)</f>
        <v>1.0093000000000001</v>
      </c>
      <c r="BK56" s="25">
        <f>VLOOKUP(Inventory[[#This Row],[Decade]],Lookups!$O$25:$R$42,4,FALSE)</f>
        <v>0.97319999999999995</v>
      </c>
      <c r="BL56" s="25">
        <f>Inventory[[#This Row],[Nbhd Adj]]*0.95</f>
        <v>0.94971499999999998</v>
      </c>
      <c r="BM56" s="25">
        <f>Inventory[[#This Row],[Nbhd Adj]]*Inventory[[#This Row],[Quality Adj]]*Inventory[[#This Row],[Condition Adj]]*Inventory[[#This Row],[Living Area Adj]]*Inventory[[#This Row],[Decade Adj]]*0.95</f>
        <v>0.91146620765877828</v>
      </c>
      <c r="BN56" s="25">
        <f>ROUND(SUM(Inventory[[#This Row],[Mdl Qlty]:[Mdl WdDeck]])+Inventory[[#This Row],[Mdl Res Intercept]]*Inventory[[#This Row],[Res Adj ]],-2)</f>
        <v>360400</v>
      </c>
      <c r="BO56" s="25">
        <f>ROUND(Inventory[[#This Row],[25Det]]*Inventory[[#This Row],[Det/Nbhd Adj]],-2)</f>
        <v>0</v>
      </c>
      <c r="BP56" s="25">
        <f>Inventory[[#This Row],[Adjusted Res]]+Inventory[[#This Row],[Adj Det ]]</f>
        <v>360400</v>
      </c>
      <c r="BQ56" s="25">
        <f>ROUND((Inventory[[#This Row],[Mdl Land Intercept]]+Inventory[[#This Row],[Mdl LnAcres]])*Inventory[[#This Row],[Det/Nbhd Adj]],-2)</f>
        <v>19000</v>
      </c>
      <c r="BR56" s="25">
        <f>Inventory[[#This Row],[Adjusted Impr Total]]+Inventory[[#This Row],[Adjusted Land Total]]</f>
        <v>379400</v>
      </c>
      <c r="BS56" s="36">
        <f>IFERROR((Inventory[[#This Row],[Adjusted Impr Total]]-Inventory[[#This Row],[24Bldg]])/Inventory[[#This Row],[24Bldg]],0)</f>
        <v>8.4235860409145602E-2</v>
      </c>
      <c r="BT56" s="36">
        <f>(Inventory[[#This Row],[Adjusted Land Total]]-Inventory[[#This Row],[24Lnd]])/Inventory[[#This Row],[24Lnd]]</f>
        <v>-0.56422018348623848</v>
      </c>
      <c r="BU56" s="36">
        <f>(Inventory[[#This Row],[Adjusted Total]]-Inventory[[#This Row],[24Final]])/Inventory[[#This Row],[24Final]]</f>
        <v>9.0425531914893609E-3</v>
      </c>
    </row>
    <row r="57" spans="1:73" x14ac:dyDescent="0.3">
      <c r="A57" s="25">
        <v>2025</v>
      </c>
      <c r="B57" s="26" t="s">
        <v>1662</v>
      </c>
      <c r="C57" s="26">
        <f>LN(Inventory[[#This Row],[Acres]])</f>
        <v>-2.2072749131897207</v>
      </c>
      <c r="D57" s="25">
        <v>0.85</v>
      </c>
      <c r="E57" s="25">
        <v>36971</v>
      </c>
      <c r="F57" s="26" t="s">
        <v>537</v>
      </c>
      <c r="G57" s="26" t="s">
        <v>126</v>
      </c>
      <c r="H57" s="26" t="s">
        <v>349</v>
      </c>
      <c r="I57" s="26" t="s">
        <v>538</v>
      </c>
      <c r="J57" s="26" t="s">
        <v>608</v>
      </c>
      <c r="K57" s="26" t="s">
        <v>417</v>
      </c>
      <c r="L57" s="26" t="s">
        <v>95</v>
      </c>
      <c r="M57" s="26" t="s">
        <v>352</v>
      </c>
      <c r="N57" s="26">
        <v>110</v>
      </c>
      <c r="O57" s="26">
        <f>2024-Inventory[[#This Row],[YrBlt]]</f>
        <v>27</v>
      </c>
      <c r="P57" s="26">
        <f>2024-Inventory[[#This Row],[EffYr]]</f>
        <v>27</v>
      </c>
      <c r="Q57" s="25">
        <v>1907</v>
      </c>
      <c r="R57" s="25">
        <v>1955</v>
      </c>
      <c r="S57" s="25">
        <v>1995</v>
      </c>
      <c r="T57" s="32">
        <v>1428</v>
      </c>
      <c r="U57" s="32">
        <v>1428</v>
      </c>
      <c r="V57" s="32">
        <f>Inventory[[#This Row],[Bsmt]]-Inventory[[#This Row],[FnBsmt]]</f>
        <v>0</v>
      </c>
      <c r="W57" s="32">
        <v>1428</v>
      </c>
      <c r="X57" s="27"/>
      <c r="Y57" s="27">
        <f>Inventory[[#This Row],[MainFn]]+Inventory[[#This Row],[UpprFn]]+Inventory[[#This Row],[FnBsmt]]+Inventory[[#This Row],[AddFn]]</f>
        <v>1815</v>
      </c>
      <c r="Z57" s="27">
        <v>4500</v>
      </c>
      <c r="AA57" s="25">
        <v>12</v>
      </c>
      <c r="AB57" s="27"/>
      <c r="AC57" s="27"/>
      <c r="AD57" s="32">
        <v>302</v>
      </c>
      <c r="AE57" s="27"/>
      <c r="AF57" s="27"/>
      <c r="AG57" s="31"/>
      <c r="AH57" s="27"/>
      <c r="AI57" s="25">
        <v>918818</v>
      </c>
      <c r="AJ57" s="25">
        <v>551291</v>
      </c>
      <c r="AK57" s="25">
        <v>74175</v>
      </c>
      <c r="AL57" s="25">
        <v>770100</v>
      </c>
      <c r="AM57" s="25">
        <v>108900</v>
      </c>
      <c r="AN57" s="25">
        <v>661200</v>
      </c>
      <c r="AO57" s="25">
        <v>0</v>
      </c>
      <c r="AP57" s="25">
        <f>Lookups!$B$56*0</f>
        <v>0</v>
      </c>
      <c r="AQ57" s="25">
        <f>Lookups!$B$56*1</f>
        <v>89850.625589999996</v>
      </c>
      <c r="AR57" s="25">
        <f>Lookups!$B$57*Inventory[[#This Row],[LnAcres]]</f>
        <v>-69870.439211769743</v>
      </c>
      <c r="AS57" s="25">
        <f>VLOOKUP(Inventory[[#This Row],[Qlty]],Lookups!$A$62:$E$75,2,FALSE)</f>
        <v>44121.038090000002</v>
      </c>
      <c r="AT57" s="25">
        <f>VLOOKUP(Inventory[[#This Row],[Cnd]],Lookups!$A$76:$E$84,2,FALSE)</f>
        <v>197752.34721000001</v>
      </c>
      <c r="AU57" s="25">
        <f>Inventory[[#This Row],[EffAge]]*Lookups!$B$85</f>
        <v>-6022.2312135000002</v>
      </c>
      <c r="AV57" s="25">
        <f>Inventory[[#This Row],[MainFn]]*Lookups!$B$86</f>
        <v>63193.688772683003</v>
      </c>
      <c r="AW57" s="25">
        <f>Inventory[[#This Row],[UpprFn]]*Lookups!$B$87</f>
        <v>24005.522653495998</v>
      </c>
      <c r="AX57" s="25">
        <f>Inventory[[#This Row],[AddFn]]*Lookups!$B$88</f>
        <v>0</v>
      </c>
      <c r="AY57" s="25">
        <f>Inventory[[#This Row],[Bsmt]]*Lookups!$B$89</f>
        <v>0</v>
      </c>
      <c r="AZ57" s="25">
        <f>Inventory[[#This Row],[Fixtures]]*Lookups!$B$90</f>
        <v>37920.221052000001</v>
      </c>
      <c r="BA57" s="25">
        <f>Inventory[[#This Row],[WdDeck]]*Lookups!$B$91</f>
        <v>2863.4143137360002</v>
      </c>
      <c r="BB57" s="25">
        <f>ROUND(Inventory[[#This Row],[25Det]],-2)</f>
        <v>0</v>
      </c>
      <c r="BC57" s="25">
        <f>ROUND(SUM(Inventory[[#This Row],[Mdl Qlty]:[Mdl WdDeck]])+Inventory[[#This Row],[Mdl Res Intercept]],-2)</f>
        <v>363800</v>
      </c>
      <c r="BD57" s="25">
        <f>ROUND(Inventory[[#This Row],[Mdl Land Intercept]]+Inventory[[#This Row],[Mdl LnAcres]],-2)</f>
        <v>20000</v>
      </c>
      <c r="BE57" s="25">
        <f>Inventory[[#This Row],[Unadj Res Value]]+Inventory[[#This Row],[Unadj Det Value]]+Inventory[[#This Row],[Unadj Land Value]]</f>
        <v>383800</v>
      </c>
      <c r="BF57" s="36">
        <f>(Inventory[[#This Row],[Unadj Total Value]]-Inventory[[#This Row],[24Final]])/Inventory[[#This Row],[24Final]]</f>
        <v>-5.0939663699307615E-2</v>
      </c>
      <c r="BG57" s="25">
        <f>VLOOKUP(Inventory[[#This Row],[Nbhd]],Lookups!$Q$2:$T$4,4,FALSE)</f>
        <v>0.99970000000000003</v>
      </c>
      <c r="BH57" s="25">
        <f>VLOOKUP(Inventory[[#This Row],[Qlty]],Lookups!$O$7:$R$21,4,FALSE)</f>
        <v>0.98050000000000004</v>
      </c>
      <c r="BI57" s="29">
        <f>VLOOKUP(Inventory[[#This Row],[Cnd]],Lookups!$T$7:$W$16,4,FALSE)</f>
        <v>0.99650000000000005</v>
      </c>
      <c r="BJ57" s="25">
        <f>VLOOKUP(Inventory[[#This Row],[LivArea Range]],Lookups!$T$25:$W$37,4,FALSE)</f>
        <v>1.0093000000000001</v>
      </c>
      <c r="BK57" s="25">
        <f>VLOOKUP(Inventory[[#This Row],[Decade]],Lookups!$O$25:$R$42,4,FALSE)</f>
        <v>0.97319999999999995</v>
      </c>
      <c r="BL57" s="25">
        <f>Inventory[[#This Row],[Nbhd Adj]]*0.95</f>
        <v>0.94971499999999998</v>
      </c>
      <c r="BM57" s="25">
        <f>Inventory[[#This Row],[Nbhd Adj]]*Inventory[[#This Row],[Quality Adj]]*Inventory[[#This Row],[Condition Adj]]*Inventory[[#This Row],[Living Area Adj]]*Inventory[[#This Row],[Decade Adj]]*0.95</f>
        <v>0.91146620765877828</v>
      </c>
      <c r="BN57" s="25">
        <f>ROUND(SUM(Inventory[[#This Row],[Mdl Qlty]:[Mdl WdDeck]])+Inventory[[#This Row],[Mdl Res Intercept]]*Inventory[[#This Row],[Res Adj ]],-2)</f>
        <v>363800</v>
      </c>
      <c r="BO57" s="25">
        <f>ROUND(Inventory[[#This Row],[25Det]]*Inventory[[#This Row],[Det/Nbhd Adj]],-2)</f>
        <v>0</v>
      </c>
      <c r="BP57" s="25">
        <f>Inventory[[#This Row],[Adjusted Res]]+Inventory[[#This Row],[Adj Det ]]</f>
        <v>363800</v>
      </c>
      <c r="BQ57" s="25">
        <f>ROUND((Inventory[[#This Row],[Mdl Land Intercept]]+Inventory[[#This Row],[Mdl LnAcres]])*Inventory[[#This Row],[Det/Nbhd Adj]],-2)</f>
        <v>19000</v>
      </c>
      <c r="BR57" s="25">
        <f>Inventory[[#This Row],[Adjusted Impr Total]]+Inventory[[#This Row],[Adjusted Land Total]]</f>
        <v>382800</v>
      </c>
      <c r="BS57" s="36">
        <f>IFERROR((Inventory[[#This Row],[Adjusted Impr Total]]-Inventory[[#This Row],[24Bldg]])/Inventory[[#This Row],[24Bldg]],0)</f>
        <v>7.1982281284606866E-3</v>
      </c>
      <c r="BT57" s="36">
        <f>(Inventory[[#This Row],[Adjusted Land Total]]-Inventory[[#This Row],[24Lnd]])/Inventory[[#This Row],[24Lnd]]</f>
        <v>-0.56018518518518523</v>
      </c>
      <c r="BU57" s="36">
        <f>(Inventory[[#This Row],[Adjusted Total]]-Inventory[[#This Row],[24Final]])/Inventory[[#This Row],[24Final]]</f>
        <v>-5.3412462908011868E-2</v>
      </c>
    </row>
    <row r="58" spans="1:73" x14ac:dyDescent="0.3">
      <c r="A58" s="25">
        <v>2025</v>
      </c>
      <c r="B58" s="26" t="s">
        <v>2149</v>
      </c>
      <c r="C58" s="26">
        <f>LN(Inventory[[#This Row],[Acres]])</f>
        <v>-2.2072749131897207</v>
      </c>
      <c r="D58" s="25">
        <v>0.2</v>
      </c>
      <c r="E58" s="31"/>
      <c r="F58" s="26" t="s">
        <v>537</v>
      </c>
      <c r="G58" s="26" t="s">
        <v>126</v>
      </c>
      <c r="H58" s="26" t="s">
        <v>349</v>
      </c>
      <c r="I58" s="26" t="s">
        <v>538</v>
      </c>
      <c r="J58" s="26" t="s">
        <v>608</v>
      </c>
      <c r="K58" s="26" t="s">
        <v>613</v>
      </c>
      <c r="L58" s="26" t="s">
        <v>484</v>
      </c>
      <c r="M58" s="26" t="s">
        <v>323</v>
      </c>
      <c r="N58" s="26">
        <v>90</v>
      </c>
      <c r="O58" s="26">
        <f>2024-Inventory[[#This Row],[YrBlt]]</f>
        <v>27</v>
      </c>
      <c r="P58" s="26">
        <f>2024-Inventory[[#This Row],[EffYr]]</f>
        <v>27</v>
      </c>
      <c r="Q58" s="25">
        <v>1925</v>
      </c>
      <c r="R58" s="25">
        <v>1950</v>
      </c>
      <c r="S58" s="25">
        <v>276</v>
      </c>
      <c r="T58" s="27"/>
      <c r="U58" s="27"/>
      <c r="V58" s="27">
        <f>Inventory[[#This Row],[Bsmt]]-Inventory[[#This Row],[FnBsmt]]</f>
        <v>0</v>
      </c>
      <c r="W58" s="27"/>
      <c r="X58" s="27"/>
      <c r="Y58" s="27">
        <f>Inventory[[#This Row],[MainFn]]+Inventory[[#This Row],[UpprFn]]+Inventory[[#This Row],[FnBsmt]]+Inventory[[#This Row],[AddFn]]</f>
        <v>1815</v>
      </c>
      <c r="Z58" s="27">
        <v>500</v>
      </c>
      <c r="AA58" s="25">
        <v>5</v>
      </c>
      <c r="AB58" s="27"/>
      <c r="AC58" s="27"/>
      <c r="AD58" s="27"/>
      <c r="AE58" s="27"/>
      <c r="AF58" s="27"/>
      <c r="AG58" s="31"/>
      <c r="AH58" s="27"/>
      <c r="AI58" s="25">
        <v>37991</v>
      </c>
      <c r="AJ58" s="25">
        <v>20515</v>
      </c>
      <c r="AK58" s="25">
        <v>10083</v>
      </c>
      <c r="AL58" s="25">
        <v>376300</v>
      </c>
      <c r="AM58" s="25">
        <v>58400</v>
      </c>
      <c r="AN58" s="25">
        <v>317900</v>
      </c>
      <c r="AO58" s="25">
        <v>0</v>
      </c>
      <c r="AP58" s="25">
        <f>Lookups!$B$56*0</f>
        <v>0</v>
      </c>
      <c r="AQ58" s="25">
        <f>Lookups!$B$56*1</f>
        <v>89850.625589999996</v>
      </c>
      <c r="AR58" s="25">
        <f>Lookups!$B$57*Inventory[[#This Row],[LnAcres]]</f>
        <v>-69870.439211769743</v>
      </c>
      <c r="AS58" s="25">
        <f>VLOOKUP(Inventory[[#This Row],[Qlty]],Lookups!$A$62:$E$75,2,FALSE)</f>
        <v>44121.038090000002</v>
      </c>
      <c r="AT58" s="25">
        <f>VLOOKUP(Inventory[[#This Row],[Cnd]],Lookups!$A$76:$E$84,2,FALSE)</f>
        <v>197752.34721000001</v>
      </c>
      <c r="AU58" s="25">
        <f>Inventory[[#This Row],[EffAge]]*Lookups!$B$85</f>
        <v>-6022.2312135000002</v>
      </c>
      <c r="AV58" s="25">
        <f>Inventory[[#This Row],[MainFn]]*Lookups!$B$86</f>
        <v>63193.688772683003</v>
      </c>
      <c r="AW58" s="25">
        <f>Inventory[[#This Row],[UpprFn]]*Lookups!$B$87</f>
        <v>24005.522653495998</v>
      </c>
      <c r="AX58" s="25">
        <f>Inventory[[#This Row],[AddFn]]*Lookups!$B$88</f>
        <v>0</v>
      </c>
      <c r="AY58" s="25">
        <f>Inventory[[#This Row],[Bsmt]]*Lookups!$B$89</f>
        <v>0</v>
      </c>
      <c r="AZ58" s="25">
        <f>Inventory[[#This Row],[Fixtures]]*Lookups!$B$90</f>
        <v>37920.221052000001</v>
      </c>
      <c r="BA58" s="25">
        <f>Inventory[[#This Row],[WdDeck]]*Lookups!$B$91</f>
        <v>2863.4143137360002</v>
      </c>
      <c r="BB58" s="25">
        <f>ROUND(Inventory[[#This Row],[25Det]],-2)</f>
        <v>0</v>
      </c>
      <c r="BC58" s="25">
        <f>ROUND(SUM(Inventory[[#This Row],[Mdl Qlty]:[Mdl WdDeck]])+Inventory[[#This Row],[Mdl Res Intercept]],-2)</f>
        <v>363800</v>
      </c>
      <c r="BD58" s="25">
        <f>ROUND(Inventory[[#This Row],[Mdl Land Intercept]]+Inventory[[#This Row],[Mdl LnAcres]],-2)</f>
        <v>20000</v>
      </c>
      <c r="BE58" s="25">
        <f>Inventory[[#This Row],[Unadj Res Value]]+Inventory[[#This Row],[Unadj Det Value]]+Inventory[[#This Row],[Unadj Land Value]]</f>
        <v>383800</v>
      </c>
      <c r="BF58" s="36">
        <f>(Inventory[[#This Row],[Unadj Total Value]]-Inventory[[#This Row],[24Final]])/Inventory[[#This Row],[24Final]]</f>
        <v>-5.3047125585985691E-2</v>
      </c>
      <c r="BG58" s="25">
        <f>VLOOKUP(Inventory[[#This Row],[Nbhd]],Lookups!$Q$2:$T$4,4,FALSE)</f>
        <v>0.99970000000000003</v>
      </c>
      <c r="BH58" s="25">
        <f>VLOOKUP(Inventory[[#This Row],[Qlty]],Lookups!$O$7:$R$21,4,FALSE)</f>
        <v>0.98050000000000004</v>
      </c>
      <c r="BI58" s="29">
        <f>VLOOKUP(Inventory[[#This Row],[Cnd]],Lookups!$T$7:$W$16,4,FALSE)</f>
        <v>0.99650000000000005</v>
      </c>
      <c r="BJ58" s="25">
        <f>VLOOKUP(Inventory[[#This Row],[LivArea Range]],Lookups!$T$25:$W$37,4,FALSE)</f>
        <v>1.0093000000000001</v>
      </c>
      <c r="BK58" s="25">
        <f>VLOOKUP(Inventory[[#This Row],[Decade]],Lookups!$O$25:$R$42,4,FALSE)</f>
        <v>0.97319999999999995</v>
      </c>
      <c r="BL58" s="25">
        <f>Inventory[[#This Row],[Nbhd Adj]]*0.95</f>
        <v>0.94971499999999998</v>
      </c>
      <c r="BM58" s="25">
        <f>Inventory[[#This Row],[Nbhd Adj]]*Inventory[[#This Row],[Quality Adj]]*Inventory[[#This Row],[Condition Adj]]*Inventory[[#This Row],[Living Area Adj]]*Inventory[[#This Row],[Decade Adj]]*0.95</f>
        <v>0.91146620765877828</v>
      </c>
      <c r="BN58" s="25">
        <f>ROUND(SUM(Inventory[[#This Row],[Mdl Qlty]:[Mdl WdDeck]])+Inventory[[#This Row],[Mdl Res Intercept]]*Inventory[[#This Row],[Res Adj ]],-2)</f>
        <v>363800</v>
      </c>
      <c r="BO58" s="25">
        <f>ROUND(Inventory[[#This Row],[25Det]]*Inventory[[#This Row],[Det/Nbhd Adj]],-2)</f>
        <v>0</v>
      </c>
      <c r="BP58" s="25">
        <f>Inventory[[#This Row],[Adjusted Res]]+Inventory[[#This Row],[Adj Det ]]</f>
        <v>363800</v>
      </c>
      <c r="BQ58" s="25">
        <f>ROUND((Inventory[[#This Row],[Mdl Land Intercept]]+Inventory[[#This Row],[Mdl LnAcres]])*Inventory[[#This Row],[Det/Nbhd Adj]],-2)</f>
        <v>19000</v>
      </c>
      <c r="BR58" s="25">
        <f>Inventory[[#This Row],[Adjusted Impr Total]]+Inventory[[#This Row],[Adjusted Land Total]]</f>
        <v>382800</v>
      </c>
      <c r="BS58" s="36">
        <f>IFERROR((Inventory[[#This Row],[Adjusted Impr Total]]-Inventory[[#This Row],[24Bldg]])/Inventory[[#This Row],[24Bldg]],0)</f>
        <v>4.6948356807511738E-3</v>
      </c>
      <c r="BT58" s="36">
        <f>(Inventory[[#This Row],[Adjusted Land Total]]-Inventory[[#This Row],[24Lnd]])/Inventory[[#This Row],[24Lnd]]</f>
        <v>-0.56018518518518523</v>
      </c>
      <c r="BU58" s="36">
        <f>(Inventory[[#This Row],[Adjusted Total]]-Inventory[[#This Row],[24Final]])/Inventory[[#This Row],[24Final]]</f>
        <v>-5.5514433752775719E-2</v>
      </c>
    </row>
    <row r="59" spans="1:73" x14ac:dyDescent="0.3">
      <c r="A59" s="25">
        <v>2025</v>
      </c>
      <c r="B59" s="26" t="s">
        <v>612</v>
      </c>
      <c r="C59" s="26">
        <f>LN(Inventory[[#This Row],[Acres]])</f>
        <v>-2.2072749131897207</v>
      </c>
      <c r="D59" s="25">
        <v>0.81</v>
      </c>
      <c r="E59" s="25">
        <v>35429</v>
      </c>
      <c r="F59" s="26" t="s">
        <v>537</v>
      </c>
      <c r="G59" s="26" t="s">
        <v>126</v>
      </c>
      <c r="H59" s="26" t="s">
        <v>349</v>
      </c>
      <c r="I59" s="26" t="s">
        <v>538</v>
      </c>
      <c r="J59" s="26" t="s">
        <v>608</v>
      </c>
      <c r="K59" s="26" t="s">
        <v>613</v>
      </c>
      <c r="L59" s="26" t="s">
        <v>484</v>
      </c>
      <c r="M59" s="26" t="s">
        <v>206</v>
      </c>
      <c r="N59" s="26">
        <v>80</v>
      </c>
      <c r="O59" s="26">
        <f>2024-Inventory[[#This Row],[YrBlt]]</f>
        <v>27</v>
      </c>
      <c r="P59" s="26">
        <f>2024-Inventory[[#This Row],[EffYr]]</f>
        <v>27</v>
      </c>
      <c r="Q59" s="25">
        <v>1940</v>
      </c>
      <c r="R59" s="25">
        <v>1940</v>
      </c>
      <c r="S59" s="25">
        <v>440</v>
      </c>
      <c r="T59" s="27"/>
      <c r="U59" s="27"/>
      <c r="V59" s="27">
        <f>Inventory[[#This Row],[Bsmt]]-Inventory[[#This Row],[FnBsmt]]</f>
        <v>0</v>
      </c>
      <c r="W59" s="27"/>
      <c r="X59" s="27"/>
      <c r="Y59" s="27">
        <f>Inventory[[#This Row],[MainFn]]+Inventory[[#This Row],[UpprFn]]+Inventory[[#This Row],[FnBsmt]]+Inventory[[#This Row],[AddFn]]</f>
        <v>1801</v>
      </c>
      <c r="Z59" s="27">
        <v>500</v>
      </c>
      <c r="AA59" s="25">
        <v>5</v>
      </c>
      <c r="AB59" s="27"/>
      <c r="AC59" s="27"/>
      <c r="AD59" s="27"/>
      <c r="AE59" s="27"/>
      <c r="AF59" s="27"/>
      <c r="AG59" s="27"/>
      <c r="AH59" s="27"/>
      <c r="AI59" s="25">
        <v>53064</v>
      </c>
      <c r="AJ59" s="25">
        <v>27593</v>
      </c>
      <c r="AK59" s="25">
        <v>6289</v>
      </c>
      <c r="AL59" s="25">
        <v>301600</v>
      </c>
      <c r="AM59" s="25">
        <v>107200</v>
      </c>
      <c r="AN59" s="25">
        <v>194400</v>
      </c>
      <c r="AO59" s="25">
        <v>0</v>
      </c>
      <c r="AP59" s="25">
        <f>Lookups!$B$56*0</f>
        <v>0</v>
      </c>
      <c r="AQ59" s="25">
        <f>Lookups!$B$56*1</f>
        <v>89850.625589999996</v>
      </c>
      <c r="AR59" s="25">
        <f>Lookups!$B$57*Inventory[[#This Row],[LnAcres]]</f>
        <v>-69870.439211769743</v>
      </c>
      <c r="AS59" s="25">
        <f>VLOOKUP(Inventory[[#This Row],[Qlty]],Lookups!$A$62:$E$75,2,FALSE)</f>
        <v>44121.038090000002</v>
      </c>
      <c r="AT59" s="25">
        <f>VLOOKUP(Inventory[[#This Row],[Cnd]],Lookups!$A$76:$E$84,2,FALSE)</f>
        <v>160472.20319</v>
      </c>
      <c r="AU59" s="25">
        <f>Inventory[[#This Row],[EffAge]]*Lookups!$B$85</f>
        <v>-6022.2312135000002</v>
      </c>
      <c r="AV59" s="25">
        <f>Inventory[[#This Row],[MainFn]]*Lookups!$B$86</f>
        <v>63193.688772683003</v>
      </c>
      <c r="AW59" s="25">
        <f>Inventory[[#This Row],[UpprFn]]*Lookups!$B$87</f>
        <v>23378.512733441999</v>
      </c>
      <c r="AX59" s="25">
        <f>Inventory[[#This Row],[AddFn]]*Lookups!$B$88</f>
        <v>0</v>
      </c>
      <c r="AY59" s="25">
        <f>Inventory[[#This Row],[Bsmt]]*Lookups!$B$89</f>
        <v>0</v>
      </c>
      <c r="AZ59" s="25">
        <f>Inventory[[#This Row],[Fixtures]]*Lookups!$B$90</f>
        <v>45504.265262400004</v>
      </c>
      <c r="BA59" s="25">
        <f>Inventory[[#This Row],[WdDeck]]*Lookups!$B$91</f>
        <v>3329.5515276000006</v>
      </c>
      <c r="BB59" s="25">
        <f>ROUND(Inventory[[#This Row],[25Det]],-2)</f>
        <v>0</v>
      </c>
      <c r="BC59" s="25">
        <f>ROUND(SUM(Inventory[[#This Row],[Mdl Qlty]:[Mdl WdDeck]])+Inventory[[#This Row],[Mdl Res Intercept]],-2)</f>
        <v>334000</v>
      </c>
      <c r="BD59" s="25">
        <f>ROUND(Inventory[[#This Row],[Mdl Land Intercept]]+Inventory[[#This Row],[Mdl LnAcres]],-2)</f>
        <v>20000</v>
      </c>
      <c r="BE59" s="25">
        <f>Inventory[[#This Row],[Unadj Res Value]]+Inventory[[#This Row],[Unadj Det Value]]+Inventory[[#This Row],[Unadj Land Value]]</f>
        <v>354000</v>
      </c>
      <c r="BF59" s="36">
        <f>(Inventory[[#This Row],[Unadj Total Value]]-Inventory[[#This Row],[24Final]])/Inventory[[#This Row],[24Final]]</f>
        <v>-0.11189162067235324</v>
      </c>
      <c r="BG59" s="25">
        <f>VLOOKUP(Inventory[[#This Row],[Nbhd]],Lookups!$Q$2:$T$4,4,FALSE)</f>
        <v>0.99970000000000003</v>
      </c>
      <c r="BH59" s="25">
        <f>VLOOKUP(Inventory[[#This Row],[Qlty]],Lookups!$O$7:$R$21,4,FALSE)</f>
        <v>0.98050000000000004</v>
      </c>
      <c r="BI59" s="29">
        <f>VLOOKUP(Inventory[[#This Row],[Cnd]],Lookups!$T$7:$W$16,4,FALSE)</f>
        <v>0.99729999999999996</v>
      </c>
      <c r="BJ59" s="25">
        <f>VLOOKUP(Inventory[[#This Row],[LivArea Range]],Lookups!$T$25:$W$37,4,FALSE)</f>
        <v>1.0093000000000001</v>
      </c>
      <c r="BK59" s="25">
        <f>VLOOKUP(Inventory[[#This Row],[Decade]],Lookups!$O$25:$R$42,4,FALSE)</f>
        <v>0.97319999999999995</v>
      </c>
      <c r="BL59" s="25">
        <f>Inventory[[#This Row],[Nbhd Adj]]*0.95</f>
        <v>0.94971499999999998</v>
      </c>
      <c r="BM59" s="25">
        <f>Inventory[[#This Row],[Nbhd Adj]]*Inventory[[#This Row],[Quality Adj]]*Inventory[[#This Row],[Condition Adj]]*Inventory[[#This Row],[Living Area Adj]]*Inventory[[#This Row],[Decade Adj]]*0.95</f>
        <v>0.91219794169402857</v>
      </c>
      <c r="BN59" s="25">
        <f>ROUND(SUM(Inventory[[#This Row],[Mdl Qlty]:[Mdl WdDeck]])+Inventory[[#This Row],[Mdl Res Intercept]]*Inventory[[#This Row],[Res Adj ]],-2)</f>
        <v>334000</v>
      </c>
      <c r="BO59" s="25">
        <f>ROUND(Inventory[[#This Row],[25Det]]*Inventory[[#This Row],[Det/Nbhd Adj]],-2)</f>
        <v>0</v>
      </c>
      <c r="BP59" s="25">
        <f>Inventory[[#This Row],[Adjusted Res]]+Inventory[[#This Row],[Adj Det ]]</f>
        <v>334000</v>
      </c>
      <c r="BQ59" s="25">
        <f>ROUND((Inventory[[#This Row],[Mdl Land Intercept]]+Inventory[[#This Row],[Mdl LnAcres]])*Inventory[[#This Row],[Det/Nbhd Adj]],-2)</f>
        <v>19000</v>
      </c>
      <c r="BR59" s="25">
        <f>Inventory[[#This Row],[Adjusted Impr Total]]+Inventory[[#This Row],[Adjusted Land Total]]</f>
        <v>353000</v>
      </c>
      <c r="BS59" s="36">
        <f>IFERROR((Inventory[[#This Row],[Adjusted Impr Total]]-Inventory[[#This Row],[24Bldg]])/Inventory[[#This Row],[24Bldg]],0)</f>
        <v>-6.0213843556555992E-2</v>
      </c>
      <c r="BT59" s="36">
        <f>(Inventory[[#This Row],[Adjusted Land Total]]-Inventory[[#This Row],[24Lnd]])/Inventory[[#This Row],[24Lnd]]</f>
        <v>-0.56018518518518523</v>
      </c>
      <c r="BU59" s="36">
        <f>(Inventory[[#This Row],[Adjusted Total]]-Inventory[[#This Row],[24Final]])/Inventory[[#This Row],[24Final]]</f>
        <v>-0.11440040140491721</v>
      </c>
    </row>
    <row r="60" spans="1:73" x14ac:dyDescent="0.3">
      <c r="A60" s="25">
        <v>2025</v>
      </c>
      <c r="B60" s="26" t="s">
        <v>2834</v>
      </c>
      <c r="C60" s="26">
        <f>LN(Inventory[[#This Row],[Acres]])</f>
        <v>-1.8971199848858813</v>
      </c>
      <c r="D60" s="25">
        <v>0.22</v>
      </c>
      <c r="E60" s="31"/>
      <c r="F60" s="26" t="s">
        <v>537</v>
      </c>
      <c r="G60" s="26" t="s">
        <v>126</v>
      </c>
      <c r="H60" s="26" t="s">
        <v>349</v>
      </c>
      <c r="I60" s="26" t="s">
        <v>538</v>
      </c>
      <c r="J60" s="26" t="s">
        <v>608</v>
      </c>
      <c r="K60" s="26" t="s">
        <v>613</v>
      </c>
      <c r="L60" s="26" t="s">
        <v>484</v>
      </c>
      <c r="M60" s="26" t="s">
        <v>206</v>
      </c>
      <c r="N60" s="26">
        <v>90</v>
      </c>
      <c r="O60" s="26">
        <f>2024-Inventory[[#This Row],[YrBlt]]</f>
        <v>28</v>
      </c>
      <c r="P60" s="26">
        <f>2024-Inventory[[#This Row],[EffYr]]</f>
        <v>28</v>
      </c>
      <c r="Q60" s="25">
        <v>1930</v>
      </c>
      <c r="R60" s="25">
        <v>1930</v>
      </c>
      <c r="S60" s="25">
        <v>510</v>
      </c>
      <c r="T60" s="27"/>
      <c r="U60" s="27"/>
      <c r="V60" s="27">
        <f>Inventory[[#This Row],[Bsmt]]-Inventory[[#This Row],[FnBsmt]]</f>
        <v>0</v>
      </c>
      <c r="W60" s="27"/>
      <c r="X60" s="27"/>
      <c r="Y60" s="27">
        <f>Inventory[[#This Row],[MainFn]]+Inventory[[#This Row],[UpprFn]]+Inventory[[#This Row],[FnBsmt]]+Inventory[[#This Row],[AddFn]]</f>
        <v>1160</v>
      </c>
      <c r="Z60" s="27">
        <v>1000</v>
      </c>
      <c r="AA60" s="25">
        <v>5</v>
      </c>
      <c r="AB60" s="27"/>
      <c r="AC60" s="27"/>
      <c r="AD60" s="27"/>
      <c r="AE60" s="27"/>
      <c r="AF60" s="27"/>
      <c r="AG60" s="27"/>
      <c r="AH60" s="27"/>
      <c r="AI60" s="25">
        <v>62259</v>
      </c>
      <c r="AJ60" s="25">
        <v>32375</v>
      </c>
      <c r="AK60" s="25">
        <v>0</v>
      </c>
      <c r="AL60" s="25">
        <v>266100</v>
      </c>
      <c r="AM60" s="25">
        <v>61700</v>
      </c>
      <c r="AN60" s="25">
        <v>204400</v>
      </c>
      <c r="AO60" s="25">
        <v>0</v>
      </c>
      <c r="AP60" s="25">
        <f>Lookups!$B$56*0</f>
        <v>0</v>
      </c>
      <c r="AQ60" s="25">
        <f>Lookups!$B$56*1</f>
        <v>89850.625589999996</v>
      </c>
      <c r="AR60" s="25">
        <f>Lookups!$B$57*Inventory[[#This Row],[LnAcres]]</f>
        <v>-60052.604136134301</v>
      </c>
      <c r="AS60" s="25">
        <f>VLOOKUP(Inventory[[#This Row],[Qlty]],Lookups!$A$62:$E$75,2,FALSE)</f>
        <v>21557.329055999999</v>
      </c>
      <c r="AT60" s="25">
        <f>VLOOKUP(Inventory[[#This Row],[Cnd]],Lookups!$A$76:$E$84,2,FALSE)</f>
        <v>197752.34721000001</v>
      </c>
      <c r="AU60" s="25">
        <f>Inventory[[#This Row],[EffAge]]*Lookups!$B$85</f>
        <v>-6245.2768139999998</v>
      </c>
      <c r="AV60" s="25">
        <f>Inventory[[#This Row],[MainFn]]*Lookups!$B$86</f>
        <v>57314.057057320002</v>
      </c>
      <c r="AW60" s="25">
        <f>Inventory[[#This Row],[UpprFn]]*Lookups!$B$87</f>
        <v>0</v>
      </c>
      <c r="AX60" s="25">
        <f>Inventory[[#This Row],[AddFn]]*Lookups!$B$88</f>
        <v>0</v>
      </c>
      <c r="AY60" s="25">
        <f>Inventory[[#This Row],[Bsmt]]*Lookups!$B$89</f>
        <v>0</v>
      </c>
      <c r="AZ60" s="25">
        <f>Inventory[[#This Row],[Fixtures]]*Lookups!$B$90</f>
        <v>18960.110526</v>
      </c>
      <c r="BA60" s="25">
        <f>Inventory[[#This Row],[WdDeck]]*Lookups!$B$91</f>
        <v>62362.500111948008</v>
      </c>
      <c r="BB60" s="25">
        <f>ROUND(Inventory[[#This Row],[25Det]],-2)</f>
        <v>4200</v>
      </c>
      <c r="BC60" s="25">
        <f>ROUND(SUM(Inventory[[#This Row],[Mdl Qlty]:[Mdl WdDeck]])+Inventory[[#This Row],[Mdl Res Intercept]],-2)</f>
        <v>351700</v>
      </c>
      <c r="BD60" s="25">
        <f>ROUND(Inventory[[#This Row],[Mdl Land Intercept]]+Inventory[[#This Row],[Mdl LnAcres]],-2)</f>
        <v>29800</v>
      </c>
      <c r="BE60" s="25">
        <f>Inventory[[#This Row],[Unadj Res Value]]+Inventory[[#This Row],[Unadj Det Value]]+Inventory[[#This Row],[Unadj Land Value]]</f>
        <v>385700</v>
      </c>
      <c r="BF60" s="36">
        <f>(Inventory[[#This Row],[Unadj Total Value]]-Inventory[[#This Row],[24Final]])/Inventory[[#This Row],[24Final]]</f>
        <v>0.30878859857482183</v>
      </c>
      <c r="BG60" s="25">
        <f>VLOOKUP(Inventory[[#This Row],[Nbhd]],Lookups!$Q$2:$T$4,4,FALSE)</f>
        <v>0.99970000000000003</v>
      </c>
      <c r="BH60" s="25">
        <f>VLOOKUP(Inventory[[#This Row],[Qlty]],Lookups!$O$7:$R$21,4,FALSE)</f>
        <v>1.0067999999999999</v>
      </c>
      <c r="BI60" s="29">
        <f>VLOOKUP(Inventory[[#This Row],[Cnd]],Lookups!$T$7:$W$16,4,FALSE)</f>
        <v>0.99650000000000005</v>
      </c>
      <c r="BJ60" s="25">
        <f>VLOOKUP(Inventory[[#This Row],[LivArea Range]],Lookups!$T$25:$W$37,4,FALSE)</f>
        <v>1.0157</v>
      </c>
      <c r="BK60" s="25">
        <f>VLOOKUP(Inventory[[#This Row],[Decade]],Lookups!$O$25:$R$42,4,FALSE)</f>
        <v>0.97319999999999995</v>
      </c>
      <c r="BL60" s="25">
        <f>Inventory[[#This Row],[Nbhd Adj]]*0.95</f>
        <v>0.94971499999999998</v>
      </c>
      <c r="BM60" s="25">
        <f>Inventory[[#This Row],[Nbhd Adj]]*Inventory[[#This Row],[Quality Adj]]*Inventory[[#This Row],[Condition Adj]]*Inventory[[#This Row],[Living Area Adj]]*Inventory[[#This Row],[Decade Adj]]*0.95</f>
        <v>0.94184917135851298</v>
      </c>
      <c r="BN60" s="25">
        <f>ROUND(SUM(Inventory[[#This Row],[Mdl Qlty]:[Mdl WdDeck]])+Inventory[[#This Row],[Mdl Res Intercept]]*Inventory[[#This Row],[Res Adj ]],-2)</f>
        <v>351700</v>
      </c>
      <c r="BO60" s="25">
        <f>ROUND(Inventory[[#This Row],[25Det]]*Inventory[[#This Row],[Det/Nbhd Adj]],-2)</f>
        <v>4000</v>
      </c>
      <c r="BP60" s="25">
        <f>Inventory[[#This Row],[Adjusted Res]]+Inventory[[#This Row],[Adj Det ]]</f>
        <v>355700</v>
      </c>
      <c r="BQ60" s="25">
        <f>ROUND((Inventory[[#This Row],[Mdl Land Intercept]]+Inventory[[#This Row],[Mdl LnAcres]])*Inventory[[#This Row],[Det/Nbhd Adj]],-2)</f>
        <v>28300</v>
      </c>
      <c r="BR60" s="25">
        <f>Inventory[[#This Row],[Adjusted Impr Total]]+Inventory[[#This Row],[Adjusted Land Total]]</f>
        <v>384000</v>
      </c>
      <c r="BS60" s="36">
        <f>IFERROR((Inventory[[#This Row],[Adjusted Impr Total]]-Inventory[[#This Row],[24Bldg]])/Inventory[[#This Row],[24Bldg]],0)</f>
        <v>0.44417377182298012</v>
      </c>
      <c r="BT60" s="36">
        <f>(Inventory[[#This Row],[Adjusted Land Total]]-Inventory[[#This Row],[24Lnd]])/Inventory[[#This Row],[24Lnd]]</f>
        <v>-0.41528925619834711</v>
      </c>
      <c r="BU60" s="36">
        <f>(Inventory[[#This Row],[Adjusted Total]]-Inventory[[#This Row],[24Final]])/Inventory[[#This Row],[24Final]]</f>
        <v>0.30302002035968784</v>
      </c>
    </row>
    <row r="61" spans="1:73" x14ac:dyDescent="0.3">
      <c r="A61" s="25">
        <v>2025</v>
      </c>
      <c r="B61" s="26" t="s">
        <v>2506</v>
      </c>
      <c r="C61" s="26">
        <f>LN(Inventory[[#This Row],[Acres]])</f>
        <v>-2.3025850929940455</v>
      </c>
      <c r="D61" s="25">
        <v>0.19</v>
      </c>
      <c r="E61" s="25">
        <v>8490</v>
      </c>
      <c r="F61" s="26" t="s">
        <v>537</v>
      </c>
      <c r="G61" s="26" t="s">
        <v>126</v>
      </c>
      <c r="H61" s="26" t="s">
        <v>349</v>
      </c>
      <c r="I61" s="26" t="s">
        <v>538</v>
      </c>
      <c r="J61" s="26" t="s">
        <v>2501</v>
      </c>
      <c r="K61" s="26" t="s">
        <v>2502</v>
      </c>
      <c r="L61" s="26" t="s">
        <v>351</v>
      </c>
      <c r="M61" s="26" t="s">
        <v>303</v>
      </c>
      <c r="N61" s="26">
        <v>10</v>
      </c>
      <c r="O61" s="26">
        <f>2024-Inventory[[#This Row],[YrBlt]]</f>
        <v>28</v>
      </c>
      <c r="P61" s="26">
        <f>2024-Inventory[[#This Row],[EffYr]]</f>
        <v>28</v>
      </c>
      <c r="Q61" s="25">
        <v>2008</v>
      </c>
      <c r="R61" s="25">
        <v>2008</v>
      </c>
      <c r="S61" s="25">
        <v>1620</v>
      </c>
      <c r="T61" s="27"/>
      <c r="U61" s="27"/>
      <c r="V61" s="27">
        <f>Inventory[[#This Row],[Bsmt]]-Inventory[[#This Row],[FnBsmt]]</f>
        <v>0</v>
      </c>
      <c r="W61" s="27"/>
      <c r="X61" s="27"/>
      <c r="Y61" s="27">
        <f>Inventory[[#This Row],[MainFn]]+Inventory[[#This Row],[UpprFn]]+Inventory[[#This Row],[FnBsmt]]+Inventory[[#This Row],[AddFn]]</f>
        <v>1684</v>
      </c>
      <c r="Z61" s="27">
        <v>2000</v>
      </c>
      <c r="AA61" s="25">
        <v>10</v>
      </c>
      <c r="AB61" s="31"/>
      <c r="AC61" s="27"/>
      <c r="AD61" s="27"/>
      <c r="AE61" s="27"/>
      <c r="AF61" s="27"/>
      <c r="AG61" s="27"/>
      <c r="AH61" s="27"/>
      <c r="AI61" s="25">
        <v>255505</v>
      </c>
      <c r="AJ61" s="25">
        <v>163523</v>
      </c>
      <c r="AK61" s="25">
        <v>0</v>
      </c>
      <c r="AL61" s="25">
        <v>262800</v>
      </c>
      <c r="AM61" s="25">
        <v>48500</v>
      </c>
      <c r="AN61" s="25">
        <v>214300</v>
      </c>
      <c r="AO61" s="25">
        <v>0</v>
      </c>
      <c r="AP61" s="25">
        <f>Lookups!$B$56*0</f>
        <v>0</v>
      </c>
      <c r="AQ61" s="25">
        <f>Lookups!$B$56*1</f>
        <v>89850.625589999996</v>
      </c>
      <c r="AR61" s="25">
        <f>Lookups!$B$57*Inventory[[#This Row],[LnAcres]]</f>
        <v>-72887.446329681261</v>
      </c>
      <c r="AS61" s="25">
        <f>VLOOKUP(Inventory[[#This Row],[Qlty]],Lookups!$A$62:$E$75,2,FALSE)</f>
        <v>44121.038090000002</v>
      </c>
      <c r="AT61" s="25">
        <f>VLOOKUP(Inventory[[#This Row],[Cnd]],Lookups!$A$76:$E$84,2,FALSE)</f>
        <v>284810.60806</v>
      </c>
      <c r="AU61" s="25">
        <f>Inventory[[#This Row],[EffAge]]*Lookups!$B$85</f>
        <v>-6245.2768139999998</v>
      </c>
      <c r="AV61" s="25">
        <f>Inventory[[#This Row],[MainFn]]*Lookups!$B$86</f>
        <v>37155.319747504</v>
      </c>
      <c r="AW61" s="25">
        <f>Inventory[[#This Row],[UpprFn]]*Lookups!$B$87</f>
        <v>41740.946106452</v>
      </c>
      <c r="AX61" s="25">
        <f>Inventory[[#This Row],[AddFn]]*Lookups!$B$88</f>
        <v>0</v>
      </c>
      <c r="AY61" s="25">
        <f>Inventory[[#This Row],[Bsmt]]*Lookups!$B$89</f>
        <v>0</v>
      </c>
      <c r="AZ61" s="25">
        <f>Inventory[[#This Row],[Fixtures]]*Lookups!$B$90</f>
        <v>37920.221052000001</v>
      </c>
      <c r="BA61" s="25">
        <f>Inventory[[#This Row],[WdDeck]]*Lookups!$B$91</f>
        <v>2663.6412220800003</v>
      </c>
      <c r="BB61" s="25">
        <f>ROUND(Inventory[[#This Row],[25Det]],-2)</f>
        <v>0</v>
      </c>
      <c r="BC61" s="25">
        <f>ROUND(SUM(Inventory[[#This Row],[Mdl Qlty]:[Mdl WdDeck]])+Inventory[[#This Row],[Mdl Res Intercept]],-2)</f>
        <v>442200</v>
      </c>
      <c r="BD61" s="25">
        <f>ROUND(Inventory[[#This Row],[Mdl Land Intercept]]+Inventory[[#This Row],[Mdl LnAcres]],-2)</f>
        <v>17000</v>
      </c>
      <c r="BE61" s="25">
        <f>Inventory[[#This Row],[Unadj Res Value]]+Inventory[[#This Row],[Unadj Det Value]]+Inventory[[#This Row],[Unadj Land Value]]</f>
        <v>459200</v>
      </c>
      <c r="BF61" s="36">
        <f>(Inventory[[#This Row],[Unadj Total Value]]-Inventory[[#This Row],[24Final]])/Inventory[[#This Row],[24Final]]</f>
        <v>0.24141659908083266</v>
      </c>
      <c r="BG61" s="25">
        <f>VLOOKUP(Inventory[[#This Row],[Nbhd]],Lookups!$Q$2:$T$4,4,FALSE)</f>
        <v>0.99970000000000003</v>
      </c>
      <c r="BH61" s="25">
        <f>VLOOKUP(Inventory[[#This Row],[Qlty]],Lookups!$O$7:$R$21,4,FALSE)</f>
        <v>0.98050000000000004</v>
      </c>
      <c r="BI61" s="29">
        <f>VLOOKUP(Inventory[[#This Row],[Cnd]],Lookups!$T$7:$W$16,4,FALSE)</f>
        <v>1.0158</v>
      </c>
      <c r="BJ61" s="25">
        <f>VLOOKUP(Inventory[[#This Row],[LivArea Range]],Lookups!$T$25:$W$37,4,FALSE)</f>
        <v>1.0093000000000001</v>
      </c>
      <c r="BK61" s="25">
        <f>VLOOKUP(Inventory[[#This Row],[Decade]],Lookups!$O$25:$R$42,4,FALSE)</f>
        <v>0.97319999999999995</v>
      </c>
      <c r="BL61" s="25">
        <f>Inventory[[#This Row],[Nbhd Adj]]*0.95</f>
        <v>0.94971499999999998</v>
      </c>
      <c r="BM61" s="25">
        <f>Inventory[[#This Row],[Nbhd Adj]]*Inventory[[#This Row],[Quality Adj]]*Inventory[[#This Row],[Condition Adj]]*Inventory[[#This Row],[Living Area Adj]]*Inventory[[#This Row],[Decade Adj]]*0.95</f>
        <v>0.92911929125919412</v>
      </c>
      <c r="BN61" s="25">
        <f>ROUND(SUM(Inventory[[#This Row],[Mdl Qlty]:[Mdl WdDeck]])+Inventory[[#This Row],[Mdl Res Intercept]]*Inventory[[#This Row],[Res Adj ]],-2)</f>
        <v>442200</v>
      </c>
      <c r="BO61" s="25">
        <f>ROUND(Inventory[[#This Row],[25Det]]*Inventory[[#This Row],[Det/Nbhd Adj]],-2)</f>
        <v>0</v>
      </c>
      <c r="BP61" s="25">
        <f>Inventory[[#This Row],[Adjusted Res]]+Inventory[[#This Row],[Adj Det ]]</f>
        <v>442200</v>
      </c>
      <c r="BQ61" s="25">
        <f>ROUND((Inventory[[#This Row],[Mdl Land Intercept]]+Inventory[[#This Row],[Mdl LnAcres]])*Inventory[[#This Row],[Det/Nbhd Adj]],-2)</f>
        <v>16100</v>
      </c>
      <c r="BR61" s="25">
        <f>Inventory[[#This Row],[Adjusted Impr Total]]+Inventory[[#This Row],[Adjusted Land Total]]</f>
        <v>458300</v>
      </c>
      <c r="BS61" s="36">
        <f>IFERROR((Inventory[[#This Row],[Adjusted Impr Total]]-Inventory[[#This Row],[24Bldg]])/Inventory[[#This Row],[24Bldg]],0)</f>
        <v>0.31724754244861486</v>
      </c>
      <c r="BT61" s="36">
        <f>(Inventory[[#This Row],[Adjusted Land Total]]-Inventory[[#This Row],[24Lnd]])/Inventory[[#This Row],[24Lnd]]</f>
        <v>-0.5292397660818714</v>
      </c>
      <c r="BU61" s="36">
        <f>(Inventory[[#This Row],[Adjusted Total]]-Inventory[[#This Row],[24Final]])/Inventory[[#This Row],[24Final]]</f>
        <v>0.23898350905650176</v>
      </c>
    </row>
    <row r="62" spans="1:73" x14ac:dyDescent="0.3">
      <c r="A62" s="25">
        <v>2025</v>
      </c>
      <c r="B62" s="26" t="s">
        <v>2500</v>
      </c>
      <c r="C62" s="26">
        <f>LN(Inventory[[#This Row],[Acres]])</f>
        <v>-2.3025850929940455</v>
      </c>
      <c r="D62" s="25">
        <v>0.44</v>
      </c>
      <c r="E62" s="25">
        <v>19356</v>
      </c>
      <c r="F62" s="26" t="s">
        <v>537</v>
      </c>
      <c r="G62" s="26" t="s">
        <v>126</v>
      </c>
      <c r="H62" s="26" t="s">
        <v>349</v>
      </c>
      <c r="I62" s="26" t="s">
        <v>538</v>
      </c>
      <c r="J62" s="26" t="s">
        <v>2501</v>
      </c>
      <c r="K62" s="26" t="s">
        <v>2502</v>
      </c>
      <c r="L62" s="26" t="s">
        <v>351</v>
      </c>
      <c r="M62" s="26" t="s">
        <v>303</v>
      </c>
      <c r="N62" s="26">
        <v>20</v>
      </c>
      <c r="O62" s="26">
        <f>2024-Inventory[[#This Row],[YrBlt]]</f>
        <v>28</v>
      </c>
      <c r="P62" s="26">
        <f>2024-Inventory[[#This Row],[EffYr]]</f>
        <v>28</v>
      </c>
      <c r="Q62" s="25">
        <v>1998</v>
      </c>
      <c r="R62" s="25">
        <v>1998</v>
      </c>
      <c r="S62" s="25">
        <v>2720</v>
      </c>
      <c r="T62" s="27"/>
      <c r="U62" s="31"/>
      <c r="V62" s="31">
        <f>Inventory[[#This Row],[Bsmt]]-Inventory[[#This Row],[FnBsmt]]</f>
        <v>0</v>
      </c>
      <c r="W62" s="31"/>
      <c r="X62" s="27"/>
      <c r="Y62" s="27">
        <f>Inventory[[#This Row],[MainFn]]+Inventory[[#This Row],[UpprFn]]+Inventory[[#This Row],[FnBsmt]]+Inventory[[#This Row],[AddFn]]</f>
        <v>2574</v>
      </c>
      <c r="Z62" s="27">
        <v>3000</v>
      </c>
      <c r="AA62" s="25">
        <v>12</v>
      </c>
      <c r="AB62" s="27"/>
      <c r="AC62" s="27"/>
      <c r="AD62" s="27"/>
      <c r="AE62" s="27"/>
      <c r="AF62" s="27"/>
      <c r="AG62" s="27"/>
      <c r="AH62" s="27"/>
      <c r="AI62" s="25">
        <v>431476</v>
      </c>
      <c r="AJ62" s="25">
        <v>228682</v>
      </c>
      <c r="AK62" s="25">
        <v>34381</v>
      </c>
      <c r="AL62" s="25">
        <v>342900</v>
      </c>
      <c r="AM62" s="25">
        <v>73500</v>
      </c>
      <c r="AN62" s="25">
        <v>269400</v>
      </c>
      <c r="AO62" s="25">
        <v>0</v>
      </c>
      <c r="AP62" s="25">
        <f>Lookups!$B$56*0</f>
        <v>0</v>
      </c>
      <c r="AQ62" s="25">
        <f>Lookups!$B$56*1</f>
        <v>89850.625589999996</v>
      </c>
      <c r="AR62" s="25">
        <f>Lookups!$B$57*Inventory[[#This Row],[LnAcres]]</f>
        <v>-72887.446329681261</v>
      </c>
      <c r="AS62" s="25">
        <f>VLOOKUP(Inventory[[#This Row],[Qlty]],Lookups!$A$62:$E$75,2,FALSE)</f>
        <v>29814.093161000001</v>
      </c>
      <c r="AT62" s="25">
        <f>VLOOKUP(Inventory[[#This Row],[Cnd]],Lookups!$A$76:$E$84,2,FALSE)</f>
        <v>284810.60806</v>
      </c>
      <c r="AU62" s="25">
        <f>Inventory[[#This Row],[EffAge]]*Lookups!$B$85</f>
        <v>-6245.2768139999998</v>
      </c>
      <c r="AV62" s="25">
        <f>Inventory[[#This Row],[MainFn]]*Lookups!$B$86</f>
        <v>53608.406816545001</v>
      </c>
      <c r="AW62" s="25">
        <f>Inventory[[#This Row],[UpprFn]]*Lookups!$B$87</f>
        <v>66686.983640028993</v>
      </c>
      <c r="AX62" s="25">
        <f>Inventory[[#This Row],[AddFn]]*Lookups!$B$88</f>
        <v>0</v>
      </c>
      <c r="AY62" s="25">
        <f>Inventory[[#This Row],[Bsmt]]*Lookups!$B$89</f>
        <v>0</v>
      </c>
      <c r="AZ62" s="25">
        <f>Inventory[[#This Row],[Fixtures]]*Lookups!$B$90</f>
        <v>41712.243157199999</v>
      </c>
      <c r="BA62" s="25">
        <f>Inventory[[#This Row],[WdDeck]]*Lookups!$B$91</f>
        <v>0</v>
      </c>
      <c r="BB62" s="25">
        <f>ROUND(Inventory[[#This Row],[25Det]],-2)</f>
        <v>0</v>
      </c>
      <c r="BC62" s="25">
        <f>ROUND(SUM(Inventory[[#This Row],[Mdl Qlty]:[Mdl WdDeck]])+Inventory[[#This Row],[Mdl Res Intercept]],-2)</f>
        <v>470400</v>
      </c>
      <c r="BD62" s="25">
        <f>ROUND(Inventory[[#This Row],[Mdl Land Intercept]]+Inventory[[#This Row],[Mdl LnAcres]],-2)</f>
        <v>17000</v>
      </c>
      <c r="BE62" s="25">
        <f>Inventory[[#This Row],[Unadj Res Value]]+Inventory[[#This Row],[Unadj Det Value]]+Inventory[[#This Row],[Unadj Land Value]]</f>
        <v>487400</v>
      </c>
      <c r="BF62" s="36">
        <f>(Inventory[[#This Row],[Unadj Total Value]]-Inventory[[#This Row],[24Final]])/Inventory[[#This Row],[24Final]]</f>
        <v>0.20286278381046396</v>
      </c>
      <c r="BG62" s="25">
        <f>VLOOKUP(Inventory[[#This Row],[Nbhd]],Lookups!$Q$2:$T$4,4,FALSE)</f>
        <v>0.99970000000000003</v>
      </c>
      <c r="BH62" s="25">
        <f>VLOOKUP(Inventory[[#This Row],[Qlty]],Lookups!$O$7:$R$21,4,FALSE)</f>
        <v>1.0088999999999999</v>
      </c>
      <c r="BI62" s="29">
        <f>VLOOKUP(Inventory[[#This Row],[Cnd]],Lookups!$T$7:$W$16,4,FALSE)</f>
        <v>1.0158</v>
      </c>
      <c r="BJ62" s="25">
        <f>VLOOKUP(Inventory[[#This Row],[LivArea Range]],Lookups!$T$25:$W$37,4,FALSE)</f>
        <v>0.96179999999999999</v>
      </c>
      <c r="BK62" s="25">
        <f>VLOOKUP(Inventory[[#This Row],[Decade]],Lookups!$O$25:$R$42,4,FALSE)</f>
        <v>0.97319999999999995</v>
      </c>
      <c r="BL62" s="25">
        <f>Inventory[[#This Row],[Nbhd Adj]]*0.95</f>
        <v>0.94971499999999998</v>
      </c>
      <c r="BM62" s="25">
        <f>Inventory[[#This Row],[Nbhd Adj]]*Inventory[[#This Row],[Quality Adj]]*Inventory[[#This Row],[Condition Adj]]*Inventory[[#This Row],[Living Area Adj]]*Inventory[[#This Row],[Decade Adj]]*0.95</f>
        <v>0.91103801858287259</v>
      </c>
      <c r="BN62" s="25">
        <f>ROUND(SUM(Inventory[[#This Row],[Mdl Qlty]:[Mdl WdDeck]])+Inventory[[#This Row],[Mdl Res Intercept]]*Inventory[[#This Row],[Res Adj ]],-2)</f>
        <v>470400</v>
      </c>
      <c r="BO62" s="25">
        <f>ROUND(Inventory[[#This Row],[25Det]]*Inventory[[#This Row],[Det/Nbhd Adj]],-2)</f>
        <v>0</v>
      </c>
      <c r="BP62" s="25">
        <f>Inventory[[#This Row],[Adjusted Res]]+Inventory[[#This Row],[Adj Det ]]</f>
        <v>470400</v>
      </c>
      <c r="BQ62" s="25">
        <f>ROUND((Inventory[[#This Row],[Mdl Land Intercept]]+Inventory[[#This Row],[Mdl LnAcres]])*Inventory[[#This Row],[Det/Nbhd Adj]],-2)</f>
        <v>16100</v>
      </c>
      <c r="BR62" s="25">
        <f>Inventory[[#This Row],[Adjusted Impr Total]]+Inventory[[#This Row],[Adjusted Land Total]]</f>
        <v>486500</v>
      </c>
      <c r="BS62" s="36">
        <f>IFERROR((Inventory[[#This Row],[Adjusted Impr Total]]-Inventory[[#This Row],[24Bldg]])/Inventory[[#This Row],[24Bldg]],0)</f>
        <v>0.26792452830188679</v>
      </c>
      <c r="BT62" s="36">
        <f>(Inventory[[#This Row],[Adjusted Land Total]]-Inventory[[#This Row],[24Lnd]])/Inventory[[#This Row],[24Lnd]]</f>
        <v>-0.5292397660818714</v>
      </c>
      <c r="BU62" s="36">
        <f>(Inventory[[#This Row],[Adjusted Total]]-Inventory[[#This Row],[24Final]])/Inventory[[#This Row],[24Final]]</f>
        <v>0.2006416584402764</v>
      </c>
    </row>
    <row r="63" spans="1:73" x14ac:dyDescent="0.3">
      <c r="A63" s="25">
        <v>2025</v>
      </c>
      <c r="B63" s="26" t="s">
        <v>942</v>
      </c>
      <c r="C63" s="26">
        <f>LN(Inventory[[#This Row],[Acres]])</f>
        <v>-3.5065578973199818</v>
      </c>
      <c r="D63" s="25">
        <v>0.21</v>
      </c>
      <c r="E63" s="25">
        <v>9148</v>
      </c>
      <c r="F63" s="26" t="s">
        <v>543</v>
      </c>
      <c r="G63" s="26" t="s">
        <v>544</v>
      </c>
      <c r="H63" s="26" t="s">
        <v>349</v>
      </c>
      <c r="I63" s="26" t="s">
        <v>605</v>
      </c>
      <c r="J63" s="26" t="s">
        <v>616</v>
      </c>
      <c r="K63" s="26" t="s">
        <v>547</v>
      </c>
      <c r="L63" s="26" t="s">
        <v>351</v>
      </c>
      <c r="M63" s="26" t="s">
        <v>323</v>
      </c>
      <c r="N63" s="26">
        <v>60</v>
      </c>
      <c r="O63" s="26">
        <f>2024-Inventory[[#This Row],[YrBlt]]</f>
        <v>28</v>
      </c>
      <c r="P63" s="26">
        <f>2024-Inventory[[#This Row],[EffYr]]</f>
        <v>28</v>
      </c>
      <c r="Q63" s="25">
        <v>1957</v>
      </c>
      <c r="R63" s="25">
        <v>1974</v>
      </c>
      <c r="S63" s="25">
        <v>1300</v>
      </c>
      <c r="T63" s="27"/>
      <c r="U63" s="31"/>
      <c r="V63" s="31">
        <f>Inventory[[#This Row],[Bsmt]]-Inventory[[#This Row],[FnBsmt]]</f>
        <v>0</v>
      </c>
      <c r="W63" s="31"/>
      <c r="X63" s="27"/>
      <c r="Y63" s="27">
        <f>Inventory[[#This Row],[MainFn]]+Inventory[[#This Row],[UpprFn]]+Inventory[[#This Row],[FnBsmt]]+Inventory[[#This Row],[AddFn]]</f>
        <v>1435</v>
      </c>
      <c r="Z63" s="27">
        <v>1500</v>
      </c>
      <c r="AA63" s="25">
        <v>10</v>
      </c>
      <c r="AB63" s="25">
        <v>529</v>
      </c>
      <c r="AC63" s="27"/>
      <c r="AD63" s="27"/>
      <c r="AE63" s="27"/>
      <c r="AF63" s="27"/>
      <c r="AG63" s="32">
        <v>125</v>
      </c>
      <c r="AH63" s="27"/>
      <c r="AI63" s="25">
        <v>172852</v>
      </c>
      <c r="AJ63" s="25">
        <v>152110</v>
      </c>
      <c r="AK63" s="25">
        <v>0</v>
      </c>
      <c r="AL63" s="25">
        <v>212300</v>
      </c>
      <c r="AM63" s="25">
        <v>69100</v>
      </c>
      <c r="AN63" s="25">
        <v>143200</v>
      </c>
      <c r="AO63" s="25">
        <v>0</v>
      </c>
      <c r="AP63" s="25">
        <f>Lookups!$B$56*0</f>
        <v>0</v>
      </c>
      <c r="AQ63" s="25">
        <f>Lookups!$B$56*1</f>
        <v>89850.625589999996</v>
      </c>
      <c r="AR63" s="25">
        <f>Lookups!$B$57*Inventory[[#This Row],[LnAcres]]</f>
        <v>-110998.74281323297</v>
      </c>
      <c r="AS63" s="25">
        <f>VLOOKUP(Inventory[[#This Row],[Qlty]],Lookups!$A$62:$E$75,2,FALSE)</f>
        <v>44121.038090000002</v>
      </c>
      <c r="AT63" s="25">
        <f>VLOOKUP(Inventory[[#This Row],[Cnd]],Lookups!$A$76:$E$84,2,FALSE)</f>
        <v>160472.20319</v>
      </c>
      <c r="AU63" s="25">
        <f>Inventory[[#This Row],[EffAge]]*Lookups!$B$85</f>
        <v>-6245.2768139999998</v>
      </c>
      <c r="AV63" s="25">
        <f>Inventory[[#This Row],[MainFn]]*Lookups!$B$86</f>
        <v>66701.704333950009</v>
      </c>
      <c r="AW63" s="25">
        <f>Inventory[[#This Row],[UpprFn]]*Lookups!$B$87</f>
        <v>0</v>
      </c>
      <c r="AX63" s="25">
        <f>Inventory[[#This Row],[AddFn]]*Lookups!$B$88</f>
        <v>0</v>
      </c>
      <c r="AY63" s="25">
        <f>Inventory[[#This Row],[Bsmt]]*Lookups!$B$89</f>
        <v>2471.9610959950001</v>
      </c>
      <c r="AZ63" s="25">
        <f>Inventory[[#This Row],[Fixtures]]*Lookups!$B$90</f>
        <v>30336.176841600001</v>
      </c>
      <c r="BA63" s="25">
        <f>Inventory[[#This Row],[WdDeck]]*Lookups!$B$91</f>
        <v>3862.2797720160006</v>
      </c>
      <c r="BB63" s="25">
        <f>ROUND(Inventory[[#This Row],[25Det]],-2)</f>
        <v>0</v>
      </c>
      <c r="BC63" s="25">
        <f>ROUND(SUM(Inventory[[#This Row],[Mdl Qlty]:[Mdl WdDeck]])+Inventory[[#This Row],[Mdl Res Intercept]],-2)</f>
        <v>301700</v>
      </c>
      <c r="BD63" s="25">
        <f>ROUND(Inventory[[#This Row],[Mdl Land Intercept]]+Inventory[[#This Row],[Mdl LnAcres]],-2)</f>
        <v>-21100</v>
      </c>
      <c r="BE63" s="25">
        <f>Inventory[[#This Row],[Unadj Res Value]]+Inventory[[#This Row],[Unadj Det Value]]+Inventory[[#This Row],[Unadj Land Value]]</f>
        <v>280600</v>
      </c>
      <c r="BF63" s="36">
        <f>(Inventory[[#This Row],[Unadj Total Value]]-Inventory[[#This Row],[24Final]])/Inventory[[#This Row],[24Final]]</f>
        <v>0.1701417848206839</v>
      </c>
      <c r="BG63" s="25">
        <f>VLOOKUP(Inventory[[#This Row],[Nbhd]],Lookups!$Q$2:$T$4,4,FALSE)</f>
        <v>0.99970000000000003</v>
      </c>
      <c r="BH63" s="25">
        <f>VLOOKUP(Inventory[[#This Row],[Qlty]],Lookups!$O$7:$R$21,4,FALSE)</f>
        <v>0.98050000000000004</v>
      </c>
      <c r="BI63" s="29">
        <f>VLOOKUP(Inventory[[#This Row],[Cnd]],Lookups!$T$7:$W$16,4,FALSE)</f>
        <v>0.99729999999999996</v>
      </c>
      <c r="BJ63" s="25">
        <f>VLOOKUP(Inventory[[#This Row],[LivArea Range]],Lookups!$T$25:$W$37,4,FALSE)</f>
        <v>1.0157</v>
      </c>
      <c r="BK63" s="25">
        <f>VLOOKUP(Inventory[[#This Row],[Decade]],Lookups!$O$25:$R$42,4,FALSE)</f>
        <v>0.97319999999999995</v>
      </c>
      <c r="BL63" s="25">
        <f>Inventory[[#This Row],[Nbhd Adj]]*0.95</f>
        <v>0.94971499999999998</v>
      </c>
      <c r="BM63" s="25">
        <f>Inventory[[#This Row],[Nbhd Adj]]*Inventory[[#This Row],[Quality Adj]]*Inventory[[#This Row],[Condition Adj]]*Inventory[[#This Row],[Living Area Adj]]*Inventory[[#This Row],[Decade Adj]]*0.95</f>
        <v>0.91798221478115993</v>
      </c>
      <c r="BN63" s="25">
        <f>ROUND(SUM(Inventory[[#This Row],[Mdl Qlty]:[Mdl WdDeck]])+Inventory[[#This Row],[Mdl Res Intercept]]*Inventory[[#This Row],[Res Adj ]],-2)</f>
        <v>301700</v>
      </c>
      <c r="BO63" s="25">
        <f>ROUND(Inventory[[#This Row],[25Det]]*Inventory[[#This Row],[Det/Nbhd Adj]],-2)</f>
        <v>0</v>
      </c>
      <c r="BP63" s="25">
        <f>Inventory[[#This Row],[Adjusted Res]]+Inventory[[#This Row],[Adj Det ]]</f>
        <v>301700</v>
      </c>
      <c r="BQ63" s="25">
        <f>ROUND((Inventory[[#This Row],[Mdl Land Intercept]]+Inventory[[#This Row],[Mdl LnAcres]])*Inventory[[#This Row],[Det/Nbhd Adj]],-2)</f>
        <v>-20100</v>
      </c>
      <c r="BR63" s="25">
        <f>Inventory[[#This Row],[Adjusted Impr Total]]+Inventory[[#This Row],[Adjusted Land Total]]</f>
        <v>281600</v>
      </c>
      <c r="BS63" s="36">
        <f>IFERROR((Inventory[[#This Row],[Adjusted Impr Total]]-Inventory[[#This Row],[24Bldg]])/Inventory[[#This Row],[24Bldg]],0)</f>
        <v>0.48037291462217863</v>
      </c>
      <c r="BT63" s="36">
        <f>(Inventory[[#This Row],[Adjusted Land Total]]-Inventory[[#This Row],[24Lnd]])/Inventory[[#This Row],[24Lnd]]</f>
        <v>-1.5583333333333333</v>
      </c>
      <c r="BU63" s="36">
        <f>(Inventory[[#This Row],[Adjusted Total]]-Inventory[[#This Row],[24Final]])/Inventory[[#This Row],[24Final]]</f>
        <v>0.1743119266055046</v>
      </c>
    </row>
    <row r="64" spans="1:73" x14ac:dyDescent="0.3">
      <c r="A64" s="25">
        <v>2025</v>
      </c>
      <c r="B64" s="26" t="s">
        <v>2565</v>
      </c>
      <c r="C64" s="26">
        <f>LN(Inventory[[#This Row],[Acres]])</f>
        <v>-3.5065578973199818</v>
      </c>
      <c r="D64" s="25">
        <v>0.22</v>
      </c>
      <c r="E64" s="25">
        <v>9583</v>
      </c>
      <c r="F64" s="26" t="s">
        <v>543</v>
      </c>
      <c r="G64" s="26" t="s">
        <v>544</v>
      </c>
      <c r="H64" s="26" t="s">
        <v>349</v>
      </c>
      <c r="I64" s="26" t="s">
        <v>605</v>
      </c>
      <c r="J64" s="26" t="s">
        <v>616</v>
      </c>
      <c r="K64" s="26" t="s">
        <v>547</v>
      </c>
      <c r="L64" s="26" t="s">
        <v>351</v>
      </c>
      <c r="M64" s="26" t="s">
        <v>323</v>
      </c>
      <c r="N64" s="26">
        <v>90</v>
      </c>
      <c r="O64" s="26">
        <f>2024-Inventory[[#This Row],[YrBlt]]</f>
        <v>28</v>
      </c>
      <c r="P64" s="26">
        <f>2024-Inventory[[#This Row],[EffYr]]</f>
        <v>28</v>
      </c>
      <c r="Q64" s="25">
        <v>1925</v>
      </c>
      <c r="R64" s="25">
        <v>1968</v>
      </c>
      <c r="S64" s="25">
        <v>1560</v>
      </c>
      <c r="T64" s="27"/>
      <c r="U64" s="25">
        <v>1560</v>
      </c>
      <c r="V64" s="32">
        <f>Inventory[[#This Row],[Bsmt]]-Inventory[[#This Row],[FnBsmt]]</f>
        <v>0</v>
      </c>
      <c r="W64" s="32">
        <v>0</v>
      </c>
      <c r="X64" s="27"/>
      <c r="Y64" s="27">
        <f>Inventory[[#This Row],[MainFn]]+Inventory[[#This Row],[UpprFn]]+Inventory[[#This Row],[FnBsmt]]+Inventory[[#This Row],[AddFn]]</f>
        <v>1435</v>
      </c>
      <c r="Z64" s="27">
        <v>2000</v>
      </c>
      <c r="AA64" s="25">
        <v>10</v>
      </c>
      <c r="AB64" s="27"/>
      <c r="AC64" s="27"/>
      <c r="AD64" s="31"/>
      <c r="AE64" s="27"/>
      <c r="AF64" s="27"/>
      <c r="AG64" s="32">
        <v>125</v>
      </c>
      <c r="AH64" s="27"/>
      <c r="AI64" s="25">
        <v>227402</v>
      </c>
      <c r="AJ64" s="25">
        <v>181922</v>
      </c>
      <c r="AK64" s="25">
        <v>7491</v>
      </c>
      <c r="AL64" s="25">
        <v>267400</v>
      </c>
      <c r="AM64" s="25">
        <v>94500</v>
      </c>
      <c r="AN64" s="25">
        <v>172900</v>
      </c>
      <c r="AO64" s="25">
        <v>0</v>
      </c>
      <c r="AP64" s="25">
        <f>Lookups!$B$56*0</f>
        <v>0</v>
      </c>
      <c r="AQ64" s="25">
        <f>Lookups!$B$56*1</f>
        <v>89850.625589999996</v>
      </c>
      <c r="AR64" s="25">
        <f>Lookups!$B$57*Inventory[[#This Row],[LnAcres]]</f>
        <v>-110998.74281323297</v>
      </c>
      <c r="AS64" s="25">
        <f>VLOOKUP(Inventory[[#This Row],[Qlty]],Lookups!$A$62:$E$75,2,FALSE)</f>
        <v>44121.038090000002</v>
      </c>
      <c r="AT64" s="25">
        <f>VLOOKUP(Inventory[[#This Row],[Cnd]],Lookups!$A$76:$E$84,2,FALSE)</f>
        <v>160472.20319</v>
      </c>
      <c r="AU64" s="25">
        <f>Inventory[[#This Row],[EffAge]]*Lookups!$B$85</f>
        <v>-6245.2768139999998</v>
      </c>
      <c r="AV64" s="25">
        <f>Inventory[[#This Row],[MainFn]]*Lookups!$B$86</f>
        <v>66701.704333950009</v>
      </c>
      <c r="AW64" s="25">
        <f>Inventory[[#This Row],[UpprFn]]*Lookups!$B$87</f>
        <v>0</v>
      </c>
      <c r="AX64" s="25">
        <f>Inventory[[#This Row],[AddFn]]*Lookups!$B$88</f>
        <v>0</v>
      </c>
      <c r="AY64" s="25">
        <f>Inventory[[#This Row],[Bsmt]]*Lookups!$B$89</f>
        <v>2471.9610959950001</v>
      </c>
      <c r="AZ64" s="25">
        <f>Inventory[[#This Row],[Fixtures]]*Lookups!$B$90</f>
        <v>30336.176841600001</v>
      </c>
      <c r="BA64" s="25">
        <f>Inventory[[#This Row],[WdDeck]]*Lookups!$B$91</f>
        <v>3862.2797720160006</v>
      </c>
      <c r="BB64" s="25">
        <f>ROUND(Inventory[[#This Row],[25Det]],-2)</f>
        <v>0</v>
      </c>
      <c r="BC64" s="25">
        <f>ROUND(SUM(Inventory[[#This Row],[Mdl Qlty]:[Mdl WdDeck]])+Inventory[[#This Row],[Mdl Res Intercept]],-2)</f>
        <v>301700</v>
      </c>
      <c r="BD64" s="25">
        <f>ROUND(Inventory[[#This Row],[Mdl Land Intercept]]+Inventory[[#This Row],[Mdl LnAcres]],-2)</f>
        <v>-21100</v>
      </c>
      <c r="BE64" s="25">
        <f>Inventory[[#This Row],[Unadj Res Value]]+Inventory[[#This Row],[Unadj Det Value]]+Inventory[[#This Row],[Unadj Land Value]]</f>
        <v>280600</v>
      </c>
      <c r="BF64" s="36">
        <f>(Inventory[[#This Row],[Unadj Total Value]]-Inventory[[#This Row],[24Final]])/Inventory[[#This Row],[24Final]]</f>
        <v>0.15425750719868367</v>
      </c>
      <c r="BG64" s="25">
        <f>VLOOKUP(Inventory[[#This Row],[Nbhd]],Lookups!$Q$2:$T$4,4,FALSE)</f>
        <v>0.99970000000000003</v>
      </c>
      <c r="BH64" s="25">
        <f>VLOOKUP(Inventory[[#This Row],[Qlty]],Lookups!$O$7:$R$21,4,FALSE)</f>
        <v>0.98050000000000004</v>
      </c>
      <c r="BI64" s="29">
        <f>VLOOKUP(Inventory[[#This Row],[Cnd]],Lookups!$T$7:$W$16,4,FALSE)</f>
        <v>0.99729999999999996</v>
      </c>
      <c r="BJ64" s="25">
        <f>VLOOKUP(Inventory[[#This Row],[LivArea Range]],Lookups!$T$25:$W$37,4,FALSE)</f>
        <v>1.0157</v>
      </c>
      <c r="BK64" s="25">
        <f>VLOOKUP(Inventory[[#This Row],[Decade]],Lookups!$O$25:$R$42,4,FALSE)</f>
        <v>0.97319999999999995</v>
      </c>
      <c r="BL64" s="25">
        <f>Inventory[[#This Row],[Nbhd Adj]]*0.95</f>
        <v>0.94971499999999998</v>
      </c>
      <c r="BM64" s="25">
        <f>Inventory[[#This Row],[Nbhd Adj]]*Inventory[[#This Row],[Quality Adj]]*Inventory[[#This Row],[Condition Adj]]*Inventory[[#This Row],[Living Area Adj]]*Inventory[[#This Row],[Decade Adj]]*0.95</f>
        <v>0.91798221478115993</v>
      </c>
      <c r="BN64" s="25">
        <f>ROUND(SUM(Inventory[[#This Row],[Mdl Qlty]:[Mdl WdDeck]])+Inventory[[#This Row],[Mdl Res Intercept]]*Inventory[[#This Row],[Res Adj ]],-2)</f>
        <v>301700</v>
      </c>
      <c r="BO64" s="25">
        <f>ROUND(Inventory[[#This Row],[25Det]]*Inventory[[#This Row],[Det/Nbhd Adj]],-2)</f>
        <v>0</v>
      </c>
      <c r="BP64" s="25">
        <f>Inventory[[#This Row],[Adjusted Res]]+Inventory[[#This Row],[Adj Det ]]</f>
        <v>301700</v>
      </c>
      <c r="BQ64" s="25">
        <f>ROUND((Inventory[[#This Row],[Mdl Land Intercept]]+Inventory[[#This Row],[Mdl LnAcres]])*Inventory[[#This Row],[Det/Nbhd Adj]],-2)</f>
        <v>-20100</v>
      </c>
      <c r="BR64" s="25">
        <f>Inventory[[#This Row],[Adjusted Impr Total]]+Inventory[[#This Row],[Adjusted Land Total]]</f>
        <v>281600</v>
      </c>
      <c r="BS64" s="36">
        <f>IFERROR((Inventory[[#This Row],[Adjusted Impr Total]]-Inventory[[#This Row],[24Bldg]])/Inventory[[#This Row],[24Bldg]],0)</f>
        <v>0.46030977734753148</v>
      </c>
      <c r="BT64" s="36">
        <f>(Inventory[[#This Row],[Adjusted Land Total]]-Inventory[[#This Row],[24Lnd]])/Inventory[[#This Row],[24Lnd]]</f>
        <v>-1.5506849315068494</v>
      </c>
      <c r="BU64" s="36">
        <f>(Inventory[[#This Row],[Adjusted Total]]-Inventory[[#This Row],[24Final]])/Inventory[[#This Row],[24Final]]</f>
        <v>0.15837104072398189</v>
      </c>
    </row>
    <row r="65" spans="1:73" x14ac:dyDescent="0.3">
      <c r="A65" s="25">
        <v>2025</v>
      </c>
      <c r="B65" s="26" t="s">
        <v>1123</v>
      </c>
      <c r="C65" s="26">
        <f>LN(Inventory[[#This Row],[Acres]])</f>
        <v>-3.5065578973199818</v>
      </c>
      <c r="D65" s="25">
        <v>0.15</v>
      </c>
      <c r="E65" s="25">
        <v>6534</v>
      </c>
      <c r="F65" s="26" t="s">
        <v>543</v>
      </c>
      <c r="G65" s="26" t="s">
        <v>544</v>
      </c>
      <c r="H65" s="26" t="s">
        <v>349</v>
      </c>
      <c r="I65" s="26" t="s">
        <v>605</v>
      </c>
      <c r="J65" s="26" t="s">
        <v>616</v>
      </c>
      <c r="K65" s="26" t="s">
        <v>547</v>
      </c>
      <c r="L65" s="26" t="s">
        <v>351</v>
      </c>
      <c r="M65" s="26" t="s">
        <v>323</v>
      </c>
      <c r="N65" s="26">
        <v>90</v>
      </c>
      <c r="O65" s="26">
        <f>2024-Inventory[[#This Row],[YrBlt]]</f>
        <v>28</v>
      </c>
      <c r="P65" s="26">
        <f>2024-Inventory[[#This Row],[EffYr]]</f>
        <v>28</v>
      </c>
      <c r="Q65" s="25">
        <v>1925</v>
      </c>
      <c r="R65" s="25">
        <v>1968</v>
      </c>
      <c r="S65" s="25">
        <v>1584</v>
      </c>
      <c r="T65" s="27"/>
      <c r="U65" s="25">
        <v>1584</v>
      </c>
      <c r="V65" s="25">
        <f>Inventory[[#This Row],[Bsmt]]-Inventory[[#This Row],[FnBsmt]]</f>
        <v>0</v>
      </c>
      <c r="W65" s="31"/>
      <c r="X65" s="27"/>
      <c r="Y65" s="27">
        <f>Inventory[[#This Row],[MainFn]]+Inventory[[#This Row],[UpprFn]]+Inventory[[#This Row],[FnBsmt]]+Inventory[[#This Row],[AddFn]]</f>
        <v>2294</v>
      </c>
      <c r="Z65" s="27">
        <v>2000</v>
      </c>
      <c r="AA65" s="25">
        <v>10</v>
      </c>
      <c r="AB65" s="31"/>
      <c r="AC65" s="27"/>
      <c r="AD65" s="31"/>
      <c r="AE65" s="27"/>
      <c r="AF65" s="27"/>
      <c r="AG65" s="32">
        <v>125</v>
      </c>
      <c r="AH65" s="27"/>
      <c r="AI65" s="25">
        <v>226001</v>
      </c>
      <c r="AJ65" s="25">
        <v>180801</v>
      </c>
      <c r="AK65" s="25">
        <v>8579</v>
      </c>
      <c r="AL65" s="25">
        <v>247500</v>
      </c>
      <c r="AM65" s="25">
        <v>74700</v>
      </c>
      <c r="AN65" s="25">
        <v>172800</v>
      </c>
      <c r="AO65" s="25">
        <v>0</v>
      </c>
      <c r="AP65" s="25">
        <f>Lookups!$B$56*0</f>
        <v>0</v>
      </c>
      <c r="AQ65" s="25">
        <f>Lookups!$B$56*1</f>
        <v>89850.625589999996</v>
      </c>
      <c r="AR65" s="25">
        <f>Lookups!$B$57*Inventory[[#This Row],[LnAcres]]</f>
        <v>-110998.74281323297</v>
      </c>
      <c r="AS65" s="25">
        <f>VLOOKUP(Inventory[[#This Row],[Qlty]],Lookups!$A$62:$E$75,2,FALSE)</f>
        <v>44121.038090000002</v>
      </c>
      <c r="AT65" s="25">
        <f>VLOOKUP(Inventory[[#This Row],[Cnd]],Lookups!$A$76:$E$84,2,FALSE)</f>
        <v>160472.20319</v>
      </c>
      <c r="AU65" s="25">
        <f>Inventory[[#This Row],[EffAge]]*Lookups!$B$85</f>
        <v>-6245.2768139999998</v>
      </c>
      <c r="AV65" s="25">
        <f>Inventory[[#This Row],[MainFn]]*Lookups!$B$86</f>
        <v>44270.168209791998</v>
      </c>
      <c r="AW65" s="25">
        <f>Inventory[[#This Row],[UpprFn]]*Lookups!$B$87</f>
        <v>40128.634883455998</v>
      </c>
      <c r="AX65" s="25">
        <f>Inventory[[#This Row],[AddFn]]*Lookups!$B$88</f>
        <v>0</v>
      </c>
      <c r="AY65" s="25">
        <f>Inventory[[#This Row],[Bsmt]]*Lookups!$B$89</f>
        <v>14599.111413994</v>
      </c>
      <c r="AZ65" s="25">
        <f>Inventory[[#This Row],[Fixtures]]*Lookups!$B$90</f>
        <v>53088.3094728</v>
      </c>
      <c r="BA65" s="25">
        <f>Inventory[[#This Row],[WdDeck]]*Lookups!$B$91</f>
        <v>13318.206110400002</v>
      </c>
      <c r="BB65" s="25">
        <f>ROUND(Inventory[[#This Row],[25Det]],-2)</f>
        <v>0</v>
      </c>
      <c r="BC65" s="25">
        <f>ROUND(SUM(Inventory[[#This Row],[Mdl Qlty]:[Mdl WdDeck]])+Inventory[[#This Row],[Mdl Res Intercept]],-2)</f>
        <v>363800</v>
      </c>
      <c r="BD65" s="25">
        <f>ROUND(Inventory[[#This Row],[Mdl Land Intercept]]+Inventory[[#This Row],[Mdl LnAcres]],-2)</f>
        <v>-21100</v>
      </c>
      <c r="BE65" s="25">
        <f>Inventory[[#This Row],[Unadj Res Value]]+Inventory[[#This Row],[Unadj Det Value]]+Inventory[[#This Row],[Unadj Land Value]]</f>
        <v>342700</v>
      </c>
      <c r="BF65" s="36">
        <f>(Inventory[[#This Row],[Unadj Total Value]]-Inventory[[#This Row],[24Final]])/Inventory[[#This Row],[24Final]]</f>
        <v>0.12140052356020943</v>
      </c>
      <c r="BG65" s="25">
        <f>VLOOKUP(Inventory[[#This Row],[Nbhd]],Lookups!$Q$2:$T$4,4,FALSE)</f>
        <v>0.99970000000000003</v>
      </c>
      <c r="BH65" s="25">
        <f>VLOOKUP(Inventory[[#This Row],[Qlty]],Lookups!$O$7:$R$21,4,FALSE)</f>
        <v>0.98050000000000004</v>
      </c>
      <c r="BI65" s="29">
        <f>VLOOKUP(Inventory[[#This Row],[Cnd]],Lookups!$T$7:$W$16,4,FALSE)</f>
        <v>0.99729999999999996</v>
      </c>
      <c r="BJ65" s="25">
        <f>VLOOKUP(Inventory[[#This Row],[LivArea Range]],Lookups!$T$25:$W$37,4,FALSE)</f>
        <v>0.98919999999999997</v>
      </c>
      <c r="BK65" s="25">
        <f>VLOOKUP(Inventory[[#This Row],[Decade]],Lookups!$O$25:$R$42,4,FALSE)</f>
        <v>0.97319999999999995</v>
      </c>
      <c r="BL65" s="25">
        <f>Inventory[[#This Row],[Nbhd Adj]]*0.95</f>
        <v>0.94971499999999998</v>
      </c>
      <c r="BM65" s="25">
        <f>Inventory[[#This Row],[Nbhd Adj]]*Inventory[[#This Row],[Quality Adj]]*Inventory[[#This Row],[Condition Adj]]*Inventory[[#This Row],[Living Area Adj]]*Inventory[[#This Row],[Decade Adj]]*0.95</f>
        <v>0.89403170902975626</v>
      </c>
      <c r="BN65" s="25">
        <f>ROUND(SUM(Inventory[[#This Row],[Mdl Qlty]:[Mdl WdDeck]])+Inventory[[#This Row],[Mdl Res Intercept]]*Inventory[[#This Row],[Res Adj ]],-2)</f>
        <v>363800</v>
      </c>
      <c r="BO65" s="25">
        <f>ROUND(Inventory[[#This Row],[25Det]]*Inventory[[#This Row],[Det/Nbhd Adj]],-2)</f>
        <v>0</v>
      </c>
      <c r="BP65" s="25">
        <f>Inventory[[#This Row],[Adjusted Res]]+Inventory[[#This Row],[Adj Det ]]</f>
        <v>363800</v>
      </c>
      <c r="BQ65" s="25">
        <f>ROUND((Inventory[[#This Row],[Mdl Land Intercept]]+Inventory[[#This Row],[Mdl LnAcres]])*Inventory[[#This Row],[Det/Nbhd Adj]],-2)</f>
        <v>-20100</v>
      </c>
      <c r="BR65" s="25">
        <f>Inventory[[#This Row],[Adjusted Impr Total]]+Inventory[[#This Row],[Adjusted Land Total]]</f>
        <v>343700</v>
      </c>
      <c r="BS65" s="36">
        <f>IFERROR((Inventory[[#This Row],[Adjusted Impr Total]]-Inventory[[#This Row],[24Bldg]])/Inventory[[#This Row],[24Bldg]],0)</f>
        <v>0.40030792917628943</v>
      </c>
      <c r="BT65" s="36">
        <f>(Inventory[[#This Row],[Adjusted Land Total]]-Inventory[[#This Row],[24Lnd]])/Inventory[[#This Row],[24Lnd]]</f>
        <v>-1.4388646288209608</v>
      </c>
      <c r="BU65" s="36">
        <f>(Inventory[[#This Row],[Adjusted Total]]-Inventory[[#This Row],[24Final]])/Inventory[[#This Row],[24Final]]</f>
        <v>0.12467277486910995</v>
      </c>
    </row>
    <row r="66" spans="1:73" x14ac:dyDescent="0.3">
      <c r="A66" s="25">
        <v>2025</v>
      </c>
      <c r="B66" s="26" t="s">
        <v>1459</v>
      </c>
      <c r="C66" s="26">
        <f>LN(Inventory[[#This Row],[Acres]])</f>
        <v>-3.5065578973199818</v>
      </c>
      <c r="D66" s="25">
        <v>0.15</v>
      </c>
      <c r="E66" s="25">
        <v>6534</v>
      </c>
      <c r="F66" s="26" t="s">
        <v>543</v>
      </c>
      <c r="G66" s="26" t="s">
        <v>544</v>
      </c>
      <c r="H66" s="26" t="s">
        <v>349</v>
      </c>
      <c r="I66" s="26" t="s">
        <v>605</v>
      </c>
      <c r="J66" s="26" t="s">
        <v>616</v>
      </c>
      <c r="K66" s="26" t="s">
        <v>547</v>
      </c>
      <c r="L66" s="26" t="s">
        <v>351</v>
      </c>
      <c r="M66" s="26" t="s">
        <v>323</v>
      </c>
      <c r="N66" s="26">
        <v>60</v>
      </c>
      <c r="O66" s="26">
        <f>2024-Inventory[[#This Row],[YrBlt]]</f>
        <v>28</v>
      </c>
      <c r="P66" s="26">
        <f>2024-Inventory[[#This Row],[EffYr]]</f>
        <v>28</v>
      </c>
      <c r="Q66" s="25">
        <v>1960</v>
      </c>
      <c r="R66" s="25">
        <v>1975</v>
      </c>
      <c r="S66" s="25">
        <v>1604</v>
      </c>
      <c r="T66" s="27"/>
      <c r="U66" s="31"/>
      <c r="V66" s="31">
        <f>Inventory[[#This Row],[Bsmt]]-Inventory[[#This Row],[FnBsmt]]</f>
        <v>20</v>
      </c>
      <c r="W66" s="31"/>
      <c r="X66" s="27"/>
      <c r="Y66" s="27">
        <f>Inventory[[#This Row],[MainFn]]+Inventory[[#This Row],[UpprFn]]+Inventory[[#This Row],[FnBsmt]]+Inventory[[#This Row],[AddFn]]</f>
        <v>2316</v>
      </c>
      <c r="Z66" s="27">
        <v>2000</v>
      </c>
      <c r="AA66" s="25">
        <v>10</v>
      </c>
      <c r="AB66" s="31"/>
      <c r="AC66" s="27"/>
      <c r="AD66" s="27"/>
      <c r="AE66" s="27"/>
      <c r="AF66" s="27"/>
      <c r="AG66" s="32">
        <v>125</v>
      </c>
      <c r="AH66" s="27"/>
      <c r="AI66" s="25">
        <v>197367</v>
      </c>
      <c r="AJ66" s="25">
        <v>175657</v>
      </c>
      <c r="AK66" s="25">
        <v>0</v>
      </c>
      <c r="AL66" s="25">
        <v>240100</v>
      </c>
      <c r="AM66" s="25">
        <v>75100</v>
      </c>
      <c r="AN66" s="25">
        <v>165000</v>
      </c>
      <c r="AO66" s="25">
        <v>0</v>
      </c>
      <c r="AP66" s="25">
        <f>Lookups!$B$56*0</f>
        <v>0</v>
      </c>
      <c r="AQ66" s="25">
        <f>Lookups!$B$56*1</f>
        <v>89850.625589999996</v>
      </c>
      <c r="AR66" s="25">
        <f>Lookups!$B$57*Inventory[[#This Row],[LnAcres]]</f>
        <v>-110998.74281323297</v>
      </c>
      <c r="AS66" s="25">
        <f>VLOOKUP(Inventory[[#This Row],[Qlty]],Lookups!$A$62:$E$75,2,FALSE)</f>
        <v>44121.038090000002</v>
      </c>
      <c r="AT66" s="25">
        <f>VLOOKUP(Inventory[[#This Row],[Cnd]],Lookups!$A$76:$E$84,2,FALSE)</f>
        <v>160472.20319</v>
      </c>
      <c r="AU66" s="25">
        <f>Inventory[[#This Row],[EffAge]]*Lookups!$B$85</f>
        <v>-6245.2768139999998</v>
      </c>
      <c r="AV66" s="25">
        <f>Inventory[[#This Row],[MainFn]]*Lookups!$B$86</f>
        <v>44270.168209791998</v>
      </c>
      <c r="AW66" s="25">
        <f>Inventory[[#This Row],[UpprFn]]*Lookups!$B$87</f>
        <v>40128.634883455998</v>
      </c>
      <c r="AX66" s="25">
        <f>Inventory[[#This Row],[AddFn]]*Lookups!$B$88</f>
        <v>0</v>
      </c>
      <c r="AY66" s="25">
        <f>Inventory[[#This Row],[Bsmt]]*Lookups!$B$89</f>
        <v>15820.551014367999</v>
      </c>
      <c r="AZ66" s="25">
        <f>Inventory[[#This Row],[Fixtures]]*Lookups!$B$90</f>
        <v>53088.3094728</v>
      </c>
      <c r="BA66" s="25">
        <f>Inventory[[#This Row],[WdDeck]]*Lookups!$B$91</f>
        <v>15981.847332480002</v>
      </c>
      <c r="BB66" s="25">
        <f>ROUND(Inventory[[#This Row],[25Det]],-2)</f>
        <v>0</v>
      </c>
      <c r="BC66" s="25">
        <f>ROUND(SUM(Inventory[[#This Row],[Mdl Qlty]:[Mdl WdDeck]])+Inventory[[#This Row],[Mdl Res Intercept]],-2)</f>
        <v>367600</v>
      </c>
      <c r="BD66" s="25">
        <f>ROUND(Inventory[[#This Row],[Mdl Land Intercept]]+Inventory[[#This Row],[Mdl LnAcres]],-2)</f>
        <v>-21100</v>
      </c>
      <c r="BE66" s="25">
        <f>Inventory[[#This Row],[Unadj Res Value]]+Inventory[[#This Row],[Unadj Det Value]]+Inventory[[#This Row],[Unadj Land Value]]</f>
        <v>346500</v>
      </c>
      <c r="BF66" s="36">
        <f>(Inventory[[#This Row],[Unadj Total Value]]-Inventory[[#This Row],[24Final]])/Inventory[[#This Row],[24Final]]</f>
        <v>0.10034931724356938</v>
      </c>
      <c r="BG66" s="25">
        <f>VLOOKUP(Inventory[[#This Row],[Nbhd]],Lookups!$Q$2:$T$4,4,FALSE)</f>
        <v>0.99970000000000003</v>
      </c>
      <c r="BH66" s="25">
        <f>VLOOKUP(Inventory[[#This Row],[Qlty]],Lookups!$O$7:$R$21,4,FALSE)</f>
        <v>0.98050000000000004</v>
      </c>
      <c r="BI66" s="29">
        <f>VLOOKUP(Inventory[[#This Row],[Cnd]],Lookups!$T$7:$W$16,4,FALSE)</f>
        <v>0.99729999999999996</v>
      </c>
      <c r="BJ66" s="25">
        <f>VLOOKUP(Inventory[[#This Row],[LivArea Range]],Lookups!$T$25:$W$37,4,FALSE)</f>
        <v>0.98919999999999997</v>
      </c>
      <c r="BK66" s="25">
        <f>VLOOKUP(Inventory[[#This Row],[Decade]],Lookups!$O$25:$R$42,4,FALSE)</f>
        <v>0.97319999999999995</v>
      </c>
      <c r="BL66" s="25">
        <f>Inventory[[#This Row],[Nbhd Adj]]*0.95</f>
        <v>0.94971499999999998</v>
      </c>
      <c r="BM66" s="25">
        <f>Inventory[[#This Row],[Nbhd Adj]]*Inventory[[#This Row],[Quality Adj]]*Inventory[[#This Row],[Condition Adj]]*Inventory[[#This Row],[Living Area Adj]]*Inventory[[#This Row],[Decade Adj]]*0.95</f>
        <v>0.89403170902975626</v>
      </c>
      <c r="BN66" s="25">
        <f>ROUND(SUM(Inventory[[#This Row],[Mdl Qlty]:[Mdl WdDeck]])+Inventory[[#This Row],[Mdl Res Intercept]]*Inventory[[#This Row],[Res Adj ]],-2)</f>
        <v>367600</v>
      </c>
      <c r="BO66" s="25">
        <f>ROUND(Inventory[[#This Row],[25Det]]*Inventory[[#This Row],[Det/Nbhd Adj]],-2)</f>
        <v>0</v>
      </c>
      <c r="BP66" s="25">
        <f>Inventory[[#This Row],[Adjusted Res]]+Inventory[[#This Row],[Adj Det ]]</f>
        <v>367600</v>
      </c>
      <c r="BQ66" s="25">
        <f>ROUND((Inventory[[#This Row],[Mdl Land Intercept]]+Inventory[[#This Row],[Mdl LnAcres]])*Inventory[[#This Row],[Det/Nbhd Adj]],-2)</f>
        <v>-20100</v>
      </c>
      <c r="BR66" s="25">
        <f>Inventory[[#This Row],[Adjusted Impr Total]]+Inventory[[#This Row],[Adjusted Land Total]]</f>
        <v>347500</v>
      </c>
      <c r="BS66" s="36">
        <f>IFERROR((Inventory[[#This Row],[Adjusted Impr Total]]-Inventory[[#This Row],[24Bldg]])/Inventory[[#This Row],[24Bldg]],0)</f>
        <v>0.37317893163989541</v>
      </c>
      <c r="BT66" s="36">
        <f>(Inventory[[#This Row],[Adjusted Land Total]]-Inventory[[#This Row],[24Lnd]])/Inventory[[#This Row],[24Lnd]]</f>
        <v>-1.4258474576271187</v>
      </c>
      <c r="BU66" s="36">
        <f>(Inventory[[#This Row],[Adjusted Total]]-Inventory[[#This Row],[24Final]])/Inventory[[#This Row],[24Final]]</f>
        <v>0.10352492854874563</v>
      </c>
    </row>
    <row r="67" spans="1:73" x14ac:dyDescent="0.3">
      <c r="A67" s="25">
        <v>2025</v>
      </c>
      <c r="B67" s="26" t="s">
        <v>1474</v>
      </c>
      <c r="C67" s="26">
        <f>LN(Inventory[[#This Row],[Acres]])</f>
        <v>-1.5141277326297755</v>
      </c>
      <c r="D67" s="25">
        <v>0.16</v>
      </c>
      <c r="E67" s="25">
        <v>6970</v>
      </c>
      <c r="F67" s="26" t="s">
        <v>543</v>
      </c>
      <c r="G67" s="26" t="s">
        <v>1475</v>
      </c>
      <c r="H67" s="26" t="s">
        <v>349</v>
      </c>
      <c r="I67" s="26" t="s">
        <v>605</v>
      </c>
      <c r="J67" s="26" t="s">
        <v>616</v>
      </c>
      <c r="K67" s="26" t="s">
        <v>547</v>
      </c>
      <c r="L67" s="26" t="s">
        <v>351</v>
      </c>
      <c r="M67" s="26" t="s">
        <v>323</v>
      </c>
      <c r="N67" s="26">
        <v>60</v>
      </c>
      <c r="O67" s="26">
        <f>2024-Inventory[[#This Row],[YrBlt]]</f>
        <v>28</v>
      </c>
      <c r="P67" s="26">
        <f>2024-Inventory[[#This Row],[EffYr]]</f>
        <v>28</v>
      </c>
      <c r="Q67" s="25">
        <v>1955</v>
      </c>
      <c r="R67" s="25">
        <v>1974</v>
      </c>
      <c r="S67" s="25">
        <v>1646</v>
      </c>
      <c r="T67" s="27"/>
      <c r="U67" s="31"/>
      <c r="V67" s="31">
        <f>Inventory[[#This Row],[Bsmt]]-Inventory[[#This Row],[FnBsmt]]</f>
        <v>0</v>
      </c>
      <c r="W67" s="31"/>
      <c r="X67" s="27"/>
      <c r="Y67" s="27">
        <f>Inventory[[#This Row],[MainFn]]+Inventory[[#This Row],[UpprFn]]+Inventory[[#This Row],[FnBsmt]]+Inventory[[#This Row],[AddFn]]</f>
        <v>2225</v>
      </c>
      <c r="Z67" s="27">
        <v>2000</v>
      </c>
      <c r="AA67" s="25">
        <v>10</v>
      </c>
      <c r="AB67" s="31"/>
      <c r="AC67" s="27"/>
      <c r="AD67" s="27"/>
      <c r="AE67" s="27"/>
      <c r="AF67" s="27"/>
      <c r="AG67" s="32">
        <v>125</v>
      </c>
      <c r="AH67" s="27"/>
      <c r="AI67" s="25">
        <v>202824</v>
      </c>
      <c r="AJ67" s="25">
        <v>178485</v>
      </c>
      <c r="AK67" s="25">
        <v>506</v>
      </c>
      <c r="AL67" s="25">
        <v>226100</v>
      </c>
      <c r="AM67" s="25">
        <v>58200</v>
      </c>
      <c r="AN67" s="25">
        <v>167900</v>
      </c>
      <c r="AO67" s="25">
        <v>0</v>
      </c>
      <c r="AP67" s="25">
        <f>Lookups!$B$56*0</f>
        <v>0</v>
      </c>
      <c r="AQ67" s="25">
        <f>Lookups!$B$56*1</f>
        <v>89850.625589999996</v>
      </c>
      <c r="AR67" s="25">
        <f>Lookups!$B$57*Inventory[[#This Row],[LnAcres]]</f>
        <v>-47929.131559187132</v>
      </c>
      <c r="AS67" s="25">
        <f>VLOOKUP(Inventory[[#This Row],[Qlty]],Lookups!$A$62:$E$75,2,FALSE)</f>
        <v>44121.038090000002</v>
      </c>
      <c r="AT67" s="25">
        <f>VLOOKUP(Inventory[[#This Row],[Cnd]],Lookups!$A$76:$E$84,2,FALSE)</f>
        <v>197752.34721000001</v>
      </c>
      <c r="AU67" s="25">
        <f>Inventory[[#This Row],[EffAge]]*Lookups!$B$85</f>
        <v>-6245.2768139999998</v>
      </c>
      <c r="AV67" s="25">
        <f>Inventory[[#This Row],[MainFn]]*Lookups!$B$86</f>
        <v>109934.290476325</v>
      </c>
      <c r="AW67" s="25">
        <f>Inventory[[#This Row],[UpprFn]]*Lookups!$B$87</f>
        <v>0</v>
      </c>
      <c r="AX67" s="25">
        <f>Inventory[[#This Row],[AddFn]]*Lookups!$B$88</f>
        <v>0</v>
      </c>
      <c r="AY67" s="25">
        <f>Inventory[[#This Row],[Bsmt]]*Lookups!$B$89</f>
        <v>0</v>
      </c>
      <c r="AZ67" s="25">
        <f>Inventory[[#This Row],[Fixtures]]*Lookups!$B$90</f>
        <v>41712.243157199999</v>
      </c>
      <c r="BA67" s="25">
        <f>Inventory[[#This Row],[WdDeck]]*Lookups!$B$91</f>
        <v>8790.0160328640013</v>
      </c>
      <c r="BB67" s="25">
        <f>ROUND(Inventory[[#This Row],[25Det]],-2)</f>
        <v>0</v>
      </c>
      <c r="BC67" s="25">
        <f>ROUND(SUM(Inventory[[#This Row],[Mdl Qlty]:[Mdl WdDeck]])+Inventory[[#This Row],[Mdl Res Intercept]],-2)</f>
        <v>396100</v>
      </c>
      <c r="BD67" s="25">
        <f>ROUND(Inventory[[#This Row],[Mdl Land Intercept]]+Inventory[[#This Row],[Mdl LnAcres]],-2)</f>
        <v>41900</v>
      </c>
      <c r="BE67" s="25">
        <f>Inventory[[#This Row],[Unadj Res Value]]+Inventory[[#This Row],[Unadj Det Value]]+Inventory[[#This Row],[Unadj Land Value]]</f>
        <v>438000</v>
      </c>
      <c r="BF67" s="36">
        <f>(Inventory[[#This Row],[Unadj Total Value]]-Inventory[[#This Row],[24Final]])/Inventory[[#This Row],[24Final]]</f>
        <v>8.4158415841584164E-2</v>
      </c>
      <c r="BG67" s="25">
        <f>VLOOKUP(Inventory[[#This Row],[Nbhd]],Lookups!$Q$2:$T$4,4,FALSE)</f>
        <v>0.99970000000000003</v>
      </c>
      <c r="BH67" s="25">
        <f>VLOOKUP(Inventory[[#This Row],[Qlty]],Lookups!$O$7:$R$21,4,FALSE)</f>
        <v>0.98050000000000004</v>
      </c>
      <c r="BI67" s="29">
        <f>VLOOKUP(Inventory[[#This Row],[Cnd]],Lookups!$T$7:$W$16,4,FALSE)</f>
        <v>0.99650000000000005</v>
      </c>
      <c r="BJ67" s="25">
        <f>VLOOKUP(Inventory[[#This Row],[LivArea Range]],Lookups!$T$25:$W$37,4,FALSE)</f>
        <v>0.98919999999999997</v>
      </c>
      <c r="BK67" s="25">
        <f>VLOOKUP(Inventory[[#This Row],[Decade]],Lookups!$O$25:$R$42,4,FALSE)</f>
        <v>0.97319999999999995</v>
      </c>
      <c r="BL67" s="25">
        <f>Inventory[[#This Row],[Nbhd Adj]]*0.95</f>
        <v>0.94971499999999998</v>
      </c>
      <c r="BM67" s="25">
        <f>Inventory[[#This Row],[Nbhd Adj]]*Inventory[[#This Row],[Quality Adj]]*Inventory[[#This Row],[Condition Adj]]*Inventory[[#This Row],[Living Area Adj]]*Inventory[[#This Row],[Decade Adj]]*0.95</f>
        <v>0.89331454732593218</v>
      </c>
      <c r="BN67" s="25">
        <f>ROUND(SUM(Inventory[[#This Row],[Mdl Qlty]:[Mdl WdDeck]])+Inventory[[#This Row],[Mdl Res Intercept]]*Inventory[[#This Row],[Res Adj ]],-2)</f>
        <v>396100</v>
      </c>
      <c r="BO67" s="25">
        <f>ROUND(Inventory[[#This Row],[25Det]]*Inventory[[#This Row],[Det/Nbhd Adj]],-2)</f>
        <v>0</v>
      </c>
      <c r="BP67" s="25">
        <f>Inventory[[#This Row],[Adjusted Res]]+Inventory[[#This Row],[Adj Det ]]</f>
        <v>396100</v>
      </c>
      <c r="BQ67" s="25">
        <f>ROUND((Inventory[[#This Row],[Mdl Land Intercept]]+Inventory[[#This Row],[Mdl LnAcres]])*Inventory[[#This Row],[Det/Nbhd Adj]],-2)</f>
        <v>39800</v>
      </c>
      <c r="BR67" s="25">
        <f>Inventory[[#This Row],[Adjusted Impr Total]]+Inventory[[#This Row],[Adjusted Land Total]]</f>
        <v>435900</v>
      </c>
      <c r="BS67" s="36">
        <f>IFERROR((Inventory[[#This Row],[Adjusted Impr Total]]-Inventory[[#This Row],[24Bldg]])/Inventory[[#This Row],[24Bldg]],0)</f>
        <v>0.15717207128250074</v>
      </c>
      <c r="BT67" s="36">
        <f>(Inventory[[#This Row],[Adjusted Land Total]]-Inventory[[#This Row],[24Lnd]])/Inventory[[#This Row],[24Lnd]]</f>
        <v>-0.35494327390599678</v>
      </c>
      <c r="BU67" s="36">
        <f>(Inventory[[#This Row],[Adjusted Total]]-Inventory[[#This Row],[24Final]])/Inventory[[#This Row],[24Final]]</f>
        <v>7.8960396039603961E-2</v>
      </c>
    </row>
    <row r="68" spans="1:73" x14ac:dyDescent="0.3">
      <c r="A68" s="25">
        <v>2025</v>
      </c>
      <c r="B68" s="26" t="s">
        <v>1461</v>
      </c>
      <c r="C68" s="26">
        <f>LN(Inventory[[#This Row],[Acres]])</f>
        <v>-1.0788096613719298</v>
      </c>
      <c r="D68" s="25">
        <v>0.16</v>
      </c>
      <c r="E68" s="25">
        <v>6970</v>
      </c>
      <c r="F68" s="26" t="s">
        <v>543</v>
      </c>
      <c r="G68" s="26" t="s">
        <v>544</v>
      </c>
      <c r="H68" s="26" t="s">
        <v>349</v>
      </c>
      <c r="I68" s="26" t="s">
        <v>605</v>
      </c>
      <c r="J68" s="26" t="s">
        <v>616</v>
      </c>
      <c r="K68" s="26" t="s">
        <v>547</v>
      </c>
      <c r="L68" s="26" t="s">
        <v>351</v>
      </c>
      <c r="M68" s="26" t="s">
        <v>323</v>
      </c>
      <c r="N68" s="26">
        <v>60</v>
      </c>
      <c r="O68" s="26">
        <f>2024-Inventory[[#This Row],[YrBlt]]</f>
        <v>28</v>
      </c>
      <c r="P68" s="26">
        <f>2024-Inventory[[#This Row],[EffYr]]</f>
        <v>28</v>
      </c>
      <c r="Q68" s="25">
        <v>1955</v>
      </c>
      <c r="R68" s="25">
        <v>1974</v>
      </c>
      <c r="S68" s="25">
        <v>1880</v>
      </c>
      <c r="T68" s="27"/>
      <c r="U68" s="27"/>
      <c r="V68" s="27">
        <f>Inventory[[#This Row],[Bsmt]]-Inventory[[#This Row],[FnBsmt]]</f>
        <v>0</v>
      </c>
      <c r="W68" s="27"/>
      <c r="X68" s="27"/>
      <c r="Y68" s="27">
        <f>Inventory[[#This Row],[MainFn]]+Inventory[[#This Row],[UpprFn]]+Inventory[[#This Row],[FnBsmt]]+Inventory[[#This Row],[AddFn]]</f>
        <v>3240</v>
      </c>
      <c r="Z68" s="27">
        <v>2000</v>
      </c>
      <c r="AA68" s="25">
        <v>10</v>
      </c>
      <c r="AB68" s="31"/>
      <c r="AC68" s="27"/>
      <c r="AD68" s="31"/>
      <c r="AE68" s="27"/>
      <c r="AF68" s="27"/>
      <c r="AG68" s="32">
        <v>125</v>
      </c>
      <c r="AH68" s="27"/>
      <c r="AI68" s="25">
        <v>207501</v>
      </c>
      <c r="AJ68" s="25">
        <v>182601</v>
      </c>
      <c r="AK68" s="25">
        <v>0</v>
      </c>
      <c r="AL68" s="25">
        <v>232300</v>
      </c>
      <c r="AM68" s="25">
        <v>58200</v>
      </c>
      <c r="AN68" s="25">
        <v>174100</v>
      </c>
      <c r="AO68" s="25">
        <v>0</v>
      </c>
      <c r="AP68" s="25">
        <f>Lookups!$B$56*0</f>
        <v>0</v>
      </c>
      <c r="AQ68" s="25">
        <f>Lookups!$B$56*1</f>
        <v>89850.625589999996</v>
      </c>
      <c r="AR68" s="25">
        <f>Lookups!$B$57*Inventory[[#This Row],[LnAcres]]</f>
        <v>-34149.305288406773</v>
      </c>
      <c r="AS68" s="25">
        <f>VLOOKUP(Inventory[[#This Row],[Qlty]],Lookups!$A$62:$E$75,2,FALSE)</f>
        <v>163885.03753</v>
      </c>
      <c r="AT68" s="25">
        <f>VLOOKUP(Inventory[[#This Row],[Cnd]],Lookups!$A$76:$E$84,2,FALSE)</f>
        <v>284810.60806</v>
      </c>
      <c r="AU68" s="25">
        <f>Inventory[[#This Row],[EffAge]]*Lookups!$B$85</f>
        <v>-6245.2768139999998</v>
      </c>
      <c r="AV68" s="25">
        <f>Inventory[[#This Row],[MainFn]]*Lookups!$B$86</f>
        <v>92147.169320604997</v>
      </c>
      <c r="AW68" s="25">
        <f>Inventory[[#This Row],[UpprFn]]*Lookups!$B$87</f>
        <v>0</v>
      </c>
      <c r="AX68" s="25">
        <f>Inventory[[#This Row],[AddFn]]*Lookups!$B$88</f>
        <v>0</v>
      </c>
      <c r="AY68" s="25">
        <f>Inventory[[#This Row],[Bsmt]]*Lookups!$B$89</f>
        <v>39987.605964625</v>
      </c>
      <c r="AZ68" s="25">
        <f>Inventory[[#This Row],[Fixtures]]*Lookups!$B$90</f>
        <v>56880.331578000005</v>
      </c>
      <c r="BA68" s="25">
        <f>Inventory[[#This Row],[WdDeck]]*Lookups!$B$91</f>
        <v>5993.1927496800008</v>
      </c>
      <c r="BB68" s="25">
        <f>ROUND(Inventory[[#This Row],[25Det]],-2)</f>
        <v>0</v>
      </c>
      <c r="BC68" s="25">
        <f>ROUND(SUM(Inventory[[#This Row],[Mdl Qlty]:[Mdl WdDeck]])+Inventory[[#This Row],[Mdl Res Intercept]],-2)</f>
        <v>637500</v>
      </c>
      <c r="BD68" s="25">
        <f>ROUND(Inventory[[#This Row],[Mdl Land Intercept]]+Inventory[[#This Row],[Mdl LnAcres]],-2)</f>
        <v>55700</v>
      </c>
      <c r="BE68" s="25">
        <f>Inventory[[#This Row],[Unadj Res Value]]+Inventory[[#This Row],[Unadj Det Value]]+Inventory[[#This Row],[Unadj Land Value]]</f>
        <v>693200</v>
      </c>
      <c r="BF68" s="36">
        <f>(Inventory[[#This Row],[Unadj Total Value]]-Inventory[[#This Row],[24Final]])/Inventory[[#This Row],[24Final]]</f>
        <v>6.7446874037573143E-2</v>
      </c>
      <c r="BG68" s="25">
        <f>VLOOKUP(Inventory[[#This Row],[Nbhd]],Lookups!$Q$2:$T$4,4,FALSE)</f>
        <v>0.99970000000000003</v>
      </c>
      <c r="BH68" s="25">
        <f>VLOOKUP(Inventory[[#This Row],[Qlty]],Lookups!$O$7:$R$21,4,FALSE)</f>
        <v>1</v>
      </c>
      <c r="BI68" s="29">
        <f>VLOOKUP(Inventory[[#This Row],[Cnd]],Lookups!$T$7:$W$16,4,FALSE)</f>
        <v>1.0158</v>
      </c>
      <c r="BJ68" s="25">
        <f>VLOOKUP(Inventory[[#This Row],[LivArea Range]],Lookups!$T$25:$W$37,4,FALSE)</f>
        <v>1.0126999999999999</v>
      </c>
      <c r="BK68" s="25">
        <f>VLOOKUP(Inventory[[#This Row],[Decade]],Lookups!$O$25:$R$42,4,FALSE)</f>
        <v>0.97319999999999995</v>
      </c>
      <c r="BL68" s="25">
        <f>Inventory[[#This Row],[Nbhd Adj]]*0.95</f>
        <v>0.94971499999999998</v>
      </c>
      <c r="BM68" s="25">
        <f>Inventory[[#This Row],[Nbhd Adj]]*Inventory[[#This Row],[Quality Adj]]*Inventory[[#This Row],[Condition Adj]]*Inventory[[#This Row],[Living Area Adj]]*Inventory[[#This Row],[Decade Adj]]*0.95</f>
        <v>0.95078958572394112</v>
      </c>
      <c r="BN68" s="25">
        <f>ROUND(SUM(Inventory[[#This Row],[Mdl Qlty]:[Mdl WdDeck]])+Inventory[[#This Row],[Mdl Res Intercept]]*Inventory[[#This Row],[Res Adj ]],-2)</f>
        <v>637500</v>
      </c>
      <c r="BO68" s="25">
        <f>ROUND(Inventory[[#This Row],[25Det]]*Inventory[[#This Row],[Det/Nbhd Adj]],-2)</f>
        <v>0</v>
      </c>
      <c r="BP68" s="25">
        <f>Inventory[[#This Row],[Adjusted Res]]+Inventory[[#This Row],[Adj Det ]]</f>
        <v>637500</v>
      </c>
      <c r="BQ68" s="25">
        <f>ROUND((Inventory[[#This Row],[Mdl Land Intercept]]+Inventory[[#This Row],[Mdl LnAcres]])*Inventory[[#This Row],[Det/Nbhd Adj]],-2)</f>
        <v>52900</v>
      </c>
      <c r="BR68" s="25">
        <f>Inventory[[#This Row],[Adjusted Impr Total]]+Inventory[[#This Row],[Adjusted Land Total]]</f>
        <v>690400</v>
      </c>
      <c r="BS68" s="36">
        <f>IFERROR((Inventory[[#This Row],[Adjusted Impr Total]]-Inventory[[#This Row],[24Bldg]])/Inventory[[#This Row],[24Bldg]],0)</f>
        <v>0.11353711790393013</v>
      </c>
      <c r="BT68" s="36">
        <f>(Inventory[[#This Row],[Adjusted Land Total]]-Inventory[[#This Row],[24Lnd]])/Inventory[[#This Row],[24Lnd]]</f>
        <v>-0.31209362808842656</v>
      </c>
      <c r="BU68" s="36">
        <f>(Inventory[[#This Row],[Adjusted Total]]-Inventory[[#This Row],[24Final]])/Inventory[[#This Row],[24Final]]</f>
        <v>6.3135201724668924E-2</v>
      </c>
    </row>
    <row r="69" spans="1:73" x14ac:dyDescent="0.3">
      <c r="A69" s="25">
        <v>2025</v>
      </c>
      <c r="B69" s="26" t="s">
        <v>1458</v>
      </c>
      <c r="C69" s="26">
        <f>LN(Inventory[[#This Row],[Acres]])</f>
        <v>-1.7147984280919266</v>
      </c>
      <c r="D69" s="25">
        <v>0.17</v>
      </c>
      <c r="E69" s="25">
        <v>7405</v>
      </c>
      <c r="F69" s="26" t="s">
        <v>543</v>
      </c>
      <c r="G69" s="26" t="s">
        <v>544</v>
      </c>
      <c r="H69" s="26" t="s">
        <v>349</v>
      </c>
      <c r="I69" s="26" t="s">
        <v>605</v>
      </c>
      <c r="J69" s="26" t="s">
        <v>616</v>
      </c>
      <c r="K69" s="26" t="s">
        <v>547</v>
      </c>
      <c r="L69" s="26" t="s">
        <v>351</v>
      </c>
      <c r="M69" s="26" t="s">
        <v>323</v>
      </c>
      <c r="N69" s="26">
        <v>60</v>
      </c>
      <c r="O69" s="26">
        <f>2024-Inventory[[#This Row],[YrBlt]]</f>
        <v>28</v>
      </c>
      <c r="P69" s="26">
        <f>2024-Inventory[[#This Row],[EffYr]]</f>
        <v>28</v>
      </c>
      <c r="Q69" s="25">
        <v>1955</v>
      </c>
      <c r="R69" s="25">
        <v>1974</v>
      </c>
      <c r="S69" s="25">
        <v>1888</v>
      </c>
      <c r="T69" s="27"/>
      <c r="U69" s="31"/>
      <c r="V69" s="31">
        <f>Inventory[[#This Row],[Bsmt]]-Inventory[[#This Row],[FnBsmt]]</f>
        <v>0</v>
      </c>
      <c r="W69" s="31"/>
      <c r="X69" s="27"/>
      <c r="Y69" s="27">
        <f>Inventory[[#This Row],[MainFn]]+Inventory[[#This Row],[UpprFn]]+Inventory[[#This Row],[FnBsmt]]+Inventory[[#This Row],[AddFn]]</f>
        <v>2296</v>
      </c>
      <c r="Z69" s="27">
        <v>2000</v>
      </c>
      <c r="AA69" s="25">
        <v>10</v>
      </c>
      <c r="AB69" s="31"/>
      <c r="AC69" s="27"/>
      <c r="AD69" s="27"/>
      <c r="AE69" s="27"/>
      <c r="AF69" s="27"/>
      <c r="AG69" s="32">
        <v>125</v>
      </c>
      <c r="AH69" s="27"/>
      <c r="AI69" s="25">
        <v>224205</v>
      </c>
      <c r="AJ69" s="25">
        <v>197300</v>
      </c>
      <c r="AK69" s="25">
        <v>0</v>
      </c>
      <c r="AL69" s="25">
        <v>262200</v>
      </c>
      <c r="AM69" s="25">
        <v>75800</v>
      </c>
      <c r="AN69" s="25">
        <v>186400</v>
      </c>
      <c r="AO69" s="25">
        <v>0</v>
      </c>
      <c r="AP69" s="25">
        <f>Lookups!$B$56*0</f>
        <v>0</v>
      </c>
      <c r="AQ69" s="25">
        <f>Lookups!$B$56*1</f>
        <v>89850.625589999996</v>
      </c>
      <c r="AR69" s="25">
        <f>Lookups!$B$57*Inventory[[#This Row],[LnAcres]]</f>
        <v>-54281.285314520763</v>
      </c>
      <c r="AS69" s="25">
        <f>VLOOKUP(Inventory[[#This Row],[Qlty]],Lookups!$A$62:$E$75,2,FALSE)</f>
        <v>44121.038090000002</v>
      </c>
      <c r="AT69" s="25">
        <f>VLOOKUP(Inventory[[#This Row],[Cnd]],Lookups!$A$76:$E$84,2,FALSE)</f>
        <v>197752.34721000001</v>
      </c>
      <c r="AU69" s="25">
        <f>Inventory[[#This Row],[EffAge]]*Lookups!$B$85</f>
        <v>-6245.2768139999998</v>
      </c>
      <c r="AV69" s="25">
        <f>Inventory[[#This Row],[MainFn]]*Lookups!$B$86</f>
        <v>77472.794367135997</v>
      </c>
      <c r="AW69" s="25">
        <f>Inventory[[#This Row],[UpprFn]]*Lookups!$B$87</f>
        <v>0</v>
      </c>
      <c r="AX69" s="25">
        <f>Inventory[[#This Row],[AddFn]]*Lookups!$B$88</f>
        <v>0</v>
      </c>
      <c r="AY69" s="25">
        <f>Inventory[[#This Row],[Bsmt]]*Lookups!$B$89</f>
        <v>21171.619739816</v>
      </c>
      <c r="AZ69" s="25">
        <f>Inventory[[#This Row],[Fixtures]]*Lookups!$B$90</f>
        <v>30336.176841600001</v>
      </c>
      <c r="BA69" s="25">
        <f>Inventory[[#This Row],[WdDeck]]*Lookups!$B$91</f>
        <v>3995.4618331200004</v>
      </c>
      <c r="BB69" s="25">
        <f>ROUND(Inventory[[#This Row],[25Det]],-2)</f>
        <v>0</v>
      </c>
      <c r="BC69" s="25">
        <f>ROUND(SUM(Inventory[[#This Row],[Mdl Qlty]:[Mdl WdDeck]])+Inventory[[#This Row],[Mdl Res Intercept]],-2)</f>
        <v>368600</v>
      </c>
      <c r="BD69" s="25">
        <f>ROUND(Inventory[[#This Row],[Mdl Land Intercept]]+Inventory[[#This Row],[Mdl LnAcres]],-2)</f>
        <v>35600</v>
      </c>
      <c r="BE69" s="25">
        <f>Inventory[[#This Row],[Unadj Res Value]]+Inventory[[#This Row],[Unadj Det Value]]+Inventory[[#This Row],[Unadj Land Value]]</f>
        <v>404200</v>
      </c>
      <c r="BF69" s="36">
        <f>(Inventory[[#This Row],[Unadj Total Value]]-Inventory[[#This Row],[24Final]])/Inventory[[#This Row],[24Final]]</f>
        <v>6.6772235418316173E-2</v>
      </c>
      <c r="BG69" s="25">
        <f>VLOOKUP(Inventory[[#This Row],[Nbhd]],Lookups!$Q$2:$T$4,4,FALSE)</f>
        <v>0.99970000000000003</v>
      </c>
      <c r="BH69" s="25">
        <f>VLOOKUP(Inventory[[#This Row],[Qlty]],Lookups!$O$7:$R$21,4,FALSE)</f>
        <v>0.98050000000000004</v>
      </c>
      <c r="BI69" s="29">
        <f>VLOOKUP(Inventory[[#This Row],[Cnd]],Lookups!$T$7:$W$16,4,FALSE)</f>
        <v>0.99650000000000005</v>
      </c>
      <c r="BJ69" s="25">
        <f>VLOOKUP(Inventory[[#This Row],[LivArea Range]],Lookups!$T$25:$W$37,4,FALSE)</f>
        <v>0.98919999999999997</v>
      </c>
      <c r="BK69" s="25">
        <f>VLOOKUP(Inventory[[#This Row],[Decade]],Lookups!$O$25:$R$42,4,FALSE)</f>
        <v>0.97319999999999995</v>
      </c>
      <c r="BL69" s="25">
        <f>Inventory[[#This Row],[Nbhd Adj]]*0.95</f>
        <v>0.94971499999999998</v>
      </c>
      <c r="BM69" s="25">
        <f>Inventory[[#This Row],[Nbhd Adj]]*Inventory[[#This Row],[Quality Adj]]*Inventory[[#This Row],[Condition Adj]]*Inventory[[#This Row],[Living Area Adj]]*Inventory[[#This Row],[Decade Adj]]*0.95</f>
        <v>0.89331454732593218</v>
      </c>
      <c r="BN69" s="25">
        <f>ROUND(SUM(Inventory[[#This Row],[Mdl Qlty]:[Mdl WdDeck]])+Inventory[[#This Row],[Mdl Res Intercept]]*Inventory[[#This Row],[Res Adj ]],-2)</f>
        <v>368600</v>
      </c>
      <c r="BO69" s="25">
        <f>ROUND(Inventory[[#This Row],[25Det]]*Inventory[[#This Row],[Det/Nbhd Adj]],-2)</f>
        <v>0</v>
      </c>
      <c r="BP69" s="25">
        <f>Inventory[[#This Row],[Adjusted Res]]+Inventory[[#This Row],[Adj Det ]]</f>
        <v>368600</v>
      </c>
      <c r="BQ69" s="25">
        <f>ROUND((Inventory[[#This Row],[Mdl Land Intercept]]+Inventory[[#This Row],[Mdl LnAcres]])*Inventory[[#This Row],[Det/Nbhd Adj]],-2)</f>
        <v>33800</v>
      </c>
      <c r="BR69" s="25">
        <f>Inventory[[#This Row],[Adjusted Impr Total]]+Inventory[[#This Row],[Adjusted Land Total]]</f>
        <v>402400</v>
      </c>
      <c r="BS69" s="36">
        <f>IFERROR((Inventory[[#This Row],[Adjusted Impr Total]]-Inventory[[#This Row],[24Bldg]])/Inventory[[#This Row],[24Bldg]],0)</f>
        <v>0.13695249845774213</v>
      </c>
      <c r="BT69" s="36">
        <f>(Inventory[[#This Row],[Adjusted Land Total]]-Inventory[[#This Row],[24Lnd]])/Inventory[[#This Row],[24Lnd]]</f>
        <v>-0.38208409506398539</v>
      </c>
      <c r="BU69" s="36">
        <f>(Inventory[[#This Row],[Adjusted Total]]-Inventory[[#This Row],[24Final]])/Inventory[[#This Row],[24Final]]</f>
        <v>6.2021641594088149E-2</v>
      </c>
    </row>
    <row r="70" spans="1:73" x14ac:dyDescent="0.3">
      <c r="A70" s="25">
        <v>2025</v>
      </c>
      <c r="B70" s="26" t="s">
        <v>1556</v>
      </c>
      <c r="C70" s="26">
        <f>LN(Inventory[[#This Row],[Acres]])</f>
        <v>-1.6094379124341003</v>
      </c>
      <c r="D70" s="25">
        <v>0.17</v>
      </c>
      <c r="E70" s="25">
        <v>7405</v>
      </c>
      <c r="F70" s="26" t="s">
        <v>543</v>
      </c>
      <c r="G70" s="26" t="s">
        <v>544</v>
      </c>
      <c r="H70" s="26" t="s">
        <v>349</v>
      </c>
      <c r="I70" s="26" t="s">
        <v>605</v>
      </c>
      <c r="J70" s="26" t="s">
        <v>616</v>
      </c>
      <c r="K70" s="26" t="s">
        <v>547</v>
      </c>
      <c r="L70" s="26" t="s">
        <v>351</v>
      </c>
      <c r="M70" s="26" t="s">
        <v>303</v>
      </c>
      <c r="N70" s="26">
        <v>20</v>
      </c>
      <c r="O70" s="26">
        <f>2024-Inventory[[#This Row],[YrBlt]]</f>
        <v>28</v>
      </c>
      <c r="P70" s="26">
        <f>2024-Inventory[[#This Row],[EffYr]]</f>
        <v>28</v>
      </c>
      <c r="Q70" s="25">
        <v>2004</v>
      </c>
      <c r="R70" s="25">
        <v>2004</v>
      </c>
      <c r="S70" s="25">
        <v>1920</v>
      </c>
      <c r="T70" s="27"/>
      <c r="U70" s="31"/>
      <c r="V70" s="31">
        <f>Inventory[[#This Row],[Bsmt]]-Inventory[[#This Row],[FnBsmt]]</f>
        <v>0</v>
      </c>
      <c r="W70" s="31"/>
      <c r="X70" s="27"/>
      <c r="Y70" s="27">
        <f>Inventory[[#This Row],[MainFn]]+Inventory[[#This Row],[UpprFn]]+Inventory[[#This Row],[FnBsmt]]+Inventory[[#This Row],[AddFn]]</f>
        <v>2001</v>
      </c>
      <c r="Z70" s="27">
        <v>2000</v>
      </c>
      <c r="AA70" s="25">
        <v>16</v>
      </c>
      <c r="AB70" s="32">
        <v>552</v>
      </c>
      <c r="AC70" s="27"/>
      <c r="AD70" s="27"/>
      <c r="AE70" s="27"/>
      <c r="AF70" s="27"/>
      <c r="AG70" s="32">
        <v>125</v>
      </c>
      <c r="AH70" s="27"/>
      <c r="AI70" s="25">
        <v>232401</v>
      </c>
      <c r="AJ70" s="25">
        <v>264937</v>
      </c>
      <c r="AK70" s="25">
        <v>0</v>
      </c>
      <c r="AL70" s="25">
        <v>328400</v>
      </c>
      <c r="AM70" s="25">
        <v>75800</v>
      </c>
      <c r="AN70" s="25">
        <v>252600</v>
      </c>
      <c r="AO70" s="25">
        <v>0</v>
      </c>
      <c r="AP70" s="25">
        <f>Lookups!$B$56*0</f>
        <v>0</v>
      </c>
      <c r="AQ70" s="25">
        <f>Lookups!$B$56*1</f>
        <v>89850.625589999996</v>
      </c>
      <c r="AR70" s="25">
        <f>Lookups!$B$57*Inventory[[#This Row],[LnAcres]]</f>
        <v>-50946.13867709865</v>
      </c>
      <c r="AS70" s="25">
        <f>VLOOKUP(Inventory[[#This Row],[Qlty]],Lookups!$A$62:$E$75,2,FALSE)</f>
        <v>29814.093161000001</v>
      </c>
      <c r="AT70" s="25">
        <f>VLOOKUP(Inventory[[#This Row],[Cnd]],Lookups!$A$76:$E$84,2,FALSE)</f>
        <v>160472.20319</v>
      </c>
      <c r="AU70" s="25">
        <f>Inventory[[#This Row],[EffAge]]*Lookups!$B$85</f>
        <v>-6245.2768139999998</v>
      </c>
      <c r="AV70" s="25">
        <f>Inventory[[#This Row],[MainFn]]*Lookups!$B$86</f>
        <v>60476.211929448</v>
      </c>
      <c r="AW70" s="25">
        <f>Inventory[[#This Row],[UpprFn]]*Lookups!$B$87</f>
        <v>34799.050562996999</v>
      </c>
      <c r="AX70" s="25">
        <f>Inventory[[#This Row],[AddFn]]*Lookups!$B$88</f>
        <v>0</v>
      </c>
      <c r="AY70" s="25">
        <f>Inventory[[#This Row],[Bsmt]]*Lookups!$B$89</f>
        <v>0</v>
      </c>
      <c r="AZ70" s="25">
        <f>Inventory[[#This Row],[Fixtures]]*Lookups!$B$90</f>
        <v>41712.243157199999</v>
      </c>
      <c r="BA70" s="25">
        <f>Inventory[[#This Row],[WdDeck]]*Lookups!$B$91</f>
        <v>7058.6492385120009</v>
      </c>
      <c r="BB70" s="25">
        <f>ROUND(Inventory[[#This Row],[25Det]],-2)</f>
        <v>0</v>
      </c>
      <c r="BC70" s="25">
        <f>ROUND(SUM(Inventory[[#This Row],[Mdl Qlty]:[Mdl WdDeck]])+Inventory[[#This Row],[Mdl Res Intercept]],-2)</f>
        <v>328100</v>
      </c>
      <c r="BD70" s="25">
        <f>ROUND(Inventory[[#This Row],[Mdl Land Intercept]]+Inventory[[#This Row],[Mdl LnAcres]],-2)</f>
        <v>38900</v>
      </c>
      <c r="BE70" s="25">
        <f>Inventory[[#This Row],[Unadj Res Value]]+Inventory[[#This Row],[Unadj Det Value]]+Inventory[[#This Row],[Unadj Land Value]]</f>
        <v>367000</v>
      </c>
      <c r="BF70" s="36">
        <f>(Inventory[[#This Row],[Unadj Total Value]]-Inventory[[#This Row],[24Final]])/Inventory[[#This Row],[24Final]]</f>
        <v>2.1430559421096576E-2</v>
      </c>
      <c r="BG70" s="25">
        <f>VLOOKUP(Inventory[[#This Row],[Nbhd]],Lookups!$Q$2:$T$4,4,FALSE)</f>
        <v>0.99970000000000003</v>
      </c>
      <c r="BH70" s="25">
        <f>VLOOKUP(Inventory[[#This Row],[Qlty]],Lookups!$O$7:$R$21,4,FALSE)</f>
        <v>1.0088999999999999</v>
      </c>
      <c r="BI70" s="29">
        <f>VLOOKUP(Inventory[[#This Row],[Cnd]],Lookups!$T$7:$W$16,4,FALSE)</f>
        <v>0.99729999999999996</v>
      </c>
      <c r="BJ70" s="25">
        <f>VLOOKUP(Inventory[[#This Row],[LivArea Range]],Lookups!$T$25:$W$37,4,FALSE)</f>
        <v>0.98919999999999997</v>
      </c>
      <c r="BK70" s="25">
        <f>VLOOKUP(Inventory[[#This Row],[Decade]],Lookups!$O$25:$R$42,4,FALSE)</f>
        <v>0.97319999999999995</v>
      </c>
      <c r="BL70" s="25">
        <f>Inventory[[#This Row],[Nbhd Adj]]*0.95</f>
        <v>0.94971499999999998</v>
      </c>
      <c r="BM70" s="25">
        <f>Inventory[[#This Row],[Nbhd Adj]]*Inventory[[#This Row],[Quality Adj]]*Inventory[[#This Row],[Condition Adj]]*Inventory[[#This Row],[Living Area Adj]]*Inventory[[#This Row],[Decade Adj]]*0.95</f>
        <v>0.91992717107610511</v>
      </c>
      <c r="BN70" s="25">
        <f>ROUND(SUM(Inventory[[#This Row],[Mdl Qlty]:[Mdl WdDeck]])+Inventory[[#This Row],[Mdl Res Intercept]]*Inventory[[#This Row],[Res Adj ]],-2)</f>
        <v>328100</v>
      </c>
      <c r="BO70" s="25">
        <f>ROUND(Inventory[[#This Row],[25Det]]*Inventory[[#This Row],[Det/Nbhd Adj]],-2)</f>
        <v>0</v>
      </c>
      <c r="BP70" s="25">
        <f>Inventory[[#This Row],[Adjusted Res]]+Inventory[[#This Row],[Adj Det ]]</f>
        <v>328100</v>
      </c>
      <c r="BQ70" s="25">
        <f>ROUND((Inventory[[#This Row],[Mdl Land Intercept]]+Inventory[[#This Row],[Mdl LnAcres]])*Inventory[[#This Row],[Det/Nbhd Adj]],-2)</f>
        <v>36900</v>
      </c>
      <c r="BR70" s="25">
        <f>Inventory[[#This Row],[Adjusted Impr Total]]+Inventory[[#This Row],[Adjusted Land Total]]</f>
        <v>365000</v>
      </c>
      <c r="BS70" s="36">
        <f>IFERROR((Inventory[[#This Row],[Adjusted Impr Total]]-Inventory[[#This Row],[24Bldg]])/Inventory[[#This Row],[24Bldg]],0)</f>
        <v>9.03954802259887E-2</v>
      </c>
      <c r="BT70" s="36">
        <f>(Inventory[[#This Row],[Adjusted Land Total]]-Inventory[[#This Row],[24Lnd]])/Inventory[[#This Row],[24Lnd]]</f>
        <v>-0.36815068493150682</v>
      </c>
      <c r="BU70" s="36">
        <f>(Inventory[[#This Row],[Adjusted Total]]-Inventory[[#This Row],[24Final]])/Inventory[[#This Row],[24Final]]</f>
        <v>1.5864180350681881E-2</v>
      </c>
    </row>
    <row r="71" spans="1:73" x14ac:dyDescent="0.3">
      <c r="A71" s="25">
        <v>2025</v>
      </c>
      <c r="B71" s="26" t="s">
        <v>2888</v>
      </c>
      <c r="C71" s="26">
        <f>LN(Inventory[[#This Row],[Acres]])</f>
        <v>-1.6607312068216509</v>
      </c>
      <c r="D71" s="25">
        <v>0.15</v>
      </c>
      <c r="E71" s="25">
        <v>6566</v>
      </c>
      <c r="F71" s="26" t="s">
        <v>543</v>
      </c>
      <c r="G71" s="26" t="s">
        <v>544</v>
      </c>
      <c r="H71" s="26" t="s">
        <v>349</v>
      </c>
      <c r="I71" s="26" t="s">
        <v>605</v>
      </c>
      <c r="J71" s="26" t="s">
        <v>539</v>
      </c>
      <c r="K71" s="26" t="s">
        <v>547</v>
      </c>
      <c r="L71" s="26" t="s">
        <v>351</v>
      </c>
      <c r="M71" s="26" t="s">
        <v>303</v>
      </c>
      <c r="N71" s="26">
        <v>90</v>
      </c>
      <c r="O71" s="26">
        <f>2024-Inventory[[#This Row],[YrBlt]]</f>
        <v>29</v>
      </c>
      <c r="P71" s="26">
        <f>2024-Inventory[[#This Row],[EffYr]]</f>
        <v>29</v>
      </c>
      <c r="Q71" s="25">
        <v>1930</v>
      </c>
      <c r="R71" s="25">
        <v>1990</v>
      </c>
      <c r="S71" s="25">
        <v>887</v>
      </c>
      <c r="T71" s="32">
        <v>442</v>
      </c>
      <c r="U71" s="25">
        <v>601</v>
      </c>
      <c r="V71" s="32">
        <f>Inventory[[#This Row],[Bsmt]]-Inventory[[#This Row],[FnBsmt]]</f>
        <v>0</v>
      </c>
      <c r="W71" s="32">
        <v>599</v>
      </c>
      <c r="X71" s="27"/>
      <c r="Y71" s="27">
        <f>Inventory[[#This Row],[MainFn]]+Inventory[[#This Row],[UpprFn]]+Inventory[[#This Row],[FnBsmt]]+Inventory[[#This Row],[AddFn]]</f>
        <v>1513</v>
      </c>
      <c r="Z71" s="27">
        <v>2000</v>
      </c>
      <c r="AA71" s="25">
        <v>5</v>
      </c>
      <c r="AB71" s="27"/>
      <c r="AC71" s="32">
        <v>288</v>
      </c>
      <c r="AD71" s="27"/>
      <c r="AE71" s="27"/>
      <c r="AF71" s="27"/>
      <c r="AG71" s="32">
        <v>125</v>
      </c>
      <c r="AH71" s="27"/>
      <c r="AI71" s="25">
        <v>213868</v>
      </c>
      <c r="AJ71" s="25">
        <v>226700</v>
      </c>
      <c r="AK71" s="25">
        <v>0</v>
      </c>
      <c r="AL71" s="25">
        <v>288200</v>
      </c>
      <c r="AM71" s="25">
        <v>74900</v>
      </c>
      <c r="AN71" s="25">
        <v>213300</v>
      </c>
      <c r="AO71" s="25">
        <v>0</v>
      </c>
      <c r="AP71" s="25">
        <f>Lookups!$B$56*0</f>
        <v>0</v>
      </c>
      <c r="AQ71" s="25">
        <f>Lookups!$B$56*1</f>
        <v>89850.625589999996</v>
      </c>
      <c r="AR71" s="25">
        <f>Lookups!$B$57*Inventory[[#This Row],[LnAcres]]</f>
        <v>-52569.808201026557</v>
      </c>
      <c r="AS71" s="25">
        <f>VLOOKUP(Inventory[[#This Row],[Qlty]],Lookups!$A$62:$E$75,2,FALSE)</f>
        <v>44121.038090000002</v>
      </c>
      <c r="AT71" s="25">
        <f>VLOOKUP(Inventory[[#This Row],[Cnd]],Lookups!$A$76:$E$84,2,FALSE)</f>
        <v>197752.34721000001</v>
      </c>
      <c r="AU71" s="25">
        <f>Inventory[[#This Row],[EffAge]]*Lookups!$B$85</f>
        <v>-6468.3224145000004</v>
      </c>
      <c r="AV71" s="25">
        <f>Inventory[[#This Row],[MainFn]]*Lookups!$B$86</f>
        <v>74755.317523901002</v>
      </c>
      <c r="AW71" s="25">
        <f>Inventory[[#This Row],[UpprFn]]*Lookups!$B$87</f>
        <v>0</v>
      </c>
      <c r="AX71" s="25">
        <f>Inventory[[#This Row],[AddFn]]*Lookups!$B$88</f>
        <v>0</v>
      </c>
      <c r="AY71" s="25">
        <f>Inventory[[#This Row],[Bsmt]]*Lookups!$B$89</f>
        <v>0</v>
      </c>
      <c r="AZ71" s="25">
        <f>Inventory[[#This Row],[Fixtures]]*Lookups!$B$90</f>
        <v>37920.221052000001</v>
      </c>
      <c r="BA71" s="25">
        <f>Inventory[[#This Row],[WdDeck]]*Lookups!$B$91</f>
        <v>0</v>
      </c>
      <c r="BB71" s="25">
        <f>ROUND(Inventory[[#This Row],[25Det]],-2)</f>
        <v>0</v>
      </c>
      <c r="BC71" s="25">
        <f>ROUND(SUM(Inventory[[#This Row],[Mdl Qlty]:[Mdl WdDeck]])+Inventory[[#This Row],[Mdl Res Intercept]],-2)</f>
        <v>348100</v>
      </c>
      <c r="BD71" s="25">
        <f>ROUND(Inventory[[#This Row],[Mdl Land Intercept]]+Inventory[[#This Row],[Mdl LnAcres]],-2)</f>
        <v>37300</v>
      </c>
      <c r="BE71" s="25">
        <f>Inventory[[#This Row],[Unadj Res Value]]+Inventory[[#This Row],[Unadj Det Value]]+Inventory[[#This Row],[Unadj Land Value]]</f>
        <v>385400</v>
      </c>
      <c r="BF71" s="36">
        <f>(Inventory[[#This Row],[Unadj Total Value]]-Inventory[[#This Row],[24Final]])/Inventory[[#This Row],[24Final]]</f>
        <v>0.33772995487677887</v>
      </c>
      <c r="BG71" s="25">
        <f>VLOOKUP(Inventory[[#This Row],[Nbhd]],Lookups!$Q$2:$T$4,4,FALSE)</f>
        <v>0.99970000000000003</v>
      </c>
      <c r="BH71" s="25">
        <f>VLOOKUP(Inventory[[#This Row],[Qlty]],Lookups!$O$7:$R$21,4,FALSE)</f>
        <v>0.98050000000000004</v>
      </c>
      <c r="BI71" s="29">
        <f>VLOOKUP(Inventory[[#This Row],[Cnd]],Lookups!$T$7:$W$16,4,FALSE)</f>
        <v>0.99650000000000005</v>
      </c>
      <c r="BJ71" s="25">
        <f>VLOOKUP(Inventory[[#This Row],[LivArea Range]],Lookups!$T$25:$W$37,4,FALSE)</f>
        <v>1.0093000000000001</v>
      </c>
      <c r="BK71" s="25">
        <f>VLOOKUP(Inventory[[#This Row],[Decade]],Lookups!$O$25:$R$42,4,FALSE)</f>
        <v>0.97319999999999995</v>
      </c>
      <c r="BL71" s="25">
        <f>Inventory[[#This Row],[Nbhd Adj]]*0.95</f>
        <v>0.94971499999999998</v>
      </c>
      <c r="BM71" s="25">
        <f>Inventory[[#This Row],[Nbhd Adj]]*Inventory[[#This Row],[Quality Adj]]*Inventory[[#This Row],[Condition Adj]]*Inventory[[#This Row],[Living Area Adj]]*Inventory[[#This Row],[Decade Adj]]*0.95</f>
        <v>0.91146620765877828</v>
      </c>
      <c r="BN71" s="25">
        <f>ROUND(SUM(Inventory[[#This Row],[Mdl Qlty]:[Mdl WdDeck]])+Inventory[[#This Row],[Mdl Res Intercept]]*Inventory[[#This Row],[Res Adj ]],-2)</f>
        <v>348100</v>
      </c>
      <c r="BO71" s="25">
        <f>ROUND(Inventory[[#This Row],[25Det]]*Inventory[[#This Row],[Det/Nbhd Adj]],-2)</f>
        <v>0</v>
      </c>
      <c r="BP71" s="25">
        <f>Inventory[[#This Row],[Adjusted Res]]+Inventory[[#This Row],[Adj Det ]]</f>
        <v>348100</v>
      </c>
      <c r="BQ71" s="25">
        <f>ROUND((Inventory[[#This Row],[Mdl Land Intercept]]+Inventory[[#This Row],[Mdl LnAcres]])*Inventory[[#This Row],[Det/Nbhd Adj]],-2)</f>
        <v>35400</v>
      </c>
      <c r="BR71" s="25">
        <f>Inventory[[#This Row],[Adjusted Impr Total]]+Inventory[[#This Row],[Adjusted Land Total]]</f>
        <v>383500</v>
      </c>
      <c r="BS71" s="36">
        <f>IFERROR((Inventory[[#This Row],[Adjusted Impr Total]]-Inventory[[#This Row],[24Bldg]])/Inventory[[#This Row],[24Bldg]],0)</f>
        <v>0.41159772911597731</v>
      </c>
      <c r="BT71" s="36">
        <f>(Inventory[[#This Row],[Adjusted Land Total]]-Inventory[[#This Row],[24Lnd]])/Inventory[[#This Row],[24Lnd]]</f>
        <v>-0.14698795180722893</v>
      </c>
      <c r="BU71" s="36">
        <f>(Inventory[[#This Row],[Adjusted Total]]-Inventory[[#This Row],[24Final]])/Inventory[[#This Row],[24Final]]</f>
        <v>0.33113502256161054</v>
      </c>
    </row>
    <row r="72" spans="1:73" x14ac:dyDescent="0.3">
      <c r="A72" s="25">
        <v>2025</v>
      </c>
      <c r="B72" s="26" t="s">
        <v>1460</v>
      </c>
      <c r="C72" s="26">
        <f>LN(Inventory[[#This Row],[Acres]])</f>
        <v>-1.6607312068216509</v>
      </c>
      <c r="D72" s="25">
        <v>0.17</v>
      </c>
      <c r="E72" s="25">
        <v>7405</v>
      </c>
      <c r="F72" s="26" t="s">
        <v>543</v>
      </c>
      <c r="G72" s="26" t="s">
        <v>544</v>
      </c>
      <c r="H72" s="26" t="s">
        <v>349</v>
      </c>
      <c r="I72" s="26" t="s">
        <v>605</v>
      </c>
      <c r="J72" s="26" t="s">
        <v>616</v>
      </c>
      <c r="K72" s="26" t="s">
        <v>547</v>
      </c>
      <c r="L72" s="26" t="s">
        <v>351</v>
      </c>
      <c r="M72" s="26" t="s">
        <v>323</v>
      </c>
      <c r="N72" s="26">
        <v>60</v>
      </c>
      <c r="O72" s="26">
        <f>2024-Inventory[[#This Row],[YrBlt]]</f>
        <v>29</v>
      </c>
      <c r="P72" s="26">
        <f>2024-Inventory[[#This Row],[EffYr]]</f>
        <v>29</v>
      </c>
      <c r="Q72" s="25">
        <v>1956</v>
      </c>
      <c r="R72" s="25">
        <v>1974</v>
      </c>
      <c r="S72" s="25">
        <v>1992</v>
      </c>
      <c r="T72" s="27"/>
      <c r="U72" s="31"/>
      <c r="V72" s="31">
        <f>Inventory[[#This Row],[Bsmt]]-Inventory[[#This Row],[FnBsmt]]</f>
        <v>0</v>
      </c>
      <c r="W72" s="31"/>
      <c r="X72" s="27"/>
      <c r="Y72" s="27">
        <f>Inventory[[#This Row],[MainFn]]+Inventory[[#This Row],[UpprFn]]+Inventory[[#This Row],[FnBsmt]]+Inventory[[#This Row],[AddFn]]</f>
        <v>1513</v>
      </c>
      <c r="Z72" s="27">
        <v>2000</v>
      </c>
      <c r="AA72" s="25">
        <v>10</v>
      </c>
      <c r="AB72" s="32">
        <v>624</v>
      </c>
      <c r="AC72" s="27"/>
      <c r="AD72" s="27"/>
      <c r="AE72" s="27"/>
      <c r="AF72" s="27"/>
      <c r="AG72" s="32">
        <v>125</v>
      </c>
      <c r="AH72" s="27"/>
      <c r="AI72" s="25">
        <v>247671</v>
      </c>
      <c r="AJ72" s="25">
        <v>217950</v>
      </c>
      <c r="AK72" s="25">
        <v>0</v>
      </c>
      <c r="AL72" s="25">
        <v>280000</v>
      </c>
      <c r="AM72" s="25">
        <v>75800</v>
      </c>
      <c r="AN72" s="25">
        <v>204200</v>
      </c>
      <c r="AO72" s="25">
        <v>0</v>
      </c>
      <c r="AP72" s="25">
        <f>Lookups!$B$56*0</f>
        <v>0</v>
      </c>
      <c r="AQ72" s="25">
        <f>Lookups!$B$56*1</f>
        <v>89850.625589999996</v>
      </c>
      <c r="AR72" s="25">
        <f>Lookups!$B$57*Inventory[[#This Row],[LnAcres]]</f>
        <v>-52569.808201026557</v>
      </c>
      <c r="AS72" s="25">
        <f>VLOOKUP(Inventory[[#This Row],[Qlty]],Lookups!$A$62:$E$75,2,FALSE)</f>
        <v>44121.038090000002</v>
      </c>
      <c r="AT72" s="25">
        <f>VLOOKUP(Inventory[[#This Row],[Cnd]],Lookups!$A$76:$E$84,2,FALSE)</f>
        <v>197752.34721000001</v>
      </c>
      <c r="AU72" s="25">
        <f>Inventory[[#This Row],[EffAge]]*Lookups!$B$85</f>
        <v>-6468.3224145000004</v>
      </c>
      <c r="AV72" s="25">
        <f>Inventory[[#This Row],[MainFn]]*Lookups!$B$86</f>
        <v>74755.317523901002</v>
      </c>
      <c r="AW72" s="25">
        <f>Inventory[[#This Row],[UpprFn]]*Lookups!$B$87</f>
        <v>0</v>
      </c>
      <c r="AX72" s="25">
        <f>Inventory[[#This Row],[AddFn]]*Lookups!$B$88</f>
        <v>0</v>
      </c>
      <c r="AY72" s="25">
        <f>Inventory[[#This Row],[Bsmt]]*Lookups!$B$89</f>
        <v>0</v>
      </c>
      <c r="AZ72" s="25">
        <f>Inventory[[#This Row],[Fixtures]]*Lookups!$B$90</f>
        <v>37920.221052000001</v>
      </c>
      <c r="BA72" s="25">
        <f>Inventory[[#This Row],[WdDeck]]*Lookups!$B$91</f>
        <v>0</v>
      </c>
      <c r="BB72" s="25">
        <f>ROUND(Inventory[[#This Row],[25Det]],-2)</f>
        <v>0</v>
      </c>
      <c r="BC72" s="25">
        <f>ROUND(SUM(Inventory[[#This Row],[Mdl Qlty]:[Mdl WdDeck]])+Inventory[[#This Row],[Mdl Res Intercept]],-2)</f>
        <v>348100</v>
      </c>
      <c r="BD72" s="25">
        <f>ROUND(Inventory[[#This Row],[Mdl Land Intercept]]+Inventory[[#This Row],[Mdl LnAcres]],-2)</f>
        <v>37300</v>
      </c>
      <c r="BE72" s="25">
        <f>Inventory[[#This Row],[Unadj Res Value]]+Inventory[[#This Row],[Unadj Det Value]]+Inventory[[#This Row],[Unadj Land Value]]</f>
        <v>385400</v>
      </c>
      <c r="BF72" s="36">
        <f>(Inventory[[#This Row],[Unadj Total Value]]-Inventory[[#This Row],[24Final]])/Inventory[[#This Row],[24Final]]</f>
        <v>0.33680194242108913</v>
      </c>
      <c r="BG72" s="25">
        <f>VLOOKUP(Inventory[[#This Row],[Nbhd]],Lookups!$Q$2:$T$4,4,FALSE)</f>
        <v>0.99970000000000003</v>
      </c>
      <c r="BH72" s="25">
        <f>VLOOKUP(Inventory[[#This Row],[Qlty]],Lookups!$O$7:$R$21,4,FALSE)</f>
        <v>0.98050000000000004</v>
      </c>
      <c r="BI72" s="29">
        <f>VLOOKUP(Inventory[[#This Row],[Cnd]],Lookups!$T$7:$W$16,4,FALSE)</f>
        <v>0.99650000000000005</v>
      </c>
      <c r="BJ72" s="25">
        <f>VLOOKUP(Inventory[[#This Row],[LivArea Range]],Lookups!$T$25:$W$37,4,FALSE)</f>
        <v>1.0093000000000001</v>
      </c>
      <c r="BK72" s="25">
        <f>VLOOKUP(Inventory[[#This Row],[Decade]],Lookups!$O$25:$R$42,4,FALSE)</f>
        <v>0.97319999999999995</v>
      </c>
      <c r="BL72" s="25">
        <f>Inventory[[#This Row],[Nbhd Adj]]*0.95</f>
        <v>0.94971499999999998</v>
      </c>
      <c r="BM72" s="25">
        <f>Inventory[[#This Row],[Nbhd Adj]]*Inventory[[#This Row],[Quality Adj]]*Inventory[[#This Row],[Condition Adj]]*Inventory[[#This Row],[Living Area Adj]]*Inventory[[#This Row],[Decade Adj]]*0.95</f>
        <v>0.91146620765877828</v>
      </c>
      <c r="BN72" s="25">
        <f>ROUND(SUM(Inventory[[#This Row],[Mdl Qlty]:[Mdl WdDeck]])+Inventory[[#This Row],[Mdl Res Intercept]]*Inventory[[#This Row],[Res Adj ]],-2)</f>
        <v>348100</v>
      </c>
      <c r="BO72" s="25">
        <f>ROUND(Inventory[[#This Row],[25Det]]*Inventory[[#This Row],[Det/Nbhd Adj]],-2)</f>
        <v>0</v>
      </c>
      <c r="BP72" s="25">
        <f>Inventory[[#This Row],[Adjusted Res]]+Inventory[[#This Row],[Adj Det ]]</f>
        <v>348100</v>
      </c>
      <c r="BQ72" s="25">
        <f>ROUND((Inventory[[#This Row],[Mdl Land Intercept]]+Inventory[[#This Row],[Mdl LnAcres]])*Inventory[[#This Row],[Det/Nbhd Adj]],-2)</f>
        <v>35400</v>
      </c>
      <c r="BR72" s="25">
        <f>Inventory[[#This Row],[Adjusted Impr Total]]+Inventory[[#This Row],[Adjusted Land Total]]</f>
        <v>383500</v>
      </c>
      <c r="BS72" s="36">
        <f>IFERROR((Inventory[[#This Row],[Adjusted Impr Total]]-Inventory[[#This Row],[24Bldg]])/Inventory[[#This Row],[24Bldg]],0)</f>
        <v>0.41045380875202592</v>
      </c>
      <c r="BT72" s="36">
        <f>(Inventory[[#This Row],[Adjusted Land Total]]-Inventory[[#This Row],[24Lnd]])/Inventory[[#This Row],[24Lnd]]</f>
        <v>-0.14698795180722893</v>
      </c>
      <c r="BU72" s="36">
        <f>(Inventory[[#This Row],[Adjusted Total]]-Inventory[[#This Row],[24Final]])/Inventory[[#This Row],[24Final]]</f>
        <v>0.33021158515435312</v>
      </c>
    </row>
    <row r="73" spans="1:73" x14ac:dyDescent="0.3">
      <c r="A73" s="25">
        <v>2025</v>
      </c>
      <c r="B73" s="26" t="s">
        <v>1560</v>
      </c>
      <c r="C73" s="26">
        <f>LN(Inventory[[#This Row],[Acres]])</f>
        <v>-1.8325814637483102</v>
      </c>
      <c r="D73" s="25">
        <v>0.25</v>
      </c>
      <c r="E73" s="25">
        <v>10890</v>
      </c>
      <c r="F73" s="26" t="s">
        <v>543</v>
      </c>
      <c r="G73" s="26" t="s">
        <v>544</v>
      </c>
      <c r="H73" s="26" t="s">
        <v>349</v>
      </c>
      <c r="I73" s="26" t="s">
        <v>605</v>
      </c>
      <c r="J73" s="26" t="s">
        <v>616</v>
      </c>
      <c r="K73" s="26" t="s">
        <v>547</v>
      </c>
      <c r="L73" s="26" t="s">
        <v>351</v>
      </c>
      <c r="M73" s="26" t="s">
        <v>303</v>
      </c>
      <c r="N73" s="26">
        <v>10</v>
      </c>
      <c r="O73" s="26">
        <f>2024-Inventory[[#This Row],[YrBlt]]</f>
        <v>29</v>
      </c>
      <c r="P73" s="26">
        <f>2024-Inventory[[#This Row],[EffYr]]</f>
        <v>29</v>
      </c>
      <c r="Q73" s="25">
        <v>2005</v>
      </c>
      <c r="R73" s="25">
        <v>2005</v>
      </c>
      <c r="S73" s="25">
        <v>2126</v>
      </c>
      <c r="T73" s="27"/>
      <c r="U73" s="31"/>
      <c r="V73" s="31">
        <f>Inventory[[#This Row],[Bsmt]]-Inventory[[#This Row],[FnBsmt]]</f>
        <v>0</v>
      </c>
      <c r="W73" s="31"/>
      <c r="X73" s="27"/>
      <c r="Y73" s="27">
        <f>Inventory[[#This Row],[MainFn]]+Inventory[[#This Row],[UpprFn]]+Inventory[[#This Row],[FnBsmt]]+Inventory[[#This Row],[AddFn]]</f>
        <v>1513</v>
      </c>
      <c r="Z73" s="27">
        <v>2500</v>
      </c>
      <c r="AA73" s="25">
        <v>16</v>
      </c>
      <c r="AB73" s="25">
        <v>931</v>
      </c>
      <c r="AC73" s="27"/>
      <c r="AD73" s="27"/>
      <c r="AE73" s="27"/>
      <c r="AF73" s="27"/>
      <c r="AG73" s="32">
        <v>125</v>
      </c>
      <c r="AH73" s="27"/>
      <c r="AI73" s="25">
        <v>260031</v>
      </c>
      <c r="AJ73" s="25">
        <v>296435</v>
      </c>
      <c r="AK73" s="25">
        <v>0</v>
      </c>
      <c r="AL73" s="25">
        <v>358250</v>
      </c>
      <c r="AM73" s="25">
        <v>76150</v>
      </c>
      <c r="AN73" s="25">
        <v>282100</v>
      </c>
      <c r="AO73" s="25">
        <v>0</v>
      </c>
      <c r="AP73" s="25">
        <f>Lookups!$B$56*0</f>
        <v>0</v>
      </c>
      <c r="AQ73" s="25">
        <f>Lookups!$B$56*1</f>
        <v>89850.625589999996</v>
      </c>
      <c r="AR73" s="25">
        <f>Lookups!$B$57*Inventory[[#This Row],[LnAcres]]</f>
        <v>-58009.662049032086</v>
      </c>
      <c r="AS73" s="25">
        <f>VLOOKUP(Inventory[[#This Row],[Qlty]],Lookups!$A$62:$E$75,2,FALSE)</f>
        <v>44121.038090000002</v>
      </c>
      <c r="AT73" s="25">
        <f>VLOOKUP(Inventory[[#This Row],[Cnd]],Lookups!$A$76:$E$84,2,FALSE)</f>
        <v>197752.34721000001</v>
      </c>
      <c r="AU73" s="25">
        <f>Inventory[[#This Row],[EffAge]]*Lookups!$B$85</f>
        <v>-6468.3224145000004</v>
      </c>
      <c r="AV73" s="25">
        <f>Inventory[[#This Row],[MainFn]]*Lookups!$B$86</f>
        <v>74755.317523901002</v>
      </c>
      <c r="AW73" s="25">
        <f>Inventory[[#This Row],[UpprFn]]*Lookups!$B$87</f>
        <v>0</v>
      </c>
      <c r="AX73" s="25">
        <f>Inventory[[#This Row],[AddFn]]*Lookups!$B$88</f>
        <v>0</v>
      </c>
      <c r="AY73" s="25">
        <f>Inventory[[#This Row],[Bsmt]]*Lookups!$B$89</f>
        <v>0</v>
      </c>
      <c r="AZ73" s="25">
        <f>Inventory[[#This Row],[Fixtures]]*Lookups!$B$90</f>
        <v>37920.221052000001</v>
      </c>
      <c r="BA73" s="25">
        <f>Inventory[[#This Row],[WdDeck]]*Lookups!$B$91</f>
        <v>0</v>
      </c>
      <c r="BB73" s="25">
        <f>ROUND(Inventory[[#This Row],[25Det]],-2)</f>
        <v>0</v>
      </c>
      <c r="BC73" s="25">
        <f>ROUND(SUM(Inventory[[#This Row],[Mdl Qlty]:[Mdl WdDeck]])+Inventory[[#This Row],[Mdl Res Intercept]],-2)</f>
        <v>348100</v>
      </c>
      <c r="BD73" s="25">
        <f>ROUND(Inventory[[#This Row],[Mdl Land Intercept]]+Inventory[[#This Row],[Mdl LnAcres]],-2)</f>
        <v>31800</v>
      </c>
      <c r="BE73" s="25">
        <f>Inventory[[#This Row],[Unadj Res Value]]+Inventory[[#This Row],[Unadj Det Value]]+Inventory[[#This Row],[Unadj Land Value]]</f>
        <v>379900</v>
      </c>
      <c r="BF73" s="36">
        <f>(Inventory[[#This Row],[Unadj Total Value]]-Inventory[[#This Row],[24Final]])/Inventory[[#This Row],[24Final]]</f>
        <v>0.3209318497913769</v>
      </c>
      <c r="BG73" s="25">
        <f>VLOOKUP(Inventory[[#This Row],[Nbhd]],Lookups!$Q$2:$T$4,4,FALSE)</f>
        <v>0.99970000000000003</v>
      </c>
      <c r="BH73" s="25">
        <f>VLOOKUP(Inventory[[#This Row],[Qlty]],Lookups!$O$7:$R$21,4,FALSE)</f>
        <v>0.98050000000000004</v>
      </c>
      <c r="BI73" s="29">
        <f>VLOOKUP(Inventory[[#This Row],[Cnd]],Lookups!$T$7:$W$16,4,FALSE)</f>
        <v>0.99650000000000005</v>
      </c>
      <c r="BJ73" s="25">
        <f>VLOOKUP(Inventory[[#This Row],[LivArea Range]],Lookups!$T$25:$W$37,4,FALSE)</f>
        <v>1.0093000000000001</v>
      </c>
      <c r="BK73" s="25">
        <f>VLOOKUP(Inventory[[#This Row],[Decade]],Lookups!$O$25:$R$42,4,FALSE)</f>
        <v>0.97319999999999995</v>
      </c>
      <c r="BL73" s="25">
        <f>Inventory[[#This Row],[Nbhd Adj]]*0.95</f>
        <v>0.94971499999999998</v>
      </c>
      <c r="BM73" s="25">
        <f>Inventory[[#This Row],[Nbhd Adj]]*Inventory[[#This Row],[Quality Adj]]*Inventory[[#This Row],[Condition Adj]]*Inventory[[#This Row],[Living Area Adj]]*Inventory[[#This Row],[Decade Adj]]*0.95</f>
        <v>0.91146620765877828</v>
      </c>
      <c r="BN73" s="25">
        <f>ROUND(SUM(Inventory[[#This Row],[Mdl Qlty]:[Mdl WdDeck]])+Inventory[[#This Row],[Mdl Res Intercept]]*Inventory[[#This Row],[Res Adj ]],-2)</f>
        <v>348100</v>
      </c>
      <c r="BO73" s="25">
        <f>ROUND(Inventory[[#This Row],[25Det]]*Inventory[[#This Row],[Det/Nbhd Adj]],-2)</f>
        <v>0</v>
      </c>
      <c r="BP73" s="25">
        <f>Inventory[[#This Row],[Adjusted Res]]+Inventory[[#This Row],[Adj Det ]]</f>
        <v>348100</v>
      </c>
      <c r="BQ73" s="25">
        <f>ROUND((Inventory[[#This Row],[Mdl Land Intercept]]+Inventory[[#This Row],[Mdl LnAcres]])*Inventory[[#This Row],[Det/Nbhd Adj]],-2)</f>
        <v>30200</v>
      </c>
      <c r="BR73" s="25">
        <f>Inventory[[#This Row],[Adjusted Impr Total]]+Inventory[[#This Row],[Adjusted Land Total]]</f>
        <v>378300</v>
      </c>
      <c r="BS73" s="36">
        <f>IFERROR((Inventory[[#This Row],[Adjusted Impr Total]]-Inventory[[#This Row],[24Bldg]])/Inventory[[#This Row],[24Bldg]],0)</f>
        <v>0.41159772911597731</v>
      </c>
      <c r="BT73" s="36">
        <f>(Inventory[[#This Row],[Adjusted Land Total]]-Inventory[[#This Row],[24Lnd]])/Inventory[[#This Row],[24Lnd]]</f>
        <v>-0.26341463414634148</v>
      </c>
      <c r="BU73" s="36">
        <f>(Inventory[[#This Row],[Adjusted Total]]-Inventory[[#This Row],[24Final]])/Inventory[[#This Row],[24Final]]</f>
        <v>0.31536856745479835</v>
      </c>
    </row>
    <row r="74" spans="1:73" x14ac:dyDescent="0.3">
      <c r="A74" s="25">
        <v>2025</v>
      </c>
      <c r="B74" s="26" t="s">
        <v>1518</v>
      </c>
      <c r="C74" s="26">
        <f>LN(Inventory[[#This Row],[Acres]])</f>
        <v>-1.6607312068216509</v>
      </c>
      <c r="D74" s="25">
        <v>0.16</v>
      </c>
      <c r="E74" s="25">
        <v>6970</v>
      </c>
      <c r="F74" s="26" t="s">
        <v>543</v>
      </c>
      <c r="G74" s="26" t="s">
        <v>544</v>
      </c>
      <c r="H74" s="26" t="s">
        <v>349</v>
      </c>
      <c r="I74" s="26" t="s">
        <v>605</v>
      </c>
      <c r="J74" s="26" t="s">
        <v>616</v>
      </c>
      <c r="K74" s="26" t="s">
        <v>547</v>
      </c>
      <c r="L74" s="26" t="s">
        <v>351</v>
      </c>
      <c r="M74" s="26" t="s">
        <v>303</v>
      </c>
      <c r="N74" s="26">
        <v>20</v>
      </c>
      <c r="O74" s="26">
        <f>2024-Inventory[[#This Row],[YrBlt]]</f>
        <v>29</v>
      </c>
      <c r="P74" s="26">
        <f>2024-Inventory[[#This Row],[EffYr]]</f>
        <v>29</v>
      </c>
      <c r="Q74" s="25">
        <v>2004</v>
      </c>
      <c r="R74" s="25">
        <v>2004</v>
      </c>
      <c r="S74" s="25">
        <v>2178</v>
      </c>
      <c r="T74" s="27"/>
      <c r="U74" s="31"/>
      <c r="V74" s="31">
        <f>Inventory[[#This Row],[Bsmt]]-Inventory[[#This Row],[FnBsmt]]</f>
        <v>0</v>
      </c>
      <c r="W74" s="31"/>
      <c r="X74" s="27"/>
      <c r="Y74" s="27">
        <f>Inventory[[#This Row],[MainFn]]+Inventory[[#This Row],[UpprFn]]+Inventory[[#This Row],[FnBsmt]]+Inventory[[#This Row],[AddFn]]</f>
        <v>1580</v>
      </c>
      <c r="Z74" s="27">
        <v>2500</v>
      </c>
      <c r="AA74" s="25">
        <v>16</v>
      </c>
      <c r="AB74" s="32">
        <v>576</v>
      </c>
      <c r="AC74" s="27"/>
      <c r="AD74" s="27"/>
      <c r="AE74" s="27"/>
      <c r="AF74" s="27"/>
      <c r="AG74" s="32">
        <v>125</v>
      </c>
      <c r="AH74" s="27"/>
      <c r="AI74" s="25">
        <v>248898</v>
      </c>
      <c r="AJ74" s="25">
        <v>283744</v>
      </c>
      <c r="AK74" s="25">
        <v>0</v>
      </c>
      <c r="AL74" s="25">
        <v>329200</v>
      </c>
      <c r="AM74" s="25">
        <v>58200</v>
      </c>
      <c r="AN74" s="25">
        <v>271000</v>
      </c>
      <c r="AO74" s="25">
        <v>0</v>
      </c>
      <c r="AP74" s="25">
        <f>Lookups!$B$56*0</f>
        <v>0</v>
      </c>
      <c r="AQ74" s="25">
        <f>Lookups!$B$56*1</f>
        <v>89850.625589999996</v>
      </c>
      <c r="AR74" s="25">
        <f>Lookups!$B$57*Inventory[[#This Row],[LnAcres]]</f>
        <v>-52569.808201026557</v>
      </c>
      <c r="AS74" s="25">
        <f>VLOOKUP(Inventory[[#This Row],[Qlty]],Lookups!$A$62:$E$75,2,FALSE)</f>
        <v>44121.038090000002</v>
      </c>
      <c r="AT74" s="25">
        <f>VLOOKUP(Inventory[[#This Row],[Cnd]],Lookups!$A$76:$E$84,2,FALSE)</f>
        <v>197752.34721000001</v>
      </c>
      <c r="AU74" s="25">
        <f>Inventory[[#This Row],[EffAge]]*Lookups!$B$85</f>
        <v>-6468.3224145000004</v>
      </c>
      <c r="AV74" s="25">
        <f>Inventory[[#This Row],[MainFn]]*Lookups!$B$86</f>
        <v>78065.698405660005</v>
      </c>
      <c r="AW74" s="25">
        <f>Inventory[[#This Row],[UpprFn]]*Lookups!$B$87</f>
        <v>0</v>
      </c>
      <c r="AX74" s="25">
        <f>Inventory[[#This Row],[AddFn]]*Lookups!$B$88</f>
        <v>0</v>
      </c>
      <c r="AY74" s="25">
        <f>Inventory[[#This Row],[Bsmt]]*Lookups!$B$89</f>
        <v>0</v>
      </c>
      <c r="AZ74" s="25">
        <f>Inventory[[#This Row],[Fixtures]]*Lookups!$B$90</f>
        <v>37920.221052000001</v>
      </c>
      <c r="BA74" s="25">
        <f>Inventory[[#This Row],[WdDeck]]*Lookups!$B$91</f>
        <v>0</v>
      </c>
      <c r="BB74" s="25">
        <f>ROUND(Inventory[[#This Row],[25Det]],-2)</f>
        <v>0</v>
      </c>
      <c r="BC74" s="25">
        <f>ROUND(SUM(Inventory[[#This Row],[Mdl Qlty]:[Mdl WdDeck]])+Inventory[[#This Row],[Mdl Res Intercept]],-2)</f>
        <v>351400</v>
      </c>
      <c r="BD74" s="25">
        <f>ROUND(Inventory[[#This Row],[Mdl Land Intercept]]+Inventory[[#This Row],[Mdl LnAcres]],-2)</f>
        <v>37300</v>
      </c>
      <c r="BE74" s="25">
        <f>Inventory[[#This Row],[Unadj Res Value]]+Inventory[[#This Row],[Unadj Det Value]]+Inventory[[#This Row],[Unadj Land Value]]</f>
        <v>388700</v>
      </c>
      <c r="BF74" s="36">
        <f>(Inventory[[#This Row],[Unadj Total Value]]-Inventory[[#This Row],[24Final]])/Inventory[[#This Row],[24Final]]</f>
        <v>0.32076112810057766</v>
      </c>
      <c r="BG74" s="25">
        <f>VLOOKUP(Inventory[[#This Row],[Nbhd]],Lookups!$Q$2:$T$4,4,FALSE)</f>
        <v>0.99970000000000003</v>
      </c>
      <c r="BH74" s="25">
        <f>VLOOKUP(Inventory[[#This Row],[Qlty]],Lookups!$O$7:$R$21,4,FALSE)</f>
        <v>0.98050000000000004</v>
      </c>
      <c r="BI74" s="29">
        <f>VLOOKUP(Inventory[[#This Row],[Cnd]],Lookups!$T$7:$W$16,4,FALSE)</f>
        <v>0.99650000000000005</v>
      </c>
      <c r="BJ74" s="25">
        <f>VLOOKUP(Inventory[[#This Row],[LivArea Range]],Lookups!$T$25:$W$37,4,FALSE)</f>
        <v>1.0093000000000001</v>
      </c>
      <c r="BK74" s="25">
        <f>VLOOKUP(Inventory[[#This Row],[Decade]],Lookups!$O$25:$R$42,4,FALSE)</f>
        <v>0.97319999999999995</v>
      </c>
      <c r="BL74" s="25">
        <f>Inventory[[#This Row],[Nbhd Adj]]*0.95</f>
        <v>0.94971499999999998</v>
      </c>
      <c r="BM74" s="25">
        <f>Inventory[[#This Row],[Nbhd Adj]]*Inventory[[#This Row],[Quality Adj]]*Inventory[[#This Row],[Condition Adj]]*Inventory[[#This Row],[Living Area Adj]]*Inventory[[#This Row],[Decade Adj]]*0.95</f>
        <v>0.91146620765877828</v>
      </c>
      <c r="BN74" s="25">
        <f>ROUND(SUM(Inventory[[#This Row],[Mdl Qlty]:[Mdl WdDeck]])+Inventory[[#This Row],[Mdl Res Intercept]]*Inventory[[#This Row],[Res Adj ]],-2)</f>
        <v>351400</v>
      </c>
      <c r="BO74" s="25">
        <f>ROUND(Inventory[[#This Row],[25Det]]*Inventory[[#This Row],[Det/Nbhd Adj]],-2)</f>
        <v>0</v>
      </c>
      <c r="BP74" s="25">
        <f>Inventory[[#This Row],[Adjusted Res]]+Inventory[[#This Row],[Adj Det ]]</f>
        <v>351400</v>
      </c>
      <c r="BQ74" s="25">
        <f>ROUND((Inventory[[#This Row],[Mdl Land Intercept]]+Inventory[[#This Row],[Mdl LnAcres]])*Inventory[[#This Row],[Det/Nbhd Adj]],-2)</f>
        <v>35400</v>
      </c>
      <c r="BR74" s="25">
        <f>Inventory[[#This Row],[Adjusted Impr Total]]+Inventory[[#This Row],[Adjusted Land Total]]</f>
        <v>386800</v>
      </c>
      <c r="BS74" s="36">
        <f>IFERROR((Inventory[[#This Row],[Adjusted Impr Total]]-Inventory[[#This Row],[24Bldg]])/Inventory[[#This Row],[24Bldg]],0)</f>
        <v>0.38948200869909055</v>
      </c>
      <c r="BT74" s="36">
        <f>(Inventory[[#This Row],[Adjusted Land Total]]-Inventory[[#This Row],[24Lnd]])/Inventory[[#This Row],[24Lnd]]</f>
        <v>-0.14492753623188406</v>
      </c>
      <c r="BU74" s="36">
        <f>(Inventory[[#This Row],[Adjusted Total]]-Inventory[[#This Row],[24Final]])/Inventory[[#This Row],[24Final]]</f>
        <v>0.31430513081889228</v>
      </c>
    </row>
    <row r="75" spans="1:73" x14ac:dyDescent="0.3">
      <c r="A75" s="25">
        <v>2025</v>
      </c>
      <c r="B75" s="26" t="s">
        <v>1559</v>
      </c>
      <c r="C75" s="26">
        <f>LN(Inventory[[#This Row],[Acres]])</f>
        <v>-1.6607312068216509</v>
      </c>
      <c r="D75" s="25">
        <v>0.16</v>
      </c>
      <c r="E75" s="25">
        <v>6970</v>
      </c>
      <c r="F75" s="26" t="s">
        <v>543</v>
      </c>
      <c r="G75" s="26" t="s">
        <v>544</v>
      </c>
      <c r="H75" s="26" t="s">
        <v>349</v>
      </c>
      <c r="I75" s="26" t="s">
        <v>605</v>
      </c>
      <c r="J75" s="26" t="s">
        <v>616</v>
      </c>
      <c r="K75" s="26" t="s">
        <v>547</v>
      </c>
      <c r="L75" s="26" t="s">
        <v>351</v>
      </c>
      <c r="M75" s="26" t="s">
        <v>303</v>
      </c>
      <c r="N75" s="26">
        <v>20</v>
      </c>
      <c r="O75" s="26">
        <f>2024-Inventory[[#This Row],[YrBlt]]</f>
        <v>29</v>
      </c>
      <c r="P75" s="26">
        <f>2024-Inventory[[#This Row],[EffYr]]</f>
        <v>29</v>
      </c>
      <c r="Q75" s="25">
        <v>2004</v>
      </c>
      <c r="R75" s="25">
        <v>2004</v>
      </c>
      <c r="S75" s="25">
        <v>2178</v>
      </c>
      <c r="T75" s="27"/>
      <c r="U75" s="31"/>
      <c r="V75" s="31">
        <f>Inventory[[#This Row],[Bsmt]]-Inventory[[#This Row],[FnBsmt]]</f>
        <v>0</v>
      </c>
      <c r="W75" s="31"/>
      <c r="X75" s="27"/>
      <c r="Y75" s="27">
        <f>Inventory[[#This Row],[MainFn]]+Inventory[[#This Row],[UpprFn]]+Inventory[[#This Row],[FnBsmt]]+Inventory[[#This Row],[AddFn]]</f>
        <v>1580</v>
      </c>
      <c r="Z75" s="27">
        <v>2500</v>
      </c>
      <c r="AA75" s="25">
        <v>16</v>
      </c>
      <c r="AB75" s="25">
        <v>528</v>
      </c>
      <c r="AC75" s="27"/>
      <c r="AD75" s="27"/>
      <c r="AE75" s="27"/>
      <c r="AF75" s="27"/>
      <c r="AG75" s="32">
        <v>125</v>
      </c>
      <c r="AH75" s="27"/>
      <c r="AI75" s="25">
        <v>246191</v>
      </c>
      <c r="AJ75" s="25">
        <v>280658</v>
      </c>
      <c r="AK75" s="25">
        <v>0</v>
      </c>
      <c r="AL75" s="25">
        <v>343800</v>
      </c>
      <c r="AM75" s="25">
        <v>75400</v>
      </c>
      <c r="AN75" s="25">
        <v>268400</v>
      </c>
      <c r="AO75" s="25">
        <v>0</v>
      </c>
      <c r="AP75" s="25">
        <f>Lookups!$B$56*0</f>
        <v>0</v>
      </c>
      <c r="AQ75" s="25">
        <f>Lookups!$B$56*1</f>
        <v>89850.625589999996</v>
      </c>
      <c r="AR75" s="25">
        <f>Lookups!$B$57*Inventory[[#This Row],[LnAcres]]</f>
        <v>-52569.808201026557</v>
      </c>
      <c r="AS75" s="25">
        <f>VLOOKUP(Inventory[[#This Row],[Qlty]],Lookups!$A$62:$E$75,2,FALSE)</f>
        <v>44121.038090000002</v>
      </c>
      <c r="AT75" s="25">
        <f>VLOOKUP(Inventory[[#This Row],[Cnd]],Lookups!$A$76:$E$84,2,FALSE)</f>
        <v>197752.34721000001</v>
      </c>
      <c r="AU75" s="25">
        <f>Inventory[[#This Row],[EffAge]]*Lookups!$B$85</f>
        <v>-6468.3224145000004</v>
      </c>
      <c r="AV75" s="25">
        <f>Inventory[[#This Row],[MainFn]]*Lookups!$B$86</f>
        <v>78065.698405660005</v>
      </c>
      <c r="AW75" s="25">
        <f>Inventory[[#This Row],[UpprFn]]*Lookups!$B$87</f>
        <v>0</v>
      </c>
      <c r="AX75" s="25">
        <f>Inventory[[#This Row],[AddFn]]*Lookups!$B$88</f>
        <v>0</v>
      </c>
      <c r="AY75" s="25">
        <f>Inventory[[#This Row],[Bsmt]]*Lookups!$B$89</f>
        <v>0</v>
      </c>
      <c r="AZ75" s="25">
        <f>Inventory[[#This Row],[Fixtures]]*Lookups!$B$90</f>
        <v>37920.221052000001</v>
      </c>
      <c r="BA75" s="25">
        <f>Inventory[[#This Row],[WdDeck]]*Lookups!$B$91</f>
        <v>0</v>
      </c>
      <c r="BB75" s="25">
        <f>ROUND(Inventory[[#This Row],[25Det]],-2)</f>
        <v>0</v>
      </c>
      <c r="BC75" s="25">
        <f>ROUND(SUM(Inventory[[#This Row],[Mdl Qlty]:[Mdl WdDeck]])+Inventory[[#This Row],[Mdl Res Intercept]],-2)</f>
        <v>351400</v>
      </c>
      <c r="BD75" s="25">
        <f>ROUND(Inventory[[#This Row],[Mdl Land Intercept]]+Inventory[[#This Row],[Mdl LnAcres]],-2)</f>
        <v>37300</v>
      </c>
      <c r="BE75" s="25">
        <f>Inventory[[#This Row],[Unadj Res Value]]+Inventory[[#This Row],[Unadj Det Value]]+Inventory[[#This Row],[Unadj Land Value]]</f>
        <v>388700</v>
      </c>
      <c r="BF75" s="36">
        <f>(Inventory[[#This Row],[Unadj Total Value]]-Inventory[[#This Row],[24Final]])/Inventory[[#This Row],[24Final]]</f>
        <v>0.3203125</v>
      </c>
      <c r="BG75" s="25">
        <f>VLOOKUP(Inventory[[#This Row],[Nbhd]],Lookups!$Q$2:$T$4,4,FALSE)</f>
        <v>0.99970000000000003</v>
      </c>
      <c r="BH75" s="25">
        <f>VLOOKUP(Inventory[[#This Row],[Qlty]],Lookups!$O$7:$R$21,4,FALSE)</f>
        <v>0.98050000000000004</v>
      </c>
      <c r="BI75" s="29">
        <f>VLOOKUP(Inventory[[#This Row],[Cnd]],Lookups!$T$7:$W$16,4,FALSE)</f>
        <v>0.99650000000000005</v>
      </c>
      <c r="BJ75" s="25">
        <f>VLOOKUP(Inventory[[#This Row],[LivArea Range]],Lookups!$T$25:$W$37,4,FALSE)</f>
        <v>1.0093000000000001</v>
      </c>
      <c r="BK75" s="25">
        <f>VLOOKUP(Inventory[[#This Row],[Decade]],Lookups!$O$25:$R$42,4,FALSE)</f>
        <v>0.97319999999999995</v>
      </c>
      <c r="BL75" s="25">
        <f>Inventory[[#This Row],[Nbhd Adj]]*0.95</f>
        <v>0.94971499999999998</v>
      </c>
      <c r="BM75" s="25">
        <f>Inventory[[#This Row],[Nbhd Adj]]*Inventory[[#This Row],[Quality Adj]]*Inventory[[#This Row],[Condition Adj]]*Inventory[[#This Row],[Living Area Adj]]*Inventory[[#This Row],[Decade Adj]]*0.95</f>
        <v>0.91146620765877828</v>
      </c>
      <c r="BN75" s="25">
        <f>ROUND(SUM(Inventory[[#This Row],[Mdl Qlty]:[Mdl WdDeck]])+Inventory[[#This Row],[Mdl Res Intercept]]*Inventory[[#This Row],[Res Adj ]],-2)</f>
        <v>351400</v>
      </c>
      <c r="BO75" s="25">
        <f>ROUND(Inventory[[#This Row],[25Det]]*Inventory[[#This Row],[Det/Nbhd Adj]],-2)</f>
        <v>0</v>
      </c>
      <c r="BP75" s="25">
        <f>Inventory[[#This Row],[Adjusted Res]]+Inventory[[#This Row],[Adj Det ]]</f>
        <v>351400</v>
      </c>
      <c r="BQ75" s="25">
        <f>ROUND((Inventory[[#This Row],[Mdl Land Intercept]]+Inventory[[#This Row],[Mdl LnAcres]])*Inventory[[#This Row],[Det/Nbhd Adj]],-2)</f>
        <v>35400</v>
      </c>
      <c r="BR75" s="25">
        <f>Inventory[[#This Row],[Adjusted Impr Total]]+Inventory[[#This Row],[Adjusted Land Total]]</f>
        <v>386800</v>
      </c>
      <c r="BS75" s="36">
        <f>IFERROR((Inventory[[#This Row],[Adjusted Impr Total]]-Inventory[[#This Row],[24Bldg]])/Inventory[[#This Row],[24Bldg]],0)</f>
        <v>0.38948200869909055</v>
      </c>
      <c r="BT75" s="36">
        <f>(Inventory[[#This Row],[Adjusted Land Total]]-Inventory[[#This Row],[24Lnd]])/Inventory[[#This Row],[24Lnd]]</f>
        <v>-0.14698795180722893</v>
      </c>
      <c r="BU75" s="36">
        <f>(Inventory[[#This Row],[Adjusted Total]]-Inventory[[#This Row],[24Final]])/Inventory[[#This Row],[24Final]]</f>
        <v>0.31385869565217389</v>
      </c>
    </row>
    <row r="76" spans="1:73" x14ac:dyDescent="0.3">
      <c r="A76" s="25">
        <v>2025</v>
      </c>
      <c r="B76" s="26" t="s">
        <v>1517</v>
      </c>
      <c r="C76" s="26">
        <f>LN(Inventory[[#This Row],[Acres]])</f>
        <v>-1.8971199848858813</v>
      </c>
      <c r="D76" s="25">
        <v>0.17</v>
      </c>
      <c r="E76" s="25">
        <v>7405</v>
      </c>
      <c r="F76" s="26" t="s">
        <v>543</v>
      </c>
      <c r="G76" s="26" t="s">
        <v>544</v>
      </c>
      <c r="H76" s="26" t="s">
        <v>349</v>
      </c>
      <c r="I76" s="26" t="s">
        <v>605</v>
      </c>
      <c r="J76" s="26" t="s">
        <v>616</v>
      </c>
      <c r="K76" s="26" t="s">
        <v>547</v>
      </c>
      <c r="L76" s="26" t="s">
        <v>351</v>
      </c>
      <c r="M76" s="26" t="s">
        <v>303</v>
      </c>
      <c r="N76" s="26">
        <v>20</v>
      </c>
      <c r="O76" s="26">
        <f>2024-Inventory[[#This Row],[YrBlt]]</f>
        <v>29</v>
      </c>
      <c r="P76" s="26">
        <f>2024-Inventory[[#This Row],[EffYr]]</f>
        <v>29</v>
      </c>
      <c r="Q76" s="25">
        <v>2004</v>
      </c>
      <c r="R76" s="25">
        <v>2004</v>
      </c>
      <c r="S76" s="25">
        <v>2178</v>
      </c>
      <c r="T76" s="27"/>
      <c r="U76" s="31"/>
      <c r="V76" s="31">
        <f>Inventory[[#This Row],[Bsmt]]-Inventory[[#This Row],[FnBsmt]]</f>
        <v>0</v>
      </c>
      <c r="W76" s="31"/>
      <c r="X76" s="27"/>
      <c r="Y76" s="27">
        <f>Inventory[[#This Row],[MainFn]]+Inventory[[#This Row],[UpprFn]]+Inventory[[#This Row],[FnBsmt]]+Inventory[[#This Row],[AddFn]]</f>
        <v>1513</v>
      </c>
      <c r="Z76" s="27">
        <v>2500</v>
      </c>
      <c r="AA76" s="25">
        <v>16</v>
      </c>
      <c r="AB76" s="25">
        <v>576</v>
      </c>
      <c r="AC76" s="27"/>
      <c r="AD76" s="27"/>
      <c r="AE76" s="27"/>
      <c r="AF76" s="27"/>
      <c r="AG76" s="32">
        <v>125</v>
      </c>
      <c r="AH76" s="27"/>
      <c r="AI76" s="25">
        <v>248898</v>
      </c>
      <c r="AJ76" s="25">
        <v>283744</v>
      </c>
      <c r="AK76" s="25">
        <v>0</v>
      </c>
      <c r="AL76" s="25">
        <v>331600</v>
      </c>
      <c r="AM76" s="25">
        <v>60600</v>
      </c>
      <c r="AN76" s="25">
        <v>271000</v>
      </c>
      <c r="AO76" s="25">
        <v>0</v>
      </c>
      <c r="AP76" s="25">
        <f>Lookups!$B$56*0</f>
        <v>0</v>
      </c>
      <c r="AQ76" s="25">
        <f>Lookups!$B$56*1</f>
        <v>89850.625589999996</v>
      </c>
      <c r="AR76" s="25">
        <f>Lookups!$B$57*Inventory[[#This Row],[LnAcres]]</f>
        <v>-60052.604136134301</v>
      </c>
      <c r="AS76" s="25">
        <f>VLOOKUP(Inventory[[#This Row],[Qlty]],Lookups!$A$62:$E$75,2,FALSE)</f>
        <v>44121.038090000002</v>
      </c>
      <c r="AT76" s="25">
        <f>VLOOKUP(Inventory[[#This Row],[Cnd]],Lookups!$A$76:$E$84,2,FALSE)</f>
        <v>197752.34721000001</v>
      </c>
      <c r="AU76" s="25">
        <f>Inventory[[#This Row],[EffAge]]*Lookups!$B$85</f>
        <v>-6468.3224145000004</v>
      </c>
      <c r="AV76" s="25">
        <f>Inventory[[#This Row],[MainFn]]*Lookups!$B$86</f>
        <v>74755.317523901002</v>
      </c>
      <c r="AW76" s="25">
        <f>Inventory[[#This Row],[UpprFn]]*Lookups!$B$87</f>
        <v>0</v>
      </c>
      <c r="AX76" s="25">
        <f>Inventory[[#This Row],[AddFn]]*Lookups!$B$88</f>
        <v>0</v>
      </c>
      <c r="AY76" s="25">
        <f>Inventory[[#This Row],[Bsmt]]*Lookups!$B$89</f>
        <v>0</v>
      </c>
      <c r="AZ76" s="25">
        <f>Inventory[[#This Row],[Fixtures]]*Lookups!$B$90</f>
        <v>37920.221052000001</v>
      </c>
      <c r="BA76" s="25">
        <f>Inventory[[#This Row],[WdDeck]]*Lookups!$B$91</f>
        <v>0</v>
      </c>
      <c r="BB76" s="25">
        <f>ROUND(Inventory[[#This Row],[25Det]],-2)</f>
        <v>0</v>
      </c>
      <c r="BC76" s="25">
        <f>ROUND(SUM(Inventory[[#This Row],[Mdl Qlty]:[Mdl WdDeck]])+Inventory[[#This Row],[Mdl Res Intercept]],-2)</f>
        <v>348100</v>
      </c>
      <c r="BD76" s="25">
        <f>ROUND(Inventory[[#This Row],[Mdl Land Intercept]]+Inventory[[#This Row],[Mdl LnAcres]],-2)</f>
        <v>29800</v>
      </c>
      <c r="BE76" s="25">
        <f>Inventory[[#This Row],[Unadj Res Value]]+Inventory[[#This Row],[Unadj Det Value]]+Inventory[[#This Row],[Unadj Land Value]]</f>
        <v>377900</v>
      </c>
      <c r="BF76" s="36">
        <f>(Inventory[[#This Row],[Unadj Total Value]]-Inventory[[#This Row],[24Final]])/Inventory[[#This Row],[24Final]]</f>
        <v>0.31443478260869567</v>
      </c>
      <c r="BG76" s="25">
        <f>VLOOKUP(Inventory[[#This Row],[Nbhd]],Lookups!$Q$2:$T$4,4,FALSE)</f>
        <v>0.99970000000000003</v>
      </c>
      <c r="BH76" s="25">
        <f>VLOOKUP(Inventory[[#This Row],[Qlty]],Lookups!$O$7:$R$21,4,FALSE)</f>
        <v>0.98050000000000004</v>
      </c>
      <c r="BI76" s="29">
        <f>VLOOKUP(Inventory[[#This Row],[Cnd]],Lookups!$T$7:$W$16,4,FALSE)</f>
        <v>0.99650000000000005</v>
      </c>
      <c r="BJ76" s="25">
        <f>VLOOKUP(Inventory[[#This Row],[LivArea Range]],Lookups!$T$25:$W$37,4,FALSE)</f>
        <v>1.0093000000000001</v>
      </c>
      <c r="BK76" s="25">
        <f>VLOOKUP(Inventory[[#This Row],[Decade]],Lookups!$O$25:$R$42,4,FALSE)</f>
        <v>0.97319999999999995</v>
      </c>
      <c r="BL76" s="25">
        <f>Inventory[[#This Row],[Nbhd Adj]]*0.95</f>
        <v>0.94971499999999998</v>
      </c>
      <c r="BM76" s="25">
        <f>Inventory[[#This Row],[Nbhd Adj]]*Inventory[[#This Row],[Quality Adj]]*Inventory[[#This Row],[Condition Adj]]*Inventory[[#This Row],[Living Area Adj]]*Inventory[[#This Row],[Decade Adj]]*0.95</f>
        <v>0.91146620765877828</v>
      </c>
      <c r="BN76" s="25">
        <f>ROUND(SUM(Inventory[[#This Row],[Mdl Qlty]:[Mdl WdDeck]])+Inventory[[#This Row],[Mdl Res Intercept]]*Inventory[[#This Row],[Res Adj ]],-2)</f>
        <v>348100</v>
      </c>
      <c r="BO76" s="25">
        <f>ROUND(Inventory[[#This Row],[25Det]]*Inventory[[#This Row],[Det/Nbhd Adj]],-2)</f>
        <v>0</v>
      </c>
      <c r="BP76" s="25">
        <f>Inventory[[#This Row],[Adjusted Res]]+Inventory[[#This Row],[Adj Det ]]</f>
        <v>348100</v>
      </c>
      <c r="BQ76" s="25">
        <f>ROUND((Inventory[[#This Row],[Mdl Land Intercept]]+Inventory[[#This Row],[Mdl LnAcres]])*Inventory[[#This Row],[Det/Nbhd Adj]],-2)</f>
        <v>28300</v>
      </c>
      <c r="BR76" s="25">
        <f>Inventory[[#This Row],[Adjusted Impr Total]]+Inventory[[#This Row],[Adjusted Land Total]]</f>
        <v>376400</v>
      </c>
      <c r="BS76" s="36">
        <f>IFERROR((Inventory[[#This Row],[Adjusted Impr Total]]-Inventory[[#This Row],[24Bldg]])/Inventory[[#This Row],[24Bldg]],0)</f>
        <v>0.41045380875202592</v>
      </c>
      <c r="BT76" s="36">
        <f>(Inventory[[#This Row],[Adjusted Land Total]]-Inventory[[#This Row],[24Lnd]])/Inventory[[#This Row],[24Lnd]]</f>
        <v>-0.30466830466830469</v>
      </c>
      <c r="BU76" s="36">
        <f>(Inventory[[#This Row],[Adjusted Total]]-Inventory[[#This Row],[24Final]])/Inventory[[#This Row],[24Final]]</f>
        <v>0.30921739130434783</v>
      </c>
    </row>
    <row r="77" spans="1:73" x14ac:dyDescent="0.3">
      <c r="A77" s="25">
        <v>2025</v>
      </c>
      <c r="B77" s="26" t="s">
        <v>1514</v>
      </c>
      <c r="C77" s="26">
        <f>LN(Inventory[[#This Row],[Acres]])</f>
        <v>-1.8325814637483102</v>
      </c>
      <c r="D77" s="25">
        <v>0.18</v>
      </c>
      <c r="E77" s="25">
        <v>7841</v>
      </c>
      <c r="F77" s="26" t="s">
        <v>543</v>
      </c>
      <c r="G77" s="26" t="s">
        <v>544</v>
      </c>
      <c r="H77" s="26" t="s">
        <v>349</v>
      </c>
      <c r="I77" s="26" t="s">
        <v>605</v>
      </c>
      <c r="J77" s="26" t="s">
        <v>616</v>
      </c>
      <c r="K77" s="26" t="s">
        <v>547</v>
      </c>
      <c r="L77" s="26" t="s">
        <v>351</v>
      </c>
      <c r="M77" s="26" t="s">
        <v>303</v>
      </c>
      <c r="N77" s="26">
        <v>20</v>
      </c>
      <c r="O77" s="26">
        <f>2024-Inventory[[#This Row],[YrBlt]]</f>
        <v>29</v>
      </c>
      <c r="P77" s="26">
        <f>2024-Inventory[[#This Row],[EffYr]]</f>
        <v>29</v>
      </c>
      <c r="Q77" s="25">
        <v>2004</v>
      </c>
      <c r="R77" s="25">
        <v>2004</v>
      </c>
      <c r="S77" s="25">
        <v>2178</v>
      </c>
      <c r="T77" s="27"/>
      <c r="U77" s="31"/>
      <c r="V77" s="31">
        <f>Inventory[[#This Row],[Bsmt]]-Inventory[[#This Row],[FnBsmt]]</f>
        <v>0</v>
      </c>
      <c r="W77" s="31"/>
      <c r="X77" s="27"/>
      <c r="Y77" s="27">
        <f>Inventory[[#This Row],[MainFn]]+Inventory[[#This Row],[UpprFn]]+Inventory[[#This Row],[FnBsmt]]+Inventory[[#This Row],[AddFn]]</f>
        <v>1580</v>
      </c>
      <c r="Z77" s="27">
        <v>2500</v>
      </c>
      <c r="AA77" s="25">
        <v>16</v>
      </c>
      <c r="AB77" s="25">
        <v>576</v>
      </c>
      <c r="AC77" s="27"/>
      <c r="AD77" s="27"/>
      <c r="AE77" s="27"/>
      <c r="AF77" s="27"/>
      <c r="AG77" s="32">
        <v>125</v>
      </c>
      <c r="AH77" s="27"/>
      <c r="AI77" s="25">
        <v>249744</v>
      </c>
      <c r="AJ77" s="25">
        <v>284708</v>
      </c>
      <c r="AK77" s="25">
        <v>0</v>
      </c>
      <c r="AL77" s="25">
        <v>334700</v>
      </c>
      <c r="AM77" s="25">
        <v>62900</v>
      </c>
      <c r="AN77" s="25">
        <v>271800</v>
      </c>
      <c r="AO77" s="25">
        <v>0</v>
      </c>
      <c r="AP77" s="25">
        <f>Lookups!$B$56*0</f>
        <v>0</v>
      </c>
      <c r="AQ77" s="25">
        <f>Lookups!$B$56*1</f>
        <v>89850.625589999996</v>
      </c>
      <c r="AR77" s="25">
        <f>Lookups!$B$57*Inventory[[#This Row],[LnAcres]]</f>
        <v>-58009.662049032086</v>
      </c>
      <c r="AS77" s="25">
        <f>VLOOKUP(Inventory[[#This Row],[Qlty]],Lookups!$A$62:$E$75,2,FALSE)</f>
        <v>44121.038090000002</v>
      </c>
      <c r="AT77" s="25">
        <f>VLOOKUP(Inventory[[#This Row],[Cnd]],Lookups!$A$76:$E$84,2,FALSE)</f>
        <v>197752.34721000001</v>
      </c>
      <c r="AU77" s="25">
        <f>Inventory[[#This Row],[EffAge]]*Lookups!$B$85</f>
        <v>-6468.3224145000004</v>
      </c>
      <c r="AV77" s="25">
        <f>Inventory[[#This Row],[MainFn]]*Lookups!$B$86</f>
        <v>78065.698405660005</v>
      </c>
      <c r="AW77" s="25">
        <f>Inventory[[#This Row],[UpprFn]]*Lookups!$B$87</f>
        <v>0</v>
      </c>
      <c r="AX77" s="25">
        <f>Inventory[[#This Row],[AddFn]]*Lookups!$B$88</f>
        <v>0</v>
      </c>
      <c r="AY77" s="25">
        <f>Inventory[[#This Row],[Bsmt]]*Lookups!$B$89</f>
        <v>0</v>
      </c>
      <c r="AZ77" s="25">
        <f>Inventory[[#This Row],[Fixtures]]*Lookups!$B$90</f>
        <v>37920.221052000001</v>
      </c>
      <c r="BA77" s="25">
        <f>Inventory[[#This Row],[WdDeck]]*Lookups!$B$91</f>
        <v>0</v>
      </c>
      <c r="BB77" s="25">
        <f>ROUND(Inventory[[#This Row],[25Det]],-2)</f>
        <v>0</v>
      </c>
      <c r="BC77" s="25">
        <f>ROUND(SUM(Inventory[[#This Row],[Mdl Qlty]:[Mdl WdDeck]])+Inventory[[#This Row],[Mdl Res Intercept]],-2)</f>
        <v>351400</v>
      </c>
      <c r="BD77" s="25">
        <f>ROUND(Inventory[[#This Row],[Mdl Land Intercept]]+Inventory[[#This Row],[Mdl LnAcres]],-2)</f>
        <v>31800</v>
      </c>
      <c r="BE77" s="25">
        <f>Inventory[[#This Row],[Unadj Res Value]]+Inventory[[#This Row],[Unadj Det Value]]+Inventory[[#This Row],[Unadj Land Value]]</f>
        <v>383200</v>
      </c>
      <c r="BF77" s="36">
        <f>(Inventory[[#This Row],[Unadj Total Value]]-Inventory[[#This Row],[24Final]])/Inventory[[#This Row],[24Final]]</f>
        <v>0.30428863172226006</v>
      </c>
      <c r="BG77" s="25">
        <f>VLOOKUP(Inventory[[#This Row],[Nbhd]],Lookups!$Q$2:$T$4,4,FALSE)</f>
        <v>0.99970000000000003</v>
      </c>
      <c r="BH77" s="25">
        <f>VLOOKUP(Inventory[[#This Row],[Qlty]],Lookups!$O$7:$R$21,4,FALSE)</f>
        <v>0.98050000000000004</v>
      </c>
      <c r="BI77" s="29">
        <f>VLOOKUP(Inventory[[#This Row],[Cnd]],Lookups!$T$7:$W$16,4,FALSE)</f>
        <v>0.99650000000000005</v>
      </c>
      <c r="BJ77" s="25">
        <f>VLOOKUP(Inventory[[#This Row],[LivArea Range]],Lookups!$T$25:$W$37,4,FALSE)</f>
        <v>1.0093000000000001</v>
      </c>
      <c r="BK77" s="25">
        <f>VLOOKUP(Inventory[[#This Row],[Decade]],Lookups!$O$25:$R$42,4,FALSE)</f>
        <v>0.97319999999999995</v>
      </c>
      <c r="BL77" s="25">
        <f>Inventory[[#This Row],[Nbhd Adj]]*0.95</f>
        <v>0.94971499999999998</v>
      </c>
      <c r="BM77" s="25">
        <f>Inventory[[#This Row],[Nbhd Adj]]*Inventory[[#This Row],[Quality Adj]]*Inventory[[#This Row],[Condition Adj]]*Inventory[[#This Row],[Living Area Adj]]*Inventory[[#This Row],[Decade Adj]]*0.95</f>
        <v>0.91146620765877828</v>
      </c>
      <c r="BN77" s="25">
        <f>ROUND(SUM(Inventory[[#This Row],[Mdl Qlty]:[Mdl WdDeck]])+Inventory[[#This Row],[Mdl Res Intercept]]*Inventory[[#This Row],[Res Adj ]],-2)</f>
        <v>351400</v>
      </c>
      <c r="BO77" s="25">
        <f>ROUND(Inventory[[#This Row],[25Det]]*Inventory[[#This Row],[Det/Nbhd Adj]],-2)</f>
        <v>0</v>
      </c>
      <c r="BP77" s="25">
        <f>Inventory[[#This Row],[Adjusted Res]]+Inventory[[#This Row],[Adj Det ]]</f>
        <v>351400</v>
      </c>
      <c r="BQ77" s="25">
        <f>ROUND((Inventory[[#This Row],[Mdl Land Intercept]]+Inventory[[#This Row],[Mdl LnAcres]])*Inventory[[#This Row],[Det/Nbhd Adj]],-2)</f>
        <v>30200</v>
      </c>
      <c r="BR77" s="25">
        <f>Inventory[[#This Row],[Adjusted Impr Total]]+Inventory[[#This Row],[Adjusted Land Total]]</f>
        <v>381600</v>
      </c>
      <c r="BS77" s="36">
        <f>IFERROR((Inventory[[#This Row],[Adjusted Impr Total]]-Inventory[[#This Row],[24Bldg]])/Inventory[[#This Row],[24Bldg]],0)</f>
        <v>0.38948200869909055</v>
      </c>
      <c r="BT77" s="36">
        <f>(Inventory[[#This Row],[Adjusted Land Total]]-Inventory[[#This Row],[24Lnd]])/Inventory[[#This Row],[24Lnd]]</f>
        <v>-0.26161369193154033</v>
      </c>
      <c r="BU77" s="36">
        <f>(Inventory[[#This Row],[Adjusted Total]]-Inventory[[#This Row],[24Final]])/Inventory[[#This Row],[24Final]]</f>
        <v>0.2988427501701838</v>
      </c>
    </row>
    <row r="78" spans="1:73" x14ac:dyDescent="0.3">
      <c r="A78" s="25">
        <v>2025</v>
      </c>
      <c r="B78" s="26" t="s">
        <v>1515</v>
      </c>
      <c r="C78" s="26">
        <f>LN(Inventory[[#This Row],[Acres]])</f>
        <v>-1.8971199848858813</v>
      </c>
      <c r="D78" s="25">
        <v>0.18</v>
      </c>
      <c r="E78" s="25">
        <v>7841</v>
      </c>
      <c r="F78" s="26" t="s">
        <v>543</v>
      </c>
      <c r="G78" s="26" t="s">
        <v>544</v>
      </c>
      <c r="H78" s="26" t="s">
        <v>349</v>
      </c>
      <c r="I78" s="26" t="s">
        <v>605</v>
      </c>
      <c r="J78" s="26" t="s">
        <v>616</v>
      </c>
      <c r="K78" s="26" t="s">
        <v>547</v>
      </c>
      <c r="L78" s="26" t="s">
        <v>351</v>
      </c>
      <c r="M78" s="26" t="s">
        <v>303</v>
      </c>
      <c r="N78" s="26">
        <v>20</v>
      </c>
      <c r="O78" s="26">
        <f>2024-Inventory[[#This Row],[YrBlt]]</f>
        <v>29</v>
      </c>
      <c r="P78" s="26">
        <f>2024-Inventory[[#This Row],[EffYr]]</f>
        <v>29</v>
      </c>
      <c r="Q78" s="25">
        <v>2004</v>
      </c>
      <c r="R78" s="25">
        <v>2004</v>
      </c>
      <c r="S78" s="25">
        <v>2178</v>
      </c>
      <c r="T78" s="27"/>
      <c r="U78" s="31"/>
      <c r="V78" s="31">
        <f>Inventory[[#This Row],[Bsmt]]-Inventory[[#This Row],[FnBsmt]]</f>
        <v>0</v>
      </c>
      <c r="W78" s="31"/>
      <c r="X78" s="27"/>
      <c r="Y78" s="27">
        <f>Inventory[[#This Row],[MainFn]]+Inventory[[#This Row],[UpprFn]]+Inventory[[#This Row],[FnBsmt]]+Inventory[[#This Row],[AddFn]]</f>
        <v>1580</v>
      </c>
      <c r="Z78" s="27">
        <v>2500</v>
      </c>
      <c r="AA78" s="25">
        <v>16</v>
      </c>
      <c r="AB78" s="25">
        <v>576</v>
      </c>
      <c r="AC78" s="27"/>
      <c r="AD78" s="31"/>
      <c r="AE78" s="27"/>
      <c r="AF78" s="27"/>
      <c r="AG78" s="32">
        <v>125</v>
      </c>
      <c r="AH78" s="27"/>
      <c r="AI78" s="25">
        <v>249744</v>
      </c>
      <c r="AJ78" s="25">
        <v>284708</v>
      </c>
      <c r="AK78" s="25">
        <v>0</v>
      </c>
      <c r="AL78" s="25">
        <v>334700</v>
      </c>
      <c r="AM78" s="25">
        <v>62900</v>
      </c>
      <c r="AN78" s="25">
        <v>271800</v>
      </c>
      <c r="AO78" s="25">
        <v>0</v>
      </c>
      <c r="AP78" s="25">
        <f>Lookups!$B$56*0</f>
        <v>0</v>
      </c>
      <c r="AQ78" s="25">
        <f>Lookups!$B$56*1</f>
        <v>89850.625589999996</v>
      </c>
      <c r="AR78" s="25">
        <f>Lookups!$B$57*Inventory[[#This Row],[LnAcres]]</f>
        <v>-60052.604136134301</v>
      </c>
      <c r="AS78" s="25">
        <f>VLOOKUP(Inventory[[#This Row],[Qlty]],Lookups!$A$62:$E$75,2,FALSE)</f>
        <v>44121.038090000002</v>
      </c>
      <c r="AT78" s="25">
        <f>VLOOKUP(Inventory[[#This Row],[Cnd]],Lookups!$A$76:$E$84,2,FALSE)</f>
        <v>197752.34721000001</v>
      </c>
      <c r="AU78" s="25">
        <f>Inventory[[#This Row],[EffAge]]*Lookups!$B$85</f>
        <v>-6468.3224145000004</v>
      </c>
      <c r="AV78" s="25">
        <f>Inventory[[#This Row],[MainFn]]*Lookups!$B$86</f>
        <v>78065.698405660005</v>
      </c>
      <c r="AW78" s="25">
        <f>Inventory[[#This Row],[UpprFn]]*Lookups!$B$87</f>
        <v>0</v>
      </c>
      <c r="AX78" s="25">
        <f>Inventory[[#This Row],[AddFn]]*Lookups!$B$88</f>
        <v>0</v>
      </c>
      <c r="AY78" s="25">
        <f>Inventory[[#This Row],[Bsmt]]*Lookups!$B$89</f>
        <v>0</v>
      </c>
      <c r="AZ78" s="25">
        <f>Inventory[[#This Row],[Fixtures]]*Lookups!$B$90</f>
        <v>37920.221052000001</v>
      </c>
      <c r="BA78" s="25">
        <f>Inventory[[#This Row],[WdDeck]]*Lookups!$B$91</f>
        <v>0</v>
      </c>
      <c r="BB78" s="25">
        <f>ROUND(Inventory[[#This Row],[25Det]],-2)</f>
        <v>0</v>
      </c>
      <c r="BC78" s="25">
        <f>ROUND(SUM(Inventory[[#This Row],[Mdl Qlty]:[Mdl WdDeck]])+Inventory[[#This Row],[Mdl Res Intercept]],-2)</f>
        <v>351400</v>
      </c>
      <c r="BD78" s="25">
        <f>ROUND(Inventory[[#This Row],[Mdl Land Intercept]]+Inventory[[#This Row],[Mdl LnAcres]],-2)</f>
        <v>29800</v>
      </c>
      <c r="BE78" s="25">
        <f>Inventory[[#This Row],[Unadj Res Value]]+Inventory[[#This Row],[Unadj Det Value]]+Inventory[[#This Row],[Unadj Land Value]]</f>
        <v>381200</v>
      </c>
      <c r="BF78" s="36">
        <f>(Inventory[[#This Row],[Unadj Total Value]]-Inventory[[#This Row],[24Final]])/Inventory[[#This Row],[24Final]]</f>
        <v>0.29880749574105619</v>
      </c>
      <c r="BG78" s="25">
        <f>VLOOKUP(Inventory[[#This Row],[Nbhd]],Lookups!$Q$2:$T$4,4,FALSE)</f>
        <v>0.99970000000000003</v>
      </c>
      <c r="BH78" s="25">
        <f>VLOOKUP(Inventory[[#This Row],[Qlty]],Lookups!$O$7:$R$21,4,FALSE)</f>
        <v>0.98050000000000004</v>
      </c>
      <c r="BI78" s="29">
        <f>VLOOKUP(Inventory[[#This Row],[Cnd]],Lookups!$T$7:$W$16,4,FALSE)</f>
        <v>0.99650000000000005</v>
      </c>
      <c r="BJ78" s="25">
        <f>VLOOKUP(Inventory[[#This Row],[LivArea Range]],Lookups!$T$25:$W$37,4,FALSE)</f>
        <v>1.0093000000000001</v>
      </c>
      <c r="BK78" s="25">
        <f>VLOOKUP(Inventory[[#This Row],[Decade]],Lookups!$O$25:$R$42,4,FALSE)</f>
        <v>0.97319999999999995</v>
      </c>
      <c r="BL78" s="25">
        <f>Inventory[[#This Row],[Nbhd Adj]]*0.95</f>
        <v>0.94971499999999998</v>
      </c>
      <c r="BM78" s="25">
        <f>Inventory[[#This Row],[Nbhd Adj]]*Inventory[[#This Row],[Quality Adj]]*Inventory[[#This Row],[Condition Adj]]*Inventory[[#This Row],[Living Area Adj]]*Inventory[[#This Row],[Decade Adj]]*0.95</f>
        <v>0.91146620765877828</v>
      </c>
      <c r="BN78" s="25">
        <f>ROUND(SUM(Inventory[[#This Row],[Mdl Qlty]:[Mdl WdDeck]])+Inventory[[#This Row],[Mdl Res Intercept]]*Inventory[[#This Row],[Res Adj ]],-2)</f>
        <v>351400</v>
      </c>
      <c r="BO78" s="25">
        <f>ROUND(Inventory[[#This Row],[25Det]]*Inventory[[#This Row],[Det/Nbhd Adj]],-2)</f>
        <v>0</v>
      </c>
      <c r="BP78" s="25">
        <f>Inventory[[#This Row],[Adjusted Res]]+Inventory[[#This Row],[Adj Det ]]</f>
        <v>351400</v>
      </c>
      <c r="BQ78" s="25">
        <f>ROUND((Inventory[[#This Row],[Mdl Land Intercept]]+Inventory[[#This Row],[Mdl LnAcres]])*Inventory[[#This Row],[Det/Nbhd Adj]],-2)</f>
        <v>28300</v>
      </c>
      <c r="BR78" s="25">
        <f>Inventory[[#This Row],[Adjusted Impr Total]]+Inventory[[#This Row],[Adjusted Land Total]]</f>
        <v>379700</v>
      </c>
      <c r="BS78" s="36">
        <f>IFERROR((Inventory[[#This Row],[Adjusted Impr Total]]-Inventory[[#This Row],[24Bldg]])/Inventory[[#This Row],[24Bldg]],0)</f>
        <v>0.38948200869909055</v>
      </c>
      <c r="BT78" s="36">
        <f>(Inventory[[#This Row],[Adjusted Land Total]]-Inventory[[#This Row],[24Lnd]])/Inventory[[#This Row],[24Lnd]]</f>
        <v>-0.30295566502463056</v>
      </c>
      <c r="BU78" s="36">
        <f>(Inventory[[#This Row],[Adjusted Total]]-Inventory[[#This Row],[24Final]])/Inventory[[#This Row],[24Final]]</f>
        <v>0.2936967632027257</v>
      </c>
    </row>
    <row r="79" spans="1:73" x14ac:dyDescent="0.3">
      <c r="A79" s="25">
        <v>2025</v>
      </c>
      <c r="B79" s="26" t="s">
        <v>1513</v>
      </c>
      <c r="C79" s="26">
        <f>LN(Inventory[[#This Row],[Acres]])</f>
        <v>-3.2188758248682006</v>
      </c>
      <c r="D79" s="25">
        <v>0.19</v>
      </c>
      <c r="E79" s="32">
        <v>8276</v>
      </c>
      <c r="F79" s="26" t="s">
        <v>543</v>
      </c>
      <c r="G79" s="26" t="s">
        <v>544</v>
      </c>
      <c r="H79" s="26" t="s">
        <v>349</v>
      </c>
      <c r="I79" s="26" t="s">
        <v>605</v>
      </c>
      <c r="J79" s="26" t="s">
        <v>616</v>
      </c>
      <c r="K79" s="26" t="s">
        <v>547</v>
      </c>
      <c r="L79" s="26" t="s">
        <v>351</v>
      </c>
      <c r="M79" s="26" t="s">
        <v>303</v>
      </c>
      <c r="N79" s="26">
        <v>20</v>
      </c>
      <c r="O79" s="26">
        <f>2024-Inventory[[#This Row],[YrBlt]]</f>
        <v>29</v>
      </c>
      <c r="P79" s="26">
        <f>2024-Inventory[[#This Row],[EffYr]]</f>
        <v>29</v>
      </c>
      <c r="Q79" s="25">
        <v>2004</v>
      </c>
      <c r="R79" s="25">
        <v>2004</v>
      </c>
      <c r="S79" s="25">
        <v>2178</v>
      </c>
      <c r="T79" s="31"/>
      <c r="U79" s="31"/>
      <c r="V79" s="27">
        <f>Inventory[[#This Row],[Bsmt]]-Inventory[[#This Row],[FnBsmt]]</f>
        <v>0</v>
      </c>
      <c r="W79" s="27"/>
      <c r="X79" s="27"/>
      <c r="Y79" s="27">
        <f>Inventory[[#This Row],[MainFn]]+Inventory[[#This Row],[UpprFn]]+Inventory[[#This Row],[FnBsmt]]+Inventory[[#This Row],[AddFn]]</f>
        <v>1018</v>
      </c>
      <c r="Z79" s="27">
        <v>2500</v>
      </c>
      <c r="AA79" s="25">
        <v>16</v>
      </c>
      <c r="AB79" s="32">
        <v>576</v>
      </c>
      <c r="AC79" s="31"/>
      <c r="AD79" s="31"/>
      <c r="AE79" s="27"/>
      <c r="AF79" s="27"/>
      <c r="AG79" s="32">
        <v>125</v>
      </c>
      <c r="AH79" s="27"/>
      <c r="AI79" s="25">
        <v>249744</v>
      </c>
      <c r="AJ79" s="25">
        <v>284708</v>
      </c>
      <c r="AK79" s="25">
        <v>0</v>
      </c>
      <c r="AL79" s="25">
        <v>336900</v>
      </c>
      <c r="AM79" s="25">
        <v>65100</v>
      </c>
      <c r="AN79" s="25">
        <v>271800</v>
      </c>
      <c r="AO79" s="25">
        <v>0</v>
      </c>
      <c r="AP79" s="25">
        <f>Lookups!$B$56*0</f>
        <v>0</v>
      </c>
      <c r="AQ79" s="25">
        <f>Lookups!$B$56*1</f>
        <v>89850.625589999996</v>
      </c>
      <c r="AR79" s="25">
        <f>Lookups!$B$57*Inventory[[#This Row],[LnAcres]]</f>
        <v>-101892.2773541973</v>
      </c>
      <c r="AS79" s="25">
        <f>VLOOKUP(Inventory[[#This Row],[Qlty]],Lookups!$A$62:$E$75,2,FALSE)</f>
        <v>21557.329055999999</v>
      </c>
      <c r="AT79" s="25">
        <f>VLOOKUP(Inventory[[#This Row],[Cnd]],Lookups!$A$76:$E$84,2,FALSE)</f>
        <v>160472.20319</v>
      </c>
      <c r="AU79" s="25">
        <f>Inventory[[#This Row],[EffAge]]*Lookups!$B$85</f>
        <v>-6468.3224145000004</v>
      </c>
      <c r="AV79" s="25">
        <f>Inventory[[#This Row],[MainFn]]*Lookups!$B$86</f>
        <v>50298.025934786005</v>
      </c>
      <c r="AW79" s="25">
        <f>Inventory[[#This Row],[UpprFn]]*Lookups!$B$87</f>
        <v>0</v>
      </c>
      <c r="AX79" s="25">
        <f>Inventory[[#This Row],[AddFn]]*Lookups!$B$88</f>
        <v>0</v>
      </c>
      <c r="AY79" s="25">
        <f>Inventory[[#This Row],[Bsmt]]*Lookups!$B$89</f>
        <v>0</v>
      </c>
      <c r="AZ79" s="25">
        <f>Inventory[[#This Row],[Fixtures]]*Lookups!$B$90</f>
        <v>30336.176841600001</v>
      </c>
      <c r="BA79" s="25">
        <f>Inventory[[#This Row],[WdDeck]]*Lookups!$B$91</f>
        <v>0</v>
      </c>
      <c r="BB79" s="25">
        <f>ROUND(Inventory[[#This Row],[25Det]],-2)</f>
        <v>15200</v>
      </c>
      <c r="BC79" s="25">
        <f>ROUND(SUM(Inventory[[#This Row],[Mdl Qlty]:[Mdl WdDeck]])+Inventory[[#This Row],[Mdl Res Intercept]],-2)</f>
        <v>256200</v>
      </c>
      <c r="BD79" s="25">
        <f>ROUND(Inventory[[#This Row],[Mdl Land Intercept]]+Inventory[[#This Row],[Mdl LnAcres]],-2)</f>
        <v>-12000</v>
      </c>
      <c r="BE79" s="25">
        <f>Inventory[[#This Row],[Unadj Res Value]]+Inventory[[#This Row],[Unadj Det Value]]+Inventory[[#This Row],[Unadj Land Value]]</f>
        <v>259400</v>
      </c>
      <c r="BF79" s="36">
        <f>(Inventory[[#This Row],[Unadj Total Value]]-Inventory[[#This Row],[24Final]])/Inventory[[#This Row],[24Final]]</f>
        <v>0.27406679764243613</v>
      </c>
      <c r="BG79" s="25">
        <f>VLOOKUP(Inventory[[#This Row],[Nbhd]],Lookups!$Q$2:$T$4,4,FALSE)</f>
        <v>0.99970000000000003</v>
      </c>
      <c r="BH79" s="25">
        <f>VLOOKUP(Inventory[[#This Row],[Qlty]],Lookups!$O$7:$R$21,4,FALSE)</f>
        <v>1.0067999999999999</v>
      </c>
      <c r="BI79" s="29">
        <f>VLOOKUP(Inventory[[#This Row],[Cnd]],Lookups!$T$7:$W$16,4,FALSE)</f>
        <v>0.99729999999999996</v>
      </c>
      <c r="BJ79" s="25">
        <f>VLOOKUP(Inventory[[#This Row],[LivArea Range]],Lookups!$T$25:$W$37,4,FALSE)</f>
        <v>1.0157</v>
      </c>
      <c r="BK79" s="25">
        <f>VLOOKUP(Inventory[[#This Row],[Decade]],Lookups!$O$25:$R$42,4,FALSE)</f>
        <v>0.97319999999999995</v>
      </c>
      <c r="BL79" s="25">
        <f>Inventory[[#This Row],[Nbhd Adj]]*0.95</f>
        <v>0.94971499999999998</v>
      </c>
      <c r="BM79" s="25">
        <f>Inventory[[#This Row],[Nbhd Adj]]*Inventory[[#This Row],[Quality Adj]]*Inventory[[#This Row],[Condition Adj]]*Inventory[[#This Row],[Living Area Adj]]*Inventory[[#This Row],[Decade Adj]]*0.95</f>
        <v>0.9426052971358202</v>
      </c>
      <c r="BN79" s="25">
        <f>ROUND(SUM(Inventory[[#This Row],[Mdl Qlty]:[Mdl WdDeck]])+Inventory[[#This Row],[Mdl Res Intercept]]*Inventory[[#This Row],[Res Adj ]],-2)</f>
        <v>256200</v>
      </c>
      <c r="BO79" s="25">
        <f>ROUND(Inventory[[#This Row],[25Det]]*Inventory[[#This Row],[Det/Nbhd Adj]],-2)</f>
        <v>14500</v>
      </c>
      <c r="BP79" s="25">
        <f>Inventory[[#This Row],[Adjusted Res]]+Inventory[[#This Row],[Adj Det ]]</f>
        <v>270700</v>
      </c>
      <c r="BQ79" s="25">
        <f>ROUND((Inventory[[#This Row],[Mdl Land Intercept]]+Inventory[[#This Row],[Mdl LnAcres]])*Inventory[[#This Row],[Det/Nbhd Adj]],-2)</f>
        <v>-11400</v>
      </c>
      <c r="BR79" s="25">
        <f>Inventory[[#This Row],[Adjusted Impr Total]]+Inventory[[#This Row],[Adjusted Land Total]]</f>
        <v>259300</v>
      </c>
      <c r="BS79" s="36">
        <f>IFERROR((Inventory[[#This Row],[Adjusted Impr Total]]-Inventory[[#This Row],[24Bldg]])/Inventory[[#This Row],[24Bldg]],0)</f>
        <v>0.56383593298671286</v>
      </c>
      <c r="BT79" s="36">
        <f>(Inventory[[#This Row],[Adjusted Land Total]]-Inventory[[#This Row],[24Lnd]])/Inventory[[#This Row],[24Lnd]]</f>
        <v>-1.3737704918032787</v>
      </c>
      <c r="BU79" s="36">
        <f>(Inventory[[#This Row],[Adjusted Total]]-Inventory[[#This Row],[24Final]])/Inventory[[#This Row],[24Final]]</f>
        <v>0.27357563850687622</v>
      </c>
    </row>
    <row r="80" spans="1:73" x14ac:dyDescent="0.3">
      <c r="A80" s="25">
        <v>2025</v>
      </c>
      <c r="B80" s="26" t="s">
        <v>1516</v>
      </c>
      <c r="C80" s="26">
        <f>LN(Inventory[[#This Row],[Acres]])</f>
        <v>-3.2188758248682006</v>
      </c>
      <c r="D80" s="25">
        <v>0.19</v>
      </c>
      <c r="E80" s="25">
        <v>8276</v>
      </c>
      <c r="F80" s="26" t="s">
        <v>543</v>
      </c>
      <c r="G80" s="26" t="s">
        <v>544</v>
      </c>
      <c r="H80" s="26" t="s">
        <v>349</v>
      </c>
      <c r="I80" s="26" t="s">
        <v>605</v>
      </c>
      <c r="J80" s="26" t="s">
        <v>616</v>
      </c>
      <c r="K80" s="26" t="s">
        <v>547</v>
      </c>
      <c r="L80" s="26" t="s">
        <v>351</v>
      </c>
      <c r="M80" s="26" t="s">
        <v>303</v>
      </c>
      <c r="N80" s="26">
        <v>20</v>
      </c>
      <c r="O80" s="26">
        <f>2024-Inventory[[#This Row],[YrBlt]]</f>
        <v>29</v>
      </c>
      <c r="P80" s="26">
        <f>2024-Inventory[[#This Row],[EffYr]]</f>
        <v>29</v>
      </c>
      <c r="Q80" s="25">
        <v>2004</v>
      </c>
      <c r="R80" s="25">
        <v>2004</v>
      </c>
      <c r="S80" s="25">
        <v>2178</v>
      </c>
      <c r="T80" s="27"/>
      <c r="U80" s="27"/>
      <c r="V80" s="27">
        <f>Inventory[[#This Row],[Bsmt]]-Inventory[[#This Row],[FnBsmt]]</f>
        <v>0</v>
      </c>
      <c r="W80" s="27"/>
      <c r="X80" s="27"/>
      <c r="Y80" s="27">
        <f>Inventory[[#This Row],[MainFn]]+Inventory[[#This Row],[UpprFn]]+Inventory[[#This Row],[FnBsmt]]+Inventory[[#This Row],[AddFn]]</f>
        <v>1022</v>
      </c>
      <c r="Z80" s="27">
        <v>2500</v>
      </c>
      <c r="AA80" s="25">
        <v>16</v>
      </c>
      <c r="AB80" s="25">
        <v>576</v>
      </c>
      <c r="AC80" s="27"/>
      <c r="AD80" s="27"/>
      <c r="AE80" s="27"/>
      <c r="AF80" s="27"/>
      <c r="AG80" s="32">
        <v>125</v>
      </c>
      <c r="AH80" s="27"/>
      <c r="AI80" s="25">
        <v>248898</v>
      </c>
      <c r="AJ80" s="25">
        <v>283744</v>
      </c>
      <c r="AK80" s="25">
        <v>0</v>
      </c>
      <c r="AL80" s="25">
        <v>336100</v>
      </c>
      <c r="AM80" s="25">
        <v>65100</v>
      </c>
      <c r="AN80" s="25">
        <v>271000</v>
      </c>
      <c r="AO80" s="25">
        <v>0</v>
      </c>
      <c r="AP80" s="25">
        <f>Lookups!$B$56*0</f>
        <v>0</v>
      </c>
      <c r="AQ80" s="25">
        <f>Lookups!$B$56*1</f>
        <v>89850.625589999996</v>
      </c>
      <c r="AR80" s="25">
        <f>Lookups!$B$57*Inventory[[#This Row],[LnAcres]]</f>
        <v>-101892.2773541973</v>
      </c>
      <c r="AS80" s="25">
        <f>VLOOKUP(Inventory[[#This Row],[Qlty]],Lookups!$A$62:$E$75,2,FALSE)</f>
        <v>29814.093161000001</v>
      </c>
      <c r="AT80" s="25">
        <f>VLOOKUP(Inventory[[#This Row],[Cnd]],Lookups!$A$76:$E$84,2,FALSE)</f>
        <v>160472.20319</v>
      </c>
      <c r="AU80" s="25">
        <f>Inventory[[#This Row],[EffAge]]*Lookups!$B$85</f>
        <v>-6468.3224145000004</v>
      </c>
      <c r="AV80" s="25">
        <f>Inventory[[#This Row],[MainFn]]*Lookups!$B$86</f>
        <v>50495.660614294</v>
      </c>
      <c r="AW80" s="25">
        <f>Inventory[[#This Row],[UpprFn]]*Lookups!$B$87</f>
        <v>0</v>
      </c>
      <c r="AX80" s="25">
        <f>Inventory[[#This Row],[AddFn]]*Lookups!$B$88</f>
        <v>0</v>
      </c>
      <c r="AY80" s="25">
        <f>Inventory[[#This Row],[Bsmt]]*Lookups!$B$89</f>
        <v>0</v>
      </c>
      <c r="AZ80" s="25">
        <f>Inventory[[#This Row],[Fixtures]]*Lookups!$B$90</f>
        <v>30336.176841600001</v>
      </c>
      <c r="BA80" s="25">
        <f>Inventory[[#This Row],[WdDeck]]*Lookups!$B$91</f>
        <v>0</v>
      </c>
      <c r="BB80" s="25">
        <f>ROUND(Inventory[[#This Row],[25Det]],-2)</f>
        <v>15200</v>
      </c>
      <c r="BC80" s="25">
        <f>ROUND(SUM(Inventory[[#This Row],[Mdl Qlty]:[Mdl WdDeck]])+Inventory[[#This Row],[Mdl Res Intercept]],-2)</f>
        <v>264600</v>
      </c>
      <c r="BD80" s="25">
        <f>ROUND(Inventory[[#This Row],[Mdl Land Intercept]]+Inventory[[#This Row],[Mdl LnAcres]],-2)</f>
        <v>-12000</v>
      </c>
      <c r="BE80" s="25">
        <f>Inventory[[#This Row],[Unadj Res Value]]+Inventory[[#This Row],[Unadj Det Value]]+Inventory[[#This Row],[Unadj Land Value]]</f>
        <v>267800</v>
      </c>
      <c r="BF80" s="36">
        <f>(Inventory[[#This Row],[Unadj Total Value]]-Inventory[[#This Row],[24Final]])/Inventory[[#This Row],[24Final]]</f>
        <v>0.26979611190137504</v>
      </c>
      <c r="BG80" s="25">
        <f>VLOOKUP(Inventory[[#This Row],[Nbhd]],Lookups!$Q$2:$T$4,4,FALSE)</f>
        <v>0.99970000000000003</v>
      </c>
      <c r="BH80" s="25">
        <f>VLOOKUP(Inventory[[#This Row],[Qlty]],Lookups!$O$7:$R$21,4,FALSE)</f>
        <v>1.0088999999999999</v>
      </c>
      <c r="BI80" s="29">
        <f>VLOOKUP(Inventory[[#This Row],[Cnd]],Lookups!$T$7:$W$16,4,FALSE)</f>
        <v>0.99729999999999996</v>
      </c>
      <c r="BJ80" s="25">
        <f>VLOOKUP(Inventory[[#This Row],[LivArea Range]],Lookups!$T$25:$W$37,4,FALSE)</f>
        <v>1.0157</v>
      </c>
      <c r="BK80" s="25">
        <f>VLOOKUP(Inventory[[#This Row],[Decade]],Lookups!$O$25:$R$42,4,FALSE)</f>
        <v>0.97319999999999995</v>
      </c>
      <c r="BL80" s="25">
        <f>Inventory[[#This Row],[Nbhd Adj]]*0.95</f>
        <v>0.94971499999999998</v>
      </c>
      <c r="BM80" s="25">
        <f>Inventory[[#This Row],[Nbhd Adj]]*Inventory[[#This Row],[Quality Adj]]*Inventory[[#This Row],[Condition Adj]]*Inventory[[#This Row],[Living Area Adj]]*Inventory[[#This Row],[Decade Adj]]*0.95</f>
        <v>0.944571398768702</v>
      </c>
      <c r="BN80" s="25">
        <f>ROUND(SUM(Inventory[[#This Row],[Mdl Qlty]:[Mdl WdDeck]])+Inventory[[#This Row],[Mdl Res Intercept]]*Inventory[[#This Row],[Res Adj ]],-2)</f>
        <v>264600</v>
      </c>
      <c r="BO80" s="25">
        <f>ROUND(Inventory[[#This Row],[25Det]]*Inventory[[#This Row],[Det/Nbhd Adj]],-2)</f>
        <v>14500</v>
      </c>
      <c r="BP80" s="25">
        <f>Inventory[[#This Row],[Adjusted Res]]+Inventory[[#This Row],[Adj Det ]]</f>
        <v>279100</v>
      </c>
      <c r="BQ80" s="25">
        <f>ROUND((Inventory[[#This Row],[Mdl Land Intercept]]+Inventory[[#This Row],[Mdl LnAcres]])*Inventory[[#This Row],[Det/Nbhd Adj]],-2)</f>
        <v>-11400</v>
      </c>
      <c r="BR80" s="25">
        <f>Inventory[[#This Row],[Adjusted Impr Total]]+Inventory[[#This Row],[Adjusted Land Total]]</f>
        <v>267700</v>
      </c>
      <c r="BS80" s="36">
        <f>IFERROR((Inventory[[#This Row],[Adjusted Impr Total]]-Inventory[[#This Row],[24Bldg]])/Inventory[[#This Row],[24Bldg]],0)</f>
        <v>0.5566090351366425</v>
      </c>
      <c r="BT80" s="36">
        <f>(Inventory[[#This Row],[Adjusted Land Total]]-Inventory[[#This Row],[24Lnd]])/Inventory[[#This Row],[24Lnd]]</f>
        <v>-1.360759493670886</v>
      </c>
      <c r="BU80" s="36">
        <f>(Inventory[[#This Row],[Adjusted Total]]-Inventory[[#This Row],[24Final]])/Inventory[[#This Row],[24Final]]</f>
        <v>0.26932195353247984</v>
      </c>
    </row>
    <row r="81" spans="1:73" x14ac:dyDescent="0.3">
      <c r="A81" s="25">
        <v>2025</v>
      </c>
      <c r="B81" s="26" t="s">
        <v>1558</v>
      </c>
      <c r="C81" s="26">
        <f>LN(Inventory[[#This Row],[Acres]])</f>
        <v>-3.2188758248682006</v>
      </c>
      <c r="D81" s="25">
        <v>0.18</v>
      </c>
      <c r="E81" s="25">
        <v>7841</v>
      </c>
      <c r="F81" s="26" t="s">
        <v>543</v>
      </c>
      <c r="G81" s="26" t="s">
        <v>544</v>
      </c>
      <c r="H81" s="26" t="s">
        <v>349</v>
      </c>
      <c r="I81" s="26" t="s">
        <v>605</v>
      </c>
      <c r="J81" s="26" t="s">
        <v>616</v>
      </c>
      <c r="K81" s="26" t="s">
        <v>547</v>
      </c>
      <c r="L81" s="26" t="s">
        <v>351</v>
      </c>
      <c r="M81" s="26" t="s">
        <v>303</v>
      </c>
      <c r="N81" s="26">
        <v>10</v>
      </c>
      <c r="O81" s="26">
        <f>2024-Inventory[[#This Row],[YrBlt]]</f>
        <v>29</v>
      </c>
      <c r="P81" s="26">
        <f>2024-Inventory[[#This Row],[EffYr]]</f>
        <v>29</v>
      </c>
      <c r="Q81" s="25">
        <v>2005</v>
      </c>
      <c r="R81" s="25">
        <v>2005</v>
      </c>
      <c r="S81" s="25">
        <v>2196</v>
      </c>
      <c r="T81" s="27"/>
      <c r="U81" s="27"/>
      <c r="V81" s="27">
        <f>Inventory[[#This Row],[Bsmt]]-Inventory[[#This Row],[FnBsmt]]</f>
        <v>0</v>
      </c>
      <c r="W81" s="27"/>
      <c r="X81" s="27"/>
      <c r="Y81" s="27">
        <f>Inventory[[#This Row],[MainFn]]+Inventory[[#This Row],[UpprFn]]+Inventory[[#This Row],[FnBsmt]]+Inventory[[#This Row],[AddFn]]</f>
        <v>1022</v>
      </c>
      <c r="Z81" s="27">
        <v>2500</v>
      </c>
      <c r="AA81" s="25">
        <v>16</v>
      </c>
      <c r="AB81" s="25">
        <v>576</v>
      </c>
      <c r="AC81" s="27"/>
      <c r="AD81" s="27"/>
      <c r="AE81" s="27"/>
      <c r="AF81" s="27"/>
      <c r="AG81" s="32">
        <v>125</v>
      </c>
      <c r="AH81" s="27"/>
      <c r="AI81" s="25">
        <v>255361</v>
      </c>
      <c r="AJ81" s="25">
        <v>291112</v>
      </c>
      <c r="AK81" s="25">
        <v>0</v>
      </c>
      <c r="AL81" s="25">
        <v>354800</v>
      </c>
      <c r="AM81" s="25">
        <v>76200</v>
      </c>
      <c r="AN81" s="25">
        <v>278600</v>
      </c>
      <c r="AO81" s="25">
        <v>0</v>
      </c>
      <c r="AP81" s="25">
        <f>Lookups!$B$56*0</f>
        <v>0</v>
      </c>
      <c r="AQ81" s="25">
        <f>Lookups!$B$56*1</f>
        <v>89850.625589999996</v>
      </c>
      <c r="AR81" s="25">
        <f>Lookups!$B$57*Inventory[[#This Row],[LnAcres]]</f>
        <v>-101892.2773541973</v>
      </c>
      <c r="AS81" s="25">
        <f>VLOOKUP(Inventory[[#This Row],[Qlty]],Lookups!$A$62:$E$75,2,FALSE)</f>
        <v>21557.329055999999</v>
      </c>
      <c r="AT81" s="25">
        <f>VLOOKUP(Inventory[[#This Row],[Cnd]],Lookups!$A$76:$E$84,2,FALSE)</f>
        <v>160472.20319</v>
      </c>
      <c r="AU81" s="25">
        <f>Inventory[[#This Row],[EffAge]]*Lookups!$B$85</f>
        <v>-6468.3224145000004</v>
      </c>
      <c r="AV81" s="25">
        <f>Inventory[[#This Row],[MainFn]]*Lookups!$B$86</f>
        <v>50495.660614294</v>
      </c>
      <c r="AW81" s="25">
        <f>Inventory[[#This Row],[UpprFn]]*Lookups!$B$87</f>
        <v>0</v>
      </c>
      <c r="AX81" s="25">
        <f>Inventory[[#This Row],[AddFn]]*Lookups!$B$88</f>
        <v>0</v>
      </c>
      <c r="AY81" s="25">
        <f>Inventory[[#This Row],[Bsmt]]*Lookups!$B$89</f>
        <v>0</v>
      </c>
      <c r="AZ81" s="25">
        <f>Inventory[[#This Row],[Fixtures]]*Lookups!$B$90</f>
        <v>30336.176841600001</v>
      </c>
      <c r="BA81" s="25">
        <f>Inventory[[#This Row],[WdDeck]]*Lookups!$B$91</f>
        <v>0</v>
      </c>
      <c r="BB81" s="25">
        <f>ROUND(Inventory[[#This Row],[25Det]],-2)</f>
        <v>15200</v>
      </c>
      <c r="BC81" s="25">
        <f>ROUND(SUM(Inventory[[#This Row],[Mdl Qlty]:[Mdl WdDeck]])+Inventory[[#This Row],[Mdl Res Intercept]],-2)</f>
        <v>256400</v>
      </c>
      <c r="BD81" s="25">
        <f>ROUND(Inventory[[#This Row],[Mdl Land Intercept]]+Inventory[[#This Row],[Mdl LnAcres]],-2)</f>
        <v>-12000</v>
      </c>
      <c r="BE81" s="25">
        <f>Inventory[[#This Row],[Unadj Res Value]]+Inventory[[#This Row],[Unadj Det Value]]+Inventory[[#This Row],[Unadj Land Value]]</f>
        <v>259600</v>
      </c>
      <c r="BF81" s="36">
        <f>(Inventory[[#This Row],[Unadj Total Value]]-Inventory[[#This Row],[24Final]])/Inventory[[#This Row],[24Final]]</f>
        <v>0.26510721247563351</v>
      </c>
      <c r="BG81" s="25">
        <f>VLOOKUP(Inventory[[#This Row],[Nbhd]],Lookups!$Q$2:$T$4,4,FALSE)</f>
        <v>0.99970000000000003</v>
      </c>
      <c r="BH81" s="25">
        <f>VLOOKUP(Inventory[[#This Row],[Qlty]],Lookups!$O$7:$R$21,4,FALSE)</f>
        <v>1.0067999999999999</v>
      </c>
      <c r="BI81" s="29">
        <f>VLOOKUP(Inventory[[#This Row],[Cnd]],Lookups!$T$7:$W$16,4,FALSE)</f>
        <v>0.99729999999999996</v>
      </c>
      <c r="BJ81" s="25">
        <f>VLOOKUP(Inventory[[#This Row],[LivArea Range]],Lookups!$T$25:$W$37,4,FALSE)</f>
        <v>1.0157</v>
      </c>
      <c r="BK81" s="25">
        <f>VLOOKUP(Inventory[[#This Row],[Decade]],Lookups!$O$25:$R$42,4,FALSE)</f>
        <v>0.97319999999999995</v>
      </c>
      <c r="BL81" s="25">
        <f>Inventory[[#This Row],[Nbhd Adj]]*0.95</f>
        <v>0.94971499999999998</v>
      </c>
      <c r="BM81" s="25">
        <f>Inventory[[#This Row],[Nbhd Adj]]*Inventory[[#This Row],[Quality Adj]]*Inventory[[#This Row],[Condition Adj]]*Inventory[[#This Row],[Living Area Adj]]*Inventory[[#This Row],[Decade Adj]]*0.95</f>
        <v>0.9426052971358202</v>
      </c>
      <c r="BN81" s="25">
        <f>ROUND(SUM(Inventory[[#This Row],[Mdl Qlty]:[Mdl WdDeck]])+Inventory[[#This Row],[Mdl Res Intercept]]*Inventory[[#This Row],[Res Adj ]],-2)</f>
        <v>256400</v>
      </c>
      <c r="BO81" s="25">
        <f>ROUND(Inventory[[#This Row],[25Det]]*Inventory[[#This Row],[Det/Nbhd Adj]],-2)</f>
        <v>14500</v>
      </c>
      <c r="BP81" s="25">
        <f>Inventory[[#This Row],[Adjusted Res]]+Inventory[[#This Row],[Adj Det ]]</f>
        <v>270900</v>
      </c>
      <c r="BQ81" s="25">
        <f>ROUND((Inventory[[#This Row],[Mdl Land Intercept]]+Inventory[[#This Row],[Mdl LnAcres]])*Inventory[[#This Row],[Det/Nbhd Adj]],-2)</f>
        <v>-11400</v>
      </c>
      <c r="BR81" s="25">
        <f>Inventory[[#This Row],[Adjusted Impr Total]]+Inventory[[#This Row],[Adjusted Land Total]]</f>
        <v>259500</v>
      </c>
      <c r="BS81" s="36">
        <f>IFERROR((Inventory[[#This Row],[Adjusted Impr Total]]-Inventory[[#This Row],[24Bldg]])/Inventory[[#This Row],[24Bldg]],0)</f>
        <v>0.55332568807339455</v>
      </c>
      <c r="BT81" s="36">
        <f>(Inventory[[#This Row],[Adjusted Land Total]]-Inventory[[#This Row],[24Lnd]])/Inventory[[#This Row],[24Lnd]]</f>
        <v>-1.3701298701298701</v>
      </c>
      <c r="BU81" s="36">
        <f>(Inventory[[#This Row],[Adjusted Total]]-Inventory[[#This Row],[24Final]])/Inventory[[#This Row],[24Final]]</f>
        <v>0.2646198830409357</v>
      </c>
    </row>
    <row r="82" spans="1:73" x14ac:dyDescent="0.3">
      <c r="A82" s="25">
        <v>2025</v>
      </c>
      <c r="B82" s="26" t="s">
        <v>1557</v>
      </c>
      <c r="C82" s="26">
        <f>LN(Inventory[[#This Row],[Acres]])</f>
        <v>-3.2188758248682006</v>
      </c>
      <c r="D82" s="25">
        <v>0.17</v>
      </c>
      <c r="E82" s="25">
        <v>7405</v>
      </c>
      <c r="F82" s="26" t="s">
        <v>543</v>
      </c>
      <c r="G82" s="26" t="s">
        <v>544</v>
      </c>
      <c r="H82" s="26" t="s">
        <v>349</v>
      </c>
      <c r="I82" s="26" t="s">
        <v>605</v>
      </c>
      <c r="J82" s="26" t="s">
        <v>616</v>
      </c>
      <c r="K82" s="26" t="s">
        <v>547</v>
      </c>
      <c r="L82" s="26" t="s">
        <v>351</v>
      </c>
      <c r="M82" s="26" t="s">
        <v>303</v>
      </c>
      <c r="N82" s="26">
        <v>10</v>
      </c>
      <c r="O82" s="26">
        <f>2024-Inventory[[#This Row],[YrBlt]]</f>
        <v>29</v>
      </c>
      <c r="P82" s="26">
        <f>2024-Inventory[[#This Row],[EffYr]]</f>
        <v>29</v>
      </c>
      <c r="Q82" s="25">
        <v>2005</v>
      </c>
      <c r="R82" s="25">
        <v>2005</v>
      </c>
      <c r="S82" s="25">
        <v>2230</v>
      </c>
      <c r="T82" s="27"/>
      <c r="U82" s="27"/>
      <c r="V82" s="27">
        <f>Inventory[[#This Row],[Bsmt]]-Inventory[[#This Row],[FnBsmt]]</f>
        <v>0</v>
      </c>
      <c r="W82" s="27"/>
      <c r="X82" s="27"/>
      <c r="Y82" s="27">
        <f>Inventory[[#This Row],[MainFn]]+Inventory[[#This Row],[UpprFn]]+Inventory[[#This Row],[FnBsmt]]+Inventory[[#This Row],[AddFn]]</f>
        <v>1022</v>
      </c>
      <c r="Z82" s="27">
        <v>2500</v>
      </c>
      <c r="AA82" s="25">
        <v>16</v>
      </c>
      <c r="AB82" s="25">
        <v>590</v>
      </c>
      <c r="AC82" s="27"/>
      <c r="AD82" s="27"/>
      <c r="AE82" s="27"/>
      <c r="AF82" s="27"/>
      <c r="AG82" s="32">
        <v>125</v>
      </c>
      <c r="AH82" s="27"/>
      <c r="AI82" s="25">
        <v>260693</v>
      </c>
      <c r="AJ82" s="25">
        <v>297190</v>
      </c>
      <c r="AK82" s="25">
        <v>0</v>
      </c>
      <c r="AL82" s="25">
        <v>360100</v>
      </c>
      <c r="AM82" s="25">
        <v>75800</v>
      </c>
      <c r="AN82" s="25">
        <v>284300</v>
      </c>
      <c r="AO82" s="25">
        <v>0</v>
      </c>
      <c r="AP82" s="25">
        <f>Lookups!$B$56*0</f>
        <v>0</v>
      </c>
      <c r="AQ82" s="25">
        <f>Lookups!$B$56*1</f>
        <v>89850.625589999996</v>
      </c>
      <c r="AR82" s="25">
        <f>Lookups!$B$57*Inventory[[#This Row],[LnAcres]]</f>
        <v>-101892.2773541973</v>
      </c>
      <c r="AS82" s="25">
        <f>VLOOKUP(Inventory[[#This Row],[Qlty]],Lookups!$A$62:$E$75,2,FALSE)</f>
        <v>21557.329055999999</v>
      </c>
      <c r="AT82" s="25">
        <f>VLOOKUP(Inventory[[#This Row],[Cnd]],Lookups!$A$76:$E$84,2,FALSE)</f>
        <v>160472.20319</v>
      </c>
      <c r="AU82" s="25">
        <f>Inventory[[#This Row],[EffAge]]*Lookups!$B$85</f>
        <v>-6468.3224145000004</v>
      </c>
      <c r="AV82" s="25">
        <f>Inventory[[#This Row],[MainFn]]*Lookups!$B$86</f>
        <v>50495.660614294</v>
      </c>
      <c r="AW82" s="25">
        <f>Inventory[[#This Row],[UpprFn]]*Lookups!$B$87</f>
        <v>0</v>
      </c>
      <c r="AX82" s="25">
        <f>Inventory[[#This Row],[AddFn]]*Lookups!$B$88</f>
        <v>0</v>
      </c>
      <c r="AY82" s="25">
        <f>Inventory[[#This Row],[Bsmt]]*Lookups!$B$89</f>
        <v>0</v>
      </c>
      <c r="AZ82" s="25">
        <f>Inventory[[#This Row],[Fixtures]]*Lookups!$B$90</f>
        <v>30336.176841600001</v>
      </c>
      <c r="BA82" s="25">
        <f>Inventory[[#This Row],[WdDeck]]*Lookups!$B$91</f>
        <v>0</v>
      </c>
      <c r="BB82" s="25">
        <f>ROUND(Inventory[[#This Row],[25Det]],-2)</f>
        <v>23500</v>
      </c>
      <c r="BC82" s="25">
        <f>ROUND(SUM(Inventory[[#This Row],[Mdl Qlty]:[Mdl WdDeck]])+Inventory[[#This Row],[Mdl Res Intercept]],-2)</f>
        <v>256400</v>
      </c>
      <c r="BD82" s="25">
        <f>ROUND(Inventory[[#This Row],[Mdl Land Intercept]]+Inventory[[#This Row],[Mdl LnAcres]],-2)</f>
        <v>-12000</v>
      </c>
      <c r="BE82" s="25">
        <f>Inventory[[#This Row],[Unadj Res Value]]+Inventory[[#This Row],[Unadj Det Value]]+Inventory[[#This Row],[Unadj Land Value]]</f>
        <v>267900</v>
      </c>
      <c r="BF82" s="36">
        <f>(Inventory[[#This Row],[Unadj Total Value]]-Inventory[[#This Row],[24Final]])/Inventory[[#This Row],[24Final]]</f>
        <v>0.24315545243619491</v>
      </c>
      <c r="BG82" s="25">
        <f>VLOOKUP(Inventory[[#This Row],[Nbhd]],Lookups!$Q$2:$T$4,4,FALSE)</f>
        <v>0.99970000000000003</v>
      </c>
      <c r="BH82" s="25">
        <f>VLOOKUP(Inventory[[#This Row],[Qlty]],Lookups!$O$7:$R$21,4,FALSE)</f>
        <v>1.0067999999999999</v>
      </c>
      <c r="BI82" s="29">
        <f>VLOOKUP(Inventory[[#This Row],[Cnd]],Lookups!$T$7:$W$16,4,FALSE)</f>
        <v>0.99729999999999996</v>
      </c>
      <c r="BJ82" s="25">
        <f>VLOOKUP(Inventory[[#This Row],[LivArea Range]],Lookups!$T$25:$W$37,4,FALSE)</f>
        <v>1.0157</v>
      </c>
      <c r="BK82" s="25">
        <f>VLOOKUP(Inventory[[#This Row],[Decade]],Lookups!$O$25:$R$42,4,FALSE)</f>
        <v>0.97319999999999995</v>
      </c>
      <c r="BL82" s="25">
        <f>Inventory[[#This Row],[Nbhd Adj]]*0.95</f>
        <v>0.94971499999999998</v>
      </c>
      <c r="BM82" s="25">
        <f>Inventory[[#This Row],[Nbhd Adj]]*Inventory[[#This Row],[Quality Adj]]*Inventory[[#This Row],[Condition Adj]]*Inventory[[#This Row],[Living Area Adj]]*Inventory[[#This Row],[Decade Adj]]*0.95</f>
        <v>0.9426052971358202</v>
      </c>
      <c r="BN82" s="25">
        <f>ROUND(SUM(Inventory[[#This Row],[Mdl Qlty]:[Mdl WdDeck]])+Inventory[[#This Row],[Mdl Res Intercept]]*Inventory[[#This Row],[Res Adj ]],-2)</f>
        <v>256400</v>
      </c>
      <c r="BO82" s="25">
        <f>ROUND(Inventory[[#This Row],[25Det]]*Inventory[[#This Row],[Det/Nbhd Adj]],-2)</f>
        <v>22300</v>
      </c>
      <c r="BP82" s="25">
        <f>Inventory[[#This Row],[Adjusted Res]]+Inventory[[#This Row],[Adj Det ]]</f>
        <v>278700</v>
      </c>
      <c r="BQ82" s="25">
        <f>ROUND((Inventory[[#This Row],[Mdl Land Intercept]]+Inventory[[#This Row],[Mdl LnAcres]])*Inventory[[#This Row],[Det/Nbhd Adj]],-2)</f>
        <v>-11400</v>
      </c>
      <c r="BR82" s="25">
        <f>Inventory[[#This Row],[Adjusted Impr Total]]+Inventory[[#This Row],[Adjusted Land Total]]</f>
        <v>267300</v>
      </c>
      <c r="BS82" s="36">
        <f>IFERROR((Inventory[[#This Row],[Adjusted Impr Total]]-Inventory[[#This Row],[24Bldg]])/Inventory[[#This Row],[24Bldg]],0)</f>
        <v>0.52128820960698685</v>
      </c>
      <c r="BT82" s="36">
        <f>(Inventory[[#This Row],[Adjusted Land Total]]-Inventory[[#This Row],[24Lnd]])/Inventory[[#This Row],[24Lnd]]</f>
        <v>-1.3529411764705883</v>
      </c>
      <c r="BU82" s="36">
        <f>(Inventory[[#This Row],[Adjusted Total]]-Inventory[[#This Row],[24Final]])/Inventory[[#This Row],[24Final]]</f>
        <v>0.24037122969837588</v>
      </c>
    </row>
    <row r="83" spans="1:73" x14ac:dyDescent="0.3">
      <c r="A83" s="25">
        <v>2025</v>
      </c>
      <c r="B83" s="26" t="s">
        <v>1121</v>
      </c>
      <c r="C83" s="26">
        <f>LN(Inventory[[#This Row],[Acres]])</f>
        <v>-2.2072749131897207</v>
      </c>
      <c r="D83" s="25">
        <v>0.2</v>
      </c>
      <c r="E83" s="25">
        <v>8712</v>
      </c>
      <c r="F83" s="26" t="s">
        <v>543</v>
      </c>
      <c r="G83" s="26" t="s">
        <v>544</v>
      </c>
      <c r="H83" s="26" t="s">
        <v>349</v>
      </c>
      <c r="I83" s="26" t="s">
        <v>605</v>
      </c>
      <c r="J83" s="26" t="s">
        <v>616</v>
      </c>
      <c r="K83" s="26" t="s">
        <v>547</v>
      </c>
      <c r="L83" s="26" t="s">
        <v>351</v>
      </c>
      <c r="M83" s="26" t="s">
        <v>323</v>
      </c>
      <c r="N83" s="26">
        <v>90</v>
      </c>
      <c r="O83" s="26">
        <f>2024-Inventory[[#This Row],[YrBlt]]</f>
        <v>29</v>
      </c>
      <c r="P83" s="26">
        <f>2024-Inventory[[#This Row],[EffYr]]</f>
        <v>29</v>
      </c>
      <c r="Q83" s="25">
        <v>1925</v>
      </c>
      <c r="R83" s="25">
        <v>1968</v>
      </c>
      <c r="S83" s="25">
        <v>2236</v>
      </c>
      <c r="T83" s="27"/>
      <c r="U83" s="32">
        <v>2236</v>
      </c>
      <c r="V83" s="32">
        <f>Inventory[[#This Row],[Bsmt]]-Inventory[[#This Row],[FnBsmt]]</f>
        <v>0</v>
      </c>
      <c r="W83" s="27"/>
      <c r="X83" s="27"/>
      <c r="Y83" s="27">
        <f>Inventory[[#This Row],[MainFn]]+Inventory[[#This Row],[UpprFn]]+Inventory[[#This Row],[FnBsmt]]+Inventory[[#This Row],[AddFn]]</f>
        <v>1220</v>
      </c>
      <c r="Z83" s="27">
        <v>2500</v>
      </c>
      <c r="AA83" s="25">
        <v>10</v>
      </c>
      <c r="AB83" s="31"/>
      <c r="AC83" s="27"/>
      <c r="AD83" s="27"/>
      <c r="AE83" s="27"/>
      <c r="AF83" s="27"/>
      <c r="AG83" s="32">
        <v>125</v>
      </c>
      <c r="AH83" s="27"/>
      <c r="AI83" s="25">
        <v>306126</v>
      </c>
      <c r="AJ83" s="25">
        <v>244901</v>
      </c>
      <c r="AK83" s="25">
        <v>22818</v>
      </c>
      <c r="AL83" s="25">
        <v>319300</v>
      </c>
      <c r="AM83" s="25">
        <v>76000</v>
      </c>
      <c r="AN83" s="25">
        <v>243300</v>
      </c>
      <c r="AO83" s="25">
        <v>0</v>
      </c>
      <c r="AP83" s="25">
        <f>Lookups!$B$56*0</f>
        <v>0</v>
      </c>
      <c r="AQ83" s="25">
        <f>Lookups!$B$56*1</f>
        <v>89850.625589999996</v>
      </c>
      <c r="AR83" s="25">
        <f>Lookups!$B$57*Inventory[[#This Row],[LnAcres]]</f>
        <v>-69870.439211769743</v>
      </c>
      <c r="AS83" s="25">
        <f>VLOOKUP(Inventory[[#This Row],[Qlty]],Lookups!$A$62:$E$75,2,FALSE)</f>
        <v>44121.038090000002</v>
      </c>
      <c r="AT83" s="25">
        <f>VLOOKUP(Inventory[[#This Row],[Cnd]],Lookups!$A$76:$E$84,2,FALSE)</f>
        <v>197752.34721000001</v>
      </c>
      <c r="AU83" s="25">
        <f>Inventory[[#This Row],[EffAge]]*Lookups!$B$85</f>
        <v>-6468.3224145000004</v>
      </c>
      <c r="AV83" s="25">
        <f>Inventory[[#This Row],[MainFn]]*Lookups!$B$86</f>
        <v>43183.177472497999</v>
      </c>
      <c r="AW83" s="25">
        <f>Inventory[[#This Row],[UpprFn]]*Lookups!$B$87</f>
        <v>15496.102309906</v>
      </c>
      <c r="AX83" s="25">
        <f>Inventory[[#This Row],[AddFn]]*Lookups!$B$88</f>
        <v>0</v>
      </c>
      <c r="AY83" s="25">
        <f>Inventory[[#This Row],[Bsmt]]*Lookups!$B$89</f>
        <v>0</v>
      </c>
      <c r="AZ83" s="25">
        <f>Inventory[[#This Row],[Fixtures]]*Lookups!$B$90</f>
        <v>37920.221052000001</v>
      </c>
      <c r="BA83" s="25">
        <f>Inventory[[#This Row],[WdDeck]]*Lookups!$B$91</f>
        <v>3196.3694664960003</v>
      </c>
      <c r="BB83" s="25">
        <f>ROUND(Inventory[[#This Row],[25Det]],-2)</f>
        <v>0</v>
      </c>
      <c r="BC83" s="25">
        <f>ROUND(SUM(Inventory[[#This Row],[Mdl Qlty]:[Mdl WdDeck]])+Inventory[[#This Row],[Mdl Res Intercept]],-2)</f>
        <v>335200</v>
      </c>
      <c r="BD83" s="25">
        <f>ROUND(Inventory[[#This Row],[Mdl Land Intercept]]+Inventory[[#This Row],[Mdl LnAcres]],-2)</f>
        <v>20000</v>
      </c>
      <c r="BE83" s="25">
        <f>Inventory[[#This Row],[Unadj Res Value]]+Inventory[[#This Row],[Unadj Det Value]]+Inventory[[#This Row],[Unadj Land Value]]</f>
        <v>355200</v>
      </c>
      <c r="BF83" s="36">
        <f>(Inventory[[#This Row],[Unadj Total Value]]-Inventory[[#This Row],[24Final]])/Inventory[[#This Row],[24Final]]</f>
        <v>0.15437114072148198</v>
      </c>
      <c r="BG83" s="25">
        <f>VLOOKUP(Inventory[[#This Row],[Nbhd]],Lookups!$Q$2:$T$4,4,FALSE)</f>
        <v>0.99970000000000003</v>
      </c>
      <c r="BH83" s="25">
        <f>VLOOKUP(Inventory[[#This Row],[Qlty]],Lookups!$O$7:$R$21,4,FALSE)</f>
        <v>0.98050000000000004</v>
      </c>
      <c r="BI83" s="29">
        <f>VLOOKUP(Inventory[[#This Row],[Cnd]],Lookups!$T$7:$W$16,4,FALSE)</f>
        <v>0.99650000000000005</v>
      </c>
      <c r="BJ83" s="25">
        <f>VLOOKUP(Inventory[[#This Row],[LivArea Range]],Lookups!$T$25:$W$37,4,FALSE)</f>
        <v>1.0157</v>
      </c>
      <c r="BK83" s="25">
        <f>VLOOKUP(Inventory[[#This Row],[Decade]],Lookups!$O$25:$R$42,4,FALSE)</f>
        <v>0.97319999999999995</v>
      </c>
      <c r="BL83" s="25">
        <f>Inventory[[#This Row],[Nbhd Adj]]*0.95</f>
        <v>0.94971499999999998</v>
      </c>
      <c r="BM83" s="25">
        <f>Inventory[[#This Row],[Nbhd Adj]]*Inventory[[#This Row],[Quality Adj]]*Inventory[[#This Row],[Condition Adj]]*Inventory[[#This Row],[Living Area Adj]]*Inventory[[#This Row],[Decade Adj]]*0.95</f>
        <v>0.91724584079958493</v>
      </c>
      <c r="BN83" s="25">
        <f>ROUND(SUM(Inventory[[#This Row],[Mdl Qlty]:[Mdl WdDeck]])+Inventory[[#This Row],[Mdl Res Intercept]]*Inventory[[#This Row],[Res Adj ]],-2)</f>
        <v>335200</v>
      </c>
      <c r="BO83" s="25">
        <f>ROUND(Inventory[[#This Row],[25Det]]*Inventory[[#This Row],[Det/Nbhd Adj]],-2)</f>
        <v>0</v>
      </c>
      <c r="BP83" s="25">
        <f>Inventory[[#This Row],[Adjusted Res]]+Inventory[[#This Row],[Adj Det ]]</f>
        <v>335200</v>
      </c>
      <c r="BQ83" s="25">
        <f>ROUND((Inventory[[#This Row],[Mdl Land Intercept]]+Inventory[[#This Row],[Mdl LnAcres]])*Inventory[[#This Row],[Det/Nbhd Adj]],-2)</f>
        <v>19000</v>
      </c>
      <c r="BR83" s="25">
        <f>Inventory[[#This Row],[Adjusted Impr Total]]+Inventory[[#This Row],[Adjusted Land Total]]</f>
        <v>354200</v>
      </c>
      <c r="BS83" s="36">
        <f>IFERROR((Inventory[[#This Row],[Adjusted Impr Total]]-Inventory[[#This Row],[24Bldg]])/Inventory[[#This Row],[24Bldg]],0)</f>
        <v>0.26777609682299547</v>
      </c>
      <c r="BT83" s="36">
        <f>(Inventory[[#This Row],[Adjusted Land Total]]-Inventory[[#This Row],[24Lnd]])/Inventory[[#This Row],[24Lnd]]</f>
        <v>-0.56120092378752884</v>
      </c>
      <c r="BU83" s="36">
        <f>(Inventory[[#This Row],[Adjusted Total]]-Inventory[[#This Row],[24Final]])/Inventory[[#This Row],[24Final]]</f>
        <v>0.15112122196945077</v>
      </c>
    </row>
    <row r="84" spans="1:73" x14ac:dyDescent="0.3">
      <c r="A84" s="25">
        <v>2025</v>
      </c>
      <c r="B84" s="26" t="s">
        <v>1554</v>
      </c>
      <c r="C84" s="26">
        <f>LN(Inventory[[#This Row],[Acres]])</f>
        <v>-2.2072749131897207</v>
      </c>
      <c r="D84" s="25">
        <v>0.17</v>
      </c>
      <c r="E84" s="32">
        <v>7405</v>
      </c>
      <c r="F84" s="26" t="s">
        <v>543</v>
      </c>
      <c r="G84" s="26" t="s">
        <v>544</v>
      </c>
      <c r="H84" s="26" t="s">
        <v>349</v>
      </c>
      <c r="I84" s="26" t="s">
        <v>605</v>
      </c>
      <c r="J84" s="26" t="s">
        <v>616</v>
      </c>
      <c r="K84" s="26" t="s">
        <v>547</v>
      </c>
      <c r="L84" s="26" t="s">
        <v>351</v>
      </c>
      <c r="M84" s="26" t="s">
        <v>303</v>
      </c>
      <c r="N84" s="26">
        <v>20</v>
      </c>
      <c r="O84" s="26">
        <f>2024-Inventory[[#This Row],[YrBlt]]</f>
        <v>29</v>
      </c>
      <c r="P84" s="26">
        <f>2024-Inventory[[#This Row],[EffYr]]</f>
        <v>29</v>
      </c>
      <c r="Q84" s="25">
        <v>2004</v>
      </c>
      <c r="R84" s="25">
        <v>2004</v>
      </c>
      <c r="S84" s="25">
        <v>2320</v>
      </c>
      <c r="T84" s="27"/>
      <c r="U84" s="31"/>
      <c r="V84" s="31">
        <f>Inventory[[#This Row],[Bsmt]]-Inventory[[#This Row],[FnBsmt]]</f>
        <v>0</v>
      </c>
      <c r="W84" s="31"/>
      <c r="X84" s="27"/>
      <c r="Y84" s="27">
        <f>Inventory[[#This Row],[MainFn]]+Inventory[[#This Row],[UpprFn]]+Inventory[[#This Row],[FnBsmt]]+Inventory[[#This Row],[AddFn]]</f>
        <v>1220</v>
      </c>
      <c r="Z84" s="27">
        <v>2500</v>
      </c>
      <c r="AA84" s="25">
        <v>16</v>
      </c>
      <c r="AB84" s="32">
        <v>528</v>
      </c>
      <c r="AC84" s="27"/>
      <c r="AD84" s="31"/>
      <c r="AE84" s="27"/>
      <c r="AF84" s="27"/>
      <c r="AG84" s="32">
        <v>125</v>
      </c>
      <c r="AH84" s="27"/>
      <c r="AI84" s="25">
        <v>266005</v>
      </c>
      <c r="AJ84" s="25">
        <v>303246</v>
      </c>
      <c r="AK84" s="25">
        <v>0</v>
      </c>
      <c r="AL84" s="25">
        <v>366600</v>
      </c>
      <c r="AM84" s="25">
        <v>75800</v>
      </c>
      <c r="AN84" s="25">
        <v>290800</v>
      </c>
      <c r="AO84" s="25">
        <v>0</v>
      </c>
      <c r="AP84" s="25">
        <f>Lookups!$B$56*0</f>
        <v>0</v>
      </c>
      <c r="AQ84" s="25">
        <f>Lookups!$B$56*1</f>
        <v>89850.625589999996</v>
      </c>
      <c r="AR84" s="25">
        <f>Lookups!$B$57*Inventory[[#This Row],[LnAcres]]</f>
        <v>-69870.439211769743</v>
      </c>
      <c r="AS84" s="25">
        <f>VLOOKUP(Inventory[[#This Row],[Qlty]],Lookups!$A$62:$E$75,2,FALSE)</f>
        <v>44121.038090000002</v>
      </c>
      <c r="AT84" s="25">
        <f>VLOOKUP(Inventory[[#This Row],[Cnd]],Lookups!$A$76:$E$84,2,FALSE)</f>
        <v>197752.34721000001</v>
      </c>
      <c r="AU84" s="25">
        <f>Inventory[[#This Row],[EffAge]]*Lookups!$B$85</f>
        <v>-6468.3224145000004</v>
      </c>
      <c r="AV84" s="25">
        <f>Inventory[[#This Row],[MainFn]]*Lookups!$B$86</f>
        <v>43183.177472497999</v>
      </c>
      <c r="AW84" s="25">
        <f>Inventory[[#This Row],[UpprFn]]*Lookups!$B$87</f>
        <v>15496.102309906</v>
      </c>
      <c r="AX84" s="25">
        <f>Inventory[[#This Row],[AddFn]]*Lookups!$B$88</f>
        <v>0</v>
      </c>
      <c r="AY84" s="25">
        <f>Inventory[[#This Row],[Bsmt]]*Lookups!$B$89</f>
        <v>0</v>
      </c>
      <c r="AZ84" s="25">
        <f>Inventory[[#This Row],[Fixtures]]*Lookups!$B$90</f>
        <v>37920.221052000001</v>
      </c>
      <c r="BA84" s="25">
        <f>Inventory[[#This Row],[WdDeck]]*Lookups!$B$91</f>
        <v>3196.3694664960003</v>
      </c>
      <c r="BB84" s="25">
        <f>ROUND(Inventory[[#This Row],[25Det]],-2)</f>
        <v>0</v>
      </c>
      <c r="BC84" s="25">
        <f>ROUND(SUM(Inventory[[#This Row],[Mdl Qlty]:[Mdl WdDeck]])+Inventory[[#This Row],[Mdl Res Intercept]],-2)</f>
        <v>335200</v>
      </c>
      <c r="BD84" s="25">
        <f>ROUND(Inventory[[#This Row],[Mdl Land Intercept]]+Inventory[[#This Row],[Mdl LnAcres]],-2)</f>
        <v>20000</v>
      </c>
      <c r="BE84" s="25">
        <f>Inventory[[#This Row],[Unadj Res Value]]+Inventory[[#This Row],[Unadj Det Value]]+Inventory[[#This Row],[Unadj Land Value]]</f>
        <v>355200</v>
      </c>
      <c r="BF84" s="36">
        <f>(Inventory[[#This Row],[Unadj Total Value]]-Inventory[[#This Row],[24Final]])/Inventory[[#This Row],[24Final]]</f>
        <v>0.15437114072148198</v>
      </c>
      <c r="BG84" s="25">
        <f>VLOOKUP(Inventory[[#This Row],[Nbhd]],Lookups!$Q$2:$T$4,4,FALSE)</f>
        <v>0.99970000000000003</v>
      </c>
      <c r="BH84" s="25">
        <f>VLOOKUP(Inventory[[#This Row],[Qlty]],Lookups!$O$7:$R$21,4,FALSE)</f>
        <v>0.98050000000000004</v>
      </c>
      <c r="BI84" s="29">
        <f>VLOOKUP(Inventory[[#This Row],[Cnd]],Lookups!$T$7:$W$16,4,FALSE)</f>
        <v>0.99650000000000005</v>
      </c>
      <c r="BJ84" s="25">
        <f>VLOOKUP(Inventory[[#This Row],[LivArea Range]],Lookups!$T$25:$W$37,4,FALSE)</f>
        <v>1.0157</v>
      </c>
      <c r="BK84" s="25">
        <f>VLOOKUP(Inventory[[#This Row],[Decade]],Lookups!$O$25:$R$42,4,FALSE)</f>
        <v>0.97319999999999995</v>
      </c>
      <c r="BL84" s="25">
        <f>Inventory[[#This Row],[Nbhd Adj]]*0.95</f>
        <v>0.94971499999999998</v>
      </c>
      <c r="BM84" s="25">
        <f>Inventory[[#This Row],[Nbhd Adj]]*Inventory[[#This Row],[Quality Adj]]*Inventory[[#This Row],[Condition Adj]]*Inventory[[#This Row],[Living Area Adj]]*Inventory[[#This Row],[Decade Adj]]*0.95</f>
        <v>0.91724584079958493</v>
      </c>
      <c r="BN84" s="25">
        <f>ROUND(SUM(Inventory[[#This Row],[Mdl Qlty]:[Mdl WdDeck]])+Inventory[[#This Row],[Mdl Res Intercept]]*Inventory[[#This Row],[Res Adj ]],-2)</f>
        <v>335200</v>
      </c>
      <c r="BO84" s="25">
        <f>ROUND(Inventory[[#This Row],[25Det]]*Inventory[[#This Row],[Det/Nbhd Adj]],-2)</f>
        <v>0</v>
      </c>
      <c r="BP84" s="25">
        <f>Inventory[[#This Row],[Adjusted Res]]+Inventory[[#This Row],[Adj Det ]]</f>
        <v>335200</v>
      </c>
      <c r="BQ84" s="25">
        <f>ROUND((Inventory[[#This Row],[Mdl Land Intercept]]+Inventory[[#This Row],[Mdl LnAcres]])*Inventory[[#This Row],[Det/Nbhd Adj]],-2)</f>
        <v>19000</v>
      </c>
      <c r="BR84" s="25">
        <f>Inventory[[#This Row],[Adjusted Impr Total]]+Inventory[[#This Row],[Adjusted Land Total]]</f>
        <v>354200</v>
      </c>
      <c r="BS84" s="36">
        <f>IFERROR((Inventory[[#This Row],[Adjusted Impr Total]]-Inventory[[#This Row],[24Bldg]])/Inventory[[#This Row],[24Bldg]],0)</f>
        <v>0.26777609682299547</v>
      </c>
      <c r="BT84" s="36">
        <f>(Inventory[[#This Row],[Adjusted Land Total]]-Inventory[[#This Row],[24Lnd]])/Inventory[[#This Row],[24Lnd]]</f>
        <v>-0.56120092378752884</v>
      </c>
      <c r="BU84" s="36">
        <f>(Inventory[[#This Row],[Adjusted Total]]-Inventory[[#This Row],[24Final]])/Inventory[[#This Row],[24Final]]</f>
        <v>0.15112122196945077</v>
      </c>
    </row>
    <row r="85" spans="1:73" x14ac:dyDescent="0.3">
      <c r="A85" s="25">
        <v>2025</v>
      </c>
      <c r="B85" s="26" t="s">
        <v>1555</v>
      </c>
      <c r="C85" s="26">
        <f>LN(Inventory[[#This Row],[Acres]])</f>
        <v>-2.2072749131897207</v>
      </c>
      <c r="D85" s="25">
        <v>0.19</v>
      </c>
      <c r="E85" s="32">
        <v>8276</v>
      </c>
      <c r="F85" s="26" t="s">
        <v>543</v>
      </c>
      <c r="G85" s="26" t="s">
        <v>544</v>
      </c>
      <c r="H85" s="26" t="s">
        <v>349</v>
      </c>
      <c r="I85" s="26" t="s">
        <v>605</v>
      </c>
      <c r="J85" s="26" t="s">
        <v>616</v>
      </c>
      <c r="K85" s="26" t="s">
        <v>547</v>
      </c>
      <c r="L85" s="26" t="s">
        <v>351</v>
      </c>
      <c r="M85" s="26" t="s">
        <v>303</v>
      </c>
      <c r="N85" s="26">
        <v>20</v>
      </c>
      <c r="O85" s="26">
        <f>2024-Inventory[[#This Row],[YrBlt]]</f>
        <v>29</v>
      </c>
      <c r="P85" s="26">
        <f>2024-Inventory[[#This Row],[EffYr]]</f>
        <v>29</v>
      </c>
      <c r="Q85" s="25">
        <v>2004</v>
      </c>
      <c r="R85" s="25">
        <v>2004</v>
      </c>
      <c r="S85" s="25">
        <v>2320</v>
      </c>
      <c r="T85" s="27"/>
      <c r="U85" s="31"/>
      <c r="V85" s="31">
        <f>Inventory[[#This Row],[Bsmt]]-Inventory[[#This Row],[FnBsmt]]</f>
        <v>0</v>
      </c>
      <c r="W85" s="31"/>
      <c r="X85" s="27"/>
      <c r="Y85" s="27">
        <f>Inventory[[#This Row],[MainFn]]+Inventory[[#This Row],[UpprFn]]+Inventory[[#This Row],[FnBsmt]]+Inventory[[#This Row],[AddFn]]</f>
        <v>1232</v>
      </c>
      <c r="Z85" s="27">
        <v>2500</v>
      </c>
      <c r="AA85" s="25">
        <v>16</v>
      </c>
      <c r="AB85" s="25">
        <v>528</v>
      </c>
      <c r="AC85" s="27"/>
      <c r="AD85" s="27"/>
      <c r="AE85" s="27"/>
      <c r="AF85" s="27"/>
      <c r="AG85" s="32">
        <v>125</v>
      </c>
      <c r="AH85" s="27"/>
      <c r="AI85" s="25">
        <v>266005</v>
      </c>
      <c r="AJ85" s="25">
        <v>303246</v>
      </c>
      <c r="AK85" s="25">
        <v>0</v>
      </c>
      <c r="AL85" s="25">
        <v>355900</v>
      </c>
      <c r="AM85" s="25">
        <v>65100</v>
      </c>
      <c r="AN85" s="25">
        <v>290800</v>
      </c>
      <c r="AO85" s="25">
        <v>0</v>
      </c>
      <c r="AP85" s="25">
        <f>Lookups!$B$56*0</f>
        <v>0</v>
      </c>
      <c r="AQ85" s="25">
        <f>Lookups!$B$56*1</f>
        <v>89850.625589999996</v>
      </c>
      <c r="AR85" s="25">
        <f>Lookups!$B$57*Inventory[[#This Row],[LnAcres]]</f>
        <v>-69870.439211769743</v>
      </c>
      <c r="AS85" s="25">
        <f>VLOOKUP(Inventory[[#This Row],[Qlty]],Lookups!$A$62:$E$75,2,FALSE)</f>
        <v>44121.038090000002</v>
      </c>
      <c r="AT85" s="25">
        <f>VLOOKUP(Inventory[[#This Row],[Cnd]],Lookups!$A$76:$E$84,2,FALSE)</f>
        <v>197752.34721000001</v>
      </c>
      <c r="AU85" s="25">
        <f>Inventory[[#This Row],[EffAge]]*Lookups!$B$85</f>
        <v>-6468.3224145000004</v>
      </c>
      <c r="AV85" s="25">
        <f>Inventory[[#This Row],[MainFn]]*Lookups!$B$86</f>
        <v>43183.177472497999</v>
      </c>
      <c r="AW85" s="25">
        <f>Inventory[[#This Row],[UpprFn]]*Lookups!$B$87</f>
        <v>16033.539384238</v>
      </c>
      <c r="AX85" s="25">
        <f>Inventory[[#This Row],[AddFn]]*Lookups!$B$88</f>
        <v>0</v>
      </c>
      <c r="AY85" s="25">
        <f>Inventory[[#This Row],[Bsmt]]*Lookups!$B$89</f>
        <v>0</v>
      </c>
      <c r="AZ85" s="25">
        <f>Inventory[[#This Row],[Fixtures]]*Lookups!$B$90</f>
        <v>41712.243157199999</v>
      </c>
      <c r="BA85" s="25">
        <f>Inventory[[#This Row],[WdDeck]]*Lookups!$B$91</f>
        <v>3296.2560123240005</v>
      </c>
      <c r="BB85" s="25">
        <f>ROUND(Inventory[[#This Row],[25Det]],-2)</f>
        <v>0</v>
      </c>
      <c r="BC85" s="25">
        <f>ROUND(SUM(Inventory[[#This Row],[Mdl Qlty]:[Mdl WdDeck]])+Inventory[[#This Row],[Mdl Res Intercept]],-2)</f>
        <v>339600</v>
      </c>
      <c r="BD85" s="25">
        <f>ROUND(Inventory[[#This Row],[Mdl Land Intercept]]+Inventory[[#This Row],[Mdl LnAcres]],-2)</f>
        <v>20000</v>
      </c>
      <c r="BE85" s="25">
        <f>Inventory[[#This Row],[Unadj Res Value]]+Inventory[[#This Row],[Unadj Det Value]]+Inventory[[#This Row],[Unadj Land Value]]</f>
        <v>359600</v>
      </c>
      <c r="BF85" s="36">
        <f>(Inventory[[#This Row],[Unadj Total Value]]-Inventory[[#This Row],[24Final]])/Inventory[[#This Row],[24Final]]</f>
        <v>0.15256410256410258</v>
      </c>
      <c r="BG85" s="25">
        <f>VLOOKUP(Inventory[[#This Row],[Nbhd]],Lookups!$Q$2:$T$4,4,FALSE)</f>
        <v>0.99970000000000003</v>
      </c>
      <c r="BH85" s="25">
        <f>VLOOKUP(Inventory[[#This Row],[Qlty]],Lookups!$O$7:$R$21,4,FALSE)</f>
        <v>0.98050000000000004</v>
      </c>
      <c r="BI85" s="29">
        <f>VLOOKUP(Inventory[[#This Row],[Cnd]],Lookups!$T$7:$W$16,4,FALSE)</f>
        <v>0.99650000000000005</v>
      </c>
      <c r="BJ85" s="25">
        <f>VLOOKUP(Inventory[[#This Row],[LivArea Range]],Lookups!$T$25:$W$37,4,FALSE)</f>
        <v>1.0157</v>
      </c>
      <c r="BK85" s="25">
        <f>VLOOKUP(Inventory[[#This Row],[Decade]],Lookups!$O$25:$R$42,4,FALSE)</f>
        <v>0.97319999999999995</v>
      </c>
      <c r="BL85" s="25">
        <f>Inventory[[#This Row],[Nbhd Adj]]*0.95</f>
        <v>0.94971499999999998</v>
      </c>
      <c r="BM85" s="25">
        <f>Inventory[[#This Row],[Nbhd Adj]]*Inventory[[#This Row],[Quality Adj]]*Inventory[[#This Row],[Condition Adj]]*Inventory[[#This Row],[Living Area Adj]]*Inventory[[#This Row],[Decade Adj]]*0.95</f>
        <v>0.91724584079958493</v>
      </c>
      <c r="BN85" s="25">
        <f>ROUND(SUM(Inventory[[#This Row],[Mdl Qlty]:[Mdl WdDeck]])+Inventory[[#This Row],[Mdl Res Intercept]]*Inventory[[#This Row],[Res Adj ]],-2)</f>
        <v>339600</v>
      </c>
      <c r="BO85" s="25">
        <f>ROUND(Inventory[[#This Row],[25Det]]*Inventory[[#This Row],[Det/Nbhd Adj]],-2)</f>
        <v>0</v>
      </c>
      <c r="BP85" s="25">
        <f>Inventory[[#This Row],[Adjusted Res]]+Inventory[[#This Row],[Adj Det ]]</f>
        <v>339600</v>
      </c>
      <c r="BQ85" s="25">
        <f>ROUND((Inventory[[#This Row],[Mdl Land Intercept]]+Inventory[[#This Row],[Mdl LnAcres]])*Inventory[[#This Row],[Det/Nbhd Adj]],-2)</f>
        <v>19000</v>
      </c>
      <c r="BR85" s="25">
        <f>Inventory[[#This Row],[Adjusted Impr Total]]+Inventory[[#This Row],[Adjusted Land Total]]</f>
        <v>358600</v>
      </c>
      <c r="BS85" s="36">
        <f>IFERROR((Inventory[[#This Row],[Adjusted Impr Total]]-Inventory[[#This Row],[24Bldg]])/Inventory[[#This Row],[24Bldg]],0)</f>
        <v>0.26386304428730928</v>
      </c>
      <c r="BT85" s="36">
        <f>(Inventory[[#This Row],[Adjusted Land Total]]-Inventory[[#This Row],[24Lnd]])/Inventory[[#This Row],[24Lnd]]</f>
        <v>-0.56120092378752884</v>
      </c>
      <c r="BU85" s="36">
        <f>(Inventory[[#This Row],[Adjusted Total]]-Inventory[[#This Row],[24Final]])/Inventory[[#This Row],[24Final]]</f>
        <v>0.14935897435897436</v>
      </c>
    </row>
    <row r="86" spans="1:73" x14ac:dyDescent="0.3">
      <c r="A86" s="25">
        <v>2025</v>
      </c>
      <c r="B86" s="26" t="s">
        <v>2569</v>
      </c>
      <c r="C86" s="26">
        <f>LN(Inventory[[#This Row],[Acres]])</f>
        <v>-2.2072749131897207</v>
      </c>
      <c r="D86" s="25">
        <v>0.16</v>
      </c>
      <c r="E86" s="25">
        <v>7010</v>
      </c>
      <c r="F86" s="26" t="s">
        <v>543</v>
      </c>
      <c r="G86" s="26" t="s">
        <v>544</v>
      </c>
      <c r="H86" s="26" t="s">
        <v>349</v>
      </c>
      <c r="I86" s="26" t="s">
        <v>605</v>
      </c>
      <c r="J86" s="26" t="s">
        <v>616</v>
      </c>
      <c r="K86" s="26" t="s">
        <v>547</v>
      </c>
      <c r="L86" s="26" t="s">
        <v>351</v>
      </c>
      <c r="M86" s="26" t="s">
        <v>323</v>
      </c>
      <c r="N86" s="26">
        <v>90</v>
      </c>
      <c r="O86" s="26">
        <f>2024-Inventory[[#This Row],[YrBlt]]</f>
        <v>29</v>
      </c>
      <c r="P86" s="26">
        <f>2024-Inventory[[#This Row],[EffYr]]</f>
        <v>29</v>
      </c>
      <c r="Q86" s="25">
        <v>1925</v>
      </c>
      <c r="R86" s="25">
        <v>1968</v>
      </c>
      <c r="S86" s="25">
        <v>1628</v>
      </c>
      <c r="T86" s="27"/>
      <c r="U86" s="25">
        <v>1628</v>
      </c>
      <c r="V86" s="25">
        <f>Inventory[[#This Row],[Bsmt]]-Inventory[[#This Row],[FnBsmt]]</f>
        <v>0</v>
      </c>
      <c r="W86" s="25">
        <v>836</v>
      </c>
      <c r="X86" s="27"/>
      <c r="Y86" s="27">
        <f>Inventory[[#This Row],[MainFn]]+Inventory[[#This Row],[UpprFn]]+Inventory[[#This Row],[FnBsmt]]+Inventory[[#This Row],[AddFn]]</f>
        <v>1232</v>
      </c>
      <c r="Z86" s="27">
        <v>2500</v>
      </c>
      <c r="AA86" s="25">
        <v>10</v>
      </c>
      <c r="AB86" s="27"/>
      <c r="AC86" s="27"/>
      <c r="AD86" s="27"/>
      <c r="AE86" s="27"/>
      <c r="AF86" s="27"/>
      <c r="AG86" s="32">
        <v>125</v>
      </c>
      <c r="AH86" s="27"/>
      <c r="AI86" s="25">
        <v>266692</v>
      </c>
      <c r="AJ86" s="25">
        <v>213354</v>
      </c>
      <c r="AK86" s="25">
        <v>7976</v>
      </c>
      <c r="AL86" s="25">
        <v>288500</v>
      </c>
      <c r="AM86" s="25">
        <v>88200</v>
      </c>
      <c r="AN86" s="25">
        <v>200300</v>
      </c>
      <c r="AO86" s="25">
        <v>0</v>
      </c>
      <c r="AP86" s="25">
        <f>Lookups!$B$56*0</f>
        <v>0</v>
      </c>
      <c r="AQ86" s="25">
        <f>Lookups!$B$56*1</f>
        <v>89850.625589999996</v>
      </c>
      <c r="AR86" s="25">
        <f>Lookups!$B$57*Inventory[[#This Row],[LnAcres]]</f>
        <v>-69870.439211769743</v>
      </c>
      <c r="AS86" s="25">
        <f>VLOOKUP(Inventory[[#This Row],[Qlty]],Lookups!$A$62:$E$75,2,FALSE)</f>
        <v>44121.038090000002</v>
      </c>
      <c r="AT86" s="25">
        <f>VLOOKUP(Inventory[[#This Row],[Cnd]],Lookups!$A$76:$E$84,2,FALSE)</f>
        <v>197752.34721000001</v>
      </c>
      <c r="AU86" s="25">
        <f>Inventory[[#This Row],[EffAge]]*Lookups!$B$85</f>
        <v>-6468.3224145000004</v>
      </c>
      <c r="AV86" s="25">
        <f>Inventory[[#This Row],[MainFn]]*Lookups!$B$86</f>
        <v>43183.177472497999</v>
      </c>
      <c r="AW86" s="25">
        <f>Inventory[[#This Row],[UpprFn]]*Lookups!$B$87</f>
        <v>16033.539384238</v>
      </c>
      <c r="AX86" s="25">
        <f>Inventory[[#This Row],[AddFn]]*Lookups!$B$88</f>
        <v>0</v>
      </c>
      <c r="AY86" s="25">
        <f>Inventory[[#This Row],[Bsmt]]*Lookups!$B$89</f>
        <v>0</v>
      </c>
      <c r="AZ86" s="25">
        <f>Inventory[[#This Row],[Fixtures]]*Lookups!$B$90</f>
        <v>41712.243157199999</v>
      </c>
      <c r="BA86" s="25">
        <f>Inventory[[#This Row],[WdDeck]]*Lookups!$B$91</f>
        <v>3296.2560123240005</v>
      </c>
      <c r="BB86" s="25">
        <f>ROUND(Inventory[[#This Row],[25Det]],-2)</f>
        <v>0</v>
      </c>
      <c r="BC86" s="25">
        <f>ROUND(SUM(Inventory[[#This Row],[Mdl Qlty]:[Mdl WdDeck]])+Inventory[[#This Row],[Mdl Res Intercept]],-2)</f>
        <v>339600</v>
      </c>
      <c r="BD86" s="25">
        <f>ROUND(Inventory[[#This Row],[Mdl Land Intercept]]+Inventory[[#This Row],[Mdl LnAcres]],-2)</f>
        <v>20000</v>
      </c>
      <c r="BE86" s="25">
        <f>Inventory[[#This Row],[Unadj Res Value]]+Inventory[[#This Row],[Unadj Det Value]]+Inventory[[#This Row],[Unadj Land Value]]</f>
        <v>359600</v>
      </c>
      <c r="BF86" s="36">
        <f>(Inventory[[#This Row],[Unadj Total Value]]-Inventory[[#This Row],[24Final]])/Inventory[[#This Row],[24Final]]</f>
        <v>0.14778167890201085</v>
      </c>
      <c r="BG86" s="25">
        <f>VLOOKUP(Inventory[[#This Row],[Nbhd]],Lookups!$Q$2:$T$4,4,FALSE)</f>
        <v>0.99970000000000003</v>
      </c>
      <c r="BH86" s="25">
        <f>VLOOKUP(Inventory[[#This Row],[Qlty]],Lookups!$O$7:$R$21,4,FALSE)</f>
        <v>0.98050000000000004</v>
      </c>
      <c r="BI86" s="29">
        <f>VLOOKUP(Inventory[[#This Row],[Cnd]],Lookups!$T$7:$W$16,4,FALSE)</f>
        <v>0.99650000000000005</v>
      </c>
      <c r="BJ86" s="25">
        <f>VLOOKUP(Inventory[[#This Row],[LivArea Range]],Lookups!$T$25:$W$37,4,FALSE)</f>
        <v>1.0157</v>
      </c>
      <c r="BK86" s="25">
        <f>VLOOKUP(Inventory[[#This Row],[Decade]],Lookups!$O$25:$R$42,4,FALSE)</f>
        <v>0.97319999999999995</v>
      </c>
      <c r="BL86" s="25">
        <f>Inventory[[#This Row],[Nbhd Adj]]*0.95</f>
        <v>0.94971499999999998</v>
      </c>
      <c r="BM86" s="25">
        <f>Inventory[[#This Row],[Nbhd Adj]]*Inventory[[#This Row],[Quality Adj]]*Inventory[[#This Row],[Condition Adj]]*Inventory[[#This Row],[Living Area Adj]]*Inventory[[#This Row],[Decade Adj]]*0.95</f>
        <v>0.91724584079958493</v>
      </c>
      <c r="BN86" s="25">
        <f>ROUND(SUM(Inventory[[#This Row],[Mdl Qlty]:[Mdl WdDeck]])+Inventory[[#This Row],[Mdl Res Intercept]]*Inventory[[#This Row],[Res Adj ]],-2)</f>
        <v>339600</v>
      </c>
      <c r="BO86" s="25">
        <f>ROUND(Inventory[[#This Row],[25Det]]*Inventory[[#This Row],[Det/Nbhd Adj]],-2)</f>
        <v>0</v>
      </c>
      <c r="BP86" s="25">
        <f>Inventory[[#This Row],[Adjusted Res]]+Inventory[[#This Row],[Adj Det ]]</f>
        <v>339600</v>
      </c>
      <c r="BQ86" s="25">
        <f>ROUND((Inventory[[#This Row],[Mdl Land Intercept]]+Inventory[[#This Row],[Mdl LnAcres]])*Inventory[[#This Row],[Det/Nbhd Adj]],-2)</f>
        <v>19000</v>
      </c>
      <c r="BR86" s="25">
        <f>Inventory[[#This Row],[Adjusted Impr Total]]+Inventory[[#This Row],[Adjusted Land Total]]</f>
        <v>358600</v>
      </c>
      <c r="BS86" s="36">
        <f>IFERROR((Inventory[[#This Row],[Adjusted Impr Total]]-Inventory[[#This Row],[24Bldg]])/Inventory[[#This Row],[24Bldg]],0)</f>
        <v>0.25777777777777777</v>
      </c>
      <c r="BT86" s="36">
        <f>(Inventory[[#This Row],[Adjusted Land Total]]-Inventory[[#This Row],[24Lnd]])/Inventory[[#This Row],[24Lnd]]</f>
        <v>-0.56120092378752884</v>
      </c>
      <c r="BU86" s="36">
        <f>(Inventory[[#This Row],[Adjusted Total]]-Inventory[[#This Row],[24Final]])/Inventory[[#This Row],[24Final]]</f>
        <v>0.14458984998404087</v>
      </c>
    </row>
    <row r="87" spans="1:73" x14ac:dyDescent="0.3">
      <c r="A87" s="25">
        <v>2025</v>
      </c>
      <c r="B87" s="26" t="s">
        <v>617</v>
      </c>
      <c r="C87" s="26">
        <f>LN(Inventory[[#This Row],[Acres]])</f>
        <v>-3.2188758248682006</v>
      </c>
      <c r="D87" s="25">
        <v>0.16</v>
      </c>
      <c r="E87" s="25">
        <v>6970</v>
      </c>
      <c r="F87" s="26" t="s">
        <v>543</v>
      </c>
      <c r="G87" s="26" t="s">
        <v>544</v>
      </c>
      <c r="H87" s="26" t="s">
        <v>349</v>
      </c>
      <c r="I87" s="26" t="s">
        <v>605</v>
      </c>
      <c r="J87" s="26" t="s">
        <v>616</v>
      </c>
      <c r="K87" s="26" t="s">
        <v>547</v>
      </c>
      <c r="L87" s="26" t="s">
        <v>351</v>
      </c>
      <c r="M87" s="26" t="s">
        <v>323</v>
      </c>
      <c r="N87" s="26">
        <v>30</v>
      </c>
      <c r="O87" s="26">
        <f>2024-Inventory[[#This Row],[YrBlt]]</f>
        <v>29</v>
      </c>
      <c r="P87" s="26">
        <f>2024-Inventory[[#This Row],[EffYr]]</f>
        <v>29</v>
      </c>
      <c r="Q87" s="25">
        <v>1990</v>
      </c>
      <c r="R87" s="25">
        <v>1990</v>
      </c>
      <c r="S87" s="25">
        <v>952</v>
      </c>
      <c r="T87" s="32">
        <v>1628</v>
      </c>
      <c r="U87" s="27"/>
      <c r="V87" s="27">
        <f>Inventory[[#This Row],[Bsmt]]-Inventory[[#This Row],[FnBsmt]]</f>
        <v>0</v>
      </c>
      <c r="W87" s="27"/>
      <c r="X87" s="27"/>
      <c r="Y87" s="27">
        <f>Inventory[[#This Row],[MainFn]]+Inventory[[#This Row],[UpprFn]]+Inventory[[#This Row],[FnBsmt]]+Inventory[[#This Row],[AddFn]]</f>
        <v>1234</v>
      </c>
      <c r="Z87" s="27">
        <v>3000</v>
      </c>
      <c r="AA87" s="25">
        <v>16</v>
      </c>
      <c r="AB87" s="31"/>
      <c r="AC87" s="32">
        <v>676</v>
      </c>
      <c r="AD87" s="32">
        <v>200</v>
      </c>
      <c r="AE87" s="27"/>
      <c r="AF87" s="27"/>
      <c r="AG87" s="32">
        <v>125</v>
      </c>
      <c r="AH87" s="27"/>
      <c r="AI87" s="25">
        <v>259528</v>
      </c>
      <c r="AJ87" s="25">
        <v>272504</v>
      </c>
      <c r="AK87" s="25">
        <v>0</v>
      </c>
      <c r="AL87" s="25">
        <v>346900</v>
      </c>
      <c r="AM87" s="25">
        <v>88600</v>
      </c>
      <c r="AN87" s="25">
        <v>258300</v>
      </c>
      <c r="AO87" s="25">
        <v>0</v>
      </c>
      <c r="AP87" s="25">
        <f>Lookups!$B$56*0</f>
        <v>0</v>
      </c>
      <c r="AQ87" s="25">
        <f>Lookups!$B$56*1</f>
        <v>89850.625589999996</v>
      </c>
      <c r="AR87" s="25">
        <f>Lookups!$B$57*Inventory[[#This Row],[LnAcres]]</f>
        <v>-101892.2773541973</v>
      </c>
      <c r="AS87" s="25">
        <f>VLOOKUP(Inventory[[#This Row],[Qlty]],Lookups!$A$62:$E$75,2,FALSE)</f>
        <v>21557.329055999999</v>
      </c>
      <c r="AT87" s="25">
        <f>VLOOKUP(Inventory[[#This Row],[Cnd]],Lookups!$A$76:$E$84,2,FALSE)</f>
        <v>160472.20319</v>
      </c>
      <c r="AU87" s="25">
        <f>Inventory[[#This Row],[EffAge]]*Lookups!$B$85</f>
        <v>-6468.3224145000004</v>
      </c>
      <c r="AV87" s="25">
        <f>Inventory[[#This Row],[MainFn]]*Lookups!$B$86</f>
        <v>60970.298628217999</v>
      </c>
      <c r="AW87" s="25">
        <f>Inventory[[#This Row],[UpprFn]]*Lookups!$B$87</f>
        <v>0</v>
      </c>
      <c r="AX87" s="25">
        <f>Inventory[[#This Row],[AddFn]]*Lookups!$B$88</f>
        <v>0</v>
      </c>
      <c r="AY87" s="25">
        <f>Inventory[[#This Row],[Bsmt]]*Lookups!$B$89</f>
        <v>0</v>
      </c>
      <c r="AZ87" s="25">
        <f>Inventory[[#This Row],[Fixtures]]*Lookups!$B$90</f>
        <v>30336.176841600001</v>
      </c>
      <c r="BA87" s="25">
        <f>Inventory[[#This Row],[WdDeck]]*Lookups!$B$91</f>
        <v>0</v>
      </c>
      <c r="BB87" s="25">
        <f>ROUND(Inventory[[#This Row],[25Det]],-2)</f>
        <v>22300</v>
      </c>
      <c r="BC87" s="25">
        <f>ROUND(SUM(Inventory[[#This Row],[Mdl Qlty]:[Mdl WdDeck]])+Inventory[[#This Row],[Mdl Res Intercept]],-2)</f>
        <v>266900</v>
      </c>
      <c r="BD87" s="25">
        <f>ROUND(Inventory[[#This Row],[Mdl Land Intercept]]+Inventory[[#This Row],[Mdl LnAcres]],-2)</f>
        <v>-12000</v>
      </c>
      <c r="BE87" s="25">
        <f>Inventory[[#This Row],[Unadj Res Value]]+Inventory[[#This Row],[Unadj Det Value]]+Inventory[[#This Row],[Unadj Land Value]]</f>
        <v>277200</v>
      </c>
      <c r="BF87" s="36">
        <f>(Inventory[[#This Row],[Unadj Total Value]]-Inventory[[#This Row],[24Final]])/Inventory[[#This Row],[24Final]]</f>
        <v>0.14027149321266968</v>
      </c>
      <c r="BG87" s="25">
        <f>VLOOKUP(Inventory[[#This Row],[Nbhd]],Lookups!$Q$2:$T$4,4,FALSE)</f>
        <v>0.99970000000000003</v>
      </c>
      <c r="BH87" s="25">
        <f>VLOOKUP(Inventory[[#This Row],[Qlty]],Lookups!$O$7:$R$21,4,FALSE)</f>
        <v>1.0067999999999999</v>
      </c>
      <c r="BI87" s="29">
        <f>VLOOKUP(Inventory[[#This Row],[Cnd]],Lookups!$T$7:$W$16,4,FALSE)</f>
        <v>0.99729999999999996</v>
      </c>
      <c r="BJ87" s="25">
        <f>VLOOKUP(Inventory[[#This Row],[LivArea Range]],Lookups!$T$25:$W$37,4,FALSE)</f>
        <v>1.0157</v>
      </c>
      <c r="BK87" s="25">
        <f>VLOOKUP(Inventory[[#This Row],[Decade]],Lookups!$O$25:$R$42,4,FALSE)</f>
        <v>0.97319999999999995</v>
      </c>
      <c r="BL87" s="25">
        <f>Inventory[[#This Row],[Nbhd Adj]]*0.95</f>
        <v>0.94971499999999998</v>
      </c>
      <c r="BM87" s="25">
        <f>Inventory[[#This Row],[Nbhd Adj]]*Inventory[[#This Row],[Quality Adj]]*Inventory[[#This Row],[Condition Adj]]*Inventory[[#This Row],[Living Area Adj]]*Inventory[[#This Row],[Decade Adj]]*0.95</f>
        <v>0.9426052971358202</v>
      </c>
      <c r="BN87" s="25">
        <f>ROUND(SUM(Inventory[[#This Row],[Mdl Qlty]:[Mdl WdDeck]])+Inventory[[#This Row],[Mdl Res Intercept]]*Inventory[[#This Row],[Res Adj ]],-2)</f>
        <v>266900</v>
      </c>
      <c r="BO87" s="25">
        <f>ROUND(Inventory[[#This Row],[25Det]]*Inventory[[#This Row],[Det/Nbhd Adj]],-2)</f>
        <v>21200</v>
      </c>
      <c r="BP87" s="25">
        <f>Inventory[[#This Row],[Adjusted Res]]+Inventory[[#This Row],[Adj Det ]]</f>
        <v>288100</v>
      </c>
      <c r="BQ87" s="25">
        <f>ROUND((Inventory[[#This Row],[Mdl Land Intercept]]+Inventory[[#This Row],[Mdl LnAcres]])*Inventory[[#This Row],[Det/Nbhd Adj]],-2)</f>
        <v>-11400</v>
      </c>
      <c r="BR87" s="25">
        <f>Inventory[[#This Row],[Adjusted Impr Total]]+Inventory[[#This Row],[Adjusted Land Total]]</f>
        <v>276700</v>
      </c>
      <c r="BS87" s="36">
        <f>IFERROR((Inventory[[#This Row],[Adjusted Impr Total]]-Inventory[[#This Row],[24Bldg]])/Inventory[[#This Row],[24Bldg]],0)</f>
        <v>0.39448209099709586</v>
      </c>
      <c r="BT87" s="36">
        <f>(Inventory[[#This Row],[Adjusted Land Total]]-Inventory[[#This Row],[24Lnd]])/Inventory[[#This Row],[24Lnd]]</f>
        <v>-1.3123287671232877</v>
      </c>
      <c r="BU87" s="36">
        <f>(Inventory[[#This Row],[Adjusted Total]]-Inventory[[#This Row],[24Final]])/Inventory[[#This Row],[24Final]]</f>
        <v>0.13821472645002056</v>
      </c>
    </row>
    <row r="88" spans="1:73" x14ac:dyDescent="0.3">
      <c r="A88" s="25">
        <v>2025</v>
      </c>
      <c r="B88" s="26" t="s">
        <v>1561</v>
      </c>
      <c r="C88" s="26">
        <f>LN(Inventory[[#This Row],[Acres]])</f>
        <v>-3.2188758248682006</v>
      </c>
      <c r="D88" s="25">
        <v>0.24</v>
      </c>
      <c r="E88" s="32">
        <v>10446</v>
      </c>
      <c r="F88" s="26" t="s">
        <v>543</v>
      </c>
      <c r="G88" s="26" t="s">
        <v>544</v>
      </c>
      <c r="H88" s="26" t="s">
        <v>349</v>
      </c>
      <c r="I88" s="26" t="s">
        <v>605</v>
      </c>
      <c r="J88" s="26" t="s">
        <v>616</v>
      </c>
      <c r="K88" s="26" t="s">
        <v>547</v>
      </c>
      <c r="L88" s="26" t="s">
        <v>351</v>
      </c>
      <c r="M88" s="26" t="s">
        <v>303</v>
      </c>
      <c r="N88" s="26">
        <v>20</v>
      </c>
      <c r="O88" s="26">
        <f>2024-Inventory[[#This Row],[YrBlt]]</f>
        <v>29</v>
      </c>
      <c r="P88" s="26">
        <f>2024-Inventory[[#This Row],[EffYr]]</f>
        <v>29</v>
      </c>
      <c r="Q88" s="25">
        <v>2004</v>
      </c>
      <c r="R88" s="25">
        <v>2004</v>
      </c>
      <c r="S88" s="25">
        <v>2688</v>
      </c>
      <c r="T88" s="27"/>
      <c r="U88" s="31"/>
      <c r="V88" s="27">
        <f>Inventory[[#This Row],[Bsmt]]-Inventory[[#This Row],[FnBsmt]]</f>
        <v>0</v>
      </c>
      <c r="W88" s="27"/>
      <c r="X88" s="27"/>
      <c r="Y88" s="27">
        <f>Inventory[[#This Row],[MainFn]]+Inventory[[#This Row],[UpprFn]]+Inventory[[#This Row],[FnBsmt]]+Inventory[[#This Row],[AddFn]]</f>
        <v>1246</v>
      </c>
      <c r="Z88" s="27">
        <v>3000</v>
      </c>
      <c r="AA88" s="25">
        <v>16</v>
      </c>
      <c r="AB88" s="32">
        <v>1000</v>
      </c>
      <c r="AC88" s="27"/>
      <c r="AD88" s="27"/>
      <c r="AE88" s="27"/>
      <c r="AF88" s="27"/>
      <c r="AG88" s="32">
        <v>125</v>
      </c>
      <c r="AH88" s="27"/>
      <c r="AI88" s="25">
        <v>311230</v>
      </c>
      <c r="AJ88" s="25">
        <v>354802</v>
      </c>
      <c r="AK88" s="25">
        <v>0</v>
      </c>
      <c r="AL88" s="25">
        <v>414200</v>
      </c>
      <c r="AM88" s="25">
        <v>74500</v>
      </c>
      <c r="AN88" s="25">
        <v>339700</v>
      </c>
      <c r="AO88" s="25">
        <v>0</v>
      </c>
      <c r="AP88" s="25">
        <f>Lookups!$B$56*0</f>
        <v>0</v>
      </c>
      <c r="AQ88" s="25">
        <f>Lookups!$B$56*1</f>
        <v>89850.625589999996</v>
      </c>
      <c r="AR88" s="25">
        <f>Lookups!$B$57*Inventory[[#This Row],[LnAcres]]</f>
        <v>-101892.2773541973</v>
      </c>
      <c r="AS88" s="25">
        <f>VLOOKUP(Inventory[[#This Row],[Qlty]],Lookups!$A$62:$E$75,2,FALSE)</f>
        <v>21557.329055999999</v>
      </c>
      <c r="AT88" s="25">
        <f>VLOOKUP(Inventory[[#This Row],[Cnd]],Lookups!$A$76:$E$84,2,FALSE)</f>
        <v>160472.20319</v>
      </c>
      <c r="AU88" s="25">
        <f>Inventory[[#This Row],[EffAge]]*Lookups!$B$85</f>
        <v>-6468.3224145000004</v>
      </c>
      <c r="AV88" s="25">
        <f>Inventory[[#This Row],[MainFn]]*Lookups!$B$86</f>
        <v>61563.202666742</v>
      </c>
      <c r="AW88" s="25">
        <f>Inventory[[#This Row],[UpprFn]]*Lookups!$B$87</f>
        <v>0</v>
      </c>
      <c r="AX88" s="25">
        <f>Inventory[[#This Row],[AddFn]]*Lookups!$B$88</f>
        <v>0</v>
      </c>
      <c r="AY88" s="25">
        <f>Inventory[[#This Row],[Bsmt]]*Lookups!$B$89</f>
        <v>0</v>
      </c>
      <c r="AZ88" s="25">
        <f>Inventory[[#This Row],[Fixtures]]*Lookups!$B$90</f>
        <v>30336.176841600001</v>
      </c>
      <c r="BA88" s="25">
        <f>Inventory[[#This Row],[WdDeck]]*Lookups!$B$91</f>
        <v>0</v>
      </c>
      <c r="BB88" s="25">
        <f>ROUND(Inventory[[#This Row],[25Det]],-2)</f>
        <v>22300</v>
      </c>
      <c r="BC88" s="25">
        <f>ROUND(SUM(Inventory[[#This Row],[Mdl Qlty]:[Mdl WdDeck]])+Inventory[[#This Row],[Mdl Res Intercept]],-2)</f>
        <v>267500</v>
      </c>
      <c r="BD88" s="25">
        <f>ROUND(Inventory[[#This Row],[Mdl Land Intercept]]+Inventory[[#This Row],[Mdl LnAcres]],-2)</f>
        <v>-12000</v>
      </c>
      <c r="BE88" s="25">
        <f>Inventory[[#This Row],[Unadj Res Value]]+Inventory[[#This Row],[Unadj Det Value]]+Inventory[[#This Row],[Unadj Land Value]]</f>
        <v>277800</v>
      </c>
      <c r="BF88" s="36">
        <f>(Inventory[[#This Row],[Unadj Total Value]]-Inventory[[#This Row],[24Final]])/Inventory[[#This Row],[24Final]]</f>
        <v>0.13064713064713065</v>
      </c>
      <c r="BG88" s="25">
        <f>VLOOKUP(Inventory[[#This Row],[Nbhd]],Lookups!$Q$2:$T$4,4,FALSE)</f>
        <v>0.99970000000000003</v>
      </c>
      <c r="BH88" s="25">
        <f>VLOOKUP(Inventory[[#This Row],[Qlty]],Lookups!$O$7:$R$21,4,FALSE)</f>
        <v>1.0067999999999999</v>
      </c>
      <c r="BI88" s="29">
        <f>VLOOKUP(Inventory[[#This Row],[Cnd]],Lookups!$T$7:$W$16,4,FALSE)</f>
        <v>0.99729999999999996</v>
      </c>
      <c r="BJ88" s="25">
        <f>VLOOKUP(Inventory[[#This Row],[LivArea Range]],Lookups!$T$25:$W$37,4,FALSE)</f>
        <v>1.0157</v>
      </c>
      <c r="BK88" s="25">
        <f>VLOOKUP(Inventory[[#This Row],[Decade]],Lookups!$O$25:$R$42,4,FALSE)</f>
        <v>0.97319999999999995</v>
      </c>
      <c r="BL88" s="25">
        <f>Inventory[[#This Row],[Nbhd Adj]]*0.95</f>
        <v>0.94971499999999998</v>
      </c>
      <c r="BM88" s="25">
        <f>Inventory[[#This Row],[Nbhd Adj]]*Inventory[[#This Row],[Quality Adj]]*Inventory[[#This Row],[Condition Adj]]*Inventory[[#This Row],[Living Area Adj]]*Inventory[[#This Row],[Decade Adj]]*0.95</f>
        <v>0.9426052971358202</v>
      </c>
      <c r="BN88" s="25">
        <f>ROUND(SUM(Inventory[[#This Row],[Mdl Qlty]:[Mdl WdDeck]])+Inventory[[#This Row],[Mdl Res Intercept]]*Inventory[[#This Row],[Res Adj ]],-2)</f>
        <v>267500</v>
      </c>
      <c r="BO88" s="25">
        <f>ROUND(Inventory[[#This Row],[25Det]]*Inventory[[#This Row],[Det/Nbhd Adj]],-2)</f>
        <v>21200</v>
      </c>
      <c r="BP88" s="25">
        <f>Inventory[[#This Row],[Adjusted Res]]+Inventory[[#This Row],[Adj Det ]]</f>
        <v>288700</v>
      </c>
      <c r="BQ88" s="25">
        <f>ROUND((Inventory[[#This Row],[Mdl Land Intercept]]+Inventory[[#This Row],[Mdl LnAcres]])*Inventory[[#This Row],[Det/Nbhd Adj]],-2)</f>
        <v>-11400</v>
      </c>
      <c r="BR88" s="25">
        <f>Inventory[[#This Row],[Adjusted Impr Total]]+Inventory[[#This Row],[Adjusted Land Total]]</f>
        <v>277300</v>
      </c>
      <c r="BS88" s="36">
        <f>IFERROR((Inventory[[#This Row],[Adjusted Impr Total]]-Inventory[[#This Row],[24Bldg]])/Inventory[[#This Row],[24Bldg]],0)</f>
        <v>0.38266283524904215</v>
      </c>
      <c r="BT88" s="36">
        <f>(Inventory[[#This Row],[Adjusted Land Total]]-Inventory[[#This Row],[24Lnd]])/Inventory[[#This Row],[24Lnd]]</f>
        <v>-1.3089430894308942</v>
      </c>
      <c r="BU88" s="36">
        <f>(Inventory[[#This Row],[Adjusted Total]]-Inventory[[#This Row],[24Final]])/Inventory[[#This Row],[24Final]]</f>
        <v>0.12861212861212862</v>
      </c>
    </row>
    <row r="89" spans="1:73" x14ac:dyDescent="0.3">
      <c r="A89" s="25">
        <v>2025</v>
      </c>
      <c r="B89" s="26" t="s">
        <v>615</v>
      </c>
      <c r="C89" s="26">
        <f>LN(Inventory[[#This Row],[Acres]])</f>
        <v>-3.2188758248682006</v>
      </c>
      <c r="D89" s="25">
        <v>0.78</v>
      </c>
      <c r="E89" s="25">
        <v>34157</v>
      </c>
      <c r="F89" s="26" t="s">
        <v>543</v>
      </c>
      <c r="G89" s="26" t="s">
        <v>544</v>
      </c>
      <c r="H89" s="26" t="s">
        <v>349</v>
      </c>
      <c r="I89" s="26" t="s">
        <v>605</v>
      </c>
      <c r="J89" s="26" t="s">
        <v>616</v>
      </c>
      <c r="K89" s="26" t="s">
        <v>547</v>
      </c>
      <c r="L89" s="26" t="s">
        <v>351</v>
      </c>
      <c r="M89" s="26" t="s">
        <v>323</v>
      </c>
      <c r="N89" s="26">
        <v>60</v>
      </c>
      <c r="O89" s="26">
        <f>2024-Inventory[[#This Row],[YrBlt]]</f>
        <v>29</v>
      </c>
      <c r="P89" s="26">
        <f>2024-Inventory[[#This Row],[EffYr]]</f>
        <v>29</v>
      </c>
      <c r="Q89" s="25">
        <v>1958</v>
      </c>
      <c r="R89" s="25">
        <v>1990</v>
      </c>
      <c r="S89" s="25">
        <v>2761</v>
      </c>
      <c r="T89" s="27"/>
      <c r="U89" s="27"/>
      <c r="V89" s="27">
        <f>Inventory[[#This Row],[Bsmt]]-Inventory[[#This Row],[FnBsmt]]</f>
        <v>0</v>
      </c>
      <c r="W89" s="27"/>
      <c r="X89" s="27"/>
      <c r="Y89" s="27">
        <f>Inventory[[#This Row],[MainFn]]+Inventory[[#This Row],[UpprFn]]+Inventory[[#This Row],[FnBsmt]]+Inventory[[#This Row],[AddFn]]</f>
        <v>1309</v>
      </c>
      <c r="Z89" s="27">
        <v>3000</v>
      </c>
      <c r="AA89" s="25">
        <v>15</v>
      </c>
      <c r="AB89" s="31"/>
      <c r="AC89" s="27"/>
      <c r="AD89" s="27"/>
      <c r="AE89" s="27"/>
      <c r="AF89" s="27"/>
      <c r="AG89" s="25">
        <v>125</v>
      </c>
      <c r="AH89" s="27"/>
      <c r="AI89" s="25">
        <v>303584</v>
      </c>
      <c r="AJ89" s="25">
        <v>318763</v>
      </c>
      <c r="AK89" s="25">
        <v>66594</v>
      </c>
      <c r="AL89" s="25">
        <v>465300</v>
      </c>
      <c r="AM89" s="25">
        <v>121800</v>
      </c>
      <c r="AN89" s="25">
        <v>343500</v>
      </c>
      <c r="AO89" s="25">
        <v>0</v>
      </c>
      <c r="AP89" s="25">
        <f>Lookups!$B$56*0</f>
        <v>0</v>
      </c>
      <c r="AQ89" s="25">
        <f>Lookups!$B$56*1</f>
        <v>89850.625589999996</v>
      </c>
      <c r="AR89" s="25">
        <f>Lookups!$B$57*Inventory[[#This Row],[LnAcres]]</f>
        <v>-101892.2773541973</v>
      </c>
      <c r="AS89" s="25">
        <f>VLOOKUP(Inventory[[#This Row],[Qlty]],Lookups!$A$62:$E$75,2,FALSE)</f>
        <v>21557.329055999999</v>
      </c>
      <c r="AT89" s="25">
        <f>VLOOKUP(Inventory[[#This Row],[Cnd]],Lookups!$A$76:$E$84,2,FALSE)</f>
        <v>160472.20319</v>
      </c>
      <c r="AU89" s="25">
        <f>Inventory[[#This Row],[EffAge]]*Lookups!$B$85</f>
        <v>-6468.3224145000004</v>
      </c>
      <c r="AV89" s="25">
        <f>Inventory[[#This Row],[MainFn]]*Lookups!$B$86</f>
        <v>64675.948868993</v>
      </c>
      <c r="AW89" s="25">
        <f>Inventory[[#This Row],[UpprFn]]*Lookups!$B$87</f>
        <v>0</v>
      </c>
      <c r="AX89" s="25">
        <f>Inventory[[#This Row],[AddFn]]*Lookups!$B$88</f>
        <v>0</v>
      </c>
      <c r="AY89" s="25">
        <f>Inventory[[#This Row],[Bsmt]]*Lookups!$B$89</f>
        <v>0</v>
      </c>
      <c r="AZ89" s="25">
        <f>Inventory[[#This Row],[Fixtures]]*Lookups!$B$90</f>
        <v>30336.176841600001</v>
      </c>
      <c r="BA89" s="25">
        <f>Inventory[[#This Row],[WdDeck]]*Lookups!$B$91</f>
        <v>0</v>
      </c>
      <c r="BB89" s="25">
        <f>ROUND(Inventory[[#This Row],[25Det]],-2)</f>
        <v>20300</v>
      </c>
      <c r="BC89" s="25">
        <f>ROUND(SUM(Inventory[[#This Row],[Mdl Qlty]:[Mdl WdDeck]])+Inventory[[#This Row],[Mdl Res Intercept]],-2)</f>
        <v>270600</v>
      </c>
      <c r="BD89" s="25">
        <f>ROUND(Inventory[[#This Row],[Mdl Land Intercept]]+Inventory[[#This Row],[Mdl LnAcres]],-2)</f>
        <v>-12000</v>
      </c>
      <c r="BE89" s="25">
        <f>Inventory[[#This Row],[Unadj Res Value]]+Inventory[[#This Row],[Unadj Det Value]]+Inventory[[#This Row],[Unadj Land Value]]</f>
        <v>278900</v>
      </c>
      <c r="BF89" s="36">
        <f>(Inventory[[#This Row],[Unadj Total Value]]-Inventory[[#This Row],[24Final]])/Inventory[[#This Row],[24Final]]</f>
        <v>0.10106592972759573</v>
      </c>
      <c r="BG89" s="25">
        <f>VLOOKUP(Inventory[[#This Row],[Nbhd]],Lookups!$Q$2:$T$4,4,FALSE)</f>
        <v>0.99970000000000003</v>
      </c>
      <c r="BH89" s="25">
        <f>VLOOKUP(Inventory[[#This Row],[Qlty]],Lookups!$O$7:$R$21,4,FALSE)</f>
        <v>1.0067999999999999</v>
      </c>
      <c r="BI89" s="29">
        <f>VLOOKUP(Inventory[[#This Row],[Cnd]],Lookups!$T$7:$W$16,4,FALSE)</f>
        <v>0.99729999999999996</v>
      </c>
      <c r="BJ89" s="25">
        <f>VLOOKUP(Inventory[[#This Row],[LivArea Range]],Lookups!$T$25:$W$37,4,FALSE)</f>
        <v>1.0157</v>
      </c>
      <c r="BK89" s="25">
        <f>VLOOKUP(Inventory[[#This Row],[Decade]],Lookups!$O$25:$R$42,4,FALSE)</f>
        <v>0.97319999999999995</v>
      </c>
      <c r="BL89" s="25">
        <f>Inventory[[#This Row],[Nbhd Adj]]*0.95</f>
        <v>0.94971499999999998</v>
      </c>
      <c r="BM89" s="25">
        <f>Inventory[[#This Row],[Nbhd Adj]]*Inventory[[#This Row],[Quality Adj]]*Inventory[[#This Row],[Condition Adj]]*Inventory[[#This Row],[Living Area Adj]]*Inventory[[#This Row],[Decade Adj]]*0.95</f>
        <v>0.9426052971358202</v>
      </c>
      <c r="BN89" s="25">
        <f>ROUND(SUM(Inventory[[#This Row],[Mdl Qlty]:[Mdl WdDeck]])+Inventory[[#This Row],[Mdl Res Intercept]]*Inventory[[#This Row],[Res Adj ]],-2)</f>
        <v>270600</v>
      </c>
      <c r="BO89" s="25">
        <f>ROUND(Inventory[[#This Row],[25Det]]*Inventory[[#This Row],[Det/Nbhd Adj]],-2)</f>
        <v>19200</v>
      </c>
      <c r="BP89" s="25">
        <f>Inventory[[#This Row],[Adjusted Res]]+Inventory[[#This Row],[Adj Det ]]</f>
        <v>289800</v>
      </c>
      <c r="BQ89" s="25">
        <f>ROUND((Inventory[[#This Row],[Mdl Land Intercept]]+Inventory[[#This Row],[Mdl LnAcres]])*Inventory[[#This Row],[Det/Nbhd Adj]],-2)</f>
        <v>-11400</v>
      </c>
      <c r="BR89" s="25">
        <f>Inventory[[#This Row],[Adjusted Impr Total]]+Inventory[[#This Row],[Adjusted Land Total]]</f>
        <v>278400</v>
      </c>
      <c r="BS89" s="36">
        <f>IFERROR((Inventory[[#This Row],[Adjusted Impr Total]]-Inventory[[#This Row],[24Bldg]])/Inventory[[#This Row],[24Bldg]],0)</f>
        <v>0.34602879702740363</v>
      </c>
      <c r="BT89" s="36">
        <f>(Inventory[[#This Row],[Adjusted Land Total]]-Inventory[[#This Row],[24Lnd]])/Inventory[[#This Row],[24Lnd]]</f>
        <v>-1.3</v>
      </c>
      <c r="BU89" s="36">
        <f>(Inventory[[#This Row],[Adjusted Total]]-Inventory[[#This Row],[24Final]])/Inventory[[#This Row],[24Final]]</f>
        <v>9.9091985787603629E-2</v>
      </c>
    </row>
    <row r="90" spans="1:73" x14ac:dyDescent="0.3">
      <c r="A90" s="25">
        <v>2025</v>
      </c>
      <c r="B90" s="26" t="s">
        <v>548</v>
      </c>
      <c r="C90" s="26">
        <f>LN(Inventory[[#This Row],[Acres]])</f>
        <v>-3.2188758248682006</v>
      </c>
      <c r="D90" s="25">
        <v>2.6</v>
      </c>
      <c r="E90" s="25">
        <v>113256</v>
      </c>
      <c r="F90" s="26" t="s">
        <v>543</v>
      </c>
      <c r="G90" s="26" t="s">
        <v>544</v>
      </c>
      <c r="H90" s="26" t="s">
        <v>349</v>
      </c>
      <c r="I90" s="26" t="s">
        <v>545</v>
      </c>
      <c r="J90" s="26" t="s">
        <v>549</v>
      </c>
      <c r="K90" s="26" t="s">
        <v>547</v>
      </c>
      <c r="L90" s="26" t="s">
        <v>351</v>
      </c>
      <c r="M90" s="26" t="s">
        <v>303</v>
      </c>
      <c r="N90" s="26">
        <v>10</v>
      </c>
      <c r="O90" s="26">
        <f>2024-Inventory[[#This Row],[YrBlt]]</f>
        <v>29</v>
      </c>
      <c r="P90" s="26">
        <f>2024-Inventory[[#This Row],[EffYr]]</f>
        <v>29</v>
      </c>
      <c r="Q90" s="25">
        <v>2007</v>
      </c>
      <c r="R90" s="25">
        <v>2007</v>
      </c>
      <c r="S90" s="25">
        <v>2244</v>
      </c>
      <c r="T90" s="32">
        <v>1230</v>
      </c>
      <c r="U90" s="27"/>
      <c r="V90" s="27">
        <f>Inventory[[#This Row],[Bsmt]]-Inventory[[#This Row],[FnBsmt]]</f>
        <v>0</v>
      </c>
      <c r="W90" s="27"/>
      <c r="X90" s="27"/>
      <c r="Y90" s="27">
        <f>Inventory[[#This Row],[MainFn]]+Inventory[[#This Row],[UpprFn]]+Inventory[[#This Row],[FnBsmt]]+Inventory[[#This Row],[AddFn]]</f>
        <v>1446</v>
      </c>
      <c r="Z90" s="27">
        <v>3500</v>
      </c>
      <c r="AA90" s="25">
        <v>18</v>
      </c>
      <c r="AB90" s="31"/>
      <c r="AC90" s="27"/>
      <c r="AD90" s="27"/>
      <c r="AE90" s="27"/>
      <c r="AF90" s="27"/>
      <c r="AG90" s="25">
        <v>125</v>
      </c>
      <c r="AH90" s="27"/>
      <c r="AI90" s="25">
        <v>360101</v>
      </c>
      <c r="AJ90" s="25">
        <v>414116</v>
      </c>
      <c r="AK90" s="25">
        <v>0</v>
      </c>
      <c r="AL90" s="25">
        <v>435550</v>
      </c>
      <c r="AM90" s="25">
        <v>283150</v>
      </c>
      <c r="AN90" s="25">
        <v>152400</v>
      </c>
      <c r="AO90" s="25">
        <v>0</v>
      </c>
      <c r="AP90" s="25">
        <f>Lookups!$B$56*0</f>
        <v>0</v>
      </c>
      <c r="AQ90" s="25">
        <f>Lookups!$B$56*1</f>
        <v>89850.625589999996</v>
      </c>
      <c r="AR90" s="25">
        <f>Lookups!$B$57*Inventory[[#This Row],[LnAcres]]</f>
        <v>-101892.2773541973</v>
      </c>
      <c r="AS90" s="25">
        <f>VLOOKUP(Inventory[[#This Row],[Qlty]],Lookups!$A$62:$E$75,2,FALSE)</f>
        <v>29814.093161000001</v>
      </c>
      <c r="AT90" s="25">
        <f>VLOOKUP(Inventory[[#This Row],[Cnd]],Lookups!$A$76:$E$84,2,FALSE)</f>
        <v>160472.20319</v>
      </c>
      <c r="AU90" s="25">
        <f>Inventory[[#This Row],[EffAge]]*Lookups!$B$85</f>
        <v>-6468.3224145000004</v>
      </c>
      <c r="AV90" s="25">
        <f>Inventory[[#This Row],[MainFn]]*Lookups!$B$86</f>
        <v>71444.936642141998</v>
      </c>
      <c r="AW90" s="25">
        <f>Inventory[[#This Row],[UpprFn]]*Lookups!$B$87</f>
        <v>0</v>
      </c>
      <c r="AX90" s="25">
        <f>Inventory[[#This Row],[AddFn]]*Lookups!$B$88</f>
        <v>0</v>
      </c>
      <c r="AY90" s="25">
        <f>Inventory[[#This Row],[Bsmt]]*Lookups!$B$89</f>
        <v>0</v>
      </c>
      <c r="AZ90" s="25">
        <f>Inventory[[#This Row],[Fixtures]]*Lookups!$B$90</f>
        <v>45504.265262400004</v>
      </c>
      <c r="BA90" s="25">
        <f>Inventory[[#This Row],[WdDeck]]*Lookups!$B$91</f>
        <v>0</v>
      </c>
      <c r="BB90" s="25">
        <f>ROUND(Inventory[[#This Row],[25Det]],-2)</f>
        <v>23500</v>
      </c>
      <c r="BC90" s="25">
        <f>ROUND(SUM(Inventory[[#This Row],[Mdl Qlty]:[Mdl WdDeck]])+Inventory[[#This Row],[Mdl Res Intercept]],-2)</f>
        <v>300800</v>
      </c>
      <c r="BD90" s="25">
        <f>ROUND(Inventory[[#This Row],[Mdl Land Intercept]]+Inventory[[#This Row],[Mdl LnAcres]],-2)</f>
        <v>-12000</v>
      </c>
      <c r="BE90" s="25">
        <f>Inventory[[#This Row],[Unadj Res Value]]+Inventory[[#This Row],[Unadj Det Value]]+Inventory[[#This Row],[Unadj Land Value]]</f>
        <v>312300</v>
      </c>
      <c r="BF90" s="36">
        <f>(Inventory[[#This Row],[Unadj Total Value]]-Inventory[[#This Row],[24Final]])/Inventory[[#This Row],[24Final]]</f>
        <v>0.10042283298097252</v>
      </c>
      <c r="BG90" s="25">
        <f>VLOOKUP(Inventory[[#This Row],[Nbhd]],Lookups!$Q$2:$T$4,4,FALSE)</f>
        <v>0.99970000000000003</v>
      </c>
      <c r="BH90" s="25">
        <f>VLOOKUP(Inventory[[#This Row],[Qlty]],Lookups!$O$7:$R$21,4,FALSE)</f>
        <v>1.0088999999999999</v>
      </c>
      <c r="BI90" s="29">
        <f>VLOOKUP(Inventory[[#This Row],[Cnd]],Lookups!$T$7:$W$16,4,FALSE)</f>
        <v>0.99729999999999996</v>
      </c>
      <c r="BJ90" s="25">
        <f>VLOOKUP(Inventory[[#This Row],[LivArea Range]],Lookups!$T$25:$W$37,4,FALSE)</f>
        <v>1.0157</v>
      </c>
      <c r="BK90" s="25">
        <f>VLOOKUP(Inventory[[#This Row],[Decade]],Lookups!$O$25:$R$42,4,FALSE)</f>
        <v>0.97319999999999995</v>
      </c>
      <c r="BL90" s="25">
        <f>Inventory[[#This Row],[Nbhd Adj]]*0.95</f>
        <v>0.94971499999999998</v>
      </c>
      <c r="BM90" s="25">
        <f>Inventory[[#This Row],[Nbhd Adj]]*Inventory[[#This Row],[Quality Adj]]*Inventory[[#This Row],[Condition Adj]]*Inventory[[#This Row],[Living Area Adj]]*Inventory[[#This Row],[Decade Adj]]*0.95</f>
        <v>0.944571398768702</v>
      </c>
      <c r="BN90" s="25">
        <f>ROUND(SUM(Inventory[[#This Row],[Mdl Qlty]:[Mdl WdDeck]])+Inventory[[#This Row],[Mdl Res Intercept]]*Inventory[[#This Row],[Res Adj ]],-2)</f>
        <v>300800</v>
      </c>
      <c r="BO90" s="25">
        <f>ROUND(Inventory[[#This Row],[25Det]]*Inventory[[#This Row],[Det/Nbhd Adj]],-2)</f>
        <v>22300</v>
      </c>
      <c r="BP90" s="25">
        <f>Inventory[[#This Row],[Adjusted Res]]+Inventory[[#This Row],[Adj Det ]]</f>
        <v>323100</v>
      </c>
      <c r="BQ90" s="25">
        <f>ROUND((Inventory[[#This Row],[Mdl Land Intercept]]+Inventory[[#This Row],[Mdl LnAcres]])*Inventory[[#This Row],[Det/Nbhd Adj]],-2)</f>
        <v>-11400</v>
      </c>
      <c r="BR90" s="25">
        <f>Inventory[[#This Row],[Adjusted Impr Total]]+Inventory[[#This Row],[Adjusted Land Total]]</f>
        <v>311700</v>
      </c>
      <c r="BS90" s="36">
        <f>IFERROR((Inventory[[#This Row],[Adjusted Impr Total]]-Inventory[[#This Row],[24Bldg]])/Inventory[[#This Row],[24Bldg]],0)</f>
        <v>0.33955223880597013</v>
      </c>
      <c r="BT90" s="36">
        <f>(Inventory[[#This Row],[Adjusted Land Total]]-Inventory[[#This Row],[24Lnd]])/Inventory[[#This Row],[24Lnd]]</f>
        <v>-1.267605633802817</v>
      </c>
      <c r="BU90" s="36">
        <f>(Inventory[[#This Row],[Adjusted Total]]-Inventory[[#This Row],[24Final]])/Inventory[[#This Row],[24Final]]</f>
        <v>9.830866807610994E-2</v>
      </c>
    </row>
    <row r="91" spans="1:73" x14ac:dyDescent="0.3">
      <c r="A91" s="25">
        <v>2025</v>
      </c>
      <c r="B91" s="26" t="s">
        <v>2562</v>
      </c>
      <c r="C91" s="26">
        <f>LN(Inventory[[#This Row],[Acres]])</f>
        <v>-3.2188758248682006</v>
      </c>
      <c r="D91" s="25">
        <v>0.19</v>
      </c>
      <c r="E91" s="25">
        <v>8276</v>
      </c>
      <c r="F91" s="26" t="s">
        <v>543</v>
      </c>
      <c r="G91" s="26" t="s">
        <v>544</v>
      </c>
      <c r="H91" s="26" t="s">
        <v>349</v>
      </c>
      <c r="I91" s="26" t="s">
        <v>605</v>
      </c>
      <c r="J91" s="26" t="s">
        <v>616</v>
      </c>
      <c r="K91" s="26" t="s">
        <v>547</v>
      </c>
      <c r="L91" s="26" t="s">
        <v>351</v>
      </c>
      <c r="M91" s="26" t="s">
        <v>323</v>
      </c>
      <c r="N91" s="26">
        <v>50</v>
      </c>
      <c r="O91" s="26">
        <f>2024-Inventory[[#This Row],[YrBlt]]</f>
        <v>29</v>
      </c>
      <c r="P91" s="26">
        <f>2024-Inventory[[#This Row],[EffYr]]</f>
        <v>29</v>
      </c>
      <c r="Q91" s="25">
        <v>1968</v>
      </c>
      <c r="R91" s="25">
        <v>1988</v>
      </c>
      <c r="S91" s="25">
        <v>1795</v>
      </c>
      <c r="T91" s="27"/>
      <c r="U91" s="32">
        <v>1795</v>
      </c>
      <c r="V91" s="32">
        <f>Inventory[[#This Row],[Bsmt]]-Inventory[[#This Row],[FnBsmt]]</f>
        <v>0</v>
      </c>
      <c r="W91" s="32">
        <v>1795</v>
      </c>
      <c r="X91" s="27"/>
      <c r="Y91" s="27">
        <f>Inventory[[#This Row],[MainFn]]+Inventory[[#This Row],[UpprFn]]+Inventory[[#This Row],[FnBsmt]]+Inventory[[#This Row],[AddFn]]</f>
        <v>1460</v>
      </c>
      <c r="Z91" s="27">
        <v>4000</v>
      </c>
      <c r="AA91" s="25">
        <v>16</v>
      </c>
      <c r="AB91" s="31"/>
      <c r="AC91" s="27"/>
      <c r="AD91" s="32">
        <v>327</v>
      </c>
      <c r="AE91" s="27"/>
      <c r="AF91" s="27"/>
      <c r="AG91" s="25">
        <v>125</v>
      </c>
      <c r="AH91" s="27"/>
      <c r="AI91" s="25">
        <v>341359</v>
      </c>
      <c r="AJ91" s="25">
        <v>358427</v>
      </c>
      <c r="AK91" s="25">
        <v>5663</v>
      </c>
      <c r="AL91" s="25">
        <v>390700</v>
      </c>
      <c r="AM91" s="25">
        <v>65100</v>
      </c>
      <c r="AN91" s="25">
        <v>325600</v>
      </c>
      <c r="AO91" s="25">
        <v>0</v>
      </c>
      <c r="AP91" s="25">
        <f>Lookups!$B$56*0</f>
        <v>0</v>
      </c>
      <c r="AQ91" s="25">
        <f>Lookups!$B$56*1</f>
        <v>89850.625589999996</v>
      </c>
      <c r="AR91" s="25">
        <f>Lookups!$B$57*Inventory[[#This Row],[LnAcres]]</f>
        <v>-101892.2773541973</v>
      </c>
      <c r="AS91" s="25">
        <f>VLOOKUP(Inventory[[#This Row],[Qlty]],Lookups!$A$62:$E$75,2,FALSE)</f>
        <v>29814.093161000001</v>
      </c>
      <c r="AT91" s="25">
        <f>VLOOKUP(Inventory[[#This Row],[Cnd]],Lookups!$A$76:$E$84,2,FALSE)</f>
        <v>160472.20319</v>
      </c>
      <c r="AU91" s="25">
        <f>Inventory[[#This Row],[EffAge]]*Lookups!$B$85</f>
        <v>-6468.3224145000004</v>
      </c>
      <c r="AV91" s="25">
        <f>Inventory[[#This Row],[MainFn]]*Lookups!$B$86</f>
        <v>72136.65802042</v>
      </c>
      <c r="AW91" s="25">
        <f>Inventory[[#This Row],[UpprFn]]*Lookups!$B$87</f>
        <v>0</v>
      </c>
      <c r="AX91" s="25">
        <f>Inventory[[#This Row],[AddFn]]*Lookups!$B$88</f>
        <v>0</v>
      </c>
      <c r="AY91" s="25">
        <f>Inventory[[#This Row],[Bsmt]]*Lookups!$B$89</f>
        <v>0</v>
      </c>
      <c r="AZ91" s="25">
        <f>Inventory[[#This Row],[Fixtures]]*Lookups!$B$90</f>
        <v>37920.221052000001</v>
      </c>
      <c r="BA91" s="25">
        <f>Inventory[[#This Row],[WdDeck]]*Lookups!$B$91</f>
        <v>0</v>
      </c>
      <c r="BB91" s="25">
        <f>ROUND(Inventory[[#This Row],[25Det]],-2)</f>
        <v>23500</v>
      </c>
      <c r="BC91" s="25">
        <f>ROUND(SUM(Inventory[[#This Row],[Mdl Qlty]:[Mdl WdDeck]])+Inventory[[#This Row],[Mdl Res Intercept]],-2)</f>
        <v>293900</v>
      </c>
      <c r="BD91" s="25">
        <f>ROUND(Inventory[[#This Row],[Mdl Land Intercept]]+Inventory[[#This Row],[Mdl LnAcres]],-2)</f>
        <v>-12000</v>
      </c>
      <c r="BE91" s="25">
        <f>Inventory[[#This Row],[Unadj Res Value]]+Inventory[[#This Row],[Unadj Det Value]]+Inventory[[#This Row],[Unadj Land Value]]</f>
        <v>305400</v>
      </c>
      <c r="BF91" s="36">
        <f>(Inventory[[#This Row],[Unadj Total Value]]-Inventory[[#This Row],[24Final]])/Inventory[[#This Row],[24Final]]</f>
        <v>7.0077084793272598E-2</v>
      </c>
      <c r="BG91" s="25">
        <f>VLOOKUP(Inventory[[#This Row],[Nbhd]],Lookups!$Q$2:$T$4,4,FALSE)</f>
        <v>0.99970000000000003</v>
      </c>
      <c r="BH91" s="25">
        <f>VLOOKUP(Inventory[[#This Row],[Qlty]],Lookups!$O$7:$R$21,4,FALSE)</f>
        <v>1.0088999999999999</v>
      </c>
      <c r="BI91" s="29">
        <f>VLOOKUP(Inventory[[#This Row],[Cnd]],Lookups!$T$7:$W$16,4,FALSE)</f>
        <v>0.99729999999999996</v>
      </c>
      <c r="BJ91" s="25">
        <f>VLOOKUP(Inventory[[#This Row],[LivArea Range]],Lookups!$T$25:$W$37,4,FALSE)</f>
        <v>1.0157</v>
      </c>
      <c r="BK91" s="25">
        <f>VLOOKUP(Inventory[[#This Row],[Decade]],Lookups!$O$25:$R$42,4,FALSE)</f>
        <v>0.97319999999999995</v>
      </c>
      <c r="BL91" s="25">
        <f>Inventory[[#This Row],[Nbhd Adj]]*0.95</f>
        <v>0.94971499999999998</v>
      </c>
      <c r="BM91" s="25">
        <f>Inventory[[#This Row],[Nbhd Adj]]*Inventory[[#This Row],[Quality Adj]]*Inventory[[#This Row],[Condition Adj]]*Inventory[[#This Row],[Living Area Adj]]*Inventory[[#This Row],[Decade Adj]]*0.95</f>
        <v>0.944571398768702</v>
      </c>
      <c r="BN91" s="25">
        <f>ROUND(SUM(Inventory[[#This Row],[Mdl Qlty]:[Mdl WdDeck]])+Inventory[[#This Row],[Mdl Res Intercept]]*Inventory[[#This Row],[Res Adj ]],-2)</f>
        <v>293900</v>
      </c>
      <c r="BO91" s="25">
        <f>ROUND(Inventory[[#This Row],[25Det]]*Inventory[[#This Row],[Det/Nbhd Adj]],-2)</f>
        <v>22300</v>
      </c>
      <c r="BP91" s="25">
        <f>Inventory[[#This Row],[Adjusted Res]]+Inventory[[#This Row],[Adj Det ]]</f>
        <v>316200</v>
      </c>
      <c r="BQ91" s="25">
        <f>ROUND((Inventory[[#This Row],[Mdl Land Intercept]]+Inventory[[#This Row],[Mdl LnAcres]])*Inventory[[#This Row],[Det/Nbhd Adj]],-2)</f>
        <v>-11400</v>
      </c>
      <c r="BR91" s="25">
        <f>Inventory[[#This Row],[Adjusted Impr Total]]+Inventory[[#This Row],[Adjusted Land Total]]</f>
        <v>304800</v>
      </c>
      <c r="BS91" s="36">
        <f>IFERROR((Inventory[[#This Row],[Adjusted Impr Total]]-Inventory[[#This Row],[24Bldg]])/Inventory[[#This Row],[24Bldg]],0)</f>
        <v>0.30338004946413849</v>
      </c>
      <c r="BT91" s="36">
        <f>(Inventory[[#This Row],[Adjusted Land Total]]-Inventory[[#This Row],[24Lnd]])/Inventory[[#This Row],[24Lnd]]</f>
        <v>-1.266355140186916</v>
      </c>
      <c r="BU91" s="36">
        <f>(Inventory[[#This Row],[Adjusted Total]]-Inventory[[#This Row],[24Final]])/Inventory[[#This Row],[24Final]]</f>
        <v>6.7974772249474416E-2</v>
      </c>
    </row>
    <row r="92" spans="1:73" x14ac:dyDescent="0.3">
      <c r="A92" s="25">
        <v>2025</v>
      </c>
      <c r="B92" s="26" t="s">
        <v>2564</v>
      </c>
      <c r="C92" s="26">
        <f>LN(Inventory[[#This Row],[Acres]])</f>
        <v>-3.2188758248682006</v>
      </c>
      <c r="D92" s="25">
        <v>0.17</v>
      </c>
      <c r="E92" s="25">
        <v>7405</v>
      </c>
      <c r="F92" s="26" t="s">
        <v>543</v>
      </c>
      <c r="G92" s="26" t="s">
        <v>544</v>
      </c>
      <c r="H92" s="26" t="s">
        <v>349</v>
      </c>
      <c r="I92" s="26" t="s">
        <v>605</v>
      </c>
      <c r="J92" s="26" t="s">
        <v>616</v>
      </c>
      <c r="K92" s="26" t="s">
        <v>547</v>
      </c>
      <c r="L92" s="26" t="s">
        <v>302</v>
      </c>
      <c r="M92" s="26" t="s">
        <v>323</v>
      </c>
      <c r="N92" s="26">
        <v>80</v>
      </c>
      <c r="O92" s="26">
        <f>2024-Inventory[[#This Row],[YrBlt]]</f>
        <v>29</v>
      </c>
      <c r="P92" s="26">
        <f>2024-Inventory[[#This Row],[EffYr]]</f>
        <v>29</v>
      </c>
      <c r="Q92" s="25">
        <v>1935</v>
      </c>
      <c r="R92" s="25">
        <v>1971</v>
      </c>
      <c r="S92" s="25">
        <v>1590</v>
      </c>
      <c r="T92" s="27"/>
      <c r="U92" s="32">
        <v>1187</v>
      </c>
      <c r="V92" s="32">
        <f>Inventory[[#This Row],[Bsmt]]-Inventory[[#This Row],[FnBsmt]]</f>
        <v>0</v>
      </c>
      <c r="W92" s="32">
        <v>1187</v>
      </c>
      <c r="X92" s="27"/>
      <c r="Y92" s="27">
        <f>Inventory[[#This Row],[MainFn]]+Inventory[[#This Row],[UpprFn]]+Inventory[[#This Row],[FnBsmt]]+Inventory[[#This Row],[AddFn]]</f>
        <v>1298</v>
      </c>
      <c r="Z92" s="27">
        <v>3000</v>
      </c>
      <c r="AA92" s="25">
        <v>10</v>
      </c>
      <c r="AB92" s="31"/>
      <c r="AC92" s="27"/>
      <c r="AD92" s="27"/>
      <c r="AE92" s="27"/>
      <c r="AF92" s="27"/>
      <c r="AG92" s="25">
        <v>125</v>
      </c>
      <c r="AH92" s="27"/>
      <c r="AI92" s="25">
        <v>293596</v>
      </c>
      <c r="AJ92" s="25">
        <v>246621</v>
      </c>
      <c r="AK92" s="25">
        <v>8611</v>
      </c>
      <c r="AL92" s="25">
        <v>324300</v>
      </c>
      <c r="AM92" s="25">
        <v>89800</v>
      </c>
      <c r="AN92" s="25">
        <v>234500</v>
      </c>
      <c r="AO92" s="25">
        <v>0</v>
      </c>
      <c r="AP92" s="25">
        <f>Lookups!$B$56*0</f>
        <v>0</v>
      </c>
      <c r="AQ92" s="25">
        <f>Lookups!$B$56*1</f>
        <v>89850.625589999996</v>
      </c>
      <c r="AR92" s="25">
        <f>Lookups!$B$57*Inventory[[#This Row],[LnAcres]]</f>
        <v>-101892.2773541973</v>
      </c>
      <c r="AS92" s="25">
        <f>VLOOKUP(Inventory[[#This Row],[Qlty]],Lookups!$A$62:$E$75,2,FALSE)</f>
        <v>21557.329055999999</v>
      </c>
      <c r="AT92" s="25">
        <f>VLOOKUP(Inventory[[#This Row],[Cnd]],Lookups!$A$76:$E$84,2,FALSE)</f>
        <v>160472.20319</v>
      </c>
      <c r="AU92" s="25">
        <f>Inventory[[#This Row],[EffAge]]*Lookups!$B$85</f>
        <v>-6468.3224145000004</v>
      </c>
      <c r="AV92" s="25">
        <f>Inventory[[#This Row],[MainFn]]*Lookups!$B$86</f>
        <v>64132.453500346004</v>
      </c>
      <c r="AW92" s="25">
        <f>Inventory[[#This Row],[UpprFn]]*Lookups!$B$87</f>
        <v>0</v>
      </c>
      <c r="AX92" s="25">
        <f>Inventory[[#This Row],[AddFn]]*Lookups!$B$88</f>
        <v>0</v>
      </c>
      <c r="AY92" s="25">
        <f>Inventory[[#This Row],[Bsmt]]*Lookups!$B$89</f>
        <v>0</v>
      </c>
      <c r="AZ92" s="25">
        <f>Inventory[[#This Row],[Fixtures]]*Lookups!$B$90</f>
        <v>37920.221052000001</v>
      </c>
      <c r="BA92" s="25">
        <f>Inventory[[#This Row],[WdDeck]]*Lookups!$B$91</f>
        <v>0</v>
      </c>
      <c r="BB92" s="25">
        <f>ROUND(Inventory[[#This Row],[25Det]],-2)</f>
        <v>21200</v>
      </c>
      <c r="BC92" s="25">
        <f>ROUND(SUM(Inventory[[#This Row],[Mdl Qlty]:[Mdl WdDeck]])+Inventory[[#This Row],[Mdl Res Intercept]],-2)</f>
        <v>277600</v>
      </c>
      <c r="BD92" s="25">
        <f>ROUND(Inventory[[#This Row],[Mdl Land Intercept]]+Inventory[[#This Row],[Mdl LnAcres]],-2)</f>
        <v>-12000</v>
      </c>
      <c r="BE92" s="25">
        <f>Inventory[[#This Row],[Unadj Res Value]]+Inventory[[#This Row],[Unadj Det Value]]+Inventory[[#This Row],[Unadj Land Value]]</f>
        <v>286800</v>
      </c>
      <c r="BF92" s="36">
        <f>(Inventory[[#This Row],[Unadj Total Value]]-Inventory[[#This Row],[24Final]])/Inventory[[#This Row],[24Final]]</f>
        <v>6.2615783623564278E-2</v>
      </c>
      <c r="BG92" s="25">
        <f>VLOOKUP(Inventory[[#This Row],[Nbhd]],Lookups!$Q$2:$T$4,4,FALSE)</f>
        <v>0.99970000000000003</v>
      </c>
      <c r="BH92" s="25">
        <f>VLOOKUP(Inventory[[#This Row],[Qlty]],Lookups!$O$7:$R$21,4,FALSE)</f>
        <v>1.0067999999999999</v>
      </c>
      <c r="BI92" s="29">
        <f>VLOOKUP(Inventory[[#This Row],[Cnd]],Lookups!$T$7:$W$16,4,FALSE)</f>
        <v>0.99729999999999996</v>
      </c>
      <c r="BJ92" s="25">
        <f>VLOOKUP(Inventory[[#This Row],[LivArea Range]],Lookups!$T$25:$W$37,4,FALSE)</f>
        <v>1.0157</v>
      </c>
      <c r="BK92" s="25">
        <f>VLOOKUP(Inventory[[#This Row],[Decade]],Lookups!$O$25:$R$42,4,FALSE)</f>
        <v>0.97319999999999995</v>
      </c>
      <c r="BL92" s="25">
        <f>Inventory[[#This Row],[Nbhd Adj]]*0.95</f>
        <v>0.94971499999999998</v>
      </c>
      <c r="BM92" s="25">
        <f>Inventory[[#This Row],[Nbhd Adj]]*Inventory[[#This Row],[Quality Adj]]*Inventory[[#This Row],[Condition Adj]]*Inventory[[#This Row],[Living Area Adj]]*Inventory[[#This Row],[Decade Adj]]*0.95</f>
        <v>0.9426052971358202</v>
      </c>
      <c r="BN92" s="25">
        <f>ROUND(SUM(Inventory[[#This Row],[Mdl Qlty]:[Mdl WdDeck]])+Inventory[[#This Row],[Mdl Res Intercept]]*Inventory[[#This Row],[Res Adj ]],-2)</f>
        <v>277600</v>
      </c>
      <c r="BO92" s="25">
        <f>ROUND(Inventory[[#This Row],[25Det]]*Inventory[[#This Row],[Det/Nbhd Adj]],-2)</f>
        <v>20200</v>
      </c>
      <c r="BP92" s="25">
        <f>Inventory[[#This Row],[Adjusted Res]]+Inventory[[#This Row],[Adj Det ]]</f>
        <v>297800</v>
      </c>
      <c r="BQ92" s="25">
        <f>ROUND((Inventory[[#This Row],[Mdl Land Intercept]]+Inventory[[#This Row],[Mdl LnAcres]])*Inventory[[#This Row],[Det/Nbhd Adj]],-2)</f>
        <v>-11400</v>
      </c>
      <c r="BR92" s="25">
        <f>Inventory[[#This Row],[Adjusted Impr Total]]+Inventory[[#This Row],[Adjusted Land Total]]</f>
        <v>286400</v>
      </c>
      <c r="BS92" s="36">
        <f>IFERROR((Inventory[[#This Row],[Adjusted Impr Total]]-Inventory[[#This Row],[24Bldg]])/Inventory[[#This Row],[24Bldg]],0)</f>
        <v>0.2981691368788143</v>
      </c>
      <c r="BT92" s="36">
        <f>(Inventory[[#This Row],[Adjusted Land Total]]-Inventory[[#This Row],[24Lnd]])/Inventory[[#This Row],[24Lnd]]</f>
        <v>-1.2814814814814814</v>
      </c>
      <c r="BU92" s="36">
        <f>(Inventory[[#This Row],[Adjusted Total]]-Inventory[[#This Row],[24Final]])/Inventory[[#This Row],[24Final]]</f>
        <v>6.1133753241941459E-2</v>
      </c>
    </row>
    <row r="93" spans="1:73" x14ac:dyDescent="0.3">
      <c r="A93" s="25">
        <v>2025</v>
      </c>
      <c r="B93" s="26" t="s">
        <v>1677</v>
      </c>
      <c r="C93" s="26">
        <f>LN(Inventory[[#This Row],[Acres]])</f>
        <v>-3.2188758248682006</v>
      </c>
      <c r="D93" s="25">
        <v>0.26</v>
      </c>
      <c r="E93" s="25">
        <v>11326</v>
      </c>
      <c r="F93" s="26" t="s">
        <v>543</v>
      </c>
      <c r="G93" s="26" t="s">
        <v>544</v>
      </c>
      <c r="H93" s="26" t="s">
        <v>349</v>
      </c>
      <c r="I93" s="26" t="s">
        <v>605</v>
      </c>
      <c r="J93" s="26" t="s">
        <v>616</v>
      </c>
      <c r="K93" s="26" t="s">
        <v>547</v>
      </c>
      <c r="L93" s="26" t="s">
        <v>302</v>
      </c>
      <c r="M93" s="26" t="s">
        <v>323</v>
      </c>
      <c r="N93" s="26">
        <v>40</v>
      </c>
      <c r="O93" s="26">
        <f>2024-Inventory[[#This Row],[YrBlt]]</f>
        <v>29</v>
      </c>
      <c r="P93" s="26">
        <f>2024-Inventory[[#This Row],[EffYr]]</f>
        <v>29</v>
      </c>
      <c r="Q93" s="25">
        <v>1977</v>
      </c>
      <c r="R93" s="25">
        <v>1979</v>
      </c>
      <c r="S93" s="25">
        <v>3004</v>
      </c>
      <c r="T93" s="27"/>
      <c r="U93" s="27"/>
      <c r="V93" s="27">
        <f>Inventory[[#This Row],[Bsmt]]-Inventory[[#This Row],[FnBsmt]]</f>
        <v>0</v>
      </c>
      <c r="W93" s="27"/>
      <c r="X93" s="27"/>
      <c r="Y93" s="27">
        <f>Inventory[[#This Row],[MainFn]]+Inventory[[#This Row],[UpprFn]]+Inventory[[#This Row],[FnBsmt]]+Inventory[[#This Row],[AddFn]]</f>
        <v>1464</v>
      </c>
      <c r="Z93" s="27">
        <v>3500</v>
      </c>
      <c r="AA93" s="25">
        <v>16</v>
      </c>
      <c r="AB93" s="25">
        <v>1012</v>
      </c>
      <c r="AC93" s="27"/>
      <c r="AD93" s="27"/>
      <c r="AE93" s="27"/>
      <c r="AF93" s="27"/>
      <c r="AG93" s="25">
        <v>125</v>
      </c>
      <c r="AH93" s="27"/>
      <c r="AI93" s="25">
        <v>408137</v>
      </c>
      <c r="AJ93" s="25">
        <v>391812</v>
      </c>
      <c r="AK93" s="25">
        <v>0</v>
      </c>
      <c r="AL93" s="25">
        <v>457350</v>
      </c>
      <c r="AM93" s="25">
        <v>77750</v>
      </c>
      <c r="AN93" s="25">
        <v>379600</v>
      </c>
      <c r="AO93" s="25">
        <v>0</v>
      </c>
      <c r="AP93" s="25">
        <f>Lookups!$B$56*0</f>
        <v>0</v>
      </c>
      <c r="AQ93" s="25">
        <f>Lookups!$B$56*1</f>
        <v>89850.625589999996</v>
      </c>
      <c r="AR93" s="25">
        <f>Lookups!$B$57*Inventory[[#This Row],[LnAcres]]</f>
        <v>-101892.2773541973</v>
      </c>
      <c r="AS93" s="25">
        <f>VLOOKUP(Inventory[[#This Row],[Qlty]],Lookups!$A$62:$E$75,2,FALSE)</f>
        <v>21557.329055999999</v>
      </c>
      <c r="AT93" s="25">
        <f>VLOOKUP(Inventory[[#This Row],[Cnd]],Lookups!$A$76:$E$84,2,FALSE)</f>
        <v>160472.20319</v>
      </c>
      <c r="AU93" s="25">
        <f>Inventory[[#This Row],[EffAge]]*Lookups!$B$85</f>
        <v>-6468.3224145000004</v>
      </c>
      <c r="AV93" s="25">
        <f>Inventory[[#This Row],[MainFn]]*Lookups!$B$86</f>
        <v>72334.292699928003</v>
      </c>
      <c r="AW93" s="25">
        <f>Inventory[[#This Row],[UpprFn]]*Lookups!$B$87</f>
        <v>0</v>
      </c>
      <c r="AX93" s="25">
        <f>Inventory[[#This Row],[AddFn]]*Lookups!$B$88</f>
        <v>0</v>
      </c>
      <c r="AY93" s="25">
        <f>Inventory[[#This Row],[Bsmt]]*Lookups!$B$89</f>
        <v>0</v>
      </c>
      <c r="AZ93" s="25">
        <f>Inventory[[#This Row],[Fixtures]]*Lookups!$B$90</f>
        <v>30336.176841600001</v>
      </c>
      <c r="BA93" s="25">
        <f>Inventory[[#This Row],[WdDeck]]*Lookups!$B$91</f>
        <v>0</v>
      </c>
      <c r="BB93" s="25">
        <f>ROUND(Inventory[[#This Row],[25Det]],-2)</f>
        <v>23500</v>
      </c>
      <c r="BC93" s="25">
        <f>ROUND(SUM(Inventory[[#This Row],[Mdl Qlty]:[Mdl WdDeck]])+Inventory[[#This Row],[Mdl Res Intercept]],-2)</f>
        <v>278200</v>
      </c>
      <c r="BD93" s="25">
        <f>ROUND(Inventory[[#This Row],[Mdl Land Intercept]]+Inventory[[#This Row],[Mdl LnAcres]],-2)</f>
        <v>-12000</v>
      </c>
      <c r="BE93" s="25">
        <f>Inventory[[#This Row],[Unadj Res Value]]+Inventory[[#This Row],[Unadj Det Value]]+Inventory[[#This Row],[Unadj Land Value]]</f>
        <v>289700</v>
      </c>
      <c r="BF93" s="36">
        <f>(Inventory[[#This Row],[Unadj Total Value]]-Inventory[[#This Row],[24Final]])/Inventory[[#This Row],[24Final]]</f>
        <v>1.8994020400984874E-2</v>
      </c>
      <c r="BG93" s="25">
        <f>VLOOKUP(Inventory[[#This Row],[Nbhd]],Lookups!$Q$2:$T$4,4,FALSE)</f>
        <v>0.99970000000000003</v>
      </c>
      <c r="BH93" s="25">
        <f>VLOOKUP(Inventory[[#This Row],[Qlty]],Lookups!$O$7:$R$21,4,FALSE)</f>
        <v>1.0067999999999999</v>
      </c>
      <c r="BI93" s="29">
        <f>VLOOKUP(Inventory[[#This Row],[Cnd]],Lookups!$T$7:$W$16,4,FALSE)</f>
        <v>0.99729999999999996</v>
      </c>
      <c r="BJ93" s="25">
        <f>VLOOKUP(Inventory[[#This Row],[LivArea Range]],Lookups!$T$25:$W$37,4,FALSE)</f>
        <v>1.0157</v>
      </c>
      <c r="BK93" s="25">
        <f>VLOOKUP(Inventory[[#This Row],[Decade]],Lookups!$O$25:$R$42,4,FALSE)</f>
        <v>0.97319999999999995</v>
      </c>
      <c r="BL93" s="25">
        <f>Inventory[[#This Row],[Nbhd Adj]]*0.95</f>
        <v>0.94971499999999998</v>
      </c>
      <c r="BM93" s="25">
        <f>Inventory[[#This Row],[Nbhd Adj]]*Inventory[[#This Row],[Quality Adj]]*Inventory[[#This Row],[Condition Adj]]*Inventory[[#This Row],[Living Area Adj]]*Inventory[[#This Row],[Decade Adj]]*0.95</f>
        <v>0.9426052971358202</v>
      </c>
      <c r="BN93" s="25">
        <f>ROUND(SUM(Inventory[[#This Row],[Mdl Qlty]:[Mdl WdDeck]])+Inventory[[#This Row],[Mdl Res Intercept]]*Inventory[[#This Row],[Res Adj ]],-2)</f>
        <v>278200</v>
      </c>
      <c r="BO93" s="25">
        <f>ROUND(Inventory[[#This Row],[25Det]]*Inventory[[#This Row],[Det/Nbhd Adj]],-2)</f>
        <v>22300</v>
      </c>
      <c r="BP93" s="25">
        <f>Inventory[[#This Row],[Adjusted Res]]+Inventory[[#This Row],[Adj Det ]]</f>
        <v>300500</v>
      </c>
      <c r="BQ93" s="25">
        <f>ROUND((Inventory[[#This Row],[Mdl Land Intercept]]+Inventory[[#This Row],[Mdl LnAcres]])*Inventory[[#This Row],[Det/Nbhd Adj]],-2)</f>
        <v>-11400</v>
      </c>
      <c r="BR93" s="25">
        <f>Inventory[[#This Row],[Adjusted Impr Total]]+Inventory[[#This Row],[Adjusted Land Total]]</f>
        <v>289100</v>
      </c>
      <c r="BS93" s="36">
        <f>IFERROR((Inventory[[#This Row],[Adjusted Impr Total]]-Inventory[[#This Row],[24Bldg]])/Inventory[[#This Row],[24Bldg]],0)</f>
        <v>0.24327678940835748</v>
      </c>
      <c r="BT93" s="36">
        <f>(Inventory[[#This Row],[Adjusted Land Total]]-Inventory[[#This Row],[24Lnd]])/Inventory[[#This Row],[24Lnd]]</f>
        <v>-1.267605633802817</v>
      </c>
      <c r="BU93" s="36">
        <f>(Inventory[[#This Row],[Adjusted Total]]-Inventory[[#This Row],[24Final]])/Inventory[[#This Row],[24Final]]</f>
        <v>1.6883573689764335E-2</v>
      </c>
    </row>
    <row r="94" spans="1:73" x14ac:dyDescent="0.3">
      <c r="A94" s="25">
        <v>2025</v>
      </c>
      <c r="B94" s="26" t="s">
        <v>940</v>
      </c>
      <c r="C94" s="26">
        <f>LN(Inventory[[#This Row],[Acres]])</f>
        <v>-3.2188758248682006</v>
      </c>
      <c r="D94" s="25">
        <v>0.32</v>
      </c>
      <c r="E94" s="25">
        <v>13939</v>
      </c>
      <c r="F94" s="26" t="s">
        <v>543</v>
      </c>
      <c r="G94" s="26" t="s">
        <v>544</v>
      </c>
      <c r="H94" s="26" t="s">
        <v>349</v>
      </c>
      <c r="I94" s="26" t="s">
        <v>605</v>
      </c>
      <c r="J94" s="26" t="s">
        <v>619</v>
      </c>
      <c r="K94" s="26" t="s">
        <v>547</v>
      </c>
      <c r="L94" s="26" t="s">
        <v>302</v>
      </c>
      <c r="M94" s="26" t="s">
        <v>323</v>
      </c>
      <c r="N94" s="26">
        <v>60</v>
      </c>
      <c r="O94" s="26">
        <f>2024-Inventory[[#This Row],[YrBlt]]</f>
        <v>29</v>
      </c>
      <c r="P94" s="26">
        <f>2024-Inventory[[#This Row],[EffYr]]</f>
        <v>29</v>
      </c>
      <c r="Q94" s="25">
        <v>1957</v>
      </c>
      <c r="R94" s="25">
        <v>1974</v>
      </c>
      <c r="S94" s="25">
        <v>3192</v>
      </c>
      <c r="T94" s="27"/>
      <c r="U94" s="27"/>
      <c r="V94" s="27">
        <f>Inventory[[#This Row],[Bsmt]]-Inventory[[#This Row],[FnBsmt]]</f>
        <v>0</v>
      </c>
      <c r="W94" s="27"/>
      <c r="X94" s="27"/>
      <c r="Y94" s="27">
        <f>Inventory[[#This Row],[MainFn]]+Inventory[[#This Row],[UpprFn]]+Inventory[[#This Row],[FnBsmt]]+Inventory[[#This Row],[AddFn]]</f>
        <v>1464</v>
      </c>
      <c r="Z94" s="27">
        <v>3500</v>
      </c>
      <c r="AA94" s="25">
        <v>15</v>
      </c>
      <c r="AB94" s="31"/>
      <c r="AC94" s="27"/>
      <c r="AD94" s="27"/>
      <c r="AE94" s="27"/>
      <c r="AF94" s="27"/>
      <c r="AG94" s="25">
        <v>125</v>
      </c>
      <c r="AH94" s="27"/>
      <c r="AI94" s="25">
        <v>410624</v>
      </c>
      <c r="AJ94" s="25">
        <v>361349</v>
      </c>
      <c r="AK94" s="25">
        <v>17106</v>
      </c>
      <c r="AL94" s="25">
        <v>447000</v>
      </c>
      <c r="AM94" s="25">
        <v>86000</v>
      </c>
      <c r="AN94" s="25">
        <v>361000</v>
      </c>
      <c r="AO94" s="25">
        <v>0</v>
      </c>
      <c r="AP94" s="25">
        <f>Lookups!$B$56*0</f>
        <v>0</v>
      </c>
      <c r="AQ94" s="25">
        <f>Lookups!$B$56*1</f>
        <v>89850.625589999996</v>
      </c>
      <c r="AR94" s="25">
        <f>Lookups!$B$57*Inventory[[#This Row],[LnAcres]]</f>
        <v>-101892.2773541973</v>
      </c>
      <c r="AS94" s="25">
        <f>VLOOKUP(Inventory[[#This Row],[Qlty]],Lookups!$A$62:$E$75,2,FALSE)</f>
        <v>21557.329055999999</v>
      </c>
      <c r="AT94" s="25">
        <f>VLOOKUP(Inventory[[#This Row],[Cnd]],Lookups!$A$76:$E$84,2,FALSE)</f>
        <v>160472.20319</v>
      </c>
      <c r="AU94" s="25">
        <f>Inventory[[#This Row],[EffAge]]*Lookups!$B$85</f>
        <v>-6468.3224145000004</v>
      </c>
      <c r="AV94" s="25">
        <f>Inventory[[#This Row],[MainFn]]*Lookups!$B$86</f>
        <v>72334.292699928003</v>
      </c>
      <c r="AW94" s="25">
        <f>Inventory[[#This Row],[UpprFn]]*Lookups!$B$87</f>
        <v>0</v>
      </c>
      <c r="AX94" s="25">
        <f>Inventory[[#This Row],[AddFn]]*Lookups!$B$88</f>
        <v>0</v>
      </c>
      <c r="AY94" s="25">
        <f>Inventory[[#This Row],[Bsmt]]*Lookups!$B$89</f>
        <v>0</v>
      </c>
      <c r="AZ94" s="25">
        <f>Inventory[[#This Row],[Fixtures]]*Lookups!$B$90</f>
        <v>34128.198946800003</v>
      </c>
      <c r="BA94" s="25">
        <f>Inventory[[#This Row],[WdDeck]]*Lookups!$B$91</f>
        <v>0</v>
      </c>
      <c r="BB94" s="25">
        <f>ROUND(Inventory[[#This Row],[25Det]],-2)</f>
        <v>23500</v>
      </c>
      <c r="BC94" s="25">
        <f>ROUND(SUM(Inventory[[#This Row],[Mdl Qlty]:[Mdl WdDeck]])+Inventory[[#This Row],[Mdl Res Intercept]],-2)</f>
        <v>282000</v>
      </c>
      <c r="BD94" s="25">
        <f>ROUND(Inventory[[#This Row],[Mdl Land Intercept]]+Inventory[[#This Row],[Mdl LnAcres]],-2)</f>
        <v>-12000</v>
      </c>
      <c r="BE94" s="25">
        <f>Inventory[[#This Row],[Unadj Res Value]]+Inventory[[#This Row],[Unadj Det Value]]+Inventory[[#This Row],[Unadj Land Value]]</f>
        <v>293500</v>
      </c>
      <c r="BF94" s="36">
        <f>(Inventory[[#This Row],[Unadj Total Value]]-Inventory[[#This Row],[24Final]])/Inventory[[#This Row],[24Final]]</f>
        <v>1.3466850828729282E-2</v>
      </c>
      <c r="BG94" s="25">
        <f>VLOOKUP(Inventory[[#This Row],[Nbhd]],Lookups!$Q$2:$T$4,4,FALSE)</f>
        <v>0.99970000000000003</v>
      </c>
      <c r="BH94" s="25">
        <f>VLOOKUP(Inventory[[#This Row],[Qlty]],Lookups!$O$7:$R$21,4,FALSE)</f>
        <v>1.0067999999999999</v>
      </c>
      <c r="BI94" s="29">
        <f>VLOOKUP(Inventory[[#This Row],[Cnd]],Lookups!$T$7:$W$16,4,FALSE)</f>
        <v>0.99729999999999996</v>
      </c>
      <c r="BJ94" s="25">
        <f>VLOOKUP(Inventory[[#This Row],[LivArea Range]],Lookups!$T$25:$W$37,4,FALSE)</f>
        <v>1.0157</v>
      </c>
      <c r="BK94" s="25">
        <f>VLOOKUP(Inventory[[#This Row],[Decade]],Lookups!$O$25:$R$42,4,FALSE)</f>
        <v>0.97319999999999995</v>
      </c>
      <c r="BL94" s="25">
        <f>Inventory[[#This Row],[Nbhd Adj]]*0.95</f>
        <v>0.94971499999999998</v>
      </c>
      <c r="BM94" s="25">
        <f>Inventory[[#This Row],[Nbhd Adj]]*Inventory[[#This Row],[Quality Adj]]*Inventory[[#This Row],[Condition Adj]]*Inventory[[#This Row],[Living Area Adj]]*Inventory[[#This Row],[Decade Adj]]*0.95</f>
        <v>0.9426052971358202</v>
      </c>
      <c r="BN94" s="25">
        <f>ROUND(SUM(Inventory[[#This Row],[Mdl Qlty]:[Mdl WdDeck]])+Inventory[[#This Row],[Mdl Res Intercept]]*Inventory[[#This Row],[Res Adj ]],-2)</f>
        <v>282000</v>
      </c>
      <c r="BO94" s="25">
        <f>ROUND(Inventory[[#This Row],[25Det]]*Inventory[[#This Row],[Det/Nbhd Adj]],-2)</f>
        <v>22300</v>
      </c>
      <c r="BP94" s="25">
        <f>Inventory[[#This Row],[Adjusted Res]]+Inventory[[#This Row],[Adj Det ]]</f>
        <v>304300</v>
      </c>
      <c r="BQ94" s="25">
        <f>ROUND((Inventory[[#This Row],[Mdl Land Intercept]]+Inventory[[#This Row],[Mdl LnAcres]])*Inventory[[#This Row],[Det/Nbhd Adj]],-2)</f>
        <v>-11400</v>
      </c>
      <c r="BR94" s="25">
        <f>Inventory[[#This Row],[Adjusted Impr Total]]+Inventory[[#This Row],[Adjusted Land Total]]</f>
        <v>292900</v>
      </c>
      <c r="BS94" s="36">
        <f>IFERROR((Inventory[[#This Row],[Adjusted Impr Total]]-Inventory[[#This Row],[24Bldg]])/Inventory[[#This Row],[24Bldg]],0)</f>
        <v>0.23598700243704304</v>
      </c>
      <c r="BT94" s="36">
        <f>(Inventory[[#This Row],[Adjusted Land Total]]-Inventory[[#This Row],[24Lnd]])/Inventory[[#This Row],[24Lnd]]</f>
        <v>-1.2626728110599079</v>
      </c>
      <c r="BU94" s="36">
        <f>(Inventory[[#This Row],[Adjusted Total]]-Inventory[[#This Row],[24Final]])/Inventory[[#This Row],[24Final]]</f>
        <v>1.1395027624309393E-2</v>
      </c>
    </row>
    <row r="95" spans="1:73" x14ac:dyDescent="0.3">
      <c r="A95" s="25">
        <v>2025</v>
      </c>
      <c r="B95" s="26" t="s">
        <v>1703</v>
      </c>
      <c r="C95" s="26">
        <f>LN(Inventory[[#This Row],[Acres]])</f>
        <v>-1.7719568419318752</v>
      </c>
      <c r="D95" s="25">
        <v>0.09</v>
      </c>
      <c r="E95" s="25">
        <v>3920</v>
      </c>
      <c r="F95" s="26" t="s">
        <v>543</v>
      </c>
      <c r="G95" s="26" t="s">
        <v>544</v>
      </c>
      <c r="H95" s="26" t="s">
        <v>349</v>
      </c>
      <c r="I95" s="26" t="s">
        <v>605</v>
      </c>
      <c r="J95" s="26" t="s">
        <v>616</v>
      </c>
      <c r="K95" s="26" t="s">
        <v>547</v>
      </c>
      <c r="L95" s="26" t="s">
        <v>31</v>
      </c>
      <c r="M95" s="26" t="s">
        <v>323</v>
      </c>
      <c r="N95" s="26">
        <v>70</v>
      </c>
      <c r="O95" s="26">
        <f>2024-Inventory[[#This Row],[YrBlt]]</f>
        <v>30</v>
      </c>
      <c r="P95" s="26">
        <f>2024-Inventory[[#This Row],[EffYr]]</f>
        <v>30</v>
      </c>
      <c r="Q95" s="25">
        <v>1945</v>
      </c>
      <c r="R95" s="25">
        <v>1982</v>
      </c>
      <c r="S95" s="25">
        <v>1222</v>
      </c>
      <c r="T95" s="27"/>
      <c r="U95" s="27"/>
      <c r="V95" s="27">
        <f>Inventory[[#This Row],[Bsmt]]-Inventory[[#This Row],[FnBsmt]]</f>
        <v>0</v>
      </c>
      <c r="W95" s="27"/>
      <c r="X95" s="27"/>
      <c r="Y95" s="27">
        <f>Inventory[[#This Row],[MainFn]]+Inventory[[#This Row],[UpprFn]]+Inventory[[#This Row],[FnBsmt]]+Inventory[[#This Row],[AddFn]]</f>
        <v>2504</v>
      </c>
      <c r="Z95" s="27">
        <v>1500</v>
      </c>
      <c r="AA95" s="25">
        <v>10</v>
      </c>
      <c r="AB95" s="31"/>
      <c r="AC95" s="27"/>
      <c r="AD95" s="27"/>
      <c r="AE95" s="27"/>
      <c r="AF95" s="27"/>
      <c r="AG95" s="32">
        <v>155</v>
      </c>
      <c r="AH95" s="27"/>
      <c r="AI95" s="25">
        <v>123544</v>
      </c>
      <c r="AJ95" s="25">
        <v>150724</v>
      </c>
      <c r="AK95" s="25">
        <v>7601</v>
      </c>
      <c r="AL95" s="25">
        <v>119300</v>
      </c>
      <c r="AM95" s="25">
        <v>35200</v>
      </c>
      <c r="AN95" s="25">
        <v>84100</v>
      </c>
      <c r="AO95" s="25">
        <v>0</v>
      </c>
      <c r="AP95" s="25">
        <f>Lookups!$B$56*0</f>
        <v>0</v>
      </c>
      <c r="AQ95" s="25">
        <f>Lookups!$B$56*1</f>
        <v>89850.625589999996</v>
      </c>
      <c r="AR95" s="25">
        <f>Lookups!$B$57*Inventory[[#This Row],[LnAcres]]</f>
        <v>-56090.612940989391</v>
      </c>
      <c r="AS95" s="25">
        <f>VLOOKUP(Inventory[[#This Row],[Qlty]],Lookups!$A$62:$E$75,2,FALSE)</f>
        <v>29814.093161000001</v>
      </c>
      <c r="AT95" s="25">
        <f>VLOOKUP(Inventory[[#This Row],[Cnd]],Lookups!$A$76:$E$84,2,FALSE)</f>
        <v>284810.60806</v>
      </c>
      <c r="AU95" s="25">
        <f>Inventory[[#This Row],[EffAge]]*Lookups!$B$85</f>
        <v>-6691.368015</v>
      </c>
      <c r="AV95" s="25">
        <f>Inventory[[#This Row],[MainFn]]*Lookups!$B$86</f>
        <v>61859.654686004003</v>
      </c>
      <c r="AW95" s="25">
        <f>Inventory[[#This Row],[UpprFn]]*Lookups!$B$87</f>
        <v>0</v>
      </c>
      <c r="AX95" s="25">
        <f>Inventory[[#This Row],[AddFn]]*Lookups!$B$88</f>
        <v>0</v>
      </c>
      <c r="AY95" s="25">
        <f>Inventory[[#This Row],[Bsmt]]*Lookups!$B$89</f>
        <v>36410.532849243995</v>
      </c>
      <c r="AZ95" s="25">
        <f>Inventory[[#This Row],[Fixtures]]*Lookups!$B$90</f>
        <v>30336.176841600001</v>
      </c>
      <c r="BA95" s="25">
        <f>Inventory[[#This Row],[WdDeck]]*Lookups!$B$91</f>
        <v>3995.4618331200004</v>
      </c>
      <c r="BB95" s="25">
        <f>ROUND(Inventory[[#This Row],[25Det]],-2)</f>
        <v>0</v>
      </c>
      <c r="BC95" s="25">
        <f>ROUND(SUM(Inventory[[#This Row],[Mdl Qlty]:[Mdl WdDeck]])+Inventory[[#This Row],[Mdl Res Intercept]],-2)</f>
        <v>440500</v>
      </c>
      <c r="BD95" s="25">
        <f>ROUND(Inventory[[#This Row],[Mdl Land Intercept]]+Inventory[[#This Row],[Mdl LnAcres]],-2)</f>
        <v>33800</v>
      </c>
      <c r="BE95" s="25">
        <f>Inventory[[#This Row],[Unadj Res Value]]+Inventory[[#This Row],[Unadj Det Value]]+Inventory[[#This Row],[Unadj Land Value]]</f>
        <v>474300</v>
      </c>
      <c r="BF95" s="36">
        <f>(Inventory[[#This Row],[Unadj Total Value]]-Inventory[[#This Row],[24Final]])/Inventory[[#This Row],[24Final]]</f>
        <v>0.17371937639198218</v>
      </c>
      <c r="BG95" s="25">
        <f>VLOOKUP(Inventory[[#This Row],[Nbhd]],Lookups!$Q$2:$T$4,4,FALSE)</f>
        <v>0.99970000000000003</v>
      </c>
      <c r="BH95" s="25">
        <f>VLOOKUP(Inventory[[#This Row],[Qlty]],Lookups!$O$7:$R$21,4,FALSE)</f>
        <v>1.0088999999999999</v>
      </c>
      <c r="BI95" s="29">
        <f>VLOOKUP(Inventory[[#This Row],[Cnd]],Lookups!$T$7:$W$16,4,FALSE)</f>
        <v>1.0158</v>
      </c>
      <c r="BJ95" s="25">
        <f>VLOOKUP(Inventory[[#This Row],[LivArea Range]],Lookups!$T$25:$W$37,4,FALSE)</f>
        <v>0.96179999999999999</v>
      </c>
      <c r="BK95" s="25">
        <f>VLOOKUP(Inventory[[#This Row],[Decade]],Lookups!$O$25:$R$42,4,FALSE)</f>
        <v>0.97319999999999995</v>
      </c>
      <c r="BL95" s="25">
        <f>Inventory[[#This Row],[Nbhd Adj]]*0.95</f>
        <v>0.94971499999999998</v>
      </c>
      <c r="BM95" s="25">
        <f>Inventory[[#This Row],[Nbhd Adj]]*Inventory[[#This Row],[Quality Adj]]*Inventory[[#This Row],[Condition Adj]]*Inventory[[#This Row],[Living Area Adj]]*Inventory[[#This Row],[Decade Adj]]*0.95</f>
        <v>0.91103801858287259</v>
      </c>
      <c r="BN95" s="25">
        <f>ROUND(SUM(Inventory[[#This Row],[Mdl Qlty]:[Mdl WdDeck]])+Inventory[[#This Row],[Mdl Res Intercept]]*Inventory[[#This Row],[Res Adj ]],-2)</f>
        <v>440500</v>
      </c>
      <c r="BO95" s="25">
        <f>ROUND(Inventory[[#This Row],[25Det]]*Inventory[[#This Row],[Det/Nbhd Adj]],-2)</f>
        <v>0</v>
      </c>
      <c r="BP95" s="25">
        <f>Inventory[[#This Row],[Adjusted Res]]+Inventory[[#This Row],[Adj Det ]]</f>
        <v>440500</v>
      </c>
      <c r="BQ95" s="25">
        <f>ROUND((Inventory[[#This Row],[Mdl Land Intercept]]+Inventory[[#This Row],[Mdl LnAcres]])*Inventory[[#This Row],[Det/Nbhd Adj]],-2)</f>
        <v>32100</v>
      </c>
      <c r="BR95" s="25">
        <f>Inventory[[#This Row],[Adjusted Impr Total]]+Inventory[[#This Row],[Adjusted Land Total]]</f>
        <v>472600</v>
      </c>
      <c r="BS95" s="36">
        <f>IFERROR((Inventory[[#This Row],[Adjusted Impr Total]]-Inventory[[#This Row],[24Bldg]])/Inventory[[#This Row],[24Bldg]],0)</f>
        <v>0.2535571997723392</v>
      </c>
      <c r="BT95" s="36">
        <f>(Inventory[[#This Row],[Adjusted Land Total]]-Inventory[[#This Row],[24Lnd]])/Inventory[[#This Row],[24Lnd]]</f>
        <v>-0.39089184060721061</v>
      </c>
      <c r="BU95" s="36">
        <f>(Inventory[[#This Row],[Adjusted Total]]-Inventory[[#This Row],[24Final]])/Inventory[[#This Row],[24Final]]</f>
        <v>0.16951249690670625</v>
      </c>
    </row>
    <row r="96" spans="1:73" x14ac:dyDescent="0.3">
      <c r="A96" s="25">
        <v>2025</v>
      </c>
      <c r="B96" s="26" t="s">
        <v>1122</v>
      </c>
      <c r="C96" s="26">
        <f>LN(Inventory[[#This Row],[Acres]])</f>
        <v>-3.5065578973199818</v>
      </c>
      <c r="D96" s="25">
        <v>0.22</v>
      </c>
      <c r="E96" s="25">
        <v>9583</v>
      </c>
      <c r="F96" s="26" t="s">
        <v>543</v>
      </c>
      <c r="G96" s="26" t="s">
        <v>544</v>
      </c>
      <c r="H96" s="26" t="s">
        <v>349</v>
      </c>
      <c r="I96" s="26" t="s">
        <v>605</v>
      </c>
      <c r="J96" s="26" t="s">
        <v>616</v>
      </c>
      <c r="K96" s="26" t="s">
        <v>547</v>
      </c>
      <c r="L96" s="26" t="s">
        <v>205</v>
      </c>
      <c r="M96" s="26" t="s">
        <v>323</v>
      </c>
      <c r="N96" s="26">
        <v>90</v>
      </c>
      <c r="O96" s="26">
        <f>2024-Inventory[[#This Row],[YrBlt]]</f>
        <v>30</v>
      </c>
      <c r="P96" s="26">
        <f>2024-Inventory[[#This Row],[EffYr]]</f>
        <v>30</v>
      </c>
      <c r="Q96" s="25">
        <v>1925</v>
      </c>
      <c r="R96" s="25">
        <v>1968</v>
      </c>
      <c r="S96" s="25">
        <v>972</v>
      </c>
      <c r="T96" s="27"/>
      <c r="U96" s="32">
        <v>972</v>
      </c>
      <c r="V96" s="32">
        <f>Inventory[[#This Row],[Bsmt]]-Inventory[[#This Row],[FnBsmt]]</f>
        <v>0</v>
      </c>
      <c r="W96" s="27"/>
      <c r="X96" s="27"/>
      <c r="Y96" s="27">
        <f>Inventory[[#This Row],[MainFn]]+Inventory[[#This Row],[UpprFn]]+Inventory[[#This Row],[FnBsmt]]+Inventory[[#This Row],[AddFn]]</f>
        <v>1541</v>
      </c>
      <c r="Z96" s="27">
        <v>1000</v>
      </c>
      <c r="AA96" s="25">
        <v>10</v>
      </c>
      <c r="AB96" s="31"/>
      <c r="AC96" s="27"/>
      <c r="AD96" s="27"/>
      <c r="AE96" s="27"/>
      <c r="AF96" s="27"/>
      <c r="AG96" s="32">
        <v>125</v>
      </c>
      <c r="AH96" s="27"/>
      <c r="AI96" s="25">
        <v>136286</v>
      </c>
      <c r="AJ96" s="25">
        <v>109029</v>
      </c>
      <c r="AK96" s="25">
        <v>0</v>
      </c>
      <c r="AL96" s="25">
        <v>179400</v>
      </c>
      <c r="AM96" s="25">
        <v>77300</v>
      </c>
      <c r="AN96" s="25">
        <v>102100</v>
      </c>
      <c r="AO96" s="25">
        <v>0</v>
      </c>
      <c r="AP96" s="25">
        <f>Lookups!$B$56*0</f>
        <v>0</v>
      </c>
      <c r="AQ96" s="25">
        <f>Lookups!$B$56*1</f>
        <v>89850.625589999996</v>
      </c>
      <c r="AR96" s="25">
        <f>Lookups!$B$57*Inventory[[#This Row],[LnAcres]]</f>
        <v>-110998.74281323297</v>
      </c>
      <c r="AS96" s="25">
        <f>VLOOKUP(Inventory[[#This Row],[Qlty]],Lookups!$A$62:$E$75,2,FALSE)</f>
        <v>74268.409664999999</v>
      </c>
      <c r="AT96" s="25">
        <f>VLOOKUP(Inventory[[#This Row],[Cnd]],Lookups!$A$76:$E$84,2,FALSE)</f>
        <v>160472.20319</v>
      </c>
      <c r="AU96" s="25">
        <f>Inventory[[#This Row],[EffAge]]*Lookups!$B$85</f>
        <v>-6691.368015</v>
      </c>
      <c r="AV96" s="25">
        <f>Inventory[[#This Row],[MainFn]]*Lookups!$B$86</f>
        <v>76138.760280457005</v>
      </c>
      <c r="AW96" s="25">
        <f>Inventory[[#This Row],[UpprFn]]*Lookups!$B$87</f>
        <v>0</v>
      </c>
      <c r="AX96" s="25">
        <f>Inventory[[#This Row],[AddFn]]*Lookups!$B$88</f>
        <v>0</v>
      </c>
      <c r="AY96" s="25">
        <f>Inventory[[#This Row],[Bsmt]]*Lookups!$B$89</f>
        <v>0</v>
      </c>
      <c r="AZ96" s="25">
        <f>Inventory[[#This Row],[Fixtures]]*Lookups!$B$90</f>
        <v>37920.221052000001</v>
      </c>
      <c r="BA96" s="25">
        <f>Inventory[[#This Row],[WdDeck]]*Lookups!$B$91</f>
        <v>4794.5541997440005</v>
      </c>
      <c r="BB96" s="25">
        <f>ROUND(Inventory[[#This Row],[25Det]],-2)</f>
        <v>0</v>
      </c>
      <c r="BC96" s="25">
        <f>ROUND(SUM(Inventory[[#This Row],[Mdl Qlty]:[Mdl WdDeck]])+Inventory[[#This Row],[Mdl Res Intercept]],-2)</f>
        <v>346900</v>
      </c>
      <c r="BD96" s="25">
        <f>ROUND(Inventory[[#This Row],[Mdl Land Intercept]]+Inventory[[#This Row],[Mdl LnAcres]],-2)</f>
        <v>-21100</v>
      </c>
      <c r="BE96" s="25">
        <f>Inventory[[#This Row],[Unadj Res Value]]+Inventory[[#This Row],[Unadj Det Value]]+Inventory[[#This Row],[Unadj Land Value]]</f>
        <v>325800</v>
      </c>
      <c r="BF96" s="36">
        <f>(Inventory[[#This Row],[Unadj Total Value]]-Inventory[[#This Row],[24Final]])/Inventory[[#This Row],[24Final]]</f>
        <v>0.12228728901136755</v>
      </c>
      <c r="BG96" s="25">
        <f>VLOOKUP(Inventory[[#This Row],[Nbhd]],Lookups!$Q$2:$T$4,4,FALSE)</f>
        <v>0.99970000000000003</v>
      </c>
      <c r="BH96" s="25">
        <f>VLOOKUP(Inventory[[#This Row],[Qlty]],Lookups!$O$7:$R$21,4,FALSE)</f>
        <v>0.98380000000000001</v>
      </c>
      <c r="BI96" s="29">
        <f>VLOOKUP(Inventory[[#This Row],[Cnd]],Lookups!$T$7:$W$16,4,FALSE)</f>
        <v>0.99729999999999996</v>
      </c>
      <c r="BJ96" s="25">
        <f>VLOOKUP(Inventory[[#This Row],[LivArea Range]],Lookups!$T$25:$W$37,4,FALSE)</f>
        <v>1.0093000000000001</v>
      </c>
      <c r="BK96" s="25">
        <f>VLOOKUP(Inventory[[#This Row],[Decade]],Lookups!$O$25:$R$42,4,FALSE)</f>
        <v>0.97319999999999995</v>
      </c>
      <c r="BL96" s="25">
        <f>Inventory[[#This Row],[Nbhd Adj]]*0.95</f>
        <v>0.94971499999999998</v>
      </c>
      <c r="BM96" s="25">
        <f>Inventory[[#This Row],[Nbhd Adj]]*Inventory[[#This Row],[Quality Adj]]*Inventory[[#This Row],[Condition Adj]]*Inventory[[#This Row],[Living Area Adj]]*Inventory[[#This Row],[Decade Adj]]*0.95</f>
        <v>0.91526806225250934</v>
      </c>
      <c r="BN96" s="25">
        <f>ROUND(SUM(Inventory[[#This Row],[Mdl Qlty]:[Mdl WdDeck]])+Inventory[[#This Row],[Mdl Res Intercept]]*Inventory[[#This Row],[Res Adj ]],-2)</f>
        <v>346900</v>
      </c>
      <c r="BO96" s="25">
        <f>ROUND(Inventory[[#This Row],[25Det]]*Inventory[[#This Row],[Det/Nbhd Adj]],-2)</f>
        <v>0</v>
      </c>
      <c r="BP96" s="25">
        <f>Inventory[[#This Row],[Adjusted Res]]+Inventory[[#This Row],[Adj Det ]]</f>
        <v>346900</v>
      </c>
      <c r="BQ96" s="25">
        <f>ROUND((Inventory[[#This Row],[Mdl Land Intercept]]+Inventory[[#This Row],[Mdl LnAcres]])*Inventory[[#This Row],[Det/Nbhd Adj]],-2)</f>
        <v>-20100</v>
      </c>
      <c r="BR96" s="25">
        <f>Inventory[[#This Row],[Adjusted Impr Total]]+Inventory[[#This Row],[Adjusted Land Total]]</f>
        <v>326800</v>
      </c>
      <c r="BS96" s="36">
        <f>IFERROR((Inventory[[#This Row],[Adjusted Impr Total]]-Inventory[[#This Row],[24Bldg]])/Inventory[[#This Row],[24Bldg]],0)</f>
        <v>0.40559157212317665</v>
      </c>
      <c r="BT96" s="36">
        <f>(Inventory[[#This Row],[Adjusted Land Total]]-Inventory[[#This Row],[24Lnd]])/Inventory[[#This Row],[24Lnd]]</f>
        <v>-1.4620689655172414</v>
      </c>
      <c r="BU96" s="36">
        <f>(Inventory[[#This Row],[Adjusted Total]]-Inventory[[#This Row],[24Final]])/Inventory[[#This Row],[24Final]]</f>
        <v>0.12573200137788496</v>
      </c>
    </row>
    <row r="97" spans="1:73" x14ac:dyDescent="0.3">
      <c r="A97" s="25">
        <v>2025</v>
      </c>
      <c r="B97" s="26" t="s">
        <v>2563</v>
      </c>
      <c r="C97" s="26">
        <f>LN(Inventory[[#This Row],[Acres]])</f>
        <v>-3.2188758248682006</v>
      </c>
      <c r="D97" s="25">
        <v>0.19</v>
      </c>
      <c r="E97" s="25">
        <v>8276</v>
      </c>
      <c r="F97" s="26" t="s">
        <v>543</v>
      </c>
      <c r="G97" s="26" t="s">
        <v>544</v>
      </c>
      <c r="H97" s="26" t="s">
        <v>349</v>
      </c>
      <c r="I97" s="26" t="s">
        <v>605</v>
      </c>
      <c r="J97" s="26" t="s">
        <v>616</v>
      </c>
      <c r="K97" s="26" t="s">
        <v>547</v>
      </c>
      <c r="L97" s="26" t="s">
        <v>205</v>
      </c>
      <c r="M97" s="26" t="s">
        <v>323</v>
      </c>
      <c r="N97" s="26">
        <v>100</v>
      </c>
      <c r="O97" s="26">
        <f>2024-Inventory[[#This Row],[YrBlt]]</f>
        <v>30</v>
      </c>
      <c r="P97" s="26">
        <f>2024-Inventory[[#This Row],[EffYr]]</f>
        <v>30</v>
      </c>
      <c r="Q97" s="25">
        <v>1920</v>
      </c>
      <c r="R97" s="25">
        <v>1966</v>
      </c>
      <c r="S97" s="25">
        <v>1556</v>
      </c>
      <c r="T97" s="27"/>
      <c r="U97" s="32">
        <v>1520</v>
      </c>
      <c r="V97" s="32">
        <f>Inventory[[#This Row],[Bsmt]]-Inventory[[#This Row],[FnBsmt]]</f>
        <v>0</v>
      </c>
      <c r="W97" s="32">
        <v>0</v>
      </c>
      <c r="X97" s="27"/>
      <c r="Y97" s="27">
        <f>Inventory[[#This Row],[MainFn]]+Inventory[[#This Row],[UpprFn]]+Inventory[[#This Row],[FnBsmt]]+Inventory[[#This Row],[AddFn]]</f>
        <v>1785</v>
      </c>
      <c r="Z97" s="27">
        <v>2000</v>
      </c>
      <c r="AA97" s="25">
        <v>10</v>
      </c>
      <c r="AB97" s="31"/>
      <c r="AC97" s="27"/>
      <c r="AD97" s="27"/>
      <c r="AE97" s="27"/>
      <c r="AF97" s="27"/>
      <c r="AG97" s="32">
        <v>125</v>
      </c>
      <c r="AH97" s="27"/>
      <c r="AI97" s="25">
        <v>196470</v>
      </c>
      <c r="AJ97" s="25">
        <v>153247</v>
      </c>
      <c r="AK97" s="25">
        <v>8680</v>
      </c>
      <c r="AL97" s="25">
        <v>240900</v>
      </c>
      <c r="AM97" s="25">
        <v>92100</v>
      </c>
      <c r="AN97" s="25">
        <v>148800</v>
      </c>
      <c r="AO97" s="25">
        <v>0</v>
      </c>
      <c r="AP97" s="25">
        <f>Lookups!$B$56*0</f>
        <v>0</v>
      </c>
      <c r="AQ97" s="25">
        <f>Lookups!$B$56*1</f>
        <v>89850.625589999996</v>
      </c>
      <c r="AR97" s="25">
        <f>Lookups!$B$57*Inventory[[#This Row],[LnAcres]]</f>
        <v>-101892.2773541973</v>
      </c>
      <c r="AS97" s="25">
        <f>VLOOKUP(Inventory[[#This Row],[Qlty]],Lookups!$A$62:$E$75,2,FALSE)</f>
        <v>74268.409664999999</v>
      </c>
      <c r="AT97" s="25">
        <f>VLOOKUP(Inventory[[#This Row],[Cnd]],Lookups!$A$76:$E$84,2,FALSE)</f>
        <v>160472.20319</v>
      </c>
      <c r="AU97" s="25">
        <f>Inventory[[#This Row],[EffAge]]*Lookups!$B$85</f>
        <v>-6691.368015</v>
      </c>
      <c r="AV97" s="25">
        <f>Inventory[[#This Row],[MainFn]]*Lookups!$B$86</f>
        <v>88194.475730445003</v>
      </c>
      <c r="AW97" s="25">
        <f>Inventory[[#This Row],[UpprFn]]*Lookups!$B$87</f>
        <v>0</v>
      </c>
      <c r="AX97" s="25">
        <f>Inventory[[#This Row],[AddFn]]*Lookups!$B$88</f>
        <v>0</v>
      </c>
      <c r="AY97" s="25">
        <f>Inventory[[#This Row],[Bsmt]]*Lookups!$B$89</f>
        <v>0</v>
      </c>
      <c r="AZ97" s="25">
        <f>Inventory[[#This Row],[Fixtures]]*Lookups!$B$90</f>
        <v>45504.265262400004</v>
      </c>
      <c r="BA97" s="25">
        <f>Inventory[[#This Row],[WdDeck]]*Lookups!$B$91</f>
        <v>5593.646566368001</v>
      </c>
      <c r="BB97" s="25">
        <f>ROUND(Inventory[[#This Row],[25Det]],-2)</f>
        <v>0</v>
      </c>
      <c r="BC97" s="25">
        <f>ROUND(SUM(Inventory[[#This Row],[Mdl Qlty]:[Mdl WdDeck]])+Inventory[[#This Row],[Mdl Res Intercept]],-2)</f>
        <v>367300</v>
      </c>
      <c r="BD97" s="25">
        <f>ROUND(Inventory[[#This Row],[Mdl Land Intercept]]+Inventory[[#This Row],[Mdl LnAcres]],-2)</f>
        <v>-12000</v>
      </c>
      <c r="BE97" s="25">
        <f>Inventory[[#This Row],[Unadj Res Value]]+Inventory[[#This Row],[Unadj Det Value]]+Inventory[[#This Row],[Unadj Land Value]]</f>
        <v>355300</v>
      </c>
      <c r="BF97" s="36">
        <f>(Inventory[[#This Row],[Unadj Total Value]]-Inventory[[#This Row],[24Final]])/Inventory[[#This Row],[24Final]]</f>
        <v>8.8875268158136678E-2</v>
      </c>
      <c r="BG97" s="25">
        <f>VLOOKUP(Inventory[[#This Row],[Nbhd]],Lookups!$Q$2:$T$4,4,FALSE)</f>
        <v>0.99970000000000003</v>
      </c>
      <c r="BH97" s="25">
        <f>VLOOKUP(Inventory[[#This Row],[Qlty]],Lookups!$O$7:$R$21,4,FALSE)</f>
        <v>0.98380000000000001</v>
      </c>
      <c r="BI97" s="29">
        <f>VLOOKUP(Inventory[[#This Row],[Cnd]],Lookups!$T$7:$W$16,4,FALSE)</f>
        <v>0.99729999999999996</v>
      </c>
      <c r="BJ97" s="25">
        <f>VLOOKUP(Inventory[[#This Row],[LivArea Range]],Lookups!$T$25:$W$37,4,FALSE)</f>
        <v>1.0093000000000001</v>
      </c>
      <c r="BK97" s="25">
        <f>VLOOKUP(Inventory[[#This Row],[Decade]],Lookups!$O$25:$R$42,4,FALSE)</f>
        <v>0.97319999999999995</v>
      </c>
      <c r="BL97" s="25">
        <f>Inventory[[#This Row],[Nbhd Adj]]*0.95</f>
        <v>0.94971499999999998</v>
      </c>
      <c r="BM97" s="25">
        <f>Inventory[[#This Row],[Nbhd Adj]]*Inventory[[#This Row],[Quality Adj]]*Inventory[[#This Row],[Condition Adj]]*Inventory[[#This Row],[Living Area Adj]]*Inventory[[#This Row],[Decade Adj]]*0.95</f>
        <v>0.91526806225250934</v>
      </c>
      <c r="BN97" s="25">
        <f>ROUND(SUM(Inventory[[#This Row],[Mdl Qlty]:[Mdl WdDeck]])+Inventory[[#This Row],[Mdl Res Intercept]]*Inventory[[#This Row],[Res Adj ]],-2)</f>
        <v>367300</v>
      </c>
      <c r="BO97" s="25">
        <f>ROUND(Inventory[[#This Row],[25Det]]*Inventory[[#This Row],[Det/Nbhd Adj]],-2)</f>
        <v>0</v>
      </c>
      <c r="BP97" s="25">
        <f>Inventory[[#This Row],[Adjusted Res]]+Inventory[[#This Row],[Adj Det ]]</f>
        <v>367300</v>
      </c>
      <c r="BQ97" s="25">
        <f>ROUND((Inventory[[#This Row],[Mdl Land Intercept]]+Inventory[[#This Row],[Mdl LnAcres]])*Inventory[[#This Row],[Det/Nbhd Adj]],-2)</f>
        <v>-11400</v>
      </c>
      <c r="BR97" s="25">
        <f>Inventory[[#This Row],[Adjusted Impr Total]]+Inventory[[#This Row],[Adjusted Land Total]]</f>
        <v>355900</v>
      </c>
      <c r="BS97" s="36">
        <f>IFERROR((Inventory[[#This Row],[Adjusted Impr Total]]-Inventory[[#This Row],[24Bldg]])/Inventory[[#This Row],[24Bldg]],0)</f>
        <v>0.32408074981975488</v>
      </c>
      <c r="BT97" s="36">
        <f>(Inventory[[#This Row],[Adjusted Land Total]]-Inventory[[#This Row],[24Lnd]])/Inventory[[#This Row],[24Lnd]]</f>
        <v>-1.2331288343558282</v>
      </c>
      <c r="BU97" s="36">
        <f>(Inventory[[#This Row],[Adjusted Total]]-Inventory[[#This Row],[24Final]])/Inventory[[#This Row],[24Final]]</f>
        <v>9.0714066809684343E-2</v>
      </c>
    </row>
    <row r="98" spans="1:73" x14ac:dyDescent="0.3">
      <c r="A98" s="25">
        <v>2025</v>
      </c>
      <c r="B98" s="26" t="s">
        <v>1462</v>
      </c>
      <c r="C98" s="26">
        <f>LN(Inventory[[#This Row],[Acres]])</f>
        <v>-1.7147984280919266</v>
      </c>
      <c r="D98" s="25">
        <v>0.16</v>
      </c>
      <c r="E98" s="25">
        <v>6970</v>
      </c>
      <c r="F98" s="26" t="s">
        <v>543</v>
      </c>
      <c r="G98" s="26" t="s">
        <v>544</v>
      </c>
      <c r="H98" s="26" t="s">
        <v>349</v>
      </c>
      <c r="I98" s="26" t="s">
        <v>605</v>
      </c>
      <c r="J98" s="26" t="s">
        <v>616</v>
      </c>
      <c r="K98" s="26" t="s">
        <v>547</v>
      </c>
      <c r="L98" s="26" t="s">
        <v>205</v>
      </c>
      <c r="M98" s="26" t="s">
        <v>323</v>
      </c>
      <c r="N98" s="26">
        <v>70</v>
      </c>
      <c r="O98" s="26">
        <f>2024-Inventory[[#This Row],[YrBlt]]</f>
        <v>30</v>
      </c>
      <c r="P98" s="26">
        <f>2024-Inventory[[#This Row],[EffYr]]</f>
        <v>30</v>
      </c>
      <c r="Q98" s="25">
        <v>1950</v>
      </c>
      <c r="R98" s="25">
        <v>1973</v>
      </c>
      <c r="S98" s="25">
        <v>1676</v>
      </c>
      <c r="T98" s="27"/>
      <c r="U98" s="27"/>
      <c r="V98" s="27">
        <f>Inventory[[#This Row],[Bsmt]]-Inventory[[#This Row],[FnBsmt]]</f>
        <v>0</v>
      </c>
      <c r="W98" s="27"/>
      <c r="X98" s="27"/>
      <c r="Y98" s="27">
        <f>Inventory[[#This Row],[MainFn]]+Inventory[[#This Row],[UpprFn]]+Inventory[[#This Row],[FnBsmt]]+Inventory[[#This Row],[AddFn]]</f>
        <v>1824</v>
      </c>
      <c r="Z98" s="27">
        <v>2000</v>
      </c>
      <c r="AA98" s="25">
        <v>10</v>
      </c>
      <c r="AB98" s="31"/>
      <c r="AC98" s="27"/>
      <c r="AD98" s="27"/>
      <c r="AE98" s="27"/>
      <c r="AF98" s="27"/>
      <c r="AG98" s="32">
        <v>125</v>
      </c>
      <c r="AH98" s="27"/>
      <c r="AI98" s="25">
        <v>180932</v>
      </c>
      <c r="AJ98" s="25">
        <v>155602</v>
      </c>
      <c r="AK98" s="25">
        <v>506</v>
      </c>
      <c r="AL98" s="25">
        <v>207900</v>
      </c>
      <c r="AM98" s="25">
        <v>58200</v>
      </c>
      <c r="AN98" s="25">
        <v>149700</v>
      </c>
      <c r="AO98" s="25">
        <v>0</v>
      </c>
      <c r="AP98" s="25">
        <f>Lookups!$B$56*0</f>
        <v>0</v>
      </c>
      <c r="AQ98" s="25">
        <f>Lookups!$B$56*1</f>
        <v>89850.625589999996</v>
      </c>
      <c r="AR98" s="25">
        <f>Lookups!$B$57*Inventory[[#This Row],[LnAcres]]</f>
        <v>-54281.285314520763</v>
      </c>
      <c r="AS98" s="25">
        <f>VLOOKUP(Inventory[[#This Row],[Qlty]],Lookups!$A$62:$E$75,2,FALSE)</f>
        <v>21557.329055999999</v>
      </c>
      <c r="AT98" s="25">
        <f>VLOOKUP(Inventory[[#This Row],[Cnd]],Lookups!$A$76:$E$84,2,FALSE)</f>
        <v>197752.34721000001</v>
      </c>
      <c r="AU98" s="25">
        <f>Inventory[[#This Row],[EffAge]]*Lookups!$B$85</f>
        <v>-6691.368015</v>
      </c>
      <c r="AV98" s="25">
        <f>Inventory[[#This Row],[MainFn]]*Lookups!$B$86</f>
        <v>45060.706927824001</v>
      </c>
      <c r="AW98" s="25">
        <f>Inventory[[#This Row],[UpprFn]]*Lookups!$B$87</f>
        <v>0</v>
      </c>
      <c r="AX98" s="25">
        <f>Inventory[[#This Row],[AddFn]]*Lookups!$B$88</f>
        <v>0</v>
      </c>
      <c r="AY98" s="25">
        <f>Inventory[[#This Row],[Bsmt]]*Lookups!$B$89</f>
        <v>26522.688465264</v>
      </c>
      <c r="AZ98" s="25">
        <f>Inventory[[#This Row],[Fixtures]]*Lookups!$B$90</f>
        <v>37920.221052000001</v>
      </c>
      <c r="BA98" s="25">
        <f>Inventory[[#This Row],[WdDeck]]*Lookups!$B$91</f>
        <v>2130.9129776640002</v>
      </c>
      <c r="BB98" s="25">
        <f>ROUND(Inventory[[#This Row],[25Det]],-2)</f>
        <v>0</v>
      </c>
      <c r="BC98" s="25">
        <f>ROUND(SUM(Inventory[[#This Row],[Mdl Qlty]:[Mdl WdDeck]])+Inventory[[#This Row],[Mdl Res Intercept]],-2)</f>
        <v>324300</v>
      </c>
      <c r="BD98" s="25">
        <f>ROUND(Inventory[[#This Row],[Mdl Land Intercept]]+Inventory[[#This Row],[Mdl LnAcres]],-2)</f>
        <v>35600</v>
      </c>
      <c r="BE98" s="25">
        <f>Inventory[[#This Row],[Unadj Res Value]]+Inventory[[#This Row],[Unadj Det Value]]+Inventory[[#This Row],[Unadj Land Value]]</f>
        <v>359900</v>
      </c>
      <c r="BF98" s="36">
        <f>(Inventory[[#This Row],[Unadj Total Value]]-Inventory[[#This Row],[24Final]])/Inventory[[#This Row],[24Final]]</f>
        <v>5.9776207302709071E-2</v>
      </c>
      <c r="BG98" s="25">
        <f>VLOOKUP(Inventory[[#This Row],[Nbhd]],Lookups!$Q$2:$T$4,4,FALSE)</f>
        <v>0.99970000000000003</v>
      </c>
      <c r="BH98" s="25">
        <f>VLOOKUP(Inventory[[#This Row],[Qlty]],Lookups!$O$7:$R$21,4,FALSE)</f>
        <v>1.0067999999999999</v>
      </c>
      <c r="BI98" s="29">
        <f>VLOOKUP(Inventory[[#This Row],[Cnd]],Lookups!$T$7:$W$16,4,FALSE)</f>
        <v>0.99650000000000005</v>
      </c>
      <c r="BJ98" s="25">
        <f>VLOOKUP(Inventory[[#This Row],[LivArea Range]],Lookups!$T$25:$W$37,4,FALSE)</f>
        <v>1.0093000000000001</v>
      </c>
      <c r="BK98" s="25">
        <f>VLOOKUP(Inventory[[#This Row],[Decade]],Lookups!$O$25:$R$42,4,FALSE)</f>
        <v>0.97319999999999995</v>
      </c>
      <c r="BL98" s="25">
        <f>Inventory[[#This Row],[Nbhd Adj]]*0.95</f>
        <v>0.94971499999999998</v>
      </c>
      <c r="BM98" s="25">
        <f>Inventory[[#This Row],[Nbhd Adj]]*Inventory[[#This Row],[Quality Adj]]*Inventory[[#This Row],[Condition Adj]]*Inventory[[#This Row],[Living Area Adj]]*Inventory[[#This Row],[Decade Adj]]*0.95</f>
        <v>0.93591451083208332</v>
      </c>
      <c r="BN98" s="25">
        <f>ROUND(SUM(Inventory[[#This Row],[Mdl Qlty]:[Mdl WdDeck]])+Inventory[[#This Row],[Mdl Res Intercept]]*Inventory[[#This Row],[Res Adj ]],-2)</f>
        <v>324300</v>
      </c>
      <c r="BO98" s="25">
        <f>ROUND(Inventory[[#This Row],[25Det]]*Inventory[[#This Row],[Det/Nbhd Adj]],-2)</f>
        <v>0</v>
      </c>
      <c r="BP98" s="25">
        <f>Inventory[[#This Row],[Adjusted Res]]+Inventory[[#This Row],[Adj Det ]]</f>
        <v>324300</v>
      </c>
      <c r="BQ98" s="25">
        <f>ROUND((Inventory[[#This Row],[Mdl Land Intercept]]+Inventory[[#This Row],[Mdl LnAcres]])*Inventory[[#This Row],[Det/Nbhd Adj]],-2)</f>
        <v>33800</v>
      </c>
      <c r="BR98" s="25">
        <f>Inventory[[#This Row],[Adjusted Impr Total]]+Inventory[[#This Row],[Adjusted Land Total]]</f>
        <v>358100</v>
      </c>
      <c r="BS98" s="36">
        <f>IFERROR((Inventory[[#This Row],[Adjusted Impr Total]]-Inventory[[#This Row],[24Bldg]])/Inventory[[#This Row],[24Bldg]],0)</f>
        <v>0.13829413829413831</v>
      </c>
      <c r="BT98" s="36">
        <f>(Inventory[[#This Row],[Adjusted Land Total]]-Inventory[[#This Row],[24Lnd]])/Inventory[[#This Row],[24Lnd]]</f>
        <v>-0.38208409506398539</v>
      </c>
      <c r="BU98" s="36">
        <f>(Inventory[[#This Row],[Adjusted Total]]-Inventory[[#This Row],[24Final]])/Inventory[[#This Row],[24Final]]</f>
        <v>5.4475853945818609E-2</v>
      </c>
    </row>
    <row r="99" spans="1:73" x14ac:dyDescent="0.3">
      <c r="A99" s="25">
        <v>2025</v>
      </c>
      <c r="B99" s="26" t="s">
        <v>1089</v>
      </c>
      <c r="C99" s="26">
        <f>LN(Inventory[[#This Row],[Acres]])</f>
        <v>-1.1086626245216111</v>
      </c>
      <c r="D99" s="25">
        <v>0.15</v>
      </c>
      <c r="E99" s="25">
        <v>6534</v>
      </c>
      <c r="F99" s="26" t="s">
        <v>543</v>
      </c>
      <c r="G99" s="26" t="s">
        <v>544</v>
      </c>
      <c r="H99" s="26" t="s">
        <v>349</v>
      </c>
      <c r="I99" s="26" t="s">
        <v>605</v>
      </c>
      <c r="J99" s="26" t="s">
        <v>616</v>
      </c>
      <c r="K99" s="26" t="s">
        <v>547</v>
      </c>
      <c r="L99" s="26" t="s">
        <v>205</v>
      </c>
      <c r="M99" s="26" t="s">
        <v>323</v>
      </c>
      <c r="N99" s="26">
        <v>40</v>
      </c>
      <c r="O99" s="26">
        <f>2024-Inventory[[#This Row],[YrBlt]]</f>
        <v>30</v>
      </c>
      <c r="P99" s="26">
        <f>2024-Inventory[[#This Row],[EffYr]]</f>
        <v>30</v>
      </c>
      <c r="Q99" s="25">
        <v>1983</v>
      </c>
      <c r="R99" s="25">
        <v>1983</v>
      </c>
      <c r="S99" s="25">
        <v>1707</v>
      </c>
      <c r="T99" s="27"/>
      <c r="U99" s="27"/>
      <c r="V99" s="27">
        <f>Inventory[[#This Row],[Bsmt]]-Inventory[[#This Row],[FnBsmt]]</f>
        <v>0</v>
      </c>
      <c r="W99" s="27"/>
      <c r="X99" s="27"/>
      <c r="Y99" s="27">
        <f>Inventory[[#This Row],[MainFn]]+Inventory[[#This Row],[UpprFn]]+Inventory[[#This Row],[FnBsmt]]+Inventory[[#This Row],[AddFn]]</f>
        <v>3592</v>
      </c>
      <c r="Z99" s="27">
        <v>2000</v>
      </c>
      <c r="AA99" s="25">
        <v>10</v>
      </c>
      <c r="AB99" s="31"/>
      <c r="AC99" s="27"/>
      <c r="AD99" s="31"/>
      <c r="AE99" s="27"/>
      <c r="AF99" s="27"/>
      <c r="AG99" s="32">
        <v>125</v>
      </c>
      <c r="AH99" s="27"/>
      <c r="AI99" s="25">
        <v>161197</v>
      </c>
      <c r="AJ99" s="25">
        <v>161197</v>
      </c>
      <c r="AK99" s="25">
        <v>0</v>
      </c>
      <c r="AL99" s="25">
        <v>208950</v>
      </c>
      <c r="AM99" s="25">
        <v>55650</v>
      </c>
      <c r="AN99" s="25">
        <v>153300</v>
      </c>
      <c r="AO99" s="25">
        <v>0</v>
      </c>
      <c r="AP99" s="25">
        <f>Lookups!$B$56*0</f>
        <v>0</v>
      </c>
      <c r="AQ99" s="25">
        <f>Lookups!$B$56*1</f>
        <v>89850.625589999996</v>
      </c>
      <c r="AR99" s="25">
        <f>Lookups!$B$57*Inventory[[#This Row],[LnAcres]]</f>
        <v>-35094.289365640165</v>
      </c>
      <c r="AS99" s="25">
        <f>VLOOKUP(Inventory[[#This Row],[Qlty]],Lookups!$A$62:$E$75,2,FALSE)</f>
        <v>29814.093161000001</v>
      </c>
      <c r="AT99" s="25">
        <f>VLOOKUP(Inventory[[#This Row],[Cnd]],Lookups!$A$76:$E$84,2,FALSE)</f>
        <v>197752.34721000001</v>
      </c>
      <c r="AU99" s="25">
        <f>Inventory[[#This Row],[EffAge]]*Lookups!$B$85</f>
        <v>-6691.368015</v>
      </c>
      <c r="AV99" s="25">
        <f>Inventory[[#This Row],[MainFn]]*Lookups!$B$86</f>
        <v>88737.971099091999</v>
      </c>
      <c r="AW99" s="25">
        <f>Inventory[[#This Row],[UpprFn]]*Lookups!$B$87</f>
        <v>0</v>
      </c>
      <c r="AX99" s="25">
        <f>Inventory[[#This Row],[AddFn]]*Lookups!$B$88</f>
        <v>0</v>
      </c>
      <c r="AY99" s="25">
        <f>Inventory[[#This Row],[Bsmt]]*Lookups!$B$89</f>
        <v>52231.083863611995</v>
      </c>
      <c r="AZ99" s="25">
        <f>Inventory[[#This Row],[Fixtures]]*Lookups!$B$90</f>
        <v>49296.287367600002</v>
      </c>
      <c r="BA99" s="25">
        <f>Inventory[[#This Row],[WdDeck]]*Lookups!$B$91</f>
        <v>11320.47519384</v>
      </c>
      <c r="BB99" s="25">
        <f>ROUND(Inventory[[#This Row],[25Det]],-2)</f>
        <v>0</v>
      </c>
      <c r="BC99" s="25">
        <f>ROUND(SUM(Inventory[[#This Row],[Mdl Qlty]:[Mdl WdDeck]])+Inventory[[#This Row],[Mdl Res Intercept]],-2)</f>
        <v>422500</v>
      </c>
      <c r="BD99" s="25">
        <f>ROUND(Inventory[[#This Row],[Mdl Land Intercept]]+Inventory[[#This Row],[Mdl LnAcres]],-2)</f>
        <v>54800</v>
      </c>
      <c r="BE99" s="25">
        <f>Inventory[[#This Row],[Unadj Res Value]]+Inventory[[#This Row],[Unadj Det Value]]+Inventory[[#This Row],[Unadj Land Value]]</f>
        <v>477300</v>
      </c>
      <c r="BF99" s="36">
        <f>(Inventory[[#This Row],[Unadj Total Value]]-Inventory[[#This Row],[24Final]])/Inventory[[#This Row],[24Final]]</f>
        <v>4.6481034860776142E-2</v>
      </c>
      <c r="BG99" s="25">
        <f>VLOOKUP(Inventory[[#This Row],[Nbhd]],Lookups!$Q$2:$T$4,4,FALSE)</f>
        <v>0.99970000000000003</v>
      </c>
      <c r="BH99" s="25">
        <f>VLOOKUP(Inventory[[#This Row],[Qlty]],Lookups!$O$7:$R$21,4,FALSE)</f>
        <v>1.0088999999999999</v>
      </c>
      <c r="BI99" s="29">
        <f>VLOOKUP(Inventory[[#This Row],[Cnd]],Lookups!$T$7:$W$16,4,FALSE)</f>
        <v>0.99650000000000005</v>
      </c>
      <c r="BJ99" s="25">
        <f>VLOOKUP(Inventory[[#This Row],[LivArea Range]],Lookups!$T$25:$W$37,4,FALSE)</f>
        <v>0.94579999999999997</v>
      </c>
      <c r="BK99" s="25">
        <f>VLOOKUP(Inventory[[#This Row],[Decade]],Lookups!$O$25:$R$42,4,FALSE)</f>
        <v>0.97319999999999995</v>
      </c>
      <c r="BL99" s="25">
        <f>Inventory[[#This Row],[Nbhd Adj]]*0.95</f>
        <v>0.94971499999999998</v>
      </c>
      <c r="BM99" s="25">
        <f>Inventory[[#This Row],[Nbhd Adj]]*Inventory[[#This Row],[Quality Adj]]*Inventory[[#This Row],[Condition Adj]]*Inventory[[#This Row],[Living Area Adj]]*Inventory[[#This Row],[Decade Adj]]*0.95</f>
        <v>0.87886087775587596</v>
      </c>
      <c r="BN99" s="25">
        <f>ROUND(SUM(Inventory[[#This Row],[Mdl Qlty]:[Mdl WdDeck]])+Inventory[[#This Row],[Mdl Res Intercept]]*Inventory[[#This Row],[Res Adj ]],-2)</f>
        <v>422500</v>
      </c>
      <c r="BO99" s="25">
        <f>ROUND(Inventory[[#This Row],[25Det]]*Inventory[[#This Row],[Det/Nbhd Adj]],-2)</f>
        <v>0</v>
      </c>
      <c r="BP99" s="25">
        <f>Inventory[[#This Row],[Adjusted Res]]+Inventory[[#This Row],[Adj Det ]]</f>
        <v>422500</v>
      </c>
      <c r="BQ99" s="25">
        <f>ROUND((Inventory[[#This Row],[Mdl Land Intercept]]+Inventory[[#This Row],[Mdl LnAcres]])*Inventory[[#This Row],[Det/Nbhd Adj]],-2)</f>
        <v>52000</v>
      </c>
      <c r="BR99" s="25">
        <f>Inventory[[#This Row],[Adjusted Impr Total]]+Inventory[[#This Row],[Adjusted Land Total]]</f>
        <v>474500</v>
      </c>
      <c r="BS99" s="36">
        <f>IFERROR((Inventory[[#This Row],[Adjusted Impr Total]]-Inventory[[#This Row],[24Bldg]])/Inventory[[#This Row],[24Bldg]],0)</f>
        <v>0.11125723303524461</v>
      </c>
      <c r="BT99" s="36">
        <f>(Inventory[[#This Row],[Adjusted Land Total]]-Inventory[[#This Row],[24Lnd]])/Inventory[[#This Row],[24Lnd]]</f>
        <v>-0.31488801054018445</v>
      </c>
      <c r="BU99" s="36">
        <f>(Inventory[[#This Row],[Adjusted Total]]-Inventory[[#This Row],[24Final]])/Inventory[[#This Row],[24Final]]</f>
        <v>4.0342030256522693E-2</v>
      </c>
    </row>
    <row r="100" spans="1:73" x14ac:dyDescent="0.3">
      <c r="A100" s="25">
        <v>2025</v>
      </c>
      <c r="B100" s="26" t="s">
        <v>1678</v>
      </c>
      <c r="C100" s="26">
        <f>LN(Inventory[[#This Row],[Acres]])</f>
        <v>-3.912023005428146</v>
      </c>
      <c r="D100" s="25">
        <v>0.21</v>
      </c>
      <c r="E100" s="25">
        <v>9148</v>
      </c>
      <c r="F100" s="26" t="s">
        <v>543</v>
      </c>
      <c r="G100" s="26" t="s">
        <v>544</v>
      </c>
      <c r="H100" s="26" t="s">
        <v>349</v>
      </c>
      <c r="I100" s="26" t="s">
        <v>605</v>
      </c>
      <c r="J100" s="26" t="s">
        <v>616</v>
      </c>
      <c r="K100" s="26" t="s">
        <v>547</v>
      </c>
      <c r="L100" s="26" t="s">
        <v>205</v>
      </c>
      <c r="M100" s="26" t="s">
        <v>323</v>
      </c>
      <c r="N100" s="26">
        <v>60</v>
      </c>
      <c r="O100" s="26">
        <f>2024-Inventory[[#This Row],[YrBlt]]</f>
        <v>32</v>
      </c>
      <c r="P100" s="26">
        <f>2024-Inventory[[#This Row],[EffYr]]</f>
        <v>32</v>
      </c>
      <c r="Q100" s="25">
        <v>1960</v>
      </c>
      <c r="R100" s="25">
        <v>1975</v>
      </c>
      <c r="S100" s="25">
        <v>1736</v>
      </c>
      <c r="T100" s="27"/>
      <c r="U100" s="32">
        <v>1813</v>
      </c>
      <c r="V100" s="32">
        <f>Inventory[[#This Row],[Bsmt]]-Inventory[[#This Row],[FnBsmt]]</f>
        <v>0</v>
      </c>
      <c r="W100" s="27"/>
      <c r="X100" s="27"/>
      <c r="Y100" s="27">
        <f>Inventory[[#This Row],[MainFn]]+Inventory[[#This Row],[UpprFn]]+Inventory[[#This Row],[FnBsmt]]+Inventory[[#This Row],[AddFn]]</f>
        <v>1022</v>
      </c>
      <c r="Z100" s="27">
        <v>2000</v>
      </c>
      <c r="AA100" s="25">
        <v>10</v>
      </c>
      <c r="AB100" s="31"/>
      <c r="AC100" s="27"/>
      <c r="AD100" s="31"/>
      <c r="AE100" s="27"/>
      <c r="AF100" s="27"/>
      <c r="AG100" s="32">
        <v>125</v>
      </c>
      <c r="AH100" s="27"/>
      <c r="AI100" s="25">
        <v>221156</v>
      </c>
      <c r="AJ100" s="25">
        <v>196829</v>
      </c>
      <c r="AK100" s="25">
        <v>12568</v>
      </c>
      <c r="AL100" s="25">
        <v>268900</v>
      </c>
      <c r="AM100" s="25">
        <v>77300</v>
      </c>
      <c r="AN100" s="25">
        <v>191600</v>
      </c>
      <c r="AO100" s="25">
        <v>0</v>
      </c>
      <c r="AP100" s="25">
        <f>Lookups!$B$56*0</f>
        <v>0</v>
      </c>
      <c r="AQ100" s="25">
        <f>Lookups!$B$56*1</f>
        <v>89850.625589999996</v>
      </c>
      <c r="AR100" s="25">
        <f>Lookups!$B$57*Inventory[[#This Row],[LnAcres]]</f>
        <v>-123833.58500677992</v>
      </c>
      <c r="AS100" s="25">
        <f>VLOOKUP(Inventory[[#This Row],[Qlty]],Lookups!$A$62:$E$75,2,FALSE)</f>
        <v>21557.329055999999</v>
      </c>
      <c r="AT100" s="25">
        <f>VLOOKUP(Inventory[[#This Row],[Cnd]],Lookups!$A$76:$E$84,2,FALSE)</f>
        <v>160472.20319</v>
      </c>
      <c r="AU100" s="25">
        <f>Inventory[[#This Row],[EffAge]]*Lookups!$B$85</f>
        <v>-7137.4592160000002</v>
      </c>
      <c r="AV100" s="25">
        <f>Inventory[[#This Row],[MainFn]]*Lookups!$B$86</f>
        <v>50495.660614294</v>
      </c>
      <c r="AW100" s="25">
        <f>Inventory[[#This Row],[UpprFn]]*Lookups!$B$87</f>
        <v>0</v>
      </c>
      <c r="AX100" s="25">
        <f>Inventory[[#This Row],[AddFn]]*Lookups!$B$88</f>
        <v>0</v>
      </c>
      <c r="AY100" s="25">
        <f>Inventory[[#This Row],[Bsmt]]*Lookups!$B$89</f>
        <v>0</v>
      </c>
      <c r="AZ100" s="25">
        <f>Inventory[[#This Row],[Fixtures]]*Lookups!$B$90</f>
        <v>30336.176841600001</v>
      </c>
      <c r="BA100" s="25">
        <f>Inventory[[#This Row],[WdDeck]]*Lookups!$B$91</f>
        <v>0</v>
      </c>
      <c r="BB100" s="25">
        <f>ROUND(Inventory[[#This Row],[25Det]],-2)</f>
        <v>14700</v>
      </c>
      <c r="BC100" s="25">
        <f>ROUND(SUM(Inventory[[#This Row],[Mdl Qlty]:[Mdl WdDeck]])+Inventory[[#This Row],[Mdl Res Intercept]],-2)</f>
        <v>255700</v>
      </c>
      <c r="BD100" s="25">
        <f>ROUND(Inventory[[#This Row],[Mdl Land Intercept]]+Inventory[[#This Row],[Mdl LnAcres]],-2)</f>
        <v>-34000</v>
      </c>
      <c r="BE100" s="25">
        <f>Inventory[[#This Row],[Unadj Res Value]]+Inventory[[#This Row],[Unadj Det Value]]+Inventory[[#This Row],[Unadj Land Value]]</f>
        <v>236400</v>
      </c>
      <c r="BF100" s="36">
        <f>(Inventory[[#This Row],[Unadj Total Value]]-Inventory[[#This Row],[24Final]])/Inventory[[#This Row],[24Final]]</f>
        <v>0.17378351539225423</v>
      </c>
      <c r="BG100" s="25">
        <f>VLOOKUP(Inventory[[#This Row],[Nbhd]],Lookups!$Q$2:$T$4,4,FALSE)</f>
        <v>0.99970000000000003</v>
      </c>
      <c r="BH100" s="25">
        <f>VLOOKUP(Inventory[[#This Row],[Qlty]],Lookups!$O$7:$R$21,4,FALSE)</f>
        <v>1.0067999999999999</v>
      </c>
      <c r="BI100" s="29">
        <f>VLOOKUP(Inventory[[#This Row],[Cnd]],Lookups!$T$7:$W$16,4,FALSE)</f>
        <v>0.99729999999999996</v>
      </c>
      <c r="BJ100" s="25">
        <f>VLOOKUP(Inventory[[#This Row],[LivArea Range]],Lookups!$T$25:$W$37,4,FALSE)</f>
        <v>1.0157</v>
      </c>
      <c r="BK100" s="25">
        <f>VLOOKUP(Inventory[[#This Row],[Decade]],Lookups!$O$25:$R$42,4,FALSE)</f>
        <v>1.0157</v>
      </c>
      <c r="BL100" s="25">
        <f>Inventory[[#This Row],[Nbhd Adj]]*0.95</f>
        <v>0.94971499999999998</v>
      </c>
      <c r="BM100" s="25">
        <f>Inventory[[#This Row],[Nbhd Adj]]*Inventory[[#This Row],[Quality Adj]]*Inventory[[#This Row],[Condition Adj]]*Inventory[[#This Row],[Living Area Adj]]*Inventory[[#This Row],[Decade Adj]]*0.95</f>
        <v>0.9837692152700912</v>
      </c>
      <c r="BN100" s="25">
        <f>ROUND(SUM(Inventory[[#This Row],[Mdl Qlty]:[Mdl WdDeck]])+Inventory[[#This Row],[Mdl Res Intercept]]*Inventory[[#This Row],[Res Adj ]],-2)</f>
        <v>255700</v>
      </c>
      <c r="BO100" s="25">
        <f>ROUND(Inventory[[#This Row],[25Det]]*Inventory[[#This Row],[Det/Nbhd Adj]],-2)</f>
        <v>13900</v>
      </c>
      <c r="BP100" s="25">
        <f>Inventory[[#This Row],[Adjusted Res]]+Inventory[[#This Row],[Adj Det ]]</f>
        <v>269600</v>
      </c>
      <c r="BQ100" s="25">
        <f>ROUND((Inventory[[#This Row],[Mdl Land Intercept]]+Inventory[[#This Row],[Mdl LnAcres]])*Inventory[[#This Row],[Det/Nbhd Adj]],-2)</f>
        <v>-32300</v>
      </c>
      <c r="BR100" s="25">
        <f>Inventory[[#This Row],[Adjusted Impr Total]]+Inventory[[#This Row],[Adjusted Land Total]]</f>
        <v>237300</v>
      </c>
      <c r="BS100" s="36">
        <f>IFERROR((Inventory[[#This Row],[Adjusted Impr Total]]-Inventory[[#This Row],[24Bldg]])/Inventory[[#This Row],[24Bldg]],0)</f>
        <v>0.57476635514018692</v>
      </c>
      <c r="BT100" s="36">
        <f>(Inventory[[#This Row],[Adjusted Land Total]]-Inventory[[#This Row],[24Lnd]])/Inventory[[#This Row],[24Lnd]]</f>
        <v>-2.0695364238410594</v>
      </c>
      <c r="BU100" s="36">
        <f>(Inventory[[#This Row],[Adjusted Total]]-Inventory[[#This Row],[24Final]])/Inventory[[#This Row],[24Final]]</f>
        <v>0.17825223435948362</v>
      </c>
    </row>
    <row r="101" spans="1:73" x14ac:dyDescent="0.3">
      <c r="A101" s="25">
        <v>2025</v>
      </c>
      <c r="B101" s="26" t="s">
        <v>2567</v>
      </c>
      <c r="C101" s="26">
        <f>LN(Inventory[[#This Row],[Acres]])</f>
        <v>-3.912023005428146</v>
      </c>
      <c r="D101" s="25">
        <v>0.15</v>
      </c>
      <c r="E101" s="25">
        <v>6534</v>
      </c>
      <c r="F101" s="26" t="s">
        <v>543</v>
      </c>
      <c r="G101" s="26" t="s">
        <v>544</v>
      </c>
      <c r="H101" s="26" t="s">
        <v>349</v>
      </c>
      <c r="I101" s="26" t="s">
        <v>605</v>
      </c>
      <c r="J101" s="26" t="s">
        <v>616</v>
      </c>
      <c r="K101" s="26" t="s">
        <v>547</v>
      </c>
      <c r="L101" s="26" t="s">
        <v>205</v>
      </c>
      <c r="M101" s="26" t="s">
        <v>323</v>
      </c>
      <c r="N101" s="26">
        <v>90</v>
      </c>
      <c r="O101" s="26">
        <f>2024-Inventory[[#This Row],[YrBlt]]</f>
        <v>32</v>
      </c>
      <c r="P101" s="26">
        <f>2024-Inventory[[#This Row],[EffYr]]</f>
        <v>32</v>
      </c>
      <c r="Q101" s="25">
        <v>1928</v>
      </c>
      <c r="R101" s="25">
        <v>1969</v>
      </c>
      <c r="S101" s="25">
        <v>1833</v>
      </c>
      <c r="T101" s="27"/>
      <c r="U101" s="25">
        <v>1833</v>
      </c>
      <c r="V101" s="32">
        <f>Inventory[[#This Row],[Bsmt]]-Inventory[[#This Row],[FnBsmt]]</f>
        <v>0</v>
      </c>
      <c r="W101" s="32">
        <v>916</v>
      </c>
      <c r="X101" s="27"/>
      <c r="Y101" s="27">
        <f>Inventory[[#This Row],[MainFn]]+Inventory[[#This Row],[UpprFn]]+Inventory[[#This Row],[FnBsmt]]+Inventory[[#This Row],[AddFn]]</f>
        <v>1018</v>
      </c>
      <c r="Z101" s="27">
        <v>3000</v>
      </c>
      <c r="AA101" s="25">
        <v>10</v>
      </c>
      <c r="AB101" s="27"/>
      <c r="AC101" s="27"/>
      <c r="AD101" s="27"/>
      <c r="AE101" s="27"/>
      <c r="AF101" s="27"/>
      <c r="AG101" s="32">
        <v>125</v>
      </c>
      <c r="AH101" s="27"/>
      <c r="AI101" s="25">
        <v>278928</v>
      </c>
      <c r="AJ101" s="25">
        <v>225932</v>
      </c>
      <c r="AK101" s="25">
        <v>10573</v>
      </c>
      <c r="AL101" s="25">
        <v>304100</v>
      </c>
      <c r="AM101" s="25">
        <v>87700</v>
      </c>
      <c r="AN101" s="25">
        <v>216400</v>
      </c>
      <c r="AO101" s="25">
        <v>0</v>
      </c>
      <c r="AP101" s="25">
        <f>Lookups!$B$56*0</f>
        <v>0</v>
      </c>
      <c r="AQ101" s="25">
        <f>Lookups!$B$56*1</f>
        <v>89850.625589999996</v>
      </c>
      <c r="AR101" s="25">
        <f>Lookups!$B$57*Inventory[[#This Row],[LnAcres]]</f>
        <v>-123833.58500677992</v>
      </c>
      <c r="AS101" s="25">
        <f>VLOOKUP(Inventory[[#This Row],[Qlty]],Lookups!$A$62:$E$75,2,FALSE)</f>
        <v>21557.329055999999</v>
      </c>
      <c r="AT101" s="25">
        <f>VLOOKUP(Inventory[[#This Row],[Cnd]],Lookups!$A$76:$E$84,2,FALSE)</f>
        <v>160472.20319</v>
      </c>
      <c r="AU101" s="25">
        <f>Inventory[[#This Row],[EffAge]]*Lookups!$B$85</f>
        <v>-7137.4592160000002</v>
      </c>
      <c r="AV101" s="25">
        <f>Inventory[[#This Row],[MainFn]]*Lookups!$B$86</f>
        <v>50298.025934786005</v>
      </c>
      <c r="AW101" s="25">
        <f>Inventory[[#This Row],[UpprFn]]*Lookups!$B$87</f>
        <v>0</v>
      </c>
      <c r="AX101" s="25">
        <f>Inventory[[#This Row],[AddFn]]*Lookups!$B$88</f>
        <v>0</v>
      </c>
      <c r="AY101" s="25">
        <f>Inventory[[#This Row],[Bsmt]]*Lookups!$B$89</f>
        <v>0</v>
      </c>
      <c r="AZ101" s="25">
        <f>Inventory[[#This Row],[Fixtures]]*Lookups!$B$90</f>
        <v>30336.176841600001</v>
      </c>
      <c r="BA101" s="25">
        <f>Inventory[[#This Row],[WdDeck]]*Lookups!$B$91</f>
        <v>0</v>
      </c>
      <c r="BB101" s="25">
        <f>ROUND(Inventory[[#This Row],[25Det]],-2)</f>
        <v>14700</v>
      </c>
      <c r="BC101" s="25">
        <f>ROUND(SUM(Inventory[[#This Row],[Mdl Qlty]:[Mdl WdDeck]])+Inventory[[#This Row],[Mdl Res Intercept]],-2)</f>
        <v>255500</v>
      </c>
      <c r="BD101" s="25">
        <f>ROUND(Inventory[[#This Row],[Mdl Land Intercept]]+Inventory[[#This Row],[Mdl LnAcres]],-2)</f>
        <v>-34000</v>
      </c>
      <c r="BE101" s="25">
        <f>Inventory[[#This Row],[Unadj Res Value]]+Inventory[[#This Row],[Unadj Det Value]]+Inventory[[#This Row],[Unadj Land Value]]</f>
        <v>236200</v>
      </c>
      <c r="BF101" s="36">
        <f>(Inventory[[#This Row],[Unadj Total Value]]-Inventory[[#This Row],[24Final]])/Inventory[[#This Row],[24Final]]</f>
        <v>0.16699604743083005</v>
      </c>
      <c r="BG101" s="25">
        <f>VLOOKUP(Inventory[[#This Row],[Nbhd]],Lookups!$Q$2:$T$4,4,FALSE)</f>
        <v>0.99970000000000003</v>
      </c>
      <c r="BH101" s="25">
        <f>VLOOKUP(Inventory[[#This Row],[Qlty]],Lookups!$O$7:$R$21,4,FALSE)</f>
        <v>1.0067999999999999</v>
      </c>
      <c r="BI101" s="29">
        <f>VLOOKUP(Inventory[[#This Row],[Cnd]],Lookups!$T$7:$W$16,4,FALSE)</f>
        <v>0.99729999999999996</v>
      </c>
      <c r="BJ101" s="25">
        <f>VLOOKUP(Inventory[[#This Row],[LivArea Range]],Lookups!$T$25:$W$37,4,FALSE)</f>
        <v>1.0157</v>
      </c>
      <c r="BK101" s="25">
        <f>VLOOKUP(Inventory[[#This Row],[Decade]],Lookups!$O$25:$R$42,4,FALSE)</f>
        <v>1.0157</v>
      </c>
      <c r="BL101" s="25">
        <f>Inventory[[#This Row],[Nbhd Adj]]*0.95</f>
        <v>0.94971499999999998</v>
      </c>
      <c r="BM101" s="25">
        <f>Inventory[[#This Row],[Nbhd Adj]]*Inventory[[#This Row],[Quality Adj]]*Inventory[[#This Row],[Condition Adj]]*Inventory[[#This Row],[Living Area Adj]]*Inventory[[#This Row],[Decade Adj]]*0.95</f>
        <v>0.9837692152700912</v>
      </c>
      <c r="BN101" s="25">
        <f>ROUND(SUM(Inventory[[#This Row],[Mdl Qlty]:[Mdl WdDeck]])+Inventory[[#This Row],[Mdl Res Intercept]]*Inventory[[#This Row],[Res Adj ]],-2)</f>
        <v>255500</v>
      </c>
      <c r="BO101" s="25">
        <f>ROUND(Inventory[[#This Row],[25Det]]*Inventory[[#This Row],[Det/Nbhd Adj]],-2)</f>
        <v>13900</v>
      </c>
      <c r="BP101" s="25">
        <f>Inventory[[#This Row],[Adjusted Res]]+Inventory[[#This Row],[Adj Det ]]</f>
        <v>269400</v>
      </c>
      <c r="BQ101" s="25">
        <f>ROUND((Inventory[[#This Row],[Mdl Land Intercept]]+Inventory[[#This Row],[Mdl LnAcres]])*Inventory[[#This Row],[Det/Nbhd Adj]],-2)</f>
        <v>-32300</v>
      </c>
      <c r="BR101" s="25">
        <f>Inventory[[#This Row],[Adjusted Impr Total]]+Inventory[[#This Row],[Adjusted Land Total]]</f>
        <v>237100</v>
      </c>
      <c r="BS101" s="36">
        <f>IFERROR((Inventory[[#This Row],[Adjusted Impr Total]]-Inventory[[#This Row],[24Bldg]])/Inventory[[#This Row],[24Bldg]],0)</f>
        <v>0.56627906976744191</v>
      </c>
      <c r="BT101" s="36">
        <f>(Inventory[[#This Row],[Adjusted Land Total]]-Inventory[[#This Row],[24Lnd]])/Inventory[[#This Row],[24Lnd]]</f>
        <v>-2.0625</v>
      </c>
      <c r="BU101" s="36">
        <f>(Inventory[[#This Row],[Adjusted Total]]-Inventory[[#This Row],[24Final]])/Inventory[[#This Row],[24Final]]</f>
        <v>0.17144268774703558</v>
      </c>
    </row>
    <row r="102" spans="1:73" x14ac:dyDescent="0.3">
      <c r="A102" s="25">
        <v>2025</v>
      </c>
      <c r="B102" s="26" t="s">
        <v>2568</v>
      </c>
      <c r="C102" s="26">
        <f>LN(Inventory[[#This Row],[Acres]])</f>
        <v>-3.912023005428146</v>
      </c>
      <c r="D102" s="25">
        <v>0.2</v>
      </c>
      <c r="E102" s="25">
        <v>8712</v>
      </c>
      <c r="F102" s="26" t="s">
        <v>543</v>
      </c>
      <c r="G102" s="26" t="s">
        <v>544</v>
      </c>
      <c r="H102" s="26" t="s">
        <v>349</v>
      </c>
      <c r="I102" s="26" t="s">
        <v>605</v>
      </c>
      <c r="J102" s="26" t="s">
        <v>616</v>
      </c>
      <c r="K102" s="26" t="s">
        <v>547</v>
      </c>
      <c r="L102" s="26" t="s">
        <v>205</v>
      </c>
      <c r="M102" s="26" t="s">
        <v>323</v>
      </c>
      <c r="N102" s="26">
        <v>90</v>
      </c>
      <c r="O102" s="26">
        <f>2024-Inventory[[#This Row],[YrBlt]]</f>
        <v>32</v>
      </c>
      <c r="P102" s="26">
        <f>2024-Inventory[[#This Row],[EffYr]]</f>
        <v>32</v>
      </c>
      <c r="Q102" s="25">
        <v>1925</v>
      </c>
      <c r="R102" s="25">
        <v>1968</v>
      </c>
      <c r="S102" s="25">
        <v>2116</v>
      </c>
      <c r="T102" s="31"/>
      <c r="U102" s="32">
        <v>2116</v>
      </c>
      <c r="V102" s="32">
        <f>Inventory[[#This Row],[Bsmt]]-Inventory[[#This Row],[FnBsmt]]</f>
        <v>0</v>
      </c>
      <c r="W102" s="32">
        <v>1058</v>
      </c>
      <c r="X102" s="27"/>
      <c r="Y102" s="27">
        <f>Inventory[[#This Row],[MainFn]]+Inventory[[#This Row],[UpprFn]]+Inventory[[#This Row],[FnBsmt]]+Inventory[[#This Row],[AddFn]]</f>
        <v>1018</v>
      </c>
      <c r="Z102" s="27">
        <v>3500</v>
      </c>
      <c r="AA102" s="25">
        <v>10</v>
      </c>
      <c r="AB102" s="27"/>
      <c r="AC102" s="27"/>
      <c r="AD102" s="27"/>
      <c r="AE102" s="27"/>
      <c r="AF102" s="27"/>
      <c r="AG102" s="32">
        <v>125</v>
      </c>
      <c r="AH102" s="27"/>
      <c r="AI102" s="25">
        <v>310985</v>
      </c>
      <c r="AJ102" s="25">
        <v>248788</v>
      </c>
      <c r="AK102" s="25">
        <v>11520</v>
      </c>
      <c r="AL102" s="25">
        <v>328900</v>
      </c>
      <c r="AM102" s="25">
        <v>93000</v>
      </c>
      <c r="AN102" s="25">
        <v>235900</v>
      </c>
      <c r="AO102" s="25">
        <v>0</v>
      </c>
      <c r="AP102" s="25">
        <f>Lookups!$B$56*0</f>
        <v>0</v>
      </c>
      <c r="AQ102" s="25">
        <f>Lookups!$B$56*1</f>
        <v>89850.625589999996</v>
      </c>
      <c r="AR102" s="25">
        <f>Lookups!$B$57*Inventory[[#This Row],[LnAcres]]</f>
        <v>-123833.58500677992</v>
      </c>
      <c r="AS102" s="25">
        <f>VLOOKUP(Inventory[[#This Row],[Qlty]],Lookups!$A$62:$E$75,2,FALSE)</f>
        <v>21557.329055999999</v>
      </c>
      <c r="AT102" s="25">
        <f>VLOOKUP(Inventory[[#This Row],[Cnd]],Lookups!$A$76:$E$84,2,FALSE)</f>
        <v>160472.20319</v>
      </c>
      <c r="AU102" s="25">
        <f>Inventory[[#This Row],[EffAge]]*Lookups!$B$85</f>
        <v>-7137.4592160000002</v>
      </c>
      <c r="AV102" s="25">
        <f>Inventory[[#This Row],[MainFn]]*Lookups!$B$86</f>
        <v>50298.025934786005</v>
      </c>
      <c r="AW102" s="25">
        <f>Inventory[[#This Row],[UpprFn]]*Lookups!$B$87</f>
        <v>0</v>
      </c>
      <c r="AX102" s="25">
        <f>Inventory[[#This Row],[AddFn]]*Lookups!$B$88</f>
        <v>0</v>
      </c>
      <c r="AY102" s="25">
        <f>Inventory[[#This Row],[Bsmt]]*Lookups!$B$89</f>
        <v>0</v>
      </c>
      <c r="AZ102" s="25">
        <f>Inventory[[#This Row],[Fixtures]]*Lookups!$B$90</f>
        <v>18960.110526</v>
      </c>
      <c r="BA102" s="25">
        <f>Inventory[[#This Row],[WdDeck]]*Lookups!$B$91</f>
        <v>0</v>
      </c>
      <c r="BB102" s="25">
        <f>ROUND(Inventory[[#This Row],[25Det]],-2)</f>
        <v>14700</v>
      </c>
      <c r="BC102" s="25">
        <f>ROUND(SUM(Inventory[[#This Row],[Mdl Qlty]:[Mdl WdDeck]])+Inventory[[#This Row],[Mdl Res Intercept]],-2)</f>
        <v>244200</v>
      </c>
      <c r="BD102" s="25">
        <f>ROUND(Inventory[[#This Row],[Mdl Land Intercept]]+Inventory[[#This Row],[Mdl LnAcres]],-2)</f>
        <v>-34000</v>
      </c>
      <c r="BE102" s="25">
        <f>Inventory[[#This Row],[Unadj Res Value]]+Inventory[[#This Row],[Unadj Det Value]]+Inventory[[#This Row],[Unadj Land Value]]</f>
        <v>224900</v>
      </c>
      <c r="BF102" s="36">
        <f>(Inventory[[#This Row],[Unadj Total Value]]-Inventory[[#This Row],[24Final]])/Inventory[[#This Row],[24Final]]</f>
        <v>0.16407867494824016</v>
      </c>
      <c r="BG102" s="25">
        <f>VLOOKUP(Inventory[[#This Row],[Nbhd]],Lookups!$Q$2:$T$4,4,FALSE)</f>
        <v>0.99970000000000003</v>
      </c>
      <c r="BH102" s="25">
        <f>VLOOKUP(Inventory[[#This Row],[Qlty]],Lookups!$O$7:$R$21,4,FALSE)</f>
        <v>1.0067999999999999</v>
      </c>
      <c r="BI102" s="29">
        <f>VLOOKUP(Inventory[[#This Row],[Cnd]],Lookups!$T$7:$W$16,4,FALSE)</f>
        <v>0.99729999999999996</v>
      </c>
      <c r="BJ102" s="25">
        <f>VLOOKUP(Inventory[[#This Row],[LivArea Range]],Lookups!$T$25:$W$37,4,FALSE)</f>
        <v>1.0157</v>
      </c>
      <c r="BK102" s="25">
        <f>VLOOKUP(Inventory[[#This Row],[Decade]],Lookups!$O$25:$R$42,4,FALSE)</f>
        <v>1.0157</v>
      </c>
      <c r="BL102" s="25">
        <f>Inventory[[#This Row],[Nbhd Adj]]*0.95</f>
        <v>0.94971499999999998</v>
      </c>
      <c r="BM102" s="25">
        <f>Inventory[[#This Row],[Nbhd Adj]]*Inventory[[#This Row],[Quality Adj]]*Inventory[[#This Row],[Condition Adj]]*Inventory[[#This Row],[Living Area Adj]]*Inventory[[#This Row],[Decade Adj]]*0.95</f>
        <v>0.9837692152700912</v>
      </c>
      <c r="BN102" s="25">
        <f>ROUND(SUM(Inventory[[#This Row],[Mdl Qlty]:[Mdl WdDeck]])+Inventory[[#This Row],[Mdl Res Intercept]]*Inventory[[#This Row],[Res Adj ]],-2)</f>
        <v>244200</v>
      </c>
      <c r="BO102" s="25">
        <f>ROUND(Inventory[[#This Row],[25Det]]*Inventory[[#This Row],[Det/Nbhd Adj]],-2)</f>
        <v>13900</v>
      </c>
      <c r="BP102" s="25">
        <f>Inventory[[#This Row],[Adjusted Res]]+Inventory[[#This Row],[Adj Det ]]</f>
        <v>258100</v>
      </c>
      <c r="BQ102" s="25">
        <f>ROUND((Inventory[[#This Row],[Mdl Land Intercept]]+Inventory[[#This Row],[Mdl LnAcres]])*Inventory[[#This Row],[Det/Nbhd Adj]],-2)</f>
        <v>-32300</v>
      </c>
      <c r="BR102" s="25">
        <f>Inventory[[#This Row],[Adjusted Impr Total]]+Inventory[[#This Row],[Adjusted Land Total]]</f>
        <v>225800</v>
      </c>
      <c r="BS102" s="36">
        <f>IFERROR((Inventory[[#This Row],[Adjusted Impr Total]]-Inventory[[#This Row],[24Bldg]])/Inventory[[#This Row],[24Bldg]],0)</f>
        <v>0.57186358099878198</v>
      </c>
      <c r="BT102" s="36">
        <f>(Inventory[[#This Row],[Adjusted Land Total]]-Inventory[[#This Row],[24Lnd]])/Inventory[[#This Row],[24Lnd]]</f>
        <v>-2.113793103448276</v>
      </c>
      <c r="BU102" s="36">
        <f>(Inventory[[#This Row],[Adjusted Total]]-Inventory[[#This Row],[24Final]])/Inventory[[#This Row],[24Final]]</f>
        <v>0.16873706004140787</v>
      </c>
    </row>
    <row r="103" spans="1:73" x14ac:dyDescent="0.3">
      <c r="A103" s="25">
        <v>2025</v>
      </c>
      <c r="B103" s="26" t="s">
        <v>2566</v>
      </c>
      <c r="C103" s="26">
        <f>LN(Inventory[[#This Row],[Acres]])</f>
        <v>-3.912023005428146</v>
      </c>
      <c r="D103" s="25">
        <v>0.14000000000000001</v>
      </c>
      <c r="E103" s="25">
        <v>6098</v>
      </c>
      <c r="F103" s="26" t="s">
        <v>543</v>
      </c>
      <c r="G103" s="26" t="s">
        <v>544</v>
      </c>
      <c r="H103" s="26" t="s">
        <v>349</v>
      </c>
      <c r="I103" s="26" t="s">
        <v>605</v>
      </c>
      <c r="J103" s="26" t="s">
        <v>616</v>
      </c>
      <c r="K103" s="26" t="s">
        <v>547</v>
      </c>
      <c r="L103" s="26" t="s">
        <v>205</v>
      </c>
      <c r="M103" s="26" t="s">
        <v>323</v>
      </c>
      <c r="N103" s="26">
        <v>100</v>
      </c>
      <c r="O103" s="26">
        <f>2024-Inventory[[#This Row],[YrBlt]]</f>
        <v>32</v>
      </c>
      <c r="P103" s="26">
        <f>2024-Inventory[[#This Row],[EffYr]]</f>
        <v>32</v>
      </c>
      <c r="Q103" s="25">
        <v>1920</v>
      </c>
      <c r="R103" s="25">
        <v>1966</v>
      </c>
      <c r="S103" s="25">
        <v>1600</v>
      </c>
      <c r="T103" s="27"/>
      <c r="U103" s="32">
        <v>1600</v>
      </c>
      <c r="V103" s="32">
        <f>Inventory[[#This Row],[Bsmt]]-Inventory[[#This Row],[FnBsmt]]</f>
        <v>0</v>
      </c>
      <c r="W103" s="32">
        <v>1600</v>
      </c>
      <c r="X103" s="27"/>
      <c r="Y103" s="27">
        <f>Inventory[[#This Row],[MainFn]]+Inventory[[#This Row],[UpprFn]]+Inventory[[#This Row],[FnBsmt]]+Inventory[[#This Row],[AddFn]]</f>
        <v>1022</v>
      </c>
      <c r="Z103" s="27">
        <v>3500</v>
      </c>
      <c r="AA103" s="25">
        <v>10</v>
      </c>
      <c r="AB103" s="27"/>
      <c r="AC103" s="27"/>
      <c r="AD103" s="27"/>
      <c r="AE103" s="27"/>
      <c r="AF103" s="27"/>
      <c r="AG103" s="32">
        <v>125</v>
      </c>
      <c r="AH103" s="27"/>
      <c r="AI103" s="25">
        <v>270140</v>
      </c>
      <c r="AJ103" s="25">
        <v>210709</v>
      </c>
      <c r="AK103" s="25">
        <v>8328</v>
      </c>
      <c r="AL103" s="25">
        <v>284000</v>
      </c>
      <c r="AM103" s="25">
        <v>86500</v>
      </c>
      <c r="AN103" s="25">
        <v>197500</v>
      </c>
      <c r="AO103" s="25">
        <v>0</v>
      </c>
      <c r="AP103" s="25">
        <f>Lookups!$B$56*0</f>
        <v>0</v>
      </c>
      <c r="AQ103" s="25">
        <f>Lookups!$B$56*1</f>
        <v>89850.625589999996</v>
      </c>
      <c r="AR103" s="25">
        <f>Lookups!$B$57*Inventory[[#This Row],[LnAcres]]</f>
        <v>-123833.58500677992</v>
      </c>
      <c r="AS103" s="25">
        <f>VLOOKUP(Inventory[[#This Row],[Qlty]],Lookups!$A$62:$E$75,2,FALSE)</f>
        <v>21557.329055999999</v>
      </c>
      <c r="AT103" s="25">
        <f>VLOOKUP(Inventory[[#This Row],[Cnd]],Lookups!$A$76:$E$84,2,FALSE)</f>
        <v>160472.20319</v>
      </c>
      <c r="AU103" s="25">
        <f>Inventory[[#This Row],[EffAge]]*Lookups!$B$85</f>
        <v>-7137.4592160000002</v>
      </c>
      <c r="AV103" s="25">
        <f>Inventory[[#This Row],[MainFn]]*Lookups!$B$86</f>
        <v>50495.660614294</v>
      </c>
      <c r="AW103" s="25">
        <f>Inventory[[#This Row],[UpprFn]]*Lookups!$B$87</f>
        <v>0</v>
      </c>
      <c r="AX103" s="25">
        <f>Inventory[[#This Row],[AddFn]]*Lookups!$B$88</f>
        <v>0</v>
      </c>
      <c r="AY103" s="25">
        <f>Inventory[[#This Row],[Bsmt]]*Lookups!$B$89</f>
        <v>0</v>
      </c>
      <c r="AZ103" s="25">
        <f>Inventory[[#This Row],[Fixtures]]*Lookups!$B$90</f>
        <v>30336.176841600001</v>
      </c>
      <c r="BA103" s="25">
        <f>Inventory[[#This Row],[WdDeck]]*Lookups!$B$91</f>
        <v>0</v>
      </c>
      <c r="BB103" s="25">
        <f>ROUND(Inventory[[#This Row],[25Det]],-2)</f>
        <v>14700</v>
      </c>
      <c r="BC103" s="25">
        <f>ROUND(SUM(Inventory[[#This Row],[Mdl Qlty]:[Mdl WdDeck]])+Inventory[[#This Row],[Mdl Res Intercept]],-2)</f>
        <v>255700</v>
      </c>
      <c r="BD103" s="25">
        <f>ROUND(Inventory[[#This Row],[Mdl Land Intercept]]+Inventory[[#This Row],[Mdl LnAcres]],-2)</f>
        <v>-34000</v>
      </c>
      <c r="BE103" s="25">
        <f>Inventory[[#This Row],[Unadj Res Value]]+Inventory[[#This Row],[Unadj Det Value]]+Inventory[[#This Row],[Unadj Land Value]]</f>
        <v>236400</v>
      </c>
      <c r="BF103" s="36">
        <f>(Inventory[[#This Row],[Unadj Total Value]]-Inventory[[#This Row],[24Final]])/Inventory[[#This Row],[24Final]]</f>
        <v>0.16224188790560473</v>
      </c>
      <c r="BG103" s="25">
        <f>VLOOKUP(Inventory[[#This Row],[Nbhd]],Lookups!$Q$2:$T$4,4,FALSE)</f>
        <v>0.99970000000000003</v>
      </c>
      <c r="BH103" s="25">
        <f>VLOOKUP(Inventory[[#This Row],[Qlty]],Lookups!$O$7:$R$21,4,FALSE)</f>
        <v>1.0067999999999999</v>
      </c>
      <c r="BI103" s="29">
        <f>VLOOKUP(Inventory[[#This Row],[Cnd]],Lookups!$T$7:$W$16,4,FALSE)</f>
        <v>0.99729999999999996</v>
      </c>
      <c r="BJ103" s="25">
        <f>VLOOKUP(Inventory[[#This Row],[LivArea Range]],Lookups!$T$25:$W$37,4,FALSE)</f>
        <v>1.0157</v>
      </c>
      <c r="BK103" s="25">
        <f>VLOOKUP(Inventory[[#This Row],[Decade]],Lookups!$O$25:$R$42,4,FALSE)</f>
        <v>1.0157</v>
      </c>
      <c r="BL103" s="25">
        <f>Inventory[[#This Row],[Nbhd Adj]]*0.95</f>
        <v>0.94971499999999998</v>
      </c>
      <c r="BM103" s="25">
        <f>Inventory[[#This Row],[Nbhd Adj]]*Inventory[[#This Row],[Quality Adj]]*Inventory[[#This Row],[Condition Adj]]*Inventory[[#This Row],[Living Area Adj]]*Inventory[[#This Row],[Decade Adj]]*0.95</f>
        <v>0.9837692152700912</v>
      </c>
      <c r="BN103" s="25">
        <f>ROUND(SUM(Inventory[[#This Row],[Mdl Qlty]:[Mdl WdDeck]])+Inventory[[#This Row],[Mdl Res Intercept]]*Inventory[[#This Row],[Res Adj ]],-2)</f>
        <v>255700</v>
      </c>
      <c r="BO103" s="25">
        <f>ROUND(Inventory[[#This Row],[25Det]]*Inventory[[#This Row],[Det/Nbhd Adj]],-2)</f>
        <v>13900</v>
      </c>
      <c r="BP103" s="25">
        <f>Inventory[[#This Row],[Adjusted Res]]+Inventory[[#This Row],[Adj Det ]]</f>
        <v>269600</v>
      </c>
      <c r="BQ103" s="25">
        <f>ROUND((Inventory[[#This Row],[Mdl Land Intercept]]+Inventory[[#This Row],[Mdl LnAcres]])*Inventory[[#This Row],[Det/Nbhd Adj]],-2)</f>
        <v>-32300</v>
      </c>
      <c r="BR103" s="25">
        <f>Inventory[[#This Row],[Adjusted Impr Total]]+Inventory[[#This Row],[Adjusted Land Total]]</f>
        <v>237300</v>
      </c>
      <c r="BS103" s="36">
        <f>IFERROR((Inventory[[#This Row],[Adjusted Impr Total]]-Inventory[[#This Row],[24Bldg]])/Inventory[[#This Row],[24Bldg]],0)</f>
        <v>0.55928282244071714</v>
      </c>
      <c r="BT103" s="36">
        <f>(Inventory[[#This Row],[Adjusted Land Total]]-Inventory[[#This Row],[24Lnd]])/Inventory[[#This Row],[24Lnd]]</f>
        <v>-2.0590163934426231</v>
      </c>
      <c r="BU103" s="36">
        <f>(Inventory[[#This Row],[Adjusted Total]]-Inventory[[#This Row],[24Final]])/Inventory[[#This Row],[24Final]]</f>
        <v>0.16666666666666666</v>
      </c>
    </row>
    <row r="104" spans="1:73" x14ac:dyDescent="0.3">
      <c r="A104" s="25">
        <v>2025</v>
      </c>
      <c r="B104" s="26" t="s">
        <v>618</v>
      </c>
      <c r="C104" s="26">
        <f>LN(Inventory[[#This Row],[Acres]])</f>
        <v>-3.912023005428146</v>
      </c>
      <c r="D104" s="25">
        <v>0.21</v>
      </c>
      <c r="E104" s="25">
        <v>9148</v>
      </c>
      <c r="F104" s="26" t="s">
        <v>543</v>
      </c>
      <c r="G104" s="26" t="s">
        <v>544</v>
      </c>
      <c r="H104" s="26" t="s">
        <v>349</v>
      </c>
      <c r="I104" s="26" t="s">
        <v>605</v>
      </c>
      <c r="J104" s="26" t="s">
        <v>619</v>
      </c>
      <c r="K104" s="26" t="s">
        <v>547</v>
      </c>
      <c r="L104" s="26" t="s">
        <v>148</v>
      </c>
      <c r="M104" s="26" t="s">
        <v>323</v>
      </c>
      <c r="N104" s="26">
        <v>60</v>
      </c>
      <c r="O104" s="26">
        <f>2024-Inventory[[#This Row],[YrBlt]]</f>
        <v>32</v>
      </c>
      <c r="P104" s="26">
        <f>2024-Inventory[[#This Row],[EffYr]]</f>
        <v>32</v>
      </c>
      <c r="Q104" s="25">
        <v>1962</v>
      </c>
      <c r="R104" s="25">
        <v>1975</v>
      </c>
      <c r="S104" s="25">
        <v>3216</v>
      </c>
      <c r="T104" s="27"/>
      <c r="U104" s="31"/>
      <c r="V104" s="31">
        <f>Inventory[[#This Row],[Bsmt]]-Inventory[[#This Row],[FnBsmt]]</f>
        <v>0</v>
      </c>
      <c r="W104" s="31"/>
      <c r="X104" s="27"/>
      <c r="Y104" s="27">
        <f>Inventory[[#This Row],[MainFn]]+Inventory[[#This Row],[UpprFn]]+Inventory[[#This Row],[FnBsmt]]+Inventory[[#This Row],[AddFn]]</f>
        <v>1340</v>
      </c>
      <c r="Z104" s="27">
        <v>3500</v>
      </c>
      <c r="AA104" s="25">
        <v>18</v>
      </c>
      <c r="AB104" s="32">
        <v>704</v>
      </c>
      <c r="AC104" s="27"/>
      <c r="AD104" s="27"/>
      <c r="AE104" s="27"/>
      <c r="AF104" s="27"/>
      <c r="AG104" s="32">
        <v>125</v>
      </c>
      <c r="AH104" s="27"/>
      <c r="AI104" s="25">
        <v>575464</v>
      </c>
      <c r="AJ104" s="25">
        <v>512163</v>
      </c>
      <c r="AK104" s="25">
        <v>0</v>
      </c>
      <c r="AL104" s="25">
        <v>550700</v>
      </c>
      <c r="AM104" s="25">
        <v>69100</v>
      </c>
      <c r="AN104" s="25">
        <v>481600</v>
      </c>
      <c r="AO104" s="25">
        <v>0</v>
      </c>
      <c r="AP104" s="25">
        <f>Lookups!$B$56*0</f>
        <v>0</v>
      </c>
      <c r="AQ104" s="25">
        <f>Lookups!$B$56*1</f>
        <v>89850.625589999996</v>
      </c>
      <c r="AR104" s="25">
        <f>Lookups!$B$57*Inventory[[#This Row],[LnAcres]]</f>
        <v>-123833.58500677992</v>
      </c>
      <c r="AS104" s="25">
        <f>VLOOKUP(Inventory[[#This Row],[Qlty]],Lookups!$A$62:$E$75,2,FALSE)</f>
        <v>29814.093161000001</v>
      </c>
      <c r="AT104" s="25">
        <f>VLOOKUP(Inventory[[#This Row],[Cnd]],Lookups!$A$76:$E$84,2,FALSE)</f>
        <v>160472.20319</v>
      </c>
      <c r="AU104" s="25">
        <f>Inventory[[#This Row],[EffAge]]*Lookups!$B$85</f>
        <v>-7137.4592160000002</v>
      </c>
      <c r="AV104" s="25">
        <f>Inventory[[#This Row],[MainFn]]*Lookups!$B$86</f>
        <v>66207.617635179995</v>
      </c>
      <c r="AW104" s="25">
        <f>Inventory[[#This Row],[UpprFn]]*Lookups!$B$87</f>
        <v>0</v>
      </c>
      <c r="AX104" s="25">
        <f>Inventory[[#This Row],[AddFn]]*Lookups!$B$88</f>
        <v>0</v>
      </c>
      <c r="AY104" s="25">
        <f>Inventory[[#This Row],[Bsmt]]*Lookups!$B$89</f>
        <v>0</v>
      </c>
      <c r="AZ104" s="25">
        <f>Inventory[[#This Row],[Fixtures]]*Lookups!$B$90</f>
        <v>41712.243157199999</v>
      </c>
      <c r="BA104" s="25">
        <f>Inventory[[#This Row],[WdDeck]]*Lookups!$B$91</f>
        <v>0</v>
      </c>
      <c r="BB104" s="25">
        <f>ROUND(Inventory[[#This Row],[25Det]],-2)</f>
        <v>17300</v>
      </c>
      <c r="BC104" s="25">
        <f>ROUND(SUM(Inventory[[#This Row],[Mdl Qlty]:[Mdl WdDeck]])+Inventory[[#This Row],[Mdl Res Intercept]],-2)</f>
        <v>291100</v>
      </c>
      <c r="BD104" s="25">
        <f>ROUND(Inventory[[#This Row],[Mdl Land Intercept]]+Inventory[[#This Row],[Mdl LnAcres]],-2)</f>
        <v>-34000</v>
      </c>
      <c r="BE104" s="25">
        <f>Inventory[[#This Row],[Unadj Res Value]]+Inventory[[#This Row],[Unadj Det Value]]+Inventory[[#This Row],[Unadj Land Value]]</f>
        <v>274400</v>
      </c>
      <c r="BF104" s="36">
        <f>(Inventory[[#This Row],[Unadj Total Value]]-Inventory[[#This Row],[24Final]])/Inventory[[#This Row],[24Final]]</f>
        <v>0.11771894093686354</v>
      </c>
      <c r="BG104" s="25">
        <f>VLOOKUP(Inventory[[#This Row],[Nbhd]],Lookups!$Q$2:$T$4,4,FALSE)</f>
        <v>0.99970000000000003</v>
      </c>
      <c r="BH104" s="25">
        <f>VLOOKUP(Inventory[[#This Row],[Qlty]],Lookups!$O$7:$R$21,4,FALSE)</f>
        <v>1.0088999999999999</v>
      </c>
      <c r="BI104" s="29">
        <f>VLOOKUP(Inventory[[#This Row],[Cnd]],Lookups!$T$7:$W$16,4,FALSE)</f>
        <v>0.99729999999999996</v>
      </c>
      <c r="BJ104" s="25">
        <f>VLOOKUP(Inventory[[#This Row],[LivArea Range]],Lookups!$T$25:$W$37,4,FALSE)</f>
        <v>1.0157</v>
      </c>
      <c r="BK104" s="25">
        <f>VLOOKUP(Inventory[[#This Row],[Decade]],Lookups!$O$25:$R$42,4,FALSE)</f>
        <v>1.0157</v>
      </c>
      <c r="BL104" s="25">
        <f>Inventory[[#This Row],[Nbhd Adj]]*0.95</f>
        <v>0.94971499999999998</v>
      </c>
      <c r="BM104" s="25">
        <f>Inventory[[#This Row],[Nbhd Adj]]*Inventory[[#This Row],[Quality Adj]]*Inventory[[#This Row],[Condition Adj]]*Inventory[[#This Row],[Living Area Adj]]*Inventory[[#This Row],[Decade Adj]]*0.95</f>
        <v>0.98582117728048768</v>
      </c>
      <c r="BN104" s="25">
        <f>ROUND(SUM(Inventory[[#This Row],[Mdl Qlty]:[Mdl WdDeck]])+Inventory[[#This Row],[Mdl Res Intercept]]*Inventory[[#This Row],[Res Adj ]],-2)</f>
        <v>291100</v>
      </c>
      <c r="BO104" s="25">
        <f>ROUND(Inventory[[#This Row],[25Det]]*Inventory[[#This Row],[Det/Nbhd Adj]],-2)</f>
        <v>16400</v>
      </c>
      <c r="BP104" s="25">
        <f>Inventory[[#This Row],[Adjusted Res]]+Inventory[[#This Row],[Adj Det ]]</f>
        <v>307500</v>
      </c>
      <c r="BQ104" s="25">
        <f>ROUND((Inventory[[#This Row],[Mdl Land Intercept]]+Inventory[[#This Row],[Mdl LnAcres]])*Inventory[[#This Row],[Det/Nbhd Adj]],-2)</f>
        <v>-32300</v>
      </c>
      <c r="BR104" s="25">
        <f>Inventory[[#This Row],[Adjusted Impr Total]]+Inventory[[#This Row],[Adjusted Land Total]]</f>
        <v>275200</v>
      </c>
      <c r="BS104" s="36">
        <f>IFERROR((Inventory[[#This Row],[Adjusted Impr Total]]-Inventory[[#This Row],[24Bldg]])/Inventory[[#This Row],[24Bldg]],0)</f>
        <v>0.47340680402491614</v>
      </c>
      <c r="BT104" s="36">
        <f>(Inventory[[#This Row],[Adjusted Land Total]]-Inventory[[#This Row],[24Lnd]])/Inventory[[#This Row],[24Lnd]]</f>
        <v>-1.8777173913043479</v>
      </c>
      <c r="BU104" s="36">
        <f>(Inventory[[#This Row],[Adjusted Total]]-Inventory[[#This Row],[24Final]])/Inventory[[#This Row],[24Final]]</f>
        <v>0.1209775967413442</v>
      </c>
    </row>
    <row r="105" spans="1:73" x14ac:dyDescent="0.3">
      <c r="A105" s="25">
        <v>2025</v>
      </c>
      <c r="B105" s="26" t="s">
        <v>1476</v>
      </c>
      <c r="C105" s="26">
        <f>LN(Inventory[[#This Row],[Acres]])</f>
        <v>-3.912023005428146</v>
      </c>
      <c r="D105" s="25">
        <v>0.2</v>
      </c>
      <c r="E105" s="25">
        <v>8712</v>
      </c>
      <c r="F105" s="26" t="s">
        <v>543</v>
      </c>
      <c r="G105" s="26" t="s">
        <v>544</v>
      </c>
      <c r="H105" s="26" t="s">
        <v>349</v>
      </c>
      <c r="I105" s="26" t="s">
        <v>605</v>
      </c>
      <c r="J105" s="26" t="s">
        <v>616</v>
      </c>
      <c r="K105" s="26" t="s">
        <v>547</v>
      </c>
      <c r="L105" s="26" t="s">
        <v>148</v>
      </c>
      <c r="M105" s="26" t="s">
        <v>323</v>
      </c>
      <c r="N105" s="26">
        <v>80</v>
      </c>
      <c r="O105" s="26">
        <f>2024-Inventory[[#This Row],[YrBlt]]</f>
        <v>32</v>
      </c>
      <c r="P105" s="26">
        <f>2024-Inventory[[#This Row],[EffYr]]</f>
        <v>32</v>
      </c>
      <c r="Q105" s="25">
        <v>1937</v>
      </c>
      <c r="R105" s="25">
        <v>1961</v>
      </c>
      <c r="S105" s="25">
        <v>2065</v>
      </c>
      <c r="T105" s="27"/>
      <c r="U105" s="25">
        <v>2065</v>
      </c>
      <c r="V105" s="25">
        <f>Inventory[[#This Row],[Bsmt]]-Inventory[[#This Row],[FnBsmt]]</f>
        <v>0</v>
      </c>
      <c r="W105" s="25">
        <v>2065</v>
      </c>
      <c r="X105" s="27"/>
      <c r="Y105" s="27">
        <f>Inventory[[#This Row],[MainFn]]+Inventory[[#This Row],[UpprFn]]+Inventory[[#This Row],[FnBsmt]]+Inventory[[#This Row],[AddFn]]</f>
        <v>1148</v>
      </c>
      <c r="Z105" s="27">
        <v>4500</v>
      </c>
      <c r="AA105" s="25">
        <v>16</v>
      </c>
      <c r="AB105" s="31"/>
      <c r="AC105" s="27"/>
      <c r="AD105" s="27"/>
      <c r="AE105" s="27"/>
      <c r="AF105" s="27"/>
      <c r="AG105" s="32">
        <v>125</v>
      </c>
      <c r="AH105" s="27"/>
      <c r="AI105" s="25">
        <v>517844</v>
      </c>
      <c r="AJ105" s="25">
        <v>367669</v>
      </c>
      <c r="AK105" s="25">
        <v>13944</v>
      </c>
      <c r="AL105" s="25">
        <v>417250</v>
      </c>
      <c r="AM105" s="25">
        <v>67150</v>
      </c>
      <c r="AN105" s="25">
        <v>350100</v>
      </c>
      <c r="AO105" s="25">
        <v>0</v>
      </c>
      <c r="AP105" s="25">
        <f>Lookups!$B$56*0</f>
        <v>0</v>
      </c>
      <c r="AQ105" s="25">
        <f>Lookups!$B$56*1</f>
        <v>89850.625589999996</v>
      </c>
      <c r="AR105" s="25">
        <f>Lookups!$B$57*Inventory[[#This Row],[LnAcres]]</f>
        <v>-123833.58500677992</v>
      </c>
      <c r="AS105" s="25">
        <f>VLOOKUP(Inventory[[#This Row],[Qlty]],Lookups!$A$62:$E$75,2,FALSE)</f>
        <v>21557.329055999999</v>
      </c>
      <c r="AT105" s="25">
        <f>VLOOKUP(Inventory[[#This Row],[Cnd]],Lookups!$A$76:$E$84,2,FALSE)</f>
        <v>160472.20319</v>
      </c>
      <c r="AU105" s="25">
        <f>Inventory[[#This Row],[EffAge]]*Lookups!$B$85</f>
        <v>-7137.4592160000002</v>
      </c>
      <c r="AV105" s="25">
        <f>Inventory[[#This Row],[MainFn]]*Lookups!$B$86</f>
        <v>56721.153018796002</v>
      </c>
      <c r="AW105" s="25">
        <f>Inventory[[#This Row],[UpprFn]]*Lookups!$B$87</f>
        <v>0</v>
      </c>
      <c r="AX105" s="25">
        <f>Inventory[[#This Row],[AddFn]]*Lookups!$B$88</f>
        <v>0</v>
      </c>
      <c r="AY105" s="25">
        <f>Inventory[[#This Row],[Bsmt]]*Lookups!$B$89</f>
        <v>0</v>
      </c>
      <c r="AZ105" s="25">
        <f>Inventory[[#This Row],[Fixtures]]*Lookups!$B$90</f>
        <v>30336.176841600001</v>
      </c>
      <c r="BA105" s="25">
        <f>Inventory[[#This Row],[WdDeck]]*Lookups!$B$91</f>
        <v>0</v>
      </c>
      <c r="BB105" s="25">
        <f>ROUND(Inventory[[#This Row],[25Det]],-2)</f>
        <v>14700</v>
      </c>
      <c r="BC105" s="25">
        <f>ROUND(SUM(Inventory[[#This Row],[Mdl Qlty]:[Mdl WdDeck]])+Inventory[[#This Row],[Mdl Res Intercept]],-2)</f>
        <v>261900</v>
      </c>
      <c r="BD105" s="25">
        <f>ROUND(Inventory[[#This Row],[Mdl Land Intercept]]+Inventory[[#This Row],[Mdl LnAcres]],-2)</f>
        <v>-34000</v>
      </c>
      <c r="BE105" s="25">
        <f>Inventory[[#This Row],[Unadj Res Value]]+Inventory[[#This Row],[Unadj Det Value]]+Inventory[[#This Row],[Unadj Land Value]]</f>
        <v>242600</v>
      </c>
      <c r="BF105" s="36">
        <f>(Inventory[[#This Row],[Unadj Total Value]]-Inventory[[#This Row],[24Final]])/Inventory[[#This Row],[24Final]]</f>
        <v>0.10272727272727272</v>
      </c>
      <c r="BG105" s="25">
        <f>VLOOKUP(Inventory[[#This Row],[Nbhd]],Lookups!$Q$2:$T$4,4,FALSE)</f>
        <v>0.99970000000000003</v>
      </c>
      <c r="BH105" s="25">
        <f>VLOOKUP(Inventory[[#This Row],[Qlty]],Lookups!$O$7:$R$21,4,FALSE)</f>
        <v>1.0067999999999999</v>
      </c>
      <c r="BI105" s="29">
        <f>VLOOKUP(Inventory[[#This Row],[Cnd]],Lookups!$T$7:$W$16,4,FALSE)</f>
        <v>0.99729999999999996</v>
      </c>
      <c r="BJ105" s="25">
        <f>VLOOKUP(Inventory[[#This Row],[LivArea Range]],Lookups!$T$25:$W$37,4,FALSE)</f>
        <v>1.0157</v>
      </c>
      <c r="BK105" s="25">
        <f>VLOOKUP(Inventory[[#This Row],[Decade]],Lookups!$O$25:$R$42,4,FALSE)</f>
        <v>1.0157</v>
      </c>
      <c r="BL105" s="25">
        <f>Inventory[[#This Row],[Nbhd Adj]]*0.95</f>
        <v>0.94971499999999998</v>
      </c>
      <c r="BM105" s="25">
        <f>Inventory[[#This Row],[Nbhd Adj]]*Inventory[[#This Row],[Quality Adj]]*Inventory[[#This Row],[Condition Adj]]*Inventory[[#This Row],[Living Area Adj]]*Inventory[[#This Row],[Decade Adj]]*0.95</f>
        <v>0.9837692152700912</v>
      </c>
      <c r="BN105" s="25">
        <f>ROUND(SUM(Inventory[[#This Row],[Mdl Qlty]:[Mdl WdDeck]])+Inventory[[#This Row],[Mdl Res Intercept]]*Inventory[[#This Row],[Res Adj ]],-2)</f>
        <v>261900</v>
      </c>
      <c r="BO105" s="25">
        <f>ROUND(Inventory[[#This Row],[25Det]]*Inventory[[#This Row],[Det/Nbhd Adj]],-2)</f>
        <v>13900</v>
      </c>
      <c r="BP105" s="25">
        <f>Inventory[[#This Row],[Adjusted Res]]+Inventory[[#This Row],[Adj Det ]]</f>
        <v>275800</v>
      </c>
      <c r="BQ105" s="25">
        <f>ROUND((Inventory[[#This Row],[Mdl Land Intercept]]+Inventory[[#This Row],[Mdl LnAcres]])*Inventory[[#This Row],[Det/Nbhd Adj]],-2)</f>
        <v>-32300</v>
      </c>
      <c r="BR105" s="25">
        <f>Inventory[[#This Row],[Adjusted Impr Total]]+Inventory[[#This Row],[Adjusted Land Total]]</f>
        <v>243500</v>
      </c>
      <c r="BS105" s="36">
        <f>IFERROR((Inventory[[#This Row],[Adjusted Impr Total]]-Inventory[[#This Row],[24Bldg]])/Inventory[[#This Row],[24Bldg]],0)</f>
        <v>0.4748663101604278</v>
      </c>
      <c r="BT105" s="36">
        <f>(Inventory[[#This Row],[Adjusted Land Total]]-Inventory[[#This Row],[24Lnd]])/Inventory[[#This Row],[24Lnd]]</f>
        <v>-1.9787878787878788</v>
      </c>
      <c r="BU105" s="36">
        <f>(Inventory[[#This Row],[Adjusted Total]]-Inventory[[#This Row],[24Final]])/Inventory[[#This Row],[24Final]]</f>
        <v>0.10681818181818181</v>
      </c>
    </row>
  </sheetData>
  <conditionalFormatting sqref="B1:B60">
    <cfRule type="duplicateValues" dxfId="3" priority="2"/>
  </conditionalFormatting>
  <conditionalFormatting sqref="B61:B105">
    <cfRule type="duplicateValues" dxfId="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D067A-71C5-45B4-A5C4-0A0CA8BFA32F}">
  <dimension ref="A1:P316"/>
  <sheetViews>
    <sheetView topLeftCell="A13" workbookViewId="0">
      <selection activeCell="O39" sqref="O39"/>
    </sheetView>
  </sheetViews>
  <sheetFormatPr defaultRowHeight="14.4" x14ac:dyDescent="0.3"/>
  <cols>
    <col min="1" max="1" width="5.88671875" customWidth="1"/>
    <col min="2" max="2" width="2.109375" customWidth="1"/>
    <col min="3" max="3" width="16.88671875" customWidth="1"/>
    <col min="4" max="4" width="11.5546875" bestFit="1" customWidth="1"/>
    <col min="5" max="5" width="16.33203125" bestFit="1" customWidth="1"/>
    <col min="6" max="6" width="7.88671875" customWidth="1"/>
    <col min="7" max="7" width="11.109375" customWidth="1"/>
    <col min="8" max="8" width="9.44140625" customWidth="1"/>
    <col min="10" max="10" width="12" bestFit="1" customWidth="1"/>
    <col min="11" max="11" width="10.6640625" bestFit="1" customWidth="1"/>
    <col min="12" max="12" width="11" bestFit="1" customWidth="1"/>
    <col min="13" max="13" width="12" bestFit="1" customWidth="1"/>
    <col min="14" max="14" width="12.5546875" customWidth="1"/>
    <col min="15" max="15" width="10.5546875" bestFit="1" customWidth="1"/>
    <col min="16" max="16" width="11.109375" customWidth="1"/>
  </cols>
  <sheetData>
    <row r="1" spans="1:16" x14ac:dyDescent="0.3">
      <c r="A1" t="s">
        <v>2931</v>
      </c>
      <c r="D1">
        <f>+D2/2</f>
        <v>151.5</v>
      </c>
      <c r="E1" s="39"/>
      <c r="F1" s="40"/>
      <c r="O1" s="40"/>
      <c r="P1" s="40"/>
    </row>
    <row r="2" spans="1:16" x14ac:dyDescent="0.3">
      <c r="A2" s="41" t="s">
        <v>2932</v>
      </c>
      <c r="B2" s="41"/>
      <c r="D2" s="42">
        <f>COUNT(A14:A1582)</f>
        <v>303</v>
      </c>
      <c r="E2" s="43" t="s">
        <v>2933</v>
      </c>
      <c r="F2" s="44">
        <f>MEDIAN(F14:F1582)</f>
        <v>0.99529085872576173</v>
      </c>
      <c r="G2" s="45" t="s">
        <v>2934</v>
      </c>
      <c r="I2" s="45"/>
      <c r="J2" s="45"/>
      <c r="O2" s="40"/>
      <c r="P2" s="40"/>
    </row>
    <row r="3" spans="1:16" x14ac:dyDescent="0.3">
      <c r="A3" s="41" t="s">
        <v>2935</v>
      </c>
      <c r="B3" s="41"/>
      <c r="D3" s="46">
        <f>SUM(H14:H1582)</f>
        <v>105054576</v>
      </c>
      <c r="E3" s="43" t="s">
        <v>2936</v>
      </c>
      <c r="F3" s="44">
        <f>SUM(F14:F1582)/D2</f>
        <v>1.0035070528103032</v>
      </c>
      <c r="G3" s="45" t="s">
        <v>2937</v>
      </c>
      <c r="I3" s="45"/>
      <c r="J3" s="45"/>
      <c r="O3" s="40"/>
      <c r="P3" s="40"/>
    </row>
    <row r="4" spans="1:16" x14ac:dyDescent="0.3">
      <c r="A4" s="41" t="s">
        <v>2938</v>
      </c>
      <c r="B4" s="41"/>
      <c r="D4" s="46">
        <f>SUM(E14:E1582)</f>
        <v>104100700</v>
      </c>
      <c r="E4" s="43" t="s">
        <v>2939</v>
      </c>
      <c r="F4" s="44">
        <f>+D4/D3</f>
        <v>0.99092018609451149</v>
      </c>
      <c r="G4" s="45" t="s">
        <v>2940</v>
      </c>
      <c r="I4" s="45"/>
      <c r="J4" s="45"/>
      <c r="O4" s="40"/>
      <c r="P4" s="40"/>
    </row>
    <row r="5" spans="1:16" x14ac:dyDescent="0.3">
      <c r="A5" s="41" t="s">
        <v>2941</v>
      </c>
      <c r="B5" s="41"/>
      <c r="D5" s="46">
        <f>SUM(F14:F1582)</f>
        <v>304.06263700152186</v>
      </c>
      <c r="E5" s="43"/>
      <c r="F5" s="40"/>
      <c r="G5" s="45"/>
      <c r="I5" s="45"/>
      <c r="J5" s="45"/>
      <c r="O5" s="40"/>
      <c r="P5" s="40"/>
    </row>
    <row r="6" spans="1:16" x14ac:dyDescent="0.3">
      <c r="A6" s="41" t="s">
        <v>2942</v>
      </c>
      <c r="B6" s="41"/>
      <c r="D6" s="47">
        <f>+D3/D2</f>
        <v>346714.77227722772</v>
      </c>
      <c r="E6" s="43" t="s">
        <v>2943</v>
      </c>
      <c r="F6" s="48">
        <f>(SUM(N14:N1582)/D2/F2)*100</f>
        <v>8.6173468469605421</v>
      </c>
      <c r="G6" s="45" t="s">
        <v>2944</v>
      </c>
      <c r="I6" s="45"/>
      <c r="J6" s="45"/>
      <c r="O6" s="40"/>
      <c r="P6" s="40"/>
    </row>
    <row r="7" spans="1:16" x14ac:dyDescent="0.3">
      <c r="A7" s="41" t="s">
        <v>2945</v>
      </c>
      <c r="B7" s="41"/>
      <c r="D7" s="47">
        <f>+D4/D2</f>
        <v>343566.66666666669</v>
      </c>
      <c r="E7" s="43" t="s">
        <v>2946</v>
      </c>
      <c r="F7" s="49">
        <f>(SQRT(SUM(P14:P1582)/(D2-1))/F3)*100</f>
        <v>10.912044435090213</v>
      </c>
      <c r="G7" s="50" t="s">
        <v>2947</v>
      </c>
      <c r="O7" s="40"/>
      <c r="P7" s="40"/>
    </row>
    <row r="8" spans="1:16" x14ac:dyDescent="0.3">
      <c r="A8" s="41" t="s">
        <v>2948</v>
      </c>
      <c r="B8" s="41"/>
      <c r="C8" s="51"/>
      <c r="D8">
        <v>0.87070000000000003</v>
      </c>
      <c r="E8" s="43" t="s">
        <v>144</v>
      </c>
      <c r="F8" s="49">
        <f>+F3/F4</f>
        <v>1.0127022003309873</v>
      </c>
      <c r="G8" s="45" t="s">
        <v>2949</v>
      </c>
      <c r="I8" s="45"/>
      <c r="J8" s="45"/>
      <c r="O8" s="40"/>
      <c r="P8" s="40"/>
    </row>
    <row r="9" spans="1:16" x14ac:dyDescent="0.3">
      <c r="A9" s="41" t="s">
        <v>2950</v>
      </c>
      <c r="B9" s="41"/>
      <c r="C9" s="51"/>
      <c r="D9">
        <v>2282</v>
      </c>
      <c r="E9" s="43" t="s">
        <v>2951</v>
      </c>
      <c r="F9" s="49">
        <f>SQRT((SUM(P14:P1582))/(D2-1))*100</f>
        <v>10.950313551192449</v>
      </c>
      <c r="G9" s="45" t="s">
        <v>2952</v>
      </c>
      <c r="I9" s="45"/>
      <c r="J9" s="45"/>
      <c r="O9" s="40"/>
      <c r="P9" s="40"/>
    </row>
    <row r="10" spans="1:16" x14ac:dyDescent="0.3">
      <c r="A10" s="52" t="s">
        <v>2953</v>
      </c>
      <c r="B10" s="52"/>
      <c r="C10" s="51"/>
      <c r="D10" s="38">
        <f>D2/D9</f>
        <v>0.13277826468010517</v>
      </c>
      <c r="E10" s="39" t="s">
        <v>2954</v>
      </c>
      <c r="F10" s="40">
        <f>SQRT(SUM(J14:J1582)/(D2))</f>
        <v>41529.69141815442</v>
      </c>
      <c r="G10" s="53"/>
      <c r="O10" s="40"/>
      <c r="P10" s="40"/>
    </row>
    <row r="11" spans="1:16" x14ac:dyDescent="0.3">
      <c r="D11" s="40"/>
      <c r="O11" s="40"/>
      <c r="P11" s="40"/>
    </row>
    <row r="12" spans="1:16" ht="15" thickBot="1" x14ac:dyDescent="0.35">
      <c r="D12" s="40"/>
      <c r="I12" s="54"/>
      <c r="J12" s="54"/>
      <c r="K12" s="54"/>
      <c r="L12" s="54"/>
      <c r="M12" s="54"/>
      <c r="N12" s="53"/>
      <c r="O12" s="40"/>
      <c r="P12" s="40"/>
    </row>
    <row r="13" spans="1:16" ht="51" customHeight="1" thickBot="1" x14ac:dyDescent="0.35">
      <c r="A13" s="55" t="s">
        <v>2955</v>
      </c>
      <c r="B13" s="55"/>
      <c r="C13" s="56" t="s">
        <v>407</v>
      </c>
      <c r="D13" s="56" t="s">
        <v>2956</v>
      </c>
      <c r="E13" s="57" t="s">
        <v>2957</v>
      </c>
      <c r="F13" s="58" t="s">
        <v>267</v>
      </c>
      <c r="G13" s="56" t="s">
        <v>380</v>
      </c>
      <c r="H13" s="59" t="s">
        <v>414</v>
      </c>
      <c r="I13" s="60" t="s">
        <v>2958</v>
      </c>
      <c r="J13" s="61" t="s">
        <v>2959</v>
      </c>
      <c r="K13" s="60" t="s">
        <v>2960</v>
      </c>
      <c r="L13" s="62" t="s">
        <v>2961</v>
      </c>
      <c r="M13" s="61" t="s">
        <v>2959</v>
      </c>
      <c r="N13" s="63" t="s">
        <v>2962</v>
      </c>
      <c r="O13" s="64" t="s">
        <v>2963</v>
      </c>
      <c r="P13" s="65" t="s">
        <v>2964</v>
      </c>
    </row>
    <row r="14" spans="1:16" x14ac:dyDescent="0.3">
      <c r="A14">
        <v>1</v>
      </c>
      <c r="C14" s="66">
        <v>18132333422</v>
      </c>
      <c r="D14" s="67" t="s">
        <v>349</v>
      </c>
      <c r="E14" s="66">
        <v>277200</v>
      </c>
      <c r="F14" s="68">
        <v>0.69299999999999995</v>
      </c>
      <c r="G14" s="69">
        <v>44333</v>
      </c>
      <c r="H14" s="70">
        <v>400000</v>
      </c>
      <c r="I14" s="71">
        <f t="shared" ref="I14:I77" si="0">+H14-E14</f>
        <v>122800</v>
      </c>
      <c r="J14" s="72">
        <f t="shared" ref="J14:J77" si="1">+I14^2</f>
        <v>15079840000</v>
      </c>
      <c r="K14" s="71">
        <f t="shared" ref="K14:K77" si="2">AVERAGE($H$14:$H$1582)</f>
        <v>346714.77227722772</v>
      </c>
      <c r="L14" s="71">
        <f t="shared" ref="L14:L77" si="3">+H14-K14</f>
        <v>53285.227722772281</v>
      </c>
      <c r="M14" s="72">
        <f t="shared" ref="M14:M77" si="4">+L14^2</f>
        <v>2839315493.4676995</v>
      </c>
      <c r="N14" s="73">
        <f t="shared" ref="N14:N77" si="5">ABS(+$F$2-F14)</f>
        <v>0.30229085872576178</v>
      </c>
      <c r="O14" s="74">
        <f t="shared" ref="O14:O77" si="6">+$F$3-F14</f>
        <v>0.31050705281030322</v>
      </c>
      <c r="P14" s="74">
        <f t="shared" ref="P14:P77" si="7">+O14*O14</f>
        <v>9.6414629844940439E-2</v>
      </c>
    </row>
    <row r="15" spans="1:16" x14ac:dyDescent="0.3">
      <c r="A15">
        <f t="shared" ref="A15:A78" si="8">+A14+1</f>
        <v>2</v>
      </c>
      <c r="C15" s="75">
        <v>18132242488</v>
      </c>
      <c r="D15" s="67" t="s">
        <v>349</v>
      </c>
      <c r="E15" s="75">
        <v>351600</v>
      </c>
      <c r="F15" s="76">
        <v>0.70320000000000005</v>
      </c>
      <c r="G15" s="77">
        <v>44880</v>
      </c>
      <c r="H15" s="78">
        <v>500000</v>
      </c>
      <c r="I15" s="71">
        <f t="shared" si="0"/>
        <v>148400</v>
      </c>
      <c r="J15" s="72">
        <f t="shared" si="1"/>
        <v>22022560000</v>
      </c>
      <c r="K15" s="71">
        <f t="shared" si="2"/>
        <v>346714.77227722772</v>
      </c>
      <c r="L15" s="71">
        <f t="shared" si="3"/>
        <v>153285.22772277228</v>
      </c>
      <c r="M15" s="72">
        <f t="shared" si="4"/>
        <v>23496361038.022156</v>
      </c>
      <c r="N15" s="73">
        <f t="shared" si="5"/>
        <v>0.29209085872576168</v>
      </c>
      <c r="O15" s="74">
        <f t="shared" si="6"/>
        <v>0.30030705281030312</v>
      </c>
      <c r="P15" s="74">
        <f t="shared" si="7"/>
        <v>9.0184325967610182E-2</v>
      </c>
    </row>
    <row r="16" spans="1:16" x14ac:dyDescent="0.3">
      <c r="A16">
        <f t="shared" si="8"/>
        <v>3</v>
      </c>
      <c r="C16" s="66">
        <v>18132313498</v>
      </c>
      <c r="D16" s="67" t="s">
        <v>349</v>
      </c>
      <c r="E16" s="66">
        <v>619100</v>
      </c>
      <c r="F16" s="68">
        <v>0.72921083627797412</v>
      </c>
      <c r="G16" s="77">
        <v>45142</v>
      </c>
      <c r="H16" s="78">
        <v>849000</v>
      </c>
      <c r="I16" s="71">
        <f t="shared" si="0"/>
        <v>229900</v>
      </c>
      <c r="J16" s="72">
        <f t="shared" si="1"/>
        <v>52854010000</v>
      </c>
      <c r="K16" s="71">
        <f t="shared" si="2"/>
        <v>346714.77227722772</v>
      </c>
      <c r="L16" s="71">
        <f t="shared" si="3"/>
        <v>502285.22772277228</v>
      </c>
      <c r="M16" s="72">
        <f t="shared" si="4"/>
        <v>252290449988.51721</v>
      </c>
      <c r="N16" s="73">
        <f t="shared" si="5"/>
        <v>0.26608002244778761</v>
      </c>
      <c r="O16" s="74">
        <f t="shared" si="6"/>
        <v>0.27429621653232905</v>
      </c>
      <c r="P16" s="74">
        <f t="shared" si="7"/>
        <v>7.5238414403950349E-2</v>
      </c>
    </row>
    <row r="17" spans="1:16" x14ac:dyDescent="0.3">
      <c r="A17">
        <f t="shared" si="8"/>
        <v>4</v>
      </c>
      <c r="C17" s="75">
        <v>18132332412</v>
      </c>
      <c r="D17" s="67" t="s">
        <v>349</v>
      </c>
      <c r="E17" s="75">
        <v>279900</v>
      </c>
      <c r="F17" s="76">
        <v>0.736578947368421</v>
      </c>
      <c r="G17" s="69">
        <v>44371</v>
      </c>
      <c r="H17" s="79">
        <v>380000</v>
      </c>
      <c r="I17" s="71">
        <f t="shared" si="0"/>
        <v>100100</v>
      </c>
      <c r="J17" s="72">
        <f t="shared" si="1"/>
        <v>10020010000</v>
      </c>
      <c r="K17" s="71">
        <f t="shared" si="2"/>
        <v>346714.77227722772</v>
      </c>
      <c r="L17" s="71">
        <f t="shared" si="3"/>
        <v>33285.227722772281</v>
      </c>
      <c r="M17" s="72">
        <f t="shared" si="4"/>
        <v>1107906384.5568085</v>
      </c>
      <c r="N17" s="73">
        <f t="shared" si="5"/>
        <v>0.25871191135734073</v>
      </c>
      <c r="O17" s="74">
        <f t="shared" si="6"/>
        <v>0.26692810544188217</v>
      </c>
      <c r="P17" s="74">
        <f t="shared" si="7"/>
        <v>7.1250613474792571E-2</v>
      </c>
    </row>
    <row r="18" spans="1:16" x14ac:dyDescent="0.3">
      <c r="A18">
        <f t="shared" si="8"/>
        <v>5</v>
      </c>
      <c r="C18" s="66">
        <v>18132332552</v>
      </c>
      <c r="D18" s="67" t="s">
        <v>349</v>
      </c>
      <c r="E18" s="66">
        <v>439800</v>
      </c>
      <c r="F18" s="68">
        <v>0.75827586206896547</v>
      </c>
      <c r="G18" s="69">
        <v>44564</v>
      </c>
      <c r="H18" s="70">
        <v>580000</v>
      </c>
      <c r="I18" s="71">
        <f t="shared" si="0"/>
        <v>140200</v>
      </c>
      <c r="J18" s="72">
        <f t="shared" si="1"/>
        <v>19656040000</v>
      </c>
      <c r="K18" s="71">
        <f t="shared" si="2"/>
        <v>346714.77227722772</v>
      </c>
      <c r="L18" s="71">
        <f t="shared" si="3"/>
        <v>233285.22772277228</v>
      </c>
      <c r="M18" s="72">
        <f t="shared" si="4"/>
        <v>54421997473.665718</v>
      </c>
      <c r="N18" s="73">
        <f t="shared" si="5"/>
        <v>0.23701499665679626</v>
      </c>
      <c r="O18" s="74">
        <f t="shared" si="6"/>
        <v>0.2452311907413377</v>
      </c>
      <c r="P18" s="74">
        <f t="shared" si="7"/>
        <v>6.0138336912414353E-2</v>
      </c>
    </row>
    <row r="19" spans="1:16" x14ac:dyDescent="0.3">
      <c r="A19">
        <f t="shared" si="8"/>
        <v>6</v>
      </c>
      <c r="C19" s="75">
        <v>18132331512</v>
      </c>
      <c r="D19" s="67" t="s">
        <v>349</v>
      </c>
      <c r="E19" s="75">
        <v>418200</v>
      </c>
      <c r="F19" s="76">
        <v>0.7965714285714286</v>
      </c>
      <c r="G19" s="69">
        <v>44377</v>
      </c>
      <c r="H19" s="70">
        <v>525000</v>
      </c>
      <c r="I19" s="71">
        <f t="shared" si="0"/>
        <v>106800</v>
      </c>
      <c r="J19" s="72">
        <f t="shared" si="1"/>
        <v>11406240000</v>
      </c>
      <c r="K19" s="71">
        <f t="shared" si="2"/>
        <v>346714.77227722772</v>
      </c>
      <c r="L19" s="71">
        <f t="shared" si="3"/>
        <v>178285.22772277228</v>
      </c>
      <c r="M19" s="72">
        <f t="shared" si="4"/>
        <v>31785622424.16077</v>
      </c>
      <c r="N19" s="73">
        <f t="shared" si="5"/>
        <v>0.19871943015433313</v>
      </c>
      <c r="O19" s="74">
        <f t="shared" si="6"/>
        <v>0.20693562423887457</v>
      </c>
      <c r="P19" s="74">
        <f t="shared" si="7"/>
        <v>4.2822352579132694E-2</v>
      </c>
    </row>
    <row r="20" spans="1:16" x14ac:dyDescent="0.3">
      <c r="A20">
        <f t="shared" si="8"/>
        <v>7</v>
      </c>
      <c r="C20" s="66">
        <v>18132344445</v>
      </c>
      <c r="D20" s="67" t="s">
        <v>349</v>
      </c>
      <c r="E20" s="66">
        <v>228300</v>
      </c>
      <c r="F20" s="68">
        <v>0.80105263157894735</v>
      </c>
      <c r="G20" s="77">
        <v>44432</v>
      </c>
      <c r="H20" s="78">
        <v>285000</v>
      </c>
      <c r="I20" s="71">
        <f t="shared" si="0"/>
        <v>56700</v>
      </c>
      <c r="J20" s="72">
        <f t="shared" si="1"/>
        <v>3214890000</v>
      </c>
      <c r="K20" s="71">
        <f t="shared" si="2"/>
        <v>346714.77227722772</v>
      </c>
      <c r="L20" s="71">
        <f t="shared" si="3"/>
        <v>-61714.772277227719</v>
      </c>
      <c r="M20" s="72">
        <f t="shared" si="4"/>
        <v>3808713117.2300749</v>
      </c>
      <c r="N20" s="73">
        <f t="shared" si="5"/>
        <v>0.19423822714681438</v>
      </c>
      <c r="O20" s="74">
        <f t="shared" si="6"/>
        <v>0.20245442123135582</v>
      </c>
      <c r="P20" s="74">
        <f t="shared" si="7"/>
        <v>4.0987792676123257E-2</v>
      </c>
    </row>
    <row r="21" spans="1:16" x14ac:dyDescent="0.3">
      <c r="A21">
        <f t="shared" si="8"/>
        <v>8</v>
      </c>
      <c r="C21" s="75">
        <v>18132332422</v>
      </c>
      <c r="D21" s="67" t="s">
        <v>349</v>
      </c>
      <c r="E21" s="75">
        <v>316500</v>
      </c>
      <c r="F21" s="76">
        <v>0.80126582278481018</v>
      </c>
      <c r="G21" s="69">
        <v>45105</v>
      </c>
      <c r="H21" s="79">
        <v>395000</v>
      </c>
      <c r="I21" s="71">
        <f t="shared" si="0"/>
        <v>78500</v>
      </c>
      <c r="J21" s="72">
        <f t="shared" si="1"/>
        <v>6162250000</v>
      </c>
      <c r="K21" s="71">
        <f t="shared" si="2"/>
        <v>346714.77227722772</v>
      </c>
      <c r="L21" s="71">
        <f t="shared" si="3"/>
        <v>48285.227722772281</v>
      </c>
      <c r="M21" s="72">
        <f t="shared" si="4"/>
        <v>2331463216.2399769</v>
      </c>
      <c r="N21" s="73">
        <f t="shared" si="5"/>
        <v>0.19402503594095155</v>
      </c>
      <c r="O21" s="74">
        <f t="shared" si="6"/>
        <v>0.20224123002549299</v>
      </c>
      <c r="P21" s="74">
        <f t="shared" si="7"/>
        <v>4.0901515122224369E-2</v>
      </c>
    </row>
    <row r="22" spans="1:16" x14ac:dyDescent="0.3">
      <c r="A22">
        <f t="shared" si="8"/>
        <v>9</v>
      </c>
      <c r="C22" s="66">
        <v>18132341418</v>
      </c>
      <c r="D22" s="67" t="s">
        <v>349</v>
      </c>
      <c r="E22" s="66">
        <v>408700</v>
      </c>
      <c r="F22" s="68">
        <v>0.81740000000000002</v>
      </c>
      <c r="G22" s="77">
        <v>44712</v>
      </c>
      <c r="H22" s="78">
        <v>500000</v>
      </c>
      <c r="I22" s="71">
        <f t="shared" si="0"/>
        <v>91300</v>
      </c>
      <c r="J22" s="72">
        <f t="shared" si="1"/>
        <v>8335690000</v>
      </c>
      <c r="K22" s="71">
        <f t="shared" si="2"/>
        <v>346714.77227722772</v>
      </c>
      <c r="L22" s="71">
        <f t="shared" si="3"/>
        <v>153285.22772277228</v>
      </c>
      <c r="M22" s="72">
        <f t="shared" si="4"/>
        <v>23496361038.022156</v>
      </c>
      <c r="N22" s="73">
        <f t="shared" si="5"/>
        <v>0.17789085872576171</v>
      </c>
      <c r="O22" s="74">
        <f t="shared" si="6"/>
        <v>0.18610705281030315</v>
      </c>
      <c r="P22" s="74">
        <f t="shared" si="7"/>
        <v>3.4635835105736965E-2</v>
      </c>
    </row>
    <row r="23" spans="1:16" x14ac:dyDescent="0.3">
      <c r="A23">
        <f t="shared" si="8"/>
        <v>10</v>
      </c>
      <c r="C23" s="75">
        <v>18132342014</v>
      </c>
      <c r="D23" s="67" t="s">
        <v>349</v>
      </c>
      <c r="E23" s="75">
        <v>407600</v>
      </c>
      <c r="F23" s="76">
        <v>0.81520000000000004</v>
      </c>
      <c r="G23" s="69">
        <v>44419</v>
      </c>
      <c r="H23" s="79">
        <v>500000</v>
      </c>
      <c r="I23" s="71">
        <f t="shared" si="0"/>
        <v>92400</v>
      </c>
      <c r="J23" s="72">
        <f t="shared" si="1"/>
        <v>8537760000</v>
      </c>
      <c r="K23" s="71">
        <f t="shared" si="2"/>
        <v>346714.77227722772</v>
      </c>
      <c r="L23" s="71">
        <f t="shared" si="3"/>
        <v>153285.22772277228</v>
      </c>
      <c r="M23" s="72">
        <f t="shared" si="4"/>
        <v>23496361038.022156</v>
      </c>
      <c r="N23" s="73">
        <f t="shared" si="5"/>
        <v>0.18009085872576169</v>
      </c>
      <c r="O23" s="74">
        <f t="shared" si="6"/>
        <v>0.18830705281030313</v>
      </c>
      <c r="P23" s="74">
        <f t="shared" si="7"/>
        <v>3.5459546138102295E-2</v>
      </c>
    </row>
    <row r="24" spans="1:16" x14ac:dyDescent="0.3">
      <c r="A24">
        <f t="shared" si="8"/>
        <v>11</v>
      </c>
      <c r="C24" s="66">
        <v>18132331413</v>
      </c>
      <c r="D24" s="67" t="s">
        <v>349</v>
      </c>
      <c r="E24" s="66">
        <v>596200</v>
      </c>
      <c r="F24" s="68">
        <v>0.8167123287671233</v>
      </c>
      <c r="G24" s="69">
        <v>45112</v>
      </c>
      <c r="H24" s="79">
        <v>730000</v>
      </c>
      <c r="I24" s="71">
        <f t="shared" si="0"/>
        <v>133800</v>
      </c>
      <c r="J24" s="72">
        <f t="shared" si="1"/>
        <v>17902440000</v>
      </c>
      <c r="K24" s="71">
        <f t="shared" si="2"/>
        <v>346714.77227722772</v>
      </c>
      <c r="L24" s="71">
        <f t="shared" si="3"/>
        <v>383285.22772277228</v>
      </c>
      <c r="M24" s="72">
        <f t="shared" si="4"/>
        <v>146907565790.49741</v>
      </c>
      <c r="N24" s="73">
        <f t="shared" si="5"/>
        <v>0.17857852995863843</v>
      </c>
      <c r="O24" s="74">
        <f t="shared" si="6"/>
        <v>0.18679472404317987</v>
      </c>
      <c r="P24" s="74">
        <f t="shared" si="7"/>
        <v>3.4892268930367717E-2</v>
      </c>
    </row>
    <row r="25" spans="1:16" x14ac:dyDescent="0.3">
      <c r="A25">
        <f t="shared" si="8"/>
        <v>12</v>
      </c>
      <c r="C25" s="75">
        <v>18132331432</v>
      </c>
      <c r="D25" s="67" t="s">
        <v>349</v>
      </c>
      <c r="E25" s="75">
        <v>352400</v>
      </c>
      <c r="F25" s="76">
        <v>0.8195348837209302</v>
      </c>
      <c r="G25" s="69">
        <v>45022</v>
      </c>
      <c r="H25" s="79">
        <v>430000</v>
      </c>
      <c r="I25" s="71">
        <f t="shared" si="0"/>
        <v>77600</v>
      </c>
      <c r="J25" s="72">
        <f t="shared" si="1"/>
        <v>6021760000</v>
      </c>
      <c r="K25" s="71">
        <f t="shared" si="2"/>
        <v>346714.77227722772</v>
      </c>
      <c r="L25" s="71">
        <f t="shared" si="3"/>
        <v>83285.227722772281</v>
      </c>
      <c r="M25" s="72">
        <f t="shared" si="4"/>
        <v>6936429156.8340368</v>
      </c>
      <c r="N25" s="73">
        <f t="shared" si="5"/>
        <v>0.17575597500483153</v>
      </c>
      <c r="O25" s="74">
        <f t="shared" si="6"/>
        <v>0.18397216908937297</v>
      </c>
      <c r="P25" s="74">
        <f t="shared" si="7"/>
        <v>3.384575899944884E-2</v>
      </c>
    </row>
    <row r="26" spans="1:16" x14ac:dyDescent="0.3">
      <c r="A26">
        <f t="shared" si="8"/>
        <v>13</v>
      </c>
      <c r="C26" s="66">
        <v>18132333471</v>
      </c>
      <c r="D26" s="67" t="s">
        <v>349</v>
      </c>
      <c r="E26" s="66">
        <v>390800</v>
      </c>
      <c r="F26" s="68">
        <v>0.82273684210526321</v>
      </c>
      <c r="G26" s="69">
        <v>45107</v>
      </c>
      <c r="H26" s="79">
        <v>475000</v>
      </c>
      <c r="I26" s="71">
        <f t="shared" si="0"/>
        <v>84200</v>
      </c>
      <c r="J26" s="72">
        <f t="shared" si="1"/>
        <v>7089640000</v>
      </c>
      <c r="K26" s="71">
        <f t="shared" si="2"/>
        <v>346714.77227722772</v>
      </c>
      <c r="L26" s="71">
        <f t="shared" si="3"/>
        <v>128285.22772277228</v>
      </c>
      <c r="M26" s="72">
        <f t="shared" si="4"/>
        <v>16457099651.883541</v>
      </c>
      <c r="N26" s="73">
        <f t="shared" si="5"/>
        <v>0.17255401662049852</v>
      </c>
      <c r="O26" s="74">
        <f t="shared" si="6"/>
        <v>0.18077021070503996</v>
      </c>
      <c r="P26" s="74">
        <f t="shared" si="7"/>
        <v>3.2677869078344544E-2</v>
      </c>
    </row>
    <row r="27" spans="1:16" x14ac:dyDescent="0.3">
      <c r="A27">
        <f t="shared" si="8"/>
        <v>14</v>
      </c>
      <c r="C27" s="75">
        <v>18132331411</v>
      </c>
      <c r="D27" s="67" t="s">
        <v>349</v>
      </c>
      <c r="E27" s="75">
        <v>487400</v>
      </c>
      <c r="F27" s="76">
        <v>0.82624173588743854</v>
      </c>
      <c r="G27" s="77">
        <v>45027</v>
      </c>
      <c r="H27" s="78">
        <v>589900</v>
      </c>
      <c r="I27" s="71">
        <f t="shared" si="0"/>
        <v>102500</v>
      </c>
      <c r="J27" s="72">
        <f t="shared" si="1"/>
        <v>10506250000</v>
      </c>
      <c r="K27" s="71">
        <f t="shared" si="2"/>
        <v>346714.77227722772</v>
      </c>
      <c r="L27" s="71">
        <f t="shared" si="3"/>
        <v>243185.22772277228</v>
      </c>
      <c r="M27" s="72">
        <f t="shared" si="4"/>
        <v>59139054982.576614</v>
      </c>
      <c r="N27" s="73">
        <f t="shared" si="5"/>
        <v>0.16904912283832318</v>
      </c>
      <c r="O27" s="74">
        <f t="shared" si="6"/>
        <v>0.17726531692286462</v>
      </c>
      <c r="P27" s="74">
        <f t="shared" si="7"/>
        <v>3.1422992583763638E-2</v>
      </c>
    </row>
    <row r="28" spans="1:16" x14ac:dyDescent="0.3">
      <c r="A28">
        <f t="shared" si="8"/>
        <v>15</v>
      </c>
      <c r="C28" s="66">
        <v>18132334003</v>
      </c>
      <c r="D28" s="67" t="s">
        <v>349</v>
      </c>
      <c r="E28" s="66">
        <v>406700</v>
      </c>
      <c r="F28" s="68">
        <v>0.83</v>
      </c>
      <c r="G28" s="69">
        <v>44414</v>
      </c>
      <c r="H28" s="79">
        <v>490000</v>
      </c>
      <c r="I28" s="71">
        <f t="shared" si="0"/>
        <v>83300</v>
      </c>
      <c r="J28" s="72">
        <f t="shared" si="1"/>
        <v>6938890000</v>
      </c>
      <c r="K28" s="71">
        <f t="shared" si="2"/>
        <v>346714.77227722772</v>
      </c>
      <c r="L28" s="71">
        <f t="shared" si="3"/>
        <v>143285.22772277228</v>
      </c>
      <c r="M28" s="72">
        <f t="shared" si="4"/>
        <v>20530656483.566711</v>
      </c>
      <c r="N28" s="73">
        <f t="shared" si="5"/>
        <v>0.16529085872576177</v>
      </c>
      <c r="O28" s="74">
        <f t="shared" si="6"/>
        <v>0.17350705281030321</v>
      </c>
      <c r="P28" s="74">
        <f t="shared" si="7"/>
        <v>3.0104697374917347E-2</v>
      </c>
    </row>
    <row r="29" spans="1:16" x14ac:dyDescent="0.3">
      <c r="A29">
        <f t="shared" si="8"/>
        <v>16</v>
      </c>
      <c r="C29" s="75">
        <v>18132241460</v>
      </c>
      <c r="D29" s="67" t="s">
        <v>349</v>
      </c>
      <c r="E29" s="75">
        <v>348000</v>
      </c>
      <c r="F29" s="76">
        <v>0.82857142857142863</v>
      </c>
      <c r="G29" s="69">
        <v>44700</v>
      </c>
      <c r="H29" s="79">
        <v>420000</v>
      </c>
      <c r="I29" s="71">
        <f t="shared" si="0"/>
        <v>72000</v>
      </c>
      <c r="J29" s="72">
        <f t="shared" si="1"/>
        <v>5184000000</v>
      </c>
      <c r="K29" s="71">
        <f t="shared" si="2"/>
        <v>346714.77227722772</v>
      </c>
      <c r="L29" s="71">
        <f t="shared" si="3"/>
        <v>73285.227722772281</v>
      </c>
      <c r="M29" s="72">
        <f t="shared" si="4"/>
        <v>5370724602.3785906</v>
      </c>
      <c r="N29" s="73">
        <f t="shared" si="5"/>
        <v>0.1667194301543331</v>
      </c>
      <c r="O29" s="74">
        <f t="shared" si="6"/>
        <v>0.17493562423887454</v>
      </c>
      <c r="P29" s="74">
        <f t="shared" si="7"/>
        <v>3.0602472627844709E-2</v>
      </c>
    </row>
    <row r="30" spans="1:16" x14ac:dyDescent="0.3">
      <c r="A30">
        <f t="shared" si="8"/>
        <v>17</v>
      </c>
      <c r="C30" s="66">
        <v>18132313431</v>
      </c>
      <c r="D30" s="67" t="s">
        <v>349</v>
      </c>
      <c r="E30" s="66">
        <v>679800</v>
      </c>
      <c r="F30" s="68">
        <v>0.83411042944785274</v>
      </c>
      <c r="G30" s="69">
        <v>44274</v>
      </c>
      <c r="H30" s="70">
        <v>815000</v>
      </c>
      <c r="I30" s="71">
        <f t="shared" si="0"/>
        <v>135200</v>
      </c>
      <c r="J30" s="72">
        <f t="shared" si="1"/>
        <v>18279040000</v>
      </c>
      <c r="K30" s="71">
        <f t="shared" si="2"/>
        <v>346714.77227722772</v>
      </c>
      <c r="L30" s="71">
        <f t="shared" si="3"/>
        <v>468285.22772277228</v>
      </c>
      <c r="M30" s="72">
        <f t="shared" si="4"/>
        <v>219291054503.36868</v>
      </c>
      <c r="N30" s="73">
        <f t="shared" si="5"/>
        <v>0.16118042927790899</v>
      </c>
      <c r="O30" s="74">
        <f t="shared" si="6"/>
        <v>0.16939662336245043</v>
      </c>
      <c r="P30" s="74">
        <f t="shared" si="7"/>
        <v>2.8695216006599886E-2</v>
      </c>
    </row>
    <row r="31" spans="1:16" x14ac:dyDescent="0.3">
      <c r="A31">
        <f t="shared" si="8"/>
        <v>18</v>
      </c>
      <c r="C31" s="75">
        <v>18132214445</v>
      </c>
      <c r="D31" s="67" t="s">
        <v>349</v>
      </c>
      <c r="E31" s="75">
        <v>278200</v>
      </c>
      <c r="F31" s="76">
        <v>0.83795180722891571</v>
      </c>
      <c r="G31" s="69">
        <v>45135</v>
      </c>
      <c r="H31" s="70">
        <v>332000</v>
      </c>
      <c r="I31" s="71">
        <f t="shared" si="0"/>
        <v>53800</v>
      </c>
      <c r="J31" s="72">
        <f t="shared" si="1"/>
        <v>2894440000</v>
      </c>
      <c r="K31" s="71">
        <f t="shared" si="2"/>
        <v>346714.77227722772</v>
      </c>
      <c r="L31" s="71">
        <f t="shared" si="3"/>
        <v>-14714.772277227719</v>
      </c>
      <c r="M31" s="72">
        <f t="shared" si="4"/>
        <v>216524523.17066944</v>
      </c>
      <c r="N31" s="73">
        <f t="shared" si="5"/>
        <v>0.15733905149684602</v>
      </c>
      <c r="O31" s="74">
        <f t="shared" si="6"/>
        <v>0.16555524558138746</v>
      </c>
      <c r="P31" s="74">
        <f t="shared" si="7"/>
        <v>2.740853933951351E-2</v>
      </c>
    </row>
    <row r="32" spans="1:16" x14ac:dyDescent="0.3">
      <c r="A32">
        <f t="shared" si="8"/>
        <v>19</v>
      </c>
      <c r="C32" s="66">
        <v>18132331411</v>
      </c>
      <c r="D32" s="67" t="s">
        <v>349</v>
      </c>
      <c r="E32" s="66">
        <v>482200</v>
      </c>
      <c r="F32" s="68">
        <v>0.83860869565217389</v>
      </c>
      <c r="G32" s="77">
        <v>44770</v>
      </c>
      <c r="H32" s="78">
        <v>575000</v>
      </c>
      <c r="I32" s="71">
        <f t="shared" si="0"/>
        <v>92800</v>
      </c>
      <c r="J32" s="72">
        <f t="shared" si="1"/>
        <v>8611840000</v>
      </c>
      <c r="K32" s="71">
        <f t="shared" si="2"/>
        <v>346714.77227722772</v>
      </c>
      <c r="L32" s="71">
        <f t="shared" si="3"/>
        <v>228285.22772277228</v>
      </c>
      <c r="M32" s="72">
        <f t="shared" si="4"/>
        <v>52114145196.437996</v>
      </c>
      <c r="N32" s="73">
        <f t="shared" si="5"/>
        <v>0.15668216307358784</v>
      </c>
      <c r="O32" s="74">
        <f t="shared" si="6"/>
        <v>0.16489835715812928</v>
      </c>
      <c r="P32" s="74">
        <f t="shared" si="7"/>
        <v>2.7191468193449968E-2</v>
      </c>
    </row>
    <row r="33" spans="1:16" x14ac:dyDescent="0.3">
      <c r="A33">
        <f t="shared" si="8"/>
        <v>20</v>
      </c>
      <c r="C33" s="75">
        <v>18132342424</v>
      </c>
      <c r="D33" s="67" t="s">
        <v>349</v>
      </c>
      <c r="E33" s="75">
        <v>202900</v>
      </c>
      <c r="F33" s="76">
        <v>0.8384297520661157</v>
      </c>
      <c r="G33" s="77">
        <v>44432</v>
      </c>
      <c r="H33" s="78">
        <v>242000</v>
      </c>
      <c r="I33" s="71">
        <f t="shared" si="0"/>
        <v>39100</v>
      </c>
      <c r="J33" s="72">
        <f t="shared" si="1"/>
        <v>1528810000</v>
      </c>
      <c r="K33" s="71">
        <f t="shared" si="2"/>
        <v>346714.77227722772</v>
      </c>
      <c r="L33" s="71">
        <f t="shared" si="3"/>
        <v>-104714.77227722772</v>
      </c>
      <c r="M33" s="72">
        <f t="shared" si="4"/>
        <v>10965183533.071659</v>
      </c>
      <c r="N33" s="73">
        <f t="shared" si="5"/>
        <v>0.15686110665964603</v>
      </c>
      <c r="O33" s="74">
        <f t="shared" si="6"/>
        <v>0.16507730074418747</v>
      </c>
      <c r="P33" s="74">
        <f t="shared" si="7"/>
        <v>2.7250515220986919E-2</v>
      </c>
    </row>
    <row r="34" spans="1:16" x14ac:dyDescent="0.3">
      <c r="A34">
        <f t="shared" si="8"/>
        <v>21</v>
      </c>
      <c r="C34" s="66">
        <v>18132334004</v>
      </c>
      <c r="D34" s="67" t="s">
        <v>349</v>
      </c>
      <c r="E34" s="66">
        <v>204400</v>
      </c>
      <c r="F34" s="68">
        <v>0.84115226337448556</v>
      </c>
      <c r="G34" s="77">
        <v>44224</v>
      </c>
      <c r="H34" s="78">
        <v>243000</v>
      </c>
      <c r="I34" s="71">
        <f t="shared" si="0"/>
        <v>38600</v>
      </c>
      <c r="J34" s="72">
        <f t="shared" si="1"/>
        <v>1489960000</v>
      </c>
      <c r="K34" s="71">
        <f t="shared" si="2"/>
        <v>346714.77227722772</v>
      </c>
      <c r="L34" s="71">
        <f t="shared" si="3"/>
        <v>-103714.77227722772</v>
      </c>
      <c r="M34" s="72">
        <f t="shared" si="4"/>
        <v>10756753988.517204</v>
      </c>
      <c r="N34" s="73">
        <f t="shared" si="5"/>
        <v>0.15413859535127616</v>
      </c>
      <c r="O34" s="74">
        <f t="shared" si="6"/>
        <v>0.1623547894358176</v>
      </c>
      <c r="P34" s="74">
        <f t="shared" si="7"/>
        <v>2.6359077652748673E-2</v>
      </c>
    </row>
    <row r="35" spans="1:16" x14ac:dyDescent="0.3">
      <c r="A35">
        <f t="shared" si="8"/>
        <v>22</v>
      </c>
      <c r="C35" s="75">
        <v>18132332465</v>
      </c>
      <c r="D35" s="67" t="s">
        <v>349</v>
      </c>
      <c r="E35" s="75">
        <v>289800</v>
      </c>
      <c r="F35" s="76">
        <v>0.84736842105263155</v>
      </c>
      <c r="G35" s="77">
        <v>44306</v>
      </c>
      <c r="H35" s="78">
        <v>342000</v>
      </c>
      <c r="I35" s="71">
        <f t="shared" si="0"/>
        <v>52200</v>
      </c>
      <c r="J35" s="72">
        <f t="shared" si="1"/>
        <v>2724840000</v>
      </c>
      <c r="K35" s="71">
        <f t="shared" si="2"/>
        <v>346714.77227722772</v>
      </c>
      <c r="L35" s="71">
        <f t="shared" si="3"/>
        <v>-4714.7722772277193</v>
      </c>
      <c r="M35" s="72">
        <f t="shared" si="4"/>
        <v>22229077.626115054</v>
      </c>
      <c r="N35" s="73">
        <f t="shared" si="5"/>
        <v>0.14792243767313018</v>
      </c>
      <c r="O35" s="74">
        <f t="shared" si="6"/>
        <v>0.15613863175767162</v>
      </c>
      <c r="P35" s="74">
        <f t="shared" si="7"/>
        <v>2.437927232715778E-2</v>
      </c>
    </row>
    <row r="36" spans="1:16" x14ac:dyDescent="0.3">
      <c r="A36">
        <f t="shared" si="8"/>
        <v>23</v>
      </c>
      <c r="C36" s="66">
        <v>18132334005</v>
      </c>
      <c r="D36" s="67" t="s">
        <v>349</v>
      </c>
      <c r="E36" s="66">
        <v>401400</v>
      </c>
      <c r="F36" s="68">
        <v>0.85628529190283487</v>
      </c>
      <c r="G36" s="77">
        <v>44595</v>
      </c>
      <c r="H36" s="78">
        <v>468769</v>
      </c>
      <c r="I36" s="71">
        <f t="shared" si="0"/>
        <v>67369</v>
      </c>
      <c r="J36" s="72">
        <f t="shared" si="1"/>
        <v>4538582161</v>
      </c>
      <c r="K36" s="71">
        <f t="shared" si="2"/>
        <v>346714.77227722772</v>
      </c>
      <c r="L36" s="71">
        <f t="shared" si="3"/>
        <v>122054.22772277228</v>
      </c>
      <c r="M36" s="72">
        <f t="shared" si="4"/>
        <v>14897234505.002354</v>
      </c>
      <c r="N36" s="73">
        <f t="shared" si="5"/>
        <v>0.13900556682292686</v>
      </c>
      <c r="O36" s="74">
        <f t="shared" si="6"/>
        <v>0.1472217609074683</v>
      </c>
      <c r="P36" s="74">
        <f t="shared" si="7"/>
        <v>2.1674246884695762E-2</v>
      </c>
    </row>
    <row r="37" spans="1:16" x14ac:dyDescent="0.3">
      <c r="A37">
        <f t="shared" si="8"/>
        <v>24</v>
      </c>
      <c r="C37" s="75">
        <v>18132331462</v>
      </c>
      <c r="D37" s="67" t="s">
        <v>349</v>
      </c>
      <c r="E37" s="75">
        <v>273300</v>
      </c>
      <c r="F37" s="76">
        <v>0.85869408120047508</v>
      </c>
      <c r="G37" s="77">
        <v>44377</v>
      </c>
      <c r="H37" s="78">
        <v>318274</v>
      </c>
      <c r="I37" s="71">
        <f t="shared" si="0"/>
        <v>44974</v>
      </c>
      <c r="J37" s="72">
        <f t="shared" si="1"/>
        <v>2022660676</v>
      </c>
      <c r="K37" s="71">
        <f t="shared" si="2"/>
        <v>346714.77227722772</v>
      </c>
      <c r="L37" s="71">
        <f t="shared" si="3"/>
        <v>-28440.772277227719</v>
      </c>
      <c r="M37" s="72">
        <f t="shared" si="4"/>
        <v>808877527.72512484</v>
      </c>
      <c r="N37" s="73">
        <f t="shared" si="5"/>
        <v>0.13659677752528665</v>
      </c>
      <c r="O37" s="74">
        <f t="shared" si="6"/>
        <v>0.14481297160982809</v>
      </c>
      <c r="P37" s="74">
        <f t="shared" si="7"/>
        <v>2.0970796746468876E-2</v>
      </c>
    </row>
    <row r="38" spans="1:16" x14ac:dyDescent="0.3">
      <c r="A38">
        <f t="shared" si="8"/>
        <v>25</v>
      </c>
      <c r="C38" s="66">
        <v>18132322027</v>
      </c>
      <c r="D38" s="67" t="s">
        <v>349</v>
      </c>
      <c r="E38" s="66">
        <v>284000</v>
      </c>
      <c r="F38" s="68">
        <v>0.8606060606060606</v>
      </c>
      <c r="G38" s="77">
        <v>44774</v>
      </c>
      <c r="H38" s="78">
        <v>330000</v>
      </c>
      <c r="I38" s="71">
        <f t="shared" si="0"/>
        <v>46000</v>
      </c>
      <c r="J38" s="72">
        <f t="shared" si="1"/>
        <v>2116000000</v>
      </c>
      <c r="K38" s="71">
        <f t="shared" si="2"/>
        <v>346714.77227722772</v>
      </c>
      <c r="L38" s="71">
        <f t="shared" si="3"/>
        <v>-16714.772277227719</v>
      </c>
      <c r="M38" s="72">
        <f t="shared" si="4"/>
        <v>279383612.2795803</v>
      </c>
      <c r="N38" s="73">
        <f t="shared" si="5"/>
        <v>0.13468479811970113</v>
      </c>
      <c r="O38" s="74">
        <f t="shared" si="6"/>
        <v>0.14290099220424257</v>
      </c>
      <c r="P38" s="74">
        <f t="shared" si="7"/>
        <v>2.0420693572956998E-2</v>
      </c>
    </row>
    <row r="39" spans="1:16" x14ac:dyDescent="0.3">
      <c r="A39">
        <f t="shared" si="8"/>
        <v>26</v>
      </c>
      <c r="C39" s="75">
        <v>18132242456</v>
      </c>
      <c r="D39" s="67" t="s">
        <v>349</v>
      </c>
      <c r="E39" s="75">
        <v>253200</v>
      </c>
      <c r="F39" s="76">
        <v>0.86416382252559731</v>
      </c>
      <c r="G39" s="69">
        <v>44354</v>
      </c>
      <c r="H39" s="79">
        <v>293000</v>
      </c>
      <c r="I39" s="71">
        <f t="shared" si="0"/>
        <v>39800</v>
      </c>
      <c r="J39" s="72">
        <f t="shared" si="1"/>
        <v>1584040000</v>
      </c>
      <c r="K39" s="71">
        <f t="shared" si="2"/>
        <v>346714.77227722772</v>
      </c>
      <c r="L39" s="71">
        <f t="shared" si="3"/>
        <v>-53714.772277227719</v>
      </c>
      <c r="M39" s="72">
        <f t="shared" si="4"/>
        <v>2885276760.7944317</v>
      </c>
      <c r="N39" s="73">
        <f t="shared" si="5"/>
        <v>0.13112703620016442</v>
      </c>
      <c r="O39" s="74">
        <f t="shared" si="6"/>
        <v>0.13934323028470585</v>
      </c>
      <c r="P39" s="74">
        <f t="shared" si="7"/>
        <v>1.9416535826176567E-2</v>
      </c>
    </row>
    <row r="40" spans="1:16" x14ac:dyDescent="0.3">
      <c r="A40">
        <f t="shared" si="8"/>
        <v>27</v>
      </c>
      <c r="C40" s="66">
        <v>18132341006</v>
      </c>
      <c r="D40" s="67" t="s">
        <v>349</v>
      </c>
      <c r="E40" s="66">
        <v>503600</v>
      </c>
      <c r="F40" s="68">
        <v>0.86827586206896556</v>
      </c>
      <c r="G40" s="77">
        <v>44707</v>
      </c>
      <c r="H40" s="78">
        <v>580000</v>
      </c>
      <c r="I40" s="71">
        <f t="shared" si="0"/>
        <v>76400</v>
      </c>
      <c r="J40" s="72">
        <f t="shared" si="1"/>
        <v>5836960000</v>
      </c>
      <c r="K40" s="71">
        <f t="shared" si="2"/>
        <v>346714.77227722772</v>
      </c>
      <c r="L40" s="71">
        <f t="shared" si="3"/>
        <v>233285.22772277228</v>
      </c>
      <c r="M40" s="72">
        <f t="shared" si="4"/>
        <v>54421997473.665718</v>
      </c>
      <c r="N40" s="73">
        <f t="shared" si="5"/>
        <v>0.12701499665679616</v>
      </c>
      <c r="O40" s="74">
        <f t="shared" si="6"/>
        <v>0.1352311907413376</v>
      </c>
      <c r="P40" s="74">
        <f t="shared" si="7"/>
        <v>1.8287474949320034E-2</v>
      </c>
    </row>
    <row r="41" spans="1:16" x14ac:dyDescent="0.3">
      <c r="A41">
        <f t="shared" si="8"/>
        <v>28</v>
      </c>
      <c r="C41" s="75">
        <v>18132323003</v>
      </c>
      <c r="D41" s="67" t="s">
        <v>349</v>
      </c>
      <c r="E41" s="75">
        <v>218300</v>
      </c>
      <c r="F41" s="76">
        <v>0.87354941976790712</v>
      </c>
      <c r="G41" s="69">
        <v>44867</v>
      </c>
      <c r="H41" s="79">
        <v>249900</v>
      </c>
      <c r="I41" s="71">
        <f t="shared" si="0"/>
        <v>31600</v>
      </c>
      <c r="J41" s="72">
        <f t="shared" si="1"/>
        <v>998560000</v>
      </c>
      <c r="K41" s="71">
        <f t="shared" si="2"/>
        <v>346714.77227722772</v>
      </c>
      <c r="L41" s="71">
        <f t="shared" si="3"/>
        <v>-96814.772277227719</v>
      </c>
      <c r="M41" s="72">
        <f t="shared" si="4"/>
        <v>9373100131.0914612</v>
      </c>
      <c r="N41" s="73">
        <f t="shared" si="5"/>
        <v>0.12174143895785461</v>
      </c>
      <c r="O41" s="74">
        <f t="shared" si="6"/>
        <v>0.12995763304239605</v>
      </c>
      <c r="P41" s="74">
        <f t="shared" si="7"/>
        <v>1.6888986385982067E-2</v>
      </c>
    </row>
    <row r="42" spans="1:16" x14ac:dyDescent="0.3">
      <c r="A42">
        <f t="shared" si="8"/>
        <v>29</v>
      </c>
      <c r="C42" s="66">
        <v>18132334460</v>
      </c>
      <c r="D42" s="67" t="s">
        <v>349</v>
      </c>
      <c r="E42" s="66">
        <v>340800</v>
      </c>
      <c r="F42" s="68">
        <v>0.8760925449871465</v>
      </c>
      <c r="G42" s="77">
        <v>44924</v>
      </c>
      <c r="H42" s="78">
        <v>389000</v>
      </c>
      <c r="I42" s="71">
        <f t="shared" si="0"/>
        <v>48200</v>
      </c>
      <c r="J42" s="72">
        <f t="shared" si="1"/>
        <v>2323240000</v>
      </c>
      <c r="K42" s="71">
        <f t="shared" si="2"/>
        <v>346714.77227722772</v>
      </c>
      <c r="L42" s="71">
        <f t="shared" si="3"/>
        <v>42285.227722772281</v>
      </c>
      <c r="M42" s="72">
        <f t="shared" si="4"/>
        <v>1788040483.5667095</v>
      </c>
      <c r="N42" s="73">
        <f t="shared" si="5"/>
        <v>0.11919831373861522</v>
      </c>
      <c r="O42" s="74">
        <f t="shared" si="6"/>
        <v>0.12741450782315666</v>
      </c>
      <c r="P42" s="74">
        <f t="shared" si="7"/>
        <v>1.623445680381725E-2</v>
      </c>
    </row>
    <row r="43" spans="1:16" x14ac:dyDescent="0.3">
      <c r="A43">
        <f t="shared" si="8"/>
        <v>30</v>
      </c>
      <c r="C43" s="75">
        <v>18132331469</v>
      </c>
      <c r="D43" s="67" t="s">
        <v>349</v>
      </c>
      <c r="E43" s="75">
        <v>320200</v>
      </c>
      <c r="F43" s="76">
        <v>0.87726027397260276</v>
      </c>
      <c r="G43" s="77">
        <v>45034</v>
      </c>
      <c r="H43" s="78">
        <v>365000</v>
      </c>
      <c r="I43" s="71">
        <f t="shared" si="0"/>
        <v>44800</v>
      </c>
      <c r="J43" s="72">
        <f t="shared" si="1"/>
        <v>2007040000</v>
      </c>
      <c r="K43" s="71">
        <f t="shared" si="2"/>
        <v>346714.77227722772</v>
      </c>
      <c r="L43" s="71">
        <f t="shared" si="3"/>
        <v>18285.227722772281</v>
      </c>
      <c r="M43" s="72">
        <f t="shared" si="4"/>
        <v>334349552.87363994</v>
      </c>
      <c r="N43" s="73">
        <f t="shared" si="5"/>
        <v>0.11803058475315897</v>
      </c>
      <c r="O43" s="74">
        <f t="shared" si="6"/>
        <v>0.12624677883770041</v>
      </c>
      <c r="P43" s="74">
        <f t="shared" si="7"/>
        <v>1.5938249166895242E-2</v>
      </c>
    </row>
    <row r="44" spans="1:16" x14ac:dyDescent="0.3">
      <c r="A44">
        <f t="shared" si="8"/>
        <v>31</v>
      </c>
      <c r="C44" s="66">
        <v>18132323448</v>
      </c>
      <c r="D44" s="67" t="s">
        <v>349</v>
      </c>
      <c r="E44" s="66">
        <v>320200</v>
      </c>
      <c r="F44" s="68">
        <v>0.87726027397260276</v>
      </c>
      <c r="G44" s="77">
        <v>44798</v>
      </c>
      <c r="H44" s="78">
        <v>365000</v>
      </c>
      <c r="I44" s="71">
        <f t="shared" si="0"/>
        <v>44800</v>
      </c>
      <c r="J44" s="72">
        <f t="shared" si="1"/>
        <v>2007040000</v>
      </c>
      <c r="K44" s="71">
        <f t="shared" si="2"/>
        <v>346714.77227722772</v>
      </c>
      <c r="L44" s="71">
        <f t="shared" si="3"/>
        <v>18285.227722772281</v>
      </c>
      <c r="M44" s="72">
        <f t="shared" si="4"/>
        <v>334349552.87363994</v>
      </c>
      <c r="N44" s="73">
        <f t="shared" si="5"/>
        <v>0.11803058475315897</v>
      </c>
      <c r="O44" s="74">
        <f t="shared" si="6"/>
        <v>0.12624677883770041</v>
      </c>
      <c r="P44" s="74">
        <f t="shared" si="7"/>
        <v>1.5938249166895242E-2</v>
      </c>
    </row>
    <row r="45" spans="1:16" x14ac:dyDescent="0.3">
      <c r="A45">
        <f t="shared" si="8"/>
        <v>32</v>
      </c>
      <c r="C45" s="75">
        <v>18132241003</v>
      </c>
      <c r="D45" s="67" t="s">
        <v>349</v>
      </c>
      <c r="E45" s="75">
        <v>364700</v>
      </c>
      <c r="F45" s="76">
        <v>0.87879518072289153</v>
      </c>
      <c r="G45" s="69">
        <v>45015</v>
      </c>
      <c r="H45" s="79">
        <v>415000</v>
      </c>
      <c r="I45" s="71">
        <f t="shared" si="0"/>
        <v>50300</v>
      </c>
      <c r="J45" s="72">
        <f t="shared" si="1"/>
        <v>2530090000</v>
      </c>
      <c r="K45" s="71">
        <f t="shared" si="2"/>
        <v>346714.77227722772</v>
      </c>
      <c r="L45" s="71">
        <f t="shared" si="3"/>
        <v>68285.227722772281</v>
      </c>
      <c r="M45" s="72">
        <f t="shared" si="4"/>
        <v>4662872325.1508684</v>
      </c>
      <c r="N45" s="73">
        <f t="shared" si="5"/>
        <v>0.1164956780028702</v>
      </c>
      <c r="O45" s="74">
        <f t="shared" si="6"/>
        <v>0.12471187208741163</v>
      </c>
      <c r="P45" s="74">
        <f t="shared" si="7"/>
        <v>1.5553051039546921E-2</v>
      </c>
    </row>
    <row r="46" spans="1:16" x14ac:dyDescent="0.3">
      <c r="A46">
        <f t="shared" si="8"/>
        <v>33</v>
      </c>
      <c r="C46" s="66">
        <v>18132241405</v>
      </c>
      <c r="D46" s="67" t="s">
        <v>349</v>
      </c>
      <c r="E46" s="66">
        <v>392300</v>
      </c>
      <c r="F46" s="68">
        <v>0.88157303370786522</v>
      </c>
      <c r="G46" s="69">
        <v>44301</v>
      </c>
      <c r="H46" s="70">
        <v>445000</v>
      </c>
      <c r="I46" s="71">
        <f t="shared" si="0"/>
        <v>52700</v>
      </c>
      <c r="J46" s="72">
        <f t="shared" si="1"/>
        <v>2777290000</v>
      </c>
      <c r="K46" s="71">
        <f t="shared" si="2"/>
        <v>346714.77227722772</v>
      </c>
      <c r="L46" s="71">
        <f t="shared" si="3"/>
        <v>98285.227722772281</v>
      </c>
      <c r="M46" s="72">
        <f t="shared" si="4"/>
        <v>9659985988.5172043</v>
      </c>
      <c r="N46" s="73">
        <f t="shared" si="5"/>
        <v>0.11371782501789651</v>
      </c>
      <c r="O46" s="74">
        <f t="shared" si="6"/>
        <v>0.12193401910243795</v>
      </c>
      <c r="P46" s="74">
        <f t="shared" si="7"/>
        <v>1.4867905014473702E-2</v>
      </c>
    </row>
    <row r="47" spans="1:16" x14ac:dyDescent="0.3">
      <c r="A47">
        <f t="shared" si="8"/>
        <v>34</v>
      </c>
      <c r="C47" s="75">
        <v>18132323028</v>
      </c>
      <c r="D47" s="67" t="s">
        <v>349</v>
      </c>
      <c r="E47" s="75">
        <v>371400</v>
      </c>
      <c r="F47" s="76">
        <v>0.88428571428571423</v>
      </c>
      <c r="G47" s="69">
        <v>44686</v>
      </c>
      <c r="H47" s="79">
        <v>420000</v>
      </c>
      <c r="I47" s="71">
        <f t="shared" si="0"/>
        <v>48600</v>
      </c>
      <c r="J47" s="72">
        <f t="shared" si="1"/>
        <v>2361960000</v>
      </c>
      <c r="K47" s="71">
        <f t="shared" si="2"/>
        <v>346714.77227722772</v>
      </c>
      <c r="L47" s="71">
        <f t="shared" si="3"/>
        <v>73285.227722772281</v>
      </c>
      <c r="M47" s="72">
        <f t="shared" si="4"/>
        <v>5370724602.3785906</v>
      </c>
      <c r="N47" s="73">
        <f t="shared" si="5"/>
        <v>0.1110051444400475</v>
      </c>
      <c r="O47" s="74">
        <f t="shared" si="6"/>
        <v>0.11922133852458894</v>
      </c>
      <c r="P47" s="74">
        <f t="shared" si="7"/>
        <v>1.4213727559594635E-2</v>
      </c>
    </row>
    <row r="48" spans="1:16" x14ac:dyDescent="0.3">
      <c r="A48">
        <f t="shared" si="8"/>
        <v>35</v>
      </c>
      <c r="C48" s="66">
        <v>18132323541</v>
      </c>
      <c r="D48" s="67" t="s">
        <v>349</v>
      </c>
      <c r="E48" s="66">
        <v>256600</v>
      </c>
      <c r="F48" s="68">
        <v>0.8848275862068965</v>
      </c>
      <c r="G48" s="77">
        <v>44805</v>
      </c>
      <c r="H48" s="78">
        <v>290000</v>
      </c>
      <c r="I48" s="71">
        <f t="shared" si="0"/>
        <v>33400</v>
      </c>
      <c r="J48" s="72">
        <f t="shared" si="1"/>
        <v>1115560000</v>
      </c>
      <c r="K48" s="71">
        <f t="shared" si="2"/>
        <v>346714.77227722772</v>
      </c>
      <c r="L48" s="71">
        <f t="shared" si="3"/>
        <v>-56714.772277227719</v>
      </c>
      <c r="M48" s="72">
        <f t="shared" si="4"/>
        <v>3216565394.457798</v>
      </c>
      <c r="N48" s="73">
        <f t="shared" si="5"/>
        <v>0.11046327251886523</v>
      </c>
      <c r="O48" s="74">
        <f t="shared" si="6"/>
        <v>0.11867946660340667</v>
      </c>
      <c r="P48" s="74">
        <f t="shared" si="7"/>
        <v>1.4084815793269119E-2</v>
      </c>
    </row>
    <row r="49" spans="1:16" x14ac:dyDescent="0.3">
      <c r="A49">
        <f t="shared" si="8"/>
        <v>36</v>
      </c>
      <c r="C49" s="75">
        <v>18132334476</v>
      </c>
      <c r="D49" s="67" t="s">
        <v>349</v>
      </c>
      <c r="E49" s="75">
        <v>336500</v>
      </c>
      <c r="F49" s="76">
        <v>0.88552631578947372</v>
      </c>
      <c r="G49" s="69">
        <v>44529</v>
      </c>
      <c r="H49" s="79">
        <v>380000</v>
      </c>
      <c r="I49" s="71">
        <f t="shared" si="0"/>
        <v>43500</v>
      </c>
      <c r="J49" s="72">
        <f t="shared" si="1"/>
        <v>1892250000</v>
      </c>
      <c r="K49" s="71">
        <f t="shared" si="2"/>
        <v>346714.77227722772</v>
      </c>
      <c r="L49" s="71">
        <f t="shared" si="3"/>
        <v>33285.227722772281</v>
      </c>
      <c r="M49" s="72">
        <f t="shared" si="4"/>
        <v>1107906384.5568085</v>
      </c>
      <c r="N49" s="73">
        <f t="shared" si="5"/>
        <v>0.10976454293628801</v>
      </c>
      <c r="O49" s="74">
        <f t="shared" si="6"/>
        <v>0.11798073702082945</v>
      </c>
      <c r="P49" s="74">
        <f t="shared" si="7"/>
        <v>1.3919454307978116E-2</v>
      </c>
    </row>
    <row r="50" spans="1:16" x14ac:dyDescent="0.3">
      <c r="A50">
        <f t="shared" si="8"/>
        <v>37</v>
      </c>
      <c r="C50" s="66">
        <v>18132342494</v>
      </c>
      <c r="D50" s="67" t="s">
        <v>349</v>
      </c>
      <c r="E50" s="66">
        <v>372200</v>
      </c>
      <c r="F50" s="68">
        <v>0.8861904761904762</v>
      </c>
      <c r="G50" s="69">
        <v>44417</v>
      </c>
      <c r="H50" s="79">
        <v>420000</v>
      </c>
      <c r="I50" s="71">
        <f t="shared" si="0"/>
        <v>47800</v>
      </c>
      <c r="J50" s="72">
        <f t="shared" si="1"/>
        <v>2284840000</v>
      </c>
      <c r="K50" s="71">
        <f t="shared" si="2"/>
        <v>346714.77227722772</v>
      </c>
      <c r="L50" s="71">
        <f t="shared" si="3"/>
        <v>73285.227722772281</v>
      </c>
      <c r="M50" s="72">
        <f t="shared" si="4"/>
        <v>5370724602.3785906</v>
      </c>
      <c r="N50" s="73">
        <f t="shared" si="5"/>
        <v>0.10910038253528553</v>
      </c>
      <c r="O50" s="74">
        <f t="shared" si="6"/>
        <v>0.11731657661982697</v>
      </c>
      <c r="P50" s="74">
        <f t="shared" si="7"/>
        <v>1.3763179149795733E-2</v>
      </c>
    </row>
    <row r="51" spans="1:16" x14ac:dyDescent="0.3">
      <c r="A51">
        <f t="shared" si="8"/>
        <v>38</v>
      </c>
      <c r="C51" s="75">
        <v>18132212423</v>
      </c>
      <c r="D51" s="67" t="s">
        <v>349</v>
      </c>
      <c r="E51" s="75">
        <v>476000</v>
      </c>
      <c r="F51" s="76">
        <v>0.88971962616822431</v>
      </c>
      <c r="G51" s="77">
        <v>44624</v>
      </c>
      <c r="H51" s="78">
        <v>535000</v>
      </c>
      <c r="I51" s="71">
        <f t="shared" si="0"/>
        <v>59000</v>
      </c>
      <c r="J51" s="72">
        <f t="shared" si="1"/>
        <v>3481000000</v>
      </c>
      <c r="K51" s="71">
        <f t="shared" si="2"/>
        <v>346714.77227722772</v>
      </c>
      <c r="L51" s="71">
        <f t="shared" si="3"/>
        <v>188285.22772277228</v>
      </c>
      <c r="M51" s="72">
        <f t="shared" si="4"/>
        <v>35451326978.616219</v>
      </c>
      <c r="N51" s="73">
        <f t="shared" si="5"/>
        <v>0.10557123255753742</v>
      </c>
      <c r="O51" s="74">
        <f t="shared" si="6"/>
        <v>0.11378742664207886</v>
      </c>
      <c r="P51" s="74">
        <f t="shared" si="7"/>
        <v>1.2947578461826478E-2</v>
      </c>
    </row>
    <row r="52" spans="1:16" x14ac:dyDescent="0.3">
      <c r="A52">
        <f t="shared" si="8"/>
        <v>39</v>
      </c>
      <c r="C52" s="66">
        <v>18132211438</v>
      </c>
      <c r="D52" s="67" t="s">
        <v>349</v>
      </c>
      <c r="E52" s="66">
        <v>345400</v>
      </c>
      <c r="F52" s="68">
        <v>0.88564102564102565</v>
      </c>
      <c r="G52" s="69">
        <v>45055</v>
      </c>
      <c r="H52" s="70">
        <v>390000</v>
      </c>
      <c r="I52" s="71">
        <f t="shared" si="0"/>
        <v>44600</v>
      </c>
      <c r="J52" s="72">
        <f t="shared" si="1"/>
        <v>1989160000</v>
      </c>
      <c r="K52" s="71">
        <f t="shared" si="2"/>
        <v>346714.77227722772</v>
      </c>
      <c r="L52" s="71">
        <f t="shared" si="3"/>
        <v>43285.227722772281</v>
      </c>
      <c r="M52" s="72">
        <f t="shared" si="4"/>
        <v>1873610939.012254</v>
      </c>
      <c r="N52" s="73">
        <f t="shared" si="5"/>
        <v>0.10964983308473608</v>
      </c>
      <c r="O52" s="74">
        <f t="shared" si="6"/>
        <v>0.11786602716927752</v>
      </c>
      <c r="P52" s="74">
        <f t="shared" si="7"/>
        <v>1.3892400360668867E-2</v>
      </c>
    </row>
    <row r="53" spans="1:16" x14ac:dyDescent="0.3">
      <c r="A53">
        <f t="shared" si="8"/>
        <v>40</v>
      </c>
      <c r="C53" s="75">
        <v>18132334520</v>
      </c>
      <c r="D53" s="67" t="s">
        <v>349</v>
      </c>
      <c r="E53" s="75">
        <v>316600</v>
      </c>
      <c r="F53" s="76">
        <v>0.89183098591549292</v>
      </c>
      <c r="G53" s="77">
        <v>44405</v>
      </c>
      <c r="H53" s="78">
        <v>355000</v>
      </c>
      <c r="I53" s="71">
        <f t="shared" si="0"/>
        <v>38400</v>
      </c>
      <c r="J53" s="72">
        <f t="shared" si="1"/>
        <v>1474560000</v>
      </c>
      <c r="K53" s="71">
        <f t="shared" si="2"/>
        <v>346714.77227722772</v>
      </c>
      <c r="L53" s="71">
        <f t="shared" si="3"/>
        <v>8285.2277227722807</v>
      </c>
      <c r="M53" s="72">
        <f t="shared" si="4"/>
        <v>68644998.418194354</v>
      </c>
      <c r="N53" s="73">
        <f t="shared" si="5"/>
        <v>0.1034598728102688</v>
      </c>
      <c r="O53" s="74">
        <f t="shared" si="6"/>
        <v>0.11167606689481024</v>
      </c>
      <c r="P53" s="74">
        <f t="shared" si="7"/>
        <v>1.2471543917094133E-2</v>
      </c>
    </row>
    <row r="54" spans="1:16" x14ac:dyDescent="0.3">
      <c r="A54">
        <f t="shared" si="8"/>
        <v>41</v>
      </c>
      <c r="C54" s="66">
        <v>18132334415</v>
      </c>
      <c r="D54" s="67" t="s">
        <v>349</v>
      </c>
      <c r="E54" s="66">
        <v>359000</v>
      </c>
      <c r="F54" s="68">
        <v>0.89481555333998009</v>
      </c>
      <c r="G54" s="69">
        <v>44438</v>
      </c>
      <c r="H54" s="70">
        <v>401200</v>
      </c>
      <c r="I54" s="71">
        <f t="shared" si="0"/>
        <v>42200</v>
      </c>
      <c r="J54" s="72">
        <f t="shared" si="1"/>
        <v>1780840000</v>
      </c>
      <c r="K54" s="71">
        <f t="shared" si="2"/>
        <v>346714.77227722772</v>
      </c>
      <c r="L54" s="71">
        <f t="shared" si="3"/>
        <v>54485.227722772281</v>
      </c>
      <c r="M54" s="72">
        <f t="shared" si="4"/>
        <v>2968640040.0023532</v>
      </c>
      <c r="N54" s="73">
        <f t="shared" si="5"/>
        <v>0.10047530538578164</v>
      </c>
      <c r="O54" s="74">
        <f t="shared" si="6"/>
        <v>0.10869149947032308</v>
      </c>
      <c r="P54" s="74">
        <f t="shared" si="7"/>
        <v>1.1813842057107242E-2</v>
      </c>
    </row>
    <row r="55" spans="1:16" x14ac:dyDescent="0.3">
      <c r="A55">
        <f t="shared" si="8"/>
        <v>42</v>
      </c>
      <c r="C55" s="75">
        <v>18132323529</v>
      </c>
      <c r="D55" s="67" t="s">
        <v>349</v>
      </c>
      <c r="E55" s="75">
        <v>277000</v>
      </c>
      <c r="F55" s="76">
        <v>0.8935483870967742</v>
      </c>
      <c r="G55" s="77">
        <v>44362</v>
      </c>
      <c r="H55" s="78">
        <v>310000</v>
      </c>
      <c r="I55" s="71">
        <f t="shared" si="0"/>
        <v>33000</v>
      </c>
      <c r="J55" s="72">
        <f t="shared" si="1"/>
        <v>1089000000</v>
      </c>
      <c r="K55" s="71">
        <f t="shared" si="2"/>
        <v>346714.77227722772</v>
      </c>
      <c r="L55" s="71">
        <f t="shared" si="3"/>
        <v>-36714.772277227719</v>
      </c>
      <c r="M55" s="72">
        <f t="shared" si="4"/>
        <v>1347974503.3686891</v>
      </c>
      <c r="N55" s="73">
        <f t="shared" si="5"/>
        <v>0.10174247162898753</v>
      </c>
      <c r="O55" s="74">
        <f t="shared" si="6"/>
        <v>0.10995866571352897</v>
      </c>
      <c r="P55" s="74">
        <f t="shared" si="7"/>
        <v>1.2090908165499611E-2</v>
      </c>
    </row>
    <row r="56" spans="1:16" x14ac:dyDescent="0.3">
      <c r="A56">
        <f t="shared" si="8"/>
        <v>43</v>
      </c>
      <c r="C56" s="66">
        <v>18132331499</v>
      </c>
      <c r="D56" s="67" t="s">
        <v>349</v>
      </c>
      <c r="E56" s="66">
        <v>295800</v>
      </c>
      <c r="F56" s="68">
        <v>0.89663534404364964</v>
      </c>
      <c r="G56" s="69">
        <v>44335</v>
      </c>
      <c r="H56" s="79">
        <v>329900</v>
      </c>
      <c r="I56" s="71">
        <f t="shared" si="0"/>
        <v>34100</v>
      </c>
      <c r="J56" s="72">
        <f t="shared" si="1"/>
        <v>1162810000</v>
      </c>
      <c r="K56" s="71">
        <f t="shared" si="2"/>
        <v>346714.77227722772</v>
      </c>
      <c r="L56" s="71">
        <f t="shared" si="3"/>
        <v>-16814.772277227719</v>
      </c>
      <c r="M56" s="72">
        <f t="shared" si="4"/>
        <v>282736566.73502588</v>
      </c>
      <c r="N56" s="73">
        <f t="shared" si="5"/>
        <v>9.8655514682112089E-2</v>
      </c>
      <c r="O56" s="74">
        <f t="shared" si="6"/>
        <v>0.10687170876665353</v>
      </c>
      <c r="P56" s="74">
        <f t="shared" si="7"/>
        <v>1.1421562134704409E-2</v>
      </c>
    </row>
    <row r="57" spans="1:16" x14ac:dyDescent="0.3">
      <c r="A57">
        <f t="shared" si="8"/>
        <v>44</v>
      </c>
      <c r="C57" s="75">
        <v>18132244456</v>
      </c>
      <c r="D57" s="67" t="s">
        <v>349</v>
      </c>
      <c r="E57" s="75">
        <v>295000</v>
      </c>
      <c r="F57" s="76">
        <v>0.89665653495440734</v>
      </c>
      <c r="G57" s="80">
        <v>44342</v>
      </c>
      <c r="H57">
        <v>329000</v>
      </c>
      <c r="I57" s="71">
        <f t="shared" si="0"/>
        <v>34000</v>
      </c>
      <c r="J57" s="72">
        <f t="shared" si="1"/>
        <v>1156000000</v>
      </c>
      <c r="K57" s="71">
        <f t="shared" si="2"/>
        <v>346714.77227722772</v>
      </c>
      <c r="L57" s="71">
        <f t="shared" si="3"/>
        <v>-17714.772277227719</v>
      </c>
      <c r="M57" s="72">
        <f t="shared" si="4"/>
        <v>313813156.83403575</v>
      </c>
      <c r="N57" s="73">
        <f t="shared" si="5"/>
        <v>9.8634323771354393E-2</v>
      </c>
      <c r="O57" s="74">
        <f t="shared" si="6"/>
        <v>0.10685051785589583</v>
      </c>
      <c r="P57" s="74">
        <f t="shared" si="7"/>
        <v>1.1417033166073114E-2</v>
      </c>
    </row>
    <row r="58" spans="1:16" x14ac:dyDescent="0.3">
      <c r="A58">
        <f t="shared" si="8"/>
        <v>45</v>
      </c>
      <c r="C58" s="66">
        <v>18132322430</v>
      </c>
      <c r="D58" s="67" t="s">
        <v>349</v>
      </c>
      <c r="E58" s="66">
        <v>256400</v>
      </c>
      <c r="F58" s="68">
        <v>0.89964912280701759</v>
      </c>
      <c r="G58" s="81">
        <v>45092</v>
      </c>
      <c r="H58" s="82">
        <v>285000</v>
      </c>
      <c r="I58" s="71">
        <f t="shared" si="0"/>
        <v>28600</v>
      </c>
      <c r="J58" s="72">
        <f t="shared" si="1"/>
        <v>817960000</v>
      </c>
      <c r="K58" s="71">
        <f t="shared" si="2"/>
        <v>346714.77227722772</v>
      </c>
      <c r="L58" s="71">
        <f t="shared" si="3"/>
        <v>-61714.772277227719</v>
      </c>
      <c r="M58" s="72">
        <f t="shared" si="4"/>
        <v>3808713117.2300749</v>
      </c>
      <c r="N58" s="73">
        <f t="shared" si="5"/>
        <v>9.5641735918744142E-2</v>
      </c>
      <c r="O58" s="74">
        <f t="shared" si="6"/>
        <v>0.10385793000328558</v>
      </c>
      <c r="P58" s="74">
        <f t="shared" si="7"/>
        <v>1.0786469624567366E-2</v>
      </c>
    </row>
    <row r="59" spans="1:16" x14ac:dyDescent="0.3">
      <c r="A59">
        <f t="shared" si="8"/>
        <v>46</v>
      </c>
      <c r="C59" s="75">
        <v>18132241032</v>
      </c>
      <c r="D59" s="67" t="s">
        <v>349</v>
      </c>
      <c r="E59" s="75">
        <v>391300</v>
      </c>
      <c r="F59" s="76">
        <v>0.89954022988505744</v>
      </c>
      <c r="G59" s="81">
        <v>45068</v>
      </c>
      <c r="H59" s="82">
        <v>435000</v>
      </c>
      <c r="I59" s="71">
        <f t="shared" si="0"/>
        <v>43700</v>
      </c>
      <c r="J59" s="72">
        <f t="shared" si="1"/>
        <v>1909690000</v>
      </c>
      <c r="K59" s="71">
        <f t="shared" si="2"/>
        <v>346714.77227722772</v>
      </c>
      <c r="L59" s="71">
        <f t="shared" si="3"/>
        <v>88285.227722772281</v>
      </c>
      <c r="M59" s="72">
        <f t="shared" si="4"/>
        <v>7794281434.061759</v>
      </c>
      <c r="N59" s="73">
        <f t="shared" si="5"/>
        <v>9.5750628840704288E-2</v>
      </c>
      <c r="O59" s="74">
        <f t="shared" si="6"/>
        <v>0.10396682292524573</v>
      </c>
      <c r="P59" s="74">
        <f t="shared" si="7"/>
        <v>1.0809100269169401E-2</v>
      </c>
    </row>
    <row r="60" spans="1:16" x14ac:dyDescent="0.3">
      <c r="A60">
        <f t="shared" si="8"/>
        <v>47</v>
      </c>
      <c r="C60" s="66">
        <v>18132242486</v>
      </c>
      <c r="D60" s="67" t="s">
        <v>349</v>
      </c>
      <c r="E60" s="66">
        <v>387300</v>
      </c>
      <c r="F60" s="68">
        <v>0.9006976744186046</v>
      </c>
      <c r="G60" s="80">
        <v>44399</v>
      </c>
      <c r="H60">
        <v>430000</v>
      </c>
      <c r="I60" s="71">
        <f t="shared" si="0"/>
        <v>42700</v>
      </c>
      <c r="J60" s="72">
        <f t="shared" si="1"/>
        <v>1823290000</v>
      </c>
      <c r="K60" s="71">
        <f t="shared" si="2"/>
        <v>346714.77227722772</v>
      </c>
      <c r="L60" s="71">
        <f t="shared" si="3"/>
        <v>83285.227722772281</v>
      </c>
      <c r="M60" s="72">
        <f t="shared" si="4"/>
        <v>6936429156.8340368</v>
      </c>
      <c r="N60" s="73">
        <f t="shared" si="5"/>
        <v>9.459318430715713E-2</v>
      </c>
      <c r="O60" s="74">
        <f t="shared" si="6"/>
        <v>0.10280937839169857</v>
      </c>
      <c r="P60" s="74">
        <f t="shared" si="7"/>
        <v>1.0569768285287457E-2</v>
      </c>
    </row>
    <row r="61" spans="1:16" x14ac:dyDescent="0.3">
      <c r="A61">
        <f t="shared" si="8"/>
        <v>48</v>
      </c>
      <c r="C61" s="75">
        <v>18132342525</v>
      </c>
      <c r="D61" s="83" t="s">
        <v>349</v>
      </c>
      <c r="E61" s="75">
        <v>400500</v>
      </c>
      <c r="F61" s="76">
        <v>0.9</v>
      </c>
      <c r="G61" s="81">
        <v>44211</v>
      </c>
      <c r="H61" s="82">
        <v>445000</v>
      </c>
      <c r="I61" s="71">
        <f t="shared" si="0"/>
        <v>44500</v>
      </c>
      <c r="J61" s="72">
        <f t="shared" si="1"/>
        <v>1980250000</v>
      </c>
      <c r="K61" s="71">
        <f t="shared" si="2"/>
        <v>346714.77227722772</v>
      </c>
      <c r="L61" s="71">
        <f t="shared" si="3"/>
        <v>98285.227722772281</v>
      </c>
      <c r="M61" s="72">
        <f t="shared" si="4"/>
        <v>9659985988.5172043</v>
      </c>
      <c r="N61" s="73">
        <f t="shared" si="5"/>
        <v>9.5290858725761707E-2</v>
      </c>
      <c r="O61" s="74">
        <f t="shared" si="6"/>
        <v>0.10350705281030315</v>
      </c>
      <c r="P61" s="74">
        <f t="shared" si="7"/>
        <v>1.0713709981474884E-2</v>
      </c>
    </row>
    <row r="62" spans="1:16" x14ac:dyDescent="0.3">
      <c r="A62">
        <f t="shared" si="8"/>
        <v>49</v>
      </c>
      <c r="C62" s="66">
        <v>18132331408</v>
      </c>
      <c r="D62" s="67" t="s">
        <v>349</v>
      </c>
      <c r="E62" s="66">
        <v>293000</v>
      </c>
      <c r="F62" s="68">
        <v>0.90153846153846151</v>
      </c>
      <c r="G62" s="80">
        <v>44740</v>
      </c>
      <c r="H62">
        <v>325000</v>
      </c>
      <c r="I62" s="71">
        <f t="shared" si="0"/>
        <v>32000</v>
      </c>
      <c r="J62" s="72">
        <f t="shared" si="1"/>
        <v>1024000000</v>
      </c>
      <c r="K62" s="71">
        <f t="shared" si="2"/>
        <v>346714.77227722772</v>
      </c>
      <c r="L62" s="71">
        <f t="shared" si="3"/>
        <v>-21714.772277227719</v>
      </c>
      <c r="M62" s="72">
        <f t="shared" si="4"/>
        <v>471531335.05185753</v>
      </c>
      <c r="N62" s="73">
        <f t="shared" si="5"/>
        <v>9.3752397187300218E-2</v>
      </c>
      <c r="O62" s="74">
        <f t="shared" si="6"/>
        <v>0.10196859127184166</v>
      </c>
      <c r="P62" s="74">
        <f t="shared" si="7"/>
        <v>1.0397593605963902E-2</v>
      </c>
    </row>
    <row r="63" spans="1:16" x14ac:dyDescent="0.3">
      <c r="A63">
        <f t="shared" si="8"/>
        <v>50</v>
      </c>
      <c r="C63" s="75">
        <v>18132242420</v>
      </c>
      <c r="D63" s="67" t="s">
        <v>349</v>
      </c>
      <c r="E63" s="75">
        <v>323600</v>
      </c>
      <c r="F63" s="76">
        <v>0.90139275766016713</v>
      </c>
      <c r="G63" s="81">
        <v>44922</v>
      </c>
      <c r="H63" s="82">
        <v>359000</v>
      </c>
      <c r="I63" s="71">
        <f t="shared" si="0"/>
        <v>35400</v>
      </c>
      <c r="J63" s="72">
        <f t="shared" si="1"/>
        <v>1253160000</v>
      </c>
      <c r="K63" s="71">
        <f t="shared" si="2"/>
        <v>346714.77227722772</v>
      </c>
      <c r="L63" s="71">
        <f t="shared" si="3"/>
        <v>12285.227722772281</v>
      </c>
      <c r="M63" s="72">
        <f t="shared" si="4"/>
        <v>150926820.20037261</v>
      </c>
      <c r="N63" s="73">
        <f t="shared" si="5"/>
        <v>9.3898101065594597E-2</v>
      </c>
      <c r="O63" s="74">
        <f t="shared" si="6"/>
        <v>0.10211429515013604</v>
      </c>
      <c r="P63" s="74">
        <f t="shared" si="7"/>
        <v>1.0427329274009096E-2</v>
      </c>
    </row>
    <row r="64" spans="1:16" x14ac:dyDescent="0.3">
      <c r="A64">
        <f t="shared" si="8"/>
        <v>51</v>
      </c>
      <c r="C64" s="66">
        <v>18132323024</v>
      </c>
      <c r="D64" s="67" t="s">
        <v>349</v>
      </c>
      <c r="E64" s="66">
        <v>270700</v>
      </c>
      <c r="F64" s="68">
        <v>0.89933554817275752</v>
      </c>
      <c r="G64" s="81">
        <v>44657</v>
      </c>
      <c r="H64" s="82">
        <v>301000</v>
      </c>
      <c r="I64" s="71">
        <f t="shared" si="0"/>
        <v>30300</v>
      </c>
      <c r="J64" s="72">
        <f t="shared" si="1"/>
        <v>918090000</v>
      </c>
      <c r="K64" s="71">
        <f t="shared" si="2"/>
        <v>346714.77227722772</v>
      </c>
      <c r="L64" s="71">
        <f t="shared" si="3"/>
        <v>-45714.772277227719</v>
      </c>
      <c r="M64" s="72">
        <f t="shared" si="4"/>
        <v>2089840404.358788</v>
      </c>
      <c r="N64" s="73">
        <f t="shared" si="5"/>
        <v>9.5955310553004214E-2</v>
      </c>
      <c r="O64" s="74">
        <f t="shared" si="6"/>
        <v>0.10417150463754565</v>
      </c>
      <c r="P64" s="74">
        <f t="shared" si="7"/>
        <v>1.0851702378450196E-2</v>
      </c>
    </row>
    <row r="65" spans="1:16" x14ac:dyDescent="0.3">
      <c r="A65">
        <f t="shared" si="8"/>
        <v>52</v>
      </c>
      <c r="C65" s="75">
        <v>18132211410</v>
      </c>
      <c r="D65" s="67" t="s">
        <v>349</v>
      </c>
      <c r="E65" s="75">
        <v>359100</v>
      </c>
      <c r="F65" s="76">
        <v>0.90339622641509432</v>
      </c>
      <c r="G65" s="81">
        <v>44427</v>
      </c>
      <c r="H65" s="82">
        <v>397500</v>
      </c>
      <c r="I65" s="71">
        <f t="shared" si="0"/>
        <v>38400</v>
      </c>
      <c r="J65" s="72">
        <f t="shared" si="1"/>
        <v>1474560000</v>
      </c>
      <c r="K65" s="71">
        <f t="shared" si="2"/>
        <v>346714.77227722772</v>
      </c>
      <c r="L65" s="71">
        <f t="shared" si="3"/>
        <v>50785.227722772281</v>
      </c>
      <c r="M65" s="72">
        <f t="shared" si="4"/>
        <v>2579139354.8538384</v>
      </c>
      <c r="N65" s="73">
        <f t="shared" si="5"/>
        <v>9.1894632310667412E-2</v>
      </c>
      <c r="O65" s="74">
        <f t="shared" si="6"/>
        <v>0.10011082639520885</v>
      </c>
      <c r="P65" s="74">
        <f t="shared" si="7"/>
        <v>1.0022177561531646E-2</v>
      </c>
    </row>
    <row r="66" spans="1:16" x14ac:dyDescent="0.3">
      <c r="A66">
        <f t="shared" si="8"/>
        <v>53</v>
      </c>
      <c r="C66" s="66">
        <v>18132214445</v>
      </c>
      <c r="D66" s="67" t="s">
        <v>349</v>
      </c>
      <c r="E66" s="66">
        <v>235400</v>
      </c>
      <c r="F66" s="68">
        <v>0.90538461538461534</v>
      </c>
      <c r="G66" s="81">
        <v>44320</v>
      </c>
      <c r="H66" s="84">
        <v>260000</v>
      </c>
      <c r="I66" s="71">
        <f t="shared" si="0"/>
        <v>24600</v>
      </c>
      <c r="J66" s="72">
        <f t="shared" si="1"/>
        <v>605160000</v>
      </c>
      <c r="K66" s="71">
        <f t="shared" si="2"/>
        <v>346714.77227722772</v>
      </c>
      <c r="L66" s="71">
        <f t="shared" si="3"/>
        <v>-86714.772277227719</v>
      </c>
      <c r="M66" s="72">
        <f t="shared" si="4"/>
        <v>7519451731.0914612</v>
      </c>
      <c r="N66" s="73">
        <f t="shared" si="5"/>
        <v>8.9906243341146386E-2</v>
      </c>
      <c r="O66" s="74">
        <f t="shared" si="6"/>
        <v>9.8122437425687825E-2</v>
      </c>
      <c r="P66" s="74">
        <f t="shared" si="7"/>
        <v>9.6280127263580224E-3</v>
      </c>
    </row>
    <row r="67" spans="1:16" x14ac:dyDescent="0.3">
      <c r="A67">
        <f t="shared" si="8"/>
        <v>54</v>
      </c>
      <c r="C67" s="75">
        <v>18132323520</v>
      </c>
      <c r="D67" s="67" t="s">
        <v>349</v>
      </c>
      <c r="E67" s="75">
        <v>308400</v>
      </c>
      <c r="F67" s="76">
        <v>0.90705882352941181</v>
      </c>
      <c r="G67" s="80">
        <v>44390</v>
      </c>
      <c r="H67">
        <v>340000</v>
      </c>
      <c r="I67" s="71">
        <f t="shared" si="0"/>
        <v>31600</v>
      </c>
      <c r="J67" s="72">
        <f t="shared" si="1"/>
        <v>998560000</v>
      </c>
      <c r="K67" s="71">
        <f t="shared" si="2"/>
        <v>346714.77227722772</v>
      </c>
      <c r="L67" s="71">
        <f t="shared" si="3"/>
        <v>-6714.7722772277193</v>
      </c>
      <c r="M67" s="72">
        <f t="shared" si="4"/>
        <v>45088166.735025935</v>
      </c>
      <c r="N67" s="73">
        <f t="shared" si="5"/>
        <v>8.8232035196349923E-2</v>
      </c>
      <c r="O67" s="74">
        <f t="shared" si="6"/>
        <v>9.6448229280891362E-2</v>
      </c>
      <c r="P67" s="74">
        <f t="shared" si="7"/>
        <v>9.3022609314193892E-3</v>
      </c>
    </row>
    <row r="68" spans="1:16" x14ac:dyDescent="0.3">
      <c r="A68">
        <f t="shared" si="8"/>
        <v>55</v>
      </c>
      <c r="C68" s="66">
        <v>18132323531</v>
      </c>
      <c r="D68" s="67" t="s">
        <v>349</v>
      </c>
      <c r="E68" s="66">
        <v>294700</v>
      </c>
      <c r="F68" s="68">
        <v>0.90676923076923077</v>
      </c>
      <c r="G68" s="81">
        <v>45147</v>
      </c>
      <c r="H68" s="84">
        <v>325000</v>
      </c>
      <c r="I68" s="71">
        <f t="shared" si="0"/>
        <v>30300</v>
      </c>
      <c r="J68" s="72">
        <f t="shared" si="1"/>
        <v>918090000</v>
      </c>
      <c r="K68" s="71">
        <f t="shared" si="2"/>
        <v>346714.77227722772</v>
      </c>
      <c r="L68" s="71">
        <f t="shared" si="3"/>
        <v>-21714.772277227719</v>
      </c>
      <c r="M68" s="72">
        <f t="shared" si="4"/>
        <v>471531335.05185753</v>
      </c>
      <c r="N68" s="73">
        <f t="shared" si="5"/>
        <v>8.8521627956530957E-2</v>
      </c>
      <c r="O68" s="74">
        <f t="shared" si="6"/>
        <v>9.6737822041072397E-2</v>
      </c>
      <c r="P68" s="74">
        <f t="shared" si="7"/>
        <v>9.3582062132501927E-3</v>
      </c>
    </row>
    <row r="69" spans="1:16" x14ac:dyDescent="0.3">
      <c r="A69">
        <f t="shared" si="8"/>
        <v>56</v>
      </c>
      <c r="C69" s="75">
        <v>18132331491</v>
      </c>
      <c r="D69" s="67" t="s">
        <v>349</v>
      </c>
      <c r="E69" s="75">
        <v>574600</v>
      </c>
      <c r="F69" s="76">
        <v>0.90989707046714174</v>
      </c>
      <c r="G69" s="81">
        <v>44749</v>
      </c>
      <c r="H69" s="82">
        <v>631500</v>
      </c>
      <c r="I69" s="71">
        <f t="shared" si="0"/>
        <v>56900</v>
      </c>
      <c r="J69" s="72">
        <f t="shared" si="1"/>
        <v>3237610000</v>
      </c>
      <c r="K69" s="71">
        <f t="shared" si="2"/>
        <v>346714.77227722772</v>
      </c>
      <c r="L69" s="71">
        <f t="shared" si="3"/>
        <v>284785.22772277228</v>
      </c>
      <c r="M69" s="72">
        <f t="shared" si="4"/>
        <v>81102625929.111267</v>
      </c>
      <c r="N69" s="73">
        <f t="shared" si="5"/>
        <v>8.5393788258619985E-2</v>
      </c>
      <c r="O69" s="74">
        <f t="shared" si="6"/>
        <v>9.3609982343161424E-2</v>
      </c>
      <c r="P69" s="74">
        <f t="shared" si="7"/>
        <v>8.7628287942869941E-3</v>
      </c>
    </row>
    <row r="70" spans="1:16" x14ac:dyDescent="0.3">
      <c r="A70">
        <f t="shared" si="8"/>
        <v>57</v>
      </c>
      <c r="C70" s="66">
        <v>18132214026</v>
      </c>
      <c r="D70" s="67" t="s">
        <v>349</v>
      </c>
      <c r="E70" s="66">
        <v>306300</v>
      </c>
      <c r="F70" s="68">
        <v>0.90890207715133531</v>
      </c>
      <c r="G70" s="81">
        <v>44509</v>
      </c>
      <c r="H70" s="82">
        <v>337000</v>
      </c>
      <c r="I70" s="71">
        <f t="shared" si="0"/>
        <v>30700</v>
      </c>
      <c r="J70" s="72">
        <f t="shared" si="1"/>
        <v>942490000</v>
      </c>
      <c r="K70" s="71">
        <f t="shared" si="2"/>
        <v>346714.77227722772</v>
      </c>
      <c r="L70" s="71">
        <f t="shared" si="3"/>
        <v>-9714.7722772277193</v>
      </c>
      <c r="M70" s="72">
        <f t="shared" si="4"/>
        <v>94376800.398392245</v>
      </c>
      <c r="N70" s="73">
        <f t="shared" si="5"/>
        <v>8.6388781574426421E-2</v>
      </c>
      <c r="O70" s="74">
        <f t="shared" si="6"/>
        <v>9.460497565896786E-2</v>
      </c>
      <c r="P70" s="74">
        <f t="shared" si="7"/>
        <v>8.950101419433901E-3</v>
      </c>
    </row>
    <row r="71" spans="1:16" x14ac:dyDescent="0.3">
      <c r="A71">
        <f t="shared" si="8"/>
        <v>58</v>
      </c>
      <c r="C71" s="75">
        <v>18132331452</v>
      </c>
      <c r="D71" s="67" t="s">
        <v>349</v>
      </c>
      <c r="E71" s="75">
        <v>232700</v>
      </c>
      <c r="F71" s="76">
        <v>0.91254901960784318</v>
      </c>
      <c r="G71" s="81">
        <v>44272</v>
      </c>
      <c r="H71" s="82">
        <v>255000</v>
      </c>
      <c r="I71" s="71">
        <f t="shared" si="0"/>
        <v>22300</v>
      </c>
      <c r="J71" s="72">
        <f t="shared" si="1"/>
        <v>497290000</v>
      </c>
      <c r="K71" s="71">
        <f t="shared" si="2"/>
        <v>346714.77227722772</v>
      </c>
      <c r="L71" s="71">
        <f t="shared" si="3"/>
        <v>-91714.772277227719</v>
      </c>
      <c r="M71" s="72">
        <f t="shared" si="4"/>
        <v>8411599453.8637381</v>
      </c>
      <c r="N71" s="73">
        <f t="shared" si="5"/>
        <v>8.2741839117918548E-2</v>
      </c>
      <c r="O71" s="74">
        <f t="shared" si="6"/>
        <v>9.0958033202459987E-2</v>
      </c>
      <c r="P71" s="74">
        <f t="shared" si="7"/>
        <v>8.2733638040598141E-3</v>
      </c>
    </row>
    <row r="72" spans="1:16" x14ac:dyDescent="0.3">
      <c r="A72">
        <f t="shared" si="8"/>
        <v>59</v>
      </c>
      <c r="C72" s="66">
        <v>18132334477</v>
      </c>
      <c r="D72" s="67" t="s">
        <v>349</v>
      </c>
      <c r="E72" s="66">
        <v>319300</v>
      </c>
      <c r="F72" s="68">
        <v>0.91228571428571426</v>
      </c>
      <c r="G72" s="81">
        <v>44385</v>
      </c>
      <c r="H72" s="82">
        <v>350000</v>
      </c>
      <c r="I72" s="71">
        <f t="shared" si="0"/>
        <v>30700</v>
      </c>
      <c r="J72" s="72">
        <f t="shared" si="1"/>
        <v>942490000</v>
      </c>
      <c r="K72" s="71">
        <f t="shared" si="2"/>
        <v>346714.77227722772</v>
      </c>
      <c r="L72" s="71">
        <f t="shared" si="3"/>
        <v>3285.2277227722807</v>
      </c>
      <c r="M72" s="72">
        <f t="shared" si="4"/>
        <v>10792721.190471545</v>
      </c>
      <c r="N72" s="73">
        <f t="shared" si="5"/>
        <v>8.3005144440047474E-2</v>
      </c>
      <c r="O72" s="74">
        <f t="shared" si="6"/>
        <v>9.1221338524588913E-2</v>
      </c>
      <c r="P72" s="74">
        <f t="shared" si="7"/>
        <v>8.3213326022176497E-3</v>
      </c>
    </row>
    <row r="73" spans="1:16" x14ac:dyDescent="0.3">
      <c r="A73">
        <f t="shared" si="8"/>
        <v>60</v>
      </c>
      <c r="C73" s="75">
        <v>18132322445</v>
      </c>
      <c r="D73" s="67" t="s">
        <v>349</v>
      </c>
      <c r="E73" s="75">
        <v>310800</v>
      </c>
      <c r="F73" s="76">
        <v>0.91411764705882348</v>
      </c>
      <c r="G73" s="80">
        <v>44487</v>
      </c>
      <c r="H73">
        <v>340000</v>
      </c>
      <c r="I73" s="71">
        <f t="shared" si="0"/>
        <v>29200</v>
      </c>
      <c r="J73" s="72">
        <f t="shared" si="1"/>
        <v>852640000</v>
      </c>
      <c r="K73" s="71">
        <f t="shared" si="2"/>
        <v>346714.77227722772</v>
      </c>
      <c r="L73" s="71">
        <f t="shared" si="3"/>
        <v>-6714.7722772277193</v>
      </c>
      <c r="M73" s="72">
        <f t="shared" si="4"/>
        <v>45088166.735025935</v>
      </c>
      <c r="N73" s="73">
        <f t="shared" si="5"/>
        <v>8.117321166693825E-2</v>
      </c>
      <c r="O73" s="74">
        <f t="shared" si="6"/>
        <v>8.9389405751479689E-2</v>
      </c>
      <c r="P73" s="74">
        <f t="shared" si="7"/>
        <v>7.9904658606026694E-3</v>
      </c>
    </row>
    <row r="74" spans="1:16" x14ac:dyDescent="0.3">
      <c r="A74">
        <f t="shared" si="8"/>
        <v>61</v>
      </c>
      <c r="C74" s="66">
        <v>18132331514</v>
      </c>
      <c r="D74" s="67" t="s">
        <v>349</v>
      </c>
      <c r="E74" s="66">
        <v>354600</v>
      </c>
      <c r="F74" s="68">
        <v>0.91391752577319585</v>
      </c>
      <c r="G74" s="80">
        <v>44533</v>
      </c>
      <c r="H74">
        <v>388000</v>
      </c>
      <c r="I74" s="71">
        <f t="shared" si="0"/>
        <v>33400</v>
      </c>
      <c r="J74" s="72">
        <f t="shared" si="1"/>
        <v>1115560000</v>
      </c>
      <c r="K74" s="71">
        <f t="shared" si="2"/>
        <v>346714.77227722772</v>
      </c>
      <c r="L74" s="71">
        <f t="shared" si="3"/>
        <v>41285.227722772281</v>
      </c>
      <c r="M74" s="72">
        <f t="shared" si="4"/>
        <v>1704470028.1211648</v>
      </c>
      <c r="N74" s="73">
        <f t="shared" si="5"/>
        <v>8.137333295256588E-2</v>
      </c>
      <c r="O74" s="74">
        <f t="shared" si="6"/>
        <v>8.9589527037107319E-2</v>
      </c>
      <c r="P74" s="74">
        <f t="shared" si="7"/>
        <v>8.026283354732584E-3</v>
      </c>
    </row>
    <row r="75" spans="1:16" x14ac:dyDescent="0.3">
      <c r="A75">
        <f t="shared" si="8"/>
        <v>62</v>
      </c>
      <c r="C75" s="75">
        <v>18132323525</v>
      </c>
      <c r="D75" s="67" t="s">
        <v>349</v>
      </c>
      <c r="E75" s="75">
        <v>298200</v>
      </c>
      <c r="F75" s="76">
        <v>0.91753846153846153</v>
      </c>
      <c r="G75" s="81">
        <v>45163</v>
      </c>
      <c r="H75" s="84">
        <v>325000</v>
      </c>
      <c r="I75" s="71">
        <f t="shared" si="0"/>
        <v>26800</v>
      </c>
      <c r="J75" s="72">
        <f t="shared" si="1"/>
        <v>718240000</v>
      </c>
      <c r="K75" s="71">
        <f t="shared" si="2"/>
        <v>346714.77227722772</v>
      </c>
      <c r="L75" s="71">
        <f t="shared" si="3"/>
        <v>-21714.772277227719</v>
      </c>
      <c r="M75" s="72">
        <f t="shared" si="4"/>
        <v>471531335.05185753</v>
      </c>
      <c r="N75" s="73">
        <f t="shared" si="5"/>
        <v>7.7752397187300204E-2</v>
      </c>
      <c r="O75" s="74">
        <f t="shared" si="6"/>
        <v>8.5968591271841643E-2</v>
      </c>
      <c r="P75" s="74">
        <f t="shared" si="7"/>
        <v>7.3905986852649671E-3</v>
      </c>
    </row>
    <row r="76" spans="1:16" x14ac:dyDescent="0.3">
      <c r="A76">
        <f t="shared" si="8"/>
        <v>63</v>
      </c>
      <c r="C76" s="66">
        <v>18131543422</v>
      </c>
      <c r="D76" s="67" t="s">
        <v>349</v>
      </c>
      <c r="E76" s="66">
        <v>250700</v>
      </c>
      <c r="F76" s="68">
        <v>0.91163636363636369</v>
      </c>
      <c r="G76" s="81">
        <v>44438</v>
      </c>
      <c r="H76" s="82">
        <v>275000</v>
      </c>
      <c r="I76" s="71">
        <f t="shared" si="0"/>
        <v>24300</v>
      </c>
      <c r="J76" s="72">
        <f t="shared" si="1"/>
        <v>590490000</v>
      </c>
      <c r="K76" s="71">
        <f t="shared" si="2"/>
        <v>346714.77227722772</v>
      </c>
      <c r="L76" s="71">
        <f t="shared" si="3"/>
        <v>-71714.772277227719</v>
      </c>
      <c r="M76" s="72">
        <f t="shared" si="4"/>
        <v>5143008562.7746296</v>
      </c>
      <c r="N76" s="73">
        <f t="shared" si="5"/>
        <v>8.365449508939804E-2</v>
      </c>
      <c r="O76" s="74">
        <f t="shared" si="6"/>
        <v>9.1870689173939479E-2</v>
      </c>
      <c r="P76" s="74">
        <f t="shared" si="7"/>
        <v>8.4402235292946014E-3</v>
      </c>
    </row>
    <row r="77" spans="1:16" x14ac:dyDescent="0.3">
      <c r="A77">
        <f t="shared" si="8"/>
        <v>64</v>
      </c>
      <c r="C77" s="75">
        <v>18132331040</v>
      </c>
      <c r="D77" s="67" t="s">
        <v>349</v>
      </c>
      <c r="E77" s="75">
        <v>361800</v>
      </c>
      <c r="F77" s="76">
        <v>0.91711026615969582</v>
      </c>
      <c r="G77" s="81">
        <v>44547</v>
      </c>
      <c r="H77" s="84">
        <v>394500</v>
      </c>
      <c r="I77" s="71">
        <f t="shared" si="0"/>
        <v>32700</v>
      </c>
      <c r="J77" s="72">
        <f t="shared" si="1"/>
        <v>1069290000</v>
      </c>
      <c r="K77" s="71">
        <f t="shared" si="2"/>
        <v>346714.77227722772</v>
      </c>
      <c r="L77" s="71">
        <f t="shared" si="3"/>
        <v>47785.227722772281</v>
      </c>
      <c r="M77" s="72">
        <f t="shared" si="4"/>
        <v>2283427988.5172048</v>
      </c>
      <c r="N77" s="73">
        <f t="shared" si="5"/>
        <v>7.818059256606591E-2</v>
      </c>
      <c r="O77" s="74">
        <f t="shared" si="6"/>
        <v>8.6396786650607349E-2</v>
      </c>
      <c r="P77" s="74">
        <f t="shared" si="7"/>
        <v>7.464404743550564E-3</v>
      </c>
    </row>
    <row r="78" spans="1:16" x14ac:dyDescent="0.3">
      <c r="A78">
        <f t="shared" si="8"/>
        <v>65</v>
      </c>
      <c r="C78" s="66">
        <v>18132323015</v>
      </c>
      <c r="D78" s="67" t="s">
        <v>349</v>
      </c>
      <c r="E78" s="66">
        <v>270600</v>
      </c>
      <c r="F78" s="68">
        <v>0.91728813559322031</v>
      </c>
      <c r="G78" s="81">
        <v>44799</v>
      </c>
      <c r="H78" s="82">
        <v>295000</v>
      </c>
      <c r="I78" s="71">
        <f t="shared" ref="I78:I141" si="9">+H78-E78</f>
        <v>24400</v>
      </c>
      <c r="J78" s="72">
        <f t="shared" ref="J78:J141" si="10">+I78^2</f>
        <v>595360000</v>
      </c>
      <c r="K78" s="71">
        <f t="shared" ref="K78:K141" si="11">AVERAGE($H$14:$H$1582)</f>
        <v>346714.77227722772</v>
      </c>
      <c r="L78" s="71">
        <f t="shared" ref="L78:L141" si="12">+H78-K78</f>
        <v>-51714.772277227719</v>
      </c>
      <c r="M78" s="72">
        <f t="shared" ref="M78:M141" si="13">+L78^2</f>
        <v>2674417671.6855206</v>
      </c>
      <c r="N78" s="73">
        <f t="shared" ref="N78:N141" si="14">ABS(+$F$2-F78)</f>
        <v>7.8002723132541418E-2</v>
      </c>
      <c r="O78" s="74">
        <f t="shared" ref="O78:O141" si="15">+$F$3-F78</f>
        <v>8.6218917217082858E-2</v>
      </c>
      <c r="P78" s="74">
        <f t="shared" ref="P78:P141" si="16">+O78*O78</f>
        <v>7.433701686086187E-3</v>
      </c>
    </row>
    <row r="79" spans="1:16" x14ac:dyDescent="0.3">
      <c r="A79">
        <f t="shared" ref="A79:A142" si="17">+A78+1</f>
        <v>66</v>
      </c>
      <c r="C79" s="75">
        <v>18132332433</v>
      </c>
      <c r="D79" s="67" t="s">
        <v>349</v>
      </c>
      <c r="E79" s="75">
        <v>297500</v>
      </c>
      <c r="F79" s="76">
        <v>0.91820987654320985</v>
      </c>
      <c r="G79" s="80">
        <v>44602</v>
      </c>
      <c r="H79">
        <v>324000</v>
      </c>
      <c r="I79" s="71">
        <f t="shared" si="9"/>
        <v>26500</v>
      </c>
      <c r="J79" s="72">
        <f t="shared" si="10"/>
        <v>702250000</v>
      </c>
      <c r="K79" s="71">
        <f t="shared" si="11"/>
        <v>346714.77227722772</v>
      </c>
      <c r="L79" s="71">
        <f t="shared" si="12"/>
        <v>-22714.772277227719</v>
      </c>
      <c r="M79" s="72">
        <f t="shared" si="13"/>
        <v>515960879.60631293</v>
      </c>
      <c r="N79" s="73">
        <f t="shared" si="14"/>
        <v>7.7080982182551883E-2</v>
      </c>
      <c r="O79" s="74">
        <f t="shared" si="15"/>
        <v>8.5297176267093322E-2</v>
      </c>
      <c r="P79" s="74">
        <f t="shared" si="16"/>
        <v>7.2756082791395884E-3</v>
      </c>
    </row>
    <row r="80" spans="1:16" x14ac:dyDescent="0.3">
      <c r="A80">
        <f t="shared" si="17"/>
        <v>67</v>
      </c>
      <c r="C80" s="66">
        <v>18132211433</v>
      </c>
      <c r="D80" s="67" t="s">
        <v>349</v>
      </c>
      <c r="E80" s="66">
        <v>309100</v>
      </c>
      <c r="F80" s="68">
        <v>0.90911764705882347</v>
      </c>
      <c r="G80" s="81">
        <v>45191</v>
      </c>
      <c r="H80" s="82">
        <v>340000</v>
      </c>
      <c r="I80" s="71">
        <f t="shared" si="9"/>
        <v>30900</v>
      </c>
      <c r="J80" s="72">
        <f t="shared" si="10"/>
        <v>954810000</v>
      </c>
      <c r="K80" s="71">
        <f t="shared" si="11"/>
        <v>346714.77227722772</v>
      </c>
      <c r="L80" s="71">
        <f t="shared" si="12"/>
        <v>-6714.7722772277193</v>
      </c>
      <c r="M80" s="72">
        <f t="shared" si="13"/>
        <v>45088166.735025935</v>
      </c>
      <c r="N80" s="73">
        <f t="shared" si="14"/>
        <v>8.6173211666938254E-2</v>
      </c>
      <c r="O80" s="74">
        <f t="shared" si="15"/>
        <v>9.4389405751479694E-2</v>
      </c>
      <c r="P80" s="74">
        <f t="shared" si="16"/>
        <v>8.9093599181174678E-3</v>
      </c>
    </row>
    <row r="81" spans="1:16" x14ac:dyDescent="0.3">
      <c r="A81">
        <f t="shared" si="17"/>
        <v>68</v>
      </c>
      <c r="C81" s="75">
        <v>18132243056</v>
      </c>
      <c r="D81" s="67" t="s">
        <v>349</v>
      </c>
      <c r="E81" s="75">
        <v>272100</v>
      </c>
      <c r="F81" s="76">
        <v>0.92237288135593221</v>
      </c>
      <c r="G81" s="80">
        <v>44372</v>
      </c>
      <c r="H81">
        <v>295000</v>
      </c>
      <c r="I81" s="71">
        <f t="shared" si="9"/>
        <v>22900</v>
      </c>
      <c r="J81" s="72">
        <f t="shared" si="10"/>
        <v>524410000</v>
      </c>
      <c r="K81" s="71">
        <f t="shared" si="11"/>
        <v>346714.77227722772</v>
      </c>
      <c r="L81" s="71">
        <f t="shared" si="12"/>
        <v>-51714.772277227719</v>
      </c>
      <c r="M81" s="72">
        <f t="shared" si="13"/>
        <v>2674417671.6855206</v>
      </c>
      <c r="N81" s="73">
        <f t="shared" si="14"/>
        <v>7.2917977369829523E-2</v>
      </c>
      <c r="O81" s="74">
        <f t="shared" si="15"/>
        <v>8.1134171454370962E-2</v>
      </c>
      <c r="P81" s="74">
        <f t="shared" si="16"/>
        <v>6.5827537775872639E-3</v>
      </c>
    </row>
    <row r="82" spans="1:16" x14ac:dyDescent="0.3">
      <c r="A82">
        <f t="shared" si="17"/>
        <v>69</v>
      </c>
      <c r="C82" s="66">
        <v>18132332486</v>
      </c>
      <c r="D82" s="67" t="s">
        <v>349</v>
      </c>
      <c r="E82" s="66">
        <v>313500</v>
      </c>
      <c r="F82" s="68">
        <v>0.92205882352941182</v>
      </c>
      <c r="G82" s="80">
        <v>44442</v>
      </c>
      <c r="H82">
        <v>340000</v>
      </c>
      <c r="I82" s="71">
        <f t="shared" si="9"/>
        <v>26500</v>
      </c>
      <c r="J82" s="72">
        <f t="shared" si="10"/>
        <v>702250000</v>
      </c>
      <c r="K82" s="71">
        <f t="shared" si="11"/>
        <v>346714.77227722772</v>
      </c>
      <c r="L82" s="71">
        <f t="shared" si="12"/>
        <v>-6714.7722772277193</v>
      </c>
      <c r="M82" s="72">
        <f t="shared" si="13"/>
        <v>45088166.735025935</v>
      </c>
      <c r="N82" s="73">
        <f t="shared" si="14"/>
        <v>7.3232035196349909E-2</v>
      </c>
      <c r="O82" s="74">
        <f t="shared" si="15"/>
        <v>8.1448229280891349E-2</v>
      </c>
      <c r="P82" s="74">
        <f t="shared" si="16"/>
        <v>6.6338140529926468E-3</v>
      </c>
    </row>
    <row r="83" spans="1:16" x14ac:dyDescent="0.3">
      <c r="A83">
        <f t="shared" si="17"/>
        <v>70</v>
      </c>
      <c r="C83" s="75">
        <v>18132332434</v>
      </c>
      <c r="D83" s="67" t="s">
        <v>349</v>
      </c>
      <c r="E83" s="75">
        <v>363600</v>
      </c>
      <c r="F83" s="76">
        <v>0.92050632911392405</v>
      </c>
      <c r="G83" s="81">
        <v>44678</v>
      </c>
      <c r="H83" s="82">
        <v>395000</v>
      </c>
      <c r="I83" s="71">
        <f t="shared" si="9"/>
        <v>31400</v>
      </c>
      <c r="J83" s="72">
        <f t="shared" si="10"/>
        <v>985960000</v>
      </c>
      <c r="K83" s="71">
        <f t="shared" si="11"/>
        <v>346714.77227722772</v>
      </c>
      <c r="L83" s="71">
        <f t="shared" si="12"/>
        <v>48285.227722772281</v>
      </c>
      <c r="M83" s="72">
        <f t="shared" si="13"/>
        <v>2331463216.2399769</v>
      </c>
      <c r="N83" s="73">
        <f t="shared" si="14"/>
        <v>7.478452961183768E-2</v>
      </c>
      <c r="O83" s="74">
        <f t="shared" si="15"/>
        <v>8.300072369637912E-2</v>
      </c>
      <c r="P83" s="74">
        <f t="shared" si="16"/>
        <v>6.8891201341226699E-3</v>
      </c>
    </row>
    <row r="84" spans="1:16" x14ac:dyDescent="0.3">
      <c r="A84">
        <f t="shared" si="17"/>
        <v>71</v>
      </c>
      <c r="C84" s="66">
        <v>18132332543</v>
      </c>
      <c r="D84" s="67" t="s">
        <v>349</v>
      </c>
      <c r="E84" s="66">
        <v>376200</v>
      </c>
      <c r="F84" s="68">
        <v>0.92319018404907971</v>
      </c>
      <c r="G84" s="81">
        <v>45070</v>
      </c>
      <c r="H84" s="84">
        <v>407500</v>
      </c>
      <c r="I84" s="71">
        <f t="shared" si="9"/>
        <v>31300</v>
      </c>
      <c r="J84" s="72">
        <f t="shared" si="10"/>
        <v>979690000</v>
      </c>
      <c r="K84" s="71">
        <f t="shared" si="11"/>
        <v>346714.77227722772</v>
      </c>
      <c r="L84" s="71">
        <f t="shared" si="12"/>
        <v>60785.227722772281</v>
      </c>
      <c r="M84" s="72">
        <f t="shared" si="13"/>
        <v>3694843909.3092837</v>
      </c>
      <c r="N84" s="73">
        <f t="shared" si="14"/>
        <v>7.2100674676682019E-2</v>
      </c>
      <c r="O84" s="74">
        <f t="shared" si="15"/>
        <v>8.0316868761223459E-2</v>
      </c>
      <c r="P84" s="74">
        <f t="shared" si="16"/>
        <v>6.4507994076075928E-3</v>
      </c>
    </row>
    <row r="85" spans="1:16" x14ac:dyDescent="0.3">
      <c r="A85">
        <f t="shared" si="17"/>
        <v>72</v>
      </c>
      <c r="C85" s="75">
        <v>18132213452</v>
      </c>
      <c r="D85" s="67" t="s">
        <v>349</v>
      </c>
      <c r="E85" s="75">
        <v>350600</v>
      </c>
      <c r="F85" s="76">
        <v>0.92263157894736847</v>
      </c>
      <c r="G85" s="81">
        <v>45203</v>
      </c>
      <c r="H85" s="84">
        <v>380000</v>
      </c>
      <c r="I85" s="71">
        <f t="shared" si="9"/>
        <v>29400</v>
      </c>
      <c r="J85" s="72">
        <f t="shared" si="10"/>
        <v>864360000</v>
      </c>
      <c r="K85" s="71">
        <f t="shared" si="11"/>
        <v>346714.77227722772</v>
      </c>
      <c r="L85" s="71">
        <f t="shared" si="12"/>
        <v>33285.227722772281</v>
      </c>
      <c r="M85" s="72">
        <f t="shared" si="13"/>
        <v>1107906384.5568085</v>
      </c>
      <c r="N85" s="73">
        <f t="shared" si="14"/>
        <v>7.265927977839326E-2</v>
      </c>
      <c r="O85" s="74">
        <f t="shared" si="15"/>
        <v>8.0875473862934699E-2</v>
      </c>
      <c r="P85" s="74">
        <f t="shared" si="16"/>
        <v>6.5408422725542334E-3</v>
      </c>
    </row>
    <row r="86" spans="1:16" x14ac:dyDescent="0.3">
      <c r="A86">
        <f t="shared" si="17"/>
        <v>73</v>
      </c>
      <c r="C86" s="66">
        <v>18132214402</v>
      </c>
      <c r="D86" s="40" t="s">
        <v>349</v>
      </c>
      <c r="E86" s="66">
        <v>269400</v>
      </c>
      <c r="F86" s="68">
        <v>0.9257731958762887</v>
      </c>
      <c r="G86" s="80">
        <v>44665</v>
      </c>
      <c r="H86">
        <v>291000</v>
      </c>
      <c r="I86" s="71">
        <f t="shared" si="9"/>
        <v>21600</v>
      </c>
      <c r="J86" s="72">
        <f t="shared" si="10"/>
        <v>466560000</v>
      </c>
      <c r="K86" s="71">
        <f t="shared" si="11"/>
        <v>346714.77227722772</v>
      </c>
      <c r="L86" s="71">
        <f t="shared" si="12"/>
        <v>-55714.772277227719</v>
      </c>
      <c r="M86" s="72">
        <f t="shared" si="13"/>
        <v>3104135849.9033422</v>
      </c>
      <c r="N86" s="73">
        <f t="shared" si="14"/>
        <v>6.9517662849473028E-2</v>
      </c>
      <c r="O86" s="74">
        <f t="shared" si="15"/>
        <v>7.7733856934014467E-2</v>
      </c>
      <c r="P86" s="74">
        <f t="shared" si="16"/>
        <v>6.0425525138378287E-3</v>
      </c>
    </row>
    <row r="87" spans="1:16" x14ac:dyDescent="0.3">
      <c r="A87">
        <f t="shared" si="17"/>
        <v>74</v>
      </c>
      <c r="C87" s="75">
        <v>18132323517</v>
      </c>
      <c r="D87" s="40" t="s">
        <v>349</v>
      </c>
      <c r="E87" s="75">
        <v>286900</v>
      </c>
      <c r="F87" s="76">
        <v>0.92548387096774198</v>
      </c>
      <c r="G87" s="80">
        <v>44531</v>
      </c>
      <c r="H87">
        <v>310000</v>
      </c>
      <c r="I87" s="71">
        <f t="shared" si="9"/>
        <v>23100</v>
      </c>
      <c r="J87" s="72">
        <f t="shared" si="10"/>
        <v>533610000</v>
      </c>
      <c r="K87" s="71">
        <f t="shared" si="11"/>
        <v>346714.77227722772</v>
      </c>
      <c r="L87" s="71">
        <f t="shared" si="12"/>
        <v>-36714.772277227719</v>
      </c>
      <c r="M87" s="72">
        <f t="shared" si="13"/>
        <v>1347974503.3686891</v>
      </c>
      <c r="N87" s="73">
        <f t="shared" si="14"/>
        <v>6.9806987758019745E-2</v>
      </c>
      <c r="O87" s="74">
        <f t="shared" si="15"/>
        <v>7.8023181842561184E-2</v>
      </c>
      <c r="P87" s="74">
        <f t="shared" si="16"/>
        <v>6.0876169048373696E-3</v>
      </c>
    </row>
    <row r="88" spans="1:16" x14ac:dyDescent="0.3">
      <c r="A88">
        <f t="shared" si="17"/>
        <v>75</v>
      </c>
      <c r="C88" s="66">
        <v>18132332439</v>
      </c>
      <c r="D88" s="40" t="s">
        <v>349</v>
      </c>
      <c r="E88" s="66">
        <v>378800</v>
      </c>
      <c r="F88" s="68">
        <v>0.92390243902439029</v>
      </c>
      <c r="G88" s="80">
        <v>45097</v>
      </c>
      <c r="H88">
        <v>410000</v>
      </c>
      <c r="I88" s="71">
        <f t="shared" si="9"/>
        <v>31200</v>
      </c>
      <c r="J88" s="72">
        <f t="shared" si="10"/>
        <v>973440000</v>
      </c>
      <c r="K88" s="71">
        <f t="shared" si="11"/>
        <v>346714.77227722772</v>
      </c>
      <c r="L88" s="71">
        <f t="shared" si="12"/>
        <v>63285.227722772281</v>
      </c>
      <c r="M88" s="72">
        <f t="shared" si="13"/>
        <v>4005020047.9231453</v>
      </c>
      <c r="N88" s="73">
        <f t="shared" si="14"/>
        <v>7.1388419701371442E-2</v>
      </c>
      <c r="O88" s="74">
        <f t="shared" si="15"/>
        <v>7.9604613785912881E-2</v>
      </c>
      <c r="P88" s="74">
        <f t="shared" si="16"/>
        <v>6.3368945360043512E-3</v>
      </c>
    </row>
    <row r="89" spans="1:16" x14ac:dyDescent="0.3">
      <c r="A89">
        <f t="shared" si="17"/>
        <v>76</v>
      </c>
      <c r="C89" s="75">
        <v>18132241411</v>
      </c>
      <c r="D89" s="40" t="s">
        <v>349</v>
      </c>
      <c r="E89" s="75">
        <v>273200</v>
      </c>
      <c r="F89" s="76">
        <v>0.92610169491525429</v>
      </c>
      <c r="G89" s="80">
        <v>44721</v>
      </c>
      <c r="H89">
        <v>295000</v>
      </c>
      <c r="I89" s="71">
        <f t="shared" si="9"/>
        <v>21800</v>
      </c>
      <c r="J89" s="72">
        <f t="shared" si="10"/>
        <v>475240000</v>
      </c>
      <c r="K89" s="71">
        <f t="shared" si="11"/>
        <v>346714.77227722772</v>
      </c>
      <c r="L89" s="71">
        <f t="shared" si="12"/>
        <v>-51714.772277227719</v>
      </c>
      <c r="M89" s="72">
        <f t="shared" si="13"/>
        <v>2674417671.6855206</v>
      </c>
      <c r="N89" s="73">
        <f t="shared" si="14"/>
        <v>6.9189163810507437E-2</v>
      </c>
      <c r="O89" s="74">
        <f t="shared" si="15"/>
        <v>7.7405357895048876E-2</v>
      </c>
      <c r="P89" s="74">
        <f t="shared" si="16"/>
        <v>5.9915894308606053E-3</v>
      </c>
    </row>
    <row r="90" spans="1:16" x14ac:dyDescent="0.3">
      <c r="A90">
        <f t="shared" si="17"/>
        <v>77</v>
      </c>
      <c r="C90" s="66">
        <v>18132313521</v>
      </c>
      <c r="D90" s="40" t="s">
        <v>349</v>
      </c>
      <c r="E90" s="66">
        <v>357300</v>
      </c>
      <c r="F90" s="68">
        <v>0.92805194805194802</v>
      </c>
      <c r="G90" s="80">
        <v>44774</v>
      </c>
      <c r="H90">
        <v>385000</v>
      </c>
      <c r="I90" s="71">
        <f t="shared" si="9"/>
        <v>27700</v>
      </c>
      <c r="J90" s="72">
        <f t="shared" si="10"/>
        <v>767290000</v>
      </c>
      <c r="K90" s="71">
        <f t="shared" si="11"/>
        <v>346714.77227722772</v>
      </c>
      <c r="L90" s="71">
        <f t="shared" si="12"/>
        <v>38285.227722772281</v>
      </c>
      <c r="M90" s="72">
        <f t="shared" si="13"/>
        <v>1465758661.7845311</v>
      </c>
      <c r="N90" s="73">
        <f t="shared" si="14"/>
        <v>6.7238910673813712E-2</v>
      </c>
      <c r="O90" s="74">
        <f t="shared" si="15"/>
        <v>7.5455104758355152E-2</v>
      </c>
      <c r="P90" s="74">
        <f t="shared" si="16"/>
        <v>5.6934728340943506E-3</v>
      </c>
    </row>
    <row r="91" spans="1:16" x14ac:dyDescent="0.3">
      <c r="A91">
        <f t="shared" si="17"/>
        <v>78</v>
      </c>
      <c r="C91" s="75">
        <v>18132334408</v>
      </c>
      <c r="D91" s="40" t="s">
        <v>349</v>
      </c>
      <c r="E91" s="75">
        <v>404100</v>
      </c>
      <c r="F91" s="76">
        <v>0.92896551724137932</v>
      </c>
      <c r="G91" s="80">
        <v>44762</v>
      </c>
      <c r="H91">
        <v>435000</v>
      </c>
      <c r="I91" s="71">
        <f t="shared" si="9"/>
        <v>30900</v>
      </c>
      <c r="J91" s="72">
        <f t="shared" si="10"/>
        <v>954810000</v>
      </c>
      <c r="K91" s="71">
        <f t="shared" si="11"/>
        <v>346714.77227722772</v>
      </c>
      <c r="L91" s="71">
        <f t="shared" si="12"/>
        <v>88285.227722772281</v>
      </c>
      <c r="M91" s="72">
        <f t="shared" si="13"/>
        <v>7794281434.061759</v>
      </c>
      <c r="N91" s="73">
        <f t="shared" si="14"/>
        <v>6.6325341484382405E-2</v>
      </c>
      <c r="O91" s="74">
        <f t="shared" si="15"/>
        <v>7.4541535568923845E-2</v>
      </c>
      <c r="P91" s="74">
        <f t="shared" si="16"/>
        <v>5.5564405249731389E-3</v>
      </c>
    </row>
    <row r="92" spans="1:16" x14ac:dyDescent="0.3">
      <c r="A92">
        <f t="shared" si="17"/>
        <v>79</v>
      </c>
      <c r="C92" s="66">
        <v>18132324468</v>
      </c>
      <c r="D92" s="40" t="s">
        <v>349</v>
      </c>
      <c r="E92" s="66">
        <v>292700</v>
      </c>
      <c r="F92" s="68">
        <v>0.92920634920634926</v>
      </c>
      <c r="G92" s="80">
        <v>44243</v>
      </c>
      <c r="H92">
        <v>315000</v>
      </c>
      <c r="I92" s="71">
        <f t="shared" si="9"/>
        <v>22300</v>
      </c>
      <c r="J92" s="72">
        <f t="shared" si="10"/>
        <v>497290000</v>
      </c>
      <c r="K92" s="71">
        <f t="shared" si="11"/>
        <v>346714.77227722772</v>
      </c>
      <c r="L92" s="71">
        <f t="shared" si="12"/>
        <v>-31714.772277227719</v>
      </c>
      <c r="M92" s="72">
        <f t="shared" si="13"/>
        <v>1005826780.5964119</v>
      </c>
      <c r="N92" s="73">
        <f t="shared" si="14"/>
        <v>6.6084509519412471E-2</v>
      </c>
      <c r="O92" s="74">
        <f t="shared" si="15"/>
        <v>7.430070360395391E-2</v>
      </c>
      <c r="P92" s="74">
        <f t="shared" si="16"/>
        <v>5.5205945560426097E-3</v>
      </c>
    </row>
    <row r="93" spans="1:16" x14ac:dyDescent="0.3">
      <c r="A93">
        <f t="shared" si="17"/>
        <v>80</v>
      </c>
      <c r="C93" s="75">
        <v>18132322026</v>
      </c>
      <c r="D93" s="40" t="s">
        <v>349</v>
      </c>
      <c r="E93" s="75">
        <v>242200</v>
      </c>
      <c r="F93" s="76">
        <v>0.93153846153846154</v>
      </c>
      <c r="G93" s="80">
        <v>44396</v>
      </c>
      <c r="H93">
        <v>260000</v>
      </c>
      <c r="I93" s="71">
        <f t="shared" si="9"/>
        <v>17800</v>
      </c>
      <c r="J93" s="72">
        <f t="shared" si="10"/>
        <v>316840000</v>
      </c>
      <c r="K93" s="71">
        <f t="shared" si="11"/>
        <v>346714.77227722772</v>
      </c>
      <c r="L93" s="71">
        <f t="shared" si="12"/>
        <v>-86714.772277227719</v>
      </c>
      <c r="M93" s="72">
        <f t="shared" si="13"/>
        <v>7519451731.0914612</v>
      </c>
      <c r="N93" s="73">
        <f t="shared" si="14"/>
        <v>6.3752397187300192E-2</v>
      </c>
      <c r="O93" s="74">
        <f t="shared" si="15"/>
        <v>7.1968591271841631E-2</v>
      </c>
      <c r="P93" s="74">
        <f t="shared" si="16"/>
        <v>5.1794781296533995E-3</v>
      </c>
    </row>
    <row r="94" spans="1:16" x14ac:dyDescent="0.3">
      <c r="A94">
        <f t="shared" si="17"/>
        <v>81</v>
      </c>
      <c r="C94" s="66">
        <v>18132313491</v>
      </c>
      <c r="D94" s="40" t="s">
        <v>349</v>
      </c>
      <c r="E94" s="66">
        <v>312300</v>
      </c>
      <c r="F94" s="68">
        <v>0.92946428571428574</v>
      </c>
      <c r="G94" s="80">
        <v>44333</v>
      </c>
      <c r="H94">
        <v>336000</v>
      </c>
      <c r="I94" s="71">
        <f t="shared" si="9"/>
        <v>23700</v>
      </c>
      <c r="J94" s="72">
        <f t="shared" si="10"/>
        <v>561690000</v>
      </c>
      <c r="K94" s="71">
        <f t="shared" si="11"/>
        <v>346714.77227722772</v>
      </c>
      <c r="L94" s="71">
        <f t="shared" si="12"/>
        <v>-10714.772277227719</v>
      </c>
      <c r="M94" s="72">
        <f t="shared" si="13"/>
        <v>114806344.95284769</v>
      </c>
      <c r="N94" s="73">
        <f t="shared" si="14"/>
        <v>6.5826573011475986E-2</v>
      </c>
      <c r="O94" s="74">
        <f t="shared" si="15"/>
        <v>7.4042767096017426E-2</v>
      </c>
      <c r="P94" s="74">
        <f t="shared" si="16"/>
        <v>5.4823313592350809E-3</v>
      </c>
    </row>
    <row r="95" spans="1:16" x14ac:dyDescent="0.3">
      <c r="A95">
        <f t="shared" si="17"/>
        <v>82</v>
      </c>
      <c r="C95" s="75">
        <v>18132241074</v>
      </c>
      <c r="D95" s="40" t="s">
        <v>349</v>
      </c>
      <c r="E95" s="75">
        <v>302900</v>
      </c>
      <c r="F95" s="76">
        <v>0.93200000000000005</v>
      </c>
      <c r="G95" s="80">
        <v>44376</v>
      </c>
      <c r="H95">
        <v>325000</v>
      </c>
      <c r="I95" s="71">
        <f t="shared" si="9"/>
        <v>22100</v>
      </c>
      <c r="J95" s="72">
        <f t="shared" si="10"/>
        <v>488410000</v>
      </c>
      <c r="K95" s="71">
        <f t="shared" si="11"/>
        <v>346714.77227722772</v>
      </c>
      <c r="L95" s="71">
        <f t="shared" si="12"/>
        <v>-21714.772277227719</v>
      </c>
      <c r="M95" s="72">
        <f t="shared" si="13"/>
        <v>471531335.05185753</v>
      </c>
      <c r="N95" s="73">
        <f t="shared" si="14"/>
        <v>6.3290858725761678E-2</v>
      </c>
      <c r="O95" s="74">
        <f t="shared" si="15"/>
        <v>7.1507052810303118E-2</v>
      </c>
      <c r="P95" s="74">
        <f t="shared" si="16"/>
        <v>5.1132586016154787E-3</v>
      </c>
    </row>
    <row r="96" spans="1:16" x14ac:dyDescent="0.3">
      <c r="A96">
        <f t="shared" si="17"/>
        <v>83</v>
      </c>
      <c r="C96" s="66">
        <v>18132211436</v>
      </c>
      <c r="D96" s="40" t="s">
        <v>349</v>
      </c>
      <c r="E96" s="66">
        <v>345600</v>
      </c>
      <c r="F96" s="68">
        <v>0.92159999999999997</v>
      </c>
      <c r="G96" s="80">
        <v>44818</v>
      </c>
      <c r="H96">
        <v>375000</v>
      </c>
      <c r="I96" s="71">
        <f t="shared" si="9"/>
        <v>29400</v>
      </c>
      <c r="J96" s="72">
        <f t="shared" si="10"/>
        <v>864360000</v>
      </c>
      <c r="K96" s="71">
        <f t="shared" si="11"/>
        <v>346714.77227722772</v>
      </c>
      <c r="L96" s="71">
        <f t="shared" si="12"/>
        <v>28285.227722772281</v>
      </c>
      <c r="M96" s="72">
        <f t="shared" si="13"/>
        <v>800054107.32908559</v>
      </c>
      <c r="N96" s="73">
        <f t="shared" si="14"/>
        <v>7.3690858725761754E-2</v>
      </c>
      <c r="O96" s="74">
        <f t="shared" si="15"/>
        <v>8.1907052810303194E-2</v>
      </c>
      <c r="P96" s="74">
        <f t="shared" si="16"/>
        <v>6.7087653000697965E-3</v>
      </c>
    </row>
    <row r="97" spans="1:16" x14ac:dyDescent="0.3">
      <c r="A97">
        <f t="shared" si="17"/>
        <v>84</v>
      </c>
      <c r="C97" s="75">
        <v>18132313481</v>
      </c>
      <c r="D97" s="40" t="s">
        <v>349</v>
      </c>
      <c r="E97" s="75">
        <v>237300</v>
      </c>
      <c r="F97" s="76">
        <v>0.93609467455621298</v>
      </c>
      <c r="G97" s="80">
        <v>44517</v>
      </c>
      <c r="H97">
        <v>253500</v>
      </c>
      <c r="I97" s="71">
        <f t="shared" si="9"/>
        <v>16200</v>
      </c>
      <c r="J97" s="72">
        <f t="shared" si="10"/>
        <v>262440000</v>
      </c>
      <c r="K97" s="71">
        <f t="shared" si="11"/>
        <v>346714.77227722772</v>
      </c>
      <c r="L97" s="71">
        <f t="shared" si="12"/>
        <v>-93214.772277227719</v>
      </c>
      <c r="M97" s="72">
        <f t="shared" si="13"/>
        <v>8688993770.6954212</v>
      </c>
      <c r="N97" s="73">
        <f t="shared" si="14"/>
        <v>5.9196184169548749E-2</v>
      </c>
      <c r="O97" s="74">
        <f t="shared" si="15"/>
        <v>6.7412378254090188E-2</v>
      </c>
      <c r="P97" s="74">
        <f t="shared" si="16"/>
        <v>4.5444287418725318E-3</v>
      </c>
    </row>
    <row r="98" spans="1:16" x14ac:dyDescent="0.3">
      <c r="A98">
        <f t="shared" si="17"/>
        <v>85</v>
      </c>
      <c r="C98" s="66">
        <v>18132214412</v>
      </c>
      <c r="D98" s="40" t="s">
        <v>349</v>
      </c>
      <c r="E98" s="66">
        <v>304400</v>
      </c>
      <c r="F98" s="68">
        <v>0.93661538461538463</v>
      </c>
      <c r="G98" s="80">
        <v>44336</v>
      </c>
      <c r="H98">
        <v>325000</v>
      </c>
      <c r="I98" s="71">
        <f t="shared" si="9"/>
        <v>20600</v>
      </c>
      <c r="J98" s="72">
        <f t="shared" si="10"/>
        <v>424360000</v>
      </c>
      <c r="K98" s="71">
        <f t="shared" si="11"/>
        <v>346714.77227722772</v>
      </c>
      <c r="L98" s="71">
        <f t="shared" si="12"/>
        <v>-21714.772277227719</v>
      </c>
      <c r="M98" s="72">
        <f t="shared" si="13"/>
        <v>471531335.05185753</v>
      </c>
      <c r="N98" s="73">
        <f t="shared" si="14"/>
        <v>5.8675474110377102E-2</v>
      </c>
      <c r="O98" s="74">
        <f t="shared" si="15"/>
        <v>6.6891668194918541E-2</v>
      </c>
      <c r="P98" s="74">
        <f t="shared" si="16"/>
        <v>4.4744952738990764E-3</v>
      </c>
    </row>
    <row r="99" spans="1:16" x14ac:dyDescent="0.3">
      <c r="A99">
        <f t="shared" si="17"/>
        <v>86</v>
      </c>
      <c r="C99" s="75">
        <v>18132343431</v>
      </c>
      <c r="D99" s="40" t="s">
        <v>349</v>
      </c>
      <c r="E99" s="75">
        <v>704900</v>
      </c>
      <c r="F99" s="76">
        <v>0.93986666666666663</v>
      </c>
      <c r="G99" s="80">
        <v>45210</v>
      </c>
      <c r="H99">
        <v>750000</v>
      </c>
      <c r="I99" s="71">
        <f t="shared" si="9"/>
        <v>45100</v>
      </c>
      <c r="J99" s="72">
        <f t="shared" si="10"/>
        <v>2034010000</v>
      </c>
      <c r="K99" s="71">
        <f t="shared" si="11"/>
        <v>346714.77227722772</v>
      </c>
      <c r="L99" s="71">
        <f t="shared" si="12"/>
        <v>403285.22772277228</v>
      </c>
      <c r="M99" s="72">
        <f t="shared" si="13"/>
        <v>162638974899.40829</v>
      </c>
      <c r="N99" s="73">
        <f t="shared" si="14"/>
        <v>5.5424192059095101E-2</v>
      </c>
      <c r="O99" s="74">
        <f t="shared" si="15"/>
        <v>6.364038614363654E-2</v>
      </c>
      <c r="P99" s="74">
        <f t="shared" si="16"/>
        <v>4.0500987485111656E-3</v>
      </c>
    </row>
    <row r="100" spans="1:16" x14ac:dyDescent="0.3">
      <c r="A100">
        <f t="shared" si="17"/>
        <v>87</v>
      </c>
      <c r="C100" s="66">
        <v>18132331052</v>
      </c>
      <c r="D100" s="40" t="s">
        <v>349</v>
      </c>
      <c r="E100" s="66">
        <v>291300</v>
      </c>
      <c r="F100" s="68">
        <v>0.93967741935483873</v>
      </c>
      <c r="G100" s="80">
        <v>44468</v>
      </c>
      <c r="H100">
        <v>310000</v>
      </c>
      <c r="I100" s="71">
        <f t="shared" si="9"/>
        <v>18700</v>
      </c>
      <c r="J100" s="72">
        <f t="shared" si="10"/>
        <v>349690000</v>
      </c>
      <c r="K100" s="71">
        <f t="shared" si="11"/>
        <v>346714.77227722772</v>
      </c>
      <c r="L100" s="71">
        <f t="shared" si="12"/>
        <v>-36714.772277227719</v>
      </c>
      <c r="M100" s="72">
        <f t="shared" si="13"/>
        <v>1347974503.3686891</v>
      </c>
      <c r="N100" s="73">
        <f t="shared" si="14"/>
        <v>5.5613439370923001E-2</v>
      </c>
      <c r="O100" s="74">
        <f t="shared" si="15"/>
        <v>6.3829633455464441E-2</v>
      </c>
      <c r="P100" s="74">
        <f t="shared" si="16"/>
        <v>4.0742221070589456E-3</v>
      </c>
    </row>
    <row r="101" spans="1:16" x14ac:dyDescent="0.3">
      <c r="A101">
        <f t="shared" si="17"/>
        <v>88</v>
      </c>
      <c r="C101" s="75">
        <v>18132324495</v>
      </c>
      <c r="D101" s="40" t="s">
        <v>349</v>
      </c>
      <c r="E101" s="75">
        <v>334500</v>
      </c>
      <c r="F101" s="76">
        <v>0.94225352112676053</v>
      </c>
      <c r="G101" s="80">
        <v>44286</v>
      </c>
      <c r="H101">
        <v>355000</v>
      </c>
      <c r="I101" s="71">
        <f t="shared" si="9"/>
        <v>20500</v>
      </c>
      <c r="J101" s="72">
        <f t="shared" si="10"/>
        <v>420250000</v>
      </c>
      <c r="K101" s="71">
        <f t="shared" si="11"/>
        <v>346714.77227722772</v>
      </c>
      <c r="L101" s="71">
        <f t="shared" si="12"/>
        <v>8285.2277227722807</v>
      </c>
      <c r="M101" s="72">
        <f t="shared" si="13"/>
        <v>68644998.418194354</v>
      </c>
      <c r="N101" s="73">
        <f t="shared" si="14"/>
        <v>5.30373375990012E-2</v>
      </c>
      <c r="O101" s="74">
        <f t="shared" si="15"/>
        <v>6.1253531683542639E-2</v>
      </c>
      <c r="P101" s="74">
        <f t="shared" si="16"/>
        <v>3.7519951437067619E-3</v>
      </c>
    </row>
    <row r="102" spans="1:16" x14ac:dyDescent="0.3">
      <c r="A102">
        <f t="shared" si="17"/>
        <v>89</v>
      </c>
      <c r="C102" s="66">
        <v>18132212435</v>
      </c>
      <c r="D102" s="40" t="s">
        <v>349</v>
      </c>
      <c r="E102" s="66">
        <v>512700</v>
      </c>
      <c r="F102" s="68">
        <v>0.94073394495412843</v>
      </c>
      <c r="G102" s="80">
        <v>45283</v>
      </c>
      <c r="H102">
        <v>545000</v>
      </c>
      <c r="I102" s="71">
        <f t="shared" si="9"/>
        <v>32300</v>
      </c>
      <c r="J102" s="72">
        <f t="shared" si="10"/>
        <v>1043290000</v>
      </c>
      <c r="K102" s="71">
        <f t="shared" si="11"/>
        <v>346714.77227722772</v>
      </c>
      <c r="L102" s="71">
        <f t="shared" si="12"/>
        <v>198285.22772277228</v>
      </c>
      <c r="M102" s="72">
        <f t="shared" si="13"/>
        <v>39317031533.071663</v>
      </c>
      <c r="N102" s="73">
        <f t="shared" si="14"/>
        <v>5.4556913771633297E-2</v>
      </c>
      <c r="O102" s="74">
        <f t="shared" si="15"/>
        <v>6.2773107856174737E-2</v>
      </c>
      <c r="P102" s="74">
        <f t="shared" si="16"/>
        <v>3.9404630699229467E-3</v>
      </c>
    </row>
    <row r="103" spans="1:16" x14ac:dyDescent="0.3">
      <c r="A103">
        <f t="shared" si="17"/>
        <v>90</v>
      </c>
      <c r="C103" s="75">
        <v>18132241006</v>
      </c>
      <c r="D103" s="40" t="s">
        <v>349</v>
      </c>
      <c r="E103" s="75">
        <v>292300</v>
      </c>
      <c r="F103" s="76">
        <v>0.94290322580645158</v>
      </c>
      <c r="G103" s="80">
        <v>44739</v>
      </c>
      <c r="H103">
        <v>310000</v>
      </c>
      <c r="I103" s="71">
        <f t="shared" si="9"/>
        <v>17700</v>
      </c>
      <c r="J103" s="72">
        <f t="shared" si="10"/>
        <v>313290000</v>
      </c>
      <c r="K103" s="71">
        <f t="shared" si="11"/>
        <v>346714.77227722772</v>
      </c>
      <c r="L103" s="71">
        <f t="shared" si="12"/>
        <v>-36714.772277227719</v>
      </c>
      <c r="M103" s="72">
        <f t="shared" si="13"/>
        <v>1347974503.3686891</v>
      </c>
      <c r="N103" s="73">
        <f t="shared" si="14"/>
        <v>5.2387632919310145E-2</v>
      </c>
      <c r="O103" s="74">
        <f t="shared" si="15"/>
        <v>6.0603827003851585E-2</v>
      </c>
      <c r="P103" s="74">
        <f t="shared" si="16"/>
        <v>3.6728238475127704E-3</v>
      </c>
    </row>
    <row r="104" spans="1:16" x14ac:dyDescent="0.3">
      <c r="A104">
        <f t="shared" si="17"/>
        <v>91</v>
      </c>
      <c r="C104" s="66">
        <v>18132334408</v>
      </c>
      <c r="D104" s="40" t="s">
        <v>349</v>
      </c>
      <c r="E104" s="66">
        <v>321700</v>
      </c>
      <c r="F104" s="68">
        <v>0.94617647058823529</v>
      </c>
      <c r="G104" s="80">
        <v>44354</v>
      </c>
      <c r="H104">
        <v>340000</v>
      </c>
      <c r="I104" s="71">
        <f t="shared" si="9"/>
        <v>18300</v>
      </c>
      <c r="J104" s="72">
        <f t="shared" si="10"/>
        <v>334890000</v>
      </c>
      <c r="K104" s="71">
        <f t="shared" si="11"/>
        <v>346714.77227722772</v>
      </c>
      <c r="L104" s="71">
        <f t="shared" si="12"/>
        <v>-6714.7722772277193</v>
      </c>
      <c r="M104" s="72">
        <f t="shared" si="13"/>
        <v>45088166.735025935</v>
      </c>
      <c r="N104" s="73">
        <f t="shared" si="14"/>
        <v>4.9114388137526444E-2</v>
      </c>
      <c r="O104" s="74">
        <f t="shared" si="15"/>
        <v>5.7330582222067883E-2</v>
      </c>
      <c r="P104" s="74">
        <f t="shared" si="16"/>
        <v>3.2867956579212859E-3</v>
      </c>
    </row>
    <row r="105" spans="1:16" x14ac:dyDescent="0.3">
      <c r="A105">
        <f t="shared" si="17"/>
        <v>92</v>
      </c>
      <c r="C105" s="75">
        <v>18132323506</v>
      </c>
      <c r="D105" s="40" t="s">
        <v>349</v>
      </c>
      <c r="E105" s="75">
        <v>331000</v>
      </c>
      <c r="F105" s="76">
        <v>0.94571428571428573</v>
      </c>
      <c r="G105" s="80">
        <v>44677</v>
      </c>
      <c r="H105">
        <v>350000</v>
      </c>
      <c r="I105" s="71">
        <f t="shared" si="9"/>
        <v>19000</v>
      </c>
      <c r="J105" s="72">
        <f t="shared" si="10"/>
        <v>361000000</v>
      </c>
      <c r="K105" s="71">
        <f t="shared" si="11"/>
        <v>346714.77227722772</v>
      </c>
      <c r="L105" s="71">
        <f t="shared" si="12"/>
        <v>3285.2277227722807</v>
      </c>
      <c r="M105" s="72">
        <f t="shared" si="13"/>
        <v>10792721.190471545</v>
      </c>
      <c r="N105" s="73">
        <f t="shared" si="14"/>
        <v>4.9576573011475999E-2</v>
      </c>
      <c r="O105" s="74">
        <f t="shared" si="15"/>
        <v>5.7792767096017439E-2</v>
      </c>
      <c r="P105" s="74">
        <f t="shared" si="16"/>
        <v>3.3400039286145158E-3</v>
      </c>
    </row>
    <row r="106" spans="1:16" x14ac:dyDescent="0.3">
      <c r="A106">
        <f t="shared" si="17"/>
        <v>93</v>
      </c>
      <c r="C106" s="66">
        <v>18132244472</v>
      </c>
      <c r="D106" s="40" t="s">
        <v>349</v>
      </c>
      <c r="E106" s="66">
        <v>359500</v>
      </c>
      <c r="F106" s="68">
        <v>0.94630165833113977</v>
      </c>
      <c r="G106" s="80">
        <v>44699</v>
      </c>
      <c r="H106">
        <v>379900</v>
      </c>
      <c r="I106" s="71">
        <f t="shared" si="9"/>
        <v>20400</v>
      </c>
      <c r="J106" s="72">
        <f t="shared" si="10"/>
        <v>416160000</v>
      </c>
      <c r="K106" s="71">
        <f t="shared" si="11"/>
        <v>346714.77227722772</v>
      </c>
      <c r="L106" s="71">
        <f t="shared" si="12"/>
        <v>33185.227722772281</v>
      </c>
      <c r="M106" s="72">
        <f t="shared" si="13"/>
        <v>1101259339.012254</v>
      </c>
      <c r="N106" s="73">
        <f t="shared" si="14"/>
        <v>4.8989200394621957E-2</v>
      </c>
      <c r="O106" s="74">
        <f t="shared" si="15"/>
        <v>5.7205394479163396E-2</v>
      </c>
      <c r="P106" s="74">
        <f t="shared" si="16"/>
        <v>3.2724571575166979E-3</v>
      </c>
    </row>
    <row r="107" spans="1:16" x14ac:dyDescent="0.3">
      <c r="A107">
        <f t="shared" si="17"/>
        <v>94</v>
      </c>
      <c r="C107" s="75">
        <v>18132324429</v>
      </c>
      <c r="D107" s="40" t="s">
        <v>349</v>
      </c>
      <c r="E107" s="75">
        <v>318200</v>
      </c>
      <c r="F107" s="76">
        <v>0.94603835290619886</v>
      </c>
      <c r="G107" s="80">
        <v>44410</v>
      </c>
      <c r="H107">
        <v>336350</v>
      </c>
      <c r="I107" s="71">
        <f t="shared" si="9"/>
        <v>18150</v>
      </c>
      <c r="J107" s="72">
        <f t="shared" si="10"/>
        <v>329422500</v>
      </c>
      <c r="K107" s="71">
        <f t="shared" si="11"/>
        <v>346714.77227722772</v>
      </c>
      <c r="L107" s="71">
        <f t="shared" si="12"/>
        <v>-10364.772277227719</v>
      </c>
      <c r="M107" s="72">
        <f t="shared" si="13"/>
        <v>107428504.35878828</v>
      </c>
      <c r="N107" s="73">
        <f t="shared" si="14"/>
        <v>4.9252505819562864E-2</v>
      </c>
      <c r="O107" s="74">
        <f t="shared" si="15"/>
        <v>5.7468699904104303E-2</v>
      </c>
      <c r="P107" s="74">
        <f t="shared" si="16"/>
        <v>3.3026514686679978E-3</v>
      </c>
    </row>
    <row r="108" spans="1:16" x14ac:dyDescent="0.3">
      <c r="A108">
        <f t="shared" si="17"/>
        <v>95</v>
      </c>
      <c r="C108" s="66">
        <v>18132244445</v>
      </c>
      <c r="D108" s="40" t="s">
        <v>349</v>
      </c>
      <c r="E108" s="66">
        <v>329600</v>
      </c>
      <c r="F108" s="68">
        <v>0.94985590778097984</v>
      </c>
      <c r="G108" s="80">
        <v>44755</v>
      </c>
      <c r="H108">
        <v>347000</v>
      </c>
      <c r="I108" s="71">
        <f t="shared" si="9"/>
        <v>17400</v>
      </c>
      <c r="J108" s="72">
        <f t="shared" si="10"/>
        <v>302760000</v>
      </c>
      <c r="K108" s="71">
        <f t="shared" si="11"/>
        <v>346714.77227722772</v>
      </c>
      <c r="L108" s="71">
        <f t="shared" si="12"/>
        <v>285.22772277228069</v>
      </c>
      <c r="M108" s="72">
        <f t="shared" si="13"/>
        <v>81354.85383786101</v>
      </c>
      <c r="N108" s="73">
        <f t="shared" si="14"/>
        <v>4.5434950944781893E-2</v>
      </c>
      <c r="O108" s="74">
        <f t="shared" si="15"/>
        <v>5.3651145029323333E-2</v>
      </c>
      <c r="P108" s="74">
        <f t="shared" si="16"/>
        <v>2.8784453629574856E-3</v>
      </c>
    </row>
    <row r="109" spans="1:16" x14ac:dyDescent="0.3">
      <c r="A109">
        <f t="shared" si="17"/>
        <v>96</v>
      </c>
      <c r="C109" s="75">
        <v>18132343422</v>
      </c>
      <c r="D109" s="40" t="s">
        <v>349</v>
      </c>
      <c r="E109" s="75">
        <v>412400</v>
      </c>
      <c r="F109" s="76">
        <v>0.94804597701149429</v>
      </c>
      <c r="G109" s="80">
        <v>45216</v>
      </c>
      <c r="H109">
        <v>435000</v>
      </c>
      <c r="I109" s="71">
        <f t="shared" si="9"/>
        <v>22600</v>
      </c>
      <c r="J109" s="72">
        <f t="shared" si="10"/>
        <v>510760000</v>
      </c>
      <c r="K109" s="71">
        <f t="shared" si="11"/>
        <v>346714.77227722772</v>
      </c>
      <c r="L109" s="71">
        <f t="shared" si="12"/>
        <v>88285.227722772281</v>
      </c>
      <c r="M109" s="72">
        <f t="shared" si="13"/>
        <v>7794281434.061759</v>
      </c>
      <c r="N109" s="73">
        <f t="shared" si="14"/>
        <v>4.7244881714267439E-2</v>
      </c>
      <c r="O109" s="74">
        <f t="shared" si="15"/>
        <v>5.5461075798808879E-2</v>
      </c>
      <c r="P109" s="74">
        <f t="shared" si="16"/>
        <v>3.0759309287612239E-3</v>
      </c>
    </row>
    <row r="110" spans="1:16" x14ac:dyDescent="0.3">
      <c r="A110">
        <f t="shared" si="17"/>
        <v>97</v>
      </c>
      <c r="C110" s="66">
        <v>18132243470</v>
      </c>
      <c r="D110" s="40" t="s">
        <v>349</v>
      </c>
      <c r="E110" s="66">
        <v>241600</v>
      </c>
      <c r="F110" s="68">
        <v>0.95118110236220477</v>
      </c>
      <c r="G110" s="80">
        <v>44342</v>
      </c>
      <c r="H110">
        <v>254000</v>
      </c>
      <c r="I110" s="71">
        <f t="shared" si="9"/>
        <v>12400</v>
      </c>
      <c r="J110" s="72">
        <f t="shared" si="10"/>
        <v>153760000</v>
      </c>
      <c r="K110" s="71">
        <f t="shared" si="11"/>
        <v>346714.77227722772</v>
      </c>
      <c r="L110" s="71">
        <f t="shared" si="12"/>
        <v>-92714.772277227719</v>
      </c>
      <c r="M110" s="72">
        <f t="shared" si="13"/>
        <v>8596028998.4181938</v>
      </c>
      <c r="N110" s="73">
        <f t="shared" si="14"/>
        <v>4.4109756363556962E-2</v>
      </c>
      <c r="O110" s="74">
        <f t="shared" si="15"/>
        <v>5.2325950448098402E-2</v>
      </c>
      <c r="P110" s="74">
        <f t="shared" si="16"/>
        <v>2.7380050902968494E-3</v>
      </c>
    </row>
    <row r="111" spans="1:16" x14ac:dyDescent="0.3">
      <c r="A111">
        <f t="shared" si="17"/>
        <v>98</v>
      </c>
      <c r="C111" s="75">
        <v>18132213002</v>
      </c>
      <c r="D111" s="40" t="s">
        <v>349</v>
      </c>
      <c r="E111" s="75">
        <v>309000</v>
      </c>
      <c r="F111" s="76">
        <v>0.95076923076923081</v>
      </c>
      <c r="G111" s="80">
        <v>45169</v>
      </c>
      <c r="H111">
        <v>325000</v>
      </c>
      <c r="I111" s="71">
        <f t="shared" si="9"/>
        <v>16000</v>
      </c>
      <c r="J111" s="72">
        <f t="shared" si="10"/>
        <v>256000000</v>
      </c>
      <c r="K111" s="71">
        <f t="shared" si="11"/>
        <v>346714.77227722772</v>
      </c>
      <c r="L111" s="71">
        <f t="shared" si="12"/>
        <v>-21714.772277227719</v>
      </c>
      <c r="M111" s="72">
        <f t="shared" si="13"/>
        <v>471531335.05185753</v>
      </c>
      <c r="N111" s="73">
        <f t="shared" si="14"/>
        <v>4.4521627956530918E-2</v>
      </c>
      <c r="O111" s="74">
        <f t="shared" si="15"/>
        <v>5.2737822041072357E-2</v>
      </c>
      <c r="P111" s="74">
        <f t="shared" si="16"/>
        <v>2.7812778736358173E-3</v>
      </c>
    </row>
    <row r="112" spans="1:16" x14ac:dyDescent="0.3">
      <c r="A112">
        <f t="shared" si="17"/>
        <v>99</v>
      </c>
      <c r="C112" s="66">
        <v>18132211404</v>
      </c>
      <c r="D112" s="40" t="s">
        <v>349</v>
      </c>
      <c r="E112" s="66">
        <v>381400</v>
      </c>
      <c r="F112" s="68">
        <v>0.9558897243107769</v>
      </c>
      <c r="G112" s="80">
        <v>44828</v>
      </c>
      <c r="H112">
        <v>399000</v>
      </c>
      <c r="I112" s="71">
        <f t="shared" si="9"/>
        <v>17600</v>
      </c>
      <c r="J112" s="72">
        <f t="shared" si="10"/>
        <v>309760000</v>
      </c>
      <c r="K112" s="71">
        <f t="shared" si="11"/>
        <v>346714.77227722772</v>
      </c>
      <c r="L112" s="71">
        <f t="shared" si="12"/>
        <v>52285.227722772281</v>
      </c>
      <c r="M112" s="72">
        <f t="shared" si="13"/>
        <v>2733745038.0221553</v>
      </c>
      <c r="N112" s="73">
        <f t="shared" si="14"/>
        <v>3.9401134414984829E-2</v>
      </c>
      <c r="O112" s="74">
        <f t="shared" si="15"/>
        <v>4.7617328499526268E-2</v>
      </c>
      <c r="P112" s="74">
        <f t="shared" si="16"/>
        <v>2.2674099734317967E-3</v>
      </c>
    </row>
    <row r="113" spans="1:16" x14ac:dyDescent="0.3">
      <c r="A113">
        <f t="shared" si="17"/>
        <v>100</v>
      </c>
      <c r="C113" s="75">
        <v>18132344400</v>
      </c>
      <c r="D113" s="40" t="s">
        <v>349</v>
      </c>
      <c r="E113" s="75">
        <v>349200</v>
      </c>
      <c r="F113" s="76">
        <v>0.95671232876712331</v>
      </c>
      <c r="G113" s="80">
        <v>44396</v>
      </c>
      <c r="H113">
        <v>365000</v>
      </c>
      <c r="I113" s="71">
        <f t="shared" si="9"/>
        <v>15800</v>
      </c>
      <c r="J113" s="72">
        <f t="shared" si="10"/>
        <v>249640000</v>
      </c>
      <c r="K113" s="71">
        <f t="shared" si="11"/>
        <v>346714.77227722772</v>
      </c>
      <c r="L113" s="71">
        <f t="shared" si="12"/>
        <v>18285.227722772281</v>
      </c>
      <c r="M113" s="72">
        <f t="shared" si="13"/>
        <v>334349552.87363994</v>
      </c>
      <c r="N113" s="73">
        <f t="shared" si="14"/>
        <v>3.8578529958638419E-2</v>
      </c>
      <c r="O113" s="74">
        <f t="shared" si="15"/>
        <v>4.6794724043179858E-2</v>
      </c>
      <c r="P113" s="74">
        <f t="shared" si="16"/>
        <v>2.1897461982773553E-3</v>
      </c>
    </row>
    <row r="114" spans="1:16" x14ac:dyDescent="0.3">
      <c r="A114">
        <f t="shared" si="17"/>
        <v>101</v>
      </c>
      <c r="C114" s="66">
        <v>18132212013</v>
      </c>
      <c r="D114" s="40" t="s">
        <v>349</v>
      </c>
      <c r="E114" s="66">
        <v>398700</v>
      </c>
      <c r="F114" s="68">
        <v>0.96014449127031909</v>
      </c>
      <c r="G114" s="80">
        <v>44447</v>
      </c>
      <c r="H114">
        <v>415250</v>
      </c>
      <c r="I114" s="71">
        <f t="shared" si="9"/>
        <v>16550</v>
      </c>
      <c r="J114" s="72">
        <f t="shared" si="10"/>
        <v>273902500</v>
      </c>
      <c r="K114" s="71">
        <f t="shared" si="11"/>
        <v>346714.77227722772</v>
      </c>
      <c r="L114" s="71">
        <f t="shared" si="12"/>
        <v>68535.227722772281</v>
      </c>
      <c r="M114" s="72">
        <f t="shared" si="13"/>
        <v>4697077439.0122538</v>
      </c>
      <c r="N114" s="73">
        <f t="shared" si="14"/>
        <v>3.514636745544264E-2</v>
      </c>
      <c r="O114" s="74">
        <f t="shared" si="15"/>
        <v>4.3362561539984079E-2</v>
      </c>
      <c r="P114" s="74">
        <f t="shared" si="16"/>
        <v>1.8803117433089064E-3</v>
      </c>
    </row>
    <row r="115" spans="1:16" x14ac:dyDescent="0.3">
      <c r="A115">
        <f t="shared" si="17"/>
        <v>102</v>
      </c>
      <c r="C115" s="75">
        <v>18132342479</v>
      </c>
      <c r="D115" s="40" t="s">
        <v>349</v>
      </c>
      <c r="E115" s="75">
        <v>335100</v>
      </c>
      <c r="F115" s="76">
        <v>0.96017191977077365</v>
      </c>
      <c r="G115" s="80">
        <v>44715</v>
      </c>
      <c r="H115">
        <v>349000</v>
      </c>
      <c r="I115" s="71">
        <f t="shared" si="9"/>
        <v>13900</v>
      </c>
      <c r="J115" s="72">
        <f t="shared" si="10"/>
        <v>193210000</v>
      </c>
      <c r="K115" s="71">
        <f t="shared" si="11"/>
        <v>346714.77227722772</v>
      </c>
      <c r="L115" s="71">
        <f t="shared" si="12"/>
        <v>2285.2277227722807</v>
      </c>
      <c r="M115" s="72">
        <f t="shared" si="13"/>
        <v>5222265.7449269835</v>
      </c>
      <c r="N115" s="73">
        <f t="shared" si="14"/>
        <v>3.5118938954988077E-2</v>
      </c>
      <c r="O115" s="74">
        <f t="shared" si="15"/>
        <v>4.3335133039529516E-2</v>
      </c>
      <c r="P115" s="74">
        <f t="shared" si="16"/>
        <v>1.8779337555537227E-3</v>
      </c>
    </row>
    <row r="116" spans="1:16" x14ac:dyDescent="0.3">
      <c r="A116">
        <f t="shared" si="17"/>
        <v>103</v>
      </c>
      <c r="C116" s="66">
        <v>18132313511</v>
      </c>
      <c r="D116" s="40" t="s">
        <v>349</v>
      </c>
      <c r="E116" s="66">
        <v>315400</v>
      </c>
      <c r="F116" s="68">
        <v>0.95575757575757581</v>
      </c>
      <c r="G116" s="80">
        <v>44783</v>
      </c>
      <c r="H116">
        <v>330000</v>
      </c>
      <c r="I116" s="71">
        <f t="shared" si="9"/>
        <v>14600</v>
      </c>
      <c r="J116" s="72">
        <f t="shared" si="10"/>
        <v>213160000</v>
      </c>
      <c r="K116" s="71">
        <f t="shared" si="11"/>
        <v>346714.77227722772</v>
      </c>
      <c r="L116" s="71">
        <f t="shared" si="12"/>
        <v>-16714.772277227719</v>
      </c>
      <c r="M116" s="72">
        <f t="shared" si="13"/>
        <v>279383612.2795803</v>
      </c>
      <c r="N116" s="73">
        <f t="shared" si="14"/>
        <v>3.9533282968185923E-2</v>
      </c>
      <c r="O116" s="74">
        <f t="shared" si="15"/>
        <v>4.7749477052727363E-2</v>
      </c>
      <c r="P116" s="74">
        <f t="shared" si="16"/>
        <v>2.2800125588089372E-3</v>
      </c>
    </row>
    <row r="117" spans="1:16" x14ac:dyDescent="0.3">
      <c r="A117">
        <f t="shared" si="17"/>
        <v>104</v>
      </c>
      <c r="C117" s="75">
        <v>18132322415</v>
      </c>
      <c r="D117" s="40" t="s">
        <v>349</v>
      </c>
      <c r="E117" s="75">
        <v>326200</v>
      </c>
      <c r="F117" s="76">
        <v>0.95941176470588241</v>
      </c>
      <c r="G117" s="80">
        <v>44441</v>
      </c>
      <c r="H117">
        <v>340000</v>
      </c>
      <c r="I117" s="71">
        <f t="shared" si="9"/>
        <v>13800</v>
      </c>
      <c r="J117" s="72">
        <f t="shared" si="10"/>
        <v>190440000</v>
      </c>
      <c r="K117" s="71">
        <f t="shared" si="11"/>
        <v>346714.77227722772</v>
      </c>
      <c r="L117" s="71">
        <f t="shared" si="12"/>
        <v>-6714.7722772277193</v>
      </c>
      <c r="M117" s="72">
        <f t="shared" si="13"/>
        <v>45088166.735025935</v>
      </c>
      <c r="N117" s="73">
        <f t="shared" si="14"/>
        <v>3.5879094019879321E-2</v>
      </c>
      <c r="O117" s="74">
        <f t="shared" si="15"/>
        <v>4.409528810442076E-2</v>
      </c>
      <c r="P117" s="74">
        <f t="shared" si="16"/>
        <v>1.944394433011871E-3</v>
      </c>
    </row>
    <row r="118" spans="1:16" x14ac:dyDescent="0.3">
      <c r="A118">
        <f t="shared" si="17"/>
        <v>105</v>
      </c>
      <c r="C118" s="66">
        <v>18132324473</v>
      </c>
      <c r="D118" s="40" t="s">
        <v>349</v>
      </c>
      <c r="E118" s="66">
        <v>220800</v>
      </c>
      <c r="F118" s="68">
        <v>0.96</v>
      </c>
      <c r="G118" s="80">
        <v>44349</v>
      </c>
      <c r="H118">
        <v>230000</v>
      </c>
      <c r="I118" s="71">
        <f t="shared" si="9"/>
        <v>9200</v>
      </c>
      <c r="J118" s="72">
        <f t="shared" si="10"/>
        <v>84640000</v>
      </c>
      <c r="K118" s="71">
        <f t="shared" si="11"/>
        <v>346714.77227722772</v>
      </c>
      <c r="L118" s="71">
        <f t="shared" si="12"/>
        <v>-116714.77227722772</v>
      </c>
      <c r="M118" s="72">
        <f t="shared" si="13"/>
        <v>13622338067.725124</v>
      </c>
      <c r="N118" s="73">
        <f t="shared" si="14"/>
        <v>3.5290858725761765E-2</v>
      </c>
      <c r="O118" s="74">
        <f t="shared" si="15"/>
        <v>4.3507052810303204E-2</v>
      </c>
      <c r="P118" s="74">
        <f t="shared" si="16"/>
        <v>1.892863644238512E-3</v>
      </c>
    </row>
    <row r="119" spans="1:16" x14ac:dyDescent="0.3">
      <c r="A119">
        <f t="shared" si="17"/>
        <v>106</v>
      </c>
      <c r="C119" s="75">
        <v>18132323414</v>
      </c>
      <c r="D119" s="40" t="s">
        <v>349</v>
      </c>
      <c r="E119" s="75">
        <v>327300</v>
      </c>
      <c r="F119" s="76">
        <v>0.95982404692082113</v>
      </c>
      <c r="G119" s="80">
        <v>44489</v>
      </c>
      <c r="H119">
        <v>341000</v>
      </c>
      <c r="I119" s="71">
        <f t="shared" si="9"/>
        <v>13700</v>
      </c>
      <c r="J119" s="72">
        <f t="shared" si="10"/>
        <v>187690000</v>
      </c>
      <c r="K119" s="71">
        <f t="shared" si="11"/>
        <v>346714.77227722772</v>
      </c>
      <c r="L119" s="71">
        <f t="shared" si="12"/>
        <v>-5714.7722772277193</v>
      </c>
      <c r="M119" s="72">
        <f t="shared" si="13"/>
        <v>32658622.180570494</v>
      </c>
      <c r="N119" s="73">
        <f t="shared" si="14"/>
        <v>3.5466811804940601E-2</v>
      </c>
      <c r="O119" s="74">
        <f t="shared" si="15"/>
        <v>4.3683005889482041E-2</v>
      </c>
      <c r="P119" s="74">
        <f t="shared" si="16"/>
        <v>1.9082050035405225E-3</v>
      </c>
    </row>
    <row r="120" spans="1:16" x14ac:dyDescent="0.3">
      <c r="A120">
        <f t="shared" si="17"/>
        <v>107</v>
      </c>
      <c r="C120" s="66">
        <v>18132214043</v>
      </c>
      <c r="D120" s="40" t="s">
        <v>349</v>
      </c>
      <c r="E120" s="66">
        <v>312600</v>
      </c>
      <c r="F120" s="68">
        <v>0.9618461538461538</v>
      </c>
      <c r="G120" s="80">
        <v>44411</v>
      </c>
      <c r="H120">
        <v>325000</v>
      </c>
      <c r="I120" s="71">
        <f t="shared" si="9"/>
        <v>12400</v>
      </c>
      <c r="J120" s="72">
        <f t="shared" si="10"/>
        <v>153760000</v>
      </c>
      <c r="K120" s="71">
        <f t="shared" si="11"/>
        <v>346714.77227722772</v>
      </c>
      <c r="L120" s="71">
        <f t="shared" si="12"/>
        <v>-21714.772277227719</v>
      </c>
      <c r="M120" s="72">
        <f t="shared" si="13"/>
        <v>471531335.05185753</v>
      </c>
      <c r="N120" s="73">
        <f t="shared" si="14"/>
        <v>3.3444704879607934E-2</v>
      </c>
      <c r="O120" s="74">
        <f t="shared" si="15"/>
        <v>4.1660898964149373E-2</v>
      </c>
      <c r="P120" s="74">
        <f t="shared" si="16"/>
        <v>1.7356305025010624E-3</v>
      </c>
    </row>
    <row r="121" spans="1:16" x14ac:dyDescent="0.3">
      <c r="A121">
        <f t="shared" si="17"/>
        <v>108</v>
      </c>
      <c r="C121" s="75">
        <v>18132322477</v>
      </c>
      <c r="D121" s="40" t="s">
        <v>349</v>
      </c>
      <c r="E121" s="75">
        <v>233500</v>
      </c>
      <c r="F121" s="76">
        <v>0.95306122448979591</v>
      </c>
      <c r="G121" s="80">
        <v>44466</v>
      </c>
      <c r="H121">
        <v>245000</v>
      </c>
      <c r="I121" s="71">
        <f t="shared" si="9"/>
        <v>11500</v>
      </c>
      <c r="J121" s="72">
        <f t="shared" si="10"/>
        <v>132250000</v>
      </c>
      <c r="K121" s="71">
        <f t="shared" si="11"/>
        <v>346714.77227722772</v>
      </c>
      <c r="L121" s="71">
        <f t="shared" si="12"/>
        <v>-101714.77227722772</v>
      </c>
      <c r="M121" s="72">
        <f t="shared" si="13"/>
        <v>10345894899.408293</v>
      </c>
      <c r="N121" s="73">
        <f t="shared" si="14"/>
        <v>4.2229634235965818E-2</v>
      </c>
      <c r="O121" s="74">
        <f t="shared" si="15"/>
        <v>5.0445828320507258E-2</v>
      </c>
      <c r="P121" s="74">
        <f t="shared" si="16"/>
        <v>2.544781594942092E-3</v>
      </c>
    </row>
    <row r="122" spans="1:16" x14ac:dyDescent="0.3">
      <c r="A122">
        <f t="shared" si="17"/>
        <v>109</v>
      </c>
      <c r="C122" s="66">
        <v>18132241063</v>
      </c>
      <c r="D122" s="40" t="s">
        <v>349</v>
      </c>
      <c r="E122" s="66">
        <v>300600</v>
      </c>
      <c r="F122" s="68">
        <v>0.96346153846153848</v>
      </c>
      <c r="G122" s="80">
        <v>44452</v>
      </c>
      <c r="H122">
        <v>312000</v>
      </c>
      <c r="I122" s="71">
        <f t="shared" si="9"/>
        <v>11400</v>
      </c>
      <c r="J122" s="72">
        <f t="shared" si="10"/>
        <v>129960000</v>
      </c>
      <c r="K122" s="71">
        <f t="shared" si="11"/>
        <v>346714.77227722772</v>
      </c>
      <c r="L122" s="71">
        <f t="shared" si="12"/>
        <v>-34714.772277227719</v>
      </c>
      <c r="M122" s="72">
        <f t="shared" si="13"/>
        <v>1205115414.2597783</v>
      </c>
      <c r="N122" s="73">
        <f t="shared" si="14"/>
        <v>3.1829320264223249E-2</v>
      </c>
      <c r="O122" s="74">
        <f t="shared" si="15"/>
        <v>4.0045514348764688E-2</v>
      </c>
      <c r="P122" s="74">
        <f t="shared" si="16"/>
        <v>1.6036432194571186E-3</v>
      </c>
    </row>
    <row r="123" spans="1:16" x14ac:dyDescent="0.3">
      <c r="A123">
        <f t="shared" si="17"/>
        <v>110</v>
      </c>
      <c r="C123" s="75">
        <v>18132214538</v>
      </c>
      <c r="D123" s="40" t="s">
        <v>349</v>
      </c>
      <c r="E123" s="75">
        <v>298000</v>
      </c>
      <c r="F123" s="76">
        <v>0.96129032258064517</v>
      </c>
      <c r="G123" s="80">
        <v>44515</v>
      </c>
      <c r="H123">
        <v>310000</v>
      </c>
      <c r="I123" s="71">
        <f t="shared" si="9"/>
        <v>12000</v>
      </c>
      <c r="J123" s="72">
        <f t="shared" si="10"/>
        <v>144000000</v>
      </c>
      <c r="K123" s="71">
        <f t="shared" si="11"/>
        <v>346714.77227722772</v>
      </c>
      <c r="L123" s="71">
        <f t="shared" si="12"/>
        <v>-36714.772277227719</v>
      </c>
      <c r="M123" s="72">
        <f t="shared" si="13"/>
        <v>1347974503.3686891</v>
      </c>
      <c r="N123" s="73">
        <f t="shared" si="14"/>
        <v>3.4000536145116556E-2</v>
      </c>
      <c r="O123" s="74">
        <f t="shared" si="15"/>
        <v>4.2216730229657995E-2</v>
      </c>
      <c r="P123" s="74">
        <f t="shared" si="16"/>
        <v>1.7822523112837191E-3</v>
      </c>
    </row>
    <row r="124" spans="1:16" x14ac:dyDescent="0.3">
      <c r="A124">
        <f t="shared" si="17"/>
        <v>111</v>
      </c>
      <c r="C124" s="66">
        <v>18132313503</v>
      </c>
      <c r="D124" s="40" t="s">
        <v>349</v>
      </c>
      <c r="E124" s="66">
        <v>346200</v>
      </c>
      <c r="F124" s="68">
        <v>0.96166666666666667</v>
      </c>
      <c r="G124" s="80">
        <v>44483</v>
      </c>
      <c r="H124">
        <v>360000</v>
      </c>
      <c r="I124" s="71">
        <f t="shared" si="9"/>
        <v>13800</v>
      </c>
      <c r="J124" s="72">
        <f t="shared" si="10"/>
        <v>190440000</v>
      </c>
      <c r="K124" s="71">
        <f t="shared" si="11"/>
        <v>346714.77227722772</v>
      </c>
      <c r="L124" s="71">
        <f t="shared" si="12"/>
        <v>13285.227722772281</v>
      </c>
      <c r="M124" s="72">
        <f t="shared" si="13"/>
        <v>176497275.64591715</v>
      </c>
      <c r="N124" s="73">
        <f t="shared" si="14"/>
        <v>3.3624192059095059E-2</v>
      </c>
      <c r="O124" s="74">
        <f t="shared" si="15"/>
        <v>4.1840386143636499E-2</v>
      </c>
      <c r="P124" s="74">
        <f t="shared" si="16"/>
        <v>1.7506179126486091E-3</v>
      </c>
    </row>
    <row r="125" spans="1:16" x14ac:dyDescent="0.3">
      <c r="A125">
        <f t="shared" si="17"/>
        <v>112</v>
      </c>
      <c r="C125" s="75">
        <v>18132322463</v>
      </c>
      <c r="D125" s="40" t="s">
        <v>349</v>
      </c>
      <c r="E125" s="75">
        <v>244100</v>
      </c>
      <c r="F125" s="76">
        <v>0.95725490196078433</v>
      </c>
      <c r="G125" s="80">
        <v>44229</v>
      </c>
      <c r="H125">
        <v>255000</v>
      </c>
      <c r="I125" s="71">
        <f t="shared" si="9"/>
        <v>10900</v>
      </c>
      <c r="J125" s="72">
        <f t="shared" si="10"/>
        <v>118810000</v>
      </c>
      <c r="K125" s="71">
        <f t="shared" si="11"/>
        <v>346714.77227722772</v>
      </c>
      <c r="L125" s="71">
        <f t="shared" si="12"/>
        <v>-91714.772277227719</v>
      </c>
      <c r="M125" s="72">
        <f t="shared" si="13"/>
        <v>8411599453.8637381</v>
      </c>
      <c r="N125" s="73">
        <f t="shared" si="14"/>
        <v>3.8035956764977397E-2</v>
      </c>
      <c r="O125" s="74">
        <f t="shared" si="15"/>
        <v>4.6252150849518836E-2</v>
      </c>
      <c r="P125" s="74">
        <f t="shared" si="16"/>
        <v>2.1392614582066462E-3</v>
      </c>
    </row>
    <row r="126" spans="1:16" x14ac:dyDescent="0.3">
      <c r="A126">
        <f t="shared" si="17"/>
        <v>113</v>
      </c>
      <c r="C126" s="66">
        <v>18132333400</v>
      </c>
      <c r="D126" s="40" t="s">
        <v>349</v>
      </c>
      <c r="E126" s="66">
        <v>327000</v>
      </c>
      <c r="F126" s="68">
        <v>0.96176470588235297</v>
      </c>
      <c r="G126" s="80">
        <v>45082</v>
      </c>
      <c r="H126">
        <v>340000</v>
      </c>
      <c r="I126" s="71">
        <f t="shared" si="9"/>
        <v>13000</v>
      </c>
      <c r="J126" s="72">
        <f t="shared" si="10"/>
        <v>169000000</v>
      </c>
      <c r="K126" s="71">
        <f t="shared" si="11"/>
        <v>346714.77227722772</v>
      </c>
      <c r="L126" s="71">
        <f t="shared" si="12"/>
        <v>-6714.7722772277193</v>
      </c>
      <c r="M126" s="72">
        <f t="shared" si="13"/>
        <v>45088166.735025935</v>
      </c>
      <c r="N126" s="73">
        <f t="shared" si="14"/>
        <v>3.3526152843408763E-2</v>
      </c>
      <c r="O126" s="74">
        <f t="shared" si="15"/>
        <v>4.1742346927950202E-2</v>
      </c>
      <c r="P126" s="74">
        <f t="shared" si="16"/>
        <v>1.7424235270533538E-3</v>
      </c>
    </row>
    <row r="127" spans="1:16" x14ac:dyDescent="0.3">
      <c r="A127">
        <f t="shared" si="17"/>
        <v>114</v>
      </c>
      <c r="C127" s="75">
        <v>18132243036</v>
      </c>
      <c r="D127" s="40" t="s">
        <v>349</v>
      </c>
      <c r="E127" s="75">
        <v>214600</v>
      </c>
      <c r="F127" s="76">
        <v>0.97545454545454546</v>
      </c>
      <c r="G127" s="80">
        <v>44391</v>
      </c>
      <c r="H127">
        <v>220000</v>
      </c>
      <c r="I127" s="71">
        <f t="shared" si="9"/>
        <v>5400</v>
      </c>
      <c r="J127" s="72">
        <f t="shared" si="10"/>
        <v>29160000</v>
      </c>
      <c r="K127" s="71">
        <f t="shared" si="11"/>
        <v>346714.77227722772</v>
      </c>
      <c r="L127" s="71">
        <f t="shared" si="12"/>
        <v>-126714.77227722772</v>
      </c>
      <c r="M127" s="72">
        <f t="shared" si="13"/>
        <v>16056633513.269678</v>
      </c>
      <c r="N127" s="73">
        <f t="shared" si="14"/>
        <v>1.9836313271216266E-2</v>
      </c>
      <c r="O127" s="74">
        <f t="shared" si="15"/>
        <v>2.8052507355757705E-2</v>
      </c>
      <c r="P127" s="74">
        <f t="shared" si="16"/>
        <v>7.8694316894484012E-4</v>
      </c>
    </row>
    <row r="128" spans="1:16" x14ac:dyDescent="0.3">
      <c r="A128">
        <f t="shared" si="17"/>
        <v>115</v>
      </c>
      <c r="C128" s="66">
        <v>18132322478</v>
      </c>
      <c r="D128" s="40" t="s">
        <v>349</v>
      </c>
      <c r="E128" s="66">
        <v>276100</v>
      </c>
      <c r="F128" s="68">
        <v>0.95868055555555554</v>
      </c>
      <c r="G128" s="80">
        <v>44823</v>
      </c>
      <c r="H128">
        <v>288000</v>
      </c>
      <c r="I128" s="71">
        <f t="shared" si="9"/>
        <v>11900</v>
      </c>
      <c r="J128" s="72">
        <f t="shared" si="10"/>
        <v>141610000</v>
      </c>
      <c r="K128" s="71">
        <f t="shared" si="11"/>
        <v>346714.77227722772</v>
      </c>
      <c r="L128" s="71">
        <f t="shared" si="12"/>
        <v>-58714.772277227719</v>
      </c>
      <c r="M128" s="72">
        <f t="shared" si="13"/>
        <v>3447424483.5667086</v>
      </c>
      <c r="N128" s="73">
        <f t="shared" si="14"/>
        <v>3.6610303170206193E-2</v>
      </c>
      <c r="O128" s="74">
        <f t="shared" si="15"/>
        <v>4.4826497254747633E-2</v>
      </c>
      <c r="P128" s="74">
        <f t="shared" si="16"/>
        <v>2.0094148561298972E-3</v>
      </c>
    </row>
    <row r="129" spans="1:16" x14ac:dyDescent="0.3">
      <c r="A129">
        <f t="shared" si="17"/>
        <v>116</v>
      </c>
      <c r="C129" s="75">
        <v>18132331445</v>
      </c>
      <c r="D129" s="40" t="s">
        <v>349</v>
      </c>
      <c r="E129" s="75">
        <v>557100</v>
      </c>
      <c r="F129" s="76">
        <v>0.96886956521739132</v>
      </c>
      <c r="G129" s="80">
        <v>44893</v>
      </c>
      <c r="H129">
        <v>575000</v>
      </c>
      <c r="I129" s="71">
        <f t="shared" si="9"/>
        <v>17900</v>
      </c>
      <c r="J129" s="72">
        <f t="shared" si="10"/>
        <v>320410000</v>
      </c>
      <c r="K129" s="71">
        <f t="shared" si="11"/>
        <v>346714.77227722772</v>
      </c>
      <c r="L129" s="71">
        <f t="shared" si="12"/>
        <v>228285.22772277228</v>
      </c>
      <c r="M129" s="72">
        <f t="shared" si="13"/>
        <v>52114145196.437996</v>
      </c>
      <c r="N129" s="73">
        <f t="shared" si="14"/>
        <v>2.6421293508370414E-2</v>
      </c>
      <c r="O129" s="74">
        <f t="shared" si="15"/>
        <v>3.4637487592911853E-2</v>
      </c>
      <c r="P129" s="74">
        <f t="shared" si="16"/>
        <v>1.1997555467491226E-3</v>
      </c>
    </row>
    <row r="130" spans="1:16" x14ac:dyDescent="0.3">
      <c r="A130">
        <f t="shared" si="17"/>
        <v>117</v>
      </c>
      <c r="C130" s="66">
        <v>18132241407</v>
      </c>
      <c r="D130" s="40" t="s">
        <v>349</v>
      </c>
      <c r="E130" s="66">
        <v>407700</v>
      </c>
      <c r="F130" s="68">
        <v>0.97071428571428575</v>
      </c>
      <c r="G130" s="80">
        <v>44642</v>
      </c>
      <c r="H130">
        <v>420000</v>
      </c>
      <c r="I130" s="71">
        <f t="shared" si="9"/>
        <v>12300</v>
      </c>
      <c r="J130" s="72">
        <f t="shared" si="10"/>
        <v>151290000</v>
      </c>
      <c r="K130" s="71">
        <f t="shared" si="11"/>
        <v>346714.77227722772</v>
      </c>
      <c r="L130" s="71">
        <f t="shared" si="12"/>
        <v>73285.227722772281</v>
      </c>
      <c r="M130" s="72">
        <f t="shared" si="13"/>
        <v>5370724602.3785906</v>
      </c>
      <c r="N130" s="73">
        <f t="shared" si="14"/>
        <v>2.4576573011475977E-2</v>
      </c>
      <c r="O130" s="74">
        <f t="shared" si="15"/>
        <v>3.2792767096017417E-2</v>
      </c>
      <c r="P130" s="74">
        <f t="shared" si="16"/>
        <v>1.0753655738136427E-3</v>
      </c>
    </row>
    <row r="131" spans="1:16" x14ac:dyDescent="0.3">
      <c r="A131">
        <f t="shared" si="17"/>
        <v>118</v>
      </c>
      <c r="C131" s="75">
        <v>18132323454</v>
      </c>
      <c r="D131" s="40" t="s">
        <v>349</v>
      </c>
      <c r="E131" s="75">
        <v>358700</v>
      </c>
      <c r="F131" s="76">
        <v>0.96945945945945944</v>
      </c>
      <c r="G131" s="80">
        <v>44805</v>
      </c>
      <c r="H131">
        <v>370000</v>
      </c>
      <c r="I131" s="71">
        <f t="shared" si="9"/>
        <v>11300</v>
      </c>
      <c r="J131" s="72">
        <f t="shared" si="10"/>
        <v>127690000</v>
      </c>
      <c r="K131" s="71">
        <f t="shared" si="11"/>
        <v>346714.77227722772</v>
      </c>
      <c r="L131" s="71">
        <f t="shared" si="12"/>
        <v>23285.227722772281</v>
      </c>
      <c r="M131" s="72">
        <f t="shared" si="13"/>
        <v>542201830.10136282</v>
      </c>
      <c r="N131" s="73">
        <f t="shared" si="14"/>
        <v>2.5831399266302291E-2</v>
      </c>
      <c r="O131" s="74">
        <f t="shared" si="15"/>
        <v>3.404759335084373E-2</v>
      </c>
      <c r="P131" s="74">
        <f t="shared" si="16"/>
        <v>1.1592386129844182E-3</v>
      </c>
    </row>
    <row r="132" spans="1:16" x14ac:dyDescent="0.3">
      <c r="A132">
        <f t="shared" si="17"/>
        <v>119</v>
      </c>
      <c r="C132" s="66">
        <v>18132212419</v>
      </c>
      <c r="D132" s="40" t="s">
        <v>349</v>
      </c>
      <c r="E132" s="66">
        <v>435000</v>
      </c>
      <c r="F132" s="68">
        <v>0.9709821428571429</v>
      </c>
      <c r="G132" s="80">
        <v>44628</v>
      </c>
      <c r="H132">
        <v>448000</v>
      </c>
      <c r="I132" s="71">
        <f t="shared" si="9"/>
        <v>13000</v>
      </c>
      <c r="J132" s="72">
        <f t="shared" si="10"/>
        <v>169000000</v>
      </c>
      <c r="K132" s="71">
        <f t="shared" si="11"/>
        <v>346714.77227722772</v>
      </c>
      <c r="L132" s="71">
        <f t="shared" si="12"/>
        <v>101285.22772277228</v>
      </c>
      <c r="M132" s="72">
        <f t="shared" si="13"/>
        <v>10258697354.853838</v>
      </c>
      <c r="N132" s="73">
        <f t="shared" si="14"/>
        <v>2.4308715868618824E-2</v>
      </c>
      <c r="O132" s="74">
        <f t="shared" si="15"/>
        <v>3.2524909953160264E-2</v>
      </c>
      <c r="P132" s="74">
        <f t="shared" si="16"/>
        <v>1.0578697674611835E-3</v>
      </c>
    </row>
    <row r="133" spans="1:16" x14ac:dyDescent="0.3">
      <c r="A133">
        <f t="shared" si="17"/>
        <v>120</v>
      </c>
      <c r="C133" s="75">
        <v>18132323534</v>
      </c>
      <c r="D133" s="40" t="s">
        <v>349</v>
      </c>
      <c r="E133" s="75">
        <v>268500</v>
      </c>
      <c r="F133" s="76">
        <v>0.97282608695652173</v>
      </c>
      <c r="G133" s="80">
        <v>44461</v>
      </c>
      <c r="H133">
        <v>276000</v>
      </c>
      <c r="I133" s="71">
        <f t="shared" si="9"/>
        <v>7500</v>
      </c>
      <c r="J133" s="72">
        <f t="shared" si="10"/>
        <v>56250000</v>
      </c>
      <c r="K133" s="71">
        <f t="shared" si="11"/>
        <v>346714.77227722772</v>
      </c>
      <c r="L133" s="71">
        <f t="shared" si="12"/>
        <v>-70714.772277227719</v>
      </c>
      <c r="M133" s="72">
        <f t="shared" si="13"/>
        <v>5000579018.2201738</v>
      </c>
      <c r="N133" s="73">
        <f t="shared" si="14"/>
        <v>2.246477176924E-2</v>
      </c>
      <c r="O133" s="74">
        <f t="shared" si="15"/>
        <v>3.0680965853781439E-2</v>
      </c>
      <c r="P133" s="74">
        <f t="shared" si="16"/>
        <v>9.4132166572090262E-4</v>
      </c>
    </row>
    <row r="134" spans="1:16" x14ac:dyDescent="0.3">
      <c r="A134">
        <f t="shared" si="17"/>
        <v>121</v>
      </c>
      <c r="C134" s="66">
        <v>18132332484</v>
      </c>
      <c r="D134" s="40" t="s">
        <v>349</v>
      </c>
      <c r="E134" s="66">
        <v>367000</v>
      </c>
      <c r="F134" s="68">
        <v>0.97347480106100792</v>
      </c>
      <c r="G134" s="80">
        <v>45026</v>
      </c>
      <c r="H134">
        <v>377000</v>
      </c>
      <c r="I134" s="71">
        <f t="shared" si="9"/>
        <v>10000</v>
      </c>
      <c r="J134" s="72">
        <f t="shared" si="10"/>
        <v>100000000</v>
      </c>
      <c r="K134" s="71">
        <f t="shared" si="11"/>
        <v>346714.77227722772</v>
      </c>
      <c r="L134" s="71">
        <f t="shared" si="12"/>
        <v>30285.227722772281</v>
      </c>
      <c r="M134" s="72">
        <f t="shared" si="13"/>
        <v>917195018.22017467</v>
      </c>
      <c r="N134" s="73">
        <f t="shared" si="14"/>
        <v>2.1816057664753807E-2</v>
      </c>
      <c r="O134" s="74">
        <f t="shared" si="15"/>
        <v>3.0032251749295247E-2</v>
      </c>
      <c r="P134" s="74">
        <f t="shared" si="16"/>
        <v>9.0193614513304739E-4</v>
      </c>
    </row>
    <row r="135" spans="1:16" x14ac:dyDescent="0.3">
      <c r="A135">
        <f t="shared" si="17"/>
        <v>122</v>
      </c>
      <c r="C135" s="75">
        <v>18132214443</v>
      </c>
      <c r="D135" s="40" t="s">
        <v>349</v>
      </c>
      <c r="E135" s="75">
        <v>331100</v>
      </c>
      <c r="F135" s="76">
        <v>0.97382352941176475</v>
      </c>
      <c r="G135" s="80">
        <v>44883</v>
      </c>
      <c r="H135">
        <v>340000</v>
      </c>
      <c r="I135" s="71">
        <f t="shared" si="9"/>
        <v>8900</v>
      </c>
      <c r="J135" s="72">
        <f t="shared" si="10"/>
        <v>79210000</v>
      </c>
      <c r="K135" s="71">
        <f t="shared" si="11"/>
        <v>346714.77227722772</v>
      </c>
      <c r="L135" s="71">
        <f t="shared" si="12"/>
        <v>-6714.7722772277193</v>
      </c>
      <c r="M135" s="72">
        <f t="shared" si="13"/>
        <v>45088166.735025935</v>
      </c>
      <c r="N135" s="73">
        <f t="shared" si="14"/>
        <v>2.1467329313996975E-2</v>
      </c>
      <c r="O135" s="74">
        <f t="shared" si="15"/>
        <v>2.9683523398538414E-2</v>
      </c>
      <c r="P135" s="74">
        <f t="shared" si="16"/>
        <v>8.8111156135157749E-4</v>
      </c>
    </row>
    <row r="136" spans="1:16" x14ac:dyDescent="0.3">
      <c r="A136">
        <f t="shared" si="17"/>
        <v>123</v>
      </c>
      <c r="C136" s="66">
        <v>18132332437</v>
      </c>
      <c r="D136" s="40" t="s">
        <v>349</v>
      </c>
      <c r="E136" s="66">
        <v>347200</v>
      </c>
      <c r="F136" s="68">
        <v>0.97802816901408451</v>
      </c>
      <c r="G136" s="80">
        <v>44364</v>
      </c>
      <c r="H136">
        <v>355000</v>
      </c>
      <c r="I136" s="71">
        <f t="shared" si="9"/>
        <v>7800</v>
      </c>
      <c r="J136" s="72">
        <f t="shared" si="10"/>
        <v>60840000</v>
      </c>
      <c r="K136" s="71">
        <f t="shared" si="11"/>
        <v>346714.77227722772</v>
      </c>
      <c r="L136" s="71">
        <f t="shared" si="12"/>
        <v>8285.2277227722807</v>
      </c>
      <c r="M136" s="72">
        <f t="shared" si="13"/>
        <v>68644998.418194354</v>
      </c>
      <c r="N136" s="73">
        <f t="shared" si="14"/>
        <v>1.7262689711677215E-2</v>
      </c>
      <c r="O136" s="74">
        <f t="shared" si="15"/>
        <v>2.5478883796218654E-2</v>
      </c>
      <c r="P136" s="74">
        <f t="shared" si="16"/>
        <v>6.4917351950121349E-4</v>
      </c>
    </row>
    <row r="137" spans="1:16" x14ac:dyDescent="0.3">
      <c r="A137">
        <f t="shared" si="17"/>
        <v>124</v>
      </c>
      <c r="C137" s="75">
        <v>18132322483</v>
      </c>
      <c r="D137" s="40" t="s">
        <v>349</v>
      </c>
      <c r="E137" s="75">
        <v>231800</v>
      </c>
      <c r="F137" s="76">
        <v>0.96583333333333332</v>
      </c>
      <c r="G137" s="80">
        <v>44411</v>
      </c>
      <c r="H137">
        <v>240000</v>
      </c>
      <c r="I137" s="71">
        <f t="shared" si="9"/>
        <v>8200</v>
      </c>
      <c r="J137" s="72">
        <f t="shared" si="10"/>
        <v>67240000</v>
      </c>
      <c r="K137" s="71">
        <f t="shared" si="11"/>
        <v>346714.77227722772</v>
      </c>
      <c r="L137" s="71">
        <f t="shared" si="12"/>
        <v>-106714.77227722772</v>
      </c>
      <c r="M137" s="72">
        <f t="shared" si="13"/>
        <v>11388042622.180571</v>
      </c>
      <c r="N137" s="73">
        <f t="shared" si="14"/>
        <v>2.9457525392428408E-2</v>
      </c>
      <c r="O137" s="74">
        <f t="shared" si="15"/>
        <v>3.7673719476969847E-2</v>
      </c>
      <c r="P137" s="74">
        <f t="shared" si="16"/>
        <v>1.4193091392294172E-3</v>
      </c>
    </row>
    <row r="138" spans="1:16" x14ac:dyDescent="0.3">
      <c r="A138">
        <f t="shared" si="17"/>
        <v>125</v>
      </c>
      <c r="C138" s="66">
        <v>18132321514</v>
      </c>
      <c r="D138" s="40" t="s">
        <v>349</v>
      </c>
      <c r="E138" s="66">
        <v>212800</v>
      </c>
      <c r="F138" s="68">
        <v>0.96727272727272728</v>
      </c>
      <c r="G138" s="80">
        <v>45159</v>
      </c>
      <c r="H138">
        <v>220000</v>
      </c>
      <c r="I138" s="71">
        <f t="shared" si="9"/>
        <v>7200</v>
      </c>
      <c r="J138" s="72">
        <f t="shared" si="10"/>
        <v>51840000</v>
      </c>
      <c r="K138" s="71">
        <f t="shared" si="11"/>
        <v>346714.77227722772</v>
      </c>
      <c r="L138" s="71">
        <f t="shared" si="12"/>
        <v>-126714.77227722772</v>
      </c>
      <c r="M138" s="72">
        <f t="shared" si="13"/>
        <v>16056633513.269678</v>
      </c>
      <c r="N138" s="73">
        <f t="shared" si="14"/>
        <v>2.8018131453034445E-2</v>
      </c>
      <c r="O138" s="74">
        <f t="shared" si="15"/>
        <v>3.6234325537575884E-2</v>
      </c>
      <c r="P138" s="74">
        <f t="shared" si="16"/>
        <v>1.3129263471630239E-3</v>
      </c>
    </row>
    <row r="139" spans="1:16" x14ac:dyDescent="0.3">
      <c r="A139">
        <f t="shared" si="17"/>
        <v>126</v>
      </c>
      <c r="C139" s="75">
        <v>18132322450</v>
      </c>
      <c r="D139" s="40" t="s">
        <v>349</v>
      </c>
      <c r="E139" s="75">
        <v>401100</v>
      </c>
      <c r="F139" s="76">
        <v>0.9830882352941176</v>
      </c>
      <c r="G139" s="80">
        <v>44743</v>
      </c>
      <c r="H139">
        <v>408000</v>
      </c>
      <c r="I139" s="71">
        <f t="shared" si="9"/>
        <v>6900</v>
      </c>
      <c r="J139" s="72">
        <f t="shared" si="10"/>
        <v>47610000</v>
      </c>
      <c r="K139" s="71">
        <f t="shared" si="11"/>
        <v>346714.77227722772</v>
      </c>
      <c r="L139" s="71">
        <f t="shared" si="12"/>
        <v>61285.227722772281</v>
      </c>
      <c r="M139" s="72">
        <f t="shared" si="13"/>
        <v>3755879137.0320563</v>
      </c>
      <c r="N139" s="73">
        <f t="shared" si="14"/>
        <v>1.2202623431644133E-2</v>
      </c>
      <c r="O139" s="74">
        <f t="shared" si="15"/>
        <v>2.0418817516185572E-2</v>
      </c>
      <c r="P139" s="74">
        <f t="shared" si="16"/>
        <v>4.1692810875928674E-4</v>
      </c>
    </row>
    <row r="140" spans="1:16" x14ac:dyDescent="0.3">
      <c r="A140">
        <f t="shared" si="17"/>
        <v>127</v>
      </c>
      <c r="C140" s="66">
        <v>18132324492</v>
      </c>
      <c r="D140" s="40" t="s">
        <v>349</v>
      </c>
      <c r="E140" s="66">
        <v>372800</v>
      </c>
      <c r="F140" s="68">
        <v>0.9810526315789474</v>
      </c>
      <c r="G140" s="80">
        <v>44586</v>
      </c>
      <c r="H140">
        <v>380000</v>
      </c>
      <c r="I140" s="71">
        <f t="shared" si="9"/>
        <v>7200</v>
      </c>
      <c r="J140" s="72">
        <f t="shared" si="10"/>
        <v>51840000</v>
      </c>
      <c r="K140" s="71">
        <f t="shared" si="11"/>
        <v>346714.77227722772</v>
      </c>
      <c r="L140" s="71">
        <f t="shared" si="12"/>
        <v>33285.227722772281</v>
      </c>
      <c r="M140" s="72">
        <f t="shared" si="13"/>
        <v>1107906384.5568085</v>
      </c>
      <c r="N140" s="73">
        <f t="shared" si="14"/>
        <v>1.4238227146814331E-2</v>
      </c>
      <c r="O140" s="74">
        <f t="shared" si="15"/>
        <v>2.245442123135577E-2</v>
      </c>
      <c r="P140" s="74">
        <f t="shared" si="16"/>
        <v>5.0420103283516083E-4</v>
      </c>
    </row>
    <row r="141" spans="1:16" x14ac:dyDescent="0.3">
      <c r="A141">
        <f t="shared" si="17"/>
        <v>128</v>
      </c>
      <c r="C141" s="75">
        <v>18132322461</v>
      </c>
      <c r="D141" s="40" t="s">
        <v>349</v>
      </c>
      <c r="E141" s="75">
        <v>283300</v>
      </c>
      <c r="F141" s="76">
        <v>0.97689655172413792</v>
      </c>
      <c r="G141" s="80">
        <v>44945</v>
      </c>
      <c r="H141">
        <v>290000</v>
      </c>
      <c r="I141" s="71">
        <f t="shared" si="9"/>
        <v>6700</v>
      </c>
      <c r="J141" s="72">
        <f t="shared" si="10"/>
        <v>44890000</v>
      </c>
      <c r="K141" s="71">
        <f t="shared" si="11"/>
        <v>346714.77227722772</v>
      </c>
      <c r="L141" s="71">
        <f t="shared" si="12"/>
        <v>-56714.772277227719</v>
      </c>
      <c r="M141" s="72">
        <f t="shared" si="13"/>
        <v>3216565394.457798</v>
      </c>
      <c r="N141" s="73">
        <f t="shared" si="14"/>
        <v>1.8394307001623811E-2</v>
      </c>
      <c r="O141" s="74">
        <f t="shared" si="15"/>
        <v>2.661050108616525E-2</v>
      </c>
      <c r="P141" s="74">
        <f t="shared" si="16"/>
        <v>7.0811876805680195E-4</v>
      </c>
    </row>
    <row r="142" spans="1:16" x14ac:dyDescent="0.3">
      <c r="A142">
        <f t="shared" si="17"/>
        <v>129</v>
      </c>
      <c r="C142" s="66">
        <v>18132331492</v>
      </c>
      <c r="D142" s="40" t="s">
        <v>349</v>
      </c>
      <c r="E142" s="66">
        <v>412100</v>
      </c>
      <c r="F142" s="68">
        <v>0.98119047619047617</v>
      </c>
      <c r="G142" s="80">
        <v>44264</v>
      </c>
      <c r="H142">
        <v>420000</v>
      </c>
      <c r="I142" s="71">
        <f t="shared" ref="I142:I205" si="18">+H142-E142</f>
        <v>7900</v>
      </c>
      <c r="J142" s="72">
        <f t="shared" ref="J142:J205" si="19">+I142^2</f>
        <v>62410000</v>
      </c>
      <c r="K142" s="71">
        <f t="shared" ref="K142:K205" si="20">AVERAGE($H$14:$H$1582)</f>
        <v>346714.77227722772</v>
      </c>
      <c r="L142" s="71">
        <f t="shared" ref="L142:L205" si="21">+H142-K142</f>
        <v>73285.227722772281</v>
      </c>
      <c r="M142" s="72">
        <f t="shared" ref="M142:M205" si="22">+L142^2</f>
        <v>5370724602.3785906</v>
      </c>
      <c r="N142" s="73">
        <f t="shared" ref="N142:N205" si="23">ABS(+$F$2-F142)</f>
        <v>1.4100382535285561E-2</v>
      </c>
      <c r="O142" s="74">
        <f t="shared" ref="O142:O205" si="24">+$F$3-F142</f>
        <v>2.2316576619827E-2</v>
      </c>
      <c r="P142" s="74">
        <f t="shared" ref="P142:P205" si="25">+O142*O142</f>
        <v>4.9802959202860906E-4</v>
      </c>
    </row>
    <row r="143" spans="1:16" x14ac:dyDescent="0.3">
      <c r="A143">
        <f t="shared" ref="A143:A206" si="26">+A142+1</f>
        <v>130</v>
      </c>
      <c r="C143" s="75">
        <v>18132213443</v>
      </c>
      <c r="D143" s="40" t="s">
        <v>349</v>
      </c>
      <c r="E143" s="75">
        <v>279900</v>
      </c>
      <c r="F143" s="76">
        <v>0.9821052631578947</v>
      </c>
      <c r="G143" s="80">
        <v>44406</v>
      </c>
      <c r="H143">
        <v>285000</v>
      </c>
      <c r="I143" s="71">
        <f t="shared" si="18"/>
        <v>5100</v>
      </c>
      <c r="J143" s="72">
        <f t="shared" si="19"/>
        <v>26010000</v>
      </c>
      <c r="K143" s="71">
        <f t="shared" si="20"/>
        <v>346714.77227722772</v>
      </c>
      <c r="L143" s="71">
        <f t="shared" si="21"/>
        <v>-61714.772277227719</v>
      </c>
      <c r="M143" s="72">
        <f t="shared" si="22"/>
        <v>3808713117.2300749</v>
      </c>
      <c r="N143" s="73">
        <f t="shared" si="23"/>
        <v>1.3185595567867026E-2</v>
      </c>
      <c r="O143" s="74">
        <f t="shared" si="24"/>
        <v>2.1401789652408465E-2</v>
      </c>
      <c r="P143" s="74">
        <f t="shared" si="25"/>
        <v>4.5803660032593804E-4</v>
      </c>
    </row>
    <row r="144" spans="1:16" x14ac:dyDescent="0.3">
      <c r="A144">
        <f t="shared" si="26"/>
        <v>131</v>
      </c>
      <c r="C144" s="66">
        <v>18132333010</v>
      </c>
      <c r="D144" s="40" t="s">
        <v>349</v>
      </c>
      <c r="E144" s="66">
        <v>407200</v>
      </c>
      <c r="F144" s="68">
        <v>0.98476420798065301</v>
      </c>
      <c r="G144" s="80">
        <v>44778</v>
      </c>
      <c r="H144">
        <v>413500</v>
      </c>
      <c r="I144" s="71">
        <f t="shared" si="18"/>
        <v>6300</v>
      </c>
      <c r="J144" s="72">
        <f t="shared" si="19"/>
        <v>39690000</v>
      </c>
      <c r="K144" s="71">
        <f t="shared" si="20"/>
        <v>346714.77227722772</v>
      </c>
      <c r="L144" s="71">
        <f t="shared" si="21"/>
        <v>66785.227722772281</v>
      </c>
      <c r="M144" s="72">
        <f t="shared" si="22"/>
        <v>4460266641.9825516</v>
      </c>
      <c r="N144" s="73">
        <f t="shared" si="23"/>
        <v>1.0526650745108723E-2</v>
      </c>
      <c r="O144" s="74">
        <f t="shared" si="24"/>
        <v>1.8742844829650163E-2</v>
      </c>
      <c r="P144" s="74">
        <f t="shared" si="25"/>
        <v>3.5129423230834383E-4</v>
      </c>
    </row>
    <row r="145" spans="1:16" x14ac:dyDescent="0.3">
      <c r="A145">
        <f t="shared" si="26"/>
        <v>132</v>
      </c>
      <c r="C145" s="75">
        <v>18132332413</v>
      </c>
      <c r="D145" s="40" t="s">
        <v>349</v>
      </c>
      <c r="E145" s="75">
        <v>392700</v>
      </c>
      <c r="F145" s="76">
        <v>0.98175000000000001</v>
      </c>
      <c r="G145" s="80">
        <v>44243</v>
      </c>
      <c r="H145">
        <v>400000</v>
      </c>
      <c r="I145" s="71">
        <f t="shared" si="18"/>
        <v>7300</v>
      </c>
      <c r="J145" s="72">
        <f t="shared" si="19"/>
        <v>53290000</v>
      </c>
      <c r="K145" s="71">
        <f t="shared" si="20"/>
        <v>346714.77227722772</v>
      </c>
      <c r="L145" s="71">
        <f t="shared" si="21"/>
        <v>53285.227722772281</v>
      </c>
      <c r="M145" s="72">
        <f t="shared" si="22"/>
        <v>2839315493.4676995</v>
      </c>
      <c r="N145" s="73">
        <f t="shared" si="23"/>
        <v>1.3540858725761717E-2</v>
      </c>
      <c r="O145" s="74">
        <f t="shared" si="24"/>
        <v>2.1757052810303157E-2</v>
      </c>
      <c r="P145" s="74">
        <f t="shared" si="25"/>
        <v>4.733693469903205E-4</v>
      </c>
    </row>
    <row r="146" spans="1:16" x14ac:dyDescent="0.3">
      <c r="A146">
        <f t="shared" si="26"/>
        <v>133</v>
      </c>
      <c r="C146" s="66">
        <v>18132322444</v>
      </c>
      <c r="D146" s="40" t="s">
        <v>349</v>
      </c>
      <c r="E146" s="66">
        <v>284300</v>
      </c>
      <c r="F146" s="68">
        <v>0.98373702422145326</v>
      </c>
      <c r="G146" s="80">
        <v>45238</v>
      </c>
      <c r="H146">
        <v>289000</v>
      </c>
      <c r="I146" s="71">
        <f t="shared" si="18"/>
        <v>4700</v>
      </c>
      <c r="J146" s="72">
        <f t="shared" si="19"/>
        <v>22090000</v>
      </c>
      <c r="K146" s="71">
        <f t="shared" si="20"/>
        <v>346714.77227722772</v>
      </c>
      <c r="L146" s="71">
        <f t="shared" si="21"/>
        <v>-57714.772277227719</v>
      </c>
      <c r="M146" s="72">
        <f t="shared" si="22"/>
        <v>3330994939.0122533</v>
      </c>
      <c r="N146" s="73">
        <f t="shared" si="23"/>
        <v>1.1553834504308469E-2</v>
      </c>
      <c r="O146" s="74">
        <f t="shared" si="24"/>
        <v>1.9770028588849908E-2</v>
      </c>
      <c r="P146" s="74">
        <f t="shared" si="25"/>
        <v>3.9085403040394271E-4</v>
      </c>
    </row>
    <row r="147" spans="1:16" x14ac:dyDescent="0.3">
      <c r="A147">
        <f t="shared" si="26"/>
        <v>134</v>
      </c>
      <c r="C147" s="75">
        <v>18132244446</v>
      </c>
      <c r="D147" s="40" t="s">
        <v>349</v>
      </c>
      <c r="E147" s="75">
        <v>326100</v>
      </c>
      <c r="F147" s="76">
        <v>0.98818181818181816</v>
      </c>
      <c r="G147" s="80">
        <v>44509</v>
      </c>
      <c r="H147">
        <v>330000</v>
      </c>
      <c r="I147" s="71">
        <f t="shared" si="18"/>
        <v>3900</v>
      </c>
      <c r="J147" s="72">
        <f t="shared" si="19"/>
        <v>15210000</v>
      </c>
      <c r="K147" s="71">
        <f t="shared" si="20"/>
        <v>346714.77227722772</v>
      </c>
      <c r="L147" s="71">
        <f t="shared" si="21"/>
        <v>-16714.772277227719</v>
      </c>
      <c r="M147" s="72">
        <f t="shared" si="22"/>
        <v>279383612.2795803</v>
      </c>
      <c r="N147" s="73">
        <f t="shared" si="23"/>
        <v>7.1090405439435678E-3</v>
      </c>
      <c r="O147" s="74">
        <f t="shared" si="24"/>
        <v>1.5325234628485007E-2</v>
      </c>
      <c r="P147" s="74">
        <f t="shared" si="25"/>
        <v>2.3486281641811599E-4</v>
      </c>
    </row>
    <row r="148" spans="1:16" x14ac:dyDescent="0.3">
      <c r="A148">
        <f t="shared" si="26"/>
        <v>135</v>
      </c>
      <c r="C148" s="66">
        <v>18132244413</v>
      </c>
      <c r="D148" s="40" t="s">
        <v>349</v>
      </c>
      <c r="E148" s="66">
        <v>304600</v>
      </c>
      <c r="F148" s="68">
        <v>0.9857605177993527</v>
      </c>
      <c r="G148" s="80">
        <v>44466</v>
      </c>
      <c r="H148">
        <v>309000</v>
      </c>
      <c r="I148" s="71">
        <f t="shared" si="18"/>
        <v>4400</v>
      </c>
      <c r="J148" s="72">
        <f t="shared" si="19"/>
        <v>19360000</v>
      </c>
      <c r="K148" s="71">
        <f t="shared" si="20"/>
        <v>346714.77227722772</v>
      </c>
      <c r="L148" s="71">
        <f t="shared" si="21"/>
        <v>-37714.772277227719</v>
      </c>
      <c r="M148" s="72">
        <f t="shared" si="22"/>
        <v>1422404047.9231446</v>
      </c>
      <c r="N148" s="73">
        <f t="shared" si="23"/>
        <v>9.5303409264090311E-3</v>
      </c>
      <c r="O148" s="74">
        <f t="shared" si="24"/>
        <v>1.774653501095047E-2</v>
      </c>
      <c r="P148" s="74">
        <f t="shared" si="25"/>
        <v>3.1493950489489079E-4</v>
      </c>
    </row>
    <row r="149" spans="1:16" x14ac:dyDescent="0.3">
      <c r="A149">
        <f t="shared" si="26"/>
        <v>136</v>
      </c>
      <c r="C149" s="75">
        <v>18132331494</v>
      </c>
      <c r="D149" s="40" t="s">
        <v>349</v>
      </c>
      <c r="E149" s="75">
        <v>351000</v>
      </c>
      <c r="F149" s="76">
        <v>0.98540145985401462</v>
      </c>
      <c r="G149" s="80">
        <v>44662</v>
      </c>
      <c r="H149">
        <v>356200</v>
      </c>
      <c r="I149" s="71">
        <f t="shared" si="18"/>
        <v>5200</v>
      </c>
      <c r="J149" s="72">
        <f t="shared" si="19"/>
        <v>27040000</v>
      </c>
      <c r="K149" s="71">
        <f t="shared" si="20"/>
        <v>346714.77227722772</v>
      </c>
      <c r="L149" s="71">
        <f t="shared" si="21"/>
        <v>9485.2277227722807</v>
      </c>
      <c r="M149" s="72">
        <f t="shared" si="22"/>
        <v>89969544.952847824</v>
      </c>
      <c r="N149" s="73">
        <f t="shared" si="23"/>
        <v>9.8893988717471126E-3</v>
      </c>
      <c r="O149" s="74">
        <f t="shared" si="24"/>
        <v>1.8105592956288552E-2</v>
      </c>
      <c r="P149" s="74">
        <f t="shared" si="25"/>
        <v>3.2781249629880563E-4</v>
      </c>
    </row>
    <row r="150" spans="1:16" x14ac:dyDescent="0.3">
      <c r="A150">
        <f t="shared" si="26"/>
        <v>137</v>
      </c>
      <c r="C150" s="66">
        <v>18132241456</v>
      </c>
      <c r="D150" s="40" t="s">
        <v>349</v>
      </c>
      <c r="E150" s="66">
        <v>291100</v>
      </c>
      <c r="F150" s="68">
        <v>0.98677966101694914</v>
      </c>
      <c r="G150" s="80">
        <v>44862</v>
      </c>
      <c r="H150">
        <v>295000</v>
      </c>
      <c r="I150" s="71">
        <f t="shared" si="18"/>
        <v>3900</v>
      </c>
      <c r="J150" s="72">
        <f t="shared" si="19"/>
        <v>15210000</v>
      </c>
      <c r="K150" s="71">
        <f t="shared" si="20"/>
        <v>346714.77227722772</v>
      </c>
      <c r="L150" s="71">
        <f t="shared" si="21"/>
        <v>-51714.772277227719</v>
      </c>
      <c r="M150" s="72">
        <f t="shared" si="22"/>
        <v>2674417671.6855206</v>
      </c>
      <c r="N150" s="73">
        <f t="shared" si="23"/>
        <v>8.5111977088125901E-3</v>
      </c>
      <c r="O150" s="74">
        <f t="shared" si="24"/>
        <v>1.6727391793354029E-2</v>
      </c>
      <c r="P150" s="74">
        <f t="shared" si="25"/>
        <v>2.7980563620836772E-4</v>
      </c>
    </row>
    <row r="151" spans="1:16" x14ac:dyDescent="0.3">
      <c r="A151">
        <f t="shared" si="26"/>
        <v>138</v>
      </c>
      <c r="C151" s="75">
        <v>18132243464</v>
      </c>
      <c r="D151" s="40" t="s">
        <v>349</v>
      </c>
      <c r="E151" s="75">
        <v>320600</v>
      </c>
      <c r="F151" s="76">
        <v>0.9864615384615385</v>
      </c>
      <c r="G151" s="80">
        <v>44558</v>
      </c>
      <c r="H151">
        <v>325000</v>
      </c>
      <c r="I151" s="71">
        <f t="shared" si="18"/>
        <v>4400</v>
      </c>
      <c r="J151" s="72">
        <f t="shared" si="19"/>
        <v>19360000</v>
      </c>
      <c r="K151" s="71">
        <f t="shared" si="20"/>
        <v>346714.77227722772</v>
      </c>
      <c r="L151" s="71">
        <f t="shared" si="21"/>
        <v>-21714.772277227719</v>
      </c>
      <c r="M151" s="72">
        <f t="shared" si="22"/>
        <v>471531335.05185753</v>
      </c>
      <c r="N151" s="73">
        <f t="shared" si="23"/>
        <v>8.8293202642232282E-3</v>
      </c>
      <c r="O151" s="74">
        <f t="shared" si="24"/>
        <v>1.7045514348764668E-2</v>
      </c>
      <c r="P151" s="74">
        <f t="shared" si="25"/>
        <v>2.9054955941394217E-4</v>
      </c>
    </row>
    <row r="152" spans="1:16" x14ac:dyDescent="0.3">
      <c r="A152">
        <f t="shared" si="26"/>
        <v>139</v>
      </c>
      <c r="C152" s="66">
        <v>18132344407</v>
      </c>
      <c r="D152" s="40" t="s">
        <v>349</v>
      </c>
      <c r="E152" s="66">
        <v>326000</v>
      </c>
      <c r="F152" s="68">
        <v>0.98787878787878791</v>
      </c>
      <c r="G152" s="80">
        <v>44477</v>
      </c>
      <c r="H152">
        <v>330000</v>
      </c>
      <c r="I152" s="71">
        <f t="shared" si="18"/>
        <v>4000</v>
      </c>
      <c r="J152" s="72">
        <f t="shared" si="19"/>
        <v>16000000</v>
      </c>
      <c r="K152" s="71">
        <f t="shared" si="20"/>
        <v>346714.77227722772</v>
      </c>
      <c r="L152" s="71">
        <f t="shared" si="21"/>
        <v>-16714.772277227719</v>
      </c>
      <c r="M152" s="72">
        <f t="shared" si="22"/>
        <v>279383612.2795803</v>
      </c>
      <c r="N152" s="73">
        <f t="shared" si="23"/>
        <v>7.4120708469738172E-3</v>
      </c>
      <c r="O152" s="74">
        <f t="shared" si="24"/>
        <v>1.5628264931515257E-2</v>
      </c>
      <c r="P152" s="74">
        <f t="shared" si="25"/>
        <v>2.4424266476962957E-4</v>
      </c>
    </row>
    <row r="153" spans="1:16" x14ac:dyDescent="0.3">
      <c r="A153">
        <f t="shared" si="26"/>
        <v>140</v>
      </c>
      <c r="C153" s="75">
        <v>18132243462</v>
      </c>
      <c r="D153" s="40" t="s">
        <v>349</v>
      </c>
      <c r="E153" s="75">
        <v>265000</v>
      </c>
      <c r="F153" s="76">
        <v>0.98880597014925375</v>
      </c>
      <c r="G153" s="80">
        <v>44425</v>
      </c>
      <c r="H153">
        <v>268000</v>
      </c>
      <c r="I153" s="71">
        <f t="shared" si="18"/>
        <v>3000</v>
      </c>
      <c r="J153" s="72">
        <f t="shared" si="19"/>
        <v>9000000</v>
      </c>
      <c r="K153" s="71">
        <f t="shared" si="20"/>
        <v>346714.77227722772</v>
      </c>
      <c r="L153" s="71">
        <f t="shared" si="21"/>
        <v>-78714.772277227719</v>
      </c>
      <c r="M153" s="72">
        <f t="shared" si="22"/>
        <v>6196015374.655818</v>
      </c>
      <c r="N153" s="73">
        <f t="shared" si="23"/>
        <v>6.4848885765079745E-3</v>
      </c>
      <c r="O153" s="74">
        <f t="shared" si="24"/>
        <v>1.4701082661049414E-2</v>
      </c>
      <c r="P153" s="74">
        <f t="shared" si="25"/>
        <v>2.1612183140700772E-4</v>
      </c>
    </row>
    <row r="154" spans="1:16" x14ac:dyDescent="0.3">
      <c r="A154">
        <f t="shared" si="26"/>
        <v>141</v>
      </c>
      <c r="C154" s="66">
        <v>18132242502</v>
      </c>
      <c r="D154" s="40" t="s">
        <v>349</v>
      </c>
      <c r="E154" s="66">
        <v>380200</v>
      </c>
      <c r="F154" s="68">
        <v>0.98753246753246748</v>
      </c>
      <c r="G154" s="80">
        <v>44764</v>
      </c>
      <c r="H154">
        <v>385000</v>
      </c>
      <c r="I154" s="71">
        <f t="shared" si="18"/>
        <v>4800</v>
      </c>
      <c r="J154" s="72">
        <f t="shared" si="19"/>
        <v>23040000</v>
      </c>
      <c r="K154" s="71">
        <f t="shared" si="20"/>
        <v>346714.77227722772</v>
      </c>
      <c r="L154" s="71">
        <f t="shared" si="21"/>
        <v>38285.227722772281</v>
      </c>
      <c r="M154" s="72">
        <f t="shared" si="22"/>
        <v>1465758661.7845311</v>
      </c>
      <c r="N154" s="73">
        <f t="shared" si="23"/>
        <v>7.7583911932942451E-3</v>
      </c>
      <c r="O154" s="74">
        <f t="shared" si="24"/>
        <v>1.5974585277835684E-2</v>
      </c>
      <c r="P154" s="74">
        <f t="shared" si="25"/>
        <v>2.5518737479884461E-4</v>
      </c>
    </row>
    <row r="155" spans="1:16" x14ac:dyDescent="0.3">
      <c r="A155">
        <f t="shared" si="26"/>
        <v>142</v>
      </c>
      <c r="C155" s="75">
        <v>18132334509</v>
      </c>
      <c r="D155" s="40" t="s">
        <v>349</v>
      </c>
      <c r="E155" s="75">
        <v>351300</v>
      </c>
      <c r="F155" s="76">
        <v>0.98679775280898874</v>
      </c>
      <c r="G155" s="80">
        <v>45264</v>
      </c>
      <c r="H155">
        <v>356000</v>
      </c>
      <c r="I155" s="71">
        <f t="shared" si="18"/>
        <v>4700</v>
      </c>
      <c r="J155" s="72">
        <f t="shared" si="19"/>
        <v>22090000</v>
      </c>
      <c r="K155" s="71">
        <f t="shared" si="20"/>
        <v>346714.77227722772</v>
      </c>
      <c r="L155" s="71">
        <f t="shared" si="21"/>
        <v>9285.2277227722807</v>
      </c>
      <c r="M155" s="72">
        <f t="shared" si="22"/>
        <v>86215453.863738909</v>
      </c>
      <c r="N155" s="73">
        <f t="shared" si="23"/>
        <v>8.4931059167729916E-3</v>
      </c>
      <c r="O155" s="74">
        <f t="shared" si="24"/>
        <v>1.6709300001314431E-2</v>
      </c>
      <c r="P155" s="74">
        <f t="shared" si="25"/>
        <v>2.7920070653392643E-4</v>
      </c>
    </row>
    <row r="156" spans="1:16" x14ac:dyDescent="0.3">
      <c r="A156">
        <f t="shared" si="26"/>
        <v>143</v>
      </c>
      <c r="C156" s="66">
        <v>18132324407</v>
      </c>
      <c r="D156" s="40" t="s">
        <v>349</v>
      </c>
      <c r="E156" s="66">
        <v>344800</v>
      </c>
      <c r="F156" s="68">
        <v>0.99080459770114937</v>
      </c>
      <c r="G156" s="80">
        <v>44518</v>
      </c>
      <c r="H156">
        <v>348000</v>
      </c>
      <c r="I156" s="71">
        <f t="shared" si="18"/>
        <v>3200</v>
      </c>
      <c r="J156" s="72">
        <f t="shared" si="19"/>
        <v>10240000</v>
      </c>
      <c r="K156" s="71">
        <f t="shared" si="20"/>
        <v>346714.77227722772</v>
      </c>
      <c r="L156" s="71">
        <f t="shared" si="21"/>
        <v>1285.2277227722807</v>
      </c>
      <c r="M156" s="72">
        <f t="shared" si="22"/>
        <v>1651810.2993824224</v>
      </c>
      <c r="N156" s="73">
        <f t="shared" si="23"/>
        <v>4.4862610246123591E-3</v>
      </c>
      <c r="O156" s="74">
        <f t="shared" si="24"/>
        <v>1.2702455109153798E-2</v>
      </c>
      <c r="P156" s="74">
        <f t="shared" si="25"/>
        <v>1.6135236580006745E-4</v>
      </c>
    </row>
    <row r="157" spans="1:16" x14ac:dyDescent="0.3">
      <c r="A157">
        <f t="shared" si="26"/>
        <v>144</v>
      </c>
      <c r="C157" s="75">
        <v>18132244421</v>
      </c>
      <c r="D157" s="40" t="s">
        <v>349</v>
      </c>
      <c r="E157" s="75">
        <v>544100</v>
      </c>
      <c r="F157" s="76">
        <v>0.9892727272727273</v>
      </c>
      <c r="G157" s="80">
        <v>44357</v>
      </c>
      <c r="H157">
        <v>550000</v>
      </c>
      <c r="I157" s="71">
        <f t="shared" si="18"/>
        <v>5900</v>
      </c>
      <c r="J157" s="72">
        <f t="shared" si="19"/>
        <v>34810000</v>
      </c>
      <c r="K157" s="71">
        <f t="shared" si="20"/>
        <v>346714.77227722772</v>
      </c>
      <c r="L157" s="71">
        <f t="shared" si="21"/>
        <v>203285.22772277228</v>
      </c>
      <c r="M157" s="72">
        <f t="shared" si="22"/>
        <v>41324883810.299385</v>
      </c>
      <c r="N157" s="73">
        <f t="shared" si="23"/>
        <v>6.0181314530344254E-3</v>
      </c>
      <c r="O157" s="74">
        <f t="shared" si="24"/>
        <v>1.4234325537575865E-2</v>
      </c>
      <c r="P157" s="74">
        <f t="shared" si="25"/>
        <v>2.0261602350968443E-4</v>
      </c>
    </row>
    <row r="158" spans="1:16" x14ac:dyDescent="0.3">
      <c r="A158">
        <f t="shared" si="26"/>
        <v>145</v>
      </c>
      <c r="C158" s="66">
        <v>18132214471</v>
      </c>
      <c r="D158" s="40" t="s">
        <v>349</v>
      </c>
      <c r="E158" s="66">
        <v>250400</v>
      </c>
      <c r="F158" s="68">
        <v>0.99760956175298809</v>
      </c>
      <c r="G158" s="80">
        <v>44735</v>
      </c>
      <c r="H158">
        <v>251000</v>
      </c>
      <c r="I158" s="71">
        <f t="shared" si="18"/>
        <v>600</v>
      </c>
      <c r="J158" s="72">
        <f t="shared" si="19"/>
        <v>360000</v>
      </c>
      <c r="K158" s="71">
        <f t="shared" si="20"/>
        <v>346714.77227722772</v>
      </c>
      <c r="L158" s="71">
        <f t="shared" si="21"/>
        <v>-95714.772277227719</v>
      </c>
      <c r="M158" s="72">
        <f t="shared" si="22"/>
        <v>9161317632.0815601</v>
      </c>
      <c r="N158" s="73">
        <f t="shared" si="23"/>
        <v>2.3187030272263653E-3</v>
      </c>
      <c r="O158" s="74">
        <f t="shared" si="24"/>
        <v>5.8974910573150741E-3</v>
      </c>
      <c r="P158" s="74">
        <f t="shared" si="25"/>
        <v>3.4780400771111273E-5</v>
      </c>
    </row>
    <row r="159" spans="1:16" x14ac:dyDescent="0.3">
      <c r="A159">
        <f t="shared" si="26"/>
        <v>146</v>
      </c>
      <c r="C159" s="75">
        <v>18131544476</v>
      </c>
      <c r="D159" s="40" t="s">
        <v>349</v>
      </c>
      <c r="E159" s="75">
        <v>263500</v>
      </c>
      <c r="F159" s="76">
        <v>0.9795539033457249</v>
      </c>
      <c r="G159" s="80">
        <v>44515</v>
      </c>
      <c r="H159">
        <v>269000</v>
      </c>
      <c r="I159" s="71">
        <f t="shared" si="18"/>
        <v>5500</v>
      </c>
      <c r="J159" s="72">
        <f t="shared" si="19"/>
        <v>30250000</v>
      </c>
      <c r="K159" s="71">
        <f t="shared" si="20"/>
        <v>346714.77227722772</v>
      </c>
      <c r="L159" s="71">
        <f t="shared" si="21"/>
        <v>-77714.772277227719</v>
      </c>
      <c r="M159" s="72">
        <f t="shared" si="22"/>
        <v>6039585830.1013622</v>
      </c>
      <c r="N159" s="73">
        <f t="shared" si="23"/>
        <v>1.5736955380036832E-2</v>
      </c>
      <c r="O159" s="74">
        <f t="shared" si="24"/>
        <v>2.3953149464578272E-2</v>
      </c>
      <c r="P159" s="74">
        <f t="shared" si="25"/>
        <v>5.7375336927242631E-4</v>
      </c>
    </row>
    <row r="160" spans="1:16" x14ac:dyDescent="0.3">
      <c r="A160">
        <f t="shared" si="26"/>
        <v>147</v>
      </c>
      <c r="C160" s="66">
        <v>18132322458</v>
      </c>
      <c r="D160" s="40" t="s">
        <v>349</v>
      </c>
      <c r="E160" s="66">
        <v>262000</v>
      </c>
      <c r="F160" s="68">
        <v>0.98496240601503759</v>
      </c>
      <c r="G160" s="80">
        <v>44375</v>
      </c>
      <c r="H160">
        <v>266000</v>
      </c>
      <c r="I160" s="71">
        <f t="shared" si="18"/>
        <v>4000</v>
      </c>
      <c r="J160" s="72">
        <f t="shared" si="19"/>
        <v>16000000</v>
      </c>
      <c r="K160" s="71">
        <f t="shared" si="20"/>
        <v>346714.77227722772</v>
      </c>
      <c r="L160" s="71">
        <f t="shared" si="21"/>
        <v>-80714.772277227719</v>
      </c>
      <c r="M160" s="72">
        <f t="shared" si="22"/>
        <v>6514874463.7647285</v>
      </c>
      <c r="N160" s="73">
        <f t="shared" si="23"/>
        <v>1.0328452710724134E-2</v>
      </c>
      <c r="O160" s="74">
        <f t="shared" si="24"/>
        <v>1.8544646795265574E-2</v>
      </c>
      <c r="P160" s="74">
        <f t="shared" si="25"/>
        <v>3.4390392476115372E-4</v>
      </c>
    </row>
    <row r="161" spans="1:16" x14ac:dyDescent="0.3">
      <c r="A161">
        <f t="shared" si="26"/>
        <v>148</v>
      </c>
      <c r="C161" s="75">
        <v>18132324425</v>
      </c>
      <c r="D161" s="40" t="s">
        <v>349</v>
      </c>
      <c r="E161" s="75">
        <v>312700</v>
      </c>
      <c r="F161" s="76">
        <v>0.99269841269841275</v>
      </c>
      <c r="G161" s="80">
        <v>44495</v>
      </c>
      <c r="H161">
        <v>315000</v>
      </c>
      <c r="I161" s="71">
        <f t="shared" si="18"/>
        <v>2300</v>
      </c>
      <c r="J161" s="72">
        <f t="shared" si="19"/>
        <v>5290000</v>
      </c>
      <c r="K161" s="71">
        <f t="shared" si="20"/>
        <v>346714.77227722772</v>
      </c>
      <c r="L161" s="71">
        <f t="shared" si="21"/>
        <v>-31714.772277227719</v>
      </c>
      <c r="M161" s="72">
        <f t="shared" si="22"/>
        <v>1005826780.5964119</v>
      </c>
      <c r="N161" s="73">
        <f t="shared" si="23"/>
        <v>2.5924460273489824E-3</v>
      </c>
      <c r="O161" s="74">
        <f t="shared" si="24"/>
        <v>1.0808640111890422E-2</v>
      </c>
      <c r="P161" s="74">
        <f t="shared" si="25"/>
        <v>1.1682670106836659E-4</v>
      </c>
    </row>
    <row r="162" spans="1:16" x14ac:dyDescent="0.3">
      <c r="A162">
        <f t="shared" si="26"/>
        <v>149</v>
      </c>
      <c r="C162" s="66">
        <v>18132214408</v>
      </c>
      <c r="D162" s="40" t="s">
        <v>349</v>
      </c>
      <c r="E162" s="66">
        <v>366600</v>
      </c>
      <c r="F162" s="68">
        <v>0.99081081081081079</v>
      </c>
      <c r="G162" s="80">
        <v>45089</v>
      </c>
      <c r="H162">
        <v>370000</v>
      </c>
      <c r="I162" s="71">
        <f t="shared" si="18"/>
        <v>3400</v>
      </c>
      <c r="J162" s="72">
        <f t="shared" si="19"/>
        <v>11560000</v>
      </c>
      <c r="K162" s="71">
        <f t="shared" si="20"/>
        <v>346714.77227722772</v>
      </c>
      <c r="L162" s="71">
        <f t="shared" si="21"/>
        <v>23285.227722772281</v>
      </c>
      <c r="M162" s="72">
        <f t="shared" si="22"/>
        <v>542201830.10136282</v>
      </c>
      <c r="N162" s="73">
        <f t="shared" si="23"/>
        <v>4.4800479149509354E-3</v>
      </c>
      <c r="O162" s="74">
        <f t="shared" si="24"/>
        <v>1.2696241999492375E-2</v>
      </c>
      <c r="P162" s="74">
        <f t="shared" si="25"/>
        <v>1.6119456090967412E-4</v>
      </c>
    </row>
    <row r="163" spans="1:16" x14ac:dyDescent="0.3">
      <c r="A163">
        <f t="shared" si="26"/>
        <v>150</v>
      </c>
      <c r="C163" s="75">
        <v>18132342410</v>
      </c>
      <c r="D163" s="40" t="s">
        <v>349</v>
      </c>
      <c r="E163" s="75">
        <v>170000</v>
      </c>
      <c r="F163" s="76">
        <v>1.0000058823875435</v>
      </c>
      <c r="G163" s="80">
        <v>44859</v>
      </c>
      <c r="H163">
        <v>169999</v>
      </c>
      <c r="I163" s="71">
        <f t="shared" si="18"/>
        <v>-1</v>
      </c>
      <c r="J163" s="72">
        <f t="shared" si="19"/>
        <v>1</v>
      </c>
      <c r="K163" s="71">
        <f t="shared" si="20"/>
        <v>346714.77227722772</v>
      </c>
      <c r="L163" s="71">
        <f t="shared" si="21"/>
        <v>-176715.77227722772</v>
      </c>
      <c r="M163" s="72">
        <f t="shared" si="22"/>
        <v>31228464171.537006</v>
      </c>
      <c r="N163" s="73">
        <f t="shared" si="23"/>
        <v>4.7150236617817809E-3</v>
      </c>
      <c r="O163" s="74">
        <f t="shared" si="24"/>
        <v>3.5011704227596585E-3</v>
      </c>
      <c r="P163" s="74">
        <f t="shared" si="25"/>
        <v>1.2258194329207045E-5</v>
      </c>
    </row>
    <row r="164" spans="1:16" x14ac:dyDescent="0.3">
      <c r="A164">
        <f t="shared" si="26"/>
        <v>151</v>
      </c>
      <c r="C164" s="66">
        <v>18132244017</v>
      </c>
      <c r="D164" s="40" t="s">
        <v>349</v>
      </c>
      <c r="E164" s="66">
        <v>388200</v>
      </c>
      <c r="F164" s="68">
        <v>0.99283887468030696</v>
      </c>
      <c r="G164" s="80">
        <v>44624</v>
      </c>
      <c r="H164">
        <v>391000</v>
      </c>
      <c r="I164" s="71">
        <f t="shared" si="18"/>
        <v>2800</v>
      </c>
      <c r="J164" s="72">
        <f t="shared" si="19"/>
        <v>7840000</v>
      </c>
      <c r="K164" s="71">
        <f t="shared" si="20"/>
        <v>346714.77227722772</v>
      </c>
      <c r="L164" s="71">
        <f t="shared" si="21"/>
        <v>44285.227722772281</v>
      </c>
      <c r="M164" s="72">
        <f t="shared" si="22"/>
        <v>1961181394.4577985</v>
      </c>
      <c r="N164" s="73">
        <f t="shared" si="23"/>
        <v>2.4519840454547692E-3</v>
      </c>
      <c r="O164" s="74">
        <f t="shared" si="24"/>
        <v>1.0668178129996209E-2</v>
      </c>
      <c r="P164" s="74">
        <f t="shared" si="25"/>
        <v>1.138100246133294E-4</v>
      </c>
    </row>
    <row r="165" spans="1:16" x14ac:dyDescent="0.3">
      <c r="A165">
        <f t="shared" si="26"/>
        <v>152</v>
      </c>
      <c r="C165" s="75">
        <v>18132241015</v>
      </c>
      <c r="D165" s="40" t="s">
        <v>349</v>
      </c>
      <c r="E165" s="75">
        <v>318200</v>
      </c>
      <c r="F165" s="76">
        <v>0.99437500000000001</v>
      </c>
      <c r="G165" s="80">
        <v>45093</v>
      </c>
      <c r="H165">
        <v>320000</v>
      </c>
      <c r="I165" s="71">
        <f t="shared" si="18"/>
        <v>1800</v>
      </c>
      <c r="J165" s="72">
        <f t="shared" si="19"/>
        <v>3240000</v>
      </c>
      <c r="K165" s="71">
        <f t="shared" si="20"/>
        <v>346714.77227722772</v>
      </c>
      <c r="L165" s="71">
        <f t="shared" si="21"/>
        <v>-26714.772277227719</v>
      </c>
      <c r="M165" s="72">
        <f t="shared" si="22"/>
        <v>713679057.82413471</v>
      </c>
      <c r="N165" s="73">
        <f t="shared" si="23"/>
        <v>9.1585872576172012E-4</v>
      </c>
      <c r="O165" s="74">
        <f t="shared" si="24"/>
        <v>9.1320528103031595E-3</v>
      </c>
      <c r="P165" s="74">
        <f t="shared" si="25"/>
        <v>8.3394388530165839E-5</v>
      </c>
    </row>
    <row r="166" spans="1:16" x14ac:dyDescent="0.3">
      <c r="A166">
        <f t="shared" si="26"/>
        <v>153</v>
      </c>
      <c r="C166" s="66">
        <v>18132244025</v>
      </c>
      <c r="D166" s="40" t="s">
        <v>349</v>
      </c>
      <c r="E166" s="66">
        <v>324500</v>
      </c>
      <c r="F166" s="68">
        <v>0.995398773006135</v>
      </c>
      <c r="G166" s="80">
        <v>44680</v>
      </c>
      <c r="H166">
        <v>326000</v>
      </c>
      <c r="I166" s="71">
        <f t="shared" si="18"/>
        <v>1500</v>
      </c>
      <c r="J166" s="72">
        <f t="shared" si="19"/>
        <v>2250000</v>
      </c>
      <c r="K166" s="71">
        <f t="shared" si="20"/>
        <v>346714.77227722772</v>
      </c>
      <c r="L166" s="71">
        <f t="shared" si="21"/>
        <v>-20714.772277227719</v>
      </c>
      <c r="M166" s="72">
        <f t="shared" si="22"/>
        <v>429101790.49740207</v>
      </c>
      <c r="N166" s="73">
        <f t="shared" si="23"/>
        <v>1.0791428037326689E-4</v>
      </c>
      <c r="O166" s="74">
        <f t="shared" si="24"/>
        <v>8.1082798041681725E-3</v>
      </c>
      <c r="P166" s="74">
        <f t="shared" si="25"/>
        <v>6.5744201382681458E-5</v>
      </c>
    </row>
    <row r="167" spans="1:16" x14ac:dyDescent="0.3">
      <c r="A167">
        <f t="shared" si="26"/>
        <v>154</v>
      </c>
      <c r="C167" s="75">
        <v>18132214412</v>
      </c>
      <c r="D167" s="40" t="s">
        <v>349</v>
      </c>
      <c r="E167" s="75">
        <v>359300</v>
      </c>
      <c r="F167" s="76">
        <v>0.99529085872576173</v>
      </c>
      <c r="G167" s="80">
        <v>44468</v>
      </c>
      <c r="H167">
        <v>361000</v>
      </c>
      <c r="I167" s="71">
        <f t="shared" si="18"/>
        <v>1700</v>
      </c>
      <c r="J167" s="72">
        <f t="shared" si="19"/>
        <v>2890000</v>
      </c>
      <c r="K167" s="71">
        <f t="shared" si="20"/>
        <v>346714.77227722772</v>
      </c>
      <c r="L167" s="71">
        <f t="shared" si="21"/>
        <v>14285.227722772281</v>
      </c>
      <c r="M167" s="72">
        <f t="shared" si="22"/>
        <v>204067731.09146172</v>
      </c>
      <c r="N167" s="73">
        <f t="shared" si="23"/>
        <v>0</v>
      </c>
      <c r="O167" s="74">
        <f t="shared" si="24"/>
        <v>8.2161940845414394E-3</v>
      </c>
      <c r="P167" s="74">
        <f t="shared" si="25"/>
        <v>6.7505845234853745E-5</v>
      </c>
    </row>
    <row r="168" spans="1:16" x14ac:dyDescent="0.3">
      <c r="A168">
        <f t="shared" si="26"/>
        <v>155</v>
      </c>
      <c r="C168" s="66">
        <v>18132213453</v>
      </c>
      <c r="D168" s="40" t="s">
        <v>349</v>
      </c>
      <c r="E168" s="66">
        <v>369100</v>
      </c>
      <c r="F168" s="68">
        <v>0.99487870619946095</v>
      </c>
      <c r="G168" s="80">
        <v>44544</v>
      </c>
      <c r="H168">
        <v>371000</v>
      </c>
      <c r="I168" s="71">
        <f t="shared" si="18"/>
        <v>1900</v>
      </c>
      <c r="J168" s="72">
        <f t="shared" si="19"/>
        <v>3610000</v>
      </c>
      <c r="K168" s="71">
        <f t="shared" si="20"/>
        <v>346714.77227722772</v>
      </c>
      <c r="L168" s="71">
        <f t="shared" si="21"/>
        <v>24285.227722772281</v>
      </c>
      <c r="M168" s="72">
        <f t="shared" si="22"/>
        <v>589772285.54690731</v>
      </c>
      <c r="N168" s="73">
        <f t="shared" si="23"/>
        <v>4.121525263007797E-4</v>
      </c>
      <c r="O168" s="74">
        <f t="shared" si="24"/>
        <v>8.6283466108422191E-3</v>
      </c>
      <c r="P168" s="74">
        <f t="shared" si="25"/>
        <v>7.4448365236832412E-5</v>
      </c>
    </row>
    <row r="169" spans="1:16" x14ac:dyDescent="0.3">
      <c r="A169">
        <f t="shared" si="26"/>
        <v>156</v>
      </c>
      <c r="C169" s="75">
        <v>18132244492</v>
      </c>
      <c r="D169" s="40" t="s">
        <v>349</v>
      </c>
      <c r="E169" s="75">
        <v>355400</v>
      </c>
      <c r="F169" s="76">
        <v>1.0011267605633802</v>
      </c>
      <c r="G169" s="80">
        <v>45251</v>
      </c>
      <c r="H169">
        <v>355000</v>
      </c>
      <c r="I169" s="71">
        <f t="shared" si="18"/>
        <v>-400</v>
      </c>
      <c r="J169" s="72">
        <f t="shared" si="19"/>
        <v>160000</v>
      </c>
      <c r="K169" s="71">
        <f t="shared" si="20"/>
        <v>346714.77227722772</v>
      </c>
      <c r="L169" s="71">
        <f t="shared" si="21"/>
        <v>8285.2277227722807</v>
      </c>
      <c r="M169" s="72">
        <f t="shared" si="22"/>
        <v>68644998.418194354</v>
      </c>
      <c r="N169" s="73">
        <f t="shared" si="23"/>
        <v>5.8359018376185068E-3</v>
      </c>
      <c r="O169" s="74">
        <f t="shared" si="24"/>
        <v>2.3802922469229326E-3</v>
      </c>
      <c r="P169" s="74">
        <f t="shared" si="25"/>
        <v>5.6657911807614231E-6</v>
      </c>
    </row>
    <row r="170" spans="1:16" x14ac:dyDescent="0.3">
      <c r="A170">
        <f t="shared" si="26"/>
        <v>157</v>
      </c>
      <c r="C170" s="66">
        <v>18132342431</v>
      </c>
      <c r="D170" s="40" t="s">
        <v>349</v>
      </c>
      <c r="E170" s="66">
        <v>273900</v>
      </c>
      <c r="F170" s="68">
        <v>0.996</v>
      </c>
      <c r="G170" s="80">
        <v>44699</v>
      </c>
      <c r="H170">
        <v>275000</v>
      </c>
      <c r="I170" s="71">
        <f t="shared" si="18"/>
        <v>1100</v>
      </c>
      <c r="J170" s="72">
        <f t="shared" si="19"/>
        <v>1210000</v>
      </c>
      <c r="K170" s="71">
        <f t="shared" si="20"/>
        <v>346714.77227722772</v>
      </c>
      <c r="L170" s="71">
        <f t="shared" si="21"/>
        <v>-71714.772277227719</v>
      </c>
      <c r="M170" s="72">
        <f t="shared" si="22"/>
        <v>5143008562.7746296</v>
      </c>
      <c r="N170" s="73">
        <f t="shared" si="23"/>
        <v>7.0914127423826745E-4</v>
      </c>
      <c r="O170" s="74">
        <f t="shared" si="24"/>
        <v>7.507052810303172E-3</v>
      </c>
      <c r="P170" s="74">
        <f t="shared" si="25"/>
        <v>5.6355841896680752E-5</v>
      </c>
    </row>
    <row r="171" spans="1:16" x14ac:dyDescent="0.3">
      <c r="A171">
        <f t="shared" si="26"/>
        <v>158</v>
      </c>
      <c r="C171" s="75">
        <v>18132323006</v>
      </c>
      <c r="D171" s="40" t="s">
        <v>349</v>
      </c>
      <c r="E171" s="75">
        <v>420200</v>
      </c>
      <c r="F171" s="76">
        <v>1.0004761904761905</v>
      </c>
      <c r="G171" s="80">
        <v>44516</v>
      </c>
      <c r="H171">
        <v>420000</v>
      </c>
      <c r="I171" s="71">
        <f t="shared" si="18"/>
        <v>-200</v>
      </c>
      <c r="J171" s="72">
        <f t="shared" si="19"/>
        <v>40000</v>
      </c>
      <c r="K171" s="71">
        <f t="shared" si="20"/>
        <v>346714.77227722772</v>
      </c>
      <c r="L171" s="71">
        <f t="shared" si="21"/>
        <v>73285.227722772281</v>
      </c>
      <c r="M171" s="72">
        <f t="shared" si="22"/>
        <v>5370724602.3785906</v>
      </c>
      <c r="N171" s="73">
        <f t="shared" si="23"/>
        <v>5.1853317504287899E-3</v>
      </c>
      <c r="O171" s="74">
        <f t="shared" si="24"/>
        <v>3.0308623341126495E-3</v>
      </c>
      <c r="P171" s="74">
        <f t="shared" si="25"/>
        <v>9.1861264883427777E-6</v>
      </c>
    </row>
    <row r="172" spans="1:16" x14ac:dyDescent="0.3">
      <c r="A172">
        <f t="shared" si="26"/>
        <v>159</v>
      </c>
      <c r="C172" s="66">
        <v>18132332507</v>
      </c>
      <c r="D172" s="40" t="s">
        <v>349</v>
      </c>
      <c r="E172" s="66">
        <v>256900</v>
      </c>
      <c r="F172" s="68">
        <v>1.0016766093500213</v>
      </c>
      <c r="G172" s="80">
        <v>44370</v>
      </c>
      <c r="H172">
        <v>256470</v>
      </c>
      <c r="I172" s="71">
        <f t="shared" si="18"/>
        <v>-430</v>
      </c>
      <c r="J172" s="72">
        <f t="shared" si="19"/>
        <v>184900</v>
      </c>
      <c r="K172" s="71">
        <f t="shared" si="20"/>
        <v>346714.77227722772</v>
      </c>
      <c r="L172" s="71">
        <f t="shared" si="21"/>
        <v>-90244.772277227719</v>
      </c>
      <c r="M172" s="72">
        <f t="shared" si="22"/>
        <v>8144118923.3686886</v>
      </c>
      <c r="N172" s="73">
        <f t="shared" si="23"/>
        <v>6.3857506242596118E-3</v>
      </c>
      <c r="O172" s="74">
        <f t="shared" si="24"/>
        <v>1.8304434602818276E-3</v>
      </c>
      <c r="P172" s="74">
        <f t="shared" si="25"/>
        <v>3.3505232612885104E-6</v>
      </c>
    </row>
    <row r="173" spans="1:16" x14ac:dyDescent="0.3">
      <c r="A173">
        <f t="shared" si="26"/>
        <v>160</v>
      </c>
      <c r="C173" s="75">
        <v>18132331405</v>
      </c>
      <c r="D173" s="40" t="s">
        <v>349</v>
      </c>
      <c r="E173" s="75">
        <v>503500</v>
      </c>
      <c r="F173" s="76">
        <v>1.0049900199600799</v>
      </c>
      <c r="G173" s="80">
        <v>44726</v>
      </c>
      <c r="H173">
        <v>501000</v>
      </c>
      <c r="I173" s="71">
        <f t="shared" si="18"/>
        <v>-2500</v>
      </c>
      <c r="J173" s="72">
        <f t="shared" si="19"/>
        <v>6250000</v>
      </c>
      <c r="K173" s="71">
        <f t="shared" si="20"/>
        <v>346714.77227722772</v>
      </c>
      <c r="L173" s="71">
        <f t="shared" si="21"/>
        <v>154285.22772277228</v>
      </c>
      <c r="M173" s="72">
        <f t="shared" si="22"/>
        <v>23803931493.467701</v>
      </c>
      <c r="N173" s="73">
        <f t="shared" si="23"/>
        <v>9.6991612343181322E-3</v>
      </c>
      <c r="O173" s="74">
        <f t="shared" si="24"/>
        <v>-1.4829671497766928E-3</v>
      </c>
      <c r="P173" s="74">
        <f t="shared" si="25"/>
        <v>2.1991915673168077E-6</v>
      </c>
    </row>
    <row r="174" spans="1:16" x14ac:dyDescent="0.3">
      <c r="A174">
        <f t="shared" si="26"/>
        <v>161</v>
      </c>
      <c r="C174" s="66">
        <v>18132244004</v>
      </c>
      <c r="D174" s="40" t="s">
        <v>349</v>
      </c>
      <c r="E174" s="66">
        <v>406200</v>
      </c>
      <c r="F174" s="68">
        <v>1.0029629629629631</v>
      </c>
      <c r="G174" s="80">
        <v>44510</v>
      </c>
      <c r="H174">
        <v>405000</v>
      </c>
      <c r="I174" s="71">
        <f t="shared" si="18"/>
        <v>-1200</v>
      </c>
      <c r="J174" s="72">
        <f t="shared" si="19"/>
        <v>1440000</v>
      </c>
      <c r="K174" s="71">
        <f t="shared" si="20"/>
        <v>346714.77227722772</v>
      </c>
      <c r="L174" s="71">
        <f t="shared" si="21"/>
        <v>58285.227722772281</v>
      </c>
      <c r="M174" s="72">
        <f t="shared" si="22"/>
        <v>3397167770.6954226</v>
      </c>
      <c r="N174" s="73">
        <f t="shared" si="23"/>
        <v>7.6721042372013271E-3</v>
      </c>
      <c r="O174" s="74">
        <f t="shared" si="24"/>
        <v>5.4408984734011234E-4</v>
      </c>
      <c r="P174" s="74">
        <f t="shared" si="25"/>
        <v>2.9603376197858677E-7</v>
      </c>
    </row>
    <row r="175" spans="1:16" x14ac:dyDescent="0.3">
      <c r="A175">
        <f t="shared" si="26"/>
        <v>162</v>
      </c>
      <c r="C175" s="75">
        <v>18132323525</v>
      </c>
      <c r="D175" s="40" t="s">
        <v>349</v>
      </c>
      <c r="E175" s="75">
        <v>287400</v>
      </c>
      <c r="F175" s="76">
        <v>1.0048951048951049</v>
      </c>
      <c r="G175" s="80">
        <v>44356</v>
      </c>
      <c r="H175">
        <v>286000</v>
      </c>
      <c r="I175" s="71">
        <f t="shared" si="18"/>
        <v>-1400</v>
      </c>
      <c r="J175" s="72">
        <f t="shared" si="19"/>
        <v>1960000</v>
      </c>
      <c r="K175" s="71">
        <f t="shared" si="20"/>
        <v>346714.77227722772</v>
      </c>
      <c r="L175" s="71">
        <f t="shared" si="21"/>
        <v>-60714.772277227719</v>
      </c>
      <c r="M175" s="72">
        <f t="shared" si="22"/>
        <v>3686283572.6756196</v>
      </c>
      <c r="N175" s="73">
        <f t="shared" si="23"/>
        <v>9.6042461693431891E-3</v>
      </c>
      <c r="O175" s="74">
        <f t="shared" si="24"/>
        <v>-1.3880520848017497E-3</v>
      </c>
      <c r="P175" s="74">
        <f t="shared" si="25"/>
        <v>1.9266885901224835E-6</v>
      </c>
    </row>
    <row r="176" spans="1:16" x14ac:dyDescent="0.3">
      <c r="A176">
        <f t="shared" si="26"/>
        <v>163</v>
      </c>
      <c r="C176" s="66">
        <v>18132313484</v>
      </c>
      <c r="D176" s="40" t="s">
        <v>349</v>
      </c>
      <c r="E176" s="66">
        <v>312600</v>
      </c>
      <c r="F176" s="68">
        <v>1.0083870967741935</v>
      </c>
      <c r="G176" s="80">
        <v>44916</v>
      </c>
      <c r="H176">
        <v>310000</v>
      </c>
      <c r="I176" s="71">
        <f t="shared" si="18"/>
        <v>-2600</v>
      </c>
      <c r="J176" s="72">
        <f t="shared" si="19"/>
        <v>6760000</v>
      </c>
      <c r="K176" s="71">
        <f t="shared" si="20"/>
        <v>346714.77227722772</v>
      </c>
      <c r="L176" s="71">
        <f t="shared" si="21"/>
        <v>-36714.772277227719</v>
      </c>
      <c r="M176" s="72">
        <f t="shared" si="22"/>
        <v>1347974503.3686891</v>
      </c>
      <c r="N176" s="73">
        <f t="shared" si="23"/>
        <v>1.3096238048431741E-2</v>
      </c>
      <c r="O176" s="74">
        <f t="shared" si="24"/>
        <v>-4.8800439638903015E-3</v>
      </c>
      <c r="P176" s="74">
        <f t="shared" si="25"/>
        <v>2.3814829089502167E-5</v>
      </c>
    </row>
    <row r="177" spans="1:16" x14ac:dyDescent="0.3">
      <c r="A177">
        <f t="shared" si="26"/>
        <v>164</v>
      </c>
      <c r="C177" s="75">
        <v>18132333403</v>
      </c>
      <c r="D177" s="40" t="s">
        <v>349</v>
      </c>
      <c r="E177" s="75">
        <v>288100</v>
      </c>
      <c r="F177" s="76">
        <v>1.010877192982456</v>
      </c>
      <c r="G177" s="80">
        <v>45040</v>
      </c>
      <c r="H177">
        <v>285000</v>
      </c>
      <c r="I177" s="71">
        <f t="shared" si="18"/>
        <v>-3100</v>
      </c>
      <c r="J177" s="72">
        <f t="shared" si="19"/>
        <v>9610000</v>
      </c>
      <c r="K177" s="71">
        <f t="shared" si="20"/>
        <v>346714.77227722772</v>
      </c>
      <c r="L177" s="71">
        <f t="shared" si="21"/>
        <v>-61714.772277227719</v>
      </c>
      <c r="M177" s="72">
        <f t="shared" si="22"/>
        <v>3808713117.2300749</v>
      </c>
      <c r="N177" s="73">
        <f t="shared" si="23"/>
        <v>1.5586334256694312E-2</v>
      </c>
      <c r="O177" s="74">
        <f t="shared" si="24"/>
        <v>-7.3701401721528725E-3</v>
      </c>
      <c r="P177" s="74">
        <f t="shared" si="25"/>
        <v>5.4318966157181573E-5</v>
      </c>
    </row>
    <row r="178" spans="1:16" x14ac:dyDescent="0.3">
      <c r="A178">
        <f t="shared" si="26"/>
        <v>165</v>
      </c>
      <c r="C178" s="66">
        <v>18132331413</v>
      </c>
      <c r="D178" s="40" t="s">
        <v>349</v>
      </c>
      <c r="E178" s="66">
        <v>485000</v>
      </c>
      <c r="F178" s="68">
        <v>1.0104166666666667</v>
      </c>
      <c r="G178" s="80">
        <v>44448</v>
      </c>
      <c r="H178">
        <v>480000</v>
      </c>
      <c r="I178" s="71">
        <f t="shared" si="18"/>
        <v>-5000</v>
      </c>
      <c r="J178" s="72">
        <f t="shared" si="19"/>
        <v>25000000</v>
      </c>
      <c r="K178" s="71">
        <f t="shared" si="20"/>
        <v>346714.77227722772</v>
      </c>
      <c r="L178" s="71">
        <f t="shared" si="21"/>
        <v>133285.22772277228</v>
      </c>
      <c r="M178" s="72">
        <f t="shared" si="22"/>
        <v>17764951929.111263</v>
      </c>
      <c r="N178" s="73">
        <f t="shared" si="23"/>
        <v>1.5125807940905012E-2</v>
      </c>
      <c r="O178" s="74">
        <f t="shared" si="24"/>
        <v>-6.9096138563635723E-3</v>
      </c>
      <c r="P178" s="74">
        <f t="shared" si="25"/>
        <v>4.7742763644051475E-5</v>
      </c>
    </row>
    <row r="179" spans="1:16" x14ac:dyDescent="0.3">
      <c r="A179">
        <f t="shared" si="26"/>
        <v>166</v>
      </c>
      <c r="C179" s="75">
        <v>18132332580</v>
      </c>
      <c r="D179" s="40" t="s">
        <v>349</v>
      </c>
      <c r="E179" s="75">
        <v>348800</v>
      </c>
      <c r="F179" s="76">
        <v>1.0110144927536231</v>
      </c>
      <c r="G179" s="80">
        <v>44279</v>
      </c>
      <c r="H179">
        <v>345000</v>
      </c>
      <c r="I179" s="71">
        <f t="shared" si="18"/>
        <v>-3800</v>
      </c>
      <c r="J179" s="72">
        <f t="shared" si="19"/>
        <v>14440000</v>
      </c>
      <c r="K179" s="71">
        <f t="shared" si="20"/>
        <v>346714.77227722772</v>
      </c>
      <c r="L179" s="71">
        <f t="shared" si="21"/>
        <v>-1714.7722772277193</v>
      </c>
      <c r="M179" s="72">
        <f t="shared" si="22"/>
        <v>2940443.9627487385</v>
      </c>
      <c r="N179" s="73">
        <f t="shared" si="23"/>
        <v>1.5723634027861366E-2</v>
      </c>
      <c r="O179" s="74">
        <f t="shared" si="24"/>
        <v>-7.5074399433199268E-3</v>
      </c>
      <c r="P179" s="74">
        <f t="shared" si="25"/>
        <v>5.6361654502555503E-5</v>
      </c>
    </row>
    <row r="180" spans="1:16" x14ac:dyDescent="0.3">
      <c r="A180">
        <f t="shared" si="26"/>
        <v>167</v>
      </c>
      <c r="C180" s="66">
        <v>18132331493</v>
      </c>
      <c r="D180" s="40" t="s">
        <v>349</v>
      </c>
      <c r="E180" s="66">
        <v>301600</v>
      </c>
      <c r="F180" s="68">
        <v>1.0120805369127517</v>
      </c>
      <c r="G180" s="80">
        <v>44519</v>
      </c>
      <c r="H180">
        <v>298000</v>
      </c>
      <c r="I180" s="71">
        <f t="shared" si="18"/>
        <v>-3600</v>
      </c>
      <c r="J180" s="72">
        <f t="shared" si="19"/>
        <v>12960000</v>
      </c>
      <c r="K180" s="71">
        <f t="shared" si="20"/>
        <v>346714.77227722772</v>
      </c>
      <c r="L180" s="71">
        <f t="shared" si="21"/>
        <v>-48714.772277227719</v>
      </c>
      <c r="M180" s="72">
        <f t="shared" si="22"/>
        <v>2373129038.0221543</v>
      </c>
      <c r="N180" s="73">
        <f t="shared" si="23"/>
        <v>1.6789678186989954E-2</v>
      </c>
      <c r="O180" s="74">
        <f t="shared" si="24"/>
        <v>-8.5734841024485142E-3</v>
      </c>
      <c r="P180" s="74">
        <f t="shared" si="25"/>
        <v>7.3504629654937408E-5</v>
      </c>
    </row>
    <row r="181" spans="1:16" x14ac:dyDescent="0.3">
      <c r="A181">
        <f t="shared" si="26"/>
        <v>168</v>
      </c>
      <c r="C181" s="75">
        <v>18132342011</v>
      </c>
      <c r="D181" s="40" t="s">
        <v>349</v>
      </c>
      <c r="E181" s="75">
        <v>459900</v>
      </c>
      <c r="F181" s="76">
        <v>1.0107692307692309</v>
      </c>
      <c r="G181" s="80">
        <v>44285</v>
      </c>
      <c r="H181">
        <v>455000</v>
      </c>
      <c r="I181" s="71">
        <f t="shared" si="18"/>
        <v>-4900</v>
      </c>
      <c r="J181" s="72">
        <f t="shared" si="19"/>
        <v>24010000</v>
      </c>
      <c r="K181" s="71">
        <f t="shared" si="20"/>
        <v>346714.77227722772</v>
      </c>
      <c r="L181" s="71">
        <f t="shared" si="21"/>
        <v>108285.22772277228</v>
      </c>
      <c r="M181" s="72">
        <f t="shared" si="22"/>
        <v>11725690542.972651</v>
      </c>
      <c r="N181" s="73">
        <f t="shared" si="23"/>
        <v>1.5478372043469135E-2</v>
      </c>
      <c r="O181" s="74">
        <f t="shared" si="24"/>
        <v>-7.2621779589276958E-3</v>
      </c>
      <c r="P181" s="74">
        <f t="shared" si="25"/>
        <v>5.2739228707135232E-5</v>
      </c>
    </row>
    <row r="182" spans="1:16" x14ac:dyDescent="0.3">
      <c r="A182">
        <f t="shared" si="26"/>
        <v>169</v>
      </c>
      <c r="C182" s="66">
        <v>18132332531</v>
      </c>
      <c r="D182" s="40" t="s">
        <v>349</v>
      </c>
      <c r="E182" s="66">
        <v>388100</v>
      </c>
      <c r="F182" s="68">
        <v>1.0159685863874346</v>
      </c>
      <c r="G182" s="80">
        <v>44724</v>
      </c>
      <c r="H182">
        <v>382000</v>
      </c>
      <c r="I182" s="71">
        <f t="shared" si="18"/>
        <v>-6100</v>
      </c>
      <c r="J182" s="72">
        <f t="shared" si="19"/>
        <v>37210000</v>
      </c>
      <c r="K182" s="71">
        <f t="shared" si="20"/>
        <v>346714.77227722772</v>
      </c>
      <c r="L182" s="71">
        <f t="shared" si="21"/>
        <v>35285.227722772281</v>
      </c>
      <c r="M182" s="72">
        <f t="shared" si="22"/>
        <v>1245047295.4478974</v>
      </c>
      <c r="N182" s="73">
        <f t="shared" si="23"/>
        <v>2.0677727661672862E-2</v>
      </c>
      <c r="O182" s="74">
        <f t="shared" si="24"/>
        <v>-1.2461533577131423E-2</v>
      </c>
      <c r="P182" s="74">
        <f t="shared" si="25"/>
        <v>1.5528981909397388E-4</v>
      </c>
    </row>
    <row r="183" spans="1:16" x14ac:dyDescent="0.3">
      <c r="A183">
        <f t="shared" si="26"/>
        <v>170</v>
      </c>
      <c r="C183" s="75">
        <v>18132243046</v>
      </c>
      <c r="D183" s="40" t="s">
        <v>349</v>
      </c>
      <c r="E183" s="75">
        <v>310900</v>
      </c>
      <c r="F183" s="76">
        <v>1.0193442622950819</v>
      </c>
      <c r="G183" s="80">
        <v>45166</v>
      </c>
      <c r="H183">
        <v>305000</v>
      </c>
      <c r="I183" s="71">
        <f t="shared" si="18"/>
        <v>-5900</v>
      </c>
      <c r="J183" s="72">
        <f t="shared" si="19"/>
        <v>34810000</v>
      </c>
      <c r="K183" s="71">
        <f t="shared" si="20"/>
        <v>346714.77227722772</v>
      </c>
      <c r="L183" s="71">
        <f t="shared" si="21"/>
        <v>-41714.772277227719</v>
      </c>
      <c r="M183" s="72">
        <f t="shared" si="22"/>
        <v>1740122226.1409662</v>
      </c>
      <c r="N183" s="73">
        <f t="shared" si="23"/>
        <v>2.4053403569320175E-2</v>
      </c>
      <c r="O183" s="74">
        <f t="shared" si="24"/>
        <v>-1.5837209484778736E-2</v>
      </c>
      <c r="P183" s="74">
        <f t="shared" si="25"/>
        <v>2.5081720426476555E-4</v>
      </c>
    </row>
    <row r="184" spans="1:16" x14ac:dyDescent="0.3">
      <c r="A184">
        <f t="shared" si="26"/>
        <v>171</v>
      </c>
      <c r="C184" s="66">
        <v>18131543430</v>
      </c>
      <c r="D184" s="40" t="s">
        <v>349</v>
      </c>
      <c r="E184" s="66">
        <v>329500</v>
      </c>
      <c r="F184" s="68">
        <v>1.0138461538461538</v>
      </c>
      <c r="G184" s="80">
        <v>45132</v>
      </c>
      <c r="H184">
        <v>325000</v>
      </c>
      <c r="I184" s="71">
        <f t="shared" si="18"/>
        <v>-4500</v>
      </c>
      <c r="J184" s="72">
        <f t="shared" si="19"/>
        <v>20250000</v>
      </c>
      <c r="K184" s="71">
        <f t="shared" si="20"/>
        <v>346714.77227722772</v>
      </c>
      <c r="L184" s="71">
        <f t="shared" si="21"/>
        <v>-21714.772277227719</v>
      </c>
      <c r="M184" s="72">
        <f t="shared" si="22"/>
        <v>471531335.05185753</v>
      </c>
      <c r="N184" s="73">
        <f t="shared" si="23"/>
        <v>1.8555295120392112E-2</v>
      </c>
      <c r="O184" s="74">
        <f t="shared" si="24"/>
        <v>-1.0339101035850673E-2</v>
      </c>
      <c r="P184" s="74">
        <f t="shared" si="25"/>
        <v>1.0689701022952846E-4</v>
      </c>
    </row>
    <row r="185" spans="1:16" x14ac:dyDescent="0.3">
      <c r="A185">
        <f t="shared" si="26"/>
        <v>172</v>
      </c>
      <c r="C185" s="75">
        <v>18132342522</v>
      </c>
      <c r="D185" s="40" t="s">
        <v>349</v>
      </c>
      <c r="E185" s="75">
        <v>356200</v>
      </c>
      <c r="F185" s="76">
        <v>1.0180051443269507</v>
      </c>
      <c r="G185" s="80">
        <v>44588</v>
      </c>
      <c r="H185">
        <v>349900</v>
      </c>
      <c r="I185" s="71">
        <f t="shared" si="18"/>
        <v>-6300</v>
      </c>
      <c r="J185" s="72">
        <f t="shared" si="19"/>
        <v>39690000</v>
      </c>
      <c r="K185" s="71">
        <f t="shared" si="20"/>
        <v>346714.77227722772</v>
      </c>
      <c r="L185" s="71">
        <f t="shared" si="21"/>
        <v>3185.2277227722807</v>
      </c>
      <c r="M185" s="72">
        <f t="shared" si="22"/>
        <v>10145675.64591709</v>
      </c>
      <c r="N185" s="73">
        <f t="shared" si="23"/>
        <v>2.2714285601188933E-2</v>
      </c>
      <c r="O185" s="74">
        <f t="shared" si="24"/>
        <v>-1.4498091516647493E-2</v>
      </c>
      <c r="P185" s="74">
        <f t="shared" si="25"/>
        <v>2.1019465762508601E-4</v>
      </c>
    </row>
    <row r="186" spans="1:16" x14ac:dyDescent="0.3">
      <c r="A186">
        <f t="shared" si="26"/>
        <v>173</v>
      </c>
      <c r="C186" s="66">
        <v>18132241439</v>
      </c>
      <c r="D186" s="40" t="s">
        <v>349</v>
      </c>
      <c r="E186" s="66">
        <v>336600</v>
      </c>
      <c r="F186" s="68">
        <v>1.02</v>
      </c>
      <c r="G186" s="80">
        <v>44999</v>
      </c>
      <c r="H186">
        <v>330000</v>
      </c>
      <c r="I186" s="71">
        <f t="shared" si="18"/>
        <v>-6600</v>
      </c>
      <c r="J186" s="72">
        <f t="shared" si="19"/>
        <v>43560000</v>
      </c>
      <c r="K186" s="71">
        <f t="shared" si="20"/>
        <v>346714.77227722772</v>
      </c>
      <c r="L186" s="71">
        <f t="shared" si="21"/>
        <v>-16714.772277227719</v>
      </c>
      <c r="M186" s="72">
        <f t="shared" si="22"/>
        <v>279383612.2795803</v>
      </c>
      <c r="N186" s="73">
        <f t="shared" si="23"/>
        <v>2.4709141274238289E-2</v>
      </c>
      <c r="O186" s="74">
        <f t="shared" si="24"/>
        <v>-1.6492947189696849E-2</v>
      </c>
      <c r="P186" s="74">
        <f t="shared" si="25"/>
        <v>2.7201730700212923E-4</v>
      </c>
    </row>
    <row r="187" spans="1:16" x14ac:dyDescent="0.3">
      <c r="A187">
        <f t="shared" si="26"/>
        <v>174</v>
      </c>
      <c r="C187" s="75">
        <v>18132342003</v>
      </c>
      <c r="D187" s="40" t="s">
        <v>349</v>
      </c>
      <c r="E187" s="75">
        <v>315900</v>
      </c>
      <c r="F187" s="76">
        <v>1.0190322580645161</v>
      </c>
      <c r="G187" s="80">
        <v>45230</v>
      </c>
      <c r="H187">
        <v>310000</v>
      </c>
      <c r="I187" s="71">
        <f t="shared" si="18"/>
        <v>-5900</v>
      </c>
      <c r="J187" s="72">
        <f t="shared" si="19"/>
        <v>34810000</v>
      </c>
      <c r="K187" s="71">
        <f t="shared" si="20"/>
        <v>346714.77227722772</v>
      </c>
      <c r="L187" s="71">
        <f t="shared" si="21"/>
        <v>-36714.772277227719</v>
      </c>
      <c r="M187" s="72">
        <f t="shared" si="22"/>
        <v>1347974503.3686891</v>
      </c>
      <c r="N187" s="73">
        <f t="shared" si="23"/>
        <v>2.374139933875441E-2</v>
      </c>
      <c r="O187" s="74">
        <f t="shared" si="24"/>
        <v>-1.552520525421297E-2</v>
      </c>
      <c r="P187" s="74">
        <f t="shared" si="25"/>
        <v>2.4103199818544202E-4</v>
      </c>
    </row>
    <row r="188" spans="1:16" x14ac:dyDescent="0.3">
      <c r="A188">
        <f t="shared" si="26"/>
        <v>175</v>
      </c>
      <c r="C188" s="66">
        <v>18131543415</v>
      </c>
      <c r="D188" s="40" t="s">
        <v>349</v>
      </c>
      <c r="E188" s="66">
        <v>243800</v>
      </c>
      <c r="F188" s="68">
        <v>1.0158333333333334</v>
      </c>
      <c r="G188" s="80">
        <v>44260</v>
      </c>
      <c r="H188">
        <v>240000</v>
      </c>
      <c r="I188" s="71">
        <f t="shared" si="18"/>
        <v>-3800</v>
      </c>
      <c r="J188" s="72">
        <f t="shared" si="19"/>
        <v>14440000</v>
      </c>
      <c r="K188" s="71">
        <f t="shared" si="20"/>
        <v>346714.77227722772</v>
      </c>
      <c r="L188" s="71">
        <f t="shared" si="21"/>
        <v>-106714.77227722772</v>
      </c>
      <c r="M188" s="72">
        <f t="shared" si="22"/>
        <v>11388042622.180571</v>
      </c>
      <c r="N188" s="73">
        <f t="shared" si="23"/>
        <v>2.0542474607571637E-2</v>
      </c>
      <c r="O188" s="74">
        <f t="shared" si="24"/>
        <v>-1.2326280523030198E-2</v>
      </c>
      <c r="P188" s="74">
        <f t="shared" si="25"/>
        <v>1.519371915324336E-4</v>
      </c>
    </row>
    <row r="189" spans="1:16" x14ac:dyDescent="0.3">
      <c r="A189">
        <f t="shared" si="26"/>
        <v>176</v>
      </c>
      <c r="C189" s="75">
        <v>18132324421</v>
      </c>
      <c r="D189" s="40" t="s">
        <v>349</v>
      </c>
      <c r="E189" s="75">
        <v>187300</v>
      </c>
      <c r="F189" s="76">
        <v>1.029120879120879</v>
      </c>
      <c r="G189" s="80">
        <v>45019</v>
      </c>
      <c r="H189">
        <v>182000</v>
      </c>
      <c r="I189" s="71">
        <f t="shared" si="18"/>
        <v>-5300</v>
      </c>
      <c r="J189" s="72">
        <f t="shared" si="19"/>
        <v>28090000</v>
      </c>
      <c r="K189" s="71">
        <f t="shared" si="20"/>
        <v>346714.77227722772</v>
      </c>
      <c r="L189" s="71">
        <f t="shared" si="21"/>
        <v>-164714.77227722772</v>
      </c>
      <c r="M189" s="72">
        <f t="shared" si="22"/>
        <v>27130956206.338985</v>
      </c>
      <c r="N189" s="73">
        <f t="shared" si="23"/>
        <v>3.3830020395117288E-2</v>
      </c>
      <c r="O189" s="74">
        <f t="shared" si="24"/>
        <v>-2.5613826310575849E-2</v>
      </c>
      <c r="P189" s="74">
        <f t="shared" si="25"/>
        <v>6.5606809826834766E-4</v>
      </c>
    </row>
    <row r="190" spans="1:16" x14ac:dyDescent="0.3">
      <c r="A190">
        <f t="shared" si="26"/>
        <v>177</v>
      </c>
      <c r="C190" s="66">
        <v>18132324548</v>
      </c>
      <c r="D190" s="40" t="s">
        <v>349</v>
      </c>
      <c r="E190" s="66">
        <v>349900</v>
      </c>
      <c r="F190" s="68">
        <v>1.0230994152046784</v>
      </c>
      <c r="G190" s="80">
        <v>44459</v>
      </c>
      <c r="H190">
        <v>342000</v>
      </c>
      <c r="I190" s="71">
        <f t="shared" si="18"/>
        <v>-7900</v>
      </c>
      <c r="J190" s="72">
        <f t="shared" si="19"/>
        <v>62410000</v>
      </c>
      <c r="K190" s="71">
        <f t="shared" si="20"/>
        <v>346714.77227722772</v>
      </c>
      <c r="L190" s="71">
        <f t="shared" si="21"/>
        <v>-4714.7722772277193</v>
      </c>
      <c r="M190" s="72">
        <f t="shared" si="22"/>
        <v>22229077.626115054</v>
      </c>
      <c r="N190" s="73">
        <f t="shared" si="23"/>
        <v>2.7808556478916668E-2</v>
      </c>
      <c r="O190" s="74">
        <f t="shared" si="24"/>
        <v>-1.9592362394375229E-2</v>
      </c>
      <c r="P190" s="74">
        <f t="shared" si="25"/>
        <v>3.8386066419252864E-4</v>
      </c>
    </row>
    <row r="191" spans="1:16" x14ac:dyDescent="0.3">
      <c r="A191">
        <f t="shared" si="26"/>
        <v>178</v>
      </c>
      <c r="C191" s="75">
        <v>18132342466</v>
      </c>
      <c r="D191" s="40" t="s">
        <v>349</v>
      </c>
      <c r="E191" s="75">
        <v>353700</v>
      </c>
      <c r="F191" s="76">
        <v>1.0252173913043479</v>
      </c>
      <c r="G191" s="80">
        <v>44385</v>
      </c>
      <c r="H191">
        <v>345000</v>
      </c>
      <c r="I191" s="71">
        <f t="shared" si="18"/>
        <v>-8700</v>
      </c>
      <c r="J191" s="72">
        <f t="shared" si="19"/>
        <v>75690000</v>
      </c>
      <c r="K191" s="71">
        <f t="shared" si="20"/>
        <v>346714.77227722772</v>
      </c>
      <c r="L191" s="71">
        <f t="shared" si="21"/>
        <v>-1714.7722772277193</v>
      </c>
      <c r="M191" s="72">
        <f t="shared" si="22"/>
        <v>2940443.9627487385</v>
      </c>
      <c r="N191" s="73">
        <f t="shared" si="23"/>
        <v>2.9926532578586129E-2</v>
      </c>
      <c r="O191" s="74">
        <f t="shared" si="24"/>
        <v>-2.171033849404469E-2</v>
      </c>
      <c r="P191" s="74">
        <f t="shared" si="25"/>
        <v>4.7133879752599866E-4</v>
      </c>
    </row>
    <row r="192" spans="1:16" x14ac:dyDescent="0.3">
      <c r="A192">
        <f t="shared" si="26"/>
        <v>179</v>
      </c>
      <c r="C192" s="66">
        <v>18132212430</v>
      </c>
      <c r="D192" s="40" t="s">
        <v>349</v>
      </c>
      <c r="E192" s="66">
        <v>491500</v>
      </c>
      <c r="F192" s="68">
        <v>1.0250260688216892</v>
      </c>
      <c r="G192" s="80">
        <v>44524</v>
      </c>
      <c r="H192">
        <v>479500</v>
      </c>
      <c r="I192" s="71">
        <f t="shared" si="18"/>
        <v>-12000</v>
      </c>
      <c r="J192" s="72">
        <f t="shared" si="19"/>
        <v>144000000</v>
      </c>
      <c r="K192" s="71">
        <f t="shared" si="20"/>
        <v>346714.77227722772</v>
      </c>
      <c r="L192" s="71">
        <f t="shared" si="21"/>
        <v>132785.22772277228</v>
      </c>
      <c r="M192" s="72">
        <f t="shared" si="22"/>
        <v>17631916701.388493</v>
      </c>
      <c r="N192" s="73">
        <f t="shared" si="23"/>
        <v>2.97352100959275E-2</v>
      </c>
      <c r="O192" s="74">
        <f t="shared" si="24"/>
        <v>-2.1519016011386061E-2</v>
      </c>
      <c r="P192" s="74">
        <f t="shared" si="25"/>
        <v>4.6306805009828963E-4</v>
      </c>
    </row>
    <row r="193" spans="1:16" x14ac:dyDescent="0.3">
      <c r="A193">
        <f t="shared" si="26"/>
        <v>180</v>
      </c>
      <c r="C193" s="75">
        <v>18132324553</v>
      </c>
      <c r="D193" s="40" t="s">
        <v>349</v>
      </c>
      <c r="E193" s="75">
        <v>303600</v>
      </c>
      <c r="F193" s="76">
        <v>1.0291525423728813</v>
      </c>
      <c r="G193" s="80">
        <v>44496</v>
      </c>
      <c r="H193">
        <v>295000</v>
      </c>
      <c r="I193" s="71">
        <f t="shared" si="18"/>
        <v>-8600</v>
      </c>
      <c r="J193" s="72">
        <f t="shared" si="19"/>
        <v>73960000</v>
      </c>
      <c r="K193" s="71">
        <f t="shared" si="20"/>
        <v>346714.77227722772</v>
      </c>
      <c r="L193" s="71">
        <f t="shared" si="21"/>
        <v>-51714.772277227719</v>
      </c>
      <c r="M193" s="72">
        <f t="shared" si="22"/>
        <v>2674417671.6855206</v>
      </c>
      <c r="N193" s="73">
        <f t="shared" si="23"/>
        <v>3.3861683647119611E-2</v>
      </c>
      <c r="O193" s="74">
        <f t="shared" si="24"/>
        <v>-2.5645489562578172E-2</v>
      </c>
      <c r="P193" s="74">
        <f t="shared" si="25"/>
        <v>6.57691134904306E-4</v>
      </c>
    </row>
    <row r="194" spans="1:16" x14ac:dyDescent="0.3">
      <c r="A194">
        <f t="shared" si="26"/>
        <v>181</v>
      </c>
      <c r="C194" s="66">
        <v>18132244467</v>
      </c>
      <c r="D194" s="40" t="s">
        <v>349</v>
      </c>
      <c r="E194" s="66">
        <v>296700</v>
      </c>
      <c r="F194" s="68">
        <v>1.026643598615917</v>
      </c>
      <c r="G194" s="80">
        <v>45061</v>
      </c>
      <c r="H194">
        <v>289000</v>
      </c>
      <c r="I194" s="71">
        <f t="shared" si="18"/>
        <v>-7700</v>
      </c>
      <c r="J194" s="72">
        <f t="shared" si="19"/>
        <v>59290000</v>
      </c>
      <c r="K194" s="71">
        <f t="shared" si="20"/>
        <v>346714.77227722772</v>
      </c>
      <c r="L194" s="71">
        <f t="shared" si="21"/>
        <v>-57714.772277227719</v>
      </c>
      <c r="M194" s="72">
        <f t="shared" si="22"/>
        <v>3330994939.0122533</v>
      </c>
      <c r="N194" s="73">
        <f t="shared" si="23"/>
        <v>3.1352739890155301E-2</v>
      </c>
      <c r="O194" s="74">
        <f t="shared" si="24"/>
        <v>-2.3136545805613862E-2</v>
      </c>
      <c r="P194" s="74">
        <f t="shared" si="25"/>
        <v>5.3529975181526839E-4</v>
      </c>
    </row>
    <row r="195" spans="1:16" x14ac:dyDescent="0.3">
      <c r="A195">
        <f t="shared" si="26"/>
        <v>182</v>
      </c>
      <c r="C195" s="75">
        <v>18132313452</v>
      </c>
      <c r="D195" s="40" t="s">
        <v>349</v>
      </c>
      <c r="E195" s="75">
        <v>358700</v>
      </c>
      <c r="F195" s="76">
        <v>1.0251500428693912</v>
      </c>
      <c r="G195" s="80">
        <v>44607</v>
      </c>
      <c r="H195">
        <v>349900</v>
      </c>
      <c r="I195" s="71">
        <f t="shared" si="18"/>
        <v>-8800</v>
      </c>
      <c r="J195" s="72">
        <f t="shared" si="19"/>
        <v>77440000</v>
      </c>
      <c r="K195" s="71">
        <f t="shared" si="20"/>
        <v>346714.77227722772</v>
      </c>
      <c r="L195" s="71">
        <f t="shared" si="21"/>
        <v>3185.2277227722807</v>
      </c>
      <c r="M195" s="72">
        <f t="shared" si="22"/>
        <v>10145675.64591709</v>
      </c>
      <c r="N195" s="73">
        <f t="shared" si="23"/>
        <v>2.9859184143629425E-2</v>
      </c>
      <c r="O195" s="74">
        <f t="shared" si="24"/>
        <v>-2.1642990059087985E-2</v>
      </c>
      <c r="P195" s="74">
        <f t="shared" si="25"/>
        <v>4.6841901869778136E-4</v>
      </c>
    </row>
    <row r="196" spans="1:16" x14ac:dyDescent="0.3">
      <c r="A196">
        <f t="shared" si="26"/>
        <v>183</v>
      </c>
      <c r="C196" s="66">
        <v>18132322022</v>
      </c>
      <c r="D196" s="40" t="s">
        <v>349</v>
      </c>
      <c r="E196" s="66">
        <v>417800</v>
      </c>
      <c r="F196" s="68">
        <v>1.0267879085770459</v>
      </c>
      <c r="G196" s="80">
        <v>45287</v>
      </c>
      <c r="H196">
        <v>406900</v>
      </c>
      <c r="I196" s="71">
        <f t="shared" si="18"/>
        <v>-10900</v>
      </c>
      <c r="J196" s="72">
        <f t="shared" si="19"/>
        <v>118810000</v>
      </c>
      <c r="K196" s="71">
        <f t="shared" si="20"/>
        <v>346714.77227722772</v>
      </c>
      <c r="L196" s="71">
        <f t="shared" si="21"/>
        <v>60185.227722772281</v>
      </c>
      <c r="M196" s="72">
        <f t="shared" si="22"/>
        <v>3622261636.0419569</v>
      </c>
      <c r="N196" s="73">
        <f t="shared" si="23"/>
        <v>3.1497049851284209E-2</v>
      </c>
      <c r="O196" s="74">
        <f t="shared" si="24"/>
        <v>-2.328085576674277E-2</v>
      </c>
      <c r="P196" s="74">
        <f t="shared" si="25"/>
        <v>5.4199824523188007E-4</v>
      </c>
    </row>
    <row r="197" spans="1:16" x14ac:dyDescent="0.3">
      <c r="A197">
        <f t="shared" si="26"/>
        <v>184</v>
      </c>
      <c r="C197" s="75">
        <v>18132244047</v>
      </c>
      <c r="D197" s="40" t="s">
        <v>349</v>
      </c>
      <c r="E197" s="75">
        <v>372800</v>
      </c>
      <c r="F197" s="76">
        <v>1.0284137931034483</v>
      </c>
      <c r="G197" s="80">
        <v>44747</v>
      </c>
      <c r="H197">
        <v>362500</v>
      </c>
      <c r="I197" s="71">
        <f t="shared" si="18"/>
        <v>-10300</v>
      </c>
      <c r="J197" s="72">
        <f t="shared" si="19"/>
        <v>106090000</v>
      </c>
      <c r="K197" s="71">
        <f t="shared" si="20"/>
        <v>346714.77227722772</v>
      </c>
      <c r="L197" s="71">
        <f t="shared" si="21"/>
        <v>15785.227722772281</v>
      </c>
      <c r="M197" s="72">
        <f t="shared" si="22"/>
        <v>249173414.25977856</v>
      </c>
      <c r="N197" s="73">
        <f t="shared" si="23"/>
        <v>3.3122934377686541E-2</v>
      </c>
      <c r="O197" s="74">
        <f t="shared" si="24"/>
        <v>-2.4906740293145102E-2</v>
      </c>
      <c r="P197" s="74">
        <f t="shared" si="25"/>
        <v>6.2034571203017778E-4</v>
      </c>
    </row>
    <row r="198" spans="1:16" x14ac:dyDescent="0.3">
      <c r="A198">
        <f t="shared" si="26"/>
        <v>185</v>
      </c>
      <c r="C198" s="66">
        <v>18132333008</v>
      </c>
      <c r="D198" s="40" t="s">
        <v>349</v>
      </c>
      <c r="E198" s="66">
        <v>319200</v>
      </c>
      <c r="F198" s="68">
        <v>1.0296774193548388</v>
      </c>
      <c r="G198" s="80">
        <v>44811</v>
      </c>
      <c r="H198">
        <v>310000</v>
      </c>
      <c r="I198" s="71">
        <f t="shared" si="18"/>
        <v>-9200</v>
      </c>
      <c r="J198" s="72">
        <f t="shared" si="19"/>
        <v>84640000</v>
      </c>
      <c r="K198" s="71">
        <f t="shared" si="20"/>
        <v>346714.77227722772</v>
      </c>
      <c r="L198" s="71">
        <f t="shared" si="21"/>
        <v>-36714.772277227719</v>
      </c>
      <c r="M198" s="72">
        <f t="shared" si="22"/>
        <v>1347974503.3686891</v>
      </c>
      <c r="N198" s="73">
        <f t="shared" si="23"/>
        <v>3.4386560629077079E-2</v>
      </c>
      <c r="O198" s="74">
        <f t="shared" si="24"/>
        <v>-2.6170366544535639E-2</v>
      </c>
      <c r="P198" s="74">
        <f t="shared" si="25"/>
        <v>6.8488808507535023E-4</v>
      </c>
    </row>
    <row r="199" spans="1:16" x14ac:dyDescent="0.3">
      <c r="A199">
        <f t="shared" si="26"/>
        <v>186</v>
      </c>
      <c r="C199" s="75">
        <v>18132241448</v>
      </c>
      <c r="D199" s="40" t="s">
        <v>349</v>
      </c>
      <c r="E199" s="75">
        <v>175200</v>
      </c>
      <c r="F199" s="76">
        <v>1.024561403508772</v>
      </c>
      <c r="G199" s="80">
        <v>44400</v>
      </c>
      <c r="H199">
        <v>171000</v>
      </c>
      <c r="I199" s="71">
        <f t="shared" si="18"/>
        <v>-4200</v>
      </c>
      <c r="J199" s="72">
        <f t="shared" si="19"/>
        <v>17640000</v>
      </c>
      <c r="K199" s="71">
        <f t="shared" si="20"/>
        <v>346714.77227722772</v>
      </c>
      <c r="L199" s="71">
        <f t="shared" si="21"/>
        <v>-175714.77227722772</v>
      </c>
      <c r="M199" s="72">
        <f t="shared" si="22"/>
        <v>30875681196.437996</v>
      </c>
      <c r="N199" s="73">
        <f t="shared" si="23"/>
        <v>2.9270544783010277E-2</v>
      </c>
      <c r="O199" s="74">
        <f t="shared" si="24"/>
        <v>-2.1054350698468838E-2</v>
      </c>
      <c r="P199" s="74">
        <f t="shared" si="25"/>
        <v>4.4328568333411523E-4</v>
      </c>
    </row>
    <row r="200" spans="1:16" x14ac:dyDescent="0.3">
      <c r="A200">
        <f t="shared" si="26"/>
        <v>187</v>
      </c>
      <c r="C200" s="66">
        <v>18132214501</v>
      </c>
      <c r="D200" s="40" t="s">
        <v>349</v>
      </c>
      <c r="E200" s="66">
        <v>402500</v>
      </c>
      <c r="F200" s="68">
        <v>1.0320512820512822</v>
      </c>
      <c r="G200" s="80">
        <v>45103</v>
      </c>
      <c r="H200">
        <v>390000</v>
      </c>
      <c r="I200" s="71">
        <f t="shared" si="18"/>
        <v>-12500</v>
      </c>
      <c r="J200" s="72">
        <f t="shared" si="19"/>
        <v>156250000</v>
      </c>
      <c r="K200" s="71">
        <f t="shared" si="20"/>
        <v>346714.77227722772</v>
      </c>
      <c r="L200" s="71">
        <f t="shared" si="21"/>
        <v>43285.227722772281</v>
      </c>
      <c r="M200" s="72">
        <f t="shared" si="22"/>
        <v>1873610939.012254</v>
      </c>
      <c r="N200" s="73">
        <f t="shared" si="23"/>
        <v>3.676042332552043E-2</v>
      </c>
      <c r="O200" s="74">
        <f t="shared" si="24"/>
        <v>-2.8544229240978991E-2</v>
      </c>
      <c r="P200" s="74">
        <f t="shared" si="25"/>
        <v>8.1477302296156004E-4</v>
      </c>
    </row>
    <row r="201" spans="1:16" x14ac:dyDescent="0.3">
      <c r="A201">
        <f t="shared" si="26"/>
        <v>188</v>
      </c>
      <c r="C201" s="75">
        <v>18132211411</v>
      </c>
      <c r="D201" s="40" t="s">
        <v>349</v>
      </c>
      <c r="E201" s="75">
        <v>325000</v>
      </c>
      <c r="F201" s="76">
        <v>1.0317460317460319</v>
      </c>
      <c r="G201" s="80">
        <v>44407</v>
      </c>
      <c r="H201">
        <v>315000</v>
      </c>
      <c r="I201" s="71">
        <f t="shared" si="18"/>
        <v>-10000</v>
      </c>
      <c r="J201" s="72">
        <f t="shared" si="19"/>
        <v>100000000</v>
      </c>
      <c r="K201" s="71">
        <f t="shared" si="20"/>
        <v>346714.77227722772</v>
      </c>
      <c r="L201" s="71">
        <f t="shared" si="21"/>
        <v>-31714.772277227719</v>
      </c>
      <c r="M201" s="72">
        <f t="shared" si="22"/>
        <v>1005826780.5964119</v>
      </c>
      <c r="N201" s="73">
        <f t="shared" si="23"/>
        <v>3.6455173020270126E-2</v>
      </c>
      <c r="O201" s="74">
        <f t="shared" si="24"/>
        <v>-2.8238978935728687E-2</v>
      </c>
      <c r="P201" s="74">
        <f t="shared" si="25"/>
        <v>7.9743993133252851E-4</v>
      </c>
    </row>
    <row r="202" spans="1:16" x14ac:dyDescent="0.3">
      <c r="A202">
        <f t="shared" si="26"/>
        <v>189</v>
      </c>
      <c r="C202" s="66">
        <v>18132322472</v>
      </c>
      <c r="D202" s="40" t="s">
        <v>349</v>
      </c>
      <c r="E202" s="66">
        <v>261700</v>
      </c>
      <c r="F202" s="68">
        <v>1.0262745098039217</v>
      </c>
      <c r="G202" s="80">
        <v>45168</v>
      </c>
      <c r="H202">
        <v>255000</v>
      </c>
      <c r="I202" s="71">
        <f t="shared" si="18"/>
        <v>-6700</v>
      </c>
      <c r="J202" s="72">
        <f t="shared" si="19"/>
        <v>44890000</v>
      </c>
      <c r="K202" s="71">
        <f t="shared" si="20"/>
        <v>346714.77227722772</v>
      </c>
      <c r="L202" s="71">
        <f t="shared" si="21"/>
        <v>-91714.772277227719</v>
      </c>
      <c r="M202" s="72">
        <f t="shared" si="22"/>
        <v>8411599453.8637381</v>
      </c>
      <c r="N202" s="73">
        <f t="shared" si="23"/>
        <v>3.0983651078159924E-2</v>
      </c>
      <c r="O202" s="74">
        <f t="shared" si="24"/>
        <v>-2.2767456993618485E-2</v>
      </c>
      <c r="P202" s="74">
        <f t="shared" si="25"/>
        <v>5.1835709795626723E-4</v>
      </c>
    </row>
    <row r="203" spans="1:16" x14ac:dyDescent="0.3">
      <c r="A203">
        <f t="shared" si="26"/>
        <v>190</v>
      </c>
      <c r="C203" s="75">
        <v>18132331406</v>
      </c>
      <c r="D203" s="40" t="s">
        <v>349</v>
      </c>
      <c r="E203" s="75">
        <v>403000</v>
      </c>
      <c r="F203" s="76">
        <v>1.0333333333333334</v>
      </c>
      <c r="G203" s="80">
        <v>44840</v>
      </c>
      <c r="H203">
        <v>390000</v>
      </c>
      <c r="I203" s="71">
        <f t="shared" si="18"/>
        <v>-13000</v>
      </c>
      <c r="J203" s="72">
        <f t="shared" si="19"/>
        <v>169000000</v>
      </c>
      <c r="K203" s="71">
        <f t="shared" si="20"/>
        <v>346714.77227722772</v>
      </c>
      <c r="L203" s="71">
        <f t="shared" si="21"/>
        <v>43285.227722772281</v>
      </c>
      <c r="M203" s="72">
        <f t="shared" si="22"/>
        <v>1873610939.012254</v>
      </c>
      <c r="N203" s="73">
        <f t="shared" si="23"/>
        <v>3.8042474607571708E-2</v>
      </c>
      <c r="O203" s="74">
        <f t="shared" si="24"/>
        <v>-2.9826280523030269E-2</v>
      </c>
      <c r="P203" s="74">
        <f t="shared" si="25"/>
        <v>8.8960700983849476E-4</v>
      </c>
    </row>
    <row r="204" spans="1:16" x14ac:dyDescent="0.3">
      <c r="A204">
        <f t="shared" si="26"/>
        <v>191</v>
      </c>
      <c r="C204" s="66">
        <v>18132243447</v>
      </c>
      <c r="D204" s="40" t="s">
        <v>349</v>
      </c>
      <c r="E204" s="66">
        <v>449400</v>
      </c>
      <c r="F204" s="68">
        <v>1.0331034482758621</v>
      </c>
      <c r="G204" s="80">
        <v>45145</v>
      </c>
      <c r="H204">
        <v>435000</v>
      </c>
      <c r="I204" s="71">
        <f t="shared" si="18"/>
        <v>-14400</v>
      </c>
      <c r="J204" s="72">
        <f t="shared" si="19"/>
        <v>207360000</v>
      </c>
      <c r="K204" s="71">
        <f t="shared" si="20"/>
        <v>346714.77227722772</v>
      </c>
      <c r="L204" s="71">
        <f t="shared" si="21"/>
        <v>88285.227722772281</v>
      </c>
      <c r="M204" s="72">
        <f t="shared" si="22"/>
        <v>7794281434.061759</v>
      </c>
      <c r="N204" s="73">
        <f t="shared" si="23"/>
        <v>3.7812589550100362E-2</v>
      </c>
      <c r="O204" s="74">
        <f t="shared" si="24"/>
        <v>-2.9596395465558922E-2</v>
      </c>
      <c r="P204" s="74">
        <f t="shared" si="25"/>
        <v>8.7594662455375675E-4</v>
      </c>
    </row>
    <row r="205" spans="1:16" x14ac:dyDescent="0.3">
      <c r="A205">
        <f t="shared" si="26"/>
        <v>192</v>
      </c>
      <c r="C205" s="75">
        <v>18132342419</v>
      </c>
      <c r="D205" s="40" t="s">
        <v>349</v>
      </c>
      <c r="E205" s="75">
        <v>367500</v>
      </c>
      <c r="F205" s="76">
        <v>1.0323033707865168</v>
      </c>
      <c r="G205" s="80">
        <v>45119</v>
      </c>
      <c r="H205">
        <v>356000</v>
      </c>
      <c r="I205" s="71">
        <f t="shared" si="18"/>
        <v>-11500</v>
      </c>
      <c r="J205" s="72">
        <f t="shared" si="19"/>
        <v>132250000</v>
      </c>
      <c r="K205" s="71">
        <f t="shared" si="20"/>
        <v>346714.77227722772</v>
      </c>
      <c r="L205" s="71">
        <f t="shared" si="21"/>
        <v>9285.2277227722807</v>
      </c>
      <c r="M205" s="72">
        <f t="shared" si="22"/>
        <v>86215453.863738909</v>
      </c>
      <c r="N205" s="73">
        <f t="shared" si="23"/>
        <v>3.7012512060755065E-2</v>
      </c>
      <c r="O205" s="74">
        <f t="shared" si="24"/>
        <v>-2.8796317976213626E-2</v>
      </c>
      <c r="P205" s="74">
        <f t="shared" si="25"/>
        <v>8.2922792898720398E-4</v>
      </c>
    </row>
    <row r="206" spans="1:16" x14ac:dyDescent="0.3">
      <c r="A206">
        <f t="shared" si="26"/>
        <v>193</v>
      </c>
      <c r="C206" s="66">
        <v>18132344042</v>
      </c>
      <c r="D206" s="40" t="s">
        <v>349</v>
      </c>
      <c r="E206" s="66">
        <v>386900</v>
      </c>
      <c r="F206" s="68">
        <v>1.0317333333333334</v>
      </c>
      <c r="G206" s="80">
        <v>44847</v>
      </c>
      <c r="H206">
        <v>375000</v>
      </c>
      <c r="I206" s="71">
        <f t="shared" ref="I206:I269" si="27">+H206-E206</f>
        <v>-11900</v>
      </c>
      <c r="J206" s="72">
        <f t="shared" ref="J206:J269" si="28">+I206^2</f>
        <v>141610000</v>
      </c>
      <c r="K206" s="71">
        <f t="shared" ref="K206:K269" si="29">AVERAGE($H$14:$H$1582)</f>
        <v>346714.77227722772</v>
      </c>
      <c r="L206" s="71">
        <f t="shared" ref="L206:L269" si="30">+H206-K206</f>
        <v>28285.227722772281</v>
      </c>
      <c r="M206" s="72">
        <f t="shared" ref="M206:M269" si="31">+L206^2</f>
        <v>800054107.32908559</v>
      </c>
      <c r="N206" s="73">
        <f t="shared" ref="N206:N269" si="32">ABS(+$F$2-F206)</f>
        <v>3.6442474607571662E-2</v>
      </c>
      <c r="O206" s="74">
        <f t="shared" ref="O206:O269" si="33">+$F$3-F206</f>
        <v>-2.8226280523030223E-2</v>
      </c>
      <c r="P206" s="74">
        <f t="shared" ref="P206:P269" si="34">+O206*O206</f>
        <v>7.9672291216479534E-4</v>
      </c>
    </row>
    <row r="207" spans="1:16" x14ac:dyDescent="0.3">
      <c r="A207">
        <f t="shared" ref="A207:A270" si="35">+A206+1</f>
        <v>194</v>
      </c>
      <c r="C207" s="75">
        <v>18132334454</v>
      </c>
      <c r="D207" s="40" t="s">
        <v>349</v>
      </c>
      <c r="E207" s="75">
        <v>305800</v>
      </c>
      <c r="F207" s="76">
        <v>1.0366101694915255</v>
      </c>
      <c r="G207" s="80">
        <v>45120</v>
      </c>
      <c r="H207">
        <v>295000</v>
      </c>
      <c r="I207" s="71">
        <f t="shared" si="27"/>
        <v>-10800</v>
      </c>
      <c r="J207" s="72">
        <f t="shared" si="28"/>
        <v>116640000</v>
      </c>
      <c r="K207" s="71">
        <f t="shared" si="29"/>
        <v>346714.77227722772</v>
      </c>
      <c r="L207" s="71">
        <f t="shared" si="30"/>
        <v>-51714.772277227719</v>
      </c>
      <c r="M207" s="72">
        <f t="shared" si="31"/>
        <v>2674417671.6855206</v>
      </c>
      <c r="N207" s="73">
        <f t="shared" si="32"/>
        <v>4.1319310765763784E-2</v>
      </c>
      <c r="O207" s="74">
        <f t="shared" si="33"/>
        <v>-3.3103116681222344E-2</v>
      </c>
      <c r="P207" s="74">
        <f t="shared" si="34"/>
        <v>1.0958163340106211E-3</v>
      </c>
    </row>
    <row r="208" spans="1:16" x14ac:dyDescent="0.3">
      <c r="A208">
        <f t="shared" si="35"/>
        <v>195</v>
      </c>
      <c r="C208" s="66">
        <v>18132214017</v>
      </c>
      <c r="D208" s="40" t="s">
        <v>349</v>
      </c>
      <c r="E208" s="66">
        <v>235900</v>
      </c>
      <c r="F208" s="68">
        <v>1.0392070484581497</v>
      </c>
      <c r="G208" s="80">
        <v>44908</v>
      </c>
      <c r="H208">
        <v>227000</v>
      </c>
      <c r="I208" s="71">
        <f t="shared" si="27"/>
        <v>-8900</v>
      </c>
      <c r="J208" s="72">
        <f t="shared" si="28"/>
        <v>79210000</v>
      </c>
      <c r="K208" s="71">
        <f t="shared" si="29"/>
        <v>346714.77227722772</v>
      </c>
      <c r="L208" s="71">
        <f t="shared" si="30"/>
        <v>-119714.77227722772</v>
      </c>
      <c r="M208" s="72">
        <f t="shared" si="31"/>
        <v>14331626701.388491</v>
      </c>
      <c r="N208" s="73">
        <f t="shared" si="32"/>
        <v>4.3916189732387978E-2</v>
      </c>
      <c r="O208" s="74">
        <f t="shared" si="33"/>
        <v>-3.5699995647846539E-2</v>
      </c>
      <c r="P208" s="74">
        <f t="shared" si="34"/>
        <v>1.2744896892562618E-3</v>
      </c>
    </row>
    <row r="209" spans="1:16" x14ac:dyDescent="0.3">
      <c r="A209">
        <f t="shared" si="35"/>
        <v>196</v>
      </c>
      <c r="C209" s="75">
        <v>18132213050</v>
      </c>
      <c r="D209" s="40" t="s">
        <v>349</v>
      </c>
      <c r="E209" s="75">
        <v>312200</v>
      </c>
      <c r="F209" s="76">
        <v>1.0406666666666666</v>
      </c>
      <c r="G209" s="80">
        <v>44853</v>
      </c>
      <c r="H209">
        <v>300000</v>
      </c>
      <c r="I209" s="71">
        <f t="shared" si="27"/>
        <v>-12200</v>
      </c>
      <c r="J209" s="72">
        <f t="shared" si="28"/>
        <v>148840000</v>
      </c>
      <c r="K209" s="71">
        <f t="shared" si="29"/>
        <v>346714.77227722772</v>
      </c>
      <c r="L209" s="71">
        <f t="shared" si="30"/>
        <v>-46714.772277227719</v>
      </c>
      <c r="M209" s="72">
        <f t="shared" si="31"/>
        <v>2182269948.9132433</v>
      </c>
      <c r="N209" s="73">
        <f t="shared" si="32"/>
        <v>4.53758079409049E-2</v>
      </c>
      <c r="O209" s="74">
        <f t="shared" si="33"/>
        <v>-3.715961385636346E-2</v>
      </c>
      <c r="P209" s="74">
        <f t="shared" si="34"/>
        <v>1.3808369019540393E-3</v>
      </c>
    </row>
    <row r="210" spans="1:16" x14ac:dyDescent="0.3">
      <c r="A210">
        <f t="shared" si="35"/>
        <v>197</v>
      </c>
      <c r="C210" s="66">
        <v>18132342408</v>
      </c>
      <c r="D210" s="40" t="s">
        <v>349</v>
      </c>
      <c r="E210" s="66">
        <v>375600</v>
      </c>
      <c r="F210" s="68">
        <v>1.0447844228094576</v>
      </c>
      <c r="G210" s="80">
        <v>45042</v>
      </c>
      <c r="H210">
        <v>359500</v>
      </c>
      <c r="I210" s="71">
        <f t="shared" si="27"/>
        <v>-16100</v>
      </c>
      <c r="J210" s="72">
        <f t="shared" si="28"/>
        <v>259210000</v>
      </c>
      <c r="K210" s="71">
        <f t="shared" si="29"/>
        <v>346714.77227722772</v>
      </c>
      <c r="L210" s="71">
        <f t="shared" si="30"/>
        <v>12785.227722772281</v>
      </c>
      <c r="M210" s="72">
        <f t="shared" si="31"/>
        <v>163462047.92314488</v>
      </c>
      <c r="N210" s="73">
        <f t="shared" si="32"/>
        <v>4.9493564083695873E-2</v>
      </c>
      <c r="O210" s="74">
        <f t="shared" si="33"/>
        <v>-4.1277369999154434E-2</v>
      </c>
      <c r="P210" s="74">
        <f t="shared" si="34"/>
        <v>1.7038212740470946E-3</v>
      </c>
    </row>
    <row r="211" spans="1:16" x14ac:dyDescent="0.3">
      <c r="A211">
        <f t="shared" si="35"/>
        <v>198</v>
      </c>
      <c r="C211" s="75">
        <v>18132333402</v>
      </c>
      <c r="D211" s="40" t="s">
        <v>349</v>
      </c>
      <c r="E211" s="75">
        <v>340100</v>
      </c>
      <c r="F211" s="76">
        <v>1.0464615384615386</v>
      </c>
      <c r="G211" s="80">
        <v>44463</v>
      </c>
      <c r="H211">
        <v>325000</v>
      </c>
      <c r="I211" s="71">
        <f t="shared" si="27"/>
        <v>-15100</v>
      </c>
      <c r="J211" s="72">
        <f t="shared" si="28"/>
        <v>228010000</v>
      </c>
      <c r="K211" s="71">
        <f t="shared" si="29"/>
        <v>346714.77227722772</v>
      </c>
      <c r="L211" s="71">
        <f t="shared" si="30"/>
        <v>-21714.772277227719</v>
      </c>
      <c r="M211" s="72">
        <f t="shared" si="31"/>
        <v>471531335.05185753</v>
      </c>
      <c r="N211" s="73">
        <f t="shared" si="32"/>
        <v>5.1170679735776825E-2</v>
      </c>
      <c r="O211" s="74">
        <f t="shared" si="33"/>
        <v>-4.2954485651235386E-2</v>
      </c>
      <c r="P211" s="74">
        <f t="shared" si="34"/>
        <v>1.8450878375621867E-3</v>
      </c>
    </row>
    <row r="212" spans="1:16" x14ac:dyDescent="0.3">
      <c r="A212">
        <f t="shared" si="35"/>
        <v>199</v>
      </c>
      <c r="C212" s="66">
        <v>18132331492</v>
      </c>
      <c r="D212" s="40" t="s">
        <v>349</v>
      </c>
      <c r="E212" s="66">
        <v>484200</v>
      </c>
      <c r="F212" s="68">
        <v>1.0412903225806451</v>
      </c>
      <c r="G212" s="80">
        <v>45174</v>
      </c>
      <c r="H212">
        <v>465000</v>
      </c>
      <c r="I212" s="71">
        <f t="shared" si="27"/>
        <v>-19200</v>
      </c>
      <c r="J212" s="72">
        <f t="shared" si="28"/>
        <v>368640000</v>
      </c>
      <c r="K212" s="71">
        <f t="shared" si="29"/>
        <v>346714.77227722772</v>
      </c>
      <c r="L212" s="71">
        <f t="shared" si="30"/>
        <v>118285.22772277228</v>
      </c>
      <c r="M212" s="72">
        <f t="shared" si="31"/>
        <v>13991395097.428097</v>
      </c>
      <c r="N212" s="73">
        <f t="shared" si="32"/>
        <v>4.5999463854883405E-2</v>
      </c>
      <c r="O212" s="74">
        <f t="shared" si="33"/>
        <v>-3.7783269770341965E-2</v>
      </c>
      <c r="P212" s="74">
        <f t="shared" si="34"/>
        <v>1.4275754745384369E-3</v>
      </c>
    </row>
    <row r="213" spans="1:16" x14ac:dyDescent="0.3">
      <c r="A213">
        <f t="shared" si="35"/>
        <v>200</v>
      </c>
      <c r="C213" s="75">
        <v>18132243050</v>
      </c>
      <c r="D213" s="40" t="s">
        <v>349</v>
      </c>
      <c r="E213" s="75">
        <v>246200</v>
      </c>
      <c r="F213" s="76">
        <v>1.047659574468085</v>
      </c>
      <c r="G213" s="80">
        <v>44238</v>
      </c>
      <c r="H213">
        <v>235000</v>
      </c>
      <c r="I213" s="71">
        <f t="shared" si="27"/>
        <v>-11200</v>
      </c>
      <c r="J213" s="72">
        <f t="shared" si="28"/>
        <v>125440000</v>
      </c>
      <c r="K213" s="71">
        <f t="shared" si="29"/>
        <v>346714.77227722772</v>
      </c>
      <c r="L213" s="71">
        <f t="shared" si="30"/>
        <v>-111714.77227722772</v>
      </c>
      <c r="M213" s="72">
        <f t="shared" si="31"/>
        <v>12480190344.952847</v>
      </c>
      <c r="N213" s="73">
        <f t="shared" si="32"/>
        <v>5.2368715742323269E-2</v>
      </c>
      <c r="O213" s="74">
        <f t="shared" si="33"/>
        <v>-4.4152521657781829E-2</v>
      </c>
      <c r="P213" s="74">
        <f t="shared" si="34"/>
        <v>1.9494451687408934E-3</v>
      </c>
    </row>
    <row r="214" spans="1:16" x14ac:dyDescent="0.3">
      <c r="A214">
        <f t="shared" si="35"/>
        <v>201</v>
      </c>
      <c r="C214" s="66">
        <v>18132343008</v>
      </c>
      <c r="D214" s="40" t="s">
        <v>349</v>
      </c>
      <c r="E214" s="66">
        <v>522400</v>
      </c>
      <c r="F214" s="68">
        <v>1.0448</v>
      </c>
      <c r="G214" s="80">
        <v>44725</v>
      </c>
      <c r="H214">
        <v>500000</v>
      </c>
      <c r="I214" s="71">
        <f t="shared" si="27"/>
        <v>-22400</v>
      </c>
      <c r="J214" s="72">
        <f t="shared" si="28"/>
        <v>501760000</v>
      </c>
      <c r="K214" s="71">
        <f t="shared" si="29"/>
        <v>346714.77227722772</v>
      </c>
      <c r="L214" s="71">
        <f t="shared" si="30"/>
        <v>153285.22772277228</v>
      </c>
      <c r="M214" s="72">
        <f t="shared" si="31"/>
        <v>23496361038.022156</v>
      </c>
      <c r="N214" s="73">
        <f t="shared" si="32"/>
        <v>4.9509141274238222E-2</v>
      </c>
      <c r="O214" s="74">
        <f t="shared" si="33"/>
        <v>-4.1292947189696783E-2</v>
      </c>
      <c r="P214" s="74">
        <f t="shared" si="34"/>
        <v>1.7051074876110873E-3</v>
      </c>
    </row>
    <row r="215" spans="1:16" x14ac:dyDescent="0.3">
      <c r="A215">
        <f t="shared" si="35"/>
        <v>202</v>
      </c>
      <c r="C215" s="75">
        <v>18132331419</v>
      </c>
      <c r="D215" s="40" t="s">
        <v>349</v>
      </c>
      <c r="E215" s="75">
        <v>350000</v>
      </c>
      <c r="F215" s="76">
        <v>1.044776119402985</v>
      </c>
      <c r="G215" s="80">
        <v>44727</v>
      </c>
      <c r="H215">
        <v>335000</v>
      </c>
      <c r="I215" s="71">
        <f t="shared" si="27"/>
        <v>-15000</v>
      </c>
      <c r="J215" s="72">
        <f t="shared" si="28"/>
        <v>225000000</v>
      </c>
      <c r="K215" s="71">
        <f t="shared" si="29"/>
        <v>346714.77227722772</v>
      </c>
      <c r="L215" s="71">
        <f t="shared" si="30"/>
        <v>-11714.772277227719</v>
      </c>
      <c r="M215" s="72">
        <f t="shared" si="31"/>
        <v>137235889.50730312</v>
      </c>
      <c r="N215" s="73">
        <f t="shared" si="32"/>
        <v>4.9485260677223253E-2</v>
      </c>
      <c r="O215" s="74">
        <f t="shared" si="33"/>
        <v>-4.1269066592681813E-2</v>
      </c>
      <c r="P215" s="74">
        <f t="shared" si="34"/>
        <v>1.703135857431206E-3</v>
      </c>
    </row>
    <row r="216" spans="1:16" x14ac:dyDescent="0.3">
      <c r="A216">
        <f t="shared" si="35"/>
        <v>203</v>
      </c>
      <c r="C216" s="66">
        <v>18132322498</v>
      </c>
      <c r="D216" s="40" t="s">
        <v>349</v>
      </c>
      <c r="E216" s="66">
        <v>366100</v>
      </c>
      <c r="F216" s="68">
        <v>1.046</v>
      </c>
      <c r="G216" s="80">
        <v>44788</v>
      </c>
      <c r="H216">
        <v>350000</v>
      </c>
      <c r="I216" s="71">
        <f t="shared" si="27"/>
        <v>-16100</v>
      </c>
      <c r="J216" s="72">
        <f t="shared" si="28"/>
        <v>259210000</v>
      </c>
      <c r="K216" s="71">
        <f t="shared" si="29"/>
        <v>346714.77227722772</v>
      </c>
      <c r="L216" s="71">
        <f t="shared" si="30"/>
        <v>3285.2277227722807</v>
      </c>
      <c r="M216" s="72">
        <f t="shared" si="31"/>
        <v>10792721.190471545</v>
      </c>
      <c r="N216" s="73">
        <f t="shared" si="32"/>
        <v>5.0709141274238312E-2</v>
      </c>
      <c r="O216" s="74">
        <f t="shared" si="33"/>
        <v>-4.2492947189696872E-2</v>
      </c>
      <c r="P216" s="74">
        <f t="shared" si="34"/>
        <v>1.8056505608663672E-3</v>
      </c>
    </row>
    <row r="217" spans="1:16" x14ac:dyDescent="0.3">
      <c r="A217">
        <f t="shared" si="35"/>
        <v>204</v>
      </c>
      <c r="C217" s="75">
        <v>18132242015</v>
      </c>
      <c r="D217" s="40" t="s">
        <v>349</v>
      </c>
      <c r="E217" s="75">
        <v>662300</v>
      </c>
      <c r="F217" s="76">
        <v>1.0479430379746835</v>
      </c>
      <c r="G217" s="80">
        <v>45182</v>
      </c>
      <c r="H217">
        <v>632000</v>
      </c>
      <c r="I217" s="71">
        <f t="shared" si="27"/>
        <v>-30300</v>
      </c>
      <c r="J217" s="72">
        <f t="shared" si="28"/>
        <v>918090000</v>
      </c>
      <c r="K217" s="71">
        <f t="shared" si="29"/>
        <v>346714.77227722772</v>
      </c>
      <c r="L217" s="71">
        <f t="shared" si="30"/>
        <v>285285.22772277228</v>
      </c>
      <c r="M217" s="72">
        <f t="shared" si="31"/>
        <v>81387661156.834045</v>
      </c>
      <c r="N217" s="73">
        <f t="shared" si="32"/>
        <v>5.2652179248921738E-2</v>
      </c>
      <c r="O217" s="74">
        <f t="shared" si="33"/>
        <v>-4.4435985164380298E-2</v>
      </c>
      <c r="P217" s="74">
        <f t="shared" si="34"/>
        <v>1.9745567775290261E-3</v>
      </c>
    </row>
    <row r="218" spans="1:16" x14ac:dyDescent="0.3">
      <c r="A218">
        <f t="shared" si="35"/>
        <v>205</v>
      </c>
      <c r="C218" s="66">
        <v>18132323429</v>
      </c>
      <c r="D218" s="40" t="s">
        <v>349</v>
      </c>
      <c r="E218" s="66">
        <v>309000</v>
      </c>
      <c r="F218" s="68">
        <v>1.047457627118644</v>
      </c>
      <c r="G218" s="80">
        <v>44410</v>
      </c>
      <c r="H218">
        <v>295000</v>
      </c>
      <c r="I218" s="71">
        <f t="shared" si="27"/>
        <v>-14000</v>
      </c>
      <c r="J218" s="72">
        <f t="shared" si="28"/>
        <v>196000000</v>
      </c>
      <c r="K218" s="71">
        <f t="shared" si="29"/>
        <v>346714.77227722772</v>
      </c>
      <c r="L218" s="71">
        <f t="shared" si="30"/>
        <v>-51714.772277227719</v>
      </c>
      <c r="M218" s="72">
        <f t="shared" si="31"/>
        <v>2674417671.6855206</v>
      </c>
      <c r="N218" s="73">
        <f t="shared" si="32"/>
        <v>5.2166768392882257E-2</v>
      </c>
      <c r="O218" s="74">
        <f t="shared" si="33"/>
        <v>-4.3950574308340817E-2</v>
      </c>
      <c r="P218" s="74">
        <f t="shared" si="34"/>
        <v>1.931652982032988E-3</v>
      </c>
    </row>
    <row r="219" spans="1:16" x14ac:dyDescent="0.3">
      <c r="A219">
        <f t="shared" si="35"/>
        <v>206</v>
      </c>
      <c r="C219" s="75">
        <v>18132344013</v>
      </c>
      <c r="D219" s="40" t="s">
        <v>349</v>
      </c>
      <c r="E219" s="75">
        <v>283000</v>
      </c>
      <c r="F219" s="76">
        <v>1.0516536603493125</v>
      </c>
      <c r="G219" s="80">
        <v>44587</v>
      </c>
      <c r="H219">
        <v>269100</v>
      </c>
      <c r="I219" s="71">
        <f t="shared" si="27"/>
        <v>-13900</v>
      </c>
      <c r="J219" s="72">
        <f t="shared" si="28"/>
        <v>193210000</v>
      </c>
      <c r="K219" s="71">
        <f t="shared" si="29"/>
        <v>346714.77227722772</v>
      </c>
      <c r="L219" s="71">
        <f t="shared" si="30"/>
        <v>-77614.772277227719</v>
      </c>
      <c r="M219" s="72">
        <f t="shared" si="31"/>
        <v>6024052875.6459169</v>
      </c>
      <c r="N219" s="73">
        <f t="shared" si="32"/>
        <v>5.6362801623550784E-2</v>
      </c>
      <c r="O219" s="74">
        <f t="shared" si="33"/>
        <v>-4.8146607539009345E-2</v>
      </c>
      <c r="P219" s="74">
        <f t="shared" si="34"/>
        <v>2.3180958175153914E-3</v>
      </c>
    </row>
    <row r="220" spans="1:16" x14ac:dyDescent="0.3">
      <c r="A220">
        <f t="shared" si="35"/>
        <v>207</v>
      </c>
      <c r="C220" s="66">
        <v>18132241016</v>
      </c>
      <c r="D220" s="40" t="s">
        <v>349</v>
      </c>
      <c r="E220" s="66">
        <v>568400</v>
      </c>
      <c r="F220" s="68">
        <v>1.0525925925925925</v>
      </c>
      <c r="G220" s="80">
        <v>44659</v>
      </c>
      <c r="H220">
        <v>540000</v>
      </c>
      <c r="I220" s="71">
        <f t="shared" si="27"/>
        <v>-28400</v>
      </c>
      <c r="J220" s="72">
        <f t="shared" si="28"/>
        <v>806560000</v>
      </c>
      <c r="K220" s="71">
        <f t="shared" si="29"/>
        <v>346714.77227722772</v>
      </c>
      <c r="L220" s="71">
        <f t="shared" si="30"/>
        <v>193285.22772277228</v>
      </c>
      <c r="M220" s="72">
        <f t="shared" si="31"/>
        <v>37359179255.843941</v>
      </c>
      <c r="N220" s="73">
        <f t="shared" si="32"/>
        <v>5.7301733866830795E-2</v>
      </c>
      <c r="O220" s="74">
        <f t="shared" si="33"/>
        <v>-4.9085539782289356E-2</v>
      </c>
      <c r="P220" s="74">
        <f t="shared" si="34"/>
        <v>2.4093902157187111E-3</v>
      </c>
    </row>
    <row r="221" spans="1:16" x14ac:dyDescent="0.3">
      <c r="A221">
        <f t="shared" si="35"/>
        <v>208</v>
      </c>
      <c r="C221" s="75">
        <v>18132331054</v>
      </c>
      <c r="D221" s="40" t="s">
        <v>349</v>
      </c>
      <c r="E221" s="75">
        <v>390300</v>
      </c>
      <c r="F221" s="76">
        <v>1.0548648648648649</v>
      </c>
      <c r="G221" s="80">
        <v>44974</v>
      </c>
      <c r="H221">
        <v>370000</v>
      </c>
      <c r="I221" s="71">
        <f t="shared" si="27"/>
        <v>-20300</v>
      </c>
      <c r="J221" s="72">
        <f t="shared" si="28"/>
        <v>412090000</v>
      </c>
      <c r="K221" s="71">
        <f t="shared" si="29"/>
        <v>346714.77227722772</v>
      </c>
      <c r="L221" s="71">
        <f t="shared" si="30"/>
        <v>23285.227722772281</v>
      </c>
      <c r="M221" s="72">
        <f t="shared" si="31"/>
        <v>542201830.10136282</v>
      </c>
      <c r="N221" s="73">
        <f t="shared" si="32"/>
        <v>5.9574006139103131E-2</v>
      </c>
      <c r="O221" s="74">
        <f t="shared" si="33"/>
        <v>-5.1357812054561691E-2</v>
      </c>
      <c r="P221" s="74">
        <f t="shared" si="34"/>
        <v>2.637624859031682E-3</v>
      </c>
    </row>
    <row r="222" spans="1:16" x14ac:dyDescent="0.3">
      <c r="A222">
        <f t="shared" si="35"/>
        <v>209</v>
      </c>
      <c r="C222" s="66">
        <v>18132213048</v>
      </c>
      <c r="D222" s="40" t="s">
        <v>349</v>
      </c>
      <c r="E222" s="66">
        <v>311400</v>
      </c>
      <c r="F222" s="68">
        <v>1.0555932203389831</v>
      </c>
      <c r="G222" s="80">
        <v>44524</v>
      </c>
      <c r="H222">
        <v>295000</v>
      </c>
      <c r="I222" s="71">
        <f t="shared" si="27"/>
        <v>-16400</v>
      </c>
      <c r="J222" s="72">
        <f t="shared" si="28"/>
        <v>268960000</v>
      </c>
      <c r="K222" s="71">
        <f t="shared" si="29"/>
        <v>346714.77227722772</v>
      </c>
      <c r="L222" s="71">
        <f t="shared" si="30"/>
        <v>-51714.772277227719</v>
      </c>
      <c r="M222" s="72">
        <f t="shared" si="31"/>
        <v>2674417671.6855206</v>
      </c>
      <c r="N222" s="73">
        <f t="shared" si="32"/>
        <v>6.0302361613221334E-2</v>
      </c>
      <c r="O222" s="74">
        <f t="shared" si="33"/>
        <v>-5.2086167528679894E-2</v>
      </c>
      <c r="P222" s="74">
        <f t="shared" si="34"/>
        <v>2.7129688478257077E-3</v>
      </c>
    </row>
    <row r="223" spans="1:16" x14ac:dyDescent="0.3">
      <c r="A223">
        <f t="shared" si="35"/>
        <v>210</v>
      </c>
      <c r="C223" s="75">
        <v>18132242465</v>
      </c>
      <c r="D223" s="40" t="s">
        <v>349</v>
      </c>
      <c r="E223" s="75">
        <v>363300</v>
      </c>
      <c r="F223" s="76">
        <v>1.0530434782608695</v>
      </c>
      <c r="G223" s="80">
        <v>45238</v>
      </c>
      <c r="H223">
        <v>345000</v>
      </c>
      <c r="I223" s="71">
        <f t="shared" si="27"/>
        <v>-18300</v>
      </c>
      <c r="J223" s="72">
        <f t="shared" si="28"/>
        <v>334890000</v>
      </c>
      <c r="K223" s="71">
        <f t="shared" si="29"/>
        <v>346714.77227722772</v>
      </c>
      <c r="L223" s="71">
        <f t="shared" si="30"/>
        <v>-1714.7722772277193</v>
      </c>
      <c r="M223" s="72">
        <f t="shared" si="31"/>
        <v>2940443.9627487385</v>
      </c>
      <c r="N223" s="73">
        <f t="shared" si="32"/>
        <v>5.7752619535107796E-2</v>
      </c>
      <c r="O223" s="74">
        <f t="shared" si="33"/>
        <v>-4.9536425450566357E-2</v>
      </c>
      <c r="P223" s="74">
        <f t="shared" si="34"/>
        <v>2.4538574464195184E-3</v>
      </c>
    </row>
    <row r="224" spans="1:16" x14ac:dyDescent="0.3">
      <c r="A224">
        <f t="shared" si="35"/>
        <v>211</v>
      </c>
      <c r="C224" s="66">
        <v>18131543441</v>
      </c>
      <c r="D224" s="40" t="s">
        <v>349</v>
      </c>
      <c r="E224" s="66">
        <v>293600</v>
      </c>
      <c r="F224" s="68">
        <v>1.0485714285714285</v>
      </c>
      <c r="G224" s="80">
        <v>44634</v>
      </c>
      <c r="H224">
        <v>280000</v>
      </c>
      <c r="I224" s="71">
        <f t="shared" si="27"/>
        <v>-13600</v>
      </c>
      <c r="J224" s="72">
        <f t="shared" si="28"/>
        <v>184960000</v>
      </c>
      <c r="K224" s="71">
        <f t="shared" si="29"/>
        <v>346714.77227722772</v>
      </c>
      <c r="L224" s="71">
        <f t="shared" si="30"/>
        <v>-66714.772277227719</v>
      </c>
      <c r="M224" s="72">
        <f t="shared" si="31"/>
        <v>4450860840.0023527</v>
      </c>
      <c r="N224" s="73">
        <f t="shared" si="32"/>
        <v>5.3280569845666759E-2</v>
      </c>
      <c r="O224" s="74">
        <f t="shared" si="33"/>
        <v>-4.5064375761125319E-2</v>
      </c>
      <c r="P224" s="74">
        <f t="shared" si="34"/>
        <v>2.0307979627398991E-3</v>
      </c>
    </row>
    <row r="225" spans="1:16" x14ac:dyDescent="0.3">
      <c r="A225">
        <f t="shared" si="35"/>
        <v>212</v>
      </c>
      <c r="C225" s="75">
        <v>18132243042</v>
      </c>
      <c r="D225" s="40" t="s">
        <v>349</v>
      </c>
      <c r="E225" s="75">
        <v>311200</v>
      </c>
      <c r="F225" s="76">
        <v>1.0567062818336164</v>
      </c>
      <c r="G225" s="80">
        <v>45145</v>
      </c>
      <c r="H225">
        <v>294500</v>
      </c>
      <c r="I225" s="71">
        <f t="shared" si="27"/>
        <v>-16700</v>
      </c>
      <c r="J225" s="72">
        <f t="shared" si="28"/>
        <v>278890000</v>
      </c>
      <c r="K225" s="71">
        <f t="shared" si="29"/>
        <v>346714.77227722772</v>
      </c>
      <c r="L225" s="71">
        <f t="shared" si="30"/>
        <v>-52214.772277227719</v>
      </c>
      <c r="M225" s="72">
        <f t="shared" si="31"/>
        <v>2726382443.9627485</v>
      </c>
      <c r="N225" s="73">
        <f t="shared" si="32"/>
        <v>6.1415423107854639E-2</v>
      </c>
      <c r="O225" s="74">
        <f t="shared" si="33"/>
        <v>-5.3199229023313199E-2</v>
      </c>
      <c r="P225" s="74">
        <f t="shared" si="34"/>
        <v>2.8301579686749296E-3</v>
      </c>
    </row>
    <row r="226" spans="1:16" x14ac:dyDescent="0.3">
      <c r="A226">
        <f t="shared" si="35"/>
        <v>213</v>
      </c>
      <c r="C226" s="66">
        <v>18132244480</v>
      </c>
      <c r="D226" s="40" t="s">
        <v>349</v>
      </c>
      <c r="E226" s="66">
        <v>369600</v>
      </c>
      <c r="F226" s="68">
        <v>1.056</v>
      </c>
      <c r="G226" s="80">
        <v>44508</v>
      </c>
      <c r="H226">
        <v>350000</v>
      </c>
      <c r="I226" s="71">
        <f t="shared" si="27"/>
        <v>-19600</v>
      </c>
      <c r="J226" s="72">
        <f t="shared" si="28"/>
        <v>384160000</v>
      </c>
      <c r="K226" s="71">
        <f t="shared" si="29"/>
        <v>346714.77227722772</v>
      </c>
      <c r="L226" s="71">
        <f t="shared" si="30"/>
        <v>3285.2277227722807</v>
      </c>
      <c r="M226" s="72">
        <f t="shared" si="31"/>
        <v>10792721.190471545</v>
      </c>
      <c r="N226" s="73">
        <f t="shared" si="32"/>
        <v>6.0709141274238321E-2</v>
      </c>
      <c r="O226" s="74">
        <f t="shared" si="33"/>
        <v>-5.2492947189696881E-2</v>
      </c>
      <c r="P226" s="74">
        <f t="shared" si="34"/>
        <v>2.7555095046603059E-3</v>
      </c>
    </row>
    <row r="227" spans="1:16" x14ac:dyDescent="0.3">
      <c r="A227">
        <f t="shared" si="35"/>
        <v>214</v>
      </c>
      <c r="C227" s="75">
        <v>18132344429</v>
      </c>
      <c r="D227" s="40" t="s">
        <v>349</v>
      </c>
      <c r="E227" s="75">
        <v>357700</v>
      </c>
      <c r="F227" s="76">
        <v>1.0551622418879056</v>
      </c>
      <c r="G227" s="80">
        <v>44599</v>
      </c>
      <c r="H227">
        <v>339000</v>
      </c>
      <c r="I227" s="71">
        <f t="shared" si="27"/>
        <v>-18700</v>
      </c>
      <c r="J227" s="72">
        <f t="shared" si="28"/>
        <v>349690000</v>
      </c>
      <c r="K227" s="71">
        <f t="shared" si="29"/>
        <v>346714.77227722772</v>
      </c>
      <c r="L227" s="71">
        <f t="shared" si="30"/>
        <v>-7714.7722772277193</v>
      </c>
      <c r="M227" s="72">
        <f t="shared" si="31"/>
        <v>59517711.289481372</v>
      </c>
      <c r="N227" s="73">
        <f t="shared" si="32"/>
        <v>5.987138316214391E-2</v>
      </c>
      <c r="O227" s="74">
        <f t="shared" si="33"/>
        <v>-5.165518907760247E-2</v>
      </c>
      <c r="P227" s="74">
        <f t="shared" si="34"/>
        <v>2.6682585586428617E-3</v>
      </c>
    </row>
    <row r="228" spans="1:16" x14ac:dyDescent="0.3">
      <c r="A228">
        <f t="shared" si="35"/>
        <v>215</v>
      </c>
      <c r="C228" s="66">
        <v>18132242454</v>
      </c>
      <c r="D228" s="40" t="s">
        <v>349</v>
      </c>
      <c r="E228" s="66">
        <v>328700</v>
      </c>
      <c r="F228" s="68">
        <v>1.0603225806451613</v>
      </c>
      <c r="G228" s="80">
        <v>45188</v>
      </c>
      <c r="H228">
        <v>310000</v>
      </c>
      <c r="I228" s="71">
        <f t="shared" si="27"/>
        <v>-18700</v>
      </c>
      <c r="J228" s="72">
        <f t="shared" si="28"/>
        <v>349690000</v>
      </c>
      <c r="K228" s="71">
        <f t="shared" si="29"/>
        <v>346714.77227722772</v>
      </c>
      <c r="L228" s="71">
        <f t="shared" si="30"/>
        <v>-36714.772277227719</v>
      </c>
      <c r="M228" s="72">
        <f t="shared" si="31"/>
        <v>1347974503.3686891</v>
      </c>
      <c r="N228" s="73">
        <f t="shared" si="32"/>
        <v>6.5031721919399543E-2</v>
      </c>
      <c r="O228" s="74">
        <f t="shared" si="33"/>
        <v>-5.6815527834858104E-2</v>
      </c>
      <c r="P228" s="74">
        <f t="shared" si="34"/>
        <v>3.2280042031535361E-3</v>
      </c>
    </row>
    <row r="229" spans="1:16" x14ac:dyDescent="0.3">
      <c r="A229">
        <f t="shared" si="35"/>
        <v>216</v>
      </c>
      <c r="C229" s="75">
        <v>18132331441</v>
      </c>
      <c r="D229" s="40" t="s">
        <v>349</v>
      </c>
      <c r="E229" s="75">
        <v>454900</v>
      </c>
      <c r="F229" s="76">
        <v>1.057906976744186</v>
      </c>
      <c r="G229" s="80">
        <v>44837</v>
      </c>
      <c r="H229">
        <v>430000</v>
      </c>
      <c r="I229" s="71">
        <f t="shared" si="27"/>
        <v>-24900</v>
      </c>
      <c r="J229" s="72">
        <f t="shared" si="28"/>
        <v>620010000</v>
      </c>
      <c r="K229" s="71">
        <f t="shared" si="29"/>
        <v>346714.77227722772</v>
      </c>
      <c r="L229" s="71">
        <f t="shared" si="30"/>
        <v>83285.227722772281</v>
      </c>
      <c r="M229" s="72">
        <f t="shared" si="31"/>
        <v>6936429156.8340368</v>
      </c>
      <c r="N229" s="73">
        <f t="shared" si="32"/>
        <v>6.2616118018424261E-2</v>
      </c>
      <c r="O229" s="74">
        <f t="shared" si="33"/>
        <v>-5.4399923933882821E-2</v>
      </c>
      <c r="P229" s="74">
        <f t="shared" si="34"/>
        <v>2.9593517240122371E-3</v>
      </c>
    </row>
    <row r="230" spans="1:16" x14ac:dyDescent="0.3">
      <c r="A230">
        <f t="shared" si="35"/>
        <v>217</v>
      </c>
      <c r="C230" s="66">
        <v>18132344421</v>
      </c>
      <c r="D230" s="40" t="s">
        <v>349</v>
      </c>
      <c r="E230" s="66">
        <v>333600</v>
      </c>
      <c r="F230" s="68">
        <v>1.059047619047619</v>
      </c>
      <c r="G230" s="80">
        <v>45001</v>
      </c>
      <c r="H230">
        <v>315000</v>
      </c>
      <c r="I230" s="71">
        <f t="shared" si="27"/>
        <v>-18600</v>
      </c>
      <c r="J230" s="72">
        <f t="shared" si="28"/>
        <v>345960000</v>
      </c>
      <c r="K230" s="71">
        <f t="shared" si="29"/>
        <v>346714.77227722772</v>
      </c>
      <c r="L230" s="71">
        <f t="shared" si="30"/>
        <v>-31714.772277227719</v>
      </c>
      <c r="M230" s="72">
        <f t="shared" si="31"/>
        <v>1005826780.5964119</v>
      </c>
      <c r="N230" s="73">
        <f t="shared" si="32"/>
        <v>6.3756760321857286E-2</v>
      </c>
      <c r="O230" s="74">
        <f t="shared" si="33"/>
        <v>-5.5540566237315847E-2</v>
      </c>
      <c r="P230" s="74">
        <f t="shared" si="34"/>
        <v>3.0847544979616692E-3</v>
      </c>
    </row>
    <row r="231" spans="1:16" x14ac:dyDescent="0.3">
      <c r="A231">
        <f t="shared" si="35"/>
        <v>218</v>
      </c>
      <c r="C231" s="75">
        <v>18132324424</v>
      </c>
      <c r="D231" s="40" t="s">
        <v>349</v>
      </c>
      <c r="E231" s="75">
        <v>328500</v>
      </c>
      <c r="F231" s="76">
        <v>1.0596774193548386</v>
      </c>
      <c r="G231" s="80">
        <v>45127</v>
      </c>
      <c r="H231">
        <v>310000</v>
      </c>
      <c r="I231" s="71">
        <f t="shared" si="27"/>
        <v>-18500</v>
      </c>
      <c r="J231" s="72">
        <f t="shared" si="28"/>
        <v>342250000</v>
      </c>
      <c r="K231" s="71">
        <f t="shared" si="29"/>
        <v>346714.77227722772</v>
      </c>
      <c r="L231" s="71">
        <f t="shared" si="30"/>
        <v>-36714.772277227719</v>
      </c>
      <c r="M231" s="72">
        <f t="shared" si="31"/>
        <v>1347974503.3686891</v>
      </c>
      <c r="N231" s="73">
        <f t="shared" si="32"/>
        <v>6.4386560629076883E-2</v>
      </c>
      <c r="O231" s="74">
        <f t="shared" si="33"/>
        <v>-5.6170366544535444E-2</v>
      </c>
      <c r="P231" s="74">
        <f t="shared" si="34"/>
        <v>3.1551100777474665E-3</v>
      </c>
    </row>
    <row r="232" spans="1:16" x14ac:dyDescent="0.3">
      <c r="A232">
        <f t="shared" si="35"/>
        <v>219</v>
      </c>
      <c r="C232" s="66">
        <v>18132342442</v>
      </c>
      <c r="D232" s="40" t="s">
        <v>349</v>
      </c>
      <c r="E232" s="66">
        <v>285200</v>
      </c>
      <c r="F232" s="68">
        <v>1.0602230483271375</v>
      </c>
      <c r="G232" s="80">
        <v>44589</v>
      </c>
      <c r="H232">
        <v>269000</v>
      </c>
      <c r="I232" s="71">
        <f t="shared" si="27"/>
        <v>-16200</v>
      </c>
      <c r="J232" s="72">
        <f t="shared" si="28"/>
        <v>262440000</v>
      </c>
      <c r="K232" s="71">
        <f t="shared" si="29"/>
        <v>346714.77227722772</v>
      </c>
      <c r="L232" s="71">
        <f t="shared" si="30"/>
        <v>-77714.772277227719</v>
      </c>
      <c r="M232" s="72">
        <f t="shared" si="31"/>
        <v>6039585830.1013622</v>
      </c>
      <c r="N232" s="73">
        <f t="shared" si="32"/>
        <v>6.4932189601375812E-2</v>
      </c>
      <c r="O232" s="74">
        <f t="shared" si="33"/>
        <v>-5.6715995516834372E-2</v>
      </c>
      <c r="P232" s="74">
        <f t="shared" si="34"/>
        <v>3.2167041474655766E-3</v>
      </c>
    </row>
    <row r="233" spans="1:16" x14ac:dyDescent="0.3">
      <c r="A233">
        <f t="shared" si="35"/>
        <v>220</v>
      </c>
      <c r="C233" s="75">
        <v>18132243474</v>
      </c>
      <c r="D233" s="40" t="s">
        <v>349</v>
      </c>
      <c r="E233" s="75">
        <v>381600</v>
      </c>
      <c r="F233" s="76">
        <v>1.0629526462395542</v>
      </c>
      <c r="G233" s="80">
        <v>44280</v>
      </c>
      <c r="H233">
        <v>359000</v>
      </c>
      <c r="I233" s="71">
        <f t="shared" si="27"/>
        <v>-22600</v>
      </c>
      <c r="J233" s="72">
        <f t="shared" si="28"/>
        <v>510760000</v>
      </c>
      <c r="K233" s="71">
        <f t="shared" si="29"/>
        <v>346714.77227722772</v>
      </c>
      <c r="L233" s="71">
        <f t="shared" si="30"/>
        <v>12285.227722772281</v>
      </c>
      <c r="M233" s="72">
        <f t="shared" si="31"/>
        <v>150926820.20037261</v>
      </c>
      <c r="N233" s="73">
        <f t="shared" si="32"/>
        <v>6.7661787513792482E-2</v>
      </c>
      <c r="O233" s="74">
        <f t="shared" si="33"/>
        <v>-5.9445593429251042E-2</v>
      </c>
      <c r="P233" s="74">
        <f t="shared" si="34"/>
        <v>3.5337785781558149E-3</v>
      </c>
    </row>
    <row r="234" spans="1:16" x14ac:dyDescent="0.3">
      <c r="A234">
        <f t="shared" si="35"/>
        <v>221</v>
      </c>
      <c r="C234" s="66">
        <v>18132313486</v>
      </c>
      <c r="D234" s="40" t="s">
        <v>349</v>
      </c>
      <c r="E234" s="66">
        <v>288100</v>
      </c>
      <c r="F234" s="68">
        <v>1.067037037037037</v>
      </c>
      <c r="G234" s="80">
        <v>44459</v>
      </c>
      <c r="H234">
        <v>270000</v>
      </c>
      <c r="I234" s="71">
        <f t="shared" si="27"/>
        <v>-18100</v>
      </c>
      <c r="J234" s="72">
        <f t="shared" si="28"/>
        <v>327610000</v>
      </c>
      <c r="K234" s="71">
        <f t="shared" si="29"/>
        <v>346714.77227722772</v>
      </c>
      <c r="L234" s="71">
        <f t="shared" si="30"/>
        <v>-76714.772277227719</v>
      </c>
      <c r="M234" s="72">
        <f t="shared" si="31"/>
        <v>5885156285.5469065</v>
      </c>
      <c r="N234" s="73">
        <f t="shared" si="32"/>
        <v>7.1746178311275277E-2</v>
      </c>
      <c r="O234" s="74">
        <f t="shared" si="33"/>
        <v>-6.3529984226733838E-2</v>
      </c>
      <c r="P234" s="74">
        <f t="shared" si="34"/>
        <v>4.0360588958490498E-3</v>
      </c>
    </row>
    <row r="235" spans="1:16" x14ac:dyDescent="0.3">
      <c r="A235">
        <f t="shared" si="35"/>
        <v>222</v>
      </c>
      <c r="C235" s="75">
        <v>18132342417</v>
      </c>
      <c r="D235" s="40" t="s">
        <v>349</v>
      </c>
      <c r="E235" s="75">
        <v>302800</v>
      </c>
      <c r="F235" s="76">
        <v>1.0624561403508772</v>
      </c>
      <c r="G235" s="80">
        <v>44496</v>
      </c>
      <c r="H235">
        <v>285000</v>
      </c>
      <c r="I235" s="71">
        <f t="shared" si="27"/>
        <v>-17800</v>
      </c>
      <c r="J235" s="72">
        <f t="shared" si="28"/>
        <v>316840000</v>
      </c>
      <c r="K235" s="71">
        <f t="shared" si="29"/>
        <v>346714.77227722772</v>
      </c>
      <c r="L235" s="71">
        <f t="shared" si="30"/>
        <v>-61714.772277227719</v>
      </c>
      <c r="M235" s="72">
        <f t="shared" si="31"/>
        <v>3808713117.2300749</v>
      </c>
      <c r="N235" s="73">
        <f t="shared" si="32"/>
        <v>6.7165281625115481E-2</v>
      </c>
      <c r="O235" s="74">
        <f t="shared" si="33"/>
        <v>-5.8949087540574041E-2</v>
      </c>
      <c r="P235" s="74">
        <f t="shared" si="34"/>
        <v>3.4749949218662616E-3</v>
      </c>
    </row>
    <row r="236" spans="1:16" x14ac:dyDescent="0.3">
      <c r="A236">
        <f t="shared" si="35"/>
        <v>223</v>
      </c>
      <c r="C236" s="66">
        <v>18132334491</v>
      </c>
      <c r="D236" s="40" t="s">
        <v>349</v>
      </c>
      <c r="E236" s="66">
        <v>337600</v>
      </c>
      <c r="F236" s="68">
        <v>1.0649842271293375</v>
      </c>
      <c r="G236" s="80">
        <v>45259</v>
      </c>
      <c r="H236">
        <v>317000</v>
      </c>
      <c r="I236" s="71">
        <f t="shared" si="27"/>
        <v>-20600</v>
      </c>
      <c r="J236" s="72">
        <f t="shared" si="28"/>
        <v>424360000</v>
      </c>
      <c r="K236" s="71">
        <f t="shared" si="29"/>
        <v>346714.77227722772</v>
      </c>
      <c r="L236" s="71">
        <f t="shared" si="30"/>
        <v>-29714.772277227719</v>
      </c>
      <c r="M236" s="72">
        <f t="shared" si="31"/>
        <v>882967691.48750103</v>
      </c>
      <c r="N236" s="73">
        <f t="shared" si="32"/>
        <v>6.9693368403575762E-2</v>
      </c>
      <c r="O236" s="74">
        <f t="shared" si="33"/>
        <v>-6.1477174319034322E-2</v>
      </c>
      <c r="P236" s="74">
        <f t="shared" si="34"/>
        <v>3.7794429622529332E-3</v>
      </c>
    </row>
    <row r="237" spans="1:16" x14ac:dyDescent="0.3">
      <c r="A237">
        <f t="shared" si="35"/>
        <v>224</v>
      </c>
      <c r="C237" s="75">
        <v>18132322467</v>
      </c>
      <c r="D237" s="40" t="s">
        <v>349</v>
      </c>
      <c r="E237" s="75">
        <v>270200</v>
      </c>
      <c r="F237" s="76">
        <v>1.0596078431372549</v>
      </c>
      <c r="G237" s="80">
        <v>45196</v>
      </c>
      <c r="H237">
        <v>255000</v>
      </c>
      <c r="I237" s="71">
        <f t="shared" si="27"/>
        <v>-15200</v>
      </c>
      <c r="J237" s="72">
        <f t="shared" si="28"/>
        <v>231040000</v>
      </c>
      <c r="K237" s="71">
        <f t="shared" si="29"/>
        <v>346714.77227722772</v>
      </c>
      <c r="L237" s="71">
        <f t="shared" si="30"/>
        <v>-91714.772277227719</v>
      </c>
      <c r="M237" s="72">
        <f t="shared" si="31"/>
        <v>8411599453.8637381</v>
      </c>
      <c r="N237" s="73">
        <f t="shared" si="32"/>
        <v>6.4316984411493139E-2</v>
      </c>
      <c r="O237" s="74">
        <f t="shared" si="33"/>
        <v>-5.6100790326951699E-2</v>
      </c>
      <c r="P237" s="74">
        <f t="shared" si="34"/>
        <v>3.1472986753085974E-3</v>
      </c>
    </row>
    <row r="238" spans="1:16" x14ac:dyDescent="0.3">
      <c r="A238">
        <f t="shared" si="35"/>
        <v>225</v>
      </c>
      <c r="C238" s="66">
        <v>18132344477</v>
      </c>
      <c r="D238" s="40" t="s">
        <v>349</v>
      </c>
      <c r="E238" s="66">
        <v>274200</v>
      </c>
      <c r="F238" s="68">
        <v>1.0648543689320389</v>
      </c>
      <c r="G238" s="80">
        <v>44251</v>
      </c>
      <c r="H238">
        <v>257500</v>
      </c>
      <c r="I238" s="71">
        <f t="shared" si="27"/>
        <v>-16700</v>
      </c>
      <c r="J238" s="72">
        <f t="shared" si="28"/>
        <v>278890000</v>
      </c>
      <c r="K238" s="71">
        <f t="shared" si="29"/>
        <v>346714.77227722772</v>
      </c>
      <c r="L238" s="71">
        <f t="shared" si="30"/>
        <v>-89214.772277227719</v>
      </c>
      <c r="M238" s="72">
        <f t="shared" si="31"/>
        <v>7959275592.4775991</v>
      </c>
      <c r="N238" s="73">
        <f t="shared" si="32"/>
        <v>6.9563510206277157E-2</v>
      </c>
      <c r="O238" s="74">
        <f t="shared" si="33"/>
        <v>-6.1347316121735718E-2</v>
      </c>
      <c r="P238" s="74">
        <f t="shared" si="34"/>
        <v>3.7634931953401752E-3</v>
      </c>
    </row>
    <row r="239" spans="1:16" x14ac:dyDescent="0.3">
      <c r="A239">
        <f t="shared" si="35"/>
        <v>226</v>
      </c>
      <c r="C239" s="75">
        <v>18132214474</v>
      </c>
      <c r="D239" s="40" t="s">
        <v>349</v>
      </c>
      <c r="E239" s="75">
        <v>337300</v>
      </c>
      <c r="F239" s="76">
        <v>1.0674050632911392</v>
      </c>
      <c r="G239" s="80">
        <v>44648</v>
      </c>
      <c r="H239">
        <v>316000</v>
      </c>
      <c r="I239" s="71">
        <f t="shared" si="27"/>
        <v>-21300</v>
      </c>
      <c r="J239" s="72">
        <f t="shared" si="28"/>
        <v>453690000</v>
      </c>
      <c r="K239" s="71">
        <f t="shared" si="29"/>
        <v>346714.77227722772</v>
      </c>
      <c r="L239" s="71">
        <f t="shared" si="30"/>
        <v>-30714.772277227719</v>
      </c>
      <c r="M239" s="72">
        <f t="shared" si="31"/>
        <v>943397236.04195642</v>
      </c>
      <c r="N239" s="73">
        <f t="shared" si="32"/>
        <v>7.2114204565377427E-2</v>
      </c>
      <c r="O239" s="74">
        <f t="shared" si="33"/>
        <v>-6.3898010480835987E-2</v>
      </c>
      <c r="P239" s="74">
        <f t="shared" si="34"/>
        <v>4.0829557434090254E-3</v>
      </c>
    </row>
    <row r="240" spans="1:16" x14ac:dyDescent="0.3">
      <c r="A240">
        <f t="shared" si="35"/>
        <v>227</v>
      </c>
      <c r="C240" s="66">
        <v>18132334463</v>
      </c>
      <c r="D240" s="40" t="s">
        <v>349</v>
      </c>
      <c r="E240" s="66">
        <v>475500</v>
      </c>
      <c r="F240" s="68">
        <v>1.0685393258426967</v>
      </c>
      <c r="G240" s="80">
        <v>44694</v>
      </c>
      <c r="H240">
        <v>445000</v>
      </c>
      <c r="I240" s="71">
        <f t="shared" si="27"/>
        <v>-30500</v>
      </c>
      <c r="J240" s="72">
        <f t="shared" si="28"/>
        <v>930250000</v>
      </c>
      <c r="K240" s="71">
        <f t="shared" si="29"/>
        <v>346714.77227722772</v>
      </c>
      <c r="L240" s="71">
        <f t="shared" si="30"/>
        <v>98285.227722772281</v>
      </c>
      <c r="M240" s="72">
        <f t="shared" si="31"/>
        <v>9659985988.5172043</v>
      </c>
      <c r="N240" s="73">
        <f t="shared" si="32"/>
        <v>7.3248467116935001E-2</v>
      </c>
      <c r="O240" s="74">
        <f t="shared" si="33"/>
        <v>-6.5032273032393562E-2</v>
      </c>
      <c r="P240" s="74">
        <f t="shared" si="34"/>
        <v>4.2291965357597831E-3</v>
      </c>
    </row>
    <row r="241" spans="1:16" x14ac:dyDescent="0.3">
      <c r="A241">
        <f t="shared" si="35"/>
        <v>228</v>
      </c>
      <c r="C241" s="75">
        <v>18132321032</v>
      </c>
      <c r="D241" s="40" t="s">
        <v>349</v>
      </c>
      <c r="E241" s="75">
        <v>268400</v>
      </c>
      <c r="F241" s="76">
        <v>1.0736000000000001</v>
      </c>
      <c r="G241" s="80">
        <v>44250</v>
      </c>
      <c r="H241">
        <v>250000</v>
      </c>
      <c r="I241" s="71">
        <f t="shared" si="27"/>
        <v>-18400</v>
      </c>
      <c r="J241" s="72">
        <f t="shared" si="28"/>
        <v>338560000</v>
      </c>
      <c r="K241" s="71">
        <f t="shared" si="29"/>
        <v>346714.77227722772</v>
      </c>
      <c r="L241" s="71">
        <f t="shared" si="30"/>
        <v>-96714.772277227719</v>
      </c>
      <c r="M241" s="72">
        <f t="shared" si="31"/>
        <v>9353747176.6360149</v>
      </c>
      <c r="N241" s="73">
        <f t="shared" si="32"/>
        <v>7.8309141274238381E-2</v>
      </c>
      <c r="O241" s="74">
        <f t="shared" si="33"/>
        <v>-7.0092947189696941E-2</v>
      </c>
      <c r="P241" s="74">
        <f t="shared" si="34"/>
        <v>4.9130212457376447E-3</v>
      </c>
    </row>
    <row r="242" spans="1:16" x14ac:dyDescent="0.3">
      <c r="A242">
        <f t="shared" si="35"/>
        <v>229</v>
      </c>
      <c r="C242" s="66">
        <v>18132324012</v>
      </c>
      <c r="D242" s="40" t="s">
        <v>349</v>
      </c>
      <c r="E242" s="66">
        <v>338200</v>
      </c>
      <c r="F242" s="68">
        <v>1.0736507936507937</v>
      </c>
      <c r="G242" s="80">
        <v>45105</v>
      </c>
      <c r="H242">
        <v>315000</v>
      </c>
      <c r="I242" s="71">
        <f t="shared" si="27"/>
        <v>-23200</v>
      </c>
      <c r="J242" s="72">
        <f t="shared" si="28"/>
        <v>538240000</v>
      </c>
      <c r="K242" s="71">
        <f t="shared" si="29"/>
        <v>346714.77227722772</v>
      </c>
      <c r="L242" s="71">
        <f t="shared" si="30"/>
        <v>-31714.772277227719</v>
      </c>
      <c r="M242" s="72">
        <f t="shared" si="31"/>
        <v>1005826780.5964119</v>
      </c>
      <c r="N242" s="73">
        <f t="shared" si="32"/>
        <v>7.8359934925032015E-2</v>
      </c>
      <c r="O242" s="74">
        <f t="shared" si="33"/>
        <v>-7.0143740840490576E-2</v>
      </c>
      <c r="P242" s="74">
        <f t="shared" si="34"/>
        <v>4.9201443790979054E-3</v>
      </c>
    </row>
    <row r="243" spans="1:16" x14ac:dyDescent="0.3">
      <c r="A243">
        <f t="shared" si="35"/>
        <v>230</v>
      </c>
      <c r="C243" s="75">
        <v>18131543438</v>
      </c>
      <c r="D243" s="40" t="s">
        <v>349</v>
      </c>
      <c r="E243" s="75">
        <v>288400</v>
      </c>
      <c r="F243" s="76">
        <v>1.0681481481481481</v>
      </c>
      <c r="G243" s="80">
        <v>44522</v>
      </c>
      <c r="H243">
        <v>270000</v>
      </c>
      <c r="I243" s="71">
        <f t="shared" si="27"/>
        <v>-18400</v>
      </c>
      <c r="J243" s="72">
        <f t="shared" si="28"/>
        <v>338560000</v>
      </c>
      <c r="K243" s="71">
        <f t="shared" si="29"/>
        <v>346714.77227722772</v>
      </c>
      <c r="L243" s="71">
        <f t="shared" si="30"/>
        <v>-76714.772277227719</v>
      </c>
      <c r="M243" s="72">
        <f t="shared" si="31"/>
        <v>5885156285.5469065</v>
      </c>
      <c r="N243" s="73">
        <f t="shared" si="32"/>
        <v>7.285728942238634E-2</v>
      </c>
      <c r="O243" s="74">
        <f t="shared" si="33"/>
        <v>-6.46410953378449E-2</v>
      </c>
      <c r="P243" s="74">
        <f t="shared" si="34"/>
        <v>4.1784712064763538E-3</v>
      </c>
    </row>
    <row r="244" spans="1:16" x14ac:dyDescent="0.3">
      <c r="A244">
        <f t="shared" si="35"/>
        <v>231</v>
      </c>
      <c r="C244" s="66">
        <v>18132214427</v>
      </c>
      <c r="D244" s="40" t="s">
        <v>349</v>
      </c>
      <c r="E244" s="66">
        <v>263800</v>
      </c>
      <c r="F244" s="68">
        <v>1.0767346938775511</v>
      </c>
      <c r="G244" s="80">
        <v>44602</v>
      </c>
      <c r="H244">
        <v>245000</v>
      </c>
      <c r="I244" s="71">
        <f t="shared" si="27"/>
        <v>-18800</v>
      </c>
      <c r="J244" s="72">
        <f t="shared" si="28"/>
        <v>353440000</v>
      </c>
      <c r="K244" s="71">
        <f t="shared" si="29"/>
        <v>346714.77227722772</v>
      </c>
      <c r="L244" s="71">
        <f t="shared" si="30"/>
        <v>-101714.77227722772</v>
      </c>
      <c r="M244" s="72">
        <f t="shared" si="31"/>
        <v>10345894899.408293</v>
      </c>
      <c r="N244" s="73">
        <f t="shared" si="32"/>
        <v>8.1443835151789323E-2</v>
      </c>
      <c r="O244" s="74">
        <f t="shared" si="33"/>
        <v>-7.3227641067247884E-2</v>
      </c>
      <c r="P244" s="74">
        <f t="shared" si="34"/>
        <v>5.3622874162736886E-3</v>
      </c>
    </row>
    <row r="245" spans="1:16" x14ac:dyDescent="0.3">
      <c r="A245">
        <f t="shared" si="35"/>
        <v>232</v>
      </c>
      <c r="C245" s="75">
        <v>18132344019</v>
      </c>
      <c r="D245" s="40" t="s">
        <v>349</v>
      </c>
      <c r="E245" s="75">
        <v>328900</v>
      </c>
      <c r="F245" s="76">
        <v>1.078360655737705</v>
      </c>
      <c r="G245" s="80">
        <v>44767</v>
      </c>
      <c r="H245">
        <v>305000</v>
      </c>
      <c r="I245" s="71">
        <f t="shared" si="27"/>
        <v>-23900</v>
      </c>
      <c r="J245" s="72">
        <f t="shared" si="28"/>
        <v>571210000</v>
      </c>
      <c r="K245" s="71">
        <f t="shared" si="29"/>
        <v>346714.77227722772</v>
      </c>
      <c r="L245" s="71">
        <f t="shared" si="30"/>
        <v>-41714.772277227719</v>
      </c>
      <c r="M245" s="72">
        <f t="shared" si="31"/>
        <v>1740122226.1409662</v>
      </c>
      <c r="N245" s="73">
        <f t="shared" si="32"/>
        <v>8.306979701194328E-2</v>
      </c>
      <c r="O245" s="74">
        <f t="shared" si="33"/>
        <v>-7.4853602927401841E-2</v>
      </c>
      <c r="P245" s="74">
        <f t="shared" si="34"/>
        <v>5.6030618712131419E-3</v>
      </c>
    </row>
    <row r="246" spans="1:16" x14ac:dyDescent="0.3">
      <c r="A246">
        <f t="shared" si="35"/>
        <v>233</v>
      </c>
      <c r="C246" s="66">
        <v>18132242511</v>
      </c>
      <c r="D246" s="40" t="s">
        <v>349</v>
      </c>
      <c r="E246" s="66">
        <v>377100</v>
      </c>
      <c r="F246" s="68">
        <v>1.0805157593123209</v>
      </c>
      <c r="G246" s="80">
        <v>45236</v>
      </c>
      <c r="H246">
        <v>349000</v>
      </c>
      <c r="I246" s="71">
        <f t="shared" si="27"/>
        <v>-28100</v>
      </c>
      <c r="J246" s="72">
        <f t="shared" si="28"/>
        <v>789610000</v>
      </c>
      <c r="K246" s="71">
        <f t="shared" si="29"/>
        <v>346714.77227722772</v>
      </c>
      <c r="L246" s="71">
        <f t="shared" si="30"/>
        <v>2285.2277227722807</v>
      </c>
      <c r="M246" s="72">
        <f t="shared" si="31"/>
        <v>5222265.7449269835</v>
      </c>
      <c r="N246" s="73">
        <f t="shared" si="32"/>
        <v>8.5224900586559182E-2</v>
      </c>
      <c r="O246" s="74">
        <f t="shared" si="33"/>
        <v>-7.7008706502017743E-2</v>
      </c>
      <c r="P246" s="74">
        <f t="shared" si="34"/>
        <v>5.9303408771139102E-3</v>
      </c>
    </row>
    <row r="247" spans="1:16" x14ac:dyDescent="0.3">
      <c r="A247">
        <f t="shared" si="35"/>
        <v>234</v>
      </c>
      <c r="C247" s="75">
        <v>18132332517</v>
      </c>
      <c r="D247" s="40" t="s">
        <v>349</v>
      </c>
      <c r="E247" s="75">
        <v>323400</v>
      </c>
      <c r="F247" s="76">
        <v>1.0780000000000001</v>
      </c>
      <c r="G247" s="80">
        <v>44456</v>
      </c>
      <c r="H247">
        <v>300000</v>
      </c>
      <c r="I247" s="71">
        <f t="shared" si="27"/>
        <v>-23400</v>
      </c>
      <c r="J247" s="72">
        <f t="shared" si="28"/>
        <v>547560000</v>
      </c>
      <c r="K247" s="71">
        <f t="shared" si="29"/>
        <v>346714.77227722772</v>
      </c>
      <c r="L247" s="71">
        <f t="shared" si="30"/>
        <v>-46714.772277227719</v>
      </c>
      <c r="M247" s="72">
        <f t="shared" si="31"/>
        <v>2182269948.9132433</v>
      </c>
      <c r="N247" s="73">
        <f t="shared" si="32"/>
        <v>8.270914127423834E-2</v>
      </c>
      <c r="O247" s="74">
        <f t="shared" si="33"/>
        <v>-7.4492947189696901E-2</v>
      </c>
      <c r="P247" s="74">
        <f t="shared" si="34"/>
        <v>5.549199181006971E-3</v>
      </c>
    </row>
    <row r="248" spans="1:16" x14ac:dyDescent="0.3">
      <c r="A248">
        <f t="shared" si="35"/>
        <v>235</v>
      </c>
      <c r="C248" s="66">
        <v>18132214449</v>
      </c>
      <c r="D248" s="40" t="s">
        <v>349</v>
      </c>
      <c r="E248" s="66">
        <v>304700</v>
      </c>
      <c r="F248" s="68">
        <v>1.0804964539007091</v>
      </c>
      <c r="G248" s="80">
        <v>44228</v>
      </c>
      <c r="H248">
        <v>282000</v>
      </c>
      <c r="I248" s="71">
        <f t="shared" si="27"/>
        <v>-22700</v>
      </c>
      <c r="J248" s="72">
        <f t="shared" si="28"/>
        <v>515290000</v>
      </c>
      <c r="K248" s="71">
        <f t="shared" si="29"/>
        <v>346714.77227722772</v>
      </c>
      <c r="L248" s="71">
        <f t="shared" si="30"/>
        <v>-64714.772277227719</v>
      </c>
      <c r="M248" s="72">
        <f t="shared" si="31"/>
        <v>4188001750.8934412</v>
      </c>
      <c r="N248" s="73">
        <f t="shared" si="32"/>
        <v>8.5205595174947413E-2</v>
      </c>
      <c r="O248" s="74">
        <f t="shared" si="33"/>
        <v>-7.6989401090405973E-2</v>
      </c>
      <c r="P248" s="74">
        <f t="shared" si="34"/>
        <v>5.9273678802594047E-3</v>
      </c>
    </row>
    <row r="249" spans="1:16" x14ac:dyDescent="0.3">
      <c r="A249">
        <f t="shared" si="35"/>
        <v>236</v>
      </c>
      <c r="C249" s="75">
        <v>18132323407</v>
      </c>
      <c r="D249" s="40" t="s">
        <v>349</v>
      </c>
      <c r="E249" s="75">
        <v>314000</v>
      </c>
      <c r="F249" s="76">
        <v>1.083132114522249</v>
      </c>
      <c r="G249" s="80">
        <v>44524</v>
      </c>
      <c r="H249">
        <v>289900</v>
      </c>
      <c r="I249" s="71">
        <f t="shared" si="27"/>
        <v>-24100</v>
      </c>
      <c r="J249" s="72">
        <f t="shared" si="28"/>
        <v>580810000</v>
      </c>
      <c r="K249" s="71">
        <f t="shared" si="29"/>
        <v>346714.77227722772</v>
      </c>
      <c r="L249" s="71">
        <f t="shared" si="30"/>
        <v>-56814.772277227719</v>
      </c>
      <c r="M249" s="72">
        <f t="shared" si="31"/>
        <v>3227918348.9132433</v>
      </c>
      <c r="N249" s="73">
        <f t="shared" si="32"/>
        <v>8.7841255796487272E-2</v>
      </c>
      <c r="O249" s="74">
        <f t="shared" si="33"/>
        <v>-7.9625061711945833E-2</v>
      </c>
      <c r="P249" s="74">
        <f t="shared" si="34"/>
        <v>6.3401504526311818E-3</v>
      </c>
    </row>
    <row r="250" spans="1:16" x14ac:dyDescent="0.3">
      <c r="A250">
        <f t="shared" si="35"/>
        <v>237</v>
      </c>
      <c r="C250" s="66">
        <v>18132344008</v>
      </c>
      <c r="D250" s="40" t="s">
        <v>349</v>
      </c>
      <c r="E250" s="66">
        <v>350300</v>
      </c>
      <c r="F250" s="68">
        <v>1.0778461538461539</v>
      </c>
      <c r="G250" s="80">
        <v>45251</v>
      </c>
      <c r="H250">
        <v>325000</v>
      </c>
      <c r="I250" s="71">
        <f t="shared" si="27"/>
        <v>-25300</v>
      </c>
      <c r="J250" s="72">
        <f t="shared" si="28"/>
        <v>640090000</v>
      </c>
      <c r="K250" s="71">
        <f t="shared" si="29"/>
        <v>346714.77227722772</v>
      </c>
      <c r="L250" s="71">
        <f t="shared" si="30"/>
        <v>-21714.772277227719</v>
      </c>
      <c r="M250" s="72">
        <f t="shared" si="31"/>
        <v>471531335.05185753</v>
      </c>
      <c r="N250" s="73">
        <f t="shared" si="32"/>
        <v>8.2555295120392169E-2</v>
      </c>
      <c r="O250" s="74">
        <f t="shared" si="33"/>
        <v>-7.433910103585073E-2</v>
      </c>
      <c r="P250" s="74">
        <f t="shared" si="34"/>
        <v>5.5263019428184231E-3</v>
      </c>
    </row>
    <row r="251" spans="1:16" x14ac:dyDescent="0.3">
      <c r="A251">
        <f t="shared" si="35"/>
        <v>238</v>
      </c>
      <c r="C251" s="75">
        <v>18132241477</v>
      </c>
      <c r="D251" s="40" t="s">
        <v>349</v>
      </c>
      <c r="E251" s="75">
        <v>375700</v>
      </c>
      <c r="F251" s="76">
        <v>1.0842712842712843</v>
      </c>
      <c r="G251" s="80">
        <v>45279</v>
      </c>
      <c r="H251">
        <v>346500</v>
      </c>
      <c r="I251" s="71">
        <f t="shared" si="27"/>
        <v>-29200</v>
      </c>
      <c r="J251" s="72">
        <f t="shared" si="28"/>
        <v>852640000</v>
      </c>
      <c r="K251" s="71">
        <f t="shared" si="29"/>
        <v>346714.77227722772</v>
      </c>
      <c r="L251" s="71">
        <f t="shared" si="30"/>
        <v>-214.77227722771931</v>
      </c>
      <c r="M251" s="72">
        <f t="shared" si="31"/>
        <v>46127.131065580317</v>
      </c>
      <c r="N251" s="73">
        <f t="shared" si="32"/>
        <v>8.8980425545522546E-2</v>
      </c>
      <c r="O251" s="74">
        <f t="shared" si="33"/>
        <v>-8.0764231460981106E-2</v>
      </c>
      <c r="P251" s="74">
        <f t="shared" si="34"/>
        <v>6.5228610834829302E-3</v>
      </c>
    </row>
    <row r="252" spans="1:16" x14ac:dyDescent="0.3">
      <c r="A252">
        <f t="shared" si="35"/>
        <v>239</v>
      </c>
      <c r="C252" s="66">
        <v>18132322443</v>
      </c>
      <c r="D252" s="40" t="s">
        <v>349</v>
      </c>
      <c r="E252" s="66">
        <v>325200</v>
      </c>
      <c r="F252" s="68">
        <v>1.0840000000000001</v>
      </c>
      <c r="G252" s="80">
        <v>44490</v>
      </c>
      <c r="H252">
        <v>300000</v>
      </c>
      <c r="I252" s="71">
        <f t="shared" si="27"/>
        <v>-25200</v>
      </c>
      <c r="J252" s="72">
        <f t="shared" si="28"/>
        <v>635040000</v>
      </c>
      <c r="K252" s="71">
        <f t="shared" si="29"/>
        <v>346714.77227722772</v>
      </c>
      <c r="L252" s="71">
        <f t="shared" si="30"/>
        <v>-46714.772277227719</v>
      </c>
      <c r="M252" s="72">
        <f t="shared" si="31"/>
        <v>2182269948.9132433</v>
      </c>
      <c r="N252" s="73">
        <f t="shared" si="32"/>
        <v>8.8709141274238346E-2</v>
      </c>
      <c r="O252" s="74">
        <f t="shared" si="33"/>
        <v>-8.0492947189696906E-2</v>
      </c>
      <c r="P252" s="74">
        <f t="shared" si="34"/>
        <v>6.4791145472833352E-3</v>
      </c>
    </row>
    <row r="253" spans="1:16" x14ac:dyDescent="0.3">
      <c r="A253">
        <f t="shared" si="35"/>
        <v>240</v>
      </c>
      <c r="C253" s="75">
        <v>18132331488</v>
      </c>
      <c r="D253" s="40" t="s">
        <v>349</v>
      </c>
      <c r="E253" s="75">
        <v>527800</v>
      </c>
      <c r="F253" s="76">
        <v>1.0882474226804124</v>
      </c>
      <c r="G253" s="80">
        <v>44474</v>
      </c>
      <c r="H253">
        <v>485000</v>
      </c>
      <c r="I253" s="71">
        <f t="shared" si="27"/>
        <v>-42800</v>
      </c>
      <c r="J253" s="72">
        <f t="shared" si="28"/>
        <v>1831840000</v>
      </c>
      <c r="K253" s="71">
        <f t="shared" si="29"/>
        <v>346714.77227722772</v>
      </c>
      <c r="L253" s="71">
        <f t="shared" si="30"/>
        <v>138285.22772277228</v>
      </c>
      <c r="M253" s="72">
        <f t="shared" si="31"/>
        <v>19122804206.338985</v>
      </c>
      <c r="N253" s="73">
        <f t="shared" si="32"/>
        <v>9.2956563954650684E-2</v>
      </c>
      <c r="O253" s="74">
        <f t="shared" si="33"/>
        <v>-8.4740369870109244E-2</v>
      </c>
      <c r="P253" s="74">
        <f t="shared" si="34"/>
        <v>7.1809302857229187E-3</v>
      </c>
    </row>
    <row r="254" spans="1:16" x14ac:dyDescent="0.3">
      <c r="A254">
        <f t="shared" si="35"/>
        <v>241</v>
      </c>
      <c r="C254" s="66">
        <v>18132241434</v>
      </c>
      <c r="D254" s="40" t="s">
        <v>349</v>
      </c>
      <c r="E254" s="66">
        <v>342000</v>
      </c>
      <c r="F254" s="68">
        <v>1.0857142857142856</v>
      </c>
      <c r="G254" s="80">
        <v>44728</v>
      </c>
      <c r="H254">
        <v>315000</v>
      </c>
      <c r="I254" s="71">
        <f t="shared" si="27"/>
        <v>-27000</v>
      </c>
      <c r="J254" s="72">
        <f t="shared" si="28"/>
        <v>729000000</v>
      </c>
      <c r="K254" s="71">
        <f t="shared" si="29"/>
        <v>346714.77227722772</v>
      </c>
      <c r="L254" s="71">
        <f t="shared" si="30"/>
        <v>-31714.772277227719</v>
      </c>
      <c r="M254" s="72">
        <f t="shared" si="31"/>
        <v>1005826780.5964119</v>
      </c>
      <c r="N254" s="73">
        <f t="shared" si="32"/>
        <v>9.0423426988523903E-2</v>
      </c>
      <c r="O254" s="74">
        <f t="shared" si="33"/>
        <v>-8.2207232903982463E-2</v>
      </c>
      <c r="P254" s="74">
        <f t="shared" si="34"/>
        <v>6.7580291417296172E-3</v>
      </c>
    </row>
    <row r="255" spans="1:16" x14ac:dyDescent="0.3">
      <c r="A255">
        <f t="shared" si="35"/>
        <v>242</v>
      </c>
      <c r="C255" s="75">
        <v>18132334407</v>
      </c>
      <c r="D255" s="40" t="s">
        <v>349</v>
      </c>
      <c r="E255" s="75">
        <v>304200</v>
      </c>
      <c r="F255" s="76">
        <v>1.0864285714285715</v>
      </c>
      <c r="G255" s="80">
        <v>44433</v>
      </c>
      <c r="H255">
        <v>280000</v>
      </c>
      <c r="I255" s="71">
        <f t="shared" si="27"/>
        <v>-24200</v>
      </c>
      <c r="J255" s="72">
        <f t="shared" si="28"/>
        <v>585640000</v>
      </c>
      <c r="K255" s="71">
        <f t="shared" si="29"/>
        <v>346714.77227722772</v>
      </c>
      <c r="L255" s="71">
        <f t="shared" si="30"/>
        <v>-66714.772277227719</v>
      </c>
      <c r="M255" s="72">
        <f t="shared" si="31"/>
        <v>4450860840.0023527</v>
      </c>
      <c r="N255" s="73">
        <f t="shared" si="32"/>
        <v>9.1137712702809792E-2</v>
      </c>
      <c r="O255" s="74">
        <f t="shared" si="33"/>
        <v>-8.2921518618268353E-2</v>
      </c>
      <c r="P255" s="74">
        <f t="shared" si="34"/>
        <v>6.875978249959825E-3</v>
      </c>
    </row>
    <row r="256" spans="1:16" x14ac:dyDescent="0.3">
      <c r="A256">
        <f t="shared" si="35"/>
        <v>243</v>
      </c>
      <c r="C256" s="66">
        <v>18132214502</v>
      </c>
      <c r="D256" s="40" t="s">
        <v>349</v>
      </c>
      <c r="E256" s="66">
        <v>425400</v>
      </c>
      <c r="F256" s="68">
        <v>1.0907692307692307</v>
      </c>
      <c r="G256" s="80">
        <v>44574</v>
      </c>
      <c r="H256">
        <v>390000</v>
      </c>
      <c r="I256" s="71">
        <f t="shared" si="27"/>
        <v>-35400</v>
      </c>
      <c r="J256" s="72">
        <f t="shared" si="28"/>
        <v>1253160000</v>
      </c>
      <c r="K256" s="71">
        <f t="shared" si="29"/>
        <v>346714.77227722772</v>
      </c>
      <c r="L256" s="71">
        <f t="shared" si="30"/>
        <v>43285.227722772281</v>
      </c>
      <c r="M256" s="72">
        <f t="shared" si="31"/>
        <v>1873610939.012254</v>
      </c>
      <c r="N256" s="73">
        <f t="shared" si="32"/>
        <v>9.5478372043468984E-2</v>
      </c>
      <c r="O256" s="74">
        <f t="shared" si="33"/>
        <v>-8.7262177958927545E-2</v>
      </c>
      <c r="P256" s="74">
        <f t="shared" si="34"/>
        <v>7.61468770213554E-3</v>
      </c>
    </row>
    <row r="257" spans="1:16" x14ac:dyDescent="0.3">
      <c r="A257">
        <f t="shared" si="35"/>
        <v>244</v>
      </c>
      <c r="C257" s="75">
        <v>18132241478</v>
      </c>
      <c r="D257" s="40" t="s">
        <v>349</v>
      </c>
      <c r="E257" s="75">
        <v>315100</v>
      </c>
      <c r="F257" s="76">
        <v>1.090311418685121</v>
      </c>
      <c r="G257" s="80">
        <v>44546</v>
      </c>
      <c r="H257">
        <v>289000</v>
      </c>
      <c r="I257" s="71">
        <f t="shared" si="27"/>
        <v>-26100</v>
      </c>
      <c r="J257" s="72">
        <f t="shared" si="28"/>
        <v>681210000</v>
      </c>
      <c r="K257" s="71">
        <f t="shared" si="29"/>
        <v>346714.77227722772</v>
      </c>
      <c r="L257" s="71">
        <f t="shared" si="30"/>
        <v>-57714.772277227719</v>
      </c>
      <c r="M257" s="72">
        <f t="shared" si="31"/>
        <v>3330994939.0122533</v>
      </c>
      <c r="N257" s="73">
        <f t="shared" si="32"/>
        <v>9.5020559959359319E-2</v>
      </c>
      <c r="O257" s="74">
        <f t="shared" si="33"/>
        <v>-8.6804365874817879E-2</v>
      </c>
      <c r="P257" s="74">
        <f t="shared" si="34"/>
        <v>7.5349979349292467E-3</v>
      </c>
    </row>
    <row r="258" spans="1:16" x14ac:dyDescent="0.3">
      <c r="A258">
        <f t="shared" si="35"/>
        <v>245</v>
      </c>
      <c r="C258" s="66">
        <v>18132323471</v>
      </c>
      <c r="D258" s="40" t="s">
        <v>349</v>
      </c>
      <c r="E258" s="66">
        <v>238900</v>
      </c>
      <c r="F258" s="68">
        <v>1.0958715596330275</v>
      </c>
      <c r="G258" s="80">
        <v>44250</v>
      </c>
      <c r="H258">
        <v>218000</v>
      </c>
      <c r="I258" s="71">
        <f t="shared" si="27"/>
        <v>-20900</v>
      </c>
      <c r="J258" s="72">
        <f t="shared" si="28"/>
        <v>436810000</v>
      </c>
      <c r="K258" s="71">
        <f t="shared" si="29"/>
        <v>346714.77227722772</v>
      </c>
      <c r="L258" s="71">
        <f t="shared" si="30"/>
        <v>-128714.77227722772</v>
      </c>
      <c r="M258" s="72">
        <f t="shared" si="31"/>
        <v>16567492602.37859</v>
      </c>
      <c r="N258" s="73">
        <f t="shared" si="32"/>
        <v>0.10058070090726579</v>
      </c>
      <c r="O258" s="74">
        <f t="shared" si="33"/>
        <v>-9.2364506822724346E-2</v>
      </c>
      <c r="P258" s="74">
        <f t="shared" si="34"/>
        <v>8.5312021206050918E-3</v>
      </c>
    </row>
    <row r="259" spans="1:16" x14ac:dyDescent="0.3">
      <c r="A259">
        <f t="shared" si="35"/>
        <v>246</v>
      </c>
      <c r="C259" s="75">
        <v>18132213001</v>
      </c>
      <c r="D259" s="40" t="s">
        <v>349</v>
      </c>
      <c r="E259" s="75">
        <v>289600</v>
      </c>
      <c r="F259" s="76">
        <v>1.0928301886792453</v>
      </c>
      <c r="G259" s="80">
        <v>44697</v>
      </c>
      <c r="H259">
        <v>265000</v>
      </c>
      <c r="I259" s="71">
        <f t="shared" si="27"/>
        <v>-24600</v>
      </c>
      <c r="J259" s="72">
        <f t="shared" si="28"/>
        <v>605160000</v>
      </c>
      <c r="K259" s="71">
        <f t="shared" si="29"/>
        <v>346714.77227722772</v>
      </c>
      <c r="L259" s="71">
        <f t="shared" si="30"/>
        <v>-81714.772277227719</v>
      </c>
      <c r="M259" s="72">
        <f t="shared" si="31"/>
        <v>6677304008.3191843</v>
      </c>
      <c r="N259" s="73">
        <f t="shared" si="32"/>
        <v>9.7539329953483578E-2</v>
      </c>
      <c r="O259" s="74">
        <f t="shared" si="33"/>
        <v>-8.9323135868942138E-2</v>
      </c>
      <c r="P259" s="74">
        <f t="shared" si="34"/>
        <v>7.9786226014614981E-3</v>
      </c>
    </row>
    <row r="260" spans="1:16" x14ac:dyDescent="0.3">
      <c r="A260">
        <f t="shared" si="35"/>
        <v>247</v>
      </c>
      <c r="C260" s="66">
        <v>18132331008</v>
      </c>
      <c r="D260" s="40" t="s">
        <v>349</v>
      </c>
      <c r="E260" s="66">
        <v>344400</v>
      </c>
      <c r="F260" s="68">
        <v>1.0933333333333333</v>
      </c>
      <c r="G260" s="80">
        <v>44782</v>
      </c>
      <c r="H260">
        <v>315000</v>
      </c>
      <c r="I260" s="71">
        <f t="shared" si="27"/>
        <v>-29400</v>
      </c>
      <c r="J260" s="72">
        <f t="shared" si="28"/>
        <v>864360000</v>
      </c>
      <c r="K260" s="71">
        <f t="shared" si="29"/>
        <v>346714.77227722772</v>
      </c>
      <c r="L260" s="71">
        <f t="shared" si="30"/>
        <v>-31714.772277227719</v>
      </c>
      <c r="M260" s="72">
        <f t="shared" si="31"/>
        <v>1005826780.5964119</v>
      </c>
      <c r="N260" s="73">
        <f t="shared" si="32"/>
        <v>9.8042474607571539E-2</v>
      </c>
      <c r="O260" s="74">
        <f t="shared" si="33"/>
        <v>-8.98262805230301E-2</v>
      </c>
      <c r="P260" s="74">
        <f t="shared" si="34"/>
        <v>8.0687606726020968E-3</v>
      </c>
    </row>
    <row r="261" spans="1:16" x14ac:dyDescent="0.3">
      <c r="A261">
        <f t="shared" si="35"/>
        <v>248</v>
      </c>
      <c r="C261" s="75">
        <v>18132214408</v>
      </c>
      <c r="D261" s="40" t="s">
        <v>349</v>
      </c>
      <c r="E261" s="75">
        <v>359000</v>
      </c>
      <c r="F261" s="76">
        <v>1.0945121951219512</v>
      </c>
      <c r="G261" s="80">
        <v>44592</v>
      </c>
      <c r="H261">
        <v>328000</v>
      </c>
      <c r="I261" s="71">
        <f t="shared" si="27"/>
        <v>-31000</v>
      </c>
      <c r="J261" s="72">
        <f t="shared" si="28"/>
        <v>961000000</v>
      </c>
      <c r="K261" s="71">
        <f t="shared" si="29"/>
        <v>346714.77227722772</v>
      </c>
      <c r="L261" s="71">
        <f t="shared" si="30"/>
        <v>-18714.772277227719</v>
      </c>
      <c r="M261" s="72">
        <f t="shared" si="31"/>
        <v>350242701.38849121</v>
      </c>
      <c r="N261" s="73">
        <f t="shared" si="32"/>
        <v>9.9221336396189463E-2</v>
      </c>
      <c r="O261" s="74">
        <f t="shared" si="33"/>
        <v>-9.1005142311648024E-2</v>
      </c>
      <c r="P261" s="74">
        <f t="shared" si="34"/>
        <v>8.2819359271633086E-3</v>
      </c>
    </row>
    <row r="262" spans="1:16" x14ac:dyDescent="0.3">
      <c r="A262">
        <f t="shared" si="35"/>
        <v>249</v>
      </c>
      <c r="C262" s="66">
        <v>18132331436</v>
      </c>
      <c r="D262" s="40" t="s">
        <v>349</v>
      </c>
      <c r="E262" s="66">
        <v>292700</v>
      </c>
      <c r="F262" s="68">
        <v>1.0962546816479402</v>
      </c>
      <c r="G262" s="80">
        <v>44707</v>
      </c>
      <c r="H262">
        <v>267000</v>
      </c>
      <c r="I262" s="71">
        <f t="shared" si="27"/>
        <v>-25700</v>
      </c>
      <c r="J262" s="72">
        <f t="shared" si="28"/>
        <v>660490000</v>
      </c>
      <c r="K262" s="71">
        <f t="shared" si="29"/>
        <v>346714.77227722772</v>
      </c>
      <c r="L262" s="71">
        <f t="shared" si="30"/>
        <v>-79714.772277227719</v>
      </c>
      <c r="M262" s="72">
        <f t="shared" si="31"/>
        <v>6354444919.2102728</v>
      </c>
      <c r="N262" s="73">
        <f t="shared" si="32"/>
        <v>0.10096382292217843</v>
      </c>
      <c r="O262" s="74">
        <f t="shared" si="33"/>
        <v>-9.2747628837636986E-2</v>
      </c>
      <c r="P262" s="74">
        <f t="shared" si="34"/>
        <v>8.6021226550040721E-3</v>
      </c>
    </row>
    <row r="263" spans="1:16" x14ac:dyDescent="0.3">
      <c r="A263">
        <f t="shared" si="35"/>
        <v>250</v>
      </c>
      <c r="C263" s="75">
        <v>18132322410</v>
      </c>
      <c r="D263" s="40" t="s">
        <v>349</v>
      </c>
      <c r="E263" s="75">
        <v>283500</v>
      </c>
      <c r="F263" s="76">
        <v>1.1009708737864077</v>
      </c>
      <c r="G263" s="80">
        <v>44390</v>
      </c>
      <c r="H263">
        <v>257500</v>
      </c>
      <c r="I263" s="71">
        <f t="shared" si="27"/>
        <v>-26000</v>
      </c>
      <c r="J263" s="72">
        <f t="shared" si="28"/>
        <v>676000000</v>
      </c>
      <c r="K263" s="71">
        <f t="shared" si="29"/>
        <v>346714.77227722772</v>
      </c>
      <c r="L263" s="71">
        <f t="shared" si="30"/>
        <v>-89214.772277227719</v>
      </c>
      <c r="M263" s="72">
        <f t="shared" si="31"/>
        <v>7959275592.4775991</v>
      </c>
      <c r="N263" s="73">
        <f t="shared" si="32"/>
        <v>0.10568001506064595</v>
      </c>
      <c r="O263" s="74">
        <f t="shared" si="33"/>
        <v>-9.7463820976104509E-2</v>
      </c>
      <c r="P263" s="74">
        <f t="shared" si="34"/>
        <v>9.4991963992621491E-3</v>
      </c>
    </row>
    <row r="264" spans="1:16" x14ac:dyDescent="0.3">
      <c r="A264">
        <f t="shared" si="35"/>
        <v>251</v>
      </c>
      <c r="C264" s="66">
        <v>18132212438</v>
      </c>
      <c r="D264" s="40" t="s">
        <v>349</v>
      </c>
      <c r="E264" s="66">
        <v>483100</v>
      </c>
      <c r="F264" s="68">
        <v>1.0992036405005687</v>
      </c>
      <c r="G264" s="80">
        <v>44386</v>
      </c>
      <c r="H264">
        <v>439500</v>
      </c>
      <c r="I264" s="71">
        <f t="shared" si="27"/>
        <v>-43600</v>
      </c>
      <c r="J264" s="72">
        <f t="shared" si="28"/>
        <v>1900960000</v>
      </c>
      <c r="K264" s="71">
        <f t="shared" si="29"/>
        <v>346714.77227722772</v>
      </c>
      <c r="L264" s="71">
        <f t="shared" si="30"/>
        <v>92785.227722772281</v>
      </c>
      <c r="M264" s="72">
        <f t="shared" si="31"/>
        <v>8609098483.5667095</v>
      </c>
      <c r="N264" s="73">
        <f t="shared" si="32"/>
        <v>0.10391278177480701</v>
      </c>
      <c r="O264" s="74">
        <f t="shared" si="33"/>
        <v>-9.5696587690265567E-2</v>
      </c>
      <c r="P264" s="74">
        <f t="shared" si="34"/>
        <v>9.1578368955606872E-3</v>
      </c>
    </row>
    <row r="265" spans="1:16" x14ac:dyDescent="0.3">
      <c r="A265">
        <f t="shared" si="35"/>
        <v>252</v>
      </c>
      <c r="C265" s="75">
        <v>18132332004</v>
      </c>
      <c r="D265" s="40" t="s">
        <v>349</v>
      </c>
      <c r="E265" s="75">
        <v>374500</v>
      </c>
      <c r="F265" s="76">
        <v>1.1014705882352942</v>
      </c>
      <c r="G265" s="80">
        <v>44708</v>
      </c>
      <c r="H265">
        <v>340000</v>
      </c>
      <c r="I265" s="71">
        <f t="shared" si="27"/>
        <v>-34500</v>
      </c>
      <c r="J265" s="72">
        <f t="shared" si="28"/>
        <v>1190250000</v>
      </c>
      <c r="K265" s="71">
        <f t="shared" si="29"/>
        <v>346714.77227722772</v>
      </c>
      <c r="L265" s="71">
        <f t="shared" si="30"/>
        <v>-6714.7722772277193</v>
      </c>
      <c r="M265" s="72">
        <f t="shared" si="31"/>
        <v>45088166.735025935</v>
      </c>
      <c r="N265" s="73">
        <f t="shared" si="32"/>
        <v>0.10617972950953247</v>
      </c>
      <c r="O265" s="74">
        <f t="shared" si="33"/>
        <v>-9.7963535424991033E-2</v>
      </c>
      <c r="P265" s="74">
        <f t="shared" si="34"/>
        <v>9.5968542729634732E-3</v>
      </c>
    </row>
    <row r="266" spans="1:16" x14ac:dyDescent="0.3">
      <c r="A266">
        <f t="shared" si="35"/>
        <v>253</v>
      </c>
      <c r="C266" s="66">
        <v>18132211025</v>
      </c>
      <c r="D266" s="40" t="s">
        <v>349</v>
      </c>
      <c r="E266" s="66">
        <v>621000</v>
      </c>
      <c r="F266" s="68">
        <v>1.1089285714285715</v>
      </c>
      <c r="G266" s="80">
        <v>44774</v>
      </c>
      <c r="H266">
        <v>560000</v>
      </c>
      <c r="I266" s="71">
        <f t="shared" si="27"/>
        <v>-61000</v>
      </c>
      <c r="J266" s="72">
        <f t="shared" si="28"/>
        <v>3721000000</v>
      </c>
      <c r="K266" s="71">
        <f t="shared" si="29"/>
        <v>346714.77227722772</v>
      </c>
      <c r="L266" s="71">
        <f t="shared" si="30"/>
        <v>213285.22772277228</v>
      </c>
      <c r="M266" s="72">
        <f t="shared" si="31"/>
        <v>45490588364.754829</v>
      </c>
      <c r="N266" s="73">
        <f t="shared" si="32"/>
        <v>0.11363771270280976</v>
      </c>
      <c r="O266" s="74">
        <f t="shared" si="33"/>
        <v>-0.10542151861826832</v>
      </c>
      <c r="P266" s="74">
        <f t="shared" si="34"/>
        <v>1.1113696587781894E-2</v>
      </c>
    </row>
    <row r="267" spans="1:16" x14ac:dyDescent="0.3">
      <c r="A267">
        <f t="shared" si="35"/>
        <v>254</v>
      </c>
      <c r="C267" s="75">
        <v>18132321502</v>
      </c>
      <c r="D267" s="40" t="s">
        <v>349</v>
      </c>
      <c r="E267" s="75">
        <v>214700</v>
      </c>
      <c r="F267" s="76">
        <v>1.0843434343434344</v>
      </c>
      <c r="G267" s="80">
        <v>44677</v>
      </c>
      <c r="H267">
        <v>198000</v>
      </c>
      <c r="I267" s="71">
        <f t="shared" si="27"/>
        <v>-16700</v>
      </c>
      <c r="J267" s="72">
        <f t="shared" si="28"/>
        <v>278890000</v>
      </c>
      <c r="K267" s="71">
        <f t="shared" si="29"/>
        <v>346714.77227722772</v>
      </c>
      <c r="L267" s="71">
        <f t="shared" si="30"/>
        <v>-148714.77227722772</v>
      </c>
      <c r="M267" s="72">
        <f t="shared" si="31"/>
        <v>22116083493.467697</v>
      </c>
      <c r="N267" s="73">
        <f t="shared" si="32"/>
        <v>8.9052575617672658E-2</v>
      </c>
      <c r="O267" s="74">
        <f t="shared" si="33"/>
        <v>-8.0836381533131219E-2</v>
      </c>
      <c r="P267" s="74">
        <f t="shared" si="34"/>
        <v>6.5345205793699577E-3</v>
      </c>
    </row>
    <row r="268" spans="1:16" x14ac:dyDescent="0.3">
      <c r="A268">
        <f t="shared" si="35"/>
        <v>255</v>
      </c>
      <c r="C268" s="66">
        <v>18132344047</v>
      </c>
      <c r="D268" s="40" t="s">
        <v>349</v>
      </c>
      <c r="E268" s="66">
        <v>274300</v>
      </c>
      <c r="F268" s="68">
        <v>1.1105263157894736</v>
      </c>
      <c r="G268" s="80">
        <v>44365</v>
      </c>
      <c r="H268">
        <v>247000</v>
      </c>
      <c r="I268" s="71">
        <f t="shared" si="27"/>
        <v>-27300</v>
      </c>
      <c r="J268" s="72">
        <f t="shared" si="28"/>
        <v>745290000</v>
      </c>
      <c r="K268" s="71">
        <f t="shared" si="29"/>
        <v>346714.77227722772</v>
      </c>
      <c r="L268" s="71">
        <f t="shared" si="30"/>
        <v>-99714.772277227719</v>
      </c>
      <c r="M268" s="72">
        <f t="shared" si="31"/>
        <v>9943035810.2993813</v>
      </c>
      <c r="N268" s="73">
        <f t="shared" si="32"/>
        <v>0.11523545706371185</v>
      </c>
      <c r="O268" s="74">
        <f t="shared" si="33"/>
        <v>-0.10701926297917042</v>
      </c>
      <c r="P268" s="74">
        <f t="shared" si="34"/>
        <v>1.1453122648604836E-2</v>
      </c>
    </row>
    <row r="269" spans="1:16" x14ac:dyDescent="0.3">
      <c r="A269">
        <f t="shared" si="35"/>
        <v>256</v>
      </c>
      <c r="C269" s="75">
        <v>18132243450</v>
      </c>
      <c r="D269" s="40" t="s">
        <v>349</v>
      </c>
      <c r="E269" s="75">
        <v>476200</v>
      </c>
      <c r="F269" s="76">
        <v>1.1113185530921821</v>
      </c>
      <c r="G269" s="80">
        <v>45041</v>
      </c>
      <c r="H269">
        <v>428500</v>
      </c>
      <c r="I269" s="71">
        <f t="shared" si="27"/>
        <v>-47700</v>
      </c>
      <c r="J269" s="72">
        <f t="shared" si="28"/>
        <v>2275290000</v>
      </c>
      <c r="K269" s="71">
        <f t="shared" si="29"/>
        <v>346714.77227722772</v>
      </c>
      <c r="L269" s="71">
        <f t="shared" si="30"/>
        <v>81785.227722772281</v>
      </c>
      <c r="M269" s="72">
        <f t="shared" si="31"/>
        <v>6688823473.66572</v>
      </c>
      <c r="N269" s="73">
        <f t="shared" si="32"/>
        <v>0.11602769436642035</v>
      </c>
      <c r="O269" s="74">
        <f t="shared" si="33"/>
        <v>-0.10781150028187891</v>
      </c>
      <c r="P269" s="74">
        <f t="shared" si="34"/>
        <v>1.1623319593029577E-2</v>
      </c>
    </row>
    <row r="270" spans="1:16" x14ac:dyDescent="0.3">
      <c r="A270">
        <f t="shared" si="35"/>
        <v>257</v>
      </c>
      <c r="C270" s="66">
        <v>18132331438</v>
      </c>
      <c r="D270" s="40" t="s">
        <v>349</v>
      </c>
      <c r="E270" s="66">
        <v>355600</v>
      </c>
      <c r="F270" s="68">
        <v>1.1112500000000001</v>
      </c>
      <c r="G270" s="80">
        <v>44459</v>
      </c>
      <c r="H270">
        <v>320000</v>
      </c>
      <c r="I270" s="71">
        <f t="shared" ref="I270:I316" si="36">+H270-E270</f>
        <v>-35600</v>
      </c>
      <c r="J270" s="72">
        <f t="shared" ref="J270:J316" si="37">+I270^2</f>
        <v>1267360000</v>
      </c>
      <c r="K270" s="71">
        <f t="shared" ref="K270:K316" si="38">AVERAGE($H$14:$H$1582)</f>
        <v>346714.77227722772</v>
      </c>
      <c r="L270" s="71">
        <f t="shared" ref="L270:L316" si="39">+H270-K270</f>
        <v>-26714.772277227719</v>
      </c>
      <c r="M270" s="72">
        <f t="shared" ref="M270:M316" si="40">+L270^2</f>
        <v>713679057.82413471</v>
      </c>
      <c r="N270" s="73">
        <f t="shared" ref="N270:N316" si="41">ABS(+$F$2-F270)</f>
        <v>0.11595914127423834</v>
      </c>
      <c r="O270" s="74">
        <f t="shared" ref="O270:O316" si="42">+$F$3-F270</f>
        <v>-0.1077429471896969</v>
      </c>
      <c r="P270" s="74">
        <f t="shared" ref="P270:P316" si="43">+O270*O270</f>
        <v>1.1608542669121816E-2</v>
      </c>
    </row>
    <row r="271" spans="1:16" x14ac:dyDescent="0.3">
      <c r="A271">
        <f t="shared" ref="A271:A316" si="44">+A270+1</f>
        <v>258</v>
      </c>
      <c r="C271" s="75">
        <v>18132324485</v>
      </c>
      <c r="D271" s="40" t="s">
        <v>349</v>
      </c>
      <c r="E271" s="75">
        <v>323500</v>
      </c>
      <c r="F271" s="76">
        <v>1.1155172413793104</v>
      </c>
      <c r="G271" s="80">
        <v>44952</v>
      </c>
      <c r="H271">
        <v>290000</v>
      </c>
      <c r="I271" s="71">
        <f t="shared" si="36"/>
        <v>-33500</v>
      </c>
      <c r="J271" s="72">
        <f t="shared" si="37"/>
        <v>1122250000</v>
      </c>
      <c r="K271" s="71">
        <f t="shared" si="38"/>
        <v>346714.77227722772</v>
      </c>
      <c r="L271" s="71">
        <f t="shared" si="39"/>
        <v>-56714.772277227719</v>
      </c>
      <c r="M271" s="72">
        <f t="shared" si="40"/>
        <v>3216565394.457798</v>
      </c>
      <c r="N271" s="73">
        <f t="shared" si="41"/>
        <v>0.12022638265354868</v>
      </c>
      <c r="O271" s="74">
        <f t="shared" si="42"/>
        <v>-0.11201018856900724</v>
      </c>
      <c r="P271" s="74">
        <f t="shared" si="43"/>
        <v>1.254628234326456E-2</v>
      </c>
    </row>
    <row r="272" spans="1:16" x14ac:dyDescent="0.3">
      <c r="A272">
        <f t="shared" si="44"/>
        <v>259</v>
      </c>
      <c r="C272" s="66">
        <v>18132333436</v>
      </c>
      <c r="D272" s="40" t="s">
        <v>349</v>
      </c>
      <c r="E272" s="66">
        <v>412800</v>
      </c>
      <c r="F272" s="68">
        <v>1.1156756756756756</v>
      </c>
      <c r="G272" s="80">
        <v>44585</v>
      </c>
      <c r="H272">
        <v>370000</v>
      </c>
      <c r="I272" s="71">
        <f t="shared" si="36"/>
        <v>-42800</v>
      </c>
      <c r="J272" s="72">
        <f t="shared" si="37"/>
        <v>1831840000</v>
      </c>
      <c r="K272" s="71">
        <f t="shared" si="38"/>
        <v>346714.77227722772</v>
      </c>
      <c r="L272" s="71">
        <f t="shared" si="39"/>
        <v>23285.227722772281</v>
      </c>
      <c r="M272" s="72">
        <f t="shared" si="40"/>
        <v>542201830.10136282</v>
      </c>
      <c r="N272" s="73">
        <f t="shared" si="41"/>
        <v>0.12038481694991388</v>
      </c>
      <c r="O272" s="74">
        <f t="shared" si="42"/>
        <v>-0.11216862286537244</v>
      </c>
      <c r="P272" s="74">
        <f t="shared" si="43"/>
        <v>1.2581799955514152E-2</v>
      </c>
    </row>
    <row r="273" spans="1:16" x14ac:dyDescent="0.3">
      <c r="A273">
        <f t="shared" si="44"/>
        <v>260</v>
      </c>
      <c r="C273" s="75">
        <v>18132344473</v>
      </c>
      <c r="D273" s="40" t="s">
        <v>349</v>
      </c>
      <c r="E273" s="75">
        <v>385100</v>
      </c>
      <c r="F273" s="76">
        <v>1.116231884057971</v>
      </c>
      <c r="G273" s="80">
        <v>45147</v>
      </c>
      <c r="H273">
        <v>345000</v>
      </c>
      <c r="I273" s="71">
        <f t="shared" si="36"/>
        <v>-40100</v>
      </c>
      <c r="J273" s="72">
        <f t="shared" si="37"/>
        <v>1608010000</v>
      </c>
      <c r="K273" s="71">
        <f t="shared" si="38"/>
        <v>346714.77227722772</v>
      </c>
      <c r="L273" s="71">
        <f t="shared" si="39"/>
        <v>-1714.7722772277193</v>
      </c>
      <c r="M273" s="72">
        <f t="shared" si="40"/>
        <v>2940443.9627487385</v>
      </c>
      <c r="N273" s="73">
        <f t="shared" si="41"/>
        <v>0.1209410253322093</v>
      </c>
      <c r="O273" s="74">
        <f t="shared" si="42"/>
        <v>-0.11272483124766786</v>
      </c>
      <c r="P273" s="74">
        <f t="shared" si="43"/>
        <v>1.2706887579815196E-2</v>
      </c>
    </row>
    <row r="274" spans="1:16" x14ac:dyDescent="0.3">
      <c r="A274">
        <f t="shared" si="44"/>
        <v>261</v>
      </c>
      <c r="C274" s="66">
        <v>18132243446</v>
      </c>
      <c r="D274" s="40" t="s">
        <v>349</v>
      </c>
      <c r="E274" s="66">
        <v>478900</v>
      </c>
      <c r="F274" s="68">
        <v>1.1189252336448599</v>
      </c>
      <c r="G274" s="80">
        <v>44963</v>
      </c>
      <c r="H274">
        <v>428000</v>
      </c>
      <c r="I274" s="71">
        <f t="shared" si="36"/>
        <v>-50900</v>
      </c>
      <c r="J274" s="72">
        <f t="shared" si="37"/>
        <v>2590810000</v>
      </c>
      <c r="K274" s="71">
        <f t="shared" si="38"/>
        <v>346714.77227722772</v>
      </c>
      <c r="L274" s="71">
        <f t="shared" si="39"/>
        <v>81285.227722772281</v>
      </c>
      <c r="M274" s="72">
        <f t="shared" si="40"/>
        <v>6607288245.9429474</v>
      </c>
      <c r="N274" s="73">
        <f t="shared" si="41"/>
        <v>0.12363437491909812</v>
      </c>
      <c r="O274" s="74">
        <f t="shared" si="42"/>
        <v>-0.11541818083455668</v>
      </c>
      <c r="P274" s="74">
        <f t="shared" si="43"/>
        <v>1.3321356467158428E-2</v>
      </c>
    </row>
    <row r="275" spans="1:16" x14ac:dyDescent="0.3">
      <c r="A275">
        <f t="shared" si="44"/>
        <v>262</v>
      </c>
      <c r="C275" s="75">
        <v>18132334479</v>
      </c>
      <c r="D275" s="40" t="s">
        <v>349</v>
      </c>
      <c r="E275" s="75">
        <v>330800</v>
      </c>
      <c r="F275" s="76">
        <v>1.1213559322033899</v>
      </c>
      <c r="G275" s="80">
        <v>44498</v>
      </c>
      <c r="H275">
        <v>295000</v>
      </c>
      <c r="I275" s="71">
        <f t="shared" si="36"/>
        <v>-35800</v>
      </c>
      <c r="J275" s="72">
        <f t="shared" si="37"/>
        <v>1281640000</v>
      </c>
      <c r="K275" s="71">
        <f t="shared" si="38"/>
        <v>346714.77227722772</v>
      </c>
      <c r="L275" s="71">
        <f t="shared" si="39"/>
        <v>-51714.772277227719</v>
      </c>
      <c r="M275" s="72">
        <f t="shared" si="40"/>
        <v>2674417671.6855206</v>
      </c>
      <c r="N275" s="73">
        <f t="shared" si="41"/>
        <v>0.12606507347762819</v>
      </c>
      <c r="O275" s="74">
        <f t="shared" si="42"/>
        <v>-0.11784887939308675</v>
      </c>
      <c r="P275" s="74">
        <f t="shared" si="43"/>
        <v>1.3888358374206307E-2</v>
      </c>
    </row>
    <row r="276" spans="1:16" x14ac:dyDescent="0.3">
      <c r="A276">
        <f t="shared" si="44"/>
        <v>263</v>
      </c>
      <c r="C276" s="66">
        <v>18132214400</v>
      </c>
      <c r="D276" s="40" t="s">
        <v>349</v>
      </c>
      <c r="E276" s="66">
        <v>309500</v>
      </c>
      <c r="F276" s="68">
        <v>1.1254545454545455</v>
      </c>
      <c r="G276" s="80">
        <v>44701</v>
      </c>
      <c r="H276">
        <v>275000</v>
      </c>
      <c r="I276" s="71">
        <f t="shared" si="36"/>
        <v>-34500</v>
      </c>
      <c r="J276" s="72">
        <f t="shared" si="37"/>
        <v>1190250000</v>
      </c>
      <c r="K276" s="71">
        <f t="shared" si="38"/>
        <v>346714.77227722772</v>
      </c>
      <c r="L276" s="71">
        <f t="shared" si="39"/>
        <v>-71714.772277227719</v>
      </c>
      <c r="M276" s="72">
        <f t="shared" si="40"/>
        <v>5143008562.7746296</v>
      </c>
      <c r="N276" s="73">
        <f t="shared" si="41"/>
        <v>0.13016368672878376</v>
      </c>
      <c r="O276" s="74">
        <f t="shared" si="42"/>
        <v>-0.12194749264424232</v>
      </c>
      <c r="P276" s="74">
        <f t="shared" si="43"/>
        <v>1.4871190962217534E-2</v>
      </c>
    </row>
    <row r="277" spans="1:16" x14ac:dyDescent="0.3">
      <c r="A277">
        <f t="shared" si="44"/>
        <v>264</v>
      </c>
      <c r="C277" s="75">
        <v>18132332416</v>
      </c>
      <c r="D277" s="40" t="s">
        <v>349</v>
      </c>
      <c r="E277" s="75">
        <v>350500</v>
      </c>
      <c r="F277" s="76">
        <v>1.1306451612903226</v>
      </c>
      <c r="G277" s="80">
        <v>44827</v>
      </c>
      <c r="H277">
        <v>310000</v>
      </c>
      <c r="I277" s="71">
        <f t="shared" si="36"/>
        <v>-40500</v>
      </c>
      <c r="J277" s="72">
        <f t="shared" si="37"/>
        <v>1640250000</v>
      </c>
      <c r="K277" s="71">
        <f t="shared" si="38"/>
        <v>346714.77227722772</v>
      </c>
      <c r="L277" s="71">
        <f t="shared" si="39"/>
        <v>-36714.772277227719</v>
      </c>
      <c r="M277" s="72">
        <f t="shared" si="40"/>
        <v>1347974503.3686891</v>
      </c>
      <c r="N277" s="73">
        <f t="shared" si="41"/>
        <v>0.13535430256456082</v>
      </c>
      <c r="O277" s="74">
        <f t="shared" si="42"/>
        <v>-0.12713810848001939</v>
      </c>
      <c r="P277" s="74">
        <f t="shared" si="43"/>
        <v>1.6164098627877176E-2</v>
      </c>
    </row>
    <row r="278" spans="1:16" x14ac:dyDescent="0.3">
      <c r="A278">
        <f t="shared" si="44"/>
        <v>265</v>
      </c>
      <c r="C278" s="66">
        <v>18132344402</v>
      </c>
      <c r="D278" s="40" t="s">
        <v>349</v>
      </c>
      <c r="E278" s="66">
        <v>418300</v>
      </c>
      <c r="F278" s="68">
        <v>1.1300823990274214</v>
      </c>
      <c r="G278" s="80">
        <v>44316</v>
      </c>
      <c r="H278">
        <v>370150</v>
      </c>
      <c r="I278" s="71">
        <f t="shared" si="36"/>
        <v>-48150</v>
      </c>
      <c r="J278" s="72">
        <f t="shared" si="37"/>
        <v>2318422500</v>
      </c>
      <c r="K278" s="71">
        <f t="shared" si="38"/>
        <v>346714.77227722772</v>
      </c>
      <c r="L278" s="71">
        <f t="shared" si="39"/>
        <v>23435.227722772281</v>
      </c>
      <c r="M278" s="72">
        <f t="shared" si="40"/>
        <v>549209898.41819441</v>
      </c>
      <c r="N278" s="73">
        <f t="shared" si="41"/>
        <v>0.13479154030165963</v>
      </c>
      <c r="O278" s="74">
        <f t="shared" si="42"/>
        <v>-0.12657534621711819</v>
      </c>
      <c r="P278" s="74">
        <f t="shared" si="43"/>
        <v>1.6021318269983337E-2</v>
      </c>
    </row>
    <row r="279" spans="1:16" x14ac:dyDescent="0.3">
      <c r="A279">
        <f t="shared" si="44"/>
        <v>266</v>
      </c>
      <c r="C279" s="75">
        <v>18131543422</v>
      </c>
      <c r="D279" s="40" t="s">
        <v>349</v>
      </c>
      <c r="E279" s="75">
        <v>304100</v>
      </c>
      <c r="F279" s="76">
        <v>1.1262962962962964</v>
      </c>
      <c r="G279" s="80">
        <v>44558</v>
      </c>
      <c r="H279">
        <v>270000</v>
      </c>
      <c r="I279" s="71">
        <f t="shared" si="36"/>
        <v>-34100</v>
      </c>
      <c r="J279" s="72">
        <f t="shared" si="37"/>
        <v>1162810000</v>
      </c>
      <c r="K279" s="71">
        <f t="shared" si="38"/>
        <v>346714.77227722772</v>
      </c>
      <c r="L279" s="71">
        <f t="shared" si="39"/>
        <v>-76714.772277227719</v>
      </c>
      <c r="M279" s="72">
        <f t="shared" si="40"/>
        <v>5885156285.5469065</v>
      </c>
      <c r="N279" s="73">
        <f t="shared" si="41"/>
        <v>0.13100543757053462</v>
      </c>
      <c r="O279" s="74">
        <f t="shared" si="42"/>
        <v>-0.12278924348599318</v>
      </c>
      <c r="P279" s="74">
        <f t="shared" si="43"/>
        <v>1.5077198315862518E-2</v>
      </c>
    </row>
    <row r="280" spans="1:16" x14ac:dyDescent="0.3">
      <c r="A280">
        <f t="shared" si="44"/>
        <v>267</v>
      </c>
      <c r="C280" s="66">
        <v>18132214480</v>
      </c>
      <c r="D280" s="40" t="s">
        <v>349</v>
      </c>
      <c r="E280" s="66">
        <v>281500</v>
      </c>
      <c r="F280" s="68">
        <v>1.1340289247874955</v>
      </c>
      <c r="G280" s="80">
        <v>44211</v>
      </c>
      <c r="H280">
        <v>248230</v>
      </c>
      <c r="I280" s="71">
        <f t="shared" si="36"/>
        <v>-33270</v>
      </c>
      <c r="J280" s="72">
        <f t="shared" si="37"/>
        <v>1106892900</v>
      </c>
      <c r="K280" s="71">
        <f t="shared" si="38"/>
        <v>346714.77227722772</v>
      </c>
      <c r="L280" s="71">
        <f t="shared" si="39"/>
        <v>-98484.772277227719</v>
      </c>
      <c r="M280" s="72">
        <f t="shared" si="40"/>
        <v>9699250370.4974022</v>
      </c>
      <c r="N280" s="73">
        <f t="shared" si="41"/>
        <v>0.13873806606173378</v>
      </c>
      <c r="O280" s="74">
        <f t="shared" si="42"/>
        <v>-0.13052187197719234</v>
      </c>
      <c r="P280" s="74">
        <f t="shared" si="43"/>
        <v>1.7035959064430586E-2</v>
      </c>
    </row>
    <row r="281" spans="1:16" x14ac:dyDescent="0.3">
      <c r="A281">
        <f t="shared" si="44"/>
        <v>268</v>
      </c>
      <c r="C281" s="75">
        <v>18132313470</v>
      </c>
      <c r="D281" s="40" t="s">
        <v>349</v>
      </c>
      <c r="E281" s="75">
        <v>370400</v>
      </c>
      <c r="F281" s="76">
        <v>1.1396923076923078</v>
      </c>
      <c r="G281" s="80">
        <v>44456</v>
      </c>
      <c r="H281">
        <v>325000</v>
      </c>
      <c r="I281" s="71">
        <f t="shared" si="36"/>
        <v>-45400</v>
      </c>
      <c r="J281" s="72">
        <f t="shared" si="37"/>
        <v>2061160000</v>
      </c>
      <c r="K281" s="71">
        <f t="shared" si="38"/>
        <v>346714.77227722772</v>
      </c>
      <c r="L281" s="71">
        <f t="shared" si="39"/>
        <v>-21714.772277227719</v>
      </c>
      <c r="M281" s="72">
        <f t="shared" si="40"/>
        <v>471531335.05185753</v>
      </c>
      <c r="N281" s="73">
        <f t="shared" si="41"/>
        <v>0.14440144896654605</v>
      </c>
      <c r="O281" s="74">
        <f t="shared" si="42"/>
        <v>-0.13618525488200461</v>
      </c>
      <c r="P281" s="74">
        <f t="shared" si="43"/>
        <v>1.8546423647276562E-2</v>
      </c>
    </row>
    <row r="282" spans="1:16" x14ac:dyDescent="0.3">
      <c r="A282">
        <f t="shared" si="44"/>
        <v>269</v>
      </c>
      <c r="C282" s="66">
        <v>18132324427</v>
      </c>
      <c r="D282" s="40" t="s">
        <v>349</v>
      </c>
      <c r="E282" s="66">
        <v>397000</v>
      </c>
      <c r="F282" s="68">
        <v>1.1342857142857143</v>
      </c>
      <c r="G282" s="80">
        <v>44907</v>
      </c>
      <c r="H282">
        <v>350000</v>
      </c>
      <c r="I282" s="71">
        <f t="shared" si="36"/>
        <v>-47000</v>
      </c>
      <c r="J282" s="72">
        <f t="shared" si="37"/>
        <v>2209000000</v>
      </c>
      <c r="K282" s="71">
        <f t="shared" si="38"/>
        <v>346714.77227722772</v>
      </c>
      <c r="L282" s="71">
        <f t="shared" si="39"/>
        <v>3285.2277227722807</v>
      </c>
      <c r="M282" s="72">
        <f t="shared" si="40"/>
        <v>10792721.190471545</v>
      </c>
      <c r="N282" s="73">
        <f t="shared" si="41"/>
        <v>0.13899485555995261</v>
      </c>
      <c r="O282" s="74">
        <f t="shared" si="42"/>
        <v>-0.13077866147541117</v>
      </c>
      <c r="P282" s="74">
        <f t="shared" si="43"/>
        <v>1.7103058297300196E-2</v>
      </c>
    </row>
    <row r="283" spans="1:16" x14ac:dyDescent="0.3">
      <c r="A283">
        <f t="shared" si="44"/>
        <v>270</v>
      </c>
      <c r="C283" s="75">
        <v>18132323443</v>
      </c>
      <c r="D283" s="40" t="s">
        <v>349</v>
      </c>
      <c r="E283" s="75">
        <v>324200</v>
      </c>
      <c r="F283" s="76">
        <v>1.1375438596491227</v>
      </c>
      <c r="G283" s="80">
        <v>44603</v>
      </c>
      <c r="H283">
        <v>285000</v>
      </c>
      <c r="I283" s="71">
        <f t="shared" si="36"/>
        <v>-39200</v>
      </c>
      <c r="J283" s="72">
        <f t="shared" si="37"/>
        <v>1536640000</v>
      </c>
      <c r="K283" s="71">
        <f t="shared" si="38"/>
        <v>346714.77227722772</v>
      </c>
      <c r="L283" s="71">
        <f t="shared" si="39"/>
        <v>-61714.772277227719</v>
      </c>
      <c r="M283" s="72">
        <f t="shared" si="40"/>
        <v>3808713117.2300749</v>
      </c>
      <c r="N283" s="73">
        <f t="shared" si="41"/>
        <v>0.14225300092336102</v>
      </c>
      <c r="O283" s="74">
        <f t="shared" si="42"/>
        <v>-0.13403680683881958</v>
      </c>
      <c r="P283" s="74">
        <f t="shared" si="43"/>
        <v>1.7965865587547029E-2</v>
      </c>
    </row>
    <row r="284" spans="1:16" x14ac:dyDescent="0.3">
      <c r="A284">
        <f t="shared" si="44"/>
        <v>271</v>
      </c>
      <c r="C284" s="66">
        <v>18132313450</v>
      </c>
      <c r="D284" s="40" t="s">
        <v>349</v>
      </c>
      <c r="E284" s="66">
        <v>333100</v>
      </c>
      <c r="F284" s="68">
        <v>1.1368600682593857</v>
      </c>
      <c r="G284" s="80">
        <v>44734</v>
      </c>
      <c r="H284">
        <v>293000</v>
      </c>
      <c r="I284" s="71">
        <f t="shared" si="36"/>
        <v>-40100</v>
      </c>
      <c r="J284" s="72">
        <f t="shared" si="37"/>
        <v>1608010000</v>
      </c>
      <c r="K284" s="71">
        <f t="shared" si="38"/>
        <v>346714.77227722772</v>
      </c>
      <c r="L284" s="71">
        <f t="shared" si="39"/>
        <v>-53714.772277227719</v>
      </c>
      <c r="M284" s="72">
        <f t="shared" si="40"/>
        <v>2885276760.7944317</v>
      </c>
      <c r="N284" s="73">
        <f t="shared" si="41"/>
        <v>0.14156920953362395</v>
      </c>
      <c r="O284" s="74">
        <f t="shared" si="42"/>
        <v>-0.13335301544908251</v>
      </c>
      <c r="P284" s="74">
        <f t="shared" si="43"/>
        <v>1.778302672936324E-2</v>
      </c>
    </row>
    <row r="285" spans="1:16" x14ac:dyDescent="0.3">
      <c r="A285">
        <f t="shared" si="44"/>
        <v>272</v>
      </c>
      <c r="C285" s="75">
        <v>18132241033</v>
      </c>
      <c r="D285" s="40" t="s">
        <v>349</v>
      </c>
      <c r="E285" s="75">
        <v>439500</v>
      </c>
      <c r="F285" s="76">
        <v>1.1415584415584417</v>
      </c>
      <c r="G285" s="80">
        <v>44460</v>
      </c>
      <c r="H285">
        <v>385000</v>
      </c>
      <c r="I285" s="71">
        <f t="shared" si="36"/>
        <v>-54500</v>
      </c>
      <c r="J285" s="72">
        <f t="shared" si="37"/>
        <v>2970250000</v>
      </c>
      <c r="K285" s="71">
        <f t="shared" si="38"/>
        <v>346714.77227722772</v>
      </c>
      <c r="L285" s="71">
        <f t="shared" si="39"/>
        <v>38285.227722772281</v>
      </c>
      <c r="M285" s="72">
        <f t="shared" si="40"/>
        <v>1465758661.7845311</v>
      </c>
      <c r="N285" s="73">
        <f t="shared" si="41"/>
        <v>0.14626758283267993</v>
      </c>
      <c r="O285" s="74">
        <f t="shared" si="42"/>
        <v>-0.13805138874813849</v>
      </c>
      <c r="P285" s="74">
        <f t="shared" si="43"/>
        <v>1.905818593528966E-2</v>
      </c>
    </row>
    <row r="286" spans="1:16" x14ac:dyDescent="0.3">
      <c r="A286">
        <f t="shared" si="44"/>
        <v>273</v>
      </c>
      <c r="C286" s="66">
        <v>18132324476</v>
      </c>
      <c r="D286" s="40" t="s">
        <v>349</v>
      </c>
      <c r="E286" s="66">
        <v>308200</v>
      </c>
      <c r="F286" s="68">
        <v>1.1414814814814815</v>
      </c>
      <c r="G286" s="80">
        <v>44937</v>
      </c>
      <c r="H286">
        <v>270000</v>
      </c>
      <c r="I286" s="71">
        <f t="shared" si="36"/>
        <v>-38200</v>
      </c>
      <c r="J286" s="72">
        <f t="shared" si="37"/>
        <v>1459240000</v>
      </c>
      <c r="K286" s="71">
        <f t="shared" si="38"/>
        <v>346714.77227722772</v>
      </c>
      <c r="L286" s="71">
        <f t="shared" si="39"/>
        <v>-76714.772277227719</v>
      </c>
      <c r="M286" s="72">
        <f t="shared" si="40"/>
        <v>5885156285.5469065</v>
      </c>
      <c r="N286" s="73">
        <f t="shared" si="41"/>
        <v>0.14619062275571981</v>
      </c>
      <c r="O286" s="74">
        <f t="shared" si="42"/>
        <v>-0.13797442867117837</v>
      </c>
      <c r="P286" s="74">
        <f t="shared" si="43"/>
        <v>1.903694296713809E-2</v>
      </c>
    </row>
    <row r="287" spans="1:16" x14ac:dyDescent="0.3">
      <c r="A287">
        <f t="shared" si="44"/>
        <v>274</v>
      </c>
      <c r="C287" s="75">
        <v>18132313532</v>
      </c>
      <c r="D287" s="40" t="s">
        <v>349</v>
      </c>
      <c r="E287" s="75">
        <v>325800</v>
      </c>
      <c r="F287" s="76">
        <v>1.1431578947368422</v>
      </c>
      <c r="G287" s="80">
        <v>44992</v>
      </c>
      <c r="H287">
        <v>285000</v>
      </c>
      <c r="I287" s="71">
        <f t="shared" si="36"/>
        <v>-40800</v>
      </c>
      <c r="J287" s="72">
        <f t="shared" si="37"/>
        <v>1664640000</v>
      </c>
      <c r="K287" s="71">
        <f t="shared" si="38"/>
        <v>346714.77227722772</v>
      </c>
      <c r="L287" s="71">
        <f t="shared" si="39"/>
        <v>-61714.772277227719</v>
      </c>
      <c r="M287" s="72">
        <f t="shared" si="40"/>
        <v>3808713117.2300749</v>
      </c>
      <c r="N287" s="73">
        <f t="shared" si="41"/>
        <v>0.14786703601108042</v>
      </c>
      <c r="O287" s="74">
        <f t="shared" si="42"/>
        <v>-0.13965084192653898</v>
      </c>
      <c r="P287" s="74">
        <f t="shared" si="43"/>
        <v>1.9502357650791179E-2</v>
      </c>
    </row>
    <row r="288" spans="1:16" x14ac:dyDescent="0.3">
      <c r="A288">
        <f t="shared" si="44"/>
        <v>275</v>
      </c>
      <c r="C288" s="66">
        <v>18132212411</v>
      </c>
      <c r="D288" s="40" t="s">
        <v>349</v>
      </c>
      <c r="E288" s="66">
        <v>389600</v>
      </c>
      <c r="F288" s="68">
        <v>1.1458823529411766</v>
      </c>
      <c r="G288" s="80">
        <v>45064</v>
      </c>
      <c r="H288">
        <v>340000</v>
      </c>
      <c r="I288" s="71">
        <f t="shared" si="36"/>
        <v>-49600</v>
      </c>
      <c r="J288" s="72">
        <f t="shared" si="37"/>
        <v>2460160000</v>
      </c>
      <c r="K288" s="71">
        <f t="shared" si="38"/>
        <v>346714.77227722772</v>
      </c>
      <c r="L288" s="71">
        <f t="shared" si="39"/>
        <v>-6714.7722772277193</v>
      </c>
      <c r="M288" s="72">
        <f t="shared" si="40"/>
        <v>45088166.735025935</v>
      </c>
      <c r="N288" s="73">
        <f t="shared" si="41"/>
        <v>0.15059149421541485</v>
      </c>
      <c r="O288" s="74">
        <f t="shared" si="42"/>
        <v>-0.14237530013087341</v>
      </c>
      <c r="P288" s="74">
        <f t="shared" si="43"/>
        <v>2.0270726087356281E-2</v>
      </c>
    </row>
    <row r="289" spans="1:16" x14ac:dyDescent="0.3">
      <c r="A289">
        <f t="shared" si="44"/>
        <v>276</v>
      </c>
      <c r="C289" s="75">
        <v>18132324542</v>
      </c>
      <c r="D289" s="40" t="s">
        <v>349</v>
      </c>
      <c r="E289" s="75">
        <v>309500</v>
      </c>
      <c r="F289" s="76">
        <v>1.1462962962962964</v>
      </c>
      <c r="G289" s="80">
        <v>44203</v>
      </c>
      <c r="H289">
        <v>270000</v>
      </c>
      <c r="I289" s="71">
        <f t="shared" si="36"/>
        <v>-39500</v>
      </c>
      <c r="J289" s="72">
        <f t="shared" si="37"/>
        <v>1560250000</v>
      </c>
      <c r="K289" s="71">
        <f t="shared" si="38"/>
        <v>346714.77227722772</v>
      </c>
      <c r="L289" s="71">
        <f t="shared" si="39"/>
        <v>-76714.772277227719</v>
      </c>
      <c r="M289" s="72">
        <f t="shared" si="40"/>
        <v>5885156285.5469065</v>
      </c>
      <c r="N289" s="73">
        <f t="shared" si="41"/>
        <v>0.15100543757053464</v>
      </c>
      <c r="O289" s="74">
        <f t="shared" si="42"/>
        <v>-0.1427892434859932</v>
      </c>
      <c r="P289" s="74">
        <f t="shared" si="43"/>
        <v>2.038876805530225E-2</v>
      </c>
    </row>
    <row r="290" spans="1:16" x14ac:dyDescent="0.3">
      <c r="A290">
        <f t="shared" si="44"/>
        <v>277</v>
      </c>
      <c r="C290" s="66">
        <v>18132313510</v>
      </c>
      <c r="D290" s="40" t="s">
        <v>349</v>
      </c>
      <c r="E290" s="66">
        <v>343800</v>
      </c>
      <c r="F290" s="68">
        <v>1.1459999999999999</v>
      </c>
      <c r="G290" s="80">
        <v>44685</v>
      </c>
      <c r="H290">
        <v>300000</v>
      </c>
      <c r="I290" s="71">
        <f t="shared" si="36"/>
        <v>-43800</v>
      </c>
      <c r="J290" s="72">
        <f t="shared" si="37"/>
        <v>1918440000</v>
      </c>
      <c r="K290" s="71">
        <f t="shared" si="38"/>
        <v>346714.77227722772</v>
      </c>
      <c r="L290" s="71">
        <f t="shared" si="39"/>
        <v>-46714.772277227719</v>
      </c>
      <c r="M290" s="72">
        <f t="shared" si="40"/>
        <v>2182269948.9132433</v>
      </c>
      <c r="N290" s="73">
        <f t="shared" si="41"/>
        <v>0.15070914127423818</v>
      </c>
      <c r="O290" s="74">
        <f t="shared" si="42"/>
        <v>-0.14249294718969674</v>
      </c>
      <c r="P290" s="74">
        <f t="shared" si="43"/>
        <v>2.0304239998805703E-2</v>
      </c>
    </row>
    <row r="291" spans="1:16" x14ac:dyDescent="0.3">
      <c r="A291">
        <f t="shared" si="44"/>
        <v>278</v>
      </c>
      <c r="C291" s="75">
        <v>18132243468</v>
      </c>
      <c r="D291" s="40" t="s">
        <v>349</v>
      </c>
      <c r="E291" s="75">
        <v>317100</v>
      </c>
      <c r="F291" s="76">
        <v>1.1530909090909092</v>
      </c>
      <c r="G291" s="80">
        <v>44893</v>
      </c>
      <c r="H291">
        <v>275000</v>
      </c>
      <c r="I291" s="71">
        <f t="shared" si="36"/>
        <v>-42100</v>
      </c>
      <c r="J291" s="72">
        <f t="shared" si="37"/>
        <v>1772410000</v>
      </c>
      <c r="K291" s="71">
        <f t="shared" si="38"/>
        <v>346714.77227722772</v>
      </c>
      <c r="L291" s="71">
        <f t="shared" si="39"/>
        <v>-71714.772277227719</v>
      </c>
      <c r="M291" s="72">
        <f t="shared" si="40"/>
        <v>5143008562.7746296</v>
      </c>
      <c r="N291" s="73">
        <f t="shared" si="41"/>
        <v>0.15780005036514744</v>
      </c>
      <c r="O291" s="74">
        <f t="shared" si="42"/>
        <v>-0.149583856280606</v>
      </c>
      <c r="P291" s="74">
        <f t="shared" si="43"/>
        <v>2.2375330059776991E-2</v>
      </c>
    </row>
    <row r="292" spans="1:16" x14ac:dyDescent="0.3">
      <c r="A292">
        <f t="shared" si="44"/>
        <v>279</v>
      </c>
      <c r="C292" s="66">
        <v>18132322483</v>
      </c>
      <c r="D292" s="40" t="s">
        <v>349</v>
      </c>
      <c r="E292" s="66">
        <v>290700</v>
      </c>
      <c r="F292" s="68">
        <v>1.135546875</v>
      </c>
      <c r="G292" s="80">
        <v>44771</v>
      </c>
      <c r="H292">
        <v>256000</v>
      </c>
      <c r="I292" s="71">
        <f t="shared" si="36"/>
        <v>-34700</v>
      </c>
      <c r="J292" s="72">
        <f t="shared" si="37"/>
        <v>1204090000</v>
      </c>
      <c r="K292" s="71">
        <f t="shared" si="38"/>
        <v>346714.77227722772</v>
      </c>
      <c r="L292" s="71">
        <f t="shared" si="39"/>
        <v>-90714.772277227719</v>
      </c>
      <c r="M292" s="72">
        <f t="shared" si="40"/>
        <v>8229169909.3092823</v>
      </c>
      <c r="N292" s="73">
        <f t="shared" si="41"/>
        <v>0.14025601627423823</v>
      </c>
      <c r="O292" s="74">
        <f t="shared" si="42"/>
        <v>-0.13203982218969679</v>
      </c>
      <c r="P292" s="74">
        <f t="shared" si="43"/>
        <v>1.7434514643886744E-2</v>
      </c>
    </row>
    <row r="293" spans="1:16" x14ac:dyDescent="0.3">
      <c r="A293">
        <f t="shared" si="44"/>
        <v>280</v>
      </c>
      <c r="C293" s="75">
        <v>18132241472</v>
      </c>
      <c r="D293" s="40" t="s">
        <v>349</v>
      </c>
      <c r="E293" s="75">
        <v>287500</v>
      </c>
      <c r="F293" s="76">
        <v>1.1499999999999999</v>
      </c>
      <c r="G293" s="80">
        <v>44586</v>
      </c>
      <c r="H293">
        <v>250000</v>
      </c>
      <c r="I293" s="71">
        <f t="shared" si="36"/>
        <v>-37500</v>
      </c>
      <c r="J293" s="72">
        <f t="shared" si="37"/>
        <v>1406250000</v>
      </c>
      <c r="K293" s="71">
        <f t="shared" si="38"/>
        <v>346714.77227722772</v>
      </c>
      <c r="L293" s="71">
        <f t="shared" si="39"/>
        <v>-96714.772277227719</v>
      </c>
      <c r="M293" s="72">
        <f t="shared" si="40"/>
        <v>9353747176.6360149</v>
      </c>
      <c r="N293" s="73">
        <f t="shared" si="41"/>
        <v>0.15470914127423818</v>
      </c>
      <c r="O293" s="74">
        <f t="shared" si="42"/>
        <v>-0.14649294718969674</v>
      </c>
      <c r="P293" s="74">
        <f t="shared" si="43"/>
        <v>2.1460183576323278E-2</v>
      </c>
    </row>
    <row r="294" spans="1:16" x14ac:dyDescent="0.3">
      <c r="A294">
        <f t="shared" si="44"/>
        <v>281</v>
      </c>
      <c r="C294" s="66">
        <v>18132313442</v>
      </c>
      <c r="D294" s="40" t="s">
        <v>349</v>
      </c>
      <c r="E294" s="66">
        <v>391400</v>
      </c>
      <c r="F294" s="68">
        <v>1.1511764705882352</v>
      </c>
      <c r="G294" s="80">
        <v>45015</v>
      </c>
      <c r="H294">
        <v>340000</v>
      </c>
      <c r="I294" s="71">
        <f t="shared" si="36"/>
        <v>-51400</v>
      </c>
      <c r="J294" s="72">
        <f t="shared" si="37"/>
        <v>2641960000</v>
      </c>
      <c r="K294" s="71">
        <f t="shared" si="38"/>
        <v>346714.77227722772</v>
      </c>
      <c r="L294" s="71">
        <f t="shared" si="39"/>
        <v>-6714.7722772277193</v>
      </c>
      <c r="M294" s="72">
        <f t="shared" si="40"/>
        <v>45088166.735025935</v>
      </c>
      <c r="N294" s="73">
        <f t="shared" si="41"/>
        <v>0.15588561186247352</v>
      </c>
      <c r="O294" s="74">
        <f t="shared" si="42"/>
        <v>-0.14766941777793208</v>
      </c>
      <c r="P294" s="74">
        <f t="shared" si="43"/>
        <v>2.1806256946873444E-2</v>
      </c>
    </row>
    <row r="295" spans="1:16" x14ac:dyDescent="0.3">
      <c r="A295">
        <f t="shared" si="44"/>
        <v>282</v>
      </c>
      <c r="C295" s="75">
        <v>18132242434</v>
      </c>
      <c r="D295" s="40" t="s">
        <v>349</v>
      </c>
      <c r="E295" s="75">
        <v>392200</v>
      </c>
      <c r="F295" s="76">
        <v>1.1678388727764313</v>
      </c>
      <c r="G295" s="80">
        <v>44252</v>
      </c>
      <c r="H295">
        <v>335834</v>
      </c>
      <c r="I295" s="71">
        <f t="shared" si="36"/>
        <v>-56366</v>
      </c>
      <c r="J295" s="72">
        <f t="shared" si="37"/>
        <v>3177125956</v>
      </c>
      <c r="K295" s="71">
        <f t="shared" si="38"/>
        <v>346714.77227722772</v>
      </c>
      <c r="L295" s="71">
        <f t="shared" si="39"/>
        <v>-10880.772277227719</v>
      </c>
      <c r="M295" s="72">
        <f t="shared" si="40"/>
        <v>118391205.34888729</v>
      </c>
      <c r="N295" s="73">
        <f t="shared" si="41"/>
        <v>0.17254801405066955</v>
      </c>
      <c r="O295" s="74">
        <f t="shared" si="42"/>
        <v>-0.16433181996612811</v>
      </c>
      <c r="P295" s="74">
        <f t="shared" si="43"/>
        <v>2.7004947053379941E-2</v>
      </c>
    </row>
    <row r="296" spans="1:16" x14ac:dyDescent="0.3">
      <c r="A296">
        <f t="shared" si="44"/>
        <v>283</v>
      </c>
      <c r="C296" s="66">
        <v>18132243047</v>
      </c>
      <c r="D296" s="40" t="s">
        <v>349</v>
      </c>
      <c r="E296" s="66">
        <v>341600</v>
      </c>
      <c r="F296" s="68">
        <v>1.1779310344827587</v>
      </c>
      <c r="G296" s="80">
        <v>45098</v>
      </c>
      <c r="H296">
        <v>290000</v>
      </c>
      <c r="I296" s="71">
        <f t="shared" si="36"/>
        <v>-51600</v>
      </c>
      <c r="J296" s="72">
        <f t="shared" si="37"/>
        <v>2662560000</v>
      </c>
      <c r="K296" s="71">
        <f t="shared" si="38"/>
        <v>346714.77227722772</v>
      </c>
      <c r="L296" s="71">
        <f t="shared" si="39"/>
        <v>-56714.772277227719</v>
      </c>
      <c r="M296" s="72">
        <f t="shared" si="40"/>
        <v>3216565394.457798</v>
      </c>
      <c r="N296" s="73">
        <f t="shared" si="41"/>
        <v>0.18264017575699698</v>
      </c>
      <c r="O296" s="74">
        <f t="shared" si="42"/>
        <v>-0.17442398167245554</v>
      </c>
      <c r="P296" s="74">
        <f t="shared" si="43"/>
        <v>3.0423725382473107E-2</v>
      </c>
    </row>
    <row r="297" spans="1:16" x14ac:dyDescent="0.3">
      <c r="A297">
        <f t="shared" si="44"/>
        <v>284</v>
      </c>
      <c r="C297" s="75">
        <v>18132214429</v>
      </c>
      <c r="D297" s="40" t="s">
        <v>349</v>
      </c>
      <c r="E297" s="75">
        <v>376200</v>
      </c>
      <c r="F297" s="76">
        <v>1.1759924976555174</v>
      </c>
      <c r="G297" s="80">
        <v>44378</v>
      </c>
      <c r="H297">
        <v>319900</v>
      </c>
      <c r="I297" s="71">
        <f t="shared" si="36"/>
        <v>-56300</v>
      </c>
      <c r="J297" s="72">
        <f t="shared" si="37"/>
        <v>3169690000</v>
      </c>
      <c r="K297" s="71">
        <f t="shared" si="38"/>
        <v>346714.77227722772</v>
      </c>
      <c r="L297" s="71">
        <f t="shared" si="39"/>
        <v>-26814.772277227719</v>
      </c>
      <c r="M297" s="72">
        <f t="shared" si="40"/>
        <v>719032012.27958024</v>
      </c>
      <c r="N297" s="73">
        <f t="shared" si="41"/>
        <v>0.18070163892975566</v>
      </c>
      <c r="O297" s="74">
        <f t="shared" si="42"/>
        <v>-0.17248544484521422</v>
      </c>
      <c r="P297" s="74">
        <f t="shared" si="43"/>
        <v>2.9751228683451435E-2</v>
      </c>
    </row>
    <row r="298" spans="1:16" x14ac:dyDescent="0.3">
      <c r="A298">
        <f t="shared" si="44"/>
        <v>285</v>
      </c>
      <c r="C298" s="66">
        <v>18132242019</v>
      </c>
      <c r="D298" s="40" t="s">
        <v>349</v>
      </c>
      <c r="E298" s="66">
        <v>408200</v>
      </c>
      <c r="F298" s="68">
        <v>1.1831884057971014</v>
      </c>
      <c r="G298" s="80">
        <v>44237</v>
      </c>
      <c r="H298">
        <v>345000</v>
      </c>
      <c r="I298" s="71">
        <f t="shared" si="36"/>
        <v>-63200</v>
      </c>
      <c r="J298" s="72">
        <f t="shared" si="37"/>
        <v>3994240000</v>
      </c>
      <c r="K298" s="71">
        <f t="shared" si="38"/>
        <v>346714.77227722772</v>
      </c>
      <c r="L298" s="71">
        <f t="shared" si="39"/>
        <v>-1714.7722772277193</v>
      </c>
      <c r="M298" s="72">
        <f t="shared" si="40"/>
        <v>2940443.9627487385</v>
      </c>
      <c r="N298" s="73">
        <f t="shared" si="41"/>
        <v>0.18789754707133965</v>
      </c>
      <c r="O298" s="74">
        <f t="shared" si="42"/>
        <v>-0.17968135298679822</v>
      </c>
      <c r="P298" s="74">
        <f t="shared" si="43"/>
        <v>3.228538861116638E-2</v>
      </c>
    </row>
    <row r="299" spans="1:16" x14ac:dyDescent="0.3">
      <c r="A299">
        <f t="shared" si="44"/>
        <v>286</v>
      </c>
      <c r="C299" s="75">
        <v>18132332469</v>
      </c>
      <c r="D299" s="40" t="s">
        <v>349</v>
      </c>
      <c r="E299" s="75">
        <v>336400</v>
      </c>
      <c r="F299" s="76">
        <v>1.1886925795053003</v>
      </c>
      <c r="G299" s="80">
        <v>44532</v>
      </c>
      <c r="H299">
        <v>283000</v>
      </c>
      <c r="I299" s="71">
        <f t="shared" si="36"/>
        <v>-53400</v>
      </c>
      <c r="J299" s="72">
        <f t="shared" si="37"/>
        <v>2851560000</v>
      </c>
      <c r="K299" s="71">
        <f t="shared" si="38"/>
        <v>346714.77227722772</v>
      </c>
      <c r="L299" s="71">
        <f t="shared" si="39"/>
        <v>-63714.772277227719</v>
      </c>
      <c r="M299" s="72">
        <f t="shared" si="40"/>
        <v>4059572206.3389859</v>
      </c>
      <c r="N299" s="73">
        <f t="shared" si="41"/>
        <v>0.19340172077953854</v>
      </c>
      <c r="O299" s="74">
        <f t="shared" si="42"/>
        <v>-0.1851855266949971</v>
      </c>
      <c r="P299" s="74">
        <f t="shared" si="43"/>
        <v>3.4293679297303488E-2</v>
      </c>
    </row>
    <row r="300" spans="1:16" x14ac:dyDescent="0.3">
      <c r="A300">
        <f t="shared" si="44"/>
        <v>287</v>
      </c>
      <c r="C300" s="66">
        <v>18132344417</v>
      </c>
      <c r="D300" s="40" t="s">
        <v>349</v>
      </c>
      <c r="E300" s="66">
        <v>297400</v>
      </c>
      <c r="F300" s="68">
        <v>1.1896</v>
      </c>
      <c r="G300" s="80">
        <v>44589</v>
      </c>
      <c r="H300">
        <v>250000</v>
      </c>
      <c r="I300" s="71">
        <f t="shared" si="36"/>
        <v>-47400</v>
      </c>
      <c r="J300" s="72">
        <f t="shared" si="37"/>
        <v>2246760000</v>
      </c>
      <c r="K300" s="71">
        <f t="shared" si="38"/>
        <v>346714.77227722772</v>
      </c>
      <c r="L300" s="71">
        <f t="shared" si="39"/>
        <v>-96714.772277227719</v>
      </c>
      <c r="M300" s="72">
        <f t="shared" si="40"/>
        <v>9353747176.6360149</v>
      </c>
      <c r="N300" s="73">
        <f t="shared" si="41"/>
        <v>0.19430914127423826</v>
      </c>
      <c r="O300" s="74">
        <f t="shared" si="42"/>
        <v>-0.18609294718969682</v>
      </c>
      <c r="P300" s="74">
        <f t="shared" si="43"/>
        <v>3.4630584993747292E-2</v>
      </c>
    </row>
    <row r="301" spans="1:16" x14ac:dyDescent="0.3">
      <c r="A301">
        <f t="shared" si="44"/>
        <v>288</v>
      </c>
      <c r="C301" s="75">
        <v>18132243465</v>
      </c>
      <c r="D301" s="40" t="s">
        <v>349</v>
      </c>
      <c r="E301" s="75">
        <v>295100</v>
      </c>
      <c r="F301" s="76">
        <v>1.1937702265372168</v>
      </c>
      <c r="G301" s="80">
        <v>44286</v>
      </c>
      <c r="H301">
        <v>247200</v>
      </c>
      <c r="I301" s="71">
        <f t="shared" si="36"/>
        <v>-47900</v>
      </c>
      <c r="J301" s="72">
        <f t="shared" si="37"/>
        <v>2294410000</v>
      </c>
      <c r="K301" s="71">
        <f t="shared" si="38"/>
        <v>346714.77227722772</v>
      </c>
      <c r="L301" s="71">
        <f t="shared" si="39"/>
        <v>-99514.772277227719</v>
      </c>
      <c r="M301" s="72">
        <f t="shared" si="40"/>
        <v>9903189901.3884907</v>
      </c>
      <c r="N301" s="73">
        <f t="shared" si="41"/>
        <v>0.19847936781145503</v>
      </c>
      <c r="O301" s="74">
        <f t="shared" si="42"/>
        <v>-0.19026317372691359</v>
      </c>
      <c r="P301" s="74">
        <f t="shared" si="43"/>
        <v>3.6200075276637704E-2</v>
      </c>
    </row>
    <row r="302" spans="1:16" x14ac:dyDescent="0.3">
      <c r="A302">
        <f t="shared" si="44"/>
        <v>289</v>
      </c>
      <c r="C302" s="66">
        <v>18132322400</v>
      </c>
      <c r="D302" s="40" t="s">
        <v>349</v>
      </c>
      <c r="E302" s="66">
        <v>344400</v>
      </c>
      <c r="F302" s="68">
        <v>1.1979130434782608</v>
      </c>
      <c r="G302" s="80">
        <v>44589</v>
      </c>
      <c r="H302">
        <v>287500</v>
      </c>
      <c r="I302" s="71">
        <f t="shared" si="36"/>
        <v>-56900</v>
      </c>
      <c r="J302" s="72">
        <f t="shared" si="37"/>
        <v>3237610000</v>
      </c>
      <c r="K302" s="71">
        <f t="shared" si="38"/>
        <v>346714.77227722772</v>
      </c>
      <c r="L302" s="71">
        <f t="shared" si="39"/>
        <v>-59214.772277227719</v>
      </c>
      <c r="M302" s="72">
        <f t="shared" si="40"/>
        <v>3506389255.8439364</v>
      </c>
      <c r="N302" s="73">
        <f t="shared" si="41"/>
        <v>0.20262218475249905</v>
      </c>
      <c r="O302" s="74">
        <f t="shared" si="42"/>
        <v>-0.19440599066795761</v>
      </c>
      <c r="P302" s="74">
        <f t="shared" si="43"/>
        <v>3.779368920759002E-2</v>
      </c>
    </row>
    <row r="303" spans="1:16" x14ac:dyDescent="0.3">
      <c r="A303">
        <f t="shared" si="44"/>
        <v>290</v>
      </c>
      <c r="C303" s="75">
        <v>18132243453</v>
      </c>
      <c r="D303" s="40" t="s">
        <v>349</v>
      </c>
      <c r="E303" s="75">
        <v>339300</v>
      </c>
      <c r="F303" s="76">
        <v>1.2031914893617022</v>
      </c>
      <c r="G303" s="80">
        <v>45007</v>
      </c>
      <c r="H303">
        <v>282000</v>
      </c>
      <c r="I303" s="71">
        <f t="shared" si="36"/>
        <v>-57300</v>
      </c>
      <c r="J303" s="72">
        <f t="shared" si="37"/>
        <v>3283290000</v>
      </c>
      <c r="K303" s="71">
        <f t="shared" si="38"/>
        <v>346714.77227722772</v>
      </c>
      <c r="L303" s="71">
        <f t="shared" si="39"/>
        <v>-64714.772277227719</v>
      </c>
      <c r="M303" s="72">
        <f t="shared" si="40"/>
        <v>4188001750.8934412</v>
      </c>
      <c r="N303" s="73">
        <f t="shared" si="41"/>
        <v>0.20790063063594044</v>
      </c>
      <c r="O303" s="74">
        <f t="shared" si="42"/>
        <v>-0.199684436551399</v>
      </c>
      <c r="P303" s="74">
        <f t="shared" si="43"/>
        <v>3.9873874200849695E-2</v>
      </c>
    </row>
    <row r="304" spans="1:16" x14ac:dyDescent="0.3">
      <c r="A304">
        <f t="shared" si="44"/>
        <v>291</v>
      </c>
      <c r="C304" s="66">
        <v>18132344451</v>
      </c>
      <c r="D304" s="40" t="s">
        <v>349</v>
      </c>
      <c r="E304" s="66">
        <v>280300</v>
      </c>
      <c r="F304" s="68">
        <v>1.2030042918454935</v>
      </c>
      <c r="G304" s="80">
        <v>44403</v>
      </c>
      <c r="H304">
        <v>233000</v>
      </c>
      <c r="I304" s="71">
        <f t="shared" si="36"/>
        <v>-47300</v>
      </c>
      <c r="J304" s="72">
        <f t="shared" si="37"/>
        <v>2237290000</v>
      </c>
      <c r="K304" s="71">
        <f t="shared" si="38"/>
        <v>346714.77227722772</v>
      </c>
      <c r="L304" s="71">
        <f t="shared" si="39"/>
        <v>-113714.77227722772</v>
      </c>
      <c r="M304" s="72">
        <f t="shared" si="40"/>
        <v>12931049434.061758</v>
      </c>
      <c r="N304" s="73">
        <f t="shared" si="41"/>
        <v>0.20771343311973178</v>
      </c>
      <c r="O304" s="74">
        <f t="shared" si="42"/>
        <v>-0.19949723903519034</v>
      </c>
      <c r="P304" s="74">
        <f t="shared" si="43"/>
        <v>3.9799148382663872E-2</v>
      </c>
    </row>
    <row r="305" spans="1:16" x14ac:dyDescent="0.3">
      <c r="A305">
        <f t="shared" si="44"/>
        <v>292</v>
      </c>
      <c r="C305" s="75">
        <v>18132322463</v>
      </c>
      <c r="D305" s="40" t="s">
        <v>349</v>
      </c>
      <c r="E305" s="75">
        <v>369600</v>
      </c>
      <c r="F305" s="76">
        <v>1.2118032786885247</v>
      </c>
      <c r="G305" s="80">
        <v>44838</v>
      </c>
      <c r="H305">
        <v>305000</v>
      </c>
      <c r="I305" s="71">
        <f t="shared" si="36"/>
        <v>-64600</v>
      </c>
      <c r="J305" s="72">
        <f t="shared" si="37"/>
        <v>4173160000</v>
      </c>
      <c r="K305" s="71">
        <f t="shared" si="38"/>
        <v>346714.77227722772</v>
      </c>
      <c r="L305" s="71">
        <f t="shared" si="39"/>
        <v>-41714.772277227719</v>
      </c>
      <c r="M305" s="72">
        <f t="shared" si="40"/>
        <v>1740122226.1409662</v>
      </c>
      <c r="N305" s="73">
        <f t="shared" si="41"/>
        <v>0.21651241996276294</v>
      </c>
      <c r="O305" s="74">
        <f t="shared" si="42"/>
        <v>-0.2082962258782215</v>
      </c>
      <c r="P305" s="74">
        <f t="shared" si="43"/>
        <v>4.3387317715111069E-2</v>
      </c>
    </row>
    <row r="306" spans="1:16" x14ac:dyDescent="0.3">
      <c r="A306">
        <f t="shared" si="44"/>
        <v>293</v>
      </c>
      <c r="C306" s="66">
        <v>18132212442</v>
      </c>
      <c r="D306" s="40" t="s">
        <v>349</v>
      </c>
      <c r="E306" s="66">
        <v>414700</v>
      </c>
      <c r="F306" s="68">
        <v>1.237910447761194</v>
      </c>
      <c r="G306" s="80">
        <v>44257</v>
      </c>
      <c r="H306">
        <v>335000</v>
      </c>
      <c r="I306" s="71">
        <f t="shared" si="36"/>
        <v>-79700</v>
      </c>
      <c r="J306" s="72">
        <f t="shared" si="37"/>
        <v>6352090000</v>
      </c>
      <c r="K306" s="71">
        <f t="shared" si="38"/>
        <v>346714.77227722772</v>
      </c>
      <c r="L306" s="71">
        <f t="shared" si="39"/>
        <v>-11714.772277227719</v>
      </c>
      <c r="M306" s="72">
        <f t="shared" si="40"/>
        <v>137235889.50730312</v>
      </c>
      <c r="N306" s="73">
        <f t="shared" si="41"/>
        <v>0.24261958903543224</v>
      </c>
      <c r="O306" s="74">
        <f t="shared" si="42"/>
        <v>-0.2344033949508908</v>
      </c>
      <c r="P306" s="74">
        <f t="shared" si="43"/>
        <v>5.4944951564503297E-2</v>
      </c>
    </row>
    <row r="307" spans="1:16" x14ac:dyDescent="0.3">
      <c r="A307">
        <f t="shared" si="44"/>
        <v>294</v>
      </c>
      <c r="C307" s="75">
        <v>18132344491</v>
      </c>
      <c r="D307" s="40" t="s">
        <v>349</v>
      </c>
      <c r="E307" s="75">
        <v>272700</v>
      </c>
      <c r="F307" s="76">
        <v>1.2395454545454545</v>
      </c>
      <c r="G307" s="80">
        <v>44291</v>
      </c>
      <c r="H307">
        <v>220000</v>
      </c>
      <c r="I307" s="71">
        <f t="shared" si="36"/>
        <v>-52700</v>
      </c>
      <c r="J307" s="72">
        <f t="shared" si="37"/>
        <v>2777290000</v>
      </c>
      <c r="K307" s="71">
        <f t="shared" si="38"/>
        <v>346714.77227722772</v>
      </c>
      <c r="L307" s="71">
        <f t="shared" si="39"/>
        <v>-126714.77227722772</v>
      </c>
      <c r="M307" s="72">
        <f t="shared" si="40"/>
        <v>16056633513.269678</v>
      </c>
      <c r="N307" s="73">
        <f t="shared" si="41"/>
        <v>0.24425459581969278</v>
      </c>
      <c r="O307" s="74">
        <f t="shared" si="42"/>
        <v>-0.23603840173515134</v>
      </c>
      <c r="P307" s="74">
        <f t="shared" si="43"/>
        <v>5.5714127093684694E-2</v>
      </c>
    </row>
    <row r="308" spans="1:16" x14ac:dyDescent="0.3">
      <c r="A308">
        <f t="shared" si="44"/>
        <v>295</v>
      </c>
      <c r="C308" s="66">
        <v>18132322015</v>
      </c>
      <c r="D308" s="40" t="s">
        <v>349</v>
      </c>
      <c r="E308" s="66">
        <v>237300</v>
      </c>
      <c r="F308" s="68">
        <v>1.2489473684210526</v>
      </c>
      <c r="G308" s="80">
        <v>44853</v>
      </c>
      <c r="H308">
        <v>190000</v>
      </c>
      <c r="I308" s="71">
        <f t="shared" si="36"/>
        <v>-47300</v>
      </c>
      <c r="J308" s="72">
        <f t="shared" si="37"/>
        <v>2237290000</v>
      </c>
      <c r="K308" s="71">
        <f t="shared" si="38"/>
        <v>346714.77227722772</v>
      </c>
      <c r="L308" s="71">
        <f t="shared" si="39"/>
        <v>-156714.77227722772</v>
      </c>
      <c r="M308" s="72">
        <f t="shared" si="40"/>
        <v>24559519849.903343</v>
      </c>
      <c r="N308" s="73">
        <f t="shared" si="41"/>
        <v>0.25365650969529085</v>
      </c>
      <c r="O308" s="74">
        <f t="shared" si="42"/>
        <v>-0.24544031561074942</v>
      </c>
      <c r="P308" s="74">
        <f t="shared" si="43"/>
        <v>6.0240948527104286E-2</v>
      </c>
    </row>
    <row r="309" spans="1:16" x14ac:dyDescent="0.3">
      <c r="A309">
        <f t="shared" si="44"/>
        <v>296</v>
      </c>
      <c r="C309" s="75">
        <v>18132322473</v>
      </c>
      <c r="D309" s="40" t="s">
        <v>349</v>
      </c>
      <c r="E309" s="75">
        <v>298500</v>
      </c>
      <c r="F309" s="76">
        <v>1.2424557752341312</v>
      </c>
      <c r="G309" s="80">
        <v>45107</v>
      </c>
      <c r="H309">
        <v>240250</v>
      </c>
      <c r="I309" s="71">
        <f t="shared" si="36"/>
        <v>-58250</v>
      </c>
      <c r="J309" s="72">
        <f t="shared" si="37"/>
        <v>3393062500</v>
      </c>
      <c r="K309" s="71">
        <f t="shared" si="38"/>
        <v>346714.77227722772</v>
      </c>
      <c r="L309" s="71">
        <f t="shared" si="39"/>
        <v>-106464.77227722772</v>
      </c>
      <c r="M309" s="72">
        <f t="shared" si="40"/>
        <v>11334747736.041956</v>
      </c>
      <c r="N309" s="73">
        <f t="shared" si="41"/>
        <v>0.24716491650836947</v>
      </c>
      <c r="O309" s="74">
        <f t="shared" si="42"/>
        <v>-0.23894872242382803</v>
      </c>
      <c r="P309" s="74">
        <f t="shared" si="43"/>
        <v>5.7096491947979618E-2</v>
      </c>
    </row>
    <row r="310" spans="1:16" x14ac:dyDescent="0.3">
      <c r="A310">
        <f t="shared" si="44"/>
        <v>297</v>
      </c>
      <c r="C310" s="66">
        <v>18132213024</v>
      </c>
      <c r="D310" s="40" t="s">
        <v>349</v>
      </c>
      <c r="E310" s="66">
        <v>349900</v>
      </c>
      <c r="F310" s="68">
        <v>1.2622655122655122</v>
      </c>
      <c r="G310" s="80">
        <v>44371</v>
      </c>
      <c r="H310">
        <v>277200</v>
      </c>
      <c r="I310" s="71">
        <f t="shared" si="36"/>
        <v>-72700</v>
      </c>
      <c r="J310" s="72">
        <f t="shared" si="37"/>
        <v>5285290000</v>
      </c>
      <c r="K310" s="71">
        <f t="shared" si="38"/>
        <v>346714.77227722772</v>
      </c>
      <c r="L310" s="71">
        <f t="shared" si="39"/>
        <v>-69514.772277227719</v>
      </c>
      <c r="M310" s="72">
        <f t="shared" si="40"/>
        <v>4832303564.7548275</v>
      </c>
      <c r="N310" s="73">
        <f t="shared" si="41"/>
        <v>0.26697465353975047</v>
      </c>
      <c r="O310" s="74">
        <f t="shared" si="42"/>
        <v>-0.25875845945520903</v>
      </c>
      <c r="P310" s="74">
        <f t="shared" si="43"/>
        <v>6.6955940339633063E-2</v>
      </c>
    </row>
    <row r="311" spans="1:16" x14ac:dyDescent="0.3">
      <c r="A311">
        <f t="shared" si="44"/>
        <v>298</v>
      </c>
      <c r="C311" s="75">
        <v>18132341011</v>
      </c>
      <c r="D311" s="40" t="s">
        <v>349</v>
      </c>
      <c r="E311" s="75">
        <v>583100</v>
      </c>
      <c r="F311" s="76">
        <v>1.2676086956521739</v>
      </c>
      <c r="G311" s="80">
        <v>44540</v>
      </c>
      <c r="H311">
        <v>460000</v>
      </c>
      <c r="I311" s="71">
        <f t="shared" si="36"/>
        <v>-123100</v>
      </c>
      <c r="J311" s="72">
        <f t="shared" si="37"/>
        <v>15153610000</v>
      </c>
      <c r="K311" s="71">
        <f t="shared" si="38"/>
        <v>346714.77227722772</v>
      </c>
      <c r="L311" s="71">
        <f t="shared" si="39"/>
        <v>113285.22772277228</v>
      </c>
      <c r="M311" s="72">
        <f t="shared" si="40"/>
        <v>12833542820.200373</v>
      </c>
      <c r="N311" s="73">
        <f t="shared" si="41"/>
        <v>0.2723178369264122</v>
      </c>
      <c r="O311" s="74">
        <f t="shared" si="42"/>
        <v>-0.26410164284187077</v>
      </c>
      <c r="P311" s="74">
        <f t="shared" si="43"/>
        <v>6.9749677751775069E-2</v>
      </c>
    </row>
    <row r="312" spans="1:16" x14ac:dyDescent="0.3">
      <c r="A312">
        <f t="shared" si="44"/>
        <v>299</v>
      </c>
      <c r="C312" s="66">
        <v>18132213005</v>
      </c>
      <c r="D312" s="40" t="s">
        <v>349</v>
      </c>
      <c r="E312" s="66">
        <v>291200</v>
      </c>
      <c r="F312" s="68">
        <v>1.2660869565217392</v>
      </c>
      <c r="G312" s="80">
        <v>44266</v>
      </c>
      <c r="H312">
        <v>230000</v>
      </c>
      <c r="I312" s="71">
        <f t="shared" si="36"/>
        <v>-61200</v>
      </c>
      <c r="J312" s="72">
        <f t="shared" si="37"/>
        <v>3745440000</v>
      </c>
      <c r="K312" s="71">
        <f t="shared" si="38"/>
        <v>346714.77227722772</v>
      </c>
      <c r="L312" s="71">
        <f t="shared" si="39"/>
        <v>-116714.77227722772</v>
      </c>
      <c r="M312" s="72">
        <f t="shared" si="40"/>
        <v>13622338067.725124</v>
      </c>
      <c r="N312" s="73">
        <f t="shared" si="41"/>
        <v>0.27079609779597746</v>
      </c>
      <c r="O312" s="74">
        <f t="shared" si="42"/>
        <v>-0.26257990371143602</v>
      </c>
      <c r="P312" s="74">
        <f t="shared" si="43"/>
        <v>6.8948205833107012E-2</v>
      </c>
    </row>
    <row r="313" spans="1:16" x14ac:dyDescent="0.3">
      <c r="A313">
        <f t="shared" si="44"/>
        <v>300</v>
      </c>
      <c r="C313" s="75">
        <v>18132344044</v>
      </c>
      <c r="D313" s="40" t="s">
        <v>349</v>
      </c>
      <c r="E313" s="75">
        <v>385400</v>
      </c>
      <c r="F313" s="76">
        <v>1.2889632107023412</v>
      </c>
      <c r="G313" s="80">
        <v>44552</v>
      </c>
      <c r="H313">
        <v>299000</v>
      </c>
      <c r="I313" s="71">
        <f t="shared" si="36"/>
        <v>-86400</v>
      </c>
      <c r="J313" s="72">
        <f t="shared" si="37"/>
        <v>7464960000</v>
      </c>
      <c r="K313" s="71">
        <f t="shared" si="38"/>
        <v>346714.77227722772</v>
      </c>
      <c r="L313" s="71">
        <f t="shared" si="39"/>
        <v>-47714.772277227719</v>
      </c>
      <c r="M313" s="72">
        <f t="shared" si="40"/>
        <v>2276699493.4676991</v>
      </c>
      <c r="N313" s="73">
        <f t="shared" si="41"/>
        <v>0.29367235197657948</v>
      </c>
      <c r="O313" s="74">
        <f t="shared" si="42"/>
        <v>-0.28545615789203804</v>
      </c>
      <c r="P313" s="74">
        <f t="shared" si="43"/>
        <v>8.1485218078484148E-2</v>
      </c>
    </row>
    <row r="314" spans="1:16" x14ac:dyDescent="0.3">
      <c r="A314">
        <f t="shared" si="44"/>
        <v>301</v>
      </c>
      <c r="C314" s="66">
        <v>18132322454</v>
      </c>
      <c r="D314" s="40" t="s">
        <v>349</v>
      </c>
      <c r="E314" s="66">
        <v>295500</v>
      </c>
      <c r="F314" s="68">
        <v>1.2847826086956522</v>
      </c>
      <c r="G314" s="80">
        <v>45119</v>
      </c>
      <c r="H314">
        <v>230000</v>
      </c>
      <c r="I314" s="71">
        <f t="shared" si="36"/>
        <v>-65500</v>
      </c>
      <c r="J314" s="72">
        <f t="shared" si="37"/>
        <v>4290250000</v>
      </c>
      <c r="K314" s="71">
        <f t="shared" si="38"/>
        <v>346714.77227722772</v>
      </c>
      <c r="L314" s="71">
        <f t="shared" si="39"/>
        <v>-116714.77227722772</v>
      </c>
      <c r="M314" s="72">
        <f t="shared" si="40"/>
        <v>13622338067.725124</v>
      </c>
      <c r="N314" s="73">
        <f t="shared" si="41"/>
        <v>0.28949174996989047</v>
      </c>
      <c r="O314" s="74">
        <f t="shared" si="42"/>
        <v>-0.28127555588534903</v>
      </c>
      <c r="P314" s="74">
        <f t="shared" si="43"/>
        <v>7.9115938338612107E-2</v>
      </c>
    </row>
    <row r="315" spans="1:16" x14ac:dyDescent="0.3">
      <c r="A315">
        <f t="shared" si="44"/>
        <v>302</v>
      </c>
      <c r="C315" s="75">
        <v>18132322446</v>
      </c>
      <c r="D315" s="40" t="s">
        <v>349</v>
      </c>
      <c r="E315" s="75">
        <v>308500</v>
      </c>
      <c r="F315" s="76">
        <v>1.3127659574468085</v>
      </c>
      <c r="G315" s="80">
        <v>44449</v>
      </c>
      <c r="H315">
        <v>235000</v>
      </c>
      <c r="I315" s="71">
        <f t="shared" si="36"/>
        <v>-73500</v>
      </c>
      <c r="J315" s="72">
        <f t="shared" si="37"/>
        <v>5402250000</v>
      </c>
      <c r="K315" s="71">
        <f t="shared" si="38"/>
        <v>346714.77227722772</v>
      </c>
      <c r="L315" s="71">
        <f t="shared" si="39"/>
        <v>-111714.77227722772</v>
      </c>
      <c r="M315" s="72">
        <f t="shared" si="40"/>
        <v>12480190344.952847</v>
      </c>
      <c r="N315" s="73">
        <f t="shared" si="41"/>
        <v>0.31747509872104673</v>
      </c>
      <c r="O315" s="74">
        <f t="shared" si="42"/>
        <v>-0.30925890463650529</v>
      </c>
      <c r="P315" s="74">
        <f t="shared" si="43"/>
        <v>9.5641070096971079E-2</v>
      </c>
    </row>
    <row r="316" spans="1:16" x14ac:dyDescent="0.3">
      <c r="A316">
        <f t="shared" si="44"/>
        <v>303</v>
      </c>
      <c r="C316" s="66">
        <v>18132332449</v>
      </c>
      <c r="D316" s="40" t="s">
        <v>349</v>
      </c>
      <c r="E316" s="66">
        <v>286900</v>
      </c>
      <c r="F316" s="68">
        <v>1.3344186046511628</v>
      </c>
      <c r="G316" s="80">
        <v>44760</v>
      </c>
      <c r="H316">
        <v>215000</v>
      </c>
      <c r="I316" s="71">
        <f t="shared" si="36"/>
        <v>-71900</v>
      </c>
      <c r="J316" s="72">
        <f t="shared" si="37"/>
        <v>5169610000</v>
      </c>
      <c r="K316" s="71">
        <f t="shared" si="38"/>
        <v>346714.77227722772</v>
      </c>
      <c r="L316" s="71">
        <f t="shared" si="39"/>
        <v>-131714.77227722772</v>
      </c>
      <c r="M316" s="72">
        <f t="shared" si="40"/>
        <v>17348781236.041954</v>
      </c>
      <c r="N316" s="73">
        <f t="shared" si="41"/>
        <v>0.33912774592540107</v>
      </c>
      <c r="O316" s="74">
        <f t="shared" si="42"/>
        <v>-0.33091155184085963</v>
      </c>
      <c r="P316" s="74">
        <f t="shared" si="43"/>
        <v>0.10950245514172594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C8684-5320-481F-BCBB-53795BDF199A}">
  <dimension ref="A1:DB56"/>
  <sheetViews>
    <sheetView workbookViewId="0"/>
  </sheetViews>
  <sheetFormatPr defaultRowHeight="14.4" x14ac:dyDescent="0.3"/>
  <cols>
    <col min="2" max="2" width="12" bestFit="1" customWidth="1"/>
  </cols>
  <sheetData>
    <row r="1" spans="1:105" ht="57.6" x14ac:dyDescent="0.3">
      <c r="A1" t="s">
        <v>121</v>
      </c>
      <c r="B1" t="s">
        <v>407</v>
      </c>
      <c r="C1" t="s">
        <v>264</v>
      </c>
      <c r="D1" t="s">
        <v>345</v>
      </c>
      <c r="E1" t="s">
        <v>0</v>
      </c>
      <c r="F1" t="s">
        <v>122</v>
      </c>
      <c r="G1" t="s">
        <v>320</v>
      </c>
      <c r="H1" t="s">
        <v>90</v>
      </c>
      <c r="I1" t="s">
        <v>57</v>
      </c>
      <c r="J1" t="s">
        <v>321</v>
      </c>
      <c r="K1" t="s">
        <v>168</v>
      </c>
      <c r="L1" t="s">
        <v>21</v>
      </c>
      <c r="M1" t="s">
        <v>169</v>
      </c>
      <c r="N1" t="s">
        <v>265</v>
      </c>
      <c r="O1" t="s">
        <v>123</v>
      </c>
      <c r="P1" t="s">
        <v>58</v>
      </c>
      <c r="Q1" t="s">
        <v>145</v>
      </c>
      <c r="R1" t="s">
        <v>377</v>
      </c>
      <c r="S1" t="s">
        <v>91</v>
      </c>
      <c r="T1" t="s">
        <v>408</v>
      </c>
      <c r="U1" t="s">
        <v>22</v>
      </c>
      <c r="V1" t="s">
        <v>236</v>
      </c>
      <c r="W1" t="s">
        <v>202</v>
      </c>
      <c r="X1" t="s">
        <v>378</v>
      </c>
      <c r="Y1" t="s">
        <v>237</v>
      </c>
      <c r="Z1" t="s">
        <v>1</v>
      </c>
      <c r="AA1" t="s">
        <v>59</v>
      </c>
      <c r="AB1" t="s">
        <v>124</v>
      </c>
      <c r="AC1" t="s">
        <v>238</v>
      </c>
      <c r="AD1" t="s">
        <v>170</v>
      </c>
      <c r="AE1" t="s">
        <v>203</v>
      </c>
      <c r="AF1" t="s">
        <v>447</v>
      </c>
      <c r="AG1" t="s">
        <v>23</v>
      </c>
      <c r="AH1" t="s">
        <v>346</v>
      </c>
      <c r="AI1" t="s">
        <v>60</v>
      </c>
      <c r="AJ1" t="s">
        <v>295</v>
      </c>
      <c r="AK1" t="s">
        <v>409</v>
      </c>
      <c r="AL1" t="s">
        <v>322</v>
      </c>
      <c r="AM1" t="s">
        <v>296</v>
      </c>
      <c r="AN1" t="s">
        <v>24</v>
      </c>
      <c r="AO1" t="s">
        <v>125</v>
      </c>
      <c r="AP1" t="s">
        <v>379</v>
      </c>
      <c r="AQ1" t="s">
        <v>92</v>
      </c>
      <c r="AR1" t="s">
        <v>410</v>
      </c>
      <c r="AS1" t="s">
        <v>347</v>
      </c>
      <c r="AT1" t="s">
        <v>266</v>
      </c>
      <c r="AU1" t="s">
        <v>25</v>
      </c>
      <c r="AV1" t="s">
        <v>239</v>
      </c>
      <c r="AW1" t="s">
        <v>2</v>
      </c>
      <c r="AX1" t="s">
        <v>411</v>
      </c>
      <c r="AY1" t="s">
        <v>26</v>
      </c>
      <c r="AZ1" t="s">
        <v>412</v>
      </c>
      <c r="BA1" t="s">
        <v>61</v>
      </c>
      <c r="BB1" t="s">
        <v>171</v>
      </c>
      <c r="BC1" t="s">
        <v>380</v>
      </c>
      <c r="BD1" t="s">
        <v>413</v>
      </c>
      <c r="BE1" t="s">
        <v>414</v>
      </c>
      <c r="BF1" t="s">
        <v>27</v>
      </c>
      <c r="BG1" t="s">
        <v>297</v>
      </c>
      <c r="BH1" t="s">
        <v>298</v>
      </c>
      <c r="BI1" t="s">
        <v>3</v>
      </c>
      <c r="BJ1" t="s">
        <v>93</v>
      </c>
      <c r="BK1" t="s">
        <v>62</v>
      </c>
      <c r="BL1" t="s">
        <v>94</v>
      </c>
      <c r="BM1" t="s">
        <v>240</v>
      </c>
      <c r="BN1" t="s">
        <v>172</v>
      </c>
      <c r="BO1" t="s">
        <v>267</v>
      </c>
      <c r="BP1" t="s">
        <v>348</v>
      </c>
      <c r="BQ1" t="s">
        <v>204</v>
      </c>
      <c r="BR1" s="10" t="s">
        <v>493</v>
      </c>
      <c r="BS1" s="10" t="s">
        <v>494</v>
      </c>
      <c r="BT1" s="10" t="s">
        <v>495</v>
      </c>
      <c r="BU1" s="10" t="s">
        <v>496</v>
      </c>
      <c r="BV1" s="10" t="s">
        <v>497</v>
      </c>
      <c r="BW1" s="10" t="s">
        <v>498</v>
      </c>
      <c r="BX1" s="10" t="s">
        <v>499</v>
      </c>
      <c r="BY1" s="10" t="s">
        <v>500</v>
      </c>
      <c r="BZ1" s="10" t="s">
        <v>501</v>
      </c>
      <c r="CA1" s="10" t="s">
        <v>502</v>
      </c>
      <c r="CB1" s="10" t="s">
        <v>527</v>
      </c>
      <c r="CC1" s="10" t="s">
        <v>503</v>
      </c>
      <c r="CD1" s="10" t="s">
        <v>528</v>
      </c>
      <c r="CE1" s="10" t="s">
        <v>504</v>
      </c>
      <c r="CF1" s="10" t="s">
        <v>505</v>
      </c>
      <c r="CG1" s="10" t="s">
        <v>506</v>
      </c>
      <c r="CH1" s="10" t="s">
        <v>507</v>
      </c>
      <c r="CI1" s="10" t="s">
        <v>508</v>
      </c>
      <c r="CJ1" s="11" t="s">
        <v>509</v>
      </c>
      <c r="CK1" s="11" t="s">
        <v>510</v>
      </c>
      <c r="CL1" s="10" t="s">
        <v>511</v>
      </c>
      <c r="CM1" s="10" t="s">
        <v>512</v>
      </c>
      <c r="CN1" s="10" t="s">
        <v>513</v>
      </c>
      <c r="CO1" s="10" t="s">
        <v>514</v>
      </c>
      <c r="CP1" s="10" t="s">
        <v>515</v>
      </c>
      <c r="CQ1" s="10" t="s">
        <v>516</v>
      </c>
      <c r="CR1" s="10" t="s">
        <v>517</v>
      </c>
      <c r="CS1" s="10" t="s">
        <v>518</v>
      </c>
      <c r="CT1" s="10" t="s">
        <v>519</v>
      </c>
      <c r="CU1" s="10" t="s">
        <v>520</v>
      </c>
      <c r="CV1" s="10" t="s">
        <v>521</v>
      </c>
      <c r="CW1" s="10" t="s">
        <v>522</v>
      </c>
      <c r="CX1" s="11" t="s">
        <v>523</v>
      </c>
      <c r="CY1" s="11" t="s">
        <v>524</v>
      </c>
      <c r="CZ1" s="11" t="s">
        <v>525</v>
      </c>
      <c r="DA1" s="11" t="s">
        <v>526</v>
      </c>
    </row>
    <row r="2" spans="1:105" x14ac:dyDescent="0.3">
      <c r="A2">
        <v>2025</v>
      </c>
      <c r="B2" s="2">
        <v>18132323020</v>
      </c>
      <c r="C2">
        <v>-2.0402208285265546</v>
      </c>
      <c r="D2">
        <v>0.13</v>
      </c>
      <c r="E2">
        <v>5500</v>
      </c>
      <c r="F2">
        <v>6</v>
      </c>
      <c r="G2" t="s">
        <v>126</v>
      </c>
      <c r="H2">
        <v>3033</v>
      </c>
      <c r="I2" t="s">
        <v>349</v>
      </c>
      <c r="J2" t="s">
        <v>30</v>
      </c>
      <c r="K2">
        <v>11</v>
      </c>
      <c r="L2">
        <v>259</v>
      </c>
      <c r="M2" t="s">
        <v>242</v>
      </c>
      <c r="N2" t="s">
        <v>449</v>
      </c>
      <c r="O2" t="s">
        <v>323</v>
      </c>
      <c r="P2">
        <v>70</v>
      </c>
      <c r="Q2">
        <v>1945</v>
      </c>
      <c r="R2">
        <v>1972</v>
      </c>
      <c r="S2">
        <v>79</v>
      </c>
      <c r="T2">
        <v>52</v>
      </c>
      <c r="U2">
        <v>1</v>
      </c>
      <c r="V2">
        <v>784</v>
      </c>
      <c r="W2">
        <v>0</v>
      </c>
      <c r="X2">
        <v>0</v>
      </c>
      <c r="Y2">
        <v>596</v>
      </c>
      <c r="Z2">
        <v>596</v>
      </c>
      <c r="AA2">
        <v>0</v>
      </c>
      <c r="AB2">
        <v>784</v>
      </c>
      <c r="AC2">
        <v>1000</v>
      </c>
      <c r="AD2">
        <v>0</v>
      </c>
      <c r="AF2" t="s">
        <v>384</v>
      </c>
      <c r="AG2" t="s">
        <v>382</v>
      </c>
      <c r="AI2">
        <v>0</v>
      </c>
      <c r="AJ2">
        <v>0</v>
      </c>
      <c r="AK2">
        <v>0</v>
      </c>
      <c r="AL2">
        <v>0</v>
      </c>
      <c r="AM2">
        <v>0</v>
      </c>
      <c r="AN2">
        <v>5</v>
      </c>
      <c r="AO2">
        <v>0</v>
      </c>
      <c r="AP2">
        <v>0</v>
      </c>
      <c r="AQ2">
        <v>0</v>
      </c>
      <c r="AR2">
        <v>0</v>
      </c>
      <c r="AS2">
        <v>240</v>
      </c>
      <c r="AT2">
        <v>240</v>
      </c>
      <c r="AU2">
        <v>100</v>
      </c>
      <c r="AV2">
        <v>100</v>
      </c>
      <c r="AW2">
        <v>120738</v>
      </c>
      <c r="AX2">
        <v>83309</v>
      </c>
      <c r="AY2">
        <v>293</v>
      </c>
      <c r="AZ2">
        <v>293</v>
      </c>
      <c r="BA2">
        <v>0</v>
      </c>
      <c r="BB2">
        <v>0</v>
      </c>
      <c r="BC2" s="3">
        <v>44999</v>
      </c>
      <c r="BD2" t="s">
        <v>245</v>
      </c>
      <c r="BE2">
        <v>241000</v>
      </c>
      <c r="BF2">
        <v>233630</v>
      </c>
      <c r="BG2" t="s">
        <v>294</v>
      </c>
      <c r="BH2">
        <v>30</v>
      </c>
      <c r="BI2" t="s">
        <v>65</v>
      </c>
      <c r="BJ2" t="s">
        <v>450</v>
      </c>
      <c r="BK2">
        <v>225300</v>
      </c>
      <c r="BL2">
        <v>43400</v>
      </c>
      <c r="BM2">
        <v>181900</v>
      </c>
      <c r="BN2">
        <v>7370</v>
      </c>
      <c r="BO2">
        <v>0.93485477178423237</v>
      </c>
      <c r="BR2" s="12">
        <f>(Sales[[#This Row],[DP1]]*Lookups!$B$59)+(Sales[[#This Row],[DP2]]*Lookups!$B$60)+(Sales[[#This Row],[DP3]]*Lookups!$B$61)</f>
        <v>-19615.178646460001</v>
      </c>
      <c r="BS2" s="12">
        <f>Lookups!$B$56*0.5</f>
        <v>44925.312794999998</v>
      </c>
      <c r="BT2" s="12">
        <f>Lookups!$B$56*0.5</f>
        <v>44925.312794999998</v>
      </c>
      <c r="BU2" s="12">
        <f>Lookups!$B$57*Sales[[#This Row],[LnAcres]]</f>
        <v>-64582.406353792743</v>
      </c>
      <c r="BV2" s="12">
        <f>VLOOKUP(Sales[[#This Row],[Qlty]],Lookups!$A$62:$E$75,2,FALSE)</f>
        <v>21557.329055999999</v>
      </c>
      <c r="BW2" s="12">
        <f>VLOOKUP(Sales[[#This Row],[Cnd]],Lookups!$A$76:$E$84,2,FALSE)</f>
        <v>354070.39217000001</v>
      </c>
      <c r="BX2" s="12">
        <f>Sales[[#This Row],[EffAge]]*Lookups!$B$85</f>
        <v>-223.04560050000001</v>
      </c>
      <c r="BY2" s="12">
        <f>Sales[[#This Row],[MainFn]]*Lookups!$B$86</f>
        <v>63638.366801576005</v>
      </c>
      <c r="BZ2" s="12">
        <f>Sales[[#This Row],[UpprFn]]*Lookups!$B$87</f>
        <v>0</v>
      </c>
      <c r="CA2" s="12">
        <f>Sales[[#This Row],[AddFn]]*Lookups!$B$88</f>
        <v>0</v>
      </c>
      <c r="CB2" s="12">
        <f>Sales[[#This Row],[Bsmt]]*Lookups!$B$89</f>
        <v>0</v>
      </c>
      <c r="CC2" s="12">
        <f>Sales[[#This Row],[Fixtures]]*Lookups!$B$90</f>
        <v>30336.176841600001</v>
      </c>
      <c r="CD2" s="12">
        <f>Sales[[#This Row],[WdDeck]]*Lookups!$B$91</f>
        <v>0</v>
      </c>
      <c r="CE2" s="12">
        <f>SUM(Sales[[#This Row],[Days Prior Total]:[Mdl WdDeck]])</f>
        <v>475032.2598584232</v>
      </c>
      <c r="CF2" s="12">
        <f>ROUND(Sales[[#This Row],[25Det]],-2)</f>
        <v>0</v>
      </c>
      <c r="CG2" s="12">
        <f>ROUND(SUM(Sales[[#This Row],[Mdl Qlty]:[Mdl WdDeck]])+Sales[[#This Row],[Mdl Res Intercept]]+Sales[[#This Row],[Days Prior Total]],-2)</f>
        <v>449800</v>
      </c>
      <c r="CH2" s="12">
        <f>ROUND(Sales[[#This Row],[Mdl Land Intercept]]+Sales[[#This Row],[Mdl LnAcres]],-2)</f>
        <v>25300</v>
      </c>
      <c r="CI2" s="12">
        <f>Sales[[#This Row],[Unadj Res Value]]+Sales[[#This Row],[Unadj Det Value]]+Sales[[#This Row],[Unadj Land Value]]</f>
        <v>475100</v>
      </c>
      <c r="CJ2" s="13">
        <f>Sales[[#This Row],[Price]]/Sales[[#This Row],[Unadj Total Value]]</f>
        <v>0.62092191117659445</v>
      </c>
      <c r="CK2" s="13">
        <f>(Sales[[#This Row],[Unadj Total Value]]-Sales[[#This Row],[24Final]])/Sales[[#This Row],[24Final]]</f>
        <v>0.42544254425442546</v>
      </c>
      <c r="CL2" t="e">
        <v>#REF!</v>
      </c>
      <c r="CM2" t="e">
        <v>#REF!</v>
      </c>
      <c r="CN2" t="e">
        <v>#REF!</v>
      </c>
      <c r="CO2" t="e">
        <v>#REF!</v>
      </c>
      <c r="CP2" t="e">
        <v>#REF!</v>
      </c>
      <c r="CQ2" t="e">
        <v>#REF!</v>
      </c>
      <c r="CR2" t="e">
        <v>#REF!</v>
      </c>
      <c r="CS2" t="e">
        <v>#REF!</v>
      </c>
      <c r="CT2" t="e">
        <v>#REF!</v>
      </c>
      <c r="CU2" t="e">
        <v>#REF!</v>
      </c>
      <c r="CV2" t="e">
        <v>#REF!</v>
      </c>
      <c r="CW2" t="e">
        <v>#REF!</v>
      </c>
      <c r="CX2" s="15">
        <v>0</v>
      </c>
      <c r="CY2" s="15" t="e">
        <v>#REF!</v>
      </c>
      <c r="CZ2" s="15" t="e">
        <v>#REF!</v>
      </c>
      <c r="DA2" s="15" t="e">
        <v>#REF!</v>
      </c>
    </row>
    <row r="3" spans="1:105" x14ac:dyDescent="0.3">
      <c r="A3">
        <v>2025</v>
      </c>
      <c r="B3" s="2">
        <v>18132342477</v>
      </c>
      <c r="C3">
        <v>-1.4696759700589417</v>
      </c>
      <c r="D3">
        <v>0.23</v>
      </c>
      <c r="E3">
        <v>10174</v>
      </c>
      <c r="F3">
        <v>6</v>
      </c>
      <c r="G3" t="s">
        <v>126</v>
      </c>
      <c r="H3">
        <v>3032</v>
      </c>
      <c r="I3" t="s">
        <v>349</v>
      </c>
      <c r="J3" t="s">
        <v>30</v>
      </c>
      <c r="K3">
        <v>11</v>
      </c>
      <c r="L3">
        <v>259</v>
      </c>
      <c r="M3" t="s">
        <v>417</v>
      </c>
      <c r="N3" t="s">
        <v>64</v>
      </c>
      <c r="O3" t="s">
        <v>323</v>
      </c>
      <c r="P3">
        <v>90</v>
      </c>
      <c r="Q3">
        <v>1930</v>
      </c>
      <c r="R3">
        <v>1970</v>
      </c>
      <c r="S3">
        <v>94</v>
      </c>
      <c r="T3">
        <v>54</v>
      </c>
      <c r="U3">
        <v>2</v>
      </c>
      <c r="V3">
        <v>1830</v>
      </c>
      <c r="W3">
        <v>1598</v>
      </c>
      <c r="X3">
        <v>0</v>
      </c>
      <c r="Y3">
        <v>1130</v>
      </c>
      <c r="Z3">
        <v>630</v>
      </c>
      <c r="AA3">
        <v>500</v>
      </c>
      <c r="AB3">
        <v>3928</v>
      </c>
      <c r="AC3">
        <v>4000</v>
      </c>
      <c r="AD3">
        <v>0</v>
      </c>
      <c r="AF3" t="s">
        <v>383</v>
      </c>
      <c r="AG3" t="s">
        <v>148</v>
      </c>
      <c r="AH3" t="s">
        <v>450</v>
      </c>
      <c r="AI3">
        <v>1</v>
      </c>
      <c r="AJ3">
        <v>3</v>
      </c>
      <c r="AK3">
        <v>0</v>
      </c>
      <c r="AL3">
        <v>2</v>
      </c>
      <c r="AM3">
        <v>1</v>
      </c>
      <c r="AN3">
        <v>20</v>
      </c>
      <c r="AO3">
        <v>0</v>
      </c>
      <c r="AP3">
        <v>0</v>
      </c>
      <c r="AQ3">
        <v>483</v>
      </c>
      <c r="AR3">
        <v>372</v>
      </c>
      <c r="AS3">
        <v>483</v>
      </c>
      <c r="AT3">
        <v>0</v>
      </c>
      <c r="AU3">
        <v>100</v>
      </c>
      <c r="AV3">
        <v>100</v>
      </c>
      <c r="AW3">
        <v>827745</v>
      </c>
      <c r="AX3">
        <v>562867</v>
      </c>
      <c r="AY3">
        <v>826</v>
      </c>
      <c r="AZ3">
        <v>365</v>
      </c>
      <c r="BA3">
        <v>365</v>
      </c>
      <c r="BB3">
        <v>96</v>
      </c>
      <c r="BC3" s="3">
        <v>44466</v>
      </c>
      <c r="BD3" t="s">
        <v>120</v>
      </c>
      <c r="BE3">
        <v>567000</v>
      </c>
      <c r="BF3">
        <v>567000</v>
      </c>
      <c r="BG3" t="s">
        <v>294</v>
      </c>
      <c r="BH3">
        <v>30</v>
      </c>
      <c r="BI3" t="s">
        <v>65</v>
      </c>
      <c r="BJ3" t="s">
        <v>450</v>
      </c>
      <c r="BK3">
        <v>546500</v>
      </c>
      <c r="BL3">
        <v>63300</v>
      </c>
      <c r="BM3">
        <v>483200</v>
      </c>
      <c r="BN3">
        <v>0</v>
      </c>
      <c r="BO3">
        <v>0.96384479717813054</v>
      </c>
      <c r="BP3">
        <v>604317.19228411338</v>
      </c>
      <c r="BQ3">
        <v>638716.86081353319</v>
      </c>
      <c r="BR3" s="12">
        <f>(Sales[[#This Row],[DP1]]*Lookups!$B$59)+(Sales[[#This Row],[DP2]]*Lookups!$B$60)+(Sales[[#This Row],[DP3]]*Lookups!$B$61)</f>
        <v>-48975.335239570006</v>
      </c>
      <c r="BS3" s="12">
        <f>Lookups!$B$56*0.5</f>
        <v>44925.312794999998</v>
      </c>
      <c r="BT3" s="12">
        <f>Lookups!$B$56*0.5</f>
        <v>44925.312794999998</v>
      </c>
      <c r="BU3" s="12">
        <f>Lookups!$B$57*Sales[[#This Row],[LnAcres]]</f>
        <v>-54281.285314520763</v>
      </c>
      <c r="BV3" s="12">
        <f>VLOOKUP(Sales[[#This Row],[Qlty]],Lookups!$A$62:$E$75,2,FALSE)</f>
        <v>44121.038090000002</v>
      </c>
      <c r="BW3" s="12">
        <f>VLOOKUP(Sales[[#This Row],[Cnd]],Lookups!$A$76:$E$84,2,FALSE)</f>
        <v>354070.39217000001</v>
      </c>
      <c r="BX3" s="12">
        <f>Sales[[#This Row],[EffAge]]*Lookups!$B$85</f>
        <v>-1115.2280025</v>
      </c>
      <c r="BY3" s="12">
        <f>Sales[[#This Row],[MainFn]]*Lookups!$B$86</f>
        <v>76286.986290087996</v>
      </c>
      <c r="BZ3" s="12">
        <f>Sales[[#This Row],[UpprFn]]*Lookups!$B$87</f>
        <v>13615.072549744</v>
      </c>
      <c r="CA3" s="12">
        <f>Sales[[#This Row],[AddFn]]*Lookups!$B$88</f>
        <v>0</v>
      </c>
      <c r="CB3" s="12">
        <f>Sales[[#This Row],[Bsmt]]*Lookups!$B$89</f>
        <v>14889.930366463999</v>
      </c>
      <c r="CC3" s="12">
        <f>Sales[[#This Row],[Fixtures]]*Lookups!$B$90</f>
        <v>45504.265262400004</v>
      </c>
      <c r="CD3" s="12">
        <f>Sales[[#This Row],[WdDeck]]*Lookups!$B$91</f>
        <v>0</v>
      </c>
      <c r="CE3" s="12">
        <f>SUM(Sales[[#This Row],[Days Prior Total]:[Mdl WdDeck]])</f>
        <v>533966.46176210523</v>
      </c>
      <c r="CF3" s="12">
        <f>ROUND(Sales[[#This Row],[25Det]],-2)</f>
        <v>10100</v>
      </c>
      <c r="CG3" s="12">
        <f>ROUND(SUM(Sales[[#This Row],[Mdl Qlty]:[Mdl WdDeck]])+Sales[[#This Row],[Mdl Res Intercept]]+Sales[[#This Row],[Days Prior Total]],-2)</f>
        <v>498400</v>
      </c>
      <c r="CH3" s="12">
        <f>ROUND(Sales[[#This Row],[Mdl Land Intercept]]+Sales[[#This Row],[Mdl LnAcres]],-2)</f>
        <v>35600</v>
      </c>
      <c r="CI3" s="12">
        <f>Sales[[#This Row],[Unadj Res Value]]+Sales[[#This Row],[Unadj Det Value]]+Sales[[#This Row],[Unadj Land Value]]</f>
        <v>544100</v>
      </c>
      <c r="CJ3" s="13">
        <f>Sales[[#This Row],[Price]]/Sales[[#This Row],[Unadj Total Value]]</f>
        <v>1.0108435949274031</v>
      </c>
      <c r="CK3" s="13">
        <f>(Sales[[#This Row],[Unadj Total Value]]-Sales[[#This Row],[24Final]])/Sales[[#This Row],[24Final]]</f>
        <v>0.23016052453086142</v>
      </c>
      <c r="CL3" t="e">
        <v>#REF!</v>
      </c>
      <c r="CM3" t="e">
        <v>#REF!</v>
      </c>
      <c r="CN3" t="e">
        <v>#REF!</v>
      </c>
      <c r="CO3" t="e">
        <v>#REF!</v>
      </c>
      <c r="CP3" t="e">
        <v>#REF!</v>
      </c>
      <c r="CQ3" t="e">
        <v>#REF!</v>
      </c>
      <c r="CR3" t="e">
        <v>#REF!</v>
      </c>
      <c r="CS3" t="e">
        <v>#REF!</v>
      </c>
      <c r="CT3" t="e">
        <v>#REF!</v>
      </c>
      <c r="CU3" t="e">
        <v>#REF!</v>
      </c>
      <c r="CV3" t="e">
        <v>#REF!</v>
      </c>
      <c r="CW3" t="e">
        <v>#REF!</v>
      </c>
      <c r="CX3" s="15">
        <v>0</v>
      </c>
      <c r="CY3" s="15" t="e">
        <v>#REF!</v>
      </c>
      <c r="CZ3" s="15" t="e">
        <v>#REF!</v>
      </c>
      <c r="DA3" s="15" t="e">
        <v>#REF!</v>
      </c>
    </row>
    <row r="4" spans="1:105" x14ac:dyDescent="0.3">
      <c r="A4">
        <v>2025</v>
      </c>
      <c r="B4" s="2">
        <v>18132342493</v>
      </c>
      <c r="C4">
        <v>-1.3862943611198906</v>
      </c>
      <c r="D4">
        <v>0.25</v>
      </c>
      <c r="E4">
        <v>10838</v>
      </c>
      <c r="F4">
        <v>6</v>
      </c>
      <c r="G4" t="s">
        <v>126</v>
      </c>
      <c r="H4">
        <v>3032</v>
      </c>
      <c r="I4" t="s">
        <v>349</v>
      </c>
      <c r="J4" t="s">
        <v>30</v>
      </c>
      <c r="K4">
        <v>11</v>
      </c>
      <c r="L4">
        <v>259</v>
      </c>
      <c r="M4" t="s">
        <v>300</v>
      </c>
      <c r="N4" t="s">
        <v>64</v>
      </c>
      <c r="O4" t="s">
        <v>352</v>
      </c>
      <c r="P4">
        <v>80</v>
      </c>
      <c r="Q4">
        <v>1942</v>
      </c>
      <c r="R4">
        <v>1972</v>
      </c>
      <c r="S4">
        <v>82</v>
      </c>
      <c r="T4">
        <v>52</v>
      </c>
      <c r="U4">
        <v>2</v>
      </c>
      <c r="V4">
        <v>2099</v>
      </c>
      <c r="W4">
        <v>784</v>
      </c>
      <c r="X4">
        <v>0</v>
      </c>
      <c r="Y4">
        <v>0</v>
      </c>
      <c r="Z4">
        <v>0</v>
      </c>
      <c r="AA4">
        <v>0</v>
      </c>
      <c r="AB4">
        <v>2883</v>
      </c>
      <c r="AC4">
        <v>3000</v>
      </c>
      <c r="AD4">
        <v>2</v>
      </c>
      <c r="AF4" t="s">
        <v>383</v>
      </c>
      <c r="AG4" t="s">
        <v>148</v>
      </c>
      <c r="AH4" t="s">
        <v>450</v>
      </c>
      <c r="AI4">
        <v>0</v>
      </c>
      <c r="AJ4">
        <v>2</v>
      </c>
      <c r="AK4">
        <v>0</v>
      </c>
      <c r="AL4">
        <v>1</v>
      </c>
      <c r="AM4">
        <v>1</v>
      </c>
      <c r="AN4">
        <v>13</v>
      </c>
      <c r="AO4">
        <v>504</v>
      </c>
      <c r="AP4">
        <v>0</v>
      </c>
      <c r="AQ4">
        <v>357</v>
      </c>
      <c r="AR4">
        <v>0</v>
      </c>
      <c r="AS4">
        <v>340</v>
      </c>
      <c r="AT4">
        <v>112</v>
      </c>
      <c r="AU4">
        <v>100</v>
      </c>
      <c r="AV4">
        <v>100</v>
      </c>
      <c r="AW4">
        <v>700610</v>
      </c>
      <c r="AX4">
        <v>574500</v>
      </c>
      <c r="AY4">
        <v>500</v>
      </c>
      <c r="AZ4">
        <v>365</v>
      </c>
      <c r="BA4">
        <v>135</v>
      </c>
      <c r="BB4">
        <v>0</v>
      </c>
      <c r="BC4" s="3">
        <v>44792</v>
      </c>
      <c r="BD4" t="s">
        <v>341</v>
      </c>
      <c r="BE4">
        <v>660000</v>
      </c>
      <c r="BF4">
        <v>660000</v>
      </c>
      <c r="BG4" t="s">
        <v>294</v>
      </c>
      <c r="BH4">
        <v>30</v>
      </c>
      <c r="BI4" t="s">
        <v>65</v>
      </c>
      <c r="BJ4" t="s">
        <v>450</v>
      </c>
      <c r="BK4">
        <v>626100</v>
      </c>
      <c r="BL4">
        <v>66200</v>
      </c>
      <c r="BM4">
        <v>559900</v>
      </c>
      <c r="BN4">
        <v>0</v>
      </c>
      <c r="BO4">
        <v>0.94863636363636361</v>
      </c>
      <c r="BP4">
        <v>646979.41204743553</v>
      </c>
      <c r="BQ4">
        <v>671182.92562088941</v>
      </c>
      <c r="BR4" s="12">
        <f>(Sales[[#This Row],[DP1]]*Lookups!$B$59)+(Sales[[#This Row],[DP2]]*Lookups!$B$60)+(Sales[[#This Row],[DP3]]*Lookups!$B$61)</f>
        <v>-27847.304601370004</v>
      </c>
      <c r="BS4" s="12">
        <f>Lookups!$B$56*0.5</f>
        <v>44925.312794999998</v>
      </c>
      <c r="BT4" s="12">
        <f>Lookups!$B$56*0.5</f>
        <v>44925.312794999998</v>
      </c>
      <c r="BU4" s="12">
        <f>Lookups!$B$57*Sales[[#This Row],[LnAcres]]</f>
        <v>-123833.58500677992</v>
      </c>
      <c r="BV4" s="12">
        <f>VLOOKUP(Sales[[#This Row],[Qlty]],Lookups!$A$62:$E$75,2,FALSE)</f>
        <v>29814.093161000001</v>
      </c>
      <c r="BW4" s="12">
        <f>VLOOKUP(Sales[[#This Row],[Cnd]],Lookups!$A$76:$E$84,2,FALSE)</f>
        <v>197752.34721000001</v>
      </c>
      <c r="BX4" s="12">
        <f>Sales[[#This Row],[EffAge]]*Lookups!$B$85</f>
        <v>-5130.0488114999998</v>
      </c>
      <c r="BY4" s="12">
        <f>Sales[[#This Row],[MainFn]]*Lookups!$B$86</f>
        <v>28706.437198537002</v>
      </c>
      <c r="BZ4" s="12">
        <f>Sales[[#This Row],[UpprFn]]*Lookups!$B$87</f>
        <v>36277.002517410001</v>
      </c>
      <c r="CA4" s="12">
        <f>Sales[[#This Row],[AddFn]]*Lookups!$B$88</f>
        <v>0</v>
      </c>
      <c r="CB4" s="12">
        <f>Sales[[#This Row],[Bsmt]]*Lookups!$B$89</f>
        <v>0</v>
      </c>
      <c r="CC4" s="12">
        <f>Sales[[#This Row],[Fixtures]]*Lookups!$B$90</f>
        <v>37920.221052000001</v>
      </c>
      <c r="CD4" s="12">
        <f>Sales[[#This Row],[WdDeck]]*Lookups!$B$91</f>
        <v>0</v>
      </c>
      <c r="CE4" s="12">
        <f>SUM(Sales[[#This Row],[Days Prior Total]:[Mdl WdDeck]])</f>
        <v>263509.78830929706</v>
      </c>
      <c r="CF4" s="12">
        <f>ROUND(Sales[[#This Row],[25Det]],-2)</f>
        <v>0</v>
      </c>
      <c r="CG4" s="12">
        <f>ROUND(SUM(Sales[[#This Row],[Mdl Qlty]:[Mdl WdDeck]])+Sales[[#This Row],[Mdl Res Intercept]]+Sales[[#This Row],[Days Prior Total]],-2)</f>
        <v>297500</v>
      </c>
      <c r="CH4" s="12">
        <f>ROUND(Sales[[#This Row],[Mdl Land Intercept]]+Sales[[#This Row],[Mdl LnAcres]],-2)</f>
        <v>-34000</v>
      </c>
      <c r="CI4" s="12">
        <f>Sales[[#This Row],[Unadj Res Value]]+Sales[[#This Row],[Unadj Det Value]]+Sales[[#This Row],[Unadj Land Value]]</f>
        <v>263500</v>
      </c>
      <c r="CJ4" s="13">
        <f>Sales[[#This Row],[Price]]/Sales[[#This Row],[Unadj Total Value]]</f>
        <v>1.0208728652751422</v>
      </c>
      <c r="CK4" s="13">
        <f>(Sales[[#This Row],[Unadj Total Value]]-Sales[[#This Row],[24Final]])/Sales[[#This Row],[24Final]]</f>
        <v>-4.3904208998548619E-2</v>
      </c>
      <c r="CL4" t="e">
        <v>#REF!</v>
      </c>
      <c r="CM4" t="e">
        <v>#REF!</v>
      </c>
      <c r="CN4" t="e">
        <v>#REF!</v>
      </c>
      <c r="CO4" t="e">
        <v>#REF!</v>
      </c>
      <c r="CP4" t="e">
        <v>#REF!</v>
      </c>
      <c r="CQ4" t="e">
        <v>#REF!</v>
      </c>
      <c r="CR4" t="e">
        <v>#REF!</v>
      </c>
      <c r="CS4" t="e">
        <v>#REF!</v>
      </c>
      <c r="CT4" t="e">
        <v>#REF!</v>
      </c>
      <c r="CU4" t="e">
        <v>#REF!</v>
      </c>
      <c r="CV4" t="e">
        <v>#REF!</v>
      </c>
      <c r="CW4" t="e">
        <v>#REF!</v>
      </c>
      <c r="CX4" s="15">
        <v>0</v>
      </c>
      <c r="CY4" s="15" t="e">
        <v>#REF!</v>
      </c>
      <c r="CZ4" s="15" t="e">
        <v>#REF!</v>
      </c>
      <c r="DA4" s="15" t="e">
        <v>#REF!</v>
      </c>
    </row>
    <row r="5" spans="1:105" x14ac:dyDescent="0.3">
      <c r="A5">
        <v>2025</v>
      </c>
      <c r="B5" s="2">
        <v>18132341403</v>
      </c>
      <c r="C5">
        <v>-0.6348782724359695</v>
      </c>
      <c r="D5">
        <v>0.53</v>
      </c>
      <c r="E5">
        <v>22890</v>
      </c>
      <c r="F5">
        <v>6</v>
      </c>
      <c r="G5" t="s">
        <v>126</v>
      </c>
      <c r="H5">
        <v>3033</v>
      </c>
      <c r="I5" t="s">
        <v>349</v>
      </c>
      <c r="J5" t="s">
        <v>30</v>
      </c>
      <c r="K5">
        <v>11</v>
      </c>
      <c r="L5">
        <v>259</v>
      </c>
      <c r="M5" t="s">
        <v>416</v>
      </c>
      <c r="N5" t="s">
        <v>64</v>
      </c>
      <c r="O5" t="s">
        <v>96</v>
      </c>
      <c r="P5">
        <v>110</v>
      </c>
      <c r="Q5">
        <v>1909</v>
      </c>
      <c r="R5">
        <v>2010</v>
      </c>
      <c r="S5">
        <v>115</v>
      </c>
      <c r="T5">
        <v>14</v>
      </c>
      <c r="U5">
        <v>2</v>
      </c>
      <c r="V5">
        <v>2377</v>
      </c>
      <c r="W5">
        <v>1635</v>
      </c>
      <c r="X5">
        <v>0</v>
      </c>
      <c r="Y5">
        <v>1600</v>
      </c>
      <c r="Z5">
        <v>0</v>
      </c>
      <c r="AA5">
        <v>1600</v>
      </c>
      <c r="AB5">
        <v>5612</v>
      </c>
      <c r="AC5">
        <v>6000</v>
      </c>
      <c r="AD5">
        <v>0</v>
      </c>
      <c r="AF5" t="s">
        <v>383</v>
      </c>
      <c r="AG5" t="s">
        <v>148</v>
      </c>
      <c r="AH5" t="s">
        <v>450</v>
      </c>
      <c r="AI5">
        <v>0</v>
      </c>
      <c r="AJ5">
        <v>1</v>
      </c>
      <c r="AK5">
        <v>1</v>
      </c>
      <c r="AL5">
        <v>0</v>
      </c>
      <c r="AM5">
        <v>0</v>
      </c>
      <c r="AN5">
        <v>14</v>
      </c>
      <c r="AO5">
        <v>0</v>
      </c>
      <c r="AP5">
        <v>0</v>
      </c>
      <c r="AQ5">
        <v>0</v>
      </c>
      <c r="AR5">
        <v>0</v>
      </c>
      <c r="AS5">
        <v>230</v>
      </c>
      <c r="AT5">
        <v>0</v>
      </c>
      <c r="AU5">
        <v>100</v>
      </c>
      <c r="AV5">
        <v>100</v>
      </c>
      <c r="AW5">
        <v>943908</v>
      </c>
      <c r="AX5">
        <v>925030</v>
      </c>
      <c r="AY5">
        <v>894</v>
      </c>
      <c r="AZ5">
        <v>365</v>
      </c>
      <c r="BA5">
        <v>365</v>
      </c>
      <c r="BB5">
        <v>164</v>
      </c>
      <c r="BC5" s="3">
        <v>44398</v>
      </c>
      <c r="BD5" t="s">
        <v>376</v>
      </c>
      <c r="BE5">
        <v>906000</v>
      </c>
      <c r="BF5">
        <v>855680</v>
      </c>
      <c r="BG5" t="s">
        <v>294</v>
      </c>
      <c r="BH5">
        <v>30</v>
      </c>
      <c r="BI5" t="s">
        <v>65</v>
      </c>
      <c r="BJ5" t="s">
        <v>450</v>
      </c>
      <c r="BK5">
        <v>837200</v>
      </c>
      <c r="BL5">
        <v>92400</v>
      </c>
      <c r="BM5">
        <v>744800</v>
      </c>
      <c r="BN5">
        <v>50320</v>
      </c>
      <c r="BO5">
        <v>0.92406181015452538</v>
      </c>
      <c r="BP5">
        <v>831383.39566845086</v>
      </c>
      <c r="BQ5">
        <v>874876.14067335974</v>
      </c>
      <c r="BR5" s="12">
        <f>(Sales[[#This Row],[DP1]]*Lookups!$B$59)+(Sales[[#This Row],[DP2]]*Lookups!$B$60)+(Sales[[#This Row],[DP3]]*Lookups!$B$61)</f>
        <v>-11289.311451200001</v>
      </c>
      <c r="BS5" s="12">
        <f>Lookups!$B$56*0.5</f>
        <v>44925.312794999998</v>
      </c>
      <c r="BT5" s="12">
        <f>Lookups!$B$56*0.5</f>
        <v>44925.312794999998</v>
      </c>
      <c r="BU5" s="12">
        <f>Lookups!$B$57*Sales[[#This Row],[LnAcres]]</f>
        <v>-101892.2773541973</v>
      </c>
      <c r="BV5" s="12">
        <f>VLOOKUP(Sales[[#This Row],[Qlty]],Lookups!$A$62:$E$75,2,FALSE)</f>
        <v>29814.093161000001</v>
      </c>
      <c r="BW5" s="12">
        <f>VLOOKUP(Sales[[#This Row],[Cnd]],Lookups!$A$76:$E$84,2,FALSE)</f>
        <v>197752.34721000001</v>
      </c>
      <c r="BX5" s="12">
        <f>Sales[[#This Row],[EffAge]]*Lookups!$B$85</f>
        <v>-6468.3224145000004</v>
      </c>
      <c r="BY5" s="12">
        <f>Sales[[#This Row],[MainFn]]*Lookups!$B$86</f>
        <v>72136.65802042</v>
      </c>
      <c r="BZ5" s="12">
        <f>Sales[[#This Row],[UpprFn]]*Lookups!$B$87</f>
        <v>0</v>
      </c>
      <c r="CA5" s="12">
        <f>Sales[[#This Row],[AddFn]]*Lookups!$B$88</f>
        <v>0</v>
      </c>
      <c r="CB5" s="12">
        <f>Sales[[#This Row],[Bsmt]]*Lookups!$B$89</f>
        <v>0</v>
      </c>
      <c r="CC5" s="12">
        <f>Sales[[#This Row],[Fixtures]]*Lookups!$B$90</f>
        <v>37920.221052000001</v>
      </c>
      <c r="CD5" s="12">
        <f>Sales[[#This Row],[WdDeck]]*Lookups!$B$91</f>
        <v>0</v>
      </c>
      <c r="CE5" s="12">
        <f>SUM(Sales[[#This Row],[Days Prior Total]:[Mdl WdDeck]])</f>
        <v>307824.03381352272</v>
      </c>
      <c r="CF5" s="12">
        <f>ROUND(Sales[[#This Row],[25Det]],-2)</f>
        <v>21600</v>
      </c>
      <c r="CG5" s="12">
        <f>ROUND(SUM(Sales[[#This Row],[Mdl Qlty]:[Mdl WdDeck]])+Sales[[#This Row],[Mdl Res Intercept]]+Sales[[#This Row],[Days Prior Total]],-2)</f>
        <v>319900</v>
      </c>
      <c r="CH5" s="12">
        <f>ROUND(Sales[[#This Row],[Mdl Land Intercept]]+Sales[[#This Row],[Mdl LnAcres]],-2)</f>
        <v>-12000</v>
      </c>
      <c r="CI5" s="12">
        <f>Sales[[#This Row],[Unadj Res Value]]+Sales[[#This Row],[Unadj Det Value]]+Sales[[#This Row],[Unadj Land Value]]</f>
        <v>329500</v>
      </c>
      <c r="CJ5" s="13">
        <f>Sales[[#This Row],[Price]]/Sales[[#This Row],[Unadj Total Value]]</f>
        <v>0.98634294385432475</v>
      </c>
      <c r="CK5" s="13">
        <f>(Sales[[#This Row],[Unadj Total Value]]-Sales[[#This Row],[24Final]])/Sales[[#This Row],[24Final]]</f>
        <v>0.15451997196916609</v>
      </c>
      <c r="CL5" t="e">
        <v>#REF!</v>
      </c>
      <c r="CM5" t="e">
        <v>#REF!</v>
      </c>
      <c r="CN5" t="e">
        <v>#REF!</v>
      </c>
      <c r="CO5" t="e">
        <v>#REF!</v>
      </c>
      <c r="CP5" t="e">
        <v>#REF!</v>
      </c>
      <c r="CQ5" t="e">
        <v>#REF!</v>
      </c>
      <c r="CR5" t="e">
        <v>#REF!</v>
      </c>
      <c r="CS5" t="e">
        <v>#REF!</v>
      </c>
      <c r="CT5" t="e">
        <v>#REF!</v>
      </c>
      <c r="CU5" t="e">
        <v>#REF!</v>
      </c>
      <c r="CV5" t="e">
        <v>#REF!</v>
      </c>
      <c r="CW5" t="e">
        <v>#REF!</v>
      </c>
      <c r="CX5" s="15">
        <v>0</v>
      </c>
      <c r="CY5" s="15" t="e">
        <v>#REF!</v>
      </c>
      <c r="CZ5" s="15" t="e">
        <v>#REF!</v>
      </c>
      <c r="DA5" s="15" t="e">
        <v>#REF!</v>
      </c>
    </row>
    <row r="6" spans="1:105" x14ac:dyDescent="0.3">
      <c r="A6">
        <v>2025</v>
      </c>
      <c r="B6" s="2">
        <v>18132341494</v>
      </c>
      <c r="C6">
        <v>0.18232155679395459</v>
      </c>
      <c r="D6">
        <v>1.2</v>
      </c>
      <c r="E6">
        <v>0</v>
      </c>
      <c r="F6">
        <v>6</v>
      </c>
      <c r="G6" t="s">
        <v>126</v>
      </c>
      <c r="H6" t="s">
        <v>299</v>
      </c>
      <c r="I6" t="s">
        <v>349</v>
      </c>
      <c r="J6" t="s">
        <v>30</v>
      </c>
      <c r="K6">
        <v>11</v>
      </c>
      <c r="L6">
        <v>331</v>
      </c>
      <c r="M6" t="s">
        <v>448</v>
      </c>
      <c r="N6" t="s">
        <v>382</v>
      </c>
      <c r="O6" t="s">
        <v>303</v>
      </c>
      <c r="P6">
        <v>110</v>
      </c>
      <c r="Q6">
        <v>1909</v>
      </c>
      <c r="R6">
        <v>1965</v>
      </c>
      <c r="S6">
        <v>115</v>
      </c>
      <c r="T6">
        <v>59</v>
      </c>
      <c r="U6">
        <v>2</v>
      </c>
      <c r="V6">
        <v>2510</v>
      </c>
      <c r="W6">
        <v>2705</v>
      </c>
      <c r="X6">
        <v>0</v>
      </c>
      <c r="Y6">
        <v>2216</v>
      </c>
      <c r="Z6">
        <v>1662</v>
      </c>
      <c r="AA6">
        <v>554</v>
      </c>
      <c r="AB6">
        <v>5769</v>
      </c>
      <c r="AC6">
        <v>6000</v>
      </c>
      <c r="AD6">
        <v>0</v>
      </c>
      <c r="AF6" t="s">
        <v>383</v>
      </c>
      <c r="AG6" t="s">
        <v>148</v>
      </c>
      <c r="AH6" t="s">
        <v>450</v>
      </c>
      <c r="AI6">
        <v>0</v>
      </c>
      <c r="AJ6">
        <v>3</v>
      </c>
      <c r="AK6">
        <v>0</v>
      </c>
      <c r="AL6">
        <v>2</v>
      </c>
      <c r="AM6">
        <v>0</v>
      </c>
      <c r="AN6">
        <v>17</v>
      </c>
      <c r="AO6">
        <v>0</v>
      </c>
      <c r="AP6">
        <v>0</v>
      </c>
      <c r="AQ6">
        <v>0</v>
      </c>
      <c r="AR6">
        <v>184</v>
      </c>
      <c r="AS6">
        <v>0</v>
      </c>
      <c r="AT6">
        <v>0</v>
      </c>
      <c r="AU6">
        <v>100</v>
      </c>
      <c r="AV6">
        <v>100</v>
      </c>
      <c r="AW6">
        <v>1657422</v>
      </c>
      <c r="AX6">
        <v>1193344</v>
      </c>
      <c r="AY6">
        <v>907</v>
      </c>
      <c r="AZ6">
        <v>365</v>
      </c>
      <c r="BA6">
        <v>365</v>
      </c>
      <c r="BB6">
        <v>177</v>
      </c>
      <c r="BC6" s="3">
        <v>44385</v>
      </c>
      <c r="BD6" t="s">
        <v>342</v>
      </c>
      <c r="BE6">
        <v>1000000</v>
      </c>
      <c r="BF6">
        <v>1000000</v>
      </c>
      <c r="BG6" t="s">
        <v>294</v>
      </c>
      <c r="BH6">
        <v>30</v>
      </c>
      <c r="BI6" t="s">
        <v>65</v>
      </c>
      <c r="BJ6" t="s">
        <v>450</v>
      </c>
      <c r="BK6">
        <v>1007400</v>
      </c>
      <c r="BL6">
        <v>120000</v>
      </c>
      <c r="BM6">
        <v>887400</v>
      </c>
      <c r="BN6">
        <v>0</v>
      </c>
      <c r="BO6">
        <v>1.0074000000000001</v>
      </c>
      <c r="BP6">
        <v>930516.340932969</v>
      </c>
      <c r="BQ6">
        <v>975747.4682052508</v>
      </c>
      <c r="BR6" s="12">
        <f>(Sales[[#This Row],[DP1]]*Lookups!$B$59)+(Sales[[#This Row],[DP2]]*Lookups!$B$60)+(Sales[[#This Row],[DP3]]*Lookups!$B$61)</f>
        <v>-22389.172454014002</v>
      </c>
      <c r="BS6" s="12">
        <f>Lookups!$B$56*0.5</f>
        <v>44925.312794999998</v>
      </c>
      <c r="BT6" s="12">
        <f>Lookups!$B$56*0.5</f>
        <v>44925.312794999998</v>
      </c>
      <c r="BU6" s="12">
        <f>Lookups!$B$57*Sales[[#This Row],[LnAcres]]</f>
        <v>-110998.74281323297</v>
      </c>
      <c r="BV6" s="12">
        <f>VLOOKUP(Sales[[#This Row],[Qlty]],Lookups!$A$62:$E$75,2,FALSE)</f>
        <v>21557.329055999999</v>
      </c>
      <c r="BW6" s="12">
        <f>VLOOKUP(Sales[[#This Row],[Cnd]],Lookups!$A$76:$E$84,2,FALSE)</f>
        <v>197752.34721000001</v>
      </c>
      <c r="BX6" s="12">
        <f>Sales[[#This Row],[EffAge]]*Lookups!$B$85</f>
        <v>-6468.3224145000004</v>
      </c>
      <c r="BY6" s="12">
        <f>Sales[[#This Row],[MainFn]]*Lookups!$B$86</f>
        <v>72334.292699928003</v>
      </c>
      <c r="BZ6" s="12">
        <f>Sales[[#This Row],[UpprFn]]*Lookups!$B$87</f>
        <v>0</v>
      </c>
      <c r="CA6" s="12">
        <f>Sales[[#This Row],[AddFn]]*Lookups!$B$88</f>
        <v>0</v>
      </c>
      <c r="CB6" s="12">
        <f>Sales[[#This Row],[Bsmt]]*Lookups!$B$89</f>
        <v>0</v>
      </c>
      <c r="CC6" s="12">
        <f>Sales[[#This Row],[Fixtures]]*Lookups!$B$90</f>
        <v>30336.176841600001</v>
      </c>
      <c r="CD6" s="12">
        <f>Sales[[#This Row],[WdDeck]]*Lookups!$B$91</f>
        <v>0</v>
      </c>
      <c r="CE6" s="12">
        <f>SUM(Sales[[#This Row],[Days Prior Total]:[Mdl WdDeck]])</f>
        <v>271974.533715781</v>
      </c>
      <c r="CF6" s="12">
        <f>ROUND(Sales[[#This Row],[25Det]],-2)</f>
        <v>21600</v>
      </c>
      <c r="CG6" s="12">
        <f>ROUND(SUM(Sales[[#This Row],[Mdl Qlty]:[Mdl WdDeck]])+Sales[[#This Row],[Mdl Res Intercept]]+Sales[[#This Row],[Days Prior Total]],-2)</f>
        <v>293100</v>
      </c>
      <c r="CH6" s="12">
        <f>ROUND(Sales[[#This Row],[Mdl Land Intercept]]+Sales[[#This Row],[Mdl LnAcres]],-2)</f>
        <v>-21100</v>
      </c>
      <c r="CI6" s="12">
        <f>Sales[[#This Row],[Unadj Res Value]]+Sales[[#This Row],[Unadj Det Value]]+Sales[[#This Row],[Unadj Land Value]]</f>
        <v>293600</v>
      </c>
      <c r="CJ6" s="13">
        <f>Sales[[#This Row],[Price]]/Sales[[#This Row],[Unadj Total Value]]</f>
        <v>0.9536784741144414</v>
      </c>
      <c r="CK6" s="13">
        <f>(Sales[[#This Row],[Unadj Total Value]]-Sales[[#This Row],[24Final]])/Sales[[#This Row],[24Final]]</f>
        <v>3.2711924023918398E-2</v>
      </c>
      <c r="CL6" t="e">
        <v>#REF!</v>
      </c>
      <c r="CM6" t="e">
        <v>#REF!</v>
      </c>
      <c r="CN6" t="e">
        <v>#REF!</v>
      </c>
      <c r="CO6" t="e">
        <v>#REF!</v>
      </c>
      <c r="CP6" t="e">
        <v>#REF!</v>
      </c>
      <c r="CQ6" t="e">
        <v>#REF!</v>
      </c>
      <c r="CR6" t="e">
        <v>#REF!</v>
      </c>
      <c r="CS6" t="e">
        <v>#REF!</v>
      </c>
      <c r="CT6" t="e">
        <v>#REF!</v>
      </c>
      <c r="CU6" t="e">
        <v>#REF!</v>
      </c>
      <c r="CV6" t="e">
        <v>#REF!</v>
      </c>
      <c r="CW6" t="e">
        <v>#REF!</v>
      </c>
      <c r="CX6" s="15">
        <v>0</v>
      </c>
      <c r="CY6" s="15" t="e">
        <v>#REF!</v>
      </c>
      <c r="CZ6" s="15" t="e">
        <v>#REF!</v>
      </c>
      <c r="DA6" s="15" t="e">
        <v>#REF!</v>
      </c>
    </row>
    <row r="7" spans="1:105" x14ac:dyDescent="0.3">
      <c r="A7">
        <v>2025</v>
      </c>
      <c r="B7" s="2">
        <v>18132341013</v>
      </c>
      <c r="C7">
        <v>-1.0788096613719298</v>
      </c>
      <c r="D7">
        <v>0.34</v>
      </c>
      <c r="E7">
        <v>0</v>
      </c>
      <c r="F7">
        <v>6</v>
      </c>
      <c r="G7" t="s">
        <v>126</v>
      </c>
      <c r="H7" t="s">
        <v>299</v>
      </c>
      <c r="I7" t="s">
        <v>349</v>
      </c>
      <c r="J7" t="s">
        <v>30</v>
      </c>
      <c r="K7">
        <v>11</v>
      </c>
      <c r="L7">
        <v>259</v>
      </c>
      <c r="M7" t="s">
        <v>301</v>
      </c>
      <c r="N7" t="s">
        <v>382</v>
      </c>
      <c r="O7" t="s">
        <v>352</v>
      </c>
      <c r="P7">
        <v>90</v>
      </c>
      <c r="Q7">
        <v>1929</v>
      </c>
      <c r="R7">
        <v>1969</v>
      </c>
      <c r="S7">
        <v>95</v>
      </c>
      <c r="T7">
        <v>55</v>
      </c>
      <c r="U7">
        <v>2</v>
      </c>
      <c r="V7">
        <v>2340</v>
      </c>
      <c r="W7">
        <v>1520</v>
      </c>
      <c r="X7">
        <v>0</v>
      </c>
      <c r="Y7">
        <v>1530</v>
      </c>
      <c r="Z7">
        <v>0</v>
      </c>
      <c r="AA7">
        <v>1530</v>
      </c>
      <c r="AB7">
        <v>5390</v>
      </c>
      <c r="AC7">
        <v>5500</v>
      </c>
      <c r="AD7">
        <v>0</v>
      </c>
      <c r="AF7" t="s">
        <v>383</v>
      </c>
      <c r="AG7" t="s">
        <v>148</v>
      </c>
      <c r="AH7" t="s">
        <v>450</v>
      </c>
      <c r="AI7">
        <v>0</v>
      </c>
      <c r="AJ7">
        <v>3</v>
      </c>
      <c r="AK7">
        <v>0</v>
      </c>
      <c r="AL7">
        <v>1</v>
      </c>
      <c r="AM7">
        <v>1</v>
      </c>
      <c r="AN7">
        <v>15</v>
      </c>
      <c r="AO7">
        <v>0</v>
      </c>
      <c r="AP7">
        <v>0</v>
      </c>
      <c r="AQ7">
        <v>0</v>
      </c>
      <c r="AR7">
        <v>0</v>
      </c>
      <c r="AS7">
        <v>949</v>
      </c>
      <c r="AT7">
        <v>0</v>
      </c>
      <c r="AU7">
        <v>100</v>
      </c>
      <c r="AV7">
        <v>100</v>
      </c>
      <c r="AW7">
        <v>1300058</v>
      </c>
      <c r="AX7">
        <v>1040046</v>
      </c>
      <c r="AY7">
        <v>1092</v>
      </c>
      <c r="AZ7">
        <v>365</v>
      </c>
      <c r="BA7">
        <v>365</v>
      </c>
      <c r="BB7">
        <v>362</v>
      </c>
      <c r="BC7" s="3">
        <v>44200</v>
      </c>
      <c r="BD7" t="s">
        <v>200</v>
      </c>
      <c r="BE7">
        <v>860000</v>
      </c>
      <c r="BF7">
        <v>789192</v>
      </c>
      <c r="BG7" t="s">
        <v>294</v>
      </c>
      <c r="BH7">
        <v>30</v>
      </c>
      <c r="BI7" t="s">
        <v>65</v>
      </c>
      <c r="BJ7" t="s">
        <v>450</v>
      </c>
      <c r="BK7">
        <v>819300</v>
      </c>
      <c r="BL7">
        <v>76900</v>
      </c>
      <c r="BM7">
        <v>742400</v>
      </c>
      <c r="BN7">
        <v>70808</v>
      </c>
      <c r="BO7">
        <v>0.95267441860465119</v>
      </c>
      <c r="BP7">
        <v>858675.65906703076</v>
      </c>
      <c r="BQ7">
        <v>928645.3032211581</v>
      </c>
      <c r="BR7" s="12">
        <f>(Sales[[#This Row],[DP1]]*Lookups!$B$59)+(Sales[[#This Row],[DP2]]*Lookups!$B$60)+(Sales[[#This Row],[DP3]]*Lookups!$B$61)</f>
        <v>-26911.252611070006</v>
      </c>
      <c r="BS7" s="12">
        <f>Lookups!$B$56*0.5</f>
        <v>44925.312794999998</v>
      </c>
      <c r="BT7" s="12">
        <f>Lookups!$B$56*0.5</f>
        <v>44925.312794999998</v>
      </c>
      <c r="BU7" s="12">
        <f>Lookups!$B$57*Sales[[#This Row],[LnAcres]]</f>
        <v>-110998.74281323297</v>
      </c>
      <c r="BV7" s="12">
        <f>VLOOKUP(Sales[[#This Row],[Qlty]],Lookups!$A$62:$E$75,2,FALSE)</f>
        <v>44121.038090000002</v>
      </c>
      <c r="BW7" s="12">
        <f>VLOOKUP(Sales[[#This Row],[Cnd]],Lookups!$A$76:$E$84,2,FALSE)</f>
        <v>160472.20319</v>
      </c>
      <c r="BX7" s="12">
        <f>Sales[[#This Row],[EffAge]]*Lookups!$B$85</f>
        <v>-6468.3224145000004</v>
      </c>
      <c r="BY7" s="12">
        <f>Sales[[#This Row],[MainFn]]*Lookups!$B$86</f>
        <v>71444.936642141998</v>
      </c>
      <c r="BZ7" s="12">
        <f>Sales[[#This Row],[UpprFn]]*Lookups!$B$87</f>
        <v>0</v>
      </c>
      <c r="CA7" s="12">
        <f>Sales[[#This Row],[AddFn]]*Lookups!$B$88</f>
        <v>0</v>
      </c>
      <c r="CB7" s="12">
        <f>Sales[[#This Row],[Bsmt]]*Lookups!$B$89</f>
        <v>0</v>
      </c>
      <c r="CC7" s="12">
        <f>Sales[[#This Row],[Fixtures]]*Lookups!$B$90</f>
        <v>45504.265262400004</v>
      </c>
      <c r="CD7" s="12">
        <f>Sales[[#This Row],[WdDeck]]*Lookups!$B$91</f>
        <v>0</v>
      </c>
      <c r="CE7" s="12">
        <f>SUM(Sales[[#This Row],[Days Prior Total]:[Mdl WdDeck]])</f>
        <v>267014.75093573902</v>
      </c>
      <c r="CF7" s="12">
        <f>ROUND(Sales[[#This Row],[25Det]],-2)</f>
        <v>21300</v>
      </c>
      <c r="CG7" s="12">
        <f>ROUND(SUM(Sales[[#This Row],[Mdl Qlty]:[Mdl WdDeck]])+Sales[[#This Row],[Mdl Res Intercept]]+Sales[[#This Row],[Days Prior Total]],-2)</f>
        <v>288200</v>
      </c>
      <c r="CH7" s="12">
        <f>ROUND(Sales[[#This Row],[Mdl Land Intercept]]+Sales[[#This Row],[Mdl LnAcres]],-2)</f>
        <v>-21100</v>
      </c>
      <c r="CI7" s="12">
        <f>Sales[[#This Row],[Unadj Res Value]]+Sales[[#This Row],[Unadj Det Value]]+Sales[[#This Row],[Unadj Land Value]]</f>
        <v>288400</v>
      </c>
      <c r="CJ7" s="13">
        <f>Sales[[#This Row],[Price]]/Sales[[#This Row],[Unadj Total Value]]</f>
        <v>0.93619972260748963</v>
      </c>
      <c r="CK7" s="13">
        <f>(Sales[[#This Row],[Unadj Total Value]]-Sales[[#This Row],[24Final]])/Sales[[#This Row],[24Final]]</f>
        <v>1.620859760394644E-2</v>
      </c>
      <c r="CL7" t="e">
        <v>#REF!</v>
      </c>
      <c r="CM7" t="e">
        <v>#REF!</v>
      </c>
      <c r="CN7" t="e">
        <v>#REF!</v>
      </c>
      <c r="CO7" t="e">
        <v>#REF!</v>
      </c>
      <c r="CP7" t="e">
        <v>#REF!</v>
      </c>
      <c r="CQ7" t="e">
        <v>#REF!</v>
      </c>
      <c r="CR7" t="e">
        <v>#REF!</v>
      </c>
      <c r="CS7" t="e">
        <v>#REF!</v>
      </c>
      <c r="CT7" t="e">
        <v>#REF!</v>
      </c>
      <c r="CU7" t="e">
        <v>#REF!</v>
      </c>
      <c r="CV7" t="e">
        <v>#REF!</v>
      </c>
      <c r="CW7" t="e">
        <v>#REF!</v>
      </c>
      <c r="CX7" s="15">
        <v>0</v>
      </c>
      <c r="CY7" s="15" t="e">
        <v>#REF!</v>
      </c>
      <c r="CZ7" s="15" t="e">
        <v>#REF!</v>
      </c>
      <c r="DA7" s="15" t="e">
        <v>#REF!</v>
      </c>
    </row>
    <row r="8" spans="1:105" x14ac:dyDescent="0.3">
      <c r="A8">
        <v>2025</v>
      </c>
      <c r="B8" s="1">
        <v>18132331049</v>
      </c>
      <c r="C8">
        <v>-1.8325814637483102</v>
      </c>
      <c r="D8">
        <v>0.16</v>
      </c>
      <c r="E8">
        <v>0</v>
      </c>
      <c r="F8">
        <v>6</v>
      </c>
      <c r="G8" t="s">
        <v>126</v>
      </c>
      <c r="H8" t="s">
        <v>349</v>
      </c>
      <c r="I8" t="s">
        <v>349</v>
      </c>
      <c r="J8" t="s">
        <v>30</v>
      </c>
      <c r="K8">
        <v>11</v>
      </c>
      <c r="L8">
        <v>259</v>
      </c>
      <c r="M8" t="s">
        <v>147</v>
      </c>
      <c r="N8" t="s">
        <v>351</v>
      </c>
      <c r="O8" t="s">
        <v>206</v>
      </c>
      <c r="P8">
        <v>90</v>
      </c>
      <c r="Q8">
        <v>1925</v>
      </c>
      <c r="R8">
        <v>1968</v>
      </c>
      <c r="S8">
        <v>99</v>
      </c>
      <c r="T8">
        <v>56</v>
      </c>
      <c r="U8">
        <v>2</v>
      </c>
      <c r="V8">
        <v>770</v>
      </c>
      <c r="W8">
        <v>247</v>
      </c>
      <c r="X8">
        <v>0</v>
      </c>
      <c r="Y8">
        <v>490</v>
      </c>
      <c r="Z8">
        <v>490</v>
      </c>
      <c r="AA8">
        <v>0</v>
      </c>
      <c r="AB8">
        <v>1017</v>
      </c>
      <c r="AC8">
        <v>1500</v>
      </c>
      <c r="AD8">
        <v>0</v>
      </c>
      <c r="AF8" t="s">
        <v>207</v>
      </c>
      <c r="AG8" t="s">
        <v>175</v>
      </c>
      <c r="AI8">
        <v>0</v>
      </c>
      <c r="AJ8">
        <v>1</v>
      </c>
      <c r="AK8">
        <v>0</v>
      </c>
      <c r="AL8">
        <v>0</v>
      </c>
      <c r="AM8">
        <v>0</v>
      </c>
      <c r="AN8">
        <v>5</v>
      </c>
      <c r="AO8">
        <v>0</v>
      </c>
      <c r="AP8">
        <v>0</v>
      </c>
      <c r="AQ8">
        <v>0</v>
      </c>
      <c r="AR8">
        <v>172</v>
      </c>
      <c r="AS8">
        <v>0</v>
      </c>
      <c r="AT8">
        <v>0</v>
      </c>
      <c r="AU8">
        <v>100</v>
      </c>
      <c r="AV8">
        <v>100</v>
      </c>
      <c r="AW8">
        <v>199426</v>
      </c>
      <c r="AX8">
        <v>129627</v>
      </c>
      <c r="AY8">
        <v>159</v>
      </c>
      <c r="AZ8">
        <v>159</v>
      </c>
      <c r="BA8">
        <v>0</v>
      </c>
      <c r="BB8">
        <v>0</v>
      </c>
      <c r="BC8" s="3">
        <v>45133</v>
      </c>
      <c r="BD8" t="s">
        <v>324</v>
      </c>
      <c r="BE8">
        <v>235000</v>
      </c>
      <c r="BF8">
        <v>228976</v>
      </c>
      <c r="BG8" t="s">
        <v>201</v>
      </c>
      <c r="BH8">
        <v>30</v>
      </c>
      <c r="BI8" t="s">
        <v>65</v>
      </c>
      <c r="BJ8" t="s">
        <v>450</v>
      </c>
      <c r="BK8">
        <v>272800</v>
      </c>
      <c r="BL8">
        <v>50600</v>
      </c>
      <c r="BM8">
        <v>222200</v>
      </c>
      <c r="BN8">
        <v>6024</v>
      </c>
      <c r="BO8">
        <v>1.1608510638297873</v>
      </c>
      <c r="BP8">
        <v>251447.51400346687</v>
      </c>
      <c r="BQ8">
        <v>262666.26725742541</v>
      </c>
      <c r="BR8" s="12">
        <f>(Sales[[#This Row],[DP1]]*Lookups!$B$59)+(Sales[[#This Row],[DP2]]*Lookups!$B$60)+(Sales[[#This Row],[DP3]]*Lookups!$B$61)</f>
        <v>-38143.876494670003</v>
      </c>
      <c r="BS8" s="12">
        <f>Lookups!$B$56*0.5</f>
        <v>44925.312794999998</v>
      </c>
      <c r="BT8" s="12">
        <f>Lookups!$B$56*0.5</f>
        <v>44925.312794999998</v>
      </c>
      <c r="BU8" s="12">
        <f>Lookups!$B$57*Sales[[#This Row],[LnAcres]]</f>
        <v>-110998.74281323297</v>
      </c>
      <c r="BV8" s="12">
        <f>VLOOKUP(Sales[[#This Row],[Qlty]],Lookups!$A$62:$E$75,2,FALSE)</f>
        <v>21557.329055999999</v>
      </c>
      <c r="BW8" s="12">
        <f>VLOOKUP(Sales[[#This Row],[Cnd]],Lookups!$A$76:$E$84,2,FALSE)</f>
        <v>160472.20319</v>
      </c>
      <c r="BX8" s="12">
        <f>Sales[[#This Row],[EffAge]]*Lookups!$B$85</f>
        <v>-7137.4592160000002</v>
      </c>
      <c r="BY8" s="12">
        <f>Sales[[#This Row],[MainFn]]*Lookups!$B$86</f>
        <v>72680.153389066996</v>
      </c>
      <c r="BZ8" s="12">
        <f>Sales[[#This Row],[UpprFn]]*Lookups!$B$87</f>
        <v>0</v>
      </c>
      <c r="CA8" s="12">
        <f>Sales[[#This Row],[AddFn]]*Lookups!$B$88</f>
        <v>0</v>
      </c>
      <c r="CB8" s="12">
        <f>Sales[[#This Row],[Bsmt]]*Lookups!$B$89</f>
        <v>0</v>
      </c>
      <c r="CC8" s="12">
        <f>Sales[[#This Row],[Fixtures]]*Lookups!$B$90</f>
        <v>41712.243157199999</v>
      </c>
      <c r="CD8" s="12">
        <f>Sales[[#This Row],[WdDeck]]*Lookups!$B$91</f>
        <v>0</v>
      </c>
      <c r="CE8" s="12">
        <f>SUM(Sales[[#This Row],[Days Prior Total]:[Mdl WdDeck]])</f>
        <v>229992.47585836402</v>
      </c>
      <c r="CF8" s="12">
        <f>ROUND(Sales[[#This Row],[25Det]],-2)</f>
        <v>20700</v>
      </c>
      <c r="CG8" s="12">
        <f>ROUND(SUM(Sales[[#This Row],[Mdl Qlty]:[Mdl WdDeck]])+Sales[[#This Row],[Mdl Res Intercept]]+Sales[[#This Row],[Days Prior Total]],-2)</f>
        <v>251100</v>
      </c>
      <c r="CH8" s="12">
        <f>ROUND(Sales[[#This Row],[Mdl Land Intercept]]+Sales[[#This Row],[Mdl LnAcres]],-2)</f>
        <v>-21100</v>
      </c>
      <c r="CI8" s="12">
        <f>Sales[[#This Row],[Unadj Res Value]]+Sales[[#This Row],[Unadj Det Value]]+Sales[[#This Row],[Unadj Land Value]]</f>
        <v>250700</v>
      </c>
      <c r="CJ8" s="13">
        <f>Sales[[#This Row],[Price]]/Sales[[#This Row],[Unadj Total Value]]</f>
        <v>1.0969285999202234</v>
      </c>
      <c r="CK8" s="13">
        <f>(Sales[[#This Row],[Unadj Total Value]]-Sales[[#This Row],[24Final]])/Sales[[#This Row],[24Final]]</f>
        <v>-0.12065941774815854</v>
      </c>
      <c r="CL8" s="12" t="e">
        <v>#REF!</v>
      </c>
      <c r="CM8" s="12" t="e">
        <v>#REF!</v>
      </c>
      <c r="CN8" s="12" t="e">
        <v>#REF!</v>
      </c>
      <c r="CO8" s="12" t="e">
        <v>#REF!</v>
      </c>
      <c r="CP8" s="12" t="e">
        <v>#REF!</v>
      </c>
      <c r="CQ8" s="12" t="e">
        <v>#REF!</v>
      </c>
      <c r="CR8" s="12" t="e">
        <v>#REF!</v>
      </c>
      <c r="CS8" s="12" t="e">
        <v>#REF!</v>
      </c>
      <c r="CT8" s="12" t="e">
        <v>#REF!</v>
      </c>
      <c r="CU8" s="12" t="e">
        <v>#REF!</v>
      </c>
      <c r="CV8" s="12" t="e">
        <v>#REF!</v>
      </c>
      <c r="CW8" s="12" t="e">
        <v>#REF!</v>
      </c>
      <c r="CX8" s="13">
        <v>0</v>
      </c>
      <c r="CY8" s="13" t="e">
        <v>#REF!</v>
      </c>
      <c r="CZ8" s="14" t="e">
        <v>#REF!</v>
      </c>
      <c r="DA8" s="13" t="e">
        <v>#REF!</v>
      </c>
    </row>
    <row r="9" spans="1:105" x14ac:dyDescent="0.3">
      <c r="A9">
        <v>2025</v>
      </c>
      <c r="B9" s="1">
        <v>18132342437</v>
      </c>
      <c r="C9">
        <v>-1.9661128563728327</v>
      </c>
      <c r="D9">
        <v>0.14000000000000001</v>
      </c>
      <c r="E9">
        <v>6030</v>
      </c>
      <c r="F9">
        <v>6</v>
      </c>
      <c r="G9" t="s">
        <v>126</v>
      </c>
      <c r="H9" t="s">
        <v>349</v>
      </c>
      <c r="I9" t="s">
        <v>349</v>
      </c>
      <c r="J9" t="s">
        <v>30</v>
      </c>
      <c r="K9">
        <v>11</v>
      </c>
      <c r="L9">
        <v>259</v>
      </c>
      <c r="M9" t="s">
        <v>147</v>
      </c>
      <c r="N9" t="s">
        <v>351</v>
      </c>
      <c r="O9" t="s">
        <v>323</v>
      </c>
      <c r="P9">
        <v>80</v>
      </c>
      <c r="Q9">
        <v>1935</v>
      </c>
      <c r="R9">
        <v>1971</v>
      </c>
      <c r="S9">
        <v>89</v>
      </c>
      <c r="T9">
        <v>53</v>
      </c>
      <c r="U9">
        <v>1</v>
      </c>
      <c r="V9">
        <v>1554</v>
      </c>
      <c r="W9">
        <v>0</v>
      </c>
      <c r="X9">
        <v>0</v>
      </c>
      <c r="Y9">
        <v>1184</v>
      </c>
      <c r="Z9">
        <v>0</v>
      </c>
      <c r="AA9">
        <v>1184</v>
      </c>
      <c r="AB9">
        <v>2738</v>
      </c>
      <c r="AC9">
        <v>3000</v>
      </c>
      <c r="AD9">
        <v>0</v>
      </c>
      <c r="AF9" t="s">
        <v>383</v>
      </c>
      <c r="AG9" t="s">
        <v>148</v>
      </c>
      <c r="AH9" t="s">
        <v>450</v>
      </c>
      <c r="AI9">
        <v>0</v>
      </c>
      <c r="AJ9">
        <v>1</v>
      </c>
      <c r="AK9">
        <v>0</v>
      </c>
      <c r="AL9">
        <v>1</v>
      </c>
      <c r="AM9">
        <v>1</v>
      </c>
      <c r="AN9">
        <v>11</v>
      </c>
      <c r="AO9">
        <v>0</v>
      </c>
      <c r="AP9">
        <v>0</v>
      </c>
      <c r="AQ9">
        <v>216</v>
      </c>
      <c r="AR9">
        <v>0</v>
      </c>
      <c r="AS9">
        <v>0</v>
      </c>
      <c r="AT9">
        <v>0</v>
      </c>
      <c r="AU9">
        <v>100</v>
      </c>
      <c r="AV9">
        <v>100</v>
      </c>
      <c r="AW9">
        <v>309182</v>
      </c>
      <c r="AX9">
        <v>210244</v>
      </c>
      <c r="AY9">
        <v>132</v>
      </c>
      <c r="AZ9">
        <v>132</v>
      </c>
      <c r="BA9">
        <v>0</v>
      </c>
      <c r="BB9">
        <v>0</v>
      </c>
      <c r="BC9" s="3">
        <v>45160</v>
      </c>
      <c r="BD9" t="s">
        <v>243</v>
      </c>
      <c r="BE9">
        <v>380000</v>
      </c>
      <c r="BF9">
        <v>380000</v>
      </c>
      <c r="BG9" t="s">
        <v>201</v>
      </c>
      <c r="BH9">
        <v>30</v>
      </c>
      <c r="BI9" t="s">
        <v>65</v>
      </c>
      <c r="BJ9" t="s">
        <v>450</v>
      </c>
      <c r="BK9">
        <v>326300</v>
      </c>
      <c r="BL9">
        <v>46000</v>
      </c>
      <c r="BM9">
        <v>280300</v>
      </c>
      <c r="BN9">
        <v>0</v>
      </c>
      <c r="BO9">
        <v>0.85868421052631583</v>
      </c>
      <c r="BP9">
        <v>341434.79220853612</v>
      </c>
      <c r="BQ9">
        <v>350748.47415521863</v>
      </c>
      <c r="BR9" s="12">
        <f>(Sales[[#This Row],[DP1]]*Lookups!$B$59)+(Sales[[#This Row],[DP2]]*Lookups!$B$60)+(Sales[[#This Row],[DP3]]*Lookups!$B$61)</f>
        <v>-61946.341390870002</v>
      </c>
      <c r="BS9" s="12">
        <f>Lookups!$B$56*0.5</f>
        <v>44925.312794999998</v>
      </c>
      <c r="BT9" s="12">
        <f>Lookups!$B$56*0.5</f>
        <v>44925.312794999998</v>
      </c>
      <c r="BU9" s="12">
        <f>Lookups!$B$57*Sales[[#This Row],[LnAcres]]</f>
        <v>-110998.74281323297</v>
      </c>
      <c r="BV9" s="12">
        <f>VLOOKUP(Sales[[#This Row],[Qlty]],Lookups!$A$62:$E$75,2,FALSE)</f>
        <v>21557.329055999999</v>
      </c>
      <c r="BW9" s="12">
        <f>VLOOKUP(Sales[[#This Row],[Cnd]],Lookups!$A$76:$E$84,2,FALSE)</f>
        <v>197752.34721000001</v>
      </c>
      <c r="BX9" s="12">
        <f>Sales[[#This Row],[EffAge]]*Lookups!$B$85</f>
        <v>-7137.4592160000002</v>
      </c>
      <c r="BY9" s="12">
        <f>Sales[[#This Row],[MainFn]]*Lookups!$B$86</f>
        <v>63638.366801576005</v>
      </c>
      <c r="BZ9" s="12">
        <f>Sales[[#This Row],[UpprFn]]*Lookups!$B$87</f>
        <v>0</v>
      </c>
      <c r="CA9" s="12">
        <f>Sales[[#This Row],[AddFn]]*Lookups!$B$88</f>
        <v>0</v>
      </c>
      <c r="CB9" s="12">
        <f>Sales[[#This Row],[Bsmt]]*Lookups!$B$89</f>
        <v>0</v>
      </c>
      <c r="CC9" s="12">
        <f>Sales[[#This Row],[Fixtures]]*Lookups!$B$90</f>
        <v>30336.176841600001</v>
      </c>
      <c r="CD9" s="12">
        <f>Sales[[#This Row],[WdDeck]]*Lookups!$B$91</f>
        <v>0</v>
      </c>
      <c r="CE9" s="12">
        <f>SUM(Sales[[#This Row],[Days Prior Total]:[Mdl WdDeck]])</f>
        <v>223052.30207907307</v>
      </c>
      <c r="CF9" s="12">
        <f>ROUND(Sales[[#This Row],[25Det]],-2)</f>
        <v>20700</v>
      </c>
      <c r="CG9" s="12">
        <f>ROUND(SUM(Sales[[#This Row],[Mdl Qlty]:[Mdl WdDeck]])+Sales[[#This Row],[Mdl Res Intercept]]+Sales[[#This Row],[Days Prior Total]],-2)</f>
        <v>244200</v>
      </c>
      <c r="CH9" s="12">
        <f>ROUND(Sales[[#This Row],[Mdl Land Intercept]]+Sales[[#This Row],[Mdl LnAcres]],-2)</f>
        <v>-21100</v>
      </c>
      <c r="CI9" s="12">
        <f>Sales[[#This Row],[Unadj Res Value]]+Sales[[#This Row],[Unadj Det Value]]+Sales[[#This Row],[Unadj Land Value]]</f>
        <v>243800</v>
      </c>
      <c r="CJ9" s="13">
        <f>Sales[[#This Row],[Price]]/Sales[[#This Row],[Unadj Total Value]]</f>
        <v>0.98441345365053323</v>
      </c>
      <c r="CK9" s="13">
        <f>(Sales[[#This Row],[Unadj Total Value]]-Sales[[#This Row],[24Final]])/Sales[[#This Row],[24Final]]</f>
        <v>-2.6746506986027943E-2</v>
      </c>
      <c r="CL9" t="e">
        <v>#REF!</v>
      </c>
      <c r="CM9" t="e">
        <v>#REF!</v>
      </c>
      <c r="CN9" t="e">
        <v>#REF!</v>
      </c>
      <c r="CO9" t="e">
        <v>#REF!</v>
      </c>
      <c r="CP9" t="e">
        <v>#REF!</v>
      </c>
      <c r="CQ9" t="e">
        <v>#REF!</v>
      </c>
      <c r="CR9" t="e">
        <v>#REF!</v>
      </c>
      <c r="CS9" t="e">
        <v>#REF!</v>
      </c>
      <c r="CT9" t="e">
        <v>#REF!</v>
      </c>
      <c r="CU9" t="e">
        <v>#REF!</v>
      </c>
      <c r="CV9" t="e">
        <v>#REF!</v>
      </c>
      <c r="CW9" t="e">
        <v>#REF!</v>
      </c>
      <c r="CX9" s="15">
        <v>0</v>
      </c>
      <c r="CY9" s="15" t="e">
        <v>#REF!</v>
      </c>
      <c r="CZ9" s="15" t="e">
        <v>#REF!</v>
      </c>
      <c r="DA9" s="15" t="e">
        <v>#REF!</v>
      </c>
    </row>
    <row r="10" spans="1:105" x14ac:dyDescent="0.3">
      <c r="A10">
        <v>2025</v>
      </c>
      <c r="B10" s="1">
        <v>18132333422</v>
      </c>
      <c r="C10">
        <v>-2.3025850929940455</v>
      </c>
      <c r="D10">
        <v>0.1</v>
      </c>
      <c r="E10">
        <v>0</v>
      </c>
      <c r="F10">
        <v>6</v>
      </c>
      <c r="G10" t="s">
        <v>126</v>
      </c>
      <c r="H10">
        <v>3032</v>
      </c>
      <c r="I10" t="s">
        <v>349</v>
      </c>
      <c r="J10" t="s">
        <v>30</v>
      </c>
      <c r="K10">
        <v>11</v>
      </c>
      <c r="L10">
        <v>259</v>
      </c>
      <c r="M10" t="s">
        <v>269</v>
      </c>
      <c r="N10" t="s">
        <v>351</v>
      </c>
      <c r="O10" t="s">
        <v>303</v>
      </c>
      <c r="P10">
        <v>90</v>
      </c>
      <c r="Q10">
        <v>1925</v>
      </c>
      <c r="R10">
        <v>1968</v>
      </c>
      <c r="S10">
        <v>99</v>
      </c>
      <c r="T10">
        <v>56</v>
      </c>
      <c r="U10">
        <v>1</v>
      </c>
      <c r="V10">
        <v>958</v>
      </c>
      <c r="W10">
        <v>0</v>
      </c>
      <c r="X10">
        <v>0</v>
      </c>
      <c r="Y10">
        <v>958</v>
      </c>
      <c r="Z10">
        <v>285</v>
      </c>
      <c r="AA10">
        <v>673</v>
      </c>
      <c r="AB10">
        <v>1631</v>
      </c>
      <c r="AC10">
        <v>2000</v>
      </c>
      <c r="AD10">
        <v>0</v>
      </c>
      <c r="AF10" t="s">
        <v>383</v>
      </c>
      <c r="AG10" t="s">
        <v>382</v>
      </c>
      <c r="AH10" t="s">
        <v>450</v>
      </c>
      <c r="AI10">
        <v>1</v>
      </c>
      <c r="AJ10">
        <v>1</v>
      </c>
      <c r="AK10">
        <v>0</v>
      </c>
      <c r="AL10">
        <v>1</v>
      </c>
      <c r="AM10">
        <v>0</v>
      </c>
      <c r="AN10">
        <v>8</v>
      </c>
      <c r="AO10">
        <v>0</v>
      </c>
      <c r="AP10">
        <v>0</v>
      </c>
      <c r="AQ10">
        <v>0</v>
      </c>
      <c r="AR10">
        <v>0</v>
      </c>
      <c r="AS10">
        <v>378</v>
      </c>
      <c r="AT10">
        <v>378</v>
      </c>
      <c r="AU10">
        <v>100</v>
      </c>
      <c r="AV10">
        <v>100</v>
      </c>
      <c r="AW10">
        <v>226559</v>
      </c>
      <c r="AX10">
        <v>167654</v>
      </c>
      <c r="AY10">
        <v>959</v>
      </c>
      <c r="AZ10">
        <v>365</v>
      </c>
      <c r="BA10">
        <v>365</v>
      </c>
      <c r="BB10">
        <v>229</v>
      </c>
      <c r="BC10" s="3">
        <v>44333</v>
      </c>
      <c r="BD10" t="s">
        <v>34</v>
      </c>
      <c r="BE10">
        <v>400000</v>
      </c>
      <c r="BF10">
        <v>400000</v>
      </c>
      <c r="BG10" t="s">
        <v>201</v>
      </c>
      <c r="BH10">
        <v>27</v>
      </c>
      <c r="BI10" t="s">
        <v>65</v>
      </c>
      <c r="BJ10" t="s">
        <v>450</v>
      </c>
      <c r="BK10">
        <v>302800</v>
      </c>
      <c r="BL10">
        <v>34200</v>
      </c>
      <c r="BM10">
        <v>268600</v>
      </c>
      <c r="BN10">
        <v>0</v>
      </c>
      <c r="BO10">
        <v>0.75700000000000001</v>
      </c>
      <c r="BP10">
        <v>277127.78378826985</v>
      </c>
      <c r="BQ10">
        <v>329312.44013004348</v>
      </c>
      <c r="BR10" s="12">
        <f>(Sales[[#This Row],[DP1]]*Lookups!$B$59)+(Sales[[#This Row],[DP2]]*Lookups!$B$60)+(Sales[[#This Row],[DP3]]*Lookups!$B$61)</f>
        <v>-22097.270946670003</v>
      </c>
      <c r="BS10" s="12">
        <f>Lookups!$B$56*0.5</f>
        <v>44925.312794999998</v>
      </c>
      <c r="BT10" s="12">
        <f>Lookups!$B$56*0.5</f>
        <v>44925.312794999998</v>
      </c>
      <c r="BU10" s="12">
        <f>Lookups!$B$57*Sales[[#This Row],[LnAcres]]</f>
        <v>-110998.74281323297</v>
      </c>
      <c r="BV10" s="12">
        <f>VLOOKUP(Sales[[#This Row],[Qlty]],Lookups!$A$62:$E$75,2,FALSE)</f>
        <v>21557.329055999999</v>
      </c>
      <c r="BW10" s="12">
        <f>VLOOKUP(Sales[[#This Row],[Cnd]],Lookups!$A$76:$E$84,2,FALSE)</f>
        <v>197752.34721000001</v>
      </c>
      <c r="BX10" s="12">
        <f>Sales[[#This Row],[EffAge]]*Lookups!$B$85</f>
        <v>-7137.4592160000002</v>
      </c>
      <c r="BY10" s="12">
        <f>Sales[[#This Row],[MainFn]]*Lookups!$B$86</f>
        <v>72680.153389066996</v>
      </c>
      <c r="BZ10" s="12">
        <f>Sales[[#This Row],[UpprFn]]*Lookups!$B$87</f>
        <v>0</v>
      </c>
      <c r="CA10" s="12">
        <f>Sales[[#This Row],[AddFn]]*Lookups!$B$88</f>
        <v>0</v>
      </c>
      <c r="CB10" s="12">
        <f>Sales[[#This Row],[Bsmt]]*Lookups!$B$89</f>
        <v>0</v>
      </c>
      <c r="CC10" s="12">
        <f>Sales[[#This Row],[Fixtures]]*Lookups!$B$90</f>
        <v>41712.243157199999</v>
      </c>
      <c r="CD10" s="12">
        <f>Sales[[#This Row],[WdDeck]]*Lookups!$B$91</f>
        <v>0</v>
      </c>
      <c r="CE10" s="12">
        <f>SUM(Sales[[#This Row],[Days Prior Total]:[Mdl WdDeck]])</f>
        <v>283319.22542636405</v>
      </c>
      <c r="CF10" s="12">
        <f>ROUND(Sales[[#This Row],[25Det]],-2)</f>
        <v>20700</v>
      </c>
      <c r="CG10" s="12">
        <f>ROUND(SUM(Sales[[#This Row],[Mdl Qlty]:[Mdl WdDeck]])+Sales[[#This Row],[Mdl Res Intercept]]+Sales[[#This Row],[Days Prior Total]],-2)</f>
        <v>304500</v>
      </c>
      <c r="CH10" s="12">
        <f>ROUND(Sales[[#This Row],[Mdl Land Intercept]]+Sales[[#This Row],[Mdl LnAcres]],-2)</f>
        <v>-21100</v>
      </c>
      <c r="CI10" s="12">
        <f>Sales[[#This Row],[Unadj Res Value]]+Sales[[#This Row],[Unadj Det Value]]+Sales[[#This Row],[Unadj Land Value]]</f>
        <v>304100</v>
      </c>
      <c r="CJ10" s="13">
        <f>Sales[[#This Row],[Price]]/Sales[[#This Row],[Unadj Total Value]]</f>
        <v>0.88786583360736604</v>
      </c>
      <c r="CK10" s="13">
        <f>(Sales[[#This Row],[Unadj Total Value]]-Sales[[#This Row],[24Final]])/Sales[[#This Row],[24Final]]</f>
        <v>6.6643283058575933E-2</v>
      </c>
      <c r="CL10" t="e">
        <v>#REF!</v>
      </c>
      <c r="CM10" t="e">
        <v>#REF!</v>
      </c>
      <c r="CN10" t="e">
        <v>#REF!</v>
      </c>
      <c r="CO10" t="e">
        <v>#REF!</v>
      </c>
      <c r="CP10" t="e">
        <v>#REF!</v>
      </c>
      <c r="CQ10" t="e">
        <v>#REF!</v>
      </c>
      <c r="CR10" t="e">
        <v>#REF!</v>
      </c>
      <c r="CS10" t="e">
        <v>#REF!</v>
      </c>
      <c r="CT10" t="e">
        <v>#REF!</v>
      </c>
      <c r="CU10" t="e">
        <v>#REF!</v>
      </c>
      <c r="CV10" t="e">
        <v>#REF!</v>
      </c>
      <c r="CW10" t="e">
        <v>#REF!</v>
      </c>
      <c r="CX10" s="15">
        <v>0</v>
      </c>
      <c r="CY10" s="15" t="e">
        <v>#REF!</v>
      </c>
      <c r="CZ10" s="15" t="e">
        <v>#REF!</v>
      </c>
      <c r="DA10" s="15" t="e">
        <v>#REF!</v>
      </c>
    </row>
    <row r="11" spans="1:105" x14ac:dyDescent="0.3">
      <c r="A11">
        <v>2025</v>
      </c>
      <c r="B11" s="1">
        <v>18132343421</v>
      </c>
      <c r="C11">
        <v>-1.6607312068216509</v>
      </c>
      <c r="D11">
        <v>0.19</v>
      </c>
      <c r="E11">
        <v>8125</v>
      </c>
      <c r="F11">
        <v>6</v>
      </c>
      <c r="G11" t="s">
        <v>126</v>
      </c>
      <c r="H11">
        <v>3032</v>
      </c>
      <c r="I11" t="s">
        <v>349</v>
      </c>
      <c r="J11" t="s">
        <v>30</v>
      </c>
      <c r="K11">
        <v>11</v>
      </c>
      <c r="L11">
        <v>259</v>
      </c>
      <c r="M11" t="s">
        <v>241</v>
      </c>
      <c r="N11" t="s">
        <v>302</v>
      </c>
      <c r="O11" t="s">
        <v>323</v>
      </c>
      <c r="P11">
        <v>70</v>
      </c>
      <c r="Q11">
        <v>1954</v>
      </c>
      <c r="R11">
        <v>1974</v>
      </c>
      <c r="S11">
        <v>70</v>
      </c>
      <c r="T11">
        <v>50</v>
      </c>
      <c r="U11">
        <v>1</v>
      </c>
      <c r="V11">
        <v>1796</v>
      </c>
      <c r="W11">
        <v>0</v>
      </c>
      <c r="X11">
        <v>0</v>
      </c>
      <c r="Y11">
        <v>795</v>
      </c>
      <c r="Z11">
        <v>15</v>
      </c>
      <c r="AA11">
        <v>780</v>
      </c>
      <c r="AB11">
        <v>2576</v>
      </c>
      <c r="AC11">
        <v>3000</v>
      </c>
      <c r="AD11">
        <v>2</v>
      </c>
      <c r="AF11" t="s">
        <v>383</v>
      </c>
      <c r="AG11" t="s">
        <v>148</v>
      </c>
      <c r="AI11">
        <v>0</v>
      </c>
      <c r="AJ11">
        <v>1</v>
      </c>
      <c r="AK11">
        <v>0</v>
      </c>
      <c r="AL11">
        <v>1</v>
      </c>
      <c r="AM11">
        <v>1</v>
      </c>
      <c r="AN11">
        <v>10</v>
      </c>
      <c r="AO11">
        <v>0</v>
      </c>
      <c r="AP11">
        <v>600</v>
      </c>
      <c r="AQ11">
        <v>0</v>
      </c>
      <c r="AR11">
        <v>0</v>
      </c>
      <c r="AS11">
        <v>304</v>
      </c>
      <c r="AT11">
        <v>304</v>
      </c>
      <c r="AU11">
        <v>100</v>
      </c>
      <c r="AV11">
        <v>100</v>
      </c>
      <c r="AW11">
        <v>351429</v>
      </c>
      <c r="AX11">
        <v>274115</v>
      </c>
      <c r="AY11">
        <v>209</v>
      </c>
      <c r="AZ11">
        <v>209</v>
      </c>
      <c r="BA11">
        <v>0</v>
      </c>
      <c r="BB11">
        <v>0</v>
      </c>
      <c r="BC11" s="3">
        <v>45083</v>
      </c>
      <c r="BD11">
        <v>465070</v>
      </c>
      <c r="BE11">
        <v>370000</v>
      </c>
      <c r="BF11">
        <v>370000</v>
      </c>
      <c r="BG11" t="s">
        <v>201</v>
      </c>
      <c r="BH11">
        <v>30</v>
      </c>
      <c r="BI11" t="s">
        <v>65</v>
      </c>
      <c r="BJ11" t="s">
        <v>450</v>
      </c>
      <c r="BK11">
        <v>364500</v>
      </c>
      <c r="BL11">
        <v>56600</v>
      </c>
      <c r="BM11">
        <v>307900</v>
      </c>
      <c r="BN11">
        <v>0</v>
      </c>
      <c r="BO11">
        <v>0.98513513513513518</v>
      </c>
      <c r="BP11">
        <v>351446.46950383345</v>
      </c>
      <c r="BQ11">
        <v>366193.13258608076</v>
      </c>
      <c r="BR11" s="12">
        <f>(Sales[[#This Row],[DP1]]*Lookups!$B$59)+(Sales[[#This Row],[DP2]]*Lookups!$B$60)+(Sales[[#This Row],[DP3]]*Lookups!$B$61)</f>
        <v>-16722.29258709</v>
      </c>
      <c r="BS11" s="12">
        <f>Lookups!$B$56*0.5</f>
        <v>44925.312794999998</v>
      </c>
      <c r="BT11" s="12">
        <f>Lookups!$B$56*0.5</f>
        <v>44925.312794999998</v>
      </c>
      <c r="BU11" s="12">
        <f>Lookups!$B$57*Sales[[#This Row],[LnAcres]]</f>
        <v>-76222.592967103381</v>
      </c>
      <c r="BV11" s="12">
        <f>VLOOKUP(Sales[[#This Row],[Qlty]],Lookups!$A$62:$E$75,2,FALSE)</f>
        <v>44121.038090000002</v>
      </c>
      <c r="BW11" s="12">
        <f>VLOOKUP(Sales[[#This Row],[Cnd]],Lookups!$A$76:$E$84,2,FALSE)</f>
        <v>197752.34721000001</v>
      </c>
      <c r="BX11" s="12">
        <f>Sales[[#This Row],[EffAge]]*Lookups!$B$85</f>
        <v>-7806.5960175</v>
      </c>
      <c r="BY11" s="12">
        <f>Sales[[#This Row],[MainFn]]*Lookups!$B$86</f>
        <v>63836.001481084</v>
      </c>
      <c r="BZ11" s="12">
        <f>Sales[[#This Row],[UpprFn]]*Lookups!$B$87</f>
        <v>0</v>
      </c>
      <c r="CA11" s="12">
        <f>Sales[[#This Row],[AddFn]]*Lookups!$B$88</f>
        <v>0</v>
      </c>
      <c r="CB11" s="12">
        <f>Sales[[#This Row],[Bsmt]]*Lookups!$B$89</f>
        <v>17100.154405236</v>
      </c>
      <c r="CC11" s="12">
        <f>Sales[[#This Row],[Fixtures]]*Lookups!$B$90</f>
        <v>30336.176841600001</v>
      </c>
      <c r="CD11" s="12">
        <f>Sales[[#This Row],[WdDeck]]*Lookups!$B$91</f>
        <v>3196.3694664960003</v>
      </c>
      <c r="CE11" s="12">
        <f>SUM(Sales[[#This Row],[Days Prior Total]:[Mdl WdDeck]])</f>
        <v>345441.23151272262</v>
      </c>
      <c r="CF11" s="12">
        <f>ROUND(Sales[[#This Row],[25Det]],-2)</f>
        <v>0</v>
      </c>
      <c r="CG11" s="12">
        <f>ROUND(SUM(Sales[[#This Row],[Mdl Qlty]:[Mdl WdDeck]])+Sales[[#This Row],[Mdl Res Intercept]]+Sales[[#This Row],[Days Prior Total]],-2)</f>
        <v>331800</v>
      </c>
      <c r="CH11" s="12">
        <f>ROUND(Sales[[#This Row],[Mdl Land Intercept]]+Sales[[#This Row],[Mdl LnAcres]],-2)</f>
        <v>13600</v>
      </c>
      <c r="CI11" s="12">
        <f>Sales[[#This Row],[Unadj Res Value]]+Sales[[#This Row],[Unadj Det Value]]+Sales[[#This Row],[Unadj Land Value]]</f>
        <v>345400</v>
      </c>
      <c r="CJ11" s="13">
        <f>Sales[[#This Row],[Price]]/Sales[[#This Row],[Unadj Total Value]]</f>
        <v>1.129125651418645</v>
      </c>
      <c r="CK11" s="13">
        <f>(Sales[[#This Row],[Unadj Total Value]]-Sales[[#This Row],[24Final]])/Sales[[#This Row],[24Final]]</f>
        <v>8.1727962638645651E-3</v>
      </c>
      <c r="CL11" t="e">
        <v>#REF!</v>
      </c>
      <c r="CM11" t="e">
        <v>#REF!</v>
      </c>
      <c r="CN11" t="e">
        <v>#REF!</v>
      </c>
      <c r="CO11" t="e">
        <v>#REF!</v>
      </c>
      <c r="CP11" t="e">
        <v>#REF!</v>
      </c>
      <c r="CQ11" t="e">
        <v>#REF!</v>
      </c>
      <c r="CR11" t="e">
        <v>#REF!</v>
      </c>
      <c r="CS11" t="e">
        <v>#REF!</v>
      </c>
      <c r="CT11" t="e">
        <v>#REF!</v>
      </c>
      <c r="CU11" t="e">
        <v>#REF!</v>
      </c>
      <c r="CV11" t="e">
        <v>#REF!</v>
      </c>
      <c r="CW11" t="e">
        <v>#REF!</v>
      </c>
      <c r="CX11" s="15">
        <v>0</v>
      </c>
      <c r="CY11" s="15" t="e">
        <v>#REF!</v>
      </c>
      <c r="CZ11" s="15" t="e">
        <v>#REF!</v>
      </c>
      <c r="DA11" s="15" t="e">
        <v>#REF!</v>
      </c>
    </row>
    <row r="12" spans="1:105" x14ac:dyDescent="0.3">
      <c r="A12">
        <v>2025</v>
      </c>
      <c r="B12" s="1">
        <v>18132213053</v>
      </c>
      <c r="C12">
        <v>-1.5606477482646683</v>
      </c>
      <c r="D12">
        <v>0.21</v>
      </c>
      <c r="E12">
        <v>9286</v>
      </c>
      <c r="F12">
        <v>6</v>
      </c>
      <c r="G12" t="s">
        <v>126</v>
      </c>
      <c r="H12">
        <v>3033</v>
      </c>
      <c r="I12" t="s">
        <v>349</v>
      </c>
      <c r="J12" t="s">
        <v>30</v>
      </c>
      <c r="K12">
        <v>11</v>
      </c>
      <c r="L12">
        <v>259</v>
      </c>
      <c r="M12" t="s">
        <v>242</v>
      </c>
      <c r="N12" t="s">
        <v>205</v>
      </c>
      <c r="O12" t="s">
        <v>303</v>
      </c>
      <c r="P12">
        <v>80</v>
      </c>
      <c r="Q12">
        <v>1935</v>
      </c>
      <c r="R12">
        <v>2010</v>
      </c>
      <c r="S12">
        <v>89</v>
      </c>
      <c r="T12">
        <v>14</v>
      </c>
      <c r="U12">
        <v>1</v>
      </c>
      <c r="V12">
        <v>702</v>
      </c>
      <c r="W12">
        <v>0</v>
      </c>
      <c r="X12">
        <v>0</v>
      </c>
      <c r="Y12">
        <v>351</v>
      </c>
      <c r="Z12">
        <v>0</v>
      </c>
      <c r="AA12">
        <v>351</v>
      </c>
      <c r="AB12">
        <v>1053</v>
      </c>
      <c r="AC12">
        <v>1500</v>
      </c>
      <c r="AD12">
        <v>0</v>
      </c>
      <c r="AF12" t="s">
        <v>208</v>
      </c>
      <c r="AG12" t="s">
        <v>382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5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100</v>
      </c>
      <c r="AV12">
        <v>100</v>
      </c>
      <c r="AW12">
        <v>131758</v>
      </c>
      <c r="AX12">
        <v>126488</v>
      </c>
      <c r="AY12">
        <v>788</v>
      </c>
      <c r="AZ12">
        <v>365</v>
      </c>
      <c r="BA12">
        <v>365</v>
      </c>
      <c r="BB12">
        <v>58</v>
      </c>
      <c r="BC12" s="3">
        <v>44504</v>
      </c>
      <c r="BD12" t="s">
        <v>325</v>
      </c>
      <c r="BE12">
        <v>240000</v>
      </c>
      <c r="BF12">
        <v>240000</v>
      </c>
      <c r="BG12" t="s">
        <v>144</v>
      </c>
      <c r="BH12">
        <v>30</v>
      </c>
      <c r="BI12" t="s">
        <v>65</v>
      </c>
      <c r="BJ12" t="s">
        <v>450</v>
      </c>
      <c r="BK12">
        <v>269800</v>
      </c>
      <c r="BL12">
        <v>60100</v>
      </c>
      <c r="BM12">
        <v>209700</v>
      </c>
      <c r="BN12">
        <v>0</v>
      </c>
      <c r="BO12">
        <v>1.1241666666666668</v>
      </c>
      <c r="BP12">
        <v>269613.12818591268</v>
      </c>
      <c r="BQ12">
        <v>298931.37162608845</v>
      </c>
      <c r="BR12" s="12">
        <f>(Sales[[#This Row],[DP1]]*Lookups!$B$59)+(Sales[[#This Row],[DP2]]*Lookups!$B$60)+(Sales[[#This Row],[DP3]]*Lookups!$B$61)</f>
        <v>-24157.580888422002</v>
      </c>
      <c r="BS12" s="12">
        <f>Lookups!$B$56*0.5</f>
        <v>44925.312794999998</v>
      </c>
      <c r="BT12" s="12">
        <f>Lookups!$B$56*0.5</f>
        <v>44925.312794999998</v>
      </c>
      <c r="BU12" s="12">
        <f>Lookups!$B$57*Sales[[#This Row],[LnAcres]]</f>
        <v>-56090.612940989391</v>
      </c>
      <c r="BV12" s="12">
        <f>VLOOKUP(Sales[[#This Row],[Qlty]],Lookups!$A$62:$E$75,2,FALSE)</f>
        <v>29814.093161000001</v>
      </c>
      <c r="BW12" s="12">
        <f>VLOOKUP(Sales[[#This Row],[Cnd]],Lookups!$A$76:$E$84,2,FALSE)</f>
        <v>197752.34721000001</v>
      </c>
      <c r="BX12" s="12">
        <f>Sales[[#This Row],[EffAge]]*Lookups!$B$85</f>
        <v>-7806.5960175</v>
      </c>
      <c r="BY12" s="12">
        <f>Sales[[#This Row],[MainFn]]*Lookups!$B$86</f>
        <v>56424.700999534005</v>
      </c>
      <c r="BZ12" s="12">
        <f>Sales[[#This Row],[UpprFn]]*Lookups!$B$87</f>
        <v>0</v>
      </c>
      <c r="CA12" s="12">
        <f>Sales[[#This Row],[AddFn]]*Lookups!$B$88</f>
        <v>0</v>
      </c>
      <c r="CB12" s="12">
        <f>Sales[[#This Row],[Bsmt]]*Lookups!$B$89</f>
        <v>19950.180139442</v>
      </c>
      <c r="CC12" s="12">
        <f>Sales[[#This Row],[Fixtures]]*Lookups!$B$90</f>
        <v>41712.243157199999</v>
      </c>
      <c r="CD12" s="12">
        <f>Sales[[#This Row],[WdDeck]]*Lookups!$B$91</f>
        <v>18578.897524008004</v>
      </c>
      <c r="CE12" s="12">
        <f>SUM(Sales[[#This Row],[Days Prior Total]:[Mdl WdDeck]])</f>
        <v>366028.29793427256</v>
      </c>
      <c r="CF12" s="12">
        <f>ROUND(Sales[[#This Row],[25Det]],-2)</f>
        <v>0</v>
      </c>
      <c r="CG12" s="12">
        <f>ROUND(SUM(Sales[[#This Row],[Mdl Qlty]:[Mdl WdDeck]])+Sales[[#This Row],[Mdl Res Intercept]]+Sales[[#This Row],[Days Prior Total]],-2)</f>
        <v>332300</v>
      </c>
      <c r="CH12" s="12">
        <f>ROUND(Sales[[#This Row],[Mdl Land Intercept]]+Sales[[#This Row],[Mdl LnAcres]],-2)</f>
        <v>33800</v>
      </c>
      <c r="CI12" s="12">
        <f>Sales[[#This Row],[Unadj Res Value]]+Sales[[#This Row],[Unadj Det Value]]+Sales[[#This Row],[Unadj Land Value]]</f>
        <v>366100</v>
      </c>
      <c r="CJ12" s="13">
        <f>Sales[[#This Row],[Price]]/Sales[[#This Row],[Unadj Total Value]]</f>
        <v>0.95602294455066916</v>
      </c>
      <c r="CK12" s="13">
        <f>(Sales[[#This Row],[Unadj Total Value]]-Sales[[#This Row],[24Final]])/Sales[[#This Row],[24Final]]</f>
        <v>1.9493177387914229E-2</v>
      </c>
      <c r="CL12" t="e">
        <v>#REF!</v>
      </c>
      <c r="CM12" t="e">
        <v>#REF!</v>
      </c>
      <c r="CN12" t="e">
        <v>#REF!</v>
      </c>
      <c r="CO12" t="e">
        <v>#REF!</v>
      </c>
      <c r="CP12" t="e">
        <v>#REF!</v>
      </c>
      <c r="CQ12" t="e">
        <v>#REF!</v>
      </c>
      <c r="CR12" t="e">
        <v>#REF!</v>
      </c>
      <c r="CS12" t="e">
        <v>#REF!</v>
      </c>
      <c r="CT12" t="e">
        <v>#REF!</v>
      </c>
      <c r="CU12" t="e">
        <v>#REF!</v>
      </c>
      <c r="CV12" t="e">
        <v>#REF!</v>
      </c>
      <c r="CW12" t="e">
        <v>#REF!</v>
      </c>
      <c r="CX12" s="15">
        <v>0</v>
      </c>
      <c r="CY12" s="15" t="e">
        <v>#REF!</v>
      </c>
      <c r="CZ12" s="15" t="e">
        <v>#REF!</v>
      </c>
      <c r="DA12" s="15" t="e">
        <v>#REF!</v>
      </c>
    </row>
    <row r="13" spans="1:105" x14ac:dyDescent="0.3">
      <c r="A13">
        <v>2025</v>
      </c>
      <c r="B13" s="1">
        <v>18132241444</v>
      </c>
      <c r="C13">
        <v>-1.6094379124341003</v>
      </c>
      <c r="D13">
        <v>0.2</v>
      </c>
      <c r="E13">
        <v>8680</v>
      </c>
      <c r="F13">
        <v>6</v>
      </c>
      <c r="G13" t="s">
        <v>126</v>
      </c>
      <c r="H13">
        <v>3093</v>
      </c>
      <c r="I13" t="s">
        <v>349</v>
      </c>
      <c r="J13" t="s">
        <v>30</v>
      </c>
      <c r="K13">
        <v>11</v>
      </c>
      <c r="L13">
        <v>259</v>
      </c>
      <c r="M13" t="s">
        <v>147</v>
      </c>
      <c r="N13" t="s">
        <v>351</v>
      </c>
      <c r="O13" t="s">
        <v>303</v>
      </c>
      <c r="P13">
        <v>80</v>
      </c>
      <c r="Q13">
        <v>1940</v>
      </c>
      <c r="R13">
        <v>1972</v>
      </c>
      <c r="S13">
        <v>84</v>
      </c>
      <c r="T13">
        <v>52</v>
      </c>
      <c r="U13">
        <v>2</v>
      </c>
      <c r="V13">
        <v>952</v>
      </c>
      <c r="W13">
        <v>727</v>
      </c>
      <c r="X13">
        <v>0</v>
      </c>
      <c r="Y13">
        <v>969</v>
      </c>
      <c r="Z13">
        <v>0</v>
      </c>
      <c r="AA13">
        <v>969</v>
      </c>
      <c r="AB13">
        <v>2648</v>
      </c>
      <c r="AC13">
        <v>3000</v>
      </c>
      <c r="AD13">
        <v>0</v>
      </c>
      <c r="AF13" t="s">
        <v>383</v>
      </c>
      <c r="AG13" t="s">
        <v>175</v>
      </c>
      <c r="AH13" t="s">
        <v>450</v>
      </c>
      <c r="AI13">
        <v>0</v>
      </c>
      <c r="AJ13">
        <v>1</v>
      </c>
      <c r="AK13">
        <v>0</v>
      </c>
      <c r="AL13">
        <v>1</v>
      </c>
      <c r="AM13">
        <v>0</v>
      </c>
      <c r="AN13">
        <v>8</v>
      </c>
      <c r="AO13">
        <v>0</v>
      </c>
      <c r="AP13">
        <v>0</v>
      </c>
      <c r="AQ13">
        <v>420</v>
      </c>
      <c r="AR13">
        <v>0</v>
      </c>
      <c r="AS13">
        <v>544</v>
      </c>
      <c r="AT13">
        <v>544</v>
      </c>
      <c r="AU13">
        <v>100</v>
      </c>
      <c r="AV13">
        <v>100</v>
      </c>
      <c r="AW13">
        <v>283691</v>
      </c>
      <c r="AX13">
        <v>195747</v>
      </c>
      <c r="AY13">
        <v>278</v>
      </c>
      <c r="AZ13">
        <v>278</v>
      </c>
      <c r="BA13">
        <v>0</v>
      </c>
      <c r="BB13">
        <v>0</v>
      </c>
      <c r="BC13" s="3">
        <v>45014</v>
      </c>
      <c r="BD13" t="s">
        <v>244</v>
      </c>
      <c r="BE13">
        <v>395000</v>
      </c>
      <c r="BF13">
        <v>390455</v>
      </c>
      <c r="BG13" t="s">
        <v>144</v>
      </c>
      <c r="BH13">
        <v>30</v>
      </c>
      <c r="BI13" t="s">
        <v>65</v>
      </c>
      <c r="BJ13" t="s">
        <v>450</v>
      </c>
      <c r="BK13">
        <v>372800</v>
      </c>
      <c r="BL13">
        <v>58400</v>
      </c>
      <c r="BM13">
        <v>314400</v>
      </c>
      <c r="BN13">
        <v>4545</v>
      </c>
      <c r="BO13">
        <v>0.94379746835443035</v>
      </c>
      <c r="BP13">
        <v>365113.92978759692</v>
      </c>
      <c r="BQ13">
        <v>384729.10843288281</v>
      </c>
      <c r="BR13" s="12">
        <f>(Sales[[#This Row],[DP1]]*Lookups!$B$59)+(Sales[[#This Row],[DP2]]*Lookups!$B$60)+(Sales[[#This Row],[DP3]]*Lookups!$B$61)</f>
        <v>-24502.076037982002</v>
      </c>
      <c r="BS13" s="12">
        <f>Lookups!$B$56*0.5</f>
        <v>44925.312794999998</v>
      </c>
      <c r="BT13" s="12">
        <f>Lookups!$B$56*0.5</f>
        <v>44925.312794999998</v>
      </c>
      <c r="BU13" s="12">
        <f>Lookups!$B$57*Sales[[#This Row],[LnAcres]]</f>
        <v>-123833.58500677992</v>
      </c>
      <c r="BV13" s="12">
        <f>VLOOKUP(Sales[[#This Row],[Qlty]],Lookups!$A$62:$E$75,2,FALSE)</f>
        <v>44121.038090000002</v>
      </c>
      <c r="BW13" s="12">
        <f>VLOOKUP(Sales[[#This Row],[Cnd]],Lookups!$A$76:$E$84,2,FALSE)</f>
        <v>197752.34721000001</v>
      </c>
      <c r="BX13" s="12">
        <f>Sales[[#This Row],[EffAge]]*Lookups!$B$85</f>
        <v>-8921.82402</v>
      </c>
      <c r="BY13" s="12">
        <f>Sales[[#This Row],[MainFn]]*Lookups!$B$86</f>
        <v>79053.871803200003</v>
      </c>
      <c r="BZ13" s="12">
        <f>Sales[[#This Row],[UpprFn]]*Lookups!$B$87</f>
        <v>0</v>
      </c>
      <c r="CA13" s="12">
        <f>Sales[[#This Row],[AddFn]]*Lookups!$B$88</f>
        <v>0</v>
      </c>
      <c r="CB13" s="12">
        <f>Sales[[#This Row],[Bsmt]]*Lookups!$B$89</f>
        <v>34316.636391460001</v>
      </c>
      <c r="CC13" s="12">
        <f>Sales[[#This Row],[Fixtures]]*Lookups!$B$90</f>
        <v>41712.243157199999</v>
      </c>
      <c r="CD13" s="12">
        <f>Sales[[#This Row],[WdDeck]]*Lookups!$B$91</f>
        <v>16048.438363032001</v>
      </c>
      <c r="CE13" s="12">
        <f>SUM(Sales[[#This Row],[Days Prior Total]:[Mdl WdDeck]])</f>
        <v>345597.7155401301</v>
      </c>
      <c r="CF13" s="12">
        <f>ROUND(Sales[[#This Row],[25Det]],-2)</f>
        <v>0</v>
      </c>
      <c r="CG13" s="12">
        <f>ROUND(SUM(Sales[[#This Row],[Mdl Qlty]:[Mdl WdDeck]])+Sales[[#This Row],[Mdl Res Intercept]]+Sales[[#This Row],[Days Prior Total]],-2)</f>
        <v>379600</v>
      </c>
      <c r="CH13" s="12">
        <f>ROUND(Sales[[#This Row],[Mdl Land Intercept]]+Sales[[#This Row],[Mdl LnAcres]],-2)</f>
        <v>-34000</v>
      </c>
      <c r="CI13" s="12">
        <f>Sales[[#This Row],[Unadj Res Value]]+Sales[[#This Row],[Unadj Det Value]]+Sales[[#This Row],[Unadj Land Value]]</f>
        <v>345600</v>
      </c>
      <c r="CJ13" s="13">
        <f>Sales[[#This Row],[Price]]/Sales[[#This Row],[Unadj Total Value]]</f>
        <v>1.0850694444444444</v>
      </c>
      <c r="CK13" s="13">
        <f>(Sales[[#This Row],[Unadj Total Value]]-Sales[[#This Row],[24Final]])/Sales[[#This Row],[24Final]]</f>
        <v>0.17591017352841101</v>
      </c>
      <c r="CL13" t="e">
        <v>#REF!</v>
      </c>
      <c r="CM13" t="e">
        <v>#REF!</v>
      </c>
      <c r="CN13" t="e">
        <v>#REF!</v>
      </c>
      <c r="CO13" t="e">
        <v>#REF!</v>
      </c>
      <c r="CP13" t="e">
        <v>#REF!</v>
      </c>
      <c r="CQ13" t="e">
        <v>#REF!</v>
      </c>
      <c r="CR13" t="e">
        <v>#REF!</v>
      </c>
      <c r="CS13" t="e">
        <v>#REF!</v>
      </c>
      <c r="CT13" t="e">
        <v>#REF!</v>
      </c>
      <c r="CU13" t="e">
        <v>#REF!</v>
      </c>
      <c r="CV13" t="e">
        <v>#REF!</v>
      </c>
      <c r="CW13" t="e">
        <v>#REF!</v>
      </c>
      <c r="CX13" s="15">
        <v>0</v>
      </c>
      <c r="CY13" s="15" t="e">
        <v>#REF!</v>
      </c>
      <c r="CZ13" s="15" t="e">
        <v>#REF!</v>
      </c>
      <c r="DA13" s="15" t="e">
        <v>#REF!</v>
      </c>
    </row>
    <row r="14" spans="1:105" x14ac:dyDescent="0.3">
      <c r="A14">
        <v>2025</v>
      </c>
      <c r="B14" s="1">
        <v>18132212022</v>
      </c>
      <c r="C14">
        <v>-1.7719568419318752</v>
      </c>
      <c r="D14">
        <v>0.17</v>
      </c>
      <c r="E14">
        <v>7347</v>
      </c>
      <c r="F14">
        <v>6</v>
      </c>
      <c r="G14" t="s">
        <v>126</v>
      </c>
      <c r="H14">
        <v>3032</v>
      </c>
      <c r="I14" t="s">
        <v>349</v>
      </c>
      <c r="J14" t="s">
        <v>30</v>
      </c>
      <c r="K14">
        <v>11</v>
      </c>
      <c r="L14">
        <v>400</v>
      </c>
      <c r="M14" t="s">
        <v>242</v>
      </c>
      <c r="N14" t="s">
        <v>31</v>
      </c>
      <c r="O14" t="s">
        <v>323</v>
      </c>
      <c r="P14">
        <v>80</v>
      </c>
      <c r="Q14">
        <v>1938</v>
      </c>
      <c r="R14">
        <v>1971</v>
      </c>
      <c r="S14">
        <v>86</v>
      </c>
      <c r="T14">
        <v>53</v>
      </c>
      <c r="U14">
        <v>2</v>
      </c>
      <c r="V14">
        <v>644</v>
      </c>
      <c r="W14">
        <v>315</v>
      </c>
      <c r="X14">
        <v>0</v>
      </c>
      <c r="Y14">
        <v>630</v>
      </c>
      <c r="Z14">
        <v>420</v>
      </c>
      <c r="AA14">
        <v>210</v>
      </c>
      <c r="AB14">
        <v>1169</v>
      </c>
      <c r="AC14">
        <v>1500</v>
      </c>
      <c r="AD14">
        <v>0</v>
      </c>
      <c r="AF14" t="s">
        <v>383</v>
      </c>
      <c r="AG14" t="s">
        <v>148</v>
      </c>
      <c r="AH14" t="s">
        <v>65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5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100</v>
      </c>
      <c r="AV14">
        <v>100</v>
      </c>
      <c r="AW14">
        <v>145005</v>
      </c>
      <c r="AX14">
        <v>98603</v>
      </c>
      <c r="AY14">
        <v>523</v>
      </c>
      <c r="AZ14">
        <v>365</v>
      </c>
      <c r="BA14">
        <v>158</v>
      </c>
      <c r="BB14">
        <v>0</v>
      </c>
      <c r="BC14" s="3">
        <v>44769</v>
      </c>
      <c r="BD14" t="s">
        <v>451</v>
      </c>
      <c r="BE14">
        <v>255000</v>
      </c>
      <c r="BF14">
        <v>255000</v>
      </c>
      <c r="BG14" t="s">
        <v>343</v>
      </c>
      <c r="BH14">
        <v>27</v>
      </c>
      <c r="BI14" t="s">
        <v>65</v>
      </c>
      <c r="BJ14" t="s">
        <v>450</v>
      </c>
      <c r="BK14">
        <v>243800</v>
      </c>
      <c r="BL14">
        <v>52700</v>
      </c>
      <c r="BM14">
        <v>191100</v>
      </c>
      <c r="BN14">
        <v>0</v>
      </c>
      <c r="BO14">
        <v>0.956078431372549</v>
      </c>
      <c r="BR14" s="12">
        <f>(Sales[[#This Row],[DP1]]*Lookups!$B$59)+(Sales[[#This Row],[DP2]]*Lookups!$B$60)+(Sales[[#This Row],[DP3]]*Lookups!$B$61)</f>
        <v>-34399.668533470001</v>
      </c>
      <c r="BS14" s="12">
        <f>Lookups!$B$56*0.5</f>
        <v>44925.312794999998</v>
      </c>
      <c r="BT14" s="12">
        <f>Lookups!$B$56*0.5</f>
        <v>44925.312794999998</v>
      </c>
      <c r="BU14" s="12">
        <f>Lookups!$B$57*Sales[[#This Row],[LnAcres]]</f>
        <v>-110998.74281323297</v>
      </c>
      <c r="BV14" s="12">
        <f>VLOOKUP(Sales[[#This Row],[Qlty]],Lookups!$A$62:$E$75,2,FALSE)</f>
        <v>21557.329055999999</v>
      </c>
      <c r="BW14" s="12">
        <f>VLOOKUP(Sales[[#This Row],[Cnd]],Lookups!$A$76:$E$84,2,FALSE)</f>
        <v>160472.20319</v>
      </c>
      <c r="BX14" s="12">
        <f>Sales[[#This Row],[EffAge]]*Lookups!$B$85</f>
        <v>-9814.0064220000004</v>
      </c>
      <c r="BY14" s="12">
        <f>Sales[[#This Row],[MainFn]]*Lookups!$B$86</f>
        <v>71840.206001158003</v>
      </c>
      <c r="BZ14" s="12">
        <f>Sales[[#This Row],[UpprFn]]*Lookups!$B$87</f>
        <v>0</v>
      </c>
      <c r="CA14" s="12">
        <f>Sales[[#This Row],[AddFn]]*Lookups!$B$88</f>
        <v>0</v>
      </c>
      <c r="CB14" s="12">
        <f>Sales[[#This Row],[Bsmt]]*Lookups!$B$89</f>
        <v>0</v>
      </c>
      <c r="CC14" s="12">
        <f>Sales[[#This Row],[Fixtures]]*Lookups!$B$90</f>
        <v>30336.176841600001</v>
      </c>
      <c r="CD14" s="12">
        <f>Sales[[#This Row],[WdDeck]]*Lookups!$B$91</f>
        <v>0</v>
      </c>
      <c r="CE14" s="12">
        <f>SUM(Sales[[#This Row],[Days Prior Total]:[Mdl WdDeck]])</f>
        <v>218844.12291005504</v>
      </c>
      <c r="CF14" s="12">
        <f>ROUND(Sales[[#This Row],[25Det]],-2)</f>
        <v>14600</v>
      </c>
      <c r="CG14" s="12">
        <f>ROUND(SUM(Sales[[#This Row],[Mdl Qlty]:[Mdl WdDeck]])+Sales[[#This Row],[Mdl Res Intercept]]+Sales[[#This Row],[Days Prior Total]],-2)</f>
        <v>240000</v>
      </c>
      <c r="CH14" s="12">
        <f>ROUND(Sales[[#This Row],[Mdl Land Intercept]]+Sales[[#This Row],[Mdl LnAcres]],-2)</f>
        <v>-21100</v>
      </c>
      <c r="CI14" s="12">
        <f>Sales[[#This Row],[Unadj Res Value]]+Sales[[#This Row],[Unadj Det Value]]+Sales[[#This Row],[Unadj Land Value]]</f>
        <v>233500</v>
      </c>
      <c r="CJ14" s="13">
        <f>Sales[[#This Row],[Price]]/Sales[[#This Row],[Unadj Total Value]]</f>
        <v>1.0492505353319057</v>
      </c>
      <c r="CK14" s="13">
        <f>(Sales[[#This Row],[Unadj Total Value]]-Sales[[#This Row],[24Final]])/Sales[[#This Row],[24Final]]</f>
        <v>-0.10707456978967496</v>
      </c>
      <c r="CL14" t="e">
        <v>#REF!</v>
      </c>
      <c r="CM14" t="e">
        <v>#REF!</v>
      </c>
      <c r="CN14" t="e">
        <v>#REF!</v>
      </c>
      <c r="CO14" t="e">
        <v>#REF!</v>
      </c>
      <c r="CP14" t="e">
        <v>#REF!</v>
      </c>
      <c r="CQ14" t="e">
        <v>#REF!</v>
      </c>
      <c r="CR14" t="e">
        <v>#REF!</v>
      </c>
      <c r="CS14" t="e">
        <v>#REF!</v>
      </c>
      <c r="CT14" t="e">
        <v>#REF!</v>
      </c>
      <c r="CU14" t="e">
        <v>#REF!</v>
      </c>
      <c r="CV14" t="e">
        <v>#REF!</v>
      </c>
      <c r="CW14" t="e">
        <v>#REF!</v>
      </c>
      <c r="CX14" s="15">
        <v>0</v>
      </c>
      <c r="CY14" s="15" t="e">
        <v>#REF!</v>
      </c>
      <c r="CZ14" s="15" t="e">
        <v>#REF!</v>
      </c>
      <c r="DA14" s="15" t="e">
        <v>#REF!</v>
      </c>
    </row>
    <row r="15" spans="1:105" x14ac:dyDescent="0.3">
      <c r="A15">
        <v>2025</v>
      </c>
      <c r="B15" s="1">
        <v>18132212020</v>
      </c>
      <c r="C15">
        <v>-1.3470736479666092</v>
      </c>
      <c r="D15">
        <v>0.26</v>
      </c>
      <c r="E15">
        <v>11247</v>
      </c>
      <c r="F15">
        <v>6</v>
      </c>
      <c r="G15" t="s">
        <v>126</v>
      </c>
      <c r="H15">
        <v>3032</v>
      </c>
      <c r="I15" t="s">
        <v>349</v>
      </c>
      <c r="J15" t="s">
        <v>30</v>
      </c>
      <c r="K15">
        <v>11</v>
      </c>
      <c r="L15">
        <v>400</v>
      </c>
      <c r="M15" t="s">
        <v>242</v>
      </c>
      <c r="N15" t="s">
        <v>351</v>
      </c>
      <c r="O15" t="s">
        <v>206</v>
      </c>
      <c r="P15">
        <v>90</v>
      </c>
      <c r="Q15">
        <v>1930</v>
      </c>
      <c r="R15">
        <v>1970</v>
      </c>
      <c r="S15">
        <v>94</v>
      </c>
      <c r="T15">
        <v>54</v>
      </c>
      <c r="U15">
        <v>1</v>
      </c>
      <c r="V15">
        <v>936</v>
      </c>
      <c r="W15">
        <v>0</v>
      </c>
      <c r="X15">
        <v>0</v>
      </c>
      <c r="Y15">
        <v>700</v>
      </c>
      <c r="Z15">
        <v>452</v>
      </c>
      <c r="AA15">
        <v>248</v>
      </c>
      <c r="AB15">
        <v>1184</v>
      </c>
      <c r="AC15">
        <v>1500</v>
      </c>
      <c r="AD15">
        <v>0</v>
      </c>
      <c r="AF15" t="s">
        <v>383</v>
      </c>
      <c r="AG15" t="s">
        <v>175</v>
      </c>
      <c r="AH15" t="s">
        <v>65</v>
      </c>
      <c r="AI15">
        <v>0</v>
      </c>
      <c r="AJ15">
        <v>0</v>
      </c>
      <c r="AK15">
        <v>0</v>
      </c>
      <c r="AL15">
        <v>1</v>
      </c>
      <c r="AM15">
        <v>0</v>
      </c>
      <c r="AN15">
        <v>8</v>
      </c>
      <c r="AO15">
        <v>0</v>
      </c>
      <c r="AP15">
        <v>0</v>
      </c>
      <c r="AQ15">
        <v>570</v>
      </c>
      <c r="AR15">
        <v>0</v>
      </c>
      <c r="AS15">
        <v>480</v>
      </c>
      <c r="AT15">
        <v>0</v>
      </c>
      <c r="AU15">
        <v>100</v>
      </c>
      <c r="AV15">
        <v>100</v>
      </c>
      <c r="AW15">
        <v>192425</v>
      </c>
      <c r="AX15">
        <v>98137</v>
      </c>
      <c r="AY15">
        <v>972</v>
      </c>
      <c r="AZ15">
        <v>365</v>
      </c>
      <c r="BA15">
        <v>365</v>
      </c>
      <c r="BB15">
        <v>242</v>
      </c>
      <c r="BC15" s="3">
        <v>44320</v>
      </c>
      <c r="BD15" t="s">
        <v>304</v>
      </c>
      <c r="BE15">
        <v>215000</v>
      </c>
      <c r="BF15">
        <v>215000</v>
      </c>
      <c r="BG15" t="s">
        <v>343</v>
      </c>
      <c r="BH15">
        <v>30</v>
      </c>
      <c r="BI15" t="s">
        <v>65</v>
      </c>
      <c r="BJ15" t="s">
        <v>450</v>
      </c>
      <c r="BK15">
        <v>269600</v>
      </c>
      <c r="BL15">
        <v>67600</v>
      </c>
      <c r="BM15">
        <v>202000</v>
      </c>
      <c r="BN15">
        <v>0</v>
      </c>
      <c r="BO15">
        <v>1.2539534883720931</v>
      </c>
      <c r="BP15">
        <v>233453.91164014995</v>
      </c>
      <c r="BQ15">
        <v>287376.95024929638</v>
      </c>
      <c r="BR15" s="12">
        <f>(Sales[[#This Row],[DP1]]*Lookups!$B$59)+(Sales[[#This Row],[DP2]]*Lookups!$B$60)+(Sales[[#This Row],[DP3]]*Lookups!$B$61)</f>
        <v>-66091.714490770013</v>
      </c>
      <c r="BS15" s="12">
        <f>Lookups!$B$56*0.5</f>
        <v>44925.312794999998</v>
      </c>
      <c r="BT15" s="12">
        <f>Lookups!$B$56*0.5</f>
        <v>44925.312794999998</v>
      </c>
      <c r="BU15" s="12">
        <f>Lookups!$B$57*Sales[[#This Row],[LnAcres]]</f>
        <v>-110998.74281323297</v>
      </c>
      <c r="BV15" s="12">
        <f>VLOOKUP(Sales[[#This Row],[Qlty]],Lookups!$A$62:$E$75,2,FALSE)</f>
        <v>29814.093161000001</v>
      </c>
      <c r="BW15" s="12">
        <f>VLOOKUP(Sales[[#This Row],[Cnd]],Lookups!$A$76:$E$84,2,FALSE)</f>
        <v>197752.34721000001</v>
      </c>
      <c r="BX15" s="12">
        <f>Sales[[#This Row],[EffAge]]*Lookups!$B$85</f>
        <v>-9814.0064220000004</v>
      </c>
      <c r="BY15" s="12">
        <f>Sales[[#This Row],[MainFn]]*Lookups!$B$86</f>
        <v>66602.886994196</v>
      </c>
      <c r="BZ15" s="12">
        <f>Sales[[#This Row],[UpprFn]]*Lookups!$B$87</f>
        <v>0</v>
      </c>
      <c r="CA15" s="12">
        <f>Sales[[#This Row],[AddFn]]*Lookups!$B$88</f>
        <v>0</v>
      </c>
      <c r="CB15" s="12">
        <f>Sales[[#This Row],[Bsmt]]*Lookups!$B$89</f>
        <v>0</v>
      </c>
      <c r="CC15" s="12">
        <f>Sales[[#This Row],[Fixtures]]*Lookups!$B$90</f>
        <v>34128.198946800003</v>
      </c>
      <c r="CD15" s="12">
        <f>Sales[[#This Row],[WdDeck]]*Lookups!$B$91</f>
        <v>0</v>
      </c>
      <c r="CE15" s="12">
        <f>SUM(Sales[[#This Row],[Days Prior Total]:[Mdl WdDeck]])</f>
        <v>231243.68817599301</v>
      </c>
      <c r="CF15" s="12">
        <f>ROUND(Sales[[#This Row],[25Det]],-2)</f>
        <v>12800</v>
      </c>
      <c r="CG15" s="12">
        <f>ROUND(SUM(Sales[[#This Row],[Mdl Qlty]:[Mdl WdDeck]])+Sales[[#This Row],[Mdl Res Intercept]]+Sales[[#This Row],[Days Prior Total]],-2)</f>
        <v>252400</v>
      </c>
      <c r="CH15" s="12">
        <f>ROUND(Sales[[#This Row],[Mdl Land Intercept]]+Sales[[#This Row],[Mdl LnAcres]],-2)</f>
        <v>-21100</v>
      </c>
      <c r="CI15" s="12">
        <f>Sales[[#This Row],[Unadj Res Value]]+Sales[[#This Row],[Unadj Det Value]]+Sales[[#This Row],[Unadj Land Value]]</f>
        <v>244100</v>
      </c>
      <c r="CJ15" s="13">
        <f>Sales[[#This Row],[Price]]/Sales[[#This Row],[Unadj Total Value]]</f>
        <v>1.044653830397378</v>
      </c>
      <c r="CK15" s="13">
        <f>(Sales[[#This Row],[Unadj Total Value]]-Sales[[#This Row],[24Final]])/Sales[[#This Row],[24Final]]</f>
        <v>-9.7930524759793053E-2</v>
      </c>
      <c r="CL15" t="e">
        <v>#REF!</v>
      </c>
      <c r="CM15" t="e">
        <v>#REF!</v>
      </c>
      <c r="CN15" t="e">
        <v>#REF!</v>
      </c>
      <c r="CO15" t="e">
        <v>#REF!</v>
      </c>
      <c r="CP15" t="e">
        <v>#REF!</v>
      </c>
      <c r="CQ15" t="e">
        <v>#REF!</v>
      </c>
      <c r="CR15" t="e">
        <v>#REF!</v>
      </c>
      <c r="CS15" t="e">
        <v>#REF!</v>
      </c>
      <c r="CT15" t="e">
        <v>#REF!</v>
      </c>
      <c r="CU15" t="e">
        <v>#REF!</v>
      </c>
      <c r="CV15" t="e">
        <v>#REF!</v>
      </c>
      <c r="CW15" t="e">
        <v>#REF!</v>
      </c>
      <c r="CX15" s="15">
        <v>0</v>
      </c>
      <c r="CY15" s="15" t="e">
        <v>#REF!</v>
      </c>
      <c r="CZ15" s="15" t="e">
        <v>#REF!</v>
      </c>
      <c r="DA15" s="15" t="e">
        <v>#REF!</v>
      </c>
    </row>
    <row r="16" spans="1:105" x14ac:dyDescent="0.3">
      <c r="A16">
        <v>2025</v>
      </c>
      <c r="B16" s="1">
        <v>18132333421</v>
      </c>
      <c r="C16">
        <v>-1.9661128563728327</v>
      </c>
      <c r="D16">
        <v>0.14000000000000001</v>
      </c>
      <c r="E16">
        <v>6175</v>
      </c>
      <c r="F16">
        <v>6</v>
      </c>
      <c r="G16" t="s">
        <v>126</v>
      </c>
      <c r="H16" t="s">
        <v>349</v>
      </c>
      <c r="I16" t="s">
        <v>349</v>
      </c>
      <c r="J16" t="s">
        <v>30</v>
      </c>
      <c r="K16">
        <v>11</v>
      </c>
      <c r="L16">
        <v>259</v>
      </c>
      <c r="M16" t="s">
        <v>242</v>
      </c>
      <c r="N16" t="s">
        <v>351</v>
      </c>
      <c r="O16" t="s">
        <v>323</v>
      </c>
      <c r="P16">
        <v>90</v>
      </c>
      <c r="Q16">
        <v>1932</v>
      </c>
      <c r="R16">
        <v>1970</v>
      </c>
      <c r="S16">
        <v>92</v>
      </c>
      <c r="T16">
        <v>54</v>
      </c>
      <c r="U16">
        <v>1</v>
      </c>
      <c r="V16">
        <v>1004</v>
      </c>
      <c r="W16">
        <v>0</v>
      </c>
      <c r="X16">
        <v>0</v>
      </c>
      <c r="Y16">
        <v>500</v>
      </c>
      <c r="Z16">
        <v>0</v>
      </c>
      <c r="AA16">
        <v>500</v>
      </c>
      <c r="AB16">
        <v>1504</v>
      </c>
      <c r="AC16">
        <v>2000</v>
      </c>
      <c r="AD16">
        <v>0</v>
      </c>
      <c r="AF16" t="s">
        <v>383</v>
      </c>
      <c r="AG16" t="s">
        <v>148</v>
      </c>
      <c r="AH16" t="s">
        <v>450</v>
      </c>
      <c r="AI16">
        <v>0</v>
      </c>
      <c r="AJ16">
        <v>1</v>
      </c>
      <c r="AK16">
        <v>0</v>
      </c>
      <c r="AL16">
        <v>0</v>
      </c>
      <c r="AM16">
        <v>0</v>
      </c>
      <c r="AN16">
        <v>5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100</v>
      </c>
      <c r="AV16">
        <v>100</v>
      </c>
      <c r="AW16">
        <v>191509</v>
      </c>
      <c r="AX16">
        <v>143632</v>
      </c>
      <c r="AY16">
        <v>68</v>
      </c>
      <c r="AZ16">
        <v>68</v>
      </c>
      <c r="BA16">
        <v>0</v>
      </c>
      <c r="BB16">
        <v>0</v>
      </c>
      <c r="BC16" s="3">
        <v>45224</v>
      </c>
      <c r="BD16" t="s">
        <v>385</v>
      </c>
      <c r="BE16">
        <v>390000</v>
      </c>
      <c r="BF16">
        <v>351179</v>
      </c>
      <c r="BG16" t="s">
        <v>343</v>
      </c>
      <c r="BH16">
        <v>27</v>
      </c>
      <c r="BI16" t="s">
        <v>65</v>
      </c>
      <c r="BJ16" t="s">
        <v>450</v>
      </c>
      <c r="BK16">
        <v>327700</v>
      </c>
      <c r="BL16">
        <v>46000</v>
      </c>
      <c r="BM16">
        <v>281700</v>
      </c>
      <c r="BN16">
        <v>38821</v>
      </c>
      <c r="BO16">
        <v>0.84025641025641029</v>
      </c>
      <c r="BP16">
        <v>275908.553775382</v>
      </c>
      <c r="BQ16">
        <v>280706.51114185475</v>
      </c>
      <c r="BR16" s="12">
        <f>(Sales[[#This Row],[DP1]]*Lookups!$B$59)+(Sales[[#This Row],[DP2]]*Lookups!$B$60)+(Sales[[#This Row],[DP3]]*Lookups!$B$61)</f>
        <v>-24559.491896242002</v>
      </c>
      <c r="BS16" s="12">
        <f>Lookups!$B$56*0.5</f>
        <v>44925.312794999998</v>
      </c>
      <c r="BT16" s="12">
        <f>Lookups!$B$56*0.5</f>
        <v>44925.312794999998</v>
      </c>
      <c r="BU16" s="12">
        <f>Lookups!$B$57*Sales[[#This Row],[LnAcres]]</f>
        <v>-101892.2773541973</v>
      </c>
      <c r="BV16" s="12">
        <f>VLOOKUP(Sales[[#This Row],[Qlty]],Lookups!$A$62:$E$75,2,FALSE)</f>
        <v>21557.329055999999</v>
      </c>
      <c r="BW16" s="12">
        <f>VLOOKUP(Sales[[#This Row],[Cnd]],Lookups!$A$76:$E$84,2,FALSE)</f>
        <v>197752.34721000001</v>
      </c>
      <c r="BX16" s="12">
        <f>Sales[[#This Row],[EffAge]]*Lookups!$B$85</f>
        <v>-9814.0064220000004</v>
      </c>
      <c r="BY16" s="12">
        <f>Sales[[#This Row],[MainFn]]*Lookups!$B$86</f>
        <v>72828.379398698002</v>
      </c>
      <c r="BZ16" s="12">
        <f>Sales[[#This Row],[UpprFn]]*Lookups!$B$87</f>
        <v>0</v>
      </c>
      <c r="CA16" s="12">
        <f>Sales[[#This Row],[AddFn]]*Lookups!$B$88</f>
        <v>0</v>
      </c>
      <c r="CB16" s="12">
        <f>Sales[[#This Row],[Bsmt]]*Lookups!$B$89</f>
        <v>0</v>
      </c>
      <c r="CC16" s="12">
        <f>Sales[[#This Row],[Fixtures]]*Lookups!$B$90</f>
        <v>30336.176841600001</v>
      </c>
      <c r="CD16" s="12">
        <f>Sales[[#This Row],[WdDeck]]*Lookups!$B$91</f>
        <v>0</v>
      </c>
      <c r="CE16" s="12">
        <f>SUM(Sales[[#This Row],[Days Prior Total]:[Mdl WdDeck]])</f>
        <v>276059.08242385869</v>
      </c>
      <c r="CF16" s="12">
        <f>ROUND(Sales[[#This Row],[25Det]],-2)</f>
        <v>0</v>
      </c>
      <c r="CG16" s="12">
        <f>ROUND(SUM(Sales[[#This Row],[Mdl Qlty]:[Mdl WdDeck]])+Sales[[#This Row],[Mdl Res Intercept]]+Sales[[#This Row],[Days Prior Total]],-2)</f>
        <v>288100</v>
      </c>
      <c r="CH16" s="12">
        <f>ROUND(Sales[[#This Row],[Mdl Land Intercept]]+Sales[[#This Row],[Mdl LnAcres]],-2)</f>
        <v>-12000</v>
      </c>
      <c r="CI16" s="12">
        <f>Sales[[#This Row],[Unadj Res Value]]+Sales[[#This Row],[Unadj Det Value]]+Sales[[#This Row],[Unadj Land Value]]</f>
        <v>276100</v>
      </c>
      <c r="CJ16" s="13">
        <f>Sales[[#This Row],[Price]]/Sales[[#This Row],[Unadj Total Value]]</f>
        <v>1.0431003259688518</v>
      </c>
      <c r="CK16" s="13">
        <f>(Sales[[#This Row],[Unadj Total Value]]-Sales[[#This Row],[24Final]])/Sales[[#This Row],[24Final]]</f>
        <v>-7.6897358742895355E-2</v>
      </c>
      <c r="CL16" t="e">
        <v>#REF!</v>
      </c>
      <c r="CM16" t="e">
        <v>#REF!</v>
      </c>
      <c r="CN16" t="e">
        <v>#REF!</v>
      </c>
      <c r="CO16" t="e">
        <v>#REF!</v>
      </c>
      <c r="CP16" t="e">
        <v>#REF!</v>
      </c>
      <c r="CQ16" t="e">
        <v>#REF!</v>
      </c>
      <c r="CR16" t="e">
        <v>#REF!</v>
      </c>
      <c r="CS16" t="e">
        <v>#REF!</v>
      </c>
      <c r="CT16" t="e">
        <v>#REF!</v>
      </c>
      <c r="CU16" t="e">
        <v>#REF!</v>
      </c>
      <c r="CV16" t="e">
        <v>#REF!</v>
      </c>
      <c r="CW16" t="e">
        <v>#REF!</v>
      </c>
      <c r="CX16" s="15">
        <v>0</v>
      </c>
      <c r="CY16" s="15" t="e">
        <v>#REF!</v>
      </c>
      <c r="CZ16" s="15" t="e">
        <v>#REF!</v>
      </c>
      <c r="DA16" s="15" t="e">
        <v>#REF!</v>
      </c>
    </row>
    <row r="17" spans="1:105" x14ac:dyDescent="0.3">
      <c r="A17">
        <v>2025</v>
      </c>
      <c r="B17" s="1">
        <v>18131544466</v>
      </c>
      <c r="C17">
        <v>-3.912023005428146</v>
      </c>
      <c r="D17">
        <v>0.02</v>
      </c>
      <c r="E17">
        <v>1015</v>
      </c>
      <c r="F17">
        <v>6</v>
      </c>
      <c r="G17" t="s">
        <v>28</v>
      </c>
      <c r="H17">
        <v>3032</v>
      </c>
      <c r="I17" t="s">
        <v>349</v>
      </c>
      <c r="J17" t="s">
        <v>268</v>
      </c>
      <c r="K17">
        <v>11</v>
      </c>
      <c r="L17">
        <v>262</v>
      </c>
      <c r="M17" t="s">
        <v>381</v>
      </c>
      <c r="N17" t="s">
        <v>302</v>
      </c>
      <c r="O17" t="s">
        <v>303</v>
      </c>
      <c r="P17">
        <v>20</v>
      </c>
      <c r="Q17">
        <v>2001</v>
      </c>
      <c r="R17">
        <v>2001</v>
      </c>
      <c r="S17">
        <v>23</v>
      </c>
      <c r="T17">
        <v>23</v>
      </c>
      <c r="U17">
        <v>2</v>
      </c>
      <c r="V17">
        <v>581</v>
      </c>
      <c r="W17">
        <v>810</v>
      </c>
      <c r="X17">
        <v>0</v>
      </c>
      <c r="Y17">
        <v>0</v>
      </c>
      <c r="Z17">
        <v>0</v>
      </c>
      <c r="AA17">
        <v>0</v>
      </c>
      <c r="AB17">
        <v>1391</v>
      </c>
      <c r="AC17">
        <v>1500</v>
      </c>
      <c r="AD17">
        <v>2</v>
      </c>
      <c r="AF17" t="s">
        <v>383</v>
      </c>
      <c r="AG17" t="s">
        <v>148</v>
      </c>
      <c r="AH17" t="s">
        <v>450</v>
      </c>
      <c r="AI17">
        <v>0</v>
      </c>
      <c r="AJ17">
        <v>0</v>
      </c>
      <c r="AK17">
        <v>0</v>
      </c>
      <c r="AL17">
        <v>1</v>
      </c>
      <c r="AM17">
        <v>1</v>
      </c>
      <c r="AN17">
        <v>10</v>
      </c>
      <c r="AO17">
        <v>0</v>
      </c>
      <c r="AP17">
        <v>434</v>
      </c>
      <c r="AQ17">
        <v>0</v>
      </c>
      <c r="AR17">
        <v>0</v>
      </c>
      <c r="AS17">
        <v>0</v>
      </c>
      <c r="AT17">
        <v>0</v>
      </c>
      <c r="AU17">
        <v>100</v>
      </c>
      <c r="AV17">
        <v>100</v>
      </c>
      <c r="AW17">
        <v>190155</v>
      </c>
      <c r="AX17">
        <v>176844</v>
      </c>
      <c r="AY17">
        <v>886</v>
      </c>
      <c r="AZ17">
        <v>365</v>
      </c>
      <c r="BA17">
        <v>365</v>
      </c>
      <c r="BB17">
        <v>156</v>
      </c>
      <c r="BC17" s="3">
        <v>44406</v>
      </c>
      <c r="BD17" t="s">
        <v>98</v>
      </c>
      <c r="BE17">
        <v>220000</v>
      </c>
      <c r="BF17">
        <v>220000</v>
      </c>
      <c r="BG17" t="s">
        <v>343</v>
      </c>
      <c r="BH17">
        <v>30</v>
      </c>
      <c r="BI17" t="s">
        <v>65</v>
      </c>
      <c r="BJ17" t="s">
        <v>450</v>
      </c>
      <c r="BK17">
        <v>275600</v>
      </c>
      <c r="BL17">
        <v>41300</v>
      </c>
      <c r="BM17">
        <v>234300</v>
      </c>
      <c r="BN17">
        <v>0</v>
      </c>
      <c r="BO17">
        <v>1.2527272727272727</v>
      </c>
      <c r="BP17">
        <v>248934.12160918623</v>
      </c>
      <c r="BQ17">
        <v>291357.09291109635</v>
      </c>
      <c r="BR17" s="12">
        <f>(Sales[[#This Row],[DP1]]*Lookups!$B$59)+(Sales[[#This Row],[DP2]]*Lookups!$B$60)+(Sales[[#This Row],[DP3]]*Lookups!$B$61)</f>
        <v>-41754.362742969999</v>
      </c>
      <c r="BS17" s="12">
        <f>Lookups!$B$56*0.5</f>
        <v>44925.312794999998</v>
      </c>
      <c r="BT17" s="12">
        <f>Lookups!$B$56*0.5</f>
        <v>44925.312794999998</v>
      </c>
      <c r="BU17" s="12">
        <f>Lookups!$B$57*Sales[[#This Row],[LnAcres]]</f>
        <v>-123833.58500677992</v>
      </c>
      <c r="BV17" s="12">
        <f>VLOOKUP(Sales[[#This Row],[Qlty]],Lookups!$A$62:$E$75,2,FALSE)</f>
        <v>29814.093161000001</v>
      </c>
      <c r="BW17" s="12">
        <f>VLOOKUP(Sales[[#This Row],[Cnd]],Lookups!$A$76:$E$84,2,FALSE)</f>
        <v>160472.20319</v>
      </c>
      <c r="BX17" s="12">
        <f>Sales[[#This Row],[EffAge]]*Lookups!$B$85</f>
        <v>-9814.0064220000004</v>
      </c>
      <c r="BY17" s="12">
        <f>Sales[[#This Row],[MainFn]]*Lookups!$B$86</f>
        <v>41503.282696679998</v>
      </c>
      <c r="BZ17" s="12">
        <f>Sales[[#This Row],[UpprFn]]*Lookups!$B$87</f>
        <v>43890.694403779999</v>
      </c>
      <c r="CA17" s="12">
        <f>Sales[[#This Row],[AddFn]]*Lookups!$B$88</f>
        <v>0</v>
      </c>
      <c r="CB17" s="12">
        <f>Sales[[#This Row],[Bsmt]]*Lookups!$B$89</f>
        <v>0</v>
      </c>
      <c r="CC17" s="12">
        <f>Sales[[#This Row],[Fixtures]]*Lookups!$B$90</f>
        <v>41712.243157199999</v>
      </c>
      <c r="CD17" s="12">
        <f>Sales[[#This Row],[WdDeck]]*Lookups!$B$91</f>
        <v>0</v>
      </c>
      <c r="CE17" s="12">
        <f>SUM(Sales[[#This Row],[Days Prior Total]:[Mdl WdDeck]])</f>
        <v>231841.18802691007</v>
      </c>
      <c r="CF17" s="12">
        <f>ROUND(Sales[[#This Row],[25Det]],-2)</f>
        <v>0</v>
      </c>
      <c r="CG17" s="12">
        <f>ROUND(SUM(Sales[[#This Row],[Mdl Qlty]:[Mdl WdDeck]])+Sales[[#This Row],[Mdl Res Intercept]]+Sales[[#This Row],[Days Prior Total]],-2)</f>
        <v>265800</v>
      </c>
      <c r="CH17" s="12">
        <f>ROUND(Sales[[#This Row],[Mdl Land Intercept]]+Sales[[#This Row],[Mdl LnAcres]],-2)</f>
        <v>-34000</v>
      </c>
      <c r="CI17" s="12">
        <f>Sales[[#This Row],[Unadj Res Value]]+Sales[[#This Row],[Unadj Det Value]]+Sales[[#This Row],[Unadj Land Value]]</f>
        <v>231800</v>
      </c>
      <c r="CJ17" s="13">
        <f>Sales[[#This Row],[Price]]/Sales[[#This Row],[Unadj Total Value]]</f>
        <v>1.0353753235547887</v>
      </c>
      <c r="CK17" s="13">
        <f>(Sales[[#This Row],[Unadj Total Value]]-Sales[[#This Row],[24Final]])/Sales[[#This Row],[24Final]]</f>
        <v>-0.10674373795761079</v>
      </c>
      <c r="CL17" t="e">
        <v>#REF!</v>
      </c>
      <c r="CM17" t="e">
        <v>#REF!</v>
      </c>
      <c r="CN17" t="e">
        <v>#REF!</v>
      </c>
      <c r="CO17" t="e">
        <v>#REF!</v>
      </c>
      <c r="CP17" t="e">
        <v>#REF!</v>
      </c>
      <c r="CQ17" t="e">
        <v>#REF!</v>
      </c>
      <c r="CR17" t="e">
        <v>#REF!</v>
      </c>
      <c r="CS17" t="e">
        <v>#REF!</v>
      </c>
      <c r="CT17" t="e">
        <v>#REF!</v>
      </c>
      <c r="CU17" t="e">
        <v>#REF!</v>
      </c>
      <c r="CV17" t="e">
        <v>#REF!</v>
      </c>
      <c r="CW17" t="e">
        <v>#REF!</v>
      </c>
      <c r="CX17" s="15">
        <v>0</v>
      </c>
      <c r="CY17" s="15" t="e">
        <v>#REF!</v>
      </c>
      <c r="CZ17" s="15" t="e">
        <v>#REF!</v>
      </c>
      <c r="DA17" s="15" t="e">
        <v>#REF!</v>
      </c>
    </row>
    <row r="18" spans="1:105" x14ac:dyDescent="0.3">
      <c r="A18">
        <v>2025</v>
      </c>
      <c r="B18" s="1">
        <v>18131544465</v>
      </c>
      <c r="C18">
        <v>-3.912023005428146</v>
      </c>
      <c r="D18">
        <v>0.02</v>
      </c>
      <c r="E18">
        <v>1015</v>
      </c>
      <c r="F18">
        <v>6</v>
      </c>
      <c r="G18" t="s">
        <v>28</v>
      </c>
      <c r="H18">
        <v>3032</v>
      </c>
      <c r="I18" t="s">
        <v>349</v>
      </c>
      <c r="J18" t="s">
        <v>268</v>
      </c>
      <c r="K18">
        <v>11</v>
      </c>
      <c r="L18">
        <v>262</v>
      </c>
      <c r="M18" t="s">
        <v>381</v>
      </c>
      <c r="N18" t="s">
        <v>302</v>
      </c>
      <c r="O18" t="s">
        <v>303</v>
      </c>
      <c r="P18">
        <v>20</v>
      </c>
      <c r="Q18">
        <v>2001</v>
      </c>
      <c r="R18">
        <v>2001</v>
      </c>
      <c r="S18">
        <v>23</v>
      </c>
      <c r="T18">
        <v>23</v>
      </c>
      <c r="U18">
        <v>2</v>
      </c>
      <c r="V18">
        <v>581</v>
      </c>
      <c r="W18">
        <v>810</v>
      </c>
      <c r="X18">
        <v>0</v>
      </c>
      <c r="Y18">
        <v>0</v>
      </c>
      <c r="Z18">
        <v>0</v>
      </c>
      <c r="AA18">
        <v>0</v>
      </c>
      <c r="AB18">
        <v>1391</v>
      </c>
      <c r="AC18">
        <v>1500</v>
      </c>
      <c r="AD18">
        <v>2</v>
      </c>
      <c r="AF18" t="s">
        <v>383</v>
      </c>
      <c r="AG18" t="s">
        <v>148</v>
      </c>
      <c r="AH18" t="s">
        <v>450</v>
      </c>
      <c r="AI18">
        <v>0</v>
      </c>
      <c r="AJ18">
        <v>0</v>
      </c>
      <c r="AK18">
        <v>0</v>
      </c>
      <c r="AL18">
        <v>1</v>
      </c>
      <c r="AM18">
        <v>1</v>
      </c>
      <c r="AN18">
        <v>10</v>
      </c>
      <c r="AO18">
        <v>0</v>
      </c>
      <c r="AP18">
        <v>434</v>
      </c>
      <c r="AQ18">
        <v>0</v>
      </c>
      <c r="AR18">
        <v>0</v>
      </c>
      <c r="AS18">
        <v>0</v>
      </c>
      <c r="AT18">
        <v>0</v>
      </c>
      <c r="AU18">
        <v>100</v>
      </c>
      <c r="AV18">
        <v>100</v>
      </c>
      <c r="AW18">
        <v>190155</v>
      </c>
      <c r="AX18">
        <v>176844</v>
      </c>
      <c r="AY18">
        <v>780</v>
      </c>
      <c r="AZ18">
        <v>365</v>
      </c>
      <c r="BA18">
        <v>365</v>
      </c>
      <c r="BB18">
        <v>50</v>
      </c>
      <c r="BC18" s="3">
        <v>44512</v>
      </c>
      <c r="BD18" t="s">
        <v>176</v>
      </c>
      <c r="BE18">
        <v>250000</v>
      </c>
      <c r="BF18">
        <v>250000</v>
      </c>
      <c r="BG18" t="s">
        <v>343</v>
      </c>
      <c r="BH18">
        <v>30</v>
      </c>
      <c r="BI18" t="s">
        <v>65</v>
      </c>
      <c r="BJ18" t="s">
        <v>450</v>
      </c>
      <c r="BK18">
        <v>275600</v>
      </c>
      <c r="BL18">
        <v>41300</v>
      </c>
      <c r="BM18">
        <v>234300</v>
      </c>
      <c r="BN18">
        <v>0</v>
      </c>
      <c r="BO18">
        <v>1.1024</v>
      </c>
      <c r="BP18">
        <v>263108.62317391927</v>
      </c>
      <c r="BQ18">
        <v>291357.09291109635</v>
      </c>
      <c r="BR18" s="12">
        <f>(Sales[[#This Row],[DP1]]*Lookups!$B$59)+(Sales[[#This Row],[DP2]]*Lookups!$B$60)+(Sales[[#This Row],[DP3]]*Lookups!$B$61)</f>
        <v>-24483.694209790003</v>
      </c>
      <c r="BS18" s="12">
        <f>Lookups!$B$56*0.5</f>
        <v>44925.312794999998</v>
      </c>
      <c r="BT18" s="12">
        <f>Lookups!$B$56*0.5</f>
        <v>44925.312794999998</v>
      </c>
      <c r="BU18" s="12">
        <f>Lookups!$B$57*Sales[[#This Row],[LnAcres]]</f>
        <v>-101892.2773541973</v>
      </c>
      <c r="BV18" s="12">
        <f>VLOOKUP(Sales[[#This Row],[Qlty]],Lookups!$A$62:$E$75,2,FALSE)</f>
        <v>21557.329055999999</v>
      </c>
      <c r="BW18" s="12">
        <f>VLOOKUP(Sales[[#This Row],[Cnd]],Lookups!$A$76:$E$84,2,FALSE)</f>
        <v>197752.34721000001</v>
      </c>
      <c r="BX18" s="12">
        <f>Sales[[#This Row],[EffAge]]*Lookups!$B$85</f>
        <v>-9814.0064220000004</v>
      </c>
      <c r="BY18" s="12">
        <f>Sales[[#This Row],[MainFn]]*Lookups!$B$86</f>
        <v>66602.886994196</v>
      </c>
      <c r="BZ18" s="12">
        <f>Sales[[#This Row],[UpprFn]]*Lookups!$B$87</f>
        <v>0</v>
      </c>
      <c r="CA18" s="12">
        <f>Sales[[#This Row],[AddFn]]*Lookups!$B$88</f>
        <v>0</v>
      </c>
      <c r="CB18" s="12">
        <f>Sales[[#This Row],[Bsmt]]*Lookups!$B$89</f>
        <v>0</v>
      </c>
      <c r="CC18" s="12">
        <f>Sales[[#This Row],[Fixtures]]*Lookups!$B$90</f>
        <v>30336.176841600001</v>
      </c>
      <c r="CD18" s="12">
        <f>Sales[[#This Row],[WdDeck]]*Lookups!$B$91</f>
        <v>0</v>
      </c>
      <c r="CE18" s="12">
        <f>SUM(Sales[[#This Row],[Days Prior Total]:[Mdl WdDeck]])</f>
        <v>269909.38770580868</v>
      </c>
      <c r="CF18" s="12">
        <f>ROUND(Sales[[#This Row],[25Det]],-2)</f>
        <v>13300</v>
      </c>
      <c r="CG18" s="12">
        <f>ROUND(SUM(Sales[[#This Row],[Mdl Qlty]:[Mdl WdDeck]])+Sales[[#This Row],[Mdl Res Intercept]]+Sales[[#This Row],[Days Prior Total]],-2)</f>
        <v>282000</v>
      </c>
      <c r="CH18" s="12">
        <f>ROUND(Sales[[#This Row],[Mdl Land Intercept]]+Sales[[#This Row],[Mdl LnAcres]],-2)</f>
        <v>-12000</v>
      </c>
      <c r="CI18" s="12">
        <f>Sales[[#This Row],[Unadj Res Value]]+Sales[[#This Row],[Unadj Det Value]]+Sales[[#This Row],[Unadj Land Value]]</f>
        <v>283300</v>
      </c>
      <c r="CJ18" s="13">
        <f>Sales[[#This Row],[Price]]/Sales[[#This Row],[Unadj Total Value]]</f>
        <v>1.0236498411577832</v>
      </c>
      <c r="CK18" s="13">
        <f>(Sales[[#This Row],[Unadj Total Value]]-Sales[[#This Row],[24Final]])/Sales[[#This Row],[24Final]]</f>
        <v>6.1048689138576778E-2</v>
      </c>
      <c r="CL18" t="e">
        <v>#REF!</v>
      </c>
      <c r="CM18" t="e">
        <v>#REF!</v>
      </c>
      <c r="CN18" t="e">
        <v>#REF!</v>
      </c>
      <c r="CO18" t="e">
        <v>#REF!</v>
      </c>
      <c r="CP18" t="e">
        <v>#REF!</v>
      </c>
      <c r="CQ18" t="e">
        <v>#REF!</v>
      </c>
      <c r="CR18" t="e">
        <v>#REF!</v>
      </c>
      <c r="CS18" t="e">
        <v>#REF!</v>
      </c>
      <c r="CT18" t="e">
        <v>#REF!</v>
      </c>
      <c r="CU18" t="e">
        <v>#REF!</v>
      </c>
      <c r="CV18" t="e">
        <v>#REF!</v>
      </c>
      <c r="CW18" t="e">
        <v>#REF!</v>
      </c>
      <c r="CX18" s="15">
        <v>0</v>
      </c>
      <c r="CY18" s="15" t="e">
        <v>#REF!</v>
      </c>
      <c r="CZ18" s="15" t="e">
        <v>#REF!</v>
      </c>
      <c r="DA18" s="15" t="e">
        <v>#REF!</v>
      </c>
    </row>
    <row r="19" spans="1:105" x14ac:dyDescent="0.3">
      <c r="A19">
        <v>2025</v>
      </c>
      <c r="B19" s="1">
        <v>18132332516</v>
      </c>
      <c r="C19">
        <v>-1.7719568419318752</v>
      </c>
      <c r="D19">
        <v>0.17</v>
      </c>
      <c r="E19">
        <v>0</v>
      </c>
      <c r="F19">
        <v>6</v>
      </c>
      <c r="G19" t="s">
        <v>126</v>
      </c>
      <c r="H19">
        <v>3032</v>
      </c>
      <c r="I19" t="s">
        <v>349</v>
      </c>
      <c r="J19" t="s">
        <v>30</v>
      </c>
      <c r="K19">
        <v>11</v>
      </c>
      <c r="L19">
        <v>259</v>
      </c>
      <c r="M19" t="s">
        <v>242</v>
      </c>
      <c r="N19" t="s">
        <v>205</v>
      </c>
      <c r="O19" t="s">
        <v>206</v>
      </c>
      <c r="P19">
        <v>80</v>
      </c>
      <c r="Q19">
        <v>1938</v>
      </c>
      <c r="R19">
        <v>1972</v>
      </c>
      <c r="S19">
        <v>86</v>
      </c>
      <c r="T19">
        <v>52</v>
      </c>
      <c r="U19">
        <v>1</v>
      </c>
      <c r="V19">
        <v>884</v>
      </c>
      <c r="W19">
        <v>0</v>
      </c>
      <c r="X19">
        <v>0</v>
      </c>
      <c r="Y19">
        <v>884</v>
      </c>
      <c r="Z19">
        <v>884</v>
      </c>
      <c r="AA19">
        <v>0</v>
      </c>
      <c r="AB19">
        <v>884</v>
      </c>
      <c r="AC19">
        <v>1000</v>
      </c>
      <c r="AD19">
        <v>0</v>
      </c>
      <c r="AF19" t="s">
        <v>383</v>
      </c>
      <c r="AG19" t="s">
        <v>148</v>
      </c>
      <c r="AI19">
        <v>0</v>
      </c>
      <c r="AJ19">
        <v>1</v>
      </c>
      <c r="AK19">
        <v>0</v>
      </c>
      <c r="AL19">
        <v>0</v>
      </c>
      <c r="AM19">
        <v>0</v>
      </c>
      <c r="AN19">
        <v>5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100</v>
      </c>
      <c r="AV19">
        <v>100</v>
      </c>
      <c r="AW19">
        <v>150890</v>
      </c>
      <c r="AX19">
        <v>81481</v>
      </c>
      <c r="AY19">
        <v>690</v>
      </c>
      <c r="AZ19">
        <v>365</v>
      </c>
      <c r="BA19">
        <v>325</v>
      </c>
      <c r="BB19">
        <v>0</v>
      </c>
      <c r="BC19" s="3">
        <v>44602</v>
      </c>
      <c r="BD19" t="s">
        <v>127</v>
      </c>
      <c r="BE19">
        <v>184000</v>
      </c>
      <c r="BF19">
        <v>184000</v>
      </c>
      <c r="BG19" t="s">
        <v>344</v>
      </c>
      <c r="BH19">
        <v>27</v>
      </c>
      <c r="BI19" t="s">
        <v>65</v>
      </c>
      <c r="BJ19" t="s">
        <v>450</v>
      </c>
      <c r="BK19">
        <v>220900</v>
      </c>
      <c r="BL19">
        <v>52700</v>
      </c>
      <c r="BM19">
        <v>168200</v>
      </c>
      <c r="BN19">
        <v>0</v>
      </c>
      <c r="BO19">
        <v>1.2005434782608695</v>
      </c>
      <c r="BP19">
        <v>222200.23877118147</v>
      </c>
      <c r="BQ19">
        <v>244221.94973070675</v>
      </c>
      <c r="BR19" s="12">
        <f>(Sales[[#This Row],[DP1]]*Lookups!$B$59)+(Sales[[#This Row],[DP2]]*Lookups!$B$60)+(Sales[[#This Row],[DP3]]*Lookups!$B$61)</f>
        <v>-46568.344407370008</v>
      </c>
      <c r="BS19" s="12">
        <f>Lookups!$B$56*0.5</f>
        <v>44925.312794999998</v>
      </c>
      <c r="BT19" s="12">
        <f>Lookups!$B$56*0.5</f>
        <v>44925.312794999998</v>
      </c>
      <c r="BU19" s="12">
        <f>Lookups!$B$57*Sales[[#This Row],[LnAcres]]</f>
        <v>-110998.74281323297</v>
      </c>
      <c r="BV19" s="12">
        <f>VLOOKUP(Sales[[#This Row],[Qlty]],Lookups!$A$62:$E$75,2,FALSE)</f>
        <v>21557.329055999999</v>
      </c>
      <c r="BW19" s="12">
        <f>VLOOKUP(Sales[[#This Row],[Cnd]],Lookups!$A$76:$E$84,2,FALSE)</f>
        <v>197752.34721000001</v>
      </c>
      <c r="BX19" s="12">
        <f>Sales[[#This Row],[EffAge]]*Lookups!$B$85</f>
        <v>-9814.0064220000004</v>
      </c>
      <c r="BY19" s="12">
        <f>Sales[[#This Row],[MainFn]]*Lookups!$B$86</f>
        <v>66602.886994196</v>
      </c>
      <c r="BZ19" s="12">
        <f>Sales[[#This Row],[UpprFn]]*Lookups!$B$87</f>
        <v>0</v>
      </c>
      <c r="CA19" s="12">
        <f>Sales[[#This Row],[AddFn]]*Lookups!$B$88</f>
        <v>0</v>
      </c>
      <c r="CB19" s="12">
        <f>Sales[[#This Row],[Bsmt]]*Lookups!$B$89</f>
        <v>0</v>
      </c>
      <c r="CC19" s="12">
        <f>Sales[[#This Row],[Fixtures]]*Lookups!$B$90</f>
        <v>37920.221052000001</v>
      </c>
      <c r="CD19" s="12">
        <f>Sales[[#This Row],[WdDeck]]*Lookups!$B$91</f>
        <v>2330.6860693200001</v>
      </c>
      <c r="CE19" s="12">
        <f>SUM(Sales[[#This Row],[Days Prior Total]:[Mdl WdDeck]])</f>
        <v>248633.00232891302</v>
      </c>
      <c r="CF19" s="12">
        <f>ROUND(Sales[[#This Row],[25Det]],-2)</f>
        <v>13300</v>
      </c>
      <c r="CG19" s="12">
        <f>ROUND(SUM(Sales[[#This Row],[Mdl Qlty]:[Mdl WdDeck]])+Sales[[#This Row],[Mdl Res Intercept]]+Sales[[#This Row],[Days Prior Total]],-2)</f>
        <v>269800</v>
      </c>
      <c r="CH19" s="12">
        <f>ROUND(Sales[[#This Row],[Mdl Land Intercept]]+Sales[[#This Row],[Mdl LnAcres]],-2)</f>
        <v>-21100</v>
      </c>
      <c r="CI19" s="12">
        <f>Sales[[#This Row],[Unadj Res Value]]+Sales[[#This Row],[Unadj Det Value]]+Sales[[#This Row],[Unadj Land Value]]</f>
        <v>262000</v>
      </c>
      <c r="CJ19" s="13">
        <f>Sales[[#This Row],[Price]]/Sales[[#This Row],[Unadj Total Value]]</f>
        <v>1.0152671755725191</v>
      </c>
      <c r="CK19" s="13">
        <f>(Sales[[#This Row],[Unadj Total Value]]-Sales[[#This Row],[24Final]])/Sales[[#This Row],[24Final]]</f>
        <v>-4.4144472820138635E-2</v>
      </c>
      <c r="CL19" t="e">
        <v>#REF!</v>
      </c>
      <c r="CM19" t="e">
        <v>#REF!</v>
      </c>
      <c r="CN19" t="e">
        <v>#REF!</v>
      </c>
      <c r="CO19" t="e">
        <v>#REF!</v>
      </c>
      <c r="CP19" t="e">
        <v>#REF!</v>
      </c>
      <c r="CQ19" t="e">
        <v>#REF!</v>
      </c>
      <c r="CR19" t="e">
        <v>#REF!</v>
      </c>
      <c r="CS19" t="e">
        <v>#REF!</v>
      </c>
      <c r="CT19" t="e">
        <v>#REF!</v>
      </c>
      <c r="CU19" t="e">
        <v>#REF!</v>
      </c>
      <c r="CV19" t="e">
        <v>#REF!</v>
      </c>
      <c r="CW19" t="e">
        <v>#REF!</v>
      </c>
      <c r="CX19" s="15">
        <v>0</v>
      </c>
      <c r="CY19" s="15" t="e">
        <v>#REF!</v>
      </c>
      <c r="CZ19" s="15" t="e">
        <v>#REF!</v>
      </c>
      <c r="DA19" s="15" t="e">
        <v>#REF!</v>
      </c>
    </row>
    <row r="20" spans="1:105" x14ac:dyDescent="0.3">
      <c r="A20">
        <v>2025</v>
      </c>
      <c r="B20" s="1">
        <v>18132313494</v>
      </c>
      <c r="C20">
        <v>-1.7147984280919266</v>
      </c>
      <c r="D20">
        <v>0.18</v>
      </c>
      <c r="E20">
        <v>7699</v>
      </c>
      <c r="F20">
        <v>6</v>
      </c>
      <c r="G20" t="s">
        <v>126</v>
      </c>
      <c r="H20">
        <v>3033</v>
      </c>
      <c r="I20" t="s">
        <v>349</v>
      </c>
      <c r="J20" t="s">
        <v>30</v>
      </c>
      <c r="K20">
        <v>11</v>
      </c>
      <c r="L20">
        <v>259</v>
      </c>
      <c r="M20" t="s">
        <v>269</v>
      </c>
      <c r="N20" t="s">
        <v>31</v>
      </c>
      <c r="O20" t="s">
        <v>323</v>
      </c>
      <c r="P20">
        <v>90</v>
      </c>
      <c r="Q20">
        <v>1925</v>
      </c>
      <c r="R20">
        <v>1968</v>
      </c>
      <c r="S20">
        <v>99</v>
      </c>
      <c r="T20">
        <v>56</v>
      </c>
      <c r="U20">
        <v>1</v>
      </c>
      <c r="V20">
        <v>778</v>
      </c>
      <c r="W20">
        <v>0</v>
      </c>
      <c r="X20">
        <v>0</v>
      </c>
      <c r="Y20">
        <v>288</v>
      </c>
      <c r="Z20">
        <v>0</v>
      </c>
      <c r="AA20">
        <v>288</v>
      </c>
      <c r="AB20">
        <v>1066</v>
      </c>
      <c r="AC20">
        <v>1500</v>
      </c>
      <c r="AD20">
        <v>0</v>
      </c>
      <c r="AF20" t="s">
        <v>384</v>
      </c>
      <c r="AG20" t="s">
        <v>382</v>
      </c>
      <c r="AI20">
        <v>0</v>
      </c>
      <c r="AJ20">
        <v>0</v>
      </c>
      <c r="AK20">
        <v>1</v>
      </c>
      <c r="AL20">
        <v>0</v>
      </c>
      <c r="AM20">
        <v>0</v>
      </c>
      <c r="AN20">
        <v>5</v>
      </c>
      <c r="AO20">
        <v>0</v>
      </c>
      <c r="AP20">
        <v>0</v>
      </c>
      <c r="AQ20">
        <v>0</v>
      </c>
      <c r="AR20">
        <v>0</v>
      </c>
      <c r="AS20">
        <v>218</v>
      </c>
      <c r="AT20">
        <v>218</v>
      </c>
      <c r="AU20">
        <v>100</v>
      </c>
      <c r="AV20">
        <v>100</v>
      </c>
      <c r="AW20">
        <v>134318</v>
      </c>
      <c r="AX20">
        <v>87307</v>
      </c>
      <c r="AY20">
        <v>942</v>
      </c>
      <c r="AZ20">
        <v>365</v>
      </c>
      <c r="BA20">
        <v>365</v>
      </c>
      <c r="BB20">
        <v>212</v>
      </c>
      <c r="BC20" s="3">
        <v>44350</v>
      </c>
      <c r="BD20" t="s">
        <v>418</v>
      </c>
      <c r="BE20">
        <v>215000</v>
      </c>
      <c r="BF20">
        <v>210286</v>
      </c>
      <c r="BG20" t="s">
        <v>294</v>
      </c>
      <c r="BH20">
        <v>30</v>
      </c>
      <c r="BI20" t="s">
        <v>65</v>
      </c>
      <c r="BJ20" t="s">
        <v>450</v>
      </c>
      <c r="BK20">
        <v>241000</v>
      </c>
      <c r="BL20">
        <v>54700</v>
      </c>
      <c r="BM20">
        <v>186300</v>
      </c>
      <c r="BN20">
        <v>4714</v>
      </c>
      <c r="BO20">
        <v>1.1209302325581396</v>
      </c>
      <c r="BR20" s="12">
        <f>(Sales[[#This Row],[DP1]]*Lookups!$B$59)+(Sales[[#This Row],[DP2]]*Lookups!$B$60)+(Sales[[#This Row],[DP3]]*Lookups!$B$61)</f>
        <v>-8749.2163746800015</v>
      </c>
      <c r="BS20" s="12">
        <f>Lookups!$B$56*0.5</f>
        <v>44925.312794999998</v>
      </c>
      <c r="BT20" s="12">
        <f>Lookups!$B$56*0.5</f>
        <v>44925.312794999998</v>
      </c>
      <c r="BU20" s="12">
        <f>Lookups!$B$57*Sales[[#This Row],[LnAcres]]</f>
        <v>-101892.2773541973</v>
      </c>
      <c r="BV20" s="12">
        <f>VLOOKUP(Sales[[#This Row],[Qlty]],Lookups!$A$62:$E$75,2,FALSE)</f>
        <v>21557.329055999999</v>
      </c>
      <c r="BW20" s="12">
        <f>VLOOKUP(Sales[[#This Row],[Cnd]],Lookups!$A$76:$E$84,2,FALSE)</f>
        <v>160472.20319</v>
      </c>
      <c r="BX20" s="12">
        <f>Sales[[#This Row],[EffAge]]*Lookups!$B$85</f>
        <v>-9814.0064220000004</v>
      </c>
      <c r="BY20" s="12">
        <f>Sales[[#This Row],[MainFn]]*Lookups!$B$86</f>
        <v>66602.886994196</v>
      </c>
      <c r="BZ20" s="12">
        <f>Sales[[#This Row],[UpprFn]]*Lookups!$B$87</f>
        <v>0</v>
      </c>
      <c r="CA20" s="12">
        <f>Sales[[#This Row],[AddFn]]*Lookups!$B$88</f>
        <v>0</v>
      </c>
      <c r="CB20" s="12">
        <f>Sales[[#This Row],[Bsmt]]*Lookups!$B$89</f>
        <v>0</v>
      </c>
      <c r="CC20" s="12">
        <f>Sales[[#This Row],[Fixtures]]*Lookups!$B$90</f>
        <v>30336.176841600001</v>
      </c>
      <c r="CD20" s="12">
        <f>Sales[[#This Row],[WdDeck]]*Lookups!$B$91</f>
        <v>0</v>
      </c>
      <c r="CE20" s="12">
        <f>SUM(Sales[[#This Row],[Days Prior Total]:[Mdl WdDeck]])</f>
        <v>248363.72152091868</v>
      </c>
      <c r="CF20" s="12">
        <f>ROUND(Sales[[#This Row],[25Det]],-2)</f>
        <v>13300</v>
      </c>
      <c r="CG20" s="12">
        <f>ROUND(SUM(Sales[[#This Row],[Mdl Qlty]:[Mdl WdDeck]])+Sales[[#This Row],[Mdl Res Intercept]]+Sales[[#This Row],[Days Prior Total]],-2)</f>
        <v>260400</v>
      </c>
      <c r="CH20" s="12">
        <f>ROUND(Sales[[#This Row],[Mdl Land Intercept]]+Sales[[#This Row],[Mdl LnAcres]],-2)</f>
        <v>-12000</v>
      </c>
      <c r="CI20" s="12">
        <f>Sales[[#This Row],[Unadj Res Value]]+Sales[[#This Row],[Unadj Det Value]]+Sales[[#This Row],[Unadj Land Value]]</f>
        <v>261700</v>
      </c>
      <c r="CJ20" s="13">
        <f>Sales[[#This Row],[Price]]/Sales[[#This Row],[Unadj Total Value]]</f>
        <v>0.97439816583874661</v>
      </c>
      <c r="CK20" s="13">
        <f>(Sales[[#This Row],[Unadj Total Value]]-Sales[[#This Row],[24Final]])/Sales[[#This Row],[24Final]]</f>
        <v>-2.2413149047441166E-2</v>
      </c>
      <c r="CL20" t="e">
        <v>#REF!</v>
      </c>
      <c r="CM20" t="e">
        <v>#REF!</v>
      </c>
      <c r="CN20" t="e">
        <v>#REF!</v>
      </c>
      <c r="CO20" t="e">
        <v>#REF!</v>
      </c>
      <c r="CP20" t="e">
        <v>#REF!</v>
      </c>
      <c r="CQ20" t="e">
        <v>#REF!</v>
      </c>
      <c r="CR20" t="e">
        <v>#REF!</v>
      </c>
      <c r="CS20" t="e">
        <v>#REF!</v>
      </c>
      <c r="CT20" t="e">
        <v>#REF!</v>
      </c>
      <c r="CU20" t="e">
        <v>#REF!</v>
      </c>
      <c r="CV20" t="e">
        <v>#REF!</v>
      </c>
      <c r="CW20" t="e">
        <v>#REF!</v>
      </c>
      <c r="CX20" s="15">
        <v>0</v>
      </c>
      <c r="CY20" s="15" t="e">
        <v>#REF!</v>
      </c>
      <c r="CZ20" s="15" t="e">
        <v>#REF!</v>
      </c>
      <c r="DA20" s="15" t="e">
        <v>#REF!</v>
      </c>
    </row>
    <row r="21" spans="1:105" x14ac:dyDescent="0.3">
      <c r="A21">
        <v>2025</v>
      </c>
      <c r="B21" s="1">
        <v>18132332597</v>
      </c>
      <c r="C21">
        <v>-1.7719568419318752</v>
      </c>
      <c r="D21">
        <v>0.17</v>
      </c>
      <c r="E21">
        <v>0</v>
      </c>
      <c r="F21">
        <v>6</v>
      </c>
      <c r="G21" t="s">
        <v>126</v>
      </c>
      <c r="H21">
        <v>3032</v>
      </c>
      <c r="I21" t="s">
        <v>349</v>
      </c>
      <c r="J21" t="s">
        <v>30</v>
      </c>
      <c r="K21">
        <v>11</v>
      </c>
      <c r="L21">
        <v>259</v>
      </c>
      <c r="M21" t="s">
        <v>242</v>
      </c>
      <c r="N21" t="s">
        <v>31</v>
      </c>
      <c r="O21" t="s">
        <v>323</v>
      </c>
      <c r="P21">
        <v>80</v>
      </c>
      <c r="Q21">
        <v>1938</v>
      </c>
      <c r="R21">
        <v>1971</v>
      </c>
      <c r="S21">
        <v>86</v>
      </c>
      <c r="T21">
        <v>53</v>
      </c>
      <c r="U21">
        <v>1</v>
      </c>
      <c r="V21">
        <v>825</v>
      </c>
      <c r="W21">
        <v>0</v>
      </c>
      <c r="X21">
        <v>0</v>
      </c>
      <c r="Y21">
        <v>0</v>
      </c>
      <c r="Z21">
        <v>0</v>
      </c>
      <c r="AA21">
        <v>0</v>
      </c>
      <c r="AB21">
        <v>825</v>
      </c>
      <c r="AC21">
        <v>1000</v>
      </c>
      <c r="AD21">
        <v>0</v>
      </c>
      <c r="AF21" t="s">
        <v>384</v>
      </c>
      <c r="AG21" t="s">
        <v>382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5</v>
      </c>
      <c r="AO21">
        <v>0</v>
      </c>
      <c r="AP21">
        <v>0</v>
      </c>
      <c r="AQ21">
        <v>288</v>
      </c>
      <c r="AR21">
        <v>0</v>
      </c>
      <c r="AS21">
        <v>0</v>
      </c>
      <c r="AT21">
        <v>0</v>
      </c>
      <c r="AU21">
        <v>100</v>
      </c>
      <c r="AV21">
        <v>100</v>
      </c>
      <c r="AW21">
        <v>107867</v>
      </c>
      <c r="AX21">
        <v>73350</v>
      </c>
      <c r="AY21">
        <v>753</v>
      </c>
      <c r="AZ21">
        <v>365</v>
      </c>
      <c r="BA21">
        <v>365</v>
      </c>
      <c r="BB21">
        <v>23</v>
      </c>
      <c r="BC21" s="3">
        <v>44539</v>
      </c>
      <c r="BD21" t="s">
        <v>305</v>
      </c>
      <c r="BE21">
        <v>152500</v>
      </c>
      <c r="BF21">
        <v>152500</v>
      </c>
      <c r="BG21" t="s">
        <v>294</v>
      </c>
      <c r="BH21">
        <v>30</v>
      </c>
      <c r="BI21" t="s">
        <v>65</v>
      </c>
      <c r="BJ21" t="s">
        <v>450</v>
      </c>
      <c r="BK21">
        <v>223100</v>
      </c>
      <c r="BL21">
        <v>52700</v>
      </c>
      <c r="BM21">
        <v>170400</v>
      </c>
      <c r="BN21">
        <v>0</v>
      </c>
      <c r="BO21">
        <v>1.4629508196721313</v>
      </c>
      <c r="BR21" s="12">
        <f>(Sales[[#This Row],[DP1]]*Lookups!$B$59)+(Sales[[#This Row],[DP2]]*Lookups!$B$60)+(Sales[[#This Row],[DP3]]*Lookups!$B$61)</f>
        <v>-6773.5868707200007</v>
      </c>
      <c r="BS21" s="12">
        <f>Lookups!$B$56*0.5</f>
        <v>44925.312794999998</v>
      </c>
      <c r="BT21" s="12">
        <f>Lookups!$B$56*0.5</f>
        <v>44925.312794999998</v>
      </c>
      <c r="BU21" s="12">
        <f>Lookups!$B$57*Sales[[#This Row],[LnAcres]]</f>
        <v>-94828.753982263879</v>
      </c>
      <c r="BV21" s="12">
        <f>VLOOKUP(Sales[[#This Row],[Qlty]],Lookups!$A$62:$E$75,2,FALSE)</f>
        <v>21557.329055999999</v>
      </c>
      <c r="BW21" s="12">
        <f>VLOOKUP(Sales[[#This Row],[Cnd]],Lookups!$A$76:$E$84,2,FALSE)</f>
        <v>160472.20319</v>
      </c>
      <c r="BX21" s="12">
        <f>Sales[[#This Row],[EffAge]]*Lookups!$B$85</f>
        <v>-9814.0064220000004</v>
      </c>
      <c r="BY21" s="12">
        <f>Sales[[#This Row],[MainFn]]*Lookups!$B$86</f>
        <v>66602.886994196</v>
      </c>
      <c r="BZ21" s="12">
        <f>Sales[[#This Row],[UpprFn]]*Lookups!$B$87</f>
        <v>0</v>
      </c>
      <c r="CA21" s="12">
        <f>Sales[[#This Row],[AddFn]]*Lookups!$B$88</f>
        <v>0</v>
      </c>
      <c r="CB21" s="12">
        <f>Sales[[#This Row],[Bsmt]]*Lookups!$B$89</f>
        <v>0</v>
      </c>
      <c r="CC21" s="12">
        <f>Sales[[#This Row],[Fixtures]]*Lookups!$B$90</f>
        <v>30336.176841600001</v>
      </c>
      <c r="CD21" s="12">
        <f>Sales[[#This Row],[WdDeck]]*Lookups!$B$91</f>
        <v>0</v>
      </c>
      <c r="CE21" s="12">
        <f>SUM(Sales[[#This Row],[Days Prior Total]:[Mdl WdDeck]])</f>
        <v>257402.87439681214</v>
      </c>
      <c r="CF21" s="12">
        <f>ROUND(Sales[[#This Row],[25Det]],-2)</f>
        <v>12800</v>
      </c>
      <c r="CG21" s="12">
        <f>ROUND(SUM(Sales[[#This Row],[Mdl Qlty]:[Mdl WdDeck]])+Sales[[#This Row],[Mdl Res Intercept]]+Sales[[#This Row],[Days Prior Total]],-2)</f>
        <v>262400</v>
      </c>
      <c r="CH21" s="12">
        <f>ROUND(Sales[[#This Row],[Mdl Land Intercept]]+Sales[[#This Row],[Mdl LnAcres]],-2)</f>
        <v>-5000</v>
      </c>
      <c r="CI21" s="12">
        <f>Sales[[#This Row],[Unadj Res Value]]+Sales[[#This Row],[Unadj Det Value]]+Sales[[#This Row],[Unadj Land Value]]</f>
        <v>270200</v>
      </c>
      <c r="CJ21" s="13">
        <f>Sales[[#This Row],[Price]]/Sales[[#This Row],[Unadj Total Value]]</f>
        <v>0.94374537379718726</v>
      </c>
      <c r="CK21" s="13">
        <f>(Sales[[#This Row],[Unadj Total Value]]-Sales[[#This Row],[24Final]])/Sales[[#This Row],[24Final]]</f>
        <v>1.0471204188481676E-2</v>
      </c>
      <c r="CL21" t="e">
        <v>#REF!</v>
      </c>
      <c r="CM21" t="e">
        <v>#REF!</v>
      </c>
      <c r="CN21" t="e">
        <v>#REF!</v>
      </c>
      <c r="CO21" t="e">
        <v>#REF!</v>
      </c>
      <c r="CP21" t="e">
        <v>#REF!</v>
      </c>
      <c r="CQ21" t="e">
        <v>#REF!</v>
      </c>
      <c r="CR21" t="e">
        <v>#REF!</v>
      </c>
      <c r="CS21" t="e">
        <v>#REF!</v>
      </c>
      <c r="CT21" t="e">
        <v>#REF!</v>
      </c>
      <c r="CU21" t="e">
        <v>#REF!</v>
      </c>
      <c r="CV21" t="e">
        <v>#REF!</v>
      </c>
      <c r="CW21" t="e">
        <v>#REF!</v>
      </c>
      <c r="CX21" s="15">
        <v>0</v>
      </c>
      <c r="CY21" s="15" t="e">
        <v>#REF!</v>
      </c>
      <c r="CZ21" s="15" t="e">
        <v>#REF!</v>
      </c>
      <c r="DA21" s="15" t="e">
        <v>#REF!</v>
      </c>
    </row>
    <row r="22" spans="1:105" x14ac:dyDescent="0.3">
      <c r="A22">
        <v>2025</v>
      </c>
      <c r="B22" s="1">
        <v>18132344433</v>
      </c>
      <c r="C22">
        <v>-2.120263536200091</v>
      </c>
      <c r="D22">
        <v>0.12</v>
      </c>
      <c r="E22">
        <v>0</v>
      </c>
      <c r="F22">
        <v>6</v>
      </c>
      <c r="G22" t="s">
        <v>126</v>
      </c>
      <c r="H22">
        <v>3093</v>
      </c>
      <c r="I22" t="s">
        <v>349</v>
      </c>
      <c r="J22" t="s">
        <v>30</v>
      </c>
      <c r="K22">
        <v>11</v>
      </c>
      <c r="L22">
        <v>259</v>
      </c>
      <c r="M22" t="s">
        <v>242</v>
      </c>
      <c r="N22" t="s">
        <v>31</v>
      </c>
      <c r="O22" t="s">
        <v>323</v>
      </c>
      <c r="P22">
        <v>90</v>
      </c>
      <c r="Q22">
        <v>1925</v>
      </c>
      <c r="R22">
        <v>1968</v>
      </c>
      <c r="S22">
        <v>99</v>
      </c>
      <c r="T22">
        <v>56</v>
      </c>
      <c r="U22">
        <v>1</v>
      </c>
      <c r="V22">
        <v>630</v>
      </c>
      <c r="W22">
        <v>0</v>
      </c>
      <c r="X22">
        <v>0</v>
      </c>
      <c r="Y22">
        <v>0</v>
      </c>
      <c r="Z22">
        <v>0</v>
      </c>
      <c r="AA22">
        <v>0</v>
      </c>
      <c r="AB22">
        <v>630</v>
      </c>
      <c r="AC22">
        <v>1000</v>
      </c>
      <c r="AD22">
        <v>0</v>
      </c>
      <c r="AF22" t="s">
        <v>384</v>
      </c>
      <c r="AG22" t="s">
        <v>382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6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100</v>
      </c>
      <c r="AV22">
        <v>100</v>
      </c>
      <c r="AW22">
        <v>87794</v>
      </c>
      <c r="AX22">
        <v>57066</v>
      </c>
      <c r="AY22">
        <v>580</v>
      </c>
      <c r="AZ22">
        <v>365</v>
      </c>
      <c r="BA22">
        <v>215</v>
      </c>
      <c r="BB22">
        <v>0</v>
      </c>
      <c r="BC22" s="3">
        <v>44712</v>
      </c>
      <c r="BD22" t="s">
        <v>209</v>
      </c>
      <c r="BE22">
        <v>174500</v>
      </c>
      <c r="BF22">
        <v>174500</v>
      </c>
      <c r="BG22" t="s">
        <v>294</v>
      </c>
      <c r="BH22">
        <v>30</v>
      </c>
      <c r="BI22" t="s">
        <v>65</v>
      </c>
      <c r="BJ22" t="s">
        <v>450</v>
      </c>
      <c r="BK22">
        <v>206500</v>
      </c>
      <c r="BL22">
        <v>40600</v>
      </c>
      <c r="BM22">
        <v>165900</v>
      </c>
      <c r="BN22">
        <v>0</v>
      </c>
      <c r="BO22">
        <v>1.183381088825215</v>
      </c>
      <c r="BR22" s="12">
        <f>(Sales[[#This Row],[DP1]]*Lookups!$B$59)+(Sales[[#This Row],[DP2]]*Lookups!$B$60)+(Sales[[#This Row],[DP3]]*Lookups!$B$61)</f>
        <v>-23962.366970338</v>
      </c>
      <c r="BS22" s="12">
        <f>Lookups!$B$56*0.5</f>
        <v>44925.312794999998</v>
      </c>
      <c r="BT22" s="12">
        <f>Lookups!$B$56*0.5</f>
        <v>44925.312794999998</v>
      </c>
      <c r="BU22" s="12">
        <f>Lookups!$B$57*Sales[[#This Row],[LnAcres]]</f>
        <v>-123833.58500677992</v>
      </c>
      <c r="BV22" s="12">
        <f>VLOOKUP(Sales[[#This Row],[Qlty]],Lookups!$A$62:$E$75,2,FALSE)</f>
        <v>29814.093161000001</v>
      </c>
      <c r="BW22" s="12">
        <f>VLOOKUP(Sales[[#This Row],[Cnd]],Lookups!$A$76:$E$84,2,FALSE)</f>
        <v>197752.34721000001</v>
      </c>
      <c r="BX22" s="12">
        <f>Sales[[#This Row],[EffAge]]*Lookups!$B$85</f>
        <v>-9814.0064220000004</v>
      </c>
      <c r="BY22" s="12">
        <f>Sales[[#This Row],[MainFn]]*Lookups!$B$86</f>
        <v>41503.282696679998</v>
      </c>
      <c r="BZ22" s="12">
        <f>Sales[[#This Row],[UpprFn]]*Lookups!$B$87</f>
        <v>43890.694403779999</v>
      </c>
      <c r="CA22" s="12">
        <f>Sales[[#This Row],[AddFn]]*Lookups!$B$88</f>
        <v>0</v>
      </c>
      <c r="CB22" s="12">
        <f>Sales[[#This Row],[Bsmt]]*Lookups!$B$89</f>
        <v>0</v>
      </c>
      <c r="CC22" s="12">
        <f>Sales[[#This Row],[Fixtures]]*Lookups!$B$90</f>
        <v>45504.265262400004</v>
      </c>
      <c r="CD22" s="12">
        <f>Sales[[#This Row],[WdDeck]]*Lookups!$B$91</f>
        <v>0</v>
      </c>
      <c r="CE22" s="12">
        <f>SUM(Sales[[#This Row],[Days Prior Total]:[Mdl WdDeck]])</f>
        <v>290705.34992474213</v>
      </c>
      <c r="CF22" s="12">
        <f>ROUND(Sales[[#This Row],[25Det]],-2)</f>
        <v>0</v>
      </c>
      <c r="CG22" s="12">
        <f>ROUND(SUM(Sales[[#This Row],[Mdl Qlty]:[Mdl WdDeck]])+Sales[[#This Row],[Mdl Res Intercept]]+Sales[[#This Row],[Days Prior Total]],-2)</f>
        <v>324700</v>
      </c>
      <c r="CH22" s="12">
        <f>ROUND(Sales[[#This Row],[Mdl Land Intercept]]+Sales[[#This Row],[Mdl LnAcres]],-2)</f>
        <v>-34000</v>
      </c>
      <c r="CI22" s="12">
        <f>Sales[[#This Row],[Unadj Res Value]]+Sales[[#This Row],[Unadj Det Value]]+Sales[[#This Row],[Unadj Land Value]]</f>
        <v>290700</v>
      </c>
      <c r="CJ22" s="13">
        <f>Sales[[#This Row],[Price]]/Sales[[#This Row],[Unadj Total Value]]</f>
        <v>0.88063295493636051</v>
      </c>
      <c r="CK22" s="13">
        <f>(Sales[[#This Row],[Unadj Total Value]]-Sales[[#This Row],[24Final]])/Sales[[#This Row],[24Final]]</f>
        <v>0.12023121387283237</v>
      </c>
      <c r="CL22" t="e">
        <v>#REF!</v>
      </c>
      <c r="CM22" t="e">
        <v>#REF!</v>
      </c>
      <c r="CN22" t="e">
        <v>#REF!</v>
      </c>
      <c r="CO22" t="e">
        <v>#REF!</v>
      </c>
      <c r="CP22" t="e">
        <v>#REF!</v>
      </c>
      <c r="CQ22" t="e">
        <v>#REF!</v>
      </c>
      <c r="CR22" t="e">
        <v>#REF!</v>
      </c>
      <c r="CS22" t="e">
        <v>#REF!</v>
      </c>
      <c r="CT22" t="e">
        <v>#REF!</v>
      </c>
      <c r="CU22" t="e">
        <v>#REF!</v>
      </c>
      <c r="CV22" t="e">
        <v>#REF!</v>
      </c>
      <c r="CW22" t="e">
        <v>#REF!</v>
      </c>
      <c r="CX22" s="15">
        <v>0</v>
      </c>
      <c r="CY22" s="15" t="e">
        <v>#REF!</v>
      </c>
      <c r="CZ22" s="15" t="e">
        <v>#REF!</v>
      </c>
      <c r="DA22" s="15" t="e">
        <v>#REF!</v>
      </c>
    </row>
    <row r="23" spans="1:105" x14ac:dyDescent="0.3">
      <c r="A23">
        <v>2025</v>
      </c>
      <c r="B23" s="1">
        <v>18132331007</v>
      </c>
      <c r="C23">
        <v>-2.120263536200091</v>
      </c>
      <c r="D23">
        <v>0.12</v>
      </c>
      <c r="E23">
        <v>0</v>
      </c>
      <c r="F23">
        <v>6</v>
      </c>
      <c r="G23" t="s">
        <v>126</v>
      </c>
      <c r="H23">
        <v>3032</v>
      </c>
      <c r="I23" t="s">
        <v>349</v>
      </c>
      <c r="J23" t="s">
        <v>30</v>
      </c>
      <c r="K23">
        <v>11</v>
      </c>
      <c r="L23">
        <v>259</v>
      </c>
      <c r="M23" t="s">
        <v>241</v>
      </c>
      <c r="N23" t="s">
        <v>31</v>
      </c>
      <c r="O23" t="s">
        <v>303</v>
      </c>
      <c r="P23">
        <v>50</v>
      </c>
      <c r="Q23">
        <v>1968</v>
      </c>
      <c r="R23">
        <v>1977</v>
      </c>
      <c r="S23">
        <v>56</v>
      </c>
      <c r="T23">
        <v>47</v>
      </c>
      <c r="U23">
        <v>1</v>
      </c>
      <c r="V23">
        <v>984</v>
      </c>
      <c r="W23">
        <v>0</v>
      </c>
      <c r="X23">
        <v>0</v>
      </c>
      <c r="Y23">
        <v>0</v>
      </c>
      <c r="Z23">
        <v>0</v>
      </c>
      <c r="AA23">
        <v>0</v>
      </c>
      <c r="AB23">
        <v>984</v>
      </c>
      <c r="AC23">
        <v>1000</v>
      </c>
      <c r="AD23">
        <v>0</v>
      </c>
      <c r="AF23" t="s">
        <v>384</v>
      </c>
      <c r="AG23" t="s">
        <v>382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5</v>
      </c>
      <c r="AO23">
        <v>0</v>
      </c>
      <c r="AP23">
        <v>0</v>
      </c>
      <c r="AQ23">
        <v>364</v>
      </c>
      <c r="AR23">
        <v>0</v>
      </c>
      <c r="AS23">
        <v>0</v>
      </c>
      <c r="AT23">
        <v>0</v>
      </c>
      <c r="AU23">
        <v>100</v>
      </c>
      <c r="AV23">
        <v>100</v>
      </c>
      <c r="AW23">
        <v>125769</v>
      </c>
      <c r="AX23">
        <v>103131</v>
      </c>
      <c r="AY23">
        <v>929</v>
      </c>
      <c r="AZ23">
        <v>365</v>
      </c>
      <c r="BA23">
        <v>365</v>
      </c>
      <c r="BB23">
        <v>199</v>
      </c>
      <c r="BC23" s="3">
        <v>44363</v>
      </c>
      <c r="BD23" t="s">
        <v>306</v>
      </c>
      <c r="BE23">
        <v>237500</v>
      </c>
      <c r="BF23">
        <v>237500</v>
      </c>
      <c r="BG23" t="s">
        <v>294</v>
      </c>
      <c r="BH23">
        <v>30</v>
      </c>
      <c r="BI23" t="s">
        <v>65</v>
      </c>
      <c r="BJ23" t="s">
        <v>450</v>
      </c>
      <c r="BK23">
        <v>243500</v>
      </c>
      <c r="BL23">
        <v>40600</v>
      </c>
      <c r="BM23">
        <v>202900</v>
      </c>
      <c r="BN23">
        <v>0</v>
      </c>
      <c r="BO23">
        <v>1.0252631578947369</v>
      </c>
      <c r="BR23" s="12">
        <f>(Sales[[#This Row],[DP1]]*Lookups!$B$59)+(Sales[[#This Row],[DP2]]*Lookups!$B$60)+(Sales[[#This Row],[DP3]]*Lookups!$B$61)</f>
        <v>-24731.739471022</v>
      </c>
      <c r="BS23" s="12">
        <f>Lookups!$B$56*0.5</f>
        <v>44925.312794999998</v>
      </c>
      <c r="BT23" s="12">
        <f>Lookups!$B$56*0.5</f>
        <v>44925.312794999998</v>
      </c>
      <c r="BU23" s="12">
        <f>Lookups!$B$57*Sales[[#This Row],[LnAcres]]</f>
        <v>-101892.2773541973</v>
      </c>
      <c r="BV23" s="12">
        <f>VLOOKUP(Sales[[#This Row],[Qlty]],Lookups!$A$62:$E$75,2,FALSE)</f>
        <v>21557.329055999999</v>
      </c>
      <c r="BW23" s="12">
        <f>VLOOKUP(Sales[[#This Row],[Cnd]],Lookups!$A$76:$E$84,2,FALSE)</f>
        <v>284810.60806</v>
      </c>
      <c r="BX23" s="12">
        <f>Sales[[#This Row],[EffAge]]*Lookups!$B$85</f>
        <v>-9814.0064220000004</v>
      </c>
      <c r="BY23" s="12">
        <f>Sales[[#This Row],[MainFn]]*Lookups!$B$86</f>
        <v>66602.886994196</v>
      </c>
      <c r="BZ23" s="12">
        <f>Sales[[#This Row],[UpprFn]]*Lookups!$B$87</f>
        <v>0</v>
      </c>
      <c r="CA23" s="12">
        <f>Sales[[#This Row],[AddFn]]*Lookups!$B$88</f>
        <v>0</v>
      </c>
      <c r="CB23" s="12">
        <f>Sales[[#This Row],[Bsmt]]*Lookups!$B$89</f>
        <v>0</v>
      </c>
      <c r="CC23" s="12">
        <f>Sales[[#This Row],[Fixtures]]*Lookups!$B$90</f>
        <v>30336.176841600001</v>
      </c>
      <c r="CD23" s="12">
        <f>Sales[[#This Row],[WdDeck]]*Lookups!$B$91</f>
        <v>0</v>
      </c>
      <c r="CE23" s="12">
        <f>SUM(Sales[[#This Row],[Days Prior Total]:[Mdl WdDeck]])</f>
        <v>356719.60329457663</v>
      </c>
      <c r="CF23" s="12">
        <f>ROUND(Sales[[#This Row],[25Det]],-2)</f>
        <v>12800</v>
      </c>
      <c r="CG23" s="12">
        <f>ROUND(SUM(Sales[[#This Row],[Mdl Qlty]:[Mdl WdDeck]])+Sales[[#This Row],[Mdl Res Intercept]]+Sales[[#This Row],[Days Prior Total]],-2)</f>
        <v>368800</v>
      </c>
      <c r="CH23" s="12">
        <f>ROUND(Sales[[#This Row],[Mdl Land Intercept]]+Sales[[#This Row],[Mdl LnAcres]],-2)</f>
        <v>-12000</v>
      </c>
      <c r="CI23" s="12">
        <f>Sales[[#This Row],[Unadj Res Value]]+Sales[[#This Row],[Unadj Det Value]]+Sales[[#This Row],[Unadj Land Value]]</f>
        <v>369600</v>
      </c>
      <c r="CJ23" s="13">
        <f>Sales[[#This Row],[Price]]/Sales[[#This Row],[Unadj Total Value]]</f>
        <v>0.82521645021645018</v>
      </c>
      <c r="CK23" s="13">
        <f>(Sales[[#This Row],[Unadj Total Value]]-Sales[[#This Row],[24Final]])/Sales[[#This Row],[24Final]]</f>
        <v>0.36585365853658536</v>
      </c>
      <c r="CL23" t="e">
        <v>#REF!</v>
      </c>
      <c r="CM23" t="e">
        <v>#REF!</v>
      </c>
      <c r="CN23" t="e">
        <v>#REF!</v>
      </c>
      <c r="CO23" t="e">
        <v>#REF!</v>
      </c>
      <c r="CP23" t="e">
        <v>#REF!</v>
      </c>
      <c r="CQ23" t="e">
        <v>#REF!</v>
      </c>
      <c r="CR23" t="e">
        <v>#REF!</v>
      </c>
      <c r="CS23" t="e">
        <v>#REF!</v>
      </c>
      <c r="CT23" t="e">
        <v>#REF!</v>
      </c>
      <c r="CU23" t="e">
        <v>#REF!</v>
      </c>
      <c r="CV23" t="e">
        <v>#REF!</v>
      </c>
      <c r="CW23" t="e">
        <v>#REF!</v>
      </c>
      <c r="CX23" s="15">
        <v>0</v>
      </c>
      <c r="CY23" s="15" t="e">
        <v>#REF!</v>
      </c>
      <c r="CZ23" s="15" t="e">
        <v>#REF!</v>
      </c>
      <c r="DA23" s="15" t="e">
        <v>#REF!</v>
      </c>
    </row>
    <row r="24" spans="1:105" x14ac:dyDescent="0.3">
      <c r="A24">
        <v>2025</v>
      </c>
      <c r="B24" s="1">
        <v>18132243008</v>
      </c>
      <c r="C24">
        <v>-1.2378743560016174</v>
      </c>
      <c r="D24">
        <v>0.28999999999999998</v>
      </c>
      <c r="E24">
        <v>12768</v>
      </c>
      <c r="F24">
        <v>6</v>
      </c>
      <c r="G24" t="s">
        <v>126</v>
      </c>
      <c r="H24">
        <v>3093</v>
      </c>
      <c r="I24" t="s">
        <v>349</v>
      </c>
      <c r="J24" t="s">
        <v>30</v>
      </c>
      <c r="K24">
        <v>11</v>
      </c>
      <c r="L24">
        <v>259</v>
      </c>
      <c r="M24" t="s">
        <v>242</v>
      </c>
      <c r="N24" t="s">
        <v>31</v>
      </c>
      <c r="O24" t="s">
        <v>303</v>
      </c>
      <c r="P24">
        <v>80</v>
      </c>
      <c r="Q24">
        <v>1940</v>
      </c>
      <c r="R24">
        <v>1994</v>
      </c>
      <c r="S24">
        <v>84</v>
      </c>
      <c r="T24">
        <v>30</v>
      </c>
      <c r="U24">
        <v>1</v>
      </c>
      <c r="V24">
        <v>1260</v>
      </c>
      <c r="W24">
        <v>0</v>
      </c>
      <c r="X24">
        <v>0</v>
      </c>
      <c r="Y24">
        <v>572</v>
      </c>
      <c r="Z24">
        <v>572</v>
      </c>
      <c r="AA24">
        <v>0</v>
      </c>
      <c r="AB24">
        <v>1260</v>
      </c>
      <c r="AC24">
        <v>1500</v>
      </c>
      <c r="AD24">
        <v>0</v>
      </c>
      <c r="AF24" t="s">
        <v>384</v>
      </c>
      <c r="AG24" t="s">
        <v>382</v>
      </c>
      <c r="AH24" t="s">
        <v>65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5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100</v>
      </c>
      <c r="AV24">
        <v>100</v>
      </c>
      <c r="AW24">
        <v>167126</v>
      </c>
      <c r="AX24">
        <v>150413</v>
      </c>
      <c r="AY24">
        <v>516</v>
      </c>
      <c r="AZ24">
        <v>365</v>
      </c>
      <c r="BA24">
        <v>151</v>
      </c>
      <c r="BB24">
        <v>0</v>
      </c>
      <c r="BC24" s="3">
        <v>44776</v>
      </c>
      <c r="BD24" t="s">
        <v>452</v>
      </c>
      <c r="BE24">
        <v>255000</v>
      </c>
      <c r="BF24">
        <v>248131</v>
      </c>
      <c r="BG24" t="s">
        <v>294</v>
      </c>
      <c r="BH24">
        <v>30</v>
      </c>
      <c r="BI24" t="s">
        <v>65</v>
      </c>
      <c r="BJ24" t="s">
        <v>450</v>
      </c>
      <c r="BK24">
        <v>304800</v>
      </c>
      <c r="BL24">
        <v>71400</v>
      </c>
      <c r="BM24">
        <v>233400</v>
      </c>
      <c r="BN24">
        <v>6869</v>
      </c>
      <c r="BO24">
        <v>1.1952941176470588</v>
      </c>
      <c r="BR24" s="12">
        <f>(Sales[[#This Row],[DP1]]*Lookups!$B$59)+(Sales[[#This Row],[DP2]]*Lookups!$B$60)+(Sales[[#This Row],[DP3]]*Lookups!$B$61)</f>
        <v>-13053.266365450001</v>
      </c>
      <c r="BS24" s="12">
        <f>Lookups!$B$56*0.5</f>
        <v>44925.312794999998</v>
      </c>
      <c r="BT24" s="12">
        <f>Lookups!$B$56*0.5</f>
        <v>44925.312794999998</v>
      </c>
      <c r="BU24" s="12">
        <f>Lookups!$B$57*Sales[[#This Row],[LnAcres]]</f>
        <v>-101892.2773541973</v>
      </c>
      <c r="BV24" s="12">
        <f>VLOOKUP(Sales[[#This Row],[Qlty]],Lookups!$A$62:$E$75,2,FALSE)</f>
        <v>21557.329055999999</v>
      </c>
      <c r="BW24" s="12">
        <f>VLOOKUP(Sales[[#This Row],[Cnd]],Lookups!$A$76:$E$84,2,FALSE)</f>
        <v>197752.34721000001</v>
      </c>
      <c r="BX24" s="12">
        <f>Sales[[#This Row],[EffAge]]*Lookups!$B$85</f>
        <v>-9814.0064220000004</v>
      </c>
      <c r="BY24" s="12">
        <f>Sales[[#This Row],[MainFn]]*Lookups!$B$86</f>
        <v>66602.886994196</v>
      </c>
      <c r="BZ24" s="12">
        <f>Sales[[#This Row],[UpprFn]]*Lookups!$B$87</f>
        <v>0</v>
      </c>
      <c r="CA24" s="12">
        <f>Sales[[#This Row],[AddFn]]*Lookups!$B$88</f>
        <v>0</v>
      </c>
      <c r="CB24" s="12">
        <f>Sales[[#This Row],[Bsmt]]*Lookups!$B$89</f>
        <v>0</v>
      </c>
      <c r="CC24" s="12">
        <f>Sales[[#This Row],[Fixtures]]*Lookups!$B$90</f>
        <v>34128.198946800003</v>
      </c>
      <c r="CD24" s="12">
        <f>Sales[[#This Row],[WdDeck]]*Lookups!$B$91</f>
        <v>0</v>
      </c>
      <c r="CE24" s="12">
        <f>SUM(Sales[[#This Row],[Days Prior Total]:[Mdl WdDeck]])</f>
        <v>285131.8376553487</v>
      </c>
      <c r="CF24" s="12">
        <f>ROUND(Sales[[#This Row],[25Det]],-2)</f>
        <v>13300</v>
      </c>
      <c r="CG24" s="12">
        <f>ROUND(SUM(Sales[[#This Row],[Mdl Qlty]:[Mdl WdDeck]])+Sales[[#This Row],[Mdl Res Intercept]]+Sales[[#This Row],[Days Prior Total]],-2)</f>
        <v>297200</v>
      </c>
      <c r="CH24" s="12">
        <f>ROUND(Sales[[#This Row],[Mdl Land Intercept]]+Sales[[#This Row],[Mdl LnAcres]],-2)</f>
        <v>-12000</v>
      </c>
      <c r="CI24" s="12">
        <f>Sales[[#This Row],[Unadj Res Value]]+Sales[[#This Row],[Unadj Det Value]]+Sales[[#This Row],[Unadj Land Value]]</f>
        <v>298500</v>
      </c>
      <c r="CJ24" s="13">
        <f>Sales[[#This Row],[Price]]/Sales[[#This Row],[Unadj Total Value]]</f>
        <v>0.80485762144053596</v>
      </c>
      <c r="CK24" s="13">
        <f>(Sales[[#This Row],[Unadj Total Value]]-Sales[[#This Row],[24Final]])/Sales[[#This Row],[24Final]]</f>
        <v>0.12302483069977427</v>
      </c>
      <c r="CL24" t="e">
        <v>#REF!</v>
      </c>
      <c r="CM24" t="e">
        <v>#REF!</v>
      </c>
      <c r="CN24" t="e">
        <v>#REF!</v>
      </c>
      <c r="CO24" t="e">
        <v>#REF!</v>
      </c>
      <c r="CP24" t="e">
        <v>#REF!</v>
      </c>
      <c r="CQ24" t="e">
        <v>#REF!</v>
      </c>
      <c r="CR24" t="e">
        <v>#REF!</v>
      </c>
      <c r="CS24" t="e">
        <v>#REF!</v>
      </c>
      <c r="CT24" t="e">
        <v>#REF!</v>
      </c>
      <c r="CU24" t="e">
        <v>#REF!</v>
      </c>
      <c r="CV24" t="e">
        <v>#REF!</v>
      </c>
      <c r="CW24" t="e">
        <v>#REF!</v>
      </c>
      <c r="CX24" s="15">
        <v>0</v>
      </c>
      <c r="CY24" s="15" t="e">
        <v>#REF!</v>
      </c>
      <c r="CZ24" s="15" t="e">
        <v>#REF!</v>
      </c>
      <c r="DA24" s="15" t="e">
        <v>#REF!</v>
      </c>
    </row>
    <row r="25" spans="1:105" x14ac:dyDescent="0.3">
      <c r="A25">
        <v>2025</v>
      </c>
      <c r="B25" s="1">
        <v>18132242417</v>
      </c>
      <c r="C25">
        <v>-2.120263536200091</v>
      </c>
      <c r="D25">
        <v>0.12</v>
      </c>
      <c r="E25">
        <v>5200</v>
      </c>
      <c r="F25">
        <v>6</v>
      </c>
      <c r="G25" t="s">
        <v>126</v>
      </c>
      <c r="H25">
        <v>3033</v>
      </c>
      <c r="I25" t="s">
        <v>349</v>
      </c>
      <c r="J25" t="s">
        <v>30</v>
      </c>
      <c r="K25">
        <v>11</v>
      </c>
      <c r="L25">
        <v>259</v>
      </c>
      <c r="M25" t="s">
        <v>173</v>
      </c>
      <c r="N25" t="s">
        <v>205</v>
      </c>
      <c r="O25" t="s">
        <v>206</v>
      </c>
      <c r="P25">
        <v>80</v>
      </c>
      <c r="Q25">
        <v>1940</v>
      </c>
      <c r="R25">
        <v>1972</v>
      </c>
      <c r="S25">
        <v>84</v>
      </c>
      <c r="T25">
        <v>52</v>
      </c>
      <c r="U25">
        <v>2</v>
      </c>
      <c r="V25">
        <v>1219</v>
      </c>
      <c r="W25">
        <v>1</v>
      </c>
      <c r="X25">
        <v>0</v>
      </c>
      <c r="Y25">
        <v>1183</v>
      </c>
      <c r="Z25">
        <v>0</v>
      </c>
      <c r="AA25">
        <v>1183</v>
      </c>
      <c r="AB25">
        <v>2403</v>
      </c>
      <c r="AC25">
        <v>2500</v>
      </c>
      <c r="AD25">
        <v>0</v>
      </c>
      <c r="AF25" t="s">
        <v>207</v>
      </c>
      <c r="AG25" t="s">
        <v>148</v>
      </c>
      <c r="AH25" t="s">
        <v>65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5</v>
      </c>
      <c r="AO25">
        <v>0</v>
      </c>
      <c r="AP25">
        <v>0</v>
      </c>
      <c r="AQ25">
        <v>0</v>
      </c>
      <c r="AR25">
        <v>96</v>
      </c>
      <c r="AS25">
        <v>96</v>
      </c>
      <c r="AT25">
        <v>0</v>
      </c>
      <c r="AU25">
        <v>100</v>
      </c>
      <c r="AV25">
        <v>100</v>
      </c>
      <c r="AW25">
        <v>268534</v>
      </c>
      <c r="AX25">
        <v>145008</v>
      </c>
      <c r="AY25">
        <v>564</v>
      </c>
      <c r="AZ25">
        <v>365</v>
      </c>
      <c r="BA25">
        <v>199</v>
      </c>
      <c r="BB25">
        <v>0</v>
      </c>
      <c r="BC25" s="3">
        <v>44728</v>
      </c>
      <c r="BD25">
        <v>462636</v>
      </c>
      <c r="BE25">
        <v>215000</v>
      </c>
      <c r="BF25">
        <v>215000</v>
      </c>
      <c r="BG25" t="s">
        <v>294</v>
      </c>
      <c r="BH25">
        <v>27</v>
      </c>
      <c r="BI25" t="s">
        <v>65</v>
      </c>
      <c r="BJ25" t="s">
        <v>450</v>
      </c>
      <c r="BK25">
        <v>282600</v>
      </c>
      <c r="BL25">
        <v>40600</v>
      </c>
      <c r="BM25">
        <v>242000</v>
      </c>
      <c r="BN25">
        <v>0</v>
      </c>
      <c r="BO25">
        <v>1.3144186046511628</v>
      </c>
      <c r="BP25">
        <v>238216.39155299432</v>
      </c>
      <c r="BQ25">
        <v>261684.98214070385</v>
      </c>
      <c r="BR25" s="12">
        <f>(Sales[[#This Row],[DP1]]*Lookups!$B$59)+(Sales[[#This Row],[DP2]]*Lookups!$B$60)+(Sales[[#This Row],[DP3]]*Lookups!$B$61)</f>
        <v>-12206.568006610001</v>
      </c>
      <c r="BS25" s="12">
        <f>Lookups!$B$56*0.5</f>
        <v>44925.312794999998</v>
      </c>
      <c r="BT25" s="12">
        <f>Lookups!$B$56*0.5</f>
        <v>44925.312794999998</v>
      </c>
      <c r="BU25" s="12">
        <f>Lookups!$B$57*Sales[[#This Row],[LnAcres]]</f>
        <v>-101892.2773541973</v>
      </c>
      <c r="BV25" s="12">
        <f>VLOOKUP(Sales[[#This Row],[Qlty]],Lookups!$A$62:$E$75,2,FALSE)</f>
        <v>21557.329055999999</v>
      </c>
      <c r="BW25" s="12">
        <f>VLOOKUP(Sales[[#This Row],[Cnd]],Lookups!$A$76:$E$84,2,FALSE)</f>
        <v>197752.34721000001</v>
      </c>
      <c r="BX25" s="12">
        <f>Sales[[#This Row],[EffAge]]*Lookups!$B$85</f>
        <v>-9814.0064220000004</v>
      </c>
      <c r="BY25" s="12">
        <f>Sales[[#This Row],[MainFn]]*Lookups!$B$86</f>
        <v>66602.886994196</v>
      </c>
      <c r="BZ25" s="12">
        <f>Sales[[#This Row],[UpprFn]]*Lookups!$B$87</f>
        <v>0</v>
      </c>
      <c r="CA25" s="12">
        <f>Sales[[#This Row],[AddFn]]*Lookups!$B$88</f>
        <v>0</v>
      </c>
      <c r="CB25" s="12">
        <f>Sales[[#This Row],[Bsmt]]*Lookups!$B$89</f>
        <v>0</v>
      </c>
      <c r="CC25" s="12">
        <f>Sales[[#This Row],[Fixtures]]*Lookups!$B$90</f>
        <v>30336.176841600001</v>
      </c>
      <c r="CD25" s="12">
        <f>Sales[[#This Row],[WdDeck]]*Lookups!$B$91</f>
        <v>0</v>
      </c>
      <c r="CE25" s="12">
        <f>SUM(Sales[[#This Row],[Days Prior Total]:[Mdl WdDeck]])</f>
        <v>282186.51390898868</v>
      </c>
      <c r="CF25" s="12">
        <f>ROUND(Sales[[#This Row],[25Det]],-2)</f>
        <v>13300</v>
      </c>
      <c r="CG25" s="12">
        <f>ROUND(SUM(Sales[[#This Row],[Mdl Qlty]:[Mdl WdDeck]])+Sales[[#This Row],[Mdl Res Intercept]]+Sales[[#This Row],[Days Prior Total]],-2)</f>
        <v>294200</v>
      </c>
      <c r="CH25" s="12">
        <f>ROUND(Sales[[#This Row],[Mdl Land Intercept]]+Sales[[#This Row],[Mdl LnAcres]],-2)</f>
        <v>-12000</v>
      </c>
      <c r="CI25" s="12">
        <f>Sales[[#This Row],[Unadj Res Value]]+Sales[[#This Row],[Unadj Det Value]]+Sales[[#This Row],[Unadj Land Value]]</f>
        <v>295500</v>
      </c>
      <c r="CJ25" s="13">
        <f>Sales[[#This Row],[Price]]/Sales[[#This Row],[Unadj Total Value]]</f>
        <v>0.77834179357021993</v>
      </c>
      <c r="CK25" s="13">
        <f>(Sales[[#This Row],[Unadj Total Value]]-Sales[[#This Row],[24Final]])/Sales[[#This Row],[24Final]]</f>
        <v>0.11509433962264151</v>
      </c>
      <c r="CL25" t="e">
        <v>#REF!</v>
      </c>
      <c r="CM25" t="e">
        <v>#REF!</v>
      </c>
      <c r="CN25" t="e">
        <v>#REF!</v>
      </c>
      <c r="CO25" t="e">
        <v>#REF!</v>
      </c>
      <c r="CP25" t="e">
        <v>#REF!</v>
      </c>
      <c r="CQ25" t="e">
        <v>#REF!</v>
      </c>
      <c r="CR25" t="e">
        <v>#REF!</v>
      </c>
      <c r="CS25" t="e">
        <v>#REF!</v>
      </c>
      <c r="CT25" t="e">
        <v>#REF!</v>
      </c>
      <c r="CU25" t="e">
        <v>#REF!</v>
      </c>
      <c r="CV25" t="e">
        <v>#REF!</v>
      </c>
      <c r="CW25" t="e">
        <v>#REF!</v>
      </c>
      <c r="CX25" s="15">
        <v>0</v>
      </c>
      <c r="CY25" s="15" t="e">
        <v>#REF!</v>
      </c>
      <c r="CZ25" s="15" t="e">
        <v>#REF!</v>
      </c>
      <c r="DA25" s="15" t="e">
        <v>#REF!</v>
      </c>
    </row>
    <row r="26" spans="1:105" x14ac:dyDescent="0.3">
      <c r="A26">
        <v>2025</v>
      </c>
      <c r="B26" s="1">
        <v>18132244503</v>
      </c>
      <c r="C26">
        <v>-2.2072749131897207</v>
      </c>
      <c r="D26">
        <v>0.11</v>
      </c>
      <c r="E26">
        <v>4673</v>
      </c>
      <c r="F26">
        <v>6</v>
      </c>
      <c r="G26" t="s">
        <v>126</v>
      </c>
      <c r="H26">
        <v>3092</v>
      </c>
      <c r="I26" t="s">
        <v>349</v>
      </c>
      <c r="J26" t="s">
        <v>30</v>
      </c>
      <c r="K26">
        <v>11</v>
      </c>
      <c r="L26">
        <v>259</v>
      </c>
      <c r="M26" t="s">
        <v>242</v>
      </c>
      <c r="N26" t="s">
        <v>205</v>
      </c>
      <c r="O26" t="s">
        <v>323</v>
      </c>
      <c r="P26">
        <v>70</v>
      </c>
      <c r="Q26">
        <v>1946</v>
      </c>
      <c r="R26">
        <v>1972</v>
      </c>
      <c r="S26">
        <v>78</v>
      </c>
      <c r="T26">
        <v>52</v>
      </c>
      <c r="U26">
        <v>1</v>
      </c>
      <c r="V26">
        <v>725</v>
      </c>
      <c r="W26">
        <v>0</v>
      </c>
      <c r="X26">
        <v>0</v>
      </c>
      <c r="Y26">
        <v>0</v>
      </c>
      <c r="Z26">
        <v>0</v>
      </c>
      <c r="AA26">
        <v>0</v>
      </c>
      <c r="AB26">
        <v>725</v>
      </c>
      <c r="AC26">
        <v>1000</v>
      </c>
      <c r="AD26">
        <v>1</v>
      </c>
      <c r="AF26" t="s">
        <v>97</v>
      </c>
      <c r="AG26" t="s">
        <v>382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5</v>
      </c>
      <c r="AO26">
        <v>294</v>
      </c>
      <c r="AP26">
        <v>0</v>
      </c>
      <c r="AQ26">
        <v>0</v>
      </c>
      <c r="AR26">
        <v>0</v>
      </c>
      <c r="AS26">
        <v>196</v>
      </c>
      <c r="AT26">
        <v>0</v>
      </c>
      <c r="AU26">
        <v>100</v>
      </c>
      <c r="AV26">
        <v>100</v>
      </c>
      <c r="AW26">
        <v>112783</v>
      </c>
      <c r="AX26">
        <v>77820</v>
      </c>
      <c r="AY26">
        <v>822</v>
      </c>
      <c r="AZ26">
        <v>365</v>
      </c>
      <c r="BA26">
        <v>365</v>
      </c>
      <c r="BB26">
        <v>92</v>
      </c>
      <c r="BC26" s="3">
        <v>44470</v>
      </c>
      <c r="BD26" t="s">
        <v>453</v>
      </c>
      <c r="BE26">
        <v>215000</v>
      </c>
      <c r="BF26">
        <v>215000</v>
      </c>
      <c r="BG26" t="s">
        <v>294</v>
      </c>
      <c r="BH26">
        <v>27</v>
      </c>
      <c r="BI26" t="s">
        <v>65</v>
      </c>
      <c r="BJ26" t="s">
        <v>450</v>
      </c>
      <c r="BK26">
        <v>214300</v>
      </c>
      <c r="BL26">
        <v>37600</v>
      </c>
      <c r="BM26">
        <v>176700</v>
      </c>
      <c r="BN26">
        <v>0</v>
      </c>
      <c r="BO26">
        <v>0.9967441860465116</v>
      </c>
      <c r="BP26">
        <v>189770.63284965066</v>
      </c>
      <c r="BQ26">
        <v>223635.41452757103</v>
      </c>
      <c r="BR26" s="12">
        <f>(Sales[[#This Row],[DP1]]*Lookups!$B$59)+(Sales[[#This Row],[DP2]]*Lookups!$B$60)+(Sales[[#This Row],[DP3]]*Lookups!$B$61)</f>
        <v>-7126.3778535700003</v>
      </c>
      <c r="BS26" s="12">
        <f>Lookups!$B$56*0.5</f>
        <v>44925.312794999998</v>
      </c>
      <c r="BT26" s="12">
        <f>Lookups!$B$56*0.5</f>
        <v>44925.312794999998</v>
      </c>
      <c r="BU26" s="12">
        <f>Lookups!$B$57*Sales[[#This Row],[LnAcres]]</f>
        <v>-123833.58500677992</v>
      </c>
      <c r="BV26" s="12">
        <f>VLOOKUP(Sales[[#This Row],[Qlty]],Lookups!$A$62:$E$75,2,FALSE)</f>
        <v>44121.038090000002</v>
      </c>
      <c r="BW26" s="12">
        <f>VLOOKUP(Sales[[#This Row],[Cnd]],Lookups!$A$76:$E$84,2,FALSE)</f>
        <v>160472.20319</v>
      </c>
      <c r="BX26" s="12">
        <f>Sales[[#This Row],[EffAge]]*Lookups!$B$85</f>
        <v>-9814.0064220000004</v>
      </c>
      <c r="BY26" s="12">
        <f>Sales[[#This Row],[MainFn]]*Lookups!$B$86</f>
        <v>44517.211559176998</v>
      </c>
      <c r="BZ26" s="12">
        <f>Sales[[#This Row],[UpprFn]]*Lookups!$B$87</f>
        <v>40128.634883455998</v>
      </c>
      <c r="CA26" s="12">
        <f>Sales[[#This Row],[AddFn]]*Lookups!$B$88</f>
        <v>0</v>
      </c>
      <c r="CB26" s="12">
        <f>Sales[[#This Row],[Bsmt]]*Lookups!$B$89</f>
        <v>15820.551014367999</v>
      </c>
      <c r="CC26" s="12">
        <f>Sales[[#This Row],[Fixtures]]*Lookups!$B$90</f>
        <v>41712.243157199999</v>
      </c>
      <c r="CD26" s="12">
        <f>Sales[[#This Row],[WdDeck]]*Lookups!$B$91</f>
        <v>13318.206110400002</v>
      </c>
      <c r="CE26" s="12">
        <f>SUM(Sales[[#This Row],[Days Prior Total]:[Mdl WdDeck]])</f>
        <v>309166.7443122511</v>
      </c>
      <c r="CF26" s="12">
        <f>ROUND(Sales[[#This Row],[25Det]],-2)</f>
        <v>0</v>
      </c>
      <c r="CG26" s="12">
        <f>ROUND(SUM(Sales[[#This Row],[Mdl Qlty]:[Mdl WdDeck]])+Sales[[#This Row],[Mdl Res Intercept]]+Sales[[#This Row],[Days Prior Total]],-2)</f>
        <v>343100</v>
      </c>
      <c r="CH26" s="12">
        <f>ROUND(Sales[[#This Row],[Mdl Land Intercept]]+Sales[[#This Row],[Mdl LnAcres]],-2)</f>
        <v>-34000</v>
      </c>
      <c r="CI26" s="12">
        <f>Sales[[#This Row],[Unadj Res Value]]+Sales[[#This Row],[Unadj Det Value]]+Sales[[#This Row],[Unadj Land Value]]</f>
        <v>309100</v>
      </c>
      <c r="CJ26" s="13">
        <f>Sales[[#This Row],[Price]]/Sales[[#This Row],[Unadj Total Value]]</f>
        <v>1.0999676480103526</v>
      </c>
      <c r="CK26" s="13">
        <f>(Sales[[#This Row],[Unadj Total Value]]-Sales[[#This Row],[24Final]])/Sales[[#This Row],[24Final]]</f>
        <v>0.12975146198830409</v>
      </c>
      <c r="CL26" t="e">
        <v>#REF!</v>
      </c>
      <c r="CM26" t="e">
        <v>#REF!</v>
      </c>
      <c r="CN26" t="e">
        <v>#REF!</v>
      </c>
      <c r="CO26" t="e">
        <v>#REF!</v>
      </c>
      <c r="CP26" t="e">
        <v>#REF!</v>
      </c>
      <c r="CQ26" t="e">
        <v>#REF!</v>
      </c>
      <c r="CR26" t="e">
        <v>#REF!</v>
      </c>
      <c r="CS26" t="e">
        <v>#REF!</v>
      </c>
      <c r="CT26" t="e">
        <v>#REF!</v>
      </c>
      <c r="CU26" t="e">
        <v>#REF!</v>
      </c>
      <c r="CV26" t="e">
        <v>#REF!</v>
      </c>
      <c r="CW26" t="e">
        <v>#REF!</v>
      </c>
      <c r="CX26" s="15">
        <v>0</v>
      </c>
      <c r="CY26" s="15" t="e">
        <v>#REF!</v>
      </c>
      <c r="CZ26" s="15" t="e">
        <v>#REF!</v>
      </c>
      <c r="DA26" s="15" t="e">
        <v>#REF!</v>
      </c>
    </row>
    <row r="27" spans="1:105" x14ac:dyDescent="0.3">
      <c r="A27">
        <v>2025</v>
      </c>
      <c r="B27" s="1">
        <v>18132214041</v>
      </c>
      <c r="C27">
        <v>-1.4271163556401458</v>
      </c>
      <c r="D27">
        <v>0.24</v>
      </c>
      <c r="E27">
        <v>10310</v>
      </c>
      <c r="F27">
        <v>6</v>
      </c>
      <c r="G27" t="s">
        <v>126</v>
      </c>
      <c r="H27">
        <v>3033</v>
      </c>
      <c r="I27" t="s">
        <v>349</v>
      </c>
      <c r="J27" t="s">
        <v>30</v>
      </c>
      <c r="K27">
        <v>11</v>
      </c>
      <c r="L27">
        <v>259</v>
      </c>
      <c r="M27" t="s">
        <v>173</v>
      </c>
      <c r="N27" t="s">
        <v>205</v>
      </c>
      <c r="O27" t="s">
        <v>323</v>
      </c>
      <c r="P27">
        <v>80</v>
      </c>
      <c r="Q27">
        <v>1940</v>
      </c>
      <c r="R27">
        <v>1972</v>
      </c>
      <c r="S27">
        <v>84</v>
      </c>
      <c r="T27">
        <v>52</v>
      </c>
      <c r="U27">
        <v>2</v>
      </c>
      <c r="V27">
        <v>1152</v>
      </c>
      <c r="W27">
        <v>572</v>
      </c>
      <c r="X27">
        <v>0</v>
      </c>
      <c r="Y27">
        <v>1152</v>
      </c>
      <c r="Z27">
        <v>1152</v>
      </c>
      <c r="AA27">
        <v>0</v>
      </c>
      <c r="AB27">
        <v>1724</v>
      </c>
      <c r="AC27">
        <v>2000</v>
      </c>
      <c r="AD27">
        <v>0</v>
      </c>
      <c r="AF27" t="s">
        <v>383</v>
      </c>
      <c r="AG27" t="s">
        <v>382</v>
      </c>
      <c r="AI27">
        <v>0</v>
      </c>
      <c r="AJ27">
        <v>1</v>
      </c>
      <c r="AK27">
        <v>0</v>
      </c>
      <c r="AL27">
        <v>0</v>
      </c>
      <c r="AM27">
        <v>0</v>
      </c>
      <c r="AN27">
        <v>5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100</v>
      </c>
      <c r="AV27">
        <v>100</v>
      </c>
      <c r="AW27">
        <v>243142</v>
      </c>
      <c r="AX27">
        <v>167768</v>
      </c>
      <c r="AY27">
        <v>745</v>
      </c>
      <c r="AZ27">
        <v>365</v>
      </c>
      <c r="BA27">
        <v>365</v>
      </c>
      <c r="BB27">
        <v>15</v>
      </c>
      <c r="BC27" s="3">
        <v>44547</v>
      </c>
      <c r="BD27" t="s">
        <v>177</v>
      </c>
      <c r="BE27">
        <v>260000</v>
      </c>
      <c r="BF27">
        <v>255880</v>
      </c>
      <c r="BG27" t="s">
        <v>294</v>
      </c>
      <c r="BH27">
        <v>27</v>
      </c>
      <c r="BI27" t="s">
        <v>65</v>
      </c>
      <c r="BJ27" t="s">
        <v>450</v>
      </c>
      <c r="BK27">
        <v>314500</v>
      </c>
      <c r="BL27">
        <v>64800</v>
      </c>
      <c r="BM27">
        <v>249700</v>
      </c>
      <c r="BN27">
        <v>4120</v>
      </c>
      <c r="BO27">
        <v>1.2096153846153845</v>
      </c>
      <c r="BP27">
        <v>304980.50333617261</v>
      </c>
      <c r="BQ27">
        <v>328548.71312273026</v>
      </c>
      <c r="BR27" s="12">
        <f>(Sales[[#This Row],[DP1]]*Lookups!$B$59)+(Sales[[#This Row],[DP2]]*Lookups!$B$60)+(Sales[[#This Row],[DP3]]*Lookups!$B$61)</f>
        <v>-46969.509546070003</v>
      </c>
      <c r="BS27" s="12">
        <f>Lookups!$B$56*0.5</f>
        <v>44925.312794999998</v>
      </c>
      <c r="BT27" s="12">
        <f>Lookups!$B$56*0.5</f>
        <v>44925.312794999998</v>
      </c>
      <c r="BU27" s="12">
        <f>Lookups!$B$57*Sales[[#This Row],[LnAcres]]</f>
        <v>-50946.13867709865</v>
      </c>
      <c r="BV27" s="12">
        <f>VLOOKUP(Sales[[#This Row],[Qlty]],Lookups!$A$62:$E$75,2,FALSE)</f>
        <v>21557.329055999999</v>
      </c>
      <c r="BW27" s="12">
        <f>VLOOKUP(Sales[[#This Row],[Cnd]],Lookups!$A$76:$E$84,2,FALSE)</f>
        <v>160472.20319</v>
      </c>
      <c r="BX27" s="12">
        <f>Sales[[#This Row],[EffAge]]*Lookups!$B$85</f>
        <v>-9814.0064220000004</v>
      </c>
      <c r="BY27" s="12">
        <f>Sales[[#This Row],[MainFn]]*Lookups!$B$86</f>
        <v>42689.090773727999</v>
      </c>
      <c r="BZ27" s="12">
        <f>Sales[[#This Row],[UpprFn]]*Lookups!$B$87</f>
        <v>38695.469351904001</v>
      </c>
      <c r="CA27" s="12">
        <f>Sales[[#This Row],[AddFn]]*Lookups!$B$88</f>
        <v>0</v>
      </c>
      <c r="CB27" s="12">
        <f>Sales[[#This Row],[Bsmt]]*Lookups!$B$89</f>
        <v>0</v>
      </c>
      <c r="CC27" s="12">
        <f>Sales[[#This Row],[Fixtures]]*Lookups!$B$90</f>
        <v>26544.1547364</v>
      </c>
      <c r="CD27" s="12">
        <f>Sales[[#This Row],[WdDeck]]*Lookups!$B$91</f>
        <v>0</v>
      </c>
      <c r="CE27" s="12">
        <f>SUM(Sales[[#This Row],[Days Prior Total]:[Mdl WdDeck]])</f>
        <v>272079.21805286338</v>
      </c>
      <c r="CF27" s="12">
        <f>ROUND(Sales[[#This Row],[25Det]],-2)</f>
        <v>0</v>
      </c>
      <c r="CG27" s="12">
        <f>ROUND(SUM(Sales[[#This Row],[Mdl Qlty]:[Mdl WdDeck]])+Sales[[#This Row],[Mdl Res Intercept]]+Sales[[#This Row],[Days Prior Total]],-2)</f>
        <v>233200</v>
      </c>
      <c r="CH27" s="12">
        <f>ROUND(Sales[[#This Row],[Mdl Land Intercept]]+Sales[[#This Row],[Mdl LnAcres]],-2)</f>
        <v>38900</v>
      </c>
      <c r="CI27" s="12">
        <f>Sales[[#This Row],[Unadj Res Value]]+Sales[[#This Row],[Unadj Det Value]]+Sales[[#This Row],[Unadj Land Value]]</f>
        <v>272100</v>
      </c>
      <c r="CJ27" s="13">
        <f>Sales[[#This Row],[Price]]/Sales[[#This Row],[Unadj Total Value]]</f>
        <v>1.0841602352076443</v>
      </c>
      <c r="CK27" s="13">
        <f>(Sales[[#This Row],[Unadj Total Value]]-Sales[[#This Row],[24Final]])/Sales[[#This Row],[24Final]]</f>
        <v>-0.12367149758454106</v>
      </c>
      <c r="CL27" t="e">
        <v>#REF!</v>
      </c>
      <c r="CM27" t="e">
        <v>#REF!</v>
      </c>
      <c r="CN27" t="e">
        <v>#REF!</v>
      </c>
      <c r="CO27" t="e">
        <v>#REF!</v>
      </c>
      <c r="CP27" t="e">
        <v>#REF!</v>
      </c>
      <c r="CQ27" t="e">
        <v>#REF!</v>
      </c>
      <c r="CR27" t="e">
        <v>#REF!</v>
      </c>
      <c r="CS27" t="e">
        <v>#REF!</v>
      </c>
      <c r="CT27" t="e">
        <v>#REF!</v>
      </c>
      <c r="CU27" t="e">
        <v>#REF!</v>
      </c>
      <c r="CV27" t="e">
        <v>#REF!</v>
      </c>
      <c r="CW27" t="e">
        <v>#REF!</v>
      </c>
      <c r="CX27" s="15">
        <v>0</v>
      </c>
      <c r="CY27" s="15" t="e">
        <v>#REF!</v>
      </c>
      <c r="CZ27" s="15" t="e">
        <v>#REF!</v>
      </c>
      <c r="DA27" s="15" t="e">
        <v>#REF!</v>
      </c>
    </row>
    <row r="28" spans="1:105" x14ac:dyDescent="0.3">
      <c r="A28">
        <v>2025</v>
      </c>
      <c r="B28" s="1">
        <v>18132323476</v>
      </c>
      <c r="C28">
        <v>-1.6094379124341003</v>
      </c>
      <c r="D28">
        <v>0.2</v>
      </c>
      <c r="E28">
        <v>8892</v>
      </c>
      <c r="F28">
        <v>6</v>
      </c>
      <c r="G28" t="s">
        <v>126</v>
      </c>
      <c r="H28" t="s">
        <v>349</v>
      </c>
      <c r="I28" t="s">
        <v>349</v>
      </c>
      <c r="J28" t="s">
        <v>30</v>
      </c>
      <c r="K28">
        <v>11</v>
      </c>
      <c r="L28">
        <v>259</v>
      </c>
      <c r="M28" t="s">
        <v>241</v>
      </c>
      <c r="N28" t="s">
        <v>205</v>
      </c>
      <c r="O28" t="s">
        <v>323</v>
      </c>
      <c r="P28">
        <v>70</v>
      </c>
      <c r="Q28">
        <v>1950</v>
      </c>
      <c r="R28">
        <v>1973</v>
      </c>
      <c r="S28">
        <v>74</v>
      </c>
      <c r="T28">
        <v>51</v>
      </c>
      <c r="U28">
        <v>1</v>
      </c>
      <c r="V28">
        <v>960</v>
      </c>
      <c r="W28">
        <v>0</v>
      </c>
      <c r="X28">
        <v>0</v>
      </c>
      <c r="Y28">
        <v>0</v>
      </c>
      <c r="Z28">
        <v>0</v>
      </c>
      <c r="AA28">
        <v>0</v>
      </c>
      <c r="AB28">
        <v>960</v>
      </c>
      <c r="AC28">
        <v>1000</v>
      </c>
      <c r="AD28">
        <v>0</v>
      </c>
      <c r="AF28" t="s">
        <v>383</v>
      </c>
      <c r="AG28" t="s">
        <v>148</v>
      </c>
      <c r="AI28">
        <v>0</v>
      </c>
      <c r="AJ28">
        <v>0</v>
      </c>
      <c r="AK28">
        <v>1</v>
      </c>
      <c r="AL28">
        <v>0</v>
      </c>
      <c r="AM28">
        <v>0</v>
      </c>
      <c r="AN28">
        <v>5</v>
      </c>
      <c r="AO28">
        <v>0</v>
      </c>
      <c r="AP28">
        <v>0</v>
      </c>
      <c r="AQ28">
        <v>0</v>
      </c>
      <c r="AR28">
        <v>64</v>
      </c>
      <c r="AS28">
        <v>160</v>
      </c>
      <c r="AT28">
        <v>0</v>
      </c>
      <c r="AU28">
        <v>100</v>
      </c>
      <c r="AV28">
        <v>100</v>
      </c>
      <c r="AW28">
        <v>132487</v>
      </c>
      <c r="AX28">
        <v>92741</v>
      </c>
      <c r="AY28">
        <v>28</v>
      </c>
      <c r="AZ28">
        <v>28</v>
      </c>
      <c r="BA28">
        <v>0</v>
      </c>
      <c r="BB28">
        <v>0</v>
      </c>
      <c r="BC28" s="3">
        <v>45264</v>
      </c>
      <c r="BD28" t="s">
        <v>178</v>
      </c>
      <c r="BE28">
        <v>245000</v>
      </c>
      <c r="BF28">
        <v>237274</v>
      </c>
      <c r="BG28" t="s">
        <v>294</v>
      </c>
      <c r="BH28">
        <v>27</v>
      </c>
      <c r="BI28" t="s">
        <v>65</v>
      </c>
      <c r="BJ28" t="s">
        <v>450</v>
      </c>
      <c r="BK28">
        <v>255000</v>
      </c>
      <c r="BL28">
        <v>58400</v>
      </c>
      <c r="BM28">
        <v>196600</v>
      </c>
      <c r="BN28">
        <v>7726</v>
      </c>
      <c r="BO28">
        <v>1.0408163265306123</v>
      </c>
      <c r="BP28">
        <v>254549.08155751246</v>
      </c>
      <c r="BQ28">
        <v>256524.7110613542</v>
      </c>
      <c r="BR28" s="12">
        <f>(Sales[[#This Row],[DP1]]*Lookups!$B$59)+(Sales[[#This Row],[DP2]]*Lookups!$B$60)+(Sales[[#This Row],[DP3]]*Lookups!$B$61)</f>
        <v>-23686.770850690002</v>
      </c>
      <c r="BS28" s="12">
        <f>Lookups!$B$56*0.5</f>
        <v>44925.312794999998</v>
      </c>
      <c r="BT28" s="12">
        <f>Lookups!$B$56*0.5</f>
        <v>44925.312794999998</v>
      </c>
      <c r="BU28" s="12">
        <f>Lookups!$B$57*Sales[[#This Row],[LnAcres]]</f>
        <v>-42641.098701210125</v>
      </c>
      <c r="BV28" s="12">
        <f>VLOOKUP(Sales[[#This Row],[Qlty]],Lookups!$A$62:$E$75,2,FALSE)</f>
        <v>29814.093161000001</v>
      </c>
      <c r="BW28" s="12">
        <f>VLOOKUP(Sales[[#This Row],[Cnd]],Lookups!$A$76:$E$84,2,FALSE)</f>
        <v>197752.34721000001</v>
      </c>
      <c r="BX28" s="12">
        <f>Sales[[#This Row],[EffAge]]*Lookups!$B$85</f>
        <v>-9814.0064220000004</v>
      </c>
      <c r="BY28" s="12">
        <f>Sales[[#This Row],[MainFn]]*Lookups!$B$86</f>
        <v>63786.592811207003</v>
      </c>
      <c r="BZ28" s="12">
        <f>Sales[[#This Row],[UpprFn]]*Lookups!$B$87</f>
        <v>0</v>
      </c>
      <c r="CA28" s="12">
        <f>Sales[[#This Row],[AddFn]]*Lookups!$B$88</f>
        <v>0</v>
      </c>
      <c r="CB28" s="12">
        <f>Sales[[#This Row],[Bsmt]]*Lookups!$B$89</f>
        <v>16722.089767024998</v>
      </c>
      <c r="CC28" s="12">
        <f>Sales[[#This Row],[Fixtures]]*Lookups!$B$90</f>
        <v>41712.243157199999</v>
      </c>
      <c r="CD28" s="12">
        <f>Sales[[#This Row],[WdDeck]]*Lookups!$B$91</f>
        <v>9322.7442772800005</v>
      </c>
      <c r="CE28" s="12">
        <f>SUM(Sales[[#This Row],[Days Prior Total]:[Mdl WdDeck]])</f>
        <v>372818.85999981186</v>
      </c>
      <c r="CF28" s="12">
        <f>ROUND(Sales[[#This Row],[25Det]],-2)</f>
        <v>0</v>
      </c>
      <c r="CG28" s="12">
        <f>ROUND(SUM(Sales[[#This Row],[Mdl Qlty]:[Mdl WdDeck]])+Sales[[#This Row],[Mdl Res Intercept]]+Sales[[#This Row],[Days Prior Total]],-2)</f>
        <v>325600</v>
      </c>
      <c r="CH28" s="12">
        <f>ROUND(Sales[[#This Row],[Mdl Land Intercept]]+Sales[[#This Row],[Mdl LnAcres]],-2)</f>
        <v>47200</v>
      </c>
      <c r="CI28" s="12">
        <f>Sales[[#This Row],[Unadj Res Value]]+Sales[[#This Row],[Unadj Det Value]]+Sales[[#This Row],[Unadj Land Value]]</f>
        <v>372800</v>
      </c>
      <c r="CJ28" s="13">
        <f>Sales[[#This Row],[Price]]/Sales[[#This Row],[Unadj Total Value]]</f>
        <v>0.97237124463519309</v>
      </c>
      <c r="CK28" s="13">
        <f>(Sales[[#This Row],[Unadj Total Value]]-Sales[[#This Row],[24Final]])/Sales[[#This Row],[24Final]]</f>
        <v>1.3870002719608376E-2</v>
      </c>
      <c r="CL28" t="e">
        <v>#REF!</v>
      </c>
      <c r="CM28" t="e">
        <v>#REF!</v>
      </c>
      <c r="CN28" t="e">
        <v>#REF!</v>
      </c>
      <c r="CO28" t="e">
        <v>#REF!</v>
      </c>
      <c r="CP28" t="e">
        <v>#REF!</v>
      </c>
      <c r="CQ28" t="e">
        <v>#REF!</v>
      </c>
      <c r="CR28" t="e">
        <v>#REF!</v>
      </c>
      <c r="CS28" t="e">
        <v>#REF!</v>
      </c>
      <c r="CT28" t="e">
        <v>#REF!</v>
      </c>
      <c r="CU28" t="e">
        <v>#REF!</v>
      </c>
      <c r="CV28" t="e">
        <v>#REF!</v>
      </c>
      <c r="CW28" t="e">
        <v>#REF!</v>
      </c>
      <c r="CX28" s="15">
        <v>0</v>
      </c>
      <c r="CY28" s="15" t="e">
        <v>#REF!</v>
      </c>
      <c r="CZ28" s="15" t="e">
        <v>#REF!</v>
      </c>
      <c r="DA28" s="15" t="e">
        <v>#REF!</v>
      </c>
    </row>
    <row r="29" spans="1:105" x14ac:dyDescent="0.3">
      <c r="A29">
        <v>2025</v>
      </c>
      <c r="B29" s="1">
        <v>18132344040</v>
      </c>
      <c r="C29">
        <v>-1.7719568419318752</v>
      </c>
      <c r="D29">
        <v>0.17</v>
      </c>
      <c r="E29">
        <v>0</v>
      </c>
      <c r="F29">
        <v>6</v>
      </c>
      <c r="G29" t="s">
        <v>126</v>
      </c>
      <c r="H29">
        <v>3093</v>
      </c>
      <c r="I29" t="s">
        <v>349</v>
      </c>
      <c r="J29" t="s">
        <v>30</v>
      </c>
      <c r="K29">
        <v>11</v>
      </c>
      <c r="L29">
        <v>259</v>
      </c>
      <c r="M29" t="s">
        <v>242</v>
      </c>
      <c r="N29" t="s">
        <v>205</v>
      </c>
      <c r="O29" t="s">
        <v>303</v>
      </c>
      <c r="P29">
        <v>90</v>
      </c>
      <c r="Q29">
        <v>1930</v>
      </c>
      <c r="R29">
        <v>1970</v>
      </c>
      <c r="S29">
        <v>94</v>
      </c>
      <c r="T29">
        <v>54</v>
      </c>
      <c r="U29">
        <v>1</v>
      </c>
      <c r="V29">
        <v>2666</v>
      </c>
      <c r="W29">
        <v>0</v>
      </c>
      <c r="X29">
        <v>0</v>
      </c>
      <c r="Y29">
        <v>0</v>
      </c>
      <c r="Z29">
        <v>0</v>
      </c>
      <c r="AA29">
        <v>0</v>
      </c>
      <c r="AB29">
        <v>2666</v>
      </c>
      <c r="AC29">
        <v>3000</v>
      </c>
      <c r="AD29">
        <v>0</v>
      </c>
      <c r="AF29" t="s">
        <v>383</v>
      </c>
      <c r="AG29" t="s">
        <v>148</v>
      </c>
      <c r="AH29" t="s">
        <v>450</v>
      </c>
      <c r="AI29">
        <v>1</v>
      </c>
      <c r="AJ29">
        <v>0</v>
      </c>
      <c r="AK29">
        <v>0</v>
      </c>
      <c r="AL29">
        <v>0</v>
      </c>
      <c r="AM29">
        <v>0</v>
      </c>
      <c r="AN29">
        <v>8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100</v>
      </c>
      <c r="AV29">
        <v>100</v>
      </c>
      <c r="AW29">
        <v>374043</v>
      </c>
      <c r="AX29">
        <v>280532</v>
      </c>
      <c r="AY29">
        <v>643</v>
      </c>
      <c r="AZ29">
        <v>365</v>
      </c>
      <c r="BA29">
        <v>278</v>
      </c>
      <c r="BB29">
        <v>0</v>
      </c>
      <c r="BC29" s="3">
        <v>44649</v>
      </c>
      <c r="BD29" t="s">
        <v>7</v>
      </c>
      <c r="BE29">
        <v>350000</v>
      </c>
      <c r="BF29">
        <v>350000</v>
      </c>
      <c r="BG29" t="s">
        <v>294</v>
      </c>
      <c r="BH29">
        <v>1</v>
      </c>
      <c r="BI29" t="s">
        <v>65</v>
      </c>
      <c r="BJ29" t="s">
        <v>450</v>
      </c>
      <c r="BK29">
        <v>363000</v>
      </c>
      <c r="BL29">
        <v>52700</v>
      </c>
      <c r="BM29">
        <v>310300</v>
      </c>
      <c r="BN29">
        <v>0</v>
      </c>
      <c r="BO29">
        <v>1.0371428571428571</v>
      </c>
      <c r="BP29">
        <v>358966.16813891882</v>
      </c>
      <c r="BQ29">
        <v>381527.58816610015</v>
      </c>
      <c r="BR29" s="12">
        <f>(Sales[[#This Row],[DP1]]*Lookups!$B$59)+(Sales[[#This Row],[DP2]]*Lookups!$B$60)+(Sales[[#This Row],[DP3]]*Lookups!$B$61)</f>
        <v>-42289.249594570007</v>
      </c>
      <c r="BS29" s="12">
        <f>Lookups!$B$56*0.5</f>
        <v>44925.312794999998</v>
      </c>
      <c r="BT29" s="12">
        <f>Lookups!$B$56*0.5</f>
        <v>44925.312794999998</v>
      </c>
      <c r="BU29" s="12">
        <f>Lookups!$B$57*Sales[[#This Row],[LnAcres]]</f>
        <v>-54281.285314520763</v>
      </c>
      <c r="BV29" s="12">
        <f>VLOOKUP(Sales[[#This Row],[Qlty]],Lookups!$A$62:$E$75,2,FALSE)</f>
        <v>44121.038090000002</v>
      </c>
      <c r="BW29" s="12">
        <f>VLOOKUP(Sales[[#This Row],[Cnd]],Lookups!$A$76:$E$84,2,FALSE)</f>
        <v>160472.20319</v>
      </c>
      <c r="BX29" s="12">
        <f>Sales[[#This Row],[EffAge]]*Lookups!$B$85</f>
        <v>-10037.0520225</v>
      </c>
      <c r="BY29" s="12">
        <f>Sales[[#This Row],[MainFn]]*Lookups!$B$86</f>
        <v>80437.314559756007</v>
      </c>
      <c r="BZ29" s="12">
        <f>Sales[[#This Row],[UpprFn]]*Lookups!$B$87</f>
        <v>0</v>
      </c>
      <c r="CA29" s="12">
        <f>Sales[[#This Row],[AddFn]]*Lookups!$B$88</f>
        <v>0</v>
      </c>
      <c r="CB29" s="12">
        <f>Sales[[#This Row],[Bsmt]]*Lookups!$B$89</f>
        <v>8957.2237360759991</v>
      </c>
      <c r="CC29" s="12">
        <f>Sales[[#This Row],[Fixtures]]*Lookups!$B$90</f>
        <v>45504.265262400004</v>
      </c>
      <c r="CD29" s="12">
        <f>Sales[[#This Row],[WdDeck]]*Lookups!$B$91</f>
        <v>2197.5040082160003</v>
      </c>
      <c r="CE29" s="12">
        <f>SUM(Sales[[#This Row],[Days Prior Total]:[Mdl WdDeck]])</f>
        <v>324932.58750485728</v>
      </c>
      <c r="CF29" s="12">
        <f>ROUND(Sales[[#This Row],[25Det]],-2)</f>
        <v>0</v>
      </c>
      <c r="CG29" s="12">
        <f>ROUND(SUM(Sales[[#This Row],[Mdl Qlty]:[Mdl WdDeck]])+Sales[[#This Row],[Mdl Res Intercept]]+Sales[[#This Row],[Days Prior Total]],-2)</f>
        <v>289400</v>
      </c>
      <c r="CH29" s="12">
        <f>ROUND(Sales[[#This Row],[Mdl Land Intercept]]+Sales[[#This Row],[Mdl LnAcres]],-2)</f>
        <v>35600</v>
      </c>
      <c r="CI29" s="12">
        <f>Sales[[#This Row],[Unadj Res Value]]+Sales[[#This Row],[Unadj Det Value]]+Sales[[#This Row],[Unadj Land Value]]</f>
        <v>325000</v>
      </c>
      <c r="CJ29" s="13">
        <f>Sales[[#This Row],[Price]]/Sales[[#This Row],[Unadj Total Value]]</f>
        <v>0.96923076923076923</v>
      </c>
      <c r="CK29" s="13">
        <f>(Sales[[#This Row],[Unadj Total Value]]-Sales[[#This Row],[24Final]])/Sales[[#This Row],[24Final]]</f>
        <v>-9.822419533851276E-2</v>
      </c>
      <c r="CL29" t="e">
        <v>#REF!</v>
      </c>
      <c r="CM29" t="e">
        <v>#REF!</v>
      </c>
      <c r="CN29" t="e">
        <v>#REF!</v>
      </c>
      <c r="CO29" t="e">
        <v>#REF!</v>
      </c>
      <c r="CP29" t="e">
        <v>#REF!</v>
      </c>
      <c r="CQ29" t="e">
        <v>#REF!</v>
      </c>
      <c r="CR29" t="e">
        <v>#REF!</v>
      </c>
      <c r="CS29" t="e">
        <v>#REF!</v>
      </c>
      <c r="CT29" t="e">
        <v>#REF!</v>
      </c>
      <c r="CU29" t="e">
        <v>#REF!</v>
      </c>
      <c r="CV29" t="e">
        <v>#REF!</v>
      </c>
      <c r="CW29" t="e">
        <v>#REF!</v>
      </c>
      <c r="CX29" s="15">
        <v>0</v>
      </c>
      <c r="CY29" s="15" t="e">
        <v>#REF!</v>
      </c>
      <c r="CZ29" s="15" t="e">
        <v>#REF!</v>
      </c>
      <c r="DA29" s="15" t="e">
        <v>#REF!</v>
      </c>
    </row>
    <row r="30" spans="1:105" x14ac:dyDescent="0.3">
      <c r="A30">
        <v>2025</v>
      </c>
      <c r="B30" s="1">
        <v>18132243030</v>
      </c>
      <c r="C30">
        <v>-1.7147984280919266</v>
      </c>
      <c r="D30">
        <v>0.18</v>
      </c>
      <c r="E30">
        <v>7638</v>
      </c>
      <c r="F30">
        <v>6</v>
      </c>
      <c r="G30" t="s">
        <v>126</v>
      </c>
      <c r="H30">
        <v>3093</v>
      </c>
      <c r="I30" t="s">
        <v>349</v>
      </c>
      <c r="J30" t="s">
        <v>30</v>
      </c>
      <c r="K30">
        <v>11</v>
      </c>
      <c r="L30">
        <v>259</v>
      </c>
      <c r="M30" t="s">
        <v>241</v>
      </c>
      <c r="N30" t="s">
        <v>351</v>
      </c>
      <c r="O30" t="s">
        <v>323</v>
      </c>
      <c r="P30">
        <v>60</v>
      </c>
      <c r="Q30">
        <v>1963</v>
      </c>
      <c r="R30">
        <v>1975</v>
      </c>
      <c r="S30">
        <v>61</v>
      </c>
      <c r="T30">
        <v>49</v>
      </c>
      <c r="U30">
        <v>1</v>
      </c>
      <c r="V30">
        <v>1410</v>
      </c>
      <c r="W30">
        <v>0</v>
      </c>
      <c r="X30">
        <v>0</v>
      </c>
      <c r="Y30">
        <v>0</v>
      </c>
      <c r="Z30">
        <v>0</v>
      </c>
      <c r="AA30">
        <v>0</v>
      </c>
      <c r="AB30">
        <v>1410</v>
      </c>
      <c r="AC30">
        <v>1500</v>
      </c>
      <c r="AD30">
        <v>2</v>
      </c>
      <c r="AE30" t="s">
        <v>6</v>
      </c>
      <c r="AF30" t="s">
        <v>383</v>
      </c>
      <c r="AG30" t="s">
        <v>148</v>
      </c>
      <c r="AH30" t="s">
        <v>450</v>
      </c>
      <c r="AI30">
        <v>0</v>
      </c>
      <c r="AJ30">
        <v>1</v>
      </c>
      <c r="AK30">
        <v>0</v>
      </c>
      <c r="AL30">
        <v>1</v>
      </c>
      <c r="AM30">
        <v>0</v>
      </c>
      <c r="AN30">
        <v>9</v>
      </c>
      <c r="AO30">
        <v>440</v>
      </c>
      <c r="AP30">
        <v>0</v>
      </c>
      <c r="AQ30">
        <v>0</v>
      </c>
      <c r="AR30">
        <v>0</v>
      </c>
      <c r="AS30">
        <v>140</v>
      </c>
      <c r="AT30">
        <v>140</v>
      </c>
      <c r="AU30">
        <v>100</v>
      </c>
      <c r="AV30">
        <v>100</v>
      </c>
      <c r="AW30">
        <v>227621</v>
      </c>
      <c r="AX30">
        <v>163887</v>
      </c>
      <c r="AY30">
        <v>593</v>
      </c>
      <c r="AZ30">
        <v>365</v>
      </c>
      <c r="BA30">
        <v>228</v>
      </c>
      <c r="BB30">
        <v>0</v>
      </c>
      <c r="BC30" s="3">
        <v>44699</v>
      </c>
      <c r="BD30" t="s">
        <v>128</v>
      </c>
      <c r="BE30">
        <v>320000</v>
      </c>
      <c r="BF30">
        <v>320000</v>
      </c>
      <c r="BG30" t="s">
        <v>294</v>
      </c>
      <c r="BH30">
        <v>1</v>
      </c>
      <c r="BI30" t="s">
        <v>65</v>
      </c>
      <c r="BJ30" t="s">
        <v>450</v>
      </c>
      <c r="BK30">
        <v>295300</v>
      </c>
      <c r="BL30">
        <v>54700</v>
      </c>
      <c r="BM30">
        <v>240600</v>
      </c>
      <c r="BN30">
        <v>0</v>
      </c>
      <c r="BO30">
        <v>0.92281250000000004</v>
      </c>
      <c r="BP30">
        <v>287328.4829590185</v>
      </c>
      <c r="BQ30">
        <v>310464.06156881264</v>
      </c>
      <c r="BR30" s="12">
        <f>(Sales[[#This Row],[DP1]]*Lookups!$B$59)+(Sales[[#This Row],[DP2]]*Lookups!$B$60)+(Sales[[#This Row],[DP3]]*Lookups!$B$61)</f>
        <v>-39614.815336569998</v>
      </c>
      <c r="BS30" s="12">
        <f>Lookups!$B$56*0.5</f>
        <v>44925.312794999998</v>
      </c>
      <c r="BT30" s="12">
        <f>Lookups!$B$56*0.5</f>
        <v>44925.312794999998</v>
      </c>
      <c r="BU30" s="12">
        <f>Lookups!$B$57*Sales[[#This Row],[LnAcres]]</f>
        <v>-27460.397125792362</v>
      </c>
      <c r="BV30" s="12">
        <f>VLOOKUP(Sales[[#This Row],[Qlty]],Lookups!$A$62:$E$75,2,FALSE)</f>
        <v>21557.329055999999</v>
      </c>
      <c r="BW30" s="12">
        <f>VLOOKUP(Sales[[#This Row],[Cnd]],Lookups!$A$76:$E$84,2,FALSE)</f>
        <v>197752.34721000001</v>
      </c>
      <c r="BX30" s="12">
        <f>Sales[[#This Row],[EffAge]]*Lookups!$B$85</f>
        <v>-10037.0520225</v>
      </c>
      <c r="BY30" s="12">
        <f>Sales[[#This Row],[MainFn]]*Lookups!$B$86</f>
        <v>84982.912188440008</v>
      </c>
      <c r="BZ30" s="12">
        <f>Sales[[#This Row],[UpprFn]]*Lookups!$B$87</f>
        <v>0</v>
      </c>
      <c r="CA30" s="12">
        <f>Sales[[#This Row],[AddFn]]*Lookups!$B$88</f>
        <v>0</v>
      </c>
      <c r="CB30" s="12">
        <f>Sales[[#This Row],[Bsmt]]*Lookups!$B$89</f>
        <v>0</v>
      </c>
      <c r="CC30" s="12">
        <f>Sales[[#This Row],[Fixtures]]*Lookups!$B$90</f>
        <v>30336.176841600001</v>
      </c>
      <c r="CD30" s="12">
        <f>Sales[[#This Row],[WdDeck]]*Lookups!$B$91</f>
        <v>11720.021377152001</v>
      </c>
      <c r="CE30" s="12">
        <f>SUM(Sales[[#This Row],[Days Prior Total]:[Mdl WdDeck]])</f>
        <v>359087.14777832961</v>
      </c>
      <c r="CF30" s="12">
        <f>ROUND(Sales[[#This Row],[25Det]],-2)</f>
        <v>0</v>
      </c>
      <c r="CG30" s="12">
        <f>ROUND(SUM(Sales[[#This Row],[Mdl Qlty]:[Mdl WdDeck]])+Sales[[#This Row],[Mdl Res Intercept]]+Sales[[#This Row],[Days Prior Total]],-2)</f>
        <v>296700</v>
      </c>
      <c r="CH30" s="12">
        <f>ROUND(Sales[[#This Row],[Mdl Land Intercept]]+Sales[[#This Row],[Mdl LnAcres]],-2)</f>
        <v>62400</v>
      </c>
      <c r="CI30" s="12">
        <f>Sales[[#This Row],[Unadj Res Value]]+Sales[[#This Row],[Unadj Det Value]]+Sales[[#This Row],[Unadj Land Value]]</f>
        <v>359100</v>
      </c>
      <c r="CJ30" s="13">
        <f>Sales[[#This Row],[Price]]/Sales[[#This Row],[Unadj Total Value]]</f>
        <v>1.1069340016708438</v>
      </c>
      <c r="CK30" s="13">
        <f>(Sales[[#This Row],[Unadj Total Value]]-Sales[[#This Row],[24Final]])/Sales[[#This Row],[24Final]]</f>
        <v>-2.9721696838692246E-2</v>
      </c>
      <c r="CL30" t="e">
        <v>#REF!</v>
      </c>
      <c r="CM30" t="e">
        <v>#REF!</v>
      </c>
      <c r="CN30" t="e">
        <v>#REF!</v>
      </c>
      <c r="CO30" t="e">
        <v>#REF!</v>
      </c>
      <c r="CP30" t="e">
        <v>#REF!</v>
      </c>
      <c r="CQ30" t="e">
        <v>#REF!</v>
      </c>
      <c r="CR30" t="e">
        <v>#REF!</v>
      </c>
      <c r="CS30" t="e">
        <v>#REF!</v>
      </c>
      <c r="CT30" t="e">
        <v>#REF!</v>
      </c>
      <c r="CU30" t="e">
        <v>#REF!</v>
      </c>
      <c r="CV30" t="e">
        <v>#REF!</v>
      </c>
      <c r="CW30" t="e">
        <v>#REF!</v>
      </c>
      <c r="CX30" s="15">
        <v>0</v>
      </c>
      <c r="CY30" s="15" t="e">
        <v>#REF!</v>
      </c>
      <c r="CZ30" s="15" t="e">
        <v>#REF!</v>
      </c>
      <c r="DA30" s="15" t="e">
        <v>#REF!</v>
      </c>
    </row>
    <row r="31" spans="1:105" x14ac:dyDescent="0.3">
      <c r="A31">
        <v>2025</v>
      </c>
      <c r="B31" s="1">
        <v>18132241049</v>
      </c>
      <c r="C31">
        <v>-1.9661128563728327</v>
      </c>
      <c r="D31">
        <v>0.14000000000000001</v>
      </c>
      <c r="E31">
        <v>0</v>
      </c>
      <c r="F31">
        <v>6</v>
      </c>
      <c r="G31" t="s">
        <v>126</v>
      </c>
      <c r="H31">
        <v>3033</v>
      </c>
      <c r="I31" t="s">
        <v>349</v>
      </c>
      <c r="J31" t="s">
        <v>30</v>
      </c>
      <c r="K31">
        <v>11</v>
      </c>
      <c r="L31">
        <v>259</v>
      </c>
      <c r="M31" t="s">
        <v>269</v>
      </c>
      <c r="N31" t="s">
        <v>351</v>
      </c>
      <c r="O31" t="s">
        <v>323</v>
      </c>
      <c r="P31">
        <v>70</v>
      </c>
      <c r="Q31">
        <v>1945</v>
      </c>
      <c r="R31">
        <v>1972</v>
      </c>
      <c r="S31">
        <v>79</v>
      </c>
      <c r="T31">
        <v>52</v>
      </c>
      <c r="U31">
        <v>1</v>
      </c>
      <c r="V31">
        <v>1092</v>
      </c>
      <c r="W31">
        <v>0</v>
      </c>
      <c r="X31">
        <v>0</v>
      </c>
      <c r="Y31">
        <v>1092</v>
      </c>
      <c r="Z31">
        <v>592</v>
      </c>
      <c r="AA31">
        <v>500</v>
      </c>
      <c r="AB31">
        <v>1592</v>
      </c>
      <c r="AC31">
        <v>2000</v>
      </c>
      <c r="AD31">
        <v>1</v>
      </c>
      <c r="AF31" t="s">
        <v>383</v>
      </c>
      <c r="AG31" t="s">
        <v>148</v>
      </c>
      <c r="AH31" t="s">
        <v>65</v>
      </c>
      <c r="AI31">
        <v>0</v>
      </c>
      <c r="AJ31">
        <v>1</v>
      </c>
      <c r="AK31">
        <v>0</v>
      </c>
      <c r="AL31">
        <v>0</v>
      </c>
      <c r="AM31">
        <v>0</v>
      </c>
      <c r="AN31">
        <v>5</v>
      </c>
      <c r="AO31">
        <v>220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100</v>
      </c>
      <c r="AV31">
        <v>100</v>
      </c>
      <c r="AW31">
        <v>223532</v>
      </c>
      <c r="AX31">
        <v>154237</v>
      </c>
      <c r="AY31">
        <v>1091</v>
      </c>
      <c r="AZ31">
        <v>365</v>
      </c>
      <c r="BA31">
        <v>365</v>
      </c>
      <c r="BB31">
        <v>361</v>
      </c>
      <c r="BC31" s="3">
        <v>44201</v>
      </c>
      <c r="BD31" t="s">
        <v>387</v>
      </c>
      <c r="BE31">
        <v>225000</v>
      </c>
      <c r="BF31">
        <v>225000</v>
      </c>
      <c r="BG31" t="s">
        <v>294</v>
      </c>
      <c r="BH31">
        <v>27</v>
      </c>
      <c r="BI31" t="s">
        <v>65</v>
      </c>
      <c r="BJ31" t="s">
        <v>450</v>
      </c>
      <c r="BK31">
        <v>283200</v>
      </c>
      <c r="BL31">
        <v>46000</v>
      </c>
      <c r="BM31">
        <v>237200</v>
      </c>
      <c r="BN31">
        <v>0</v>
      </c>
      <c r="BO31">
        <v>1.2586666666666666</v>
      </c>
      <c r="BP31">
        <v>232881.12483721992</v>
      </c>
      <c r="BQ31">
        <v>302717.04727847251</v>
      </c>
      <c r="BR31" s="12">
        <f>(Sales[[#This Row],[DP1]]*Lookups!$B$59)+(Sales[[#This Row],[DP2]]*Lookups!$B$60)+(Sales[[#This Row],[DP3]]*Lookups!$B$61)</f>
        <v>-9384.2401438100005</v>
      </c>
      <c r="BS31" s="12">
        <f>Lookups!$B$56*0.5</f>
        <v>44925.312794999998</v>
      </c>
      <c r="BT31" s="12">
        <f>Lookups!$B$56*0.5</f>
        <v>44925.312794999998</v>
      </c>
      <c r="BU31" s="12">
        <f>Lookups!$B$57*Sales[[#This Row],[LnAcres]]</f>
        <v>-123833.58500677992</v>
      </c>
      <c r="BV31" s="12">
        <f>VLOOKUP(Sales[[#This Row],[Qlty]],Lookups!$A$62:$E$75,2,FALSE)</f>
        <v>21557.329055999999</v>
      </c>
      <c r="BW31" s="12">
        <f>VLOOKUP(Sales[[#This Row],[Cnd]],Lookups!$A$76:$E$84,2,FALSE)</f>
        <v>160472.20319</v>
      </c>
      <c r="BX31" s="12">
        <f>Sales[[#This Row],[EffAge]]*Lookups!$B$85</f>
        <v>-10037.0520225</v>
      </c>
      <c r="BY31" s="12">
        <f>Sales[[#This Row],[MainFn]]*Lookups!$B$86</f>
        <v>30238.105964724</v>
      </c>
      <c r="BZ31" s="12">
        <f>Sales[[#This Row],[UpprFn]]*Lookups!$B$87</f>
        <v>27409.290790931998</v>
      </c>
      <c r="CA31" s="12">
        <f>Sales[[#This Row],[AddFn]]*Lookups!$B$88</f>
        <v>0</v>
      </c>
      <c r="CB31" s="12">
        <f>Sales[[#This Row],[Bsmt]]*Lookups!$B$89</f>
        <v>0</v>
      </c>
      <c r="CC31" s="12">
        <f>Sales[[#This Row],[Fixtures]]*Lookups!$B$90</f>
        <v>26544.1547364</v>
      </c>
      <c r="CD31" s="12">
        <f>Sales[[#This Row],[WdDeck]]*Lookups!$B$91</f>
        <v>0</v>
      </c>
      <c r="CE31" s="12">
        <f>SUM(Sales[[#This Row],[Days Prior Total]:[Mdl WdDeck]])</f>
        <v>212816.83215496608</v>
      </c>
      <c r="CF31" s="12">
        <f>ROUND(Sales[[#This Row],[25Det]],-2)</f>
        <v>0</v>
      </c>
      <c r="CG31" s="12">
        <f>ROUND(SUM(Sales[[#This Row],[Mdl Qlty]:[Mdl WdDeck]])+Sales[[#This Row],[Mdl Res Intercept]]+Sales[[#This Row],[Days Prior Total]],-2)</f>
        <v>246800</v>
      </c>
      <c r="CH31" s="12">
        <f>ROUND(Sales[[#This Row],[Mdl Land Intercept]]+Sales[[#This Row],[Mdl LnAcres]],-2)</f>
        <v>-34000</v>
      </c>
      <c r="CI31" s="12">
        <f>Sales[[#This Row],[Unadj Res Value]]+Sales[[#This Row],[Unadj Det Value]]+Sales[[#This Row],[Unadj Land Value]]</f>
        <v>212800</v>
      </c>
      <c r="CJ31" s="13">
        <f>Sales[[#This Row],[Price]]/Sales[[#This Row],[Unadj Total Value]]</f>
        <v>1.0338345864661653</v>
      </c>
      <c r="CK31" s="13">
        <f>(Sales[[#This Row],[Unadj Total Value]]-Sales[[#This Row],[24Final]])/Sales[[#This Row],[24Final]]</f>
        <v>0.18551532033426185</v>
      </c>
      <c r="CL31" t="e">
        <v>#REF!</v>
      </c>
      <c r="CM31" t="e">
        <v>#REF!</v>
      </c>
      <c r="CN31" t="e">
        <v>#REF!</v>
      </c>
      <c r="CO31" t="e">
        <v>#REF!</v>
      </c>
      <c r="CP31" t="e">
        <v>#REF!</v>
      </c>
      <c r="CQ31" t="e">
        <v>#REF!</v>
      </c>
      <c r="CR31" t="e">
        <v>#REF!</v>
      </c>
      <c r="CS31" t="e">
        <v>#REF!</v>
      </c>
      <c r="CT31" t="e">
        <v>#REF!</v>
      </c>
      <c r="CU31" t="e">
        <v>#REF!</v>
      </c>
      <c r="CV31" t="e">
        <v>#REF!</v>
      </c>
      <c r="CW31" t="e">
        <v>#REF!</v>
      </c>
      <c r="CX31" s="15">
        <v>0</v>
      </c>
      <c r="CY31" s="15" t="e">
        <v>#REF!</v>
      </c>
      <c r="CZ31" s="15" t="e">
        <v>#REF!</v>
      </c>
      <c r="DA31" s="15" t="e">
        <v>#REF!</v>
      </c>
    </row>
    <row r="32" spans="1:105" x14ac:dyDescent="0.3">
      <c r="A32">
        <v>2025</v>
      </c>
      <c r="B32" s="1">
        <v>18132322434</v>
      </c>
      <c r="C32">
        <v>-1.7147984280919266</v>
      </c>
      <c r="D32">
        <v>0.18</v>
      </c>
      <c r="E32">
        <v>7843</v>
      </c>
      <c r="F32">
        <v>6</v>
      </c>
      <c r="G32" t="s">
        <v>126</v>
      </c>
      <c r="H32">
        <v>3033</v>
      </c>
      <c r="I32" t="s">
        <v>349</v>
      </c>
      <c r="J32" t="s">
        <v>30</v>
      </c>
      <c r="K32">
        <v>11</v>
      </c>
      <c r="L32">
        <v>259</v>
      </c>
      <c r="M32" t="s">
        <v>242</v>
      </c>
      <c r="N32" t="s">
        <v>351</v>
      </c>
      <c r="O32" t="s">
        <v>323</v>
      </c>
      <c r="P32">
        <v>70</v>
      </c>
      <c r="Q32">
        <v>1950</v>
      </c>
      <c r="R32">
        <v>1973</v>
      </c>
      <c r="S32">
        <v>74</v>
      </c>
      <c r="T32">
        <v>51</v>
      </c>
      <c r="U32">
        <v>1</v>
      </c>
      <c r="V32">
        <v>1340</v>
      </c>
      <c r="W32">
        <v>0</v>
      </c>
      <c r="X32">
        <v>0</v>
      </c>
      <c r="Y32">
        <v>1340</v>
      </c>
      <c r="Z32">
        <v>640</v>
      </c>
      <c r="AA32">
        <v>700</v>
      </c>
      <c r="AB32">
        <v>2040</v>
      </c>
      <c r="AC32">
        <v>2500</v>
      </c>
      <c r="AD32">
        <v>0</v>
      </c>
      <c r="AF32" t="s">
        <v>383</v>
      </c>
      <c r="AG32" t="s">
        <v>148</v>
      </c>
      <c r="AH32" t="s">
        <v>450</v>
      </c>
      <c r="AI32">
        <v>0</v>
      </c>
      <c r="AJ32">
        <v>0</v>
      </c>
      <c r="AK32">
        <v>1</v>
      </c>
      <c r="AL32">
        <v>0</v>
      </c>
      <c r="AM32">
        <v>1</v>
      </c>
      <c r="AN32">
        <v>7</v>
      </c>
      <c r="AO32">
        <v>0</v>
      </c>
      <c r="AP32">
        <v>0</v>
      </c>
      <c r="AQ32">
        <v>368</v>
      </c>
      <c r="AR32">
        <v>0</v>
      </c>
      <c r="AS32">
        <v>390</v>
      </c>
      <c r="AT32">
        <v>0</v>
      </c>
      <c r="AU32">
        <v>100</v>
      </c>
      <c r="AV32">
        <v>100</v>
      </c>
      <c r="AW32">
        <v>270920</v>
      </c>
      <c r="AX32">
        <v>189644</v>
      </c>
      <c r="AY32">
        <v>686</v>
      </c>
      <c r="AZ32">
        <v>365</v>
      </c>
      <c r="BA32">
        <v>321</v>
      </c>
      <c r="BB32">
        <v>0</v>
      </c>
      <c r="BC32" s="3">
        <v>44606</v>
      </c>
      <c r="BD32" t="s">
        <v>151</v>
      </c>
      <c r="BE32">
        <v>253100</v>
      </c>
      <c r="BF32">
        <v>253100</v>
      </c>
      <c r="BG32" t="s">
        <v>294</v>
      </c>
      <c r="BH32">
        <v>27</v>
      </c>
      <c r="BI32" t="s">
        <v>65</v>
      </c>
      <c r="BJ32" t="s">
        <v>450</v>
      </c>
      <c r="BK32">
        <v>325900</v>
      </c>
      <c r="BL32">
        <v>54700</v>
      </c>
      <c r="BM32">
        <v>271200</v>
      </c>
      <c r="BN32">
        <v>0</v>
      </c>
      <c r="BO32">
        <v>1.2876333465033583</v>
      </c>
      <c r="BP32">
        <v>315877.41525147291</v>
      </c>
      <c r="BQ32">
        <v>337945.0588976072</v>
      </c>
      <c r="BR32" s="12">
        <f>(Sales[[#This Row],[DP1]]*Lookups!$B$59)+(Sales[[#This Row],[DP2]]*Lookups!$B$60)+(Sales[[#This Row],[DP3]]*Lookups!$B$61)</f>
        <v>-22882.94883505</v>
      </c>
      <c r="BS32" s="12">
        <f>Lookups!$B$56*0.5</f>
        <v>44925.312794999998</v>
      </c>
      <c r="BT32" s="12">
        <f>Lookups!$B$56*0.5</f>
        <v>44925.312794999998</v>
      </c>
      <c r="BU32" s="12">
        <f>Lookups!$B$57*Sales[[#This Row],[LnAcres]]</f>
        <v>-145774.89265936252</v>
      </c>
      <c r="BV32" s="12">
        <f>VLOOKUP(Sales[[#This Row],[Qlty]],Lookups!$A$62:$E$75,2,FALSE)</f>
        <v>21557.329055999999</v>
      </c>
      <c r="BW32" s="12">
        <f>VLOOKUP(Sales[[#This Row],[Cnd]],Lookups!$A$76:$E$84,2,FALSE)</f>
        <v>197752.34721000001</v>
      </c>
      <c r="BX32" s="12">
        <f>Sales[[#This Row],[EffAge]]*Lookups!$B$85</f>
        <v>-10037.0520225</v>
      </c>
      <c r="BY32" s="12">
        <f>Sales[[#This Row],[MainFn]]*Lookups!$B$86</f>
        <v>30238.105964724</v>
      </c>
      <c r="BZ32" s="12">
        <f>Sales[[#This Row],[UpprFn]]*Lookups!$B$87</f>
        <v>27409.290790931998</v>
      </c>
      <c r="CA32" s="12">
        <f>Sales[[#This Row],[AddFn]]*Lookups!$B$88</f>
        <v>0</v>
      </c>
      <c r="CB32" s="12">
        <f>Sales[[#This Row],[Bsmt]]*Lookups!$B$89</f>
        <v>0</v>
      </c>
      <c r="CC32" s="12">
        <f>Sales[[#This Row],[Fixtures]]*Lookups!$B$90</f>
        <v>26544.1547364</v>
      </c>
      <c r="CD32" s="12">
        <f>Sales[[#This Row],[WdDeck]]*Lookups!$B$91</f>
        <v>0</v>
      </c>
      <c r="CE32" s="12">
        <f>SUM(Sales[[#This Row],[Days Prior Total]:[Mdl WdDeck]])</f>
        <v>214656.95983114347</v>
      </c>
      <c r="CF32" s="12">
        <f>ROUND(Sales[[#This Row],[25Det]],-2)</f>
        <v>0</v>
      </c>
      <c r="CG32" s="12">
        <f>ROUND(SUM(Sales[[#This Row],[Mdl Qlty]:[Mdl WdDeck]])+Sales[[#This Row],[Mdl Res Intercept]]+Sales[[#This Row],[Days Prior Total]],-2)</f>
        <v>270600</v>
      </c>
      <c r="CH32" s="12">
        <f>ROUND(Sales[[#This Row],[Mdl Land Intercept]]+Sales[[#This Row],[Mdl LnAcres]],-2)</f>
        <v>-55900</v>
      </c>
      <c r="CI32" s="12">
        <f>Sales[[#This Row],[Unadj Res Value]]+Sales[[#This Row],[Unadj Det Value]]+Sales[[#This Row],[Unadj Land Value]]</f>
        <v>214700</v>
      </c>
      <c r="CJ32" s="13">
        <f>Sales[[#This Row],[Price]]/Sales[[#This Row],[Unadj Total Value]]</f>
        <v>0.92221704704238472</v>
      </c>
      <c r="CK32" s="13">
        <f>(Sales[[#This Row],[Unadj Total Value]]-Sales[[#This Row],[24Final]])/Sales[[#This Row],[24Final]]</f>
        <v>7.9436902966314726E-2</v>
      </c>
      <c r="CL32" t="e">
        <v>#REF!</v>
      </c>
      <c r="CM32" t="e">
        <v>#REF!</v>
      </c>
      <c r="CN32" t="e">
        <v>#REF!</v>
      </c>
      <c r="CO32" t="e">
        <v>#REF!</v>
      </c>
      <c r="CP32" t="e">
        <v>#REF!</v>
      </c>
      <c r="CQ32" t="e">
        <v>#REF!</v>
      </c>
      <c r="CR32" t="e">
        <v>#REF!</v>
      </c>
      <c r="CS32" t="e">
        <v>#REF!</v>
      </c>
      <c r="CT32" t="e">
        <v>#REF!</v>
      </c>
      <c r="CU32" t="e">
        <v>#REF!</v>
      </c>
      <c r="CV32" t="e">
        <v>#REF!</v>
      </c>
      <c r="CW32" t="e">
        <v>#REF!</v>
      </c>
      <c r="CX32" s="15">
        <v>0</v>
      </c>
      <c r="CY32" s="15" t="e">
        <v>#REF!</v>
      </c>
      <c r="CZ32" s="15" t="e">
        <v>#REF!</v>
      </c>
      <c r="DA32" s="15" t="e">
        <v>#REF!</v>
      </c>
    </row>
    <row r="33" spans="1:105" x14ac:dyDescent="0.3">
      <c r="A33">
        <v>2025</v>
      </c>
      <c r="B33" s="1">
        <v>18132322439</v>
      </c>
      <c r="C33">
        <v>-1.4696759700589417</v>
      </c>
      <c r="D33">
        <v>0.23</v>
      </c>
      <c r="E33">
        <v>9981</v>
      </c>
      <c r="F33">
        <v>6</v>
      </c>
      <c r="G33" t="s">
        <v>126</v>
      </c>
      <c r="H33">
        <v>3033</v>
      </c>
      <c r="I33" t="s">
        <v>349</v>
      </c>
      <c r="J33" t="s">
        <v>30</v>
      </c>
      <c r="K33">
        <v>11</v>
      </c>
      <c r="L33">
        <v>259</v>
      </c>
      <c r="M33" t="s">
        <v>241</v>
      </c>
      <c r="N33" t="s">
        <v>351</v>
      </c>
      <c r="O33" t="s">
        <v>323</v>
      </c>
      <c r="P33">
        <v>60</v>
      </c>
      <c r="Q33">
        <v>1955</v>
      </c>
      <c r="R33">
        <v>1974</v>
      </c>
      <c r="S33">
        <v>69</v>
      </c>
      <c r="T33">
        <v>50</v>
      </c>
      <c r="U33">
        <v>1</v>
      </c>
      <c r="V33">
        <v>1392</v>
      </c>
      <c r="W33">
        <v>0</v>
      </c>
      <c r="X33">
        <v>0</v>
      </c>
      <c r="Y33">
        <v>0</v>
      </c>
      <c r="Z33">
        <v>0</v>
      </c>
      <c r="AA33">
        <v>0</v>
      </c>
      <c r="AB33">
        <v>1392</v>
      </c>
      <c r="AC33">
        <v>1500</v>
      </c>
      <c r="AD33">
        <v>1</v>
      </c>
      <c r="AF33" t="s">
        <v>383</v>
      </c>
      <c r="AG33" t="s">
        <v>148</v>
      </c>
      <c r="AH33" t="s">
        <v>450</v>
      </c>
      <c r="AI33">
        <v>0</v>
      </c>
      <c r="AJ33">
        <v>0</v>
      </c>
      <c r="AK33">
        <v>1</v>
      </c>
      <c r="AL33">
        <v>1</v>
      </c>
      <c r="AM33">
        <v>0</v>
      </c>
      <c r="AN33">
        <v>8</v>
      </c>
      <c r="AO33">
        <v>252</v>
      </c>
      <c r="AP33">
        <v>0</v>
      </c>
      <c r="AQ33">
        <v>0</v>
      </c>
      <c r="AR33">
        <v>0</v>
      </c>
      <c r="AS33">
        <v>371</v>
      </c>
      <c r="AT33">
        <v>395</v>
      </c>
      <c r="AU33">
        <v>100</v>
      </c>
      <c r="AV33">
        <v>100</v>
      </c>
      <c r="AW33">
        <v>225025</v>
      </c>
      <c r="AX33">
        <v>159768</v>
      </c>
      <c r="AY33">
        <v>613</v>
      </c>
      <c r="AZ33">
        <v>365</v>
      </c>
      <c r="BA33">
        <v>248</v>
      </c>
      <c r="BB33">
        <v>0</v>
      </c>
      <c r="BC33" s="3">
        <v>44679</v>
      </c>
      <c r="BD33">
        <v>462223</v>
      </c>
      <c r="BE33">
        <v>330000</v>
      </c>
      <c r="BF33">
        <v>330000</v>
      </c>
      <c r="BG33" t="s">
        <v>294</v>
      </c>
      <c r="BH33">
        <v>27</v>
      </c>
      <c r="BI33" t="s">
        <v>65</v>
      </c>
      <c r="BJ33" t="s">
        <v>450</v>
      </c>
      <c r="BK33">
        <v>303700</v>
      </c>
      <c r="BL33">
        <v>63300</v>
      </c>
      <c r="BM33">
        <v>240400</v>
      </c>
      <c r="BN33">
        <v>0</v>
      </c>
      <c r="BO33">
        <v>0.92030303030303029</v>
      </c>
      <c r="BP33">
        <v>290412.97984706901</v>
      </c>
      <c r="BQ33">
        <v>313318.89502381801</v>
      </c>
      <c r="BR33" s="12">
        <f>(Sales[[#This Row],[DP1]]*Lookups!$B$59)+(Sales[[#This Row],[DP2]]*Lookups!$B$60)+(Sales[[#This Row],[DP3]]*Lookups!$B$61)</f>
        <v>-23640.838164082001</v>
      </c>
      <c r="BS33" s="12">
        <f>Lookups!$B$56*0.5</f>
        <v>44925.312794999998</v>
      </c>
      <c r="BT33" s="12">
        <f>Lookups!$B$56*0.5</f>
        <v>44925.312794999998</v>
      </c>
      <c r="BU33" s="12">
        <f>Lookups!$B$57*Sales[[#This Row],[LnAcres]]</f>
        <v>-45174.819855485119</v>
      </c>
      <c r="BV33" s="12">
        <f>VLOOKUP(Sales[[#This Row],[Qlty]],Lookups!$A$62:$E$75,2,FALSE)</f>
        <v>29814.093161000001</v>
      </c>
      <c r="BW33" s="12">
        <f>VLOOKUP(Sales[[#This Row],[Cnd]],Lookups!$A$76:$E$84,2,FALSE)</f>
        <v>197752.34721000001</v>
      </c>
      <c r="BX33" s="12">
        <f>Sales[[#This Row],[EffAge]]*Lookups!$B$85</f>
        <v>-10260.097623</v>
      </c>
      <c r="BY33" s="12">
        <f>Sales[[#This Row],[MainFn]]*Lookups!$B$86</f>
        <v>108847.299739031</v>
      </c>
      <c r="BZ33" s="12">
        <f>Sales[[#This Row],[UpprFn]]*Lookups!$B$87</f>
        <v>0</v>
      </c>
      <c r="CA33" s="12">
        <f>Sales[[#This Row],[AddFn]]*Lookups!$B$88</f>
        <v>0</v>
      </c>
      <c r="CB33" s="12">
        <f>Sales[[#This Row],[Bsmt]]*Lookups!$B$89</f>
        <v>0</v>
      </c>
      <c r="CC33" s="12">
        <f>Sales[[#This Row],[Fixtures]]*Lookups!$B$90</f>
        <v>30336.176841600001</v>
      </c>
      <c r="CD33" s="12">
        <f>Sales[[#This Row],[WdDeck]]*Lookups!$B$91</f>
        <v>7191.8312996160003</v>
      </c>
      <c r="CE33" s="12">
        <f>SUM(Sales[[#This Row],[Days Prior Total]:[Mdl WdDeck]])</f>
        <v>384716.61819867988</v>
      </c>
      <c r="CF33" s="12">
        <f>ROUND(Sales[[#This Row],[25Det]],-2)</f>
        <v>16400</v>
      </c>
      <c r="CG33" s="12">
        <f>ROUND(SUM(Sales[[#This Row],[Mdl Qlty]:[Mdl WdDeck]])+Sales[[#This Row],[Mdl Res Intercept]]+Sales[[#This Row],[Days Prior Total]],-2)</f>
        <v>340000</v>
      </c>
      <c r="CH33" s="12">
        <f>ROUND(Sales[[#This Row],[Mdl Land Intercept]]+Sales[[#This Row],[Mdl LnAcres]],-2)</f>
        <v>44700</v>
      </c>
      <c r="CI33" s="12">
        <f>Sales[[#This Row],[Unadj Res Value]]+Sales[[#This Row],[Unadj Det Value]]+Sales[[#This Row],[Unadj Land Value]]</f>
        <v>401100</v>
      </c>
      <c r="CJ33" s="13">
        <f>Sales[[#This Row],[Price]]/Sales[[#This Row],[Unadj Total Value]]</f>
        <v>1.0172026925953628</v>
      </c>
      <c r="CK33" s="13">
        <f>(Sales[[#This Row],[Unadj Total Value]]-Sales[[#This Row],[24Final]])/Sales[[#This Row],[24Final]]</f>
        <v>3.0046224961479198E-2</v>
      </c>
      <c r="CL33" t="e">
        <v>#REF!</v>
      </c>
      <c r="CM33" t="e">
        <v>#REF!</v>
      </c>
      <c r="CN33" t="e">
        <v>#REF!</v>
      </c>
      <c r="CO33" t="e">
        <v>#REF!</v>
      </c>
      <c r="CP33" t="e">
        <v>#REF!</v>
      </c>
      <c r="CQ33" t="e">
        <v>#REF!</v>
      </c>
      <c r="CR33" t="e">
        <v>#REF!</v>
      </c>
      <c r="CS33" t="e">
        <v>#REF!</v>
      </c>
      <c r="CT33" t="e">
        <v>#REF!</v>
      </c>
      <c r="CU33" t="e">
        <v>#REF!</v>
      </c>
      <c r="CV33" t="e">
        <v>#REF!</v>
      </c>
      <c r="CW33" t="e">
        <v>#REF!</v>
      </c>
      <c r="CX33" s="15">
        <v>0</v>
      </c>
      <c r="CY33" s="15" t="e">
        <v>#REF!</v>
      </c>
      <c r="CZ33" s="15" t="e">
        <v>#REF!</v>
      </c>
      <c r="DA33" s="15" t="e">
        <v>#REF!</v>
      </c>
    </row>
    <row r="34" spans="1:105" x14ac:dyDescent="0.3">
      <c r="A34">
        <v>2025</v>
      </c>
      <c r="B34" s="1">
        <v>18132324475</v>
      </c>
      <c r="C34">
        <v>-1.8325814637483102</v>
      </c>
      <c r="D34">
        <v>0.16</v>
      </c>
      <c r="E34">
        <v>0</v>
      </c>
      <c r="F34">
        <v>6</v>
      </c>
      <c r="G34" t="s">
        <v>126</v>
      </c>
      <c r="H34">
        <v>3033</v>
      </c>
      <c r="I34" t="s">
        <v>349</v>
      </c>
      <c r="J34" t="s">
        <v>30</v>
      </c>
      <c r="K34">
        <v>11</v>
      </c>
      <c r="L34">
        <v>259</v>
      </c>
      <c r="M34" t="s">
        <v>242</v>
      </c>
      <c r="N34" t="s">
        <v>351</v>
      </c>
      <c r="O34" t="s">
        <v>323</v>
      </c>
      <c r="P34">
        <v>80</v>
      </c>
      <c r="Q34">
        <v>1940</v>
      </c>
      <c r="R34">
        <v>1972</v>
      </c>
      <c r="S34">
        <v>84</v>
      </c>
      <c r="T34">
        <v>52</v>
      </c>
      <c r="U34">
        <v>1</v>
      </c>
      <c r="V34">
        <v>781</v>
      </c>
      <c r="W34">
        <v>0</v>
      </c>
      <c r="X34">
        <v>0</v>
      </c>
      <c r="Y34">
        <v>781</v>
      </c>
      <c r="Z34">
        <v>0</v>
      </c>
      <c r="AA34">
        <v>781</v>
      </c>
      <c r="AB34">
        <v>1562</v>
      </c>
      <c r="AC34">
        <v>2000</v>
      </c>
      <c r="AD34">
        <v>0</v>
      </c>
      <c r="AF34" t="s">
        <v>383</v>
      </c>
      <c r="AG34" t="s">
        <v>148</v>
      </c>
      <c r="AH34" t="s">
        <v>450</v>
      </c>
      <c r="AI34">
        <v>0</v>
      </c>
      <c r="AJ34">
        <v>1</v>
      </c>
      <c r="AK34">
        <v>0</v>
      </c>
      <c r="AL34">
        <v>1</v>
      </c>
      <c r="AM34">
        <v>0</v>
      </c>
      <c r="AN34">
        <v>9</v>
      </c>
      <c r="AO34">
        <v>0</v>
      </c>
      <c r="AP34">
        <v>0</v>
      </c>
      <c r="AQ34">
        <v>0</v>
      </c>
      <c r="AR34">
        <v>529</v>
      </c>
      <c r="AS34">
        <v>168</v>
      </c>
      <c r="AT34">
        <v>0</v>
      </c>
      <c r="AU34">
        <v>100</v>
      </c>
      <c r="AV34">
        <v>100</v>
      </c>
      <c r="AW34">
        <v>199710</v>
      </c>
      <c r="AX34">
        <v>137800</v>
      </c>
      <c r="AY34">
        <v>585</v>
      </c>
      <c r="AZ34">
        <v>365</v>
      </c>
      <c r="BA34">
        <v>220</v>
      </c>
      <c r="BB34">
        <v>0</v>
      </c>
      <c r="BC34" s="3">
        <v>44707</v>
      </c>
      <c r="BD34" t="s">
        <v>357</v>
      </c>
      <c r="BE34">
        <v>346000</v>
      </c>
      <c r="BF34">
        <v>341286</v>
      </c>
      <c r="BG34" t="s">
        <v>294</v>
      </c>
      <c r="BH34">
        <v>27</v>
      </c>
      <c r="BI34" t="s">
        <v>65</v>
      </c>
      <c r="BJ34" t="s">
        <v>450</v>
      </c>
      <c r="BK34">
        <v>293300</v>
      </c>
      <c r="BL34">
        <v>50600</v>
      </c>
      <c r="BM34">
        <v>242700</v>
      </c>
      <c r="BN34">
        <v>4714</v>
      </c>
      <c r="BO34">
        <v>0.84768786127167628</v>
      </c>
      <c r="BP34">
        <v>292087.33846641541</v>
      </c>
      <c r="BQ34">
        <v>315314.78244942758</v>
      </c>
      <c r="BR34" s="12">
        <f>(Sales[[#This Row],[DP1]]*Lookups!$B$59)+(Sales[[#This Row],[DP2]]*Lookups!$B$60)+(Sales[[#This Row],[DP3]]*Lookups!$B$61)</f>
        <v>-30388.017146470003</v>
      </c>
      <c r="BS34" s="12">
        <f>Lookups!$B$56*0.5</f>
        <v>44925.312794999998</v>
      </c>
      <c r="BT34" s="12">
        <f>Lookups!$B$56*0.5</f>
        <v>44925.312794999998</v>
      </c>
      <c r="BU34" s="12">
        <f>Lookups!$B$57*Sales[[#This Row],[LnAcres]]</f>
        <v>-39184.437074869042</v>
      </c>
      <c r="BV34" s="12">
        <f>VLOOKUP(Sales[[#This Row],[Qlty]],Lookups!$A$62:$E$75,2,FALSE)</f>
        <v>29814.093161000001</v>
      </c>
      <c r="BW34" s="12">
        <f>VLOOKUP(Sales[[#This Row],[Cnd]],Lookups!$A$76:$E$84,2,FALSE)</f>
        <v>160472.20319</v>
      </c>
      <c r="BX34" s="12">
        <f>Sales[[#This Row],[EffAge]]*Lookups!$B$85</f>
        <v>-10260.097623</v>
      </c>
      <c r="BY34" s="12">
        <f>Sales[[#This Row],[MainFn]]*Lookups!$B$86</f>
        <v>69122.729157923008</v>
      </c>
      <c r="BZ34" s="12">
        <f>Sales[[#This Row],[UpprFn]]*Lookups!$B$87</f>
        <v>0</v>
      </c>
      <c r="CA34" s="12">
        <f>Sales[[#This Row],[AddFn]]*Lookups!$B$88</f>
        <v>0</v>
      </c>
      <c r="CB34" s="12">
        <f>Sales[[#This Row],[Bsmt]]*Lookups!$B$89</f>
        <v>0</v>
      </c>
      <c r="CC34" s="12">
        <f>Sales[[#This Row],[Fixtures]]*Lookups!$B$90</f>
        <v>34128.198946800003</v>
      </c>
      <c r="CD34" s="12">
        <f>Sales[[#This Row],[WdDeck]]*Lookups!$B$91</f>
        <v>0</v>
      </c>
      <c r="CE34" s="12">
        <f>SUM(Sales[[#This Row],[Days Prior Total]:[Mdl WdDeck]])</f>
        <v>303555.29820138396</v>
      </c>
      <c r="CF34" s="12">
        <f>ROUND(Sales[[#This Row],[25Det]],-2)</f>
        <v>0</v>
      </c>
      <c r="CG34" s="12">
        <f>ROUND(SUM(Sales[[#This Row],[Mdl Qlty]:[Mdl WdDeck]])+Sales[[#This Row],[Mdl Res Intercept]]+Sales[[#This Row],[Days Prior Total]],-2)</f>
        <v>252900</v>
      </c>
      <c r="CH34" s="12">
        <f>ROUND(Sales[[#This Row],[Mdl Land Intercept]]+Sales[[#This Row],[Mdl LnAcres]],-2)</f>
        <v>50700</v>
      </c>
      <c r="CI34" s="12">
        <f>Sales[[#This Row],[Unadj Res Value]]+Sales[[#This Row],[Unadj Det Value]]+Sales[[#This Row],[Unadj Land Value]]</f>
        <v>303600</v>
      </c>
      <c r="CJ34" s="13">
        <f>Sales[[#This Row],[Price]]/Sales[[#This Row],[Unadj Total Value]]</f>
        <v>0.97167325428194995</v>
      </c>
      <c r="CK34" s="13">
        <f>(Sales[[#This Row],[Unadj Total Value]]-Sales[[#This Row],[24Final]])/Sales[[#This Row],[24Final]]</f>
        <v>-5.7435579012728964E-2</v>
      </c>
      <c r="CL34" t="e">
        <v>#REF!</v>
      </c>
      <c r="CM34" t="e">
        <v>#REF!</v>
      </c>
      <c r="CN34" t="e">
        <v>#REF!</v>
      </c>
      <c r="CO34" t="e">
        <v>#REF!</v>
      </c>
      <c r="CP34" t="e">
        <v>#REF!</v>
      </c>
      <c r="CQ34" t="e">
        <v>#REF!</v>
      </c>
      <c r="CR34" t="e">
        <v>#REF!</v>
      </c>
      <c r="CS34" t="e">
        <v>#REF!</v>
      </c>
      <c r="CT34" t="e">
        <v>#REF!</v>
      </c>
      <c r="CU34" t="e">
        <v>#REF!</v>
      </c>
      <c r="CV34" t="e">
        <v>#REF!</v>
      </c>
      <c r="CW34" t="e">
        <v>#REF!</v>
      </c>
      <c r="CX34" s="15">
        <v>0</v>
      </c>
      <c r="CY34" s="15" t="e">
        <v>#REF!</v>
      </c>
      <c r="CZ34" s="15" t="e">
        <v>#REF!</v>
      </c>
      <c r="DA34" s="15" t="e">
        <v>#REF!</v>
      </c>
    </row>
    <row r="35" spans="1:105" x14ac:dyDescent="0.3">
      <c r="A35">
        <v>2025</v>
      </c>
      <c r="B35" s="1">
        <v>18132321511</v>
      </c>
      <c r="C35">
        <v>-3.912023005428146</v>
      </c>
      <c r="D35">
        <v>0.02</v>
      </c>
      <c r="E35">
        <v>612</v>
      </c>
      <c r="F35">
        <v>6</v>
      </c>
      <c r="G35" t="s">
        <v>28</v>
      </c>
      <c r="H35" t="s">
        <v>29</v>
      </c>
      <c r="I35" t="s">
        <v>349</v>
      </c>
      <c r="J35" t="s">
        <v>146</v>
      </c>
      <c r="K35">
        <v>11</v>
      </c>
      <c r="L35">
        <v>262</v>
      </c>
      <c r="M35" t="s">
        <v>415</v>
      </c>
      <c r="N35" t="s">
        <v>351</v>
      </c>
      <c r="O35" t="s">
        <v>323</v>
      </c>
      <c r="P35">
        <v>40</v>
      </c>
      <c r="Q35">
        <v>1975</v>
      </c>
      <c r="R35">
        <v>1979</v>
      </c>
      <c r="S35">
        <v>49</v>
      </c>
      <c r="T35">
        <v>45</v>
      </c>
      <c r="U35">
        <v>2</v>
      </c>
      <c r="V35">
        <v>612</v>
      </c>
      <c r="W35">
        <v>612</v>
      </c>
      <c r="X35">
        <v>0</v>
      </c>
      <c r="Y35">
        <v>0</v>
      </c>
      <c r="Z35">
        <v>0</v>
      </c>
      <c r="AA35">
        <v>0</v>
      </c>
      <c r="AB35">
        <v>1224</v>
      </c>
      <c r="AC35">
        <v>1500</v>
      </c>
      <c r="AD35">
        <v>0</v>
      </c>
      <c r="AF35" t="s">
        <v>97</v>
      </c>
      <c r="AG35" t="s">
        <v>382</v>
      </c>
      <c r="AI35">
        <v>0</v>
      </c>
      <c r="AJ35">
        <v>0</v>
      </c>
      <c r="AK35">
        <v>0</v>
      </c>
      <c r="AL35">
        <v>0</v>
      </c>
      <c r="AM35">
        <v>1</v>
      </c>
      <c r="AN35">
        <v>7</v>
      </c>
      <c r="AO35">
        <v>0</v>
      </c>
      <c r="AP35">
        <v>0</v>
      </c>
      <c r="AQ35">
        <v>408</v>
      </c>
      <c r="AR35">
        <v>0</v>
      </c>
      <c r="AS35">
        <v>136</v>
      </c>
      <c r="AT35">
        <v>0</v>
      </c>
      <c r="AU35">
        <v>100</v>
      </c>
      <c r="AV35">
        <v>100</v>
      </c>
      <c r="AW35">
        <v>141870</v>
      </c>
      <c r="AX35">
        <v>110659</v>
      </c>
      <c r="AY35">
        <v>438</v>
      </c>
      <c r="AZ35">
        <v>365</v>
      </c>
      <c r="BA35">
        <v>73</v>
      </c>
      <c r="BB35">
        <v>0</v>
      </c>
      <c r="BC35" s="3">
        <v>44854</v>
      </c>
      <c r="BD35" t="s">
        <v>421</v>
      </c>
      <c r="BE35">
        <v>185000</v>
      </c>
      <c r="BF35">
        <v>185000</v>
      </c>
      <c r="BG35" t="s">
        <v>294</v>
      </c>
      <c r="BH35">
        <v>27</v>
      </c>
      <c r="BI35" t="s">
        <v>65</v>
      </c>
      <c r="BJ35" t="s">
        <v>450</v>
      </c>
      <c r="BK35">
        <v>179500</v>
      </c>
      <c r="BL35">
        <v>26900</v>
      </c>
      <c r="BM35">
        <v>152600</v>
      </c>
      <c r="BN35">
        <v>0</v>
      </c>
      <c r="BO35">
        <v>0.97027027027027024</v>
      </c>
      <c r="BP35">
        <v>197285.60208157773</v>
      </c>
      <c r="BQ35">
        <v>222201.07229747146</v>
      </c>
      <c r="BR35" s="12">
        <f>(Sales[[#This Row],[DP1]]*Lookups!$B$59)+(Sales[[#This Row],[DP2]]*Lookups!$B$60)+(Sales[[#This Row],[DP3]]*Lookups!$B$61)</f>
        <v>-2892.8860593700001</v>
      </c>
      <c r="BS35" s="12">
        <f>Lookups!$B$56*0.5</f>
        <v>44925.312794999998</v>
      </c>
      <c r="BT35" s="12">
        <f>Lookups!$B$56*0.5</f>
        <v>44925.312794999998</v>
      </c>
      <c r="BU35" s="12">
        <f>Lookups!$B$57*Sales[[#This Row],[LnAcres]]</f>
        <v>-79950.969701614697</v>
      </c>
      <c r="BV35" s="12">
        <f>VLOOKUP(Sales[[#This Row],[Qlty]],Lookups!$A$62:$E$75,2,FALSE)</f>
        <v>44121.038090000002</v>
      </c>
      <c r="BW35" s="12">
        <f>VLOOKUP(Sales[[#This Row],[Cnd]],Lookups!$A$76:$E$84,2,FALSE)</f>
        <v>160472.20319</v>
      </c>
      <c r="BX35" s="12">
        <f>Sales[[#This Row],[EffAge]]*Lookups!$B$85</f>
        <v>-10260.097623</v>
      </c>
      <c r="BY35" s="12">
        <f>Sales[[#This Row],[MainFn]]*Lookups!$B$86</f>
        <v>65565.304926779005</v>
      </c>
      <c r="BZ35" s="12">
        <f>Sales[[#This Row],[UpprFn]]*Lookups!$B$87</f>
        <v>0</v>
      </c>
      <c r="CA35" s="12">
        <f>Sales[[#This Row],[AddFn]]*Lookups!$B$88</f>
        <v>0</v>
      </c>
      <c r="CB35" s="12">
        <f>Sales[[#This Row],[Bsmt]]*Lookups!$B$89</f>
        <v>26522.688465264</v>
      </c>
      <c r="CC35" s="12">
        <f>Sales[[#This Row],[Fixtures]]*Lookups!$B$90</f>
        <v>56880.331578000005</v>
      </c>
      <c r="CD35" s="12">
        <f>Sales[[#This Row],[WdDeck]]*Lookups!$B$91</f>
        <v>0</v>
      </c>
      <c r="CE35" s="12">
        <f>SUM(Sales[[#This Row],[Days Prior Total]:[Mdl WdDeck]])</f>
        <v>350308.23845605826</v>
      </c>
      <c r="CF35" s="12">
        <f>ROUND(Sales[[#This Row],[25Det]],-2)</f>
        <v>0</v>
      </c>
      <c r="CG35" s="12">
        <f>ROUND(SUM(Sales[[#This Row],[Mdl Qlty]:[Mdl WdDeck]])+Sales[[#This Row],[Mdl Res Intercept]]+Sales[[#This Row],[Days Prior Total]],-2)</f>
        <v>340400</v>
      </c>
      <c r="CH35" s="12">
        <f>ROUND(Sales[[#This Row],[Mdl Land Intercept]]+Sales[[#This Row],[Mdl LnAcres]],-2)</f>
        <v>9900</v>
      </c>
      <c r="CI35" s="12">
        <f>Sales[[#This Row],[Unadj Res Value]]+Sales[[#This Row],[Unadj Det Value]]+Sales[[#This Row],[Unadj Land Value]]</f>
        <v>350300</v>
      </c>
      <c r="CJ35" s="13">
        <f>Sales[[#This Row],[Price]]/Sales[[#This Row],[Unadj Total Value]]</f>
        <v>0.92777619183556947</v>
      </c>
      <c r="CK35" s="13">
        <f>(Sales[[#This Row],[Unadj Total Value]]-Sales[[#This Row],[24Final]])/Sales[[#This Row],[24Final]]</f>
        <v>7.4210364918736588E-2</v>
      </c>
      <c r="CL35" t="e">
        <v>#REF!</v>
      </c>
      <c r="CM35" t="e">
        <v>#REF!</v>
      </c>
      <c r="CN35" t="e">
        <v>#REF!</v>
      </c>
      <c r="CO35" t="e">
        <v>#REF!</v>
      </c>
      <c r="CP35" t="e">
        <v>#REF!</v>
      </c>
      <c r="CQ35" t="e">
        <v>#REF!</v>
      </c>
      <c r="CR35" t="e">
        <v>#REF!</v>
      </c>
      <c r="CS35" t="e">
        <v>#REF!</v>
      </c>
      <c r="CT35" t="e">
        <v>#REF!</v>
      </c>
      <c r="CU35" t="e">
        <v>#REF!</v>
      </c>
      <c r="CV35" t="e">
        <v>#REF!</v>
      </c>
      <c r="CW35" t="e">
        <v>#REF!</v>
      </c>
      <c r="CX35" s="15">
        <v>0</v>
      </c>
      <c r="CY35" s="15" t="e">
        <v>#REF!</v>
      </c>
      <c r="CZ35" s="15" t="e">
        <v>#REF!</v>
      </c>
      <c r="DA35" s="15" t="e">
        <v>#REF!</v>
      </c>
    </row>
    <row r="36" spans="1:105" x14ac:dyDescent="0.3">
      <c r="A36">
        <v>2025</v>
      </c>
      <c r="B36" s="1">
        <v>18132241466</v>
      </c>
      <c r="C36">
        <v>-1.7147984280919266</v>
      </c>
      <c r="D36">
        <v>0.18</v>
      </c>
      <c r="E36">
        <v>8040</v>
      </c>
      <c r="F36">
        <v>6</v>
      </c>
      <c r="G36" t="s">
        <v>126</v>
      </c>
      <c r="H36">
        <v>3033</v>
      </c>
      <c r="I36" t="s">
        <v>349</v>
      </c>
      <c r="J36" t="s">
        <v>30</v>
      </c>
      <c r="K36">
        <v>11</v>
      </c>
      <c r="L36">
        <v>259</v>
      </c>
      <c r="M36" t="s">
        <v>242</v>
      </c>
      <c r="N36" t="s">
        <v>351</v>
      </c>
      <c r="O36" t="s">
        <v>323</v>
      </c>
      <c r="P36">
        <v>80</v>
      </c>
      <c r="Q36">
        <v>1935</v>
      </c>
      <c r="R36">
        <v>1971</v>
      </c>
      <c r="S36">
        <v>89</v>
      </c>
      <c r="T36">
        <v>53</v>
      </c>
      <c r="U36">
        <v>1</v>
      </c>
      <c r="V36">
        <v>1282</v>
      </c>
      <c r="W36">
        <v>0</v>
      </c>
      <c r="X36">
        <v>0</v>
      </c>
      <c r="Y36">
        <v>1280</v>
      </c>
      <c r="Z36">
        <v>0</v>
      </c>
      <c r="AA36">
        <v>1280</v>
      </c>
      <c r="AB36">
        <v>2562</v>
      </c>
      <c r="AC36">
        <v>3000</v>
      </c>
      <c r="AD36">
        <v>1</v>
      </c>
      <c r="AF36" t="s">
        <v>383</v>
      </c>
      <c r="AG36" t="s">
        <v>148</v>
      </c>
      <c r="AH36" t="s">
        <v>450</v>
      </c>
      <c r="AI36">
        <v>0</v>
      </c>
      <c r="AJ36">
        <v>1</v>
      </c>
      <c r="AK36">
        <v>0</v>
      </c>
      <c r="AL36">
        <v>0</v>
      </c>
      <c r="AM36">
        <v>0</v>
      </c>
      <c r="AN36">
        <v>5</v>
      </c>
      <c r="AO36">
        <v>260</v>
      </c>
      <c r="AP36">
        <v>0</v>
      </c>
      <c r="AQ36">
        <v>0</v>
      </c>
      <c r="AR36">
        <v>0</v>
      </c>
      <c r="AS36">
        <v>168</v>
      </c>
      <c r="AT36">
        <v>0</v>
      </c>
      <c r="AU36">
        <v>100</v>
      </c>
      <c r="AV36">
        <v>100</v>
      </c>
      <c r="AW36">
        <v>286406</v>
      </c>
      <c r="AX36">
        <v>217669</v>
      </c>
      <c r="AY36">
        <v>270</v>
      </c>
      <c r="AZ36">
        <v>270</v>
      </c>
      <c r="BA36">
        <v>0</v>
      </c>
      <c r="BB36">
        <v>0</v>
      </c>
      <c r="BC36" s="3">
        <v>45022</v>
      </c>
      <c r="BD36" t="s">
        <v>152</v>
      </c>
      <c r="BE36">
        <v>329000</v>
      </c>
      <c r="BF36">
        <v>329000</v>
      </c>
      <c r="BG36" t="s">
        <v>294</v>
      </c>
      <c r="BH36">
        <v>27</v>
      </c>
      <c r="BI36" t="s">
        <v>65</v>
      </c>
      <c r="BJ36" t="s">
        <v>450</v>
      </c>
      <c r="BK36">
        <v>321900</v>
      </c>
      <c r="BL36">
        <v>54700</v>
      </c>
      <c r="BM36">
        <v>267200</v>
      </c>
      <c r="BN36">
        <v>0</v>
      </c>
      <c r="BO36">
        <v>0.97841945288753795</v>
      </c>
      <c r="BP36">
        <v>306253.59384572256</v>
      </c>
      <c r="BQ36">
        <v>325304.30691848218</v>
      </c>
      <c r="BR36" s="12">
        <f>(Sales[[#This Row],[DP1]]*Lookups!$B$59)+(Sales[[#This Row],[DP2]]*Lookups!$B$60)+(Sales[[#This Row],[DP3]]*Lookups!$B$61)</f>
        <v>-23996.816485294003</v>
      </c>
      <c r="BS36" s="12">
        <f>Lookups!$B$56*0.5</f>
        <v>44925.312794999998</v>
      </c>
      <c r="BT36" s="12">
        <f>Lookups!$B$56*0.5</f>
        <v>44925.312794999998</v>
      </c>
      <c r="BU36" s="12">
        <f>Lookups!$B$57*Sales[[#This Row],[LnAcres]]</f>
        <v>-49401.70477837498</v>
      </c>
      <c r="BV36" s="12">
        <f>VLOOKUP(Sales[[#This Row],[Qlty]],Lookups!$A$62:$E$75,2,FALSE)</f>
        <v>21557.329055999999</v>
      </c>
      <c r="BW36" s="12">
        <f>VLOOKUP(Sales[[#This Row],[Cnd]],Lookups!$A$76:$E$84,2,FALSE)</f>
        <v>160472.20319</v>
      </c>
      <c r="BX36" s="12">
        <f>Sales[[#This Row],[EffAge]]*Lookups!$B$85</f>
        <v>-10260.097623</v>
      </c>
      <c r="BY36" s="12">
        <f>Sales[[#This Row],[MainFn]]*Lookups!$B$86</f>
        <v>69320.363837430996</v>
      </c>
      <c r="BZ36" s="12">
        <f>Sales[[#This Row],[UpprFn]]*Lookups!$B$87</f>
        <v>0</v>
      </c>
      <c r="CA36" s="12">
        <f>Sales[[#This Row],[AddFn]]*Lookups!$B$88</f>
        <v>0</v>
      </c>
      <c r="CB36" s="12">
        <f>Sales[[#This Row],[Bsmt]]*Lookups!$B$89</f>
        <v>0</v>
      </c>
      <c r="CC36" s="12">
        <f>Sales[[#This Row],[Fixtures]]*Lookups!$B$90</f>
        <v>26544.1547364</v>
      </c>
      <c r="CD36" s="12">
        <f>Sales[[#This Row],[WdDeck]]*Lookups!$B$91</f>
        <v>0</v>
      </c>
      <c r="CE36" s="12">
        <f>SUM(Sales[[#This Row],[Days Prior Total]:[Mdl WdDeck]])</f>
        <v>284086.05752316199</v>
      </c>
      <c r="CF36" s="12">
        <f>ROUND(Sales[[#This Row],[25Det]],-2)</f>
        <v>0</v>
      </c>
      <c r="CG36" s="12">
        <f>ROUND(SUM(Sales[[#This Row],[Mdl Qlty]:[Mdl WdDeck]])+Sales[[#This Row],[Mdl Res Intercept]]+Sales[[#This Row],[Days Prior Total]],-2)</f>
        <v>243600</v>
      </c>
      <c r="CH36" s="12">
        <f>ROUND(Sales[[#This Row],[Mdl Land Intercept]]+Sales[[#This Row],[Mdl LnAcres]],-2)</f>
        <v>40400</v>
      </c>
      <c r="CI36" s="12">
        <f>Sales[[#This Row],[Unadj Res Value]]+Sales[[#This Row],[Unadj Det Value]]+Sales[[#This Row],[Unadj Land Value]]</f>
        <v>284000</v>
      </c>
      <c r="CJ36" s="13">
        <f>Sales[[#This Row],[Price]]/Sales[[#This Row],[Unadj Total Value]]</f>
        <v>1.1619718309859155</v>
      </c>
      <c r="CK36" s="13">
        <f>(Sales[[#This Row],[Unadj Total Value]]-Sales[[#This Row],[24Final]])/Sales[[#This Row],[24Final]]</f>
        <v>-2.9723266142808336E-2</v>
      </c>
      <c r="CL36" t="e">
        <v>#REF!</v>
      </c>
      <c r="CM36" t="e">
        <v>#REF!</v>
      </c>
      <c r="CN36" t="e">
        <v>#REF!</v>
      </c>
      <c r="CO36" t="e">
        <v>#REF!</v>
      </c>
      <c r="CP36" t="e">
        <v>#REF!</v>
      </c>
      <c r="CQ36" t="e">
        <v>#REF!</v>
      </c>
      <c r="CR36" t="e">
        <v>#REF!</v>
      </c>
      <c r="CS36" t="e">
        <v>#REF!</v>
      </c>
      <c r="CT36" t="e">
        <v>#REF!</v>
      </c>
      <c r="CU36" t="e">
        <v>#REF!</v>
      </c>
      <c r="CV36" t="e">
        <v>#REF!</v>
      </c>
      <c r="CW36" t="e">
        <v>#REF!</v>
      </c>
      <c r="CX36" s="15">
        <v>0</v>
      </c>
      <c r="CY36" s="15" t="e">
        <v>#REF!</v>
      </c>
      <c r="CZ36" s="15" t="e">
        <v>#REF!</v>
      </c>
      <c r="DA36" s="15" t="e">
        <v>#REF!</v>
      </c>
    </row>
    <row r="37" spans="1:105" x14ac:dyDescent="0.3">
      <c r="A37">
        <v>2025</v>
      </c>
      <c r="B37" s="1">
        <v>18132242511</v>
      </c>
      <c r="C37">
        <v>-0.9942522733438669</v>
      </c>
      <c r="D37">
        <v>0.37</v>
      </c>
      <c r="E37">
        <v>16120</v>
      </c>
      <c r="F37">
        <v>6</v>
      </c>
      <c r="G37" t="s">
        <v>126</v>
      </c>
      <c r="H37">
        <v>3033</v>
      </c>
      <c r="I37" t="s">
        <v>349</v>
      </c>
      <c r="J37" t="s">
        <v>30</v>
      </c>
      <c r="K37">
        <v>11</v>
      </c>
      <c r="L37">
        <v>259</v>
      </c>
      <c r="M37" t="s">
        <v>269</v>
      </c>
      <c r="N37" t="s">
        <v>351</v>
      </c>
      <c r="O37" t="s">
        <v>303</v>
      </c>
      <c r="P37">
        <v>90</v>
      </c>
      <c r="Q37">
        <v>1925</v>
      </c>
      <c r="R37">
        <v>1968</v>
      </c>
      <c r="S37">
        <v>99</v>
      </c>
      <c r="T37">
        <v>56</v>
      </c>
      <c r="U37">
        <v>2</v>
      </c>
      <c r="V37">
        <v>1038</v>
      </c>
      <c r="W37">
        <v>406</v>
      </c>
      <c r="X37">
        <v>0</v>
      </c>
      <c r="Y37">
        <v>235</v>
      </c>
      <c r="Z37">
        <v>235</v>
      </c>
      <c r="AA37">
        <v>0</v>
      </c>
      <c r="AB37">
        <v>1444</v>
      </c>
      <c r="AC37">
        <v>1500</v>
      </c>
      <c r="AD37">
        <v>0</v>
      </c>
      <c r="AF37" t="s">
        <v>383</v>
      </c>
      <c r="AG37" t="s">
        <v>148</v>
      </c>
      <c r="AH37" t="s">
        <v>450</v>
      </c>
      <c r="AI37">
        <v>0</v>
      </c>
      <c r="AJ37">
        <v>0</v>
      </c>
      <c r="AK37">
        <v>1</v>
      </c>
      <c r="AL37">
        <v>0</v>
      </c>
      <c r="AM37">
        <v>1</v>
      </c>
      <c r="AN37">
        <v>7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100</v>
      </c>
      <c r="AV37">
        <v>100</v>
      </c>
      <c r="AW37">
        <v>212036</v>
      </c>
      <c r="AX37">
        <v>156907</v>
      </c>
      <c r="AY37">
        <v>711</v>
      </c>
      <c r="AZ37">
        <v>365</v>
      </c>
      <c r="BA37">
        <v>346</v>
      </c>
      <c r="BB37">
        <v>0</v>
      </c>
      <c r="BC37" s="3">
        <v>44581</v>
      </c>
      <c r="BD37" t="s">
        <v>185</v>
      </c>
      <c r="BE37">
        <v>313000</v>
      </c>
      <c r="BF37">
        <v>304073</v>
      </c>
      <c r="BG37" t="s">
        <v>294</v>
      </c>
      <c r="BH37">
        <v>27</v>
      </c>
      <c r="BI37" t="s">
        <v>65</v>
      </c>
      <c r="BJ37" t="s">
        <v>450</v>
      </c>
      <c r="BK37">
        <v>345500</v>
      </c>
      <c r="BL37">
        <v>79900</v>
      </c>
      <c r="BM37">
        <v>265600</v>
      </c>
      <c r="BN37">
        <v>8927</v>
      </c>
      <c r="BO37">
        <v>1.1038338658146964</v>
      </c>
      <c r="BP37">
        <v>346264.39734501444</v>
      </c>
      <c r="BQ37">
        <v>368044.96169984242</v>
      </c>
      <c r="BR37" s="12">
        <f>(Sales[[#This Row],[DP1]]*Lookups!$B$59)+(Sales[[#This Row],[DP2]]*Lookups!$B$60)+(Sales[[#This Row],[DP3]]*Lookups!$B$61)</f>
        <v>-48306.726675070007</v>
      </c>
      <c r="BS37" s="12">
        <f>Lookups!$B$56*0.5</f>
        <v>44925.312794999998</v>
      </c>
      <c r="BT37" s="12">
        <f>Lookups!$B$56*0.5</f>
        <v>44925.312794999998</v>
      </c>
      <c r="BU37" s="12">
        <f>Lookups!$B$57*Sales[[#This Row],[LnAcres]]</f>
        <v>-69870.439211769743</v>
      </c>
      <c r="BV37" s="12">
        <f>VLOOKUP(Sales[[#This Row],[Qlty]],Lookups!$A$62:$E$75,2,FALSE)</f>
        <v>21557.329055999999</v>
      </c>
      <c r="BW37" s="12">
        <f>VLOOKUP(Sales[[#This Row],[Cnd]],Lookups!$A$76:$E$84,2,FALSE)</f>
        <v>197752.34721000001</v>
      </c>
      <c r="BX37" s="12">
        <f>Sales[[#This Row],[EffAge]]*Lookups!$B$85</f>
        <v>-10260.097623</v>
      </c>
      <c r="BY37" s="12">
        <f>Sales[[#This Row],[MainFn]]*Lookups!$B$86</f>
        <v>65911.165615917998</v>
      </c>
      <c r="BZ37" s="12">
        <f>Sales[[#This Row],[UpprFn]]*Lookups!$B$87</f>
        <v>0</v>
      </c>
      <c r="CA37" s="12">
        <f>Sales[[#This Row],[AddFn]]*Lookups!$B$88</f>
        <v>0</v>
      </c>
      <c r="CB37" s="12">
        <f>Sales[[#This Row],[Bsmt]]*Lookups!$B$89</f>
        <v>0</v>
      </c>
      <c r="CC37" s="12">
        <f>Sales[[#This Row],[Fixtures]]*Lookups!$B$90</f>
        <v>30336.176841600001</v>
      </c>
      <c r="CD37" s="12">
        <f>Sales[[#This Row],[WdDeck]]*Lookups!$B$91</f>
        <v>0</v>
      </c>
      <c r="CE37" s="12">
        <f>SUM(Sales[[#This Row],[Days Prior Total]:[Mdl WdDeck]])</f>
        <v>276970.38080367824</v>
      </c>
      <c r="CF37" s="12">
        <f>ROUND(Sales[[#This Row],[25Det]],-2)</f>
        <v>0</v>
      </c>
      <c r="CG37" s="12">
        <f>ROUND(SUM(Sales[[#This Row],[Mdl Qlty]:[Mdl WdDeck]])+Sales[[#This Row],[Mdl Res Intercept]]+Sales[[#This Row],[Days Prior Total]],-2)</f>
        <v>257000</v>
      </c>
      <c r="CH37" s="12">
        <f>ROUND(Sales[[#This Row],[Mdl Land Intercept]]+Sales[[#This Row],[Mdl LnAcres]],-2)</f>
        <v>20000</v>
      </c>
      <c r="CI37" s="12">
        <f>Sales[[#This Row],[Unadj Res Value]]+Sales[[#This Row],[Unadj Det Value]]+Sales[[#This Row],[Unadj Land Value]]</f>
        <v>277000</v>
      </c>
      <c r="CJ37" s="13">
        <f>Sales[[#This Row],[Price]]/Sales[[#This Row],[Unadj Total Value]]</f>
        <v>1.1191335740072201</v>
      </c>
      <c r="CK37" s="13">
        <f>(Sales[[#This Row],[Unadj Total Value]]-Sales[[#This Row],[24Final]])/Sales[[#This Row],[24Final]]</f>
        <v>-6.7653988556041739E-2</v>
      </c>
      <c r="CL37" t="e">
        <v>#REF!</v>
      </c>
      <c r="CM37" t="e">
        <v>#REF!</v>
      </c>
      <c r="CN37" t="e">
        <v>#REF!</v>
      </c>
      <c r="CO37" t="e">
        <v>#REF!</v>
      </c>
      <c r="CP37" t="e">
        <v>#REF!</v>
      </c>
      <c r="CQ37" t="e">
        <v>#REF!</v>
      </c>
      <c r="CR37" t="e">
        <v>#REF!</v>
      </c>
      <c r="CS37" t="e">
        <v>#REF!</v>
      </c>
      <c r="CT37" t="e">
        <v>#REF!</v>
      </c>
      <c r="CU37" t="e">
        <v>#REF!</v>
      </c>
      <c r="CV37" t="e">
        <v>#REF!</v>
      </c>
      <c r="CW37" t="e">
        <v>#REF!</v>
      </c>
      <c r="CX37" s="15">
        <v>0</v>
      </c>
      <c r="CY37" s="15" t="e">
        <v>#REF!</v>
      </c>
      <c r="CZ37" s="15" t="e">
        <v>#REF!</v>
      </c>
      <c r="DA37" s="15" t="e">
        <v>#REF!</v>
      </c>
    </row>
    <row r="38" spans="1:105" x14ac:dyDescent="0.3">
      <c r="A38">
        <v>2025</v>
      </c>
      <c r="B38" s="1">
        <v>18132334009</v>
      </c>
      <c r="C38">
        <v>-1.7719568419318752</v>
      </c>
      <c r="D38">
        <v>0.17</v>
      </c>
      <c r="E38">
        <v>0</v>
      </c>
      <c r="F38">
        <v>6</v>
      </c>
      <c r="G38" t="s">
        <v>126</v>
      </c>
      <c r="H38">
        <v>3093</v>
      </c>
      <c r="I38" t="s">
        <v>349</v>
      </c>
      <c r="J38" t="s">
        <v>30</v>
      </c>
      <c r="K38">
        <v>11</v>
      </c>
      <c r="L38">
        <v>259</v>
      </c>
      <c r="M38" t="s">
        <v>269</v>
      </c>
      <c r="N38" t="s">
        <v>351</v>
      </c>
      <c r="O38" t="s">
        <v>303</v>
      </c>
      <c r="P38">
        <v>90</v>
      </c>
      <c r="Q38">
        <v>1930</v>
      </c>
      <c r="R38">
        <v>1970</v>
      </c>
      <c r="S38">
        <v>94</v>
      </c>
      <c r="T38">
        <v>54</v>
      </c>
      <c r="U38">
        <v>1</v>
      </c>
      <c r="V38">
        <v>936</v>
      </c>
      <c r="W38">
        <v>0</v>
      </c>
      <c r="X38">
        <v>0</v>
      </c>
      <c r="Y38">
        <v>936</v>
      </c>
      <c r="Z38">
        <v>536</v>
      </c>
      <c r="AA38">
        <v>400</v>
      </c>
      <c r="AB38">
        <v>1336</v>
      </c>
      <c r="AC38">
        <v>1500</v>
      </c>
      <c r="AD38">
        <v>0</v>
      </c>
      <c r="AF38" t="s">
        <v>383</v>
      </c>
      <c r="AG38" t="s">
        <v>148</v>
      </c>
      <c r="AH38" t="s">
        <v>450</v>
      </c>
      <c r="AI38">
        <v>0</v>
      </c>
      <c r="AJ38">
        <v>1</v>
      </c>
      <c r="AK38">
        <v>0</v>
      </c>
      <c r="AL38">
        <v>1</v>
      </c>
      <c r="AM38">
        <v>0</v>
      </c>
      <c r="AN38">
        <v>8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100</v>
      </c>
      <c r="AV38">
        <v>100</v>
      </c>
      <c r="AW38">
        <v>197075</v>
      </c>
      <c r="AX38">
        <v>147806</v>
      </c>
      <c r="AY38">
        <v>598</v>
      </c>
      <c r="AZ38">
        <v>365</v>
      </c>
      <c r="BA38">
        <v>233</v>
      </c>
      <c r="BB38">
        <v>0</v>
      </c>
      <c r="BC38" s="3">
        <v>44694</v>
      </c>
      <c r="BD38" t="s">
        <v>218</v>
      </c>
      <c r="BE38">
        <v>296000</v>
      </c>
      <c r="BF38">
        <v>288693</v>
      </c>
      <c r="BG38" t="s">
        <v>294</v>
      </c>
      <c r="BH38">
        <v>27</v>
      </c>
      <c r="BI38" t="s">
        <v>65</v>
      </c>
      <c r="BJ38" t="s">
        <v>450</v>
      </c>
      <c r="BK38">
        <v>318900</v>
      </c>
      <c r="BL38">
        <v>52700</v>
      </c>
      <c r="BM38">
        <v>266200</v>
      </c>
      <c r="BN38">
        <v>7307</v>
      </c>
      <c r="BO38">
        <v>1.0773648648648648</v>
      </c>
      <c r="BP38">
        <v>321750.40953537979</v>
      </c>
      <c r="BQ38">
        <v>344828.57228691259</v>
      </c>
      <c r="BR38" s="12">
        <f>(Sales[[#This Row],[DP1]]*Lookups!$B$59)+(Sales[[#This Row],[DP2]]*Lookups!$B$60)+(Sales[[#This Row],[DP3]]*Lookups!$B$61)</f>
        <v>-43760.188436470002</v>
      </c>
      <c r="BS38" s="12">
        <f>Lookups!$B$56*0.5</f>
        <v>44925.312794999998</v>
      </c>
      <c r="BT38" s="12">
        <f>Lookups!$B$56*0.5</f>
        <v>44925.312794999998</v>
      </c>
      <c r="BU38" s="12">
        <f>Lookups!$B$57*Sales[[#This Row],[LnAcres]]</f>
        <v>-49401.70477837498</v>
      </c>
      <c r="BV38" s="12">
        <f>VLOOKUP(Sales[[#This Row],[Qlty]],Lookups!$A$62:$E$75,2,FALSE)</f>
        <v>21557.329055999999</v>
      </c>
      <c r="BW38" s="12">
        <f>VLOOKUP(Sales[[#This Row],[Cnd]],Lookups!$A$76:$E$84,2,FALSE)</f>
        <v>160472.20319</v>
      </c>
      <c r="BX38" s="12">
        <f>Sales[[#This Row],[EffAge]]*Lookups!$B$85</f>
        <v>-10260.097623</v>
      </c>
      <c r="BY38" s="12">
        <f>Sales[[#This Row],[MainFn]]*Lookups!$B$86</f>
        <v>50989.747313063999</v>
      </c>
      <c r="BZ38" s="12">
        <f>Sales[[#This Row],[UpprFn]]*Lookups!$B$87</f>
        <v>0</v>
      </c>
      <c r="CA38" s="12">
        <f>Sales[[#This Row],[AddFn]]*Lookups!$B$88</f>
        <v>0</v>
      </c>
      <c r="CB38" s="12">
        <f>Sales[[#This Row],[Bsmt]]*Lookups!$B$89</f>
        <v>0</v>
      </c>
      <c r="CC38" s="12">
        <f>Sales[[#This Row],[Fixtures]]*Lookups!$B$90</f>
        <v>22752.132631200002</v>
      </c>
      <c r="CD38" s="12">
        <f>Sales[[#This Row],[WdDeck]]*Lookups!$B$91</f>
        <v>0</v>
      </c>
      <c r="CE38" s="12">
        <f>SUM(Sales[[#This Row],[Days Prior Total]:[Mdl WdDeck]])</f>
        <v>242200.04694241902</v>
      </c>
      <c r="CF38" s="12">
        <f>ROUND(Sales[[#This Row],[25Det]],-2)</f>
        <v>0</v>
      </c>
      <c r="CG38" s="12">
        <f>ROUND(SUM(Sales[[#This Row],[Mdl Qlty]:[Mdl WdDeck]])+Sales[[#This Row],[Mdl Res Intercept]]+Sales[[#This Row],[Days Prior Total]],-2)</f>
        <v>201800</v>
      </c>
      <c r="CH38" s="12">
        <f>ROUND(Sales[[#This Row],[Mdl Land Intercept]]+Sales[[#This Row],[Mdl LnAcres]],-2)</f>
        <v>40400</v>
      </c>
      <c r="CI38" s="12">
        <f>Sales[[#This Row],[Unadj Res Value]]+Sales[[#This Row],[Unadj Det Value]]+Sales[[#This Row],[Unadj Land Value]]</f>
        <v>242200</v>
      </c>
      <c r="CJ38" s="13">
        <f>Sales[[#This Row],[Price]]/Sales[[#This Row],[Unadj Total Value]]</f>
        <v>1.0734929810074318</v>
      </c>
      <c r="CK38" s="13">
        <f>(Sales[[#This Row],[Unadj Total Value]]-Sales[[#This Row],[24Final]])/Sales[[#This Row],[24Final]]</f>
        <v>-0.10229799851742032</v>
      </c>
      <c r="CL38" t="e">
        <v>#REF!</v>
      </c>
      <c r="CM38" t="e">
        <v>#REF!</v>
      </c>
      <c r="CN38" t="e">
        <v>#REF!</v>
      </c>
      <c r="CO38" t="e">
        <v>#REF!</v>
      </c>
      <c r="CP38" t="e">
        <v>#REF!</v>
      </c>
      <c r="CQ38" t="e">
        <v>#REF!</v>
      </c>
      <c r="CR38" t="e">
        <v>#REF!</v>
      </c>
      <c r="CS38" t="e">
        <v>#REF!</v>
      </c>
      <c r="CT38" t="e">
        <v>#REF!</v>
      </c>
      <c r="CU38" t="e">
        <v>#REF!</v>
      </c>
      <c r="CV38" t="e">
        <v>#REF!</v>
      </c>
      <c r="CW38" t="e">
        <v>#REF!</v>
      </c>
      <c r="CX38" s="15">
        <v>0</v>
      </c>
      <c r="CY38" s="15" t="e">
        <v>#REF!</v>
      </c>
      <c r="CZ38" s="15" t="e">
        <v>#REF!</v>
      </c>
      <c r="DA38" s="15" t="e">
        <v>#REF!</v>
      </c>
    </row>
    <row r="39" spans="1:105" x14ac:dyDescent="0.3">
      <c r="A39">
        <v>2025</v>
      </c>
      <c r="B39" s="1">
        <v>18132323445</v>
      </c>
      <c r="C39">
        <v>-1.7147984280919266</v>
      </c>
      <c r="D39">
        <v>0.18</v>
      </c>
      <c r="E39">
        <v>0</v>
      </c>
      <c r="F39">
        <v>6</v>
      </c>
      <c r="G39" t="s">
        <v>126</v>
      </c>
      <c r="H39">
        <v>3033</v>
      </c>
      <c r="I39" t="s">
        <v>349</v>
      </c>
      <c r="J39" t="s">
        <v>30</v>
      </c>
      <c r="K39">
        <v>11</v>
      </c>
      <c r="L39">
        <v>259</v>
      </c>
      <c r="M39" t="s">
        <v>242</v>
      </c>
      <c r="N39" t="s">
        <v>351</v>
      </c>
      <c r="O39" t="s">
        <v>303</v>
      </c>
      <c r="P39">
        <v>70</v>
      </c>
      <c r="Q39">
        <v>1945</v>
      </c>
      <c r="R39">
        <v>1972</v>
      </c>
      <c r="S39">
        <v>79</v>
      </c>
      <c r="T39">
        <v>52</v>
      </c>
      <c r="U39">
        <v>1</v>
      </c>
      <c r="V39">
        <v>711</v>
      </c>
      <c r="W39">
        <v>0</v>
      </c>
      <c r="X39">
        <v>0</v>
      </c>
      <c r="Y39">
        <v>711</v>
      </c>
      <c r="Z39">
        <v>0</v>
      </c>
      <c r="AA39">
        <v>711</v>
      </c>
      <c r="AB39">
        <v>1422</v>
      </c>
      <c r="AC39">
        <v>1500</v>
      </c>
      <c r="AD39">
        <v>0</v>
      </c>
      <c r="AF39" t="s">
        <v>208</v>
      </c>
      <c r="AG39" t="s">
        <v>382</v>
      </c>
      <c r="AI39">
        <v>0</v>
      </c>
      <c r="AJ39">
        <v>0</v>
      </c>
      <c r="AK39">
        <v>0</v>
      </c>
      <c r="AL39">
        <v>1</v>
      </c>
      <c r="AM39">
        <v>0</v>
      </c>
      <c r="AN39">
        <v>8</v>
      </c>
      <c r="AO39">
        <v>0</v>
      </c>
      <c r="AP39">
        <v>0</v>
      </c>
      <c r="AQ39">
        <v>0</v>
      </c>
      <c r="AR39">
        <v>0</v>
      </c>
      <c r="AS39">
        <v>96</v>
      </c>
      <c r="AT39">
        <v>0</v>
      </c>
      <c r="AU39">
        <v>100</v>
      </c>
      <c r="AV39">
        <v>100</v>
      </c>
      <c r="AW39">
        <v>169611</v>
      </c>
      <c r="AX39">
        <v>130600</v>
      </c>
      <c r="AY39">
        <v>543</v>
      </c>
      <c r="AZ39">
        <v>365</v>
      </c>
      <c r="BA39">
        <v>178</v>
      </c>
      <c r="BB39">
        <v>0</v>
      </c>
      <c r="BC39" s="3">
        <v>44749</v>
      </c>
      <c r="BD39" t="s">
        <v>219</v>
      </c>
      <c r="BE39">
        <v>325500</v>
      </c>
      <c r="BF39">
        <v>325500</v>
      </c>
      <c r="BG39" t="s">
        <v>294</v>
      </c>
      <c r="BH39">
        <v>27</v>
      </c>
      <c r="BI39" t="s">
        <v>65</v>
      </c>
      <c r="BJ39" t="s">
        <v>450</v>
      </c>
      <c r="BK39">
        <v>305400</v>
      </c>
      <c r="BL39">
        <v>54700</v>
      </c>
      <c r="BM39">
        <v>250700</v>
      </c>
      <c r="BN39">
        <v>0</v>
      </c>
      <c r="BO39">
        <v>0.93824884792626728</v>
      </c>
      <c r="BP39">
        <v>305713.87676897296</v>
      </c>
      <c r="BQ39">
        <v>329423.61396137986</v>
      </c>
      <c r="BR39" s="12">
        <f>(Sales[[#This Row],[DP1]]*Lookups!$B$59)+(Sales[[#This Row],[DP2]]*Lookups!$B$60)+(Sales[[#This Row],[DP3]]*Lookups!$B$61)</f>
        <v>-22274.340737494</v>
      </c>
      <c r="BS39" s="12">
        <f>Lookups!$B$56*0.5</f>
        <v>44925.312794999998</v>
      </c>
      <c r="BT39" s="12">
        <f>Lookups!$B$56*0.5</f>
        <v>44925.312794999998</v>
      </c>
      <c r="BU39" s="12">
        <f>Lookups!$B$57*Sales[[#This Row],[LnAcres]]</f>
        <v>-35094.289365640165</v>
      </c>
      <c r="BV39" s="12">
        <f>VLOOKUP(Sales[[#This Row],[Qlty]],Lookups!$A$62:$E$75,2,FALSE)</f>
        <v>44121.038090000002</v>
      </c>
      <c r="BW39" s="12">
        <f>VLOOKUP(Sales[[#This Row],[Cnd]],Lookups!$A$76:$E$84,2,FALSE)</f>
        <v>197752.34721000001</v>
      </c>
      <c r="BX39" s="12">
        <f>Sales[[#This Row],[EffAge]]*Lookups!$B$85</f>
        <v>-8252.6872185000011</v>
      </c>
      <c r="BY39" s="12">
        <f>Sales[[#This Row],[MainFn]]*Lookups!$B$86</f>
        <v>77818.655056275005</v>
      </c>
      <c r="BZ39" s="12">
        <f>Sales[[#This Row],[UpprFn]]*Lookups!$B$87</f>
        <v>0</v>
      </c>
      <c r="CA39" s="12">
        <f>Sales[[#This Row],[AddFn]]*Lookups!$B$88</f>
        <v>0</v>
      </c>
      <c r="CB39" s="12">
        <f>Sales[[#This Row],[Bsmt]]*Lookups!$B$89</f>
        <v>45803.985014024998</v>
      </c>
      <c r="CC39" s="12">
        <f>Sales[[#This Row],[Fixtures]]*Lookups!$B$90</f>
        <v>53088.3094728</v>
      </c>
      <c r="CD39" s="12">
        <f>Sales[[#This Row],[WdDeck]]*Lookups!$B$91</f>
        <v>9788.8814911440004</v>
      </c>
      <c r="CE39" s="12">
        <f>SUM(Sales[[#This Row],[Days Prior Total]:[Mdl WdDeck]])</f>
        <v>452602.52460260986</v>
      </c>
      <c r="CF39" s="12">
        <f>ROUND(Sales[[#This Row],[25Det]],-2)</f>
        <v>23400</v>
      </c>
      <c r="CG39" s="12">
        <f>ROUND(SUM(Sales[[#This Row],[Mdl Qlty]:[Mdl WdDeck]])+Sales[[#This Row],[Mdl Res Intercept]]+Sales[[#This Row],[Days Prior Total]],-2)</f>
        <v>397800</v>
      </c>
      <c r="CH39" s="12">
        <f>ROUND(Sales[[#This Row],[Mdl Land Intercept]]+Sales[[#This Row],[Mdl LnAcres]],-2)</f>
        <v>54800</v>
      </c>
      <c r="CI39" s="12">
        <f>Sales[[#This Row],[Unadj Res Value]]+Sales[[#This Row],[Unadj Det Value]]+Sales[[#This Row],[Unadj Land Value]]</f>
        <v>476000</v>
      </c>
      <c r="CJ39" s="13">
        <f>Sales[[#This Row],[Price]]/Sales[[#This Row],[Unadj Total Value]]</f>
        <v>1.1239495798319328</v>
      </c>
      <c r="CK39" s="13">
        <f>(Sales[[#This Row],[Unadj Total Value]]-Sales[[#This Row],[24Final]])/Sales[[#This Row],[24Final]]</f>
        <v>-4.8086974702069834E-3</v>
      </c>
      <c r="CL39" t="e">
        <v>#REF!</v>
      </c>
      <c r="CM39" t="e">
        <v>#REF!</v>
      </c>
      <c r="CN39" t="e">
        <v>#REF!</v>
      </c>
      <c r="CO39" t="e">
        <v>#REF!</v>
      </c>
      <c r="CP39" t="e">
        <v>#REF!</v>
      </c>
      <c r="CQ39" t="e">
        <v>#REF!</v>
      </c>
      <c r="CR39" t="e">
        <v>#REF!</v>
      </c>
      <c r="CS39" t="e">
        <v>#REF!</v>
      </c>
      <c r="CT39" t="e">
        <v>#REF!</v>
      </c>
      <c r="CU39" t="e">
        <v>#REF!</v>
      </c>
      <c r="CV39" t="e">
        <v>#REF!</v>
      </c>
      <c r="CW39" t="e">
        <v>#REF!</v>
      </c>
      <c r="CX39" s="15">
        <v>0</v>
      </c>
      <c r="CY39" s="15" t="e">
        <v>#REF!</v>
      </c>
      <c r="CZ39" s="15" t="e">
        <v>#REF!</v>
      </c>
      <c r="DA39" s="15" t="e">
        <v>#REF!</v>
      </c>
    </row>
    <row r="40" spans="1:105" x14ac:dyDescent="0.3">
      <c r="A40">
        <v>2025</v>
      </c>
      <c r="B40" s="1">
        <v>18132334495</v>
      </c>
      <c r="C40">
        <v>-1.5141277326297755</v>
      </c>
      <c r="D40">
        <v>0.22</v>
      </c>
      <c r="E40">
        <v>0</v>
      </c>
      <c r="F40">
        <v>6</v>
      </c>
      <c r="G40" t="s">
        <v>126</v>
      </c>
      <c r="H40">
        <v>3093</v>
      </c>
      <c r="I40" t="s">
        <v>349</v>
      </c>
      <c r="J40" t="s">
        <v>30</v>
      </c>
      <c r="K40">
        <v>11</v>
      </c>
      <c r="L40">
        <v>259</v>
      </c>
      <c r="M40" t="s">
        <v>242</v>
      </c>
      <c r="N40" t="s">
        <v>351</v>
      </c>
      <c r="O40" t="s">
        <v>303</v>
      </c>
      <c r="P40">
        <v>80</v>
      </c>
      <c r="Q40">
        <v>1940</v>
      </c>
      <c r="R40">
        <v>1972</v>
      </c>
      <c r="S40">
        <v>84</v>
      </c>
      <c r="T40">
        <v>52</v>
      </c>
      <c r="U40">
        <v>1</v>
      </c>
      <c r="V40">
        <v>1067</v>
      </c>
      <c r="W40">
        <v>0</v>
      </c>
      <c r="X40">
        <v>0</v>
      </c>
      <c r="Y40">
        <v>1067</v>
      </c>
      <c r="Z40">
        <v>16</v>
      </c>
      <c r="AA40">
        <v>1051</v>
      </c>
      <c r="AB40">
        <v>2118</v>
      </c>
      <c r="AC40">
        <v>2500</v>
      </c>
      <c r="AD40">
        <v>0</v>
      </c>
      <c r="AF40" t="s">
        <v>383</v>
      </c>
      <c r="AG40" t="s">
        <v>148</v>
      </c>
      <c r="AI40">
        <v>0</v>
      </c>
      <c r="AJ40">
        <v>1</v>
      </c>
      <c r="AK40">
        <v>0</v>
      </c>
      <c r="AL40">
        <v>1</v>
      </c>
      <c r="AM40">
        <v>0</v>
      </c>
      <c r="AN40">
        <v>8</v>
      </c>
      <c r="AO40">
        <v>0</v>
      </c>
      <c r="AP40">
        <v>0</v>
      </c>
      <c r="AQ40">
        <v>0</v>
      </c>
      <c r="AR40">
        <v>0</v>
      </c>
      <c r="AS40">
        <v>202</v>
      </c>
      <c r="AT40">
        <v>202</v>
      </c>
      <c r="AU40">
        <v>100</v>
      </c>
      <c r="AV40">
        <v>100</v>
      </c>
      <c r="AW40">
        <v>245332</v>
      </c>
      <c r="AX40">
        <v>188906</v>
      </c>
      <c r="AY40">
        <v>174</v>
      </c>
      <c r="AZ40">
        <v>174</v>
      </c>
      <c r="BA40">
        <v>0</v>
      </c>
      <c r="BB40">
        <v>0</v>
      </c>
      <c r="BC40" s="3">
        <v>45118</v>
      </c>
      <c r="BD40" t="s">
        <v>309</v>
      </c>
      <c r="BE40">
        <v>380000</v>
      </c>
      <c r="BF40">
        <v>374683</v>
      </c>
      <c r="BG40" t="s">
        <v>294</v>
      </c>
      <c r="BH40">
        <v>27</v>
      </c>
      <c r="BI40" t="s">
        <v>65</v>
      </c>
      <c r="BJ40" t="s">
        <v>450</v>
      </c>
      <c r="BK40">
        <v>350200</v>
      </c>
      <c r="BL40">
        <v>61700</v>
      </c>
      <c r="BM40">
        <v>288500</v>
      </c>
      <c r="BN40">
        <v>5317</v>
      </c>
      <c r="BO40">
        <v>0.92157894736842105</v>
      </c>
      <c r="BP40">
        <v>351441.28269848641</v>
      </c>
      <c r="BQ40">
        <v>363718.40890093154</v>
      </c>
      <c r="BR40" s="12">
        <f>(Sales[[#This Row],[DP1]]*Lookups!$B$59)+(Sales[[#This Row],[DP2]]*Lookups!$B$60)+(Sales[[#This Row],[DP3]]*Lookups!$B$61)</f>
        <v>-22320.273424102001</v>
      </c>
      <c r="BS40" s="12">
        <f>Lookups!$B$56*0.5</f>
        <v>44925.312794999998</v>
      </c>
      <c r="BT40" s="12">
        <f>Lookups!$B$56*0.5</f>
        <v>44925.312794999998</v>
      </c>
      <c r="BU40" s="12">
        <f>Lookups!$B$57*Sales[[#This Row],[LnAcres]]</f>
        <v>-45174.819855485119</v>
      </c>
      <c r="BV40" s="12">
        <f>VLOOKUP(Sales[[#This Row],[Qlty]],Lookups!$A$62:$E$75,2,FALSE)</f>
        <v>74268.409664999999</v>
      </c>
      <c r="BW40" s="12">
        <f>VLOOKUP(Sales[[#This Row],[Cnd]],Lookups!$A$76:$E$84,2,FALSE)</f>
        <v>197752.34721000001</v>
      </c>
      <c r="BX40" s="12">
        <f>Sales[[#This Row],[EffAge]]*Lookups!$B$85</f>
        <v>-10483.143223500001</v>
      </c>
      <c r="BY40" s="12">
        <f>Sales[[#This Row],[MainFn]]*Lookups!$B$86</f>
        <v>84291.190810162007</v>
      </c>
      <c r="BZ40" s="12">
        <f>Sales[[#This Row],[UpprFn]]*Lookups!$B$87</f>
        <v>0</v>
      </c>
      <c r="CA40" s="12">
        <f>Sales[[#This Row],[AddFn]]*Lookups!$B$88</f>
        <v>0</v>
      </c>
      <c r="CB40" s="12">
        <f>Sales[[#This Row],[Bsmt]]*Lookups!$B$89</f>
        <v>25126.757493408</v>
      </c>
      <c r="CC40" s="12">
        <f>Sales[[#This Row],[Fixtures]]*Lookups!$B$90</f>
        <v>41712.243157199999</v>
      </c>
      <c r="CD40" s="12">
        <f>Sales[[#This Row],[WdDeck]]*Lookups!$B$91</f>
        <v>0</v>
      </c>
      <c r="CE40" s="12">
        <f>SUM(Sales[[#This Row],[Days Prior Total]:[Mdl WdDeck]])</f>
        <v>435023.33742268285</v>
      </c>
      <c r="CF40" s="12">
        <f>ROUND(Sales[[#This Row],[25Det]],-2)</f>
        <v>0</v>
      </c>
      <c r="CG40" s="12">
        <f>ROUND(SUM(Sales[[#This Row],[Mdl Qlty]:[Mdl WdDeck]])+Sales[[#This Row],[Mdl Res Intercept]]+Sales[[#This Row],[Days Prior Total]],-2)</f>
        <v>390300</v>
      </c>
      <c r="CH40" s="12">
        <f>ROUND(Sales[[#This Row],[Mdl Land Intercept]]+Sales[[#This Row],[Mdl LnAcres]],-2)</f>
        <v>44700</v>
      </c>
      <c r="CI40" s="12">
        <f>Sales[[#This Row],[Unadj Res Value]]+Sales[[#This Row],[Unadj Det Value]]+Sales[[#This Row],[Unadj Land Value]]</f>
        <v>435000</v>
      </c>
      <c r="CJ40" s="13">
        <f>Sales[[#This Row],[Price]]/Sales[[#This Row],[Unadj Total Value]]</f>
        <v>1.0298850574712644</v>
      </c>
      <c r="CK40" s="13">
        <f>(Sales[[#This Row],[Unadj Total Value]]-Sales[[#This Row],[24Final]])/Sales[[#This Row],[24Final]]</f>
        <v>-5.208106341250817E-2</v>
      </c>
      <c r="CL40" t="e">
        <v>#REF!</v>
      </c>
      <c r="CM40" t="e">
        <v>#REF!</v>
      </c>
      <c r="CN40" t="e">
        <v>#REF!</v>
      </c>
      <c r="CO40" t="e">
        <v>#REF!</v>
      </c>
      <c r="CP40" t="e">
        <v>#REF!</v>
      </c>
      <c r="CQ40" t="e">
        <v>#REF!</v>
      </c>
      <c r="CR40" t="e">
        <v>#REF!</v>
      </c>
      <c r="CS40" t="e">
        <v>#REF!</v>
      </c>
      <c r="CT40" t="e">
        <v>#REF!</v>
      </c>
      <c r="CU40" t="e">
        <v>#REF!</v>
      </c>
      <c r="CV40" t="e">
        <v>#REF!</v>
      </c>
      <c r="CW40" t="e">
        <v>#REF!</v>
      </c>
      <c r="CX40" s="15">
        <v>0</v>
      </c>
      <c r="CY40" s="15" t="e">
        <v>#REF!</v>
      </c>
      <c r="CZ40" s="15" t="e">
        <v>#REF!</v>
      </c>
      <c r="DA40" s="15" t="e">
        <v>#REF!</v>
      </c>
    </row>
    <row r="41" spans="1:105" x14ac:dyDescent="0.3">
      <c r="A41">
        <v>2025</v>
      </c>
      <c r="B41" s="1">
        <v>18132322457</v>
      </c>
      <c r="C41">
        <v>-3.2188758248682006</v>
      </c>
      <c r="D41">
        <v>0.04</v>
      </c>
      <c r="E41">
        <v>1788</v>
      </c>
      <c r="F41">
        <v>6</v>
      </c>
      <c r="G41" t="s">
        <v>28</v>
      </c>
      <c r="H41" t="s">
        <v>29</v>
      </c>
      <c r="I41" t="s">
        <v>349</v>
      </c>
      <c r="J41" t="s">
        <v>146</v>
      </c>
      <c r="K41">
        <v>11</v>
      </c>
      <c r="L41">
        <v>262</v>
      </c>
      <c r="M41" t="s">
        <v>381</v>
      </c>
      <c r="N41" t="s">
        <v>351</v>
      </c>
      <c r="O41" t="s">
        <v>303</v>
      </c>
      <c r="P41">
        <v>40</v>
      </c>
      <c r="Q41">
        <v>1980</v>
      </c>
      <c r="R41">
        <v>1980</v>
      </c>
      <c r="S41">
        <v>44</v>
      </c>
      <c r="T41">
        <v>44</v>
      </c>
      <c r="U41">
        <v>1</v>
      </c>
      <c r="V41">
        <v>1348</v>
      </c>
      <c r="W41">
        <v>0</v>
      </c>
      <c r="X41">
        <v>0</v>
      </c>
      <c r="Y41">
        <v>0</v>
      </c>
      <c r="Z41">
        <v>0</v>
      </c>
      <c r="AA41">
        <v>0</v>
      </c>
      <c r="AB41">
        <v>1348</v>
      </c>
      <c r="AC41">
        <v>1500</v>
      </c>
      <c r="AD41">
        <v>2</v>
      </c>
      <c r="AF41" t="s">
        <v>383</v>
      </c>
      <c r="AG41" t="s">
        <v>382</v>
      </c>
      <c r="AH41" t="s">
        <v>450</v>
      </c>
      <c r="AI41">
        <v>0</v>
      </c>
      <c r="AJ41">
        <v>0</v>
      </c>
      <c r="AK41">
        <v>1</v>
      </c>
      <c r="AL41">
        <v>0</v>
      </c>
      <c r="AM41">
        <v>0</v>
      </c>
      <c r="AN41">
        <v>8</v>
      </c>
      <c r="AO41">
        <v>440</v>
      </c>
      <c r="AP41">
        <v>0</v>
      </c>
      <c r="AQ41">
        <v>0</v>
      </c>
      <c r="AR41">
        <v>0</v>
      </c>
      <c r="AS41">
        <v>208</v>
      </c>
      <c r="AT41">
        <v>96</v>
      </c>
      <c r="AU41">
        <v>100</v>
      </c>
      <c r="AV41">
        <v>100</v>
      </c>
      <c r="AW41">
        <v>215344</v>
      </c>
      <c r="AX41">
        <v>180889</v>
      </c>
      <c r="AY41">
        <v>24</v>
      </c>
      <c r="AZ41">
        <v>24</v>
      </c>
      <c r="BA41">
        <v>0</v>
      </c>
      <c r="BB41">
        <v>0</v>
      </c>
      <c r="BC41" s="3">
        <v>45268</v>
      </c>
      <c r="BD41" t="s">
        <v>100</v>
      </c>
      <c r="BE41">
        <v>245000</v>
      </c>
      <c r="BF41">
        <v>245000</v>
      </c>
      <c r="BG41" t="s">
        <v>294</v>
      </c>
      <c r="BH41">
        <v>27</v>
      </c>
      <c r="BI41" t="s">
        <v>65</v>
      </c>
      <c r="BJ41" t="s">
        <v>450</v>
      </c>
      <c r="BK41">
        <v>275000</v>
      </c>
      <c r="BL41">
        <v>41300</v>
      </c>
      <c r="BM41">
        <v>233700</v>
      </c>
      <c r="BN41">
        <v>0</v>
      </c>
      <c r="BO41">
        <v>1.1224489795918366</v>
      </c>
      <c r="BP41">
        <v>292699.68519871053</v>
      </c>
      <c r="BQ41">
        <v>294393.08191628917</v>
      </c>
      <c r="BR41" s="12">
        <f>(Sales[[#This Row],[DP1]]*Lookups!$B$59)+(Sales[[#This Row],[DP2]]*Lookups!$B$60)+(Sales[[#This Row],[DP3]]*Lookups!$B$61)</f>
        <v>-35068.27709797</v>
      </c>
      <c r="BS41" s="12">
        <f>Lookups!$B$56*0.5</f>
        <v>44925.312794999998</v>
      </c>
      <c r="BT41" s="12">
        <f>Lookups!$B$56*0.5</f>
        <v>44925.312794999998</v>
      </c>
      <c r="BU41" s="12">
        <f>Lookups!$B$57*Sales[[#This Row],[LnAcres]]</f>
        <v>-56090.612940989391</v>
      </c>
      <c r="BV41" s="12">
        <f>VLOOKUP(Sales[[#This Row],[Qlty]],Lookups!$A$62:$E$75,2,FALSE)</f>
        <v>44121.038090000002</v>
      </c>
      <c r="BW41" s="12">
        <f>VLOOKUP(Sales[[#This Row],[Cnd]],Lookups!$A$76:$E$84,2,FALSE)</f>
        <v>160472.20319</v>
      </c>
      <c r="BX41" s="12">
        <f>Sales[[#This Row],[EffAge]]*Lookups!$B$85</f>
        <v>-10483.143223500001</v>
      </c>
      <c r="BY41" s="12">
        <f>Sales[[#This Row],[MainFn]]*Lookups!$B$86</f>
        <v>45357.158947085998</v>
      </c>
      <c r="BZ41" s="12">
        <f>Sales[[#This Row],[UpprFn]]*Lookups!$B$87</f>
        <v>0</v>
      </c>
      <c r="CA41" s="12">
        <f>Sales[[#This Row],[AddFn]]*Lookups!$B$88</f>
        <v>0</v>
      </c>
      <c r="CB41" s="12">
        <f>Sales[[#This Row],[Bsmt]]*Lookups!$B$89</f>
        <v>0</v>
      </c>
      <c r="CC41" s="12">
        <f>Sales[[#This Row],[Fixtures]]*Lookups!$B$90</f>
        <v>30336.176841600001</v>
      </c>
      <c r="CD41" s="12">
        <f>Sales[[#This Row],[WdDeck]]*Lookups!$B$91</f>
        <v>0</v>
      </c>
      <c r="CE41" s="12">
        <f>SUM(Sales[[#This Row],[Days Prior Total]:[Mdl WdDeck]])</f>
        <v>268495.16939622659</v>
      </c>
      <c r="CF41" s="12">
        <f>ROUND(Sales[[#This Row],[25Det]],-2)</f>
        <v>0</v>
      </c>
      <c r="CG41" s="12">
        <f>ROUND(SUM(Sales[[#This Row],[Mdl Qlty]:[Mdl WdDeck]])+Sales[[#This Row],[Mdl Res Intercept]]+Sales[[#This Row],[Days Prior Total]],-2)</f>
        <v>234700</v>
      </c>
      <c r="CH41" s="12">
        <f>ROUND(Sales[[#This Row],[Mdl Land Intercept]]+Sales[[#This Row],[Mdl LnAcres]],-2)</f>
        <v>33800</v>
      </c>
      <c r="CI41" s="12">
        <f>Sales[[#This Row],[Unadj Res Value]]+Sales[[#This Row],[Unadj Det Value]]+Sales[[#This Row],[Unadj Land Value]]</f>
        <v>268500</v>
      </c>
      <c r="CJ41" s="13">
        <f>Sales[[#This Row],[Price]]/Sales[[#This Row],[Unadj Total Value]]</f>
        <v>1.0279329608938548</v>
      </c>
      <c r="CK41" s="13">
        <f>(Sales[[#This Row],[Unadj Total Value]]-Sales[[#This Row],[24Final]])/Sales[[#This Row],[24Final]]</f>
        <v>-6.4785788923719959E-2</v>
      </c>
      <c r="CL41" t="e">
        <v>#REF!</v>
      </c>
      <c r="CM41" t="e">
        <v>#REF!</v>
      </c>
      <c r="CN41" t="e">
        <v>#REF!</v>
      </c>
      <c r="CO41" t="e">
        <v>#REF!</v>
      </c>
      <c r="CP41" t="e">
        <v>#REF!</v>
      </c>
      <c r="CQ41" t="e">
        <v>#REF!</v>
      </c>
      <c r="CR41" t="e">
        <v>#REF!</v>
      </c>
      <c r="CS41" t="e">
        <v>#REF!</v>
      </c>
      <c r="CT41" t="e">
        <v>#REF!</v>
      </c>
      <c r="CU41" t="e">
        <v>#REF!</v>
      </c>
      <c r="CV41" t="e">
        <v>#REF!</v>
      </c>
      <c r="CW41" t="e">
        <v>#REF!</v>
      </c>
      <c r="CX41" s="15">
        <v>0</v>
      </c>
      <c r="CY41" s="15" t="e">
        <v>#REF!</v>
      </c>
      <c r="CZ41" s="15" t="e">
        <v>#REF!</v>
      </c>
      <c r="DA41" s="15" t="e">
        <v>#REF!</v>
      </c>
    </row>
    <row r="42" spans="1:105" x14ac:dyDescent="0.3">
      <c r="A42">
        <v>2025</v>
      </c>
      <c r="B42" s="1">
        <v>18132242487</v>
      </c>
      <c r="C42">
        <v>-1.5141277326297755</v>
      </c>
      <c r="D42">
        <v>0.22</v>
      </c>
      <c r="E42">
        <v>9732</v>
      </c>
      <c r="F42">
        <v>6</v>
      </c>
      <c r="G42" t="s">
        <v>126</v>
      </c>
      <c r="H42">
        <v>3033</v>
      </c>
      <c r="I42" t="s">
        <v>349</v>
      </c>
      <c r="J42" t="s">
        <v>30</v>
      </c>
      <c r="K42">
        <v>11</v>
      </c>
      <c r="L42">
        <v>259</v>
      </c>
      <c r="M42" t="s">
        <v>241</v>
      </c>
      <c r="N42" t="s">
        <v>302</v>
      </c>
      <c r="O42" t="s">
        <v>323</v>
      </c>
      <c r="P42">
        <v>50</v>
      </c>
      <c r="Q42">
        <v>1966</v>
      </c>
      <c r="R42">
        <v>1976</v>
      </c>
      <c r="S42">
        <v>58</v>
      </c>
      <c r="T42">
        <v>48</v>
      </c>
      <c r="U42">
        <v>1</v>
      </c>
      <c r="V42">
        <v>1474</v>
      </c>
      <c r="W42">
        <v>0</v>
      </c>
      <c r="X42">
        <v>0</v>
      </c>
      <c r="Y42">
        <v>0</v>
      </c>
      <c r="Z42">
        <v>0</v>
      </c>
      <c r="AA42">
        <v>0</v>
      </c>
      <c r="AB42">
        <v>1474</v>
      </c>
      <c r="AC42">
        <v>1500</v>
      </c>
      <c r="AD42">
        <v>1</v>
      </c>
      <c r="AE42" t="s">
        <v>6</v>
      </c>
      <c r="AF42" t="s">
        <v>208</v>
      </c>
      <c r="AG42" t="s">
        <v>382</v>
      </c>
      <c r="AI42">
        <v>1</v>
      </c>
      <c r="AJ42">
        <v>1</v>
      </c>
      <c r="AK42">
        <v>0</v>
      </c>
      <c r="AL42">
        <v>1</v>
      </c>
      <c r="AM42">
        <v>0</v>
      </c>
      <c r="AN42">
        <v>8</v>
      </c>
      <c r="AO42">
        <v>322</v>
      </c>
      <c r="AP42">
        <v>0</v>
      </c>
      <c r="AQ42">
        <v>0</v>
      </c>
      <c r="AR42">
        <v>0</v>
      </c>
      <c r="AS42">
        <v>293</v>
      </c>
      <c r="AT42">
        <v>0</v>
      </c>
      <c r="AU42">
        <v>100</v>
      </c>
      <c r="AV42">
        <v>100</v>
      </c>
      <c r="AW42">
        <v>270833</v>
      </c>
      <c r="AX42">
        <v>200416</v>
      </c>
      <c r="AY42">
        <v>840</v>
      </c>
      <c r="AZ42">
        <v>365</v>
      </c>
      <c r="BA42">
        <v>365</v>
      </c>
      <c r="BB42">
        <v>110</v>
      </c>
      <c r="BC42" s="3">
        <v>44452</v>
      </c>
      <c r="BD42" t="s">
        <v>429</v>
      </c>
      <c r="BE42">
        <v>340000</v>
      </c>
      <c r="BF42">
        <v>340000</v>
      </c>
      <c r="BG42" t="s">
        <v>294</v>
      </c>
      <c r="BH42">
        <v>13</v>
      </c>
      <c r="BI42" t="s">
        <v>65</v>
      </c>
      <c r="BJ42" t="s">
        <v>450</v>
      </c>
      <c r="BK42">
        <v>312800</v>
      </c>
      <c r="BL42">
        <v>61700</v>
      </c>
      <c r="BM42">
        <v>251100</v>
      </c>
      <c r="BN42">
        <v>0</v>
      </c>
      <c r="BO42">
        <v>0.92</v>
      </c>
      <c r="BP42">
        <v>288394.38528668199</v>
      </c>
      <c r="BQ42">
        <v>324666.15779634949</v>
      </c>
      <c r="BR42" s="12">
        <f>(Sales[[#This Row],[DP1]]*Lookups!$B$59)+(Sales[[#This Row],[DP2]]*Lookups!$B$60)+(Sales[[#This Row],[DP3]]*Lookups!$B$61)</f>
        <v>-10230.93850265</v>
      </c>
      <c r="BS42" s="12">
        <f>Lookups!$B$56*0.5</f>
        <v>44925.312794999998</v>
      </c>
      <c r="BT42" s="12">
        <f>Lookups!$B$56*0.5</f>
        <v>44925.312794999998</v>
      </c>
      <c r="BU42" s="12">
        <f>Lookups!$B$57*Sales[[#This Row],[LnAcres]]</f>
        <v>-64582.406353792743</v>
      </c>
      <c r="BV42" s="12">
        <f>VLOOKUP(Sales[[#This Row],[Qlty]],Lookups!$A$62:$E$75,2,FALSE)</f>
        <v>21557.329055999999</v>
      </c>
      <c r="BW42" s="12">
        <f>VLOOKUP(Sales[[#This Row],[Cnd]],Lookups!$A$76:$E$84,2,FALSE)</f>
        <v>160472.20319</v>
      </c>
      <c r="BX42" s="12">
        <f>Sales[[#This Row],[EffAge]]*Lookups!$B$85</f>
        <v>-10706.188824000001</v>
      </c>
      <c r="BY42" s="12">
        <f>Sales[[#This Row],[MainFn]]*Lookups!$B$86</f>
        <v>72729.562058944008</v>
      </c>
      <c r="BZ42" s="12">
        <f>Sales[[#This Row],[UpprFn]]*Lookups!$B$87</f>
        <v>0</v>
      </c>
      <c r="CA42" s="12">
        <f>Sales[[#This Row],[AddFn]]*Lookups!$B$88</f>
        <v>0</v>
      </c>
      <c r="CB42" s="12">
        <f>Sales[[#This Row],[Bsmt]]*Lookups!$B$89</f>
        <v>0</v>
      </c>
      <c r="CC42" s="12">
        <f>Sales[[#This Row],[Fixtures]]*Lookups!$B$90</f>
        <v>30336.176841600001</v>
      </c>
      <c r="CD42" s="12">
        <f>Sales[[#This Row],[WdDeck]]*Lookups!$B$91</f>
        <v>5194.1003830560003</v>
      </c>
      <c r="CE42" s="12">
        <f>SUM(Sales[[#This Row],[Days Prior Total]:[Mdl WdDeck]])</f>
        <v>294620.46343915723</v>
      </c>
      <c r="CF42" s="12">
        <f>ROUND(Sales[[#This Row],[25Det]],-2)</f>
        <v>0</v>
      </c>
      <c r="CG42" s="12">
        <f>ROUND(SUM(Sales[[#This Row],[Mdl Qlty]:[Mdl WdDeck]])+Sales[[#This Row],[Mdl Res Intercept]]+Sales[[#This Row],[Days Prior Total]],-2)</f>
        <v>269400</v>
      </c>
      <c r="CH42" s="12">
        <f>ROUND(Sales[[#This Row],[Mdl Land Intercept]]+Sales[[#This Row],[Mdl LnAcres]],-2)</f>
        <v>25300</v>
      </c>
      <c r="CI42" s="12">
        <f>Sales[[#This Row],[Unadj Res Value]]+Sales[[#This Row],[Unadj Det Value]]+Sales[[#This Row],[Unadj Land Value]]</f>
        <v>294700</v>
      </c>
      <c r="CJ42" s="13">
        <f>Sales[[#This Row],[Price]]/Sales[[#This Row],[Unadj Total Value]]</f>
        <v>1.1028164234815065</v>
      </c>
      <c r="CK42" s="13">
        <f>(Sales[[#This Row],[Unadj Total Value]]-Sales[[#This Row],[24Final]])/Sales[[#This Row],[24Final]]</f>
        <v>2.3619312261201807E-2</v>
      </c>
      <c r="CL42" t="e">
        <v>#REF!</v>
      </c>
      <c r="CM42" t="e">
        <v>#REF!</v>
      </c>
      <c r="CN42" t="e">
        <v>#REF!</v>
      </c>
      <c r="CO42" t="e">
        <v>#REF!</v>
      </c>
      <c r="CP42" t="e">
        <v>#REF!</v>
      </c>
      <c r="CQ42" t="e">
        <v>#REF!</v>
      </c>
      <c r="CR42" t="e">
        <v>#REF!</v>
      </c>
      <c r="CS42" t="e">
        <v>#REF!</v>
      </c>
      <c r="CT42" t="e">
        <v>#REF!</v>
      </c>
      <c r="CU42" t="e">
        <v>#REF!</v>
      </c>
      <c r="CV42" t="e">
        <v>#REF!</v>
      </c>
      <c r="CW42" t="e">
        <v>#REF!</v>
      </c>
      <c r="CX42" s="15">
        <v>0</v>
      </c>
      <c r="CY42" s="15" t="e">
        <v>#REF!</v>
      </c>
      <c r="CZ42" s="15" t="e">
        <v>#REF!</v>
      </c>
      <c r="DA42" s="15" t="e">
        <v>#REF!</v>
      </c>
    </row>
    <row r="43" spans="1:105" x14ac:dyDescent="0.3">
      <c r="A43">
        <v>2025</v>
      </c>
      <c r="B43" s="1">
        <v>18132343410</v>
      </c>
      <c r="C43">
        <v>-1.3470736479666092</v>
      </c>
      <c r="D43">
        <v>0.26</v>
      </c>
      <c r="E43">
        <v>11385</v>
      </c>
      <c r="F43">
        <v>6</v>
      </c>
      <c r="G43" t="s">
        <v>126</v>
      </c>
      <c r="H43">
        <v>3032</v>
      </c>
      <c r="I43" t="s">
        <v>349</v>
      </c>
      <c r="J43" t="s">
        <v>30</v>
      </c>
      <c r="K43">
        <v>11</v>
      </c>
      <c r="L43">
        <v>259</v>
      </c>
      <c r="M43" t="s">
        <v>301</v>
      </c>
      <c r="N43" t="s">
        <v>302</v>
      </c>
      <c r="O43" t="s">
        <v>303</v>
      </c>
      <c r="P43">
        <v>90</v>
      </c>
      <c r="Q43">
        <v>1930</v>
      </c>
      <c r="R43">
        <v>1970</v>
      </c>
      <c r="S43">
        <v>94</v>
      </c>
      <c r="T43">
        <v>54</v>
      </c>
      <c r="U43">
        <v>2</v>
      </c>
      <c r="V43">
        <v>1184</v>
      </c>
      <c r="W43">
        <v>950</v>
      </c>
      <c r="X43">
        <v>0</v>
      </c>
      <c r="Y43">
        <v>1028</v>
      </c>
      <c r="Z43">
        <v>709</v>
      </c>
      <c r="AA43">
        <v>319</v>
      </c>
      <c r="AB43">
        <v>2453</v>
      </c>
      <c r="AC43">
        <v>2500</v>
      </c>
      <c r="AD43">
        <v>0</v>
      </c>
      <c r="AF43" t="s">
        <v>383</v>
      </c>
      <c r="AG43" t="s">
        <v>175</v>
      </c>
      <c r="AH43" t="s">
        <v>450</v>
      </c>
      <c r="AI43">
        <v>0</v>
      </c>
      <c r="AJ43">
        <v>2</v>
      </c>
      <c r="AK43">
        <v>0</v>
      </c>
      <c r="AL43">
        <v>0</v>
      </c>
      <c r="AM43">
        <v>0</v>
      </c>
      <c r="AN43">
        <v>9</v>
      </c>
      <c r="AO43">
        <v>0</v>
      </c>
      <c r="AP43">
        <v>0</v>
      </c>
      <c r="AQ43">
        <v>0</v>
      </c>
      <c r="AR43">
        <v>0</v>
      </c>
      <c r="AS43">
        <v>1040</v>
      </c>
      <c r="AT43">
        <v>0</v>
      </c>
      <c r="AU43">
        <v>100</v>
      </c>
      <c r="AV43">
        <v>100</v>
      </c>
      <c r="AW43">
        <v>388540</v>
      </c>
      <c r="AX43">
        <v>291405</v>
      </c>
      <c r="AY43">
        <v>676</v>
      </c>
      <c r="AZ43">
        <v>365</v>
      </c>
      <c r="BA43">
        <v>311</v>
      </c>
      <c r="BB43">
        <v>0</v>
      </c>
      <c r="BC43" s="3">
        <v>44616</v>
      </c>
      <c r="BD43" t="s">
        <v>284</v>
      </c>
      <c r="BE43">
        <v>380000</v>
      </c>
      <c r="BF43">
        <v>364357</v>
      </c>
      <c r="BG43" t="s">
        <v>294</v>
      </c>
      <c r="BH43">
        <v>3</v>
      </c>
      <c r="BI43" t="s">
        <v>65</v>
      </c>
      <c r="BJ43" t="s">
        <v>450</v>
      </c>
      <c r="BK43">
        <v>420600</v>
      </c>
      <c r="BL43">
        <v>67600</v>
      </c>
      <c r="BM43">
        <v>353000</v>
      </c>
      <c r="BN43">
        <v>15643</v>
      </c>
      <c r="BO43">
        <v>1.1068421052631578</v>
      </c>
      <c r="BP43">
        <v>405620.38358422869</v>
      </c>
      <c r="BQ43">
        <v>427802.85894688556</v>
      </c>
      <c r="BR43" s="12">
        <f>(Sales[[#This Row],[DP1]]*Lookups!$B$59)+(Sales[[#This Row],[DP2]]*Lookups!$B$60)+(Sales[[#This Row],[DP3]]*Lookups!$B$61)</f>
        <v>-24283.895776593999</v>
      </c>
      <c r="BS43" s="12">
        <f>Lookups!$B$56*0.5</f>
        <v>44925.312794999998</v>
      </c>
      <c r="BT43" s="12">
        <f>Lookups!$B$56*0.5</f>
        <v>44925.312794999998</v>
      </c>
      <c r="BU43" s="12">
        <f>Lookups!$B$57*Sales[[#This Row],[LnAcres]]</f>
        <v>-64582.406353792743</v>
      </c>
      <c r="BV43" s="12">
        <f>VLOOKUP(Sales[[#This Row],[Qlty]],Lookups!$A$62:$E$75,2,FALSE)</f>
        <v>21557.329055999999</v>
      </c>
      <c r="BW43" s="12">
        <f>VLOOKUP(Sales[[#This Row],[Cnd]],Lookups!$A$76:$E$84,2,FALSE)</f>
        <v>160472.20319</v>
      </c>
      <c r="BX43" s="12">
        <f>Sales[[#This Row],[EffAge]]*Lookups!$B$85</f>
        <v>-10706.188824000001</v>
      </c>
      <c r="BY43" s="12">
        <f>Sales[[#This Row],[MainFn]]*Lookups!$B$86</f>
        <v>62600.784734159002</v>
      </c>
      <c r="BZ43" s="12">
        <f>Sales[[#This Row],[UpprFn]]*Lookups!$B$87</f>
        <v>0</v>
      </c>
      <c r="CA43" s="12">
        <f>Sales[[#This Row],[AddFn]]*Lookups!$B$88</f>
        <v>0</v>
      </c>
      <c r="CB43" s="12">
        <f>Sales[[#This Row],[Bsmt]]*Lookups!$B$89</f>
        <v>0</v>
      </c>
      <c r="CC43" s="12">
        <f>Sales[[#This Row],[Fixtures]]*Lookups!$B$90</f>
        <v>30336.176841600001</v>
      </c>
      <c r="CD43" s="12">
        <f>Sales[[#This Row],[WdDeck]]*Lookups!$B$91</f>
        <v>5327.2824441600005</v>
      </c>
      <c r="CE43" s="12">
        <f>SUM(Sales[[#This Row],[Days Prior Total]:[Mdl WdDeck]])</f>
        <v>270571.91090153228</v>
      </c>
      <c r="CF43" s="12">
        <f>ROUND(Sales[[#This Row],[25Det]],-2)</f>
        <v>0</v>
      </c>
      <c r="CG43" s="12">
        <f>ROUND(SUM(Sales[[#This Row],[Mdl Qlty]:[Mdl WdDeck]])+Sales[[#This Row],[Mdl Res Intercept]]+Sales[[#This Row],[Days Prior Total]],-2)</f>
        <v>245300</v>
      </c>
      <c r="CH43" s="12">
        <f>ROUND(Sales[[#This Row],[Mdl Land Intercept]]+Sales[[#This Row],[Mdl LnAcres]],-2)</f>
        <v>25300</v>
      </c>
      <c r="CI43" s="12">
        <f>Sales[[#This Row],[Unadj Res Value]]+Sales[[#This Row],[Unadj Det Value]]+Sales[[#This Row],[Unadj Land Value]]</f>
        <v>270600</v>
      </c>
      <c r="CJ43" s="13">
        <f>Sales[[#This Row],[Price]]/Sales[[#This Row],[Unadj Total Value]]</f>
        <v>1.0901699926090169</v>
      </c>
      <c r="CK43" s="13">
        <f>(Sales[[#This Row],[Unadj Total Value]]-Sales[[#This Row],[24Final]])/Sales[[#This Row],[24Final]]</f>
        <v>-1.3488880787458987E-2</v>
      </c>
      <c r="CL43" t="e">
        <v>#REF!</v>
      </c>
      <c r="CM43" t="e">
        <v>#REF!</v>
      </c>
      <c r="CN43" t="e">
        <v>#REF!</v>
      </c>
      <c r="CO43" t="e">
        <v>#REF!</v>
      </c>
      <c r="CP43" t="e">
        <v>#REF!</v>
      </c>
      <c r="CQ43" t="e">
        <v>#REF!</v>
      </c>
      <c r="CR43" t="e">
        <v>#REF!</v>
      </c>
      <c r="CS43" t="e">
        <v>#REF!</v>
      </c>
      <c r="CT43" t="e">
        <v>#REF!</v>
      </c>
      <c r="CU43" t="e">
        <v>#REF!</v>
      </c>
      <c r="CV43" t="e">
        <v>#REF!</v>
      </c>
      <c r="CW43" t="e">
        <v>#REF!</v>
      </c>
      <c r="CX43" s="15">
        <v>0</v>
      </c>
      <c r="CY43" s="15" t="e">
        <v>#REF!</v>
      </c>
      <c r="CZ43" s="15" t="e">
        <v>#REF!</v>
      </c>
      <c r="DA43" s="15" t="e">
        <v>#REF!</v>
      </c>
    </row>
    <row r="44" spans="1:105" x14ac:dyDescent="0.3">
      <c r="A44">
        <v>2025</v>
      </c>
      <c r="B44" s="1">
        <v>18132334420</v>
      </c>
      <c r="C44">
        <v>-1.7719568419318752</v>
      </c>
      <c r="D44">
        <v>0.17</v>
      </c>
      <c r="E44">
        <v>0</v>
      </c>
      <c r="F44">
        <v>6</v>
      </c>
      <c r="G44" t="s">
        <v>126</v>
      </c>
      <c r="H44">
        <v>3093</v>
      </c>
      <c r="I44" t="s">
        <v>349</v>
      </c>
      <c r="J44" t="s">
        <v>30</v>
      </c>
      <c r="K44">
        <v>11</v>
      </c>
      <c r="L44">
        <v>259</v>
      </c>
      <c r="M44" t="s">
        <v>242</v>
      </c>
      <c r="N44" t="s">
        <v>302</v>
      </c>
      <c r="O44" t="s">
        <v>303</v>
      </c>
      <c r="P44">
        <v>70</v>
      </c>
      <c r="Q44">
        <v>1950</v>
      </c>
      <c r="R44">
        <v>1973</v>
      </c>
      <c r="S44">
        <v>74</v>
      </c>
      <c r="T44">
        <v>51</v>
      </c>
      <c r="U44">
        <v>1</v>
      </c>
      <c r="V44">
        <v>1486</v>
      </c>
      <c r="W44">
        <v>0</v>
      </c>
      <c r="X44">
        <v>0</v>
      </c>
      <c r="Y44">
        <v>0</v>
      </c>
      <c r="Z44">
        <v>0</v>
      </c>
      <c r="AA44">
        <v>0</v>
      </c>
      <c r="AB44">
        <v>1486</v>
      </c>
      <c r="AC44">
        <v>1500</v>
      </c>
      <c r="AD44">
        <v>2</v>
      </c>
      <c r="AF44" t="s">
        <v>383</v>
      </c>
      <c r="AG44" t="s">
        <v>148</v>
      </c>
      <c r="AH44" t="s">
        <v>450</v>
      </c>
      <c r="AI44">
        <v>0</v>
      </c>
      <c r="AJ44">
        <v>1</v>
      </c>
      <c r="AK44">
        <v>0</v>
      </c>
      <c r="AL44">
        <v>0</v>
      </c>
      <c r="AM44">
        <v>0</v>
      </c>
      <c r="AN44">
        <v>9</v>
      </c>
      <c r="AO44">
        <v>378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100</v>
      </c>
      <c r="AV44">
        <v>100</v>
      </c>
      <c r="AW44">
        <v>279076</v>
      </c>
      <c r="AX44">
        <v>217679</v>
      </c>
      <c r="AY44">
        <v>615</v>
      </c>
      <c r="AZ44">
        <v>365</v>
      </c>
      <c r="BA44">
        <v>250</v>
      </c>
      <c r="BB44">
        <v>0</v>
      </c>
      <c r="BC44" s="3">
        <v>44677</v>
      </c>
      <c r="BD44" t="s">
        <v>464</v>
      </c>
      <c r="BE44">
        <v>298500</v>
      </c>
      <c r="BF44">
        <v>298500</v>
      </c>
      <c r="BG44" t="s">
        <v>294</v>
      </c>
      <c r="BH44">
        <v>27</v>
      </c>
      <c r="BI44" t="s">
        <v>65</v>
      </c>
      <c r="BJ44" t="s">
        <v>450</v>
      </c>
      <c r="BK44">
        <v>336100</v>
      </c>
      <c r="BL44">
        <v>52700</v>
      </c>
      <c r="BM44">
        <v>283400</v>
      </c>
      <c r="BN44">
        <v>0</v>
      </c>
      <c r="BO44">
        <v>1.125963149078727</v>
      </c>
      <c r="BP44">
        <v>334617.66094562091</v>
      </c>
      <c r="BQ44">
        <v>357500.60977906542</v>
      </c>
      <c r="BR44" s="12">
        <f>(Sales[[#This Row],[DP1]]*Lookups!$B$59)+(Sales[[#This Row],[DP2]]*Lookups!$B$60)+(Sales[[#This Row],[DP3]]*Lookups!$B$61)</f>
        <v>-62347.506529570004</v>
      </c>
      <c r="BS44" s="12">
        <f>Lookups!$B$56*0.5</f>
        <v>44925.312794999998</v>
      </c>
      <c r="BT44" s="12">
        <f>Lookups!$B$56*0.5</f>
        <v>44925.312794999998</v>
      </c>
      <c r="BU44" s="12">
        <f>Lookups!$B$57*Sales[[#This Row],[LnAcres]]</f>
        <v>-32339.977661938148</v>
      </c>
      <c r="BV44" s="12">
        <f>VLOOKUP(Sales[[#This Row],[Qlty]],Lookups!$A$62:$E$75,2,FALSE)</f>
        <v>74268.409664999999</v>
      </c>
      <c r="BW44" s="12">
        <f>VLOOKUP(Sales[[#This Row],[Cnd]],Lookups!$A$76:$E$84,2,FALSE)</f>
        <v>197752.34721000001</v>
      </c>
      <c r="BX44" s="12">
        <f>Sales[[#This Row],[EffAge]]*Lookups!$B$85</f>
        <v>-10706.188824000001</v>
      </c>
      <c r="BY44" s="12">
        <f>Sales[[#This Row],[MainFn]]*Lookups!$B$86</f>
        <v>88540.336419583997</v>
      </c>
      <c r="BZ44" s="12">
        <f>Sales[[#This Row],[UpprFn]]*Lookups!$B$87</f>
        <v>0</v>
      </c>
      <c r="CA44" s="12">
        <f>Sales[[#This Row],[AddFn]]*Lookups!$B$88</f>
        <v>0</v>
      </c>
      <c r="CB44" s="12">
        <f>Sales[[#This Row],[Bsmt]]*Lookups!$B$89</f>
        <v>24196.136845503999</v>
      </c>
      <c r="CC44" s="12">
        <f>Sales[[#This Row],[Fixtures]]*Lookups!$B$90</f>
        <v>45504.265262400004</v>
      </c>
      <c r="CD44" s="12">
        <f>Sales[[#This Row],[WdDeck]]*Lookups!$B$91</f>
        <v>0</v>
      </c>
      <c r="CE44" s="12">
        <f>SUM(Sales[[#This Row],[Days Prior Total]:[Mdl WdDeck]])</f>
        <v>414718.44797697989</v>
      </c>
      <c r="CF44" s="12">
        <f>ROUND(Sales[[#This Row],[25Det]],-2)</f>
        <v>0</v>
      </c>
      <c r="CG44" s="12">
        <f>ROUND(SUM(Sales[[#This Row],[Mdl Qlty]:[Mdl WdDeck]])+Sales[[#This Row],[Mdl Res Intercept]]+Sales[[#This Row],[Days Prior Total]],-2)</f>
        <v>357200</v>
      </c>
      <c r="CH44" s="12">
        <f>ROUND(Sales[[#This Row],[Mdl Land Intercept]]+Sales[[#This Row],[Mdl LnAcres]],-2)</f>
        <v>57500</v>
      </c>
      <c r="CI44" s="12">
        <f>Sales[[#This Row],[Unadj Res Value]]+Sales[[#This Row],[Unadj Det Value]]+Sales[[#This Row],[Unadj Land Value]]</f>
        <v>414700</v>
      </c>
      <c r="CJ44" s="13">
        <f>Sales[[#This Row],[Price]]/Sales[[#This Row],[Unadj Total Value]]</f>
        <v>0.80781287677839397</v>
      </c>
      <c r="CK44" s="13">
        <f>(Sales[[#This Row],[Unadj Total Value]]-Sales[[#This Row],[24Final]])/Sales[[#This Row],[24Final]]</f>
        <v>-0.14933333333333335</v>
      </c>
      <c r="CL44" t="e">
        <v>#REF!</v>
      </c>
      <c r="CM44" t="e">
        <v>#REF!</v>
      </c>
      <c r="CN44" t="e">
        <v>#REF!</v>
      </c>
      <c r="CO44" t="e">
        <v>#REF!</v>
      </c>
      <c r="CP44" t="e">
        <v>#REF!</v>
      </c>
      <c r="CQ44" t="e">
        <v>#REF!</v>
      </c>
      <c r="CR44" t="e">
        <v>#REF!</v>
      </c>
      <c r="CS44" t="e">
        <v>#REF!</v>
      </c>
      <c r="CT44" t="e">
        <v>#REF!</v>
      </c>
      <c r="CU44" t="e">
        <v>#REF!</v>
      </c>
      <c r="CV44" t="e">
        <v>#REF!</v>
      </c>
      <c r="CW44" t="e">
        <v>#REF!</v>
      </c>
      <c r="CX44" s="15">
        <v>0</v>
      </c>
      <c r="CY44" s="15" t="e">
        <v>#REF!</v>
      </c>
      <c r="CZ44" s="15" t="e">
        <v>#REF!</v>
      </c>
      <c r="DA44" s="15" t="e">
        <v>#REF!</v>
      </c>
    </row>
    <row r="45" spans="1:105" x14ac:dyDescent="0.3">
      <c r="A45">
        <v>2025</v>
      </c>
      <c r="B45" s="1">
        <v>18132323520</v>
      </c>
      <c r="C45">
        <v>-1.7147984280919266</v>
      </c>
      <c r="D45">
        <v>0.18</v>
      </c>
      <c r="E45">
        <v>0</v>
      </c>
      <c r="F45">
        <v>6</v>
      </c>
      <c r="G45" t="s">
        <v>126</v>
      </c>
      <c r="H45">
        <v>3033</v>
      </c>
      <c r="I45" t="s">
        <v>349</v>
      </c>
      <c r="J45" t="s">
        <v>30</v>
      </c>
      <c r="K45">
        <v>11</v>
      </c>
      <c r="L45">
        <v>259</v>
      </c>
      <c r="M45" t="s">
        <v>242</v>
      </c>
      <c r="N45" t="s">
        <v>148</v>
      </c>
      <c r="O45" t="s">
        <v>323</v>
      </c>
      <c r="P45">
        <v>70</v>
      </c>
      <c r="Q45">
        <v>1950</v>
      </c>
      <c r="R45">
        <v>1973</v>
      </c>
      <c r="S45">
        <v>74</v>
      </c>
      <c r="T45">
        <v>51</v>
      </c>
      <c r="U45">
        <v>1</v>
      </c>
      <c r="V45">
        <v>1135</v>
      </c>
      <c r="W45">
        <v>0</v>
      </c>
      <c r="X45">
        <v>0</v>
      </c>
      <c r="Y45">
        <v>1135</v>
      </c>
      <c r="Z45">
        <v>0</v>
      </c>
      <c r="AA45">
        <v>1135</v>
      </c>
      <c r="AB45">
        <v>2270</v>
      </c>
      <c r="AC45">
        <v>2500</v>
      </c>
      <c r="AD45">
        <v>1</v>
      </c>
      <c r="AF45" t="s">
        <v>383</v>
      </c>
      <c r="AG45" t="s">
        <v>148</v>
      </c>
      <c r="AH45" t="s">
        <v>450</v>
      </c>
      <c r="AI45">
        <v>0</v>
      </c>
      <c r="AJ45">
        <v>1</v>
      </c>
      <c r="AK45">
        <v>0</v>
      </c>
      <c r="AL45">
        <v>1</v>
      </c>
      <c r="AM45">
        <v>0</v>
      </c>
      <c r="AN45">
        <v>8</v>
      </c>
      <c r="AO45">
        <v>252</v>
      </c>
      <c r="AP45">
        <v>0</v>
      </c>
      <c r="AQ45">
        <v>0</v>
      </c>
      <c r="AR45">
        <v>143</v>
      </c>
      <c r="AS45">
        <v>256</v>
      </c>
      <c r="AT45">
        <v>256</v>
      </c>
      <c r="AU45">
        <v>100</v>
      </c>
      <c r="AV45">
        <v>100</v>
      </c>
      <c r="AW45">
        <v>382026</v>
      </c>
      <c r="AX45">
        <v>267418</v>
      </c>
      <c r="AY45">
        <v>840</v>
      </c>
      <c r="AZ45">
        <v>365</v>
      </c>
      <c r="BA45">
        <v>365</v>
      </c>
      <c r="BB45">
        <v>110</v>
      </c>
      <c r="BC45" s="3">
        <v>44452</v>
      </c>
      <c r="BD45" t="s">
        <v>115</v>
      </c>
      <c r="BE45">
        <v>340000</v>
      </c>
      <c r="BF45">
        <v>340000</v>
      </c>
      <c r="BG45" t="s">
        <v>294</v>
      </c>
      <c r="BH45">
        <v>13</v>
      </c>
      <c r="BI45" t="s">
        <v>65</v>
      </c>
      <c r="BJ45" t="s">
        <v>450</v>
      </c>
      <c r="BK45">
        <v>342300</v>
      </c>
      <c r="BL45">
        <v>54700</v>
      </c>
      <c r="BM45">
        <v>287600</v>
      </c>
      <c r="BN45">
        <v>0</v>
      </c>
      <c r="BO45">
        <v>1.006764705882353</v>
      </c>
      <c r="BP45">
        <v>316699.71036129916</v>
      </c>
      <c r="BQ45">
        <v>352971.48287096666</v>
      </c>
      <c r="BR45" s="12">
        <f>(Sales[[#This Row],[DP1]]*Lookups!$B$59)+(Sales[[#This Row],[DP2]]*Lookups!$B$60)+(Sales[[#This Row],[DP3]]*Lookups!$B$61)</f>
        <v>-24042.749171902</v>
      </c>
      <c r="BS45" s="12">
        <f>Lookups!$B$56*0.5</f>
        <v>44925.312794999998</v>
      </c>
      <c r="BT45" s="12">
        <f>Lookups!$B$56*0.5</f>
        <v>44925.312794999998</v>
      </c>
      <c r="BU45" s="12">
        <f>Lookups!$B$57*Sales[[#This Row],[LnAcres]]</f>
        <v>-49401.70477837498</v>
      </c>
      <c r="BV45" s="12">
        <f>VLOOKUP(Sales[[#This Row],[Qlty]],Lookups!$A$62:$E$75,2,FALSE)</f>
        <v>44121.038090000002</v>
      </c>
      <c r="BW45" s="12">
        <f>VLOOKUP(Sales[[#This Row],[Cnd]],Lookups!$A$76:$E$84,2,FALSE)</f>
        <v>197752.34721000001</v>
      </c>
      <c r="BX45" s="12">
        <f>Sales[[#This Row],[EffAge]]*Lookups!$B$85</f>
        <v>-10706.188824000001</v>
      </c>
      <c r="BY45" s="12">
        <f>Sales[[#This Row],[MainFn]]*Lookups!$B$86</f>
        <v>78065.698405660005</v>
      </c>
      <c r="BZ45" s="12">
        <f>Sales[[#This Row],[UpprFn]]*Lookups!$B$87</f>
        <v>0</v>
      </c>
      <c r="CA45" s="12">
        <f>Sales[[#This Row],[AddFn]]*Lookups!$B$88</f>
        <v>0</v>
      </c>
      <c r="CB45" s="12">
        <f>Sales[[#This Row],[Bsmt]]*Lookups!$B$89</f>
        <v>28151.274599095999</v>
      </c>
      <c r="CC45" s="12">
        <f>Sales[[#This Row],[Fixtures]]*Lookups!$B$90</f>
        <v>30336.176841600001</v>
      </c>
      <c r="CD45" s="12">
        <f>Sales[[#This Row],[WdDeck]]*Lookups!$B$91</f>
        <v>0</v>
      </c>
      <c r="CE45" s="12">
        <f>SUM(Sales[[#This Row],[Days Prior Total]:[Mdl WdDeck]])</f>
        <v>384126.51796207897</v>
      </c>
      <c r="CF45" s="12">
        <f>ROUND(Sales[[#This Row],[25Det]],-2)</f>
        <v>23100</v>
      </c>
      <c r="CG45" s="12">
        <f>ROUND(SUM(Sales[[#This Row],[Mdl Qlty]:[Mdl WdDeck]])+Sales[[#This Row],[Mdl Res Intercept]]+Sales[[#This Row],[Days Prior Total]],-2)</f>
        <v>343700</v>
      </c>
      <c r="CH45" s="12">
        <f>ROUND(Sales[[#This Row],[Mdl Land Intercept]]+Sales[[#This Row],[Mdl LnAcres]],-2)</f>
        <v>40400</v>
      </c>
      <c r="CI45" s="12">
        <f>Sales[[#This Row],[Unadj Res Value]]+Sales[[#This Row],[Unadj Det Value]]+Sales[[#This Row],[Unadj Land Value]]</f>
        <v>407200</v>
      </c>
      <c r="CJ45" s="13">
        <f>Sales[[#This Row],[Price]]/Sales[[#This Row],[Unadj Total Value]]</f>
        <v>1.0154715127701375</v>
      </c>
      <c r="CK45" s="13">
        <f>(Sales[[#This Row],[Unadj Total Value]]-Sales[[#This Row],[24Final]])/Sales[[#This Row],[24Final]]</f>
        <v>-1.1410536537994658E-2</v>
      </c>
      <c r="CL45" t="e">
        <v>#REF!</v>
      </c>
      <c r="CM45" t="e">
        <v>#REF!</v>
      </c>
      <c r="CN45" t="e">
        <v>#REF!</v>
      </c>
      <c r="CO45" t="e">
        <v>#REF!</v>
      </c>
      <c r="CP45" t="e">
        <v>#REF!</v>
      </c>
      <c r="CQ45" t="e">
        <v>#REF!</v>
      </c>
      <c r="CR45" t="e">
        <v>#REF!</v>
      </c>
      <c r="CS45" t="e">
        <v>#REF!</v>
      </c>
      <c r="CT45" t="e">
        <v>#REF!</v>
      </c>
      <c r="CU45" t="e">
        <v>#REF!</v>
      </c>
      <c r="CV45" t="e">
        <v>#REF!</v>
      </c>
      <c r="CW45" t="e">
        <v>#REF!</v>
      </c>
      <c r="CX45" s="15">
        <v>0</v>
      </c>
      <c r="CY45" s="15" t="e">
        <v>#REF!</v>
      </c>
      <c r="CZ45" s="15" t="e">
        <v>#REF!</v>
      </c>
      <c r="DA45" s="15" t="e">
        <v>#REF!</v>
      </c>
    </row>
    <row r="46" spans="1:105" x14ac:dyDescent="0.3">
      <c r="A46">
        <v>2025</v>
      </c>
      <c r="B46" s="1">
        <v>18132244479</v>
      </c>
      <c r="C46">
        <v>-1.7719568419318752</v>
      </c>
      <c r="D46">
        <v>0.17</v>
      </c>
      <c r="E46">
        <v>7617</v>
      </c>
      <c r="F46">
        <v>6</v>
      </c>
      <c r="G46" t="s">
        <v>126</v>
      </c>
      <c r="H46">
        <v>3092</v>
      </c>
      <c r="I46" t="s">
        <v>349</v>
      </c>
      <c r="J46" t="s">
        <v>30</v>
      </c>
      <c r="K46">
        <v>11</v>
      </c>
      <c r="L46">
        <v>259</v>
      </c>
      <c r="M46" t="s">
        <v>242</v>
      </c>
      <c r="N46" t="s">
        <v>148</v>
      </c>
      <c r="O46" t="s">
        <v>323</v>
      </c>
      <c r="P46">
        <v>80</v>
      </c>
      <c r="Q46">
        <v>1940</v>
      </c>
      <c r="R46">
        <v>1972</v>
      </c>
      <c r="S46">
        <v>84</v>
      </c>
      <c r="T46">
        <v>52</v>
      </c>
      <c r="U46">
        <v>1</v>
      </c>
      <c r="V46">
        <v>1812</v>
      </c>
      <c r="W46">
        <v>0</v>
      </c>
      <c r="X46">
        <v>0</v>
      </c>
      <c r="Y46">
        <v>1790</v>
      </c>
      <c r="Z46">
        <v>895</v>
      </c>
      <c r="AA46">
        <v>895</v>
      </c>
      <c r="AB46">
        <v>2707</v>
      </c>
      <c r="AC46">
        <v>3000</v>
      </c>
      <c r="AD46">
        <v>0</v>
      </c>
      <c r="AF46" t="s">
        <v>383</v>
      </c>
      <c r="AG46" t="s">
        <v>148</v>
      </c>
      <c r="AH46" t="s">
        <v>450</v>
      </c>
      <c r="AI46">
        <v>0</v>
      </c>
      <c r="AJ46">
        <v>1</v>
      </c>
      <c r="AK46">
        <v>0</v>
      </c>
      <c r="AL46">
        <v>0</v>
      </c>
      <c r="AM46">
        <v>0</v>
      </c>
      <c r="AN46">
        <v>8</v>
      </c>
      <c r="AO46">
        <v>0</v>
      </c>
      <c r="AP46">
        <v>0</v>
      </c>
      <c r="AQ46">
        <v>0</v>
      </c>
      <c r="AR46">
        <v>408</v>
      </c>
      <c r="AS46">
        <v>0</v>
      </c>
      <c r="AT46">
        <v>408</v>
      </c>
      <c r="AU46">
        <v>100</v>
      </c>
      <c r="AV46">
        <v>100</v>
      </c>
      <c r="AW46">
        <v>485507</v>
      </c>
      <c r="AX46">
        <v>335000</v>
      </c>
      <c r="AY46">
        <v>612</v>
      </c>
      <c r="AZ46">
        <v>365</v>
      </c>
      <c r="BA46">
        <v>247</v>
      </c>
      <c r="BB46">
        <v>0</v>
      </c>
      <c r="BC46" s="3">
        <v>44680</v>
      </c>
      <c r="BD46" t="s">
        <v>231</v>
      </c>
      <c r="BE46">
        <v>389500</v>
      </c>
      <c r="BF46">
        <v>376070</v>
      </c>
      <c r="BG46" t="s">
        <v>294</v>
      </c>
      <c r="BH46">
        <v>27</v>
      </c>
      <c r="BI46" t="s">
        <v>65</v>
      </c>
      <c r="BJ46" t="s">
        <v>450</v>
      </c>
      <c r="BK46">
        <v>391900</v>
      </c>
      <c r="BL46">
        <v>52700</v>
      </c>
      <c r="BM46">
        <v>339200</v>
      </c>
      <c r="BN46">
        <v>13430</v>
      </c>
      <c r="BO46">
        <v>1.0061617458279846</v>
      </c>
      <c r="BP46">
        <v>389343.33373734402</v>
      </c>
      <c r="BQ46">
        <v>412260.73208574526</v>
      </c>
      <c r="BR46" s="12">
        <f>(Sales[[#This Row],[DP1]]*Lookups!$B$59)+(Sales[[#This Row],[DP2]]*Lookups!$B$60)+(Sales[[#This Row],[DP3]]*Lookups!$B$61)</f>
        <v>-63283.558519870006</v>
      </c>
      <c r="BS46" s="12">
        <f>Lookups!$B$56*0.5</f>
        <v>44925.312794999998</v>
      </c>
      <c r="BT46" s="12">
        <f>Lookups!$B$56*0.5</f>
        <v>44925.312794999998</v>
      </c>
      <c r="BU46" s="12">
        <f>Lookups!$B$57*Sales[[#This Row],[LnAcres]]</f>
        <v>-45174.819855485119</v>
      </c>
      <c r="BV46" s="12">
        <f>VLOOKUP(Sales[[#This Row],[Qlty]],Lookups!$A$62:$E$75,2,FALSE)</f>
        <v>21557.329055999999</v>
      </c>
      <c r="BW46" s="12">
        <f>VLOOKUP(Sales[[#This Row],[Cnd]],Lookups!$A$76:$E$84,2,FALSE)</f>
        <v>160472.20319</v>
      </c>
      <c r="BX46" s="12">
        <f>Sales[[#This Row],[EffAge]]*Lookups!$B$85</f>
        <v>-10706.188824000001</v>
      </c>
      <c r="BY46" s="12">
        <f>Sales[[#This Row],[MainFn]]*Lookups!$B$86</f>
        <v>59586.855871662003</v>
      </c>
      <c r="BZ46" s="12">
        <f>Sales[[#This Row],[UpprFn]]*Lookups!$B$87</f>
        <v>0</v>
      </c>
      <c r="CA46" s="12">
        <f>Sales[[#This Row],[AddFn]]*Lookups!$B$88</f>
        <v>0</v>
      </c>
      <c r="CB46" s="12">
        <f>Sales[[#This Row],[Bsmt]]*Lookups!$B$89</f>
        <v>0</v>
      </c>
      <c r="CC46" s="12">
        <f>Sales[[#This Row],[Fixtures]]*Lookups!$B$90</f>
        <v>26544.1547364</v>
      </c>
      <c r="CD46" s="12">
        <f>Sales[[#This Row],[WdDeck]]*Lookups!$B$91</f>
        <v>0</v>
      </c>
      <c r="CE46" s="12">
        <f>SUM(Sales[[#This Row],[Days Prior Total]:[Mdl WdDeck]])</f>
        <v>238846.60124470686</v>
      </c>
      <c r="CF46" s="12">
        <f>ROUND(Sales[[#This Row],[25Det]],-2)</f>
        <v>0</v>
      </c>
      <c r="CG46" s="12">
        <f>ROUND(SUM(Sales[[#This Row],[Mdl Qlty]:[Mdl WdDeck]])+Sales[[#This Row],[Mdl Res Intercept]]+Sales[[#This Row],[Days Prior Total]],-2)</f>
        <v>194200</v>
      </c>
      <c r="CH46" s="12">
        <f>ROUND(Sales[[#This Row],[Mdl Land Intercept]]+Sales[[#This Row],[Mdl LnAcres]],-2)</f>
        <v>44700</v>
      </c>
      <c r="CI46" s="12">
        <f>Sales[[#This Row],[Unadj Res Value]]+Sales[[#This Row],[Unadj Det Value]]+Sales[[#This Row],[Unadj Land Value]]</f>
        <v>238900</v>
      </c>
      <c r="CJ46" s="13">
        <f>Sales[[#This Row],[Price]]/Sales[[#This Row],[Unadj Total Value]]</f>
        <v>0.91251569694432821</v>
      </c>
      <c r="CK46" s="13">
        <f>(Sales[[#This Row],[Unadj Total Value]]-Sales[[#This Row],[24Final]])/Sales[[#This Row],[24Final]]</f>
        <v>-0.17449896337249482</v>
      </c>
      <c r="CL46" t="e">
        <v>#REF!</v>
      </c>
      <c r="CM46" t="e">
        <v>#REF!</v>
      </c>
      <c r="CN46" t="e">
        <v>#REF!</v>
      </c>
      <c r="CO46" t="e">
        <v>#REF!</v>
      </c>
      <c r="CP46" t="e">
        <v>#REF!</v>
      </c>
      <c r="CQ46" t="e">
        <v>#REF!</v>
      </c>
      <c r="CR46" t="e">
        <v>#REF!</v>
      </c>
      <c r="CS46" t="e">
        <v>#REF!</v>
      </c>
      <c r="CT46" t="e">
        <v>#REF!</v>
      </c>
      <c r="CU46" t="e">
        <v>#REF!</v>
      </c>
      <c r="CV46" t="e">
        <v>#REF!</v>
      </c>
      <c r="CW46" t="e">
        <v>#REF!</v>
      </c>
      <c r="CX46" s="15">
        <v>0</v>
      </c>
      <c r="CY46" s="15" t="e">
        <v>#REF!</v>
      </c>
      <c r="CZ46" s="15" t="e">
        <v>#REF!</v>
      </c>
      <c r="DA46" s="15" t="e">
        <v>#REF!</v>
      </c>
    </row>
    <row r="47" spans="1:105" x14ac:dyDescent="0.3">
      <c r="A47">
        <v>2025</v>
      </c>
      <c r="B47" s="1">
        <v>18132324537</v>
      </c>
      <c r="C47">
        <v>-1.6094379124341003</v>
      </c>
      <c r="D47">
        <v>0.2</v>
      </c>
      <c r="E47">
        <v>0</v>
      </c>
      <c r="F47">
        <v>6</v>
      </c>
      <c r="G47" t="s">
        <v>126</v>
      </c>
      <c r="H47" t="s">
        <v>349</v>
      </c>
      <c r="I47" t="s">
        <v>349</v>
      </c>
      <c r="J47" t="s">
        <v>30</v>
      </c>
      <c r="K47">
        <v>11</v>
      </c>
      <c r="L47">
        <v>259</v>
      </c>
      <c r="M47" t="s">
        <v>242</v>
      </c>
      <c r="N47" t="s">
        <v>148</v>
      </c>
      <c r="O47" t="s">
        <v>323</v>
      </c>
      <c r="P47">
        <v>70</v>
      </c>
      <c r="Q47">
        <v>1947</v>
      </c>
      <c r="R47">
        <v>1973</v>
      </c>
      <c r="S47">
        <v>77</v>
      </c>
      <c r="T47">
        <v>51</v>
      </c>
      <c r="U47">
        <v>1</v>
      </c>
      <c r="V47">
        <v>1237</v>
      </c>
      <c r="W47">
        <v>0</v>
      </c>
      <c r="X47">
        <v>0</v>
      </c>
      <c r="Y47">
        <v>1237</v>
      </c>
      <c r="Z47">
        <v>1237</v>
      </c>
      <c r="AA47">
        <v>0</v>
      </c>
      <c r="AB47">
        <v>1237</v>
      </c>
      <c r="AC47">
        <v>1500</v>
      </c>
      <c r="AD47">
        <v>0</v>
      </c>
      <c r="AF47" t="s">
        <v>383</v>
      </c>
      <c r="AG47" t="s">
        <v>148</v>
      </c>
      <c r="AH47" t="s">
        <v>450</v>
      </c>
      <c r="AI47">
        <v>0</v>
      </c>
      <c r="AJ47">
        <v>1</v>
      </c>
      <c r="AK47">
        <v>0</v>
      </c>
      <c r="AL47">
        <v>0</v>
      </c>
      <c r="AM47">
        <v>1</v>
      </c>
      <c r="AN47">
        <v>7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100</v>
      </c>
      <c r="AV47">
        <v>100</v>
      </c>
      <c r="AW47">
        <v>306635</v>
      </c>
      <c r="AX47">
        <v>214645</v>
      </c>
      <c r="AY47">
        <v>112</v>
      </c>
      <c r="AZ47">
        <v>112</v>
      </c>
      <c r="BA47">
        <v>0</v>
      </c>
      <c r="BB47">
        <v>0</v>
      </c>
      <c r="BC47" s="3">
        <v>45180</v>
      </c>
      <c r="BD47" t="s">
        <v>141</v>
      </c>
      <c r="BE47">
        <v>320000</v>
      </c>
      <c r="BF47">
        <v>312905</v>
      </c>
      <c r="BG47" t="s">
        <v>294</v>
      </c>
      <c r="BH47">
        <v>27</v>
      </c>
      <c r="BI47" t="s">
        <v>65</v>
      </c>
      <c r="BJ47" t="s">
        <v>450</v>
      </c>
      <c r="BK47">
        <v>334100</v>
      </c>
      <c r="BL47">
        <v>58400</v>
      </c>
      <c r="BM47">
        <v>275700</v>
      </c>
      <c r="BN47">
        <v>7095</v>
      </c>
      <c r="BO47">
        <v>1.0440624999999999</v>
      </c>
      <c r="BP47">
        <v>347856.86834604217</v>
      </c>
      <c r="BQ47">
        <v>355759.38636140915</v>
      </c>
      <c r="BR47" s="12">
        <f>(Sales[[#This Row],[DP1]]*Lookups!$B$59)+(Sales[[#This Row],[DP2]]*Lookups!$B$60)+(Sales[[#This Row],[DP3]]*Lookups!$B$61)</f>
        <v>-36672.937652770001</v>
      </c>
      <c r="BS47" s="12">
        <f>Lookups!$B$56*0.5</f>
        <v>44925.312794999998</v>
      </c>
      <c r="BT47" s="12">
        <f>Lookups!$B$56*0.5</f>
        <v>44925.312794999998</v>
      </c>
      <c r="BU47" s="12">
        <f>Lookups!$B$57*Sales[[#This Row],[LnAcres]]</f>
        <v>-54281.285314520763</v>
      </c>
      <c r="BV47" s="12">
        <f>VLOOKUP(Sales[[#This Row],[Qlty]],Lookups!$A$62:$E$75,2,FALSE)</f>
        <v>44121.038090000002</v>
      </c>
      <c r="BW47" s="12">
        <f>VLOOKUP(Sales[[#This Row],[Cnd]],Lookups!$A$76:$E$84,2,FALSE)</f>
        <v>197752.34721000001</v>
      </c>
      <c r="BX47" s="12">
        <f>Sales[[#This Row],[EffAge]]*Lookups!$B$85</f>
        <v>-10706.188824000001</v>
      </c>
      <c r="BY47" s="12">
        <f>Sales[[#This Row],[MainFn]]*Lookups!$B$86</f>
        <v>51879.103370850004</v>
      </c>
      <c r="BZ47" s="12">
        <f>Sales[[#This Row],[UpprFn]]*Lookups!$B$87</f>
        <v>0</v>
      </c>
      <c r="CA47" s="12">
        <f>Sales[[#This Row],[AddFn]]*Lookups!$B$88</f>
        <v>0</v>
      </c>
      <c r="CB47" s="12">
        <f>Sales[[#This Row],[Bsmt]]*Lookups!$B$89</f>
        <v>0</v>
      </c>
      <c r="CC47" s="12">
        <f>Sales[[#This Row],[Fixtures]]*Lookups!$B$90</f>
        <v>26544.1547364</v>
      </c>
      <c r="CD47" s="12">
        <f>Sales[[#This Row],[WdDeck]]*Lookups!$B$91</f>
        <v>0</v>
      </c>
      <c r="CE47" s="12">
        <f>SUM(Sales[[#This Row],[Days Prior Total]:[Mdl WdDeck]])</f>
        <v>308486.85720595927</v>
      </c>
      <c r="CF47" s="12">
        <f>ROUND(Sales[[#This Row],[25Det]],-2)</f>
        <v>0</v>
      </c>
      <c r="CG47" s="12">
        <f>ROUND(SUM(Sales[[#This Row],[Mdl Qlty]:[Mdl WdDeck]])+Sales[[#This Row],[Mdl Res Intercept]]+Sales[[#This Row],[Days Prior Total]],-2)</f>
        <v>272900</v>
      </c>
      <c r="CH47" s="12">
        <f>ROUND(Sales[[#This Row],[Mdl Land Intercept]]+Sales[[#This Row],[Mdl LnAcres]],-2)</f>
        <v>35600</v>
      </c>
      <c r="CI47" s="12">
        <f>Sales[[#This Row],[Unadj Res Value]]+Sales[[#This Row],[Unadj Det Value]]+Sales[[#This Row],[Unadj Land Value]]</f>
        <v>308500</v>
      </c>
      <c r="CJ47" s="13">
        <f>Sales[[#This Row],[Price]]/Sales[[#This Row],[Unadj Total Value]]</f>
        <v>0.7617504051863857</v>
      </c>
      <c r="CK47" s="13">
        <f>(Sales[[#This Row],[Unadj Total Value]]-Sales[[#This Row],[24Final]])/Sales[[#This Row],[24Final]]</f>
        <v>-2.4660132785330382E-2</v>
      </c>
      <c r="CL47" t="e">
        <v>#REF!</v>
      </c>
      <c r="CM47" t="e">
        <v>#REF!</v>
      </c>
      <c r="CN47" t="e">
        <v>#REF!</v>
      </c>
      <c r="CO47" t="e">
        <v>#REF!</v>
      </c>
      <c r="CP47" t="e">
        <v>#REF!</v>
      </c>
      <c r="CQ47" t="e">
        <v>#REF!</v>
      </c>
      <c r="CR47" t="e">
        <v>#REF!</v>
      </c>
      <c r="CS47" t="e">
        <v>#REF!</v>
      </c>
      <c r="CT47" t="e">
        <v>#REF!</v>
      </c>
      <c r="CU47" t="e">
        <v>#REF!</v>
      </c>
      <c r="CV47" t="e">
        <v>#REF!</v>
      </c>
      <c r="CW47" t="e">
        <v>#REF!</v>
      </c>
      <c r="CX47" s="15">
        <v>0</v>
      </c>
      <c r="CY47" s="15" t="e">
        <v>#REF!</v>
      </c>
      <c r="CZ47" s="15" t="e">
        <v>#REF!</v>
      </c>
      <c r="DA47" s="15" t="e">
        <v>#REF!</v>
      </c>
    </row>
    <row r="48" spans="1:105" x14ac:dyDescent="0.3">
      <c r="A48">
        <v>2025</v>
      </c>
      <c r="B48" s="1">
        <v>18132344426</v>
      </c>
      <c r="C48">
        <v>-1.8971199848858813</v>
      </c>
      <c r="D48">
        <v>0.15</v>
      </c>
      <c r="E48">
        <v>0</v>
      </c>
      <c r="F48">
        <v>6</v>
      </c>
      <c r="G48" t="s">
        <v>126</v>
      </c>
      <c r="H48">
        <v>3093</v>
      </c>
      <c r="I48" t="s">
        <v>349</v>
      </c>
      <c r="J48" t="s">
        <v>30</v>
      </c>
      <c r="K48">
        <v>11</v>
      </c>
      <c r="L48">
        <v>259</v>
      </c>
      <c r="M48" t="s">
        <v>173</v>
      </c>
      <c r="N48" t="s">
        <v>148</v>
      </c>
      <c r="O48" t="s">
        <v>303</v>
      </c>
      <c r="P48">
        <v>100</v>
      </c>
      <c r="Q48">
        <v>1919</v>
      </c>
      <c r="R48">
        <v>1965</v>
      </c>
      <c r="S48">
        <v>105</v>
      </c>
      <c r="T48">
        <v>59</v>
      </c>
      <c r="U48">
        <v>2</v>
      </c>
      <c r="V48">
        <v>1402</v>
      </c>
      <c r="W48">
        <v>964</v>
      </c>
      <c r="X48">
        <v>0</v>
      </c>
      <c r="Y48">
        <v>702</v>
      </c>
      <c r="Z48">
        <v>0</v>
      </c>
      <c r="AA48">
        <v>702</v>
      </c>
      <c r="AB48">
        <v>3068</v>
      </c>
      <c r="AC48">
        <v>3500</v>
      </c>
      <c r="AD48">
        <v>0</v>
      </c>
      <c r="AE48" t="s">
        <v>6</v>
      </c>
      <c r="AF48" t="s">
        <v>383</v>
      </c>
      <c r="AG48" t="s">
        <v>148</v>
      </c>
      <c r="AH48" t="s">
        <v>450</v>
      </c>
      <c r="AI48">
        <v>0</v>
      </c>
      <c r="AJ48">
        <v>1</v>
      </c>
      <c r="AK48">
        <v>0</v>
      </c>
      <c r="AL48">
        <v>1</v>
      </c>
      <c r="AM48">
        <v>0</v>
      </c>
      <c r="AN48">
        <v>12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100</v>
      </c>
      <c r="AV48">
        <v>100</v>
      </c>
      <c r="AW48">
        <v>479187</v>
      </c>
      <c r="AX48">
        <v>345015</v>
      </c>
      <c r="AY48">
        <v>923</v>
      </c>
      <c r="AZ48">
        <v>365</v>
      </c>
      <c r="BA48">
        <v>365</v>
      </c>
      <c r="BB48">
        <v>193</v>
      </c>
      <c r="BC48" s="3">
        <v>44369</v>
      </c>
      <c r="BD48" t="s">
        <v>444</v>
      </c>
      <c r="BE48">
        <v>494500</v>
      </c>
      <c r="BF48">
        <v>486575</v>
      </c>
      <c r="BG48" t="s">
        <v>294</v>
      </c>
      <c r="BH48">
        <v>1</v>
      </c>
      <c r="BI48" t="s">
        <v>65</v>
      </c>
      <c r="BJ48" t="s">
        <v>450</v>
      </c>
      <c r="BK48">
        <v>421300</v>
      </c>
      <c r="BL48">
        <v>48400</v>
      </c>
      <c r="BM48">
        <v>372900</v>
      </c>
      <c r="BN48">
        <v>7925</v>
      </c>
      <c r="BO48">
        <v>0.85197168857431749</v>
      </c>
      <c r="BP48">
        <v>389505.86417887645</v>
      </c>
      <c r="BQ48">
        <v>436876.53885715577</v>
      </c>
      <c r="BR48" s="12">
        <f>(Sales[[#This Row],[DP1]]*Lookups!$B$59)+(Sales[[#This Row],[DP2]]*Lookups!$B$60)+(Sales[[#This Row],[DP3]]*Lookups!$B$61)</f>
        <v>-18204.014715060002</v>
      </c>
      <c r="BS48" s="12">
        <f>Lookups!$B$56*0.5</f>
        <v>44925.312794999998</v>
      </c>
      <c r="BT48" s="12">
        <f>Lookups!$B$56*0.5</f>
        <v>44925.312794999998</v>
      </c>
      <c r="BU48" s="12">
        <f>Lookups!$B$57*Sales[[#This Row],[LnAcres]]</f>
        <v>-52569.808201026557</v>
      </c>
      <c r="BV48" s="12">
        <f>VLOOKUP(Sales[[#This Row],[Qlty]],Lookups!$A$62:$E$75,2,FALSE)</f>
        <v>21557.329055999999</v>
      </c>
      <c r="BW48" s="12">
        <f>VLOOKUP(Sales[[#This Row],[Cnd]],Lookups!$A$76:$E$84,2,FALSE)</f>
        <v>197752.34721000001</v>
      </c>
      <c r="BX48" s="12">
        <f>Sales[[#This Row],[EffAge]]*Lookups!$B$85</f>
        <v>-10929.2344245</v>
      </c>
      <c r="BY48" s="12">
        <f>Sales[[#This Row],[MainFn]]*Lookups!$B$86</f>
        <v>62353.741384774003</v>
      </c>
      <c r="BZ48" s="12">
        <f>Sales[[#This Row],[UpprFn]]*Lookups!$B$87</f>
        <v>0</v>
      </c>
      <c r="CA48" s="12">
        <f>Sales[[#This Row],[AddFn]]*Lookups!$B$88</f>
        <v>0</v>
      </c>
      <c r="CB48" s="12">
        <f>Sales[[#This Row],[Bsmt]]*Lookups!$B$89</f>
        <v>0</v>
      </c>
      <c r="CC48" s="12">
        <f>Sales[[#This Row],[Fixtures]]*Lookups!$B$90</f>
        <v>30336.176841600001</v>
      </c>
      <c r="CD48" s="12">
        <f>Sales[[#This Row],[WdDeck]]*Lookups!$B$91</f>
        <v>0</v>
      </c>
      <c r="CE48" s="12">
        <f>SUM(Sales[[#This Row],[Days Prior Total]:[Mdl WdDeck]])</f>
        <v>320147.16274178744</v>
      </c>
      <c r="CF48" s="12">
        <f>ROUND(Sales[[#This Row],[25Det]],-2)</f>
        <v>0</v>
      </c>
      <c r="CG48" s="12">
        <f>ROUND(SUM(Sales[[#This Row],[Mdl Qlty]:[Mdl WdDeck]])+Sales[[#This Row],[Mdl Res Intercept]]+Sales[[#This Row],[Days Prior Total]],-2)</f>
        <v>282900</v>
      </c>
      <c r="CH48" s="12">
        <f>ROUND(Sales[[#This Row],[Mdl Land Intercept]]+Sales[[#This Row],[Mdl LnAcres]],-2)</f>
        <v>37300</v>
      </c>
      <c r="CI48" s="12">
        <f>Sales[[#This Row],[Unadj Res Value]]+Sales[[#This Row],[Unadj Det Value]]+Sales[[#This Row],[Unadj Land Value]]</f>
        <v>320200</v>
      </c>
      <c r="CJ48" s="13">
        <f>Sales[[#This Row],[Price]]/Sales[[#This Row],[Unadj Total Value]]</f>
        <v>1.1399125546533417</v>
      </c>
      <c r="CK48" s="13">
        <f>(Sales[[#This Row],[Unadj Total Value]]-Sales[[#This Row],[24Final]])/Sales[[#This Row],[24Final]]</f>
        <v>3.7252996436669905E-2</v>
      </c>
      <c r="CL48" t="e">
        <v>#REF!</v>
      </c>
      <c r="CM48" t="e">
        <v>#REF!</v>
      </c>
      <c r="CN48" t="e">
        <v>#REF!</v>
      </c>
      <c r="CO48" t="e">
        <v>#REF!</v>
      </c>
      <c r="CP48" t="e">
        <v>#REF!</v>
      </c>
      <c r="CQ48" t="e">
        <v>#REF!</v>
      </c>
      <c r="CR48" t="e">
        <v>#REF!</v>
      </c>
      <c r="CS48" t="e">
        <v>#REF!</v>
      </c>
      <c r="CT48" t="e">
        <v>#REF!</v>
      </c>
      <c r="CU48" t="e">
        <v>#REF!</v>
      </c>
      <c r="CV48" t="e">
        <v>#REF!</v>
      </c>
      <c r="CW48" t="e">
        <v>#REF!</v>
      </c>
      <c r="CX48" s="15">
        <v>0</v>
      </c>
      <c r="CY48" s="15" t="e">
        <v>#REF!</v>
      </c>
      <c r="CZ48" s="15" t="e">
        <v>#REF!</v>
      </c>
      <c r="DA48" s="15" t="e">
        <v>#REF!</v>
      </c>
    </row>
    <row r="49" spans="1:106" x14ac:dyDescent="0.3">
      <c r="A49">
        <v>2025</v>
      </c>
      <c r="B49" s="1">
        <v>18132213471</v>
      </c>
      <c r="C49">
        <v>-1.6094379124341003</v>
      </c>
      <c r="D49">
        <v>0.2</v>
      </c>
      <c r="E49">
        <v>8551</v>
      </c>
      <c r="F49">
        <v>6</v>
      </c>
      <c r="G49" t="s">
        <v>126</v>
      </c>
      <c r="H49">
        <v>3033</v>
      </c>
      <c r="I49" t="s">
        <v>349</v>
      </c>
      <c r="J49" t="s">
        <v>30</v>
      </c>
      <c r="K49">
        <v>11</v>
      </c>
      <c r="L49">
        <v>259</v>
      </c>
      <c r="M49" t="s">
        <v>300</v>
      </c>
      <c r="N49" t="s">
        <v>148</v>
      </c>
      <c r="O49" t="s">
        <v>303</v>
      </c>
      <c r="P49">
        <v>30</v>
      </c>
      <c r="Q49">
        <v>1988</v>
      </c>
      <c r="R49">
        <v>1988</v>
      </c>
      <c r="S49">
        <v>36</v>
      </c>
      <c r="T49">
        <v>36</v>
      </c>
      <c r="U49">
        <v>1</v>
      </c>
      <c r="V49">
        <v>2056</v>
      </c>
      <c r="W49">
        <v>0</v>
      </c>
      <c r="X49">
        <v>0</v>
      </c>
      <c r="Y49">
        <v>0</v>
      </c>
      <c r="Z49">
        <v>0</v>
      </c>
      <c r="AA49">
        <v>0</v>
      </c>
      <c r="AB49">
        <v>2056</v>
      </c>
      <c r="AC49">
        <v>2500</v>
      </c>
      <c r="AD49">
        <v>2</v>
      </c>
      <c r="AF49" t="s">
        <v>383</v>
      </c>
      <c r="AG49" t="s">
        <v>148</v>
      </c>
      <c r="AH49" t="s">
        <v>450</v>
      </c>
      <c r="AI49">
        <v>0</v>
      </c>
      <c r="AJ49">
        <v>0</v>
      </c>
      <c r="AK49">
        <v>0</v>
      </c>
      <c r="AL49">
        <v>1</v>
      </c>
      <c r="AM49">
        <v>0</v>
      </c>
      <c r="AN49">
        <v>8</v>
      </c>
      <c r="AO49">
        <v>484</v>
      </c>
      <c r="AP49">
        <v>0</v>
      </c>
      <c r="AQ49">
        <v>0</v>
      </c>
      <c r="AR49">
        <v>154</v>
      </c>
      <c r="AS49">
        <v>260</v>
      </c>
      <c r="AT49">
        <v>260</v>
      </c>
      <c r="AU49">
        <v>100</v>
      </c>
      <c r="AV49">
        <v>100</v>
      </c>
      <c r="AW49">
        <v>393335</v>
      </c>
      <c r="AX49">
        <v>346135</v>
      </c>
      <c r="AY49">
        <v>809</v>
      </c>
      <c r="AZ49">
        <v>365</v>
      </c>
      <c r="BA49">
        <v>365</v>
      </c>
      <c r="BB49">
        <v>79</v>
      </c>
      <c r="BC49" s="3">
        <v>44483</v>
      </c>
      <c r="BD49" t="s">
        <v>116</v>
      </c>
      <c r="BE49">
        <v>315000</v>
      </c>
      <c r="BF49">
        <v>315000</v>
      </c>
      <c r="BG49" t="s">
        <v>294</v>
      </c>
      <c r="BH49">
        <v>1</v>
      </c>
      <c r="BI49" t="s">
        <v>65</v>
      </c>
      <c r="BJ49" t="s">
        <v>450</v>
      </c>
      <c r="BK49">
        <v>387700</v>
      </c>
      <c r="BL49">
        <v>58400</v>
      </c>
      <c r="BM49">
        <v>329300</v>
      </c>
      <c r="BN49">
        <v>0</v>
      </c>
      <c r="BO49">
        <v>1.2307936507936508</v>
      </c>
      <c r="BP49">
        <v>377669.74264594977</v>
      </c>
      <c r="BQ49">
        <v>409796.14205649722</v>
      </c>
      <c r="BR49" s="12">
        <f>(Sales[[#This Row],[DP1]]*Lookups!$B$59)+(Sales[[#This Row],[DP2]]*Lookups!$B$60)+(Sales[[#This Row],[DP3]]*Lookups!$B$61)</f>
        <v>-11642.102434050001</v>
      </c>
      <c r="BS49" s="12">
        <f>Lookups!$B$56*0.5</f>
        <v>44925.312794999998</v>
      </c>
      <c r="BT49" s="12">
        <f>Lookups!$B$56*0.5</f>
        <v>44925.312794999998</v>
      </c>
      <c r="BU49" s="12">
        <f>Lookups!$B$57*Sales[[#This Row],[LnAcres]]</f>
        <v>-54281.285314520763</v>
      </c>
      <c r="BV49" s="12">
        <f>VLOOKUP(Sales[[#This Row],[Qlty]],Lookups!$A$62:$E$75,2,FALSE)</f>
        <v>21557.329055999999</v>
      </c>
      <c r="BW49" s="12">
        <f>VLOOKUP(Sales[[#This Row],[Cnd]],Lookups!$A$76:$E$84,2,FALSE)</f>
        <v>197752.34721000001</v>
      </c>
      <c r="BX49" s="12">
        <f>Sales[[#This Row],[EffAge]]*Lookups!$B$85</f>
        <v>-10929.2344245</v>
      </c>
      <c r="BY49" s="12">
        <f>Sales[[#This Row],[MainFn]]*Lookups!$B$86</f>
        <v>65812.348276164004</v>
      </c>
      <c r="BZ49" s="12">
        <f>Sales[[#This Row],[UpprFn]]*Lookups!$B$87</f>
        <v>0</v>
      </c>
      <c r="CA49" s="12">
        <f>Sales[[#This Row],[AddFn]]*Lookups!$B$88</f>
        <v>0</v>
      </c>
      <c r="CB49" s="12">
        <f>Sales[[#This Row],[Bsmt]]*Lookups!$B$89</f>
        <v>0</v>
      </c>
      <c r="CC49" s="12">
        <f>Sales[[#This Row],[Fixtures]]*Lookups!$B$90</f>
        <v>30336.176841600001</v>
      </c>
      <c r="CD49" s="12">
        <f>Sales[[#This Row],[WdDeck]]*Lookups!$B$91</f>
        <v>0</v>
      </c>
      <c r="CE49" s="12">
        <f>SUM(Sales[[#This Row],[Days Prior Total]:[Mdl WdDeck]])</f>
        <v>328456.2048006932</v>
      </c>
      <c r="CF49" s="12">
        <f>ROUND(Sales[[#This Row],[25Det]],-2)</f>
        <v>0</v>
      </c>
      <c r="CG49" s="12">
        <f>ROUND(SUM(Sales[[#This Row],[Mdl Qlty]:[Mdl WdDeck]])+Sales[[#This Row],[Mdl Res Intercept]]+Sales[[#This Row],[Days Prior Total]],-2)</f>
        <v>292900</v>
      </c>
      <c r="CH49" s="12">
        <f>ROUND(Sales[[#This Row],[Mdl Land Intercept]]+Sales[[#This Row],[Mdl LnAcres]],-2)</f>
        <v>35600</v>
      </c>
      <c r="CI49" s="12">
        <f>Sales[[#This Row],[Unadj Res Value]]+Sales[[#This Row],[Unadj Det Value]]+Sales[[#This Row],[Unadj Land Value]]</f>
        <v>328500</v>
      </c>
      <c r="CJ49" s="13">
        <f>Sales[[#This Row],[Price]]/Sales[[#This Row],[Unadj Total Value]]</f>
        <v>0.94368340943683404</v>
      </c>
      <c r="CK49" s="13">
        <f>(Sales[[#This Row],[Unadj Total Value]]-Sales[[#This Row],[24Final]])/Sales[[#This Row],[24Final]]</f>
        <v>5.5591259640102829E-2</v>
      </c>
      <c r="CL49" t="e">
        <v>#REF!</v>
      </c>
      <c r="CM49" t="e">
        <v>#REF!</v>
      </c>
      <c r="CN49" t="e">
        <v>#REF!</v>
      </c>
      <c r="CO49" t="e">
        <v>#REF!</v>
      </c>
      <c r="CP49" t="e">
        <v>#REF!</v>
      </c>
      <c r="CQ49" t="e">
        <v>#REF!</v>
      </c>
      <c r="CR49" t="e">
        <v>#REF!</v>
      </c>
      <c r="CS49" t="e">
        <v>#REF!</v>
      </c>
      <c r="CT49" t="e">
        <v>#REF!</v>
      </c>
      <c r="CU49" t="e">
        <v>#REF!</v>
      </c>
      <c r="CV49" t="e">
        <v>#REF!</v>
      </c>
      <c r="CW49" t="e">
        <v>#REF!</v>
      </c>
      <c r="CX49" s="15">
        <v>0</v>
      </c>
      <c r="CY49" s="15" t="e">
        <v>#REF!</v>
      </c>
      <c r="CZ49" s="15" t="e">
        <v>#REF!</v>
      </c>
      <c r="DA49" s="15" t="e">
        <v>#REF!</v>
      </c>
    </row>
    <row r="50" spans="1:106" x14ac:dyDescent="0.3">
      <c r="A50">
        <v>2025</v>
      </c>
      <c r="B50" s="1">
        <v>18132243434</v>
      </c>
      <c r="C50">
        <v>-1.5141277326297755</v>
      </c>
      <c r="D50">
        <v>0.22</v>
      </c>
      <c r="E50">
        <v>9630</v>
      </c>
      <c r="F50">
        <v>6</v>
      </c>
      <c r="G50" t="s">
        <v>126</v>
      </c>
      <c r="H50">
        <v>3093</v>
      </c>
      <c r="I50" t="s">
        <v>349</v>
      </c>
      <c r="J50" t="s">
        <v>30</v>
      </c>
      <c r="K50">
        <v>11</v>
      </c>
      <c r="L50">
        <v>259</v>
      </c>
      <c r="M50" t="s">
        <v>241</v>
      </c>
      <c r="N50" t="s">
        <v>95</v>
      </c>
      <c r="O50" t="s">
        <v>323</v>
      </c>
      <c r="P50">
        <v>50</v>
      </c>
      <c r="Q50">
        <v>1970</v>
      </c>
      <c r="R50">
        <v>1977</v>
      </c>
      <c r="S50">
        <v>54</v>
      </c>
      <c r="T50">
        <v>47</v>
      </c>
      <c r="U50">
        <v>1</v>
      </c>
      <c r="V50">
        <v>1530</v>
      </c>
      <c r="W50">
        <v>0</v>
      </c>
      <c r="X50">
        <v>0</v>
      </c>
      <c r="Y50">
        <v>1530</v>
      </c>
      <c r="Z50">
        <v>224</v>
      </c>
      <c r="AA50">
        <v>1306</v>
      </c>
      <c r="AB50">
        <v>2836</v>
      </c>
      <c r="AC50">
        <v>3000</v>
      </c>
      <c r="AD50">
        <v>2</v>
      </c>
      <c r="AF50" t="s">
        <v>383</v>
      </c>
      <c r="AG50" t="s">
        <v>148</v>
      </c>
      <c r="AH50" t="s">
        <v>450</v>
      </c>
      <c r="AI50">
        <v>0</v>
      </c>
      <c r="AJ50">
        <v>1</v>
      </c>
      <c r="AK50">
        <v>0</v>
      </c>
      <c r="AL50">
        <v>2</v>
      </c>
      <c r="AM50">
        <v>0</v>
      </c>
      <c r="AN50">
        <v>11</v>
      </c>
      <c r="AO50">
        <v>520</v>
      </c>
      <c r="AP50">
        <v>0</v>
      </c>
      <c r="AQ50">
        <v>0</v>
      </c>
      <c r="AR50">
        <v>0</v>
      </c>
      <c r="AS50">
        <v>83</v>
      </c>
      <c r="AT50">
        <v>83</v>
      </c>
      <c r="AU50">
        <v>100</v>
      </c>
      <c r="AV50">
        <v>100</v>
      </c>
      <c r="AW50">
        <v>513258</v>
      </c>
      <c r="AX50">
        <v>400341</v>
      </c>
      <c r="AY50">
        <v>952</v>
      </c>
      <c r="AZ50">
        <v>365</v>
      </c>
      <c r="BA50">
        <v>365</v>
      </c>
      <c r="BB50">
        <v>222</v>
      </c>
      <c r="BC50" s="3">
        <v>44340</v>
      </c>
      <c r="BD50" t="s">
        <v>374</v>
      </c>
      <c r="BE50">
        <v>350000</v>
      </c>
      <c r="BF50">
        <v>350000</v>
      </c>
      <c r="BG50" t="s">
        <v>294</v>
      </c>
      <c r="BH50">
        <v>1</v>
      </c>
      <c r="BI50" t="s">
        <v>65</v>
      </c>
      <c r="BJ50" t="s">
        <v>450</v>
      </c>
      <c r="BK50">
        <v>445300</v>
      </c>
      <c r="BL50">
        <v>61700</v>
      </c>
      <c r="BM50">
        <v>383600</v>
      </c>
      <c r="BN50">
        <v>0</v>
      </c>
      <c r="BO50">
        <v>1.2722857142857142</v>
      </c>
      <c r="BP50">
        <v>376733.16710646823</v>
      </c>
      <c r="BQ50">
        <v>427981.77145811799</v>
      </c>
      <c r="BR50" s="12">
        <f>(Sales[[#This Row],[DP1]]*Lookups!$B$59)+(Sales[[#This Row],[DP2]]*Lookups!$B$60)+(Sales[[#This Row],[DP3]]*Lookups!$B$61)</f>
        <v>-45097.405565470006</v>
      </c>
      <c r="BS50" s="12">
        <f>Lookups!$B$56*0.5</f>
        <v>44925.312794999998</v>
      </c>
      <c r="BT50" s="12">
        <f>Lookups!$B$56*0.5</f>
        <v>44925.312794999998</v>
      </c>
      <c r="BU50" s="12">
        <f>Lookups!$B$57*Sales[[#This Row],[LnAcres]]</f>
        <v>-29806.256507663158</v>
      </c>
      <c r="BV50" s="12">
        <f>VLOOKUP(Sales[[#This Row],[Qlty]],Lookups!$A$62:$E$75,2,FALSE)</f>
        <v>74268.409664999999</v>
      </c>
      <c r="BW50" s="12">
        <f>VLOOKUP(Sales[[#This Row],[Cnd]],Lookups!$A$76:$E$84,2,FALSE)</f>
        <v>197752.34721000001</v>
      </c>
      <c r="BX50" s="12">
        <f>Sales[[#This Row],[EffAge]]*Lookups!$B$85</f>
        <v>-10929.2344245</v>
      </c>
      <c r="BY50" s="12">
        <f>Sales[[#This Row],[MainFn]]*Lookups!$B$86</f>
        <v>128363.724340446</v>
      </c>
      <c r="BZ50" s="12">
        <f>Sales[[#This Row],[UpprFn]]*Lookups!$B$87</f>
        <v>0</v>
      </c>
      <c r="CA50" s="12">
        <f>Sales[[#This Row],[AddFn]]*Lookups!$B$88</f>
        <v>0</v>
      </c>
      <c r="CB50" s="12">
        <f>Sales[[#This Row],[Bsmt]]*Lookups!$B$89</f>
        <v>37050.334544678</v>
      </c>
      <c r="CC50" s="12">
        <f>Sales[[#This Row],[Fixtures]]*Lookups!$B$90</f>
        <v>41712.243157199999</v>
      </c>
      <c r="CD50" s="12">
        <f>Sales[[#This Row],[WdDeck]]*Lookups!$B$91</f>
        <v>0</v>
      </c>
      <c r="CE50" s="12">
        <f>SUM(Sales[[#This Row],[Days Prior Total]:[Mdl WdDeck]])</f>
        <v>483164.78800969082</v>
      </c>
      <c r="CF50" s="12">
        <f>ROUND(Sales[[#This Row],[25Det]],-2)</f>
        <v>0</v>
      </c>
      <c r="CG50" s="12">
        <f>ROUND(SUM(Sales[[#This Row],[Mdl Qlty]:[Mdl WdDeck]])+Sales[[#This Row],[Mdl Res Intercept]]+Sales[[#This Row],[Days Prior Total]],-2)</f>
        <v>423100</v>
      </c>
      <c r="CH50" s="12">
        <f>ROUND(Sales[[#This Row],[Mdl Land Intercept]]+Sales[[#This Row],[Mdl LnAcres]],-2)</f>
        <v>60000</v>
      </c>
      <c r="CI50" s="12">
        <f>Sales[[#This Row],[Unadj Res Value]]+Sales[[#This Row],[Unadj Det Value]]+Sales[[#This Row],[Unadj Land Value]]</f>
        <v>483100</v>
      </c>
      <c r="CJ50" s="13">
        <f>Sales[[#This Row],[Price]]/Sales[[#This Row],[Unadj Total Value]]</f>
        <v>0.9097495342579176</v>
      </c>
      <c r="CK50" s="13">
        <f>(Sales[[#This Row],[Unadj Total Value]]-Sales[[#This Row],[24Final]])/Sales[[#This Row],[24Final]]</f>
        <v>-9.0378459800414229E-2</v>
      </c>
      <c r="CL50" t="e">
        <v>#REF!</v>
      </c>
      <c r="CM50" t="e">
        <v>#REF!</v>
      </c>
      <c r="CN50" t="e">
        <v>#REF!</v>
      </c>
      <c r="CO50" t="e">
        <v>#REF!</v>
      </c>
      <c r="CP50" t="e">
        <v>#REF!</v>
      </c>
      <c r="CQ50" t="e">
        <v>#REF!</v>
      </c>
      <c r="CR50" t="e">
        <v>#REF!</v>
      </c>
      <c r="CS50" t="e">
        <v>#REF!</v>
      </c>
      <c r="CT50" t="e">
        <v>#REF!</v>
      </c>
      <c r="CU50" t="e">
        <v>#REF!</v>
      </c>
      <c r="CV50" t="e">
        <v>#REF!</v>
      </c>
      <c r="CW50" t="e">
        <v>#REF!</v>
      </c>
      <c r="CX50" s="15">
        <v>0</v>
      </c>
      <c r="CY50" s="15" t="e">
        <v>#REF!</v>
      </c>
      <c r="CZ50" s="15" t="e">
        <v>#REF!</v>
      </c>
      <c r="DA50" s="15" t="e">
        <v>#REF!</v>
      </c>
    </row>
    <row r="51" spans="1:106" x14ac:dyDescent="0.3">
      <c r="A51">
        <v>2025</v>
      </c>
      <c r="B51" s="1">
        <v>18132212442</v>
      </c>
      <c r="C51">
        <v>-1.0216512475319814</v>
      </c>
      <c r="D51">
        <v>0.36</v>
      </c>
      <c r="E51">
        <v>15737</v>
      </c>
      <c r="F51">
        <v>6</v>
      </c>
      <c r="G51" t="s">
        <v>126</v>
      </c>
      <c r="H51">
        <v>3032</v>
      </c>
      <c r="I51" t="s">
        <v>349</v>
      </c>
      <c r="J51" t="s">
        <v>30</v>
      </c>
      <c r="K51">
        <v>11</v>
      </c>
      <c r="L51">
        <v>259</v>
      </c>
      <c r="M51" t="s">
        <v>241</v>
      </c>
      <c r="N51" t="s">
        <v>95</v>
      </c>
      <c r="O51" t="s">
        <v>303</v>
      </c>
      <c r="P51">
        <v>50</v>
      </c>
      <c r="Q51">
        <v>1966</v>
      </c>
      <c r="R51">
        <v>1976</v>
      </c>
      <c r="S51">
        <v>58</v>
      </c>
      <c r="T51">
        <v>48</v>
      </c>
      <c r="U51">
        <v>1</v>
      </c>
      <c r="V51">
        <v>1792</v>
      </c>
      <c r="W51">
        <v>0</v>
      </c>
      <c r="X51">
        <v>0</v>
      </c>
      <c r="Y51">
        <v>832</v>
      </c>
      <c r="Z51">
        <v>0</v>
      </c>
      <c r="AA51">
        <v>832</v>
      </c>
      <c r="AB51">
        <v>2624</v>
      </c>
      <c r="AC51">
        <v>3000</v>
      </c>
      <c r="AD51">
        <v>2</v>
      </c>
      <c r="AF51" t="s">
        <v>383</v>
      </c>
      <c r="AG51" t="s">
        <v>148</v>
      </c>
      <c r="AH51" t="s">
        <v>450</v>
      </c>
      <c r="AI51">
        <v>0</v>
      </c>
      <c r="AJ51">
        <v>2</v>
      </c>
      <c r="AK51">
        <v>0</v>
      </c>
      <c r="AL51">
        <v>1</v>
      </c>
      <c r="AM51">
        <v>0</v>
      </c>
      <c r="AN51">
        <v>12</v>
      </c>
      <c r="AO51">
        <v>768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100</v>
      </c>
      <c r="AV51">
        <v>100</v>
      </c>
      <c r="AW51">
        <v>565688</v>
      </c>
      <c r="AX51">
        <v>463864</v>
      </c>
      <c r="AY51">
        <v>462</v>
      </c>
      <c r="AZ51">
        <v>365</v>
      </c>
      <c r="BA51">
        <v>97</v>
      </c>
      <c r="BB51">
        <v>0</v>
      </c>
      <c r="BC51" s="3">
        <v>44830</v>
      </c>
      <c r="BD51" t="s">
        <v>54</v>
      </c>
      <c r="BE51">
        <v>400000</v>
      </c>
      <c r="BF51">
        <v>400000</v>
      </c>
      <c r="BG51" t="s">
        <v>294</v>
      </c>
      <c r="BH51">
        <v>1</v>
      </c>
      <c r="BI51" t="s">
        <v>65</v>
      </c>
      <c r="BJ51" t="s">
        <v>450</v>
      </c>
      <c r="BK51">
        <v>487500</v>
      </c>
      <c r="BL51">
        <v>78900</v>
      </c>
      <c r="BM51">
        <v>408600</v>
      </c>
      <c r="BN51">
        <v>0</v>
      </c>
      <c r="BO51">
        <v>1.21875</v>
      </c>
      <c r="BP51">
        <v>452426.08041101048</v>
      </c>
      <c r="BQ51">
        <v>477065.95450725016</v>
      </c>
      <c r="BR51" s="12">
        <f>(Sales[[#This Row],[DP1]]*Lookups!$B$59)+(Sales[[#This Row],[DP2]]*Lookups!$B$60)+(Sales[[#This Row],[DP3]]*Lookups!$B$61)</f>
        <v>-47103.231258970001</v>
      </c>
      <c r="BS51" s="12">
        <f>Lookups!$B$56*0.5</f>
        <v>44925.312794999998</v>
      </c>
      <c r="BT51" s="12">
        <f>Lookups!$B$56*0.5</f>
        <v>44925.312794999998</v>
      </c>
      <c r="BU51" s="12">
        <f>Lookups!$B$57*Sales[[#This Row],[LnAcres]]</f>
        <v>-49401.70477837498</v>
      </c>
      <c r="BV51" s="12">
        <f>VLOOKUP(Sales[[#This Row],[Qlty]],Lookups!$A$62:$E$75,2,FALSE)</f>
        <v>74268.409664999999</v>
      </c>
      <c r="BW51" s="12">
        <f>VLOOKUP(Sales[[#This Row],[Cnd]],Lookups!$A$76:$E$84,2,FALSE)</f>
        <v>160472.20319</v>
      </c>
      <c r="BX51" s="12">
        <f>Sales[[#This Row],[EffAge]]*Lookups!$B$85</f>
        <v>-10929.2344245</v>
      </c>
      <c r="BY51" s="12">
        <f>Sales[[#This Row],[MainFn]]*Lookups!$B$86</f>
        <v>79350.323822462</v>
      </c>
      <c r="BZ51" s="12">
        <f>Sales[[#This Row],[UpprFn]]*Lookups!$B$87</f>
        <v>0</v>
      </c>
      <c r="CA51" s="12">
        <f>Sales[[#This Row],[AddFn]]*Lookups!$B$88</f>
        <v>0</v>
      </c>
      <c r="CB51" s="12">
        <f>Sales[[#This Row],[Bsmt]]*Lookups!$B$89</f>
        <v>15558.813957144999</v>
      </c>
      <c r="CC51" s="12">
        <f>Sales[[#This Row],[Fixtures]]*Lookups!$B$90</f>
        <v>37920.221052000001</v>
      </c>
      <c r="CD51" s="12">
        <f>Sales[[#This Row],[WdDeck]]*Lookups!$B$91</f>
        <v>0</v>
      </c>
      <c r="CE51" s="12">
        <f>SUM(Sales[[#This Row],[Days Prior Total]:[Mdl WdDeck]])</f>
        <v>349986.426814762</v>
      </c>
      <c r="CF51" s="12">
        <f>ROUND(Sales[[#This Row],[25Det]],-2)</f>
        <v>0</v>
      </c>
      <c r="CG51" s="12">
        <f>ROUND(SUM(Sales[[#This Row],[Mdl Qlty]:[Mdl WdDeck]])+Sales[[#This Row],[Mdl Res Intercept]]+Sales[[#This Row],[Days Prior Total]],-2)</f>
        <v>309500</v>
      </c>
      <c r="CH51" s="12">
        <f>ROUND(Sales[[#This Row],[Mdl Land Intercept]]+Sales[[#This Row],[Mdl LnAcres]],-2)</f>
        <v>40400</v>
      </c>
      <c r="CI51" s="12">
        <f>Sales[[#This Row],[Unadj Res Value]]+Sales[[#This Row],[Unadj Det Value]]+Sales[[#This Row],[Unadj Land Value]]</f>
        <v>349900</v>
      </c>
      <c r="CJ51" s="13">
        <f>Sales[[#This Row],[Price]]/Sales[[#This Row],[Unadj Total Value]]</f>
        <v>0.79222635038582456</v>
      </c>
      <c r="CK51" s="13">
        <f>(Sales[[#This Row],[Unadj Total Value]]-Sales[[#This Row],[24Final]])/Sales[[#This Row],[24Final]]</f>
        <v>-0.15360425737784228</v>
      </c>
      <c r="CL51" t="e">
        <v>#REF!</v>
      </c>
      <c r="CM51" t="e">
        <v>#REF!</v>
      </c>
      <c r="CN51" t="e">
        <v>#REF!</v>
      </c>
      <c r="CO51" t="e">
        <v>#REF!</v>
      </c>
      <c r="CP51" t="e">
        <v>#REF!</v>
      </c>
      <c r="CQ51" t="e">
        <v>#REF!</v>
      </c>
      <c r="CR51" t="e">
        <v>#REF!</v>
      </c>
      <c r="CS51" t="e">
        <v>#REF!</v>
      </c>
      <c r="CT51" t="e">
        <v>#REF!</v>
      </c>
      <c r="CU51" t="e">
        <v>#REF!</v>
      </c>
      <c r="CV51" t="e">
        <v>#REF!</v>
      </c>
      <c r="CW51" t="e">
        <v>#REF!</v>
      </c>
      <c r="CX51" s="15">
        <v>0</v>
      </c>
      <c r="CY51" s="15" t="e">
        <v>#REF!</v>
      </c>
      <c r="CZ51" s="15" t="e">
        <v>#REF!</v>
      </c>
      <c r="DA51" s="15" t="e">
        <v>#REF!</v>
      </c>
    </row>
    <row r="52" spans="1:106" x14ac:dyDescent="0.3">
      <c r="A52">
        <v>2025</v>
      </c>
      <c r="B52" s="1">
        <v>18132341010</v>
      </c>
      <c r="C52">
        <v>-1.0788096613719298</v>
      </c>
      <c r="D52">
        <v>0.34</v>
      </c>
      <c r="E52">
        <v>0</v>
      </c>
      <c r="F52">
        <v>6</v>
      </c>
      <c r="G52" t="s">
        <v>126</v>
      </c>
      <c r="H52">
        <v>3031</v>
      </c>
      <c r="I52" t="s">
        <v>349</v>
      </c>
      <c r="J52" t="s">
        <v>30</v>
      </c>
      <c r="K52">
        <v>11</v>
      </c>
      <c r="L52">
        <v>259</v>
      </c>
      <c r="M52" t="s">
        <v>173</v>
      </c>
      <c r="N52" t="s">
        <v>95</v>
      </c>
      <c r="O52" t="s">
        <v>352</v>
      </c>
      <c r="P52">
        <v>90</v>
      </c>
      <c r="Q52">
        <v>1925</v>
      </c>
      <c r="R52">
        <v>1968</v>
      </c>
      <c r="S52">
        <v>99</v>
      </c>
      <c r="T52">
        <v>56</v>
      </c>
      <c r="U52">
        <v>2</v>
      </c>
      <c r="V52">
        <v>1918</v>
      </c>
      <c r="W52">
        <v>568</v>
      </c>
      <c r="X52">
        <v>0</v>
      </c>
      <c r="Y52">
        <v>540</v>
      </c>
      <c r="Z52">
        <v>540</v>
      </c>
      <c r="AA52">
        <v>0</v>
      </c>
      <c r="AB52">
        <v>2486</v>
      </c>
      <c r="AC52">
        <v>2500</v>
      </c>
      <c r="AD52">
        <v>2</v>
      </c>
      <c r="AE52" t="s">
        <v>6</v>
      </c>
      <c r="AF52" t="s">
        <v>383</v>
      </c>
      <c r="AG52" t="s">
        <v>148</v>
      </c>
      <c r="AH52" t="s">
        <v>450</v>
      </c>
      <c r="AI52">
        <v>0</v>
      </c>
      <c r="AJ52">
        <v>1</v>
      </c>
      <c r="AK52">
        <v>0</v>
      </c>
      <c r="AL52">
        <v>0</v>
      </c>
      <c r="AM52">
        <v>0</v>
      </c>
      <c r="AN52">
        <v>10</v>
      </c>
      <c r="AO52">
        <v>396</v>
      </c>
      <c r="AP52">
        <v>0</v>
      </c>
      <c r="AQ52">
        <v>0</v>
      </c>
      <c r="AR52">
        <v>1005</v>
      </c>
      <c r="AS52">
        <v>72</v>
      </c>
      <c r="AT52">
        <v>264</v>
      </c>
      <c r="AU52">
        <v>100</v>
      </c>
      <c r="AV52">
        <v>100</v>
      </c>
      <c r="AW52">
        <v>566648</v>
      </c>
      <c r="AX52">
        <v>453318</v>
      </c>
      <c r="AY52">
        <v>622</v>
      </c>
      <c r="AZ52">
        <v>365</v>
      </c>
      <c r="BA52">
        <v>257</v>
      </c>
      <c r="BB52">
        <v>0</v>
      </c>
      <c r="BC52" s="3">
        <v>44670</v>
      </c>
      <c r="BD52" t="s">
        <v>263</v>
      </c>
      <c r="BE52">
        <v>747000</v>
      </c>
      <c r="BF52">
        <v>735148</v>
      </c>
      <c r="BG52" t="s">
        <v>294</v>
      </c>
      <c r="BH52">
        <v>27</v>
      </c>
      <c r="BI52" t="s">
        <v>65</v>
      </c>
      <c r="BJ52" t="s">
        <v>450</v>
      </c>
      <c r="BK52">
        <v>532400</v>
      </c>
      <c r="BL52">
        <v>76900</v>
      </c>
      <c r="BM52">
        <v>455500</v>
      </c>
      <c r="BN52">
        <v>11852</v>
      </c>
      <c r="BO52">
        <v>0.71271753681392236</v>
      </c>
      <c r="BP52">
        <v>586778.17211799021</v>
      </c>
      <c r="BQ52">
        <v>609580.73874986905</v>
      </c>
      <c r="BR52" s="12">
        <f>(Sales[[#This Row],[DP1]]*Lookups!$B$59)+(Sales[[#This Row],[DP2]]*Lookups!$B$60)+(Sales[[#This Row],[DP3]]*Lookups!$B$61)</f>
        <v>-22917.398350006002</v>
      </c>
      <c r="BS52" s="12">
        <f>Lookups!$B$56*0.5</f>
        <v>44925.312794999998</v>
      </c>
      <c r="BT52" s="12">
        <f>Lookups!$B$56*0.5</f>
        <v>44925.312794999998</v>
      </c>
      <c r="BU52" s="12">
        <f>Lookups!$B$57*Sales[[#This Row],[LnAcres]]</f>
        <v>-50946.13867709865</v>
      </c>
      <c r="BV52" s="12">
        <f>VLOOKUP(Sales[[#This Row],[Qlty]],Lookups!$A$62:$E$75,2,FALSE)</f>
        <v>29814.093161000001</v>
      </c>
      <c r="BW52" s="12">
        <f>VLOOKUP(Sales[[#This Row],[Cnd]],Lookups!$A$76:$E$84,2,FALSE)</f>
        <v>197752.34721000001</v>
      </c>
      <c r="BX52" s="12">
        <f>Sales[[#This Row],[EffAge]]*Lookups!$B$85</f>
        <v>-10929.2344245</v>
      </c>
      <c r="BY52" s="12">
        <f>Sales[[#This Row],[MainFn]]*Lookups!$B$86</f>
        <v>65318.261577394005</v>
      </c>
      <c r="BZ52" s="12">
        <f>Sales[[#This Row],[UpprFn]]*Lookups!$B$87</f>
        <v>0</v>
      </c>
      <c r="CA52" s="12">
        <f>Sales[[#This Row],[AddFn]]*Lookups!$B$88</f>
        <v>0</v>
      </c>
      <c r="CB52" s="12">
        <f>Sales[[#This Row],[Bsmt]]*Lookups!$B$89</f>
        <v>0</v>
      </c>
      <c r="CC52" s="12">
        <f>Sales[[#This Row],[Fixtures]]*Lookups!$B$90</f>
        <v>26544.1547364</v>
      </c>
      <c r="CD52" s="12">
        <f>Sales[[#This Row],[WdDeck]]*Lookups!$B$91</f>
        <v>0</v>
      </c>
      <c r="CE52" s="12">
        <f>SUM(Sales[[#This Row],[Days Prior Total]:[Mdl WdDeck]])</f>
        <v>324486.71082318935</v>
      </c>
      <c r="CF52" s="12">
        <f>ROUND(Sales[[#This Row],[25Det]],-2)</f>
        <v>0</v>
      </c>
      <c r="CG52" s="12">
        <f>ROUND(SUM(Sales[[#This Row],[Mdl Qlty]:[Mdl WdDeck]])+Sales[[#This Row],[Mdl Res Intercept]]+Sales[[#This Row],[Days Prior Total]],-2)</f>
        <v>285600</v>
      </c>
      <c r="CH52" s="12">
        <f>ROUND(Sales[[#This Row],[Mdl Land Intercept]]+Sales[[#This Row],[Mdl LnAcres]],-2)</f>
        <v>38900</v>
      </c>
      <c r="CI52" s="12">
        <f>Sales[[#This Row],[Unadj Res Value]]+Sales[[#This Row],[Unadj Det Value]]+Sales[[#This Row],[Unadj Land Value]]</f>
        <v>324500</v>
      </c>
      <c r="CJ52" s="13">
        <f>Sales[[#This Row],[Price]]/Sales[[#This Row],[Unadj Total Value]]</f>
        <v>1.00462249614792</v>
      </c>
      <c r="CK52" s="13">
        <f>(Sales[[#This Row],[Unadj Total Value]]-Sales[[#This Row],[24Final]])/Sales[[#This Row],[24Final]]</f>
        <v>2.1082441787287604E-2</v>
      </c>
      <c r="CL52" t="e">
        <v>#REF!</v>
      </c>
      <c r="CM52" t="e">
        <v>#REF!</v>
      </c>
      <c r="CN52" t="e">
        <v>#REF!</v>
      </c>
      <c r="CO52" t="e">
        <v>#REF!</v>
      </c>
      <c r="CP52" t="e">
        <v>#REF!</v>
      </c>
      <c r="CQ52" t="e">
        <v>#REF!</v>
      </c>
      <c r="CR52" t="e">
        <v>#REF!</v>
      </c>
      <c r="CS52" t="e">
        <v>#REF!</v>
      </c>
      <c r="CT52" t="e">
        <v>#REF!</v>
      </c>
      <c r="CU52" t="e">
        <v>#REF!</v>
      </c>
      <c r="CV52" t="e">
        <v>#REF!</v>
      </c>
      <c r="CW52" t="e">
        <v>#REF!</v>
      </c>
      <c r="CX52" s="15">
        <v>0</v>
      </c>
      <c r="CY52" s="15" t="e">
        <v>#REF!</v>
      </c>
      <c r="CZ52" s="15" t="e">
        <v>#REF!</v>
      </c>
      <c r="DA52" s="15" t="e">
        <v>#REF!</v>
      </c>
    </row>
    <row r="54" spans="1:106" x14ac:dyDescent="0.3">
      <c r="A54">
        <v>2025</v>
      </c>
      <c r="B54">
        <v>18132323028</v>
      </c>
      <c r="C54">
        <v>-1.6094379124341003</v>
      </c>
      <c r="D54">
        <v>0.2</v>
      </c>
      <c r="E54">
        <v>8597</v>
      </c>
      <c r="F54">
        <v>6</v>
      </c>
      <c r="G54" t="s">
        <v>126</v>
      </c>
      <c r="H54">
        <v>3033</v>
      </c>
      <c r="I54" t="s">
        <v>349</v>
      </c>
      <c r="J54" t="s">
        <v>30</v>
      </c>
      <c r="K54">
        <v>11</v>
      </c>
      <c r="L54">
        <v>259</v>
      </c>
      <c r="M54" t="s">
        <v>147</v>
      </c>
      <c r="N54" t="s">
        <v>351</v>
      </c>
      <c r="O54" t="s">
        <v>323</v>
      </c>
      <c r="P54">
        <v>80</v>
      </c>
      <c r="Q54">
        <v>1935</v>
      </c>
      <c r="R54">
        <v>1973</v>
      </c>
      <c r="S54">
        <v>89</v>
      </c>
      <c r="T54">
        <v>51</v>
      </c>
      <c r="U54">
        <v>2</v>
      </c>
      <c r="V54">
        <v>1124</v>
      </c>
      <c r="W54">
        <v>384</v>
      </c>
      <c r="X54">
        <v>0</v>
      </c>
      <c r="Y54">
        <v>928</v>
      </c>
      <c r="Z54">
        <v>0</v>
      </c>
      <c r="AA54">
        <v>928</v>
      </c>
      <c r="AB54">
        <v>2436</v>
      </c>
      <c r="AC54">
        <v>2500</v>
      </c>
      <c r="AD54">
        <v>1</v>
      </c>
      <c r="AF54" t="s">
        <v>383</v>
      </c>
      <c r="AG54" t="s">
        <v>175</v>
      </c>
      <c r="AH54" t="s">
        <v>65</v>
      </c>
      <c r="AI54">
        <v>0</v>
      </c>
      <c r="AJ54">
        <v>0</v>
      </c>
      <c r="AK54">
        <v>2</v>
      </c>
      <c r="AL54">
        <v>1</v>
      </c>
      <c r="AM54">
        <v>1</v>
      </c>
      <c r="AN54">
        <v>11</v>
      </c>
      <c r="AO54">
        <v>448</v>
      </c>
      <c r="AP54">
        <v>0</v>
      </c>
      <c r="AQ54">
        <v>0</v>
      </c>
      <c r="AR54">
        <v>0</v>
      </c>
      <c r="AS54">
        <v>720</v>
      </c>
      <c r="AT54">
        <v>320</v>
      </c>
      <c r="AU54">
        <v>100</v>
      </c>
      <c r="AV54">
        <v>100</v>
      </c>
      <c r="AW54">
        <v>306059</v>
      </c>
      <c r="AX54">
        <v>214241</v>
      </c>
      <c r="AY54">
        <v>749</v>
      </c>
      <c r="AZ54">
        <v>365</v>
      </c>
      <c r="BA54">
        <v>365</v>
      </c>
      <c r="BB54">
        <v>19</v>
      </c>
      <c r="BC54" s="3">
        <v>44543</v>
      </c>
      <c r="BD54" t="s">
        <v>424</v>
      </c>
      <c r="BE54">
        <v>190000</v>
      </c>
      <c r="BF54">
        <v>183945</v>
      </c>
      <c r="BG54" t="s">
        <v>294</v>
      </c>
      <c r="BH54">
        <v>30</v>
      </c>
      <c r="BI54" t="s">
        <v>65</v>
      </c>
      <c r="BJ54" t="s">
        <v>450</v>
      </c>
      <c r="BK54">
        <v>379600</v>
      </c>
      <c r="BL54">
        <v>58400</v>
      </c>
      <c r="BM54">
        <v>321200</v>
      </c>
      <c r="BN54">
        <v>6055</v>
      </c>
      <c r="BO54">
        <v>1.9978947368421052</v>
      </c>
      <c r="BP54">
        <v>326889.17016115616</v>
      </c>
      <c r="BQ54">
        <v>350992.26679921313</v>
      </c>
      <c r="BR54" s="12">
        <f>(Sales[[#This Row],[DP1]]*Lookups!$B$59)+(Sales[[#This Row],[DP2]]*Lookups!$B$60)+(Sales[[#This Row],[DP3]]*Lookups!$B$61)</f>
        <v>-26643.809185270002</v>
      </c>
      <c r="BS54" s="12">
        <f>Lookups!$B$56*0</f>
        <v>0</v>
      </c>
      <c r="BT54" s="12">
        <f>Lookups!$B$56*1</f>
        <v>89850.625589999996</v>
      </c>
      <c r="BU54" s="12">
        <f>Lookups!$B$57*Sales[[#This Row],[LnAcres]]</f>
        <v>-31472.673662315807</v>
      </c>
      <c r="BV54" s="12">
        <f>VLOOKUP(Sales[[#This Row],[Qlty]],Lookups!$A$62:$E$75,2,FALSE)</f>
        <v>74268.409664999999</v>
      </c>
      <c r="BW54" s="12">
        <f>VLOOKUP(Sales[[#This Row],[Cnd]],Lookups!$A$76:$E$84,2,FALSE)</f>
        <v>160472.20319</v>
      </c>
      <c r="BX54" s="12">
        <f>Sales[[#This Row],[EffAge]]*Lookups!$B$85</f>
        <v>-10929.2344245</v>
      </c>
      <c r="BY54" s="12">
        <f>Sales[[#This Row],[MainFn]]*Lookups!$B$86</f>
        <v>108056.76102099901</v>
      </c>
      <c r="BZ54" s="12">
        <f>Sales[[#This Row],[UpprFn]]*Lookups!$B$87</f>
        <v>0</v>
      </c>
      <c r="CA54" s="12">
        <f>Sales[[#This Row],[AddFn]]*Lookups!$B$88</f>
        <v>0</v>
      </c>
      <c r="CB54" s="12">
        <f>Sales[[#This Row],[Bsmt]]*Lookups!$B$89</f>
        <v>63602.104905188993</v>
      </c>
      <c r="CC54" s="12">
        <f>Sales[[#This Row],[Fixtures]]*Lookups!$B$90</f>
        <v>49296.287367600002</v>
      </c>
      <c r="CD54" s="12">
        <f>Sales[[#This Row],[WdDeck]]*Lookups!$B$91</f>
        <v>14982.981874200001</v>
      </c>
      <c r="CE54" s="12">
        <f>SUM(Sales[[#This Row],[Days Prior Total]:[Mdl WdDeck]])</f>
        <v>491483.65634090226</v>
      </c>
      <c r="CF54" s="12">
        <f>ROUND(Sales[[#This Row],[25Det]],-2)</f>
        <v>0</v>
      </c>
      <c r="CG54" s="12">
        <f>ROUND(SUM(Sales[[#This Row],[Mdl Qlty]:[Mdl WdDeck]])+Sales[[#This Row],[Mdl Res Intercept]]+Sales[[#This Row],[Days Prior Total]],-2)</f>
        <v>433100</v>
      </c>
      <c r="CH54" s="12">
        <f>ROUND(Sales[[#This Row],[Mdl Land Intercept]]+Sales[[#This Row],[Mdl LnAcres]],-2)</f>
        <v>58400</v>
      </c>
      <c r="CI54" s="12">
        <f>Sales[[#This Row],[Unadj Res Value]]+Sales[[#This Row],[Unadj Det Value]]+Sales[[#This Row],[Unadj Land Value]]</f>
        <v>491500</v>
      </c>
      <c r="CJ54" s="13">
        <f>Sales[[#This Row],[Price]]/Sales[[#This Row],[Unadj Total Value]]</f>
        <v>0.97558494404883012</v>
      </c>
      <c r="CK54" s="13">
        <f>(Sales[[#This Row],[Unadj Total Value]]-Sales[[#This Row],[24Final]])/Sales[[#This Row],[24Final]]</f>
        <v>-8.1994770265222269E-2</v>
      </c>
      <c r="CL54">
        <f>VLOOKUP(Sales[[#This Row],[TNbhd]],Lookups!$Q$2:$T$4,4,FALSE)</f>
        <v>0.99970000000000003</v>
      </c>
      <c r="CM54">
        <f>VLOOKUP(Sales[[#This Row],[Qlty]],Lookups!$O$7:$R$21,4,FALSE)</f>
        <v>0.98380000000000001</v>
      </c>
      <c r="CN54">
        <f>VLOOKUP(Sales[[#This Row],[Cnd]],Lookups!$T$7:$W$16,4,FALSE)</f>
        <v>0.99729999999999996</v>
      </c>
      <c r="CO54">
        <f>VLOOKUP(Sales[[#This Row],[LivArea Range]],Lookups!$T$25:$W$37,4,FALSE)</f>
        <v>0.94579999999999997</v>
      </c>
      <c r="CP54">
        <f>VLOOKUP(Sales[[#This Row],[Decade]],Lookups!$O$25:$R$42,4,FALSE)</f>
        <v>1.0199</v>
      </c>
      <c r="CQ54">
        <f>Sales[[#This Row],[Nbhd Adj]]*0.95</f>
        <v>0.94971499999999998</v>
      </c>
      <c r="CR54">
        <f>Sales[[#This Row],[Nbhd Adj]]*Sales[[#This Row],[Quality Adj]]*Sales[[#This Row],[Condition Adj]]*Sales[[#This Row],[Living Area Adj]]*Sales[[#This Row],[Decade Adj]]*0.95</f>
        <v>0.89884092112146985</v>
      </c>
      <c r="CS54">
        <f>ROUND(SUM(Sales[[#This Row],[Mdl Qlty]:[Mdl WdDeck]])+Sales[[#This Row],[Mdl Res Intercept]]*Sales[[#This Row],[Res Adj ]],-2)</f>
        <v>459700</v>
      </c>
      <c r="CT54">
        <f>ROUND(Sales[[#This Row],[25Det]]*Sales[[#This Row],[Det/Nbhd Adj]],-2)</f>
        <v>0</v>
      </c>
      <c r="CU54">
        <f>Sales[[#This Row],[Adjusted Res]]+Sales[[#This Row],[Adj Det ]]</f>
        <v>459700</v>
      </c>
      <c r="CV54">
        <f>ROUND((Sales[[#This Row],[Mdl Land Intercept]]+Sales[[#This Row],[Mdl LnAcres]])*Sales[[#This Row],[Det/Nbhd Adj]],-2)</f>
        <v>55400</v>
      </c>
      <c r="CW54">
        <f>Sales[[#This Row],[Adjusted Impr Total]]+Sales[[#This Row],[Adjusted Land Total]]</f>
        <v>515100</v>
      </c>
      <c r="CX54" s="15">
        <f>IFERROR((Sales[[#This Row],[Adjusted Impr Total]]-Sales[[#This Row],[24Bldg]])/Sales[[#This Row],[24Bldg]],0)</f>
        <v>9.2206366630076843E-3</v>
      </c>
      <c r="CY54" s="15">
        <f>(Sales[[#This Row],[Adjusted Land Total]]-Sales[[#This Row],[24Lnd]])/Sales[[#This Row],[24Lnd]]</f>
        <v>-0.30663329161451813</v>
      </c>
      <c r="CZ54" s="15">
        <f>(Sales[[#This Row],[Adjusted Total]]-Sales[[#This Row],[24Final]])/Sales[[#This Row],[24Final]]</f>
        <v>-3.7915577138587973E-2</v>
      </c>
      <c r="DA54" s="15">
        <f>(Sales[[#This Row],[Adjusted Total]]+Sales[[#This Row],[Days Prior Total]])/Sales[[#This Row],[Price]]</f>
        <v>1.0186781873091346</v>
      </c>
      <c r="DB54" s="15"/>
    </row>
    <row r="55" spans="1:106" x14ac:dyDescent="0.3">
      <c r="A55">
        <v>2025</v>
      </c>
      <c r="B55">
        <v>18132214041</v>
      </c>
      <c r="C55">
        <v>-1.4271163556401458</v>
      </c>
      <c r="D55">
        <v>0.24</v>
      </c>
      <c r="E55">
        <v>10310</v>
      </c>
      <c r="F55">
        <v>6</v>
      </c>
      <c r="G55" t="s">
        <v>126</v>
      </c>
      <c r="H55">
        <v>3033</v>
      </c>
      <c r="I55" t="s">
        <v>349</v>
      </c>
      <c r="J55" t="s">
        <v>30</v>
      </c>
      <c r="K55">
        <v>11</v>
      </c>
      <c r="L55">
        <v>259</v>
      </c>
      <c r="M55" t="s">
        <v>173</v>
      </c>
      <c r="N55" t="s">
        <v>351</v>
      </c>
      <c r="O55" t="s">
        <v>323</v>
      </c>
      <c r="P55">
        <v>80</v>
      </c>
      <c r="Q55">
        <v>1940</v>
      </c>
      <c r="R55">
        <v>1972</v>
      </c>
      <c r="S55">
        <v>84</v>
      </c>
      <c r="T55">
        <v>52</v>
      </c>
      <c r="U55">
        <v>2</v>
      </c>
      <c r="V55">
        <v>1152</v>
      </c>
      <c r="W55">
        <v>572</v>
      </c>
      <c r="X55">
        <v>0</v>
      </c>
      <c r="Y55">
        <v>1152</v>
      </c>
      <c r="Z55">
        <v>1152</v>
      </c>
      <c r="AA55">
        <v>0</v>
      </c>
      <c r="AB55">
        <v>1724</v>
      </c>
      <c r="AC55">
        <v>2000</v>
      </c>
      <c r="AD55">
        <v>0</v>
      </c>
      <c r="AF55" t="s">
        <v>383</v>
      </c>
      <c r="AG55" t="s">
        <v>382</v>
      </c>
      <c r="AI55">
        <v>0</v>
      </c>
      <c r="AJ55">
        <v>1</v>
      </c>
      <c r="AK55">
        <v>0</v>
      </c>
      <c r="AL55">
        <v>0</v>
      </c>
      <c r="AM55">
        <v>0</v>
      </c>
      <c r="AN55">
        <v>5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100</v>
      </c>
      <c r="AV55">
        <v>100</v>
      </c>
      <c r="AW55">
        <v>255669</v>
      </c>
      <c r="AX55">
        <v>176412</v>
      </c>
      <c r="AY55">
        <v>1015</v>
      </c>
      <c r="AZ55">
        <v>365</v>
      </c>
      <c r="BA55">
        <v>365</v>
      </c>
      <c r="BB55">
        <v>285</v>
      </c>
      <c r="BC55" s="3">
        <v>44277</v>
      </c>
      <c r="BD55" t="s">
        <v>326</v>
      </c>
      <c r="BE55">
        <v>150000</v>
      </c>
      <c r="BF55">
        <v>145880</v>
      </c>
      <c r="BG55" t="s">
        <v>294</v>
      </c>
      <c r="BH55">
        <v>30</v>
      </c>
      <c r="BI55" t="s">
        <v>65</v>
      </c>
      <c r="BJ55" t="s">
        <v>450</v>
      </c>
      <c r="BK55">
        <v>314500</v>
      </c>
      <c r="BL55">
        <v>64800</v>
      </c>
      <c r="BM55">
        <v>249700</v>
      </c>
      <c r="BN55">
        <v>4120</v>
      </c>
      <c r="BO55">
        <v>2.0966666666666667</v>
      </c>
      <c r="BP55">
        <v>290432.96991603123</v>
      </c>
      <c r="BQ55">
        <v>350106.04217879585</v>
      </c>
      <c r="BR55" s="12">
        <f>(Sales[[#This Row],[DP1]]*Lookups!$B$59)+(Sales[[#This Row],[DP2]]*Lookups!$B$60)+(Sales[[#This Row],[DP3]]*Lookups!$B$61)</f>
        <v>-23701.931501470004</v>
      </c>
      <c r="BS55" s="12">
        <f>Lookups!$B$56*0</f>
        <v>0</v>
      </c>
      <c r="BT55" s="12">
        <f>Lookups!$B$56*1</f>
        <v>89850.625589999996</v>
      </c>
      <c r="BU55" s="12">
        <f>Lookups!$B$57*Sales[[#This Row],[LnAcres]]</f>
        <v>-52569.808201026557</v>
      </c>
      <c r="BV55" s="12">
        <f>VLOOKUP(Sales[[#This Row],[Qlty]],Lookups!$A$62:$E$75,2,FALSE)</f>
        <v>29814.093161000001</v>
      </c>
      <c r="BW55" s="12">
        <f>VLOOKUP(Sales[[#This Row],[Cnd]],Lookups!$A$76:$E$84,2,FALSE)</f>
        <v>160472.20319</v>
      </c>
      <c r="BX55" s="12">
        <f>Sales[[#This Row],[EffAge]]*Lookups!$B$85</f>
        <v>-10929.2344245</v>
      </c>
      <c r="BY55" s="12">
        <f>Sales[[#This Row],[MainFn]]*Lookups!$B$86</f>
        <v>55140.075582732003</v>
      </c>
      <c r="BZ55" s="12">
        <f>Sales[[#This Row],[UpprFn]]*Lookups!$B$87</f>
        <v>0</v>
      </c>
      <c r="CA55" s="12">
        <f>Sales[[#This Row],[AddFn]]*Lookups!$B$88</f>
        <v>0</v>
      </c>
      <c r="CB55" s="12">
        <f>Sales[[#This Row],[Bsmt]]*Lookups!$B$89</f>
        <v>32891.623524356997</v>
      </c>
      <c r="CC55" s="12">
        <f>Sales[[#This Row],[Fixtures]]*Lookups!$B$90</f>
        <v>34128.198946800003</v>
      </c>
      <c r="CD55" s="12">
        <f>Sales[[#This Row],[WdDeck]]*Lookups!$B$91</f>
        <v>0</v>
      </c>
      <c r="CE55" s="12">
        <f>SUM(Sales[[#This Row],[Days Prior Total]:[Mdl WdDeck]])</f>
        <v>315095.84586789249</v>
      </c>
      <c r="CF55" s="12">
        <f>ROUND(Sales[[#This Row],[25Det]],-2)</f>
        <v>0</v>
      </c>
      <c r="CG55" s="12">
        <f>ROUND(SUM(Sales[[#This Row],[Mdl Qlty]:[Mdl WdDeck]])+Sales[[#This Row],[Mdl Res Intercept]]+Sales[[#This Row],[Days Prior Total]],-2)</f>
        <v>277800</v>
      </c>
      <c r="CH55" s="12">
        <f>ROUND(Sales[[#This Row],[Mdl Land Intercept]]+Sales[[#This Row],[Mdl LnAcres]],-2)</f>
        <v>37300</v>
      </c>
      <c r="CI55" s="12">
        <f>Sales[[#This Row],[Unadj Res Value]]+Sales[[#This Row],[Unadj Det Value]]+Sales[[#This Row],[Unadj Land Value]]</f>
        <v>315100</v>
      </c>
      <c r="CJ55" s="13">
        <f>Sales[[#This Row],[Price]]/Sales[[#This Row],[Unadj Total Value]]</f>
        <v>0.91716915264995236</v>
      </c>
      <c r="CK55" s="13">
        <f>(Sales[[#This Row],[Unadj Total Value]]-Sales[[#This Row],[24Final]])/Sales[[#This Row],[24Final]]</f>
        <v>-6.4152064152064148E-2</v>
      </c>
      <c r="CL55">
        <f>VLOOKUP(Sales[[#This Row],[TNbhd]],Lookups!$Q$2:$T$4,4,FALSE)</f>
        <v>0.99970000000000003</v>
      </c>
      <c r="CM55">
        <f>VLOOKUP(Sales[[#This Row],[Qlty]],Lookups!$O$7:$R$21,4,FALSE)</f>
        <v>1.0088999999999999</v>
      </c>
      <c r="CN55">
        <f>VLOOKUP(Sales[[#This Row],[Cnd]],Lookups!$T$7:$W$16,4,FALSE)</f>
        <v>0.99729999999999996</v>
      </c>
      <c r="CO55">
        <f>VLOOKUP(Sales[[#This Row],[LivArea Range]],Lookups!$T$25:$W$37,4,FALSE)</f>
        <v>0.98919999999999997</v>
      </c>
      <c r="CP55">
        <f>VLOOKUP(Sales[[#This Row],[Decade]],Lookups!$O$25:$R$42,4,FALSE)</f>
        <v>1.0199</v>
      </c>
      <c r="CQ55">
        <f>Sales[[#This Row],[Nbhd Adj]]*0.95</f>
        <v>0.94971499999999998</v>
      </c>
      <c r="CR55">
        <f>Sales[[#This Row],[Nbhd Adj]]*Sales[[#This Row],[Quality Adj]]*Sales[[#This Row],[Condition Adj]]*Sales[[#This Row],[Living Area Adj]]*Sales[[#This Row],[Decade Adj]]*0.95</f>
        <v>0.96407081974981479</v>
      </c>
      <c r="CS55">
        <f>ROUND(SUM(Sales[[#This Row],[Mdl Qlty]:[Mdl WdDeck]])+Sales[[#This Row],[Mdl Res Intercept]]*Sales[[#This Row],[Res Adj ]],-2)</f>
        <v>301500</v>
      </c>
      <c r="CT55">
        <f>ROUND(Sales[[#This Row],[25Det]]*Sales[[#This Row],[Det/Nbhd Adj]],-2)</f>
        <v>0</v>
      </c>
      <c r="CU55">
        <f>Sales[[#This Row],[Adjusted Res]]+Sales[[#This Row],[Adj Det ]]</f>
        <v>301500</v>
      </c>
      <c r="CV55">
        <f>ROUND((Sales[[#This Row],[Mdl Land Intercept]]+Sales[[#This Row],[Mdl LnAcres]])*Sales[[#This Row],[Det/Nbhd Adj]],-2)</f>
        <v>35400</v>
      </c>
      <c r="CW55">
        <f>Sales[[#This Row],[Adjusted Impr Total]]+Sales[[#This Row],[Adjusted Land Total]]</f>
        <v>336900</v>
      </c>
      <c r="CX55" s="15">
        <f>IFERROR((Sales[[#This Row],[Adjusted Impr Total]]-Sales[[#This Row],[24Bldg]])/Sales[[#This Row],[24Bldg]],0)</f>
        <v>7.6401285255265974E-2</v>
      </c>
      <c r="CY55" s="15">
        <f>(Sales[[#This Row],[Adjusted Land Total]]-Sales[[#This Row],[24Lnd]])/Sales[[#This Row],[24Lnd]]</f>
        <v>-0.37455830388692579</v>
      </c>
      <c r="CZ55" s="15">
        <f>(Sales[[#This Row],[Adjusted Total]]-Sales[[#This Row],[24Final]])/Sales[[#This Row],[24Final]]</f>
        <v>5.9400059400059396E-4</v>
      </c>
      <c r="DA55" s="15">
        <f>(Sales[[#This Row],[Adjusted Total]]+Sales[[#This Row],[Days Prior Total]])/Sales[[#This Row],[Price]]</f>
        <v>1.0837303408253633</v>
      </c>
      <c r="DB55" s="15"/>
    </row>
    <row r="56" spans="1:106" x14ac:dyDescent="0.3">
      <c r="A56">
        <v>2025</v>
      </c>
      <c r="B56">
        <v>18132214041</v>
      </c>
      <c r="C56">
        <v>-1.4271163556401458</v>
      </c>
      <c r="D56">
        <v>0.24</v>
      </c>
      <c r="E56">
        <v>10310</v>
      </c>
      <c r="F56">
        <v>6</v>
      </c>
      <c r="G56" t="s">
        <v>126</v>
      </c>
      <c r="H56">
        <v>3033</v>
      </c>
      <c r="I56" t="s">
        <v>349</v>
      </c>
      <c r="J56" t="s">
        <v>30</v>
      </c>
      <c r="K56">
        <v>11</v>
      </c>
      <c r="L56">
        <v>259</v>
      </c>
      <c r="M56" t="s">
        <v>173</v>
      </c>
      <c r="N56" t="s">
        <v>205</v>
      </c>
      <c r="O56" t="s">
        <v>323</v>
      </c>
      <c r="P56">
        <v>80</v>
      </c>
      <c r="Q56">
        <v>1940</v>
      </c>
      <c r="R56">
        <v>1972</v>
      </c>
      <c r="S56">
        <v>84</v>
      </c>
      <c r="T56">
        <v>52</v>
      </c>
      <c r="U56">
        <v>2</v>
      </c>
      <c r="V56">
        <v>1152</v>
      </c>
      <c r="W56">
        <v>572</v>
      </c>
      <c r="X56">
        <v>0</v>
      </c>
      <c r="Y56">
        <v>1152</v>
      </c>
      <c r="Z56">
        <v>1152</v>
      </c>
      <c r="AA56">
        <v>0</v>
      </c>
      <c r="AB56">
        <v>1724</v>
      </c>
      <c r="AC56">
        <v>2000</v>
      </c>
      <c r="AD56">
        <v>0</v>
      </c>
      <c r="AF56" t="s">
        <v>383</v>
      </c>
      <c r="AG56" t="s">
        <v>382</v>
      </c>
      <c r="AI56">
        <v>0</v>
      </c>
      <c r="AJ56">
        <v>1</v>
      </c>
      <c r="AK56">
        <v>0</v>
      </c>
      <c r="AL56">
        <v>0</v>
      </c>
      <c r="AM56">
        <v>0</v>
      </c>
      <c r="AN56">
        <v>5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100</v>
      </c>
      <c r="AV56">
        <v>100</v>
      </c>
      <c r="AW56">
        <v>243142</v>
      </c>
      <c r="AX56">
        <v>167768</v>
      </c>
      <c r="AY56">
        <v>944</v>
      </c>
      <c r="AZ56">
        <v>365</v>
      </c>
      <c r="BA56">
        <v>365</v>
      </c>
      <c r="BB56">
        <v>214</v>
      </c>
      <c r="BC56" s="3">
        <v>44348</v>
      </c>
      <c r="BD56" t="s">
        <v>35</v>
      </c>
      <c r="BE56">
        <v>210000</v>
      </c>
      <c r="BF56">
        <v>205880</v>
      </c>
      <c r="BG56" t="s">
        <v>294</v>
      </c>
      <c r="BH56">
        <v>30</v>
      </c>
      <c r="BI56" t="s">
        <v>65</v>
      </c>
      <c r="BJ56" t="s">
        <v>450</v>
      </c>
      <c r="BK56">
        <v>314500</v>
      </c>
      <c r="BL56">
        <v>64800</v>
      </c>
      <c r="BM56">
        <v>249700</v>
      </c>
      <c r="BN56">
        <v>4120</v>
      </c>
      <c r="BO56">
        <v>1.4976190476190476</v>
      </c>
      <c r="BP56">
        <v>278369.88247407932</v>
      </c>
      <c r="BQ56">
        <v>328548.71312273026</v>
      </c>
      <c r="BR56" s="12">
        <f>(Sales[[#This Row],[DP1]]*Lookups!$B$59)+(Sales[[#This Row],[DP2]]*Lookups!$B$60)+(Sales[[#This Row],[DP3]]*Lookups!$B$61)</f>
        <v>-3810.1426147800003</v>
      </c>
      <c r="BS56" s="12">
        <f>Lookups!$B$56*0</f>
        <v>0</v>
      </c>
      <c r="BT56" s="12">
        <f>Lookups!$B$56*1</f>
        <v>89850.625589999996</v>
      </c>
      <c r="BU56" s="12">
        <f>Lookups!$B$57*Sales[[#This Row],[LnAcres]]</f>
        <v>-56090.612940989391</v>
      </c>
      <c r="BV56" s="12">
        <f>VLOOKUP(Sales[[#This Row],[Qlty]],Lookups!$A$62:$E$75,2,FALSE)</f>
        <v>21557.329055999999</v>
      </c>
      <c r="BW56" s="12">
        <f>VLOOKUP(Sales[[#This Row],[Cnd]],Lookups!$A$76:$E$84,2,FALSE)</f>
        <v>133714.53821</v>
      </c>
      <c r="BX56" s="12">
        <f>Sales[[#This Row],[EffAge]]*Lookups!$B$85</f>
        <v>-10929.2344245</v>
      </c>
      <c r="BY56" s="12">
        <f>Sales[[#This Row],[MainFn]]*Lookups!$B$86</f>
        <v>57116.422377811999</v>
      </c>
      <c r="BZ56" s="12">
        <f>Sales[[#This Row],[UpprFn]]*Lookups!$B$87</f>
        <v>0</v>
      </c>
      <c r="CA56" s="12">
        <f>Sales[[#This Row],[AddFn]]*Lookups!$B$88</f>
        <v>0</v>
      </c>
      <c r="CB56" s="12">
        <f>Sales[[#This Row],[Bsmt]]*Lookups!$B$89</f>
        <v>30710.481380832</v>
      </c>
      <c r="CC56" s="12">
        <f>Sales[[#This Row],[Fixtures]]*Lookups!$B$90</f>
        <v>18960.110526</v>
      </c>
      <c r="CD56" s="12">
        <f>Sales[[#This Row],[WdDeck]]*Lookups!$B$91</f>
        <v>3163.0739512200003</v>
      </c>
      <c r="CE56" s="12">
        <f>SUM(Sales[[#This Row],[Days Prior Total]:[Mdl WdDeck]])</f>
        <v>284242.59111159464</v>
      </c>
      <c r="CF56" s="12">
        <f>ROUND(Sales[[#This Row],[25Det]],-2)</f>
        <v>0</v>
      </c>
      <c r="CG56" s="12">
        <f>ROUND(SUM(Sales[[#This Row],[Mdl Qlty]:[Mdl WdDeck]])+Sales[[#This Row],[Mdl Res Intercept]]+Sales[[#This Row],[Days Prior Total]],-2)</f>
        <v>250500</v>
      </c>
      <c r="CH56" s="12">
        <f>ROUND(Sales[[#This Row],[Mdl Land Intercept]]+Sales[[#This Row],[Mdl LnAcres]],-2)</f>
        <v>33800</v>
      </c>
      <c r="CI56" s="12">
        <f>Sales[[#This Row],[Unadj Res Value]]+Sales[[#This Row],[Unadj Det Value]]+Sales[[#This Row],[Unadj Land Value]]</f>
        <v>284300</v>
      </c>
      <c r="CJ56" s="13">
        <f>Sales[[#This Row],[Price]]/Sales[[#This Row],[Unadj Total Value]]</f>
        <v>1.0165318325712276</v>
      </c>
      <c r="CK56" s="13">
        <f>(Sales[[#This Row],[Unadj Total Value]]-Sales[[#This Row],[24Final]])/Sales[[#This Row],[24Final]]</f>
        <v>-1.1474269819193325E-2</v>
      </c>
      <c r="CL56">
        <f>VLOOKUP(Sales[[#This Row],[TNbhd]],Lookups!$Q$2:$T$4,4,FALSE)</f>
        <v>0.99970000000000003</v>
      </c>
      <c r="CM56">
        <f>VLOOKUP(Sales[[#This Row],[Qlty]],Lookups!$O$7:$R$21,4,FALSE)</f>
        <v>1.0067999999999999</v>
      </c>
      <c r="CN56">
        <f>VLOOKUP(Sales[[#This Row],[Cnd]],Lookups!$T$7:$W$16,4,FALSE)</f>
        <v>0.99329999999999996</v>
      </c>
      <c r="CO56">
        <f>VLOOKUP(Sales[[#This Row],[LivArea Range]],Lookups!$T$25:$W$37,4,FALSE)</f>
        <v>1.0093000000000001</v>
      </c>
      <c r="CP56">
        <f>VLOOKUP(Sales[[#This Row],[Decade]],Lookups!$O$25:$R$42,4,FALSE)</f>
        <v>1.0199</v>
      </c>
      <c r="CQ56">
        <f>Sales[[#This Row],[Nbhd Adj]]*0.95</f>
        <v>0.94971499999999998</v>
      </c>
      <c r="CR56">
        <f>Sales[[#This Row],[Nbhd Adj]]*Sales[[#This Row],[Quality Adj]]*Sales[[#This Row],[Condition Adj]]*Sales[[#This Row],[Living Area Adj]]*Sales[[#This Row],[Decade Adj]]*0.95</f>
        <v>0.97767566352077906</v>
      </c>
      <c r="CS56">
        <f>ROUND(SUM(Sales[[#This Row],[Mdl Qlty]:[Mdl WdDeck]])+Sales[[#This Row],[Mdl Res Intercept]]*Sales[[#This Row],[Res Adj ]],-2)</f>
        <v>254300</v>
      </c>
      <c r="CT56">
        <f>ROUND(Sales[[#This Row],[25Det]]*Sales[[#This Row],[Det/Nbhd Adj]],-2)</f>
        <v>0</v>
      </c>
      <c r="CU56">
        <f>Sales[[#This Row],[Adjusted Res]]+Sales[[#This Row],[Adj Det ]]</f>
        <v>254300</v>
      </c>
      <c r="CV56">
        <f>ROUND((Sales[[#This Row],[Mdl Land Intercept]]+Sales[[#This Row],[Mdl LnAcres]])*Sales[[#This Row],[Det/Nbhd Adj]],-2)</f>
        <v>32100</v>
      </c>
      <c r="CW56">
        <f>Sales[[#This Row],[Adjusted Impr Total]]+Sales[[#This Row],[Adjusted Land Total]]</f>
        <v>286400</v>
      </c>
      <c r="CX56" s="15">
        <f>IFERROR((Sales[[#This Row],[Adjusted Impr Total]]-Sales[[#This Row],[24Bldg]])/Sales[[#This Row],[24Bldg]],0)</f>
        <v>8.2588335461898685E-2</v>
      </c>
      <c r="CY56" s="15">
        <f>(Sales[[#This Row],[Adjusted Land Total]]-Sales[[#This Row],[24Lnd]])/Sales[[#This Row],[24Lnd]]</f>
        <v>-0.39089184060721061</v>
      </c>
      <c r="CZ56" s="15">
        <f>(Sales[[#This Row],[Adjusted Total]]-Sales[[#This Row],[24Final]])/Sales[[#This Row],[24Final]]</f>
        <v>-4.172461752433936E-3</v>
      </c>
      <c r="DA56" s="15">
        <f>(Sales[[#This Row],[Adjusted Total]]+Sales[[#This Row],[Days Prior Total]])/Sales[[#This Row],[Price]]</f>
        <v>0.97781957572740485</v>
      </c>
      <c r="DB56" s="15"/>
    </row>
  </sheetData>
  <conditionalFormatting sqref="B54:B55">
    <cfRule type="duplicateValues" dxfId="1" priority="2"/>
  </conditionalFormatting>
  <conditionalFormatting sqref="B5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Lookups</vt:lpstr>
      <vt:lpstr>Pivots</vt:lpstr>
      <vt:lpstr>YC2 Model TY 2025</vt:lpstr>
      <vt:lpstr>Inventory</vt:lpstr>
      <vt:lpstr>Multi Res, MF, ML</vt:lpstr>
      <vt:lpstr>YC2</vt:lpstr>
      <vt:lpstr>Trimmed Sales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Krista Halliday</cp:lastModifiedBy>
  <dcterms:modified xsi:type="dcterms:W3CDTF">2024-08-07T23:10:57Z</dcterms:modified>
</cp:coreProperties>
</file>